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pivotTables/pivotTable1.xml" ContentType="application/vnd.openxmlformats-officedocument.spreadsheetml.pivot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3.xml" ContentType="application/vnd.openxmlformats-officedocument.drawing+xml"/>
  <Override PartName="/xl/ctrlProps/ctrlProp37.xml" ContentType="application/vnd.ms-excel.controlproperties+xml"/>
  <Override PartName="/xl/queryTables/queryTable6.xml" ContentType="application/vnd.openxmlformats-officedocument.spreadsheetml.queryTable+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trlProps/ctrlProp38.xml" ContentType="application/vnd.ms-excel.controlproperties+xml"/>
  <Override PartName="/xl/charts/chart2.xml" ContentType="application/vnd.openxmlformats-officedocument.drawingml.chart+xml"/>
  <Override PartName="/xl/queryTables/queryTable7.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960" yWindow="2565" windowWidth="15960" windowHeight="6630" tabRatio="801" firstSheet="3" activeTab="29"/>
  </bookViews>
  <sheets>
    <sheet name="K Proj" sheetId="1" state="hidden" r:id="rId1"/>
    <sheet name="D Proj" sheetId="2" state="hidden" r:id="rId2"/>
    <sheet name="F Proj" sheetId="3" state="hidden" r:id="rId3"/>
    <sheet name="Pivot" sheetId="7" r:id="rId4"/>
    <sheet name="Rosters" sheetId="8" r:id="rId5"/>
    <sheet name="Weekly Scores" sheetId="4" state="hidden" r:id="rId6"/>
    <sheet name="Export1" sheetId="22" state="hidden" r:id="rId7"/>
    <sheet name="Scores" sheetId="5" r:id="rId8"/>
    <sheet name="High Scores" sheetId="37" r:id="rId9"/>
    <sheet name="Playoffs" sheetId="31" state="hidden" r:id="rId10"/>
    <sheet name="Export" sheetId="23" state="hidden" r:id="rId11"/>
    <sheet name="Yards" sheetId="27" state="hidden" r:id="rId12"/>
    <sheet name="FA Targets" sheetId="16" r:id="rId13"/>
    <sheet name="Trades" sheetId="9" r:id="rId14"/>
    <sheet name="2017 Fantasy" sheetId="36" state="hidden" r:id="rId15"/>
    <sheet name="Jake Sched" sheetId="35" state="hidden" r:id="rId16"/>
    <sheet name="top 300 &amp; Draft" sheetId="34" state="hidden" r:id="rId17"/>
    <sheet name="Summary" sheetId="10" r:id="rId18"/>
    <sheet name="ROS Rankings" sheetId="13" r:id="rId19"/>
    <sheet name="ROS Proj" sheetId="12" state="hidden" r:id="rId20"/>
    <sheet name="Team Breakdown" sheetId="14" r:id="rId21"/>
    <sheet name="Arians" sheetId="15" state="hidden" r:id="rId22"/>
    <sheet name="Feedback" sheetId="17" state="hidden" r:id="rId23"/>
    <sheet name="Trade Combos" sheetId="18" state="hidden" r:id="rId24"/>
    <sheet name="Finals" sheetId="6" r:id="rId25"/>
    <sheet name="Streaming" sheetId="25" state="hidden" r:id="rId26"/>
    <sheet name="Brier" sheetId="19" state="hidden" r:id="rId27"/>
    <sheet name="Error" sheetId="29" state="hidden" r:id="rId28"/>
    <sheet name="Single Impact" sheetId="32" state="hidden" r:id="rId29"/>
    <sheet name="Sim SOS" sheetId="33" r:id="rId30"/>
    <sheet name="Starting" sheetId="38" state="hidden" r:id="rId31"/>
  </sheets>
  <definedNames>
    <definedName name="_xlnm._FilterDatabase" localSheetId="14" hidden="1">'2017 Fantasy'!$A$2:$AF$574</definedName>
    <definedName name="_xlnm._FilterDatabase" localSheetId="1" hidden="1">'D Proj'!$A$1:$Z$513</definedName>
    <definedName name="_xlnm._FilterDatabase" localSheetId="2" hidden="1">'F Proj'!$A$1:$P$7669</definedName>
    <definedName name="_xlnm._FilterDatabase" localSheetId="24" hidden="1">Finals!$A$1:$S$501</definedName>
    <definedName name="_xlnm._FilterDatabase" localSheetId="8" hidden="1">'High Scores'!$A$1:$O$651</definedName>
    <definedName name="_xlnm._FilterDatabase" localSheetId="0" hidden="1">'K Proj'!$A$1:$V$508</definedName>
    <definedName name="_xlnm._FilterDatabase" localSheetId="19" hidden="1">'ROS Proj'!$A$1:$AL$561</definedName>
    <definedName name="_xlnm._FilterDatabase" localSheetId="18" hidden="1">'ROS Rankings'!$A$1:$AA$201</definedName>
    <definedName name="_xlnm._FilterDatabase" localSheetId="4" hidden="1">Rosters!$A$1:$E$156</definedName>
    <definedName name="_xlnm._FilterDatabase" localSheetId="7" hidden="1">Scores!$Y$1:$AD$131</definedName>
    <definedName name="_xlnm._FilterDatabase" localSheetId="28" hidden="1">'Single Impact'!$A$1:$W$1301</definedName>
    <definedName name="_xlnm._FilterDatabase" localSheetId="30" hidden="1">Starting!$A$1:$J$51</definedName>
    <definedName name="_xlnm._FilterDatabase" localSheetId="16" hidden="1">'top 300 &amp; Draft'!$W$1:$Z$338</definedName>
    <definedName name="_xlnm._FilterDatabase" localSheetId="23" hidden="1">'Trade Combos'!$A$1:$F$785</definedName>
    <definedName name="chart">Feedback!$K$26</definedName>
    <definedName name="current_rosters" localSheetId="4">Rosters!$A$1:$B$155</definedName>
    <definedName name="D_proj" localSheetId="1">'D Proj'!$A$1:$T$513</definedName>
    <definedName name="FLEX_proj" localSheetId="2">'F Proj'!$A$1:$J$7669</definedName>
    <definedName name="Grid_proj" localSheetId="19">'ROS Proj'!$A$1:$S$561</definedName>
    <definedName name="Half_Week">0</definedName>
    <definedName name="K_proj" localSheetId="0">'K Proj'!$A$1:$P$508</definedName>
    <definedName name="Pos">{"FLEX","D","K"}</definedName>
    <definedName name="results" localSheetId="24">Finals!$A$1:$J$501</definedName>
    <definedName name="sched" localSheetId="7">Scores!$Y$1:$AA$131</definedName>
    <definedName name="Week">5</definedName>
    <definedName name="Zscore_int">'ROS Rankings'!$AC$1</definedName>
  </definedNames>
  <calcPr calcId="145621"/>
  <pivotCaches>
    <pivotCache cacheId="11" r:id="rId32"/>
    <pivotCache cacheId="17" r:id="rId33"/>
    <pivotCache cacheId="24" r:id="rId34"/>
  </pivotCaches>
  <fileRecoveryPr repairLoad="1"/>
</workbook>
</file>

<file path=xl/calcChain.xml><?xml version="1.0" encoding="utf-8"?>
<calcChain xmlns="http://schemas.openxmlformats.org/spreadsheetml/2006/main">
  <c r="G25" i="9" l="1"/>
  <c r="K3" i="6"/>
  <c r="L3" i="6"/>
  <c r="M3" i="6" s="1"/>
  <c r="Q3" i="6"/>
  <c r="S3" i="6"/>
  <c r="K4" i="6"/>
  <c r="L4" i="6"/>
  <c r="Q4" i="6"/>
  <c r="S4" i="6"/>
  <c r="K5" i="6"/>
  <c r="L5" i="6"/>
  <c r="M5" i="6" s="1"/>
  <c r="Q5" i="6"/>
  <c r="S5" i="6"/>
  <c r="K6" i="6"/>
  <c r="L6" i="6"/>
  <c r="M6" i="6"/>
  <c r="Q6" i="6"/>
  <c r="S6" i="6"/>
  <c r="K7" i="6"/>
  <c r="L7" i="6"/>
  <c r="M7" i="6" s="1"/>
  <c r="Q7" i="6"/>
  <c r="S7" i="6"/>
  <c r="K8" i="6"/>
  <c r="L8" i="6"/>
  <c r="Q8" i="6"/>
  <c r="S8" i="6"/>
  <c r="K9" i="6"/>
  <c r="L9" i="6"/>
  <c r="M9" i="6" s="1"/>
  <c r="Q9" i="6"/>
  <c r="S9" i="6"/>
  <c r="K10" i="6"/>
  <c r="L10" i="6"/>
  <c r="M10" i="6"/>
  <c r="Q10" i="6"/>
  <c r="S10" i="6"/>
  <c r="K11" i="6"/>
  <c r="L11" i="6"/>
  <c r="M11" i="6" s="1"/>
  <c r="Q11" i="6"/>
  <c r="S11" i="6"/>
  <c r="K12" i="6"/>
  <c r="L12" i="6"/>
  <c r="Q12" i="6"/>
  <c r="S12" i="6"/>
  <c r="K13" i="6"/>
  <c r="L13" i="6"/>
  <c r="M13" i="6" s="1"/>
  <c r="Q13" i="6"/>
  <c r="S13" i="6"/>
  <c r="K14" i="6"/>
  <c r="L14" i="6"/>
  <c r="M14" i="6" s="1"/>
  <c r="Q14" i="6"/>
  <c r="S14" i="6"/>
  <c r="K15" i="6"/>
  <c r="L15" i="6"/>
  <c r="M15" i="6" s="1"/>
  <c r="Q15" i="6"/>
  <c r="S15" i="6"/>
  <c r="K16" i="6"/>
  <c r="L16" i="6"/>
  <c r="Q16" i="6"/>
  <c r="S16" i="6"/>
  <c r="K17" i="6"/>
  <c r="L17" i="6"/>
  <c r="M17" i="6" s="1"/>
  <c r="Q17" i="6"/>
  <c r="S17" i="6"/>
  <c r="K18" i="6"/>
  <c r="L18" i="6"/>
  <c r="M18" i="6" s="1"/>
  <c r="Q18" i="6"/>
  <c r="S18" i="6"/>
  <c r="K19" i="6"/>
  <c r="L19" i="6"/>
  <c r="M19" i="6" s="1"/>
  <c r="Q19" i="6"/>
  <c r="S19" i="6"/>
  <c r="K20" i="6"/>
  <c r="L20" i="6"/>
  <c r="Q20" i="6"/>
  <c r="S20" i="6"/>
  <c r="K21" i="6"/>
  <c r="L21" i="6"/>
  <c r="M21" i="6" s="1"/>
  <c r="Q21" i="6"/>
  <c r="S21" i="6"/>
  <c r="K22" i="6"/>
  <c r="L22" i="6"/>
  <c r="M22" i="6" s="1"/>
  <c r="Q22" i="6"/>
  <c r="S22" i="6"/>
  <c r="K23" i="6"/>
  <c r="L23" i="6"/>
  <c r="M23" i="6" s="1"/>
  <c r="Q23" i="6"/>
  <c r="S23" i="6"/>
  <c r="K24" i="6"/>
  <c r="L24" i="6"/>
  <c r="Q24" i="6"/>
  <c r="S24" i="6"/>
  <c r="K25" i="6"/>
  <c r="L25" i="6"/>
  <c r="M25" i="6" s="1"/>
  <c r="Q25" i="6"/>
  <c r="S25" i="6"/>
  <c r="K26" i="6"/>
  <c r="L26" i="6"/>
  <c r="M26" i="6"/>
  <c r="P26" i="6" s="1"/>
  <c r="N26" i="6"/>
  <c r="O26" i="6" s="1"/>
  <c r="Q26" i="6"/>
  <c r="R26" i="6"/>
  <c r="S26" i="6"/>
  <c r="K27" i="6"/>
  <c r="L27" i="6"/>
  <c r="M27" i="6" s="1"/>
  <c r="Q27" i="6"/>
  <c r="S27" i="6"/>
  <c r="K28" i="6"/>
  <c r="L28" i="6"/>
  <c r="Q28" i="6"/>
  <c r="S28" i="6"/>
  <c r="K29" i="6"/>
  <c r="L29" i="6"/>
  <c r="M29" i="6" s="1"/>
  <c r="Q29" i="6"/>
  <c r="S29" i="6"/>
  <c r="K30" i="6"/>
  <c r="L30" i="6"/>
  <c r="M30" i="6"/>
  <c r="P30" i="6" s="1"/>
  <c r="N30" i="6"/>
  <c r="O30" i="6" s="1"/>
  <c r="Q30" i="6"/>
  <c r="R30" i="6"/>
  <c r="S30" i="6"/>
  <c r="K31" i="6"/>
  <c r="L31" i="6"/>
  <c r="M31" i="6"/>
  <c r="Q31" i="6"/>
  <c r="S31" i="6"/>
  <c r="K32" i="6"/>
  <c r="L32" i="6"/>
  <c r="Q32" i="6"/>
  <c r="S32" i="6"/>
  <c r="K33" i="6"/>
  <c r="L33" i="6"/>
  <c r="M33" i="6" s="1"/>
  <c r="Q33" i="6"/>
  <c r="S33" i="6"/>
  <c r="K34" i="6"/>
  <c r="L34" i="6"/>
  <c r="M34" i="6"/>
  <c r="P34" i="6" s="1"/>
  <c r="N34" i="6"/>
  <c r="O34" i="6" s="1"/>
  <c r="Q34" i="6"/>
  <c r="R34" i="6"/>
  <c r="S34" i="6"/>
  <c r="K35" i="6"/>
  <c r="L35" i="6"/>
  <c r="M35" i="6"/>
  <c r="Q35" i="6"/>
  <c r="S35" i="6"/>
  <c r="K36" i="6"/>
  <c r="L36" i="6"/>
  <c r="Q36" i="6"/>
  <c r="S36" i="6"/>
  <c r="K37" i="6"/>
  <c r="L37" i="6"/>
  <c r="M37" i="6" s="1"/>
  <c r="Q37" i="6"/>
  <c r="S37" i="6"/>
  <c r="K38" i="6"/>
  <c r="L38" i="6"/>
  <c r="M38" i="6"/>
  <c r="P38" i="6" s="1"/>
  <c r="N38" i="6"/>
  <c r="O38" i="6" s="1"/>
  <c r="Q38" i="6"/>
  <c r="R38" i="6"/>
  <c r="S38" i="6"/>
  <c r="K39" i="6"/>
  <c r="L39" i="6"/>
  <c r="M39" i="6"/>
  <c r="Q39" i="6"/>
  <c r="S39" i="6"/>
  <c r="K40" i="6"/>
  <c r="L40" i="6"/>
  <c r="Q40" i="6"/>
  <c r="S40" i="6"/>
  <c r="K41" i="6"/>
  <c r="L41" i="6"/>
  <c r="M41" i="6" s="1"/>
  <c r="Q41" i="6"/>
  <c r="S41" i="6"/>
  <c r="K42" i="6"/>
  <c r="L42" i="6"/>
  <c r="M42" i="6" s="1"/>
  <c r="N42" i="6" s="1"/>
  <c r="R42" i="6" s="1"/>
  <c r="Q42" i="6"/>
  <c r="S42" i="6"/>
  <c r="K43" i="6"/>
  <c r="L43" i="6"/>
  <c r="M43" i="6"/>
  <c r="Q43" i="6"/>
  <c r="S43" i="6"/>
  <c r="K44" i="6"/>
  <c r="L44" i="6"/>
  <c r="Q44" i="6"/>
  <c r="S44" i="6"/>
  <c r="K45" i="6"/>
  <c r="L45" i="6"/>
  <c r="M45" i="6" s="1"/>
  <c r="Q45" i="6"/>
  <c r="S45" i="6"/>
  <c r="K46" i="6"/>
  <c r="L46" i="6"/>
  <c r="M46" i="6" s="1"/>
  <c r="N46" i="6"/>
  <c r="R46" i="6" s="1"/>
  <c r="Q46" i="6"/>
  <c r="S46" i="6"/>
  <c r="K47" i="6"/>
  <c r="L47" i="6"/>
  <c r="M47" i="6"/>
  <c r="Q47" i="6"/>
  <c r="S47" i="6"/>
  <c r="K48" i="6"/>
  <c r="L48" i="6"/>
  <c r="Q48" i="6"/>
  <c r="S48" i="6"/>
  <c r="K49" i="6"/>
  <c r="L49" i="6"/>
  <c r="M49" i="6" s="1"/>
  <c r="Q49" i="6"/>
  <c r="S49" i="6"/>
  <c r="K50" i="6"/>
  <c r="L50" i="6"/>
  <c r="M50" i="6" s="1"/>
  <c r="Q50" i="6"/>
  <c r="S50" i="6"/>
  <c r="K51" i="6"/>
  <c r="L51" i="6"/>
  <c r="M51" i="6"/>
  <c r="Q51" i="6"/>
  <c r="S51" i="6"/>
  <c r="K52" i="6"/>
  <c r="L52" i="6"/>
  <c r="Q52" i="6"/>
  <c r="S52" i="6"/>
  <c r="K53" i="6"/>
  <c r="L53" i="6"/>
  <c r="M53" i="6" s="1"/>
  <c r="Q53" i="6"/>
  <c r="S53" i="6"/>
  <c r="K54" i="6"/>
  <c r="L54" i="6"/>
  <c r="M54" i="6" s="1"/>
  <c r="Q54" i="6"/>
  <c r="S54" i="6"/>
  <c r="K55" i="6"/>
  <c r="L55" i="6"/>
  <c r="M55" i="6"/>
  <c r="Q55" i="6"/>
  <c r="S55" i="6"/>
  <c r="K56" i="6"/>
  <c r="L56" i="6"/>
  <c r="Q56" i="6"/>
  <c r="S56" i="6"/>
  <c r="K57" i="6"/>
  <c r="L57" i="6"/>
  <c r="M57" i="6" s="1"/>
  <c r="Q57" i="6"/>
  <c r="S57" i="6"/>
  <c r="K58" i="6"/>
  <c r="L58" i="6"/>
  <c r="M58" i="6"/>
  <c r="N58" i="6"/>
  <c r="Q58" i="6"/>
  <c r="S58" i="6"/>
  <c r="K59" i="6"/>
  <c r="L59" i="6"/>
  <c r="M59" i="6"/>
  <c r="Q59" i="6"/>
  <c r="S59" i="6"/>
  <c r="K60" i="6"/>
  <c r="L60" i="6"/>
  <c r="Q60" i="6"/>
  <c r="S60" i="6"/>
  <c r="K61" i="6"/>
  <c r="L61" i="6"/>
  <c r="M61" i="6" s="1"/>
  <c r="Q61" i="6"/>
  <c r="S61" i="6"/>
  <c r="K62" i="6"/>
  <c r="L62" i="6"/>
  <c r="M62" i="6" s="1"/>
  <c r="Q62" i="6"/>
  <c r="S62" i="6"/>
  <c r="K63" i="6"/>
  <c r="L63" i="6"/>
  <c r="M63" i="6"/>
  <c r="Q63" i="6"/>
  <c r="S63" i="6"/>
  <c r="K64" i="6"/>
  <c r="L64" i="6"/>
  <c r="Q64" i="6"/>
  <c r="S64" i="6"/>
  <c r="K65" i="6"/>
  <c r="L65" i="6"/>
  <c r="M65" i="6" s="1"/>
  <c r="Q65" i="6"/>
  <c r="S65" i="6"/>
  <c r="K66" i="6"/>
  <c r="L66" i="6"/>
  <c r="M66" i="6" s="1"/>
  <c r="N66" i="6"/>
  <c r="Q66" i="6"/>
  <c r="R66" i="6"/>
  <c r="S66" i="6"/>
  <c r="K67" i="6"/>
  <c r="L67" i="6"/>
  <c r="M67" i="6"/>
  <c r="Q67" i="6"/>
  <c r="S67" i="6"/>
  <c r="K68" i="6"/>
  <c r="L68" i="6"/>
  <c r="Q68" i="6"/>
  <c r="S68" i="6"/>
  <c r="K69" i="6"/>
  <c r="L69" i="6"/>
  <c r="M69" i="6" s="1"/>
  <c r="Q69" i="6"/>
  <c r="S69" i="6"/>
  <c r="K70" i="6"/>
  <c r="L70" i="6"/>
  <c r="M70" i="6" s="1"/>
  <c r="N70" i="6" s="1"/>
  <c r="R70" i="6" s="1"/>
  <c r="P70" i="6"/>
  <c r="Q70" i="6"/>
  <c r="S70" i="6"/>
  <c r="K71" i="6"/>
  <c r="L71" i="6"/>
  <c r="M71" i="6"/>
  <c r="N71" i="6" s="1"/>
  <c r="R71" i="6" s="1"/>
  <c r="O71" i="6"/>
  <c r="Q71" i="6"/>
  <c r="S71" i="6"/>
  <c r="K72" i="6"/>
  <c r="L72" i="6"/>
  <c r="M72" i="6"/>
  <c r="N72" i="6" s="1"/>
  <c r="R72" i="6" s="1"/>
  <c r="P72" i="6"/>
  <c r="Q72" i="6"/>
  <c r="S72" i="6"/>
  <c r="K73" i="6"/>
  <c r="L73" i="6"/>
  <c r="M73" i="6"/>
  <c r="N73" i="6" s="1"/>
  <c r="P73" i="6"/>
  <c r="Q73" i="6"/>
  <c r="S73" i="6"/>
  <c r="K74" i="6"/>
  <c r="L74" i="6"/>
  <c r="Q74" i="6"/>
  <c r="S74" i="6"/>
  <c r="K75" i="6"/>
  <c r="L75" i="6"/>
  <c r="M75" i="6"/>
  <c r="N75" i="6"/>
  <c r="O75" i="6" s="1"/>
  <c r="P75" i="6"/>
  <c r="Q75" i="6"/>
  <c r="R75" i="6"/>
  <c r="S75" i="6"/>
  <c r="K76" i="6"/>
  <c r="L76" i="6"/>
  <c r="M76" i="6"/>
  <c r="N76" i="6" s="1"/>
  <c r="R76" i="6" s="1"/>
  <c r="Q76" i="6"/>
  <c r="S76" i="6"/>
  <c r="K77" i="6"/>
  <c r="L77" i="6"/>
  <c r="M77" i="6" s="1"/>
  <c r="N77" i="6" s="1"/>
  <c r="R77" i="6" s="1"/>
  <c r="Q77" i="6"/>
  <c r="S77" i="6"/>
  <c r="K78" i="6"/>
  <c r="L78" i="6"/>
  <c r="M78" i="6"/>
  <c r="Q78" i="6"/>
  <c r="S78" i="6"/>
  <c r="K79" i="6"/>
  <c r="L79" i="6"/>
  <c r="Q79" i="6"/>
  <c r="S79" i="6"/>
  <c r="K80" i="6"/>
  <c r="L80" i="6"/>
  <c r="M80" i="6"/>
  <c r="N80" i="6" s="1"/>
  <c r="R80" i="6" s="1"/>
  <c r="O80" i="6"/>
  <c r="Q80" i="6"/>
  <c r="S80" i="6"/>
  <c r="K81" i="6"/>
  <c r="L81" i="6"/>
  <c r="M81" i="6" s="1"/>
  <c r="N81" i="6" s="1"/>
  <c r="R81" i="6" s="1"/>
  <c r="Q81" i="6"/>
  <c r="S81" i="6"/>
  <c r="K82" i="6"/>
  <c r="L82" i="6"/>
  <c r="M82" i="6"/>
  <c r="Q82" i="6"/>
  <c r="S82" i="6"/>
  <c r="K83" i="6"/>
  <c r="L83" i="6"/>
  <c r="Q83" i="6"/>
  <c r="S83" i="6"/>
  <c r="K84" i="6"/>
  <c r="L84" i="6"/>
  <c r="M84" i="6"/>
  <c r="N84" i="6" s="1"/>
  <c r="R84" i="6" s="1"/>
  <c r="Q84" i="6"/>
  <c r="S84" i="6"/>
  <c r="K85" i="6"/>
  <c r="L85" i="6"/>
  <c r="M85" i="6" s="1"/>
  <c r="N85" i="6" s="1"/>
  <c r="R85" i="6" s="1"/>
  <c r="Q85" i="6"/>
  <c r="S85" i="6"/>
  <c r="K86" i="6"/>
  <c r="L86" i="6"/>
  <c r="M86" i="6"/>
  <c r="Q86" i="6"/>
  <c r="S86" i="6"/>
  <c r="K87" i="6"/>
  <c r="L87" i="6"/>
  <c r="Q87" i="6"/>
  <c r="S87" i="6"/>
  <c r="K88" i="6"/>
  <c r="L88" i="6"/>
  <c r="M88" i="6"/>
  <c r="N88" i="6" s="1"/>
  <c r="R88" i="6" s="1"/>
  <c r="O88" i="6"/>
  <c r="Q88" i="6"/>
  <c r="S88" i="6"/>
  <c r="K89" i="6"/>
  <c r="L89" i="6"/>
  <c r="M89" i="6" s="1"/>
  <c r="N89" i="6"/>
  <c r="R89" i="6" s="1"/>
  <c r="Q89" i="6"/>
  <c r="S89" i="6"/>
  <c r="K90" i="6"/>
  <c r="L90" i="6"/>
  <c r="M90" i="6"/>
  <c r="Q90" i="6"/>
  <c r="S90" i="6"/>
  <c r="K91" i="6"/>
  <c r="L91" i="6"/>
  <c r="Q91" i="6"/>
  <c r="S91" i="6"/>
  <c r="K92" i="6"/>
  <c r="L92" i="6"/>
  <c r="M92" i="6"/>
  <c r="N92" i="6" s="1"/>
  <c r="R92" i="6" s="1"/>
  <c r="Q92" i="6"/>
  <c r="S92" i="6"/>
  <c r="K93" i="6"/>
  <c r="L93" i="6"/>
  <c r="M93" i="6" s="1"/>
  <c r="N93" i="6"/>
  <c r="Q93" i="6"/>
  <c r="R93" i="6"/>
  <c r="S93" i="6"/>
  <c r="K94" i="6"/>
  <c r="L94" i="6"/>
  <c r="M94" i="6"/>
  <c r="Q94" i="6"/>
  <c r="S94" i="6"/>
  <c r="K95" i="6"/>
  <c r="L95" i="6"/>
  <c r="Q95" i="6"/>
  <c r="S95" i="6"/>
  <c r="K96" i="6"/>
  <c r="L96" i="6"/>
  <c r="M96" i="6"/>
  <c r="N96" i="6" s="1"/>
  <c r="R96" i="6" s="1"/>
  <c r="Q96" i="6"/>
  <c r="S96" i="6"/>
  <c r="K97" i="6"/>
  <c r="L97" i="6"/>
  <c r="M97" i="6" s="1"/>
  <c r="N97" i="6"/>
  <c r="R97" i="6" s="1"/>
  <c r="Q97" i="6"/>
  <c r="S97" i="6"/>
  <c r="K98" i="6"/>
  <c r="L98" i="6"/>
  <c r="M98" i="6"/>
  <c r="Q98" i="6"/>
  <c r="S98" i="6"/>
  <c r="K99" i="6"/>
  <c r="L99" i="6"/>
  <c r="Q99" i="6"/>
  <c r="S99" i="6"/>
  <c r="K100" i="6"/>
  <c r="L100" i="6"/>
  <c r="M100" i="6"/>
  <c r="N100" i="6" s="1"/>
  <c r="R100" i="6" s="1"/>
  <c r="Q100" i="6"/>
  <c r="S100" i="6"/>
  <c r="K101" i="6"/>
  <c r="L101" i="6"/>
  <c r="M101" i="6" s="1"/>
  <c r="N101" i="6"/>
  <c r="Q101" i="6"/>
  <c r="R101" i="6"/>
  <c r="S101" i="6"/>
  <c r="K102" i="6"/>
  <c r="L102" i="6"/>
  <c r="M102" i="6"/>
  <c r="Q102" i="6"/>
  <c r="S102" i="6"/>
  <c r="K103" i="6"/>
  <c r="L103" i="6"/>
  <c r="Q103" i="6"/>
  <c r="S103" i="6"/>
  <c r="K104" i="6"/>
  <c r="L104" i="6"/>
  <c r="M104" i="6"/>
  <c r="N104" i="6" s="1"/>
  <c r="O104" i="6" s="1"/>
  <c r="Q104" i="6"/>
  <c r="S104" i="6"/>
  <c r="K105" i="6"/>
  <c r="L105" i="6"/>
  <c r="M105" i="6" s="1"/>
  <c r="N105" i="6"/>
  <c r="R105" i="6" s="1"/>
  <c r="Q105" i="6"/>
  <c r="S105" i="6"/>
  <c r="K106" i="6"/>
  <c r="L106" i="6"/>
  <c r="M106" i="6"/>
  <c r="Q106" i="6"/>
  <c r="S106" i="6"/>
  <c r="K107" i="6"/>
  <c r="L107" i="6"/>
  <c r="Q107" i="6"/>
  <c r="S107" i="6"/>
  <c r="K108" i="6"/>
  <c r="L108" i="6"/>
  <c r="M108" i="6"/>
  <c r="N108" i="6" s="1"/>
  <c r="Q108" i="6"/>
  <c r="S108" i="6"/>
  <c r="K109" i="6"/>
  <c r="L109" i="6"/>
  <c r="M109" i="6" s="1"/>
  <c r="N109" i="6"/>
  <c r="Q109" i="6"/>
  <c r="R109" i="6"/>
  <c r="S109" i="6"/>
  <c r="K110" i="6"/>
  <c r="L110" i="6"/>
  <c r="M110" i="6"/>
  <c r="Q110" i="6"/>
  <c r="S110" i="6"/>
  <c r="K111" i="6"/>
  <c r="L111" i="6"/>
  <c r="Q111" i="6"/>
  <c r="S111" i="6"/>
  <c r="K112" i="6"/>
  <c r="L112" i="6"/>
  <c r="M112" i="6"/>
  <c r="N112" i="6" s="1"/>
  <c r="Q112" i="6"/>
  <c r="S112" i="6"/>
  <c r="K113" i="6"/>
  <c r="L113" i="6"/>
  <c r="M113" i="6" s="1"/>
  <c r="N113" i="6"/>
  <c r="Q113" i="6"/>
  <c r="R113" i="6"/>
  <c r="S113" i="6"/>
  <c r="K114" i="6"/>
  <c r="L114" i="6"/>
  <c r="M114" i="6"/>
  <c r="Q114" i="6"/>
  <c r="S114" i="6"/>
  <c r="K115" i="6"/>
  <c r="L115" i="6"/>
  <c r="M115" i="6" s="1"/>
  <c r="Q115" i="6"/>
  <c r="S115" i="6"/>
  <c r="K116" i="6"/>
  <c r="L116" i="6"/>
  <c r="M116" i="6"/>
  <c r="Q116" i="6"/>
  <c r="S116" i="6"/>
  <c r="K117" i="6"/>
  <c r="L117" i="6"/>
  <c r="M117" i="6" s="1"/>
  <c r="N117" i="6"/>
  <c r="Q117" i="6"/>
  <c r="S117" i="6"/>
  <c r="K118" i="6"/>
  <c r="L118" i="6"/>
  <c r="M118" i="6"/>
  <c r="Q118" i="6"/>
  <c r="S118" i="6"/>
  <c r="K119" i="6"/>
  <c r="L119" i="6"/>
  <c r="M119" i="6" s="1"/>
  <c r="Q119" i="6"/>
  <c r="S119" i="6"/>
  <c r="K120" i="6"/>
  <c r="L120" i="6"/>
  <c r="M120" i="6"/>
  <c r="Q120" i="6"/>
  <c r="S120" i="6"/>
  <c r="K121" i="6"/>
  <c r="L121" i="6"/>
  <c r="M121" i="6" s="1"/>
  <c r="N121" i="6"/>
  <c r="R121" i="6" s="1"/>
  <c r="Q121" i="6"/>
  <c r="S121" i="6"/>
  <c r="K122" i="6"/>
  <c r="L122" i="6"/>
  <c r="M122" i="6"/>
  <c r="Q122" i="6"/>
  <c r="S122" i="6"/>
  <c r="K123" i="6"/>
  <c r="L123" i="6"/>
  <c r="M123" i="6" s="1"/>
  <c r="Q123" i="6"/>
  <c r="S123" i="6"/>
  <c r="K124" i="6"/>
  <c r="L124" i="6"/>
  <c r="M124" i="6"/>
  <c r="Q124" i="6"/>
  <c r="S124" i="6"/>
  <c r="K125" i="6"/>
  <c r="L125" i="6"/>
  <c r="M125" i="6" s="1"/>
  <c r="N125" i="6"/>
  <c r="Q125" i="6"/>
  <c r="S125" i="6"/>
  <c r="K126" i="6"/>
  <c r="L126" i="6"/>
  <c r="M126" i="6"/>
  <c r="Q126" i="6"/>
  <c r="S126" i="6"/>
  <c r="K127" i="6"/>
  <c r="L127" i="6"/>
  <c r="M127" i="6" s="1"/>
  <c r="Q127" i="6"/>
  <c r="S127" i="6"/>
  <c r="K128" i="6"/>
  <c r="L128" i="6"/>
  <c r="M128" i="6"/>
  <c r="Q128" i="6"/>
  <c r="S128" i="6"/>
  <c r="K129" i="6"/>
  <c r="L129" i="6"/>
  <c r="M129" i="6"/>
  <c r="Q129" i="6"/>
  <c r="S129" i="6"/>
  <c r="K130" i="6"/>
  <c r="L130" i="6"/>
  <c r="M130" i="6"/>
  <c r="Q130" i="6"/>
  <c r="S130" i="6"/>
  <c r="K131" i="6"/>
  <c r="L131" i="6"/>
  <c r="Q131" i="6"/>
  <c r="S131" i="6"/>
  <c r="K132" i="6"/>
  <c r="L132" i="6"/>
  <c r="M132" i="6"/>
  <c r="O132" i="6" s="1"/>
  <c r="N132" i="6"/>
  <c r="P132" i="6"/>
  <c r="Q132" i="6"/>
  <c r="R132" i="6"/>
  <c r="S132" i="6"/>
  <c r="K133" i="6"/>
  <c r="L133" i="6"/>
  <c r="M133" i="6"/>
  <c r="Q133" i="6"/>
  <c r="S133" i="6"/>
  <c r="K134" i="6"/>
  <c r="L134" i="6"/>
  <c r="M134" i="6" s="1"/>
  <c r="N134" i="6" s="1"/>
  <c r="R134" i="6" s="1"/>
  <c r="Q134" i="6"/>
  <c r="S134" i="6"/>
  <c r="K135" i="6"/>
  <c r="L135" i="6"/>
  <c r="M135" i="6"/>
  <c r="Q135" i="6"/>
  <c r="S135" i="6"/>
  <c r="K136" i="6"/>
  <c r="L136" i="6"/>
  <c r="M136" i="6" s="1"/>
  <c r="N136" i="6" s="1"/>
  <c r="R136" i="6" s="1"/>
  <c r="Q136" i="6"/>
  <c r="S136" i="6"/>
  <c r="K137" i="6"/>
  <c r="L137" i="6"/>
  <c r="M137" i="6"/>
  <c r="Q137" i="6"/>
  <c r="S137" i="6"/>
  <c r="K138" i="6"/>
  <c r="L138" i="6"/>
  <c r="M138" i="6" s="1"/>
  <c r="N138" i="6"/>
  <c r="P138" i="6" s="1"/>
  <c r="Q138" i="6"/>
  <c r="S138" i="6"/>
  <c r="K139" i="6"/>
  <c r="L139" i="6"/>
  <c r="M139" i="6"/>
  <c r="Q139" i="6"/>
  <c r="S139" i="6"/>
  <c r="K140" i="6"/>
  <c r="L140" i="6"/>
  <c r="M140" i="6" s="1"/>
  <c r="Q140" i="6"/>
  <c r="S140" i="6"/>
  <c r="K141" i="6"/>
  <c r="L141" i="6"/>
  <c r="M141" i="6"/>
  <c r="Q141" i="6"/>
  <c r="S141" i="6"/>
  <c r="K142" i="6"/>
  <c r="L142" i="6"/>
  <c r="M142" i="6" s="1"/>
  <c r="N142" i="6" s="1"/>
  <c r="R142" i="6" s="1"/>
  <c r="Q142" i="6"/>
  <c r="S142" i="6"/>
  <c r="K143" i="6"/>
  <c r="L143" i="6"/>
  <c r="M143" i="6"/>
  <c r="Q143" i="6"/>
  <c r="S143" i="6"/>
  <c r="K144" i="6"/>
  <c r="L144" i="6"/>
  <c r="M144" i="6" s="1"/>
  <c r="N144" i="6" s="1"/>
  <c r="R144" i="6" s="1"/>
  <c r="Q144" i="6"/>
  <c r="S144" i="6"/>
  <c r="K145" i="6"/>
  <c r="L145" i="6"/>
  <c r="M145" i="6"/>
  <c r="Q145" i="6"/>
  <c r="S145" i="6"/>
  <c r="K146" i="6"/>
  <c r="L146" i="6"/>
  <c r="M146" i="6" s="1"/>
  <c r="N146" i="6"/>
  <c r="P146" i="6" s="1"/>
  <c r="Q146" i="6"/>
  <c r="S146" i="6"/>
  <c r="K147" i="6"/>
  <c r="L147" i="6"/>
  <c r="M147" i="6"/>
  <c r="Q147" i="6"/>
  <c r="S147" i="6"/>
  <c r="K148" i="6"/>
  <c r="L148" i="6"/>
  <c r="M148" i="6" s="1"/>
  <c r="Q148" i="6"/>
  <c r="S148" i="6"/>
  <c r="K149" i="6"/>
  <c r="L149" i="6"/>
  <c r="M149" i="6"/>
  <c r="Q149" i="6"/>
  <c r="S149" i="6"/>
  <c r="K150" i="6"/>
  <c r="L150" i="6"/>
  <c r="M150" i="6" s="1"/>
  <c r="P150" i="6" s="1"/>
  <c r="N150" i="6"/>
  <c r="R150" i="6" s="1"/>
  <c r="Q150" i="6"/>
  <c r="S150" i="6"/>
  <c r="K151" i="6"/>
  <c r="L151" i="6"/>
  <c r="M151" i="6"/>
  <c r="Q151" i="6"/>
  <c r="S151" i="6"/>
  <c r="K152" i="6"/>
  <c r="L152" i="6"/>
  <c r="M152" i="6" s="1"/>
  <c r="N152" i="6" s="1"/>
  <c r="Q152" i="6"/>
  <c r="S152" i="6"/>
  <c r="K153" i="6"/>
  <c r="L153" i="6"/>
  <c r="M153" i="6"/>
  <c r="Q153" i="6"/>
  <c r="S153" i="6"/>
  <c r="K154" i="6"/>
  <c r="L154" i="6"/>
  <c r="M154" i="6" s="1"/>
  <c r="N154" i="6"/>
  <c r="R154" i="6" s="1"/>
  <c r="Q154" i="6"/>
  <c r="S154" i="6"/>
  <c r="K155" i="6"/>
  <c r="L155" i="6"/>
  <c r="M155" i="6"/>
  <c r="Q155" i="6"/>
  <c r="S155" i="6"/>
  <c r="K156" i="6"/>
  <c r="L156" i="6"/>
  <c r="M156" i="6" s="1"/>
  <c r="Q156" i="6"/>
  <c r="S156" i="6"/>
  <c r="K157" i="6"/>
  <c r="L157" i="6"/>
  <c r="M157" i="6"/>
  <c r="Q157" i="6"/>
  <c r="S157" i="6"/>
  <c r="K158" i="6"/>
  <c r="L158" i="6"/>
  <c r="M158" i="6" s="1"/>
  <c r="N158" i="6" s="1"/>
  <c r="R158" i="6" s="1"/>
  <c r="Q158" i="6"/>
  <c r="S158" i="6"/>
  <c r="K159" i="6"/>
  <c r="L159" i="6"/>
  <c r="M159" i="6"/>
  <c r="Q159" i="6"/>
  <c r="S159" i="6"/>
  <c r="K160" i="6"/>
  <c r="L160" i="6"/>
  <c r="M160" i="6" s="1"/>
  <c r="N160" i="6" s="1"/>
  <c r="Q160" i="6"/>
  <c r="S160" i="6"/>
  <c r="K161" i="6"/>
  <c r="L161" i="6"/>
  <c r="M161" i="6"/>
  <c r="Q161" i="6"/>
  <c r="S161" i="6"/>
  <c r="K162" i="6"/>
  <c r="L162" i="6"/>
  <c r="M162" i="6" s="1"/>
  <c r="N162" i="6"/>
  <c r="R162" i="6" s="1"/>
  <c r="Q162" i="6"/>
  <c r="S162" i="6"/>
  <c r="K163" i="6"/>
  <c r="L163" i="6"/>
  <c r="M163" i="6"/>
  <c r="Q163" i="6"/>
  <c r="S163" i="6"/>
  <c r="K164" i="6"/>
  <c r="L164" i="6"/>
  <c r="M164" i="6" s="1"/>
  <c r="Q164" i="6"/>
  <c r="S164" i="6"/>
  <c r="K165" i="6"/>
  <c r="L165" i="6"/>
  <c r="M165" i="6"/>
  <c r="Q165" i="6"/>
  <c r="S165" i="6"/>
  <c r="K166" i="6"/>
  <c r="L166" i="6"/>
  <c r="M166" i="6" s="1"/>
  <c r="N166" i="6" s="1"/>
  <c r="R166" i="6" s="1"/>
  <c r="Q166" i="6"/>
  <c r="S166" i="6"/>
  <c r="K167" i="6"/>
  <c r="L167" i="6"/>
  <c r="M167" i="6"/>
  <c r="N167" i="6" s="1"/>
  <c r="Q167" i="6"/>
  <c r="R167" i="6"/>
  <c r="S167" i="6"/>
  <c r="K168" i="6"/>
  <c r="L168" i="6"/>
  <c r="M168" i="6" s="1"/>
  <c r="Q168" i="6"/>
  <c r="S168" i="6"/>
  <c r="K169" i="6"/>
  <c r="L169" i="6"/>
  <c r="M169" i="6" s="1"/>
  <c r="Q169" i="6"/>
  <c r="S169" i="6"/>
  <c r="K170" i="6"/>
  <c r="L170" i="6"/>
  <c r="M170" i="6" s="1"/>
  <c r="Q170" i="6"/>
  <c r="S170" i="6"/>
  <c r="K171" i="6"/>
  <c r="L171" i="6"/>
  <c r="M171" i="6"/>
  <c r="N171" i="6" s="1"/>
  <c r="R171" i="6" s="1"/>
  <c r="Q171" i="6"/>
  <c r="S171" i="6"/>
  <c r="K172" i="6"/>
  <c r="L172" i="6"/>
  <c r="M172" i="6" s="1"/>
  <c r="Q172" i="6"/>
  <c r="S172" i="6"/>
  <c r="K173" i="6"/>
  <c r="L173" i="6"/>
  <c r="M173" i="6" s="1"/>
  <c r="Q173" i="6"/>
  <c r="S173" i="6"/>
  <c r="K174" i="6"/>
  <c r="L174" i="6"/>
  <c r="M174" i="6" s="1"/>
  <c r="Q174" i="6"/>
  <c r="S174" i="6"/>
  <c r="K175" i="6"/>
  <c r="L175" i="6"/>
  <c r="M175" i="6"/>
  <c r="N175" i="6" s="1"/>
  <c r="R175" i="6" s="1"/>
  <c r="Q175" i="6"/>
  <c r="S175" i="6"/>
  <c r="K176" i="6"/>
  <c r="L176" i="6"/>
  <c r="M176" i="6" s="1"/>
  <c r="Q176" i="6"/>
  <c r="S176" i="6"/>
  <c r="K177" i="6"/>
  <c r="L177" i="6"/>
  <c r="M177" i="6" s="1"/>
  <c r="Q177" i="6"/>
  <c r="S177" i="6"/>
  <c r="K178" i="6"/>
  <c r="L178" i="6"/>
  <c r="M178" i="6" s="1"/>
  <c r="Q178" i="6"/>
  <c r="S178" i="6"/>
  <c r="K179" i="6"/>
  <c r="L179" i="6"/>
  <c r="M179" i="6"/>
  <c r="N179" i="6" s="1"/>
  <c r="R179" i="6" s="1"/>
  <c r="Q179" i="6"/>
  <c r="S179" i="6"/>
  <c r="K180" i="6"/>
  <c r="L180" i="6"/>
  <c r="M180" i="6" s="1"/>
  <c r="Q180" i="6"/>
  <c r="S180" i="6"/>
  <c r="K181" i="6"/>
  <c r="L181" i="6"/>
  <c r="M181" i="6" s="1"/>
  <c r="Q181" i="6"/>
  <c r="S181" i="6"/>
  <c r="K182" i="6"/>
  <c r="L182" i="6"/>
  <c r="M182" i="6" s="1"/>
  <c r="Q182" i="6"/>
  <c r="S182" i="6"/>
  <c r="K183" i="6"/>
  <c r="L183" i="6"/>
  <c r="M183" i="6"/>
  <c r="N183" i="6" s="1"/>
  <c r="R183" i="6" s="1"/>
  <c r="Q183" i="6"/>
  <c r="S183" i="6"/>
  <c r="K184" i="6"/>
  <c r="L184" i="6"/>
  <c r="M184" i="6" s="1"/>
  <c r="Q184" i="6"/>
  <c r="S184" i="6"/>
  <c r="K185" i="6"/>
  <c r="L185" i="6"/>
  <c r="M185" i="6" s="1"/>
  <c r="Q185" i="6"/>
  <c r="S185" i="6"/>
  <c r="K186" i="6"/>
  <c r="L186" i="6"/>
  <c r="M186" i="6" s="1"/>
  <c r="Q186" i="6"/>
  <c r="S186" i="6"/>
  <c r="K187" i="6"/>
  <c r="L187" i="6"/>
  <c r="M187" i="6"/>
  <c r="N187" i="6" s="1"/>
  <c r="R187" i="6" s="1"/>
  <c r="Q187" i="6"/>
  <c r="S187" i="6"/>
  <c r="K188" i="6"/>
  <c r="L188" i="6"/>
  <c r="M188" i="6" s="1"/>
  <c r="Q188" i="6"/>
  <c r="S188" i="6"/>
  <c r="K189" i="6"/>
  <c r="L189" i="6"/>
  <c r="M189" i="6" s="1"/>
  <c r="Q189" i="6"/>
  <c r="S189" i="6"/>
  <c r="K190" i="6"/>
  <c r="L190" i="6"/>
  <c r="M190" i="6" s="1"/>
  <c r="N190" i="6" s="1"/>
  <c r="R190" i="6" s="1"/>
  <c r="Q190" i="6"/>
  <c r="S190" i="6"/>
  <c r="K191" i="6"/>
  <c r="L191" i="6"/>
  <c r="M191" i="6"/>
  <c r="Q191" i="6"/>
  <c r="S191" i="6"/>
  <c r="K192" i="6"/>
  <c r="L192" i="6"/>
  <c r="Q192" i="6"/>
  <c r="S192" i="6"/>
  <c r="K193" i="6"/>
  <c r="L193" i="6"/>
  <c r="M193" i="6" s="1"/>
  <c r="Q193" i="6"/>
  <c r="S193" i="6"/>
  <c r="K194" i="6"/>
  <c r="L194" i="6"/>
  <c r="M194" i="6" s="1"/>
  <c r="N194" i="6"/>
  <c r="R194" i="6" s="1"/>
  <c r="Q194" i="6"/>
  <c r="S194" i="6"/>
  <c r="K195" i="6"/>
  <c r="L195" i="6"/>
  <c r="M195" i="6"/>
  <c r="Q195" i="6"/>
  <c r="S195" i="6"/>
  <c r="K196" i="6"/>
  <c r="L196" i="6"/>
  <c r="Q196" i="6"/>
  <c r="S196" i="6"/>
  <c r="K197" i="6"/>
  <c r="L197" i="6"/>
  <c r="M197" i="6" s="1"/>
  <c r="Q197" i="6"/>
  <c r="S197" i="6"/>
  <c r="K198" i="6"/>
  <c r="L198" i="6"/>
  <c r="M198" i="6" s="1"/>
  <c r="N198" i="6"/>
  <c r="R198" i="6" s="1"/>
  <c r="Q198" i="6"/>
  <c r="S198" i="6"/>
  <c r="K199" i="6"/>
  <c r="L199" i="6"/>
  <c r="M199" i="6"/>
  <c r="Q199" i="6"/>
  <c r="S199" i="6"/>
  <c r="K200" i="6"/>
  <c r="L200" i="6"/>
  <c r="Q200" i="6"/>
  <c r="S200" i="6"/>
  <c r="K201" i="6"/>
  <c r="L201" i="6"/>
  <c r="M201" i="6" s="1"/>
  <c r="Q201" i="6"/>
  <c r="S201" i="6"/>
  <c r="K202" i="6"/>
  <c r="L202" i="6"/>
  <c r="M202" i="6" s="1"/>
  <c r="N202" i="6" s="1"/>
  <c r="R202" i="6" s="1"/>
  <c r="Q202" i="6"/>
  <c r="S202" i="6"/>
  <c r="K203" i="6"/>
  <c r="L203" i="6"/>
  <c r="M203" i="6"/>
  <c r="Q203" i="6"/>
  <c r="S203" i="6"/>
  <c r="K204" i="6"/>
  <c r="L204" i="6"/>
  <c r="Q204" i="6"/>
  <c r="S204" i="6"/>
  <c r="K205" i="6"/>
  <c r="L205" i="6"/>
  <c r="M205" i="6" s="1"/>
  <c r="Q205" i="6"/>
  <c r="S205" i="6"/>
  <c r="K206" i="6"/>
  <c r="L206" i="6"/>
  <c r="M206" i="6" s="1"/>
  <c r="N206" i="6" s="1"/>
  <c r="R206" i="6" s="1"/>
  <c r="Q206" i="6"/>
  <c r="S206" i="6"/>
  <c r="K207" i="6"/>
  <c r="L207" i="6"/>
  <c r="M207" i="6"/>
  <c r="Q207" i="6"/>
  <c r="S207" i="6"/>
  <c r="K208" i="6"/>
  <c r="L208" i="6"/>
  <c r="Q208" i="6"/>
  <c r="S208" i="6"/>
  <c r="K209" i="6"/>
  <c r="L209" i="6"/>
  <c r="Q209" i="6"/>
  <c r="S209" i="6"/>
  <c r="K210" i="6"/>
  <c r="L210" i="6"/>
  <c r="M210" i="6" s="1"/>
  <c r="N210" i="6"/>
  <c r="R210" i="6" s="1"/>
  <c r="Q210" i="6"/>
  <c r="S210" i="6"/>
  <c r="K211" i="6"/>
  <c r="L211" i="6"/>
  <c r="M211" i="6"/>
  <c r="N211" i="6"/>
  <c r="R211" i="6" s="1"/>
  <c r="Q211" i="6"/>
  <c r="S211" i="6"/>
  <c r="K212" i="6"/>
  <c r="L212" i="6"/>
  <c r="M212" i="6" s="1"/>
  <c r="Q212" i="6"/>
  <c r="S212" i="6"/>
  <c r="K213" i="6"/>
  <c r="L213" i="6"/>
  <c r="Q213" i="6"/>
  <c r="S213" i="6"/>
  <c r="K214" i="6"/>
  <c r="L214" i="6"/>
  <c r="M214" i="6" s="1"/>
  <c r="N214" i="6" s="1"/>
  <c r="Q214" i="6"/>
  <c r="S214" i="6"/>
  <c r="K215" i="6"/>
  <c r="L215" i="6"/>
  <c r="M215" i="6"/>
  <c r="N215" i="6" s="1"/>
  <c r="R215" i="6" s="1"/>
  <c r="Q215" i="6"/>
  <c r="S215" i="6"/>
  <c r="K216" i="6"/>
  <c r="L216" i="6"/>
  <c r="M216" i="6"/>
  <c r="Q216" i="6"/>
  <c r="S216" i="6"/>
  <c r="K217" i="6"/>
  <c r="L217" i="6"/>
  <c r="Q217" i="6"/>
  <c r="S217" i="6"/>
  <c r="K218" i="6"/>
  <c r="L218" i="6"/>
  <c r="M218" i="6" s="1"/>
  <c r="N218" i="6"/>
  <c r="R218" i="6" s="1"/>
  <c r="Q218" i="6"/>
  <c r="S218" i="6"/>
  <c r="K219" i="6"/>
  <c r="L219" i="6"/>
  <c r="M219" i="6"/>
  <c r="N219" i="6"/>
  <c r="R219" i="6" s="1"/>
  <c r="Q219" i="6"/>
  <c r="S219" i="6"/>
  <c r="K220" i="6"/>
  <c r="L220" i="6"/>
  <c r="M220" i="6" s="1"/>
  <c r="Q220" i="6"/>
  <c r="S220" i="6"/>
  <c r="K221" i="6"/>
  <c r="L221" i="6"/>
  <c r="Q221" i="6"/>
  <c r="S221" i="6"/>
  <c r="K222" i="6"/>
  <c r="L222" i="6"/>
  <c r="M222" i="6" s="1"/>
  <c r="N222" i="6" s="1"/>
  <c r="Q222" i="6"/>
  <c r="S222" i="6"/>
  <c r="K223" i="6"/>
  <c r="L223" i="6"/>
  <c r="M223" i="6"/>
  <c r="N223" i="6" s="1"/>
  <c r="R223" i="6" s="1"/>
  <c r="Q223" i="6"/>
  <c r="S223" i="6"/>
  <c r="K224" i="6"/>
  <c r="L224" i="6"/>
  <c r="M224" i="6"/>
  <c r="Q224" i="6"/>
  <c r="S224" i="6"/>
  <c r="K225" i="6"/>
  <c r="L225" i="6"/>
  <c r="Q225" i="6"/>
  <c r="S225" i="6"/>
  <c r="K226" i="6"/>
  <c r="L226" i="6"/>
  <c r="M226" i="6" s="1"/>
  <c r="N226" i="6"/>
  <c r="R226" i="6" s="1"/>
  <c r="Q226" i="6"/>
  <c r="S226" i="6"/>
  <c r="K227" i="6"/>
  <c r="L227" i="6"/>
  <c r="M227" i="6"/>
  <c r="N227" i="6"/>
  <c r="R227" i="6" s="1"/>
  <c r="Q227" i="6"/>
  <c r="S227" i="6"/>
  <c r="K228" i="6"/>
  <c r="L228" i="6"/>
  <c r="M228" i="6" s="1"/>
  <c r="Q228" i="6"/>
  <c r="S228" i="6"/>
  <c r="K229" i="6"/>
  <c r="L229" i="6"/>
  <c r="Q229" i="6"/>
  <c r="S229" i="6"/>
  <c r="K230" i="6"/>
  <c r="L230" i="6"/>
  <c r="M230" i="6" s="1"/>
  <c r="N230" i="6" s="1"/>
  <c r="Q230" i="6"/>
  <c r="S230" i="6"/>
  <c r="K231" i="6"/>
  <c r="L231" i="6"/>
  <c r="M231" i="6"/>
  <c r="N231" i="6" s="1"/>
  <c r="R231" i="6" s="1"/>
  <c r="Q231" i="6"/>
  <c r="S231" i="6"/>
  <c r="K232" i="6"/>
  <c r="L232" i="6"/>
  <c r="M232" i="6"/>
  <c r="Q232" i="6"/>
  <c r="S232" i="6"/>
  <c r="K233" i="6"/>
  <c r="L233" i="6"/>
  <c r="Q233" i="6"/>
  <c r="S233" i="6"/>
  <c r="K234" i="6"/>
  <c r="L234" i="6"/>
  <c r="M234" i="6" s="1"/>
  <c r="N234" i="6"/>
  <c r="R234" i="6" s="1"/>
  <c r="Q234" i="6"/>
  <c r="S234" i="6"/>
  <c r="K235" i="6"/>
  <c r="L235" i="6"/>
  <c r="M235" i="6"/>
  <c r="N235" i="6"/>
  <c r="R235" i="6" s="1"/>
  <c r="Q235" i="6"/>
  <c r="S235" i="6"/>
  <c r="K236" i="6"/>
  <c r="L236" i="6"/>
  <c r="M236" i="6" s="1"/>
  <c r="Q236" i="6"/>
  <c r="S236" i="6"/>
  <c r="K237" i="6"/>
  <c r="L237" i="6"/>
  <c r="Q237" i="6"/>
  <c r="S237" i="6"/>
  <c r="K238" i="6"/>
  <c r="L238" i="6"/>
  <c r="M238" i="6" s="1"/>
  <c r="N238" i="6" s="1"/>
  <c r="Q238" i="6"/>
  <c r="S238" i="6"/>
  <c r="K239" i="6"/>
  <c r="L239" i="6"/>
  <c r="M239" i="6"/>
  <c r="N239" i="6" s="1"/>
  <c r="R239" i="6" s="1"/>
  <c r="Q239" i="6"/>
  <c r="S239" i="6"/>
  <c r="K240" i="6"/>
  <c r="L240" i="6"/>
  <c r="M240" i="6"/>
  <c r="Q240" i="6"/>
  <c r="S240" i="6"/>
  <c r="K241" i="6"/>
  <c r="L241" i="6"/>
  <c r="Q241" i="6"/>
  <c r="S241" i="6"/>
  <c r="K242" i="6"/>
  <c r="L242" i="6"/>
  <c r="M242" i="6" s="1"/>
  <c r="N242" i="6"/>
  <c r="R242" i="6" s="1"/>
  <c r="Q242" i="6"/>
  <c r="S242" i="6"/>
  <c r="K243" i="6"/>
  <c r="L243" i="6"/>
  <c r="M243" i="6"/>
  <c r="N243" i="6"/>
  <c r="R243" i="6" s="1"/>
  <c r="Q243" i="6"/>
  <c r="S243" i="6"/>
  <c r="K244" i="6"/>
  <c r="L244" i="6"/>
  <c r="M244" i="6" s="1"/>
  <c r="Q244" i="6"/>
  <c r="S244" i="6"/>
  <c r="K245" i="6"/>
  <c r="L245" i="6"/>
  <c r="Q245" i="6"/>
  <c r="S245" i="6"/>
  <c r="K246" i="6"/>
  <c r="L246" i="6"/>
  <c r="M246" i="6" s="1"/>
  <c r="N246" i="6" s="1"/>
  <c r="Q246" i="6"/>
  <c r="S246" i="6"/>
  <c r="K247" i="6"/>
  <c r="L247" i="6"/>
  <c r="M247" i="6"/>
  <c r="N247" i="6"/>
  <c r="P247" i="6" s="1"/>
  <c r="O247" i="6"/>
  <c r="Q247" i="6"/>
  <c r="R247" i="6"/>
  <c r="S247" i="6"/>
  <c r="K248" i="6"/>
  <c r="L248" i="6"/>
  <c r="M248" i="6"/>
  <c r="O248" i="6" s="1"/>
  <c r="N248" i="6"/>
  <c r="Q248" i="6"/>
  <c r="R248" i="6"/>
  <c r="S248" i="6"/>
  <c r="K249" i="6"/>
  <c r="L249" i="6"/>
  <c r="M249" i="6"/>
  <c r="N249" i="6" s="1"/>
  <c r="Q249" i="6"/>
  <c r="S249" i="6"/>
  <c r="K250" i="6"/>
  <c r="L250" i="6"/>
  <c r="M250" i="6" s="1"/>
  <c r="Q250" i="6"/>
  <c r="S250" i="6"/>
  <c r="K251" i="6"/>
  <c r="L251" i="6"/>
  <c r="M251" i="6" s="1"/>
  <c r="Q251" i="6"/>
  <c r="S251" i="6"/>
  <c r="K252" i="6"/>
  <c r="L252" i="6"/>
  <c r="M252" i="6"/>
  <c r="N252" i="6"/>
  <c r="R252" i="6" s="1"/>
  <c r="Q252" i="6"/>
  <c r="S252" i="6"/>
  <c r="K253" i="6"/>
  <c r="L253" i="6"/>
  <c r="M253" i="6"/>
  <c r="Q253" i="6"/>
  <c r="S253" i="6"/>
  <c r="K254" i="6"/>
  <c r="L254" i="6"/>
  <c r="Q254" i="6"/>
  <c r="S254" i="6"/>
  <c r="K255" i="6"/>
  <c r="L255" i="6"/>
  <c r="M255" i="6" s="1"/>
  <c r="Q255" i="6"/>
  <c r="S255" i="6"/>
  <c r="K256" i="6"/>
  <c r="L256" i="6"/>
  <c r="M256" i="6"/>
  <c r="N256" i="6"/>
  <c r="Q256" i="6"/>
  <c r="R256" i="6"/>
  <c r="S256" i="6"/>
  <c r="K257" i="6"/>
  <c r="L257" i="6"/>
  <c r="M257" i="6"/>
  <c r="Q257" i="6"/>
  <c r="S257" i="6"/>
  <c r="K258" i="6"/>
  <c r="L258" i="6"/>
  <c r="Q258" i="6"/>
  <c r="S258" i="6"/>
  <c r="K259" i="6"/>
  <c r="L259" i="6"/>
  <c r="M259" i="6" s="1"/>
  <c r="Q259" i="6"/>
  <c r="S259" i="6"/>
  <c r="K260" i="6"/>
  <c r="L260" i="6"/>
  <c r="M260" i="6"/>
  <c r="N260" i="6"/>
  <c r="R260" i="6" s="1"/>
  <c r="Q260" i="6"/>
  <c r="S260" i="6"/>
  <c r="K261" i="6"/>
  <c r="L261" i="6"/>
  <c r="M261" i="6"/>
  <c r="Q261" i="6"/>
  <c r="S261" i="6"/>
  <c r="K262" i="6"/>
  <c r="L262" i="6"/>
  <c r="Q262" i="6"/>
  <c r="S262" i="6"/>
  <c r="K263" i="6"/>
  <c r="L263" i="6"/>
  <c r="M263" i="6" s="1"/>
  <c r="Q263" i="6"/>
  <c r="S263" i="6"/>
  <c r="K264" i="6"/>
  <c r="L264" i="6"/>
  <c r="M264" i="6"/>
  <c r="N264" i="6"/>
  <c r="Q264" i="6"/>
  <c r="R264" i="6"/>
  <c r="S264" i="6"/>
  <c r="K265" i="6"/>
  <c r="L265" i="6"/>
  <c r="M265" i="6"/>
  <c r="Q265" i="6"/>
  <c r="S265" i="6"/>
  <c r="K266" i="6"/>
  <c r="L266" i="6"/>
  <c r="Q266" i="6"/>
  <c r="S266" i="6"/>
  <c r="K267" i="6"/>
  <c r="L267" i="6"/>
  <c r="M267" i="6" s="1"/>
  <c r="Q267" i="6"/>
  <c r="S267" i="6"/>
  <c r="K268" i="6"/>
  <c r="L268" i="6"/>
  <c r="M268" i="6"/>
  <c r="N268" i="6"/>
  <c r="R268" i="6" s="1"/>
  <c r="Q268" i="6"/>
  <c r="S268" i="6"/>
  <c r="K269" i="6"/>
  <c r="L269" i="6"/>
  <c r="M269" i="6"/>
  <c r="Q269" i="6"/>
  <c r="S269" i="6"/>
  <c r="K270" i="6"/>
  <c r="L270" i="6"/>
  <c r="Q270" i="6"/>
  <c r="S270" i="6"/>
  <c r="K271" i="6"/>
  <c r="L271" i="6"/>
  <c r="M271" i="6" s="1"/>
  <c r="Q271" i="6"/>
  <c r="S271" i="6"/>
  <c r="K272" i="6"/>
  <c r="L272" i="6"/>
  <c r="M272" i="6"/>
  <c r="N272" i="6"/>
  <c r="Q272" i="6"/>
  <c r="R272" i="6"/>
  <c r="S272" i="6"/>
  <c r="K273" i="6"/>
  <c r="L273" i="6"/>
  <c r="M273" i="6"/>
  <c r="Q273" i="6"/>
  <c r="S273" i="6"/>
  <c r="K274" i="6"/>
  <c r="L274" i="6"/>
  <c r="Q274" i="6"/>
  <c r="S274" i="6"/>
  <c r="K275" i="6"/>
  <c r="L275" i="6"/>
  <c r="M275" i="6" s="1"/>
  <c r="Q275" i="6"/>
  <c r="S275" i="6"/>
  <c r="K276" i="6"/>
  <c r="L276" i="6"/>
  <c r="M276" i="6"/>
  <c r="N276" i="6"/>
  <c r="R276" i="6" s="1"/>
  <c r="Q276" i="6"/>
  <c r="S276" i="6"/>
  <c r="K277" i="6"/>
  <c r="L277" i="6"/>
  <c r="M277" i="6"/>
  <c r="Q277" i="6"/>
  <c r="S277" i="6"/>
  <c r="K278" i="6"/>
  <c r="L278" i="6"/>
  <c r="Q278" i="6"/>
  <c r="S278" i="6"/>
  <c r="K279" i="6"/>
  <c r="L279" i="6"/>
  <c r="M279" i="6" s="1"/>
  <c r="Q279" i="6"/>
  <c r="S279" i="6"/>
  <c r="K280" i="6"/>
  <c r="L280" i="6"/>
  <c r="M280" i="6"/>
  <c r="N280" i="6"/>
  <c r="Q280" i="6"/>
  <c r="R280" i="6"/>
  <c r="S280" i="6"/>
  <c r="K281" i="6"/>
  <c r="L281" i="6"/>
  <c r="M281" i="6"/>
  <c r="Q281" i="6"/>
  <c r="S281" i="6"/>
  <c r="K282" i="6"/>
  <c r="L282" i="6"/>
  <c r="Q282" i="6"/>
  <c r="S282" i="6"/>
  <c r="K283" i="6"/>
  <c r="L283" i="6"/>
  <c r="M283" i="6" s="1"/>
  <c r="Q283" i="6"/>
  <c r="S283" i="6"/>
  <c r="K284" i="6"/>
  <c r="L284" i="6"/>
  <c r="M284" i="6"/>
  <c r="N284" i="6"/>
  <c r="R284" i="6" s="1"/>
  <c r="Q284" i="6"/>
  <c r="S284" i="6"/>
  <c r="K285" i="6"/>
  <c r="L285" i="6"/>
  <c r="M285" i="6"/>
  <c r="Q285" i="6"/>
  <c r="S285" i="6"/>
  <c r="K286" i="6"/>
  <c r="L286" i="6"/>
  <c r="Q286" i="6"/>
  <c r="S286" i="6"/>
  <c r="K287" i="6"/>
  <c r="L287" i="6"/>
  <c r="M287" i="6" s="1"/>
  <c r="Q287" i="6"/>
  <c r="S287" i="6"/>
  <c r="K288" i="6"/>
  <c r="L288" i="6"/>
  <c r="M288" i="6"/>
  <c r="N288" i="6"/>
  <c r="Q288" i="6"/>
  <c r="R288" i="6"/>
  <c r="S288" i="6"/>
  <c r="K289" i="6"/>
  <c r="L289" i="6"/>
  <c r="M289" i="6"/>
  <c r="Q289" i="6"/>
  <c r="S289" i="6"/>
  <c r="K290" i="6"/>
  <c r="L290" i="6"/>
  <c r="Q290" i="6"/>
  <c r="S290" i="6"/>
  <c r="K291" i="6"/>
  <c r="L291" i="6"/>
  <c r="M291" i="6" s="1"/>
  <c r="Q291" i="6"/>
  <c r="S291" i="6"/>
  <c r="K292" i="6"/>
  <c r="L292" i="6"/>
  <c r="M292" i="6"/>
  <c r="N292" i="6"/>
  <c r="R292" i="6" s="1"/>
  <c r="Q292" i="6"/>
  <c r="S292" i="6"/>
  <c r="K293" i="6"/>
  <c r="L293" i="6"/>
  <c r="M293" i="6"/>
  <c r="Q293" i="6"/>
  <c r="S293" i="6"/>
  <c r="K294" i="6"/>
  <c r="L294" i="6"/>
  <c r="Q294" i="6"/>
  <c r="S294" i="6"/>
  <c r="K295" i="6"/>
  <c r="L295" i="6"/>
  <c r="M295" i="6" s="1"/>
  <c r="Q295" i="6"/>
  <c r="S295" i="6"/>
  <c r="K296" i="6"/>
  <c r="L296" i="6"/>
  <c r="M296" i="6"/>
  <c r="N296" i="6"/>
  <c r="Q296" i="6"/>
  <c r="R296" i="6"/>
  <c r="S296" i="6"/>
  <c r="K297" i="6"/>
  <c r="L297" i="6"/>
  <c r="M297" i="6"/>
  <c r="Q297" i="6"/>
  <c r="S297" i="6"/>
  <c r="K298" i="6"/>
  <c r="L298" i="6"/>
  <c r="Q298" i="6"/>
  <c r="S298" i="6"/>
  <c r="K299" i="6"/>
  <c r="L299" i="6"/>
  <c r="M299" i="6" s="1"/>
  <c r="O299" i="6" s="1"/>
  <c r="N299" i="6"/>
  <c r="R299" i="6" s="1"/>
  <c r="Q299" i="6"/>
  <c r="S299" i="6"/>
  <c r="K300" i="6"/>
  <c r="L300" i="6"/>
  <c r="M300" i="6"/>
  <c r="N300" i="6"/>
  <c r="R300" i="6" s="1"/>
  <c r="Q300" i="6"/>
  <c r="S300" i="6"/>
  <c r="K301" i="6"/>
  <c r="L301" i="6"/>
  <c r="M301" i="6"/>
  <c r="Q301" i="6"/>
  <c r="S301" i="6"/>
  <c r="K302" i="6"/>
  <c r="L302" i="6"/>
  <c r="Q302" i="6"/>
  <c r="S302" i="6"/>
  <c r="K303" i="6"/>
  <c r="L303" i="6"/>
  <c r="M303" i="6" s="1"/>
  <c r="N303" i="6"/>
  <c r="O303" i="6" s="1"/>
  <c r="Q303" i="6"/>
  <c r="S303" i="6"/>
  <c r="K304" i="6"/>
  <c r="L304" i="6"/>
  <c r="M304" i="6"/>
  <c r="N304" i="6"/>
  <c r="Q304" i="6"/>
  <c r="R304" i="6"/>
  <c r="S304" i="6"/>
  <c r="K305" i="6"/>
  <c r="L305" i="6"/>
  <c r="M305" i="6"/>
  <c r="Q305" i="6"/>
  <c r="S305" i="6"/>
  <c r="K306" i="6"/>
  <c r="L306" i="6"/>
  <c r="Q306" i="6"/>
  <c r="S306" i="6"/>
  <c r="K307" i="6"/>
  <c r="L307" i="6"/>
  <c r="M307" i="6" s="1"/>
  <c r="O307" i="6" s="1"/>
  <c r="N307" i="6"/>
  <c r="R307" i="6" s="1"/>
  <c r="Q307" i="6"/>
  <c r="S307" i="6"/>
  <c r="K308" i="6"/>
  <c r="L308" i="6"/>
  <c r="M308" i="6"/>
  <c r="N308" i="6"/>
  <c r="R308" i="6" s="1"/>
  <c r="Q308" i="6"/>
  <c r="S308" i="6"/>
  <c r="K309" i="6"/>
  <c r="L309" i="6"/>
  <c r="M309" i="6"/>
  <c r="Q309" i="6"/>
  <c r="S309" i="6"/>
  <c r="K310" i="6"/>
  <c r="L310" i="6"/>
  <c r="Q310" i="6"/>
  <c r="S310" i="6"/>
  <c r="K311" i="6"/>
  <c r="L311" i="6"/>
  <c r="M311" i="6" s="1"/>
  <c r="N311" i="6"/>
  <c r="O311" i="6" s="1"/>
  <c r="Q311" i="6"/>
  <c r="S311" i="6"/>
  <c r="K312" i="6"/>
  <c r="L312" i="6"/>
  <c r="M312" i="6"/>
  <c r="N312" i="6"/>
  <c r="Q312" i="6"/>
  <c r="R312" i="6"/>
  <c r="S312" i="6"/>
  <c r="K313" i="6"/>
  <c r="L313" i="6"/>
  <c r="M313" i="6"/>
  <c r="Q313" i="6"/>
  <c r="S313" i="6"/>
  <c r="K314" i="6"/>
  <c r="L314" i="6"/>
  <c r="Q314" i="6"/>
  <c r="S314" i="6"/>
  <c r="K315" i="6"/>
  <c r="L315" i="6"/>
  <c r="M315" i="6" s="1"/>
  <c r="O315" i="6" s="1"/>
  <c r="N315" i="6"/>
  <c r="R315" i="6" s="1"/>
  <c r="Q315" i="6"/>
  <c r="S315" i="6"/>
  <c r="K316" i="6"/>
  <c r="L316" i="6"/>
  <c r="M316" i="6"/>
  <c r="N316" i="6"/>
  <c r="R316" i="6" s="1"/>
  <c r="Q316" i="6"/>
  <c r="S316" i="6"/>
  <c r="K317" i="6"/>
  <c r="L317" i="6"/>
  <c r="M317" i="6"/>
  <c r="Q317" i="6"/>
  <c r="S317" i="6"/>
  <c r="K318" i="6"/>
  <c r="L318" i="6"/>
  <c r="Q318" i="6"/>
  <c r="S318" i="6"/>
  <c r="K319" i="6"/>
  <c r="L319" i="6"/>
  <c r="M319" i="6" s="1"/>
  <c r="N319" i="6"/>
  <c r="O319" i="6" s="1"/>
  <c r="Q319" i="6"/>
  <c r="S319" i="6"/>
  <c r="K320" i="6"/>
  <c r="L320" i="6"/>
  <c r="M320" i="6"/>
  <c r="N320" i="6"/>
  <c r="Q320" i="6"/>
  <c r="R320" i="6"/>
  <c r="S320" i="6"/>
  <c r="K321" i="6"/>
  <c r="L321" i="6"/>
  <c r="M321" i="6"/>
  <c r="Q321" i="6"/>
  <c r="S321" i="6"/>
  <c r="K322" i="6"/>
  <c r="L322" i="6"/>
  <c r="Q322" i="6"/>
  <c r="S322" i="6"/>
  <c r="K323" i="6"/>
  <c r="L323" i="6"/>
  <c r="M323" i="6" s="1"/>
  <c r="O323" i="6" s="1"/>
  <c r="N323" i="6"/>
  <c r="R323" i="6" s="1"/>
  <c r="Q323" i="6"/>
  <c r="S323" i="6"/>
  <c r="K324" i="6"/>
  <c r="L324" i="6"/>
  <c r="M324" i="6"/>
  <c r="N324" i="6"/>
  <c r="R324" i="6" s="1"/>
  <c r="Q324" i="6"/>
  <c r="S324" i="6"/>
  <c r="K325" i="6"/>
  <c r="L325" i="6"/>
  <c r="M325" i="6"/>
  <c r="Q325" i="6"/>
  <c r="S325" i="6"/>
  <c r="K326" i="6"/>
  <c r="L326" i="6"/>
  <c r="Q326" i="6"/>
  <c r="S326" i="6"/>
  <c r="K327" i="6"/>
  <c r="L327" i="6"/>
  <c r="M327" i="6" s="1"/>
  <c r="N327" i="6"/>
  <c r="O327" i="6" s="1"/>
  <c r="Q327" i="6"/>
  <c r="S327" i="6"/>
  <c r="K328" i="6"/>
  <c r="L328" i="6"/>
  <c r="M328" i="6"/>
  <c r="N328" i="6"/>
  <c r="R328" i="6" s="1"/>
  <c r="Q328" i="6"/>
  <c r="S328" i="6"/>
  <c r="K329" i="6"/>
  <c r="L329" i="6"/>
  <c r="M329" i="6"/>
  <c r="Q329" i="6"/>
  <c r="S329" i="6"/>
  <c r="K330" i="6"/>
  <c r="L330" i="6"/>
  <c r="Q330" i="6"/>
  <c r="S330" i="6"/>
  <c r="K331" i="6"/>
  <c r="L331" i="6"/>
  <c r="M331" i="6" s="1"/>
  <c r="O331" i="6" s="1"/>
  <c r="N331" i="6"/>
  <c r="R331" i="6" s="1"/>
  <c r="Q331" i="6"/>
  <c r="S331" i="6"/>
  <c r="K332" i="6"/>
  <c r="L332" i="6"/>
  <c r="M332" i="6"/>
  <c r="N332" i="6"/>
  <c r="R332" i="6" s="1"/>
  <c r="Q332" i="6"/>
  <c r="S332" i="6"/>
  <c r="K333" i="6"/>
  <c r="L333" i="6"/>
  <c r="M333" i="6"/>
  <c r="Q333" i="6"/>
  <c r="S333" i="6"/>
  <c r="K334" i="6"/>
  <c r="L334" i="6"/>
  <c r="Q334" i="6"/>
  <c r="S334" i="6"/>
  <c r="K335" i="6"/>
  <c r="L335" i="6"/>
  <c r="M335" i="6" s="1"/>
  <c r="N335" i="6"/>
  <c r="O335" i="6" s="1"/>
  <c r="Q335" i="6"/>
  <c r="S335" i="6"/>
  <c r="K336" i="6"/>
  <c r="L336" i="6"/>
  <c r="M336" i="6"/>
  <c r="N336" i="6"/>
  <c r="Q336" i="6"/>
  <c r="R336" i="6"/>
  <c r="S336" i="6"/>
  <c r="K337" i="6"/>
  <c r="L337" i="6"/>
  <c r="M337" i="6"/>
  <c r="Q337" i="6"/>
  <c r="S337" i="6"/>
  <c r="K338" i="6"/>
  <c r="L338" i="6"/>
  <c r="Q338" i="6"/>
  <c r="S338" i="6"/>
  <c r="K339" i="6"/>
  <c r="L339" i="6"/>
  <c r="M339" i="6" s="1"/>
  <c r="O339" i="6" s="1"/>
  <c r="N339" i="6"/>
  <c r="R339" i="6" s="1"/>
  <c r="Q339" i="6"/>
  <c r="S339" i="6"/>
  <c r="K340" i="6"/>
  <c r="L340" i="6"/>
  <c r="M340" i="6"/>
  <c r="N340" i="6"/>
  <c r="R340" i="6" s="1"/>
  <c r="Q340" i="6"/>
  <c r="S340" i="6"/>
  <c r="K341" i="6"/>
  <c r="L341" i="6"/>
  <c r="M341" i="6"/>
  <c r="Q341" i="6"/>
  <c r="S341" i="6"/>
  <c r="K342" i="6"/>
  <c r="L342" i="6"/>
  <c r="Q342" i="6"/>
  <c r="S342" i="6"/>
  <c r="K343" i="6"/>
  <c r="L343" i="6"/>
  <c r="M343" i="6" s="1"/>
  <c r="N343" i="6"/>
  <c r="O343" i="6" s="1"/>
  <c r="Q343" i="6"/>
  <c r="S343" i="6"/>
  <c r="K344" i="6"/>
  <c r="L344" i="6"/>
  <c r="M344" i="6"/>
  <c r="N344" i="6"/>
  <c r="R344" i="6" s="1"/>
  <c r="Q344" i="6"/>
  <c r="S344" i="6"/>
  <c r="K345" i="6"/>
  <c r="L345" i="6"/>
  <c r="M345" i="6"/>
  <c r="Q345" i="6"/>
  <c r="S345" i="6"/>
  <c r="K346" i="6"/>
  <c r="L346" i="6"/>
  <c r="Q346" i="6"/>
  <c r="S346" i="6"/>
  <c r="K347" i="6"/>
  <c r="L347" i="6"/>
  <c r="M347" i="6" s="1"/>
  <c r="O347" i="6" s="1"/>
  <c r="N347" i="6"/>
  <c r="R347" i="6" s="1"/>
  <c r="Q347" i="6"/>
  <c r="S347" i="6"/>
  <c r="K348" i="6"/>
  <c r="L348" i="6"/>
  <c r="M348" i="6"/>
  <c r="N348" i="6"/>
  <c r="R348" i="6" s="1"/>
  <c r="Q348" i="6"/>
  <c r="S348" i="6"/>
  <c r="K349" i="6"/>
  <c r="L349" i="6"/>
  <c r="M349" i="6"/>
  <c r="Q349" i="6"/>
  <c r="S349" i="6"/>
  <c r="K350" i="6"/>
  <c r="L350" i="6"/>
  <c r="M350" i="6" s="1"/>
  <c r="Q350" i="6"/>
  <c r="S350" i="6"/>
  <c r="K351" i="6"/>
  <c r="L351" i="6"/>
  <c r="M351" i="6" s="1"/>
  <c r="O351" i="6" s="1"/>
  <c r="N351" i="6"/>
  <c r="P351" i="6" s="1"/>
  <c r="Q351" i="6"/>
  <c r="R351" i="6"/>
  <c r="S351" i="6"/>
  <c r="K352" i="6"/>
  <c r="L352" i="6"/>
  <c r="M352" i="6"/>
  <c r="Q352" i="6"/>
  <c r="S352" i="6"/>
  <c r="K353" i="6"/>
  <c r="L353" i="6"/>
  <c r="M353" i="6" s="1"/>
  <c r="Q353" i="6"/>
  <c r="S353" i="6"/>
  <c r="K354" i="6"/>
  <c r="L354" i="6"/>
  <c r="M354" i="6"/>
  <c r="N354" i="6" s="1"/>
  <c r="Q354" i="6"/>
  <c r="S354" i="6"/>
  <c r="K355" i="6"/>
  <c r="L355" i="6"/>
  <c r="M355" i="6" s="1"/>
  <c r="Q355" i="6"/>
  <c r="S355" i="6"/>
  <c r="K356" i="6"/>
  <c r="L356" i="6"/>
  <c r="M356" i="6"/>
  <c r="Q356" i="6"/>
  <c r="S356" i="6"/>
  <c r="K357" i="6"/>
  <c r="L357" i="6"/>
  <c r="M357" i="6" s="1"/>
  <c r="Q357" i="6"/>
  <c r="S357" i="6"/>
  <c r="K358" i="6"/>
  <c r="L358" i="6"/>
  <c r="M358" i="6"/>
  <c r="N358" i="6" s="1"/>
  <c r="Q358" i="6"/>
  <c r="S358" i="6"/>
  <c r="K359" i="6"/>
  <c r="L359" i="6"/>
  <c r="M359" i="6" s="1"/>
  <c r="Q359" i="6"/>
  <c r="S359" i="6"/>
  <c r="K360" i="6"/>
  <c r="L360" i="6"/>
  <c r="M360" i="6"/>
  <c r="Q360" i="6"/>
  <c r="S360" i="6"/>
  <c r="K361" i="6"/>
  <c r="L361" i="6"/>
  <c r="M361" i="6" s="1"/>
  <c r="Q361" i="6"/>
  <c r="S361" i="6"/>
  <c r="K362" i="6"/>
  <c r="L362" i="6"/>
  <c r="M362" i="6"/>
  <c r="N362" i="6" s="1"/>
  <c r="Q362" i="6"/>
  <c r="S362" i="6"/>
  <c r="K363" i="6"/>
  <c r="L363" i="6"/>
  <c r="M363" i="6" s="1"/>
  <c r="Q363" i="6"/>
  <c r="S363" i="6"/>
  <c r="K364" i="6"/>
  <c r="L364" i="6"/>
  <c r="M364" i="6"/>
  <c r="Q364" i="6"/>
  <c r="S364" i="6"/>
  <c r="K365" i="6"/>
  <c r="L365" i="6"/>
  <c r="M365" i="6" s="1"/>
  <c r="Q365" i="6"/>
  <c r="S365" i="6"/>
  <c r="K366" i="6"/>
  <c r="L366" i="6"/>
  <c r="M366" i="6"/>
  <c r="N366" i="6" s="1"/>
  <c r="Q366" i="6"/>
  <c r="S366" i="6"/>
  <c r="K367" i="6"/>
  <c r="L367" i="6"/>
  <c r="M367" i="6" s="1"/>
  <c r="Q367" i="6"/>
  <c r="S367" i="6"/>
  <c r="K368" i="6"/>
  <c r="L368" i="6"/>
  <c r="M368" i="6"/>
  <c r="Q368" i="6"/>
  <c r="S368" i="6"/>
  <c r="K369" i="6"/>
  <c r="L369" i="6"/>
  <c r="M369" i="6" s="1"/>
  <c r="Q369" i="6"/>
  <c r="S369" i="6"/>
  <c r="K370" i="6"/>
  <c r="L370" i="6"/>
  <c r="M370" i="6"/>
  <c r="N370" i="6" s="1"/>
  <c r="Q370" i="6"/>
  <c r="S370" i="6"/>
  <c r="K371" i="6"/>
  <c r="L371" i="6"/>
  <c r="M371" i="6" s="1"/>
  <c r="Q371" i="6"/>
  <c r="S371" i="6"/>
  <c r="K372" i="6"/>
  <c r="L372" i="6"/>
  <c r="M372" i="6"/>
  <c r="Q372" i="6"/>
  <c r="S372" i="6"/>
  <c r="K373" i="6"/>
  <c r="L373" i="6"/>
  <c r="M373" i="6" s="1"/>
  <c r="Q373" i="6"/>
  <c r="S373" i="6"/>
  <c r="K374" i="6"/>
  <c r="L374" i="6"/>
  <c r="M374" i="6"/>
  <c r="N374" i="6" s="1"/>
  <c r="Q374" i="6"/>
  <c r="S374" i="6"/>
  <c r="K375" i="6"/>
  <c r="L375" i="6"/>
  <c r="M375" i="6" s="1"/>
  <c r="Q375" i="6"/>
  <c r="S375" i="6"/>
  <c r="K376" i="6"/>
  <c r="L376" i="6"/>
  <c r="M376" i="6"/>
  <c r="Q376" i="6"/>
  <c r="S376" i="6"/>
  <c r="K377" i="6"/>
  <c r="L377" i="6"/>
  <c r="M377" i="6" s="1"/>
  <c r="Q377" i="6"/>
  <c r="S377" i="6"/>
  <c r="K378" i="6"/>
  <c r="L378" i="6"/>
  <c r="M378" i="6"/>
  <c r="N378" i="6" s="1"/>
  <c r="Q378" i="6"/>
  <c r="S378" i="6"/>
  <c r="K379" i="6"/>
  <c r="L379" i="6"/>
  <c r="M379" i="6" s="1"/>
  <c r="Q379" i="6"/>
  <c r="S379" i="6"/>
  <c r="K380" i="6"/>
  <c r="L380" i="6"/>
  <c r="M380" i="6"/>
  <c r="Q380" i="6"/>
  <c r="S380" i="6"/>
  <c r="K381" i="6"/>
  <c r="L381" i="6"/>
  <c r="M381" i="6" s="1"/>
  <c r="Q381" i="6"/>
  <c r="S381" i="6"/>
  <c r="K382" i="6"/>
  <c r="L382" i="6"/>
  <c r="M382" i="6"/>
  <c r="N382" i="6" s="1"/>
  <c r="Q382" i="6"/>
  <c r="S382" i="6"/>
  <c r="K383" i="6"/>
  <c r="L383" i="6"/>
  <c r="M383" i="6" s="1"/>
  <c r="Q383" i="6"/>
  <c r="S383" i="6"/>
  <c r="K384" i="6"/>
  <c r="L384" i="6"/>
  <c r="M384" i="6"/>
  <c r="Q384" i="6"/>
  <c r="S384" i="6"/>
  <c r="K385" i="6"/>
  <c r="L385" i="6"/>
  <c r="M385" i="6" s="1"/>
  <c r="Q385" i="6"/>
  <c r="S385" i="6"/>
  <c r="K386" i="6"/>
  <c r="L386" i="6"/>
  <c r="M386" i="6"/>
  <c r="N386" i="6" s="1"/>
  <c r="O386" i="6" s="1"/>
  <c r="Q386" i="6"/>
  <c r="R386" i="6" s="1"/>
  <c r="S386" i="6"/>
  <c r="K387" i="6"/>
  <c r="L387" i="6"/>
  <c r="M387" i="6" s="1"/>
  <c r="Q387" i="6"/>
  <c r="S387" i="6"/>
  <c r="K388" i="6"/>
  <c r="L388" i="6"/>
  <c r="M388" i="6"/>
  <c r="Q388" i="6"/>
  <c r="S388" i="6"/>
  <c r="K389" i="6"/>
  <c r="L389" i="6"/>
  <c r="M389" i="6" s="1"/>
  <c r="Q389" i="6"/>
  <c r="S389" i="6"/>
  <c r="K390" i="6"/>
  <c r="L390" i="6"/>
  <c r="M390" i="6"/>
  <c r="N390" i="6" s="1"/>
  <c r="Q390" i="6"/>
  <c r="S390" i="6"/>
  <c r="K391" i="6"/>
  <c r="L391" i="6"/>
  <c r="M391" i="6" s="1"/>
  <c r="Q391" i="6"/>
  <c r="S391" i="6"/>
  <c r="K392" i="6"/>
  <c r="L392" i="6"/>
  <c r="M392" i="6"/>
  <c r="Q392" i="6"/>
  <c r="S392" i="6"/>
  <c r="K393" i="6"/>
  <c r="L393" i="6"/>
  <c r="M393" i="6" s="1"/>
  <c r="Q393" i="6"/>
  <c r="S393" i="6"/>
  <c r="K394" i="6"/>
  <c r="L394" i="6"/>
  <c r="M394" i="6"/>
  <c r="N394" i="6" s="1"/>
  <c r="Q394" i="6"/>
  <c r="S394" i="6"/>
  <c r="K395" i="6"/>
  <c r="L395" i="6"/>
  <c r="M395" i="6" s="1"/>
  <c r="Q395" i="6"/>
  <c r="S395" i="6"/>
  <c r="K396" i="6"/>
  <c r="L396" i="6"/>
  <c r="M396" i="6"/>
  <c r="Q396" i="6"/>
  <c r="S396" i="6"/>
  <c r="K397" i="6"/>
  <c r="L397" i="6"/>
  <c r="M397" i="6" s="1"/>
  <c r="Q397" i="6"/>
  <c r="S397" i="6"/>
  <c r="K398" i="6"/>
  <c r="L398" i="6"/>
  <c r="M398" i="6"/>
  <c r="N398" i="6" s="1"/>
  <c r="Q398" i="6"/>
  <c r="S398" i="6"/>
  <c r="K399" i="6"/>
  <c r="L399" i="6"/>
  <c r="M399" i="6" s="1"/>
  <c r="Q399" i="6"/>
  <c r="S399" i="6"/>
  <c r="K400" i="6"/>
  <c r="L400" i="6"/>
  <c r="M400" i="6"/>
  <c r="Q400" i="6"/>
  <c r="S400" i="6"/>
  <c r="K401" i="6"/>
  <c r="L401" i="6"/>
  <c r="M401" i="6" s="1"/>
  <c r="Q401" i="6"/>
  <c r="S401" i="6"/>
  <c r="K402" i="6"/>
  <c r="L402" i="6"/>
  <c r="R402" i="6" s="1"/>
  <c r="M402" i="6"/>
  <c r="N402" i="6" s="1"/>
  <c r="O402" i="6" s="1"/>
  <c r="Q402" i="6"/>
  <c r="S402" i="6"/>
  <c r="K403" i="6"/>
  <c r="L403" i="6"/>
  <c r="M403" i="6" s="1"/>
  <c r="Q403" i="6"/>
  <c r="R403" i="6"/>
  <c r="S403" i="6"/>
  <c r="K404" i="6"/>
  <c r="L404" i="6"/>
  <c r="R404" i="6" s="1"/>
  <c r="M404" i="6"/>
  <c r="Q404" i="6"/>
  <c r="S404" i="6"/>
  <c r="K405" i="6"/>
  <c r="L405" i="6"/>
  <c r="M405" i="6" s="1"/>
  <c r="Q405" i="6"/>
  <c r="S405" i="6"/>
  <c r="K406" i="6"/>
  <c r="L406" i="6"/>
  <c r="R406" i="6" s="1"/>
  <c r="Q406" i="6"/>
  <c r="S406" i="6"/>
  <c r="K407" i="6"/>
  <c r="L407" i="6"/>
  <c r="M407" i="6" s="1"/>
  <c r="Q407" i="6"/>
  <c r="R407" i="6"/>
  <c r="S407" i="6"/>
  <c r="K408" i="6"/>
  <c r="L408" i="6"/>
  <c r="R408" i="6" s="1"/>
  <c r="M408" i="6"/>
  <c r="Q408" i="6"/>
  <c r="S408" i="6"/>
  <c r="K409" i="6"/>
  <c r="L409" i="6"/>
  <c r="M409" i="6" s="1"/>
  <c r="Q409" i="6"/>
  <c r="S409" i="6"/>
  <c r="K410" i="6"/>
  <c r="L410" i="6"/>
  <c r="R410" i="6" s="1"/>
  <c r="M410" i="6"/>
  <c r="N410" i="6" s="1"/>
  <c r="O410" i="6" s="1"/>
  <c r="Q410" i="6"/>
  <c r="S410" i="6"/>
  <c r="K411" i="6"/>
  <c r="L411" i="6"/>
  <c r="M411" i="6" s="1"/>
  <c r="Q411" i="6"/>
  <c r="R411" i="6"/>
  <c r="S411" i="6"/>
  <c r="K412" i="6"/>
  <c r="L412" i="6"/>
  <c r="R412" i="6" s="1"/>
  <c r="M412" i="6"/>
  <c r="Q412" i="6"/>
  <c r="S412" i="6"/>
  <c r="K413" i="6"/>
  <c r="L413" i="6"/>
  <c r="M413" i="6" s="1"/>
  <c r="Q413" i="6"/>
  <c r="S413" i="6"/>
  <c r="K414" i="6"/>
  <c r="L414" i="6"/>
  <c r="R414" i="6" s="1"/>
  <c r="M414" i="6"/>
  <c r="N414" i="6" s="1"/>
  <c r="O414" i="6" s="1"/>
  <c r="Q414" i="6"/>
  <c r="S414" i="6"/>
  <c r="K415" i="6"/>
  <c r="L415" i="6"/>
  <c r="M415" i="6" s="1"/>
  <c r="Q415" i="6"/>
  <c r="S415" i="6"/>
  <c r="K416" i="6"/>
  <c r="L416" i="6"/>
  <c r="R416" i="6" s="1"/>
  <c r="M416" i="6"/>
  <c r="Q416" i="6"/>
  <c r="S416" i="6"/>
  <c r="K417" i="6"/>
  <c r="L417" i="6"/>
  <c r="M417" i="6" s="1"/>
  <c r="Q417" i="6"/>
  <c r="S417" i="6"/>
  <c r="K418" i="6"/>
  <c r="L418" i="6"/>
  <c r="R418" i="6" s="1"/>
  <c r="M418" i="6"/>
  <c r="N418" i="6" s="1"/>
  <c r="O418" i="6" s="1"/>
  <c r="Q418" i="6"/>
  <c r="S418" i="6"/>
  <c r="K419" i="6"/>
  <c r="L419" i="6"/>
  <c r="M419" i="6" s="1"/>
  <c r="Q419" i="6"/>
  <c r="S419" i="6"/>
  <c r="K420" i="6"/>
  <c r="L420" i="6"/>
  <c r="R420" i="6" s="1"/>
  <c r="M420" i="6"/>
  <c r="Q420" i="6"/>
  <c r="S420" i="6"/>
  <c r="K421" i="6"/>
  <c r="L421" i="6"/>
  <c r="M421" i="6" s="1"/>
  <c r="Q421" i="6"/>
  <c r="S421" i="6"/>
  <c r="K422" i="6"/>
  <c r="L422" i="6"/>
  <c r="R422" i="6" s="1"/>
  <c r="M422" i="6"/>
  <c r="N422" i="6" s="1"/>
  <c r="O422" i="6" s="1"/>
  <c r="Q422" i="6"/>
  <c r="S422" i="6"/>
  <c r="K423" i="6"/>
  <c r="L423" i="6"/>
  <c r="M423" i="6" s="1"/>
  <c r="Q423" i="6"/>
  <c r="S423" i="6"/>
  <c r="K424" i="6"/>
  <c r="L424" i="6"/>
  <c r="R424" i="6" s="1"/>
  <c r="M424" i="6"/>
  <c r="Q424" i="6"/>
  <c r="S424" i="6"/>
  <c r="K425" i="6"/>
  <c r="L425" i="6"/>
  <c r="M425" i="6" s="1"/>
  <c r="Q425" i="6"/>
  <c r="S425" i="6"/>
  <c r="K426" i="6"/>
  <c r="L426" i="6"/>
  <c r="R426" i="6" s="1"/>
  <c r="M426" i="6"/>
  <c r="N426" i="6" s="1"/>
  <c r="O426" i="6"/>
  <c r="Q426" i="6"/>
  <c r="S426" i="6"/>
  <c r="K427" i="6"/>
  <c r="L427" i="6"/>
  <c r="M427" i="6" s="1"/>
  <c r="Q427" i="6"/>
  <c r="R427" i="6"/>
  <c r="S427" i="6"/>
  <c r="K428" i="6"/>
  <c r="L428" i="6"/>
  <c r="M428" i="6"/>
  <c r="Q428" i="6"/>
  <c r="S428" i="6"/>
  <c r="K429" i="6"/>
  <c r="L429" i="6"/>
  <c r="M429" i="6" s="1"/>
  <c r="P429" i="6" s="1"/>
  <c r="N429" i="6"/>
  <c r="Q429" i="6"/>
  <c r="R429" i="6"/>
  <c r="S429" i="6"/>
  <c r="K430" i="6"/>
  <c r="L430" i="6"/>
  <c r="R430" i="6" s="1"/>
  <c r="M430" i="6"/>
  <c r="Q430" i="6"/>
  <c r="S430" i="6"/>
  <c r="K431" i="6"/>
  <c r="L431" i="6"/>
  <c r="M431" i="6" s="1"/>
  <c r="N431" i="6" s="1"/>
  <c r="P431" i="6" s="1"/>
  <c r="Q431" i="6"/>
  <c r="R431" i="6"/>
  <c r="S431" i="6"/>
  <c r="K432" i="6"/>
  <c r="L432" i="6"/>
  <c r="M432" i="6"/>
  <c r="N432" i="6" s="1"/>
  <c r="P432" i="6"/>
  <c r="Q432" i="6"/>
  <c r="S432" i="6"/>
  <c r="K433" i="6"/>
  <c r="L433" i="6"/>
  <c r="M433" i="6" s="1"/>
  <c r="N433" i="6" s="1"/>
  <c r="Q433" i="6"/>
  <c r="S433" i="6"/>
  <c r="K434" i="6"/>
  <c r="L434" i="6"/>
  <c r="M434" i="6" s="1"/>
  <c r="Q434" i="6"/>
  <c r="S434" i="6"/>
  <c r="K435" i="6"/>
  <c r="L435" i="6"/>
  <c r="R435" i="6" s="1"/>
  <c r="M435" i="6"/>
  <c r="Q435" i="6"/>
  <c r="S435" i="6"/>
  <c r="K436" i="6"/>
  <c r="L436" i="6"/>
  <c r="M436" i="6" s="1"/>
  <c r="Q436" i="6"/>
  <c r="R436" i="6"/>
  <c r="S436" i="6"/>
  <c r="K437" i="6"/>
  <c r="L437" i="6"/>
  <c r="M437" i="6"/>
  <c r="N437" i="6" s="1"/>
  <c r="Q437" i="6"/>
  <c r="R437" i="6" s="1"/>
  <c r="S437" i="6"/>
  <c r="K438" i="6"/>
  <c r="L438" i="6"/>
  <c r="M438" i="6" s="1"/>
  <c r="Q438" i="6"/>
  <c r="S438" i="6"/>
  <c r="K439" i="6"/>
  <c r="L439" i="6"/>
  <c r="R439" i="6" s="1"/>
  <c r="M439" i="6"/>
  <c r="Q439" i="6"/>
  <c r="S439" i="6"/>
  <c r="K440" i="6"/>
  <c r="L440" i="6"/>
  <c r="M440" i="6" s="1"/>
  <c r="Q440" i="6"/>
  <c r="R440" i="6"/>
  <c r="S440" i="6"/>
  <c r="K441" i="6"/>
  <c r="L441" i="6"/>
  <c r="M441" i="6"/>
  <c r="N441" i="6" s="1"/>
  <c r="Q441" i="6"/>
  <c r="R441" i="6" s="1"/>
  <c r="S441" i="6"/>
  <c r="K442" i="6"/>
  <c r="L442" i="6"/>
  <c r="M442" i="6" s="1"/>
  <c r="Q442" i="6"/>
  <c r="S442" i="6"/>
  <c r="K443" i="6"/>
  <c r="L443" i="6"/>
  <c r="R443" i="6" s="1"/>
  <c r="M443" i="6"/>
  <c r="Q443" i="6"/>
  <c r="S443" i="6"/>
  <c r="K444" i="6"/>
  <c r="L444" i="6"/>
  <c r="M444" i="6" s="1"/>
  <c r="Q444" i="6"/>
  <c r="R444" i="6"/>
  <c r="S444" i="6"/>
  <c r="K445" i="6"/>
  <c r="L445" i="6"/>
  <c r="M445" i="6"/>
  <c r="N445" i="6" s="1"/>
  <c r="Q445" i="6"/>
  <c r="R445" i="6" s="1"/>
  <c r="S445" i="6"/>
  <c r="K446" i="6"/>
  <c r="L446" i="6"/>
  <c r="M446" i="6" s="1"/>
  <c r="Q446" i="6"/>
  <c r="S446" i="6"/>
  <c r="K447" i="6"/>
  <c r="L447" i="6"/>
  <c r="R447" i="6" s="1"/>
  <c r="M447" i="6"/>
  <c r="Q447" i="6"/>
  <c r="S447" i="6"/>
  <c r="K448" i="6"/>
  <c r="L448" i="6"/>
  <c r="M448" i="6" s="1"/>
  <c r="Q448" i="6"/>
  <c r="R448" i="6"/>
  <c r="S448" i="6"/>
  <c r="K449" i="6"/>
  <c r="L449" i="6"/>
  <c r="M449" i="6"/>
  <c r="N449" i="6" s="1"/>
  <c r="Q449" i="6"/>
  <c r="R449" i="6" s="1"/>
  <c r="S449" i="6"/>
  <c r="K450" i="6"/>
  <c r="L450" i="6"/>
  <c r="M450" i="6" s="1"/>
  <c r="Q450" i="6"/>
  <c r="S450" i="6"/>
  <c r="K451" i="6"/>
  <c r="L451" i="6"/>
  <c r="R451" i="6" s="1"/>
  <c r="M451" i="6"/>
  <c r="Q451" i="6"/>
  <c r="S451" i="6"/>
  <c r="K452" i="6"/>
  <c r="L452" i="6"/>
  <c r="M452" i="6" s="1"/>
  <c r="Q452" i="6"/>
  <c r="R452" i="6"/>
  <c r="S452" i="6"/>
  <c r="K453" i="6"/>
  <c r="L453" i="6"/>
  <c r="M453" i="6"/>
  <c r="N453" i="6" s="1"/>
  <c r="Q453" i="6"/>
  <c r="R453" i="6" s="1"/>
  <c r="S453" i="6"/>
  <c r="K454" i="6"/>
  <c r="L454" i="6"/>
  <c r="M454" i="6" s="1"/>
  <c r="Q454" i="6"/>
  <c r="S454" i="6"/>
  <c r="K455" i="6"/>
  <c r="L455" i="6"/>
  <c r="R455" i="6" s="1"/>
  <c r="M455" i="6"/>
  <c r="Q455" i="6"/>
  <c r="S455" i="6"/>
  <c r="K456" i="6"/>
  <c r="L456" i="6"/>
  <c r="M456" i="6" s="1"/>
  <c r="Q456" i="6"/>
  <c r="R456" i="6"/>
  <c r="S456" i="6"/>
  <c r="K457" i="6"/>
  <c r="L457" i="6"/>
  <c r="M457" i="6"/>
  <c r="N457" i="6" s="1"/>
  <c r="Q457" i="6"/>
  <c r="R457" i="6" s="1"/>
  <c r="S457" i="6"/>
  <c r="K458" i="6"/>
  <c r="L458" i="6"/>
  <c r="M458" i="6" s="1"/>
  <c r="Q458" i="6"/>
  <c r="S458" i="6"/>
  <c r="K459" i="6"/>
  <c r="L459" i="6"/>
  <c r="R459" i="6" s="1"/>
  <c r="M459" i="6"/>
  <c r="Q459" i="6"/>
  <c r="S459" i="6"/>
  <c r="K460" i="6"/>
  <c r="L460" i="6"/>
  <c r="M460" i="6" s="1"/>
  <c r="Q460" i="6"/>
  <c r="R460" i="6"/>
  <c r="S460" i="6"/>
  <c r="K461" i="6"/>
  <c r="L461" i="6"/>
  <c r="M461" i="6"/>
  <c r="N461" i="6" s="1"/>
  <c r="Q461" i="6"/>
  <c r="R461" i="6" s="1"/>
  <c r="S461" i="6"/>
  <c r="K462" i="6"/>
  <c r="L462" i="6"/>
  <c r="M462" i="6" s="1"/>
  <c r="Q462" i="6"/>
  <c r="S462" i="6"/>
  <c r="K463" i="6"/>
  <c r="L463" i="6"/>
  <c r="R463" i="6" s="1"/>
  <c r="M463" i="6"/>
  <c r="Q463" i="6"/>
  <c r="S463" i="6"/>
  <c r="K464" i="6"/>
  <c r="L464" i="6"/>
  <c r="M464" i="6" s="1"/>
  <c r="Q464" i="6"/>
  <c r="R464" i="6"/>
  <c r="S464" i="6"/>
  <c r="K465" i="6"/>
  <c r="L465" i="6"/>
  <c r="M465" i="6"/>
  <c r="N465" i="6" s="1"/>
  <c r="Q465" i="6"/>
  <c r="R465" i="6" s="1"/>
  <c r="S465" i="6"/>
  <c r="K466" i="6"/>
  <c r="L466" i="6"/>
  <c r="M466" i="6" s="1"/>
  <c r="Q466" i="6"/>
  <c r="S466" i="6"/>
  <c r="K467" i="6"/>
  <c r="L467" i="6"/>
  <c r="R467" i="6" s="1"/>
  <c r="M467" i="6"/>
  <c r="Q467" i="6"/>
  <c r="S467" i="6"/>
  <c r="K468" i="6"/>
  <c r="L468" i="6"/>
  <c r="M468" i="6" s="1"/>
  <c r="Q468" i="6"/>
  <c r="R468" i="6"/>
  <c r="S468" i="6"/>
  <c r="K469" i="6"/>
  <c r="L469" i="6"/>
  <c r="M469" i="6"/>
  <c r="N469" i="6" s="1"/>
  <c r="Q469" i="6"/>
  <c r="R469" i="6" s="1"/>
  <c r="S469" i="6"/>
  <c r="K470" i="6"/>
  <c r="L470" i="6"/>
  <c r="M470" i="6" s="1"/>
  <c r="Q470" i="6"/>
  <c r="S470" i="6"/>
  <c r="K471" i="6"/>
  <c r="L471" i="6"/>
  <c r="R471" i="6" s="1"/>
  <c r="M471" i="6"/>
  <c r="Q471" i="6"/>
  <c r="S471" i="6"/>
  <c r="K472" i="6"/>
  <c r="L472" i="6"/>
  <c r="M472" i="6" s="1"/>
  <c r="Q472" i="6"/>
  <c r="R472" i="6"/>
  <c r="S472" i="6"/>
  <c r="K473" i="6"/>
  <c r="L473" i="6"/>
  <c r="M473" i="6"/>
  <c r="N473" i="6" s="1"/>
  <c r="Q473" i="6"/>
  <c r="R473" i="6" s="1"/>
  <c r="S473" i="6"/>
  <c r="K474" i="6"/>
  <c r="L474" i="6"/>
  <c r="M474" i="6" s="1"/>
  <c r="Q474" i="6"/>
  <c r="S474" i="6"/>
  <c r="K475" i="6"/>
  <c r="L475" i="6"/>
  <c r="R475" i="6" s="1"/>
  <c r="M475" i="6"/>
  <c r="Q475" i="6"/>
  <c r="S475" i="6"/>
  <c r="K476" i="6"/>
  <c r="L476" i="6"/>
  <c r="M476" i="6" s="1"/>
  <c r="Q476" i="6"/>
  <c r="R476" i="6"/>
  <c r="S476" i="6"/>
  <c r="K477" i="6"/>
  <c r="L477" i="6"/>
  <c r="M477" i="6"/>
  <c r="N477" i="6" s="1"/>
  <c r="Q477" i="6"/>
  <c r="R477" i="6" s="1"/>
  <c r="S477" i="6"/>
  <c r="K478" i="6"/>
  <c r="L478" i="6"/>
  <c r="M478" i="6" s="1"/>
  <c r="Q478" i="6"/>
  <c r="S478" i="6"/>
  <c r="K479" i="6"/>
  <c r="L479" i="6"/>
  <c r="R479" i="6" s="1"/>
  <c r="M479" i="6"/>
  <c r="Q479" i="6"/>
  <c r="S479" i="6"/>
  <c r="K480" i="6"/>
  <c r="L480" i="6"/>
  <c r="M480" i="6" s="1"/>
  <c r="Q480" i="6"/>
  <c r="R480" i="6"/>
  <c r="S480" i="6"/>
  <c r="K481" i="6"/>
  <c r="L481" i="6"/>
  <c r="M481" i="6"/>
  <c r="N481" i="6" s="1"/>
  <c r="Q481" i="6"/>
  <c r="R481" i="6" s="1"/>
  <c r="S481" i="6"/>
  <c r="K482" i="6"/>
  <c r="L482" i="6"/>
  <c r="M482" i="6" s="1"/>
  <c r="Q482" i="6"/>
  <c r="S482" i="6"/>
  <c r="K483" i="6"/>
  <c r="L483" i="6"/>
  <c r="R483" i="6" s="1"/>
  <c r="M483" i="6"/>
  <c r="Q483" i="6"/>
  <c r="S483" i="6"/>
  <c r="K484" i="6"/>
  <c r="L484" i="6"/>
  <c r="M484" i="6" s="1"/>
  <c r="Q484" i="6"/>
  <c r="R484" i="6"/>
  <c r="S484" i="6"/>
  <c r="K485" i="6"/>
  <c r="L485" i="6"/>
  <c r="M485" i="6"/>
  <c r="Q485" i="6"/>
  <c r="R485" i="6" s="1"/>
  <c r="S485" i="6"/>
  <c r="K486" i="6"/>
  <c r="L486" i="6"/>
  <c r="Q486" i="6"/>
  <c r="S486" i="6"/>
  <c r="K487" i="6"/>
  <c r="L487" i="6"/>
  <c r="R487" i="6" s="1"/>
  <c r="M487" i="6"/>
  <c r="Q487" i="6"/>
  <c r="S487" i="6"/>
  <c r="K488" i="6"/>
  <c r="L488" i="6"/>
  <c r="M488" i="6" s="1"/>
  <c r="N488" i="6"/>
  <c r="Q488" i="6"/>
  <c r="R488" i="6"/>
  <c r="S488" i="6"/>
  <c r="K489" i="6"/>
  <c r="L489" i="6"/>
  <c r="M489" i="6"/>
  <c r="Q489" i="6"/>
  <c r="R489" i="6" s="1"/>
  <c r="S489" i="6"/>
  <c r="K490" i="6"/>
  <c r="L490" i="6"/>
  <c r="Q490" i="6"/>
  <c r="S490" i="6"/>
  <c r="K491" i="6"/>
  <c r="L491" i="6"/>
  <c r="R491" i="6" s="1"/>
  <c r="M491" i="6"/>
  <c r="Q491" i="6"/>
  <c r="S491" i="6"/>
  <c r="K492" i="6"/>
  <c r="L492" i="6"/>
  <c r="M492" i="6" s="1"/>
  <c r="Q492" i="6"/>
  <c r="R492" i="6"/>
  <c r="S492" i="6"/>
  <c r="K493" i="6"/>
  <c r="L493" i="6"/>
  <c r="M493" i="6"/>
  <c r="Q493" i="6"/>
  <c r="R493" i="6" s="1"/>
  <c r="S493" i="6"/>
  <c r="K494" i="6"/>
  <c r="L494" i="6"/>
  <c r="Q494" i="6"/>
  <c r="S494" i="6"/>
  <c r="K495" i="6"/>
  <c r="L495" i="6"/>
  <c r="R495" i="6" s="1"/>
  <c r="M495" i="6"/>
  <c r="Q495" i="6"/>
  <c r="S495" i="6"/>
  <c r="K496" i="6"/>
  <c r="L496" i="6"/>
  <c r="M496" i="6" s="1"/>
  <c r="N496" i="6"/>
  <c r="Q496" i="6"/>
  <c r="R496" i="6"/>
  <c r="S496" i="6"/>
  <c r="K497" i="6"/>
  <c r="L497" i="6"/>
  <c r="M497" i="6"/>
  <c r="Q497" i="6"/>
  <c r="R497" i="6" s="1"/>
  <c r="S497" i="6"/>
  <c r="K498" i="6"/>
  <c r="L498" i="6"/>
  <c r="Q498" i="6"/>
  <c r="S498" i="6"/>
  <c r="K499" i="6"/>
  <c r="L499" i="6"/>
  <c r="R499" i="6" s="1"/>
  <c r="M499" i="6"/>
  <c r="Q499" i="6"/>
  <c r="S499" i="6"/>
  <c r="K500" i="6"/>
  <c r="L500" i="6"/>
  <c r="M500" i="6" s="1"/>
  <c r="Q500" i="6"/>
  <c r="R500" i="6"/>
  <c r="S500" i="6"/>
  <c r="K501" i="6"/>
  <c r="L501" i="6"/>
  <c r="M501" i="6"/>
  <c r="Q501" i="6"/>
  <c r="R501" i="6" s="1"/>
  <c r="S501" i="6"/>
  <c r="T3" i="12"/>
  <c r="U3" i="12"/>
  <c r="V3" i="12"/>
  <c r="W3" i="12"/>
  <c r="X3" i="12"/>
  <c r="Y3" i="12"/>
  <c r="Z3" i="12"/>
  <c r="AJ3" i="12"/>
  <c r="AK3" i="12" s="1"/>
  <c r="AL3" i="12"/>
  <c r="T4" i="12"/>
  <c r="U4" i="12"/>
  <c r="V4" i="12"/>
  <c r="W4" i="12"/>
  <c r="X4" i="12"/>
  <c r="Y4" i="12"/>
  <c r="Z4" i="12"/>
  <c r="AL4" i="12"/>
  <c r="T5" i="12"/>
  <c r="V5" i="12" s="1"/>
  <c r="U5" i="12"/>
  <c r="W5" i="12"/>
  <c r="X5" i="12"/>
  <c r="Y5" i="12"/>
  <c r="Z5" i="12"/>
  <c r="AJ5" i="12"/>
  <c r="AK5" i="12" s="1"/>
  <c r="AL5" i="12"/>
  <c r="T6" i="12"/>
  <c r="U6" i="12"/>
  <c r="V6" i="12"/>
  <c r="W6" i="12"/>
  <c r="X6" i="12"/>
  <c r="Y6" i="12"/>
  <c r="Z6" i="12"/>
  <c r="AJ6" i="12"/>
  <c r="AK6" i="12" s="1"/>
  <c r="AL6" i="12"/>
  <c r="T7" i="12"/>
  <c r="U7" i="12"/>
  <c r="V7" i="12"/>
  <c r="W7" i="12"/>
  <c r="X7" i="12"/>
  <c r="Y7" i="12"/>
  <c r="Z7" i="12"/>
  <c r="AL7" i="12"/>
  <c r="T8" i="12"/>
  <c r="U8" i="12"/>
  <c r="V8" i="12"/>
  <c r="W8" i="12"/>
  <c r="X8" i="12"/>
  <c r="Y8" i="12"/>
  <c r="Z8" i="12"/>
  <c r="AL8" i="12"/>
  <c r="T9" i="12"/>
  <c r="U9" i="12"/>
  <c r="V9" i="12"/>
  <c r="W9" i="12"/>
  <c r="X9" i="12"/>
  <c r="Y9" i="12"/>
  <c r="Z9" i="12"/>
  <c r="AJ9" i="12"/>
  <c r="AK9" i="12" s="1"/>
  <c r="AL9" i="12"/>
  <c r="T10" i="12"/>
  <c r="V10" i="12" s="1"/>
  <c r="U10" i="12"/>
  <c r="W10" i="12"/>
  <c r="X10" i="12"/>
  <c r="Y10" i="12"/>
  <c r="Z10" i="12"/>
  <c r="AJ10" i="12"/>
  <c r="AK10" i="12" s="1"/>
  <c r="AL10" i="12"/>
  <c r="T11" i="12"/>
  <c r="U11" i="12"/>
  <c r="V11" i="12"/>
  <c r="W11" i="12"/>
  <c r="X11" i="12"/>
  <c r="Y11" i="12"/>
  <c r="Z11" i="12"/>
  <c r="AL11" i="12"/>
  <c r="T12" i="12"/>
  <c r="U12" i="12"/>
  <c r="V12" i="12"/>
  <c r="W12" i="12"/>
  <c r="X12" i="12"/>
  <c r="Y12" i="12"/>
  <c r="Z12" i="12"/>
  <c r="AL12" i="12"/>
  <c r="T13" i="12"/>
  <c r="U13" i="12"/>
  <c r="V13" i="12"/>
  <c r="W13" i="12"/>
  <c r="X13" i="12"/>
  <c r="Y13" i="12"/>
  <c r="Z13" i="12"/>
  <c r="AL13" i="12"/>
  <c r="T14" i="12"/>
  <c r="U14" i="12"/>
  <c r="W14" i="12"/>
  <c r="X14" i="12"/>
  <c r="Y14" i="12"/>
  <c r="Z14" i="12"/>
  <c r="AL14" i="12"/>
  <c r="T15" i="12"/>
  <c r="U15" i="12"/>
  <c r="W15" i="12"/>
  <c r="X15" i="12"/>
  <c r="Y15" i="12"/>
  <c r="Z15" i="12"/>
  <c r="AJ15" i="12"/>
  <c r="AK15" i="12" s="1"/>
  <c r="AL15" i="12"/>
  <c r="T16" i="12"/>
  <c r="U16" i="12"/>
  <c r="V16" i="12"/>
  <c r="W16" i="12"/>
  <c r="X16" i="12"/>
  <c r="Y16" i="12"/>
  <c r="Z16" i="12"/>
  <c r="AL16" i="12"/>
  <c r="T17" i="12"/>
  <c r="U17" i="12"/>
  <c r="V17" i="12"/>
  <c r="X17" i="12"/>
  <c r="Y17" i="12"/>
  <c r="Z17" i="12"/>
  <c r="AL17" i="12"/>
  <c r="T18" i="12"/>
  <c r="U18" i="12" s="1"/>
  <c r="V18" i="12"/>
  <c r="W18" i="12"/>
  <c r="X18" i="12"/>
  <c r="Y18" i="12"/>
  <c r="Z18" i="12"/>
  <c r="AJ18" i="12"/>
  <c r="AK18" i="12" s="1"/>
  <c r="AL18" i="12"/>
  <c r="T19" i="12"/>
  <c r="U19" i="12"/>
  <c r="V19" i="12"/>
  <c r="W19" i="12"/>
  <c r="X19" i="12"/>
  <c r="Y19" i="12"/>
  <c r="Z19" i="12"/>
  <c r="AL19" i="12"/>
  <c r="T20" i="12"/>
  <c r="U20" i="12"/>
  <c r="W20" i="12"/>
  <c r="X20" i="12"/>
  <c r="Y20" i="12"/>
  <c r="Z20" i="12"/>
  <c r="AJ20" i="12"/>
  <c r="AK20" i="12" s="1"/>
  <c r="AL20" i="12"/>
  <c r="T21" i="12"/>
  <c r="U21" i="12"/>
  <c r="W21" i="12"/>
  <c r="X21" i="12"/>
  <c r="Y21" i="12"/>
  <c r="Z21" i="12"/>
  <c r="AJ21" i="12"/>
  <c r="AK21" i="12" s="1"/>
  <c r="AL21" i="12"/>
  <c r="T22" i="12"/>
  <c r="U22" i="12"/>
  <c r="V22" i="12"/>
  <c r="X22" i="12"/>
  <c r="Y22" i="12"/>
  <c r="Z22" i="12"/>
  <c r="AL22" i="12"/>
  <c r="T23" i="12"/>
  <c r="U23" i="12"/>
  <c r="V23" i="12"/>
  <c r="X23" i="12"/>
  <c r="Y23" i="12"/>
  <c r="Z23" i="12"/>
  <c r="AJ23" i="12"/>
  <c r="AK23" i="12" s="1"/>
  <c r="AL23" i="12"/>
  <c r="T24" i="12"/>
  <c r="U24" i="12"/>
  <c r="V24" i="12"/>
  <c r="W24" i="12"/>
  <c r="X24" i="12"/>
  <c r="Y24" i="12"/>
  <c r="Z24" i="12"/>
  <c r="AJ24" i="12"/>
  <c r="AK24" i="12" s="1"/>
  <c r="AL24" i="12"/>
  <c r="T25" i="12"/>
  <c r="U25" i="12"/>
  <c r="W25" i="12"/>
  <c r="X25" i="12"/>
  <c r="Y25" i="12"/>
  <c r="Z25" i="12"/>
  <c r="AJ25" i="12"/>
  <c r="AK25" i="12" s="1"/>
  <c r="AL25" i="12"/>
  <c r="T26" i="12"/>
  <c r="U26" i="12"/>
  <c r="V26" i="12"/>
  <c r="W26" i="12"/>
  <c r="X26" i="12"/>
  <c r="Y26" i="12"/>
  <c r="Z26" i="12"/>
  <c r="AJ26" i="12"/>
  <c r="AK26" i="12" s="1"/>
  <c r="AL26" i="12"/>
  <c r="T27" i="12"/>
  <c r="U27" i="12"/>
  <c r="W27" i="12"/>
  <c r="X27" i="12"/>
  <c r="Y27" i="12"/>
  <c r="Z27" i="12"/>
  <c r="AL27" i="12"/>
  <c r="T28" i="12"/>
  <c r="U28" i="12"/>
  <c r="V28" i="12"/>
  <c r="X28" i="12"/>
  <c r="Y28" i="12"/>
  <c r="Z28" i="12"/>
  <c r="AL28" i="12"/>
  <c r="T29" i="12"/>
  <c r="U29" i="12"/>
  <c r="V29" i="12"/>
  <c r="W29" i="12"/>
  <c r="X29" i="12"/>
  <c r="Y29" i="12"/>
  <c r="Z29" i="12"/>
  <c r="AL29" i="12"/>
  <c r="T30" i="12"/>
  <c r="U30" i="12" s="1"/>
  <c r="V30" i="12"/>
  <c r="W30" i="12"/>
  <c r="X30" i="12"/>
  <c r="Y30" i="12"/>
  <c r="Z30" i="12"/>
  <c r="AJ30" i="12"/>
  <c r="AK30" i="12"/>
  <c r="AL30" i="12"/>
  <c r="T31" i="12"/>
  <c r="U31" i="12" s="1"/>
  <c r="V31" i="12"/>
  <c r="W31" i="12"/>
  <c r="X31" i="12"/>
  <c r="Y31" i="12"/>
  <c r="Z31" i="12"/>
  <c r="AJ31" i="12"/>
  <c r="AK31" i="12"/>
  <c r="AL31" i="12"/>
  <c r="T32" i="12"/>
  <c r="U32" i="12"/>
  <c r="W32" i="12"/>
  <c r="X32" i="12"/>
  <c r="Y32" i="12"/>
  <c r="Z32" i="12"/>
  <c r="AL32" i="12"/>
  <c r="T33" i="12"/>
  <c r="U33" i="12"/>
  <c r="V33" i="12"/>
  <c r="W33" i="12"/>
  <c r="X33" i="12"/>
  <c r="Y33" i="12"/>
  <c r="Z33" i="12"/>
  <c r="AL33" i="12"/>
  <c r="T34" i="12"/>
  <c r="U34" i="12"/>
  <c r="V34" i="12"/>
  <c r="W34" i="12"/>
  <c r="X34" i="12"/>
  <c r="Y34" i="12"/>
  <c r="Z34" i="12"/>
  <c r="AL34" i="12"/>
  <c r="T35" i="12"/>
  <c r="U35" i="12"/>
  <c r="W35" i="12"/>
  <c r="X35" i="12"/>
  <c r="Y35" i="12"/>
  <c r="Z35" i="12"/>
  <c r="AL35" i="12"/>
  <c r="T36" i="12"/>
  <c r="U36" i="12"/>
  <c r="V36" i="12"/>
  <c r="W36" i="12"/>
  <c r="X36" i="12"/>
  <c r="Y36" i="12"/>
  <c r="Z36" i="12"/>
  <c r="AJ36" i="12"/>
  <c r="AK36" i="12" s="1"/>
  <c r="AL36" i="12"/>
  <c r="T37" i="12"/>
  <c r="U37" i="12"/>
  <c r="V37" i="12"/>
  <c r="W37" i="12"/>
  <c r="X37" i="12"/>
  <c r="Y37" i="12"/>
  <c r="Z37" i="12"/>
  <c r="AJ37" i="12"/>
  <c r="AK37" i="12" s="1"/>
  <c r="AL37" i="12"/>
  <c r="T38" i="12"/>
  <c r="U38" i="12"/>
  <c r="V38" i="12"/>
  <c r="W38" i="12"/>
  <c r="X38" i="12"/>
  <c r="Y38" i="12"/>
  <c r="Z38" i="12"/>
  <c r="AL38" i="12"/>
  <c r="T39" i="12"/>
  <c r="U39" i="12"/>
  <c r="V39" i="12"/>
  <c r="W39" i="12"/>
  <c r="X39" i="12"/>
  <c r="Y39" i="12"/>
  <c r="Z39" i="12"/>
  <c r="AL39" i="12"/>
  <c r="T40" i="12"/>
  <c r="U40" i="12"/>
  <c r="V40" i="12"/>
  <c r="W40" i="12"/>
  <c r="X40" i="12"/>
  <c r="Y40" i="12"/>
  <c r="Z40" i="12"/>
  <c r="AL40" i="12"/>
  <c r="T41" i="12"/>
  <c r="U41" i="12"/>
  <c r="V41" i="12"/>
  <c r="W41" i="12"/>
  <c r="X41" i="12"/>
  <c r="Y41" i="12"/>
  <c r="Z41" i="12"/>
  <c r="AL41" i="12"/>
  <c r="T42" i="12"/>
  <c r="U42" i="12"/>
  <c r="W42" i="12"/>
  <c r="X42" i="12"/>
  <c r="Y42" i="12"/>
  <c r="Z42" i="12"/>
  <c r="AJ42" i="12"/>
  <c r="AK42" i="12" s="1"/>
  <c r="AL42" i="12"/>
  <c r="T43" i="12"/>
  <c r="U43" i="12"/>
  <c r="V43" i="12"/>
  <c r="W43" i="12"/>
  <c r="X43" i="12"/>
  <c r="Y43" i="12"/>
  <c r="Z43" i="12"/>
  <c r="AJ43" i="12"/>
  <c r="AK43" i="12" s="1"/>
  <c r="AL43" i="12"/>
  <c r="T44" i="12"/>
  <c r="U44" i="12"/>
  <c r="V44" i="12"/>
  <c r="W44" i="12"/>
  <c r="X44" i="12"/>
  <c r="Y44" i="12"/>
  <c r="Z44" i="12"/>
  <c r="AL44" i="12"/>
  <c r="T45" i="12"/>
  <c r="U45" i="12" s="1"/>
  <c r="V45" i="12"/>
  <c r="W45" i="12"/>
  <c r="X45" i="12"/>
  <c r="Y45" i="12"/>
  <c r="Z45" i="12"/>
  <c r="AJ45" i="12"/>
  <c r="AK45" i="12" s="1"/>
  <c r="AL45" i="12"/>
  <c r="T46" i="12"/>
  <c r="U46" i="12"/>
  <c r="V46" i="12"/>
  <c r="W46" i="12"/>
  <c r="X46" i="12"/>
  <c r="Y46" i="12"/>
  <c r="Z46" i="12"/>
  <c r="AL46" i="12"/>
  <c r="T47" i="12"/>
  <c r="V47" i="12"/>
  <c r="W47" i="12"/>
  <c r="X47" i="12"/>
  <c r="Y47" i="12"/>
  <c r="Z47" i="12"/>
  <c r="AJ47" i="12"/>
  <c r="AK47" i="12" s="1"/>
  <c r="AL47" i="12"/>
  <c r="T48" i="12"/>
  <c r="U48" i="12"/>
  <c r="V48" i="12"/>
  <c r="W48" i="12"/>
  <c r="X48" i="12"/>
  <c r="Y48" i="12"/>
  <c r="Z48" i="12"/>
  <c r="AL48" i="12"/>
  <c r="T49" i="12"/>
  <c r="U49" i="12"/>
  <c r="W49" i="12"/>
  <c r="X49" i="12"/>
  <c r="Y49" i="12"/>
  <c r="Z49" i="12"/>
  <c r="AL49" i="12"/>
  <c r="T50" i="12"/>
  <c r="U50" i="12"/>
  <c r="W50" i="12"/>
  <c r="X50" i="12"/>
  <c r="Y50" i="12"/>
  <c r="Z50" i="12"/>
  <c r="AJ50" i="12"/>
  <c r="AK50" i="12" s="1"/>
  <c r="AL50" i="12"/>
  <c r="T51" i="12"/>
  <c r="U51" i="12" s="1"/>
  <c r="V51" i="12"/>
  <c r="W51" i="12"/>
  <c r="X51" i="12"/>
  <c r="Y51" i="12"/>
  <c r="Z51" i="12"/>
  <c r="AL51" i="12"/>
  <c r="T52" i="12"/>
  <c r="U52" i="12"/>
  <c r="V52" i="12"/>
  <c r="W52" i="12"/>
  <c r="X52" i="12"/>
  <c r="Y52" i="12"/>
  <c r="Z52" i="12"/>
  <c r="AL52" i="12"/>
  <c r="T53" i="12"/>
  <c r="U53" i="12"/>
  <c r="V53" i="12"/>
  <c r="W53" i="12"/>
  <c r="X53" i="12"/>
  <c r="Y53" i="12"/>
  <c r="Z53" i="12"/>
  <c r="AL53" i="12"/>
  <c r="T54" i="12"/>
  <c r="U54" i="12"/>
  <c r="V54" i="12"/>
  <c r="W54" i="12"/>
  <c r="X54" i="12"/>
  <c r="Y54" i="12"/>
  <c r="Z54" i="12"/>
  <c r="AJ54" i="12"/>
  <c r="AK54" i="12" s="1"/>
  <c r="AL54" i="12"/>
  <c r="T55" i="12"/>
  <c r="U55" i="12"/>
  <c r="W55" i="12"/>
  <c r="X55" i="12"/>
  <c r="Y55" i="12"/>
  <c r="Z55" i="12"/>
  <c r="AL55" i="12"/>
  <c r="T56" i="12"/>
  <c r="U56" i="12"/>
  <c r="V56" i="12"/>
  <c r="W56" i="12"/>
  <c r="X56" i="12"/>
  <c r="Y56" i="12"/>
  <c r="Z56" i="12"/>
  <c r="AL56" i="12"/>
  <c r="T57" i="12"/>
  <c r="U57" i="12"/>
  <c r="V57" i="12"/>
  <c r="W57" i="12"/>
  <c r="X57" i="12"/>
  <c r="Y57" i="12"/>
  <c r="Z57" i="12"/>
  <c r="AL57" i="12"/>
  <c r="T58" i="12"/>
  <c r="U58" i="12"/>
  <c r="V58" i="12"/>
  <c r="W58" i="12"/>
  <c r="X58" i="12"/>
  <c r="Y58" i="12"/>
  <c r="Z58" i="12"/>
  <c r="AL58" i="12"/>
  <c r="T59" i="12"/>
  <c r="U59" i="12"/>
  <c r="V59" i="12"/>
  <c r="W59" i="12"/>
  <c r="X59" i="12"/>
  <c r="Y59" i="12"/>
  <c r="Z59" i="12"/>
  <c r="AL59" i="12"/>
  <c r="T60" i="12"/>
  <c r="V60" i="12" s="1"/>
  <c r="U60" i="12"/>
  <c r="W60" i="12"/>
  <c r="X60" i="12"/>
  <c r="Y60" i="12"/>
  <c r="Z60" i="12"/>
  <c r="AL60" i="12"/>
  <c r="T61" i="12"/>
  <c r="U61" i="12"/>
  <c r="V61" i="12"/>
  <c r="W61" i="12"/>
  <c r="X61" i="12"/>
  <c r="Y61" i="12"/>
  <c r="Z61" i="12"/>
  <c r="AL61" i="12"/>
  <c r="T62" i="12"/>
  <c r="V62" i="12" s="1"/>
  <c r="U62" i="12"/>
  <c r="W62" i="12"/>
  <c r="X62" i="12"/>
  <c r="Y62" i="12"/>
  <c r="Z62" i="12"/>
  <c r="AL62" i="12"/>
  <c r="T63" i="12"/>
  <c r="U63" i="12"/>
  <c r="V63" i="12"/>
  <c r="W63" i="12"/>
  <c r="X63" i="12"/>
  <c r="Y63" i="12"/>
  <c r="Z63" i="12"/>
  <c r="AL63" i="12"/>
  <c r="T64" i="12"/>
  <c r="U64" i="12"/>
  <c r="V64" i="12"/>
  <c r="W64" i="12"/>
  <c r="X64" i="12"/>
  <c r="Y64" i="12"/>
  <c r="Z64" i="12"/>
  <c r="AL64" i="12"/>
  <c r="T65" i="12"/>
  <c r="U65" i="12"/>
  <c r="V65" i="12"/>
  <c r="W65" i="12"/>
  <c r="X65" i="12"/>
  <c r="Y65" i="12"/>
  <c r="Z65" i="12"/>
  <c r="AL65" i="12"/>
  <c r="T66" i="12"/>
  <c r="U66" i="12"/>
  <c r="V66" i="12"/>
  <c r="W66" i="12"/>
  <c r="X66" i="12"/>
  <c r="Y66" i="12"/>
  <c r="Z66" i="12"/>
  <c r="AL66" i="12"/>
  <c r="T67" i="12"/>
  <c r="U67" i="12"/>
  <c r="V67" i="12"/>
  <c r="W67" i="12"/>
  <c r="X67" i="12"/>
  <c r="Y67" i="12"/>
  <c r="Z67" i="12"/>
  <c r="AL67" i="12"/>
  <c r="T68" i="12"/>
  <c r="U68" i="12"/>
  <c r="V68" i="12"/>
  <c r="W68" i="12"/>
  <c r="X68" i="12"/>
  <c r="Y68" i="12"/>
  <c r="Z68" i="12"/>
  <c r="AL68" i="12"/>
  <c r="T69" i="12"/>
  <c r="V69" i="12" s="1"/>
  <c r="U69" i="12"/>
  <c r="W69" i="12"/>
  <c r="X69" i="12"/>
  <c r="Y69" i="12"/>
  <c r="Z69" i="12"/>
  <c r="AL69" i="12"/>
  <c r="T70" i="12"/>
  <c r="U70" i="12"/>
  <c r="V70" i="12"/>
  <c r="X70" i="12"/>
  <c r="Y70" i="12"/>
  <c r="Z70" i="12"/>
  <c r="AL70" i="12"/>
  <c r="T71" i="12"/>
  <c r="U71" i="12"/>
  <c r="W71" i="12"/>
  <c r="X71" i="12"/>
  <c r="Y71" i="12"/>
  <c r="Z71" i="12"/>
  <c r="AL71" i="12"/>
  <c r="T72" i="12"/>
  <c r="U72" i="12" s="1"/>
  <c r="V72" i="12"/>
  <c r="W72" i="12"/>
  <c r="X72" i="12"/>
  <c r="Y72" i="12"/>
  <c r="Z72" i="12"/>
  <c r="AL72" i="12"/>
  <c r="T73" i="12"/>
  <c r="U73" i="12"/>
  <c r="W73" i="12"/>
  <c r="X73" i="12"/>
  <c r="Y73" i="12"/>
  <c r="Z73" i="12"/>
  <c r="AL73" i="12"/>
  <c r="T74" i="12"/>
  <c r="U74" i="12"/>
  <c r="W74" i="12"/>
  <c r="X74" i="12"/>
  <c r="Y74" i="12"/>
  <c r="Z74" i="12"/>
  <c r="AL74" i="12"/>
  <c r="T75" i="12"/>
  <c r="U75" i="12"/>
  <c r="V75" i="12"/>
  <c r="W75" i="12"/>
  <c r="X75" i="12"/>
  <c r="Y75" i="12"/>
  <c r="Z75" i="12"/>
  <c r="AL75" i="12"/>
  <c r="T76" i="12"/>
  <c r="U76" i="12"/>
  <c r="V76" i="12"/>
  <c r="X76" i="12"/>
  <c r="Y76" i="12"/>
  <c r="Z76" i="12"/>
  <c r="AJ76" i="12"/>
  <c r="AK76" i="12" s="1"/>
  <c r="AL76" i="12"/>
  <c r="T77" i="12"/>
  <c r="V77" i="12"/>
  <c r="W77" i="12"/>
  <c r="X77" i="12"/>
  <c r="Y77" i="12"/>
  <c r="Z77" i="12"/>
  <c r="AJ77" i="12"/>
  <c r="AK77" i="12" s="1"/>
  <c r="AL77" i="12"/>
  <c r="T78" i="12"/>
  <c r="U78" i="12"/>
  <c r="W78" i="12"/>
  <c r="X78" i="12"/>
  <c r="Y78" i="12"/>
  <c r="Z78" i="12"/>
  <c r="AL78" i="12"/>
  <c r="T79" i="12"/>
  <c r="U79" i="12"/>
  <c r="V79" i="12"/>
  <c r="W79" i="12"/>
  <c r="X79" i="12"/>
  <c r="Y79" i="12"/>
  <c r="Z79" i="12"/>
  <c r="AL79" i="12"/>
  <c r="T80" i="12"/>
  <c r="U80" i="12"/>
  <c r="V80" i="12"/>
  <c r="W80" i="12"/>
  <c r="X80" i="12"/>
  <c r="Y80" i="12"/>
  <c r="Z80" i="12"/>
  <c r="AL80" i="12"/>
  <c r="T81" i="12"/>
  <c r="U81" i="12"/>
  <c r="W81" i="12"/>
  <c r="X81" i="12"/>
  <c r="Y81" i="12"/>
  <c r="Z81" i="12"/>
  <c r="AJ81" i="12"/>
  <c r="AK81" i="12" s="1"/>
  <c r="AL81" i="12"/>
  <c r="T82" i="12"/>
  <c r="U82" i="12"/>
  <c r="V82" i="12"/>
  <c r="W82" i="12"/>
  <c r="X82" i="12"/>
  <c r="Y82" i="12"/>
  <c r="Z82" i="12"/>
  <c r="AJ82" i="12"/>
  <c r="AK82" i="12" s="1"/>
  <c r="AL82" i="12"/>
  <c r="T83" i="12"/>
  <c r="V83" i="12"/>
  <c r="W83" i="12"/>
  <c r="X83" i="12"/>
  <c r="Y83" i="12"/>
  <c r="Z83" i="12"/>
  <c r="AL83" i="12"/>
  <c r="T84" i="12"/>
  <c r="U84" i="12"/>
  <c r="V84" i="12"/>
  <c r="W84" i="12"/>
  <c r="X84" i="12"/>
  <c r="Y84" i="12"/>
  <c r="Z84" i="12"/>
  <c r="AL84" i="12"/>
  <c r="T85" i="12"/>
  <c r="U85" i="12"/>
  <c r="V85" i="12"/>
  <c r="W85" i="12"/>
  <c r="X85" i="12"/>
  <c r="Y85" i="12"/>
  <c r="Z85" i="12"/>
  <c r="AL85" i="12"/>
  <c r="T86" i="12"/>
  <c r="U86" i="12"/>
  <c r="V86" i="12"/>
  <c r="X86" i="12"/>
  <c r="Y86" i="12"/>
  <c r="Z86" i="12"/>
  <c r="AL86" i="12"/>
  <c r="T87" i="12"/>
  <c r="U87" i="12"/>
  <c r="V87" i="12"/>
  <c r="W87" i="12"/>
  <c r="X87" i="12"/>
  <c r="Y87" i="12"/>
  <c r="Z87" i="12"/>
  <c r="AL87" i="12"/>
  <c r="T88" i="12"/>
  <c r="U88" i="12"/>
  <c r="V88" i="12"/>
  <c r="X88" i="12"/>
  <c r="Y88" i="12"/>
  <c r="Z88" i="12"/>
  <c r="AL88" i="12"/>
  <c r="T89" i="12"/>
  <c r="U89" i="12" s="1"/>
  <c r="V89" i="12"/>
  <c r="W89" i="12"/>
  <c r="X89" i="12"/>
  <c r="Y89" i="12"/>
  <c r="Z89" i="12"/>
  <c r="AL89" i="12"/>
  <c r="T90" i="12"/>
  <c r="V90" i="12" s="1"/>
  <c r="U90" i="12"/>
  <c r="W90" i="12"/>
  <c r="X90" i="12"/>
  <c r="Y90" i="12"/>
  <c r="Z90" i="12"/>
  <c r="AL90" i="12"/>
  <c r="T91" i="12"/>
  <c r="U91" i="12"/>
  <c r="V91" i="12"/>
  <c r="W91" i="12"/>
  <c r="X91" i="12"/>
  <c r="Y91" i="12"/>
  <c r="Z91" i="12"/>
  <c r="AL91" i="12"/>
  <c r="T92" i="12"/>
  <c r="U92" i="12"/>
  <c r="W92" i="12"/>
  <c r="X92" i="12"/>
  <c r="Y92" i="12"/>
  <c r="Z92" i="12"/>
  <c r="AJ92" i="12"/>
  <c r="AK92" i="12" s="1"/>
  <c r="AL92" i="12"/>
  <c r="T93" i="12"/>
  <c r="U93" i="12"/>
  <c r="V93" i="12"/>
  <c r="W93" i="12"/>
  <c r="X93" i="12"/>
  <c r="Y93" i="12"/>
  <c r="Z93" i="12"/>
  <c r="AL93" i="12"/>
  <c r="T94" i="12"/>
  <c r="U94" i="12"/>
  <c r="V94" i="12"/>
  <c r="W94" i="12"/>
  <c r="X94" i="12"/>
  <c r="Y94" i="12"/>
  <c r="Z94" i="12"/>
  <c r="AL94" i="12"/>
  <c r="T95" i="12"/>
  <c r="U95" i="12"/>
  <c r="V95" i="12"/>
  <c r="W95" i="12"/>
  <c r="X95" i="12"/>
  <c r="Y95" i="12"/>
  <c r="Z95" i="12"/>
  <c r="AL95" i="12"/>
  <c r="T96" i="12"/>
  <c r="U96" i="12"/>
  <c r="V96" i="12"/>
  <c r="W96" i="12"/>
  <c r="X96" i="12"/>
  <c r="Y96" i="12"/>
  <c r="Z96" i="12"/>
  <c r="AJ96" i="12"/>
  <c r="AK96" i="12" s="1"/>
  <c r="AL96" i="12"/>
  <c r="T97" i="12"/>
  <c r="V97" i="12" s="1"/>
  <c r="U97" i="12"/>
  <c r="W97" i="12"/>
  <c r="X97" i="12"/>
  <c r="Y97" i="12"/>
  <c r="Z97" i="12"/>
  <c r="AL97" i="12"/>
  <c r="T98" i="12"/>
  <c r="U98" i="12"/>
  <c r="V98" i="12"/>
  <c r="W98" i="12"/>
  <c r="X98" i="12"/>
  <c r="Y98" i="12"/>
  <c r="Z98" i="12"/>
  <c r="AL98" i="12"/>
  <c r="T99" i="12"/>
  <c r="U99" i="12"/>
  <c r="V99" i="12"/>
  <c r="W99" i="12"/>
  <c r="X99" i="12"/>
  <c r="Y99" i="12"/>
  <c r="Z99" i="12"/>
  <c r="AL99" i="12"/>
  <c r="T100" i="12"/>
  <c r="V100" i="12" s="1"/>
  <c r="U100" i="12"/>
  <c r="W100" i="12"/>
  <c r="X100" i="12"/>
  <c r="Y100" i="12"/>
  <c r="Z100" i="12"/>
  <c r="AJ100" i="12"/>
  <c r="AK100" i="12" s="1"/>
  <c r="AL100" i="12"/>
  <c r="T101" i="12"/>
  <c r="U101" i="12"/>
  <c r="V101" i="12"/>
  <c r="W101" i="12"/>
  <c r="X101" i="12"/>
  <c r="Y101" i="12"/>
  <c r="Z101" i="12"/>
  <c r="AL101" i="12"/>
  <c r="T102" i="12"/>
  <c r="V102" i="12" s="1"/>
  <c r="U102" i="12"/>
  <c r="W102" i="12"/>
  <c r="X102" i="12"/>
  <c r="Y102" i="12"/>
  <c r="Z102" i="12"/>
  <c r="AJ102" i="12"/>
  <c r="AK102" i="12" s="1"/>
  <c r="AL102" i="12"/>
  <c r="T103" i="12"/>
  <c r="U103" i="12"/>
  <c r="V103" i="12"/>
  <c r="W103" i="12"/>
  <c r="X103" i="12"/>
  <c r="Y103" i="12"/>
  <c r="Z103" i="12"/>
  <c r="AL103" i="12"/>
  <c r="T104" i="12"/>
  <c r="U104" i="12"/>
  <c r="V104" i="12"/>
  <c r="W104" i="12"/>
  <c r="X104" i="12"/>
  <c r="Y104" i="12"/>
  <c r="Z104" i="12"/>
  <c r="AL104" i="12"/>
  <c r="T105" i="12"/>
  <c r="U105" i="12"/>
  <c r="V105" i="12"/>
  <c r="W105" i="12"/>
  <c r="X105" i="12"/>
  <c r="Y105" i="12"/>
  <c r="Z105" i="12"/>
  <c r="AL105" i="12"/>
  <c r="T106" i="12"/>
  <c r="U106" i="12"/>
  <c r="V106" i="12"/>
  <c r="W106" i="12"/>
  <c r="X106" i="12"/>
  <c r="Y106" i="12"/>
  <c r="Z106" i="12"/>
  <c r="AL106" i="12"/>
  <c r="T107" i="12"/>
  <c r="U107" i="12"/>
  <c r="V107" i="12"/>
  <c r="W107" i="12"/>
  <c r="X107" i="12"/>
  <c r="Y107" i="12"/>
  <c r="Z107" i="12"/>
  <c r="AL107" i="12"/>
  <c r="T108" i="12"/>
  <c r="U108" i="12"/>
  <c r="V108" i="12"/>
  <c r="W108" i="12"/>
  <c r="X108" i="12"/>
  <c r="Y108" i="12"/>
  <c r="Z108" i="12"/>
  <c r="AL108" i="12"/>
  <c r="T109" i="12"/>
  <c r="U109" i="12"/>
  <c r="V109" i="12"/>
  <c r="W109" i="12"/>
  <c r="X109" i="12"/>
  <c r="Y109" i="12"/>
  <c r="Z109" i="12"/>
  <c r="AJ109" i="12"/>
  <c r="AK109" i="12" s="1"/>
  <c r="AL109" i="12"/>
  <c r="T110" i="12"/>
  <c r="U110" i="12"/>
  <c r="V110" i="12"/>
  <c r="W110" i="12"/>
  <c r="X110" i="12"/>
  <c r="Y110" i="12"/>
  <c r="Z110" i="12"/>
  <c r="AL110" i="12"/>
  <c r="T111" i="12"/>
  <c r="U111" i="12"/>
  <c r="V111" i="12"/>
  <c r="W111" i="12"/>
  <c r="X111" i="12"/>
  <c r="Y111" i="12"/>
  <c r="Z111" i="12"/>
  <c r="AL111" i="12"/>
  <c r="T112" i="12"/>
  <c r="V112" i="12" s="1"/>
  <c r="U112" i="12"/>
  <c r="W112" i="12"/>
  <c r="X112" i="12"/>
  <c r="Y112" i="12"/>
  <c r="Z112" i="12"/>
  <c r="AL112" i="12"/>
  <c r="T113" i="12"/>
  <c r="U113" i="12"/>
  <c r="V113" i="12"/>
  <c r="W113" i="12"/>
  <c r="X113" i="12"/>
  <c r="Y113" i="12"/>
  <c r="Z113" i="12"/>
  <c r="AJ113" i="12"/>
  <c r="AK113" i="12" s="1"/>
  <c r="AL113" i="12"/>
  <c r="T114" i="12"/>
  <c r="V114" i="12" s="1"/>
  <c r="U114" i="12"/>
  <c r="W114" i="12"/>
  <c r="X114" i="12"/>
  <c r="Y114" i="12"/>
  <c r="Z114" i="12"/>
  <c r="AL114" i="12"/>
  <c r="T115" i="12"/>
  <c r="U115" i="12"/>
  <c r="V115" i="12"/>
  <c r="W115" i="12"/>
  <c r="X115" i="12"/>
  <c r="Y115" i="12"/>
  <c r="Z115" i="12"/>
  <c r="AL115" i="12"/>
  <c r="T116" i="12"/>
  <c r="U116" i="12"/>
  <c r="V116" i="12"/>
  <c r="W116" i="12"/>
  <c r="X116" i="12"/>
  <c r="Y116" i="12"/>
  <c r="Z116" i="12"/>
  <c r="AL116" i="12"/>
  <c r="T117" i="12"/>
  <c r="V117" i="12" s="1"/>
  <c r="U117" i="12"/>
  <c r="W117" i="12"/>
  <c r="X117" i="12"/>
  <c r="Y117" i="12"/>
  <c r="Z117" i="12"/>
  <c r="AL117" i="12"/>
  <c r="T118" i="12"/>
  <c r="U118" i="12"/>
  <c r="V118" i="12"/>
  <c r="W118" i="12"/>
  <c r="X118" i="12"/>
  <c r="Y118" i="12"/>
  <c r="Z118" i="12"/>
  <c r="AL118" i="12"/>
  <c r="T119" i="12"/>
  <c r="U119" i="12"/>
  <c r="V119" i="12"/>
  <c r="W119" i="12"/>
  <c r="X119" i="12"/>
  <c r="Y119" i="12"/>
  <c r="Z119" i="12"/>
  <c r="AL119" i="12"/>
  <c r="T120" i="12"/>
  <c r="U120" i="12"/>
  <c r="V120" i="12"/>
  <c r="W120" i="12"/>
  <c r="X120" i="12"/>
  <c r="Y120" i="12"/>
  <c r="Z120" i="12"/>
  <c r="AL120" i="12"/>
  <c r="T121" i="12"/>
  <c r="U121" i="12"/>
  <c r="V121" i="12"/>
  <c r="W121" i="12"/>
  <c r="X121" i="12"/>
  <c r="Y121" i="12"/>
  <c r="Z121" i="12"/>
  <c r="AL121" i="12"/>
  <c r="T122" i="12"/>
  <c r="U122" i="12"/>
  <c r="V122" i="12"/>
  <c r="W122" i="12"/>
  <c r="X122" i="12"/>
  <c r="Y122" i="12"/>
  <c r="Z122" i="12"/>
  <c r="AL122" i="12"/>
  <c r="T123" i="12"/>
  <c r="V123" i="12" s="1"/>
  <c r="U123" i="12"/>
  <c r="W123" i="12"/>
  <c r="X123" i="12"/>
  <c r="Y123" i="12"/>
  <c r="Z123" i="12"/>
  <c r="AJ123" i="12"/>
  <c r="AK123" i="12" s="1"/>
  <c r="AL123" i="12"/>
  <c r="T124" i="12"/>
  <c r="V124" i="12" s="1"/>
  <c r="U124" i="12"/>
  <c r="W124" i="12"/>
  <c r="X124" i="12"/>
  <c r="Y124" i="12"/>
  <c r="Z124" i="12"/>
  <c r="AL124" i="12"/>
  <c r="T125" i="12"/>
  <c r="U125" i="12"/>
  <c r="V125" i="12"/>
  <c r="W125" i="12"/>
  <c r="X125" i="12"/>
  <c r="Y125" i="12"/>
  <c r="Z125" i="12"/>
  <c r="AL125" i="12"/>
  <c r="T126" i="12"/>
  <c r="U126" i="12"/>
  <c r="V126" i="12"/>
  <c r="W126" i="12"/>
  <c r="X126" i="12"/>
  <c r="Y126" i="12"/>
  <c r="Z126" i="12"/>
  <c r="AL126" i="12"/>
  <c r="T127" i="12"/>
  <c r="U127" i="12"/>
  <c r="V127" i="12"/>
  <c r="W127" i="12"/>
  <c r="X127" i="12"/>
  <c r="Y127" i="12"/>
  <c r="Z127" i="12"/>
  <c r="AL127" i="12"/>
  <c r="T128" i="12"/>
  <c r="U128" i="12"/>
  <c r="V128" i="12"/>
  <c r="W128" i="12"/>
  <c r="X128" i="12"/>
  <c r="Y128" i="12"/>
  <c r="Z128" i="12"/>
  <c r="AL128" i="12"/>
  <c r="T129" i="12"/>
  <c r="U129" i="12"/>
  <c r="V129" i="12"/>
  <c r="W129" i="12"/>
  <c r="X129" i="12"/>
  <c r="Y129" i="12"/>
  <c r="Z129" i="12"/>
  <c r="AL129" i="12"/>
  <c r="T130" i="12"/>
  <c r="U130" i="12"/>
  <c r="V130" i="12"/>
  <c r="W130" i="12"/>
  <c r="X130" i="12"/>
  <c r="Y130" i="12"/>
  <c r="Z130" i="12"/>
  <c r="AL130" i="12"/>
  <c r="T131" i="12"/>
  <c r="V131" i="12" s="1"/>
  <c r="U131" i="12"/>
  <c r="W131" i="12"/>
  <c r="X131" i="12"/>
  <c r="Y131" i="12"/>
  <c r="Z131" i="12"/>
  <c r="AL131" i="12"/>
  <c r="T132" i="12"/>
  <c r="U132" i="12"/>
  <c r="V132" i="12"/>
  <c r="W132" i="12"/>
  <c r="X132" i="12"/>
  <c r="Y132" i="12"/>
  <c r="Z132" i="12"/>
  <c r="AL132" i="12"/>
  <c r="T133" i="12"/>
  <c r="U133" i="12"/>
  <c r="V133" i="12"/>
  <c r="W133" i="12"/>
  <c r="X133" i="12"/>
  <c r="Y133" i="12"/>
  <c r="Z133" i="12"/>
  <c r="AJ133" i="12"/>
  <c r="AK133" i="12" s="1"/>
  <c r="AL133" i="12"/>
  <c r="T134" i="12"/>
  <c r="U134" i="12"/>
  <c r="V134" i="12"/>
  <c r="W134" i="12"/>
  <c r="X134" i="12"/>
  <c r="Y134" i="12"/>
  <c r="Z134" i="12"/>
  <c r="AL134" i="12"/>
  <c r="T135" i="12"/>
  <c r="V135" i="12" s="1"/>
  <c r="U135" i="12"/>
  <c r="W135" i="12"/>
  <c r="X135" i="12"/>
  <c r="Y135" i="12"/>
  <c r="Z135" i="12"/>
  <c r="AL135" i="12"/>
  <c r="T136" i="12"/>
  <c r="V136" i="12" s="1"/>
  <c r="U136" i="12"/>
  <c r="W136" i="12"/>
  <c r="X136" i="12"/>
  <c r="Y136" i="12"/>
  <c r="Z136" i="12"/>
  <c r="AJ136" i="12"/>
  <c r="AK136" i="12" s="1"/>
  <c r="AL136" i="12"/>
  <c r="T137" i="12"/>
  <c r="U137" i="12"/>
  <c r="V137" i="12"/>
  <c r="X137" i="12"/>
  <c r="Y137" i="12"/>
  <c r="Z137" i="12"/>
  <c r="AL137" i="12"/>
  <c r="T138" i="12"/>
  <c r="U138" i="12"/>
  <c r="V138" i="12"/>
  <c r="W138" i="12"/>
  <c r="X138" i="12"/>
  <c r="Y138" i="12"/>
  <c r="Z138" i="12"/>
  <c r="AL138" i="12"/>
  <c r="T139" i="12"/>
  <c r="U139" i="12"/>
  <c r="V139" i="12"/>
  <c r="W139" i="12"/>
  <c r="X139" i="12"/>
  <c r="Y139" i="12"/>
  <c r="Z139" i="12"/>
  <c r="AL139" i="12"/>
  <c r="T140" i="12"/>
  <c r="U140" i="12"/>
  <c r="V140" i="12"/>
  <c r="W140" i="12"/>
  <c r="X140" i="12"/>
  <c r="Y140" i="12"/>
  <c r="Z140" i="12"/>
  <c r="AL140" i="12"/>
  <c r="T141" i="12"/>
  <c r="U141" i="12"/>
  <c r="W141" i="12"/>
  <c r="X141" i="12"/>
  <c r="Y141" i="12"/>
  <c r="Z141" i="12"/>
  <c r="AL141" i="12"/>
  <c r="T142" i="12"/>
  <c r="U142" i="12"/>
  <c r="V142" i="12"/>
  <c r="X142" i="12"/>
  <c r="Y142" i="12"/>
  <c r="Z142" i="12"/>
  <c r="AL142" i="12"/>
  <c r="T143" i="12"/>
  <c r="U143" i="12"/>
  <c r="V143" i="12"/>
  <c r="X143" i="12"/>
  <c r="Y143" i="12"/>
  <c r="Z143" i="12"/>
  <c r="AJ143" i="12"/>
  <c r="AK143" i="12" s="1"/>
  <c r="AL143" i="12"/>
  <c r="T144" i="12"/>
  <c r="U144" i="12"/>
  <c r="W144" i="12"/>
  <c r="X144" i="12"/>
  <c r="Y144" i="12"/>
  <c r="Z144" i="12"/>
  <c r="AL144" i="12"/>
  <c r="T145" i="12"/>
  <c r="U145" i="12"/>
  <c r="V145" i="12"/>
  <c r="W145" i="12"/>
  <c r="X145" i="12"/>
  <c r="Y145" i="12"/>
  <c r="Z145" i="12"/>
  <c r="AL145" i="12"/>
  <c r="T146" i="12"/>
  <c r="U146" i="12"/>
  <c r="V146" i="12"/>
  <c r="X146" i="12"/>
  <c r="Y146" i="12"/>
  <c r="Z146" i="12"/>
  <c r="AL146" i="12"/>
  <c r="T147" i="12"/>
  <c r="U147" i="12"/>
  <c r="V147" i="12"/>
  <c r="W147" i="12"/>
  <c r="X147" i="12"/>
  <c r="Y147" i="12"/>
  <c r="Z147" i="12"/>
  <c r="AJ147" i="12"/>
  <c r="AK147" i="12" s="1"/>
  <c r="AL147" i="12"/>
  <c r="T148" i="12"/>
  <c r="U148" i="12"/>
  <c r="V148" i="12"/>
  <c r="W148" i="12"/>
  <c r="X148" i="12"/>
  <c r="Y148" i="12"/>
  <c r="Z148" i="12"/>
  <c r="AL148" i="12"/>
  <c r="T149" i="12"/>
  <c r="U149" i="12"/>
  <c r="V149" i="12"/>
  <c r="W149" i="12"/>
  <c r="X149" i="12"/>
  <c r="Y149" i="12"/>
  <c r="Z149" i="12"/>
  <c r="AL149" i="12"/>
  <c r="T150" i="12"/>
  <c r="U150" i="12" s="1"/>
  <c r="V150" i="12"/>
  <c r="W150" i="12"/>
  <c r="X150" i="12"/>
  <c r="Y150" i="12"/>
  <c r="Z150" i="12"/>
  <c r="AL150" i="12"/>
  <c r="T151" i="12"/>
  <c r="U151" i="12"/>
  <c r="V151" i="12"/>
  <c r="W151" i="12"/>
  <c r="X151" i="12"/>
  <c r="Y151" i="12"/>
  <c r="Z151" i="12"/>
  <c r="AL151" i="12"/>
  <c r="T152" i="12"/>
  <c r="U152" i="12"/>
  <c r="W152" i="12"/>
  <c r="X152" i="12"/>
  <c r="Y152" i="12"/>
  <c r="Z152" i="12"/>
  <c r="AL152" i="12"/>
  <c r="T153" i="12"/>
  <c r="U153" i="12"/>
  <c r="W153" i="12"/>
  <c r="X153" i="12"/>
  <c r="Y153" i="12"/>
  <c r="Z153" i="12"/>
  <c r="AL153" i="12"/>
  <c r="T154" i="12"/>
  <c r="U154" i="12"/>
  <c r="W154" i="12"/>
  <c r="X154" i="12"/>
  <c r="Y154" i="12"/>
  <c r="Z154" i="12"/>
  <c r="AJ154" i="12"/>
  <c r="AK154" i="12" s="1"/>
  <c r="AL154" i="12"/>
  <c r="T155" i="12"/>
  <c r="U155" i="12"/>
  <c r="V155" i="12"/>
  <c r="X155" i="12"/>
  <c r="Y155" i="12"/>
  <c r="Z155" i="12"/>
  <c r="AJ155" i="12"/>
  <c r="AK155" i="12" s="1"/>
  <c r="AL155" i="12"/>
  <c r="T156" i="12"/>
  <c r="U156" i="12"/>
  <c r="V156" i="12"/>
  <c r="W156" i="12"/>
  <c r="X156" i="12"/>
  <c r="Y156" i="12"/>
  <c r="Z156" i="12"/>
  <c r="AJ156" i="12"/>
  <c r="AK156" i="12" s="1"/>
  <c r="AL156" i="12"/>
  <c r="T157" i="12"/>
  <c r="U157" i="12" s="1"/>
  <c r="V157" i="12"/>
  <c r="W157" i="12"/>
  <c r="X157" i="12"/>
  <c r="Y157" i="12"/>
  <c r="Z157" i="12"/>
  <c r="AL157" i="12"/>
  <c r="T158" i="12"/>
  <c r="U158" i="12"/>
  <c r="V158" i="12"/>
  <c r="W158" i="12"/>
  <c r="X158" i="12"/>
  <c r="Y158" i="12"/>
  <c r="Z158" i="12"/>
  <c r="AL158" i="12"/>
  <c r="T159" i="12"/>
  <c r="U159" i="12"/>
  <c r="V159" i="12"/>
  <c r="X159" i="12"/>
  <c r="Y159" i="12"/>
  <c r="Z159" i="12"/>
  <c r="AJ159" i="12"/>
  <c r="AK159" i="12" s="1"/>
  <c r="AL159" i="12"/>
  <c r="T160" i="12"/>
  <c r="U160" i="12"/>
  <c r="W160" i="12"/>
  <c r="X160" i="12"/>
  <c r="Y160" i="12"/>
  <c r="Z160" i="12"/>
  <c r="AJ160" i="12"/>
  <c r="AK160" i="12" s="1"/>
  <c r="AL160" i="12"/>
  <c r="T161" i="12"/>
  <c r="U161" i="12"/>
  <c r="W161" i="12"/>
  <c r="X161" i="12"/>
  <c r="Y161" i="12"/>
  <c r="Z161" i="12"/>
  <c r="AL161" i="12"/>
  <c r="T162" i="12"/>
  <c r="U162" i="12"/>
  <c r="W162" i="12"/>
  <c r="X162" i="12"/>
  <c r="Y162" i="12"/>
  <c r="Z162" i="12"/>
  <c r="AJ162" i="12"/>
  <c r="AK162" i="12" s="1"/>
  <c r="AL162" i="12"/>
  <c r="T163" i="12"/>
  <c r="U163" i="12"/>
  <c r="V163" i="12"/>
  <c r="W163" i="12"/>
  <c r="X163" i="12"/>
  <c r="Y163" i="12"/>
  <c r="Z163" i="12"/>
  <c r="AL163" i="12"/>
  <c r="T164" i="12"/>
  <c r="U164" i="12"/>
  <c r="V164" i="12"/>
  <c r="X164" i="12"/>
  <c r="Y164" i="12"/>
  <c r="Z164" i="12"/>
  <c r="AL164" i="12"/>
  <c r="T165" i="12"/>
  <c r="U165" i="12"/>
  <c r="V165" i="12"/>
  <c r="W165" i="12"/>
  <c r="X165" i="12"/>
  <c r="Y165" i="12"/>
  <c r="Z165" i="12"/>
  <c r="AJ165" i="12"/>
  <c r="AK165" i="12" s="1"/>
  <c r="AL165" i="12"/>
  <c r="T166" i="12"/>
  <c r="U166" i="12"/>
  <c r="W166" i="12"/>
  <c r="X166" i="12"/>
  <c r="Y166" i="12"/>
  <c r="Z166" i="12"/>
  <c r="AL166" i="12"/>
  <c r="T167" i="12"/>
  <c r="V167" i="12"/>
  <c r="W167" i="12"/>
  <c r="X167" i="12"/>
  <c r="Y167" i="12"/>
  <c r="Z167" i="12"/>
  <c r="AJ167" i="12"/>
  <c r="AK167" i="12" s="1"/>
  <c r="AL167" i="12"/>
  <c r="T168" i="12"/>
  <c r="U168" i="12"/>
  <c r="V168" i="12"/>
  <c r="W168" i="12"/>
  <c r="X168" i="12"/>
  <c r="Y168" i="12"/>
  <c r="Z168" i="12"/>
  <c r="AL168" i="12"/>
  <c r="T169" i="12"/>
  <c r="U169" i="12"/>
  <c r="W169" i="12"/>
  <c r="X169" i="12"/>
  <c r="Y169" i="12"/>
  <c r="Z169" i="12"/>
  <c r="AL169" i="12"/>
  <c r="T170" i="12"/>
  <c r="U170" i="12"/>
  <c r="V170" i="12"/>
  <c r="W170" i="12"/>
  <c r="X170" i="12"/>
  <c r="Y170" i="12"/>
  <c r="Z170" i="12"/>
  <c r="AL170" i="12"/>
  <c r="T171" i="12"/>
  <c r="U171" i="12"/>
  <c r="V171" i="12"/>
  <c r="W171" i="12"/>
  <c r="X171" i="12"/>
  <c r="Y171" i="12"/>
  <c r="Z171" i="12"/>
  <c r="AL171" i="12"/>
  <c r="T172" i="12"/>
  <c r="U172" i="12"/>
  <c r="V172" i="12"/>
  <c r="X172" i="12"/>
  <c r="Y172" i="12"/>
  <c r="Z172" i="12"/>
  <c r="AL172" i="12"/>
  <c r="T173" i="12"/>
  <c r="U173" i="12"/>
  <c r="W173" i="12"/>
  <c r="X173" i="12"/>
  <c r="Y173" i="12"/>
  <c r="Z173" i="12"/>
  <c r="AL173" i="12"/>
  <c r="T174" i="12"/>
  <c r="U174" i="12"/>
  <c r="V174" i="12"/>
  <c r="W174" i="12"/>
  <c r="X174" i="12"/>
  <c r="Y174" i="12"/>
  <c r="Z174" i="12"/>
  <c r="AL174" i="12"/>
  <c r="T175" i="12"/>
  <c r="U175" i="12" s="1"/>
  <c r="V175" i="12"/>
  <c r="W175" i="12"/>
  <c r="X175" i="12"/>
  <c r="Y175" i="12"/>
  <c r="Z175" i="12"/>
  <c r="AL175" i="12"/>
  <c r="T176" i="12"/>
  <c r="U176" i="12"/>
  <c r="V176" i="12"/>
  <c r="W176" i="12"/>
  <c r="X176" i="12"/>
  <c r="Y176" i="12"/>
  <c r="Z176" i="12"/>
  <c r="AL176" i="12"/>
  <c r="T177" i="12"/>
  <c r="U177" i="12"/>
  <c r="W177" i="12"/>
  <c r="X177" i="12"/>
  <c r="Y177" i="12"/>
  <c r="Z177" i="12"/>
  <c r="AL177" i="12"/>
  <c r="T178" i="12"/>
  <c r="U178" i="12"/>
  <c r="W178" i="12"/>
  <c r="X178" i="12"/>
  <c r="Y178" i="12"/>
  <c r="Z178" i="12"/>
  <c r="AL178" i="12"/>
  <c r="T179" i="12"/>
  <c r="U179" i="12"/>
  <c r="V179" i="12"/>
  <c r="W179" i="12"/>
  <c r="X179" i="12"/>
  <c r="Y179" i="12"/>
  <c r="Z179" i="12"/>
  <c r="AL179" i="12"/>
  <c r="T180" i="12"/>
  <c r="U180" i="12"/>
  <c r="V180" i="12"/>
  <c r="W180" i="12"/>
  <c r="X180" i="12"/>
  <c r="Y180" i="12"/>
  <c r="Z180" i="12"/>
  <c r="AJ180" i="12"/>
  <c r="AK180" i="12" s="1"/>
  <c r="AL180" i="12"/>
  <c r="T181" i="12"/>
  <c r="U181" i="12"/>
  <c r="V181" i="12"/>
  <c r="W181" i="12"/>
  <c r="X181" i="12"/>
  <c r="Y181" i="12"/>
  <c r="Z181" i="12"/>
  <c r="AJ181" i="12"/>
  <c r="AK181" i="12"/>
  <c r="AL181" i="12"/>
  <c r="T182" i="12"/>
  <c r="U182" i="12"/>
  <c r="V182" i="12"/>
  <c r="W182" i="12"/>
  <c r="X182" i="12"/>
  <c r="Y182" i="12"/>
  <c r="Z182" i="12"/>
  <c r="AL182" i="12"/>
  <c r="T183" i="12"/>
  <c r="U183" i="12"/>
  <c r="V183" i="12"/>
  <c r="W183" i="12"/>
  <c r="X183" i="12"/>
  <c r="Y183" i="12"/>
  <c r="Z183" i="12"/>
  <c r="AL183" i="12"/>
  <c r="T184" i="12"/>
  <c r="U184" i="12"/>
  <c r="V184" i="12"/>
  <c r="W184" i="12"/>
  <c r="X184" i="12"/>
  <c r="Y184" i="12"/>
  <c r="Z184" i="12"/>
  <c r="AJ184" i="12"/>
  <c r="AK184" i="12"/>
  <c r="AL184" i="12"/>
  <c r="T185" i="12"/>
  <c r="U185" i="12"/>
  <c r="V185" i="12"/>
  <c r="W185" i="12"/>
  <c r="X185" i="12"/>
  <c r="Y185" i="12"/>
  <c r="Z185" i="12"/>
  <c r="AJ185" i="12"/>
  <c r="AK185" i="12"/>
  <c r="AL185" i="12"/>
  <c r="T186" i="12"/>
  <c r="U186" i="12"/>
  <c r="V186" i="12"/>
  <c r="W186" i="12"/>
  <c r="X186" i="12"/>
  <c r="Y186" i="12"/>
  <c r="Z186" i="12"/>
  <c r="AL186" i="12"/>
  <c r="T187" i="12"/>
  <c r="U187" i="12"/>
  <c r="V187" i="12"/>
  <c r="W187" i="12"/>
  <c r="X187" i="12"/>
  <c r="Y187" i="12"/>
  <c r="Z187" i="12"/>
  <c r="AL187" i="12"/>
  <c r="T188" i="12"/>
  <c r="U188" i="12"/>
  <c r="V188" i="12"/>
  <c r="W188" i="12"/>
  <c r="X188" i="12"/>
  <c r="Y188" i="12"/>
  <c r="Z188" i="12"/>
  <c r="AL188" i="12"/>
  <c r="T189" i="12"/>
  <c r="U189" i="12" s="1"/>
  <c r="V189" i="12"/>
  <c r="W189" i="12"/>
  <c r="X189" i="12"/>
  <c r="Y189" i="12"/>
  <c r="Z189" i="12"/>
  <c r="AL189" i="12"/>
  <c r="T190" i="12"/>
  <c r="U190" i="12"/>
  <c r="V190" i="12"/>
  <c r="W190" i="12"/>
  <c r="X190" i="12"/>
  <c r="Y190" i="12"/>
  <c r="Z190" i="12"/>
  <c r="AL190" i="12"/>
  <c r="T191" i="12"/>
  <c r="U191" i="12"/>
  <c r="V191" i="12"/>
  <c r="W191" i="12"/>
  <c r="X191" i="12"/>
  <c r="Y191" i="12"/>
  <c r="Z191" i="12"/>
  <c r="AJ191" i="12"/>
  <c r="AK191" i="12"/>
  <c r="AL191" i="12"/>
  <c r="T192" i="12"/>
  <c r="U192" i="12"/>
  <c r="V192" i="12"/>
  <c r="W192" i="12"/>
  <c r="X192" i="12"/>
  <c r="Y192" i="12"/>
  <c r="Z192" i="12"/>
  <c r="AL192" i="12"/>
  <c r="T193" i="12"/>
  <c r="U193" i="12"/>
  <c r="V193" i="12"/>
  <c r="W193" i="12"/>
  <c r="X193" i="12"/>
  <c r="Y193" i="12"/>
  <c r="Z193" i="12"/>
  <c r="AL193" i="12"/>
  <c r="T194" i="12"/>
  <c r="U194" i="12"/>
  <c r="V194" i="12"/>
  <c r="W194" i="12"/>
  <c r="X194" i="12"/>
  <c r="Y194" i="12"/>
  <c r="Z194" i="12"/>
  <c r="AJ194" i="12"/>
  <c r="AK194" i="12"/>
  <c r="AL194" i="12"/>
  <c r="T195" i="12"/>
  <c r="U195" i="12"/>
  <c r="V195" i="12"/>
  <c r="W195" i="12"/>
  <c r="X195" i="12"/>
  <c r="Y195" i="12"/>
  <c r="Z195" i="12"/>
  <c r="AL195" i="12"/>
  <c r="T196" i="12"/>
  <c r="U196" i="12"/>
  <c r="V196" i="12"/>
  <c r="W196" i="12"/>
  <c r="X196" i="12"/>
  <c r="Y196" i="12"/>
  <c r="Z196" i="12"/>
  <c r="AJ196" i="12"/>
  <c r="AK196" i="12"/>
  <c r="AL196" i="12"/>
  <c r="T197" i="12"/>
  <c r="U197" i="12"/>
  <c r="V197" i="12"/>
  <c r="W197" i="12"/>
  <c r="X197" i="12"/>
  <c r="Y197" i="12"/>
  <c r="Z197" i="12"/>
  <c r="AJ197" i="12"/>
  <c r="AK197" i="12" s="1"/>
  <c r="AL197" i="12"/>
  <c r="T198" i="12"/>
  <c r="U198" i="12"/>
  <c r="V198" i="12"/>
  <c r="W198" i="12"/>
  <c r="X198" i="12"/>
  <c r="Y198" i="12"/>
  <c r="Z198" i="12"/>
  <c r="AL198" i="12"/>
  <c r="T199" i="12"/>
  <c r="U199" i="12"/>
  <c r="V199" i="12"/>
  <c r="W199" i="12"/>
  <c r="X199" i="12"/>
  <c r="Y199" i="12"/>
  <c r="Z199" i="12"/>
  <c r="AL199" i="12"/>
  <c r="T200" i="12"/>
  <c r="U200" i="12"/>
  <c r="V200" i="12"/>
  <c r="W200" i="12"/>
  <c r="X200" i="12"/>
  <c r="Y200" i="12"/>
  <c r="Z200" i="12"/>
  <c r="AL200" i="12"/>
  <c r="T201" i="12"/>
  <c r="U201" i="12"/>
  <c r="V201" i="12"/>
  <c r="W201" i="12"/>
  <c r="X201" i="12"/>
  <c r="Y201" i="12"/>
  <c r="Z201" i="12"/>
  <c r="AL201" i="12"/>
  <c r="T202" i="12"/>
  <c r="V202" i="12" s="1"/>
  <c r="U202" i="12"/>
  <c r="W202" i="12"/>
  <c r="X202" i="12"/>
  <c r="Y202" i="12"/>
  <c r="Z202" i="12"/>
  <c r="AJ202" i="12"/>
  <c r="AK202" i="12" s="1"/>
  <c r="AL202" i="12"/>
  <c r="T203" i="12"/>
  <c r="V203" i="12" s="1"/>
  <c r="U203" i="12"/>
  <c r="W203" i="12"/>
  <c r="X203" i="12"/>
  <c r="Y203" i="12"/>
  <c r="Z203" i="12"/>
  <c r="AL203" i="12"/>
  <c r="T204" i="12"/>
  <c r="U204" i="12"/>
  <c r="V204" i="12"/>
  <c r="W204" i="12"/>
  <c r="X204" i="12"/>
  <c r="Y204" i="12"/>
  <c r="Z204" i="12"/>
  <c r="AL204" i="12"/>
  <c r="T205" i="12"/>
  <c r="V205" i="12" s="1"/>
  <c r="U205" i="12"/>
  <c r="W205" i="12"/>
  <c r="X205" i="12"/>
  <c r="Y205" i="12"/>
  <c r="Z205" i="12"/>
  <c r="AL205" i="12"/>
  <c r="T206" i="12"/>
  <c r="U206" i="12"/>
  <c r="V206" i="12"/>
  <c r="W206" i="12"/>
  <c r="X206" i="12"/>
  <c r="Y206" i="12"/>
  <c r="Z206" i="12"/>
  <c r="AL206" i="12"/>
  <c r="T207" i="12"/>
  <c r="U207" i="12"/>
  <c r="V207" i="12"/>
  <c r="W207" i="12"/>
  <c r="X207" i="12"/>
  <c r="Y207" i="12"/>
  <c r="Z207" i="12"/>
  <c r="AL207" i="12"/>
  <c r="T208" i="12"/>
  <c r="U208" i="12"/>
  <c r="V208" i="12"/>
  <c r="W208" i="12"/>
  <c r="X208" i="12"/>
  <c r="Y208" i="12"/>
  <c r="Z208" i="12"/>
  <c r="AL208" i="12"/>
  <c r="T209" i="12"/>
  <c r="U209" i="12"/>
  <c r="V209" i="12"/>
  <c r="W209" i="12"/>
  <c r="X209" i="12"/>
  <c r="Y209" i="12"/>
  <c r="Z209" i="12"/>
  <c r="AL209" i="12"/>
  <c r="T210" i="12"/>
  <c r="U210" i="12"/>
  <c r="V210" i="12"/>
  <c r="W210" i="12"/>
  <c r="X210" i="12"/>
  <c r="Y210" i="12"/>
  <c r="Z210" i="12"/>
  <c r="AL210" i="12"/>
  <c r="T211" i="12"/>
  <c r="U211" i="12"/>
  <c r="V211" i="12"/>
  <c r="W211" i="12"/>
  <c r="X211" i="12"/>
  <c r="Y211" i="12"/>
  <c r="Z211" i="12"/>
  <c r="AL211" i="12"/>
  <c r="T212" i="12"/>
  <c r="V212" i="12" s="1"/>
  <c r="U212" i="12"/>
  <c r="W212" i="12"/>
  <c r="X212" i="12"/>
  <c r="Y212" i="12"/>
  <c r="Z212" i="12"/>
  <c r="AL212" i="12"/>
  <c r="T213" i="12"/>
  <c r="U213" i="12"/>
  <c r="V213" i="12"/>
  <c r="W213" i="12"/>
  <c r="X213" i="12"/>
  <c r="Y213" i="12"/>
  <c r="Z213" i="12"/>
  <c r="AL213" i="12"/>
  <c r="T214" i="12"/>
  <c r="U214" i="12"/>
  <c r="V214" i="12"/>
  <c r="W214" i="12"/>
  <c r="X214" i="12"/>
  <c r="Y214" i="12"/>
  <c r="Z214" i="12"/>
  <c r="AL214" i="12"/>
  <c r="T215" i="12"/>
  <c r="V215" i="12" s="1"/>
  <c r="U215" i="12"/>
  <c r="W215" i="12"/>
  <c r="X215" i="12"/>
  <c r="Y215" i="12"/>
  <c r="Z215" i="12"/>
  <c r="AL215" i="12"/>
  <c r="T216" i="12"/>
  <c r="V216" i="12" s="1"/>
  <c r="U216" i="12"/>
  <c r="W216" i="12"/>
  <c r="X216" i="12"/>
  <c r="Y216" i="12"/>
  <c r="Z216" i="12"/>
  <c r="AL216" i="12"/>
  <c r="T217" i="12"/>
  <c r="U217" i="12"/>
  <c r="V217" i="12"/>
  <c r="W217" i="12"/>
  <c r="X217" i="12"/>
  <c r="Y217" i="12"/>
  <c r="Z217" i="12"/>
  <c r="AL217" i="12"/>
  <c r="T218" i="12"/>
  <c r="V218" i="12" s="1"/>
  <c r="U218" i="12"/>
  <c r="W218" i="12"/>
  <c r="X218" i="12"/>
  <c r="Y218" i="12"/>
  <c r="Z218" i="12"/>
  <c r="AJ218" i="12"/>
  <c r="AK218" i="12" s="1"/>
  <c r="AL218" i="12"/>
  <c r="T219" i="12"/>
  <c r="U219" i="12"/>
  <c r="W219" i="12"/>
  <c r="X219" i="12"/>
  <c r="Y219" i="12"/>
  <c r="Z219" i="12"/>
  <c r="AL219" i="12"/>
  <c r="T220" i="12"/>
  <c r="U220" i="12"/>
  <c r="V220" i="12"/>
  <c r="W220" i="12"/>
  <c r="X220" i="12"/>
  <c r="Y220" i="12"/>
  <c r="Z220" i="12"/>
  <c r="AL220" i="12"/>
  <c r="T221" i="12"/>
  <c r="U221" i="12"/>
  <c r="V221" i="12"/>
  <c r="W221" i="12"/>
  <c r="X221" i="12"/>
  <c r="Y221" i="12"/>
  <c r="Z221" i="12"/>
  <c r="AL221" i="12"/>
  <c r="T222" i="12"/>
  <c r="U222" i="12"/>
  <c r="W222" i="12"/>
  <c r="X222" i="12"/>
  <c r="Y222" i="12"/>
  <c r="Z222" i="12"/>
  <c r="AJ222" i="12"/>
  <c r="AK222" i="12" s="1"/>
  <c r="AL222" i="12"/>
  <c r="T223" i="12"/>
  <c r="U223" i="12"/>
  <c r="V223" i="12"/>
  <c r="W223" i="12"/>
  <c r="X223" i="12"/>
  <c r="Y223" i="12"/>
  <c r="Z223" i="12"/>
  <c r="AJ223" i="12"/>
  <c r="AK223" i="12" s="1"/>
  <c r="AL223" i="12"/>
  <c r="T224" i="12"/>
  <c r="U224" i="12"/>
  <c r="W224" i="12"/>
  <c r="X224" i="12"/>
  <c r="Y224" i="12"/>
  <c r="Z224" i="12"/>
  <c r="AL224" i="12"/>
  <c r="T225" i="12"/>
  <c r="U225" i="12"/>
  <c r="V225" i="12"/>
  <c r="W225" i="12"/>
  <c r="X225" i="12"/>
  <c r="Y225" i="12"/>
  <c r="Z225" i="12"/>
  <c r="AJ225" i="12"/>
  <c r="AK225" i="12" s="1"/>
  <c r="AL225" i="12"/>
  <c r="T226" i="12"/>
  <c r="V226" i="12"/>
  <c r="W226" i="12"/>
  <c r="X226" i="12"/>
  <c r="Y226" i="12"/>
  <c r="Z226" i="12"/>
  <c r="AJ226" i="12"/>
  <c r="AK226" i="12" s="1"/>
  <c r="AL226" i="12"/>
  <c r="T227" i="12"/>
  <c r="U227" i="12"/>
  <c r="V227" i="12"/>
  <c r="W227" i="12"/>
  <c r="X227" i="12"/>
  <c r="Y227" i="12"/>
  <c r="Z227" i="12"/>
  <c r="AL227" i="12"/>
  <c r="T228" i="12"/>
  <c r="U228" i="12"/>
  <c r="V228" i="12"/>
  <c r="W228" i="12"/>
  <c r="X228" i="12"/>
  <c r="Y228" i="12"/>
  <c r="Z228" i="12"/>
  <c r="AL228" i="12"/>
  <c r="T229" i="12"/>
  <c r="U229" i="12"/>
  <c r="V229" i="12"/>
  <c r="X229" i="12"/>
  <c r="Y229" i="12"/>
  <c r="Z229" i="12"/>
  <c r="AJ229" i="12"/>
  <c r="AK229" i="12" s="1"/>
  <c r="AL229" i="12"/>
  <c r="T230" i="12"/>
  <c r="U230" i="12"/>
  <c r="V230" i="12"/>
  <c r="W230" i="12"/>
  <c r="X230" i="12"/>
  <c r="Y230" i="12"/>
  <c r="Z230" i="12"/>
  <c r="AL230" i="12"/>
  <c r="T231" i="12"/>
  <c r="U231" i="12"/>
  <c r="V231" i="12"/>
  <c r="W231" i="12"/>
  <c r="X231" i="12"/>
  <c r="Y231" i="12"/>
  <c r="Z231" i="12"/>
  <c r="AL231" i="12"/>
  <c r="T232" i="12"/>
  <c r="U232" i="12"/>
  <c r="W232" i="12"/>
  <c r="X232" i="12"/>
  <c r="Y232" i="12"/>
  <c r="Z232" i="12"/>
  <c r="AJ232" i="12"/>
  <c r="AK232" i="12" s="1"/>
  <c r="AL232" i="12"/>
  <c r="T233" i="12"/>
  <c r="U233" i="12"/>
  <c r="V233" i="12"/>
  <c r="W233" i="12"/>
  <c r="X233" i="12"/>
  <c r="Y233" i="12"/>
  <c r="Z233" i="12"/>
  <c r="AL233" i="12"/>
  <c r="T234" i="12"/>
  <c r="U234" i="12"/>
  <c r="V234" i="12"/>
  <c r="W234" i="12"/>
  <c r="X234" i="12"/>
  <c r="Y234" i="12"/>
  <c r="Z234" i="12"/>
  <c r="AJ234" i="12"/>
  <c r="AK234" i="12" s="1"/>
  <c r="AL234" i="12"/>
  <c r="T235" i="12"/>
  <c r="U235" i="12"/>
  <c r="V235" i="12"/>
  <c r="W235" i="12"/>
  <c r="X235" i="12"/>
  <c r="Y235" i="12"/>
  <c r="Z235" i="12"/>
  <c r="AL235" i="12"/>
  <c r="T236" i="12"/>
  <c r="U236" i="12"/>
  <c r="V236" i="12"/>
  <c r="W236" i="12"/>
  <c r="X236" i="12"/>
  <c r="Y236" i="12"/>
  <c r="Z236" i="12"/>
  <c r="AL236" i="12"/>
  <c r="T237" i="12"/>
  <c r="U237" i="12"/>
  <c r="V237" i="12"/>
  <c r="W237" i="12"/>
  <c r="X237" i="12"/>
  <c r="Y237" i="12"/>
  <c r="Z237" i="12"/>
  <c r="AL237" i="12"/>
  <c r="T238" i="12"/>
  <c r="U238" i="12"/>
  <c r="V238" i="12"/>
  <c r="W238" i="12"/>
  <c r="X238" i="12"/>
  <c r="Y238" i="12"/>
  <c r="Z238" i="12"/>
  <c r="AL238" i="12"/>
  <c r="T239" i="12"/>
  <c r="U239" i="12"/>
  <c r="V239" i="12"/>
  <c r="W239" i="12"/>
  <c r="X239" i="12"/>
  <c r="Y239" i="12"/>
  <c r="Z239" i="12"/>
  <c r="AL239" i="12"/>
  <c r="T240" i="12"/>
  <c r="U240" i="12"/>
  <c r="V240" i="12"/>
  <c r="W240" i="12"/>
  <c r="X240" i="12"/>
  <c r="Y240" i="12"/>
  <c r="Z240" i="12"/>
  <c r="AL240" i="12"/>
  <c r="T241" i="12"/>
  <c r="U241" i="12"/>
  <c r="V241" i="12"/>
  <c r="W241" i="12"/>
  <c r="X241" i="12"/>
  <c r="Y241" i="12"/>
  <c r="Z241" i="12"/>
  <c r="AL241" i="12"/>
  <c r="T242" i="12"/>
  <c r="U242" i="12"/>
  <c r="V242" i="12"/>
  <c r="W242" i="12"/>
  <c r="X242" i="12"/>
  <c r="Y242" i="12"/>
  <c r="Z242" i="12"/>
  <c r="AL242" i="12"/>
  <c r="T243" i="12"/>
  <c r="U243" i="12"/>
  <c r="V243" i="12"/>
  <c r="W243" i="12"/>
  <c r="X243" i="12"/>
  <c r="Y243" i="12"/>
  <c r="Z243" i="12"/>
  <c r="AJ243" i="12"/>
  <c r="AK243" i="12" s="1"/>
  <c r="AL243" i="12"/>
  <c r="T244" i="12"/>
  <c r="U244" i="12"/>
  <c r="V244" i="12"/>
  <c r="W244" i="12"/>
  <c r="X244" i="12"/>
  <c r="Y244" i="12"/>
  <c r="Z244" i="12"/>
  <c r="AL244" i="12"/>
  <c r="T245" i="12"/>
  <c r="U245" i="12"/>
  <c r="V245" i="12"/>
  <c r="W245" i="12"/>
  <c r="X245" i="12"/>
  <c r="Y245" i="12"/>
  <c r="Z245" i="12"/>
  <c r="AJ245" i="12"/>
  <c r="AK245" i="12" s="1"/>
  <c r="AL245" i="12"/>
  <c r="T246" i="12"/>
  <c r="U246" i="12"/>
  <c r="V246" i="12"/>
  <c r="W246" i="12"/>
  <c r="X246" i="12"/>
  <c r="Y246" i="12"/>
  <c r="Z246" i="12"/>
  <c r="AL246" i="12"/>
  <c r="T247" i="12"/>
  <c r="U247" i="12"/>
  <c r="V247" i="12"/>
  <c r="W247" i="12"/>
  <c r="X247" i="12"/>
  <c r="Y247" i="12"/>
  <c r="Z247" i="12"/>
  <c r="AJ247" i="12"/>
  <c r="AK247" i="12" s="1"/>
  <c r="AL247" i="12"/>
  <c r="T248" i="12"/>
  <c r="U248" i="12"/>
  <c r="V248" i="12"/>
  <c r="W248" i="12"/>
  <c r="X248" i="12"/>
  <c r="Y248" i="12"/>
  <c r="Z248" i="12"/>
  <c r="AL248" i="12"/>
  <c r="T249" i="12"/>
  <c r="U249" i="12"/>
  <c r="V249" i="12"/>
  <c r="W249" i="12"/>
  <c r="X249" i="12"/>
  <c r="Y249" i="12"/>
  <c r="Z249" i="12"/>
  <c r="AL249" i="12"/>
  <c r="T250" i="12"/>
  <c r="U250" i="12"/>
  <c r="V250" i="12"/>
  <c r="W250" i="12"/>
  <c r="X250" i="12"/>
  <c r="Y250" i="12"/>
  <c r="Z250" i="12"/>
  <c r="AL250" i="12"/>
  <c r="T251" i="12"/>
  <c r="U251" i="12"/>
  <c r="V251" i="12"/>
  <c r="W251" i="12"/>
  <c r="X251" i="12"/>
  <c r="Y251" i="12"/>
  <c r="Z251" i="12"/>
  <c r="AL251" i="12"/>
  <c r="T252" i="12"/>
  <c r="U252" i="12"/>
  <c r="V252" i="12"/>
  <c r="W252" i="12"/>
  <c r="X252" i="12"/>
  <c r="Y252" i="12"/>
  <c r="Z252" i="12"/>
  <c r="AJ252" i="12"/>
  <c r="AK252" i="12" s="1"/>
  <c r="AL252" i="12"/>
  <c r="T253" i="12"/>
  <c r="U253" i="12"/>
  <c r="V253" i="12"/>
  <c r="W253" i="12"/>
  <c r="X253" i="12"/>
  <c r="Y253" i="12"/>
  <c r="Z253" i="12"/>
  <c r="AL253" i="12"/>
  <c r="T254" i="12"/>
  <c r="U254" i="12"/>
  <c r="V254" i="12"/>
  <c r="W254" i="12"/>
  <c r="X254" i="12"/>
  <c r="Y254" i="12"/>
  <c r="Z254" i="12"/>
  <c r="AL254" i="12"/>
  <c r="T255" i="12"/>
  <c r="U255" i="12"/>
  <c r="V255" i="12"/>
  <c r="W255" i="12"/>
  <c r="X255" i="12"/>
  <c r="Y255" i="12"/>
  <c r="Z255" i="12"/>
  <c r="AJ255" i="12"/>
  <c r="AK255" i="12" s="1"/>
  <c r="AL255" i="12"/>
  <c r="T256" i="12"/>
  <c r="U256" i="12"/>
  <c r="V256" i="12"/>
  <c r="W256" i="12"/>
  <c r="X256" i="12"/>
  <c r="Y256" i="12"/>
  <c r="Z256" i="12"/>
  <c r="AL256" i="12"/>
  <c r="T257" i="12"/>
  <c r="U257" i="12"/>
  <c r="V257" i="12"/>
  <c r="W257" i="12"/>
  <c r="X257" i="12"/>
  <c r="Y257" i="12"/>
  <c r="Z257" i="12"/>
  <c r="AL257" i="12"/>
  <c r="T258" i="12"/>
  <c r="U258" i="12"/>
  <c r="V258" i="12"/>
  <c r="W258" i="12"/>
  <c r="X258" i="12"/>
  <c r="Y258" i="12"/>
  <c r="Z258" i="12"/>
  <c r="AL258" i="12"/>
  <c r="T259" i="12"/>
  <c r="U259" i="12"/>
  <c r="V259" i="12"/>
  <c r="W259" i="12"/>
  <c r="X259" i="12"/>
  <c r="Y259" i="12"/>
  <c r="Z259" i="12"/>
  <c r="AJ259" i="12"/>
  <c r="AK259" i="12" s="1"/>
  <c r="AL259" i="12"/>
  <c r="T260" i="12"/>
  <c r="U260" i="12"/>
  <c r="V260" i="12"/>
  <c r="W260" i="12"/>
  <c r="X260" i="12"/>
  <c r="Y260" i="12"/>
  <c r="Z260" i="12"/>
  <c r="AL260" i="12"/>
  <c r="T261" i="12"/>
  <c r="U261" i="12"/>
  <c r="V261" i="12"/>
  <c r="W261" i="12"/>
  <c r="X261" i="12"/>
  <c r="Y261" i="12"/>
  <c r="Z261" i="12"/>
  <c r="AL261" i="12"/>
  <c r="T262" i="12"/>
  <c r="U262" i="12"/>
  <c r="V262" i="12"/>
  <c r="W262" i="12"/>
  <c r="X262" i="12"/>
  <c r="Y262" i="12"/>
  <c r="Z262" i="12"/>
  <c r="AL262" i="12"/>
  <c r="T263" i="12"/>
  <c r="U263" i="12"/>
  <c r="V263" i="12"/>
  <c r="W263" i="12"/>
  <c r="X263" i="12"/>
  <c r="Y263" i="12"/>
  <c r="Z263" i="12"/>
  <c r="AL263" i="12"/>
  <c r="T264" i="12"/>
  <c r="U264" i="12"/>
  <c r="V264" i="12"/>
  <c r="W264" i="12"/>
  <c r="X264" i="12"/>
  <c r="Y264" i="12"/>
  <c r="Z264" i="12"/>
  <c r="AJ264" i="12"/>
  <c r="AK264" i="12" s="1"/>
  <c r="AL264" i="12"/>
  <c r="T265" i="12"/>
  <c r="U265" i="12"/>
  <c r="V265" i="12"/>
  <c r="W265" i="12"/>
  <c r="X265" i="12"/>
  <c r="Y265" i="12"/>
  <c r="Z265" i="12"/>
  <c r="AL265" i="12"/>
  <c r="T266" i="12"/>
  <c r="U266" i="12"/>
  <c r="V266" i="12"/>
  <c r="W266" i="12"/>
  <c r="X266" i="12"/>
  <c r="Y266" i="12"/>
  <c r="Z266" i="12"/>
  <c r="AL266" i="12"/>
  <c r="T267" i="12"/>
  <c r="U267" i="12"/>
  <c r="V267" i="12"/>
  <c r="W267" i="12"/>
  <c r="X267" i="12"/>
  <c r="Y267" i="12"/>
  <c r="Z267" i="12"/>
  <c r="AL267" i="12"/>
  <c r="T268" i="12"/>
  <c r="U268" i="12"/>
  <c r="V268" i="12"/>
  <c r="W268" i="12"/>
  <c r="X268" i="12"/>
  <c r="Y268" i="12"/>
  <c r="Z268" i="12"/>
  <c r="AL268" i="12"/>
  <c r="T269" i="12"/>
  <c r="U269" i="12"/>
  <c r="V269" i="12"/>
  <c r="W269" i="12"/>
  <c r="X269" i="12"/>
  <c r="Y269" i="12"/>
  <c r="Z269" i="12"/>
  <c r="AL269" i="12"/>
  <c r="T270" i="12"/>
  <c r="U270" i="12"/>
  <c r="V270" i="12"/>
  <c r="W270" i="12"/>
  <c r="X270" i="12"/>
  <c r="Y270" i="12"/>
  <c r="Z270" i="12"/>
  <c r="AL270" i="12"/>
  <c r="T271" i="12"/>
  <c r="U271" i="12"/>
  <c r="V271" i="12"/>
  <c r="W271" i="12"/>
  <c r="X271" i="12"/>
  <c r="Y271" i="12"/>
  <c r="Z271" i="12"/>
  <c r="AJ271" i="12"/>
  <c r="AK271" i="12" s="1"/>
  <c r="AL271" i="12"/>
  <c r="T272" i="12"/>
  <c r="U272" i="12"/>
  <c r="V272" i="12"/>
  <c r="W272" i="12"/>
  <c r="X272" i="12"/>
  <c r="Y272" i="12"/>
  <c r="Z272" i="12"/>
  <c r="AJ272" i="12"/>
  <c r="AK272" i="12" s="1"/>
  <c r="AL272" i="12"/>
  <c r="T273" i="12"/>
  <c r="U273" i="12"/>
  <c r="V273" i="12"/>
  <c r="W273" i="12"/>
  <c r="X273" i="12"/>
  <c r="Y273" i="12"/>
  <c r="Z273" i="12"/>
  <c r="AJ273" i="12"/>
  <c r="AK273" i="12" s="1"/>
  <c r="AL273" i="12"/>
  <c r="T274" i="12"/>
  <c r="U274" i="12"/>
  <c r="V274" i="12"/>
  <c r="W274" i="12"/>
  <c r="X274" i="12"/>
  <c r="Y274" i="12"/>
  <c r="Z274" i="12"/>
  <c r="AL274" i="12"/>
  <c r="T275" i="12"/>
  <c r="U275" i="12"/>
  <c r="V275" i="12"/>
  <c r="W275" i="12"/>
  <c r="X275" i="12"/>
  <c r="Y275" i="12"/>
  <c r="Z275" i="12"/>
  <c r="AL275" i="12"/>
  <c r="T276" i="12"/>
  <c r="U276" i="12"/>
  <c r="V276" i="12"/>
  <c r="W276" i="12"/>
  <c r="X276" i="12"/>
  <c r="Y276" i="12"/>
  <c r="Z276" i="12"/>
  <c r="AL276" i="12"/>
  <c r="T277" i="12"/>
  <c r="U277" i="12"/>
  <c r="V277" i="12"/>
  <c r="W277" i="12"/>
  <c r="X277" i="12"/>
  <c r="Y277" i="12"/>
  <c r="Z277" i="12"/>
  <c r="AL277" i="12"/>
  <c r="T278" i="12"/>
  <c r="U278" i="12"/>
  <c r="V278" i="12"/>
  <c r="W278" i="12"/>
  <c r="X278" i="12"/>
  <c r="Y278" i="12"/>
  <c r="Z278" i="12"/>
  <c r="AL278" i="12"/>
  <c r="T279" i="12"/>
  <c r="U279" i="12"/>
  <c r="V279" i="12"/>
  <c r="W279" i="12"/>
  <c r="X279" i="12"/>
  <c r="Y279" i="12"/>
  <c r="Z279" i="12"/>
  <c r="AL279" i="12"/>
  <c r="T280" i="12"/>
  <c r="U280" i="12"/>
  <c r="V280" i="12"/>
  <c r="W280" i="12"/>
  <c r="X280" i="12"/>
  <c r="Y280" i="12"/>
  <c r="Z280" i="12"/>
  <c r="AL280" i="12"/>
  <c r="T281" i="12"/>
  <c r="U281" i="12"/>
  <c r="V281" i="12"/>
  <c r="W281" i="12"/>
  <c r="X281" i="12"/>
  <c r="Y281" i="12"/>
  <c r="Z281" i="12"/>
  <c r="AL281" i="12"/>
  <c r="T282" i="12"/>
  <c r="U282" i="12"/>
  <c r="V282" i="12"/>
  <c r="W282" i="12"/>
  <c r="X282" i="12"/>
  <c r="Y282" i="12"/>
  <c r="Z282" i="12"/>
  <c r="AJ282" i="12"/>
  <c r="AK282" i="12" s="1"/>
  <c r="AL282" i="12"/>
  <c r="T283" i="12"/>
  <c r="U283" i="12"/>
  <c r="V283" i="12"/>
  <c r="W283" i="12"/>
  <c r="X283" i="12"/>
  <c r="Y283" i="12"/>
  <c r="Z283" i="12"/>
  <c r="AJ283" i="12"/>
  <c r="AK283" i="12" s="1"/>
  <c r="AL283" i="12"/>
  <c r="T284" i="12"/>
  <c r="U284" i="12"/>
  <c r="V284" i="12"/>
  <c r="W284" i="12"/>
  <c r="X284" i="12"/>
  <c r="Y284" i="12"/>
  <c r="Z284" i="12"/>
  <c r="AJ284" i="12"/>
  <c r="AK284" i="12" s="1"/>
  <c r="AL284" i="12"/>
  <c r="T285" i="12"/>
  <c r="V285" i="12" s="1"/>
  <c r="U285" i="12"/>
  <c r="W285" i="12"/>
  <c r="X285" i="12"/>
  <c r="Y285" i="12"/>
  <c r="Z285" i="12"/>
  <c r="AL285" i="12"/>
  <c r="T286" i="12"/>
  <c r="U286" i="12"/>
  <c r="V286" i="12"/>
  <c r="W286" i="12"/>
  <c r="X286" i="12"/>
  <c r="Y286" i="12"/>
  <c r="Z286" i="12"/>
  <c r="AJ286" i="12"/>
  <c r="AK286" i="12" s="1"/>
  <c r="AL286" i="12"/>
  <c r="T287" i="12"/>
  <c r="U287" i="12"/>
  <c r="V287" i="12"/>
  <c r="W287" i="12"/>
  <c r="X287" i="12"/>
  <c r="Y287" i="12"/>
  <c r="Z287" i="12"/>
  <c r="AL287" i="12"/>
  <c r="T288" i="12"/>
  <c r="U288" i="12"/>
  <c r="V288" i="12"/>
  <c r="W288" i="12"/>
  <c r="X288" i="12"/>
  <c r="Y288" i="12"/>
  <c r="Z288" i="12"/>
  <c r="AL288" i="12"/>
  <c r="T289" i="12"/>
  <c r="V289" i="12" s="1"/>
  <c r="U289" i="12"/>
  <c r="W289" i="12"/>
  <c r="X289" i="12"/>
  <c r="Y289" i="12"/>
  <c r="Z289" i="12"/>
  <c r="AL289" i="12"/>
  <c r="T290" i="12"/>
  <c r="V290" i="12" s="1"/>
  <c r="U290" i="12"/>
  <c r="W290" i="12"/>
  <c r="X290" i="12"/>
  <c r="Y290" i="12"/>
  <c r="Z290" i="12"/>
  <c r="AL290" i="12"/>
  <c r="T291" i="12"/>
  <c r="U291" i="12"/>
  <c r="V291" i="12"/>
  <c r="W291" i="12"/>
  <c r="X291" i="12"/>
  <c r="Y291" i="12"/>
  <c r="Z291" i="12"/>
  <c r="AJ291" i="12"/>
  <c r="AK291" i="12" s="1"/>
  <c r="AL291" i="12"/>
  <c r="T292" i="12"/>
  <c r="U292" i="12"/>
  <c r="V292" i="12"/>
  <c r="W292" i="12"/>
  <c r="X292" i="12"/>
  <c r="Y292" i="12"/>
  <c r="Z292" i="12"/>
  <c r="AJ292" i="12"/>
  <c r="AK292" i="12" s="1"/>
  <c r="AL292" i="12"/>
  <c r="T293" i="12"/>
  <c r="V293" i="12" s="1"/>
  <c r="U293" i="12"/>
  <c r="W293" i="12"/>
  <c r="X293" i="12"/>
  <c r="Y293" i="12"/>
  <c r="Z293" i="12"/>
  <c r="AJ293" i="12"/>
  <c r="AK293" i="12" s="1"/>
  <c r="AL293" i="12"/>
  <c r="T294" i="12"/>
  <c r="V294" i="12" s="1"/>
  <c r="U294" i="12"/>
  <c r="W294" i="12"/>
  <c r="X294" i="12"/>
  <c r="Y294" i="12"/>
  <c r="Z294" i="12"/>
  <c r="AJ294" i="12"/>
  <c r="AK294" i="12" s="1"/>
  <c r="AL294" i="12"/>
  <c r="T295" i="12"/>
  <c r="U295" i="12"/>
  <c r="V295" i="12"/>
  <c r="W295" i="12"/>
  <c r="X295" i="12"/>
  <c r="Y295" i="12"/>
  <c r="Z295" i="12"/>
  <c r="AL295" i="12"/>
  <c r="T296" i="12"/>
  <c r="U296" i="12"/>
  <c r="V296" i="12"/>
  <c r="W296" i="12"/>
  <c r="X296" i="12"/>
  <c r="Y296" i="12"/>
  <c r="Z296" i="12"/>
  <c r="AL296" i="12"/>
  <c r="T297" i="12"/>
  <c r="U297" i="12"/>
  <c r="V297" i="12"/>
  <c r="W297" i="12"/>
  <c r="X297" i="12"/>
  <c r="Y297" i="12"/>
  <c r="Z297" i="12"/>
  <c r="AL297" i="12"/>
  <c r="T298" i="12"/>
  <c r="U298" i="12"/>
  <c r="V298" i="12"/>
  <c r="W298" i="12"/>
  <c r="X298" i="12"/>
  <c r="Y298" i="12"/>
  <c r="Z298" i="12"/>
  <c r="AL298" i="12"/>
  <c r="T299" i="12"/>
  <c r="U299" i="12"/>
  <c r="V299" i="12"/>
  <c r="W299" i="12"/>
  <c r="X299" i="12"/>
  <c r="Y299" i="12"/>
  <c r="Z299" i="12"/>
  <c r="AL299" i="12"/>
  <c r="T300" i="12"/>
  <c r="V300" i="12" s="1"/>
  <c r="U300" i="12"/>
  <c r="W300" i="12"/>
  <c r="X300" i="12"/>
  <c r="Y300" i="12"/>
  <c r="Z300" i="12"/>
  <c r="AL300" i="12"/>
  <c r="T301" i="12"/>
  <c r="U301" i="12"/>
  <c r="V301" i="12"/>
  <c r="W301" i="12"/>
  <c r="X301" i="12"/>
  <c r="Y301" i="12"/>
  <c r="Z301" i="12"/>
  <c r="AJ301" i="12"/>
  <c r="AK301" i="12" s="1"/>
  <c r="AL301" i="12"/>
  <c r="T302" i="12"/>
  <c r="U302" i="12"/>
  <c r="V302" i="12"/>
  <c r="W302" i="12"/>
  <c r="X302" i="12"/>
  <c r="Y302" i="12"/>
  <c r="Z302" i="12"/>
  <c r="AL302" i="12"/>
  <c r="T303" i="12"/>
  <c r="U303" i="12"/>
  <c r="W303" i="12"/>
  <c r="X303" i="12"/>
  <c r="Y303" i="12"/>
  <c r="Z303" i="12"/>
  <c r="AJ303" i="12"/>
  <c r="AK303" i="12" s="1"/>
  <c r="AL303" i="12"/>
  <c r="T304" i="12"/>
  <c r="U304" i="12"/>
  <c r="V304" i="12"/>
  <c r="W304" i="12"/>
  <c r="X304" i="12"/>
  <c r="Y304" i="12"/>
  <c r="Z304" i="12"/>
  <c r="AL304" i="12"/>
  <c r="T305" i="12"/>
  <c r="U305" i="12"/>
  <c r="V305" i="12"/>
  <c r="W305" i="12"/>
  <c r="X305" i="12"/>
  <c r="Y305" i="12"/>
  <c r="Z305" i="12"/>
  <c r="AL305" i="12"/>
  <c r="T306" i="12"/>
  <c r="U306" i="12"/>
  <c r="V306" i="12"/>
  <c r="W306" i="12"/>
  <c r="X306" i="12"/>
  <c r="Y306" i="12"/>
  <c r="Z306" i="12"/>
  <c r="AJ306" i="12"/>
  <c r="AK306" i="12" s="1"/>
  <c r="AL306" i="12"/>
  <c r="T307" i="12"/>
  <c r="U307" i="12"/>
  <c r="W307" i="12"/>
  <c r="X307" i="12"/>
  <c r="Y307" i="12"/>
  <c r="Z307" i="12"/>
  <c r="AJ307" i="12"/>
  <c r="AK307" i="12" s="1"/>
  <c r="AL307" i="12"/>
  <c r="T308" i="12"/>
  <c r="U308" i="12"/>
  <c r="W308" i="12"/>
  <c r="X308" i="12"/>
  <c r="Y308" i="12"/>
  <c r="Z308" i="12"/>
  <c r="AJ308" i="12"/>
  <c r="AK308" i="12" s="1"/>
  <c r="AL308" i="12"/>
  <c r="T309" i="12"/>
  <c r="U309" i="12"/>
  <c r="V309" i="12"/>
  <c r="W309" i="12"/>
  <c r="X309" i="12"/>
  <c r="Y309" i="12"/>
  <c r="Z309" i="12"/>
  <c r="AL309" i="12"/>
  <c r="T310" i="12"/>
  <c r="U310" i="12"/>
  <c r="W310" i="12"/>
  <c r="X310" i="12"/>
  <c r="Y310" i="12"/>
  <c r="Z310" i="12"/>
  <c r="AL310" i="12"/>
  <c r="T311" i="12"/>
  <c r="U311" i="12"/>
  <c r="W311" i="12"/>
  <c r="X311" i="12"/>
  <c r="Y311" i="12"/>
  <c r="Z311" i="12"/>
  <c r="AJ311" i="12"/>
  <c r="AK311" i="12" s="1"/>
  <c r="AL311" i="12"/>
  <c r="T312" i="12"/>
  <c r="U312" i="12"/>
  <c r="W312" i="12"/>
  <c r="X312" i="12"/>
  <c r="Y312" i="12"/>
  <c r="Z312" i="12"/>
  <c r="AJ312" i="12"/>
  <c r="AK312" i="12" s="1"/>
  <c r="AL312" i="12"/>
  <c r="T313" i="12"/>
  <c r="U313" i="12"/>
  <c r="V313" i="12"/>
  <c r="W313" i="12"/>
  <c r="X313" i="12"/>
  <c r="Y313" i="12"/>
  <c r="Z313" i="12"/>
  <c r="AL313" i="12"/>
  <c r="T314" i="12"/>
  <c r="U314" i="12"/>
  <c r="V314" i="12"/>
  <c r="W314" i="12"/>
  <c r="X314" i="12"/>
  <c r="Y314" i="12"/>
  <c r="Z314" i="12"/>
  <c r="AL314" i="12"/>
  <c r="T315" i="12"/>
  <c r="U315" i="12"/>
  <c r="V315" i="12"/>
  <c r="W315" i="12"/>
  <c r="X315" i="12"/>
  <c r="Y315" i="12"/>
  <c r="Z315" i="12"/>
  <c r="AL315" i="12"/>
  <c r="T316" i="12"/>
  <c r="U316" i="12"/>
  <c r="V316" i="12"/>
  <c r="W316" i="12"/>
  <c r="X316" i="12"/>
  <c r="Y316" i="12"/>
  <c r="Z316" i="12"/>
  <c r="AL316" i="12"/>
  <c r="T317" i="12"/>
  <c r="U317" i="12"/>
  <c r="V317" i="12"/>
  <c r="W317" i="12"/>
  <c r="X317" i="12"/>
  <c r="Y317" i="12"/>
  <c r="Z317" i="12"/>
  <c r="AL317" i="12"/>
  <c r="T318" i="12"/>
  <c r="U318" i="12"/>
  <c r="W318" i="12"/>
  <c r="X318" i="12"/>
  <c r="Y318" i="12"/>
  <c r="Z318" i="12"/>
  <c r="AL318" i="12"/>
  <c r="T319" i="12"/>
  <c r="U319" i="12"/>
  <c r="V319" i="12"/>
  <c r="W319" i="12"/>
  <c r="X319" i="12"/>
  <c r="Y319" i="12"/>
  <c r="Z319" i="12"/>
  <c r="AL319" i="12"/>
  <c r="T320" i="12"/>
  <c r="W320" i="12" s="1"/>
  <c r="U320" i="12"/>
  <c r="V320" i="12"/>
  <c r="X320" i="12"/>
  <c r="Y320" i="12"/>
  <c r="Z320" i="12"/>
  <c r="AL320" i="12"/>
  <c r="T321" i="12"/>
  <c r="U321" i="12"/>
  <c r="V321" i="12"/>
  <c r="X321" i="12"/>
  <c r="Y321" i="12"/>
  <c r="Z321" i="12"/>
  <c r="AL321" i="12"/>
  <c r="T322" i="12"/>
  <c r="V322" i="12"/>
  <c r="W322" i="12"/>
  <c r="X322" i="12"/>
  <c r="Y322" i="12"/>
  <c r="Z322" i="12"/>
  <c r="AL322" i="12"/>
  <c r="T323" i="12"/>
  <c r="U323" i="12"/>
  <c r="W323" i="12"/>
  <c r="X323" i="12"/>
  <c r="Y323" i="12"/>
  <c r="Z323" i="12"/>
  <c r="AL323" i="12"/>
  <c r="T324" i="12"/>
  <c r="U324" i="12"/>
  <c r="V324" i="12"/>
  <c r="W324" i="12"/>
  <c r="X324" i="12"/>
  <c r="Y324" i="12"/>
  <c r="Z324" i="12"/>
  <c r="AL324" i="12"/>
  <c r="T325" i="12"/>
  <c r="U325" i="12"/>
  <c r="W325" i="12"/>
  <c r="X325" i="12"/>
  <c r="Y325" i="12"/>
  <c r="Z325" i="12"/>
  <c r="AJ325" i="12"/>
  <c r="AK325" i="12" s="1"/>
  <c r="AL325" i="12"/>
  <c r="T326" i="12"/>
  <c r="U326" i="12"/>
  <c r="W326" i="12"/>
  <c r="X326" i="12"/>
  <c r="Y326" i="12"/>
  <c r="Z326" i="12"/>
  <c r="AL326" i="12"/>
  <c r="T327" i="12"/>
  <c r="U327" i="12"/>
  <c r="W327" i="12"/>
  <c r="X327" i="12"/>
  <c r="Y327" i="12"/>
  <c r="Z327" i="12"/>
  <c r="AL327" i="12"/>
  <c r="T328" i="12"/>
  <c r="U328" i="12"/>
  <c r="V328" i="12"/>
  <c r="W328" i="12"/>
  <c r="X328" i="12"/>
  <c r="Y328" i="12"/>
  <c r="Z328" i="12"/>
  <c r="AJ328" i="12"/>
  <c r="AK328" i="12" s="1"/>
  <c r="AL328" i="12"/>
  <c r="T329" i="12"/>
  <c r="U329" i="12"/>
  <c r="W329" i="12"/>
  <c r="X329" i="12"/>
  <c r="Y329" i="12"/>
  <c r="Z329" i="12"/>
  <c r="AL329" i="12"/>
  <c r="T330" i="12"/>
  <c r="U330" i="12"/>
  <c r="V330" i="12"/>
  <c r="W330" i="12"/>
  <c r="X330" i="12"/>
  <c r="Y330" i="12"/>
  <c r="Z330" i="12"/>
  <c r="AL330" i="12"/>
  <c r="T331" i="12"/>
  <c r="U331" i="12"/>
  <c r="W331" i="12"/>
  <c r="X331" i="12"/>
  <c r="Y331" i="12"/>
  <c r="Z331" i="12"/>
  <c r="AJ331" i="12"/>
  <c r="AK331" i="12" s="1"/>
  <c r="AL331" i="12"/>
  <c r="T332" i="12"/>
  <c r="U332" i="12"/>
  <c r="V332" i="12"/>
  <c r="W332" i="12"/>
  <c r="X332" i="12"/>
  <c r="Y332" i="12"/>
  <c r="Z332" i="12"/>
  <c r="AL332" i="12"/>
  <c r="T333" i="12"/>
  <c r="U333" i="12"/>
  <c r="V333" i="12"/>
  <c r="X333" i="12"/>
  <c r="Y333" i="12"/>
  <c r="Z333" i="12"/>
  <c r="AL333" i="12"/>
  <c r="T334" i="12"/>
  <c r="U334" i="12"/>
  <c r="V334" i="12"/>
  <c r="W334" i="12"/>
  <c r="X334" i="12"/>
  <c r="Y334" i="12"/>
  <c r="Z334" i="12"/>
  <c r="AJ334" i="12"/>
  <c r="AK334" i="12" s="1"/>
  <c r="AL334" i="12"/>
  <c r="T335" i="12"/>
  <c r="U335" i="12"/>
  <c r="W335" i="12"/>
  <c r="X335" i="12"/>
  <c r="Y335" i="12"/>
  <c r="Z335" i="12"/>
  <c r="AJ335" i="12"/>
  <c r="AK335" i="12" s="1"/>
  <c r="AL335" i="12"/>
  <c r="T336" i="12"/>
  <c r="V336" i="12"/>
  <c r="W336" i="12"/>
  <c r="X336" i="12"/>
  <c r="Y336" i="12"/>
  <c r="Z336" i="12"/>
  <c r="AL336" i="12"/>
  <c r="T337" i="12"/>
  <c r="U337" i="12"/>
  <c r="V337" i="12"/>
  <c r="W337" i="12"/>
  <c r="X337" i="12"/>
  <c r="Y337" i="12"/>
  <c r="Z337" i="12"/>
  <c r="AL337" i="12"/>
  <c r="T338" i="12"/>
  <c r="U338" i="12"/>
  <c r="V338" i="12"/>
  <c r="W338" i="12"/>
  <c r="X338" i="12"/>
  <c r="Y338" i="12"/>
  <c r="Z338" i="12"/>
  <c r="AJ338" i="12"/>
  <c r="AK338" i="12" s="1"/>
  <c r="AL338" i="12"/>
  <c r="T339" i="12"/>
  <c r="V339" i="12"/>
  <c r="W339" i="12"/>
  <c r="X339" i="12"/>
  <c r="Y339" i="12"/>
  <c r="Z339" i="12"/>
  <c r="AL339" i="12"/>
  <c r="T340" i="12"/>
  <c r="U340" i="12"/>
  <c r="V340" i="12"/>
  <c r="W340" i="12"/>
  <c r="X340" i="12"/>
  <c r="Y340" i="12"/>
  <c r="Z340" i="12"/>
  <c r="AL340" i="12"/>
  <c r="T341" i="12"/>
  <c r="U341" i="12" s="1"/>
  <c r="V341" i="12"/>
  <c r="W341" i="12"/>
  <c r="X341" i="12"/>
  <c r="Y341" i="12"/>
  <c r="Z341" i="12"/>
  <c r="AJ341" i="12"/>
  <c r="AK341" i="12" s="1"/>
  <c r="AL341" i="12"/>
  <c r="T342" i="12"/>
  <c r="U342" i="12"/>
  <c r="V342" i="12"/>
  <c r="W342" i="12"/>
  <c r="X342" i="12"/>
  <c r="Y342" i="12"/>
  <c r="Z342" i="12"/>
  <c r="AL342" i="12"/>
  <c r="T343" i="12"/>
  <c r="U343" i="12"/>
  <c r="V343" i="12"/>
  <c r="W343" i="12"/>
  <c r="X343" i="12"/>
  <c r="Y343" i="12"/>
  <c r="Z343" i="12"/>
  <c r="AL343" i="12"/>
  <c r="T344" i="12"/>
  <c r="U344" i="12"/>
  <c r="W344" i="12"/>
  <c r="X344" i="12"/>
  <c r="Y344" i="12"/>
  <c r="Z344" i="12"/>
  <c r="AJ344" i="12"/>
  <c r="AK344" i="12" s="1"/>
  <c r="AL344" i="12"/>
  <c r="T345" i="12"/>
  <c r="U345" i="12"/>
  <c r="W345" i="12"/>
  <c r="X345" i="12"/>
  <c r="Y345" i="12"/>
  <c r="Z345" i="12"/>
  <c r="AL345" i="12"/>
  <c r="T346" i="12"/>
  <c r="U346" i="12"/>
  <c r="V346" i="12"/>
  <c r="W346" i="12"/>
  <c r="X346" i="12"/>
  <c r="Y346" i="12"/>
  <c r="Z346" i="12"/>
  <c r="AJ346" i="12"/>
  <c r="AK346" i="12" s="1"/>
  <c r="AL346" i="12"/>
  <c r="T347" i="12"/>
  <c r="U347" i="12"/>
  <c r="V347" i="12"/>
  <c r="W347" i="12"/>
  <c r="X347" i="12"/>
  <c r="Y347" i="12"/>
  <c r="Z347" i="12"/>
  <c r="AL347" i="12"/>
  <c r="T348" i="12"/>
  <c r="U348" i="12"/>
  <c r="V348" i="12"/>
  <c r="W348" i="12"/>
  <c r="X348" i="12"/>
  <c r="Y348" i="12"/>
  <c r="Z348" i="12"/>
  <c r="AL348" i="12"/>
  <c r="T349" i="12"/>
  <c r="U349" i="12"/>
  <c r="V349" i="12"/>
  <c r="W349" i="12"/>
  <c r="X349" i="12"/>
  <c r="Y349" i="12"/>
  <c r="Z349" i="12"/>
  <c r="AL349" i="12"/>
  <c r="T350" i="12"/>
  <c r="U350" i="12"/>
  <c r="V350" i="12"/>
  <c r="W350" i="12"/>
  <c r="X350" i="12"/>
  <c r="Y350" i="12"/>
  <c r="Z350" i="12"/>
  <c r="AL350" i="12"/>
  <c r="T351" i="12"/>
  <c r="U351" i="12"/>
  <c r="V351" i="12"/>
  <c r="W351" i="12"/>
  <c r="X351" i="12"/>
  <c r="Y351" i="12"/>
  <c r="Z351" i="12"/>
  <c r="AJ351" i="12"/>
  <c r="AK351" i="12" s="1"/>
  <c r="AL351" i="12"/>
  <c r="T352" i="12"/>
  <c r="U352" i="12"/>
  <c r="W352" i="12"/>
  <c r="X352" i="12"/>
  <c r="Y352" i="12"/>
  <c r="Z352" i="12"/>
  <c r="AL352" i="12"/>
  <c r="T353" i="12"/>
  <c r="U353" i="12"/>
  <c r="W353" i="12"/>
  <c r="X353" i="12"/>
  <c r="Y353" i="12"/>
  <c r="Z353" i="12"/>
  <c r="AL353" i="12"/>
  <c r="T354" i="12"/>
  <c r="U354" i="12"/>
  <c r="V354" i="12"/>
  <c r="W354" i="12"/>
  <c r="X354" i="12"/>
  <c r="Y354" i="12"/>
  <c r="Z354" i="12"/>
  <c r="AJ354" i="12"/>
  <c r="AK354" i="12" s="1"/>
  <c r="AL354" i="12"/>
  <c r="T355" i="12"/>
  <c r="U355" i="12"/>
  <c r="W355" i="12"/>
  <c r="X355" i="12"/>
  <c r="Y355" i="12"/>
  <c r="Z355" i="12"/>
  <c r="AL355" i="12"/>
  <c r="T356" i="12"/>
  <c r="V356" i="12"/>
  <c r="W356" i="12"/>
  <c r="X356" i="12"/>
  <c r="Y356" i="12"/>
  <c r="Z356" i="12"/>
  <c r="AL356" i="12"/>
  <c r="T357" i="12"/>
  <c r="U357" i="12"/>
  <c r="V357" i="12"/>
  <c r="W357" i="12"/>
  <c r="X357" i="12"/>
  <c r="Y357" i="12"/>
  <c r="Z357" i="12"/>
  <c r="AL357" i="12"/>
  <c r="T358" i="12"/>
  <c r="U358" i="12"/>
  <c r="V358" i="12"/>
  <c r="W358" i="12"/>
  <c r="X358" i="12"/>
  <c r="Y358" i="12"/>
  <c r="Z358" i="12"/>
  <c r="AJ358" i="12"/>
  <c r="AK358" i="12" s="1"/>
  <c r="AL358" i="12"/>
  <c r="T359" i="12"/>
  <c r="U359" i="12"/>
  <c r="V359" i="12"/>
  <c r="W359" i="12"/>
  <c r="X359" i="12"/>
  <c r="Y359" i="12"/>
  <c r="Z359" i="12"/>
  <c r="AL359" i="12"/>
  <c r="T360" i="12"/>
  <c r="U360" i="12"/>
  <c r="V360" i="12"/>
  <c r="W360" i="12"/>
  <c r="X360" i="12"/>
  <c r="Y360" i="12"/>
  <c r="Z360" i="12"/>
  <c r="AL360" i="12"/>
  <c r="T361" i="12"/>
  <c r="U361" i="12"/>
  <c r="V361" i="12"/>
  <c r="W361" i="12"/>
  <c r="X361" i="12"/>
  <c r="Y361" i="12"/>
  <c r="Z361" i="12"/>
  <c r="AL361" i="12"/>
  <c r="T362" i="12"/>
  <c r="U362" i="12"/>
  <c r="V362" i="12"/>
  <c r="W362" i="12"/>
  <c r="X362" i="12"/>
  <c r="Y362" i="12"/>
  <c r="Z362" i="12"/>
  <c r="AL362" i="12"/>
  <c r="T363" i="12"/>
  <c r="U363" i="12"/>
  <c r="V363" i="12"/>
  <c r="W363" i="12"/>
  <c r="X363" i="12"/>
  <c r="Y363" i="12"/>
  <c r="Z363" i="12"/>
  <c r="AL363" i="12"/>
  <c r="T364" i="12"/>
  <c r="V364" i="12"/>
  <c r="W364" i="12"/>
  <c r="X364" i="12"/>
  <c r="Y364" i="12"/>
  <c r="Z364" i="12"/>
  <c r="AL364" i="12"/>
  <c r="T365" i="12"/>
  <c r="U365" i="12"/>
  <c r="V365" i="12"/>
  <c r="W365" i="12"/>
  <c r="X365" i="12"/>
  <c r="Y365" i="12"/>
  <c r="Z365" i="12"/>
  <c r="AL365" i="12"/>
  <c r="T366" i="12"/>
  <c r="U366" i="12"/>
  <c r="V366" i="12"/>
  <c r="W366" i="12"/>
  <c r="X366" i="12"/>
  <c r="Y366" i="12"/>
  <c r="Z366" i="12"/>
  <c r="AJ366" i="12"/>
  <c r="AK366" i="12" s="1"/>
  <c r="AL366" i="12"/>
  <c r="T367" i="12"/>
  <c r="U367" i="12"/>
  <c r="W367" i="12"/>
  <c r="X367" i="12"/>
  <c r="Y367" i="12"/>
  <c r="Z367" i="12"/>
  <c r="AL367" i="12"/>
  <c r="T368" i="12"/>
  <c r="U368" i="12"/>
  <c r="V368" i="12"/>
  <c r="W368" i="12"/>
  <c r="X368" i="12"/>
  <c r="Y368" i="12"/>
  <c r="Z368" i="12"/>
  <c r="AL368" i="12"/>
  <c r="T369" i="12"/>
  <c r="U369" i="12"/>
  <c r="W369" i="12"/>
  <c r="X369" i="12"/>
  <c r="Y369" i="12"/>
  <c r="Z369" i="12"/>
  <c r="AL369" i="12"/>
  <c r="T370" i="12"/>
  <c r="V370" i="12"/>
  <c r="W370" i="12"/>
  <c r="X370" i="12"/>
  <c r="Y370" i="12"/>
  <c r="Z370" i="12"/>
  <c r="AL370" i="12"/>
  <c r="T371" i="12"/>
  <c r="U371" i="12"/>
  <c r="V371" i="12"/>
  <c r="W371" i="12"/>
  <c r="X371" i="12"/>
  <c r="Y371" i="12"/>
  <c r="Z371" i="12"/>
  <c r="AL371" i="12"/>
  <c r="T372" i="12"/>
  <c r="U372" i="12"/>
  <c r="V372" i="12"/>
  <c r="W372" i="12"/>
  <c r="X372" i="12"/>
  <c r="Y372" i="12"/>
  <c r="Z372" i="12"/>
  <c r="AL372" i="12"/>
  <c r="T373" i="12"/>
  <c r="U373" i="12"/>
  <c r="V373" i="12"/>
  <c r="W373" i="12"/>
  <c r="X373" i="12"/>
  <c r="Y373" i="12"/>
  <c r="Z373" i="12"/>
  <c r="AL373" i="12"/>
  <c r="T374" i="12"/>
  <c r="U374" i="12"/>
  <c r="V374" i="12"/>
  <c r="X374" i="12"/>
  <c r="Y374" i="12"/>
  <c r="Z374" i="12"/>
  <c r="AL374" i="12"/>
  <c r="T375" i="12"/>
  <c r="U375" i="12"/>
  <c r="V375" i="12"/>
  <c r="W375" i="12"/>
  <c r="X375" i="12"/>
  <c r="Y375" i="12"/>
  <c r="Z375" i="12"/>
  <c r="AJ375" i="12"/>
  <c r="AK375" i="12" s="1"/>
  <c r="AL375" i="12"/>
  <c r="T376" i="12"/>
  <c r="U376" i="12"/>
  <c r="V376" i="12"/>
  <c r="W376" i="12"/>
  <c r="X376" i="12"/>
  <c r="Y376" i="12"/>
  <c r="Z376" i="12"/>
  <c r="AL376" i="12"/>
  <c r="T377" i="12"/>
  <c r="U377" i="12"/>
  <c r="V377" i="12"/>
  <c r="W377" i="12"/>
  <c r="X377" i="12"/>
  <c r="Y377" i="12"/>
  <c r="Z377" i="12"/>
  <c r="AJ377" i="12"/>
  <c r="AK377" i="12" s="1"/>
  <c r="AL377" i="12"/>
  <c r="T378" i="12"/>
  <c r="U378" i="12"/>
  <c r="V378" i="12"/>
  <c r="W378" i="12"/>
  <c r="X378" i="12"/>
  <c r="Y378" i="12"/>
  <c r="Z378" i="12"/>
  <c r="AL378" i="12"/>
  <c r="T379" i="12"/>
  <c r="U379" i="12"/>
  <c r="V379" i="12"/>
  <c r="W379" i="12"/>
  <c r="X379" i="12"/>
  <c r="Y379" i="12"/>
  <c r="Z379" i="12"/>
  <c r="AL379" i="12"/>
  <c r="T380" i="12"/>
  <c r="U380" i="12"/>
  <c r="V380" i="12"/>
  <c r="W380" i="12"/>
  <c r="X380" i="12"/>
  <c r="Y380" i="12"/>
  <c r="Z380" i="12"/>
  <c r="AJ380" i="12"/>
  <c r="AK380" i="12" s="1"/>
  <c r="AL380" i="12"/>
  <c r="T381" i="12"/>
  <c r="U381" i="12"/>
  <c r="V381" i="12"/>
  <c r="W381" i="12"/>
  <c r="X381" i="12"/>
  <c r="Y381" i="12"/>
  <c r="Z381" i="12"/>
  <c r="AL381" i="12"/>
  <c r="T382" i="12"/>
  <c r="U382" i="12"/>
  <c r="V382" i="12"/>
  <c r="W382" i="12"/>
  <c r="X382" i="12"/>
  <c r="Y382" i="12"/>
  <c r="Z382" i="12"/>
  <c r="AL382" i="12"/>
  <c r="T383" i="12"/>
  <c r="U383" i="12"/>
  <c r="V383" i="12"/>
  <c r="W383" i="12"/>
  <c r="X383" i="12"/>
  <c r="Y383" i="12"/>
  <c r="Z383" i="12"/>
  <c r="AJ383" i="12"/>
  <c r="AK383" i="12" s="1"/>
  <c r="AL383" i="12"/>
  <c r="T384" i="12"/>
  <c r="U384" i="12"/>
  <c r="V384" i="12"/>
  <c r="W384" i="12"/>
  <c r="X384" i="12"/>
  <c r="Y384" i="12"/>
  <c r="Z384" i="12"/>
  <c r="AL384" i="12"/>
  <c r="T385" i="12"/>
  <c r="U385" i="12"/>
  <c r="V385" i="12"/>
  <c r="W385" i="12"/>
  <c r="X385" i="12"/>
  <c r="Y385" i="12"/>
  <c r="Z385" i="12"/>
  <c r="AJ385" i="12"/>
  <c r="AK385" i="12" s="1"/>
  <c r="AL385" i="12"/>
  <c r="T386" i="12"/>
  <c r="U386" i="12"/>
  <c r="V386" i="12"/>
  <c r="W386" i="12"/>
  <c r="X386" i="12"/>
  <c r="Y386" i="12"/>
  <c r="Z386" i="12"/>
  <c r="AL386" i="12"/>
  <c r="T387" i="12"/>
  <c r="U387" i="12"/>
  <c r="V387" i="12"/>
  <c r="W387" i="12"/>
  <c r="X387" i="12"/>
  <c r="Y387" i="12"/>
  <c r="Z387" i="12"/>
  <c r="AJ387" i="12"/>
  <c r="AK387" i="12" s="1"/>
  <c r="AL387" i="12"/>
  <c r="T388" i="12"/>
  <c r="U388" i="12"/>
  <c r="V388" i="12"/>
  <c r="W388" i="12"/>
  <c r="X388" i="12"/>
  <c r="Y388" i="12"/>
  <c r="Z388" i="12"/>
  <c r="AL388" i="12"/>
  <c r="T389" i="12"/>
  <c r="U389" i="12"/>
  <c r="V389" i="12"/>
  <c r="W389" i="12"/>
  <c r="X389" i="12"/>
  <c r="Y389" i="12"/>
  <c r="Z389" i="12"/>
  <c r="AJ389" i="12"/>
  <c r="AK389" i="12" s="1"/>
  <c r="AL389" i="12"/>
  <c r="T390" i="12"/>
  <c r="U390" i="12"/>
  <c r="V390" i="12"/>
  <c r="W390" i="12"/>
  <c r="X390" i="12"/>
  <c r="Y390" i="12"/>
  <c r="Z390" i="12"/>
  <c r="AL390" i="12"/>
  <c r="T391" i="12"/>
  <c r="U391" i="12"/>
  <c r="V391" i="12"/>
  <c r="W391" i="12"/>
  <c r="X391" i="12"/>
  <c r="Y391" i="12"/>
  <c r="Z391" i="12"/>
  <c r="AJ391" i="12"/>
  <c r="AK391" i="12" s="1"/>
  <c r="AL391" i="12"/>
  <c r="T392" i="12"/>
  <c r="U392" i="12"/>
  <c r="V392" i="12"/>
  <c r="W392" i="12"/>
  <c r="X392" i="12"/>
  <c r="Y392" i="12"/>
  <c r="Z392" i="12"/>
  <c r="AL392" i="12"/>
  <c r="T393" i="12"/>
  <c r="U393" i="12"/>
  <c r="V393" i="12"/>
  <c r="W393" i="12"/>
  <c r="X393" i="12"/>
  <c r="Y393" i="12"/>
  <c r="Z393" i="12"/>
  <c r="AL393" i="12"/>
  <c r="T394" i="12"/>
  <c r="U394" i="12"/>
  <c r="V394" i="12"/>
  <c r="W394" i="12"/>
  <c r="X394" i="12"/>
  <c r="Y394" i="12"/>
  <c r="Z394" i="12"/>
  <c r="AL394" i="12"/>
  <c r="T395" i="12"/>
  <c r="U395" i="12"/>
  <c r="V395" i="12"/>
  <c r="W395" i="12"/>
  <c r="X395" i="12"/>
  <c r="Y395" i="12"/>
  <c r="Z395" i="12"/>
  <c r="AL395" i="12"/>
  <c r="T396" i="12"/>
  <c r="U396" i="12"/>
  <c r="V396" i="12"/>
  <c r="W396" i="12"/>
  <c r="X396" i="12"/>
  <c r="Y396" i="12"/>
  <c r="Z396" i="12"/>
  <c r="AL396" i="12"/>
  <c r="T397" i="12"/>
  <c r="U397" i="12"/>
  <c r="V397" i="12"/>
  <c r="W397" i="12"/>
  <c r="X397" i="12"/>
  <c r="Y397" i="12"/>
  <c r="Z397" i="12"/>
  <c r="AL397" i="12"/>
  <c r="T398" i="12"/>
  <c r="U398" i="12"/>
  <c r="V398" i="12"/>
  <c r="W398" i="12"/>
  <c r="X398" i="12"/>
  <c r="Y398" i="12"/>
  <c r="Z398" i="12"/>
  <c r="AL398" i="12"/>
  <c r="T399" i="12"/>
  <c r="U399" i="12"/>
  <c r="V399" i="12"/>
  <c r="W399" i="12"/>
  <c r="X399" i="12"/>
  <c r="Y399" i="12"/>
  <c r="Z399" i="12"/>
  <c r="AL399" i="12"/>
  <c r="T400" i="12"/>
  <c r="U400" i="12"/>
  <c r="V400" i="12"/>
  <c r="W400" i="12"/>
  <c r="X400" i="12"/>
  <c r="Y400" i="12"/>
  <c r="Z400" i="12"/>
  <c r="AJ400" i="12"/>
  <c r="AK400" i="12" s="1"/>
  <c r="AL400" i="12"/>
  <c r="T401" i="12"/>
  <c r="U401" i="12"/>
  <c r="V401" i="12"/>
  <c r="W401" i="12"/>
  <c r="X401" i="12"/>
  <c r="Y401" i="12"/>
  <c r="Z401" i="12"/>
  <c r="AL401" i="12"/>
  <c r="T402" i="12"/>
  <c r="U402" i="12"/>
  <c r="V402" i="12"/>
  <c r="W402" i="12"/>
  <c r="X402" i="12"/>
  <c r="Y402" i="12"/>
  <c r="Z402" i="12"/>
  <c r="AL402" i="12"/>
  <c r="T403" i="12"/>
  <c r="U403" i="12"/>
  <c r="V403" i="12"/>
  <c r="W403" i="12"/>
  <c r="X403" i="12"/>
  <c r="Y403" i="12"/>
  <c r="Z403" i="12"/>
  <c r="AL403" i="12"/>
  <c r="T404" i="12"/>
  <c r="U404" i="12"/>
  <c r="V404" i="12"/>
  <c r="W404" i="12"/>
  <c r="X404" i="12"/>
  <c r="Y404" i="12"/>
  <c r="Z404" i="12"/>
  <c r="AL404" i="12"/>
  <c r="T405" i="12"/>
  <c r="U405" i="12"/>
  <c r="V405" i="12"/>
  <c r="W405" i="12"/>
  <c r="X405" i="12"/>
  <c r="Y405" i="12"/>
  <c r="Z405" i="12"/>
  <c r="AJ405" i="12"/>
  <c r="AK405" i="12" s="1"/>
  <c r="AL405" i="12"/>
  <c r="T406" i="12"/>
  <c r="U406" i="12"/>
  <c r="V406" i="12"/>
  <c r="W406" i="12"/>
  <c r="X406" i="12"/>
  <c r="Y406" i="12"/>
  <c r="Z406" i="12"/>
  <c r="AL406" i="12"/>
  <c r="T407" i="12"/>
  <c r="U407" i="12"/>
  <c r="V407" i="12"/>
  <c r="W407" i="12"/>
  <c r="X407" i="12"/>
  <c r="Y407" i="12"/>
  <c r="Z407" i="12"/>
  <c r="AL407" i="12"/>
  <c r="T408" i="12"/>
  <c r="U408" i="12"/>
  <c r="V408" i="12"/>
  <c r="W408" i="12"/>
  <c r="X408" i="12"/>
  <c r="Y408" i="12"/>
  <c r="Z408" i="12"/>
  <c r="AL408" i="12"/>
  <c r="T409" i="12"/>
  <c r="U409" i="12"/>
  <c r="V409" i="12"/>
  <c r="W409" i="12"/>
  <c r="X409" i="12"/>
  <c r="Y409" i="12"/>
  <c r="Z409" i="12"/>
  <c r="AL409" i="12"/>
  <c r="T410" i="12"/>
  <c r="U410" i="12"/>
  <c r="V410" i="12"/>
  <c r="W410" i="12"/>
  <c r="X410" i="12"/>
  <c r="Y410" i="12"/>
  <c r="Z410" i="12"/>
  <c r="AL410" i="12"/>
  <c r="T411" i="12"/>
  <c r="U411" i="12"/>
  <c r="V411" i="12"/>
  <c r="W411" i="12"/>
  <c r="X411" i="12"/>
  <c r="Y411" i="12"/>
  <c r="Z411" i="12"/>
  <c r="AJ411" i="12"/>
  <c r="AK411" i="12" s="1"/>
  <c r="AL411" i="12"/>
  <c r="T412" i="12"/>
  <c r="U412" i="12"/>
  <c r="V412" i="12"/>
  <c r="W412" i="12"/>
  <c r="X412" i="12"/>
  <c r="Y412" i="12"/>
  <c r="Z412" i="12"/>
  <c r="AL412" i="12"/>
  <c r="T413" i="12"/>
  <c r="U413" i="12"/>
  <c r="V413" i="12"/>
  <c r="W413" i="12"/>
  <c r="X413" i="12"/>
  <c r="Y413" i="12"/>
  <c r="Z413" i="12"/>
  <c r="AJ413" i="12"/>
  <c r="AK413" i="12" s="1"/>
  <c r="AL413" i="12"/>
  <c r="T414" i="12"/>
  <c r="U414" i="12"/>
  <c r="V414" i="12"/>
  <c r="W414" i="12"/>
  <c r="X414" i="12"/>
  <c r="Y414" i="12"/>
  <c r="Z414" i="12"/>
  <c r="AL414" i="12"/>
  <c r="T415" i="12"/>
  <c r="U415" i="12"/>
  <c r="V415" i="12"/>
  <c r="W415" i="12"/>
  <c r="X415" i="12"/>
  <c r="Y415" i="12"/>
  <c r="Z415" i="12"/>
  <c r="AJ415" i="12"/>
  <c r="AK415" i="12" s="1"/>
  <c r="AL415" i="12"/>
  <c r="T416" i="12"/>
  <c r="U416" i="12"/>
  <c r="V416" i="12"/>
  <c r="W416" i="12"/>
  <c r="X416" i="12"/>
  <c r="Y416" i="12"/>
  <c r="Z416" i="12"/>
  <c r="AL416" i="12"/>
  <c r="T417" i="12"/>
  <c r="U417" i="12"/>
  <c r="V417" i="12"/>
  <c r="W417" i="12"/>
  <c r="X417" i="12"/>
  <c r="Y417" i="12"/>
  <c r="Z417" i="12"/>
  <c r="AL417" i="12"/>
  <c r="T418" i="12"/>
  <c r="U418" i="12"/>
  <c r="V418" i="12"/>
  <c r="W418" i="12"/>
  <c r="X418" i="12"/>
  <c r="Y418" i="12"/>
  <c r="Z418" i="12"/>
  <c r="AL418" i="12"/>
  <c r="T419" i="12"/>
  <c r="U419" i="12"/>
  <c r="V419" i="12"/>
  <c r="W419" i="12"/>
  <c r="X419" i="12"/>
  <c r="Y419" i="12"/>
  <c r="Z419" i="12"/>
  <c r="AL419" i="12"/>
  <c r="T420" i="12"/>
  <c r="U420" i="12"/>
  <c r="V420" i="12"/>
  <c r="W420" i="12"/>
  <c r="X420" i="12"/>
  <c r="Y420" i="12"/>
  <c r="Z420" i="12"/>
  <c r="AL420" i="12"/>
  <c r="T421" i="12"/>
  <c r="U421" i="12"/>
  <c r="V421" i="12"/>
  <c r="W421" i="12"/>
  <c r="X421" i="12"/>
  <c r="Y421" i="12"/>
  <c r="Z421" i="12"/>
  <c r="AL421" i="12"/>
  <c r="T422" i="12"/>
  <c r="U422" i="12"/>
  <c r="V422" i="12"/>
  <c r="W422" i="12"/>
  <c r="X422" i="12"/>
  <c r="Y422" i="12"/>
  <c r="Z422" i="12"/>
  <c r="AL422" i="12"/>
  <c r="T423" i="12"/>
  <c r="U423" i="12"/>
  <c r="V423" i="12"/>
  <c r="W423" i="12"/>
  <c r="X423" i="12"/>
  <c r="Y423" i="12"/>
  <c r="Z423" i="12"/>
  <c r="AJ423" i="12"/>
  <c r="AK423" i="12" s="1"/>
  <c r="AL423" i="12"/>
  <c r="T424" i="12"/>
  <c r="U424" i="12"/>
  <c r="V424" i="12"/>
  <c r="W424" i="12"/>
  <c r="X424" i="12"/>
  <c r="Y424" i="12"/>
  <c r="Z424" i="12"/>
  <c r="AJ424" i="12"/>
  <c r="AK424" i="12" s="1"/>
  <c r="AL424" i="12"/>
  <c r="T425" i="12"/>
  <c r="U425" i="12"/>
  <c r="V425" i="12"/>
  <c r="W425" i="12"/>
  <c r="X425" i="12"/>
  <c r="Y425" i="12"/>
  <c r="Z425" i="12"/>
  <c r="AL425" i="12"/>
  <c r="T426" i="12"/>
  <c r="U426" i="12"/>
  <c r="V426" i="12"/>
  <c r="W426" i="12"/>
  <c r="X426" i="12"/>
  <c r="Y426" i="12"/>
  <c r="Z426" i="12"/>
  <c r="AL426" i="12"/>
  <c r="T427" i="12"/>
  <c r="U427" i="12"/>
  <c r="V427" i="12"/>
  <c r="W427" i="12"/>
  <c r="X427" i="12"/>
  <c r="Y427" i="12"/>
  <c r="Z427" i="12"/>
  <c r="AL427" i="12"/>
  <c r="T428" i="12"/>
  <c r="U428" i="12"/>
  <c r="V428" i="12"/>
  <c r="W428" i="12"/>
  <c r="X428" i="12"/>
  <c r="Y428" i="12"/>
  <c r="Z428" i="12"/>
  <c r="AL428" i="12"/>
  <c r="T429" i="12"/>
  <c r="U429" i="12"/>
  <c r="V429" i="12"/>
  <c r="W429" i="12"/>
  <c r="X429" i="12"/>
  <c r="Y429" i="12"/>
  <c r="Z429" i="12"/>
  <c r="AL429" i="12"/>
  <c r="T430" i="12"/>
  <c r="V430" i="12" s="1"/>
  <c r="U430" i="12"/>
  <c r="W430" i="12"/>
  <c r="X430" i="12"/>
  <c r="Y430" i="12"/>
  <c r="Z430" i="12"/>
  <c r="AL430" i="12"/>
  <c r="T431" i="12"/>
  <c r="U431" i="12"/>
  <c r="V431" i="12"/>
  <c r="W431" i="12"/>
  <c r="X431" i="12"/>
  <c r="Y431" i="12"/>
  <c r="Z431" i="12"/>
  <c r="AL431" i="12"/>
  <c r="T432" i="12"/>
  <c r="V432" i="12" s="1"/>
  <c r="U432" i="12"/>
  <c r="W432" i="12"/>
  <c r="X432" i="12"/>
  <c r="Y432" i="12"/>
  <c r="Z432" i="12"/>
  <c r="AJ432" i="12"/>
  <c r="AK432" i="12" s="1"/>
  <c r="AL432" i="12"/>
  <c r="T433" i="12"/>
  <c r="U433" i="12"/>
  <c r="W433" i="12"/>
  <c r="X433" i="12"/>
  <c r="Y433" i="12"/>
  <c r="Z433" i="12"/>
  <c r="AL433" i="12"/>
  <c r="T434" i="12"/>
  <c r="U434" i="12"/>
  <c r="V434" i="12"/>
  <c r="X434" i="12"/>
  <c r="Y434" i="12"/>
  <c r="Z434" i="12"/>
  <c r="AL434" i="12"/>
  <c r="T435" i="12"/>
  <c r="U435" i="12"/>
  <c r="V435" i="12"/>
  <c r="W435" i="12"/>
  <c r="X435" i="12"/>
  <c r="Y435" i="12"/>
  <c r="Z435" i="12"/>
  <c r="AJ435" i="12"/>
  <c r="AK435" i="12"/>
  <c r="AL435" i="12"/>
  <c r="T436" i="12"/>
  <c r="U436" i="12"/>
  <c r="V436" i="12"/>
  <c r="W436" i="12"/>
  <c r="X436" i="12"/>
  <c r="Y436" i="12"/>
  <c r="Z436" i="12"/>
  <c r="AJ436" i="12"/>
  <c r="AK436" i="12"/>
  <c r="AL436" i="12"/>
  <c r="T437" i="12"/>
  <c r="U437" i="12"/>
  <c r="V437" i="12"/>
  <c r="W437" i="12"/>
  <c r="X437" i="12"/>
  <c r="Y437" i="12"/>
  <c r="Z437" i="12"/>
  <c r="AL437" i="12"/>
  <c r="T438" i="12"/>
  <c r="U438" i="12"/>
  <c r="V438" i="12"/>
  <c r="W438" i="12"/>
  <c r="X438" i="12"/>
  <c r="Y438" i="12"/>
  <c r="Z438" i="12"/>
  <c r="AL438" i="12"/>
  <c r="T439" i="12"/>
  <c r="U439" i="12"/>
  <c r="V439" i="12"/>
  <c r="W439" i="12"/>
  <c r="X439" i="12"/>
  <c r="Y439" i="12"/>
  <c r="Z439" i="12"/>
  <c r="AL439" i="12"/>
  <c r="T440" i="12"/>
  <c r="U440" i="12"/>
  <c r="V440" i="12"/>
  <c r="W440" i="12"/>
  <c r="X440" i="12"/>
  <c r="Y440" i="12"/>
  <c r="Z440" i="12"/>
  <c r="AJ440" i="12"/>
  <c r="AK440" i="12"/>
  <c r="AL440" i="12"/>
  <c r="T441" i="12"/>
  <c r="U441" i="12"/>
  <c r="V441" i="12"/>
  <c r="W441" i="12"/>
  <c r="X441" i="12"/>
  <c r="Y441" i="12"/>
  <c r="Z441" i="12"/>
  <c r="AJ441" i="12"/>
  <c r="AK441" i="12"/>
  <c r="AL441" i="12"/>
  <c r="T442" i="12"/>
  <c r="U442" i="12"/>
  <c r="V442" i="12"/>
  <c r="W442" i="12"/>
  <c r="X442" i="12"/>
  <c r="Y442" i="12"/>
  <c r="Z442" i="12"/>
  <c r="AL442" i="12"/>
  <c r="T443" i="12"/>
  <c r="U443" i="12"/>
  <c r="V443" i="12"/>
  <c r="W443" i="12"/>
  <c r="X443" i="12"/>
  <c r="Y443" i="12"/>
  <c r="Z443" i="12"/>
  <c r="AL443" i="12"/>
  <c r="T444" i="12"/>
  <c r="U444" i="12"/>
  <c r="V444" i="12"/>
  <c r="W444" i="12"/>
  <c r="X444" i="12"/>
  <c r="Y444" i="12"/>
  <c r="Z444" i="12"/>
  <c r="AL444" i="12"/>
  <c r="T445" i="12"/>
  <c r="U445" i="12"/>
  <c r="V445" i="12"/>
  <c r="W445" i="12"/>
  <c r="X445" i="12"/>
  <c r="Y445" i="12"/>
  <c r="Z445" i="12"/>
  <c r="AL445" i="12"/>
  <c r="T446" i="12"/>
  <c r="U446" i="12"/>
  <c r="V446" i="12"/>
  <c r="W446" i="12"/>
  <c r="X446" i="12"/>
  <c r="Y446" i="12"/>
  <c r="Z446" i="12"/>
  <c r="AL446" i="12"/>
  <c r="T447" i="12"/>
  <c r="U447" i="12" s="1"/>
  <c r="V447" i="12"/>
  <c r="W447" i="12"/>
  <c r="X447" i="12"/>
  <c r="Y447" i="12"/>
  <c r="Z447" i="12"/>
  <c r="AL447" i="12"/>
  <c r="T448" i="12"/>
  <c r="U448" i="12" s="1"/>
  <c r="V448" i="12"/>
  <c r="W448" i="12"/>
  <c r="X448" i="12"/>
  <c r="Y448" i="12"/>
  <c r="Z448" i="12"/>
  <c r="AL448" i="12"/>
  <c r="T449" i="12"/>
  <c r="U449" i="12"/>
  <c r="V449" i="12"/>
  <c r="W449" i="12"/>
  <c r="X449" i="12"/>
  <c r="Y449" i="12"/>
  <c r="Z449" i="12"/>
  <c r="AL449" i="12"/>
  <c r="T450" i="12"/>
  <c r="U450" i="12"/>
  <c r="V450" i="12"/>
  <c r="W450" i="12"/>
  <c r="X450" i="12"/>
  <c r="Y450" i="12"/>
  <c r="Z450" i="12"/>
  <c r="AL450" i="12"/>
  <c r="T451" i="12"/>
  <c r="U451" i="12"/>
  <c r="V451" i="12"/>
  <c r="W451" i="12"/>
  <c r="X451" i="12"/>
  <c r="Y451" i="12"/>
  <c r="Z451" i="12"/>
  <c r="AL451" i="12"/>
  <c r="T452" i="12"/>
  <c r="U452" i="12"/>
  <c r="V452" i="12"/>
  <c r="W452" i="12"/>
  <c r="X452" i="12"/>
  <c r="Y452" i="12"/>
  <c r="Z452" i="12"/>
  <c r="AL452" i="12"/>
  <c r="T453" i="12"/>
  <c r="U453" i="12"/>
  <c r="V453" i="12"/>
  <c r="W453" i="12"/>
  <c r="X453" i="12"/>
  <c r="Y453" i="12"/>
  <c r="Z453" i="12"/>
  <c r="AL453" i="12"/>
  <c r="T454" i="12"/>
  <c r="U454" i="12"/>
  <c r="V454" i="12"/>
  <c r="W454" i="12"/>
  <c r="X454" i="12"/>
  <c r="Y454" i="12"/>
  <c r="Z454" i="12"/>
  <c r="AJ454" i="12"/>
  <c r="AK454" i="12"/>
  <c r="AL454" i="12"/>
  <c r="T455" i="12"/>
  <c r="U455" i="12"/>
  <c r="V455" i="12"/>
  <c r="W455" i="12"/>
  <c r="X455" i="12"/>
  <c r="Y455" i="12"/>
  <c r="Z455" i="12"/>
  <c r="AL455" i="12"/>
  <c r="T456" i="12"/>
  <c r="U456" i="12"/>
  <c r="V456" i="12"/>
  <c r="W456" i="12"/>
  <c r="X456" i="12"/>
  <c r="Y456" i="12"/>
  <c r="Z456" i="12"/>
  <c r="AL456" i="12"/>
  <c r="T457" i="12"/>
  <c r="U457" i="12"/>
  <c r="V457" i="12"/>
  <c r="W457" i="12"/>
  <c r="X457" i="12"/>
  <c r="Y457" i="12"/>
  <c r="Z457" i="12"/>
  <c r="AL457" i="12"/>
  <c r="T458" i="12"/>
  <c r="U458" i="12"/>
  <c r="V458" i="12"/>
  <c r="W458" i="12"/>
  <c r="X458" i="12"/>
  <c r="Y458" i="12"/>
  <c r="Z458" i="12"/>
  <c r="AL458" i="12"/>
  <c r="T459" i="12"/>
  <c r="U459" i="12"/>
  <c r="V459" i="12"/>
  <c r="W459" i="12"/>
  <c r="X459" i="12"/>
  <c r="Y459" i="12"/>
  <c r="Z459" i="12"/>
  <c r="AJ459" i="12"/>
  <c r="AK459" i="12" s="1"/>
  <c r="AL459" i="12"/>
  <c r="T460" i="12"/>
  <c r="U460" i="12"/>
  <c r="V460" i="12"/>
  <c r="W460" i="12"/>
  <c r="X460" i="12"/>
  <c r="Y460" i="12"/>
  <c r="Z460" i="12"/>
  <c r="AJ460" i="12"/>
  <c r="AK460" i="12" s="1"/>
  <c r="AL460" i="12"/>
  <c r="T461" i="12"/>
  <c r="U461" i="12"/>
  <c r="V461" i="12"/>
  <c r="W461" i="12"/>
  <c r="X461" i="12"/>
  <c r="Y461" i="12"/>
  <c r="Z461" i="12"/>
  <c r="AL461" i="12"/>
  <c r="T462" i="12"/>
  <c r="U462" i="12"/>
  <c r="V462" i="12"/>
  <c r="W462" i="12"/>
  <c r="X462" i="12"/>
  <c r="Y462" i="12"/>
  <c r="Z462" i="12"/>
  <c r="AL462" i="12"/>
  <c r="T463" i="12"/>
  <c r="U463" i="12"/>
  <c r="V463" i="12"/>
  <c r="W463" i="12"/>
  <c r="X463" i="12"/>
  <c r="Y463" i="12"/>
  <c r="Z463" i="12"/>
  <c r="AL463" i="12"/>
  <c r="T464" i="12"/>
  <c r="U464" i="12"/>
  <c r="V464" i="12"/>
  <c r="W464" i="12"/>
  <c r="X464" i="12"/>
  <c r="Y464" i="12"/>
  <c r="Z464" i="12"/>
  <c r="AJ464" i="12"/>
  <c r="AK464" i="12" s="1"/>
  <c r="AL464" i="12"/>
  <c r="T465" i="12"/>
  <c r="U465" i="12"/>
  <c r="V465" i="12"/>
  <c r="W465" i="12"/>
  <c r="X465" i="12"/>
  <c r="Y465" i="12"/>
  <c r="Z465" i="12"/>
  <c r="AL465" i="12"/>
  <c r="T466" i="12"/>
  <c r="U466" i="12"/>
  <c r="V466" i="12"/>
  <c r="W466" i="12"/>
  <c r="X466" i="12"/>
  <c r="Y466" i="12"/>
  <c r="Z466" i="12"/>
  <c r="AL466" i="12"/>
  <c r="T467" i="12"/>
  <c r="U467" i="12"/>
  <c r="V467" i="12"/>
  <c r="W467" i="12"/>
  <c r="X467" i="12"/>
  <c r="Y467" i="12"/>
  <c r="Z467" i="12"/>
  <c r="AL467" i="12"/>
  <c r="T468" i="12"/>
  <c r="U468" i="12"/>
  <c r="V468" i="12"/>
  <c r="W468" i="12"/>
  <c r="X468" i="12"/>
  <c r="Y468" i="12"/>
  <c r="Z468" i="12"/>
  <c r="AL468" i="12"/>
  <c r="T469" i="12"/>
  <c r="U469" i="12"/>
  <c r="V469" i="12"/>
  <c r="W469" i="12"/>
  <c r="X469" i="12"/>
  <c r="Y469" i="12"/>
  <c r="Z469" i="12"/>
  <c r="AL469" i="12"/>
  <c r="T470" i="12"/>
  <c r="U470" i="12"/>
  <c r="V470" i="12"/>
  <c r="W470" i="12"/>
  <c r="X470" i="12"/>
  <c r="Y470" i="12"/>
  <c r="Z470" i="12"/>
  <c r="AJ470" i="12"/>
  <c r="AK470" i="12" s="1"/>
  <c r="AL470" i="12"/>
  <c r="T471" i="12"/>
  <c r="U471" i="12"/>
  <c r="V471" i="12"/>
  <c r="W471" i="12"/>
  <c r="X471" i="12"/>
  <c r="Y471" i="12"/>
  <c r="Z471" i="12"/>
  <c r="AL471" i="12"/>
  <c r="T472" i="12"/>
  <c r="U472" i="12"/>
  <c r="V472" i="12"/>
  <c r="W472" i="12"/>
  <c r="X472" i="12"/>
  <c r="Y472" i="12"/>
  <c r="Z472" i="12"/>
  <c r="AJ472" i="12"/>
  <c r="AK472" i="12" s="1"/>
  <c r="AL472" i="12"/>
  <c r="T473" i="12"/>
  <c r="U473" i="12"/>
  <c r="V473" i="12"/>
  <c r="W473" i="12"/>
  <c r="X473" i="12"/>
  <c r="Y473" i="12"/>
  <c r="Z473" i="12"/>
  <c r="AJ473" i="12"/>
  <c r="AK473" i="12" s="1"/>
  <c r="AL473" i="12"/>
  <c r="T474" i="12"/>
  <c r="U474" i="12"/>
  <c r="V474" i="12"/>
  <c r="W474" i="12"/>
  <c r="X474" i="12"/>
  <c r="Y474" i="12"/>
  <c r="Z474" i="12"/>
  <c r="AL474" i="12"/>
  <c r="T475" i="12"/>
  <c r="U475" i="12"/>
  <c r="V475" i="12"/>
  <c r="W475" i="12"/>
  <c r="X475" i="12"/>
  <c r="Y475" i="12"/>
  <c r="Z475" i="12"/>
  <c r="AL475" i="12"/>
  <c r="T476" i="12"/>
  <c r="U476" i="12"/>
  <c r="V476" i="12"/>
  <c r="W476" i="12"/>
  <c r="X476" i="12"/>
  <c r="Y476" i="12"/>
  <c r="Z476" i="12"/>
  <c r="AL476" i="12"/>
  <c r="T477" i="12"/>
  <c r="U477" i="12"/>
  <c r="V477" i="12"/>
  <c r="W477" i="12"/>
  <c r="X477" i="12"/>
  <c r="Y477" i="12"/>
  <c r="Z477" i="12"/>
  <c r="AL477" i="12"/>
  <c r="T478" i="12"/>
  <c r="U478" i="12"/>
  <c r="V478" i="12"/>
  <c r="W478" i="12"/>
  <c r="X478" i="12"/>
  <c r="Y478" i="12"/>
  <c r="Z478" i="12"/>
  <c r="AL478" i="12"/>
  <c r="T479" i="12"/>
  <c r="U479" i="12"/>
  <c r="V479" i="12"/>
  <c r="W479" i="12"/>
  <c r="X479" i="12"/>
  <c r="Y479" i="12"/>
  <c r="Z479" i="12"/>
  <c r="AJ479" i="12"/>
  <c r="AK479" i="12" s="1"/>
  <c r="AL479" i="12"/>
  <c r="T480" i="12"/>
  <c r="U480" i="12"/>
  <c r="V480" i="12"/>
  <c r="W480" i="12"/>
  <c r="X480" i="12"/>
  <c r="Y480" i="12"/>
  <c r="Z480" i="12"/>
  <c r="AL480" i="12"/>
  <c r="T481" i="12"/>
  <c r="U481" i="12"/>
  <c r="V481" i="12"/>
  <c r="W481" i="12"/>
  <c r="X481" i="12"/>
  <c r="Y481" i="12"/>
  <c r="Z481" i="12"/>
  <c r="AL481" i="12"/>
  <c r="T482" i="12"/>
  <c r="U482" i="12"/>
  <c r="V482" i="12"/>
  <c r="W482" i="12"/>
  <c r="X482" i="12"/>
  <c r="Y482" i="12"/>
  <c r="Z482" i="12"/>
  <c r="AJ482" i="12"/>
  <c r="AK482" i="12" s="1"/>
  <c r="AL482" i="12"/>
  <c r="T483" i="12"/>
  <c r="U483" i="12"/>
  <c r="V483" i="12"/>
  <c r="W483" i="12"/>
  <c r="X483" i="12"/>
  <c r="Y483" i="12"/>
  <c r="Z483" i="12"/>
  <c r="AL483" i="12"/>
  <c r="T484" i="12"/>
  <c r="U484" i="12"/>
  <c r="V484" i="12"/>
  <c r="W484" i="12"/>
  <c r="X484" i="12"/>
  <c r="Y484" i="12"/>
  <c r="Z484" i="12"/>
  <c r="AL484" i="12"/>
  <c r="T485" i="12"/>
  <c r="U485" i="12"/>
  <c r="V485" i="12"/>
  <c r="W485" i="12"/>
  <c r="X485" i="12"/>
  <c r="Y485" i="12"/>
  <c r="Z485" i="12"/>
  <c r="AL485" i="12"/>
  <c r="T486" i="12"/>
  <c r="U486" i="12"/>
  <c r="V486" i="12"/>
  <c r="W486" i="12"/>
  <c r="X486" i="12"/>
  <c r="Y486" i="12"/>
  <c r="Z486" i="12"/>
  <c r="AL486" i="12"/>
  <c r="T487" i="12"/>
  <c r="U487" i="12"/>
  <c r="V487" i="12"/>
  <c r="W487" i="12"/>
  <c r="X487" i="12"/>
  <c r="Y487" i="12"/>
  <c r="Z487" i="12"/>
  <c r="AL487" i="12"/>
  <c r="T488" i="12"/>
  <c r="U488" i="12"/>
  <c r="V488" i="12"/>
  <c r="W488" i="12"/>
  <c r="X488" i="12"/>
  <c r="Y488" i="12"/>
  <c r="Z488" i="12"/>
  <c r="AL488" i="12"/>
  <c r="T489" i="12"/>
  <c r="U489" i="12"/>
  <c r="V489" i="12"/>
  <c r="W489" i="12"/>
  <c r="X489" i="12"/>
  <c r="Y489" i="12"/>
  <c r="Z489" i="12"/>
  <c r="AJ489" i="12"/>
  <c r="AK489" i="12" s="1"/>
  <c r="AL489" i="12"/>
  <c r="T490" i="12"/>
  <c r="U490" i="12"/>
  <c r="V490" i="12"/>
  <c r="W490" i="12"/>
  <c r="X490" i="12"/>
  <c r="Y490" i="12"/>
  <c r="Z490" i="12"/>
  <c r="AL490" i="12"/>
  <c r="T491" i="12"/>
  <c r="U491" i="12"/>
  <c r="V491" i="12"/>
  <c r="W491" i="12"/>
  <c r="X491" i="12"/>
  <c r="Y491" i="12"/>
  <c r="Z491" i="12"/>
  <c r="AL491" i="12"/>
  <c r="T492" i="12"/>
  <c r="U492" i="12"/>
  <c r="V492" i="12"/>
  <c r="W492" i="12"/>
  <c r="X492" i="12"/>
  <c r="Y492" i="12"/>
  <c r="Z492" i="12"/>
  <c r="AJ492" i="12"/>
  <c r="AK492" i="12" s="1"/>
  <c r="AL492" i="12"/>
  <c r="T493" i="12"/>
  <c r="U493" i="12"/>
  <c r="V493" i="12"/>
  <c r="W493" i="12"/>
  <c r="X493" i="12"/>
  <c r="Y493" i="12"/>
  <c r="Z493" i="12"/>
  <c r="AL493" i="12"/>
  <c r="T494" i="12"/>
  <c r="U494" i="12"/>
  <c r="V494" i="12"/>
  <c r="W494" i="12"/>
  <c r="X494" i="12"/>
  <c r="Y494" i="12"/>
  <c r="Z494" i="12"/>
  <c r="AL494" i="12"/>
  <c r="T495" i="12"/>
  <c r="U495" i="12"/>
  <c r="V495" i="12"/>
  <c r="W495" i="12"/>
  <c r="X495" i="12"/>
  <c r="Y495" i="12"/>
  <c r="Z495" i="12"/>
  <c r="AL495" i="12"/>
  <c r="T496" i="12"/>
  <c r="U496" i="12"/>
  <c r="V496" i="12"/>
  <c r="W496" i="12"/>
  <c r="X496" i="12"/>
  <c r="Y496" i="12"/>
  <c r="Z496" i="12"/>
  <c r="AL496" i="12"/>
  <c r="T497" i="12"/>
  <c r="U497" i="12"/>
  <c r="V497" i="12"/>
  <c r="W497" i="12"/>
  <c r="X497" i="12"/>
  <c r="Y497" i="12"/>
  <c r="Z497" i="12"/>
  <c r="AL497" i="12"/>
  <c r="T498" i="12"/>
  <c r="U498" i="12"/>
  <c r="V498" i="12"/>
  <c r="W498" i="12"/>
  <c r="X498" i="12"/>
  <c r="Y498" i="12"/>
  <c r="Z498" i="12"/>
  <c r="AJ498" i="12"/>
  <c r="AK498" i="12" s="1"/>
  <c r="AL498" i="12"/>
  <c r="T499" i="12"/>
  <c r="U499" i="12"/>
  <c r="V499" i="12"/>
  <c r="W499" i="12"/>
  <c r="X499" i="12"/>
  <c r="Y499" i="12"/>
  <c r="Z499" i="12"/>
  <c r="AJ499" i="12"/>
  <c r="AK499" i="12" s="1"/>
  <c r="AL499" i="12"/>
  <c r="T500" i="12"/>
  <c r="U500" i="12"/>
  <c r="V500" i="12"/>
  <c r="W500" i="12"/>
  <c r="X500" i="12"/>
  <c r="Y500" i="12"/>
  <c r="Z500" i="12"/>
  <c r="AJ500" i="12"/>
  <c r="AK500" i="12" s="1"/>
  <c r="AL500" i="12"/>
  <c r="T501" i="12"/>
  <c r="U501" i="12"/>
  <c r="V501" i="12"/>
  <c r="W501" i="12"/>
  <c r="X501" i="12"/>
  <c r="Y501" i="12"/>
  <c r="Z501" i="12"/>
  <c r="AJ501" i="12"/>
  <c r="AK501" i="12" s="1"/>
  <c r="AL501" i="12"/>
  <c r="T502" i="12"/>
  <c r="U502" i="12"/>
  <c r="V502" i="12"/>
  <c r="W502" i="12"/>
  <c r="X502" i="12"/>
  <c r="Y502" i="12"/>
  <c r="Z502" i="12"/>
  <c r="AJ502" i="12"/>
  <c r="AK502" i="12" s="1"/>
  <c r="AL502" i="12"/>
  <c r="T503" i="12"/>
  <c r="U503" i="12"/>
  <c r="V503" i="12"/>
  <c r="W503" i="12"/>
  <c r="X503" i="12"/>
  <c r="Y503" i="12"/>
  <c r="Z503" i="12"/>
  <c r="AJ503" i="12"/>
  <c r="AK503" i="12" s="1"/>
  <c r="AL503" i="12"/>
  <c r="T504" i="12"/>
  <c r="U504" i="12"/>
  <c r="V504" i="12"/>
  <c r="W504" i="12"/>
  <c r="X504" i="12"/>
  <c r="Y504" i="12"/>
  <c r="Z504" i="12"/>
  <c r="AJ504" i="12"/>
  <c r="AK504" i="12" s="1"/>
  <c r="AL504" i="12"/>
  <c r="T505" i="12"/>
  <c r="U505" i="12"/>
  <c r="V505" i="12"/>
  <c r="W505" i="12"/>
  <c r="X505" i="12"/>
  <c r="Y505" i="12"/>
  <c r="Z505" i="12"/>
  <c r="AL505" i="12"/>
  <c r="T506" i="12"/>
  <c r="U506" i="12"/>
  <c r="V506" i="12"/>
  <c r="W506" i="12"/>
  <c r="X506" i="12"/>
  <c r="Y506" i="12"/>
  <c r="Z506" i="12"/>
  <c r="AL506" i="12"/>
  <c r="T507" i="12"/>
  <c r="U507" i="12"/>
  <c r="V507" i="12"/>
  <c r="W507" i="12"/>
  <c r="X507" i="12"/>
  <c r="Y507" i="12"/>
  <c r="Z507" i="12"/>
  <c r="AL507" i="12"/>
  <c r="T508" i="12"/>
  <c r="U508" i="12"/>
  <c r="V508" i="12"/>
  <c r="W508" i="12"/>
  <c r="X508" i="12"/>
  <c r="Y508" i="12"/>
  <c r="Z508" i="12"/>
  <c r="AJ508" i="12"/>
  <c r="AK508" i="12" s="1"/>
  <c r="AL508" i="12"/>
  <c r="T509" i="12"/>
  <c r="U509" i="12"/>
  <c r="V509" i="12"/>
  <c r="W509" i="12"/>
  <c r="X509" i="12"/>
  <c r="Y509" i="12"/>
  <c r="Z509" i="12"/>
  <c r="AJ509" i="12"/>
  <c r="AK509" i="12"/>
  <c r="AL509" i="12"/>
  <c r="T510" i="12"/>
  <c r="U510" i="12"/>
  <c r="V510" i="12"/>
  <c r="W510" i="12"/>
  <c r="X510" i="12"/>
  <c r="Y510" i="12"/>
  <c r="Z510" i="12"/>
  <c r="AL510" i="12"/>
  <c r="T511" i="12"/>
  <c r="U511" i="12"/>
  <c r="V511" i="12"/>
  <c r="W511" i="12"/>
  <c r="X511" i="12"/>
  <c r="Y511" i="12"/>
  <c r="Z511" i="12"/>
  <c r="AL511" i="12"/>
  <c r="T512" i="12"/>
  <c r="U512" i="12"/>
  <c r="V512" i="12"/>
  <c r="W512" i="12"/>
  <c r="X512" i="12"/>
  <c r="Y512" i="12"/>
  <c r="Z512" i="12"/>
  <c r="AL512" i="12"/>
  <c r="T513" i="12"/>
  <c r="U513" i="12"/>
  <c r="V513" i="12"/>
  <c r="W513" i="12"/>
  <c r="X513" i="12"/>
  <c r="Y513" i="12"/>
  <c r="Z513" i="12"/>
  <c r="AL513" i="12"/>
  <c r="T514" i="12"/>
  <c r="U514" i="12"/>
  <c r="V514" i="12"/>
  <c r="W514" i="12"/>
  <c r="X514" i="12"/>
  <c r="Y514" i="12"/>
  <c r="Z514" i="12"/>
  <c r="AL514" i="12"/>
  <c r="T515" i="12"/>
  <c r="U515" i="12"/>
  <c r="V515" i="12"/>
  <c r="W515" i="12"/>
  <c r="X515" i="12"/>
  <c r="Y515" i="12"/>
  <c r="Z515" i="12"/>
  <c r="AL515" i="12"/>
  <c r="T516" i="12"/>
  <c r="U516" i="12"/>
  <c r="V516" i="12"/>
  <c r="W516" i="12"/>
  <c r="X516" i="12"/>
  <c r="Y516" i="12"/>
  <c r="Z516" i="12"/>
  <c r="AL516" i="12"/>
  <c r="T517" i="12"/>
  <c r="U517" i="12"/>
  <c r="V517" i="12"/>
  <c r="W517" i="12"/>
  <c r="X517" i="12"/>
  <c r="Y517" i="12"/>
  <c r="Z517" i="12"/>
  <c r="AL517" i="12"/>
  <c r="T518" i="12"/>
  <c r="U518" i="12"/>
  <c r="V518" i="12"/>
  <c r="W518" i="12"/>
  <c r="X518" i="12"/>
  <c r="Y518" i="12"/>
  <c r="Z518" i="12"/>
  <c r="AL518" i="12"/>
  <c r="T519" i="12"/>
  <c r="U519" i="12"/>
  <c r="V519" i="12"/>
  <c r="W519" i="12"/>
  <c r="X519" i="12"/>
  <c r="Y519" i="12"/>
  <c r="Z519" i="12"/>
  <c r="AL519" i="12"/>
  <c r="T520" i="12"/>
  <c r="U520" i="12"/>
  <c r="V520" i="12"/>
  <c r="W520" i="12"/>
  <c r="X520" i="12"/>
  <c r="Y520" i="12"/>
  <c r="Z520" i="12"/>
  <c r="AL520" i="12"/>
  <c r="T521" i="12"/>
  <c r="U521" i="12"/>
  <c r="V521" i="12"/>
  <c r="W521" i="12"/>
  <c r="X521" i="12"/>
  <c r="Y521" i="12"/>
  <c r="Z521" i="12"/>
  <c r="AL521" i="12"/>
  <c r="T522" i="12"/>
  <c r="U522" i="12"/>
  <c r="V522" i="12"/>
  <c r="W522" i="12"/>
  <c r="X522" i="12"/>
  <c r="Y522" i="12"/>
  <c r="Z522" i="12"/>
  <c r="AL522" i="12"/>
  <c r="T523" i="12"/>
  <c r="U523" i="12"/>
  <c r="V523" i="12"/>
  <c r="W523" i="12"/>
  <c r="X523" i="12"/>
  <c r="Y523" i="12"/>
  <c r="Z523" i="12"/>
  <c r="AJ523" i="12"/>
  <c r="AK523" i="12"/>
  <c r="AL523" i="12"/>
  <c r="T524" i="12"/>
  <c r="U524" i="12"/>
  <c r="V524" i="12"/>
  <c r="W524" i="12"/>
  <c r="X524" i="12"/>
  <c r="Y524" i="12"/>
  <c r="Z524" i="12"/>
  <c r="AL524" i="12"/>
  <c r="T525" i="12"/>
  <c r="U525" i="12"/>
  <c r="V525" i="12"/>
  <c r="W525" i="12"/>
  <c r="X525" i="12"/>
  <c r="Y525" i="12"/>
  <c r="Z525" i="12"/>
  <c r="AL525" i="12"/>
  <c r="T526" i="12"/>
  <c r="U526" i="12"/>
  <c r="V526" i="12"/>
  <c r="W526" i="12"/>
  <c r="X526" i="12"/>
  <c r="Y526" i="12"/>
  <c r="Z526" i="12"/>
  <c r="AL526" i="12"/>
  <c r="T527" i="12"/>
  <c r="U527" i="12"/>
  <c r="V527" i="12"/>
  <c r="W527" i="12"/>
  <c r="X527" i="12"/>
  <c r="Y527" i="12"/>
  <c r="Z527" i="12"/>
  <c r="AL527" i="12"/>
  <c r="T528" i="12"/>
  <c r="U528" i="12"/>
  <c r="V528" i="12"/>
  <c r="W528" i="12"/>
  <c r="X528" i="12"/>
  <c r="Y528" i="12"/>
  <c r="Z528" i="12"/>
  <c r="AL528" i="12"/>
  <c r="T529" i="12"/>
  <c r="U529" i="12"/>
  <c r="V529" i="12"/>
  <c r="W529" i="12"/>
  <c r="X529" i="12"/>
  <c r="Y529" i="12"/>
  <c r="Z529" i="12"/>
  <c r="AL529" i="12"/>
  <c r="T530" i="12"/>
  <c r="U530" i="12"/>
  <c r="V530" i="12"/>
  <c r="W530" i="12"/>
  <c r="X530" i="12"/>
  <c r="Y530" i="12"/>
  <c r="Z530" i="12"/>
  <c r="AJ530" i="12"/>
  <c r="AK530" i="12"/>
  <c r="AL530" i="12"/>
  <c r="T531" i="12"/>
  <c r="U531" i="12"/>
  <c r="V531" i="12"/>
  <c r="W531" i="12"/>
  <c r="X531" i="12"/>
  <c r="Y531" i="12"/>
  <c r="Z531" i="12"/>
  <c r="AJ531" i="12"/>
  <c r="AK531" i="12"/>
  <c r="AL531" i="12"/>
  <c r="T532" i="12"/>
  <c r="U532" i="12"/>
  <c r="V532" i="12"/>
  <c r="W532" i="12"/>
  <c r="X532" i="12"/>
  <c r="Y532" i="12"/>
  <c r="Z532" i="12"/>
  <c r="AJ532" i="12"/>
  <c r="AK532" i="12"/>
  <c r="AL532" i="12"/>
  <c r="T533" i="12"/>
  <c r="U533" i="12"/>
  <c r="V533" i="12"/>
  <c r="W533" i="12"/>
  <c r="X533" i="12"/>
  <c r="Y533" i="12"/>
  <c r="Z533" i="12"/>
  <c r="AJ533" i="12"/>
  <c r="AK533" i="12"/>
  <c r="AL533" i="12"/>
  <c r="T534" i="12"/>
  <c r="U534" i="12"/>
  <c r="V534" i="12"/>
  <c r="W534" i="12"/>
  <c r="X534" i="12"/>
  <c r="Y534" i="12"/>
  <c r="Z534" i="12"/>
  <c r="AJ534" i="12"/>
  <c r="AK534" i="12"/>
  <c r="AL534" i="12"/>
  <c r="T535" i="12"/>
  <c r="U535" i="12"/>
  <c r="V535" i="12"/>
  <c r="W535" i="12"/>
  <c r="X535" i="12"/>
  <c r="Y535" i="12"/>
  <c r="Z535" i="12"/>
  <c r="AL535" i="12"/>
  <c r="T536" i="12"/>
  <c r="U536" i="12"/>
  <c r="V536" i="12"/>
  <c r="W536" i="12"/>
  <c r="X536" i="12"/>
  <c r="Y536" i="12"/>
  <c r="Z536" i="12"/>
  <c r="AL536" i="12"/>
  <c r="T537" i="12"/>
  <c r="U537" i="12"/>
  <c r="V537" i="12"/>
  <c r="W537" i="12"/>
  <c r="X537" i="12"/>
  <c r="Y537" i="12"/>
  <c r="Z537" i="12"/>
  <c r="AL537" i="12"/>
  <c r="T538" i="12"/>
  <c r="U538" i="12"/>
  <c r="V538" i="12"/>
  <c r="W538" i="12"/>
  <c r="X538" i="12"/>
  <c r="Y538" i="12"/>
  <c r="Z538" i="12"/>
  <c r="AJ538" i="12"/>
  <c r="AK538" i="12"/>
  <c r="AL538" i="12"/>
  <c r="T539" i="12"/>
  <c r="U539" i="12"/>
  <c r="V539" i="12"/>
  <c r="W539" i="12"/>
  <c r="X539" i="12"/>
  <c r="Y539" i="12"/>
  <c r="Z539" i="12"/>
  <c r="AL539" i="12"/>
  <c r="T540" i="12"/>
  <c r="U540" i="12"/>
  <c r="V540" i="12"/>
  <c r="W540" i="12"/>
  <c r="X540" i="12"/>
  <c r="Y540" i="12"/>
  <c r="Z540" i="12"/>
  <c r="AL540" i="12"/>
  <c r="T541" i="12"/>
  <c r="U541" i="12"/>
  <c r="V541" i="12"/>
  <c r="W541" i="12"/>
  <c r="X541" i="12"/>
  <c r="Y541" i="12"/>
  <c r="Z541" i="12"/>
  <c r="AJ541" i="12"/>
  <c r="AK541" i="12"/>
  <c r="AL541" i="12"/>
  <c r="T542" i="12"/>
  <c r="U542" i="12"/>
  <c r="V542" i="12"/>
  <c r="W542" i="12"/>
  <c r="X542" i="12"/>
  <c r="Y542" i="12"/>
  <c r="Z542" i="12"/>
  <c r="AJ542" i="12"/>
  <c r="AK542" i="12"/>
  <c r="AL542" i="12"/>
  <c r="T543" i="12"/>
  <c r="U543" i="12"/>
  <c r="V543" i="12"/>
  <c r="W543" i="12"/>
  <c r="X543" i="12"/>
  <c r="Y543" i="12"/>
  <c r="Z543" i="12"/>
  <c r="AL543" i="12"/>
  <c r="T544" i="12"/>
  <c r="U544" i="12"/>
  <c r="V544" i="12"/>
  <c r="W544" i="12"/>
  <c r="X544" i="12"/>
  <c r="Y544" i="12"/>
  <c r="Z544" i="12"/>
  <c r="AL544" i="12"/>
  <c r="T545" i="12"/>
  <c r="U545" i="12"/>
  <c r="V545" i="12"/>
  <c r="W545" i="12"/>
  <c r="X545" i="12"/>
  <c r="Y545" i="12"/>
  <c r="Z545" i="12"/>
  <c r="AL545" i="12"/>
  <c r="T546" i="12"/>
  <c r="U546" i="12"/>
  <c r="V546" i="12"/>
  <c r="W546" i="12"/>
  <c r="X546" i="12"/>
  <c r="Y546" i="12"/>
  <c r="Z546" i="12"/>
  <c r="AL546" i="12"/>
  <c r="T547" i="12"/>
  <c r="U547" i="12"/>
  <c r="V547" i="12"/>
  <c r="W547" i="12"/>
  <c r="X547" i="12"/>
  <c r="Y547" i="12"/>
  <c r="Z547" i="12"/>
  <c r="AL547" i="12"/>
  <c r="T548" i="12"/>
  <c r="U548" i="12"/>
  <c r="V548" i="12"/>
  <c r="W548" i="12"/>
  <c r="X548" i="12"/>
  <c r="Y548" i="12"/>
  <c r="Z548" i="12"/>
  <c r="AJ548" i="12"/>
  <c r="AK548" i="12"/>
  <c r="AL548" i="12"/>
  <c r="T549" i="12"/>
  <c r="U549" i="12"/>
  <c r="V549" i="12"/>
  <c r="W549" i="12"/>
  <c r="X549" i="12"/>
  <c r="Y549" i="12"/>
  <c r="Z549" i="12"/>
  <c r="AL549" i="12"/>
  <c r="T550" i="12"/>
  <c r="U550" i="12"/>
  <c r="V550" i="12"/>
  <c r="W550" i="12"/>
  <c r="X550" i="12"/>
  <c r="Y550" i="12"/>
  <c r="Z550" i="12"/>
  <c r="AL550" i="12"/>
  <c r="T551" i="12"/>
  <c r="U551" i="12"/>
  <c r="V551" i="12"/>
  <c r="W551" i="12"/>
  <c r="X551" i="12"/>
  <c r="Y551" i="12"/>
  <c r="Z551" i="12"/>
  <c r="AJ551" i="12"/>
  <c r="AK551" i="12"/>
  <c r="AL551" i="12"/>
  <c r="T552" i="12"/>
  <c r="U552" i="12"/>
  <c r="V552" i="12"/>
  <c r="W552" i="12"/>
  <c r="X552" i="12"/>
  <c r="Y552" i="12"/>
  <c r="Z552" i="12"/>
  <c r="AL552" i="12"/>
  <c r="T553" i="12"/>
  <c r="U553" i="12"/>
  <c r="V553" i="12"/>
  <c r="W553" i="12"/>
  <c r="X553" i="12"/>
  <c r="Y553" i="12"/>
  <c r="Z553" i="12"/>
  <c r="AL553" i="12"/>
  <c r="T554" i="12"/>
  <c r="U554" i="12"/>
  <c r="V554" i="12"/>
  <c r="W554" i="12"/>
  <c r="X554" i="12"/>
  <c r="Y554" i="12"/>
  <c r="Z554" i="12"/>
  <c r="AL554" i="12"/>
  <c r="T555" i="12"/>
  <c r="U555" i="12"/>
  <c r="V555" i="12"/>
  <c r="W555" i="12"/>
  <c r="X555" i="12"/>
  <c r="Y555" i="12"/>
  <c r="Z555" i="12"/>
  <c r="AJ555" i="12"/>
  <c r="AK555" i="12"/>
  <c r="AL555" i="12"/>
  <c r="T556" i="12"/>
  <c r="U556" i="12"/>
  <c r="V556" i="12"/>
  <c r="W556" i="12"/>
  <c r="X556" i="12"/>
  <c r="Y556" i="12"/>
  <c r="Z556" i="12"/>
  <c r="AL556" i="12"/>
  <c r="T557" i="12"/>
  <c r="U557" i="12"/>
  <c r="V557" i="12"/>
  <c r="W557" i="12"/>
  <c r="X557" i="12"/>
  <c r="Y557" i="12"/>
  <c r="Z557" i="12"/>
  <c r="AL557" i="12"/>
  <c r="T558" i="12"/>
  <c r="U558" i="12"/>
  <c r="V558" i="12"/>
  <c r="W558" i="12"/>
  <c r="X558" i="12"/>
  <c r="Y558" i="12"/>
  <c r="Z558" i="12"/>
  <c r="AL558" i="12"/>
  <c r="T559" i="12"/>
  <c r="U559" i="12"/>
  <c r="V559" i="12"/>
  <c r="W559" i="12"/>
  <c r="X559" i="12"/>
  <c r="Y559" i="12"/>
  <c r="Z559" i="12"/>
  <c r="AL559" i="12"/>
  <c r="T560" i="12"/>
  <c r="U560" i="12"/>
  <c r="V560" i="12"/>
  <c r="W560" i="12"/>
  <c r="X560" i="12"/>
  <c r="Y560" i="12"/>
  <c r="Z560" i="12"/>
  <c r="AL560" i="12"/>
  <c r="T561" i="12"/>
  <c r="U561" i="12"/>
  <c r="V561" i="12"/>
  <c r="W561" i="12"/>
  <c r="X561" i="12"/>
  <c r="Y561" i="12"/>
  <c r="Z561" i="12"/>
  <c r="AL561" i="12"/>
  <c r="D3" i="8"/>
  <c r="F3" i="8" s="1"/>
  <c r="I3" i="8"/>
  <c r="J3" i="8"/>
  <c r="K3" i="8"/>
  <c r="D4" i="8"/>
  <c r="F4" i="8" s="1"/>
  <c r="I4" i="8"/>
  <c r="J4" i="8"/>
  <c r="K4" i="8"/>
  <c r="D5" i="8"/>
  <c r="F5" i="8" s="1"/>
  <c r="I5" i="8"/>
  <c r="J5" i="8"/>
  <c r="K5" i="8"/>
  <c r="D6" i="8"/>
  <c r="F6" i="8" s="1"/>
  <c r="G6" i="8" s="1"/>
  <c r="I6" i="8"/>
  <c r="J6" i="8"/>
  <c r="K6" i="8"/>
  <c r="D7" i="8"/>
  <c r="F7" i="8" s="1"/>
  <c r="I7" i="8"/>
  <c r="J7" i="8"/>
  <c r="K7" i="8"/>
  <c r="D8" i="8"/>
  <c r="F8" i="8" s="1"/>
  <c r="I8" i="8"/>
  <c r="J8" i="8"/>
  <c r="K8" i="8"/>
  <c r="D9" i="8"/>
  <c r="F9" i="8" s="1"/>
  <c r="G9" i="8"/>
  <c r="I9" i="8"/>
  <c r="J9" i="8"/>
  <c r="K9" i="8"/>
  <c r="D10" i="8"/>
  <c r="F10" i="8" s="1"/>
  <c r="G10" i="8" s="1"/>
  <c r="I10" i="8"/>
  <c r="J10" i="8"/>
  <c r="K10" i="8"/>
  <c r="D11" i="8"/>
  <c r="F11" i="8" s="1"/>
  <c r="G11" i="8" s="1"/>
  <c r="I11" i="8"/>
  <c r="J11" i="8"/>
  <c r="K11" i="8"/>
  <c r="D12" i="8"/>
  <c r="F12" i="8" s="1"/>
  <c r="I12" i="8"/>
  <c r="J12" i="8"/>
  <c r="K12" i="8"/>
  <c r="D13" i="8"/>
  <c r="F13" i="8" s="1"/>
  <c r="G13" i="8" s="1"/>
  <c r="I13" i="8"/>
  <c r="J13" i="8"/>
  <c r="K13" i="8"/>
  <c r="D14" i="8"/>
  <c r="F14" i="8" s="1"/>
  <c r="G14" i="8" s="1"/>
  <c r="I14" i="8"/>
  <c r="J14" i="8"/>
  <c r="K14" i="8"/>
  <c r="D15" i="8"/>
  <c r="F15" i="8"/>
  <c r="G15" i="8" s="1"/>
  <c r="I15" i="8"/>
  <c r="J15" i="8"/>
  <c r="K15" i="8"/>
  <c r="D16" i="8"/>
  <c r="F16" i="8" s="1"/>
  <c r="I16" i="8"/>
  <c r="J16" i="8"/>
  <c r="K16" i="8"/>
  <c r="D17" i="8"/>
  <c r="F17" i="8" s="1"/>
  <c r="G17" i="8" s="1"/>
  <c r="I17" i="8"/>
  <c r="J17" i="8"/>
  <c r="K17" i="8"/>
  <c r="D18" i="8"/>
  <c r="F18" i="8" s="1"/>
  <c r="G18" i="8" s="1"/>
  <c r="I18" i="8"/>
  <c r="J18" i="8"/>
  <c r="K18" i="8"/>
  <c r="D19" i="8"/>
  <c r="F19" i="8" s="1"/>
  <c r="G19" i="8" s="1"/>
  <c r="I19" i="8"/>
  <c r="J19" i="8"/>
  <c r="K19" i="8"/>
  <c r="D20" i="8"/>
  <c r="F20" i="8"/>
  <c r="G20" i="8" s="1"/>
  <c r="I20" i="8"/>
  <c r="J20" i="8"/>
  <c r="K20" i="8"/>
  <c r="D21" i="8"/>
  <c r="F21" i="8" s="1"/>
  <c r="G21" i="8" s="1"/>
  <c r="I21" i="8"/>
  <c r="J21" i="8"/>
  <c r="K21" i="8"/>
  <c r="D22" i="8"/>
  <c r="F22" i="8" s="1"/>
  <c r="I22" i="8"/>
  <c r="J22" i="8"/>
  <c r="K22" i="8"/>
  <c r="D23" i="8"/>
  <c r="F23" i="8" s="1"/>
  <c r="I23" i="8"/>
  <c r="J23" i="8"/>
  <c r="K23" i="8"/>
  <c r="D24" i="8"/>
  <c r="F24" i="8"/>
  <c r="G24" i="8" s="1"/>
  <c r="I24" i="8"/>
  <c r="J24" i="8"/>
  <c r="K24" i="8"/>
  <c r="D25" i="8"/>
  <c r="F25" i="8" s="1"/>
  <c r="I25" i="8"/>
  <c r="J25" i="8"/>
  <c r="K25" i="8"/>
  <c r="D26" i="8"/>
  <c r="F26" i="8" s="1"/>
  <c r="I26" i="8"/>
  <c r="J26" i="8"/>
  <c r="K26" i="8"/>
  <c r="D27" i="8"/>
  <c r="F27" i="8" s="1"/>
  <c r="G27" i="8" s="1"/>
  <c r="I27" i="8"/>
  <c r="J27" i="8"/>
  <c r="K27" i="8"/>
  <c r="D28" i="8"/>
  <c r="F28" i="8" s="1"/>
  <c r="G28" i="8" s="1"/>
  <c r="I28" i="8"/>
  <c r="J28" i="8"/>
  <c r="L28" i="8" s="1"/>
  <c r="K28" i="8"/>
  <c r="D29" i="8"/>
  <c r="F29" i="8" s="1"/>
  <c r="G29" i="8" s="1"/>
  <c r="I29" i="8"/>
  <c r="J29" i="8"/>
  <c r="K29" i="8"/>
  <c r="L29" i="8" s="1"/>
  <c r="D30" i="8"/>
  <c r="F30" i="8" s="1"/>
  <c r="G30" i="8" s="1"/>
  <c r="I30" i="8"/>
  <c r="J30" i="8"/>
  <c r="K30" i="8"/>
  <c r="D31" i="8"/>
  <c r="F31" i="8" s="1"/>
  <c r="G31" i="8" s="1"/>
  <c r="I31" i="8"/>
  <c r="J31" i="8"/>
  <c r="K31" i="8"/>
  <c r="D32" i="8"/>
  <c r="F32" i="8" s="1"/>
  <c r="G32" i="8" s="1"/>
  <c r="I32" i="8"/>
  <c r="J32" i="8"/>
  <c r="K32" i="8"/>
  <c r="D33" i="8"/>
  <c r="F33" i="8" s="1"/>
  <c r="G33" i="8"/>
  <c r="I33" i="8"/>
  <c r="J33" i="8"/>
  <c r="K33" i="8"/>
  <c r="L33" i="8" s="1"/>
  <c r="D34" i="8"/>
  <c r="F34" i="8" s="1"/>
  <c r="I34" i="8"/>
  <c r="J34" i="8"/>
  <c r="K34" i="8"/>
  <c r="D35" i="8"/>
  <c r="F35" i="8"/>
  <c r="I35" i="8"/>
  <c r="J35" i="8"/>
  <c r="K35" i="8"/>
  <c r="D36" i="8"/>
  <c r="F36" i="8" s="1"/>
  <c r="I36" i="8"/>
  <c r="J36" i="8"/>
  <c r="K36" i="8"/>
  <c r="D37" i="8"/>
  <c r="F37" i="8" s="1"/>
  <c r="G37" i="8" s="1"/>
  <c r="I37" i="8"/>
  <c r="J37" i="8"/>
  <c r="K37" i="8"/>
  <c r="D38" i="8"/>
  <c r="F38" i="8" s="1"/>
  <c r="I38" i="8"/>
  <c r="J38" i="8"/>
  <c r="K38" i="8"/>
  <c r="D39" i="8"/>
  <c r="F39" i="8"/>
  <c r="G39" i="8" s="1"/>
  <c r="I39" i="8"/>
  <c r="J39" i="8"/>
  <c r="K39" i="8"/>
  <c r="D40" i="8"/>
  <c r="F40" i="8" s="1"/>
  <c r="G40" i="8" s="1"/>
  <c r="I40" i="8"/>
  <c r="J40" i="8"/>
  <c r="K40" i="8"/>
  <c r="L40" i="8"/>
  <c r="D41" i="8"/>
  <c r="F41" i="8" s="1"/>
  <c r="G41" i="8" s="1"/>
  <c r="I41" i="8"/>
  <c r="J41" i="8"/>
  <c r="K41" i="8"/>
  <c r="L41" i="8"/>
  <c r="D42" i="8"/>
  <c r="F42" i="8"/>
  <c r="I42" i="8"/>
  <c r="J42" i="8"/>
  <c r="K42" i="8"/>
  <c r="D43" i="8"/>
  <c r="F43" i="8" s="1"/>
  <c r="I43" i="8"/>
  <c r="J43" i="8"/>
  <c r="K43" i="8"/>
  <c r="D44" i="8"/>
  <c r="F44" i="8" s="1"/>
  <c r="I44" i="8"/>
  <c r="J44" i="8"/>
  <c r="K44" i="8"/>
  <c r="D45" i="8"/>
  <c r="F45" i="8" s="1"/>
  <c r="G45" i="8" s="1"/>
  <c r="I45" i="8"/>
  <c r="J45" i="8"/>
  <c r="K45" i="8"/>
  <c r="D46" i="8"/>
  <c r="F46" i="8" s="1"/>
  <c r="I46" i="8"/>
  <c r="J46" i="8"/>
  <c r="K46" i="8"/>
  <c r="D47" i="8"/>
  <c r="F47" i="8" s="1"/>
  <c r="I47" i="8"/>
  <c r="J47" i="8"/>
  <c r="K47" i="8"/>
  <c r="D48" i="8"/>
  <c r="F48" i="8" s="1"/>
  <c r="G48" i="8" s="1"/>
  <c r="I48" i="8"/>
  <c r="J48" i="8"/>
  <c r="K48" i="8"/>
  <c r="D49" i="8"/>
  <c r="F49" i="8" s="1"/>
  <c r="G49" i="8" s="1"/>
  <c r="I49" i="8"/>
  <c r="J49" i="8"/>
  <c r="K49" i="8"/>
  <c r="L49" i="8" s="1"/>
  <c r="D50" i="8"/>
  <c r="F50" i="8" s="1"/>
  <c r="I50" i="8"/>
  <c r="J50" i="8"/>
  <c r="K50" i="8"/>
  <c r="D51" i="8"/>
  <c r="F51" i="8" s="1"/>
  <c r="I51" i="8"/>
  <c r="J51" i="8"/>
  <c r="K51" i="8"/>
  <c r="D52" i="8"/>
  <c r="F52" i="8" s="1"/>
  <c r="G52" i="8" s="1"/>
  <c r="I52" i="8"/>
  <c r="J52" i="8"/>
  <c r="K52" i="8"/>
  <c r="D53" i="8"/>
  <c r="F53" i="8"/>
  <c r="I53" i="8"/>
  <c r="J53" i="8"/>
  <c r="K53" i="8"/>
  <c r="D54" i="8"/>
  <c r="F54" i="8" s="1"/>
  <c r="G54" i="8" s="1"/>
  <c r="I54" i="8"/>
  <c r="J54" i="8"/>
  <c r="K54" i="8"/>
  <c r="D55" i="8"/>
  <c r="F55" i="8" s="1"/>
  <c r="I55" i="8"/>
  <c r="J55" i="8"/>
  <c r="K55" i="8"/>
  <c r="D56" i="8"/>
  <c r="F56" i="8" s="1"/>
  <c r="G56" i="8"/>
  <c r="I56" i="8"/>
  <c r="J56" i="8"/>
  <c r="K56" i="8"/>
  <c r="L56" i="8"/>
  <c r="D57" i="8"/>
  <c r="F57" i="8" s="1"/>
  <c r="I57" i="8"/>
  <c r="J57" i="8"/>
  <c r="K57" i="8"/>
  <c r="D58" i="8"/>
  <c r="F58" i="8" s="1"/>
  <c r="I58" i="8"/>
  <c r="J58" i="8"/>
  <c r="K58" i="8"/>
  <c r="D59" i="8"/>
  <c r="F59" i="8" s="1"/>
  <c r="I59" i="8"/>
  <c r="J59" i="8"/>
  <c r="K59" i="8"/>
  <c r="D60" i="8"/>
  <c r="F60" i="8" s="1"/>
  <c r="I60" i="8"/>
  <c r="J60" i="8"/>
  <c r="K60" i="8"/>
  <c r="D61" i="8"/>
  <c r="F61" i="8" s="1"/>
  <c r="I61" i="8"/>
  <c r="J61" i="8"/>
  <c r="K61" i="8"/>
  <c r="D62" i="8"/>
  <c r="F62" i="8" s="1"/>
  <c r="G62" i="8" s="1"/>
  <c r="I62" i="8"/>
  <c r="J62" i="8"/>
  <c r="K62" i="8"/>
  <c r="D63" i="8"/>
  <c r="F63" i="8" s="1"/>
  <c r="I63" i="8"/>
  <c r="J63" i="8"/>
  <c r="K63" i="8"/>
  <c r="D64" i="8"/>
  <c r="F64" i="8" s="1"/>
  <c r="G64" i="8" s="1"/>
  <c r="I64" i="8"/>
  <c r="J64" i="8"/>
  <c r="K64" i="8"/>
  <c r="D65" i="8"/>
  <c r="F65" i="8" s="1"/>
  <c r="G65" i="8" s="1"/>
  <c r="I65" i="8"/>
  <c r="J65" i="8"/>
  <c r="K65" i="8"/>
  <c r="L65" i="8" s="1"/>
  <c r="D66" i="8"/>
  <c r="F66" i="8" s="1"/>
  <c r="I66" i="8"/>
  <c r="J66" i="8"/>
  <c r="K66" i="8"/>
  <c r="D67" i="8"/>
  <c r="F67" i="8" s="1"/>
  <c r="I67" i="8"/>
  <c r="J67" i="8"/>
  <c r="K67" i="8"/>
  <c r="D68" i="8"/>
  <c r="F68" i="8" s="1"/>
  <c r="G68" i="8" s="1"/>
  <c r="I68" i="8"/>
  <c r="J68" i="8"/>
  <c r="K68" i="8"/>
  <c r="D69" i="8"/>
  <c r="F69" i="8" s="1"/>
  <c r="I69" i="8"/>
  <c r="J69" i="8"/>
  <c r="K69" i="8"/>
  <c r="D70" i="8"/>
  <c r="F70" i="8" s="1"/>
  <c r="G70" i="8" s="1"/>
  <c r="I70" i="8"/>
  <c r="J70" i="8"/>
  <c r="K70" i="8"/>
  <c r="D71" i="8"/>
  <c r="F71" i="8" s="1"/>
  <c r="G71" i="8" s="1"/>
  <c r="I71" i="8"/>
  <c r="J71" i="8"/>
  <c r="K71" i="8"/>
  <c r="D72" i="8"/>
  <c r="F72" i="8" s="1"/>
  <c r="G72" i="8" s="1"/>
  <c r="I72" i="8"/>
  <c r="J72" i="8"/>
  <c r="K72" i="8"/>
  <c r="D73" i="8"/>
  <c r="F73" i="8"/>
  <c r="G73" i="8" s="1"/>
  <c r="I73" i="8"/>
  <c r="J73" i="8"/>
  <c r="K73" i="8"/>
  <c r="D74" i="8"/>
  <c r="F74" i="8" s="1"/>
  <c r="G74" i="8" s="1"/>
  <c r="I74" i="8"/>
  <c r="J74" i="8"/>
  <c r="K74" i="8"/>
  <c r="D75" i="8"/>
  <c r="F75" i="8" s="1"/>
  <c r="I75" i="8"/>
  <c r="J75" i="8"/>
  <c r="K75" i="8"/>
  <c r="D76" i="8"/>
  <c r="F76" i="8"/>
  <c r="I76" i="8"/>
  <c r="J76" i="8"/>
  <c r="K76" i="8"/>
  <c r="D77" i="8"/>
  <c r="F77" i="8" s="1"/>
  <c r="I77" i="8"/>
  <c r="J77" i="8"/>
  <c r="K77" i="8"/>
  <c r="D78" i="8"/>
  <c r="F78" i="8" s="1"/>
  <c r="G78" i="8" s="1"/>
  <c r="I78" i="8"/>
  <c r="J78" i="8"/>
  <c r="K78" i="8"/>
  <c r="D79" i="8"/>
  <c r="F79" i="8" s="1"/>
  <c r="G79" i="8" s="1"/>
  <c r="I79" i="8"/>
  <c r="J79" i="8"/>
  <c r="K79" i="8"/>
  <c r="D80" i="8"/>
  <c r="F80" i="8"/>
  <c r="I80" i="8"/>
  <c r="J80" i="8"/>
  <c r="K80" i="8"/>
  <c r="D81" i="8"/>
  <c r="F81" i="8" s="1"/>
  <c r="I81" i="8"/>
  <c r="J81" i="8"/>
  <c r="K81" i="8"/>
  <c r="D82" i="8"/>
  <c r="F82" i="8" s="1"/>
  <c r="I82" i="8"/>
  <c r="J82" i="8"/>
  <c r="K82" i="8"/>
  <c r="D83" i="8"/>
  <c r="F83" i="8" s="1"/>
  <c r="G83" i="8" s="1"/>
  <c r="I83" i="8"/>
  <c r="J83" i="8"/>
  <c r="K83" i="8"/>
  <c r="L83" i="8" s="1"/>
  <c r="D84" i="8"/>
  <c r="F84" i="8"/>
  <c r="I84" i="8"/>
  <c r="J84" i="8"/>
  <c r="K84" i="8"/>
  <c r="D85" i="8"/>
  <c r="F85" i="8" s="1"/>
  <c r="I85" i="8"/>
  <c r="J85" i="8"/>
  <c r="K85" i="8"/>
  <c r="D86" i="8"/>
  <c r="F86" i="8" s="1"/>
  <c r="G86" i="8" s="1"/>
  <c r="I86" i="8"/>
  <c r="J86" i="8"/>
  <c r="K86" i="8"/>
  <c r="D87" i="8"/>
  <c r="F87" i="8" s="1"/>
  <c r="G87" i="8" s="1"/>
  <c r="I87" i="8"/>
  <c r="J87" i="8"/>
  <c r="K87" i="8"/>
  <c r="D88" i="8"/>
  <c r="F88" i="8"/>
  <c r="I88" i="8"/>
  <c r="J88" i="8"/>
  <c r="K88" i="8"/>
  <c r="D89" i="8"/>
  <c r="F89" i="8" s="1"/>
  <c r="I89" i="8"/>
  <c r="J89" i="8"/>
  <c r="K89" i="8"/>
  <c r="D90" i="8"/>
  <c r="F90" i="8" s="1"/>
  <c r="G90" i="8"/>
  <c r="I90" i="8"/>
  <c r="J90" i="8"/>
  <c r="K90" i="8"/>
  <c r="D91" i="8"/>
  <c r="F91" i="8" s="1"/>
  <c r="I91" i="8"/>
  <c r="J91" i="8"/>
  <c r="K91" i="8"/>
  <c r="D92" i="8"/>
  <c r="F92" i="8"/>
  <c r="I92" i="8"/>
  <c r="J92" i="8"/>
  <c r="K92" i="8"/>
  <c r="D93" i="8"/>
  <c r="F93" i="8" s="1"/>
  <c r="G93" i="8" s="1"/>
  <c r="I93" i="8"/>
  <c r="J93" i="8"/>
  <c r="K93" i="8"/>
  <c r="D94" i="8"/>
  <c r="F94" i="8" s="1"/>
  <c r="G94" i="8"/>
  <c r="I94" i="8"/>
  <c r="J94" i="8"/>
  <c r="K94" i="8"/>
  <c r="D95" i="8"/>
  <c r="F95" i="8"/>
  <c r="I95" i="8"/>
  <c r="J95" i="8"/>
  <c r="K95" i="8"/>
  <c r="D96" i="8"/>
  <c r="F96" i="8" s="1"/>
  <c r="G96" i="8" s="1"/>
  <c r="I96" i="8"/>
  <c r="J96" i="8"/>
  <c r="K96" i="8"/>
  <c r="D97" i="8"/>
  <c r="F97" i="8"/>
  <c r="I97" i="8"/>
  <c r="J97" i="8"/>
  <c r="K97" i="8"/>
  <c r="D98" i="8"/>
  <c r="F98" i="8" s="1"/>
  <c r="G98" i="8" s="1"/>
  <c r="I98" i="8"/>
  <c r="J98" i="8"/>
  <c r="K98" i="8"/>
  <c r="D99" i="8"/>
  <c r="F99" i="8" s="1"/>
  <c r="I99" i="8"/>
  <c r="J99" i="8"/>
  <c r="K99" i="8"/>
  <c r="D100" i="8"/>
  <c r="F100" i="8"/>
  <c r="G100" i="8" s="1"/>
  <c r="I100" i="8"/>
  <c r="J100" i="8"/>
  <c r="K100" i="8"/>
  <c r="D101" i="8"/>
  <c r="F101" i="8" s="1"/>
  <c r="I101" i="8"/>
  <c r="J101" i="8"/>
  <c r="K101" i="8"/>
  <c r="D102" i="8"/>
  <c r="F102" i="8" s="1"/>
  <c r="I102" i="8"/>
  <c r="J102" i="8"/>
  <c r="K102" i="8"/>
  <c r="D103" i="8"/>
  <c r="F103" i="8" s="1"/>
  <c r="I103" i="8"/>
  <c r="J103" i="8"/>
  <c r="K103" i="8"/>
  <c r="D104" i="8"/>
  <c r="F104" i="8" s="1"/>
  <c r="I104" i="8"/>
  <c r="J104" i="8"/>
  <c r="K104" i="8"/>
  <c r="D105" i="8"/>
  <c r="F105" i="8" s="1"/>
  <c r="G105" i="8" s="1"/>
  <c r="I105" i="8"/>
  <c r="J105" i="8"/>
  <c r="K105" i="8"/>
  <c r="D106" i="8"/>
  <c r="F106" i="8" s="1"/>
  <c r="I106" i="8"/>
  <c r="J106" i="8"/>
  <c r="K106" i="8"/>
  <c r="D107" i="8"/>
  <c r="F107" i="8"/>
  <c r="G107" i="8" s="1"/>
  <c r="I107" i="8"/>
  <c r="J107" i="8"/>
  <c r="K107" i="8"/>
  <c r="D108" i="8"/>
  <c r="F108" i="8" s="1"/>
  <c r="I108" i="8"/>
  <c r="J108" i="8"/>
  <c r="K108" i="8"/>
  <c r="D109" i="8"/>
  <c r="F109" i="8" s="1"/>
  <c r="I109" i="8"/>
  <c r="J109" i="8"/>
  <c r="K109" i="8"/>
  <c r="D110" i="8"/>
  <c r="F110" i="8" s="1"/>
  <c r="G110" i="8"/>
  <c r="I110" i="8"/>
  <c r="J110" i="8"/>
  <c r="K110" i="8"/>
  <c r="D111" i="8"/>
  <c r="F111" i="8" s="1"/>
  <c r="I111" i="8"/>
  <c r="J111" i="8"/>
  <c r="K111" i="8"/>
  <c r="D112" i="8"/>
  <c r="F112" i="8" s="1"/>
  <c r="G112" i="8" s="1"/>
  <c r="I112" i="8"/>
  <c r="J112" i="8"/>
  <c r="K112" i="8"/>
  <c r="D113" i="8"/>
  <c r="F113" i="8"/>
  <c r="I113" i="8"/>
  <c r="J113" i="8"/>
  <c r="K113" i="8"/>
  <c r="D114" i="8"/>
  <c r="F114" i="8" s="1"/>
  <c r="G114" i="8" s="1"/>
  <c r="I114" i="8"/>
  <c r="J114" i="8"/>
  <c r="K114" i="8"/>
  <c r="D115" i="8"/>
  <c r="F115" i="8" s="1"/>
  <c r="I115" i="8"/>
  <c r="J115" i="8"/>
  <c r="K115" i="8"/>
  <c r="D116" i="8"/>
  <c r="F116" i="8"/>
  <c r="G116" i="8" s="1"/>
  <c r="I116" i="8"/>
  <c r="J116" i="8"/>
  <c r="K116" i="8"/>
  <c r="D117" i="8"/>
  <c r="F117" i="8" s="1"/>
  <c r="G117" i="8" s="1"/>
  <c r="I117" i="8"/>
  <c r="J117" i="8"/>
  <c r="K117" i="8"/>
  <c r="L117" i="8" s="1"/>
  <c r="D118" i="8"/>
  <c r="F118" i="8" s="1"/>
  <c r="G118" i="8" s="1"/>
  <c r="I118" i="8"/>
  <c r="J118" i="8"/>
  <c r="K118" i="8"/>
  <c r="L118" i="8"/>
  <c r="D119" i="8"/>
  <c r="F119" i="8" s="1"/>
  <c r="G119" i="8" s="1"/>
  <c r="I119" i="8"/>
  <c r="J119" i="8"/>
  <c r="K119" i="8"/>
  <c r="L119" i="8"/>
  <c r="D120" i="8"/>
  <c r="F120" i="8" s="1"/>
  <c r="I120" i="8"/>
  <c r="J120" i="8"/>
  <c r="K120" i="8"/>
  <c r="D121" i="8"/>
  <c r="F121" i="8" s="1"/>
  <c r="G121" i="8" s="1"/>
  <c r="I121" i="8"/>
  <c r="J121" i="8"/>
  <c r="K121" i="8"/>
  <c r="D122" i="8"/>
  <c r="F122" i="8" s="1"/>
  <c r="G122" i="8"/>
  <c r="I122" i="8"/>
  <c r="J122" i="8"/>
  <c r="K122" i="8"/>
  <c r="L122" i="8"/>
  <c r="D123" i="8"/>
  <c r="F123" i="8" s="1"/>
  <c r="I123" i="8"/>
  <c r="J123" i="8"/>
  <c r="K123" i="8"/>
  <c r="D124" i="8"/>
  <c r="F124" i="8" s="1"/>
  <c r="I124" i="8"/>
  <c r="J124" i="8"/>
  <c r="K124" i="8"/>
  <c r="D125" i="8"/>
  <c r="F125" i="8"/>
  <c r="I125" i="8"/>
  <c r="J125" i="8"/>
  <c r="K125" i="8"/>
  <c r="D126" i="8"/>
  <c r="F126" i="8" s="1"/>
  <c r="G126" i="8"/>
  <c r="I126" i="8"/>
  <c r="J126" i="8"/>
  <c r="K126" i="8"/>
  <c r="D127" i="8"/>
  <c r="F127" i="8" s="1"/>
  <c r="I127" i="8"/>
  <c r="J127" i="8"/>
  <c r="K127" i="8"/>
  <c r="D128" i="8"/>
  <c r="F128" i="8" s="1"/>
  <c r="I128" i="8"/>
  <c r="J128" i="8"/>
  <c r="K128" i="8"/>
  <c r="D129" i="8"/>
  <c r="F129" i="8" s="1"/>
  <c r="I129" i="8"/>
  <c r="J129" i="8"/>
  <c r="K129" i="8"/>
  <c r="D130" i="8"/>
  <c r="F130" i="8" s="1"/>
  <c r="I130" i="8"/>
  <c r="J130" i="8"/>
  <c r="K130" i="8"/>
  <c r="D131" i="8"/>
  <c r="F131" i="8" s="1"/>
  <c r="I131" i="8"/>
  <c r="J131" i="8"/>
  <c r="K131" i="8"/>
  <c r="D132" i="8"/>
  <c r="F132" i="8"/>
  <c r="G132" i="8" s="1"/>
  <c r="I132" i="8"/>
  <c r="J132" i="8"/>
  <c r="K132" i="8"/>
  <c r="D133" i="8"/>
  <c r="F133" i="8" s="1"/>
  <c r="I133" i="8"/>
  <c r="J133" i="8"/>
  <c r="K133" i="8"/>
  <c r="D134" i="8"/>
  <c r="F134" i="8" s="1"/>
  <c r="G134" i="8" s="1"/>
  <c r="I134" i="8"/>
  <c r="J134" i="8"/>
  <c r="K134" i="8"/>
  <c r="L134" i="8"/>
  <c r="D135" i="8"/>
  <c r="F135" i="8" s="1"/>
  <c r="G135" i="8" s="1"/>
  <c r="I135" i="8"/>
  <c r="J135" i="8"/>
  <c r="K135" i="8"/>
  <c r="D136" i="8"/>
  <c r="F136" i="8"/>
  <c r="I136" i="8"/>
  <c r="J136" i="8"/>
  <c r="K136" i="8"/>
  <c r="D137" i="8"/>
  <c r="F137" i="8"/>
  <c r="G137" i="8" s="1"/>
  <c r="I137" i="8"/>
  <c r="J137" i="8"/>
  <c r="K137" i="8"/>
  <c r="D138" i="8"/>
  <c r="F138" i="8" s="1"/>
  <c r="G138" i="8" s="1"/>
  <c r="I138" i="8"/>
  <c r="J138" i="8"/>
  <c r="K138" i="8"/>
  <c r="D139" i="8"/>
  <c r="F139" i="8"/>
  <c r="I139" i="8"/>
  <c r="J139" i="8"/>
  <c r="K139" i="8"/>
  <c r="D140" i="8"/>
  <c r="F140" i="8" s="1"/>
  <c r="I140" i="8"/>
  <c r="J140" i="8"/>
  <c r="K140" i="8"/>
  <c r="D141" i="8"/>
  <c r="F141" i="8" s="1"/>
  <c r="I141" i="8"/>
  <c r="J141" i="8"/>
  <c r="K141" i="8"/>
  <c r="D142" i="8"/>
  <c r="F142" i="8" s="1"/>
  <c r="I142" i="8"/>
  <c r="J142" i="8"/>
  <c r="K142" i="8"/>
  <c r="D143" i="8"/>
  <c r="F143" i="8"/>
  <c r="G143" i="8" s="1"/>
  <c r="I143" i="8"/>
  <c r="J143" i="8"/>
  <c r="K143" i="8"/>
  <c r="D144" i="8"/>
  <c r="F144" i="8"/>
  <c r="G144" i="8" s="1"/>
  <c r="I144" i="8"/>
  <c r="J144" i="8"/>
  <c r="K144" i="8"/>
  <c r="D145" i="8"/>
  <c r="F145" i="8" s="1"/>
  <c r="I145" i="8"/>
  <c r="J145" i="8"/>
  <c r="K145" i="8"/>
  <c r="D146" i="8"/>
  <c r="F146" i="8" s="1"/>
  <c r="I146" i="8"/>
  <c r="J146" i="8"/>
  <c r="K146" i="8"/>
  <c r="D147" i="8"/>
  <c r="F147" i="8" s="1"/>
  <c r="I147" i="8"/>
  <c r="J147" i="8"/>
  <c r="K147" i="8"/>
  <c r="D148" i="8"/>
  <c r="F148" i="8" s="1"/>
  <c r="L148" i="8" s="1"/>
  <c r="I148" i="8"/>
  <c r="J148" i="8"/>
  <c r="K148" i="8"/>
  <c r="D149" i="8"/>
  <c r="F149" i="8" s="1"/>
  <c r="I149" i="8"/>
  <c r="J149" i="8"/>
  <c r="K149" i="8"/>
  <c r="D150" i="8"/>
  <c r="F150" i="8" s="1"/>
  <c r="G150" i="8" s="1"/>
  <c r="I150" i="8"/>
  <c r="J150" i="8"/>
  <c r="K150" i="8"/>
  <c r="D151" i="8"/>
  <c r="F151" i="8" s="1"/>
  <c r="G151" i="8" s="1"/>
  <c r="I151" i="8"/>
  <c r="J151" i="8"/>
  <c r="K151" i="8"/>
  <c r="L151" i="8" s="1"/>
  <c r="D152" i="8"/>
  <c r="F152" i="8" s="1"/>
  <c r="G152" i="8" s="1"/>
  <c r="I152" i="8"/>
  <c r="J152" i="8"/>
  <c r="K152" i="8"/>
  <c r="D153" i="8"/>
  <c r="F153" i="8"/>
  <c r="G153" i="8" s="1"/>
  <c r="I153" i="8"/>
  <c r="J153" i="8"/>
  <c r="K153" i="8"/>
  <c r="D154" i="8"/>
  <c r="F154" i="8" s="1"/>
  <c r="I154" i="8"/>
  <c r="J154" i="8"/>
  <c r="K154" i="8"/>
  <c r="D155" i="8"/>
  <c r="F155" i="8"/>
  <c r="G155" i="8" s="1"/>
  <c r="I155" i="8"/>
  <c r="J155" i="8"/>
  <c r="K155" i="8"/>
  <c r="C838" i="3"/>
  <c r="C1383" i="3"/>
  <c r="C1587" i="3"/>
  <c r="C1723" i="3"/>
  <c r="C1896" i="3"/>
  <c r="C1921" i="3"/>
  <c r="C1938" i="3"/>
  <c r="C1979" i="3"/>
  <c r="C2046" i="3"/>
  <c r="C2104" i="3"/>
  <c r="C2143" i="3"/>
  <c r="C2151" i="3"/>
  <c r="C2159" i="3"/>
  <c r="C2179" i="3"/>
  <c r="C2261" i="3"/>
  <c r="C2311" i="3"/>
  <c r="C2349" i="3"/>
  <c r="C2402" i="3"/>
  <c r="C2413" i="3"/>
  <c r="C2421" i="3"/>
  <c r="C2433" i="3"/>
  <c r="C2437" i="3"/>
  <c r="C2456" i="3"/>
  <c r="C2457" i="3"/>
  <c r="C2463" i="3"/>
  <c r="C2496" i="3"/>
  <c r="C2500" i="3"/>
  <c r="C2512" i="3"/>
  <c r="C2517" i="3"/>
  <c r="C2521" i="3"/>
  <c r="C2529" i="3"/>
  <c r="C2534" i="3"/>
  <c r="C2539" i="3"/>
  <c r="C2547" i="3"/>
  <c r="C2560" i="3"/>
  <c r="C2572" i="3"/>
  <c r="C2577" i="3"/>
  <c r="C2580" i="3"/>
  <c r="C2586" i="3"/>
  <c r="C2587" i="3"/>
  <c r="C2588" i="3"/>
  <c r="C2594" i="3"/>
  <c r="C2608" i="3"/>
  <c r="C2609" i="3"/>
  <c r="C2627" i="3"/>
  <c r="C2629" i="3"/>
  <c r="C2635" i="3"/>
  <c r="C2661" i="3"/>
  <c r="C2663" i="3"/>
  <c r="C2667" i="3"/>
  <c r="C2678" i="3"/>
  <c r="C2679" i="3"/>
  <c r="C2697" i="3"/>
  <c r="C2699" i="3"/>
  <c r="C2700" i="3"/>
  <c r="C2708" i="3"/>
  <c r="C2736" i="3"/>
  <c r="C2753" i="3"/>
  <c r="C2754" i="3"/>
  <c r="C2757" i="3"/>
  <c r="C2771" i="3"/>
  <c r="C2772" i="3"/>
  <c r="C2790" i="3"/>
  <c r="C2798" i="3"/>
  <c r="C2801" i="3"/>
  <c r="C2803" i="3"/>
  <c r="C2804" i="3"/>
  <c r="C2809" i="3"/>
  <c r="C2820" i="3"/>
  <c r="C2831" i="3"/>
  <c r="C2841" i="3"/>
  <c r="C2844" i="3"/>
  <c r="C2847" i="3"/>
  <c r="C2856" i="3"/>
  <c r="C2861" i="3"/>
  <c r="C2863" i="3"/>
  <c r="C2870" i="3"/>
  <c r="C2877" i="3"/>
  <c r="C2886" i="3"/>
  <c r="C2890" i="3"/>
  <c r="C2892" i="3"/>
  <c r="C2893" i="3"/>
  <c r="C2895" i="3"/>
  <c r="C2898" i="3"/>
  <c r="C2909" i="3"/>
  <c r="C2921" i="3"/>
  <c r="C2923" i="3"/>
  <c r="C2924" i="3"/>
  <c r="C2927" i="3"/>
  <c r="C2940" i="3"/>
  <c r="C2947" i="3"/>
  <c r="C2950" i="3"/>
  <c r="C2955" i="3"/>
  <c r="C2968" i="3"/>
  <c r="C2970" i="3"/>
  <c r="C2973" i="3"/>
  <c r="C2975" i="3"/>
  <c r="C2983" i="3"/>
  <c r="C2988" i="3"/>
  <c r="C2989" i="3"/>
  <c r="C2994" i="3"/>
  <c r="C3003" i="3"/>
  <c r="C3011" i="3"/>
  <c r="C3013" i="3"/>
  <c r="C3014" i="3"/>
  <c r="C3032" i="3"/>
  <c r="C3033" i="3"/>
  <c r="C3037" i="3"/>
  <c r="C3046" i="3"/>
  <c r="C3075" i="3"/>
  <c r="C3084" i="3"/>
  <c r="C3097" i="3"/>
  <c r="C3103" i="3"/>
  <c r="C3104" i="3"/>
  <c r="C3106" i="3"/>
  <c r="C3109" i="3"/>
  <c r="C3111" i="3"/>
  <c r="C3117" i="3"/>
  <c r="C3123" i="3"/>
  <c r="C3129" i="3"/>
  <c r="C3140" i="3"/>
  <c r="C3143" i="3"/>
  <c r="C3151" i="3"/>
  <c r="C3159" i="3"/>
  <c r="C3164" i="3"/>
  <c r="C3190" i="3"/>
  <c r="C3206" i="3"/>
  <c r="C3217" i="3"/>
  <c r="C3220" i="3"/>
  <c r="C3223" i="3"/>
  <c r="C3233" i="3"/>
  <c r="C3238" i="3"/>
  <c r="C3248" i="3"/>
  <c r="C3261" i="3"/>
  <c r="C3263" i="3"/>
  <c r="C3275" i="3"/>
  <c r="C3276" i="3"/>
  <c r="C3280" i="3"/>
  <c r="C3281" i="3"/>
  <c r="C3284" i="3"/>
  <c r="C3286" i="3"/>
  <c r="C3289" i="3"/>
  <c r="C3293" i="3"/>
  <c r="C3300" i="3"/>
  <c r="C3304" i="3"/>
  <c r="C3305" i="3"/>
  <c r="C3329" i="3"/>
  <c r="C3340" i="3"/>
  <c r="C3343" i="3"/>
  <c r="C3344" i="3"/>
  <c r="C3346" i="3"/>
  <c r="C3348" i="3"/>
  <c r="C3349" i="3"/>
  <c r="C3350" i="3"/>
  <c r="C3351" i="3"/>
  <c r="C3357" i="3"/>
  <c r="C3358" i="3"/>
  <c r="C3360" i="3"/>
  <c r="C3370" i="3"/>
  <c r="C3373" i="3"/>
  <c r="C3374" i="3"/>
  <c r="C3377" i="3"/>
  <c r="C3378" i="3"/>
  <c r="C3383" i="3"/>
  <c r="C3386" i="3"/>
  <c r="C3388" i="3"/>
  <c r="C3393" i="3"/>
  <c r="C3397" i="3"/>
  <c r="C3398" i="3"/>
  <c r="C3406" i="3"/>
  <c r="C3407" i="3"/>
  <c r="C3409" i="3"/>
  <c r="C3414" i="3"/>
  <c r="C3419" i="3"/>
  <c r="C3420" i="3"/>
  <c r="C3428" i="3"/>
  <c r="C3430" i="3"/>
  <c r="C3436" i="3"/>
  <c r="C3444" i="3"/>
  <c r="C3451" i="3"/>
  <c r="C3457" i="3"/>
  <c r="C3462" i="3"/>
  <c r="C3463" i="3"/>
  <c r="C3464" i="3"/>
  <c r="C3479" i="3"/>
  <c r="C3481" i="3"/>
  <c r="C3490" i="3"/>
  <c r="C3496" i="3"/>
  <c r="C3503" i="3"/>
  <c r="C3509" i="3"/>
  <c r="C3515" i="3"/>
  <c r="C3518" i="3"/>
  <c r="C3520" i="3"/>
  <c r="C3521" i="3"/>
  <c r="C3522" i="3"/>
  <c r="C3524" i="3"/>
  <c r="C3526" i="3"/>
  <c r="C3530" i="3"/>
  <c r="C3531" i="3"/>
  <c r="C3532" i="3"/>
  <c r="C3533" i="3"/>
  <c r="C3536" i="3"/>
  <c r="C3542" i="3"/>
  <c r="C3544" i="3"/>
  <c r="C3552" i="3"/>
  <c r="C3557" i="3"/>
  <c r="C3560" i="3"/>
  <c r="C3561" i="3"/>
  <c r="C3562" i="3"/>
  <c r="C3565" i="3"/>
  <c r="C3569" i="3"/>
  <c r="C3572" i="3"/>
  <c r="C3575" i="3"/>
  <c r="C3576" i="3"/>
  <c r="C3584" i="3"/>
  <c r="C3588" i="3"/>
  <c r="C3593" i="3"/>
  <c r="C3597" i="3"/>
  <c r="C3600" i="3"/>
  <c r="C3603" i="3"/>
  <c r="C3617" i="3"/>
  <c r="C3624" i="3"/>
  <c r="C3628" i="3"/>
  <c r="C3634" i="3"/>
  <c r="C3642" i="3"/>
  <c r="C3644" i="3"/>
  <c r="C3647" i="3"/>
  <c r="C3654" i="3"/>
  <c r="C3659" i="3"/>
  <c r="C3661" i="3"/>
  <c r="C3662" i="3"/>
  <c r="C3667" i="3"/>
  <c r="C3678" i="3"/>
  <c r="C3679" i="3"/>
  <c r="C3683" i="3"/>
  <c r="C3684" i="3"/>
  <c r="C3685" i="3"/>
  <c r="C3688" i="3"/>
  <c r="C3693" i="3"/>
  <c r="C3701" i="3"/>
  <c r="C3705" i="3"/>
  <c r="C3708" i="3"/>
  <c r="C3710" i="3"/>
  <c r="C3713" i="3"/>
  <c r="C3721" i="3"/>
  <c r="C3722" i="3"/>
  <c r="C3729" i="3"/>
  <c r="C3734" i="3"/>
  <c r="C3736" i="3"/>
  <c r="C3739" i="3"/>
  <c r="C3741" i="3"/>
  <c r="C3742" i="3"/>
  <c r="C3744" i="3"/>
  <c r="C3745" i="3"/>
  <c r="C3748" i="3"/>
  <c r="C3749" i="3"/>
  <c r="C3752" i="3"/>
  <c r="C3754" i="3"/>
  <c r="C3755" i="3"/>
  <c r="C3757" i="3"/>
  <c r="C3760" i="3"/>
  <c r="C3765" i="3"/>
  <c r="C3766" i="3"/>
  <c r="C3767" i="3"/>
  <c r="C3768" i="3"/>
  <c r="C3772" i="3"/>
  <c r="C3773" i="3"/>
  <c r="C3774" i="3"/>
  <c r="C3775" i="3"/>
  <c r="C3779" i="3"/>
  <c r="C3782" i="3"/>
  <c r="C3784" i="3"/>
  <c r="C3791" i="3"/>
  <c r="C3800" i="3"/>
  <c r="C3802" i="3"/>
  <c r="C3803" i="3"/>
  <c r="C3805" i="3"/>
  <c r="C3810" i="3"/>
  <c r="C3816" i="3"/>
  <c r="C3818" i="3"/>
  <c r="C3823" i="3"/>
  <c r="C3826" i="3"/>
  <c r="C3828" i="3"/>
  <c r="C3834" i="3"/>
  <c r="C3835" i="3"/>
  <c r="C3838" i="3"/>
  <c r="C3841" i="3"/>
  <c r="C3842" i="3"/>
  <c r="C3843" i="3"/>
  <c r="C3845" i="3"/>
  <c r="C3847" i="3"/>
  <c r="C3856" i="3"/>
  <c r="C3861" i="3"/>
  <c r="C3864" i="3"/>
  <c r="C3869" i="3"/>
  <c r="C3872" i="3"/>
  <c r="C3876" i="3"/>
  <c r="C3880" i="3"/>
  <c r="C3890" i="3"/>
  <c r="C3894" i="3"/>
  <c r="C3895" i="3"/>
  <c r="C3896" i="3"/>
  <c r="C3898" i="3"/>
  <c r="C3901" i="3"/>
  <c r="C3902" i="3"/>
  <c r="C3905" i="3"/>
  <c r="C3916" i="3"/>
  <c r="C3917" i="3"/>
  <c r="C3919" i="3"/>
  <c r="C3924" i="3"/>
  <c r="C3926" i="3"/>
  <c r="C3928" i="3"/>
  <c r="C3933" i="3"/>
  <c r="C3935" i="3"/>
  <c r="C3937" i="3"/>
  <c r="C3946" i="3"/>
  <c r="C3947" i="3"/>
  <c r="C3951" i="3"/>
  <c r="C3958" i="3"/>
  <c r="C3968" i="3"/>
  <c r="C3969" i="3"/>
  <c r="C3974" i="3"/>
  <c r="C3980" i="3"/>
  <c r="C3981" i="3"/>
  <c r="C3985" i="3"/>
  <c r="C3988" i="3"/>
  <c r="C3992" i="3"/>
  <c r="C3993" i="3"/>
  <c r="C3995" i="3"/>
  <c r="C3996" i="3"/>
  <c r="C3999" i="3"/>
  <c r="C4000" i="3"/>
  <c r="C4001" i="3"/>
  <c r="C4011" i="3"/>
  <c r="C4018" i="3"/>
  <c r="C4019" i="3"/>
  <c r="C4021" i="3"/>
  <c r="C4022" i="3"/>
  <c r="C4023" i="3"/>
  <c r="C4028" i="3"/>
  <c r="C4029" i="3"/>
  <c r="C4030" i="3"/>
  <c r="C4033" i="3"/>
  <c r="C4036" i="3"/>
  <c r="C4044" i="3"/>
  <c r="C4050" i="3"/>
  <c r="C4051" i="3"/>
  <c r="C4053" i="3"/>
  <c r="C4055" i="3"/>
  <c r="C4060" i="3"/>
  <c r="C4061" i="3"/>
  <c r="C4062" i="3"/>
  <c r="C4064" i="3"/>
  <c r="C4065" i="3"/>
  <c r="C4068" i="3"/>
  <c r="C4069" i="3"/>
  <c r="C4075" i="3"/>
  <c r="C4078" i="3"/>
  <c r="C4084" i="3"/>
  <c r="C4090" i="3"/>
  <c r="C4091" i="3"/>
  <c r="C4093" i="3"/>
  <c r="C4097" i="3"/>
  <c r="C4105" i="3"/>
  <c r="C4106" i="3"/>
  <c r="C4108" i="3"/>
  <c r="C4109" i="3"/>
  <c r="C4111" i="3"/>
  <c r="C4112" i="3"/>
  <c r="C4116" i="3"/>
  <c r="C4118" i="3"/>
  <c r="C4120" i="3"/>
  <c r="C4122" i="3"/>
  <c r="C4123" i="3"/>
  <c r="C4124" i="3"/>
  <c r="C4126" i="3"/>
  <c r="C4127" i="3"/>
  <c r="C4129" i="3"/>
  <c r="C4132" i="3"/>
  <c r="C4133" i="3"/>
  <c r="C4134" i="3"/>
  <c r="C4136" i="3"/>
  <c r="C4137" i="3"/>
  <c r="C4138" i="3"/>
  <c r="C4141" i="3"/>
  <c r="C4145" i="3"/>
  <c r="C4149" i="3"/>
  <c r="C4150" i="3"/>
  <c r="C4151" i="3"/>
  <c r="C4153" i="3"/>
  <c r="C4158" i="3"/>
  <c r="C4159" i="3"/>
  <c r="C4160" i="3"/>
  <c r="C4163" i="3"/>
  <c r="C4166" i="3"/>
  <c r="C4169" i="3"/>
  <c r="C4170" i="3"/>
  <c r="C4171" i="3"/>
  <c r="C4172" i="3"/>
  <c r="C4173" i="3"/>
  <c r="C4174" i="3"/>
  <c r="C4178" i="3"/>
  <c r="C4183" i="3"/>
  <c r="C4184" i="3"/>
  <c r="C4185" i="3"/>
  <c r="C4186" i="3"/>
  <c r="C4188" i="3"/>
  <c r="C4189" i="3"/>
  <c r="C4191" i="3"/>
  <c r="C4192" i="3"/>
  <c r="C4194" i="3"/>
  <c r="C4196" i="3"/>
  <c r="C4198" i="3"/>
  <c r="C4200" i="3"/>
  <c r="C4201" i="3"/>
  <c r="C4202" i="3"/>
  <c r="C4204" i="3"/>
  <c r="C4205" i="3"/>
  <c r="C4207" i="3"/>
  <c r="C4209" i="3"/>
  <c r="C4210" i="3"/>
  <c r="C4211" i="3"/>
  <c r="C4213" i="3"/>
  <c r="C4215" i="3"/>
  <c r="C4219" i="3"/>
  <c r="C4220" i="3"/>
  <c r="C4222" i="3"/>
  <c r="C4223" i="3"/>
  <c r="C4224" i="3"/>
  <c r="C4228" i="3"/>
  <c r="C4229" i="3"/>
  <c r="C4230" i="3"/>
  <c r="C4232" i="3"/>
  <c r="C4233" i="3"/>
  <c r="C4234" i="3"/>
  <c r="C4235" i="3"/>
  <c r="C4237" i="3"/>
  <c r="C4240" i="3"/>
  <c r="C4241" i="3"/>
  <c r="C4243" i="3"/>
  <c r="C4244" i="3"/>
  <c r="C4250" i="3"/>
  <c r="C4251" i="3"/>
  <c r="C4258" i="3"/>
  <c r="C4259" i="3"/>
  <c r="C4260" i="3"/>
  <c r="C4263" i="3"/>
  <c r="C4264" i="3"/>
  <c r="C4265" i="3"/>
  <c r="C4266" i="3"/>
  <c r="C4267" i="3"/>
  <c r="C4269" i="3"/>
  <c r="C4275" i="3"/>
  <c r="C4276" i="3"/>
  <c r="C4279" i="3"/>
  <c r="C4281" i="3"/>
  <c r="C4283" i="3"/>
  <c r="C4285" i="3"/>
  <c r="C4286" i="3"/>
  <c r="C4296" i="3"/>
  <c r="C4299" i="3"/>
  <c r="C4300" i="3"/>
  <c r="C4302" i="3"/>
  <c r="C4310" i="3"/>
  <c r="C4314" i="3"/>
  <c r="C4315" i="3"/>
  <c r="C4316" i="3"/>
  <c r="C4318" i="3"/>
  <c r="C4322" i="3"/>
  <c r="C4323" i="3"/>
  <c r="C4326" i="3"/>
  <c r="C4327" i="3"/>
  <c r="C4328" i="3"/>
  <c r="C4330" i="3"/>
  <c r="C4332" i="3"/>
  <c r="C4335" i="3"/>
  <c r="C4336" i="3"/>
  <c r="C4338" i="3"/>
  <c r="C4342" i="3"/>
  <c r="C4344" i="3"/>
  <c r="C4347" i="3"/>
  <c r="C4348" i="3"/>
  <c r="C4351" i="3"/>
  <c r="C4352" i="3"/>
  <c r="C4353" i="3"/>
  <c r="C4354" i="3"/>
  <c r="C4357" i="3"/>
  <c r="C4358" i="3"/>
  <c r="C4359" i="3"/>
  <c r="C4360" i="3"/>
  <c r="C4361" i="3"/>
  <c r="C4365" i="3"/>
  <c r="C4366" i="3"/>
  <c r="C4367" i="3"/>
  <c r="C4368" i="3"/>
  <c r="C4369" i="3"/>
  <c r="C4370" i="3"/>
  <c r="C4372" i="3"/>
  <c r="C4373" i="3"/>
  <c r="C4374" i="3"/>
  <c r="C4375" i="3"/>
  <c r="C4377" i="3"/>
  <c r="C4379" i="3"/>
  <c r="C4380" i="3"/>
  <c r="C4382" i="3"/>
  <c r="C4383" i="3"/>
  <c r="C4385" i="3"/>
  <c r="C4387" i="3"/>
  <c r="C4389" i="3"/>
  <c r="C4390" i="3"/>
  <c r="C4391" i="3"/>
  <c r="C4392" i="3"/>
  <c r="C4393" i="3"/>
  <c r="C4394" i="3"/>
  <c r="C4396" i="3"/>
  <c r="C4397" i="3"/>
  <c r="C4399" i="3"/>
  <c r="C4400" i="3"/>
  <c r="C4401" i="3"/>
  <c r="C4402" i="3"/>
  <c r="C4403" i="3"/>
  <c r="C4405" i="3"/>
  <c r="C4406" i="3"/>
  <c r="C4410" i="3"/>
  <c r="C4411" i="3"/>
  <c r="C4412" i="3"/>
  <c r="C4413" i="3"/>
  <c r="C4414" i="3"/>
  <c r="C4415" i="3"/>
  <c r="C4417" i="3"/>
  <c r="C4422" i="3"/>
  <c r="C4423" i="3"/>
  <c r="C4424" i="3"/>
  <c r="C4425" i="3"/>
  <c r="C4427" i="3"/>
  <c r="C4428" i="3"/>
  <c r="C4429" i="3"/>
  <c r="C4430" i="3"/>
  <c r="C4431" i="3"/>
  <c r="C4432" i="3"/>
  <c r="C4434" i="3"/>
  <c r="C4435" i="3"/>
  <c r="C4436" i="3"/>
  <c r="C4437" i="3"/>
  <c r="C4439" i="3"/>
  <c r="C4441" i="3"/>
  <c r="C4442" i="3"/>
  <c r="C4443" i="3"/>
  <c r="C4446" i="3"/>
  <c r="C4449" i="3"/>
  <c r="C4450" i="3"/>
  <c r="C4451" i="3"/>
  <c r="C4452" i="3"/>
  <c r="C4453" i="3"/>
  <c r="C4454" i="3"/>
  <c r="C4456" i="3"/>
  <c r="C4457" i="3"/>
  <c r="C4459" i="3"/>
  <c r="C4460" i="3"/>
  <c r="C4461" i="3"/>
  <c r="C4462" i="3"/>
  <c r="C4463" i="3"/>
  <c r="C4465" i="3"/>
  <c r="C4466" i="3"/>
  <c r="C4469" i="3"/>
  <c r="C4471" i="3"/>
  <c r="C4472" i="3"/>
  <c r="C4474" i="3"/>
  <c r="C4476" i="3"/>
  <c r="C4477" i="3"/>
  <c r="C4478" i="3"/>
  <c r="C4479" i="3"/>
  <c r="C4481" i="3"/>
  <c r="C4482" i="3"/>
  <c r="C4487" i="3"/>
  <c r="C4490" i="3"/>
  <c r="C4491" i="3"/>
  <c r="C4494" i="3"/>
  <c r="C4495" i="3"/>
  <c r="C4496" i="3"/>
  <c r="C4497" i="3"/>
  <c r="C4500" i="3"/>
  <c r="C4501" i="3"/>
  <c r="C4502" i="3"/>
  <c r="C4503" i="3"/>
  <c r="C4505" i="3"/>
  <c r="C4507" i="3"/>
  <c r="C4508" i="3"/>
  <c r="C4509" i="3"/>
  <c r="C4510" i="3"/>
  <c r="C4511" i="3"/>
  <c r="C4512" i="3"/>
  <c r="C4513" i="3"/>
  <c r="C4514" i="3"/>
  <c r="C4517" i="3"/>
  <c r="C4518" i="3"/>
  <c r="C4521" i="3"/>
  <c r="C4523" i="3"/>
  <c r="C4524" i="3"/>
  <c r="C4527" i="3"/>
  <c r="C4528" i="3"/>
  <c r="C4529" i="3"/>
  <c r="C4533" i="3"/>
  <c r="C4535" i="3"/>
  <c r="C4536" i="3"/>
  <c r="C4538" i="3"/>
  <c r="C4540" i="3"/>
  <c r="C4543" i="3"/>
  <c r="C4544" i="3"/>
  <c r="C4545" i="3"/>
  <c r="C4546" i="3"/>
  <c r="C4547" i="3"/>
  <c r="C4548" i="3"/>
  <c r="C4549" i="3"/>
  <c r="C4550" i="3"/>
  <c r="C4551" i="3"/>
  <c r="C4552" i="3"/>
  <c r="C4553" i="3"/>
  <c r="C4555" i="3"/>
  <c r="C4557" i="3"/>
  <c r="C4561" i="3"/>
  <c r="C4562" i="3"/>
  <c r="C4563" i="3"/>
  <c r="C4564" i="3"/>
  <c r="C4567" i="3"/>
  <c r="C4568" i="3"/>
  <c r="C4570" i="3"/>
  <c r="C4571" i="3"/>
  <c r="C4573" i="3"/>
  <c r="C4574" i="3"/>
  <c r="C4576" i="3"/>
  <c r="C4580" i="3"/>
  <c r="C4581" i="3"/>
  <c r="C4583" i="3"/>
  <c r="C4585" i="3"/>
  <c r="C4586" i="3"/>
  <c r="C4587" i="3"/>
  <c r="C4588" i="3"/>
  <c r="C4589" i="3"/>
  <c r="C4590" i="3"/>
  <c r="C4591" i="3"/>
  <c r="C4592" i="3"/>
  <c r="C4593" i="3"/>
  <c r="C4594" i="3"/>
  <c r="C4596" i="3"/>
  <c r="C4597" i="3"/>
  <c r="C4600" i="3"/>
  <c r="C4601" i="3"/>
  <c r="C4603" i="3"/>
  <c r="C4605" i="3"/>
  <c r="C4608" i="3"/>
  <c r="C4610" i="3"/>
  <c r="C4611" i="3"/>
  <c r="C4612" i="3"/>
  <c r="C4613" i="3"/>
  <c r="C4614" i="3"/>
  <c r="C4615" i="3"/>
  <c r="C4616" i="3"/>
  <c r="C4617" i="3"/>
  <c r="C4618" i="3"/>
  <c r="C4619" i="3"/>
  <c r="C4620" i="3"/>
  <c r="C4621" i="3"/>
  <c r="C4623" i="3"/>
  <c r="C4624" i="3"/>
  <c r="C4625" i="3"/>
  <c r="C4627" i="3"/>
  <c r="C4628" i="3"/>
  <c r="C4629" i="3"/>
  <c r="C4631" i="3"/>
  <c r="C4633" i="3"/>
  <c r="C4634" i="3"/>
  <c r="C4635" i="3"/>
  <c r="C4636" i="3"/>
  <c r="C4637" i="3"/>
  <c r="C4640" i="3"/>
  <c r="C4641" i="3"/>
  <c r="C4642" i="3"/>
  <c r="C4643" i="3"/>
  <c r="C4645" i="3"/>
  <c r="C4647" i="3"/>
  <c r="C4648" i="3"/>
  <c r="C4651" i="3"/>
  <c r="C4653" i="3"/>
  <c r="C4655" i="3"/>
  <c r="C4656" i="3"/>
  <c r="C4657" i="3"/>
  <c r="C4658" i="3"/>
  <c r="C4659" i="3"/>
  <c r="C4660" i="3"/>
  <c r="C4662" i="3"/>
  <c r="C4663" i="3"/>
  <c r="C4665" i="3"/>
  <c r="C4666" i="3"/>
  <c r="C4667" i="3"/>
  <c r="C4668" i="3"/>
  <c r="C4671" i="3"/>
  <c r="C4672" i="3"/>
  <c r="C4673" i="3"/>
  <c r="C4674" i="3"/>
  <c r="C4675" i="3"/>
  <c r="C4676" i="3"/>
  <c r="C4677" i="3"/>
  <c r="C4678" i="3"/>
  <c r="C4679" i="3"/>
  <c r="C4680" i="3"/>
  <c r="C4681" i="3"/>
  <c r="C4682" i="3"/>
  <c r="C4685" i="3"/>
  <c r="C4687" i="3"/>
  <c r="C4688" i="3"/>
  <c r="C4690" i="3"/>
  <c r="C4691" i="3"/>
  <c r="C4692" i="3"/>
  <c r="C4693" i="3"/>
  <c r="C4694" i="3"/>
  <c r="C4697" i="3"/>
  <c r="C4699" i="3"/>
  <c r="C4700" i="3"/>
  <c r="C4701" i="3"/>
  <c r="C4703" i="3"/>
  <c r="C4706" i="3"/>
  <c r="C4707" i="3"/>
  <c r="C4709" i="3"/>
  <c r="C4711" i="3"/>
  <c r="C4713" i="3"/>
  <c r="C4716" i="3"/>
  <c r="C4717" i="3"/>
  <c r="C4719" i="3"/>
  <c r="C4720" i="3"/>
  <c r="C4723" i="3"/>
  <c r="C4724" i="3"/>
  <c r="C4725" i="3"/>
  <c r="C4726" i="3"/>
  <c r="C4727" i="3"/>
  <c r="C4728" i="3"/>
  <c r="C4729" i="3"/>
  <c r="C4730" i="3"/>
  <c r="C4732" i="3"/>
  <c r="C4733" i="3"/>
  <c r="C4735" i="3"/>
  <c r="C4737" i="3"/>
  <c r="C4738" i="3"/>
  <c r="C4740" i="3"/>
  <c r="C4744" i="3"/>
  <c r="C4748" i="3"/>
  <c r="C4749" i="3"/>
  <c r="C4750" i="3"/>
  <c r="C4751" i="3"/>
  <c r="C4752" i="3"/>
  <c r="C4754" i="3"/>
  <c r="C4757" i="3"/>
  <c r="C4758" i="3"/>
  <c r="C4760" i="3"/>
  <c r="C4761" i="3"/>
  <c r="C4763" i="3"/>
  <c r="C4765" i="3"/>
  <c r="C4766" i="3"/>
  <c r="C4767" i="3"/>
  <c r="C4768" i="3"/>
  <c r="C4769" i="3"/>
  <c r="C4770" i="3"/>
  <c r="C4772" i="3"/>
  <c r="C4774" i="3"/>
  <c r="C4776" i="3"/>
  <c r="C4778" i="3"/>
  <c r="C4779" i="3"/>
  <c r="C4780" i="3"/>
  <c r="C4782" i="3"/>
  <c r="C4783" i="3"/>
  <c r="C4785" i="3"/>
  <c r="C4787" i="3"/>
  <c r="C4788" i="3"/>
  <c r="C4790" i="3"/>
  <c r="C4791" i="3"/>
  <c r="C4792" i="3"/>
  <c r="C4794" i="3"/>
  <c r="C4796" i="3"/>
  <c r="C4797" i="3"/>
  <c r="C4798" i="3"/>
  <c r="C4799" i="3"/>
  <c r="C4800" i="3"/>
  <c r="C4801" i="3"/>
  <c r="C4802" i="3"/>
  <c r="C4804" i="3"/>
  <c r="C4812" i="3"/>
  <c r="C4814" i="3"/>
  <c r="C4817" i="3"/>
  <c r="C4818" i="3"/>
  <c r="C4820" i="3"/>
  <c r="C4821" i="3"/>
  <c r="C4823" i="3"/>
  <c r="C4826" i="3"/>
  <c r="C4827" i="3"/>
  <c r="C4828" i="3"/>
  <c r="C4832" i="3"/>
  <c r="C4833" i="3"/>
  <c r="C4836" i="3"/>
  <c r="C4837" i="3"/>
  <c r="C4839" i="3"/>
  <c r="C4843" i="3"/>
  <c r="C4844" i="3"/>
  <c r="C4845" i="3"/>
  <c r="C4853" i="3"/>
  <c r="C4854" i="3"/>
  <c r="C4855" i="3"/>
  <c r="C4857" i="3"/>
  <c r="C4859" i="3"/>
  <c r="C4862" i="3"/>
  <c r="C4865" i="3"/>
  <c r="C4867" i="3"/>
  <c r="C4869" i="3"/>
  <c r="C4876" i="3"/>
  <c r="C4879" i="3"/>
  <c r="C4884" i="3"/>
  <c r="C4885" i="3"/>
  <c r="C4887" i="3"/>
  <c r="C4888" i="3"/>
  <c r="C4891" i="3"/>
  <c r="C4895" i="3"/>
  <c r="C4900" i="3"/>
  <c r="C4901" i="3"/>
  <c r="C4902" i="3"/>
  <c r="C4903" i="3"/>
  <c r="C4904" i="3"/>
  <c r="C4906" i="3"/>
  <c r="C4908" i="3"/>
  <c r="C4912" i="3"/>
  <c r="C4913" i="3"/>
  <c r="C4914" i="3"/>
  <c r="C4915" i="3"/>
  <c r="C4916" i="3"/>
  <c r="C4917" i="3"/>
  <c r="C4918" i="3"/>
  <c r="C4919" i="3"/>
  <c r="C4920" i="3"/>
  <c r="C4921" i="3"/>
  <c r="C4923" i="3"/>
  <c r="C4925" i="3"/>
  <c r="C4926" i="3"/>
  <c r="C4930" i="3"/>
  <c r="C4936" i="3"/>
  <c r="C4940" i="3"/>
  <c r="C4946" i="3"/>
  <c r="C4947" i="3"/>
  <c r="C4952" i="3"/>
  <c r="C4953" i="3"/>
  <c r="C4957" i="3"/>
  <c r="C4964" i="3"/>
  <c r="C4966" i="3"/>
  <c r="C4970" i="3"/>
  <c r="C4976" i="3"/>
  <c r="C4980" i="3"/>
  <c r="C4982" i="3"/>
  <c r="C4983" i="3"/>
  <c r="C4984" i="3"/>
  <c r="C4986" i="3"/>
  <c r="C4988" i="3"/>
  <c r="C4996" i="3"/>
  <c r="C4997" i="3"/>
  <c r="C4998" i="3"/>
  <c r="C4999" i="3"/>
  <c r="C5000" i="3"/>
  <c r="C5001" i="3"/>
  <c r="C5005" i="3"/>
  <c r="C5006" i="3"/>
  <c r="C5011" i="3"/>
  <c r="C5020" i="3"/>
  <c r="C5021" i="3"/>
  <c r="C5027" i="3"/>
  <c r="C5032" i="3"/>
  <c r="C5033" i="3"/>
  <c r="C5036" i="3"/>
  <c r="C5054" i="3"/>
  <c r="C5055" i="3"/>
  <c r="C5062" i="3"/>
  <c r="C5068" i="3"/>
  <c r="C5070" i="3"/>
  <c r="C5082" i="3"/>
  <c r="C5084" i="3"/>
  <c r="C5085" i="3"/>
  <c r="C5087" i="3"/>
  <c r="C5088" i="3"/>
  <c r="C5089" i="3"/>
  <c r="C5090" i="3"/>
  <c r="C5093" i="3"/>
  <c r="C5096" i="3"/>
  <c r="C5098" i="3"/>
  <c r="C5099" i="3"/>
  <c r="C5102" i="3"/>
  <c r="C5103" i="3"/>
  <c r="C5111" i="3"/>
  <c r="C5112" i="3"/>
  <c r="C5116" i="3"/>
  <c r="C5117" i="3"/>
  <c r="C5124" i="3"/>
  <c r="C5125" i="3"/>
  <c r="C5126" i="3"/>
  <c r="C5127" i="3"/>
  <c r="C5128" i="3"/>
  <c r="C5130" i="3"/>
  <c r="C5137" i="3"/>
  <c r="C5138" i="3"/>
  <c r="C5139" i="3"/>
  <c r="C5140" i="3"/>
  <c r="C5142" i="3"/>
  <c r="C5143" i="3"/>
  <c r="C5144" i="3"/>
  <c r="C5145" i="3"/>
  <c r="C5153" i="3"/>
  <c r="C5154" i="3"/>
  <c r="C5157" i="3"/>
  <c r="C5158" i="3"/>
  <c r="C5160" i="3"/>
  <c r="C5163" i="3"/>
  <c r="C5165" i="3"/>
  <c r="C5167" i="3"/>
  <c r="C5168" i="3"/>
  <c r="C5169" i="3"/>
  <c r="C5170" i="3"/>
  <c r="C5171" i="3"/>
  <c r="C5173" i="3"/>
  <c r="C5176" i="3"/>
  <c r="C5185" i="3"/>
  <c r="C5186" i="3"/>
  <c r="C5187" i="3"/>
  <c r="C5188" i="3"/>
  <c r="C5191" i="3"/>
  <c r="C5193" i="3"/>
  <c r="C5200" i="3"/>
  <c r="C5202" i="3"/>
  <c r="C5203" i="3"/>
  <c r="C5209" i="3"/>
  <c r="C5215" i="3"/>
  <c r="C5216" i="3"/>
  <c r="C5217" i="3"/>
  <c r="C5218" i="3"/>
  <c r="C5220" i="3"/>
  <c r="C5221" i="3"/>
  <c r="C5222" i="3"/>
  <c r="C5225" i="3"/>
  <c r="C5228" i="3"/>
  <c r="C5229" i="3"/>
  <c r="C5230" i="3"/>
  <c r="C5236" i="3"/>
  <c r="C5239" i="3"/>
  <c r="C5240" i="3"/>
  <c r="C5243" i="3"/>
  <c r="C5245" i="3"/>
  <c r="C5247" i="3"/>
  <c r="C5252" i="3"/>
  <c r="C5253" i="3"/>
  <c r="C5257" i="3"/>
  <c r="C5258" i="3"/>
  <c r="C5260" i="3"/>
  <c r="C5261" i="3"/>
  <c r="C5264" i="3"/>
  <c r="C5266" i="3"/>
  <c r="C5267" i="3"/>
  <c r="C5270" i="3"/>
  <c r="C5271" i="3"/>
  <c r="C5274" i="3"/>
  <c r="C5276" i="3"/>
  <c r="C5280" i="3"/>
  <c r="C5282" i="3"/>
  <c r="C5283" i="3"/>
  <c r="C5286" i="3"/>
  <c r="C5287" i="3"/>
  <c r="C5288" i="3"/>
  <c r="C5294" i="3"/>
  <c r="C5295" i="3"/>
  <c r="C5299" i="3"/>
  <c r="C5300" i="3"/>
  <c r="C5301" i="3"/>
  <c r="C5302" i="3"/>
  <c r="C5304" i="3"/>
  <c r="C5307" i="3"/>
  <c r="C5309" i="3"/>
  <c r="C5310" i="3"/>
  <c r="C5311" i="3"/>
  <c r="C5312" i="3"/>
  <c r="C5315" i="3"/>
  <c r="C5316" i="3"/>
  <c r="C5318" i="3"/>
  <c r="C5321" i="3"/>
  <c r="C5323" i="3"/>
  <c r="C5333" i="3"/>
  <c r="C5334" i="3"/>
  <c r="C5336" i="3"/>
  <c r="C5340" i="3"/>
  <c r="C5346" i="3"/>
  <c r="C5347" i="3"/>
  <c r="C5348" i="3"/>
  <c r="C5349" i="3"/>
  <c r="C5350" i="3"/>
  <c r="C5351" i="3"/>
  <c r="C5352" i="3"/>
  <c r="C5355" i="3"/>
  <c r="C5356" i="3"/>
  <c r="C5359" i="3"/>
  <c r="C5361" i="3"/>
  <c r="C5365" i="3"/>
  <c r="C5366" i="3"/>
  <c r="C5369" i="3"/>
  <c r="C5372" i="3"/>
  <c r="C5374" i="3"/>
  <c r="C5378" i="3"/>
  <c r="C5379" i="3"/>
  <c r="C5380" i="3"/>
  <c r="C5384" i="3"/>
  <c r="C5386" i="3"/>
  <c r="C5387" i="3"/>
  <c r="C5391" i="3"/>
  <c r="C5392" i="3"/>
  <c r="C5393" i="3"/>
  <c r="C5394" i="3"/>
  <c r="C5396" i="3"/>
  <c r="C5397" i="3"/>
  <c r="C5398" i="3"/>
  <c r="C5399" i="3"/>
  <c r="C5400" i="3"/>
  <c r="C5405" i="3"/>
  <c r="C5406" i="3"/>
  <c r="C5407" i="3"/>
  <c r="C5409" i="3"/>
  <c r="C5410" i="3"/>
  <c r="C5411" i="3"/>
  <c r="C5412" i="3"/>
  <c r="C5413" i="3"/>
  <c r="C5414" i="3"/>
  <c r="C5415" i="3"/>
  <c r="C5416" i="3"/>
  <c r="C5417" i="3"/>
  <c r="C5418" i="3"/>
  <c r="C5419" i="3"/>
  <c r="C5421" i="3"/>
  <c r="C5423" i="3"/>
  <c r="C5425" i="3"/>
  <c r="C5429" i="3"/>
  <c r="C5430" i="3"/>
  <c r="C5431" i="3"/>
  <c r="C5435" i="3"/>
  <c r="C5436" i="3"/>
  <c r="C5439" i="3"/>
  <c r="C5440" i="3"/>
  <c r="C5442" i="3"/>
  <c r="C5443" i="3"/>
  <c r="C5444" i="3"/>
  <c r="C5445" i="3"/>
  <c r="C5446" i="3"/>
  <c r="C5448" i="3"/>
  <c r="C5455" i="3"/>
  <c r="C5456" i="3"/>
  <c r="C5457" i="3"/>
  <c r="C5460" i="3"/>
  <c r="C5461" i="3"/>
  <c r="C5466" i="3"/>
  <c r="C5467" i="3"/>
  <c r="C5468" i="3"/>
  <c r="C5469" i="3"/>
  <c r="C5470" i="3"/>
  <c r="C5472" i="3"/>
  <c r="C5476" i="3"/>
  <c r="C5477" i="3"/>
  <c r="C5479" i="3"/>
  <c r="C5481" i="3"/>
  <c r="C5482" i="3"/>
  <c r="C5483" i="3"/>
  <c r="C5484" i="3"/>
  <c r="C5486" i="3"/>
  <c r="C5491" i="3"/>
  <c r="C5492" i="3"/>
  <c r="C5497" i="3"/>
  <c r="C5499" i="3"/>
  <c r="C5500" i="3"/>
  <c r="C5504" i="3"/>
  <c r="C5506" i="3"/>
  <c r="C5509" i="3"/>
  <c r="C5510" i="3"/>
  <c r="C5511" i="3"/>
  <c r="C5516" i="3"/>
  <c r="C5518" i="3"/>
  <c r="C5525" i="3"/>
  <c r="C5532" i="3"/>
  <c r="C5534" i="3"/>
  <c r="C5536" i="3"/>
  <c r="C5537" i="3"/>
  <c r="C5538" i="3"/>
  <c r="C5539" i="3"/>
  <c r="C5540" i="3"/>
  <c r="C5542" i="3"/>
  <c r="C5543" i="3"/>
  <c r="C5544" i="3"/>
  <c r="C5546" i="3"/>
  <c r="C5547" i="3"/>
  <c r="C5552" i="3"/>
  <c r="C5553" i="3"/>
  <c r="C5554" i="3"/>
  <c r="C5555" i="3"/>
  <c r="C5556" i="3"/>
  <c r="C5557" i="3"/>
  <c r="C5558" i="3"/>
  <c r="C5560" i="3"/>
  <c r="C5566" i="3"/>
  <c r="C5567" i="3"/>
  <c r="C5569" i="3"/>
  <c r="C5570" i="3"/>
  <c r="C5573" i="3"/>
  <c r="C5574" i="3"/>
  <c r="C5575" i="3"/>
  <c r="C5576" i="3"/>
  <c r="C5577" i="3"/>
  <c r="C5578" i="3"/>
  <c r="C5581" i="3"/>
  <c r="C5583" i="3"/>
  <c r="C5584" i="3"/>
  <c r="C5585" i="3"/>
  <c r="C5587" i="3"/>
  <c r="C5588" i="3"/>
  <c r="C5589" i="3"/>
  <c r="C5591" i="3"/>
  <c r="C5592" i="3"/>
  <c r="C5594" i="3"/>
  <c r="C5597" i="3"/>
  <c r="C5598" i="3"/>
  <c r="C5599" i="3"/>
  <c r="C5600" i="3"/>
  <c r="C5601" i="3"/>
  <c r="C5602" i="3"/>
  <c r="C5603" i="3"/>
  <c r="C5604" i="3"/>
  <c r="C5605" i="3"/>
  <c r="C5608" i="3"/>
  <c r="C5611" i="3"/>
  <c r="C5614" i="3"/>
  <c r="C5619" i="3"/>
  <c r="C5620" i="3"/>
  <c r="C5625" i="3"/>
  <c r="C5628" i="3"/>
  <c r="C5629" i="3"/>
  <c r="C5631" i="3"/>
  <c r="C5632" i="3"/>
  <c r="C5634" i="3"/>
  <c r="C5635" i="3"/>
  <c r="C5637" i="3"/>
  <c r="C5638" i="3"/>
  <c r="C5641" i="3"/>
  <c r="C5642" i="3"/>
  <c r="C5645" i="3"/>
  <c r="C5650" i="3"/>
  <c r="C5651" i="3"/>
  <c r="C5652" i="3"/>
  <c r="C5656" i="3"/>
  <c r="C5657" i="3"/>
  <c r="C5658" i="3"/>
  <c r="C5659" i="3"/>
  <c r="C5661" i="3"/>
  <c r="C5662" i="3"/>
  <c r="C5664" i="3"/>
  <c r="C5665" i="3"/>
  <c r="C5666" i="3"/>
  <c r="C5667" i="3"/>
  <c r="C5669" i="3"/>
  <c r="C5670" i="3"/>
  <c r="C5671" i="3"/>
  <c r="C5673" i="3"/>
  <c r="C5674" i="3"/>
  <c r="C5675" i="3"/>
  <c r="C5676" i="3"/>
  <c r="C5677" i="3"/>
  <c r="C5678" i="3"/>
  <c r="C5679" i="3"/>
  <c r="C5680" i="3"/>
  <c r="C5681" i="3"/>
  <c r="C5688" i="3"/>
  <c r="C5692" i="3"/>
  <c r="C5693" i="3"/>
  <c r="C5695" i="3"/>
  <c r="C5696" i="3"/>
  <c r="C5698" i="3"/>
  <c r="C5699" i="3"/>
  <c r="C5700" i="3"/>
  <c r="C5702" i="3"/>
  <c r="C5704" i="3"/>
  <c r="C5705" i="3"/>
  <c r="C5706" i="3"/>
  <c r="C5707" i="3"/>
  <c r="C5708" i="3"/>
  <c r="C5709" i="3"/>
  <c r="C5711" i="3"/>
  <c r="C5712" i="3"/>
  <c r="C5713" i="3"/>
  <c r="C5714" i="3"/>
  <c r="C5715" i="3"/>
  <c r="C5716" i="3"/>
  <c r="C5717" i="3"/>
  <c r="C5718" i="3"/>
  <c r="C5721" i="3"/>
  <c r="C5723" i="3"/>
  <c r="C5724" i="3"/>
  <c r="C5725" i="3"/>
  <c r="C5726" i="3"/>
  <c r="C5727" i="3"/>
  <c r="C5729" i="3"/>
  <c r="C5730" i="3"/>
  <c r="C5731" i="3"/>
  <c r="C5732" i="3"/>
  <c r="C5738" i="3"/>
  <c r="C5739" i="3"/>
  <c r="C5741" i="3"/>
  <c r="C5742" i="3"/>
  <c r="C5744" i="3"/>
  <c r="C5745" i="3"/>
  <c r="C5746" i="3"/>
  <c r="C5747" i="3"/>
  <c r="C5748" i="3"/>
  <c r="C5749" i="3"/>
  <c r="C5751" i="3"/>
  <c r="C5754" i="3"/>
  <c r="C5755" i="3"/>
  <c r="C5756" i="3"/>
  <c r="C5758" i="3"/>
  <c r="C5760" i="3"/>
  <c r="C5763" i="3"/>
  <c r="C5764" i="3"/>
  <c r="C5767" i="3"/>
  <c r="C5771" i="3"/>
  <c r="C5773" i="3"/>
  <c r="C5775" i="3"/>
  <c r="C5776" i="3"/>
  <c r="C5778" i="3"/>
  <c r="C5781" i="3"/>
  <c r="C5782" i="3"/>
  <c r="C5783" i="3"/>
  <c r="C5784" i="3"/>
  <c r="C5785" i="3"/>
  <c r="C5786" i="3"/>
  <c r="C5787" i="3"/>
  <c r="C5790" i="3"/>
  <c r="C5791" i="3"/>
  <c r="C5793" i="3"/>
  <c r="C5796" i="3"/>
  <c r="C5798" i="3"/>
  <c r="C5800" i="3"/>
  <c r="C5801" i="3"/>
  <c r="C5802" i="3"/>
  <c r="C5804" i="3"/>
  <c r="C5805" i="3"/>
  <c r="C5808" i="3"/>
  <c r="C5812" i="3"/>
  <c r="C5813" i="3"/>
  <c r="C5815" i="3"/>
  <c r="C5816" i="3"/>
  <c r="C5817" i="3"/>
  <c r="C5818" i="3"/>
  <c r="C5819" i="3"/>
  <c r="C5820" i="3"/>
  <c r="C5821" i="3"/>
  <c r="C5822" i="3"/>
  <c r="C5823" i="3"/>
  <c r="C5827" i="3"/>
  <c r="C5828" i="3"/>
  <c r="C5830" i="3"/>
  <c r="C5831" i="3"/>
  <c r="C5832" i="3"/>
  <c r="C5835" i="3"/>
  <c r="C5837" i="3"/>
  <c r="C5838" i="3"/>
  <c r="C5842" i="3"/>
  <c r="C5843" i="3"/>
  <c r="C5845" i="3"/>
  <c r="C5848" i="3"/>
  <c r="C5849" i="3"/>
  <c r="C5850" i="3"/>
  <c r="C5851" i="3"/>
  <c r="C5853" i="3"/>
  <c r="C5854" i="3"/>
  <c r="C5855" i="3"/>
  <c r="C5856" i="3"/>
  <c r="C5857" i="3"/>
  <c r="C5858" i="3"/>
  <c r="C5861" i="3"/>
  <c r="C5863" i="3"/>
  <c r="C5864" i="3"/>
  <c r="C5865" i="3"/>
  <c r="C5866" i="3"/>
  <c r="C5867" i="3"/>
  <c r="C5869" i="3"/>
  <c r="C5871" i="3"/>
  <c r="C5872" i="3"/>
  <c r="C5874" i="3"/>
  <c r="C5875" i="3"/>
  <c r="C5876" i="3"/>
  <c r="C5880" i="3"/>
  <c r="C5881" i="3"/>
  <c r="C5882" i="3"/>
  <c r="C5883" i="3"/>
  <c r="C5884" i="3"/>
  <c r="C5885" i="3"/>
  <c r="C5888" i="3"/>
  <c r="C5889" i="3"/>
  <c r="C5891" i="3"/>
  <c r="C5892" i="3"/>
  <c r="C5893" i="3"/>
  <c r="C5894" i="3"/>
  <c r="C5895" i="3"/>
  <c r="C5896" i="3"/>
  <c r="C5897" i="3"/>
  <c r="C5898" i="3"/>
  <c r="C5899" i="3"/>
  <c r="C5900" i="3"/>
  <c r="C5903" i="3"/>
  <c r="C5904" i="3"/>
  <c r="C5905" i="3"/>
  <c r="C5906" i="3"/>
  <c r="C5907" i="3"/>
  <c r="C5908" i="3"/>
  <c r="C5909" i="3"/>
  <c r="C5911" i="3"/>
  <c r="C5912" i="3"/>
  <c r="C5913" i="3"/>
  <c r="C5914" i="3"/>
  <c r="C5918" i="3"/>
  <c r="C5919" i="3"/>
  <c r="C5920" i="3"/>
  <c r="C5925" i="3"/>
  <c r="C5926" i="3"/>
  <c r="C5929" i="3"/>
  <c r="C5930" i="3"/>
  <c r="C5931" i="3"/>
  <c r="C5933" i="3"/>
  <c r="C5934" i="3"/>
  <c r="C5935" i="3"/>
  <c r="C5936" i="3"/>
  <c r="C5937" i="3"/>
  <c r="C5939" i="3"/>
  <c r="C5940" i="3"/>
  <c r="C5941" i="3"/>
  <c r="C5942" i="3"/>
  <c r="C5945" i="3"/>
  <c r="C5947" i="3"/>
  <c r="C5950" i="3"/>
  <c r="C5951" i="3"/>
  <c r="C5952" i="3"/>
  <c r="C5953" i="3"/>
  <c r="C5954" i="3"/>
  <c r="C5956" i="3"/>
  <c r="C5958" i="3"/>
  <c r="C5959" i="3"/>
  <c r="C5962" i="3"/>
  <c r="C5963" i="3"/>
  <c r="C5964" i="3"/>
  <c r="C5965" i="3"/>
  <c r="C5966" i="3"/>
  <c r="C5967" i="3"/>
  <c r="C5969" i="3"/>
  <c r="C5970" i="3"/>
  <c r="C5971" i="3"/>
  <c r="C5972" i="3"/>
  <c r="C5973" i="3"/>
  <c r="C5974" i="3"/>
  <c r="C5975" i="3"/>
  <c r="C5977" i="3"/>
  <c r="C5978" i="3"/>
  <c r="C5979" i="3"/>
  <c r="C5982" i="3"/>
  <c r="C5984" i="3"/>
  <c r="C5986" i="3"/>
  <c r="C5989" i="3"/>
  <c r="C5990" i="3"/>
  <c r="C5991" i="3"/>
  <c r="C5992" i="3"/>
  <c r="C5994" i="3"/>
  <c r="C5995" i="3"/>
  <c r="C5996" i="3"/>
  <c r="C5997" i="3"/>
  <c r="C6000" i="3"/>
  <c r="C6001" i="3"/>
  <c r="C6004" i="3"/>
  <c r="C6005" i="3"/>
  <c r="C6006" i="3"/>
  <c r="C6007" i="3"/>
  <c r="C6009" i="3"/>
  <c r="C6011" i="3"/>
  <c r="C6012" i="3"/>
  <c r="C6013" i="3"/>
  <c r="C6015" i="3"/>
  <c r="C6016" i="3"/>
  <c r="C6019" i="3"/>
  <c r="C6021" i="3"/>
  <c r="C6023" i="3"/>
  <c r="C6024" i="3"/>
  <c r="C6025" i="3"/>
  <c r="C6026" i="3"/>
  <c r="C6027" i="3"/>
  <c r="C6028" i="3"/>
  <c r="C6029" i="3"/>
  <c r="C6033" i="3"/>
  <c r="C6034" i="3"/>
  <c r="C6036" i="3"/>
  <c r="C6037" i="3"/>
  <c r="C6038" i="3"/>
  <c r="C6039" i="3"/>
  <c r="C6040" i="3"/>
  <c r="C6041" i="3"/>
  <c r="C6044" i="3"/>
  <c r="C6045" i="3"/>
  <c r="C6047" i="3"/>
  <c r="C6048" i="3"/>
  <c r="C6049" i="3"/>
  <c r="C6050" i="3"/>
  <c r="C6051" i="3"/>
  <c r="C6052" i="3"/>
  <c r="C6054" i="3"/>
  <c r="C6055" i="3"/>
  <c r="C6056" i="3"/>
  <c r="C6057" i="3"/>
  <c r="C6059" i="3"/>
  <c r="C6060" i="3"/>
  <c r="C6061" i="3"/>
  <c r="C6062" i="3"/>
  <c r="C6063" i="3"/>
  <c r="C6065" i="3"/>
  <c r="C6066" i="3"/>
  <c r="C6067" i="3"/>
  <c r="C6068" i="3"/>
  <c r="C6069" i="3"/>
  <c r="C6070" i="3"/>
  <c r="C6072" i="3"/>
  <c r="C6073" i="3"/>
  <c r="C6075" i="3"/>
  <c r="C6076" i="3"/>
  <c r="C6078" i="3"/>
  <c r="C6079" i="3"/>
  <c r="C6081" i="3"/>
  <c r="C6082" i="3"/>
  <c r="C6087" i="3"/>
  <c r="C6088" i="3"/>
  <c r="C6089" i="3"/>
  <c r="C6090" i="3"/>
  <c r="C6091" i="3"/>
  <c r="C6095" i="3"/>
  <c r="C6096" i="3"/>
  <c r="C6097" i="3"/>
  <c r="C6099" i="3"/>
  <c r="C6101" i="3"/>
  <c r="C6102" i="3"/>
  <c r="C6103" i="3"/>
  <c r="C6104" i="3"/>
  <c r="C6105" i="3"/>
  <c r="C6106" i="3"/>
  <c r="C6108" i="3"/>
  <c r="C6109" i="3"/>
  <c r="C6110" i="3"/>
  <c r="C6112" i="3"/>
  <c r="C6113" i="3"/>
  <c r="C6114" i="3"/>
  <c r="C6115" i="3"/>
  <c r="C6117" i="3"/>
  <c r="C6119" i="3"/>
  <c r="C6120" i="3"/>
  <c r="C6121" i="3"/>
  <c r="C6123" i="3"/>
  <c r="C6124" i="3"/>
  <c r="C6125" i="3"/>
  <c r="C6128" i="3"/>
  <c r="C6129" i="3"/>
  <c r="C6130" i="3"/>
  <c r="C6131" i="3"/>
  <c r="C6132" i="3"/>
  <c r="C6133" i="3"/>
  <c r="C6134" i="3"/>
  <c r="C6136" i="3"/>
  <c r="C6138" i="3"/>
  <c r="C6139" i="3"/>
  <c r="C6140" i="3"/>
  <c r="C6141" i="3"/>
  <c r="C6142" i="3"/>
  <c r="C6144" i="3"/>
  <c r="C6147" i="3"/>
  <c r="C6148" i="3"/>
  <c r="C6149" i="3"/>
  <c r="C6150" i="3"/>
  <c r="C6153" i="3"/>
  <c r="C6154" i="3"/>
  <c r="C6155" i="3"/>
  <c r="C6156" i="3"/>
  <c r="C6157" i="3"/>
  <c r="C6158" i="3"/>
  <c r="C6160" i="3"/>
  <c r="C6162" i="3"/>
  <c r="C6164" i="3"/>
  <c r="C6165" i="3"/>
  <c r="C6166" i="3"/>
  <c r="C6167" i="3"/>
  <c r="C6168" i="3"/>
  <c r="C6169" i="3"/>
  <c r="C6170" i="3"/>
  <c r="C6171" i="3"/>
  <c r="C6172" i="3"/>
  <c r="C6173" i="3"/>
  <c r="C6174" i="3"/>
  <c r="C6175" i="3"/>
  <c r="C6176" i="3"/>
  <c r="C6177" i="3"/>
  <c r="C6178" i="3"/>
  <c r="C6180" i="3"/>
  <c r="C6181" i="3"/>
  <c r="C6182" i="3"/>
  <c r="C6183" i="3"/>
  <c r="C6184" i="3"/>
  <c r="C6185" i="3"/>
  <c r="C6186" i="3"/>
  <c r="C6189" i="3"/>
  <c r="C6190" i="3"/>
  <c r="C6191" i="3"/>
  <c r="C6192" i="3"/>
  <c r="C6193" i="3"/>
  <c r="C6195" i="3"/>
  <c r="C6196" i="3"/>
  <c r="C6197" i="3"/>
  <c r="C6203" i="3"/>
  <c r="C6204" i="3"/>
  <c r="C6205" i="3"/>
  <c r="C6207" i="3"/>
  <c r="C6208" i="3"/>
  <c r="C6209" i="3"/>
  <c r="C6212" i="3"/>
  <c r="C6213" i="3"/>
  <c r="C6214" i="3"/>
  <c r="C6215" i="3"/>
  <c r="C6216" i="3"/>
  <c r="C6217" i="3"/>
  <c r="C6220" i="3"/>
  <c r="C6221" i="3"/>
  <c r="C6222" i="3"/>
  <c r="C6223" i="3"/>
  <c r="C6224" i="3"/>
  <c r="C6226" i="3"/>
  <c r="C6228" i="3"/>
  <c r="C6229" i="3"/>
  <c r="C6230" i="3"/>
  <c r="C6231" i="3"/>
  <c r="C6232" i="3"/>
  <c r="C6233" i="3"/>
  <c r="C6234" i="3"/>
  <c r="C6235" i="3"/>
  <c r="C6236" i="3"/>
  <c r="C6237" i="3"/>
  <c r="C6238" i="3"/>
  <c r="C6239" i="3"/>
  <c r="C6240" i="3"/>
  <c r="C6242" i="3"/>
  <c r="C6243" i="3"/>
  <c r="C6244" i="3"/>
  <c r="C6245" i="3"/>
  <c r="C6247" i="3"/>
  <c r="C6248" i="3"/>
  <c r="C6249" i="3"/>
  <c r="C6250" i="3"/>
  <c r="C6251" i="3"/>
  <c r="C6252" i="3"/>
  <c r="C6254" i="3"/>
  <c r="C6255" i="3"/>
  <c r="C6256" i="3"/>
  <c r="C6257" i="3"/>
  <c r="C6258" i="3"/>
  <c r="C6259" i="3"/>
  <c r="C6260" i="3"/>
  <c r="C6261" i="3"/>
  <c r="C6262" i="3"/>
  <c r="C6265" i="3"/>
  <c r="C6266" i="3"/>
  <c r="C6267" i="3"/>
  <c r="C6269" i="3"/>
  <c r="C6270" i="3"/>
  <c r="C6271" i="3"/>
  <c r="C6272" i="3"/>
  <c r="C6274" i="3"/>
  <c r="C6276" i="3"/>
  <c r="C6278" i="3"/>
  <c r="C6280" i="3"/>
  <c r="C6282" i="3"/>
  <c r="C6284" i="3"/>
  <c r="C6285" i="3"/>
  <c r="C6286" i="3"/>
  <c r="C6289" i="3"/>
  <c r="C6290" i="3"/>
  <c r="C6291" i="3"/>
  <c r="C6292" i="3"/>
  <c r="C6293" i="3"/>
  <c r="C6294" i="3"/>
  <c r="C6295" i="3"/>
  <c r="C6296" i="3"/>
  <c r="C6297" i="3"/>
  <c r="C6298" i="3"/>
  <c r="C6299" i="3"/>
  <c r="C6300" i="3"/>
  <c r="C6302" i="3"/>
  <c r="C6303" i="3"/>
  <c r="C6304" i="3"/>
  <c r="C6305" i="3"/>
  <c r="C6306" i="3"/>
  <c r="C6307" i="3"/>
  <c r="C6308" i="3"/>
  <c r="C6310" i="3"/>
  <c r="C6311" i="3"/>
  <c r="C6312" i="3"/>
  <c r="C6313" i="3"/>
  <c r="C6314" i="3"/>
  <c r="C6316" i="3"/>
  <c r="C6317" i="3"/>
  <c r="C6318" i="3"/>
  <c r="C6319" i="3"/>
  <c r="C6321" i="3"/>
  <c r="C6322" i="3"/>
  <c r="C6323" i="3"/>
  <c r="C6326" i="3"/>
  <c r="C6327" i="3"/>
  <c r="C6330" i="3"/>
  <c r="C6332" i="3"/>
  <c r="C6335" i="3"/>
  <c r="C6336" i="3"/>
  <c r="C6337" i="3"/>
  <c r="C6338" i="3"/>
  <c r="C6339" i="3"/>
  <c r="C6342" i="3"/>
  <c r="C6343" i="3"/>
  <c r="C6344" i="3"/>
  <c r="C6345" i="3"/>
  <c r="C6346" i="3"/>
  <c r="C6347" i="3"/>
  <c r="C6348" i="3"/>
  <c r="C6350" i="3"/>
  <c r="C6352" i="3"/>
  <c r="C6353" i="3"/>
  <c r="C6355" i="3"/>
  <c r="C6357" i="3"/>
  <c r="C6358" i="3"/>
  <c r="C6359" i="3"/>
  <c r="C6360" i="3"/>
  <c r="C6361" i="3"/>
  <c r="C6362" i="3"/>
  <c r="C6363" i="3"/>
  <c r="C6364" i="3"/>
  <c r="C6365" i="3"/>
  <c r="C6366" i="3"/>
  <c r="C6368" i="3"/>
  <c r="C6369" i="3"/>
  <c r="C6371" i="3"/>
  <c r="C6372" i="3"/>
  <c r="C6373" i="3"/>
  <c r="C6378" i="3"/>
  <c r="C6379" i="3"/>
  <c r="C6382" i="3"/>
  <c r="C6383" i="3"/>
  <c r="C6386" i="3"/>
  <c r="C6388" i="3"/>
  <c r="C6392" i="3"/>
  <c r="C6393" i="3"/>
  <c r="C6394" i="3"/>
  <c r="C6395" i="3"/>
  <c r="C6396" i="3"/>
  <c r="C6398" i="3"/>
  <c r="C6399" i="3"/>
  <c r="C6405" i="3"/>
  <c r="C6406" i="3"/>
  <c r="C6407" i="3"/>
  <c r="C6408" i="3"/>
  <c r="C6410" i="3"/>
  <c r="C6411" i="3"/>
  <c r="C6412" i="3"/>
  <c r="C6413" i="3"/>
  <c r="C6415" i="3"/>
  <c r="C6416" i="3"/>
  <c r="C6418" i="3"/>
  <c r="C6419" i="3"/>
  <c r="C6420" i="3"/>
  <c r="C6421" i="3"/>
  <c r="C6422" i="3"/>
  <c r="C6423" i="3"/>
  <c r="C6424" i="3"/>
  <c r="C6426" i="3"/>
  <c r="C6427" i="3"/>
  <c r="C6429" i="3"/>
  <c r="C6430" i="3"/>
  <c r="C6431" i="3"/>
  <c r="C6432" i="3"/>
  <c r="C6434" i="3"/>
  <c r="C6437" i="3"/>
  <c r="C6440" i="3"/>
  <c r="C6441" i="3"/>
  <c r="C6443" i="3"/>
  <c r="C6444" i="3"/>
  <c r="C6445" i="3"/>
  <c r="C6446" i="3"/>
  <c r="C6447" i="3"/>
  <c r="C6448" i="3"/>
  <c r="C6449" i="3"/>
  <c r="C6450" i="3"/>
  <c r="C6451" i="3"/>
  <c r="C6452" i="3"/>
  <c r="C6454" i="3"/>
  <c r="C6455" i="3"/>
  <c r="C6456" i="3"/>
  <c r="C6457" i="3"/>
  <c r="C6458" i="3"/>
  <c r="C6459" i="3"/>
  <c r="C6460" i="3"/>
  <c r="C6461" i="3"/>
  <c r="C6462" i="3"/>
  <c r="C6463" i="3"/>
  <c r="C6464" i="3"/>
  <c r="C6465" i="3"/>
  <c r="C6469" i="3"/>
  <c r="C6470" i="3"/>
  <c r="C6471" i="3"/>
  <c r="C6472" i="3"/>
  <c r="C6473" i="3"/>
  <c r="C6474" i="3"/>
  <c r="C6477" i="3"/>
  <c r="C6478" i="3"/>
  <c r="C6479" i="3"/>
  <c r="C6480" i="3"/>
  <c r="C6482" i="3"/>
  <c r="C6484" i="3"/>
  <c r="C6487" i="3"/>
  <c r="C6488" i="3"/>
  <c r="C6489" i="3"/>
  <c r="C6492" i="3"/>
  <c r="C6494" i="3"/>
  <c r="C6496" i="3"/>
  <c r="C6498" i="3"/>
  <c r="C6499" i="3"/>
  <c r="C6500" i="3"/>
  <c r="C6501" i="3"/>
  <c r="C6504" i="3"/>
  <c r="C6505" i="3"/>
  <c r="C6506" i="3"/>
  <c r="C6507" i="3"/>
  <c r="C6508" i="3"/>
  <c r="C6509" i="3"/>
  <c r="C6510" i="3"/>
  <c r="C6512" i="3"/>
  <c r="C6513" i="3"/>
  <c r="C6514" i="3"/>
  <c r="C6515" i="3"/>
  <c r="C6516" i="3"/>
  <c r="C6517" i="3"/>
  <c r="C6519" i="3"/>
  <c r="C6520" i="3"/>
  <c r="C6522" i="3"/>
  <c r="C6524" i="3"/>
  <c r="C6525" i="3"/>
  <c r="C6526" i="3"/>
  <c r="C6528" i="3"/>
  <c r="C6529" i="3"/>
  <c r="C6530" i="3"/>
  <c r="C6531" i="3"/>
  <c r="C6532" i="3"/>
  <c r="C6536" i="3"/>
  <c r="C6537" i="3"/>
  <c r="C6538" i="3"/>
  <c r="C6539" i="3"/>
  <c r="C6540" i="3"/>
  <c r="C6541" i="3"/>
  <c r="C6542" i="3"/>
  <c r="C6543" i="3"/>
  <c r="C6544" i="3"/>
  <c r="C6545" i="3"/>
  <c r="C6546" i="3"/>
  <c r="C6547" i="3"/>
  <c r="C6549" i="3"/>
  <c r="C6550" i="3"/>
  <c r="C6551" i="3"/>
  <c r="C6552" i="3"/>
  <c r="C6553" i="3"/>
  <c r="C6554" i="3"/>
  <c r="C6555" i="3"/>
  <c r="C6556" i="3"/>
  <c r="C6557" i="3"/>
  <c r="C6558" i="3"/>
  <c r="C6559" i="3"/>
  <c r="C6560" i="3"/>
  <c r="C6561" i="3"/>
  <c r="C6562" i="3"/>
  <c r="C6563" i="3"/>
  <c r="C6564" i="3"/>
  <c r="C6567" i="3"/>
  <c r="C6569" i="3"/>
  <c r="C6572" i="3"/>
  <c r="C6573" i="3"/>
  <c r="C6574" i="3"/>
  <c r="C6575" i="3"/>
  <c r="C6576" i="3"/>
  <c r="C6577" i="3"/>
  <c r="C6578" i="3"/>
  <c r="C6579" i="3"/>
  <c r="C6580" i="3"/>
  <c r="C6582" i="3"/>
  <c r="C6583" i="3"/>
  <c r="C6584" i="3"/>
  <c r="C6585" i="3"/>
  <c r="C6587" i="3"/>
  <c r="C6588" i="3"/>
  <c r="C6589" i="3"/>
  <c r="C6590" i="3"/>
  <c r="C6591" i="3"/>
  <c r="C6592" i="3"/>
  <c r="C6593" i="3"/>
  <c r="C6594" i="3"/>
  <c r="C6595" i="3"/>
  <c r="C6596" i="3"/>
  <c r="C6598" i="3"/>
  <c r="C6599" i="3"/>
  <c r="C6600" i="3"/>
  <c r="C6602" i="3"/>
  <c r="C6603" i="3"/>
  <c r="C6604" i="3"/>
  <c r="C6605" i="3"/>
  <c r="C6606" i="3"/>
  <c r="C6607" i="3"/>
  <c r="C6610" i="3"/>
  <c r="C6611" i="3"/>
  <c r="C6612" i="3"/>
  <c r="C6613" i="3"/>
  <c r="C6615" i="3"/>
  <c r="C6616" i="3"/>
  <c r="C6617" i="3"/>
  <c r="C6618" i="3"/>
  <c r="C6619" i="3"/>
  <c r="C6621" i="3"/>
  <c r="C6622" i="3"/>
  <c r="C6623" i="3"/>
  <c r="C6624" i="3"/>
  <c r="C6625" i="3"/>
  <c r="C6627" i="3"/>
  <c r="C6628" i="3"/>
  <c r="C6629" i="3"/>
  <c r="C6630" i="3"/>
  <c r="C6632" i="3"/>
  <c r="C6633" i="3"/>
  <c r="C6635" i="3"/>
  <c r="C6636" i="3"/>
  <c r="C6637" i="3"/>
  <c r="C6638" i="3"/>
  <c r="C6639" i="3"/>
  <c r="C6640" i="3"/>
  <c r="C6641" i="3"/>
  <c r="C6642" i="3"/>
  <c r="C6643" i="3"/>
  <c r="C6644" i="3"/>
  <c r="C6645" i="3"/>
  <c r="C6648" i="3"/>
  <c r="C6650" i="3"/>
  <c r="C6651" i="3"/>
  <c r="C6652" i="3"/>
  <c r="C6653" i="3"/>
  <c r="C6654" i="3"/>
  <c r="C6655" i="3"/>
  <c r="C6656" i="3"/>
  <c r="C6657" i="3"/>
  <c r="C6661" i="3"/>
  <c r="C6662" i="3"/>
  <c r="C6663" i="3"/>
  <c r="C6664" i="3"/>
  <c r="C6665" i="3"/>
  <c r="C6666" i="3"/>
  <c r="C6667" i="3"/>
  <c r="C6668" i="3"/>
  <c r="C6669" i="3"/>
  <c r="C6670" i="3"/>
  <c r="C6671" i="3"/>
  <c r="C6672" i="3"/>
  <c r="C6673" i="3"/>
  <c r="C6674" i="3"/>
  <c r="C6675" i="3"/>
  <c r="C6676" i="3"/>
  <c r="C6677" i="3"/>
  <c r="C6678" i="3"/>
  <c r="C6679" i="3"/>
  <c r="C6680" i="3"/>
  <c r="C6683" i="3"/>
  <c r="C6684" i="3"/>
  <c r="C6685" i="3"/>
  <c r="C6687" i="3"/>
  <c r="C6688" i="3"/>
  <c r="C6689" i="3"/>
  <c r="C6690" i="3"/>
  <c r="C6691" i="3"/>
  <c r="C6692" i="3"/>
  <c r="C6693" i="3"/>
  <c r="C6694" i="3"/>
  <c r="C6697" i="3"/>
  <c r="C6701" i="3"/>
  <c r="C6704" i="3"/>
  <c r="C6705" i="3"/>
  <c r="C6706" i="3"/>
  <c r="C6708" i="3"/>
  <c r="C6709" i="3"/>
  <c r="C6710" i="3"/>
  <c r="C6711" i="3"/>
  <c r="C6713" i="3"/>
  <c r="C6714" i="3"/>
  <c r="C6715" i="3"/>
  <c r="C6716" i="3"/>
  <c r="C6719" i="3"/>
  <c r="C6720" i="3"/>
  <c r="C6722" i="3"/>
  <c r="C6723" i="3"/>
  <c r="C6724" i="3"/>
  <c r="C6725" i="3"/>
  <c r="C6726" i="3"/>
  <c r="C6727" i="3"/>
  <c r="C6728" i="3"/>
  <c r="C6729" i="3"/>
  <c r="C6730" i="3"/>
  <c r="C6731" i="3"/>
  <c r="C6732" i="3"/>
  <c r="C6733" i="3"/>
  <c r="C6737" i="3"/>
  <c r="C6738" i="3"/>
  <c r="C6740" i="3"/>
  <c r="C6741" i="3"/>
  <c r="C6742" i="3"/>
  <c r="C6743" i="3"/>
  <c r="C6744" i="3"/>
  <c r="C6745" i="3"/>
  <c r="C6746" i="3"/>
  <c r="C6747" i="3"/>
  <c r="C6748" i="3"/>
  <c r="C6749" i="3"/>
  <c r="C6751" i="3"/>
  <c r="C6752" i="3"/>
  <c r="C6755" i="3"/>
  <c r="C6756" i="3"/>
  <c r="C6757" i="3"/>
  <c r="C6759" i="3"/>
  <c r="C6760" i="3"/>
  <c r="C6761" i="3"/>
  <c r="C6762" i="3"/>
  <c r="C6763" i="3"/>
  <c r="C6764" i="3"/>
  <c r="C6765" i="3"/>
  <c r="C6766" i="3"/>
  <c r="C6767" i="3"/>
  <c r="C6768" i="3"/>
  <c r="C6769" i="3"/>
  <c r="C6770" i="3"/>
  <c r="C6771" i="3"/>
  <c r="C6773" i="3"/>
  <c r="C6775" i="3"/>
  <c r="C6776" i="3"/>
  <c r="C6777" i="3"/>
  <c r="C6778" i="3"/>
  <c r="C6779" i="3"/>
  <c r="C6780" i="3"/>
  <c r="C6781" i="3"/>
  <c r="C6782" i="3"/>
  <c r="C6783" i="3"/>
  <c r="C6785" i="3"/>
  <c r="C6786" i="3"/>
  <c r="C6787" i="3"/>
  <c r="C6789" i="3"/>
  <c r="C6791" i="3"/>
  <c r="C6792" i="3"/>
  <c r="C6793" i="3"/>
  <c r="C6795" i="3"/>
  <c r="C6796" i="3"/>
  <c r="C6797" i="3"/>
  <c r="C6798" i="3"/>
  <c r="C6799" i="3"/>
  <c r="C6800" i="3"/>
  <c r="C6801" i="3"/>
  <c r="C6802" i="3"/>
  <c r="C6803" i="3"/>
  <c r="C6807" i="3"/>
  <c r="C6808" i="3"/>
  <c r="C6809" i="3"/>
  <c r="C6810" i="3"/>
  <c r="C6811" i="3"/>
  <c r="C6812" i="3"/>
  <c r="C6813" i="3"/>
  <c r="C6814" i="3"/>
  <c r="C6816" i="3"/>
  <c r="C6817" i="3"/>
  <c r="C6820" i="3"/>
  <c r="C6821" i="3"/>
  <c r="C6822" i="3"/>
  <c r="C6826" i="3"/>
  <c r="C6827" i="3"/>
  <c r="C6828" i="3"/>
  <c r="C6829" i="3"/>
  <c r="C6830" i="3"/>
  <c r="C6831" i="3"/>
  <c r="C6832" i="3"/>
  <c r="C6833" i="3"/>
  <c r="C6835" i="3"/>
  <c r="C6836" i="3"/>
  <c r="C6837" i="3"/>
  <c r="C6838" i="3"/>
  <c r="C6839" i="3"/>
  <c r="C6840" i="3"/>
  <c r="C6841" i="3"/>
  <c r="C6842" i="3"/>
  <c r="C6843" i="3"/>
  <c r="C6844" i="3"/>
  <c r="C6845" i="3"/>
  <c r="C6847" i="3"/>
  <c r="C6848" i="3"/>
  <c r="C6849" i="3"/>
  <c r="C6850" i="3"/>
  <c r="C6853" i="3"/>
  <c r="C6854" i="3"/>
  <c r="C6855" i="3"/>
  <c r="C6856" i="3"/>
  <c r="C6857" i="3"/>
  <c r="C6858" i="3"/>
  <c r="C6859" i="3"/>
  <c r="C6860" i="3"/>
  <c r="C6862" i="3"/>
  <c r="C6863" i="3"/>
  <c r="C6864" i="3"/>
  <c r="C6865" i="3"/>
  <c r="C6866" i="3"/>
  <c r="C6867" i="3"/>
  <c r="C6868" i="3"/>
  <c r="C6869" i="3"/>
  <c r="C6870" i="3"/>
  <c r="C6871" i="3"/>
  <c r="C6872" i="3"/>
  <c r="C6873" i="3"/>
  <c r="C6874" i="3"/>
  <c r="C6875" i="3"/>
  <c r="C6876" i="3"/>
  <c r="C6877" i="3"/>
  <c r="C6878" i="3"/>
  <c r="C6879" i="3"/>
  <c r="C6880" i="3"/>
  <c r="C6881" i="3"/>
  <c r="C6882" i="3"/>
  <c r="C6883" i="3"/>
  <c r="C6884" i="3"/>
  <c r="C6885" i="3"/>
  <c r="C6886" i="3"/>
  <c r="C6887" i="3"/>
  <c r="C6889" i="3"/>
  <c r="C6890" i="3"/>
  <c r="C6892" i="3"/>
  <c r="C6893" i="3"/>
  <c r="C6894" i="3"/>
  <c r="C6895" i="3"/>
  <c r="C6896" i="3"/>
  <c r="C6898" i="3"/>
  <c r="C6900" i="3"/>
  <c r="C6901" i="3"/>
  <c r="C6903" i="3"/>
  <c r="C6905" i="3"/>
  <c r="C6906" i="3"/>
  <c r="C6907" i="3"/>
  <c r="C6908" i="3"/>
  <c r="C6909" i="3"/>
  <c r="C6910" i="3"/>
  <c r="C6911" i="3"/>
  <c r="C6913" i="3"/>
  <c r="C6914" i="3"/>
  <c r="C6915" i="3"/>
  <c r="C6917" i="3"/>
  <c r="C6918" i="3"/>
  <c r="C6923" i="3"/>
  <c r="C6924" i="3"/>
  <c r="C6926" i="3"/>
  <c r="C6927" i="3"/>
  <c r="C6928" i="3"/>
  <c r="C6929" i="3"/>
  <c r="C6930" i="3"/>
  <c r="C6931" i="3"/>
  <c r="C6932" i="3"/>
  <c r="C6933" i="3"/>
  <c r="C6934" i="3"/>
  <c r="C6935" i="3"/>
  <c r="C6936" i="3"/>
  <c r="C6938" i="3"/>
  <c r="C6939" i="3"/>
  <c r="C6940" i="3"/>
  <c r="C6941" i="3"/>
  <c r="C6944" i="3"/>
  <c r="C6945" i="3"/>
  <c r="C6946" i="3"/>
  <c r="C6947" i="3"/>
  <c r="C6948" i="3"/>
  <c r="C6949" i="3"/>
  <c r="C6950" i="3"/>
  <c r="C6951" i="3"/>
  <c r="C6952" i="3"/>
  <c r="C6953" i="3"/>
  <c r="C6954" i="3"/>
  <c r="C6955" i="3"/>
  <c r="C6958" i="3"/>
  <c r="C6959" i="3"/>
  <c r="C6961" i="3"/>
  <c r="C6963" i="3"/>
  <c r="C6964" i="3"/>
  <c r="C6965" i="3"/>
  <c r="C6966" i="3"/>
  <c r="C6968" i="3"/>
  <c r="C6969" i="3"/>
  <c r="C6970" i="3"/>
  <c r="C6971" i="3"/>
  <c r="C6973" i="3"/>
  <c r="C6974" i="3"/>
  <c r="C6975" i="3"/>
  <c r="C6976" i="3"/>
  <c r="C6977" i="3"/>
  <c r="C6978" i="3"/>
  <c r="C6979" i="3"/>
  <c r="C6980" i="3"/>
  <c r="C6981" i="3"/>
  <c r="C6983" i="3"/>
  <c r="C6984" i="3"/>
  <c r="C6985" i="3"/>
  <c r="C6987" i="3"/>
  <c r="C6988" i="3"/>
  <c r="C6989" i="3"/>
  <c r="C6990" i="3"/>
  <c r="C6991" i="3"/>
  <c r="C6992" i="3"/>
  <c r="C6993" i="3"/>
  <c r="C6994" i="3"/>
  <c r="C6995" i="3"/>
  <c r="C6996" i="3"/>
  <c r="C6997" i="3"/>
  <c r="C6998" i="3"/>
  <c r="C6999" i="3"/>
  <c r="C7001" i="3"/>
  <c r="C7003" i="3"/>
  <c r="C7004" i="3"/>
  <c r="C7005" i="3"/>
  <c r="C7006" i="3"/>
  <c r="C7007" i="3"/>
  <c r="C7008" i="3"/>
  <c r="C7009" i="3"/>
  <c r="C7010" i="3"/>
  <c r="C7011" i="3"/>
  <c r="C7012" i="3"/>
  <c r="C7013" i="3"/>
  <c r="C7014" i="3"/>
  <c r="C7015" i="3"/>
  <c r="C7016" i="3"/>
  <c r="C7019" i="3"/>
  <c r="C7020" i="3"/>
  <c r="C7021" i="3"/>
  <c r="C7023" i="3"/>
  <c r="C7024" i="3"/>
  <c r="C7025" i="3"/>
  <c r="C7026" i="3"/>
  <c r="C7027" i="3"/>
  <c r="C7028" i="3"/>
  <c r="C7029" i="3"/>
  <c r="C7030" i="3"/>
  <c r="C7031" i="3"/>
  <c r="C7032" i="3"/>
  <c r="C7033" i="3"/>
  <c r="C7034" i="3"/>
  <c r="C7035" i="3"/>
  <c r="C7036" i="3"/>
  <c r="C7037" i="3"/>
  <c r="C7038" i="3"/>
  <c r="C7039" i="3"/>
  <c r="C7040" i="3"/>
  <c r="C7041" i="3"/>
  <c r="C7042" i="3"/>
  <c r="C7043" i="3"/>
  <c r="C7044" i="3"/>
  <c r="C7045" i="3"/>
  <c r="C7046" i="3"/>
  <c r="C7047" i="3"/>
  <c r="C7048" i="3"/>
  <c r="C7050" i="3"/>
  <c r="C7051" i="3"/>
  <c r="C7052" i="3"/>
  <c r="C7053" i="3"/>
  <c r="C7054" i="3"/>
  <c r="C7055" i="3"/>
  <c r="C7056" i="3"/>
  <c r="C7057" i="3"/>
  <c r="C7058" i="3"/>
  <c r="C7059" i="3"/>
  <c r="C7060" i="3"/>
  <c r="C7061" i="3"/>
  <c r="C7062" i="3"/>
  <c r="C7063" i="3"/>
  <c r="C7064" i="3"/>
  <c r="C7065" i="3"/>
  <c r="C7066" i="3"/>
  <c r="C7067" i="3"/>
  <c r="C7068" i="3"/>
  <c r="C7069" i="3"/>
  <c r="C7070" i="3"/>
  <c r="C7071" i="3"/>
  <c r="C7072" i="3"/>
  <c r="C7073" i="3"/>
  <c r="C7074" i="3"/>
  <c r="C7075" i="3"/>
  <c r="C7077" i="3"/>
  <c r="C7078" i="3"/>
  <c r="C7079" i="3"/>
  <c r="C7080" i="3"/>
  <c r="C7081" i="3"/>
  <c r="C7082" i="3"/>
  <c r="C7083" i="3"/>
  <c r="C7084" i="3"/>
  <c r="C7085" i="3"/>
  <c r="C7086" i="3"/>
  <c r="C7087" i="3"/>
  <c r="C7090" i="3"/>
  <c r="C7091" i="3"/>
  <c r="C7092" i="3"/>
  <c r="C7093" i="3"/>
  <c r="C7096" i="3"/>
  <c r="C7097" i="3"/>
  <c r="C7098" i="3"/>
  <c r="C7099" i="3"/>
  <c r="C7100" i="3"/>
  <c r="C7101" i="3"/>
  <c r="C7104" i="3"/>
  <c r="C7105" i="3"/>
  <c r="C7106" i="3"/>
  <c r="C7107" i="3"/>
  <c r="C7108" i="3"/>
  <c r="C7110" i="3"/>
  <c r="C7111" i="3"/>
  <c r="C7112" i="3"/>
  <c r="C7113" i="3"/>
  <c r="C7114" i="3"/>
  <c r="C7115" i="3"/>
  <c r="C7116" i="3"/>
  <c r="C7117" i="3"/>
  <c r="C7118" i="3"/>
  <c r="C7119" i="3"/>
  <c r="C7121" i="3"/>
  <c r="C7122" i="3"/>
  <c r="C7123" i="3"/>
  <c r="C7124" i="3"/>
  <c r="C7125" i="3"/>
  <c r="C7126" i="3"/>
  <c r="C7127" i="3"/>
  <c r="C7128" i="3"/>
  <c r="C7129" i="3"/>
  <c r="C7130" i="3"/>
  <c r="C7131" i="3"/>
  <c r="C7132" i="3"/>
  <c r="C7133" i="3"/>
  <c r="C7134" i="3"/>
  <c r="C7135" i="3"/>
  <c r="C7136" i="3"/>
  <c r="C7137" i="3"/>
  <c r="C7138" i="3"/>
  <c r="C7139" i="3"/>
  <c r="C7140" i="3"/>
  <c r="C7141" i="3"/>
  <c r="C7142" i="3"/>
  <c r="C7143" i="3"/>
  <c r="C7145" i="3"/>
  <c r="C7146" i="3"/>
  <c r="C7147" i="3"/>
  <c r="C7149" i="3"/>
  <c r="C7150" i="3"/>
  <c r="C7151" i="3"/>
  <c r="C7152" i="3"/>
  <c r="C7153" i="3"/>
  <c r="C7154" i="3"/>
  <c r="C7155" i="3"/>
  <c r="C7156" i="3"/>
  <c r="C7157" i="3"/>
  <c r="C7158" i="3"/>
  <c r="C7159" i="3"/>
  <c r="C7160" i="3"/>
  <c r="C7161" i="3"/>
  <c r="C7162" i="3"/>
  <c r="C7163" i="3"/>
  <c r="C7164" i="3"/>
  <c r="C7165" i="3"/>
  <c r="C7166" i="3"/>
  <c r="C7167" i="3"/>
  <c r="C7168" i="3"/>
  <c r="C7169" i="3"/>
  <c r="C7170" i="3"/>
  <c r="C7171" i="3"/>
  <c r="C7172" i="3"/>
  <c r="C7173" i="3"/>
  <c r="C7174" i="3"/>
  <c r="C7175" i="3"/>
  <c r="C7176" i="3"/>
  <c r="C7177" i="3"/>
  <c r="C7178" i="3"/>
  <c r="C7179" i="3"/>
  <c r="C7180" i="3"/>
  <c r="C7181" i="3"/>
  <c r="C7182" i="3"/>
  <c r="C7183" i="3"/>
  <c r="C7184" i="3"/>
  <c r="C7185" i="3"/>
  <c r="C7186" i="3"/>
  <c r="C7187" i="3"/>
  <c r="C7188" i="3"/>
  <c r="C7189" i="3"/>
  <c r="C7190" i="3"/>
  <c r="C7191" i="3"/>
  <c r="C7192" i="3"/>
  <c r="C7193" i="3"/>
  <c r="O3" i="3"/>
  <c r="P3" i="3"/>
  <c r="O4" i="3"/>
  <c r="P4" i="3"/>
  <c r="O5" i="3"/>
  <c r="P5" i="3"/>
  <c r="O6" i="3"/>
  <c r="P6" i="3"/>
  <c r="O7" i="3"/>
  <c r="P7" i="3"/>
  <c r="O8" i="3"/>
  <c r="P8" i="3"/>
  <c r="O9" i="3"/>
  <c r="P9" i="3"/>
  <c r="O10" i="3"/>
  <c r="P10" i="3"/>
  <c r="O11" i="3"/>
  <c r="P11" i="3"/>
  <c r="O12" i="3"/>
  <c r="P12" i="3"/>
  <c r="O13" i="3"/>
  <c r="P13" i="3"/>
  <c r="O14" i="3"/>
  <c r="P14" i="3"/>
  <c r="O15" i="3"/>
  <c r="P15" i="3"/>
  <c r="O16" i="3"/>
  <c r="P16" i="3"/>
  <c r="O17" i="3"/>
  <c r="P17" i="3"/>
  <c r="O18" i="3"/>
  <c r="P18" i="3"/>
  <c r="O19" i="3"/>
  <c r="P19" i="3"/>
  <c r="O20" i="3"/>
  <c r="P20" i="3"/>
  <c r="O21" i="3"/>
  <c r="P21" i="3"/>
  <c r="O22" i="3"/>
  <c r="P22" i="3"/>
  <c r="O23" i="3"/>
  <c r="P23" i="3"/>
  <c r="O24" i="3"/>
  <c r="P24" i="3"/>
  <c r="O25" i="3"/>
  <c r="P25" i="3"/>
  <c r="O26" i="3"/>
  <c r="P26" i="3"/>
  <c r="O27" i="3"/>
  <c r="P27" i="3"/>
  <c r="O28" i="3"/>
  <c r="P28" i="3"/>
  <c r="O29" i="3"/>
  <c r="P29" i="3"/>
  <c r="O30" i="3"/>
  <c r="P30" i="3"/>
  <c r="O31" i="3"/>
  <c r="P31" i="3"/>
  <c r="O32" i="3"/>
  <c r="P32" i="3"/>
  <c r="O33" i="3"/>
  <c r="P33" i="3"/>
  <c r="O34" i="3"/>
  <c r="P34" i="3"/>
  <c r="O35" i="3"/>
  <c r="P35" i="3"/>
  <c r="O36" i="3"/>
  <c r="P36" i="3"/>
  <c r="K37" i="3"/>
  <c r="L37" i="3" s="1"/>
  <c r="O37" i="3"/>
  <c r="P37" i="3"/>
  <c r="O38" i="3"/>
  <c r="P38" i="3"/>
  <c r="O39" i="3"/>
  <c r="P39" i="3"/>
  <c r="O40" i="3"/>
  <c r="P40" i="3"/>
  <c r="O41" i="3"/>
  <c r="P41" i="3"/>
  <c r="O42" i="3"/>
  <c r="P42" i="3"/>
  <c r="O43" i="3"/>
  <c r="P43" i="3"/>
  <c r="O44" i="3"/>
  <c r="P44" i="3"/>
  <c r="O45" i="3"/>
  <c r="P45" i="3"/>
  <c r="O46" i="3"/>
  <c r="P46" i="3"/>
  <c r="O47" i="3"/>
  <c r="P47" i="3"/>
  <c r="O48" i="3"/>
  <c r="P48" i="3"/>
  <c r="O49" i="3"/>
  <c r="P49" i="3"/>
  <c r="O50" i="3"/>
  <c r="P50" i="3"/>
  <c r="K51" i="3"/>
  <c r="L51" i="3" s="1"/>
  <c r="O51" i="3"/>
  <c r="P51" i="3"/>
  <c r="O52" i="3"/>
  <c r="P52" i="3"/>
  <c r="O53" i="3"/>
  <c r="P53" i="3"/>
  <c r="O54" i="3"/>
  <c r="P54" i="3"/>
  <c r="O55" i="3"/>
  <c r="P55" i="3"/>
  <c r="O56" i="3"/>
  <c r="P56" i="3"/>
  <c r="O57" i="3"/>
  <c r="P57" i="3"/>
  <c r="O58" i="3"/>
  <c r="P58" i="3"/>
  <c r="O59" i="3"/>
  <c r="P59" i="3"/>
  <c r="O60" i="3"/>
  <c r="P60" i="3"/>
  <c r="O61" i="3"/>
  <c r="P61" i="3"/>
  <c r="O62" i="3"/>
  <c r="P62" i="3"/>
  <c r="K63" i="3"/>
  <c r="L63" i="3" s="1"/>
  <c r="O63" i="3"/>
  <c r="P63" i="3"/>
  <c r="O64" i="3"/>
  <c r="P64" i="3"/>
  <c r="O65" i="3"/>
  <c r="P65" i="3"/>
  <c r="O66" i="3"/>
  <c r="P66" i="3"/>
  <c r="O67" i="3"/>
  <c r="P67" i="3"/>
  <c r="O68" i="3"/>
  <c r="P68" i="3"/>
  <c r="O69" i="3"/>
  <c r="P69" i="3"/>
  <c r="K70" i="3"/>
  <c r="L70" i="3" s="1"/>
  <c r="O70" i="3"/>
  <c r="P70" i="3"/>
  <c r="O71" i="3"/>
  <c r="P71" i="3"/>
  <c r="O72" i="3"/>
  <c r="P72" i="3"/>
  <c r="O73" i="3"/>
  <c r="P73" i="3"/>
  <c r="O74" i="3"/>
  <c r="P74" i="3"/>
  <c r="O75" i="3"/>
  <c r="P75" i="3"/>
  <c r="O76" i="3"/>
  <c r="P76" i="3"/>
  <c r="O77" i="3"/>
  <c r="P77" i="3"/>
  <c r="O78" i="3"/>
  <c r="P78" i="3"/>
  <c r="K79" i="3"/>
  <c r="L79" i="3" s="1"/>
  <c r="O79" i="3"/>
  <c r="P79" i="3"/>
  <c r="O80" i="3"/>
  <c r="P80" i="3"/>
  <c r="K81" i="3"/>
  <c r="L81" i="3" s="1"/>
  <c r="O81" i="3"/>
  <c r="P81" i="3"/>
  <c r="K82" i="3"/>
  <c r="L82" i="3" s="1"/>
  <c r="O82" i="3"/>
  <c r="P82" i="3"/>
  <c r="O83" i="3"/>
  <c r="P83" i="3"/>
  <c r="O84" i="3"/>
  <c r="P84" i="3"/>
  <c r="O85" i="3"/>
  <c r="P85" i="3"/>
  <c r="K86" i="3"/>
  <c r="L86" i="3" s="1"/>
  <c r="O86" i="3"/>
  <c r="P86" i="3"/>
  <c r="K87" i="3"/>
  <c r="L87" i="3" s="1"/>
  <c r="O87" i="3"/>
  <c r="P87" i="3"/>
  <c r="O88" i="3"/>
  <c r="P88" i="3"/>
  <c r="O89" i="3"/>
  <c r="P89" i="3"/>
  <c r="O90" i="3"/>
  <c r="P90" i="3"/>
  <c r="O91" i="3"/>
  <c r="P91" i="3"/>
  <c r="O92" i="3"/>
  <c r="P92" i="3"/>
  <c r="K93" i="3"/>
  <c r="L93" i="3" s="1"/>
  <c r="O93" i="3"/>
  <c r="P93" i="3"/>
  <c r="O94" i="3"/>
  <c r="P94" i="3"/>
  <c r="O95" i="3"/>
  <c r="P95" i="3"/>
  <c r="O96" i="3"/>
  <c r="P96" i="3"/>
  <c r="O97" i="3"/>
  <c r="P97" i="3"/>
  <c r="O98" i="3"/>
  <c r="P98" i="3"/>
  <c r="O99" i="3"/>
  <c r="P99" i="3"/>
  <c r="O100" i="3"/>
  <c r="P100" i="3"/>
  <c r="O101" i="3"/>
  <c r="P101" i="3"/>
  <c r="O102" i="3"/>
  <c r="P102" i="3"/>
  <c r="O103" i="3"/>
  <c r="P103" i="3"/>
  <c r="O104" i="3"/>
  <c r="P104" i="3"/>
  <c r="K105" i="3"/>
  <c r="L105" i="3" s="1"/>
  <c r="O105" i="3"/>
  <c r="P105" i="3"/>
  <c r="O106" i="3"/>
  <c r="P106" i="3"/>
  <c r="O107" i="3"/>
  <c r="P107" i="3"/>
  <c r="O108" i="3"/>
  <c r="P108" i="3"/>
  <c r="O109" i="3"/>
  <c r="P109" i="3"/>
  <c r="K110" i="3"/>
  <c r="L110" i="3" s="1"/>
  <c r="O110" i="3"/>
  <c r="P110" i="3"/>
  <c r="O111" i="3"/>
  <c r="P111" i="3"/>
  <c r="O112" i="3"/>
  <c r="P112" i="3"/>
  <c r="O113" i="3"/>
  <c r="P113" i="3"/>
  <c r="O114" i="3"/>
  <c r="P114" i="3"/>
  <c r="O115" i="3"/>
  <c r="P115" i="3"/>
  <c r="O116" i="3"/>
  <c r="P116" i="3"/>
  <c r="O117" i="3"/>
  <c r="P117" i="3"/>
  <c r="K118" i="3"/>
  <c r="L118" i="3" s="1"/>
  <c r="O118" i="3"/>
  <c r="P118" i="3"/>
  <c r="K119" i="3"/>
  <c r="L119" i="3" s="1"/>
  <c r="O119" i="3"/>
  <c r="P119" i="3"/>
  <c r="O120" i="3"/>
  <c r="P120" i="3"/>
  <c r="O121" i="3"/>
  <c r="P121" i="3"/>
  <c r="O122" i="3"/>
  <c r="P122" i="3"/>
  <c r="O123" i="3"/>
  <c r="P123" i="3"/>
  <c r="O124" i="3"/>
  <c r="P124" i="3"/>
  <c r="O125" i="3"/>
  <c r="P125" i="3"/>
  <c r="O126" i="3"/>
  <c r="P126" i="3"/>
  <c r="O127" i="3"/>
  <c r="P127" i="3"/>
  <c r="O128" i="3"/>
  <c r="P128" i="3"/>
  <c r="O129" i="3"/>
  <c r="P129" i="3"/>
  <c r="O130" i="3"/>
  <c r="P130" i="3"/>
  <c r="K131" i="3"/>
  <c r="L131" i="3" s="1"/>
  <c r="O131" i="3"/>
  <c r="P131" i="3"/>
  <c r="O132" i="3"/>
  <c r="P132" i="3"/>
  <c r="O133" i="3"/>
  <c r="P133" i="3"/>
  <c r="O134" i="3"/>
  <c r="P134" i="3"/>
  <c r="O135" i="3"/>
  <c r="P135" i="3"/>
  <c r="O136" i="3"/>
  <c r="P136" i="3"/>
  <c r="O137" i="3"/>
  <c r="P137" i="3"/>
  <c r="O138" i="3"/>
  <c r="P138" i="3"/>
  <c r="O139" i="3"/>
  <c r="P139" i="3"/>
  <c r="O140" i="3"/>
  <c r="P140" i="3"/>
  <c r="O141" i="3"/>
  <c r="P141" i="3"/>
  <c r="O142" i="3"/>
  <c r="P142" i="3"/>
  <c r="O143" i="3"/>
  <c r="P143" i="3"/>
  <c r="O144" i="3"/>
  <c r="P144" i="3"/>
  <c r="O145" i="3"/>
  <c r="P145" i="3"/>
  <c r="O146" i="3"/>
  <c r="P146" i="3"/>
  <c r="K147" i="3"/>
  <c r="L147" i="3" s="1"/>
  <c r="O147" i="3"/>
  <c r="P147" i="3"/>
  <c r="O148" i="3"/>
  <c r="P148" i="3"/>
  <c r="K149" i="3"/>
  <c r="L149" i="3" s="1"/>
  <c r="O149" i="3"/>
  <c r="P149" i="3"/>
  <c r="O150" i="3"/>
  <c r="P150" i="3"/>
  <c r="O151" i="3"/>
  <c r="P151" i="3"/>
  <c r="O152" i="3"/>
  <c r="P152" i="3"/>
  <c r="K153" i="3"/>
  <c r="L153" i="3" s="1"/>
  <c r="O153" i="3"/>
  <c r="P153" i="3"/>
  <c r="O154" i="3"/>
  <c r="P154" i="3"/>
  <c r="K155" i="3"/>
  <c r="L155" i="3" s="1"/>
  <c r="O155" i="3"/>
  <c r="P155" i="3"/>
  <c r="O156" i="3"/>
  <c r="P156" i="3"/>
  <c r="O157" i="3"/>
  <c r="P157" i="3"/>
  <c r="O158" i="3"/>
  <c r="P158" i="3"/>
  <c r="O159" i="3"/>
  <c r="P159" i="3"/>
  <c r="O160" i="3"/>
  <c r="P160" i="3"/>
  <c r="O161" i="3"/>
  <c r="P161" i="3"/>
  <c r="K162" i="3"/>
  <c r="L162" i="3" s="1"/>
  <c r="O162" i="3"/>
  <c r="P162" i="3"/>
  <c r="O163" i="3"/>
  <c r="P163" i="3"/>
  <c r="K164" i="3"/>
  <c r="L164" i="3" s="1"/>
  <c r="O164" i="3"/>
  <c r="P164" i="3"/>
  <c r="O165" i="3"/>
  <c r="P165" i="3"/>
  <c r="O166" i="3"/>
  <c r="P166" i="3"/>
  <c r="K167" i="3"/>
  <c r="L167" i="3" s="1"/>
  <c r="O167" i="3"/>
  <c r="P167" i="3"/>
  <c r="O168" i="3"/>
  <c r="P168" i="3"/>
  <c r="O169" i="3"/>
  <c r="P169" i="3"/>
  <c r="K170" i="3"/>
  <c r="L170" i="3" s="1"/>
  <c r="O170" i="3"/>
  <c r="P170" i="3"/>
  <c r="O171" i="3"/>
  <c r="P171" i="3"/>
  <c r="O172" i="3"/>
  <c r="P172" i="3"/>
  <c r="O173" i="3"/>
  <c r="P173" i="3"/>
  <c r="K174" i="3"/>
  <c r="L174" i="3" s="1"/>
  <c r="O174" i="3"/>
  <c r="P174" i="3"/>
  <c r="O175" i="3"/>
  <c r="P175" i="3"/>
  <c r="K176" i="3"/>
  <c r="L176" i="3" s="1"/>
  <c r="O176" i="3"/>
  <c r="P176" i="3"/>
  <c r="O177" i="3"/>
  <c r="P177" i="3"/>
  <c r="K178" i="3"/>
  <c r="L178" i="3" s="1"/>
  <c r="O178" i="3"/>
  <c r="P178" i="3"/>
  <c r="O179" i="3"/>
  <c r="P179" i="3"/>
  <c r="K180" i="3"/>
  <c r="L180" i="3" s="1"/>
  <c r="O180" i="3"/>
  <c r="P180" i="3"/>
  <c r="K181" i="3"/>
  <c r="L181" i="3" s="1"/>
  <c r="O181" i="3"/>
  <c r="P181" i="3"/>
  <c r="K182" i="3"/>
  <c r="L182" i="3" s="1"/>
  <c r="O182" i="3"/>
  <c r="P182" i="3"/>
  <c r="O183" i="3"/>
  <c r="P183" i="3"/>
  <c r="K184" i="3"/>
  <c r="L184" i="3" s="1"/>
  <c r="O184" i="3"/>
  <c r="P184" i="3"/>
  <c r="O185" i="3"/>
  <c r="P185" i="3"/>
  <c r="O186" i="3"/>
  <c r="P186" i="3"/>
  <c r="O187" i="3"/>
  <c r="P187" i="3"/>
  <c r="K188" i="3"/>
  <c r="L188" i="3" s="1"/>
  <c r="O188" i="3"/>
  <c r="P188" i="3"/>
  <c r="K189" i="3"/>
  <c r="L189" i="3" s="1"/>
  <c r="O189" i="3"/>
  <c r="P189" i="3"/>
  <c r="O190" i="3"/>
  <c r="P190" i="3"/>
  <c r="O191" i="3"/>
  <c r="P191" i="3"/>
  <c r="O192" i="3"/>
  <c r="P192" i="3"/>
  <c r="O193" i="3"/>
  <c r="P193" i="3"/>
  <c r="O194" i="3"/>
  <c r="P194" i="3"/>
  <c r="O195" i="3"/>
  <c r="P195" i="3"/>
  <c r="O196" i="3"/>
  <c r="P196" i="3"/>
  <c r="O197" i="3"/>
  <c r="P197" i="3"/>
  <c r="O198" i="3"/>
  <c r="P198" i="3"/>
  <c r="O199" i="3"/>
  <c r="P199" i="3"/>
  <c r="O200" i="3"/>
  <c r="P200" i="3"/>
  <c r="K201" i="3"/>
  <c r="L201" i="3" s="1"/>
  <c r="O201" i="3"/>
  <c r="P201" i="3"/>
  <c r="O202" i="3"/>
  <c r="P202" i="3"/>
  <c r="O203" i="3"/>
  <c r="P203" i="3"/>
  <c r="K204" i="3"/>
  <c r="L204" i="3" s="1"/>
  <c r="O204" i="3"/>
  <c r="P204" i="3"/>
  <c r="O205" i="3"/>
  <c r="P205" i="3"/>
  <c r="O206" i="3"/>
  <c r="P206" i="3"/>
  <c r="O207" i="3"/>
  <c r="P207" i="3"/>
  <c r="O208" i="3"/>
  <c r="P208" i="3"/>
  <c r="O209" i="3"/>
  <c r="P209" i="3"/>
  <c r="O210" i="3"/>
  <c r="P210" i="3"/>
  <c r="O211" i="3"/>
  <c r="P211" i="3"/>
  <c r="O212" i="3"/>
  <c r="P212" i="3"/>
  <c r="O213" i="3"/>
  <c r="P213" i="3"/>
  <c r="K214" i="3"/>
  <c r="L214" i="3" s="1"/>
  <c r="O214" i="3"/>
  <c r="P214" i="3"/>
  <c r="K215" i="3"/>
  <c r="L215" i="3" s="1"/>
  <c r="O215" i="3"/>
  <c r="P215" i="3"/>
  <c r="K216" i="3"/>
  <c r="L216" i="3" s="1"/>
  <c r="O216" i="3"/>
  <c r="P216" i="3"/>
  <c r="O217" i="3"/>
  <c r="P217" i="3"/>
  <c r="K218" i="3"/>
  <c r="L218" i="3" s="1"/>
  <c r="O218" i="3"/>
  <c r="P218" i="3"/>
  <c r="O219" i="3"/>
  <c r="P219" i="3"/>
  <c r="O220" i="3"/>
  <c r="P220" i="3"/>
  <c r="O221" i="3"/>
  <c r="P221" i="3"/>
  <c r="O222" i="3"/>
  <c r="P222" i="3"/>
  <c r="K223" i="3"/>
  <c r="L223" i="3" s="1"/>
  <c r="O223" i="3"/>
  <c r="P223" i="3"/>
  <c r="O224" i="3"/>
  <c r="P224" i="3"/>
  <c r="O225" i="3"/>
  <c r="P225" i="3"/>
  <c r="O226" i="3"/>
  <c r="P226" i="3"/>
  <c r="O227" i="3"/>
  <c r="P227" i="3"/>
  <c r="O228" i="3"/>
  <c r="P228" i="3"/>
  <c r="O229" i="3"/>
  <c r="P229" i="3"/>
  <c r="O230" i="3"/>
  <c r="P230" i="3"/>
  <c r="O231" i="3"/>
  <c r="P231" i="3"/>
  <c r="O232" i="3"/>
  <c r="P232" i="3"/>
  <c r="O233" i="3"/>
  <c r="P233" i="3"/>
  <c r="O234" i="3"/>
  <c r="P234" i="3"/>
  <c r="O235" i="3"/>
  <c r="P235" i="3"/>
  <c r="K236" i="3"/>
  <c r="L236" i="3" s="1"/>
  <c r="O236" i="3"/>
  <c r="P236" i="3"/>
  <c r="O237" i="3"/>
  <c r="P237" i="3"/>
  <c r="K238" i="3"/>
  <c r="L238" i="3" s="1"/>
  <c r="O238" i="3"/>
  <c r="P238" i="3"/>
  <c r="O239" i="3"/>
  <c r="P239" i="3"/>
  <c r="K240" i="3"/>
  <c r="L240" i="3" s="1"/>
  <c r="O240" i="3"/>
  <c r="P240" i="3"/>
  <c r="K241" i="3"/>
  <c r="L241" i="3" s="1"/>
  <c r="O241" i="3"/>
  <c r="P241" i="3"/>
  <c r="K242" i="3"/>
  <c r="L242" i="3" s="1"/>
  <c r="O242" i="3"/>
  <c r="P242" i="3"/>
  <c r="O243" i="3"/>
  <c r="P243" i="3"/>
  <c r="O244" i="3"/>
  <c r="P244" i="3"/>
  <c r="O245" i="3"/>
  <c r="P245" i="3"/>
  <c r="O246" i="3"/>
  <c r="P246" i="3"/>
  <c r="O247" i="3"/>
  <c r="P247" i="3"/>
  <c r="O248" i="3"/>
  <c r="P248" i="3"/>
  <c r="O249" i="3"/>
  <c r="P249" i="3"/>
  <c r="O250" i="3"/>
  <c r="P250" i="3"/>
  <c r="O251" i="3"/>
  <c r="P251" i="3"/>
  <c r="O252" i="3"/>
  <c r="P252" i="3"/>
  <c r="O253" i="3"/>
  <c r="P253" i="3"/>
  <c r="O254" i="3"/>
  <c r="P254" i="3"/>
  <c r="O255" i="3"/>
  <c r="P255" i="3"/>
  <c r="O256" i="3"/>
  <c r="P256" i="3"/>
  <c r="K257" i="3"/>
  <c r="L257" i="3" s="1"/>
  <c r="O257" i="3"/>
  <c r="P257" i="3"/>
  <c r="O258" i="3"/>
  <c r="P258" i="3"/>
  <c r="O259" i="3"/>
  <c r="P259" i="3"/>
  <c r="K260" i="3"/>
  <c r="L260" i="3" s="1"/>
  <c r="O260" i="3"/>
  <c r="P260" i="3"/>
  <c r="K261" i="3"/>
  <c r="L261" i="3" s="1"/>
  <c r="O261" i="3"/>
  <c r="P261" i="3"/>
  <c r="K262" i="3"/>
  <c r="L262" i="3" s="1"/>
  <c r="O262" i="3"/>
  <c r="P262" i="3"/>
  <c r="O263" i="3"/>
  <c r="P263" i="3"/>
  <c r="O264" i="3"/>
  <c r="P264" i="3"/>
  <c r="O265" i="3"/>
  <c r="P265" i="3"/>
  <c r="O266" i="3"/>
  <c r="P266" i="3"/>
  <c r="O267" i="3"/>
  <c r="P267" i="3"/>
  <c r="K268" i="3"/>
  <c r="L268" i="3" s="1"/>
  <c r="O268" i="3"/>
  <c r="P268" i="3"/>
  <c r="O269" i="3"/>
  <c r="P269" i="3"/>
  <c r="K270" i="3"/>
  <c r="L270" i="3" s="1"/>
  <c r="O270" i="3"/>
  <c r="P270" i="3"/>
  <c r="K271" i="3"/>
  <c r="L271" i="3" s="1"/>
  <c r="O271" i="3"/>
  <c r="P271" i="3"/>
  <c r="K272" i="3"/>
  <c r="L272" i="3" s="1"/>
  <c r="O272" i="3"/>
  <c r="P272" i="3"/>
  <c r="K273" i="3"/>
  <c r="L273" i="3" s="1"/>
  <c r="O273" i="3"/>
  <c r="P273" i="3"/>
  <c r="O274" i="3"/>
  <c r="P274" i="3"/>
  <c r="O275" i="3"/>
  <c r="P275" i="3"/>
  <c r="K276" i="3"/>
  <c r="L276" i="3" s="1"/>
  <c r="O276" i="3"/>
  <c r="P276" i="3"/>
  <c r="K277" i="3"/>
  <c r="L277" i="3" s="1"/>
  <c r="O277" i="3"/>
  <c r="P277" i="3"/>
  <c r="O278" i="3"/>
  <c r="P278" i="3"/>
  <c r="O279" i="3"/>
  <c r="P279" i="3"/>
  <c r="K280" i="3"/>
  <c r="L280" i="3" s="1"/>
  <c r="O280" i="3"/>
  <c r="P280" i="3"/>
  <c r="O281" i="3"/>
  <c r="P281" i="3"/>
  <c r="K282" i="3"/>
  <c r="L282" i="3" s="1"/>
  <c r="O282" i="3"/>
  <c r="P282" i="3"/>
  <c r="K283" i="3"/>
  <c r="L283" i="3" s="1"/>
  <c r="O283" i="3"/>
  <c r="P283" i="3"/>
  <c r="O284" i="3"/>
  <c r="P284" i="3"/>
  <c r="O285" i="3"/>
  <c r="P285" i="3"/>
  <c r="O286" i="3"/>
  <c r="P286" i="3"/>
  <c r="O287" i="3"/>
  <c r="P287" i="3"/>
  <c r="O288" i="3"/>
  <c r="P288" i="3"/>
  <c r="O289" i="3"/>
  <c r="P289" i="3"/>
  <c r="O290" i="3"/>
  <c r="P290" i="3"/>
  <c r="O291" i="3"/>
  <c r="P291" i="3"/>
  <c r="O292" i="3"/>
  <c r="P292" i="3"/>
  <c r="O293" i="3"/>
  <c r="P293" i="3"/>
  <c r="O294" i="3"/>
  <c r="P294" i="3"/>
  <c r="O295" i="3"/>
  <c r="P295" i="3"/>
  <c r="O296" i="3"/>
  <c r="P296" i="3"/>
  <c r="O297" i="3"/>
  <c r="P297" i="3"/>
  <c r="K298" i="3"/>
  <c r="L298" i="3" s="1"/>
  <c r="O298" i="3"/>
  <c r="P298" i="3"/>
  <c r="O299" i="3"/>
  <c r="P299" i="3"/>
  <c r="O300" i="3"/>
  <c r="P300" i="3"/>
  <c r="K301" i="3"/>
  <c r="L301" i="3" s="1"/>
  <c r="O301" i="3"/>
  <c r="P301" i="3"/>
  <c r="K302" i="3"/>
  <c r="L302" i="3" s="1"/>
  <c r="O302" i="3"/>
  <c r="P302" i="3"/>
  <c r="O303" i="3"/>
  <c r="P303" i="3"/>
  <c r="K304" i="3"/>
  <c r="L304" i="3" s="1"/>
  <c r="O304" i="3"/>
  <c r="P304" i="3"/>
  <c r="K305" i="3"/>
  <c r="L305" i="3" s="1"/>
  <c r="O305" i="3"/>
  <c r="P305" i="3"/>
  <c r="K306" i="3"/>
  <c r="L306" i="3" s="1"/>
  <c r="O306" i="3"/>
  <c r="P306" i="3"/>
  <c r="O307" i="3"/>
  <c r="P307" i="3"/>
  <c r="K308" i="3"/>
  <c r="L308" i="3" s="1"/>
  <c r="O308" i="3"/>
  <c r="P308" i="3"/>
  <c r="O309" i="3"/>
  <c r="P309" i="3"/>
  <c r="K310" i="3"/>
  <c r="L310" i="3" s="1"/>
  <c r="O310" i="3"/>
  <c r="P310" i="3"/>
  <c r="O311" i="3"/>
  <c r="P311" i="3"/>
  <c r="O312" i="3"/>
  <c r="P312" i="3"/>
  <c r="O313" i="3"/>
  <c r="P313" i="3"/>
  <c r="O314" i="3"/>
  <c r="P314" i="3"/>
  <c r="K315" i="3"/>
  <c r="L315" i="3" s="1"/>
  <c r="O315" i="3"/>
  <c r="P315" i="3"/>
  <c r="O316" i="3"/>
  <c r="P316" i="3"/>
  <c r="K317" i="3"/>
  <c r="L317" i="3" s="1"/>
  <c r="O317" i="3"/>
  <c r="P317" i="3"/>
  <c r="K318" i="3"/>
  <c r="L318" i="3" s="1"/>
  <c r="O318" i="3"/>
  <c r="P318" i="3"/>
  <c r="O319" i="3"/>
  <c r="P319" i="3"/>
  <c r="O320" i="3"/>
  <c r="P320" i="3"/>
  <c r="O321" i="3"/>
  <c r="P321" i="3"/>
  <c r="O322" i="3"/>
  <c r="P322" i="3"/>
  <c r="K323" i="3"/>
  <c r="L323" i="3" s="1"/>
  <c r="O323" i="3"/>
  <c r="P323" i="3"/>
  <c r="K324" i="3"/>
  <c r="L324" i="3" s="1"/>
  <c r="O324" i="3"/>
  <c r="P324" i="3"/>
  <c r="K325" i="3"/>
  <c r="L325" i="3" s="1"/>
  <c r="O325" i="3"/>
  <c r="P325" i="3"/>
  <c r="K326" i="3"/>
  <c r="L326" i="3" s="1"/>
  <c r="O326" i="3"/>
  <c r="P326" i="3"/>
  <c r="O327" i="3"/>
  <c r="P327" i="3"/>
  <c r="O328" i="3"/>
  <c r="P328" i="3"/>
  <c r="K329" i="3"/>
  <c r="L329" i="3" s="1"/>
  <c r="O329" i="3"/>
  <c r="P329" i="3"/>
  <c r="O330" i="3"/>
  <c r="P330" i="3"/>
  <c r="K331" i="3"/>
  <c r="L331" i="3" s="1"/>
  <c r="O331" i="3"/>
  <c r="P331" i="3"/>
  <c r="K332" i="3"/>
  <c r="L332" i="3" s="1"/>
  <c r="O332" i="3"/>
  <c r="P332" i="3"/>
  <c r="K333" i="3"/>
  <c r="L333" i="3" s="1"/>
  <c r="O333" i="3"/>
  <c r="P333" i="3"/>
  <c r="O334" i="3"/>
  <c r="P334" i="3"/>
  <c r="K335" i="3"/>
  <c r="L335" i="3" s="1"/>
  <c r="O335" i="3"/>
  <c r="P335" i="3"/>
  <c r="K336" i="3"/>
  <c r="L336" i="3" s="1"/>
  <c r="O336" i="3"/>
  <c r="P336" i="3"/>
  <c r="O337" i="3"/>
  <c r="P337" i="3"/>
  <c r="O338" i="3"/>
  <c r="P338" i="3"/>
  <c r="O339" i="3"/>
  <c r="P339" i="3"/>
  <c r="K340" i="3"/>
  <c r="L340" i="3" s="1"/>
  <c r="O340" i="3"/>
  <c r="P340" i="3"/>
  <c r="O341" i="3"/>
  <c r="P341" i="3"/>
  <c r="O342" i="3"/>
  <c r="P342" i="3"/>
  <c r="O343" i="3"/>
  <c r="P343" i="3"/>
  <c r="O344" i="3"/>
  <c r="P344" i="3"/>
  <c r="K345" i="3"/>
  <c r="L345" i="3" s="1"/>
  <c r="O345" i="3"/>
  <c r="P345" i="3"/>
  <c r="O346" i="3"/>
  <c r="P346" i="3"/>
  <c r="K347" i="3"/>
  <c r="L347" i="3" s="1"/>
  <c r="O347" i="3"/>
  <c r="P347" i="3"/>
  <c r="O348" i="3"/>
  <c r="P348" i="3"/>
  <c r="K349" i="3"/>
  <c r="L349" i="3" s="1"/>
  <c r="O349" i="3"/>
  <c r="P349" i="3"/>
  <c r="K350" i="3"/>
  <c r="L350" i="3" s="1"/>
  <c r="O350" i="3"/>
  <c r="P350" i="3"/>
  <c r="K351" i="3"/>
  <c r="L351" i="3" s="1"/>
  <c r="O351" i="3"/>
  <c r="P351" i="3"/>
  <c r="O352" i="3"/>
  <c r="P352" i="3"/>
  <c r="K353" i="3"/>
  <c r="L353" i="3" s="1"/>
  <c r="O353" i="3"/>
  <c r="P353" i="3"/>
  <c r="O354" i="3"/>
  <c r="P354" i="3"/>
  <c r="O355" i="3"/>
  <c r="P355" i="3"/>
  <c r="O356" i="3"/>
  <c r="P356" i="3"/>
  <c r="O357" i="3"/>
  <c r="P357" i="3"/>
  <c r="K358" i="3"/>
  <c r="L358" i="3" s="1"/>
  <c r="O358" i="3"/>
  <c r="P358" i="3"/>
  <c r="O359" i="3"/>
  <c r="P359" i="3"/>
  <c r="O360" i="3"/>
  <c r="P360" i="3"/>
  <c r="K361" i="3"/>
  <c r="L361" i="3" s="1"/>
  <c r="O361" i="3"/>
  <c r="P361" i="3"/>
  <c r="O362" i="3"/>
  <c r="P362" i="3"/>
  <c r="K363" i="3"/>
  <c r="L363" i="3" s="1"/>
  <c r="O363" i="3"/>
  <c r="P363" i="3"/>
  <c r="O364" i="3"/>
  <c r="P364" i="3"/>
  <c r="K365" i="3"/>
  <c r="L365" i="3" s="1"/>
  <c r="O365" i="3"/>
  <c r="P365" i="3"/>
  <c r="O366" i="3"/>
  <c r="P366" i="3"/>
  <c r="K367" i="3"/>
  <c r="L367" i="3" s="1"/>
  <c r="O367" i="3"/>
  <c r="P367" i="3"/>
  <c r="K368" i="3"/>
  <c r="L368" i="3" s="1"/>
  <c r="O368" i="3"/>
  <c r="P368" i="3"/>
  <c r="O369" i="3"/>
  <c r="P369" i="3"/>
  <c r="K370" i="3"/>
  <c r="L370" i="3" s="1"/>
  <c r="O370" i="3"/>
  <c r="P370" i="3"/>
  <c r="O371" i="3"/>
  <c r="P371" i="3"/>
  <c r="K372" i="3"/>
  <c r="L372" i="3" s="1"/>
  <c r="O372" i="3"/>
  <c r="P372" i="3"/>
  <c r="K373" i="3"/>
  <c r="L373" i="3" s="1"/>
  <c r="O373" i="3"/>
  <c r="P373" i="3"/>
  <c r="K374" i="3"/>
  <c r="L374" i="3" s="1"/>
  <c r="O374" i="3"/>
  <c r="P374" i="3"/>
  <c r="K375" i="3"/>
  <c r="L375" i="3" s="1"/>
  <c r="O375" i="3"/>
  <c r="P375" i="3"/>
  <c r="O376" i="3"/>
  <c r="P376" i="3"/>
  <c r="O377" i="3"/>
  <c r="P377" i="3"/>
  <c r="K378" i="3"/>
  <c r="L378" i="3" s="1"/>
  <c r="O378" i="3"/>
  <c r="P378" i="3"/>
  <c r="K379" i="3"/>
  <c r="L379" i="3" s="1"/>
  <c r="O379" i="3"/>
  <c r="P379" i="3"/>
  <c r="O380" i="3"/>
  <c r="P380" i="3"/>
  <c r="O381" i="3"/>
  <c r="P381" i="3"/>
  <c r="O382" i="3"/>
  <c r="P382" i="3"/>
  <c r="K383" i="3"/>
  <c r="L383" i="3" s="1"/>
  <c r="O383" i="3"/>
  <c r="P383" i="3"/>
  <c r="O384" i="3"/>
  <c r="P384" i="3"/>
  <c r="K385" i="3"/>
  <c r="L385" i="3" s="1"/>
  <c r="O385" i="3"/>
  <c r="P385" i="3"/>
  <c r="O386" i="3"/>
  <c r="P386" i="3"/>
  <c r="K387" i="3"/>
  <c r="L387" i="3" s="1"/>
  <c r="O387" i="3"/>
  <c r="P387" i="3"/>
  <c r="O388" i="3"/>
  <c r="P388" i="3"/>
  <c r="O389" i="3"/>
  <c r="P389" i="3"/>
  <c r="K390" i="3"/>
  <c r="L390" i="3" s="1"/>
  <c r="O390" i="3"/>
  <c r="P390" i="3"/>
  <c r="O391" i="3"/>
  <c r="P391" i="3"/>
  <c r="O392" i="3"/>
  <c r="P392" i="3"/>
  <c r="O393" i="3"/>
  <c r="P393" i="3"/>
  <c r="O394" i="3"/>
  <c r="P394" i="3"/>
  <c r="O395" i="3"/>
  <c r="P395" i="3"/>
  <c r="O396" i="3"/>
  <c r="P396" i="3"/>
  <c r="K397" i="3"/>
  <c r="L397" i="3" s="1"/>
  <c r="O397" i="3"/>
  <c r="P397" i="3"/>
  <c r="O398" i="3"/>
  <c r="P398" i="3"/>
  <c r="K399" i="3"/>
  <c r="L399" i="3" s="1"/>
  <c r="O399" i="3"/>
  <c r="P399" i="3"/>
  <c r="K400" i="3"/>
  <c r="L400" i="3" s="1"/>
  <c r="O400" i="3"/>
  <c r="P400" i="3"/>
  <c r="O401" i="3"/>
  <c r="P401" i="3"/>
  <c r="O402" i="3"/>
  <c r="P402" i="3"/>
  <c r="K403" i="3"/>
  <c r="L403" i="3" s="1"/>
  <c r="O403" i="3"/>
  <c r="P403" i="3"/>
  <c r="O404" i="3"/>
  <c r="P404" i="3"/>
  <c r="O405" i="3"/>
  <c r="P405" i="3"/>
  <c r="O406" i="3"/>
  <c r="P406" i="3"/>
  <c r="K407" i="3"/>
  <c r="L407" i="3" s="1"/>
  <c r="O407" i="3"/>
  <c r="P407" i="3"/>
  <c r="O408" i="3"/>
  <c r="P408" i="3"/>
  <c r="O409" i="3"/>
  <c r="P409" i="3"/>
  <c r="O410" i="3"/>
  <c r="P410" i="3"/>
  <c r="K411" i="3"/>
  <c r="L411" i="3" s="1"/>
  <c r="O411" i="3"/>
  <c r="P411" i="3"/>
  <c r="O412" i="3"/>
  <c r="P412" i="3"/>
  <c r="O413" i="3"/>
  <c r="P413" i="3"/>
  <c r="K414" i="3"/>
  <c r="L414" i="3" s="1"/>
  <c r="O414" i="3"/>
  <c r="P414" i="3"/>
  <c r="O415" i="3"/>
  <c r="P415" i="3"/>
  <c r="O416" i="3"/>
  <c r="P416" i="3"/>
  <c r="O417" i="3"/>
  <c r="P417" i="3"/>
  <c r="K418" i="3"/>
  <c r="L418" i="3" s="1"/>
  <c r="O418" i="3"/>
  <c r="P418" i="3"/>
  <c r="O419" i="3"/>
  <c r="P419" i="3"/>
  <c r="K420" i="3"/>
  <c r="L420" i="3" s="1"/>
  <c r="O420" i="3"/>
  <c r="P420" i="3"/>
  <c r="K421" i="3"/>
  <c r="L421" i="3" s="1"/>
  <c r="O421" i="3"/>
  <c r="P421" i="3"/>
  <c r="K422" i="3"/>
  <c r="L422" i="3" s="1"/>
  <c r="O422" i="3"/>
  <c r="P422" i="3"/>
  <c r="K423" i="3"/>
  <c r="L423" i="3" s="1"/>
  <c r="O423" i="3"/>
  <c r="P423" i="3"/>
  <c r="K424" i="3"/>
  <c r="L424" i="3" s="1"/>
  <c r="O424" i="3"/>
  <c r="P424" i="3"/>
  <c r="O425" i="3"/>
  <c r="P425" i="3"/>
  <c r="K426" i="3"/>
  <c r="L426" i="3" s="1"/>
  <c r="O426" i="3"/>
  <c r="P426" i="3"/>
  <c r="K427" i="3"/>
  <c r="L427" i="3" s="1"/>
  <c r="O427" i="3"/>
  <c r="P427" i="3"/>
  <c r="O428" i="3"/>
  <c r="P428" i="3"/>
  <c r="K429" i="3"/>
  <c r="L429" i="3" s="1"/>
  <c r="O429" i="3"/>
  <c r="P429" i="3"/>
  <c r="O430" i="3"/>
  <c r="P430" i="3"/>
  <c r="O431" i="3"/>
  <c r="P431" i="3"/>
  <c r="K432" i="3"/>
  <c r="L432" i="3" s="1"/>
  <c r="O432" i="3"/>
  <c r="P432" i="3"/>
  <c r="O433" i="3"/>
  <c r="P433" i="3"/>
  <c r="K434" i="3"/>
  <c r="L434" i="3" s="1"/>
  <c r="O434" i="3"/>
  <c r="P434" i="3"/>
  <c r="O435" i="3"/>
  <c r="P435" i="3"/>
  <c r="K436" i="3"/>
  <c r="L436" i="3" s="1"/>
  <c r="O436" i="3"/>
  <c r="P436" i="3"/>
  <c r="O437" i="3"/>
  <c r="P437" i="3"/>
  <c r="O438" i="3"/>
  <c r="P438" i="3"/>
  <c r="O439" i="3"/>
  <c r="P439" i="3"/>
  <c r="O440" i="3"/>
  <c r="P440" i="3"/>
  <c r="K441" i="3"/>
  <c r="L441" i="3" s="1"/>
  <c r="O441" i="3"/>
  <c r="P441" i="3"/>
  <c r="K442" i="3"/>
  <c r="L442" i="3" s="1"/>
  <c r="O442" i="3"/>
  <c r="P442" i="3"/>
  <c r="O443" i="3"/>
  <c r="P443" i="3"/>
  <c r="K444" i="3"/>
  <c r="L444" i="3" s="1"/>
  <c r="O444" i="3"/>
  <c r="P444" i="3"/>
  <c r="O445" i="3"/>
  <c r="P445" i="3"/>
  <c r="O446" i="3"/>
  <c r="P446" i="3"/>
  <c r="K447" i="3"/>
  <c r="L447" i="3" s="1"/>
  <c r="O447" i="3"/>
  <c r="P447" i="3"/>
  <c r="K448" i="3"/>
  <c r="L448" i="3" s="1"/>
  <c r="O448" i="3"/>
  <c r="P448" i="3"/>
  <c r="O449" i="3"/>
  <c r="P449" i="3"/>
  <c r="O450" i="3"/>
  <c r="P450" i="3"/>
  <c r="O451" i="3"/>
  <c r="P451" i="3"/>
  <c r="K452" i="3"/>
  <c r="L452" i="3" s="1"/>
  <c r="O452" i="3"/>
  <c r="P452" i="3"/>
  <c r="O453" i="3"/>
  <c r="P453" i="3"/>
  <c r="O454" i="3"/>
  <c r="P454" i="3"/>
  <c r="O455" i="3"/>
  <c r="P455" i="3"/>
  <c r="O456" i="3"/>
  <c r="P456" i="3"/>
  <c r="K457" i="3"/>
  <c r="L457" i="3" s="1"/>
  <c r="O457" i="3"/>
  <c r="P457" i="3"/>
  <c r="O458" i="3"/>
  <c r="P458" i="3"/>
  <c r="K459" i="3"/>
  <c r="L459" i="3" s="1"/>
  <c r="O459" i="3"/>
  <c r="P459" i="3"/>
  <c r="O460" i="3"/>
  <c r="P460" i="3"/>
  <c r="O461" i="3"/>
  <c r="P461" i="3"/>
  <c r="O462" i="3"/>
  <c r="P462" i="3"/>
  <c r="K463" i="3"/>
  <c r="L463" i="3" s="1"/>
  <c r="O463" i="3"/>
  <c r="P463" i="3"/>
  <c r="K464" i="3"/>
  <c r="L464" i="3" s="1"/>
  <c r="O464" i="3"/>
  <c r="P464" i="3"/>
  <c r="K465" i="3"/>
  <c r="L465" i="3" s="1"/>
  <c r="O465" i="3"/>
  <c r="P465" i="3"/>
  <c r="K466" i="3"/>
  <c r="L466" i="3" s="1"/>
  <c r="O466" i="3"/>
  <c r="P466" i="3"/>
  <c r="K467" i="3"/>
  <c r="L467" i="3" s="1"/>
  <c r="O467" i="3"/>
  <c r="P467" i="3"/>
  <c r="K468" i="3"/>
  <c r="L468" i="3" s="1"/>
  <c r="O468" i="3"/>
  <c r="P468" i="3"/>
  <c r="O469" i="3"/>
  <c r="P469" i="3"/>
  <c r="K470" i="3"/>
  <c r="L470" i="3" s="1"/>
  <c r="O470" i="3"/>
  <c r="P470" i="3"/>
  <c r="K471" i="3"/>
  <c r="L471" i="3" s="1"/>
  <c r="O471" i="3"/>
  <c r="P471" i="3"/>
  <c r="O472" i="3"/>
  <c r="P472" i="3"/>
  <c r="K473" i="3"/>
  <c r="L473" i="3" s="1"/>
  <c r="O473" i="3"/>
  <c r="P473" i="3"/>
  <c r="K474" i="3"/>
  <c r="L474" i="3" s="1"/>
  <c r="O474" i="3"/>
  <c r="P474" i="3"/>
  <c r="O475" i="3"/>
  <c r="P475" i="3"/>
  <c r="K476" i="3"/>
  <c r="L476" i="3" s="1"/>
  <c r="O476" i="3"/>
  <c r="P476" i="3"/>
  <c r="O477" i="3"/>
  <c r="P477" i="3"/>
  <c r="O478" i="3"/>
  <c r="P478" i="3"/>
  <c r="O479" i="3"/>
  <c r="P479" i="3"/>
  <c r="K480" i="3"/>
  <c r="L480" i="3" s="1"/>
  <c r="O480" i="3"/>
  <c r="P480" i="3"/>
  <c r="O481" i="3"/>
  <c r="P481" i="3"/>
  <c r="K482" i="3"/>
  <c r="L482" i="3" s="1"/>
  <c r="O482" i="3"/>
  <c r="P482" i="3"/>
  <c r="O483" i="3"/>
  <c r="P483" i="3"/>
  <c r="K484" i="3"/>
  <c r="L484" i="3" s="1"/>
  <c r="O484" i="3"/>
  <c r="P484" i="3"/>
  <c r="O485" i="3"/>
  <c r="P485" i="3"/>
  <c r="K486" i="3"/>
  <c r="L486" i="3" s="1"/>
  <c r="O486" i="3"/>
  <c r="P486" i="3"/>
  <c r="O487" i="3"/>
  <c r="P487" i="3"/>
  <c r="O488" i="3"/>
  <c r="P488" i="3"/>
  <c r="O489" i="3"/>
  <c r="P489" i="3"/>
  <c r="O490" i="3"/>
  <c r="P490" i="3"/>
  <c r="O491" i="3"/>
  <c r="P491" i="3"/>
  <c r="O492" i="3"/>
  <c r="P492" i="3"/>
  <c r="K493" i="3"/>
  <c r="L493" i="3" s="1"/>
  <c r="O493" i="3"/>
  <c r="P493" i="3"/>
  <c r="O494" i="3"/>
  <c r="P494" i="3"/>
  <c r="O495" i="3"/>
  <c r="P495" i="3"/>
  <c r="O496" i="3"/>
  <c r="P496" i="3"/>
  <c r="K497" i="3"/>
  <c r="L497" i="3" s="1"/>
  <c r="O497" i="3"/>
  <c r="P497" i="3"/>
  <c r="O498" i="3"/>
  <c r="P498" i="3"/>
  <c r="O499" i="3"/>
  <c r="P499" i="3"/>
  <c r="K500" i="3"/>
  <c r="L500" i="3" s="1"/>
  <c r="O500" i="3"/>
  <c r="P500" i="3"/>
  <c r="K501" i="3"/>
  <c r="L501" i="3" s="1"/>
  <c r="O501" i="3"/>
  <c r="P501" i="3"/>
  <c r="O502" i="3"/>
  <c r="P502" i="3"/>
  <c r="K503" i="3"/>
  <c r="L503" i="3" s="1"/>
  <c r="O503" i="3"/>
  <c r="P503" i="3"/>
  <c r="O504" i="3"/>
  <c r="P504" i="3"/>
  <c r="O505" i="3"/>
  <c r="P505" i="3"/>
  <c r="O506" i="3"/>
  <c r="P506" i="3"/>
  <c r="O507" i="3"/>
  <c r="P507" i="3"/>
  <c r="O508" i="3"/>
  <c r="P508" i="3"/>
  <c r="O509" i="3"/>
  <c r="P509" i="3"/>
  <c r="K510" i="3"/>
  <c r="L510" i="3" s="1"/>
  <c r="O510" i="3"/>
  <c r="P510" i="3"/>
  <c r="O511" i="3"/>
  <c r="P511" i="3"/>
  <c r="O512" i="3"/>
  <c r="P512" i="3"/>
  <c r="K513" i="3"/>
  <c r="L513" i="3" s="1"/>
  <c r="O513" i="3"/>
  <c r="P513" i="3"/>
  <c r="O514" i="3"/>
  <c r="P514" i="3"/>
  <c r="O515" i="3"/>
  <c r="P515" i="3"/>
  <c r="O516" i="3"/>
  <c r="P516" i="3"/>
  <c r="K517" i="3"/>
  <c r="L517" i="3" s="1"/>
  <c r="O517" i="3"/>
  <c r="P517" i="3"/>
  <c r="O518" i="3"/>
  <c r="P518" i="3"/>
  <c r="O519" i="3"/>
  <c r="P519" i="3"/>
  <c r="O520" i="3"/>
  <c r="P520" i="3"/>
  <c r="O521" i="3"/>
  <c r="P521" i="3"/>
  <c r="K522" i="3"/>
  <c r="L522" i="3" s="1"/>
  <c r="O522" i="3"/>
  <c r="P522" i="3"/>
  <c r="K523" i="3"/>
  <c r="L523" i="3" s="1"/>
  <c r="O523" i="3"/>
  <c r="P523" i="3"/>
  <c r="O524" i="3"/>
  <c r="P524" i="3"/>
  <c r="O525" i="3"/>
  <c r="P525" i="3"/>
  <c r="O526" i="3"/>
  <c r="P526" i="3"/>
  <c r="O527" i="3"/>
  <c r="P527" i="3"/>
  <c r="O528" i="3"/>
  <c r="P528" i="3"/>
  <c r="K529" i="3"/>
  <c r="L529" i="3" s="1"/>
  <c r="O529" i="3"/>
  <c r="P529" i="3"/>
  <c r="K530" i="3"/>
  <c r="L530" i="3" s="1"/>
  <c r="O530" i="3"/>
  <c r="P530" i="3"/>
  <c r="O531" i="3"/>
  <c r="P531" i="3"/>
  <c r="K532" i="3"/>
  <c r="L532" i="3" s="1"/>
  <c r="O532" i="3"/>
  <c r="P532" i="3"/>
  <c r="K533" i="3"/>
  <c r="L533" i="3" s="1"/>
  <c r="O533" i="3"/>
  <c r="P533" i="3"/>
  <c r="O534" i="3"/>
  <c r="P534" i="3"/>
  <c r="K535" i="3"/>
  <c r="L535" i="3" s="1"/>
  <c r="O535" i="3"/>
  <c r="P535" i="3"/>
  <c r="O536" i="3"/>
  <c r="P536" i="3"/>
  <c r="K537" i="3"/>
  <c r="L537" i="3" s="1"/>
  <c r="O537" i="3"/>
  <c r="P537" i="3"/>
  <c r="K538" i="3"/>
  <c r="L538" i="3" s="1"/>
  <c r="O538" i="3"/>
  <c r="P538" i="3"/>
  <c r="O539" i="3"/>
  <c r="P539" i="3"/>
  <c r="K540" i="3"/>
  <c r="L540" i="3" s="1"/>
  <c r="O540" i="3"/>
  <c r="P540" i="3"/>
  <c r="K541" i="3"/>
  <c r="L541" i="3" s="1"/>
  <c r="O541" i="3"/>
  <c r="P541" i="3"/>
  <c r="O542" i="3"/>
  <c r="P542" i="3"/>
  <c r="K543" i="3"/>
  <c r="L543" i="3" s="1"/>
  <c r="O543" i="3"/>
  <c r="P543" i="3"/>
  <c r="K544" i="3"/>
  <c r="L544" i="3" s="1"/>
  <c r="O544" i="3"/>
  <c r="P544" i="3"/>
  <c r="K545" i="3"/>
  <c r="L545" i="3" s="1"/>
  <c r="O545" i="3"/>
  <c r="P545" i="3"/>
  <c r="K546" i="3"/>
  <c r="L546" i="3" s="1"/>
  <c r="O546" i="3"/>
  <c r="P546" i="3"/>
  <c r="K547" i="3"/>
  <c r="L547" i="3" s="1"/>
  <c r="O547" i="3"/>
  <c r="P547" i="3"/>
  <c r="K548" i="3"/>
  <c r="L548" i="3" s="1"/>
  <c r="O548" i="3"/>
  <c r="P548" i="3"/>
  <c r="O549" i="3"/>
  <c r="P549" i="3"/>
  <c r="O550" i="3"/>
  <c r="P550" i="3"/>
  <c r="K551" i="3"/>
  <c r="L551" i="3" s="1"/>
  <c r="O551" i="3"/>
  <c r="P551" i="3"/>
  <c r="O552" i="3"/>
  <c r="P552" i="3"/>
  <c r="K553" i="3"/>
  <c r="L553" i="3" s="1"/>
  <c r="O553" i="3"/>
  <c r="P553" i="3"/>
  <c r="O554" i="3"/>
  <c r="P554" i="3"/>
  <c r="O555" i="3"/>
  <c r="P555" i="3"/>
  <c r="K556" i="3"/>
  <c r="L556" i="3" s="1"/>
  <c r="O556" i="3"/>
  <c r="P556" i="3"/>
  <c r="K557" i="3"/>
  <c r="L557" i="3" s="1"/>
  <c r="O557" i="3"/>
  <c r="P557" i="3"/>
  <c r="O558" i="3"/>
  <c r="P558" i="3"/>
  <c r="O559" i="3"/>
  <c r="P559" i="3"/>
  <c r="K560" i="3"/>
  <c r="L560" i="3" s="1"/>
  <c r="O560" i="3"/>
  <c r="P560" i="3"/>
  <c r="K561" i="3"/>
  <c r="L561" i="3" s="1"/>
  <c r="O561" i="3"/>
  <c r="P561" i="3"/>
  <c r="O562" i="3"/>
  <c r="P562" i="3"/>
  <c r="O563" i="3"/>
  <c r="P563" i="3"/>
  <c r="K564" i="3"/>
  <c r="L564" i="3" s="1"/>
  <c r="O564" i="3"/>
  <c r="P564" i="3"/>
  <c r="K565" i="3"/>
  <c r="L565" i="3" s="1"/>
  <c r="O565" i="3"/>
  <c r="P565" i="3"/>
  <c r="O566" i="3"/>
  <c r="P566" i="3"/>
  <c r="O567" i="3"/>
  <c r="P567" i="3"/>
  <c r="O568" i="3"/>
  <c r="P568" i="3"/>
  <c r="O569" i="3"/>
  <c r="P569" i="3"/>
  <c r="O570" i="3"/>
  <c r="P570" i="3"/>
  <c r="O571" i="3"/>
  <c r="P571" i="3"/>
  <c r="K572" i="3"/>
  <c r="L572" i="3" s="1"/>
  <c r="O572" i="3"/>
  <c r="P572" i="3"/>
  <c r="O573" i="3"/>
  <c r="P573" i="3"/>
  <c r="O574" i="3"/>
  <c r="P574" i="3"/>
  <c r="O575" i="3"/>
  <c r="P575" i="3"/>
  <c r="O576" i="3"/>
  <c r="P576" i="3"/>
  <c r="K577" i="3"/>
  <c r="L577" i="3" s="1"/>
  <c r="O577" i="3"/>
  <c r="P577" i="3"/>
  <c r="O578" i="3"/>
  <c r="P578" i="3"/>
  <c r="O579" i="3"/>
  <c r="P579" i="3"/>
  <c r="O580" i="3"/>
  <c r="P580" i="3"/>
  <c r="O581" i="3"/>
  <c r="P581" i="3"/>
  <c r="O582" i="3"/>
  <c r="P582" i="3"/>
  <c r="O583" i="3"/>
  <c r="P583" i="3"/>
  <c r="O584" i="3"/>
  <c r="P584" i="3"/>
  <c r="K585" i="3"/>
  <c r="L585" i="3" s="1"/>
  <c r="O585" i="3"/>
  <c r="P585" i="3"/>
  <c r="O586" i="3"/>
  <c r="P586" i="3"/>
  <c r="O587" i="3"/>
  <c r="P587" i="3"/>
  <c r="O588" i="3"/>
  <c r="P588" i="3"/>
  <c r="O589" i="3"/>
  <c r="P589" i="3"/>
  <c r="K590" i="3"/>
  <c r="L590" i="3" s="1"/>
  <c r="O590" i="3"/>
  <c r="P590" i="3"/>
  <c r="K591" i="3"/>
  <c r="L591" i="3" s="1"/>
  <c r="O591" i="3"/>
  <c r="P591" i="3"/>
  <c r="O592" i="3"/>
  <c r="P592" i="3"/>
  <c r="O593" i="3"/>
  <c r="P593" i="3"/>
  <c r="K594" i="3"/>
  <c r="L594" i="3" s="1"/>
  <c r="O594" i="3"/>
  <c r="P594" i="3"/>
  <c r="K595" i="3"/>
  <c r="L595" i="3" s="1"/>
  <c r="O595" i="3"/>
  <c r="P595" i="3"/>
  <c r="K596" i="3"/>
  <c r="L596" i="3" s="1"/>
  <c r="O596" i="3"/>
  <c r="P596" i="3"/>
  <c r="O597" i="3"/>
  <c r="P597" i="3"/>
  <c r="K598" i="3"/>
  <c r="L598" i="3" s="1"/>
  <c r="O598" i="3"/>
  <c r="P598" i="3"/>
  <c r="O599" i="3"/>
  <c r="P599" i="3"/>
  <c r="O600" i="3"/>
  <c r="P600" i="3"/>
  <c r="K601" i="3"/>
  <c r="L601" i="3" s="1"/>
  <c r="O601" i="3"/>
  <c r="P601" i="3"/>
  <c r="O602" i="3"/>
  <c r="P602" i="3"/>
  <c r="O603" i="3"/>
  <c r="P603" i="3"/>
  <c r="K604" i="3"/>
  <c r="L604" i="3" s="1"/>
  <c r="O604" i="3"/>
  <c r="P604" i="3"/>
  <c r="K605" i="3"/>
  <c r="L605" i="3" s="1"/>
  <c r="O605" i="3"/>
  <c r="P605" i="3"/>
  <c r="K606" i="3"/>
  <c r="L606" i="3" s="1"/>
  <c r="O606" i="3"/>
  <c r="P606" i="3"/>
  <c r="O607" i="3"/>
  <c r="P607" i="3"/>
  <c r="O608" i="3"/>
  <c r="P608" i="3"/>
  <c r="O609" i="3"/>
  <c r="P609" i="3"/>
  <c r="O610" i="3"/>
  <c r="P610" i="3"/>
  <c r="O611" i="3"/>
  <c r="P611" i="3"/>
  <c r="K612" i="3"/>
  <c r="L612" i="3" s="1"/>
  <c r="O612" i="3"/>
  <c r="P612" i="3"/>
  <c r="K613" i="3"/>
  <c r="L613" i="3" s="1"/>
  <c r="O613" i="3"/>
  <c r="P613" i="3"/>
  <c r="O614" i="3"/>
  <c r="P614" i="3"/>
  <c r="O615" i="3"/>
  <c r="P615" i="3"/>
  <c r="O616" i="3"/>
  <c r="P616" i="3"/>
  <c r="O617" i="3"/>
  <c r="P617" i="3"/>
  <c r="O618" i="3"/>
  <c r="P618" i="3"/>
  <c r="O619" i="3"/>
  <c r="P619" i="3"/>
  <c r="O620" i="3"/>
  <c r="P620" i="3"/>
  <c r="K621" i="3"/>
  <c r="L621" i="3" s="1"/>
  <c r="O621" i="3"/>
  <c r="P621" i="3"/>
  <c r="K622" i="3"/>
  <c r="L622" i="3" s="1"/>
  <c r="O622" i="3"/>
  <c r="P622" i="3"/>
  <c r="O623" i="3"/>
  <c r="P623" i="3"/>
  <c r="O624" i="3"/>
  <c r="P624" i="3"/>
  <c r="O625" i="3"/>
  <c r="P625" i="3"/>
  <c r="O626" i="3"/>
  <c r="P626" i="3"/>
  <c r="O627" i="3"/>
  <c r="P627" i="3"/>
  <c r="K628" i="3"/>
  <c r="L628" i="3" s="1"/>
  <c r="O628" i="3"/>
  <c r="P628" i="3"/>
  <c r="O629" i="3"/>
  <c r="P629" i="3"/>
  <c r="O630" i="3"/>
  <c r="P630" i="3"/>
  <c r="O631" i="3"/>
  <c r="P631" i="3"/>
  <c r="O632" i="3"/>
  <c r="P632" i="3"/>
  <c r="K633" i="3"/>
  <c r="L633" i="3" s="1"/>
  <c r="O633" i="3"/>
  <c r="P633" i="3"/>
  <c r="O634" i="3"/>
  <c r="P634" i="3"/>
  <c r="K635" i="3"/>
  <c r="L635" i="3" s="1"/>
  <c r="O635" i="3"/>
  <c r="P635" i="3"/>
  <c r="O636" i="3"/>
  <c r="P636" i="3"/>
  <c r="O637" i="3"/>
  <c r="P637" i="3"/>
  <c r="K638" i="3"/>
  <c r="L638" i="3" s="1"/>
  <c r="O638" i="3"/>
  <c r="P638" i="3"/>
  <c r="O639" i="3"/>
  <c r="P639" i="3"/>
  <c r="O640" i="3"/>
  <c r="P640" i="3"/>
  <c r="O641" i="3"/>
  <c r="P641" i="3"/>
  <c r="O642" i="3"/>
  <c r="P642" i="3"/>
  <c r="O643" i="3"/>
  <c r="P643" i="3"/>
  <c r="O644" i="3"/>
  <c r="P644" i="3"/>
  <c r="O645" i="3"/>
  <c r="P645" i="3"/>
  <c r="K646" i="3"/>
  <c r="L646" i="3" s="1"/>
  <c r="O646" i="3"/>
  <c r="P646" i="3"/>
  <c r="O647" i="3"/>
  <c r="P647" i="3"/>
  <c r="O648" i="3"/>
  <c r="P648" i="3"/>
  <c r="O649" i="3"/>
  <c r="P649" i="3"/>
  <c r="O650" i="3"/>
  <c r="P650" i="3"/>
  <c r="K651" i="3"/>
  <c r="L651" i="3" s="1"/>
  <c r="O651" i="3"/>
  <c r="P651" i="3"/>
  <c r="O652" i="3"/>
  <c r="P652" i="3"/>
  <c r="O653" i="3"/>
  <c r="P653" i="3"/>
  <c r="O654" i="3"/>
  <c r="P654" i="3"/>
  <c r="O655" i="3"/>
  <c r="P655" i="3"/>
  <c r="K656" i="3"/>
  <c r="L656" i="3" s="1"/>
  <c r="O656" i="3"/>
  <c r="P656" i="3"/>
  <c r="O657" i="3"/>
  <c r="P657" i="3"/>
  <c r="K658" i="3"/>
  <c r="L658" i="3" s="1"/>
  <c r="O658" i="3"/>
  <c r="P658" i="3"/>
  <c r="O659" i="3"/>
  <c r="P659" i="3"/>
  <c r="O660" i="3"/>
  <c r="P660" i="3"/>
  <c r="O661" i="3"/>
  <c r="P661" i="3"/>
  <c r="O662" i="3"/>
  <c r="P662" i="3"/>
  <c r="O663" i="3"/>
  <c r="P663" i="3"/>
  <c r="K664" i="3"/>
  <c r="L664" i="3" s="1"/>
  <c r="O664" i="3"/>
  <c r="P664" i="3"/>
  <c r="O665" i="3"/>
  <c r="P665" i="3"/>
  <c r="O666" i="3"/>
  <c r="P666" i="3"/>
  <c r="O667" i="3"/>
  <c r="P667" i="3"/>
  <c r="K668" i="3"/>
  <c r="L668" i="3" s="1"/>
  <c r="O668" i="3"/>
  <c r="P668" i="3"/>
  <c r="O669" i="3"/>
  <c r="P669" i="3"/>
  <c r="O670" i="3"/>
  <c r="P670" i="3"/>
  <c r="K671" i="3"/>
  <c r="L671" i="3" s="1"/>
  <c r="O671" i="3"/>
  <c r="P671" i="3"/>
  <c r="O672" i="3"/>
  <c r="P672" i="3"/>
  <c r="O673" i="3"/>
  <c r="P673" i="3"/>
  <c r="O674" i="3"/>
  <c r="P674" i="3"/>
  <c r="O675" i="3"/>
  <c r="P675" i="3"/>
  <c r="O676" i="3"/>
  <c r="P676" i="3"/>
  <c r="K677" i="3"/>
  <c r="L677" i="3" s="1"/>
  <c r="O677" i="3"/>
  <c r="P677" i="3"/>
  <c r="O678" i="3"/>
  <c r="P678" i="3"/>
  <c r="K679" i="3"/>
  <c r="L679" i="3" s="1"/>
  <c r="O679" i="3"/>
  <c r="P679" i="3"/>
  <c r="K680" i="3"/>
  <c r="L680" i="3" s="1"/>
  <c r="O680" i="3"/>
  <c r="P680" i="3"/>
  <c r="O681" i="3"/>
  <c r="P681" i="3"/>
  <c r="K682" i="3"/>
  <c r="L682" i="3" s="1"/>
  <c r="O682" i="3"/>
  <c r="P682" i="3"/>
  <c r="O683" i="3"/>
  <c r="P683" i="3"/>
  <c r="O684" i="3"/>
  <c r="P684" i="3"/>
  <c r="O685" i="3"/>
  <c r="P685" i="3"/>
  <c r="O686" i="3"/>
  <c r="P686" i="3"/>
  <c r="K687" i="3"/>
  <c r="L687" i="3" s="1"/>
  <c r="O687" i="3"/>
  <c r="P687" i="3"/>
  <c r="O688" i="3"/>
  <c r="P688" i="3"/>
  <c r="O689" i="3"/>
  <c r="P689" i="3"/>
  <c r="O690" i="3"/>
  <c r="P690" i="3"/>
  <c r="O691" i="3"/>
  <c r="P691" i="3"/>
  <c r="K692" i="3"/>
  <c r="L692" i="3" s="1"/>
  <c r="O692" i="3"/>
  <c r="P692" i="3"/>
  <c r="K693" i="3"/>
  <c r="L693" i="3" s="1"/>
  <c r="O693" i="3"/>
  <c r="P693" i="3"/>
  <c r="O694" i="3"/>
  <c r="P694" i="3"/>
  <c r="O695" i="3"/>
  <c r="P695" i="3"/>
  <c r="O696" i="3"/>
  <c r="P696" i="3"/>
  <c r="O697" i="3"/>
  <c r="P697" i="3"/>
  <c r="O698" i="3"/>
  <c r="P698" i="3"/>
  <c r="O699" i="3"/>
  <c r="P699" i="3"/>
  <c r="O700" i="3"/>
  <c r="P700" i="3"/>
  <c r="K701" i="3"/>
  <c r="L701" i="3" s="1"/>
  <c r="O701" i="3"/>
  <c r="P701" i="3"/>
  <c r="O702" i="3"/>
  <c r="P702" i="3"/>
  <c r="O703" i="3"/>
  <c r="P703" i="3"/>
  <c r="K704" i="3"/>
  <c r="L704" i="3" s="1"/>
  <c r="O704" i="3"/>
  <c r="P704" i="3"/>
  <c r="O705" i="3"/>
  <c r="P705" i="3"/>
  <c r="O706" i="3"/>
  <c r="P706" i="3"/>
  <c r="O707" i="3"/>
  <c r="P707" i="3"/>
  <c r="O708" i="3"/>
  <c r="P708" i="3"/>
  <c r="O709" i="3"/>
  <c r="P709" i="3"/>
  <c r="O710" i="3"/>
  <c r="P710" i="3"/>
  <c r="K711" i="3"/>
  <c r="L711" i="3" s="1"/>
  <c r="O711" i="3"/>
  <c r="P711" i="3"/>
  <c r="O712" i="3"/>
  <c r="P712" i="3"/>
  <c r="O713" i="3"/>
  <c r="P713" i="3"/>
  <c r="O714" i="3"/>
  <c r="P714" i="3"/>
  <c r="O715" i="3"/>
  <c r="P715" i="3"/>
  <c r="O716" i="3"/>
  <c r="P716" i="3"/>
  <c r="K717" i="3"/>
  <c r="L717" i="3" s="1"/>
  <c r="O717" i="3"/>
  <c r="P717" i="3"/>
  <c r="O718" i="3"/>
  <c r="P718" i="3"/>
  <c r="K719" i="3"/>
  <c r="L719" i="3" s="1"/>
  <c r="O719" i="3"/>
  <c r="P719" i="3"/>
  <c r="O720" i="3"/>
  <c r="P720" i="3"/>
  <c r="O721" i="3"/>
  <c r="P721" i="3"/>
  <c r="O722" i="3"/>
  <c r="P722" i="3"/>
  <c r="K723" i="3"/>
  <c r="L723" i="3" s="1"/>
  <c r="O723" i="3"/>
  <c r="P723" i="3"/>
  <c r="O724" i="3"/>
  <c r="P724" i="3"/>
  <c r="O725" i="3"/>
  <c r="P725" i="3"/>
  <c r="K726" i="3"/>
  <c r="L726" i="3" s="1"/>
  <c r="O726" i="3"/>
  <c r="P726" i="3"/>
  <c r="O727" i="3"/>
  <c r="P727" i="3"/>
  <c r="O728" i="3"/>
  <c r="P728" i="3"/>
  <c r="O729" i="3"/>
  <c r="P729" i="3"/>
  <c r="O730" i="3"/>
  <c r="P730" i="3"/>
  <c r="O731" i="3"/>
  <c r="P731" i="3"/>
  <c r="O732" i="3"/>
  <c r="P732" i="3"/>
  <c r="O733" i="3"/>
  <c r="P733" i="3"/>
  <c r="O734" i="3"/>
  <c r="P734" i="3"/>
  <c r="O735" i="3"/>
  <c r="P735" i="3"/>
  <c r="O736" i="3"/>
  <c r="P736" i="3"/>
  <c r="O737" i="3"/>
  <c r="P737" i="3"/>
  <c r="K738" i="3"/>
  <c r="L738" i="3" s="1"/>
  <c r="O738" i="3"/>
  <c r="P738" i="3"/>
  <c r="O739" i="3"/>
  <c r="P739" i="3"/>
  <c r="O740" i="3"/>
  <c r="P740" i="3"/>
  <c r="O741" i="3"/>
  <c r="P741" i="3"/>
  <c r="O742" i="3"/>
  <c r="P742" i="3"/>
  <c r="O743" i="3"/>
  <c r="P743" i="3"/>
  <c r="O744" i="3"/>
  <c r="P744" i="3"/>
  <c r="O745" i="3"/>
  <c r="P745" i="3"/>
  <c r="O746" i="3"/>
  <c r="P746" i="3"/>
  <c r="O747" i="3"/>
  <c r="P747" i="3"/>
  <c r="O748" i="3"/>
  <c r="P748" i="3"/>
  <c r="O749" i="3"/>
  <c r="P749" i="3"/>
  <c r="K750" i="3"/>
  <c r="L750" i="3" s="1"/>
  <c r="O750" i="3"/>
  <c r="P750" i="3"/>
  <c r="O751" i="3"/>
  <c r="P751" i="3"/>
  <c r="O752" i="3"/>
  <c r="P752" i="3"/>
  <c r="O753" i="3"/>
  <c r="P753" i="3"/>
  <c r="O754" i="3"/>
  <c r="P754" i="3"/>
  <c r="O755" i="3"/>
  <c r="P755" i="3"/>
  <c r="O756" i="3"/>
  <c r="P756" i="3"/>
  <c r="O757" i="3"/>
  <c r="P757" i="3"/>
  <c r="O758" i="3"/>
  <c r="P758" i="3"/>
  <c r="O759" i="3"/>
  <c r="P759" i="3"/>
  <c r="K760" i="3"/>
  <c r="L760" i="3" s="1"/>
  <c r="O760" i="3"/>
  <c r="P760" i="3"/>
  <c r="O761" i="3"/>
  <c r="P761" i="3"/>
  <c r="O762" i="3"/>
  <c r="P762" i="3"/>
  <c r="K763" i="3"/>
  <c r="L763" i="3" s="1"/>
  <c r="O763" i="3"/>
  <c r="P763" i="3"/>
  <c r="O764" i="3"/>
  <c r="P764" i="3"/>
  <c r="O765" i="3"/>
  <c r="P765" i="3"/>
  <c r="K766" i="3"/>
  <c r="L766" i="3" s="1"/>
  <c r="O766" i="3"/>
  <c r="P766" i="3"/>
  <c r="O767" i="3"/>
  <c r="P767" i="3"/>
  <c r="O768" i="3"/>
  <c r="P768" i="3"/>
  <c r="O769" i="3"/>
  <c r="P769" i="3"/>
  <c r="K770" i="3"/>
  <c r="L770" i="3" s="1"/>
  <c r="O770" i="3"/>
  <c r="P770" i="3"/>
  <c r="O771" i="3"/>
  <c r="P771" i="3"/>
  <c r="O772" i="3"/>
  <c r="P772" i="3"/>
  <c r="O773" i="3"/>
  <c r="P773" i="3"/>
  <c r="O774" i="3"/>
  <c r="P774" i="3"/>
  <c r="O775" i="3"/>
  <c r="P775" i="3"/>
  <c r="O776" i="3"/>
  <c r="P776" i="3"/>
  <c r="O777" i="3"/>
  <c r="P777" i="3"/>
  <c r="O778" i="3"/>
  <c r="P778" i="3"/>
  <c r="O779" i="3"/>
  <c r="P779" i="3"/>
  <c r="O780" i="3"/>
  <c r="P780" i="3"/>
  <c r="O781" i="3"/>
  <c r="P781" i="3"/>
  <c r="O782" i="3"/>
  <c r="P782" i="3"/>
  <c r="O783" i="3"/>
  <c r="P783" i="3"/>
  <c r="K784" i="3"/>
  <c r="L784" i="3" s="1"/>
  <c r="O784" i="3"/>
  <c r="P784" i="3"/>
  <c r="O785" i="3"/>
  <c r="P785" i="3"/>
  <c r="O786" i="3"/>
  <c r="P786" i="3"/>
  <c r="O787" i="3"/>
  <c r="P787" i="3"/>
  <c r="O788" i="3"/>
  <c r="P788" i="3"/>
  <c r="O789" i="3"/>
  <c r="P789" i="3"/>
  <c r="O790" i="3"/>
  <c r="P790" i="3"/>
  <c r="O791" i="3"/>
  <c r="P791" i="3"/>
  <c r="O792" i="3"/>
  <c r="P792" i="3"/>
  <c r="O793" i="3"/>
  <c r="P793" i="3"/>
  <c r="O794" i="3"/>
  <c r="P794" i="3"/>
  <c r="O795" i="3"/>
  <c r="P795" i="3"/>
  <c r="O796" i="3"/>
  <c r="P796" i="3"/>
  <c r="O797" i="3"/>
  <c r="P797" i="3"/>
  <c r="O798" i="3"/>
  <c r="P798" i="3"/>
  <c r="O799" i="3"/>
  <c r="P799" i="3"/>
  <c r="K800" i="3"/>
  <c r="L800" i="3" s="1"/>
  <c r="O800" i="3"/>
  <c r="P800" i="3"/>
  <c r="O801" i="3"/>
  <c r="P801" i="3"/>
  <c r="O802" i="3"/>
  <c r="P802" i="3"/>
  <c r="O803" i="3"/>
  <c r="P803" i="3"/>
  <c r="O804" i="3"/>
  <c r="P804" i="3"/>
  <c r="K805" i="3"/>
  <c r="L805" i="3" s="1"/>
  <c r="O805" i="3"/>
  <c r="P805" i="3"/>
  <c r="O806" i="3"/>
  <c r="P806" i="3"/>
  <c r="O807" i="3"/>
  <c r="P807" i="3"/>
  <c r="O808" i="3"/>
  <c r="P808" i="3"/>
  <c r="O809" i="3"/>
  <c r="P809" i="3"/>
  <c r="O810" i="3"/>
  <c r="P810" i="3"/>
  <c r="O811" i="3"/>
  <c r="P811" i="3"/>
  <c r="K812" i="3"/>
  <c r="L812" i="3" s="1"/>
  <c r="O812" i="3"/>
  <c r="P812" i="3"/>
  <c r="O813" i="3"/>
  <c r="P813" i="3"/>
  <c r="O814" i="3"/>
  <c r="P814" i="3"/>
  <c r="O815" i="3"/>
  <c r="P815" i="3"/>
  <c r="O816" i="3"/>
  <c r="P816" i="3"/>
  <c r="O817" i="3"/>
  <c r="P817" i="3"/>
  <c r="K818" i="3"/>
  <c r="L818" i="3" s="1"/>
  <c r="O818" i="3"/>
  <c r="P818" i="3"/>
  <c r="O819" i="3"/>
  <c r="P819" i="3"/>
  <c r="O820" i="3"/>
  <c r="P820" i="3"/>
  <c r="O821" i="3"/>
  <c r="P821" i="3"/>
  <c r="O822" i="3"/>
  <c r="P822" i="3"/>
  <c r="O823" i="3"/>
  <c r="P823" i="3"/>
  <c r="O824" i="3"/>
  <c r="P824" i="3"/>
  <c r="O825" i="3"/>
  <c r="P825" i="3"/>
  <c r="O826" i="3"/>
  <c r="P826" i="3"/>
  <c r="O827" i="3"/>
  <c r="P827" i="3"/>
  <c r="O828" i="3"/>
  <c r="P828" i="3"/>
  <c r="O829" i="3"/>
  <c r="P829" i="3"/>
  <c r="O830" i="3"/>
  <c r="P830" i="3"/>
  <c r="O831" i="3"/>
  <c r="P831" i="3"/>
  <c r="O832" i="3"/>
  <c r="P832" i="3"/>
  <c r="O833" i="3"/>
  <c r="P833" i="3"/>
  <c r="O834" i="3"/>
  <c r="P834" i="3"/>
  <c r="O835" i="3"/>
  <c r="P835" i="3"/>
  <c r="O836" i="3"/>
  <c r="P836" i="3"/>
  <c r="O837" i="3"/>
  <c r="P837" i="3"/>
  <c r="O838" i="3"/>
  <c r="P838" i="3"/>
  <c r="O839" i="3"/>
  <c r="P839" i="3"/>
  <c r="O840" i="3"/>
  <c r="P840" i="3"/>
  <c r="O841" i="3"/>
  <c r="P841" i="3"/>
  <c r="K842" i="3"/>
  <c r="L842" i="3" s="1"/>
  <c r="O842" i="3"/>
  <c r="P842" i="3"/>
  <c r="O843" i="3"/>
  <c r="P843" i="3"/>
  <c r="O844" i="3"/>
  <c r="P844" i="3"/>
  <c r="O845" i="3"/>
  <c r="P845" i="3"/>
  <c r="O846" i="3"/>
  <c r="P846" i="3"/>
  <c r="O847" i="3"/>
  <c r="P847" i="3"/>
  <c r="O848" i="3"/>
  <c r="P848" i="3"/>
  <c r="K849" i="3"/>
  <c r="L849" i="3" s="1"/>
  <c r="O849" i="3"/>
  <c r="P849" i="3"/>
  <c r="K850" i="3"/>
  <c r="L850" i="3" s="1"/>
  <c r="O850" i="3"/>
  <c r="P850" i="3"/>
  <c r="O851" i="3"/>
  <c r="P851" i="3"/>
  <c r="O852" i="3"/>
  <c r="P852" i="3"/>
  <c r="O853" i="3"/>
  <c r="P853" i="3"/>
  <c r="O854" i="3"/>
  <c r="P854" i="3"/>
  <c r="O855" i="3"/>
  <c r="P855" i="3"/>
  <c r="O856" i="3"/>
  <c r="P856" i="3"/>
  <c r="K857" i="3"/>
  <c r="L857" i="3" s="1"/>
  <c r="O857" i="3"/>
  <c r="P857" i="3"/>
  <c r="O858" i="3"/>
  <c r="P858" i="3"/>
  <c r="K859" i="3"/>
  <c r="L859" i="3" s="1"/>
  <c r="O859" i="3"/>
  <c r="P859" i="3"/>
  <c r="O860" i="3"/>
  <c r="P860" i="3"/>
  <c r="O861" i="3"/>
  <c r="P861" i="3"/>
  <c r="O862" i="3"/>
  <c r="P862" i="3"/>
  <c r="O863" i="3"/>
  <c r="P863" i="3"/>
  <c r="O864" i="3"/>
  <c r="P864" i="3"/>
  <c r="O865" i="3"/>
  <c r="P865" i="3"/>
  <c r="O866" i="3"/>
  <c r="P866" i="3"/>
  <c r="O867" i="3"/>
  <c r="P867" i="3"/>
  <c r="O868" i="3"/>
  <c r="P868" i="3"/>
  <c r="O869" i="3"/>
  <c r="P869" i="3"/>
  <c r="K870" i="3"/>
  <c r="L870" i="3" s="1"/>
  <c r="O870" i="3"/>
  <c r="P870" i="3"/>
  <c r="O871" i="3"/>
  <c r="P871" i="3"/>
  <c r="O872" i="3"/>
  <c r="P872" i="3"/>
  <c r="O873" i="3"/>
  <c r="P873" i="3"/>
  <c r="O874" i="3"/>
  <c r="P874" i="3"/>
  <c r="O875" i="3"/>
  <c r="P875" i="3"/>
  <c r="O876" i="3"/>
  <c r="P876" i="3"/>
  <c r="O877" i="3"/>
  <c r="P877" i="3"/>
  <c r="O878" i="3"/>
  <c r="P878" i="3"/>
  <c r="O879" i="3"/>
  <c r="P879" i="3"/>
  <c r="O880" i="3"/>
  <c r="P880" i="3"/>
  <c r="O881" i="3"/>
  <c r="P881" i="3"/>
  <c r="O882" i="3"/>
  <c r="P882" i="3"/>
  <c r="O883" i="3"/>
  <c r="P883" i="3"/>
  <c r="O884" i="3"/>
  <c r="P884" i="3"/>
  <c r="O885" i="3"/>
  <c r="P885" i="3"/>
  <c r="O886" i="3"/>
  <c r="P886" i="3"/>
  <c r="O887" i="3"/>
  <c r="P887" i="3"/>
  <c r="O888" i="3"/>
  <c r="P888" i="3"/>
  <c r="O889" i="3"/>
  <c r="P889" i="3"/>
  <c r="O890" i="3"/>
  <c r="P890" i="3"/>
  <c r="O891" i="3"/>
  <c r="P891" i="3"/>
  <c r="O892" i="3"/>
  <c r="P892" i="3"/>
  <c r="O893" i="3"/>
  <c r="P893" i="3"/>
  <c r="O894" i="3"/>
  <c r="P894" i="3"/>
  <c r="O895" i="3"/>
  <c r="P895" i="3"/>
  <c r="O896" i="3"/>
  <c r="P896" i="3"/>
  <c r="O897" i="3"/>
  <c r="P897" i="3"/>
  <c r="O898" i="3"/>
  <c r="P898" i="3"/>
  <c r="O899" i="3"/>
  <c r="P899" i="3"/>
  <c r="O900" i="3"/>
  <c r="P900" i="3"/>
  <c r="O901" i="3"/>
  <c r="P901" i="3"/>
  <c r="O902" i="3"/>
  <c r="P902" i="3"/>
  <c r="O903" i="3"/>
  <c r="P903" i="3"/>
  <c r="O904" i="3"/>
  <c r="P904" i="3"/>
  <c r="O905" i="3"/>
  <c r="P905" i="3"/>
  <c r="O906" i="3"/>
  <c r="P906" i="3"/>
  <c r="O907" i="3"/>
  <c r="P907" i="3"/>
  <c r="O908" i="3"/>
  <c r="P908" i="3"/>
  <c r="K909" i="3"/>
  <c r="L909" i="3" s="1"/>
  <c r="O909" i="3"/>
  <c r="P909" i="3"/>
  <c r="O910" i="3"/>
  <c r="P910" i="3"/>
  <c r="O911" i="3"/>
  <c r="P911" i="3"/>
  <c r="O912" i="3"/>
  <c r="P912" i="3"/>
  <c r="O913" i="3"/>
  <c r="P913" i="3"/>
  <c r="O914" i="3"/>
  <c r="P914" i="3"/>
  <c r="O915" i="3"/>
  <c r="P915" i="3"/>
  <c r="O916" i="3"/>
  <c r="P916" i="3"/>
  <c r="O917" i="3"/>
  <c r="P917" i="3"/>
  <c r="O918" i="3"/>
  <c r="P918" i="3"/>
  <c r="O919" i="3"/>
  <c r="P919" i="3"/>
  <c r="O920" i="3"/>
  <c r="P920" i="3"/>
  <c r="O921" i="3"/>
  <c r="P921" i="3"/>
  <c r="O922" i="3"/>
  <c r="P922" i="3"/>
  <c r="O923" i="3"/>
  <c r="P923" i="3"/>
  <c r="O924" i="3"/>
  <c r="P924" i="3"/>
  <c r="O925" i="3"/>
  <c r="P925" i="3"/>
  <c r="O926" i="3"/>
  <c r="P926" i="3"/>
  <c r="O927" i="3"/>
  <c r="P927" i="3"/>
  <c r="O928" i="3"/>
  <c r="P928" i="3"/>
  <c r="O929" i="3"/>
  <c r="P929" i="3"/>
  <c r="O930" i="3"/>
  <c r="P930" i="3"/>
  <c r="O931" i="3"/>
  <c r="P931" i="3"/>
  <c r="O932" i="3"/>
  <c r="P932" i="3"/>
  <c r="O933" i="3"/>
  <c r="P933" i="3"/>
  <c r="O934" i="3"/>
  <c r="P934" i="3"/>
  <c r="K935" i="3"/>
  <c r="L935" i="3" s="1"/>
  <c r="O935" i="3"/>
  <c r="P935" i="3"/>
  <c r="O936" i="3"/>
  <c r="P936" i="3"/>
  <c r="O937" i="3"/>
  <c r="P937" i="3"/>
  <c r="O938" i="3"/>
  <c r="P938" i="3"/>
  <c r="O939" i="3"/>
  <c r="P939" i="3"/>
  <c r="O940" i="3"/>
  <c r="P940" i="3"/>
  <c r="O941" i="3"/>
  <c r="P941" i="3"/>
  <c r="O942" i="3"/>
  <c r="P942" i="3"/>
  <c r="O943" i="3"/>
  <c r="P943" i="3"/>
  <c r="O944" i="3"/>
  <c r="P944" i="3"/>
  <c r="O945" i="3"/>
  <c r="P945" i="3"/>
  <c r="O946" i="3"/>
  <c r="P946" i="3"/>
  <c r="K947" i="3"/>
  <c r="L947" i="3" s="1"/>
  <c r="O947" i="3"/>
  <c r="P947" i="3"/>
  <c r="O948" i="3"/>
  <c r="P948" i="3"/>
  <c r="O949" i="3"/>
  <c r="P949" i="3"/>
  <c r="O950" i="3"/>
  <c r="P950" i="3"/>
  <c r="O951" i="3"/>
  <c r="P951" i="3"/>
  <c r="O952" i="3"/>
  <c r="P952" i="3"/>
  <c r="O953" i="3"/>
  <c r="P953" i="3"/>
  <c r="O954" i="3"/>
  <c r="P954" i="3"/>
  <c r="O955" i="3"/>
  <c r="P955" i="3"/>
  <c r="O956" i="3"/>
  <c r="P956" i="3"/>
  <c r="O957" i="3"/>
  <c r="P957" i="3"/>
  <c r="O958" i="3"/>
  <c r="P958" i="3"/>
  <c r="O959" i="3"/>
  <c r="P959" i="3"/>
  <c r="O960" i="3"/>
  <c r="P960" i="3"/>
  <c r="O961" i="3"/>
  <c r="P961" i="3"/>
  <c r="O962" i="3"/>
  <c r="P962" i="3"/>
  <c r="O963" i="3"/>
  <c r="P963" i="3"/>
  <c r="O964" i="3"/>
  <c r="P964" i="3"/>
  <c r="O965" i="3"/>
  <c r="P965" i="3"/>
  <c r="O966" i="3"/>
  <c r="P966" i="3"/>
  <c r="O967" i="3"/>
  <c r="P967" i="3"/>
  <c r="O968" i="3"/>
  <c r="P968" i="3"/>
  <c r="O969" i="3"/>
  <c r="P969" i="3"/>
  <c r="O970" i="3"/>
  <c r="P970" i="3"/>
  <c r="O971" i="3"/>
  <c r="P971" i="3"/>
  <c r="O972" i="3"/>
  <c r="P972" i="3"/>
  <c r="O973" i="3"/>
  <c r="P973" i="3"/>
  <c r="O974" i="3"/>
  <c r="P974" i="3"/>
  <c r="O975" i="3"/>
  <c r="P975" i="3"/>
  <c r="O976" i="3"/>
  <c r="P976" i="3"/>
  <c r="O977" i="3"/>
  <c r="P977" i="3"/>
  <c r="O978" i="3"/>
  <c r="P978" i="3"/>
  <c r="O979" i="3"/>
  <c r="P979" i="3"/>
  <c r="O980" i="3"/>
  <c r="P980" i="3"/>
  <c r="O981" i="3"/>
  <c r="P981" i="3"/>
  <c r="O982" i="3"/>
  <c r="P982" i="3"/>
  <c r="O983" i="3"/>
  <c r="P983" i="3"/>
  <c r="O984" i="3"/>
  <c r="P984" i="3"/>
  <c r="O985" i="3"/>
  <c r="P985" i="3"/>
  <c r="O986" i="3"/>
  <c r="P986" i="3"/>
  <c r="O987" i="3"/>
  <c r="P987" i="3"/>
  <c r="O988" i="3"/>
  <c r="P988" i="3"/>
  <c r="O989" i="3"/>
  <c r="P989" i="3"/>
  <c r="O990" i="3"/>
  <c r="P990" i="3"/>
  <c r="O991" i="3"/>
  <c r="P991" i="3"/>
  <c r="O992" i="3"/>
  <c r="P992" i="3"/>
  <c r="K993" i="3"/>
  <c r="L993" i="3" s="1"/>
  <c r="O993" i="3"/>
  <c r="P993" i="3"/>
  <c r="O994" i="3"/>
  <c r="P994" i="3"/>
  <c r="O995" i="3"/>
  <c r="P995" i="3"/>
  <c r="O996" i="3"/>
  <c r="P996" i="3"/>
  <c r="O997" i="3"/>
  <c r="P997" i="3"/>
  <c r="O998" i="3"/>
  <c r="P998" i="3"/>
  <c r="O999" i="3"/>
  <c r="P999" i="3"/>
  <c r="K1000" i="3"/>
  <c r="L1000" i="3" s="1"/>
  <c r="O1000" i="3"/>
  <c r="P1000" i="3"/>
  <c r="O1001" i="3"/>
  <c r="P1001" i="3"/>
  <c r="O1002" i="3"/>
  <c r="P1002" i="3"/>
  <c r="O1003" i="3"/>
  <c r="P1003" i="3"/>
  <c r="O1004" i="3"/>
  <c r="P1004" i="3"/>
  <c r="O1005" i="3"/>
  <c r="P1005" i="3"/>
  <c r="O1006" i="3"/>
  <c r="P1006" i="3"/>
  <c r="O1007" i="3"/>
  <c r="P1007" i="3"/>
  <c r="O1008" i="3"/>
  <c r="P1008" i="3"/>
  <c r="O1009" i="3"/>
  <c r="P1009" i="3"/>
  <c r="O1010" i="3"/>
  <c r="P1010" i="3"/>
  <c r="O1011" i="3"/>
  <c r="P1011" i="3"/>
  <c r="O1012" i="3"/>
  <c r="P1012" i="3"/>
  <c r="O1013" i="3"/>
  <c r="P1013" i="3"/>
  <c r="O1014" i="3"/>
  <c r="P1014" i="3"/>
  <c r="O1015" i="3"/>
  <c r="P1015" i="3"/>
  <c r="O1016" i="3"/>
  <c r="P1016" i="3"/>
  <c r="O1017" i="3"/>
  <c r="P1017" i="3"/>
  <c r="O1018" i="3"/>
  <c r="P1018" i="3"/>
  <c r="O1019" i="3"/>
  <c r="P1019" i="3"/>
  <c r="O1020" i="3"/>
  <c r="P1020" i="3"/>
  <c r="O1021" i="3"/>
  <c r="P1021" i="3"/>
  <c r="O1022" i="3"/>
  <c r="P1022" i="3"/>
  <c r="O1023" i="3"/>
  <c r="P1023" i="3"/>
  <c r="O1024" i="3"/>
  <c r="P1024" i="3"/>
  <c r="O1025" i="3"/>
  <c r="P1025" i="3"/>
  <c r="O1026" i="3"/>
  <c r="P1026" i="3"/>
  <c r="O1027" i="3"/>
  <c r="P1027" i="3"/>
  <c r="O1028" i="3"/>
  <c r="P1028" i="3"/>
  <c r="O1029" i="3"/>
  <c r="P1029" i="3"/>
  <c r="O1030" i="3"/>
  <c r="P1030" i="3"/>
  <c r="O1031" i="3"/>
  <c r="P1031" i="3"/>
  <c r="O1032" i="3"/>
  <c r="P1032" i="3"/>
  <c r="O1033" i="3"/>
  <c r="P1033" i="3"/>
  <c r="O1034" i="3"/>
  <c r="P1034" i="3"/>
  <c r="O1035" i="3"/>
  <c r="P1035" i="3"/>
  <c r="O1036" i="3"/>
  <c r="P1036" i="3"/>
  <c r="O1037" i="3"/>
  <c r="P1037" i="3"/>
  <c r="O1038" i="3"/>
  <c r="P1038" i="3"/>
  <c r="O1039" i="3"/>
  <c r="P1039" i="3"/>
  <c r="O1040" i="3"/>
  <c r="P1040" i="3"/>
  <c r="O1041" i="3"/>
  <c r="P1041" i="3"/>
  <c r="O1042" i="3"/>
  <c r="P1042" i="3"/>
  <c r="O1043" i="3"/>
  <c r="P1043" i="3"/>
  <c r="O1044" i="3"/>
  <c r="P1044" i="3"/>
  <c r="O1045" i="3"/>
  <c r="P1045" i="3"/>
  <c r="O1046" i="3"/>
  <c r="P1046" i="3"/>
  <c r="O1047" i="3"/>
  <c r="P1047" i="3"/>
  <c r="O1048" i="3"/>
  <c r="P1048" i="3"/>
  <c r="O1049" i="3"/>
  <c r="P1049" i="3"/>
  <c r="K1050" i="3"/>
  <c r="L1050" i="3" s="1"/>
  <c r="O1050" i="3"/>
  <c r="P1050" i="3"/>
  <c r="O1051" i="3"/>
  <c r="P1051" i="3"/>
  <c r="O1052" i="3"/>
  <c r="P1052" i="3"/>
  <c r="O1053" i="3"/>
  <c r="P1053" i="3"/>
  <c r="O1054" i="3"/>
  <c r="P1054" i="3"/>
  <c r="O1055" i="3"/>
  <c r="P1055" i="3"/>
  <c r="O1056" i="3"/>
  <c r="P1056" i="3"/>
  <c r="O1057" i="3"/>
  <c r="P1057" i="3"/>
  <c r="O1058" i="3"/>
  <c r="P1058" i="3"/>
  <c r="O1059" i="3"/>
  <c r="P1059" i="3"/>
  <c r="O1060" i="3"/>
  <c r="P1060" i="3"/>
  <c r="O1061" i="3"/>
  <c r="P1061" i="3"/>
  <c r="O1062" i="3"/>
  <c r="P1062" i="3"/>
  <c r="O1063" i="3"/>
  <c r="P1063" i="3"/>
  <c r="O1064" i="3"/>
  <c r="P1064" i="3"/>
  <c r="O1065" i="3"/>
  <c r="P1065" i="3"/>
  <c r="O1066" i="3"/>
  <c r="P1066" i="3"/>
  <c r="O1067" i="3"/>
  <c r="P1067" i="3"/>
  <c r="O1068" i="3"/>
  <c r="P1068" i="3"/>
  <c r="K1069" i="3"/>
  <c r="L1069" i="3" s="1"/>
  <c r="O1069" i="3"/>
  <c r="P1069" i="3"/>
  <c r="O1070" i="3"/>
  <c r="P1070" i="3"/>
  <c r="O1071" i="3"/>
  <c r="P1071" i="3"/>
  <c r="O1072" i="3"/>
  <c r="P1072" i="3"/>
  <c r="O1073" i="3"/>
  <c r="P1073" i="3"/>
  <c r="O1074" i="3"/>
  <c r="P1074" i="3"/>
  <c r="K1075" i="3"/>
  <c r="L1075" i="3" s="1"/>
  <c r="O1075" i="3"/>
  <c r="P1075" i="3"/>
  <c r="O1076" i="3"/>
  <c r="P1076" i="3"/>
  <c r="O1077" i="3"/>
  <c r="P1077" i="3"/>
  <c r="O1078" i="3"/>
  <c r="P1078" i="3"/>
  <c r="O1079" i="3"/>
  <c r="P1079" i="3"/>
  <c r="O1080" i="3"/>
  <c r="P1080" i="3"/>
  <c r="O1081" i="3"/>
  <c r="P1081" i="3"/>
  <c r="O1082" i="3"/>
  <c r="P1082" i="3"/>
  <c r="O1083" i="3"/>
  <c r="P1083" i="3"/>
  <c r="O1084" i="3"/>
  <c r="P1084" i="3"/>
  <c r="O1085" i="3"/>
  <c r="P1085" i="3"/>
  <c r="O1086" i="3"/>
  <c r="P1086" i="3"/>
  <c r="O1087" i="3"/>
  <c r="P1087" i="3"/>
  <c r="O1088" i="3"/>
  <c r="P1088" i="3"/>
  <c r="O1089" i="3"/>
  <c r="P1089" i="3"/>
  <c r="O1090" i="3"/>
  <c r="P1090" i="3"/>
  <c r="O1091" i="3"/>
  <c r="P1091" i="3"/>
  <c r="O1092" i="3"/>
  <c r="P1092" i="3"/>
  <c r="O1093" i="3"/>
  <c r="P1093" i="3"/>
  <c r="O1094" i="3"/>
  <c r="P1094" i="3"/>
  <c r="O1095" i="3"/>
  <c r="P1095" i="3"/>
  <c r="O1096" i="3"/>
  <c r="P1096" i="3"/>
  <c r="O1097" i="3"/>
  <c r="P1097" i="3"/>
  <c r="O1098" i="3"/>
  <c r="P1098" i="3"/>
  <c r="O1099" i="3"/>
  <c r="P1099" i="3"/>
  <c r="K1100" i="3"/>
  <c r="L1100" i="3" s="1"/>
  <c r="O1100" i="3"/>
  <c r="P1100" i="3"/>
  <c r="O1101" i="3"/>
  <c r="P1101" i="3"/>
  <c r="O1102" i="3"/>
  <c r="P1102" i="3"/>
  <c r="O1103" i="3"/>
  <c r="P1103" i="3"/>
  <c r="O1104" i="3"/>
  <c r="P1104" i="3"/>
  <c r="O1105" i="3"/>
  <c r="P1105" i="3"/>
  <c r="O1106" i="3"/>
  <c r="P1106" i="3"/>
  <c r="O1107" i="3"/>
  <c r="P1107" i="3"/>
  <c r="O1108" i="3"/>
  <c r="P1108" i="3"/>
  <c r="O1109" i="3"/>
  <c r="P1109" i="3"/>
  <c r="O1110" i="3"/>
  <c r="P1110" i="3"/>
  <c r="O1111" i="3"/>
  <c r="P1111" i="3"/>
  <c r="O1112" i="3"/>
  <c r="P1112" i="3"/>
  <c r="O1113" i="3"/>
  <c r="P1113" i="3"/>
  <c r="O1114" i="3"/>
  <c r="P1114" i="3"/>
  <c r="O1115" i="3"/>
  <c r="P1115" i="3"/>
  <c r="O1116" i="3"/>
  <c r="P1116" i="3"/>
  <c r="O1117" i="3"/>
  <c r="P1117" i="3"/>
  <c r="O1118" i="3"/>
  <c r="P1118" i="3"/>
  <c r="O1119" i="3"/>
  <c r="P1119" i="3"/>
  <c r="O1120" i="3"/>
  <c r="P1120" i="3"/>
  <c r="O1121" i="3"/>
  <c r="P1121" i="3"/>
  <c r="O1122" i="3"/>
  <c r="P1122" i="3"/>
  <c r="O1123" i="3"/>
  <c r="P1123" i="3"/>
  <c r="O1124" i="3"/>
  <c r="P1124" i="3"/>
  <c r="O1125" i="3"/>
  <c r="P1125" i="3"/>
  <c r="O1126" i="3"/>
  <c r="P1126" i="3"/>
  <c r="O1127" i="3"/>
  <c r="P1127" i="3"/>
  <c r="O1128" i="3"/>
  <c r="P1128" i="3"/>
  <c r="O1129" i="3"/>
  <c r="P1129" i="3"/>
  <c r="O1130" i="3"/>
  <c r="P1130" i="3"/>
  <c r="O1131" i="3"/>
  <c r="P1131" i="3"/>
  <c r="O1132" i="3"/>
  <c r="P1132" i="3"/>
  <c r="O1133" i="3"/>
  <c r="P1133" i="3"/>
  <c r="O1134" i="3"/>
  <c r="P1134" i="3"/>
  <c r="O1135" i="3"/>
  <c r="P1135" i="3"/>
  <c r="O1136" i="3"/>
  <c r="P1136" i="3"/>
  <c r="O1137" i="3"/>
  <c r="P1137" i="3"/>
  <c r="K1138" i="3"/>
  <c r="L1138" i="3" s="1"/>
  <c r="O1138" i="3"/>
  <c r="P1138" i="3"/>
  <c r="O1139" i="3"/>
  <c r="P1139" i="3"/>
  <c r="O1140" i="3"/>
  <c r="P1140" i="3"/>
  <c r="O1141" i="3"/>
  <c r="P1141" i="3"/>
  <c r="O1142" i="3"/>
  <c r="P1142" i="3"/>
  <c r="O1143" i="3"/>
  <c r="P1143" i="3"/>
  <c r="O1144" i="3"/>
  <c r="P1144" i="3"/>
  <c r="O1145" i="3"/>
  <c r="P1145" i="3"/>
  <c r="O1146" i="3"/>
  <c r="P1146" i="3"/>
  <c r="O1147" i="3"/>
  <c r="P1147" i="3"/>
  <c r="O1148" i="3"/>
  <c r="P1148" i="3"/>
  <c r="O1149" i="3"/>
  <c r="P1149" i="3"/>
  <c r="O1150" i="3"/>
  <c r="P1150" i="3"/>
  <c r="O1151" i="3"/>
  <c r="P1151" i="3"/>
  <c r="O1152" i="3"/>
  <c r="P1152" i="3"/>
  <c r="O1153" i="3"/>
  <c r="P1153" i="3"/>
  <c r="O1154" i="3"/>
  <c r="P1154" i="3"/>
  <c r="O1155" i="3"/>
  <c r="P1155" i="3"/>
  <c r="O1156" i="3"/>
  <c r="P1156" i="3"/>
  <c r="O1157" i="3"/>
  <c r="P1157" i="3"/>
  <c r="O1158" i="3"/>
  <c r="P1158" i="3"/>
  <c r="O1159" i="3"/>
  <c r="P1159" i="3"/>
  <c r="O1160" i="3"/>
  <c r="P1160" i="3"/>
  <c r="O1161" i="3"/>
  <c r="P1161" i="3"/>
  <c r="O1162" i="3"/>
  <c r="P1162" i="3"/>
  <c r="O1163" i="3"/>
  <c r="P1163" i="3"/>
  <c r="O1164" i="3"/>
  <c r="P1164" i="3"/>
  <c r="O1165" i="3"/>
  <c r="P1165" i="3"/>
  <c r="O1166" i="3"/>
  <c r="P1166" i="3"/>
  <c r="O1167" i="3"/>
  <c r="P1167" i="3"/>
  <c r="O1168" i="3"/>
  <c r="P1168" i="3"/>
  <c r="O1169" i="3"/>
  <c r="P1169" i="3"/>
  <c r="O1170" i="3"/>
  <c r="P1170" i="3"/>
  <c r="O1171" i="3"/>
  <c r="P1171" i="3"/>
  <c r="O1172" i="3"/>
  <c r="P1172" i="3"/>
  <c r="O1173" i="3"/>
  <c r="P1173" i="3"/>
  <c r="O1174" i="3"/>
  <c r="P1174" i="3"/>
  <c r="O1175" i="3"/>
  <c r="P1175" i="3"/>
  <c r="O1176" i="3"/>
  <c r="P1176" i="3"/>
  <c r="O1177" i="3"/>
  <c r="P1177" i="3"/>
  <c r="O1178" i="3"/>
  <c r="P1178" i="3"/>
  <c r="O1179" i="3"/>
  <c r="P1179" i="3"/>
  <c r="O1180" i="3"/>
  <c r="P1180" i="3"/>
  <c r="O1181" i="3"/>
  <c r="P1181" i="3"/>
  <c r="O1182" i="3"/>
  <c r="P1182" i="3"/>
  <c r="O1183" i="3"/>
  <c r="P1183" i="3"/>
  <c r="O1184" i="3"/>
  <c r="P1184" i="3"/>
  <c r="O1185" i="3"/>
  <c r="P1185" i="3"/>
  <c r="O1186" i="3"/>
  <c r="P1186" i="3"/>
  <c r="O1187" i="3"/>
  <c r="P1187" i="3"/>
  <c r="O1188" i="3"/>
  <c r="P1188" i="3"/>
  <c r="O1189" i="3"/>
  <c r="P1189" i="3"/>
  <c r="O1190" i="3"/>
  <c r="P1190" i="3"/>
  <c r="O1191" i="3"/>
  <c r="P1191" i="3"/>
  <c r="O1192" i="3"/>
  <c r="P1192" i="3"/>
  <c r="O1193" i="3"/>
  <c r="P1193" i="3"/>
  <c r="O1194" i="3"/>
  <c r="P1194" i="3"/>
  <c r="O1195" i="3"/>
  <c r="P1195" i="3"/>
  <c r="O1196" i="3"/>
  <c r="P1196" i="3"/>
  <c r="O1197" i="3"/>
  <c r="P1197" i="3"/>
  <c r="O1198" i="3"/>
  <c r="P1198" i="3"/>
  <c r="O1199" i="3"/>
  <c r="P1199" i="3"/>
  <c r="O1200" i="3"/>
  <c r="P1200" i="3"/>
  <c r="O1201" i="3"/>
  <c r="P1201" i="3"/>
  <c r="O1202" i="3"/>
  <c r="P1202" i="3"/>
  <c r="O1203" i="3"/>
  <c r="P1203" i="3"/>
  <c r="O1204" i="3"/>
  <c r="P1204" i="3"/>
  <c r="O1205" i="3"/>
  <c r="P1205" i="3"/>
  <c r="O1206" i="3"/>
  <c r="P1206" i="3"/>
  <c r="O1207" i="3"/>
  <c r="P1207" i="3"/>
  <c r="O1208" i="3"/>
  <c r="P1208" i="3"/>
  <c r="O1209" i="3"/>
  <c r="P1209" i="3"/>
  <c r="O1210" i="3"/>
  <c r="P1210" i="3"/>
  <c r="O1211" i="3"/>
  <c r="P1211" i="3"/>
  <c r="O1212" i="3"/>
  <c r="P1212" i="3"/>
  <c r="O1213" i="3"/>
  <c r="P1213" i="3"/>
  <c r="O1214" i="3"/>
  <c r="P1214" i="3"/>
  <c r="O1215" i="3"/>
  <c r="P1215" i="3"/>
  <c r="O1216" i="3"/>
  <c r="P1216" i="3"/>
  <c r="O1217" i="3"/>
  <c r="P1217" i="3"/>
  <c r="O1218" i="3"/>
  <c r="P1218" i="3"/>
  <c r="O1219" i="3"/>
  <c r="P1219" i="3"/>
  <c r="O1220" i="3"/>
  <c r="P1220" i="3"/>
  <c r="O1221" i="3"/>
  <c r="P1221" i="3"/>
  <c r="O1222" i="3"/>
  <c r="P1222" i="3"/>
  <c r="O1223" i="3"/>
  <c r="P1223" i="3"/>
  <c r="O1224" i="3"/>
  <c r="P1224" i="3"/>
  <c r="O1225" i="3"/>
  <c r="P1225" i="3"/>
  <c r="O1226" i="3"/>
  <c r="P1226" i="3"/>
  <c r="O1227" i="3"/>
  <c r="P1227" i="3"/>
  <c r="O1228" i="3"/>
  <c r="P1228" i="3"/>
  <c r="O1229" i="3"/>
  <c r="P1229" i="3"/>
  <c r="O1230" i="3"/>
  <c r="P1230" i="3"/>
  <c r="O1231" i="3"/>
  <c r="P1231" i="3"/>
  <c r="O1232" i="3"/>
  <c r="P1232" i="3"/>
  <c r="O1233" i="3"/>
  <c r="P1233" i="3"/>
  <c r="O1234" i="3"/>
  <c r="P1234" i="3"/>
  <c r="O1235" i="3"/>
  <c r="P1235" i="3"/>
  <c r="O1236" i="3"/>
  <c r="P1236" i="3"/>
  <c r="O1237" i="3"/>
  <c r="P1237" i="3"/>
  <c r="O1238" i="3"/>
  <c r="P1238" i="3"/>
  <c r="O1239" i="3"/>
  <c r="P1239" i="3"/>
  <c r="O1240" i="3"/>
  <c r="P1240" i="3"/>
  <c r="O1241" i="3"/>
  <c r="P1241" i="3"/>
  <c r="O1242" i="3"/>
  <c r="P1242" i="3"/>
  <c r="O1243" i="3"/>
  <c r="P1243" i="3"/>
  <c r="O1244" i="3"/>
  <c r="P1244" i="3"/>
  <c r="O1245" i="3"/>
  <c r="P1245" i="3"/>
  <c r="O1246" i="3"/>
  <c r="P1246" i="3"/>
  <c r="O1247" i="3"/>
  <c r="P1247" i="3"/>
  <c r="O1248" i="3"/>
  <c r="P1248" i="3"/>
  <c r="O1249" i="3"/>
  <c r="P1249" i="3"/>
  <c r="O1250" i="3"/>
  <c r="P1250" i="3"/>
  <c r="O1251" i="3"/>
  <c r="P1251" i="3"/>
  <c r="O1252" i="3"/>
  <c r="P1252" i="3"/>
  <c r="O1253" i="3"/>
  <c r="P1253" i="3"/>
  <c r="O1254" i="3"/>
  <c r="P1254" i="3"/>
  <c r="O1255" i="3"/>
  <c r="P1255" i="3"/>
  <c r="O1256" i="3"/>
  <c r="P1256" i="3"/>
  <c r="O1257" i="3"/>
  <c r="P1257" i="3"/>
  <c r="O1258" i="3"/>
  <c r="P1258" i="3"/>
  <c r="O1259" i="3"/>
  <c r="P1259" i="3"/>
  <c r="O1260" i="3"/>
  <c r="P1260" i="3"/>
  <c r="O1261" i="3"/>
  <c r="P1261" i="3"/>
  <c r="O1262" i="3"/>
  <c r="P1262" i="3"/>
  <c r="O1263" i="3"/>
  <c r="P1263" i="3"/>
  <c r="O1264" i="3"/>
  <c r="P1264" i="3"/>
  <c r="O1265" i="3"/>
  <c r="P1265" i="3"/>
  <c r="O1266" i="3"/>
  <c r="P1266" i="3"/>
  <c r="O1267" i="3"/>
  <c r="P1267" i="3"/>
  <c r="O1268" i="3"/>
  <c r="P1268" i="3"/>
  <c r="O1269" i="3"/>
  <c r="P1269" i="3"/>
  <c r="O1270" i="3"/>
  <c r="P1270" i="3"/>
  <c r="O1271" i="3"/>
  <c r="P1271" i="3"/>
  <c r="O1272" i="3"/>
  <c r="P1272" i="3"/>
  <c r="O1273" i="3"/>
  <c r="P1273" i="3"/>
  <c r="O1274" i="3"/>
  <c r="P1274" i="3"/>
  <c r="O1275" i="3"/>
  <c r="P1275" i="3"/>
  <c r="O1276" i="3"/>
  <c r="P1276" i="3"/>
  <c r="O1277" i="3"/>
  <c r="P1277" i="3"/>
  <c r="O1278" i="3"/>
  <c r="P1278" i="3"/>
  <c r="O1279" i="3"/>
  <c r="P1279" i="3"/>
  <c r="O1280" i="3"/>
  <c r="P1280" i="3"/>
  <c r="O1281" i="3"/>
  <c r="P1281" i="3"/>
  <c r="O1282" i="3"/>
  <c r="P1282" i="3"/>
  <c r="O1283" i="3"/>
  <c r="P1283" i="3"/>
  <c r="O1284" i="3"/>
  <c r="P1284" i="3"/>
  <c r="O1285" i="3"/>
  <c r="P1285" i="3"/>
  <c r="O1286" i="3"/>
  <c r="P1286" i="3"/>
  <c r="O1287" i="3"/>
  <c r="P1287" i="3"/>
  <c r="O1288" i="3"/>
  <c r="P1288" i="3"/>
  <c r="O1289" i="3"/>
  <c r="P1289" i="3"/>
  <c r="O1290" i="3"/>
  <c r="P1290" i="3"/>
  <c r="O1291" i="3"/>
  <c r="P1291" i="3"/>
  <c r="O1292" i="3"/>
  <c r="P1292" i="3"/>
  <c r="O1293" i="3"/>
  <c r="P1293" i="3"/>
  <c r="O1294" i="3"/>
  <c r="P1294" i="3"/>
  <c r="O1295" i="3"/>
  <c r="P1295" i="3"/>
  <c r="O1296" i="3"/>
  <c r="P1296" i="3"/>
  <c r="O1297" i="3"/>
  <c r="P1297" i="3"/>
  <c r="O1298" i="3"/>
  <c r="P1298" i="3"/>
  <c r="O1299" i="3"/>
  <c r="P1299" i="3"/>
  <c r="O1300" i="3"/>
  <c r="P1300" i="3"/>
  <c r="O1301" i="3"/>
  <c r="P1301" i="3"/>
  <c r="O1302" i="3"/>
  <c r="P1302" i="3"/>
  <c r="O1303" i="3"/>
  <c r="P1303" i="3"/>
  <c r="O1304" i="3"/>
  <c r="P1304" i="3"/>
  <c r="O1305" i="3"/>
  <c r="P1305" i="3"/>
  <c r="O1306" i="3"/>
  <c r="P1306" i="3"/>
  <c r="O1307" i="3"/>
  <c r="P1307" i="3"/>
  <c r="O1308" i="3"/>
  <c r="P1308" i="3"/>
  <c r="O1309" i="3"/>
  <c r="P1309" i="3"/>
  <c r="O1310" i="3"/>
  <c r="P1310" i="3"/>
  <c r="O1311" i="3"/>
  <c r="P1311" i="3"/>
  <c r="O1312" i="3"/>
  <c r="P1312" i="3"/>
  <c r="O1313" i="3"/>
  <c r="P1313" i="3"/>
  <c r="O1314" i="3"/>
  <c r="P1314" i="3"/>
  <c r="O1315" i="3"/>
  <c r="P1315" i="3"/>
  <c r="O1316" i="3"/>
  <c r="P1316" i="3"/>
  <c r="O1317" i="3"/>
  <c r="P1317" i="3"/>
  <c r="O1318" i="3"/>
  <c r="P1318" i="3"/>
  <c r="O1319" i="3"/>
  <c r="P1319" i="3"/>
  <c r="O1320" i="3"/>
  <c r="P1320" i="3"/>
  <c r="O1321" i="3"/>
  <c r="P1321" i="3"/>
  <c r="O1322" i="3"/>
  <c r="P1322" i="3"/>
  <c r="O1323" i="3"/>
  <c r="P1323" i="3"/>
  <c r="O1324" i="3"/>
  <c r="P1324" i="3"/>
  <c r="O1325" i="3"/>
  <c r="P1325" i="3"/>
  <c r="O1326" i="3"/>
  <c r="P1326" i="3"/>
  <c r="O1327" i="3"/>
  <c r="P1327" i="3"/>
  <c r="O1328" i="3"/>
  <c r="P1328" i="3"/>
  <c r="O1329" i="3"/>
  <c r="P1329" i="3"/>
  <c r="O1330" i="3"/>
  <c r="P1330" i="3"/>
  <c r="O1331" i="3"/>
  <c r="P1331" i="3"/>
  <c r="O1332" i="3"/>
  <c r="P1332" i="3"/>
  <c r="O1333" i="3"/>
  <c r="P1333" i="3"/>
  <c r="O1334" i="3"/>
  <c r="P1334" i="3"/>
  <c r="O1335" i="3"/>
  <c r="P1335" i="3"/>
  <c r="O1336" i="3"/>
  <c r="P1336" i="3"/>
  <c r="O1337" i="3"/>
  <c r="P1337" i="3"/>
  <c r="O1338" i="3"/>
  <c r="P1338" i="3"/>
  <c r="O1339" i="3"/>
  <c r="P1339" i="3"/>
  <c r="O1340" i="3"/>
  <c r="P1340" i="3"/>
  <c r="O1341" i="3"/>
  <c r="P1341" i="3"/>
  <c r="O1342" i="3"/>
  <c r="P1342" i="3"/>
  <c r="O1343" i="3"/>
  <c r="P1343" i="3"/>
  <c r="O1344" i="3"/>
  <c r="P1344" i="3"/>
  <c r="O1345" i="3"/>
  <c r="P1345" i="3"/>
  <c r="O1346" i="3"/>
  <c r="P1346" i="3"/>
  <c r="O1347" i="3"/>
  <c r="P1347" i="3"/>
  <c r="O1348" i="3"/>
  <c r="P1348" i="3"/>
  <c r="O1349" i="3"/>
  <c r="P1349" i="3"/>
  <c r="O1350" i="3"/>
  <c r="P1350" i="3"/>
  <c r="O1351" i="3"/>
  <c r="P1351" i="3"/>
  <c r="O1352" i="3"/>
  <c r="P1352" i="3"/>
  <c r="O1353" i="3"/>
  <c r="P1353" i="3"/>
  <c r="O1354" i="3"/>
  <c r="P1354" i="3"/>
  <c r="O1355" i="3"/>
  <c r="P1355" i="3"/>
  <c r="O1356" i="3"/>
  <c r="P1356" i="3"/>
  <c r="O1357" i="3"/>
  <c r="P1357" i="3"/>
  <c r="O1358" i="3"/>
  <c r="P1358" i="3"/>
  <c r="O1359" i="3"/>
  <c r="P1359" i="3"/>
  <c r="O1360" i="3"/>
  <c r="P1360" i="3"/>
  <c r="O1361" i="3"/>
  <c r="P1361" i="3"/>
  <c r="O1362" i="3"/>
  <c r="P1362" i="3"/>
  <c r="O1363" i="3"/>
  <c r="P1363" i="3"/>
  <c r="O1364" i="3"/>
  <c r="P1364" i="3"/>
  <c r="O1365" i="3"/>
  <c r="P1365" i="3"/>
  <c r="O1366" i="3"/>
  <c r="P1366" i="3"/>
  <c r="O1367" i="3"/>
  <c r="P1367" i="3"/>
  <c r="O1368" i="3"/>
  <c r="P1368" i="3"/>
  <c r="O1369" i="3"/>
  <c r="P1369" i="3"/>
  <c r="O1370" i="3"/>
  <c r="P1370" i="3"/>
  <c r="O1371" i="3"/>
  <c r="P1371" i="3"/>
  <c r="O1372" i="3"/>
  <c r="P1372" i="3"/>
  <c r="O1373" i="3"/>
  <c r="P1373" i="3"/>
  <c r="O1374" i="3"/>
  <c r="P1374" i="3"/>
  <c r="O1375" i="3"/>
  <c r="P1375" i="3"/>
  <c r="O1376" i="3"/>
  <c r="P1376" i="3"/>
  <c r="O1377" i="3"/>
  <c r="P1377" i="3"/>
  <c r="O1378" i="3"/>
  <c r="P1378" i="3"/>
  <c r="O1379" i="3"/>
  <c r="P1379" i="3"/>
  <c r="O1380" i="3"/>
  <c r="P1380" i="3"/>
  <c r="O1381" i="3"/>
  <c r="P1381" i="3"/>
  <c r="O1382" i="3"/>
  <c r="P1382" i="3"/>
  <c r="O1383" i="3"/>
  <c r="P1383" i="3"/>
  <c r="O1384" i="3"/>
  <c r="P1384" i="3"/>
  <c r="O1385" i="3"/>
  <c r="P1385" i="3"/>
  <c r="O1386" i="3"/>
  <c r="P1386" i="3"/>
  <c r="O1387" i="3"/>
  <c r="P1387" i="3"/>
  <c r="O1388" i="3"/>
  <c r="P1388" i="3"/>
  <c r="O1389" i="3"/>
  <c r="P1389" i="3"/>
  <c r="O1390" i="3"/>
  <c r="P1390" i="3"/>
  <c r="O1391" i="3"/>
  <c r="P1391" i="3"/>
  <c r="K1392" i="3"/>
  <c r="L1392" i="3" s="1"/>
  <c r="O1392" i="3"/>
  <c r="P1392" i="3"/>
  <c r="O1393" i="3"/>
  <c r="P1393" i="3"/>
  <c r="O1394" i="3"/>
  <c r="P1394" i="3"/>
  <c r="O1395" i="3"/>
  <c r="P1395" i="3"/>
  <c r="O1396" i="3"/>
  <c r="P1396" i="3"/>
  <c r="O1397" i="3"/>
  <c r="P1397" i="3"/>
  <c r="O1398" i="3"/>
  <c r="P1398" i="3"/>
  <c r="K1399" i="3"/>
  <c r="L1399" i="3" s="1"/>
  <c r="O1399" i="3"/>
  <c r="P1399" i="3"/>
  <c r="O1400" i="3"/>
  <c r="P1400" i="3"/>
  <c r="O1401" i="3"/>
  <c r="P1401" i="3"/>
  <c r="O1402" i="3"/>
  <c r="P1402" i="3"/>
  <c r="O1403" i="3"/>
  <c r="P1403" i="3"/>
  <c r="O1404" i="3"/>
  <c r="P1404" i="3"/>
  <c r="O1405" i="3"/>
  <c r="P1405" i="3"/>
  <c r="O1406" i="3"/>
  <c r="P1406" i="3"/>
  <c r="O1407" i="3"/>
  <c r="P1407" i="3"/>
  <c r="O1408" i="3"/>
  <c r="P1408" i="3"/>
  <c r="O1409" i="3"/>
  <c r="P1409" i="3"/>
  <c r="O1410" i="3"/>
  <c r="P1410" i="3"/>
  <c r="O1411" i="3"/>
  <c r="P1411" i="3"/>
  <c r="O1412" i="3"/>
  <c r="P1412" i="3"/>
  <c r="O1413" i="3"/>
  <c r="P1413" i="3"/>
  <c r="O1414" i="3"/>
  <c r="P1414" i="3"/>
  <c r="O1415" i="3"/>
  <c r="P1415" i="3"/>
  <c r="O1416" i="3"/>
  <c r="P1416" i="3"/>
  <c r="O1417" i="3"/>
  <c r="P1417" i="3"/>
  <c r="O1418" i="3"/>
  <c r="P1418" i="3"/>
  <c r="O1419" i="3"/>
  <c r="P1419" i="3"/>
  <c r="O1420" i="3"/>
  <c r="P1420" i="3"/>
  <c r="O1421" i="3"/>
  <c r="P1421" i="3"/>
  <c r="K1422" i="3"/>
  <c r="L1422" i="3" s="1"/>
  <c r="O1422" i="3"/>
  <c r="P1422" i="3"/>
  <c r="O1423" i="3"/>
  <c r="P1423" i="3"/>
  <c r="O1424" i="3"/>
  <c r="P1424" i="3"/>
  <c r="O1425" i="3"/>
  <c r="P1425" i="3"/>
  <c r="O1426" i="3"/>
  <c r="P1426" i="3"/>
  <c r="O1427" i="3"/>
  <c r="P1427" i="3"/>
  <c r="O1428" i="3"/>
  <c r="P1428" i="3"/>
  <c r="O1429" i="3"/>
  <c r="P1429" i="3"/>
  <c r="O1430" i="3"/>
  <c r="P1430" i="3"/>
  <c r="O1431" i="3"/>
  <c r="P1431" i="3"/>
  <c r="O1432" i="3"/>
  <c r="P1432" i="3"/>
  <c r="O1433" i="3"/>
  <c r="P1433" i="3"/>
  <c r="O1434" i="3"/>
  <c r="P1434" i="3"/>
  <c r="O1435" i="3"/>
  <c r="P1435" i="3"/>
  <c r="O1436" i="3"/>
  <c r="P1436" i="3"/>
  <c r="O1437" i="3"/>
  <c r="P1437" i="3"/>
  <c r="O1438" i="3"/>
  <c r="P1438" i="3"/>
  <c r="O1439" i="3"/>
  <c r="P1439" i="3"/>
  <c r="O1440" i="3"/>
  <c r="P1440" i="3"/>
  <c r="O1441" i="3"/>
  <c r="P1441" i="3"/>
  <c r="O1442" i="3"/>
  <c r="P1442" i="3"/>
  <c r="O1443" i="3"/>
  <c r="P1443" i="3"/>
  <c r="O1444" i="3"/>
  <c r="P1444" i="3"/>
  <c r="O1445" i="3"/>
  <c r="P1445" i="3"/>
  <c r="O1446" i="3"/>
  <c r="P1446" i="3"/>
  <c r="O1447" i="3"/>
  <c r="P1447" i="3"/>
  <c r="O1448" i="3"/>
  <c r="P1448" i="3"/>
  <c r="O1449" i="3"/>
  <c r="P1449" i="3"/>
  <c r="O1450" i="3"/>
  <c r="P1450" i="3"/>
  <c r="O1451" i="3"/>
  <c r="P1451" i="3"/>
  <c r="O1452" i="3"/>
  <c r="P1452" i="3"/>
  <c r="O1453" i="3"/>
  <c r="P1453" i="3"/>
  <c r="O1454" i="3"/>
  <c r="P1454" i="3"/>
  <c r="O1455" i="3"/>
  <c r="P1455" i="3"/>
  <c r="O1456" i="3"/>
  <c r="P1456" i="3"/>
  <c r="O1457" i="3"/>
  <c r="P1457" i="3"/>
  <c r="O1458" i="3"/>
  <c r="P1458" i="3"/>
  <c r="O1459" i="3"/>
  <c r="P1459" i="3"/>
  <c r="O1460" i="3"/>
  <c r="P1460" i="3"/>
  <c r="O1461" i="3"/>
  <c r="P1461" i="3"/>
  <c r="O1462" i="3"/>
  <c r="P1462" i="3"/>
  <c r="O1463" i="3"/>
  <c r="P1463" i="3"/>
  <c r="O1464" i="3"/>
  <c r="P1464" i="3"/>
  <c r="O1465" i="3"/>
  <c r="P1465" i="3"/>
  <c r="O1466" i="3"/>
  <c r="P1466" i="3"/>
  <c r="O1467" i="3"/>
  <c r="P1467" i="3"/>
  <c r="O1468" i="3"/>
  <c r="P1468" i="3"/>
  <c r="O1469" i="3"/>
  <c r="P1469" i="3"/>
  <c r="O1470" i="3"/>
  <c r="P1470" i="3"/>
  <c r="K1471" i="3"/>
  <c r="L1471" i="3" s="1"/>
  <c r="O1471" i="3"/>
  <c r="P1471" i="3"/>
  <c r="O1472" i="3"/>
  <c r="P1472" i="3"/>
  <c r="O1473" i="3"/>
  <c r="P1473" i="3"/>
  <c r="O1474" i="3"/>
  <c r="P1474" i="3"/>
  <c r="O1475" i="3"/>
  <c r="P1475" i="3"/>
  <c r="O1476" i="3"/>
  <c r="P1476" i="3"/>
  <c r="O1477" i="3"/>
  <c r="P1477" i="3"/>
  <c r="O1478" i="3"/>
  <c r="P1478" i="3"/>
  <c r="O1479" i="3"/>
  <c r="P1479" i="3"/>
  <c r="O1480" i="3"/>
  <c r="P1480" i="3"/>
  <c r="O1481" i="3"/>
  <c r="P1481" i="3"/>
  <c r="O1482" i="3"/>
  <c r="P1482" i="3"/>
  <c r="O1483" i="3"/>
  <c r="P1483" i="3"/>
  <c r="O1484" i="3"/>
  <c r="P1484" i="3"/>
  <c r="O1485" i="3"/>
  <c r="P1485" i="3"/>
  <c r="O1486" i="3"/>
  <c r="P1486" i="3"/>
  <c r="O1487" i="3"/>
  <c r="P1487" i="3"/>
  <c r="O1488" i="3"/>
  <c r="P1488" i="3"/>
  <c r="O1489" i="3"/>
  <c r="P1489" i="3"/>
  <c r="O1490" i="3"/>
  <c r="P1490" i="3"/>
  <c r="O1491" i="3"/>
  <c r="P1491" i="3"/>
  <c r="O1492" i="3"/>
  <c r="P1492" i="3"/>
  <c r="O1493" i="3"/>
  <c r="P1493" i="3"/>
  <c r="O1494" i="3"/>
  <c r="P1494" i="3"/>
  <c r="O1495" i="3"/>
  <c r="P1495" i="3"/>
  <c r="O1496" i="3"/>
  <c r="P1496" i="3"/>
  <c r="O1497" i="3"/>
  <c r="P1497" i="3"/>
  <c r="O1498" i="3"/>
  <c r="P1498" i="3"/>
  <c r="O1499" i="3"/>
  <c r="P1499" i="3"/>
  <c r="O1500" i="3"/>
  <c r="P1500" i="3"/>
  <c r="K1501" i="3"/>
  <c r="L1501" i="3" s="1"/>
  <c r="O1501" i="3"/>
  <c r="P1501" i="3"/>
  <c r="O1502" i="3"/>
  <c r="P1502" i="3"/>
  <c r="O1503" i="3"/>
  <c r="P1503" i="3"/>
  <c r="O1504" i="3"/>
  <c r="P1504" i="3"/>
  <c r="O1505" i="3"/>
  <c r="P1505" i="3"/>
  <c r="O1506" i="3"/>
  <c r="P1506" i="3"/>
  <c r="O1507" i="3"/>
  <c r="P1507" i="3"/>
  <c r="O1508" i="3"/>
  <c r="P1508" i="3"/>
  <c r="O1509" i="3"/>
  <c r="P1509" i="3"/>
  <c r="O1510" i="3"/>
  <c r="P1510" i="3"/>
  <c r="O1511" i="3"/>
  <c r="P1511" i="3"/>
  <c r="O1512" i="3"/>
  <c r="P1512" i="3"/>
  <c r="O1513" i="3"/>
  <c r="P1513" i="3"/>
  <c r="O1514" i="3"/>
  <c r="P1514" i="3"/>
  <c r="O1515" i="3"/>
  <c r="P1515" i="3"/>
  <c r="O1516" i="3"/>
  <c r="P1516" i="3"/>
  <c r="O1517" i="3"/>
  <c r="P1517" i="3"/>
  <c r="O1518" i="3"/>
  <c r="P1518" i="3"/>
  <c r="O1519" i="3"/>
  <c r="P1519" i="3"/>
  <c r="O1520" i="3"/>
  <c r="P1520" i="3"/>
  <c r="O1521" i="3"/>
  <c r="P1521" i="3"/>
  <c r="O1522" i="3"/>
  <c r="P1522" i="3"/>
  <c r="O1523" i="3"/>
  <c r="P1523" i="3"/>
  <c r="O1524" i="3"/>
  <c r="P1524" i="3"/>
  <c r="O1525" i="3"/>
  <c r="P1525" i="3"/>
  <c r="O1526" i="3"/>
  <c r="P1526" i="3"/>
  <c r="O1527" i="3"/>
  <c r="P1527" i="3"/>
  <c r="O1528" i="3"/>
  <c r="P1528" i="3"/>
  <c r="O1529" i="3"/>
  <c r="P1529" i="3"/>
  <c r="O1530" i="3"/>
  <c r="P1530" i="3"/>
  <c r="O1531" i="3"/>
  <c r="P1531" i="3"/>
  <c r="O1532" i="3"/>
  <c r="P1532" i="3"/>
  <c r="O1533" i="3"/>
  <c r="P1533" i="3"/>
  <c r="O1534" i="3"/>
  <c r="P1534" i="3"/>
  <c r="K1535" i="3"/>
  <c r="L1535" i="3" s="1"/>
  <c r="O1535" i="3"/>
  <c r="P1535" i="3"/>
  <c r="O1536" i="3"/>
  <c r="P1536" i="3"/>
  <c r="O1537" i="3"/>
  <c r="P1537" i="3"/>
  <c r="O1538" i="3"/>
  <c r="P1538" i="3"/>
  <c r="O1539" i="3"/>
  <c r="P1539" i="3"/>
  <c r="O1540" i="3"/>
  <c r="P1540" i="3"/>
  <c r="O1541" i="3"/>
  <c r="P1541" i="3"/>
  <c r="O1542" i="3"/>
  <c r="P1542" i="3"/>
  <c r="O1543" i="3"/>
  <c r="P1543" i="3"/>
  <c r="O1544" i="3"/>
  <c r="P1544" i="3"/>
  <c r="O1545" i="3"/>
  <c r="P1545" i="3"/>
  <c r="O1546" i="3"/>
  <c r="P1546" i="3"/>
  <c r="O1547" i="3"/>
  <c r="P1547" i="3"/>
  <c r="O1548" i="3"/>
  <c r="P1548" i="3"/>
  <c r="O1549" i="3"/>
  <c r="P1549" i="3"/>
  <c r="O1550" i="3"/>
  <c r="P1550" i="3"/>
  <c r="O1551" i="3"/>
  <c r="P1551" i="3"/>
  <c r="O1552" i="3"/>
  <c r="P1552" i="3"/>
  <c r="O1553" i="3"/>
  <c r="P1553" i="3"/>
  <c r="O1554" i="3"/>
  <c r="P1554" i="3"/>
  <c r="O1555" i="3"/>
  <c r="P1555" i="3"/>
  <c r="O1556" i="3"/>
  <c r="P1556" i="3"/>
  <c r="O1557" i="3"/>
  <c r="P1557" i="3"/>
  <c r="O1558" i="3"/>
  <c r="P1558" i="3"/>
  <c r="O1559" i="3"/>
  <c r="P1559" i="3"/>
  <c r="O1560" i="3"/>
  <c r="P1560" i="3"/>
  <c r="O1561" i="3"/>
  <c r="P1561" i="3"/>
  <c r="K1562" i="3"/>
  <c r="L1562" i="3" s="1"/>
  <c r="O1562" i="3"/>
  <c r="P1562" i="3"/>
  <c r="O1563" i="3"/>
  <c r="P1563" i="3"/>
  <c r="O1564" i="3"/>
  <c r="P1564" i="3"/>
  <c r="O1565" i="3"/>
  <c r="P1565" i="3"/>
  <c r="O1566" i="3"/>
  <c r="P1566" i="3"/>
  <c r="O1567" i="3"/>
  <c r="P1567" i="3"/>
  <c r="O1568" i="3"/>
  <c r="P1568" i="3"/>
  <c r="O1569" i="3"/>
  <c r="P1569" i="3"/>
  <c r="O1570" i="3"/>
  <c r="P1570" i="3"/>
  <c r="O1571" i="3"/>
  <c r="P1571" i="3"/>
  <c r="O1572" i="3"/>
  <c r="P1572" i="3"/>
  <c r="O1573" i="3"/>
  <c r="P1573" i="3"/>
  <c r="O1574" i="3"/>
  <c r="P1574" i="3"/>
  <c r="O1575" i="3"/>
  <c r="P1575" i="3"/>
  <c r="O1576" i="3"/>
  <c r="P1576" i="3"/>
  <c r="O1577" i="3"/>
  <c r="P1577" i="3"/>
  <c r="O1578" i="3"/>
  <c r="P1578" i="3"/>
  <c r="O1579" i="3"/>
  <c r="P1579" i="3"/>
  <c r="O1580" i="3"/>
  <c r="P1580" i="3"/>
  <c r="O1581" i="3"/>
  <c r="P1581" i="3"/>
  <c r="O1582" i="3"/>
  <c r="P1582" i="3"/>
  <c r="O1583" i="3"/>
  <c r="P1583" i="3"/>
  <c r="O1584" i="3"/>
  <c r="P1584" i="3"/>
  <c r="O1585" i="3"/>
  <c r="P1585" i="3"/>
  <c r="K1586" i="3"/>
  <c r="L1586" i="3" s="1"/>
  <c r="O1586" i="3"/>
  <c r="P1586" i="3"/>
  <c r="O1587" i="3"/>
  <c r="P1587" i="3"/>
  <c r="O1588" i="3"/>
  <c r="P1588" i="3"/>
  <c r="O1589" i="3"/>
  <c r="P1589" i="3"/>
  <c r="O1590" i="3"/>
  <c r="P1590" i="3"/>
  <c r="O1591" i="3"/>
  <c r="P1591" i="3"/>
  <c r="O1592" i="3"/>
  <c r="P1592" i="3"/>
  <c r="O1593" i="3"/>
  <c r="P1593" i="3"/>
  <c r="O1594" i="3"/>
  <c r="P1594" i="3"/>
  <c r="O1595" i="3"/>
  <c r="P1595" i="3"/>
  <c r="O1596" i="3"/>
  <c r="P1596" i="3"/>
  <c r="O1597" i="3"/>
  <c r="P1597" i="3"/>
  <c r="O1598" i="3"/>
  <c r="P1598" i="3"/>
  <c r="O1599" i="3"/>
  <c r="P1599" i="3"/>
  <c r="O1600" i="3"/>
  <c r="P1600" i="3"/>
  <c r="O1601" i="3"/>
  <c r="P1601" i="3"/>
  <c r="O1602" i="3"/>
  <c r="P1602" i="3"/>
  <c r="O1603" i="3"/>
  <c r="P1603" i="3"/>
  <c r="O1604" i="3"/>
  <c r="P1604" i="3"/>
  <c r="O1605" i="3"/>
  <c r="P1605" i="3"/>
  <c r="O1606" i="3"/>
  <c r="P1606" i="3"/>
  <c r="O1607" i="3"/>
  <c r="P1607" i="3"/>
  <c r="O1608" i="3"/>
  <c r="P1608" i="3"/>
  <c r="O1609" i="3"/>
  <c r="P1609" i="3"/>
  <c r="O1610" i="3"/>
  <c r="P1610" i="3"/>
  <c r="O1611" i="3"/>
  <c r="P1611" i="3"/>
  <c r="O1612" i="3"/>
  <c r="P1612" i="3"/>
  <c r="O1613" i="3"/>
  <c r="P1613" i="3"/>
  <c r="O1614" i="3"/>
  <c r="P1614" i="3"/>
  <c r="O1615" i="3"/>
  <c r="P1615" i="3"/>
  <c r="O1616" i="3"/>
  <c r="P1616" i="3"/>
  <c r="O1617" i="3"/>
  <c r="P1617" i="3"/>
  <c r="O1618" i="3"/>
  <c r="P1618" i="3"/>
  <c r="O1619" i="3"/>
  <c r="P1619" i="3"/>
  <c r="O1620" i="3"/>
  <c r="P1620" i="3"/>
  <c r="O1621" i="3"/>
  <c r="P1621" i="3"/>
  <c r="O1622" i="3"/>
  <c r="P1622" i="3"/>
  <c r="O1623" i="3"/>
  <c r="P1623" i="3"/>
  <c r="K1624" i="3"/>
  <c r="L1624" i="3" s="1"/>
  <c r="O1624" i="3"/>
  <c r="P1624" i="3"/>
  <c r="O1625" i="3"/>
  <c r="P1625" i="3"/>
  <c r="O1626" i="3"/>
  <c r="P1626" i="3"/>
  <c r="K1627" i="3"/>
  <c r="L1627" i="3" s="1"/>
  <c r="O1627" i="3"/>
  <c r="P1627" i="3"/>
  <c r="O1628" i="3"/>
  <c r="P1628" i="3"/>
  <c r="O1629" i="3"/>
  <c r="P1629" i="3"/>
  <c r="O1630" i="3"/>
  <c r="P1630" i="3"/>
  <c r="O1631" i="3"/>
  <c r="P1631" i="3"/>
  <c r="O1632" i="3"/>
  <c r="P1632" i="3"/>
  <c r="K1633" i="3"/>
  <c r="L1633" i="3" s="1"/>
  <c r="O1633" i="3"/>
  <c r="P1633" i="3"/>
  <c r="O1634" i="3"/>
  <c r="P1634" i="3"/>
  <c r="O1635" i="3"/>
  <c r="P1635" i="3"/>
  <c r="O1636" i="3"/>
  <c r="P1636" i="3"/>
  <c r="O1637" i="3"/>
  <c r="P1637" i="3"/>
  <c r="O1638" i="3"/>
  <c r="P1638" i="3"/>
  <c r="O1639" i="3"/>
  <c r="P1639" i="3"/>
  <c r="O1640" i="3"/>
  <c r="P1640" i="3"/>
  <c r="O1641" i="3"/>
  <c r="P1641" i="3"/>
  <c r="O1642" i="3"/>
  <c r="P1642" i="3"/>
  <c r="O1643" i="3"/>
  <c r="P1643" i="3"/>
  <c r="O1644" i="3"/>
  <c r="P1644" i="3"/>
  <c r="O1645" i="3"/>
  <c r="P1645" i="3"/>
  <c r="O1646" i="3"/>
  <c r="P1646" i="3"/>
  <c r="K1647" i="3"/>
  <c r="L1647" i="3" s="1"/>
  <c r="O1647" i="3"/>
  <c r="P1647" i="3"/>
  <c r="O1648" i="3"/>
  <c r="P1648" i="3"/>
  <c r="O1649" i="3"/>
  <c r="P1649" i="3"/>
  <c r="O1650" i="3"/>
  <c r="P1650" i="3"/>
  <c r="K1651" i="3"/>
  <c r="L1651" i="3" s="1"/>
  <c r="O1651" i="3"/>
  <c r="P1651" i="3"/>
  <c r="O1652" i="3"/>
  <c r="P1652" i="3"/>
  <c r="O1653" i="3"/>
  <c r="P1653" i="3"/>
  <c r="O1654" i="3"/>
  <c r="P1654" i="3"/>
  <c r="K1655" i="3"/>
  <c r="L1655" i="3" s="1"/>
  <c r="O1655" i="3"/>
  <c r="P1655" i="3"/>
  <c r="O1656" i="3"/>
  <c r="P1656" i="3"/>
  <c r="O1657" i="3"/>
  <c r="P1657" i="3"/>
  <c r="O1658" i="3"/>
  <c r="P1658" i="3"/>
  <c r="O1659" i="3"/>
  <c r="P1659" i="3"/>
  <c r="O1660" i="3"/>
  <c r="P1660" i="3"/>
  <c r="O1661" i="3"/>
  <c r="P1661" i="3"/>
  <c r="K1662" i="3"/>
  <c r="L1662" i="3" s="1"/>
  <c r="O1662" i="3"/>
  <c r="P1662" i="3"/>
  <c r="O1663" i="3"/>
  <c r="P1663" i="3"/>
  <c r="O1664" i="3"/>
  <c r="P1664" i="3"/>
  <c r="O1665" i="3"/>
  <c r="P1665" i="3"/>
  <c r="O1666" i="3"/>
  <c r="P1666" i="3"/>
  <c r="K1667" i="3"/>
  <c r="L1667" i="3" s="1"/>
  <c r="O1667" i="3"/>
  <c r="P1667" i="3"/>
  <c r="O1668" i="3"/>
  <c r="P1668" i="3"/>
  <c r="K1669" i="3"/>
  <c r="L1669" i="3" s="1"/>
  <c r="O1669" i="3"/>
  <c r="P1669" i="3"/>
  <c r="O1670" i="3"/>
  <c r="P1670" i="3"/>
  <c r="O1671" i="3"/>
  <c r="P1671" i="3"/>
  <c r="O1672" i="3"/>
  <c r="P1672" i="3"/>
  <c r="O1673" i="3"/>
  <c r="P1673" i="3"/>
  <c r="K1674" i="3"/>
  <c r="L1674" i="3" s="1"/>
  <c r="O1674" i="3"/>
  <c r="P1674" i="3"/>
  <c r="O1675" i="3"/>
  <c r="P1675" i="3"/>
  <c r="O1676" i="3"/>
  <c r="P1676" i="3"/>
  <c r="O1677" i="3"/>
  <c r="P1677" i="3"/>
  <c r="O1678" i="3"/>
  <c r="P1678" i="3"/>
  <c r="O1679" i="3"/>
  <c r="P1679" i="3"/>
  <c r="O1680" i="3"/>
  <c r="P1680" i="3"/>
  <c r="O1681" i="3"/>
  <c r="P1681" i="3"/>
  <c r="O1682" i="3"/>
  <c r="P1682" i="3"/>
  <c r="O1683" i="3"/>
  <c r="P1683" i="3"/>
  <c r="O1684" i="3"/>
  <c r="P1684" i="3"/>
  <c r="O1685" i="3"/>
  <c r="P1685" i="3"/>
  <c r="O1686" i="3"/>
  <c r="P1686" i="3"/>
  <c r="O1687" i="3"/>
  <c r="P1687" i="3"/>
  <c r="O1688" i="3"/>
  <c r="P1688" i="3"/>
  <c r="K1689" i="3"/>
  <c r="L1689" i="3" s="1"/>
  <c r="O1689" i="3"/>
  <c r="P1689" i="3"/>
  <c r="O1690" i="3"/>
  <c r="P1690" i="3"/>
  <c r="O1691" i="3"/>
  <c r="P1691" i="3"/>
  <c r="O1692" i="3"/>
  <c r="P1692" i="3"/>
  <c r="O1693" i="3"/>
  <c r="P1693" i="3"/>
  <c r="O1694" i="3"/>
  <c r="P1694" i="3"/>
  <c r="K1695" i="3"/>
  <c r="L1695" i="3" s="1"/>
  <c r="O1695" i="3"/>
  <c r="P1695" i="3"/>
  <c r="O1696" i="3"/>
  <c r="P1696" i="3"/>
  <c r="O1697" i="3"/>
  <c r="P1697" i="3"/>
  <c r="O1698" i="3"/>
  <c r="P1698" i="3"/>
  <c r="O1699" i="3"/>
  <c r="P1699" i="3"/>
  <c r="O1700" i="3"/>
  <c r="P1700" i="3"/>
  <c r="O1701" i="3"/>
  <c r="P1701" i="3"/>
  <c r="O1702" i="3"/>
  <c r="P1702" i="3"/>
  <c r="K1703" i="3"/>
  <c r="L1703" i="3" s="1"/>
  <c r="O1703" i="3"/>
  <c r="P1703" i="3"/>
  <c r="K1704" i="3"/>
  <c r="L1704" i="3" s="1"/>
  <c r="O1704" i="3"/>
  <c r="P1704" i="3"/>
  <c r="O1705" i="3"/>
  <c r="P1705" i="3"/>
  <c r="O1706" i="3"/>
  <c r="P1706" i="3"/>
  <c r="O1707" i="3"/>
  <c r="P1707" i="3"/>
  <c r="K1708" i="3"/>
  <c r="L1708" i="3" s="1"/>
  <c r="O1708" i="3"/>
  <c r="P1708" i="3"/>
  <c r="O1709" i="3"/>
  <c r="P1709" i="3"/>
  <c r="O1710" i="3"/>
  <c r="P1710" i="3"/>
  <c r="O1711" i="3"/>
  <c r="P1711" i="3"/>
  <c r="O1712" i="3"/>
  <c r="P1712" i="3"/>
  <c r="O1713" i="3"/>
  <c r="P1713" i="3"/>
  <c r="O1714" i="3"/>
  <c r="P1714" i="3"/>
  <c r="O1715" i="3"/>
  <c r="P1715" i="3"/>
  <c r="O1716" i="3"/>
  <c r="P1716" i="3"/>
  <c r="O1717" i="3"/>
  <c r="P1717" i="3"/>
  <c r="O1718" i="3"/>
  <c r="P1718" i="3"/>
  <c r="O1719" i="3"/>
  <c r="P1719" i="3"/>
  <c r="O1720" i="3"/>
  <c r="P1720" i="3"/>
  <c r="K1721" i="3"/>
  <c r="L1721" i="3" s="1"/>
  <c r="O1721" i="3"/>
  <c r="P1721" i="3"/>
  <c r="O1722" i="3"/>
  <c r="P1722" i="3"/>
  <c r="O1723" i="3"/>
  <c r="P1723" i="3"/>
  <c r="O1724" i="3"/>
  <c r="P1724" i="3"/>
  <c r="O1725" i="3"/>
  <c r="P1725" i="3"/>
  <c r="O1726" i="3"/>
  <c r="P1726" i="3"/>
  <c r="O1727" i="3"/>
  <c r="P1727" i="3"/>
  <c r="O1728" i="3"/>
  <c r="P1728" i="3"/>
  <c r="O1729" i="3"/>
  <c r="P1729" i="3"/>
  <c r="O1730" i="3"/>
  <c r="P1730" i="3"/>
  <c r="O1731" i="3"/>
  <c r="P1731" i="3"/>
  <c r="O1732" i="3"/>
  <c r="P1732" i="3"/>
  <c r="O1733" i="3"/>
  <c r="P1733" i="3"/>
  <c r="O1734" i="3"/>
  <c r="P1734" i="3"/>
  <c r="K1735" i="3"/>
  <c r="L1735" i="3" s="1"/>
  <c r="O1735" i="3"/>
  <c r="P1735" i="3"/>
  <c r="O1736" i="3"/>
  <c r="P1736" i="3"/>
  <c r="O1737" i="3"/>
  <c r="P1737" i="3"/>
  <c r="O1738" i="3"/>
  <c r="P1738" i="3"/>
  <c r="O1739" i="3"/>
  <c r="P1739" i="3"/>
  <c r="K1740" i="3"/>
  <c r="L1740" i="3" s="1"/>
  <c r="O1740" i="3"/>
  <c r="P1740" i="3"/>
  <c r="O1741" i="3"/>
  <c r="P1741" i="3"/>
  <c r="O1742" i="3"/>
  <c r="P1742" i="3"/>
  <c r="K1743" i="3"/>
  <c r="L1743" i="3" s="1"/>
  <c r="O1743" i="3"/>
  <c r="P1743" i="3"/>
  <c r="O1744" i="3"/>
  <c r="P1744" i="3"/>
  <c r="O1745" i="3"/>
  <c r="P1745" i="3"/>
  <c r="O1746" i="3"/>
  <c r="P1746" i="3"/>
  <c r="K1747" i="3"/>
  <c r="L1747" i="3" s="1"/>
  <c r="O1747" i="3"/>
  <c r="P1747" i="3"/>
  <c r="O1748" i="3"/>
  <c r="P1748" i="3"/>
  <c r="O1749" i="3"/>
  <c r="P1749" i="3"/>
  <c r="K1750" i="3"/>
  <c r="L1750" i="3" s="1"/>
  <c r="O1750" i="3"/>
  <c r="P1750" i="3"/>
  <c r="O1751" i="3"/>
  <c r="P1751" i="3"/>
  <c r="O1752" i="3"/>
  <c r="P1752" i="3"/>
  <c r="O1753" i="3"/>
  <c r="P1753" i="3"/>
  <c r="O1754" i="3"/>
  <c r="P1754" i="3"/>
  <c r="O1755" i="3"/>
  <c r="P1755" i="3"/>
  <c r="O1756" i="3"/>
  <c r="P1756" i="3"/>
  <c r="O1757" i="3"/>
  <c r="P1757" i="3"/>
  <c r="O1758" i="3"/>
  <c r="P1758" i="3"/>
  <c r="O1759" i="3"/>
  <c r="P1759" i="3"/>
  <c r="O1760" i="3"/>
  <c r="P1760" i="3"/>
  <c r="O1761" i="3"/>
  <c r="P1761" i="3"/>
  <c r="O1762" i="3"/>
  <c r="P1762" i="3"/>
  <c r="O1763" i="3"/>
  <c r="P1763" i="3"/>
  <c r="K1764" i="3"/>
  <c r="L1764" i="3" s="1"/>
  <c r="O1764" i="3"/>
  <c r="P1764" i="3"/>
  <c r="O1765" i="3"/>
  <c r="P1765" i="3"/>
  <c r="O1766" i="3"/>
  <c r="P1766" i="3"/>
  <c r="O1767" i="3"/>
  <c r="P1767" i="3"/>
  <c r="O1768" i="3"/>
  <c r="P1768" i="3"/>
  <c r="O1769" i="3"/>
  <c r="P1769" i="3"/>
  <c r="O1770" i="3"/>
  <c r="P1770" i="3"/>
  <c r="O1771" i="3"/>
  <c r="P1771" i="3"/>
  <c r="K1772" i="3"/>
  <c r="L1772" i="3" s="1"/>
  <c r="O1772" i="3"/>
  <c r="P1772" i="3"/>
  <c r="O1773" i="3"/>
  <c r="P1773" i="3"/>
  <c r="O1774" i="3"/>
  <c r="P1774" i="3"/>
  <c r="O1775" i="3"/>
  <c r="P1775" i="3"/>
  <c r="O1776" i="3"/>
  <c r="P1776" i="3"/>
  <c r="O1777" i="3"/>
  <c r="P1777" i="3"/>
  <c r="O1778" i="3"/>
  <c r="P1778" i="3"/>
  <c r="K1779" i="3"/>
  <c r="L1779" i="3" s="1"/>
  <c r="O1779" i="3"/>
  <c r="P1779" i="3"/>
  <c r="K1780" i="3"/>
  <c r="L1780" i="3" s="1"/>
  <c r="O1780" i="3"/>
  <c r="P1780" i="3"/>
  <c r="O1781" i="3"/>
  <c r="P1781" i="3"/>
  <c r="O1782" i="3"/>
  <c r="P1782" i="3"/>
  <c r="K1783" i="3"/>
  <c r="L1783" i="3" s="1"/>
  <c r="O1783" i="3"/>
  <c r="P1783" i="3"/>
  <c r="O1784" i="3"/>
  <c r="P1784" i="3"/>
  <c r="O1785" i="3"/>
  <c r="P1785" i="3"/>
  <c r="O1786" i="3"/>
  <c r="P1786" i="3"/>
  <c r="O1787" i="3"/>
  <c r="P1787" i="3"/>
  <c r="O1788" i="3"/>
  <c r="P1788" i="3"/>
  <c r="O1789" i="3"/>
  <c r="P1789" i="3"/>
  <c r="K1790" i="3"/>
  <c r="L1790" i="3" s="1"/>
  <c r="O1790" i="3"/>
  <c r="P1790" i="3"/>
  <c r="O1791" i="3"/>
  <c r="P1791" i="3"/>
  <c r="O1792" i="3"/>
  <c r="P1792" i="3"/>
  <c r="K1793" i="3"/>
  <c r="L1793" i="3" s="1"/>
  <c r="O1793" i="3"/>
  <c r="P1793" i="3"/>
  <c r="O1794" i="3"/>
  <c r="P1794" i="3"/>
  <c r="O1795" i="3"/>
  <c r="P1795" i="3"/>
  <c r="K1796" i="3"/>
  <c r="L1796" i="3" s="1"/>
  <c r="O1796" i="3"/>
  <c r="P1796" i="3"/>
  <c r="K1797" i="3"/>
  <c r="L1797" i="3" s="1"/>
  <c r="O1797" i="3"/>
  <c r="P1797" i="3"/>
  <c r="O1798" i="3"/>
  <c r="P1798" i="3"/>
  <c r="O1799" i="3"/>
  <c r="P1799" i="3"/>
  <c r="O1800" i="3"/>
  <c r="P1800" i="3"/>
  <c r="O1801" i="3"/>
  <c r="P1801" i="3"/>
  <c r="O1802" i="3"/>
  <c r="P1802" i="3"/>
  <c r="O1803" i="3"/>
  <c r="P1803" i="3"/>
  <c r="O1804" i="3"/>
  <c r="P1804" i="3"/>
  <c r="O1805" i="3"/>
  <c r="P1805" i="3"/>
  <c r="O1806" i="3"/>
  <c r="P1806" i="3"/>
  <c r="O1807" i="3"/>
  <c r="P1807" i="3"/>
  <c r="O1808" i="3"/>
  <c r="P1808" i="3"/>
  <c r="O1809" i="3"/>
  <c r="P1809" i="3"/>
  <c r="O1810" i="3"/>
  <c r="P1810" i="3"/>
  <c r="O1811" i="3"/>
  <c r="P1811" i="3"/>
  <c r="K1812" i="3"/>
  <c r="L1812" i="3" s="1"/>
  <c r="O1812" i="3"/>
  <c r="P1812" i="3"/>
  <c r="K1813" i="3"/>
  <c r="L1813" i="3" s="1"/>
  <c r="O1813" i="3"/>
  <c r="P1813" i="3"/>
  <c r="K1814" i="3"/>
  <c r="L1814" i="3" s="1"/>
  <c r="O1814" i="3"/>
  <c r="P1814" i="3"/>
  <c r="O1815" i="3"/>
  <c r="P1815" i="3"/>
  <c r="O1816" i="3"/>
  <c r="P1816" i="3"/>
  <c r="O1817" i="3"/>
  <c r="P1817" i="3"/>
  <c r="K1818" i="3"/>
  <c r="L1818" i="3" s="1"/>
  <c r="O1818" i="3"/>
  <c r="P1818" i="3"/>
  <c r="O1819" i="3"/>
  <c r="P1819" i="3"/>
  <c r="K1820" i="3"/>
  <c r="L1820" i="3" s="1"/>
  <c r="O1820" i="3"/>
  <c r="P1820" i="3"/>
  <c r="O1821" i="3"/>
  <c r="P1821" i="3"/>
  <c r="O1822" i="3"/>
  <c r="P1822" i="3"/>
  <c r="O1823" i="3"/>
  <c r="P1823" i="3"/>
  <c r="K1824" i="3"/>
  <c r="L1824" i="3" s="1"/>
  <c r="O1824" i="3"/>
  <c r="P1824" i="3"/>
  <c r="O1825" i="3"/>
  <c r="P1825" i="3"/>
  <c r="O1826" i="3"/>
  <c r="P1826" i="3"/>
  <c r="O1827" i="3"/>
  <c r="P1827" i="3"/>
  <c r="O1828" i="3"/>
  <c r="P1828" i="3"/>
  <c r="O1829" i="3"/>
  <c r="P1829" i="3"/>
  <c r="O1830" i="3"/>
  <c r="P1830" i="3"/>
  <c r="O1831" i="3"/>
  <c r="P1831" i="3"/>
  <c r="O1832" i="3"/>
  <c r="P1832" i="3"/>
  <c r="O1833" i="3"/>
  <c r="P1833" i="3"/>
  <c r="O1834" i="3"/>
  <c r="P1834" i="3"/>
  <c r="K1835" i="3"/>
  <c r="L1835" i="3" s="1"/>
  <c r="O1835" i="3"/>
  <c r="P1835" i="3"/>
  <c r="O1836" i="3"/>
  <c r="P1836" i="3"/>
  <c r="O1837" i="3"/>
  <c r="P1837" i="3"/>
  <c r="O1838" i="3"/>
  <c r="P1838" i="3"/>
  <c r="O1839" i="3"/>
  <c r="P1839" i="3"/>
  <c r="O1840" i="3"/>
  <c r="P1840" i="3"/>
  <c r="K1841" i="3"/>
  <c r="L1841" i="3" s="1"/>
  <c r="O1841" i="3"/>
  <c r="P1841" i="3"/>
  <c r="O1842" i="3"/>
  <c r="P1842" i="3"/>
  <c r="K1843" i="3"/>
  <c r="L1843" i="3" s="1"/>
  <c r="O1843" i="3"/>
  <c r="P1843" i="3"/>
  <c r="O1844" i="3"/>
  <c r="P1844" i="3"/>
  <c r="O1845" i="3"/>
  <c r="P1845" i="3"/>
  <c r="O1846" i="3"/>
  <c r="P1846" i="3"/>
  <c r="O1847" i="3"/>
  <c r="P1847" i="3"/>
  <c r="O1848" i="3"/>
  <c r="P1848" i="3"/>
  <c r="O1849" i="3"/>
  <c r="P1849" i="3"/>
  <c r="K1850" i="3"/>
  <c r="L1850" i="3" s="1"/>
  <c r="O1850" i="3"/>
  <c r="P1850" i="3"/>
  <c r="O1851" i="3"/>
  <c r="P1851" i="3"/>
  <c r="O1852" i="3"/>
  <c r="P1852" i="3"/>
  <c r="O1853" i="3"/>
  <c r="P1853" i="3"/>
  <c r="O1854" i="3"/>
  <c r="P1854" i="3"/>
  <c r="O1855" i="3"/>
  <c r="P1855" i="3"/>
  <c r="O1856" i="3"/>
  <c r="P1856" i="3"/>
  <c r="O1857" i="3"/>
  <c r="P1857" i="3"/>
  <c r="O1858" i="3"/>
  <c r="P1858" i="3"/>
  <c r="O1859" i="3"/>
  <c r="P1859" i="3"/>
  <c r="O1860" i="3"/>
  <c r="P1860" i="3"/>
  <c r="O1861" i="3"/>
  <c r="P1861" i="3"/>
  <c r="O1862" i="3"/>
  <c r="P1862" i="3"/>
  <c r="O1863" i="3"/>
  <c r="P1863" i="3"/>
  <c r="K1864" i="3"/>
  <c r="L1864" i="3" s="1"/>
  <c r="O1864" i="3"/>
  <c r="P1864" i="3"/>
  <c r="O1865" i="3"/>
  <c r="P1865" i="3"/>
  <c r="O1866" i="3"/>
  <c r="P1866" i="3"/>
  <c r="O1867" i="3"/>
  <c r="P1867" i="3"/>
  <c r="K1868" i="3"/>
  <c r="L1868" i="3" s="1"/>
  <c r="O1868" i="3"/>
  <c r="P1868" i="3"/>
  <c r="O1869" i="3"/>
  <c r="P1869" i="3"/>
  <c r="O1870" i="3"/>
  <c r="P1870" i="3"/>
  <c r="O1871" i="3"/>
  <c r="P1871" i="3"/>
  <c r="O1872" i="3"/>
  <c r="P1872" i="3"/>
  <c r="K1873" i="3"/>
  <c r="L1873" i="3" s="1"/>
  <c r="O1873" i="3"/>
  <c r="P1873" i="3"/>
  <c r="O1874" i="3"/>
  <c r="P1874" i="3"/>
  <c r="O1875" i="3"/>
  <c r="P1875" i="3"/>
  <c r="K1876" i="3"/>
  <c r="L1876" i="3" s="1"/>
  <c r="O1876" i="3"/>
  <c r="P1876" i="3"/>
  <c r="K1877" i="3"/>
  <c r="L1877" i="3" s="1"/>
  <c r="O1877" i="3"/>
  <c r="P1877" i="3"/>
  <c r="O1878" i="3"/>
  <c r="P1878" i="3"/>
  <c r="K1879" i="3"/>
  <c r="L1879" i="3" s="1"/>
  <c r="O1879" i="3"/>
  <c r="P1879" i="3"/>
  <c r="O1880" i="3"/>
  <c r="P1880" i="3"/>
  <c r="O1881" i="3"/>
  <c r="P1881" i="3"/>
  <c r="O1882" i="3"/>
  <c r="P1882" i="3"/>
  <c r="K1883" i="3"/>
  <c r="L1883" i="3" s="1"/>
  <c r="O1883" i="3"/>
  <c r="P1883" i="3"/>
  <c r="O1884" i="3"/>
  <c r="P1884" i="3"/>
  <c r="O1885" i="3"/>
  <c r="P1885" i="3"/>
  <c r="O1886" i="3"/>
  <c r="P1886" i="3"/>
  <c r="K1887" i="3"/>
  <c r="L1887" i="3" s="1"/>
  <c r="O1887" i="3"/>
  <c r="P1887" i="3"/>
  <c r="O1888" i="3"/>
  <c r="P1888" i="3"/>
  <c r="O1889" i="3"/>
  <c r="P1889" i="3"/>
  <c r="K1890" i="3"/>
  <c r="L1890" i="3" s="1"/>
  <c r="O1890" i="3"/>
  <c r="P1890" i="3"/>
  <c r="O1891" i="3"/>
  <c r="P1891" i="3"/>
  <c r="O1892" i="3"/>
  <c r="P1892" i="3"/>
  <c r="K1893" i="3"/>
  <c r="L1893" i="3" s="1"/>
  <c r="O1893" i="3"/>
  <c r="P1893" i="3"/>
  <c r="K1894" i="3"/>
  <c r="L1894" i="3" s="1"/>
  <c r="O1894" i="3"/>
  <c r="P1894" i="3"/>
  <c r="O1895" i="3"/>
  <c r="P1895" i="3"/>
  <c r="O1896" i="3"/>
  <c r="P1896" i="3"/>
  <c r="O1897" i="3"/>
  <c r="P1897" i="3"/>
  <c r="K1898" i="3"/>
  <c r="L1898" i="3" s="1"/>
  <c r="O1898" i="3"/>
  <c r="P1898" i="3"/>
  <c r="O1899" i="3"/>
  <c r="P1899" i="3"/>
  <c r="O1900" i="3"/>
  <c r="P1900" i="3"/>
  <c r="O1901" i="3"/>
  <c r="P1901" i="3"/>
  <c r="K1902" i="3"/>
  <c r="L1902" i="3" s="1"/>
  <c r="O1902" i="3"/>
  <c r="P1902" i="3"/>
  <c r="K1903" i="3"/>
  <c r="L1903" i="3" s="1"/>
  <c r="O1903" i="3"/>
  <c r="P1903" i="3"/>
  <c r="K1904" i="3"/>
  <c r="L1904" i="3" s="1"/>
  <c r="O1904" i="3"/>
  <c r="P1904" i="3"/>
  <c r="O1905" i="3"/>
  <c r="P1905" i="3"/>
  <c r="K1906" i="3"/>
  <c r="L1906" i="3" s="1"/>
  <c r="O1906" i="3"/>
  <c r="P1906" i="3"/>
  <c r="O1907" i="3"/>
  <c r="P1907" i="3"/>
  <c r="K1908" i="3"/>
  <c r="L1908" i="3" s="1"/>
  <c r="O1908" i="3"/>
  <c r="P1908" i="3"/>
  <c r="O1909" i="3"/>
  <c r="P1909" i="3"/>
  <c r="O1910" i="3"/>
  <c r="P1910" i="3"/>
  <c r="O1911" i="3"/>
  <c r="P1911" i="3"/>
  <c r="O1912" i="3"/>
  <c r="P1912" i="3"/>
  <c r="O1913" i="3"/>
  <c r="P1913" i="3"/>
  <c r="O1914" i="3"/>
  <c r="P1914" i="3"/>
  <c r="O1915" i="3"/>
  <c r="P1915" i="3"/>
  <c r="K1916" i="3"/>
  <c r="L1916" i="3" s="1"/>
  <c r="O1916" i="3"/>
  <c r="P1916" i="3"/>
  <c r="O1917" i="3"/>
  <c r="P1917" i="3"/>
  <c r="O1918" i="3"/>
  <c r="P1918" i="3"/>
  <c r="O1919" i="3"/>
  <c r="P1919" i="3"/>
  <c r="O1920" i="3"/>
  <c r="P1920" i="3"/>
  <c r="K1921" i="3"/>
  <c r="L1921" i="3" s="1"/>
  <c r="O1921" i="3"/>
  <c r="P1921" i="3"/>
  <c r="O1922" i="3"/>
  <c r="P1922" i="3"/>
  <c r="K1923" i="3"/>
  <c r="L1923" i="3" s="1"/>
  <c r="O1923" i="3"/>
  <c r="P1923" i="3"/>
  <c r="K1924" i="3"/>
  <c r="L1924" i="3" s="1"/>
  <c r="O1924" i="3"/>
  <c r="P1924" i="3"/>
  <c r="K1925" i="3"/>
  <c r="L1925" i="3" s="1"/>
  <c r="O1925" i="3"/>
  <c r="P1925" i="3"/>
  <c r="O1926" i="3"/>
  <c r="P1926" i="3"/>
  <c r="K1927" i="3"/>
  <c r="L1927" i="3" s="1"/>
  <c r="O1927" i="3"/>
  <c r="P1927" i="3"/>
  <c r="K1928" i="3"/>
  <c r="L1928" i="3" s="1"/>
  <c r="O1928" i="3"/>
  <c r="P1928" i="3"/>
  <c r="O1929" i="3"/>
  <c r="P1929" i="3"/>
  <c r="O1930" i="3"/>
  <c r="P1930" i="3"/>
  <c r="O1931" i="3"/>
  <c r="P1931" i="3"/>
  <c r="O1932" i="3"/>
  <c r="P1932" i="3"/>
  <c r="K1933" i="3"/>
  <c r="L1933" i="3" s="1"/>
  <c r="O1933" i="3"/>
  <c r="P1933" i="3"/>
  <c r="O1934" i="3"/>
  <c r="P1934" i="3"/>
  <c r="O1935" i="3"/>
  <c r="P1935" i="3"/>
  <c r="O1936" i="3"/>
  <c r="P1936" i="3"/>
  <c r="K1937" i="3"/>
  <c r="L1937" i="3" s="1"/>
  <c r="O1937" i="3"/>
  <c r="P1937" i="3"/>
  <c r="O1938" i="3"/>
  <c r="P1938" i="3"/>
  <c r="O1939" i="3"/>
  <c r="P1939" i="3"/>
  <c r="O1940" i="3"/>
  <c r="P1940" i="3"/>
  <c r="K1941" i="3"/>
  <c r="L1941" i="3" s="1"/>
  <c r="O1941" i="3"/>
  <c r="P1941" i="3"/>
  <c r="O1942" i="3"/>
  <c r="P1942" i="3"/>
  <c r="O1943" i="3"/>
  <c r="P1943" i="3"/>
  <c r="O1944" i="3"/>
  <c r="P1944" i="3"/>
  <c r="K1945" i="3"/>
  <c r="L1945" i="3" s="1"/>
  <c r="O1945" i="3"/>
  <c r="P1945" i="3"/>
  <c r="O1946" i="3"/>
  <c r="P1946" i="3"/>
  <c r="O1947" i="3"/>
  <c r="P1947" i="3"/>
  <c r="K1948" i="3"/>
  <c r="L1948" i="3" s="1"/>
  <c r="O1948" i="3"/>
  <c r="P1948" i="3"/>
  <c r="O1949" i="3"/>
  <c r="P1949" i="3"/>
  <c r="O1950" i="3"/>
  <c r="P1950" i="3"/>
  <c r="K1951" i="3"/>
  <c r="L1951" i="3" s="1"/>
  <c r="O1951" i="3"/>
  <c r="P1951" i="3"/>
  <c r="K1952" i="3"/>
  <c r="L1952" i="3" s="1"/>
  <c r="O1952" i="3"/>
  <c r="P1952" i="3"/>
  <c r="O1953" i="3"/>
  <c r="P1953" i="3"/>
  <c r="K1954" i="3"/>
  <c r="L1954" i="3" s="1"/>
  <c r="O1954" i="3"/>
  <c r="P1954" i="3"/>
  <c r="O1955" i="3"/>
  <c r="P1955" i="3"/>
  <c r="O1956" i="3"/>
  <c r="P1956" i="3"/>
  <c r="O1957" i="3"/>
  <c r="P1957" i="3"/>
  <c r="K1958" i="3"/>
  <c r="L1958" i="3" s="1"/>
  <c r="O1958" i="3"/>
  <c r="P1958" i="3"/>
  <c r="O1959" i="3"/>
  <c r="P1959" i="3"/>
  <c r="K1960" i="3"/>
  <c r="L1960" i="3" s="1"/>
  <c r="O1960" i="3"/>
  <c r="P1960" i="3"/>
  <c r="K1961" i="3"/>
  <c r="L1961" i="3" s="1"/>
  <c r="O1961" i="3"/>
  <c r="P1961" i="3"/>
  <c r="K1962" i="3"/>
  <c r="L1962" i="3" s="1"/>
  <c r="O1962" i="3"/>
  <c r="P1962" i="3"/>
  <c r="O1963" i="3"/>
  <c r="P1963" i="3"/>
  <c r="K1964" i="3"/>
  <c r="L1964" i="3" s="1"/>
  <c r="O1964" i="3"/>
  <c r="P1964" i="3"/>
  <c r="K1965" i="3"/>
  <c r="L1965" i="3" s="1"/>
  <c r="O1965" i="3"/>
  <c r="P1965" i="3"/>
  <c r="K1966" i="3"/>
  <c r="L1966" i="3" s="1"/>
  <c r="O1966" i="3"/>
  <c r="P1966" i="3"/>
  <c r="K1967" i="3"/>
  <c r="L1967" i="3" s="1"/>
  <c r="O1967" i="3"/>
  <c r="P1967" i="3"/>
  <c r="O1968" i="3"/>
  <c r="P1968" i="3"/>
  <c r="O1969" i="3"/>
  <c r="P1969" i="3"/>
  <c r="O1970" i="3"/>
  <c r="P1970" i="3"/>
  <c r="O1971" i="3"/>
  <c r="P1971" i="3"/>
  <c r="O1972" i="3"/>
  <c r="P1972" i="3"/>
  <c r="O1973" i="3"/>
  <c r="P1973" i="3"/>
  <c r="O1974" i="3"/>
  <c r="P1974" i="3"/>
  <c r="O1975" i="3"/>
  <c r="P1975" i="3"/>
  <c r="O1976" i="3"/>
  <c r="P1976" i="3"/>
  <c r="K1977" i="3"/>
  <c r="L1977" i="3" s="1"/>
  <c r="O1977" i="3"/>
  <c r="P1977" i="3"/>
  <c r="O1978" i="3"/>
  <c r="P1978" i="3"/>
  <c r="K1979" i="3"/>
  <c r="L1979" i="3" s="1"/>
  <c r="O1979" i="3"/>
  <c r="P1979" i="3"/>
  <c r="O1980" i="3"/>
  <c r="P1980" i="3"/>
  <c r="O1981" i="3"/>
  <c r="P1981" i="3"/>
  <c r="K1982" i="3"/>
  <c r="L1982" i="3" s="1"/>
  <c r="O1982" i="3"/>
  <c r="P1982" i="3"/>
  <c r="O1983" i="3"/>
  <c r="P1983" i="3"/>
  <c r="O1984" i="3"/>
  <c r="P1984" i="3"/>
  <c r="K1985" i="3"/>
  <c r="L1985" i="3" s="1"/>
  <c r="O1985" i="3"/>
  <c r="P1985" i="3"/>
  <c r="O1986" i="3"/>
  <c r="P1986" i="3"/>
  <c r="O1987" i="3"/>
  <c r="P1987" i="3"/>
  <c r="O1988" i="3"/>
  <c r="P1988" i="3"/>
  <c r="K1989" i="3"/>
  <c r="L1989" i="3" s="1"/>
  <c r="O1989" i="3"/>
  <c r="P1989" i="3"/>
  <c r="O1990" i="3"/>
  <c r="P1990" i="3"/>
  <c r="K1991" i="3"/>
  <c r="L1991" i="3" s="1"/>
  <c r="O1991" i="3"/>
  <c r="P1991" i="3"/>
  <c r="O1992" i="3"/>
  <c r="P1992" i="3"/>
  <c r="K1993" i="3"/>
  <c r="L1993" i="3" s="1"/>
  <c r="O1993" i="3"/>
  <c r="P1993" i="3"/>
  <c r="K1994" i="3"/>
  <c r="L1994" i="3" s="1"/>
  <c r="O1994" i="3"/>
  <c r="P1994" i="3"/>
  <c r="K1995" i="3"/>
  <c r="L1995" i="3" s="1"/>
  <c r="O1995" i="3"/>
  <c r="P1995" i="3"/>
  <c r="O1996" i="3"/>
  <c r="P1996" i="3"/>
  <c r="O1997" i="3"/>
  <c r="P1997" i="3"/>
  <c r="O1998" i="3"/>
  <c r="P1998" i="3"/>
  <c r="O1999" i="3"/>
  <c r="P1999" i="3"/>
  <c r="O2000" i="3"/>
  <c r="P2000" i="3"/>
  <c r="O2001" i="3"/>
  <c r="P2001" i="3"/>
  <c r="O2002" i="3"/>
  <c r="P2002" i="3"/>
  <c r="K2003" i="3"/>
  <c r="L2003" i="3" s="1"/>
  <c r="O2003" i="3"/>
  <c r="P2003" i="3"/>
  <c r="O2004" i="3"/>
  <c r="P2004" i="3"/>
  <c r="O2005" i="3"/>
  <c r="P2005" i="3"/>
  <c r="O2006" i="3"/>
  <c r="P2006" i="3"/>
  <c r="O2007" i="3"/>
  <c r="P2007" i="3"/>
  <c r="O2008" i="3"/>
  <c r="P2008" i="3"/>
  <c r="O2009" i="3"/>
  <c r="P2009" i="3"/>
  <c r="O2010" i="3"/>
  <c r="P2010" i="3"/>
  <c r="K2011" i="3"/>
  <c r="L2011" i="3" s="1"/>
  <c r="O2011" i="3"/>
  <c r="P2011" i="3"/>
  <c r="K2012" i="3"/>
  <c r="L2012" i="3" s="1"/>
  <c r="O2012" i="3"/>
  <c r="P2012" i="3"/>
  <c r="O2013" i="3"/>
  <c r="P2013" i="3"/>
  <c r="K2014" i="3"/>
  <c r="L2014" i="3" s="1"/>
  <c r="O2014" i="3"/>
  <c r="P2014" i="3"/>
  <c r="K2015" i="3"/>
  <c r="L2015" i="3" s="1"/>
  <c r="O2015" i="3"/>
  <c r="P2015" i="3"/>
  <c r="K2016" i="3"/>
  <c r="L2016" i="3" s="1"/>
  <c r="O2016" i="3"/>
  <c r="P2016" i="3"/>
  <c r="O2017" i="3"/>
  <c r="P2017" i="3"/>
  <c r="O2018" i="3"/>
  <c r="P2018" i="3"/>
  <c r="O2019" i="3"/>
  <c r="P2019" i="3"/>
  <c r="O2020" i="3"/>
  <c r="P2020" i="3"/>
  <c r="O2021" i="3"/>
  <c r="P2021" i="3"/>
  <c r="O2022" i="3"/>
  <c r="P2022" i="3"/>
  <c r="K2023" i="3"/>
  <c r="L2023" i="3" s="1"/>
  <c r="O2023" i="3"/>
  <c r="P2023" i="3"/>
  <c r="K2024" i="3"/>
  <c r="L2024" i="3" s="1"/>
  <c r="O2024" i="3"/>
  <c r="P2024" i="3"/>
  <c r="O2025" i="3"/>
  <c r="P2025" i="3"/>
  <c r="K2026" i="3"/>
  <c r="L2026" i="3" s="1"/>
  <c r="O2026" i="3"/>
  <c r="P2026" i="3"/>
  <c r="O2027" i="3"/>
  <c r="P2027" i="3"/>
  <c r="K2028" i="3"/>
  <c r="L2028" i="3" s="1"/>
  <c r="O2028" i="3"/>
  <c r="P2028" i="3"/>
  <c r="O2029" i="3"/>
  <c r="P2029" i="3"/>
  <c r="K2030" i="3"/>
  <c r="L2030" i="3" s="1"/>
  <c r="O2030" i="3"/>
  <c r="P2030" i="3"/>
  <c r="K2031" i="3"/>
  <c r="L2031" i="3" s="1"/>
  <c r="O2031" i="3"/>
  <c r="P2031" i="3"/>
  <c r="O2032" i="3"/>
  <c r="P2032" i="3"/>
  <c r="K2033" i="3"/>
  <c r="L2033" i="3" s="1"/>
  <c r="O2033" i="3"/>
  <c r="P2033" i="3"/>
  <c r="O2034" i="3"/>
  <c r="P2034" i="3"/>
  <c r="K2035" i="3"/>
  <c r="L2035" i="3" s="1"/>
  <c r="O2035" i="3"/>
  <c r="P2035" i="3"/>
  <c r="K2036" i="3"/>
  <c r="L2036" i="3" s="1"/>
  <c r="O2036" i="3"/>
  <c r="P2036" i="3"/>
  <c r="K2037" i="3"/>
  <c r="L2037" i="3" s="1"/>
  <c r="O2037" i="3"/>
  <c r="P2037" i="3"/>
  <c r="O2038" i="3"/>
  <c r="P2038" i="3"/>
  <c r="O2039" i="3"/>
  <c r="P2039" i="3"/>
  <c r="K2040" i="3"/>
  <c r="L2040" i="3" s="1"/>
  <c r="O2040" i="3"/>
  <c r="P2040" i="3"/>
  <c r="K2041" i="3"/>
  <c r="L2041" i="3" s="1"/>
  <c r="O2041" i="3"/>
  <c r="P2041" i="3"/>
  <c r="O2042" i="3"/>
  <c r="P2042" i="3"/>
  <c r="O2043" i="3"/>
  <c r="P2043" i="3"/>
  <c r="O2044" i="3"/>
  <c r="P2044" i="3"/>
  <c r="K2045" i="3"/>
  <c r="L2045" i="3" s="1"/>
  <c r="O2045" i="3"/>
  <c r="P2045" i="3"/>
  <c r="K2046" i="3"/>
  <c r="L2046" i="3" s="1"/>
  <c r="O2046" i="3"/>
  <c r="P2046" i="3"/>
  <c r="O2047" i="3"/>
  <c r="P2047" i="3"/>
  <c r="K2048" i="3"/>
  <c r="L2048" i="3" s="1"/>
  <c r="O2048" i="3"/>
  <c r="P2048" i="3"/>
  <c r="O2049" i="3"/>
  <c r="P2049" i="3"/>
  <c r="O2050" i="3"/>
  <c r="P2050" i="3"/>
  <c r="K2051" i="3"/>
  <c r="L2051" i="3" s="1"/>
  <c r="O2051" i="3"/>
  <c r="P2051" i="3"/>
  <c r="K2052" i="3"/>
  <c r="L2052" i="3" s="1"/>
  <c r="O2052" i="3"/>
  <c r="P2052" i="3"/>
  <c r="K2053" i="3"/>
  <c r="L2053" i="3" s="1"/>
  <c r="O2053" i="3"/>
  <c r="P2053" i="3"/>
  <c r="O2054" i="3"/>
  <c r="P2054" i="3"/>
  <c r="K2055" i="3"/>
  <c r="L2055" i="3" s="1"/>
  <c r="O2055" i="3"/>
  <c r="P2055" i="3"/>
  <c r="O2056" i="3"/>
  <c r="P2056" i="3"/>
  <c r="K2057" i="3"/>
  <c r="L2057" i="3" s="1"/>
  <c r="O2057" i="3"/>
  <c r="P2057" i="3"/>
  <c r="O2058" i="3"/>
  <c r="P2058" i="3"/>
  <c r="O2059" i="3"/>
  <c r="P2059" i="3"/>
  <c r="O2060" i="3"/>
  <c r="P2060" i="3"/>
  <c r="O2061" i="3"/>
  <c r="P2061" i="3"/>
  <c r="K2062" i="3"/>
  <c r="L2062" i="3" s="1"/>
  <c r="O2062" i="3"/>
  <c r="P2062" i="3"/>
  <c r="K2063" i="3"/>
  <c r="L2063" i="3" s="1"/>
  <c r="O2063" i="3"/>
  <c r="P2063" i="3"/>
  <c r="O2064" i="3"/>
  <c r="P2064" i="3"/>
  <c r="O2065" i="3"/>
  <c r="P2065" i="3"/>
  <c r="K2066" i="3"/>
  <c r="L2066" i="3" s="1"/>
  <c r="O2066" i="3"/>
  <c r="P2066" i="3"/>
  <c r="O2067" i="3"/>
  <c r="P2067" i="3"/>
  <c r="O2068" i="3"/>
  <c r="P2068" i="3"/>
  <c r="O2069" i="3"/>
  <c r="P2069" i="3"/>
  <c r="O2070" i="3"/>
  <c r="P2070" i="3"/>
  <c r="K2071" i="3"/>
  <c r="L2071" i="3" s="1"/>
  <c r="O2071" i="3"/>
  <c r="P2071" i="3"/>
  <c r="O2072" i="3"/>
  <c r="P2072" i="3"/>
  <c r="K2073" i="3"/>
  <c r="L2073" i="3" s="1"/>
  <c r="O2073" i="3"/>
  <c r="P2073" i="3"/>
  <c r="O2074" i="3"/>
  <c r="P2074" i="3"/>
  <c r="O2075" i="3"/>
  <c r="P2075" i="3"/>
  <c r="K2076" i="3"/>
  <c r="L2076" i="3" s="1"/>
  <c r="O2076" i="3"/>
  <c r="P2076" i="3"/>
  <c r="K2077" i="3"/>
  <c r="L2077" i="3" s="1"/>
  <c r="O2077" i="3"/>
  <c r="P2077" i="3"/>
  <c r="K2078" i="3"/>
  <c r="L2078" i="3" s="1"/>
  <c r="O2078" i="3"/>
  <c r="P2078" i="3"/>
  <c r="O2079" i="3"/>
  <c r="P2079" i="3"/>
  <c r="O2080" i="3"/>
  <c r="P2080" i="3"/>
  <c r="K2081" i="3"/>
  <c r="L2081" i="3" s="1"/>
  <c r="O2081" i="3"/>
  <c r="P2081" i="3"/>
  <c r="O2082" i="3"/>
  <c r="P2082" i="3"/>
  <c r="K2083" i="3"/>
  <c r="L2083" i="3" s="1"/>
  <c r="O2083" i="3"/>
  <c r="P2083" i="3"/>
  <c r="K2084" i="3"/>
  <c r="L2084" i="3" s="1"/>
  <c r="O2084" i="3"/>
  <c r="P2084" i="3"/>
  <c r="O2085" i="3"/>
  <c r="P2085" i="3"/>
  <c r="K2086" i="3"/>
  <c r="L2086" i="3" s="1"/>
  <c r="O2086" i="3"/>
  <c r="P2086" i="3"/>
  <c r="K2087" i="3"/>
  <c r="L2087" i="3" s="1"/>
  <c r="O2087" i="3"/>
  <c r="P2087" i="3"/>
  <c r="K2088" i="3"/>
  <c r="L2088" i="3" s="1"/>
  <c r="O2088" i="3"/>
  <c r="P2088" i="3"/>
  <c r="O2089" i="3"/>
  <c r="P2089" i="3"/>
  <c r="K2090" i="3"/>
  <c r="L2090" i="3" s="1"/>
  <c r="O2090" i="3"/>
  <c r="P2090" i="3"/>
  <c r="O2091" i="3"/>
  <c r="P2091" i="3"/>
  <c r="O2092" i="3"/>
  <c r="P2092" i="3"/>
  <c r="O2093" i="3"/>
  <c r="P2093" i="3"/>
  <c r="O2094" i="3"/>
  <c r="P2094" i="3"/>
  <c r="K2095" i="3"/>
  <c r="L2095" i="3" s="1"/>
  <c r="O2095" i="3"/>
  <c r="P2095" i="3"/>
  <c r="O2096" i="3"/>
  <c r="P2096" i="3"/>
  <c r="O2097" i="3"/>
  <c r="P2097" i="3"/>
  <c r="O2098" i="3"/>
  <c r="P2098" i="3"/>
  <c r="K2099" i="3"/>
  <c r="L2099" i="3" s="1"/>
  <c r="O2099" i="3"/>
  <c r="P2099" i="3"/>
  <c r="O2100" i="3"/>
  <c r="P2100" i="3"/>
  <c r="O2101" i="3"/>
  <c r="P2101" i="3"/>
  <c r="K2102" i="3"/>
  <c r="L2102" i="3" s="1"/>
  <c r="O2102" i="3"/>
  <c r="P2102" i="3"/>
  <c r="O2103" i="3"/>
  <c r="P2103" i="3"/>
  <c r="O2104" i="3"/>
  <c r="P2104" i="3"/>
  <c r="K2105" i="3"/>
  <c r="L2105" i="3" s="1"/>
  <c r="O2105" i="3"/>
  <c r="P2105" i="3"/>
  <c r="O2106" i="3"/>
  <c r="P2106" i="3"/>
  <c r="O2107" i="3"/>
  <c r="P2107" i="3"/>
  <c r="O2108" i="3"/>
  <c r="P2108" i="3"/>
  <c r="K2109" i="3"/>
  <c r="L2109" i="3" s="1"/>
  <c r="O2109" i="3"/>
  <c r="P2109" i="3"/>
  <c r="O2110" i="3"/>
  <c r="P2110" i="3"/>
  <c r="K2111" i="3"/>
  <c r="L2111" i="3" s="1"/>
  <c r="O2111" i="3"/>
  <c r="P2111" i="3"/>
  <c r="O2112" i="3"/>
  <c r="P2112" i="3"/>
  <c r="K2113" i="3"/>
  <c r="L2113" i="3" s="1"/>
  <c r="O2113" i="3"/>
  <c r="P2113" i="3"/>
  <c r="K2114" i="3"/>
  <c r="L2114" i="3" s="1"/>
  <c r="O2114" i="3"/>
  <c r="P2114" i="3"/>
  <c r="O2115" i="3"/>
  <c r="P2115" i="3"/>
  <c r="O2116" i="3"/>
  <c r="P2116" i="3"/>
  <c r="O2117" i="3"/>
  <c r="P2117" i="3"/>
  <c r="K2118" i="3"/>
  <c r="L2118" i="3" s="1"/>
  <c r="O2118" i="3"/>
  <c r="P2118" i="3"/>
  <c r="O2119" i="3"/>
  <c r="P2119" i="3"/>
  <c r="K2120" i="3"/>
  <c r="L2120" i="3" s="1"/>
  <c r="O2120" i="3"/>
  <c r="P2120" i="3"/>
  <c r="O2121" i="3"/>
  <c r="P2121" i="3"/>
  <c r="K2122" i="3"/>
  <c r="L2122" i="3" s="1"/>
  <c r="O2122" i="3"/>
  <c r="P2122" i="3"/>
  <c r="K2123" i="3"/>
  <c r="L2123" i="3" s="1"/>
  <c r="O2123" i="3"/>
  <c r="P2123" i="3"/>
  <c r="O2124" i="3"/>
  <c r="P2124" i="3"/>
  <c r="K2125" i="3"/>
  <c r="L2125" i="3" s="1"/>
  <c r="O2125" i="3"/>
  <c r="P2125" i="3"/>
  <c r="O2126" i="3"/>
  <c r="P2126" i="3"/>
  <c r="O2127" i="3"/>
  <c r="P2127" i="3"/>
  <c r="K2128" i="3"/>
  <c r="L2128" i="3" s="1"/>
  <c r="O2128" i="3"/>
  <c r="P2128" i="3"/>
  <c r="O2129" i="3"/>
  <c r="P2129" i="3"/>
  <c r="K2130" i="3"/>
  <c r="L2130" i="3" s="1"/>
  <c r="O2130" i="3"/>
  <c r="P2130" i="3"/>
  <c r="K2131" i="3"/>
  <c r="L2131" i="3" s="1"/>
  <c r="O2131" i="3"/>
  <c r="P2131" i="3"/>
  <c r="K2132" i="3"/>
  <c r="L2132" i="3" s="1"/>
  <c r="O2132" i="3"/>
  <c r="P2132" i="3"/>
  <c r="O2133" i="3"/>
  <c r="P2133" i="3"/>
  <c r="K2134" i="3"/>
  <c r="L2134" i="3" s="1"/>
  <c r="O2134" i="3"/>
  <c r="P2134" i="3"/>
  <c r="O2135" i="3"/>
  <c r="P2135" i="3"/>
  <c r="O2136" i="3"/>
  <c r="P2136" i="3"/>
  <c r="K2137" i="3"/>
  <c r="L2137" i="3" s="1"/>
  <c r="O2137" i="3"/>
  <c r="P2137" i="3"/>
  <c r="K2138" i="3"/>
  <c r="L2138" i="3" s="1"/>
  <c r="O2138" i="3"/>
  <c r="P2138" i="3"/>
  <c r="O2139" i="3"/>
  <c r="P2139" i="3"/>
  <c r="K2140" i="3"/>
  <c r="L2140" i="3" s="1"/>
  <c r="O2140" i="3"/>
  <c r="P2140" i="3"/>
  <c r="K2141" i="3"/>
  <c r="L2141" i="3" s="1"/>
  <c r="O2141" i="3"/>
  <c r="P2141" i="3"/>
  <c r="K2142" i="3"/>
  <c r="L2142" i="3" s="1"/>
  <c r="O2142" i="3"/>
  <c r="P2142" i="3"/>
  <c r="K2143" i="3"/>
  <c r="L2143" i="3" s="1"/>
  <c r="O2143" i="3"/>
  <c r="P2143" i="3"/>
  <c r="O2144" i="3"/>
  <c r="P2144" i="3"/>
  <c r="O2145" i="3"/>
  <c r="P2145" i="3"/>
  <c r="O2146" i="3"/>
  <c r="P2146" i="3"/>
  <c r="O2147" i="3"/>
  <c r="P2147" i="3"/>
  <c r="K2148" i="3"/>
  <c r="L2148" i="3" s="1"/>
  <c r="O2148" i="3"/>
  <c r="P2148" i="3"/>
  <c r="K2149" i="3"/>
  <c r="L2149" i="3" s="1"/>
  <c r="O2149" i="3"/>
  <c r="P2149" i="3"/>
  <c r="O2150" i="3"/>
  <c r="P2150" i="3"/>
  <c r="O2151" i="3"/>
  <c r="P2151" i="3"/>
  <c r="O2152" i="3"/>
  <c r="P2152" i="3"/>
  <c r="O2153" i="3"/>
  <c r="P2153" i="3"/>
  <c r="O2154" i="3"/>
  <c r="P2154" i="3"/>
  <c r="K2155" i="3"/>
  <c r="L2155" i="3" s="1"/>
  <c r="O2155" i="3"/>
  <c r="P2155" i="3"/>
  <c r="O2156" i="3"/>
  <c r="P2156" i="3"/>
  <c r="K2157" i="3"/>
  <c r="L2157" i="3" s="1"/>
  <c r="O2157" i="3"/>
  <c r="P2157" i="3"/>
  <c r="O2158" i="3"/>
  <c r="P2158" i="3"/>
  <c r="K2159" i="3"/>
  <c r="L2159" i="3" s="1"/>
  <c r="O2159" i="3"/>
  <c r="P2159" i="3"/>
  <c r="O2160" i="3"/>
  <c r="P2160" i="3"/>
  <c r="O2161" i="3"/>
  <c r="P2161" i="3"/>
  <c r="O2162" i="3"/>
  <c r="P2162" i="3"/>
  <c r="K2163" i="3"/>
  <c r="L2163" i="3" s="1"/>
  <c r="O2163" i="3"/>
  <c r="P2163" i="3"/>
  <c r="K2164" i="3"/>
  <c r="L2164" i="3" s="1"/>
  <c r="O2164" i="3"/>
  <c r="P2164" i="3"/>
  <c r="K2165" i="3"/>
  <c r="L2165" i="3" s="1"/>
  <c r="O2165" i="3"/>
  <c r="P2165" i="3"/>
  <c r="O2166" i="3"/>
  <c r="P2166" i="3"/>
  <c r="K2167" i="3"/>
  <c r="L2167" i="3" s="1"/>
  <c r="O2167" i="3"/>
  <c r="P2167" i="3"/>
  <c r="K2168" i="3"/>
  <c r="L2168" i="3" s="1"/>
  <c r="O2168" i="3"/>
  <c r="P2168" i="3"/>
  <c r="K2169" i="3"/>
  <c r="L2169" i="3" s="1"/>
  <c r="O2169" i="3"/>
  <c r="P2169" i="3"/>
  <c r="K2170" i="3"/>
  <c r="L2170" i="3" s="1"/>
  <c r="O2170" i="3"/>
  <c r="P2170" i="3"/>
  <c r="K2171" i="3"/>
  <c r="L2171" i="3" s="1"/>
  <c r="O2171" i="3"/>
  <c r="P2171" i="3"/>
  <c r="K2172" i="3"/>
  <c r="L2172" i="3" s="1"/>
  <c r="O2172" i="3"/>
  <c r="P2172" i="3"/>
  <c r="K2173" i="3"/>
  <c r="L2173" i="3" s="1"/>
  <c r="O2173" i="3"/>
  <c r="P2173" i="3"/>
  <c r="O2174" i="3"/>
  <c r="P2174" i="3"/>
  <c r="O2175" i="3"/>
  <c r="P2175" i="3"/>
  <c r="K2176" i="3"/>
  <c r="L2176" i="3" s="1"/>
  <c r="O2176" i="3"/>
  <c r="P2176" i="3"/>
  <c r="K2177" i="3"/>
  <c r="L2177" i="3" s="1"/>
  <c r="O2177" i="3"/>
  <c r="P2177" i="3"/>
  <c r="K2178" i="3"/>
  <c r="L2178" i="3" s="1"/>
  <c r="O2178" i="3"/>
  <c r="P2178" i="3"/>
  <c r="K2179" i="3"/>
  <c r="L2179" i="3" s="1"/>
  <c r="O2179" i="3"/>
  <c r="P2179" i="3"/>
  <c r="K2180" i="3"/>
  <c r="L2180" i="3" s="1"/>
  <c r="O2180" i="3"/>
  <c r="P2180" i="3"/>
  <c r="O2181" i="3"/>
  <c r="P2181" i="3"/>
  <c r="O2182" i="3"/>
  <c r="P2182" i="3"/>
  <c r="K2183" i="3"/>
  <c r="L2183" i="3" s="1"/>
  <c r="O2183" i="3"/>
  <c r="P2183" i="3"/>
  <c r="O2184" i="3"/>
  <c r="P2184" i="3"/>
  <c r="K2185" i="3"/>
  <c r="L2185" i="3" s="1"/>
  <c r="O2185" i="3"/>
  <c r="P2185" i="3"/>
  <c r="O2186" i="3"/>
  <c r="P2186" i="3"/>
  <c r="O2187" i="3"/>
  <c r="P2187" i="3"/>
  <c r="K2188" i="3"/>
  <c r="L2188" i="3" s="1"/>
  <c r="O2188" i="3"/>
  <c r="P2188" i="3"/>
  <c r="O2189" i="3"/>
  <c r="P2189" i="3"/>
  <c r="O2190" i="3"/>
  <c r="P2190" i="3"/>
  <c r="O2191" i="3"/>
  <c r="P2191" i="3"/>
  <c r="K2192" i="3"/>
  <c r="L2192" i="3" s="1"/>
  <c r="O2192" i="3"/>
  <c r="P2192" i="3"/>
  <c r="O2193" i="3"/>
  <c r="P2193" i="3"/>
  <c r="O2194" i="3"/>
  <c r="P2194" i="3"/>
  <c r="K2195" i="3"/>
  <c r="L2195" i="3" s="1"/>
  <c r="O2195" i="3"/>
  <c r="P2195" i="3"/>
  <c r="O2196" i="3"/>
  <c r="P2196" i="3"/>
  <c r="K2197" i="3"/>
  <c r="L2197" i="3" s="1"/>
  <c r="O2197" i="3"/>
  <c r="P2197" i="3"/>
  <c r="K2198" i="3"/>
  <c r="L2198" i="3" s="1"/>
  <c r="O2198" i="3"/>
  <c r="P2198" i="3"/>
  <c r="K2199" i="3"/>
  <c r="L2199" i="3" s="1"/>
  <c r="O2199" i="3"/>
  <c r="P2199" i="3"/>
  <c r="K2200" i="3"/>
  <c r="L2200" i="3" s="1"/>
  <c r="O2200" i="3"/>
  <c r="P2200" i="3"/>
  <c r="O2201" i="3"/>
  <c r="P2201" i="3"/>
  <c r="O2202" i="3"/>
  <c r="P2202" i="3"/>
  <c r="K2203" i="3"/>
  <c r="L2203" i="3" s="1"/>
  <c r="O2203" i="3"/>
  <c r="P2203" i="3"/>
  <c r="K2204" i="3"/>
  <c r="L2204" i="3" s="1"/>
  <c r="O2204" i="3"/>
  <c r="P2204" i="3"/>
  <c r="O2205" i="3"/>
  <c r="P2205" i="3"/>
  <c r="K2206" i="3"/>
  <c r="L2206" i="3" s="1"/>
  <c r="O2206" i="3"/>
  <c r="P2206" i="3"/>
  <c r="K2207" i="3"/>
  <c r="L2207" i="3" s="1"/>
  <c r="O2207" i="3"/>
  <c r="P2207" i="3"/>
  <c r="K2208" i="3"/>
  <c r="L2208" i="3" s="1"/>
  <c r="O2208" i="3"/>
  <c r="P2208" i="3"/>
  <c r="O2209" i="3"/>
  <c r="P2209" i="3"/>
  <c r="O2210" i="3"/>
  <c r="P2210" i="3"/>
  <c r="K2211" i="3"/>
  <c r="L2211" i="3" s="1"/>
  <c r="O2211" i="3"/>
  <c r="P2211" i="3"/>
  <c r="K2212" i="3"/>
  <c r="L2212" i="3" s="1"/>
  <c r="O2212" i="3"/>
  <c r="P2212" i="3"/>
  <c r="K2213" i="3"/>
  <c r="L2213" i="3" s="1"/>
  <c r="O2213" i="3"/>
  <c r="P2213" i="3"/>
  <c r="K2214" i="3"/>
  <c r="L2214" i="3" s="1"/>
  <c r="O2214" i="3"/>
  <c r="P2214" i="3"/>
  <c r="O2215" i="3"/>
  <c r="P2215" i="3"/>
  <c r="K2216" i="3"/>
  <c r="L2216" i="3" s="1"/>
  <c r="O2216" i="3"/>
  <c r="P2216" i="3"/>
  <c r="O2217" i="3"/>
  <c r="P2217" i="3"/>
  <c r="K2218" i="3"/>
  <c r="L2218" i="3" s="1"/>
  <c r="O2218" i="3"/>
  <c r="P2218" i="3"/>
  <c r="O2219" i="3"/>
  <c r="P2219" i="3"/>
  <c r="K2220" i="3"/>
  <c r="L2220" i="3" s="1"/>
  <c r="O2220" i="3"/>
  <c r="P2220" i="3"/>
  <c r="K2221" i="3"/>
  <c r="L2221" i="3" s="1"/>
  <c r="O2221" i="3"/>
  <c r="P2221" i="3"/>
  <c r="K2222" i="3"/>
  <c r="L2222" i="3" s="1"/>
  <c r="O2222" i="3"/>
  <c r="P2222" i="3"/>
  <c r="K2223" i="3"/>
  <c r="L2223" i="3" s="1"/>
  <c r="O2223" i="3"/>
  <c r="P2223" i="3"/>
  <c r="O2224" i="3"/>
  <c r="P2224" i="3"/>
  <c r="K2225" i="3"/>
  <c r="L2225" i="3" s="1"/>
  <c r="O2225" i="3"/>
  <c r="P2225" i="3"/>
  <c r="K2226" i="3"/>
  <c r="L2226" i="3" s="1"/>
  <c r="O2226" i="3"/>
  <c r="P2226" i="3"/>
  <c r="K2227" i="3"/>
  <c r="L2227" i="3" s="1"/>
  <c r="O2227" i="3"/>
  <c r="P2227" i="3"/>
  <c r="K2228" i="3"/>
  <c r="L2228" i="3" s="1"/>
  <c r="O2228" i="3"/>
  <c r="P2228" i="3"/>
  <c r="O2229" i="3"/>
  <c r="P2229" i="3"/>
  <c r="K2230" i="3"/>
  <c r="L2230" i="3" s="1"/>
  <c r="O2230" i="3"/>
  <c r="P2230" i="3"/>
  <c r="K2231" i="3"/>
  <c r="L2231" i="3" s="1"/>
  <c r="O2231" i="3"/>
  <c r="P2231" i="3"/>
  <c r="O2232" i="3"/>
  <c r="P2232" i="3"/>
  <c r="K2233" i="3"/>
  <c r="L2233" i="3" s="1"/>
  <c r="O2233" i="3"/>
  <c r="P2233" i="3"/>
  <c r="K2234" i="3"/>
  <c r="L2234" i="3" s="1"/>
  <c r="O2234" i="3"/>
  <c r="P2234" i="3"/>
  <c r="O2235" i="3"/>
  <c r="P2235" i="3"/>
  <c r="O2236" i="3"/>
  <c r="P2236" i="3"/>
  <c r="K2237" i="3"/>
  <c r="L2237" i="3" s="1"/>
  <c r="O2237" i="3"/>
  <c r="P2237" i="3"/>
  <c r="O2238" i="3"/>
  <c r="P2238" i="3"/>
  <c r="O2239" i="3"/>
  <c r="P2239" i="3"/>
  <c r="O2240" i="3"/>
  <c r="P2240" i="3"/>
  <c r="O2241" i="3"/>
  <c r="P2241" i="3"/>
  <c r="O2242" i="3"/>
  <c r="P2242" i="3"/>
  <c r="K2243" i="3"/>
  <c r="L2243" i="3" s="1"/>
  <c r="O2243" i="3"/>
  <c r="P2243" i="3"/>
  <c r="K2244" i="3"/>
  <c r="L2244" i="3" s="1"/>
  <c r="O2244" i="3"/>
  <c r="P2244" i="3"/>
  <c r="K2245" i="3"/>
  <c r="L2245" i="3" s="1"/>
  <c r="O2245" i="3"/>
  <c r="P2245" i="3"/>
  <c r="K2246" i="3"/>
  <c r="L2246" i="3" s="1"/>
  <c r="O2246" i="3"/>
  <c r="P2246" i="3"/>
  <c r="K2247" i="3"/>
  <c r="L2247" i="3" s="1"/>
  <c r="O2247" i="3"/>
  <c r="P2247" i="3"/>
  <c r="K2248" i="3"/>
  <c r="L2248" i="3" s="1"/>
  <c r="O2248" i="3"/>
  <c r="P2248" i="3"/>
  <c r="K2249" i="3"/>
  <c r="L2249" i="3" s="1"/>
  <c r="O2249" i="3"/>
  <c r="P2249" i="3"/>
  <c r="K2250" i="3"/>
  <c r="L2250" i="3" s="1"/>
  <c r="O2250" i="3"/>
  <c r="P2250" i="3"/>
  <c r="O2251" i="3"/>
  <c r="P2251" i="3"/>
  <c r="O2252" i="3"/>
  <c r="P2252" i="3"/>
  <c r="K2253" i="3"/>
  <c r="L2253" i="3" s="1"/>
  <c r="O2253" i="3"/>
  <c r="P2253" i="3"/>
  <c r="K2254" i="3"/>
  <c r="L2254" i="3" s="1"/>
  <c r="O2254" i="3"/>
  <c r="P2254" i="3"/>
  <c r="K2255" i="3"/>
  <c r="L2255" i="3" s="1"/>
  <c r="O2255" i="3"/>
  <c r="P2255" i="3"/>
  <c r="K2256" i="3"/>
  <c r="L2256" i="3" s="1"/>
  <c r="O2256" i="3"/>
  <c r="P2256" i="3"/>
  <c r="K2257" i="3"/>
  <c r="L2257" i="3" s="1"/>
  <c r="O2257" i="3"/>
  <c r="P2257" i="3"/>
  <c r="O2258" i="3"/>
  <c r="P2258" i="3"/>
  <c r="O2259" i="3"/>
  <c r="P2259" i="3"/>
  <c r="K2260" i="3"/>
  <c r="L2260" i="3" s="1"/>
  <c r="O2260" i="3"/>
  <c r="P2260" i="3"/>
  <c r="K2261" i="3"/>
  <c r="L2261" i="3" s="1"/>
  <c r="O2261" i="3"/>
  <c r="P2261" i="3"/>
  <c r="K2262" i="3"/>
  <c r="L2262" i="3" s="1"/>
  <c r="O2262" i="3"/>
  <c r="P2262" i="3"/>
  <c r="K2263" i="3"/>
  <c r="L2263" i="3" s="1"/>
  <c r="O2263" i="3"/>
  <c r="P2263" i="3"/>
  <c r="O2264" i="3"/>
  <c r="P2264" i="3"/>
  <c r="K2265" i="3"/>
  <c r="L2265" i="3" s="1"/>
  <c r="O2265" i="3"/>
  <c r="P2265" i="3"/>
  <c r="O2266" i="3"/>
  <c r="P2266" i="3"/>
  <c r="O2267" i="3"/>
  <c r="P2267" i="3"/>
  <c r="O2268" i="3"/>
  <c r="P2268" i="3"/>
  <c r="K2269" i="3"/>
  <c r="L2269" i="3" s="1"/>
  <c r="O2269" i="3"/>
  <c r="P2269" i="3"/>
  <c r="K2270" i="3"/>
  <c r="L2270" i="3" s="1"/>
  <c r="O2270" i="3"/>
  <c r="P2270" i="3"/>
  <c r="K2271" i="3"/>
  <c r="L2271" i="3" s="1"/>
  <c r="O2271" i="3"/>
  <c r="P2271" i="3"/>
  <c r="O2272" i="3"/>
  <c r="P2272" i="3"/>
  <c r="K2273" i="3"/>
  <c r="L2273" i="3" s="1"/>
  <c r="O2273" i="3"/>
  <c r="P2273" i="3"/>
  <c r="K2274" i="3"/>
  <c r="L2274" i="3" s="1"/>
  <c r="O2274" i="3"/>
  <c r="P2274" i="3"/>
  <c r="O2275" i="3"/>
  <c r="P2275" i="3"/>
  <c r="K2276" i="3"/>
  <c r="L2276" i="3" s="1"/>
  <c r="O2276" i="3"/>
  <c r="P2276" i="3"/>
  <c r="O2277" i="3"/>
  <c r="P2277" i="3"/>
  <c r="O2278" i="3"/>
  <c r="P2278" i="3"/>
  <c r="K2279" i="3"/>
  <c r="L2279" i="3" s="1"/>
  <c r="O2279" i="3"/>
  <c r="P2279" i="3"/>
  <c r="K2280" i="3"/>
  <c r="L2280" i="3" s="1"/>
  <c r="O2280" i="3"/>
  <c r="P2280" i="3"/>
  <c r="K2281" i="3"/>
  <c r="L2281" i="3" s="1"/>
  <c r="O2281" i="3"/>
  <c r="P2281" i="3"/>
  <c r="K2282" i="3"/>
  <c r="L2282" i="3" s="1"/>
  <c r="O2282" i="3"/>
  <c r="P2282" i="3"/>
  <c r="O2283" i="3"/>
  <c r="P2283" i="3"/>
  <c r="O2284" i="3"/>
  <c r="P2284" i="3"/>
  <c r="K2285" i="3"/>
  <c r="L2285" i="3" s="1"/>
  <c r="O2285" i="3"/>
  <c r="P2285" i="3"/>
  <c r="K2286" i="3"/>
  <c r="L2286" i="3" s="1"/>
  <c r="O2286" i="3"/>
  <c r="P2286" i="3"/>
  <c r="K2287" i="3"/>
  <c r="L2287" i="3" s="1"/>
  <c r="O2287" i="3"/>
  <c r="P2287" i="3"/>
  <c r="K2288" i="3"/>
  <c r="L2288" i="3" s="1"/>
  <c r="O2288" i="3"/>
  <c r="P2288" i="3"/>
  <c r="O2289" i="3"/>
  <c r="P2289" i="3"/>
  <c r="K2290" i="3"/>
  <c r="L2290" i="3" s="1"/>
  <c r="O2290" i="3"/>
  <c r="P2290" i="3"/>
  <c r="O2291" i="3"/>
  <c r="P2291" i="3"/>
  <c r="K2292" i="3"/>
  <c r="L2292" i="3" s="1"/>
  <c r="O2292" i="3"/>
  <c r="P2292" i="3"/>
  <c r="K2293" i="3"/>
  <c r="L2293" i="3" s="1"/>
  <c r="O2293" i="3"/>
  <c r="P2293" i="3"/>
  <c r="K2294" i="3"/>
  <c r="L2294" i="3" s="1"/>
  <c r="O2294" i="3"/>
  <c r="P2294" i="3"/>
  <c r="K2295" i="3"/>
  <c r="L2295" i="3" s="1"/>
  <c r="O2295" i="3"/>
  <c r="P2295" i="3"/>
  <c r="O2296" i="3"/>
  <c r="P2296" i="3"/>
  <c r="K2297" i="3"/>
  <c r="L2297" i="3" s="1"/>
  <c r="O2297" i="3"/>
  <c r="P2297" i="3"/>
  <c r="O2298" i="3"/>
  <c r="P2298" i="3"/>
  <c r="O2299" i="3"/>
  <c r="P2299" i="3"/>
  <c r="K2300" i="3"/>
  <c r="L2300" i="3" s="1"/>
  <c r="O2300" i="3"/>
  <c r="P2300" i="3"/>
  <c r="K2301" i="3"/>
  <c r="L2301" i="3" s="1"/>
  <c r="O2301" i="3"/>
  <c r="P2301" i="3"/>
  <c r="O2302" i="3"/>
  <c r="P2302" i="3"/>
  <c r="K2303" i="3"/>
  <c r="L2303" i="3" s="1"/>
  <c r="O2303" i="3"/>
  <c r="P2303" i="3"/>
  <c r="K2304" i="3"/>
  <c r="L2304" i="3" s="1"/>
  <c r="O2304" i="3"/>
  <c r="P2304" i="3"/>
  <c r="O2305" i="3"/>
  <c r="P2305" i="3"/>
  <c r="O2306" i="3"/>
  <c r="P2306" i="3"/>
  <c r="K2307" i="3"/>
  <c r="L2307" i="3" s="1"/>
  <c r="O2307" i="3"/>
  <c r="P2307" i="3"/>
  <c r="K2308" i="3"/>
  <c r="L2308" i="3" s="1"/>
  <c r="O2308" i="3"/>
  <c r="P2308" i="3"/>
  <c r="K2309" i="3"/>
  <c r="L2309" i="3" s="1"/>
  <c r="O2309" i="3"/>
  <c r="P2309" i="3"/>
  <c r="K2310" i="3"/>
  <c r="L2310" i="3" s="1"/>
  <c r="O2310" i="3"/>
  <c r="P2310" i="3"/>
  <c r="K2311" i="3"/>
  <c r="L2311" i="3" s="1"/>
  <c r="O2311" i="3"/>
  <c r="P2311" i="3"/>
  <c r="O2312" i="3"/>
  <c r="P2312" i="3"/>
  <c r="K2313" i="3"/>
  <c r="L2313" i="3" s="1"/>
  <c r="O2313" i="3"/>
  <c r="P2313" i="3"/>
  <c r="K2314" i="3"/>
  <c r="L2314" i="3" s="1"/>
  <c r="O2314" i="3"/>
  <c r="P2314" i="3"/>
  <c r="O2315" i="3"/>
  <c r="P2315" i="3"/>
  <c r="O2316" i="3"/>
  <c r="P2316" i="3"/>
  <c r="O2317" i="3"/>
  <c r="P2317" i="3"/>
  <c r="O2318" i="3"/>
  <c r="P2318" i="3"/>
  <c r="K2319" i="3"/>
  <c r="L2319" i="3" s="1"/>
  <c r="O2319" i="3"/>
  <c r="P2319" i="3"/>
  <c r="K2320" i="3"/>
  <c r="L2320" i="3" s="1"/>
  <c r="O2320" i="3"/>
  <c r="P2320" i="3"/>
  <c r="O2321" i="3"/>
  <c r="P2321" i="3"/>
  <c r="O2322" i="3"/>
  <c r="P2322" i="3"/>
  <c r="O2323" i="3"/>
  <c r="P2323" i="3"/>
  <c r="K2324" i="3"/>
  <c r="L2324" i="3" s="1"/>
  <c r="O2324" i="3"/>
  <c r="P2324" i="3"/>
  <c r="K2325" i="3"/>
  <c r="L2325" i="3" s="1"/>
  <c r="O2325" i="3"/>
  <c r="P2325" i="3"/>
  <c r="O2326" i="3"/>
  <c r="P2326" i="3"/>
  <c r="K2327" i="3"/>
  <c r="L2327" i="3" s="1"/>
  <c r="O2327" i="3"/>
  <c r="P2327" i="3"/>
  <c r="O2328" i="3"/>
  <c r="P2328" i="3"/>
  <c r="K2329" i="3"/>
  <c r="L2329" i="3" s="1"/>
  <c r="O2329" i="3"/>
  <c r="P2329" i="3"/>
  <c r="K2330" i="3"/>
  <c r="L2330" i="3" s="1"/>
  <c r="O2330" i="3"/>
  <c r="P2330" i="3"/>
  <c r="K2331" i="3"/>
  <c r="L2331" i="3" s="1"/>
  <c r="O2331" i="3"/>
  <c r="P2331" i="3"/>
  <c r="K2332" i="3"/>
  <c r="L2332" i="3" s="1"/>
  <c r="O2332" i="3"/>
  <c r="P2332" i="3"/>
  <c r="K2333" i="3"/>
  <c r="L2333" i="3" s="1"/>
  <c r="O2333" i="3"/>
  <c r="P2333" i="3"/>
  <c r="O2334" i="3"/>
  <c r="P2334" i="3"/>
  <c r="K2335" i="3"/>
  <c r="L2335" i="3" s="1"/>
  <c r="O2335" i="3"/>
  <c r="P2335" i="3"/>
  <c r="O2336" i="3"/>
  <c r="P2336" i="3"/>
  <c r="O2337" i="3"/>
  <c r="P2337" i="3"/>
  <c r="K2338" i="3"/>
  <c r="L2338" i="3" s="1"/>
  <c r="O2338" i="3"/>
  <c r="P2338" i="3"/>
  <c r="K2339" i="3"/>
  <c r="L2339" i="3" s="1"/>
  <c r="O2339" i="3"/>
  <c r="P2339" i="3"/>
  <c r="K2340" i="3"/>
  <c r="L2340" i="3" s="1"/>
  <c r="O2340" i="3"/>
  <c r="P2340" i="3"/>
  <c r="K2341" i="3"/>
  <c r="L2341" i="3" s="1"/>
  <c r="O2341" i="3"/>
  <c r="P2341" i="3"/>
  <c r="K2342" i="3"/>
  <c r="L2342" i="3" s="1"/>
  <c r="O2342" i="3"/>
  <c r="P2342" i="3"/>
  <c r="K2343" i="3"/>
  <c r="L2343" i="3" s="1"/>
  <c r="O2343" i="3"/>
  <c r="P2343" i="3"/>
  <c r="O2344" i="3"/>
  <c r="P2344" i="3"/>
  <c r="K2345" i="3"/>
  <c r="L2345" i="3" s="1"/>
  <c r="O2345" i="3"/>
  <c r="P2345" i="3"/>
  <c r="K2346" i="3"/>
  <c r="L2346" i="3" s="1"/>
  <c r="O2346" i="3"/>
  <c r="P2346" i="3"/>
  <c r="O2347" i="3"/>
  <c r="P2347" i="3"/>
  <c r="K2348" i="3"/>
  <c r="L2348" i="3" s="1"/>
  <c r="O2348" i="3"/>
  <c r="P2348" i="3"/>
  <c r="O2349" i="3"/>
  <c r="P2349" i="3"/>
  <c r="K2350" i="3"/>
  <c r="L2350" i="3" s="1"/>
  <c r="O2350" i="3"/>
  <c r="P2350" i="3"/>
  <c r="K2351" i="3"/>
  <c r="L2351" i="3" s="1"/>
  <c r="O2351" i="3"/>
  <c r="P2351" i="3"/>
  <c r="O2352" i="3"/>
  <c r="P2352" i="3"/>
  <c r="K2353" i="3"/>
  <c r="L2353" i="3" s="1"/>
  <c r="O2353" i="3"/>
  <c r="P2353" i="3"/>
  <c r="K2354" i="3"/>
  <c r="L2354" i="3" s="1"/>
  <c r="O2354" i="3"/>
  <c r="P2354" i="3"/>
  <c r="K2355" i="3"/>
  <c r="L2355" i="3" s="1"/>
  <c r="O2355" i="3"/>
  <c r="P2355" i="3"/>
  <c r="O2356" i="3"/>
  <c r="P2356" i="3"/>
  <c r="K2357" i="3"/>
  <c r="L2357" i="3" s="1"/>
  <c r="O2357" i="3"/>
  <c r="P2357" i="3"/>
  <c r="K2358" i="3"/>
  <c r="L2358" i="3" s="1"/>
  <c r="O2358" i="3"/>
  <c r="P2358" i="3"/>
  <c r="O2359" i="3"/>
  <c r="P2359" i="3"/>
  <c r="O2360" i="3"/>
  <c r="P2360" i="3"/>
  <c r="K2361" i="3"/>
  <c r="L2361" i="3" s="1"/>
  <c r="O2361" i="3"/>
  <c r="P2361" i="3"/>
  <c r="K2362" i="3"/>
  <c r="L2362" i="3" s="1"/>
  <c r="O2362" i="3"/>
  <c r="P2362" i="3"/>
  <c r="O2363" i="3"/>
  <c r="P2363" i="3"/>
  <c r="O2364" i="3"/>
  <c r="P2364" i="3"/>
  <c r="K2365" i="3"/>
  <c r="L2365" i="3" s="1"/>
  <c r="O2365" i="3"/>
  <c r="P2365" i="3"/>
  <c r="K2366" i="3"/>
  <c r="L2366" i="3" s="1"/>
  <c r="O2366" i="3"/>
  <c r="P2366" i="3"/>
  <c r="O2367" i="3"/>
  <c r="P2367" i="3"/>
  <c r="O2368" i="3"/>
  <c r="P2368" i="3"/>
  <c r="K2369" i="3"/>
  <c r="L2369" i="3" s="1"/>
  <c r="O2369" i="3"/>
  <c r="P2369" i="3"/>
  <c r="O2370" i="3"/>
  <c r="P2370" i="3"/>
  <c r="K2371" i="3"/>
  <c r="L2371" i="3" s="1"/>
  <c r="O2371" i="3"/>
  <c r="P2371" i="3"/>
  <c r="K2372" i="3"/>
  <c r="L2372" i="3" s="1"/>
  <c r="O2372" i="3"/>
  <c r="P2372" i="3"/>
  <c r="K2373" i="3"/>
  <c r="L2373" i="3" s="1"/>
  <c r="O2373" i="3"/>
  <c r="P2373" i="3"/>
  <c r="K2374" i="3"/>
  <c r="L2374" i="3" s="1"/>
  <c r="O2374" i="3"/>
  <c r="P2374" i="3"/>
  <c r="K2375" i="3"/>
  <c r="L2375" i="3" s="1"/>
  <c r="O2375" i="3"/>
  <c r="P2375" i="3"/>
  <c r="O2376" i="3"/>
  <c r="P2376" i="3"/>
  <c r="K2377" i="3"/>
  <c r="L2377" i="3" s="1"/>
  <c r="O2377" i="3"/>
  <c r="P2377" i="3"/>
  <c r="K2378" i="3"/>
  <c r="L2378" i="3" s="1"/>
  <c r="O2378" i="3"/>
  <c r="P2378" i="3"/>
  <c r="O2379" i="3"/>
  <c r="P2379" i="3"/>
  <c r="K2380" i="3"/>
  <c r="L2380" i="3" s="1"/>
  <c r="O2380" i="3"/>
  <c r="P2380" i="3"/>
  <c r="K2381" i="3"/>
  <c r="L2381" i="3" s="1"/>
  <c r="O2381" i="3"/>
  <c r="P2381" i="3"/>
  <c r="K2382" i="3"/>
  <c r="L2382" i="3" s="1"/>
  <c r="O2382" i="3"/>
  <c r="P2382" i="3"/>
  <c r="O2383" i="3"/>
  <c r="P2383" i="3"/>
  <c r="K2384" i="3"/>
  <c r="L2384" i="3" s="1"/>
  <c r="O2384" i="3"/>
  <c r="P2384" i="3"/>
  <c r="K2385" i="3"/>
  <c r="L2385" i="3" s="1"/>
  <c r="O2385" i="3"/>
  <c r="P2385" i="3"/>
  <c r="O2386" i="3"/>
  <c r="P2386" i="3"/>
  <c r="K2387" i="3"/>
  <c r="L2387" i="3" s="1"/>
  <c r="O2387" i="3"/>
  <c r="P2387" i="3"/>
  <c r="O2388" i="3"/>
  <c r="P2388" i="3"/>
  <c r="K2389" i="3"/>
  <c r="L2389" i="3" s="1"/>
  <c r="O2389" i="3"/>
  <c r="P2389" i="3"/>
  <c r="K2390" i="3"/>
  <c r="L2390" i="3" s="1"/>
  <c r="O2390" i="3"/>
  <c r="P2390" i="3"/>
  <c r="K2391" i="3"/>
  <c r="L2391" i="3" s="1"/>
  <c r="O2391" i="3"/>
  <c r="P2391" i="3"/>
  <c r="K2392" i="3"/>
  <c r="L2392" i="3" s="1"/>
  <c r="O2392" i="3"/>
  <c r="P2392" i="3"/>
  <c r="K2393" i="3"/>
  <c r="L2393" i="3" s="1"/>
  <c r="O2393" i="3"/>
  <c r="P2393" i="3"/>
  <c r="K2394" i="3"/>
  <c r="L2394" i="3" s="1"/>
  <c r="O2394" i="3"/>
  <c r="P2394" i="3"/>
  <c r="O2395" i="3"/>
  <c r="P2395" i="3"/>
  <c r="O2396" i="3"/>
  <c r="P2396" i="3"/>
  <c r="K2397" i="3"/>
  <c r="L2397" i="3" s="1"/>
  <c r="O2397" i="3"/>
  <c r="P2397" i="3"/>
  <c r="O2398" i="3"/>
  <c r="P2398" i="3"/>
  <c r="K2399" i="3"/>
  <c r="L2399" i="3" s="1"/>
  <c r="O2399" i="3"/>
  <c r="P2399" i="3"/>
  <c r="O2400" i="3"/>
  <c r="P2400" i="3"/>
  <c r="O2401" i="3"/>
  <c r="P2401" i="3"/>
  <c r="K2402" i="3"/>
  <c r="L2402" i="3" s="1"/>
  <c r="O2402" i="3"/>
  <c r="P2402" i="3"/>
  <c r="K2403" i="3"/>
  <c r="L2403" i="3" s="1"/>
  <c r="O2403" i="3"/>
  <c r="P2403" i="3"/>
  <c r="K2404" i="3"/>
  <c r="L2404" i="3" s="1"/>
  <c r="O2404" i="3"/>
  <c r="P2404" i="3"/>
  <c r="K2405" i="3"/>
  <c r="L2405" i="3" s="1"/>
  <c r="O2405" i="3"/>
  <c r="P2405" i="3"/>
  <c r="O2406" i="3"/>
  <c r="P2406" i="3"/>
  <c r="K2407" i="3"/>
  <c r="L2407" i="3" s="1"/>
  <c r="O2407" i="3"/>
  <c r="P2407" i="3"/>
  <c r="O2408" i="3"/>
  <c r="P2408" i="3"/>
  <c r="K2409" i="3"/>
  <c r="L2409" i="3" s="1"/>
  <c r="O2409" i="3"/>
  <c r="P2409" i="3"/>
  <c r="K2410" i="3"/>
  <c r="L2410" i="3" s="1"/>
  <c r="O2410" i="3"/>
  <c r="P2410" i="3"/>
  <c r="K2411" i="3"/>
  <c r="L2411" i="3" s="1"/>
  <c r="O2411" i="3"/>
  <c r="P2411" i="3"/>
  <c r="O2412" i="3"/>
  <c r="P2412" i="3"/>
  <c r="O2413" i="3"/>
  <c r="P2413" i="3"/>
  <c r="O2414" i="3"/>
  <c r="P2414" i="3"/>
  <c r="O2415" i="3"/>
  <c r="P2415" i="3"/>
  <c r="K2416" i="3"/>
  <c r="L2416" i="3" s="1"/>
  <c r="O2416" i="3"/>
  <c r="P2416" i="3"/>
  <c r="O2417" i="3"/>
  <c r="P2417" i="3"/>
  <c r="O2418" i="3"/>
  <c r="P2418" i="3"/>
  <c r="O2419" i="3"/>
  <c r="P2419" i="3"/>
  <c r="K2420" i="3"/>
  <c r="L2420" i="3" s="1"/>
  <c r="O2420" i="3"/>
  <c r="P2420" i="3"/>
  <c r="O2421" i="3"/>
  <c r="P2421" i="3"/>
  <c r="O2422" i="3"/>
  <c r="P2422" i="3"/>
  <c r="K2423" i="3"/>
  <c r="L2423" i="3" s="1"/>
  <c r="O2423" i="3"/>
  <c r="P2423" i="3"/>
  <c r="K2424" i="3"/>
  <c r="L2424" i="3" s="1"/>
  <c r="O2424" i="3"/>
  <c r="P2424" i="3"/>
  <c r="K2425" i="3"/>
  <c r="L2425" i="3" s="1"/>
  <c r="O2425" i="3"/>
  <c r="P2425" i="3"/>
  <c r="O2426" i="3"/>
  <c r="P2426" i="3"/>
  <c r="K2427" i="3"/>
  <c r="L2427" i="3" s="1"/>
  <c r="O2427" i="3"/>
  <c r="P2427" i="3"/>
  <c r="K2428" i="3"/>
  <c r="L2428" i="3" s="1"/>
  <c r="O2428" i="3"/>
  <c r="P2428" i="3"/>
  <c r="O2429" i="3"/>
  <c r="P2429" i="3"/>
  <c r="K2430" i="3"/>
  <c r="L2430" i="3" s="1"/>
  <c r="O2430" i="3"/>
  <c r="P2430" i="3"/>
  <c r="K2431" i="3"/>
  <c r="L2431" i="3" s="1"/>
  <c r="O2431" i="3"/>
  <c r="P2431" i="3"/>
  <c r="K2432" i="3"/>
  <c r="L2432" i="3" s="1"/>
  <c r="O2432" i="3"/>
  <c r="P2432" i="3"/>
  <c r="O2433" i="3"/>
  <c r="P2433" i="3"/>
  <c r="O2434" i="3"/>
  <c r="P2434" i="3"/>
  <c r="K2435" i="3"/>
  <c r="L2435" i="3" s="1"/>
  <c r="O2435" i="3"/>
  <c r="P2435" i="3"/>
  <c r="K2436" i="3"/>
  <c r="L2436" i="3" s="1"/>
  <c r="O2436" i="3"/>
  <c r="P2436" i="3"/>
  <c r="K2437" i="3"/>
  <c r="L2437" i="3" s="1"/>
  <c r="O2437" i="3"/>
  <c r="P2437" i="3"/>
  <c r="K2438" i="3"/>
  <c r="L2438" i="3" s="1"/>
  <c r="O2438" i="3"/>
  <c r="P2438" i="3"/>
  <c r="O2439" i="3"/>
  <c r="P2439" i="3"/>
  <c r="O2440" i="3"/>
  <c r="P2440" i="3"/>
  <c r="K2441" i="3"/>
  <c r="L2441" i="3" s="1"/>
  <c r="O2441" i="3"/>
  <c r="P2441" i="3"/>
  <c r="K2442" i="3"/>
  <c r="L2442" i="3" s="1"/>
  <c r="O2442" i="3"/>
  <c r="P2442" i="3"/>
  <c r="K2443" i="3"/>
  <c r="L2443" i="3" s="1"/>
  <c r="O2443" i="3"/>
  <c r="P2443" i="3"/>
  <c r="K2444" i="3"/>
  <c r="L2444" i="3" s="1"/>
  <c r="O2444" i="3"/>
  <c r="P2444" i="3"/>
  <c r="O2445" i="3"/>
  <c r="P2445" i="3"/>
  <c r="O2446" i="3"/>
  <c r="P2446" i="3"/>
  <c r="K2447" i="3"/>
  <c r="L2447" i="3" s="1"/>
  <c r="O2447" i="3"/>
  <c r="P2447" i="3"/>
  <c r="O2448" i="3"/>
  <c r="P2448" i="3"/>
  <c r="K2449" i="3"/>
  <c r="L2449" i="3" s="1"/>
  <c r="O2449" i="3"/>
  <c r="P2449" i="3"/>
  <c r="K2450" i="3"/>
  <c r="L2450" i="3" s="1"/>
  <c r="O2450" i="3"/>
  <c r="P2450" i="3"/>
  <c r="K2451" i="3"/>
  <c r="L2451" i="3" s="1"/>
  <c r="O2451" i="3"/>
  <c r="P2451" i="3"/>
  <c r="K2452" i="3"/>
  <c r="L2452" i="3" s="1"/>
  <c r="O2452" i="3"/>
  <c r="P2452" i="3"/>
  <c r="K2453" i="3"/>
  <c r="L2453" i="3" s="1"/>
  <c r="O2453" i="3"/>
  <c r="P2453" i="3"/>
  <c r="K2454" i="3"/>
  <c r="L2454" i="3" s="1"/>
  <c r="O2454" i="3"/>
  <c r="P2454" i="3"/>
  <c r="O2455" i="3"/>
  <c r="P2455" i="3"/>
  <c r="K2456" i="3"/>
  <c r="L2456" i="3" s="1"/>
  <c r="O2456" i="3"/>
  <c r="P2456" i="3"/>
  <c r="K2457" i="3"/>
  <c r="L2457" i="3" s="1"/>
  <c r="O2457" i="3"/>
  <c r="P2457" i="3"/>
  <c r="K2458" i="3"/>
  <c r="L2458" i="3" s="1"/>
  <c r="O2458" i="3"/>
  <c r="P2458" i="3"/>
  <c r="O2459" i="3"/>
  <c r="P2459" i="3"/>
  <c r="O2460" i="3"/>
  <c r="P2460" i="3"/>
  <c r="O2461" i="3"/>
  <c r="P2461" i="3"/>
  <c r="K2462" i="3"/>
  <c r="L2462" i="3" s="1"/>
  <c r="O2462" i="3"/>
  <c r="P2462" i="3"/>
  <c r="K2463" i="3"/>
  <c r="L2463" i="3" s="1"/>
  <c r="O2463" i="3"/>
  <c r="P2463" i="3"/>
  <c r="O2464" i="3"/>
  <c r="P2464" i="3"/>
  <c r="O2465" i="3"/>
  <c r="P2465" i="3"/>
  <c r="K2466" i="3"/>
  <c r="L2466" i="3" s="1"/>
  <c r="O2466" i="3"/>
  <c r="P2466" i="3"/>
  <c r="K2467" i="3"/>
  <c r="L2467" i="3" s="1"/>
  <c r="O2467" i="3"/>
  <c r="P2467" i="3"/>
  <c r="K2468" i="3"/>
  <c r="L2468" i="3" s="1"/>
  <c r="O2468" i="3"/>
  <c r="P2468" i="3"/>
  <c r="K2469" i="3"/>
  <c r="L2469" i="3" s="1"/>
  <c r="O2469" i="3"/>
  <c r="P2469" i="3"/>
  <c r="K2470" i="3"/>
  <c r="L2470" i="3" s="1"/>
  <c r="O2470" i="3"/>
  <c r="P2470" i="3"/>
  <c r="K2471" i="3"/>
  <c r="L2471" i="3" s="1"/>
  <c r="O2471" i="3"/>
  <c r="P2471" i="3"/>
  <c r="O2472" i="3"/>
  <c r="P2472" i="3"/>
  <c r="K2473" i="3"/>
  <c r="L2473" i="3" s="1"/>
  <c r="O2473" i="3"/>
  <c r="P2473" i="3"/>
  <c r="O2474" i="3"/>
  <c r="P2474" i="3"/>
  <c r="O2475" i="3"/>
  <c r="P2475" i="3"/>
  <c r="K2476" i="3"/>
  <c r="L2476" i="3" s="1"/>
  <c r="O2476" i="3"/>
  <c r="P2476" i="3"/>
  <c r="K2477" i="3"/>
  <c r="L2477" i="3" s="1"/>
  <c r="O2477" i="3"/>
  <c r="P2477" i="3"/>
  <c r="K2478" i="3"/>
  <c r="L2478" i="3" s="1"/>
  <c r="O2478" i="3"/>
  <c r="P2478" i="3"/>
  <c r="K2479" i="3"/>
  <c r="L2479" i="3" s="1"/>
  <c r="O2479" i="3"/>
  <c r="P2479" i="3"/>
  <c r="K2480" i="3"/>
  <c r="L2480" i="3" s="1"/>
  <c r="O2480" i="3"/>
  <c r="P2480" i="3"/>
  <c r="O2481" i="3"/>
  <c r="P2481" i="3"/>
  <c r="K2482" i="3"/>
  <c r="L2482" i="3" s="1"/>
  <c r="O2482" i="3"/>
  <c r="P2482" i="3"/>
  <c r="O2483" i="3"/>
  <c r="P2483" i="3"/>
  <c r="K2484" i="3"/>
  <c r="L2484" i="3" s="1"/>
  <c r="O2484" i="3"/>
  <c r="P2484" i="3"/>
  <c r="K2485" i="3"/>
  <c r="L2485" i="3" s="1"/>
  <c r="O2485" i="3"/>
  <c r="P2485" i="3"/>
  <c r="K2486" i="3"/>
  <c r="L2486" i="3" s="1"/>
  <c r="O2486" i="3"/>
  <c r="P2486" i="3"/>
  <c r="K2487" i="3"/>
  <c r="L2487" i="3" s="1"/>
  <c r="O2487" i="3"/>
  <c r="P2487" i="3"/>
  <c r="K2488" i="3"/>
  <c r="L2488" i="3" s="1"/>
  <c r="O2488" i="3"/>
  <c r="P2488" i="3"/>
  <c r="K2489" i="3"/>
  <c r="L2489" i="3" s="1"/>
  <c r="O2489" i="3"/>
  <c r="P2489" i="3"/>
  <c r="K2490" i="3"/>
  <c r="L2490" i="3" s="1"/>
  <c r="O2490" i="3"/>
  <c r="P2490" i="3"/>
  <c r="O2491" i="3"/>
  <c r="P2491" i="3"/>
  <c r="O2492" i="3"/>
  <c r="P2492" i="3"/>
  <c r="K2493" i="3"/>
  <c r="L2493" i="3" s="1"/>
  <c r="O2493" i="3"/>
  <c r="P2493" i="3"/>
  <c r="O2494" i="3"/>
  <c r="P2494" i="3"/>
  <c r="K2495" i="3"/>
  <c r="L2495" i="3" s="1"/>
  <c r="O2495" i="3"/>
  <c r="P2495" i="3"/>
  <c r="O2496" i="3"/>
  <c r="P2496" i="3"/>
  <c r="O2497" i="3"/>
  <c r="P2497" i="3"/>
  <c r="K2498" i="3"/>
  <c r="L2498" i="3" s="1"/>
  <c r="O2498" i="3"/>
  <c r="P2498" i="3"/>
  <c r="K2499" i="3"/>
  <c r="L2499" i="3" s="1"/>
  <c r="O2499" i="3"/>
  <c r="P2499" i="3"/>
  <c r="O2500" i="3"/>
  <c r="P2500" i="3"/>
  <c r="O2501" i="3"/>
  <c r="P2501" i="3"/>
  <c r="O2502" i="3"/>
  <c r="P2502" i="3"/>
  <c r="K2503" i="3"/>
  <c r="L2503" i="3" s="1"/>
  <c r="O2503" i="3"/>
  <c r="P2503" i="3"/>
  <c r="K2504" i="3"/>
  <c r="L2504" i="3" s="1"/>
  <c r="O2504" i="3"/>
  <c r="P2504" i="3"/>
  <c r="O2505" i="3"/>
  <c r="P2505" i="3"/>
  <c r="K2506" i="3"/>
  <c r="L2506" i="3" s="1"/>
  <c r="O2506" i="3"/>
  <c r="P2506" i="3"/>
  <c r="O2507" i="3"/>
  <c r="P2507" i="3"/>
  <c r="K2508" i="3"/>
  <c r="L2508" i="3" s="1"/>
  <c r="O2508" i="3"/>
  <c r="P2508" i="3"/>
  <c r="O2509" i="3"/>
  <c r="P2509" i="3"/>
  <c r="K2510" i="3"/>
  <c r="L2510" i="3" s="1"/>
  <c r="O2510" i="3"/>
  <c r="P2510" i="3"/>
  <c r="O2511" i="3"/>
  <c r="P2511" i="3"/>
  <c r="K2512" i="3"/>
  <c r="L2512" i="3" s="1"/>
  <c r="O2512" i="3"/>
  <c r="P2512" i="3"/>
  <c r="K2513" i="3"/>
  <c r="L2513" i="3" s="1"/>
  <c r="O2513" i="3"/>
  <c r="P2513" i="3"/>
  <c r="O2514" i="3"/>
  <c r="P2514" i="3"/>
  <c r="O2515" i="3"/>
  <c r="P2515" i="3"/>
  <c r="O2516" i="3"/>
  <c r="P2516" i="3"/>
  <c r="K2517" i="3"/>
  <c r="L2517" i="3" s="1"/>
  <c r="O2517" i="3"/>
  <c r="P2517" i="3"/>
  <c r="K2518" i="3"/>
  <c r="L2518" i="3" s="1"/>
  <c r="O2518" i="3"/>
  <c r="P2518" i="3"/>
  <c r="K2519" i="3"/>
  <c r="L2519" i="3" s="1"/>
  <c r="O2519" i="3"/>
  <c r="P2519" i="3"/>
  <c r="O2520" i="3"/>
  <c r="P2520" i="3"/>
  <c r="K2521" i="3"/>
  <c r="L2521" i="3" s="1"/>
  <c r="O2521" i="3"/>
  <c r="P2521" i="3"/>
  <c r="K2522" i="3"/>
  <c r="L2522" i="3" s="1"/>
  <c r="O2522" i="3"/>
  <c r="P2522" i="3"/>
  <c r="K2523" i="3"/>
  <c r="L2523" i="3" s="1"/>
  <c r="O2523" i="3"/>
  <c r="P2523" i="3"/>
  <c r="K2524" i="3"/>
  <c r="L2524" i="3" s="1"/>
  <c r="O2524" i="3"/>
  <c r="P2524" i="3"/>
  <c r="K2525" i="3"/>
  <c r="L2525" i="3" s="1"/>
  <c r="O2525" i="3"/>
  <c r="P2525" i="3"/>
  <c r="K2526" i="3"/>
  <c r="L2526" i="3" s="1"/>
  <c r="O2526" i="3"/>
  <c r="P2526" i="3"/>
  <c r="K2527" i="3"/>
  <c r="L2527" i="3" s="1"/>
  <c r="O2527" i="3"/>
  <c r="P2527" i="3"/>
  <c r="K2528" i="3"/>
  <c r="L2528" i="3" s="1"/>
  <c r="O2528" i="3"/>
  <c r="P2528" i="3"/>
  <c r="K2529" i="3"/>
  <c r="L2529" i="3" s="1"/>
  <c r="O2529" i="3"/>
  <c r="P2529" i="3"/>
  <c r="O2530" i="3"/>
  <c r="P2530" i="3"/>
  <c r="K2531" i="3"/>
  <c r="L2531" i="3" s="1"/>
  <c r="O2531" i="3"/>
  <c r="P2531" i="3"/>
  <c r="K2532" i="3"/>
  <c r="L2532" i="3" s="1"/>
  <c r="O2532" i="3"/>
  <c r="P2532" i="3"/>
  <c r="K2533" i="3"/>
  <c r="L2533" i="3" s="1"/>
  <c r="O2533" i="3"/>
  <c r="P2533" i="3"/>
  <c r="K2534" i="3"/>
  <c r="L2534" i="3" s="1"/>
  <c r="O2534" i="3"/>
  <c r="P2534" i="3"/>
  <c r="O2535" i="3"/>
  <c r="P2535" i="3"/>
  <c r="K2536" i="3"/>
  <c r="L2536" i="3" s="1"/>
  <c r="O2536" i="3"/>
  <c r="P2536" i="3"/>
  <c r="K2537" i="3"/>
  <c r="L2537" i="3" s="1"/>
  <c r="O2537" i="3"/>
  <c r="P2537" i="3"/>
  <c r="K2538" i="3"/>
  <c r="L2538" i="3" s="1"/>
  <c r="O2538" i="3"/>
  <c r="P2538" i="3"/>
  <c r="K2539" i="3"/>
  <c r="L2539" i="3" s="1"/>
  <c r="O2539" i="3"/>
  <c r="P2539" i="3"/>
  <c r="O2540" i="3"/>
  <c r="P2540" i="3"/>
  <c r="K2541" i="3"/>
  <c r="L2541" i="3" s="1"/>
  <c r="O2541" i="3"/>
  <c r="P2541" i="3"/>
  <c r="O2542" i="3"/>
  <c r="P2542" i="3"/>
  <c r="K2543" i="3"/>
  <c r="L2543" i="3" s="1"/>
  <c r="O2543" i="3"/>
  <c r="P2543" i="3"/>
  <c r="K2544" i="3"/>
  <c r="L2544" i="3" s="1"/>
  <c r="O2544" i="3"/>
  <c r="P2544" i="3"/>
  <c r="K2545" i="3"/>
  <c r="L2545" i="3" s="1"/>
  <c r="O2545" i="3"/>
  <c r="P2545" i="3"/>
  <c r="O2546" i="3"/>
  <c r="P2546" i="3"/>
  <c r="K2547" i="3"/>
  <c r="L2547" i="3" s="1"/>
  <c r="O2547" i="3"/>
  <c r="P2547" i="3"/>
  <c r="K2548" i="3"/>
  <c r="L2548" i="3" s="1"/>
  <c r="O2548" i="3"/>
  <c r="P2548" i="3"/>
  <c r="K2549" i="3"/>
  <c r="L2549" i="3" s="1"/>
  <c r="O2549" i="3"/>
  <c r="P2549" i="3"/>
  <c r="O2550" i="3"/>
  <c r="P2550" i="3"/>
  <c r="K2551" i="3"/>
  <c r="L2551" i="3" s="1"/>
  <c r="O2551" i="3"/>
  <c r="P2551" i="3"/>
  <c r="O2552" i="3"/>
  <c r="P2552" i="3"/>
  <c r="O2553" i="3"/>
  <c r="P2553" i="3"/>
  <c r="O2554" i="3"/>
  <c r="P2554" i="3"/>
  <c r="K2555" i="3"/>
  <c r="L2555" i="3" s="1"/>
  <c r="O2555" i="3"/>
  <c r="P2555" i="3"/>
  <c r="K2556" i="3"/>
  <c r="L2556" i="3" s="1"/>
  <c r="O2556" i="3"/>
  <c r="P2556" i="3"/>
  <c r="K2557" i="3"/>
  <c r="L2557" i="3" s="1"/>
  <c r="O2557" i="3"/>
  <c r="P2557" i="3"/>
  <c r="O2558" i="3"/>
  <c r="P2558" i="3"/>
  <c r="K2559" i="3"/>
  <c r="L2559" i="3" s="1"/>
  <c r="O2559" i="3"/>
  <c r="P2559" i="3"/>
  <c r="O2560" i="3"/>
  <c r="P2560" i="3"/>
  <c r="O2561" i="3"/>
  <c r="P2561" i="3"/>
  <c r="O2562" i="3"/>
  <c r="P2562" i="3"/>
  <c r="K2563" i="3"/>
  <c r="L2563" i="3" s="1"/>
  <c r="O2563" i="3"/>
  <c r="P2563" i="3"/>
  <c r="K2564" i="3"/>
  <c r="L2564" i="3" s="1"/>
  <c r="O2564" i="3"/>
  <c r="P2564" i="3"/>
  <c r="O2565" i="3"/>
  <c r="P2565" i="3"/>
  <c r="K2566" i="3"/>
  <c r="L2566" i="3" s="1"/>
  <c r="O2566" i="3"/>
  <c r="P2566" i="3"/>
  <c r="K2567" i="3"/>
  <c r="L2567" i="3" s="1"/>
  <c r="O2567" i="3"/>
  <c r="P2567" i="3"/>
  <c r="O2568" i="3"/>
  <c r="P2568" i="3"/>
  <c r="O2569" i="3"/>
  <c r="P2569" i="3"/>
  <c r="K2570" i="3"/>
  <c r="L2570" i="3" s="1"/>
  <c r="O2570" i="3"/>
  <c r="P2570" i="3"/>
  <c r="O2571" i="3"/>
  <c r="P2571" i="3"/>
  <c r="O2572" i="3"/>
  <c r="P2572" i="3"/>
  <c r="O2573" i="3"/>
  <c r="P2573" i="3"/>
  <c r="K2574" i="3"/>
  <c r="L2574" i="3" s="1"/>
  <c r="O2574" i="3"/>
  <c r="P2574" i="3"/>
  <c r="K2575" i="3"/>
  <c r="L2575" i="3" s="1"/>
  <c r="O2575" i="3"/>
  <c r="P2575" i="3"/>
  <c r="O2576" i="3"/>
  <c r="P2576" i="3"/>
  <c r="K2577" i="3"/>
  <c r="L2577" i="3" s="1"/>
  <c r="O2577" i="3"/>
  <c r="P2577" i="3"/>
  <c r="K2578" i="3"/>
  <c r="L2578" i="3" s="1"/>
  <c r="O2578" i="3"/>
  <c r="P2578" i="3"/>
  <c r="O2579" i="3"/>
  <c r="P2579" i="3"/>
  <c r="K2580" i="3"/>
  <c r="L2580" i="3" s="1"/>
  <c r="O2580" i="3"/>
  <c r="P2580" i="3"/>
  <c r="K2581" i="3"/>
  <c r="L2581" i="3" s="1"/>
  <c r="O2581" i="3"/>
  <c r="P2581" i="3"/>
  <c r="K2582" i="3"/>
  <c r="L2582" i="3" s="1"/>
  <c r="O2582" i="3"/>
  <c r="P2582" i="3"/>
  <c r="O2583" i="3"/>
  <c r="P2583" i="3"/>
  <c r="K2584" i="3"/>
  <c r="L2584" i="3" s="1"/>
  <c r="O2584" i="3"/>
  <c r="P2584" i="3"/>
  <c r="O2585" i="3"/>
  <c r="P2585" i="3"/>
  <c r="K2586" i="3"/>
  <c r="L2586" i="3" s="1"/>
  <c r="O2586" i="3"/>
  <c r="P2586" i="3"/>
  <c r="K2587" i="3"/>
  <c r="L2587" i="3" s="1"/>
  <c r="O2587" i="3"/>
  <c r="P2587" i="3"/>
  <c r="K2588" i="3"/>
  <c r="L2588" i="3" s="1"/>
  <c r="O2588" i="3"/>
  <c r="P2588" i="3"/>
  <c r="K2589" i="3"/>
  <c r="L2589" i="3" s="1"/>
  <c r="O2589" i="3"/>
  <c r="P2589" i="3"/>
  <c r="K2590" i="3"/>
  <c r="L2590" i="3" s="1"/>
  <c r="O2590" i="3"/>
  <c r="P2590" i="3"/>
  <c r="O2591" i="3"/>
  <c r="P2591" i="3"/>
  <c r="K2592" i="3"/>
  <c r="L2592" i="3" s="1"/>
  <c r="O2592" i="3"/>
  <c r="P2592" i="3"/>
  <c r="K2593" i="3"/>
  <c r="L2593" i="3" s="1"/>
  <c r="O2593" i="3"/>
  <c r="P2593" i="3"/>
  <c r="K2594" i="3"/>
  <c r="L2594" i="3" s="1"/>
  <c r="O2594" i="3"/>
  <c r="P2594" i="3"/>
  <c r="K2595" i="3"/>
  <c r="L2595" i="3" s="1"/>
  <c r="O2595" i="3"/>
  <c r="P2595" i="3"/>
  <c r="K2596" i="3"/>
  <c r="L2596" i="3" s="1"/>
  <c r="O2596" i="3"/>
  <c r="P2596" i="3"/>
  <c r="K2597" i="3"/>
  <c r="L2597" i="3" s="1"/>
  <c r="O2597" i="3"/>
  <c r="P2597" i="3"/>
  <c r="O2598" i="3"/>
  <c r="P2598" i="3"/>
  <c r="K2599" i="3"/>
  <c r="L2599" i="3" s="1"/>
  <c r="O2599" i="3"/>
  <c r="P2599" i="3"/>
  <c r="K2600" i="3"/>
  <c r="L2600" i="3" s="1"/>
  <c r="O2600" i="3"/>
  <c r="P2600" i="3"/>
  <c r="K2601" i="3"/>
  <c r="L2601" i="3" s="1"/>
  <c r="O2601" i="3"/>
  <c r="P2601" i="3"/>
  <c r="K2602" i="3"/>
  <c r="L2602" i="3" s="1"/>
  <c r="O2602" i="3"/>
  <c r="P2602" i="3"/>
  <c r="K2603" i="3"/>
  <c r="L2603" i="3" s="1"/>
  <c r="O2603" i="3"/>
  <c r="P2603" i="3"/>
  <c r="O2604" i="3"/>
  <c r="P2604" i="3"/>
  <c r="K2605" i="3"/>
  <c r="L2605" i="3" s="1"/>
  <c r="O2605" i="3"/>
  <c r="P2605" i="3"/>
  <c r="K2606" i="3"/>
  <c r="L2606" i="3" s="1"/>
  <c r="O2606" i="3"/>
  <c r="P2606" i="3"/>
  <c r="K2607" i="3"/>
  <c r="L2607" i="3" s="1"/>
  <c r="O2607" i="3"/>
  <c r="P2607" i="3"/>
  <c r="K2608" i="3"/>
  <c r="L2608" i="3" s="1"/>
  <c r="O2608" i="3"/>
  <c r="P2608" i="3"/>
  <c r="O2609" i="3"/>
  <c r="P2609" i="3"/>
  <c r="K2610" i="3"/>
  <c r="L2610" i="3" s="1"/>
  <c r="O2610" i="3"/>
  <c r="P2610" i="3"/>
  <c r="K2611" i="3"/>
  <c r="L2611" i="3" s="1"/>
  <c r="O2611" i="3"/>
  <c r="P2611" i="3"/>
  <c r="K2612" i="3"/>
  <c r="L2612" i="3" s="1"/>
  <c r="O2612" i="3"/>
  <c r="P2612" i="3"/>
  <c r="K2613" i="3"/>
  <c r="L2613" i="3" s="1"/>
  <c r="O2613" i="3"/>
  <c r="P2613" i="3"/>
  <c r="K2614" i="3"/>
  <c r="L2614" i="3" s="1"/>
  <c r="O2614" i="3"/>
  <c r="P2614" i="3"/>
  <c r="O2615" i="3"/>
  <c r="P2615" i="3"/>
  <c r="O2616" i="3"/>
  <c r="P2616" i="3"/>
  <c r="O2617" i="3"/>
  <c r="P2617" i="3"/>
  <c r="O2618" i="3"/>
  <c r="P2618" i="3"/>
  <c r="K2619" i="3"/>
  <c r="L2619" i="3" s="1"/>
  <c r="O2619" i="3"/>
  <c r="P2619" i="3"/>
  <c r="K2620" i="3"/>
  <c r="L2620" i="3" s="1"/>
  <c r="O2620" i="3"/>
  <c r="P2620" i="3"/>
  <c r="K2621" i="3"/>
  <c r="L2621" i="3" s="1"/>
  <c r="O2621" i="3"/>
  <c r="P2621" i="3"/>
  <c r="K2622" i="3"/>
  <c r="L2622" i="3" s="1"/>
  <c r="O2622" i="3"/>
  <c r="P2622" i="3"/>
  <c r="K2623" i="3"/>
  <c r="L2623" i="3" s="1"/>
  <c r="O2623" i="3"/>
  <c r="P2623" i="3"/>
  <c r="O2624" i="3"/>
  <c r="P2624" i="3"/>
  <c r="K2625" i="3"/>
  <c r="L2625" i="3" s="1"/>
  <c r="O2625" i="3"/>
  <c r="P2625" i="3"/>
  <c r="K2626" i="3"/>
  <c r="L2626" i="3" s="1"/>
  <c r="O2626" i="3"/>
  <c r="P2626" i="3"/>
  <c r="K2627" i="3"/>
  <c r="L2627" i="3" s="1"/>
  <c r="O2627" i="3"/>
  <c r="P2627" i="3"/>
  <c r="K2628" i="3"/>
  <c r="L2628" i="3" s="1"/>
  <c r="O2628" i="3"/>
  <c r="P2628" i="3"/>
  <c r="K2629" i="3"/>
  <c r="L2629" i="3" s="1"/>
  <c r="O2629" i="3"/>
  <c r="P2629" i="3"/>
  <c r="K2630" i="3"/>
  <c r="L2630" i="3" s="1"/>
  <c r="O2630" i="3"/>
  <c r="P2630" i="3"/>
  <c r="K2631" i="3"/>
  <c r="L2631" i="3" s="1"/>
  <c r="O2631" i="3"/>
  <c r="P2631" i="3"/>
  <c r="K2632" i="3"/>
  <c r="L2632" i="3" s="1"/>
  <c r="O2632" i="3"/>
  <c r="P2632" i="3"/>
  <c r="O2633" i="3"/>
  <c r="P2633" i="3"/>
  <c r="K2634" i="3"/>
  <c r="L2634" i="3" s="1"/>
  <c r="O2634" i="3"/>
  <c r="P2634" i="3"/>
  <c r="O2635" i="3"/>
  <c r="P2635" i="3"/>
  <c r="K2636" i="3"/>
  <c r="L2636" i="3" s="1"/>
  <c r="O2636" i="3"/>
  <c r="P2636" i="3"/>
  <c r="K2637" i="3"/>
  <c r="L2637" i="3" s="1"/>
  <c r="O2637" i="3"/>
  <c r="P2637" i="3"/>
  <c r="K2638" i="3"/>
  <c r="L2638" i="3" s="1"/>
  <c r="O2638" i="3"/>
  <c r="P2638" i="3"/>
  <c r="K2639" i="3"/>
  <c r="L2639" i="3" s="1"/>
  <c r="O2639" i="3"/>
  <c r="P2639" i="3"/>
  <c r="K2640" i="3"/>
  <c r="L2640" i="3" s="1"/>
  <c r="O2640" i="3"/>
  <c r="P2640" i="3"/>
  <c r="K2641" i="3"/>
  <c r="L2641" i="3" s="1"/>
  <c r="O2641" i="3"/>
  <c r="P2641" i="3"/>
  <c r="K2642" i="3"/>
  <c r="L2642" i="3" s="1"/>
  <c r="O2642" i="3"/>
  <c r="P2642" i="3"/>
  <c r="K2643" i="3"/>
  <c r="L2643" i="3" s="1"/>
  <c r="O2643" i="3"/>
  <c r="P2643" i="3"/>
  <c r="K2644" i="3"/>
  <c r="L2644" i="3" s="1"/>
  <c r="O2644" i="3"/>
  <c r="P2644" i="3"/>
  <c r="K2645" i="3"/>
  <c r="L2645" i="3" s="1"/>
  <c r="O2645" i="3"/>
  <c r="P2645" i="3"/>
  <c r="K2646" i="3"/>
  <c r="L2646" i="3" s="1"/>
  <c r="O2646" i="3"/>
  <c r="P2646" i="3"/>
  <c r="K2647" i="3"/>
  <c r="L2647" i="3" s="1"/>
  <c r="O2647" i="3"/>
  <c r="P2647" i="3"/>
  <c r="O2648" i="3"/>
  <c r="P2648" i="3"/>
  <c r="K2649" i="3"/>
  <c r="L2649" i="3" s="1"/>
  <c r="O2649" i="3"/>
  <c r="P2649" i="3"/>
  <c r="K2650" i="3"/>
  <c r="L2650" i="3" s="1"/>
  <c r="O2650" i="3"/>
  <c r="P2650" i="3"/>
  <c r="K2651" i="3"/>
  <c r="L2651" i="3" s="1"/>
  <c r="O2651" i="3"/>
  <c r="P2651" i="3"/>
  <c r="K2652" i="3"/>
  <c r="L2652" i="3" s="1"/>
  <c r="O2652" i="3"/>
  <c r="P2652" i="3"/>
  <c r="K2653" i="3"/>
  <c r="L2653" i="3" s="1"/>
  <c r="O2653" i="3"/>
  <c r="P2653" i="3"/>
  <c r="K2654" i="3"/>
  <c r="L2654" i="3" s="1"/>
  <c r="O2654" i="3"/>
  <c r="P2654" i="3"/>
  <c r="K2655" i="3"/>
  <c r="L2655" i="3" s="1"/>
  <c r="O2655" i="3"/>
  <c r="P2655" i="3"/>
  <c r="K2656" i="3"/>
  <c r="L2656" i="3" s="1"/>
  <c r="O2656" i="3"/>
  <c r="P2656" i="3"/>
  <c r="K2657" i="3"/>
  <c r="L2657" i="3" s="1"/>
  <c r="O2657" i="3"/>
  <c r="P2657" i="3"/>
  <c r="K2658" i="3"/>
  <c r="L2658" i="3" s="1"/>
  <c r="O2658" i="3"/>
  <c r="P2658" i="3"/>
  <c r="K2659" i="3"/>
  <c r="L2659" i="3" s="1"/>
  <c r="O2659" i="3"/>
  <c r="P2659" i="3"/>
  <c r="K2660" i="3"/>
  <c r="L2660" i="3" s="1"/>
  <c r="O2660" i="3"/>
  <c r="P2660" i="3"/>
  <c r="K2661" i="3"/>
  <c r="L2661" i="3" s="1"/>
  <c r="O2661" i="3"/>
  <c r="P2661" i="3"/>
  <c r="K2662" i="3"/>
  <c r="L2662" i="3" s="1"/>
  <c r="O2662" i="3"/>
  <c r="P2662" i="3"/>
  <c r="K2663" i="3"/>
  <c r="L2663" i="3" s="1"/>
  <c r="O2663" i="3"/>
  <c r="P2663" i="3"/>
  <c r="O2664" i="3"/>
  <c r="P2664" i="3"/>
  <c r="K2665" i="3"/>
  <c r="L2665" i="3" s="1"/>
  <c r="O2665" i="3"/>
  <c r="P2665" i="3"/>
  <c r="K2666" i="3"/>
  <c r="L2666" i="3" s="1"/>
  <c r="O2666" i="3"/>
  <c r="P2666" i="3"/>
  <c r="K2667" i="3"/>
  <c r="L2667" i="3" s="1"/>
  <c r="O2667" i="3"/>
  <c r="P2667" i="3"/>
  <c r="K2668" i="3"/>
  <c r="L2668" i="3" s="1"/>
  <c r="O2668" i="3"/>
  <c r="P2668" i="3"/>
  <c r="K2669" i="3"/>
  <c r="L2669" i="3" s="1"/>
  <c r="O2669" i="3"/>
  <c r="P2669" i="3"/>
  <c r="K2670" i="3"/>
  <c r="L2670" i="3" s="1"/>
  <c r="O2670" i="3"/>
  <c r="P2670" i="3"/>
  <c r="K2671" i="3"/>
  <c r="L2671" i="3" s="1"/>
  <c r="O2671" i="3"/>
  <c r="P2671" i="3"/>
  <c r="O2672" i="3"/>
  <c r="P2672" i="3"/>
  <c r="K2673" i="3"/>
  <c r="L2673" i="3" s="1"/>
  <c r="O2673" i="3"/>
  <c r="P2673" i="3"/>
  <c r="O2674" i="3"/>
  <c r="P2674" i="3"/>
  <c r="K2675" i="3"/>
  <c r="L2675" i="3" s="1"/>
  <c r="O2675" i="3"/>
  <c r="P2675" i="3"/>
  <c r="K2676" i="3"/>
  <c r="L2676" i="3" s="1"/>
  <c r="O2676" i="3"/>
  <c r="P2676" i="3"/>
  <c r="K2677" i="3"/>
  <c r="L2677" i="3" s="1"/>
  <c r="O2677" i="3"/>
  <c r="P2677" i="3"/>
  <c r="K2678" i="3"/>
  <c r="L2678" i="3" s="1"/>
  <c r="O2678" i="3"/>
  <c r="P2678" i="3"/>
  <c r="K2679" i="3"/>
  <c r="L2679" i="3" s="1"/>
  <c r="O2679" i="3"/>
  <c r="P2679" i="3"/>
  <c r="K2680" i="3"/>
  <c r="L2680" i="3" s="1"/>
  <c r="O2680" i="3"/>
  <c r="P2680" i="3"/>
  <c r="O2681" i="3"/>
  <c r="P2681" i="3"/>
  <c r="K2682" i="3"/>
  <c r="L2682" i="3" s="1"/>
  <c r="O2682" i="3"/>
  <c r="P2682" i="3"/>
  <c r="K2683" i="3"/>
  <c r="L2683" i="3" s="1"/>
  <c r="O2683" i="3"/>
  <c r="P2683" i="3"/>
  <c r="K2684" i="3"/>
  <c r="L2684" i="3" s="1"/>
  <c r="O2684" i="3"/>
  <c r="P2684" i="3"/>
  <c r="K2685" i="3"/>
  <c r="L2685" i="3" s="1"/>
  <c r="O2685" i="3"/>
  <c r="P2685" i="3"/>
  <c r="K2686" i="3"/>
  <c r="L2686" i="3" s="1"/>
  <c r="O2686" i="3"/>
  <c r="P2686" i="3"/>
  <c r="K2687" i="3"/>
  <c r="L2687" i="3" s="1"/>
  <c r="O2687" i="3"/>
  <c r="P2687" i="3"/>
  <c r="K2688" i="3"/>
  <c r="L2688" i="3" s="1"/>
  <c r="O2688" i="3"/>
  <c r="P2688" i="3"/>
  <c r="K2689" i="3"/>
  <c r="L2689" i="3" s="1"/>
  <c r="O2689" i="3"/>
  <c r="P2689" i="3"/>
  <c r="K2690" i="3"/>
  <c r="L2690" i="3" s="1"/>
  <c r="O2690" i="3"/>
  <c r="P2690" i="3"/>
  <c r="K2691" i="3"/>
  <c r="L2691" i="3" s="1"/>
  <c r="O2691" i="3"/>
  <c r="P2691" i="3"/>
  <c r="K2692" i="3"/>
  <c r="L2692" i="3" s="1"/>
  <c r="O2692" i="3"/>
  <c r="P2692" i="3"/>
  <c r="K2693" i="3"/>
  <c r="L2693" i="3" s="1"/>
  <c r="O2693" i="3"/>
  <c r="P2693" i="3"/>
  <c r="K2694" i="3"/>
  <c r="L2694" i="3" s="1"/>
  <c r="O2694" i="3"/>
  <c r="P2694" i="3"/>
  <c r="K2695" i="3"/>
  <c r="L2695" i="3" s="1"/>
  <c r="O2695" i="3"/>
  <c r="P2695" i="3"/>
  <c r="O2696" i="3"/>
  <c r="P2696" i="3"/>
  <c r="K2697" i="3"/>
  <c r="L2697" i="3" s="1"/>
  <c r="O2697" i="3"/>
  <c r="P2697" i="3"/>
  <c r="K2698" i="3"/>
  <c r="L2698" i="3" s="1"/>
  <c r="O2698" i="3"/>
  <c r="P2698" i="3"/>
  <c r="K2699" i="3"/>
  <c r="L2699" i="3" s="1"/>
  <c r="O2699" i="3"/>
  <c r="P2699" i="3"/>
  <c r="K2700" i="3"/>
  <c r="L2700" i="3" s="1"/>
  <c r="O2700" i="3"/>
  <c r="P2700" i="3"/>
  <c r="O2701" i="3"/>
  <c r="P2701" i="3"/>
  <c r="K2702" i="3"/>
  <c r="L2702" i="3" s="1"/>
  <c r="O2702" i="3"/>
  <c r="P2702" i="3"/>
  <c r="K2703" i="3"/>
  <c r="L2703" i="3" s="1"/>
  <c r="O2703" i="3"/>
  <c r="P2703" i="3"/>
  <c r="K2704" i="3"/>
  <c r="L2704" i="3" s="1"/>
  <c r="O2704" i="3"/>
  <c r="P2704" i="3"/>
  <c r="K2705" i="3"/>
  <c r="L2705" i="3" s="1"/>
  <c r="O2705" i="3"/>
  <c r="P2705" i="3"/>
  <c r="K2706" i="3"/>
  <c r="L2706" i="3" s="1"/>
  <c r="O2706" i="3"/>
  <c r="P2706" i="3"/>
  <c r="K2707" i="3"/>
  <c r="L2707" i="3" s="1"/>
  <c r="O2707" i="3"/>
  <c r="P2707" i="3"/>
  <c r="K2708" i="3"/>
  <c r="L2708" i="3" s="1"/>
  <c r="O2708" i="3"/>
  <c r="P2708" i="3"/>
  <c r="K2709" i="3"/>
  <c r="L2709" i="3" s="1"/>
  <c r="O2709" i="3"/>
  <c r="P2709" i="3"/>
  <c r="K2710" i="3"/>
  <c r="L2710" i="3" s="1"/>
  <c r="O2710" i="3"/>
  <c r="P2710" i="3"/>
  <c r="K2711" i="3"/>
  <c r="L2711" i="3" s="1"/>
  <c r="O2711" i="3"/>
  <c r="P2711" i="3"/>
  <c r="K2712" i="3"/>
  <c r="L2712" i="3" s="1"/>
  <c r="O2712" i="3"/>
  <c r="P2712" i="3"/>
  <c r="K2713" i="3"/>
  <c r="L2713" i="3" s="1"/>
  <c r="O2713" i="3"/>
  <c r="P2713" i="3"/>
  <c r="K2714" i="3"/>
  <c r="L2714" i="3" s="1"/>
  <c r="O2714" i="3"/>
  <c r="P2714" i="3"/>
  <c r="O2715" i="3"/>
  <c r="P2715" i="3"/>
  <c r="K2716" i="3"/>
  <c r="L2716" i="3" s="1"/>
  <c r="O2716" i="3"/>
  <c r="P2716" i="3"/>
  <c r="K2717" i="3"/>
  <c r="L2717" i="3" s="1"/>
  <c r="O2717" i="3"/>
  <c r="P2717" i="3"/>
  <c r="K2718" i="3"/>
  <c r="L2718" i="3" s="1"/>
  <c r="O2718" i="3"/>
  <c r="P2718" i="3"/>
  <c r="K2719" i="3"/>
  <c r="L2719" i="3" s="1"/>
  <c r="O2719" i="3"/>
  <c r="P2719" i="3"/>
  <c r="K2720" i="3"/>
  <c r="L2720" i="3" s="1"/>
  <c r="O2720" i="3"/>
  <c r="P2720" i="3"/>
  <c r="K2721" i="3"/>
  <c r="L2721" i="3" s="1"/>
  <c r="O2721" i="3"/>
  <c r="P2721" i="3"/>
  <c r="O2722" i="3"/>
  <c r="P2722" i="3"/>
  <c r="O2723" i="3"/>
  <c r="P2723" i="3"/>
  <c r="K2724" i="3"/>
  <c r="L2724" i="3" s="1"/>
  <c r="O2724" i="3"/>
  <c r="P2724" i="3"/>
  <c r="K2725" i="3"/>
  <c r="L2725" i="3" s="1"/>
  <c r="O2725" i="3"/>
  <c r="P2725" i="3"/>
  <c r="K2726" i="3"/>
  <c r="L2726" i="3" s="1"/>
  <c r="O2726" i="3"/>
  <c r="P2726" i="3"/>
  <c r="O2727" i="3"/>
  <c r="P2727" i="3"/>
  <c r="K2728" i="3"/>
  <c r="L2728" i="3" s="1"/>
  <c r="O2728" i="3"/>
  <c r="P2728" i="3"/>
  <c r="O2729" i="3"/>
  <c r="P2729" i="3"/>
  <c r="K2730" i="3"/>
  <c r="L2730" i="3" s="1"/>
  <c r="O2730" i="3"/>
  <c r="P2730" i="3"/>
  <c r="O2731" i="3"/>
  <c r="P2731" i="3"/>
  <c r="K2732" i="3"/>
  <c r="L2732" i="3" s="1"/>
  <c r="O2732" i="3"/>
  <c r="P2732" i="3"/>
  <c r="K2733" i="3"/>
  <c r="L2733" i="3" s="1"/>
  <c r="O2733" i="3"/>
  <c r="P2733" i="3"/>
  <c r="O2734" i="3"/>
  <c r="P2734" i="3"/>
  <c r="K2735" i="3"/>
  <c r="L2735" i="3" s="1"/>
  <c r="O2735" i="3"/>
  <c r="P2735" i="3"/>
  <c r="K2736" i="3"/>
  <c r="L2736" i="3" s="1"/>
  <c r="O2736" i="3"/>
  <c r="P2736" i="3"/>
  <c r="K2737" i="3"/>
  <c r="L2737" i="3" s="1"/>
  <c r="O2737" i="3"/>
  <c r="P2737" i="3"/>
  <c r="K2738" i="3"/>
  <c r="L2738" i="3" s="1"/>
  <c r="O2738" i="3"/>
  <c r="P2738" i="3"/>
  <c r="O2739" i="3"/>
  <c r="P2739" i="3"/>
  <c r="K2740" i="3"/>
  <c r="L2740" i="3" s="1"/>
  <c r="O2740" i="3"/>
  <c r="P2740" i="3"/>
  <c r="K2741" i="3"/>
  <c r="L2741" i="3" s="1"/>
  <c r="O2741" i="3"/>
  <c r="P2741" i="3"/>
  <c r="O2742" i="3"/>
  <c r="P2742" i="3"/>
  <c r="K2743" i="3"/>
  <c r="L2743" i="3" s="1"/>
  <c r="O2743" i="3"/>
  <c r="P2743" i="3"/>
  <c r="K2744" i="3"/>
  <c r="L2744" i="3" s="1"/>
  <c r="O2744" i="3"/>
  <c r="P2744" i="3"/>
  <c r="K2745" i="3"/>
  <c r="L2745" i="3" s="1"/>
  <c r="O2745" i="3"/>
  <c r="P2745" i="3"/>
  <c r="K2746" i="3"/>
  <c r="L2746" i="3" s="1"/>
  <c r="O2746" i="3"/>
  <c r="P2746" i="3"/>
  <c r="O2747" i="3"/>
  <c r="P2747" i="3"/>
  <c r="K2748" i="3"/>
  <c r="L2748" i="3" s="1"/>
  <c r="O2748" i="3"/>
  <c r="P2748" i="3"/>
  <c r="K2749" i="3"/>
  <c r="L2749" i="3" s="1"/>
  <c r="O2749" i="3"/>
  <c r="P2749" i="3"/>
  <c r="K2750" i="3"/>
  <c r="L2750" i="3" s="1"/>
  <c r="O2750" i="3"/>
  <c r="P2750" i="3"/>
  <c r="O2751" i="3"/>
  <c r="P2751" i="3"/>
  <c r="K2752" i="3"/>
  <c r="L2752" i="3" s="1"/>
  <c r="O2752" i="3"/>
  <c r="P2752" i="3"/>
  <c r="K2753" i="3"/>
  <c r="L2753" i="3" s="1"/>
  <c r="O2753" i="3"/>
  <c r="P2753" i="3"/>
  <c r="K2754" i="3"/>
  <c r="L2754" i="3" s="1"/>
  <c r="O2754" i="3"/>
  <c r="P2754" i="3"/>
  <c r="K2755" i="3"/>
  <c r="L2755" i="3" s="1"/>
  <c r="O2755" i="3"/>
  <c r="P2755" i="3"/>
  <c r="K2756" i="3"/>
  <c r="L2756" i="3" s="1"/>
  <c r="O2756" i="3"/>
  <c r="P2756" i="3"/>
  <c r="K2757" i="3"/>
  <c r="L2757" i="3" s="1"/>
  <c r="O2757" i="3"/>
  <c r="P2757" i="3"/>
  <c r="K2758" i="3"/>
  <c r="L2758" i="3" s="1"/>
  <c r="O2758" i="3"/>
  <c r="P2758" i="3"/>
  <c r="K2759" i="3"/>
  <c r="L2759" i="3" s="1"/>
  <c r="O2759" i="3"/>
  <c r="P2759" i="3"/>
  <c r="K2760" i="3"/>
  <c r="L2760" i="3" s="1"/>
  <c r="O2760" i="3"/>
  <c r="P2760" i="3"/>
  <c r="K2761" i="3"/>
  <c r="L2761" i="3" s="1"/>
  <c r="O2761" i="3"/>
  <c r="P2761" i="3"/>
  <c r="K2762" i="3"/>
  <c r="L2762" i="3" s="1"/>
  <c r="O2762" i="3"/>
  <c r="P2762" i="3"/>
  <c r="O2763" i="3"/>
  <c r="P2763" i="3"/>
  <c r="K2764" i="3"/>
  <c r="L2764" i="3" s="1"/>
  <c r="O2764" i="3"/>
  <c r="P2764" i="3"/>
  <c r="K2765" i="3"/>
  <c r="L2765" i="3" s="1"/>
  <c r="O2765" i="3"/>
  <c r="P2765" i="3"/>
  <c r="O2766" i="3"/>
  <c r="P2766" i="3"/>
  <c r="K2767" i="3"/>
  <c r="L2767" i="3" s="1"/>
  <c r="O2767" i="3"/>
  <c r="P2767" i="3"/>
  <c r="K2768" i="3"/>
  <c r="L2768" i="3" s="1"/>
  <c r="O2768" i="3"/>
  <c r="P2768" i="3"/>
  <c r="K2769" i="3"/>
  <c r="L2769" i="3" s="1"/>
  <c r="O2769" i="3"/>
  <c r="P2769" i="3"/>
  <c r="K2770" i="3"/>
  <c r="L2770" i="3" s="1"/>
  <c r="O2770" i="3"/>
  <c r="P2770" i="3"/>
  <c r="K2771" i="3"/>
  <c r="L2771" i="3" s="1"/>
  <c r="O2771" i="3"/>
  <c r="P2771" i="3"/>
  <c r="K2772" i="3"/>
  <c r="L2772" i="3" s="1"/>
  <c r="O2772" i="3"/>
  <c r="P2772" i="3"/>
  <c r="O2773" i="3"/>
  <c r="P2773" i="3"/>
  <c r="K2774" i="3"/>
  <c r="L2774" i="3" s="1"/>
  <c r="O2774" i="3"/>
  <c r="P2774" i="3"/>
  <c r="O2775" i="3"/>
  <c r="P2775" i="3"/>
  <c r="K2776" i="3"/>
  <c r="L2776" i="3" s="1"/>
  <c r="O2776" i="3"/>
  <c r="P2776" i="3"/>
  <c r="K2777" i="3"/>
  <c r="L2777" i="3" s="1"/>
  <c r="O2777" i="3"/>
  <c r="P2777" i="3"/>
  <c r="K2778" i="3"/>
  <c r="L2778" i="3" s="1"/>
  <c r="O2778" i="3"/>
  <c r="P2778" i="3"/>
  <c r="K2779" i="3"/>
  <c r="L2779" i="3" s="1"/>
  <c r="O2779" i="3"/>
  <c r="P2779" i="3"/>
  <c r="K2780" i="3"/>
  <c r="L2780" i="3" s="1"/>
  <c r="O2780" i="3"/>
  <c r="P2780" i="3"/>
  <c r="K2781" i="3"/>
  <c r="L2781" i="3" s="1"/>
  <c r="O2781" i="3"/>
  <c r="P2781" i="3"/>
  <c r="O2782" i="3"/>
  <c r="P2782" i="3"/>
  <c r="K2783" i="3"/>
  <c r="L2783" i="3" s="1"/>
  <c r="O2783" i="3"/>
  <c r="P2783" i="3"/>
  <c r="K2784" i="3"/>
  <c r="L2784" i="3" s="1"/>
  <c r="O2784" i="3"/>
  <c r="P2784" i="3"/>
  <c r="K2785" i="3"/>
  <c r="L2785" i="3" s="1"/>
  <c r="O2785" i="3"/>
  <c r="P2785" i="3"/>
  <c r="O2786" i="3"/>
  <c r="P2786" i="3"/>
  <c r="K2787" i="3"/>
  <c r="L2787" i="3" s="1"/>
  <c r="O2787" i="3"/>
  <c r="P2787" i="3"/>
  <c r="K2788" i="3"/>
  <c r="L2788" i="3" s="1"/>
  <c r="O2788" i="3"/>
  <c r="P2788" i="3"/>
  <c r="K2789" i="3"/>
  <c r="L2789" i="3" s="1"/>
  <c r="O2789" i="3"/>
  <c r="P2789" i="3"/>
  <c r="K2790" i="3"/>
  <c r="L2790" i="3" s="1"/>
  <c r="O2790" i="3"/>
  <c r="P2790" i="3"/>
  <c r="K2791" i="3"/>
  <c r="L2791" i="3" s="1"/>
  <c r="O2791" i="3"/>
  <c r="P2791" i="3"/>
  <c r="K2792" i="3"/>
  <c r="L2792" i="3" s="1"/>
  <c r="O2792" i="3"/>
  <c r="P2792" i="3"/>
  <c r="K2793" i="3"/>
  <c r="L2793" i="3" s="1"/>
  <c r="O2793" i="3"/>
  <c r="P2793" i="3"/>
  <c r="K2794" i="3"/>
  <c r="L2794" i="3" s="1"/>
  <c r="O2794" i="3"/>
  <c r="P2794" i="3"/>
  <c r="O2795" i="3"/>
  <c r="P2795" i="3"/>
  <c r="K2796" i="3"/>
  <c r="L2796" i="3" s="1"/>
  <c r="O2796" i="3"/>
  <c r="P2796" i="3"/>
  <c r="K2797" i="3"/>
  <c r="L2797" i="3" s="1"/>
  <c r="O2797" i="3"/>
  <c r="P2797" i="3"/>
  <c r="K2798" i="3"/>
  <c r="L2798" i="3" s="1"/>
  <c r="O2798" i="3"/>
  <c r="P2798" i="3"/>
  <c r="O2799" i="3"/>
  <c r="P2799" i="3"/>
  <c r="O2800" i="3"/>
  <c r="P2800" i="3"/>
  <c r="K2801" i="3"/>
  <c r="L2801" i="3" s="1"/>
  <c r="O2801" i="3"/>
  <c r="P2801" i="3"/>
  <c r="K2802" i="3"/>
  <c r="L2802" i="3" s="1"/>
  <c r="O2802" i="3"/>
  <c r="P2802" i="3"/>
  <c r="O2803" i="3"/>
  <c r="P2803" i="3"/>
  <c r="K2804" i="3"/>
  <c r="L2804" i="3" s="1"/>
  <c r="O2804" i="3"/>
  <c r="P2804" i="3"/>
  <c r="K2805" i="3"/>
  <c r="L2805" i="3" s="1"/>
  <c r="O2805" i="3"/>
  <c r="P2805" i="3"/>
  <c r="K2806" i="3"/>
  <c r="L2806" i="3" s="1"/>
  <c r="O2806" i="3"/>
  <c r="P2806" i="3"/>
  <c r="K2807" i="3"/>
  <c r="L2807" i="3" s="1"/>
  <c r="O2807" i="3"/>
  <c r="P2807" i="3"/>
  <c r="K2808" i="3"/>
  <c r="L2808" i="3" s="1"/>
  <c r="O2808" i="3"/>
  <c r="P2808" i="3"/>
  <c r="K2809" i="3"/>
  <c r="L2809" i="3" s="1"/>
  <c r="O2809" i="3"/>
  <c r="P2809" i="3"/>
  <c r="K2810" i="3"/>
  <c r="L2810" i="3" s="1"/>
  <c r="O2810" i="3"/>
  <c r="P2810" i="3"/>
  <c r="K2811" i="3"/>
  <c r="L2811" i="3" s="1"/>
  <c r="O2811" i="3"/>
  <c r="P2811" i="3"/>
  <c r="K2812" i="3"/>
  <c r="L2812" i="3" s="1"/>
  <c r="O2812" i="3"/>
  <c r="P2812" i="3"/>
  <c r="K2813" i="3"/>
  <c r="L2813" i="3" s="1"/>
  <c r="O2813" i="3"/>
  <c r="P2813" i="3"/>
  <c r="K2814" i="3"/>
  <c r="L2814" i="3" s="1"/>
  <c r="O2814" i="3"/>
  <c r="P2814" i="3"/>
  <c r="K2815" i="3"/>
  <c r="L2815" i="3" s="1"/>
  <c r="O2815" i="3"/>
  <c r="P2815" i="3"/>
  <c r="K2816" i="3"/>
  <c r="L2816" i="3" s="1"/>
  <c r="O2816" i="3"/>
  <c r="P2816" i="3"/>
  <c r="K2817" i="3"/>
  <c r="L2817" i="3" s="1"/>
  <c r="O2817" i="3"/>
  <c r="P2817" i="3"/>
  <c r="K2818" i="3"/>
  <c r="L2818" i="3" s="1"/>
  <c r="O2818" i="3"/>
  <c r="P2818" i="3"/>
  <c r="K2819" i="3"/>
  <c r="L2819" i="3" s="1"/>
  <c r="O2819" i="3"/>
  <c r="P2819" i="3"/>
  <c r="K2820" i="3"/>
  <c r="L2820" i="3" s="1"/>
  <c r="O2820" i="3"/>
  <c r="P2820" i="3"/>
  <c r="K2821" i="3"/>
  <c r="L2821" i="3" s="1"/>
  <c r="O2821" i="3"/>
  <c r="P2821" i="3"/>
  <c r="K2822" i="3"/>
  <c r="L2822" i="3" s="1"/>
  <c r="O2822" i="3"/>
  <c r="P2822" i="3"/>
  <c r="K2823" i="3"/>
  <c r="L2823" i="3" s="1"/>
  <c r="O2823" i="3"/>
  <c r="P2823" i="3"/>
  <c r="K2824" i="3"/>
  <c r="L2824" i="3" s="1"/>
  <c r="O2824" i="3"/>
  <c r="P2824" i="3"/>
  <c r="K2825" i="3"/>
  <c r="L2825" i="3" s="1"/>
  <c r="O2825" i="3"/>
  <c r="P2825" i="3"/>
  <c r="K2826" i="3"/>
  <c r="L2826" i="3" s="1"/>
  <c r="O2826" i="3"/>
  <c r="P2826" i="3"/>
  <c r="K2827" i="3"/>
  <c r="L2827" i="3" s="1"/>
  <c r="O2827" i="3"/>
  <c r="P2827" i="3"/>
  <c r="K2828" i="3"/>
  <c r="L2828" i="3" s="1"/>
  <c r="O2828" i="3"/>
  <c r="P2828" i="3"/>
  <c r="K2829" i="3"/>
  <c r="L2829" i="3" s="1"/>
  <c r="O2829" i="3"/>
  <c r="P2829" i="3"/>
  <c r="K2830" i="3"/>
  <c r="L2830" i="3" s="1"/>
  <c r="O2830" i="3"/>
  <c r="P2830" i="3"/>
  <c r="K2831" i="3"/>
  <c r="L2831" i="3" s="1"/>
  <c r="O2831" i="3"/>
  <c r="P2831" i="3"/>
  <c r="O2832" i="3"/>
  <c r="P2832" i="3"/>
  <c r="O2833" i="3"/>
  <c r="P2833" i="3"/>
  <c r="O2834" i="3"/>
  <c r="P2834" i="3"/>
  <c r="K2835" i="3"/>
  <c r="L2835" i="3" s="1"/>
  <c r="O2835" i="3"/>
  <c r="P2835" i="3"/>
  <c r="K2836" i="3"/>
  <c r="L2836" i="3" s="1"/>
  <c r="O2836" i="3"/>
  <c r="P2836" i="3"/>
  <c r="K2837" i="3"/>
  <c r="L2837" i="3" s="1"/>
  <c r="O2837" i="3"/>
  <c r="P2837" i="3"/>
  <c r="K2838" i="3"/>
  <c r="L2838" i="3" s="1"/>
  <c r="O2838" i="3"/>
  <c r="P2838" i="3"/>
  <c r="K2839" i="3"/>
  <c r="L2839" i="3" s="1"/>
  <c r="O2839" i="3"/>
  <c r="P2839" i="3"/>
  <c r="O2840" i="3"/>
  <c r="P2840" i="3"/>
  <c r="K2841" i="3"/>
  <c r="L2841" i="3" s="1"/>
  <c r="O2841" i="3"/>
  <c r="P2841" i="3"/>
  <c r="K2842" i="3"/>
  <c r="L2842" i="3" s="1"/>
  <c r="O2842" i="3"/>
  <c r="P2842" i="3"/>
  <c r="K2843" i="3"/>
  <c r="L2843" i="3" s="1"/>
  <c r="O2843" i="3"/>
  <c r="P2843" i="3"/>
  <c r="K2844" i="3"/>
  <c r="L2844" i="3" s="1"/>
  <c r="O2844" i="3"/>
  <c r="P2844" i="3"/>
  <c r="K2845" i="3"/>
  <c r="L2845" i="3" s="1"/>
  <c r="O2845" i="3"/>
  <c r="P2845" i="3"/>
  <c r="K2846" i="3"/>
  <c r="L2846" i="3" s="1"/>
  <c r="O2846" i="3"/>
  <c r="P2846" i="3"/>
  <c r="K2847" i="3"/>
  <c r="L2847" i="3" s="1"/>
  <c r="O2847" i="3"/>
  <c r="P2847" i="3"/>
  <c r="K2848" i="3"/>
  <c r="L2848" i="3" s="1"/>
  <c r="O2848" i="3"/>
  <c r="P2848" i="3"/>
  <c r="K2849" i="3"/>
  <c r="L2849" i="3" s="1"/>
  <c r="O2849" i="3"/>
  <c r="P2849" i="3"/>
  <c r="K2850" i="3"/>
  <c r="L2850" i="3" s="1"/>
  <c r="O2850" i="3"/>
  <c r="P2850" i="3"/>
  <c r="K2851" i="3"/>
  <c r="L2851" i="3" s="1"/>
  <c r="O2851" i="3"/>
  <c r="P2851" i="3"/>
  <c r="K2852" i="3"/>
  <c r="L2852" i="3" s="1"/>
  <c r="O2852" i="3"/>
  <c r="P2852" i="3"/>
  <c r="K2853" i="3"/>
  <c r="L2853" i="3" s="1"/>
  <c r="O2853" i="3"/>
  <c r="P2853" i="3"/>
  <c r="K2854" i="3"/>
  <c r="L2854" i="3" s="1"/>
  <c r="O2854" i="3"/>
  <c r="P2854" i="3"/>
  <c r="O2855" i="3"/>
  <c r="P2855" i="3"/>
  <c r="K2856" i="3"/>
  <c r="L2856" i="3" s="1"/>
  <c r="O2856" i="3"/>
  <c r="P2856" i="3"/>
  <c r="K2857" i="3"/>
  <c r="L2857" i="3" s="1"/>
  <c r="O2857" i="3"/>
  <c r="P2857" i="3"/>
  <c r="K2858" i="3"/>
  <c r="L2858" i="3" s="1"/>
  <c r="O2858" i="3"/>
  <c r="P2858" i="3"/>
  <c r="O2859" i="3"/>
  <c r="P2859" i="3"/>
  <c r="O2860" i="3"/>
  <c r="P2860" i="3"/>
  <c r="O2861" i="3"/>
  <c r="P2861" i="3"/>
  <c r="K2862" i="3"/>
  <c r="L2862" i="3" s="1"/>
  <c r="O2862" i="3"/>
  <c r="P2862" i="3"/>
  <c r="K2863" i="3"/>
  <c r="L2863" i="3" s="1"/>
  <c r="O2863" i="3"/>
  <c r="P2863" i="3"/>
  <c r="O2864" i="3"/>
  <c r="P2864" i="3"/>
  <c r="K2865" i="3"/>
  <c r="L2865" i="3" s="1"/>
  <c r="O2865" i="3"/>
  <c r="P2865" i="3"/>
  <c r="K2866" i="3"/>
  <c r="L2866" i="3" s="1"/>
  <c r="O2866" i="3"/>
  <c r="P2866" i="3"/>
  <c r="K2867" i="3"/>
  <c r="L2867" i="3" s="1"/>
  <c r="O2867" i="3"/>
  <c r="P2867" i="3"/>
  <c r="K2868" i="3"/>
  <c r="L2868" i="3" s="1"/>
  <c r="O2868" i="3"/>
  <c r="P2868" i="3"/>
  <c r="K2869" i="3"/>
  <c r="L2869" i="3" s="1"/>
  <c r="O2869" i="3"/>
  <c r="P2869" i="3"/>
  <c r="K2870" i="3"/>
  <c r="L2870" i="3" s="1"/>
  <c r="O2870" i="3"/>
  <c r="P2870" i="3"/>
  <c r="K2871" i="3"/>
  <c r="L2871" i="3" s="1"/>
  <c r="O2871" i="3"/>
  <c r="P2871" i="3"/>
  <c r="O2872" i="3"/>
  <c r="P2872" i="3"/>
  <c r="O2873" i="3"/>
  <c r="P2873" i="3"/>
  <c r="K2874" i="3"/>
  <c r="L2874" i="3" s="1"/>
  <c r="O2874" i="3"/>
  <c r="P2874" i="3"/>
  <c r="K2875" i="3"/>
  <c r="L2875" i="3" s="1"/>
  <c r="O2875" i="3"/>
  <c r="P2875" i="3"/>
  <c r="K2876" i="3"/>
  <c r="L2876" i="3" s="1"/>
  <c r="O2876" i="3"/>
  <c r="P2876" i="3"/>
  <c r="K2877" i="3"/>
  <c r="L2877" i="3" s="1"/>
  <c r="O2877" i="3"/>
  <c r="P2877" i="3"/>
  <c r="K2878" i="3"/>
  <c r="L2878" i="3" s="1"/>
  <c r="O2878" i="3"/>
  <c r="P2878" i="3"/>
  <c r="K2879" i="3"/>
  <c r="L2879" i="3" s="1"/>
  <c r="O2879" i="3"/>
  <c r="P2879" i="3"/>
  <c r="K2880" i="3"/>
  <c r="L2880" i="3" s="1"/>
  <c r="O2880" i="3"/>
  <c r="P2880" i="3"/>
  <c r="K2881" i="3"/>
  <c r="L2881" i="3" s="1"/>
  <c r="O2881" i="3"/>
  <c r="P2881" i="3"/>
  <c r="K2882" i="3"/>
  <c r="L2882" i="3" s="1"/>
  <c r="O2882" i="3"/>
  <c r="P2882" i="3"/>
  <c r="K2883" i="3"/>
  <c r="L2883" i="3" s="1"/>
  <c r="O2883" i="3"/>
  <c r="P2883" i="3"/>
  <c r="K2884" i="3"/>
  <c r="L2884" i="3" s="1"/>
  <c r="O2884" i="3"/>
  <c r="P2884" i="3"/>
  <c r="K2885" i="3"/>
  <c r="L2885" i="3" s="1"/>
  <c r="O2885" i="3"/>
  <c r="P2885" i="3"/>
  <c r="K2886" i="3"/>
  <c r="L2886" i="3" s="1"/>
  <c r="O2886" i="3"/>
  <c r="P2886" i="3"/>
  <c r="O2887" i="3"/>
  <c r="P2887" i="3"/>
  <c r="K2888" i="3"/>
  <c r="L2888" i="3" s="1"/>
  <c r="O2888" i="3"/>
  <c r="P2888" i="3"/>
  <c r="K2889" i="3"/>
  <c r="L2889" i="3" s="1"/>
  <c r="O2889" i="3"/>
  <c r="P2889" i="3"/>
  <c r="K2890" i="3"/>
  <c r="L2890" i="3" s="1"/>
  <c r="O2890" i="3"/>
  <c r="P2890" i="3"/>
  <c r="O2891" i="3"/>
  <c r="P2891" i="3"/>
  <c r="K2892" i="3"/>
  <c r="L2892" i="3" s="1"/>
  <c r="O2892" i="3"/>
  <c r="P2892" i="3"/>
  <c r="K2893" i="3"/>
  <c r="L2893" i="3" s="1"/>
  <c r="O2893" i="3"/>
  <c r="P2893" i="3"/>
  <c r="K2894" i="3"/>
  <c r="L2894" i="3" s="1"/>
  <c r="O2894" i="3"/>
  <c r="P2894" i="3"/>
  <c r="K2895" i="3"/>
  <c r="L2895" i="3" s="1"/>
  <c r="O2895" i="3"/>
  <c r="P2895" i="3"/>
  <c r="K2896" i="3"/>
  <c r="L2896" i="3" s="1"/>
  <c r="O2896" i="3"/>
  <c r="P2896" i="3"/>
  <c r="K2897" i="3"/>
  <c r="L2897" i="3" s="1"/>
  <c r="O2897" i="3"/>
  <c r="P2897" i="3"/>
  <c r="O2898" i="3"/>
  <c r="P2898" i="3"/>
  <c r="K2899" i="3"/>
  <c r="L2899" i="3" s="1"/>
  <c r="O2899" i="3"/>
  <c r="P2899" i="3"/>
  <c r="K2900" i="3"/>
  <c r="L2900" i="3" s="1"/>
  <c r="O2900" i="3"/>
  <c r="P2900" i="3"/>
  <c r="K2901" i="3"/>
  <c r="L2901" i="3" s="1"/>
  <c r="O2901" i="3"/>
  <c r="P2901" i="3"/>
  <c r="K2902" i="3"/>
  <c r="L2902" i="3" s="1"/>
  <c r="O2902" i="3"/>
  <c r="P2902" i="3"/>
  <c r="K2903" i="3"/>
  <c r="L2903" i="3" s="1"/>
  <c r="O2903" i="3"/>
  <c r="P2903" i="3"/>
  <c r="O2904" i="3"/>
  <c r="P2904" i="3"/>
  <c r="K2905" i="3"/>
  <c r="L2905" i="3" s="1"/>
  <c r="O2905" i="3"/>
  <c r="P2905" i="3"/>
  <c r="K2906" i="3"/>
  <c r="L2906" i="3" s="1"/>
  <c r="O2906" i="3"/>
  <c r="P2906" i="3"/>
  <c r="K2907" i="3"/>
  <c r="L2907" i="3" s="1"/>
  <c r="O2907" i="3"/>
  <c r="P2907" i="3"/>
  <c r="K2908" i="3"/>
  <c r="L2908" i="3" s="1"/>
  <c r="O2908" i="3"/>
  <c r="P2908" i="3"/>
  <c r="K2909" i="3"/>
  <c r="L2909" i="3" s="1"/>
  <c r="O2909" i="3"/>
  <c r="P2909" i="3"/>
  <c r="K2910" i="3"/>
  <c r="L2910" i="3" s="1"/>
  <c r="O2910" i="3"/>
  <c r="P2910" i="3"/>
  <c r="K2911" i="3"/>
  <c r="L2911" i="3" s="1"/>
  <c r="O2911" i="3"/>
  <c r="P2911" i="3"/>
  <c r="K2912" i="3"/>
  <c r="L2912" i="3" s="1"/>
  <c r="O2912" i="3"/>
  <c r="P2912" i="3"/>
  <c r="K2913" i="3"/>
  <c r="L2913" i="3" s="1"/>
  <c r="O2913" i="3"/>
  <c r="P2913" i="3"/>
  <c r="K2914" i="3"/>
  <c r="L2914" i="3" s="1"/>
  <c r="O2914" i="3"/>
  <c r="P2914" i="3"/>
  <c r="K2915" i="3"/>
  <c r="L2915" i="3" s="1"/>
  <c r="O2915" i="3"/>
  <c r="P2915" i="3"/>
  <c r="K2916" i="3"/>
  <c r="L2916" i="3" s="1"/>
  <c r="O2916" i="3"/>
  <c r="P2916" i="3"/>
  <c r="K2917" i="3"/>
  <c r="L2917" i="3" s="1"/>
  <c r="O2917" i="3"/>
  <c r="P2917" i="3"/>
  <c r="K2918" i="3"/>
  <c r="L2918" i="3" s="1"/>
  <c r="O2918" i="3"/>
  <c r="P2918" i="3"/>
  <c r="K2919" i="3"/>
  <c r="L2919" i="3" s="1"/>
  <c r="O2919" i="3"/>
  <c r="P2919" i="3"/>
  <c r="K2920" i="3"/>
  <c r="L2920" i="3" s="1"/>
  <c r="O2920" i="3"/>
  <c r="P2920" i="3"/>
  <c r="K2921" i="3"/>
  <c r="L2921" i="3" s="1"/>
  <c r="O2921" i="3"/>
  <c r="P2921" i="3"/>
  <c r="K2922" i="3"/>
  <c r="L2922" i="3" s="1"/>
  <c r="O2922" i="3"/>
  <c r="P2922" i="3"/>
  <c r="K2923" i="3"/>
  <c r="L2923" i="3" s="1"/>
  <c r="O2923" i="3"/>
  <c r="P2923" i="3"/>
  <c r="K2924" i="3"/>
  <c r="L2924" i="3" s="1"/>
  <c r="O2924" i="3"/>
  <c r="P2924" i="3"/>
  <c r="K2925" i="3"/>
  <c r="L2925" i="3" s="1"/>
  <c r="O2925" i="3"/>
  <c r="P2925" i="3"/>
  <c r="K2926" i="3"/>
  <c r="L2926" i="3" s="1"/>
  <c r="O2926" i="3"/>
  <c r="P2926" i="3"/>
  <c r="K2927" i="3"/>
  <c r="L2927" i="3" s="1"/>
  <c r="O2927" i="3"/>
  <c r="P2927" i="3"/>
  <c r="K2928" i="3"/>
  <c r="L2928" i="3" s="1"/>
  <c r="O2928" i="3"/>
  <c r="P2928" i="3"/>
  <c r="K2929" i="3"/>
  <c r="L2929" i="3" s="1"/>
  <c r="O2929" i="3"/>
  <c r="P2929" i="3"/>
  <c r="O2930" i="3"/>
  <c r="P2930" i="3"/>
  <c r="K2931" i="3"/>
  <c r="L2931" i="3" s="1"/>
  <c r="O2931" i="3"/>
  <c r="P2931" i="3"/>
  <c r="K2932" i="3"/>
  <c r="L2932" i="3" s="1"/>
  <c r="O2932" i="3"/>
  <c r="P2932" i="3"/>
  <c r="K2933" i="3"/>
  <c r="L2933" i="3" s="1"/>
  <c r="O2933" i="3"/>
  <c r="P2933" i="3"/>
  <c r="K2934" i="3"/>
  <c r="L2934" i="3" s="1"/>
  <c r="O2934" i="3"/>
  <c r="P2934" i="3"/>
  <c r="O2935" i="3"/>
  <c r="P2935" i="3"/>
  <c r="K2936" i="3"/>
  <c r="L2936" i="3" s="1"/>
  <c r="O2936" i="3"/>
  <c r="P2936" i="3"/>
  <c r="K2937" i="3"/>
  <c r="L2937" i="3" s="1"/>
  <c r="O2937" i="3"/>
  <c r="P2937" i="3"/>
  <c r="K2938" i="3"/>
  <c r="L2938" i="3" s="1"/>
  <c r="O2938" i="3"/>
  <c r="P2938" i="3"/>
  <c r="O2939" i="3"/>
  <c r="P2939" i="3"/>
  <c r="K2940" i="3"/>
  <c r="L2940" i="3" s="1"/>
  <c r="O2940" i="3"/>
  <c r="P2940" i="3"/>
  <c r="K2941" i="3"/>
  <c r="L2941" i="3" s="1"/>
  <c r="O2941" i="3"/>
  <c r="P2941" i="3"/>
  <c r="K2942" i="3"/>
  <c r="L2942" i="3" s="1"/>
  <c r="O2942" i="3"/>
  <c r="P2942" i="3"/>
  <c r="K2943" i="3"/>
  <c r="L2943" i="3" s="1"/>
  <c r="O2943" i="3"/>
  <c r="P2943" i="3"/>
  <c r="K2944" i="3"/>
  <c r="L2944" i="3" s="1"/>
  <c r="O2944" i="3"/>
  <c r="P2944" i="3"/>
  <c r="K2945" i="3"/>
  <c r="L2945" i="3" s="1"/>
  <c r="O2945" i="3"/>
  <c r="P2945" i="3"/>
  <c r="K2946" i="3"/>
  <c r="L2946" i="3" s="1"/>
  <c r="O2946" i="3"/>
  <c r="P2946" i="3"/>
  <c r="O2947" i="3"/>
  <c r="P2947" i="3"/>
  <c r="K2948" i="3"/>
  <c r="L2948" i="3" s="1"/>
  <c r="O2948" i="3"/>
  <c r="P2948" i="3"/>
  <c r="K2949" i="3"/>
  <c r="L2949" i="3" s="1"/>
  <c r="O2949" i="3"/>
  <c r="P2949" i="3"/>
  <c r="O2950" i="3"/>
  <c r="P2950" i="3"/>
  <c r="K2951" i="3"/>
  <c r="L2951" i="3" s="1"/>
  <c r="O2951" i="3"/>
  <c r="P2951" i="3"/>
  <c r="K2952" i="3"/>
  <c r="L2952" i="3" s="1"/>
  <c r="O2952" i="3"/>
  <c r="P2952" i="3"/>
  <c r="O2953" i="3"/>
  <c r="P2953" i="3"/>
  <c r="K2954" i="3"/>
  <c r="L2954" i="3" s="1"/>
  <c r="O2954" i="3"/>
  <c r="P2954" i="3"/>
  <c r="K2955" i="3"/>
  <c r="L2955" i="3" s="1"/>
  <c r="O2955" i="3"/>
  <c r="P2955" i="3"/>
  <c r="K2956" i="3"/>
  <c r="L2956" i="3" s="1"/>
  <c r="O2956" i="3"/>
  <c r="P2956" i="3"/>
  <c r="K2957" i="3"/>
  <c r="L2957" i="3" s="1"/>
  <c r="O2957" i="3"/>
  <c r="P2957" i="3"/>
  <c r="K2958" i="3"/>
  <c r="L2958" i="3" s="1"/>
  <c r="O2958" i="3"/>
  <c r="P2958" i="3"/>
  <c r="K2959" i="3"/>
  <c r="L2959" i="3" s="1"/>
  <c r="O2959" i="3"/>
  <c r="P2959" i="3"/>
  <c r="K2960" i="3"/>
  <c r="L2960" i="3" s="1"/>
  <c r="O2960" i="3"/>
  <c r="P2960" i="3"/>
  <c r="K2961" i="3"/>
  <c r="L2961" i="3" s="1"/>
  <c r="O2961" i="3"/>
  <c r="P2961" i="3"/>
  <c r="K2962" i="3"/>
  <c r="L2962" i="3" s="1"/>
  <c r="O2962" i="3"/>
  <c r="P2962" i="3"/>
  <c r="K2963" i="3"/>
  <c r="L2963" i="3" s="1"/>
  <c r="O2963" i="3"/>
  <c r="P2963" i="3"/>
  <c r="K2964" i="3"/>
  <c r="L2964" i="3" s="1"/>
  <c r="O2964" i="3"/>
  <c r="P2964" i="3"/>
  <c r="K2965" i="3"/>
  <c r="L2965" i="3" s="1"/>
  <c r="O2965" i="3"/>
  <c r="P2965" i="3"/>
  <c r="K2966" i="3"/>
  <c r="L2966" i="3" s="1"/>
  <c r="O2966" i="3"/>
  <c r="P2966" i="3"/>
  <c r="O2967" i="3"/>
  <c r="P2967" i="3"/>
  <c r="K2968" i="3"/>
  <c r="L2968" i="3" s="1"/>
  <c r="O2968" i="3"/>
  <c r="P2968" i="3"/>
  <c r="K2969" i="3"/>
  <c r="L2969" i="3" s="1"/>
  <c r="O2969" i="3"/>
  <c r="P2969" i="3"/>
  <c r="K2970" i="3"/>
  <c r="L2970" i="3" s="1"/>
  <c r="O2970" i="3"/>
  <c r="P2970" i="3"/>
  <c r="K2971" i="3"/>
  <c r="L2971" i="3" s="1"/>
  <c r="O2971" i="3"/>
  <c r="P2971" i="3"/>
  <c r="K2972" i="3"/>
  <c r="L2972" i="3" s="1"/>
  <c r="O2972" i="3"/>
  <c r="P2972" i="3"/>
  <c r="O2973" i="3"/>
  <c r="P2973" i="3"/>
  <c r="K2974" i="3"/>
  <c r="L2974" i="3" s="1"/>
  <c r="O2974" i="3"/>
  <c r="P2974" i="3"/>
  <c r="K2975" i="3"/>
  <c r="L2975" i="3" s="1"/>
  <c r="O2975" i="3"/>
  <c r="P2975" i="3"/>
  <c r="O2976" i="3"/>
  <c r="P2976" i="3"/>
  <c r="K2977" i="3"/>
  <c r="L2977" i="3" s="1"/>
  <c r="O2977" i="3"/>
  <c r="P2977" i="3"/>
  <c r="K2978" i="3"/>
  <c r="L2978" i="3" s="1"/>
  <c r="O2978" i="3"/>
  <c r="P2978" i="3"/>
  <c r="K2979" i="3"/>
  <c r="L2979" i="3" s="1"/>
  <c r="O2979" i="3"/>
  <c r="P2979" i="3"/>
  <c r="K2980" i="3"/>
  <c r="L2980" i="3" s="1"/>
  <c r="O2980" i="3"/>
  <c r="P2980" i="3"/>
  <c r="K2981" i="3"/>
  <c r="L2981" i="3" s="1"/>
  <c r="O2981" i="3"/>
  <c r="P2981" i="3"/>
  <c r="O2982" i="3"/>
  <c r="P2982" i="3"/>
  <c r="K2983" i="3"/>
  <c r="L2983" i="3" s="1"/>
  <c r="O2983" i="3"/>
  <c r="P2983" i="3"/>
  <c r="K2984" i="3"/>
  <c r="L2984" i="3" s="1"/>
  <c r="O2984" i="3"/>
  <c r="P2984" i="3"/>
  <c r="K2985" i="3"/>
  <c r="L2985" i="3" s="1"/>
  <c r="O2985" i="3"/>
  <c r="P2985" i="3"/>
  <c r="K2986" i="3"/>
  <c r="L2986" i="3" s="1"/>
  <c r="O2986" i="3"/>
  <c r="P2986" i="3"/>
  <c r="K2987" i="3"/>
  <c r="L2987" i="3" s="1"/>
  <c r="O2987" i="3"/>
  <c r="P2987" i="3"/>
  <c r="K2988" i="3"/>
  <c r="L2988" i="3" s="1"/>
  <c r="O2988" i="3"/>
  <c r="P2988" i="3"/>
  <c r="K2989" i="3"/>
  <c r="L2989" i="3" s="1"/>
  <c r="O2989" i="3"/>
  <c r="P2989" i="3"/>
  <c r="O2990" i="3"/>
  <c r="P2990" i="3"/>
  <c r="O2991" i="3"/>
  <c r="P2991" i="3"/>
  <c r="K2992" i="3"/>
  <c r="L2992" i="3" s="1"/>
  <c r="O2992" i="3"/>
  <c r="P2992" i="3"/>
  <c r="O2993" i="3"/>
  <c r="P2993" i="3"/>
  <c r="K2994" i="3"/>
  <c r="L2994" i="3" s="1"/>
  <c r="O2994" i="3"/>
  <c r="P2994" i="3"/>
  <c r="K2995" i="3"/>
  <c r="L2995" i="3" s="1"/>
  <c r="O2995" i="3"/>
  <c r="P2995" i="3"/>
  <c r="K2996" i="3"/>
  <c r="L2996" i="3" s="1"/>
  <c r="O2996" i="3"/>
  <c r="P2996" i="3"/>
  <c r="K2997" i="3"/>
  <c r="L2997" i="3" s="1"/>
  <c r="O2997" i="3"/>
  <c r="P2997" i="3"/>
  <c r="K2998" i="3"/>
  <c r="L2998" i="3" s="1"/>
  <c r="O2998" i="3"/>
  <c r="P2998" i="3"/>
  <c r="K2999" i="3"/>
  <c r="L2999" i="3" s="1"/>
  <c r="O2999" i="3"/>
  <c r="P2999" i="3"/>
  <c r="K3000" i="3"/>
  <c r="L3000" i="3" s="1"/>
  <c r="O3000" i="3"/>
  <c r="P3000" i="3"/>
  <c r="K3001" i="3"/>
  <c r="L3001" i="3" s="1"/>
  <c r="O3001" i="3"/>
  <c r="P3001" i="3"/>
  <c r="K3002" i="3"/>
  <c r="L3002" i="3" s="1"/>
  <c r="O3002" i="3"/>
  <c r="P3002" i="3"/>
  <c r="K3003" i="3"/>
  <c r="L3003" i="3" s="1"/>
  <c r="O3003" i="3"/>
  <c r="P3003" i="3"/>
  <c r="K3004" i="3"/>
  <c r="L3004" i="3" s="1"/>
  <c r="O3004" i="3"/>
  <c r="P3004" i="3"/>
  <c r="K3005" i="3"/>
  <c r="L3005" i="3" s="1"/>
  <c r="O3005" i="3"/>
  <c r="P3005" i="3"/>
  <c r="K3006" i="3"/>
  <c r="L3006" i="3" s="1"/>
  <c r="O3006" i="3"/>
  <c r="P3006" i="3"/>
  <c r="K3007" i="3"/>
  <c r="L3007" i="3" s="1"/>
  <c r="O3007" i="3"/>
  <c r="P3007" i="3"/>
  <c r="O3008" i="3"/>
  <c r="P3008" i="3"/>
  <c r="K3009" i="3"/>
  <c r="L3009" i="3" s="1"/>
  <c r="O3009" i="3"/>
  <c r="P3009" i="3"/>
  <c r="K3010" i="3"/>
  <c r="L3010" i="3" s="1"/>
  <c r="O3010" i="3"/>
  <c r="P3010" i="3"/>
  <c r="K3011" i="3"/>
  <c r="L3011" i="3" s="1"/>
  <c r="O3011" i="3"/>
  <c r="P3011" i="3"/>
  <c r="K3012" i="3"/>
  <c r="L3012" i="3" s="1"/>
  <c r="O3012" i="3"/>
  <c r="P3012" i="3"/>
  <c r="K3013" i="3"/>
  <c r="L3013" i="3" s="1"/>
  <c r="O3013" i="3"/>
  <c r="P3013" i="3"/>
  <c r="K3014" i="3"/>
  <c r="L3014" i="3" s="1"/>
  <c r="O3014" i="3"/>
  <c r="P3014" i="3"/>
  <c r="K3015" i="3"/>
  <c r="L3015" i="3" s="1"/>
  <c r="O3015" i="3"/>
  <c r="P3015" i="3"/>
  <c r="O3016" i="3"/>
  <c r="P3016" i="3"/>
  <c r="K3017" i="3"/>
  <c r="L3017" i="3" s="1"/>
  <c r="O3017" i="3"/>
  <c r="P3017" i="3"/>
  <c r="K3018" i="3"/>
  <c r="L3018" i="3" s="1"/>
  <c r="O3018" i="3"/>
  <c r="P3018" i="3"/>
  <c r="K3019" i="3"/>
  <c r="L3019" i="3" s="1"/>
  <c r="O3019" i="3"/>
  <c r="P3019" i="3"/>
  <c r="K3020" i="3"/>
  <c r="L3020" i="3" s="1"/>
  <c r="O3020" i="3"/>
  <c r="P3020" i="3"/>
  <c r="K3021" i="3"/>
  <c r="L3021" i="3" s="1"/>
  <c r="O3021" i="3"/>
  <c r="P3021" i="3"/>
  <c r="K3022" i="3"/>
  <c r="L3022" i="3" s="1"/>
  <c r="O3022" i="3"/>
  <c r="P3022" i="3"/>
  <c r="K3023" i="3"/>
  <c r="L3023" i="3" s="1"/>
  <c r="O3023" i="3"/>
  <c r="P3023" i="3"/>
  <c r="K3024" i="3"/>
  <c r="L3024" i="3" s="1"/>
  <c r="O3024" i="3"/>
  <c r="P3024" i="3"/>
  <c r="K3025" i="3"/>
  <c r="L3025" i="3" s="1"/>
  <c r="O3025" i="3"/>
  <c r="P3025" i="3"/>
  <c r="K3026" i="3"/>
  <c r="L3026" i="3" s="1"/>
  <c r="O3026" i="3"/>
  <c r="P3026" i="3"/>
  <c r="K3027" i="3"/>
  <c r="L3027" i="3" s="1"/>
  <c r="O3027" i="3"/>
  <c r="P3027" i="3"/>
  <c r="K3028" i="3"/>
  <c r="L3028" i="3" s="1"/>
  <c r="O3028" i="3"/>
  <c r="P3028" i="3"/>
  <c r="K3029" i="3"/>
  <c r="L3029" i="3" s="1"/>
  <c r="O3029" i="3"/>
  <c r="P3029" i="3"/>
  <c r="K3030" i="3"/>
  <c r="L3030" i="3" s="1"/>
  <c r="O3030" i="3"/>
  <c r="P3030" i="3"/>
  <c r="K3031" i="3"/>
  <c r="L3031" i="3" s="1"/>
  <c r="O3031" i="3"/>
  <c r="P3031" i="3"/>
  <c r="K3032" i="3"/>
  <c r="L3032" i="3" s="1"/>
  <c r="O3032" i="3"/>
  <c r="P3032" i="3"/>
  <c r="K3033" i="3"/>
  <c r="L3033" i="3" s="1"/>
  <c r="O3033" i="3"/>
  <c r="P3033" i="3"/>
  <c r="K3034" i="3"/>
  <c r="L3034" i="3" s="1"/>
  <c r="O3034" i="3"/>
  <c r="P3034" i="3"/>
  <c r="K3035" i="3"/>
  <c r="L3035" i="3" s="1"/>
  <c r="O3035" i="3"/>
  <c r="P3035" i="3"/>
  <c r="K3036" i="3"/>
  <c r="L3036" i="3" s="1"/>
  <c r="O3036" i="3"/>
  <c r="P3036" i="3"/>
  <c r="K3037" i="3"/>
  <c r="L3037" i="3" s="1"/>
  <c r="O3037" i="3"/>
  <c r="P3037" i="3"/>
  <c r="K3038" i="3"/>
  <c r="L3038" i="3" s="1"/>
  <c r="O3038" i="3"/>
  <c r="P3038" i="3"/>
  <c r="K3039" i="3"/>
  <c r="L3039" i="3" s="1"/>
  <c r="O3039" i="3"/>
  <c r="P3039" i="3"/>
  <c r="K3040" i="3"/>
  <c r="L3040" i="3" s="1"/>
  <c r="O3040" i="3"/>
  <c r="P3040" i="3"/>
  <c r="K3041" i="3"/>
  <c r="L3041" i="3" s="1"/>
  <c r="O3041" i="3"/>
  <c r="P3041" i="3"/>
  <c r="K3042" i="3"/>
  <c r="L3042" i="3" s="1"/>
  <c r="O3042" i="3"/>
  <c r="P3042" i="3"/>
  <c r="K3043" i="3"/>
  <c r="L3043" i="3" s="1"/>
  <c r="O3043" i="3"/>
  <c r="P3043" i="3"/>
  <c r="K3044" i="3"/>
  <c r="L3044" i="3" s="1"/>
  <c r="O3044" i="3"/>
  <c r="P3044" i="3"/>
  <c r="O3045" i="3"/>
  <c r="P3045" i="3"/>
  <c r="K3046" i="3"/>
  <c r="L3046" i="3" s="1"/>
  <c r="O3046" i="3"/>
  <c r="P3046" i="3"/>
  <c r="K3047" i="3"/>
  <c r="L3047" i="3" s="1"/>
  <c r="O3047" i="3"/>
  <c r="P3047" i="3"/>
  <c r="K3048" i="3"/>
  <c r="L3048" i="3" s="1"/>
  <c r="O3048" i="3"/>
  <c r="P3048" i="3"/>
  <c r="K3049" i="3"/>
  <c r="L3049" i="3" s="1"/>
  <c r="O3049" i="3"/>
  <c r="P3049" i="3"/>
  <c r="K3050" i="3"/>
  <c r="L3050" i="3" s="1"/>
  <c r="O3050" i="3"/>
  <c r="P3050" i="3"/>
  <c r="K3051" i="3"/>
  <c r="L3051" i="3" s="1"/>
  <c r="O3051" i="3"/>
  <c r="P3051" i="3"/>
  <c r="K3052" i="3"/>
  <c r="L3052" i="3" s="1"/>
  <c r="O3052" i="3"/>
  <c r="P3052" i="3"/>
  <c r="K3053" i="3"/>
  <c r="L3053" i="3" s="1"/>
  <c r="O3053" i="3"/>
  <c r="P3053" i="3"/>
  <c r="K3054" i="3"/>
  <c r="L3054" i="3" s="1"/>
  <c r="O3054" i="3"/>
  <c r="P3054" i="3"/>
  <c r="O3055" i="3"/>
  <c r="P3055" i="3"/>
  <c r="K3056" i="3"/>
  <c r="L3056" i="3" s="1"/>
  <c r="O3056" i="3"/>
  <c r="P3056" i="3"/>
  <c r="K3057" i="3"/>
  <c r="L3057" i="3" s="1"/>
  <c r="O3057" i="3"/>
  <c r="P3057" i="3"/>
  <c r="K3058" i="3"/>
  <c r="L3058" i="3" s="1"/>
  <c r="O3058" i="3"/>
  <c r="P3058" i="3"/>
  <c r="K3059" i="3"/>
  <c r="L3059" i="3" s="1"/>
  <c r="O3059" i="3"/>
  <c r="P3059" i="3"/>
  <c r="K3060" i="3"/>
  <c r="L3060" i="3" s="1"/>
  <c r="O3060" i="3"/>
  <c r="P3060" i="3"/>
  <c r="K3061" i="3"/>
  <c r="L3061" i="3" s="1"/>
  <c r="O3061" i="3"/>
  <c r="P3061" i="3"/>
  <c r="K3062" i="3"/>
  <c r="L3062" i="3" s="1"/>
  <c r="O3062" i="3"/>
  <c r="P3062" i="3"/>
  <c r="K3063" i="3"/>
  <c r="L3063" i="3" s="1"/>
  <c r="O3063" i="3"/>
  <c r="P3063" i="3"/>
  <c r="K3064" i="3"/>
  <c r="L3064" i="3" s="1"/>
  <c r="O3064" i="3"/>
  <c r="P3064" i="3"/>
  <c r="K3065" i="3"/>
  <c r="L3065" i="3" s="1"/>
  <c r="O3065" i="3"/>
  <c r="P3065" i="3"/>
  <c r="K3066" i="3"/>
  <c r="L3066" i="3" s="1"/>
  <c r="O3066" i="3"/>
  <c r="P3066" i="3"/>
  <c r="O3067" i="3"/>
  <c r="P3067" i="3"/>
  <c r="K3068" i="3"/>
  <c r="L3068" i="3" s="1"/>
  <c r="O3068" i="3"/>
  <c r="P3068" i="3"/>
  <c r="O3069" i="3"/>
  <c r="P3069" i="3"/>
  <c r="K3070" i="3"/>
  <c r="L3070" i="3" s="1"/>
  <c r="O3070" i="3"/>
  <c r="P3070" i="3"/>
  <c r="O3071" i="3"/>
  <c r="P3071" i="3"/>
  <c r="K3072" i="3"/>
  <c r="L3072" i="3" s="1"/>
  <c r="O3072" i="3"/>
  <c r="P3072" i="3"/>
  <c r="K3073" i="3"/>
  <c r="L3073" i="3" s="1"/>
  <c r="O3073" i="3"/>
  <c r="P3073" i="3"/>
  <c r="K3074" i="3"/>
  <c r="L3074" i="3" s="1"/>
  <c r="O3074" i="3"/>
  <c r="P3074" i="3"/>
  <c r="K3075" i="3"/>
  <c r="L3075" i="3" s="1"/>
  <c r="O3075" i="3"/>
  <c r="P3075" i="3"/>
  <c r="K3076" i="3"/>
  <c r="L3076" i="3" s="1"/>
  <c r="O3076" i="3"/>
  <c r="P3076" i="3"/>
  <c r="K3077" i="3"/>
  <c r="L3077" i="3" s="1"/>
  <c r="O3077" i="3"/>
  <c r="P3077" i="3"/>
  <c r="K3078" i="3"/>
  <c r="L3078" i="3" s="1"/>
  <c r="O3078" i="3"/>
  <c r="P3078" i="3"/>
  <c r="K3079" i="3"/>
  <c r="L3079" i="3" s="1"/>
  <c r="O3079" i="3"/>
  <c r="P3079" i="3"/>
  <c r="K3080" i="3"/>
  <c r="L3080" i="3" s="1"/>
  <c r="O3080" i="3"/>
  <c r="P3080" i="3"/>
  <c r="K3081" i="3"/>
  <c r="L3081" i="3" s="1"/>
  <c r="O3081" i="3"/>
  <c r="P3081" i="3"/>
  <c r="K3082" i="3"/>
  <c r="L3082" i="3" s="1"/>
  <c r="O3082" i="3"/>
  <c r="P3082" i="3"/>
  <c r="K3083" i="3"/>
  <c r="L3083" i="3" s="1"/>
  <c r="O3083" i="3"/>
  <c r="P3083" i="3"/>
  <c r="K3084" i="3"/>
  <c r="L3084" i="3" s="1"/>
  <c r="O3084" i="3"/>
  <c r="P3084" i="3"/>
  <c r="O3085" i="3"/>
  <c r="P3085" i="3"/>
  <c r="K3086" i="3"/>
  <c r="L3086" i="3" s="1"/>
  <c r="O3086" i="3"/>
  <c r="P3086" i="3"/>
  <c r="K3087" i="3"/>
  <c r="L3087" i="3" s="1"/>
  <c r="O3087" i="3"/>
  <c r="P3087" i="3"/>
  <c r="K3088" i="3"/>
  <c r="L3088" i="3" s="1"/>
  <c r="O3088" i="3"/>
  <c r="P3088" i="3"/>
  <c r="K3089" i="3"/>
  <c r="L3089" i="3" s="1"/>
  <c r="O3089" i="3"/>
  <c r="P3089" i="3"/>
  <c r="K3090" i="3"/>
  <c r="L3090" i="3" s="1"/>
  <c r="O3090" i="3"/>
  <c r="P3090" i="3"/>
  <c r="K3091" i="3"/>
  <c r="L3091" i="3" s="1"/>
  <c r="O3091" i="3"/>
  <c r="P3091" i="3"/>
  <c r="K3092" i="3"/>
  <c r="L3092" i="3" s="1"/>
  <c r="O3092" i="3"/>
  <c r="P3092" i="3"/>
  <c r="K3093" i="3"/>
  <c r="L3093" i="3" s="1"/>
  <c r="O3093" i="3"/>
  <c r="P3093" i="3"/>
  <c r="K3094" i="3"/>
  <c r="L3094" i="3" s="1"/>
  <c r="O3094" i="3"/>
  <c r="P3094" i="3"/>
  <c r="K3095" i="3"/>
  <c r="L3095" i="3" s="1"/>
  <c r="O3095" i="3"/>
  <c r="P3095" i="3"/>
  <c r="K3096" i="3"/>
  <c r="L3096" i="3" s="1"/>
  <c r="O3096" i="3"/>
  <c r="P3096" i="3"/>
  <c r="K3097" i="3"/>
  <c r="L3097" i="3" s="1"/>
  <c r="O3097" i="3"/>
  <c r="P3097" i="3"/>
  <c r="K3098" i="3"/>
  <c r="L3098" i="3" s="1"/>
  <c r="O3098" i="3"/>
  <c r="P3098" i="3"/>
  <c r="O3099" i="3"/>
  <c r="P3099" i="3"/>
  <c r="K3100" i="3"/>
  <c r="L3100" i="3" s="1"/>
  <c r="O3100" i="3"/>
  <c r="P3100" i="3"/>
  <c r="K3101" i="3"/>
  <c r="L3101" i="3" s="1"/>
  <c r="O3101" i="3"/>
  <c r="P3101" i="3"/>
  <c r="O3102" i="3"/>
  <c r="P3102" i="3"/>
  <c r="K3103" i="3"/>
  <c r="L3103" i="3" s="1"/>
  <c r="O3103" i="3"/>
  <c r="P3103" i="3"/>
  <c r="K3104" i="3"/>
  <c r="L3104" i="3" s="1"/>
  <c r="O3104" i="3"/>
  <c r="P3104" i="3"/>
  <c r="K3105" i="3"/>
  <c r="L3105" i="3" s="1"/>
  <c r="O3105" i="3"/>
  <c r="P3105" i="3"/>
  <c r="K3106" i="3"/>
  <c r="L3106" i="3" s="1"/>
  <c r="O3106" i="3"/>
  <c r="P3106" i="3"/>
  <c r="K3107" i="3"/>
  <c r="L3107" i="3" s="1"/>
  <c r="O3107" i="3"/>
  <c r="P3107" i="3"/>
  <c r="O3108" i="3"/>
  <c r="P3108" i="3"/>
  <c r="O3109" i="3"/>
  <c r="P3109" i="3"/>
  <c r="O3110" i="3"/>
  <c r="P3110" i="3"/>
  <c r="K3111" i="3"/>
  <c r="L3111" i="3" s="1"/>
  <c r="O3111" i="3"/>
  <c r="P3111" i="3"/>
  <c r="O3112" i="3"/>
  <c r="P3112" i="3"/>
  <c r="K3113" i="3"/>
  <c r="L3113" i="3" s="1"/>
  <c r="O3113" i="3"/>
  <c r="P3113" i="3"/>
  <c r="K3114" i="3"/>
  <c r="L3114" i="3" s="1"/>
  <c r="O3114" i="3"/>
  <c r="P3114" i="3"/>
  <c r="K3115" i="3"/>
  <c r="L3115" i="3" s="1"/>
  <c r="O3115" i="3"/>
  <c r="P3115" i="3"/>
  <c r="K3116" i="3"/>
  <c r="L3116" i="3" s="1"/>
  <c r="O3116" i="3"/>
  <c r="P3116" i="3"/>
  <c r="K3117" i="3"/>
  <c r="L3117" i="3" s="1"/>
  <c r="O3117" i="3"/>
  <c r="P3117" i="3"/>
  <c r="K3118" i="3"/>
  <c r="L3118" i="3" s="1"/>
  <c r="O3118" i="3"/>
  <c r="P3118" i="3"/>
  <c r="K3119" i="3"/>
  <c r="L3119" i="3" s="1"/>
  <c r="O3119" i="3"/>
  <c r="P3119" i="3"/>
  <c r="K3120" i="3"/>
  <c r="L3120" i="3" s="1"/>
  <c r="O3120" i="3"/>
  <c r="P3120" i="3"/>
  <c r="K3121" i="3"/>
  <c r="L3121" i="3" s="1"/>
  <c r="O3121" i="3"/>
  <c r="P3121" i="3"/>
  <c r="K3122" i="3"/>
  <c r="L3122" i="3" s="1"/>
  <c r="O3122" i="3"/>
  <c r="P3122" i="3"/>
  <c r="K3123" i="3"/>
  <c r="L3123" i="3" s="1"/>
  <c r="O3123" i="3"/>
  <c r="P3123" i="3"/>
  <c r="K3124" i="3"/>
  <c r="L3124" i="3" s="1"/>
  <c r="O3124" i="3"/>
  <c r="P3124" i="3"/>
  <c r="K3125" i="3"/>
  <c r="L3125" i="3" s="1"/>
  <c r="O3125" i="3"/>
  <c r="P3125" i="3"/>
  <c r="K3126" i="3"/>
  <c r="L3126" i="3" s="1"/>
  <c r="O3126" i="3"/>
  <c r="P3126" i="3"/>
  <c r="K3127" i="3"/>
  <c r="L3127" i="3" s="1"/>
  <c r="O3127" i="3"/>
  <c r="P3127" i="3"/>
  <c r="O3128" i="3"/>
  <c r="P3128" i="3"/>
  <c r="O3129" i="3"/>
  <c r="P3129" i="3"/>
  <c r="K3130" i="3"/>
  <c r="L3130" i="3" s="1"/>
  <c r="O3130" i="3"/>
  <c r="P3130" i="3"/>
  <c r="K3131" i="3"/>
  <c r="L3131" i="3" s="1"/>
  <c r="O3131" i="3"/>
  <c r="P3131" i="3"/>
  <c r="K3132" i="3"/>
  <c r="L3132" i="3" s="1"/>
  <c r="O3132" i="3"/>
  <c r="P3132" i="3"/>
  <c r="K3133" i="3"/>
  <c r="L3133" i="3" s="1"/>
  <c r="O3133" i="3"/>
  <c r="P3133" i="3"/>
  <c r="K3134" i="3"/>
  <c r="L3134" i="3" s="1"/>
  <c r="O3134" i="3"/>
  <c r="P3134" i="3"/>
  <c r="K3135" i="3"/>
  <c r="L3135" i="3" s="1"/>
  <c r="O3135" i="3"/>
  <c r="P3135" i="3"/>
  <c r="K3136" i="3"/>
  <c r="L3136" i="3" s="1"/>
  <c r="O3136" i="3"/>
  <c r="P3136" i="3"/>
  <c r="K3137" i="3"/>
  <c r="L3137" i="3" s="1"/>
  <c r="O3137" i="3"/>
  <c r="P3137" i="3"/>
  <c r="K3138" i="3"/>
  <c r="L3138" i="3" s="1"/>
  <c r="O3138" i="3"/>
  <c r="P3138" i="3"/>
  <c r="K3139" i="3"/>
  <c r="L3139" i="3" s="1"/>
  <c r="O3139" i="3"/>
  <c r="P3139" i="3"/>
  <c r="K3140" i="3"/>
  <c r="L3140" i="3" s="1"/>
  <c r="O3140" i="3"/>
  <c r="P3140" i="3"/>
  <c r="K3141" i="3"/>
  <c r="L3141" i="3" s="1"/>
  <c r="O3141" i="3"/>
  <c r="P3141" i="3"/>
  <c r="K3142" i="3"/>
  <c r="L3142" i="3" s="1"/>
  <c r="O3142" i="3"/>
  <c r="P3142" i="3"/>
  <c r="K3143" i="3"/>
  <c r="L3143" i="3" s="1"/>
  <c r="O3143" i="3"/>
  <c r="P3143" i="3"/>
  <c r="K3144" i="3"/>
  <c r="L3144" i="3" s="1"/>
  <c r="O3144" i="3"/>
  <c r="P3144" i="3"/>
  <c r="K3145" i="3"/>
  <c r="L3145" i="3" s="1"/>
  <c r="O3145" i="3"/>
  <c r="P3145" i="3"/>
  <c r="K3146" i="3"/>
  <c r="L3146" i="3" s="1"/>
  <c r="O3146" i="3"/>
  <c r="P3146" i="3"/>
  <c r="K3147" i="3"/>
  <c r="L3147" i="3" s="1"/>
  <c r="O3147" i="3"/>
  <c r="P3147" i="3"/>
  <c r="K3148" i="3"/>
  <c r="L3148" i="3" s="1"/>
  <c r="O3148" i="3"/>
  <c r="P3148" i="3"/>
  <c r="K3149" i="3"/>
  <c r="L3149" i="3" s="1"/>
  <c r="O3149" i="3"/>
  <c r="P3149" i="3"/>
  <c r="K3150" i="3"/>
  <c r="L3150" i="3" s="1"/>
  <c r="O3150" i="3"/>
  <c r="P3150" i="3"/>
  <c r="K3151" i="3"/>
  <c r="L3151" i="3" s="1"/>
  <c r="O3151" i="3"/>
  <c r="P3151" i="3"/>
  <c r="K3152" i="3"/>
  <c r="L3152" i="3" s="1"/>
  <c r="O3152" i="3"/>
  <c r="P3152" i="3"/>
  <c r="K3153" i="3"/>
  <c r="L3153" i="3" s="1"/>
  <c r="O3153" i="3"/>
  <c r="P3153" i="3"/>
  <c r="K3154" i="3"/>
  <c r="L3154" i="3" s="1"/>
  <c r="O3154" i="3"/>
  <c r="P3154" i="3"/>
  <c r="K3155" i="3"/>
  <c r="L3155" i="3" s="1"/>
  <c r="O3155" i="3"/>
  <c r="P3155" i="3"/>
  <c r="K3156" i="3"/>
  <c r="L3156" i="3" s="1"/>
  <c r="O3156" i="3"/>
  <c r="P3156" i="3"/>
  <c r="K3157" i="3"/>
  <c r="L3157" i="3" s="1"/>
  <c r="O3157" i="3"/>
  <c r="P3157" i="3"/>
  <c r="K3158" i="3"/>
  <c r="L3158" i="3" s="1"/>
  <c r="O3158" i="3"/>
  <c r="P3158" i="3"/>
  <c r="K3159" i="3"/>
  <c r="L3159" i="3" s="1"/>
  <c r="O3159" i="3"/>
  <c r="P3159" i="3"/>
  <c r="O3160" i="3"/>
  <c r="P3160" i="3"/>
  <c r="K3161" i="3"/>
  <c r="L3161" i="3" s="1"/>
  <c r="O3161" i="3"/>
  <c r="P3161" i="3"/>
  <c r="K3162" i="3"/>
  <c r="L3162" i="3" s="1"/>
  <c r="O3162" i="3"/>
  <c r="P3162" i="3"/>
  <c r="K3163" i="3"/>
  <c r="L3163" i="3" s="1"/>
  <c r="O3163" i="3"/>
  <c r="P3163" i="3"/>
  <c r="K3164" i="3"/>
  <c r="L3164" i="3" s="1"/>
  <c r="O3164" i="3"/>
  <c r="P3164" i="3"/>
  <c r="K3165" i="3"/>
  <c r="L3165" i="3" s="1"/>
  <c r="O3165" i="3"/>
  <c r="P3165" i="3"/>
  <c r="K3166" i="3"/>
  <c r="L3166" i="3" s="1"/>
  <c r="O3166" i="3"/>
  <c r="P3166" i="3"/>
  <c r="K3167" i="3"/>
  <c r="L3167" i="3" s="1"/>
  <c r="O3167" i="3"/>
  <c r="P3167" i="3"/>
  <c r="K3168" i="3"/>
  <c r="L3168" i="3" s="1"/>
  <c r="O3168" i="3"/>
  <c r="P3168" i="3"/>
  <c r="K3169" i="3"/>
  <c r="L3169" i="3" s="1"/>
  <c r="O3169" i="3"/>
  <c r="P3169" i="3"/>
  <c r="K3170" i="3"/>
  <c r="L3170" i="3" s="1"/>
  <c r="O3170" i="3"/>
  <c r="P3170" i="3"/>
  <c r="K3171" i="3"/>
  <c r="L3171" i="3" s="1"/>
  <c r="O3171" i="3"/>
  <c r="P3171" i="3"/>
  <c r="K3172" i="3"/>
  <c r="L3172" i="3" s="1"/>
  <c r="O3172" i="3"/>
  <c r="P3172" i="3"/>
  <c r="K3173" i="3"/>
  <c r="L3173" i="3" s="1"/>
  <c r="O3173" i="3"/>
  <c r="P3173" i="3"/>
  <c r="K3174" i="3"/>
  <c r="L3174" i="3" s="1"/>
  <c r="O3174" i="3"/>
  <c r="P3174" i="3"/>
  <c r="K3175" i="3"/>
  <c r="L3175" i="3" s="1"/>
  <c r="O3175" i="3"/>
  <c r="P3175" i="3"/>
  <c r="K3176" i="3"/>
  <c r="L3176" i="3" s="1"/>
  <c r="O3176" i="3"/>
  <c r="P3176" i="3"/>
  <c r="K3177" i="3"/>
  <c r="L3177" i="3" s="1"/>
  <c r="O3177" i="3"/>
  <c r="P3177" i="3"/>
  <c r="K3178" i="3"/>
  <c r="L3178" i="3" s="1"/>
  <c r="O3178" i="3"/>
  <c r="P3178" i="3"/>
  <c r="O3179" i="3"/>
  <c r="P3179" i="3"/>
  <c r="K3180" i="3"/>
  <c r="L3180" i="3" s="1"/>
  <c r="O3180" i="3"/>
  <c r="P3180" i="3"/>
  <c r="K3181" i="3"/>
  <c r="L3181" i="3" s="1"/>
  <c r="O3181" i="3"/>
  <c r="P3181" i="3"/>
  <c r="K3182" i="3"/>
  <c r="L3182" i="3" s="1"/>
  <c r="O3182" i="3"/>
  <c r="P3182" i="3"/>
  <c r="K3183" i="3"/>
  <c r="L3183" i="3" s="1"/>
  <c r="O3183" i="3"/>
  <c r="P3183" i="3"/>
  <c r="K3184" i="3"/>
  <c r="L3184" i="3" s="1"/>
  <c r="O3184" i="3"/>
  <c r="P3184" i="3"/>
  <c r="K3185" i="3"/>
  <c r="L3185" i="3" s="1"/>
  <c r="O3185" i="3"/>
  <c r="P3185" i="3"/>
  <c r="K3186" i="3"/>
  <c r="L3186" i="3" s="1"/>
  <c r="O3186" i="3"/>
  <c r="P3186" i="3"/>
  <c r="K3187" i="3"/>
  <c r="L3187" i="3" s="1"/>
  <c r="O3187" i="3"/>
  <c r="P3187" i="3"/>
  <c r="K3188" i="3"/>
  <c r="L3188" i="3" s="1"/>
  <c r="O3188" i="3"/>
  <c r="P3188" i="3"/>
  <c r="K3189" i="3"/>
  <c r="L3189" i="3" s="1"/>
  <c r="O3189" i="3"/>
  <c r="P3189" i="3"/>
  <c r="O3190" i="3"/>
  <c r="P3190" i="3"/>
  <c r="K3191" i="3"/>
  <c r="L3191" i="3" s="1"/>
  <c r="O3191" i="3"/>
  <c r="P3191" i="3"/>
  <c r="O3192" i="3"/>
  <c r="P3192" i="3"/>
  <c r="K3193" i="3"/>
  <c r="L3193" i="3" s="1"/>
  <c r="O3193" i="3"/>
  <c r="P3193" i="3"/>
  <c r="K3194" i="3"/>
  <c r="L3194" i="3" s="1"/>
  <c r="O3194" i="3"/>
  <c r="P3194" i="3"/>
  <c r="K3195" i="3"/>
  <c r="L3195" i="3" s="1"/>
  <c r="O3195" i="3"/>
  <c r="P3195" i="3"/>
  <c r="K3196" i="3"/>
  <c r="L3196" i="3" s="1"/>
  <c r="O3196" i="3"/>
  <c r="P3196" i="3"/>
  <c r="K3197" i="3"/>
  <c r="L3197" i="3" s="1"/>
  <c r="O3197" i="3"/>
  <c r="P3197" i="3"/>
  <c r="K3198" i="3"/>
  <c r="L3198" i="3" s="1"/>
  <c r="O3198" i="3"/>
  <c r="P3198" i="3"/>
  <c r="K3199" i="3"/>
  <c r="L3199" i="3" s="1"/>
  <c r="O3199" i="3"/>
  <c r="P3199" i="3"/>
  <c r="K3200" i="3"/>
  <c r="L3200" i="3" s="1"/>
  <c r="O3200" i="3"/>
  <c r="P3200" i="3"/>
  <c r="K3201" i="3"/>
  <c r="L3201" i="3" s="1"/>
  <c r="O3201" i="3"/>
  <c r="P3201" i="3"/>
  <c r="K3202" i="3"/>
  <c r="L3202" i="3" s="1"/>
  <c r="O3202" i="3"/>
  <c r="P3202" i="3"/>
  <c r="O3203" i="3"/>
  <c r="P3203" i="3"/>
  <c r="K3204" i="3"/>
  <c r="L3204" i="3" s="1"/>
  <c r="O3204" i="3"/>
  <c r="P3204" i="3"/>
  <c r="K3205" i="3"/>
  <c r="L3205" i="3" s="1"/>
  <c r="O3205" i="3"/>
  <c r="P3205" i="3"/>
  <c r="O3206" i="3"/>
  <c r="P3206" i="3"/>
  <c r="K3207" i="3"/>
  <c r="L3207" i="3" s="1"/>
  <c r="O3207" i="3"/>
  <c r="P3207" i="3"/>
  <c r="K3208" i="3"/>
  <c r="L3208" i="3" s="1"/>
  <c r="O3208" i="3"/>
  <c r="P3208" i="3"/>
  <c r="K3209" i="3"/>
  <c r="L3209" i="3" s="1"/>
  <c r="O3209" i="3"/>
  <c r="P3209" i="3"/>
  <c r="K3210" i="3"/>
  <c r="L3210" i="3" s="1"/>
  <c r="O3210" i="3"/>
  <c r="P3210" i="3"/>
  <c r="K3211" i="3"/>
  <c r="L3211" i="3" s="1"/>
  <c r="O3211" i="3"/>
  <c r="P3211" i="3"/>
  <c r="K3212" i="3"/>
  <c r="L3212" i="3" s="1"/>
  <c r="O3212" i="3"/>
  <c r="P3212" i="3"/>
  <c r="K3213" i="3"/>
  <c r="L3213" i="3" s="1"/>
  <c r="O3213" i="3"/>
  <c r="P3213" i="3"/>
  <c r="K3214" i="3"/>
  <c r="L3214" i="3" s="1"/>
  <c r="O3214" i="3"/>
  <c r="P3214" i="3"/>
  <c r="K3215" i="3"/>
  <c r="L3215" i="3" s="1"/>
  <c r="O3215" i="3"/>
  <c r="P3215" i="3"/>
  <c r="K3216" i="3"/>
  <c r="L3216" i="3" s="1"/>
  <c r="O3216" i="3"/>
  <c r="P3216" i="3"/>
  <c r="K3217" i="3"/>
  <c r="L3217" i="3" s="1"/>
  <c r="O3217" i="3"/>
  <c r="P3217" i="3"/>
  <c r="K3218" i="3"/>
  <c r="L3218" i="3" s="1"/>
  <c r="O3218" i="3"/>
  <c r="P3218" i="3"/>
  <c r="K3219" i="3"/>
  <c r="L3219" i="3" s="1"/>
  <c r="O3219" i="3"/>
  <c r="P3219" i="3"/>
  <c r="K3220" i="3"/>
  <c r="L3220" i="3" s="1"/>
  <c r="O3220" i="3"/>
  <c r="P3220" i="3"/>
  <c r="K3221" i="3"/>
  <c r="L3221" i="3" s="1"/>
  <c r="O3221" i="3"/>
  <c r="P3221" i="3"/>
  <c r="K3222" i="3"/>
  <c r="L3222" i="3" s="1"/>
  <c r="O3222" i="3"/>
  <c r="P3222" i="3"/>
  <c r="K3223" i="3"/>
  <c r="L3223" i="3" s="1"/>
  <c r="O3223" i="3"/>
  <c r="P3223" i="3"/>
  <c r="K3224" i="3"/>
  <c r="L3224" i="3" s="1"/>
  <c r="O3224" i="3"/>
  <c r="P3224" i="3"/>
  <c r="K3225" i="3"/>
  <c r="L3225" i="3" s="1"/>
  <c r="O3225" i="3"/>
  <c r="P3225" i="3"/>
  <c r="K3226" i="3"/>
  <c r="L3226" i="3" s="1"/>
  <c r="O3226" i="3"/>
  <c r="P3226" i="3"/>
  <c r="K3227" i="3"/>
  <c r="L3227" i="3" s="1"/>
  <c r="O3227" i="3"/>
  <c r="P3227" i="3"/>
  <c r="K3228" i="3"/>
  <c r="L3228" i="3" s="1"/>
  <c r="O3228" i="3"/>
  <c r="P3228" i="3"/>
  <c r="O3229" i="3"/>
  <c r="P3229" i="3"/>
  <c r="K3230" i="3"/>
  <c r="L3230" i="3" s="1"/>
  <c r="O3230" i="3"/>
  <c r="P3230" i="3"/>
  <c r="K3231" i="3"/>
  <c r="L3231" i="3" s="1"/>
  <c r="O3231" i="3"/>
  <c r="P3231" i="3"/>
  <c r="K3232" i="3"/>
  <c r="L3232" i="3" s="1"/>
  <c r="O3232" i="3"/>
  <c r="P3232" i="3"/>
  <c r="K3233" i="3"/>
  <c r="L3233" i="3" s="1"/>
  <c r="O3233" i="3"/>
  <c r="P3233" i="3"/>
  <c r="K3234" i="3"/>
  <c r="L3234" i="3" s="1"/>
  <c r="O3234" i="3"/>
  <c r="P3234" i="3"/>
  <c r="K3235" i="3"/>
  <c r="L3235" i="3" s="1"/>
  <c r="O3235" i="3"/>
  <c r="P3235" i="3"/>
  <c r="K3236" i="3"/>
  <c r="L3236" i="3" s="1"/>
  <c r="O3236" i="3"/>
  <c r="P3236" i="3"/>
  <c r="K3237" i="3"/>
  <c r="L3237" i="3" s="1"/>
  <c r="O3237" i="3"/>
  <c r="P3237" i="3"/>
  <c r="K3238" i="3"/>
  <c r="L3238" i="3" s="1"/>
  <c r="O3238" i="3"/>
  <c r="P3238" i="3"/>
  <c r="K3239" i="3"/>
  <c r="L3239" i="3" s="1"/>
  <c r="O3239" i="3"/>
  <c r="P3239" i="3"/>
  <c r="K3240" i="3"/>
  <c r="L3240" i="3" s="1"/>
  <c r="O3240" i="3"/>
  <c r="P3240" i="3"/>
  <c r="K3241" i="3"/>
  <c r="L3241" i="3" s="1"/>
  <c r="O3241" i="3"/>
  <c r="P3241" i="3"/>
  <c r="K3242" i="3"/>
  <c r="L3242" i="3" s="1"/>
  <c r="O3242" i="3"/>
  <c r="P3242" i="3"/>
  <c r="K3243" i="3"/>
  <c r="L3243" i="3" s="1"/>
  <c r="O3243" i="3"/>
  <c r="P3243" i="3"/>
  <c r="K3244" i="3"/>
  <c r="L3244" i="3" s="1"/>
  <c r="O3244" i="3"/>
  <c r="P3244" i="3"/>
  <c r="K3245" i="3"/>
  <c r="L3245" i="3" s="1"/>
  <c r="O3245" i="3"/>
  <c r="P3245" i="3"/>
  <c r="K3246" i="3"/>
  <c r="L3246" i="3" s="1"/>
  <c r="O3246" i="3"/>
  <c r="P3246" i="3"/>
  <c r="O3247" i="3"/>
  <c r="P3247" i="3"/>
  <c r="K3248" i="3"/>
  <c r="L3248" i="3" s="1"/>
  <c r="O3248" i="3"/>
  <c r="P3248" i="3"/>
  <c r="K3249" i="3"/>
  <c r="L3249" i="3" s="1"/>
  <c r="O3249" i="3"/>
  <c r="P3249" i="3"/>
  <c r="K3250" i="3"/>
  <c r="L3250" i="3" s="1"/>
  <c r="O3250" i="3"/>
  <c r="P3250" i="3"/>
  <c r="K3251" i="3"/>
  <c r="L3251" i="3" s="1"/>
  <c r="O3251" i="3"/>
  <c r="P3251" i="3"/>
  <c r="O3252" i="3"/>
  <c r="P3252" i="3"/>
  <c r="K3253" i="3"/>
  <c r="L3253" i="3" s="1"/>
  <c r="O3253" i="3"/>
  <c r="P3253" i="3"/>
  <c r="K3254" i="3"/>
  <c r="L3254" i="3" s="1"/>
  <c r="O3254" i="3"/>
  <c r="P3254" i="3"/>
  <c r="K3255" i="3"/>
  <c r="L3255" i="3" s="1"/>
  <c r="O3255" i="3"/>
  <c r="P3255" i="3"/>
  <c r="K3256" i="3"/>
  <c r="L3256" i="3" s="1"/>
  <c r="O3256" i="3"/>
  <c r="P3256" i="3"/>
  <c r="K3257" i="3"/>
  <c r="L3257" i="3" s="1"/>
  <c r="O3257" i="3"/>
  <c r="P3257" i="3"/>
  <c r="K3258" i="3"/>
  <c r="L3258" i="3" s="1"/>
  <c r="O3258" i="3"/>
  <c r="P3258" i="3"/>
  <c r="K3259" i="3"/>
  <c r="L3259" i="3" s="1"/>
  <c r="O3259" i="3"/>
  <c r="P3259" i="3"/>
  <c r="K3260" i="3"/>
  <c r="L3260" i="3" s="1"/>
  <c r="O3260" i="3"/>
  <c r="P3260" i="3"/>
  <c r="K3261" i="3"/>
  <c r="L3261" i="3" s="1"/>
  <c r="O3261" i="3"/>
  <c r="P3261" i="3"/>
  <c r="K3262" i="3"/>
  <c r="L3262" i="3" s="1"/>
  <c r="O3262" i="3"/>
  <c r="P3262" i="3"/>
  <c r="K3263" i="3"/>
  <c r="L3263" i="3" s="1"/>
  <c r="O3263" i="3"/>
  <c r="P3263" i="3"/>
  <c r="K3264" i="3"/>
  <c r="L3264" i="3" s="1"/>
  <c r="O3264" i="3"/>
  <c r="P3264" i="3"/>
  <c r="K3265" i="3"/>
  <c r="L3265" i="3" s="1"/>
  <c r="O3265" i="3"/>
  <c r="P3265" i="3"/>
  <c r="K3266" i="3"/>
  <c r="L3266" i="3" s="1"/>
  <c r="O3266" i="3"/>
  <c r="P3266" i="3"/>
  <c r="K3267" i="3"/>
  <c r="L3267" i="3" s="1"/>
  <c r="O3267" i="3"/>
  <c r="P3267" i="3"/>
  <c r="K3268" i="3"/>
  <c r="L3268" i="3" s="1"/>
  <c r="O3268" i="3"/>
  <c r="P3268" i="3"/>
  <c r="K3269" i="3"/>
  <c r="L3269" i="3" s="1"/>
  <c r="O3269" i="3"/>
  <c r="P3269" i="3"/>
  <c r="K3270" i="3"/>
  <c r="L3270" i="3" s="1"/>
  <c r="O3270" i="3"/>
  <c r="P3270" i="3"/>
  <c r="K3271" i="3"/>
  <c r="L3271" i="3" s="1"/>
  <c r="O3271" i="3"/>
  <c r="P3271" i="3"/>
  <c r="O3272" i="3"/>
  <c r="P3272" i="3"/>
  <c r="K3273" i="3"/>
  <c r="L3273" i="3" s="1"/>
  <c r="O3273" i="3"/>
  <c r="P3273" i="3"/>
  <c r="K3274" i="3"/>
  <c r="L3274" i="3" s="1"/>
  <c r="O3274" i="3"/>
  <c r="P3274" i="3"/>
  <c r="K3275" i="3"/>
  <c r="L3275" i="3" s="1"/>
  <c r="O3275" i="3"/>
  <c r="P3275" i="3"/>
  <c r="K3276" i="3"/>
  <c r="L3276" i="3" s="1"/>
  <c r="O3276" i="3"/>
  <c r="P3276" i="3"/>
  <c r="K3277" i="3"/>
  <c r="L3277" i="3" s="1"/>
  <c r="O3277" i="3"/>
  <c r="P3277" i="3"/>
  <c r="O3278" i="3"/>
  <c r="P3278" i="3"/>
  <c r="K3279" i="3"/>
  <c r="L3279" i="3" s="1"/>
  <c r="O3279" i="3"/>
  <c r="P3279" i="3"/>
  <c r="K3280" i="3"/>
  <c r="L3280" i="3" s="1"/>
  <c r="O3280" i="3"/>
  <c r="P3280" i="3"/>
  <c r="K3281" i="3"/>
  <c r="L3281" i="3" s="1"/>
  <c r="O3281" i="3"/>
  <c r="P3281" i="3"/>
  <c r="K3282" i="3"/>
  <c r="L3282" i="3" s="1"/>
  <c r="O3282" i="3"/>
  <c r="P3282" i="3"/>
  <c r="K3283" i="3"/>
  <c r="L3283" i="3" s="1"/>
  <c r="O3283" i="3"/>
  <c r="P3283" i="3"/>
  <c r="K3284" i="3"/>
  <c r="L3284" i="3" s="1"/>
  <c r="O3284" i="3"/>
  <c r="P3284" i="3"/>
  <c r="K3285" i="3"/>
  <c r="L3285" i="3" s="1"/>
  <c r="O3285" i="3"/>
  <c r="P3285" i="3"/>
  <c r="K3286" i="3"/>
  <c r="L3286" i="3" s="1"/>
  <c r="O3286" i="3"/>
  <c r="P3286" i="3"/>
  <c r="K3287" i="3"/>
  <c r="L3287" i="3" s="1"/>
  <c r="O3287" i="3"/>
  <c r="P3287" i="3"/>
  <c r="K3288" i="3"/>
  <c r="L3288" i="3" s="1"/>
  <c r="O3288" i="3"/>
  <c r="P3288" i="3"/>
  <c r="K3289" i="3"/>
  <c r="L3289" i="3" s="1"/>
  <c r="O3289" i="3"/>
  <c r="P3289" i="3"/>
  <c r="K3290" i="3"/>
  <c r="L3290" i="3" s="1"/>
  <c r="O3290" i="3"/>
  <c r="P3290" i="3"/>
  <c r="K3291" i="3"/>
  <c r="L3291" i="3" s="1"/>
  <c r="O3291" i="3"/>
  <c r="P3291" i="3"/>
  <c r="K3292" i="3"/>
  <c r="L3292" i="3" s="1"/>
  <c r="O3292" i="3"/>
  <c r="P3292" i="3"/>
  <c r="K3293" i="3"/>
  <c r="L3293" i="3" s="1"/>
  <c r="O3293" i="3"/>
  <c r="P3293" i="3"/>
  <c r="K3294" i="3"/>
  <c r="L3294" i="3" s="1"/>
  <c r="O3294" i="3"/>
  <c r="P3294" i="3"/>
  <c r="K3295" i="3"/>
  <c r="L3295" i="3" s="1"/>
  <c r="O3295" i="3"/>
  <c r="P3295" i="3"/>
  <c r="K3296" i="3"/>
  <c r="L3296" i="3" s="1"/>
  <c r="O3296" i="3"/>
  <c r="P3296" i="3"/>
  <c r="K3297" i="3"/>
  <c r="L3297" i="3" s="1"/>
  <c r="O3297" i="3"/>
  <c r="P3297" i="3"/>
  <c r="K3298" i="3"/>
  <c r="L3298" i="3" s="1"/>
  <c r="O3298" i="3"/>
  <c r="P3298" i="3"/>
  <c r="K3299" i="3"/>
  <c r="L3299" i="3" s="1"/>
  <c r="O3299" i="3"/>
  <c r="P3299" i="3"/>
  <c r="K3300" i="3"/>
  <c r="L3300" i="3" s="1"/>
  <c r="O3300" i="3"/>
  <c r="P3300" i="3"/>
  <c r="K3301" i="3"/>
  <c r="L3301" i="3" s="1"/>
  <c r="O3301" i="3"/>
  <c r="P3301" i="3"/>
  <c r="K3302" i="3"/>
  <c r="L3302" i="3" s="1"/>
  <c r="O3302" i="3"/>
  <c r="P3302" i="3"/>
  <c r="K3303" i="3"/>
  <c r="L3303" i="3" s="1"/>
  <c r="O3303" i="3"/>
  <c r="P3303" i="3"/>
  <c r="K3304" i="3"/>
  <c r="L3304" i="3" s="1"/>
  <c r="O3304" i="3"/>
  <c r="P3304" i="3"/>
  <c r="K3305" i="3"/>
  <c r="L3305" i="3" s="1"/>
  <c r="O3305" i="3"/>
  <c r="P3305" i="3"/>
  <c r="K3306" i="3"/>
  <c r="L3306" i="3" s="1"/>
  <c r="O3306" i="3"/>
  <c r="P3306" i="3"/>
  <c r="K3307" i="3"/>
  <c r="L3307" i="3" s="1"/>
  <c r="O3307" i="3"/>
  <c r="P3307" i="3"/>
  <c r="K3308" i="3"/>
  <c r="L3308" i="3" s="1"/>
  <c r="O3308" i="3"/>
  <c r="P3308" i="3"/>
  <c r="K3309" i="3"/>
  <c r="L3309" i="3" s="1"/>
  <c r="O3309" i="3"/>
  <c r="P3309" i="3"/>
  <c r="K3310" i="3"/>
  <c r="L3310" i="3" s="1"/>
  <c r="O3310" i="3"/>
  <c r="P3310" i="3"/>
  <c r="K3311" i="3"/>
  <c r="L3311" i="3" s="1"/>
  <c r="O3311" i="3"/>
  <c r="P3311" i="3"/>
  <c r="K3312" i="3"/>
  <c r="L3312" i="3" s="1"/>
  <c r="O3312" i="3"/>
  <c r="P3312" i="3"/>
  <c r="O3313" i="3"/>
  <c r="P3313" i="3"/>
  <c r="K3314" i="3"/>
  <c r="L3314" i="3" s="1"/>
  <c r="O3314" i="3"/>
  <c r="P3314" i="3"/>
  <c r="K3315" i="3"/>
  <c r="L3315" i="3" s="1"/>
  <c r="O3315" i="3"/>
  <c r="P3315" i="3"/>
  <c r="K3316" i="3"/>
  <c r="L3316" i="3" s="1"/>
  <c r="O3316" i="3"/>
  <c r="P3316" i="3"/>
  <c r="K3317" i="3"/>
  <c r="L3317" i="3" s="1"/>
  <c r="O3317" i="3"/>
  <c r="P3317" i="3"/>
  <c r="K3318" i="3"/>
  <c r="L3318" i="3" s="1"/>
  <c r="O3318" i="3"/>
  <c r="P3318" i="3"/>
  <c r="K3319" i="3"/>
  <c r="L3319" i="3" s="1"/>
  <c r="O3319" i="3"/>
  <c r="P3319" i="3"/>
  <c r="K3320" i="3"/>
  <c r="L3320" i="3" s="1"/>
  <c r="O3320" i="3"/>
  <c r="P3320" i="3"/>
  <c r="K3321" i="3"/>
  <c r="L3321" i="3" s="1"/>
  <c r="O3321" i="3"/>
  <c r="P3321" i="3"/>
  <c r="K3322" i="3"/>
  <c r="L3322" i="3" s="1"/>
  <c r="O3322" i="3"/>
  <c r="P3322" i="3"/>
  <c r="K3323" i="3"/>
  <c r="L3323" i="3" s="1"/>
  <c r="O3323" i="3"/>
  <c r="P3323" i="3"/>
  <c r="K3324" i="3"/>
  <c r="L3324" i="3" s="1"/>
  <c r="O3324" i="3"/>
  <c r="P3324" i="3"/>
  <c r="K3325" i="3"/>
  <c r="L3325" i="3" s="1"/>
  <c r="O3325" i="3"/>
  <c r="P3325" i="3"/>
  <c r="K3326" i="3"/>
  <c r="L3326" i="3" s="1"/>
  <c r="O3326" i="3"/>
  <c r="P3326" i="3"/>
  <c r="O3327" i="3"/>
  <c r="P3327" i="3"/>
  <c r="K3328" i="3"/>
  <c r="L3328" i="3" s="1"/>
  <c r="O3328" i="3"/>
  <c r="P3328" i="3"/>
  <c r="O3329" i="3"/>
  <c r="P3329" i="3"/>
  <c r="K3330" i="3"/>
  <c r="L3330" i="3" s="1"/>
  <c r="O3330" i="3"/>
  <c r="P3330" i="3"/>
  <c r="K3331" i="3"/>
  <c r="L3331" i="3" s="1"/>
  <c r="O3331" i="3"/>
  <c r="P3331" i="3"/>
  <c r="K3332" i="3"/>
  <c r="L3332" i="3" s="1"/>
  <c r="O3332" i="3"/>
  <c r="P3332" i="3"/>
  <c r="K3333" i="3"/>
  <c r="L3333" i="3" s="1"/>
  <c r="O3333" i="3"/>
  <c r="P3333" i="3"/>
  <c r="O3334" i="3"/>
  <c r="P3334" i="3"/>
  <c r="K3335" i="3"/>
  <c r="L3335" i="3" s="1"/>
  <c r="O3335" i="3"/>
  <c r="P3335" i="3"/>
  <c r="K3336" i="3"/>
  <c r="L3336" i="3" s="1"/>
  <c r="O3336" i="3"/>
  <c r="P3336" i="3"/>
  <c r="K3337" i="3"/>
  <c r="L3337" i="3" s="1"/>
  <c r="O3337" i="3"/>
  <c r="P3337" i="3"/>
  <c r="K3338" i="3"/>
  <c r="L3338" i="3" s="1"/>
  <c r="O3338" i="3"/>
  <c r="P3338" i="3"/>
  <c r="O3339" i="3"/>
  <c r="P3339" i="3"/>
  <c r="K3340" i="3"/>
  <c r="L3340" i="3" s="1"/>
  <c r="O3340" i="3"/>
  <c r="P3340" i="3"/>
  <c r="O3341" i="3"/>
  <c r="P3341" i="3"/>
  <c r="K3342" i="3"/>
  <c r="L3342" i="3" s="1"/>
  <c r="O3342" i="3"/>
  <c r="P3342" i="3"/>
  <c r="K3343" i="3"/>
  <c r="L3343" i="3" s="1"/>
  <c r="O3343" i="3"/>
  <c r="P3343" i="3"/>
  <c r="K3344" i="3"/>
  <c r="L3344" i="3" s="1"/>
  <c r="O3344" i="3"/>
  <c r="P3344" i="3"/>
  <c r="K3345" i="3"/>
  <c r="L3345" i="3" s="1"/>
  <c r="O3345" i="3"/>
  <c r="P3345" i="3"/>
  <c r="K3346" i="3"/>
  <c r="L3346" i="3" s="1"/>
  <c r="O3346" i="3"/>
  <c r="P3346" i="3"/>
  <c r="K3347" i="3"/>
  <c r="L3347" i="3" s="1"/>
  <c r="O3347" i="3"/>
  <c r="P3347" i="3"/>
  <c r="K3348" i="3"/>
  <c r="L3348" i="3" s="1"/>
  <c r="O3348" i="3"/>
  <c r="P3348" i="3"/>
  <c r="K3349" i="3"/>
  <c r="L3349" i="3" s="1"/>
  <c r="O3349" i="3"/>
  <c r="P3349" i="3"/>
  <c r="K3350" i="3"/>
  <c r="L3350" i="3" s="1"/>
  <c r="O3350" i="3"/>
  <c r="P3350" i="3"/>
  <c r="K3351" i="3"/>
  <c r="L3351" i="3" s="1"/>
  <c r="O3351" i="3"/>
  <c r="P3351" i="3"/>
  <c r="K3352" i="3"/>
  <c r="L3352" i="3" s="1"/>
  <c r="O3352" i="3"/>
  <c r="P3352" i="3"/>
  <c r="K3353" i="3"/>
  <c r="L3353" i="3" s="1"/>
  <c r="O3353" i="3"/>
  <c r="P3353" i="3"/>
  <c r="O3354" i="3"/>
  <c r="P3354" i="3"/>
  <c r="K3355" i="3"/>
  <c r="L3355" i="3" s="1"/>
  <c r="O3355" i="3"/>
  <c r="P3355" i="3"/>
  <c r="K3356" i="3"/>
  <c r="L3356" i="3" s="1"/>
  <c r="O3356" i="3"/>
  <c r="P3356" i="3"/>
  <c r="K3357" i="3"/>
  <c r="L3357" i="3" s="1"/>
  <c r="O3357" i="3"/>
  <c r="P3357" i="3"/>
  <c r="K3358" i="3"/>
  <c r="L3358" i="3" s="1"/>
  <c r="O3358" i="3"/>
  <c r="P3358" i="3"/>
  <c r="K3359" i="3"/>
  <c r="L3359" i="3" s="1"/>
  <c r="O3359" i="3"/>
  <c r="P3359" i="3"/>
  <c r="K3360" i="3"/>
  <c r="L3360" i="3" s="1"/>
  <c r="O3360" i="3"/>
  <c r="P3360" i="3"/>
  <c r="K3361" i="3"/>
  <c r="L3361" i="3" s="1"/>
  <c r="O3361" i="3"/>
  <c r="P3361" i="3"/>
  <c r="K3362" i="3"/>
  <c r="L3362" i="3" s="1"/>
  <c r="O3362" i="3"/>
  <c r="P3362" i="3"/>
  <c r="K3363" i="3"/>
  <c r="L3363" i="3" s="1"/>
  <c r="O3363" i="3"/>
  <c r="P3363" i="3"/>
  <c r="K3364" i="3"/>
  <c r="L3364" i="3" s="1"/>
  <c r="O3364" i="3"/>
  <c r="P3364" i="3"/>
  <c r="K3365" i="3"/>
  <c r="L3365" i="3" s="1"/>
  <c r="O3365" i="3"/>
  <c r="P3365" i="3"/>
  <c r="K3366" i="3"/>
  <c r="L3366" i="3" s="1"/>
  <c r="O3366" i="3"/>
  <c r="P3366" i="3"/>
  <c r="K3367" i="3"/>
  <c r="L3367" i="3" s="1"/>
  <c r="O3367" i="3"/>
  <c r="P3367" i="3"/>
  <c r="K3368" i="3"/>
  <c r="L3368" i="3" s="1"/>
  <c r="O3368" i="3"/>
  <c r="P3368" i="3"/>
  <c r="K3369" i="3"/>
  <c r="L3369" i="3" s="1"/>
  <c r="O3369" i="3"/>
  <c r="P3369" i="3"/>
  <c r="K3370" i="3"/>
  <c r="L3370" i="3" s="1"/>
  <c r="O3370" i="3"/>
  <c r="P3370" i="3"/>
  <c r="K3371" i="3"/>
  <c r="L3371" i="3" s="1"/>
  <c r="O3371" i="3"/>
  <c r="P3371" i="3"/>
  <c r="K3372" i="3"/>
  <c r="L3372" i="3" s="1"/>
  <c r="O3372" i="3"/>
  <c r="P3372" i="3"/>
  <c r="K3373" i="3"/>
  <c r="L3373" i="3" s="1"/>
  <c r="O3373" i="3"/>
  <c r="P3373" i="3"/>
  <c r="K3374" i="3"/>
  <c r="L3374" i="3" s="1"/>
  <c r="O3374" i="3"/>
  <c r="P3374" i="3"/>
  <c r="K3375" i="3"/>
  <c r="L3375" i="3" s="1"/>
  <c r="O3375" i="3"/>
  <c r="P3375" i="3"/>
  <c r="K3376" i="3"/>
  <c r="L3376" i="3" s="1"/>
  <c r="O3376" i="3"/>
  <c r="P3376" i="3"/>
  <c r="K3377" i="3"/>
  <c r="L3377" i="3" s="1"/>
  <c r="O3377" i="3"/>
  <c r="P3377" i="3"/>
  <c r="K3378" i="3"/>
  <c r="L3378" i="3" s="1"/>
  <c r="O3378" i="3"/>
  <c r="P3378" i="3"/>
  <c r="K3379" i="3"/>
  <c r="L3379" i="3" s="1"/>
  <c r="O3379" i="3"/>
  <c r="P3379" i="3"/>
  <c r="K3380" i="3"/>
  <c r="L3380" i="3" s="1"/>
  <c r="O3380" i="3"/>
  <c r="P3380" i="3"/>
  <c r="K3381" i="3"/>
  <c r="L3381" i="3" s="1"/>
  <c r="O3381" i="3"/>
  <c r="P3381" i="3"/>
  <c r="K3382" i="3"/>
  <c r="L3382" i="3" s="1"/>
  <c r="O3382" i="3"/>
  <c r="P3382" i="3"/>
  <c r="K3383" i="3"/>
  <c r="L3383" i="3" s="1"/>
  <c r="O3383" i="3"/>
  <c r="P3383" i="3"/>
  <c r="K3384" i="3"/>
  <c r="L3384" i="3" s="1"/>
  <c r="O3384" i="3"/>
  <c r="P3384" i="3"/>
  <c r="O3385" i="3"/>
  <c r="P3385" i="3"/>
  <c r="K3386" i="3"/>
  <c r="L3386" i="3" s="1"/>
  <c r="O3386" i="3"/>
  <c r="P3386" i="3"/>
  <c r="K3387" i="3"/>
  <c r="L3387" i="3" s="1"/>
  <c r="O3387" i="3"/>
  <c r="P3387" i="3"/>
  <c r="K3388" i="3"/>
  <c r="L3388" i="3" s="1"/>
  <c r="O3388" i="3"/>
  <c r="P3388" i="3"/>
  <c r="K3389" i="3"/>
  <c r="L3389" i="3" s="1"/>
  <c r="O3389" i="3"/>
  <c r="P3389" i="3"/>
  <c r="K3390" i="3"/>
  <c r="L3390" i="3" s="1"/>
  <c r="O3390" i="3"/>
  <c r="P3390" i="3"/>
  <c r="K3391" i="3"/>
  <c r="L3391" i="3" s="1"/>
  <c r="O3391" i="3"/>
  <c r="P3391" i="3"/>
  <c r="K3392" i="3"/>
  <c r="L3392" i="3" s="1"/>
  <c r="O3392" i="3"/>
  <c r="P3392" i="3"/>
  <c r="O3393" i="3"/>
  <c r="P3393" i="3"/>
  <c r="K3394" i="3"/>
  <c r="L3394" i="3" s="1"/>
  <c r="O3394" i="3"/>
  <c r="P3394" i="3"/>
  <c r="K3395" i="3"/>
  <c r="L3395" i="3" s="1"/>
  <c r="O3395" i="3"/>
  <c r="P3395" i="3"/>
  <c r="K3396" i="3"/>
  <c r="L3396" i="3" s="1"/>
  <c r="O3396" i="3"/>
  <c r="P3396" i="3"/>
  <c r="K3397" i="3"/>
  <c r="L3397" i="3" s="1"/>
  <c r="O3397" i="3"/>
  <c r="P3397" i="3"/>
  <c r="K3398" i="3"/>
  <c r="L3398" i="3" s="1"/>
  <c r="O3398" i="3"/>
  <c r="P3398" i="3"/>
  <c r="K3399" i="3"/>
  <c r="L3399" i="3" s="1"/>
  <c r="O3399" i="3"/>
  <c r="P3399" i="3"/>
  <c r="K3400" i="3"/>
  <c r="L3400" i="3" s="1"/>
  <c r="O3400" i="3"/>
  <c r="P3400" i="3"/>
  <c r="K3401" i="3"/>
  <c r="L3401" i="3" s="1"/>
  <c r="O3401" i="3"/>
  <c r="P3401" i="3"/>
  <c r="K3402" i="3"/>
  <c r="L3402" i="3" s="1"/>
  <c r="O3402" i="3"/>
  <c r="P3402" i="3"/>
  <c r="K3403" i="3"/>
  <c r="L3403" i="3" s="1"/>
  <c r="O3403" i="3"/>
  <c r="P3403" i="3"/>
  <c r="K3404" i="3"/>
  <c r="L3404" i="3" s="1"/>
  <c r="O3404" i="3"/>
  <c r="P3404" i="3"/>
  <c r="K3405" i="3"/>
  <c r="L3405" i="3" s="1"/>
  <c r="O3405" i="3"/>
  <c r="P3405" i="3"/>
  <c r="K3406" i="3"/>
  <c r="L3406" i="3" s="1"/>
  <c r="O3406" i="3"/>
  <c r="P3406" i="3"/>
  <c r="K3407" i="3"/>
  <c r="L3407" i="3" s="1"/>
  <c r="O3407" i="3"/>
  <c r="P3407" i="3"/>
  <c r="O3408" i="3"/>
  <c r="P3408" i="3"/>
  <c r="K3409" i="3"/>
  <c r="L3409" i="3" s="1"/>
  <c r="O3409" i="3"/>
  <c r="P3409" i="3"/>
  <c r="K3410" i="3"/>
  <c r="L3410" i="3" s="1"/>
  <c r="O3410" i="3"/>
  <c r="P3410" i="3"/>
  <c r="K3411" i="3"/>
  <c r="L3411" i="3" s="1"/>
  <c r="O3411" i="3"/>
  <c r="P3411" i="3"/>
  <c r="K3412" i="3"/>
  <c r="L3412" i="3" s="1"/>
  <c r="O3412" i="3"/>
  <c r="P3412" i="3"/>
  <c r="K3413" i="3"/>
  <c r="L3413" i="3" s="1"/>
  <c r="O3413" i="3"/>
  <c r="P3413" i="3"/>
  <c r="K3414" i="3"/>
  <c r="L3414" i="3" s="1"/>
  <c r="O3414" i="3"/>
  <c r="P3414" i="3"/>
  <c r="K3415" i="3"/>
  <c r="L3415" i="3" s="1"/>
  <c r="O3415" i="3"/>
  <c r="P3415" i="3"/>
  <c r="K3416" i="3"/>
  <c r="L3416" i="3" s="1"/>
  <c r="O3416" i="3"/>
  <c r="P3416" i="3"/>
  <c r="O3417" i="3"/>
  <c r="P3417" i="3"/>
  <c r="K3418" i="3"/>
  <c r="L3418" i="3" s="1"/>
  <c r="O3418" i="3"/>
  <c r="P3418" i="3"/>
  <c r="K3419" i="3"/>
  <c r="L3419" i="3" s="1"/>
  <c r="O3419" i="3"/>
  <c r="P3419" i="3"/>
  <c r="O3420" i="3"/>
  <c r="P3420" i="3"/>
  <c r="K3421" i="3"/>
  <c r="L3421" i="3" s="1"/>
  <c r="O3421" i="3"/>
  <c r="P3421" i="3"/>
  <c r="O3422" i="3"/>
  <c r="P3422" i="3"/>
  <c r="K3423" i="3"/>
  <c r="L3423" i="3" s="1"/>
  <c r="O3423" i="3"/>
  <c r="P3423" i="3"/>
  <c r="K3424" i="3"/>
  <c r="L3424" i="3" s="1"/>
  <c r="O3424" i="3"/>
  <c r="P3424" i="3"/>
  <c r="K3425" i="3"/>
  <c r="L3425" i="3" s="1"/>
  <c r="O3425" i="3"/>
  <c r="P3425" i="3"/>
  <c r="K3426" i="3"/>
  <c r="L3426" i="3" s="1"/>
  <c r="O3426" i="3"/>
  <c r="P3426" i="3"/>
  <c r="K3427" i="3"/>
  <c r="L3427" i="3" s="1"/>
  <c r="O3427" i="3"/>
  <c r="P3427" i="3"/>
  <c r="K3428" i="3"/>
  <c r="L3428" i="3" s="1"/>
  <c r="O3428" i="3"/>
  <c r="P3428" i="3"/>
  <c r="K3429" i="3"/>
  <c r="L3429" i="3" s="1"/>
  <c r="O3429" i="3"/>
  <c r="P3429" i="3"/>
  <c r="K3430" i="3"/>
  <c r="L3430" i="3" s="1"/>
  <c r="O3430" i="3"/>
  <c r="P3430" i="3"/>
  <c r="K3431" i="3"/>
  <c r="L3431" i="3" s="1"/>
  <c r="O3431" i="3"/>
  <c r="P3431" i="3"/>
  <c r="K3432" i="3"/>
  <c r="L3432" i="3" s="1"/>
  <c r="O3432" i="3"/>
  <c r="P3432" i="3"/>
  <c r="K3433" i="3"/>
  <c r="L3433" i="3" s="1"/>
  <c r="O3433" i="3"/>
  <c r="P3433" i="3"/>
  <c r="K3434" i="3"/>
  <c r="L3434" i="3" s="1"/>
  <c r="O3434" i="3"/>
  <c r="P3434" i="3"/>
  <c r="K3435" i="3"/>
  <c r="L3435" i="3" s="1"/>
  <c r="O3435" i="3"/>
  <c r="P3435" i="3"/>
  <c r="K3436" i="3"/>
  <c r="L3436" i="3" s="1"/>
  <c r="O3436" i="3"/>
  <c r="P3436" i="3"/>
  <c r="K3437" i="3"/>
  <c r="L3437" i="3" s="1"/>
  <c r="O3437" i="3"/>
  <c r="P3437" i="3"/>
  <c r="K3438" i="3"/>
  <c r="L3438" i="3" s="1"/>
  <c r="O3438" i="3"/>
  <c r="P3438" i="3"/>
  <c r="O3439" i="3"/>
  <c r="P3439" i="3"/>
  <c r="O3440" i="3"/>
  <c r="P3440" i="3"/>
  <c r="K3441" i="3"/>
  <c r="L3441" i="3" s="1"/>
  <c r="O3441" i="3"/>
  <c r="P3441" i="3"/>
  <c r="K3442" i="3"/>
  <c r="L3442" i="3" s="1"/>
  <c r="O3442" i="3"/>
  <c r="P3442" i="3"/>
  <c r="K3443" i="3"/>
  <c r="L3443" i="3" s="1"/>
  <c r="O3443" i="3"/>
  <c r="P3443" i="3"/>
  <c r="K3444" i="3"/>
  <c r="L3444" i="3" s="1"/>
  <c r="O3444" i="3"/>
  <c r="P3444" i="3"/>
  <c r="K3445" i="3"/>
  <c r="L3445" i="3" s="1"/>
  <c r="O3445" i="3"/>
  <c r="P3445" i="3"/>
  <c r="K3446" i="3"/>
  <c r="L3446" i="3" s="1"/>
  <c r="O3446" i="3"/>
  <c r="P3446" i="3"/>
  <c r="K3447" i="3"/>
  <c r="L3447" i="3" s="1"/>
  <c r="O3447" i="3"/>
  <c r="P3447" i="3"/>
  <c r="K3448" i="3"/>
  <c r="L3448" i="3" s="1"/>
  <c r="O3448" i="3"/>
  <c r="P3448" i="3"/>
  <c r="K3449" i="3"/>
  <c r="L3449" i="3" s="1"/>
  <c r="O3449" i="3"/>
  <c r="P3449" i="3"/>
  <c r="K3450" i="3"/>
  <c r="L3450" i="3" s="1"/>
  <c r="O3450" i="3"/>
  <c r="P3450" i="3"/>
  <c r="K3451" i="3"/>
  <c r="L3451" i="3" s="1"/>
  <c r="O3451" i="3"/>
  <c r="P3451" i="3"/>
  <c r="K3452" i="3"/>
  <c r="L3452" i="3" s="1"/>
  <c r="O3452" i="3"/>
  <c r="P3452" i="3"/>
  <c r="K3453" i="3"/>
  <c r="L3453" i="3" s="1"/>
  <c r="O3453" i="3"/>
  <c r="P3453" i="3"/>
  <c r="K3454" i="3"/>
  <c r="L3454" i="3" s="1"/>
  <c r="O3454" i="3"/>
  <c r="P3454" i="3"/>
  <c r="K3455" i="3"/>
  <c r="L3455" i="3" s="1"/>
  <c r="O3455" i="3"/>
  <c r="P3455" i="3"/>
  <c r="K3456" i="3"/>
  <c r="L3456" i="3" s="1"/>
  <c r="O3456" i="3"/>
  <c r="P3456" i="3"/>
  <c r="K3457" i="3"/>
  <c r="L3457" i="3" s="1"/>
  <c r="O3457" i="3"/>
  <c r="P3457" i="3"/>
  <c r="K3458" i="3"/>
  <c r="L3458" i="3" s="1"/>
  <c r="O3458" i="3"/>
  <c r="P3458" i="3"/>
  <c r="O3459" i="3"/>
  <c r="P3459" i="3"/>
  <c r="K3460" i="3"/>
  <c r="L3460" i="3" s="1"/>
  <c r="O3460" i="3"/>
  <c r="P3460" i="3"/>
  <c r="K3461" i="3"/>
  <c r="L3461" i="3" s="1"/>
  <c r="O3461" i="3"/>
  <c r="P3461" i="3"/>
  <c r="K3462" i="3"/>
  <c r="L3462" i="3" s="1"/>
  <c r="O3462" i="3"/>
  <c r="P3462" i="3"/>
  <c r="K3463" i="3"/>
  <c r="L3463" i="3" s="1"/>
  <c r="O3463" i="3"/>
  <c r="P3463" i="3"/>
  <c r="O3464" i="3"/>
  <c r="P3464" i="3"/>
  <c r="O3465" i="3"/>
  <c r="P3465" i="3"/>
  <c r="K3466" i="3"/>
  <c r="L3466" i="3" s="1"/>
  <c r="O3466" i="3"/>
  <c r="P3466" i="3"/>
  <c r="K3467" i="3"/>
  <c r="L3467" i="3" s="1"/>
  <c r="O3467" i="3"/>
  <c r="P3467" i="3"/>
  <c r="K3468" i="3"/>
  <c r="L3468" i="3" s="1"/>
  <c r="O3468" i="3"/>
  <c r="P3468" i="3"/>
  <c r="K3469" i="3"/>
  <c r="L3469" i="3" s="1"/>
  <c r="O3469" i="3"/>
  <c r="P3469" i="3"/>
  <c r="K3470" i="3"/>
  <c r="L3470" i="3" s="1"/>
  <c r="O3470" i="3"/>
  <c r="P3470" i="3"/>
  <c r="K3471" i="3"/>
  <c r="L3471" i="3" s="1"/>
  <c r="O3471" i="3"/>
  <c r="P3471" i="3"/>
  <c r="K3472" i="3"/>
  <c r="L3472" i="3" s="1"/>
  <c r="O3472" i="3"/>
  <c r="P3472" i="3"/>
  <c r="K3473" i="3"/>
  <c r="L3473" i="3" s="1"/>
  <c r="O3473" i="3"/>
  <c r="P3473" i="3"/>
  <c r="K3474" i="3"/>
  <c r="L3474" i="3" s="1"/>
  <c r="O3474" i="3"/>
  <c r="P3474" i="3"/>
  <c r="K3475" i="3"/>
  <c r="L3475" i="3" s="1"/>
  <c r="O3475" i="3"/>
  <c r="P3475" i="3"/>
  <c r="K3476" i="3"/>
  <c r="L3476" i="3" s="1"/>
  <c r="O3476" i="3"/>
  <c r="P3476" i="3"/>
  <c r="K3477" i="3"/>
  <c r="L3477" i="3" s="1"/>
  <c r="O3477" i="3"/>
  <c r="P3477" i="3"/>
  <c r="K3478" i="3"/>
  <c r="L3478" i="3" s="1"/>
  <c r="O3478" i="3"/>
  <c r="P3478" i="3"/>
  <c r="K3479" i="3"/>
  <c r="L3479" i="3" s="1"/>
  <c r="O3479" i="3"/>
  <c r="P3479" i="3"/>
  <c r="K3480" i="3"/>
  <c r="L3480" i="3" s="1"/>
  <c r="O3480" i="3"/>
  <c r="P3480" i="3"/>
  <c r="K3481" i="3"/>
  <c r="L3481" i="3" s="1"/>
  <c r="O3481" i="3"/>
  <c r="P3481" i="3"/>
  <c r="K3482" i="3"/>
  <c r="L3482" i="3" s="1"/>
  <c r="O3482" i="3"/>
  <c r="P3482" i="3"/>
  <c r="K3483" i="3"/>
  <c r="L3483" i="3" s="1"/>
  <c r="O3483" i="3"/>
  <c r="P3483" i="3"/>
  <c r="K3484" i="3"/>
  <c r="L3484" i="3" s="1"/>
  <c r="O3484" i="3"/>
  <c r="P3484" i="3"/>
  <c r="K3485" i="3"/>
  <c r="L3485" i="3" s="1"/>
  <c r="O3485" i="3"/>
  <c r="P3485" i="3"/>
  <c r="K3486" i="3"/>
  <c r="L3486" i="3" s="1"/>
  <c r="O3486" i="3"/>
  <c r="P3486" i="3"/>
  <c r="K3487" i="3"/>
  <c r="L3487" i="3" s="1"/>
  <c r="O3487" i="3"/>
  <c r="P3487" i="3"/>
  <c r="K3488" i="3"/>
  <c r="L3488" i="3" s="1"/>
  <c r="O3488" i="3"/>
  <c r="P3488" i="3"/>
  <c r="K3489" i="3"/>
  <c r="L3489" i="3" s="1"/>
  <c r="O3489" i="3"/>
  <c r="P3489" i="3"/>
  <c r="O3490" i="3"/>
  <c r="P3490" i="3"/>
  <c r="K3491" i="3"/>
  <c r="L3491" i="3" s="1"/>
  <c r="O3491" i="3"/>
  <c r="P3491" i="3"/>
  <c r="K3492" i="3"/>
  <c r="L3492" i="3" s="1"/>
  <c r="O3492" i="3"/>
  <c r="P3492" i="3"/>
  <c r="K3493" i="3"/>
  <c r="L3493" i="3" s="1"/>
  <c r="O3493" i="3"/>
  <c r="P3493" i="3"/>
  <c r="K3494" i="3"/>
  <c r="L3494" i="3" s="1"/>
  <c r="O3494" i="3"/>
  <c r="P3494" i="3"/>
  <c r="K3495" i="3"/>
  <c r="L3495" i="3" s="1"/>
  <c r="O3495" i="3"/>
  <c r="P3495" i="3"/>
  <c r="K3496" i="3"/>
  <c r="L3496" i="3" s="1"/>
  <c r="O3496" i="3"/>
  <c r="P3496" i="3"/>
  <c r="K3497" i="3"/>
  <c r="L3497" i="3" s="1"/>
  <c r="O3497" i="3"/>
  <c r="P3497" i="3"/>
  <c r="K3498" i="3"/>
  <c r="L3498" i="3" s="1"/>
  <c r="O3498" i="3"/>
  <c r="P3498" i="3"/>
  <c r="K3499" i="3"/>
  <c r="L3499" i="3" s="1"/>
  <c r="O3499" i="3"/>
  <c r="P3499" i="3"/>
  <c r="K3500" i="3"/>
  <c r="L3500" i="3" s="1"/>
  <c r="O3500" i="3"/>
  <c r="P3500" i="3"/>
  <c r="K3501" i="3"/>
  <c r="L3501" i="3" s="1"/>
  <c r="O3501" i="3"/>
  <c r="P3501" i="3"/>
  <c r="K3502" i="3"/>
  <c r="L3502" i="3" s="1"/>
  <c r="O3502" i="3"/>
  <c r="P3502" i="3"/>
  <c r="K3503" i="3"/>
  <c r="L3503" i="3" s="1"/>
  <c r="O3503" i="3"/>
  <c r="P3503" i="3"/>
  <c r="K3504" i="3"/>
  <c r="L3504" i="3" s="1"/>
  <c r="O3504" i="3"/>
  <c r="P3504" i="3"/>
  <c r="K3505" i="3"/>
  <c r="L3505" i="3" s="1"/>
  <c r="O3505" i="3"/>
  <c r="P3505" i="3"/>
  <c r="K3506" i="3"/>
  <c r="L3506" i="3" s="1"/>
  <c r="O3506" i="3"/>
  <c r="P3506" i="3"/>
  <c r="K3507" i="3"/>
  <c r="L3507" i="3" s="1"/>
  <c r="O3507" i="3"/>
  <c r="P3507" i="3"/>
  <c r="K3508" i="3"/>
  <c r="L3508" i="3" s="1"/>
  <c r="O3508" i="3"/>
  <c r="P3508" i="3"/>
  <c r="K3509" i="3"/>
  <c r="L3509" i="3" s="1"/>
  <c r="O3509" i="3"/>
  <c r="P3509" i="3"/>
  <c r="K3510" i="3"/>
  <c r="L3510" i="3" s="1"/>
  <c r="O3510" i="3"/>
  <c r="P3510" i="3"/>
  <c r="K3511" i="3"/>
  <c r="L3511" i="3" s="1"/>
  <c r="O3511" i="3"/>
  <c r="P3511" i="3"/>
  <c r="K3512" i="3"/>
  <c r="L3512" i="3" s="1"/>
  <c r="O3512" i="3"/>
  <c r="P3512" i="3"/>
  <c r="K3513" i="3"/>
  <c r="L3513" i="3" s="1"/>
  <c r="O3513" i="3"/>
  <c r="P3513" i="3"/>
  <c r="K3514" i="3"/>
  <c r="L3514" i="3" s="1"/>
  <c r="O3514" i="3"/>
  <c r="P3514" i="3"/>
  <c r="K3515" i="3"/>
  <c r="L3515" i="3" s="1"/>
  <c r="O3515" i="3"/>
  <c r="P3515" i="3"/>
  <c r="K3516" i="3"/>
  <c r="L3516" i="3" s="1"/>
  <c r="O3516" i="3"/>
  <c r="P3516" i="3"/>
  <c r="O3517" i="3"/>
  <c r="P3517" i="3"/>
  <c r="O3518" i="3"/>
  <c r="P3518" i="3"/>
  <c r="K3519" i="3"/>
  <c r="L3519" i="3" s="1"/>
  <c r="O3519" i="3"/>
  <c r="P3519" i="3"/>
  <c r="K3520" i="3"/>
  <c r="L3520" i="3" s="1"/>
  <c r="O3520" i="3"/>
  <c r="P3520" i="3"/>
  <c r="K3521" i="3"/>
  <c r="L3521" i="3" s="1"/>
  <c r="O3521" i="3"/>
  <c r="P3521" i="3"/>
  <c r="K3522" i="3"/>
  <c r="L3522" i="3" s="1"/>
  <c r="O3522" i="3"/>
  <c r="P3522" i="3"/>
  <c r="K3523" i="3"/>
  <c r="L3523" i="3" s="1"/>
  <c r="O3523" i="3"/>
  <c r="P3523" i="3"/>
  <c r="K3524" i="3"/>
  <c r="L3524" i="3" s="1"/>
  <c r="O3524" i="3"/>
  <c r="P3524" i="3"/>
  <c r="K3525" i="3"/>
  <c r="L3525" i="3" s="1"/>
  <c r="O3525" i="3"/>
  <c r="P3525" i="3"/>
  <c r="K3526" i="3"/>
  <c r="L3526" i="3" s="1"/>
  <c r="O3526" i="3"/>
  <c r="P3526" i="3"/>
  <c r="K3527" i="3"/>
  <c r="L3527" i="3" s="1"/>
  <c r="O3527" i="3"/>
  <c r="P3527" i="3"/>
  <c r="O3528" i="3"/>
  <c r="P3528" i="3"/>
  <c r="K3529" i="3"/>
  <c r="L3529" i="3" s="1"/>
  <c r="O3529" i="3"/>
  <c r="P3529" i="3"/>
  <c r="O3530" i="3"/>
  <c r="P3530" i="3"/>
  <c r="K3531" i="3"/>
  <c r="L3531" i="3" s="1"/>
  <c r="O3531" i="3"/>
  <c r="P3531" i="3"/>
  <c r="K3532" i="3"/>
  <c r="L3532" i="3" s="1"/>
  <c r="O3532" i="3"/>
  <c r="P3532" i="3"/>
  <c r="K3533" i="3"/>
  <c r="L3533" i="3" s="1"/>
  <c r="O3533" i="3"/>
  <c r="P3533" i="3"/>
  <c r="K3534" i="3"/>
  <c r="L3534" i="3" s="1"/>
  <c r="O3534" i="3"/>
  <c r="P3534" i="3"/>
  <c r="K3535" i="3"/>
  <c r="L3535" i="3" s="1"/>
  <c r="O3535" i="3"/>
  <c r="P3535" i="3"/>
  <c r="K3536" i="3"/>
  <c r="L3536" i="3" s="1"/>
  <c r="O3536" i="3"/>
  <c r="P3536" i="3"/>
  <c r="K3537" i="3"/>
  <c r="L3537" i="3" s="1"/>
  <c r="O3537" i="3"/>
  <c r="P3537" i="3"/>
  <c r="K3538" i="3"/>
  <c r="L3538" i="3" s="1"/>
  <c r="O3538" i="3"/>
  <c r="P3538" i="3"/>
  <c r="K3539" i="3"/>
  <c r="L3539" i="3" s="1"/>
  <c r="O3539" i="3"/>
  <c r="P3539" i="3"/>
  <c r="K3540" i="3"/>
  <c r="L3540" i="3" s="1"/>
  <c r="O3540" i="3"/>
  <c r="P3540" i="3"/>
  <c r="K3541" i="3"/>
  <c r="L3541" i="3" s="1"/>
  <c r="O3541" i="3"/>
  <c r="P3541" i="3"/>
  <c r="O3542" i="3"/>
  <c r="P3542" i="3"/>
  <c r="K3543" i="3"/>
  <c r="L3543" i="3" s="1"/>
  <c r="O3543" i="3"/>
  <c r="P3543" i="3"/>
  <c r="K3544" i="3"/>
  <c r="L3544" i="3" s="1"/>
  <c r="O3544" i="3"/>
  <c r="P3544" i="3"/>
  <c r="K3545" i="3"/>
  <c r="L3545" i="3" s="1"/>
  <c r="O3545" i="3"/>
  <c r="P3545" i="3"/>
  <c r="K3546" i="3"/>
  <c r="L3546" i="3" s="1"/>
  <c r="O3546" i="3"/>
  <c r="P3546" i="3"/>
  <c r="K3547" i="3"/>
  <c r="L3547" i="3" s="1"/>
  <c r="O3547" i="3"/>
  <c r="P3547" i="3"/>
  <c r="K3548" i="3"/>
  <c r="L3548" i="3" s="1"/>
  <c r="O3548" i="3"/>
  <c r="P3548" i="3"/>
  <c r="K3549" i="3"/>
  <c r="L3549" i="3" s="1"/>
  <c r="O3549" i="3"/>
  <c r="P3549" i="3"/>
  <c r="K3550" i="3"/>
  <c r="L3550" i="3" s="1"/>
  <c r="O3550" i="3"/>
  <c r="P3550" i="3"/>
  <c r="K3551" i="3"/>
  <c r="L3551" i="3" s="1"/>
  <c r="O3551" i="3"/>
  <c r="P3551" i="3"/>
  <c r="K3552" i="3"/>
  <c r="L3552" i="3" s="1"/>
  <c r="O3552" i="3"/>
  <c r="P3552" i="3"/>
  <c r="K3553" i="3"/>
  <c r="L3553" i="3" s="1"/>
  <c r="O3553" i="3"/>
  <c r="P3553" i="3"/>
  <c r="K3554" i="3"/>
  <c r="L3554" i="3" s="1"/>
  <c r="O3554" i="3"/>
  <c r="P3554" i="3"/>
  <c r="O3555" i="3"/>
  <c r="P3555" i="3"/>
  <c r="K3556" i="3"/>
  <c r="L3556" i="3" s="1"/>
  <c r="O3556" i="3"/>
  <c r="P3556" i="3"/>
  <c r="K3557" i="3"/>
  <c r="L3557" i="3" s="1"/>
  <c r="O3557" i="3"/>
  <c r="P3557" i="3"/>
  <c r="K3558" i="3"/>
  <c r="L3558" i="3" s="1"/>
  <c r="O3558" i="3"/>
  <c r="P3558" i="3"/>
  <c r="K3559" i="3"/>
  <c r="L3559" i="3" s="1"/>
  <c r="O3559" i="3"/>
  <c r="P3559" i="3"/>
  <c r="K3560" i="3"/>
  <c r="L3560" i="3" s="1"/>
  <c r="O3560" i="3"/>
  <c r="P3560" i="3"/>
  <c r="O3561" i="3"/>
  <c r="P3561" i="3"/>
  <c r="K3562" i="3"/>
  <c r="L3562" i="3" s="1"/>
  <c r="O3562" i="3"/>
  <c r="P3562" i="3"/>
  <c r="K3563" i="3"/>
  <c r="L3563" i="3" s="1"/>
  <c r="O3563" i="3"/>
  <c r="P3563" i="3"/>
  <c r="K3564" i="3"/>
  <c r="L3564" i="3" s="1"/>
  <c r="O3564" i="3"/>
  <c r="P3564" i="3"/>
  <c r="K3565" i="3"/>
  <c r="L3565" i="3" s="1"/>
  <c r="O3565" i="3"/>
  <c r="P3565" i="3"/>
  <c r="K3566" i="3"/>
  <c r="L3566" i="3" s="1"/>
  <c r="O3566" i="3"/>
  <c r="P3566" i="3"/>
  <c r="O3567" i="3"/>
  <c r="P3567" i="3"/>
  <c r="K3568" i="3"/>
  <c r="L3568" i="3" s="1"/>
  <c r="O3568" i="3"/>
  <c r="P3568" i="3"/>
  <c r="K3569" i="3"/>
  <c r="L3569" i="3" s="1"/>
  <c r="O3569" i="3"/>
  <c r="P3569" i="3"/>
  <c r="K3570" i="3"/>
  <c r="L3570" i="3" s="1"/>
  <c r="O3570" i="3"/>
  <c r="P3570" i="3"/>
  <c r="K3571" i="3"/>
  <c r="L3571" i="3" s="1"/>
  <c r="O3571" i="3"/>
  <c r="P3571" i="3"/>
  <c r="O3572" i="3"/>
  <c r="P3572" i="3"/>
  <c r="K3573" i="3"/>
  <c r="L3573" i="3" s="1"/>
  <c r="O3573" i="3"/>
  <c r="P3573" i="3"/>
  <c r="K3574" i="3"/>
  <c r="L3574" i="3" s="1"/>
  <c r="O3574" i="3"/>
  <c r="P3574" i="3"/>
  <c r="K3575" i="3"/>
  <c r="L3575" i="3" s="1"/>
  <c r="O3575" i="3"/>
  <c r="P3575" i="3"/>
  <c r="K3576" i="3"/>
  <c r="L3576" i="3" s="1"/>
  <c r="O3576" i="3"/>
  <c r="P3576" i="3"/>
  <c r="K3577" i="3"/>
  <c r="L3577" i="3" s="1"/>
  <c r="O3577" i="3"/>
  <c r="P3577" i="3"/>
  <c r="K3578" i="3"/>
  <c r="L3578" i="3" s="1"/>
  <c r="O3578" i="3"/>
  <c r="P3578" i="3"/>
  <c r="K3579" i="3"/>
  <c r="L3579" i="3" s="1"/>
  <c r="O3579" i="3"/>
  <c r="P3579" i="3"/>
  <c r="K3580" i="3"/>
  <c r="L3580" i="3" s="1"/>
  <c r="O3580" i="3"/>
  <c r="P3580" i="3"/>
  <c r="K3581" i="3"/>
  <c r="L3581" i="3" s="1"/>
  <c r="O3581" i="3"/>
  <c r="P3581" i="3"/>
  <c r="K3582" i="3"/>
  <c r="L3582" i="3" s="1"/>
  <c r="O3582" i="3"/>
  <c r="P3582" i="3"/>
  <c r="K3583" i="3"/>
  <c r="L3583" i="3" s="1"/>
  <c r="O3583" i="3"/>
  <c r="P3583" i="3"/>
  <c r="K3584" i="3"/>
  <c r="L3584" i="3" s="1"/>
  <c r="O3584" i="3"/>
  <c r="P3584" i="3"/>
  <c r="K3585" i="3"/>
  <c r="L3585" i="3" s="1"/>
  <c r="O3585" i="3"/>
  <c r="P3585" i="3"/>
  <c r="K3586" i="3"/>
  <c r="L3586" i="3" s="1"/>
  <c r="O3586" i="3"/>
  <c r="P3586" i="3"/>
  <c r="O3587" i="3"/>
  <c r="P3587" i="3"/>
  <c r="K3588" i="3"/>
  <c r="L3588" i="3" s="1"/>
  <c r="O3588" i="3"/>
  <c r="P3588" i="3"/>
  <c r="K3589" i="3"/>
  <c r="L3589" i="3" s="1"/>
  <c r="O3589" i="3"/>
  <c r="P3589" i="3"/>
  <c r="K3590" i="3"/>
  <c r="L3590" i="3" s="1"/>
  <c r="O3590" i="3"/>
  <c r="P3590" i="3"/>
  <c r="K3591" i="3"/>
  <c r="L3591" i="3" s="1"/>
  <c r="O3591" i="3"/>
  <c r="P3591" i="3"/>
  <c r="K3592" i="3"/>
  <c r="L3592" i="3" s="1"/>
  <c r="O3592" i="3"/>
  <c r="P3592" i="3"/>
  <c r="O3593" i="3"/>
  <c r="P3593" i="3"/>
  <c r="K3594" i="3"/>
  <c r="L3594" i="3" s="1"/>
  <c r="O3594" i="3"/>
  <c r="P3594" i="3"/>
  <c r="K3595" i="3"/>
  <c r="L3595" i="3" s="1"/>
  <c r="O3595" i="3"/>
  <c r="P3595" i="3"/>
  <c r="K3596" i="3"/>
  <c r="L3596" i="3" s="1"/>
  <c r="O3596" i="3"/>
  <c r="P3596" i="3"/>
  <c r="K3597" i="3"/>
  <c r="L3597" i="3" s="1"/>
  <c r="O3597" i="3"/>
  <c r="P3597" i="3"/>
  <c r="K3598" i="3"/>
  <c r="L3598" i="3" s="1"/>
  <c r="O3598" i="3"/>
  <c r="P3598" i="3"/>
  <c r="K3599" i="3"/>
  <c r="L3599" i="3" s="1"/>
  <c r="O3599" i="3"/>
  <c r="P3599" i="3"/>
  <c r="K3600" i="3"/>
  <c r="L3600" i="3" s="1"/>
  <c r="O3600" i="3"/>
  <c r="P3600" i="3"/>
  <c r="K3601" i="3"/>
  <c r="L3601" i="3" s="1"/>
  <c r="O3601" i="3"/>
  <c r="P3601" i="3"/>
  <c r="O3602" i="3"/>
  <c r="P3602" i="3"/>
  <c r="O3603" i="3"/>
  <c r="P3603" i="3"/>
  <c r="K3604" i="3"/>
  <c r="L3604" i="3" s="1"/>
  <c r="O3604" i="3"/>
  <c r="P3604" i="3"/>
  <c r="K3605" i="3"/>
  <c r="L3605" i="3" s="1"/>
  <c r="O3605" i="3"/>
  <c r="P3605" i="3"/>
  <c r="K3606" i="3"/>
  <c r="L3606" i="3" s="1"/>
  <c r="O3606" i="3"/>
  <c r="P3606" i="3"/>
  <c r="K3607" i="3"/>
  <c r="L3607" i="3" s="1"/>
  <c r="O3607" i="3"/>
  <c r="P3607" i="3"/>
  <c r="K3608" i="3"/>
  <c r="L3608" i="3" s="1"/>
  <c r="O3608" i="3"/>
  <c r="P3608" i="3"/>
  <c r="K3609" i="3"/>
  <c r="L3609" i="3" s="1"/>
  <c r="O3609" i="3"/>
  <c r="P3609" i="3"/>
  <c r="K3610" i="3"/>
  <c r="L3610" i="3" s="1"/>
  <c r="O3610" i="3"/>
  <c r="P3610" i="3"/>
  <c r="K3611" i="3"/>
  <c r="L3611" i="3" s="1"/>
  <c r="O3611" i="3"/>
  <c r="P3611" i="3"/>
  <c r="K3612" i="3"/>
  <c r="L3612" i="3" s="1"/>
  <c r="O3612" i="3"/>
  <c r="P3612" i="3"/>
  <c r="K3613" i="3"/>
  <c r="L3613" i="3" s="1"/>
  <c r="O3613" i="3"/>
  <c r="P3613" i="3"/>
  <c r="K3614" i="3"/>
  <c r="L3614" i="3" s="1"/>
  <c r="O3614" i="3"/>
  <c r="P3614" i="3"/>
  <c r="K3615" i="3"/>
  <c r="L3615" i="3" s="1"/>
  <c r="O3615" i="3"/>
  <c r="P3615" i="3"/>
  <c r="K3616" i="3"/>
  <c r="L3616" i="3" s="1"/>
  <c r="O3616" i="3"/>
  <c r="P3616" i="3"/>
  <c r="K3617" i="3"/>
  <c r="L3617" i="3" s="1"/>
  <c r="O3617" i="3"/>
  <c r="P3617" i="3"/>
  <c r="K3618" i="3"/>
  <c r="L3618" i="3" s="1"/>
  <c r="O3618" i="3"/>
  <c r="P3618" i="3"/>
  <c r="K3619" i="3"/>
  <c r="L3619" i="3" s="1"/>
  <c r="O3619" i="3"/>
  <c r="P3619" i="3"/>
  <c r="K3620" i="3"/>
  <c r="L3620" i="3" s="1"/>
  <c r="O3620" i="3"/>
  <c r="P3620" i="3"/>
  <c r="K3621" i="3"/>
  <c r="L3621" i="3" s="1"/>
  <c r="O3621" i="3"/>
  <c r="P3621" i="3"/>
  <c r="K3622" i="3"/>
  <c r="L3622" i="3" s="1"/>
  <c r="O3622" i="3"/>
  <c r="P3622" i="3"/>
  <c r="K3623" i="3"/>
  <c r="L3623" i="3" s="1"/>
  <c r="O3623" i="3"/>
  <c r="P3623" i="3"/>
  <c r="K3624" i="3"/>
  <c r="L3624" i="3" s="1"/>
  <c r="O3624" i="3"/>
  <c r="P3624" i="3"/>
  <c r="K3625" i="3"/>
  <c r="L3625" i="3" s="1"/>
  <c r="O3625" i="3"/>
  <c r="P3625" i="3"/>
  <c r="K3626" i="3"/>
  <c r="L3626" i="3" s="1"/>
  <c r="O3626" i="3"/>
  <c r="P3626" i="3"/>
  <c r="K3627" i="3"/>
  <c r="L3627" i="3" s="1"/>
  <c r="O3627" i="3"/>
  <c r="P3627" i="3"/>
  <c r="K3628" i="3"/>
  <c r="L3628" i="3" s="1"/>
  <c r="O3628" i="3"/>
  <c r="P3628" i="3"/>
  <c r="K3629" i="3"/>
  <c r="L3629" i="3" s="1"/>
  <c r="O3629" i="3"/>
  <c r="P3629" i="3"/>
  <c r="K3630" i="3"/>
  <c r="L3630" i="3" s="1"/>
  <c r="O3630" i="3"/>
  <c r="P3630" i="3"/>
  <c r="K3631" i="3"/>
  <c r="L3631" i="3" s="1"/>
  <c r="O3631" i="3"/>
  <c r="P3631" i="3"/>
  <c r="K3632" i="3"/>
  <c r="L3632" i="3" s="1"/>
  <c r="O3632" i="3"/>
  <c r="P3632" i="3"/>
  <c r="K3633" i="3"/>
  <c r="L3633" i="3" s="1"/>
  <c r="O3633" i="3"/>
  <c r="P3633" i="3"/>
  <c r="O3634" i="3"/>
  <c r="P3634" i="3"/>
  <c r="K3635" i="3"/>
  <c r="L3635" i="3" s="1"/>
  <c r="O3635" i="3"/>
  <c r="P3635" i="3"/>
  <c r="K3636" i="3"/>
  <c r="L3636" i="3" s="1"/>
  <c r="O3636" i="3"/>
  <c r="P3636" i="3"/>
  <c r="K3637" i="3"/>
  <c r="L3637" i="3" s="1"/>
  <c r="O3637" i="3"/>
  <c r="P3637" i="3"/>
  <c r="K3638" i="3"/>
  <c r="L3638" i="3" s="1"/>
  <c r="O3638" i="3"/>
  <c r="P3638" i="3"/>
  <c r="K3639" i="3"/>
  <c r="L3639" i="3" s="1"/>
  <c r="O3639" i="3"/>
  <c r="P3639" i="3"/>
  <c r="K3640" i="3"/>
  <c r="L3640" i="3" s="1"/>
  <c r="O3640" i="3"/>
  <c r="P3640" i="3"/>
  <c r="K3641" i="3"/>
  <c r="L3641" i="3" s="1"/>
  <c r="O3641" i="3"/>
  <c r="P3641" i="3"/>
  <c r="O3642" i="3"/>
  <c r="P3642" i="3"/>
  <c r="K3643" i="3"/>
  <c r="L3643" i="3" s="1"/>
  <c r="O3643" i="3"/>
  <c r="P3643" i="3"/>
  <c r="K3644" i="3"/>
  <c r="L3644" i="3" s="1"/>
  <c r="O3644" i="3"/>
  <c r="P3644" i="3"/>
  <c r="K3645" i="3"/>
  <c r="L3645" i="3" s="1"/>
  <c r="O3645" i="3"/>
  <c r="P3645" i="3"/>
  <c r="K3646" i="3"/>
  <c r="L3646" i="3" s="1"/>
  <c r="O3646" i="3"/>
  <c r="P3646" i="3"/>
  <c r="K3647" i="3"/>
  <c r="L3647" i="3" s="1"/>
  <c r="O3647" i="3"/>
  <c r="P3647" i="3"/>
  <c r="O3648" i="3"/>
  <c r="P3648" i="3"/>
  <c r="K3649" i="3"/>
  <c r="L3649" i="3" s="1"/>
  <c r="O3649" i="3"/>
  <c r="P3649" i="3"/>
  <c r="K3650" i="3"/>
  <c r="L3650" i="3" s="1"/>
  <c r="O3650" i="3"/>
  <c r="P3650" i="3"/>
  <c r="K3651" i="3"/>
  <c r="L3651" i="3" s="1"/>
  <c r="O3651" i="3"/>
  <c r="P3651" i="3"/>
  <c r="K3652" i="3"/>
  <c r="L3652" i="3" s="1"/>
  <c r="O3652" i="3"/>
  <c r="P3652" i="3"/>
  <c r="K3653" i="3"/>
  <c r="L3653" i="3" s="1"/>
  <c r="O3653" i="3"/>
  <c r="P3653" i="3"/>
  <c r="K3654" i="3"/>
  <c r="L3654" i="3" s="1"/>
  <c r="O3654" i="3"/>
  <c r="P3654" i="3"/>
  <c r="K3655" i="3"/>
  <c r="L3655" i="3" s="1"/>
  <c r="O3655" i="3"/>
  <c r="P3655" i="3"/>
  <c r="K3656" i="3"/>
  <c r="L3656" i="3" s="1"/>
  <c r="O3656" i="3"/>
  <c r="P3656" i="3"/>
  <c r="K3657" i="3"/>
  <c r="L3657" i="3" s="1"/>
  <c r="O3657" i="3"/>
  <c r="P3657" i="3"/>
  <c r="K3658" i="3"/>
  <c r="L3658" i="3" s="1"/>
  <c r="O3658" i="3"/>
  <c r="P3658" i="3"/>
  <c r="K3659" i="3"/>
  <c r="L3659" i="3" s="1"/>
  <c r="O3659" i="3"/>
  <c r="P3659" i="3"/>
  <c r="K3660" i="3"/>
  <c r="L3660" i="3" s="1"/>
  <c r="O3660" i="3"/>
  <c r="P3660" i="3"/>
  <c r="K3661" i="3"/>
  <c r="L3661" i="3" s="1"/>
  <c r="O3661" i="3"/>
  <c r="P3661" i="3"/>
  <c r="K3662" i="3"/>
  <c r="L3662" i="3" s="1"/>
  <c r="O3662" i="3"/>
  <c r="P3662" i="3"/>
  <c r="K3663" i="3"/>
  <c r="L3663" i="3" s="1"/>
  <c r="O3663" i="3"/>
  <c r="P3663" i="3"/>
  <c r="K3664" i="3"/>
  <c r="L3664" i="3" s="1"/>
  <c r="O3664" i="3"/>
  <c r="P3664" i="3"/>
  <c r="K3665" i="3"/>
  <c r="L3665" i="3" s="1"/>
  <c r="O3665" i="3"/>
  <c r="P3665" i="3"/>
  <c r="K3666" i="3"/>
  <c r="L3666" i="3" s="1"/>
  <c r="O3666" i="3"/>
  <c r="P3666" i="3"/>
  <c r="K3667" i="3"/>
  <c r="L3667" i="3" s="1"/>
  <c r="O3667" i="3"/>
  <c r="P3667" i="3"/>
  <c r="K3668" i="3"/>
  <c r="L3668" i="3" s="1"/>
  <c r="O3668" i="3"/>
  <c r="P3668" i="3"/>
  <c r="K3669" i="3"/>
  <c r="L3669" i="3" s="1"/>
  <c r="O3669" i="3"/>
  <c r="P3669" i="3"/>
  <c r="K3670" i="3"/>
  <c r="L3670" i="3" s="1"/>
  <c r="O3670" i="3"/>
  <c r="P3670" i="3"/>
  <c r="K3671" i="3"/>
  <c r="L3671" i="3" s="1"/>
  <c r="O3671" i="3"/>
  <c r="P3671" i="3"/>
  <c r="K3672" i="3"/>
  <c r="L3672" i="3" s="1"/>
  <c r="O3672" i="3"/>
  <c r="P3672" i="3"/>
  <c r="K3673" i="3"/>
  <c r="L3673" i="3" s="1"/>
  <c r="O3673" i="3"/>
  <c r="P3673" i="3"/>
  <c r="K3674" i="3"/>
  <c r="L3674" i="3" s="1"/>
  <c r="O3674" i="3"/>
  <c r="P3674" i="3"/>
  <c r="K3675" i="3"/>
  <c r="L3675" i="3" s="1"/>
  <c r="O3675" i="3"/>
  <c r="P3675" i="3"/>
  <c r="K3676" i="3"/>
  <c r="L3676" i="3" s="1"/>
  <c r="O3676" i="3"/>
  <c r="P3676" i="3"/>
  <c r="K3677" i="3"/>
  <c r="L3677" i="3" s="1"/>
  <c r="O3677" i="3"/>
  <c r="P3677" i="3"/>
  <c r="K3678" i="3"/>
  <c r="L3678" i="3" s="1"/>
  <c r="O3678" i="3"/>
  <c r="P3678" i="3"/>
  <c r="K3679" i="3"/>
  <c r="L3679" i="3" s="1"/>
  <c r="O3679" i="3"/>
  <c r="P3679" i="3"/>
  <c r="K3680" i="3"/>
  <c r="L3680" i="3" s="1"/>
  <c r="O3680" i="3"/>
  <c r="P3680" i="3"/>
  <c r="K3681" i="3"/>
  <c r="L3681" i="3" s="1"/>
  <c r="O3681" i="3"/>
  <c r="P3681" i="3"/>
  <c r="K3682" i="3"/>
  <c r="L3682" i="3" s="1"/>
  <c r="O3682" i="3"/>
  <c r="P3682" i="3"/>
  <c r="K3683" i="3"/>
  <c r="L3683" i="3" s="1"/>
  <c r="O3683" i="3"/>
  <c r="P3683" i="3"/>
  <c r="K3684" i="3"/>
  <c r="L3684" i="3" s="1"/>
  <c r="O3684" i="3"/>
  <c r="P3684" i="3"/>
  <c r="K3685" i="3"/>
  <c r="L3685" i="3" s="1"/>
  <c r="O3685" i="3"/>
  <c r="P3685" i="3"/>
  <c r="K3686" i="3"/>
  <c r="L3686" i="3" s="1"/>
  <c r="O3686" i="3"/>
  <c r="P3686" i="3"/>
  <c r="O3687" i="3"/>
  <c r="P3687" i="3"/>
  <c r="K3688" i="3"/>
  <c r="L3688" i="3" s="1"/>
  <c r="O3688" i="3"/>
  <c r="P3688" i="3"/>
  <c r="K3689" i="3"/>
  <c r="L3689" i="3" s="1"/>
  <c r="O3689" i="3"/>
  <c r="P3689" i="3"/>
  <c r="K3690" i="3"/>
  <c r="L3690" i="3" s="1"/>
  <c r="O3690" i="3"/>
  <c r="P3690" i="3"/>
  <c r="K3691" i="3"/>
  <c r="L3691" i="3" s="1"/>
  <c r="O3691" i="3"/>
  <c r="P3691" i="3"/>
  <c r="K3692" i="3"/>
  <c r="L3692" i="3" s="1"/>
  <c r="O3692" i="3"/>
  <c r="P3692" i="3"/>
  <c r="K3693" i="3"/>
  <c r="L3693" i="3" s="1"/>
  <c r="O3693" i="3"/>
  <c r="P3693" i="3"/>
  <c r="K3694" i="3"/>
  <c r="L3694" i="3" s="1"/>
  <c r="O3694" i="3"/>
  <c r="P3694" i="3"/>
  <c r="K3695" i="3"/>
  <c r="L3695" i="3" s="1"/>
  <c r="O3695" i="3"/>
  <c r="P3695" i="3"/>
  <c r="K3696" i="3"/>
  <c r="L3696" i="3" s="1"/>
  <c r="O3696" i="3"/>
  <c r="P3696" i="3"/>
  <c r="K3697" i="3"/>
  <c r="L3697" i="3" s="1"/>
  <c r="O3697" i="3"/>
  <c r="P3697" i="3"/>
  <c r="K3698" i="3"/>
  <c r="L3698" i="3" s="1"/>
  <c r="O3698" i="3"/>
  <c r="P3698" i="3"/>
  <c r="K3699" i="3"/>
  <c r="L3699" i="3" s="1"/>
  <c r="O3699" i="3"/>
  <c r="P3699" i="3"/>
  <c r="K3700" i="3"/>
  <c r="L3700" i="3" s="1"/>
  <c r="O3700" i="3"/>
  <c r="P3700" i="3"/>
  <c r="K3701" i="3"/>
  <c r="L3701" i="3" s="1"/>
  <c r="O3701" i="3"/>
  <c r="P3701" i="3"/>
  <c r="K3702" i="3"/>
  <c r="L3702" i="3" s="1"/>
  <c r="O3702" i="3"/>
  <c r="P3702" i="3"/>
  <c r="K3703" i="3"/>
  <c r="L3703" i="3" s="1"/>
  <c r="O3703" i="3"/>
  <c r="P3703" i="3"/>
  <c r="K3704" i="3"/>
  <c r="L3704" i="3" s="1"/>
  <c r="O3704" i="3"/>
  <c r="P3704" i="3"/>
  <c r="K3705" i="3"/>
  <c r="L3705" i="3" s="1"/>
  <c r="O3705" i="3"/>
  <c r="P3705" i="3"/>
  <c r="K3706" i="3"/>
  <c r="L3706" i="3" s="1"/>
  <c r="O3706" i="3"/>
  <c r="P3706" i="3"/>
  <c r="K3707" i="3"/>
  <c r="L3707" i="3" s="1"/>
  <c r="O3707" i="3"/>
  <c r="P3707" i="3"/>
  <c r="K3708" i="3"/>
  <c r="L3708" i="3" s="1"/>
  <c r="O3708" i="3"/>
  <c r="P3708" i="3"/>
  <c r="K3709" i="3"/>
  <c r="L3709" i="3" s="1"/>
  <c r="O3709" i="3"/>
  <c r="P3709" i="3"/>
  <c r="K3710" i="3"/>
  <c r="L3710" i="3" s="1"/>
  <c r="O3710" i="3"/>
  <c r="P3710" i="3"/>
  <c r="K3711" i="3"/>
  <c r="L3711" i="3" s="1"/>
  <c r="O3711" i="3"/>
  <c r="P3711" i="3"/>
  <c r="K3712" i="3"/>
  <c r="L3712" i="3" s="1"/>
  <c r="O3712" i="3"/>
  <c r="P3712" i="3"/>
  <c r="K3713" i="3"/>
  <c r="L3713" i="3" s="1"/>
  <c r="O3713" i="3"/>
  <c r="P3713" i="3"/>
  <c r="K3714" i="3"/>
  <c r="L3714" i="3" s="1"/>
  <c r="O3714" i="3"/>
  <c r="P3714" i="3"/>
  <c r="K3715" i="3"/>
  <c r="L3715" i="3" s="1"/>
  <c r="O3715" i="3"/>
  <c r="P3715" i="3"/>
  <c r="K3716" i="3"/>
  <c r="L3716" i="3" s="1"/>
  <c r="O3716" i="3"/>
  <c r="P3716" i="3"/>
  <c r="O3717" i="3"/>
  <c r="P3717" i="3"/>
  <c r="K3718" i="3"/>
  <c r="L3718" i="3" s="1"/>
  <c r="O3718" i="3"/>
  <c r="P3718" i="3"/>
  <c r="K3719" i="3"/>
  <c r="L3719" i="3" s="1"/>
  <c r="O3719" i="3"/>
  <c r="P3719" i="3"/>
  <c r="K3720" i="3"/>
  <c r="L3720" i="3" s="1"/>
  <c r="O3720" i="3"/>
  <c r="P3720" i="3"/>
  <c r="K3721" i="3"/>
  <c r="L3721" i="3" s="1"/>
  <c r="O3721" i="3"/>
  <c r="P3721" i="3"/>
  <c r="K3722" i="3"/>
  <c r="L3722" i="3" s="1"/>
  <c r="O3722" i="3"/>
  <c r="P3722" i="3"/>
  <c r="K3723" i="3"/>
  <c r="L3723" i="3" s="1"/>
  <c r="O3723" i="3"/>
  <c r="P3723" i="3"/>
  <c r="K3724" i="3"/>
  <c r="L3724" i="3" s="1"/>
  <c r="O3724" i="3"/>
  <c r="P3724" i="3"/>
  <c r="K3725" i="3"/>
  <c r="L3725" i="3" s="1"/>
  <c r="O3725" i="3"/>
  <c r="P3725" i="3"/>
  <c r="O3726" i="3"/>
  <c r="P3726" i="3"/>
  <c r="O3727" i="3"/>
  <c r="P3727" i="3"/>
  <c r="K3728" i="3"/>
  <c r="L3728" i="3" s="1"/>
  <c r="O3728" i="3"/>
  <c r="P3728" i="3"/>
  <c r="O3729" i="3"/>
  <c r="P3729" i="3"/>
  <c r="K3730" i="3"/>
  <c r="L3730" i="3" s="1"/>
  <c r="O3730" i="3"/>
  <c r="P3730" i="3"/>
  <c r="K3731" i="3"/>
  <c r="L3731" i="3" s="1"/>
  <c r="O3731" i="3"/>
  <c r="P3731" i="3"/>
  <c r="K3732" i="3"/>
  <c r="L3732" i="3" s="1"/>
  <c r="O3732" i="3"/>
  <c r="P3732" i="3"/>
  <c r="K3733" i="3"/>
  <c r="L3733" i="3" s="1"/>
  <c r="O3733" i="3"/>
  <c r="P3733" i="3"/>
  <c r="K3734" i="3"/>
  <c r="L3734" i="3" s="1"/>
  <c r="O3734" i="3"/>
  <c r="P3734" i="3"/>
  <c r="K3735" i="3"/>
  <c r="L3735" i="3" s="1"/>
  <c r="O3735" i="3"/>
  <c r="P3735" i="3"/>
  <c r="K3736" i="3"/>
  <c r="L3736" i="3" s="1"/>
  <c r="O3736" i="3"/>
  <c r="P3736" i="3"/>
  <c r="K3737" i="3"/>
  <c r="L3737" i="3" s="1"/>
  <c r="O3737" i="3"/>
  <c r="P3737" i="3"/>
  <c r="K3738" i="3"/>
  <c r="L3738" i="3" s="1"/>
  <c r="O3738" i="3"/>
  <c r="P3738" i="3"/>
  <c r="K3739" i="3"/>
  <c r="L3739" i="3" s="1"/>
  <c r="O3739" i="3"/>
  <c r="P3739" i="3"/>
  <c r="O3740" i="3"/>
  <c r="P3740" i="3"/>
  <c r="K3741" i="3"/>
  <c r="L3741" i="3" s="1"/>
  <c r="O3741" i="3"/>
  <c r="P3741" i="3"/>
  <c r="K3742" i="3"/>
  <c r="L3742" i="3" s="1"/>
  <c r="O3742" i="3"/>
  <c r="P3742" i="3"/>
  <c r="K3743" i="3"/>
  <c r="L3743" i="3" s="1"/>
  <c r="O3743" i="3"/>
  <c r="P3743" i="3"/>
  <c r="K3744" i="3"/>
  <c r="L3744" i="3" s="1"/>
  <c r="O3744" i="3"/>
  <c r="P3744" i="3"/>
  <c r="K3745" i="3"/>
  <c r="L3745" i="3" s="1"/>
  <c r="O3745" i="3"/>
  <c r="P3745" i="3"/>
  <c r="K3746" i="3"/>
  <c r="L3746" i="3" s="1"/>
  <c r="O3746" i="3"/>
  <c r="P3746" i="3"/>
  <c r="K3747" i="3"/>
  <c r="L3747" i="3" s="1"/>
  <c r="O3747" i="3"/>
  <c r="P3747" i="3"/>
  <c r="K3748" i="3"/>
  <c r="L3748" i="3" s="1"/>
  <c r="O3748" i="3"/>
  <c r="P3748" i="3"/>
  <c r="K3749" i="3"/>
  <c r="L3749" i="3" s="1"/>
  <c r="O3749" i="3"/>
  <c r="P3749" i="3"/>
  <c r="K3750" i="3"/>
  <c r="L3750" i="3" s="1"/>
  <c r="O3750" i="3"/>
  <c r="P3750" i="3"/>
  <c r="K3751" i="3"/>
  <c r="L3751" i="3" s="1"/>
  <c r="O3751" i="3"/>
  <c r="P3751" i="3"/>
  <c r="K3752" i="3"/>
  <c r="L3752" i="3" s="1"/>
  <c r="O3752" i="3"/>
  <c r="P3752" i="3"/>
  <c r="K3753" i="3"/>
  <c r="L3753" i="3" s="1"/>
  <c r="O3753" i="3"/>
  <c r="P3753" i="3"/>
  <c r="K3754" i="3"/>
  <c r="L3754" i="3" s="1"/>
  <c r="O3754" i="3"/>
  <c r="P3754" i="3"/>
  <c r="K3755" i="3"/>
  <c r="L3755" i="3" s="1"/>
  <c r="O3755" i="3"/>
  <c r="P3755" i="3"/>
  <c r="K3756" i="3"/>
  <c r="L3756" i="3" s="1"/>
  <c r="O3756" i="3"/>
  <c r="P3756" i="3"/>
  <c r="K3757" i="3"/>
  <c r="L3757" i="3" s="1"/>
  <c r="O3757" i="3"/>
  <c r="P3757" i="3"/>
  <c r="K3758" i="3"/>
  <c r="L3758" i="3" s="1"/>
  <c r="O3758" i="3"/>
  <c r="P3758" i="3"/>
  <c r="K3759" i="3"/>
  <c r="L3759" i="3" s="1"/>
  <c r="O3759" i="3"/>
  <c r="P3759" i="3"/>
  <c r="K3760" i="3"/>
  <c r="L3760" i="3" s="1"/>
  <c r="O3760" i="3"/>
  <c r="P3760" i="3"/>
  <c r="K3761" i="3"/>
  <c r="L3761" i="3" s="1"/>
  <c r="O3761" i="3"/>
  <c r="P3761" i="3"/>
  <c r="K3762" i="3"/>
  <c r="L3762" i="3" s="1"/>
  <c r="O3762" i="3"/>
  <c r="P3762" i="3"/>
  <c r="K3763" i="3"/>
  <c r="L3763" i="3" s="1"/>
  <c r="O3763" i="3"/>
  <c r="P3763" i="3"/>
  <c r="K3764" i="3"/>
  <c r="L3764" i="3" s="1"/>
  <c r="O3764" i="3"/>
  <c r="P3764" i="3"/>
  <c r="K3765" i="3"/>
  <c r="L3765" i="3" s="1"/>
  <c r="O3765" i="3"/>
  <c r="P3765" i="3"/>
  <c r="K3766" i="3"/>
  <c r="L3766" i="3" s="1"/>
  <c r="O3766" i="3"/>
  <c r="P3766" i="3"/>
  <c r="K3767" i="3"/>
  <c r="L3767" i="3" s="1"/>
  <c r="O3767" i="3"/>
  <c r="P3767" i="3"/>
  <c r="K3768" i="3"/>
  <c r="L3768" i="3" s="1"/>
  <c r="O3768" i="3"/>
  <c r="P3768" i="3"/>
  <c r="K3769" i="3"/>
  <c r="L3769" i="3" s="1"/>
  <c r="O3769" i="3"/>
  <c r="P3769" i="3"/>
  <c r="K3770" i="3"/>
  <c r="L3770" i="3" s="1"/>
  <c r="O3770" i="3"/>
  <c r="P3770" i="3"/>
  <c r="K3771" i="3"/>
  <c r="L3771" i="3" s="1"/>
  <c r="O3771" i="3"/>
  <c r="P3771" i="3"/>
  <c r="K3772" i="3"/>
  <c r="L3772" i="3" s="1"/>
  <c r="O3772" i="3"/>
  <c r="P3772" i="3"/>
  <c r="K3773" i="3"/>
  <c r="L3773" i="3" s="1"/>
  <c r="O3773" i="3"/>
  <c r="P3773" i="3"/>
  <c r="K3774" i="3"/>
  <c r="L3774" i="3" s="1"/>
  <c r="O3774" i="3"/>
  <c r="P3774" i="3"/>
  <c r="K3775" i="3"/>
  <c r="L3775" i="3" s="1"/>
  <c r="O3775" i="3"/>
  <c r="P3775" i="3"/>
  <c r="K3776" i="3"/>
  <c r="L3776" i="3" s="1"/>
  <c r="O3776" i="3"/>
  <c r="P3776" i="3"/>
  <c r="K3777" i="3"/>
  <c r="L3777" i="3" s="1"/>
  <c r="O3777" i="3"/>
  <c r="P3777" i="3"/>
  <c r="K3778" i="3"/>
  <c r="L3778" i="3" s="1"/>
  <c r="O3778" i="3"/>
  <c r="P3778" i="3"/>
  <c r="K3779" i="3"/>
  <c r="L3779" i="3" s="1"/>
  <c r="O3779" i="3"/>
  <c r="P3779" i="3"/>
  <c r="O3780" i="3"/>
  <c r="P3780" i="3"/>
  <c r="K3781" i="3"/>
  <c r="L3781" i="3" s="1"/>
  <c r="O3781" i="3"/>
  <c r="P3781" i="3"/>
  <c r="K3782" i="3"/>
  <c r="L3782" i="3" s="1"/>
  <c r="O3782" i="3"/>
  <c r="P3782" i="3"/>
  <c r="K3783" i="3"/>
  <c r="L3783" i="3" s="1"/>
  <c r="O3783" i="3"/>
  <c r="P3783" i="3"/>
  <c r="K3784" i="3"/>
  <c r="L3784" i="3" s="1"/>
  <c r="O3784" i="3"/>
  <c r="P3784" i="3"/>
  <c r="K3785" i="3"/>
  <c r="L3785" i="3" s="1"/>
  <c r="O3785" i="3"/>
  <c r="P3785" i="3"/>
  <c r="K3786" i="3"/>
  <c r="L3786" i="3" s="1"/>
  <c r="O3786" i="3"/>
  <c r="P3786" i="3"/>
  <c r="K3787" i="3"/>
  <c r="L3787" i="3" s="1"/>
  <c r="O3787" i="3"/>
  <c r="P3787" i="3"/>
  <c r="K3788" i="3"/>
  <c r="L3788" i="3" s="1"/>
  <c r="O3788" i="3"/>
  <c r="P3788" i="3"/>
  <c r="K3789" i="3"/>
  <c r="L3789" i="3" s="1"/>
  <c r="O3789" i="3"/>
  <c r="P3789" i="3"/>
  <c r="K3790" i="3"/>
  <c r="L3790" i="3" s="1"/>
  <c r="O3790" i="3"/>
  <c r="P3790" i="3"/>
  <c r="K3791" i="3"/>
  <c r="L3791" i="3" s="1"/>
  <c r="O3791" i="3"/>
  <c r="P3791" i="3"/>
  <c r="O3792" i="3"/>
  <c r="P3792" i="3"/>
  <c r="K3793" i="3"/>
  <c r="L3793" i="3" s="1"/>
  <c r="O3793" i="3"/>
  <c r="P3793" i="3"/>
  <c r="K3794" i="3"/>
  <c r="L3794" i="3" s="1"/>
  <c r="O3794" i="3"/>
  <c r="P3794" i="3"/>
  <c r="K3795" i="3"/>
  <c r="L3795" i="3" s="1"/>
  <c r="O3795" i="3"/>
  <c r="P3795" i="3"/>
  <c r="K3796" i="3"/>
  <c r="L3796" i="3" s="1"/>
  <c r="O3796" i="3"/>
  <c r="P3796" i="3"/>
  <c r="K3797" i="3"/>
  <c r="L3797" i="3" s="1"/>
  <c r="O3797" i="3"/>
  <c r="P3797" i="3"/>
  <c r="K3798" i="3"/>
  <c r="L3798" i="3" s="1"/>
  <c r="O3798" i="3"/>
  <c r="P3798" i="3"/>
  <c r="K3799" i="3"/>
  <c r="L3799" i="3" s="1"/>
  <c r="O3799" i="3"/>
  <c r="P3799" i="3"/>
  <c r="K3800" i="3"/>
  <c r="L3800" i="3" s="1"/>
  <c r="O3800" i="3"/>
  <c r="P3800" i="3"/>
  <c r="K3801" i="3"/>
  <c r="L3801" i="3" s="1"/>
  <c r="O3801" i="3"/>
  <c r="P3801" i="3"/>
  <c r="K3802" i="3"/>
  <c r="L3802" i="3" s="1"/>
  <c r="O3802" i="3"/>
  <c r="P3802" i="3"/>
  <c r="K3803" i="3"/>
  <c r="L3803" i="3" s="1"/>
  <c r="O3803" i="3"/>
  <c r="P3803" i="3"/>
  <c r="K3804" i="3"/>
  <c r="L3804" i="3" s="1"/>
  <c r="O3804" i="3"/>
  <c r="P3804" i="3"/>
  <c r="K3805" i="3"/>
  <c r="L3805" i="3" s="1"/>
  <c r="O3805" i="3"/>
  <c r="P3805" i="3"/>
  <c r="K3806" i="3"/>
  <c r="L3806" i="3" s="1"/>
  <c r="O3806" i="3"/>
  <c r="P3806" i="3"/>
  <c r="K3807" i="3"/>
  <c r="L3807" i="3" s="1"/>
  <c r="O3807" i="3"/>
  <c r="P3807" i="3"/>
  <c r="K3808" i="3"/>
  <c r="L3808" i="3" s="1"/>
  <c r="O3808" i="3"/>
  <c r="P3808" i="3"/>
  <c r="K3809" i="3"/>
  <c r="L3809" i="3" s="1"/>
  <c r="O3809" i="3"/>
  <c r="P3809" i="3"/>
  <c r="K3810" i="3"/>
  <c r="L3810" i="3" s="1"/>
  <c r="O3810" i="3"/>
  <c r="P3810" i="3"/>
  <c r="K3811" i="3"/>
  <c r="L3811" i="3" s="1"/>
  <c r="O3811" i="3"/>
  <c r="P3811" i="3"/>
  <c r="K3812" i="3"/>
  <c r="L3812" i="3" s="1"/>
  <c r="O3812" i="3"/>
  <c r="P3812" i="3"/>
  <c r="K3813" i="3"/>
  <c r="L3813" i="3" s="1"/>
  <c r="O3813" i="3"/>
  <c r="P3813" i="3"/>
  <c r="K3814" i="3"/>
  <c r="L3814" i="3" s="1"/>
  <c r="O3814" i="3"/>
  <c r="P3814" i="3"/>
  <c r="K3815" i="3"/>
  <c r="L3815" i="3" s="1"/>
  <c r="O3815" i="3"/>
  <c r="P3815" i="3"/>
  <c r="K3816" i="3"/>
  <c r="L3816" i="3" s="1"/>
  <c r="O3816" i="3"/>
  <c r="P3816" i="3"/>
  <c r="K3817" i="3"/>
  <c r="L3817" i="3" s="1"/>
  <c r="O3817" i="3"/>
  <c r="P3817" i="3"/>
  <c r="O3818" i="3"/>
  <c r="P3818" i="3"/>
  <c r="K3819" i="3"/>
  <c r="L3819" i="3" s="1"/>
  <c r="O3819" i="3"/>
  <c r="P3819" i="3"/>
  <c r="K3820" i="3"/>
  <c r="L3820" i="3" s="1"/>
  <c r="O3820" i="3"/>
  <c r="P3820" i="3"/>
  <c r="K3821" i="3"/>
  <c r="L3821" i="3" s="1"/>
  <c r="O3821" i="3"/>
  <c r="P3821" i="3"/>
  <c r="K3822" i="3"/>
  <c r="L3822" i="3" s="1"/>
  <c r="O3822" i="3"/>
  <c r="P3822" i="3"/>
  <c r="K3823" i="3"/>
  <c r="L3823" i="3" s="1"/>
  <c r="O3823" i="3"/>
  <c r="P3823" i="3"/>
  <c r="K3824" i="3"/>
  <c r="L3824" i="3" s="1"/>
  <c r="O3824" i="3"/>
  <c r="P3824" i="3"/>
  <c r="K3825" i="3"/>
  <c r="L3825" i="3" s="1"/>
  <c r="O3825" i="3"/>
  <c r="P3825" i="3"/>
  <c r="K3826" i="3"/>
  <c r="L3826" i="3" s="1"/>
  <c r="O3826" i="3"/>
  <c r="P3826" i="3"/>
  <c r="K3827" i="3"/>
  <c r="L3827" i="3" s="1"/>
  <c r="O3827" i="3"/>
  <c r="P3827" i="3"/>
  <c r="K3828" i="3"/>
  <c r="L3828" i="3" s="1"/>
  <c r="O3828" i="3"/>
  <c r="P3828" i="3"/>
  <c r="K3829" i="3"/>
  <c r="L3829" i="3" s="1"/>
  <c r="O3829" i="3"/>
  <c r="P3829" i="3"/>
  <c r="K3830" i="3"/>
  <c r="L3830" i="3" s="1"/>
  <c r="O3830" i="3"/>
  <c r="P3830" i="3"/>
  <c r="K3831" i="3"/>
  <c r="L3831" i="3" s="1"/>
  <c r="O3831" i="3"/>
  <c r="P3831" i="3"/>
  <c r="K3832" i="3"/>
  <c r="L3832" i="3" s="1"/>
  <c r="O3832" i="3"/>
  <c r="P3832" i="3"/>
  <c r="K3833" i="3"/>
  <c r="L3833" i="3" s="1"/>
  <c r="O3833" i="3"/>
  <c r="P3833" i="3"/>
  <c r="K3834" i="3"/>
  <c r="L3834" i="3" s="1"/>
  <c r="O3834" i="3"/>
  <c r="P3834" i="3"/>
  <c r="K3835" i="3"/>
  <c r="L3835" i="3" s="1"/>
  <c r="O3835" i="3"/>
  <c r="P3835" i="3"/>
  <c r="K3836" i="3"/>
  <c r="L3836" i="3" s="1"/>
  <c r="O3836" i="3"/>
  <c r="P3836" i="3"/>
  <c r="K3837" i="3"/>
  <c r="L3837" i="3" s="1"/>
  <c r="O3837" i="3"/>
  <c r="P3837" i="3"/>
  <c r="K3838" i="3"/>
  <c r="L3838" i="3" s="1"/>
  <c r="O3838" i="3"/>
  <c r="P3838" i="3"/>
  <c r="K3839" i="3"/>
  <c r="L3839" i="3" s="1"/>
  <c r="O3839" i="3"/>
  <c r="P3839" i="3"/>
  <c r="K3840" i="3"/>
  <c r="L3840" i="3" s="1"/>
  <c r="O3840" i="3"/>
  <c r="P3840" i="3"/>
  <c r="O3841" i="3"/>
  <c r="P3841" i="3"/>
  <c r="K3842" i="3"/>
  <c r="L3842" i="3" s="1"/>
  <c r="O3842" i="3"/>
  <c r="P3842" i="3"/>
  <c r="K3843" i="3"/>
  <c r="L3843" i="3" s="1"/>
  <c r="O3843" i="3"/>
  <c r="P3843" i="3"/>
  <c r="K3844" i="3"/>
  <c r="L3844" i="3" s="1"/>
  <c r="O3844" i="3"/>
  <c r="P3844" i="3"/>
  <c r="K3845" i="3"/>
  <c r="L3845" i="3" s="1"/>
  <c r="O3845" i="3"/>
  <c r="P3845" i="3"/>
  <c r="K3846" i="3"/>
  <c r="L3846" i="3" s="1"/>
  <c r="O3846" i="3"/>
  <c r="P3846" i="3"/>
  <c r="K3847" i="3"/>
  <c r="L3847" i="3" s="1"/>
  <c r="O3847" i="3"/>
  <c r="P3847" i="3"/>
  <c r="K3848" i="3"/>
  <c r="L3848" i="3" s="1"/>
  <c r="O3848" i="3"/>
  <c r="P3848" i="3"/>
  <c r="K3849" i="3"/>
  <c r="L3849" i="3" s="1"/>
  <c r="O3849" i="3"/>
  <c r="P3849" i="3"/>
  <c r="K3850" i="3"/>
  <c r="L3850" i="3" s="1"/>
  <c r="O3850" i="3"/>
  <c r="P3850" i="3"/>
  <c r="K3851" i="3"/>
  <c r="L3851" i="3" s="1"/>
  <c r="O3851" i="3"/>
  <c r="P3851" i="3"/>
  <c r="K3852" i="3"/>
  <c r="L3852" i="3" s="1"/>
  <c r="O3852" i="3"/>
  <c r="P3852" i="3"/>
  <c r="K3853" i="3"/>
  <c r="L3853" i="3" s="1"/>
  <c r="O3853" i="3"/>
  <c r="P3853" i="3"/>
  <c r="K3854" i="3"/>
  <c r="L3854" i="3" s="1"/>
  <c r="O3854" i="3"/>
  <c r="P3854" i="3"/>
  <c r="O3855" i="3"/>
  <c r="P3855" i="3"/>
  <c r="K3856" i="3"/>
  <c r="L3856" i="3" s="1"/>
  <c r="O3856" i="3"/>
  <c r="P3856" i="3"/>
  <c r="K3857" i="3"/>
  <c r="L3857" i="3" s="1"/>
  <c r="O3857" i="3"/>
  <c r="P3857" i="3"/>
  <c r="K3858" i="3"/>
  <c r="L3858" i="3" s="1"/>
  <c r="O3858" i="3"/>
  <c r="P3858" i="3"/>
  <c r="K3859" i="3"/>
  <c r="L3859" i="3" s="1"/>
  <c r="O3859" i="3"/>
  <c r="P3859" i="3"/>
  <c r="K3860" i="3"/>
  <c r="L3860" i="3" s="1"/>
  <c r="O3860" i="3"/>
  <c r="P3860" i="3"/>
  <c r="K3861" i="3"/>
  <c r="L3861" i="3" s="1"/>
  <c r="O3861" i="3"/>
  <c r="P3861" i="3"/>
  <c r="K3862" i="3"/>
  <c r="L3862" i="3" s="1"/>
  <c r="O3862" i="3"/>
  <c r="P3862" i="3"/>
  <c r="K3863" i="3"/>
  <c r="L3863" i="3" s="1"/>
  <c r="O3863" i="3"/>
  <c r="P3863" i="3"/>
  <c r="K3864" i="3"/>
  <c r="L3864" i="3" s="1"/>
  <c r="O3864" i="3"/>
  <c r="P3864" i="3"/>
  <c r="K3865" i="3"/>
  <c r="L3865" i="3" s="1"/>
  <c r="O3865" i="3"/>
  <c r="P3865" i="3"/>
  <c r="K3866" i="3"/>
  <c r="L3866" i="3" s="1"/>
  <c r="O3866" i="3"/>
  <c r="P3866" i="3"/>
  <c r="K3867" i="3"/>
  <c r="L3867" i="3" s="1"/>
  <c r="O3867" i="3"/>
  <c r="P3867" i="3"/>
  <c r="K3868" i="3"/>
  <c r="L3868" i="3" s="1"/>
  <c r="O3868" i="3"/>
  <c r="P3868" i="3"/>
  <c r="K3869" i="3"/>
  <c r="L3869" i="3" s="1"/>
  <c r="O3869" i="3"/>
  <c r="P3869" i="3"/>
  <c r="K3870" i="3"/>
  <c r="L3870" i="3" s="1"/>
  <c r="O3870" i="3"/>
  <c r="P3870" i="3"/>
  <c r="K3871" i="3"/>
  <c r="L3871" i="3" s="1"/>
  <c r="O3871" i="3"/>
  <c r="P3871" i="3"/>
  <c r="K3872" i="3"/>
  <c r="L3872" i="3" s="1"/>
  <c r="O3872" i="3"/>
  <c r="P3872" i="3"/>
  <c r="K3873" i="3"/>
  <c r="L3873" i="3" s="1"/>
  <c r="O3873" i="3"/>
  <c r="P3873" i="3"/>
  <c r="K3874" i="3"/>
  <c r="L3874" i="3" s="1"/>
  <c r="O3874" i="3"/>
  <c r="P3874" i="3"/>
  <c r="K3875" i="3"/>
  <c r="L3875" i="3" s="1"/>
  <c r="O3875" i="3"/>
  <c r="P3875" i="3"/>
  <c r="O3876" i="3"/>
  <c r="P3876" i="3"/>
  <c r="K3877" i="3"/>
  <c r="L3877" i="3" s="1"/>
  <c r="O3877" i="3"/>
  <c r="P3877" i="3"/>
  <c r="K3878" i="3"/>
  <c r="L3878" i="3" s="1"/>
  <c r="O3878" i="3"/>
  <c r="P3878" i="3"/>
  <c r="K3879" i="3"/>
  <c r="L3879" i="3" s="1"/>
  <c r="O3879" i="3"/>
  <c r="P3879" i="3"/>
  <c r="K3880" i="3"/>
  <c r="L3880" i="3" s="1"/>
  <c r="O3880" i="3"/>
  <c r="P3880" i="3"/>
  <c r="K3881" i="3"/>
  <c r="L3881" i="3" s="1"/>
  <c r="O3881" i="3"/>
  <c r="P3881" i="3"/>
  <c r="O3882" i="3"/>
  <c r="P3882" i="3"/>
  <c r="K3883" i="3"/>
  <c r="L3883" i="3" s="1"/>
  <c r="O3883" i="3"/>
  <c r="P3883" i="3"/>
  <c r="K3884" i="3"/>
  <c r="L3884" i="3" s="1"/>
  <c r="O3884" i="3"/>
  <c r="P3884" i="3"/>
  <c r="K3885" i="3"/>
  <c r="L3885" i="3" s="1"/>
  <c r="O3885" i="3"/>
  <c r="P3885" i="3"/>
  <c r="K3886" i="3"/>
  <c r="L3886" i="3" s="1"/>
  <c r="O3886" i="3"/>
  <c r="P3886" i="3"/>
  <c r="K3887" i="3"/>
  <c r="L3887" i="3" s="1"/>
  <c r="O3887" i="3"/>
  <c r="P3887" i="3"/>
  <c r="K3888" i="3"/>
  <c r="L3888" i="3" s="1"/>
  <c r="O3888" i="3"/>
  <c r="P3888" i="3"/>
  <c r="K3889" i="3"/>
  <c r="L3889" i="3" s="1"/>
  <c r="O3889" i="3"/>
  <c r="P3889" i="3"/>
  <c r="K3890" i="3"/>
  <c r="L3890" i="3" s="1"/>
  <c r="O3890" i="3"/>
  <c r="P3890" i="3"/>
  <c r="K3891" i="3"/>
  <c r="L3891" i="3" s="1"/>
  <c r="O3891" i="3"/>
  <c r="P3891" i="3"/>
  <c r="K3892" i="3"/>
  <c r="L3892" i="3" s="1"/>
  <c r="O3892" i="3"/>
  <c r="P3892" i="3"/>
  <c r="K3893" i="3"/>
  <c r="L3893" i="3" s="1"/>
  <c r="O3893" i="3"/>
  <c r="P3893" i="3"/>
  <c r="K3894" i="3"/>
  <c r="L3894" i="3" s="1"/>
  <c r="O3894" i="3"/>
  <c r="P3894" i="3"/>
  <c r="K3895" i="3"/>
  <c r="L3895" i="3" s="1"/>
  <c r="O3895" i="3"/>
  <c r="P3895" i="3"/>
  <c r="K3896" i="3"/>
  <c r="L3896" i="3" s="1"/>
  <c r="O3896" i="3"/>
  <c r="P3896" i="3"/>
  <c r="K3897" i="3"/>
  <c r="L3897" i="3" s="1"/>
  <c r="O3897" i="3"/>
  <c r="P3897" i="3"/>
  <c r="K3898" i="3"/>
  <c r="L3898" i="3" s="1"/>
  <c r="O3898" i="3"/>
  <c r="P3898" i="3"/>
  <c r="K3899" i="3"/>
  <c r="L3899" i="3" s="1"/>
  <c r="O3899" i="3"/>
  <c r="P3899" i="3"/>
  <c r="K3900" i="3"/>
  <c r="L3900" i="3" s="1"/>
  <c r="O3900" i="3"/>
  <c r="P3900" i="3"/>
  <c r="K3901" i="3"/>
  <c r="L3901" i="3" s="1"/>
  <c r="O3901" i="3"/>
  <c r="P3901" i="3"/>
  <c r="K3902" i="3"/>
  <c r="L3902" i="3" s="1"/>
  <c r="O3902" i="3"/>
  <c r="P3902" i="3"/>
  <c r="K3903" i="3"/>
  <c r="L3903" i="3" s="1"/>
  <c r="O3903" i="3"/>
  <c r="P3903" i="3"/>
  <c r="K3904" i="3"/>
  <c r="L3904" i="3" s="1"/>
  <c r="O3904" i="3"/>
  <c r="P3904" i="3"/>
  <c r="K3905" i="3"/>
  <c r="L3905" i="3" s="1"/>
  <c r="O3905" i="3"/>
  <c r="P3905" i="3"/>
  <c r="K3906" i="3"/>
  <c r="L3906" i="3" s="1"/>
  <c r="O3906" i="3"/>
  <c r="P3906" i="3"/>
  <c r="K3907" i="3"/>
  <c r="L3907" i="3" s="1"/>
  <c r="O3907" i="3"/>
  <c r="P3907" i="3"/>
  <c r="K3908" i="3"/>
  <c r="L3908" i="3" s="1"/>
  <c r="O3908" i="3"/>
  <c r="P3908" i="3"/>
  <c r="K3909" i="3"/>
  <c r="L3909" i="3" s="1"/>
  <c r="O3909" i="3"/>
  <c r="P3909" i="3"/>
  <c r="K3910" i="3"/>
  <c r="L3910" i="3" s="1"/>
  <c r="O3910" i="3"/>
  <c r="P3910" i="3"/>
  <c r="K3911" i="3"/>
  <c r="L3911" i="3" s="1"/>
  <c r="O3911" i="3"/>
  <c r="P3911" i="3"/>
  <c r="K3912" i="3"/>
  <c r="L3912" i="3" s="1"/>
  <c r="O3912" i="3"/>
  <c r="P3912" i="3"/>
  <c r="K3913" i="3"/>
  <c r="L3913" i="3" s="1"/>
  <c r="O3913" i="3"/>
  <c r="P3913" i="3"/>
  <c r="K3914" i="3"/>
  <c r="L3914" i="3" s="1"/>
  <c r="O3914" i="3"/>
  <c r="P3914" i="3"/>
  <c r="K3915" i="3"/>
  <c r="L3915" i="3" s="1"/>
  <c r="O3915" i="3"/>
  <c r="P3915" i="3"/>
  <c r="K3916" i="3"/>
  <c r="L3916" i="3" s="1"/>
  <c r="O3916" i="3"/>
  <c r="P3916" i="3"/>
  <c r="K3917" i="3"/>
  <c r="L3917" i="3" s="1"/>
  <c r="O3917" i="3"/>
  <c r="P3917" i="3"/>
  <c r="K3918" i="3"/>
  <c r="L3918" i="3" s="1"/>
  <c r="O3918" i="3"/>
  <c r="P3918" i="3"/>
  <c r="K3919" i="3"/>
  <c r="L3919" i="3" s="1"/>
  <c r="O3919" i="3"/>
  <c r="P3919" i="3"/>
  <c r="K3920" i="3"/>
  <c r="L3920" i="3" s="1"/>
  <c r="O3920" i="3"/>
  <c r="P3920" i="3"/>
  <c r="K3921" i="3"/>
  <c r="L3921" i="3" s="1"/>
  <c r="O3921" i="3"/>
  <c r="P3921" i="3"/>
  <c r="K3922" i="3"/>
  <c r="L3922" i="3" s="1"/>
  <c r="O3922" i="3"/>
  <c r="P3922" i="3"/>
  <c r="K3923" i="3"/>
  <c r="L3923" i="3" s="1"/>
  <c r="O3923" i="3"/>
  <c r="P3923" i="3"/>
  <c r="K3924" i="3"/>
  <c r="L3924" i="3" s="1"/>
  <c r="O3924" i="3"/>
  <c r="P3924" i="3"/>
  <c r="K3925" i="3"/>
  <c r="L3925" i="3" s="1"/>
  <c r="O3925" i="3"/>
  <c r="P3925" i="3"/>
  <c r="K3926" i="3"/>
  <c r="L3926" i="3" s="1"/>
  <c r="O3926" i="3"/>
  <c r="P3926" i="3"/>
  <c r="K3927" i="3"/>
  <c r="L3927" i="3" s="1"/>
  <c r="O3927" i="3"/>
  <c r="P3927" i="3"/>
  <c r="K3928" i="3"/>
  <c r="L3928" i="3" s="1"/>
  <c r="O3928" i="3"/>
  <c r="P3928" i="3"/>
  <c r="K3929" i="3"/>
  <c r="L3929" i="3" s="1"/>
  <c r="O3929" i="3"/>
  <c r="P3929" i="3"/>
  <c r="K3930" i="3"/>
  <c r="L3930" i="3" s="1"/>
  <c r="O3930" i="3"/>
  <c r="P3930" i="3"/>
  <c r="K3931" i="3"/>
  <c r="L3931" i="3" s="1"/>
  <c r="O3931" i="3"/>
  <c r="P3931" i="3"/>
  <c r="K3932" i="3"/>
  <c r="L3932" i="3" s="1"/>
  <c r="O3932" i="3"/>
  <c r="P3932" i="3"/>
  <c r="K3933" i="3"/>
  <c r="L3933" i="3" s="1"/>
  <c r="O3933" i="3"/>
  <c r="P3933" i="3"/>
  <c r="K3934" i="3"/>
  <c r="L3934" i="3" s="1"/>
  <c r="O3934" i="3"/>
  <c r="P3934" i="3"/>
  <c r="K3935" i="3"/>
  <c r="L3935" i="3" s="1"/>
  <c r="O3935" i="3"/>
  <c r="P3935" i="3"/>
  <c r="K3936" i="3"/>
  <c r="L3936" i="3" s="1"/>
  <c r="O3936" i="3"/>
  <c r="P3936" i="3"/>
  <c r="K3937" i="3"/>
  <c r="L3937" i="3" s="1"/>
  <c r="O3937" i="3"/>
  <c r="P3937" i="3"/>
  <c r="K3938" i="3"/>
  <c r="L3938" i="3" s="1"/>
  <c r="O3938" i="3"/>
  <c r="P3938" i="3"/>
  <c r="K3939" i="3"/>
  <c r="L3939" i="3" s="1"/>
  <c r="O3939" i="3"/>
  <c r="P3939" i="3"/>
  <c r="K3940" i="3"/>
  <c r="L3940" i="3" s="1"/>
  <c r="O3940" i="3"/>
  <c r="P3940" i="3"/>
  <c r="K3941" i="3"/>
  <c r="L3941" i="3" s="1"/>
  <c r="O3941" i="3"/>
  <c r="P3941" i="3"/>
  <c r="K3942" i="3"/>
  <c r="L3942" i="3" s="1"/>
  <c r="O3942" i="3"/>
  <c r="P3942" i="3"/>
  <c r="K3943" i="3"/>
  <c r="L3943" i="3" s="1"/>
  <c r="O3943" i="3"/>
  <c r="P3943" i="3"/>
  <c r="K3944" i="3"/>
  <c r="L3944" i="3" s="1"/>
  <c r="O3944" i="3"/>
  <c r="P3944" i="3"/>
  <c r="K3945" i="3"/>
  <c r="L3945" i="3" s="1"/>
  <c r="O3945" i="3"/>
  <c r="P3945" i="3"/>
  <c r="O3946" i="3"/>
  <c r="P3946" i="3"/>
  <c r="K3947" i="3"/>
  <c r="L3947" i="3" s="1"/>
  <c r="O3947" i="3"/>
  <c r="P3947" i="3"/>
  <c r="K3948" i="3"/>
  <c r="L3948" i="3" s="1"/>
  <c r="O3948" i="3"/>
  <c r="P3948" i="3"/>
  <c r="K3949" i="3"/>
  <c r="L3949" i="3" s="1"/>
  <c r="O3949" i="3"/>
  <c r="P3949" i="3"/>
  <c r="K3950" i="3"/>
  <c r="L3950" i="3" s="1"/>
  <c r="O3950" i="3"/>
  <c r="P3950" i="3"/>
  <c r="K3951" i="3"/>
  <c r="L3951" i="3" s="1"/>
  <c r="O3951" i="3"/>
  <c r="P3951" i="3"/>
  <c r="K3952" i="3"/>
  <c r="L3952" i="3" s="1"/>
  <c r="O3952" i="3"/>
  <c r="P3952" i="3"/>
  <c r="K3953" i="3"/>
  <c r="L3953" i="3" s="1"/>
  <c r="O3953" i="3"/>
  <c r="P3953" i="3"/>
  <c r="K3954" i="3"/>
  <c r="L3954" i="3" s="1"/>
  <c r="O3954" i="3"/>
  <c r="P3954" i="3"/>
  <c r="K3955" i="3"/>
  <c r="L3955" i="3" s="1"/>
  <c r="O3955" i="3"/>
  <c r="P3955" i="3"/>
  <c r="K3956" i="3"/>
  <c r="L3956" i="3" s="1"/>
  <c r="O3956" i="3"/>
  <c r="P3956" i="3"/>
  <c r="K3957" i="3"/>
  <c r="L3957" i="3" s="1"/>
  <c r="O3957" i="3"/>
  <c r="P3957" i="3"/>
  <c r="K3958" i="3"/>
  <c r="L3958" i="3" s="1"/>
  <c r="O3958" i="3"/>
  <c r="P3958" i="3"/>
  <c r="K3959" i="3"/>
  <c r="L3959" i="3" s="1"/>
  <c r="O3959" i="3"/>
  <c r="P3959" i="3"/>
  <c r="K3960" i="3"/>
  <c r="L3960" i="3" s="1"/>
  <c r="O3960" i="3"/>
  <c r="P3960" i="3"/>
  <c r="K3961" i="3"/>
  <c r="L3961" i="3" s="1"/>
  <c r="O3961" i="3"/>
  <c r="P3961" i="3"/>
  <c r="K3962" i="3"/>
  <c r="L3962" i="3" s="1"/>
  <c r="O3962" i="3"/>
  <c r="P3962" i="3"/>
  <c r="K3963" i="3"/>
  <c r="L3963" i="3" s="1"/>
  <c r="O3963" i="3"/>
  <c r="P3963" i="3"/>
  <c r="K3964" i="3"/>
  <c r="L3964" i="3" s="1"/>
  <c r="O3964" i="3"/>
  <c r="P3964" i="3"/>
  <c r="K3965" i="3"/>
  <c r="L3965" i="3" s="1"/>
  <c r="O3965" i="3"/>
  <c r="P3965" i="3"/>
  <c r="K3966" i="3"/>
  <c r="L3966" i="3" s="1"/>
  <c r="O3966" i="3"/>
  <c r="P3966" i="3"/>
  <c r="K3967" i="3"/>
  <c r="L3967" i="3" s="1"/>
  <c r="O3967" i="3"/>
  <c r="P3967" i="3"/>
  <c r="K3968" i="3"/>
  <c r="L3968" i="3" s="1"/>
  <c r="O3968" i="3"/>
  <c r="P3968" i="3"/>
  <c r="K3969" i="3"/>
  <c r="L3969" i="3" s="1"/>
  <c r="O3969" i="3"/>
  <c r="P3969" i="3"/>
  <c r="K3970" i="3"/>
  <c r="L3970" i="3" s="1"/>
  <c r="O3970" i="3"/>
  <c r="P3970" i="3"/>
  <c r="K3971" i="3"/>
  <c r="L3971" i="3" s="1"/>
  <c r="O3971" i="3"/>
  <c r="P3971" i="3"/>
  <c r="K3972" i="3"/>
  <c r="L3972" i="3" s="1"/>
  <c r="O3972" i="3"/>
  <c r="P3972" i="3"/>
  <c r="K3973" i="3"/>
  <c r="L3973" i="3" s="1"/>
  <c r="O3973" i="3"/>
  <c r="P3973" i="3"/>
  <c r="K3974" i="3"/>
  <c r="L3974" i="3" s="1"/>
  <c r="O3974" i="3"/>
  <c r="P3974" i="3"/>
  <c r="K3975" i="3"/>
  <c r="L3975" i="3" s="1"/>
  <c r="O3975" i="3"/>
  <c r="P3975" i="3"/>
  <c r="K3976" i="3"/>
  <c r="L3976" i="3" s="1"/>
  <c r="O3976" i="3"/>
  <c r="P3976" i="3"/>
  <c r="K3977" i="3"/>
  <c r="L3977" i="3" s="1"/>
  <c r="O3977" i="3"/>
  <c r="P3977" i="3"/>
  <c r="K3978" i="3"/>
  <c r="L3978" i="3" s="1"/>
  <c r="O3978" i="3"/>
  <c r="P3978" i="3"/>
  <c r="K3979" i="3"/>
  <c r="L3979" i="3" s="1"/>
  <c r="O3979" i="3"/>
  <c r="P3979" i="3"/>
  <c r="K3980" i="3"/>
  <c r="L3980" i="3" s="1"/>
  <c r="O3980" i="3"/>
  <c r="P3980" i="3"/>
  <c r="K3981" i="3"/>
  <c r="L3981" i="3" s="1"/>
  <c r="O3981" i="3"/>
  <c r="P3981" i="3"/>
  <c r="K3982" i="3"/>
  <c r="L3982" i="3" s="1"/>
  <c r="O3982" i="3"/>
  <c r="P3982" i="3"/>
  <c r="K3983" i="3"/>
  <c r="L3983" i="3" s="1"/>
  <c r="O3983" i="3"/>
  <c r="P3983" i="3"/>
  <c r="K3984" i="3"/>
  <c r="L3984" i="3" s="1"/>
  <c r="O3984" i="3"/>
  <c r="P3984" i="3"/>
  <c r="K3985" i="3"/>
  <c r="L3985" i="3" s="1"/>
  <c r="O3985" i="3"/>
  <c r="P3985" i="3"/>
  <c r="K3986" i="3"/>
  <c r="L3986" i="3" s="1"/>
  <c r="O3986" i="3"/>
  <c r="P3986" i="3"/>
  <c r="K3987" i="3"/>
  <c r="L3987" i="3" s="1"/>
  <c r="O3987" i="3"/>
  <c r="P3987" i="3"/>
  <c r="K3988" i="3"/>
  <c r="L3988" i="3" s="1"/>
  <c r="O3988" i="3"/>
  <c r="P3988" i="3"/>
  <c r="K3989" i="3"/>
  <c r="L3989" i="3" s="1"/>
  <c r="O3989" i="3"/>
  <c r="P3989" i="3"/>
  <c r="K3990" i="3"/>
  <c r="L3990" i="3" s="1"/>
  <c r="O3990" i="3"/>
  <c r="P3990" i="3"/>
  <c r="K3991" i="3"/>
  <c r="L3991" i="3" s="1"/>
  <c r="O3991" i="3"/>
  <c r="P3991" i="3"/>
  <c r="K3992" i="3"/>
  <c r="L3992" i="3" s="1"/>
  <c r="O3992" i="3"/>
  <c r="P3992" i="3"/>
  <c r="K3993" i="3"/>
  <c r="L3993" i="3" s="1"/>
  <c r="O3993" i="3"/>
  <c r="P3993" i="3"/>
  <c r="K3994" i="3"/>
  <c r="L3994" i="3" s="1"/>
  <c r="O3994" i="3"/>
  <c r="P3994" i="3"/>
  <c r="K3995" i="3"/>
  <c r="L3995" i="3" s="1"/>
  <c r="O3995" i="3"/>
  <c r="P3995" i="3"/>
  <c r="K3996" i="3"/>
  <c r="L3996" i="3" s="1"/>
  <c r="O3996" i="3"/>
  <c r="P3996" i="3"/>
  <c r="K3997" i="3"/>
  <c r="L3997" i="3" s="1"/>
  <c r="O3997" i="3"/>
  <c r="P3997" i="3"/>
  <c r="K3998" i="3"/>
  <c r="L3998" i="3" s="1"/>
  <c r="O3998" i="3"/>
  <c r="P3998" i="3"/>
  <c r="K3999" i="3"/>
  <c r="L3999" i="3" s="1"/>
  <c r="O3999" i="3"/>
  <c r="P3999" i="3"/>
  <c r="K4000" i="3"/>
  <c r="L4000" i="3" s="1"/>
  <c r="O4000" i="3"/>
  <c r="P4000" i="3"/>
  <c r="K4001" i="3"/>
  <c r="L4001" i="3" s="1"/>
  <c r="O4001" i="3"/>
  <c r="P4001" i="3"/>
  <c r="K4002" i="3"/>
  <c r="L4002" i="3" s="1"/>
  <c r="O4002" i="3"/>
  <c r="P4002" i="3"/>
  <c r="K4003" i="3"/>
  <c r="L4003" i="3" s="1"/>
  <c r="O4003" i="3"/>
  <c r="P4003" i="3"/>
  <c r="K4004" i="3"/>
  <c r="L4004" i="3" s="1"/>
  <c r="O4004" i="3"/>
  <c r="P4004" i="3"/>
  <c r="K4005" i="3"/>
  <c r="L4005" i="3" s="1"/>
  <c r="O4005" i="3"/>
  <c r="P4005" i="3"/>
  <c r="K4006" i="3"/>
  <c r="L4006" i="3" s="1"/>
  <c r="O4006" i="3"/>
  <c r="P4006" i="3"/>
  <c r="K4007" i="3"/>
  <c r="L4007" i="3" s="1"/>
  <c r="O4007" i="3"/>
  <c r="P4007" i="3"/>
  <c r="K4008" i="3"/>
  <c r="L4008" i="3" s="1"/>
  <c r="O4008" i="3"/>
  <c r="P4008" i="3"/>
  <c r="K4009" i="3"/>
  <c r="L4009" i="3" s="1"/>
  <c r="O4009" i="3"/>
  <c r="P4009" i="3"/>
  <c r="K4010" i="3"/>
  <c r="L4010" i="3" s="1"/>
  <c r="O4010" i="3"/>
  <c r="P4010" i="3"/>
  <c r="K4011" i="3"/>
  <c r="L4011" i="3" s="1"/>
  <c r="O4011" i="3"/>
  <c r="P4011" i="3"/>
  <c r="K4012" i="3"/>
  <c r="L4012" i="3" s="1"/>
  <c r="O4012" i="3"/>
  <c r="P4012" i="3"/>
  <c r="K4013" i="3"/>
  <c r="L4013" i="3" s="1"/>
  <c r="O4013" i="3"/>
  <c r="P4013" i="3"/>
  <c r="K4014" i="3"/>
  <c r="L4014" i="3" s="1"/>
  <c r="O4014" i="3"/>
  <c r="P4014" i="3"/>
  <c r="K4015" i="3"/>
  <c r="L4015" i="3" s="1"/>
  <c r="O4015" i="3"/>
  <c r="P4015" i="3"/>
  <c r="K4016" i="3"/>
  <c r="L4016" i="3" s="1"/>
  <c r="O4016" i="3"/>
  <c r="P4016" i="3"/>
  <c r="K4017" i="3"/>
  <c r="L4017" i="3" s="1"/>
  <c r="O4017" i="3"/>
  <c r="P4017" i="3"/>
  <c r="K4018" i="3"/>
  <c r="L4018" i="3" s="1"/>
  <c r="O4018" i="3"/>
  <c r="P4018" i="3"/>
  <c r="K4019" i="3"/>
  <c r="L4019" i="3" s="1"/>
  <c r="O4019" i="3"/>
  <c r="P4019" i="3"/>
  <c r="K4020" i="3"/>
  <c r="L4020" i="3" s="1"/>
  <c r="O4020" i="3"/>
  <c r="P4020" i="3"/>
  <c r="K4021" i="3"/>
  <c r="L4021" i="3" s="1"/>
  <c r="O4021" i="3"/>
  <c r="P4021" i="3"/>
  <c r="K4022" i="3"/>
  <c r="L4022" i="3" s="1"/>
  <c r="O4022" i="3"/>
  <c r="P4022" i="3"/>
  <c r="K4023" i="3"/>
  <c r="L4023" i="3" s="1"/>
  <c r="O4023" i="3"/>
  <c r="P4023" i="3"/>
  <c r="K4024" i="3"/>
  <c r="L4024" i="3" s="1"/>
  <c r="O4024" i="3"/>
  <c r="P4024" i="3"/>
  <c r="K4025" i="3"/>
  <c r="L4025" i="3" s="1"/>
  <c r="O4025" i="3"/>
  <c r="P4025" i="3"/>
  <c r="K4026" i="3"/>
  <c r="L4026" i="3" s="1"/>
  <c r="O4026" i="3"/>
  <c r="P4026" i="3"/>
  <c r="K4027" i="3"/>
  <c r="L4027" i="3" s="1"/>
  <c r="O4027" i="3"/>
  <c r="P4027" i="3"/>
  <c r="K4028" i="3"/>
  <c r="L4028" i="3" s="1"/>
  <c r="O4028" i="3"/>
  <c r="P4028" i="3"/>
  <c r="K4029" i="3"/>
  <c r="L4029" i="3" s="1"/>
  <c r="O4029" i="3"/>
  <c r="P4029" i="3"/>
  <c r="K4030" i="3"/>
  <c r="L4030" i="3" s="1"/>
  <c r="O4030" i="3"/>
  <c r="P4030" i="3"/>
  <c r="K4031" i="3"/>
  <c r="L4031" i="3" s="1"/>
  <c r="O4031" i="3"/>
  <c r="P4031" i="3"/>
  <c r="K4032" i="3"/>
  <c r="L4032" i="3" s="1"/>
  <c r="O4032" i="3"/>
  <c r="P4032" i="3"/>
  <c r="K4033" i="3"/>
  <c r="L4033" i="3" s="1"/>
  <c r="O4033" i="3"/>
  <c r="P4033" i="3"/>
  <c r="K4034" i="3"/>
  <c r="L4034" i="3" s="1"/>
  <c r="O4034" i="3"/>
  <c r="P4034" i="3"/>
  <c r="K4035" i="3"/>
  <c r="L4035" i="3" s="1"/>
  <c r="O4035" i="3"/>
  <c r="P4035" i="3"/>
  <c r="K4036" i="3"/>
  <c r="L4036" i="3" s="1"/>
  <c r="O4036" i="3"/>
  <c r="P4036" i="3"/>
  <c r="K4037" i="3"/>
  <c r="L4037" i="3" s="1"/>
  <c r="O4037" i="3"/>
  <c r="P4037" i="3"/>
  <c r="K4038" i="3"/>
  <c r="L4038" i="3" s="1"/>
  <c r="O4038" i="3"/>
  <c r="P4038" i="3"/>
  <c r="K4039" i="3"/>
  <c r="L4039" i="3" s="1"/>
  <c r="O4039" i="3"/>
  <c r="P4039" i="3"/>
  <c r="K4040" i="3"/>
  <c r="L4040" i="3" s="1"/>
  <c r="O4040" i="3"/>
  <c r="P4040" i="3"/>
  <c r="K4041" i="3"/>
  <c r="L4041" i="3" s="1"/>
  <c r="O4041" i="3"/>
  <c r="P4041" i="3"/>
  <c r="K4042" i="3"/>
  <c r="L4042" i="3" s="1"/>
  <c r="O4042" i="3"/>
  <c r="P4042" i="3"/>
  <c r="K4043" i="3"/>
  <c r="L4043" i="3" s="1"/>
  <c r="O4043" i="3"/>
  <c r="P4043" i="3"/>
  <c r="K4044" i="3"/>
  <c r="L4044" i="3" s="1"/>
  <c r="O4044" i="3"/>
  <c r="P4044" i="3"/>
  <c r="K4045" i="3"/>
  <c r="L4045" i="3" s="1"/>
  <c r="O4045" i="3"/>
  <c r="P4045" i="3"/>
  <c r="K4046" i="3"/>
  <c r="L4046" i="3" s="1"/>
  <c r="O4046" i="3"/>
  <c r="P4046" i="3"/>
  <c r="K4047" i="3"/>
  <c r="L4047" i="3" s="1"/>
  <c r="O4047" i="3"/>
  <c r="P4047" i="3"/>
  <c r="K4048" i="3"/>
  <c r="L4048" i="3" s="1"/>
  <c r="O4048" i="3"/>
  <c r="P4048" i="3"/>
  <c r="K4049" i="3"/>
  <c r="L4049" i="3" s="1"/>
  <c r="O4049" i="3"/>
  <c r="P4049" i="3"/>
  <c r="K4050" i="3"/>
  <c r="L4050" i="3" s="1"/>
  <c r="O4050" i="3"/>
  <c r="P4050" i="3"/>
  <c r="K4051" i="3"/>
  <c r="L4051" i="3" s="1"/>
  <c r="O4051" i="3"/>
  <c r="P4051" i="3"/>
  <c r="K4052" i="3"/>
  <c r="L4052" i="3" s="1"/>
  <c r="O4052" i="3"/>
  <c r="P4052" i="3"/>
  <c r="K4053" i="3"/>
  <c r="L4053" i="3" s="1"/>
  <c r="O4053" i="3"/>
  <c r="P4053" i="3"/>
  <c r="K4054" i="3"/>
  <c r="L4054" i="3" s="1"/>
  <c r="O4054" i="3"/>
  <c r="P4054" i="3"/>
  <c r="K4055" i="3"/>
  <c r="L4055" i="3" s="1"/>
  <c r="O4055" i="3"/>
  <c r="P4055" i="3"/>
  <c r="K4056" i="3"/>
  <c r="L4056" i="3" s="1"/>
  <c r="O4056" i="3"/>
  <c r="P4056" i="3"/>
  <c r="K4057" i="3"/>
  <c r="L4057" i="3" s="1"/>
  <c r="O4057" i="3"/>
  <c r="P4057" i="3"/>
  <c r="K4058" i="3"/>
  <c r="L4058" i="3" s="1"/>
  <c r="O4058" i="3"/>
  <c r="P4058" i="3"/>
  <c r="K4059" i="3"/>
  <c r="L4059" i="3" s="1"/>
  <c r="O4059" i="3"/>
  <c r="P4059" i="3"/>
  <c r="K4060" i="3"/>
  <c r="L4060" i="3" s="1"/>
  <c r="O4060" i="3"/>
  <c r="P4060" i="3"/>
  <c r="K4061" i="3"/>
  <c r="L4061" i="3" s="1"/>
  <c r="O4061" i="3"/>
  <c r="P4061" i="3"/>
  <c r="K4062" i="3"/>
  <c r="L4062" i="3" s="1"/>
  <c r="O4062" i="3"/>
  <c r="P4062" i="3"/>
  <c r="K4063" i="3"/>
  <c r="L4063" i="3" s="1"/>
  <c r="O4063" i="3"/>
  <c r="P4063" i="3"/>
  <c r="K4064" i="3"/>
  <c r="L4064" i="3" s="1"/>
  <c r="O4064" i="3"/>
  <c r="P4064" i="3"/>
  <c r="K4065" i="3"/>
  <c r="L4065" i="3" s="1"/>
  <c r="O4065" i="3"/>
  <c r="P4065" i="3"/>
  <c r="K4066" i="3"/>
  <c r="L4066" i="3" s="1"/>
  <c r="O4066" i="3"/>
  <c r="P4066" i="3"/>
  <c r="K4067" i="3"/>
  <c r="L4067" i="3" s="1"/>
  <c r="O4067" i="3"/>
  <c r="P4067" i="3"/>
  <c r="K4068" i="3"/>
  <c r="L4068" i="3" s="1"/>
  <c r="O4068" i="3"/>
  <c r="P4068" i="3"/>
  <c r="K4069" i="3"/>
  <c r="L4069" i="3" s="1"/>
  <c r="O4069" i="3"/>
  <c r="P4069" i="3"/>
  <c r="K4070" i="3"/>
  <c r="L4070" i="3" s="1"/>
  <c r="O4070" i="3"/>
  <c r="P4070" i="3"/>
  <c r="K4071" i="3"/>
  <c r="L4071" i="3" s="1"/>
  <c r="O4071" i="3"/>
  <c r="P4071" i="3"/>
  <c r="K4072" i="3"/>
  <c r="L4072" i="3" s="1"/>
  <c r="O4072" i="3"/>
  <c r="P4072" i="3"/>
  <c r="O4073" i="3"/>
  <c r="P4073" i="3"/>
  <c r="K4074" i="3"/>
  <c r="L4074" i="3" s="1"/>
  <c r="O4074" i="3"/>
  <c r="P4074" i="3"/>
  <c r="K4075" i="3"/>
  <c r="L4075" i="3" s="1"/>
  <c r="O4075" i="3"/>
  <c r="P4075" i="3"/>
  <c r="K4076" i="3"/>
  <c r="L4076" i="3" s="1"/>
  <c r="O4076" i="3"/>
  <c r="P4076" i="3"/>
  <c r="K4077" i="3"/>
  <c r="L4077" i="3" s="1"/>
  <c r="O4077" i="3"/>
  <c r="P4077" i="3"/>
  <c r="K4078" i="3"/>
  <c r="L4078" i="3" s="1"/>
  <c r="O4078" i="3"/>
  <c r="P4078" i="3"/>
  <c r="K4079" i="3"/>
  <c r="L4079" i="3" s="1"/>
  <c r="O4079" i="3"/>
  <c r="P4079" i="3"/>
  <c r="K4080" i="3"/>
  <c r="L4080" i="3" s="1"/>
  <c r="O4080" i="3"/>
  <c r="P4080" i="3"/>
  <c r="K4081" i="3"/>
  <c r="L4081" i="3" s="1"/>
  <c r="O4081" i="3"/>
  <c r="P4081" i="3"/>
  <c r="K4082" i="3"/>
  <c r="L4082" i="3" s="1"/>
  <c r="O4082" i="3"/>
  <c r="P4082" i="3"/>
  <c r="K4083" i="3"/>
  <c r="L4083" i="3" s="1"/>
  <c r="O4083" i="3"/>
  <c r="P4083" i="3"/>
  <c r="K4084" i="3"/>
  <c r="L4084" i="3" s="1"/>
  <c r="O4084" i="3"/>
  <c r="P4084" i="3"/>
  <c r="K4085" i="3"/>
  <c r="L4085" i="3" s="1"/>
  <c r="O4085" i="3"/>
  <c r="P4085" i="3"/>
  <c r="K4086" i="3"/>
  <c r="L4086" i="3" s="1"/>
  <c r="O4086" i="3"/>
  <c r="P4086" i="3"/>
  <c r="K4087" i="3"/>
  <c r="L4087" i="3" s="1"/>
  <c r="O4087" i="3"/>
  <c r="P4087" i="3"/>
  <c r="K4088" i="3"/>
  <c r="L4088" i="3" s="1"/>
  <c r="O4088" i="3"/>
  <c r="P4088" i="3"/>
  <c r="K4089" i="3"/>
  <c r="L4089" i="3" s="1"/>
  <c r="O4089" i="3"/>
  <c r="P4089" i="3"/>
  <c r="K4090" i="3"/>
  <c r="L4090" i="3" s="1"/>
  <c r="O4090" i="3"/>
  <c r="P4090" i="3"/>
  <c r="K4091" i="3"/>
  <c r="L4091" i="3" s="1"/>
  <c r="O4091" i="3"/>
  <c r="P4091" i="3"/>
  <c r="K4092" i="3"/>
  <c r="L4092" i="3" s="1"/>
  <c r="O4092" i="3"/>
  <c r="P4092" i="3"/>
  <c r="K4093" i="3"/>
  <c r="L4093" i="3" s="1"/>
  <c r="O4093" i="3"/>
  <c r="P4093" i="3"/>
  <c r="K4094" i="3"/>
  <c r="L4094" i="3" s="1"/>
  <c r="O4094" i="3"/>
  <c r="P4094" i="3"/>
  <c r="K4095" i="3"/>
  <c r="L4095" i="3" s="1"/>
  <c r="O4095" i="3"/>
  <c r="P4095" i="3"/>
  <c r="K4096" i="3"/>
  <c r="L4096" i="3" s="1"/>
  <c r="O4096" i="3"/>
  <c r="P4096" i="3"/>
  <c r="K4097" i="3"/>
  <c r="L4097" i="3" s="1"/>
  <c r="O4097" i="3"/>
  <c r="P4097" i="3"/>
  <c r="K4098" i="3"/>
  <c r="L4098" i="3" s="1"/>
  <c r="O4098" i="3"/>
  <c r="P4098" i="3"/>
  <c r="K4099" i="3"/>
  <c r="L4099" i="3" s="1"/>
  <c r="O4099" i="3"/>
  <c r="P4099" i="3"/>
  <c r="K4100" i="3"/>
  <c r="L4100" i="3" s="1"/>
  <c r="O4100" i="3"/>
  <c r="P4100" i="3"/>
  <c r="K4101" i="3"/>
  <c r="L4101" i="3" s="1"/>
  <c r="O4101" i="3"/>
  <c r="P4101" i="3"/>
  <c r="K4102" i="3"/>
  <c r="L4102" i="3" s="1"/>
  <c r="O4102" i="3"/>
  <c r="P4102" i="3"/>
  <c r="K4103" i="3"/>
  <c r="L4103" i="3" s="1"/>
  <c r="O4103" i="3"/>
  <c r="P4103" i="3"/>
  <c r="K4104" i="3"/>
  <c r="L4104" i="3" s="1"/>
  <c r="O4104" i="3"/>
  <c r="P4104" i="3"/>
  <c r="K4105" i="3"/>
  <c r="L4105" i="3" s="1"/>
  <c r="O4105" i="3"/>
  <c r="P4105" i="3"/>
  <c r="K4106" i="3"/>
  <c r="L4106" i="3" s="1"/>
  <c r="O4106" i="3"/>
  <c r="P4106" i="3"/>
  <c r="K4107" i="3"/>
  <c r="L4107" i="3" s="1"/>
  <c r="O4107" i="3"/>
  <c r="P4107" i="3"/>
  <c r="K4108" i="3"/>
  <c r="L4108" i="3" s="1"/>
  <c r="O4108" i="3"/>
  <c r="P4108" i="3"/>
  <c r="K4109" i="3"/>
  <c r="L4109" i="3" s="1"/>
  <c r="O4109" i="3"/>
  <c r="P4109" i="3"/>
  <c r="K4110" i="3"/>
  <c r="L4110" i="3" s="1"/>
  <c r="O4110" i="3"/>
  <c r="P4110" i="3"/>
  <c r="K4111" i="3"/>
  <c r="L4111" i="3" s="1"/>
  <c r="O4111" i="3"/>
  <c r="P4111" i="3"/>
  <c r="K4112" i="3"/>
  <c r="L4112" i="3" s="1"/>
  <c r="O4112" i="3"/>
  <c r="P4112" i="3"/>
  <c r="K4113" i="3"/>
  <c r="L4113" i="3" s="1"/>
  <c r="O4113" i="3"/>
  <c r="P4113" i="3"/>
  <c r="K4114" i="3"/>
  <c r="L4114" i="3" s="1"/>
  <c r="O4114" i="3"/>
  <c r="P4114" i="3"/>
  <c r="K4115" i="3"/>
  <c r="L4115" i="3" s="1"/>
  <c r="O4115" i="3"/>
  <c r="P4115" i="3"/>
  <c r="K4116" i="3"/>
  <c r="L4116" i="3" s="1"/>
  <c r="O4116" i="3"/>
  <c r="P4116" i="3"/>
  <c r="K4117" i="3"/>
  <c r="L4117" i="3" s="1"/>
  <c r="O4117" i="3"/>
  <c r="P4117" i="3"/>
  <c r="K4118" i="3"/>
  <c r="L4118" i="3" s="1"/>
  <c r="O4118" i="3"/>
  <c r="P4118" i="3"/>
  <c r="K4119" i="3"/>
  <c r="L4119" i="3" s="1"/>
  <c r="O4119" i="3"/>
  <c r="P4119" i="3"/>
  <c r="K4120" i="3"/>
  <c r="L4120" i="3" s="1"/>
  <c r="O4120" i="3"/>
  <c r="P4120" i="3"/>
  <c r="K4121" i="3"/>
  <c r="L4121" i="3" s="1"/>
  <c r="O4121" i="3"/>
  <c r="P4121" i="3"/>
  <c r="K4122" i="3"/>
  <c r="L4122" i="3" s="1"/>
  <c r="O4122" i="3"/>
  <c r="P4122" i="3"/>
  <c r="K4123" i="3"/>
  <c r="L4123" i="3" s="1"/>
  <c r="O4123" i="3"/>
  <c r="P4123" i="3"/>
  <c r="K4124" i="3"/>
  <c r="L4124" i="3" s="1"/>
  <c r="O4124" i="3"/>
  <c r="P4124" i="3"/>
  <c r="K4125" i="3"/>
  <c r="L4125" i="3" s="1"/>
  <c r="O4125" i="3"/>
  <c r="P4125" i="3"/>
  <c r="K4126" i="3"/>
  <c r="L4126" i="3" s="1"/>
  <c r="O4126" i="3"/>
  <c r="P4126" i="3"/>
  <c r="K4127" i="3"/>
  <c r="L4127" i="3" s="1"/>
  <c r="O4127" i="3"/>
  <c r="P4127" i="3"/>
  <c r="K4128" i="3"/>
  <c r="L4128" i="3" s="1"/>
  <c r="O4128" i="3"/>
  <c r="P4128" i="3"/>
  <c r="K4129" i="3"/>
  <c r="L4129" i="3" s="1"/>
  <c r="O4129" i="3"/>
  <c r="P4129" i="3"/>
  <c r="K4130" i="3"/>
  <c r="L4130" i="3" s="1"/>
  <c r="O4130" i="3"/>
  <c r="P4130" i="3"/>
  <c r="K4131" i="3"/>
  <c r="L4131" i="3" s="1"/>
  <c r="O4131" i="3"/>
  <c r="P4131" i="3"/>
  <c r="K4132" i="3"/>
  <c r="L4132" i="3" s="1"/>
  <c r="O4132" i="3"/>
  <c r="P4132" i="3"/>
  <c r="K4133" i="3"/>
  <c r="L4133" i="3" s="1"/>
  <c r="O4133" i="3"/>
  <c r="P4133" i="3"/>
  <c r="K4134" i="3"/>
  <c r="L4134" i="3" s="1"/>
  <c r="O4134" i="3"/>
  <c r="P4134" i="3"/>
  <c r="K4135" i="3"/>
  <c r="L4135" i="3" s="1"/>
  <c r="O4135" i="3"/>
  <c r="P4135" i="3"/>
  <c r="K4136" i="3"/>
  <c r="L4136" i="3" s="1"/>
  <c r="O4136" i="3"/>
  <c r="P4136" i="3"/>
  <c r="K4137" i="3"/>
  <c r="L4137" i="3" s="1"/>
  <c r="O4137" i="3"/>
  <c r="P4137" i="3"/>
  <c r="K4138" i="3"/>
  <c r="L4138" i="3" s="1"/>
  <c r="O4138" i="3"/>
  <c r="P4138" i="3"/>
  <c r="K4139" i="3"/>
  <c r="L4139" i="3" s="1"/>
  <c r="O4139" i="3"/>
  <c r="P4139" i="3"/>
  <c r="K4140" i="3"/>
  <c r="L4140" i="3" s="1"/>
  <c r="O4140" i="3"/>
  <c r="P4140" i="3"/>
  <c r="K4141" i="3"/>
  <c r="L4141" i="3" s="1"/>
  <c r="O4141" i="3"/>
  <c r="P4141" i="3"/>
  <c r="K4142" i="3"/>
  <c r="L4142" i="3" s="1"/>
  <c r="O4142" i="3"/>
  <c r="P4142" i="3"/>
  <c r="K4143" i="3"/>
  <c r="L4143" i="3" s="1"/>
  <c r="O4143" i="3"/>
  <c r="P4143" i="3"/>
  <c r="K4144" i="3"/>
  <c r="L4144" i="3" s="1"/>
  <c r="O4144" i="3"/>
  <c r="P4144" i="3"/>
  <c r="K4145" i="3"/>
  <c r="L4145" i="3" s="1"/>
  <c r="O4145" i="3"/>
  <c r="P4145" i="3"/>
  <c r="K4146" i="3"/>
  <c r="L4146" i="3" s="1"/>
  <c r="O4146" i="3"/>
  <c r="P4146" i="3"/>
  <c r="K4147" i="3"/>
  <c r="L4147" i="3" s="1"/>
  <c r="O4147" i="3"/>
  <c r="P4147" i="3"/>
  <c r="K4148" i="3"/>
  <c r="L4148" i="3" s="1"/>
  <c r="O4148" i="3"/>
  <c r="P4148" i="3"/>
  <c r="K4149" i="3"/>
  <c r="L4149" i="3" s="1"/>
  <c r="O4149" i="3"/>
  <c r="P4149" i="3"/>
  <c r="K4150" i="3"/>
  <c r="L4150" i="3" s="1"/>
  <c r="O4150" i="3"/>
  <c r="P4150" i="3"/>
  <c r="K4151" i="3"/>
  <c r="L4151" i="3" s="1"/>
  <c r="O4151" i="3"/>
  <c r="P4151" i="3"/>
  <c r="K4152" i="3"/>
  <c r="L4152" i="3" s="1"/>
  <c r="O4152" i="3"/>
  <c r="P4152" i="3"/>
  <c r="K4153" i="3"/>
  <c r="L4153" i="3" s="1"/>
  <c r="O4153" i="3"/>
  <c r="P4153" i="3"/>
  <c r="K4154" i="3"/>
  <c r="L4154" i="3" s="1"/>
  <c r="O4154" i="3"/>
  <c r="P4154" i="3"/>
  <c r="K4155" i="3"/>
  <c r="L4155" i="3" s="1"/>
  <c r="O4155" i="3"/>
  <c r="P4155" i="3"/>
  <c r="K4156" i="3"/>
  <c r="L4156" i="3" s="1"/>
  <c r="O4156" i="3"/>
  <c r="P4156" i="3"/>
  <c r="K4157" i="3"/>
  <c r="L4157" i="3" s="1"/>
  <c r="O4157" i="3"/>
  <c r="P4157" i="3"/>
  <c r="K4158" i="3"/>
  <c r="L4158" i="3" s="1"/>
  <c r="O4158" i="3"/>
  <c r="P4158" i="3"/>
  <c r="K4159" i="3"/>
  <c r="L4159" i="3" s="1"/>
  <c r="O4159" i="3"/>
  <c r="P4159" i="3"/>
  <c r="K4160" i="3"/>
  <c r="L4160" i="3" s="1"/>
  <c r="O4160" i="3"/>
  <c r="P4160" i="3"/>
  <c r="K4161" i="3"/>
  <c r="L4161" i="3" s="1"/>
  <c r="O4161" i="3"/>
  <c r="P4161" i="3"/>
  <c r="K4162" i="3"/>
  <c r="L4162" i="3" s="1"/>
  <c r="O4162" i="3"/>
  <c r="P4162" i="3"/>
  <c r="K4163" i="3"/>
  <c r="L4163" i="3" s="1"/>
  <c r="O4163" i="3"/>
  <c r="P4163" i="3"/>
  <c r="K4164" i="3"/>
  <c r="L4164" i="3" s="1"/>
  <c r="O4164" i="3"/>
  <c r="P4164" i="3"/>
  <c r="K4165" i="3"/>
  <c r="L4165" i="3" s="1"/>
  <c r="O4165" i="3"/>
  <c r="P4165" i="3"/>
  <c r="K4166" i="3"/>
  <c r="L4166" i="3" s="1"/>
  <c r="O4166" i="3"/>
  <c r="P4166" i="3"/>
  <c r="K4167" i="3"/>
  <c r="L4167" i="3" s="1"/>
  <c r="O4167" i="3"/>
  <c r="P4167" i="3"/>
  <c r="K4168" i="3"/>
  <c r="L4168" i="3" s="1"/>
  <c r="O4168" i="3"/>
  <c r="P4168" i="3"/>
  <c r="K4169" i="3"/>
  <c r="L4169" i="3" s="1"/>
  <c r="O4169" i="3"/>
  <c r="P4169" i="3"/>
  <c r="K4170" i="3"/>
  <c r="L4170" i="3" s="1"/>
  <c r="O4170" i="3"/>
  <c r="P4170" i="3"/>
  <c r="K4171" i="3"/>
  <c r="L4171" i="3" s="1"/>
  <c r="O4171" i="3"/>
  <c r="P4171" i="3"/>
  <c r="K4172" i="3"/>
  <c r="L4172" i="3" s="1"/>
  <c r="O4172" i="3"/>
  <c r="P4172" i="3"/>
  <c r="K4173" i="3"/>
  <c r="L4173" i="3" s="1"/>
  <c r="O4173" i="3"/>
  <c r="P4173" i="3"/>
  <c r="K4174" i="3"/>
  <c r="L4174" i="3" s="1"/>
  <c r="O4174" i="3"/>
  <c r="P4174" i="3"/>
  <c r="K4175" i="3"/>
  <c r="L4175" i="3" s="1"/>
  <c r="O4175" i="3"/>
  <c r="P4175" i="3"/>
  <c r="K4176" i="3"/>
  <c r="L4176" i="3" s="1"/>
  <c r="O4176" i="3"/>
  <c r="P4176" i="3"/>
  <c r="K4177" i="3"/>
  <c r="L4177" i="3" s="1"/>
  <c r="O4177" i="3"/>
  <c r="P4177" i="3"/>
  <c r="K4178" i="3"/>
  <c r="L4178" i="3" s="1"/>
  <c r="O4178" i="3"/>
  <c r="P4178" i="3"/>
  <c r="K4179" i="3"/>
  <c r="L4179" i="3" s="1"/>
  <c r="O4179" i="3"/>
  <c r="P4179" i="3"/>
  <c r="K4180" i="3"/>
  <c r="L4180" i="3" s="1"/>
  <c r="O4180" i="3"/>
  <c r="P4180" i="3"/>
  <c r="K4181" i="3"/>
  <c r="L4181" i="3" s="1"/>
  <c r="O4181" i="3"/>
  <c r="P4181" i="3"/>
  <c r="K4182" i="3"/>
  <c r="L4182" i="3" s="1"/>
  <c r="O4182" i="3"/>
  <c r="P4182" i="3"/>
  <c r="K4183" i="3"/>
  <c r="L4183" i="3" s="1"/>
  <c r="O4183" i="3"/>
  <c r="P4183" i="3"/>
  <c r="K4184" i="3"/>
  <c r="L4184" i="3" s="1"/>
  <c r="O4184" i="3"/>
  <c r="P4184" i="3"/>
  <c r="K4185" i="3"/>
  <c r="L4185" i="3" s="1"/>
  <c r="O4185" i="3"/>
  <c r="P4185" i="3"/>
  <c r="K4186" i="3"/>
  <c r="L4186" i="3" s="1"/>
  <c r="O4186" i="3"/>
  <c r="P4186" i="3"/>
  <c r="K4187" i="3"/>
  <c r="L4187" i="3" s="1"/>
  <c r="O4187" i="3"/>
  <c r="P4187" i="3"/>
  <c r="K4188" i="3"/>
  <c r="L4188" i="3" s="1"/>
  <c r="O4188" i="3"/>
  <c r="P4188" i="3"/>
  <c r="K4189" i="3"/>
  <c r="L4189" i="3" s="1"/>
  <c r="O4189" i="3"/>
  <c r="P4189" i="3"/>
  <c r="K4190" i="3"/>
  <c r="L4190" i="3" s="1"/>
  <c r="O4190" i="3"/>
  <c r="P4190" i="3"/>
  <c r="K4191" i="3"/>
  <c r="L4191" i="3" s="1"/>
  <c r="O4191" i="3"/>
  <c r="P4191" i="3"/>
  <c r="K4192" i="3"/>
  <c r="L4192" i="3" s="1"/>
  <c r="O4192" i="3"/>
  <c r="P4192" i="3"/>
  <c r="K4193" i="3"/>
  <c r="L4193" i="3" s="1"/>
  <c r="O4193" i="3"/>
  <c r="P4193" i="3"/>
  <c r="K4194" i="3"/>
  <c r="L4194" i="3" s="1"/>
  <c r="O4194" i="3"/>
  <c r="P4194" i="3"/>
  <c r="K4195" i="3"/>
  <c r="L4195" i="3" s="1"/>
  <c r="O4195" i="3"/>
  <c r="P4195" i="3"/>
  <c r="K4196" i="3"/>
  <c r="L4196" i="3" s="1"/>
  <c r="O4196" i="3"/>
  <c r="P4196" i="3"/>
  <c r="K4197" i="3"/>
  <c r="L4197" i="3" s="1"/>
  <c r="O4197" i="3"/>
  <c r="P4197" i="3"/>
  <c r="K4198" i="3"/>
  <c r="L4198" i="3" s="1"/>
  <c r="O4198" i="3"/>
  <c r="P4198" i="3"/>
  <c r="K4199" i="3"/>
  <c r="L4199" i="3" s="1"/>
  <c r="O4199" i="3"/>
  <c r="P4199" i="3"/>
  <c r="K4200" i="3"/>
  <c r="L4200" i="3" s="1"/>
  <c r="O4200" i="3"/>
  <c r="P4200" i="3"/>
  <c r="K4201" i="3"/>
  <c r="L4201" i="3" s="1"/>
  <c r="O4201" i="3"/>
  <c r="P4201" i="3"/>
  <c r="K4202" i="3"/>
  <c r="L4202" i="3" s="1"/>
  <c r="O4202" i="3"/>
  <c r="P4202" i="3"/>
  <c r="K4203" i="3"/>
  <c r="L4203" i="3" s="1"/>
  <c r="O4203" i="3"/>
  <c r="P4203" i="3"/>
  <c r="K4204" i="3"/>
  <c r="L4204" i="3" s="1"/>
  <c r="O4204" i="3"/>
  <c r="P4204" i="3"/>
  <c r="K4205" i="3"/>
  <c r="L4205" i="3" s="1"/>
  <c r="O4205" i="3"/>
  <c r="P4205" i="3"/>
  <c r="K4206" i="3"/>
  <c r="L4206" i="3" s="1"/>
  <c r="O4206" i="3"/>
  <c r="P4206" i="3"/>
  <c r="K4207" i="3"/>
  <c r="L4207" i="3" s="1"/>
  <c r="O4207" i="3"/>
  <c r="P4207" i="3"/>
  <c r="K4208" i="3"/>
  <c r="L4208" i="3" s="1"/>
  <c r="O4208" i="3"/>
  <c r="P4208" i="3"/>
  <c r="K4209" i="3"/>
  <c r="L4209" i="3" s="1"/>
  <c r="O4209" i="3"/>
  <c r="P4209" i="3"/>
  <c r="K4210" i="3"/>
  <c r="L4210" i="3" s="1"/>
  <c r="O4210" i="3"/>
  <c r="P4210" i="3"/>
  <c r="K4211" i="3"/>
  <c r="L4211" i="3" s="1"/>
  <c r="O4211" i="3"/>
  <c r="P4211" i="3"/>
  <c r="K4212" i="3"/>
  <c r="L4212" i="3" s="1"/>
  <c r="O4212" i="3"/>
  <c r="P4212" i="3"/>
  <c r="K4213" i="3"/>
  <c r="L4213" i="3" s="1"/>
  <c r="O4213" i="3"/>
  <c r="P4213" i="3"/>
  <c r="K4214" i="3"/>
  <c r="L4214" i="3" s="1"/>
  <c r="O4214" i="3"/>
  <c r="P4214" i="3"/>
  <c r="K4215" i="3"/>
  <c r="L4215" i="3" s="1"/>
  <c r="O4215" i="3"/>
  <c r="P4215" i="3"/>
  <c r="K4216" i="3"/>
  <c r="L4216" i="3" s="1"/>
  <c r="O4216" i="3"/>
  <c r="P4216" i="3"/>
  <c r="K4217" i="3"/>
  <c r="L4217" i="3" s="1"/>
  <c r="O4217" i="3"/>
  <c r="P4217" i="3"/>
  <c r="K4218" i="3"/>
  <c r="L4218" i="3" s="1"/>
  <c r="O4218" i="3"/>
  <c r="P4218" i="3"/>
  <c r="K4219" i="3"/>
  <c r="L4219" i="3" s="1"/>
  <c r="O4219" i="3"/>
  <c r="P4219" i="3"/>
  <c r="K4220" i="3"/>
  <c r="L4220" i="3" s="1"/>
  <c r="O4220" i="3"/>
  <c r="P4220" i="3"/>
  <c r="K4221" i="3"/>
  <c r="L4221" i="3" s="1"/>
  <c r="O4221" i="3"/>
  <c r="P4221" i="3"/>
  <c r="K4222" i="3"/>
  <c r="L4222" i="3" s="1"/>
  <c r="O4222" i="3"/>
  <c r="P4222" i="3"/>
  <c r="K4223" i="3"/>
  <c r="L4223" i="3" s="1"/>
  <c r="O4223" i="3"/>
  <c r="P4223" i="3"/>
  <c r="K4224" i="3"/>
  <c r="L4224" i="3" s="1"/>
  <c r="O4224" i="3"/>
  <c r="P4224" i="3"/>
  <c r="K4225" i="3"/>
  <c r="L4225" i="3" s="1"/>
  <c r="O4225" i="3"/>
  <c r="P4225" i="3"/>
  <c r="K4226" i="3"/>
  <c r="L4226" i="3" s="1"/>
  <c r="O4226" i="3"/>
  <c r="P4226" i="3"/>
  <c r="K4227" i="3"/>
  <c r="L4227" i="3" s="1"/>
  <c r="O4227" i="3"/>
  <c r="P4227" i="3"/>
  <c r="K4228" i="3"/>
  <c r="L4228" i="3" s="1"/>
  <c r="O4228" i="3"/>
  <c r="P4228" i="3"/>
  <c r="K4229" i="3"/>
  <c r="L4229" i="3" s="1"/>
  <c r="O4229" i="3"/>
  <c r="P4229" i="3"/>
  <c r="K4230" i="3"/>
  <c r="L4230" i="3" s="1"/>
  <c r="O4230" i="3"/>
  <c r="P4230" i="3"/>
  <c r="K4231" i="3"/>
  <c r="L4231" i="3" s="1"/>
  <c r="O4231" i="3"/>
  <c r="P4231" i="3"/>
  <c r="K4232" i="3"/>
  <c r="L4232" i="3" s="1"/>
  <c r="O4232" i="3"/>
  <c r="P4232" i="3"/>
  <c r="K4233" i="3"/>
  <c r="L4233" i="3" s="1"/>
  <c r="O4233" i="3"/>
  <c r="P4233" i="3"/>
  <c r="K4234" i="3"/>
  <c r="L4234" i="3" s="1"/>
  <c r="O4234" i="3"/>
  <c r="P4234" i="3"/>
  <c r="K4235" i="3"/>
  <c r="L4235" i="3" s="1"/>
  <c r="O4235" i="3"/>
  <c r="P4235" i="3"/>
  <c r="K4236" i="3"/>
  <c r="L4236" i="3" s="1"/>
  <c r="O4236" i="3"/>
  <c r="P4236" i="3"/>
  <c r="K4237" i="3"/>
  <c r="L4237" i="3" s="1"/>
  <c r="O4237" i="3"/>
  <c r="P4237" i="3"/>
  <c r="K4238" i="3"/>
  <c r="L4238" i="3" s="1"/>
  <c r="O4238" i="3"/>
  <c r="P4238" i="3"/>
  <c r="K4239" i="3"/>
  <c r="L4239" i="3" s="1"/>
  <c r="O4239" i="3"/>
  <c r="P4239" i="3"/>
  <c r="K4240" i="3"/>
  <c r="L4240" i="3" s="1"/>
  <c r="O4240" i="3"/>
  <c r="P4240" i="3"/>
  <c r="K4241" i="3"/>
  <c r="L4241" i="3" s="1"/>
  <c r="O4241" i="3"/>
  <c r="P4241" i="3"/>
  <c r="K4242" i="3"/>
  <c r="L4242" i="3" s="1"/>
  <c r="O4242" i="3"/>
  <c r="P4242" i="3"/>
  <c r="K4243" i="3"/>
  <c r="L4243" i="3" s="1"/>
  <c r="O4243" i="3"/>
  <c r="P4243" i="3"/>
  <c r="K4244" i="3"/>
  <c r="L4244" i="3" s="1"/>
  <c r="O4244" i="3"/>
  <c r="P4244" i="3"/>
  <c r="K4245" i="3"/>
  <c r="L4245" i="3" s="1"/>
  <c r="O4245" i="3"/>
  <c r="P4245" i="3"/>
  <c r="K4246" i="3"/>
  <c r="L4246" i="3" s="1"/>
  <c r="O4246" i="3"/>
  <c r="P4246" i="3"/>
  <c r="K4247" i="3"/>
  <c r="L4247" i="3" s="1"/>
  <c r="O4247" i="3"/>
  <c r="P4247" i="3"/>
  <c r="K4248" i="3"/>
  <c r="L4248" i="3" s="1"/>
  <c r="O4248" i="3"/>
  <c r="P4248" i="3"/>
  <c r="K4249" i="3"/>
  <c r="L4249" i="3" s="1"/>
  <c r="O4249" i="3"/>
  <c r="P4249" i="3"/>
  <c r="K4250" i="3"/>
  <c r="L4250" i="3" s="1"/>
  <c r="O4250" i="3"/>
  <c r="P4250" i="3"/>
  <c r="K4251" i="3"/>
  <c r="L4251" i="3" s="1"/>
  <c r="O4251" i="3"/>
  <c r="P4251" i="3"/>
  <c r="K4252" i="3"/>
  <c r="L4252" i="3" s="1"/>
  <c r="O4252" i="3"/>
  <c r="P4252" i="3"/>
  <c r="K4253" i="3"/>
  <c r="L4253" i="3" s="1"/>
  <c r="O4253" i="3"/>
  <c r="P4253" i="3"/>
  <c r="K4254" i="3"/>
  <c r="L4254" i="3" s="1"/>
  <c r="O4254" i="3"/>
  <c r="P4254" i="3"/>
  <c r="K4255" i="3"/>
  <c r="L4255" i="3" s="1"/>
  <c r="O4255" i="3"/>
  <c r="P4255" i="3"/>
  <c r="K4256" i="3"/>
  <c r="L4256" i="3" s="1"/>
  <c r="O4256" i="3"/>
  <c r="P4256" i="3"/>
  <c r="K4257" i="3"/>
  <c r="L4257" i="3" s="1"/>
  <c r="O4257" i="3"/>
  <c r="P4257" i="3"/>
  <c r="K4258" i="3"/>
  <c r="L4258" i="3" s="1"/>
  <c r="O4258" i="3"/>
  <c r="P4258" i="3"/>
  <c r="K4259" i="3"/>
  <c r="L4259" i="3" s="1"/>
  <c r="O4259" i="3"/>
  <c r="P4259" i="3"/>
  <c r="K4260" i="3"/>
  <c r="L4260" i="3" s="1"/>
  <c r="O4260" i="3"/>
  <c r="P4260" i="3"/>
  <c r="K4261" i="3"/>
  <c r="L4261" i="3" s="1"/>
  <c r="O4261" i="3"/>
  <c r="P4261" i="3"/>
  <c r="K4262" i="3"/>
  <c r="L4262" i="3" s="1"/>
  <c r="O4262" i="3"/>
  <c r="P4262" i="3"/>
  <c r="K4263" i="3"/>
  <c r="L4263" i="3" s="1"/>
  <c r="O4263" i="3"/>
  <c r="P4263" i="3"/>
  <c r="K4264" i="3"/>
  <c r="L4264" i="3" s="1"/>
  <c r="O4264" i="3"/>
  <c r="P4264" i="3"/>
  <c r="O4265" i="3"/>
  <c r="P4265" i="3"/>
  <c r="K4266" i="3"/>
  <c r="L4266" i="3" s="1"/>
  <c r="O4266" i="3"/>
  <c r="P4266" i="3"/>
  <c r="K4267" i="3"/>
  <c r="L4267" i="3" s="1"/>
  <c r="O4267" i="3"/>
  <c r="P4267" i="3"/>
  <c r="K4268" i="3"/>
  <c r="L4268" i="3" s="1"/>
  <c r="O4268" i="3"/>
  <c r="P4268" i="3"/>
  <c r="K4269" i="3"/>
  <c r="L4269" i="3" s="1"/>
  <c r="O4269" i="3"/>
  <c r="P4269" i="3"/>
  <c r="K4270" i="3"/>
  <c r="L4270" i="3" s="1"/>
  <c r="O4270" i="3"/>
  <c r="P4270" i="3"/>
  <c r="K4271" i="3"/>
  <c r="L4271" i="3" s="1"/>
  <c r="O4271" i="3"/>
  <c r="P4271" i="3"/>
  <c r="K4272" i="3"/>
  <c r="L4272" i="3" s="1"/>
  <c r="O4272" i="3"/>
  <c r="P4272" i="3"/>
  <c r="K4273" i="3"/>
  <c r="L4273" i="3" s="1"/>
  <c r="O4273" i="3"/>
  <c r="P4273" i="3"/>
  <c r="K4274" i="3"/>
  <c r="L4274" i="3" s="1"/>
  <c r="O4274" i="3"/>
  <c r="P4274" i="3"/>
  <c r="K4275" i="3"/>
  <c r="L4275" i="3" s="1"/>
  <c r="O4275" i="3"/>
  <c r="P4275" i="3"/>
  <c r="K4276" i="3"/>
  <c r="L4276" i="3" s="1"/>
  <c r="O4276" i="3"/>
  <c r="P4276" i="3"/>
  <c r="K4277" i="3"/>
  <c r="L4277" i="3" s="1"/>
  <c r="O4277" i="3"/>
  <c r="P4277" i="3"/>
  <c r="K4278" i="3"/>
  <c r="L4278" i="3" s="1"/>
  <c r="O4278" i="3"/>
  <c r="P4278" i="3"/>
  <c r="K4279" i="3"/>
  <c r="L4279" i="3" s="1"/>
  <c r="O4279" i="3"/>
  <c r="P4279" i="3"/>
  <c r="K4280" i="3"/>
  <c r="L4280" i="3" s="1"/>
  <c r="O4280" i="3"/>
  <c r="P4280" i="3"/>
  <c r="K4281" i="3"/>
  <c r="L4281" i="3" s="1"/>
  <c r="O4281" i="3"/>
  <c r="P4281" i="3"/>
  <c r="K4282" i="3"/>
  <c r="L4282" i="3" s="1"/>
  <c r="O4282" i="3"/>
  <c r="P4282" i="3"/>
  <c r="K4283" i="3"/>
  <c r="L4283" i="3" s="1"/>
  <c r="O4283" i="3"/>
  <c r="P4283" i="3"/>
  <c r="K4284" i="3"/>
  <c r="L4284" i="3" s="1"/>
  <c r="O4284" i="3"/>
  <c r="P4284" i="3"/>
  <c r="K4285" i="3"/>
  <c r="L4285" i="3" s="1"/>
  <c r="O4285" i="3"/>
  <c r="P4285" i="3"/>
  <c r="K4286" i="3"/>
  <c r="L4286" i="3" s="1"/>
  <c r="O4286" i="3"/>
  <c r="P4286" i="3"/>
  <c r="K4287" i="3"/>
  <c r="L4287" i="3" s="1"/>
  <c r="O4287" i="3"/>
  <c r="P4287" i="3"/>
  <c r="K4288" i="3"/>
  <c r="L4288" i="3" s="1"/>
  <c r="O4288" i="3"/>
  <c r="P4288" i="3"/>
  <c r="K4289" i="3"/>
  <c r="L4289" i="3" s="1"/>
  <c r="O4289" i="3"/>
  <c r="P4289" i="3"/>
  <c r="K4290" i="3"/>
  <c r="L4290" i="3" s="1"/>
  <c r="O4290" i="3"/>
  <c r="P4290" i="3"/>
  <c r="K4291" i="3"/>
  <c r="L4291" i="3" s="1"/>
  <c r="O4291" i="3"/>
  <c r="P4291" i="3"/>
  <c r="K4292" i="3"/>
  <c r="L4292" i="3" s="1"/>
  <c r="O4292" i="3"/>
  <c r="P4292" i="3"/>
  <c r="K4293" i="3"/>
  <c r="L4293" i="3" s="1"/>
  <c r="O4293" i="3"/>
  <c r="P4293" i="3"/>
  <c r="K4294" i="3"/>
  <c r="L4294" i="3" s="1"/>
  <c r="O4294" i="3"/>
  <c r="P4294" i="3"/>
  <c r="K4295" i="3"/>
  <c r="L4295" i="3" s="1"/>
  <c r="O4295" i="3"/>
  <c r="P4295" i="3"/>
  <c r="K4296" i="3"/>
  <c r="L4296" i="3" s="1"/>
  <c r="O4296" i="3"/>
  <c r="P4296" i="3"/>
  <c r="K4297" i="3"/>
  <c r="L4297" i="3" s="1"/>
  <c r="O4297" i="3"/>
  <c r="P4297" i="3"/>
  <c r="K4298" i="3"/>
  <c r="L4298" i="3" s="1"/>
  <c r="O4298" i="3"/>
  <c r="P4298" i="3"/>
  <c r="K4299" i="3"/>
  <c r="L4299" i="3" s="1"/>
  <c r="O4299" i="3"/>
  <c r="P4299" i="3"/>
  <c r="K4300" i="3"/>
  <c r="L4300" i="3" s="1"/>
  <c r="O4300" i="3"/>
  <c r="P4300" i="3"/>
  <c r="K4301" i="3"/>
  <c r="L4301" i="3" s="1"/>
  <c r="O4301" i="3"/>
  <c r="P4301" i="3"/>
  <c r="K4302" i="3"/>
  <c r="L4302" i="3" s="1"/>
  <c r="O4302" i="3"/>
  <c r="P4302" i="3"/>
  <c r="K4303" i="3"/>
  <c r="L4303" i="3" s="1"/>
  <c r="O4303" i="3"/>
  <c r="P4303" i="3"/>
  <c r="K4304" i="3"/>
  <c r="L4304" i="3" s="1"/>
  <c r="O4304" i="3"/>
  <c r="P4304" i="3"/>
  <c r="K4305" i="3"/>
  <c r="L4305" i="3" s="1"/>
  <c r="O4305" i="3"/>
  <c r="P4305" i="3"/>
  <c r="K4306" i="3"/>
  <c r="L4306" i="3" s="1"/>
  <c r="O4306" i="3"/>
  <c r="P4306" i="3"/>
  <c r="K4307" i="3"/>
  <c r="L4307" i="3" s="1"/>
  <c r="O4307" i="3"/>
  <c r="P4307" i="3"/>
  <c r="K4308" i="3"/>
  <c r="L4308" i="3" s="1"/>
  <c r="O4308" i="3"/>
  <c r="P4308" i="3"/>
  <c r="K4309" i="3"/>
  <c r="L4309" i="3" s="1"/>
  <c r="O4309" i="3"/>
  <c r="P4309" i="3"/>
  <c r="K4310" i="3"/>
  <c r="L4310" i="3" s="1"/>
  <c r="O4310" i="3"/>
  <c r="P4310" i="3"/>
  <c r="K4311" i="3"/>
  <c r="L4311" i="3" s="1"/>
  <c r="O4311" i="3"/>
  <c r="P4311" i="3"/>
  <c r="K4312" i="3"/>
  <c r="L4312" i="3" s="1"/>
  <c r="O4312" i="3"/>
  <c r="P4312" i="3"/>
  <c r="K4313" i="3"/>
  <c r="L4313" i="3" s="1"/>
  <c r="O4313" i="3"/>
  <c r="P4313" i="3"/>
  <c r="K4314" i="3"/>
  <c r="L4314" i="3" s="1"/>
  <c r="O4314" i="3"/>
  <c r="P4314" i="3"/>
  <c r="K4315" i="3"/>
  <c r="L4315" i="3" s="1"/>
  <c r="O4315" i="3"/>
  <c r="P4315" i="3"/>
  <c r="K4316" i="3"/>
  <c r="L4316" i="3" s="1"/>
  <c r="O4316" i="3"/>
  <c r="P4316" i="3"/>
  <c r="K4317" i="3"/>
  <c r="L4317" i="3" s="1"/>
  <c r="O4317" i="3"/>
  <c r="P4317" i="3"/>
  <c r="K4318" i="3"/>
  <c r="L4318" i="3" s="1"/>
  <c r="O4318" i="3"/>
  <c r="P4318" i="3"/>
  <c r="K4319" i="3"/>
  <c r="L4319" i="3" s="1"/>
  <c r="O4319" i="3"/>
  <c r="P4319" i="3"/>
  <c r="K4320" i="3"/>
  <c r="L4320" i="3" s="1"/>
  <c r="O4320" i="3"/>
  <c r="P4320" i="3"/>
  <c r="K4321" i="3"/>
  <c r="L4321" i="3" s="1"/>
  <c r="O4321" i="3"/>
  <c r="P4321" i="3"/>
  <c r="K4322" i="3"/>
  <c r="L4322" i="3" s="1"/>
  <c r="O4322" i="3"/>
  <c r="P4322" i="3"/>
  <c r="K4323" i="3"/>
  <c r="L4323" i="3" s="1"/>
  <c r="O4323" i="3"/>
  <c r="P4323" i="3"/>
  <c r="K4324" i="3"/>
  <c r="L4324" i="3" s="1"/>
  <c r="O4324" i="3"/>
  <c r="P4324" i="3"/>
  <c r="K4325" i="3"/>
  <c r="L4325" i="3" s="1"/>
  <c r="O4325" i="3"/>
  <c r="P4325" i="3"/>
  <c r="K4326" i="3"/>
  <c r="L4326" i="3" s="1"/>
  <c r="O4326" i="3"/>
  <c r="P4326" i="3"/>
  <c r="K4327" i="3"/>
  <c r="L4327" i="3" s="1"/>
  <c r="O4327" i="3"/>
  <c r="P4327" i="3"/>
  <c r="K4328" i="3"/>
  <c r="L4328" i="3" s="1"/>
  <c r="O4328" i="3"/>
  <c r="P4328" i="3"/>
  <c r="K4329" i="3"/>
  <c r="L4329" i="3" s="1"/>
  <c r="O4329" i="3"/>
  <c r="P4329" i="3"/>
  <c r="K4330" i="3"/>
  <c r="L4330" i="3" s="1"/>
  <c r="O4330" i="3"/>
  <c r="P4330" i="3"/>
  <c r="K4331" i="3"/>
  <c r="L4331" i="3" s="1"/>
  <c r="O4331" i="3"/>
  <c r="P4331" i="3"/>
  <c r="K4332" i="3"/>
  <c r="L4332" i="3" s="1"/>
  <c r="O4332" i="3"/>
  <c r="P4332" i="3"/>
  <c r="K4333" i="3"/>
  <c r="L4333" i="3" s="1"/>
  <c r="O4333" i="3"/>
  <c r="P4333" i="3"/>
  <c r="K4334" i="3"/>
  <c r="L4334" i="3" s="1"/>
  <c r="O4334" i="3"/>
  <c r="P4334" i="3"/>
  <c r="K4335" i="3"/>
  <c r="L4335" i="3" s="1"/>
  <c r="O4335" i="3"/>
  <c r="P4335" i="3"/>
  <c r="K4336" i="3"/>
  <c r="L4336" i="3" s="1"/>
  <c r="O4336" i="3"/>
  <c r="P4336" i="3"/>
  <c r="K4337" i="3"/>
  <c r="L4337" i="3" s="1"/>
  <c r="O4337" i="3"/>
  <c r="P4337" i="3"/>
  <c r="K4338" i="3"/>
  <c r="L4338" i="3" s="1"/>
  <c r="O4338" i="3"/>
  <c r="P4338" i="3"/>
  <c r="K4339" i="3"/>
  <c r="L4339" i="3" s="1"/>
  <c r="O4339" i="3"/>
  <c r="P4339" i="3"/>
  <c r="K4340" i="3"/>
  <c r="L4340" i="3" s="1"/>
  <c r="O4340" i="3"/>
  <c r="P4340" i="3"/>
  <c r="K4341" i="3"/>
  <c r="L4341" i="3" s="1"/>
  <c r="O4341" i="3"/>
  <c r="P4341" i="3"/>
  <c r="K4342" i="3"/>
  <c r="L4342" i="3" s="1"/>
  <c r="O4342" i="3"/>
  <c r="P4342" i="3"/>
  <c r="K4343" i="3"/>
  <c r="L4343" i="3" s="1"/>
  <c r="O4343" i="3"/>
  <c r="P4343" i="3"/>
  <c r="K4344" i="3"/>
  <c r="L4344" i="3" s="1"/>
  <c r="O4344" i="3"/>
  <c r="P4344" i="3"/>
  <c r="K4345" i="3"/>
  <c r="L4345" i="3" s="1"/>
  <c r="O4345" i="3"/>
  <c r="P4345" i="3"/>
  <c r="K4346" i="3"/>
  <c r="L4346" i="3" s="1"/>
  <c r="O4346" i="3"/>
  <c r="P4346" i="3"/>
  <c r="K4347" i="3"/>
  <c r="L4347" i="3" s="1"/>
  <c r="O4347" i="3"/>
  <c r="P4347" i="3"/>
  <c r="K4348" i="3"/>
  <c r="L4348" i="3" s="1"/>
  <c r="O4348" i="3"/>
  <c r="P4348" i="3"/>
  <c r="K4349" i="3"/>
  <c r="L4349" i="3" s="1"/>
  <c r="O4349" i="3"/>
  <c r="P4349" i="3"/>
  <c r="K4350" i="3"/>
  <c r="L4350" i="3" s="1"/>
  <c r="O4350" i="3"/>
  <c r="P4350" i="3"/>
  <c r="K4351" i="3"/>
  <c r="L4351" i="3" s="1"/>
  <c r="O4351" i="3"/>
  <c r="P4351" i="3"/>
  <c r="K4352" i="3"/>
  <c r="L4352" i="3" s="1"/>
  <c r="O4352" i="3"/>
  <c r="P4352" i="3"/>
  <c r="K4353" i="3"/>
  <c r="L4353" i="3" s="1"/>
  <c r="O4353" i="3"/>
  <c r="P4353" i="3"/>
  <c r="K4354" i="3"/>
  <c r="L4354" i="3" s="1"/>
  <c r="O4354" i="3"/>
  <c r="P4354" i="3"/>
  <c r="K4355" i="3"/>
  <c r="L4355" i="3" s="1"/>
  <c r="O4355" i="3"/>
  <c r="P4355" i="3"/>
  <c r="K4356" i="3"/>
  <c r="L4356" i="3" s="1"/>
  <c r="O4356" i="3"/>
  <c r="P4356" i="3"/>
  <c r="K4357" i="3"/>
  <c r="L4357" i="3" s="1"/>
  <c r="O4357" i="3"/>
  <c r="P4357" i="3"/>
  <c r="K4358" i="3"/>
  <c r="L4358" i="3" s="1"/>
  <c r="O4358" i="3"/>
  <c r="P4358" i="3"/>
  <c r="K4359" i="3"/>
  <c r="L4359" i="3" s="1"/>
  <c r="O4359" i="3"/>
  <c r="P4359" i="3"/>
  <c r="K4360" i="3"/>
  <c r="L4360" i="3" s="1"/>
  <c r="O4360" i="3"/>
  <c r="P4360" i="3"/>
  <c r="K4361" i="3"/>
  <c r="L4361" i="3" s="1"/>
  <c r="O4361" i="3"/>
  <c r="P4361" i="3"/>
  <c r="O4362" i="3"/>
  <c r="P4362" i="3"/>
  <c r="K4363" i="3"/>
  <c r="L4363" i="3" s="1"/>
  <c r="O4363" i="3"/>
  <c r="P4363" i="3"/>
  <c r="K4364" i="3"/>
  <c r="L4364" i="3" s="1"/>
  <c r="O4364" i="3"/>
  <c r="P4364" i="3"/>
  <c r="K4365" i="3"/>
  <c r="L4365" i="3" s="1"/>
  <c r="O4365" i="3"/>
  <c r="P4365" i="3"/>
  <c r="K4366" i="3"/>
  <c r="L4366" i="3" s="1"/>
  <c r="O4366" i="3"/>
  <c r="P4366" i="3"/>
  <c r="K4367" i="3"/>
  <c r="L4367" i="3" s="1"/>
  <c r="O4367" i="3"/>
  <c r="P4367" i="3"/>
  <c r="K4368" i="3"/>
  <c r="L4368" i="3" s="1"/>
  <c r="O4368" i="3"/>
  <c r="P4368" i="3"/>
  <c r="K4369" i="3"/>
  <c r="L4369" i="3" s="1"/>
  <c r="O4369" i="3"/>
  <c r="P4369" i="3"/>
  <c r="K4370" i="3"/>
  <c r="L4370" i="3" s="1"/>
  <c r="O4370" i="3"/>
  <c r="P4370" i="3"/>
  <c r="K4371" i="3"/>
  <c r="L4371" i="3" s="1"/>
  <c r="O4371" i="3"/>
  <c r="P4371" i="3"/>
  <c r="K4372" i="3"/>
  <c r="L4372" i="3" s="1"/>
  <c r="O4372" i="3"/>
  <c r="P4372" i="3"/>
  <c r="K4373" i="3"/>
  <c r="L4373" i="3" s="1"/>
  <c r="O4373" i="3"/>
  <c r="P4373" i="3"/>
  <c r="K4374" i="3"/>
  <c r="L4374" i="3" s="1"/>
  <c r="O4374" i="3"/>
  <c r="P4374" i="3"/>
  <c r="K4375" i="3"/>
  <c r="L4375" i="3" s="1"/>
  <c r="O4375" i="3"/>
  <c r="P4375" i="3"/>
  <c r="K4376" i="3"/>
  <c r="L4376" i="3" s="1"/>
  <c r="O4376" i="3"/>
  <c r="P4376" i="3"/>
  <c r="K4377" i="3"/>
  <c r="L4377" i="3" s="1"/>
  <c r="O4377" i="3"/>
  <c r="P4377" i="3"/>
  <c r="K4378" i="3"/>
  <c r="L4378" i="3" s="1"/>
  <c r="O4378" i="3"/>
  <c r="P4378" i="3"/>
  <c r="K4379" i="3"/>
  <c r="L4379" i="3" s="1"/>
  <c r="O4379" i="3"/>
  <c r="P4379" i="3"/>
  <c r="K4380" i="3"/>
  <c r="L4380" i="3" s="1"/>
  <c r="O4380" i="3"/>
  <c r="P4380" i="3"/>
  <c r="K4381" i="3"/>
  <c r="L4381" i="3" s="1"/>
  <c r="O4381" i="3"/>
  <c r="P4381" i="3"/>
  <c r="K4382" i="3"/>
  <c r="L4382" i="3" s="1"/>
  <c r="O4382" i="3"/>
  <c r="P4382" i="3"/>
  <c r="K4383" i="3"/>
  <c r="L4383" i="3" s="1"/>
  <c r="O4383" i="3"/>
  <c r="P4383" i="3"/>
  <c r="K4384" i="3"/>
  <c r="L4384" i="3" s="1"/>
  <c r="O4384" i="3"/>
  <c r="P4384" i="3"/>
  <c r="K4385" i="3"/>
  <c r="L4385" i="3" s="1"/>
  <c r="O4385" i="3"/>
  <c r="P4385" i="3"/>
  <c r="K4386" i="3"/>
  <c r="L4386" i="3" s="1"/>
  <c r="O4386" i="3"/>
  <c r="P4386" i="3"/>
  <c r="K4387" i="3"/>
  <c r="L4387" i="3" s="1"/>
  <c r="O4387" i="3"/>
  <c r="P4387" i="3"/>
  <c r="K4388" i="3"/>
  <c r="L4388" i="3" s="1"/>
  <c r="O4388" i="3"/>
  <c r="P4388" i="3"/>
  <c r="K4389" i="3"/>
  <c r="L4389" i="3" s="1"/>
  <c r="O4389" i="3"/>
  <c r="P4389" i="3"/>
  <c r="K4390" i="3"/>
  <c r="L4390" i="3" s="1"/>
  <c r="O4390" i="3"/>
  <c r="P4390" i="3"/>
  <c r="K4391" i="3"/>
  <c r="L4391" i="3" s="1"/>
  <c r="O4391" i="3"/>
  <c r="P4391" i="3"/>
  <c r="K4392" i="3"/>
  <c r="L4392" i="3" s="1"/>
  <c r="O4392" i="3"/>
  <c r="P4392" i="3"/>
  <c r="K4393" i="3"/>
  <c r="L4393" i="3" s="1"/>
  <c r="O4393" i="3"/>
  <c r="P4393" i="3"/>
  <c r="K4394" i="3"/>
  <c r="L4394" i="3" s="1"/>
  <c r="O4394" i="3"/>
  <c r="P4394" i="3"/>
  <c r="K4395" i="3"/>
  <c r="L4395" i="3" s="1"/>
  <c r="O4395" i="3"/>
  <c r="P4395" i="3"/>
  <c r="K4396" i="3"/>
  <c r="L4396" i="3" s="1"/>
  <c r="O4396" i="3"/>
  <c r="P4396" i="3"/>
  <c r="K4397" i="3"/>
  <c r="L4397" i="3" s="1"/>
  <c r="O4397" i="3"/>
  <c r="P4397" i="3"/>
  <c r="K4398" i="3"/>
  <c r="L4398" i="3" s="1"/>
  <c r="O4398" i="3"/>
  <c r="P4398" i="3"/>
  <c r="K4399" i="3"/>
  <c r="L4399" i="3" s="1"/>
  <c r="O4399" i="3"/>
  <c r="P4399" i="3"/>
  <c r="K4400" i="3"/>
  <c r="L4400" i="3" s="1"/>
  <c r="O4400" i="3"/>
  <c r="P4400" i="3"/>
  <c r="K4401" i="3"/>
  <c r="L4401" i="3" s="1"/>
  <c r="O4401" i="3"/>
  <c r="P4401" i="3"/>
  <c r="K4402" i="3"/>
  <c r="L4402" i="3" s="1"/>
  <c r="O4402" i="3"/>
  <c r="P4402" i="3"/>
  <c r="K4403" i="3"/>
  <c r="L4403" i="3" s="1"/>
  <c r="O4403" i="3"/>
  <c r="P4403" i="3"/>
  <c r="K4404" i="3"/>
  <c r="L4404" i="3" s="1"/>
  <c r="O4404" i="3"/>
  <c r="P4404" i="3"/>
  <c r="K4405" i="3"/>
  <c r="L4405" i="3" s="1"/>
  <c r="O4405" i="3"/>
  <c r="P4405" i="3"/>
  <c r="K4406" i="3"/>
  <c r="L4406" i="3" s="1"/>
  <c r="O4406" i="3"/>
  <c r="P4406" i="3"/>
  <c r="K4407" i="3"/>
  <c r="L4407" i="3" s="1"/>
  <c r="O4407" i="3"/>
  <c r="P4407" i="3"/>
  <c r="K4408" i="3"/>
  <c r="L4408" i="3" s="1"/>
  <c r="O4408" i="3"/>
  <c r="P4408" i="3"/>
  <c r="K4409" i="3"/>
  <c r="L4409" i="3" s="1"/>
  <c r="O4409" i="3"/>
  <c r="P4409" i="3"/>
  <c r="K4410" i="3"/>
  <c r="L4410" i="3" s="1"/>
  <c r="O4410" i="3"/>
  <c r="P4410" i="3"/>
  <c r="K4411" i="3"/>
  <c r="L4411" i="3" s="1"/>
  <c r="O4411" i="3"/>
  <c r="P4411" i="3"/>
  <c r="K4412" i="3"/>
  <c r="L4412" i="3" s="1"/>
  <c r="O4412" i="3"/>
  <c r="P4412" i="3"/>
  <c r="K4413" i="3"/>
  <c r="L4413" i="3" s="1"/>
  <c r="O4413" i="3"/>
  <c r="P4413" i="3"/>
  <c r="K4414" i="3"/>
  <c r="L4414" i="3" s="1"/>
  <c r="O4414" i="3"/>
  <c r="P4414" i="3"/>
  <c r="K4415" i="3"/>
  <c r="L4415" i="3" s="1"/>
  <c r="O4415" i="3"/>
  <c r="P4415" i="3"/>
  <c r="K4416" i="3"/>
  <c r="L4416" i="3" s="1"/>
  <c r="O4416" i="3"/>
  <c r="P4416" i="3"/>
  <c r="K4417" i="3"/>
  <c r="L4417" i="3" s="1"/>
  <c r="O4417" i="3"/>
  <c r="P4417" i="3"/>
  <c r="K4418" i="3"/>
  <c r="L4418" i="3" s="1"/>
  <c r="O4418" i="3"/>
  <c r="P4418" i="3"/>
  <c r="K4419" i="3"/>
  <c r="L4419" i="3" s="1"/>
  <c r="O4419" i="3"/>
  <c r="P4419" i="3"/>
  <c r="K4420" i="3"/>
  <c r="L4420" i="3" s="1"/>
  <c r="O4420" i="3"/>
  <c r="P4420" i="3"/>
  <c r="K4421" i="3"/>
  <c r="L4421" i="3" s="1"/>
  <c r="O4421" i="3"/>
  <c r="P4421" i="3"/>
  <c r="K4422" i="3"/>
  <c r="L4422" i="3" s="1"/>
  <c r="O4422" i="3"/>
  <c r="P4422" i="3"/>
  <c r="K4423" i="3"/>
  <c r="L4423" i="3" s="1"/>
  <c r="O4423" i="3"/>
  <c r="P4423" i="3"/>
  <c r="K4424" i="3"/>
  <c r="L4424" i="3" s="1"/>
  <c r="O4424" i="3"/>
  <c r="P4424" i="3"/>
  <c r="K4425" i="3"/>
  <c r="L4425" i="3" s="1"/>
  <c r="O4425" i="3"/>
  <c r="P4425" i="3"/>
  <c r="K4426" i="3"/>
  <c r="L4426" i="3" s="1"/>
  <c r="O4426" i="3"/>
  <c r="P4426" i="3"/>
  <c r="K4427" i="3"/>
  <c r="L4427" i="3" s="1"/>
  <c r="O4427" i="3"/>
  <c r="P4427" i="3"/>
  <c r="K4428" i="3"/>
  <c r="L4428" i="3" s="1"/>
  <c r="O4428" i="3"/>
  <c r="P4428" i="3"/>
  <c r="K4429" i="3"/>
  <c r="L4429" i="3" s="1"/>
  <c r="O4429" i="3"/>
  <c r="P4429" i="3"/>
  <c r="K4430" i="3"/>
  <c r="L4430" i="3" s="1"/>
  <c r="O4430" i="3"/>
  <c r="P4430" i="3"/>
  <c r="K4431" i="3"/>
  <c r="L4431" i="3" s="1"/>
  <c r="O4431" i="3"/>
  <c r="P4431" i="3"/>
  <c r="K4432" i="3"/>
  <c r="L4432" i="3" s="1"/>
  <c r="O4432" i="3"/>
  <c r="P4432" i="3"/>
  <c r="K4433" i="3"/>
  <c r="L4433" i="3" s="1"/>
  <c r="O4433" i="3"/>
  <c r="P4433" i="3"/>
  <c r="K4434" i="3"/>
  <c r="L4434" i="3" s="1"/>
  <c r="O4434" i="3"/>
  <c r="P4434" i="3"/>
  <c r="K4435" i="3"/>
  <c r="L4435" i="3" s="1"/>
  <c r="O4435" i="3"/>
  <c r="P4435" i="3"/>
  <c r="K4436" i="3"/>
  <c r="L4436" i="3" s="1"/>
  <c r="O4436" i="3"/>
  <c r="P4436" i="3"/>
  <c r="K4437" i="3"/>
  <c r="L4437" i="3" s="1"/>
  <c r="O4437" i="3"/>
  <c r="P4437" i="3"/>
  <c r="K4438" i="3"/>
  <c r="L4438" i="3" s="1"/>
  <c r="O4438" i="3"/>
  <c r="P4438" i="3"/>
  <c r="K4439" i="3"/>
  <c r="L4439" i="3" s="1"/>
  <c r="O4439" i="3"/>
  <c r="P4439" i="3"/>
  <c r="K4440" i="3"/>
  <c r="L4440" i="3" s="1"/>
  <c r="O4440" i="3"/>
  <c r="P4440" i="3"/>
  <c r="K4441" i="3"/>
  <c r="L4441" i="3" s="1"/>
  <c r="O4441" i="3"/>
  <c r="P4441" i="3"/>
  <c r="K4442" i="3"/>
  <c r="L4442" i="3" s="1"/>
  <c r="O4442" i="3"/>
  <c r="P4442" i="3"/>
  <c r="K4443" i="3"/>
  <c r="L4443" i="3" s="1"/>
  <c r="O4443" i="3"/>
  <c r="P4443" i="3"/>
  <c r="K4444" i="3"/>
  <c r="L4444" i="3" s="1"/>
  <c r="O4444" i="3"/>
  <c r="P4444" i="3"/>
  <c r="K4445" i="3"/>
  <c r="L4445" i="3" s="1"/>
  <c r="O4445" i="3"/>
  <c r="P4445" i="3"/>
  <c r="K4446" i="3"/>
  <c r="L4446" i="3" s="1"/>
  <c r="O4446" i="3"/>
  <c r="P4446" i="3"/>
  <c r="K4447" i="3"/>
  <c r="L4447" i="3" s="1"/>
  <c r="O4447" i="3"/>
  <c r="P4447" i="3"/>
  <c r="K4448" i="3"/>
  <c r="L4448" i="3" s="1"/>
  <c r="O4448" i="3"/>
  <c r="P4448" i="3"/>
  <c r="K4449" i="3"/>
  <c r="L4449" i="3" s="1"/>
  <c r="O4449" i="3"/>
  <c r="P4449" i="3"/>
  <c r="K4450" i="3"/>
  <c r="L4450" i="3" s="1"/>
  <c r="O4450" i="3"/>
  <c r="P4450" i="3"/>
  <c r="K4451" i="3"/>
  <c r="L4451" i="3" s="1"/>
  <c r="O4451" i="3"/>
  <c r="P4451" i="3"/>
  <c r="K4452" i="3"/>
  <c r="L4452" i="3" s="1"/>
  <c r="O4452" i="3"/>
  <c r="P4452" i="3"/>
  <c r="K4453" i="3"/>
  <c r="L4453" i="3" s="1"/>
  <c r="O4453" i="3"/>
  <c r="P4453" i="3"/>
  <c r="K4454" i="3"/>
  <c r="L4454" i="3" s="1"/>
  <c r="O4454" i="3"/>
  <c r="P4454" i="3"/>
  <c r="K4455" i="3"/>
  <c r="L4455" i="3" s="1"/>
  <c r="O4455" i="3"/>
  <c r="P4455" i="3"/>
  <c r="K4456" i="3"/>
  <c r="L4456" i="3" s="1"/>
  <c r="O4456" i="3"/>
  <c r="P4456" i="3"/>
  <c r="K4457" i="3"/>
  <c r="L4457" i="3" s="1"/>
  <c r="O4457" i="3"/>
  <c r="P4457" i="3"/>
  <c r="K4458" i="3"/>
  <c r="L4458" i="3" s="1"/>
  <c r="O4458" i="3"/>
  <c r="P4458" i="3"/>
  <c r="K4459" i="3"/>
  <c r="L4459" i="3" s="1"/>
  <c r="O4459" i="3"/>
  <c r="P4459" i="3"/>
  <c r="K4460" i="3"/>
  <c r="L4460" i="3" s="1"/>
  <c r="O4460" i="3"/>
  <c r="P4460" i="3"/>
  <c r="K4461" i="3"/>
  <c r="L4461" i="3" s="1"/>
  <c r="O4461" i="3"/>
  <c r="P4461" i="3"/>
  <c r="K4462" i="3"/>
  <c r="L4462" i="3" s="1"/>
  <c r="O4462" i="3"/>
  <c r="P4462" i="3"/>
  <c r="K4463" i="3"/>
  <c r="L4463" i="3" s="1"/>
  <c r="O4463" i="3"/>
  <c r="P4463" i="3"/>
  <c r="K4464" i="3"/>
  <c r="L4464" i="3" s="1"/>
  <c r="O4464" i="3"/>
  <c r="P4464" i="3"/>
  <c r="K4465" i="3"/>
  <c r="L4465" i="3" s="1"/>
  <c r="O4465" i="3"/>
  <c r="P4465" i="3"/>
  <c r="K4466" i="3"/>
  <c r="L4466" i="3" s="1"/>
  <c r="O4466" i="3"/>
  <c r="P4466" i="3"/>
  <c r="K4467" i="3"/>
  <c r="L4467" i="3" s="1"/>
  <c r="O4467" i="3"/>
  <c r="P4467" i="3"/>
  <c r="K4468" i="3"/>
  <c r="L4468" i="3" s="1"/>
  <c r="O4468" i="3"/>
  <c r="P4468" i="3"/>
  <c r="K4469" i="3"/>
  <c r="L4469" i="3" s="1"/>
  <c r="O4469" i="3"/>
  <c r="P4469" i="3"/>
  <c r="K4470" i="3"/>
  <c r="L4470" i="3" s="1"/>
  <c r="O4470" i="3"/>
  <c r="P4470" i="3"/>
  <c r="K4471" i="3"/>
  <c r="L4471" i="3" s="1"/>
  <c r="O4471" i="3"/>
  <c r="P4471" i="3"/>
  <c r="K4472" i="3"/>
  <c r="L4472" i="3" s="1"/>
  <c r="O4472" i="3"/>
  <c r="P4472" i="3"/>
  <c r="K4473" i="3"/>
  <c r="L4473" i="3" s="1"/>
  <c r="O4473" i="3"/>
  <c r="P4473" i="3"/>
  <c r="K4474" i="3"/>
  <c r="L4474" i="3" s="1"/>
  <c r="O4474" i="3"/>
  <c r="P4474" i="3"/>
  <c r="K4475" i="3"/>
  <c r="L4475" i="3" s="1"/>
  <c r="O4475" i="3"/>
  <c r="P4475" i="3"/>
  <c r="K4476" i="3"/>
  <c r="L4476" i="3" s="1"/>
  <c r="O4476" i="3"/>
  <c r="P4476" i="3"/>
  <c r="K4477" i="3"/>
  <c r="L4477" i="3" s="1"/>
  <c r="O4477" i="3"/>
  <c r="P4477" i="3"/>
  <c r="K4478" i="3"/>
  <c r="L4478" i="3" s="1"/>
  <c r="O4478" i="3"/>
  <c r="P4478" i="3"/>
  <c r="K4479" i="3"/>
  <c r="L4479" i="3" s="1"/>
  <c r="O4479" i="3"/>
  <c r="P4479" i="3"/>
  <c r="K4480" i="3"/>
  <c r="L4480" i="3" s="1"/>
  <c r="O4480" i="3"/>
  <c r="P4480" i="3"/>
  <c r="K4481" i="3"/>
  <c r="L4481" i="3" s="1"/>
  <c r="O4481" i="3"/>
  <c r="P4481" i="3"/>
  <c r="K4482" i="3"/>
  <c r="L4482" i="3" s="1"/>
  <c r="O4482" i="3"/>
  <c r="P4482" i="3"/>
  <c r="K4483" i="3"/>
  <c r="L4483" i="3" s="1"/>
  <c r="O4483" i="3"/>
  <c r="P4483" i="3"/>
  <c r="K4484" i="3"/>
  <c r="L4484" i="3" s="1"/>
  <c r="O4484" i="3"/>
  <c r="P4484" i="3"/>
  <c r="K4485" i="3"/>
  <c r="L4485" i="3" s="1"/>
  <c r="O4485" i="3"/>
  <c r="P4485" i="3"/>
  <c r="K4486" i="3"/>
  <c r="L4486" i="3" s="1"/>
  <c r="O4486" i="3"/>
  <c r="P4486" i="3"/>
  <c r="K4487" i="3"/>
  <c r="L4487" i="3" s="1"/>
  <c r="O4487" i="3"/>
  <c r="P4487" i="3"/>
  <c r="K4488" i="3"/>
  <c r="L4488" i="3" s="1"/>
  <c r="O4488" i="3"/>
  <c r="P4488" i="3"/>
  <c r="K4489" i="3"/>
  <c r="L4489" i="3" s="1"/>
  <c r="O4489" i="3"/>
  <c r="P4489" i="3"/>
  <c r="K4490" i="3"/>
  <c r="L4490" i="3" s="1"/>
  <c r="O4490" i="3"/>
  <c r="P4490" i="3"/>
  <c r="K4491" i="3"/>
  <c r="L4491" i="3" s="1"/>
  <c r="O4491" i="3"/>
  <c r="P4491" i="3"/>
  <c r="K4492" i="3"/>
  <c r="L4492" i="3" s="1"/>
  <c r="O4492" i="3"/>
  <c r="P4492" i="3"/>
  <c r="K4493" i="3"/>
  <c r="L4493" i="3" s="1"/>
  <c r="O4493" i="3"/>
  <c r="P4493" i="3"/>
  <c r="K4494" i="3"/>
  <c r="L4494" i="3" s="1"/>
  <c r="O4494" i="3"/>
  <c r="P4494" i="3"/>
  <c r="K4495" i="3"/>
  <c r="L4495" i="3" s="1"/>
  <c r="O4495" i="3"/>
  <c r="P4495" i="3"/>
  <c r="K4496" i="3"/>
  <c r="L4496" i="3" s="1"/>
  <c r="O4496" i="3"/>
  <c r="P4496" i="3"/>
  <c r="K4497" i="3"/>
  <c r="L4497" i="3" s="1"/>
  <c r="O4497" i="3"/>
  <c r="P4497" i="3"/>
  <c r="K4498" i="3"/>
  <c r="L4498" i="3" s="1"/>
  <c r="O4498" i="3"/>
  <c r="P4498" i="3"/>
  <c r="K4499" i="3"/>
  <c r="L4499" i="3" s="1"/>
  <c r="O4499" i="3"/>
  <c r="P4499" i="3"/>
  <c r="K4500" i="3"/>
  <c r="L4500" i="3" s="1"/>
  <c r="O4500" i="3"/>
  <c r="P4500" i="3"/>
  <c r="K4501" i="3"/>
  <c r="L4501" i="3" s="1"/>
  <c r="O4501" i="3"/>
  <c r="P4501" i="3"/>
  <c r="K4502" i="3"/>
  <c r="L4502" i="3" s="1"/>
  <c r="O4502" i="3"/>
  <c r="P4502" i="3"/>
  <c r="K4503" i="3"/>
  <c r="L4503" i="3" s="1"/>
  <c r="O4503" i="3"/>
  <c r="P4503" i="3"/>
  <c r="K4504" i="3"/>
  <c r="L4504" i="3" s="1"/>
  <c r="O4504" i="3"/>
  <c r="P4504" i="3"/>
  <c r="K4505" i="3"/>
  <c r="L4505" i="3" s="1"/>
  <c r="O4505" i="3"/>
  <c r="P4505" i="3"/>
  <c r="K4506" i="3"/>
  <c r="L4506" i="3" s="1"/>
  <c r="O4506" i="3"/>
  <c r="P4506" i="3"/>
  <c r="K4507" i="3"/>
  <c r="L4507" i="3" s="1"/>
  <c r="O4507" i="3"/>
  <c r="P4507" i="3"/>
  <c r="K4508" i="3"/>
  <c r="L4508" i="3" s="1"/>
  <c r="O4508" i="3"/>
  <c r="P4508" i="3"/>
  <c r="K4509" i="3"/>
  <c r="L4509" i="3" s="1"/>
  <c r="O4509" i="3"/>
  <c r="P4509" i="3"/>
  <c r="K4510" i="3"/>
  <c r="L4510" i="3" s="1"/>
  <c r="O4510" i="3"/>
  <c r="P4510" i="3"/>
  <c r="K4511" i="3"/>
  <c r="L4511" i="3" s="1"/>
  <c r="O4511" i="3"/>
  <c r="P4511" i="3"/>
  <c r="K4512" i="3"/>
  <c r="L4512" i="3" s="1"/>
  <c r="O4512" i="3"/>
  <c r="P4512" i="3"/>
  <c r="K4513" i="3"/>
  <c r="L4513" i="3" s="1"/>
  <c r="O4513" i="3"/>
  <c r="P4513" i="3"/>
  <c r="K4514" i="3"/>
  <c r="L4514" i="3" s="1"/>
  <c r="O4514" i="3"/>
  <c r="P4514" i="3"/>
  <c r="K4515" i="3"/>
  <c r="L4515" i="3" s="1"/>
  <c r="O4515" i="3"/>
  <c r="P4515" i="3"/>
  <c r="K4516" i="3"/>
  <c r="L4516" i="3" s="1"/>
  <c r="O4516" i="3"/>
  <c r="P4516" i="3"/>
  <c r="K4517" i="3"/>
  <c r="L4517" i="3" s="1"/>
  <c r="O4517" i="3"/>
  <c r="P4517" i="3"/>
  <c r="K4518" i="3"/>
  <c r="L4518" i="3" s="1"/>
  <c r="O4518" i="3"/>
  <c r="P4518" i="3"/>
  <c r="K4519" i="3"/>
  <c r="L4519" i="3" s="1"/>
  <c r="O4519" i="3"/>
  <c r="P4519" i="3"/>
  <c r="K4520" i="3"/>
  <c r="L4520" i="3" s="1"/>
  <c r="O4520" i="3"/>
  <c r="P4520" i="3"/>
  <c r="K4521" i="3"/>
  <c r="L4521" i="3" s="1"/>
  <c r="O4521" i="3"/>
  <c r="P4521" i="3"/>
  <c r="K4522" i="3"/>
  <c r="L4522" i="3" s="1"/>
  <c r="O4522" i="3"/>
  <c r="P4522" i="3"/>
  <c r="K4523" i="3"/>
  <c r="L4523" i="3" s="1"/>
  <c r="O4523" i="3"/>
  <c r="P4523" i="3"/>
  <c r="K4524" i="3"/>
  <c r="L4524" i="3" s="1"/>
  <c r="O4524" i="3"/>
  <c r="P4524" i="3"/>
  <c r="K4525" i="3"/>
  <c r="L4525" i="3" s="1"/>
  <c r="O4525" i="3"/>
  <c r="P4525" i="3"/>
  <c r="K4526" i="3"/>
  <c r="L4526" i="3" s="1"/>
  <c r="O4526" i="3"/>
  <c r="P4526" i="3"/>
  <c r="K4527" i="3"/>
  <c r="L4527" i="3" s="1"/>
  <c r="O4527" i="3"/>
  <c r="P4527" i="3"/>
  <c r="K4528" i="3"/>
  <c r="L4528" i="3" s="1"/>
  <c r="O4528" i="3"/>
  <c r="P4528" i="3"/>
  <c r="K4529" i="3"/>
  <c r="L4529" i="3" s="1"/>
  <c r="O4529" i="3"/>
  <c r="P4529" i="3"/>
  <c r="K4530" i="3"/>
  <c r="L4530" i="3" s="1"/>
  <c r="O4530" i="3"/>
  <c r="P4530" i="3"/>
  <c r="K4531" i="3"/>
  <c r="L4531" i="3" s="1"/>
  <c r="O4531" i="3"/>
  <c r="P4531" i="3"/>
  <c r="K4532" i="3"/>
  <c r="L4532" i="3" s="1"/>
  <c r="O4532" i="3"/>
  <c r="P4532" i="3"/>
  <c r="K4533" i="3"/>
  <c r="L4533" i="3" s="1"/>
  <c r="O4533" i="3"/>
  <c r="P4533" i="3"/>
  <c r="K4534" i="3"/>
  <c r="L4534" i="3" s="1"/>
  <c r="O4534" i="3"/>
  <c r="P4534" i="3"/>
  <c r="K4535" i="3"/>
  <c r="L4535" i="3" s="1"/>
  <c r="O4535" i="3"/>
  <c r="P4535" i="3"/>
  <c r="K4536" i="3"/>
  <c r="L4536" i="3" s="1"/>
  <c r="O4536" i="3"/>
  <c r="P4536" i="3"/>
  <c r="K4537" i="3"/>
  <c r="L4537" i="3" s="1"/>
  <c r="O4537" i="3"/>
  <c r="P4537" i="3"/>
  <c r="K4538" i="3"/>
  <c r="L4538" i="3" s="1"/>
  <c r="O4538" i="3"/>
  <c r="P4538" i="3"/>
  <c r="K4539" i="3"/>
  <c r="L4539" i="3" s="1"/>
  <c r="O4539" i="3"/>
  <c r="P4539" i="3"/>
  <c r="K4540" i="3"/>
  <c r="L4540" i="3" s="1"/>
  <c r="O4540" i="3"/>
  <c r="P4540" i="3"/>
  <c r="K4541" i="3"/>
  <c r="L4541" i="3" s="1"/>
  <c r="O4541" i="3"/>
  <c r="P4541" i="3"/>
  <c r="K4542" i="3"/>
  <c r="L4542" i="3" s="1"/>
  <c r="O4542" i="3"/>
  <c r="P4542" i="3"/>
  <c r="K4543" i="3"/>
  <c r="L4543" i="3" s="1"/>
  <c r="O4543" i="3"/>
  <c r="P4543" i="3"/>
  <c r="K4544" i="3"/>
  <c r="L4544" i="3" s="1"/>
  <c r="O4544" i="3"/>
  <c r="P4544" i="3"/>
  <c r="K4545" i="3"/>
  <c r="L4545" i="3" s="1"/>
  <c r="O4545" i="3"/>
  <c r="P4545" i="3"/>
  <c r="K4546" i="3"/>
  <c r="L4546" i="3" s="1"/>
  <c r="O4546" i="3"/>
  <c r="P4546" i="3"/>
  <c r="K4547" i="3"/>
  <c r="L4547" i="3" s="1"/>
  <c r="O4547" i="3"/>
  <c r="P4547" i="3"/>
  <c r="K4548" i="3"/>
  <c r="L4548" i="3" s="1"/>
  <c r="O4548" i="3"/>
  <c r="P4548" i="3"/>
  <c r="K4549" i="3"/>
  <c r="L4549" i="3" s="1"/>
  <c r="O4549" i="3"/>
  <c r="P4549" i="3"/>
  <c r="K4550" i="3"/>
  <c r="L4550" i="3" s="1"/>
  <c r="O4550" i="3"/>
  <c r="P4550" i="3"/>
  <c r="K4551" i="3"/>
  <c r="L4551" i="3" s="1"/>
  <c r="O4551" i="3"/>
  <c r="P4551" i="3"/>
  <c r="K4552" i="3"/>
  <c r="L4552" i="3" s="1"/>
  <c r="O4552" i="3"/>
  <c r="P4552" i="3"/>
  <c r="K4553" i="3"/>
  <c r="L4553" i="3" s="1"/>
  <c r="O4553" i="3"/>
  <c r="P4553" i="3"/>
  <c r="K4554" i="3"/>
  <c r="L4554" i="3" s="1"/>
  <c r="O4554" i="3"/>
  <c r="P4554" i="3"/>
  <c r="K4555" i="3"/>
  <c r="L4555" i="3" s="1"/>
  <c r="O4555" i="3"/>
  <c r="P4555" i="3"/>
  <c r="K4556" i="3"/>
  <c r="L4556" i="3" s="1"/>
  <c r="O4556" i="3"/>
  <c r="P4556" i="3"/>
  <c r="K4557" i="3"/>
  <c r="L4557" i="3" s="1"/>
  <c r="O4557" i="3"/>
  <c r="P4557" i="3"/>
  <c r="K4558" i="3"/>
  <c r="L4558" i="3" s="1"/>
  <c r="O4558" i="3"/>
  <c r="P4558" i="3"/>
  <c r="K4559" i="3"/>
  <c r="L4559" i="3" s="1"/>
  <c r="O4559" i="3"/>
  <c r="P4559" i="3"/>
  <c r="K4560" i="3"/>
  <c r="L4560" i="3" s="1"/>
  <c r="O4560" i="3"/>
  <c r="P4560" i="3"/>
  <c r="K4561" i="3"/>
  <c r="L4561" i="3" s="1"/>
  <c r="O4561" i="3"/>
  <c r="P4561" i="3"/>
  <c r="K4562" i="3"/>
  <c r="L4562" i="3" s="1"/>
  <c r="O4562" i="3"/>
  <c r="P4562" i="3"/>
  <c r="K4563" i="3"/>
  <c r="L4563" i="3" s="1"/>
  <c r="O4563" i="3"/>
  <c r="P4563" i="3"/>
  <c r="K4564" i="3"/>
  <c r="L4564" i="3" s="1"/>
  <c r="O4564" i="3"/>
  <c r="P4564" i="3"/>
  <c r="K4565" i="3"/>
  <c r="L4565" i="3" s="1"/>
  <c r="O4565" i="3"/>
  <c r="P4565" i="3"/>
  <c r="K4566" i="3"/>
  <c r="L4566" i="3" s="1"/>
  <c r="O4566" i="3"/>
  <c r="P4566" i="3"/>
  <c r="K4567" i="3"/>
  <c r="L4567" i="3" s="1"/>
  <c r="O4567" i="3"/>
  <c r="P4567" i="3"/>
  <c r="K4568" i="3"/>
  <c r="L4568" i="3" s="1"/>
  <c r="O4568" i="3"/>
  <c r="P4568" i="3"/>
  <c r="K4569" i="3"/>
  <c r="L4569" i="3" s="1"/>
  <c r="O4569" i="3"/>
  <c r="P4569" i="3"/>
  <c r="K4570" i="3"/>
  <c r="L4570" i="3" s="1"/>
  <c r="O4570" i="3"/>
  <c r="P4570" i="3"/>
  <c r="K4571" i="3"/>
  <c r="L4571" i="3" s="1"/>
  <c r="O4571" i="3"/>
  <c r="P4571" i="3"/>
  <c r="K4572" i="3"/>
  <c r="L4572" i="3" s="1"/>
  <c r="O4572" i="3"/>
  <c r="P4572" i="3"/>
  <c r="K4573" i="3"/>
  <c r="L4573" i="3" s="1"/>
  <c r="O4573" i="3"/>
  <c r="P4573" i="3"/>
  <c r="K4574" i="3"/>
  <c r="L4574" i="3" s="1"/>
  <c r="O4574" i="3"/>
  <c r="P4574" i="3"/>
  <c r="K4575" i="3"/>
  <c r="L4575" i="3" s="1"/>
  <c r="O4575" i="3"/>
  <c r="P4575" i="3"/>
  <c r="K4576" i="3"/>
  <c r="L4576" i="3" s="1"/>
  <c r="O4576" i="3"/>
  <c r="P4576" i="3"/>
  <c r="K4577" i="3"/>
  <c r="L4577" i="3" s="1"/>
  <c r="O4577" i="3"/>
  <c r="P4577" i="3"/>
  <c r="K4578" i="3"/>
  <c r="L4578" i="3" s="1"/>
  <c r="O4578" i="3"/>
  <c r="P4578" i="3"/>
  <c r="K4579" i="3"/>
  <c r="L4579" i="3" s="1"/>
  <c r="O4579" i="3"/>
  <c r="P4579" i="3"/>
  <c r="K4580" i="3"/>
  <c r="L4580" i="3" s="1"/>
  <c r="O4580" i="3"/>
  <c r="P4580" i="3"/>
  <c r="K4581" i="3"/>
  <c r="L4581" i="3" s="1"/>
  <c r="O4581" i="3"/>
  <c r="P4581" i="3"/>
  <c r="K4582" i="3"/>
  <c r="L4582" i="3" s="1"/>
  <c r="O4582" i="3"/>
  <c r="P4582" i="3"/>
  <c r="K4583" i="3"/>
  <c r="L4583" i="3" s="1"/>
  <c r="O4583" i="3"/>
  <c r="P4583" i="3"/>
  <c r="K4584" i="3"/>
  <c r="L4584" i="3" s="1"/>
  <c r="O4584" i="3"/>
  <c r="P4584" i="3"/>
  <c r="K4585" i="3"/>
  <c r="L4585" i="3" s="1"/>
  <c r="O4585" i="3"/>
  <c r="P4585" i="3"/>
  <c r="K4586" i="3"/>
  <c r="L4586" i="3" s="1"/>
  <c r="O4586" i="3"/>
  <c r="P4586" i="3"/>
  <c r="K4587" i="3"/>
  <c r="L4587" i="3" s="1"/>
  <c r="O4587" i="3"/>
  <c r="P4587" i="3"/>
  <c r="K4588" i="3"/>
  <c r="L4588" i="3" s="1"/>
  <c r="O4588" i="3"/>
  <c r="P4588" i="3"/>
  <c r="K4589" i="3"/>
  <c r="L4589" i="3" s="1"/>
  <c r="O4589" i="3"/>
  <c r="P4589" i="3"/>
  <c r="K4590" i="3"/>
  <c r="L4590" i="3" s="1"/>
  <c r="O4590" i="3"/>
  <c r="P4590" i="3"/>
  <c r="K4591" i="3"/>
  <c r="L4591" i="3" s="1"/>
  <c r="O4591" i="3"/>
  <c r="P4591" i="3"/>
  <c r="K4592" i="3"/>
  <c r="L4592" i="3" s="1"/>
  <c r="O4592" i="3"/>
  <c r="P4592" i="3"/>
  <c r="K4593" i="3"/>
  <c r="L4593" i="3" s="1"/>
  <c r="O4593" i="3"/>
  <c r="P4593" i="3"/>
  <c r="K4594" i="3"/>
  <c r="L4594" i="3" s="1"/>
  <c r="O4594" i="3"/>
  <c r="P4594" i="3"/>
  <c r="K4595" i="3"/>
  <c r="L4595" i="3" s="1"/>
  <c r="O4595" i="3"/>
  <c r="P4595" i="3"/>
  <c r="K4596" i="3"/>
  <c r="L4596" i="3" s="1"/>
  <c r="O4596" i="3"/>
  <c r="P4596" i="3"/>
  <c r="K4597" i="3"/>
  <c r="L4597" i="3" s="1"/>
  <c r="O4597" i="3"/>
  <c r="P4597" i="3"/>
  <c r="K4598" i="3"/>
  <c r="L4598" i="3" s="1"/>
  <c r="O4598" i="3"/>
  <c r="P4598" i="3"/>
  <c r="K4599" i="3"/>
  <c r="L4599" i="3" s="1"/>
  <c r="O4599" i="3"/>
  <c r="P4599" i="3"/>
  <c r="K4600" i="3"/>
  <c r="L4600" i="3" s="1"/>
  <c r="O4600" i="3"/>
  <c r="P4600" i="3"/>
  <c r="K4601" i="3"/>
  <c r="L4601" i="3" s="1"/>
  <c r="O4601" i="3"/>
  <c r="P4601" i="3"/>
  <c r="K4602" i="3"/>
  <c r="L4602" i="3" s="1"/>
  <c r="O4602" i="3"/>
  <c r="P4602" i="3"/>
  <c r="K4603" i="3"/>
  <c r="L4603" i="3" s="1"/>
  <c r="O4603" i="3"/>
  <c r="P4603" i="3"/>
  <c r="K4604" i="3"/>
  <c r="L4604" i="3" s="1"/>
  <c r="O4604" i="3"/>
  <c r="P4604" i="3"/>
  <c r="K4605" i="3"/>
  <c r="L4605" i="3" s="1"/>
  <c r="O4605" i="3"/>
  <c r="P4605" i="3"/>
  <c r="K4606" i="3"/>
  <c r="L4606" i="3" s="1"/>
  <c r="O4606" i="3"/>
  <c r="P4606" i="3"/>
  <c r="K4607" i="3"/>
  <c r="L4607" i="3" s="1"/>
  <c r="O4607" i="3"/>
  <c r="P4607" i="3"/>
  <c r="K4608" i="3"/>
  <c r="L4608" i="3" s="1"/>
  <c r="O4608" i="3"/>
  <c r="P4608" i="3"/>
  <c r="K4609" i="3"/>
  <c r="L4609" i="3" s="1"/>
  <c r="O4609" i="3"/>
  <c r="P4609" i="3"/>
  <c r="K4610" i="3"/>
  <c r="L4610" i="3" s="1"/>
  <c r="O4610" i="3"/>
  <c r="P4610" i="3"/>
  <c r="K4611" i="3"/>
  <c r="L4611" i="3" s="1"/>
  <c r="O4611" i="3"/>
  <c r="P4611" i="3"/>
  <c r="K4612" i="3"/>
  <c r="L4612" i="3" s="1"/>
  <c r="O4612" i="3"/>
  <c r="P4612" i="3"/>
  <c r="K4613" i="3"/>
  <c r="L4613" i="3" s="1"/>
  <c r="O4613" i="3"/>
  <c r="P4613" i="3"/>
  <c r="K4614" i="3"/>
  <c r="L4614" i="3" s="1"/>
  <c r="O4614" i="3"/>
  <c r="P4614" i="3"/>
  <c r="K4615" i="3"/>
  <c r="L4615" i="3" s="1"/>
  <c r="O4615" i="3"/>
  <c r="P4615" i="3"/>
  <c r="K4616" i="3"/>
  <c r="L4616" i="3" s="1"/>
  <c r="O4616" i="3"/>
  <c r="P4616" i="3"/>
  <c r="K4617" i="3"/>
  <c r="L4617" i="3" s="1"/>
  <c r="O4617" i="3"/>
  <c r="P4617" i="3"/>
  <c r="K4618" i="3"/>
  <c r="L4618" i="3" s="1"/>
  <c r="O4618" i="3"/>
  <c r="P4618" i="3"/>
  <c r="K4619" i="3"/>
  <c r="L4619" i="3" s="1"/>
  <c r="O4619" i="3"/>
  <c r="P4619" i="3"/>
  <c r="K4620" i="3"/>
  <c r="L4620" i="3" s="1"/>
  <c r="O4620" i="3"/>
  <c r="P4620" i="3"/>
  <c r="K4621" i="3"/>
  <c r="L4621" i="3" s="1"/>
  <c r="O4621" i="3"/>
  <c r="P4621" i="3"/>
  <c r="K4622" i="3"/>
  <c r="L4622" i="3" s="1"/>
  <c r="O4622" i="3"/>
  <c r="P4622" i="3"/>
  <c r="K4623" i="3"/>
  <c r="L4623" i="3" s="1"/>
  <c r="O4623" i="3"/>
  <c r="P4623" i="3"/>
  <c r="K4624" i="3"/>
  <c r="L4624" i="3" s="1"/>
  <c r="O4624" i="3"/>
  <c r="P4624" i="3"/>
  <c r="K4625" i="3"/>
  <c r="L4625" i="3" s="1"/>
  <c r="O4625" i="3"/>
  <c r="P4625" i="3"/>
  <c r="K4626" i="3"/>
  <c r="L4626" i="3" s="1"/>
  <c r="O4626" i="3"/>
  <c r="P4626" i="3"/>
  <c r="K4627" i="3"/>
  <c r="L4627" i="3" s="1"/>
  <c r="O4627" i="3"/>
  <c r="P4627" i="3"/>
  <c r="K4628" i="3"/>
  <c r="L4628" i="3" s="1"/>
  <c r="O4628" i="3"/>
  <c r="P4628" i="3"/>
  <c r="K4629" i="3"/>
  <c r="L4629" i="3" s="1"/>
  <c r="O4629" i="3"/>
  <c r="P4629" i="3"/>
  <c r="K4630" i="3"/>
  <c r="L4630" i="3" s="1"/>
  <c r="O4630" i="3"/>
  <c r="P4630" i="3"/>
  <c r="K4631" i="3"/>
  <c r="L4631" i="3" s="1"/>
  <c r="O4631" i="3"/>
  <c r="P4631" i="3"/>
  <c r="K4632" i="3"/>
  <c r="L4632" i="3" s="1"/>
  <c r="O4632" i="3"/>
  <c r="P4632" i="3"/>
  <c r="K4633" i="3"/>
  <c r="L4633" i="3" s="1"/>
  <c r="O4633" i="3"/>
  <c r="P4633" i="3"/>
  <c r="K4634" i="3"/>
  <c r="L4634" i="3" s="1"/>
  <c r="O4634" i="3"/>
  <c r="P4634" i="3"/>
  <c r="K4635" i="3"/>
  <c r="L4635" i="3" s="1"/>
  <c r="O4635" i="3"/>
  <c r="P4635" i="3"/>
  <c r="K4636" i="3"/>
  <c r="L4636" i="3" s="1"/>
  <c r="O4636" i="3"/>
  <c r="P4636" i="3"/>
  <c r="K4637" i="3"/>
  <c r="L4637" i="3" s="1"/>
  <c r="O4637" i="3"/>
  <c r="P4637" i="3"/>
  <c r="K4638" i="3"/>
  <c r="L4638" i="3" s="1"/>
  <c r="O4638" i="3"/>
  <c r="P4638" i="3"/>
  <c r="K4639" i="3"/>
  <c r="L4639" i="3" s="1"/>
  <c r="O4639" i="3"/>
  <c r="P4639" i="3"/>
  <c r="K4640" i="3"/>
  <c r="L4640" i="3" s="1"/>
  <c r="O4640" i="3"/>
  <c r="P4640" i="3"/>
  <c r="K4641" i="3"/>
  <c r="L4641" i="3" s="1"/>
  <c r="O4641" i="3"/>
  <c r="P4641" i="3"/>
  <c r="K4642" i="3"/>
  <c r="L4642" i="3" s="1"/>
  <c r="O4642" i="3"/>
  <c r="P4642" i="3"/>
  <c r="K4643" i="3"/>
  <c r="L4643" i="3" s="1"/>
  <c r="O4643" i="3"/>
  <c r="P4643" i="3"/>
  <c r="K4644" i="3"/>
  <c r="L4644" i="3" s="1"/>
  <c r="O4644" i="3"/>
  <c r="P4644" i="3"/>
  <c r="K4645" i="3"/>
  <c r="L4645" i="3" s="1"/>
  <c r="O4645" i="3"/>
  <c r="P4645" i="3"/>
  <c r="K4646" i="3"/>
  <c r="L4646" i="3" s="1"/>
  <c r="O4646" i="3"/>
  <c r="P4646" i="3"/>
  <c r="K4647" i="3"/>
  <c r="L4647" i="3" s="1"/>
  <c r="O4647" i="3"/>
  <c r="P4647" i="3"/>
  <c r="K4648" i="3"/>
  <c r="L4648" i="3" s="1"/>
  <c r="O4648" i="3"/>
  <c r="P4648" i="3"/>
  <c r="K4649" i="3"/>
  <c r="L4649" i="3" s="1"/>
  <c r="O4649" i="3"/>
  <c r="P4649" i="3"/>
  <c r="K4650" i="3"/>
  <c r="L4650" i="3" s="1"/>
  <c r="O4650" i="3"/>
  <c r="P4650" i="3"/>
  <c r="K4651" i="3"/>
  <c r="L4651" i="3" s="1"/>
  <c r="O4651" i="3"/>
  <c r="P4651" i="3"/>
  <c r="K4652" i="3"/>
  <c r="L4652" i="3" s="1"/>
  <c r="O4652" i="3"/>
  <c r="P4652" i="3"/>
  <c r="K4653" i="3"/>
  <c r="L4653" i="3" s="1"/>
  <c r="O4653" i="3"/>
  <c r="P4653" i="3"/>
  <c r="K4654" i="3"/>
  <c r="L4654" i="3" s="1"/>
  <c r="O4654" i="3"/>
  <c r="P4654" i="3"/>
  <c r="K4655" i="3"/>
  <c r="L4655" i="3" s="1"/>
  <c r="O4655" i="3"/>
  <c r="P4655" i="3"/>
  <c r="K4656" i="3"/>
  <c r="L4656" i="3" s="1"/>
  <c r="O4656" i="3"/>
  <c r="P4656" i="3"/>
  <c r="K4657" i="3"/>
  <c r="L4657" i="3" s="1"/>
  <c r="O4657" i="3"/>
  <c r="P4657" i="3"/>
  <c r="K4658" i="3"/>
  <c r="L4658" i="3" s="1"/>
  <c r="O4658" i="3"/>
  <c r="P4658" i="3"/>
  <c r="K4659" i="3"/>
  <c r="L4659" i="3" s="1"/>
  <c r="O4659" i="3"/>
  <c r="P4659" i="3"/>
  <c r="K4660" i="3"/>
  <c r="L4660" i="3" s="1"/>
  <c r="O4660" i="3"/>
  <c r="P4660" i="3"/>
  <c r="K4661" i="3"/>
  <c r="L4661" i="3" s="1"/>
  <c r="O4661" i="3"/>
  <c r="P4661" i="3"/>
  <c r="K4662" i="3"/>
  <c r="L4662" i="3" s="1"/>
  <c r="O4662" i="3"/>
  <c r="P4662" i="3"/>
  <c r="K4663" i="3"/>
  <c r="L4663" i="3" s="1"/>
  <c r="O4663" i="3"/>
  <c r="P4663" i="3"/>
  <c r="K4664" i="3"/>
  <c r="L4664" i="3" s="1"/>
  <c r="O4664" i="3"/>
  <c r="P4664" i="3"/>
  <c r="K4665" i="3"/>
  <c r="L4665" i="3" s="1"/>
  <c r="O4665" i="3"/>
  <c r="P4665" i="3"/>
  <c r="K4666" i="3"/>
  <c r="L4666" i="3" s="1"/>
  <c r="O4666" i="3"/>
  <c r="P4666" i="3"/>
  <c r="K4667" i="3"/>
  <c r="L4667" i="3" s="1"/>
  <c r="O4667" i="3"/>
  <c r="P4667" i="3"/>
  <c r="K4668" i="3"/>
  <c r="L4668" i="3" s="1"/>
  <c r="O4668" i="3"/>
  <c r="P4668" i="3"/>
  <c r="K4669" i="3"/>
  <c r="L4669" i="3" s="1"/>
  <c r="O4669" i="3"/>
  <c r="P4669" i="3"/>
  <c r="K4670" i="3"/>
  <c r="L4670" i="3" s="1"/>
  <c r="O4670" i="3"/>
  <c r="P4670" i="3"/>
  <c r="K4671" i="3"/>
  <c r="L4671" i="3" s="1"/>
  <c r="O4671" i="3"/>
  <c r="P4671" i="3"/>
  <c r="K4672" i="3"/>
  <c r="L4672" i="3" s="1"/>
  <c r="O4672" i="3"/>
  <c r="P4672" i="3"/>
  <c r="K4673" i="3"/>
  <c r="L4673" i="3" s="1"/>
  <c r="O4673" i="3"/>
  <c r="P4673" i="3"/>
  <c r="K4674" i="3"/>
  <c r="L4674" i="3" s="1"/>
  <c r="O4674" i="3"/>
  <c r="P4674" i="3"/>
  <c r="K4675" i="3"/>
  <c r="L4675" i="3" s="1"/>
  <c r="O4675" i="3"/>
  <c r="P4675" i="3"/>
  <c r="K4676" i="3"/>
  <c r="L4676" i="3" s="1"/>
  <c r="O4676" i="3"/>
  <c r="P4676" i="3"/>
  <c r="K4677" i="3"/>
  <c r="L4677" i="3" s="1"/>
  <c r="O4677" i="3"/>
  <c r="P4677" i="3"/>
  <c r="K4678" i="3"/>
  <c r="L4678" i="3" s="1"/>
  <c r="O4678" i="3"/>
  <c r="P4678" i="3"/>
  <c r="K4679" i="3"/>
  <c r="L4679" i="3" s="1"/>
  <c r="O4679" i="3"/>
  <c r="P4679" i="3"/>
  <c r="K4680" i="3"/>
  <c r="L4680" i="3" s="1"/>
  <c r="O4680" i="3"/>
  <c r="P4680" i="3"/>
  <c r="K4681" i="3"/>
  <c r="L4681" i="3" s="1"/>
  <c r="O4681" i="3"/>
  <c r="P4681" i="3"/>
  <c r="K4682" i="3"/>
  <c r="L4682" i="3" s="1"/>
  <c r="O4682" i="3"/>
  <c r="P4682" i="3"/>
  <c r="K4683" i="3"/>
  <c r="L4683" i="3" s="1"/>
  <c r="O4683" i="3"/>
  <c r="P4683" i="3"/>
  <c r="K4684" i="3"/>
  <c r="L4684" i="3" s="1"/>
  <c r="O4684" i="3"/>
  <c r="P4684" i="3"/>
  <c r="K4685" i="3"/>
  <c r="L4685" i="3" s="1"/>
  <c r="O4685" i="3"/>
  <c r="P4685" i="3"/>
  <c r="K4686" i="3"/>
  <c r="L4686" i="3" s="1"/>
  <c r="O4686" i="3"/>
  <c r="P4686" i="3"/>
  <c r="K4687" i="3"/>
  <c r="L4687" i="3" s="1"/>
  <c r="O4687" i="3"/>
  <c r="P4687" i="3"/>
  <c r="K4688" i="3"/>
  <c r="L4688" i="3" s="1"/>
  <c r="O4688" i="3"/>
  <c r="P4688" i="3"/>
  <c r="K4689" i="3"/>
  <c r="L4689" i="3" s="1"/>
  <c r="O4689" i="3"/>
  <c r="P4689" i="3"/>
  <c r="K4690" i="3"/>
  <c r="L4690" i="3" s="1"/>
  <c r="O4690" i="3"/>
  <c r="P4690" i="3"/>
  <c r="K4691" i="3"/>
  <c r="L4691" i="3" s="1"/>
  <c r="O4691" i="3"/>
  <c r="P4691" i="3"/>
  <c r="K4692" i="3"/>
  <c r="L4692" i="3" s="1"/>
  <c r="O4692" i="3"/>
  <c r="P4692" i="3"/>
  <c r="K4693" i="3"/>
  <c r="L4693" i="3" s="1"/>
  <c r="O4693" i="3"/>
  <c r="P4693" i="3"/>
  <c r="K4694" i="3"/>
  <c r="L4694" i="3" s="1"/>
  <c r="O4694" i="3"/>
  <c r="P4694" i="3"/>
  <c r="K4695" i="3"/>
  <c r="L4695" i="3" s="1"/>
  <c r="O4695" i="3"/>
  <c r="P4695" i="3"/>
  <c r="K4696" i="3"/>
  <c r="L4696" i="3" s="1"/>
  <c r="O4696" i="3"/>
  <c r="P4696" i="3"/>
  <c r="K4697" i="3"/>
  <c r="L4697" i="3" s="1"/>
  <c r="O4697" i="3"/>
  <c r="P4697" i="3"/>
  <c r="K4698" i="3"/>
  <c r="L4698" i="3" s="1"/>
  <c r="O4698" i="3"/>
  <c r="P4698" i="3"/>
  <c r="K4699" i="3"/>
  <c r="L4699" i="3" s="1"/>
  <c r="O4699" i="3"/>
  <c r="P4699" i="3"/>
  <c r="K4700" i="3"/>
  <c r="L4700" i="3" s="1"/>
  <c r="O4700" i="3"/>
  <c r="P4700" i="3"/>
  <c r="K4701" i="3"/>
  <c r="L4701" i="3" s="1"/>
  <c r="O4701" i="3"/>
  <c r="P4701" i="3"/>
  <c r="K4702" i="3"/>
  <c r="L4702" i="3" s="1"/>
  <c r="O4702" i="3"/>
  <c r="P4702" i="3"/>
  <c r="K4703" i="3"/>
  <c r="L4703" i="3" s="1"/>
  <c r="O4703" i="3"/>
  <c r="P4703" i="3"/>
  <c r="K4704" i="3"/>
  <c r="L4704" i="3" s="1"/>
  <c r="O4704" i="3"/>
  <c r="P4704" i="3"/>
  <c r="K4705" i="3"/>
  <c r="L4705" i="3" s="1"/>
  <c r="O4705" i="3"/>
  <c r="P4705" i="3"/>
  <c r="K4706" i="3"/>
  <c r="L4706" i="3" s="1"/>
  <c r="O4706" i="3"/>
  <c r="P4706" i="3"/>
  <c r="K4707" i="3"/>
  <c r="L4707" i="3" s="1"/>
  <c r="O4707" i="3"/>
  <c r="P4707" i="3"/>
  <c r="K4708" i="3"/>
  <c r="L4708" i="3" s="1"/>
  <c r="O4708" i="3"/>
  <c r="P4708" i="3"/>
  <c r="K4709" i="3"/>
  <c r="L4709" i="3" s="1"/>
  <c r="O4709" i="3"/>
  <c r="P4709" i="3"/>
  <c r="K4710" i="3"/>
  <c r="L4710" i="3" s="1"/>
  <c r="O4710" i="3"/>
  <c r="P4710" i="3"/>
  <c r="K4711" i="3"/>
  <c r="L4711" i="3" s="1"/>
  <c r="O4711" i="3"/>
  <c r="P4711" i="3"/>
  <c r="K4712" i="3"/>
  <c r="L4712" i="3" s="1"/>
  <c r="O4712" i="3"/>
  <c r="P4712" i="3"/>
  <c r="K4713" i="3"/>
  <c r="L4713" i="3" s="1"/>
  <c r="O4713" i="3"/>
  <c r="P4713" i="3"/>
  <c r="K4714" i="3"/>
  <c r="L4714" i="3" s="1"/>
  <c r="O4714" i="3"/>
  <c r="P4714" i="3"/>
  <c r="K4715" i="3"/>
  <c r="L4715" i="3" s="1"/>
  <c r="O4715" i="3"/>
  <c r="P4715" i="3"/>
  <c r="K4716" i="3"/>
  <c r="L4716" i="3" s="1"/>
  <c r="O4716" i="3"/>
  <c r="P4716" i="3"/>
  <c r="K4717" i="3"/>
  <c r="L4717" i="3" s="1"/>
  <c r="O4717" i="3"/>
  <c r="P4717" i="3"/>
  <c r="K4718" i="3"/>
  <c r="L4718" i="3" s="1"/>
  <c r="O4718" i="3"/>
  <c r="P4718" i="3"/>
  <c r="K4719" i="3"/>
  <c r="L4719" i="3" s="1"/>
  <c r="O4719" i="3"/>
  <c r="P4719" i="3"/>
  <c r="K4720" i="3"/>
  <c r="L4720" i="3" s="1"/>
  <c r="O4720" i="3"/>
  <c r="P4720" i="3"/>
  <c r="K4721" i="3"/>
  <c r="L4721" i="3" s="1"/>
  <c r="O4721" i="3"/>
  <c r="P4721" i="3"/>
  <c r="K4722" i="3"/>
  <c r="L4722" i="3" s="1"/>
  <c r="O4722" i="3"/>
  <c r="P4722" i="3"/>
  <c r="K4723" i="3"/>
  <c r="L4723" i="3" s="1"/>
  <c r="O4723" i="3"/>
  <c r="P4723" i="3"/>
  <c r="K4724" i="3"/>
  <c r="L4724" i="3" s="1"/>
  <c r="O4724" i="3"/>
  <c r="P4724" i="3"/>
  <c r="K4725" i="3"/>
  <c r="L4725" i="3" s="1"/>
  <c r="O4725" i="3"/>
  <c r="P4725" i="3"/>
  <c r="K4726" i="3"/>
  <c r="L4726" i="3" s="1"/>
  <c r="O4726" i="3"/>
  <c r="P4726" i="3"/>
  <c r="K4727" i="3"/>
  <c r="L4727" i="3" s="1"/>
  <c r="O4727" i="3"/>
  <c r="P4727" i="3"/>
  <c r="K4728" i="3"/>
  <c r="L4728" i="3" s="1"/>
  <c r="O4728" i="3"/>
  <c r="P4728" i="3"/>
  <c r="K4729" i="3"/>
  <c r="L4729" i="3" s="1"/>
  <c r="O4729" i="3"/>
  <c r="P4729" i="3"/>
  <c r="K4730" i="3"/>
  <c r="L4730" i="3" s="1"/>
  <c r="O4730" i="3"/>
  <c r="P4730" i="3"/>
  <c r="K4731" i="3"/>
  <c r="L4731" i="3" s="1"/>
  <c r="O4731" i="3"/>
  <c r="P4731" i="3"/>
  <c r="K4732" i="3"/>
  <c r="L4732" i="3" s="1"/>
  <c r="O4732" i="3"/>
  <c r="P4732" i="3"/>
  <c r="K4733" i="3"/>
  <c r="L4733" i="3" s="1"/>
  <c r="O4733" i="3"/>
  <c r="P4733" i="3"/>
  <c r="K4734" i="3"/>
  <c r="L4734" i="3" s="1"/>
  <c r="O4734" i="3"/>
  <c r="P4734" i="3"/>
  <c r="K4735" i="3"/>
  <c r="L4735" i="3" s="1"/>
  <c r="O4735" i="3"/>
  <c r="P4735" i="3"/>
  <c r="K4736" i="3"/>
  <c r="L4736" i="3" s="1"/>
  <c r="O4736" i="3"/>
  <c r="P4736" i="3"/>
  <c r="K4737" i="3"/>
  <c r="L4737" i="3" s="1"/>
  <c r="O4737" i="3"/>
  <c r="P4737" i="3"/>
  <c r="K4738" i="3"/>
  <c r="L4738" i="3" s="1"/>
  <c r="O4738" i="3"/>
  <c r="P4738" i="3"/>
  <c r="K4739" i="3"/>
  <c r="L4739" i="3" s="1"/>
  <c r="O4739" i="3"/>
  <c r="P4739" i="3"/>
  <c r="K4740" i="3"/>
  <c r="L4740" i="3" s="1"/>
  <c r="O4740" i="3"/>
  <c r="P4740" i="3"/>
  <c r="K4741" i="3"/>
  <c r="L4741" i="3" s="1"/>
  <c r="O4741" i="3"/>
  <c r="P4741" i="3"/>
  <c r="K4742" i="3"/>
  <c r="L4742" i="3" s="1"/>
  <c r="O4742" i="3"/>
  <c r="P4742" i="3"/>
  <c r="K4743" i="3"/>
  <c r="L4743" i="3" s="1"/>
  <c r="O4743" i="3"/>
  <c r="P4743" i="3"/>
  <c r="K4744" i="3"/>
  <c r="L4744" i="3" s="1"/>
  <c r="O4744" i="3"/>
  <c r="P4744" i="3"/>
  <c r="K4745" i="3"/>
  <c r="L4745" i="3" s="1"/>
  <c r="O4745" i="3"/>
  <c r="P4745" i="3"/>
  <c r="K4746" i="3"/>
  <c r="L4746" i="3" s="1"/>
  <c r="O4746" i="3"/>
  <c r="P4746" i="3"/>
  <c r="K4747" i="3"/>
  <c r="L4747" i="3" s="1"/>
  <c r="O4747" i="3"/>
  <c r="P4747" i="3"/>
  <c r="K4748" i="3"/>
  <c r="L4748" i="3" s="1"/>
  <c r="O4748" i="3"/>
  <c r="P4748" i="3"/>
  <c r="K4749" i="3"/>
  <c r="L4749" i="3" s="1"/>
  <c r="O4749" i="3"/>
  <c r="P4749" i="3"/>
  <c r="K4750" i="3"/>
  <c r="L4750" i="3" s="1"/>
  <c r="O4750" i="3"/>
  <c r="P4750" i="3"/>
  <c r="K4751" i="3"/>
  <c r="L4751" i="3" s="1"/>
  <c r="O4751" i="3"/>
  <c r="P4751" i="3"/>
  <c r="K4752" i="3"/>
  <c r="L4752" i="3" s="1"/>
  <c r="O4752" i="3"/>
  <c r="P4752" i="3"/>
  <c r="K4753" i="3"/>
  <c r="L4753" i="3" s="1"/>
  <c r="O4753" i="3"/>
  <c r="P4753" i="3"/>
  <c r="K4754" i="3"/>
  <c r="L4754" i="3" s="1"/>
  <c r="O4754" i="3"/>
  <c r="P4754" i="3"/>
  <c r="K4755" i="3"/>
  <c r="L4755" i="3" s="1"/>
  <c r="O4755" i="3"/>
  <c r="P4755" i="3"/>
  <c r="K4756" i="3"/>
  <c r="L4756" i="3" s="1"/>
  <c r="O4756" i="3"/>
  <c r="P4756" i="3"/>
  <c r="K4757" i="3"/>
  <c r="L4757" i="3" s="1"/>
  <c r="O4757" i="3"/>
  <c r="P4757" i="3"/>
  <c r="K4758" i="3"/>
  <c r="L4758" i="3" s="1"/>
  <c r="O4758" i="3"/>
  <c r="P4758" i="3"/>
  <c r="K4759" i="3"/>
  <c r="L4759" i="3" s="1"/>
  <c r="O4759" i="3"/>
  <c r="P4759" i="3"/>
  <c r="K4760" i="3"/>
  <c r="L4760" i="3" s="1"/>
  <c r="O4760" i="3"/>
  <c r="P4760" i="3"/>
  <c r="K4761" i="3"/>
  <c r="L4761" i="3" s="1"/>
  <c r="O4761" i="3"/>
  <c r="P4761" i="3"/>
  <c r="K4762" i="3"/>
  <c r="L4762" i="3" s="1"/>
  <c r="O4762" i="3"/>
  <c r="P4762" i="3"/>
  <c r="K4763" i="3"/>
  <c r="L4763" i="3" s="1"/>
  <c r="O4763" i="3"/>
  <c r="P4763" i="3"/>
  <c r="K4764" i="3"/>
  <c r="L4764" i="3" s="1"/>
  <c r="O4764" i="3"/>
  <c r="P4764" i="3"/>
  <c r="K4765" i="3"/>
  <c r="L4765" i="3" s="1"/>
  <c r="O4765" i="3"/>
  <c r="P4765" i="3"/>
  <c r="K4766" i="3"/>
  <c r="L4766" i="3" s="1"/>
  <c r="O4766" i="3"/>
  <c r="P4766" i="3"/>
  <c r="K4767" i="3"/>
  <c r="L4767" i="3" s="1"/>
  <c r="O4767" i="3"/>
  <c r="P4767" i="3"/>
  <c r="K4768" i="3"/>
  <c r="L4768" i="3" s="1"/>
  <c r="O4768" i="3"/>
  <c r="P4768" i="3"/>
  <c r="K4769" i="3"/>
  <c r="L4769" i="3" s="1"/>
  <c r="O4769" i="3"/>
  <c r="P4769" i="3"/>
  <c r="K4770" i="3"/>
  <c r="L4770" i="3" s="1"/>
  <c r="O4770" i="3"/>
  <c r="P4770" i="3"/>
  <c r="K4771" i="3"/>
  <c r="L4771" i="3" s="1"/>
  <c r="O4771" i="3"/>
  <c r="P4771" i="3"/>
  <c r="K4772" i="3"/>
  <c r="L4772" i="3" s="1"/>
  <c r="O4772" i="3"/>
  <c r="P4772" i="3"/>
  <c r="K4773" i="3"/>
  <c r="L4773" i="3" s="1"/>
  <c r="O4773" i="3"/>
  <c r="P4773" i="3"/>
  <c r="K4774" i="3"/>
  <c r="L4774" i="3" s="1"/>
  <c r="O4774" i="3"/>
  <c r="P4774" i="3"/>
  <c r="K4775" i="3"/>
  <c r="L4775" i="3" s="1"/>
  <c r="O4775" i="3"/>
  <c r="P4775" i="3"/>
  <c r="K4776" i="3"/>
  <c r="L4776" i="3" s="1"/>
  <c r="O4776" i="3"/>
  <c r="P4776" i="3"/>
  <c r="K4777" i="3"/>
  <c r="L4777" i="3" s="1"/>
  <c r="O4777" i="3"/>
  <c r="P4777" i="3"/>
  <c r="K4778" i="3"/>
  <c r="L4778" i="3" s="1"/>
  <c r="O4778" i="3"/>
  <c r="P4778" i="3"/>
  <c r="K4779" i="3"/>
  <c r="L4779" i="3" s="1"/>
  <c r="O4779" i="3"/>
  <c r="P4779" i="3"/>
  <c r="K4780" i="3"/>
  <c r="L4780" i="3" s="1"/>
  <c r="O4780" i="3"/>
  <c r="P4780" i="3"/>
  <c r="K4781" i="3"/>
  <c r="L4781" i="3" s="1"/>
  <c r="O4781" i="3"/>
  <c r="P4781" i="3"/>
  <c r="K4782" i="3"/>
  <c r="L4782" i="3" s="1"/>
  <c r="O4782" i="3"/>
  <c r="P4782" i="3"/>
  <c r="K4783" i="3"/>
  <c r="L4783" i="3" s="1"/>
  <c r="O4783" i="3"/>
  <c r="P4783" i="3"/>
  <c r="K4784" i="3"/>
  <c r="L4784" i="3" s="1"/>
  <c r="O4784" i="3"/>
  <c r="P4784" i="3"/>
  <c r="K4785" i="3"/>
  <c r="L4785" i="3" s="1"/>
  <c r="O4785" i="3"/>
  <c r="P4785" i="3"/>
  <c r="K4786" i="3"/>
  <c r="L4786" i="3" s="1"/>
  <c r="O4786" i="3"/>
  <c r="P4786" i="3"/>
  <c r="K4787" i="3"/>
  <c r="L4787" i="3" s="1"/>
  <c r="O4787" i="3"/>
  <c r="P4787" i="3"/>
  <c r="K4788" i="3"/>
  <c r="L4788" i="3" s="1"/>
  <c r="O4788" i="3"/>
  <c r="P4788" i="3"/>
  <c r="K4789" i="3"/>
  <c r="L4789" i="3" s="1"/>
  <c r="O4789" i="3"/>
  <c r="P4789" i="3"/>
  <c r="K4790" i="3"/>
  <c r="L4790" i="3" s="1"/>
  <c r="O4790" i="3"/>
  <c r="P4790" i="3"/>
  <c r="K4791" i="3"/>
  <c r="L4791" i="3" s="1"/>
  <c r="O4791" i="3"/>
  <c r="P4791" i="3"/>
  <c r="K4792" i="3"/>
  <c r="L4792" i="3" s="1"/>
  <c r="O4792" i="3"/>
  <c r="P4792" i="3"/>
  <c r="K4793" i="3"/>
  <c r="L4793" i="3" s="1"/>
  <c r="O4793" i="3"/>
  <c r="P4793" i="3"/>
  <c r="K4794" i="3"/>
  <c r="L4794" i="3" s="1"/>
  <c r="O4794" i="3"/>
  <c r="P4794" i="3"/>
  <c r="K4795" i="3"/>
  <c r="L4795" i="3" s="1"/>
  <c r="O4795" i="3"/>
  <c r="P4795" i="3"/>
  <c r="K4796" i="3"/>
  <c r="L4796" i="3" s="1"/>
  <c r="O4796" i="3"/>
  <c r="P4796" i="3"/>
  <c r="K4797" i="3"/>
  <c r="L4797" i="3" s="1"/>
  <c r="O4797" i="3"/>
  <c r="P4797" i="3"/>
  <c r="K4798" i="3"/>
  <c r="L4798" i="3" s="1"/>
  <c r="O4798" i="3"/>
  <c r="P4798" i="3"/>
  <c r="K4799" i="3"/>
  <c r="L4799" i="3" s="1"/>
  <c r="O4799" i="3"/>
  <c r="P4799" i="3"/>
  <c r="K4800" i="3"/>
  <c r="L4800" i="3" s="1"/>
  <c r="O4800" i="3"/>
  <c r="P4800" i="3"/>
  <c r="K4801" i="3"/>
  <c r="L4801" i="3" s="1"/>
  <c r="O4801" i="3"/>
  <c r="P4801" i="3"/>
  <c r="K4802" i="3"/>
  <c r="L4802" i="3" s="1"/>
  <c r="O4802" i="3"/>
  <c r="P4802" i="3"/>
  <c r="K4803" i="3"/>
  <c r="L4803" i="3" s="1"/>
  <c r="O4803" i="3"/>
  <c r="P4803" i="3"/>
  <c r="K4804" i="3"/>
  <c r="L4804" i="3" s="1"/>
  <c r="O4804" i="3"/>
  <c r="P4804" i="3"/>
  <c r="K4805" i="3"/>
  <c r="L4805" i="3" s="1"/>
  <c r="O4805" i="3"/>
  <c r="P4805" i="3"/>
  <c r="K4806" i="3"/>
  <c r="L4806" i="3" s="1"/>
  <c r="O4806" i="3"/>
  <c r="P4806" i="3"/>
  <c r="K4807" i="3"/>
  <c r="L4807" i="3" s="1"/>
  <c r="O4807" i="3"/>
  <c r="P4807" i="3"/>
  <c r="K4808" i="3"/>
  <c r="L4808" i="3" s="1"/>
  <c r="O4808" i="3"/>
  <c r="P4808" i="3"/>
  <c r="K4809" i="3"/>
  <c r="L4809" i="3" s="1"/>
  <c r="O4809" i="3"/>
  <c r="P4809" i="3"/>
  <c r="K4810" i="3"/>
  <c r="L4810" i="3" s="1"/>
  <c r="O4810" i="3"/>
  <c r="P4810" i="3"/>
  <c r="K4811" i="3"/>
  <c r="L4811" i="3" s="1"/>
  <c r="O4811" i="3"/>
  <c r="P4811" i="3"/>
  <c r="K4812" i="3"/>
  <c r="L4812" i="3" s="1"/>
  <c r="O4812" i="3"/>
  <c r="P4812" i="3"/>
  <c r="K4813" i="3"/>
  <c r="L4813" i="3" s="1"/>
  <c r="O4813" i="3"/>
  <c r="P4813" i="3"/>
  <c r="K4814" i="3"/>
  <c r="L4814" i="3" s="1"/>
  <c r="O4814" i="3"/>
  <c r="P4814" i="3"/>
  <c r="K4815" i="3"/>
  <c r="L4815" i="3" s="1"/>
  <c r="O4815" i="3"/>
  <c r="P4815" i="3"/>
  <c r="K4816" i="3"/>
  <c r="L4816" i="3" s="1"/>
  <c r="O4816" i="3"/>
  <c r="P4816" i="3"/>
  <c r="K4817" i="3"/>
  <c r="L4817" i="3" s="1"/>
  <c r="O4817" i="3"/>
  <c r="P4817" i="3"/>
  <c r="K4818" i="3"/>
  <c r="L4818" i="3" s="1"/>
  <c r="O4818" i="3"/>
  <c r="P4818" i="3"/>
  <c r="K4819" i="3"/>
  <c r="L4819" i="3" s="1"/>
  <c r="O4819" i="3"/>
  <c r="P4819" i="3"/>
  <c r="K4820" i="3"/>
  <c r="L4820" i="3" s="1"/>
  <c r="O4820" i="3"/>
  <c r="P4820" i="3"/>
  <c r="K4821" i="3"/>
  <c r="L4821" i="3" s="1"/>
  <c r="O4821" i="3"/>
  <c r="P4821" i="3"/>
  <c r="K4822" i="3"/>
  <c r="L4822" i="3" s="1"/>
  <c r="O4822" i="3"/>
  <c r="P4822" i="3"/>
  <c r="K4823" i="3"/>
  <c r="L4823" i="3" s="1"/>
  <c r="O4823" i="3"/>
  <c r="P4823" i="3"/>
  <c r="K4824" i="3"/>
  <c r="L4824" i="3" s="1"/>
  <c r="O4824" i="3"/>
  <c r="P4824" i="3"/>
  <c r="K4825" i="3"/>
  <c r="L4825" i="3" s="1"/>
  <c r="O4825" i="3"/>
  <c r="P4825" i="3"/>
  <c r="K4826" i="3"/>
  <c r="L4826" i="3" s="1"/>
  <c r="O4826" i="3"/>
  <c r="P4826" i="3"/>
  <c r="K4827" i="3"/>
  <c r="L4827" i="3" s="1"/>
  <c r="O4827" i="3"/>
  <c r="P4827" i="3"/>
  <c r="K4828" i="3"/>
  <c r="L4828" i="3" s="1"/>
  <c r="O4828" i="3"/>
  <c r="P4828" i="3"/>
  <c r="K4829" i="3"/>
  <c r="L4829" i="3" s="1"/>
  <c r="O4829" i="3"/>
  <c r="P4829" i="3"/>
  <c r="K4830" i="3"/>
  <c r="L4830" i="3" s="1"/>
  <c r="O4830" i="3"/>
  <c r="P4830" i="3"/>
  <c r="K4831" i="3"/>
  <c r="L4831" i="3" s="1"/>
  <c r="O4831" i="3"/>
  <c r="P4831" i="3"/>
  <c r="K4832" i="3"/>
  <c r="L4832" i="3" s="1"/>
  <c r="O4832" i="3"/>
  <c r="P4832" i="3"/>
  <c r="K4833" i="3"/>
  <c r="L4833" i="3" s="1"/>
  <c r="O4833" i="3"/>
  <c r="P4833" i="3"/>
  <c r="K4834" i="3"/>
  <c r="L4834" i="3" s="1"/>
  <c r="O4834" i="3"/>
  <c r="P4834" i="3"/>
  <c r="K4835" i="3"/>
  <c r="L4835" i="3" s="1"/>
  <c r="O4835" i="3"/>
  <c r="P4835" i="3"/>
  <c r="K4836" i="3"/>
  <c r="L4836" i="3" s="1"/>
  <c r="O4836" i="3"/>
  <c r="P4836" i="3"/>
  <c r="K4837" i="3"/>
  <c r="L4837" i="3" s="1"/>
  <c r="O4837" i="3"/>
  <c r="P4837" i="3"/>
  <c r="K4838" i="3"/>
  <c r="L4838" i="3" s="1"/>
  <c r="O4838" i="3"/>
  <c r="P4838" i="3"/>
  <c r="K4839" i="3"/>
  <c r="L4839" i="3" s="1"/>
  <c r="O4839" i="3"/>
  <c r="P4839" i="3"/>
  <c r="K4840" i="3"/>
  <c r="L4840" i="3" s="1"/>
  <c r="O4840" i="3"/>
  <c r="P4840" i="3"/>
  <c r="K4841" i="3"/>
  <c r="L4841" i="3" s="1"/>
  <c r="O4841" i="3"/>
  <c r="P4841" i="3"/>
  <c r="K4842" i="3"/>
  <c r="L4842" i="3" s="1"/>
  <c r="O4842" i="3"/>
  <c r="P4842" i="3"/>
  <c r="K4843" i="3"/>
  <c r="L4843" i="3" s="1"/>
  <c r="O4843" i="3"/>
  <c r="P4843" i="3"/>
  <c r="K4844" i="3"/>
  <c r="L4844" i="3" s="1"/>
  <c r="O4844" i="3"/>
  <c r="P4844" i="3"/>
  <c r="K4845" i="3"/>
  <c r="L4845" i="3" s="1"/>
  <c r="O4845" i="3"/>
  <c r="P4845" i="3"/>
  <c r="K4846" i="3"/>
  <c r="L4846" i="3" s="1"/>
  <c r="O4846" i="3"/>
  <c r="P4846" i="3"/>
  <c r="K4847" i="3"/>
  <c r="L4847" i="3" s="1"/>
  <c r="O4847" i="3"/>
  <c r="P4847" i="3"/>
  <c r="K4848" i="3"/>
  <c r="L4848" i="3" s="1"/>
  <c r="O4848" i="3"/>
  <c r="P4848" i="3"/>
  <c r="K4849" i="3"/>
  <c r="L4849" i="3" s="1"/>
  <c r="O4849" i="3"/>
  <c r="P4849" i="3"/>
  <c r="K4850" i="3"/>
  <c r="L4850" i="3" s="1"/>
  <c r="O4850" i="3"/>
  <c r="P4850" i="3"/>
  <c r="K4851" i="3"/>
  <c r="L4851" i="3" s="1"/>
  <c r="O4851" i="3"/>
  <c r="P4851" i="3"/>
  <c r="K4852" i="3"/>
  <c r="L4852" i="3" s="1"/>
  <c r="O4852" i="3"/>
  <c r="P4852" i="3"/>
  <c r="K4853" i="3"/>
  <c r="L4853" i="3" s="1"/>
  <c r="O4853" i="3"/>
  <c r="P4853" i="3"/>
  <c r="K4854" i="3"/>
  <c r="L4854" i="3" s="1"/>
  <c r="O4854" i="3"/>
  <c r="P4854" i="3"/>
  <c r="K4855" i="3"/>
  <c r="L4855" i="3" s="1"/>
  <c r="O4855" i="3"/>
  <c r="P4855" i="3"/>
  <c r="K4856" i="3"/>
  <c r="L4856" i="3" s="1"/>
  <c r="O4856" i="3"/>
  <c r="P4856" i="3"/>
  <c r="O4857" i="3"/>
  <c r="P4857" i="3"/>
  <c r="K4858" i="3"/>
  <c r="L4858" i="3" s="1"/>
  <c r="O4858" i="3"/>
  <c r="P4858" i="3"/>
  <c r="K4859" i="3"/>
  <c r="L4859" i="3" s="1"/>
  <c r="O4859" i="3"/>
  <c r="P4859" i="3"/>
  <c r="K4860" i="3"/>
  <c r="L4860" i="3" s="1"/>
  <c r="O4860" i="3"/>
  <c r="P4860" i="3"/>
  <c r="K4861" i="3"/>
  <c r="L4861" i="3" s="1"/>
  <c r="O4861" i="3"/>
  <c r="P4861" i="3"/>
  <c r="K4862" i="3"/>
  <c r="L4862" i="3" s="1"/>
  <c r="O4862" i="3"/>
  <c r="P4862" i="3"/>
  <c r="K4863" i="3"/>
  <c r="L4863" i="3" s="1"/>
  <c r="O4863" i="3"/>
  <c r="P4863" i="3"/>
  <c r="K4864" i="3"/>
  <c r="L4864" i="3" s="1"/>
  <c r="O4864" i="3"/>
  <c r="P4864" i="3"/>
  <c r="K4865" i="3"/>
  <c r="L4865" i="3" s="1"/>
  <c r="O4865" i="3"/>
  <c r="P4865" i="3"/>
  <c r="K4866" i="3"/>
  <c r="L4866" i="3" s="1"/>
  <c r="O4866" i="3"/>
  <c r="P4866" i="3"/>
  <c r="K4867" i="3"/>
  <c r="L4867" i="3" s="1"/>
  <c r="O4867" i="3"/>
  <c r="P4867" i="3"/>
  <c r="K4868" i="3"/>
  <c r="L4868" i="3" s="1"/>
  <c r="O4868" i="3"/>
  <c r="P4868" i="3"/>
  <c r="K4869" i="3"/>
  <c r="L4869" i="3" s="1"/>
  <c r="O4869" i="3"/>
  <c r="P4869" i="3"/>
  <c r="K4870" i="3"/>
  <c r="L4870" i="3" s="1"/>
  <c r="O4870" i="3"/>
  <c r="P4870" i="3"/>
  <c r="K4871" i="3"/>
  <c r="L4871" i="3" s="1"/>
  <c r="O4871" i="3"/>
  <c r="P4871" i="3"/>
  <c r="K4872" i="3"/>
  <c r="L4872" i="3" s="1"/>
  <c r="O4872" i="3"/>
  <c r="P4872" i="3"/>
  <c r="K4873" i="3"/>
  <c r="L4873" i="3" s="1"/>
  <c r="O4873" i="3"/>
  <c r="P4873" i="3"/>
  <c r="K4874" i="3"/>
  <c r="L4874" i="3" s="1"/>
  <c r="O4874" i="3"/>
  <c r="P4874" i="3"/>
  <c r="K4875" i="3"/>
  <c r="L4875" i="3" s="1"/>
  <c r="O4875" i="3"/>
  <c r="P4875" i="3"/>
  <c r="K4876" i="3"/>
  <c r="L4876" i="3" s="1"/>
  <c r="O4876" i="3"/>
  <c r="P4876" i="3"/>
  <c r="K4877" i="3"/>
  <c r="L4877" i="3" s="1"/>
  <c r="O4877" i="3"/>
  <c r="P4877" i="3"/>
  <c r="K4878" i="3"/>
  <c r="L4878" i="3" s="1"/>
  <c r="O4878" i="3"/>
  <c r="P4878" i="3"/>
  <c r="K4879" i="3"/>
  <c r="L4879" i="3" s="1"/>
  <c r="O4879" i="3"/>
  <c r="P4879" i="3"/>
  <c r="K4880" i="3"/>
  <c r="L4880" i="3" s="1"/>
  <c r="O4880" i="3"/>
  <c r="P4880" i="3"/>
  <c r="K4881" i="3"/>
  <c r="L4881" i="3" s="1"/>
  <c r="O4881" i="3"/>
  <c r="P4881" i="3"/>
  <c r="K4882" i="3"/>
  <c r="L4882" i="3" s="1"/>
  <c r="O4882" i="3"/>
  <c r="P4882" i="3"/>
  <c r="K4883" i="3"/>
  <c r="L4883" i="3" s="1"/>
  <c r="O4883" i="3"/>
  <c r="P4883" i="3"/>
  <c r="K4884" i="3"/>
  <c r="L4884" i="3" s="1"/>
  <c r="O4884" i="3"/>
  <c r="P4884" i="3"/>
  <c r="K4885" i="3"/>
  <c r="L4885" i="3" s="1"/>
  <c r="O4885" i="3"/>
  <c r="P4885" i="3"/>
  <c r="K4886" i="3"/>
  <c r="L4886" i="3" s="1"/>
  <c r="O4886" i="3"/>
  <c r="P4886" i="3"/>
  <c r="K4887" i="3"/>
  <c r="L4887" i="3" s="1"/>
  <c r="O4887" i="3"/>
  <c r="P4887" i="3"/>
  <c r="K4888" i="3"/>
  <c r="L4888" i="3" s="1"/>
  <c r="O4888" i="3"/>
  <c r="P4888" i="3"/>
  <c r="K4889" i="3"/>
  <c r="L4889" i="3" s="1"/>
  <c r="O4889" i="3"/>
  <c r="P4889" i="3"/>
  <c r="K4890" i="3"/>
  <c r="L4890" i="3" s="1"/>
  <c r="O4890" i="3"/>
  <c r="P4890" i="3"/>
  <c r="K4891" i="3"/>
  <c r="L4891" i="3" s="1"/>
  <c r="O4891" i="3"/>
  <c r="P4891" i="3"/>
  <c r="K4892" i="3"/>
  <c r="L4892" i="3" s="1"/>
  <c r="O4892" i="3"/>
  <c r="P4892" i="3"/>
  <c r="K4893" i="3"/>
  <c r="L4893" i="3" s="1"/>
  <c r="O4893" i="3"/>
  <c r="P4893" i="3"/>
  <c r="K4894" i="3"/>
  <c r="L4894" i="3" s="1"/>
  <c r="O4894" i="3"/>
  <c r="P4894" i="3"/>
  <c r="K4895" i="3"/>
  <c r="L4895" i="3" s="1"/>
  <c r="O4895" i="3"/>
  <c r="P4895" i="3"/>
  <c r="K4896" i="3"/>
  <c r="L4896" i="3" s="1"/>
  <c r="O4896" i="3"/>
  <c r="P4896" i="3"/>
  <c r="K4897" i="3"/>
  <c r="L4897" i="3" s="1"/>
  <c r="O4897" i="3"/>
  <c r="P4897" i="3"/>
  <c r="K4898" i="3"/>
  <c r="L4898" i="3" s="1"/>
  <c r="O4898" i="3"/>
  <c r="P4898" i="3"/>
  <c r="K4899" i="3"/>
  <c r="L4899" i="3" s="1"/>
  <c r="O4899" i="3"/>
  <c r="P4899" i="3"/>
  <c r="K4900" i="3"/>
  <c r="L4900" i="3" s="1"/>
  <c r="O4900" i="3"/>
  <c r="P4900" i="3"/>
  <c r="K4901" i="3"/>
  <c r="L4901" i="3" s="1"/>
  <c r="O4901" i="3"/>
  <c r="P4901" i="3"/>
  <c r="K4902" i="3"/>
  <c r="L4902" i="3" s="1"/>
  <c r="O4902" i="3"/>
  <c r="P4902" i="3"/>
  <c r="K4903" i="3"/>
  <c r="L4903" i="3" s="1"/>
  <c r="O4903" i="3"/>
  <c r="P4903" i="3"/>
  <c r="K4904" i="3"/>
  <c r="L4904" i="3" s="1"/>
  <c r="O4904" i="3"/>
  <c r="P4904" i="3"/>
  <c r="K4905" i="3"/>
  <c r="L4905" i="3" s="1"/>
  <c r="O4905" i="3"/>
  <c r="P4905" i="3"/>
  <c r="K4906" i="3"/>
  <c r="L4906" i="3" s="1"/>
  <c r="O4906" i="3"/>
  <c r="P4906" i="3"/>
  <c r="K4907" i="3"/>
  <c r="L4907" i="3" s="1"/>
  <c r="O4907" i="3"/>
  <c r="P4907" i="3"/>
  <c r="K4908" i="3"/>
  <c r="L4908" i="3" s="1"/>
  <c r="O4908" i="3"/>
  <c r="P4908" i="3"/>
  <c r="K4909" i="3"/>
  <c r="L4909" i="3" s="1"/>
  <c r="O4909" i="3"/>
  <c r="P4909" i="3"/>
  <c r="K4910" i="3"/>
  <c r="L4910" i="3" s="1"/>
  <c r="O4910" i="3"/>
  <c r="P4910" i="3"/>
  <c r="K4911" i="3"/>
  <c r="L4911" i="3" s="1"/>
  <c r="O4911" i="3"/>
  <c r="P4911" i="3"/>
  <c r="K4912" i="3"/>
  <c r="L4912" i="3" s="1"/>
  <c r="O4912" i="3"/>
  <c r="P4912" i="3"/>
  <c r="K4913" i="3"/>
  <c r="L4913" i="3" s="1"/>
  <c r="O4913" i="3"/>
  <c r="P4913" i="3"/>
  <c r="K4914" i="3"/>
  <c r="L4914" i="3" s="1"/>
  <c r="O4914" i="3"/>
  <c r="P4914" i="3"/>
  <c r="K4915" i="3"/>
  <c r="L4915" i="3" s="1"/>
  <c r="O4915" i="3"/>
  <c r="P4915" i="3"/>
  <c r="K4916" i="3"/>
  <c r="L4916" i="3" s="1"/>
  <c r="O4916" i="3"/>
  <c r="P4916" i="3"/>
  <c r="K4917" i="3"/>
  <c r="L4917" i="3" s="1"/>
  <c r="O4917" i="3"/>
  <c r="P4917" i="3"/>
  <c r="K4918" i="3"/>
  <c r="L4918" i="3" s="1"/>
  <c r="O4918" i="3"/>
  <c r="P4918" i="3"/>
  <c r="K4919" i="3"/>
  <c r="L4919" i="3" s="1"/>
  <c r="O4919" i="3"/>
  <c r="P4919" i="3"/>
  <c r="K4920" i="3"/>
  <c r="L4920" i="3" s="1"/>
  <c r="O4920" i="3"/>
  <c r="P4920" i="3"/>
  <c r="K4921" i="3"/>
  <c r="L4921" i="3" s="1"/>
  <c r="O4921" i="3"/>
  <c r="P4921" i="3"/>
  <c r="K4922" i="3"/>
  <c r="L4922" i="3" s="1"/>
  <c r="O4922" i="3"/>
  <c r="P4922" i="3"/>
  <c r="K4923" i="3"/>
  <c r="L4923" i="3" s="1"/>
  <c r="O4923" i="3"/>
  <c r="P4923" i="3"/>
  <c r="K4924" i="3"/>
  <c r="L4924" i="3" s="1"/>
  <c r="O4924" i="3"/>
  <c r="P4924" i="3"/>
  <c r="K4925" i="3"/>
  <c r="L4925" i="3" s="1"/>
  <c r="O4925" i="3"/>
  <c r="P4925" i="3"/>
  <c r="K4926" i="3"/>
  <c r="L4926" i="3" s="1"/>
  <c r="O4926" i="3"/>
  <c r="P4926" i="3"/>
  <c r="K4927" i="3"/>
  <c r="L4927" i="3" s="1"/>
  <c r="O4927" i="3"/>
  <c r="P4927" i="3"/>
  <c r="K4928" i="3"/>
  <c r="L4928" i="3" s="1"/>
  <c r="O4928" i="3"/>
  <c r="P4928" i="3"/>
  <c r="K4929" i="3"/>
  <c r="L4929" i="3" s="1"/>
  <c r="O4929" i="3"/>
  <c r="P4929" i="3"/>
  <c r="K4930" i="3"/>
  <c r="L4930" i="3" s="1"/>
  <c r="O4930" i="3"/>
  <c r="P4930" i="3"/>
  <c r="K4931" i="3"/>
  <c r="L4931" i="3" s="1"/>
  <c r="O4931" i="3"/>
  <c r="P4931" i="3"/>
  <c r="K4932" i="3"/>
  <c r="L4932" i="3" s="1"/>
  <c r="O4932" i="3"/>
  <c r="P4932" i="3"/>
  <c r="K4933" i="3"/>
  <c r="L4933" i="3" s="1"/>
  <c r="O4933" i="3"/>
  <c r="P4933" i="3"/>
  <c r="K4934" i="3"/>
  <c r="L4934" i="3" s="1"/>
  <c r="O4934" i="3"/>
  <c r="P4934" i="3"/>
  <c r="K4935" i="3"/>
  <c r="L4935" i="3" s="1"/>
  <c r="O4935" i="3"/>
  <c r="P4935" i="3"/>
  <c r="K4936" i="3"/>
  <c r="L4936" i="3" s="1"/>
  <c r="O4936" i="3"/>
  <c r="P4936" i="3"/>
  <c r="K4937" i="3"/>
  <c r="L4937" i="3" s="1"/>
  <c r="O4937" i="3"/>
  <c r="P4937" i="3"/>
  <c r="K4938" i="3"/>
  <c r="L4938" i="3" s="1"/>
  <c r="O4938" i="3"/>
  <c r="P4938" i="3"/>
  <c r="K4939" i="3"/>
  <c r="L4939" i="3" s="1"/>
  <c r="O4939" i="3"/>
  <c r="P4939" i="3"/>
  <c r="K4940" i="3"/>
  <c r="L4940" i="3" s="1"/>
  <c r="O4940" i="3"/>
  <c r="P4940" i="3"/>
  <c r="K4941" i="3"/>
  <c r="L4941" i="3" s="1"/>
  <c r="O4941" i="3"/>
  <c r="P4941" i="3"/>
  <c r="K4942" i="3"/>
  <c r="L4942" i="3" s="1"/>
  <c r="O4942" i="3"/>
  <c r="P4942" i="3"/>
  <c r="K4943" i="3"/>
  <c r="L4943" i="3" s="1"/>
  <c r="O4943" i="3"/>
  <c r="P4943" i="3"/>
  <c r="K4944" i="3"/>
  <c r="L4944" i="3" s="1"/>
  <c r="O4944" i="3"/>
  <c r="P4944" i="3"/>
  <c r="K4945" i="3"/>
  <c r="L4945" i="3" s="1"/>
  <c r="O4945" i="3"/>
  <c r="P4945" i="3"/>
  <c r="K4946" i="3"/>
  <c r="L4946" i="3" s="1"/>
  <c r="O4946" i="3"/>
  <c r="P4946" i="3"/>
  <c r="K4947" i="3"/>
  <c r="L4947" i="3" s="1"/>
  <c r="O4947" i="3"/>
  <c r="P4947" i="3"/>
  <c r="K4948" i="3"/>
  <c r="L4948" i="3" s="1"/>
  <c r="O4948" i="3"/>
  <c r="P4948" i="3"/>
  <c r="K4949" i="3"/>
  <c r="L4949" i="3" s="1"/>
  <c r="O4949" i="3"/>
  <c r="P4949" i="3"/>
  <c r="K4950" i="3"/>
  <c r="L4950" i="3" s="1"/>
  <c r="O4950" i="3"/>
  <c r="P4950" i="3"/>
  <c r="K4951" i="3"/>
  <c r="L4951" i="3" s="1"/>
  <c r="O4951" i="3"/>
  <c r="P4951" i="3"/>
  <c r="K4952" i="3"/>
  <c r="L4952" i="3" s="1"/>
  <c r="O4952" i="3"/>
  <c r="P4952" i="3"/>
  <c r="K4953" i="3"/>
  <c r="L4953" i="3" s="1"/>
  <c r="O4953" i="3"/>
  <c r="P4953" i="3"/>
  <c r="K4954" i="3"/>
  <c r="L4954" i="3" s="1"/>
  <c r="O4954" i="3"/>
  <c r="P4954" i="3"/>
  <c r="K4955" i="3"/>
  <c r="L4955" i="3" s="1"/>
  <c r="O4955" i="3"/>
  <c r="P4955" i="3"/>
  <c r="K4956" i="3"/>
  <c r="L4956" i="3" s="1"/>
  <c r="O4956" i="3"/>
  <c r="P4956" i="3"/>
  <c r="K4957" i="3"/>
  <c r="L4957" i="3" s="1"/>
  <c r="O4957" i="3"/>
  <c r="P4957" i="3"/>
  <c r="K4958" i="3"/>
  <c r="L4958" i="3" s="1"/>
  <c r="O4958" i="3"/>
  <c r="P4958" i="3"/>
  <c r="K4959" i="3"/>
  <c r="L4959" i="3" s="1"/>
  <c r="O4959" i="3"/>
  <c r="P4959" i="3"/>
  <c r="K4960" i="3"/>
  <c r="L4960" i="3" s="1"/>
  <c r="O4960" i="3"/>
  <c r="P4960" i="3"/>
  <c r="K4961" i="3"/>
  <c r="L4961" i="3" s="1"/>
  <c r="O4961" i="3"/>
  <c r="P4961" i="3"/>
  <c r="K4962" i="3"/>
  <c r="L4962" i="3" s="1"/>
  <c r="O4962" i="3"/>
  <c r="P4962" i="3"/>
  <c r="K4963" i="3"/>
  <c r="L4963" i="3" s="1"/>
  <c r="O4963" i="3"/>
  <c r="P4963" i="3"/>
  <c r="K4964" i="3"/>
  <c r="L4964" i="3" s="1"/>
  <c r="O4964" i="3"/>
  <c r="P4964" i="3"/>
  <c r="K4965" i="3"/>
  <c r="L4965" i="3" s="1"/>
  <c r="O4965" i="3"/>
  <c r="P4965" i="3"/>
  <c r="K4966" i="3"/>
  <c r="L4966" i="3" s="1"/>
  <c r="O4966" i="3"/>
  <c r="P4966" i="3"/>
  <c r="K4967" i="3"/>
  <c r="L4967" i="3" s="1"/>
  <c r="O4967" i="3"/>
  <c r="P4967" i="3"/>
  <c r="K4968" i="3"/>
  <c r="L4968" i="3" s="1"/>
  <c r="O4968" i="3"/>
  <c r="P4968" i="3"/>
  <c r="K4969" i="3"/>
  <c r="L4969" i="3" s="1"/>
  <c r="O4969" i="3"/>
  <c r="P4969" i="3"/>
  <c r="K4970" i="3"/>
  <c r="L4970" i="3" s="1"/>
  <c r="O4970" i="3"/>
  <c r="P4970" i="3"/>
  <c r="K4971" i="3"/>
  <c r="L4971" i="3" s="1"/>
  <c r="O4971" i="3"/>
  <c r="P4971" i="3"/>
  <c r="K4972" i="3"/>
  <c r="L4972" i="3" s="1"/>
  <c r="O4972" i="3"/>
  <c r="P4972" i="3"/>
  <c r="K4973" i="3"/>
  <c r="L4973" i="3" s="1"/>
  <c r="O4973" i="3"/>
  <c r="P4973" i="3"/>
  <c r="K4974" i="3"/>
  <c r="L4974" i="3" s="1"/>
  <c r="O4974" i="3"/>
  <c r="P4974" i="3"/>
  <c r="K4975" i="3"/>
  <c r="L4975" i="3" s="1"/>
  <c r="O4975" i="3"/>
  <c r="P4975" i="3"/>
  <c r="K4976" i="3"/>
  <c r="L4976" i="3" s="1"/>
  <c r="O4976" i="3"/>
  <c r="P4976" i="3"/>
  <c r="K4977" i="3"/>
  <c r="L4977" i="3" s="1"/>
  <c r="O4977" i="3"/>
  <c r="P4977" i="3"/>
  <c r="K4978" i="3"/>
  <c r="L4978" i="3" s="1"/>
  <c r="O4978" i="3"/>
  <c r="P4978" i="3"/>
  <c r="K4979" i="3"/>
  <c r="L4979" i="3" s="1"/>
  <c r="O4979" i="3"/>
  <c r="P4979" i="3"/>
  <c r="K4980" i="3"/>
  <c r="L4980" i="3" s="1"/>
  <c r="O4980" i="3"/>
  <c r="P4980" i="3"/>
  <c r="K4981" i="3"/>
  <c r="L4981" i="3" s="1"/>
  <c r="O4981" i="3"/>
  <c r="P4981" i="3"/>
  <c r="K4982" i="3"/>
  <c r="L4982" i="3" s="1"/>
  <c r="O4982" i="3"/>
  <c r="P4982" i="3"/>
  <c r="K4983" i="3"/>
  <c r="L4983" i="3" s="1"/>
  <c r="O4983" i="3"/>
  <c r="P4983" i="3"/>
  <c r="K4984" i="3"/>
  <c r="L4984" i="3" s="1"/>
  <c r="O4984" i="3"/>
  <c r="P4984" i="3"/>
  <c r="K4985" i="3"/>
  <c r="L4985" i="3" s="1"/>
  <c r="O4985" i="3"/>
  <c r="P4985" i="3"/>
  <c r="K4986" i="3"/>
  <c r="L4986" i="3" s="1"/>
  <c r="O4986" i="3"/>
  <c r="P4986" i="3"/>
  <c r="K4987" i="3"/>
  <c r="L4987" i="3" s="1"/>
  <c r="O4987" i="3"/>
  <c r="P4987" i="3"/>
  <c r="K4988" i="3"/>
  <c r="L4988" i="3" s="1"/>
  <c r="O4988" i="3"/>
  <c r="P4988" i="3"/>
  <c r="K4989" i="3"/>
  <c r="L4989" i="3" s="1"/>
  <c r="O4989" i="3"/>
  <c r="P4989" i="3"/>
  <c r="K4990" i="3"/>
  <c r="L4990" i="3" s="1"/>
  <c r="O4990" i="3"/>
  <c r="P4990" i="3"/>
  <c r="K4991" i="3"/>
  <c r="L4991" i="3" s="1"/>
  <c r="O4991" i="3"/>
  <c r="P4991" i="3"/>
  <c r="K4992" i="3"/>
  <c r="L4992" i="3" s="1"/>
  <c r="O4992" i="3"/>
  <c r="P4992" i="3"/>
  <c r="K4993" i="3"/>
  <c r="L4993" i="3" s="1"/>
  <c r="O4993" i="3"/>
  <c r="P4993" i="3"/>
  <c r="K4994" i="3"/>
  <c r="L4994" i="3" s="1"/>
  <c r="O4994" i="3"/>
  <c r="P4994" i="3"/>
  <c r="K4995" i="3"/>
  <c r="L4995" i="3" s="1"/>
  <c r="O4995" i="3"/>
  <c r="P4995" i="3"/>
  <c r="K4996" i="3"/>
  <c r="L4996" i="3" s="1"/>
  <c r="O4996" i="3"/>
  <c r="P4996" i="3"/>
  <c r="K4997" i="3"/>
  <c r="L4997" i="3" s="1"/>
  <c r="O4997" i="3"/>
  <c r="P4997" i="3"/>
  <c r="K4998" i="3"/>
  <c r="L4998" i="3" s="1"/>
  <c r="O4998" i="3"/>
  <c r="P4998" i="3"/>
  <c r="K4999" i="3"/>
  <c r="L4999" i="3" s="1"/>
  <c r="O4999" i="3"/>
  <c r="P4999" i="3"/>
  <c r="K5000" i="3"/>
  <c r="L5000" i="3" s="1"/>
  <c r="O5000" i="3"/>
  <c r="P5000" i="3"/>
  <c r="K5001" i="3"/>
  <c r="L5001" i="3" s="1"/>
  <c r="O5001" i="3"/>
  <c r="P5001" i="3"/>
  <c r="K5002" i="3"/>
  <c r="L5002" i="3" s="1"/>
  <c r="O5002" i="3"/>
  <c r="P5002" i="3"/>
  <c r="K5003" i="3"/>
  <c r="L5003" i="3" s="1"/>
  <c r="O5003" i="3"/>
  <c r="P5003" i="3"/>
  <c r="K5004" i="3"/>
  <c r="L5004" i="3" s="1"/>
  <c r="O5004" i="3"/>
  <c r="P5004" i="3"/>
  <c r="K5005" i="3"/>
  <c r="L5005" i="3" s="1"/>
  <c r="O5005" i="3"/>
  <c r="P5005" i="3"/>
  <c r="K5006" i="3"/>
  <c r="L5006" i="3" s="1"/>
  <c r="O5006" i="3"/>
  <c r="P5006" i="3"/>
  <c r="K5007" i="3"/>
  <c r="L5007" i="3" s="1"/>
  <c r="O5007" i="3"/>
  <c r="P5007" i="3"/>
  <c r="K5008" i="3"/>
  <c r="L5008" i="3" s="1"/>
  <c r="O5008" i="3"/>
  <c r="P5008" i="3"/>
  <c r="K5009" i="3"/>
  <c r="L5009" i="3" s="1"/>
  <c r="O5009" i="3"/>
  <c r="P5009" i="3"/>
  <c r="K5010" i="3"/>
  <c r="L5010" i="3" s="1"/>
  <c r="O5010" i="3"/>
  <c r="P5010" i="3"/>
  <c r="K5011" i="3"/>
  <c r="L5011" i="3" s="1"/>
  <c r="O5011" i="3"/>
  <c r="P5011" i="3"/>
  <c r="K5012" i="3"/>
  <c r="L5012" i="3" s="1"/>
  <c r="O5012" i="3"/>
  <c r="P5012" i="3"/>
  <c r="K5013" i="3"/>
  <c r="L5013" i="3" s="1"/>
  <c r="O5013" i="3"/>
  <c r="P5013" i="3"/>
  <c r="K5014" i="3"/>
  <c r="L5014" i="3" s="1"/>
  <c r="O5014" i="3"/>
  <c r="P5014" i="3"/>
  <c r="K5015" i="3"/>
  <c r="L5015" i="3" s="1"/>
  <c r="O5015" i="3"/>
  <c r="P5015" i="3"/>
  <c r="K5016" i="3"/>
  <c r="L5016" i="3" s="1"/>
  <c r="O5016" i="3"/>
  <c r="P5016" i="3"/>
  <c r="K5017" i="3"/>
  <c r="L5017" i="3" s="1"/>
  <c r="O5017" i="3"/>
  <c r="P5017" i="3"/>
  <c r="K5018" i="3"/>
  <c r="L5018" i="3" s="1"/>
  <c r="O5018" i="3"/>
  <c r="P5018" i="3"/>
  <c r="K5019" i="3"/>
  <c r="L5019" i="3" s="1"/>
  <c r="O5019" i="3"/>
  <c r="P5019" i="3"/>
  <c r="K5020" i="3"/>
  <c r="L5020" i="3" s="1"/>
  <c r="O5020" i="3"/>
  <c r="P5020" i="3"/>
  <c r="K5021" i="3"/>
  <c r="L5021" i="3" s="1"/>
  <c r="O5021" i="3"/>
  <c r="P5021" i="3"/>
  <c r="K5022" i="3"/>
  <c r="L5022" i="3" s="1"/>
  <c r="O5022" i="3"/>
  <c r="P5022" i="3"/>
  <c r="K5023" i="3"/>
  <c r="L5023" i="3" s="1"/>
  <c r="O5023" i="3"/>
  <c r="P5023" i="3"/>
  <c r="K5024" i="3"/>
  <c r="L5024" i="3" s="1"/>
  <c r="O5024" i="3"/>
  <c r="P5024" i="3"/>
  <c r="K5025" i="3"/>
  <c r="L5025" i="3" s="1"/>
  <c r="O5025" i="3"/>
  <c r="P5025" i="3"/>
  <c r="K5026" i="3"/>
  <c r="L5026" i="3" s="1"/>
  <c r="O5026" i="3"/>
  <c r="P5026" i="3"/>
  <c r="K5027" i="3"/>
  <c r="L5027" i="3" s="1"/>
  <c r="O5027" i="3"/>
  <c r="P5027" i="3"/>
  <c r="K5028" i="3"/>
  <c r="L5028" i="3" s="1"/>
  <c r="O5028" i="3"/>
  <c r="P5028" i="3"/>
  <c r="K5029" i="3"/>
  <c r="L5029" i="3" s="1"/>
  <c r="O5029" i="3"/>
  <c r="P5029" i="3"/>
  <c r="K5030" i="3"/>
  <c r="L5030" i="3" s="1"/>
  <c r="O5030" i="3"/>
  <c r="P5030" i="3"/>
  <c r="K5031" i="3"/>
  <c r="L5031" i="3" s="1"/>
  <c r="O5031" i="3"/>
  <c r="P5031" i="3"/>
  <c r="K5032" i="3"/>
  <c r="L5032" i="3" s="1"/>
  <c r="O5032" i="3"/>
  <c r="P5032" i="3"/>
  <c r="K5033" i="3"/>
  <c r="L5033" i="3" s="1"/>
  <c r="O5033" i="3"/>
  <c r="P5033" i="3"/>
  <c r="K5034" i="3"/>
  <c r="L5034" i="3" s="1"/>
  <c r="O5034" i="3"/>
  <c r="P5034" i="3"/>
  <c r="K5035" i="3"/>
  <c r="L5035" i="3" s="1"/>
  <c r="O5035" i="3"/>
  <c r="P5035" i="3"/>
  <c r="K5036" i="3"/>
  <c r="L5036" i="3" s="1"/>
  <c r="O5036" i="3"/>
  <c r="P5036" i="3"/>
  <c r="O5037" i="3"/>
  <c r="P5037" i="3"/>
  <c r="K5038" i="3"/>
  <c r="L5038" i="3" s="1"/>
  <c r="O5038" i="3"/>
  <c r="P5038" i="3"/>
  <c r="K5039" i="3"/>
  <c r="L5039" i="3" s="1"/>
  <c r="O5039" i="3"/>
  <c r="P5039" i="3"/>
  <c r="K5040" i="3"/>
  <c r="L5040" i="3" s="1"/>
  <c r="O5040" i="3"/>
  <c r="P5040" i="3"/>
  <c r="K5041" i="3"/>
  <c r="L5041" i="3" s="1"/>
  <c r="O5041" i="3"/>
  <c r="P5041" i="3"/>
  <c r="K5042" i="3"/>
  <c r="L5042" i="3" s="1"/>
  <c r="O5042" i="3"/>
  <c r="P5042" i="3"/>
  <c r="K5043" i="3"/>
  <c r="L5043" i="3" s="1"/>
  <c r="O5043" i="3"/>
  <c r="P5043" i="3"/>
  <c r="K5044" i="3"/>
  <c r="L5044" i="3" s="1"/>
  <c r="O5044" i="3"/>
  <c r="P5044" i="3"/>
  <c r="K5045" i="3"/>
  <c r="L5045" i="3" s="1"/>
  <c r="O5045" i="3"/>
  <c r="P5045" i="3"/>
  <c r="K5046" i="3"/>
  <c r="L5046" i="3" s="1"/>
  <c r="O5046" i="3"/>
  <c r="P5046" i="3"/>
  <c r="K5047" i="3"/>
  <c r="L5047" i="3" s="1"/>
  <c r="O5047" i="3"/>
  <c r="P5047" i="3"/>
  <c r="K5048" i="3"/>
  <c r="L5048" i="3" s="1"/>
  <c r="O5048" i="3"/>
  <c r="P5048" i="3"/>
  <c r="K5049" i="3"/>
  <c r="L5049" i="3" s="1"/>
  <c r="O5049" i="3"/>
  <c r="P5049" i="3"/>
  <c r="K5050" i="3"/>
  <c r="L5050" i="3" s="1"/>
  <c r="O5050" i="3"/>
  <c r="P5050" i="3"/>
  <c r="K5051" i="3"/>
  <c r="L5051" i="3" s="1"/>
  <c r="O5051" i="3"/>
  <c r="P5051" i="3"/>
  <c r="K5052" i="3"/>
  <c r="L5052" i="3" s="1"/>
  <c r="O5052" i="3"/>
  <c r="P5052" i="3"/>
  <c r="K5053" i="3"/>
  <c r="L5053" i="3" s="1"/>
  <c r="O5053" i="3"/>
  <c r="P5053" i="3"/>
  <c r="K5054" i="3"/>
  <c r="L5054" i="3" s="1"/>
  <c r="O5054" i="3"/>
  <c r="P5054" i="3"/>
  <c r="K5055" i="3"/>
  <c r="L5055" i="3" s="1"/>
  <c r="O5055" i="3"/>
  <c r="P5055" i="3"/>
  <c r="K5056" i="3"/>
  <c r="L5056" i="3" s="1"/>
  <c r="O5056" i="3"/>
  <c r="P5056" i="3"/>
  <c r="K5057" i="3"/>
  <c r="L5057" i="3" s="1"/>
  <c r="O5057" i="3"/>
  <c r="P5057" i="3"/>
  <c r="K5058" i="3"/>
  <c r="L5058" i="3" s="1"/>
  <c r="O5058" i="3"/>
  <c r="P5058" i="3"/>
  <c r="K5059" i="3"/>
  <c r="L5059" i="3" s="1"/>
  <c r="O5059" i="3"/>
  <c r="P5059" i="3"/>
  <c r="K5060" i="3"/>
  <c r="L5060" i="3" s="1"/>
  <c r="O5060" i="3"/>
  <c r="P5060" i="3"/>
  <c r="K5061" i="3"/>
  <c r="L5061" i="3" s="1"/>
  <c r="O5061" i="3"/>
  <c r="P5061" i="3"/>
  <c r="K5062" i="3"/>
  <c r="L5062" i="3" s="1"/>
  <c r="O5062" i="3"/>
  <c r="P5062" i="3"/>
  <c r="K5063" i="3"/>
  <c r="L5063" i="3" s="1"/>
  <c r="O5063" i="3"/>
  <c r="P5063" i="3"/>
  <c r="K5064" i="3"/>
  <c r="L5064" i="3" s="1"/>
  <c r="O5064" i="3"/>
  <c r="P5064" i="3"/>
  <c r="K5065" i="3"/>
  <c r="L5065" i="3" s="1"/>
  <c r="O5065" i="3"/>
  <c r="P5065" i="3"/>
  <c r="K5066" i="3"/>
  <c r="L5066" i="3" s="1"/>
  <c r="O5066" i="3"/>
  <c r="P5066" i="3"/>
  <c r="K5067" i="3"/>
  <c r="L5067" i="3" s="1"/>
  <c r="O5067" i="3"/>
  <c r="P5067" i="3"/>
  <c r="K5068" i="3"/>
  <c r="L5068" i="3" s="1"/>
  <c r="O5068" i="3"/>
  <c r="P5068" i="3"/>
  <c r="K5069" i="3"/>
  <c r="L5069" i="3" s="1"/>
  <c r="O5069" i="3"/>
  <c r="P5069" i="3"/>
  <c r="K5070" i="3"/>
  <c r="L5070" i="3" s="1"/>
  <c r="O5070" i="3"/>
  <c r="P5070" i="3"/>
  <c r="K5071" i="3"/>
  <c r="L5071" i="3" s="1"/>
  <c r="O5071" i="3"/>
  <c r="P5071" i="3"/>
  <c r="K5072" i="3"/>
  <c r="L5072" i="3" s="1"/>
  <c r="O5072" i="3"/>
  <c r="P5072" i="3"/>
  <c r="K5073" i="3"/>
  <c r="L5073" i="3" s="1"/>
  <c r="O5073" i="3"/>
  <c r="P5073" i="3"/>
  <c r="K5074" i="3"/>
  <c r="L5074" i="3" s="1"/>
  <c r="O5074" i="3"/>
  <c r="P5074" i="3"/>
  <c r="K5075" i="3"/>
  <c r="L5075" i="3" s="1"/>
  <c r="O5075" i="3"/>
  <c r="P5075" i="3"/>
  <c r="K5076" i="3"/>
  <c r="L5076" i="3" s="1"/>
  <c r="O5076" i="3"/>
  <c r="P5076" i="3"/>
  <c r="K5077" i="3"/>
  <c r="L5077" i="3" s="1"/>
  <c r="O5077" i="3"/>
  <c r="P5077" i="3"/>
  <c r="K5078" i="3"/>
  <c r="L5078" i="3" s="1"/>
  <c r="O5078" i="3"/>
  <c r="P5078" i="3"/>
  <c r="K5079" i="3"/>
  <c r="L5079" i="3" s="1"/>
  <c r="O5079" i="3"/>
  <c r="P5079" i="3"/>
  <c r="K5080" i="3"/>
  <c r="L5080" i="3" s="1"/>
  <c r="O5080" i="3"/>
  <c r="P5080" i="3"/>
  <c r="K5081" i="3"/>
  <c r="L5081" i="3" s="1"/>
  <c r="O5081" i="3"/>
  <c r="P5081" i="3"/>
  <c r="K5082" i="3"/>
  <c r="L5082" i="3" s="1"/>
  <c r="O5082" i="3"/>
  <c r="P5082" i="3"/>
  <c r="K5083" i="3"/>
  <c r="L5083" i="3" s="1"/>
  <c r="O5083" i="3"/>
  <c r="P5083" i="3"/>
  <c r="K5084" i="3"/>
  <c r="L5084" i="3" s="1"/>
  <c r="O5084" i="3"/>
  <c r="P5084" i="3"/>
  <c r="K5085" i="3"/>
  <c r="L5085" i="3" s="1"/>
  <c r="O5085" i="3"/>
  <c r="P5085" i="3"/>
  <c r="K5086" i="3"/>
  <c r="L5086" i="3" s="1"/>
  <c r="O5086" i="3"/>
  <c r="P5086" i="3"/>
  <c r="K5087" i="3"/>
  <c r="L5087" i="3" s="1"/>
  <c r="O5087" i="3"/>
  <c r="P5087" i="3"/>
  <c r="K5088" i="3"/>
  <c r="L5088" i="3" s="1"/>
  <c r="O5088" i="3"/>
  <c r="P5088" i="3"/>
  <c r="K5089" i="3"/>
  <c r="L5089" i="3" s="1"/>
  <c r="O5089" i="3"/>
  <c r="P5089" i="3"/>
  <c r="K5090" i="3"/>
  <c r="L5090" i="3" s="1"/>
  <c r="O5090" i="3"/>
  <c r="P5090" i="3"/>
  <c r="K5091" i="3"/>
  <c r="L5091" i="3" s="1"/>
  <c r="O5091" i="3"/>
  <c r="P5091" i="3"/>
  <c r="K5092" i="3"/>
  <c r="L5092" i="3" s="1"/>
  <c r="O5092" i="3"/>
  <c r="P5092" i="3"/>
  <c r="K5093" i="3"/>
  <c r="L5093" i="3" s="1"/>
  <c r="O5093" i="3"/>
  <c r="P5093" i="3"/>
  <c r="K5094" i="3"/>
  <c r="L5094" i="3" s="1"/>
  <c r="O5094" i="3"/>
  <c r="P5094" i="3"/>
  <c r="K5095" i="3"/>
  <c r="L5095" i="3" s="1"/>
  <c r="O5095" i="3"/>
  <c r="P5095" i="3"/>
  <c r="K5096" i="3"/>
  <c r="L5096" i="3" s="1"/>
  <c r="O5096" i="3"/>
  <c r="P5096" i="3"/>
  <c r="K5097" i="3"/>
  <c r="L5097" i="3" s="1"/>
  <c r="O5097" i="3"/>
  <c r="P5097" i="3"/>
  <c r="K5098" i="3"/>
  <c r="L5098" i="3" s="1"/>
  <c r="O5098" i="3"/>
  <c r="P5098" i="3"/>
  <c r="K5099" i="3"/>
  <c r="L5099" i="3" s="1"/>
  <c r="O5099" i="3"/>
  <c r="P5099" i="3"/>
  <c r="K5100" i="3"/>
  <c r="L5100" i="3" s="1"/>
  <c r="O5100" i="3"/>
  <c r="P5100" i="3"/>
  <c r="K5101" i="3"/>
  <c r="L5101" i="3" s="1"/>
  <c r="O5101" i="3"/>
  <c r="P5101" i="3"/>
  <c r="K5102" i="3"/>
  <c r="L5102" i="3" s="1"/>
  <c r="O5102" i="3"/>
  <c r="P5102" i="3"/>
  <c r="K5103" i="3"/>
  <c r="L5103" i="3" s="1"/>
  <c r="O5103" i="3"/>
  <c r="P5103" i="3"/>
  <c r="K5104" i="3"/>
  <c r="L5104" i="3" s="1"/>
  <c r="O5104" i="3"/>
  <c r="P5104" i="3"/>
  <c r="K5105" i="3"/>
  <c r="L5105" i="3" s="1"/>
  <c r="O5105" i="3"/>
  <c r="P5105" i="3"/>
  <c r="K5106" i="3"/>
  <c r="L5106" i="3" s="1"/>
  <c r="O5106" i="3"/>
  <c r="P5106" i="3"/>
  <c r="K5107" i="3"/>
  <c r="L5107" i="3" s="1"/>
  <c r="O5107" i="3"/>
  <c r="P5107" i="3"/>
  <c r="K5108" i="3"/>
  <c r="L5108" i="3" s="1"/>
  <c r="O5108" i="3"/>
  <c r="P5108" i="3"/>
  <c r="K5109" i="3"/>
  <c r="L5109" i="3" s="1"/>
  <c r="O5109" i="3"/>
  <c r="P5109" i="3"/>
  <c r="K5110" i="3"/>
  <c r="L5110" i="3" s="1"/>
  <c r="O5110" i="3"/>
  <c r="P5110" i="3"/>
  <c r="K5111" i="3"/>
  <c r="L5111" i="3" s="1"/>
  <c r="O5111" i="3"/>
  <c r="P5111" i="3"/>
  <c r="K5112" i="3"/>
  <c r="L5112" i="3" s="1"/>
  <c r="O5112" i="3"/>
  <c r="P5112" i="3"/>
  <c r="K5113" i="3"/>
  <c r="L5113" i="3" s="1"/>
  <c r="O5113" i="3"/>
  <c r="P5113" i="3"/>
  <c r="K5114" i="3"/>
  <c r="L5114" i="3" s="1"/>
  <c r="O5114" i="3"/>
  <c r="P5114" i="3"/>
  <c r="K5115" i="3"/>
  <c r="L5115" i="3" s="1"/>
  <c r="O5115" i="3"/>
  <c r="P5115" i="3"/>
  <c r="K5116" i="3"/>
  <c r="L5116" i="3" s="1"/>
  <c r="O5116" i="3"/>
  <c r="P5116" i="3"/>
  <c r="K5117" i="3"/>
  <c r="L5117" i="3" s="1"/>
  <c r="O5117" i="3"/>
  <c r="P5117" i="3"/>
  <c r="K5118" i="3"/>
  <c r="L5118" i="3" s="1"/>
  <c r="O5118" i="3"/>
  <c r="P5118" i="3"/>
  <c r="K5119" i="3"/>
  <c r="L5119" i="3" s="1"/>
  <c r="O5119" i="3"/>
  <c r="P5119" i="3"/>
  <c r="K5120" i="3"/>
  <c r="L5120" i="3" s="1"/>
  <c r="O5120" i="3"/>
  <c r="P5120" i="3"/>
  <c r="K5121" i="3"/>
  <c r="L5121" i="3" s="1"/>
  <c r="O5121" i="3"/>
  <c r="P5121" i="3"/>
  <c r="K5122" i="3"/>
  <c r="L5122" i="3" s="1"/>
  <c r="O5122" i="3"/>
  <c r="P5122" i="3"/>
  <c r="K5123" i="3"/>
  <c r="L5123" i="3" s="1"/>
  <c r="O5123" i="3"/>
  <c r="P5123" i="3"/>
  <c r="K5124" i="3"/>
  <c r="L5124" i="3" s="1"/>
  <c r="O5124" i="3"/>
  <c r="P5124" i="3"/>
  <c r="K5125" i="3"/>
  <c r="L5125" i="3" s="1"/>
  <c r="O5125" i="3"/>
  <c r="P5125" i="3"/>
  <c r="K5126" i="3"/>
  <c r="L5126" i="3" s="1"/>
  <c r="O5126" i="3"/>
  <c r="P5126" i="3"/>
  <c r="K5127" i="3"/>
  <c r="L5127" i="3" s="1"/>
  <c r="O5127" i="3"/>
  <c r="P5127" i="3"/>
  <c r="K5128" i="3"/>
  <c r="L5128" i="3" s="1"/>
  <c r="O5128" i="3"/>
  <c r="P5128" i="3"/>
  <c r="K5129" i="3"/>
  <c r="L5129" i="3" s="1"/>
  <c r="O5129" i="3"/>
  <c r="P5129" i="3"/>
  <c r="K5130" i="3"/>
  <c r="L5130" i="3" s="1"/>
  <c r="O5130" i="3"/>
  <c r="P5130" i="3"/>
  <c r="K5131" i="3"/>
  <c r="L5131" i="3" s="1"/>
  <c r="O5131" i="3"/>
  <c r="P5131" i="3"/>
  <c r="K5132" i="3"/>
  <c r="L5132" i="3" s="1"/>
  <c r="O5132" i="3"/>
  <c r="P5132" i="3"/>
  <c r="K5133" i="3"/>
  <c r="L5133" i="3" s="1"/>
  <c r="O5133" i="3"/>
  <c r="P5133" i="3"/>
  <c r="K5134" i="3"/>
  <c r="L5134" i="3" s="1"/>
  <c r="O5134" i="3"/>
  <c r="P5134" i="3"/>
  <c r="K5135" i="3"/>
  <c r="L5135" i="3" s="1"/>
  <c r="O5135" i="3"/>
  <c r="P5135" i="3"/>
  <c r="K5136" i="3"/>
  <c r="L5136" i="3" s="1"/>
  <c r="O5136" i="3"/>
  <c r="P5136" i="3"/>
  <c r="K5137" i="3"/>
  <c r="L5137" i="3" s="1"/>
  <c r="O5137" i="3"/>
  <c r="P5137" i="3"/>
  <c r="K5138" i="3"/>
  <c r="L5138" i="3" s="1"/>
  <c r="O5138" i="3"/>
  <c r="P5138" i="3"/>
  <c r="K5139" i="3"/>
  <c r="L5139" i="3" s="1"/>
  <c r="O5139" i="3"/>
  <c r="P5139" i="3"/>
  <c r="K5140" i="3"/>
  <c r="L5140" i="3" s="1"/>
  <c r="O5140" i="3"/>
  <c r="P5140" i="3"/>
  <c r="K5141" i="3"/>
  <c r="L5141" i="3" s="1"/>
  <c r="O5141" i="3"/>
  <c r="P5141" i="3"/>
  <c r="K5142" i="3"/>
  <c r="L5142" i="3" s="1"/>
  <c r="O5142" i="3"/>
  <c r="P5142" i="3"/>
  <c r="K5143" i="3"/>
  <c r="L5143" i="3" s="1"/>
  <c r="O5143" i="3"/>
  <c r="P5143" i="3"/>
  <c r="K5144" i="3"/>
  <c r="L5144" i="3" s="1"/>
  <c r="O5144" i="3"/>
  <c r="P5144" i="3"/>
  <c r="K5145" i="3"/>
  <c r="L5145" i="3" s="1"/>
  <c r="O5145" i="3"/>
  <c r="P5145" i="3"/>
  <c r="K5146" i="3"/>
  <c r="L5146" i="3" s="1"/>
  <c r="O5146" i="3"/>
  <c r="P5146" i="3"/>
  <c r="K5147" i="3"/>
  <c r="L5147" i="3" s="1"/>
  <c r="O5147" i="3"/>
  <c r="P5147" i="3"/>
  <c r="K5148" i="3"/>
  <c r="L5148" i="3" s="1"/>
  <c r="O5148" i="3"/>
  <c r="P5148" i="3"/>
  <c r="K5149" i="3"/>
  <c r="L5149" i="3" s="1"/>
  <c r="O5149" i="3"/>
  <c r="P5149" i="3"/>
  <c r="K5150" i="3"/>
  <c r="L5150" i="3" s="1"/>
  <c r="O5150" i="3"/>
  <c r="P5150" i="3"/>
  <c r="K5151" i="3"/>
  <c r="L5151" i="3" s="1"/>
  <c r="O5151" i="3"/>
  <c r="P5151" i="3"/>
  <c r="K5152" i="3"/>
  <c r="L5152" i="3" s="1"/>
  <c r="O5152" i="3"/>
  <c r="P5152" i="3"/>
  <c r="K5153" i="3"/>
  <c r="L5153" i="3" s="1"/>
  <c r="O5153" i="3"/>
  <c r="P5153" i="3"/>
  <c r="K5154" i="3"/>
  <c r="L5154" i="3" s="1"/>
  <c r="O5154" i="3"/>
  <c r="P5154" i="3"/>
  <c r="K5155" i="3"/>
  <c r="L5155" i="3" s="1"/>
  <c r="O5155" i="3"/>
  <c r="P5155" i="3"/>
  <c r="K5156" i="3"/>
  <c r="L5156" i="3" s="1"/>
  <c r="O5156" i="3"/>
  <c r="P5156" i="3"/>
  <c r="K5157" i="3"/>
  <c r="L5157" i="3" s="1"/>
  <c r="O5157" i="3"/>
  <c r="P5157" i="3"/>
  <c r="K5158" i="3"/>
  <c r="L5158" i="3" s="1"/>
  <c r="O5158" i="3"/>
  <c r="P5158" i="3"/>
  <c r="K5159" i="3"/>
  <c r="L5159" i="3" s="1"/>
  <c r="O5159" i="3"/>
  <c r="P5159" i="3"/>
  <c r="K5160" i="3"/>
  <c r="L5160" i="3" s="1"/>
  <c r="O5160" i="3"/>
  <c r="P5160" i="3"/>
  <c r="K5161" i="3"/>
  <c r="L5161" i="3" s="1"/>
  <c r="O5161" i="3"/>
  <c r="P5161" i="3"/>
  <c r="K5162" i="3"/>
  <c r="L5162" i="3" s="1"/>
  <c r="O5162" i="3"/>
  <c r="P5162" i="3"/>
  <c r="K5163" i="3"/>
  <c r="L5163" i="3" s="1"/>
  <c r="O5163" i="3"/>
  <c r="P5163" i="3"/>
  <c r="K5164" i="3"/>
  <c r="L5164" i="3" s="1"/>
  <c r="O5164" i="3"/>
  <c r="P5164" i="3"/>
  <c r="K5165" i="3"/>
  <c r="L5165" i="3" s="1"/>
  <c r="O5165" i="3"/>
  <c r="P5165" i="3"/>
  <c r="K5166" i="3"/>
  <c r="L5166" i="3" s="1"/>
  <c r="O5166" i="3"/>
  <c r="P5166" i="3"/>
  <c r="K5167" i="3"/>
  <c r="L5167" i="3" s="1"/>
  <c r="O5167" i="3"/>
  <c r="P5167" i="3"/>
  <c r="K5168" i="3"/>
  <c r="L5168" i="3" s="1"/>
  <c r="O5168" i="3"/>
  <c r="P5168" i="3"/>
  <c r="K5169" i="3"/>
  <c r="L5169" i="3" s="1"/>
  <c r="O5169" i="3"/>
  <c r="P5169" i="3"/>
  <c r="K5170" i="3"/>
  <c r="L5170" i="3" s="1"/>
  <c r="O5170" i="3"/>
  <c r="P5170" i="3"/>
  <c r="K5171" i="3"/>
  <c r="L5171" i="3" s="1"/>
  <c r="O5171" i="3"/>
  <c r="P5171" i="3"/>
  <c r="K5172" i="3"/>
  <c r="L5172" i="3" s="1"/>
  <c r="O5172" i="3"/>
  <c r="P5172" i="3"/>
  <c r="K5173" i="3"/>
  <c r="L5173" i="3" s="1"/>
  <c r="O5173" i="3"/>
  <c r="P5173" i="3"/>
  <c r="K5174" i="3"/>
  <c r="L5174" i="3" s="1"/>
  <c r="O5174" i="3"/>
  <c r="P5174" i="3"/>
  <c r="K5175" i="3"/>
  <c r="L5175" i="3" s="1"/>
  <c r="O5175" i="3"/>
  <c r="P5175" i="3"/>
  <c r="K5176" i="3"/>
  <c r="L5176" i="3" s="1"/>
  <c r="O5176" i="3"/>
  <c r="P5176" i="3"/>
  <c r="K5177" i="3"/>
  <c r="L5177" i="3" s="1"/>
  <c r="O5177" i="3"/>
  <c r="P5177" i="3"/>
  <c r="K5178" i="3"/>
  <c r="L5178" i="3" s="1"/>
  <c r="O5178" i="3"/>
  <c r="P5178" i="3"/>
  <c r="K5179" i="3"/>
  <c r="L5179" i="3" s="1"/>
  <c r="O5179" i="3"/>
  <c r="P5179" i="3"/>
  <c r="K5180" i="3"/>
  <c r="L5180" i="3" s="1"/>
  <c r="O5180" i="3"/>
  <c r="P5180" i="3"/>
  <c r="K5181" i="3"/>
  <c r="L5181" i="3" s="1"/>
  <c r="O5181" i="3"/>
  <c r="P5181" i="3"/>
  <c r="K5182" i="3"/>
  <c r="L5182" i="3" s="1"/>
  <c r="O5182" i="3"/>
  <c r="P5182" i="3"/>
  <c r="K5183" i="3"/>
  <c r="L5183" i="3" s="1"/>
  <c r="O5183" i="3"/>
  <c r="P5183" i="3"/>
  <c r="K5184" i="3"/>
  <c r="L5184" i="3" s="1"/>
  <c r="O5184" i="3"/>
  <c r="P5184" i="3"/>
  <c r="K5185" i="3"/>
  <c r="L5185" i="3" s="1"/>
  <c r="O5185" i="3"/>
  <c r="P5185" i="3"/>
  <c r="K5186" i="3"/>
  <c r="L5186" i="3" s="1"/>
  <c r="O5186" i="3"/>
  <c r="P5186" i="3"/>
  <c r="K5187" i="3"/>
  <c r="L5187" i="3" s="1"/>
  <c r="O5187" i="3"/>
  <c r="P5187" i="3"/>
  <c r="K5188" i="3"/>
  <c r="L5188" i="3" s="1"/>
  <c r="O5188" i="3"/>
  <c r="P5188" i="3"/>
  <c r="K5189" i="3"/>
  <c r="L5189" i="3" s="1"/>
  <c r="O5189" i="3"/>
  <c r="P5189" i="3"/>
  <c r="K5190" i="3"/>
  <c r="L5190" i="3" s="1"/>
  <c r="O5190" i="3"/>
  <c r="P5190" i="3"/>
  <c r="K5191" i="3"/>
  <c r="L5191" i="3" s="1"/>
  <c r="O5191" i="3"/>
  <c r="P5191" i="3"/>
  <c r="K5192" i="3"/>
  <c r="L5192" i="3" s="1"/>
  <c r="O5192" i="3"/>
  <c r="P5192" i="3"/>
  <c r="K5193" i="3"/>
  <c r="L5193" i="3" s="1"/>
  <c r="O5193" i="3"/>
  <c r="P5193" i="3"/>
  <c r="K5194" i="3"/>
  <c r="L5194" i="3" s="1"/>
  <c r="O5194" i="3"/>
  <c r="P5194" i="3"/>
  <c r="K5195" i="3"/>
  <c r="L5195" i="3" s="1"/>
  <c r="O5195" i="3"/>
  <c r="P5195" i="3"/>
  <c r="K5196" i="3"/>
  <c r="L5196" i="3" s="1"/>
  <c r="O5196" i="3"/>
  <c r="P5196" i="3"/>
  <c r="K5197" i="3"/>
  <c r="L5197" i="3" s="1"/>
  <c r="O5197" i="3"/>
  <c r="P5197" i="3"/>
  <c r="K5198" i="3"/>
  <c r="L5198" i="3" s="1"/>
  <c r="O5198" i="3"/>
  <c r="P5198" i="3"/>
  <c r="K5199" i="3"/>
  <c r="L5199" i="3" s="1"/>
  <c r="O5199" i="3"/>
  <c r="P5199" i="3"/>
  <c r="K5200" i="3"/>
  <c r="L5200" i="3" s="1"/>
  <c r="O5200" i="3"/>
  <c r="P5200" i="3"/>
  <c r="K5201" i="3"/>
  <c r="L5201" i="3" s="1"/>
  <c r="O5201" i="3"/>
  <c r="P5201" i="3"/>
  <c r="K5202" i="3"/>
  <c r="L5202" i="3" s="1"/>
  <c r="O5202" i="3"/>
  <c r="P5202" i="3"/>
  <c r="K5203" i="3"/>
  <c r="L5203" i="3" s="1"/>
  <c r="O5203" i="3"/>
  <c r="P5203" i="3"/>
  <c r="K5204" i="3"/>
  <c r="L5204" i="3" s="1"/>
  <c r="O5204" i="3"/>
  <c r="P5204" i="3"/>
  <c r="K5205" i="3"/>
  <c r="L5205" i="3" s="1"/>
  <c r="O5205" i="3"/>
  <c r="P5205" i="3"/>
  <c r="K5206" i="3"/>
  <c r="L5206" i="3" s="1"/>
  <c r="O5206" i="3"/>
  <c r="P5206" i="3"/>
  <c r="K5207" i="3"/>
  <c r="L5207" i="3" s="1"/>
  <c r="O5207" i="3"/>
  <c r="P5207" i="3"/>
  <c r="K5208" i="3"/>
  <c r="L5208" i="3" s="1"/>
  <c r="O5208" i="3"/>
  <c r="P5208" i="3"/>
  <c r="K5209" i="3"/>
  <c r="L5209" i="3" s="1"/>
  <c r="O5209" i="3"/>
  <c r="P5209" i="3"/>
  <c r="K5210" i="3"/>
  <c r="L5210" i="3" s="1"/>
  <c r="O5210" i="3"/>
  <c r="P5210" i="3"/>
  <c r="K5211" i="3"/>
  <c r="L5211" i="3" s="1"/>
  <c r="O5211" i="3"/>
  <c r="P5211" i="3"/>
  <c r="K5212" i="3"/>
  <c r="L5212" i="3" s="1"/>
  <c r="O5212" i="3"/>
  <c r="P5212" i="3"/>
  <c r="K5213" i="3"/>
  <c r="L5213" i="3" s="1"/>
  <c r="O5213" i="3"/>
  <c r="P5213" i="3"/>
  <c r="K5214" i="3"/>
  <c r="L5214" i="3" s="1"/>
  <c r="O5214" i="3"/>
  <c r="P5214" i="3"/>
  <c r="K5215" i="3"/>
  <c r="L5215" i="3" s="1"/>
  <c r="O5215" i="3"/>
  <c r="P5215" i="3"/>
  <c r="K5216" i="3"/>
  <c r="L5216" i="3" s="1"/>
  <c r="O5216" i="3"/>
  <c r="P5216" i="3"/>
  <c r="K5217" i="3"/>
  <c r="L5217" i="3" s="1"/>
  <c r="O5217" i="3"/>
  <c r="P5217" i="3"/>
  <c r="K5218" i="3"/>
  <c r="L5218" i="3" s="1"/>
  <c r="O5218" i="3"/>
  <c r="P5218" i="3"/>
  <c r="K5219" i="3"/>
  <c r="L5219" i="3" s="1"/>
  <c r="O5219" i="3"/>
  <c r="P5219" i="3"/>
  <c r="K5220" i="3"/>
  <c r="L5220" i="3" s="1"/>
  <c r="O5220" i="3"/>
  <c r="P5220" i="3"/>
  <c r="K5221" i="3"/>
  <c r="L5221" i="3" s="1"/>
  <c r="O5221" i="3"/>
  <c r="P5221" i="3"/>
  <c r="K5222" i="3"/>
  <c r="L5222" i="3" s="1"/>
  <c r="O5222" i="3"/>
  <c r="P5222" i="3"/>
  <c r="K5223" i="3"/>
  <c r="L5223" i="3" s="1"/>
  <c r="O5223" i="3"/>
  <c r="P5223" i="3"/>
  <c r="K5224" i="3"/>
  <c r="L5224" i="3" s="1"/>
  <c r="O5224" i="3"/>
  <c r="P5224" i="3"/>
  <c r="K5225" i="3"/>
  <c r="L5225" i="3" s="1"/>
  <c r="O5225" i="3"/>
  <c r="P5225" i="3"/>
  <c r="K5226" i="3"/>
  <c r="L5226" i="3" s="1"/>
  <c r="O5226" i="3"/>
  <c r="P5226" i="3"/>
  <c r="K5227" i="3"/>
  <c r="L5227" i="3" s="1"/>
  <c r="O5227" i="3"/>
  <c r="P5227" i="3"/>
  <c r="K5228" i="3"/>
  <c r="L5228" i="3" s="1"/>
  <c r="O5228" i="3"/>
  <c r="P5228" i="3"/>
  <c r="K5229" i="3"/>
  <c r="L5229" i="3" s="1"/>
  <c r="O5229" i="3"/>
  <c r="P5229" i="3"/>
  <c r="K5230" i="3"/>
  <c r="L5230" i="3" s="1"/>
  <c r="O5230" i="3"/>
  <c r="P5230" i="3"/>
  <c r="K5231" i="3"/>
  <c r="L5231" i="3" s="1"/>
  <c r="O5231" i="3"/>
  <c r="P5231" i="3"/>
  <c r="K5232" i="3"/>
  <c r="L5232" i="3" s="1"/>
  <c r="O5232" i="3"/>
  <c r="P5232" i="3"/>
  <c r="K5233" i="3"/>
  <c r="L5233" i="3" s="1"/>
  <c r="O5233" i="3"/>
  <c r="P5233" i="3"/>
  <c r="K5234" i="3"/>
  <c r="L5234" i="3" s="1"/>
  <c r="O5234" i="3"/>
  <c r="P5234" i="3"/>
  <c r="K5235" i="3"/>
  <c r="L5235" i="3" s="1"/>
  <c r="O5235" i="3"/>
  <c r="P5235" i="3"/>
  <c r="K5236" i="3"/>
  <c r="L5236" i="3" s="1"/>
  <c r="O5236" i="3"/>
  <c r="P5236" i="3"/>
  <c r="K5237" i="3"/>
  <c r="L5237" i="3" s="1"/>
  <c r="O5237" i="3"/>
  <c r="P5237" i="3"/>
  <c r="K5238" i="3"/>
  <c r="L5238" i="3" s="1"/>
  <c r="O5238" i="3"/>
  <c r="P5238" i="3"/>
  <c r="K5239" i="3"/>
  <c r="L5239" i="3" s="1"/>
  <c r="O5239" i="3"/>
  <c r="P5239" i="3"/>
  <c r="K5240" i="3"/>
  <c r="L5240" i="3" s="1"/>
  <c r="O5240" i="3"/>
  <c r="P5240" i="3"/>
  <c r="K5241" i="3"/>
  <c r="L5241" i="3" s="1"/>
  <c r="O5241" i="3"/>
  <c r="P5241" i="3"/>
  <c r="K5242" i="3"/>
  <c r="L5242" i="3" s="1"/>
  <c r="O5242" i="3"/>
  <c r="P5242" i="3"/>
  <c r="K5243" i="3"/>
  <c r="L5243" i="3" s="1"/>
  <c r="O5243" i="3"/>
  <c r="P5243" i="3"/>
  <c r="K5244" i="3"/>
  <c r="L5244" i="3" s="1"/>
  <c r="O5244" i="3"/>
  <c r="P5244" i="3"/>
  <c r="K5245" i="3"/>
  <c r="L5245" i="3" s="1"/>
  <c r="O5245" i="3"/>
  <c r="P5245" i="3"/>
  <c r="K5246" i="3"/>
  <c r="L5246" i="3" s="1"/>
  <c r="O5246" i="3"/>
  <c r="P5246" i="3"/>
  <c r="K5247" i="3"/>
  <c r="L5247" i="3" s="1"/>
  <c r="O5247" i="3"/>
  <c r="P5247" i="3"/>
  <c r="K5248" i="3"/>
  <c r="L5248" i="3" s="1"/>
  <c r="O5248" i="3"/>
  <c r="P5248" i="3"/>
  <c r="K5249" i="3"/>
  <c r="L5249" i="3" s="1"/>
  <c r="O5249" i="3"/>
  <c r="P5249" i="3"/>
  <c r="K5250" i="3"/>
  <c r="L5250" i="3" s="1"/>
  <c r="O5250" i="3"/>
  <c r="P5250" i="3"/>
  <c r="K5251" i="3"/>
  <c r="L5251" i="3" s="1"/>
  <c r="O5251" i="3"/>
  <c r="P5251" i="3"/>
  <c r="K5252" i="3"/>
  <c r="L5252" i="3" s="1"/>
  <c r="O5252" i="3"/>
  <c r="P5252" i="3"/>
  <c r="K5253" i="3"/>
  <c r="L5253" i="3" s="1"/>
  <c r="O5253" i="3"/>
  <c r="P5253" i="3"/>
  <c r="K5254" i="3"/>
  <c r="L5254" i="3" s="1"/>
  <c r="O5254" i="3"/>
  <c r="P5254" i="3"/>
  <c r="K5255" i="3"/>
  <c r="L5255" i="3" s="1"/>
  <c r="O5255" i="3"/>
  <c r="P5255" i="3"/>
  <c r="K5256" i="3"/>
  <c r="L5256" i="3" s="1"/>
  <c r="O5256" i="3"/>
  <c r="P5256" i="3"/>
  <c r="K5257" i="3"/>
  <c r="L5257" i="3" s="1"/>
  <c r="O5257" i="3"/>
  <c r="P5257" i="3"/>
  <c r="K5258" i="3"/>
  <c r="L5258" i="3" s="1"/>
  <c r="O5258" i="3"/>
  <c r="P5258" i="3"/>
  <c r="K5259" i="3"/>
  <c r="L5259" i="3" s="1"/>
  <c r="O5259" i="3"/>
  <c r="P5259" i="3"/>
  <c r="K5260" i="3"/>
  <c r="L5260" i="3" s="1"/>
  <c r="O5260" i="3"/>
  <c r="P5260" i="3"/>
  <c r="K5261" i="3"/>
  <c r="L5261" i="3" s="1"/>
  <c r="O5261" i="3"/>
  <c r="P5261" i="3"/>
  <c r="K5262" i="3"/>
  <c r="L5262" i="3" s="1"/>
  <c r="O5262" i="3"/>
  <c r="P5262" i="3"/>
  <c r="K5263" i="3"/>
  <c r="L5263" i="3" s="1"/>
  <c r="O5263" i="3"/>
  <c r="P5263" i="3"/>
  <c r="K5264" i="3"/>
  <c r="L5264" i="3" s="1"/>
  <c r="O5264" i="3"/>
  <c r="P5264" i="3"/>
  <c r="K5265" i="3"/>
  <c r="L5265" i="3" s="1"/>
  <c r="O5265" i="3"/>
  <c r="P5265" i="3"/>
  <c r="K5266" i="3"/>
  <c r="L5266" i="3" s="1"/>
  <c r="O5266" i="3"/>
  <c r="P5266" i="3"/>
  <c r="K5267" i="3"/>
  <c r="L5267" i="3" s="1"/>
  <c r="O5267" i="3"/>
  <c r="P5267" i="3"/>
  <c r="K5268" i="3"/>
  <c r="L5268" i="3" s="1"/>
  <c r="O5268" i="3"/>
  <c r="P5268" i="3"/>
  <c r="K5269" i="3"/>
  <c r="L5269" i="3" s="1"/>
  <c r="O5269" i="3"/>
  <c r="P5269" i="3"/>
  <c r="K5270" i="3"/>
  <c r="L5270" i="3" s="1"/>
  <c r="O5270" i="3"/>
  <c r="P5270" i="3"/>
  <c r="K5271" i="3"/>
  <c r="L5271" i="3" s="1"/>
  <c r="O5271" i="3"/>
  <c r="P5271" i="3"/>
  <c r="K5272" i="3"/>
  <c r="L5272" i="3" s="1"/>
  <c r="O5272" i="3"/>
  <c r="P5272" i="3"/>
  <c r="K5273" i="3"/>
  <c r="L5273" i="3" s="1"/>
  <c r="O5273" i="3"/>
  <c r="P5273" i="3"/>
  <c r="K5274" i="3"/>
  <c r="L5274" i="3" s="1"/>
  <c r="O5274" i="3"/>
  <c r="P5274" i="3"/>
  <c r="K5275" i="3"/>
  <c r="L5275" i="3" s="1"/>
  <c r="O5275" i="3"/>
  <c r="P5275" i="3"/>
  <c r="K5276" i="3"/>
  <c r="L5276" i="3" s="1"/>
  <c r="O5276" i="3"/>
  <c r="P5276" i="3"/>
  <c r="K5277" i="3"/>
  <c r="L5277" i="3" s="1"/>
  <c r="O5277" i="3"/>
  <c r="P5277" i="3"/>
  <c r="K5278" i="3"/>
  <c r="L5278" i="3" s="1"/>
  <c r="O5278" i="3"/>
  <c r="P5278" i="3"/>
  <c r="K5279" i="3"/>
  <c r="L5279" i="3" s="1"/>
  <c r="O5279" i="3"/>
  <c r="P5279" i="3"/>
  <c r="K5280" i="3"/>
  <c r="L5280" i="3" s="1"/>
  <c r="O5280" i="3"/>
  <c r="P5280" i="3"/>
  <c r="K5281" i="3"/>
  <c r="L5281" i="3" s="1"/>
  <c r="O5281" i="3"/>
  <c r="P5281" i="3"/>
  <c r="K5282" i="3"/>
  <c r="L5282" i="3" s="1"/>
  <c r="O5282" i="3"/>
  <c r="P5282" i="3"/>
  <c r="K5283" i="3"/>
  <c r="L5283" i="3" s="1"/>
  <c r="O5283" i="3"/>
  <c r="P5283" i="3"/>
  <c r="K5284" i="3"/>
  <c r="L5284" i="3" s="1"/>
  <c r="O5284" i="3"/>
  <c r="P5284" i="3"/>
  <c r="K5285" i="3"/>
  <c r="L5285" i="3" s="1"/>
  <c r="O5285" i="3"/>
  <c r="P5285" i="3"/>
  <c r="K5286" i="3"/>
  <c r="L5286" i="3" s="1"/>
  <c r="O5286" i="3"/>
  <c r="P5286" i="3"/>
  <c r="K5287" i="3"/>
  <c r="L5287" i="3" s="1"/>
  <c r="O5287" i="3"/>
  <c r="P5287" i="3"/>
  <c r="K5288" i="3"/>
  <c r="L5288" i="3" s="1"/>
  <c r="O5288" i="3"/>
  <c r="P5288" i="3"/>
  <c r="K5289" i="3"/>
  <c r="L5289" i="3" s="1"/>
  <c r="O5289" i="3"/>
  <c r="P5289" i="3"/>
  <c r="K5290" i="3"/>
  <c r="L5290" i="3" s="1"/>
  <c r="O5290" i="3"/>
  <c r="P5290" i="3"/>
  <c r="K5291" i="3"/>
  <c r="L5291" i="3" s="1"/>
  <c r="O5291" i="3"/>
  <c r="P5291" i="3"/>
  <c r="K5292" i="3"/>
  <c r="L5292" i="3" s="1"/>
  <c r="O5292" i="3"/>
  <c r="P5292" i="3"/>
  <c r="K5293" i="3"/>
  <c r="L5293" i="3" s="1"/>
  <c r="O5293" i="3"/>
  <c r="P5293" i="3"/>
  <c r="K5294" i="3"/>
  <c r="L5294" i="3" s="1"/>
  <c r="O5294" i="3"/>
  <c r="P5294" i="3"/>
  <c r="K5295" i="3"/>
  <c r="L5295" i="3" s="1"/>
  <c r="O5295" i="3"/>
  <c r="P5295" i="3"/>
  <c r="K5296" i="3"/>
  <c r="L5296" i="3" s="1"/>
  <c r="O5296" i="3"/>
  <c r="P5296" i="3"/>
  <c r="K5297" i="3"/>
  <c r="L5297" i="3" s="1"/>
  <c r="O5297" i="3"/>
  <c r="P5297" i="3"/>
  <c r="K5298" i="3"/>
  <c r="L5298" i="3" s="1"/>
  <c r="O5298" i="3"/>
  <c r="P5298" i="3"/>
  <c r="K5299" i="3"/>
  <c r="L5299" i="3" s="1"/>
  <c r="O5299" i="3"/>
  <c r="P5299" i="3"/>
  <c r="K5300" i="3"/>
  <c r="L5300" i="3" s="1"/>
  <c r="O5300" i="3"/>
  <c r="P5300" i="3"/>
  <c r="K5301" i="3"/>
  <c r="L5301" i="3" s="1"/>
  <c r="O5301" i="3"/>
  <c r="P5301" i="3"/>
  <c r="K5302" i="3"/>
  <c r="L5302" i="3" s="1"/>
  <c r="O5302" i="3"/>
  <c r="P5302" i="3"/>
  <c r="K5303" i="3"/>
  <c r="L5303" i="3" s="1"/>
  <c r="O5303" i="3"/>
  <c r="P5303" i="3"/>
  <c r="K5304" i="3"/>
  <c r="L5304" i="3" s="1"/>
  <c r="O5304" i="3"/>
  <c r="P5304" i="3"/>
  <c r="K5305" i="3"/>
  <c r="L5305" i="3" s="1"/>
  <c r="O5305" i="3"/>
  <c r="P5305" i="3"/>
  <c r="K5306" i="3"/>
  <c r="L5306" i="3" s="1"/>
  <c r="O5306" i="3"/>
  <c r="P5306" i="3"/>
  <c r="K5307" i="3"/>
  <c r="L5307" i="3" s="1"/>
  <c r="O5307" i="3"/>
  <c r="P5307" i="3"/>
  <c r="K5308" i="3"/>
  <c r="L5308" i="3" s="1"/>
  <c r="O5308" i="3"/>
  <c r="P5308" i="3"/>
  <c r="K5309" i="3"/>
  <c r="L5309" i="3" s="1"/>
  <c r="O5309" i="3"/>
  <c r="P5309" i="3"/>
  <c r="K5310" i="3"/>
  <c r="L5310" i="3" s="1"/>
  <c r="O5310" i="3"/>
  <c r="P5310" i="3"/>
  <c r="K5311" i="3"/>
  <c r="L5311" i="3" s="1"/>
  <c r="O5311" i="3"/>
  <c r="P5311" i="3"/>
  <c r="K5312" i="3"/>
  <c r="L5312" i="3" s="1"/>
  <c r="O5312" i="3"/>
  <c r="P5312" i="3"/>
  <c r="K5313" i="3"/>
  <c r="L5313" i="3" s="1"/>
  <c r="O5313" i="3"/>
  <c r="P5313" i="3"/>
  <c r="K5314" i="3"/>
  <c r="L5314" i="3" s="1"/>
  <c r="O5314" i="3"/>
  <c r="P5314" i="3"/>
  <c r="K5315" i="3"/>
  <c r="L5315" i="3" s="1"/>
  <c r="O5315" i="3"/>
  <c r="P5315" i="3"/>
  <c r="K5316" i="3"/>
  <c r="L5316" i="3" s="1"/>
  <c r="O5316" i="3"/>
  <c r="P5316" i="3"/>
  <c r="K5317" i="3"/>
  <c r="L5317" i="3" s="1"/>
  <c r="O5317" i="3"/>
  <c r="P5317" i="3"/>
  <c r="K5318" i="3"/>
  <c r="L5318" i="3" s="1"/>
  <c r="O5318" i="3"/>
  <c r="P5318" i="3"/>
  <c r="K5319" i="3"/>
  <c r="L5319" i="3" s="1"/>
  <c r="O5319" i="3"/>
  <c r="P5319" i="3"/>
  <c r="K5320" i="3"/>
  <c r="L5320" i="3" s="1"/>
  <c r="O5320" i="3"/>
  <c r="P5320" i="3"/>
  <c r="K5321" i="3"/>
  <c r="L5321" i="3" s="1"/>
  <c r="O5321" i="3"/>
  <c r="P5321" i="3"/>
  <c r="K5322" i="3"/>
  <c r="L5322" i="3" s="1"/>
  <c r="O5322" i="3"/>
  <c r="P5322" i="3"/>
  <c r="K5323" i="3"/>
  <c r="L5323" i="3" s="1"/>
  <c r="O5323" i="3"/>
  <c r="P5323" i="3"/>
  <c r="K5324" i="3"/>
  <c r="L5324" i="3" s="1"/>
  <c r="O5324" i="3"/>
  <c r="P5324" i="3"/>
  <c r="K5325" i="3"/>
  <c r="L5325" i="3" s="1"/>
  <c r="O5325" i="3"/>
  <c r="P5325" i="3"/>
  <c r="K5326" i="3"/>
  <c r="L5326" i="3" s="1"/>
  <c r="O5326" i="3"/>
  <c r="P5326" i="3"/>
  <c r="K5327" i="3"/>
  <c r="L5327" i="3" s="1"/>
  <c r="O5327" i="3"/>
  <c r="P5327" i="3"/>
  <c r="K5328" i="3"/>
  <c r="L5328" i="3" s="1"/>
  <c r="O5328" i="3"/>
  <c r="P5328" i="3"/>
  <c r="K5329" i="3"/>
  <c r="L5329" i="3" s="1"/>
  <c r="O5329" i="3"/>
  <c r="P5329" i="3"/>
  <c r="K5330" i="3"/>
  <c r="L5330" i="3" s="1"/>
  <c r="O5330" i="3"/>
  <c r="P5330" i="3"/>
  <c r="K5331" i="3"/>
  <c r="L5331" i="3" s="1"/>
  <c r="O5331" i="3"/>
  <c r="P5331" i="3"/>
  <c r="K5332" i="3"/>
  <c r="L5332" i="3" s="1"/>
  <c r="O5332" i="3"/>
  <c r="P5332" i="3"/>
  <c r="K5333" i="3"/>
  <c r="L5333" i="3" s="1"/>
  <c r="O5333" i="3"/>
  <c r="P5333" i="3"/>
  <c r="K5334" i="3"/>
  <c r="L5334" i="3" s="1"/>
  <c r="O5334" i="3"/>
  <c r="P5334" i="3"/>
  <c r="K5335" i="3"/>
  <c r="L5335" i="3" s="1"/>
  <c r="O5335" i="3"/>
  <c r="P5335" i="3"/>
  <c r="K5336" i="3"/>
  <c r="L5336" i="3" s="1"/>
  <c r="O5336" i="3"/>
  <c r="P5336" i="3"/>
  <c r="K5337" i="3"/>
  <c r="L5337" i="3" s="1"/>
  <c r="O5337" i="3"/>
  <c r="P5337" i="3"/>
  <c r="K5338" i="3"/>
  <c r="L5338" i="3" s="1"/>
  <c r="O5338" i="3"/>
  <c r="P5338" i="3"/>
  <c r="K5339" i="3"/>
  <c r="L5339" i="3" s="1"/>
  <c r="O5339" i="3"/>
  <c r="P5339" i="3"/>
  <c r="K5340" i="3"/>
  <c r="L5340" i="3" s="1"/>
  <c r="O5340" i="3"/>
  <c r="P5340" i="3"/>
  <c r="K5341" i="3"/>
  <c r="L5341" i="3" s="1"/>
  <c r="O5341" i="3"/>
  <c r="P5341" i="3"/>
  <c r="K5342" i="3"/>
  <c r="L5342" i="3" s="1"/>
  <c r="O5342" i="3"/>
  <c r="P5342" i="3"/>
  <c r="K5343" i="3"/>
  <c r="L5343" i="3" s="1"/>
  <c r="O5343" i="3"/>
  <c r="P5343" i="3"/>
  <c r="K5344" i="3"/>
  <c r="L5344" i="3" s="1"/>
  <c r="O5344" i="3"/>
  <c r="P5344" i="3"/>
  <c r="K5345" i="3"/>
  <c r="L5345" i="3" s="1"/>
  <c r="O5345" i="3"/>
  <c r="P5345" i="3"/>
  <c r="K5346" i="3"/>
  <c r="L5346" i="3" s="1"/>
  <c r="O5346" i="3"/>
  <c r="P5346" i="3"/>
  <c r="K5347" i="3"/>
  <c r="L5347" i="3" s="1"/>
  <c r="O5347" i="3"/>
  <c r="P5347" i="3"/>
  <c r="K5348" i="3"/>
  <c r="L5348" i="3" s="1"/>
  <c r="O5348" i="3"/>
  <c r="P5348" i="3"/>
  <c r="K5349" i="3"/>
  <c r="L5349" i="3" s="1"/>
  <c r="O5349" i="3"/>
  <c r="P5349" i="3"/>
  <c r="K5350" i="3"/>
  <c r="L5350" i="3" s="1"/>
  <c r="O5350" i="3"/>
  <c r="P5350" i="3"/>
  <c r="K5351" i="3"/>
  <c r="L5351" i="3" s="1"/>
  <c r="O5351" i="3"/>
  <c r="P5351" i="3"/>
  <c r="K5352" i="3"/>
  <c r="L5352" i="3" s="1"/>
  <c r="O5352" i="3"/>
  <c r="P5352" i="3"/>
  <c r="K5353" i="3"/>
  <c r="L5353" i="3" s="1"/>
  <c r="O5353" i="3"/>
  <c r="P5353" i="3"/>
  <c r="K5354" i="3"/>
  <c r="L5354" i="3" s="1"/>
  <c r="O5354" i="3"/>
  <c r="P5354" i="3"/>
  <c r="K5355" i="3"/>
  <c r="L5355" i="3" s="1"/>
  <c r="O5355" i="3"/>
  <c r="P5355" i="3"/>
  <c r="K5356" i="3"/>
  <c r="L5356" i="3" s="1"/>
  <c r="O5356" i="3"/>
  <c r="P5356" i="3"/>
  <c r="K5357" i="3"/>
  <c r="L5357" i="3" s="1"/>
  <c r="O5357" i="3"/>
  <c r="P5357" i="3"/>
  <c r="K5358" i="3"/>
  <c r="L5358" i="3" s="1"/>
  <c r="O5358" i="3"/>
  <c r="P5358" i="3"/>
  <c r="K5359" i="3"/>
  <c r="L5359" i="3" s="1"/>
  <c r="O5359" i="3"/>
  <c r="P5359" i="3"/>
  <c r="K5360" i="3"/>
  <c r="L5360" i="3" s="1"/>
  <c r="O5360" i="3"/>
  <c r="P5360" i="3"/>
  <c r="K5361" i="3"/>
  <c r="L5361" i="3" s="1"/>
  <c r="O5361" i="3"/>
  <c r="P5361" i="3"/>
  <c r="K5362" i="3"/>
  <c r="L5362" i="3" s="1"/>
  <c r="O5362" i="3"/>
  <c r="P5362" i="3"/>
  <c r="K5363" i="3"/>
  <c r="L5363" i="3" s="1"/>
  <c r="O5363" i="3"/>
  <c r="P5363" i="3"/>
  <c r="K5364" i="3"/>
  <c r="L5364" i="3" s="1"/>
  <c r="O5364" i="3"/>
  <c r="P5364" i="3"/>
  <c r="K5365" i="3"/>
  <c r="L5365" i="3" s="1"/>
  <c r="O5365" i="3"/>
  <c r="P5365" i="3"/>
  <c r="K5366" i="3"/>
  <c r="L5366" i="3" s="1"/>
  <c r="O5366" i="3"/>
  <c r="P5366" i="3"/>
  <c r="K5367" i="3"/>
  <c r="L5367" i="3" s="1"/>
  <c r="O5367" i="3"/>
  <c r="P5367" i="3"/>
  <c r="K5368" i="3"/>
  <c r="L5368" i="3" s="1"/>
  <c r="O5368" i="3"/>
  <c r="P5368" i="3"/>
  <c r="K5369" i="3"/>
  <c r="L5369" i="3" s="1"/>
  <c r="O5369" i="3"/>
  <c r="P5369" i="3"/>
  <c r="K5370" i="3"/>
  <c r="L5370" i="3" s="1"/>
  <c r="O5370" i="3"/>
  <c r="P5370" i="3"/>
  <c r="K5371" i="3"/>
  <c r="L5371" i="3" s="1"/>
  <c r="O5371" i="3"/>
  <c r="P5371" i="3"/>
  <c r="K5372" i="3"/>
  <c r="L5372" i="3" s="1"/>
  <c r="O5372" i="3"/>
  <c r="P5372" i="3"/>
  <c r="K5373" i="3"/>
  <c r="L5373" i="3" s="1"/>
  <c r="O5373" i="3"/>
  <c r="P5373" i="3"/>
  <c r="K5374" i="3"/>
  <c r="L5374" i="3" s="1"/>
  <c r="O5374" i="3"/>
  <c r="P5374" i="3"/>
  <c r="K5375" i="3"/>
  <c r="L5375" i="3" s="1"/>
  <c r="O5375" i="3"/>
  <c r="P5375" i="3"/>
  <c r="K5376" i="3"/>
  <c r="L5376" i="3" s="1"/>
  <c r="O5376" i="3"/>
  <c r="P5376" i="3"/>
  <c r="K5377" i="3"/>
  <c r="L5377" i="3" s="1"/>
  <c r="O5377" i="3"/>
  <c r="P5377" i="3"/>
  <c r="K5378" i="3"/>
  <c r="L5378" i="3" s="1"/>
  <c r="O5378" i="3"/>
  <c r="P5378" i="3"/>
  <c r="K5379" i="3"/>
  <c r="L5379" i="3" s="1"/>
  <c r="O5379" i="3"/>
  <c r="P5379" i="3"/>
  <c r="K5380" i="3"/>
  <c r="L5380" i="3" s="1"/>
  <c r="O5380" i="3"/>
  <c r="P5380" i="3"/>
  <c r="K5381" i="3"/>
  <c r="L5381" i="3" s="1"/>
  <c r="O5381" i="3"/>
  <c r="P5381" i="3"/>
  <c r="K5382" i="3"/>
  <c r="L5382" i="3" s="1"/>
  <c r="O5382" i="3"/>
  <c r="P5382" i="3"/>
  <c r="K5383" i="3"/>
  <c r="L5383" i="3" s="1"/>
  <c r="O5383" i="3"/>
  <c r="P5383" i="3"/>
  <c r="K5384" i="3"/>
  <c r="L5384" i="3" s="1"/>
  <c r="O5384" i="3"/>
  <c r="P5384" i="3"/>
  <c r="K5385" i="3"/>
  <c r="L5385" i="3" s="1"/>
  <c r="O5385" i="3"/>
  <c r="P5385" i="3"/>
  <c r="K5386" i="3"/>
  <c r="L5386" i="3" s="1"/>
  <c r="O5386" i="3"/>
  <c r="P5386" i="3"/>
  <c r="K5387" i="3"/>
  <c r="L5387" i="3" s="1"/>
  <c r="O5387" i="3"/>
  <c r="P5387" i="3"/>
  <c r="K5388" i="3"/>
  <c r="L5388" i="3" s="1"/>
  <c r="O5388" i="3"/>
  <c r="P5388" i="3"/>
  <c r="K5389" i="3"/>
  <c r="L5389" i="3" s="1"/>
  <c r="O5389" i="3"/>
  <c r="P5389" i="3"/>
  <c r="K5390" i="3"/>
  <c r="L5390" i="3" s="1"/>
  <c r="O5390" i="3"/>
  <c r="P5390" i="3"/>
  <c r="K5391" i="3"/>
  <c r="L5391" i="3" s="1"/>
  <c r="O5391" i="3"/>
  <c r="P5391" i="3"/>
  <c r="K5392" i="3"/>
  <c r="L5392" i="3" s="1"/>
  <c r="O5392" i="3"/>
  <c r="P5392" i="3"/>
  <c r="K5393" i="3"/>
  <c r="L5393" i="3" s="1"/>
  <c r="O5393" i="3"/>
  <c r="P5393" i="3"/>
  <c r="K5394" i="3"/>
  <c r="L5394" i="3" s="1"/>
  <c r="O5394" i="3"/>
  <c r="P5394" i="3"/>
  <c r="K5395" i="3"/>
  <c r="L5395" i="3" s="1"/>
  <c r="O5395" i="3"/>
  <c r="P5395" i="3"/>
  <c r="K5396" i="3"/>
  <c r="L5396" i="3" s="1"/>
  <c r="O5396" i="3"/>
  <c r="P5396" i="3"/>
  <c r="K5397" i="3"/>
  <c r="L5397" i="3" s="1"/>
  <c r="O5397" i="3"/>
  <c r="P5397" i="3"/>
  <c r="K5398" i="3"/>
  <c r="L5398" i="3" s="1"/>
  <c r="O5398" i="3"/>
  <c r="P5398" i="3"/>
  <c r="K5399" i="3"/>
  <c r="L5399" i="3" s="1"/>
  <c r="O5399" i="3"/>
  <c r="P5399" i="3"/>
  <c r="K5400" i="3"/>
  <c r="L5400" i="3" s="1"/>
  <c r="O5400" i="3"/>
  <c r="P5400" i="3"/>
  <c r="K5401" i="3"/>
  <c r="L5401" i="3" s="1"/>
  <c r="O5401" i="3"/>
  <c r="P5401" i="3"/>
  <c r="K5402" i="3"/>
  <c r="L5402" i="3" s="1"/>
  <c r="O5402" i="3"/>
  <c r="P5402" i="3"/>
  <c r="K5403" i="3"/>
  <c r="L5403" i="3" s="1"/>
  <c r="O5403" i="3"/>
  <c r="P5403" i="3"/>
  <c r="K5404" i="3"/>
  <c r="L5404" i="3" s="1"/>
  <c r="O5404" i="3"/>
  <c r="P5404" i="3"/>
  <c r="K5405" i="3"/>
  <c r="L5405" i="3" s="1"/>
  <c r="O5405" i="3"/>
  <c r="P5405" i="3"/>
  <c r="K5406" i="3"/>
  <c r="L5406" i="3" s="1"/>
  <c r="O5406" i="3"/>
  <c r="P5406" i="3"/>
  <c r="K5407" i="3"/>
  <c r="L5407" i="3" s="1"/>
  <c r="O5407" i="3"/>
  <c r="P5407" i="3"/>
  <c r="K5408" i="3"/>
  <c r="L5408" i="3" s="1"/>
  <c r="O5408" i="3"/>
  <c r="P5408" i="3"/>
  <c r="K5409" i="3"/>
  <c r="L5409" i="3" s="1"/>
  <c r="O5409" i="3"/>
  <c r="P5409" i="3"/>
  <c r="K5410" i="3"/>
  <c r="L5410" i="3" s="1"/>
  <c r="O5410" i="3"/>
  <c r="P5410" i="3"/>
  <c r="K5411" i="3"/>
  <c r="L5411" i="3" s="1"/>
  <c r="O5411" i="3"/>
  <c r="P5411" i="3"/>
  <c r="K5412" i="3"/>
  <c r="L5412" i="3" s="1"/>
  <c r="O5412" i="3"/>
  <c r="P5412" i="3"/>
  <c r="K5413" i="3"/>
  <c r="L5413" i="3" s="1"/>
  <c r="O5413" i="3"/>
  <c r="P5413" i="3"/>
  <c r="K5414" i="3"/>
  <c r="L5414" i="3" s="1"/>
  <c r="O5414" i="3"/>
  <c r="P5414" i="3"/>
  <c r="K5415" i="3"/>
  <c r="L5415" i="3" s="1"/>
  <c r="O5415" i="3"/>
  <c r="P5415" i="3"/>
  <c r="K5416" i="3"/>
  <c r="L5416" i="3" s="1"/>
  <c r="O5416" i="3"/>
  <c r="P5416" i="3"/>
  <c r="K5417" i="3"/>
  <c r="L5417" i="3" s="1"/>
  <c r="O5417" i="3"/>
  <c r="P5417" i="3"/>
  <c r="K5418" i="3"/>
  <c r="L5418" i="3" s="1"/>
  <c r="O5418" i="3"/>
  <c r="P5418" i="3"/>
  <c r="K5419" i="3"/>
  <c r="L5419" i="3" s="1"/>
  <c r="O5419" i="3"/>
  <c r="P5419" i="3"/>
  <c r="K5420" i="3"/>
  <c r="L5420" i="3" s="1"/>
  <c r="O5420" i="3"/>
  <c r="P5420" i="3"/>
  <c r="K5421" i="3"/>
  <c r="L5421" i="3" s="1"/>
  <c r="O5421" i="3"/>
  <c r="P5421" i="3"/>
  <c r="K5422" i="3"/>
  <c r="L5422" i="3" s="1"/>
  <c r="O5422" i="3"/>
  <c r="P5422" i="3"/>
  <c r="K5423" i="3"/>
  <c r="L5423" i="3" s="1"/>
  <c r="O5423" i="3"/>
  <c r="P5423" i="3"/>
  <c r="K5424" i="3"/>
  <c r="L5424" i="3" s="1"/>
  <c r="O5424" i="3"/>
  <c r="P5424" i="3"/>
  <c r="K5425" i="3"/>
  <c r="L5425" i="3" s="1"/>
  <c r="O5425" i="3"/>
  <c r="P5425" i="3"/>
  <c r="K5426" i="3"/>
  <c r="L5426" i="3" s="1"/>
  <c r="O5426" i="3"/>
  <c r="P5426" i="3"/>
  <c r="K5427" i="3"/>
  <c r="L5427" i="3" s="1"/>
  <c r="O5427" i="3"/>
  <c r="P5427" i="3"/>
  <c r="K5428" i="3"/>
  <c r="L5428" i="3" s="1"/>
  <c r="O5428" i="3"/>
  <c r="P5428" i="3"/>
  <c r="K5429" i="3"/>
  <c r="L5429" i="3" s="1"/>
  <c r="O5429" i="3"/>
  <c r="P5429" i="3"/>
  <c r="K5430" i="3"/>
  <c r="L5430" i="3" s="1"/>
  <c r="O5430" i="3"/>
  <c r="P5430" i="3"/>
  <c r="K5431" i="3"/>
  <c r="L5431" i="3" s="1"/>
  <c r="O5431" i="3"/>
  <c r="P5431" i="3"/>
  <c r="K5432" i="3"/>
  <c r="L5432" i="3" s="1"/>
  <c r="O5432" i="3"/>
  <c r="P5432" i="3"/>
  <c r="K5433" i="3"/>
  <c r="L5433" i="3" s="1"/>
  <c r="O5433" i="3"/>
  <c r="P5433" i="3"/>
  <c r="K5434" i="3"/>
  <c r="L5434" i="3" s="1"/>
  <c r="O5434" i="3"/>
  <c r="P5434" i="3"/>
  <c r="K5435" i="3"/>
  <c r="L5435" i="3" s="1"/>
  <c r="O5435" i="3"/>
  <c r="P5435" i="3"/>
  <c r="K5436" i="3"/>
  <c r="L5436" i="3" s="1"/>
  <c r="O5436" i="3"/>
  <c r="P5436" i="3"/>
  <c r="K5437" i="3"/>
  <c r="L5437" i="3" s="1"/>
  <c r="O5437" i="3"/>
  <c r="P5437" i="3"/>
  <c r="K5438" i="3"/>
  <c r="L5438" i="3" s="1"/>
  <c r="O5438" i="3"/>
  <c r="P5438" i="3"/>
  <c r="K5439" i="3"/>
  <c r="L5439" i="3" s="1"/>
  <c r="O5439" i="3"/>
  <c r="P5439" i="3"/>
  <c r="K5440" i="3"/>
  <c r="L5440" i="3" s="1"/>
  <c r="O5440" i="3"/>
  <c r="P5440" i="3"/>
  <c r="K5441" i="3"/>
  <c r="L5441" i="3" s="1"/>
  <c r="O5441" i="3"/>
  <c r="P5441" i="3"/>
  <c r="K5442" i="3"/>
  <c r="L5442" i="3" s="1"/>
  <c r="O5442" i="3"/>
  <c r="P5442" i="3"/>
  <c r="K5443" i="3"/>
  <c r="L5443" i="3" s="1"/>
  <c r="O5443" i="3"/>
  <c r="P5443" i="3"/>
  <c r="K5444" i="3"/>
  <c r="L5444" i="3" s="1"/>
  <c r="O5444" i="3"/>
  <c r="P5444" i="3"/>
  <c r="K5445" i="3"/>
  <c r="L5445" i="3" s="1"/>
  <c r="O5445" i="3"/>
  <c r="P5445" i="3"/>
  <c r="K5446" i="3"/>
  <c r="L5446" i="3" s="1"/>
  <c r="O5446" i="3"/>
  <c r="P5446" i="3"/>
  <c r="K5447" i="3"/>
  <c r="L5447" i="3" s="1"/>
  <c r="O5447" i="3"/>
  <c r="P5447" i="3"/>
  <c r="K5448" i="3"/>
  <c r="L5448" i="3" s="1"/>
  <c r="O5448" i="3"/>
  <c r="P5448" i="3"/>
  <c r="K5449" i="3"/>
  <c r="L5449" i="3" s="1"/>
  <c r="O5449" i="3"/>
  <c r="P5449" i="3"/>
  <c r="K5450" i="3"/>
  <c r="L5450" i="3" s="1"/>
  <c r="O5450" i="3"/>
  <c r="P5450" i="3"/>
  <c r="K5451" i="3"/>
  <c r="L5451" i="3" s="1"/>
  <c r="O5451" i="3"/>
  <c r="P5451" i="3"/>
  <c r="K5452" i="3"/>
  <c r="L5452" i="3" s="1"/>
  <c r="O5452" i="3"/>
  <c r="P5452" i="3"/>
  <c r="K5453" i="3"/>
  <c r="L5453" i="3" s="1"/>
  <c r="O5453" i="3"/>
  <c r="P5453" i="3"/>
  <c r="K5454" i="3"/>
  <c r="L5454" i="3" s="1"/>
  <c r="O5454" i="3"/>
  <c r="P5454" i="3"/>
  <c r="K5455" i="3"/>
  <c r="L5455" i="3" s="1"/>
  <c r="O5455" i="3"/>
  <c r="P5455" i="3"/>
  <c r="K5456" i="3"/>
  <c r="L5456" i="3" s="1"/>
  <c r="O5456" i="3"/>
  <c r="P5456" i="3"/>
  <c r="K5457" i="3"/>
  <c r="L5457" i="3" s="1"/>
  <c r="O5457" i="3"/>
  <c r="P5457" i="3"/>
  <c r="K5458" i="3"/>
  <c r="L5458" i="3" s="1"/>
  <c r="O5458" i="3"/>
  <c r="P5458" i="3"/>
  <c r="K5459" i="3"/>
  <c r="L5459" i="3" s="1"/>
  <c r="O5459" i="3"/>
  <c r="P5459" i="3"/>
  <c r="K5460" i="3"/>
  <c r="L5460" i="3" s="1"/>
  <c r="O5460" i="3"/>
  <c r="P5460" i="3"/>
  <c r="K5461" i="3"/>
  <c r="L5461" i="3" s="1"/>
  <c r="O5461" i="3"/>
  <c r="P5461" i="3"/>
  <c r="K5462" i="3"/>
  <c r="L5462" i="3" s="1"/>
  <c r="O5462" i="3"/>
  <c r="P5462" i="3"/>
  <c r="K5463" i="3"/>
  <c r="L5463" i="3" s="1"/>
  <c r="O5463" i="3"/>
  <c r="P5463" i="3"/>
  <c r="K5464" i="3"/>
  <c r="L5464" i="3" s="1"/>
  <c r="O5464" i="3"/>
  <c r="P5464" i="3"/>
  <c r="K5465" i="3"/>
  <c r="L5465" i="3" s="1"/>
  <c r="O5465" i="3"/>
  <c r="P5465" i="3"/>
  <c r="K5466" i="3"/>
  <c r="L5466" i="3" s="1"/>
  <c r="O5466" i="3"/>
  <c r="P5466" i="3"/>
  <c r="K5467" i="3"/>
  <c r="L5467" i="3" s="1"/>
  <c r="O5467" i="3"/>
  <c r="P5467" i="3"/>
  <c r="K5468" i="3"/>
  <c r="L5468" i="3" s="1"/>
  <c r="O5468" i="3"/>
  <c r="P5468" i="3"/>
  <c r="K5469" i="3"/>
  <c r="L5469" i="3" s="1"/>
  <c r="O5469" i="3"/>
  <c r="P5469" i="3"/>
  <c r="K5470" i="3"/>
  <c r="L5470" i="3" s="1"/>
  <c r="O5470" i="3"/>
  <c r="P5470" i="3"/>
  <c r="K5471" i="3"/>
  <c r="L5471" i="3" s="1"/>
  <c r="O5471" i="3"/>
  <c r="P5471" i="3"/>
  <c r="K5472" i="3"/>
  <c r="L5472" i="3" s="1"/>
  <c r="O5472" i="3"/>
  <c r="P5472" i="3"/>
  <c r="K5473" i="3"/>
  <c r="L5473" i="3" s="1"/>
  <c r="O5473" i="3"/>
  <c r="P5473" i="3"/>
  <c r="K5474" i="3"/>
  <c r="L5474" i="3" s="1"/>
  <c r="O5474" i="3"/>
  <c r="P5474" i="3"/>
  <c r="K5475" i="3"/>
  <c r="L5475" i="3" s="1"/>
  <c r="O5475" i="3"/>
  <c r="P5475" i="3"/>
  <c r="K5476" i="3"/>
  <c r="L5476" i="3" s="1"/>
  <c r="O5476" i="3"/>
  <c r="P5476" i="3"/>
  <c r="K5477" i="3"/>
  <c r="L5477" i="3" s="1"/>
  <c r="O5477" i="3"/>
  <c r="P5477" i="3"/>
  <c r="K5478" i="3"/>
  <c r="L5478" i="3" s="1"/>
  <c r="O5478" i="3"/>
  <c r="P5478" i="3"/>
  <c r="K5479" i="3"/>
  <c r="L5479" i="3" s="1"/>
  <c r="O5479" i="3"/>
  <c r="P5479" i="3"/>
  <c r="K5480" i="3"/>
  <c r="L5480" i="3" s="1"/>
  <c r="O5480" i="3"/>
  <c r="P5480" i="3"/>
  <c r="K5481" i="3"/>
  <c r="L5481" i="3" s="1"/>
  <c r="O5481" i="3"/>
  <c r="P5481" i="3"/>
  <c r="K5482" i="3"/>
  <c r="L5482" i="3" s="1"/>
  <c r="O5482" i="3"/>
  <c r="P5482" i="3"/>
  <c r="K5483" i="3"/>
  <c r="L5483" i="3" s="1"/>
  <c r="O5483" i="3"/>
  <c r="P5483" i="3"/>
  <c r="K5484" i="3"/>
  <c r="L5484" i="3" s="1"/>
  <c r="O5484" i="3"/>
  <c r="P5484" i="3"/>
  <c r="K5485" i="3"/>
  <c r="L5485" i="3" s="1"/>
  <c r="O5485" i="3"/>
  <c r="P5485" i="3"/>
  <c r="K5486" i="3"/>
  <c r="L5486" i="3" s="1"/>
  <c r="O5486" i="3"/>
  <c r="P5486" i="3"/>
  <c r="K5487" i="3"/>
  <c r="L5487" i="3" s="1"/>
  <c r="O5487" i="3"/>
  <c r="P5487" i="3"/>
  <c r="K5488" i="3"/>
  <c r="L5488" i="3" s="1"/>
  <c r="O5488" i="3"/>
  <c r="P5488" i="3"/>
  <c r="K5489" i="3"/>
  <c r="L5489" i="3" s="1"/>
  <c r="O5489" i="3"/>
  <c r="P5489" i="3"/>
  <c r="K5490" i="3"/>
  <c r="L5490" i="3" s="1"/>
  <c r="O5490" i="3"/>
  <c r="P5490" i="3"/>
  <c r="K5491" i="3"/>
  <c r="L5491" i="3" s="1"/>
  <c r="O5491" i="3"/>
  <c r="P5491" i="3"/>
  <c r="K5492" i="3"/>
  <c r="L5492" i="3" s="1"/>
  <c r="O5492" i="3"/>
  <c r="P5492" i="3"/>
  <c r="K5493" i="3"/>
  <c r="L5493" i="3" s="1"/>
  <c r="O5493" i="3"/>
  <c r="P5493" i="3"/>
  <c r="K5494" i="3"/>
  <c r="L5494" i="3" s="1"/>
  <c r="O5494" i="3"/>
  <c r="P5494" i="3"/>
  <c r="K5495" i="3"/>
  <c r="L5495" i="3" s="1"/>
  <c r="O5495" i="3"/>
  <c r="P5495" i="3"/>
  <c r="K5496" i="3"/>
  <c r="L5496" i="3" s="1"/>
  <c r="O5496" i="3"/>
  <c r="P5496" i="3"/>
  <c r="K5497" i="3"/>
  <c r="L5497" i="3" s="1"/>
  <c r="O5497" i="3"/>
  <c r="P5497" i="3"/>
  <c r="K5498" i="3"/>
  <c r="L5498" i="3" s="1"/>
  <c r="O5498" i="3"/>
  <c r="P5498" i="3"/>
  <c r="K5499" i="3"/>
  <c r="L5499" i="3" s="1"/>
  <c r="O5499" i="3"/>
  <c r="P5499" i="3"/>
  <c r="K5500" i="3"/>
  <c r="L5500" i="3" s="1"/>
  <c r="O5500" i="3"/>
  <c r="P5500" i="3"/>
  <c r="K5501" i="3"/>
  <c r="L5501" i="3" s="1"/>
  <c r="O5501" i="3"/>
  <c r="P5501" i="3"/>
  <c r="K5502" i="3"/>
  <c r="L5502" i="3" s="1"/>
  <c r="O5502" i="3"/>
  <c r="P5502" i="3"/>
  <c r="K5503" i="3"/>
  <c r="L5503" i="3" s="1"/>
  <c r="O5503" i="3"/>
  <c r="P5503" i="3"/>
  <c r="K5504" i="3"/>
  <c r="L5504" i="3" s="1"/>
  <c r="O5504" i="3"/>
  <c r="P5504" i="3"/>
  <c r="K5505" i="3"/>
  <c r="L5505" i="3" s="1"/>
  <c r="O5505" i="3"/>
  <c r="P5505" i="3"/>
  <c r="K5506" i="3"/>
  <c r="L5506" i="3" s="1"/>
  <c r="O5506" i="3"/>
  <c r="P5506" i="3"/>
  <c r="K5507" i="3"/>
  <c r="L5507" i="3" s="1"/>
  <c r="O5507" i="3"/>
  <c r="P5507" i="3"/>
  <c r="K5508" i="3"/>
  <c r="L5508" i="3" s="1"/>
  <c r="O5508" i="3"/>
  <c r="P5508" i="3"/>
  <c r="K5509" i="3"/>
  <c r="L5509" i="3" s="1"/>
  <c r="O5509" i="3"/>
  <c r="P5509" i="3"/>
  <c r="K5510" i="3"/>
  <c r="L5510" i="3" s="1"/>
  <c r="O5510" i="3"/>
  <c r="P5510" i="3"/>
  <c r="K5511" i="3"/>
  <c r="L5511" i="3" s="1"/>
  <c r="O5511" i="3"/>
  <c r="P5511" i="3"/>
  <c r="K5512" i="3"/>
  <c r="L5512" i="3" s="1"/>
  <c r="O5512" i="3"/>
  <c r="P5512" i="3"/>
  <c r="K5513" i="3"/>
  <c r="L5513" i="3" s="1"/>
  <c r="O5513" i="3"/>
  <c r="P5513" i="3"/>
  <c r="K5514" i="3"/>
  <c r="L5514" i="3" s="1"/>
  <c r="O5514" i="3"/>
  <c r="P5514" i="3"/>
  <c r="K5515" i="3"/>
  <c r="L5515" i="3" s="1"/>
  <c r="O5515" i="3"/>
  <c r="P5515" i="3"/>
  <c r="K5516" i="3"/>
  <c r="L5516" i="3" s="1"/>
  <c r="O5516" i="3"/>
  <c r="P5516" i="3"/>
  <c r="K5517" i="3"/>
  <c r="L5517" i="3" s="1"/>
  <c r="O5517" i="3"/>
  <c r="P5517" i="3"/>
  <c r="K5518" i="3"/>
  <c r="L5518" i="3" s="1"/>
  <c r="O5518" i="3"/>
  <c r="P5518" i="3"/>
  <c r="K5519" i="3"/>
  <c r="L5519" i="3" s="1"/>
  <c r="O5519" i="3"/>
  <c r="P5519" i="3"/>
  <c r="K5520" i="3"/>
  <c r="L5520" i="3" s="1"/>
  <c r="O5520" i="3"/>
  <c r="P5520" i="3"/>
  <c r="K5521" i="3"/>
  <c r="L5521" i="3" s="1"/>
  <c r="O5521" i="3"/>
  <c r="P5521" i="3"/>
  <c r="K5522" i="3"/>
  <c r="L5522" i="3" s="1"/>
  <c r="O5522" i="3"/>
  <c r="P5522" i="3"/>
  <c r="K5523" i="3"/>
  <c r="L5523" i="3" s="1"/>
  <c r="O5523" i="3"/>
  <c r="P5523" i="3"/>
  <c r="K5524" i="3"/>
  <c r="L5524" i="3" s="1"/>
  <c r="O5524" i="3"/>
  <c r="P5524" i="3"/>
  <c r="K5525" i="3"/>
  <c r="L5525" i="3" s="1"/>
  <c r="O5525" i="3"/>
  <c r="P5525" i="3"/>
  <c r="K5526" i="3"/>
  <c r="L5526" i="3" s="1"/>
  <c r="O5526" i="3"/>
  <c r="P5526" i="3"/>
  <c r="K5527" i="3"/>
  <c r="L5527" i="3" s="1"/>
  <c r="O5527" i="3"/>
  <c r="P5527" i="3"/>
  <c r="K5528" i="3"/>
  <c r="L5528" i="3" s="1"/>
  <c r="O5528" i="3"/>
  <c r="P5528" i="3"/>
  <c r="K5529" i="3"/>
  <c r="L5529" i="3" s="1"/>
  <c r="O5529" i="3"/>
  <c r="P5529" i="3"/>
  <c r="K5530" i="3"/>
  <c r="L5530" i="3" s="1"/>
  <c r="O5530" i="3"/>
  <c r="P5530" i="3"/>
  <c r="K5531" i="3"/>
  <c r="L5531" i="3" s="1"/>
  <c r="O5531" i="3"/>
  <c r="P5531" i="3"/>
  <c r="K5532" i="3"/>
  <c r="L5532" i="3" s="1"/>
  <c r="O5532" i="3"/>
  <c r="P5532" i="3"/>
  <c r="K5533" i="3"/>
  <c r="L5533" i="3" s="1"/>
  <c r="O5533" i="3"/>
  <c r="P5533" i="3"/>
  <c r="K5534" i="3"/>
  <c r="L5534" i="3" s="1"/>
  <c r="O5534" i="3"/>
  <c r="P5534" i="3"/>
  <c r="K5535" i="3"/>
  <c r="L5535" i="3" s="1"/>
  <c r="O5535" i="3"/>
  <c r="P5535" i="3"/>
  <c r="K5536" i="3"/>
  <c r="L5536" i="3" s="1"/>
  <c r="O5536" i="3"/>
  <c r="P5536" i="3"/>
  <c r="K5537" i="3"/>
  <c r="L5537" i="3" s="1"/>
  <c r="O5537" i="3"/>
  <c r="P5537" i="3"/>
  <c r="K5538" i="3"/>
  <c r="L5538" i="3" s="1"/>
  <c r="O5538" i="3"/>
  <c r="P5538" i="3"/>
  <c r="K5539" i="3"/>
  <c r="L5539" i="3" s="1"/>
  <c r="O5539" i="3"/>
  <c r="P5539" i="3"/>
  <c r="K5540" i="3"/>
  <c r="L5540" i="3" s="1"/>
  <c r="O5540" i="3"/>
  <c r="P5540" i="3"/>
  <c r="K5541" i="3"/>
  <c r="L5541" i="3" s="1"/>
  <c r="O5541" i="3"/>
  <c r="P5541" i="3"/>
  <c r="K5542" i="3"/>
  <c r="L5542" i="3" s="1"/>
  <c r="O5542" i="3"/>
  <c r="P5542" i="3"/>
  <c r="K5543" i="3"/>
  <c r="L5543" i="3" s="1"/>
  <c r="O5543" i="3"/>
  <c r="P5543" i="3"/>
  <c r="K5544" i="3"/>
  <c r="L5544" i="3" s="1"/>
  <c r="O5544" i="3"/>
  <c r="P5544" i="3"/>
  <c r="K5545" i="3"/>
  <c r="L5545" i="3" s="1"/>
  <c r="O5545" i="3"/>
  <c r="P5545" i="3"/>
  <c r="K5546" i="3"/>
  <c r="L5546" i="3" s="1"/>
  <c r="O5546" i="3"/>
  <c r="P5546" i="3"/>
  <c r="K5547" i="3"/>
  <c r="L5547" i="3" s="1"/>
  <c r="O5547" i="3"/>
  <c r="P5547" i="3"/>
  <c r="K5548" i="3"/>
  <c r="L5548" i="3" s="1"/>
  <c r="O5548" i="3"/>
  <c r="P5548" i="3"/>
  <c r="K5549" i="3"/>
  <c r="L5549" i="3" s="1"/>
  <c r="O5549" i="3"/>
  <c r="P5549" i="3"/>
  <c r="K5550" i="3"/>
  <c r="L5550" i="3" s="1"/>
  <c r="O5550" i="3"/>
  <c r="P5550" i="3"/>
  <c r="K5551" i="3"/>
  <c r="L5551" i="3" s="1"/>
  <c r="O5551" i="3"/>
  <c r="P5551" i="3"/>
  <c r="K5552" i="3"/>
  <c r="L5552" i="3" s="1"/>
  <c r="O5552" i="3"/>
  <c r="P5552" i="3"/>
  <c r="K5553" i="3"/>
  <c r="L5553" i="3" s="1"/>
  <c r="O5553" i="3"/>
  <c r="P5553" i="3"/>
  <c r="K5554" i="3"/>
  <c r="L5554" i="3" s="1"/>
  <c r="O5554" i="3"/>
  <c r="P5554" i="3"/>
  <c r="K5555" i="3"/>
  <c r="L5555" i="3" s="1"/>
  <c r="O5555" i="3"/>
  <c r="P5555" i="3"/>
  <c r="K5556" i="3"/>
  <c r="L5556" i="3" s="1"/>
  <c r="O5556" i="3"/>
  <c r="P5556" i="3"/>
  <c r="K5557" i="3"/>
  <c r="L5557" i="3" s="1"/>
  <c r="O5557" i="3"/>
  <c r="P5557" i="3"/>
  <c r="K5558" i="3"/>
  <c r="L5558" i="3" s="1"/>
  <c r="O5558" i="3"/>
  <c r="P5558" i="3"/>
  <c r="K5559" i="3"/>
  <c r="L5559" i="3" s="1"/>
  <c r="O5559" i="3"/>
  <c r="P5559" i="3"/>
  <c r="K5560" i="3"/>
  <c r="L5560" i="3" s="1"/>
  <c r="O5560" i="3"/>
  <c r="P5560" i="3"/>
  <c r="K5561" i="3"/>
  <c r="L5561" i="3" s="1"/>
  <c r="O5561" i="3"/>
  <c r="P5561" i="3"/>
  <c r="K5562" i="3"/>
  <c r="L5562" i="3" s="1"/>
  <c r="O5562" i="3"/>
  <c r="P5562" i="3"/>
  <c r="K5563" i="3"/>
  <c r="L5563" i="3" s="1"/>
  <c r="O5563" i="3"/>
  <c r="P5563" i="3"/>
  <c r="K5564" i="3"/>
  <c r="L5564" i="3" s="1"/>
  <c r="O5564" i="3"/>
  <c r="P5564" i="3"/>
  <c r="K5565" i="3"/>
  <c r="L5565" i="3" s="1"/>
  <c r="O5565" i="3"/>
  <c r="P5565" i="3"/>
  <c r="K5566" i="3"/>
  <c r="L5566" i="3" s="1"/>
  <c r="O5566" i="3"/>
  <c r="P5566" i="3"/>
  <c r="K5567" i="3"/>
  <c r="L5567" i="3" s="1"/>
  <c r="O5567" i="3"/>
  <c r="P5567" i="3"/>
  <c r="K5568" i="3"/>
  <c r="L5568" i="3" s="1"/>
  <c r="O5568" i="3"/>
  <c r="P5568" i="3"/>
  <c r="K5569" i="3"/>
  <c r="L5569" i="3" s="1"/>
  <c r="O5569" i="3"/>
  <c r="P5569" i="3"/>
  <c r="K5570" i="3"/>
  <c r="L5570" i="3" s="1"/>
  <c r="O5570" i="3"/>
  <c r="P5570" i="3"/>
  <c r="K5571" i="3"/>
  <c r="L5571" i="3" s="1"/>
  <c r="O5571" i="3"/>
  <c r="P5571" i="3"/>
  <c r="K5572" i="3"/>
  <c r="L5572" i="3" s="1"/>
  <c r="O5572" i="3"/>
  <c r="P5572" i="3"/>
  <c r="K5573" i="3"/>
  <c r="L5573" i="3" s="1"/>
  <c r="O5573" i="3"/>
  <c r="P5573" i="3"/>
  <c r="K5574" i="3"/>
  <c r="L5574" i="3" s="1"/>
  <c r="O5574" i="3"/>
  <c r="P5574" i="3"/>
  <c r="K5575" i="3"/>
  <c r="L5575" i="3" s="1"/>
  <c r="O5575" i="3"/>
  <c r="P5575" i="3"/>
  <c r="K5576" i="3"/>
  <c r="L5576" i="3" s="1"/>
  <c r="O5576" i="3"/>
  <c r="P5576" i="3"/>
  <c r="K5577" i="3"/>
  <c r="L5577" i="3" s="1"/>
  <c r="O5577" i="3"/>
  <c r="P5577" i="3"/>
  <c r="K5578" i="3"/>
  <c r="L5578" i="3" s="1"/>
  <c r="O5578" i="3"/>
  <c r="P5578" i="3"/>
  <c r="K5579" i="3"/>
  <c r="L5579" i="3" s="1"/>
  <c r="O5579" i="3"/>
  <c r="P5579" i="3"/>
  <c r="K5580" i="3"/>
  <c r="L5580" i="3" s="1"/>
  <c r="O5580" i="3"/>
  <c r="P5580" i="3"/>
  <c r="K5581" i="3"/>
  <c r="L5581" i="3" s="1"/>
  <c r="O5581" i="3"/>
  <c r="P5581" i="3"/>
  <c r="K5582" i="3"/>
  <c r="L5582" i="3" s="1"/>
  <c r="O5582" i="3"/>
  <c r="P5582" i="3"/>
  <c r="K5583" i="3"/>
  <c r="L5583" i="3" s="1"/>
  <c r="O5583" i="3"/>
  <c r="P5583" i="3"/>
  <c r="K5584" i="3"/>
  <c r="L5584" i="3" s="1"/>
  <c r="O5584" i="3"/>
  <c r="P5584" i="3"/>
  <c r="K5585" i="3"/>
  <c r="L5585" i="3" s="1"/>
  <c r="O5585" i="3"/>
  <c r="P5585" i="3"/>
  <c r="K5586" i="3"/>
  <c r="L5586" i="3" s="1"/>
  <c r="O5586" i="3"/>
  <c r="P5586" i="3"/>
  <c r="K5587" i="3"/>
  <c r="L5587" i="3" s="1"/>
  <c r="O5587" i="3"/>
  <c r="P5587" i="3"/>
  <c r="K5588" i="3"/>
  <c r="L5588" i="3" s="1"/>
  <c r="O5588" i="3"/>
  <c r="P5588" i="3"/>
  <c r="K5589" i="3"/>
  <c r="L5589" i="3" s="1"/>
  <c r="O5589" i="3"/>
  <c r="P5589" i="3"/>
  <c r="K5590" i="3"/>
  <c r="L5590" i="3" s="1"/>
  <c r="O5590" i="3"/>
  <c r="P5590" i="3"/>
  <c r="K5591" i="3"/>
  <c r="L5591" i="3" s="1"/>
  <c r="O5591" i="3"/>
  <c r="P5591" i="3"/>
  <c r="K5592" i="3"/>
  <c r="L5592" i="3" s="1"/>
  <c r="O5592" i="3"/>
  <c r="P5592" i="3"/>
  <c r="K5593" i="3"/>
  <c r="L5593" i="3" s="1"/>
  <c r="O5593" i="3"/>
  <c r="P5593" i="3"/>
  <c r="K5594" i="3"/>
  <c r="L5594" i="3" s="1"/>
  <c r="O5594" i="3"/>
  <c r="P5594" i="3"/>
  <c r="K5595" i="3"/>
  <c r="L5595" i="3" s="1"/>
  <c r="O5595" i="3"/>
  <c r="P5595" i="3"/>
  <c r="K5596" i="3"/>
  <c r="L5596" i="3" s="1"/>
  <c r="O5596" i="3"/>
  <c r="P5596" i="3"/>
  <c r="K5597" i="3"/>
  <c r="L5597" i="3" s="1"/>
  <c r="O5597" i="3"/>
  <c r="P5597" i="3"/>
  <c r="K5598" i="3"/>
  <c r="L5598" i="3" s="1"/>
  <c r="O5598" i="3"/>
  <c r="P5598" i="3"/>
  <c r="K5599" i="3"/>
  <c r="L5599" i="3" s="1"/>
  <c r="O5599" i="3"/>
  <c r="P5599" i="3"/>
  <c r="K5600" i="3"/>
  <c r="L5600" i="3" s="1"/>
  <c r="O5600" i="3"/>
  <c r="P5600" i="3"/>
  <c r="K5601" i="3"/>
  <c r="L5601" i="3" s="1"/>
  <c r="O5601" i="3"/>
  <c r="P5601" i="3"/>
  <c r="K5602" i="3"/>
  <c r="L5602" i="3" s="1"/>
  <c r="O5602" i="3"/>
  <c r="P5602" i="3"/>
  <c r="K5603" i="3"/>
  <c r="L5603" i="3" s="1"/>
  <c r="O5603" i="3"/>
  <c r="P5603" i="3"/>
  <c r="K5604" i="3"/>
  <c r="L5604" i="3" s="1"/>
  <c r="O5604" i="3"/>
  <c r="P5604" i="3"/>
  <c r="K5605" i="3"/>
  <c r="L5605" i="3" s="1"/>
  <c r="O5605" i="3"/>
  <c r="P5605" i="3"/>
  <c r="K5606" i="3"/>
  <c r="L5606" i="3" s="1"/>
  <c r="O5606" i="3"/>
  <c r="P5606" i="3"/>
  <c r="K5607" i="3"/>
  <c r="L5607" i="3" s="1"/>
  <c r="O5607" i="3"/>
  <c r="P5607" i="3"/>
  <c r="K5608" i="3"/>
  <c r="L5608" i="3" s="1"/>
  <c r="O5608" i="3"/>
  <c r="P5608" i="3"/>
  <c r="K5609" i="3"/>
  <c r="L5609" i="3" s="1"/>
  <c r="O5609" i="3"/>
  <c r="P5609" i="3"/>
  <c r="O5610" i="3"/>
  <c r="P5610" i="3"/>
  <c r="K5611" i="3"/>
  <c r="L5611" i="3" s="1"/>
  <c r="O5611" i="3"/>
  <c r="P5611" i="3"/>
  <c r="K5612" i="3"/>
  <c r="L5612" i="3" s="1"/>
  <c r="O5612" i="3"/>
  <c r="P5612" i="3"/>
  <c r="K5613" i="3"/>
  <c r="L5613" i="3" s="1"/>
  <c r="O5613" i="3"/>
  <c r="P5613" i="3"/>
  <c r="K5614" i="3"/>
  <c r="L5614" i="3" s="1"/>
  <c r="O5614" i="3"/>
  <c r="P5614" i="3"/>
  <c r="K5615" i="3"/>
  <c r="L5615" i="3" s="1"/>
  <c r="O5615" i="3"/>
  <c r="P5615" i="3"/>
  <c r="K5616" i="3"/>
  <c r="L5616" i="3" s="1"/>
  <c r="O5616" i="3"/>
  <c r="P5616" i="3"/>
  <c r="K5617" i="3"/>
  <c r="L5617" i="3" s="1"/>
  <c r="O5617" i="3"/>
  <c r="P5617" i="3"/>
  <c r="K5618" i="3"/>
  <c r="L5618" i="3" s="1"/>
  <c r="O5618" i="3"/>
  <c r="P5618" i="3"/>
  <c r="K5619" i="3"/>
  <c r="L5619" i="3" s="1"/>
  <c r="O5619" i="3"/>
  <c r="P5619" i="3"/>
  <c r="K5620" i="3"/>
  <c r="L5620" i="3" s="1"/>
  <c r="O5620" i="3"/>
  <c r="P5620" i="3"/>
  <c r="K5621" i="3"/>
  <c r="L5621" i="3" s="1"/>
  <c r="O5621" i="3"/>
  <c r="P5621" i="3"/>
  <c r="K5622" i="3"/>
  <c r="L5622" i="3" s="1"/>
  <c r="O5622" i="3"/>
  <c r="P5622" i="3"/>
  <c r="K5623" i="3"/>
  <c r="L5623" i="3" s="1"/>
  <c r="O5623" i="3"/>
  <c r="P5623" i="3"/>
  <c r="K5624" i="3"/>
  <c r="L5624" i="3" s="1"/>
  <c r="O5624" i="3"/>
  <c r="P5624" i="3"/>
  <c r="K5625" i="3"/>
  <c r="L5625" i="3" s="1"/>
  <c r="O5625" i="3"/>
  <c r="P5625" i="3"/>
  <c r="K5626" i="3"/>
  <c r="L5626" i="3" s="1"/>
  <c r="O5626" i="3"/>
  <c r="P5626" i="3"/>
  <c r="K5627" i="3"/>
  <c r="L5627" i="3" s="1"/>
  <c r="O5627" i="3"/>
  <c r="P5627" i="3"/>
  <c r="K5628" i="3"/>
  <c r="L5628" i="3" s="1"/>
  <c r="O5628" i="3"/>
  <c r="P5628" i="3"/>
  <c r="K5629" i="3"/>
  <c r="L5629" i="3" s="1"/>
  <c r="O5629" i="3"/>
  <c r="P5629" i="3"/>
  <c r="K5630" i="3"/>
  <c r="L5630" i="3" s="1"/>
  <c r="O5630" i="3"/>
  <c r="P5630" i="3"/>
  <c r="K5631" i="3"/>
  <c r="L5631" i="3" s="1"/>
  <c r="O5631" i="3"/>
  <c r="P5631" i="3"/>
  <c r="K5632" i="3"/>
  <c r="L5632" i="3" s="1"/>
  <c r="O5632" i="3"/>
  <c r="P5632" i="3"/>
  <c r="K5633" i="3"/>
  <c r="L5633" i="3" s="1"/>
  <c r="O5633" i="3"/>
  <c r="P5633" i="3"/>
  <c r="K5634" i="3"/>
  <c r="L5634" i="3" s="1"/>
  <c r="O5634" i="3"/>
  <c r="P5634" i="3"/>
  <c r="K5635" i="3"/>
  <c r="L5635" i="3" s="1"/>
  <c r="O5635" i="3"/>
  <c r="P5635" i="3"/>
  <c r="K5636" i="3"/>
  <c r="L5636" i="3" s="1"/>
  <c r="O5636" i="3"/>
  <c r="P5636" i="3"/>
  <c r="K5637" i="3"/>
  <c r="L5637" i="3" s="1"/>
  <c r="O5637" i="3"/>
  <c r="P5637" i="3"/>
  <c r="K5638" i="3"/>
  <c r="L5638" i="3" s="1"/>
  <c r="O5638" i="3"/>
  <c r="P5638" i="3"/>
  <c r="K5639" i="3"/>
  <c r="L5639" i="3" s="1"/>
  <c r="O5639" i="3"/>
  <c r="P5639" i="3"/>
  <c r="K5640" i="3"/>
  <c r="L5640" i="3" s="1"/>
  <c r="O5640" i="3"/>
  <c r="P5640" i="3"/>
  <c r="K5641" i="3"/>
  <c r="L5641" i="3" s="1"/>
  <c r="O5641" i="3"/>
  <c r="P5641" i="3"/>
  <c r="K5642" i="3"/>
  <c r="L5642" i="3" s="1"/>
  <c r="O5642" i="3"/>
  <c r="P5642" i="3"/>
  <c r="K5643" i="3"/>
  <c r="L5643" i="3" s="1"/>
  <c r="O5643" i="3"/>
  <c r="P5643" i="3"/>
  <c r="K5644" i="3"/>
  <c r="L5644" i="3" s="1"/>
  <c r="O5644" i="3"/>
  <c r="P5644" i="3"/>
  <c r="K5645" i="3"/>
  <c r="L5645" i="3" s="1"/>
  <c r="O5645" i="3"/>
  <c r="P5645" i="3"/>
  <c r="K5646" i="3"/>
  <c r="L5646" i="3" s="1"/>
  <c r="O5646" i="3"/>
  <c r="P5646" i="3"/>
  <c r="K5647" i="3"/>
  <c r="L5647" i="3" s="1"/>
  <c r="O5647" i="3"/>
  <c r="P5647" i="3"/>
  <c r="K5648" i="3"/>
  <c r="L5648" i="3" s="1"/>
  <c r="O5648" i="3"/>
  <c r="P5648" i="3"/>
  <c r="K5649" i="3"/>
  <c r="L5649" i="3" s="1"/>
  <c r="O5649" i="3"/>
  <c r="P5649" i="3"/>
  <c r="K5650" i="3"/>
  <c r="L5650" i="3" s="1"/>
  <c r="O5650" i="3"/>
  <c r="P5650" i="3"/>
  <c r="K5651" i="3"/>
  <c r="L5651" i="3" s="1"/>
  <c r="O5651" i="3"/>
  <c r="P5651" i="3"/>
  <c r="K5652" i="3"/>
  <c r="L5652" i="3" s="1"/>
  <c r="O5652" i="3"/>
  <c r="P5652" i="3"/>
  <c r="K5653" i="3"/>
  <c r="L5653" i="3" s="1"/>
  <c r="O5653" i="3"/>
  <c r="P5653" i="3"/>
  <c r="K5654" i="3"/>
  <c r="L5654" i="3" s="1"/>
  <c r="O5654" i="3"/>
  <c r="P5654" i="3"/>
  <c r="K5655" i="3"/>
  <c r="L5655" i="3" s="1"/>
  <c r="O5655" i="3"/>
  <c r="P5655" i="3"/>
  <c r="K5656" i="3"/>
  <c r="L5656" i="3" s="1"/>
  <c r="O5656" i="3"/>
  <c r="P5656" i="3"/>
  <c r="K5657" i="3"/>
  <c r="L5657" i="3" s="1"/>
  <c r="O5657" i="3"/>
  <c r="P5657" i="3"/>
  <c r="K5658" i="3"/>
  <c r="L5658" i="3" s="1"/>
  <c r="O5658" i="3"/>
  <c r="P5658" i="3"/>
  <c r="K5659" i="3"/>
  <c r="L5659" i="3" s="1"/>
  <c r="O5659" i="3"/>
  <c r="P5659" i="3"/>
  <c r="K5660" i="3"/>
  <c r="L5660" i="3" s="1"/>
  <c r="O5660" i="3"/>
  <c r="P5660" i="3"/>
  <c r="K5661" i="3"/>
  <c r="L5661" i="3" s="1"/>
  <c r="O5661" i="3"/>
  <c r="P5661" i="3"/>
  <c r="K5662" i="3"/>
  <c r="L5662" i="3" s="1"/>
  <c r="O5662" i="3"/>
  <c r="P5662" i="3"/>
  <c r="K5663" i="3"/>
  <c r="L5663" i="3" s="1"/>
  <c r="O5663" i="3"/>
  <c r="P5663" i="3"/>
  <c r="K5664" i="3"/>
  <c r="L5664" i="3" s="1"/>
  <c r="O5664" i="3"/>
  <c r="P5664" i="3"/>
  <c r="K5665" i="3"/>
  <c r="L5665" i="3" s="1"/>
  <c r="O5665" i="3"/>
  <c r="P5665" i="3"/>
  <c r="K5666" i="3"/>
  <c r="L5666" i="3" s="1"/>
  <c r="O5666" i="3"/>
  <c r="P5666" i="3"/>
  <c r="K5667" i="3"/>
  <c r="L5667" i="3" s="1"/>
  <c r="O5667" i="3"/>
  <c r="P5667" i="3"/>
  <c r="K5668" i="3"/>
  <c r="L5668" i="3" s="1"/>
  <c r="O5668" i="3"/>
  <c r="P5668" i="3"/>
  <c r="K5669" i="3"/>
  <c r="L5669" i="3" s="1"/>
  <c r="O5669" i="3"/>
  <c r="P5669" i="3"/>
  <c r="K5670" i="3"/>
  <c r="L5670" i="3" s="1"/>
  <c r="O5670" i="3"/>
  <c r="P5670" i="3"/>
  <c r="K5671" i="3"/>
  <c r="L5671" i="3" s="1"/>
  <c r="O5671" i="3"/>
  <c r="P5671" i="3"/>
  <c r="K5672" i="3"/>
  <c r="L5672" i="3" s="1"/>
  <c r="O5672" i="3"/>
  <c r="P5672" i="3"/>
  <c r="K5673" i="3"/>
  <c r="L5673" i="3" s="1"/>
  <c r="O5673" i="3"/>
  <c r="P5673" i="3"/>
  <c r="K5674" i="3"/>
  <c r="L5674" i="3" s="1"/>
  <c r="O5674" i="3"/>
  <c r="P5674" i="3"/>
  <c r="K5675" i="3"/>
  <c r="L5675" i="3" s="1"/>
  <c r="O5675" i="3"/>
  <c r="P5675" i="3"/>
  <c r="K5676" i="3"/>
  <c r="L5676" i="3" s="1"/>
  <c r="O5676" i="3"/>
  <c r="P5676" i="3"/>
  <c r="K5677" i="3"/>
  <c r="L5677" i="3" s="1"/>
  <c r="O5677" i="3"/>
  <c r="P5677" i="3"/>
  <c r="K5678" i="3"/>
  <c r="L5678" i="3" s="1"/>
  <c r="O5678" i="3"/>
  <c r="P5678" i="3"/>
  <c r="K5679" i="3"/>
  <c r="L5679" i="3" s="1"/>
  <c r="O5679" i="3"/>
  <c r="P5679" i="3"/>
  <c r="K5680" i="3"/>
  <c r="L5680" i="3" s="1"/>
  <c r="O5680" i="3"/>
  <c r="P5680" i="3"/>
  <c r="K5681" i="3"/>
  <c r="L5681" i="3" s="1"/>
  <c r="O5681" i="3"/>
  <c r="P5681" i="3"/>
  <c r="K5682" i="3"/>
  <c r="L5682" i="3" s="1"/>
  <c r="O5682" i="3"/>
  <c r="P5682" i="3"/>
  <c r="K5683" i="3"/>
  <c r="L5683" i="3" s="1"/>
  <c r="O5683" i="3"/>
  <c r="P5683" i="3"/>
  <c r="K5684" i="3"/>
  <c r="L5684" i="3" s="1"/>
  <c r="O5684" i="3"/>
  <c r="P5684" i="3"/>
  <c r="K5685" i="3"/>
  <c r="L5685" i="3" s="1"/>
  <c r="O5685" i="3"/>
  <c r="P5685" i="3"/>
  <c r="K5686" i="3"/>
  <c r="L5686" i="3" s="1"/>
  <c r="O5686" i="3"/>
  <c r="P5686" i="3"/>
  <c r="K5687" i="3"/>
  <c r="L5687" i="3" s="1"/>
  <c r="O5687" i="3"/>
  <c r="P5687" i="3"/>
  <c r="K5688" i="3"/>
  <c r="L5688" i="3" s="1"/>
  <c r="O5688" i="3"/>
  <c r="P5688" i="3"/>
  <c r="K5689" i="3"/>
  <c r="L5689" i="3" s="1"/>
  <c r="O5689" i="3"/>
  <c r="P5689" i="3"/>
  <c r="K5690" i="3"/>
  <c r="L5690" i="3" s="1"/>
  <c r="O5690" i="3"/>
  <c r="P5690" i="3"/>
  <c r="K5691" i="3"/>
  <c r="L5691" i="3" s="1"/>
  <c r="O5691" i="3"/>
  <c r="P5691" i="3"/>
  <c r="K5692" i="3"/>
  <c r="L5692" i="3" s="1"/>
  <c r="O5692" i="3"/>
  <c r="P5692" i="3"/>
  <c r="K5693" i="3"/>
  <c r="L5693" i="3" s="1"/>
  <c r="O5693" i="3"/>
  <c r="P5693" i="3"/>
  <c r="K5694" i="3"/>
  <c r="L5694" i="3" s="1"/>
  <c r="O5694" i="3"/>
  <c r="P5694" i="3"/>
  <c r="K5695" i="3"/>
  <c r="L5695" i="3" s="1"/>
  <c r="O5695" i="3"/>
  <c r="P5695" i="3"/>
  <c r="K5696" i="3"/>
  <c r="L5696" i="3" s="1"/>
  <c r="O5696" i="3"/>
  <c r="P5696" i="3"/>
  <c r="K5697" i="3"/>
  <c r="L5697" i="3" s="1"/>
  <c r="O5697" i="3"/>
  <c r="P5697" i="3"/>
  <c r="K5698" i="3"/>
  <c r="L5698" i="3" s="1"/>
  <c r="O5698" i="3"/>
  <c r="P5698" i="3"/>
  <c r="K5699" i="3"/>
  <c r="L5699" i="3" s="1"/>
  <c r="O5699" i="3"/>
  <c r="P5699" i="3"/>
  <c r="K5700" i="3"/>
  <c r="L5700" i="3" s="1"/>
  <c r="O5700" i="3"/>
  <c r="P5700" i="3"/>
  <c r="K5701" i="3"/>
  <c r="L5701" i="3" s="1"/>
  <c r="O5701" i="3"/>
  <c r="P5701" i="3"/>
  <c r="K5702" i="3"/>
  <c r="L5702" i="3" s="1"/>
  <c r="O5702" i="3"/>
  <c r="P5702" i="3"/>
  <c r="K5703" i="3"/>
  <c r="L5703" i="3" s="1"/>
  <c r="O5703" i="3"/>
  <c r="P5703" i="3"/>
  <c r="K5704" i="3"/>
  <c r="L5704" i="3" s="1"/>
  <c r="O5704" i="3"/>
  <c r="P5704" i="3"/>
  <c r="K5705" i="3"/>
  <c r="L5705" i="3" s="1"/>
  <c r="O5705" i="3"/>
  <c r="P5705" i="3"/>
  <c r="K5706" i="3"/>
  <c r="L5706" i="3" s="1"/>
  <c r="O5706" i="3"/>
  <c r="P5706" i="3"/>
  <c r="K5707" i="3"/>
  <c r="L5707" i="3" s="1"/>
  <c r="O5707" i="3"/>
  <c r="P5707" i="3"/>
  <c r="K5708" i="3"/>
  <c r="L5708" i="3" s="1"/>
  <c r="O5708" i="3"/>
  <c r="P5708" i="3"/>
  <c r="K5709" i="3"/>
  <c r="L5709" i="3" s="1"/>
  <c r="O5709" i="3"/>
  <c r="P5709" i="3"/>
  <c r="K5710" i="3"/>
  <c r="L5710" i="3" s="1"/>
  <c r="O5710" i="3"/>
  <c r="P5710" i="3"/>
  <c r="K5711" i="3"/>
  <c r="L5711" i="3" s="1"/>
  <c r="O5711" i="3"/>
  <c r="P5711" i="3"/>
  <c r="K5712" i="3"/>
  <c r="L5712" i="3" s="1"/>
  <c r="O5712" i="3"/>
  <c r="P5712" i="3"/>
  <c r="K5713" i="3"/>
  <c r="L5713" i="3" s="1"/>
  <c r="O5713" i="3"/>
  <c r="P5713" i="3"/>
  <c r="K5714" i="3"/>
  <c r="L5714" i="3" s="1"/>
  <c r="O5714" i="3"/>
  <c r="P5714" i="3"/>
  <c r="K5715" i="3"/>
  <c r="L5715" i="3" s="1"/>
  <c r="O5715" i="3"/>
  <c r="P5715" i="3"/>
  <c r="K5716" i="3"/>
  <c r="L5716" i="3" s="1"/>
  <c r="O5716" i="3"/>
  <c r="P5716" i="3"/>
  <c r="K5717" i="3"/>
  <c r="L5717" i="3" s="1"/>
  <c r="O5717" i="3"/>
  <c r="P5717" i="3"/>
  <c r="K5718" i="3"/>
  <c r="L5718" i="3" s="1"/>
  <c r="O5718" i="3"/>
  <c r="P5718" i="3"/>
  <c r="K5719" i="3"/>
  <c r="L5719" i="3" s="1"/>
  <c r="O5719" i="3"/>
  <c r="P5719" i="3"/>
  <c r="K5720" i="3"/>
  <c r="L5720" i="3" s="1"/>
  <c r="O5720" i="3"/>
  <c r="P5720" i="3"/>
  <c r="K5721" i="3"/>
  <c r="L5721" i="3" s="1"/>
  <c r="O5721" i="3"/>
  <c r="P5721" i="3"/>
  <c r="K5722" i="3"/>
  <c r="L5722" i="3" s="1"/>
  <c r="O5722" i="3"/>
  <c r="P5722" i="3"/>
  <c r="K5723" i="3"/>
  <c r="L5723" i="3" s="1"/>
  <c r="O5723" i="3"/>
  <c r="P5723" i="3"/>
  <c r="K5724" i="3"/>
  <c r="L5724" i="3" s="1"/>
  <c r="O5724" i="3"/>
  <c r="P5724" i="3"/>
  <c r="K5725" i="3"/>
  <c r="L5725" i="3" s="1"/>
  <c r="O5725" i="3"/>
  <c r="P5725" i="3"/>
  <c r="K5726" i="3"/>
  <c r="L5726" i="3" s="1"/>
  <c r="O5726" i="3"/>
  <c r="P5726" i="3"/>
  <c r="K5727" i="3"/>
  <c r="L5727" i="3" s="1"/>
  <c r="O5727" i="3"/>
  <c r="P5727" i="3"/>
  <c r="K5728" i="3"/>
  <c r="L5728" i="3" s="1"/>
  <c r="O5728" i="3"/>
  <c r="P5728" i="3"/>
  <c r="K5729" i="3"/>
  <c r="L5729" i="3" s="1"/>
  <c r="O5729" i="3"/>
  <c r="P5729" i="3"/>
  <c r="K5730" i="3"/>
  <c r="L5730" i="3" s="1"/>
  <c r="O5730" i="3"/>
  <c r="P5730" i="3"/>
  <c r="K5731" i="3"/>
  <c r="L5731" i="3" s="1"/>
  <c r="O5731" i="3"/>
  <c r="P5731" i="3"/>
  <c r="K5732" i="3"/>
  <c r="L5732" i="3" s="1"/>
  <c r="O5732" i="3"/>
  <c r="P5732" i="3"/>
  <c r="K5733" i="3"/>
  <c r="L5733" i="3" s="1"/>
  <c r="O5733" i="3"/>
  <c r="P5733" i="3"/>
  <c r="K5734" i="3"/>
  <c r="L5734" i="3" s="1"/>
  <c r="O5734" i="3"/>
  <c r="P5734" i="3"/>
  <c r="K5735" i="3"/>
  <c r="L5735" i="3" s="1"/>
  <c r="O5735" i="3"/>
  <c r="P5735" i="3"/>
  <c r="K5736" i="3"/>
  <c r="L5736" i="3" s="1"/>
  <c r="O5736" i="3"/>
  <c r="P5736" i="3"/>
  <c r="K5737" i="3"/>
  <c r="L5737" i="3" s="1"/>
  <c r="O5737" i="3"/>
  <c r="P5737" i="3"/>
  <c r="K5738" i="3"/>
  <c r="L5738" i="3" s="1"/>
  <c r="O5738" i="3"/>
  <c r="P5738" i="3"/>
  <c r="K5739" i="3"/>
  <c r="L5739" i="3" s="1"/>
  <c r="O5739" i="3"/>
  <c r="P5739" i="3"/>
  <c r="K5740" i="3"/>
  <c r="L5740" i="3" s="1"/>
  <c r="O5740" i="3"/>
  <c r="P5740" i="3"/>
  <c r="K5741" i="3"/>
  <c r="L5741" i="3" s="1"/>
  <c r="O5741" i="3"/>
  <c r="P5741" i="3"/>
  <c r="K5742" i="3"/>
  <c r="L5742" i="3" s="1"/>
  <c r="O5742" i="3"/>
  <c r="P5742" i="3"/>
  <c r="K5743" i="3"/>
  <c r="L5743" i="3" s="1"/>
  <c r="O5743" i="3"/>
  <c r="P5743" i="3"/>
  <c r="K5744" i="3"/>
  <c r="L5744" i="3" s="1"/>
  <c r="O5744" i="3"/>
  <c r="P5744" i="3"/>
  <c r="K5745" i="3"/>
  <c r="L5745" i="3" s="1"/>
  <c r="O5745" i="3"/>
  <c r="P5745" i="3"/>
  <c r="K5746" i="3"/>
  <c r="L5746" i="3" s="1"/>
  <c r="O5746" i="3"/>
  <c r="P5746" i="3"/>
  <c r="K5747" i="3"/>
  <c r="L5747" i="3" s="1"/>
  <c r="O5747" i="3"/>
  <c r="P5747" i="3"/>
  <c r="K5748" i="3"/>
  <c r="L5748" i="3" s="1"/>
  <c r="O5748" i="3"/>
  <c r="P5748" i="3"/>
  <c r="K5749" i="3"/>
  <c r="L5749" i="3" s="1"/>
  <c r="O5749" i="3"/>
  <c r="P5749" i="3"/>
  <c r="K5750" i="3"/>
  <c r="L5750" i="3" s="1"/>
  <c r="O5750" i="3"/>
  <c r="P5750" i="3"/>
  <c r="K5751" i="3"/>
  <c r="L5751" i="3" s="1"/>
  <c r="O5751" i="3"/>
  <c r="P5751" i="3"/>
  <c r="K5752" i="3"/>
  <c r="L5752" i="3" s="1"/>
  <c r="O5752" i="3"/>
  <c r="P5752" i="3"/>
  <c r="K5753" i="3"/>
  <c r="L5753" i="3" s="1"/>
  <c r="O5753" i="3"/>
  <c r="P5753" i="3"/>
  <c r="K5754" i="3"/>
  <c r="L5754" i="3" s="1"/>
  <c r="O5754" i="3"/>
  <c r="P5754" i="3"/>
  <c r="K5755" i="3"/>
  <c r="L5755" i="3" s="1"/>
  <c r="O5755" i="3"/>
  <c r="P5755" i="3"/>
  <c r="K5756" i="3"/>
  <c r="L5756" i="3" s="1"/>
  <c r="O5756" i="3"/>
  <c r="P5756" i="3"/>
  <c r="K5757" i="3"/>
  <c r="L5757" i="3" s="1"/>
  <c r="O5757" i="3"/>
  <c r="P5757" i="3"/>
  <c r="K5758" i="3"/>
  <c r="L5758" i="3" s="1"/>
  <c r="O5758" i="3"/>
  <c r="P5758" i="3"/>
  <c r="K5759" i="3"/>
  <c r="L5759" i="3" s="1"/>
  <c r="O5759" i="3"/>
  <c r="P5759" i="3"/>
  <c r="K5760" i="3"/>
  <c r="L5760" i="3" s="1"/>
  <c r="O5760" i="3"/>
  <c r="P5760" i="3"/>
  <c r="K5761" i="3"/>
  <c r="L5761" i="3" s="1"/>
  <c r="O5761" i="3"/>
  <c r="P5761" i="3"/>
  <c r="K5762" i="3"/>
  <c r="L5762" i="3" s="1"/>
  <c r="O5762" i="3"/>
  <c r="P5762" i="3"/>
  <c r="K5763" i="3"/>
  <c r="L5763" i="3" s="1"/>
  <c r="O5763" i="3"/>
  <c r="P5763" i="3"/>
  <c r="K5764" i="3"/>
  <c r="L5764" i="3" s="1"/>
  <c r="O5764" i="3"/>
  <c r="P5764" i="3"/>
  <c r="K5765" i="3"/>
  <c r="L5765" i="3" s="1"/>
  <c r="O5765" i="3"/>
  <c r="P5765" i="3"/>
  <c r="K5766" i="3"/>
  <c r="L5766" i="3" s="1"/>
  <c r="O5766" i="3"/>
  <c r="P5766" i="3"/>
  <c r="K5767" i="3"/>
  <c r="L5767" i="3" s="1"/>
  <c r="O5767" i="3"/>
  <c r="P5767" i="3"/>
  <c r="K5768" i="3"/>
  <c r="L5768" i="3" s="1"/>
  <c r="O5768" i="3"/>
  <c r="P5768" i="3"/>
  <c r="K5769" i="3"/>
  <c r="L5769" i="3" s="1"/>
  <c r="O5769" i="3"/>
  <c r="P5769" i="3"/>
  <c r="K5770" i="3"/>
  <c r="L5770" i="3" s="1"/>
  <c r="O5770" i="3"/>
  <c r="P5770" i="3"/>
  <c r="K5771" i="3"/>
  <c r="L5771" i="3" s="1"/>
  <c r="O5771" i="3"/>
  <c r="P5771" i="3"/>
  <c r="K5772" i="3"/>
  <c r="L5772" i="3" s="1"/>
  <c r="O5772" i="3"/>
  <c r="P5772" i="3"/>
  <c r="K5773" i="3"/>
  <c r="L5773" i="3" s="1"/>
  <c r="O5773" i="3"/>
  <c r="P5773" i="3"/>
  <c r="K5774" i="3"/>
  <c r="L5774" i="3" s="1"/>
  <c r="O5774" i="3"/>
  <c r="P5774" i="3"/>
  <c r="K5775" i="3"/>
  <c r="L5775" i="3" s="1"/>
  <c r="O5775" i="3"/>
  <c r="P5775" i="3"/>
  <c r="K5776" i="3"/>
  <c r="L5776" i="3" s="1"/>
  <c r="O5776" i="3"/>
  <c r="P5776" i="3"/>
  <c r="K5777" i="3"/>
  <c r="L5777" i="3" s="1"/>
  <c r="O5777" i="3"/>
  <c r="P5777" i="3"/>
  <c r="K5778" i="3"/>
  <c r="L5778" i="3" s="1"/>
  <c r="O5778" i="3"/>
  <c r="P5778" i="3"/>
  <c r="K5779" i="3"/>
  <c r="L5779" i="3" s="1"/>
  <c r="O5779" i="3"/>
  <c r="P5779" i="3"/>
  <c r="K5780" i="3"/>
  <c r="L5780" i="3" s="1"/>
  <c r="O5780" i="3"/>
  <c r="P5780" i="3"/>
  <c r="K5781" i="3"/>
  <c r="L5781" i="3" s="1"/>
  <c r="O5781" i="3"/>
  <c r="P5781" i="3"/>
  <c r="K5782" i="3"/>
  <c r="L5782" i="3" s="1"/>
  <c r="O5782" i="3"/>
  <c r="P5782" i="3"/>
  <c r="K5783" i="3"/>
  <c r="L5783" i="3" s="1"/>
  <c r="O5783" i="3"/>
  <c r="P5783" i="3"/>
  <c r="K5784" i="3"/>
  <c r="L5784" i="3" s="1"/>
  <c r="O5784" i="3"/>
  <c r="P5784" i="3"/>
  <c r="K5785" i="3"/>
  <c r="L5785" i="3" s="1"/>
  <c r="O5785" i="3"/>
  <c r="P5785" i="3"/>
  <c r="K5786" i="3"/>
  <c r="L5786" i="3" s="1"/>
  <c r="O5786" i="3"/>
  <c r="P5786" i="3"/>
  <c r="K5787" i="3"/>
  <c r="L5787" i="3" s="1"/>
  <c r="O5787" i="3"/>
  <c r="P5787" i="3"/>
  <c r="K5788" i="3"/>
  <c r="L5788" i="3" s="1"/>
  <c r="O5788" i="3"/>
  <c r="P5788" i="3"/>
  <c r="K5789" i="3"/>
  <c r="L5789" i="3" s="1"/>
  <c r="O5789" i="3"/>
  <c r="P5789" i="3"/>
  <c r="K5790" i="3"/>
  <c r="L5790" i="3" s="1"/>
  <c r="O5790" i="3"/>
  <c r="P5790" i="3"/>
  <c r="K5791" i="3"/>
  <c r="L5791" i="3" s="1"/>
  <c r="O5791" i="3"/>
  <c r="P5791" i="3"/>
  <c r="K5792" i="3"/>
  <c r="L5792" i="3" s="1"/>
  <c r="O5792" i="3"/>
  <c r="P5792" i="3"/>
  <c r="K5793" i="3"/>
  <c r="L5793" i="3" s="1"/>
  <c r="O5793" i="3"/>
  <c r="P5793" i="3"/>
  <c r="K5794" i="3"/>
  <c r="L5794" i="3" s="1"/>
  <c r="O5794" i="3"/>
  <c r="P5794" i="3"/>
  <c r="K5795" i="3"/>
  <c r="L5795" i="3" s="1"/>
  <c r="O5795" i="3"/>
  <c r="P5795" i="3"/>
  <c r="K5796" i="3"/>
  <c r="L5796" i="3" s="1"/>
  <c r="O5796" i="3"/>
  <c r="P5796" i="3"/>
  <c r="K5797" i="3"/>
  <c r="L5797" i="3" s="1"/>
  <c r="O5797" i="3"/>
  <c r="P5797" i="3"/>
  <c r="K5798" i="3"/>
  <c r="L5798" i="3" s="1"/>
  <c r="O5798" i="3"/>
  <c r="P5798" i="3"/>
  <c r="K5799" i="3"/>
  <c r="L5799" i="3" s="1"/>
  <c r="O5799" i="3"/>
  <c r="P5799" i="3"/>
  <c r="K5800" i="3"/>
  <c r="L5800" i="3" s="1"/>
  <c r="O5800" i="3"/>
  <c r="P5800" i="3"/>
  <c r="K5801" i="3"/>
  <c r="L5801" i="3" s="1"/>
  <c r="O5801" i="3"/>
  <c r="P5801" i="3"/>
  <c r="K5802" i="3"/>
  <c r="L5802" i="3" s="1"/>
  <c r="O5802" i="3"/>
  <c r="P5802" i="3"/>
  <c r="K5803" i="3"/>
  <c r="L5803" i="3" s="1"/>
  <c r="O5803" i="3"/>
  <c r="P5803" i="3"/>
  <c r="K5804" i="3"/>
  <c r="L5804" i="3" s="1"/>
  <c r="O5804" i="3"/>
  <c r="P5804" i="3"/>
  <c r="K5805" i="3"/>
  <c r="L5805" i="3" s="1"/>
  <c r="O5805" i="3"/>
  <c r="P5805" i="3"/>
  <c r="K5806" i="3"/>
  <c r="L5806" i="3" s="1"/>
  <c r="O5806" i="3"/>
  <c r="P5806" i="3"/>
  <c r="K5807" i="3"/>
  <c r="L5807" i="3" s="1"/>
  <c r="O5807" i="3"/>
  <c r="P5807" i="3"/>
  <c r="K5808" i="3"/>
  <c r="L5808" i="3" s="1"/>
  <c r="O5808" i="3"/>
  <c r="P5808" i="3"/>
  <c r="K5809" i="3"/>
  <c r="L5809" i="3" s="1"/>
  <c r="O5809" i="3"/>
  <c r="P5809" i="3"/>
  <c r="K5810" i="3"/>
  <c r="L5810" i="3" s="1"/>
  <c r="O5810" i="3"/>
  <c r="P5810" i="3"/>
  <c r="K5811" i="3"/>
  <c r="L5811" i="3" s="1"/>
  <c r="O5811" i="3"/>
  <c r="P5811" i="3"/>
  <c r="K5812" i="3"/>
  <c r="L5812" i="3" s="1"/>
  <c r="O5812" i="3"/>
  <c r="P5812" i="3"/>
  <c r="K5813" i="3"/>
  <c r="L5813" i="3" s="1"/>
  <c r="O5813" i="3"/>
  <c r="P5813" i="3"/>
  <c r="K5814" i="3"/>
  <c r="L5814" i="3" s="1"/>
  <c r="O5814" i="3"/>
  <c r="P5814" i="3"/>
  <c r="K5815" i="3"/>
  <c r="L5815" i="3" s="1"/>
  <c r="O5815" i="3"/>
  <c r="P5815" i="3"/>
  <c r="K5816" i="3"/>
  <c r="L5816" i="3" s="1"/>
  <c r="O5816" i="3"/>
  <c r="P5816" i="3"/>
  <c r="K5817" i="3"/>
  <c r="L5817" i="3" s="1"/>
  <c r="O5817" i="3"/>
  <c r="P5817" i="3"/>
  <c r="K5818" i="3"/>
  <c r="L5818" i="3" s="1"/>
  <c r="O5818" i="3"/>
  <c r="P5818" i="3"/>
  <c r="K5819" i="3"/>
  <c r="L5819" i="3" s="1"/>
  <c r="O5819" i="3"/>
  <c r="P5819" i="3"/>
  <c r="K5820" i="3"/>
  <c r="L5820" i="3" s="1"/>
  <c r="O5820" i="3"/>
  <c r="P5820" i="3"/>
  <c r="K5821" i="3"/>
  <c r="L5821" i="3" s="1"/>
  <c r="O5821" i="3"/>
  <c r="P5821" i="3"/>
  <c r="K5822" i="3"/>
  <c r="L5822" i="3" s="1"/>
  <c r="O5822" i="3"/>
  <c r="P5822" i="3"/>
  <c r="K5823" i="3"/>
  <c r="L5823" i="3" s="1"/>
  <c r="O5823" i="3"/>
  <c r="P5823" i="3"/>
  <c r="K5824" i="3"/>
  <c r="L5824" i="3" s="1"/>
  <c r="O5824" i="3"/>
  <c r="P5824" i="3"/>
  <c r="K5825" i="3"/>
  <c r="L5825" i="3" s="1"/>
  <c r="O5825" i="3"/>
  <c r="P5825" i="3"/>
  <c r="K5826" i="3"/>
  <c r="L5826" i="3" s="1"/>
  <c r="O5826" i="3"/>
  <c r="P5826" i="3"/>
  <c r="K5827" i="3"/>
  <c r="L5827" i="3" s="1"/>
  <c r="O5827" i="3"/>
  <c r="P5827" i="3"/>
  <c r="K5828" i="3"/>
  <c r="L5828" i="3" s="1"/>
  <c r="O5828" i="3"/>
  <c r="P5828" i="3"/>
  <c r="K5829" i="3"/>
  <c r="L5829" i="3" s="1"/>
  <c r="O5829" i="3"/>
  <c r="P5829" i="3"/>
  <c r="K5830" i="3"/>
  <c r="L5830" i="3" s="1"/>
  <c r="O5830" i="3"/>
  <c r="P5830" i="3"/>
  <c r="K5831" i="3"/>
  <c r="L5831" i="3" s="1"/>
  <c r="O5831" i="3"/>
  <c r="P5831" i="3"/>
  <c r="K5832" i="3"/>
  <c r="L5832" i="3" s="1"/>
  <c r="O5832" i="3"/>
  <c r="P5832" i="3"/>
  <c r="K5833" i="3"/>
  <c r="L5833" i="3" s="1"/>
  <c r="O5833" i="3"/>
  <c r="P5833" i="3"/>
  <c r="K5834" i="3"/>
  <c r="L5834" i="3" s="1"/>
  <c r="O5834" i="3"/>
  <c r="P5834" i="3"/>
  <c r="K5835" i="3"/>
  <c r="L5835" i="3" s="1"/>
  <c r="O5835" i="3"/>
  <c r="P5835" i="3"/>
  <c r="K5836" i="3"/>
  <c r="L5836" i="3" s="1"/>
  <c r="O5836" i="3"/>
  <c r="P5836" i="3"/>
  <c r="K5837" i="3"/>
  <c r="L5837" i="3" s="1"/>
  <c r="O5837" i="3"/>
  <c r="P5837" i="3"/>
  <c r="K5838" i="3"/>
  <c r="L5838" i="3" s="1"/>
  <c r="O5838" i="3"/>
  <c r="P5838" i="3"/>
  <c r="K5839" i="3"/>
  <c r="L5839" i="3" s="1"/>
  <c r="O5839" i="3"/>
  <c r="P5839" i="3"/>
  <c r="K5840" i="3"/>
  <c r="L5840" i="3" s="1"/>
  <c r="O5840" i="3"/>
  <c r="P5840" i="3"/>
  <c r="K5841" i="3"/>
  <c r="L5841" i="3" s="1"/>
  <c r="O5841" i="3"/>
  <c r="P5841" i="3"/>
  <c r="K5842" i="3"/>
  <c r="L5842" i="3" s="1"/>
  <c r="O5842" i="3"/>
  <c r="P5842" i="3"/>
  <c r="K5843" i="3"/>
  <c r="L5843" i="3" s="1"/>
  <c r="O5843" i="3"/>
  <c r="P5843" i="3"/>
  <c r="K5844" i="3"/>
  <c r="L5844" i="3" s="1"/>
  <c r="O5844" i="3"/>
  <c r="P5844" i="3"/>
  <c r="K5845" i="3"/>
  <c r="L5845" i="3" s="1"/>
  <c r="O5845" i="3"/>
  <c r="P5845" i="3"/>
  <c r="K5846" i="3"/>
  <c r="L5846" i="3" s="1"/>
  <c r="O5846" i="3"/>
  <c r="P5846" i="3"/>
  <c r="K5847" i="3"/>
  <c r="L5847" i="3" s="1"/>
  <c r="O5847" i="3"/>
  <c r="P5847" i="3"/>
  <c r="K5848" i="3"/>
  <c r="L5848" i="3" s="1"/>
  <c r="O5848" i="3"/>
  <c r="P5848" i="3"/>
  <c r="K5849" i="3"/>
  <c r="L5849" i="3" s="1"/>
  <c r="O5849" i="3"/>
  <c r="P5849" i="3"/>
  <c r="K5850" i="3"/>
  <c r="L5850" i="3" s="1"/>
  <c r="O5850" i="3"/>
  <c r="P5850" i="3"/>
  <c r="K5851" i="3"/>
  <c r="L5851" i="3" s="1"/>
  <c r="O5851" i="3"/>
  <c r="P5851" i="3"/>
  <c r="K5852" i="3"/>
  <c r="L5852" i="3" s="1"/>
  <c r="O5852" i="3"/>
  <c r="P5852" i="3"/>
  <c r="K5853" i="3"/>
  <c r="L5853" i="3" s="1"/>
  <c r="O5853" i="3"/>
  <c r="P5853" i="3"/>
  <c r="K5854" i="3"/>
  <c r="L5854" i="3" s="1"/>
  <c r="O5854" i="3"/>
  <c r="P5854" i="3"/>
  <c r="K5855" i="3"/>
  <c r="L5855" i="3" s="1"/>
  <c r="O5855" i="3"/>
  <c r="P5855" i="3"/>
  <c r="K5856" i="3"/>
  <c r="L5856" i="3" s="1"/>
  <c r="O5856" i="3"/>
  <c r="P5856" i="3"/>
  <c r="K5857" i="3"/>
  <c r="L5857" i="3" s="1"/>
  <c r="O5857" i="3"/>
  <c r="P5857" i="3"/>
  <c r="K5858" i="3"/>
  <c r="L5858" i="3" s="1"/>
  <c r="O5858" i="3"/>
  <c r="P5858" i="3"/>
  <c r="K5859" i="3"/>
  <c r="L5859" i="3" s="1"/>
  <c r="O5859" i="3"/>
  <c r="P5859" i="3"/>
  <c r="K5860" i="3"/>
  <c r="L5860" i="3" s="1"/>
  <c r="O5860" i="3"/>
  <c r="P5860" i="3"/>
  <c r="K5861" i="3"/>
  <c r="L5861" i="3" s="1"/>
  <c r="O5861" i="3"/>
  <c r="P5861" i="3"/>
  <c r="K5862" i="3"/>
  <c r="L5862" i="3" s="1"/>
  <c r="O5862" i="3"/>
  <c r="P5862" i="3"/>
  <c r="K5863" i="3"/>
  <c r="L5863" i="3" s="1"/>
  <c r="O5863" i="3"/>
  <c r="P5863" i="3"/>
  <c r="K5864" i="3"/>
  <c r="L5864" i="3" s="1"/>
  <c r="O5864" i="3"/>
  <c r="P5864" i="3"/>
  <c r="K5865" i="3"/>
  <c r="L5865" i="3" s="1"/>
  <c r="O5865" i="3"/>
  <c r="P5865" i="3"/>
  <c r="K5866" i="3"/>
  <c r="L5866" i="3" s="1"/>
  <c r="O5866" i="3"/>
  <c r="P5866" i="3"/>
  <c r="K5867" i="3"/>
  <c r="L5867" i="3" s="1"/>
  <c r="O5867" i="3"/>
  <c r="P5867" i="3"/>
  <c r="K5868" i="3"/>
  <c r="L5868" i="3" s="1"/>
  <c r="O5868" i="3"/>
  <c r="P5868" i="3"/>
  <c r="K5869" i="3"/>
  <c r="L5869" i="3" s="1"/>
  <c r="O5869" i="3"/>
  <c r="P5869" i="3"/>
  <c r="K5870" i="3"/>
  <c r="L5870" i="3" s="1"/>
  <c r="O5870" i="3"/>
  <c r="P5870" i="3"/>
  <c r="K5871" i="3"/>
  <c r="L5871" i="3" s="1"/>
  <c r="O5871" i="3"/>
  <c r="P5871" i="3"/>
  <c r="K5872" i="3"/>
  <c r="L5872" i="3" s="1"/>
  <c r="O5872" i="3"/>
  <c r="P5872" i="3"/>
  <c r="K5873" i="3"/>
  <c r="L5873" i="3" s="1"/>
  <c r="O5873" i="3"/>
  <c r="P5873" i="3"/>
  <c r="K5874" i="3"/>
  <c r="L5874" i="3" s="1"/>
  <c r="O5874" i="3"/>
  <c r="P5874" i="3"/>
  <c r="K5875" i="3"/>
  <c r="L5875" i="3" s="1"/>
  <c r="O5875" i="3"/>
  <c r="P5875" i="3"/>
  <c r="K5876" i="3"/>
  <c r="L5876" i="3" s="1"/>
  <c r="O5876" i="3"/>
  <c r="P5876" i="3"/>
  <c r="K5877" i="3"/>
  <c r="L5877" i="3" s="1"/>
  <c r="O5877" i="3"/>
  <c r="P5877" i="3"/>
  <c r="K5878" i="3"/>
  <c r="L5878" i="3" s="1"/>
  <c r="O5878" i="3"/>
  <c r="P5878" i="3"/>
  <c r="K5879" i="3"/>
  <c r="L5879" i="3" s="1"/>
  <c r="O5879" i="3"/>
  <c r="P5879" i="3"/>
  <c r="K5880" i="3"/>
  <c r="L5880" i="3" s="1"/>
  <c r="O5880" i="3"/>
  <c r="P5880" i="3"/>
  <c r="K5881" i="3"/>
  <c r="L5881" i="3" s="1"/>
  <c r="O5881" i="3"/>
  <c r="P5881" i="3"/>
  <c r="K5882" i="3"/>
  <c r="L5882" i="3" s="1"/>
  <c r="O5882" i="3"/>
  <c r="P5882" i="3"/>
  <c r="K5883" i="3"/>
  <c r="L5883" i="3" s="1"/>
  <c r="O5883" i="3"/>
  <c r="P5883" i="3"/>
  <c r="K5884" i="3"/>
  <c r="L5884" i="3" s="1"/>
  <c r="O5884" i="3"/>
  <c r="P5884" i="3"/>
  <c r="K5885" i="3"/>
  <c r="L5885" i="3" s="1"/>
  <c r="O5885" i="3"/>
  <c r="P5885" i="3"/>
  <c r="K5886" i="3"/>
  <c r="L5886" i="3" s="1"/>
  <c r="O5886" i="3"/>
  <c r="P5886" i="3"/>
  <c r="K5887" i="3"/>
  <c r="L5887" i="3" s="1"/>
  <c r="O5887" i="3"/>
  <c r="P5887" i="3"/>
  <c r="K5888" i="3"/>
  <c r="L5888" i="3" s="1"/>
  <c r="O5888" i="3"/>
  <c r="P5888" i="3"/>
  <c r="K5889" i="3"/>
  <c r="L5889" i="3" s="1"/>
  <c r="O5889" i="3"/>
  <c r="P5889" i="3"/>
  <c r="K5890" i="3"/>
  <c r="L5890" i="3" s="1"/>
  <c r="O5890" i="3"/>
  <c r="P5890" i="3"/>
  <c r="K5891" i="3"/>
  <c r="L5891" i="3" s="1"/>
  <c r="O5891" i="3"/>
  <c r="P5891" i="3"/>
  <c r="K5892" i="3"/>
  <c r="L5892" i="3" s="1"/>
  <c r="O5892" i="3"/>
  <c r="P5892" i="3"/>
  <c r="K5893" i="3"/>
  <c r="L5893" i="3" s="1"/>
  <c r="O5893" i="3"/>
  <c r="P5893" i="3"/>
  <c r="K5894" i="3"/>
  <c r="L5894" i="3" s="1"/>
  <c r="O5894" i="3"/>
  <c r="P5894" i="3"/>
  <c r="K5895" i="3"/>
  <c r="L5895" i="3" s="1"/>
  <c r="O5895" i="3"/>
  <c r="P5895" i="3"/>
  <c r="K5896" i="3"/>
  <c r="L5896" i="3" s="1"/>
  <c r="O5896" i="3"/>
  <c r="P5896" i="3"/>
  <c r="K5897" i="3"/>
  <c r="L5897" i="3" s="1"/>
  <c r="O5897" i="3"/>
  <c r="P5897" i="3"/>
  <c r="K5898" i="3"/>
  <c r="L5898" i="3" s="1"/>
  <c r="O5898" i="3"/>
  <c r="P5898" i="3"/>
  <c r="K5899" i="3"/>
  <c r="L5899" i="3" s="1"/>
  <c r="O5899" i="3"/>
  <c r="P5899" i="3"/>
  <c r="K5900" i="3"/>
  <c r="L5900" i="3" s="1"/>
  <c r="O5900" i="3"/>
  <c r="P5900" i="3"/>
  <c r="K5901" i="3"/>
  <c r="L5901" i="3" s="1"/>
  <c r="O5901" i="3"/>
  <c r="P5901" i="3"/>
  <c r="K5902" i="3"/>
  <c r="L5902" i="3" s="1"/>
  <c r="O5902" i="3"/>
  <c r="P5902" i="3"/>
  <c r="K5903" i="3"/>
  <c r="L5903" i="3" s="1"/>
  <c r="O5903" i="3"/>
  <c r="P5903" i="3"/>
  <c r="K5904" i="3"/>
  <c r="L5904" i="3" s="1"/>
  <c r="O5904" i="3"/>
  <c r="P5904" i="3"/>
  <c r="K5905" i="3"/>
  <c r="L5905" i="3" s="1"/>
  <c r="O5905" i="3"/>
  <c r="P5905" i="3"/>
  <c r="K5906" i="3"/>
  <c r="L5906" i="3" s="1"/>
  <c r="O5906" i="3"/>
  <c r="P5906" i="3"/>
  <c r="K5907" i="3"/>
  <c r="L5907" i="3" s="1"/>
  <c r="O5907" i="3"/>
  <c r="P5907" i="3"/>
  <c r="K5908" i="3"/>
  <c r="L5908" i="3" s="1"/>
  <c r="O5908" i="3"/>
  <c r="P5908" i="3"/>
  <c r="K5909" i="3"/>
  <c r="L5909" i="3" s="1"/>
  <c r="O5909" i="3"/>
  <c r="P5909" i="3"/>
  <c r="K5910" i="3"/>
  <c r="L5910" i="3" s="1"/>
  <c r="O5910" i="3"/>
  <c r="P5910" i="3"/>
  <c r="K5911" i="3"/>
  <c r="L5911" i="3" s="1"/>
  <c r="O5911" i="3"/>
  <c r="P5911" i="3"/>
  <c r="K5912" i="3"/>
  <c r="L5912" i="3" s="1"/>
  <c r="O5912" i="3"/>
  <c r="P5912" i="3"/>
  <c r="K5913" i="3"/>
  <c r="L5913" i="3" s="1"/>
  <c r="O5913" i="3"/>
  <c r="P5913" i="3"/>
  <c r="K5914" i="3"/>
  <c r="L5914" i="3" s="1"/>
  <c r="O5914" i="3"/>
  <c r="P5914" i="3"/>
  <c r="K5915" i="3"/>
  <c r="L5915" i="3" s="1"/>
  <c r="O5915" i="3"/>
  <c r="P5915" i="3"/>
  <c r="K5916" i="3"/>
  <c r="L5916" i="3" s="1"/>
  <c r="O5916" i="3"/>
  <c r="P5916" i="3"/>
  <c r="K5917" i="3"/>
  <c r="L5917" i="3" s="1"/>
  <c r="O5917" i="3"/>
  <c r="P5917" i="3"/>
  <c r="K5918" i="3"/>
  <c r="L5918" i="3" s="1"/>
  <c r="O5918" i="3"/>
  <c r="P5918" i="3"/>
  <c r="K5919" i="3"/>
  <c r="L5919" i="3" s="1"/>
  <c r="O5919" i="3"/>
  <c r="P5919" i="3"/>
  <c r="K5920" i="3"/>
  <c r="L5920" i="3" s="1"/>
  <c r="O5920" i="3"/>
  <c r="P5920" i="3"/>
  <c r="K5921" i="3"/>
  <c r="L5921" i="3" s="1"/>
  <c r="O5921" i="3"/>
  <c r="P5921" i="3"/>
  <c r="K5922" i="3"/>
  <c r="L5922" i="3" s="1"/>
  <c r="O5922" i="3"/>
  <c r="P5922" i="3"/>
  <c r="K5923" i="3"/>
  <c r="L5923" i="3" s="1"/>
  <c r="O5923" i="3"/>
  <c r="P5923" i="3"/>
  <c r="K5924" i="3"/>
  <c r="L5924" i="3" s="1"/>
  <c r="O5924" i="3"/>
  <c r="P5924" i="3"/>
  <c r="K5925" i="3"/>
  <c r="L5925" i="3" s="1"/>
  <c r="O5925" i="3"/>
  <c r="P5925" i="3"/>
  <c r="K5926" i="3"/>
  <c r="L5926" i="3" s="1"/>
  <c r="O5926" i="3"/>
  <c r="P5926" i="3"/>
  <c r="K5927" i="3"/>
  <c r="L5927" i="3" s="1"/>
  <c r="O5927" i="3"/>
  <c r="P5927" i="3"/>
  <c r="K5928" i="3"/>
  <c r="L5928" i="3" s="1"/>
  <c r="O5928" i="3"/>
  <c r="P5928" i="3"/>
  <c r="K5929" i="3"/>
  <c r="L5929" i="3" s="1"/>
  <c r="O5929" i="3"/>
  <c r="P5929" i="3"/>
  <c r="K5930" i="3"/>
  <c r="L5930" i="3" s="1"/>
  <c r="O5930" i="3"/>
  <c r="P5930" i="3"/>
  <c r="K5931" i="3"/>
  <c r="L5931" i="3" s="1"/>
  <c r="O5931" i="3"/>
  <c r="P5931" i="3"/>
  <c r="K5932" i="3"/>
  <c r="L5932" i="3" s="1"/>
  <c r="O5932" i="3"/>
  <c r="P5932" i="3"/>
  <c r="K5933" i="3"/>
  <c r="L5933" i="3" s="1"/>
  <c r="O5933" i="3"/>
  <c r="P5933" i="3"/>
  <c r="K5934" i="3"/>
  <c r="L5934" i="3" s="1"/>
  <c r="O5934" i="3"/>
  <c r="P5934" i="3"/>
  <c r="K5935" i="3"/>
  <c r="L5935" i="3" s="1"/>
  <c r="O5935" i="3"/>
  <c r="P5935" i="3"/>
  <c r="K5936" i="3"/>
  <c r="L5936" i="3" s="1"/>
  <c r="O5936" i="3"/>
  <c r="P5936" i="3"/>
  <c r="K5937" i="3"/>
  <c r="L5937" i="3" s="1"/>
  <c r="O5937" i="3"/>
  <c r="P5937" i="3"/>
  <c r="K5938" i="3"/>
  <c r="L5938" i="3" s="1"/>
  <c r="O5938" i="3"/>
  <c r="P5938" i="3"/>
  <c r="K5939" i="3"/>
  <c r="L5939" i="3" s="1"/>
  <c r="O5939" i="3"/>
  <c r="P5939" i="3"/>
  <c r="K5940" i="3"/>
  <c r="L5940" i="3" s="1"/>
  <c r="O5940" i="3"/>
  <c r="P5940" i="3"/>
  <c r="K5941" i="3"/>
  <c r="L5941" i="3" s="1"/>
  <c r="O5941" i="3"/>
  <c r="P5941" i="3"/>
  <c r="K5942" i="3"/>
  <c r="L5942" i="3" s="1"/>
  <c r="O5942" i="3"/>
  <c r="P5942" i="3"/>
  <c r="K5943" i="3"/>
  <c r="L5943" i="3" s="1"/>
  <c r="O5943" i="3"/>
  <c r="P5943" i="3"/>
  <c r="K5944" i="3"/>
  <c r="L5944" i="3" s="1"/>
  <c r="O5944" i="3"/>
  <c r="P5944" i="3"/>
  <c r="K5945" i="3"/>
  <c r="L5945" i="3" s="1"/>
  <c r="O5945" i="3"/>
  <c r="P5945" i="3"/>
  <c r="K5946" i="3"/>
  <c r="L5946" i="3" s="1"/>
  <c r="O5946" i="3"/>
  <c r="P5946" i="3"/>
  <c r="K5947" i="3"/>
  <c r="L5947" i="3" s="1"/>
  <c r="O5947" i="3"/>
  <c r="P5947" i="3"/>
  <c r="K5948" i="3"/>
  <c r="L5948" i="3" s="1"/>
  <c r="O5948" i="3"/>
  <c r="P5948" i="3"/>
  <c r="K5949" i="3"/>
  <c r="L5949" i="3" s="1"/>
  <c r="O5949" i="3"/>
  <c r="P5949" i="3"/>
  <c r="K5950" i="3"/>
  <c r="L5950" i="3" s="1"/>
  <c r="O5950" i="3"/>
  <c r="P5950" i="3"/>
  <c r="K5951" i="3"/>
  <c r="L5951" i="3" s="1"/>
  <c r="O5951" i="3"/>
  <c r="P5951" i="3"/>
  <c r="K5952" i="3"/>
  <c r="L5952" i="3" s="1"/>
  <c r="O5952" i="3"/>
  <c r="P5952" i="3"/>
  <c r="K5953" i="3"/>
  <c r="L5953" i="3" s="1"/>
  <c r="O5953" i="3"/>
  <c r="P5953" i="3"/>
  <c r="K5954" i="3"/>
  <c r="L5954" i="3" s="1"/>
  <c r="O5954" i="3"/>
  <c r="P5954" i="3"/>
  <c r="K5955" i="3"/>
  <c r="L5955" i="3" s="1"/>
  <c r="O5955" i="3"/>
  <c r="P5955" i="3"/>
  <c r="K5956" i="3"/>
  <c r="L5956" i="3" s="1"/>
  <c r="O5956" i="3"/>
  <c r="P5956" i="3"/>
  <c r="K5957" i="3"/>
  <c r="L5957" i="3" s="1"/>
  <c r="O5957" i="3"/>
  <c r="P5957" i="3"/>
  <c r="K5958" i="3"/>
  <c r="L5958" i="3" s="1"/>
  <c r="O5958" i="3"/>
  <c r="P5958" i="3"/>
  <c r="K5959" i="3"/>
  <c r="L5959" i="3" s="1"/>
  <c r="O5959" i="3"/>
  <c r="P5959" i="3"/>
  <c r="K5960" i="3"/>
  <c r="L5960" i="3" s="1"/>
  <c r="O5960" i="3"/>
  <c r="P5960" i="3"/>
  <c r="K5961" i="3"/>
  <c r="L5961" i="3" s="1"/>
  <c r="O5961" i="3"/>
  <c r="P5961" i="3"/>
  <c r="K5962" i="3"/>
  <c r="L5962" i="3" s="1"/>
  <c r="O5962" i="3"/>
  <c r="P5962" i="3"/>
  <c r="K5963" i="3"/>
  <c r="L5963" i="3" s="1"/>
  <c r="O5963" i="3"/>
  <c r="P5963" i="3"/>
  <c r="K5964" i="3"/>
  <c r="L5964" i="3" s="1"/>
  <c r="O5964" i="3"/>
  <c r="P5964" i="3"/>
  <c r="K5965" i="3"/>
  <c r="L5965" i="3" s="1"/>
  <c r="O5965" i="3"/>
  <c r="P5965" i="3"/>
  <c r="K5966" i="3"/>
  <c r="L5966" i="3" s="1"/>
  <c r="O5966" i="3"/>
  <c r="P5966" i="3"/>
  <c r="K5967" i="3"/>
  <c r="L5967" i="3" s="1"/>
  <c r="O5967" i="3"/>
  <c r="P5967" i="3"/>
  <c r="K5968" i="3"/>
  <c r="L5968" i="3" s="1"/>
  <c r="O5968" i="3"/>
  <c r="P5968" i="3"/>
  <c r="K5969" i="3"/>
  <c r="L5969" i="3" s="1"/>
  <c r="O5969" i="3"/>
  <c r="P5969" i="3"/>
  <c r="K5970" i="3"/>
  <c r="L5970" i="3" s="1"/>
  <c r="O5970" i="3"/>
  <c r="P5970" i="3"/>
  <c r="K5971" i="3"/>
  <c r="L5971" i="3" s="1"/>
  <c r="O5971" i="3"/>
  <c r="P5971" i="3"/>
  <c r="K5972" i="3"/>
  <c r="L5972" i="3" s="1"/>
  <c r="O5972" i="3"/>
  <c r="P5972" i="3"/>
  <c r="K5973" i="3"/>
  <c r="L5973" i="3" s="1"/>
  <c r="O5973" i="3"/>
  <c r="P5973" i="3"/>
  <c r="K5974" i="3"/>
  <c r="L5974" i="3" s="1"/>
  <c r="O5974" i="3"/>
  <c r="P5974" i="3"/>
  <c r="K5975" i="3"/>
  <c r="L5975" i="3" s="1"/>
  <c r="O5975" i="3"/>
  <c r="P5975" i="3"/>
  <c r="K5976" i="3"/>
  <c r="L5976" i="3" s="1"/>
  <c r="O5976" i="3"/>
  <c r="P5976" i="3"/>
  <c r="K5977" i="3"/>
  <c r="L5977" i="3" s="1"/>
  <c r="O5977" i="3"/>
  <c r="P5977" i="3"/>
  <c r="K5978" i="3"/>
  <c r="L5978" i="3" s="1"/>
  <c r="O5978" i="3"/>
  <c r="P5978" i="3"/>
  <c r="K5979" i="3"/>
  <c r="L5979" i="3" s="1"/>
  <c r="O5979" i="3"/>
  <c r="P5979" i="3"/>
  <c r="K5980" i="3"/>
  <c r="L5980" i="3" s="1"/>
  <c r="O5980" i="3"/>
  <c r="P5980" i="3"/>
  <c r="K5981" i="3"/>
  <c r="L5981" i="3" s="1"/>
  <c r="O5981" i="3"/>
  <c r="P5981" i="3"/>
  <c r="K5982" i="3"/>
  <c r="L5982" i="3" s="1"/>
  <c r="O5982" i="3"/>
  <c r="P5982" i="3"/>
  <c r="K5983" i="3"/>
  <c r="L5983" i="3" s="1"/>
  <c r="O5983" i="3"/>
  <c r="P5983" i="3"/>
  <c r="K5984" i="3"/>
  <c r="L5984" i="3" s="1"/>
  <c r="O5984" i="3"/>
  <c r="P5984" i="3"/>
  <c r="K5985" i="3"/>
  <c r="L5985" i="3" s="1"/>
  <c r="O5985" i="3"/>
  <c r="P5985" i="3"/>
  <c r="K5986" i="3"/>
  <c r="L5986" i="3" s="1"/>
  <c r="O5986" i="3"/>
  <c r="P5986" i="3"/>
  <c r="K5987" i="3"/>
  <c r="L5987" i="3" s="1"/>
  <c r="O5987" i="3"/>
  <c r="P5987" i="3"/>
  <c r="K5988" i="3"/>
  <c r="L5988" i="3" s="1"/>
  <c r="O5988" i="3"/>
  <c r="P5988" i="3"/>
  <c r="K5989" i="3"/>
  <c r="L5989" i="3" s="1"/>
  <c r="O5989" i="3"/>
  <c r="P5989" i="3"/>
  <c r="K5990" i="3"/>
  <c r="L5990" i="3" s="1"/>
  <c r="O5990" i="3"/>
  <c r="P5990" i="3"/>
  <c r="K5991" i="3"/>
  <c r="L5991" i="3" s="1"/>
  <c r="O5991" i="3"/>
  <c r="P5991" i="3"/>
  <c r="K5992" i="3"/>
  <c r="L5992" i="3" s="1"/>
  <c r="O5992" i="3"/>
  <c r="P5992" i="3"/>
  <c r="K5993" i="3"/>
  <c r="L5993" i="3" s="1"/>
  <c r="O5993" i="3"/>
  <c r="P5993" i="3"/>
  <c r="K5994" i="3"/>
  <c r="L5994" i="3" s="1"/>
  <c r="O5994" i="3"/>
  <c r="P5994" i="3"/>
  <c r="K5995" i="3"/>
  <c r="L5995" i="3" s="1"/>
  <c r="O5995" i="3"/>
  <c r="P5995" i="3"/>
  <c r="K5996" i="3"/>
  <c r="L5996" i="3" s="1"/>
  <c r="O5996" i="3"/>
  <c r="P5996" i="3"/>
  <c r="K5997" i="3"/>
  <c r="L5997" i="3" s="1"/>
  <c r="O5997" i="3"/>
  <c r="P5997" i="3"/>
  <c r="K5998" i="3"/>
  <c r="L5998" i="3" s="1"/>
  <c r="O5998" i="3"/>
  <c r="P5998" i="3"/>
  <c r="K5999" i="3"/>
  <c r="L5999" i="3" s="1"/>
  <c r="O5999" i="3"/>
  <c r="P5999" i="3"/>
  <c r="K6000" i="3"/>
  <c r="L6000" i="3" s="1"/>
  <c r="O6000" i="3"/>
  <c r="P6000" i="3"/>
  <c r="K6001" i="3"/>
  <c r="L6001" i="3" s="1"/>
  <c r="O6001" i="3"/>
  <c r="P6001" i="3"/>
  <c r="K6002" i="3"/>
  <c r="L6002" i="3" s="1"/>
  <c r="O6002" i="3"/>
  <c r="P6002" i="3"/>
  <c r="K6003" i="3"/>
  <c r="L6003" i="3" s="1"/>
  <c r="O6003" i="3"/>
  <c r="P6003" i="3"/>
  <c r="K6004" i="3"/>
  <c r="L6004" i="3" s="1"/>
  <c r="O6004" i="3"/>
  <c r="P6004" i="3"/>
  <c r="K6005" i="3"/>
  <c r="L6005" i="3" s="1"/>
  <c r="O6005" i="3"/>
  <c r="P6005" i="3"/>
  <c r="K6006" i="3"/>
  <c r="L6006" i="3" s="1"/>
  <c r="O6006" i="3"/>
  <c r="P6006" i="3"/>
  <c r="K6007" i="3"/>
  <c r="L6007" i="3" s="1"/>
  <c r="O6007" i="3"/>
  <c r="P6007" i="3"/>
  <c r="K6008" i="3"/>
  <c r="L6008" i="3" s="1"/>
  <c r="O6008" i="3"/>
  <c r="P6008" i="3"/>
  <c r="K6009" i="3"/>
  <c r="L6009" i="3" s="1"/>
  <c r="O6009" i="3"/>
  <c r="P6009" i="3"/>
  <c r="K6010" i="3"/>
  <c r="L6010" i="3" s="1"/>
  <c r="O6010" i="3"/>
  <c r="P6010" i="3"/>
  <c r="K6011" i="3"/>
  <c r="L6011" i="3" s="1"/>
  <c r="O6011" i="3"/>
  <c r="P6011" i="3"/>
  <c r="K6012" i="3"/>
  <c r="L6012" i="3" s="1"/>
  <c r="O6012" i="3"/>
  <c r="P6012" i="3"/>
  <c r="K6013" i="3"/>
  <c r="L6013" i="3" s="1"/>
  <c r="O6013" i="3"/>
  <c r="P6013" i="3"/>
  <c r="K6014" i="3"/>
  <c r="L6014" i="3" s="1"/>
  <c r="O6014" i="3"/>
  <c r="P6014" i="3"/>
  <c r="K6015" i="3"/>
  <c r="L6015" i="3" s="1"/>
  <c r="O6015" i="3"/>
  <c r="P6015" i="3"/>
  <c r="K6016" i="3"/>
  <c r="L6016" i="3" s="1"/>
  <c r="O6016" i="3"/>
  <c r="P6016" i="3"/>
  <c r="K6017" i="3"/>
  <c r="L6017" i="3" s="1"/>
  <c r="O6017" i="3"/>
  <c r="P6017" i="3"/>
  <c r="K6018" i="3"/>
  <c r="L6018" i="3" s="1"/>
  <c r="O6018" i="3"/>
  <c r="P6018" i="3"/>
  <c r="K6019" i="3"/>
  <c r="L6019" i="3" s="1"/>
  <c r="O6019" i="3"/>
  <c r="P6019" i="3"/>
  <c r="K6020" i="3"/>
  <c r="L6020" i="3" s="1"/>
  <c r="O6020" i="3"/>
  <c r="P6020" i="3"/>
  <c r="K6021" i="3"/>
  <c r="L6021" i="3" s="1"/>
  <c r="O6021" i="3"/>
  <c r="P6021" i="3"/>
  <c r="K6022" i="3"/>
  <c r="L6022" i="3" s="1"/>
  <c r="O6022" i="3"/>
  <c r="P6022" i="3"/>
  <c r="K6023" i="3"/>
  <c r="L6023" i="3" s="1"/>
  <c r="O6023" i="3"/>
  <c r="P6023" i="3"/>
  <c r="K6024" i="3"/>
  <c r="L6024" i="3" s="1"/>
  <c r="O6024" i="3"/>
  <c r="P6024" i="3"/>
  <c r="K6025" i="3"/>
  <c r="L6025" i="3" s="1"/>
  <c r="O6025" i="3"/>
  <c r="P6025" i="3"/>
  <c r="K6026" i="3"/>
  <c r="L6026" i="3" s="1"/>
  <c r="O6026" i="3"/>
  <c r="P6026" i="3"/>
  <c r="K6027" i="3"/>
  <c r="L6027" i="3" s="1"/>
  <c r="O6027" i="3"/>
  <c r="P6027" i="3"/>
  <c r="K6028" i="3"/>
  <c r="L6028" i="3" s="1"/>
  <c r="O6028" i="3"/>
  <c r="P6028" i="3"/>
  <c r="K6029" i="3"/>
  <c r="L6029" i="3" s="1"/>
  <c r="O6029" i="3"/>
  <c r="P6029" i="3"/>
  <c r="K6030" i="3"/>
  <c r="L6030" i="3" s="1"/>
  <c r="O6030" i="3"/>
  <c r="P6030" i="3"/>
  <c r="K6031" i="3"/>
  <c r="L6031" i="3" s="1"/>
  <c r="O6031" i="3"/>
  <c r="P6031" i="3"/>
  <c r="K6032" i="3"/>
  <c r="L6032" i="3" s="1"/>
  <c r="O6032" i="3"/>
  <c r="P6032" i="3"/>
  <c r="K6033" i="3"/>
  <c r="L6033" i="3" s="1"/>
  <c r="O6033" i="3"/>
  <c r="P6033" i="3"/>
  <c r="K6034" i="3"/>
  <c r="L6034" i="3" s="1"/>
  <c r="O6034" i="3"/>
  <c r="P6034" i="3"/>
  <c r="K6035" i="3"/>
  <c r="L6035" i="3" s="1"/>
  <c r="O6035" i="3"/>
  <c r="P6035" i="3"/>
  <c r="K6036" i="3"/>
  <c r="L6036" i="3" s="1"/>
  <c r="O6036" i="3"/>
  <c r="P6036" i="3"/>
  <c r="K6037" i="3"/>
  <c r="L6037" i="3" s="1"/>
  <c r="O6037" i="3"/>
  <c r="P6037" i="3"/>
  <c r="K6038" i="3"/>
  <c r="L6038" i="3" s="1"/>
  <c r="O6038" i="3"/>
  <c r="P6038" i="3"/>
  <c r="K6039" i="3"/>
  <c r="L6039" i="3" s="1"/>
  <c r="O6039" i="3"/>
  <c r="P6039" i="3"/>
  <c r="K6040" i="3"/>
  <c r="L6040" i="3" s="1"/>
  <c r="O6040" i="3"/>
  <c r="P6040" i="3"/>
  <c r="K6041" i="3"/>
  <c r="L6041" i="3" s="1"/>
  <c r="O6041" i="3"/>
  <c r="P6041" i="3"/>
  <c r="K6042" i="3"/>
  <c r="L6042" i="3" s="1"/>
  <c r="O6042" i="3"/>
  <c r="P6042" i="3"/>
  <c r="K6043" i="3"/>
  <c r="L6043" i="3" s="1"/>
  <c r="O6043" i="3"/>
  <c r="P6043" i="3"/>
  <c r="K6044" i="3"/>
  <c r="L6044" i="3" s="1"/>
  <c r="O6044" i="3"/>
  <c r="P6044" i="3"/>
  <c r="K6045" i="3"/>
  <c r="L6045" i="3" s="1"/>
  <c r="O6045" i="3"/>
  <c r="P6045" i="3"/>
  <c r="K6046" i="3"/>
  <c r="L6046" i="3" s="1"/>
  <c r="O6046" i="3"/>
  <c r="P6046" i="3"/>
  <c r="K6047" i="3"/>
  <c r="L6047" i="3" s="1"/>
  <c r="O6047" i="3"/>
  <c r="P6047" i="3"/>
  <c r="K6048" i="3"/>
  <c r="L6048" i="3" s="1"/>
  <c r="O6048" i="3"/>
  <c r="P6048" i="3"/>
  <c r="K6049" i="3"/>
  <c r="L6049" i="3" s="1"/>
  <c r="O6049" i="3"/>
  <c r="P6049" i="3"/>
  <c r="K6050" i="3"/>
  <c r="L6050" i="3" s="1"/>
  <c r="O6050" i="3"/>
  <c r="P6050" i="3"/>
  <c r="K6051" i="3"/>
  <c r="L6051" i="3" s="1"/>
  <c r="O6051" i="3"/>
  <c r="P6051" i="3"/>
  <c r="K6052" i="3"/>
  <c r="L6052" i="3" s="1"/>
  <c r="O6052" i="3"/>
  <c r="P6052" i="3"/>
  <c r="K6053" i="3"/>
  <c r="L6053" i="3" s="1"/>
  <c r="O6053" i="3"/>
  <c r="P6053" i="3"/>
  <c r="K6054" i="3"/>
  <c r="L6054" i="3" s="1"/>
  <c r="O6054" i="3"/>
  <c r="P6054" i="3"/>
  <c r="K6055" i="3"/>
  <c r="L6055" i="3" s="1"/>
  <c r="O6055" i="3"/>
  <c r="P6055" i="3"/>
  <c r="K6056" i="3"/>
  <c r="L6056" i="3" s="1"/>
  <c r="O6056" i="3"/>
  <c r="P6056" i="3"/>
  <c r="K6057" i="3"/>
  <c r="L6057" i="3" s="1"/>
  <c r="O6057" i="3"/>
  <c r="P6057" i="3"/>
  <c r="K6058" i="3"/>
  <c r="L6058" i="3" s="1"/>
  <c r="O6058" i="3"/>
  <c r="P6058" i="3"/>
  <c r="K6059" i="3"/>
  <c r="L6059" i="3" s="1"/>
  <c r="O6059" i="3"/>
  <c r="P6059" i="3"/>
  <c r="K6060" i="3"/>
  <c r="L6060" i="3" s="1"/>
  <c r="O6060" i="3"/>
  <c r="P6060" i="3"/>
  <c r="K6061" i="3"/>
  <c r="L6061" i="3" s="1"/>
  <c r="O6061" i="3"/>
  <c r="P6061" i="3"/>
  <c r="K6062" i="3"/>
  <c r="L6062" i="3" s="1"/>
  <c r="O6062" i="3"/>
  <c r="P6062" i="3"/>
  <c r="K6063" i="3"/>
  <c r="L6063" i="3" s="1"/>
  <c r="O6063" i="3"/>
  <c r="P6063" i="3"/>
  <c r="K6064" i="3"/>
  <c r="L6064" i="3" s="1"/>
  <c r="O6064" i="3"/>
  <c r="P6064" i="3"/>
  <c r="K6065" i="3"/>
  <c r="L6065" i="3" s="1"/>
  <c r="O6065" i="3"/>
  <c r="P6065" i="3"/>
  <c r="K6066" i="3"/>
  <c r="L6066" i="3" s="1"/>
  <c r="O6066" i="3"/>
  <c r="P6066" i="3"/>
  <c r="K6067" i="3"/>
  <c r="L6067" i="3" s="1"/>
  <c r="O6067" i="3"/>
  <c r="P6067" i="3"/>
  <c r="K6068" i="3"/>
  <c r="L6068" i="3" s="1"/>
  <c r="O6068" i="3"/>
  <c r="P6068" i="3"/>
  <c r="K6069" i="3"/>
  <c r="L6069" i="3" s="1"/>
  <c r="O6069" i="3"/>
  <c r="P6069" i="3"/>
  <c r="K6070" i="3"/>
  <c r="L6070" i="3" s="1"/>
  <c r="O6070" i="3"/>
  <c r="P6070" i="3"/>
  <c r="K6071" i="3"/>
  <c r="L6071" i="3" s="1"/>
  <c r="O6071" i="3"/>
  <c r="P6071" i="3"/>
  <c r="K6072" i="3"/>
  <c r="L6072" i="3" s="1"/>
  <c r="O6072" i="3"/>
  <c r="P6072" i="3"/>
  <c r="K6073" i="3"/>
  <c r="L6073" i="3" s="1"/>
  <c r="O6073" i="3"/>
  <c r="P6073" i="3"/>
  <c r="K6074" i="3"/>
  <c r="L6074" i="3" s="1"/>
  <c r="O6074" i="3"/>
  <c r="P6074" i="3"/>
  <c r="K6075" i="3"/>
  <c r="L6075" i="3" s="1"/>
  <c r="O6075" i="3"/>
  <c r="P6075" i="3"/>
  <c r="K6076" i="3"/>
  <c r="L6076" i="3" s="1"/>
  <c r="O6076" i="3"/>
  <c r="P6076" i="3"/>
  <c r="K6077" i="3"/>
  <c r="L6077" i="3" s="1"/>
  <c r="O6077" i="3"/>
  <c r="P6077" i="3"/>
  <c r="K6078" i="3"/>
  <c r="L6078" i="3" s="1"/>
  <c r="O6078" i="3"/>
  <c r="P6078" i="3"/>
  <c r="K6079" i="3"/>
  <c r="L6079" i="3" s="1"/>
  <c r="O6079" i="3"/>
  <c r="P6079" i="3"/>
  <c r="K6080" i="3"/>
  <c r="L6080" i="3" s="1"/>
  <c r="O6080" i="3"/>
  <c r="P6080" i="3"/>
  <c r="K6081" i="3"/>
  <c r="L6081" i="3" s="1"/>
  <c r="O6081" i="3"/>
  <c r="P6081" i="3"/>
  <c r="K6082" i="3"/>
  <c r="L6082" i="3" s="1"/>
  <c r="O6082" i="3"/>
  <c r="P6082" i="3"/>
  <c r="K6083" i="3"/>
  <c r="L6083" i="3" s="1"/>
  <c r="O6083" i="3"/>
  <c r="P6083" i="3"/>
  <c r="K6084" i="3"/>
  <c r="L6084" i="3" s="1"/>
  <c r="O6084" i="3"/>
  <c r="P6084" i="3"/>
  <c r="K6085" i="3"/>
  <c r="L6085" i="3" s="1"/>
  <c r="O6085" i="3"/>
  <c r="P6085" i="3"/>
  <c r="K6086" i="3"/>
  <c r="L6086" i="3" s="1"/>
  <c r="O6086" i="3"/>
  <c r="P6086" i="3"/>
  <c r="K6087" i="3"/>
  <c r="L6087" i="3" s="1"/>
  <c r="O6087" i="3"/>
  <c r="P6087" i="3"/>
  <c r="K6088" i="3"/>
  <c r="L6088" i="3" s="1"/>
  <c r="O6088" i="3"/>
  <c r="P6088" i="3"/>
  <c r="K6089" i="3"/>
  <c r="L6089" i="3" s="1"/>
  <c r="O6089" i="3"/>
  <c r="P6089" i="3"/>
  <c r="K6090" i="3"/>
  <c r="L6090" i="3" s="1"/>
  <c r="O6090" i="3"/>
  <c r="P6090" i="3"/>
  <c r="K6091" i="3"/>
  <c r="L6091" i="3" s="1"/>
  <c r="O6091" i="3"/>
  <c r="P6091" i="3"/>
  <c r="K6092" i="3"/>
  <c r="L6092" i="3" s="1"/>
  <c r="O6092" i="3"/>
  <c r="P6092" i="3"/>
  <c r="K6093" i="3"/>
  <c r="L6093" i="3" s="1"/>
  <c r="O6093" i="3"/>
  <c r="P6093" i="3"/>
  <c r="K6094" i="3"/>
  <c r="L6094" i="3" s="1"/>
  <c r="O6094" i="3"/>
  <c r="P6094" i="3"/>
  <c r="K6095" i="3"/>
  <c r="L6095" i="3" s="1"/>
  <c r="O6095" i="3"/>
  <c r="P6095" i="3"/>
  <c r="K6096" i="3"/>
  <c r="L6096" i="3" s="1"/>
  <c r="O6096" i="3"/>
  <c r="P6096" i="3"/>
  <c r="K6097" i="3"/>
  <c r="L6097" i="3" s="1"/>
  <c r="O6097" i="3"/>
  <c r="P6097" i="3"/>
  <c r="K6098" i="3"/>
  <c r="L6098" i="3" s="1"/>
  <c r="O6098" i="3"/>
  <c r="P6098" i="3"/>
  <c r="K6099" i="3"/>
  <c r="L6099" i="3" s="1"/>
  <c r="O6099" i="3"/>
  <c r="P6099" i="3"/>
  <c r="K6100" i="3"/>
  <c r="L6100" i="3" s="1"/>
  <c r="O6100" i="3"/>
  <c r="P6100" i="3"/>
  <c r="K6101" i="3"/>
  <c r="L6101" i="3" s="1"/>
  <c r="O6101" i="3"/>
  <c r="P6101" i="3"/>
  <c r="K6102" i="3"/>
  <c r="L6102" i="3" s="1"/>
  <c r="O6102" i="3"/>
  <c r="P6102" i="3"/>
  <c r="K6103" i="3"/>
  <c r="L6103" i="3" s="1"/>
  <c r="O6103" i="3"/>
  <c r="P6103" i="3"/>
  <c r="K6104" i="3"/>
  <c r="L6104" i="3" s="1"/>
  <c r="O6104" i="3"/>
  <c r="P6104" i="3"/>
  <c r="K6105" i="3"/>
  <c r="L6105" i="3" s="1"/>
  <c r="O6105" i="3"/>
  <c r="P6105" i="3"/>
  <c r="K6106" i="3"/>
  <c r="L6106" i="3" s="1"/>
  <c r="O6106" i="3"/>
  <c r="P6106" i="3"/>
  <c r="K6107" i="3"/>
  <c r="L6107" i="3" s="1"/>
  <c r="O6107" i="3"/>
  <c r="P6107" i="3"/>
  <c r="K6108" i="3"/>
  <c r="L6108" i="3" s="1"/>
  <c r="O6108" i="3"/>
  <c r="P6108" i="3"/>
  <c r="K6109" i="3"/>
  <c r="L6109" i="3" s="1"/>
  <c r="O6109" i="3"/>
  <c r="P6109" i="3"/>
  <c r="K6110" i="3"/>
  <c r="L6110" i="3" s="1"/>
  <c r="O6110" i="3"/>
  <c r="P6110" i="3"/>
  <c r="K6111" i="3"/>
  <c r="L6111" i="3" s="1"/>
  <c r="O6111" i="3"/>
  <c r="P6111" i="3"/>
  <c r="K6112" i="3"/>
  <c r="L6112" i="3" s="1"/>
  <c r="O6112" i="3"/>
  <c r="P6112" i="3"/>
  <c r="K6113" i="3"/>
  <c r="L6113" i="3" s="1"/>
  <c r="O6113" i="3"/>
  <c r="P6113" i="3"/>
  <c r="K6114" i="3"/>
  <c r="L6114" i="3" s="1"/>
  <c r="O6114" i="3"/>
  <c r="P6114" i="3"/>
  <c r="K6115" i="3"/>
  <c r="L6115" i="3" s="1"/>
  <c r="O6115" i="3"/>
  <c r="P6115" i="3"/>
  <c r="K6116" i="3"/>
  <c r="L6116" i="3" s="1"/>
  <c r="O6116" i="3"/>
  <c r="P6116" i="3"/>
  <c r="K6117" i="3"/>
  <c r="L6117" i="3" s="1"/>
  <c r="O6117" i="3"/>
  <c r="P6117" i="3"/>
  <c r="K6118" i="3"/>
  <c r="L6118" i="3" s="1"/>
  <c r="O6118" i="3"/>
  <c r="P6118" i="3"/>
  <c r="K6119" i="3"/>
  <c r="L6119" i="3" s="1"/>
  <c r="O6119" i="3"/>
  <c r="P6119" i="3"/>
  <c r="K6120" i="3"/>
  <c r="L6120" i="3" s="1"/>
  <c r="O6120" i="3"/>
  <c r="P6120" i="3"/>
  <c r="K6121" i="3"/>
  <c r="L6121" i="3" s="1"/>
  <c r="O6121" i="3"/>
  <c r="P6121" i="3"/>
  <c r="K6122" i="3"/>
  <c r="L6122" i="3" s="1"/>
  <c r="O6122" i="3"/>
  <c r="P6122" i="3"/>
  <c r="K6123" i="3"/>
  <c r="L6123" i="3" s="1"/>
  <c r="O6123" i="3"/>
  <c r="P6123" i="3"/>
  <c r="K6124" i="3"/>
  <c r="L6124" i="3" s="1"/>
  <c r="O6124" i="3"/>
  <c r="P6124" i="3"/>
  <c r="K6125" i="3"/>
  <c r="L6125" i="3" s="1"/>
  <c r="O6125" i="3"/>
  <c r="P6125" i="3"/>
  <c r="K6126" i="3"/>
  <c r="L6126" i="3" s="1"/>
  <c r="O6126" i="3"/>
  <c r="P6126" i="3"/>
  <c r="K6127" i="3"/>
  <c r="L6127" i="3" s="1"/>
  <c r="O6127" i="3"/>
  <c r="P6127" i="3"/>
  <c r="K6128" i="3"/>
  <c r="L6128" i="3" s="1"/>
  <c r="O6128" i="3"/>
  <c r="P6128" i="3"/>
  <c r="K6129" i="3"/>
  <c r="L6129" i="3" s="1"/>
  <c r="O6129" i="3"/>
  <c r="P6129" i="3"/>
  <c r="K6130" i="3"/>
  <c r="L6130" i="3" s="1"/>
  <c r="O6130" i="3"/>
  <c r="P6130" i="3"/>
  <c r="K6131" i="3"/>
  <c r="L6131" i="3" s="1"/>
  <c r="O6131" i="3"/>
  <c r="P6131" i="3"/>
  <c r="K6132" i="3"/>
  <c r="L6132" i="3" s="1"/>
  <c r="O6132" i="3"/>
  <c r="P6132" i="3"/>
  <c r="K6133" i="3"/>
  <c r="L6133" i="3" s="1"/>
  <c r="O6133" i="3"/>
  <c r="P6133" i="3"/>
  <c r="K6134" i="3"/>
  <c r="L6134" i="3" s="1"/>
  <c r="O6134" i="3"/>
  <c r="P6134" i="3"/>
  <c r="K6135" i="3"/>
  <c r="L6135" i="3" s="1"/>
  <c r="O6135" i="3"/>
  <c r="P6135" i="3"/>
  <c r="K6136" i="3"/>
  <c r="L6136" i="3" s="1"/>
  <c r="O6136" i="3"/>
  <c r="P6136" i="3"/>
  <c r="K6137" i="3"/>
  <c r="L6137" i="3" s="1"/>
  <c r="O6137" i="3"/>
  <c r="P6137" i="3"/>
  <c r="K6138" i="3"/>
  <c r="L6138" i="3" s="1"/>
  <c r="O6138" i="3"/>
  <c r="P6138" i="3"/>
  <c r="K6139" i="3"/>
  <c r="L6139" i="3" s="1"/>
  <c r="O6139" i="3"/>
  <c r="P6139" i="3"/>
  <c r="K6140" i="3"/>
  <c r="L6140" i="3" s="1"/>
  <c r="O6140" i="3"/>
  <c r="P6140" i="3"/>
  <c r="K6141" i="3"/>
  <c r="L6141" i="3" s="1"/>
  <c r="O6141" i="3"/>
  <c r="P6141" i="3"/>
  <c r="K6142" i="3"/>
  <c r="L6142" i="3" s="1"/>
  <c r="O6142" i="3"/>
  <c r="P6142" i="3"/>
  <c r="K6143" i="3"/>
  <c r="L6143" i="3" s="1"/>
  <c r="O6143" i="3"/>
  <c r="P6143" i="3"/>
  <c r="K6144" i="3"/>
  <c r="L6144" i="3" s="1"/>
  <c r="O6144" i="3"/>
  <c r="P6144" i="3"/>
  <c r="K6145" i="3"/>
  <c r="L6145" i="3" s="1"/>
  <c r="O6145" i="3"/>
  <c r="P6145" i="3"/>
  <c r="K6146" i="3"/>
  <c r="L6146" i="3" s="1"/>
  <c r="O6146" i="3"/>
  <c r="P6146" i="3"/>
  <c r="K6147" i="3"/>
  <c r="L6147" i="3" s="1"/>
  <c r="O6147" i="3"/>
  <c r="P6147" i="3"/>
  <c r="K6148" i="3"/>
  <c r="L6148" i="3" s="1"/>
  <c r="O6148" i="3"/>
  <c r="P6148" i="3"/>
  <c r="K6149" i="3"/>
  <c r="L6149" i="3" s="1"/>
  <c r="O6149" i="3"/>
  <c r="P6149" i="3"/>
  <c r="K6150" i="3"/>
  <c r="L6150" i="3" s="1"/>
  <c r="O6150" i="3"/>
  <c r="P6150" i="3"/>
  <c r="K6151" i="3"/>
  <c r="L6151" i="3" s="1"/>
  <c r="O6151" i="3"/>
  <c r="P6151" i="3"/>
  <c r="K6152" i="3"/>
  <c r="L6152" i="3" s="1"/>
  <c r="O6152" i="3"/>
  <c r="P6152" i="3"/>
  <c r="K6153" i="3"/>
  <c r="L6153" i="3" s="1"/>
  <c r="O6153" i="3"/>
  <c r="P6153" i="3"/>
  <c r="K6154" i="3"/>
  <c r="L6154" i="3" s="1"/>
  <c r="O6154" i="3"/>
  <c r="P6154" i="3"/>
  <c r="K6155" i="3"/>
  <c r="L6155" i="3" s="1"/>
  <c r="O6155" i="3"/>
  <c r="P6155" i="3"/>
  <c r="K6156" i="3"/>
  <c r="L6156" i="3" s="1"/>
  <c r="O6156" i="3"/>
  <c r="P6156" i="3"/>
  <c r="K6157" i="3"/>
  <c r="L6157" i="3" s="1"/>
  <c r="O6157" i="3"/>
  <c r="P6157" i="3"/>
  <c r="K6158" i="3"/>
  <c r="L6158" i="3" s="1"/>
  <c r="O6158" i="3"/>
  <c r="P6158" i="3"/>
  <c r="K6159" i="3"/>
  <c r="L6159" i="3" s="1"/>
  <c r="O6159" i="3"/>
  <c r="P6159" i="3"/>
  <c r="K6160" i="3"/>
  <c r="L6160" i="3" s="1"/>
  <c r="O6160" i="3"/>
  <c r="P6160" i="3"/>
  <c r="K6161" i="3"/>
  <c r="L6161" i="3" s="1"/>
  <c r="O6161" i="3"/>
  <c r="P6161" i="3"/>
  <c r="K6162" i="3"/>
  <c r="L6162" i="3" s="1"/>
  <c r="O6162" i="3"/>
  <c r="P6162" i="3"/>
  <c r="K6163" i="3"/>
  <c r="L6163" i="3" s="1"/>
  <c r="O6163" i="3"/>
  <c r="P6163" i="3"/>
  <c r="K6164" i="3"/>
  <c r="L6164" i="3" s="1"/>
  <c r="O6164" i="3"/>
  <c r="P6164" i="3"/>
  <c r="K6165" i="3"/>
  <c r="L6165" i="3" s="1"/>
  <c r="O6165" i="3"/>
  <c r="P6165" i="3"/>
  <c r="K6166" i="3"/>
  <c r="L6166" i="3" s="1"/>
  <c r="O6166" i="3"/>
  <c r="P6166" i="3"/>
  <c r="K6167" i="3"/>
  <c r="L6167" i="3" s="1"/>
  <c r="O6167" i="3"/>
  <c r="P6167" i="3"/>
  <c r="K6168" i="3"/>
  <c r="L6168" i="3" s="1"/>
  <c r="O6168" i="3"/>
  <c r="P6168" i="3"/>
  <c r="K6169" i="3"/>
  <c r="L6169" i="3" s="1"/>
  <c r="O6169" i="3"/>
  <c r="P6169" i="3"/>
  <c r="K6170" i="3"/>
  <c r="L6170" i="3" s="1"/>
  <c r="O6170" i="3"/>
  <c r="P6170" i="3"/>
  <c r="K6171" i="3"/>
  <c r="L6171" i="3" s="1"/>
  <c r="O6171" i="3"/>
  <c r="P6171" i="3"/>
  <c r="K6172" i="3"/>
  <c r="L6172" i="3" s="1"/>
  <c r="O6172" i="3"/>
  <c r="P6172" i="3"/>
  <c r="K6173" i="3"/>
  <c r="L6173" i="3" s="1"/>
  <c r="O6173" i="3"/>
  <c r="P6173" i="3"/>
  <c r="K6174" i="3"/>
  <c r="L6174" i="3" s="1"/>
  <c r="O6174" i="3"/>
  <c r="P6174" i="3"/>
  <c r="K6175" i="3"/>
  <c r="L6175" i="3" s="1"/>
  <c r="O6175" i="3"/>
  <c r="P6175" i="3"/>
  <c r="K6176" i="3"/>
  <c r="L6176" i="3" s="1"/>
  <c r="O6176" i="3"/>
  <c r="P6176" i="3"/>
  <c r="K6177" i="3"/>
  <c r="L6177" i="3" s="1"/>
  <c r="O6177" i="3"/>
  <c r="P6177" i="3"/>
  <c r="K6178" i="3"/>
  <c r="L6178" i="3" s="1"/>
  <c r="O6178" i="3"/>
  <c r="P6178" i="3"/>
  <c r="K6179" i="3"/>
  <c r="L6179" i="3" s="1"/>
  <c r="O6179" i="3"/>
  <c r="P6179" i="3"/>
  <c r="K6180" i="3"/>
  <c r="L6180" i="3" s="1"/>
  <c r="O6180" i="3"/>
  <c r="P6180" i="3"/>
  <c r="K6181" i="3"/>
  <c r="L6181" i="3" s="1"/>
  <c r="O6181" i="3"/>
  <c r="P6181" i="3"/>
  <c r="K6182" i="3"/>
  <c r="L6182" i="3" s="1"/>
  <c r="O6182" i="3"/>
  <c r="P6182" i="3"/>
  <c r="K6183" i="3"/>
  <c r="L6183" i="3" s="1"/>
  <c r="O6183" i="3"/>
  <c r="P6183" i="3"/>
  <c r="K6184" i="3"/>
  <c r="L6184" i="3" s="1"/>
  <c r="O6184" i="3"/>
  <c r="P6184" i="3"/>
  <c r="K6185" i="3"/>
  <c r="L6185" i="3" s="1"/>
  <c r="O6185" i="3"/>
  <c r="P6185" i="3"/>
  <c r="O6186" i="3"/>
  <c r="P6186" i="3"/>
  <c r="K6187" i="3"/>
  <c r="L6187" i="3" s="1"/>
  <c r="O6187" i="3"/>
  <c r="P6187" i="3"/>
  <c r="K6188" i="3"/>
  <c r="L6188" i="3" s="1"/>
  <c r="O6188" i="3"/>
  <c r="P6188" i="3"/>
  <c r="K6189" i="3"/>
  <c r="L6189" i="3" s="1"/>
  <c r="O6189" i="3"/>
  <c r="P6189" i="3"/>
  <c r="K6190" i="3"/>
  <c r="L6190" i="3" s="1"/>
  <c r="O6190" i="3"/>
  <c r="P6190" i="3"/>
  <c r="K6191" i="3"/>
  <c r="L6191" i="3" s="1"/>
  <c r="O6191" i="3"/>
  <c r="P6191" i="3"/>
  <c r="K6192" i="3"/>
  <c r="L6192" i="3" s="1"/>
  <c r="O6192" i="3"/>
  <c r="P6192" i="3"/>
  <c r="K6193" i="3"/>
  <c r="L6193" i="3" s="1"/>
  <c r="O6193" i="3"/>
  <c r="P6193" i="3"/>
  <c r="K6194" i="3"/>
  <c r="L6194" i="3" s="1"/>
  <c r="O6194" i="3"/>
  <c r="P6194" i="3"/>
  <c r="K6195" i="3"/>
  <c r="L6195" i="3" s="1"/>
  <c r="O6195" i="3"/>
  <c r="P6195" i="3"/>
  <c r="K6196" i="3"/>
  <c r="L6196" i="3" s="1"/>
  <c r="O6196" i="3"/>
  <c r="P6196" i="3"/>
  <c r="K6197" i="3"/>
  <c r="L6197" i="3" s="1"/>
  <c r="O6197" i="3"/>
  <c r="P6197" i="3"/>
  <c r="K6198" i="3"/>
  <c r="L6198" i="3" s="1"/>
  <c r="O6198" i="3"/>
  <c r="P6198" i="3"/>
  <c r="K6199" i="3"/>
  <c r="L6199" i="3" s="1"/>
  <c r="O6199" i="3"/>
  <c r="P6199" i="3"/>
  <c r="K6200" i="3"/>
  <c r="L6200" i="3" s="1"/>
  <c r="O6200" i="3"/>
  <c r="P6200" i="3"/>
  <c r="K6201" i="3"/>
  <c r="L6201" i="3" s="1"/>
  <c r="O6201" i="3"/>
  <c r="P6201" i="3"/>
  <c r="K6202" i="3"/>
  <c r="L6202" i="3" s="1"/>
  <c r="O6202" i="3"/>
  <c r="P6202" i="3"/>
  <c r="K6203" i="3"/>
  <c r="L6203" i="3" s="1"/>
  <c r="O6203" i="3"/>
  <c r="P6203" i="3"/>
  <c r="K6204" i="3"/>
  <c r="L6204" i="3" s="1"/>
  <c r="O6204" i="3"/>
  <c r="P6204" i="3"/>
  <c r="K6205" i="3"/>
  <c r="L6205" i="3" s="1"/>
  <c r="O6205" i="3"/>
  <c r="P6205" i="3"/>
  <c r="K6206" i="3"/>
  <c r="L6206" i="3" s="1"/>
  <c r="O6206" i="3"/>
  <c r="P6206" i="3"/>
  <c r="K6207" i="3"/>
  <c r="L6207" i="3" s="1"/>
  <c r="O6207" i="3"/>
  <c r="P6207" i="3"/>
  <c r="K6208" i="3"/>
  <c r="L6208" i="3" s="1"/>
  <c r="O6208" i="3"/>
  <c r="P6208" i="3"/>
  <c r="K6209" i="3"/>
  <c r="L6209" i="3" s="1"/>
  <c r="O6209" i="3"/>
  <c r="P6209" i="3"/>
  <c r="K6210" i="3"/>
  <c r="L6210" i="3" s="1"/>
  <c r="O6210" i="3"/>
  <c r="P6210" i="3"/>
  <c r="K6211" i="3"/>
  <c r="L6211" i="3" s="1"/>
  <c r="O6211" i="3"/>
  <c r="P6211" i="3"/>
  <c r="K6212" i="3"/>
  <c r="L6212" i="3" s="1"/>
  <c r="O6212" i="3"/>
  <c r="P6212" i="3"/>
  <c r="K6213" i="3"/>
  <c r="L6213" i="3" s="1"/>
  <c r="O6213" i="3"/>
  <c r="P6213" i="3"/>
  <c r="K6214" i="3"/>
  <c r="L6214" i="3" s="1"/>
  <c r="O6214" i="3"/>
  <c r="P6214" i="3"/>
  <c r="K6215" i="3"/>
  <c r="L6215" i="3" s="1"/>
  <c r="O6215" i="3"/>
  <c r="P6215" i="3"/>
  <c r="K6216" i="3"/>
  <c r="L6216" i="3" s="1"/>
  <c r="O6216" i="3"/>
  <c r="P6216" i="3"/>
  <c r="K6217" i="3"/>
  <c r="L6217" i="3" s="1"/>
  <c r="O6217" i="3"/>
  <c r="P6217" i="3"/>
  <c r="K6218" i="3"/>
  <c r="L6218" i="3" s="1"/>
  <c r="O6218" i="3"/>
  <c r="P6218" i="3"/>
  <c r="K6219" i="3"/>
  <c r="L6219" i="3" s="1"/>
  <c r="O6219" i="3"/>
  <c r="P6219" i="3"/>
  <c r="K6220" i="3"/>
  <c r="L6220" i="3" s="1"/>
  <c r="O6220" i="3"/>
  <c r="P6220" i="3"/>
  <c r="K6221" i="3"/>
  <c r="L6221" i="3" s="1"/>
  <c r="O6221" i="3"/>
  <c r="P6221" i="3"/>
  <c r="K6222" i="3"/>
  <c r="L6222" i="3" s="1"/>
  <c r="O6222" i="3"/>
  <c r="P6222" i="3"/>
  <c r="K6223" i="3"/>
  <c r="L6223" i="3" s="1"/>
  <c r="O6223" i="3"/>
  <c r="P6223" i="3"/>
  <c r="K6224" i="3"/>
  <c r="L6224" i="3" s="1"/>
  <c r="O6224" i="3"/>
  <c r="P6224" i="3"/>
  <c r="K6225" i="3"/>
  <c r="L6225" i="3" s="1"/>
  <c r="O6225" i="3"/>
  <c r="P6225" i="3"/>
  <c r="K6226" i="3"/>
  <c r="L6226" i="3" s="1"/>
  <c r="O6226" i="3"/>
  <c r="P6226" i="3"/>
  <c r="K6227" i="3"/>
  <c r="L6227" i="3" s="1"/>
  <c r="O6227" i="3"/>
  <c r="P6227" i="3"/>
  <c r="K6228" i="3"/>
  <c r="L6228" i="3" s="1"/>
  <c r="O6228" i="3"/>
  <c r="P6228" i="3"/>
  <c r="K6229" i="3"/>
  <c r="L6229" i="3" s="1"/>
  <c r="O6229" i="3"/>
  <c r="P6229" i="3"/>
  <c r="K6230" i="3"/>
  <c r="L6230" i="3" s="1"/>
  <c r="O6230" i="3"/>
  <c r="P6230" i="3"/>
  <c r="K6231" i="3"/>
  <c r="L6231" i="3" s="1"/>
  <c r="O6231" i="3"/>
  <c r="P6231" i="3"/>
  <c r="K6232" i="3"/>
  <c r="L6232" i="3" s="1"/>
  <c r="O6232" i="3"/>
  <c r="P6232" i="3"/>
  <c r="K6233" i="3"/>
  <c r="L6233" i="3" s="1"/>
  <c r="O6233" i="3"/>
  <c r="P6233" i="3"/>
  <c r="K6234" i="3"/>
  <c r="L6234" i="3" s="1"/>
  <c r="O6234" i="3"/>
  <c r="P6234" i="3"/>
  <c r="K6235" i="3"/>
  <c r="L6235" i="3" s="1"/>
  <c r="O6235" i="3"/>
  <c r="P6235" i="3"/>
  <c r="K6236" i="3"/>
  <c r="L6236" i="3" s="1"/>
  <c r="O6236" i="3"/>
  <c r="P6236" i="3"/>
  <c r="K6237" i="3"/>
  <c r="L6237" i="3" s="1"/>
  <c r="O6237" i="3"/>
  <c r="P6237" i="3"/>
  <c r="K6238" i="3"/>
  <c r="L6238" i="3" s="1"/>
  <c r="O6238" i="3"/>
  <c r="P6238" i="3"/>
  <c r="K6239" i="3"/>
  <c r="L6239" i="3" s="1"/>
  <c r="O6239" i="3"/>
  <c r="P6239" i="3"/>
  <c r="K6240" i="3"/>
  <c r="L6240" i="3" s="1"/>
  <c r="O6240" i="3"/>
  <c r="P6240" i="3"/>
  <c r="K6241" i="3"/>
  <c r="L6241" i="3" s="1"/>
  <c r="O6241" i="3"/>
  <c r="P6241" i="3"/>
  <c r="K6242" i="3"/>
  <c r="L6242" i="3" s="1"/>
  <c r="O6242" i="3"/>
  <c r="P6242" i="3"/>
  <c r="K6243" i="3"/>
  <c r="L6243" i="3" s="1"/>
  <c r="O6243" i="3"/>
  <c r="P6243" i="3"/>
  <c r="K6244" i="3"/>
  <c r="L6244" i="3" s="1"/>
  <c r="O6244" i="3"/>
  <c r="P6244" i="3"/>
  <c r="K6245" i="3"/>
  <c r="L6245" i="3" s="1"/>
  <c r="O6245" i="3"/>
  <c r="P6245" i="3"/>
  <c r="K6246" i="3"/>
  <c r="L6246" i="3" s="1"/>
  <c r="O6246" i="3"/>
  <c r="P6246" i="3"/>
  <c r="K6247" i="3"/>
  <c r="L6247" i="3" s="1"/>
  <c r="O6247" i="3"/>
  <c r="P6247" i="3"/>
  <c r="K6248" i="3"/>
  <c r="L6248" i="3" s="1"/>
  <c r="O6248" i="3"/>
  <c r="P6248" i="3"/>
  <c r="K6249" i="3"/>
  <c r="L6249" i="3" s="1"/>
  <c r="O6249" i="3"/>
  <c r="P6249" i="3"/>
  <c r="K6250" i="3"/>
  <c r="L6250" i="3" s="1"/>
  <c r="O6250" i="3"/>
  <c r="P6250" i="3"/>
  <c r="K6251" i="3"/>
  <c r="L6251" i="3" s="1"/>
  <c r="O6251" i="3"/>
  <c r="P6251" i="3"/>
  <c r="K6252" i="3"/>
  <c r="L6252" i="3" s="1"/>
  <c r="O6252" i="3"/>
  <c r="P6252" i="3"/>
  <c r="K6253" i="3"/>
  <c r="L6253" i="3" s="1"/>
  <c r="O6253" i="3"/>
  <c r="P6253" i="3"/>
  <c r="K6254" i="3"/>
  <c r="L6254" i="3" s="1"/>
  <c r="O6254" i="3"/>
  <c r="P6254" i="3"/>
  <c r="K6255" i="3"/>
  <c r="L6255" i="3" s="1"/>
  <c r="O6255" i="3"/>
  <c r="P6255" i="3"/>
  <c r="K6256" i="3"/>
  <c r="L6256" i="3" s="1"/>
  <c r="O6256" i="3"/>
  <c r="P6256" i="3"/>
  <c r="K6257" i="3"/>
  <c r="L6257" i="3" s="1"/>
  <c r="O6257" i="3"/>
  <c r="P6257" i="3"/>
  <c r="K6258" i="3"/>
  <c r="L6258" i="3" s="1"/>
  <c r="O6258" i="3"/>
  <c r="P6258" i="3"/>
  <c r="K6259" i="3"/>
  <c r="L6259" i="3" s="1"/>
  <c r="O6259" i="3"/>
  <c r="P6259" i="3"/>
  <c r="K6260" i="3"/>
  <c r="L6260" i="3" s="1"/>
  <c r="O6260" i="3"/>
  <c r="P6260" i="3"/>
  <c r="K6261" i="3"/>
  <c r="L6261" i="3" s="1"/>
  <c r="O6261" i="3"/>
  <c r="P6261" i="3"/>
  <c r="K6262" i="3"/>
  <c r="L6262" i="3" s="1"/>
  <c r="O6262" i="3"/>
  <c r="P6262" i="3"/>
  <c r="K6263" i="3"/>
  <c r="L6263" i="3" s="1"/>
  <c r="O6263" i="3"/>
  <c r="P6263" i="3"/>
  <c r="K6264" i="3"/>
  <c r="L6264" i="3" s="1"/>
  <c r="O6264" i="3"/>
  <c r="P6264" i="3"/>
  <c r="K6265" i="3"/>
  <c r="L6265" i="3" s="1"/>
  <c r="O6265" i="3"/>
  <c r="P6265" i="3"/>
  <c r="K6266" i="3"/>
  <c r="L6266" i="3" s="1"/>
  <c r="O6266" i="3"/>
  <c r="P6266" i="3"/>
  <c r="K6267" i="3"/>
  <c r="L6267" i="3" s="1"/>
  <c r="O6267" i="3"/>
  <c r="P6267" i="3"/>
  <c r="K6268" i="3"/>
  <c r="L6268" i="3" s="1"/>
  <c r="O6268" i="3"/>
  <c r="P6268" i="3"/>
  <c r="K6269" i="3"/>
  <c r="L6269" i="3" s="1"/>
  <c r="O6269" i="3"/>
  <c r="P6269" i="3"/>
  <c r="K6270" i="3"/>
  <c r="L6270" i="3" s="1"/>
  <c r="O6270" i="3"/>
  <c r="P6270" i="3"/>
  <c r="K6271" i="3"/>
  <c r="L6271" i="3" s="1"/>
  <c r="O6271" i="3"/>
  <c r="P6271" i="3"/>
  <c r="K6272" i="3"/>
  <c r="L6272" i="3" s="1"/>
  <c r="O6272" i="3"/>
  <c r="P6272" i="3"/>
  <c r="K6273" i="3"/>
  <c r="L6273" i="3" s="1"/>
  <c r="O6273" i="3"/>
  <c r="P6273" i="3"/>
  <c r="K6274" i="3"/>
  <c r="L6274" i="3" s="1"/>
  <c r="O6274" i="3"/>
  <c r="P6274" i="3"/>
  <c r="K6275" i="3"/>
  <c r="L6275" i="3" s="1"/>
  <c r="O6275" i="3"/>
  <c r="P6275" i="3"/>
  <c r="K6276" i="3"/>
  <c r="L6276" i="3" s="1"/>
  <c r="O6276" i="3"/>
  <c r="P6276" i="3"/>
  <c r="K6277" i="3"/>
  <c r="L6277" i="3" s="1"/>
  <c r="O6277" i="3"/>
  <c r="P6277" i="3"/>
  <c r="K6278" i="3"/>
  <c r="L6278" i="3" s="1"/>
  <c r="O6278" i="3"/>
  <c r="P6278" i="3"/>
  <c r="K6279" i="3"/>
  <c r="L6279" i="3" s="1"/>
  <c r="O6279" i="3"/>
  <c r="P6279" i="3"/>
  <c r="K6280" i="3"/>
  <c r="L6280" i="3" s="1"/>
  <c r="O6280" i="3"/>
  <c r="P6280" i="3"/>
  <c r="K6281" i="3"/>
  <c r="L6281" i="3" s="1"/>
  <c r="O6281" i="3"/>
  <c r="P6281" i="3"/>
  <c r="K6282" i="3"/>
  <c r="L6282" i="3" s="1"/>
  <c r="O6282" i="3"/>
  <c r="P6282" i="3"/>
  <c r="K6283" i="3"/>
  <c r="L6283" i="3" s="1"/>
  <c r="O6283" i="3"/>
  <c r="P6283" i="3"/>
  <c r="K6284" i="3"/>
  <c r="L6284" i="3" s="1"/>
  <c r="O6284" i="3"/>
  <c r="P6284" i="3"/>
  <c r="K6285" i="3"/>
  <c r="L6285" i="3" s="1"/>
  <c r="O6285" i="3"/>
  <c r="P6285" i="3"/>
  <c r="K6286" i="3"/>
  <c r="L6286" i="3" s="1"/>
  <c r="O6286" i="3"/>
  <c r="P6286" i="3"/>
  <c r="K6287" i="3"/>
  <c r="L6287" i="3" s="1"/>
  <c r="O6287" i="3"/>
  <c r="P6287" i="3"/>
  <c r="K6288" i="3"/>
  <c r="L6288" i="3" s="1"/>
  <c r="O6288" i="3"/>
  <c r="P6288" i="3"/>
  <c r="K6289" i="3"/>
  <c r="L6289" i="3" s="1"/>
  <c r="O6289" i="3"/>
  <c r="P6289" i="3"/>
  <c r="K6290" i="3"/>
  <c r="L6290" i="3" s="1"/>
  <c r="O6290" i="3"/>
  <c r="P6290" i="3"/>
  <c r="K6291" i="3"/>
  <c r="L6291" i="3" s="1"/>
  <c r="O6291" i="3"/>
  <c r="P6291" i="3"/>
  <c r="K6292" i="3"/>
  <c r="L6292" i="3" s="1"/>
  <c r="O6292" i="3"/>
  <c r="P6292" i="3"/>
  <c r="K6293" i="3"/>
  <c r="L6293" i="3" s="1"/>
  <c r="O6293" i="3"/>
  <c r="P6293" i="3"/>
  <c r="K6294" i="3"/>
  <c r="L6294" i="3" s="1"/>
  <c r="O6294" i="3"/>
  <c r="P6294" i="3"/>
  <c r="K6295" i="3"/>
  <c r="L6295" i="3" s="1"/>
  <c r="O6295" i="3"/>
  <c r="P6295" i="3"/>
  <c r="K6296" i="3"/>
  <c r="L6296" i="3" s="1"/>
  <c r="O6296" i="3"/>
  <c r="P6296" i="3"/>
  <c r="K6297" i="3"/>
  <c r="L6297" i="3" s="1"/>
  <c r="O6297" i="3"/>
  <c r="P6297" i="3"/>
  <c r="K6298" i="3"/>
  <c r="L6298" i="3" s="1"/>
  <c r="O6298" i="3"/>
  <c r="P6298" i="3"/>
  <c r="K6299" i="3"/>
  <c r="L6299" i="3" s="1"/>
  <c r="O6299" i="3"/>
  <c r="P6299" i="3"/>
  <c r="K6300" i="3"/>
  <c r="L6300" i="3" s="1"/>
  <c r="O6300" i="3"/>
  <c r="P6300" i="3"/>
  <c r="K6301" i="3"/>
  <c r="L6301" i="3" s="1"/>
  <c r="O6301" i="3"/>
  <c r="P6301" i="3"/>
  <c r="K6302" i="3"/>
  <c r="L6302" i="3" s="1"/>
  <c r="O6302" i="3"/>
  <c r="P6302" i="3"/>
  <c r="K6303" i="3"/>
  <c r="L6303" i="3" s="1"/>
  <c r="O6303" i="3"/>
  <c r="P6303" i="3"/>
  <c r="K6304" i="3"/>
  <c r="L6304" i="3" s="1"/>
  <c r="O6304" i="3"/>
  <c r="P6304" i="3"/>
  <c r="K6305" i="3"/>
  <c r="L6305" i="3" s="1"/>
  <c r="O6305" i="3"/>
  <c r="P6305" i="3"/>
  <c r="K6306" i="3"/>
  <c r="L6306" i="3" s="1"/>
  <c r="O6306" i="3"/>
  <c r="P6306" i="3"/>
  <c r="K6307" i="3"/>
  <c r="L6307" i="3" s="1"/>
  <c r="O6307" i="3"/>
  <c r="P6307" i="3"/>
  <c r="K6308" i="3"/>
  <c r="L6308" i="3" s="1"/>
  <c r="O6308" i="3"/>
  <c r="P6308" i="3"/>
  <c r="K6309" i="3"/>
  <c r="L6309" i="3" s="1"/>
  <c r="O6309" i="3"/>
  <c r="P6309" i="3"/>
  <c r="K6310" i="3"/>
  <c r="L6310" i="3" s="1"/>
  <c r="O6310" i="3"/>
  <c r="P6310" i="3"/>
  <c r="K6311" i="3"/>
  <c r="L6311" i="3" s="1"/>
  <c r="O6311" i="3"/>
  <c r="P6311" i="3"/>
  <c r="K6312" i="3"/>
  <c r="L6312" i="3" s="1"/>
  <c r="O6312" i="3"/>
  <c r="P6312" i="3"/>
  <c r="K6313" i="3"/>
  <c r="L6313" i="3" s="1"/>
  <c r="O6313" i="3"/>
  <c r="P6313" i="3"/>
  <c r="K6314" i="3"/>
  <c r="L6314" i="3" s="1"/>
  <c r="O6314" i="3"/>
  <c r="P6314" i="3"/>
  <c r="K6315" i="3"/>
  <c r="L6315" i="3" s="1"/>
  <c r="O6315" i="3"/>
  <c r="P6315" i="3"/>
  <c r="K6316" i="3"/>
  <c r="L6316" i="3" s="1"/>
  <c r="O6316" i="3"/>
  <c r="P6316" i="3"/>
  <c r="K6317" i="3"/>
  <c r="L6317" i="3" s="1"/>
  <c r="O6317" i="3"/>
  <c r="P6317" i="3"/>
  <c r="K6318" i="3"/>
  <c r="L6318" i="3" s="1"/>
  <c r="O6318" i="3"/>
  <c r="P6318" i="3"/>
  <c r="K6319" i="3"/>
  <c r="L6319" i="3" s="1"/>
  <c r="O6319" i="3"/>
  <c r="P6319" i="3"/>
  <c r="K6320" i="3"/>
  <c r="L6320" i="3" s="1"/>
  <c r="O6320" i="3"/>
  <c r="P6320" i="3"/>
  <c r="K6321" i="3"/>
  <c r="L6321" i="3" s="1"/>
  <c r="O6321" i="3"/>
  <c r="P6321" i="3"/>
  <c r="K6322" i="3"/>
  <c r="L6322" i="3" s="1"/>
  <c r="O6322" i="3"/>
  <c r="P6322" i="3"/>
  <c r="K6323" i="3"/>
  <c r="L6323" i="3" s="1"/>
  <c r="O6323" i="3"/>
  <c r="P6323" i="3"/>
  <c r="K6324" i="3"/>
  <c r="L6324" i="3" s="1"/>
  <c r="O6324" i="3"/>
  <c r="P6324" i="3"/>
  <c r="K6325" i="3"/>
  <c r="L6325" i="3" s="1"/>
  <c r="O6325" i="3"/>
  <c r="P6325" i="3"/>
  <c r="K6326" i="3"/>
  <c r="L6326" i="3" s="1"/>
  <c r="O6326" i="3"/>
  <c r="P6326" i="3"/>
  <c r="K6327" i="3"/>
  <c r="L6327" i="3" s="1"/>
  <c r="O6327" i="3"/>
  <c r="P6327" i="3"/>
  <c r="K6328" i="3"/>
  <c r="L6328" i="3" s="1"/>
  <c r="O6328" i="3"/>
  <c r="P6328" i="3"/>
  <c r="K6329" i="3"/>
  <c r="L6329" i="3" s="1"/>
  <c r="O6329" i="3"/>
  <c r="P6329" i="3"/>
  <c r="K6330" i="3"/>
  <c r="L6330" i="3" s="1"/>
  <c r="O6330" i="3"/>
  <c r="P6330" i="3"/>
  <c r="K6331" i="3"/>
  <c r="L6331" i="3" s="1"/>
  <c r="O6331" i="3"/>
  <c r="P6331" i="3"/>
  <c r="K6332" i="3"/>
  <c r="L6332" i="3" s="1"/>
  <c r="O6332" i="3"/>
  <c r="P6332" i="3"/>
  <c r="K6333" i="3"/>
  <c r="L6333" i="3" s="1"/>
  <c r="O6333" i="3"/>
  <c r="P6333" i="3"/>
  <c r="K6334" i="3"/>
  <c r="L6334" i="3" s="1"/>
  <c r="O6334" i="3"/>
  <c r="P6334" i="3"/>
  <c r="K6335" i="3"/>
  <c r="L6335" i="3" s="1"/>
  <c r="O6335" i="3"/>
  <c r="P6335" i="3"/>
  <c r="K6336" i="3"/>
  <c r="L6336" i="3" s="1"/>
  <c r="O6336" i="3"/>
  <c r="P6336" i="3"/>
  <c r="K6337" i="3"/>
  <c r="L6337" i="3" s="1"/>
  <c r="O6337" i="3"/>
  <c r="P6337" i="3"/>
  <c r="K6338" i="3"/>
  <c r="L6338" i="3" s="1"/>
  <c r="O6338" i="3"/>
  <c r="P6338" i="3"/>
  <c r="K6339" i="3"/>
  <c r="L6339" i="3" s="1"/>
  <c r="O6339" i="3"/>
  <c r="P6339" i="3"/>
  <c r="K6340" i="3"/>
  <c r="L6340" i="3" s="1"/>
  <c r="O6340" i="3"/>
  <c r="P6340" i="3"/>
  <c r="K6341" i="3"/>
  <c r="L6341" i="3" s="1"/>
  <c r="O6341" i="3"/>
  <c r="P6341" i="3"/>
  <c r="K6342" i="3"/>
  <c r="L6342" i="3" s="1"/>
  <c r="O6342" i="3"/>
  <c r="P6342" i="3"/>
  <c r="K6343" i="3"/>
  <c r="L6343" i="3" s="1"/>
  <c r="O6343" i="3"/>
  <c r="P6343" i="3"/>
  <c r="K6344" i="3"/>
  <c r="L6344" i="3" s="1"/>
  <c r="O6344" i="3"/>
  <c r="P6344" i="3"/>
  <c r="K6345" i="3"/>
  <c r="L6345" i="3" s="1"/>
  <c r="O6345" i="3"/>
  <c r="P6345" i="3"/>
  <c r="K6346" i="3"/>
  <c r="L6346" i="3" s="1"/>
  <c r="O6346" i="3"/>
  <c r="P6346" i="3"/>
  <c r="K6347" i="3"/>
  <c r="L6347" i="3" s="1"/>
  <c r="O6347" i="3"/>
  <c r="P6347" i="3"/>
  <c r="K6348" i="3"/>
  <c r="L6348" i="3" s="1"/>
  <c r="O6348" i="3"/>
  <c r="P6348" i="3"/>
  <c r="K6349" i="3"/>
  <c r="L6349" i="3" s="1"/>
  <c r="O6349" i="3"/>
  <c r="P6349" i="3"/>
  <c r="K6350" i="3"/>
  <c r="L6350" i="3" s="1"/>
  <c r="O6350" i="3"/>
  <c r="P6350" i="3"/>
  <c r="K6351" i="3"/>
  <c r="L6351" i="3" s="1"/>
  <c r="O6351" i="3"/>
  <c r="P6351" i="3"/>
  <c r="K6352" i="3"/>
  <c r="L6352" i="3" s="1"/>
  <c r="O6352" i="3"/>
  <c r="P6352" i="3"/>
  <c r="K6353" i="3"/>
  <c r="L6353" i="3" s="1"/>
  <c r="O6353" i="3"/>
  <c r="P6353" i="3"/>
  <c r="K6354" i="3"/>
  <c r="L6354" i="3" s="1"/>
  <c r="O6354" i="3"/>
  <c r="P6354" i="3"/>
  <c r="K6355" i="3"/>
  <c r="L6355" i="3" s="1"/>
  <c r="O6355" i="3"/>
  <c r="P6355" i="3"/>
  <c r="K6356" i="3"/>
  <c r="L6356" i="3" s="1"/>
  <c r="O6356" i="3"/>
  <c r="P6356" i="3"/>
  <c r="K6357" i="3"/>
  <c r="L6357" i="3" s="1"/>
  <c r="O6357" i="3"/>
  <c r="P6357" i="3"/>
  <c r="K6358" i="3"/>
  <c r="L6358" i="3" s="1"/>
  <c r="O6358" i="3"/>
  <c r="P6358" i="3"/>
  <c r="K6359" i="3"/>
  <c r="L6359" i="3" s="1"/>
  <c r="O6359" i="3"/>
  <c r="P6359" i="3"/>
  <c r="K6360" i="3"/>
  <c r="L6360" i="3" s="1"/>
  <c r="O6360" i="3"/>
  <c r="P6360" i="3"/>
  <c r="K6361" i="3"/>
  <c r="L6361" i="3" s="1"/>
  <c r="O6361" i="3"/>
  <c r="P6361" i="3"/>
  <c r="K6362" i="3"/>
  <c r="L6362" i="3" s="1"/>
  <c r="O6362" i="3"/>
  <c r="P6362" i="3"/>
  <c r="K6363" i="3"/>
  <c r="L6363" i="3" s="1"/>
  <c r="O6363" i="3"/>
  <c r="P6363" i="3"/>
  <c r="K6364" i="3"/>
  <c r="L6364" i="3" s="1"/>
  <c r="O6364" i="3"/>
  <c r="P6364" i="3"/>
  <c r="K6365" i="3"/>
  <c r="L6365" i="3" s="1"/>
  <c r="O6365" i="3"/>
  <c r="P6365" i="3"/>
  <c r="K6366" i="3"/>
  <c r="L6366" i="3" s="1"/>
  <c r="O6366" i="3"/>
  <c r="P6366" i="3"/>
  <c r="K6367" i="3"/>
  <c r="L6367" i="3" s="1"/>
  <c r="O6367" i="3"/>
  <c r="P6367" i="3"/>
  <c r="K6368" i="3"/>
  <c r="L6368" i="3" s="1"/>
  <c r="O6368" i="3"/>
  <c r="P6368" i="3"/>
  <c r="K6369" i="3"/>
  <c r="L6369" i="3" s="1"/>
  <c r="O6369" i="3"/>
  <c r="P6369" i="3"/>
  <c r="K6370" i="3"/>
  <c r="L6370" i="3" s="1"/>
  <c r="O6370" i="3"/>
  <c r="P6370" i="3"/>
  <c r="K6371" i="3"/>
  <c r="L6371" i="3" s="1"/>
  <c r="O6371" i="3"/>
  <c r="P6371" i="3"/>
  <c r="K6372" i="3"/>
  <c r="L6372" i="3" s="1"/>
  <c r="O6372" i="3"/>
  <c r="P6372" i="3"/>
  <c r="K6373" i="3"/>
  <c r="L6373" i="3" s="1"/>
  <c r="O6373" i="3"/>
  <c r="P6373" i="3"/>
  <c r="K6374" i="3"/>
  <c r="L6374" i="3" s="1"/>
  <c r="O6374" i="3"/>
  <c r="P6374" i="3"/>
  <c r="K6375" i="3"/>
  <c r="L6375" i="3" s="1"/>
  <c r="O6375" i="3"/>
  <c r="P6375" i="3"/>
  <c r="K6376" i="3"/>
  <c r="L6376" i="3" s="1"/>
  <c r="O6376" i="3"/>
  <c r="P6376" i="3"/>
  <c r="K6377" i="3"/>
  <c r="L6377" i="3" s="1"/>
  <c r="O6377" i="3"/>
  <c r="P6377" i="3"/>
  <c r="K6378" i="3"/>
  <c r="L6378" i="3" s="1"/>
  <c r="O6378" i="3"/>
  <c r="P6378" i="3"/>
  <c r="K6379" i="3"/>
  <c r="L6379" i="3" s="1"/>
  <c r="O6379" i="3"/>
  <c r="P6379" i="3"/>
  <c r="K6380" i="3"/>
  <c r="L6380" i="3" s="1"/>
  <c r="O6380" i="3"/>
  <c r="P6380" i="3"/>
  <c r="K6381" i="3"/>
  <c r="L6381" i="3" s="1"/>
  <c r="O6381" i="3"/>
  <c r="P6381" i="3"/>
  <c r="K6382" i="3"/>
  <c r="L6382" i="3" s="1"/>
  <c r="O6382" i="3"/>
  <c r="P6382" i="3"/>
  <c r="K6383" i="3"/>
  <c r="L6383" i="3" s="1"/>
  <c r="O6383" i="3"/>
  <c r="P6383" i="3"/>
  <c r="K6384" i="3"/>
  <c r="L6384" i="3" s="1"/>
  <c r="O6384" i="3"/>
  <c r="P6384" i="3"/>
  <c r="K6385" i="3"/>
  <c r="L6385" i="3" s="1"/>
  <c r="O6385" i="3"/>
  <c r="P6385" i="3"/>
  <c r="K6386" i="3"/>
  <c r="L6386" i="3" s="1"/>
  <c r="O6386" i="3"/>
  <c r="P6386" i="3"/>
  <c r="K6387" i="3"/>
  <c r="L6387" i="3" s="1"/>
  <c r="O6387" i="3"/>
  <c r="P6387" i="3"/>
  <c r="K6388" i="3"/>
  <c r="L6388" i="3" s="1"/>
  <c r="O6388" i="3"/>
  <c r="P6388" i="3"/>
  <c r="K6389" i="3"/>
  <c r="L6389" i="3" s="1"/>
  <c r="O6389" i="3"/>
  <c r="P6389" i="3"/>
  <c r="K6390" i="3"/>
  <c r="L6390" i="3" s="1"/>
  <c r="O6390" i="3"/>
  <c r="P6390" i="3"/>
  <c r="K6391" i="3"/>
  <c r="L6391" i="3" s="1"/>
  <c r="O6391" i="3"/>
  <c r="P6391" i="3"/>
  <c r="K6392" i="3"/>
  <c r="L6392" i="3" s="1"/>
  <c r="O6392" i="3"/>
  <c r="P6392" i="3"/>
  <c r="K6393" i="3"/>
  <c r="L6393" i="3" s="1"/>
  <c r="O6393" i="3"/>
  <c r="P6393" i="3"/>
  <c r="K6394" i="3"/>
  <c r="L6394" i="3" s="1"/>
  <c r="O6394" i="3"/>
  <c r="P6394" i="3"/>
  <c r="K6395" i="3"/>
  <c r="L6395" i="3" s="1"/>
  <c r="O6395" i="3"/>
  <c r="P6395" i="3"/>
  <c r="K6396" i="3"/>
  <c r="L6396" i="3" s="1"/>
  <c r="O6396" i="3"/>
  <c r="P6396" i="3"/>
  <c r="K6397" i="3"/>
  <c r="L6397" i="3" s="1"/>
  <c r="O6397" i="3"/>
  <c r="P6397" i="3"/>
  <c r="K6398" i="3"/>
  <c r="L6398" i="3" s="1"/>
  <c r="O6398" i="3"/>
  <c r="P6398" i="3"/>
  <c r="K6399" i="3"/>
  <c r="L6399" i="3" s="1"/>
  <c r="O6399" i="3"/>
  <c r="P6399" i="3"/>
  <c r="K6400" i="3"/>
  <c r="L6400" i="3" s="1"/>
  <c r="O6400" i="3"/>
  <c r="P6400" i="3"/>
  <c r="K6401" i="3"/>
  <c r="L6401" i="3" s="1"/>
  <c r="O6401" i="3"/>
  <c r="P6401" i="3"/>
  <c r="K6402" i="3"/>
  <c r="L6402" i="3" s="1"/>
  <c r="O6402" i="3"/>
  <c r="P6402" i="3"/>
  <c r="K6403" i="3"/>
  <c r="L6403" i="3" s="1"/>
  <c r="O6403" i="3"/>
  <c r="P6403" i="3"/>
  <c r="K6404" i="3"/>
  <c r="L6404" i="3" s="1"/>
  <c r="O6404" i="3"/>
  <c r="P6404" i="3"/>
  <c r="K6405" i="3"/>
  <c r="L6405" i="3" s="1"/>
  <c r="O6405" i="3"/>
  <c r="P6405" i="3"/>
  <c r="K6406" i="3"/>
  <c r="L6406" i="3" s="1"/>
  <c r="O6406" i="3"/>
  <c r="P6406" i="3"/>
  <c r="K6407" i="3"/>
  <c r="L6407" i="3" s="1"/>
  <c r="O6407" i="3"/>
  <c r="P6407" i="3"/>
  <c r="K6408" i="3"/>
  <c r="L6408" i="3" s="1"/>
  <c r="O6408" i="3"/>
  <c r="P6408" i="3"/>
  <c r="K6409" i="3"/>
  <c r="L6409" i="3" s="1"/>
  <c r="O6409" i="3"/>
  <c r="P6409" i="3"/>
  <c r="K6410" i="3"/>
  <c r="L6410" i="3" s="1"/>
  <c r="O6410" i="3"/>
  <c r="P6410" i="3"/>
  <c r="K6411" i="3"/>
  <c r="L6411" i="3" s="1"/>
  <c r="O6411" i="3"/>
  <c r="P6411" i="3"/>
  <c r="K6412" i="3"/>
  <c r="L6412" i="3" s="1"/>
  <c r="O6412" i="3"/>
  <c r="P6412" i="3"/>
  <c r="K6413" i="3"/>
  <c r="L6413" i="3" s="1"/>
  <c r="O6413" i="3"/>
  <c r="P6413" i="3"/>
  <c r="K6414" i="3"/>
  <c r="L6414" i="3" s="1"/>
  <c r="O6414" i="3"/>
  <c r="P6414" i="3"/>
  <c r="K6415" i="3"/>
  <c r="L6415" i="3" s="1"/>
  <c r="O6415" i="3"/>
  <c r="P6415" i="3"/>
  <c r="K6416" i="3"/>
  <c r="L6416" i="3" s="1"/>
  <c r="O6416" i="3"/>
  <c r="P6416" i="3"/>
  <c r="K6417" i="3"/>
  <c r="L6417" i="3" s="1"/>
  <c r="O6417" i="3"/>
  <c r="P6417" i="3"/>
  <c r="K6418" i="3"/>
  <c r="L6418" i="3" s="1"/>
  <c r="O6418" i="3"/>
  <c r="P6418" i="3"/>
  <c r="K6419" i="3"/>
  <c r="L6419" i="3" s="1"/>
  <c r="O6419" i="3"/>
  <c r="P6419" i="3"/>
  <c r="K6420" i="3"/>
  <c r="L6420" i="3" s="1"/>
  <c r="O6420" i="3"/>
  <c r="P6420" i="3"/>
  <c r="K6421" i="3"/>
  <c r="L6421" i="3" s="1"/>
  <c r="O6421" i="3"/>
  <c r="P6421" i="3"/>
  <c r="K6422" i="3"/>
  <c r="L6422" i="3" s="1"/>
  <c r="O6422" i="3"/>
  <c r="P6422" i="3"/>
  <c r="K6423" i="3"/>
  <c r="L6423" i="3" s="1"/>
  <c r="O6423" i="3"/>
  <c r="P6423" i="3"/>
  <c r="K6424" i="3"/>
  <c r="L6424" i="3" s="1"/>
  <c r="O6424" i="3"/>
  <c r="P6424" i="3"/>
  <c r="K6425" i="3"/>
  <c r="L6425" i="3" s="1"/>
  <c r="O6425" i="3"/>
  <c r="P6425" i="3"/>
  <c r="K6426" i="3"/>
  <c r="L6426" i="3" s="1"/>
  <c r="O6426" i="3"/>
  <c r="P6426" i="3"/>
  <c r="K6427" i="3"/>
  <c r="L6427" i="3" s="1"/>
  <c r="O6427" i="3"/>
  <c r="P6427" i="3"/>
  <c r="K6428" i="3"/>
  <c r="L6428" i="3" s="1"/>
  <c r="O6428" i="3"/>
  <c r="P6428" i="3"/>
  <c r="K6429" i="3"/>
  <c r="L6429" i="3" s="1"/>
  <c r="O6429" i="3"/>
  <c r="P6429" i="3"/>
  <c r="K6430" i="3"/>
  <c r="L6430" i="3" s="1"/>
  <c r="O6430" i="3"/>
  <c r="P6430" i="3"/>
  <c r="K6431" i="3"/>
  <c r="L6431" i="3" s="1"/>
  <c r="O6431" i="3"/>
  <c r="P6431" i="3"/>
  <c r="K6432" i="3"/>
  <c r="L6432" i="3" s="1"/>
  <c r="O6432" i="3"/>
  <c r="P6432" i="3"/>
  <c r="K6433" i="3"/>
  <c r="L6433" i="3" s="1"/>
  <c r="O6433" i="3"/>
  <c r="P6433" i="3"/>
  <c r="K6434" i="3"/>
  <c r="L6434" i="3" s="1"/>
  <c r="O6434" i="3"/>
  <c r="P6434" i="3"/>
  <c r="K6435" i="3"/>
  <c r="L6435" i="3" s="1"/>
  <c r="O6435" i="3"/>
  <c r="P6435" i="3"/>
  <c r="K6436" i="3"/>
  <c r="L6436" i="3" s="1"/>
  <c r="O6436" i="3"/>
  <c r="P6436" i="3"/>
  <c r="K6437" i="3"/>
  <c r="L6437" i="3" s="1"/>
  <c r="O6437" i="3"/>
  <c r="P6437" i="3"/>
  <c r="K6438" i="3"/>
  <c r="L6438" i="3" s="1"/>
  <c r="O6438" i="3"/>
  <c r="P6438" i="3"/>
  <c r="K6439" i="3"/>
  <c r="L6439" i="3" s="1"/>
  <c r="O6439" i="3"/>
  <c r="P6439" i="3"/>
  <c r="K6440" i="3"/>
  <c r="L6440" i="3" s="1"/>
  <c r="O6440" i="3"/>
  <c r="P6440" i="3"/>
  <c r="K6441" i="3"/>
  <c r="L6441" i="3" s="1"/>
  <c r="O6441" i="3"/>
  <c r="P6441" i="3"/>
  <c r="K6442" i="3"/>
  <c r="L6442" i="3" s="1"/>
  <c r="O6442" i="3"/>
  <c r="P6442" i="3"/>
  <c r="K6443" i="3"/>
  <c r="L6443" i="3" s="1"/>
  <c r="O6443" i="3"/>
  <c r="P6443" i="3"/>
  <c r="K6444" i="3"/>
  <c r="L6444" i="3" s="1"/>
  <c r="O6444" i="3"/>
  <c r="P6444" i="3"/>
  <c r="K6445" i="3"/>
  <c r="L6445" i="3" s="1"/>
  <c r="O6445" i="3"/>
  <c r="P6445" i="3"/>
  <c r="K6446" i="3"/>
  <c r="L6446" i="3" s="1"/>
  <c r="O6446" i="3"/>
  <c r="P6446" i="3"/>
  <c r="K6447" i="3"/>
  <c r="L6447" i="3" s="1"/>
  <c r="O6447" i="3"/>
  <c r="P6447" i="3"/>
  <c r="K6448" i="3"/>
  <c r="L6448" i="3" s="1"/>
  <c r="O6448" i="3"/>
  <c r="P6448" i="3"/>
  <c r="K6449" i="3"/>
  <c r="L6449" i="3" s="1"/>
  <c r="O6449" i="3"/>
  <c r="P6449" i="3"/>
  <c r="K6450" i="3"/>
  <c r="L6450" i="3" s="1"/>
  <c r="O6450" i="3"/>
  <c r="P6450" i="3"/>
  <c r="K6451" i="3"/>
  <c r="L6451" i="3" s="1"/>
  <c r="O6451" i="3"/>
  <c r="P6451" i="3"/>
  <c r="K6452" i="3"/>
  <c r="L6452" i="3" s="1"/>
  <c r="O6452" i="3"/>
  <c r="P6452" i="3"/>
  <c r="K6453" i="3"/>
  <c r="L6453" i="3" s="1"/>
  <c r="O6453" i="3"/>
  <c r="P6453" i="3"/>
  <c r="K6454" i="3"/>
  <c r="L6454" i="3" s="1"/>
  <c r="O6454" i="3"/>
  <c r="P6454" i="3"/>
  <c r="K6455" i="3"/>
  <c r="L6455" i="3" s="1"/>
  <c r="O6455" i="3"/>
  <c r="P6455" i="3"/>
  <c r="K6456" i="3"/>
  <c r="L6456" i="3" s="1"/>
  <c r="O6456" i="3"/>
  <c r="P6456" i="3"/>
  <c r="K6457" i="3"/>
  <c r="L6457" i="3" s="1"/>
  <c r="O6457" i="3"/>
  <c r="P6457" i="3"/>
  <c r="K6458" i="3"/>
  <c r="L6458" i="3" s="1"/>
  <c r="O6458" i="3"/>
  <c r="P6458" i="3"/>
  <c r="K6459" i="3"/>
  <c r="L6459" i="3" s="1"/>
  <c r="O6459" i="3"/>
  <c r="P6459" i="3"/>
  <c r="K6460" i="3"/>
  <c r="L6460" i="3" s="1"/>
  <c r="O6460" i="3"/>
  <c r="P6460" i="3"/>
  <c r="K6461" i="3"/>
  <c r="L6461" i="3" s="1"/>
  <c r="O6461" i="3"/>
  <c r="P6461" i="3"/>
  <c r="K6462" i="3"/>
  <c r="L6462" i="3" s="1"/>
  <c r="O6462" i="3"/>
  <c r="P6462" i="3"/>
  <c r="K6463" i="3"/>
  <c r="L6463" i="3" s="1"/>
  <c r="O6463" i="3"/>
  <c r="P6463" i="3"/>
  <c r="K6464" i="3"/>
  <c r="L6464" i="3" s="1"/>
  <c r="O6464" i="3"/>
  <c r="P6464" i="3"/>
  <c r="K6465" i="3"/>
  <c r="L6465" i="3" s="1"/>
  <c r="O6465" i="3"/>
  <c r="P6465" i="3"/>
  <c r="K6466" i="3"/>
  <c r="L6466" i="3" s="1"/>
  <c r="O6466" i="3"/>
  <c r="P6466" i="3"/>
  <c r="K6467" i="3"/>
  <c r="L6467" i="3" s="1"/>
  <c r="O6467" i="3"/>
  <c r="P6467" i="3"/>
  <c r="K6468" i="3"/>
  <c r="L6468" i="3" s="1"/>
  <c r="O6468" i="3"/>
  <c r="P6468" i="3"/>
  <c r="K6469" i="3"/>
  <c r="L6469" i="3" s="1"/>
  <c r="O6469" i="3"/>
  <c r="P6469" i="3"/>
  <c r="K6470" i="3"/>
  <c r="L6470" i="3" s="1"/>
  <c r="O6470" i="3"/>
  <c r="P6470" i="3"/>
  <c r="K6471" i="3"/>
  <c r="L6471" i="3" s="1"/>
  <c r="O6471" i="3"/>
  <c r="P6471" i="3"/>
  <c r="K6472" i="3"/>
  <c r="L6472" i="3" s="1"/>
  <c r="O6472" i="3"/>
  <c r="P6472" i="3"/>
  <c r="K6473" i="3"/>
  <c r="L6473" i="3" s="1"/>
  <c r="O6473" i="3"/>
  <c r="P6473" i="3"/>
  <c r="K6474" i="3"/>
  <c r="L6474" i="3" s="1"/>
  <c r="O6474" i="3"/>
  <c r="P6474" i="3"/>
  <c r="K6475" i="3"/>
  <c r="L6475" i="3" s="1"/>
  <c r="O6475" i="3"/>
  <c r="P6475" i="3"/>
  <c r="K6476" i="3"/>
  <c r="L6476" i="3" s="1"/>
  <c r="O6476" i="3"/>
  <c r="P6476" i="3"/>
  <c r="K6477" i="3"/>
  <c r="L6477" i="3" s="1"/>
  <c r="O6477" i="3"/>
  <c r="P6477" i="3"/>
  <c r="K6478" i="3"/>
  <c r="L6478" i="3" s="1"/>
  <c r="O6478" i="3"/>
  <c r="P6478" i="3"/>
  <c r="K6479" i="3"/>
  <c r="L6479" i="3" s="1"/>
  <c r="O6479" i="3"/>
  <c r="P6479" i="3"/>
  <c r="K6480" i="3"/>
  <c r="L6480" i="3" s="1"/>
  <c r="O6480" i="3"/>
  <c r="P6480" i="3"/>
  <c r="K6481" i="3"/>
  <c r="L6481" i="3" s="1"/>
  <c r="O6481" i="3"/>
  <c r="P6481" i="3"/>
  <c r="K6482" i="3"/>
  <c r="L6482" i="3" s="1"/>
  <c r="O6482" i="3"/>
  <c r="P6482" i="3"/>
  <c r="K6483" i="3"/>
  <c r="L6483" i="3" s="1"/>
  <c r="O6483" i="3"/>
  <c r="P6483" i="3"/>
  <c r="K6484" i="3"/>
  <c r="L6484" i="3" s="1"/>
  <c r="O6484" i="3"/>
  <c r="P6484" i="3"/>
  <c r="K6485" i="3"/>
  <c r="L6485" i="3" s="1"/>
  <c r="O6485" i="3"/>
  <c r="P6485" i="3"/>
  <c r="K6486" i="3"/>
  <c r="L6486" i="3" s="1"/>
  <c r="O6486" i="3"/>
  <c r="P6486" i="3"/>
  <c r="K6487" i="3"/>
  <c r="L6487" i="3" s="1"/>
  <c r="O6487" i="3"/>
  <c r="P6487" i="3"/>
  <c r="K6488" i="3"/>
  <c r="L6488" i="3" s="1"/>
  <c r="O6488" i="3"/>
  <c r="P6488" i="3"/>
  <c r="K6489" i="3"/>
  <c r="L6489" i="3" s="1"/>
  <c r="O6489" i="3"/>
  <c r="P6489" i="3"/>
  <c r="K6490" i="3"/>
  <c r="L6490" i="3" s="1"/>
  <c r="O6490" i="3"/>
  <c r="P6490" i="3"/>
  <c r="K6491" i="3"/>
  <c r="L6491" i="3" s="1"/>
  <c r="O6491" i="3"/>
  <c r="P6491" i="3"/>
  <c r="K6492" i="3"/>
  <c r="L6492" i="3" s="1"/>
  <c r="O6492" i="3"/>
  <c r="P6492" i="3"/>
  <c r="K6493" i="3"/>
  <c r="L6493" i="3" s="1"/>
  <c r="O6493" i="3"/>
  <c r="P6493" i="3"/>
  <c r="K6494" i="3"/>
  <c r="L6494" i="3" s="1"/>
  <c r="O6494" i="3"/>
  <c r="P6494" i="3"/>
  <c r="K6495" i="3"/>
  <c r="L6495" i="3" s="1"/>
  <c r="O6495" i="3"/>
  <c r="P6495" i="3"/>
  <c r="K6496" i="3"/>
  <c r="L6496" i="3" s="1"/>
  <c r="O6496" i="3"/>
  <c r="P6496" i="3"/>
  <c r="K6497" i="3"/>
  <c r="L6497" i="3" s="1"/>
  <c r="O6497" i="3"/>
  <c r="P6497" i="3"/>
  <c r="K6498" i="3"/>
  <c r="L6498" i="3" s="1"/>
  <c r="O6498" i="3"/>
  <c r="P6498" i="3"/>
  <c r="K6499" i="3"/>
  <c r="L6499" i="3" s="1"/>
  <c r="O6499" i="3"/>
  <c r="P6499" i="3"/>
  <c r="K6500" i="3"/>
  <c r="L6500" i="3" s="1"/>
  <c r="O6500" i="3"/>
  <c r="P6500" i="3"/>
  <c r="K6501" i="3"/>
  <c r="L6501" i="3" s="1"/>
  <c r="O6501" i="3"/>
  <c r="P6501" i="3"/>
  <c r="K6502" i="3"/>
  <c r="L6502" i="3" s="1"/>
  <c r="O6502" i="3"/>
  <c r="P6502" i="3"/>
  <c r="K6503" i="3"/>
  <c r="L6503" i="3" s="1"/>
  <c r="O6503" i="3"/>
  <c r="P6503" i="3"/>
  <c r="K6504" i="3"/>
  <c r="L6504" i="3" s="1"/>
  <c r="O6504" i="3"/>
  <c r="P6504" i="3"/>
  <c r="K6505" i="3"/>
  <c r="L6505" i="3" s="1"/>
  <c r="O6505" i="3"/>
  <c r="P6505" i="3"/>
  <c r="K6506" i="3"/>
  <c r="L6506" i="3" s="1"/>
  <c r="O6506" i="3"/>
  <c r="P6506" i="3"/>
  <c r="K6507" i="3"/>
  <c r="L6507" i="3" s="1"/>
  <c r="O6507" i="3"/>
  <c r="P6507" i="3"/>
  <c r="K6508" i="3"/>
  <c r="L6508" i="3" s="1"/>
  <c r="O6508" i="3"/>
  <c r="P6508" i="3"/>
  <c r="K6509" i="3"/>
  <c r="L6509" i="3" s="1"/>
  <c r="O6509" i="3"/>
  <c r="P6509" i="3"/>
  <c r="K6510" i="3"/>
  <c r="L6510" i="3" s="1"/>
  <c r="O6510" i="3"/>
  <c r="P6510" i="3"/>
  <c r="K6511" i="3"/>
  <c r="L6511" i="3" s="1"/>
  <c r="O6511" i="3"/>
  <c r="P6511" i="3"/>
  <c r="K6512" i="3"/>
  <c r="L6512" i="3" s="1"/>
  <c r="O6512" i="3"/>
  <c r="P6512" i="3"/>
  <c r="K6513" i="3"/>
  <c r="L6513" i="3" s="1"/>
  <c r="O6513" i="3"/>
  <c r="P6513" i="3"/>
  <c r="K6514" i="3"/>
  <c r="L6514" i="3" s="1"/>
  <c r="O6514" i="3"/>
  <c r="P6514" i="3"/>
  <c r="K6515" i="3"/>
  <c r="L6515" i="3" s="1"/>
  <c r="O6515" i="3"/>
  <c r="P6515" i="3"/>
  <c r="K6516" i="3"/>
  <c r="L6516" i="3" s="1"/>
  <c r="O6516" i="3"/>
  <c r="P6516" i="3"/>
  <c r="K6517" i="3"/>
  <c r="L6517" i="3" s="1"/>
  <c r="O6517" i="3"/>
  <c r="P6517" i="3"/>
  <c r="K6518" i="3"/>
  <c r="L6518" i="3" s="1"/>
  <c r="O6518" i="3"/>
  <c r="P6518" i="3"/>
  <c r="K6519" i="3"/>
  <c r="L6519" i="3" s="1"/>
  <c r="O6519" i="3"/>
  <c r="P6519" i="3"/>
  <c r="K6520" i="3"/>
  <c r="L6520" i="3" s="1"/>
  <c r="O6520" i="3"/>
  <c r="P6520" i="3"/>
  <c r="K6521" i="3"/>
  <c r="L6521" i="3" s="1"/>
  <c r="O6521" i="3"/>
  <c r="P6521" i="3"/>
  <c r="K6522" i="3"/>
  <c r="L6522" i="3" s="1"/>
  <c r="O6522" i="3"/>
  <c r="P6522" i="3"/>
  <c r="K6523" i="3"/>
  <c r="L6523" i="3" s="1"/>
  <c r="O6523" i="3"/>
  <c r="P6523" i="3"/>
  <c r="K6524" i="3"/>
  <c r="L6524" i="3" s="1"/>
  <c r="O6524" i="3"/>
  <c r="P6524" i="3"/>
  <c r="K6525" i="3"/>
  <c r="L6525" i="3" s="1"/>
  <c r="O6525" i="3"/>
  <c r="P6525" i="3"/>
  <c r="K6526" i="3"/>
  <c r="L6526" i="3" s="1"/>
  <c r="O6526" i="3"/>
  <c r="P6526" i="3"/>
  <c r="K6527" i="3"/>
  <c r="L6527" i="3" s="1"/>
  <c r="O6527" i="3"/>
  <c r="P6527" i="3"/>
  <c r="K6528" i="3"/>
  <c r="L6528" i="3" s="1"/>
  <c r="O6528" i="3"/>
  <c r="P6528" i="3"/>
  <c r="K6529" i="3"/>
  <c r="L6529" i="3" s="1"/>
  <c r="O6529" i="3"/>
  <c r="P6529" i="3"/>
  <c r="K6530" i="3"/>
  <c r="L6530" i="3" s="1"/>
  <c r="O6530" i="3"/>
  <c r="P6530" i="3"/>
  <c r="K6531" i="3"/>
  <c r="L6531" i="3" s="1"/>
  <c r="O6531" i="3"/>
  <c r="P6531" i="3"/>
  <c r="K6532" i="3"/>
  <c r="L6532" i="3" s="1"/>
  <c r="O6532" i="3"/>
  <c r="P6532" i="3"/>
  <c r="K6533" i="3"/>
  <c r="L6533" i="3" s="1"/>
  <c r="O6533" i="3"/>
  <c r="P6533" i="3"/>
  <c r="K6534" i="3"/>
  <c r="L6534" i="3" s="1"/>
  <c r="O6534" i="3"/>
  <c r="P6534" i="3"/>
  <c r="K6535" i="3"/>
  <c r="L6535" i="3" s="1"/>
  <c r="O6535" i="3"/>
  <c r="P6535" i="3"/>
  <c r="K6536" i="3"/>
  <c r="L6536" i="3" s="1"/>
  <c r="O6536" i="3"/>
  <c r="P6536" i="3"/>
  <c r="K6537" i="3"/>
  <c r="L6537" i="3" s="1"/>
  <c r="O6537" i="3"/>
  <c r="P6537" i="3"/>
  <c r="K6538" i="3"/>
  <c r="L6538" i="3" s="1"/>
  <c r="O6538" i="3"/>
  <c r="P6538" i="3"/>
  <c r="K6539" i="3"/>
  <c r="L6539" i="3" s="1"/>
  <c r="O6539" i="3"/>
  <c r="P6539" i="3"/>
  <c r="K6540" i="3"/>
  <c r="L6540" i="3" s="1"/>
  <c r="O6540" i="3"/>
  <c r="P6540" i="3"/>
  <c r="K6541" i="3"/>
  <c r="L6541" i="3" s="1"/>
  <c r="O6541" i="3"/>
  <c r="P6541" i="3"/>
  <c r="K6542" i="3"/>
  <c r="L6542" i="3" s="1"/>
  <c r="O6542" i="3"/>
  <c r="P6542" i="3"/>
  <c r="K6543" i="3"/>
  <c r="L6543" i="3" s="1"/>
  <c r="O6543" i="3"/>
  <c r="P6543" i="3"/>
  <c r="K6544" i="3"/>
  <c r="L6544" i="3" s="1"/>
  <c r="O6544" i="3"/>
  <c r="P6544" i="3"/>
  <c r="K6545" i="3"/>
  <c r="L6545" i="3" s="1"/>
  <c r="O6545" i="3"/>
  <c r="P6545" i="3"/>
  <c r="K6546" i="3"/>
  <c r="L6546" i="3" s="1"/>
  <c r="O6546" i="3"/>
  <c r="P6546" i="3"/>
  <c r="K6547" i="3"/>
  <c r="L6547" i="3" s="1"/>
  <c r="O6547" i="3"/>
  <c r="P6547" i="3"/>
  <c r="K6548" i="3"/>
  <c r="L6548" i="3" s="1"/>
  <c r="O6548" i="3"/>
  <c r="P6548" i="3"/>
  <c r="K6549" i="3"/>
  <c r="L6549" i="3" s="1"/>
  <c r="O6549" i="3"/>
  <c r="P6549" i="3"/>
  <c r="K6550" i="3"/>
  <c r="L6550" i="3" s="1"/>
  <c r="O6550" i="3"/>
  <c r="P6550" i="3"/>
  <c r="K6551" i="3"/>
  <c r="L6551" i="3" s="1"/>
  <c r="O6551" i="3"/>
  <c r="P6551" i="3"/>
  <c r="K6552" i="3"/>
  <c r="L6552" i="3" s="1"/>
  <c r="O6552" i="3"/>
  <c r="P6552" i="3"/>
  <c r="K6553" i="3"/>
  <c r="L6553" i="3" s="1"/>
  <c r="O6553" i="3"/>
  <c r="P6553" i="3"/>
  <c r="K6554" i="3"/>
  <c r="L6554" i="3" s="1"/>
  <c r="O6554" i="3"/>
  <c r="P6554" i="3"/>
  <c r="K6555" i="3"/>
  <c r="L6555" i="3" s="1"/>
  <c r="O6555" i="3"/>
  <c r="P6555" i="3"/>
  <c r="K6556" i="3"/>
  <c r="L6556" i="3" s="1"/>
  <c r="O6556" i="3"/>
  <c r="P6556" i="3"/>
  <c r="K6557" i="3"/>
  <c r="L6557" i="3" s="1"/>
  <c r="O6557" i="3"/>
  <c r="P6557" i="3"/>
  <c r="K6558" i="3"/>
  <c r="L6558" i="3" s="1"/>
  <c r="O6558" i="3"/>
  <c r="P6558" i="3"/>
  <c r="K6559" i="3"/>
  <c r="L6559" i="3" s="1"/>
  <c r="O6559" i="3"/>
  <c r="P6559" i="3"/>
  <c r="K6560" i="3"/>
  <c r="L6560" i="3" s="1"/>
  <c r="O6560" i="3"/>
  <c r="P6560" i="3"/>
  <c r="K6561" i="3"/>
  <c r="L6561" i="3" s="1"/>
  <c r="O6561" i="3"/>
  <c r="P6561" i="3"/>
  <c r="K6562" i="3"/>
  <c r="L6562" i="3" s="1"/>
  <c r="O6562" i="3"/>
  <c r="P6562" i="3"/>
  <c r="K6563" i="3"/>
  <c r="L6563" i="3" s="1"/>
  <c r="O6563" i="3"/>
  <c r="P6563" i="3"/>
  <c r="K6564" i="3"/>
  <c r="L6564" i="3" s="1"/>
  <c r="O6564" i="3"/>
  <c r="P6564" i="3"/>
  <c r="K6565" i="3"/>
  <c r="L6565" i="3" s="1"/>
  <c r="O6565" i="3"/>
  <c r="P6565" i="3"/>
  <c r="K6566" i="3"/>
  <c r="L6566" i="3" s="1"/>
  <c r="O6566" i="3"/>
  <c r="P6566" i="3"/>
  <c r="K6567" i="3"/>
  <c r="L6567" i="3" s="1"/>
  <c r="O6567" i="3"/>
  <c r="P6567" i="3"/>
  <c r="K6568" i="3"/>
  <c r="L6568" i="3" s="1"/>
  <c r="O6568" i="3"/>
  <c r="P6568" i="3"/>
  <c r="K6569" i="3"/>
  <c r="L6569" i="3" s="1"/>
  <c r="O6569" i="3"/>
  <c r="P6569" i="3"/>
  <c r="K6570" i="3"/>
  <c r="L6570" i="3" s="1"/>
  <c r="O6570" i="3"/>
  <c r="P6570" i="3"/>
  <c r="K6571" i="3"/>
  <c r="L6571" i="3" s="1"/>
  <c r="O6571" i="3"/>
  <c r="P6571" i="3"/>
  <c r="K6572" i="3"/>
  <c r="L6572" i="3" s="1"/>
  <c r="O6572" i="3"/>
  <c r="P6572" i="3"/>
  <c r="K6573" i="3"/>
  <c r="L6573" i="3" s="1"/>
  <c r="O6573" i="3"/>
  <c r="P6573" i="3"/>
  <c r="K6574" i="3"/>
  <c r="L6574" i="3" s="1"/>
  <c r="O6574" i="3"/>
  <c r="P6574" i="3"/>
  <c r="K6575" i="3"/>
  <c r="L6575" i="3" s="1"/>
  <c r="O6575" i="3"/>
  <c r="P6575" i="3"/>
  <c r="K6576" i="3"/>
  <c r="L6576" i="3" s="1"/>
  <c r="O6576" i="3"/>
  <c r="P6576" i="3"/>
  <c r="K6577" i="3"/>
  <c r="L6577" i="3" s="1"/>
  <c r="O6577" i="3"/>
  <c r="P6577" i="3"/>
  <c r="K6578" i="3"/>
  <c r="L6578" i="3" s="1"/>
  <c r="O6578" i="3"/>
  <c r="P6578" i="3"/>
  <c r="K6579" i="3"/>
  <c r="L6579" i="3" s="1"/>
  <c r="O6579" i="3"/>
  <c r="P6579" i="3"/>
  <c r="K6580" i="3"/>
  <c r="L6580" i="3" s="1"/>
  <c r="O6580" i="3"/>
  <c r="P6580" i="3"/>
  <c r="K6581" i="3"/>
  <c r="L6581" i="3" s="1"/>
  <c r="O6581" i="3"/>
  <c r="P6581" i="3"/>
  <c r="K6582" i="3"/>
  <c r="L6582" i="3" s="1"/>
  <c r="O6582" i="3"/>
  <c r="P6582" i="3"/>
  <c r="K6583" i="3"/>
  <c r="L6583" i="3" s="1"/>
  <c r="O6583" i="3"/>
  <c r="P6583" i="3"/>
  <c r="K6584" i="3"/>
  <c r="L6584" i="3" s="1"/>
  <c r="O6584" i="3"/>
  <c r="P6584" i="3"/>
  <c r="K6585" i="3"/>
  <c r="L6585" i="3" s="1"/>
  <c r="O6585" i="3"/>
  <c r="P6585" i="3"/>
  <c r="K6586" i="3"/>
  <c r="L6586" i="3" s="1"/>
  <c r="O6586" i="3"/>
  <c r="P6586" i="3"/>
  <c r="K6587" i="3"/>
  <c r="L6587" i="3" s="1"/>
  <c r="O6587" i="3"/>
  <c r="P6587" i="3"/>
  <c r="K6588" i="3"/>
  <c r="L6588" i="3" s="1"/>
  <c r="O6588" i="3"/>
  <c r="P6588" i="3"/>
  <c r="K6589" i="3"/>
  <c r="L6589" i="3" s="1"/>
  <c r="O6589" i="3"/>
  <c r="P6589" i="3"/>
  <c r="K6590" i="3"/>
  <c r="L6590" i="3" s="1"/>
  <c r="O6590" i="3"/>
  <c r="P6590" i="3"/>
  <c r="K6591" i="3"/>
  <c r="L6591" i="3" s="1"/>
  <c r="O6591" i="3"/>
  <c r="P6591" i="3"/>
  <c r="K6592" i="3"/>
  <c r="L6592" i="3" s="1"/>
  <c r="O6592" i="3"/>
  <c r="P6592" i="3"/>
  <c r="K6593" i="3"/>
  <c r="L6593" i="3" s="1"/>
  <c r="O6593" i="3"/>
  <c r="P6593" i="3"/>
  <c r="K6594" i="3"/>
  <c r="L6594" i="3" s="1"/>
  <c r="O6594" i="3"/>
  <c r="P6594" i="3"/>
  <c r="K6595" i="3"/>
  <c r="L6595" i="3" s="1"/>
  <c r="O6595" i="3"/>
  <c r="P6595" i="3"/>
  <c r="K6596" i="3"/>
  <c r="L6596" i="3" s="1"/>
  <c r="O6596" i="3"/>
  <c r="P6596" i="3"/>
  <c r="K6597" i="3"/>
  <c r="L6597" i="3" s="1"/>
  <c r="O6597" i="3"/>
  <c r="P6597" i="3"/>
  <c r="K6598" i="3"/>
  <c r="L6598" i="3" s="1"/>
  <c r="O6598" i="3"/>
  <c r="P6598" i="3"/>
  <c r="K6599" i="3"/>
  <c r="L6599" i="3" s="1"/>
  <c r="O6599" i="3"/>
  <c r="P6599" i="3"/>
  <c r="K6600" i="3"/>
  <c r="L6600" i="3" s="1"/>
  <c r="O6600" i="3"/>
  <c r="P6600" i="3"/>
  <c r="K6601" i="3"/>
  <c r="L6601" i="3" s="1"/>
  <c r="O6601" i="3"/>
  <c r="P6601" i="3"/>
  <c r="K6602" i="3"/>
  <c r="L6602" i="3" s="1"/>
  <c r="O6602" i="3"/>
  <c r="P6602" i="3"/>
  <c r="K6603" i="3"/>
  <c r="L6603" i="3" s="1"/>
  <c r="O6603" i="3"/>
  <c r="P6603" i="3"/>
  <c r="K6604" i="3"/>
  <c r="L6604" i="3" s="1"/>
  <c r="O6604" i="3"/>
  <c r="P6604" i="3"/>
  <c r="K6605" i="3"/>
  <c r="L6605" i="3" s="1"/>
  <c r="O6605" i="3"/>
  <c r="P6605" i="3"/>
  <c r="K6606" i="3"/>
  <c r="L6606" i="3" s="1"/>
  <c r="O6606" i="3"/>
  <c r="P6606" i="3"/>
  <c r="K6607" i="3"/>
  <c r="L6607" i="3" s="1"/>
  <c r="O6607" i="3"/>
  <c r="P6607" i="3"/>
  <c r="K6608" i="3"/>
  <c r="L6608" i="3" s="1"/>
  <c r="O6608" i="3"/>
  <c r="P6608" i="3"/>
  <c r="K6609" i="3"/>
  <c r="L6609" i="3" s="1"/>
  <c r="O6609" i="3"/>
  <c r="P6609" i="3"/>
  <c r="K6610" i="3"/>
  <c r="L6610" i="3" s="1"/>
  <c r="O6610" i="3"/>
  <c r="P6610" i="3"/>
  <c r="K6611" i="3"/>
  <c r="L6611" i="3" s="1"/>
  <c r="O6611" i="3"/>
  <c r="P6611" i="3"/>
  <c r="K6612" i="3"/>
  <c r="L6612" i="3" s="1"/>
  <c r="O6612" i="3"/>
  <c r="P6612" i="3"/>
  <c r="K6613" i="3"/>
  <c r="L6613" i="3" s="1"/>
  <c r="O6613" i="3"/>
  <c r="P6613" i="3"/>
  <c r="K6614" i="3"/>
  <c r="L6614" i="3" s="1"/>
  <c r="O6614" i="3"/>
  <c r="P6614" i="3"/>
  <c r="K6615" i="3"/>
  <c r="L6615" i="3" s="1"/>
  <c r="O6615" i="3"/>
  <c r="P6615" i="3"/>
  <c r="K6616" i="3"/>
  <c r="L6616" i="3" s="1"/>
  <c r="O6616" i="3"/>
  <c r="P6616" i="3"/>
  <c r="K6617" i="3"/>
  <c r="L6617" i="3" s="1"/>
  <c r="O6617" i="3"/>
  <c r="P6617" i="3"/>
  <c r="K6618" i="3"/>
  <c r="L6618" i="3" s="1"/>
  <c r="O6618" i="3"/>
  <c r="P6618" i="3"/>
  <c r="K6619" i="3"/>
  <c r="L6619" i="3" s="1"/>
  <c r="O6619" i="3"/>
  <c r="P6619" i="3"/>
  <c r="K6620" i="3"/>
  <c r="L6620" i="3" s="1"/>
  <c r="O6620" i="3"/>
  <c r="P6620" i="3"/>
  <c r="K6621" i="3"/>
  <c r="L6621" i="3" s="1"/>
  <c r="O6621" i="3"/>
  <c r="P6621" i="3"/>
  <c r="K6622" i="3"/>
  <c r="L6622" i="3" s="1"/>
  <c r="O6622" i="3"/>
  <c r="P6622" i="3"/>
  <c r="K6623" i="3"/>
  <c r="L6623" i="3" s="1"/>
  <c r="O6623" i="3"/>
  <c r="P6623" i="3"/>
  <c r="K6624" i="3"/>
  <c r="L6624" i="3" s="1"/>
  <c r="O6624" i="3"/>
  <c r="P6624" i="3"/>
  <c r="K6625" i="3"/>
  <c r="L6625" i="3" s="1"/>
  <c r="O6625" i="3"/>
  <c r="P6625" i="3"/>
  <c r="K6626" i="3"/>
  <c r="L6626" i="3" s="1"/>
  <c r="O6626" i="3"/>
  <c r="P6626" i="3"/>
  <c r="K6627" i="3"/>
  <c r="L6627" i="3" s="1"/>
  <c r="O6627" i="3"/>
  <c r="P6627" i="3"/>
  <c r="K6628" i="3"/>
  <c r="L6628" i="3" s="1"/>
  <c r="O6628" i="3"/>
  <c r="P6628" i="3"/>
  <c r="K6629" i="3"/>
  <c r="L6629" i="3" s="1"/>
  <c r="O6629" i="3"/>
  <c r="P6629" i="3"/>
  <c r="K6630" i="3"/>
  <c r="L6630" i="3" s="1"/>
  <c r="O6630" i="3"/>
  <c r="P6630" i="3"/>
  <c r="K6631" i="3"/>
  <c r="L6631" i="3" s="1"/>
  <c r="O6631" i="3"/>
  <c r="P6631" i="3"/>
  <c r="K6632" i="3"/>
  <c r="L6632" i="3" s="1"/>
  <c r="O6632" i="3"/>
  <c r="P6632" i="3"/>
  <c r="K6633" i="3"/>
  <c r="L6633" i="3" s="1"/>
  <c r="O6633" i="3"/>
  <c r="P6633" i="3"/>
  <c r="K6634" i="3"/>
  <c r="L6634" i="3" s="1"/>
  <c r="O6634" i="3"/>
  <c r="P6634" i="3"/>
  <c r="K6635" i="3"/>
  <c r="L6635" i="3" s="1"/>
  <c r="O6635" i="3"/>
  <c r="P6635" i="3"/>
  <c r="K6636" i="3"/>
  <c r="L6636" i="3" s="1"/>
  <c r="O6636" i="3"/>
  <c r="P6636" i="3"/>
  <c r="K6637" i="3"/>
  <c r="L6637" i="3" s="1"/>
  <c r="O6637" i="3"/>
  <c r="P6637" i="3"/>
  <c r="K6638" i="3"/>
  <c r="L6638" i="3" s="1"/>
  <c r="O6638" i="3"/>
  <c r="P6638" i="3"/>
  <c r="K6639" i="3"/>
  <c r="L6639" i="3" s="1"/>
  <c r="O6639" i="3"/>
  <c r="P6639" i="3"/>
  <c r="K6640" i="3"/>
  <c r="L6640" i="3" s="1"/>
  <c r="O6640" i="3"/>
  <c r="P6640" i="3"/>
  <c r="K6641" i="3"/>
  <c r="L6641" i="3" s="1"/>
  <c r="O6641" i="3"/>
  <c r="P6641" i="3"/>
  <c r="K6642" i="3"/>
  <c r="L6642" i="3" s="1"/>
  <c r="O6642" i="3"/>
  <c r="P6642" i="3"/>
  <c r="K6643" i="3"/>
  <c r="L6643" i="3" s="1"/>
  <c r="O6643" i="3"/>
  <c r="P6643" i="3"/>
  <c r="K6644" i="3"/>
  <c r="L6644" i="3" s="1"/>
  <c r="O6644" i="3"/>
  <c r="P6644" i="3"/>
  <c r="K6645" i="3"/>
  <c r="L6645" i="3" s="1"/>
  <c r="O6645" i="3"/>
  <c r="P6645" i="3"/>
  <c r="K6646" i="3"/>
  <c r="L6646" i="3" s="1"/>
  <c r="O6646" i="3"/>
  <c r="P6646" i="3"/>
  <c r="K6647" i="3"/>
  <c r="L6647" i="3" s="1"/>
  <c r="O6647" i="3"/>
  <c r="P6647" i="3"/>
  <c r="K6648" i="3"/>
  <c r="L6648" i="3" s="1"/>
  <c r="O6648" i="3"/>
  <c r="P6648" i="3"/>
  <c r="K6649" i="3"/>
  <c r="L6649" i="3" s="1"/>
  <c r="O6649" i="3"/>
  <c r="P6649" i="3"/>
  <c r="K6650" i="3"/>
  <c r="L6650" i="3" s="1"/>
  <c r="O6650" i="3"/>
  <c r="P6650" i="3"/>
  <c r="K6651" i="3"/>
  <c r="L6651" i="3" s="1"/>
  <c r="O6651" i="3"/>
  <c r="P6651" i="3"/>
  <c r="K6652" i="3"/>
  <c r="L6652" i="3" s="1"/>
  <c r="O6652" i="3"/>
  <c r="P6652" i="3"/>
  <c r="K6653" i="3"/>
  <c r="L6653" i="3" s="1"/>
  <c r="O6653" i="3"/>
  <c r="P6653" i="3"/>
  <c r="K6654" i="3"/>
  <c r="L6654" i="3" s="1"/>
  <c r="O6654" i="3"/>
  <c r="P6654" i="3"/>
  <c r="K6655" i="3"/>
  <c r="L6655" i="3" s="1"/>
  <c r="O6655" i="3"/>
  <c r="P6655" i="3"/>
  <c r="K6656" i="3"/>
  <c r="L6656" i="3" s="1"/>
  <c r="O6656" i="3"/>
  <c r="P6656" i="3"/>
  <c r="K6657" i="3"/>
  <c r="L6657" i="3" s="1"/>
  <c r="O6657" i="3"/>
  <c r="P6657" i="3"/>
  <c r="K6658" i="3"/>
  <c r="L6658" i="3" s="1"/>
  <c r="O6658" i="3"/>
  <c r="P6658" i="3"/>
  <c r="K6659" i="3"/>
  <c r="L6659" i="3" s="1"/>
  <c r="O6659" i="3"/>
  <c r="P6659" i="3"/>
  <c r="K6660" i="3"/>
  <c r="L6660" i="3" s="1"/>
  <c r="O6660" i="3"/>
  <c r="P6660" i="3"/>
  <c r="K6661" i="3"/>
  <c r="L6661" i="3" s="1"/>
  <c r="O6661" i="3"/>
  <c r="P6661" i="3"/>
  <c r="K6662" i="3"/>
  <c r="L6662" i="3" s="1"/>
  <c r="O6662" i="3"/>
  <c r="P6662" i="3"/>
  <c r="K6663" i="3"/>
  <c r="L6663" i="3" s="1"/>
  <c r="O6663" i="3"/>
  <c r="P6663" i="3"/>
  <c r="K6664" i="3"/>
  <c r="L6664" i="3" s="1"/>
  <c r="O6664" i="3"/>
  <c r="P6664" i="3"/>
  <c r="K6665" i="3"/>
  <c r="L6665" i="3" s="1"/>
  <c r="O6665" i="3"/>
  <c r="P6665" i="3"/>
  <c r="K6666" i="3"/>
  <c r="L6666" i="3" s="1"/>
  <c r="O6666" i="3"/>
  <c r="P6666" i="3"/>
  <c r="K6667" i="3"/>
  <c r="L6667" i="3" s="1"/>
  <c r="O6667" i="3"/>
  <c r="P6667" i="3"/>
  <c r="K6668" i="3"/>
  <c r="L6668" i="3" s="1"/>
  <c r="O6668" i="3"/>
  <c r="P6668" i="3"/>
  <c r="K6669" i="3"/>
  <c r="L6669" i="3" s="1"/>
  <c r="O6669" i="3"/>
  <c r="P6669" i="3"/>
  <c r="K6670" i="3"/>
  <c r="L6670" i="3" s="1"/>
  <c r="O6670" i="3"/>
  <c r="P6670" i="3"/>
  <c r="K6671" i="3"/>
  <c r="L6671" i="3" s="1"/>
  <c r="O6671" i="3"/>
  <c r="P6671" i="3"/>
  <c r="K6672" i="3"/>
  <c r="L6672" i="3" s="1"/>
  <c r="O6672" i="3"/>
  <c r="P6672" i="3"/>
  <c r="K6673" i="3"/>
  <c r="L6673" i="3" s="1"/>
  <c r="O6673" i="3"/>
  <c r="P6673" i="3"/>
  <c r="K6674" i="3"/>
  <c r="L6674" i="3" s="1"/>
  <c r="O6674" i="3"/>
  <c r="P6674" i="3"/>
  <c r="K6675" i="3"/>
  <c r="L6675" i="3" s="1"/>
  <c r="O6675" i="3"/>
  <c r="P6675" i="3"/>
  <c r="K6676" i="3"/>
  <c r="L6676" i="3" s="1"/>
  <c r="O6676" i="3"/>
  <c r="P6676" i="3"/>
  <c r="K6677" i="3"/>
  <c r="L6677" i="3" s="1"/>
  <c r="O6677" i="3"/>
  <c r="P6677" i="3"/>
  <c r="K6678" i="3"/>
  <c r="L6678" i="3" s="1"/>
  <c r="O6678" i="3"/>
  <c r="P6678" i="3"/>
  <c r="K6679" i="3"/>
  <c r="L6679" i="3" s="1"/>
  <c r="O6679" i="3"/>
  <c r="P6679" i="3"/>
  <c r="K6680" i="3"/>
  <c r="L6680" i="3" s="1"/>
  <c r="O6680" i="3"/>
  <c r="P6680" i="3"/>
  <c r="K6681" i="3"/>
  <c r="L6681" i="3" s="1"/>
  <c r="O6681" i="3"/>
  <c r="P6681" i="3"/>
  <c r="K6682" i="3"/>
  <c r="L6682" i="3" s="1"/>
  <c r="O6682" i="3"/>
  <c r="P6682" i="3"/>
  <c r="K6683" i="3"/>
  <c r="L6683" i="3" s="1"/>
  <c r="O6683" i="3"/>
  <c r="P6683" i="3"/>
  <c r="K6684" i="3"/>
  <c r="L6684" i="3" s="1"/>
  <c r="O6684" i="3"/>
  <c r="P6684" i="3"/>
  <c r="K6685" i="3"/>
  <c r="L6685" i="3" s="1"/>
  <c r="O6685" i="3"/>
  <c r="P6685" i="3"/>
  <c r="K6686" i="3"/>
  <c r="L6686" i="3" s="1"/>
  <c r="O6686" i="3"/>
  <c r="P6686" i="3"/>
  <c r="K6687" i="3"/>
  <c r="L6687" i="3" s="1"/>
  <c r="O6687" i="3"/>
  <c r="P6687" i="3"/>
  <c r="K6688" i="3"/>
  <c r="L6688" i="3" s="1"/>
  <c r="O6688" i="3"/>
  <c r="P6688" i="3"/>
  <c r="K6689" i="3"/>
  <c r="L6689" i="3" s="1"/>
  <c r="O6689" i="3"/>
  <c r="P6689" i="3"/>
  <c r="K6690" i="3"/>
  <c r="L6690" i="3" s="1"/>
  <c r="O6690" i="3"/>
  <c r="P6690" i="3"/>
  <c r="K6691" i="3"/>
  <c r="L6691" i="3" s="1"/>
  <c r="O6691" i="3"/>
  <c r="P6691" i="3"/>
  <c r="K6692" i="3"/>
  <c r="L6692" i="3" s="1"/>
  <c r="O6692" i="3"/>
  <c r="P6692" i="3"/>
  <c r="K6693" i="3"/>
  <c r="L6693" i="3" s="1"/>
  <c r="O6693" i="3"/>
  <c r="P6693" i="3"/>
  <c r="K6694" i="3"/>
  <c r="L6694" i="3" s="1"/>
  <c r="O6694" i="3"/>
  <c r="P6694" i="3"/>
  <c r="K6695" i="3"/>
  <c r="L6695" i="3" s="1"/>
  <c r="O6695" i="3"/>
  <c r="P6695" i="3"/>
  <c r="K6696" i="3"/>
  <c r="L6696" i="3" s="1"/>
  <c r="O6696" i="3"/>
  <c r="P6696" i="3"/>
  <c r="K6697" i="3"/>
  <c r="L6697" i="3" s="1"/>
  <c r="O6697" i="3"/>
  <c r="P6697" i="3"/>
  <c r="K6698" i="3"/>
  <c r="L6698" i="3" s="1"/>
  <c r="O6698" i="3"/>
  <c r="P6698" i="3"/>
  <c r="K6699" i="3"/>
  <c r="L6699" i="3" s="1"/>
  <c r="O6699" i="3"/>
  <c r="P6699" i="3"/>
  <c r="K6700" i="3"/>
  <c r="L6700" i="3" s="1"/>
  <c r="O6700" i="3"/>
  <c r="P6700" i="3"/>
  <c r="K6701" i="3"/>
  <c r="L6701" i="3" s="1"/>
  <c r="O6701" i="3"/>
  <c r="P6701" i="3"/>
  <c r="K6702" i="3"/>
  <c r="L6702" i="3" s="1"/>
  <c r="O6702" i="3"/>
  <c r="P6702" i="3"/>
  <c r="K6703" i="3"/>
  <c r="L6703" i="3" s="1"/>
  <c r="O6703" i="3"/>
  <c r="P6703" i="3"/>
  <c r="K6704" i="3"/>
  <c r="L6704" i="3" s="1"/>
  <c r="O6704" i="3"/>
  <c r="P6704" i="3"/>
  <c r="K6705" i="3"/>
  <c r="L6705" i="3" s="1"/>
  <c r="O6705" i="3"/>
  <c r="P6705" i="3"/>
  <c r="K6706" i="3"/>
  <c r="L6706" i="3" s="1"/>
  <c r="O6706" i="3"/>
  <c r="P6706" i="3"/>
  <c r="K6707" i="3"/>
  <c r="L6707" i="3" s="1"/>
  <c r="O6707" i="3"/>
  <c r="P6707" i="3"/>
  <c r="K6708" i="3"/>
  <c r="L6708" i="3" s="1"/>
  <c r="O6708" i="3"/>
  <c r="P6708" i="3"/>
  <c r="K6709" i="3"/>
  <c r="L6709" i="3" s="1"/>
  <c r="O6709" i="3"/>
  <c r="P6709" i="3"/>
  <c r="K6710" i="3"/>
  <c r="L6710" i="3" s="1"/>
  <c r="O6710" i="3"/>
  <c r="P6710" i="3"/>
  <c r="K6711" i="3"/>
  <c r="L6711" i="3" s="1"/>
  <c r="O6711" i="3"/>
  <c r="P6711" i="3"/>
  <c r="K6712" i="3"/>
  <c r="L6712" i="3" s="1"/>
  <c r="O6712" i="3"/>
  <c r="P6712" i="3"/>
  <c r="K6713" i="3"/>
  <c r="L6713" i="3" s="1"/>
  <c r="O6713" i="3"/>
  <c r="P6713" i="3"/>
  <c r="K6714" i="3"/>
  <c r="L6714" i="3" s="1"/>
  <c r="O6714" i="3"/>
  <c r="P6714" i="3"/>
  <c r="K6715" i="3"/>
  <c r="L6715" i="3" s="1"/>
  <c r="O6715" i="3"/>
  <c r="P6715" i="3"/>
  <c r="K6716" i="3"/>
  <c r="L6716" i="3" s="1"/>
  <c r="O6716" i="3"/>
  <c r="P6716" i="3"/>
  <c r="K6717" i="3"/>
  <c r="L6717" i="3" s="1"/>
  <c r="O6717" i="3"/>
  <c r="P6717" i="3"/>
  <c r="K6718" i="3"/>
  <c r="L6718" i="3" s="1"/>
  <c r="O6718" i="3"/>
  <c r="P6718" i="3"/>
  <c r="K6719" i="3"/>
  <c r="L6719" i="3" s="1"/>
  <c r="O6719" i="3"/>
  <c r="P6719" i="3"/>
  <c r="K6720" i="3"/>
  <c r="L6720" i="3" s="1"/>
  <c r="O6720" i="3"/>
  <c r="P6720" i="3"/>
  <c r="K6721" i="3"/>
  <c r="L6721" i="3" s="1"/>
  <c r="O6721" i="3"/>
  <c r="P6721" i="3"/>
  <c r="K6722" i="3"/>
  <c r="L6722" i="3" s="1"/>
  <c r="O6722" i="3"/>
  <c r="P6722" i="3"/>
  <c r="K6723" i="3"/>
  <c r="L6723" i="3" s="1"/>
  <c r="O6723" i="3"/>
  <c r="P6723" i="3"/>
  <c r="K6724" i="3"/>
  <c r="L6724" i="3" s="1"/>
  <c r="O6724" i="3"/>
  <c r="P6724" i="3"/>
  <c r="K6725" i="3"/>
  <c r="L6725" i="3" s="1"/>
  <c r="O6725" i="3"/>
  <c r="P6725" i="3"/>
  <c r="K6726" i="3"/>
  <c r="L6726" i="3" s="1"/>
  <c r="O6726" i="3"/>
  <c r="P6726" i="3"/>
  <c r="K6727" i="3"/>
  <c r="L6727" i="3" s="1"/>
  <c r="O6727" i="3"/>
  <c r="P6727" i="3"/>
  <c r="K6728" i="3"/>
  <c r="L6728" i="3" s="1"/>
  <c r="O6728" i="3"/>
  <c r="P6728" i="3"/>
  <c r="K6729" i="3"/>
  <c r="L6729" i="3" s="1"/>
  <c r="O6729" i="3"/>
  <c r="P6729" i="3"/>
  <c r="K6730" i="3"/>
  <c r="L6730" i="3" s="1"/>
  <c r="O6730" i="3"/>
  <c r="P6730" i="3"/>
  <c r="K6731" i="3"/>
  <c r="L6731" i="3" s="1"/>
  <c r="O6731" i="3"/>
  <c r="P6731" i="3"/>
  <c r="K6732" i="3"/>
  <c r="L6732" i="3" s="1"/>
  <c r="O6732" i="3"/>
  <c r="P6732" i="3"/>
  <c r="K6733" i="3"/>
  <c r="L6733" i="3" s="1"/>
  <c r="O6733" i="3"/>
  <c r="P6733" i="3"/>
  <c r="K6734" i="3"/>
  <c r="L6734" i="3" s="1"/>
  <c r="O6734" i="3"/>
  <c r="P6734" i="3"/>
  <c r="K6735" i="3"/>
  <c r="L6735" i="3" s="1"/>
  <c r="O6735" i="3"/>
  <c r="P6735" i="3"/>
  <c r="K6736" i="3"/>
  <c r="L6736" i="3" s="1"/>
  <c r="O6736" i="3"/>
  <c r="P6736" i="3"/>
  <c r="K6737" i="3"/>
  <c r="L6737" i="3" s="1"/>
  <c r="O6737" i="3"/>
  <c r="P6737" i="3"/>
  <c r="K6738" i="3"/>
  <c r="L6738" i="3" s="1"/>
  <c r="O6738" i="3"/>
  <c r="P6738" i="3"/>
  <c r="K6739" i="3"/>
  <c r="L6739" i="3" s="1"/>
  <c r="O6739" i="3"/>
  <c r="P6739" i="3"/>
  <c r="K6740" i="3"/>
  <c r="L6740" i="3" s="1"/>
  <c r="O6740" i="3"/>
  <c r="P6740" i="3"/>
  <c r="K6741" i="3"/>
  <c r="L6741" i="3" s="1"/>
  <c r="O6741" i="3"/>
  <c r="P6741" i="3"/>
  <c r="K6742" i="3"/>
  <c r="L6742" i="3" s="1"/>
  <c r="O6742" i="3"/>
  <c r="P6742" i="3"/>
  <c r="K6743" i="3"/>
  <c r="L6743" i="3" s="1"/>
  <c r="O6743" i="3"/>
  <c r="P6743" i="3"/>
  <c r="K6744" i="3"/>
  <c r="L6744" i="3" s="1"/>
  <c r="O6744" i="3"/>
  <c r="P6744" i="3"/>
  <c r="K6745" i="3"/>
  <c r="L6745" i="3" s="1"/>
  <c r="O6745" i="3"/>
  <c r="P6745" i="3"/>
  <c r="K6746" i="3"/>
  <c r="L6746" i="3" s="1"/>
  <c r="O6746" i="3"/>
  <c r="P6746" i="3"/>
  <c r="K6747" i="3"/>
  <c r="L6747" i="3" s="1"/>
  <c r="O6747" i="3"/>
  <c r="P6747" i="3"/>
  <c r="K6748" i="3"/>
  <c r="L6748" i="3" s="1"/>
  <c r="O6748" i="3"/>
  <c r="P6748" i="3"/>
  <c r="K6749" i="3"/>
  <c r="L6749" i="3" s="1"/>
  <c r="O6749" i="3"/>
  <c r="P6749" i="3"/>
  <c r="K6750" i="3"/>
  <c r="L6750" i="3" s="1"/>
  <c r="O6750" i="3"/>
  <c r="P6750" i="3"/>
  <c r="K6751" i="3"/>
  <c r="L6751" i="3" s="1"/>
  <c r="O6751" i="3"/>
  <c r="P6751" i="3"/>
  <c r="K6752" i="3"/>
  <c r="L6752" i="3" s="1"/>
  <c r="O6752" i="3"/>
  <c r="P6752" i="3"/>
  <c r="K6753" i="3"/>
  <c r="L6753" i="3" s="1"/>
  <c r="O6753" i="3"/>
  <c r="P6753" i="3"/>
  <c r="K6754" i="3"/>
  <c r="L6754" i="3" s="1"/>
  <c r="O6754" i="3"/>
  <c r="P6754" i="3"/>
  <c r="K6755" i="3"/>
  <c r="L6755" i="3" s="1"/>
  <c r="O6755" i="3"/>
  <c r="P6755" i="3"/>
  <c r="K6756" i="3"/>
  <c r="L6756" i="3" s="1"/>
  <c r="O6756" i="3"/>
  <c r="P6756" i="3"/>
  <c r="K6757" i="3"/>
  <c r="L6757" i="3" s="1"/>
  <c r="O6757" i="3"/>
  <c r="P6757" i="3"/>
  <c r="K6758" i="3"/>
  <c r="L6758" i="3" s="1"/>
  <c r="O6758" i="3"/>
  <c r="P6758" i="3"/>
  <c r="K6759" i="3"/>
  <c r="L6759" i="3" s="1"/>
  <c r="O6759" i="3"/>
  <c r="P6759" i="3"/>
  <c r="K6760" i="3"/>
  <c r="L6760" i="3" s="1"/>
  <c r="O6760" i="3"/>
  <c r="P6760" i="3"/>
  <c r="K6761" i="3"/>
  <c r="L6761" i="3" s="1"/>
  <c r="O6761" i="3"/>
  <c r="P6761" i="3"/>
  <c r="K6762" i="3"/>
  <c r="L6762" i="3" s="1"/>
  <c r="O6762" i="3"/>
  <c r="P6762" i="3"/>
  <c r="K6763" i="3"/>
  <c r="L6763" i="3" s="1"/>
  <c r="O6763" i="3"/>
  <c r="P6763" i="3"/>
  <c r="K6764" i="3"/>
  <c r="L6764" i="3" s="1"/>
  <c r="O6764" i="3"/>
  <c r="P6764" i="3"/>
  <c r="K6765" i="3"/>
  <c r="L6765" i="3" s="1"/>
  <c r="O6765" i="3"/>
  <c r="P6765" i="3"/>
  <c r="K6766" i="3"/>
  <c r="L6766" i="3" s="1"/>
  <c r="O6766" i="3"/>
  <c r="P6766" i="3"/>
  <c r="K6767" i="3"/>
  <c r="L6767" i="3" s="1"/>
  <c r="O6767" i="3"/>
  <c r="P6767" i="3"/>
  <c r="K6768" i="3"/>
  <c r="L6768" i="3" s="1"/>
  <c r="O6768" i="3"/>
  <c r="P6768" i="3"/>
  <c r="K6769" i="3"/>
  <c r="L6769" i="3" s="1"/>
  <c r="O6769" i="3"/>
  <c r="P6769" i="3"/>
  <c r="K6770" i="3"/>
  <c r="L6770" i="3" s="1"/>
  <c r="O6770" i="3"/>
  <c r="P6770" i="3"/>
  <c r="K6771" i="3"/>
  <c r="L6771" i="3" s="1"/>
  <c r="O6771" i="3"/>
  <c r="P6771" i="3"/>
  <c r="K6772" i="3"/>
  <c r="L6772" i="3" s="1"/>
  <c r="O6772" i="3"/>
  <c r="P6772" i="3"/>
  <c r="K6773" i="3"/>
  <c r="L6773" i="3" s="1"/>
  <c r="O6773" i="3"/>
  <c r="P6773" i="3"/>
  <c r="K6774" i="3"/>
  <c r="L6774" i="3" s="1"/>
  <c r="O6774" i="3"/>
  <c r="P6774" i="3"/>
  <c r="K6775" i="3"/>
  <c r="L6775" i="3" s="1"/>
  <c r="O6775" i="3"/>
  <c r="P6775" i="3"/>
  <c r="K6776" i="3"/>
  <c r="L6776" i="3" s="1"/>
  <c r="O6776" i="3"/>
  <c r="P6776" i="3"/>
  <c r="K6777" i="3"/>
  <c r="L6777" i="3" s="1"/>
  <c r="O6777" i="3"/>
  <c r="P6777" i="3"/>
  <c r="K6778" i="3"/>
  <c r="L6778" i="3" s="1"/>
  <c r="O6778" i="3"/>
  <c r="P6778" i="3"/>
  <c r="K6779" i="3"/>
  <c r="L6779" i="3" s="1"/>
  <c r="O6779" i="3"/>
  <c r="P6779" i="3"/>
  <c r="K6780" i="3"/>
  <c r="L6780" i="3" s="1"/>
  <c r="O6780" i="3"/>
  <c r="P6780" i="3"/>
  <c r="K6781" i="3"/>
  <c r="L6781" i="3" s="1"/>
  <c r="O6781" i="3"/>
  <c r="P6781" i="3"/>
  <c r="K6782" i="3"/>
  <c r="L6782" i="3" s="1"/>
  <c r="O6782" i="3"/>
  <c r="P6782" i="3"/>
  <c r="K6783" i="3"/>
  <c r="L6783" i="3" s="1"/>
  <c r="O6783" i="3"/>
  <c r="P6783" i="3"/>
  <c r="K6784" i="3"/>
  <c r="L6784" i="3" s="1"/>
  <c r="O6784" i="3"/>
  <c r="P6784" i="3"/>
  <c r="K6785" i="3"/>
  <c r="L6785" i="3" s="1"/>
  <c r="O6785" i="3"/>
  <c r="P6785" i="3"/>
  <c r="K6786" i="3"/>
  <c r="L6786" i="3" s="1"/>
  <c r="O6786" i="3"/>
  <c r="P6786" i="3"/>
  <c r="K6787" i="3"/>
  <c r="L6787" i="3" s="1"/>
  <c r="O6787" i="3"/>
  <c r="P6787" i="3"/>
  <c r="K6788" i="3"/>
  <c r="L6788" i="3" s="1"/>
  <c r="O6788" i="3"/>
  <c r="P6788" i="3"/>
  <c r="K6789" i="3"/>
  <c r="L6789" i="3" s="1"/>
  <c r="O6789" i="3"/>
  <c r="P6789" i="3"/>
  <c r="K6790" i="3"/>
  <c r="L6790" i="3" s="1"/>
  <c r="O6790" i="3"/>
  <c r="P6790" i="3"/>
  <c r="K6791" i="3"/>
  <c r="L6791" i="3" s="1"/>
  <c r="O6791" i="3"/>
  <c r="P6791" i="3"/>
  <c r="K6792" i="3"/>
  <c r="L6792" i="3" s="1"/>
  <c r="O6792" i="3"/>
  <c r="P6792" i="3"/>
  <c r="K6793" i="3"/>
  <c r="L6793" i="3" s="1"/>
  <c r="O6793" i="3"/>
  <c r="P6793" i="3"/>
  <c r="K6794" i="3"/>
  <c r="L6794" i="3" s="1"/>
  <c r="O6794" i="3"/>
  <c r="P6794" i="3"/>
  <c r="K6795" i="3"/>
  <c r="L6795" i="3" s="1"/>
  <c r="O6795" i="3"/>
  <c r="P6795" i="3"/>
  <c r="K6796" i="3"/>
  <c r="L6796" i="3" s="1"/>
  <c r="O6796" i="3"/>
  <c r="P6796" i="3"/>
  <c r="K6797" i="3"/>
  <c r="L6797" i="3" s="1"/>
  <c r="O6797" i="3"/>
  <c r="P6797" i="3"/>
  <c r="K6798" i="3"/>
  <c r="L6798" i="3" s="1"/>
  <c r="O6798" i="3"/>
  <c r="P6798" i="3"/>
  <c r="K6799" i="3"/>
  <c r="L6799" i="3" s="1"/>
  <c r="O6799" i="3"/>
  <c r="P6799" i="3"/>
  <c r="K6800" i="3"/>
  <c r="L6800" i="3" s="1"/>
  <c r="O6800" i="3"/>
  <c r="P6800" i="3"/>
  <c r="K6801" i="3"/>
  <c r="L6801" i="3" s="1"/>
  <c r="O6801" i="3"/>
  <c r="P6801" i="3"/>
  <c r="K6802" i="3"/>
  <c r="L6802" i="3" s="1"/>
  <c r="O6802" i="3"/>
  <c r="P6802" i="3"/>
  <c r="K6803" i="3"/>
  <c r="L6803" i="3" s="1"/>
  <c r="O6803" i="3"/>
  <c r="P6803" i="3"/>
  <c r="K6804" i="3"/>
  <c r="L6804" i="3" s="1"/>
  <c r="O6804" i="3"/>
  <c r="P6804" i="3"/>
  <c r="K6805" i="3"/>
  <c r="L6805" i="3" s="1"/>
  <c r="O6805" i="3"/>
  <c r="P6805" i="3"/>
  <c r="K6806" i="3"/>
  <c r="L6806" i="3" s="1"/>
  <c r="O6806" i="3"/>
  <c r="P6806" i="3"/>
  <c r="K6807" i="3"/>
  <c r="L6807" i="3" s="1"/>
  <c r="O6807" i="3"/>
  <c r="P6807" i="3"/>
  <c r="K6808" i="3"/>
  <c r="L6808" i="3" s="1"/>
  <c r="O6808" i="3"/>
  <c r="P6808" i="3"/>
  <c r="K6809" i="3"/>
  <c r="L6809" i="3" s="1"/>
  <c r="O6809" i="3"/>
  <c r="P6809" i="3"/>
  <c r="K6810" i="3"/>
  <c r="L6810" i="3" s="1"/>
  <c r="O6810" i="3"/>
  <c r="P6810" i="3"/>
  <c r="K6811" i="3"/>
  <c r="L6811" i="3" s="1"/>
  <c r="O6811" i="3"/>
  <c r="P6811" i="3"/>
  <c r="K6812" i="3"/>
  <c r="L6812" i="3" s="1"/>
  <c r="O6812" i="3"/>
  <c r="P6812" i="3"/>
  <c r="K6813" i="3"/>
  <c r="L6813" i="3" s="1"/>
  <c r="O6813" i="3"/>
  <c r="P6813" i="3"/>
  <c r="K6814" i="3"/>
  <c r="L6814" i="3" s="1"/>
  <c r="O6814" i="3"/>
  <c r="P6814" i="3"/>
  <c r="K6815" i="3"/>
  <c r="L6815" i="3" s="1"/>
  <c r="O6815" i="3"/>
  <c r="P6815" i="3"/>
  <c r="K6816" i="3"/>
  <c r="L6816" i="3" s="1"/>
  <c r="O6816" i="3"/>
  <c r="P6816" i="3"/>
  <c r="K6817" i="3"/>
  <c r="L6817" i="3" s="1"/>
  <c r="O6817" i="3"/>
  <c r="P6817" i="3"/>
  <c r="K6818" i="3"/>
  <c r="L6818" i="3" s="1"/>
  <c r="O6818" i="3"/>
  <c r="P6818" i="3"/>
  <c r="K6819" i="3"/>
  <c r="L6819" i="3" s="1"/>
  <c r="O6819" i="3"/>
  <c r="P6819" i="3"/>
  <c r="K6820" i="3"/>
  <c r="L6820" i="3" s="1"/>
  <c r="O6820" i="3"/>
  <c r="P6820" i="3"/>
  <c r="K6821" i="3"/>
  <c r="L6821" i="3" s="1"/>
  <c r="O6821" i="3"/>
  <c r="P6821" i="3"/>
  <c r="K6822" i="3"/>
  <c r="L6822" i="3" s="1"/>
  <c r="O6822" i="3"/>
  <c r="P6822" i="3"/>
  <c r="K6823" i="3"/>
  <c r="L6823" i="3" s="1"/>
  <c r="O6823" i="3"/>
  <c r="P6823" i="3"/>
  <c r="K6824" i="3"/>
  <c r="L6824" i="3" s="1"/>
  <c r="O6824" i="3"/>
  <c r="P6824" i="3"/>
  <c r="K6825" i="3"/>
  <c r="L6825" i="3" s="1"/>
  <c r="O6825" i="3"/>
  <c r="P6825" i="3"/>
  <c r="K6826" i="3"/>
  <c r="L6826" i="3" s="1"/>
  <c r="O6826" i="3"/>
  <c r="P6826" i="3"/>
  <c r="K6827" i="3"/>
  <c r="L6827" i="3" s="1"/>
  <c r="O6827" i="3"/>
  <c r="P6827" i="3"/>
  <c r="K6828" i="3"/>
  <c r="L6828" i="3" s="1"/>
  <c r="O6828" i="3"/>
  <c r="P6828" i="3"/>
  <c r="K6829" i="3"/>
  <c r="L6829" i="3" s="1"/>
  <c r="O6829" i="3"/>
  <c r="P6829" i="3"/>
  <c r="K6830" i="3"/>
  <c r="L6830" i="3" s="1"/>
  <c r="O6830" i="3"/>
  <c r="P6830" i="3"/>
  <c r="K6831" i="3"/>
  <c r="L6831" i="3" s="1"/>
  <c r="O6831" i="3"/>
  <c r="P6831" i="3"/>
  <c r="K6832" i="3"/>
  <c r="L6832" i="3" s="1"/>
  <c r="O6832" i="3"/>
  <c r="P6832" i="3"/>
  <c r="K6833" i="3"/>
  <c r="L6833" i="3" s="1"/>
  <c r="O6833" i="3"/>
  <c r="P6833" i="3"/>
  <c r="K6834" i="3"/>
  <c r="L6834" i="3" s="1"/>
  <c r="O6834" i="3"/>
  <c r="P6834" i="3"/>
  <c r="K6835" i="3"/>
  <c r="L6835" i="3" s="1"/>
  <c r="O6835" i="3"/>
  <c r="P6835" i="3"/>
  <c r="K6836" i="3"/>
  <c r="L6836" i="3" s="1"/>
  <c r="O6836" i="3"/>
  <c r="P6836" i="3"/>
  <c r="K6837" i="3"/>
  <c r="L6837" i="3" s="1"/>
  <c r="O6837" i="3"/>
  <c r="P6837" i="3"/>
  <c r="K6838" i="3"/>
  <c r="L6838" i="3" s="1"/>
  <c r="O6838" i="3"/>
  <c r="P6838" i="3"/>
  <c r="K6839" i="3"/>
  <c r="L6839" i="3" s="1"/>
  <c r="O6839" i="3"/>
  <c r="P6839" i="3"/>
  <c r="K6840" i="3"/>
  <c r="L6840" i="3" s="1"/>
  <c r="O6840" i="3"/>
  <c r="P6840" i="3"/>
  <c r="K6841" i="3"/>
  <c r="L6841" i="3" s="1"/>
  <c r="O6841" i="3"/>
  <c r="P6841" i="3"/>
  <c r="K6842" i="3"/>
  <c r="L6842" i="3" s="1"/>
  <c r="O6842" i="3"/>
  <c r="P6842" i="3"/>
  <c r="K6843" i="3"/>
  <c r="L6843" i="3" s="1"/>
  <c r="O6843" i="3"/>
  <c r="P6843" i="3"/>
  <c r="K6844" i="3"/>
  <c r="L6844" i="3" s="1"/>
  <c r="O6844" i="3"/>
  <c r="P6844" i="3"/>
  <c r="K6845" i="3"/>
  <c r="L6845" i="3" s="1"/>
  <c r="O6845" i="3"/>
  <c r="P6845" i="3"/>
  <c r="K6846" i="3"/>
  <c r="L6846" i="3" s="1"/>
  <c r="O6846" i="3"/>
  <c r="P6846" i="3"/>
  <c r="K6847" i="3"/>
  <c r="L6847" i="3" s="1"/>
  <c r="O6847" i="3"/>
  <c r="P6847" i="3"/>
  <c r="K6848" i="3"/>
  <c r="L6848" i="3" s="1"/>
  <c r="O6848" i="3"/>
  <c r="P6848" i="3"/>
  <c r="K6849" i="3"/>
  <c r="L6849" i="3" s="1"/>
  <c r="O6849" i="3"/>
  <c r="P6849" i="3"/>
  <c r="K6850" i="3"/>
  <c r="L6850" i="3" s="1"/>
  <c r="O6850" i="3"/>
  <c r="P6850" i="3"/>
  <c r="K6851" i="3"/>
  <c r="L6851" i="3" s="1"/>
  <c r="O6851" i="3"/>
  <c r="P6851" i="3"/>
  <c r="K6852" i="3"/>
  <c r="L6852" i="3" s="1"/>
  <c r="O6852" i="3"/>
  <c r="P6852" i="3"/>
  <c r="K6853" i="3"/>
  <c r="L6853" i="3" s="1"/>
  <c r="O6853" i="3"/>
  <c r="P6853" i="3"/>
  <c r="K6854" i="3"/>
  <c r="L6854" i="3" s="1"/>
  <c r="O6854" i="3"/>
  <c r="P6854" i="3"/>
  <c r="K6855" i="3"/>
  <c r="L6855" i="3" s="1"/>
  <c r="O6855" i="3"/>
  <c r="P6855" i="3"/>
  <c r="K6856" i="3"/>
  <c r="L6856" i="3" s="1"/>
  <c r="O6856" i="3"/>
  <c r="P6856" i="3"/>
  <c r="K6857" i="3"/>
  <c r="L6857" i="3" s="1"/>
  <c r="O6857" i="3"/>
  <c r="P6857" i="3"/>
  <c r="K6858" i="3"/>
  <c r="L6858" i="3" s="1"/>
  <c r="O6858" i="3"/>
  <c r="P6858" i="3"/>
  <c r="K6859" i="3"/>
  <c r="L6859" i="3" s="1"/>
  <c r="O6859" i="3"/>
  <c r="P6859" i="3"/>
  <c r="K6860" i="3"/>
  <c r="L6860" i="3" s="1"/>
  <c r="O6860" i="3"/>
  <c r="P6860" i="3"/>
  <c r="K6861" i="3"/>
  <c r="L6861" i="3" s="1"/>
  <c r="O6861" i="3"/>
  <c r="P6861" i="3"/>
  <c r="K6862" i="3"/>
  <c r="L6862" i="3" s="1"/>
  <c r="O6862" i="3"/>
  <c r="P6862" i="3"/>
  <c r="K6863" i="3"/>
  <c r="L6863" i="3" s="1"/>
  <c r="O6863" i="3"/>
  <c r="P6863" i="3"/>
  <c r="K6864" i="3"/>
  <c r="L6864" i="3" s="1"/>
  <c r="O6864" i="3"/>
  <c r="P6864" i="3"/>
  <c r="K6865" i="3"/>
  <c r="L6865" i="3" s="1"/>
  <c r="O6865" i="3"/>
  <c r="P6865" i="3"/>
  <c r="K6866" i="3"/>
  <c r="L6866" i="3" s="1"/>
  <c r="O6866" i="3"/>
  <c r="P6866" i="3"/>
  <c r="K6867" i="3"/>
  <c r="L6867" i="3" s="1"/>
  <c r="O6867" i="3"/>
  <c r="P6867" i="3"/>
  <c r="K6868" i="3"/>
  <c r="L6868" i="3" s="1"/>
  <c r="O6868" i="3"/>
  <c r="P6868" i="3"/>
  <c r="K6869" i="3"/>
  <c r="L6869" i="3" s="1"/>
  <c r="O6869" i="3"/>
  <c r="P6869" i="3"/>
  <c r="K6870" i="3"/>
  <c r="L6870" i="3" s="1"/>
  <c r="O6870" i="3"/>
  <c r="P6870" i="3"/>
  <c r="K6871" i="3"/>
  <c r="L6871" i="3" s="1"/>
  <c r="O6871" i="3"/>
  <c r="P6871" i="3"/>
  <c r="K6872" i="3"/>
  <c r="L6872" i="3" s="1"/>
  <c r="O6872" i="3"/>
  <c r="P6872" i="3"/>
  <c r="K6873" i="3"/>
  <c r="L6873" i="3" s="1"/>
  <c r="O6873" i="3"/>
  <c r="P6873" i="3"/>
  <c r="K6874" i="3"/>
  <c r="L6874" i="3" s="1"/>
  <c r="O6874" i="3"/>
  <c r="P6874" i="3"/>
  <c r="K6875" i="3"/>
  <c r="L6875" i="3" s="1"/>
  <c r="O6875" i="3"/>
  <c r="P6875" i="3"/>
  <c r="K6876" i="3"/>
  <c r="L6876" i="3" s="1"/>
  <c r="O6876" i="3"/>
  <c r="P6876" i="3"/>
  <c r="K6877" i="3"/>
  <c r="L6877" i="3" s="1"/>
  <c r="O6877" i="3"/>
  <c r="P6877" i="3"/>
  <c r="K6878" i="3"/>
  <c r="L6878" i="3" s="1"/>
  <c r="O6878" i="3"/>
  <c r="P6878" i="3"/>
  <c r="K6879" i="3"/>
  <c r="L6879" i="3" s="1"/>
  <c r="O6879" i="3"/>
  <c r="P6879" i="3"/>
  <c r="K6880" i="3"/>
  <c r="L6880" i="3" s="1"/>
  <c r="O6880" i="3"/>
  <c r="P6880" i="3"/>
  <c r="K6881" i="3"/>
  <c r="L6881" i="3" s="1"/>
  <c r="O6881" i="3"/>
  <c r="P6881" i="3"/>
  <c r="K6882" i="3"/>
  <c r="L6882" i="3" s="1"/>
  <c r="O6882" i="3"/>
  <c r="P6882" i="3"/>
  <c r="K6883" i="3"/>
  <c r="L6883" i="3" s="1"/>
  <c r="O6883" i="3"/>
  <c r="P6883" i="3"/>
  <c r="K6884" i="3"/>
  <c r="L6884" i="3" s="1"/>
  <c r="O6884" i="3"/>
  <c r="P6884" i="3"/>
  <c r="K6885" i="3"/>
  <c r="L6885" i="3" s="1"/>
  <c r="O6885" i="3"/>
  <c r="P6885" i="3"/>
  <c r="K6886" i="3"/>
  <c r="L6886" i="3" s="1"/>
  <c r="O6886" i="3"/>
  <c r="P6886" i="3"/>
  <c r="K6887" i="3"/>
  <c r="L6887" i="3" s="1"/>
  <c r="O6887" i="3"/>
  <c r="P6887" i="3"/>
  <c r="K6888" i="3"/>
  <c r="L6888" i="3" s="1"/>
  <c r="O6888" i="3"/>
  <c r="P6888" i="3"/>
  <c r="K6889" i="3"/>
  <c r="L6889" i="3" s="1"/>
  <c r="O6889" i="3"/>
  <c r="P6889" i="3"/>
  <c r="K6890" i="3"/>
  <c r="L6890" i="3" s="1"/>
  <c r="O6890" i="3"/>
  <c r="P6890" i="3"/>
  <c r="K6891" i="3"/>
  <c r="L6891" i="3" s="1"/>
  <c r="O6891" i="3"/>
  <c r="P6891" i="3"/>
  <c r="K6892" i="3"/>
  <c r="L6892" i="3" s="1"/>
  <c r="O6892" i="3"/>
  <c r="P6892" i="3"/>
  <c r="K6893" i="3"/>
  <c r="L6893" i="3" s="1"/>
  <c r="O6893" i="3"/>
  <c r="P6893" i="3"/>
  <c r="K6894" i="3"/>
  <c r="L6894" i="3" s="1"/>
  <c r="O6894" i="3"/>
  <c r="P6894" i="3"/>
  <c r="K6895" i="3"/>
  <c r="L6895" i="3" s="1"/>
  <c r="O6895" i="3"/>
  <c r="P6895" i="3"/>
  <c r="K6896" i="3"/>
  <c r="L6896" i="3" s="1"/>
  <c r="O6896" i="3"/>
  <c r="P6896" i="3"/>
  <c r="K6897" i="3"/>
  <c r="L6897" i="3" s="1"/>
  <c r="O6897" i="3"/>
  <c r="P6897" i="3"/>
  <c r="K6898" i="3"/>
  <c r="L6898" i="3" s="1"/>
  <c r="O6898" i="3"/>
  <c r="P6898" i="3"/>
  <c r="K6899" i="3"/>
  <c r="L6899" i="3" s="1"/>
  <c r="O6899" i="3"/>
  <c r="P6899" i="3"/>
  <c r="K6900" i="3"/>
  <c r="L6900" i="3" s="1"/>
  <c r="O6900" i="3"/>
  <c r="P6900" i="3"/>
  <c r="K6901" i="3"/>
  <c r="L6901" i="3" s="1"/>
  <c r="O6901" i="3"/>
  <c r="P6901" i="3"/>
  <c r="K6902" i="3"/>
  <c r="L6902" i="3" s="1"/>
  <c r="O6902" i="3"/>
  <c r="P6902" i="3"/>
  <c r="K6903" i="3"/>
  <c r="L6903" i="3" s="1"/>
  <c r="O6903" i="3"/>
  <c r="P6903" i="3"/>
  <c r="K6904" i="3"/>
  <c r="L6904" i="3" s="1"/>
  <c r="O6904" i="3"/>
  <c r="P6904" i="3"/>
  <c r="K6905" i="3"/>
  <c r="L6905" i="3" s="1"/>
  <c r="O6905" i="3"/>
  <c r="P6905" i="3"/>
  <c r="K6906" i="3"/>
  <c r="L6906" i="3" s="1"/>
  <c r="O6906" i="3"/>
  <c r="P6906" i="3"/>
  <c r="K6907" i="3"/>
  <c r="L6907" i="3" s="1"/>
  <c r="O6907" i="3"/>
  <c r="P6907" i="3"/>
  <c r="K6908" i="3"/>
  <c r="L6908" i="3" s="1"/>
  <c r="O6908" i="3"/>
  <c r="P6908" i="3"/>
  <c r="K6909" i="3"/>
  <c r="L6909" i="3" s="1"/>
  <c r="O6909" i="3"/>
  <c r="P6909" i="3"/>
  <c r="K6910" i="3"/>
  <c r="L6910" i="3" s="1"/>
  <c r="O6910" i="3"/>
  <c r="P6910" i="3"/>
  <c r="K6911" i="3"/>
  <c r="L6911" i="3" s="1"/>
  <c r="O6911" i="3"/>
  <c r="P6911" i="3"/>
  <c r="K6912" i="3"/>
  <c r="L6912" i="3" s="1"/>
  <c r="O6912" i="3"/>
  <c r="P6912" i="3"/>
  <c r="K6913" i="3"/>
  <c r="L6913" i="3" s="1"/>
  <c r="O6913" i="3"/>
  <c r="P6913" i="3"/>
  <c r="K6914" i="3"/>
  <c r="L6914" i="3" s="1"/>
  <c r="O6914" i="3"/>
  <c r="P6914" i="3"/>
  <c r="K6915" i="3"/>
  <c r="L6915" i="3" s="1"/>
  <c r="O6915" i="3"/>
  <c r="P6915" i="3"/>
  <c r="K6916" i="3"/>
  <c r="L6916" i="3" s="1"/>
  <c r="O6916" i="3"/>
  <c r="P6916" i="3"/>
  <c r="K6917" i="3"/>
  <c r="L6917" i="3" s="1"/>
  <c r="O6917" i="3"/>
  <c r="P6917" i="3"/>
  <c r="K6918" i="3"/>
  <c r="L6918" i="3" s="1"/>
  <c r="O6918" i="3"/>
  <c r="P6918" i="3"/>
  <c r="K6919" i="3"/>
  <c r="L6919" i="3" s="1"/>
  <c r="O6919" i="3"/>
  <c r="P6919" i="3"/>
  <c r="K6920" i="3"/>
  <c r="L6920" i="3" s="1"/>
  <c r="O6920" i="3"/>
  <c r="P6920" i="3"/>
  <c r="K6921" i="3"/>
  <c r="L6921" i="3" s="1"/>
  <c r="O6921" i="3"/>
  <c r="P6921" i="3"/>
  <c r="K6922" i="3"/>
  <c r="L6922" i="3" s="1"/>
  <c r="O6922" i="3"/>
  <c r="P6922" i="3"/>
  <c r="K6923" i="3"/>
  <c r="L6923" i="3" s="1"/>
  <c r="O6923" i="3"/>
  <c r="P6923" i="3"/>
  <c r="K6924" i="3"/>
  <c r="L6924" i="3" s="1"/>
  <c r="O6924" i="3"/>
  <c r="P6924" i="3"/>
  <c r="K6925" i="3"/>
  <c r="L6925" i="3" s="1"/>
  <c r="O6925" i="3"/>
  <c r="P6925" i="3"/>
  <c r="K6926" i="3"/>
  <c r="L6926" i="3" s="1"/>
  <c r="O6926" i="3"/>
  <c r="P6926" i="3"/>
  <c r="K6927" i="3"/>
  <c r="L6927" i="3" s="1"/>
  <c r="O6927" i="3"/>
  <c r="P6927" i="3"/>
  <c r="K6928" i="3"/>
  <c r="L6928" i="3" s="1"/>
  <c r="O6928" i="3"/>
  <c r="P6928" i="3"/>
  <c r="K6929" i="3"/>
  <c r="L6929" i="3" s="1"/>
  <c r="O6929" i="3"/>
  <c r="P6929" i="3"/>
  <c r="K6930" i="3"/>
  <c r="L6930" i="3" s="1"/>
  <c r="O6930" i="3"/>
  <c r="P6930" i="3"/>
  <c r="K6931" i="3"/>
  <c r="L6931" i="3" s="1"/>
  <c r="O6931" i="3"/>
  <c r="P6931" i="3"/>
  <c r="K6932" i="3"/>
  <c r="L6932" i="3" s="1"/>
  <c r="O6932" i="3"/>
  <c r="P6932" i="3"/>
  <c r="K6933" i="3"/>
  <c r="L6933" i="3" s="1"/>
  <c r="O6933" i="3"/>
  <c r="P6933" i="3"/>
  <c r="K6934" i="3"/>
  <c r="L6934" i="3" s="1"/>
  <c r="O6934" i="3"/>
  <c r="P6934" i="3"/>
  <c r="K6935" i="3"/>
  <c r="L6935" i="3" s="1"/>
  <c r="O6935" i="3"/>
  <c r="P6935" i="3"/>
  <c r="K6936" i="3"/>
  <c r="L6936" i="3" s="1"/>
  <c r="O6936" i="3"/>
  <c r="P6936" i="3"/>
  <c r="K6937" i="3"/>
  <c r="L6937" i="3" s="1"/>
  <c r="O6937" i="3"/>
  <c r="P6937" i="3"/>
  <c r="K6938" i="3"/>
  <c r="L6938" i="3" s="1"/>
  <c r="O6938" i="3"/>
  <c r="P6938" i="3"/>
  <c r="K6939" i="3"/>
  <c r="L6939" i="3" s="1"/>
  <c r="O6939" i="3"/>
  <c r="P6939" i="3"/>
  <c r="K6940" i="3"/>
  <c r="L6940" i="3" s="1"/>
  <c r="O6940" i="3"/>
  <c r="P6940" i="3"/>
  <c r="K6941" i="3"/>
  <c r="L6941" i="3" s="1"/>
  <c r="O6941" i="3"/>
  <c r="P6941" i="3"/>
  <c r="K6942" i="3"/>
  <c r="L6942" i="3" s="1"/>
  <c r="O6942" i="3"/>
  <c r="P6942" i="3"/>
  <c r="K6943" i="3"/>
  <c r="L6943" i="3" s="1"/>
  <c r="O6943" i="3"/>
  <c r="P6943" i="3"/>
  <c r="K6944" i="3"/>
  <c r="L6944" i="3" s="1"/>
  <c r="O6944" i="3"/>
  <c r="P6944" i="3"/>
  <c r="K6945" i="3"/>
  <c r="L6945" i="3" s="1"/>
  <c r="O6945" i="3"/>
  <c r="P6945" i="3"/>
  <c r="K6946" i="3"/>
  <c r="L6946" i="3" s="1"/>
  <c r="O6946" i="3"/>
  <c r="P6946" i="3"/>
  <c r="K6947" i="3"/>
  <c r="L6947" i="3" s="1"/>
  <c r="O6947" i="3"/>
  <c r="P6947" i="3"/>
  <c r="K6948" i="3"/>
  <c r="L6948" i="3" s="1"/>
  <c r="O6948" i="3"/>
  <c r="P6948" i="3"/>
  <c r="K6949" i="3"/>
  <c r="L6949" i="3" s="1"/>
  <c r="O6949" i="3"/>
  <c r="P6949" i="3"/>
  <c r="K6950" i="3"/>
  <c r="L6950" i="3" s="1"/>
  <c r="O6950" i="3"/>
  <c r="P6950" i="3"/>
  <c r="K6951" i="3"/>
  <c r="L6951" i="3" s="1"/>
  <c r="O6951" i="3"/>
  <c r="P6951" i="3"/>
  <c r="K6952" i="3"/>
  <c r="L6952" i="3" s="1"/>
  <c r="O6952" i="3"/>
  <c r="P6952" i="3"/>
  <c r="K6953" i="3"/>
  <c r="L6953" i="3" s="1"/>
  <c r="O6953" i="3"/>
  <c r="P6953" i="3"/>
  <c r="K6954" i="3"/>
  <c r="L6954" i="3" s="1"/>
  <c r="O6954" i="3"/>
  <c r="P6954" i="3"/>
  <c r="K6955" i="3"/>
  <c r="L6955" i="3" s="1"/>
  <c r="O6955" i="3"/>
  <c r="P6955" i="3"/>
  <c r="K6956" i="3"/>
  <c r="L6956" i="3" s="1"/>
  <c r="O6956" i="3"/>
  <c r="P6956" i="3"/>
  <c r="K6957" i="3"/>
  <c r="L6957" i="3" s="1"/>
  <c r="O6957" i="3"/>
  <c r="P6957" i="3"/>
  <c r="K6958" i="3"/>
  <c r="L6958" i="3" s="1"/>
  <c r="O6958" i="3"/>
  <c r="P6958" i="3"/>
  <c r="K6959" i="3"/>
  <c r="L6959" i="3" s="1"/>
  <c r="O6959" i="3"/>
  <c r="P6959" i="3"/>
  <c r="K6960" i="3"/>
  <c r="L6960" i="3" s="1"/>
  <c r="O6960" i="3"/>
  <c r="P6960" i="3"/>
  <c r="K6961" i="3"/>
  <c r="L6961" i="3" s="1"/>
  <c r="O6961" i="3"/>
  <c r="P6961" i="3"/>
  <c r="K6962" i="3"/>
  <c r="L6962" i="3" s="1"/>
  <c r="O6962" i="3"/>
  <c r="P6962" i="3"/>
  <c r="K6963" i="3"/>
  <c r="L6963" i="3" s="1"/>
  <c r="O6963" i="3"/>
  <c r="P6963" i="3"/>
  <c r="K6964" i="3"/>
  <c r="L6964" i="3" s="1"/>
  <c r="O6964" i="3"/>
  <c r="P6964" i="3"/>
  <c r="K6965" i="3"/>
  <c r="L6965" i="3" s="1"/>
  <c r="O6965" i="3"/>
  <c r="P6965" i="3"/>
  <c r="K6966" i="3"/>
  <c r="L6966" i="3" s="1"/>
  <c r="O6966" i="3"/>
  <c r="P6966" i="3"/>
  <c r="K6967" i="3"/>
  <c r="L6967" i="3" s="1"/>
  <c r="O6967" i="3"/>
  <c r="P6967" i="3"/>
  <c r="K6968" i="3"/>
  <c r="L6968" i="3" s="1"/>
  <c r="O6968" i="3"/>
  <c r="P6968" i="3"/>
  <c r="K6969" i="3"/>
  <c r="L6969" i="3" s="1"/>
  <c r="O6969" i="3"/>
  <c r="P6969" i="3"/>
  <c r="K6970" i="3"/>
  <c r="L6970" i="3" s="1"/>
  <c r="O6970" i="3"/>
  <c r="P6970" i="3"/>
  <c r="K6971" i="3"/>
  <c r="L6971" i="3" s="1"/>
  <c r="O6971" i="3"/>
  <c r="P6971" i="3"/>
  <c r="K6972" i="3"/>
  <c r="L6972" i="3" s="1"/>
  <c r="O6972" i="3"/>
  <c r="P6972" i="3"/>
  <c r="K6973" i="3"/>
  <c r="L6973" i="3" s="1"/>
  <c r="O6973" i="3"/>
  <c r="P6973" i="3"/>
  <c r="K6974" i="3"/>
  <c r="L6974" i="3" s="1"/>
  <c r="O6974" i="3"/>
  <c r="P6974" i="3"/>
  <c r="K6975" i="3"/>
  <c r="L6975" i="3" s="1"/>
  <c r="O6975" i="3"/>
  <c r="P6975" i="3"/>
  <c r="K6976" i="3"/>
  <c r="L6976" i="3" s="1"/>
  <c r="O6976" i="3"/>
  <c r="P6976" i="3"/>
  <c r="K6977" i="3"/>
  <c r="L6977" i="3" s="1"/>
  <c r="O6977" i="3"/>
  <c r="P6977" i="3"/>
  <c r="K6978" i="3"/>
  <c r="L6978" i="3" s="1"/>
  <c r="O6978" i="3"/>
  <c r="P6978" i="3"/>
  <c r="K6979" i="3"/>
  <c r="L6979" i="3" s="1"/>
  <c r="O6979" i="3"/>
  <c r="P6979" i="3"/>
  <c r="K6980" i="3"/>
  <c r="L6980" i="3" s="1"/>
  <c r="O6980" i="3"/>
  <c r="P6980" i="3"/>
  <c r="K6981" i="3"/>
  <c r="L6981" i="3" s="1"/>
  <c r="O6981" i="3"/>
  <c r="P6981" i="3"/>
  <c r="K6982" i="3"/>
  <c r="L6982" i="3" s="1"/>
  <c r="O6982" i="3"/>
  <c r="P6982" i="3"/>
  <c r="K6983" i="3"/>
  <c r="L6983" i="3" s="1"/>
  <c r="O6983" i="3"/>
  <c r="P6983" i="3"/>
  <c r="K6984" i="3"/>
  <c r="L6984" i="3" s="1"/>
  <c r="O6984" i="3"/>
  <c r="P6984" i="3"/>
  <c r="K6985" i="3"/>
  <c r="L6985" i="3" s="1"/>
  <c r="O6985" i="3"/>
  <c r="P6985" i="3"/>
  <c r="K6986" i="3"/>
  <c r="L6986" i="3" s="1"/>
  <c r="O6986" i="3"/>
  <c r="P6986" i="3"/>
  <c r="K6987" i="3"/>
  <c r="L6987" i="3" s="1"/>
  <c r="O6987" i="3"/>
  <c r="P6987" i="3"/>
  <c r="K6988" i="3"/>
  <c r="L6988" i="3" s="1"/>
  <c r="O6988" i="3"/>
  <c r="P6988" i="3"/>
  <c r="K6989" i="3"/>
  <c r="L6989" i="3" s="1"/>
  <c r="O6989" i="3"/>
  <c r="P6989" i="3"/>
  <c r="K6990" i="3"/>
  <c r="L6990" i="3" s="1"/>
  <c r="O6990" i="3"/>
  <c r="P6990" i="3"/>
  <c r="K6991" i="3"/>
  <c r="L6991" i="3" s="1"/>
  <c r="O6991" i="3"/>
  <c r="P6991" i="3"/>
  <c r="K6992" i="3"/>
  <c r="L6992" i="3" s="1"/>
  <c r="O6992" i="3"/>
  <c r="P6992" i="3"/>
  <c r="K6993" i="3"/>
  <c r="L6993" i="3" s="1"/>
  <c r="O6993" i="3"/>
  <c r="P6993" i="3"/>
  <c r="K6994" i="3"/>
  <c r="L6994" i="3" s="1"/>
  <c r="O6994" i="3"/>
  <c r="P6994" i="3"/>
  <c r="K6995" i="3"/>
  <c r="L6995" i="3" s="1"/>
  <c r="O6995" i="3"/>
  <c r="P6995" i="3"/>
  <c r="K6996" i="3"/>
  <c r="L6996" i="3" s="1"/>
  <c r="O6996" i="3"/>
  <c r="P6996" i="3"/>
  <c r="K6997" i="3"/>
  <c r="L6997" i="3" s="1"/>
  <c r="O6997" i="3"/>
  <c r="P6997" i="3"/>
  <c r="K6998" i="3"/>
  <c r="L6998" i="3" s="1"/>
  <c r="O6998" i="3"/>
  <c r="P6998" i="3"/>
  <c r="K6999" i="3"/>
  <c r="L6999" i="3" s="1"/>
  <c r="O6999" i="3"/>
  <c r="P6999" i="3"/>
  <c r="K7000" i="3"/>
  <c r="L7000" i="3" s="1"/>
  <c r="O7000" i="3"/>
  <c r="P7000" i="3"/>
  <c r="K7001" i="3"/>
  <c r="L7001" i="3" s="1"/>
  <c r="O7001" i="3"/>
  <c r="P7001" i="3"/>
  <c r="K7002" i="3"/>
  <c r="L7002" i="3" s="1"/>
  <c r="O7002" i="3"/>
  <c r="P7002" i="3"/>
  <c r="K7003" i="3"/>
  <c r="L7003" i="3" s="1"/>
  <c r="O7003" i="3"/>
  <c r="P7003" i="3"/>
  <c r="K7004" i="3"/>
  <c r="L7004" i="3" s="1"/>
  <c r="O7004" i="3"/>
  <c r="P7004" i="3"/>
  <c r="K7005" i="3"/>
  <c r="L7005" i="3" s="1"/>
  <c r="O7005" i="3"/>
  <c r="P7005" i="3"/>
  <c r="K7006" i="3"/>
  <c r="L7006" i="3" s="1"/>
  <c r="O7006" i="3"/>
  <c r="P7006" i="3"/>
  <c r="K7007" i="3"/>
  <c r="L7007" i="3" s="1"/>
  <c r="O7007" i="3"/>
  <c r="P7007" i="3"/>
  <c r="K7008" i="3"/>
  <c r="L7008" i="3" s="1"/>
  <c r="O7008" i="3"/>
  <c r="P7008" i="3"/>
  <c r="K7009" i="3"/>
  <c r="L7009" i="3" s="1"/>
  <c r="O7009" i="3"/>
  <c r="P7009" i="3"/>
  <c r="K7010" i="3"/>
  <c r="L7010" i="3" s="1"/>
  <c r="O7010" i="3"/>
  <c r="P7010" i="3"/>
  <c r="K7011" i="3"/>
  <c r="L7011" i="3" s="1"/>
  <c r="O7011" i="3"/>
  <c r="P7011" i="3"/>
  <c r="K7012" i="3"/>
  <c r="L7012" i="3" s="1"/>
  <c r="O7012" i="3"/>
  <c r="P7012" i="3"/>
  <c r="K7013" i="3"/>
  <c r="L7013" i="3" s="1"/>
  <c r="O7013" i="3"/>
  <c r="P7013" i="3"/>
  <c r="K7014" i="3"/>
  <c r="L7014" i="3" s="1"/>
  <c r="O7014" i="3"/>
  <c r="P7014" i="3"/>
  <c r="K7015" i="3"/>
  <c r="L7015" i="3" s="1"/>
  <c r="O7015" i="3"/>
  <c r="P7015" i="3"/>
  <c r="K7016" i="3"/>
  <c r="L7016" i="3" s="1"/>
  <c r="O7016" i="3"/>
  <c r="P7016" i="3"/>
  <c r="K7017" i="3"/>
  <c r="L7017" i="3" s="1"/>
  <c r="O7017" i="3"/>
  <c r="P7017" i="3"/>
  <c r="K7018" i="3"/>
  <c r="L7018" i="3" s="1"/>
  <c r="O7018" i="3"/>
  <c r="P7018" i="3"/>
  <c r="K7019" i="3"/>
  <c r="L7019" i="3" s="1"/>
  <c r="O7019" i="3"/>
  <c r="P7019" i="3"/>
  <c r="K7020" i="3"/>
  <c r="L7020" i="3" s="1"/>
  <c r="O7020" i="3"/>
  <c r="P7020" i="3"/>
  <c r="K7021" i="3"/>
  <c r="L7021" i="3" s="1"/>
  <c r="O7021" i="3"/>
  <c r="P7021" i="3"/>
  <c r="K7022" i="3"/>
  <c r="L7022" i="3" s="1"/>
  <c r="O7022" i="3"/>
  <c r="P7022" i="3"/>
  <c r="K7023" i="3"/>
  <c r="L7023" i="3" s="1"/>
  <c r="O7023" i="3"/>
  <c r="P7023" i="3"/>
  <c r="K7024" i="3"/>
  <c r="L7024" i="3" s="1"/>
  <c r="O7024" i="3"/>
  <c r="P7024" i="3"/>
  <c r="K7025" i="3"/>
  <c r="L7025" i="3" s="1"/>
  <c r="O7025" i="3"/>
  <c r="P7025" i="3"/>
  <c r="K7026" i="3"/>
  <c r="L7026" i="3" s="1"/>
  <c r="O7026" i="3"/>
  <c r="P7026" i="3"/>
  <c r="K7027" i="3"/>
  <c r="L7027" i="3" s="1"/>
  <c r="O7027" i="3"/>
  <c r="P7027" i="3"/>
  <c r="K7028" i="3"/>
  <c r="L7028" i="3" s="1"/>
  <c r="O7028" i="3"/>
  <c r="P7028" i="3"/>
  <c r="K7029" i="3"/>
  <c r="L7029" i="3" s="1"/>
  <c r="O7029" i="3"/>
  <c r="P7029" i="3"/>
  <c r="K7030" i="3"/>
  <c r="L7030" i="3" s="1"/>
  <c r="O7030" i="3"/>
  <c r="P7030" i="3"/>
  <c r="K7031" i="3"/>
  <c r="L7031" i="3" s="1"/>
  <c r="O7031" i="3"/>
  <c r="P7031" i="3"/>
  <c r="K7032" i="3"/>
  <c r="L7032" i="3" s="1"/>
  <c r="O7032" i="3"/>
  <c r="P7032" i="3"/>
  <c r="K7033" i="3"/>
  <c r="L7033" i="3" s="1"/>
  <c r="O7033" i="3"/>
  <c r="P7033" i="3"/>
  <c r="K7034" i="3"/>
  <c r="L7034" i="3" s="1"/>
  <c r="O7034" i="3"/>
  <c r="P7034" i="3"/>
  <c r="K7035" i="3"/>
  <c r="L7035" i="3" s="1"/>
  <c r="O7035" i="3"/>
  <c r="P7035" i="3"/>
  <c r="K7036" i="3"/>
  <c r="L7036" i="3" s="1"/>
  <c r="O7036" i="3"/>
  <c r="P7036" i="3"/>
  <c r="K7037" i="3"/>
  <c r="L7037" i="3" s="1"/>
  <c r="O7037" i="3"/>
  <c r="P7037" i="3"/>
  <c r="K7038" i="3"/>
  <c r="L7038" i="3" s="1"/>
  <c r="O7038" i="3"/>
  <c r="P7038" i="3"/>
  <c r="K7039" i="3"/>
  <c r="L7039" i="3" s="1"/>
  <c r="O7039" i="3"/>
  <c r="P7039" i="3"/>
  <c r="K7040" i="3"/>
  <c r="L7040" i="3" s="1"/>
  <c r="O7040" i="3"/>
  <c r="P7040" i="3"/>
  <c r="K7041" i="3"/>
  <c r="L7041" i="3" s="1"/>
  <c r="O7041" i="3"/>
  <c r="P7041" i="3"/>
  <c r="K7042" i="3"/>
  <c r="L7042" i="3" s="1"/>
  <c r="O7042" i="3"/>
  <c r="P7042" i="3"/>
  <c r="K7043" i="3"/>
  <c r="L7043" i="3" s="1"/>
  <c r="O7043" i="3"/>
  <c r="P7043" i="3"/>
  <c r="K7044" i="3"/>
  <c r="L7044" i="3" s="1"/>
  <c r="O7044" i="3"/>
  <c r="P7044" i="3"/>
  <c r="K7045" i="3"/>
  <c r="L7045" i="3" s="1"/>
  <c r="O7045" i="3"/>
  <c r="P7045" i="3"/>
  <c r="K7046" i="3"/>
  <c r="L7046" i="3" s="1"/>
  <c r="O7046" i="3"/>
  <c r="P7046" i="3"/>
  <c r="K7047" i="3"/>
  <c r="L7047" i="3" s="1"/>
  <c r="O7047" i="3"/>
  <c r="P7047" i="3"/>
  <c r="K7048" i="3"/>
  <c r="L7048" i="3" s="1"/>
  <c r="O7048" i="3"/>
  <c r="P7048" i="3"/>
  <c r="K7049" i="3"/>
  <c r="L7049" i="3" s="1"/>
  <c r="O7049" i="3"/>
  <c r="P7049" i="3"/>
  <c r="K7050" i="3"/>
  <c r="L7050" i="3" s="1"/>
  <c r="O7050" i="3"/>
  <c r="P7050" i="3"/>
  <c r="K7051" i="3"/>
  <c r="L7051" i="3" s="1"/>
  <c r="O7051" i="3"/>
  <c r="P7051" i="3"/>
  <c r="K7052" i="3"/>
  <c r="L7052" i="3" s="1"/>
  <c r="O7052" i="3"/>
  <c r="P7052" i="3"/>
  <c r="K7053" i="3"/>
  <c r="L7053" i="3" s="1"/>
  <c r="O7053" i="3"/>
  <c r="P7053" i="3"/>
  <c r="K7054" i="3"/>
  <c r="L7054" i="3" s="1"/>
  <c r="O7054" i="3"/>
  <c r="P7054" i="3"/>
  <c r="K7055" i="3"/>
  <c r="L7055" i="3" s="1"/>
  <c r="O7055" i="3"/>
  <c r="P7055" i="3"/>
  <c r="K7056" i="3"/>
  <c r="L7056" i="3" s="1"/>
  <c r="O7056" i="3"/>
  <c r="P7056" i="3"/>
  <c r="K7057" i="3"/>
  <c r="L7057" i="3" s="1"/>
  <c r="O7057" i="3"/>
  <c r="P7057" i="3"/>
  <c r="K7058" i="3"/>
  <c r="L7058" i="3" s="1"/>
  <c r="O7058" i="3"/>
  <c r="P7058" i="3"/>
  <c r="K7059" i="3"/>
  <c r="L7059" i="3" s="1"/>
  <c r="O7059" i="3"/>
  <c r="P7059" i="3"/>
  <c r="K7060" i="3"/>
  <c r="L7060" i="3" s="1"/>
  <c r="O7060" i="3"/>
  <c r="P7060" i="3"/>
  <c r="K7061" i="3"/>
  <c r="L7061" i="3" s="1"/>
  <c r="O7061" i="3"/>
  <c r="P7061" i="3"/>
  <c r="K7062" i="3"/>
  <c r="L7062" i="3" s="1"/>
  <c r="O7062" i="3"/>
  <c r="P7062" i="3"/>
  <c r="K7063" i="3"/>
  <c r="L7063" i="3" s="1"/>
  <c r="O7063" i="3"/>
  <c r="P7063" i="3"/>
  <c r="K7064" i="3"/>
  <c r="L7064" i="3" s="1"/>
  <c r="O7064" i="3"/>
  <c r="P7064" i="3"/>
  <c r="K7065" i="3"/>
  <c r="L7065" i="3" s="1"/>
  <c r="O7065" i="3"/>
  <c r="P7065" i="3"/>
  <c r="K7066" i="3"/>
  <c r="L7066" i="3" s="1"/>
  <c r="O7066" i="3"/>
  <c r="P7066" i="3"/>
  <c r="K7067" i="3"/>
  <c r="L7067" i="3" s="1"/>
  <c r="O7067" i="3"/>
  <c r="P7067" i="3"/>
  <c r="K7068" i="3"/>
  <c r="L7068" i="3" s="1"/>
  <c r="O7068" i="3"/>
  <c r="P7068" i="3"/>
  <c r="K7069" i="3"/>
  <c r="L7069" i="3" s="1"/>
  <c r="O7069" i="3"/>
  <c r="P7069" i="3"/>
  <c r="K7070" i="3"/>
  <c r="L7070" i="3" s="1"/>
  <c r="O7070" i="3"/>
  <c r="P7070" i="3"/>
  <c r="K7071" i="3"/>
  <c r="L7071" i="3" s="1"/>
  <c r="O7071" i="3"/>
  <c r="P7071" i="3"/>
  <c r="K7072" i="3"/>
  <c r="L7072" i="3" s="1"/>
  <c r="O7072" i="3"/>
  <c r="P7072" i="3"/>
  <c r="K7073" i="3"/>
  <c r="L7073" i="3" s="1"/>
  <c r="O7073" i="3"/>
  <c r="P7073" i="3"/>
  <c r="K7074" i="3"/>
  <c r="L7074" i="3" s="1"/>
  <c r="O7074" i="3"/>
  <c r="P7074" i="3"/>
  <c r="K7075" i="3"/>
  <c r="L7075" i="3" s="1"/>
  <c r="O7075" i="3"/>
  <c r="P7075" i="3"/>
  <c r="K7076" i="3"/>
  <c r="L7076" i="3" s="1"/>
  <c r="O7076" i="3"/>
  <c r="P7076" i="3"/>
  <c r="K7077" i="3"/>
  <c r="L7077" i="3" s="1"/>
  <c r="O7077" i="3"/>
  <c r="P7077" i="3"/>
  <c r="K7078" i="3"/>
  <c r="L7078" i="3" s="1"/>
  <c r="O7078" i="3"/>
  <c r="P7078" i="3"/>
  <c r="K7079" i="3"/>
  <c r="L7079" i="3" s="1"/>
  <c r="O7079" i="3"/>
  <c r="P7079" i="3"/>
  <c r="K7080" i="3"/>
  <c r="L7080" i="3" s="1"/>
  <c r="O7080" i="3"/>
  <c r="P7080" i="3"/>
  <c r="K7081" i="3"/>
  <c r="L7081" i="3" s="1"/>
  <c r="O7081" i="3"/>
  <c r="P7081" i="3"/>
  <c r="K7082" i="3"/>
  <c r="L7082" i="3" s="1"/>
  <c r="O7082" i="3"/>
  <c r="P7082" i="3"/>
  <c r="K7083" i="3"/>
  <c r="L7083" i="3" s="1"/>
  <c r="O7083" i="3"/>
  <c r="P7083" i="3"/>
  <c r="K7084" i="3"/>
  <c r="L7084" i="3" s="1"/>
  <c r="O7084" i="3"/>
  <c r="P7084" i="3"/>
  <c r="K7085" i="3"/>
  <c r="L7085" i="3" s="1"/>
  <c r="O7085" i="3"/>
  <c r="P7085" i="3"/>
  <c r="K7086" i="3"/>
  <c r="L7086" i="3" s="1"/>
  <c r="O7086" i="3"/>
  <c r="P7086" i="3"/>
  <c r="K7087" i="3"/>
  <c r="L7087" i="3" s="1"/>
  <c r="O7087" i="3"/>
  <c r="P7087" i="3"/>
  <c r="K7088" i="3"/>
  <c r="L7088" i="3" s="1"/>
  <c r="O7088" i="3"/>
  <c r="P7088" i="3"/>
  <c r="K7089" i="3"/>
  <c r="L7089" i="3" s="1"/>
  <c r="O7089" i="3"/>
  <c r="P7089" i="3"/>
  <c r="K7090" i="3"/>
  <c r="L7090" i="3" s="1"/>
  <c r="O7090" i="3"/>
  <c r="P7090" i="3"/>
  <c r="K7091" i="3"/>
  <c r="L7091" i="3" s="1"/>
  <c r="O7091" i="3"/>
  <c r="P7091" i="3"/>
  <c r="K7092" i="3"/>
  <c r="L7092" i="3" s="1"/>
  <c r="O7092" i="3"/>
  <c r="P7092" i="3"/>
  <c r="K7093" i="3"/>
  <c r="L7093" i="3" s="1"/>
  <c r="O7093" i="3"/>
  <c r="P7093" i="3"/>
  <c r="K7094" i="3"/>
  <c r="L7094" i="3" s="1"/>
  <c r="O7094" i="3"/>
  <c r="P7094" i="3"/>
  <c r="K7095" i="3"/>
  <c r="L7095" i="3" s="1"/>
  <c r="O7095" i="3"/>
  <c r="P7095" i="3"/>
  <c r="K7096" i="3"/>
  <c r="L7096" i="3" s="1"/>
  <c r="O7096" i="3"/>
  <c r="P7096" i="3"/>
  <c r="K7097" i="3"/>
  <c r="L7097" i="3" s="1"/>
  <c r="O7097" i="3"/>
  <c r="P7097" i="3"/>
  <c r="K7098" i="3"/>
  <c r="L7098" i="3" s="1"/>
  <c r="O7098" i="3"/>
  <c r="P7098" i="3"/>
  <c r="K7099" i="3"/>
  <c r="L7099" i="3" s="1"/>
  <c r="O7099" i="3"/>
  <c r="P7099" i="3"/>
  <c r="K7100" i="3"/>
  <c r="L7100" i="3" s="1"/>
  <c r="O7100" i="3"/>
  <c r="P7100" i="3"/>
  <c r="K7101" i="3"/>
  <c r="L7101" i="3" s="1"/>
  <c r="O7101" i="3"/>
  <c r="P7101" i="3"/>
  <c r="K7102" i="3"/>
  <c r="L7102" i="3" s="1"/>
  <c r="O7102" i="3"/>
  <c r="P7102" i="3"/>
  <c r="K7103" i="3"/>
  <c r="L7103" i="3" s="1"/>
  <c r="O7103" i="3"/>
  <c r="P7103" i="3"/>
  <c r="K7104" i="3"/>
  <c r="L7104" i="3" s="1"/>
  <c r="O7104" i="3"/>
  <c r="P7104" i="3"/>
  <c r="K7105" i="3"/>
  <c r="L7105" i="3" s="1"/>
  <c r="O7105" i="3"/>
  <c r="P7105" i="3"/>
  <c r="K7106" i="3"/>
  <c r="L7106" i="3" s="1"/>
  <c r="O7106" i="3"/>
  <c r="P7106" i="3"/>
  <c r="K7107" i="3"/>
  <c r="L7107" i="3" s="1"/>
  <c r="O7107" i="3"/>
  <c r="P7107" i="3"/>
  <c r="K7108" i="3"/>
  <c r="L7108" i="3" s="1"/>
  <c r="O7108" i="3"/>
  <c r="P7108" i="3"/>
  <c r="K7109" i="3"/>
  <c r="L7109" i="3" s="1"/>
  <c r="O7109" i="3"/>
  <c r="P7109" i="3"/>
  <c r="K7110" i="3"/>
  <c r="L7110" i="3" s="1"/>
  <c r="O7110" i="3"/>
  <c r="P7110" i="3"/>
  <c r="K7111" i="3"/>
  <c r="L7111" i="3" s="1"/>
  <c r="O7111" i="3"/>
  <c r="P7111" i="3"/>
  <c r="K7112" i="3"/>
  <c r="L7112" i="3" s="1"/>
  <c r="O7112" i="3"/>
  <c r="P7112" i="3"/>
  <c r="K7113" i="3"/>
  <c r="L7113" i="3" s="1"/>
  <c r="O7113" i="3"/>
  <c r="P7113" i="3"/>
  <c r="K7114" i="3"/>
  <c r="L7114" i="3" s="1"/>
  <c r="O7114" i="3"/>
  <c r="P7114" i="3"/>
  <c r="K7115" i="3"/>
  <c r="L7115" i="3" s="1"/>
  <c r="O7115" i="3"/>
  <c r="P7115" i="3"/>
  <c r="K7116" i="3"/>
  <c r="L7116" i="3" s="1"/>
  <c r="O7116" i="3"/>
  <c r="P7116" i="3"/>
  <c r="K7117" i="3"/>
  <c r="L7117" i="3" s="1"/>
  <c r="O7117" i="3"/>
  <c r="P7117" i="3"/>
  <c r="K7118" i="3"/>
  <c r="L7118" i="3" s="1"/>
  <c r="O7118" i="3"/>
  <c r="P7118" i="3"/>
  <c r="K7119" i="3"/>
  <c r="L7119" i="3" s="1"/>
  <c r="O7119" i="3"/>
  <c r="P7119" i="3"/>
  <c r="K7120" i="3"/>
  <c r="L7120" i="3" s="1"/>
  <c r="O7120" i="3"/>
  <c r="P7120" i="3"/>
  <c r="K7121" i="3"/>
  <c r="L7121" i="3" s="1"/>
  <c r="O7121" i="3"/>
  <c r="P7121" i="3"/>
  <c r="K7122" i="3"/>
  <c r="L7122" i="3" s="1"/>
  <c r="O7122" i="3"/>
  <c r="P7122" i="3"/>
  <c r="K7123" i="3"/>
  <c r="L7123" i="3" s="1"/>
  <c r="O7123" i="3"/>
  <c r="P7123" i="3"/>
  <c r="K7124" i="3"/>
  <c r="L7124" i="3" s="1"/>
  <c r="O7124" i="3"/>
  <c r="P7124" i="3"/>
  <c r="K7125" i="3"/>
  <c r="L7125" i="3" s="1"/>
  <c r="O7125" i="3"/>
  <c r="P7125" i="3"/>
  <c r="K7126" i="3"/>
  <c r="L7126" i="3" s="1"/>
  <c r="O7126" i="3"/>
  <c r="P7126" i="3"/>
  <c r="K7127" i="3"/>
  <c r="L7127" i="3" s="1"/>
  <c r="O7127" i="3"/>
  <c r="P7127" i="3"/>
  <c r="K7128" i="3"/>
  <c r="L7128" i="3" s="1"/>
  <c r="O7128" i="3"/>
  <c r="P7128" i="3"/>
  <c r="K7129" i="3"/>
  <c r="L7129" i="3" s="1"/>
  <c r="O7129" i="3"/>
  <c r="P7129" i="3"/>
  <c r="K7130" i="3"/>
  <c r="L7130" i="3" s="1"/>
  <c r="O7130" i="3"/>
  <c r="P7130" i="3"/>
  <c r="K7131" i="3"/>
  <c r="L7131" i="3" s="1"/>
  <c r="O7131" i="3"/>
  <c r="P7131" i="3"/>
  <c r="K7132" i="3"/>
  <c r="L7132" i="3" s="1"/>
  <c r="O7132" i="3"/>
  <c r="P7132" i="3"/>
  <c r="K7133" i="3"/>
  <c r="L7133" i="3" s="1"/>
  <c r="O7133" i="3"/>
  <c r="P7133" i="3"/>
  <c r="K7134" i="3"/>
  <c r="L7134" i="3" s="1"/>
  <c r="O7134" i="3"/>
  <c r="P7134" i="3"/>
  <c r="K7135" i="3"/>
  <c r="L7135" i="3" s="1"/>
  <c r="O7135" i="3"/>
  <c r="P7135" i="3"/>
  <c r="K7136" i="3"/>
  <c r="L7136" i="3" s="1"/>
  <c r="O7136" i="3"/>
  <c r="P7136" i="3"/>
  <c r="K7137" i="3"/>
  <c r="L7137" i="3" s="1"/>
  <c r="O7137" i="3"/>
  <c r="P7137" i="3"/>
  <c r="K7138" i="3"/>
  <c r="L7138" i="3" s="1"/>
  <c r="O7138" i="3"/>
  <c r="P7138" i="3"/>
  <c r="K7139" i="3"/>
  <c r="L7139" i="3" s="1"/>
  <c r="O7139" i="3"/>
  <c r="P7139" i="3"/>
  <c r="K7140" i="3"/>
  <c r="L7140" i="3" s="1"/>
  <c r="O7140" i="3"/>
  <c r="P7140" i="3"/>
  <c r="K7141" i="3"/>
  <c r="L7141" i="3" s="1"/>
  <c r="O7141" i="3"/>
  <c r="P7141" i="3"/>
  <c r="K7142" i="3"/>
  <c r="L7142" i="3" s="1"/>
  <c r="O7142" i="3"/>
  <c r="P7142" i="3"/>
  <c r="K7143" i="3"/>
  <c r="L7143" i="3" s="1"/>
  <c r="O7143" i="3"/>
  <c r="P7143" i="3"/>
  <c r="K7144" i="3"/>
  <c r="L7144" i="3" s="1"/>
  <c r="O7144" i="3"/>
  <c r="P7144" i="3"/>
  <c r="K7145" i="3"/>
  <c r="L7145" i="3" s="1"/>
  <c r="O7145" i="3"/>
  <c r="P7145" i="3"/>
  <c r="K7146" i="3"/>
  <c r="L7146" i="3" s="1"/>
  <c r="O7146" i="3"/>
  <c r="P7146" i="3"/>
  <c r="K7147" i="3"/>
  <c r="L7147" i="3" s="1"/>
  <c r="O7147" i="3"/>
  <c r="P7147" i="3"/>
  <c r="K7148" i="3"/>
  <c r="L7148" i="3" s="1"/>
  <c r="O7148" i="3"/>
  <c r="P7148" i="3"/>
  <c r="K7149" i="3"/>
  <c r="L7149" i="3" s="1"/>
  <c r="O7149" i="3"/>
  <c r="P7149" i="3"/>
  <c r="K7150" i="3"/>
  <c r="L7150" i="3" s="1"/>
  <c r="O7150" i="3"/>
  <c r="P7150" i="3"/>
  <c r="K7151" i="3"/>
  <c r="L7151" i="3" s="1"/>
  <c r="O7151" i="3"/>
  <c r="P7151" i="3"/>
  <c r="K7152" i="3"/>
  <c r="L7152" i="3" s="1"/>
  <c r="O7152" i="3"/>
  <c r="P7152" i="3"/>
  <c r="K7153" i="3"/>
  <c r="L7153" i="3" s="1"/>
  <c r="O7153" i="3"/>
  <c r="P7153" i="3"/>
  <c r="K7154" i="3"/>
  <c r="L7154" i="3" s="1"/>
  <c r="O7154" i="3"/>
  <c r="P7154" i="3"/>
  <c r="K7155" i="3"/>
  <c r="L7155" i="3" s="1"/>
  <c r="O7155" i="3"/>
  <c r="P7155" i="3"/>
  <c r="K7156" i="3"/>
  <c r="L7156" i="3" s="1"/>
  <c r="O7156" i="3"/>
  <c r="P7156" i="3"/>
  <c r="K7157" i="3"/>
  <c r="L7157" i="3" s="1"/>
  <c r="O7157" i="3"/>
  <c r="P7157" i="3"/>
  <c r="K7158" i="3"/>
  <c r="L7158" i="3" s="1"/>
  <c r="O7158" i="3"/>
  <c r="P7158" i="3"/>
  <c r="K7159" i="3"/>
  <c r="L7159" i="3" s="1"/>
  <c r="O7159" i="3"/>
  <c r="P7159" i="3"/>
  <c r="K7160" i="3"/>
  <c r="L7160" i="3" s="1"/>
  <c r="O7160" i="3"/>
  <c r="P7160" i="3"/>
  <c r="K7161" i="3"/>
  <c r="L7161" i="3" s="1"/>
  <c r="O7161" i="3"/>
  <c r="P7161" i="3"/>
  <c r="K7162" i="3"/>
  <c r="L7162" i="3" s="1"/>
  <c r="O7162" i="3"/>
  <c r="P7162" i="3"/>
  <c r="K7163" i="3"/>
  <c r="L7163" i="3" s="1"/>
  <c r="O7163" i="3"/>
  <c r="P7163" i="3"/>
  <c r="K7164" i="3"/>
  <c r="L7164" i="3" s="1"/>
  <c r="O7164" i="3"/>
  <c r="P7164" i="3"/>
  <c r="K7165" i="3"/>
  <c r="L7165" i="3" s="1"/>
  <c r="O7165" i="3"/>
  <c r="P7165" i="3"/>
  <c r="K7166" i="3"/>
  <c r="L7166" i="3" s="1"/>
  <c r="O7166" i="3"/>
  <c r="P7166" i="3"/>
  <c r="K7167" i="3"/>
  <c r="L7167" i="3" s="1"/>
  <c r="O7167" i="3"/>
  <c r="P7167" i="3"/>
  <c r="K7168" i="3"/>
  <c r="L7168" i="3" s="1"/>
  <c r="O7168" i="3"/>
  <c r="P7168" i="3"/>
  <c r="K7169" i="3"/>
  <c r="L7169" i="3" s="1"/>
  <c r="O7169" i="3"/>
  <c r="P7169" i="3"/>
  <c r="K7170" i="3"/>
  <c r="L7170" i="3" s="1"/>
  <c r="O7170" i="3"/>
  <c r="P7170" i="3"/>
  <c r="K7171" i="3"/>
  <c r="L7171" i="3" s="1"/>
  <c r="O7171" i="3"/>
  <c r="P7171" i="3"/>
  <c r="K7172" i="3"/>
  <c r="L7172" i="3" s="1"/>
  <c r="O7172" i="3"/>
  <c r="P7172" i="3"/>
  <c r="K7173" i="3"/>
  <c r="L7173" i="3" s="1"/>
  <c r="O7173" i="3"/>
  <c r="P7173" i="3"/>
  <c r="K7174" i="3"/>
  <c r="L7174" i="3" s="1"/>
  <c r="O7174" i="3"/>
  <c r="P7174" i="3"/>
  <c r="K7175" i="3"/>
  <c r="L7175" i="3" s="1"/>
  <c r="O7175" i="3"/>
  <c r="P7175" i="3"/>
  <c r="K7176" i="3"/>
  <c r="L7176" i="3" s="1"/>
  <c r="O7176" i="3"/>
  <c r="P7176" i="3"/>
  <c r="K7177" i="3"/>
  <c r="L7177" i="3" s="1"/>
  <c r="O7177" i="3"/>
  <c r="P7177" i="3"/>
  <c r="K7178" i="3"/>
  <c r="L7178" i="3" s="1"/>
  <c r="O7178" i="3"/>
  <c r="P7178" i="3"/>
  <c r="K7179" i="3"/>
  <c r="L7179" i="3" s="1"/>
  <c r="O7179" i="3"/>
  <c r="P7179" i="3"/>
  <c r="K7180" i="3"/>
  <c r="L7180" i="3" s="1"/>
  <c r="O7180" i="3"/>
  <c r="P7180" i="3"/>
  <c r="K7181" i="3"/>
  <c r="L7181" i="3" s="1"/>
  <c r="O7181" i="3"/>
  <c r="P7181" i="3"/>
  <c r="K7182" i="3"/>
  <c r="L7182" i="3" s="1"/>
  <c r="O7182" i="3"/>
  <c r="P7182" i="3"/>
  <c r="K7183" i="3"/>
  <c r="L7183" i="3" s="1"/>
  <c r="O7183" i="3"/>
  <c r="P7183" i="3"/>
  <c r="K7184" i="3"/>
  <c r="L7184" i="3" s="1"/>
  <c r="O7184" i="3"/>
  <c r="P7184" i="3"/>
  <c r="K7185" i="3"/>
  <c r="L7185" i="3" s="1"/>
  <c r="O7185" i="3"/>
  <c r="P7185" i="3"/>
  <c r="K7186" i="3"/>
  <c r="L7186" i="3" s="1"/>
  <c r="O7186" i="3"/>
  <c r="P7186" i="3"/>
  <c r="K7187" i="3"/>
  <c r="L7187" i="3" s="1"/>
  <c r="O7187" i="3"/>
  <c r="P7187" i="3"/>
  <c r="K7188" i="3"/>
  <c r="L7188" i="3" s="1"/>
  <c r="O7188" i="3"/>
  <c r="P7188" i="3"/>
  <c r="K7189" i="3"/>
  <c r="L7189" i="3" s="1"/>
  <c r="O7189" i="3"/>
  <c r="P7189" i="3"/>
  <c r="K7190" i="3"/>
  <c r="L7190" i="3" s="1"/>
  <c r="O7190" i="3"/>
  <c r="P7190" i="3"/>
  <c r="K7191" i="3"/>
  <c r="L7191" i="3" s="1"/>
  <c r="O7191" i="3"/>
  <c r="P7191" i="3"/>
  <c r="K7192" i="3"/>
  <c r="L7192" i="3" s="1"/>
  <c r="O7192" i="3"/>
  <c r="P7192" i="3"/>
  <c r="K7193" i="3"/>
  <c r="L7193" i="3" s="1"/>
  <c r="O7193" i="3"/>
  <c r="P7193" i="3"/>
  <c r="K7194" i="3"/>
  <c r="L7194" i="3" s="1"/>
  <c r="O7194" i="3"/>
  <c r="P7194" i="3"/>
  <c r="O7195" i="3"/>
  <c r="P7195" i="3"/>
  <c r="O7196" i="3"/>
  <c r="P7196" i="3"/>
  <c r="K7197" i="3"/>
  <c r="L7197" i="3" s="1"/>
  <c r="O7197" i="3"/>
  <c r="P7197" i="3"/>
  <c r="K7198" i="3"/>
  <c r="L7198" i="3" s="1"/>
  <c r="O7198" i="3"/>
  <c r="P7198" i="3"/>
  <c r="K7199" i="3"/>
  <c r="L7199" i="3" s="1"/>
  <c r="O7199" i="3"/>
  <c r="P7199" i="3"/>
  <c r="K7200" i="3"/>
  <c r="L7200" i="3" s="1"/>
  <c r="O7200" i="3"/>
  <c r="P7200" i="3"/>
  <c r="K7201" i="3"/>
  <c r="L7201" i="3" s="1"/>
  <c r="O7201" i="3"/>
  <c r="P7201" i="3"/>
  <c r="K7202" i="3"/>
  <c r="L7202" i="3" s="1"/>
  <c r="O7202" i="3"/>
  <c r="P7202" i="3"/>
  <c r="K7203" i="3"/>
  <c r="L7203" i="3" s="1"/>
  <c r="O7203" i="3"/>
  <c r="P7203" i="3"/>
  <c r="K7204" i="3"/>
  <c r="L7204" i="3" s="1"/>
  <c r="O7204" i="3"/>
  <c r="P7204" i="3"/>
  <c r="K7205" i="3"/>
  <c r="L7205" i="3" s="1"/>
  <c r="O7205" i="3"/>
  <c r="P7205" i="3"/>
  <c r="K7206" i="3"/>
  <c r="L7206" i="3" s="1"/>
  <c r="O7206" i="3"/>
  <c r="P7206" i="3"/>
  <c r="K7207" i="3"/>
  <c r="L7207" i="3" s="1"/>
  <c r="O7207" i="3"/>
  <c r="P7207" i="3"/>
  <c r="K7208" i="3"/>
  <c r="L7208" i="3" s="1"/>
  <c r="O7208" i="3"/>
  <c r="P7208" i="3"/>
  <c r="K7209" i="3"/>
  <c r="L7209" i="3" s="1"/>
  <c r="O7209" i="3"/>
  <c r="P7209" i="3"/>
  <c r="K7210" i="3"/>
  <c r="L7210" i="3" s="1"/>
  <c r="O7210" i="3"/>
  <c r="P7210" i="3"/>
  <c r="K7211" i="3"/>
  <c r="L7211" i="3" s="1"/>
  <c r="O7211" i="3"/>
  <c r="P7211" i="3"/>
  <c r="K7212" i="3"/>
  <c r="L7212" i="3" s="1"/>
  <c r="O7212" i="3"/>
  <c r="P7212" i="3"/>
  <c r="K7213" i="3"/>
  <c r="L7213" i="3" s="1"/>
  <c r="O7213" i="3"/>
  <c r="P7213" i="3"/>
  <c r="K7214" i="3"/>
  <c r="L7214" i="3" s="1"/>
  <c r="O7214" i="3"/>
  <c r="P7214" i="3"/>
  <c r="K7215" i="3"/>
  <c r="L7215" i="3" s="1"/>
  <c r="O7215" i="3"/>
  <c r="P7215" i="3"/>
  <c r="K7216" i="3"/>
  <c r="L7216" i="3" s="1"/>
  <c r="O7216" i="3"/>
  <c r="P7216" i="3"/>
  <c r="K7217" i="3"/>
  <c r="L7217" i="3" s="1"/>
  <c r="O7217" i="3"/>
  <c r="P7217" i="3"/>
  <c r="K7218" i="3"/>
  <c r="L7218" i="3" s="1"/>
  <c r="O7218" i="3"/>
  <c r="P7218" i="3"/>
  <c r="K7219" i="3"/>
  <c r="L7219" i="3" s="1"/>
  <c r="O7219" i="3"/>
  <c r="P7219" i="3"/>
  <c r="O7220" i="3"/>
  <c r="P7220" i="3"/>
  <c r="O7221" i="3"/>
  <c r="P7221" i="3"/>
  <c r="O7222" i="3"/>
  <c r="P7222" i="3"/>
  <c r="K7223" i="3"/>
  <c r="L7223" i="3" s="1"/>
  <c r="O7223" i="3"/>
  <c r="P7223" i="3"/>
  <c r="K7224" i="3"/>
  <c r="L7224" i="3" s="1"/>
  <c r="O7224" i="3"/>
  <c r="P7224" i="3"/>
  <c r="K7225" i="3"/>
  <c r="L7225" i="3" s="1"/>
  <c r="O7225" i="3"/>
  <c r="P7225" i="3"/>
  <c r="K7226" i="3"/>
  <c r="L7226" i="3" s="1"/>
  <c r="O7226" i="3"/>
  <c r="P7226" i="3"/>
  <c r="K7227" i="3"/>
  <c r="L7227" i="3" s="1"/>
  <c r="O7227" i="3"/>
  <c r="P7227" i="3"/>
  <c r="K7228" i="3"/>
  <c r="L7228" i="3" s="1"/>
  <c r="O7228" i="3"/>
  <c r="P7228" i="3"/>
  <c r="K7229" i="3"/>
  <c r="L7229" i="3" s="1"/>
  <c r="O7229" i="3"/>
  <c r="P7229" i="3"/>
  <c r="K7230" i="3"/>
  <c r="L7230" i="3" s="1"/>
  <c r="O7230" i="3"/>
  <c r="P7230" i="3"/>
  <c r="K7231" i="3"/>
  <c r="L7231" i="3" s="1"/>
  <c r="O7231" i="3"/>
  <c r="P7231" i="3"/>
  <c r="K7232" i="3"/>
  <c r="L7232" i="3" s="1"/>
  <c r="O7232" i="3"/>
  <c r="P7232" i="3"/>
  <c r="K7233" i="3"/>
  <c r="L7233" i="3" s="1"/>
  <c r="O7233" i="3"/>
  <c r="P7233" i="3"/>
  <c r="K7234" i="3"/>
  <c r="L7234" i="3" s="1"/>
  <c r="O7234" i="3"/>
  <c r="P7234" i="3"/>
  <c r="K7235" i="3"/>
  <c r="L7235" i="3" s="1"/>
  <c r="O7235" i="3"/>
  <c r="P7235" i="3"/>
  <c r="K7236" i="3"/>
  <c r="L7236" i="3" s="1"/>
  <c r="O7236" i="3"/>
  <c r="P7236" i="3"/>
  <c r="K7237" i="3"/>
  <c r="L7237" i="3" s="1"/>
  <c r="O7237" i="3"/>
  <c r="P7237" i="3"/>
  <c r="K7238" i="3"/>
  <c r="L7238" i="3" s="1"/>
  <c r="O7238" i="3"/>
  <c r="P7238" i="3"/>
  <c r="K7239" i="3"/>
  <c r="L7239" i="3" s="1"/>
  <c r="O7239" i="3"/>
  <c r="P7239" i="3"/>
  <c r="K7240" i="3"/>
  <c r="L7240" i="3" s="1"/>
  <c r="O7240" i="3"/>
  <c r="P7240" i="3"/>
  <c r="K7241" i="3"/>
  <c r="L7241" i="3" s="1"/>
  <c r="O7241" i="3"/>
  <c r="P7241" i="3"/>
  <c r="K7242" i="3"/>
  <c r="L7242" i="3" s="1"/>
  <c r="O7242" i="3"/>
  <c r="P7242" i="3"/>
  <c r="K7243" i="3"/>
  <c r="L7243" i="3" s="1"/>
  <c r="O7243" i="3"/>
  <c r="P7243" i="3"/>
  <c r="K7244" i="3"/>
  <c r="L7244" i="3" s="1"/>
  <c r="O7244" i="3"/>
  <c r="P7244" i="3"/>
  <c r="K7245" i="3"/>
  <c r="L7245" i="3" s="1"/>
  <c r="O7245" i="3"/>
  <c r="P7245" i="3"/>
  <c r="K7246" i="3"/>
  <c r="L7246" i="3" s="1"/>
  <c r="O7246" i="3"/>
  <c r="P7246" i="3"/>
  <c r="K7247" i="3"/>
  <c r="L7247" i="3" s="1"/>
  <c r="O7247" i="3"/>
  <c r="P7247" i="3"/>
  <c r="K7248" i="3"/>
  <c r="L7248" i="3" s="1"/>
  <c r="O7248" i="3"/>
  <c r="P7248" i="3"/>
  <c r="K7249" i="3"/>
  <c r="L7249" i="3" s="1"/>
  <c r="O7249" i="3"/>
  <c r="P7249" i="3"/>
  <c r="K7250" i="3"/>
  <c r="L7250" i="3" s="1"/>
  <c r="O7250" i="3"/>
  <c r="P7250" i="3"/>
  <c r="K7251" i="3"/>
  <c r="L7251" i="3" s="1"/>
  <c r="O7251" i="3"/>
  <c r="P7251" i="3"/>
  <c r="K7252" i="3"/>
  <c r="L7252" i="3" s="1"/>
  <c r="O7252" i="3"/>
  <c r="P7252" i="3"/>
  <c r="K7253" i="3"/>
  <c r="L7253" i="3" s="1"/>
  <c r="O7253" i="3"/>
  <c r="P7253" i="3"/>
  <c r="K7254" i="3"/>
  <c r="L7254" i="3" s="1"/>
  <c r="O7254" i="3"/>
  <c r="P7254" i="3"/>
  <c r="K7255" i="3"/>
  <c r="L7255" i="3" s="1"/>
  <c r="O7255" i="3"/>
  <c r="P7255" i="3"/>
  <c r="K7256" i="3"/>
  <c r="L7256" i="3" s="1"/>
  <c r="O7256" i="3"/>
  <c r="P7256" i="3"/>
  <c r="K7257" i="3"/>
  <c r="L7257" i="3" s="1"/>
  <c r="O7257" i="3"/>
  <c r="P7257" i="3"/>
  <c r="K7258" i="3"/>
  <c r="L7258" i="3" s="1"/>
  <c r="O7258" i="3"/>
  <c r="P7258" i="3"/>
  <c r="K7259" i="3"/>
  <c r="L7259" i="3" s="1"/>
  <c r="O7259" i="3"/>
  <c r="P7259" i="3"/>
  <c r="K7260" i="3"/>
  <c r="L7260" i="3" s="1"/>
  <c r="O7260" i="3"/>
  <c r="P7260" i="3"/>
  <c r="K7261" i="3"/>
  <c r="L7261" i="3" s="1"/>
  <c r="O7261" i="3"/>
  <c r="P7261" i="3"/>
  <c r="K7262" i="3"/>
  <c r="L7262" i="3" s="1"/>
  <c r="O7262" i="3"/>
  <c r="P7262" i="3"/>
  <c r="K7263" i="3"/>
  <c r="L7263" i="3" s="1"/>
  <c r="O7263" i="3"/>
  <c r="P7263" i="3"/>
  <c r="K7264" i="3"/>
  <c r="L7264" i="3" s="1"/>
  <c r="O7264" i="3"/>
  <c r="P7264" i="3"/>
  <c r="K7265" i="3"/>
  <c r="L7265" i="3" s="1"/>
  <c r="O7265" i="3"/>
  <c r="P7265" i="3"/>
  <c r="K7266" i="3"/>
  <c r="L7266" i="3" s="1"/>
  <c r="O7266" i="3"/>
  <c r="P7266" i="3"/>
  <c r="K7267" i="3"/>
  <c r="L7267" i="3" s="1"/>
  <c r="O7267" i="3"/>
  <c r="P7267" i="3"/>
  <c r="K7268" i="3"/>
  <c r="L7268" i="3" s="1"/>
  <c r="O7268" i="3"/>
  <c r="P7268" i="3"/>
  <c r="K7269" i="3"/>
  <c r="L7269" i="3" s="1"/>
  <c r="O7269" i="3"/>
  <c r="P7269" i="3"/>
  <c r="K7270" i="3"/>
  <c r="L7270" i="3" s="1"/>
  <c r="O7270" i="3"/>
  <c r="P7270" i="3"/>
  <c r="K7271" i="3"/>
  <c r="L7271" i="3" s="1"/>
  <c r="O7271" i="3"/>
  <c r="P7271" i="3"/>
  <c r="K7272" i="3"/>
  <c r="L7272" i="3" s="1"/>
  <c r="O7272" i="3"/>
  <c r="P7272" i="3"/>
  <c r="K7273" i="3"/>
  <c r="L7273" i="3" s="1"/>
  <c r="O7273" i="3"/>
  <c r="P7273" i="3"/>
  <c r="K7274" i="3"/>
  <c r="L7274" i="3" s="1"/>
  <c r="O7274" i="3"/>
  <c r="P7274" i="3"/>
  <c r="K7275" i="3"/>
  <c r="L7275" i="3" s="1"/>
  <c r="O7275" i="3"/>
  <c r="P7275" i="3"/>
  <c r="K7276" i="3"/>
  <c r="L7276" i="3" s="1"/>
  <c r="O7276" i="3"/>
  <c r="P7276" i="3"/>
  <c r="K7277" i="3"/>
  <c r="L7277" i="3" s="1"/>
  <c r="O7277" i="3"/>
  <c r="P7277" i="3"/>
  <c r="K7278" i="3"/>
  <c r="L7278" i="3" s="1"/>
  <c r="O7278" i="3"/>
  <c r="P7278" i="3"/>
  <c r="K7279" i="3"/>
  <c r="L7279" i="3" s="1"/>
  <c r="O7279" i="3"/>
  <c r="P7279" i="3"/>
  <c r="K7280" i="3"/>
  <c r="L7280" i="3" s="1"/>
  <c r="O7280" i="3"/>
  <c r="P7280" i="3"/>
  <c r="K7281" i="3"/>
  <c r="L7281" i="3" s="1"/>
  <c r="O7281" i="3"/>
  <c r="P7281" i="3"/>
  <c r="K7282" i="3"/>
  <c r="L7282" i="3" s="1"/>
  <c r="O7282" i="3"/>
  <c r="P7282" i="3"/>
  <c r="K7283" i="3"/>
  <c r="L7283" i="3" s="1"/>
  <c r="O7283" i="3"/>
  <c r="P7283" i="3"/>
  <c r="K7284" i="3"/>
  <c r="L7284" i="3" s="1"/>
  <c r="O7284" i="3"/>
  <c r="P7284" i="3"/>
  <c r="K7285" i="3"/>
  <c r="L7285" i="3" s="1"/>
  <c r="O7285" i="3"/>
  <c r="P7285" i="3"/>
  <c r="O7286" i="3"/>
  <c r="P7286" i="3"/>
  <c r="O7287" i="3"/>
  <c r="P7287" i="3"/>
  <c r="K7288" i="3"/>
  <c r="L7288" i="3" s="1"/>
  <c r="O7288" i="3"/>
  <c r="P7288" i="3"/>
  <c r="K7289" i="3"/>
  <c r="L7289" i="3" s="1"/>
  <c r="O7289" i="3"/>
  <c r="P7289" i="3"/>
  <c r="K7290" i="3"/>
  <c r="L7290" i="3" s="1"/>
  <c r="O7290" i="3"/>
  <c r="P7290" i="3"/>
  <c r="O7291" i="3"/>
  <c r="P7291" i="3"/>
  <c r="K7292" i="3"/>
  <c r="L7292" i="3" s="1"/>
  <c r="O7292" i="3"/>
  <c r="P7292" i="3"/>
  <c r="K7293" i="3"/>
  <c r="L7293" i="3" s="1"/>
  <c r="O7293" i="3"/>
  <c r="P7293" i="3"/>
  <c r="K7294" i="3"/>
  <c r="L7294" i="3" s="1"/>
  <c r="O7294" i="3"/>
  <c r="P7294" i="3"/>
  <c r="K7295" i="3"/>
  <c r="L7295" i="3" s="1"/>
  <c r="O7295" i="3"/>
  <c r="P7295" i="3"/>
  <c r="K7296" i="3"/>
  <c r="L7296" i="3" s="1"/>
  <c r="O7296" i="3"/>
  <c r="P7296" i="3"/>
  <c r="K7297" i="3"/>
  <c r="L7297" i="3" s="1"/>
  <c r="O7297" i="3"/>
  <c r="P7297" i="3"/>
  <c r="K7298" i="3"/>
  <c r="L7298" i="3" s="1"/>
  <c r="O7298" i="3"/>
  <c r="P7298" i="3"/>
  <c r="K7299" i="3"/>
  <c r="L7299" i="3" s="1"/>
  <c r="O7299" i="3"/>
  <c r="P7299" i="3"/>
  <c r="K7300" i="3"/>
  <c r="L7300" i="3" s="1"/>
  <c r="O7300" i="3"/>
  <c r="P7300" i="3"/>
  <c r="K7301" i="3"/>
  <c r="L7301" i="3" s="1"/>
  <c r="O7301" i="3"/>
  <c r="P7301" i="3"/>
  <c r="K7302" i="3"/>
  <c r="L7302" i="3" s="1"/>
  <c r="O7302" i="3"/>
  <c r="P7302" i="3"/>
  <c r="K7303" i="3"/>
  <c r="L7303" i="3" s="1"/>
  <c r="O7303" i="3"/>
  <c r="P7303" i="3"/>
  <c r="O7304" i="3"/>
  <c r="P7304" i="3"/>
  <c r="K7305" i="3"/>
  <c r="L7305" i="3" s="1"/>
  <c r="O7305" i="3"/>
  <c r="P7305" i="3"/>
  <c r="K7306" i="3"/>
  <c r="L7306" i="3" s="1"/>
  <c r="O7306" i="3"/>
  <c r="P7306" i="3"/>
  <c r="K7307" i="3"/>
  <c r="L7307" i="3" s="1"/>
  <c r="O7307" i="3"/>
  <c r="P7307" i="3"/>
  <c r="K7308" i="3"/>
  <c r="L7308" i="3" s="1"/>
  <c r="O7308" i="3"/>
  <c r="P7308" i="3"/>
  <c r="K7309" i="3"/>
  <c r="L7309" i="3" s="1"/>
  <c r="O7309" i="3"/>
  <c r="P7309" i="3"/>
  <c r="K7310" i="3"/>
  <c r="L7310" i="3" s="1"/>
  <c r="O7310" i="3"/>
  <c r="P7310" i="3"/>
  <c r="K7311" i="3"/>
  <c r="L7311" i="3" s="1"/>
  <c r="O7311" i="3"/>
  <c r="P7311" i="3"/>
  <c r="K7312" i="3"/>
  <c r="L7312" i="3" s="1"/>
  <c r="O7312" i="3"/>
  <c r="P7312" i="3"/>
  <c r="K7313" i="3"/>
  <c r="L7313" i="3" s="1"/>
  <c r="O7313" i="3"/>
  <c r="P7313" i="3"/>
  <c r="K7314" i="3"/>
  <c r="L7314" i="3" s="1"/>
  <c r="O7314" i="3"/>
  <c r="P7314" i="3"/>
  <c r="K7315" i="3"/>
  <c r="L7315" i="3" s="1"/>
  <c r="O7315" i="3"/>
  <c r="P7315" i="3"/>
  <c r="K7316" i="3"/>
  <c r="L7316" i="3" s="1"/>
  <c r="O7316" i="3"/>
  <c r="P7316" i="3"/>
  <c r="K7317" i="3"/>
  <c r="L7317" i="3" s="1"/>
  <c r="O7317" i="3"/>
  <c r="P7317" i="3"/>
  <c r="K7318" i="3"/>
  <c r="L7318" i="3" s="1"/>
  <c r="O7318" i="3"/>
  <c r="P7318" i="3"/>
  <c r="K7319" i="3"/>
  <c r="L7319" i="3" s="1"/>
  <c r="O7319" i="3"/>
  <c r="P7319" i="3"/>
  <c r="K7320" i="3"/>
  <c r="L7320" i="3" s="1"/>
  <c r="O7320" i="3"/>
  <c r="P7320" i="3"/>
  <c r="K7321" i="3"/>
  <c r="L7321" i="3" s="1"/>
  <c r="O7321" i="3"/>
  <c r="P7321" i="3"/>
  <c r="K7322" i="3"/>
  <c r="L7322" i="3" s="1"/>
  <c r="O7322" i="3"/>
  <c r="P7322" i="3"/>
  <c r="K7323" i="3"/>
  <c r="L7323" i="3" s="1"/>
  <c r="O7323" i="3"/>
  <c r="P7323" i="3"/>
  <c r="K7324" i="3"/>
  <c r="L7324" i="3" s="1"/>
  <c r="O7324" i="3"/>
  <c r="P7324" i="3"/>
  <c r="K7325" i="3"/>
  <c r="L7325" i="3" s="1"/>
  <c r="O7325" i="3"/>
  <c r="P7325" i="3"/>
  <c r="K7326" i="3"/>
  <c r="L7326" i="3" s="1"/>
  <c r="O7326" i="3"/>
  <c r="P7326" i="3"/>
  <c r="K7327" i="3"/>
  <c r="L7327" i="3" s="1"/>
  <c r="O7327" i="3"/>
  <c r="P7327" i="3"/>
  <c r="O7328" i="3"/>
  <c r="P7328" i="3"/>
  <c r="O7329" i="3"/>
  <c r="P7329" i="3"/>
  <c r="O7330" i="3"/>
  <c r="P7330" i="3"/>
  <c r="O7331" i="3"/>
  <c r="P7331" i="3"/>
  <c r="O7332" i="3"/>
  <c r="P7332" i="3"/>
  <c r="K7333" i="3"/>
  <c r="L7333" i="3" s="1"/>
  <c r="O7333" i="3"/>
  <c r="P7333" i="3"/>
  <c r="K7334" i="3"/>
  <c r="L7334" i="3" s="1"/>
  <c r="O7334" i="3"/>
  <c r="P7334" i="3"/>
  <c r="K7335" i="3"/>
  <c r="L7335" i="3" s="1"/>
  <c r="O7335" i="3"/>
  <c r="P7335" i="3"/>
  <c r="K7336" i="3"/>
  <c r="L7336" i="3" s="1"/>
  <c r="O7336" i="3"/>
  <c r="P7336" i="3"/>
  <c r="K7337" i="3"/>
  <c r="L7337" i="3" s="1"/>
  <c r="O7337" i="3"/>
  <c r="P7337" i="3"/>
  <c r="K7338" i="3"/>
  <c r="L7338" i="3" s="1"/>
  <c r="O7338" i="3"/>
  <c r="P7338" i="3"/>
  <c r="K7339" i="3"/>
  <c r="L7339" i="3" s="1"/>
  <c r="O7339" i="3"/>
  <c r="P7339" i="3"/>
  <c r="K7340" i="3"/>
  <c r="L7340" i="3" s="1"/>
  <c r="O7340" i="3"/>
  <c r="P7340" i="3"/>
  <c r="K7341" i="3"/>
  <c r="L7341" i="3" s="1"/>
  <c r="O7341" i="3"/>
  <c r="P7341" i="3"/>
  <c r="K7342" i="3"/>
  <c r="L7342" i="3" s="1"/>
  <c r="O7342" i="3"/>
  <c r="P7342" i="3"/>
  <c r="K7343" i="3"/>
  <c r="L7343" i="3" s="1"/>
  <c r="O7343" i="3"/>
  <c r="P7343" i="3"/>
  <c r="K7344" i="3"/>
  <c r="L7344" i="3" s="1"/>
  <c r="O7344" i="3"/>
  <c r="P7344" i="3"/>
  <c r="K7345" i="3"/>
  <c r="L7345" i="3" s="1"/>
  <c r="O7345" i="3"/>
  <c r="P7345" i="3"/>
  <c r="K7346" i="3"/>
  <c r="L7346" i="3" s="1"/>
  <c r="O7346" i="3"/>
  <c r="P7346" i="3"/>
  <c r="K7347" i="3"/>
  <c r="L7347" i="3" s="1"/>
  <c r="O7347" i="3"/>
  <c r="P7347" i="3"/>
  <c r="K7348" i="3"/>
  <c r="L7348" i="3" s="1"/>
  <c r="O7348" i="3"/>
  <c r="P7348" i="3"/>
  <c r="K7349" i="3"/>
  <c r="L7349" i="3" s="1"/>
  <c r="O7349" i="3"/>
  <c r="P7349" i="3"/>
  <c r="K7350" i="3"/>
  <c r="L7350" i="3" s="1"/>
  <c r="O7350" i="3"/>
  <c r="P7350" i="3"/>
  <c r="K7351" i="3"/>
  <c r="L7351" i="3" s="1"/>
  <c r="O7351" i="3"/>
  <c r="P7351" i="3"/>
  <c r="K7352" i="3"/>
  <c r="L7352" i="3" s="1"/>
  <c r="O7352" i="3"/>
  <c r="P7352" i="3"/>
  <c r="K7353" i="3"/>
  <c r="L7353" i="3" s="1"/>
  <c r="O7353" i="3"/>
  <c r="P7353" i="3"/>
  <c r="K7354" i="3"/>
  <c r="L7354" i="3" s="1"/>
  <c r="O7354" i="3"/>
  <c r="P7354" i="3"/>
  <c r="K7355" i="3"/>
  <c r="L7355" i="3" s="1"/>
  <c r="O7355" i="3"/>
  <c r="P7355" i="3"/>
  <c r="K7356" i="3"/>
  <c r="L7356" i="3" s="1"/>
  <c r="O7356" i="3"/>
  <c r="P7356" i="3"/>
  <c r="K7357" i="3"/>
  <c r="L7357" i="3" s="1"/>
  <c r="O7357" i="3"/>
  <c r="P7357" i="3"/>
  <c r="K7358" i="3"/>
  <c r="L7358" i="3" s="1"/>
  <c r="O7358" i="3"/>
  <c r="P7358" i="3"/>
  <c r="K7359" i="3"/>
  <c r="L7359" i="3" s="1"/>
  <c r="O7359" i="3"/>
  <c r="P7359" i="3"/>
  <c r="K7360" i="3"/>
  <c r="L7360" i="3" s="1"/>
  <c r="O7360" i="3"/>
  <c r="P7360" i="3"/>
  <c r="K7361" i="3"/>
  <c r="L7361" i="3" s="1"/>
  <c r="O7361" i="3"/>
  <c r="P7361" i="3"/>
  <c r="K7362" i="3"/>
  <c r="L7362" i="3" s="1"/>
  <c r="O7362" i="3"/>
  <c r="P7362" i="3"/>
  <c r="K7363" i="3"/>
  <c r="L7363" i="3" s="1"/>
  <c r="O7363" i="3"/>
  <c r="P7363" i="3"/>
  <c r="K7364" i="3"/>
  <c r="L7364" i="3" s="1"/>
  <c r="O7364" i="3"/>
  <c r="P7364" i="3"/>
  <c r="K7365" i="3"/>
  <c r="L7365" i="3" s="1"/>
  <c r="O7365" i="3"/>
  <c r="P7365" i="3"/>
  <c r="K7366" i="3"/>
  <c r="L7366" i="3" s="1"/>
  <c r="O7366" i="3"/>
  <c r="P7366" i="3"/>
  <c r="K7367" i="3"/>
  <c r="L7367" i="3" s="1"/>
  <c r="O7367" i="3"/>
  <c r="P7367" i="3"/>
  <c r="K7368" i="3"/>
  <c r="L7368" i="3" s="1"/>
  <c r="O7368" i="3"/>
  <c r="P7368" i="3"/>
  <c r="O7369" i="3"/>
  <c r="P7369" i="3"/>
  <c r="O7370" i="3"/>
  <c r="P7370" i="3"/>
  <c r="O7371" i="3"/>
  <c r="P7371" i="3"/>
  <c r="K7372" i="3"/>
  <c r="L7372" i="3" s="1"/>
  <c r="O7372" i="3"/>
  <c r="P7372" i="3"/>
  <c r="O7373" i="3"/>
  <c r="P7373" i="3"/>
  <c r="O7374" i="3"/>
  <c r="P7374" i="3"/>
  <c r="O7375" i="3"/>
  <c r="P7375" i="3"/>
  <c r="O7376" i="3"/>
  <c r="P7376" i="3"/>
  <c r="O7377" i="3"/>
  <c r="P7377" i="3"/>
  <c r="O7378" i="3"/>
  <c r="P7378" i="3"/>
  <c r="K7379" i="3"/>
  <c r="L7379" i="3" s="1"/>
  <c r="O7379" i="3"/>
  <c r="P7379" i="3"/>
  <c r="K7380" i="3"/>
  <c r="L7380" i="3" s="1"/>
  <c r="O7380" i="3"/>
  <c r="P7380" i="3"/>
  <c r="K7381" i="3"/>
  <c r="L7381" i="3" s="1"/>
  <c r="O7381" i="3"/>
  <c r="P7381" i="3"/>
  <c r="K7382" i="3"/>
  <c r="L7382" i="3" s="1"/>
  <c r="O7382" i="3"/>
  <c r="P7382" i="3"/>
  <c r="K7383" i="3"/>
  <c r="L7383" i="3" s="1"/>
  <c r="O7383" i="3"/>
  <c r="P7383" i="3"/>
  <c r="K7384" i="3"/>
  <c r="L7384" i="3" s="1"/>
  <c r="O7384" i="3"/>
  <c r="P7384" i="3"/>
  <c r="K7385" i="3"/>
  <c r="L7385" i="3" s="1"/>
  <c r="O7385" i="3"/>
  <c r="P7385" i="3"/>
  <c r="K7386" i="3"/>
  <c r="L7386" i="3" s="1"/>
  <c r="O7386" i="3"/>
  <c r="P7386" i="3"/>
  <c r="K7387" i="3"/>
  <c r="L7387" i="3" s="1"/>
  <c r="O7387" i="3"/>
  <c r="P7387" i="3"/>
  <c r="K7388" i="3"/>
  <c r="L7388" i="3" s="1"/>
  <c r="O7388" i="3"/>
  <c r="P7388" i="3"/>
  <c r="K7389" i="3"/>
  <c r="L7389" i="3" s="1"/>
  <c r="O7389" i="3"/>
  <c r="P7389" i="3"/>
  <c r="K7390" i="3"/>
  <c r="L7390" i="3" s="1"/>
  <c r="O7390" i="3"/>
  <c r="P7390" i="3"/>
  <c r="K7391" i="3"/>
  <c r="L7391" i="3" s="1"/>
  <c r="O7391" i="3"/>
  <c r="P7391" i="3"/>
  <c r="K7392" i="3"/>
  <c r="L7392" i="3" s="1"/>
  <c r="O7392" i="3"/>
  <c r="P7392" i="3"/>
  <c r="K7393" i="3"/>
  <c r="L7393" i="3" s="1"/>
  <c r="O7393" i="3"/>
  <c r="P7393" i="3"/>
  <c r="K7394" i="3"/>
  <c r="L7394" i="3" s="1"/>
  <c r="O7394" i="3"/>
  <c r="P7394" i="3"/>
  <c r="K7395" i="3"/>
  <c r="L7395" i="3" s="1"/>
  <c r="O7395" i="3"/>
  <c r="P7395" i="3"/>
  <c r="K7396" i="3"/>
  <c r="L7396" i="3" s="1"/>
  <c r="O7396" i="3"/>
  <c r="P7396" i="3"/>
  <c r="K7397" i="3"/>
  <c r="L7397" i="3" s="1"/>
  <c r="O7397" i="3"/>
  <c r="P7397" i="3"/>
  <c r="K7398" i="3"/>
  <c r="L7398" i="3" s="1"/>
  <c r="O7398" i="3"/>
  <c r="P7398" i="3"/>
  <c r="K7399" i="3"/>
  <c r="L7399" i="3" s="1"/>
  <c r="O7399" i="3"/>
  <c r="P7399" i="3"/>
  <c r="K7400" i="3"/>
  <c r="L7400" i="3" s="1"/>
  <c r="O7400" i="3"/>
  <c r="P7400" i="3"/>
  <c r="K7401" i="3"/>
  <c r="L7401" i="3" s="1"/>
  <c r="O7401" i="3"/>
  <c r="P7401" i="3"/>
  <c r="K7402" i="3"/>
  <c r="L7402" i="3" s="1"/>
  <c r="O7402" i="3"/>
  <c r="P7402" i="3"/>
  <c r="K7403" i="3"/>
  <c r="L7403" i="3" s="1"/>
  <c r="O7403" i="3"/>
  <c r="P7403" i="3"/>
  <c r="K7404" i="3"/>
  <c r="L7404" i="3" s="1"/>
  <c r="O7404" i="3"/>
  <c r="P7404" i="3"/>
  <c r="K7405" i="3"/>
  <c r="L7405" i="3" s="1"/>
  <c r="O7405" i="3"/>
  <c r="P7405" i="3"/>
  <c r="K7406" i="3"/>
  <c r="L7406" i="3" s="1"/>
  <c r="O7406" i="3"/>
  <c r="P7406" i="3"/>
  <c r="O7407" i="3"/>
  <c r="P7407" i="3"/>
  <c r="K7408" i="3"/>
  <c r="L7408" i="3" s="1"/>
  <c r="O7408" i="3"/>
  <c r="P7408" i="3"/>
  <c r="K7409" i="3"/>
  <c r="L7409" i="3" s="1"/>
  <c r="O7409" i="3"/>
  <c r="P7409" i="3"/>
  <c r="K7410" i="3"/>
  <c r="L7410" i="3" s="1"/>
  <c r="O7410" i="3"/>
  <c r="P7410" i="3"/>
  <c r="K7411" i="3"/>
  <c r="L7411" i="3" s="1"/>
  <c r="O7411" i="3"/>
  <c r="P7411" i="3"/>
  <c r="O7412" i="3"/>
  <c r="P7412" i="3"/>
  <c r="O7413" i="3"/>
  <c r="P7413" i="3"/>
  <c r="K7414" i="3"/>
  <c r="L7414" i="3" s="1"/>
  <c r="O7414" i="3"/>
  <c r="P7414" i="3"/>
  <c r="K7415" i="3"/>
  <c r="L7415" i="3" s="1"/>
  <c r="O7415" i="3"/>
  <c r="P7415" i="3"/>
  <c r="K7416" i="3"/>
  <c r="L7416" i="3" s="1"/>
  <c r="O7416" i="3"/>
  <c r="P7416" i="3"/>
  <c r="K7417" i="3"/>
  <c r="L7417" i="3" s="1"/>
  <c r="O7417" i="3"/>
  <c r="P7417" i="3"/>
  <c r="K7418" i="3"/>
  <c r="L7418" i="3" s="1"/>
  <c r="O7418" i="3"/>
  <c r="P7418" i="3"/>
  <c r="K7419" i="3"/>
  <c r="L7419" i="3" s="1"/>
  <c r="O7419" i="3"/>
  <c r="P7419" i="3"/>
  <c r="K7420" i="3"/>
  <c r="L7420" i="3" s="1"/>
  <c r="O7420" i="3"/>
  <c r="P7420" i="3"/>
  <c r="K7421" i="3"/>
  <c r="L7421" i="3" s="1"/>
  <c r="O7421" i="3"/>
  <c r="P7421" i="3"/>
  <c r="K7422" i="3"/>
  <c r="L7422" i="3" s="1"/>
  <c r="O7422" i="3"/>
  <c r="P7422" i="3"/>
  <c r="K7423" i="3"/>
  <c r="L7423" i="3" s="1"/>
  <c r="O7423" i="3"/>
  <c r="P7423" i="3"/>
  <c r="K7424" i="3"/>
  <c r="L7424" i="3" s="1"/>
  <c r="O7424" i="3"/>
  <c r="P7424" i="3"/>
  <c r="K7425" i="3"/>
  <c r="L7425" i="3" s="1"/>
  <c r="O7425" i="3"/>
  <c r="P7425" i="3"/>
  <c r="K7426" i="3"/>
  <c r="L7426" i="3" s="1"/>
  <c r="O7426" i="3"/>
  <c r="P7426" i="3"/>
  <c r="K7427" i="3"/>
  <c r="L7427" i="3" s="1"/>
  <c r="O7427" i="3"/>
  <c r="P7427" i="3"/>
  <c r="K7428" i="3"/>
  <c r="L7428" i="3" s="1"/>
  <c r="O7428" i="3"/>
  <c r="P7428" i="3"/>
  <c r="K7429" i="3"/>
  <c r="L7429" i="3" s="1"/>
  <c r="O7429" i="3"/>
  <c r="P7429" i="3"/>
  <c r="K7430" i="3"/>
  <c r="L7430" i="3" s="1"/>
  <c r="O7430" i="3"/>
  <c r="P7430" i="3"/>
  <c r="K7431" i="3"/>
  <c r="L7431" i="3" s="1"/>
  <c r="O7431" i="3"/>
  <c r="P7431" i="3"/>
  <c r="K7432" i="3"/>
  <c r="L7432" i="3" s="1"/>
  <c r="O7432" i="3"/>
  <c r="P7432" i="3"/>
  <c r="K7433" i="3"/>
  <c r="L7433" i="3" s="1"/>
  <c r="O7433" i="3"/>
  <c r="P7433" i="3"/>
  <c r="K7434" i="3"/>
  <c r="L7434" i="3" s="1"/>
  <c r="O7434" i="3"/>
  <c r="P7434" i="3"/>
  <c r="O7435" i="3"/>
  <c r="P7435" i="3"/>
  <c r="O7436" i="3"/>
  <c r="P7436" i="3"/>
  <c r="O7437" i="3"/>
  <c r="P7437" i="3"/>
  <c r="O7438" i="3"/>
  <c r="P7438" i="3"/>
  <c r="O7439" i="3"/>
  <c r="P7439" i="3"/>
  <c r="K7440" i="3"/>
  <c r="L7440" i="3" s="1"/>
  <c r="O7440" i="3"/>
  <c r="P7440" i="3"/>
  <c r="K7441" i="3"/>
  <c r="L7441" i="3" s="1"/>
  <c r="O7441" i="3"/>
  <c r="P7441" i="3"/>
  <c r="K7442" i="3"/>
  <c r="L7442" i="3" s="1"/>
  <c r="O7442" i="3"/>
  <c r="P7442" i="3"/>
  <c r="K7443" i="3"/>
  <c r="L7443" i="3" s="1"/>
  <c r="O7443" i="3"/>
  <c r="P7443" i="3"/>
  <c r="K7444" i="3"/>
  <c r="L7444" i="3" s="1"/>
  <c r="O7444" i="3"/>
  <c r="P7444" i="3"/>
  <c r="K7445" i="3"/>
  <c r="L7445" i="3" s="1"/>
  <c r="O7445" i="3"/>
  <c r="P7445" i="3"/>
  <c r="K7446" i="3"/>
  <c r="L7446" i="3" s="1"/>
  <c r="O7446" i="3"/>
  <c r="P7446" i="3"/>
  <c r="K7447" i="3"/>
  <c r="L7447" i="3" s="1"/>
  <c r="O7447" i="3"/>
  <c r="P7447" i="3"/>
  <c r="K7448" i="3"/>
  <c r="L7448" i="3" s="1"/>
  <c r="O7448" i="3"/>
  <c r="P7448" i="3"/>
  <c r="K7449" i="3"/>
  <c r="L7449" i="3" s="1"/>
  <c r="O7449" i="3"/>
  <c r="P7449" i="3"/>
  <c r="K7450" i="3"/>
  <c r="L7450" i="3" s="1"/>
  <c r="O7450" i="3"/>
  <c r="P7450" i="3"/>
  <c r="K7451" i="3"/>
  <c r="L7451" i="3" s="1"/>
  <c r="O7451" i="3"/>
  <c r="P7451" i="3"/>
  <c r="K7452" i="3"/>
  <c r="L7452" i="3" s="1"/>
  <c r="O7452" i="3"/>
  <c r="P7452" i="3"/>
  <c r="K7453" i="3"/>
  <c r="L7453" i="3" s="1"/>
  <c r="O7453" i="3"/>
  <c r="P7453" i="3"/>
  <c r="K7454" i="3"/>
  <c r="L7454" i="3" s="1"/>
  <c r="O7454" i="3"/>
  <c r="P7454" i="3"/>
  <c r="K7455" i="3"/>
  <c r="L7455" i="3" s="1"/>
  <c r="O7455" i="3"/>
  <c r="P7455" i="3"/>
  <c r="K7456" i="3"/>
  <c r="L7456" i="3" s="1"/>
  <c r="O7456" i="3"/>
  <c r="P7456" i="3"/>
  <c r="K7457" i="3"/>
  <c r="L7457" i="3" s="1"/>
  <c r="O7457" i="3"/>
  <c r="P7457" i="3"/>
  <c r="K7458" i="3"/>
  <c r="L7458" i="3" s="1"/>
  <c r="O7458" i="3"/>
  <c r="P7458" i="3"/>
  <c r="K7459" i="3"/>
  <c r="L7459" i="3" s="1"/>
  <c r="O7459" i="3"/>
  <c r="P7459" i="3"/>
  <c r="K7460" i="3"/>
  <c r="L7460" i="3" s="1"/>
  <c r="O7460" i="3"/>
  <c r="P7460" i="3"/>
  <c r="K7461" i="3"/>
  <c r="L7461" i="3" s="1"/>
  <c r="O7461" i="3"/>
  <c r="P7461" i="3"/>
  <c r="K7462" i="3"/>
  <c r="L7462" i="3" s="1"/>
  <c r="O7462" i="3"/>
  <c r="P7462" i="3"/>
  <c r="K7463" i="3"/>
  <c r="L7463" i="3" s="1"/>
  <c r="O7463" i="3"/>
  <c r="P7463" i="3"/>
  <c r="K7464" i="3"/>
  <c r="L7464" i="3" s="1"/>
  <c r="O7464" i="3"/>
  <c r="P7464" i="3"/>
  <c r="K7465" i="3"/>
  <c r="L7465" i="3" s="1"/>
  <c r="O7465" i="3"/>
  <c r="P7465" i="3"/>
  <c r="K7466" i="3"/>
  <c r="L7466" i="3" s="1"/>
  <c r="O7466" i="3"/>
  <c r="P7466" i="3"/>
  <c r="K7467" i="3"/>
  <c r="L7467" i="3" s="1"/>
  <c r="O7467" i="3"/>
  <c r="P7467" i="3"/>
  <c r="K7468" i="3"/>
  <c r="L7468" i="3" s="1"/>
  <c r="O7468" i="3"/>
  <c r="P7468" i="3"/>
  <c r="K7469" i="3"/>
  <c r="L7469" i="3" s="1"/>
  <c r="O7469" i="3"/>
  <c r="P7469" i="3"/>
  <c r="K7470" i="3"/>
  <c r="L7470" i="3" s="1"/>
  <c r="O7470" i="3"/>
  <c r="P7470" i="3"/>
  <c r="K7471" i="3"/>
  <c r="L7471" i="3" s="1"/>
  <c r="O7471" i="3"/>
  <c r="P7471" i="3"/>
  <c r="K7472" i="3"/>
  <c r="L7472" i="3" s="1"/>
  <c r="O7472" i="3"/>
  <c r="P7472" i="3"/>
  <c r="K7473" i="3"/>
  <c r="L7473" i="3" s="1"/>
  <c r="O7473" i="3"/>
  <c r="P7473" i="3"/>
  <c r="K7474" i="3"/>
  <c r="L7474" i="3" s="1"/>
  <c r="O7474" i="3"/>
  <c r="P7474" i="3"/>
  <c r="K7475" i="3"/>
  <c r="L7475" i="3" s="1"/>
  <c r="O7475" i="3"/>
  <c r="P7475" i="3"/>
  <c r="K7476" i="3"/>
  <c r="L7476" i="3" s="1"/>
  <c r="O7476" i="3"/>
  <c r="P7476" i="3"/>
  <c r="K7477" i="3"/>
  <c r="L7477" i="3" s="1"/>
  <c r="O7477" i="3"/>
  <c r="P7477" i="3"/>
  <c r="K7478" i="3"/>
  <c r="L7478" i="3" s="1"/>
  <c r="O7478" i="3"/>
  <c r="P7478" i="3"/>
  <c r="K7479" i="3"/>
  <c r="L7479" i="3" s="1"/>
  <c r="O7479" i="3"/>
  <c r="P7479" i="3"/>
  <c r="K7480" i="3"/>
  <c r="L7480" i="3" s="1"/>
  <c r="O7480" i="3"/>
  <c r="P7480" i="3"/>
  <c r="K7481" i="3"/>
  <c r="L7481" i="3" s="1"/>
  <c r="O7481" i="3"/>
  <c r="P7481" i="3"/>
  <c r="K7482" i="3"/>
  <c r="L7482" i="3" s="1"/>
  <c r="O7482" i="3"/>
  <c r="P7482" i="3"/>
  <c r="K7483" i="3"/>
  <c r="L7483" i="3" s="1"/>
  <c r="O7483" i="3"/>
  <c r="P7483" i="3"/>
  <c r="K7484" i="3"/>
  <c r="L7484" i="3" s="1"/>
  <c r="O7484" i="3"/>
  <c r="P7484" i="3"/>
  <c r="K7485" i="3"/>
  <c r="L7485" i="3" s="1"/>
  <c r="O7485" i="3"/>
  <c r="P7485" i="3"/>
  <c r="K7486" i="3"/>
  <c r="L7486" i="3" s="1"/>
  <c r="O7486" i="3"/>
  <c r="P7486" i="3"/>
  <c r="K7487" i="3"/>
  <c r="L7487" i="3" s="1"/>
  <c r="O7487" i="3"/>
  <c r="P7487" i="3"/>
  <c r="O7488" i="3"/>
  <c r="P7488" i="3"/>
  <c r="O7489" i="3"/>
  <c r="P7489" i="3"/>
  <c r="O7490" i="3"/>
  <c r="P7490" i="3"/>
  <c r="O7491" i="3"/>
  <c r="P7491" i="3"/>
  <c r="O7492" i="3"/>
  <c r="P7492" i="3"/>
  <c r="O7493" i="3"/>
  <c r="P7493" i="3"/>
  <c r="O7494" i="3"/>
  <c r="P7494" i="3"/>
  <c r="O7495" i="3"/>
  <c r="P7495" i="3"/>
  <c r="O7496" i="3"/>
  <c r="P7496" i="3"/>
  <c r="O7497" i="3"/>
  <c r="P7497" i="3"/>
  <c r="O7498" i="3"/>
  <c r="P7498" i="3"/>
  <c r="K7499" i="3"/>
  <c r="L7499" i="3" s="1"/>
  <c r="O7499" i="3"/>
  <c r="P7499" i="3"/>
  <c r="K7500" i="3"/>
  <c r="L7500" i="3" s="1"/>
  <c r="O7500" i="3"/>
  <c r="P7500" i="3"/>
  <c r="K7501" i="3"/>
  <c r="L7501" i="3" s="1"/>
  <c r="O7501" i="3"/>
  <c r="P7501" i="3"/>
  <c r="K7502" i="3"/>
  <c r="L7502" i="3" s="1"/>
  <c r="O7502" i="3"/>
  <c r="P7502" i="3"/>
  <c r="K7503" i="3"/>
  <c r="L7503" i="3" s="1"/>
  <c r="O7503" i="3"/>
  <c r="P7503" i="3"/>
  <c r="O7504" i="3"/>
  <c r="P7504" i="3"/>
  <c r="O7505" i="3"/>
  <c r="P7505" i="3"/>
  <c r="O7506" i="3"/>
  <c r="P7506" i="3"/>
  <c r="O7507" i="3"/>
  <c r="P7507" i="3"/>
  <c r="K7508" i="3"/>
  <c r="L7508" i="3" s="1"/>
  <c r="O7508" i="3"/>
  <c r="P7508" i="3"/>
  <c r="K7509" i="3"/>
  <c r="L7509" i="3" s="1"/>
  <c r="O7509" i="3"/>
  <c r="P7509" i="3"/>
  <c r="K7510" i="3"/>
  <c r="L7510" i="3" s="1"/>
  <c r="O7510" i="3"/>
  <c r="P7510" i="3"/>
  <c r="K7511" i="3"/>
  <c r="L7511" i="3" s="1"/>
  <c r="O7511" i="3"/>
  <c r="P7511" i="3"/>
  <c r="K7512" i="3"/>
  <c r="L7512" i="3" s="1"/>
  <c r="O7512" i="3"/>
  <c r="P7512" i="3"/>
  <c r="K7513" i="3"/>
  <c r="L7513" i="3" s="1"/>
  <c r="O7513" i="3"/>
  <c r="P7513" i="3"/>
  <c r="K7514" i="3"/>
  <c r="L7514" i="3" s="1"/>
  <c r="O7514" i="3"/>
  <c r="P7514" i="3"/>
  <c r="K7515" i="3"/>
  <c r="L7515" i="3" s="1"/>
  <c r="O7515" i="3"/>
  <c r="P7515" i="3"/>
  <c r="K7516" i="3"/>
  <c r="L7516" i="3" s="1"/>
  <c r="O7516" i="3"/>
  <c r="P7516" i="3"/>
  <c r="K7517" i="3"/>
  <c r="L7517" i="3" s="1"/>
  <c r="O7517" i="3"/>
  <c r="P7517" i="3"/>
  <c r="K7518" i="3"/>
  <c r="L7518" i="3" s="1"/>
  <c r="O7518" i="3"/>
  <c r="P7518" i="3"/>
  <c r="K7519" i="3"/>
  <c r="L7519" i="3" s="1"/>
  <c r="O7519" i="3"/>
  <c r="P7519" i="3"/>
  <c r="K7520" i="3"/>
  <c r="L7520" i="3" s="1"/>
  <c r="O7520" i="3"/>
  <c r="P7520" i="3"/>
  <c r="K7521" i="3"/>
  <c r="L7521" i="3" s="1"/>
  <c r="O7521" i="3"/>
  <c r="P7521" i="3"/>
  <c r="K7522" i="3"/>
  <c r="L7522" i="3" s="1"/>
  <c r="O7522" i="3"/>
  <c r="P7522" i="3"/>
  <c r="K7523" i="3"/>
  <c r="L7523" i="3" s="1"/>
  <c r="O7523" i="3"/>
  <c r="P7523" i="3"/>
  <c r="K7524" i="3"/>
  <c r="L7524" i="3" s="1"/>
  <c r="O7524" i="3"/>
  <c r="P7524" i="3"/>
  <c r="K7525" i="3"/>
  <c r="L7525" i="3" s="1"/>
  <c r="O7525" i="3"/>
  <c r="P7525" i="3"/>
  <c r="K7526" i="3"/>
  <c r="L7526" i="3" s="1"/>
  <c r="O7526" i="3"/>
  <c r="P7526" i="3"/>
  <c r="K7527" i="3"/>
  <c r="L7527" i="3" s="1"/>
  <c r="O7527" i="3"/>
  <c r="P7527" i="3"/>
  <c r="K7528" i="3"/>
  <c r="L7528" i="3" s="1"/>
  <c r="O7528" i="3"/>
  <c r="P7528" i="3"/>
  <c r="K7529" i="3"/>
  <c r="L7529" i="3" s="1"/>
  <c r="O7529" i="3"/>
  <c r="P7529" i="3"/>
  <c r="K7530" i="3"/>
  <c r="L7530" i="3" s="1"/>
  <c r="O7530" i="3"/>
  <c r="P7530" i="3"/>
  <c r="K7531" i="3"/>
  <c r="L7531" i="3" s="1"/>
  <c r="O7531" i="3"/>
  <c r="P7531" i="3"/>
  <c r="K7532" i="3"/>
  <c r="L7532" i="3" s="1"/>
  <c r="O7532" i="3"/>
  <c r="P7532" i="3"/>
  <c r="K7533" i="3"/>
  <c r="L7533" i="3" s="1"/>
  <c r="O7533" i="3"/>
  <c r="P7533" i="3"/>
  <c r="K7534" i="3"/>
  <c r="L7534" i="3" s="1"/>
  <c r="O7534" i="3"/>
  <c r="P7534" i="3"/>
  <c r="K7535" i="3"/>
  <c r="L7535" i="3" s="1"/>
  <c r="O7535" i="3"/>
  <c r="P7535" i="3"/>
  <c r="K7536" i="3"/>
  <c r="L7536" i="3" s="1"/>
  <c r="O7536" i="3"/>
  <c r="P7536" i="3"/>
  <c r="K7537" i="3"/>
  <c r="L7537" i="3" s="1"/>
  <c r="O7537" i="3"/>
  <c r="P7537" i="3"/>
  <c r="K7538" i="3"/>
  <c r="L7538" i="3" s="1"/>
  <c r="O7538" i="3"/>
  <c r="P7538" i="3"/>
  <c r="K7539" i="3"/>
  <c r="L7539" i="3" s="1"/>
  <c r="O7539" i="3"/>
  <c r="P7539" i="3"/>
  <c r="K7540" i="3"/>
  <c r="L7540" i="3" s="1"/>
  <c r="O7540" i="3"/>
  <c r="P7540" i="3"/>
  <c r="K7541" i="3"/>
  <c r="L7541" i="3" s="1"/>
  <c r="O7541" i="3"/>
  <c r="P7541" i="3"/>
  <c r="K7542" i="3"/>
  <c r="L7542" i="3" s="1"/>
  <c r="O7542" i="3"/>
  <c r="P7542" i="3"/>
  <c r="K7543" i="3"/>
  <c r="L7543" i="3" s="1"/>
  <c r="O7543" i="3"/>
  <c r="P7543" i="3"/>
  <c r="K7544" i="3"/>
  <c r="L7544" i="3" s="1"/>
  <c r="O7544" i="3"/>
  <c r="P7544" i="3"/>
  <c r="K7545" i="3"/>
  <c r="L7545" i="3" s="1"/>
  <c r="O7545" i="3"/>
  <c r="P7545" i="3"/>
  <c r="K7546" i="3"/>
  <c r="L7546" i="3" s="1"/>
  <c r="O7546" i="3"/>
  <c r="P7546" i="3"/>
  <c r="K7547" i="3"/>
  <c r="L7547" i="3" s="1"/>
  <c r="O7547" i="3"/>
  <c r="P7547" i="3"/>
  <c r="K7548" i="3"/>
  <c r="L7548" i="3" s="1"/>
  <c r="O7548" i="3"/>
  <c r="P7548" i="3"/>
  <c r="K7549" i="3"/>
  <c r="L7549" i="3" s="1"/>
  <c r="O7549" i="3"/>
  <c r="P7549" i="3"/>
  <c r="K7550" i="3"/>
  <c r="L7550" i="3" s="1"/>
  <c r="O7550" i="3"/>
  <c r="P7550" i="3"/>
  <c r="K7551" i="3"/>
  <c r="L7551" i="3" s="1"/>
  <c r="O7551" i="3"/>
  <c r="P7551" i="3"/>
  <c r="K7552" i="3"/>
  <c r="L7552" i="3" s="1"/>
  <c r="O7552" i="3"/>
  <c r="P7552" i="3"/>
  <c r="K7553" i="3"/>
  <c r="L7553" i="3" s="1"/>
  <c r="O7553" i="3"/>
  <c r="P7553" i="3"/>
  <c r="K7554" i="3"/>
  <c r="L7554" i="3" s="1"/>
  <c r="O7554" i="3"/>
  <c r="P7554" i="3"/>
  <c r="K7555" i="3"/>
  <c r="L7555" i="3" s="1"/>
  <c r="O7555" i="3"/>
  <c r="P7555" i="3"/>
  <c r="K7556" i="3"/>
  <c r="L7556" i="3" s="1"/>
  <c r="O7556" i="3"/>
  <c r="P7556" i="3"/>
  <c r="K7557" i="3"/>
  <c r="L7557" i="3" s="1"/>
  <c r="O7557" i="3"/>
  <c r="P7557" i="3"/>
  <c r="K7558" i="3"/>
  <c r="L7558" i="3" s="1"/>
  <c r="O7558" i="3"/>
  <c r="P7558" i="3"/>
  <c r="K7559" i="3"/>
  <c r="L7559" i="3" s="1"/>
  <c r="O7559" i="3"/>
  <c r="P7559" i="3"/>
  <c r="K7560" i="3"/>
  <c r="L7560" i="3" s="1"/>
  <c r="O7560" i="3"/>
  <c r="P7560" i="3"/>
  <c r="K7561" i="3"/>
  <c r="L7561" i="3" s="1"/>
  <c r="O7561" i="3"/>
  <c r="P7561" i="3"/>
  <c r="K7562" i="3"/>
  <c r="L7562" i="3" s="1"/>
  <c r="O7562" i="3"/>
  <c r="P7562" i="3"/>
  <c r="K7563" i="3"/>
  <c r="L7563" i="3" s="1"/>
  <c r="O7563" i="3"/>
  <c r="P7563" i="3"/>
  <c r="K7564" i="3"/>
  <c r="L7564" i="3" s="1"/>
  <c r="O7564" i="3"/>
  <c r="P7564" i="3"/>
  <c r="K7565" i="3"/>
  <c r="L7565" i="3" s="1"/>
  <c r="O7565" i="3"/>
  <c r="P7565" i="3"/>
  <c r="K7566" i="3"/>
  <c r="L7566" i="3" s="1"/>
  <c r="O7566" i="3"/>
  <c r="P7566" i="3"/>
  <c r="K7567" i="3"/>
  <c r="L7567" i="3" s="1"/>
  <c r="O7567" i="3"/>
  <c r="P7567" i="3"/>
  <c r="K7568" i="3"/>
  <c r="L7568" i="3" s="1"/>
  <c r="O7568" i="3"/>
  <c r="P7568" i="3"/>
  <c r="O7569" i="3"/>
  <c r="P7569" i="3"/>
  <c r="K7570" i="3"/>
  <c r="L7570" i="3" s="1"/>
  <c r="O7570" i="3"/>
  <c r="P7570" i="3"/>
  <c r="K7571" i="3"/>
  <c r="L7571" i="3" s="1"/>
  <c r="O7571" i="3"/>
  <c r="P7571" i="3"/>
  <c r="K7572" i="3"/>
  <c r="L7572" i="3" s="1"/>
  <c r="O7572" i="3"/>
  <c r="P7572" i="3"/>
  <c r="K7573" i="3"/>
  <c r="L7573" i="3" s="1"/>
  <c r="O7573" i="3"/>
  <c r="P7573" i="3"/>
  <c r="K7574" i="3"/>
  <c r="L7574" i="3" s="1"/>
  <c r="O7574" i="3"/>
  <c r="P7574" i="3"/>
  <c r="K7575" i="3"/>
  <c r="L7575" i="3" s="1"/>
  <c r="O7575" i="3"/>
  <c r="P7575" i="3"/>
  <c r="K7576" i="3"/>
  <c r="L7576" i="3" s="1"/>
  <c r="O7576" i="3"/>
  <c r="P7576" i="3"/>
  <c r="K7577" i="3"/>
  <c r="L7577" i="3" s="1"/>
  <c r="O7577" i="3"/>
  <c r="P7577" i="3"/>
  <c r="K7578" i="3"/>
  <c r="L7578" i="3" s="1"/>
  <c r="O7578" i="3"/>
  <c r="P7578" i="3"/>
  <c r="K7579" i="3"/>
  <c r="L7579" i="3" s="1"/>
  <c r="O7579" i="3"/>
  <c r="P7579" i="3"/>
  <c r="K7580" i="3"/>
  <c r="L7580" i="3" s="1"/>
  <c r="O7580" i="3"/>
  <c r="P7580" i="3"/>
  <c r="K7581" i="3"/>
  <c r="L7581" i="3" s="1"/>
  <c r="O7581" i="3"/>
  <c r="P7581" i="3"/>
  <c r="K7582" i="3"/>
  <c r="L7582" i="3" s="1"/>
  <c r="O7582" i="3"/>
  <c r="P7582" i="3"/>
  <c r="K7583" i="3"/>
  <c r="L7583" i="3" s="1"/>
  <c r="O7583" i="3"/>
  <c r="P7583" i="3"/>
  <c r="K7584" i="3"/>
  <c r="L7584" i="3" s="1"/>
  <c r="O7584" i="3"/>
  <c r="P7584" i="3"/>
  <c r="K7585" i="3"/>
  <c r="L7585" i="3" s="1"/>
  <c r="O7585" i="3"/>
  <c r="P7585" i="3"/>
  <c r="K7586" i="3"/>
  <c r="L7586" i="3" s="1"/>
  <c r="O7586" i="3"/>
  <c r="P7586" i="3"/>
  <c r="K7587" i="3"/>
  <c r="L7587" i="3" s="1"/>
  <c r="O7587" i="3"/>
  <c r="P7587" i="3"/>
  <c r="K7588" i="3"/>
  <c r="L7588" i="3" s="1"/>
  <c r="O7588" i="3"/>
  <c r="P7588" i="3"/>
  <c r="K7589" i="3"/>
  <c r="L7589" i="3" s="1"/>
  <c r="O7589" i="3"/>
  <c r="P7589" i="3"/>
  <c r="K7590" i="3"/>
  <c r="L7590" i="3" s="1"/>
  <c r="O7590" i="3"/>
  <c r="P7590" i="3"/>
  <c r="K7591" i="3"/>
  <c r="L7591" i="3" s="1"/>
  <c r="O7591" i="3"/>
  <c r="P7591" i="3"/>
  <c r="K7592" i="3"/>
  <c r="L7592" i="3" s="1"/>
  <c r="O7592" i="3"/>
  <c r="P7592" i="3"/>
  <c r="K7593" i="3"/>
  <c r="L7593" i="3" s="1"/>
  <c r="O7593" i="3"/>
  <c r="P7593" i="3"/>
  <c r="K7594" i="3"/>
  <c r="L7594" i="3" s="1"/>
  <c r="O7594" i="3"/>
  <c r="P7594" i="3"/>
  <c r="K7595" i="3"/>
  <c r="L7595" i="3" s="1"/>
  <c r="O7595" i="3"/>
  <c r="P7595" i="3"/>
  <c r="K7596" i="3"/>
  <c r="L7596" i="3" s="1"/>
  <c r="O7596" i="3"/>
  <c r="P7596" i="3"/>
  <c r="K7597" i="3"/>
  <c r="L7597" i="3" s="1"/>
  <c r="O7597" i="3"/>
  <c r="P7597" i="3"/>
  <c r="K7598" i="3"/>
  <c r="L7598" i="3" s="1"/>
  <c r="O7598" i="3"/>
  <c r="P7598" i="3"/>
  <c r="K7599" i="3"/>
  <c r="L7599" i="3" s="1"/>
  <c r="O7599" i="3"/>
  <c r="P7599" i="3"/>
  <c r="K7600" i="3"/>
  <c r="L7600" i="3" s="1"/>
  <c r="O7600" i="3"/>
  <c r="P7600" i="3"/>
  <c r="K7601" i="3"/>
  <c r="L7601" i="3" s="1"/>
  <c r="O7601" i="3"/>
  <c r="P7601" i="3"/>
  <c r="K7602" i="3"/>
  <c r="L7602" i="3" s="1"/>
  <c r="O7602" i="3"/>
  <c r="P7602" i="3"/>
  <c r="K7603" i="3"/>
  <c r="L7603" i="3" s="1"/>
  <c r="O7603" i="3"/>
  <c r="P7603" i="3"/>
  <c r="K7604" i="3"/>
  <c r="L7604" i="3" s="1"/>
  <c r="O7604" i="3"/>
  <c r="P7604" i="3"/>
  <c r="K7605" i="3"/>
  <c r="L7605" i="3" s="1"/>
  <c r="O7605" i="3"/>
  <c r="P7605" i="3"/>
  <c r="K7606" i="3"/>
  <c r="L7606" i="3" s="1"/>
  <c r="O7606" i="3"/>
  <c r="P7606" i="3"/>
  <c r="K7607" i="3"/>
  <c r="L7607" i="3" s="1"/>
  <c r="O7607" i="3"/>
  <c r="P7607" i="3"/>
  <c r="K7608" i="3"/>
  <c r="L7608" i="3" s="1"/>
  <c r="O7608" i="3"/>
  <c r="P7608" i="3"/>
  <c r="K7609" i="3"/>
  <c r="L7609" i="3" s="1"/>
  <c r="O7609" i="3"/>
  <c r="P7609" i="3"/>
  <c r="K7610" i="3"/>
  <c r="L7610" i="3" s="1"/>
  <c r="O7610" i="3"/>
  <c r="P7610" i="3"/>
  <c r="K7611" i="3"/>
  <c r="L7611" i="3" s="1"/>
  <c r="O7611" i="3"/>
  <c r="P7611" i="3"/>
  <c r="K7612" i="3"/>
  <c r="L7612" i="3" s="1"/>
  <c r="O7612" i="3"/>
  <c r="P7612" i="3"/>
  <c r="K7613" i="3"/>
  <c r="L7613" i="3" s="1"/>
  <c r="O7613" i="3"/>
  <c r="P7613" i="3"/>
  <c r="K7614" i="3"/>
  <c r="L7614" i="3" s="1"/>
  <c r="O7614" i="3"/>
  <c r="P7614" i="3"/>
  <c r="K7615" i="3"/>
  <c r="L7615" i="3" s="1"/>
  <c r="O7615" i="3"/>
  <c r="P7615" i="3"/>
  <c r="K7616" i="3"/>
  <c r="L7616" i="3" s="1"/>
  <c r="O7616" i="3"/>
  <c r="P7616" i="3"/>
  <c r="K7617" i="3"/>
  <c r="L7617" i="3" s="1"/>
  <c r="O7617" i="3"/>
  <c r="P7617" i="3"/>
  <c r="K7618" i="3"/>
  <c r="L7618" i="3" s="1"/>
  <c r="O7618" i="3"/>
  <c r="P7618" i="3"/>
  <c r="K7619" i="3"/>
  <c r="L7619" i="3" s="1"/>
  <c r="O7619" i="3"/>
  <c r="P7619" i="3"/>
  <c r="K7620" i="3"/>
  <c r="L7620" i="3" s="1"/>
  <c r="O7620" i="3"/>
  <c r="P7620" i="3"/>
  <c r="K7621" i="3"/>
  <c r="L7621" i="3" s="1"/>
  <c r="O7621" i="3"/>
  <c r="P7621" i="3"/>
  <c r="K7622" i="3"/>
  <c r="L7622" i="3" s="1"/>
  <c r="O7622" i="3"/>
  <c r="P7622" i="3"/>
  <c r="K7623" i="3"/>
  <c r="L7623" i="3" s="1"/>
  <c r="O7623" i="3"/>
  <c r="P7623" i="3"/>
  <c r="K7624" i="3"/>
  <c r="L7624" i="3" s="1"/>
  <c r="O7624" i="3"/>
  <c r="P7624" i="3"/>
  <c r="K7625" i="3"/>
  <c r="L7625" i="3" s="1"/>
  <c r="O7625" i="3"/>
  <c r="P7625" i="3"/>
  <c r="K7626" i="3"/>
  <c r="L7626" i="3" s="1"/>
  <c r="O7626" i="3"/>
  <c r="P7626" i="3"/>
  <c r="K7627" i="3"/>
  <c r="L7627" i="3" s="1"/>
  <c r="O7627" i="3"/>
  <c r="P7627" i="3"/>
  <c r="O7628" i="3"/>
  <c r="P7628" i="3"/>
  <c r="K7629" i="3"/>
  <c r="L7629" i="3" s="1"/>
  <c r="O7629" i="3"/>
  <c r="P7629" i="3"/>
  <c r="K7630" i="3"/>
  <c r="L7630" i="3" s="1"/>
  <c r="O7630" i="3"/>
  <c r="P7630" i="3"/>
  <c r="O7631" i="3"/>
  <c r="P7631" i="3"/>
  <c r="K7632" i="3"/>
  <c r="L7632" i="3" s="1"/>
  <c r="O7632" i="3"/>
  <c r="P7632" i="3"/>
  <c r="K7633" i="3"/>
  <c r="L7633" i="3" s="1"/>
  <c r="O7633" i="3"/>
  <c r="P7633" i="3"/>
  <c r="K7634" i="3"/>
  <c r="L7634" i="3" s="1"/>
  <c r="O7634" i="3"/>
  <c r="P7634" i="3"/>
  <c r="K7635" i="3"/>
  <c r="L7635" i="3" s="1"/>
  <c r="O7635" i="3"/>
  <c r="P7635" i="3"/>
  <c r="K7636" i="3"/>
  <c r="L7636" i="3" s="1"/>
  <c r="O7636" i="3"/>
  <c r="P7636" i="3"/>
  <c r="K7637" i="3"/>
  <c r="L7637" i="3" s="1"/>
  <c r="O7637" i="3"/>
  <c r="P7637" i="3"/>
  <c r="K7638" i="3"/>
  <c r="L7638" i="3" s="1"/>
  <c r="O7638" i="3"/>
  <c r="P7638" i="3"/>
  <c r="K7639" i="3"/>
  <c r="L7639" i="3" s="1"/>
  <c r="O7639" i="3"/>
  <c r="P7639" i="3"/>
  <c r="K7640" i="3"/>
  <c r="L7640" i="3" s="1"/>
  <c r="O7640" i="3"/>
  <c r="P7640" i="3"/>
  <c r="K7641" i="3"/>
  <c r="L7641" i="3" s="1"/>
  <c r="O7641" i="3"/>
  <c r="P7641" i="3"/>
  <c r="K7642" i="3"/>
  <c r="L7642" i="3" s="1"/>
  <c r="O7642" i="3"/>
  <c r="P7642" i="3"/>
  <c r="K7643" i="3"/>
  <c r="L7643" i="3" s="1"/>
  <c r="O7643" i="3"/>
  <c r="P7643" i="3"/>
  <c r="K7644" i="3"/>
  <c r="L7644" i="3" s="1"/>
  <c r="O7644" i="3"/>
  <c r="P7644" i="3"/>
  <c r="K7645" i="3"/>
  <c r="L7645" i="3" s="1"/>
  <c r="O7645" i="3"/>
  <c r="P7645" i="3"/>
  <c r="K7646" i="3"/>
  <c r="L7646" i="3" s="1"/>
  <c r="O7646" i="3"/>
  <c r="P7646" i="3"/>
  <c r="K7647" i="3"/>
  <c r="L7647" i="3" s="1"/>
  <c r="O7647" i="3"/>
  <c r="P7647" i="3"/>
  <c r="K7648" i="3"/>
  <c r="L7648" i="3" s="1"/>
  <c r="O7648" i="3"/>
  <c r="P7648" i="3"/>
  <c r="K7649" i="3"/>
  <c r="L7649" i="3" s="1"/>
  <c r="O7649" i="3"/>
  <c r="P7649" i="3"/>
  <c r="K7650" i="3"/>
  <c r="L7650" i="3" s="1"/>
  <c r="O7650" i="3"/>
  <c r="P7650" i="3"/>
  <c r="K7651" i="3"/>
  <c r="L7651" i="3" s="1"/>
  <c r="O7651" i="3"/>
  <c r="P7651" i="3"/>
  <c r="K7652" i="3"/>
  <c r="L7652" i="3" s="1"/>
  <c r="O7652" i="3"/>
  <c r="P7652" i="3"/>
  <c r="K7653" i="3"/>
  <c r="L7653" i="3" s="1"/>
  <c r="O7653" i="3"/>
  <c r="P7653" i="3"/>
  <c r="K7654" i="3"/>
  <c r="L7654" i="3" s="1"/>
  <c r="O7654" i="3"/>
  <c r="P7654" i="3"/>
  <c r="K7655" i="3"/>
  <c r="L7655" i="3" s="1"/>
  <c r="O7655" i="3"/>
  <c r="P7655" i="3"/>
  <c r="K7656" i="3"/>
  <c r="L7656" i="3" s="1"/>
  <c r="O7656" i="3"/>
  <c r="P7656" i="3"/>
  <c r="K7657" i="3"/>
  <c r="L7657" i="3" s="1"/>
  <c r="O7657" i="3"/>
  <c r="P7657" i="3"/>
  <c r="K7658" i="3"/>
  <c r="L7658" i="3" s="1"/>
  <c r="O7658" i="3"/>
  <c r="P7658" i="3"/>
  <c r="K7659" i="3"/>
  <c r="L7659" i="3" s="1"/>
  <c r="O7659" i="3"/>
  <c r="P7659" i="3"/>
  <c r="K7660" i="3"/>
  <c r="L7660" i="3" s="1"/>
  <c r="O7660" i="3"/>
  <c r="P7660" i="3"/>
  <c r="K7661" i="3"/>
  <c r="L7661" i="3" s="1"/>
  <c r="O7661" i="3"/>
  <c r="P7661" i="3"/>
  <c r="K7662" i="3"/>
  <c r="L7662" i="3" s="1"/>
  <c r="O7662" i="3"/>
  <c r="P7662" i="3"/>
  <c r="K7663" i="3"/>
  <c r="L7663" i="3" s="1"/>
  <c r="O7663" i="3"/>
  <c r="P7663" i="3"/>
  <c r="K7664" i="3"/>
  <c r="L7664" i="3" s="1"/>
  <c r="O7664" i="3"/>
  <c r="P7664" i="3"/>
  <c r="O7665" i="3"/>
  <c r="P7665" i="3"/>
  <c r="K7666" i="3"/>
  <c r="L7666" i="3" s="1"/>
  <c r="O7666" i="3"/>
  <c r="P7666" i="3"/>
  <c r="K7667" i="3"/>
  <c r="L7667" i="3" s="1"/>
  <c r="O7667" i="3"/>
  <c r="P7667" i="3"/>
  <c r="K7668" i="3"/>
  <c r="L7668" i="3" s="1"/>
  <c r="O7668" i="3"/>
  <c r="P7668" i="3"/>
  <c r="O7669" i="3"/>
  <c r="P7669" i="3"/>
  <c r="C176" i="2"/>
  <c r="C226" i="2"/>
  <c r="C257" i="2"/>
  <c r="C294" i="2"/>
  <c r="C330" i="2"/>
  <c r="C332" i="2"/>
  <c r="C334" i="2"/>
  <c r="C338" i="2"/>
  <c r="C342" i="2"/>
  <c r="C343" i="2"/>
  <c r="C353" i="2"/>
  <c r="C355" i="2"/>
  <c r="C357" i="2"/>
  <c r="C358" i="2"/>
  <c r="C359" i="2"/>
  <c r="C360" i="2"/>
  <c r="C361" i="2"/>
  <c r="C363" i="2"/>
  <c r="C366" i="2"/>
  <c r="C367" i="2"/>
  <c r="C371" i="2"/>
  <c r="C374" i="2"/>
  <c r="C382" i="2"/>
  <c r="C383" i="2"/>
  <c r="C386" i="2"/>
  <c r="C388" i="2"/>
  <c r="C403" i="2"/>
  <c r="C411" i="2"/>
  <c r="C412" i="2"/>
  <c r="C413" i="2"/>
  <c r="C416" i="2"/>
  <c r="C417" i="2"/>
  <c r="C418" i="2"/>
  <c r="C420" i="2"/>
  <c r="C422" i="2"/>
  <c r="C424" i="2"/>
  <c r="C425" i="2"/>
  <c r="C426" i="2"/>
  <c r="C427" i="2"/>
  <c r="C430" i="2"/>
  <c r="C433" i="2"/>
  <c r="C434" i="2"/>
  <c r="C435" i="2"/>
  <c r="C436" i="2"/>
  <c r="C437" i="2"/>
  <c r="C439" i="2"/>
  <c r="C440" i="2"/>
  <c r="C441" i="2"/>
  <c r="C443" i="2"/>
  <c r="C447" i="2"/>
  <c r="C448" i="2"/>
  <c r="C449" i="2"/>
  <c r="C450" i="2"/>
  <c r="C451" i="2"/>
  <c r="C452" i="2"/>
  <c r="C454" i="2"/>
  <c r="C455" i="2"/>
  <c r="C456" i="2"/>
  <c r="C457" i="2"/>
  <c r="C458" i="2"/>
  <c r="C459" i="2"/>
  <c r="C461" i="2"/>
  <c r="C462" i="2"/>
  <c r="C463" i="2"/>
  <c r="C464"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W3" i="2"/>
  <c r="X3" i="2"/>
  <c r="W4" i="2"/>
  <c r="X4" i="2"/>
  <c r="W5" i="2"/>
  <c r="X5" i="2"/>
  <c r="W6" i="2"/>
  <c r="X6" i="2"/>
  <c r="W7" i="2"/>
  <c r="X7" i="2"/>
  <c r="W8" i="2"/>
  <c r="X8" i="2"/>
  <c r="W9" i="2"/>
  <c r="X9" i="2"/>
  <c r="W10" i="2"/>
  <c r="X10" i="2"/>
  <c r="W11" i="2"/>
  <c r="X11" i="2"/>
  <c r="U12" i="2"/>
  <c r="V12" i="2" s="1"/>
  <c r="W12" i="2"/>
  <c r="X12" i="2"/>
  <c r="U13" i="2"/>
  <c r="V13" i="2" s="1"/>
  <c r="W13" i="2"/>
  <c r="X13" i="2"/>
  <c r="U14" i="2"/>
  <c r="V14" i="2" s="1"/>
  <c r="W14" i="2"/>
  <c r="X14" i="2"/>
  <c r="U15" i="2"/>
  <c r="V15" i="2" s="1"/>
  <c r="W15" i="2"/>
  <c r="X15" i="2"/>
  <c r="W16" i="2"/>
  <c r="X16" i="2"/>
  <c r="U17" i="2"/>
  <c r="V17" i="2" s="1"/>
  <c r="W17" i="2"/>
  <c r="X17" i="2"/>
  <c r="U18" i="2"/>
  <c r="V18" i="2" s="1"/>
  <c r="W18" i="2"/>
  <c r="X18" i="2"/>
  <c r="U19" i="2"/>
  <c r="V19" i="2" s="1"/>
  <c r="W19" i="2"/>
  <c r="X19" i="2"/>
  <c r="W20" i="2"/>
  <c r="X20" i="2"/>
  <c r="U21" i="2"/>
  <c r="V21" i="2" s="1"/>
  <c r="W21" i="2"/>
  <c r="X21" i="2"/>
  <c r="U22" i="2"/>
  <c r="V22" i="2" s="1"/>
  <c r="W22" i="2"/>
  <c r="X22" i="2"/>
  <c r="U23" i="2"/>
  <c r="V23" i="2" s="1"/>
  <c r="W23" i="2"/>
  <c r="X23" i="2"/>
  <c r="U24" i="2"/>
  <c r="V24" i="2" s="1"/>
  <c r="W24" i="2"/>
  <c r="X24" i="2"/>
  <c r="W25" i="2"/>
  <c r="X25" i="2"/>
  <c r="U26" i="2"/>
  <c r="V26" i="2" s="1"/>
  <c r="W26" i="2"/>
  <c r="X26" i="2"/>
  <c r="U27" i="2"/>
  <c r="V27" i="2" s="1"/>
  <c r="W27" i="2"/>
  <c r="X27" i="2"/>
  <c r="W28" i="2"/>
  <c r="X28" i="2"/>
  <c r="W29" i="2"/>
  <c r="X29" i="2"/>
  <c r="W30" i="2"/>
  <c r="X30" i="2"/>
  <c r="W31" i="2"/>
  <c r="X31" i="2"/>
  <c r="U32" i="2"/>
  <c r="V32" i="2" s="1"/>
  <c r="W32" i="2"/>
  <c r="X32" i="2"/>
  <c r="W33" i="2"/>
  <c r="X33" i="2"/>
  <c r="U34" i="2"/>
  <c r="V34" i="2" s="1"/>
  <c r="W34" i="2"/>
  <c r="X34" i="2"/>
  <c r="U35" i="2"/>
  <c r="V35" i="2" s="1"/>
  <c r="W35" i="2"/>
  <c r="X35" i="2"/>
  <c r="W36" i="2"/>
  <c r="X36" i="2"/>
  <c r="W37" i="2"/>
  <c r="X37" i="2"/>
  <c r="W38" i="2"/>
  <c r="X38" i="2"/>
  <c r="U39" i="2"/>
  <c r="V39" i="2" s="1"/>
  <c r="W39" i="2"/>
  <c r="X39" i="2"/>
  <c r="U40" i="2"/>
  <c r="V40" i="2" s="1"/>
  <c r="W40" i="2"/>
  <c r="X40" i="2"/>
  <c r="U41" i="2"/>
  <c r="V41" i="2" s="1"/>
  <c r="W41" i="2"/>
  <c r="X41" i="2"/>
  <c r="W42" i="2"/>
  <c r="X42" i="2"/>
  <c r="U43" i="2"/>
  <c r="V43" i="2" s="1"/>
  <c r="W43" i="2"/>
  <c r="X43" i="2"/>
  <c r="U44" i="2"/>
  <c r="V44" i="2" s="1"/>
  <c r="W44" i="2"/>
  <c r="X44" i="2"/>
  <c r="U45" i="2"/>
  <c r="V45" i="2" s="1"/>
  <c r="W45" i="2"/>
  <c r="X45" i="2"/>
  <c r="U46" i="2"/>
  <c r="V46" i="2" s="1"/>
  <c r="W46" i="2"/>
  <c r="X46" i="2"/>
  <c r="U47" i="2"/>
  <c r="V47" i="2" s="1"/>
  <c r="W47" i="2"/>
  <c r="X47" i="2"/>
  <c r="W48" i="2"/>
  <c r="X48" i="2"/>
  <c r="U49" i="2"/>
  <c r="V49" i="2" s="1"/>
  <c r="W49" i="2"/>
  <c r="X49" i="2"/>
  <c r="U50" i="2"/>
  <c r="V50" i="2" s="1"/>
  <c r="W50" i="2"/>
  <c r="X50" i="2"/>
  <c r="W51" i="2"/>
  <c r="X51" i="2"/>
  <c r="W52" i="2"/>
  <c r="X52" i="2"/>
  <c r="U53" i="2"/>
  <c r="V53" i="2" s="1"/>
  <c r="W53" i="2"/>
  <c r="X53" i="2"/>
  <c r="U54" i="2"/>
  <c r="V54" i="2" s="1"/>
  <c r="W54" i="2"/>
  <c r="X54" i="2"/>
  <c r="W55" i="2"/>
  <c r="X55" i="2"/>
  <c r="U56" i="2"/>
  <c r="V56" i="2" s="1"/>
  <c r="W56" i="2"/>
  <c r="X56" i="2"/>
  <c r="W57" i="2"/>
  <c r="X57" i="2"/>
  <c r="W58" i="2"/>
  <c r="X58" i="2"/>
  <c r="U59" i="2"/>
  <c r="V59" i="2" s="1"/>
  <c r="W59" i="2"/>
  <c r="X59" i="2"/>
  <c r="U60" i="2"/>
  <c r="V60" i="2" s="1"/>
  <c r="W60" i="2"/>
  <c r="X60" i="2"/>
  <c r="W61" i="2"/>
  <c r="X61" i="2"/>
  <c r="W62" i="2"/>
  <c r="X62" i="2"/>
  <c r="W63" i="2"/>
  <c r="X63" i="2"/>
  <c r="U64" i="2"/>
  <c r="V64" i="2" s="1"/>
  <c r="W64" i="2"/>
  <c r="X64" i="2"/>
  <c r="U65" i="2"/>
  <c r="V65" i="2" s="1"/>
  <c r="W65" i="2"/>
  <c r="X65" i="2"/>
  <c r="U66" i="2"/>
  <c r="V66" i="2" s="1"/>
  <c r="W66" i="2"/>
  <c r="X66" i="2"/>
  <c r="W67" i="2"/>
  <c r="X67" i="2"/>
  <c r="W68" i="2"/>
  <c r="X68" i="2"/>
  <c r="U69" i="2"/>
  <c r="V69" i="2" s="1"/>
  <c r="W69" i="2"/>
  <c r="X69" i="2"/>
  <c r="U70" i="2"/>
  <c r="V70" i="2" s="1"/>
  <c r="W70" i="2"/>
  <c r="X70" i="2"/>
  <c r="U71" i="2"/>
  <c r="V71" i="2" s="1"/>
  <c r="W71" i="2"/>
  <c r="X71" i="2"/>
  <c r="U72" i="2"/>
  <c r="V72" i="2" s="1"/>
  <c r="W72" i="2"/>
  <c r="X72" i="2"/>
  <c r="U73" i="2"/>
  <c r="V73" i="2" s="1"/>
  <c r="W73" i="2"/>
  <c r="X73" i="2"/>
  <c r="W74" i="2"/>
  <c r="X74" i="2"/>
  <c r="W75" i="2"/>
  <c r="X75" i="2"/>
  <c r="U76" i="2"/>
  <c r="V76" i="2" s="1"/>
  <c r="W76" i="2"/>
  <c r="X76" i="2"/>
  <c r="U77" i="2"/>
  <c r="V77" i="2" s="1"/>
  <c r="W77" i="2"/>
  <c r="X77" i="2"/>
  <c r="W78" i="2"/>
  <c r="X78" i="2"/>
  <c r="U79" i="2"/>
  <c r="V79" i="2" s="1"/>
  <c r="W79" i="2"/>
  <c r="X79" i="2"/>
  <c r="W80" i="2"/>
  <c r="X80" i="2"/>
  <c r="U81" i="2"/>
  <c r="V81" i="2" s="1"/>
  <c r="W81" i="2"/>
  <c r="X81" i="2"/>
  <c r="W82" i="2"/>
  <c r="X82" i="2"/>
  <c r="W83" i="2"/>
  <c r="X83" i="2"/>
  <c r="U84" i="2"/>
  <c r="V84" i="2" s="1"/>
  <c r="W84" i="2"/>
  <c r="X84" i="2"/>
  <c r="W85" i="2"/>
  <c r="X85" i="2"/>
  <c r="W86" i="2"/>
  <c r="X86" i="2"/>
  <c r="W87" i="2"/>
  <c r="X87" i="2"/>
  <c r="W88" i="2"/>
  <c r="X88" i="2"/>
  <c r="W89" i="2"/>
  <c r="X89" i="2"/>
  <c r="U90" i="2"/>
  <c r="V90" i="2" s="1"/>
  <c r="W90" i="2"/>
  <c r="X90" i="2"/>
  <c r="U91" i="2"/>
  <c r="V91" i="2" s="1"/>
  <c r="W91" i="2"/>
  <c r="X91" i="2"/>
  <c r="U92" i="2"/>
  <c r="V92" i="2" s="1"/>
  <c r="W92" i="2"/>
  <c r="X92" i="2"/>
  <c r="W93" i="2"/>
  <c r="X93" i="2"/>
  <c r="W94" i="2"/>
  <c r="X94" i="2"/>
  <c r="W95" i="2"/>
  <c r="X95" i="2"/>
  <c r="W96" i="2"/>
  <c r="X96" i="2"/>
  <c r="W97" i="2"/>
  <c r="X97" i="2"/>
  <c r="U98" i="2"/>
  <c r="V98" i="2" s="1"/>
  <c r="W98" i="2"/>
  <c r="X98" i="2"/>
  <c r="W99" i="2"/>
  <c r="X99" i="2"/>
  <c r="W100" i="2"/>
  <c r="X100" i="2"/>
  <c r="U101" i="2"/>
  <c r="V101" i="2" s="1"/>
  <c r="W101" i="2"/>
  <c r="X101" i="2"/>
  <c r="U102" i="2"/>
  <c r="V102" i="2" s="1"/>
  <c r="W102" i="2"/>
  <c r="X102" i="2"/>
  <c r="W103" i="2"/>
  <c r="X103" i="2"/>
  <c r="W104" i="2"/>
  <c r="X104" i="2"/>
  <c r="U105" i="2"/>
  <c r="V105" i="2" s="1"/>
  <c r="W105" i="2"/>
  <c r="X105" i="2"/>
  <c r="U106" i="2"/>
  <c r="V106" i="2" s="1"/>
  <c r="W106" i="2"/>
  <c r="X106" i="2"/>
  <c r="W107" i="2"/>
  <c r="X107" i="2"/>
  <c r="U108" i="2"/>
  <c r="V108" i="2" s="1"/>
  <c r="W108" i="2"/>
  <c r="X108" i="2"/>
  <c r="U109" i="2"/>
  <c r="V109" i="2" s="1"/>
  <c r="W109" i="2"/>
  <c r="X109" i="2"/>
  <c r="U110" i="2"/>
  <c r="V110" i="2" s="1"/>
  <c r="W110" i="2"/>
  <c r="X110" i="2"/>
  <c r="U111" i="2"/>
  <c r="V111" i="2" s="1"/>
  <c r="W111" i="2"/>
  <c r="X111" i="2"/>
  <c r="U112" i="2"/>
  <c r="V112" i="2" s="1"/>
  <c r="W112" i="2"/>
  <c r="X112" i="2"/>
  <c r="W113" i="2"/>
  <c r="X113" i="2"/>
  <c r="U114" i="2"/>
  <c r="V114" i="2" s="1"/>
  <c r="W114" i="2"/>
  <c r="X114" i="2"/>
  <c r="U115" i="2"/>
  <c r="V115" i="2" s="1"/>
  <c r="W115" i="2"/>
  <c r="X115" i="2"/>
  <c r="W116" i="2"/>
  <c r="X116" i="2"/>
  <c r="W117" i="2"/>
  <c r="X117" i="2"/>
  <c r="U118" i="2"/>
  <c r="V118" i="2" s="1"/>
  <c r="W118" i="2"/>
  <c r="X118" i="2"/>
  <c r="U119" i="2"/>
  <c r="V119" i="2" s="1"/>
  <c r="W119" i="2"/>
  <c r="X119" i="2"/>
  <c r="U120" i="2"/>
  <c r="V120" i="2" s="1"/>
  <c r="W120" i="2"/>
  <c r="X120" i="2"/>
  <c r="U121" i="2"/>
  <c r="V121" i="2" s="1"/>
  <c r="W121" i="2"/>
  <c r="X121" i="2"/>
  <c r="W122" i="2"/>
  <c r="X122" i="2"/>
  <c r="U123" i="2"/>
  <c r="V123" i="2" s="1"/>
  <c r="W123" i="2"/>
  <c r="X123" i="2"/>
  <c r="W124" i="2"/>
  <c r="X124" i="2"/>
  <c r="U125" i="2"/>
  <c r="V125" i="2" s="1"/>
  <c r="W125" i="2"/>
  <c r="X125" i="2"/>
  <c r="W126" i="2"/>
  <c r="X126" i="2"/>
  <c r="U127" i="2"/>
  <c r="V127" i="2" s="1"/>
  <c r="W127" i="2"/>
  <c r="X127" i="2"/>
  <c r="U128" i="2"/>
  <c r="V128" i="2" s="1"/>
  <c r="W128" i="2"/>
  <c r="X128" i="2"/>
  <c r="U129" i="2"/>
  <c r="V129" i="2" s="1"/>
  <c r="W129" i="2"/>
  <c r="X129" i="2"/>
  <c r="U130" i="2"/>
  <c r="V130" i="2" s="1"/>
  <c r="W130" i="2"/>
  <c r="X130" i="2"/>
  <c r="W131" i="2"/>
  <c r="X131" i="2"/>
  <c r="U132" i="2"/>
  <c r="V132" i="2" s="1"/>
  <c r="W132" i="2"/>
  <c r="X132" i="2"/>
  <c r="U133" i="2"/>
  <c r="V133" i="2" s="1"/>
  <c r="W133" i="2"/>
  <c r="X133" i="2"/>
  <c r="W134" i="2"/>
  <c r="X134" i="2"/>
  <c r="U135" i="2"/>
  <c r="V135" i="2" s="1"/>
  <c r="W135" i="2"/>
  <c r="X135" i="2"/>
  <c r="W136" i="2"/>
  <c r="X136" i="2"/>
  <c r="U137" i="2"/>
  <c r="V137" i="2" s="1"/>
  <c r="W137" i="2"/>
  <c r="X137" i="2"/>
  <c r="W138" i="2"/>
  <c r="X138" i="2"/>
  <c r="W139" i="2"/>
  <c r="X139" i="2"/>
  <c r="U140" i="2"/>
  <c r="V140" i="2" s="1"/>
  <c r="W140" i="2"/>
  <c r="X140" i="2"/>
  <c r="W141" i="2"/>
  <c r="X141" i="2"/>
  <c r="W142" i="2"/>
  <c r="X142" i="2"/>
  <c r="U143" i="2"/>
  <c r="V143" i="2" s="1"/>
  <c r="W143" i="2"/>
  <c r="X143" i="2"/>
  <c r="U144" i="2"/>
  <c r="V144" i="2" s="1"/>
  <c r="W144" i="2"/>
  <c r="X144" i="2"/>
  <c r="U145" i="2"/>
  <c r="V145" i="2" s="1"/>
  <c r="W145" i="2"/>
  <c r="X145" i="2"/>
  <c r="U146" i="2"/>
  <c r="V146" i="2" s="1"/>
  <c r="W146" i="2"/>
  <c r="X146" i="2"/>
  <c r="W147" i="2"/>
  <c r="X147" i="2"/>
  <c r="W148" i="2"/>
  <c r="X148" i="2"/>
  <c r="U149" i="2"/>
  <c r="V149" i="2" s="1"/>
  <c r="W149" i="2"/>
  <c r="X149" i="2"/>
  <c r="W150" i="2"/>
  <c r="X150" i="2"/>
  <c r="W151" i="2"/>
  <c r="X151" i="2"/>
  <c r="U152" i="2"/>
  <c r="V152" i="2" s="1"/>
  <c r="W152" i="2"/>
  <c r="X152" i="2"/>
  <c r="W153" i="2"/>
  <c r="X153" i="2"/>
  <c r="W154" i="2"/>
  <c r="X154" i="2"/>
  <c r="W155" i="2"/>
  <c r="X155" i="2"/>
  <c r="U156" i="2"/>
  <c r="V156" i="2" s="1"/>
  <c r="W156" i="2"/>
  <c r="X156" i="2"/>
  <c r="U157" i="2"/>
  <c r="V157" i="2" s="1"/>
  <c r="W157" i="2"/>
  <c r="X157" i="2"/>
  <c r="U158" i="2"/>
  <c r="V158" i="2" s="1"/>
  <c r="W158" i="2"/>
  <c r="X158" i="2"/>
  <c r="W159" i="2"/>
  <c r="X159" i="2"/>
  <c r="W160" i="2"/>
  <c r="X160" i="2"/>
  <c r="W161" i="2"/>
  <c r="X161" i="2"/>
  <c r="W162" i="2"/>
  <c r="X162" i="2"/>
  <c r="U163" i="2"/>
  <c r="V163" i="2" s="1"/>
  <c r="W163" i="2"/>
  <c r="X163" i="2"/>
  <c r="U164" i="2"/>
  <c r="V164" i="2" s="1"/>
  <c r="W164" i="2"/>
  <c r="X164" i="2"/>
  <c r="U165" i="2"/>
  <c r="V165" i="2" s="1"/>
  <c r="W165" i="2"/>
  <c r="X165" i="2"/>
  <c r="U166" i="2"/>
  <c r="V166" i="2" s="1"/>
  <c r="W166" i="2"/>
  <c r="X166" i="2"/>
  <c r="W167" i="2"/>
  <c r="X167" i="2"/>
  <c r="W168" i="2"/>
  <c r="X168" i="2"/>
  <c r="W169" i="2"/>
  <c r="X169" i="2"/>
  <c r="U170" i="2"/>
  <c r="V170" i="2" s="1"/>
  <c r="W170" i="2"/>
  <c r="X170" i="2"/>
  <c r="U171" i="2"/>
  <c r="V171" i="2" s="1"/>
  <c r="W171" i="2"/>
  <c r="X171" i="2"/>
  <c r="U172" i="2"/>
  <c r="V172" i="2" s="1"/>
  <c r="W172" i="2"/>
  <c r="X172" i="2"/>
  <c r="W173" i="2"/>
  <c r="X173" i="2"/>
  <c r="U174" i="2"/>
  <c r="V174" i="2" s="1"/>
  <c r="W174" i="2"/>
  <c r="X174" i="2"/>
  <c r="U175" i="2"/>
  <c r="V175" i="2" s="1"/>
  <c r="W175" i="2"/>
  <c r="X175" i="2"/>
  <c r="W176" i="2"/>
  <c r="X176" i="2"/>
  <c r="W177" i="2"/>
  <c r="X177" i="2"/>
  <c r="U178" i="2"/>
  <c r="V178" i="2" s="1"/>
  <c r="W178" i="2"/>
  <c r="X178" i="2"/>
  <c r="U179" i="2"/>
  <c r="V179" i="2" s="1"/>
  <c r="W179" i="2"/>
  <c r="X179" i="2"/>
  <c r="U180" i="2"/>
  <c r="V180" i="2" s="1"/>
  <c r="W180" i="2"/>
  <c r="X180" i="2"/>
  <c r="U181" i="2"/>
  <c r="V181" i="2" s="1"/>
  <c r="W181" i="2"/>
  <c r="X181" i="2"/>
  <c r="W182" i="2"/>
  <c r="X182" i="2"/>
  <c r="W183" i="2"/>
  <c r="X183" i="2"/>
  <c r="U184" i="2"/>
  <c r="V184" i="2" s="1"/>
  <c r="W184" i="2"/>
  <c r="X184" i="2"/>
  <c r="W185" i="2"/>
  <c r="X185" i="2"/>
  <c r="U186" i="2"/>
  <c r="V186" i="2" s="1"/>
  <c r="W186" i="2"/>
  <c r="X186" i="2"/>
  <c r="U187" i="2"/>
  <c r="V187" i="2" s="1"/>
  <c r="W187" i="2"/>
  <c r="X187" i="2"/>
  <c r="W188" i="2"/>
  <c r="X188" i="2"/>
  <c r="U189" i="2"/>
  <c r="V189" i="2" s="1"/>
  <c r="W189" i="2"/>
  <c r="X189" i="2"/>
  <c r="U190" i="2"/>
  <c r="V190" i="2" s="1"/>
  <c r="W190" i="2"/>
  <c r="X190" i="2"/>
  <c r="U191" i="2"/>
  <c r="V191" i="2" s="1"/>
  <c r="W191" i="2"/>
  <c r="X191" i="2"/>
  <c r="U192" i="2"/>
  <c r="V192" i="2" s="1"/>
  <c r="W192" i="2"/>
  <c r="X192" i="2"/>
  <c r="U193" i="2"/>
  <c r="V193" i="2" s="1"/>
  <c r="W193" i="2"/>
  <c r="X193" i="2"/>
  <c r="U194" i="2"/>
  <c r="V194" i="2" s="1"/>
  <c r="W194" i="2"/>
  <c r="X194" i="2"/>
  <c r="U195" i="2"/>
  <c r="V195" i="2" s="1"/>
  <c r="W195" i="2"/>
  <c r="X195" i="2"/>
  <c r="U196" i="2"/>
  <c r="V196" i="2" s="1"/>
  <c r="W196" i="2"/>
  <c r="X196" i="2"/>
  <c r="U197" i="2"/>
  <c r="V197" i="2" s="1"/>
  <c r="W197" i="2"/>
  <c r="X197" i="2"/>
  <c r="U198" i="2"/>
  <c r="V198" i="2" s="1"/>
  <c r="W198" i="2"/>
  <c r="X198" i="2"/>
  <c r="W199" i="2"/>
  <c r="X199" i="2"/>
  <c r="W200" i="2"/>
  <c r="X200" i="2"/>
  <c r="U201" i="2"/>
  <c r="V201" i="2" s="1"/>
  <c r="W201" i="2"/>
  <c r="X201" i="2"/>
  <c r="W202" i="2"/>
  <c r="X202" i="2"/>
  <c r="U203" i="2"/>
  <c r="V203" i="2" s="1"/>
  <c r="W203" i="2"/>
  <c r="X203" i="2"/>
  <c r="W204" i="2"/>
  <c r="X204" i="2"/>
  <c r="U205" i="2"/>
  <c r="V205" i="2" s="1"/>
  <c r="W205" i="2"/>
  <c r="X205" i="2"/>
  <c r="U206" i="2"/>
  <c r="V206" i="2" s="1"/>
  <c r="W206" i="2"/>
  <c r="X206" i="2"/>
  <c r="U207" i="2"/>
  <c r="V207" i="2" s="1"/>
  <c r="W207" i="2"/>
  <c r="X207" i="2"/>
  <c r="U208" i="2"/>
  <c r="V208" i="2" s="1"/>
  <c r="W208" i="2"/>
  <c r="X208" i="2"/>
  <c r="U209" i="2"/>
  <c r="V209" i="2" s="1"/>
  <c r="W209" i="2"/>
  <c r="X209" i="2"/>
  <c r="W210" i="2"/>
  <c r="X210" i="2"/>
  <c r="U211" i="2"/>
  <c r="V211" i="2" s="1"/>
  <c r="W211" i="2"/>
  <c r="X211" i="2"/>
  <c r="W212" i="2"/>
  <c r="X212" i="2"/>
  <c r="U213" i="2"/>
  <c r="V213" i="2" s="1"/>
  <c r="W213" i="2"/>
  <c r="X213" i="2"/>
  <c r="U214" i="2"/>
  <c r="V214" i="2" s="1"/>
  <c r="W214" i="2"/>
  <c r="X214" i="2"/>
  <c r="W215" i="2"/>
  <c r="X215" i="2"/>
  <c r="W216" i="2"/>
  <c r="X216" i="2"/>
  <c r="W217" i="2"/>
  <c r="X217" i="2"/>
  <c r="U218" i="2"/>
  <c r="V218" i="2" s="1"/>
  <c r="W218" i="2"/>
  <c r="X218" i="2"/>
  <c r="U219" i="2"/>
  <c r="V219" i="2" s="1"/>
  <c r="W219" i="2"/>
  <c r="X219" i="2"/>
  <c r="U220" i="2"/>
  <c r="V220" i="2" s="1"/>
  <c r="W220" i="2"/>
  <c r="X220" i="2"/>
  <c r="W221" i="2"/>
  <c r="X221" i="2"/>
  <c r="U222" i="2"/>
  <c r="V222" i="2" s="1"/>
  <c r="W222" i="2"/>
  <c r="X222" i="2"/>
  <c r="U223" i="2"/>
  <c r="V223" i="2" s="1"/>
  <c r="W223" i="2"/>
  <c r="X223" i="2"/>
  <c r="W224" i="2"/>
  <c r="X224" i="2"/>
  <c r="U225" i="2"/>
  <c r="V225" i="2" s="1"/>
  <c r="W225" i="2"/>
  <c r="X225" i="2"/>
  <c r="W226" i="2"/>
  <c r="X226" i="2"/>
  <c r="W227" i="2"/>
  <c r="X227" i="2"/>
  <c r="U228" i="2"/>
  <c r="V228" i="2" s="1"/>
  <c r="W228" i="2"/>
  <c r="X228" i="2"/>
  <c r="U229" i="2"/>
  <c r="V229" i="2" s="1"/>
  <c r="W229" i="2"/>
  <c r="X229" i="2"/>
  <c r="U230" i="2"/>
  <c r="V230" i="2" s="1"/>
  <c r="W230" i="2"/>
  <c r="X230" i="2"/>
  <c r="U231" i="2"/>
  <c r="V231" i="2" s="1"/>
  <c r="W231" i="2"/>
  <c r="X231" i="2"/>
  <c r="U232" i="2"/>
  <c r="V232" i="2" s="1"/>
  <c r="W232" i="2"/>
  <c r="X232" i="2"/>
  <c r="W233" i="2"/>
  <c r="X233" i="2"/>
  <c r="U234" i="2"/>
  <c r="V234" i="2" s="1"/>
  <c r="W234" i="2"/>
  <c r="X234" i="2"/>
  <c r="W235" i="2"/>
  <c r="X235" i="2"/>
  <c r="U236" i="2"/>
  <c r="V236" i="2" s="1"/>
  <c r="W236" i="2"/>
  <c r="X236" i="2"/>
  <c r="U237" i="2"/>
  <c r="V237" i="2" s="1"/>
  <c r="W237" i="2"/>
  <c r="X237" i="2"/>
  <c r="W238" i="2"/>
  <c r="X238" i="2"/>
  <c r="W239" i="2"/>
  <c r="X239" i="2"/>
  <c r="W240" i="2"/>
  <c r="X240" i="2"/>
  <c r="W241" i="2"/>
  <c r="X241" i="2"/>
  <c r="U242" i="2"/>
  <c r="V242" i="2" s="1"/>
  <c r="W242" i="2"/>
  <c r="X242" i="2"/>
  <c r="U243" i="2"/>
  <c r="V243" i="2" s="1"/>
  <c r="W243" i="2"/>
  <c r="X243" i="2"/>
  <c r="U244" i="2"/>
  <c r="V244" i="2" s="1"/>
  <c r="W244" i="2"/>
  <c r="X244" i="2"/>
  <c r="U245" i="2"/>
  <c r="V245" i="2" s="1"/>
  <c r="W245" i="2"/>
  <c r="X245" i="2"/>
  <c r="U246" i="2"/>
  <c r="V246" i="2" s="1"/>
  <c r="W246" i="2"/>
  <c r="X246" i="2"/>
  <c r="U247" i="2"/>
  <c r="V247" i="2" s="1"/>
  <c r="W247" i="2"/>
  <c r="X247" i="2"/>
  <c r="U248" i="2"/>
  <c r="V248" i="2" s="1"/>
  <c r="W248" i="2"/>
  <c r="X248" i="2"/>
  <c r="W249" i="2"/>
  <c r="X249" i="2"/>
  <c r="W250" i="2"/>
  <c r="X250" i="2"/>
  <c r="W251" i="2"/>
  <c r="X251" i="2"/>
  <c r="U252" i="2"/>
  <c r="V252" i="2" s="1"/>
  <c r="W252" i="2"/>
  <c r="X252" i="2"/>
  <c r="U253" i="2"/>
  <c r="V253" i="2" s="1"/>
  <c r="W253" i="2"/>
  <c r="X253" i="2"/>
  <c r="U254" i="2"/>
  <c r="V254" i="2" s="1"/>
  <c r="W254" i="2"/>
  <c r="X254" i="2"/>
  <c r="U255" i="2"/>
  <c r="V255" i="2" s="1"/>
  <c r="W255" i="2"/>
  <c r="X255" i="2"/>
  <c r="W256" i="2"/>
  <c r="X256" i="2"/>
  <c r="W257" i="2"/>
  <c r="X257" i="2"/>
  <c r="U258" i="2"/>
  <c r="V258" i="2" s="1"/>
  <c r="W258" i="2"/>
  <c r="X258" i="2"/>
  <c r="U259" i="2"/>
  <c r="V259" i="2" s="1"/>
  <c r="W259" i="2"/>
  <c r="X259" i="2"/>
  <c r="U260" i="2"/>
  <c r="V260" i="2" s="1"/>
  <c r="W260" i="2"/>
  <c r="X260" i="2"/>
  <c r="U261" i="2"/>
  <c r="V261" i="2" s="1"/>
  <c r="W261" i="2"/>
  <c r="X261" i="2"/>
  <c r="W262" i="2"/>
  <c r="X262" i="2"/>
  <c r="U263" i="2"/>
  <c r="V263" i="2" s="1"/>
  <c r="W263" i="2"/>
  <c r="X263" i="2"/>
  <c r="W264" i="2"/>
  <c r="X264" i="2"/>
  <c r="U265" i="2"/>
  <c r="V265" i="2" s="1"/>
  <c r="W265" i="2"/>
  <c r="X265" i="2"/>
  <c r="U266" i="2"/>
  <c r="V266" i="2" s="1"/>
  <c r="W266" i="2"/>
  <c r="X266" i="2"/>
  <c r="U267" i="2"/>
  <c r="V267" i="2" s="1"/>
  <c r="W267" i="2"/>
  <c r="X267" i="2"/>
  <c r="U268" i="2"/>
  <c r="V268" i="2" s="1"/>
  <c r="W268" i="2"/>
  <c r="X268" i="2"/>
  <c r="W269" i="2"/>
  <c r="X269" i="2"/>
  <c r="U270" i="2"/>
  <c r="V270" i="2" s="1"/>
  <c r="W270" i="2"/>
  <c r="X270" i="2"/>
  <c r="U271" i="2"/>
  <c r="V271" i="2" s="1"/>
  <c r="W271" i="2"/>
  <c r="X271" i="2"/>
  <c r="U272" i="2"/>
  <c r="V272" i="2" s="1"/>
  <c r="W272" i="2"/>
  <c r="X272" i="2"/>
  <c r="W273" i="2"/>
  <c r="X273" i="2"/>
  <c r="U274" i="2"/>
  <c r="V274" i="2" s="1"/>
  <c r="W274" i="2"/>
  <c r="X274" i="2"/>
  <c r="W275" i="2"/>
  <c r="X275" i="2"/>
  <c r="U276" i="2"/>
  <c r="V276" i="2" s="1"/>
  <c r="W276" i="2"/>
  <c r="X276" i="2"/>
  <c r="W277" i="2"/>
  <c r="X277" i="2"/>
  <c r="W278" i="2"/>
  <c r="X278" i="2"/>
  <c r="U279" i="2"/>
  <c r="V279" i="2" s="1"/>
  <c r="W279" i="2"/>
  <c r="X279" i="2"/>
  <c r="U280" i="2"/>
  <c r="V280" i="2" s="1"/>
  <c r="W280" i="2"/>
  <c r="X280" i="2"/>
  <c r="U281" i="2"/>
  <c r="V281" i="2" s="1"/>
  <c r="W281" i="2"/>
  <c r="X281" i="2"/>
  <c r="U282" i="2"/>
  <c r="V282" i="2" s="1"/>
  <c r="W282" i="2"/>
  <c r="X282" i="2"/>
  <c r="U283" i="2"/>
  <c r="V283" i="2" s="1"/>
  <c r="W283" i="2"/>
  <c r="X283" i="2"/>
  <c r="W284" i="2"/>
  <c r="X284" i="2"/>
  <c r="W285" i="2"/>
  <c r="X285" i="2"/>
  <c r="U286" i="2"/>
  <c r="V286" i="2" s="1"/>
  <c r="W286" i="2"/>
  <c r="X286" i="2"/>
  <c r="U287" i="2"/>
  <c r="V287" i="2" s="1"/>
  <c r="W287" i="2"/>
  <c r="X287" i="2"/>
  <c r="U288" i="2"/>
  <c r="V288" i="2" s="1"/>
  <c r="W288" i="2"/>
  <c r="X288" i="2"/>
  <c r="U289" i="2"/>
  <c r="V289" i="2" s="1"/>
  <c r="W289" i="2"/>
  <c r="X289" i="2"/>
  <c r="U290" i="2"/>
  <c r="V290" i="2" s="1"/>
  <c r="W290" i="2"/>
  <c r="X290" i="2"/>
  <c r="U291" i="2"/>
  <c r="V291" i="2" s="1"/>
  <c r="W291" i="2"/>
  <c r="X291" i="2"/>
  <c r="U292" i="2"/>
  <c r="V292" i="2" s="1"/>
  <c r="W292" i="2"/>
  <c r="X292" i="2"/>
  <c r="U293" i="2"/>
  <c r="V293" i="2" s="1"/>
  <c r="W293" i="2"/>
  <c r="X293" i="2"/>
  <c r="U294" i="2"/>
  <c r="V294" i="2" s="1"/>
  <c r="W294" i="2"/>
  <c r="X294" i="2"/>
  <c r="U295" i="2"/>
  <c r="V295" i="2" s="1"/>
  <c r="W295" i="2"/>
  <c r="X295" i="2"/>
  <c r="U296" i="2"/>
  <c r="V296" i="2" s="1"/>
  <c r="W296" i="2"/>
  <c r="X296" i="2"/>
  <c r="U297" i="2"/>
  <c r="V297" i="2" s="1"/>
  <c r="W297" i="2"/>
  <c r="X297" i="2"/>
  <c r="U298" i="2"/>
  <c r="V298" i="2" s="1"/>
  <c r="W298" i="2"/>
  <c r="X298" i="2"/>
  <c r="U299" i="2"/>
  <c r="V299" i="2" s="1"/>
  <c r="W299" i="2"/>
  <c r="X299" i="2"/>
  <c r="U300" i="2"/>
  <c r="V300" i="2" s="1"/>
  <c r="W300" i="2"/>
  <c r="X300" i="2"/>
  <c r="U301" i="2"/>
  <c r="V301" i="2" s="1"/>
  <c r="W301" i="2"/>
  <c r="X301" i="2"/>
  <c r="U302" i="2"/>
  <c r="V302" i="2" s="1"/>
  <c r="W302" i="2"/>
  <c r="X302" i="2"/>
  <c r="U303" i="2"/>
  <c r="V303" i="2" s="1"/>
  <c r="W303" i="2"/>
  <c r="X303" i="2"/>
  <c r="U304" i="2"/>
  <c r="V304" i="2" s="1"/>
  <c r="W304" i="2"/>
  <c r="X304" i="2"/>
  <c r="U305" i="2"/>
  <c r="V305" i="2" s="1"/>
  <c r="W305" i="2"/>
  <c r="X305" i="2"/>
  <c r="U306" i="2"/>
  <c r="V306" i="2" s="1"/>
  <c r="W306" i="2"/>
  <c r="X306" i="2"/>
  <c r="U307" i="2"/>
  <c r="V307" i="2" s="1"/>
  <c r="W307" i="2"/>
  <c r="X307" i="2"/>
  <c r="U308" i="2"/>
  <c r="V308" i="2" s="1"/>
  <c r="W308" i="2"/>
  <c r="X308" i="2"/>
  <c r="W309" i="2"/>
  <c r="X309" i="2"/>
  <c r="W310" i="2"/>
  <c r="X310" i="2"/>
  <c r="U311" i="2"/>
  <c r="V311" i="2" s="1"/>
  <c r="W311" i="2"/>
  <c r="X311" i="2"/>
  <c r="U312" i="2"/>
  <c r="V312" i="2" s="1"/>
  <c r="W312" i="2"/>
  <c r="X312" i="2"/>
  <c r="W313" i="2"/>
  <c r="X313" i="2"/>
  <c r="U314" i="2"/>
  <c r="V314" i="2" s="1"/>
  <c r="W314" i="2"/>
  <c r="X314" i="2"/>
  <c r="W315" i="2"/>
  <c r="X315" i="2"/>
  <c r="W316" i="2"/>
  <c r="X316" i="2"/>
  <c r="U317" i="2"/>
  <c r="V317" i="2" s="1"/>
  <c r="W317" i="2"/>
  <c r="X317" i="2"/>
  <c r="U318" i="2"/>
  <c r="V318" i="2" s="1"/>
  <c r="W318" i="2"/>
  <c r="X318" i="2"/>
  <c r="U319" i="2"/>
  <c r="V319" i="2" s="1"/>
  <c r="W319" i="2"/>
  <c r="X319" i="2"/>
  <c r="U320" i="2"/>
  <c r="V320" i="2" s="1"/>
  <c r="W320" i="2"/>
  <c r="X320" i="2"/>
  <c r="U321" i="2"/>
  <c r="V321" i="2" s="1"/>
  <c r="W321" i="2"/>
  <c r="X321" i="2"/>
  <c r="W322" i="2"/>
  <c r="X322" i="2"/>
  <c r="U323" i="2"/>
  <c r="V323" i="2" s="1"/>
  <c r="W323" i="2"/>
  <c r="X323" i="2"/>
  <c r="W324" i="2"/>
  <c r="X324" i="2"/>
  <c r="U325" i="2"/>
  <c r="V325" i="2" s="1"/>
  <c r="W325" i="2"/>
  <c r="X325" i="2"/>
  <c r="U326" i="2"/>
  <c r="V326" i="2" s="1"/>
  <c r="W326" i="2"/>
  <c r="X326" i="2"/>
  <c r="U327" i="2"/>
  <c r="V327" i="2" s="1"/>
  <c r="W327" i="2"/>
  <c r="X327" i="2"/>
  <c r="U328" i="2"/>
  <c r="V328" i="2" s="1"/>
  <c r="W328" i="2"/>
  <c r="X328" i="2"/>
  <c r="W329" i="2"/>
  <c r="X329" i="2"/>
  <c r="U330" i="2"/>
  <c r="V330" i="2" s="1"/>
  <c r="W330" i="2"/>
  <c r="X330" i="2"/>
  <c r="W331" i="2"/>
  <c r="X331" i="2"/>
  <c r="U332" i="2"/>
  <c r="V332" i="2" s="1"/>
  <c r="W332" i="2"/>
  <c r="X332" i="2"/>
  <c r="W333" i="2"/>
  <c r="X333" i="2"/>
  <c r="U334" i="2"/>
  <c r="V334" i="2" s="1"/>
  <c r="W334" i="2"/>
  <c r="X334" i="2"/>
  <c r="W335" i="2"/>
  <c r="X335" i="2"/>
  <c r="U336" i="2"/>
  <c r="V336" i="2" s="1"/>
  <c r="W336" i="2"/>
  <c r="X336" i="2"/>
  <c r="W337" i="2"/>
  <c r="X337" i="2"/>
  <c r="U338" i="2"/>
  <c r="V338" i="2" s="1"/>
  <c r="W338" i="2"/>
  <c r="X338" i="2"/>
  <c r="U339" i="2"/>
  <c r="V339" i="2" s="1"/>
  <c r="W339" i="2"/>
  <c r="X339" i="2"/>
  <c r="U340" i="2"/>
  <c r="V340" i="2" s="1"/>
  <c r="W340" i="2"/>
  <c r="X340" i="2"/>
  <c r="U341" i="2"/>
  <c r="V341" i="2" s="1"/>
  <c r="W341" i="2"/>
  <c r="X341" i="2"/>
  <c r="U342" i="2"/>
  <c r="V342" i="2" s="1"/>
  <c r="W342" i="2"/>
  <c r="X342" i="2"/>
  <c r="U343" i="2"/>
  <c r="V343" i="2" s="1"/>
  <c r="W343" i="2"/>
  <c r="X343" i="2"/>
  <c r="U344" i="2"/>
  <c r="V344" i="2" s="1"/>
  <c r="W344" i="2"/>
  <c r="X344" i="2"/>
  <c r="U345" i="2"/>
  <c r="V345" i="2" s="1"/>
  <c r="W345" i="2"/>
  <c r="X345" i="2"/>
  <c r="U346" i="2"/>
  <c r="V346" i="2" s="1"/>
  <c r="W346" i="2"/>
  <c r="X346" i="2"/>
  <c r="U347" i="2"/>
  <c r="V347" i="2" s="1"/>
  <c r="W347" i="2"/>
  <c r="X347" i="2"/>
  <c r="U348" i="2"/>
  <c r="V348" i="2" s="1"/>
  <c r="W348" i="2"/>
  <c r="X348" i="2"/>
  <c r="U349" i="2"/>
  <c r="V349" i="2" s="1"/>
  <c r="W349" i="2"/>
  <c r="X349" i="2"/>
  <c r="U350" i="2"/>
  <c r="V350" i="2" s="1"/>
  <c r="W350" i="2"/>
  <c r="X350" i="2"/>
  <c r="U351" i="2"/>
  <c r="V351" i="2" s="1"/>
  <c r="W351" i="2"/>
  <c r="X351" i="2"/>
  <c r="U352" i="2"/>
  <c r="V352" i="2" s="1"/>
  <c r="W352" i="2"/>
  <c r="X352" i="2"/>
  <c r="U353" i="2"/>
  <c r="V353" i="2" s="1"/>
  <c r="W353" i="2"/>
  <c r="X353" i="2"/>
  <c r="U354" i="2"/>
  <c r="V354" i="2" s="1"/>
  <c r="W354" i="2"/>
  <c r="X354" i="2"/>
  <c r="W355" i="2"/>
  <c r="X355" i="2"/>
  <c r="U356" i="2"/>
  <c r="V356" i="2" s="1"/>
  <c r="W356" i="2"/>
  <c r="X356" i="2"/>
  <c r="U357" i="2"/>
  <c r="V357" i="2" s="1"/>
  <c r="W357" i="2"/>
  <c r="X357" i="2"/>
  <c r="U358" i="2"/>
  <c r="V358" i="2" s="1"/>
  <c r="W358" i="2"/>
  <c r="X358" i="2"/>
  <c r="U359" i="2"/>
  <c r="V359" i="2" s="1"/>
  <c r="W359" i="2"/>
  <c r="X359" i="2"/>
  <c r="U360" i="2"/>
  <c r="V360" i="2" s="1"/>
  <c r="W360" i="2"/>
  <c r="X360" i="2"/>
  <c r="U361" i="2"/>
  <c r="V361" i="2" s="1"/>
  <c r="W361" i="2"/>
  <c r="X361" i="2"/>
  <c r="U362" i="2"/>
  <c r="V362" i="2" s="1"/>
  <c r="W362" i="2"/>
  <c r="X362" i="2"/>
  <c r="U363" i="2"/>
  <c r="V363" i="2" s="1"/>
  <c r="W363" i="2"/>
  <c r="X363" i="2"/>
  <c r="W364" i="2"/>
  <c r="X364" i="2"/>
  <c r="W365" i="2"/>
  <c r="X365" i="2"/>
  <c r="U366" i="2"/>
  <c r="V366" i="2" s="1"/>
  <c r="W366" i="2"/>
  <c r="X366" i="2"/>
  <c r="U367" i="2"/>
  <c r="V367" i="2" s="1"/>
  <c r="W367" i="2"/>
  <c r="X367" i="2"/>
  <c r="W368" i="2"/>
  <c r="X368" i="2"/>
  <c r="U369" i="2"/>
  <c r="V369" i="2" s="1"/>
  <c r="W369" i="2"/>
  <c r="X369" i="2"/>
  <c r="U370" i="2"/>
  <c r="V370" i="2" s="1"/>
  <c r="W370" i="2"/>
  <c r="X370" i="2"/>
  <c r="U371" i="2"/>
  <c r="V371" i="2" s="1"/>
  <c r="W371" i="2"/>
  <c r="X371" i="2"/>
  <c r="U372" i="2"/>
  <c r="V372" i="2" s="1"/>
  <c r="W372" i="2"/>
  <c r="X372" i="2"/>
  <c r="U373" i="2"/>
  <c r="V373" i="2" s="1"/>
  <c r="W373" i="2"/>
  <c r="X373" i="2"/>
  <c r="U374" i="2"/>
  <c r="V374" i="2" s="1"/>
  <c r="W374" i="2"/>
  <c r="X374" i="2"/>
  <c r="U375" i="2"/>
  <c r="V375" i="2" s="1"/>
  <c r="W375" i="2"/>
  <c r="X375" i="2"/>
  <c r="U376" i="2"/>
  <c r="V376" i="2" s="1"/>
  <c r="W376" i="2"/>
  <c r="X376" i="2"/>
  <c r="U377" i="2"/>
  <c r="V377" i="2" s="1"/>
  <c r="W377" i="2"/>
  <c r="X377" i="2"/>
  <c r="U378" i="2"/>
  <c r="V378" i="2" s="1"/>
  <c r="W378" i="2"/>
  <c r="X378" i="2"/>
  <c r="U379" i="2"/>
  <c r="V379" i="2" s="1"/>
  <c r="W379" i="2"/>
  <c r="X379" i="2"/>
  <c r="W380" i="2"/>
  <c r="X380" i="2"/>
  <c r="W381" i="2"/>
  <c r="X381" i="2"/>
  <c r="W382" i="2"/>
  <c r="X382" i="2"/>
  <c r="W383" i="2"/>
  <c r="X383" i="2"/>
  <c r="W384" i="2"/>
  <c r="X384" i="2"/>
  <c r="W385" i="2"/>
  <c r="X385" i="2"/>
  <c r="U386" i="2"/>
  <c r="V386" i="2" s="1"/>
  <c r="W386" i="2"/>
  <c r="X386" i="2"/>
  <c r="U387" i="2"/>
  <c r="V387" i="2" s="1"/>
  <c r="W387" i="2"/>
  <c r="X387" i="2"/>
  <c r="W388" i="2"/>
  <c r="X388" i="2"/>
  <c r="U389" i="2"/>
  <c r="V389" i="2" s="1"/>
  <c r="W389" i="2"/>
  <c r="X389" i="2"/>
  <c r="W390" i="2"/>
  <c r="X390" i="2"/>
  <c r="W391" i="2"/>
  <c r="X391" i="2"/>
  <c r="W392" i="2"/>
  <c r="X392" i="2"/>
  <c r="U393" i="2"/>
  <c r="V393" i="2" s="1"/>
  <c r="W393" i="2"/>
  <c r="X393" i="2"/>
  <c r="U394" i="2"/>
  <c r="V394" i="2" s="1"/>
  <c r="W394" i="2"/>
  <c r="X394" i="2"/>
  <c r="W395" i="2"/>
  <c r="X395" i="2"/>
  <c r="W396" i="2"/>
  <c r="X396" i="2"/>
  <c r="U397" i="2"/>
  <c r="V397" i="2" s="1"/>
  <c r="W397" i="2"/>
  <c r="X397" i="2"/>
  <c r="U398" i="2"/>
  <c r="V398" i="2" s="1"/>
  <c r="W398" i="2"/>
  <c r="X398" i="2"/>
  <c r="U399" i="2"/>
  <c r="V399" i="2" s="1"/>
  <c r="W399" i="2"/>
  <c r="X399" i="2"/>
  <c r="U400" i="2"/>
  <c r="V400" i="2" s="1"/>
  <c r="W400" i="2"/>
  <c r="X400" i="2"/>
  <c r="U401" i="2"/>
  <c r="V401" i="2" s="1"/>
  <c r="W401" i="2"/>
  <c r="X401" i="2"/>
  <c r="W402" i="2"/>
  <c r="X402" i="2"/>
  <c r="U403" i="2"/>
  <c r="V403" i="2" s="1"/>
  <c r="W403" i="2"/>
  <c r="X403" i="2"/>
  <c r="U404" i="2"/>
  <c r="V404" i="2" s="1"/>
  <c r="W404" i="2"/>
  <c r="X404" i="2"/>
  <c r="U405" i="2"/>
  <c r="V405" i="2" s="1"/>
  <c r="W405" i="2"/>
  <c r="X405" i="2"/>
  <c r="U406" i="2"/>
  <c r="V406" i="2" s="1"/>
  <c r="W406" i="2"/>
  <c r="X406" i="2"/>
  <c r="W407" i="2"/>
  <c r="X407" i="2"/>
  <c r="U408" i="2"/>
  <c r="V408" i="2" s="1"/>
  <c r="W408" i="2"/>
  <c r="X408" i="2"/>
  <c r="W409" i="2"/>
  <c r="X409" i="2"/>
  <c r="U410" i="2"/>
  <c r="V410" i="2" s="1"/>
  <c r="W410" i="2"/>
  <c r="X410" i="2"/>
  <c r="U411" i="2"/>
  <c r="V411" i="2" s="1"/>
  <c r="W411" i="2"/>
  <c r="X411" i="2"/>
  <c r="U412" i="2"/>
  <c r="V412" i="2" s="1"/>
  <c r="W412" i="2"/>
  <c r="X412" i="2"/>
  <c r="U413" i="2"/>
  <c r="V413" i="2" s="1"/>
  <c r="W413" i="2"/>
  <c r="X413" i="2"/>
  <c r="U414" i="2"/>
  <c r="V414" i="2" s="1"/>
  <c r="W414" i="2"/>
  <c r="X414" i="2"/>
  <c r="U415" i="2"/>
  <c r="V415" i="2" s="1"/>
  <c r="W415" i="2"/>
  <c r="X415" i="2"/>
  <c r="U416" i="2"/>
  <c r="V416" i="2" s="1"/>
  <c r="W416" i="2"/>
  <c r="X416" i="2"/>
  <c r="U417" i="2"/>
  <c r="V417" i="2" s="1"/>
  <c r="W417" i="2"/>
  <c r="X417" i="2"/>
  <c r="U418" i="2"/>
  <c r="V418" i="2" s="1"/>
  <c r="W418" i="2"/>
  <c r="X418" i="2"/>
  <c r="W419" i="2"/>
  <c r="X419" i="2"/>
  <c r="U420" i="2"/>
  <c r="V420" i="2" s="1"/>
  <c r="W420" i="2"/>
  <c r="X420" i="2"/>
  <c r="U421" i="2"/>
  <c r="V421" i="2" s="1"/>
  <c r="W421" i="2"/>
  <c r="X421" i="2"/>
  <c r="U422" i="2"/>
  <c r="V422" i="2" s="1"/>
  <c r="W422" i="2"/>
  <c r="X422" i="2"/>
  <c r="U423" i="2"/>
  <c r="V423" i="2" s="1"/>
  <c r="W423" i="2"/>
  <c r="X423" i="2"/>
  <c r="U424" i="2"/>
  <c r="V424" i="2" s="1"/>
  <c r="W424" i="2"/>
  <c r="X424" i="2"/>
  <c r="U425" i="2"/>
  <c r="V425" i="2" s="1"/>
  <c r="W425" i="2"/>
  <c r="X425" i="2"/>
  <c r="U426" i="2"/>
  <c r="V426" i="2" s="1"/>
  <c r="W426" i="2"/>
  <c r="X426" i="2"/>
  <c r="W427" i="2"/>
  <c r="X427" i="2"/>
  <c r="U428" i="2"/>
  <c r="V428" i="2" s="1"/>
  <c r="W428" i="2"/>
  <c r="X428" i="2"/>
  <c r="U429" i="2"/>
  <c r="V429" i="2" s="1"/>
  <c r="W429" i="2"/>
  <c r="X429" i="2"/>
  <c r="U430" i="2"/>
  <c r="V430" i="2" s="1"/>
  <c r="W430" i="2"/>
  <c r="X430" i="2"/>
  <c r="U431" i="2"/>
  <c r="V431" i="2" s="1"/>
  <c r="W431" i="2"/>
  <c r="X431" i="2"/>
  <c r="U432" i="2"/>
  <c r="V432" i="2" s="1"/>
  <c r="W432" i="2"/>
  <c r="X432" i="2"/>
  <c r="W433" i="2"/>
  <c r="X433" i="2"/>
  <c r="U434" i="2"/>
  <c r="V434" i="2" s="1"/>
  <c r="W434" i="2"/>
  <c r="X434" i="2"/>
  <c r="W435" i="2"/>
  <c r="X435" i="2"/>
  <c r="U436" i="2"/>
  <c r="V436" i="2" s="1"/>
  <c r="W436" i="2"/>
  <c r="X436" i="2"/>
  <c r="U437" i="2"/>
  <c r="V437" i="2" s="1"/>
  <c r="W437" i="2"/>
  <c r="X437" i="2"/>
  <c r="U438" i="2"/>
  <c r="V438" i="2" s="1"/>
  <c r="W438" i="2"/>
  <c r="X438" i="2"/>
  <c r="U439" i="2"/>
  <c r="V439" i="2" s="1"/>
  <c r="W439" i="2"/>
  <c r="X439" i="2"/>
  <c r="U440" i="2"/>
  <c r="V440" i="2" s="1"/>
  <c r="W440" i="2"/>
  <c r="X440" i="2"/>
  <c r="U441" i="2"/>
  <c r="V441" i="2" s="1"/>
  <c r="W441" i="2"/>
  <c r="X441" i="2"/>
  <c r="U442" i="2"/>
  <c r="V442" i="2" s="1"/>
  <c r="W442" i="2"/>
  <c r="X442" i="2"/>
  <c r="U443" i="2"/>
  <c r="V443" i="2" s="1"/>
  <c r="W443" i="2"/>
  <c r="X443" i="2"/>
  <c r="U444" i="2"/>
  <c r="V444" i="2" s="1"/>
  <c r="W444" i="2"/>
  <c r="X444" i="2"/>
  <c r="U445" i="2"/>
  <c r="V445" i="2" s="1"/>
  <c r="W445" i="2"/>
  <c r="X445" i="2"/>
  <c r="U446" i="2"/>
  <c r="V446" i="2" s="1"/>
  <c r="W446" i="2"/>
  <c r="X446" i="2"/>
  <c r="W447" i="2"/>
  <c r="X447" i="2"/>
  <c r="W448" i="2"/>
  <c r="X448" i="2"/>
  <c r="U449" i="2"/>
  <c r="V449" i="2" s="1"/>
  <c r="W449" i="2"/>
  <c r="X449" i="2"/>
  <c r="U450" i="2"/>
  <c r="V450" i="2" s="1"/>
  <c r="W450" i="2"/>
  <c r="X450" i="2"/>
  <c r="W451" i="2"/>
  <c r="X451" i="2"/>
  <c r="W452" i="2"/>
  <c r="X452" i="2"/>
  <c r="W453" i="2"/>
  <c r="X453" i="2"/>
  <c r="W454" i="2"/>
  <c r="X454" i="2"/>
  <c r="W455" i="2"/>
  <c r="X455" i="2"/>
  <c r="U456" i="2"/>
  <c r="V456" i="2" s="1"/>
  <c r="W456" i="2"/>
  <c r="X456" i="2"/>
  <c r="U457" i="2"/>
  <c r="V457" i="2" s="1"/>
  <c r="W457" i="2"/>
  <c r="X457" i="2"/>
  <c r="U458" i="2"/>
  <c r="V458" i="2" s="1"/>
  <c r="W458" i="2"/>
  <c r="X458" i="2"/>
  <c r="U459" i="2"/>
  <c r="V459" i="2" s="1"/>
  <c r="W459" i="2"/>
  <c r="X459" i="2"/>
  <c r="U460" i="2"/>
  <c r="V460" i="2" s="1"/>
  <c r="W460" i="2"/>
  <c r="X460" i="2"/>
  <c r="U461" i="2"/>
  <c r="V461" i="2" s="1"/>
  <c r="W461" i="2"/>
  <c r="X461" i="2"/>
  <c r="U462" i="2"/>
  <c r="V462" i="2" s="1"/>
  <c r="W462" i="2"/>
  <c r="X462" i="2"/>
  <c r="U463" i="2"/>
  <c r="V463" i="2" s="1"/>
  <c r="W463" i="2"/>
  <c r="X463" i="2"/>
  <c r="U464" i="2"/>
  <c r="V464" i="2" s="1"/>
  <c r="W464" i="2"/>
  <c r="X464" i="2"/>
  <c r="U465" i="2"/>
  <c r="V465" i="2" s="1"/>
  <c r="W465" i="2"/>
  <c r="X465" i="2"/>
  <c r="U466" i="2"/>
  <c r="V466" i="2" s="1"/>
  <c r="W466" i="2"/>
  <c r="X466" i="2"/>
  <c r="W467" i="2"/>
  <c r="X467" i="2"/>
  <c r="W468" i="2"/>
  <c r="X468" i="2"/>
  <c r="U469" i="2"/>
  <c r="V469" i="2" s="1"/>
  <c r="W469" i="2"/>
  <c r="X469" i="2"/>
  <c r="W470" i="2"/>
  <c r="X470" i="2"/>
  <c r="U471" i="2"/>
  <c r="V471" i="2" s="1"/>
  <c r="W471" i="2"/>
  <c r="X471" i="2"/>
  <c r="W472" i="2"/>
  <c r="X472" i="2"/>
  <c r="U473" i="2"/>
  <c r="V473" i="2" s="1"/>
  <c r="W473" i="2"/>
  <c r="X473" i="2"/>
  <c r="U474" i="2"/>
  <c r="V474" i="2" s="1"/>
  <c r="W474" i="2"/>
  <c r="X474" i="2"/>
  <c r="U475" i="2"/>
  <c r="V475" i="2" s="1"/>
  <c r="W475" i="2"/>
  <c r="X475" i="2"/>
  <c r="U476" i="2"/>
  <c r="V476" i="2" s="1"/>
  <c r="W476" i="2"/>
  <c r="X476" i="2"/>
  <c r="W477" i="2"/>
  <c r="X477" i="2"/>
  <c r="U478" i="2"/>
  <c r="V478" i="2" s="1"/>
  <c r="W478" i="2"/>
  <c r="X478" i="2"/>
  <c r="W479" i="2"/>
  <c r="X479" i="2"/>
  <c r="U480" i="2"/>
  <c r="V480" i="2" s="1"/>
  <c r="W480" i="2"/>
  <c r="X480" i="2"/>
  <c r="U481" i="2"/>
  <c r="V481" i="2" s="1"/>
  <c r="W481" i="2"/>
  <c r="X481" i="2"/>
  <c r="W482" i="2"/>
  <c r="X482" i="2"/>
  <c r="W483" i="2"/>
  <c r="X483" i="2"/>
  <c r="U484" i="2"/>
  <c r="V484" i="2" s="1"/>
  <c r="W484" i="2"/>
  <c r="X484" i="2"/>
  <c r="U485" i="2"/>
  <c r="V485" i="2" s="1"/>
  <c r="W485" i="2"/>
  <c r="X485" i="2"/>
  <c r="U486" i="2"/>
  <c r="V486" i="2" s="1"/>
  <c r="W486" i="2"/>
  <c r="X486" i="2"/>
  <c r="U487" i="2"/>
  <c r="V487" i="2" s="1"/>
  <c r="W487" i="2"/>
  <c r="X487" i="2"/>
  <c r="U488" i="2"/>
  <c r="V488" i="2" s="1"/>
  <c r="W488" i="2"/>
  <c r="X488" i="2"/>
  <c r="U489" i="2"/>
  <c r="V489" i="2" s="1"/>
  <c r="W489" i="2"/>
  <c r="X489" i="2"/>
  <c r="W490" i="2"/>
  <c r="X490" i="2"/>
  <c r="W491" i="2"/>
  <c r="X491" i="2"/>
  <c r="U492" i="2"/>
  <c r="V492" i="2" s="1"/>
  <c r="W492" i="2"/>
  <c r="X492" i="2"/>
  <c r="W493" i="2"/>
  <c r="X493" i="2"/>
  <c r="U494" i="2"/>
  <c r="V494" i="2" s="1"/>
  <c r="W494" i="2"/>
  <c r="X494" i="2"/>
  <c r="U495" i="2"/>
  <c r="V495" i="2" s="1"/>
  <c r="W495" i="2"/>
  <c r="X495" i="2"/>
  <c r="U496" i="2"/>
  <c r="V496" i="2" s="1"/>
  <c r="W496" i="2"/>
  <c r="X496" i="2"/>
  <c r="U497" i="2"/>
  <c r="V497" i="2" s="1"/>
  <c r="W497" i="2"/>
  <c r="X497" i="2"/>
  <c r="U498" i="2"/>
  <c r="V498" i="2" s="1"/>
  <c r="W498" i="2"/>
  <c r="X498" i="2"/>
  <c r="U499" i="2"/>
  <c r="V499" i="2" s="1"/>
  <c r="W499" i="2"/>
  <c r="X499" i="2"/>
  <c r="U500" i="2"/>
  <c r="V500" i="2" s="1"/>
  <c r="W500" i="2"/>
  <c r="X500" i="2"/>
  <c r="U501" i="2"/>
  <c r="V501" i="2" s="1"/>
  <c r="W501" i="2"/>
  <c r="X501" i="2"/>
  <c r="U502" i="2"/>
  <c r="V502" i="2" s="1"/>
  <c r="W502" i="2"/>
  <c r="X502" i="2"/>
  <c r="U503" i="2"/>
  <c r="V503" i="2" s="1"/>
  <c r="W503" i="2"/>
  <c r="X503" i="2"/>
  <c r="U504" i="2"/>
  <c r="V504" i="2" s="1"/>
  <c r="W504" i="2"/>
  <c r="X504" i="2"/>
  <c r="W505" i="2"/>
  <c r="X505" i="2"/>
  <c r="U506" i="2"/>
  <c r="V506" i="2" s="1"/>
  <c r="W506" i="2"/>
  <c r="X506" i="2"/>
  <c r="U507" i="2"/>
  <c r="V507" i="2" s="1"/>
  <c r="W507" i="2"/>
  <c r="X507" i="2"/>
  <c r="U508" i="2"/>
  <c r="V508" i="2" s="1"/>
  <c r="W508" i="2"/>
  <c r="X508" i="2"/>
  <c r="W509" i="2"/>
  <c r="X509" i="2"/>
  <c r="U510" i="2"/>
  <c r="V510" i="2" s="1"/>
  <c r="W510" i="2"/>
  <c r="X510" i="2"/>
  <c r="U511" i="2"/>
  <c r="V511" i="2" s="1"/>
  <c r="W511" i="2"/>
  <c r="X511" i="2"/>
  <c r="U512" i="2"/>
  <c r="V512" i="2" s="1"/>
  <c r="W512" i="2"/>
  <c r="X512" i="2"/>
  <c r="U513" i="2"/>
  <c r="V513" i="2" s="1"/>
  <c r="W513" i="2"/>
  <c r="X513" i="2"/>
  <c r="Q3" i="1"/>
  <c r="R3" i="1" s="1"/>
  <c r="S3" i="1"/>
  <c r="T3" i="1"/>
  <c r="S4" i="1"/>
  <c r="T4" i="1"/>
  <c r="S5" i="1"/>
  <c r="T5" i="1"/>
  <c r="S6" i="1"/>
  <c r="T6" i="1"/>
  <c r="S7" i="1"/>
  <c r="T7" i="1"/>
  <c r="Q8" i="1"/>
  <c r="R8" i="1" s="1"/>
  <c r="S8" i="1"/>
  <c r="T8" i="1"/>
  <c r="S9" i="1"/>
  <c r="T9" i="1"/>
  <c r="S10" i="1"/>
  <c r="T10" i="1"/>
  <c r="S11" i="1"/>
  <c r="T11" i="1"/>
  <c r="S12" i="1"/>
  <c r="T12" i="1"/>
  <c r="S13" i="1"/>
  <c r="T13" i="1"/>
  <c r="S14" i="1"/>
  <c r="T14" i="1"/>
  <c r="S15" i="1"/>
  <c r="T15" i="1"/>
  <c r="S16" i="1"/>
  <c r="T16" i="1"/>
  <c r="S17" i="1"/>
  <c r="T17" i="1"/>
  <c r="Q18" i="1"/>
  <c r="R18" i="1" s="1"/>
  <c r="S18" i="1"/>
  <c r="T18" i="1"/>
  <c r="S19" i="1"/>
  <c r="T19" i="1"/>
  <c r="S20" i="1"/>
  <c r="T20" i="1"/>
  <c r="S21" i="1"/>
  <c r="T21" i="1"/>
  <c r="Q22" i="1"/>
  <c r="R22" i="1" s="1"/>
  <c r="S22" i="1"/>
  <c r="T22" i="1"/>
  <c r="S23" i="1"/>
  <c r="T23" i="1"/>
  <c r="S24" i="1"/>
  <c r="T24" i="1"/>
  <c r="Q25" i="1"/>
  <c r="R25" i="1" s="1"/>
  <c r="S25" i="1"/>
  <c r="T25" i="1"/>
  <c r="S26" i="1"/>
  <c r="T26" i="1"/>
  <c r="S27" i="1"/>
  <c r="T27" i="1"/>
  <c r="S28" i="1"/>
  <c r="T28" i="1"/>
  <c r="Q29" i="1"/>
  <c r="R29" i="1" s="1"/>
  <c r="S29" i="1"/>
  <c r="T29" i="1"/>
  <c r="S30" i="1"/>
  <c r="T30" i="1"/>
  <c r="S31" i="1"/>
  <c r="T31" i="1"/>
  <c r="S32" i="1"/>
  <c r="T32" i="1"/>
  <c r="S33" i="1"/>
  <c r="T33" i="1"/>
  <c r="S34" i="1"/>
  <c r="T34" i="1"/>
  <c r="S35" i="1"/>
  <c r="T35" i="1"/>
  <c r="Q36" i="1"/>
  <c r="R36" i="1" s="1"/>
  <c r="S36" i="1"/>
  <c r="T36" i="1"/>
  <c r="S37" i="1"/>
  <c r="T37" i="1"/>
  <c r="S38" i="1"/>
  <c r="T38" i="1"/>
  <c r="S39" i="1"/>
  <c r="T39" i="1"/>
  <c r="Q40" i="1"/>
  <c r="R40" i="1" s="1"/>
  <c r="S40" i="1"/>
  <c r="T40" i="1"/>
  <c r="Q41" i="1"/>
  <c r="R41" i="1" s="1"/>
  <c r="S41" i="1"/>
  <c r="T41" i="1"/>
  <c r="S42" i="1"/>
  <c r="T42" i="1"/>
  <c r="S43" i="1"/>
  <c r="T43" i="1"/>
  <c r="Q44" i="1"/>
  <c r="R44" i="1" s="1"/>
  <c r="S44" i="1"/>
  <c r="T44" i="1"/>
  <c r="S45" i="1"/>
  <c r="T45" i="1"/>
  <c r="Q46" i="1"/>
  <c r="R46" i="1" s="1"/>
  <c r="S46" i="1"/>
  <c r="T46" i="1"/>
  <c r="S47" i="1"/>
  <c r="T47" i="1"/>
  <c r="S48" i="1"/>
  <c r="T48" i="1"/>
  <c r="S49" i="1"/>
  <c r="T49" i="1"/>
  <c r="S50" i="1"/>
  <c r="T50" i="1"/>
  <c r="S51" i="1"/>
  <c r="T51" i="1"/>
  <c r="S52" i="1"/>
  <c r="T52" i="1"/>
  <c r="Q53" i="1"/>
  <c r="R53" i="1" s="1"/>
  <c r="S53" i="1"/>
  <c r="T53" i="1"/>
  <c r="S54" i="1"/>
  <c r="T54" i="1"/>
  <c r="S55" i="1"/>
  <c r="T55" i="1"/>
  <c r="S56" i="1"/>
  <c r="T56" i="1"/>
  <c r="S57" i="1"/>
  <c r="T57" i="1"/>
  <c r="Q58" i="1"/>
  <c r="R58" i="1" s="1"/>
  <c r="S58" i="1"/>
  <c r="T58" i="1"/>
  <c r="Q59" i="1"/>
  <c r="R59" i="1" s="1"/>
  <c r="S59" i="1"/>
  <c r="T59" i="1"/>
  <c r="S60" i="1"/>
  <c r="T60" i="1"/>
  <c r="S61" i="1"/>
  <c r="T61" i="1"/>
  <c r="Q62" i="1"/>
  <c r="R62" i="1" s="1"/>
  <c r="S62" i="1"/>
  <c r="T62" i="1"/>
  <c r="Q63" i="1"/>
  <c r="R63" i="1" s="1"/>
  <c r="S63" i="1"/>
  <c r="T63" i="1"/>
  <c r="Q64" i="1"/>
  <c r="R64" i="1" s="1"/>
  <c r="S64" i="1"/>
  <c r="T64" i="1"/>
  <c r="S65" i="1"/>
  <c r="T65" i="1"/>
  <c r="Q66" i="1"/>
  <c r="R66" i="1" s="1"/>
  <c r="S66" i="1"/>
  <c r="T66" i="1"/>
  <c r="Q67" i="1"/>
  <c r="R67" i="1" s="1"/>
  <c r="S67" i="1"/>
  <c r="T67" i="1"/>
  <c r="Q68" i="1"/>
  <c r="R68" i="1" s="1"/>
  <c r="S68" i="1"/>
  <c r="T68" i="1"/>
  <c r="Q69" i="1"/>
  <c r="R69" i="1" s="1"/>
  <c r="S69" i="1"/>
  <c r="T69" i="1"/>
  <c r="Q70" i="1"/>
  <c r="R70" i="1" s="1"/>
  <c r="S70" i="1"/>
  <c r="T70" i="1"/>
  <c r="S71" i="1"/>
  <c r="T71" i="1"/>
  <c r="Q72" i="1"/>
  <c r="R72" i="1" s="1"/>
  <c r="S72" i="1"/>
  <c r="T72" i="1"/>
  <c r="Q73" i="1"/>
  <c r="R73" i="1" s="1"/>
  <c r="S73" i="1"/>
  <c r="T73" i="1"/>
  <c r="S74" i="1"/>
  <c r="T74" i="1"/>
  <c r="S75" i="1"/>
  <c r="T75" i="1"/>
  <c r="Q76" i="1"/>
  <c r="R76" i="1" s="1"/>
  <c r="S76" i="1"/>
  <c r="T76" i="1"/>
  <c r="S77" i="1"/>
  <c r="T77" i="1"/>
  <c r="S78" i="1"/>
  <c r="T78" i="1"/>
  <c r="S79" i="1"/>
  <c r="T79" i="1"/>
  <c r="Q80" i="1"/>
  <c r="S80" i="1"/>
  <c r="T80" i="1"/>
  <c r="Q81" i="1"/>
  <c r="R81" i="1" s="1"/>
  <c r="S81" i="1"/>
  <c r="T81" i="1"/>
  <c r="S82" i="1"/>
  <c r="T82" i="1"/>
  <c r="Q83" i="1"/>
  <c r="R83" i="1" s="1"/>
  <c r="S83" i="1"/>
  <c r="T83" i="1"/>
  <c r="Q84" i="1"/>
  <c r="R84" i="1" s="1"/>
  <c r="S84" i="1"/>
  <c r="T84" i="1"/>
  <c r="S85" i="1"/>
  <c r="T85" i="1"/>
  <c r="Q86" i="1"/>
  <c r="R86" i="1" s="1"/>
  <c r="S86" i="1"/>
  <c r="T86" i="1"/>
  <c r="S87" i="1"/>
  <c r="T87" i="1"/>
  <c r="S88" i="1"/>
  <c r="T88" i="1"/>
  <c r="Q89" i="1"/>
  <c r="S89" i="1"/>
  <c r="T89" i="1"/>
  <c r="Q90" i="1"/>
  <c r="R90" i="1" s="1"/>
  <c r="S90" i="1"/>
  <c r="T90" i="1"/>
  <c r="Q91" i="1"/>
  <c r="R91" i="1" s="1"/>
  <c r="S91" i="1"/>
  <c r="T91" i="1"/>
  <c r="Q92" i="1"/>
  <c r="R92" i="1" s="1"/>
  <c r="S92" i="1"/>
  <c r="T92" i="1"/>
  <c r="Q93" i="1"/>
  <c r="R93" i="1" s="1"/>
  <c r="S93" i="1"/>
  <c r="T93" i="1"/>
  <c r="Q94" i="1"/>
  <c r="R94" i="1" s="1"/>
  <c r="S94" i="1"/>
  <c r="T94" i="1"/>
  <c r="S95" i="1"/>
  <c r="T95" i="1"/>
  <c r="Q96" i="1"/>
  <c r="R96" i="1" s="1"/>
  <c r="S96" i="1"/>
  <c r="T96" i="1"/>
  <c r="Q97" i="1"/>
  <c r="S97" i="1"/>
  <c r="T97" i="1"/>
  <c r="S98" i="1"/>
  <c r="T98" i="1"/>
  <c r="Q99" i="1"/>
  <c r="R99" i="1" s="1"/>
  <c r="S99" i="1"/>
  <c r="T99" i="1"/>
  <c r="Q100" i="1"/>
  <c r="R100" i="1" s="1"/>
  <c r="S100" i="1"/>
  <c r="T100" i="1"/>
  <c r="Q101" i="1"/>
  <c r="R101" i="1" s="1"/>
  <c r="S101" i="1"/>
  <c r="T101" i="1"/>
  <c r="Q102" i="1"/>
  <c r="R102" i="1" s="1"/>
  <c r="S102" i="1"/>
  <c r="T102" i="1"/>
  <c r="S103" i="1"/>
  <c r="T103" i="1"/>
  <c r="S104" i="1"/>
  <c r="T104" i="1"/>
  <c r="S105" i="1"/>
  <c r="T105" i="1"/>
  <c r="S106" i="1"/>
  <c r="T106" i="1"/>
  <c r="S107" i="1"/>
  <c r="T107" i="1"/>
  <c r="Q108" i="1"/>
  <c r="R108" i="1" s="1"/>
  <c r="S108" i="1"/>
  <c r="T108" i="1"/>
  <c r="S109" i="1"/>
  <c r="T109" i="1"/>
  <c r="Q110" i="1"/>
  <c r="R110" i="1" s="1"/>
  <c r="S110" i="1"/>
  <c r="T110" i="1"/>
  <c r="Q111" i="1"/>
  <c r="R111" i="1" s="1"/>
  <c r="S111" i="1"/>
  <c r="T111" i="1"/>
  <c r="Q112" i="1"/>
  <c r="R112" i="1" s="1"/>
  <c r="S112" i="1"/>
  <c r="T112" i="1"/>
  <c r="Q113" i="1"/>
  <c r="S113" i="1"/>
  <c r="T113" i="1"/>
  <c r="Q114" i="1"/>
  <c r="R114" i="1" s="1"/>
  <c r="S114" i="1"/>
  <c r="T114" i="1"/>
  <c r="S115" i="1"/>
  <c r="T115" i="1"/>
  <c r="S116" i="1"/>
  <c r="T116" i="1"/>
  <c r="Q117" i="1"/>
  <c r="R117" i="1" s="1"/>
  <c r="S117" i="1"/>
  <c r="T117" i="1"/>
  <c r="Q118" i="1"/>
  <c r="R118" i="1" s="1"/>
  <c r="S118" i="1"/>
  <c r="T118" i="1"/>
  <c r="Q119" i="1"/>
  <c r="R119" i="1" s="1"/>
  <c r="S119" i="1"/>
  <c r="T119" i="1"/>
  <c r="Q120" i="1"/>
  <c r="R120" i="1" s="1"/>
  <c r="S120" i="1"/>
  <c r="T120" i="1"/>
  <c r="S121" i="1"/>
  <c r="T121" i="1"/>
  <c r="S122" i="1"/>
  <c r="T122" i="1"/>
  <c r="Q123" i="1"/>
  <c r="R123" i="1" s="1"/>
  <c r="S123" i="1"/>
  <c r="T123" i="1"/>
  <c r="S124" i="1"/>
  <c r="T124" i="1"/>
  <c r="Q125" i="1"/>
  <c r="R125" i="1" s="1"/>
  <c r="S125" i="1"/>
  <c r="T125" i="1"/>
  <c r="Q126" i="1"/>
  <c r="R126" i="1" s="1"/>
  <c r="S126" i="1"/>
  <c r="T126" i="1"/>
  <c r="Q127" i="1"/>
  <c r="R127" i="1" s="1"/>
  <c r="S127" i="1"/>
  <c r="T127" i="1"/>
  <c r="Q128" i="1"/>
  <c r="R128" i="1" s="1"/>
  <c r="S128" i="1"/>
  <c r="T128" i="1"/>
  <c r="S129" i="1"/>
  <c r="T129" i="1"/>
  <c r="S130" i="1"/>
  <c r="T130" i="1"/>
  <c r="S131" i="1"/>
  <c r="T131" i="1"/>
  <c r="Q132" i="1"/>
  <c r="R132" i="1" s="1"/>
  <c r="S132" i="1"/>
  <c r="T132" i="1"/>
  <c r="S133" i="1"/>
  <c r="T133" i="1"/>
  <c r="S134" i="1"/>
  <c r="T134" i="1"/>
  <c r="Q135" i="1"/>
  <c r="R135" i="1" s="1"/>
  <c r="S135" i="1"/>
  <c r="T135" i="1"/>
  <c r="S136" i="1"/>
  <c r="T136" i="1"/>
  <c r="S137" i="1"/>
  <c r="T137" i="1"/>
  <c r="S138" i="1"/>
  <c r="T138" i="1"/>
  <c r="Q139" i="1"/>
  <c r="R139" i="1" s="1"/>
  <c r="S139" i="1"/>
  <c r="T139" i="1"/>
  <c r="Q140" i="1"/>
  <c r="R140" i="1" s="1"/>
  <c r="S140" i="1"/>
  <c r="T140" i="1"/>
  <c r="S141" i="1"/>
  <c r="T141" i="1"/>
  <c r="S142" i="1"/>
  <c r="T142" i="1"/>
  <c r="Q143" i="1"/>
  <c r="R143" i="1" s="1"/>
  <c r="S143" i="1"/>
  <c r="T143" i="1"/>
  <c r="S144" i="1"/>
  <c r="T144" i="1"/>
  <c r="S145" i="1"/>
  <c r="T145" i="1"/>
  <c r="Q146" i="1"/>
  <c r="R146" i="1" s="1"/>
  <c r="S146" i="1"/>
  <c r="T146" i="1"/>
  <c r="Q147" i="1"/>
  <c r="R147" i="1" s="1"/>
  <c r="S147" i="1"/>
  <c r="T147" i="1"/>
  <c r="S148" i="1"/>
  <c r="T148" i="1"/>
  <c r="S149" i="1"/>
  <c r="T149" i="1"/>
  <c r="Q150" i="1"/>
  <c r="R150" i="1" s="1"/>
  <c r="S150" i="1"/>
  <c r="T150" i="1"/>
  <c r="Q151" i="1"/>
  <c r="R151" i="1" s="1"/>
  <c r="S151" i="1"/>
  <c r="T151" i="1"/>
  <c r="Q152" i="1"/>
  <c r="R152" i="1" s="1"/>
  <c r="S152" i="1"/>
  <c r="T152" i="1"/>
  <c r="Q153" i="1"/>
  <c r="S153" i="1"/>
  <c r="T153" i="1"/>
  <c r="S154" i="1"/>
  <c r="T154" i="1"/>
  <c r="S155" i="1"/>
  <c r="T155" i="1"/>
  <c r="S156" i="1"/>
  <c r="T156" i="1"/>
  <c r="Q157" i="1"/>
  <c r="R157" i="1" s="1"/>
  <c r="S157" i="1"/>
  <c r="T157" i="1"/>
  <c r="Q158" i="1"/>
  <c r="R158" i="1" s="1"/>
  <c r="S158" i="1"/>
  <c r="T158" i="1"/>
  <c r="Q159" i="1"/>
  <c r="R159" i="1" s="1"/>
  <c r="S159" i="1"/>
  <c r="T159" i="1"/>
  <c r="Q160" i="1"/>
  <c r="R160" i="1" s="1"/>
  <c r="S160" i="1"/>
  <c r="T160" i="1"/>
  <c r="Q161" i="1"/>
  <c r="S161" i="1"/>
  <c r="T161" i="1"/>
  <c r="S162" i="1"/>
  <c r="T162" i="1"/>
  <c r="Q163" i="1"/>
  <c r="R163" i="1" s="1"/>
  <c r="S163" i="1"/>
  <c r="T163" i="1"/>
  <c r="Q164" i="1"/>
  <c r="R164" i="1" s="1"/>
  <c r="S164" i="1"/>
  <c r="T164" i="1"/>
  <c r="S165" i="1"/>
  <c r="T165" i="1"/>
  <c r="S166" i="1"/>
  <c r="T166" i="1"/>
  <c r="S167" i="1"/>
  <c r="T167" i="1"/>
  <c r="Q168" i="1"/>
  <c r="R168" i="1" s="1"/>
  <c r="S168" i="1"/>
  <c r="T168" i="1"/>
  <c r="Q169" i="1"/>
  <c r="S169" i="1"/>
  <c r="T169" i="1"/>
  <c r="Q170" i="1"/>
  <c r="R170" i="1" s="1"/>
  <c r="S170" i="1"/>
  <c r="T170" i="1"/>
  <c r="Q171" i="1"/>
  <c r="R171" i="1" s="1"/>
  <c r="S171" i="1"/>
  <c r="T171" i="1"/>
  <c r="S172" i="1"/>
  <c r="T172" i="1"/>
  <c r="Q173" i="1"/>
  <c r="R173" i="1" s="1"/>
  <c r="S173" i="1"/>
  <c r="T173" i="1"/>
  <c r="Q174" i="1"/>
  <c r="R174" i="1" s="1"/>
  <c r="S174" i="1"/>
  <c r="T174" i="1"/>
  <c r="Q175" i="1"/>
  <c r="R175" i="1" s="1"/>
  <c r="S175" i="1"/>
  <c r="T175" i="1"/>
  <c r="Q176" i="1"/>
  <c r="S176" i="1"/>
  <c r="T176" i="1"/>
  <c r="Q177" i="1"/>
  <c r="S177" i="1"/>
  <c r="T177" i="1"/>
  <c r="Q178" i="1"/>
  <c r="R178" i="1" s="1"/>
  <c r="S178" i="1"/>
  <c r="T178" i="1"/>
  <c r="Q179" i="1"/>
  <c r="R179" i="1" s="1"/>
  <c r="S179" i="1"/>
  <c r="T179" i="1"/>
  <c r="Q180" i="1"/>
  <c r="S180" i="1"/>
  <c r="T180" i="1"/>
  <c r="Q181" i="1"/>
  <c r="R181" i="1" s="1"/>
  <c r="S181" i="1"/>
  <c r="T181" i="1"/>
  <c r="Q182" i="1"/>
  <c r="R182" i="1" s="1"/>
  <c r="S182" i="1"/>
  <c r="T182" i="1"/>
  <c r="S183" i="1"/>
  <c r="T183" i="1"/>
  <c r="Q184" i="1"/>
  <c r="S184" i="1"/>
  <c r="T184" i="1"/>
  <c r="S185" i="1"/>
  <c r="T185" i="1"/>
  <c r="Q186" i="1"/>
  <c r="R186" i="1" s="1"/>
  <c r="S186" i="1"/>
  <c r="T186" i="1"/>
  <c r="S187" i="1"/>
  <c r="T187" i="1"/>
  <c r="Q188" i="1"/>
  <c r="S188" i="1"/>
  <c r="T188" i="1"/>
  <c r="Q189" i="1"/>
  <c r="R189" i="1" s="1"/>
  <c r="S189" i="1"/>
  <c r="T189" i="1"/>
  <c r="S190" i="1"/>
  <c r="T190" i="1"/>
  <c r="Q191" i="1"/>
  <c r="R191" i="1" s="1"/>
  <c r="S191" i="1"/>
  <c r="T191" i="1"/>
  <c r="S192" i="1"/>
  <c r="T192" i="1"/>
  <c r="S193" i="1"/>
  <c r="T193" i="1"/>
  <c r="Q194" i="1"/>
  <c r="R194" i="1" s="1"/>
  <c r="S194" i="1"/>
  <c r="T194" i="1"/>
  <c r="Q195" i="1"/>
  <c r="R195" i="1" s="1"/>
  <c r="S195" i="1"/>
  <c r="T195" i="1"/>
  <c r="Q196" i="1"/>
  <c r="S196" i="1"/>
  <c r="T196" i="1"/>
  <c r="Q197" i="1"/>
  <c r="R197" i="1" s="1"/>
  <c r="S197" i="1"/>
  <c r="T197" i="1"/>
  <c r="Q198" i="1"/>
  <c r="R198" i="1" s="1"/>
  <c r="S198" i="1"/>
  <c r="T198" i="1"/>
  <c r="Q199" i="1"/>
  <c r="R199" i="1" s="1"/>
  <c r="S199" i="1"/>
  <c r="T199" i="1"/>
  <c r="S200" i="1"/>
  <c r="T200" i="1"/>
  <c r="S201" i="1"/>
  <c r="T201" i="1"/>
  <c r="S202" i="1"/>
  <c r="T202" i="1"/>
  <c r="Q203" i="1"/>
  <c r="R203" i="1" s="1"/>
  <c r="S203" i="1"/>
  <c r="T203" i="1"/>
  <c r="Q204" i="1"/>
  <c r="S204" i="1"/>
  <c r="T204" i="1"/>
  <c r="Q205" i="1"/>
  <c r="R205" i="1" s="1"/>
  <c r="S205" i="1"/>
  <c r="T205" i="1"/>
  <c r="Q206" i="1"/>
  <c r="R206" i="1" s="1"/>
  <c r="S206" i="1"/>
  <c r="T206" i="1"/>
  <c r="Q207" i="1"/>
  <c r="R207" i="1" s="1"/>
  <c r="S207" i="1"/>
  <c r="T207" i="1"/>
  <c r="Q208" i="1"/>
  <c r="S208" i="1"/>
  <c r="T208" i="1"/>
  <c r="Q209" i="1"/>
  <c r="R209" i="1" s="1"/>
  <c r="S209" i="1"/>
  <c r="T209" i="1"/>
  <c r="Q210" i="1"/>
  <c r="R210" i="1" s="1"/>
  <c r="S210" i="1"/>
  <c r="T210" i="1"/>
  <c r="Q211" i="1"/>
  <c r="R211" i="1" s="1"/>
  <c r="S211" i="1"/>
  <c r="T211" i="1"/>
  <c r="S212" i="1"/>
  <c r="T212" i="1"/>
  <c r="S213" i="1"/>
  <c r="T213" i="1"/>
  <c r="S214" i="1"/>
  <c r="T214" i="1"/>
  <c r="Q215" i="1"/>
  <c r="R215" i="1" s="1"/>
  <c r="S215" i="1"/>
  <c r="T215" i="1"/>
  <c r="S216" i="1"/>
  <c r="T216" i="1"/>
  <c r="Q217" i="1"/>
  <c r="S217" i="1"/>
  <c r="T217" i="1"/>
  <c r="S218" i="1"/>
  <c r="T218" i="1"/>
  <c r="Q219" i="1"/>
  <c r="R219" i="1" s="1"/>
  <c r="S219" i="1"/>
  <c r="T219" i="1"/>
  <c r="S220" i="1"/>
  <c r="T220" i="1"/>
  <c r="Q221" i="1"/>
  <c r="R221" i="1" s="1"/>
  <c r="S221" i="1"/>
  <c r="T221" i="1"/>
  <c r="Q222" i="1"/>
  <c r="R222" i="1" s="1"/>
  <c r="S222" i="1"/>
  <c r="T222" i="1"/>
  <c r="Q223" i="1"/>
  <c r="R223" i="1" s="1"/>
  <c r="S223" i="1"/>
  <c r="T223" i="1"/>
  <c r="Q224" i="1"/>
  <c r="R224" i="1" s="1"/>
  <c r="S224" i="1"/>
  <c r="T224" i="1"/>
  <c r="Q225" i="1"/>
  <c r="R225" i="1" s="1"/>
  <c r="S225" i="1"/>
  <c r="T225" i="1"/>
  <c r="Q226" i="1"/>
  <c r="R226" i="1" s="1"/>
  <c r="S226" i="1"/>
  <c r="T226" i="1"/>
  <c r="Q227" i="1"/>
  <c r="R227" i="1" s="1"/>
  <c r="S227" i="1"/>
  <c r="T227" i="1"/>
  <c r="S228" i="1"/>
  <c r="T228" i="1"/>
  <c r="Q229" i="1"/>
  <c r="R229" i="1" s="1"/>
  <c r="S229" i="1"/>
  <c r="T229" i="1"/>
  <c r="Q230" i="1"/>
  <c r="R230" i="1" s="1"/>
  <c r="S230" i="1"/>
  <c r="T230" i="1"/>
  <c r="S231" i="1"/>
  <c r="T231" i="1"/>
  <c r="Q232" i="1"/>
  <c r="R232" i="1" s="1"/>
  <c r="S232" i="1"/>
  <c r="T232" i="1"/>
  <c r="S233" i="1"/>
  <c r="T233" i="1"/>
  <c r="Q234" i="1"/>
  <c r="R234" i="1" s="1"/>
  <c r="S234" i="1"/>
  <c r="T234" i="1"/>
  <c r="Q235" i="1"/>
  <c r="R235" i="1" s="1"/>
  <c r="S235" i="1"/>
  <c r="T235" i="1"/>
  <c r="Q236" i="1"/>
  <c r="R236" i="1" s="1"/>
  <c r="S236" i="1"/>
  <c r="T236" i="1"/>
  <c r="Q237" i="1"/>
  <c r="R237" i="1" s="1"/>
  <c r="S237" i="1"/>
  <c r="T237" i="1"/>
  <c r="Q238" i="1"/>
  <c r="R238" i="1" s="1"/>
  <c r="S238" i="1"/>
  <c r="T238" i="1"/>
  <c r="Q239" i="1"/>
  <c r="R239" i="1" s="1"/>
  <c r="S239" i="1"/>
  <c r="T239" i="1"/>
  <c r="S240" i="1"/>
  <c r="T240" i="1"/>
  <c r="Q241" i="1"/>
  <c r="R241" i="1" s="1"/>
  <c r="S241" i="1"/>
  <c r="T241" i="1"/>
  <c r="Q242" i="1"/>
  <c r="R242" i="1" s="1"/>
  <c r="S242" i="1"/>
  <c r="T242" i="1"/>
  <c r="S243" i="1"/>
  <c r="T243" i="1"/>
  <c r="Q244" i="1"/>
  <c r="R244" i="1" s="1"/>
  <c r="S244" i="1"/>
  <c r="T244" i="1"/>
  <c r="S245" i="1"/>
  <c r="T245" i="1"/>
  <c r="S246" i="1"/>
  <c r="T246" i="1"/>
  <c r="Q247" i="1"/>
  <c r="R247" i="1" s="1"/>
  <c r="S247" i="1"/>
  <c r="T247" i="1"/>
  <c r="S248" i="1"/>
  <c r="T248" i="1"/>
  <c r="Q249" i="1"/>
  <c r="R249" i="1" s="1"/>
  <c r="S249" i="1"/>
  <c r="T249" i="1"/>
  <c r="S250" i="1"/>
  <c r="T250" i="1"/>
  <c r="Q251" i="1"/>
  <c r="R251" i="1" s="1"/>
  <c r="S251" i="1"/>
  <c r="T251" i="1"/>
  <c r="Q252" i="1"/>
  <c r="R252" i="1" s="1"/>
  <c r="S252" i="1"/>
  <c r="T252" i="1"/>
  <c r="Q253" i="1"/>
  <c r="R253" i="1" s="1"/>
  <c r="S253" i="1"/>
  <c r="T253" i="1"/>
  <c r="Q254" i="1"/>
  <c r="R254" i="1" s="1"/>
  <c r="S254" i="1"/>
  <c r="T254" i="1"/>
  <c r="Q255" i="1"/>
  <c r="R255" i="1" s="1"/>
  <c r="S255" i="1"/>
  <c r="T255" i="1"/>
  <c r="Q256" i="1"/>
  <c r="R256" i="1" s="1"/>
  <c r="S256" i="1"/>
  <c r="T256" i="1"/>
  <c r="Q257" i="1"/>
  <c r="R257" i="1" s="1"/>
  <c r="S257" i="1"/>
  <c r="T257" i="1"/>
  <c r="Q258" i="1"/>
  <c r="R258" i="1" s="1"/>
  <c r="S258" i="1"/>
  <c r="T258" i="1"/>
  <c r="Q259" i="1"/>
  <c r="R259" i="1" s="1"/>
  <c r="S259" i="1"/>
  <c r="T259" i="1"/>
  <c r="Q260" i="1"/>
  <c r="R260" i="1" s="1"/>
  <c r="S260" i="1"/>
  <c r="T260" i="1"/>
  <c r="Q261" i="1"/>
  <c r="R261" i="1" s="1"/>
  <c r="S261" i="1"/>
  <c r="T261" i="1"/>
  <c r="Q262" i="1"/>
  <c r="R262" i="1" s="1"/>
  <c r="S262" i="1"/>
  <c r="T262" i="1"/>
  <c r="Q263" i="1"/>
  <c r="R263" i="1" s="1"/>
  <c r="S263" i="1"/>
  <c r="T263" i="1"/>
  <c r="Q264" i="1"/>
  <c r="R264" i="1" s="1"/>
  <c r="S264" i="1"/>
  <c r="T264" i="1"/>
  <c r="Q265" i="1"/>
  <c r="S265" i="1"/>
  <c r="T265" i="1"/>
  <c r="Q266" i="1"/>
  <c r="R266" i="1" s="1"/>
  <c r="S266" i="1"/>
  <c r="T266" i="1"/>
  <c r="Q267" i="1"/>
  <c r="R267" i="1" s="1"/>
  <c r="S267" i="1"/>
  <c r="T267" i="1"/>
  <c r="Q268" i="1"/>
  <c r="R268" i="1" s="1"/>
  <c r="S268" i="1"/>
  <c r="T268" i="1"/>
  <c r="Q269" i="1"/>
  <c r="R269" i="1" s="1"/>
  <c r="S269" i="1"/>
  <c r="T269" i="1"/>
  <c r="Q270" i="1"/>
  <c r="R270" i="1" s="1"/>
  <c r="S270" i="1"/>
  <c r="T270" i="1"/>
  <c r="Q271" i="1"/>
  <c r="R271" i="1" s="1"/>
  <c r="S271" i="1"/>
  <c r="T271" i="1"/>
  <c r="Q272" i="1"/>
  <c r="R272" i="1" s="1"/>
  <c r="S272" i="1"/>
  <c r="T272" i="1"/>
  <c r="Q273" i="1"/>
  <c r="R273" i="1" s="1"/>
  <c r="S273" i="1"/>
  <c r="T273" i="1"/>
  <c r="Q274" i="1"/>
  <c r="R274" i="1" s="1"/>
  <c r="S274" i="1"/>
  <c r="T274" i="1"/>
  <c r="S275" i="1"/>
  <c r="T275" i="1"/>
  <c r="Q276" i="1"/>
  <c r="R276" i="1" s="1"/>
  <c r="S276" i="1"/>
  <c r="T276" i="1"/>
  <c r="Q277" i="1"/>
  <c r="R277" i="1" s="1"/>
  <c r="S277" i="1"/>
  <c r="T277" i="1"/>
  <c r="Q278" i="1"/>
  <c r="R278" i="1" s="1"/>
  <c r="S278" i="1"/>
  <c r="T278" i="1"/>
  <c r="S279" i="1"/>
  <c r="T279" i="1"/>
  <c r="Q280" i="1"/>
  <c r="R280" i="1" s="1"/>
  <c r="S280" i="1"/>
  <c r="T280" i="1"/>
  <c r="Q281" i="1"/>
  <c r="R281" i="1" s="1"/>
  <c r="S281" i="1"/>
  <c r="T281" i="1"/>
  <c r="Q282" i="1"/>
  <c r="R282" i="1" s="1"/>
  <c r="S282" i="1"/>
  <c r="T282" i="1"/>
  <c r="Q283" i="1"/>
  <c r="R283" i="1" s="1"/>
  <c r="S283" i="1"/>
  <c r="T283" i="1"/>
  <c r="Q284" i="1"/>
  <c r="R284" i="1" s="1"/>
  <c r="S284" i="1"/>
  <c r="T284" i="1"/>
  <c r="Q285" i="1"/>
  <c r="R285" i="1" s="1"/>
  <c r="S285" i="1"/>
  <c r="T285" i="1"/>
  <c r="Q286" i="1"/>
  <c r="R286" i="1" s="1"/>
  <c r="S286" i="1"/>
  <c r="T286" i="1"/>
  <c r="Q287" i="1"/>
  <c r="R287" i="1" s="1"/>
  <c r="S287" i="1"/>
  <c r="T287" i="1"/>
  <c r="Q288" i="1"/>
  <c r="R288" i="1" s="1"/>
  <c r="S288" i="1"/>
  <c r="T288" i="1"/>
  <c r="Q289" i="1"/>
  <c r="R289" i="1" s="1"/>
  <c r="S289" i="1"/>
  <c r="T289" i="1"/>
  <c r="Q290" i="1"/>
  <c r="R290" i="1" s="1"/>
  <c r="S290" i="1"/>
  <c r="T290" i="1"/>
  <c r="Q291" i="1"/>
  <c r="R291" i="1" s="1"/>
  <c r="S291" i="1"/>
  <c r="T291" i="1"/>
  <c r="Q292" i="1"/>
  <c r="R292" i="1" s="1"/>
  <c r="S292" i="1"/>
  <c r="T292" i="1"/>
  <c r="Q293" i="1"/>
  <c r="R293" i="1" s="1"/>
  <c r="S293" i="1"/>
  <c r="T293" i="1"/>
  <c r="Q294" i="1"/>
  <c r="R294" i="1" s="1"/>
  <c r="S294" i="1"/>
  <c r="T294" i="1"/>
  <c r="Q295" i="1"/>
  <c r="R295" i="1" s="1"/>
  <c r="S295" i="1"/>
  <c r="T295" i="1"/>
  <c r="Q296" i="1"/>
  <c r="R296" i="1" s="1"/>
  <c r="S296" i="1"/>
  <c r="T296" i="1"/>
  <c r="Q297" i="1"/>
  <c r="R297" i="1" s="1"/>
  <c r="S297" i="1"/>
  <c r="T297" i="1"/>
  <c r="Q298" i="1"/>
  <c r="R298" i="1" s="1"/>
  <c r="S298" i="1"/>
  <c r="T298" i="1"/>
  <c r="Q299" i="1"/>
  <c r="R299" i="1" s="1"/>
  <c r="S299" i="1"/>
  <c r="T299" i="1"/>
  <c r="Q300" i="1"/>
  <c r="R300" i="1" s="1"/>
  <c r="S300" i="1"/>
  <c r="T300" i="1"/>
  <c r="Q301" i="1"/>
  <c r="R301" i="1" s="1"/>
  <c r="S301" i="1"/>
  <c r="T301" i="1"/>
  <c r="Q302" i="1"/>
  <c r="R302" i="1" s="1"/>
  <c r="S302" i="1"/>
  <c r="T302" i="1"/>
  <c r="Q303" i="1"/>
  <c r="R303" i="1" s="1"/>
  <c r="S303" i="1"/>
  <c r="T303" i="1"/>
  <c r="S304" i="1"/>
  <c r="T304" i="1"/>
  <c r="Q305" i="1"/>
  <c r="R305" i="1" s="1"/>
  <c r="S305" i="1"/>
  <c r="T305" i="1"/>
  <c r="S306" i="1"/>
  <c r="T306" i="1"/>
  <c r="Q307" i="1"/>
  <c r="R307" i="1" s="1"/>
  <c r="S307" i="1"/>
  <c r="T307" i="1"/>
  <c r="Q308" i="1"/>
  <c r="R308" i="1" s="1"/>
  <c r="S308" i="1"/>
  <c r="T308" i="1"/>
  <c r="Q309" i="1"/>
  <c r="R309" i="1" s="1"/>
  <c r="S309" i="1"/>
  <c r="T309" i="1"/>
  <c r="Q310" i="1"/>
  <c r="R310" i="1" s="1"/>
  <c r="S310" i="1"/>
  <c r="T310" i="1"/>
  <c r="Q311" i="1"/>
  <c r="R311" i="1" s="1"/>
  <c r="S311" i="1"/>
  <c r="T311" i="1"/>
  <c r="Q312" i="1"/>
  <c r="R312" i="1" s="1"/>
  <c r="S312" i="1"/>
  <c r="T312" i="1"/>
  <c r="S313" i="1"/>
  <c r="T313" i="1"/>
  <c r="S314" i="1"/>
  <c r="T314" i="1"/>
  <c r="Q315" i="1"/>
  <c r="R315" i="1" s="1"/>
  <c r="S315" i="1"/>
  <c r="T315" i="1"/>
  <c r="Q316" i="1"/>
  <c r="R316" i="1" s="1"/>
  <c r="S316" i="1"/>
  <c r="T316" i="1"/>
  <c r="Q317" i="1"/>
  <c r="R317" i="1" s="1"/>
  <c r="S317" i="1"/>
  <c r="T317" i="1"/>
  <c r="Q318" i="1"/>
  <c r="R318" i="1" s="1"/>
  <c r="S318" i="1"/>
  <c r="T318" i="1"/>
  <c r="Q319" i="1"/>
  <c r="R319" i="1" s="1"/>
  <c r="S319" i="1"/>
  <c r="T319" i="1"/>
  <c r="S320" i="1"/>
  <c r="T320" i="1"/>
  <c r="Q321" i="1"/>
  <c r="R321" i="1" s="1"/>
  <c r="S321" i="1"/>
  <c r="T321" i="1"/>
  <c r="Q322" i="1"/>
  <c r="R322" i="1" s="1"/>
  <c r="S322" i="1"/>
  <c r="T322" i="1"/>
  <c r="Q323" i="1"/>
  <c r="R323" i="1" s="1"/>
  <c r="S323" i="1"/>
  <c r="T323" i="1"/>
  <c r="S324" i="1"/>
  <c r="T324" i="1"/>
  <c r="Q325" i="1"/>
  <c r="R325" i="1" s="1"/>
  <c r="S325" i="1"/>
  <c r="T325" i="1"/>
  <c r="Q326" i="1"/>
  <c r="R326" i="1" s="1"/>
  <c r="S326" i="1"/>
  <c r="T326" i="1"/>
  <c r="Q327" i="1"/>
  <c r="R327" i="1" s="1"/>
  <c r="S327" i="1"/>
  <c r="T327" i="1"/>
  <c r="Q328" i="1"/>
  <c r="R328" i="1" s="1"/>
  <c r="S328" i="1"/>
  <c r="T328" i="1"/>
  <c r="Q329" i="1"/>
  <c r="R329" i="1" s="1"/>
  <c r="S329" i="1"/>
  <c r="T329" i="1"/>
  <c r="S330" i="1"/>
  <c r="T330" i="1"/>
  <c r="Q331" i="1"/>
  <c r="R331" i="1" s="1"/>
  <c r="S331" i="1"/>
  <c r="T331" i="1"/>
  <c r="Q332" i="1"/>
  <c r="R332" i="1" s="1"/>
  <c r="S332" i="1"/>
  <c r="T332" i="1"/>
  <c r="Q333" i="1"/>
  <c r="R333" i="1" s="1"/>
  <c r="S333" i="1"/>
  <c r="T333" i="1"/>
  <c r="Q334" i="1"/>
  <c r="R334" i="1" s="1"/>
  <c r="S334" i="1"/>
  <c r="T334" i="1"/>
  <c r="Q335" i="1"/>
  <c r="R335" i="1" s="1"/>
  <c r="S335" i="1"/>
  <c r="T335" i="1"/>
  <c r="Q336" i="1"/>
  <c r="R336" i="1" s="1"/>
  <c r="S336" i="1"/>
  <c r="T336" i="1"/>
  <c r="Q337" i="1"/>
  <c r="R337" i="1" s="1"/>
  <c r="S337" i="1"/>
  <c r="T337" i="1"/>
  <c r="Q338" i="1"/>
  <c r="R338" i="1" s="1"/>
  <c r="S338" i="1"/>
  <c r="T338" i="1"/>
  <c r="Q339" i="1"/>
  <c r="R339" i="1" s="1"/>
  <c r="S339" i="1"/>
  <c r="T339" i="1"/>
  <c r="Q340" i="1"/>
  <c r="R340" i="1" s="1"/>
  <c r="S340" i="1"/>
  <c r="T340" i="1"/>
  <c r="Q341" i="1"/>
  <c r="R341" i="1" s="1"/>
  <c r="S341" i="1"/>
  <c r="T341" i="1"/>
  <c r="Q342" i="1"/>
  <c r="R342" i="1" s="1"/>
  <c r="S342" i="1"/>
  <c r="T342" i="1"/>
  <c r="Q343" i="1"/>
  <c r="R343" i="1" s="1"/>
  <c r="S343" i="1"/>
  <c r="T343" i="1"/>
  <c r="Q344" i="1"/>
  <c r="R344" i="1" s="1"/>
  <c r="S344" i="1"/>
  <c r="T344" i="1"/>
  <c r="Q345" i="1"/>
  <c r="R345" i="1" s="1"/>
  <c r="S345" i="1"/>
  <c r="T345" i="1"/>
  <c r="S346" i="1"/>
  <c r="T346" i="1"/>
  <c r="Q347" i="1"/>
  <c r="R347" i="1" s="1"/>
  <c r="S347" i="1"/>
  <c r="T347" i="1"/>
  <c r="Q348" i="1"/>
  <c r="R348" i="1" s="1"/>
  <c r="S348" i="1"/>
  <c r="T348" i="1"/>
  <c r="Q349" i="1"/>
  <c r="R349" i="1" s="1"/>
  <c r="S349" i="1"/>
  <c r="T349" i="1"/>
  <c r="Q350" i="1"/>
  <c r="R350" i="1" s="1"/>
  <c r="S350" i="1"/>
  <c r="T350" i="1"/>
  <c r="Q351" i="1"/>
  <c r="R351" i="1" s="1"/>
  <c r="S351" i="1"/>
  <c r="T351" i="1"/>
  <c r="Q352" i="1"/>
  <c r="R352" i="1" s="1"/>
  <c r="S352" i="1"/>
  <c r="T352" i="1"/>
  <c r="Q353" i="1"/>
  <c r="R353" i="1" s="1"/>
  <c r="S353" i="1"/>
  <c r="T353" i="1"/>
  <c r="Q354" i="1"/>
  <c r="R354" i="1" s="1"/>
  <c r="S354" i="1"/>
  <c r="T354" i="1"/>
  <c r="Q355" i="1"/>
  <c r="R355" i="1" s="1"/>
  <c r="S355" i="1"/>
  <c r="T355" i="1"/>
  <c r="Q356" i="1"/>
  <c r="R356" i="1" s="1"/>
  <c r="S356" i="1"/>
  <c r="T356" i="1"/>
  <c r="Q357" i="1"/>
  <c r="R357" i="1" s="1"/>
  <c r="S357" i="1"/>
  <c r="T357" i="1"/>
  <c r="Q358" i="1"/>
  <c r="R358" i="1" s="1"/>
  <c r="S358" i="1"/>
  <c r="T358" i="1"/>
  <c r="Q359" i="1"/>
  <c r="R359" i="1" s="1"/>
  <c r="S359" i="1"/>
  <c r="T359" i="1"/>
  <c r="Q360" i="1"/>
  <c r="R360" i="1" s="1"/>
  <c r="S360" i="1"/>
  <c r="T360" i="1"/>
  <c r="Q361" i="1"/>
  <c r="R361" i="1" s="1"/>
  <c r="S361" i="1"/>
  <c r="T361" i="1"/>
  <c r="Q362" i="1"/>
  <c r="R362" i="1" s="1"/>
  <c r="S362" i="1"/>
  <c r="T362" i="1"/>
  <c r="Q363" i="1"/>
  <c r="R363" i="1" s="1"/>
  <c r="S363" i="1"/>
  <c r="T363" i="1"/>
  <c r="Q364" i="1"/>
  <c r="R364" i="1" s="1"/>
  <c r="S364" i="1"/>
  <c r="T364" i="1"/>
  <c r="Q365" i="1"/>
  <c r="R365" i="1" s="1"/>
  <c r="S365" i="1"/>
  <c r="T365" i="1"/>
  <c r="Q366" i="1"/>
  <c r="R366" i="1" s="1"/>
  <c r="S366" i="1"/>
  <c r="T366" i="1"/>
  <c r="Q367" i="1"/>
  <c r="R367" i="1" s="1"/>
  <c r="S367" i="1"/>
  <c r="T367" i="1"/>
  <c r="Q368" i="1"/>
  <c r="R368" i="1" s="1"/>
  <c r="S368" i="1"/>
  <c r="T368" i="1"/>
  <c r="S369" i="1"/>
  <c r="T369" i="1"/>
  <c r="Q370" i="1"/>
  <c r="R370" i="1" s="1"/>
  <c r="S370" i="1"/>
  <c r="T370" i="1"/>
  <c r="Q371" i="1"/>
  <c r="R371" i="1" s="1"/>
  <c r="S371" i="1"/>
  <c r="T371" i="1"/>
  <c r="Q372" i="1"/>
  <c r="R372" i="1" s="1"/>
  <c r="S372" i="1"/>
  <c r="T372" i="1"/>
  <c r="Q373" i="1"/>
  <c r="R373" i="1" s="1"/>
  <c r="S373" i="1"/>
  <c r="T373" i="1"/>
  <c r="Q374" i="1"/>
  <c r="R374" i="1" s="1"/>
  <c r="S374" i="1"/>
  <c r="T374" i="1"/>
  <c r="Q375" i="1"/>
  <c r="R375" i="1" s="1"/>
  <c r="S375" i="1"/>
  <c r="T375" i="1"/>
  <c r="Q376" i="1"/>
  <c r="R376" i="1" s="1"/>
  <c r="S376" i="1"/>
  <c r="T376" i="1"/>
  <c r="Q377" i="1"/>
  <c r="R377" i="1" s="1"/>
  <c r="S377" i="1"/>
  <c r="T377" i="1"/>
  <c r="S378" i="1"/>
  <c r="T378" i="1"/>
  <c r="S379" i="1"/>
  <c r="T379" i="1"/>
  <c r="S380" i="1"/>
  <c r="T380" i="1"/>
  <c r="Q381" i="1"/>
  <c r="R381" i="1" s="1"/>
  <c r="S381" i="1"/>
  <c r="T381" i="1"/>
  <c r="Q382" i="1"/>
  <c r="R382" i="1" s="1"/>
  <c r="S382" i="1"/>
  <c r="T382" i="1"/>
  <c r="Q383" i="1"/>
  <c r="R383" i="1" s="1"/>
  <c r="S383" i="1"/>
  <c r="T383" i="1"/>
  <c r="S384" i="1"/>
  <c r="T384" i="1"/>
  <c r="Q385" i="1"/>
  <c r="R385" i="1" s="1"/>
  <c r="S385" i="1"/>
  <c r="T385" i="1"/>
  <c r="Q386" i="1"/>
  <c r="R386" i="1" s="1"/>
  <c r="S386" i="1"/>
  <c r="T386" i="1"/>
  <c r="S387" i="1"/>
  <c r="T387" i="1"/>
  <c r="Q388" i="1"/>
  <c r="R388" i="1" s="1"/>
  <c r="S388" i="1"/>
  <c r="T388" i="1"/>
  <c r="Q389" i="1"/>
  <c r="R389" i="1" s="1"/>
  <c r="S389" i="1"/>
  <c r="T389" i="1"/>
  <c r="Q390" i="1"/>
  <c r="R390" i="1" s="1"/>
  <c r="S390" i="1"/>
  <c r="T390" i="1"/>
  <c r="S391" i="1"/>
  <c r="T391" i="1"/>
  <c r="S392" i="1"/>
  <c r="T392" i="1"/>
  <c r="Q393" i="1"/>
  <c r="R393" i="1" s="1"/>
  <c r="S393" i="1"/>
  <c r="T393" i="1"/>
  <c r="Q394" i="1"/>
  <c r="R394" i="1" s="1"/>
  <c r="S394" i="1"/>
  <c r="T394" i="1"/>
  <c r="Q395" i="1"/>
  <c r="R395" i="1" s="1"/>
  <c r="S395" i="1"/>
  <c r="T395" i="1"/>
  <c r="Q396" i="1"/>
  <c r="R396" i="1" s="1"/>
  <c r="S396" i="1"/>
  <c r="T396" i="1"/>
  <c r="Q397" i="1"/>
  <c r="R397" i="1" s="1"/>
  <c r="S397" i="1"/>
  <c r="T397" i="1"/>
  <c r="Q398" i="1"/>
  <c r="R398" i="1" s="1"/>
  <c r="S398" i="1"/>
  <c r="T398" i="1"/>
  <c r="Q399" i="1"/>
  <c r="R399" i="1" s="1"/>
  <c r="S399" i="1"/>
  <c r="T399" i="1"/>
  <c r="Q400" i="1"/>
  <c r="R400" i="1" s="1"/>
  <c r="S400" i="1"/>
  <c r="T400" i="1"/>
  <c r="Q401" i="1"/>
  <c r="R401" i="1" s="1"/>
  <c r="S401" i="1"/>
  <c r="T401" i="1"/>
  <c r="S402" i="1"/>
  <c r="T402" i="1"/>
  <c r="Q403" i="1"/>
  <c r="R403" i="1" s="1"/>
  <c r="S403" i="1"/>
  <c r="T403" i="1"/>
  <c r="Q404" i="1"/>
  <c r="R404" i="1" s="1"/>
  <c r="S404" i="1"/>
  <c r="T404" i="1"/>
  <c r="Q405" i="1"/>
  <c r="R405" i="1" s="1"/>
  <c r="S405" i="1"/>
  <c r="T405" i="1"/>
  <c r="S406" i="1"/>
  <c r="T406" i="1"/>
  <c r="Q407" i="1"/>
  <c r="R407" i="1" s="1"/>
  <c r="S407" i="1"/>
  <c r="T407" i="1"/>
  <c r="Q408" i="1"/>
  <c r="R408" i="1" s="1"/>
  <c r="S408" i="1"/>
  <c r="T408" i="1"/>
  <c r="Q409" i="1"/>
  <c r="R409" i="1" s="1"/>
  <c r="S409" i="1"/>
  <c r="T409" i="1"/>
  <c r="Q410" i="1"/>
  <c r="R410" i="1" s="1"/>
  <c r="S410" i="1"/>
  <c r="T410" i="1"/>
  <c r="Q411" i="1"/>
  <c r="R411" i="1" s="1"/>
  <c r="S411" i="1"/>
  <c r="T411" i="1"/>
  <c r="Q412" i="1"/>
  <c r="R412" i="1" s="1"/>
  <c r="S412" i="1"/>
  <c r="T412" i="1"/>
  <c r="Q413" i="1"/>
  <c r="R413" i="1" s="1"/>
  <c r="S413" i="1"/>
  <c r="T413" i="1"/>
  <c r="Q414" i="1"/>
  <c r="R414" i="1" s="1"/>
  <c r="S414" i="1"/>
  <c r="T414" i="1"/>
  <c r="Q415" i="1"/>
  <c r="R415" i="1" s="1"/>
  <c r="S415" i="1"/>
  <c r="T415" i="1"/>
  <c r="Q416" i="1"/>
  <c r="R416" i="1" s="1"/>
  <c r="S416" i="1"/>
  <c r="T416" i="1"/>
  <c r="Q417" i="1"/>
  <c r="R417" i="1" s="1"/>
  <c r="S417" i="1"/>
  <c r="T417" i="1"/>
  <c r="Q418" i="1"/>
  <c r="R418" i="1" s="1"/>
  <c r="S418" i="1"/>
  <c r="T418" i="1"/>
  <c r="Q419" i="1"/>
  <c r="R419" i="1" s="1"/>
  <c r="S419" i="1"/>
  <c r="T419" i="1"/>
  <c r="Q420" i="1"/>
  <c r="R420" i="1" s="1"/>
  <c r="S420" i="1"/>
  <c r="T420" i="1"/>
  <c r="Q421" i="1"/>
  <c r="R421" i="1" s="1"/>
  <c r="S421" i="1"/>
  <c r="T421" i="1"/>
  <c r="Q422" i="1"/>
  <c r="R422" i="1" s="1"/>
  <c r="S422" i="1"/>
  <c r="T422" i="1"/>
  <c r="Q423" i="1"/>
  <c r="R423" i="1" s="1"/>
  <c r="S423" i="1"/>
  <c r="T423" i="1"/>
  <c r="Q424" i="1"/>
  <c r="R424" i="1" s="1"/>
  <c r="S424" i="1"/>
  <c r="T424" i="1"/>
  <c r="Q425" i="1"/>
  <c r="R425" i="1" s="1"/>
  <c r="S425" i="1"/>
  <c r="T425" i="1"/>
  <c r="Q426" i="1"/>
  <c r="R426" i="1" s="1"/>
  <c r="S426" i="1"/>
  <c r="T426" i="1"/>
  <c r="Q427" i="1"/>
  <c r="R427" i="1" s="1"/>
  <c r="S427" i="1"/>
  <c r="T427" i="1"/>
  <c r="Q428" i="1"/>
  <c r="R428" i="1" s="1"/>
  <c r="S428" i="1"/>
  <c r="T428" i="1"/>
  <c r="Q429" i="1"/>
  <c r="R429" i="1" s="1"/>
  <c r="S429" i="1"/>
  <c r="T429" i="1"/>
  <c r="Q430" i="1"/>
  <c r="R430" i="1" s="1"/>
  <c r="S430" i="1"/>
  <c r="T430" i="1"/>
  <c r="Q431" i="1"/>
  <c r="R431" i="1" s="1"/>
  <c r="S431" i="1"/>
  <c r="T431" i="1"/>
  <c r="Q432" i="1"/>
  <c r="R432" i="1" s="1"/>
  <c r="S432" i="1"/>
  <c r="T432" i="1"/>
  <c r="Q433" i="1"/>
  <c r="R433" i="1" s="1"/>
  <c r="S433" i="1"/>
  <c r="T433" i="1"/>
  <c r="Q434" i="1"/>
  <c r="R434" i="1" s="1"/>
  <c r="S434" i="1"/>
  <c r="T434" i="1"/>
  <c r="Q435" i="1"/>
  <c r="R435" i="1" s="1"/>
  <c r="S435" i="1"/>
  <c r="T435" i="1"/>
  <c r="Q436" i="1"/>
  <c r="R436" i="1" s="1"/>
  <c r="S436" i="1"/>
  <c r="T436" i="1"/>
  <c r="Q437" i="1"/>
  <c r="R437" i="1" s="1"/>
  <c r="S437" i="1"/>
  <c r="T437" i="1"/>
  <c r="Q438" i="1"/>
  <c r="R438" i="1" s="1"/>
  <c r="S438" i="1"/>
  <c r="T438" i="1"/>
  <c r="S439" i="1"/>
  <c r="T439" i="1"/>
  <c r="Q440" i="1"/>
  <c r="R440" i="1" s="1"/>
  <c r="S440" i="1"/>
  <c r="T440" i="1"/>
  <c r="Q441" i="1"/>
  <c r="R441" i="1" s="1"/>
  <c r="S441" i="1"/>
  <c r="T441" i="1"/>
  <c r="Q442" i="1"/>
  <c r="R442" i="1" s="1"/>
  <c r="S442" i="1"/>
  <c r="T442" i="1"/>
  <c r="Q443" i="1"/>
  <c r="R443" i="1" s="1"/>
  <c r="S443" i="1"/>
  <c r="T443" i="1"/>
  <c r="Q444" i="1"/>
  <c r="R444" i="1" s="1"/>
  <c r="S444" i="1"/>
  <c r="T444" i="1"/>
  <c r="Q445" i="1"/>
  <c r="R445" i="1" s="1"/>
  <c r="S445" i="1"/>
  <c r="T445" i="1"/>
  <c r="S446" i="1"/>
  <c r="T446" i="1"/>
  <c r="S447" i="1"/>
  <c r="T447" i="1"/>
  <c r="Q448" i="1"/>
  <c r="R448" i="1" s="1"/>
  <c r="S448" i="1"/>
  <c r="T448" i="1"/>
  <c r="S449" i="1"/>
  <c r="T449" i="1"/>
  <c r="Q450" i="1"/>
  <c r="R450" i="1" s="1"/>
  <c r="S450" i="1"/>
  <c r="T450" i="1"/>
  <c r="Q451" i="1"/>
  <c r="S451" i="1"/>
  <c r="T451" i="1"/>
  <c r="Q452" i="1"/>
  <c r="S452" i="1"/>
  <c r="T452" i="1"/>
  <c r="S453" i="1"/>
  <c r="T453" i="1"/>
  <c r="Q454" i="1"/>
  <c r="R454" i="1" s="1"/>
  <c r="S454" i="1"/>
  <c r="T454" i="1"/>
  <c r="Q455" i="1"/>
  <c r="S455" i="1"/>
  <c r="T455" i="1"/>
  <c r="Q456" i="1"/>
  <c r="R456" i="1" s="1"/>
  <c r="S456" i="1"/>
  <c r="T456" i="1"/>
  <c r="Q457" i="1"/>
  <c r="R457" i="1" s="1"/>
  <c r="S457" i="1"/>
  <c r="T457" i="1"/>
  <c r="Q458" i="1"/>
  <c r="R458" i="1" s="1"/>
  <c r="S458" i="1"/>
  <c r="T458" i="1"/>
  <c r="Q459" i="1"/>
  <c r="S459" i="1"/>
  <c r="T459" i="1"/>
  <c r="Q460" i="1"/>
  <c r="S460" i="1"/>
  <c r="T460" i="1"/>
  <c r="Q461" i="1"/>
  <c r="R461" i="1" s="1"/>
  <c r="S461" i="1"/>
  <c r="T461" i="1"/>
  <c r="Q462" i="1"/>
  <c r="R462" i="1" s="1"/>
  <c r="S462" i="1"/>
  <c r="T462" i="1"/>
  <c r="Q463" i="1"/>
  <c r="R463" i="1" s="1"/>
  <c r="S463" i="1"/>
  <c r="T463" i="1"/>
  <c r="Q464" i="1"/>
  <c r="R464" i="1" s="1"/>
  <c r="S464" i="1"/>
  <c r="T464" i="1"/>
  <c r="Q465" i="1"/>
  <c r="R465" i="1" s="1"/>
  <c r="S465" i="1"/>
  <c r="T465" i="1"/>
  <c r="Q466" i="1"/>
  <c r="R466" i="1" s="1"/>
  <c r="S466" i="1"/>
  <c r="T466" i="1"/>
  <c r="Q467" i="1"/>
  <c r="S467" i="1"/>
  <c r="T467" i="1"/>
  <c r="Q468" i="1"/>
  <c r="S468" i="1"/>
  <c r="T468" i="1"/>
  <c r="Q469" i="1"/>
  <c r="R469" i="1" s="1"/>
  <c r="S469" i="1"/>
  <c r="T469" i="1"/>
  <c r="Q470" i="1"/>
  <c r="R470" i="1" s="1"/>
  <c r="S470" i="1"/>
  <c r="T470" i="1"/>
  <c r="Q471" i="1"/>
  <c r="R471" i="1" s="1"/>
  <c r="S471" i="1"/>
  <c r="T471" i="1"/>
  <c r="S472" i="1"/>
  <c r="T472" i="1"/>
  <c r="Q473" i="1"/>
  <c r="R473" i="1" s="1"/>
  <c r="S473" i="1"/>
  <c r="T473" i="1"/>
  <c r="S474" i="1"/>
  <c r="T474" i="1"/>
  <c r="Q475" i="1"/>
  <c r="R475" i="1" s="1"/>
  <c r="S475" i="1"/>
  <c r="T475" i="1"/>
  <c r="Q476" i="1"/>
  <c r="R476" i="1" s="1"/>
  <c r="S476" i="1"/>
  <c r="T476" i="1"/>
  <c r="Q477" i="1"/>
  <c r="R477" i="1" s="1"/>
  <c r="S477" i="1"/>
  <c r="T477" i="1"/>
  <c r="Q478" i="1"/>
  <c r="R478" i="1" s="1"/>
  <c r="S478" i="1"/>
  <c r="T478" i="1"/>
  <c r="Q479" i="1"/>
  <c r="R479" i="1" s="1"/>
  <c r="S479" i="1"/>
  <c r="T479" i="1"/>
  <c r="Q480" i="1"/>
  <c r="R480" i="1" s="1"/>
  <c r="S480" i="1"/>
  <c r="T480" i="1"/>
  <c r="Q481" i="1"/>
  <c r="R481" i="1" s="1"/>
  <c r="S481" i="1"/>
  <c r="T481" i="1"/>
  <c r="Q482" i="1"/>
  <c r="R482" i="1" s="1"/>
  <c r="S482" i="1"/>
  <c r="T482" i="1"/>
  <c r="Q483" i="1"/>
  <c r="R483" i="1" s="1"/>
  <c r="S483" i="1"/>
  <c r="T483" i="1"/>
  <c r="Q484" i="1"/>
  <c r="R484" i="1" s="1"/>
  <c r="S484" i="1"/>
  <c r="T484" i="1"/>
  <c r="Q485" i="1"/>
  <c r="R485" i="1" s="1"/>
  <c r="S485" i="1"/>
  <c r="T485" i="1"/>
  <c r="Q486" i="1"/>
  <c r="R486" i="1" s="1"/>
  <c r="S486" i="1"/>
  <c r="T486" i="1"/>
  <c r="S487" i="1"/>
  <c r="T487" i="1"/>
  <c r="Q488" i="1"/>
  <c r="R488" i="1" s="1"/>
  <c r="S488" i="1"/>
  <c r="T488" i="1"/>
  <c r="Q489" i="1"/>
  <c r="R489" i="1" s="1"/>
  <c r="S489" i="1"/>
  <c r="T489" i="1"/>
  <c r="Q490" i="1"/>
  <c r="R490" i="1" s="1"/>
  <c r="S490" i="1"/>
  <c r="T490" i="1"/>
  <c r="Q491" i="1"/>
  <c r="R491" i="1" s="1"/>
  <c r="S491" i="1"/>
  <c r="T491" i="1"/>
  <c r="S492" i="1"/>
  <c r="T492" i="1"/>
  <c r="Q493" i="1"/>
  <c r="R493" i="1" s="1"/>
  <c r="S493" i="1"/>
  <c r="T493" i="1"/>
  <c r="Q494" i="1"/>
  <c r="R494" i="1" s="1"/>
  <c r="S494" i="1"/>
  <c r="T494" i="1"/>
  <c r="Q495" i="1"/>
  <c r="R495" i="1" s="1"/>
  <c r="S495" i="1"/>
  <c r="T495" i="1"/>
  <c r="Q496" i="1"/>
  <c r="R496" i="1" s="1"/>
  <c r="S496" i="1"/>
  <c r="T496" i="1"/>
  <c r="Q497" i="1"/>
  <c r="R497" i="1" s="1"/>
  <c r="S497" i="1"/>
  <c r="T497" i="1"/>
  <c r="S498" i="1"/>
  <c r="T498" i="1"/>
  <c r="Q499" i="1"/>
  <c r="R499" i="1" s="1"/>
  <c r="S499" i="1"/>
  <c r="T499" i="1"/>
  <c r="Q500" i="1"/>
  <c r="R500" i="1" s="1"/>
  <c r="S500" i="1"/>
  <c r="T500" i="1"/>
  <c r="Q501" i="1"/>
  <c r="R501" i="1" s="1"/>
  <c r="S501" i="1"/>
  <c r="T501" i="1"/>
  <c r="Q502" i="1"/>
  <c r="R502" i="1" s="1"/>
  <c r="S502" i="1"/>
  <c r="T502" i="1"/>
  <c r="Q503" i="1"/>
  <c r="R503" i="1" s="1"/>
  <c r="S503" i="1"/>
  <c r="T503" i="1"/>
  <c r="Q504" i="1"/>
  <c r="R504" i="1" s="1"/>
  <c r="S504" i="1"/>
  <c r="T504" i="1"/>
  <c r="Q505" i="1"/>
  <c r="R505" i="1" s="1"/>
  <c r="S505" i="1"/>
  <c r="T505" i="1"/>
  <c r="Q506" i="1"/>
  <c r="R506" i="1" s="1"/>
  <c r="S506" i="1"/>
  <c r="T506" i="1"/>
  <c r="Q507" i="1"/>
  <c r="R507" i="1" s="1"/>
  <c r="S507" i="1"/>
  <c r="T507" i="1"/>
  <c r="Q508" i="1"/>
  <c r="R508" i="1" s="1"/>
  <c r="S508" i="1"/>
  <c r="T508" i="1"/>
  <c r="M494" i="6" l="1"/>
  <c r="R494" i="6"/>
  <c r="N493" i="6"/>
  <c r="O493" i="6" s="1"/>
  <c r="M486" i="6"/>
  <c r="R486" i="6"/>
  <c r="N485" i="6"/>
  <c r="O485" i="6" s="1"/>
  <c r="P485" i="6"/>
  <c r="N482" i="6"/>
  <c r="P482" i="6" s="1"/>
  <c r="O472" i="6"/>
  <c r="N472" i="6"/>
  <c r="P472" i="6"/>
  <c r="N466" i="6"/>
  <c r="O466" i="6" s="1"/>
  <c r="P456" i="6"/>
  <c r="N456" i="6"/>
  <c r="O456" i="6" s="1"/>
  <c r="N450" i="6"/>
  <c r="P450" i="6"/>
  <c r="O450" i="6"/>
  <c r="N440" i="6"/>
  <c r="O440" i="6" s="1"/>
  <c r="P434" i="6"/>
  <c r="N434" i="6"/>
  <c r="O434" i="6"/>
  <c r="O492" i="6"/>
  <c r="N478" i="6"/>
  <c r="O478" i="6" s="1"/>
  <c r="O468" i="6"/>
  <c r="P468" i="6"/>
  <c r="N468" i="6"/>
  <c r="N462" i="6"/>
  <c r="P462" i="6" s="1"/>
  <c r="P452" i="6"/>
  <c r="N452" i="6"/>
  <c r="O452" i="6" s="1"/>
  <c r="N446" i="6"/>
  <c r="O446" i="6" s="1"/>
  <c r="O436" i="6"/>
  <c r="N436" i="6"/>
  <c r="P436" i="6"/>
  <c r="N501" i="6"/>
  <c r="O501" i="6"/>
  <c r="P501" i="6"/>
  <c r="O496" i="6"/>
  <c r="P496" i="6"/>
  <c r="O488" i="6"/>
  <c r="P488" i="6"/>
  <c r="O476" i="6"/>
  <c r="P476" i="6"/>
  <c r="N476" i="6"/>
  <c r="P470" i="6"/>
  <c r="N470" i="6"/>
  <c r="O470" i="6" s="1"/>
  <c r="N460" i="6"/>
  <c r="P460" i="6" s="1"/>
  <c r="N454" i="6"/>
  <c r="O454" i="6"/>
  <c r="P454" i="6"/>
  <c r="N444" i="6"/>
  <c r="O444" i="6" s="1"/>
  <c r="P444" i="6"/>
  <c r="N438" i="6"/>
  <c r="O438" i="6"/>
  <c r="P438" i="6"/>
  <c r="N500" i="6"/>
  <c r="O500" i="6" s="1"/>
  <c r="M498" i="6"/>
  <c r="R498" i="6"/>
  <c r="N497" i="6"/>
  <c r="O497" i="6"/>
  <c r="P497" i="6"/>
  <c r="N492" i="6"/>
  <c r="P492" i="6" s="1"/>
  <c r="M490" i="6"/>
  <c r="R490" i="6"/>
  <c r="N489" i="6"/>
  <c r="O489" i="6" s="1"/>
  <c r="P489" i="6"/>
  <c r="P487" i="6"/>
  <c r="N484" i="6"/>
  <c r="O484" i="6" s="1"/>
  <c r="N480" i="6"/>
  <c r="O480" i="6" s="1"/>
  <c r="N474" i="6"/>
  <c r="P474" i="6"/>
  <c r="O474" i="6"/>
  <c r="N464" i="6"/>
  <c r="O464" i="6" s="1"/>
  <c r="P463" i="6"/>
  <c r="P458" i="6"/>
  <c r="N458" i="6"/>
  <c r="O458" i="6"/>
  <c r="O448" i="6"/>
  <c r="N448" i="6"/>
  <c r="P448" i="6" s="1"/>
  <c r="N442" i="6"/>
  <c r="O442" i="6" s="1"/>
  <c r="N428" i="6"/>
  <c r="O428" i="6" s="1"/>
  <c r="N423" i="6"/>
  <c r="O423" i="6"/>
  <c r="P423" i="6"/>
  <c r="N415" i="6"/>
  <c r="O415" i="6" s="1"/>
  <c r="P415" i="6"/>
  <c r="O409" i="6"/>
  <c r="P409" i="6"/>
  <c r="N409" i="6"/>
  <c r="N403" i="6"/>
  <c r="O403" i="6" s="1"/>
  <c r="N395" i="6"/>
  <c r="R395" i="6" s="1"/>
  <c r="R394" i="6"/>
  <c r="O394" i="6"/>
  <c r="N387" i="6"/>
  <c r="R387" i="6" s="1"/>
  <c r="P387" i="6"/>
  <c r="N379" i="6"/>
  <c r="R379" i="6" s="1"/>
  <c r="P379" i="6"/>
  <c r="R378" i="6"/>
  <c r="O378" i="6"/>
  <c r="N371" i="6"/>
  <c r="R371" i="6" s="1"/>
  <c r="R370" i="6"/>
  <c r="O370" i="6"/>
  <c r="N363" i="6"/>
  <c r="R363" i="6" s="1"/>
  <c r="P363" i="6"/>
  <c r="R362" i="6"/>
  <c r="O362" i="6"/>
  <c r="N355" i="6"/>
  <c r="R355" i="6" s="1"/>
  <c r="R354" i="6"/>
  <c r="O354" i="6"/>
  <c r="N350" i="6"/>
  <c r="O350" i="6" s="1"/>
  <c r="P350" i="6"/>
  <c r="N499" i="6"/>
  <c r="O499" i="6" s="1"/>
  <c r="N495" i="6"/>
  <c r="O495" i="6" s="1"/>
  <c r="N491" i="6"/>
  <c r="O491" i="6" s="1"/>
  <c r="N487" i="6"/>
  <c r="O487" i="6" s="1"/>
  <c r="N483" i="6"/>
  <c r="O483" i="6" s="1"/>
  <c r="P481" i="6"/>
  <c r="N479" i="6"/>
  <c r="O479" i="6" s="1"/>
  <c r="P477" i="6"/>
  <c r="N475" i="6"/>
  <c r="O475" i="6" s="1"/>
  <c r="P473" i="6"/>
  <c r="N471" i="6"/>
  <c r="O471" i="6" s="1"/>
  <c r="P469" i="6"/>
  <c r="N467" i="6"/>
  <c r="O467" i="6" s="1"/>
  <c r="P465" i="6"/>
  <c r="N463" i="6"/>
  <c r="O463" i="6" s="1"/>
  <c r="P461" i="6"/>
  <c r="N459" i="6"/>
  <c r="O459" i="6" s="1"/>
  <c r="P457" i="6"/>
  <c r="N455" i="6"/>
  <c r="O455" i="6" s="1"/>
  <c r="P453" i="6"/>
  <c r="N451" i="6"/>
  <c r="O451" i="6" s="1"/>
  <c r="P449" i="6"/>
  <c r="N447" i="6"/>
  <c r="O447" i="6" s="1"/>
  <c r="P445" i="6"/>
  <c r="N443" i="6"/>
  <c r="O443" i="6" s="1"/>
  <c r="P441" i="6"/>
  <c r="N439" i="6"/>
  <c r="O439" i="6" s="1"/>
  <c r="P437" i="6"/>
  <c r="N435" i="6"/>
  <c r="O435" i="6" s="1"/>
  <c r="P433" i="6"/>
  <c r="O432" i="6"/>
  <c r="R428" i="6"/>
  <c r="O421" i="6"/>
  <c r="N421" i="6"/>
  <c r="P421" i="6" s="1"/>
  <c r="O413" i="6"/>
  <c r="N413" i="6"/>
  <c r="P413" i="6" s="1"/>
  <c r="O401" i="6"/>
  <c r="N401" i="6"/>
  <c r="P401" i="6" s="1"/>
  <c r="O393" i="6"/>
  <c r="N393" i="6"/>
  <c r="P393" i="6" s="1"/>
  <c r="O385" i="6"/>
  <c r="N385" i="6"/>
  <c r="P385" i="6" s="1"/>
  <c r="O377" i="6"/>
  <c r="N377" i="6"/>
  <c r="P377" i="6" s="1"/>
  <c r="O369" i="6"/>
  <c r="N369" i="6"/>
  <c r="P369" i="6" s="1"/>
  <c r="O361" i="6"/>
  <c r="N361" i="6"/>
  <c r="P361" i="6" s="1"/>
  <c r="O353" i="6"/>
  <c r="N353" i="6"/>
  <c r="P353" i="6" s="1"/>
  <c r="R482" i="6"/>
  <c r="O481" i="6"/>
  <c r="R478" i="6"/>
  <c r="O477" i="6"/>
  <c r="R474" i="6"/>
  <c r="O473" i="6"/>
  <c r="R470" i="6"/>
  <c r="O469" i="6"/>
  <c r="R466" i="6"/>
  <c r="O465" i="6"/>
  <c r="R462" i="6"/>
  <c r="O461" i="6"/>
  <c r="R458" i="6"/>
  <c r="O457" i="6"/>
  <c r="R454" i="6"/>
  <c r="O453" i="6"/>
  <c r="R450" i="6"/>
  <c r="O449" i="6"/>
  <c r="R446" i="6"/>
  <c r="O445" i="6"/>
  <c r="R442" i="6"/>
  <c r="O441" i="6"/>
  <c r="R438" i="6"/>
  <c r="O437" i="6"/>
  <c r="R434" i="6"/>
  <c r="O433" i="6"/>
  <c r="O431" i="6"/>
  <c r="N419" i="6"/>
  <c r="O419" i="6" s="1"/>
  <c r="P419" i="6"/>
  <c r="N407" i="6"/>
  <c r="P407" i="6" s="1"/>
  <c r="O407" i="6"/>
  <c r="O405" i="6"/>
  <c r="N405" i="6"/>
  <c r="P405" i="6" s="1"/>
  <c r="R400" i="6"/>
  <c r="N399" i="6"/>
  <c r="R399" i="6" s="1"/>
  <c r="O399" i="6"/>
  <c r="R398" i="6"/>
  <c r="O398" i="6"/>
  <c r="R392" i="6"/>
  <c r="N391" i="6"/>
  <c r="R391" i="6" s="1"/>
  <c r="O391" i="6"/>
  <c r="P391" i="6"/>
  <c r="R390" i="6"/>
  <c r="O390" i="6"/>
  <c r="R384" i="6"/>
  <c r="N383" i="6"/>
  <c r="R383" i="6" s="1"/>
  <c r="O383" i="6"/>
  <c r="R382" i="6"/>
  <c r="O382" i="6"/>
  <c r="R376" i="6"/>
  <c r="N375" i="6"/>
  <c r="R375" i="6" s="1"/>
  <c r="O375" i="6"/>
  <c r="P375" i="6"/>
  <c r="R374" i="6"/>
  <c r="O374" i="6"/>
  <c r="R368" i="6"/>
  <c r="N367" i="6"/>
  <c r="R367" i="6" s="1"/>
  <c r="O367" i="6"/>
  <c r="R366" i="6"/>
  <c r="O366" i="6"/>
  <c r="R360" i="6"/>
  <c r="N359" i="6"/>
  <c r="R359" i="6" s="1"/>
  <c r="O359" i="6"/>
  <c r="P359" i="6"/>
  <c r="R358" i="6"/>
  <c r="O358" i="6"/>
  <c r="R352" i="6"/>
  <c r="R433" i="6"/>
  <c r="R432" i="6"/>
  <c r="N430" i="6"/>
  <c r="O430" i="6" s="1"/>
  <c r="O429" i="6"/>
  <c r="N427" i="6"/>
  <c r="O427" i="6" s="1"/>
  <c r="N425" i="6"/>
  <c r="P425" i="6" s="1"/>
  <c r="N417" i="6"/>
  <c r="O417" i="6" s="1"/>
  <c r="N411" i="6"/>
  <c r="O411" i="6" s="1"/>
  <c r="P411" i="6"/>
  <c r="O397" i="6"/>
  <c r="P397" i="6"/>
  <c r="N397" i="6"/>
  <c r="P396" i="6"/>
  <c r="O389" i="6"/>
  <c r="P389" i="6"/>
  <c r="N389" i="6"/>
  <c r="P388" i="6"/>
  <c r="P381" i="6"/>
  <c r="N381" i="6"/>
  <c r="O381" i="6" s="1"/>
  <c r="P380" i="6"/>
  <c r="P373" i="6"/>
  <c r="N373" i="6"/>
  <c r="O373" i="6" s="1"/>
  <c r="P372" i="6"/>
  <c r="P365" i="6"/>
  <c r="N365" i="6"/>
  <c r="O365" i="6" s="1"/>
  <c r="P364" i="6"/>
  <c r="P357" i="6"/>
  <c r="N357" i="6"/>
  <c r="O357" i="6" s="1"/>
  <c r="P356" i="6"/>
  <c r="R425" i="6"/>
  <c r="R421" i="6"/>
  <c r="R417" i="6"/>
  <c r="R413" i="6"/>
  <c r="R409" i="6"/>
  <c r="O408" i="6"/>
  <c r="M406" i="6"/>
  <c r="R405" i="6"/>
  <c r="R401" i="6"/>
  <c r="R397" i="6"/>
  <c r="R393" i="6"/>
  <c r="R389" i="6"/>
  <c r="R385" i="6"/>
  <c r="R381" i="6"/>
  <c r="R377" i="6"/>
  <c r="R373" i="6"/>
  <c r="R369" i="6"/>
  <c r="R365" i="6"/>
  <c r="R361" i="6"/>
  <c r="R357" i="6"/>
  <c r="R353" i="6"/>
  <c r="N349" i="6"/>
  <c r="R349" i="6" s="1"/>
  <c r="N341" i="6"/>
  <c r="O341" i="6" s="1"/>
  <c r="N333" i="6"/>
  <c r="O333" i="6" s="1"/>
  <c r="N325" i="6"/>
  <c r="O325" i="6" s="1"/>
  <c r="N317" i="6"/>
  <c r="R317" i="6" s="1"/>
  <c r="N309" i="6"/>
  <c r="O309" i="6" s="1"/>
  <c r="N301" i="6"/>
  <c r="O301" i="6" s="1"/>
  <c r="M294" i="6"/>
  <c r="N293" i="6"/>
  <c r="O293" i="6" s="1"/>
  <c r="P293" i="6"/>
  <c r="M286" i="6"/>
  <c r="N285" i="6"/>
  <c r="P285" i="6" s="1"/>
  <c r="O285" i="6"/>
  <c r="M278" i="6"/>
  <c r="N277" i="6"/>
  <c r="O277" i="6" s="1"/>
  <c r="M270" i="6"/>
  <c r="N269" i="6"/>
  <c r="O269" i="6"/>
  <c r="P269" i="6"/>
  <c r="M262" i="6"/>
  <c r="N261" i="6"/>
  <c r="O261" i="6" s="1"/>
  <c r="P261" i="6"/>
  <c r="M254" i="6"/>
  <c r="N253" i="6"/>
  <c r="P253" i="6" s="1"/>
  <c r="O253" i="6"/>
  <c r="R230" i="6"/>
  <c r="O230" i="6"/>
  <c r="N228" i="6"/>
  <c r="O228" i="6" s="1"/>
  <c r="O189" i="6"/>
  <c r="P426" i="6"/>
  <c r="N424" i="6"/>
  <c r="O424" i="6" s="1"/>
  <c r="P422" i="6"/>
  <c r="N420" i="6"/>
  <c r="O420" i="6" s="1"/>
  <c r="P418" i="6"/>
  <c r="N416" i="6"/>
  <c r="O416" i="6" s="1"/>
  <c r="P414" i="6"/>
  <c r="N412" i="6"/>
  <c r="O412" i="6" s="1"/>
  <c r="P410" i="6"/>
  <c r="N408" i="6"/>
  <c r="P408" i="6" s="1"/>
  <c r="N404" i="6"/>
  <c r="P404" i="6" s="1"/>
  <c r="P402" i="6"/>
  <c r="N400" i="6"/>
  <c r="O400" i="6" s="1"/>
  <c r="P398" i="6"/>
  <c r="N396" i="6"/>
  <c r="R396" i="6" s="1"/>
  <c r="P394" i="6"/>
  <c r="N392" i="6"/>
  <c r="O392" i="6" s="1"/>
  <c r="P390" i="6"/>
  <c r="N388" i="6"/>
  <c r="R388" i="6" s="1"/>
  <c r="P386" i="6"/>
  <c r="N384" i="6"/>
  <c r="O384" i="6" s="1"/>
  <c r="P382" i="6"/>
  <c r="N380" i="6"/>
  <c r="R380" i="6" s="1"/>
  <c r="P378" i="6"/>
  <c r="N376" i="6"/>
  <c r="O376" i="6" s="1"/>
  <c r="P374" i="6"/>
  <c r="N372" i="6"/>
  <c r="R372" i="6" s="1"/>
  <c r="P370" i="6"/>
  <c r="N368" i="6"/>
  <c r="O368" i="6" s="1"/>
  <c r="P366" i="6"/>
  <c r="N364" i="6"/>
  <c r="R364" i="6" s="1"/>
  <c r="P362" i="6"/>
  <c r="N360" i="6"/>
  <c r="O360" i="6" s="1"/>
  <c r="P358" i="6"/>
  <c r="N356" i="6"/>
  <c r="R356" i="6" s="1"/>
  <c r="P354" i="6"/>
  <c r="N352" i="6"/>
  <c r="O352" i="6" s="1"/>
  <c r="M346" i="6"/>
  <c r="O344" i="6"/>
  <c r="P344" i="6"/>
  <c r="R343" i="6"/>
  <c r="P343" i="6"/>
  <c r="M338" i="6"/>
  <c r="O336" i="6"/>
  <c r="P336" i="6"/>
  <c r="R335" i="6"/>
  <c r="P335" i="6"/>
  <c r="M330" i="6"/>
  <c r="O328" i="6"/>
  <c r="P328" i="6"/>
  <c r="R327" i="6"/>
  <c r="P327" i="6"/>
  <c r="M322" i="6"/>
  <c r="O320" i="6"/>
  <c r="P320" i="6"/>
  <c r="R319" i="6"/>
  <c r="P319" i="6"/>
  <c r="M314" i="6"/>
  <c r="O312" i="6"/>
  <c r="P312" i="6"/>
  <c r="R311" i="6"/>
  <c r="P311" i="6"/>
  <c r="R309" i="6"/>
  <c r="M306" i="6"/>
  <c r="O304" i="6"/>
  <c r="P304" i="6"/>
  <c r="R303" i="6"/>
  <c r="P303" i="6"/>
  <c r="M298" i="6"/>
  <c r="O296" i="6"/>
  <c r="P291" i="6"/>
  <c r="N291" i="6"/>
  <c r="O288" i="6"/>
  <c r="R285" i="6"/>
  <c r="P283" i="6"/>
  <c r="N283" i="6"/>
  <c r="O280" i="6"/>
  <c r="P275" i="6"/>
  <c r="N275" i="6"/>
  <c r="O272" i="6"/>
  <c r="R269" i="6"/>
  <c r="P267" i="6"/>
  <c r="N267" i="6"/>
  <c r="O264" i="6"/>
  <c r="P259" i="6"/>
  <c r="N259" i="6"/>
  <c r="O256" i="6"/>
  <c r="R253" i="6"/>
  <c r="P251" i="6"/>
  <c r="N251" i="6"/>
  <c r="R222" i="6"/>
  <c r="O222" i="6"/>
  <c r="N220" i="6"/>
  <c r="P220" i="6" s="1"/>
  <c r="O220" i="6"/>
  <c r="R423" i="6"/>
  <c r="R419" i="6"/>
  <c r="R415" i="6"/>
  <c r="R350" i="6"/>
  <c r="N345" i="6"/>
  <c r="O345" i="6" s="1"/>
  <c r="N337" i="6"/>
  <c r="P337" i="6" s="1"/>
  <c r="N329" i="6"/>
  <c r="O329" i="6" s="1"/>
  <c r="N321" i="6"/>
  <c r="P321" i="6" s="1"/>
  <c r="N313" i="6"/>
  <c r="P313" i="6" s="1"/>
  <c r="N305" i="6"/>
  <c r="P305" i="6" s="1"/>
  <c r="N297" i="6"/>
  <c r="O297" i="6" s="1"/>
  <c r="M290" i="6"/>
  <c r="N289" i="6"/>
  <c r="O289" i="6" s="1"/>
  <c r="M282" i="6"/>
  <c r="N281" i="6"/>
  <c r="P281" i="6" s="1"/>
  <c r="O281" i="6"/>
  <c r="M274" i="6"/>
  <c r="N273" i="6"/>
  <c r="O273" i="6" s="1"/>
  <c r="P273" i="6"/>
  <c r="M266" i="6"/>
  <c r="N265" i="6"/>
  <c r="O265" i="6"/>
  <c r="P265" i="6"/>
  <c r="M258" i="6"/>
  <c r="N257" i="6"/>
  <c r="O257" i="6" s="1"/>
  <c r="N250" i="6"/>
  <c r="P250" i="6" s="1"/>
  <c r="O250" i="6"/>
  <c r="P246" i="6"/>
  <c r="R246" i="6"/>
  <c r="O246" i="6"/>
  <c r="N244" i="6"/>
  <c r="O244" i="6" s="1"/>
  <c r="R214" i="6"/>
  <c r="O214" i="6"/>
  <c r="N212" i="6"/>
  <c r="O212" i="6" s="1"/>
  <c r="P212" i="6"/>
  <c r="P349" i="6"/>
  <c r="O348" i="6"/>
  <c r="P348" i="6"/>
  <c r="P347" i="6"/>
  <c r="M342" i="6"/>
  <c r="O340" i="6"/>
  <c r="P340" i="6"/>
  <c r="P339" i="6"/>
  <c r="M334" i="6"/>
  <c r="P333" i="6"/>
  <c r="O332" i="6"/>
  <c r="P332" i="6"/>
  <c r="P331" i="6"/>
  <c r="R329" i="6"/>
  <c r="M326" i="6"/>
  <c r="O324" i="6"/>
  <c r="P324" i="6"/>
  <c r="P323" i="6"/>
  <c r="R321" i="6"/>
  <c r="M318" i="6"/>
  <c r="P317" i="6"/>
  <c r="O316" i="6"/>
  <c r="P316" i="6"/>
  <c r="P315" i="6"/>
  <c r="M310" i="6"/>
  <c r="O308" i="6"/>
  <c r="P308" i="6"/>
  <c r="P307" i="6"/>
  <c r="M302" i="6"/>
  <c r="P301" i="6"/>
  <c r="O300" i="6"/>
  <c r="P300" i="6"/>
  <c r="P299" i="6"/>
  <c r="R297" i="6"/>
  <c r="N295" i="6"/>
  <c r="O292" i="6"/>
  <c r="R289" i="6"/>
  <c r="N287" i="6"/>
  <c r="O284" i="6"/>
  <c r="R281" i="6"/>
  <c r="N279" i="6"/>
  <c r="O276" i="6"/>
  <c r="R273" i="6"/>
  <c r="N271" i="6"/>
  <c r="O268" i="6"/>
  <c r="R265" i="6"/>
  <c r="N263" i="6"/>
  <c r="O260" i="6"/>
  <c r="N255" i="6"/>
  <c r="O252" i="6"/>
  <c r="R249" i="6"/>
  <c r="R238" i="6"/>
  <c r="O238" i="6"/>
  <c r="N236" i="6"/>
  <c r="O236" i="6"/>
  <c r="P236" i="6"/>
  <c r="P249" i="6"/>
  <c r="M245" i="6"/>
  <c r="O243" i="6"/>
  <c r="P243" i="6"/>
  <c r="P242" i="6"/>
  <c r="M237" i="6"/>
  <c r="O235" i="6"/>
  <c r="P235" i="6"/>
  <c r="P234" i="6"/>
  <c r="R232" i="6"/>
  <c r="M229" i="6"/>
  <c r="O227" i="6"/>
  <c r="P227" i="6"/>
  <c r="P226" i="6"/>
  <c r="M221" i="6"/>
  <c r="O219" i="6"/>
  <c r="P219" i="6"/>
  <c r="P218" i="6"/>
  <c r="R216" i="6"/>
  <c r="M213" i="6"/>
  <c r="O211" i="6"/>
  <c r="P211" i="6"/>
  <c r="P210" i="6"/>
  <c r="M204" i="6"/>
  <c r="N203" i="6"/>
  <c r="R203" i="6" s="1"/>
  <c r="N201" i="6"/>
  <c r="O201" i="6" s="1"/>
  <c r="O198" i="6"/>
  <c r="P198" i="6"/>
  <c r="N188" i="6"/>
  <c r="P188" i="6" s="1"/>
  <c r="O188" i="6"/>
  <c r="P174" i="6"/>
  <c r="N174" i="6"/>
  <c r="R174" i="6" s="1"/>
  <c r="P173" i="6"/>
  <c r="N173" i="6"/>
  <c r="O173" i="6"/>
  <c r="N172" i="6"/>
  <c r="P172" i="6" s="1"/>
  <c r="O172" i="6"/>
  <c r="R152" i="6"/>
  <c r="P152" i="6"/>
  <c r="P127" i="6"/>
  <c r="P296" i="6"/>
  <c r="P292" i="6"/>
  <c r="P288" i="6"/>
  <c r="P284" i="6"/>
  <c r="P280" i="6"/>
  <c r="P276" i="6"/>
  <c r="P272" i="6"/>
  <c r="P268" i="6"/>
  <c r="P264" i="6"/>
  <c r="P260" i="6"/>
  <c r="P256" i="6"/>
  <c r="P252" i="6"/>
  <c r="R250" i="6"/>
  <c r="O249" i="6"/>
  <c r="P248" i="6"/>
  <c r="M200" i="6"/>
  <c r="N199" i="6"/>
  <c r="R199" i="6" s="1"/>
  <c r="P199" i="6"/>
  <c r="N197" i="6"/>
  <c r="O197" i="6" s="1"/>
  <c r="O194" i="6"/>
  <c r="P194" i="6"/>
  <c r="P186" i="6"/>
  <c r="N186" i="6"/>
  <c r="R186" i="6" s="1"/>
  <c r="P185" i="6"/>
  <c r="N185" i="6"/>
  <c r="O185" i="6"/>
  <c r="N184" i="6"/>
  <c r="P184" i="6" s="1"/>
  <c r="O184" i="6"/>
  <c r="N170" i="6"/>
  <c r="R170" i="6" s="1"/>
  <c r="N169" i="6"/>
  <c r="P169" i="6" s="1"/>
  <c r="N168" i="6"/>
  <c r="O168" i="6" s="1"/>
  <c r="R244" i="6"/>
  <c r="O242" i="6"/>
  <c r="M241" i="6"/>
  <c r="O239" i="6"/>
  <c r="P239" i="6"/>
  <c r="P238" i="6"/>
  <c r="R236" i="6"/>
  <c r="O234" i="6"/>
  <c r="M233" i="6"/>
  <c r="O231" i="6"/>
  <c r="P231" i="6"/>
  <c r="P230" i="6"/>
  <c r="O226" i="6"/>
  <c r="M225" i="6"/>
  <c r="O223" i="6"/>
  <c r="P223" i="6"/>
  <c r="P222" i="6"/>
  <c r="R220" i="6"/>
  <c r="O218" i="6"/>
  <c r="M217" i="6"/>
  <c r="O215" i="6"/>
  <c r="P215" i="6"/>
  <c r="P214" i="6"/>
  <c r="R212" i="6"/>
  <c r="O210" i="6"/>
  <c r="M209" i="6"/>
  <c r="O206" i="6"/>
  <c r="P206" i="6"/>
  <c r="M196" i="6"/>
  <c r="N195" i="6"/>
  <c r="R195" i="6" s="1"/>
  <c r="N193" i="6"/>
  <c r="O193" i="6" s="1"/>
  <c r="O190" i="6"/>
  <c r="P190" i="6"/>
  <c r="O182" i="6"/>
  <c r="P182" i="6"/>
  <c r="N182" i="6"/>
  <c r="R182" i="6" s="1"/>
  <c r="P181" i="6"/>
  <c r="N181" i="6"/>
  <c r="O181" i="6"/>
  <c r="N180" i="6"/>
  <c r="O180" i="6"/>
  <c r="P180" i="6"/>
  <c r="O161" i="6"/>
  <c r="O137" i="6"/>
  <c r="N240" i="6"/>
  <c r="O240" i="6" s="1"/>
  <c r="N232" i="6"/>
  <c r="P232" i="6" s="1"/>
  <c r="N224" i="6"/>
  <c r="O224" i="6" s="1"/>
  <c r="N216" i="6"/>
  <c r="P216" i="6" s="1"/>
  <c r="M208" i="6"/>
  <c r="N207" i="6"/>
  <c r="R207" i="6" s="1"/>
  <c r="P207" i="6"/>
  <c r="N205" i="6"/>
  <c r="O205" i="6" s="1"/>
  <c r="O202" i="6"/>
  <c r="P202" i="6"/>
  <c r="M192" i="6"/>
  <c r="N191" i="6"/>
  <c r="R191" i="6" s="1"/>
  <c r="O191" i="6"/>
  <c r="P189" i="6"/>
  <c r="N189" i="6"/>
  <c r="O178" i="6"/>
  <c r="N178" i="6"/>
  <c r="R178" i="6" s="1"/>
  <c r="N177" i="6"/>
  <c r="O177" i="6" s="1"/>
  <c r="N176" i="6"/>
  <c r="O176" i="6" s="1"/>
  <c r="P176" i="6"/>
  <c r="R160" i="6"/>
  <c r="P160" i="6"/>
  <c r="O153" i="6"/>
  <c r="N165" i="6"/>
  <c r="R165" i="6" s="1"/>
  <c r="N157" i="6"/>
  <c r="P157" i="6"/>
  <c r="N149" i="6"/>
  <c r="P149" i="6" s="1"/>
  <c r="P144" i="6"/>
  <c r="N141" i="6"/>
  <c r="P141" i="6" s="1"/>
  <c r="P136" i="6"/>
  <c r="N133" i="6"/>
  <c r="P133" i="6" s="1"/>
  <c r="R126" i="6"/>
  <c r="R125" i="6"/>
  <c r="P125" i="6"/>
  <c r="N123" i="6"/>
  <c r="O123" i="6" s="1"/>
  <c r="R117" i="6"/>
  <c r="P117" i="6"/>
  <c r="O115" i="6"/>
  <c r="N115" i="6"/>
  <c r="R112" i="6"/>
  <c r="O112" i="6"/>
  <c r="R108" i="6"/>
  <c r="O108" i="6"/>
  <c r="R205" i="6"/>
  <c r="R197" i="6"/>
  <c r="R189" i="6"/>
  <c r="P187" i="6"/>
  <c r="R185" i="6"/>
  <c r="P183" i="6"/>
  <c r="R181" i="6"/>
  <c r="P179" i="6"/>
  <c r="P175" i="6"/>
  <c r="R173" i="6"/>
  <c r="P171" i="6"/>
  <c r="R169" i="6"/>
  <c r="P167" i="6"/>
  <c r="P166" i="6"/>
  <c r="P163" i="6"/>
  <c r="N163" i="6"/>
  <c r="O162" i="6"/>
  <c r="P158" i="6"/>
  <c r="R157" i="6"/>
  <c r="N155" i="6"/>
  <c r="O155" i="6" s="1"/>
  <c r="O154" i="6"/>
  <c r="N147" i="6"/>
  <c r="P147" i="6" s="1"/>
  <c r="R146" i="6"/>
  <c r="O146" i="6"/>
  <c r="P142" i="6"/>
  <c r="R141" i="6"/>
  <c r="N139" i="6"/>
  <c r="R138" i="6"/>
  <c r="O138" i="6"/>
  <c r="P134" i="6"/>
  <c r="N124" i="6"/>
  <c r="R124" i="6" s="1"/>
  <c r="P124" i="6"/>
  <c r="R123" i="6"/>
  <c r="N116" i="6"/>
  <c r="R116" i="6" s="1"/>
  <c r="P116" i="6"/>
  <c r="R115" i="6"/>
  <c r="M111" i="6"/>
  <c r="P110" i="6"/>
  <c r="N110" i="6"/>
  <c r="O110" i="6" s="1"/>
  <c r="R188" i="6"/>
  <c r="O187" i="6"/>
  <c r="R184" i="6"/>
  <c r="O183" i="6"/>
  <c r="R180" i="6"/>
  <c r="O179" i="6"/>
  <c r="R176" i="6"/>
  <c r="O175" i="6"/>
  <c r="R172" i="6"/>
  <c r="O171" i="6"/>
  <c r="O167" i="6"/>
  <c r="N161" i="6"/>
  <c r="P161" i="6"/>
  <c r="O160" i="6"/>
  <c r="P156" i="6"/>
  <c r="N153" i="6"/>
  <c r="R153" i="6" s="1"/>
  <c r="O152" i="6"/>
  <c r="N145" i="6"/>
  <c r="O145" i="6" s="1"/>
  <c r="O144" i="6"/>
  <c r="N137" i="6"/>
  <c r="P137" i="6"/>
  <c r="O136" i="6"/>
  <c r="M131" i="6"/>
  <c r="O129" i="6"/>
  <c r="N129" i="6"/>
  <c r="R129" i="6" s="1"/>
  <c r="O127" i="6"/>
  <c r="N127" i="6"/>
  <c r="R122" i="6"/>
  <c r="N119" i="6"/>
  <c r="O166" i="6"/>
  <c r="N164" i="6"/>
  <c r="R164" i="6" s="1"/>
  <c r="P162" i="6"/>
  <c r="R161" i="6"/>
  <c r="N159" i="6"/>
  <c r="R159" i="6" s="1"/>
  <c r="O158" i="6"/>
  <c r="O157" i="6"/>
  <c r="N156" i="6"/>
  <c r="R156" i="6" s="1"/>
  <c r="P154" i="6"/>
  <c r="P151" i="6"/>
  <c r="N151" i="6"/>
  <c r="O150" i="6"/>
  <c r="N148" i="6"/>
  <c r="R148" i="6" s="1"/>
  <c r="P143" i="6"/>
  <c r="N143" i="6"/>
  <c r="R143" i="6" s="1"/>
  <c r="O142" i="6"/>
  <c r="N140" i="6"/>
  <c r="O140" i="6" s="1"/>
  <c r="R137" i="6"/>
  <c r="P135" i="6"/>
  <c r="N135" i="6"/>
  <c r="R135" i="6" s="1"/>
  <c r="O134" i="6"/>
  <c r="N130" i="6"/>
  <c r="P130" i="6" s="1"/>
  <c r="N128" i="6"/>
  <c r="R128" i="6" s="1"/>
  <c r="R127" i="6"/>
  <c r="P123" i="6"/>
  <c r="N120" i="6"/>
  <c r="R120" i="6" s="1"/>
  <c r="P120" i="6"/>
  <c r="O120" i="6"/>
  <c r="P115" i="6"/>
  <c r="M103" i="6"/>
  <c r="O102" i="6"/>
  <c r="P102" i="6"/>
  <c r="N102" i="6"/>
  <c r="M95" i="6"/>
  <c r="O94" i="6"/>
  <c r="N94" i="6"/>
  <c r="P94" i="6" s="1"/>
  <c r="M87" i="6"/>
  <c r="P86" i="6"/>
  <c r="N86" i="6"/>
  <c r="O86" i="6" s="1"/>
  <c r="M79" i="6"/>
  <c r="N78" i="6"/>
  <c r="O78" i="6" s="1"/>
  <c r="M68" i="6"/>
  <c r="O67" i="6"/>
  <c r="P67" i="6"/>
  <c r="N67" i="6"/>
  <c r="R67" i="6" s="1"/>
  <c r="O45" i="6"/>
  <c r="P122" i="6"/>
  <c r="N122" i="6"/>
  <c r="O122" i="6" s="1"/>
  <c r="O121" i="6"/>
  <c r="N114" i="6"/>
  <c r="O114" i="6" s="1"/>
  <c r="O113" i="6"/>
  <c r="R110" i="6"/>
  <c r="P105" i="6"/>
  <c r="O105" i="6"/>
  <c r="R102" i="6"/>
  <c r="P97" i="6"/>
  <c r="O97" i="6"/>
  <c r="O96" i="6"/>
  <c r="P89" i="6"/>
  <c r="O89" i="6"/>
  <c r="R86" i="6"/>
  <c r="P81" i="6"/>
  <c r="O81" i="6"/>
  <c r="M74" i="6"/>
  <c r="N62" i="6"/>
  <c r="R62" i="6" s="1"/>
  <c r="M56" i="6"/>
  <c r="O55" i="6"/>
  <c r="P55" i="6"/>
  <c r="N55" i="6"/>
  <c r="N50" i="6"/>
  <c r="R50" i="6" s="1"/>
  <c r="O39" i="6"/>
  <c r="N37" i="6"/>
  <c r="P37" i="6" s="1"/>
  <c r="O37" i="6"/>
  <c r="N33" i="6"/>
  <c r="O33" i="6" s="1"/>
  <c r="O31" i="6"/>
  <c r="N29" i="6"/>
  <c r="P29" i="6" s="1"/>
  <c r="O29" i="6"/>
  <c r="P27" i="6"/>
  <c r="N27" i="6"/>
  <c r="O27" i="6" s="1"/>
  <c r="N9" i="6"/>
  <c r="R9" i="6" s="1"/>
  <c r="O7" i="6"/>
  <c r="N7" i="6"/>
  <c r="P7" i="6" s="1"/>
  <c r="M107" i="6"/>
  <c r="N106" i="6"/>
  <c r="R106" i="6" s="1"/>
  <c r="M99" i="6"/>
  <c r="P98" i="6"/>
  <c r="N98" i="6"/>
  <c r="O98" i="6" s="1"/>
  <c r="M91" i="6"/>
  <c r="O90" i="6"/>
  <c r="N90" i="6"/>
  <c r="P90" i="6" s="1"/>
  <c r="M83" i="6"/>
  <c r="O82" i="6"/>
  <c r="P82" i="6"/>
  <c r="N82" i="6"/>
  <c r="P126" i="6"/>
  <c r="N126" i="6"/>
  <c r="O126" i="6" s="1"/>
  <c r="O125" i="6"/>
  <c r="P121" i="6"/>
  <c r="P118" i="6"/>
  <c r="N118" i="6"/>
  <c r="O118" i="6" s="1"/>
  <c r="O117" i="6"/>
  <c r="P113" i="6"/>
  <c r="P109" i="6"/>
  <c r="O109" i="6"/>
  <c r="R104" i="6"/>
  <c r="P101" i="6"/>
  <c r="O101" i="6"/>
  <c r="O100" i="6"/>
  <c r="P93" i="6"/>
  <c r="O93" i="6"/>
  <c r="O92" i="6"/>
  <c r="P85" i="6"/>
  <c r="O85" i="6"/>
  <c r="O84" i="6"/>
  <c r="R82" i="6"/>
  <c r="P77" i="6"/>
  <c r="O77" i="6"/>
  <c r="O76" i="6"/>
  <c r="N65" i="6"/>
  <c r="P65" i="6"/>
  <c r="O65" i="6"/>
  <c r="O58" i="6"/>
  <c r="R58" i="6"/>
  <c r="N53" i="6"/>
  <c r="P53" i="6" s="1"/>
  <c r="P112" i="6"/>
  <c r="P108" i="6"/>
  <c r="P104" i="6"/>
  <c r="P100" i="6"/>
  <c r="P96" i="6"/>
  <c r="P92" i="6"/>
  <c r="P88" i="6"/>
  <c r="P84" i="6"/>
  <c r="P80" i="6"/>
  <c r="P76" i="6"/>
  <c r="R73" i="6"/>
  <c r="N69" i="6"/>
  <c r="O69" i="6" s="1"/>
  <c r="P66" i="6"/>
  <c r="O66" i="6"/>
  <c r="R59" i="6"/>
  <c r="N57" i="6"/>
  <c r="P57" i="6"/>
  <c r="O54" i="6"/>
  <c r="M44" i="6"/>
  <c r="O43" i="6"/>
  <c r="P43" i="6"/>
  <c r="N43" i="6"/>
  <c r="R43" i="6" s="1"/>
  <c r="N41" i="6"/>
  <c r="P41" i="6" s="1"/>
  <c r="N25" i="6"/>
  <c r="O25" i="6" s="1"/>
  <c r="P25" i="6"/>
  <c r="N23" i="6"/>
  <c r="O23" i="6" s="1"/>
  <c r="N22" i="6"/>
  <c r="R22" i="6" s="1"/>
  <c r="N21" i="6"/>
  <c r="O21" i="6" s="1"/>
  <c r="O19" i="6"/>
  <c r="N19" i="6"/>
  <c r="P19" i="6" s="1"/>
  <c r="N18" i="6"/>
  <c r="R18" i="6" s="1"/>
  <c r="N17" i="6"/>
  <c r="O17" i="6" s="1"/>
  <c r="P17" i="6"/>
  <c r="N15" i="6"/>
  <c r="O15" i="6" s="1"/>
  <c r="N14" i="6"/>
  <c r="R14" i="6" s="1"/>
  <c r="N13" i="6"/>
  <c r="O13" i="6" s="1"/>
  <c r="O11" i="6"/>
  <c r="N11" i="6"/>
  <c r="P11" i="6" s="1"/>
  <c r="O73" i="6"/>
  <c r="M64" i="6"/>
  <c r="P63" i="6"/>
  <c r="N63" i="6"/>
  <c r="R63" i="6" s="1"/>
  <c r="N61" i="6"/>
  <c r="O61" i="6" s="1"/>
  <c r="P58" i="6"/>
  <c r="R55" i="6"/>
  <c r="M52" i="6"/>
  <c r="O51" i="6"/>
  <c r="N51" i="6"/>
  <c r="R51" i="6" s="1"/>
  <c r="N49" i="6"/>
  <c r="O49" i="6" s="1"/>
  <c r="P49" i="6"/>
  <c r="P46" i="6"/>
  <c r="O46" i="6"/>
  <c r="N5" i="6"/>
  <c r="R5" i="6" s="1"/>
  <c r="O5" i="6"/>
  <c r="P5" i="6"/>
  <c r="P3" i="6"/>
  <c r="N3" i="6"/>
  <c r="O3" i="6" s="1"/>
  <c r="O72" i="6"/>
  <c r="P71" i="6"/>
  <c r="O70" i="6"/>
  <c r="M60" i="6"/>
  <c r="P59" i="6"/>
  <c r="N59" i="6"/>
  <c r="O59" i="6" s="1"/>
  <c r="O57" i="6"/>
  <c r="N54" i="6"/>
  <c r="R54" i="6" s="1"/>
  <c r="M48" i="6"/>
  <c r="N47" i="6"/>
  <c r="R47" i="6" s="1"/>
  <c r="N45" i="6"/>
  <c r="P45" i="6"/>
  <c r="P42" i="6"/>
  <c r="O42" i="6"/>
  <c r="M40" i="6"/>
  <c r="N39" i="6"/>
  <c r="R39" i="6" s="1"/>
  <c r="M36" i="6"/>
  <c r="N35" i="6"/>
  <c r="R35" i="6" s="1"/>
  <c r="M32" i="6"/>
  <c r="N31" i="6"/>
  <c r="R31" i="6" s="1"/>
  <c r="M28" i="6"/>
  <c r="R27" i="6"/>
  <c r="M24" i="6"/>
  <c r="M20" i="6"/>
  <c r="M16" i="6"/>
  <c r="M12" i="6"/>
  <c r="M8" i="6"/>
  <c r="R7" i="6"/>
  <c r="M4" i="6"/>
  <c r="R3" i="6"/>
  <c r="N10" i="6"/>
  <c r="R10" i="6" s="1"/>
  <c r="N6" i="6"/>
  <c r="R6" i="6" s="1"/>
  <c r="R69" i="6"/>
  <c r="R65" i="6"/>
  <c r="R61" i="6"/>
  <c r="R57" i="6"/>
  <c r="R49" i="6"/>
  <c r="R45" i="6"/>
  <c r="P39" i="6"/>
  <c r="R37" i="6"/>
  <c r="P35" i="6"/>
  <c r="P31" i="6"/>
  <c r="R29" i="6"/>
  <c r="R25" i="6"/>
  <c r="R17" i="6"/>
  <c r="L107" i="8"/>
  <c r="L64" i="8"/>
  <c r="L48" i="8"/>
  <c r="U364" i="12"/>
  <c r="U339" i="12"/>
  <c r="W333" i="12"/>
  <c r="L105" i="8"/>
  <c r="L32" i="8"/>
  <c r="V433" i="12"/>
  <c r="L150" i="8"/>
  <c r="L126" i="8"/>
  <c r="L121" i="8"/>
  <c r="L110" i="8"/>
  <c r="W434" i="12"/>
  <c r="W374" i="12"/>
  <c r="U370" i="12"/>
  <c r="W321" i="12"/>
  <c r="V369" i="12"/>
  <c r="U356" i="12"/>
  <c r="V331" i="12"/>
  <c r="V355" i="12"/>
  <c r="V326" i="12"/>
  <c r="V311" i="12"/>
  <c r="V345" i="12"/>
  <c r="V344" i="12"/>
  <c r="V335" i="12"/>
  <c r="V329" i="12"/>
  <c r="V327" i="12"/>
  <c r="V367" i="12"/>
  <c r="V353" i="12"/>
  <c r="V352" i="12"/>
  <c r="V323" i="12"/>
  <c r="V318" i="12"/>
  <c r="V310" i="12"/>
  <c r="V303" i="12"/>
  <c r="U336" i="12"/>
  <c r="V325" i="12"/>
  <c r="U322" i="12"/>
  <c r="V312" i="12"/>
  <c r="W142" i="12"/>
  <c r="V224" i="12"/>
  <c r="V308" i="12"/>
  <c r="V307" i="12"/>
  <c r="W229" i="12"/>
  <c r="V219" i="12"/>
  <c r="V153" i="12"/>
  <c r="V232" i="12"/>
  <c r="V222" i="12"/>
  <c r="U226" i="12"/>
  <c r="V177" i="12"/>
  <c r="W172" i="12"/>
  <c r="V166" i="12"/>
  <c r="V154" i="12"/>
  <c r="W143" i="12"/>
  <c r="W159" i="12"/>
  <c r="W155" i="12"/>
  <c r="V152" i="12"/>
  <c r="V178" i="12"/>
  <c r="U167" i="12"/>
  <c r="W137" i="12"/>
  <c r="V169" i="12"/>
  <c r="V141" i="12"/>
  <c r="V173" i="12"/>
  <c r="W164" i="12"/>
  <c r="V162" i="12"/>
  <c r="V161" i="12"/>
  <c r="V160" i="12"/>
  <c r="W146" i="12"/>
  <c r="V144" i="12"/>
  <c r="W88" i="12"/>
  <c r="U83" i="12"/>
  <c r="V92" i="12"/>
  <c r="V42" i="12"/>
  <c r="W86" i="12"/>
  <c r="U77" i="12"/>
  <c r="W70" i="12"/>
  <c r="U47" i="12"/>
  <c r="V81" i="12"/>
  <c r="W23" i="12"/>
  <c r="W76" i="12"/>
  <c r="V74" i="12"/>
  <c r="V73" i="12"/>
  <c r="V78" i="12"/>
  <c r="V71" i="12"/>
  <c r="V55" i="12"/>
  <c r="V50" i="12"/>
  <c r="V49" i="12"/>
  <c r="W17" i="12"/>
  <c r="V35" i="12"/>
  <c r="V32" i="12"/>
  <c r="V27" i="12"/>
  <c r="V21" i="12"/>
  <c r="V20" i="12"/>
  <c r="V15" i="12"/>
  <c r="V14" i="12"/>
  <c r="W28" i="12"/>
  <c r="V25" i="12"/>
  <c r="W22" i="12"/>
  <c r="R459" i="1"/>
  <c r="R460" i="1"/>
  <c r="R451" i="1"/>
  <c r="R265" i="1"/>
  <c r="R467" i="1"/>
  <c r="R455" i="1"/>
  <c r="R452" i="1"/>
  <c r="R80" i="1"/>
  <c r="R177" i="1"/>
  <c r="R468" i="1"/>
  <c r="L76" i="8"/>
  <c r="G76" i="8"/>
  <c r="G129" i="8"/>
  <c r="L129" i="8"/>
  <c r="L88" i="8"/>
  <c r="G88" i="8"/>
  <c r="G75" i="8"/>
  <c r="L75" i="8"/>
  <c r="R217" i="1"/>
  <c r="L153" i="8"/>
  <c r="G148" i="8"/>
  <c r="L142" i="8"/>
  <c r="G142" i="8"/>
  <c r="L138" i="8"/>
  <c r="L137" i="8"/>
  <c r="L109" i="8"/>
  <c r="G109" i="8"/>
  <c r="L84" i="8"/>
  <c r="G84" i="8"/>
  <c r="G106" i="8"/>
  <c r="L106" i="8"/>
  <c r="L104" i="8"/>
  <c r="G104" i="8"/>
  <c r="L92" i="8"/>
  <c r="G92" i="8"/>
  <c r="L87" i="8"/>
  <c r="L80" i="8"/>
  <c r="G80" i="8"/>
  <c r="G63" i="8"/>
  <c r="L63" i="8"/>
  <c r="L74" i="8"/>
  <c r="L71" i="8"/>
  <c r="L94" i="8"/>
  <c r="L72" i="8"/>
  <c r="L21" i="8"/>
  <c r="G149" i="8"/>
  <c r="L149" i="8"/>
  <c r="G133" i="8"/>
  <c r="L133" i="8"/>
  <c r="G123" i="8"/>
  <c r="L123" i="8"/>
  <c r="G145" i="8"/>
  <c r="L145" i="8"/>
  <c r="L135" i="8"/>
  <c r="G127" i="8"/>
  <c r="L127" i="8"/>
  <c r="L155" i="8"/>
  <c r="G147" i="8"/>
  <c r="L147" i="8"/>
  <c r="L141" i="8"/>
  <c r="G141" i="8"/>
  <c r="L136" i="8"/>
  <c r="G136" i="8"/>
  <c r="G131" i="8"/>
  <c r="L131" i="8"/>
  <c r="G102" i="8"/>
  <c r="L102" i="8"/>
  <c r="G154" i="8"/>
  <c r="L154" i="8"/>
  <c r="L152" i="8"/>
  <c r="G146" i="8"/>
  <c r="L146" i="8"/>
  <c r="G139" i="8"/>
  <c r="L139" i="8"/>
  <c r="G130" i="8"/>
  <c r="L130" i="8"/>
  <c r="G128" i="8"/>
  <c r="L128" i="8"/>
  <c r="L140" i="8"/>
  <c r="L125" i="8"/>
  <c r="L120" i="8"/>
  <c r="G103" i="8"/>
  <c r="L103" i="8"/>
  <c r="G95" i="8"/>
  <c r="L95" i="8"/>
  <c r="G91" i="8"/>
  <c r="L91" i="8"/>
  <c r="L132" i="8"/>
  <c r="G113" i="8"/>
  <c r="L113" i="8"/>
  <c r="L108" i="8"/>
  <c r="G108" i="8"/>
  <c r="G101" i="8"/>
  <c r="L101" i="8"/>
  <c r="G97" i="8"/>
  <c r="L97" i="8"/>
  <c r="G89" i="8"/>
  <c r="L89" i="8"/>
  <c r="L82" i="8"/>
  <c r="G82" i="8"/>
  <c r="L67" i="8"/>
  <c r="G67" i="8"/>
  <c r="L144" i="8"/>
  <c r="L143" i="8"/>
  <c r="G140" i="8"/>
  <c r="G125" i="8"/>
  <c r="L124" i="8"/>
  <c r="G124" i="8"/>
  <c r="G120" i="8"/>
  <c r="G115" i="8"/>
  <c r="L115" i="8"/>
  <c r="G111" i="8"/>
  <c r="L111" i="8"/>
  <c r="G99" i="8"/>
  <c r="L99" i="8"/>
  <c r="G85" i="8"/>
  <c r="L85" i="8"/>
  <c r="L78" i="8"/>
  <c r="L59" i="8"/>
  <c r="G59" i="8"/>
  <c r="L51" i="8"/>
  <c r="G51" i="8"/>
  <c r="L116" i="8"/>
  <c r="L114" i="8"/>
  <c r="L100" i="8"/>
  <c r="L98" i="8"/>
  <c r="L93" i="8"/>
  <c r="L90" i="8"/>
  <c r="G81" i="8"/>
  <c r="L81" i="8"/>
  <c r="L79" i="8"/>
  <c r="G69" i="8"/>
  <c r="L69" i="8"/>
  <c r="G57" i="8"/>
  <c r="L57" i="8"/>
  <c r="L112" i="8"/>
  <c r="L96" i="8"/>
  <c r="L86" i="8"/>
  <c r="G77" i="8"/>
  <c r="L77" i="8"/>
  <c r="G61" i="8"/>
  <c r="L61" i="8"/>
  <c r="L52" i="8"/>
  <c r="G44" i="8"/>
  <c r="L44" i="8"/>
  <c r="L43" i="8"/>
  <c r="G43" i="8"/>
  <c r="G36" i="8"/>
  <c r="L36" i="8"/>
  <c r="L35" i="8"/>
  <c r="G35" i="8"/>
  <c r="L60" i="8"/>
  <c r="G60" i="8"/>
  <c r="G53" i="8"/>
  <c r="L53" i="8"/>
  <c r="G25" i="8"/>
  <c r="L25" i="8"/>
  <c r="L73" i="8"/>
  <c r="L68" i="8"/>
  <c r="L66" i="8"/>
  <c r="G66" i="8"/>
  <c r="G55" i="8"/>
  <c r="L55" i="8"/>
  <c r="L50" i="8"/>
  <c r="G50" i="8"/>
  <c r="L58" i="8"/>
  <c r="L47" i="8"/>
  <c r="L39" i="8"/>
  <c r="L30" i="8"/>
  <c r="L70" i="8"/>
  <c r="L54" i="8"/>
  <c r="G46" i="8"/>
  <c r="L46" i="8"/>
  <c r="G38" i="8"/>
  <c r="L38" i="8"/>
  <c r="G26" i="8"/>
  <c r="L26" i="8"/>
  <c r="G23" i="8"/>
  <c r="L23" i="8"/>
  <c r="L5" i="8"/>
  <c r="G5" i="8"/>
  <c r="L62" i="8"/>
  <c r="G58" i="8"/>
  <c r="G47" i="8"/>
  <c r="L45" i="8"/>
  <c r="G42" i="8"/>
  <c r="L42" i="8"/>
  <c r="L37" i="8"/>
  <c r="G34" i="8"/>
  <c r="L34" i="8"/>
  <c r="L31" i="8"/>
  <c r="G22" i="8"/>
  <c r="L22" i="8"/>
  <c r="L16" i="8"/>
  <c r="G16" i="8"/>
  <c r="L12" i="8"/>
  <c r="G12" i="8"/>
  <c r="L8" i="8"/>
  <c r="G8" i="8"/>
  <c r="G7" i="8"/>
  <c r="L7" i="8"/>
  <c r="L27" i="8"/>
  <c r="L24" i="8"/>
  <c r="L20" i="8"/>
  <c r="L17" i="8"/>
  <c r="L13" i="8"/>
  <c r="L9" i="8"/>
  <c r="L6" i="8"/>
  <c r="L18" i="8"/>
  <c r="L14" i="8"/>
  <c r="L10" i="8"/>
  <c r="L4" i="8"/>
  <c r="G4" i="8"/>
  <c r="G3" i="8"/>
  <c r="L3" i="8"/>
  <c r="L19" i="8"/>
  <c r="L15" i="8"/>
  <c r="L11" i="8"/>
  <c r="R153" i="1"/>
  <c r="R113" i="1"/>
  <c r="R184" i="1"/>
  <c r="R97" i="1"/>
  <c r="R89" i="1"/>
  <c r="R208" i="1"/>
  <c r="R180" i="1"/>
  <c r="R169" i="1"/>
  <c r="R204" i="1"/>
  <c r="R196" i="1"/>
  <c r="R188" i="1"/>
  <c r="R176" i="1"/>
  <c r="R161" i="1"/>
  <c r="R119" i="6" l="1"/>
  <c r="P119" i="6"/>
  <c r="N131" i="6"/>
  <c r="R131" i="6" s="1"/>
  <c r="P164" i="6"/>
  <c r="N111" i="6"/>
  <c r="R111" i="6" s="1"/>
  <c r="O111" i="6"/>
  <c r="O164" i="6"/>
  <c r="N318" i="6"/>
  <c r="R318" i="6" s="1"/>
  <c r="O318" i="6"/>
  <c r="N330" i="6"/>
  <c r="R330" i="6" s="1"/>
  <c r="P330" i="6"/>
  <c r="O330" i="6"/>
  <c r="P329" i="6"/>
  <c r="P345" i="6"/>
  <c r="N498" i="6"/>
  <c r="P498" i="6" s="1"/>
  <c r="O498" i="6"/>
  <c r="P483" i="6"/>
  <c r="N486" i="6"/>
  <c r="P486" i="6" s="1"/>
  <c r="O486" i="6"/>
  <c r="R13" i="6"/>
  <c r="N8" i="6"/>
  <c r="R8" i="6" s="1"/>
  <c r="O8" i="6"/>
  <c r="R15" i="6"/>
  <c r="R23" i="6"/>
  <c r="P47" i="6"/>
  <c r="N52" i="6"/>
  <c r="R52" i="6" s="1"/>
  <c r="P61" i="6"/>
  <c r="O63" i="6"/>
  <c r="P10" i="6"/>
  <c r="O14" i="6"/>
  <c r="P15" i="6"/>
  <c r="P18" i="6"/>
  <c r="O22" i="6"/>
  <c r="P23" i="6"/>
  <c r="P69" i="6"/>
  <c r="R90" i="6"/>
  <c r="R98" i="6"/>
  <c r="N91" i="6"/>
  <c r="R91" i="6" s="1"/>
  <c r="O91" i="6"/>
  <c r="P91" i="6"/>
  <c r="P106" i="6"/>
  <c r="P6" i="6"/>
  <c r="O35" i="6"/>
  <c r="O50" i="6"/>
  <c r="O62" i="6"/>
  <c r="R78" i="6"/>
  <c r="P114" i="6"/>
  <c r="R130" i="6"/>
  <c r="P78" i="6"/>
  <c r="N95" i="6"/>
  <c r="R95" i="6" s="1"/>
  <c r="O95" i="6"/>
  <c r="O130" i="6"/>
  <c r="O141" i="6"/>
  <c r="R145" i="6"/>
  <c r="R151" i="6"/>
  <c r="O151" i="6"/>
  <c r="P159" i="6"/>
  <c r="O165" i="6"/>
  <c r="O119" i="6"/>
  <c r="P145" i="6"/>
  <c r="P153" i="6"/>
  <c r="P155" i="6"/>
  <c r="R163" i="6"/>
  <c r="O163" i="6"/>
  <c r="R193" i="6"/>
  <c r="R118" i="6"/>
  <c r="O156" i="6"/>
  <c r="P165" i="6"/>
  <c r="O159" i="6"/>
  <c r="P177" i="6"/>
  <c r="O207" i="6"/>
  <c r="O216" i="6"/>
  <c r="O232" i="6"/>
  <c r="P129" i="6"/>
  <c r="P193" i="6"/>
  <c r="N217" i="6"/>
  <c r="R217" i="6" s="1"/>
  <c r="O217" i="6"/>
  <c r="P217" i="6"/>
  <c r="O169" i="6"/>
  <c r="P170" i="6"/>
  <c r="O199" i="6"/>
  <c r="P201" i="6"/>
  <c r="N221" i="6"/>
  <c r="R221" i="6" s="1"/>
  <c r="P221" i="6"/>
  <c r="N237" i="6"/>
  <c r="R237" i="6" s="1"/>
  <c r="N310" i="6"/>
  <c r="R310" i="6" s="1"/>
  <c r="O310" i="6"/>
  <c r="P325" i="6"/>
  <c r="N342" i="6"/>
  <c r="R342" i="6" s="1"/>
  <c r="O342" i="6"/>
  <c r="N282" i="6"/>
  <c r="R282" i="6" s="1"/>
  <c r="O282" i="6"/>
  <c r="P282" i="6"/>
  <c r="O305" i="6"/>
  <c r="O321" i="6"/>
  <c r="O337" i="6"/>
  <c r="R261" i="6"/>
  <c r="R277" i="6"/>
  <c r="R293" i="6"/>
  <c r="R301" i="6"/>
  <c r="N322" i="6"/>
  <c r="R322" i="6" s="1"/>
  <c r="R333" i="6"/>
  <c r="N270" i="6"/>
  <c r="R270" i="6" s="1"/>
  <c r="O317" i="6"/>
  <c r="O349" i="6"/>
  <c r="O356" i="6"/>
  <c r="O364" i="6"/>
  <c r="O372" i="6"/>
  <c r="O380" i="6"/>
  <c r="O388" i="6"/>
  <c r="O396" i="6"/>
  <c r="O404" i="6"/>
  <c r="P417" i="6"/>
  <c r="O425" i="6"/>
  <c r="P430" i="6"/>
  <c r="P367" i="6"/>
  <c r="P383" i="6"/>
  <c r="P399" i="6"/>
  <c r="P352" i="6"/>
  <c r="P360" i="6"/>
  <c r="P368" i="6"/>
  <c r="P376" i="6"/>
  <c r="P384" i="6"/>
  <c r="P392" i="6"/>
  <c r="P400" i="6"/>
  <c r="P412" i="6"/>
  <c r="P420" i="6"/>
  <c r="O363" i="6"/>
  <c r="O379" i="6"/>
  <c r="O387" i="6"/>
  <c r="P428" i="6"/>
  <c r="P447" i="6"/>
  <c r="P480" i="6"/>
  <c r="N490" i="6"/>
  <c r="O490" i="6" s="1"/>
  <c r="P490" i="6"/>
  <c r="O460" i="6"/>
  <c r="P475" i="6"/>
  <c r="P446" i="6"/>
  <c r="P467" i="6"/>
  <c r="P478" i="6"/>
  <c r="P484" i="6"/>
  <c r="P500" i="6"/>
  <c r="P440" i="6"/>
  <c r="P471" i="6"/>
  <c r="O482" i="6"/>
  <c r="P491" i="6"/>
  <c r="N44" i="6"/>
  <c r="R44" i="6" s="1"/>
  <c r="O44" i="6"/>
  <c r="N83" i="6"/>
  <c r="R83" i="6" s="1"/>
  <c r="O83" i="6"/>
  <c r="P83" i="6"/>
  <c r="N74" i="6"/>
  <c r="R74" i="6" s="1"/>
  <c r="N87" i="6"/>
  <c r="R87" i="6" s="1"/>
  <c r="N225" i="6"/>
  <c r="R225" i="6" s="1"/>
  <c r="O225" i="6"/>
  <c r="R257" i="6"/>
  <c r="N298" i="6"/>
  <c r="R298" i="6" s="1"/>
  <c r="P298" i="6"/>
  <c r="R341" i="6"/>
  <c r="N262" i="6"/>
  <c r="R262" i="6" s="1"/>
  <c r="O262" i="6"/>
  <c r="N294" i="6"/>
  <c r="R294" i="6" s="1"/>
  <c r="O294" i="6"/>
  <c r="P294" i="6"/>
  <c r="R53" i="6"/>
  <c r="N4" i="6"/>
  <c r="R4" i="6" s="1"/>
  <c r="O4" i="6"/>
  <c r="P4" i="6"/>
  <c r="N24" i="6"/>
  <c r="R24" i="6" s="1"/>
  <c r="P24" i="6"/>
  <c r="N40" i="6"/>
  <c r="R40" i="6" s="1"/>
  <c r="N60" i="6"/>
  <c r="R60" i="6" s="1"/>
  <c r="O60" i="6"/>
  <c r="P21" i="6"/>
  <c r="N99" i="6"/>
  <c r="R99" i="6" s="1"/>
  <c r="O99" i="6"/>
  <c r="O106" i="6"/>
  <c r="P9" i="6"/>
  <c r="P33" i="6"/>
  <c r="P50" i="6"/>
  <c r="N56" i="6"/>
  <c r="R56" i="6" s="1"/>
  <c r="O56" i="6"/>
  <c r="P56" i="6"/>
  <c r="P62" i="6"/>
  <c r="N68" i="6"/>
  <c r="R68" i="6" s="1"/>
  <c r="O68" i="6"/>
  <c r="P68" i="6"/>
  <c r="R168" i="6"/>
  <c r="R133" i="6"/>
  <c r="R139" i="6"/>
  <c r="O139" i="6"/>
  <c r="R149" i="6"/>
  <c r="R177" i="6"/>
  <c r="O148" i="6"/>
  <c r="P195" i="6"/>
  <c r="N196" i="6"/>
  <c r="R196" i="6" s="1"/>
  <c r="O196" i="6"/>
  <c r="P196" i="6"/>
  <c r="N209" i="6"/>
  <c r="R209" i="6" s="1"/>
  <c r="R228" i="6"/>
  <c r="N241" i="6"/>
  <c r="R241" i="6" s="1"/>
  <c r="P168" i="6"/>
  <c r="O170" i="6"/>
  <c r="P203" i="6"/>
  <c r="N204" i="6"/>
  <c r="R204" i="6" s="1"/>
  <c r="O204" i="6"/>
  <c r="P204" i="6"/>
  <c r="R224" i="6"/>
  <c r="R240" i="6"/>
  <c r="P224" i="6"/>
  <c r="R255" i="6"/>
  <c r="O255" i="6"/>
  <c r="R263" i="6"/>
  <c r="O263" i="6"/>
  <c r="R271" i="6"/>
  <c r="O271" i="6"/>
  <c r="R279" i="6"/>
  <c r="O279" i="6"/>
  <c r="R287" i="6"/>
  <c r="O287" i="6"/>
  <c r="R295" i="6"/>
  <c r="O295" i="6"/>
  <c r="N302" i="6"/>
  <c r="R302" i="6" s="1"/>
  <c r="R313" i="6"/>
  <c r="N334" i="6"/>
  <c r="R334" i="6" s="1"/>
  <c r="R345" i="6"/>
  <c r="P244" i="6"/>
  <c r="P257" i="6"/>
  <c r="N258" i="6"/>
  <c r="R258" i="6" s="1"/>
  <c r="O258" i="6"/>
  <c r="P258" i="6"/>
  <c r="P289" i="6"/>
  <c r="N290" i="6"/>
  <c r="R290" i="6" s="1"/>
  <c r="P290" i="6"/>
  <c r="P240" i="6"/>
  <c r="N314" i="6"/>
  <c r="R314" i="6" s="1"/>
  <c r="O314" i="6"/>
  <c r="R325" i="6"/>
  <c r="N346" i="6"/>
  <c r="R346" i="6" s="1"/>
  <c r="O346" i="6"/>
  <c r="P228" i="6"/>
  <c r="P277" i="6"/>
  <c r="N278" i="6"/>
  <c r="R278" i="6" s="1"/>
  <c r="O278" i="6"/>
  <c r="P297" i="6"/>
  <c r="P355" i="6"/>
  <c r="P371" i="6"/>
  <c r="P395" i="6"/>
  <c r="P403" i="6"/>
  <c r="P442" i="6"/>
  <c r="P464" i="6"/>
  <c r="P459" i="6"/>
  <c r="P499" i="6"/>
  <c r="P451" i="6"/>
  <c r="O462" i="6"/>
  <c r="P455" i="6"/>
  <c r="P466" i="6"/>
  <c r="P493" i="6"/>
  <c r="N494" i="6"/>
  <c r="O494" i="6" s="1"/>
  <c r="N12" i="6"/>
  <c r="R12" i="6" s="1"/>
  <c r="O12" i="6"/>
  <c r="N20" i="6"/>
  <c r="R20" i="6" s="1"/>
  <c r="P20" i="6"/>
  <c r="N28" i="6"/>
  <c r="R28" i="6" s="1"/>
  <c r="O28" i="6"/>
  <c r="P28" i="6"/>
  <c r="N36" i="6"/>
  <c r="R36" i="6" s="1"/>
  <c r="P140" i="6"/>
  <c r="R140" i="6"/>
  <c r="R147" i="6"/>
  <c r="O147" i="6"/>
  <c r="N208" i="6"/>
  <c r="R208" i="6" s="1"/>
  <c r="O208" i="6"/>
  <c r="N200" i="6"/>
  <c r="R200" i="6" s="1"/>
  <c r="P200" i="6"/>
  <c r="N274" i="6"/>
  <c r="R274" i="6" s="1"/>
  <c r="O274" i="6"/>
  <c r="P274" i="6"/>
  <c r="O10" i="6"/>
  <c r="N16" i="6"/>
  <c r="R16" i="6" s="1"/>
  <c r="O16" i="6"/>
  <c r="P16" i="6"/>
  <c r="N32" i="6"/>
  <c r="R32" i="6" s="1"/>
  <c r="O47" i="6"/>
  <c r="N64" i="6"/>
  <c r="R64" i="6" s="1"/>
  <c r="P13" i="6"/>
  <c r="O53" i="6"/>
  <c r="N103" i="6"/>
  <c r="R103" i="6" s="1"/>
  <c r="O103" i="6"/>
  <c r="P103" i="6"/>
  <c r="O128" i="6"/>
  <c r="R21" i="6"/>
  <c r="R33" i="6"/>
  <c r="R41" i="6"/>
  <c r="O6" i="6"/>
  <c r="R11" i="6"/>
  <c r="R19" i="6"/>
  <c r="O41" i="6"/>
  <c r="N48" i="6"/>
  <c r="R48" i="6" s="1"/>
  <c r="P51" i="6"/>
  <c r="P14" i="6"/>
  <c r="O18" i="6"/>
  <c r="P22" i="6"/>
  <c r="P54" i="6"/>
  <c r="N107" i="6"/>
  <c r="R107" i="6" s="1"/>
  <c r="O9" i="6"/>
  <c r="R94" i="6"/>
  <c r="N79" i="6"/>
  <c r="R79" i="6" s="1"/>
  <c r="O79" i="6"/>
  <c r="P79" i="6"/>
  <c r="P128" i="6"/>
  <c r="O133" i="6"/>
  <c r="O149" i="6"/>
  <c r="R114" i="6"/>
  <c r="P148" i="6"/>
  <c r="R155" i="6"/>
  <c r="O116" i="6"/>
  <c r="O124" i="6"/>
  <c r="P139" i="6"/>
  <c r="R201" i="6"/>
  <c r="O135" i="6"/>
  <c r="P178" i="6"/>
  <c r="P191" i="6"/>
  <c r="N192" i="6"/>
  <c r="R192" i="6" s="1"/>
  <c r="O192" i="6"/>
  <c r="P192" i="6"/>
  <c r="P205" i="6"/>
  <c r="O143" i="6"/>
  <c r="O195" i="6"/>
  <c r="N233" i="6"/>
  <c r="R233" i="6" s="1"/>
  <c r="O233" i="6"/>
  <c r="O186" i="6"/>
  <c r="P197" i="6"/>
  <c r="O174" i="6"/>
  <c r="O203" i="6"/>
  <c r="N213" i="6"/>
  <c r="R213" i="6" s="1"/>
  <c r="P213" i="6"/>
  <c r="N229" i="6"/>
  <c r="R229" i="6" s="1"/>
  <c r="O229" i="6"/>
  <c r="N245" i="6"/>
  <c r="R245" i="6" s="1"/>
  <c r="P255" i="6"/>
  <c r="P263" i="6"/>
  <c r="P271" i="6"/>
  <c r="P279" i="6"/>
  <c r="P287" i="6"/>
  <c r="P295" i="6"/>
  <c r="R305" i="6"/>
  <c r="P309" i="6"/>
  <c r="N326" i="6"/>
  <c r="R326" i="6" s="1"/>
  <c r="O326" i="6"/>
  <c r="R337" i="6"/>
  <c r="P341" i="6"/>
  <c r="N266" i="6"/>
  <c r="R266" i="6" s="1"/>
  <c r="O313" i="6"/>
  <c r="R251" i="6"/>
  <c r="O251" i="6"/>
  <c r="R259" i="6"/>
  <c r="O259" i="6"/>
  <c r="R267" i="6"/>
  <c r="O267" i="6"/>
  <c r="R275" i="6"/>
  <c r="O275" i="6"/>
  <c r="R283" i="6"/>
  <c r="O283" i="6"/>
  <c r="R291" i="6"/>
  <c r="O291" i="6"/>
  <c r="N306" i="6"/>
  <c r="R306" i="6" s="1"/>
  <c r="N338" i="6"/>
  <c r="R338" i="6" s="1"/>
  <c r="P338" i="6"/>
  <c r="N254" i="6"/>
  <c r="R254" i="6" s="1"/>
  <c r="P254" i="6"/>
  <c r="N286" i="6"/>
  <c r="R286" i="6" s="1"/>
  <c r="O286" i="6"/>
  <c r="P286" i="6"/>
  <c r="N406" i="6"/>
  <c r="O406" i="6" s="1"/>
  <c r="P416" i="6"/>
  <c r="P424" i="6"/>
  <c r="P427" i="6"/>
  <c r="O355" i="6"/>
  <c r="O371" i="6"/>
  <c r="O395" i="6"/>
  <c r="P479" i="6"/>
  <c r="P495" i="6"/>
  <c r="P443" i="6"/>
  <c r="P435" i="6"/>
  <c r="P439" i="6"/>
  <c r="C121" i="4"/>
  <c r="C120" i="4"/>
  <c r="C119" i="4"/>
  <c r="C118" i="4"/>
  <c r="C117" i="4"/>
  <c r="C116" i="4"/>
  <c r="C115" i="4"/>
  <c r="C114" i="4"/>
  <c r="C113" i="4"/>
  <c r="C112" i="4"/>
  <c r="AK112" i="4" s="1"/>
  <c r="C111" i="4"/>
  <c r="C110" i="4"/>
  <c r="C109" i="4"/>
  <c r="C108" i="4"/>
  <c r="C107" i="4"/>
  <c r="C106" i="4"/>
  <c r="C105" i="4"/>
  <c r="C104" i="4"/>
  <c r="T104" i="4" s="1"/>
  <c r="C103" i="4"/>
  <c r="AK103" i="4" s="1"/>
  <c r="C102" i="4"/>
  <c r="AK102" i="4" s="1"/>
  <c r="C101" i="4"/>
  <c r="C100" i="4"/>
  <c r="C99" i="4"/>
  <c r="C98" i="4"/>
  <c r="C97" i="4"/>
  <c r="C96" i="4"/>
  <c r="C95" i="4"/>
  <c r="C94" i="4"/>
  <c r="AK94" i="4" s="1"/>
  <c r="C93" i="4"/>
  <c r="C92" i="4"/>
  <c r="AK92" i="4" s="1"/>
  <c r="C91" i="4"/>
  <c r="C90" i="4"/>
  <c r="C89" i="4"/>
  <c r="C88" i="4"/>
  <c r="C87" i="4"/>
  <c r="C86" i="4"/>
  <c r="C85" i="4"/>
  <c r="C84" i="4"/>
  <c r="AK84" i="4" s="1"/>
  <c r="C83" i="4"/>
  <c r="C82" i="4"/>
  <c r="C81" i="4"/>
  <c r="C80" i="4"/>
  <c r="T80" i="4" s="1"/>
  <c r="C79" i="4"/>
  <c r="C78" i="4"/>
  <c r="C77" i="4"/>
  <c r="C76" i="4"/>
  <c r="C75" i="4"/>
  <c r="C74" i="4"/>
  <c r="AK74" i="4" s="1"/>
  <c r="C73" i="4"/>
  <c r="C72" i="4"/>
  <c r="C71" i="4"/>
  <c r="AK71" i="4" s="1"/>
  <c r="C70" i="4"/>
  <c r="C69" i="4"/>
  <c r="C68" i="4"/>
  <c r="C67" i="4"/>
  <c r="C66" i="4"/>
  <c r="C65" i="4"/>
  <c r="C64" i="4"/>
  <c r="C63" i="4"/>
  <c r="C62" i="4"/>
  <c r="C61" i="4"/>
  <c r="AK61" i="4" s="1"/>
  <c r="C60" i="4"/>
  <c r="T60" i="4" s="1"/>
  <c r="C59" i="4"/>
  <c r="C58" i="4"/>
  <c r="AK58" i="4" s="1"/>
  <c r="C57" i="4"/>
  <c r="C56" i="4"/>
  <c r="C55" i="4"/>
  <c r="C54" i="4"/>
  <c r="C53" i="4"/>
  <c r="C52" i="4"/>
  <c r="AK52" i="4" s="1"/>
  <c r="C51" i="4"/>
  <c r="AK51" i="4" s="1"/>
  <c r="C50" i="4"/>
  <c r="C49" i="4"/>
  <c r="C48" i="4"/>
  <c r="C47" i="4"/>
  <c r="AK47" i="4" s="1"/>
  <c r="C46" i="4"/>
  <c r="C45" i="4"/>
  <c r="C44" i="4"/>
  <c r="C43" i="4"/>
  <c r="C42" i="4"/>
  <c r="C41" i="4"/>
  <c r="C40" i="4"/>
  <c r="C39" i="4"/>
  <c r="C38" i="4"/>
  <c r="C37" i="4"/>
  <c r="AK37" i="4" s="1"/>
  <c r="C36" i="4"/>
  <c r="T36" i="4" s="1"/>
  <c r="C35" i="4"/>
  <c r="C34" i="4"/>
  <c r="AK34" i="4" s="1"/>
  <c r="C33" i="4"/>
  <c r="C32" i="4"/>
  <c r="C31" i="4"/>
  <c r="C30" i="4"/>
  <c r="C29" i="4"/>
  <c r="C28" i="4"/>
  <c r="C27" i="4"/>
  <c r="AK27" i="4" s="1"/>
  <c r="C26" i="4"/>
  <c r="AK26" i="4" s="1"/>
  <c r="C25" i="4"/>
  <c r="AK25" i="4" s="1"/>
  <c r="C24" i="4"/>
  <c r="C23" i="4"/>
  <c r="AK23" i="4" s="1"/>
  <c r="C22" i="4"/>
  <c r="C21" i="4"/>
  <c r="C20" i="4"/>
  <c r="AK20" i="4" s="1"/>
  <c r="C19" i="4"/>
  <c r="AK19" i="4" s="1"/>
  <c r="C18" i="4"/>
  <c r="C17" i="4"/>
  <c r="C16" i="4"/>
  <c r="AK16" i="4" s="1"/>
  <c r="C15" i="4"/>
  <c r="AK15" i="4" s="1"/>
  <c r="C14" i="4"/>
  <c r="C13" i="4"/>
  <c r="AK13" i="4" s="1"/>
  <c r="C12" i="4"/>
  <c r="T12" i="4" s="1"/>
  <c r="C11" i="4"/>
  <c r="AK11" i="4" s="1"/>
  <c r="C10" i="4"/>
  <c r="AK10" i="4" s="1"/>
  <c r="C9" i="4"/>
  <c r="C8" i="4"/>
  <c r="C7" i="4"/>
  <c r="AK7" i="4" s="1"/>
  <c r="C6" i="4"/>
  <c r="AK6" i="4" s="1"/>
  <c r="C5" i="4"/>
  <c r="C4" i="4"/>
  <c r="C3" i="4"/>
  <c r="AK3" i="4" s="1"/>
  <c r="C2" i="4"/>
  <c r="AK2" i="4" s="1"/>
  <c r="O254" i="6" l="1"/>
  <c r="P229" i="6"/>
  <c r="O213" i="6"/>
  <c r="O200" i="6"/>
  <c r="O20" i="6"/>
  <c r="P346" i="6"/>
  <c r="P314" i="6"/>
  <c r="O290" i="6"/>
  <c r="P52" i="6"/>
  <c r="P131" i="6"/>
  <c r="P406" i="6"/>
  <c r="O306" i="6"/>
  <c r="P266" i="6"/>
  <c r="P245" i="6"/>
  <c r="P107" i="6"/>
  <c r="P48" i="6"/>
  <c r="P64" i="6"/>
  <c r="P32" i="6"/>
  <c r="P36" i="6"/>
  <c r="P494" i="6"/>
  <c r="P334" i="6"/>
  <c r="P302" i="6"/>
  <c r="P241" i="6"/>
  <c r="P209" i="6"/>
  <c r="P40" i="6"/>
  <c r="O24" i="6"/>
  <c r="P87" i="6"/>
  <c r="P74" i="6"/>
  <c r="P270" i="6"/>
  <c r="O322" i="6"/>
  <c r="P237" i="6"/>
  <c r="O221" i="6"/>
  <c r="O52" i="6"/>
  <c r="O338" i="6"/>
  <c r="P306" i="6"/>
  <c r="O266" i="6"/>
  <c r="P326" i="6"/>
  <c r="O245" i="6"/>
  <c r="P233" i="6"/>
  <c r="O107" i="6"/>
  <c r="O48" i="6"/>
  <c r="O64" i="6"/>
  <c r="O32" i="6"/>
  <c r="P208" i="6"/>
  <c r="O36" i="6"/>
  <c r="P12" i="6"/>
  <c r="P278" i="6"/>
  <c r="O334" i="6"/>
  <c r="O302" i="6"/>
  <c r="O241" i="6"/>
  <c r="O209" i="6"/>
  <c r="P99" i="6"/>
  <c r="P60" i="6"/>
  <c r="O40" i="6"/>
  <c r="P262" i="6"/>
  <c r="O298" i="6"/>
  <c r="P225" i="6"/>
  <c r="O87" i="6"/>
  <c r="O74" i="6"/>
  <c r="P44" i="6"/>
  <c r="O270" i="6"/>
  <c r="P322" i="6"/>
  <c r="P342" i="6"/>
  <c r="P310" i="6"/>
  <c r="O237" i="6"/>
  <c r="P95" i="6"/>
  <c r="P8" i="6"/>
  <c r="P318" i="6"/>
  <c r="P111" i="6"/>
  <c r="O131" i="6"/>
  <c r="T27" i="4"/>
  <c r="T10" i="4"/>
  <c r="T6" i="4"/>
  <c r="T51" i="4"/>
  <c r="T92" i="4"/>
  <c r="AK36" i="4"/>
  <c r="T20" i="4"/>
  <c r="T34" i="4"/>
  <c r="T112" i="4"/>
  <c r="T26" i="4"/>
  <c r="T71" i="4"/>
  <c r="T19" i="4"/>
  <c r="T61" i="4"/>
  <c r="T74" i="4"/>
  <c r="AK12" i="4"/>
  <c r="AK24" i="4"/>
  <c r="T24" i="4"/>
  <c r="AK42" i="4"/>
  <c r="T42" i="4"/>
  <c r="AK62" i="4"/>
  <c r="T62" i="4"/>
  <c r="AK100" i="4"/>
  <c r="T100" i="4"/>
  <c r="AK120" i="4"/>
  <c r="T120" i="4"/>
  <c r="AK35" i="4"/>
  <c r="T35" i="4"/>
  <c r="AK73" i="4"/>
  <c r="T73" i="4"/>
  <c r="T91" i="4"/>
  <c r="AK91" i="4"/>
  <c r="AK111" i="4"/>
  <c r="T111" i="4"/>
  <c r="AK14" i="4"/>
  <c r="T14" i="4"/>
  <c r="AK32" i="4"/>
  <c r="T32" i="4"/>
  <c r="AK70" i="4"/>
  <c r="T70" i="4"/>
  <c r="AK72" i="4"/>
  <c r="T72" i="4"/>
  <c r="AK90" i="4"/>
  <c r="T90" i="4"/>
  <c r="AK110" i="4"/>
  <c r="T110" i="4"/>
  <c r="T25" i="4"/>
  <c r="AK80" i="4"/>
  <c r="AK4" i="4"/>
  <c r="T4" i="4"/>
  <c r="AK22" i="4"/>
  <c r="T22" i="4"/>
  <c r="AK118" i="4"/>
  <c r="T118" i="4"/>
  <c r="AK43" i="4"/>
  <c r="T43" i="4"/>
  <c r="AK63" i="4"/>
  <c r="T63" i="4"/>
  <c r="AK83" i="4"/>
  <c r="T83" i="4"/>
  <c r="AK121" i="4"/>
  <c r="T121" i="4"/>
  <c r="T15" i="4"/>
  <c r="T52" i="4"/>
  <c r="AK39" i="4"/>
  <c r="T39" i="4"/>
  <c r="AK49" i="4"/>
  <c r="T49" i="4"/>
  <c r="AK59" i="4"/>
  <c r="T59" i="4"/>
  <c r="AK67" i="4"/>
  <c r="T67" i="4"/>
  <c r="AK87" i="4"/>
  <c r="T87" i="4"/>
  <c r="AK97" i="4"/>
  <c r="T97" i="4"/>
  <c r="AK107" i="4"/>
  <c r="T107" i="4"/>
  <c r="AK115" i="4"/>
  <c r="T115" i="4"/>
  <c r="T11" i="4"/>
  <c r="AK8" i="4"/>
  <c r="T8" i="4"/>
  <c r="AK18" i="4"/>
  <c r="T18" i="4"/>
  <c r="AK28" i="4"/>
  <c r="T28" i="4"/>
  <c r="AK38" i="4"/>
  <c r="T38" i="4"/>
  <c r="T46" i="4"/>
  <c r="AK46" i="4"/>
  <c r="AK48" i="4"/>
  <c r="T48" i="4"/>
  <c r="AK56" i="4"/>
  <c r="T56" i="4"/>
  <c r="AK66" i="4"/>
  <c r="T66" i="4"/>
  <c r="AK76" i="4"/>
  <c r="T76" i="4"/>
  <c r="AK86" i="4"/>
  <c r="T86" i="4"/>
  <c r="AK96" i="4"/>
  <c r="T96" i="4"/>
  <c r="AK114" i="4"/>
  <c r="T114" i="4"/>
  <c r="T94" i="4"/>
  <c r="AK104" i="4"/>
  <c r="AK30" i="4"/>
  <c r="T30" i="4"/>
  <c r="AK40" i="4"/>
  <c r="T40" i="4"/>
  <c r="AK44" i="4"/>
  <c r="T44" i="4"/>
  <c r="AK50" i="4"/>
  <c r="T50" i="4"/>
  <c r="AK54" i="4"/>
  <c r="T54" i="4"/>
  <c r="AK64" i="4"/>
  <c r="T64" i="4"/>
  <c r="AK68" i="4"/>
  <c r="T68" i="4"/>
  <c r="AK78" i="4"/>
  <c r="T78" i="4"/>
  <c r="AK82" i="4"/>
  <c r="T82" i="4"/>
  <c r="AK88" i="4"/>
  <c r="T88" i="4"/>
  <c r="AK98" i="4"/>
  <c r="T98" i="4"/>
  <c r="AK106" i="4"/>
  <c r="T106" i="4"/>
  <c r="AK108" i="4"/>
  <c r="T108" i="4"/>
  <c r="AK116" i="4"/>
  <c r="T116" i="4"/>
  <c r="T2" i="4"/>
  <c r="T7" i="4"/>
  <c r="T16" i="4"/>
  <c r="T37" i="4"/>
  <c r="T47" i="4"/>
  <c r="T102" i="4"/>
  <c r="AK60" i="4"/>
  <c r="AK31" i="4"/>
  <c r="T31" i="4"/>
  <c r="AK55" i="4"/>
  <c r="T55" i="4"/>
  <c r="AK75" i="4"/>
  <c r="T75" i="4"/>
  <c r="T79" i="4"/>
  <c r="AK79" i="4"/>
  <c r="AK85" i="4"/>
  <c r="T85" i="4"/>
  <c r="AK95" i="4"/>
  <c r="T95" i="4"/>
  <c r="AK99" i="4"/>
  <c r="T99" i="4"/>
  <c r="AK109" i="4"/>
  <c r="T109" i="4"/>
  <c r="AK119" i="4"/>
  <c r="T119" i="4"/>
  <c r="T3" i="4"/>
  <c r="T13" i="4"/>
  <c r="T23" i="4"/>
  <c r="T58" i="4"/>
  <c r="T84" i="4"/>
  <c r="T103" i="4"/>
  <c r="Y2" i="34" l="1"/>
  <c r="A2" i="34" s="1"/>
  <c r="M9" i="9"/>
  <c r="AI3" i="34"/>
  <c r="AI4" i="34" s="1"/>
  <c r="AI5" i="34" s="1"/>
  <c r="AI6" i="34" s="1"/>
  <c r="AI7" i="34" s="1"/>
  <c r="AI8" i="34" s="1"/>
  <c r="AI9" i="34" s="1"/>
  <c r="AI10" i="34" s="1"/>
  <c r="AI11" i="34" s="1"/>
  <c r="AI12" i="34" s="1"/>
  <c r="AI13" i="34" s="1"/>
  <c r="AI14" i="34" s="1"/>
  <c r="AI15" i="34" s="1"/>
  <c r="AI16" i="34" s="1"/>
  <c r="AI17" i="34" s="1"/>
  <c r="AI18" i="34" s="1"/>
  <c r="AI19" i="34" s="1"/>
  <c r="AI20" i="34" s="1"/>
  <c r="AI21" i="34" s="1"/>
  <c r="AI22" i="34" s="1"/>
  <c r="AI23" i="34" s="1"/>
  <c r="AI24" i="34" s="1"/>
  <c r="AI25" i="34" s="1"/>
  <c r="AI26" i="34" s="1"/>
  <c r="AI27" i="34" s="1"/>
  <c r="AI28" i="34" s="1"/>
  <c r="AI29" i="34" s="1"/>
  <c r="AI30" i="34" s="1"/>
  <c r="AI31" i="34" s="1"/>
  <c r="AI32" i="34" s="1"/>
  <c r="AI33" i="34" s="1"/>
  <c r="AI34" i="34" s="1"/>
  <c r="AI35" i="34" s="1"/>
  <c r="AI36" i="34" s="1"/>
  <c r="AI37" i="34" s="1"/>
  <c r="AI38" i="34" s="1"/>
  <c r="AI39" i="34" s="1"/>
  <c r="AI40" i="34" s="1"/>
  <c r="AI41" i="34" s="1"/>
  <c r="AI42" i="34" s="1"/>
  <c r="AI43" i="34" s="1"/>
  <c r="AI44" i="34" s="1"/>
  <c r="AI45" i="34" s="1"/>
  <c r="AI46" i="34" s="1"/>
  <c r="AI47" i="34" s="1"/>
  <c r="AI48" i="34" s="1"/>
  <c r="AI49" i="34" s="1"/>
  <c r="AI50" i="34" s="1"/>
  <c r="AI51" i="34" s="1"/>
  <c r="AI52" i="34" s="1"/>
  <c r="AI53" i="34" s="1"/>
  <c r="AI54" i="34" s="1"/>
  <c r="AI55" i="34" s="1"/>
  <c r="AI56" i="34" s="1"/>
  <c r="AI57" i="34" s="1"/>
  <c r="AI58" i="34" s="1"/>
  <c r="AI59" i="34" s="1"/>
  <c r="AI60" i="34" s="1"/>
  <c r="AI61" i="34" s="1"/>
  <c r="AI62" i="34" s="1"/>
  <c r="AI63" i="34" s="1"/>
  <c r="AI64" i="34" s="1"/>
  <c r="AI65" i="34" s="1"/>
  <c r="AI66" i="34" s="1"/>
  <c r="AI67" i="34" s="1"/>
  <c r="AI68" i="34" s="1"/>
  <c r="AI69" i="34" s="1"/>
  <c r="AI70" i="34" s="1"/>
  <c r="AI71" i="34" s="1"/>
  <c r="AI72" i="34" s="1"/>
  <c r="AI73" i="34" s="1"/>
  <c r="AI74" i="34" s="1"/>
  <c r="AI75" i="34" s="1"/>
  <c r="AI76" i="34" s="1"/>
  <c r="AI77" i="34" s="1"/>
  <c r="AI78" i="34" s="1"/>
  <c r="AI79" i="34" s="1"/>
  <c r="AI80" i="34" s="1"/>
  <c r="AI81" i="34" s="1"/>
  <c r="AI82" i="34" s="1"/>
  <c r="AI83" i="34" s="1"/>
  <c r="AI84" i="34" s="1"/>
  <c r="AI85" i="34" s="1"/>
  <c r="AI86" i="34" s="1"/>
  <c r="AI87" i="34" s="1"/>
  <c r="AI88" i="34" s="1"/>
  <c r="AI89" i="34" s="1"/>
  <c r="AI90" i="34" s="1"/>
  <c r="AI91" i="34" s="1"/>
  <c r="AI92" i="34" s="1"/>
  <c r="AI93" i="34" s="1"/>
  <c r="AI94" i="34" s="1"/>
  <c r="AI95" i="34" s="1"/>
  <c r="AI96" i="34" s="1"/>
  <c r="AI97" i="34" s="1"/>
  <c r="AI98" i="34" s="1"/>
  <c r="AI99" i="34" s="1"/>
  <c r="AI100" i="34" s="1"/>
  <c r="AI101" i="34" s="1"/>
  <c r="AG3" i="34"/>
  <c r="AG4" i="34"/>
  <c r="AG5" i="34"/>
  <c r="AG6" i="34"/>
  <c r="AG7" i="34"/>
  <c r="AG8" i="34"/>
  <c r="AG9" i="34"/>
  <c r="AG10" i="34"/>
  <c r="AG11" i="34"/>
  <c r="AG12" i="34"/>
  <c r="AG13" i="34"/>
  <c r="AG14" i="34"/>
  <c r="AG15" i="34"/>
  <c r="AG16" i="34"/>
  <c r="AG17" i="34"/>
  <c r="AG18" i="34"/>
  <c r="AG19" i="34"/>
  <c r="AG20" i="34"/>
  <c r="AG21" i="34"/>
  <c r="AG22" i="34"/>
  <c r="AG23" i="34"/>
  <c r="AG24" i="34"/>
  <c r="AG25" i="34"/>
  <c r="AG26" i="34"/>
  <c r="AG27" i="34"/>
  <c r="AG28" i="34"/>
  <c r="AG29" i="34"/>
  <c r="AG30" i="34"/>
  <c r="AG31" i="34"/>
  <c r="AG32" i="34"/>
  <c r="AG33" i="34"/>
  <c r="AG2" i="34"/>
  <c r="Y180" i="34"/>
  <c r="Y10" i="34"/>
  <c r="Y18" i="34"/>
  <c r="Y23" i="34"/>
  <c r="Y26" i="34"/>
  <c r="A26" i="34" s="1"/>
  <c r="Y31" i="34"/>
  <c r="Y34" i="34"/>
  <c r="Y39" i="34"/>
  <c r="Y42" i="34"/>
  <c r="A42" i="34" s="1"/>
  <c r="Y47" i="34"/>
  <c r="Y50" i="34"/>
  <c r="Y55" i="34"/>
  <c r="Y58" i="34"/>
  <c r="A58" i="34" s="1"/>
  <c r="Y63" i="34"/>
  <c r="Y65" i="34"/>
  <c r="A65" i="34" s="1"/>
  <c r="Y70" i="34"/>
  <c r="A70" i="34" s="1"/>
  <c r="Y71" i="34"/>
  <c r="Y78" i="34"/>
  <c r="A78" i="34" s="1"/>
  <c r="Y79" i="34"/>
  <c r="Y86" i="34"/>
  <c r="A86" i="34" s="1"/>
  <c r="Y87" i="34"/>
  <c r="Y94" i="34"/>
  <c r="A94" i="34" s="1"/>
  <c r="Y95" i="34"/>
  <c r="Y102" i="34"/>
  <c r="Y103" i="34"/>
  <c r="Y110" i="34"/>
  <c r="Y111" i="34"/>
  <c r="Y118" i="34"/>
  <c r="Y119" i="34"/>
  <c r="Y126" i="34"/>
  <c r="Y127" i="34"/>
  <c r="Y134" i="34"/>
  <c r="Y135" i="34"/>
  <c r="Y143" i="34"/>
  <c r="Y144" i="34"/>
  <c r="Y151" i="34"/>
  <c r="Y152" i="34"/>
  <c r="Y161" i="34"/>
  <c r="A161" i="34" s="1"/>
  <c r="Y162" i="34"/>
  <c r="Y170" i="34"/>
  <c r="A170" i="34" s="1"/>
  <c r="Y171" i="34"/>
  <c r="Y178" i="34"/>
  <c r="Y179" i="34"/>
  <c r="Y188" i="34"/>
  <c r="Y189" i="34"/>
  <c r="Y196" i="34"/>
  <c r="Y197" i="34"/>
  <c r="A197" i="34" s="1"/>
  <c r="Y204" i="34"/>
  <c r="Y205" i="34"/>
  <c r="Y212" i="34"/>
  <c r="Y213" i="34"/>
  <c r="Y221" i="34"/>
  <c r="Y222" i="34"/>
  <c r="Y231" i="34"/>
  <c r="Y232" i="34"/>
  <c r="Y240" i="34"/>
  <c r="Y241" i="34"/>
  <c r="Y246" i="34"/>
  <c r="A246" i="34" s="1"/>
  <c r="Y248" i="34"/>
  <c r="Y252" i="34"/>
  <c r="Y253" i="34"/>
  <c r="Y257" i="34"/>
  <c r="A257" i="34" s="1"/>
  <c r="Y258" i="34"/>
  <c r="Y262" i="34"/>
  <c r="A262" i="34" s="1"/>
  <c r="Y264" i="34"/>
  <c r="Y268" i="34"/>
  <c r="Y269" i="34"/>
  <c r="Y273" i="34"/>
  <c r="Y274" i="34"/>
  <c r="Y278" i="34"/>
  <c r="Y281" i="34"/>
  <c r="Y285" i="34"/>
  <c r="Y286" i="34"/>
  <c r="A286" i="34" s="1"/>
  <c r="Y290" i="34"/>
  <c r="Y291" i="34"/>
  <c r="Y295" i="34"/>
  <c r="Y298" i="34"/>
  <c r="Y3" i="34"/>
  <c r="Z3" i="34" s="1"/>
  <c r="B3" i="34"/>
  <c r="B4" i="34"/>
  <c r="B5" i="34"/>
  <c r="B6" i="34"/>
  <c r="B7" i="34"/>
  <c r="B8" i="34"/>
  <c r="B9" i="34"/>
  <c r="B10" i="34"/>
  <c r="B11" i="34"/>
  <c r="B12" i="34"/>
  <c r="B13" i="34"/>
  <c r="B14" i="34"/>
  <c r="B15" i="34"/>
  <c r="B16" i="34"/>
  <c r="B17" i="34"/>
  <c r="B18" i="34"/>
  <c r="B19" i="34"/>
  <c r="B20" i="34"/>
  <c r="B21" i="34"/>
  <c r="B22" i="34"/>
  <c r="B23" i="34"/>
  <c r="B24" i="34"/>
  <c r="B25" i="34"/>
  <c r="B26" i="34"/>
  <c r="B27" i="34"/>
  <c r="B28" i="34"/>
  <c r="B29" i="34"/>
  <c r="B30" i="34"/>
  <c r="B31" i="34"/>
  <c r="B32" i="34"/>
  <c r="B33" i="34"/>
  <c r="B34" i="34"/>
  <c r="B35" i="34"/>
  <c r="B36" i="34"/>
  <c r="B37" i="34"/>
  <c r="B38" i="34"/>
  <c r="B39" i="34"/>
  <c r="B40" i="34"/>
  <c r="B41" i="34"/>
  <c r="B42" i="34"/>
  <c r="B43" i="34"/>
  <c r="B44" i="34"/>
  <c r="B45" i="34"/>
  <c r="B46" i="34"/>
  <c r="B47" i="34"/>
  <c r="B48" i="34"/>
  <c r="B49" i="34"/>
  <c r="B50" i="34"/>
  <c r="B51" i="34"/>
  <c r="B52" i="34"/>
  <c r="B53" i="34"/>
  <c r="B54" i="34"/>
  <c r="B55" i="34"/>
  <c r="B56" i="34"/>
  <c r="B57" i="34"/>
  <c r="B58" i="34"/>
  <c r="B59" i="34"/>
  <c r="B60" i="34"/>
  <c r="B61" i="34"/>
  <c r="B62" i="34"/>
  <c r="B63" i="34"/>
  <c r="B64" i="34"/>
  <c r="B65" i="34"/>
  <c r="B66" i="34"/>
  <c r="B67" i="34"/>
  <c r="B68" i="34"/>
  <c r="B69" i="34"/>
  <c r="B70" i="34"/>
  <c r="B71" i="34"/>
  <c r="B72" i="34"/>
  <c r="B73" i="34"/>
  <c r="B74" i="34"/>
  <c r="B75" i="34"/>
  <c r="B76" i="34"/>
  <c r="B77" i="34"/>
  <c r="B78" i="34"/>
  <c r="B79" i="34"/>
  <c r="B80" i="34"/>
  <c r="B81" i="34"/>
  <c r="B82" i="34"/>
  <c r="B83" i="34"/>
  <c r="B84" i="34"/>
  <c r="B85" i="34"/>
  <c r="B86" i="34"/>
  <c r="B87" i="34"/>
  <c r="B88" i="34"/>
  <c r="B89" i="34"/>
  <c r="B90" i="34"/>
  <c r="B91" i="34"/>
  <c r="B92" i="34"/>
  <c r="B93" i="34"/>
  <c r="B94" i="34"/>
  <c r="B95" i="34"/>
  <c r="B96" i="34"/>
  <c r="B97" i="34"/>
  <c r="B98" i="34"/>
  <c r="B99" i="34"/>
  <c r="B100" i="34"/>
  <c r="B101" i="34"/>
  <c r="B102" i="34"/>
  <c r="B103" i="34"/>
  <c r="B104" i="34"/>
  <c r="B105" i="34"/>
  <c r="B106" i="34"/>
  <c r="B107" i="34"/>
  <c r="B108" i="34"/>
  <c r="B109" i="34"/>
  <c r="B110" i="34"/>
  <c r="B111" i="34"/>
  <c r="B112" i="34"/>
  <c r="B113" i="34"/>
  <c r="B114" i="34"/>
  <c r="B115" i="34"/>
  <c r="B116" i="34"/>
  <c r="B117" i="34"/>
  <c r="B118" i="34"/>
  <c r="B119" i="34"/>
  <c r="B120" i="34"/>
  <c r="B121" i="34"/>
  <c r="B122" i="34"/>
  <c r="B123" i="34"/>
  <c r="B124" i="34"/>
  <c r="B125" i="34"/>
  <c r="B126" i="34"/>
  <c r="B127" i="34"/>
  <c r="B128" i="34"/>
  <c r="B129" i="34"/>
  <c r="B130" i="34"/>
  <c r="B131" i="34"/>
  <c r="B132" i="34"/>
  <c r="B133" i="34"/>
  <c r="B134" i="34"/>
  <c r="B135" i="34"/>
  <c r="B136" i="34"/>
  <c r="B137" i="34"/>
  <c r="B138" i="34"/>
  <c r="B139" i="34"/>
  <c r="B140" i="34"/>
  <c r="B141" i="34"/>
  <c r="B142" i="34"/>
  <c r="B143" i="34"/>
  <c r="B144" i="34"/>
  <c r="B145" i="34"/>
  <c r="B146" i="34"/>
  <c r="B147" i="34"/>
  <c r="B148" i="34"/>
  <c r="B149" i="34"/>
  <c r="B150" i="34"/>
  <c r="B151" i="34"/>
  <c r="B152" i="34"/>
  <c r="B153" i="34"/>
  <c r="B154" i="34"/>
  <c r="B155" i="34"/>
  <c r="B156" i="34"/>
  <c r="B157" i="34"/>
  <c r="B158" i="34"/>
  <c r="B159" i="34"/>
  <c r="B160" i="34"/>
  <c r="B161" i="34"/>
  <c r="B162" i="34"/>
  <c r="B163" i="34"/>
  <c r="B164" i="34"/>
  <c r="B165" i="34"/>
  <c r="B166" i="34"/>
  <c r="B167" i="34"/>
  <c r="B168" i="34"/>
  <c r="B169" i="34"/>
  <c r="B170" i="34"/>
  <c r="B171" i="34"/>
  <c r="B172" i="34"/>
  <c r="B173" i="34"/>
  <c r="B174" i="34"/>
  <c r="B175" i="34"/>
  <c r="B176" i="34"/>
  <c r="B177" i="34"/>
  <c r="B178" i="34"/>
  <c r="B179" i="34"/>
  <c r="B180" i="34"/>
  <c r="B181" i="34"/>
  <c r="B182" i="34"/>
  <c r="B183" i="34"/>
  <c r="B184" i="34"/>
  <c r="B185" i="34"/>
  <c r="B186" i="34"/>
  <c r="B187" i="34"/>
  <c r="B188" i="34"/>
  <c r="B189" i="34"/>
  <c r="B190" i="34"/>
  <c r="B191" i="34"/>
  <c r="B192" i="34"/>
  <c r="B193" i="34"/>
  <c r="B194" i="34"/>
  <c r="B195" i="34"/>
  <c r="B196" i="34"/>
  <c r="B197" i="34"/>
  <c r="B198" i="34"/>
  <c r="B199" i="34"/>
  <c r="B200" i="34"/>
  <c r="B201" i="34"/>
  <c r="B202" i="34"/>
  <c r="B203" i="34"/>
  <c r="B204" i="34"/>
  <c r="B205" i="34"/>
  <c r="B206" i="34"/>
  <c r="B207" i="34"/>
  <c r="B208" i="34"/>
  <c r="B209" i="34"/>
  <c r="B210" i="34"/>
  <c r="B211" i="34"/>
  <c r="B212" i="34"/>
  <c r="B213" i="34"/>
  <c r="B214" i="34"/>
  <c r="B215" i="34"/>
  <c r="B216" i="34"/>
  <c r="B217" i="34"/>
  <c r="B218" i="34"/>
  <c r="B219" i="34"/>
  <c r="B220" i="34"/>
  <c r="B221" i="34"/>
  <c r="B222" i="34"/>
  <c r="B223" i="34"/>
  <c r="B224" i="34"/>
  <c r="B225" i="34"/>
  <c r="B226" i="34"/>
  <c r="B227" i="34"/>
  <c r="B228" i="34"/>
  <c r="B229" i="34"/>
  <c r="B230" i="34"/>
  <c r="B231" i="34"/>
  <c r="B232" i="34"/>
  <c r="B233" i="34"/>
  <c r="B234" i="34"/>
  <c r="B235" i="34"/>
  <c r="B236" i="34"/>
  <c r="B237" i="34"/>
  <c r="B238" i="34"/>
  <c r="B239" i="34"/>
  <c r="B240" i="34"/>
  <c r="B241" i="34"/>
  <c r="B242" i="34"/>
  <c r="B243" i="34"/>
  <c r="B244" i="34"/>
  <c r="B245" i="34"/>
  <c r="B246" i="34"/>
  <c r="B247" i="34"/>
  <c r="B248" i="34"/>
  <c r="B249" i="34"/>
  <c r="B250" i="34"/>
  <c r="B251" i="34"/>
  <c r="B252" i="34"/>
  <c r="B253" i="34"/>
  <c r="B254" i="34"/>
  <c r="B255" i="34"/>
  <c r="B256" i="34"/>
  <c r="B257" i="34"/>
  <c r="B258" i="34"/>
  <c r="B259" i="34"/>
  <c r="B260" i="34"/>
  <c r="B261" i="34"/>
  <c r="B262" i="34"/>
  <c r="B263" i="34"/>
  <c r="B264" i="34"/>
  <c r="B265" i="34"/>
  <c r="B266" i="34"/>
  <c r="B267" i="34"/>
  <c r="B268" i="34"/>
  <c r="B269" i="34"/>
  <c r="B270" i="34"/>
  <c r="B271" i="34"/>
  <c r="B272" i="34"/>
  <c r="B273" i="34"/>
  <c r="B274" i="34"/>
  <c r="B275" i="34"/>
  <c r="B276" i="34"/>
  <c r="B277" i="34"/>
  <c r="B278" i="34"/>
  <c r="B279" i="34"/>
  <c r="B280" i="34"/>
  <c r="B281" i="34"/>
  <c r="B282" i="34"/>
  <c r="B283" i="34"/>
  <c r="B284" i="34"/>
  <c r="B285" i="34"/>
  <c r="B286" i="34"/>
  <c r="B287" i="34"/>
  <c r="B288" i="34"/>
  <c r="B289" i="34"/>
  <c r="B290" i="34"/>
  <c r="B291" i="34"/>
  <c r="B292" i="34"/>
  <c r="B293" i="34"/>
  <c r="B294" i="34"/>
  <c r="B295" i="34"/>
  <c r="B296" i="34"/>
  <c r="B297" i="34"/>
  <c r="B298" i="34"/>
  <c r="B299" i="34"/>
  <c r="B300" i="34"/>
  <c r="B301" i="34"/>
  <c r="B2" i="34"/>
  <c r="Y15" i="34" l="1"/>
  <c r="A15" i="34" s="1"/>
  <c r="Y7" i="34"/>
  <c r="A7" i="34" s="1"/>
  <c r="Y300" i="34"/>
  <c r="A300" i="34" s="1"/>
  <c r="Y294" i="34"/>
  <c r="A294" i="34" s="1"/>
  <c r="Y283" i="34"/>
  <c r="A283" i="34" s="1"/>
  <c r="Y272" i="34"/>
  <c r="A272" i="34" s="1"/>
  <c r="Y261" i="34"/>
  <c r="A261" i="34" s="1"/>
  <c r="Y250" i="34"/>
  <c r="A250" i="34" s="1"/>
  <c r="Y237" i="34"/>
  <c r="Y218" i="34"/>
  <c r="A218" i="34" s="1"/>
  <c r="Y193" i="34"/>
  <c r="A193" i="34" s="1"/>
  <c r="Y299" i="34"/>
  <c r="A299" i="34" s="1"/>
  <c r="Y293" i="34"/>
  <c r="A293" i="34" s="1"/>
  <c r="Y287" i="34"/>
  <c r="Y282" i="34"/>
  <c r="A282" i="34" s="1"/>
  <c r="Y276" i="34"/>
  <c r="A276" i="34" s="1"/>
  <c r="Y270" i="34"/>
  <c r="A270" i="34" s="1"/>
  <c r="Y265" i="34"/>
  <c r="A265" i="34" s="1"/>
  <c r="Y260" i="34"/>
  <c r="A260" i="34" s="1"/>
  <c r="Y254" i="34"/>
  <c r="A254" i="34" s="1"/>
  <c r="Y249" i="34"/>
  <c r="A249" i="34" s="1"/>
  <c r="Y244" i="34"/>
  <c r="A244" i="34" s="1"/>
  <c r="Y236" i="34"/>
  <c r="A236" i="34" s="1"/>
  <c r="Y227" i="34"/>
  <c r="A227" i="34" s="1"/>
  <c r="Y216" i="34"/>
  <c r="A216" i="34" s="1"/>
  <c r="Y208" i="34"/>
  <c r="Y200" i="34"/>
  <c r="A200" i="34" s="1"/>
  <c r="Y192" i="34"/>
  <c r="A192" i="34" s="1"/>
  <c r="Y184" i="34"/>
  <c r="A184" i="34" s="1"/>
  <c r="Y174" i="34"/>
  <c r="Y165" i="34"/>
  <c r="A165" i="34" s="1"/>
  <c r="Y157" i="34"/>
  <c r="A157" i="34" s="1"/>
  <c r="Y147" i="34"/>
  <c r="A147" i="34" s="1"/>
  <c r="Y138" i="34"/>
  <c r="Y130" i="34"/>
  <c r="A130" i="34" s="1"/>
  <c r="Y122" i="34"/>
  <c r="A122" i="34" s="1"/>
  <c r="Y114" i="34"/>
  <c r="A114" i="34" s="1"/>
  <c r="Y106" i="34"/>
  <c r="Y98" i="34"/>
  <c r="A98" i="34" s="1"/>
  <c r="Y90" i="34"/>
  <c r="A90" i="34" s="1"/>
  <c r="Y82" i="34"/>
  <c r="A82" i="34" s="1"/>
  <c r="Y74" i="34"/>
  <c r="Y66" i="34"/>
  <c r="A66" i="34" s="1"/>
  <c r="Y59" i="34"/>
  <c r="A59" i="34" s="1"/>
  <c r="Y51" i="34"/>
  <c r="A51" i="34" s="1"/>
  <c r="Y43" i="34"/>
  <c r="Y35" i="34"/>
  <c r="A35" i="34" s="1"/>
  <c r="Y27" i="34"/>
  <c r="A27" i="34" s="1"/>
  <c r="Y19" i="34"/>
  <c r="A19" i="34" s="1"/>
  <c r="Y11" i="34"/>
  <c r="Y139" i="34"/>
  <c r="A139" i="34" s="1"/>
  <c r="Y4" i="34"/>
  <c r="Z4" i="34" s="1"/>
  <c r="Y8" i="34"/>
  <c r="A8" i="34" s="1"/>
  <c r="Y12" i="34"/>
  <c r="Y16" i="34"/>
  <c r="A16" i="34" s="1"/>
  <c r="Y20" i="34"/>
  <c r="A20" i="34" s="1"/>
  <c r="Y24" i="34"/>
  <c r="A24" i="34" s="1"/>
  <c r="Y28" i="34"/>
  <c r="Y32" i="34"/>
  <c r="A32" i="34" s="1"/>
  <c r="Y36" i="34"/>
  <c r="A36" i="34" s="1"/>
  <c r="Y40" i="34"/>
  <c r="A40" i="34" s="1"/>
  <c r="Y44" i="34"/>
  <c r="A44" i="34" s="1"/>
  <c r="Y48" i="34"/>
  <c r="A48" i="34" s="1"/>
  <c r="Y52" i="34"/>
  <c r="A52" i="34" s="1"/>
  <c r="Y56" i="34"/>
  <c r="A56" i="34" s="1"/>
  <c r="Y60" i="34"/>
  <c r="Y64" i="34"/>
  <c r="A64" i="34" s="1"/>
  <c r="Y68" i="34"/>
  <c r="A68" i="34" s="1"/>
  <c r="Y72" i="34"/>
  <c r="A72" i="34" s="1"/>
  <c r="Y76" i="34"/>
  <c r="Y80" i="34"/>
  <c r="A80" i="34" s="1"/>
  <c r="Y84" i="34"/>
  <c r="A84" i="34" s="1"/>
  <c r="Y88" i="34"/>
  <c r="A88" i="34" s="1"/>
  <c r="Y92" i="34"/>
  <c r="Y96" i="34"/>
  <c r="A96" i="34" s="1"/>
  <c r="Y100" i="34"/>
  <c r="A100" i="34" s="1"/>
  <c r="Y104" i="34"/>
  <c r="A104" i="34" s="1"/>
  <c r="Y108" i="34"/>
  <c r="A108" i="34" s="1"/>
  <c r="Y112" i="34"/>
  <c r="A112" i="34" s="1"/>
  <c r="Y116" i="34"/>
  <c r="A116" i="34" s="1"/>
  <c r="Y120" i="34"/>
  <c r="A120" i="34" s="1"/>
  <c r="Y124" i="34"/>
  <c r="Y128" i="34"/>
  <c r="A128" i="34" s="1"/>
  <c r="Y132" i="34"/>
  <c r="A132" i="34" s="1"/>
  <c r="Y136" i="34"/>
  <c r="A136" i="34" s="1"/>
  <c r="Y141" i="34"/>
  <c r="Y145" i="34"/>
  <c r="A145" i="34" s="1"/>
  <c r="Y149" i="34"/>
  <c r="A149" i="34" s="1"/>
  <c r="Y153" i="34"/>
  <c r="A153" i="34" s="1"/>
  <c r="Y159" i="34"/>
  <c r="Y163" i="34"/>
  <c r="A163" i="34" s="1"/>
  <c r="Y167" i="34"/>
  <c r="A167" i="34" s="1"/>
  <c r="Y172" i="34"/>
  <c r="A172" i="34" s="1"/>
  <c r="Y176" i="34"/>
  <c r="A176" i="34" s="1"/>
  <c r="Y182" i="34"/>
  <c r="A182" i="34" s="1"/>
  <c r="Y186" i="34"/>
  <c r="A186" i="34" s="1"/>
  <c r="Y190" i="34"/>
  <c r="A190" i="34" s="1"/>
  <c r="Y194" i="34"/>
  <c r="A194" i="34" s="1"/>
  <c r="Y198" i="34"/>
  <c r="A198" i="34" s="1"/>
  <c r="Y202" i="34"/>
  <c r="A202" i="34" s="1"/>
  <c r="Y206" i="34"/>
  <c r="A206" i="34" s="1"/>
  <c r="Y210" i="34"/>
  <c r="Y214" i="34"/>
  <c r="A214" i="34" s="1"/>
  <c r="Y219" i="34"/>
  <c r="A219" i="34" s="1"/>
  <c r="Y224" i="34"/>
  <c r="A224" i="34" s="1"/>
  <c r="Y229" i="34"/>
  <c r="A229" i="34" s="1"/>
  <c r="Y233" i="34"/>
  <c r="A233" i="34" s="1"/>
  <c r="Y238" i="34"/>
  <c r="A238" i="34" s="1"/>
  <c r="Y242" i="34"/>
  <c r="A242" i="34" s="1"/>
  <c r="Y280" i="34"/>
  <c r="A280" i="34" s="1"/>
  <c r="Y5" i="34"/>
  <c r="A5" i="34" s="1"/>
  <c r="Y9" i="34"/>
  <c r="A9" i="34" s="1"/>
  <c r="Y13" i="34"/>
  <c r="A13" i="34" s="1"/>
  <c r="Y17" i="34"/>
  <c r="A17" i="34" s="1"/>
  <c r="Y21" i="34"/>
  <c r="A21" i="34" s="1"/>
  <c r="Y25" i="34"/>
  <c r="A25" i="34" s="1"/>
  <c r="Y29" i="34"/>
  <c r="A29" i="34" s="1"/>
  <c r="Y33" i="34"/>
  <c r="A33" i="34" s="1"/>
  <c r="Y37" i="34"/>
  <c r="A37" i="34" s="1"/>
  <c r="Y41" i="34"/>
  <c r="A41" i="34" s="1"/>
  <c r="Y45" i="34"/>
  <c r="A45" i="34" s="1"/>
  <c r="Y49" i="34"/>
  <c r="A49" i="34" s="1"/>
  <c r="Y53" i="34"/>
  <c r="A53" i="34" s="1"/>
  <c r="Y57" i="34"/>
  <c r="A57" i="34" s="1"/>
  <c r="Y61" i="34"/>
  <c r="A61" i="34" s="1"/>
  <c r="Y69" i="34"/>
  <c r="A69" i="34" s="1"/>
  <c r="Y73" i="34"/>
  <c r="A73" i="34" s="1"/>
  <c r="Y77" i="34"/>
  <c r="A77" i="34" s="1"/>
  <c r="Y81" i="34"/>
  <c r="A81" i="34" s="1"/>
  <c r="Y85" i="34"/>
  <c r="A85" i="34" s="1"/>
  <c r="Y89" i="34"/>
  <c r="A89" i="34" s="1"/>
  <c r="Y93" i="34"/>
  <c r="A93" i="34" s="1"/>
  <c r="Y97" i="34"/>
  <c r="A97" i="34" s="1"/>
  <c r="Y101" i="34"/>
  <c r="A101" i="34" s="1"/>
  <c r="Y105" i="34"/>
  <c r="A105" i="34" s="1"/>
  <c r="Y109" i="34"/>
  <c r="A109" i="34" s="1"/>
  <c r="Y113" i="34"/>
  <c r="A113" i="34" s="1"/>
  <c r="Y117" i="34"/>
  <c r="Y121" i="34"/>
  <c r="A121" i="34" s="1"/>
  <c r="Y125" i="34"/>
  <c r="A125" i="34" s="1"/>
  <c r="Y129" i="34"/>
  <c r="A129" i="34" s="1"/>
  <c r="Y133" i="34"/>
  <c r="A133" i="34" s="1"/>
  <c r="Y137" i="34"/>
  <c r="A137" i="34" s="1"/>
  <c r="Y142" i="34"/>
  <c r="A142" i="34" s="1"/>
  <c r="Y146" i="34"/>
  <c r="A146" i="34" s="1"/>
  <c r="Y150" i="34"/>
  <c r="A150" i="34" s="1"/>
  <c r="Y156" i="34"/>
  <c r="A156" i="34" s="1"/>
  <c r="Y160" i="34"/>
  <c r="A160" i="34" s="1"/>
  <c r="Y164" i="34"/>
  <c r="A164" i="34" s="1"/>
  <c r="Y168" i="34"/>
  <c r="A168" i="34" s="1"/>
  <c r="Y173" i="34"/>
  <c r="A173" i="34" s="1"/>
  <c r="Y177" i="34"/>
  <c r="A177" i="34" s="1"/>
  <c r="Y183" i="34"/>
  <c r="A183" i="34" s="1"/>
  <c r="Y187" i="34"/>
  <c r="A187" i="34" s="1"/>
  <c r="Y191" i="34"/>
  <c r="A191" i="34" s="1"/>
  <c r="Y195" i="34"/>
  <c r="A195" i="34" s="1"/>
  <c r="Y199" i="34"/>
  <c r="A199" i="34" s="1"/>
  <c r="Y203" i="34"/>
  <c r="A203" i="34" s="1"/>
  <c r="Y207" i="34"/>
  <c r="A207" i="34" s="1"/>
  <c r="Y211" i="34"/>
  <c r="A211" i="34" s="1"/>
  <c r="Y215" i="34"/>
  <c r="A215" i="34" s="1"/>
  <c r="Y220" i="34"/>
  <c r="A220" i="34" s="1"/>
  <c r="Y226" i="34"/>
  <c r="A226" i="34" s="1"/>
  <c r="Y230" i="34"/>
  <c r="A230" i="34" s="1"/>
  <c r="Y234" i="34"/>
  <c r="A234" i="34" s="1"/>
  <c r="Y239" i="34"/>
  <c r="A239" i="34" s="1"/>
  <c r="Y243" i="34"/>
  <c r="A243" i="34" s="1"/>
  <c r="Y247" i="34"/>
  <c r="A247" i="34" s="1"/>
  <c r="Y251" i="34"/>
  <c r="A251" i="34" s="1"/>
  <c r="Y255" i="34"/>
  <c r="Y259" i="34"/>
  <c r="A259" i="34" s="1"/>
  <c r="Y263" i="34"/>
  <c r="A263" i="34" s="1"/>
  <c r="Y267" i="34"/>
  <c r="A267" i="34" s="1"/>
  <c r="Y271" i="34"/>
  <c r="Y275" i="34"/>
  <c r="A275" i="34" s="1"/>
  <c r="Y279" i="34"/>
  <c r="A279" i="34" s="1"/>
  <c r="Y284" i="34"/>
  <c r="A284" i="34" s="1"/>
  <c r="Y288" i="34"/>
  <c r="Y292" i="34"/>
  <c r="A292" i="34" s="1"/>
  <c r="Y296" i="34"/>
  <c r="A296" i="34" s="1"/>
  <c r="Y301" i="34"/>
  <c r="A301" i="34" s="1"/>
  <c r="Y289" i="34"/>
  <c r="A289" i="34" s="1"/>
  <c r="Y277" i="34"/>
  <c r="A277" i="34" s="1"/>
  <c r="Y266" i="34"/>
  <c r="A266" i="34" s="1"/>
  <c r="Y256" i="34"/>
  <c r="A256" i="34" s="1"/>
  <c r="Y245" i="34"/>
  <c r="A245" i="34" s="1"/>
  <c r="Y228" i="34"/>
  <c r="A228" i="34" s="1"/>
  <c r="Y209" i="34"/>
  <c r="A209" i="34" s="1"/>
  <c r="Y201" i="34"/>
  <c r="A201" i="34" s="1"/>
  <c r="Y185" i="34"/>
  <c r="A185" i="34" s="1"/>
  <c r="Y175" i="34"/>
  <c r="A175" i="34" s="1"/>
  <c r="Y166" i="34"/>
  <c r="A166" i="34" s="1"/>
  <c r="Y158" i="34"/>
  <c r="A158" i="34" s="1"/>
  <c r="Y148" i="34"/>
  <c r="A148" i="34" s="1"/>
  <c r="Y140" i="34"/>
  <c r="A140" i="34" s="1"/>
  <c r="Y131" i="34"/>
  <c r="A131" i="34" s="1"/>
  <c r="Y123" i="34"/>
  <c r="A123" i="34" s="1"/>
  <c r="Y115" i="34"/>
  <c r="A115" i="34" s="1"/>
  <c r="Y107" i="34"/>
  <c r="A107" i="34" s="1"/>
  <c r="Y99" i="34"/>
  <c r="A99" i="34" s="1"/>
  <c r="Y91" i="34"/>
  <c r="A91" i="34" s="1"/>
  <c r="Y83" i="34"/>
  <c r="A83" i="34" s="1"/>
  <c r="Y75" i="34"/>
  <c r="A75" i="34" s="1"/>
  <c r="Y67" i="34"/>
  <c r="A67" i="34" s="1"/>
  <c r="Y62" i="34"/>
  <c r="A62" i="34" s="1"/>
  <c r="Y54" i="34"/>
  <c r="A54" i="34" s="1"/>
  <c r="Y46" i="34"/>
  <c r="A46" i="34" s="1"/>
  <c r="Y38" i="34"/>
  <c r="A38" i="34" s="1"/>
  <c r="Y30" i="34"/>
  <c r="A30" i="34" s="1"/>
  <c r="Y22" i="34"/>
  <c r="A22" i="34" s="1"/>
  <c r="Y14" i="34"/>
  <c r="A14" i="34" s="1"/>
  <c r="Y6" i="34"/>
  <c r="A6" i="34" s="1"/>
  <c r="Y155" i="34"/>
  <c r="A155" i="34" s="1"/>
  <c r="Y169" i="34"/>
  <c r="A169" i="34" s="1"/>
  <c r="Y235" i="34"/>
  <c r="A235" i="34" s="1"/>
  <c r="Y223" i="34"/>
  <c r="A223" i="34" s="1"/>
  <c r="Y154" i="34"/>
  <c r="A154" i="34" s="1"/>
  <c r="Y181" i="34"/>
  <c r="A181" i="34" s="1"/>
  <c r="Y297" i="34"/>
  <c r="A297" i="34" s="1"/>
  <c r="Y225" i="34"/>
  <c r="A225" i="34" s="1"/>
  <c r="Y217" i="34"/>
  <c r="A217" i="34" s="1"/>
  <c r="A281" i="34"/>
  <c r="A208" i="34"/>
  <c r="A196" i="34"/>
  <c r="A180" i="34"/>
  <c r="A119" i="34"/>
  <c r="A106" i="34"/>
  <c r="A138" i="34"/>
  <c r="A291" i="34"/>
  <c r="A117" i="34"/>
  <c r="A179" i="34"/>
  <c r="A159" i="34"/>
  <c r="A151" i="34"/>
  <c r="A143" i="34"/>
  <c r="A135" i="34"/>
  <c r="A127" i="34"/>
  <c r="A111" i="34"/>
  <c r="A103" i="34"/>
  <c r="A95" i="34"/>
  <c r="A87" i="34"/>
  <c r="A79" i="34"/>
  <c r="A71" i="34"/>
  <c r="A63" i="34"/>
  <c r="A55" i="34"/>
  <c r="A47" i="34"/>
  <c r="A39" i="34"/>
  <c r="A31" i="34"/>
  <c r="A23" i="34"/>
  <c r="A11" i="34"/>
  <c r="A3" i="34"/>
  <c r="A287" i="34"/>
  <c r="A271" i="34"/>
  <c r="A255" i="34"/>
  <c r="A171" i="34"/>
  <c r="A43" i="34"/>
  <c r="A295" i="34"/>
  <c r="A231" i="34"/>
  <c r="A34" i="34"/>
  <c r="A18" i="34"/>
  <c r="A298" i="34"/>
  <c r="A290" i="34"/>
  <c r="A274" i="34"/>
  <c r="A258" i="34"/>
  <c r="A210" i="34"/>
  <c r="A126" i="34"/>
  <c r="A152" i="34"/>
  <c r="A144" i="34"/>
  <c r="A124" i="34"/>
  <c r="A92" i="34"/>
  <c r="A76" i="34"/>
  <c r="A60" i="34"/>
  <c r="A28" i="34"/>
  <c r="A12" i="34"/>
  <c r="A288" i="34"/>
  <c r="A268" i="34"/>
  <c r="A264" i="34"/>
  <c r="A252" i="34"/>
  <c r="A248" i="34"/>
  <c r="A240" i="34"/>
  <c r="A232" i="34"/>
  <c r="A212" i="34"/>
  <c r="A204" i="34"/>
  <c r="A188" i="34"/>
  <c r="A134" i="34"/>
  <c r="A118" i="34"/>
  <c r="A102" i="34"/>
  <c r="A74" i="34"/>
  <c r="A50" i="34"/>
  <c r="A10" i="34"/>
  <c r="A278" i="34"/>
  <c r="A222" i="34"/>
  <c r="A178" i="34"/>
  <c r="A174" i="34"/>
  <c r="A110" i="34"/>
  <c r="A285" i="34"/>
  <c r="A273" i="34"/>
  <c r="A269" i="34"/>
  <c r="A253" i="34"/>
  <c r="A241" i="34"/>
  <c r="A237" i="34"/>
  <c r="A221" i="34"/>
  <c r="A213" i="34"/>
  <c r="A205" i="34"/>
  <c r="A189" i="34"/>
  <c r="A162" i="34"/>
  <c r="A141" i="34"/>
  <c r="Z5" i="34" l="1"/>
  <c r="Z6" i="34" s="1"/>
  <c r="Z7" i="34" s="1"/>
  <c r="Z8" i="34" s="1"/>
  <c r="Z9" i="34" s="1"/>
  <c r="Z10" i="34" s="1"/>
  <c r="Z11" i="34" s="1"/>
  <c r="Z12" i="34" s="1"/>
  <c r="Z13" i="34" s="1"/>
  <c r="Z14" i="34" s="1"/>
  <c r="Z15" i="34" s="1"/>
  <c r="Z16" i="34" s="1"/>
  <c r="Z17" i="34" s="1"/>
  <c r="Z18" i="34" s="1"/>
  <c r="Z19" i="34" s="1"/>
  <c r="Z20" i="34" s="1"/>
  <c r="Z21" i="34" s="1"/>
  <c r="Z22" i="34" s="1"/>
  <c r="Z23" i="34" s="1"/>
  <c r="Z24" i="34" s="1"/>
  <c r="Z25" i="34" s="1"/>
  <c r="Z26" i="34" s="1"/>
  <c r="Z27" i="34" s="1"/>
  <c r="Z28" i="34" s="1"/>
  <c r="Z29" i="34" s="1"/>
  <c r="Z30" i="34" s="1"/>
  <c r="Z31" i="34" s="1"/>
  <c r="Z32" i="34" s="1"/>
  <c r="Z33" i="34" s="1"/>
  <c r="Z34" i="34" s="1"/>
  <c r="Z35" i="34" s="1"/>
  <c r="Z36" i="34" s="1"/>
  <c r="Z37" i="34" s="1"/>
  <c r="Z38" i="34" s="1"/>
  <c r="Z39" i="34" s="1"/>
  <c r="Z40" i="34" s="1"/>
  <c r="Z41" i="34" s="1"/>
  <c r="Z42" i="34" s="1"/>
  <c r="Z43" i="34" s="1"/>
  <c r="Z44" i="34" s="1"/>
  <c r="Z45" i="34" s="1"/>
  <c r="Z46" i="34" s="1"/>
  <c r="Z47" i="34" s="1"/>
  <c r="Z48" i="34" s="1"/>
  <c r="Z49" i="34" s="1"/>
  <c r="Z50" i="34" s="1"/>
  <c r="Z51" i="34" s="1"/>
  <c r="Z52" i="34" s="1"/>
  <c r="Z53" i="34" s="1"/>
  <c r="Z54" i="34" s="1"/>
  <c r="Z55" i="34" s="1"/>
  <c r="Z56" i="34" s="1"/>
  <c r="Z57" i="34" s="1"/>
  <c r="Z58" i="34" s="1"/>
  <c r="Z59" i="34" s="1"/>
  <c r="Z60" i="34" s="1"/>
  <c r="Z61" i="34" s="1"/>
  <c r="Z62" i="34" s="1"/>
  <c r="Z63" i="34" s="1"/>
  <c r="Z64" i="34" s="1"/>
  <c r="Z65" i="34" s="1"/>
  <c r="Z66" i="34" s="1"/>
  <c r="Z67" i="34" s="1"/>
  <c r="Z68" i="34" s="1"/>
  <c r="Z69" i="34" s="1"/>
  <c r="Z70" i="34" s="1"/>
  <c r="Z71" i="34" s="1"/>
  <c r="Z72" i="34" s="1"/>
  <c r="Z73" i="34" s="1"/>
  <c r="Z74" i="34" s="1"/>
  <c r="Z75" i="34" s="1"/>
  <c r="Z76" i="34" s="1"/>
  <c r="Z77" i="34" s="1"/>
  <c r="Z78" i="34" s="1"/>
  <c r="Z79" i="34" s="1"/>
  <c r="Z80" i="34" s="1"/>
  <c r="Z81" i="34" s="1"/>
  <c r="Z82" i="34" s="1"/>
  <c r="Z83" i="34" s="1"/>
  <c r="Z84" i="34" s="1"/>
  <c r="Z85" i="34" s="1"/>
  <c r="Z86" i="34" s="1"/>
  <c r="Z87" i="34" s="1"/>
  <c r="Z88" i="34" s="1"/>
  <c r="Z89" i="34" s="1"/>
  <c r="Z90" i="34" s="1"/>
  <c r="Z91" i="34" s="1"/>
  <c r="Z92" i="34" s="1"/>
  <c r="Z93" i="34" s="1"/>
  <c r="Z94" i="34" s="1"/>
  <c r="Z95" i="34" s="1"/>
  <c r="Z96" i="34" s="1"/>
  <c r="Z97" i="34" s="1"/>
  <c r="Z98" i="34" s="1"/>
  <c r="Z99" i="34" s="1"/>
  <c r="Z100" i="34" s="1"/>
  <c r="Z101" i="34" s="1"/>
  <c r="Z102" i="34" s="1"/>
  <c r="Z103" i="34" s="1"/>
  <c r="Z104" i="34" s="1"/>
  <c r="Z105" i="34" s="1"/>
  <c r="Z106" i="34" s="1"/>
  <c r="Z107" i="34" s="1"/>
  <c r="Z108" i="34" s="1"/>
  <c r="Z109" i="34" s="1"/>
  <c r="Z110" i="34" s="1"/>
  <c r="Z111" i="34" s="1"/>
  <c r="Z112" i="34" s="1"/>
  <c r="Z113" i="34" s="1"/>
  <c r="Z114" i="34" s="1"/>
  <c r="Z115" i="34" s="1"/>
  <c r="Z116" i="34" s="1"/>
  <c r="Z117" i="34" s="1"/>
  <c r="Z118" i="34" s="1"/>
  <c r="Z119" i="34" s="1"/>
  <c r="Z120" i="34" s="1"/>
  <c r="Z121" i="34" s="1"/>
  <c r="Z122" i="34" s="1"/>
  <c r="Z123" i="34" s="1"/>
  <c r="Z124" i="34" s="1"/>
  <c r="Z125" i="34" s="1"/>
  <c r="Z126" i="34" s="1"/>
  <c r="Z127" i="34" s="1"/>
  <c r="Z128" i="34" s="1"/>
  <c r="Z129" i="34" s="1"/>
  <c r="Z130" i="34" s="1"/>
  <c r="Z131" i="34" s="1"/>
  <c r="Z132" i="34" s="1"/>
  <c r="Z133" i="34" s="1"/>
  <c r="Z134" i="34" s="1"/>
  <c r="Z135" i="34" s="1"/>
  <c r="Z136" i="34" s="1"/>
  <c r="Z137" i="34" s="1"/>
  <c r="Z138" i="34" s="1"/>
  <c r="Z139" i="34" s="1"/>
  <c r="Z140" i="34" s="1"/>
  <c r="Z141" i="34" s="1"/>
  <c r="Z142" i="34" s="1"/>
  <c r="Z143" i="34" s="1"/>
  <c r="Z144" i="34" s="1"/>
  <c r="Z145" i="34" s="1"/>
  <c r="Z146" i="34" s="1"/>
  <c r="Z147" i="34" s="1"/>
  <c r="Z148" i="34" s="1"/>
  <c r="Z149" i="34" s="1"/>
  <c r="Z150" i="34" s="1"/>
  <c r="Z151" i="34" s="1"/>
  <c r="Z152" i="34" s="1"/>
  <c r="Z153" i="34" s="1"/>
  <c r="Z154" i="34" s="1"/>
  <c r="Z155" i="34" s="1"/>
  <c r="Z156" i="34" s="1"/>
  <c r="Z157" i="34" s="1"/>
  <c r="Z158" i="34" s="1"/>
  <c r="Z159" i="34" s="1"/>
  <c r="Z160" i="34" s="1"/>
  <c r="Z161" i="34" s="1"/>
  <c r="Z162" i="34" s="1"/>
  <c r="Z163" i="34" s="1"/>
  <c r="Z164" i="34" s="1"/>
  <c r="Z165" i="34" s="1"/>
  <c r="Z166" i="34" s="1"/>
  <c r="Z167" i="34" s="1"/>
  <c r="Z168" i="34" s="1"/>
  <c r="Z169" i="34" s="1"/>
  <c r="Z170" i="34" s="1"/>
  <c r="Z171" i="34" s="1"/>
  <c r="Z172" i="34" s="1"/>
  <c r="Z173" i="34" s="1"/>
  <c r="Z174" i="34" s="1"/>
  <c r="Z175" i="34" s="1"/>
  <c r="Z176" i="34" s="1"/>
  <c r="Z177" i="34" s="1"/>
  <c r="Z178" i="34" s="1"/>
  <c r="Z179" i="34" s="1"/>
  <c r="Z180" i="34" s="1"/>
  <c r="Z181" i="34" s="1"/>
  <c r="Z182" i="34" s="1"/>
  <c r="Z183" i="34" s="1"/>
  <c r="Z184" i="34" s="1"/>
  <c r="Z185" i="34" s="1"/>
  <c r="Z186" i="34" s="1"/>
  <c r="Z187" i="34" s="1"/>
  <c r="Z188" i="34" s="1"/>
  <c r="Z189" i="34" s="1"/>
  <c r="Z190" i="34" s="1"/>
  <c r="Z191" i="34" s="1"/>
  <c r="Z192" i="34" s="1"/>
  <c r="Z193" i="34" s="1"/>
  <c r="Z194" i="34" s="1"/>
  <c r="Z195" i="34" s="1"/>
  <c r="Z196" i="34" s="1"/>
  <c r="Z197" i="34" s="1"/>
  <c r="Z198" i="34" s="1"/>
  <c r="Z199" i="34" s="1"/>
  <c r="Z200" i="34" s="1"/>
  <c r="Z201" i="34" s="1"/>
  <c r="Z202" i="34" s="1"/>
  <c r="Z203" i="34" s="1"/>
  <c r="Z204" i="34" s="1"/>
  <c r="Z205" i="34" s="1"/>
  <c r="Z206" i="34" s="1"/>
  <c r="Z207" i="34" s="1"/>
  <c r="Z208" i="34" s="1"/>
  <c r="Z209" i="34" s="1"/>
  <c r="Z210" i="34" s="1"/>
  <c r="Z211" i="34" s="1"/>
  <c r="Z212" i="34" s="1"/>
  <c r="Z213" i="34" s="1"/>
  <c r="Z214" i="34" s="1"/>
  <c r="Z215" i="34" s="1"/>
  <c r="Z216" i="34" s="1"/>
  <c r="Z217" i="34" s="1"/>
  <c r="Z218" i="34" s="1"/>
  <c r="Z219" i="34" s="1"/>
  <c r="Z220" i="34" s="1"/>
  <c r="Z221" i="34" s="1"/>
  <c r="Z222" i="34" s="1"/>
  <c r="Z223" i="34" s="1"/>
  <c r="Z224" i="34" s="1"/>
  <c r="Z225" i="34" s="1"/>
  <c r="Z226" i="34" s="1"/>
  <c r="Z227" i="34" s="1"/>
  <c r="Z228" i="34" s="1"/>
  <c r="Z229" i="34" s="1"/>
  <c r="Z230" i="34" s="1"/>
  <c r="Z231" i="34" s="1"/>
  <c r="Z232" i="34" s="1"/>
  <c r="Z233" i="34" s="1"/>
  <c r="Z234" i="34" s="1"/>
  <c r="Z235" i="34" s="1"/>
  <c r="Z236" i="34" s="1"/>
  <c r="Z237" i="34" s="1"/>
  <c r="Z238" i="34" s="1"/>
  <c r="Z239" i="34" s="1"/>
  <c r="Z240" i="34" s="1"/>
  <c r="Z241" i="34" s="1"/>
  <c r="Z242" i="34" s="1"/>
  <c r="Z243" i="34" s="1"/>
  <c r="Z244" i="34" s="1"/>
  <c r="Z245" i="34" s="1"/>
  <c r="Z246" i="34" s="1"/>
  <c r="Z247" i="34" s="1"/>
  <c r="Z248" i="34" s="1"/>
  <c r="Z249" i="34" s="1"/>
  <c r="Z250" i="34" s="1"/>
  <c r="Z251" i="34" s="1"/>
  <c r="Z252" i="34" s="1"/>
  <c r="Z253" i="34" s="1"/>
  <c r="Z254" i="34" s="1"/>
  <c r="Z255" i="34" s="1"/>
  <c r="Z256" i="34" s="1"/>
  <c r="Z257" i="34" s="1"/>
  <c r="Z258" i="34" s="1"/>
  <c r="Z259" i="34" s="1"/>
  <c r="Z260" i="34" s="1"/>
  <c r="Z261" i="34" s="1"/>
  <c r="Z262" i="34" s="1"/>
  <c r="Z263" i="34" s="1"/>
  <c r="Z264" i="34" s="1"/>
  <c r="Z265" i="34" s="1"/>
  <c r="Z266" i="34" s="1"/>
  <c r="Z267" i="34" s="1"/>
  <c r="Z268" i="34" s="1"/>
  <c r="Z269" i="34" s="1"/>
  <c r="Z270" i="34" s="1"/>
  <c r="Z271" i="34" s="1"/>
  <c r="Z272" i="34" s="1"/>
  <c r="Z273" i="34" s="1"/>
  <c r="Z274" i="34" s="1"/>
  <c r="Z275" i="34" s="1"/>
  <c r="Z276" i="34" s="1"/>
  <c r="Z277" i="34" s="1"/>
  <c r="Z278" i="34" s="1"/>
  <c r="Z279" i="34" s="1"/>
  <c r="Z280" i="34" s="1"/>
  <c r="Z281" i="34" s="1"/>
  <c r="Z282" i="34" s="1"/>
  <c r="Z283" i="34" s="1"/>
  <c r="Z284" i="34" s="1"/>
  <c r="Z285" i="34" s="1"/>
  <c r="Z286" i="34" s="1"/>
  <c r="Z287" i="34" s="1"/>
  <c r="Z288" i="34" s="1"/>
  <c r="Z289" i="34" s="1"/>
  <c r="Z290" i="34" s="1"/>
  <c r="Z291" i="34" s="1"/>
  <c r="Z292" i="34" s="1"/>
  <c r="Z293" i="34" s="1"/>
  <c r="Z294" i="34" s="1"/>
  <c r="Z295" i="34" s="1"/>
  <c r="Z296" i="34" s="1"/>
  <c r="Z297" i="34" s="1"/>
  <c r="Z298" i="34" s="1"/>
  <c r="Z299" i="34" s="1"/>
  <c r="Z300" i="34" s="1"/>
  <c r="Z301" i="34" s="1"/>
  <c r="A4" i="34"/>
  <c r="N301" i="34" l="1"/>
  <c r="N300" i="34"/>
  <c r="N299" i="34"/>
  <c r="N298" i="34"/>
  <c r="N297" i="34"/>
  <c r="N296" i="34"/>
  <c r="N295" i="34"/>
  <c r="N294" i="34"/>
  <c r="N293" i="34"/>
  <c r="N292" i="34"/>
  <c r="N291" i="34"/>
  <c r="N290" i="34"/>
  <c r="N289" i="34"/>
  <c r="N288" i="34"/>
  <c r="N287" i="34"/>
  <c r="N286" i="34"/>
  <c r="N285" i="34"/>
  <c r="N284" i="34"/>
  <c r="N283" i="34"/>
  <c r="N282" i="34"/>
  <c r="N281" i="34"/>
  <c r="N280" i="34"/>
  <c r="N279" i="34"/>
  <c r="N278" i="34"/>
  <c r="N277" i="34"/>
  <c r="N276" i="34"/>
  <c r="N275" i="34"/>
  <c r="N274" i="34"/>
  <c r="N273" i="34"/>
  <c r="N272" i="34"/>
  <c r="N271" i="34"/>
  <c r="N270" i="34"/>
  <c r="N269" i="34"/>
  <c r="N268" i="34"/>
  <c r="N267" i="34"/>
  <c r="N266" i="34"/>
  <c r="N265" i="34"/>
  <c r="N264" i="34"/>
  <c r="N263" i="34"/>
  <c r="N262" i="34"/>
  <c r="N261" i="34"/>
  <c r="N260" i="34"/>
  <c r="N259" i="34"/>
  <c r="N258" i="34"/>
  <c r="N257" i="34"/>
  <c r="N256" i="34"/>
  <c r="N255" i="34"/>
  <c r="N254" i="34"/>
  <c r="N253" i="34"/>
  <c r="N252" i="34"/>
  <c r="N251" i="34"/>
  <c r="N250" i="34"/>
  <c r="N249" i="34"/>
  <c r="N248" i="34"/>
  <c r="N247" i="34"/>
  <c r="N246" i="34"/>
  <c r="N245" i="34"/>
  <c r="N244" i="34"/>
  <c r="N243" i="34"/>
  <c r="N242" i="34"/>
  <c r="N241" i="34"/>
  <c r="N240" i="34"/>
  <c r="N239" i="34"/>
  <c r="N238" i="34"/>
  <c r="N237" i="34"/>
  <c r="N236" i="34"/>
  <c r="N235" i="34"/>
  <c r="N234" i="34"/>
  <c r="N233" i="34"/>
  <c r="N232" i="34"/>
  <c r="N231" i="34"/>
  <c r="N230" i="34"/>
  <c r="N229" i="34"/>
  <c r="N228" i="34"/>
  <c r="N227" i="34"/>
  <c r="N226" i="34"/>
  <c r="N225" i="34"/>
  <c r="N224" i="34"/>
  <c r="N223" i="34"/>
  <c r="N222" i="34"/>
  <c r="N221" i="34"/>
  <c r="N220" i="34"/>
  <c r="N219" i="34"/>
  <c r="N218" i="34"/>
  <c r="N217" i="34"/>
  <c r="N216" i="34"/>
  <c r="N215" i="34"/>
  <c r="N214" i="34"/>
  <c r="N213" i="34"/>
  <c r="N212" i="34"/>
  <c r="N211" i="34"/>
  <c r="N210" i="34"/>
  <c r="N209" i="34"/>
  <c r="N208" i="34"/>
  <c r="N207" i="34"/>
  <c r="N206" i="34"/>
  <c r="N205" i="34"/>
  <c r="N204" i="34"/>
  <c r="N203" i="34"/>
  <c r="N202" i="34"/>
  <c r="N201" i="34"/>
  <c r="N200" i="34"/>
  <c r="N199" i="34"/>
  <c r="N198" i="34"/>
  <c r="N197" i="34"/>
  <c r="N196" i="34"/>
  <c r="N195" i="34"/>
  <c r="N194" i="34"/>
  <c r="N193" i="34"/>
  <c r="N192" i="34"/>
  <c r="N191" i="34"/>
  <c r="N190" i="34"/>
  <c r="N189" i="34"/>
  <c r="N188" i="34"/>
  <c r="N187" i="34"/>
  <c r="N186" i="34"/>
  <c r="N185" i="34"/>
  <c r="N184" i="34"/>
  <c r="N183" i="34"/>
  <c r="N182" i="34"/>
  <c r="N181" i="34"/>
  <c r="N180" i="34"/>
  <c r="N179" i="34"/>
  <c r="N178" i="34"/>
  <c r="N177" i="34"/>
  <c r="N176" i="34"/>
  <c r="N175" i="34"/>
  <c r="N174" i="34"/>
  <c r="N173" i="34"/>
  <c r="N172" i="34"/>
  <c r="N171" i="34"/>
  <c r="N170" i="34"/>
  <c r="N169" i="34"/>
  <c r="N168" i="34"/>
  <c r="N167" i="34"/>
  <c r="N166" i="34"/>
  <c r="N165" i="34"/>
  <c r="N164" i="34"/>
  <c r="N163" i="34"/>
  <c r="N162" i="34"/>
  <c r="N161" i="34"/>
  <c r="N160" i="34"/>
  <c r="N159" i="34"/>
  <c r="N158" i="34"/>
  <c r="N157" i="34"/>
  <c r="N156" i="34"/>
  <c r="N155" i="34"/>
  <c r="N154" i="34"/>
  <c r="N153" i="34"/>
  <c r="N152" i="34"/>
  <c r="N151" i="34"/>
  <c r="N150" i="34"/>
  <c r="N149" i="34"/>
  <c r="N148" i="34"/>
  <c r="N147" i="34"/>
  <c r="N146" i="34"/>
  <c r="N145" i="34"/>
  <c r="N144" i="34"/>
  <c r="N143" i="34"/>
  <c r="N142" i="34"/>
  <c r="N141" i="34"/>
  <c r="N140" i="34"/>
  <c r="N139" i="34"/>
  <c r="N138" i="34"/>
  <c r="N137" i="34"/>
  <c r="N136" i="34"/>
  <c r="N135" i="34"/>
  <c r="N134" i="34"/>
  <c r="N133" i="34"/>
  <c r="N132" i="34"/>
  <c r="N131" i="34"/>
  <c r="N130" i="34"/>
  <c r="N129" i="34"/>
  <c r="N128" i="34"/>
  <c r="N127" i="34"/>
  <c r="N126" i="34"/>
  <c r="N125" i="34"/>
  <c r="N124" i="34"/>
  <c r="N123" i="34"/>
  <c r="N122" i="34"/>
  <c r="N121" i="34"/>
  <c r="N120" i="34"/>
  <c r="N119" i="34"/>
  <c r="N118" i="34"/>
  <c r="N117" i="34"/>
  <c r="N116" i="34"/>
  <c r="N115" i="34"/>
  <c r="N114" i="34"/>
  <c r="N113" i="34"/>
  <c r="N112" i="34"/>
  <c r="N111" i="34"/>
  <c r="N110" i="34"/>
  <c r="N109" i="34"/>
  <c r="N108" i="34"/>
  <c r="N107" i="34"/>
  <c r="N106" i="34"/>
  <c r="N105" i="34"/>
  <c r="N104" i="34"/>
  <c r="N103" i="34"/>
  <c r="N102" i="34"/>
  <c r="N101" i="34"/>
  <c r="N100" i="34"/>
  <c r="N99" i="34"/>
  <c r="N98" i="34"/>
  <c r="N97" i="34"/>
  <c r="N96" i="34"/>
  <c r="N95" i="34"/>
  <c r="N94" i="34"/>
  <c r="N93" i="34"/>
  <c r="N92" i="34"/>
  <c r="N91" i="34"/>
  <c r="N90" i="34"/>
  <c r="N89" i="34"/>
  <c r="N88" i="34"/>
  <c r="N87" i="34"/>
  <c r="N86" i="34"/>
  <c r="N85" i="34"/>
  <c r="N84" i="34"/>
  <c r="N83" i="34"/>
  <c r="N82" i="34"/>
  <c r="N81" i="34"/>
  <c r="N80" i="34"/>
  <c r="N79" i="34"/>
  <c r="N78" i="34"/>
  <c r="N77" i="34"/>
  <c r="N76" i="34"/>
  <c r="N75" i="34"/>
  <c r="N74" i="34"/>
  <c r="N73" i="34"/>
  <c r="N72" i="34"/>
  <c r="N71" i="34"/>
  <c r="N70" i="34"/>
  <c r="N69" i="34"/>
  <c r="N68" i="34"/>
  <c r="N67" i="34"/>
  <c r="N66" i="34"/>
  <c r="N65" i="34"/>
  <c r="N64" i="34"/>
  <c r="N63" i="34"/>
  <c r="N62" i="34"/>
  <c r="N61" i="34"/>
  <c r="N60" i="34"/>
  <c r="N59" i="34"/>
  <c r="N58" i="34"/>
  <c r="N57" i="34"/>
  <c r="N56" i="34"/>
  <c r="N55" i="34"/>
  <c r="N54" i="34"/>
  <c r="N53" i="34"/>
  <c r="N52" i="34"/>
  <c r="N51" i="34"/>
  <c r="N50" i="34"/>
  <c r="N49" i="34"/>
  <c r="N48" i="34"/>
  <c r="N47" i="34"/>
  <c r="N46" i="34"/>
  <c r="N45" i="34"/>
  <c r="N44" i="34"/>
  <c r="N43" i="34"/>
  <c r="N42" i="34"/>
  <c r="N41" i="34"/>
  <c r="N40" i="34"/>
  <c r="N39" i="34"/>
  <c r="N38" i="34"/>
  <c r="N37" i="34"/>
  <c r="N36" i="34"/>
  <c r="N35" i="34"/>
  <c r="N34" i="34"/>
  <c r="N33" i="34"/>
  <c r="N32" i="34"/>
  <c r="N31" i="34"/>
  <c r="N30" i="34"/>
  <c r="N29" i="34"/>
  <c r="N28" i="34"/>
  <c r="N27" i="34"/>
  <c r="N26" i="34"/>
  <c r="N25" i="34"/>
  <c r="N24" i="34"/>
  <c r="N23" i="34"/>
  <c r="N22" i="34"/>
  <c r="N21" i="34"/>
  <c r="N20" i="34"/>
  <c r="N19" i="34"/>
  <c r="N18" i="34"/>
  <c r="N17" i="34"/>
  <c r="N16" i="34"/>
  <c r="N15" i="34"/>
  <c r="N14" i="34"/>
  <c r="N13" i="34"/>
  <c r="N12" i="34"/>
  <c r="N11" i="34"/>
  <c r="N10" i="34"/>
  <c r="N9" i="34"/>
  <c r="N8" i="34"/>
  <c r="N7" i="34"/>
  <c r="N6" i="34"/>
  <c r="N5" i="34"/>
  <c r="N4" i="34"/>
  <c r="N3" i="34"/>
  <c r="N2" i="34"/>
  <c r="T2" i="12"/>
  <c r="AP3" i="12"/>
  <c r="BF3" i="12" s="1" a="1"/>
  <c r="BF3" i="12" s="1"/>
  <c r="AP4" i="12"/>
  <c r="BG4" i="12" s="1" a="1"/>
  <c r="BG4" i="12" s="1"/>
  <c r="AP5" i="12"/>
  <c r="AX5" i="12" s="1" a="1"/>
  <c r="AX5" i="12" s="1"/>
  <c r="AP6" i="12"/>
  <c r="AP7" i="12"/>
  <c r="BF7" i="12" s="1" a="1"/>
  <c r="BF7" i="12" s="1"/>
  <c r="AP2" i="12"/>
  <c r="AS6" i="12" a="1"/>
  <c r="AS6" i="12" s="1"/>
  <c r="AR7" i="12" l="1" a="1"/>
  <c r="AR7" i="12" s="1"/>
  <c r="BA3" i="12" a="1"/>
  <c r="BA3" i="12" s="1"/>
  <c r="BA5" i="12" a="1"/>
  <c r="BA5" i="12" s="1"/>
  <c r="AU5" i="12" a="1"/>
  <c r="AU5" i="12" s="1"/>
  <c r="AW3" i="12" a="1"/>
  <c r="AW3" i="12" s="1"/>
  <c r="AZ7" i="12" a="1"/>
  <c r="AZ7" i="12" s="1"/>
  <c r="AS3" i="12" a="1"/>
  <c r="AS3" i="12" s="1"/>
  <c r="AQ3" i="12" a="1"/>
  <c r="AQ3" i="12" s="1"/>
  <c r="AV7" i="12" a="1"/>
  <c r="AV7" i="12" s="1"/>
  <c r="BC2" i="12" a="1"/>
  <c r="BC2" i="12" s="1"/>
  <c r="BD2" i="12" a="1"/>
  <c r="BD2" i="12" s="1"/>
  <c r="AV2" i="12" a="1"/>
  <c r="AV2" i="12" s="1"/>
  <c r="AT4" i="12" a="1"/>
  <c r="AT4" i="12" s="1"/>
  <c r="BD4" i="12" a="1"/>
  <c r="BD4" i="12" s="1"/>
  <c r="BA4" i="12" a="1"/>
  <c r="BA4" i="12" s="1"/>
  <c r="BG2" i="12" a="1"/>
  <c r="BG2" i="12" s="1"/>
  <c r="AT6" i="12" a="1"/>
  <c r="AT6" i="12" s="1"/>
  <c r="BD6" i="12" a="1"/>
  <c r="BD6" i="12" s="1"/>
  <c r="BG6" i="12" a="1"/>
  <c r="BG6" i="12" s="1"/>
  <c r="BC7" i="12" a="1"/>
  <c r="BC7" i="12" s="1"/>
  <c r="AY7" i="12" a="1"/>
  <c r="AY7" i="12" s="1"/>
  <c r="AU7" i="12" a="1"/>
  <c r="AU7" i="12" s="1"/>
  <c r="AZ3" i="12" a="1"/>
  <c r="AZ3" i="12" s="1"/>
  <c r="AV3" i="12" a="1"/>
  <c r="AV3" i="12" s="1"/>
  <c r="AR3" i="12" a="1"/>
  <c r="AR3" i="12" s="1"/>
  <c r="BE7" i="12" a="1"/>
  <c r="BE7" i="12" s="1"/>
  <c r="BF6" i="12" a="1"/>
  <c r="BF6" i="12" s="1"/>
  <c r="BE5" i="12" a="1"/>
  <c r="BE5" i="12" s="1"/>
  <c r="BF4" i="12" a="1"/>
  <c r="BF4" i="12" s="1"/>
  <c r="BE3" i="12" a="1"/>
  <c r="BE3" i="12" s="1"/>
  <c r="BF2" i="12" a="1"/>
  <c r="BF2" i="12" s="1"/>
  <c r="AQ7" i="12" a="1"/>
  <c r="AQ7" i="12" s="1"/>
  <c r="BB7" i="12" a="1"/>
  <c r="BB7" i="12" s="1"/>
  <c r="AX7" i="12" a="1"/>
  <c r="AX7" i="12" s="1"/>
  <c r="AT7" i="12" a="1"/>
  <c r="AT7" i="12" s="1"/>
  <c r="BC3" i="12" a="1"/>
  <c r="BC3" i="12" s="1"/>
  <c r="AY3" i="12" a="1"/>
  <c r="AY3" i="12" s="1"/>
  <c r="AU3" i="12" a="1"/>
  <c r="AU3" i="12" s="1"/>
  <c r="BG7" i="12" a="1"/>
  <c r="BG7" i="12" s="1"/>
  <c r="BD7" i="12" a="1"/>
  <c r="BD7" i="12" s="1"/>
  <c r="BG5" i="12" a="1"/>
  <c r="BG5" i="12" s="1"/>
  <c r="BD5" i="12" a="1"/>
  <c r="BD5" i="12" s="1"/>
  <c r="BG3" i="12" a="1"/>
  <c r="BG3" i="12" s="1"/>
  <c r="BD3" i="12" a="1"/>
  <c r="BD3" i="12" s="1"/>
  <c r="AQ5" i="12" a="1"/>
  <c r="AQ5" i="12" s="1"/>
  <c r="BA7" i="12" a="1"/>
  <c r="BA7" i="12" s="1"/>
  <c r="AW7" i="12" a="1"/>
  <c r="AW7" i="12" s="1"/>
  <c r="AS7" i="12" a="1"/>
  <c r="AS7" i="12" s="1"/>
  <c r="AW5" i="12" a="1"/>
  <c r="AW5" i="12" s="1"/>
  <c r="BB3" i="12" a="1"/>
  <c r="BB3" i="12" s="1"/>
  <c r="AX3" i="12" a="1"/>
  <c r="AX3" i="12" s="1"/>
  <c r="AT3" i="12" a="1"/>
  <c r="AT3" i="12" s="1"/>
  <c r="BE6" i="12" a="1"/>
  <c r="BE6" i="12" s="1"/>
  <c r="BF5" i="12" a="1"/>
  <c r="BF5" i="12" s="1"/>
  <c r="BE4" i="12" a="1"/>
  <c r="BE4" i="12" s="1"/>
  <c r="BE2" i="12" a="1"/>
  <c r="BE2" i="12" s="1"/>
  <c r="AW4" i="12" a="1"/>
  <c r="AW4" i="12" s="1"/>
  <c r="AS2" i="12" a="1"/>
  <c r="AS2" i="12" s="1"/>
  <c r="AS4" i="12" a="1"/>
  <c r="AS4" i="12" s="1"/>
  <c r="AR4" i="12" a="1"/>
  <c r="AR4" i="12" s="1"/>
  <c r="AZ5" i="12" a="1"/>
  <c r="AZ5" i="12" s="1"/>
  <c r="AT5" i="12" a="1"/>
  <c r="AT5" i="12" s="1"/>
  <c r="AR5" i="12" a="1"/>
  <c r="AR5" i="12" s="1"/>
  <c r="AP8" i="12"/>
  <c r="AX4" i="12" a="1"/>
  <c r="AX4" i="12" s="1"/>
  <c r="AR6" i="12" a="1"/>
  <c r="AR6" i="12" s="1"/>
  <c r="BA6" i="12" a="1"/>
  <c r="BA6" i="12" s="1"/>
  <c r="BB4" i="12" a="1"/>
  <c r="BB4" i="12" s="1"/>
  <c r="AW6" i="12" a="1"/>
  <c r="AW6" i="12" s="1"/>
  <c r="BC5" i="12" a="1"/>
  <c r="BC5" i="12" s="1"/>
  <c r="AV5" i="12" a="1"/>
  <c r="AV5" i="12" s="1"/>
  <c r="AS5" i="12" a="1"/>
  <c r="AS5" i="12" s="1"/>
  <c r="AX6" i="12" a="1"/>
  <c r="AX6" i="12" s="1"/>
  <c r="BB6" i="12" a="1"/>
  <c r="BB6" i="12" s="1"/>
  <c r="BB5" i="12" a="1"/>
  <c r="BB5" i="12" s="1"/>
  <c r="AY5" i="12" a="1"/>
  <c r="AY5" i="12" s="1"/>
  <c r="AY2" i="12" a="1"/>
  <c r="AY2" i="12" s="1"/>
  <c r="BA2" i="12" a="1"/>
  <c r="BA2" i="12" s="1"/>
  <c r="AX2" i="12" a="1"/>
  <c r="AX2" i="12" s="1"/>
  <c r="AU2" i="12" a="1"/>
  <c r="AU2" i="12" s="1"/>
  <c r="BB2" i="12" a="1"/>
  <c r="BB2" i="12" s="1"/>
  <c r="AR2" i="12" a="1"/>
  <c r="AR2" i="12" s="1"/>
  <c r="AQ2" i="12" a="1"/>
  <c r="AQ2" i="12" s="1"/>
  <c r="AZ2" i="12" a="1"/>
  <c r="AZ2" i="12" s="1"/>
  <c r="AW2" i="12" a="1"/>
  <c r="AW2" i="12" s="1"/>
  <c r="AT2" i="12" a="1"/>
  <c r="AT2" i="12" s="1"/>
  <c r="AQ6" i="12" a="1"/>
  <c r="AQ6" i="12" s="1"/>
  <c r="AQ4" i="12" a="1"/>
  <c r="AQ4" i="12" s="1"/>
  <c r="AY6" i="12" a="1"/>
  <c r="AY6" i="12" s="1"/>
  <c r="AV6" i="12" a="1"/>
  <c r="AV6" i="12" s="1"/>
  <c r="AY4" i="12" a="1"/>
  <c r="AY4" i="12" s="1"/>
  <c r="AV4" i="12" a="1"/>
  <c r="AV4" i="12" s="1"/>
  <c r="BC6" i="12" a="1"/>
  <c r="BC6" i="12" s="1"/>
  <c r="AZ6" i="12" a="1"/>
  <c r="AZ6" i="12" s="1"/>
  <c r="AU6" i="12" a="1"/>
  <c r="AU6" i="12" s="1"/>
  <c r="BC4" i="12" a="1"/>
  <c r="BC4" i="12" s="1"/>
  <c r="AZ4" i="12" a="1"/>
  <c r="AZ4" i="12" s="1"/>
  <c r="AU4" i="12" a="1"/>
  <c r="AU4" i="12" s="1"/>
  <c r="AD3" i="5"/>
  <c r="AD4" i="5"/>
  <c r="AD5" i="5"/>
  <c r="AD6" i="5"/>
  <c r="AD7" i="5"/>
  <c r="AD8" i="5"/>
  <c r="AD9" i="5"/>
  <c r="AD10" i="5"/>
  <c r="AD11" i="5"/>
  <c r="AD12" i="5"/>
  <c r="AD13" i="5"/>
  <c r="AD14" i="5"/>
  <c r="AD16" i="5"/>
  <c r="AD17" i="5"/>
  <c r="AD20" i="5"/>
  <c r="AD22" i="5"/>
  <c r="AD26" i="5"/>
  <c r="AD31" i="5"/>
  <c r="AD32" i="5"/>
  <c r="AD33" i="5"/>
  <c r="AD35" i="5"/>
  <c r="AD39" i="5"/>
  <c r="AD40" i="5"/>
  <c r="AD41" i="5"/>
  <c r="AD42" i="5"/>
  <c r="AD43" i="5"/>
  <c r="AD44" i="5"/>
  <c r="AD45" i="5"/>
  <c r="AD46" i="5"/>
  <c r="AD47" i="5"/>
  <c r="AD48" i="5"/>
  <c r="AD49" i="5"/>
  <c r="AD50" i="5"/>
  <c r="AD51" i="5"/>
  <c r="AD52" i="5"/>
  <c r="AD53" i="5"/>
  <c r="AD55" i="5"/>
  <c r="AD56" i="5"/>
  <c r="AD57" i="5"/>
  <c r="AD60" i="5"/>
  <c r="AD64" i="5"/>
  <c r="AD65" i="5"/>
  <c r="AD67" i="5"/>
  <c r="AD68" i="5"/>
  <c r="AD69" i="5"/>
  <c r="AD70" i="5"/>
  <c r="AD71" i="5"/>
  <c r="AD72" i="5"/>
  <c r="AD73" i="5"/>
  <c r="AD74" i="5"/>
  <c r="AD75" i="5"/>
  <c r="AD76" i="5"/>
  <c r="AD77" i="5"/>
  <c r="AD78" i="5"/>
  <c r="AD79" i="5"/>
  <c r="AD82" i="5"/>
  <c r="AD83" i="5"/>
  <c r="AD86" i="5"/>
  <c r="AD87" i="5"/>
  <c r="AD91" i="5"/>
  <c r="AD93" i="5"/>
  <c r="AD94" i="5"/>
  <c r="AD95" i="5"/>
  <c r="AD96" i="5"/>
  <c r="AD97" i="5"/>
  <c r="AD98" i="5"/>
  <c r="AD99" i="5"/>
  <c r="AD100" i="5"/>
  <c r="AD101" i="5"/>
  <c r="AD102" i="5"/>
  <c r="AD103" i="5"/>
  <c r="AD104" i="5"/>
  <c r="AD105" i="5"/>
  <c r="AD108" i="5"/>
  <c r="AD109" i="5"/>
  <c r="AD110" i="5"/>
  <c r="AD113" i="5"/>
  <c r="AD116" i="5"/>
  <c r="AD118" i="5"/>
  <c r="AD119" i="5"/>
  <c r="AD120" i="5"/>
  <c r="AD121" i="5"/>
  <c r="AD122" i="5"/>
  <c r="AD123" i="5"/>
  <c r="AD124" i="5"/>
  <c r="AD125" i="5"/>
  <c r="AD126" i="5"/>
  <c r="AD127" i="5"/>
  <c r="AD128" i="5"/>
  <c r="AD129" i="5"/>
  <c r="AD130" i="5"/>
  <c r="AD131" i="5"/>
  <c r="AD2" i="5"/>
  <c r="AC2" i="5"/>
  <c r="AE3" i="12" l="1" a="1"/>
  <c r="AE3" i="12" s="1"/>
  <c r="AE22" i="12" a="1"/>
  <c r="AE22" i="12" s="1"/>
  <c r="AE28" i="12" a="1"/>
  <c r="AE28" i="12" s="1"/>
  <c r="AE7" i="12" a="1"/>
  <c r="AE7" i="12" s="1"/>
  <c r="AE9" i="12" a="1"/>
  <c r="AE9" i="12" s="1"/>
  <c r="AE17" i="12" a="1"/>
  <c r="AE17" i="12" s="1"/>
  <c r="AE23" i="12" a="1"/>
  <c r="AE23" i="12" s="1"/>
  <c r="AE12" i="12" a="1"/>
  <c r="AE12" i="12" s="1"/>
  <c r="AE24" i="12" a="1"/>
  <c r="AE24" i="12" s="1"/>
  <c r="AE33" i="12" a="1"/>
  <c r="AE33" i="12" s="1"/>
  <c r="AE36" i="12" a="1"/>
  <c r="AE36" i="12" s="1"/>
  <c r="AE37" i="12" a="1"/>
  <c r="AE37" i="12" s="1"/>
  <c r="AE13" i="12" a="1"/>
  <c r="AE13" i="12" s="1"/>
  <c r="AE26" i="12" a="1"/>
  <c r="AE26" i="12" s="1"/>
  <c r="AE54" i="12" a="1"/>
  <c r="AE54" i="12" s="1"/>
  <c r="AE57" i="12" a="1"/>
  <c r="AE57" i="12" s="1"/>
  <c r="AE65" i="12" a="1"/>
  <c r="AE65" i="12" s="1"/>
  <c r="AE76" i="12" a="1"/>
  <c r="AE76" i="12" s="1"/>
  <c r="AE86" i="12" a="1"/>
  <c r="AE86" i="12" s="1"/>
  <c r="AE56" i="12" a="1"/>
  <c r="AE56" i="12" s="1"/>
  <c r="AE70" i="12" a="1"/>
  <c r="AE70" i="12" s="1"/>
  <c r="AE34" i="12" a="1"/>
  <c r="AE34" i="12" s="1"/>
  <c r="AE40" i="12" a="1"/>
  <c r="AE40" i="12" s="1"/>
  <c r="AE66" i="12" a="1"/>
  <c r="AE66" i="12" s="1"/>
  <c r="AE68" i="12" a="1"/>
  <c r="AE68" i="12" s="1"/>
  <c r="AE29" i="12" a="1"/>
  <c r="AE29" i="12" s="1"/>
  <c r="AE80" i="12" a="1"/>
  <c r="AE80" i="12" s="1"/>
  <c r="AE88" i="12" a="1"/>
  <c r="AE88" i="12" s="1"/>
  <c r="AE58" i="12" a="1"/>
  <c r="AE58" i="12" s="1"/>
  <c r="AE94" i="12" a="1"/>
  <c r="AE94" i="12" s="1"/>
  <c r="AE106" i="12" a="1"/>
  <c r="AE106" i="12" s="1"/>
  <c r="AE113" i="12" a="1"/>
  <c r="AE113" i="12" s="1"/>
  <c r="AE118" i="12" a="1"/>
  <c r="AE118" i="12" s="1"/>
  <c r="AE120" i="12" a="1"/>
  <c r="AE120" i="12" s="1"/>
  <c r="AE125" i="12" a="1"/>
  <c r="AE125" i="12" s="1"/>
  <c r="AE127" i="12" a="1"/>
  <c r="AE127" i="12" s="1"/>
  <c r="AE129" i="12" a="1"/>
  <c r="AE129" i="12" s="1"/>
  <c r="AE93" i="12" a="1"/>
  <c r="AE93" i="12" s="1"/>
  <c r="AE101" i="12" a="1"/>
  <c r="AE101" i="12" s="1"/>
  <c r="AE105" i="12" a="1"/>
  <c r="AE105" i="12" s="1"/>
  <c r="AE109" i="12" a="1"/>
  <c r="AE109" i="12" s="1"/>
  <c r="AE111" i="12" a="1"/>
  <c r="AE111" i="12" s="1"/>
  <c r="AE116" i="12" a="1"/>
  <c r="AE116" i="12" s="1"/>
  <c r="AE132" i="12" a="1"/>
  <c r="AE132" i="12" s="1"/>
  <c r="AE91" i="12" a="1"/>
  <c r="AE91" i="12" s="1"/>
  <c r="AE99" i="12" a="1"/>
  <c r="AE99" i="12" s="1"/>
  <c r="AE103" i="12" a="1"/>
  <c r="AE103" i="12" s="1"/>
  <c r="AE115" i="12" a="1"/>
  <c r="AE115" i="12" s="1"/>
  <c r="AE133" i="12" a="1"/>
  <c r="AE133" i="12" s="1"/>
  <c r="AE140" i="12" a="1"/>
  <c r="AE140" i="12" s="1"/>
  <c r="AE142" i="12" a="1"/>
  <c r="AE142" i="12" s="1"/>
  <c r="AE147" i="12" a="1"/>
  <c r="AE147" i="12" s="1"/>
  <c r="AE158" i="12" a="1"/>
  <c r="AE158" i="12" s="1"/>
  <c r="AE165" i="12" a="1"/>
  <c r="AE165" i="12" s="1"/>
  <c r="AE176" i="12" a="1"/>
  <c r="AE176" i="12" s="1"/>
  <c r="AE96" i="12" a="1"/>
  <c r="AE96" i="12" s="1"/>
  <c r="AE137" i="12" a="1"/>
  <c r="AE137" i="12" s="1"/>
  <c r="AE143" i="12" a="1"/>
  <c r="AE143" i="12" s="1"/>
  <c r="AE155" i="12" a="1"/>
  <c r="AE155" i="12" s="1"/>
  <c r="AE159" i="12" a="1"/>
  <c r="AE159" i="12" s="1"/>
  <c r="AE172" i="12" a="1"/>
  <c r="AE172" i="12" s="1"/>
  <c r="AE119" i="12" a="1"/>
  <c r="AE119" i="12" s="1"/>
  <c r="AE128" i="12" a="1"/>
  <c r="AE128" i="12" s="1"/>
  <c r="AE145" i="12" a="1"/>
  <c r="AE145" i="12" s="1"/>
  <c r="AE149" i="12" a="1"/>
  <c r="AE149" i="12" s="1"/>
  <c r="AE180" i="12" a="1"/>
  <c r="AE180" i="12" s="1"/>
  <c r="AE193" i="12" a="1"/>
  <c r="AE193" i="12" s="1"/>
  <c r="AE200" i="12" a="1"/>
  <c r="AE200" i="12" s="1"/>
  <c r="AE164" i="12" a="1"/>
  <c r="AE164" i="12" s="1"/>
  <c r="AE194" i="12" a="1"/>
  <c r="AE194" i="12" s="1"/>
  <c r="AE146" i="12" a="1"/>
  <c r="AE146" i="12" s="1"/>
  <c r="AE196" i="12" a="1"/>
  <c r="AE196" i="12" s="1"/>
  <c r="AE204" i="12" a="1"/>
  <c r="AE204" i="12" s="1"/>
  <c r="AE229" i="12" a="1"/>
  <c r="AE229" i="12" s="1"/>
  <c r="AE233" i="12" a="1"/>
  <c r="AE233" i="12" s="1"/>
  <c r="AE235" i="12" a="1"/>
  <c r="AE235" i="12" s="1"/>
  <c r="AE237" i="12" a="1"/>
  <c r="AE237" i="12" s="1"/>
  <c r="AE241" i="12" a="1"/>
  <c r="AE241" i="12" s="1"/>
  <c r="AE247" i="12" a="1"/>
  <c r="AE247" i="12" s="1"/>
  <c r="AE207" i="12" a="1"/>
  <c r="AE207" i="12" s="1"/>
  <c r="AE206" i="12" a="1"/>
  <c r="AE206" i="12" s="1"/>
  <c r="AE208" i="12" a="1"/>
  <c r="AE208" i="12" s="1"/>
  <c r="AE223" i="12" a="1"/>
  <c r="AE223" i="12" s="1"/>
  <c r="AE228" i="12" a="1"/>
  <c r="AE228" i="12" s="1"/>
  <c r="AE214" i="12" a="1"/>
  <c r="AE214" i="12" s="1"/>
  <c r="AE231" i="12" a="1"/>
  <c r="AE231" i="12" s="1"/>
  <c r="AE248" i="12" a="1"/>
  <c r="AE248" i="12" s="1"/>
  <c r="AE254" i="12" a="1"/>
  <c r="AE254" i="12" s="1"/>
  <c r="AE256" i="12" a="1"/>
  <c r="AE256" i="12" s="1"/>
  <c r="AE262" i="12" a="1"/>
  <c r="AE262" i="12" s="1"/>
  <c r="AE264" i="12" a="1"/>
  <c r="AE264" i="12" s="1"/>
  <c r="AE266" i="12" a="1"/>
  <c r="AE266" i="12" s="1"/>
  <c r="AE268" i="12" a="1"/>
  <c r="AE268" i="12" s="1"/>
  <c r="AE272" i="12" a="1"/>
  <c r="AE272" i="12" s="1"/>
  <c r="AE276" i="12" a="1"/>
  <c r="AE276" i="12" s="1"/>
  <c r="AE278" i="12" a="1"/>
  <c r="AE278" i="12" s="1"/>
  <c r="AE280" i="12" a="1"/>
  <c r="AE280" i="12" s="1"/>
  <c r="AE284" i="12" a="1"/>
  <c r="AE284" i="12" s="1"/>
  <c r="AE305" i="12" a="1"/>
  <c r="AE305" i="12" s="1"/>
  <c r="AE221" i="12" a="1"/>
  <c r="AE221" i="12" s="1"/>
  <c r="AE249" i="12" a="1"/>
  <c r="AE249" i="12" s="1"/>
  <c r="AE259" i="12" a="1"/>
  <c r="AE259" i="12" s="1"/>
  <c r="AE263" i="12" a="1"/>
  <c r="AE263" i="12" s="1"/>
  <c r="AE271" i="12" a="1"/>
  <c r="AE271" i="12" s="1"/>
  <c r="AE273" i="12" a="1"/>
  <c r="AE273" i="12" s="1"/>
  <c r="AE275" i="12" a="1"/>
  <c r="AE275" i="12" s="1"/>
  <c r="AE283" i="12" a="1"/>
  <c r="AE283" i="12" s="1"/>
  <c r="AE227" i="12" a="1"/>
  <c r="AE227" i="12" s="1"/>
  <c r="AE286" i="12" a="1"/>
  <c r="AE286" i="12" s="1"/>
  <c r="AE288" i="12" a="1"/>
  <c r="AE288" i="12" s="1"/>
  <c r="AE291" i="12" a="1"/>
  <c r="AE291" i="12" s="1"/>
  <c r="AE296" i="12" a="1"/>
  <c r="AE296" i="12" s="1"/>
  <c r="AE287" i="12" a="1"/>
  <c r="AE287" i="12" s="1"/>
  <c r="AE374" i="12" a="1"/>
  <c r="AE374" i="12" s="1"/>
  <c r="AE377" i="12" a="1"/>
  <c r="AE377" i="12" s="1"/>
  <c r="AE382" i="12" a="1"/>
  <c r="AE382" i="12" s="1"/>
  <c r="AE384" i="12" a="1"/>
  <c r="AE384" i="12" s="1"/>
  <c r="AE386" i="12" a="1"/>
  <c r="AE386" i="12" s="1"/>
  <c r="AE320" i="12" a="1"/>
  <c r="AE320" i="12" s="1"/>
  <c r="AE328" i="12" a="1"/>
  <c r="AE328" i="12" s="1"/>
  <c r="AE330" i="12" a="1"/>
  <c r="AE330" i="12" s="1"/>
  <c r="AE332" i="12" a="1"/>
  <c r="AE332" i="12" s="1"/>
  <c r="AE334" i="12" a="1"/>
  <c r="AE334" i="12" s="1"/>
  <c r="AE340" i="12" a="1"/>
  <c r="AE340" i="12" s="1"/>
  <c r="AE346" i="12" a="1"/>
  <c r="AE346" i="12" s="1"/>
  <c r="AE357" i="12" a="1"/>
  <c r="AE357" i="12" s="1"/>
  <c r="AE361" i="12" a="1"/>
  <c r="AE361" i="12" s="1"/>
  <c r="AE306" i="12" a="1"/>
  <c r="AE306" i="12" s="1"/>
  <c r="AE321" i="12" a="1"/>
  <c r="AE321" i="12" s="1"/>
  <c r="AE333" i="12" a="1"/>
  <c r="AE333" i="12" s="1"/>
  <c r="AE342" i="12" a="1"/>
  <c r="AE342" i="12" s="1"/>
  <c r="AE348" i="12" a="1"/>
  <c r="AE348" i="12" s="1"/>
  <c r="AE354" i="12" a="1"/>
  <c r="AE354" i="12" s="1"/>
  <c r="AE297" i="12" a="1"/>
  <c r="AE297" i="12" s="1"/>
  <c r="AE358" i="12" a="1"/>
  <c r="AE358" i="12" s="1"/>
  <c r="AE388" i="12" a="1"/>
  <c r="AE388" i="12" s="1"/>
  <c r="AE394" i="12" a="1"/>
  <c r="AE394" i="12" s="1"/>
  <c r="AE402" i="12" a="1"/>
  <c r="AE402" i="12" s="1"/>
  <c r="AE408" i="12" a="1"/>
  <c r="AE408" i="12" s="1"/>
  <c r="AE412" i="12" a="1"/>
  <c r="AE412" i="12" s="1"/>
  <c r="AE422" i="12" a="1"/>
  <c r="AE422" i="12" s="1"/>
  <c r="AE372" i="12" a="1"/>
  <c r="AE372" i="12" s="1"/>
  <c r="AE431" i="12" a="1"/>
  <c r="AE431" i="12" s="1"/>
  <c r="AE434" i="12" a="1"/>
  <c r="AE434" i="12" s="1"/>
  <c r="AE292" i="12" a="1"/>
  <c r="AE292" i="12" s="1"/>
  <c r="AE347" i="12" a="1"/>
  <c r="AE347" i="12" s="1"/>
  <c r="AE366" i="12" a="1"/>
  <c r="AE366" i="12" s="1"/>
  <c r="AE389" i="12" a="1"/>
  <c r="AE389" i="12" s="1"/>
  <c r="AE391" i="12" a="1"/>
  <c r="AE391" i="12" s="1"/>
  <c r="AE393" i="12" a="1"/>
  <c r="AE393" i="12" s="1"/>
  <c r="AE395" i="12" a="1"/>
  <c r="AE395" i="12" s="1"/>
  <c r="AE401" i="12" a="1"/>
  <c r="AE401" i="12" s="1"/>
  <c r="AE405" i="12" a="1"/>
  <c r="AE405" i="12" s="1"/>
  <c r="AE415" i="12" a="1"/>
  <c r="AE415" i="12" s="1"/>
  <c r="AE417" i="12" a="1"/>
  <c r="AE417" i="12" s="1"/>
  <c r="AE423" i="12" a="1"/>
  <c r="AE423" i="12" s="1"/>
  <c r="AE429" i="12" a="1"/>
  <c r="AE429" i="12" s="1"/>
  <c r="AE450" i="12" a="1"/>
  <c r="AE450" i="12" s="1"/>
  <c r="AE462" i="12" a="1"/>
  <c r="AE462" i="12" s="1"/>
  <c r="AE467" i="12" a="1"/>
  <c r="AE467" i="12" s="1"/>
  <c r="AE473" i="12" a="1"/>
  <c r="AE473" i="12" s="1"/>
  <c r="AE478" i="12" a="1"/>
  <c r="AE478" i="12" s="1"/>
  <c r="AE480" i="12" a="1"/>
  <c r="AE480" i="12" s="1"/>
  <c r="AE484" i="12" a="1"/>
  <c r="AE484" i="12" s="1"/>
  <c r="AE486" i="12" a="1"/>
  <c r="AE486" i="12" s="1"/>
  <c r="AE490" i="12" a="1"/>
  <c r="AE490" i="12" s="1"/>
  <c r="AE494" i="12" a="1"/>
  <c r="AE494" i="12" s="1"/>
  <c r="AE435" i="12" a="1"/>
  <c r="AE435" i="12" s="1"/>
  <c r="AE441" i="12" a="1"/>
  <c r="AE441" i="12" s="1"/>
  <c r="AE443" i="12" a="1"/>
  <c r="AE443" i="12" s="1"/>
  <c r="AE449" i="12" a="1"/>
  <c r="AE449" i="12" s="1"/>
  <c r="AE453" i="12" a="1"/>
  <c r="AE453" i="12" s="1"/>
  <c r="AE471" i="12" a="1"/>
  <c r="AE471" i="12" s="1"/>
  <c r="AE445" i="12" a="1"/>
  <c r="AE445" i="12" s="1"/>
  <c r="AE457" i="12" a="1"/>
  <c r="AE457" i="12" s="1"/>
  <c r="AE351" i="12" a="1"/>
  <c r="AE351" i="12" s="1"/>
  <c r="AE436" i="12" a="1"/>
  <c r="AE436" i="12" s="1"/>
  <c r="AE438" i="12" a="1"/>
  <c r="AE438" i="12" s="1"/>
  <c r="AE446" i="12" a="1"/>
  <c r="AE446" i="12" s="1"/>
  <c r="AE452" i="12" a="1"/>
  <c r="AE452" i="12" s="1"/>
  <c r="AE458" i="12" a="1"/>
  <c r="AE458" i="12" s="1"/>
  <c r="AE465" i="12" a="1"/>
  <c r="AE465" i="12" s="1"/>
  <c r="AE479" i="12" a="1"/>
  <c r="AE479" i="12" s="1"/>
  <c r="AE489" i="12" a="1"/>
  <c r="AE489" i="12" s="1"/>
  <c r="AE495" i="12" a="1"/>
  <c r="AE495" i="12" s="1"/>
  <c r="AE463" i="12" a="1"/>
  <c r="AE463" i="12" s="1"/>
  <c r="AE5" i="12" a="1"/>
  <c r="AE5" i="12" s="1"/>
  <c r="AE10" i="12" a="1"/>
  <c r="AE10" i="12" s="1"/>
  <c r="AE25" i="12" a="1"/>
  <c r="AE25" i="12" s="1"/>
  <c r="AE20" i="12" a="1"/>
  <c r="AE20" i="12" s="1"/>
  <c r="AE42" i="12" a="1"/>
  <c r="AE42" i="12" s="1"/>
  <c r="AE32" i="12" a="1"/>
  <c r="AE32" i="12" s="1"/>
  <c r="AE35" i="12" a="1"/>
  <c r="AE35" i="12" s="1"/>
  <c r="AE14" i="12" a="1"/>
  <c r="AE14" i="12" s="1"/>
  <c r="AE21" i="12" a="1"/>
  <c r="AE21" i="12" s="1"/>
  <c r="AE49" i="12" a="1"/>
  <c r="AE49" i="12" s="1"/>
  <c r="AE50" i="12" a="1"/>
  <c r="AE50" i="12" s="1"/>
  <c r="AE55" i="12" a="1"/>
  <c r="AE55" i="12" s="1"/>
  <c r="AE60" i="12" a="1"/>
  <c r="AE60" i="12" s="1"/>
  <c r="AE69" i="12" a="1"/>
  <c r="AE69" i="12" s="1"/>
  <c r="AE15" i="12" a="1"/>
  <c r="AE15" i="12" s="1"/>
  <c r="AE71" i="12" a="1"/>
  <c r="AE71" i="12" s="1"/>
  <c r="AE78" i="12" a="1"/>
  <c r="AE78" i="12" s="1"/>
  <c r="AE62" i="12" a="1"/>
  <c r="AE62" i="12" s="1"/>
  <c r="AE73" i="12" a="1"/>
  <c r="AE73" i="12" s="1"/>
  <c r="AE74" i="12" a="1"/>
  <c r="AE74" i="12" s="1"/>
  <c r="AE27" i="12" a="1"/>
  <c r="AE27" i="12" s="1"/>
  <c r="AE81" i="12" a="1"/>
  <c r="AE81" i="12" s="1"/>
  <c r="AE90" i="12" a="1"/>
  <c r="AE90" i="12" s="1"/>
  <c r="AE92" i="12" a="1"/>
  <c r="AE92" i="12" s="1"/>
  <c r="AE97" i="12" a="1"/>
  <c r="AE97" i="12" s="1"/>
  <c r="AE100" i="12" a="1"/>
  <c r="AE100" i="12" s="1"/>
  <c r="AE114" i="12" a="1"/>
  <c r="AE114" i="12" s="1"/>
  <c r="AE123" i="12" a="1"/>
  <c r="AE123" i="12" s="1"/>
  <c r="AE102" i="12" a="1"/>
  <c r="AE102" i="12" s="1"/>
  <c r="AE131" i="12" a="1"/>
  <c r="AE131" i="12" s="1"/>
  <c r="AE136" i="12" a="1"/>
  <c r="AE136" i="12" s="1"/>
  <c r="AE141" i="12" a="1"/>
  <c r="AE141" i="12" s="1"/>
  <c r="AE124" i="12" a="1"/>
  <c r="AE124" i="12" s="1"/>
  <c r="AE152" i="12" a="1"/>
  <c r="AE152" i="12" s="1"/>
  <c r="AE153" i="12" a="1"/>
  <c r="AE153" i="12" s="1"/>
  <c r="AE154" i="12" a="1"/>
  <c r="AE154" i="12" s="1"/>
  <c r="AE166" i="12" a="1"/>
  <c r="AE166" i="12" s="1"/>
  <c r="AE177" i="12" a="1"/>
  <c r="AE177" i="12" s="1"/>
  <c r="AE178" i="12" a="1"/>
  <c r="AE178" i="12" s="1"/>
  <c r="AE185" i="12" a="1"/>
  <c r="AE185" i="12" s="1"/>
  <c r="AE186" i="12" a="1"/>
  <c r="AE186" i="12" s="1"/>
  <c r="AE112" i="12" a="1"/>
  <c r="AE112" i="12" s="1"/>
  <c r="AE144" i="12" a="1"/>
  <c r="AE144" i="12" s="1"/>
  <c r="AE160" i="12" a="1"/>
  <c r="AE160" i="12" s="1"/>
  <c r="AE161" i="12" a="1"/>
  <c r="AE161" i="12" s="1"/>
  <c r="AE162" i="12" a="1"/>
  <c r="AE162" i="12" s="1"/>
  <c r="AE173" i="12" a="1"/>
  <c r="AE173" i="12" s="1"/>
  <c r="AE135" i="12" a="1"/>
  <c r="AE135" i="12" s="1"/>
  <c r="AE169" i="12" a="1"/>
  <c r="AE169" i="12" s="1"/>
  <c r="AE117" i="12" a="1"/>
  <c r="AE117" i="12" s="1"/>
  <c r="AE216" i="12" a="1"/>
  <c r="AE216" i="12" s="1"/>
  <c r="AE218" i="12" a="1"/>
  <c r="AE218" i="12" s="1"/>
  <c r="AE219" i="12" a="1"/>
  <c r="AE219" i="12" s="1"/>
  <c r="AE234" i="12" a="1"/>
  <c r="AE234" i="12" s="1"/>
  <c r="AE245" i="12" a="1"/>
  <c r="AE245" i="12" s="1"/>
  <c r="AE202" i="12" a="1"/>
  <c r="AE202" i="12" s="1"/>
  <c r="AE205" i="12" a="1"/>
  <c r="AE205" i="12" s="1"/>
  <c r="AE195" i="12" a="1"/>
  <c r="AE195" i="12" s="1"/>
  <c r="AE215" i="12" a="1"/>
  <c r="AE215" i="12" s="1"/>
  <c r="AE224" i="12" a="1"/>
  <c r="AE224" i="12" s="1"/>
  <c r="AE252" i="12" a="1"/>
  <c r="AE252" i="12" s="1"/>
  <c r="AE258" i="12" a="1"/>
  <c r="AE258" i="12" s="1"/>
  <c r="AE260" i="12" a="1"/>
  <c r="AE260" i="12" s="1"/>
  <c r="AE274" i="12" a="1"/>
  <c r="AE274" i="12" s="1"/>
  <c r="AE282" i="12" a="1"/>
  <c r="AE282" i="12" s="1"/>
  <c r="AE289" i="12" a="1"/>
  <c r="AE289" i="12" s="1"/>
  <c r="AE203" i="12" a="1"/>
  <c r="AE203" i="12" s="1"/>
  <c r="AE277" i="12" a="1"/>
  <c r="AE277" i="12" s="1"/>
  <c r="AE279" i="12" a="1"/>
  <c r="AE279" i="12" s="1"/>
  <c r="AE281" i="12" a="1"/>
  <c r="AE281" i="12" s="1"/>
  <c r="AE293" i="12" a="1"/>
  <c r="AE293" i="12" s="1"/>
  <c r="AE300" i="12" a="1"/>
  <c r="AE300" i="12" s="1"/>
  <c r="AE303" i="12" a="1"/>
  <c r="AE303" i="12" s="1"/>
  <c r="AE310" i="12" a="1"/>
  <c r="AE310" i="12" s="1"/>
  <c r="AE311" i="12" a="1"/>
  <c r="AE311" i="12" s="1"/>
  <c r="AE312" i="12" a="1"/>
  <c r="AE312" i="12" s="1"/>
  <c r="AE222" i="12" a="1"/>
  <c r="AE222" i="12" s="1"/>
  <c r="AE294" i="12" a="1"/>
  <c r="AE294" i="12" s="1"/>
  <c r="AE285" i="12" a="1"/>
  <c r="AE285" i="12" s="1"/>
  <c r="AE325" i="12" a="1"/>
  <c r="AE325" i="12" s="1"/>
  <c r="AE335" i="12" a="1"/>
  <c r="AE335" i="12" s="1"/>
  <c r="AE344" i="12" a="1"/>
  <c r="AE344" i="12" s="1"/>
  <c r="AE345" i="12" a="1"/>
  <c r="AE345" i="12" s="1"/>
  <c r="AE375" i="12" a="1"/>
  <c r="AE375" i="12" s="1"/>
  <c r="AE379" i="12" a="1"/>
  <c r="AE379" i="12" s="1"/>
  <c r="AE381" i="12" a="1"/>
  <c r="AE381" i="12" s="1"/>
  <c r="AE383" i="12" a="1"/>
  <c r="AE383" i="12" s="1"/>
  <c r="AE387" i="12" a="1"/>
  <c r="AE387" i="12" s="1"/>
  <c r="AE232" i="12" a="1"/>
  <c r="AE232" i="12" s="1"/>
  <c r="AE307" i="12" a="1"/>
  <c r="AE307" i="12" s="1"/>
  <c r="AE318" i="12" a="1"/>
  <c r="AE318" i="12" s="1"/>
  <c r="AE323" i="12" a="1"/>
  <c r="AE323" i="12" s="1"/>
  <c r="AE308" i="12" a="1"/>
  <c r="AE308" i="12" s="1"/>
  <c r="AE327" i="12" a="1"/>
  <c r="AE327" i="12" s="1"/>
  <c r="AE329" i="12" a="1"/>
  <c r="AE329" i="12" s="1"/>
  <c r="AE355" i="12" a="1"/>
  <c r="AE355" i="12" s="1"/>
  <c r="AE369" i="12" a="1"/>
  <c r="AE369" i="12" s="1"/>
  <c r="AE290" i="12" a="1"/>
  <c r="AE290" i="12" s="1"/>
  <c r="AE367" i="12" a="1"/>
  <c r="AE367" i="12" s="1"/>
  <c r="AE390" i="12" a="1"/>
  <c r="AE390" i="12" s="1"/>
  <c r="AE392" i="12" a="1"/>
  <c r="AE392" i="12" s="1"/>
  <c r="AE404" i="12" a="1"/>
  <c r="AE404" i="12" s="1"/>
  <c r="AE406" i="12" a="1"/>
  <c r="AE406" i="12" s="1"/>
  <c r="AE410" i="12" a="1"/>
  <c r="AE410" i="12" s="1"/>
  <c r="AE424" i="12" a="1"/>
  <c r="AE424" i="12" s="1"/>
  <c r="AE433" i="12" a="1"/>
  <c r="AE433" i="12" s="1"/>
  <c r="AE212" i="12" a="1"/>
  <c r="AE212" i="12" s="1"/>
  <c r="AE352" i="12" a="1"/>
  <c r="AE352" i="12" s="1"/>
  <c r="AE326" i="12" a="1"/>
  <c r="AE326" i="12" s="1"/>
  <c r="AE353" i="12" a="1"/>
  <c r="AE353" i="12" s="1"/>
  <c r="AE407" i="12" a="1"/>
  <c r="AE407" i="12" s="1"/>
  <c r="AE409" i="12" a="1"/>
  <c r="AE409" i="12" s="1"/>
  <c r="AE411" i="12" a="1"/>
  <c r="AE411" i="12" s="1"/>
  <c r="AE421" i="12" a="1"/>
  <c r="AE421" i="12" s="1"/>
  <c r="AE427" i="12" a="1"/>
  <c r="AE427" i="12" s="1"/>
  <c r="AE432" i="12" a="1"/>
  <c r="AE432" i="12" s="1"/>
  <c r="AE331" i="12" a="1"/>
  <c r="AE331" i="12" s="1"/>
  <c r="AE440" i="12" a="1"/>
  <c r="AE440" i="12" s="1"/>
  <c r="AE444" i="12" a="1"/>
  <c r="AE444" i="12" s="1"/>
  <c r="AE454" i="12" a="1"/>
  <c r="AE454" i="12" s="1"/>
  <c r="AE456" i="12" a="1"/>
  <c r="AE456" i="12" s="1"/>
  <c r="AE472" i="12" a="1"/>
  <c r="AE472" i="12" s="1"/>
  <c r="AE488" i="12" a="1"/>
  <c r="AE488" i="12" s="1"/>
  <c r="AE437" i="12" a="1"/>
  <c r="AE437" i="12" s="1"/>
  <c r="AE468" i="12" a="1"/>
  <c r="AE468" i="12" s="1"/>
  <c r="AE439" i="12" a="1"/>
  <c r="AE439" i="12" s="1"/>
  <c r="AE455" i="12" a="1"/>
  <c r="AE455" i="12" s="1"/>
  <c r="AE459" i="12" a="1"/>
  <c r="AE459" i="12" s="1"/>
  <c r="AE461" i="12" a="1"/>
  <c r="AE461" i="12" s="1"/>
  <c r="AE466" i="12" a="1"/>
  <c r="AE466" i="12" s="1"/>
  <c r="AE475" i="12" a="1"/>
  <c r="AE475" i="12" s="1"/>
  <c r="AE430" i="12" a="1"/>
  <c r="AE430" i="12" s="1"/>
  <c r="AE442" i="12" a="1"/>
  <c r="AE442" i="12" s="1"/>
  <c r="AE487" i="12" a="1"/>
  <c r="AE487" i="12" s="1"/>
  <c r="AE493" i="12" a="1"/>
  <c r="AE493" i="12" s="1"/>
  <c r="AE4" i="12" a="1"/>
  <c r="AE4" i="12" s="1"/>
  <c r="AE18" i="12" a="1"/>
  <c r="AE18" i="12" s="1"/>
  <c r="AE41" i="12" a="1"/>
  <c r="AE41" i="12" s="1"/>
  <c r="AE52" i="12" a="1"/>
  <c r="AE52" i="12" s="1"/>
  <c r="AE30" i="12" a="1"/>
  <c r="AE30" i="12" s="1"/>
  <c r="AE31" i="12" a="1"/>
  <c r="AE31" i="12" s="1"/>
  <c r="AE47" i="12" a="1"/>
  <c r="AE47" i="12" s="1"/>
  <c r="AE19" i="12" a="1"/>
  <c r="AE19" i="12" s="1"/>
  <c r="AE63" i="12" a="1"/>
  <c r="AE63" i="12" s="1"/>
  <c r="AE67" i="12" a="1"/>
  <c r="AE67" i="12" s="1"/>
  <c r="AE82" i="12" a="1"/>
  <c r="AE82" i="12" s="1"/>
  <c r="AE6" i="12" a="1"/>
  <c r="AE6" i="12" s="1"/>
  <c r="AE45" i="12" a="1"/>
  <c r="AE45" i="12" s="1"/>
  <c r="AE77" i="12" a="1"/>
  <c r="AE77" i="12" s="1"/>
  <c r="AE83" i="12" a="1"/>
  <c r="AE83" i="12" s="1"/>
  <c r="AE51" i="12" a="1"/>
  <c r="AE51" i="12" s="1"/>
  <c r="AE59" i="12" a="1"/>
  <c r="AE59" i="12" s="1"/>
  <c r="AE72" i="12" a="1"/>
  <c r="AE72" i="12" s="1"/>
  <c r="AE61" i="12" a="1"/>
  <c r="AE61" i="12" s="1"/>
  <c r="AE85" i="12" a="1"/>
  <c r="AE85" i="12" s="1"/>
  <c r="AE89" i="12" a="1"/>
  <c r="AE89" i="12" s="1"/>
  <c r="AE134" i="12" a="1"/>
  <c r="AE134" i="12" s="1"/>
  <c r="AE108" i="12" a="1"/>
  <c r="AE108" i="12" s="1"/>
  <c r="AE110" i="12" a="1"/>
  <c r="AE110" i="12" s="1"/>
  <c r="AE104" i="12" a="1"/>
  <c r="AE104" i="12" s="1"/>
  <c r="AE189" i="12" a="1"/>
  <c r="AE189" i="12" s="1"/>
  <c r="AE121" i="12" a="1"/>
  <c r="AE121" i="12" s="1"/>
  <c r="AE167" i="12" a="1"/>
  <c r="AE167" i="12" s="1"/>
  <c r="AE156" i="12" a="1"/>
  <c r="AE156" i="12" s="1"/>
  <c r="AE168" i="12" a="1"/>
  <c r="AE168" i="12" s="1"/>
  <c r="AE150" i="12" a="1"/>
  <c r="AE150" i="12" s="1"/>
  <c r="AE157" i="12" a="1"/>
  <c r="AE157" i="12" s="1"/>
  <c r="AE244" i="12" a="1"/>
  <c r="AE244" i="12" s="1"/>
  <c r="AE246" i="12" a="1"/>
  <c r="AE246" i="12" s="1"/>
  <c r="AE211" i="12" a="1"/>
  <c r="AE211" i="12" s="1"/>
  <c r="AE226" i="12" a="1"/>
  <c r="AE226" i="12" s="1"/>
  <c r="AE175" i="12" a="1"/>
  <c r="AE175" i="12" s="1"/>
  <c r="AE261" i="12" a="1"/>
  <c r="AE261" i="12" s="1"/>
  <c r="AE267" i="12" a="1"/>
  <c r="AE267" i="12" s="1"/>
  <c r="AE269" i="12" a="1"/>
  <c r="AE269" i="12" s="1"/>
  <c r="AE302" i="12" a="1"/>
  <c r="AE302" i="12" s="1"/>
  <c r="AE217" i="12" a="1"/>
  <c r="AE217" i="12" s="1"/>
  <c r="AE322" i="12" a="1"/>
  <c r="AE322" i="12" s="1"/>
  <c r="AE339" i="12" a="1"/>
  <c r="AE339" i="12" s="1"/>
  <c r="AE356" i="12" a="1"/>
  <c r="AE356" i="12" s="1"/>
  <c r="AE364" i="12" a="1"/>
  <c r="AE364" i="12" s="1"/>
  <c r="AE370" i="12" a="1"/>
  <c r="AE370" i="12" s="1"/>
  <c r="AE380" i="12" a="1"/>
  <c r="AE380" i="12" s="1"/>
  <c r="AE385" i="12" a="1"/>
  <c r="AE385" i="12" s="1"/>
  <c r="AE299" i="12" a="1"/>
  <c r="AE299" i="12" s="1"/>
  <c r="AE336" i="12" a="1"/>
  <c r="AE336" i="12" s="1"/>
  <c r="AE295" i="12" a="1"/>
  <c r="AE295" i="12" s="1"/>
  <c r="AE338" i="12" a="1"/>
  <c r="AE338" i="12" s="1"/>
  <c r="AE359" i="12" a="1"/>
  <c r="AE359" i="12" s="1"/>
  <c r="AE363" i="12" a="1"/>
  <c r="AE363" i="12" s="1"/>
  <c r="AE414" i="12" a="1"/>
  <c r="AE414" i="12" s="1"/>
  <c r="AE418" i="12" a="1"/>
  <c r="AE418" i="12" s="1"/>
  <c r="AE420" i="12" a="1"/>
  <c r="AE420" i="12" s="1"/>
  <c r="AE426" i="12" a="1"/>
  <c r="AE426" i="12" s="1"/>
  <c r="AE341" i="12" a="1"/>
  <c r="AE341" i="12" s="1"/>
  <c r="AE403" i="12" a="1"/>
  <c r="AE403" i="12" s="1"/>
  <c r="AE413" i="12" a="1"/>
  <c r="AE413" i="12" s="1"/>
  <c r="AE419" i="12" a="1"/>
  <c r="AE419" i="12" s="1"/>
  <c r="AE447" i="12" a="1"/>
  <c r="AE447" i="12" s="1"/>
  <c r="AE460" i="12" a="1"/>
  <c r="AE460" i="12" s="1"/>
  <c r="AE448" i="12" a="1"/>
  <c r="AE448" i="12" s="1"/>
  <c r="AE469" i="12" a="1"/>
  <c r="AE469" i="12" s="1"/>
  <c r="AE481" i="12" a="1"/>
  <c r="AE481" i="12" s="1"/>
  <c r="AE451" i="12" a="1"/>
  <c r="AE451" i="12" s="1"/>
  <c r="AE16" i="12" a="1"/>
  <c r="AE16" i="12" s="1"/>
  <c r="AE11" i="12" a="1"/>
  <c r="AE11" i="12" s="1"/>
  <c r="AE38" i="12" a="1"/>
  <c r="AE38" i="12" s="1"/>
  <c r="AE46" i="12" a="1"/>
  <c r="AE46" i="12" s="1"/>
  <c r="AE43" i="12" a="1"/>
  <c r="AE43" i="12" s="1"/>
  <c r="AE53" i="12" a="1"/>
  <c r="AE53" i="12" s="1"/>
  <c r="AE39" i="12" a="1"/>
  <c r="AE39" i="12" s="1"/>
  <c r="AE44" i="12" a="1"/>
  <c r="AE44" i="12" s="1"/>
  <c r="AE48" i="12" a="1"/>
  <c r="AE48" i="12" s="1"/>
  <c r="AE87" i="12" a="1"/>
  <c r="AE87" i="12" s="1"/>
  <c r="AE64" i="12" a="1"/>
  <c r="AE64" i="12" s="1"/>
  <c r="AE79" i="12" a="1"/>
  <c r="AE79" i="12" s="1"/>
  <c r="AE8" i="12" a="1"/>
  <c r="AE8" i="12" s="1"/>
  <c r="AE75" i="12" a="1"/>
  <c r="AE75" i="12" s="1"/>
  <c r="AE98" i="12" a="1"/>
  <c r="AE98" i="12" s="1"/>
  <c r="AE122" i="12" a="1"/>
  <c r="AE122" i="12" s="1"/>
  <c r="AE84" i="12" a="1"/>
  <c r="AE84" i="12" s="1"/>
  <c r="AE138" i="12" a="1"/>
  <c r="AE138" i="12" s="1"/>
  <c r="AE95" i="12" a="1"/>
  <c r="AE95" i="12" s="1"/>
  <c r="AE107" i="12" a="1"/>
  <c r="AE107" i="12" s="1"/>
  <c r="AE151" i="12" a="1"/>
  <c r="AE151" i="12" s="1"/>
  <c r="AE171" i="12" a="1"/>
  <c r="AE171" i="12" s="1"/>
  <c r="AE181" i="12" a="1"/>
  <c r="AE181" i="12" s="1"/>
  <c r="AE182" i="12" a="1"/>
  <c r="AE182" i="12" s="1"/>
  <c r="AE183" i="12" a="1"/>
  <c r="AE183" i="12" s="1"/>
  <c r="AE184" i="12" a="1"/>
  <c r="AE184" i="12" s="1"/>
  <c r="AE187" i="12" a="1"/>
  <c r="AE187" i="12" s="1"/>
  <c r="AE188" i="12" a="1"/>
  <c r="AE188" i="12" s="1"/>
  <c r="AE190" i="12" a="1"/>
  <c r="AE190" i="12" s="1"/>
  <c r="AE130" i="12" a="1"/>
  <c r="AE130" i="12" s="1"/>
  <c r="AE148" i="12" a="1"/>
  <c r="AE148" i="12" s="1"/>
  <c r="AE179" i="12" a="1"/>
  <c r="AE179" i="12" s="1"/>
  <c r="AE139" i="12" a="1"/>
  <c r="AE139" i="12" s="1"/>
  <c r="AE163" i="12" a="1"/>
  <c r="AE163" i="12" s="1"/>
  <c r="AE174" i="12" a="1"/>
  <c r="AE174" i="12" s="1"/>
  <c r="AE197" i="12" a="1"/>
  <c r="AE197" i="12" s="1"/>
  <c r="AE198" i="12" a="1"/>
  <c r="AE198" i="12" s="1"/>
  <c r="AE199" i="12" a="1"/>
  <c r="AE199" i="12" s="1"/>
  <c r="AE126" i="12" a="1"/>
  <c r="AE126" i="12" s="1"/>
  <c r="AE192" i="12" a="1"/>
  <c r="AE192" i="12" s="1"/>
  <c r="AE201" i="12" a="1"/>
  <c r="AE201" i="12" s="1"/>
  <c r="AE213" i="12" a="1"/>
  <c r="AE213" i="12" s="1"/>
  <c r="AE225" i="12" a="1"/>
  <c r="AE225" i="12" s="1"/>
  <c r="AE236" i="12" a="1"/>
  <c r="AE236" i="12" s="1"/>
  <c r="AE238" i="12" a="1"/>
  <c r="AE238" i="12" s="1"/>
  <c r="AE239" i="12" a="1"/>
  <c r="AE239" i="12" s="1"/>
  <c r="AE240" i="12" a="1"/>
  <c r="AE240" i="12" s="1"/>
  <c r="AE242" i="12" a="1"/>
  <c r="AE242" i="12" s="1"/>
  <c r="AE243" i="12" a="1"/>
  <c r="AE243" i="12" s="1"/>
  <c r="AE191" i="12" a="1"/>
  <c r="AE191" i="12" s="1"/>
  <c r="AE209" i="12" a="1"/>
  <c r="AE209" i="12" s="1"/>
  <c r="AE220" i="12" a="1"/>
  <c r="AE220" i="12" s="1"/>
  <c r="AE230" i="12" a="1"/>
  <c r="AE230" i="12" s="1"/>
  <c r="AE210" i="12" a="1"/>
  <c r="AE210" i="12" s="1"/>
  <c r="AE250" i="12" a="1"/>
  <c r="AE250" i="12" s="1"/>
  <c r="AE270" i="12" a="1"/>
  <c r="AE270" i="12" s="1"/>
  <c r="AE314" i="12" a="1"/>
  <c r="AE314" i="12" s="1"/>
  <c r="AE170" i="12" a="1"/>
  <c r="AE170" i="12" s="1"/>
  <c r="AE251" i="12" a="1"/>
  <c r="AE251" i="12" s="1"/>
  <c r="AE253" i="12" a="1"/>
  <c r="AE253" i="12" s="1"/>
  <c r="AE255" i="12" a="1"/>
  <c r="AE255" i="12" s="1"/>
  <c r="AE257" i="12" a="1"/>
  <c r="AE257" i="12" s="1"/>
  <c r="AE265" i="12" a="1"/>
  <c r="AE265" i="12" s="1"/>
  <c r="AE309" i="12" a="1"/>
  <c r="AE309" i="12" s="1"/>
  <c r="AE298" i="12" a="1"/>
  <c r="AE298" i="12" s="1"/>
  <c r="AE304" i="12" a="1"/>
  <c r="AE304" i="12" s="1"/>
  <c r="AE313" i="12" a="1"/>
  <c r="AE313" i="12" s="1"/>
  <c r="AE315" i="12" a="1"/>
  <c r="AE315" i="12" s="1"/>
  <c r="AE317" i="12" a="1"/>
  <c r="AE317" i="12" s="1"/>
  <c r="AE343" i="12" a="1"/>
  <c r="AE343" i="12" s="1"/>
  <c r="AE349" i="12" a="1"/>
  <c r="AE349" i="12" s="1"/>
  <c r="AE360" i="12" a="1"/>
  <c r="AE360" i="12" s="1"/>
  <c r="AE376" i="12" a="1"/>
  <c r="AE376" i="12" s="1"/>
  <c r="AE378" i="12" a="1"/>
  <c r="AE378" i="12" s="1"/>
  <c r="AE350" i="12" a="1"/>
  <c r="AE350" i="12" s="1"/>
  <c r="AE365" i="12" a="1"/>
  <c r="AE365" i="12" s="1"/>
  <c r="AE371" i="12" a="1"/>
  <c r="AE371" i="12" s="1"/>
  <c r="AE301" i="12" a="1"/>
  <c r="AE301" i="12" s="1"/>
  <c r="AE319" i="12" a="1"/>
  <c r="AE319" i="12" s="1"/>
  <c r="AE324" i="12" a="1"/>
  <c r="AE324" i="12" s="1"/>
  <c r="AE368" i="12" a="1"/>
  <c r="AE368" i="12" s="1"/>
  <c r="AE373" i="12" a="1"/>
  <c r="AE373" i="12" s="1"/>
  <c r="AE316" i="12" a="1"/>
  <c r="AE316" i="12" s="1"/>
  <c r="AE396" i="12" a="1"/>
  <c r="AE396" i="12" s="1"/>
  <c r="AE398" i="12" a="1"/>
  <c r="AE398" i="12" s="1"/>
  <c r="AE400" i="12" a="1"/>
  <c r="AE400" i="12" s="1"/>
  <c r="AE416" i="12" a="1"/>
  <c r="AE416" i="12" s="1"/>
  <c r="AE428" i="12" a="1"/>
  <c r="AE428" i="12" s="1"/>
  <c r="AE337" i="12" a="1"/>
  <c r="AE337" i="12" s="1"/>
  <c r="AE362" i="12" a="1"/>
  <c r="AE362" i="12" s="1"/>
  <c r="AE397" i="12" a="1"/>
  <c r="AE397" i="12" s="1"/>
  <c r="AE399" i="12" a="1"/>
  <c r="AE399" i="12" s="1"/>
  <c r="AE425" i="12" a="1"/>
  <c r="AE425" i="12" s="1"/>
  <c r="AE474" i="12" a="1"/>
  <c r="AE474" i="12" s="1"/>
  <c r="AE482" i="12" a="1"/>
  <c r="AE482" i="12" s="1"/>
  <c r="AE492" i="12" a="1"/>
  <c r="AE492" i="12" s="1"/>
  <c r="AE470" i="12" a="1"/>
  <c r="AE470" i="12" s="1"/>
  <c r="AE464" i="12" a="1"/>
  <c r="AE464" i="12" s="1"/>
  <c r="AE476" i="12" a="1"/>
  <c r="AE476" i="12" s="1"/>
  <c r="AE477" i="12" a="1"/>
  <c r="AE477" i="12" s="1"/>
  <c r="AE483" i="12" a="1"/>
  <c r="AE483" i="12" s="1"/>
  <c r="AE485" i="12" a="1"/>
  <c r="AE485" i="12" s="1"/>
  <c r="AE491" i="12" a="1"/>
  <c r="AE491" i="12" s="1"/>
  <c r="AE530" i="12" a="1"/>
  <c r="AE530" i="12" s="1"/>
  <c r="AE531" i="12" a="1"/>
  <c r="AE531" i="12" s="1"/>
  <c r="AE532" i="12" a="1"/>
  <c r="AE532" i="12" s="1"/>
  <c r="AE533" i="12" a="1"/>
  <c r="AE533" i="12" s="1"/>
  <c r="AE534" i="12" a="1"/>
  <c r="AE534" i="12" s="1"/>
  <c r="AE535" i="12" a="1"/>
  <c r="AE535" i="12" s="1"/>
  <c r="AE536" i="12" a="1"/>
  <c r="AE536" i="12" s="1"/>
  <c r="AE537" i="12" a="1"/>
  <c r="AE537" i="12" s="1"/>
  <c r="AE538" i="12" a="1"/>
  <c r="AE538" i="12" s="1"/>
  <c r="AE539" i="12" a="1"/>
  <c r="AE539" i="12" s="1"/>
  <c r="AE540" i="12" a="1"/>
  <c r="AE540" i="12" s="1"/>
  <c r="AE541" i="12" a="1"/>
  <c r="AE541" i="12" s="1"/>
  <c r="AE542" i="12" a="1"/>
  <c r="AE542" i="12" s="1"/>
  <c r="AE543" i="12" a="1"/>
  <c r="AE543" i="12" s="1"/>
  <c r="AE544" i="12" a="1"/>
  <c r="AE544" i="12" s="1"/>
  <c r="AE545" i="12" a="1"/>
  <c r="AE545" i="12" s="1"/>
  <c r="AE546" i="12" a="1"/>
  <c r="AE546" i="12" s="1"/>
  <c r="AE547" i="12" a="1"/>
  <c r="AE547" i="12" s="1"/>
  <c r="AE548" i="12" a="1"/>
  <c r="AE548" i="12" s="1"/>
  <c r="AE549" i="12" a="1"/>
  <c r="AE549" i="12" s="1"/>
  <c r="AE550" i="12" a="1"/>
  <c r="AE550" i="12" s="1"/>
  <c r="AE551" i="12" a="1"/>
  <c r="AE551" i="12" s="1"/>
  <c r="AE552" i="12" a="1"/>
  <c r="AE552" i="12" s="1"/>
  <c r="AE553" i="12" a="1"/>
  <c r="AE553" i="12" s="1"/>
  <c r="AE554" i="12" a="1"/>
  <c r="AE554" i="12" s="1"/>
  <c r="AE555" i="12" a="1"/>
  <c r="AE555" i="12" s="1"/>
  <c r="AE556" i="12" a="1"/>
  <c r="AE556" i="12" s="1"/>
  <c r="AE557" i="12" a="1"/>
  <c r="AE557" i="12" s="1"/>
  <c r="AE558" i="12" a="1"/>
  <c r="AE558" i="12" s="1"/>
  <c r="AE559" i="12" a="1"/>
  <c r="AE559" i="12" s="1"/>
  <c r="AE560" i="12" a="1"/>
  <c r="AE560" i="12" s="1"/>
  <c r="AE561" i="12" a="1"/>
  <c r="AE561" i="12" s="1"/>
  <c r="AE496" i="12" a="1"/>
  <c r="AE496" i="12" s="1"/>
  <c r="AE498" i="12" a="1"/>
  <c r="AE498" i="12" s="1"/>
  <c r="AE500" i="12" a="1"/>
  <c r="AE500" i="12" s="1"/>
  <c r="AE502" i="12" a="1"/>
  <c r="AE502" i="12" s="1"/>
  <c r="AE504" i="12" a="1"/>
  <c r="AE504" i="12" s="1"/>
  <c r="AE506" i="12" a="1"/>
  <c r="AE506" i="12" s="1"/>
  <c r="AE508" i="12" a="1"/>
  <c r="AE508" i="12" s="1"/>
  <c r="AE512" i="12" a="1"/>
  <c r="AE512" i="12" s="1"/>
  <c r="AE516" i="12" a="1"/>
  <c r="AE516" i="12" s="1"/>
  <c r="AE520" i="12" a="1"/>
  <c r="AE520" i="12" s="1"/>
  <c r="AE523" i="12" a="1"/>
  <c r="AE523" i="12" s="1"/>
  <c r="AE524" i="12" a="1"/>
  <c r="AE524" i="12" s="1"/>
  <c r="AE525" i="12" a="1"/>
  <c r="AE525" i="12" s="1"/>
  <c r="AE526" i="12" a="1"/>
  <c r="AE526" i="12" s="1"/>
  <c r="AE527" i="12" a="1"/>
  <c r="AE527" i="12" s="1"/>
  <c r="AE528" i="12" a="1"/>
  <c r="AE528" i="12" s="1"/>
  <c r="AE529" i="12" a="1"/>
  <c r="AE529" i="12" s="1"/>
  <c r="AE511" i="12" a="1"/>
  <c r="AE511" i="12" s="1"/>
  <c r="AE519" i="12" a="1"/>
  <c r="AE519" i="12" s="1"/>
  <c r="AE509" i="12" a="1"/>
  <c r="AE509" i="12" s="1"/>
  <c r="AE513" i="12" a="1"/>
  <c r="AE513" i="12" s="1"/>
  <c r="AE517" i="12" a="1"/>
  <c r="AE517" i="12" s="1"/>
  <c r="AE521" i="12" a="1"/>
  <c r="AE521" i="12" s="1"/>
  <c r="AE497" i="12" a="1"/>
  <c r="AE497" i="12" s="1"/>
  <c r="AE499" i="12" a="1"/>
  <c r="AE499" i="12" s="1"/>
  <c r="AE501" i="12" a="1"/>
  <c r="AE501" i="12" s="1"/>
  <c r="AE503" i="12" a="1"/>
  <c r="AE503" i="12" s="1"/>
  <c r="AE505" i="12" a="1"/>
  <c r="AE505" i="12" s="1"/>
  <c r="AE507" i="12" a="1"/>
  <c r="AE507" i="12" s="1"/>
  <c r="AI507" i="12" s="1"/>
  <c r="AE510" i="12" a="1"/>
  <c r="AE510" i="12" s="1"/>
  <c r="AE514" i="12" a="1"/>
  <c r="AE514" i="12" s="1"/>
  <c r="AE518" i="12" a="1"/>
  <c r="AE518" i="12" s="1"/>
  <c r="AI518" i="12" s="1"/>
  <c r="AE522" i="12" a="1"/>
  <c r="AE522" i="12" s="1"/>
  <c r="AI522" i="12" s="1"/>
  <c r="AE515" i="12" a="1"/>
  <c r="AE515" i="12" s="1"/>
  <c r="AE2" i="12" a="1"/>
  <c r="AE2" i="12" s="1"/>
  <c r="BH6" i="12"/>
  <c r="BH3" i="12"/>
  <c r="BH2" i="12"/>
  <c r="BH7" i="12"/>
  <c r="BH5" i="12"/>
  <c r="BH4" i="12"/>
  <c r="N10" i="38"/>
  <c r="N9" i="38"/>
  <c r="N8" i="38"/>
  <c r="N7" i="38"/>
  <c r="K30" i="38"/>
  <c r="C57" i="38"/>
  <c r="K25" i="38" s="1"/>
  <c r="C58" i="38"/>
  <c r="K26" i="38" s="1"/>
  <c r="C59" i="38"/>
  <c r="C60" i="38"/>
  <c r="C61" i="38"/>
  <c r="C62" i="38"/>
  <c r="C63" i="38"/>
  <c r="C64" i="38"/>
  <c r="C65" i="38"/>
  <c r="C66" i="38"/>
  <c r="C67" i="38"/>
  <c r="C68" i="38"/>
  <c r="C69" i="38"/>
  <c r="C70" i="38"/>
  <c r="C71" i="38"/>
  <c r="C72" i="38"/>
  <c r="C73" i="38"/>
  <c r="C74" i="38"/>
  <c r="C75" i="38"/>
  <c r="C56" i="38"/>
  <c r="K3" i="38" s="1"/>
  <c r="P3" i="38"/>
  <c r="P4" i="38"/>
  <c r="P2" i="38"/>
  <c r="AI505" i="12" l="1"/>
  <c r="AI514" i="12"/>
  <c r="AI503" i="12"/>
  <c r="AI521" i="12"/>
  <c r="AI519" i="12"/>
  <c r="AI527" i="12"/>
  <c r="AI523" i="12"/>
  <c r="AI508" i="12"/>
  <c r="AI500" i="12"/>
  <c r="AI560" i="12"/>
  <c r="AI556" i="12"/>
  <c r="AI552" i="12"/>
  <c r="AI548" i="12"/>
  <c r="AI544" i="12"/>
  <c r="AI540" i="12"/>
  <c r="AI536" i="12"/>
  <c r="AI532" i="12"/>
  <c r="AI485" i="12"/>
  <c r="AI464" i="12"/>
  <c r="AI474" i="12"/>
  <c r="AI362" i="12"/>
  <c r="AI400" i="12"/>
  <c r="AI373" i="12"/>
  <c r="AI301" i="12"/>
  <c r="AI378" i="12"/>
  <c r="AI343" i="12"/>
  <c r="AI304" i="12"/>
  <c r="AI257" i="12"/>
  <c r="AI170" i="12"/>
  <c r="AI210" i="12"/>
  <c r="AI191" i="12"/>
  <c r="AI239" i="12"/>
  <c r="AI213" i="12"/>
  <c r="AI199" i="12"/>
  <c r="AI163" i="12"/>
  <c r="AI130" i="12"/>
  <c r="AI184" i="12"/>
  <c r="AI171" i="12"/>
  <c r="AI138" i="12"/>
  <c r="AI75" i="12"/>
  <c r="AI87" i="12"/>
  <c r="AI53" i="12"/>
  <c r="AI11" i="12"/>
  <c r="AI469" i="12"/>
  <c r="AI419" i="12"/>
  <c r="AI426" i="12"/>
  <c r="AI363" i="12"/>
  <c r="AI336" i="12"/>
  <c r="AI370" i="12"/>
  <c r="AI322" i="12"/>
  <c r="AI267" i="12"/>
  <c r="AI211" i="12"/>
  <c r="AI150" i="12"/>
  <c r="AI121" i="12"/>
  <c r="AI108" i="12"/>
  <c r="AI61" i="12"/>
  <c r="AI83" i="12"/>
  <c r="AI82" i="12"/>
  <c r="AI47" i="12"/>
  <c r="AI41" i="12"/>
  <c r="AI487" i="12"/>
  <c r="AI466" i="12"/>
  <c r="AI439" i="12"/>
  <c r="AI472" i="12"/>
  <c r="AI440" i="12"/>
  <c r="AI421" i="12"/>
  <c r="AI353" i="12"/>
  <c r="AI433" i="12"/>
  <c r="AI404" i="12"/>
  <c r="AI290" i="12"/>
  <c r="AI327" i="12"/>
  <c r="AI307" i="12"/>
  <c r="AI381" i="12"/>
  <c r="AI344" i="12"/>
  <c r="AI294" i="12"/>
  <c r="AI310" i="12"/>
  <c r="AI281" i="12"/>
  <c r="AI289" i="12"/>
  <c r="AI258" i="12"/>
  <c r="AI195" i="12"/>
  <c r="AI234" i="12"/>
  <c r="AI117" i="12"/>
  <c r="AI162" i="12"/>
  <c r="AI112" i="12"/>
  <c r="AI177" i="12"/>
  <c r="AI152" i="12"/>
  <c r="AI131" i="12"/>
  <c r="AI100" i="12"/>
  <c r="AI81" i="12"/>
  <c r="AI62" i="12"/>
  <c r="AI69" i="12"/>
  <c r="AI49" i="12"/>
  <c r="AI32" i="12"/>
  <c r="AI10" i="12"/>
  <c r="AI489" i="12"/>
  <c r="AI452" i="12"/>
  <c r="AI351" i="12"/>
  <c r="AI453" i="12"/>
  <c r="AI435" i="12"/>
  <c r="AI484" i="12"/>
  <c r="AI467" i="12"/>
  <c r="AI423" i="12"/>
  <c r="AI401" i="12"/>
  <c r="AI389" i="12"/>
  <c r="AI434" i="12"/>
  <c r="AI412" i="12"/>
  <c r="AI388" i="12"/>
  <c r="AI348" i="12"/>
  <c r="AI306" i="12"/>
  <c r="AI340" i="12"/>
  <c r="AI328" i="12"/>
  <c r="AI382" i="12"/>
  <c r="AI296" i="12"/>
  <c r="AI227" i="12"/>
  <c r="AI271" i="12"/>
  <c r="AI221" i="12"/>
  <c r="AI278" i="12"/>
  <c r="AI266" i="12"/>
  <c r="AI254" i="12"/>
  <c r="AI228" i="12"/>
  <c r="AI207" i="12"/>
  <c r="AI235" i="12"/>
  <c r="AI196" i="12"/>
  <c r="AI200" i="12"/>
  <c r="AI145" i="12"/>
  <c r="AI159" i="12"/>
  <c r="AI96" i="12"/>
  <c r="AI147" i="12"/>
  <c r="AI115" i="12"/>
  <c r="AI132" i="12"/>
  <c r="AI105" i="12"/>
  <c r="AI127" i="12"/>
  <c r="AI113" i="12"/>
  <c r="AI88" i="12"/>
  <c r="AI66" i="12"/>
  <c r="AI56" i="12"/>
  <c r="AI57" i="12"/>
  <c r="AI37" i="12"/>
  <c r="AI12" i="12"/>
  <c r="AI7" i="12"/>
  <c r="AI515" i="12"/>
  <c r="AI510" i="12"/>
  <c r="AI501" i="12"/>
  <c r="AI517" i="12"/>
  <c r="AI511" i="12"/>
  <c r="AI526" i="12"/>
  <c r="AI520" i="12"/>
  <c r="AI506" i="12"/>
  <c r="AI498" i="12"/>
  <c r="AI559" i="12"/>
  <c r="AI555" i="12"/>
  <c r="AI551" i="12"/>
  <c r="AI547" i="12"/>
  <c r="AI543" i="12"/>
  <c r="AI539" i="12"/>
  <c r="AI535" i="12"/>
  <c r="AI531" i="12"/>
  <c r="AI483" i="12"/>
  <c r="AI470" i="12"/>
  <c r="AI425" i="12"/>
  <c r="AI337" i="12"/>
  <c r="AI398" i="12"/>
  <c r="AI368" i="12"/>
  <c r="AI371" i="12"/>
  <c r="AI376" i="12"/>
  <c r="AI317" i="12"/>
  <c r="AI298" i="12"/>
  <c r="AI255" i="12"/>
  <c r="AI314" i="12"/>
  <c r="AI230" i="12"/>
  <c r="AI243" i="12"/>
  <c r="AI238" i="12"/>
  <c r="AI201" i="12"/>
  <c r="AI198" i="12"/>
  <c r="AI139" i="12"/>
  <c r="AI190" i="12"/>
  <c r="AI183" i="12"/>
  <c r="AI151" i="12"/>
  <c r="AI84" i="12"/>
  <c r="AI8" i="12"/>
  <c r="AI48" i="12"/>
  <c r="AI43" i="12"/>
  <c r="AI16" i="12"/>
  <c r="AI448" i="12"/>
  <c r="AI413" i="12"/>
  <c r="AI420" i="12"/>
  <c r="AI359" i="12"/>
  <c r="AI299" i="12"/>
  <c r="AI364" i="12"/>
  <c r="AI217" i="12"/>
  <c r="AI261" i="12"/>
  <c r="AI246" i="12"/>
  <c r="AI168" i="12"/>
  <c r="AI189" i="12"/>
  <c r="AI134" i="12"/>
  <c r="AI72" i="12"/>
  <c r="AI77" i="12"/>
  <c r="AI67" i="12"/>
  <c r="AI31" i="12"/>
  <c r="AI18" i="12"/>
  <c r="AI442" i="12"/>
  <c r="AI461" i="12"/>
  <c r="AI468" i="12"/>
  <c r="AI456" i="12"/>
  <c r="AI331" i="12"/>
  <c r="AI411" i="12"/>
  <c r="AI326" i="12"/>
  <c r="AI424" i="12"/>
  <c r="AI392" i="12"/>
  <c r="AI369" i="12"/>
  <c r="AI308" i="12"/>
  <c r="AI232" i="12"/>
  <c r="AI379" i="12"/>
  <c r="AI335" i="12"/>
  <c r="AI222" i="12"/>
  <c r="AI303" i="12"/>
  <c r="AI279" i="12"/>
  <c r="AI282" i="12"/>
  <c r="AI252" i="12"/>
  <c r="AI205" i="12"/>
  <c r="AI219" i="12"/>
  <c r="AI169" i="12"/>
  <c r="AI161" i="12"/>
  <c r="AI186" i="12"/>
  <c r="AI166" i="12"/>
  <c r="AI124" i="12"/>
  <c r="AI102" i="12"/>
  <c r="AI97" i="12"/>
  <c r="AI27" i="12"/>
  <c r="AI78" i="12"/>
  <c r="AI60" i="12"/>
  <c r="AI21" i="12"/>
  <c r="AI42" i="12"/>
  <c r="AI5" i="12"/>
  <c r="AI479" i="12"/>
  <c r="AI446" i="12"/>
  <c r="AI457" i="12"/>
  <c r="AI449" i="12"/>
  <c r="AI494" i="12"/>
  <c r="AI480" i="12"/>
  <c r="AI462" i="12"/>
  <c r="AI417" i="12"/>
  <c r="AI395" i="12"/>
  <c r="AI366" i="12"/>
  <c r="AI431" i="12"/>
  <c r="AI408" i="12"/>
  <c r="AI358" i="12"/>
  <c r="AI342" i="12"/>
  <c r="AI361" i="12"/>
  <c r="AI334" i="12"/>
  <c r="AI320" i="12"/>
  <c r="AI377" i="12"/>
  <c r="AI291" i="12"/>
  <c r="AI283" i="12"/>
  <c r="AI263" i="12"/>
  <c r="AI305" i="12"/>
  <c r="AI276" i="12"/>
  <c r="AI264" i="12"/>
  <c r="AI248" i="12"/>
  <c r="AI223" i="12"/>
  <c r="AI247" i="12"/>
  <c r="AI233" i="12"/>
  <c r="AI146" i="12"/>
  <c r="AI193" i="12"/>
  <c r="AI128" i="12"/>
  <c r="AI155" i="12"/>
  <c r="AI176" i="12"/>
  <c r="AI142" i="12"/>
  <c r="AI103" i="12"/>
  <c r="AI116" i="12"/>
  <c r="AI101" i="12"/>
  <c r="AI125" i="12"/>
  <c r="AI106" i="12"/>
  <c r="AI80" i="12"/>
  <c r="AI40" i="12"/>
  <c r="AI86" i="12"/>
  <c r="AI54" i="12"/>
  <c r="AI36" i="12"/>
  <c r="AI23" i="12"/>
  <c r="AI28" i="12"/>
  <c r="AI499" i="12"/>
  <c r="AI513" i="12"/>
  <c r="AI529" i="12"/>
  <c r="AI525" i="12"/>
  <c r="AI516" i="12"/>
  <c r="AI504" i="12"/>
  <c r="AI496" i="12"/>
  <c r="AI558" i="12"/>
  <c r="AI554" i="12"/>
  <c r="AI550" i="12"/>
  <c r="AI546" i="12"/>
  <c r="AI542" i="12"/>
  <c r="AI538" i="12"/>
  <c r="AI534" i="12"/>
  <c r="AI530" i="12"/>
  <c r="AI477" i="12"/>
  <c r="AI492" i="12"/>
  <c r="AI399" i="12"/>
  <c r="AI428" i="12"/>
  <c r="AI396" i="12"/>
  <c r="AI324" i="12"/>
  <c r="AI365" i="12"/>
  <c r="AI360" i="12"/>
  <c r="AI315" i="12"/>
  <c r="AI309" i="12"/>
  <c r="AI253" i="12"/>
  <c r="AI270" i="12"/>
  <c r="AI220" i="12"/>
  <c r="AI242" i="12"/>
  <c r="AI236" i="12"/>
  <c r="AI192" i="12"/>
  <c r="AI197" i="12"/>
  <c r="AI179" i="12"/>
  <c r="AI188" i="12"/>
  <c r="AI182" i="12"/>
  <c r="AI107" i="12"/>
  <c r="AI122" i="12"/>
  <c r="AI79" i="12"/>
  <c r="AI44" i="12"/>
  <c r="AI46" i="12"/>
  <c r="AI451" i="12"/>
  <c r="AI460" i="12"/>
  <c r="AI403" i="12"/>
  <c r="AI418" i="12"/>
  <c r="AI338" i="12"/>
  <c r="AI385" i="12"/>
  <c r="AI356" i="12"/>
  <c r="AI302" i="12"/>
  <c r="AI175" i="12"/>
  <c r="AI244" i="12"/>
  <c r="AI156" i="12"/>
  <c r="AI104" i="12"/>
  <c r="AI89" i="12"/>
  <c r="AI59" i="12"/>
  <c r="AI45" i="12"/>
  <c r="AI63" i="12"/>
  <c r="AI30" i="12"/>
  <c r="AI4" i="12"/>
  <c r="AI430" i="12"/>
  <c r="AI459" i="12"/>
  <c r="AI437" i="12"/>
  <c r="AI454" i="12"/>
  <c r="AI432" i="12"/>
  <c r="AI409" i="12"/>
  <c r="AI352" i="12"/>
  <c r="AI410" i="12"/>
  <c r="AI390" i="12"/>
  <c r="AI355" i="12"/>
  <c r="AI323" i="12"/>
  <c r="AI387" i="12"/>
  <c r="AI375" i="12"/>
  <c r="AI325" i="12"/>
  <c r="AI312" i="12"/>
  <c r="AI300" i="12"/>
  <c r="AI277" i="12"/>
  <c r="AI274" i="12"/>
  <c r="AI224" i="12"/>
  <c r="AI202" i="12"/>
  <c r="AI218" i="12"/>
  <c r="AI135" i="12"/>
  <c r="AI160" i="12"/>
  <c r="AI185" i="12"/>
  <c r="AI154" i="12"/>
  <c r="AI141" i="12"/>
  <c r="AI123" i="12"/>
  <c r="AI92" i="12"/>
  <c r="AI74" i="12"/>
  <c r="AI71" i="12"/>
  <c r="AI55" i="12"/>
  <c r="AI14" i="12"/>
  <c r="AI20" i="12"/>
  <c r="AI463" i="12"/>
  <c r="AI465" i="12"/>
  <c r="AI438" i="12"/>
  <c r="AI445" i="12"/>
  <c r="AI443" i="12"/>
  <c r="AI490" i="12"/>
  <c r="AI478" i="12"/>
  <c r="AI450" i="12"/>
  <c r="AI415" i="12"/>
  <c r="AI393" i="12"/>
  <c r="AI347" i="12"/>
  <c r="AI372" i="12"/>
  <c r="AI402" i="12"/>
  <c r="AI297" i="12"/>
  <c r="AI333" i="12"/>
  <c r="AI357" i="12"/>
  <c r="AI332" i="12"/>
  <c r="AI386" i="12"/>
  <c r="AI374" i="12"/>
  <c r="AI288" i="12"/>
  <c r="AI275" i="12"/>
  <c r="AI259" i="12"/>
  <c r="AI284" i="12"/>
  <c r="AI272" i="12"/>
  <c r="AI262" i="12"/>
  <c r="AI231" i="12"/>
  <c r="AI208" i="12"/>
  <c r="AI241" i="12"/>
  <c r="AI229" i="12"/>
  <c r="AI194" i="12"/>
  <c r="AI180" i="12"/>
  <c r="AI119" i="12"/>
  <c r="AI143" i="12"/>
  <c r="AI165" i="12"/>
  <c r="AI140" i="12"/>
  <c r="AI99" i="12"/>
  <c r="AI111" i="12"/>
  <c r="AI93" i="12"/>
  <c r="AI120" i="12"/>
  <c r="AI94" i="12"/>
  <c r="AI29" i="12"/>
  <c r="AI34" i="12"/>
  <c r="AI76" i="12"/>
  <c r="AI26" i="12"/>
  <c r="AI33" i="12"/>
  <c r="AI17" i="12"/>
  <c r="AI22" i="12"/>
  <c r="AI497" i="12"/>
  <c r="AI509" i="12"/>
  <c r="AI528" i="12"/>
  <c r="AI524" i="12"/>
  <c r="AI512" i="12"/>
  <c r="AI502" i="12"/>
  <c r="AI561" i="12"/>
  <c r="AI557" i="12"/>
  <c r="AI553" i="12"/>
  <c r="AI549" i="12"/>
  <c r="AI545" i="12"/>
  <c r="AI541" i="12"/>
  <c r="AI537" i="12"/>
  <c r="AI533" i="12"/>
  <c r="AI491" i="12"/>
  <c r="AI476" i="12"/>
  <c r="AI482" i="12"/>
  <c r="AI397" i="12"/>
  <c r="AI416" i="12"/>
  <c r="AI316" i="12"/>
  <c r="AI319" i="12"/>
  <c r="AI350" i="12"/>
  <c r="AI349" i="12"/>
  <c r="AI313" i="12"/>
  <c r="AI265" i="12"/>
  <c r="AI251" i="12"/>
  <c r="AI250" i="12"/>
  <c r="AI209" i="12"/>
  <c r="AI240" i="12"/>
  <c r="AI225" i="12"/>
  <c r="AI126" i="12"/>
  <c r="AI174" i="12"/>
  <c r="AI148" i="12"/>
  <c r="AI187" i="12"/>
  <c r="AI181" i="12"/>
  <c r="AI95" i="12"/>
  <c r="AI98" i="12"/>
  <c r="AI64" i="12"/>
  <c r="AI39" i="12"/>
  <c r="AI38" i="12"/>
  <c r="AI481" i="12"/>
  <c r="AI447" i="12"/>
  <c r="AI341" i="12"/>
  <c r="AI414" i="12"/>
  <c r="AI295" i="12"/>
  <c r="AI380" i="12"/>
  <c r="AI339" i="12"/>
  <c r="AI269" i="12"/>
  <c r="AI226" i="12"/>
  <c r="AI157" i="12"/>
  <c r="AI167" i="12"/>
  <c r="AI110" i="12"/>
  <c r="AI85" i="12"/>
  <c r="AI51" i="12"/>
  <c r="AI6" i="12"/>
  <c r="AI19" i="12"/>
  <c r="AI52" i="12"/>
  <c r="AI493" i="12"/>
  <c r="AI475" i="12"/>
  <c r="AI455" i="12"/>
  <c r="AI488" i="12"/>
  <c r="AI444" i="12"/>
  <c r="AI427" i="12"/>
  <c r="AI407" i="12"/>
  <c r="AI212" i="12"/>
  <c r="AI406" i="12"/>
  <c r="AI367" i="12"/>
  <c r="AI329" i="12"/>
  <c r="AI318" i="12"/>
  <c r="AI383" i="12"/>
  <c r="AI345" i="12"/>
  <c r="AI285" i="12"/>
  <c r="AI311" i="12"/>
  <c r="AI293" i="12"/>
  <c r="AI203" i="12"/>
  <c r="AI260" i="12"/>
  <c r="AI215" i="12"/>
  <c r="AI245" i="12"/>
  <c r="AI216" i="12"/>
  <c r="AI173" i="12"/>
  <c r="AI144" i="12"/>
  <c r="AI178" i="12"/>
  <c r="AI153" i="12"/>
  <c r="AI136" i="12"/>
  <c r="AI114" i="12"/>
  <c r="AI90" i="12"/>
  <c r="AI73" i="12"/>
  <c r="AI15" i="12"/>
  <c r="AI50" i="12"/>
  <c r="AI35" i="12"/>
  <c r="AI25" i="12"/>
  <c r="AI495" i="12"/>
  <c r="AI458" i="12"/>
  <c r="AI436" i="12"/>
  <c r="AI471" i="12"/>
  <c r="AI441" i="12"/>
  <c r="AI486" i="12"/>
  <c r="AI473" i="12"/>
  <c r="AI429" i="12"/>
  <c r="AI405" i="12"/>
  <c r="AI391" i="12"/>
  <c r="AI292" i="12"/>
  <c r="AI422" i="12"/>
  <c r="AI394" i="12"/>
  <c r="AI354" i="12"/>
  <c r="AI321" i="12"/>
  <c r="AI346" i="12"/>
  <c r="AI330" i="12"/>
  <c r="AI384" i="12"/>
  <c r="AI287" i="12"/>
  <c r="AI286" i="12"/>
  <c r="AI273" i="12"/>
  <c r="AI249" i="12"/>
  <c r="AI280" i="12"/>
  <c r="AI268" i="12"/>
  <c r="AI256" i="12"/>
  <c r="AI214" i="12"/>
  <c r="AI206" i="12"/>
  <c r="AI237" i="12"/>
  <c r="AI204" i="12"/>
  <c r="AI164" i="12"/>
  <c r="AI149" i="12"/>
  <c r="AI172" i="12"/>
  <c r="AI137" i="12"/>
  <c r="AI158" i="12"/>
  <c r="AI133" i="12"/>
  <c r="AI91" i="12"/>
  <c r="AI109" i="12"/>
  <c r="AI129" i="12"/>
  <c r="AI118" i="12"/>
  <c r="AI58" i="12"/>
  <c r="AI68" i="12"/>
  <c r="AI70" i="12"/>
  <c r="AI65" i="12"/>
  <c r="AI13" i="12"/>
  <c r="AI24" i="12"/>
  <c r="AI9" i="12"/>
  <c r="AI3" i="12"/>
  <c r="K46" i="38"/>
  <c r="K34" i="38"/>
  <c r="K18" i="38"/>
  <c r="K14" i="38"/>
  <c r="K10" i="38"/>
  <c r="K6" i="38"/>
  <c r="K45" i="38"/>
  <c r="K33" i="38"/>
  <c r="K21" i="38"/>
  <c r="K13" i="38"/>
  <c r="K9" i="38"/>
  <c r="K5" i="38"/>
  <c r="K50" i="38"/>
  <c r="K38" i="38"/>
  <c r="K22" i="38"/>
  <c r="K41" i="38"/>
  <c r="K29" i="38"/>
  <c r="K17" i="38"/>
  <c r="K2" i="38"/>
  <c r="K48" i="38"/>
  <c r="K44" i="38"/>
  <c r="K40" i="38"/>
  <c r="K36" i="38"/>
  <c r="K32" i="38"/>
  <c r="K28" i="38"/>
  <c r="K24" i="38"/>
  <c r="K20" i="38"/>
  <c r="K16" i="38"/>
  <c r="K12" i="38"/>
  <c r="K8" i="38"/>
  <c r="K4" i="38"/>
  <c r="K42" i="38"/>
  <c r="K49" i="38"/>
  <c r="K37" i="38"/>
  <c r="K51" i="38"/>
  <c r="K47" i="38"/>
  <c r="K43" i="38"/>
  <c r="O10" i="38" s="1"/>
  <c r="P10" i="38" s="1"/>
  <c r="K39" i="38"/>
  <c r="K35" i="38"/>
  <c r="K31" i="38"/>
  <c r="K27" i="38"/>
  <c r="K23" i="38"/>
  <c r="K19" i="38"/>
  <c r="K15" i="38"/>
  <c r="K11" i="38"/>
  <c r="K7" i="38"/>
  <c r="AI2" i="12"/>
  <c r="S3" i="8"/>
  <c r="S4" i="8" s="1"/>
  <c r="S5" i="8" s="1"/>
  <c r="S6" i="8" s="1"/>
  <c r="S7" i="8" s="1"/>
  <c r="S8" i="8" s="1"/>
  <c r="S9" i="8" s="1"/>
  <c r="S10" i="8" s="1"/>
  <c r="S11" i="8" s="1"/>
  <c r="S12" i="8" s="1"/>
  <c r="S13" i="8" s="1"/>
  <c r="S14" i="8" s="1"/>
  <c r="S15" i="8" s="1"/>
  <c r="S16" i="8" s="1"/>
  <c r="S17" i="8" s="1"/>
  <c r="S18" i="8" s="1"/>
  <c r="S19" i="8" s="1"/>
  <c r="S20" i="8" s="1"/>
  <c r="S21" i="8" s="1"/>
  <c r="S22" i="8" s="1"/>
  <c r="S23" i="8" s="1"/>
  <c r="S24" i="8" s="1"/>
  <c r="S25" i="8" s="1"/>
  <c r="S26" i="8" s="1"/>
  <c r="K2" i="8"/>
  <c r="I2" i="8"/>
  <c r="J2" i="8"/>
  <c r="O9" i="38" l="1"/>
  <c r="P9" i="38" s="1"/>
  <c r="O7" i="38"/>
  <c r="P7" i="38" s="1"/>
  <c r="O8" i="38"/>
  <c r="P8" i="38" s="1"/>
  <c r="B2" i="13"/>
  <c r="A1" i="34"/>
  <c r="AJ58" i="34" l="1"/>
  <c r="R3" i="37"/>
  <c r="R4" i="37" s="1"/>
  <c r="R5" i="37" s="1"/>
  <c r="R6" i="37" s="1"/>
  <c r="R7" i="37" s="1"/>
  <c r="R8" i="37" s="1"/>
  <c r="R9" i="37" s="1"/>
  <c r="R10" i="37" s="1"/>
  <c r="R11" i="37" s="1"/>
  <c r="R12" i="37" s="1"/>
  <c r="R13" i="37" s="1"/>
  <c r="R14" i="37" s="1"/>
  <c r="R15" i="37" s="1"/>
  <c r="R16" i="37" s="1"/>
  <c r="R17" i="37" s="1"/>
  <c r="R18" i="37" s="1"/>
  <c r="R19" i="37" s="1"/>
  <c r="R20" i="37" s="1"/>
  <c r="R21" i="37" s="1"/>
  <c r="R22" i="37" s="1"/>
  <c r="R23" i="37" s="1"/>
  <c r="R24" i="37" s="1"/>
  <c r="R25" i="37" s="1"/>
  <c r="R26" i="37" s="1"/>
  <c r="R27" i="37" s="1"/>
  <c r="R28" i="37" s="1"/>
  <c r="R29" i="37" s="1"/>
  <c r="R30" i="37" s="1"/>
  <c r="R31" i="37" s="1"/>
  <c r="R32" i="37" s="1"/>
  <c r="R33" i="37" s="1"/>
  <c r="R34" i="37" s="1"/>
  <c r="R35" i="37" s="1"/>
  <c r="R36" i="37" s="1"/>
  <c r="R37" i="37" s="1"/>
  <c r="R38" i="37" s="1"/>
  <c r="R39" i="37" s="1"/>
  <c r="R40" i="37" s="1"/>
  <c r="R41" i="37" s="1"/>
  <c r="R42" i="37" s="1"/>
  <c r="R43" i="37" s="1"/>
  <c r="R44" i="37" s="1"/>
  <c r="R45" i="37" s="1"/>
  <c r="R46" i="37" s="1"/>
  <c r="R47" i="37" s="1"/>
  <c r="R48" i="37" s="1"/>
  <c r="R49" i="37" s="1"/>
  <c r="R50" i="37" s="1"/>
  <c r="R51" i="37" s="1"/>
  <c r="E650" i="37"/>
  <c r="E649" i="37"/>
  <c r="E648" i="37"/>
  <c r="E646" i="37"/>
  <c r="E647" i="37"/>
  <c r="E645" i="37"/>
  <c r="E644" i="37"/>
  <c r="E643" i="37"/>
  <c r="E642" i="37"/>
  <c r="E641" i="37"/>
  <c r="E638" i="37"/>
  <c r="E639" i="37"/>
  <c r="E640" i="37"/>
  <c r="E637" i="37"/>
  <c r="E636" i="37"/>
  <c r="E635" i="37"/>
  <c r="E634" i="37"/>
  <c r="E633" i="37"/>
  <c r="E632" i="37"/>
  <c r="E631" i="37"/>
  <c r="E630" i="37"/>
  <c r="E629" i="37"/>
  <c r="E628" i="37"/>
  <c r="E625" i="37"/>
  <c r="E624" i="37"/>
  <c r="E627" i="37"/>
  <c r="E626" i="37"/>
  <c r="E621" i="37"/>
  <c r="E623" i="37"/>
  <c r="E620" i="37"/>
  <c r="E619" i="37"/>
  <c r="E622" i="37"/>
  <c r="E618" i="37"/>
  <c r="E616" i="37"/>
  <c r="E617" i="37"/>
  <c r="E615" i="37"/>
  <c r="E613" i="37"/>
  <c r="E614" i="37"/>
  <c r="E612" i="37"/>
  <c r="E607" i="37"/>
  <c r="E604" i="37"/>
  <c r="E606" i="37"/>
  <c r="E605" i="37"/>
  <c r="E610" i="37"/>
  <c r="E609" i="37"/>
  <c r="E611" i="37"/>
  <c r="E608" i="37"/>
  <c r="E602" i="37"/>
  <c r="E603" i="37"/>
  <c r="E601" i="37"/>
  <c r="E599" i="37"/>
  <c r="E598" i="37"/>
  <c r="E596" i="37"/>
  <c r="E600" i="37"/>
  <c r="E597" i="37"/>
  <c r="E595" i="37"/>
  <c r="E593" i="37"/>
  <c r="E594" i="37"/>
  <c r="E590" i="37"/>
  <c r="E589" i="37"/>
  <c r="E592" i="37"/>
  <c r="E591" i="37"/>
  <c r="E585" i="37"/>
  <c r="E584" i="37"/>
  <c r="E586" i="37"/>
  <c r="E587" i="37"/>
  <c r="E588" i="37"/>
  <c r="E582" i="37"/>
  <c r="E581" i="37"/>
  <c r="E579" i="37"/>
  <c r="E583" i="37"/>
  <c r="E580" i="37"/>
  <c r="E575" i="37"/>
  <c r="E577" i="37"/>
  <c r="E576" i="37"/>
  <c r="E578" i="37"/>
  <c r="E573" i="37"/>
  <c r="E572" i="37"/>
  <c r="E571" i="37"/>
  <c r="E574" i="37"/>
  <c r="E561" i="37"/>
  <c r="E565" i="37"/>
  <c r="E563" i="37"/>
  <c r="E564" i="37"/>
  <c r="E560" i="37"/>
  <c r="E559" i="37"/>
  <c r="E562" i="37"/>
  <c r="E568" i="37"/>
  <c r="E569" i="37"/>
  <c r="E567" i="37"/>
  <c r="E566" i="37"/>
  <c r="E570" i="37"/>
  <c r="E554" i="37"/>
  <c r="E547" i="37"/>
  <c r="E548" i="37"/>
  <c r="E550" i="37"/>
  <c r="E553" i="37"/>
  <c r="E556" i="37"/>
  <c r="E557" i="37"/>
  <c r="E555" i="37"/>
  <c r="E558" i="37"/>
  <c r="E552" i="37"/>
  <c r="E551" i="37"/>
  <c r="E549" i="37"/>
  <c r="E545" i="37"/>
  <c r="E546" i="37"/>
  <c r="E543" i="37"/>
  <c r="E544" i="37"/>
  <c r="E542" i="37"/>
  <c r="E541" i="37"/>
  <c r="E540" i="37"/>
  <c r="E536" i="37"/>
  <c r="E538" i="37"/>
  <c r="E539" i="37"/>
  <c r="E535" i="37"/>
  <c r="E537" i="37"/>
  <c r="E525" i="37"/>
  <c r="E529" i="37"/>
  <c r="E534" i="37"/>
  <c r="E532" i="37"/>
  <c r="E528" i="37"/>
  <c r="E531" i="37"/>
  <c r="E527" i="37"/>
  <c r="E533" i="37"/>
  <c r="E524" i="37"/>
  <c r="E526" i="37"/>
  <c r="E530" i="37"/>
  <c r="E518" i="37"/>
  <c r="E522" i="37"/>
  <c r="E523" i="37"/>
  <c r="E521" i="37"/>
  <c r="E519" i="37"/>
  <c r="E520" i="37"/>
  <c r="E512" i="37"/>
  <c r="E516" i="37"/>
  <c r="E513" i="37"/>
  <c r="E511" i="37"/>
  <c r="E510" i="37"/>
  <c r="E517" i="37"/>
  <c r="E514" i="37"/>
  <c r="E515" i="37"/>
  <c r="E508" i="37"/>
  <c r="E507" i="37"/>
  <c r="E509" i="37"/>
  <c r="E503" i="37"/>
  <c r="E504" i="37"/>
  <c r="E501" i="37"/>
  <c r="E506" i="37"/>
  <c r="E502" i="37"/>
  <c r="E505" i="37"/>
  <c r="E491" i="37"/>
  <c r="E498" i="37"/>
  <c r="E494" i="37"/>
  <c r="E497" i="37"/>
  <c r="E492" i="37"/>
  <c r="E495" i="37"/>
  <c r="E499" i="37"/>
  <c r="E500" i="37"/>
  <c r="E489" i="37"/>
  <c r="E493" i="37"/>
  <c r="E488" i="37"/>
  <c r="E490" i="37"/>
  <c r="E496" i="37"/>
  <c r="E485" i="37"/>
  <c r="E484" i="37"/>
  <c r="E486" i="37"/>
  <c r="E487" i="37"/>
  <c r="E481" i="37"/>
  <c r="E482" i="37"/>
  <c r="E483" i="37"/>
  <c r="E478" i="37"/>
  <c r="E477" i="37"/>
  <c r="E479" i="37"/>
  <c r="E480" i="37"/>
  <c r="E468" i="37"/>
  <c r="E474" i="37"/>
  <c r="E475" i="37"/>
  <c r="E471" i="37"/>
  <c r="E469" i="37"/>
  <c r="E472" i="37"/>
  <c r="E476" i="37"/>
  <c r="E473" i="37"/>
  <c r="E470" i="37"/>
  <c r="E467" i="37"/>
  <c r="E462" i="37"/>
  <c r="E466" i="37"/>
  <c r="E464" i="37"/>
  <c r="E460" i="37"/>
  <c r="E461" i="37"/>
  <c r="E465" i="37"/>
  <c r="E463" i="37"/>
  <c r="E451" i="37"/>
  <c r="E459" i="37"/>
  <c r="E458" i="37"/>
  <c r="E455" i="37"/>
  <c r="E457" i="37"/>
  <c r="E456" i="37"/>
  <c r="E454" i="37"/>
  <c r="E450" i="37"/>
  <c r="E452" i="37"/>
  <c r="E453" i="37"/>
  <c r="E447" i="37"/>
  <c r="E443" i="37"/>
  <c r="E448" i="37"/>
  <c r="E445" i="37"/>
  <c r="E449" i="37"/>
  <c r="E444" i="37"/>
  <c r="E446" i="37"/>
  <c r="E435" i="37"/>
  <c r="E438" i="37"/>
  <c r="E433" i="37"/>
  <c r="E440" i="37"/>
  <c r="E430" i="37"/>
  <c r="E434" i="37"/>
  <c r="E441" i="37"/>
  <c r="E432" i="37"/>
  <c r="E442" i="37"/>
  <c r="E431" i="37"/>
  <c r="E439" i="37"/>
  <c r="E436" i="37"/>
  <c r="E437" i="37"/>
  <c r="E417" i="37"/>
  <c r="E420" i="37"/>
  <c r="E424" i="37"/>
  <c r="E416" i="37"/>
  <c r="E421" i="37"/>
  <c r="E415" i="37"/>
  <c r="E425" i="37"/>
  <c r="E419" i="37"/>
  <c r="E422" i="37"/>
  <c r="E423" i="37"/>
  <c r="E428" i="37"/>
  <c r="E427" i="37"/>
  <c r="E429" i="37"/>
  <c r="E418" i="37"/>
  <c r="E414" i="37"/>
  <c r="E413" i="37"/>
  <c r="E426" i="37"/>
  <c r="E411" i="37"/>
  <c r="E404" i="37"/>
  <c r="E407" i="37"/>
  <c r="E408" i="37"/>
  <c r="E410" i="37"/>
  <c r="E406" i="37"/>
  <c r="E409" i="37"/>
  <c r="E402" i="37"/>
  <c r="E412" i="37"/>
  <c r="E405" i="37"/>
  <c r="E403" i="37"/>
  <c r="E398" i="37"/>
  <c r="E396" i="37"/>
  <c r="E395" i="37"/>
  <c r="E399" i="37"/>
  <c r="E397" i="37"/>
  <c r="E400" i="37"/>
  <c r="E401" i="37"/>
  <c r="E385" i="37"/>
  <c r="E384" i="37"/>
  <c r="E386" i="37"/>
  <c r="E387" i="37"/>
  <c r="E388" i="37"/>
  <c r="E394" i="37"/>
  <c r="E393" i="37"/>
  <c r="E390" i="37"/>
  <c r="E389" i="37"/>
  <c r="E392" i="37"/>
  <c r="E391" i="37"/>
  <c r="E376" i="37"/>
  <c r="E372" i="37"/>
  <c r="E377" i="37"/>
  <c r="E371" i="37"/>
  <c r="E379" i="37"/>
  <c r="E381" i="37"/>
  <c r="E373" i="37"/>
  <c r="E382" i="37"/>
  <c r="E378" i="37"/>
  <c r="E375" i="37"/>
  <c r="E374" i="37"/>
  <c r="E380" i="37"/>
  <c r="E383" i="37"/>
  <c r="E370" i="37"/>
  <c r="E365" i="37"/>
  <c r="E367" i="37"/>
  <c r="E368" i="37"/>
  <c r="E364" i="37"/>
  <c r="E366" i="37"/>
  <c r="E369" i="37"/>
  <c r="E362" i="37"/>
  <c r="E357" i="37"/>
  <c r="E353" i="37"/>
  <c r="E355" i="37"/>
  <c r="E363" i="37"/>
  <c r="E359" i="37"/>
  <c r="E352" i="37"/>
  <c r="E358" i="37"/>
  <c r="E360" i="37"/>
  <c r="E354" i="37"/>
  <c r="E361" i="37"/>
  <c r="E356" i="37"/>
  <c r="E344" i="37"/>
  <c r="E346" i="37"/>
  <c r="E345" i="37"/>
  <c r="E350" i="37"/>
  <c r="E347" i="37"/>
  <c r="E351" i="37"/>
  <c r="E349" i="37"/>
  <c r="E348" i="37"/>
  <c r="E343" i="37"/>
  <c r="E333" i="37"/>
  <c r="E330" i="37"/>
  <c r="E334" i="37"/>
  <c r="E332" i="37"/>
  <c r="E336" i="37"/>
  <c r="E329" i="37"/>
  <c r="E338" i="37"/>
  <c r="E328" i="37"/>
  <c r="E342" i="37"/>
  <c r="E341" i="37"/>
  <c r="E331" i="37"/>
  <c r="E339" i="37"/>
  <c r="E337" i="37"/>
  <c r="E335" i="37"/>
  <c r="E340" i="37"/>
  <c r="E322" i="37"/>
  <c r="E319" i="37"/>
  <c r="E315" i="37"/>
  <c r="E326" i="37"/>
  <c r="E325" i="37"/>
  <c r="E324" i="37"/>
  <c r="E320" i="37"/>
  <c r="E314" i="37"/>
  <c r="E313" i="37"/>
  <c r="E317" i="37"/>
  <c r="E327" i="37"/>
  <c r="E321" i="37"/>
  <c r="E316" i="37"/>
  <c r="E318" i="37"/>
  <c r="E323" i="37"/>
  <c r="E305" i="37"/>
  <c r="E311" i="37"/>
  <c r="E309" i="37"/>
  <c r="E304" i="37"/>
  <c r="E310" i="37"/>
  <c r="E307" i="37"/>
  <c r="E308" i="37"/>
  <c r="E312" i="37"/>
  <c r="E306" i="37"/>
  <c r="E298" i="37"/>
  <c r="E301" i="37"/>
  <c r="E300" i="37"/>
  <c r="E302" i="37"/>
  <c r="E297" i="37"/>
  <c r="E303" i="37"/>
  <c r="E299" i="37"/>
  <c r="E294" i="37"/>
  <c r="E285" i="37"/>
  <c r="E296" i="37"/>
  <c r="E293" i="37"/>
  <c r="E290" i="37"/>
  <c r="E286" i="37"/>
  <c r="E287" i="37"/>
  <c r="E289" i="37"/>
  <c r="E292" i="37"/>
  <c r="E295" i="37"/>
  <c r="E291" i="37"/>
  <c r="E288" i="37"/>
  <c r="E283" i="37"/>
  <c r="E277" i="37"/>
  <c r="E284" i="37"/>
  <c r="E279" i="37"/>
  <c r="E276" i="37"/>
  <c r="E280" i="37"/>
  <c r="E278" i="37"/>
  <c r="E281" i="37"/>
  <c r="E282" i="37"/>
  <c r="E271" i="37"/>
  <c r="E270" i="37"/>
  <c r="E272" i="37"/>
  <c r="E268" i="37"/>
  <c r="E269" i="37"/>
  <c r="E267" i="37"/>
  <c r="E273" i="37"/>
  <c r="E274" i="37"/>
  <c r="E275" i="37"/>
  <c r="E265" i="37"/>
  <c r="E259" i="37"/>
  <c r="E262" i="37"/>
  <c r="E263" i="37"/>
  <c r="E264" i="37"/>
  <c r="E260" i="37"/>
  <c r="E261" i="37"/>
  <c r="E266" i="37"/>
  <c r="E258" i="37"/>
  <c r="E257" i="37"/>
  <c r="E256" i="37"/>
  <c r="E246" i="37"/>
  <c r="E249" i="37"/>
  <c r="E255" i="37"/>
  <c r="E247" i="37"/>
  <c r="E245" i="37"/>
  <c r="E250" i="37"/>
  <c r="E251" i="37"/>
  <c r="E248" i="37"/>
  <c r="E254" i="37"/>
  <c r="E253" i="37"/>
  <c r="E252" i="37"/>
  <c r="E241" i="37"/>
  <c r="E237" i="37"/>
  <c r="E244" i="37"/>
  <c r="E235" i="37"/>
  <c r="E239" i="37"/>
  <c r="E236" i="37"/>
  <c r="E240" i="37"/>
  <c r="E242" i="37"/>
  <c r="E243" i="37"/>
  <c r="E238" i="37"/>
  <c r="E226" i="37"/>
  <c r="E227" i="37"/>
  <c r="E231" i="37"/>
  <c r="E223" i="37"/>
  <c r="E232" i="37"/>
  <c r="E221" i="37"/>
  <c r="E234" i="37"/>
  <c r="E222" i="37"/>
  <c r="E228" i="37"/>
  <c r="E225" i="37"/>
  <c r="E224" i="37"/>
  <c r="E233" i="37"/>
  <c r="E229" i="37"/>
  <c r="E230" i="37"/>
  <c r="E214" i="37"/>
  <c r="E217" i="37"/>
  <c r="E216" i="37"/>
  <c r="E213" i="37"/>
  <c r="E219" i="37"/>
  <c r="E215" i="37"/>
  <c r="E212" i="37"/>
  <c r="E220" i="37"/>
  <c r="E218" i="37"/>
  <c r="E209" i="37"/>
  <c r="E210" i="37"/>
  <c r="E205" i="37"/>
  <c r="E202" i="37"/>
  <c r="E208" i="37"/>
  <c r="E203" i="37"/>
  <c r="E211" i="37"/>
  <c r="E204" i="37"/>
  <c r="E207" i="37"/>
  <c r="E206" i="37"/>
  <c r="E197" i="37"/>
  <c r="E190" i="37"/>
  <c r="E194" i="37"/>
  <c r="E199" i="37"/>
  <c r="E191" i="37"/>
  <c r="E189" i="37"/>
  <c r="E192" i="37"/>
  <c r="E188" i="37"/>
  <c r="E198" i="37"/>
  <c r="E196" i="37"/>
  <c r="E195" i="37"/>
  <c r="E193" i="37"/>
  <c r="E200" i="37"/>
  <c r="E201" i="37"/>
  <c r="E179" i="37"/>
  <c r="E186" i="37"/>
  <c r="E176" i="37"/>
  <c r="E181" i="37"/>
  <c r="E183" i="37"/>
  <c r="E187" i="37"/>
  <c r="E177" i="37"/>
  <c r="E178" i="37"/>
  <c r="E180" i="37"/>
  <c r="E184" i="37"/>
  <c r="E182" i="37"/>
  <c r="E185" i="37"/>
  <c r="E174" i="37"/>
  <c r="E170" i="37"/>
  <c r="E167" i="37"/>
  <c r="E166" i="37"/>
  <c r="E163" i="37"/>
  <c r="E165" i="37"/>
  <c r="E172" i="37"/>
  <c r="E173" i="37"/>
  <c r="E175" i="37"/>
  <c r="E164" i="37"/>
  <c r="E168" i="37"/>
  <c r="E169" i="37"/>
  <c r="E171" i="37"/>
  <c r="E158" i="37"/>
  <c r="E157" i="37"/>
  <c r="E156" i="37"/>
  <c r="E161" i="37"/>
  <c r="E162" i="37"/>
  <c r="E159" i="37"/>
  <c r="E160" i="37"/>
  <c r="E140" i="37"/>
  <c r="E155" i="37"/>
  <c r="E141" i="37"/>
  <c r="E147" i="37"/>
  <c r="E154" i="37"/>
  <c r="E146" i="37"/>
  <c r="E144" i="37"/>
  <c r="E145" i="37"/>
  <c r="E153" i="37"/>
  <c r="E148" i="37"/>
  <c r="E150" i="37"/>
  <c r="E151" i="37"/>
  <c r="E149" i="37"/>
  <c r="E143" i="37"/>
  <c r="E152" i="37"/>
  <c r="E142" i="37"/>
  <c r="E137" i="37"/>
  <c r="E135" i="37"/>
  <c r="E130" i="37"/>
  <c r="E131" i="37"/>
  <c r="E138" i="37"/>
  <c r="E134" i="37"/>
  <c r="E133" i="37"/>
  <c r="E132" i="37"/>
  <c r="E139" i="37"/>
  <c r="E136" i="37"/>
  <c r="E128" i="37"/>
  <c r="E118" i="37"/>
  <c r="E125" i="37"/>
  <c r="E126" i="37"/>
  <c r="E124" i="37"/>
  <c r="E127" i="37"/>
  <c r="E129" i="37"/>
  <c r="E119" i="37"/>
  <c r="E121" i="37"/>
  <c r="E123" i="37"/>
  <c r="E120" i="37"/>
  <c r="E122" i="37"/>
  <c r="E112" i="37"/>
  <c r="E113" i="37"/>
  <c r="E114" i="37"/>
  <c r="E111" i="37"/>
  <c r="E116" i="37"/>
  <c r="E115" i="37"/>
  <c r="E117" i="37"/>
  <c r="E106" i="37"/>
  <c r="E105" i="37"/>
  <c r="E104" i="37"/>
  <c r="E108" i="37"/>
  <c r="E110" i="37"/>
  <c r="E109" i="37"/>
  <c r="E107" i="37"/>
  <c r="E100" i="37"/>
  <c r="E98" i="37"/>
  <c r="E101" i="37"/>
  <c r="E99" i="37"/>
  <c r="E102" i="37"/>
  <c r="E97" i="37"/>
  <c r="E96" i="37"/>
  <c r="E103" i="37"/>
  <c r="E89" i="37"/>
  <c r="E94" i="37"/>
  <c r="E95" i="37"/>
  <c r="E90" i="37"/>
  <c r="E91" i="37"/>
  <c r="E88" i="37"/>
  <c r="E93" i="37"/>
  <c r="E92" i="37"/>
  <c r="E86" i="37"/>
  <c r="E87" i="37"/>
  <c r="E83" i="37"/>
  <c r="E85" i="37"/>
  <c r="E84" i="37"/>
  <c r="E82" i="37"/>
  <c r="E79" i="37"/>
  <c r="E78" i="37"/>
  <c r="E77" i="37"/>
  <c r="E76" i="37"/>
  <c r="E80" i="37"/>
  <c r="E81" i="37"/>
  <c r="E69" i="37"/>
  <c r="E70" i="37"/>
  <c r="E74" i="37"/>
  <c r="E75" i="37"/>
  <c r="E73" i="37"/>
  <c r="E71" i="37"/>
  <c r="E72" i="37"/>
  <c r="E66" i="37"/>
  <c r="E67" i="37"/>
  <c r="E68" i="37"/>
  <c r="E65" i="37"/>
  <c r="E61" i="37"/>
  <c r="E60" i="37"/>
  <c r="E62" i="37"/>
  <c r="E64" i="37"/>
  <c r="E63" i="37"/>
  <c r="E59" i="37"/>
  <c r="E54" i="37"/>
  <c r="E58" i="37"/>
  <c r="E56" i="37"/>
  <c r="E55" i="37"/>
  <c r="E57" i="37"/>
  <c r="E53" i="37"/>
  <c r="E47" i="37"/>
  <c r="E49" i="37"/>
  <c r="E50" i="37"/>
  <c r="E52" i="37"/>
  <c r="E46" i="37"/>
  <c r="E51" i="37"/>
  <c r="E48" i="37"/>
  <c r="E44" i="37"/>
  <c r="E42" i="37"/>
  <c r="E43" i="37"/>
  <c r="E45" i="37"/>
  <c r="E41" i="37"/>
  <c r="E38" i="37"/>
  <c r="E40" i="37"/>
  <c r="E39" i="37"/>
  <c r="E37" i="37"/>
  <c r="E34" i="37"/>
  <c r="E36" i="37"/>
  <c r="E35" i="37"/>
  <c r="E31" i="37"/>
  <c r="E33" i="37"/>
  <c r="E30" i="37"/>
  <c r="E32" i="37"/>
  <c r="E29" i="37"/>
  <c r="E25" i="37"/>
  <c r="E27" i="37"/>
  <c r="E28" i="37"/>
  <c r="E26" i="37"/>
  <c r="E24" i="37"/>
  <c r="E23" i="37"/>
  <c r="E20" i="37"/>
  <c r="E22" i="37"/>
  <c r="E21" i="37"/>
  <c r="E19" i="37"/>
  <c r="E18" i="37"/>
  <c r="E15" i="37"/>
  <c r="E17" i="37"/>
  <c r="E16" i="37"/>
  <c r="E14" i="37"/>
  <c r="E13" i="37"/>
  <c r="E12" i="37"/>
  <c r="E11" i="37"/>
  <c r="E10" i="37"/>
  <c r="E7" i="37"/>
  <c r="E8" i="37"/>
  <c r="E9" i="37"/>
  <c r="E6" i="37"/>
  <c r="E5" i="37"/>
  <c r="E4" i="37"/>
  <c r="E3" i="37"/>
  <c r="E2" i="37"/>
  <c r="E651" i="37"/>
  <c r="F650" i="37"/>
  <c r="O650" i="37" s="1"/>
  <c r="F649" i="37"/>
  <c r="O649" i="37" s="1"/>
  <c r="F648" i="37"/>
  <c r="O648" i="37" s="1"/>
  <c r="F646" i="37"/>
  <c r="O646" i="37" s="1"/>
  <c r="F647" i="37"/>
  <c r="O647" i="37" s="1"/>
  <c r="F645" i="37"/>
  <c r="O645" i="37" s="1"/>
  <c r="F644" i="37"/>
  <c r="O644" i="37" s="1"/>
  <c r="F643" i="37"/>
  <c r="O643" i="37" s="1"/>
  <c r="F642" i="37"/>
  <c r="O642" i="37" s="1"/>
  <c r="F641" i="37"/>
  <c r="O641" i="37" s="1"/>
  <c r="F638" i="37"/>
  <c r="O638" i="37" s="1"/>
  <c r="F639" i="37"/>
  <c r="O639" i="37" s="1"/>
  <c r="F640" i="37"/>
  <c r="O640" i="37" s="1"/>
  <c r="F637" i="37"/>
  <c r="O637" i="37" s="1"/>
  <c r="F636" i="37"/>
  <c r="O636" i="37" s="1"/>
  <c r="F635" i="37"/>
  <c r="O635" i="37" s="1"/>
  <c r="F634" i="37"/>
  <c r="O634" i="37" s="1"/>
  <c r="F633" i="37"/>
  <c r="O633" i="37" s="1"/>
  <c r="F632" i="37"/>
  <c r="O632" i="37" s="1"/>
  <c r="F631" i="37"/>
  <c r="O631" i="37" s="1"/>
  <c r="F630" i="37"/>
  <c r="O630" i="37" s="1"/>
  <c r="F629" i="37"/>
  <c r="O629" i="37" s="1"/>
  <c r="F628" i="37"/>
  <c r="O628" i="37" s="1"/>
  <c r="F625" i="37"/>
  <c r="O625" i="37" s="1"/>
  <c r="F624" i="37"/>
  <c r="O624" i="37" s="1"/>
  <c r="F627" i="37"/>
  <c r="O627" i="37" s="1"/>
  <c r="F626" i="37"/>
  <c r="O626" i="37" s="1"/>
  <c r="F621" i="37"/>
  <c r="O621" i="37" s="1"/>
  <c r="F623" i="37"/>
  <c r="O623" i="37" s="1"/>
  <c r="F620" i="37"/>
  <c r="O620" i="37" s="1"/>
  <c r="F619" i="37"/>
  <c r="O619" i="37" s="1"/>
  <c r="F622" i="37"/>
  <c r="O622" i="37" s="1"/>
  <c r="F618" i="37"/>
  <c r="O618" i="37" s="1"/>
  <c r="F616" i="37"/>
  <c r="O616" i="37" s="1"/>
  <c r="F617" i="37"/>
  <c r="O617" i="37" s="1"/>
  <c r="F615" i="37"/>
  <c r="O615" i="37" s="1"/>
  <c r="F613" i="37"/>
  <c r="O613" i="37" s="1"/>
  <c r="F614" i="37"/>
  <c r="O614" i="37" s="1"/>
  <c r="F612" i="37"/>
  <c r="O612" i="37" s="1"/>
  <c r="F607" i="37"/>
  <c r="O607" i="37" s="1"/>
  <c r="F604" i="37"/>
  <c r="O604" i="37" s="1"/>
  <c r="F606" i="37"/>
  <c r="O606" i="37" s="1"/>
  <c r="F605" i="37"/>
  <c r="O605" i="37" s="1"/>
  <c r="F610" i="37"/>
  <c r="O610" i="37" s="1"/>
  <c r="F609" i="37"/>
  <c r="O609" i="37" s="1"/>
  <c r="F611" i="37"/>
  <c r="O611" i="37" s="1"/>
  <c r="F608" i="37"/>
  <c r="O608" i="37" s="1"/>
  <c r="F602" i="37"/>
  <c r="O602" i="37" s="1"/>
  <c r="F603" i="37"/>
  <c r="O603" i="37" s="1"/>
  <c r="F601" i="37"/>
  <c r="O601" i="37" s="1"/>
  <c r="F599" i="37"/>
  <c r="O599" i="37" s="1"/>
  <c r="F598" i="37"/>
  <c r="O598" i="37" s="1"/>
  <c r="F596" i="37"/>
  <c r="O596" i="37" s="1"/>
  <c r="F600" i="37"/>
  <c r="O600" i="37" s="1"/>
  <c r="F597" i="37"/>
  <c r="O597" i="37" s="1"/>
  <c r="F595" i="37"/>
  <c r="O595" i="37" s="1"/>
  <c r="F593" i="37"/>
  <c r="O593" i="37" s="1"/>
  <c r="F594" i="37"/>
  <c r="O594" i="37" s="1"/>
  <c r="F590" i="37"/>
  <c r="O590" i="37" s="1"/>
  <c r="F589" i="37"/>
  <c r="O589" i="37" s="1"/>
  <c r="F592" i="37"/>
  <c r="O592" i="37" s="1"/>
  <c r="F591" i="37"/>
  <c r="O591" i="37" s="1"/>
  <c r="F585" i="37"/>
  <c r="O585" i="37" s="1"/>
  <c r="F584" i="37"/>
  <c r="O584" i="37" s="1"/>
  <c r="F586" i="37"/>
  <c r="O586" i="37" s="1"/>
  <c r="F587" i="37"/>
  <c r="O587" i="37" s="1"/>
  <c r="F588" i="37"/>
  <c r="O588" i="37" s="1"/>
  <c r="F582" i="37"/>
  <c r="O582" i="37" s="1"/>
  <c r="F581" i="37"/>
  <c r="O581" i="37" s="1"/>
  <c r="F579" i="37"/>
  <c r="O579" i="37" s="1"/>
  <c r="F583" i="37"/>
  <c r="O583" i="37" s="1"/>
  <c r="F580" i="37"/>
  <c r="O580" i="37" s="1"/>
  <c r="F575" i="37"/>
  <c r="O575" i="37" s="1"/>
  <c r="F577" i="37"/>
  <c r="O577" i="37" s="1"/>
  <c r="F576" i="37"/>
  <c r="O576" i="37" s="1"/>
  <c r="F578" i="37"/>
  <c r="O578" i="37" s="1"/>
  <c r="F573" i="37"/>
  <c r="O573" i="37" s="1"/>
  <c r="F572" i="37"/>
  <c r="O572" i="37" s="1"/>
  <c r="F571" i="37"/>
  <c r="O571" i="37" s="1"/>
  <c r="F574" i="37"/>
  <c r="O574" i="37" s="1"/>
  <c r="F561" i="37"/>
  <c r="O561" i="37" s="1"/>
  <c r="F565" i="37"/>
  <c r="O565" i="37" s="1"/>
  <c r="F563" i="37"/>
  <c r="O563" i="37" s="1"/>
  <c r="F564" i="37"/>
  <c r="O564" i="37" s="1"/>
  <c r="F560" i="37"/>
  <c r="O560" i="37" s="1"/>
  <c r="F559" i="37"/>
  <c r="O559" i="37" s="1"/>
  <c r="F562" i="37"/>
  <c r="O562" i="37" s="1"/>
  <c r="F568" i="37"/>
  <c r="O568" i="37" s="1"/>
  <c r="F569" i="37"/>
  <c r="O569" i="37" s="1"/>
  <c r="F567" i="37"/>
  <c r="O567" i="37" s="1"/>
  <c r="F566" i="37"/>
  <c r="O566" i="37" s="1"/>
  <c r="F570" i="37"/>
  <c r="O570" i="37" s="1"/>
  <c r="F554" i="37"/>
  <c r="O554" i="37" s="1"/>
  <c r="F547" i="37"/>
  <c r="O547" i="37" s="1"/>
  <c r="F548" i="37"/>
  <c r="O548" i="37" s="1"/>
  <c r="F550" i="37"/>
  <c r="O550" i="37" s="1"/>
  <c r="F553" i="37"/>
  <c r="O553" i="37" s="1"/>
  <c r="F556" i="37"/>
  <c r="O556" i="37" s="1"/>
  <c r="F557" i="37"/>
  <c r="O557" i="37" s="1"/>
  <c r="F555" i="37"/>
  <c r="O555" i="37" s="1"/>
  <c r="F558" i="37"/>
  <c r="O558" i="37" s="1"/>
  <c r="F552" i="37"/>
  <c r="O552" i="37" s="1"/>
  <c r="F551" i="37"/>
  <c r="O551" i="37" s="1"/>
  <c r="F549" i="37"/>
  <c r="O549" i="37" s="1"/>
  <c r="F545" i="37"/>
  <c r="O545" i="37" s="1"/>
  <c r="F546" i="37"/>
  <c r="O546" i="37" s="1"/>
  <c r="F543" i="37"/>
  <c r="O543" i="37" s="1"/>
  <c r="F544" i="37"/>
  <c r="O544" i="37" s="1"/>
  <c r="F542" i="37"/>
  <c r="O542" i="37" s="1"/>
  <c r="F541" i="37"/>
  <c r="O541" i="37" s="1"/>
  <c r="F540" i="37"/>
  <c r="O540" i="37" s="1"/>
  <c r="F536" i="37"/>
  <c r="O536" i="37" s="1"/>
  <c r="F538" i="37"/>
  <c r="O538" i="37" s="1"/>
  <c r="F539" i="37"/>
  <c r="O539" i="37" s="1"/>
  <c r="F535" i="37"/>
  <c r="O535" i="37" s="1"/>
  <c r="F537" i="37"/>
  <c r="O537" i="37" s="1"/>
  <c r="F525" i="37"/>
  <c r="O525" i="37" s="1"/>
  <c r="F529" i="37"/>
  <c r="O529" i="37" s="1"/>
  <c r="F534" i="37"/>
  <c r="O534" i="37" s="1"/>
  <c r="F532" i="37"/>
  <c r="O532" i="37" s="1"/>
  <c r="F528" i="37"/>
  <c r="O528" i="37" s="1"/>
  <c r="F531" i="37"/>
  <c r="O531" i="37" s="1"/>
  <c r="F527" i="37"/>
  <c r="O527" i="37" s="1"/>
  <c r="F533" i="37"/>
  <c r="O533" i="37" s="1"/>
  <c r="F524" i="37"/>
  <c r="O524" i="37" s="1"/>
  <c r="F526" i="37"/>
  <c r="O526" i="37" s="1"/>
  <c r="F530" i="37"/>
  <c r="O530" i="37" s="1"/>
  <c r="F518" i="37"/>
  <c r="O518" i="37" s="1"/>
  <c r="F522" i="37"/>
  <c r="O522" i="37" s="1"/>
  <c r="F523" i="37"/>
  <c r="O523" i="37" s="1"/>
  <c r="F521" i="37"/>
  <c r="O521" i="37" s="1"/>
  <c r="F519" i="37"/>
  <c r="O519" i="37" s="1"/>
  <c r="F520" i="37"/>
  <c r="O520" i="37" s="1"/>
  <c r="F512" i="37"/>
  <c r="O512" i="37" s="1"/>
  <c r="F516" i="37"/>
  <c r="O516" i="37" s="1"/>
  <c r="F513" i="37"/>
  <c r="O513" i="37" s="1"/>
  <c r="F511" i="37"/>
  <c r="O511" i="37" s="1"/>
  <c r="F510" i="37"/>
  <c r="O510" i="37" s="1"/>
  <c r="F517" i="37"/>
  <c r="O517" i="37" s="1"/>
  <c r="F514" i="37"/>
  <c r="O514" i="37" s="1"/>
  <c r="F515" i="37"/>
  <c r="O515" i="37" s="1"/>
  <c r="F508" i="37"/>
  <c r="O508" i="37" s="1"/>
  <c r="F507" i="37"/>
  <c r="O507" i="37" s="1"/>
  <c r="F509" i="37"/>
  <c r="O509" i="37" s="1"/>
  <c r="F503" i="37"/>
  <c r="O503" i="37" s="1"/>
  <c r="F504" i="37"/>
  <c r="O504" i="37" s="1"/>
  <c r="F501" i="37"/>
  <c r="O501" i="37" s="1"/>
  <c r="F506" i="37"/>
  <c r="O506" i="37" s="1"/>
  <c r="F502" i="37"/>
  <c r="O502" i="37" s="1"/>
  <c r="F505" i="37"/>
  <c r="O505" i="37" s="1"/>
  <c r="F491" i="37"/>
  <c r="O491" i="37" s="1"/>
  <c r="F498" i="37"/>
  <c r="O498" i="37" s="1"/>
  <c r="F494" i="37"/>
  <c r="O494" i="37" s="1"/>
  <c r="F497" i="37"/>
  <c r="O497" i="37" s="1"/>
  <c r="F492" i="37"/>
  <c r="O492" i="37" s="1"/>
  <c r="F495" i="37"/>
  <c r="O495" i="37" s="1"/>
  <c r="F499" i="37"/>
  <c r="O499" i="37" s="1"/>
  <c r="F500" i="37"/>
  <c r="O500" i="37" s="1"/>
  <c r="F489" i="37"/>
  <c r="O489" i="37" s="1"/>
  <c r="F493" i="37"/>
  <c r="O493" i="37" s="1"/>
  <c r="F488" i="37"/>
  <c r="O488" i="37" s="1"/>
  <c r="F490" i="37"/>
  <c r="O490" i="37" s="1"/>
  <c r="F496" i="37"/>
  <c r="O496" i="37" s="1"/>
  <c r="F485" i="37"/>
  <c r="O485" i="37" s="1"/>
  <c r="F484" i="37"/>
  <c r="O484" i="37" s="1"/>
  <c r="F486" i="37"/>
  <c r="O486" i="37" s="1"/>
  <c r="F487" i="37"/>
  <c r="O487" i="37" s="1"/>
  <c r="F481" i="37"/>
  <c r="O481" i="37" s="1"/>
  <c r="F482" i="37"/>
  <c r="O482" i="37" s="1"/>
  <c r="F483" i="37"/>
  <c r="O483" i="37" s="1"/>
  <c r="F478" i="37"/>
  <c r="O478" i="37" s="1"/>
  <c r="F477" i="37"/>
  <c r="O477" i="37" s="1"/>
  <c r="F479" i="37"/>
  <c r="O479" i="37" s="1"/>
  <c r="F480" i="37"/>
  <c r="O480" i="37" s="1"/>
  <c r="F468" i="37"/>
  <c r="O468" i="37" s="1"/>
  <c r="F474" i="37"/>
  <c r="O474" i="37" s="1"/>
  <c r="F475" i="37"/>
  <c r="O475" i="37" s="1"/>
  <c r="F471" i="37"/>
  <c r="O471" i="37" s="1"/>
  <c r="F469" i="37"/>
  <c r="O469" i="37" s="1"/>
  <c r="F472" i="37"/>
  <c r="O472" i="37" s="1"/>
  <c r="F476" i="37"/>
  <c r="O476" i="37" s="1"/>
  <c r="F473" i="37"/>
  <c r="O473" i="37" s="1"/>
  <c r="F470" i="37"/>
  <c r="O470" i="37" s="1"/>
  <c r="F467" i="37"/>
  <c r="O467" i="37" s="1"/>
  <c r="F462" i="37"/>
  <c r="O462" i="37" s="1"/>
  <c r="F466" i="37"/>
  <c r="O466" i="37" s="1"/>
  <c r="F464" i="37"/>
  <c r="O464" i="37" s="1"/>
  <c r="F460" i="37"/>
  <c r="O460" i="37" s="1"/>
  <c r="F461" i="37"/>
  <c r="O461" i="37" s="1"/>
  <c r="F465" i="37"/>
  <c r="O465" i="37" s="1"/>
  <c r="F463" i="37"/>
  <c r="O463" i="37" s="1"/>
  <c r="F451" i="37"/>
  <c r="O451" i="37" s="1"/>
  <c r="F459" i="37"/>
  <c r="O459" i="37" s="1"/>
  <c r="F458" i="37"/>
  <c r="O458" i="37" s="1"/>
  <c r="F455" i="37"/>
  <c r="O455" i="37" s="1"/>
  <c r="F457" i="37"/>
  <c r="O457" i="37" s="1"/>
  <c r="F456" i="37"/>
  <c r="O456" i="37" s="1"/>
  <c r="F454" i="37"/>
  <c r="O454" i="37" s="1"/>
  <c r="F450" i="37"/>
  <c r="O450" i="37" s="1"/>
  <c r="F452" i="37"/>
  <c r="O452" i="37" s="1"/>
  <c r="F453" i="37"/>
  <c r="O453" i="37" s="1"/>
  <c r="F447" i="37"/>
  <c r="O447" i="37" s="1"/>
  <c r="F443" i="37"/>
  <c r="O443" i="37" s="1"/>
  <c r="F448" i="37"/>
  <c r="O448" i="37" s="1"/>
  <c r="F445" i="37"/>
  <c r="O445" i="37" s="1"/>
  <c r="F449" i="37"/>
  <c r="O449" i="37" s="1"/>
  <c r="F444" i="37"/>
  <c r="O444" i="37" s="1"/>
  <c r="F446" i="37"/>
  <c r="O446" i="37" s="1"/>
  <c r="F435" i="37"/>
  <c r="O435" i="37" s="1"/>
  <c r="F438" i="37"/>
  <c r="O438" i="37" s="1"/>
  <c r="F433" i="37"/>
  <c r="O433" i="37" s="1"/>
  <c r="F440" i="37"/>
  <c r="O440" i="37" s="1"/>
  <c r="F430" i="37"/>
  <c r="O430" i="37" s="1"/>
  <c r="F434" i="37"/>
  <c r="O434" i="37" s="1"/>
  <c r="F441" i="37"/>
  <c r="O441" i="37" s="1"/>
  <c r="F432" i="37"/>
  <c r="O432" i="37" s="1"/>
  <c r="F442" i="37"/>
  <c r="O442" i="37" s="1"/>
  <c r="F431" i="37"/>
  <c r="O431" i="37" s="1"/>
  <c r="F439" i="37"/>
  <c r="O439" i="37" s="1"/>
  <c r="F436" i="37"/>
  <c r="O436" i="37" s="1"/>
  <c r="F437" i="37"/>
  <c r="O437" i="37" s="1"/>
  <c r="F417" i="37"/>
  <c r="O417" i="37" s="1"/>
  <c r="F420" i="37"/>
  <c r="O420" i="37" s="1"/>
  <c r="F424" i="37"/>
  <c r="O424" i="37" s="1"/>
  <c r="F416" i="37"/>
  <c r="O416" i="37" s="1"/>
  <c r="F421" i="37"/>
  <c r="O421" i="37" s="1"/>
  <c r="F415" i="37"/>
  <c r="O415" i="37" s="1"/>
  <c r="F425" i="37"/>
  <c r="O425" i="37" s="1"/>
  <c r="F419" i="37"/>
  <c r="O419" i="37" s="1"/>
  <c r="F422" i="37"/>
  <c r="O422" i="37" s="1"/>
  <c r="F423" i="37"/>
  <c r="O423" i="37" s="1"/>
  <c r="F428" i="37"/>
  <c r="O428" i="37" s="1"/>
  <c r="F427" i="37"/>
  <c r="O427" i="37" s="1"/>
  <c r="F429" i="37"/>
  <c r="O429" i="37" s="1"/>
  <c r="F418" i="37"/>
  <c r="O418" i="37" s="1"/>
  <c r="F414" i="37"/>
  <c r="O414" i="37" s="1"/>
  <c r="F413" i="37"/>
  <c r="O413" i="37" s="1"/>
  <c r="F426" i="37"/>
  <c r="O426" i="37" s="1"/>
  <c r="F411" i="37"/>
  <c r="O411" i="37" s="1"/>
  <c r="F404" i="37"/>
  <c r="O404" i="37" s="1"/>
  <c r="F407" i="37"/>
  <c r="O407" i="37" s="1"/>
  <c r="F408" i="37"/>
  <c r="O408" i="37" s="1"/>
  <c r="F410" i="37"/>
  <c r="O410" i="37" s="1"/>
  <c r="F406" i="37"/>
  <c r="O406" i="37" s="1"/>
  <c r="F409" i="37"/>
  <c r="O409" i="37" s="1"/>
  <c r="F402" i="37"/>
  <c r="O402" i="37" s="1"/>
  <c r="F412" i="37"/>
  <c r="O412" i="37" s="1"/>
  <c r="F405" i="37"/>
  <c r="O405" i="37" s="1"/>
  <c r="F403" i="37"/>
  <c r="O403" i="37" s="1"/>
  <c r="F398" i="37"/>
  <c r="O398" i="37" s="1"/>
  <c r="F396" i="37"/>
  <c r="O396" i="37" s="1"/>
  <c r="F395" i="37"/>
  <c r="O395" i="37" s="1"/>
  <c r="F399" i="37"/>
  <c r="O399" i="37" s="1"/>
  <c r="F397" i="37"/>
  <c r="O397" i="37" s="1"/>
  <c r="F400" i="37"/>
  <c r="O400" i="37" s="1"/>
  <c r="F401" i="37"/>
  <c r="O401" i="37" s="1"/>
  <c r="F385" i="37"/>
  <c r="O385" i="37" s="1"/>
  <c r="F384" i="37"/>
  <c r="O384" i="37" s="1"/>
  <c r="F386" i="37"/>
  <c r="O386" i="37" s="1"/>
  <c r="F387" i="37"/>
  <c r="O387" i="37" s="1"/>
  <c r="F388" i="37"/>
  <c r="O388" i="37" s="1"/>
  <c r="F394" i="37"/>
  <c r="O394" i="37" s="1"/>
  <c r="F393" i="37"/>
  <c r="O393" i="37" s="1"/>
  <c r="F390" i="37"/>
  <c r="O390" i="37" s="1"/>
  <c r="F389" i="37"/>
  <c r="O389" i="37" s="1"/>
  <c r="F392" i="37"/>
  <c r="O392" i="37" s="1"/>
  <c r="F391" i="37"/>
  <c r="O391" i="37" s="1"/>
  <c r="F376" i="37"/>
  <c r="O376" i="37" s="1"/>
  <c r="F372" i="37"/>
  <c r="O372" i="37" s="1"/>
  <c r="F377" i="37"/>
  <c r="O377" i="37" s="1"/>
  <c r="F371" i="37"/>
  <c r="O371" i="37" s="1"/>
  <c r="F379" i="37"/>
  <c r="O379" i="37" s="1"/>
  <c r="F381" i="37"/>
  <c r="O381" i="37" s="1"/>
  <c r="F373" i="37"/>
  <c r="O373" i="37" s="1"/>
  <c r="F382" i="37"/>
  <c r="O382" i="37" s="1"/>
  <c r="F378" i="37"/>
  <c r="O378" i="37" s="1"/>
  <c r="F375" i="37"/>
  <c r="O375" i="37" s="1"/>
  <c r="F374" i="37"/>
  <c r="O374" i="37" s="1"/>
  <c r="F380" i="37"/>
  <c r="O380" i="37" s="1"/>
  <c r="F383" i="37"/>
  <c r="O383" i="37" s="1"/>
  <c r="F370" i="37"/>
  <c r="O370" i="37" s="1"/>
  <c r="F365" i="37"/>
  <c r="O365" i="37" s="1"/>
  <c r="F367" i="37"/>
  <c r="O367" i="37" s="1"/>
  <c r="F368" i="37"/>
  <c r="O368" i="37" s="1"/>
  <c r="F364" i="37"/>
  <c r="O364" i="37" s="1"/>
  <c r="F366" i="37"/>
  <c r="O366" i="37" s="1"/>
  <c r="F369" i="37"/>
  <c r="O369" i="37" s="1"/>
  <c r="F362" i="37"/>
  <c r="O362" i="37" s="1"/>
  <c r="F357" i="37"/>
  <c r="O357" i="37" s="1"/>
  <c r="F353" i="37"/>
  <c r="O353" i="37" s="1"/>
  <c r="F355" i="37"/>
  <c r="O355" i="37" s="1"/>
  <c r="F363" i="37"/>
  <c r="O363" i="37" s="1"/>
  <c r="F359" i="37"/>
  <c r="O359" i="37" s="1"/>
  <c r="F352" i="37"/>
  <c r="O352" i="37" s="1"/>
  <c r="F358" i="37"/>
  <c r="O358" i="37" s="1"/>
  <c r="F360" i="37"/>
  <c r="O360" i="37" s="1"/>
  <c r="F354" i="37"/>
  <c r="O354" i="37" s="1"/>
  <c r="F361" i="37"/>
  <c r="O361" i="37" s="1"/>
  <c r="F356" i="37"/>
  <c r="O356" i="37" s="1"/>
  <c r="F344" i="37"/>
  <c r="O344" i="37" s="1"/>
  <c r="F346" i="37"/>
  <c r="O346" i="37" s="1"/>
  <c r="F345" i="37"/>
  <c r="O345" i="37" s="1"/>
  <c r="F350" i="37"/>
  <c r="O350" i="37" s="1"/>
  <c r="F347" i="37"/>
  <c r="O347" i="37" s="1"/>
  <c r="F351" i="37"/>
  <c r="O351" i="37" s="1"/>
  <c r="F349" i="37"/>
  <c r="O349" i="37" s="1"/>
  <c r="F348" i="37"/>
  <c r="O348" i="37" s="1"/>
  <c r="F343" i="37"/>
  <c r="O343" i="37" s="1"/>
  <c r="F333" i="37"/>
  <c r="O333" i="37" s="1"/>
  <c r="F330" i="37"/>
  <c r="O330" i="37" s="1"/>
  <c r="F334" i="37"/>
  <c r="O334" i="37" s="1"/>
  <c r="F332" i="37"/>
  <c r="O332" i="37" s="1"/>
  <c r="F336" i="37"/>
  <c r="O336" i="37" s="1"/>
  <c r="F329" i="37"/>
  <c r="O329" i="37" s="1"/>
  <c r="F338" i="37"/>
  <c r="O338" i="37" s="1"/>
  <c r="F328" i="37"/>
  <c r="O328" i="37" s="1"/>
  <c r="F342" i="37"/>
  <c r="O342" i="37" s="1"/>
  <c r="F341" i="37"/>
  <c r="O341" i="37" s="1"/>
  <c r="F331" i="37"/>
  <c r="O331" i="37" s="1"/>
  <c r="F339" i="37"/>
  <c r="O339" i="37" s="1"/>
  <c r="F337" i="37"/>
  <c r="O337" i="37" s="1"/>
  <c r="F335" i="37"/>
  <c r="O335" i="37" s="1"/>
  <c r="F340" i="37"/>
  <c r="O340" i="37" s="1"/>
  <c r="F322" i="37"/>
  <c r="O322" i="37" s="1"/>
  <c r="F319" i="37"/>
  <c r="O319" i="37" s="1"/>
  <c r="F315" i="37"/>
  <c r="O315" i="37" s="1"/>
  <c r="F326" i="37"/>
  <c r="O326" i="37" s="1"/>
  <c r="F325" i="37"/>
  <c r="O325" i="37" s="1"/>
  <c r="F324" i="37"/>
  <c r="O324" i="37" s="1"/>
  <c r="F320" i="37"/>
  <c r="O320" i="37" s="1"/>
  <c r="F314" i="37"/>
  <c r="O314" i="37" s="1"/>
  <c r="F313" i="37"/>
  <c r="O313" i="37" s="1"/>
  <c r="F317" i="37"/>
  <c r="O317" i="37" s="1"/>
  <c r="F327" i="37"/>
  <c r="O327" i="37" s="1"/>
  <c r="F321" i="37"/>
  <c r="O321" i="37" s="1"/>
  <c r="F316" i="37"/>
  <c r="O316" i="37" s="1"/>
  <c r="F318" i="37"/>
  <c r="O318" i="37" s="1"/>
  <c r="F323" i="37"/>
  <c r="O323" i="37" s="1"/>
  <c r="F305" i="37"/>
  <c r="O305" i="37" s="1"/>
  <c r="F311" i="37"/>
  <c r="O311" i="37" s="1"/>
  <c r="F309" i="37"/>
  <c r="O309" i="37" s="1"/>
  <c r="F304" i="37"/>
  <c r="O304" i="37" s="1"/>
  <c r="F310" i="37"/>
  <c r="O310" i="37" s="1"/>
  <c r="F307" i="37"/>
  <c r="O307" i="37" s="1"/>
  <c r="F308" i="37"/>
  <c r="O308" i="37" s="1"/>
  <c r="F312" i="37"/>
  <c r="O312" i="37" s="1"/>
  <c r="F306" i="37"/>
  <c r="O306" i="37" s="1"/>
  <c r="F298" i="37"/>
  <c r="O298" i="37" s="1"/>
  <c r="F301" i="37"/>
  <c r="O301" i="37" s="1"/>
  <c r="F300" i="37"/>
  <c r="O300" i="37" s="1"/>
  <c r="F302" i="37"/>
  <c r="O302" i="37" s="1"/>
  <c r="F297" i="37"/>
  <c r="O297" i="37" s="1"/>
  <c r="F303" i="37"/>
  <c r="O303" i="37" s="1"/>
  <c r="F299" i="37"/>
  <c r="O299" i="37" s="1"/>
  <c r="F294" i="37"/>
  <c r="O294" i="37" s="1"/>
  <c r="F285" i="37"/>
  <c r="O285" i="37" s="1"/>
  <c r="F296" i="37"/>
  <c r="O296" i="37" s="1"/>
  <c r="F293" i="37"/>
  <c r="O293" i="37" s="1"/>
  <c r="F290" i="37"/>
  <c r="O290" i="37" s="1"/>
  <c r="F286" i="37"/>
  <c r="O286" i="37" s="1"/>
  <c r="F287" i="37"/>
  <c r="O287" i="37" s="1"/>
  <c r="F289" i="37"/>
  <c r="O289" i="37" s="1"/>
  <c r="F292" i="37"/>
  <c r="O292" i="37" s="1"/>
  <c r="F295" i="37"/>
  <c r="O295" i="37" s="1"/>
  <c r="F291" i="37"/>
  <c r="O291" i="37" s="1"/>
  <c r="F288" i="37"/>
  <c r="O288" i="37" s="1"/>
  <c r="F283" i="37"/>
  <c r="O283" i="37" s="1"/>
  <c r="F277" i="37"/>
  <c r="O277" i="37" s="1"/>
  <c r="F284" i="37"/>
  <c r="O284" i="37" s="1"/>
  <c r="F279" i="37"/>
  <c r="O279" i="37" s="1"/>
  <c r="F276" i="37"/>
  <c r="O276" i="37" s="1"/>
  <c r="F280" i="37"/>
  <c r="O280" i="37" s="1"/>
  <c r="F278" i="37"/>
  <c r="O278" i="37" s="1"/>
  <c r="F281" i="37"/>
  <c r="O281" i="37" s="1"/>
  <c r="F282" i="37"/>
  <c r="O282" i="37" s="1"/>
  <c r="F271" i="37"/>
  <c r="O271" i="37" s="1"/>
  <c r="F270" i="37"/>
  <c r="O270" i="37" s="1"/>
  <c r="F272" i="37"/>
  <c r="O272" i="37" s="1"/>
  <c r="F268" i="37"/>
  <c r="O268" i="37" s="1"/>
  <c r="F269" i="37"/>
  <c r="O269" i="37" s="1"/>
  <c r="F267" i="37"/>
  <c r="O267" i="37" s="1"/>
  <c r="F273" i="37"/>
  <c r="O273" i="37" s="1"/>
  <c r="F274" i="37"/>
  <c r="O274" i="37" s="1"/>
  <c r="F275" i="37"/>
  <c r="O275" i="37" s="1"/>
  <c r="F265" i="37"/>
  <c r="O265" i="37" s="1"/>
  <c r="F259" i="37"/>
  <c r="O259" i="37" s="1"/>
  <c r="F262" i="37"/>
  <c r="O262" i="37" s="1"/>
  <c r="F263" i="37"/>
  <c r="O263" i="37" s="1"/>
  <c r="F264" i="37"/>
  <c r="O264" i="37" s="1"/>
  <c r="F260" i="37"/>
  <c r="O260" i="37" s="1"/>
  <c r="F261" i="37"/>
  <c r="O261" i="37" s="1"/>
  <c r="F266" i="37"/>
  <c r="O266" i="37" s="1"/>
  <c r="F258" i="37"/>
  <c r="O258" i="37" s="1"/>
  <c r="F257" i="37"/>
  <c r="O257" i="37" s="1"/>
  <c r="F256" i="37"/>
  <c r="O256" i="37" s="1"/>
  <c r="F246" i="37"/>
  <c r="O246" i="37" s="1"/>
  <c r="F249" i="37"/>
  <c r="O249" i="37" s="1"/>
  <c r="F255" i="37"/>
  <c r="O255" i="37" s="1"/>
  <c r="F247" i="37"/>
  <c r="O247" i="37" s="1"/>
  <c r="F245" i="37"/>
  <c r="O245" i="37" s="1"/>
  <c r="F250" i="37"/>
  <c r="O250" i="37" s="1"/>
  <c r="F251" i="37"/>
  <c r="O251" i="37" s="1"/>
  <c r="F248" i="37"/>
  <c r="O248" i="37" s="1"/>
  <c r="F254" i="37"/>
  <c r="O254" i="37" s="1"/>
  <c r="F253" i="37"/>
  <c r="O253" i="37" s="1"/>
  <c r="F252" i="37"/>
  <c r="O252" i="37" s="1"/>
  <c r="F241" i="37"/>
  <c r="O241" i="37" s="1"/>
  <c r="F237" i="37"/>
  <c r="O237" i="37" s="1"/>
  <c r="F244" i="37"/>
  <c r="O244" i="37" s="1"/>
  <c r="F235" i="37"/>
  <c r="O235" i="37" s="1"/>
  <c r="F239" i="37"/>
  <c r="O239" i="37" s="1"/>
  <c r="F236" i="37"/>
  <c r="O236" i="37" s="1"/>
  <c r="F240" i="37"/>
  <c r="O240" i="37" s="1"/>
  <c r="F242" i="37"/>
  <c r="O242" i="37" s="1"/>
  <c r="F243" i="37"/>
  <c r="O243" i="37" s="1"/>
  <c r="F238" i="37"/>
  <c r="O238" i="37" s="1"/>
  <c r="F226" i="37"/>
  <c r="O226" i="37" s="1"/>
  <c r="F227" i="37"/>
  <c r="O227" i="37" s="1"/>
  <c r="F231" i="37"/>
  <c r="O231" i="37" s="1"/>
  <c r="F223" i="37"/>
  <c r="O223" i="37" s="1"/>
  <c r="F232" i="37"/>
  <c r="O232" i="37" s="1"/>
  <c r="F221" i="37"/>
  <c r="O221" i="37" s="1"/>
  <c r="F234" i="37"/>
  <c r="O234" i="37" s="1"/>
  <c r="F222" i="37"/>
  <c r="O222" i="37" s="1"/>
  <c r="F228" i="37"/>
  <c r="O228" i="37" s="1"/>
  <c r="F225" i="37"/>
  <c r="O225" i="37" s="1"/>
  <c r="F224" i="37"/>
  <c r="O224" i="37" s="1"/>
  <c r="F233" i="37"/>
  <c r="O233" i="37" s="1"/>
  <c r="F229" i="37"/>
  <c r="O229" i="37" s="1"/>
  <c r="F230" i="37"/>
  <c r="O230" i="37" s="1"/>
  <c r="F214" i="37"/>
  <c r="O214" i="37" s="1"/>
  <c r="F217" i="37"/>
  <c r="O217" i="37" s="1"/>
  <c r="F216" i="37"/>
  <c r="O216" i="37" s="1"/>
  <c r="F213" i="37"/>
  <c r="O213" i="37" s="1"/>
  <c r="F219" i="37"/>
  <c r="O219" i="37" s="1"/>
  <c r="F215" i="37"/>
  <c r="O215" i="37" s="1"/>
  <c r="F212" i="37"/>
  <c r="O212" i="37" s="1"/>
  <c r="F220" i="37"/>
  <c r="O220" i="37" s="1"/>
  <c r="F218" i="37"/>
  <c r="O218" i="37" s="1"/>
  <c r="F209" i="37"/>
  <c r="O209" i="37" s="1"/>
  <c r="F210" i="37"/>
  <c r="O210" i="37" s="1"/>
  <c r="F205" i="37"/>
  <c r="O205" i="37" s="1"/>
  <c r="F202" i="37"/>
  <c r="O202" i="37" s="1"/>
  <c r="F208" i="37"/>
  <c r="O208" i="37" s="1"/>
  <c r="F203" i="37"/>
  <c r="O203" i="37" s="1"/>
  <c r="F211" i="37"/>
  <c r="O211" i="37" s="1"/>
  <c r="F204" i="37"/>
  <c r="O204" i="37" s="1"/>
  <c r="F207" i="37"/>
  <c r="O207" i="37" s="1"/>
  <c r="F206" i="37"/>
  <c r="O206" i="37" s="1"/>
  <c r="F197" i="37"/>
  <c r="O197" i="37" s="1"/>
  <c r="F190" i="37"/>
  <c r="O190" i="37" s="1"/>
  <c r="F194" i="37"/>
  <c r="O194" i="37" s="1"/>
  <c r="F199" i="37"/>
  <c r="O199" i="37" s="1"/>
  <c r="F191" i="37"/>
  <c r="O191" i="37" s="1"/>
  <c r="F189" i="37"/>
  <c r="O189" i="37" s="1"/>
  <c r="F192" i="37"/>
  <c r="O192" i="37" s="1"/>
  <c r="F188" i="37"/>
  <c r="O188" i="37" s="1"/>
  <c r="F198" i="37"/>
  <c r="O198" i="37" s="1"/>
  <c r="F196" i="37"/>
  <c r="O196" i="37" s="1"/>
  <c r="F195" i="37"/>
  <c r="O195" i="37" s="1"/>
  <c r="F193" i="37"/>
  <c r="O193" i="37" s="1"/>
  <c r="F200" i="37"/>
  <c r="O200" i="37" s="1"/>
  <c r="F201" i="37"/>
  <c r="O201" i="37" s="1"/>
  <c r="F179" i="37"/>
  <c r="O179" i="37" s="1"/>
  <c r="F186" i="37"/>
  <c r="O186" i="37" s="1"/>
  <c r="F176" i="37"/>
  <c r="O176" i="37" s="1"/>
  <c r="F181" i="37"/>
  <c r="O181" i="37" s="1"/>
  <c r="F183" i="37"/>
  <c r="O183" i="37" s="1"/>
  <c r="F187" i="37"/>
  <c r="O187" i="37" s="1"/>
  <c r="F177" i="37"/>
  <c r="O177" i="37" s="1"/>
  <c r="F178" i="37"/>
  <c r="O178" i="37" s="1"/>
  <c r="F180" i="37"/>
  <c r="O180" i="37" s="1"/>
  <c r="F184" i="37"/>
  <c r="O184" i="37" s="1"/>
  <c r="F182" i="37"/>
  <c r="O182" i="37" s="1"/>
  <c r="F185" i="37"/>
  <c r="O185" i="37" s="1"/>
  <c r="F174" i="37"/>
  <c r="O174" i="37" s="1"/>
  <c r="F170" i="37"/>
  <c r="O170" i="37" s="1"/>
  <c r="F167" i="37"/>
  <c r="O167" i="37" s="1"/>
  <c r="F166" i="37"/>
  <c r="O166" i="37" s="1"/>
  <c r="F163" i="37"/>
  <c r="O163" i="37" s="1"/>
  <c r="F165" i="37"/>
  <c r="O165" i="37" s="1"/>
  <c r="F172" i="37"/>
  <c r="O172" i="37" s="1"/>
  <c r="F173" i="37"/>
  <c r="O173" i="37" s="1"/>
  <c r="F175" i="37"/>
  <c r="O175" i="37" s="1"/>
  <c r="F164" i="37"/>
  <c r="O164" i="37" s="1"/>
  <c r="F168" i="37"/>
  <c r="O168" i="37" s="1"/>
  <c r="F169" i="37"/>
  <c r="O169" i="37" s="1"/>
  <c r="F171" i="37"/>
  <c r="O171" i="37" s="1"/>
  <c r="F158" i="37"/>
  <c r="O158" i="37" s="1"/>
  <c r="F157" i="37"/>
  <c r="O157" i="37" s="1"/>
  <c r="F156" i="37"/>
  <c r="O156" i="37" s="1"/>
  <c r="F161" i="37"/>
  <c r="O161" i="37" s="1"/>
  <c r="F162" i="37"/>
  <c r="O162" i="37" s="1"/>
  <c r="F159" i="37"/>
  <c r="O159" i="37" s="1"/>
  <c r="F160" i="37"/>
  <c r="O160" i="37" s="1"/>
  <c r="F140" i="37"/>
  <c r="O140" i="37" s="1"/>
  <c r="F155" i="37"/>
  <c r="O155" i="37" s="1"/>
  <c r="F141" i="37"/>
  <c r="O141" i="37" s="1"/>
  <c r="F147" i="37"/>
  <c r="O147" i="37" s="1"/>
  <c r="F154" i="37"/>
  <c r="O154" i="37" s="1"/>
  <c r="F146" i="37"/>
  <c r="O146" i="37" s="1"/>
  <c r="F144" i="37"/>
  <c r="O144" i="37" s="1"/>
  <c r="F145" i="37"/>
  <c r="O145" i="37" s="1"/>
  <c r="F153" i="37"/>
  <c r="O153" i="37" s="1"/>
  <c r="F148" i="37"/>
  <c r="O148" i="37" s="1"/>
  <c r="F150" i="37"/>
  <c r="O150" i="37" s="1"/>
  <c r="F151" i="37"/>
  <c r="O151" i="37" s="1"/>
  <c r="F149" i="37"/>
  <c r="O149" i="37" s="1"/>
  <c r="F143" i="37"/>
  <c r="O143" i="37" s="1"/>
  <c r="F152" i="37"/>
  <c r="O152" i="37" s="1"/>
  <c r="F142" i="37"/>
  <c r="O142" i="37" s="1"/>
  <c r="F137" i="37"/>
  <c r="O137" i="37" s="1"/>
  <c r="F135" i="37"/>
  <c r="O135" i="37" s="1"/>
  <c r="F130" i="37"/>
  <c r="O130" i="37" s="1"/>
  <c r="F131" i="37"/>
  <c r="O131" i="37" s="1"/>
  <c r="F138" i="37"/>
  <c r="O138" i="37" s="1"/>
  <c r="F134" i="37"/>
  <c r="O134" i="37" s="1"/>
  <c r="F133" i="37"/>
  <c r="O133" i="37" s="1"/>
  <c r="F132" i="37"/>
  <c r="O132" i="37" s="1"/>
  <c r="F139" i="37"/>
  <c r="O139" i="37" s="1"/>
  <c r="F136" i="37"/>
  <c r="O136" i="37" s="1"/>
  <c r="F128" i="37"/>
  <c r="O128" i="37" s="1"/>
  <c r="F118" i="37"/>
  <c r="O118" i="37" s="1"/>
  <c r="F125" i="37"/>
  <c r="O125" i="37" s="1"/>
  <c r="F126" i="37"/>
  <c r="O126" i="37" s="1"/>
  <c r="F124" i="37"/>
  <c r="O124" i="37" s="1"/>
  <c r="F127" i="37"/>
  <c r="O127" i="37" s="1"/>
  <c r="F129" i="37"/>
  <c r="O129" i="37" s="1"/>
  <c r="F119" i="37"/>
  <c r="O119" i="37" s="1"/>
  <c r="F121" i="37"/>
  <c r="O121" i="37" s="1"/>
  <c r="F123" i="37"/>
  <c r="O123" i="37" s="1"/>
  <c r="F120" i="37"/>
  <c r="O120" i="37" s="1"/>
  <c r="F122" i="37"/>
  <c r="O122" i="37" s="1"/>
  <c r="F112" i="37"/>
  <c r="O112" i="37" s="1"/>
  <c r="F113" i="37"/>
  <c r="O113" i="37" s="1"/>
  <c r="F114" i="37"/>
  <c r="O114" i="37" s="1"/>
  <c r="F111" i="37"/>
  <c r="O111" i="37" s="1"/>
  <c r="F116" i="37"/>
  <c r="O116" i="37" s="1"/>
  <c r="F115" i="37"/>
  <c r="O115" i="37" s="1"/>
  <c r="F117" i="37"/>
  <c r="O117" i="37" s="1"/>
  <c r="F106" i="37"/>
  <c r="O106" i="37" s="1"/>
  <c r="F105" i="37"/>
  <c r="O105" i="37" s="1"/>
  <c r="F104" i="37"/>
  <c r="O104" i="37" s="1"/>
  <c r="F108" i="37"/>
  <c r="O108" i="37" s="1"/>
  <c r="F110" i="37"/>
  <c r="O110" i="37" s="1"/>
  <c r="F109" i="37"/>
  <c r="O109" i="37" s="1"/>
  <c r="F107" i="37"/>
  <c r="O107" i="37" s="1"/>
  <c r="F100" i="37"/>
  <c r="O100" i="37" s="1"/>
  <c r="F98" i="37"/>
  <c r="O98" i="37" s="1"/>
  <c r="F101" i="37"/>
  <c r="O101" i="37" s="1"/>
  <c r="F99" i="37"/>
  <c r="O99" i="37" s="1"/>
  <c r="F102" i="37"/>
  <c r="O102" i="37" s="1"/>
  <c r="F97" i="37"/>
  <c r="O97" i="37" s="1"/>
  <c r="F96" i="37"/>
  <c r="O96" i="37" s="1"/>
  <c r="F103" i="37"/>
  <c r="O103" i="37" s="1"/>
  <c r="F89" i="37"/>
  <c r="O89" i="37" s="1"/>
  <c r="F94" i="37"/>
  <c r="O94" i="37" s="1"/>
  <c r="F95" i="37"/>
  <c r="O95" i="37" s="1"/>
  <c r="F90" i="37"/>
  <c r="O90" i="37" s="1"/>
  <c r="F91" i="37"/>
  <c r="O91" i="37" s="1"/>
  <c r="F88" i="37"/>
  <c r="O88" i="37" s="1"/>
  <c r="F93" i="37"/>
  <c r="O93" i="37" s="1"/>
  <c r="F92" i="37"/>
  <c r="O92" i="37" s="1"/>
  <c r="F86" i="37"/>
  <c r="O86" i="37" s="1"/>
  <c r="F87" i="37"/>
  <c r="O87" i="37" s="1"/>
  <c r="F83" i="37"/>
  <c r="O83" i="37" s="1"/>
  <c r="F85" i="37"/>
  <c r="O85" i="37" s="1"/>
  <c r="F84" i="37"/>
  <c r="O84" i="37" s="1"/>
  <c r="F82" i="37"/>
  <c r="O82" i="37" s="1"/>
  <c r="F79" i="37"/>
  <c r="O79" i="37" s="1"/>
  <c r="F78" i="37"/>
  <c r="O78" i="37" s="1"/>
  <c r="F77" i="37"/>
  <c r="O77" i="37" s="1"/>
  <c r="F76" i="37"/>
  <c r="O76" i="37" s="1"/>
  <c r="F80" i="37"/>
  <c r="O80" i="37" s="1"/>
  <c r="F81" i="37"/>
  <c r="O81" i="37" s="1"/>
  <c r="F69" i="37"/>
  <c r="O69" i="37" s="1"/>
  <c r="F70" i="37"/>
  <c r="O70" i="37" s="1"/>
  <c r="F74" i="37"/>
  <c r="O74" i="37" s="1"/>
  <c r="F75" i="37"/>
  <c r="O75" i="37" s="1"/>
  <c r="F73" i="37"/>
  <c r="O73" i="37" s="1"/>
  <c r="F71" i="37"/>
  <c r="O71" i="37" s="1"/>
  <c r="F72" i="37"/>
  <c r="O72" i="37" s="1"/>
  <c r="F66" i="37"/>
  <c r="O66" i="37" s="1"/>
  <c r="F67" i="37"/>
  <c r="O67" i="37" s="1"/>
  <c r="F68" i="37"/>
  <c r="O68" i="37" s="1"/>
  <c r="F65" i="37"/>
  <c r="O65" i="37" s="1"/>
  <c r="F61" i="37"/>
  <c r="O61" i="37" s="1"/>
  <c r="F60" i="37"/>
  <c r="O60" i="37" s="1"/>
  <c r="F62" i="37"/>
  <c r="O62" i="37" s="1"/>
  <c r="F64" i="37"/>
  <c r="O64" i="37" s="1"/>
  <c r="F63" i="37"/>
  <c r="O63" i="37" s="1"/>
  <c r="F59" i="37"/>
  <c r="O59" i="37" s="1"/>
  <c r="F54" i="37"/>
  <c r="O54" i="37" s="1"/>
  <c r="F58" i="37"/>
  <c r="O58" i="37" s="1"/>
  <c r="F56" i="37"/>
  <c r="O56" i="37" s="1"/>
  <c r="F55" i="37"/>
  <c r="O55" i="37" s="1"/>
  <c r="F57" i="37"/>
  <c r="O57" i="37" s="1"/>
  <c r="F53" i="37"/>
  <c r="O53" i="37" s="1"/>
  <c r="F47" i="37"/>
  <c r="O47" i="37" s="1"/>
  <c r="F49" i="37"/>
  <c r="O49" i="37" s="1"/>
  <c r="F50" i="37"/>
  <c r="O50" i="37" s="1"/>
  <c r="F52" i="37"/>
  <c r="O52" i="37" s="1"/>
  <c r="F46" i="37"/>
  <c r="O46" i="37" s="1"/>
  <c r="F51" i="37"/>
  <c r="O51" i="37" s="1"/>
  <c r="F48" i="37"/>
  <c r="O48" i="37" s="1"/>
  <c r="F44" i="37"/>
  <c r="O44" i="37" s="1"/>
  <c r="F42" i="37"/>
  <c r="O42" i="37" s="1"/>
  <c r="F43" i="37"/>
  <c r="O43" i="37" s="1"/>
  <c r="F45" i="37"/>
  <c r="O45" i="37" s="1"/>
  <c r="F41" i="37"/>
  <c r="O41" i="37" s="1"/>
  <c r="F38" i="37"/>
  <c r="O38" i="37" s="1"/>
  <c r="F40" i="37"/>
  <c r="O40" i="37" s="1"/>
  <c r="F39" i="37"/>
  <c r="O39" i="37" s="1"/>
  <c r="F37" i="37"/>
  <c r="O37" i="37" s="1"/>
  <c r="F34" i="37"/>
  <c r="O34" i="37" s="1"/>
  <c r="F36" i="37"/>
  <c r="O36" i="37" s="1"/>
  <c r="F35" i="37"/>
  <c r="O35" i="37" s="1"/>
  <c r="F31" i="37"/>
  <c r="O31" i="37" s="1"/>
  <c r="F33" i="37"/>
  <c r="O33" i="37" s="1"/>
  <c r="F30" i="37"/>
  <c r="O30" i="37" s="1"/>
  <c r="F32" i="37"/>
  <c r="O32" i="37" s="1"/>
  <c r="F29" i="37"/>
  <c r="O29" i="37" s="1"/>
  <c r="F25" i="37"/>
  <c r="O25" i="37" s="1"/>
  <c r="F27" i="37"/>
  <c r="O27" i="37" s="1"/>
  <c r="F28" i="37"/>
  <c r="O28" i="37" s="1"/>
  <c r="F26" i="37"/>
  <c r="O26" i="37" s="1"/>
  <c r="F24" i="37"/>
  <c r="O24" i="37" s="1"/>
  <c r="F23" i="37"/>
  <c r="O23" i="37" s="1"/>
  <c r="F20" i="37"/>
  <c r="O20" i="37" s="1"/>
  <c r="F22" i="37"/>
  <c r="O22" i="37" s="1"/>
  <c r="F21" i="37"/>
  <c r="O21" i="37" s="1"/>
  <c r="F19" i="37"/>
  <c r="O19" i="37" s="1"/>
  <c r="F18" i="37"/>
  <c r="O18" i="37" s="1"/>
  <c r="F15" i="37"/>
  <c r="O15" i="37" s="1"/>
  <c r="F17" i="37"/>
  <c r="O17" i="37" s="1"/>
  <c r="F16" i="37"/>
  <c r="O16" i="37" s="1"/>
  <c r="F14" i="37"/>
  <c r="O14" i="37" s="1"/>
  <c r="F13" i="37"/>
  <c r="O13" i="37" s="1"/>
  <c r="F12" i="37"/>
  <c r="O12" i="37" s="1"/>
  <c r="F11" i="37"/>
  <c r="O11" i="37" s="1"/>
  <c r="F10" i="37"/>
  <c r="O10" i="37" s="1"/>
  <c r="F7" i="37"/>
  <c r="O7" i="37" s="1"/>
  <c r="F8" i="37"/>
  <c r="O8" i="37" s="1"/>
  <c r="F9" i="37"/>
  <c r="O9" i="37" s="1"/>
  <c r="F6" i="37"/>
  <c r="O6" i="37" s="1"/>
  <c r="F5" i="37"/>
  <c r="O5" i="37" s="1"/>
  <c r="F4" i="37"/>
  <c r="O4" i="37" s="1"/>
  <c r="F3" i="37"/>
  <c r="O3" i="37" s="1"/>
  <c r="F2" i="37"/>
  <c r="O2" i="37" s="1"/>
  <c r="F651" i="37"/>
  <c r="O651" i="37" s="1"/>
  <c r="AJ89" i="34" l="1"/>
  <c r="AJ31" i="34"/>
  <c r="AJ68" i="34"/>
  <c r="AJ35" i="34"/>
  <c r="AJ85" i="34"/>
  <c r="AJ57" i="34"/>
  <c r="AJ39" i="34"/>
  <c r="AJ37" i="34"/>
  <c r="AJ8" i="34"/>
  <c r="AJ24" i="34"/>
  <c r="AJ49" i="34"/>
  <c r="AJ83" i="34"/>
  <c r="AJ40" i="34"/>
  <c r="AJ81" i="34"/>
  <c r="AJ47" i="34"/>
  <c r="AJ36" i="34"/>
  <c r="AJ71" i="34"/>
  <c r="AJ76" i="34"/>
  <c r="AJ74" i="34"/>
  <c r="AJ59" i="34"/>
  <c r="AJ7" i="34"/>
  <c r="AJ72" i="34"/>
  <c r="AJ100" i="34"/>
  <c r="AJ77" i="34"/>
  <c r="AJ67" i="34"/>
  <c r="AJ4" i="34"/>
  <c r="AJ41" i="34"/>
  <c r="AJ13" i="34"/>
  <c r="AJ19" i="34"/>
  <c r="AJ11" i="34"/>
  <c r="AJ5" i="34"/>
  <c r="AJ14" i="34"/>
  <c r="AJ2" i="34"/>
  <c r="AJ10" i="34"/>
  <c r="AJ53" i="34"/>
  <c r="AJ101" i="34"/>
  <c r="AJ61" i="34"/>
  <c r="AJ26" i="34"/>
  <c r="AJ51" i="34"/>
  <c r="AJ93" i="34"/>
  <c r="AJ29" i="34"/>
  <c r="AJ38" i="34"/>
  <c r="AJ64" i="34"/>
  <c r="AJ6" i="34"/>
  <c r="AJ86" i="34"/>
  <c r="AJ82" i="34"/>
  <c r="AJ56" i="34"/>
  <c r="AJ9" i="34"/>
  <c r="AJ80" i="34"/>
  <c r="AJ73" i="34"/>
  <c r="AJ44" i="34"/>
  <c r="AJ84" i="34"/>
  <c r="AJ46" i="34"/>
  <c r="AJ33" i="34"/>
  <c r="AJ97" i="34"/>
  <c r="AJ22" i="34"/>
  <c r="AJ63" i="34"/>
  <c r="AJ55" i="34"/>
  <c r="AJ16" i="34"/>
  <c r="AJ15" i="34"/>
  <c r="AJ95" i="34"/>
  <c r="AJ52" i="34"/>
  <c r="AJ3" i="34"/>
  <c r="AJ42" i="34"/>
  <c r="AJ48" i="34"/>
  <c r="AJ65" i="34"/>
  <c r="AJ50" i="34"/>
  <c r="AJ25" i="34"/>
  <c r="AJ75" i="34"/>
  <c r="AJ54" i="34"/>
  <c r="AJ23" i="34"/>
  <c r="AJ12" i="34"/>
  <c r="AJ17" i="34"/>
  <c r="AJ96" i="34"/>
  <c r="AJ60" i="34"/>
  <c r="AJ88" i="34"/>
  <c r="AJ87" i="34"/>
  <c r="AJ18" i="34"/>
  <c r="AJ79" i="34"/>
  <c r="AJ90" i="34"/>
  <c r="AJ45" i="34"/>
  <c r="AJ66" i="34"/>
  <c r="AJ78" i="34"/>
  <c r="AJ99" i="34"/>
  <c r="AJ32" i="34"/>
  <c r="AJ92" i="34"/>
  <c r="AJ62" i="34"/>
  <c r="AJ30" i="34"/>
  <c r="AJ94" i="34"/>
  <c r="AJ70" i="34"/>
  <c r="AJ27" i="34"/>
  <c r="AJ34" i="34"/>
  <c r="AJ69" i="34"/>
  <c r="AJ43" i="34"/>
  <c r="AJ91" i="34"/>
  <c r="AJ20" i="34"/>
  <c r="AJ21" i="34"/>
  <c r="AJ28" i="34"/>
  <c r="AJ98" i="34"/>
  <c r="AF14" i="36" l="1"/>
  <c r="AF24" i="36"/>
  <c r="AF29" i="36"/>
  <c r="AF31" i="36"/>
  <c r="AF32" i="36"/>
  <c r="AF25" i="36"/>
  <c r="AF35" i="36"/>
  <c r="AF4" i="36"/>
  <c r="AF41" i="36"/>
  <c r="AF53" i="36"/>
  <c r="AF66" i="36"/>
  <c r="AF26" i="36"/>
  <c r="AF58" i="36"/>
  <c r="AF60" i="36"/>
  <c r="AF65" i="36"/>
  <c r="AF63" i="36"/>
  <c r="AF11" i="36"/>
  <c r="AF57" i="36"/>
  <c r="AF59" i="36"/>
  <c r="AF86" i="36"/>
  <c r="AF72" i="36"/>
  <c r="AF8" i="36"/>
  <c r="AF73" i="36"/>
  <c r="AF78" i="36"/>
  <c r="AF79" i="36"/>
  <c r="AF10" i="36"/>
  <c r="AF7" i="36"/>
  <c r="AF62" i="36"/>
  <c r="AF81" i="36"/>
  <c r="AF61" i="36"/>
  <c r="AF83" i="36"/>
  <c r="AF48" i="36"/>
  <c r="AF84" i="36"/>
  <c r="AF134" i="36"/>
  <c r="AF70" i="36"/>
  <c r="AF94" i="36"/>
  <c r="AF126" i="36"/>
  <c r="AF5" i="36"/>
  <c r="AF96" i="36"/>
  <c r="AF75" i="36"/>
  <c r="AF76" i="36"/>
  <c r="AF13" i="36"/>
  <c r="AF82" i="36"/>
  <c r="AF103" i="36"/>
  <c r="AF93" i="36"/>
  <c r="AF105" i="36"/>
  <c r="AF71" i="36"/>
  <c r="AF85" i="36"/>
  <c r="AF151" i="36"/>
  <c r="AF150" i="36"/>
  <c r="AF15" i="36"/>
  <c r="AF87" i="36"/>
  <c r="AF74" i="36"/>
  <c r="AF89" i="36"/>
  <c r="AF17" i="36"/>
  <c r="AF91" i="36"/>
  <c r="AF114" i="36"/>
  <c r="AF80" i="36"/>
  <c r="AF163" i="36"/>
  <c r="AF118" i="36"/>
  <c r="AF123" i="36"/>
  <c r="AF18" i="36"/>
  <c r="AF165" i="36"/>
  <c r="AF127" i="36"/>
  <c r="AF128" i="36"/>
  <c r="AF12" i="36"/>
  <c r="AF19" i="36"/>
  <c r="AF92" i="36"/>
  <c r="AF119" i="36"/>
  <c r="AF106" i="36"/>
  <c r="AF188" i="36"/>
  <c r="AF136" i="36"/>
  <c r="AF195" i="36"/>
  <c r="AF139" i="36"/>
  <c r="AF16" i="36"/>
  <c r="AF168" i="36"/>
  <c r="AF525" i="36"/>
  <c r="AF22" i="36"/>
  <c r="AF20" i="36"/>
  <c r="AF33" i="36"/>
  <c r="AF27" i="36"/>
  <c r="AF39" i="36"/>
  <c r="AF34" i="36"/>
  <c r="AF40" i="36"/>
  <c r="AF36" i="36"/>
  <c r="AF21" i="36"/>
  <c r="AF23" i="36"/>
  <c r="AF43" i="36"/>
  <c r="AF49" i="36"/>
  <c r="AF47" i="36"/>
  <c r="AF3" i="36"/>
  <c r="AF52" i="36"/>
  <c r="AF54" i="36"/>
  <c r="AF9" i="36"/>
  <c r="AF110" i="36"/>
  <c r="AF50" i="36"/>
  <c r="AF117" i="36"/>
  <c r="AF56" i="36"/>
  <c r="AF107" i="36"/>
  <c r="AF122" i="36"/>
  <c r="AF111" i="36"/>
  <c r="AF124" i="36"/>
  <c r="AF130" i="36"/>
  <c r="AF55" i="36"/>
  <c r="AF112" i="36"/>
  <c r="AF113" i="36"/>
  <c r="AF115" i="36"/>
  <c r="AF141" i="36"/>
  <c r="AF142" i="36"/>
  <c r="AF129" i="36"/>
  <c r="AF131" i="36"/>
  <c r="AF132" i="36"/>
  <c r="AF133" i="36"/>
  <c r="AF90" i="36"/>
  <c r="AF144" i="36"/>
  <c r="AF125" i="36"/>
  <c r="AF28" i="36"/>
  <c r="AF149" i="36"/>
  <c r="AF154" i="36"/>
  <c r="AF67" i="36"/>
  <c r="AF135" i="36"/>
  <c r="AF145" i="36"/>
  <c r="AF164" i="36"/>
  <c r="AF152" i="36"/>
  <c r="AF157" i="36"/>
  <c r="AF146" i="36"/>
  <c r="AF173" i="36"/>
  <c r="AF174" i="36"/>
  <c r="AF176" i="36"/>
  <c r="AF42" i="36"/>
  <c r="AF148" i="36"/>
  <c r="AF156" i="36"/>
  <c r="AF30" i="36"/>
  <c r="AF184" i="36"/>
  <c r="AF116" i="36"/>
  <c r="AF186" i="36"/>
  <c r="AF99" i="36"/>
  <c r="AF178" i="36"/>
  <c r="AF192" i="36"/>
  <c r="AF181" i="36"/>
  <c r="AF140" i="36"/>
  <c r="AF194" i="36"/>
  <c r="AF167" i="36"/>
  <c r="AF197" i="36"/>
  <c r="AF199" i="36"/>
  <c r="AF203" i="36"/>
  <c r="AF204" i="36"/>
  <c r="AF205" i="36"/>
  <c r="AF191" i="36"/>
  <c r="AF179" i="36"/>
  <c r="AF102" i="36"/>
  <c r="AF211" i="36"/>
  <c r="AF185" i="36"/>
  <c r="AF45" i="36"/>
  <c r="AF172" i="36"/>
  <c r="AF216" i="36"/>
  <c r="AF215" i="36"/>
  <c r="AF177" i="36"/>
  <c r="AF207" i="36"/>
  <c r="AF217" i="36"/>
  <c r="AF183" i="36"/>
  <c r="AF219" i="36"/>
  <c r="AF166" i="36"/>
  <c r="AF220" i="36"/>
  <c r="AF95" i="36"/>
  <c r="AF189" i="36"/>
  <c r="AF120" i="36"/>
  <c r="AF223" i="36"/>
  <c r="AF51" i="36"/>
  <c r="AF143" i="36"/>
  <c r="AF175" i="36"/>
  <c r="AF159" i="36"/>
  <c r="AF160" i="36"/>
  <c r="AF226" i="36"/>
  <c r="AF227" i="36"/>
  <c r="AF213" i="36"/>
  <c r="AF229" i="36"/>
  <c r="AF169" i="36"/>
  <c r="AF214" i="36"/>
  <c r="AF222" i="36"/>
  <c r="AF232" i="36"/>
  <c r="AF209" i="36"/>
  <c r="AF234" i="36"/>
  <c r="AF236" i="36"/>
  <c r="AF44" i="36"/>
  <c r="AF193" i="36"/>
  <c r="AF212" i="36"/>
  <c r="AF162" i="36"/>
  <c r="AF243" i="36"/>
  <c r="AF242" i="36"/>
  <c r="AF241" i="36"/>
  <c r="AF250" i="36"/>
  <c r="AF249" i="36"/>
  <c r="AF248" i="36"/>
  <c r="AF170" i="36"/>
  <c r="AF239" i="36"/>
  <c r="AF228" i="36"/>
  <c r="AF245" i="36"/>
  <c r="AF260" i="36"/>
  <c r="AF258" i="36"/>
  <c r="AF259" i="36"/>
  <c r="AF37" i="36"/>
  <c r="AF251" i="36"/>
  <c r="AF266" i="36"/>
  <c r="AF255" i="36"/>
  <c r="AF233" i="36"/>
  <c r="AF196" i="36"/>
  <c r="AF225" i="36"/>
  <c r="AF147" i="36"/>
  <c r="AF263" i="36"/>
  <c r="AF237" i="36"/>
  <c r="AF278" i="36"/>
  <c r="AF279" i="36"/>
  <c r="AF155" i="36"/>
  <c r="AF280" i="36"/>
  <c r="AF69" i="36"/>
  <c r="AF46" i="36"/>
  <c r="AF206" i="36"/>
  <c r="AF283" i="36"/>
  <c r="AF230" i="36"/>
  <c r="AF261" i="36"/>
  <c r="AF273" i="36"/>
  <c r="AF221" i="36"/>
  <c r="AF254" i="36"/>
  <c r="AF272" i="36"/>
  <c r="AF291" i="36"/>
  <c r="AF297" i="36"/>
  <c r="AF277" i="36"/>
  <c r="AF292" i="36"/>
  <c r="AF210" i="36"/>
  <c r="AF235" i="36"/>
  <c r="AF238" i="36"/>
  <c r="AF294" i="36"/>
  <c r="AF187" i="36"/>
  <c r="AF270" i="36"/>
  <c r="AF295" i="36"/>
  <c r="AF64" i="36"/>
  <c r="AF298" i="36"/>
  <c r="AF109" i="36"/>
  <c r="AF306" i="36"/>
  <c r="AF264" i="36"/>
  <c r="AF304" i="36"/>
  <c r="AF171" i="36"/>
  <c r="AF247" i="36"/>
  <c r="AF310" i="36"/>
  <c r="AF180" i="36"/>
  <c r="AF311" i="36"/>
  <c r="AF257" i="36"/>
  <c r="AF276" i="36"/>
  <c r="AF315" i="36"/>
  <c r="AF314" i="36"/>
  <c r="AF240" i="36"/>
  <c r="AF313" i="36"/>
  <c r="AF300" i="36"/>
  <c r="AF158" i="36"/>
  <c r="AF299" i="36"/>
  <c r="AF282" i="36"/>
  <c r="AF267" i="36"/>
  <c r="AF268" i="36"/>
  <c r="AF318" i="36"/>
  <c r="AF317" i="36"/>
  <c r="AF319" i="36"/>
  <c r="AF320" i="36"/>
  <c r="AF321" i="36"/>
  <c r="AF322" i="36"/>
  <c r="AF218" i="36"/>
  <c r="AF256" i="36"/>
  <c r="AF275" i="36"/>
  <c r="AF281" i="36"/>
  <c r="AF208" i="36"/>
  <c r="AF101" i="36"/>
  <c r="AF98" i="36"/>
  <c r="AF224" i="36"/>
  <c r="AF97" i="36"/>
  <c r="AF104" i="36"/>
  <c r="AF182" i="36"/>
  <c r="AF328" i="36"/>
  <c r="AF330" i="36"/>
  <c r="AF274" i="36"/>
  <c r="AF332" i="36"/>
  <c r="AF312" i="36"/>
  <c r="AF337" i="36"/>
  <c r="AF161" i="36"/>
  <c r="AF327" i="36"/>
  <c r="AF265" i="36"/>
  <c r="AF271" i="36"/>
  <c r="AF341" i="36"/>
  <c r="AF325" i="36"/>
  <c r="AF344" i="36"/>
  <c r="AF342" i="36"/>
  <c r="AF338" i="36"/>
  <c r="AF345" i="36"/>
  <c r="AF88" i="36"/>
  <c r="AF38" i="36"/>
  <c r="AF348" i="36"/>
  <c r="AF316" i="36"/>
  <c r="AF340" i="36"/>
  <c r="AF349" i="36"/>
  <c r="AF190" i="36"/>
  <c r="AF269" i="36"/>
  <c r="AF352" i="36"/>
  <c r="AF307" i="36"/>
  <c r="AF253" i="36"/>
  <c r="AF153" i="36"/>
  <c r="AF284" i="36"/>
  <c r="AF354" i="36"/>
  <c r="AF262" i="36"/>
  <c r="AF287" i="36"/>
  <c r="AF347" i="36"/>
  <c r="AF353" i="36"/>
  <c r="AF359" i="36"/>
  <c r="AF303" i="36"/>
  <c r="AF336" i="36"/>
  <c r="AF357" i="36"/>
  <c r="AF309" i="36"/>
  <c r="AF331" i="36"/>
  <c r="AF358" i="36"/>
  <c r="AF367" i="36"/>
  <c r="AF368" i="36"/>
  <c r="AF365" i="36"/>
  <c r="AF374" i="36"/>
  <c r="AF380" i="36"/>
  <c r="AF77" i="36"/>
  <c r="AF372" i="36"/>
  <c r="AF364" i="36"/>
  <c r="AF252" i="36"/>
  <c r="AF302" i="36"/>
  <c r="AF329" i="36"/>
  <c r="AF378" i="36"/>
  <c r="AF370" i="36"/>
  <c r="AF379" i="36"/>
  <c r="AF369" i="36"/>
  <c r="AF395" i="36"/>
  <c r="AF387" i="36"/>
  <c r="AF100" i="36"/>
  <c r="AF293" i="36"/>
  <c r="AF376" i="36"/>
  <c r="AF231" i="36"/>
  <c r="AF351" i="36"/>
  <c r="AF394" i="36"/>
  <c r="AF404" i="36"/>
  <c r="AF415" i="36"/>
  <c r="AF326" i="36"/>
  <c r="AF416" i="36"/>
  <c r="AF121" i="36"/>
  <c r="AF288" i="36"/>
  <c r="AF414" i="36"/>
  <c r="AF393" i="36"/>
  <c r="AF397" i="36"/>
  <c r="AF419" i="36"/>
  <c r="AF418" i="36"/>
  <c r="AF420" i="36"/>
  <c r="AF137" i="36"/>
  <c r="AF346" i="36"/>
  <c r="AF384" i="36"/>
  <c r="AF371" i="36"/>
  <c r="AF392" i="36"/>
  <c r="AF362" i="36"/>
  <c r="AF422" i="36"/>
  <c r="AF350" i="36"/>
  <c r="AF417" i="36"/>
  <c r="AF301" i="36"/>
  <c r="AF339" i="36"/>
  <c r="AF382" i="36"/>
  <c r="AF426" i="36"/>
  <c r="AF391" i="36"/>
  <c r="AF390" i="36"/>
  <c r="AF381" i="36"/>
  <c r="AF355" i="36"/>
  <c r="AF333" i="36"/>
  <c r="AF423" i="36"/>
  <c r="AF424" i="36"/>
  <c r="AF296" i="36"/>
  <c r="AF437" i="36"/>
  <c r="AF324" i="36"/>
  <c r="AF427" i="36"/>
  <c r="AF438" i="36"/>
  <c r="AF363" i="36"/>
  <c r="AF323" i="36"/>
  <c r="AF246" i="36"/>
  <c r="AF244" i="36"/>
  <c r="AF430" i="36"/>
  <c r="AF425" i="36"/>
  <c r="AF68" i="36"/>
  <c r="AF201" i="36"/>
  <c r="AF375" i="36"/>
  <c r="AF435" i="36"/>
  <c r="AF305" i="36"/>
  <c r="AF360" i="36"/>
  <c r="AF200" i="36"/>
  <c r="AF202" i="36"/>
  <c r="AF441" i="36"/>
  <c r="AF361" i="36"/>
  <c r="AF405" i="36"/>
  <c r="AF450" i="36"/>
  <c r="AF436" i="36"/>
  <c r="AF445" i="36"/>
  <c r="AF446" i="36"/>
  <c r="AF286" i="36"/>
  <c r="AF428" i="36"/>
  <c r="AF389" i="36"/>
  <c r="AF285" i="36"/>
  <c r="AF388" i="36"/>
  <c r="AF454" i="36"/>
  <c r="AF431" i="36"/>
  <c r="AF385" i="36"/>
  <c r="AF432" i="36"/>
  <c r="AF433" i="36"/>
  <c r="AF458" i="36"/>
  <c r="AF434" i="36"/>
  <c r="AF108" i="36"/>
  <c r="AF442" i="36"/>
  <c r="AF453" i="36"/>
  <c r="AF443" i="36"/>
  <c r="AF386" i="36"/>
  <c r="AF468" i="36"/>
  <c r="AF459" i="36"/>
  <c r="AF460" i="36"/>
  <c r="AF448" i="36"/>
  <c r="AF467" i="36"/>
  <c r="AF469" i="36"/>
  <c r="AF452" i="36"/>
  <c r="AF399" i="36"/>
  <c r="AF138" i="36"/>
  <c r="AF421" i="36"/>
  <c r="AF343" i="36"/>
  <c r="AF464" i="36"/>
  <c r="AF439" i="36"/>
  <c r="AF440" i="36"/>
  <c r="AF383" i="36"/>
  <c r="AF429" i="36"/>
  <c r="AF444" i="36"/>
  <c r="AF474" i="36"/>
  <c r="AF473" i="36"/>
  <c r="AF377" i="36"/>
  <c r="AF471" i="36"/>
  <c r="AF396" i="36"/>
  <c r="AF406" i="36"/>
  <c r="AF308" i="36"/>
  <c r="AF373" i="36"/>
  <c r="AF477" i="36"/>
  <c r="AF478" i="36"/>
  <c r="AF402" i="36"/>
  <c r="AF479" i="36"/>
  <c r="AF451" i="36"/>
  <c r="AF198" i="36"/>
  <c r="AF483" i="36"/>
  <c r="AF480" i="36"/>
  <c r="AF482" i="36"/>
  <c r="AF465" i="36"/>
  <c r="AF449" i="36"/>
  <c r="AF484" i="36"/>
  <c r="AF466" i="36"/>
  <c r="AF398" i="36"/>
  <c r="AF334" i="36"/>
  <c r="AF488" i="36"/>
  <c r="AF489" i="36"/>
  <c r="AF407" i="36"/>
  <c r="AF476" i="36"/>
  <c r="AF490" i="36"/>
  <c r="AF486" i="36"/>
  <c r="AF366" i="36"/>
  <c r="AF475" i="36"/>
  <c r="AF493" i="36"/>
  <c r="AF289" i="36"/>
  <c r="AF498" i="36"/>
  <c r="AF491" i="36"/>
  <c r="AF501" i="36"/>
  <c r="AF485" i="36"/>
  <c r="AF403" i="36"/>
  <c r="AF356" i="36"/>
  <c r="AF461" i="36"/>
  <c r="AF408" i="36"/>
  <c r="AF470" i="36"/>
  <c r="AF499" i="36"/>
  <c r="AF502" i="36"/>
  <c r="AF447" i="36"/>
  <c r="AF503" i="36"/>
  <c r="AF496" i="36"/>
  <c r="AF500" i="36"/>
  <c r="AF456" i="36"/>
  <c r="AF472" i="36"/>
  <c r="AF290" i="36"/>
  <c r="AF509" i="36"/>
  <c r="AF409" i="36"/>
  <c r="AF504" i="36"/>
  <c r="AF494" i="36"/>
  <c r="AF507" i="36"/>
  <c r="AF508" i="36"/>
  <c r="AF505" i="36"/>
  <c r="AF462" i="36"/>
  <c r="AF510" i="36"/>
  <c r="AF457" i="36"/>
  <c r="AF335" i="36"/>
  <c r="AF506" i="36"/>
  <c r="AF410" i="36"/>
  <c r="AF411" i="36"/>
  <c r="AF512" i="36"/>
  <c r="AF487" i="36"/>
  <c r="AF463" i="36"/>
  <c r="AF497" i="36"/>
  <c r="AF481" i="36"/>
  <c r="AF400" i="36"/>
  <c r="AF516" i="36"/>
  <c r="AF495" i="36"/>
  <c r="AF511" i="36"/>
  <c r="AF514" i="36"/>
  <c r="AF492" i="36"/>
  <c r="AF412" i="36"/>
  <c r="AF455" i="36"/>
  <c r="AF401" i="36"/>
  <c r="AF513" i="36"/>
  <c r="AF515" i="36"/>
  <c r="AF413" i="36"/>
  <c r="AF521" i="36"/>
  <c r="AF526" i="36"/>
  <c r="AF527" i="36"/>
  <c r="AF528" i="36"/>
  <c r="AF529" i="36"/>
  <c r="AF530" i="36"/>
  <c r="AF531" i="36"/>
  <c r="AF532" i="36"/>
  <c r="AF533" i="36"/>
  <c r="AF534" i="36"/>
  <c r="AF535" i="36"/>
  <c r="AF520" i="36"/>
  <c r="AF522" i="36"/>
  <c r="AF536" i="36"/>
  <c r="AF518" i="36"/>
  <c r="AF537" i="36"/>
  <c r="AF538" i="36"/>
  <c r="AF539" i="36"/>
  <c r="AF540" i="36"/>
  <c r="AF541" i="36"/>
  <c r="AF542" i="36"/>
  <c r="AF523" i="36"/>
  <c r="AF543" i="36"/>
  <c r="AF544" i="36"/>
  <c r="AF517" i="36"/>
  <c r="AF545" i="36"/>
  <c r="AF546" i="36"/>
  <c r="AF547" i="36"/>
  <c r="AF548" i="36"/>
  <c r="AF549" i="36"/>
  <c r="AF550" i="36"/>
  <c r="AF551" i="36"/>
  <c r="AF552" i="36"/>
  <c r="AF524" i="36"/>
  <c r="AF553" i="36"/>
  <c r="AF554" i="36"/>
  <c r="AF555" i="36"/>
  <c r="AF556" i="36"/>
  <c r="AF557" i="36"/>
  <c r="AF558" i="36"/>
  <c r="AF559" i="36"/>
  <c r="AF560" i="36"/>
  <c r="AF561" i="36"/>
  <c r="AF519" i="36"/>
  <c r="AF562" i="36"/>
  <c r="AF563" i="36"/>
  <c r="AF566" i="36"/>
  <c r="AF572" i="36"/>
  <c r="AF565" i="36"/>
  <c r="AF567" i="36"/>
  <c r="AF564" i="36"/>
  <c r="AF570" i="36"/>
  <c r="AF571" i="36"/>
  <c r="AF573" i="36"/>
  <c r="AF574" i="36"/>
  <c r="AF568" i="36"/>
  <c r="AF569" i="36"/>
  <c r="AF6" i="36"/>
  <c r="N3" i="35" l="1"/>
  <c r="N4" i="35"/>
  <c r="N5" i="35"/>
  <c r="N6" i="35"/>
  <c r="N7" i="35"/>
  <c r="N8" i="35"/>
  <c r="N9" i="35"/>
  <c r="N10" i="35"/>
  <c r="N11" i="35"/>
  <c r="N2" i="35"/>
  <c r="X131" i="35" l="1"/>
  <c r="X130" i="35"/>
  <c r="X129" i="35"/>
  <c r="X128" i="35"/>
  <c r="X127" i="35"/>
  <c r="X126" i="35"/>
  <c r="X125" i="35"/>
  <c r="X124" i="35"/>
  <c r="X123" i="35"/>
  <c r="X122" i="35"/>
  <c r="X121" i="35"/>
  <c r="X120" i="35"/>
  <c r="X119" i="35"/>
  <c r="X118" i="35"/>
  <c r="X117" i="35"/>
  <c r="X116" i="35"/>
  <c r="X115" i="35"/>
  <c r="X114" i="35"/>
  <c r="X113" i="35"/>
  <c r="X112" i="35"/>
  <c r="X111" i="35"/>
  <c r="X110" i="35"/>
  <c r="X109" i="35"/>
  <c r="X108" i="35"/>
  <c r="X107" i="35"/>
  <c r="X106" i="35"/>
  <c r="X105" i="35"/>
  <c r="X104" i="35"/>
  <c r="X103" i="35"/>
  <c r="X102" i="35"/>
  <c r="X101" i="35"/>
  <c r="X100" i="35"/>
  <c r="X99" i="35"/>
  <c r="X98" i="35"/>
  <c r="X97" i="35"/>
  <c r="X96" i="35"/>
  <c r="X95" i="35"/>
  <c r="X94" i="35"/>
  <c r="X93" i="35"/>
  <c r="X92" i="35"/>
  <c r="X91" i="35"/>
  <c r="X90" i="35"/>
  <c r="X89" i="35"/>
  <c r="X88" i="35"/>
  <c r="X87" i="35"/>
  <c r="X86" i="35"/>
  <c r="X85" i="35"/>
  <c r="X84" i="35"/>
  <c r="X83" i="35"/>
  <c r="X82" i="35"/>
  <c r="X81" i="35"/>
  <c r="X80" i="35"/>
  <c r="X79" i="35"/>
  <c r="X78" i="35"/>
  <c r="X77" i="35"/>
  <c r="X76" i="35"/>
  <c r="X75" i="35"/>
  <c r="X74" i="35"/>
  <c r="X73" i="35"/>
  <c r="X72" i="35"/>
  <c r="X71" i="35"/>
  <c r="X70" i="35"/>
  <c r="X69" i="35"/>
  <c r="X68" i="35"/>
  <c r="X67" i="35"/>
  <c r="X66" i="35"/>
  <c r="X65" i="35"/>
  <c r="X64" i="35"/>
  <c r="X63" i="35"/>
  <c r="X62" i="35"/>
  <c r="X61" i="35"/>
  <c r="X60" i="35"/>
  <c r="X59" i="35"/>
  <c r="X58" i="35"/>
  <c r="X57" i="35"/>
  <c r="X56" i="35"/>
  <c r="X55" i="35"/>
  <c r="X54" i="35"/>
  <c r="X53" i="35"/>
  <c r="X52" i="35"/>
  <c r="X51" i="35"/>
  <c r="X50" i="35"/>
  <c r="X49" i="35"/>
  <c r="X48" i="35"/>
  <c r="X47" i="35"/>
  <c r="X46" i="35"/>
  <c r="X45" i="35"/>
  <c r="X44" i="35"/>
  <c r="X43" i="35"/>
  <c r="X42" i="35"/>
  <c r="X41" i="35"/>
  <c r="X40" i="35"/>
  <c r="X39" i="35"/>
  <c r="X38" i="35"/>
  <c r="X37" i="35"/>
  <c r="X36" i="35"/>
  <c r="X35" i="35"/>
  <c r="X34" i="35"/>
  <c r="X33" i="35"/>
  <c r="X32" i="35"/>
  <c r="X31" i="35"/>
  <c r="X30" i="35"/>
  <c r="X29" i="35"/>
  <c r="X28" i="35"/>
  <c r="X27" i="35"/>
  <c r="X26" i="35"/>
  <c r="X25" i="35"/>
  <c r="X24" i="35"/>
  <c r="X23" i="35"/>
  <c r="X22" i="35"/>
  <c r="X21" i="35"/>
  <c r="X20" i="35"/>
  <c r="X19" i="35"/>
  <c r="X18" i="35"/>
  <c r="X17" i="35"/>
  <c r="X16" i="35"/>
  <c r="X15" i="35"/>
  <c r="X14" i="35"/>
  <c r="X13" i="35"/>
  <c r="X12" i="35"/>
  <c r="X11" i="35"/>
  <c r="X10" i="35"/>
  <c r="X9" i="35"/>
  <c r="X8" i="35"/>
  <c r="X7" i="35"/>
  <c r="X6" i="35"/>
  <c r="X5" i="35"/>
  <c r="X4" i="35"/>
  <c r="X3" i="35"/>
  <c r="X2" i="35"/>
  <c r="S2" i="35"/>
  <c r="I4" i="35"/>
  <c r="I5" i="35"/>
  <c r="I6" i="35"/>
  <c r="I7" i="35"/>
  <c r="I8" i="35"/>
  <c r="I9" i="35"/>
  <c r="I3" i="35"/>
  <c r="H4" i="35"/>
  <c r="H5" i="35"/>
  <c r="H6" i="35"/>
  <c r="H7" i="35"/>
  <c r="H8" i="35"/>
  <c r="H9" i="35"/>
  <c r="H3" i="35"/>
  <c r="Q15" i="35"/>
  <c r="Q28" i="35" s="1"/>
  <c r="Q41" i="35" s="1"/>
  <c r="Q54" i="35" s="1"/>
  <c r="Q67" i="35" s="1"/>
  <c r="Q80" i="35" s="1"/>
  <c r="Q93" i="35" s="1"/>
  <c r="Q106" i="35" s="1"/>
  <c r="Q119" i="35" s="1"/>
  <c r="Q3" i="35"/>
  <c r="Q4" i="35" s="1"/>
  <c r="P28" i="35"/>
  <c r="P41" i="35" s="1"/>
  <c r="P15" i="35"/>
  <c r="S15" i="35" s="1"/>
  <c r="P3" i="35"/>
  <c r="P4" i="35" s="1"/>
  <c r="G11" i="35"/>
  <c r="H11" i="35" s="1"/>
  <c r="G12" i="35"/>
  <c r="I12" i="35" s="1"/>
  <c r="G13" i="35"/>
  <c r="I13" i="35" s="1"/>
  <c r="G14" i="35"/>
  <c r="I14" i="35" s="1"/>
  <c r="G15" i="35"/>
  <c r="H15" i="35" s="1"/>
  <c r="G16" i="35"/>
  <c r="I16" i="35" s="1"/>
  <c r="G17" i="35"/>
  <c r="I17" i="35" s="1"/>
  <c r="G19" i="35"/>
  <c r="H19" i="35" s="1"/>
  <c r="G20" i="35"/>
  <c r="I20" i="35" s="1"/>
  <c r="G21" i="35"/>
  <c r="I21" i="35" s="1"/>
  <c r="G22" i="35"/>
  <c r="I22" i="35" s="1"/>
  <c r="G23" i="35"/>
  <c r="H23" i="35" s="1"/>
  <c r="G24" i="35"/>
  <c r="I24" i="35" s="1"/>
  <c r="G25" i="35"/>
  <c r="I25" i="35" s="1"/>
  <c r="G27" i="35"/>
  <c r="H27" i="35" s="1"/>
  <c r="G28" i="35"/>
  <c r="I28" i="35" s="1"/>
  <c r="G29" i="35"/>
  <c r="I29" i="35" s="1"/>
  <c r="G30" i="35"/>
  <c r="I30" i="35" s="1"/>
  <c r="G31" i="35"/>
  <c r="H31" i="35" s="1"/>
  <c r="G32" i="35"/>
  <c r="I32" i="35" s="1"/>
  <c r="G33" i="35"/>
  <c r="I33" i="35" s="1"/>
  <c r="G35" i="35"/>
  <c r="H35" i="35" s="1"/>
  <c r="G36" i="35"/>
  <c r="I36" i="35" s="1"/>
  <c r="G37" i="35"/>
  <c r="I37" i="35" s="1"/>
  <c r="G38" i="35"/>
  <c r="I38" i="35" s="1"/>
  <c r="G39" i="35"/>
  <c r="H39" i="35" s="1"/>
  <c r="G40" i="35"/>
  <c r="I40" i="35" s="1"/>
  <c r="G41" i="35"/>
  <c r="I41" i="35" s="1"/>
  <c r="G43" i="35"/>
  <c r="H43" i="35" s="1"/>
  <c r="G44" i="35"/>
  <c r="I44" i="35" s="1"/>
  <c r="G45" i="35"/>
  <c r="I45" i="35" s="1"/>
  <c r="G46" i="35"/>
  <c r="I46" i="35" s="1"/>
  <c r="G47" i="35"/>
  <c r="H47" i="35" s="1"/>
  <c r="G48" i="35"/>
  <c r="I48" i="35" s="1"/>
  <c r="G49" i="35"/>
  <c r="I49" i="35" s="1"/>
  <c r="G51" i="35"/>
  <c r="H51" i="35" s="1"/>
  <c r="G52" i="35"/>
  <c r="I52" i="35" s="1"/>
  <c r="G53" i="35"/>
  <c r="I53" i="35" s="1"/>
  <c r="G54" i="35"/>
  <c r="I54" i="35" s="1"/>
  <c r="G55" i="35"/>
  <c r="H55" i="35" s="1"/>
  <c r="G56" i="35"/>
  <c r="I56" i="35" s="1"/>
  <c r="G57" i="35"/>
  <c r="I57" i="35" s="1"/>
  <c r="G59" i="35"/>
  <c r="H59" i="35" s="1"/>
  <c r="G60" i="35"/>
  <c r="I60" i="35" s="1"/>
  <c r="G61" i="35"/>
  <c r="I61" i="35" s="1"/>
  <c r="G62" i="35"/>
  <c r="I62" i="35" s="1"/>
  <c r="G63" i="35"/>
  <c r="H63" i="35" s="1"/>
  <c r="G64" i="35"/>
  <c r="I64" i="35" s="1"/>
  <c r="G65" i="35"/>
  <c r="I65" i="35" s="1"/>
  <c r="G67" i="35"/>
  <c r="H67" i="35" s="1"/>
  <c r="G68" i="35"/>
  <c r="I68" i="35" s="1"/>
  <c r="G69" i="35"/>
  <c r="I69" i="35" s="1"/>
  <c r="G70" i="35"/>
  <c r="I70" i="35" s="1"/>
  <c r="G71" i="35"/>
  <c r="H71" i="35" s="1"/>
  <c r="G72" i="35"/>
  <c r="I72" i="35" s="1"/>
  <c r="G73" i="35"/>
  <c r="I73" i="35" s="1"/>
  <c r="G75" i="35"/>
  <c r="H75" i="35" s="1"/>
  <c r="G76" i="35"/>
  <c r="I76" i="35" s="1"/>
  <c r="G77" i="35"/>
  <c r="I77" i="35" s="1"/>
  <c r="G78" i="35"/>
  <c r="I78" i="35" s="1"/>
  <c r="G79" i="35"/>
  <c r="H79" i="35" s="1"/>
  <c r="G80" i="35"/>
  <c r="I80" i="35" s="1"/>
  <c r="G81" i="35"/>
  <c r="I81" i="35" s="1"/>
  <c r="G83" i="35"/>
  <c r="H83" i="35" s="1"/>
  <c r="G84" i="35"/>
  <c r="I84" i="35" s="1"/>
  <c r="G85" i="35"/>
  <c r="I85" i="35" s="1"/>
  <c r="G86" i="35"/>
  <c r="I86" i="35" s="1"/>
  <c r="G87" i="35"/>
  <c r="H87" i="35" s="1"/>
  <c r="G88" i="35"/>
  <c r="I88" i="35" s="1"/>
  <c r="G89" i="35"/>
  <c r="I89" i="35" s="1"/>
  <c r="G91" i="35"/>
  <c r="H91" i="35" s="1"/>
  <c r="G92" i="35"/>
  <c r="I92" i="35" s="1"/>
  <c r="G93" i="35"/>
  <c r="I93" i="35" s="1"/>
  <c r="G94" i="35"/>
  <c r="I94" i="35" s="1"/>
  <c r="G95" i="35"/>
  <c r="H95" i="35" s="1"/>
  <c r="G96" i="35"/>
  <c r="I96" i="35" s="1"/>
  <c r="G97" i="35"/>
  <c r="I97" i="35" s="1"/>
  <c r="G99" i="35"/>
  <c r="H99" i="35" s="1"/>
  <c r="G100" i="35"/>
  <c r="I100" i="35" s="1"/>
  <c r="G101" i="35"/>
  <c r="I101" i="35" s="1"/>
  <c r="G102" i="35"/>
  <c r="I102" i="35" s="1"/>
  <c r="G103" i="35"/>
  <c r="H103" i="35" s="1"/>
  <c r="G10" i="35"/>
  <c r="G18" i="35" s="1"/>
  <c r="S3" i="34"/>
  <c r="S4" i="34"/>
  <c r="S5" i="34"/>
  <c r="S6" i="34"/>
  <c r="S7" i="34"/>
  <c r="S8" i="34"/>
  <c r="S9" i="34"/>
  <c r="S10" i="34"/>
  <c r="S11" i="34"/>
  <c r="S12" i="34"/>
  <c r="T12" i="34" s="1"/>
  <c r="S13" i="34"/>
  <c r="S14" i="34"/>
  <c r="S15" i="34"/>
  <c r="S16" i="34"/>
  <c r="S17" i="34"/>
  <c r="S18" i="34"/>
  <c r="S19" i="34"/>
  <c r="S20" i="34"/>
  <c r="S21" i="34"/>
  <c r="S22" i="34"/>
  <c r="S23" i="34"/>
  <c r="S24" i="34"/>
  <c r="S25" i="34"/>
  <c r="S26" i="34"/>
  <c r="S27" i="34"/>
  <c r="S28" i="34"/>
  <c r="S29" i="34"/>
  <c r="S30" i="34"/>
  <c r="S31" i="34"/>
  <c r="S32" i="34"/>
  <c r="S33" i="34"/>
  <c r="S34" i="34"/>
  <c r="S35" i="34"/>
  <c r="S36" i="34"/>
  <c r="S37" i="34"/>
  <c r="S38" i="34"/>
  <c r="S39" i="34"/>
  <c r="S40" i="34"/>
  <c r="S41" i="34"/>
  <c r="S42" i="34"/>
  <c r="S43" i="34"/>
  <c r="S44" i="34"/>
  <c r="S45" i="34"/>
  <c r="S46" i="34"/>
  <c r="S47" i="34"/>
  <c r="S48" i="34"/>
  <c r="S49" i="34"/>
  <c r="S50" i="34"/>
  <c r="S51" i="34"/>
  <c r="S52" i="34"/>
  <c r="S53" i="34"/>
  <c r="S54" i="34"/>
  <c r="S55" i="34"/>
  <c r="S56" i="34"/>
  <c r="S57" i="34"/>
  <c r="S58" i="34"/>
  <c r="S59" i="34"/>
  <c r="S60" i="34"/>
  <c r="S61" i="34"/>
  <c r="S62" i="34"/>
  <c r="S63" i="34"/>
  <c r="S64" i="34"/>
  <c r="S65" i="34"/>
  <c r="S66" i="34"/>
  <c r="S67" i="34"/>
  <c r="S68" i="34"/>
  <c r="S69" i="34"/>
  <c r="S70" i="34"/>
  <c r="S71" i="34"/>
  <c r="S72" i="34"/>
  <c r="S73" i="34"/>
  <c r="S74" i="34"/>
  <c r="S75" i="34"/>
  <c r="S76" i="34"/>
  <c r="S77" i="34"/>
  <c r="S78" i="34"/>
  <c r="S79" i="34"/>
  <c r="S80" i="34"/>
  <c r="S81" i="34"/>
  <c r="S82" i="34"/>
  <c r="S83" i="34"/>
  <c r="S84" i="34"/>
  <c r="S85" i="34"/>
  <c r="S86" i="34"/>
  <c r="S87" i="34"/>
  <c r="S88" i="34"/>
  <c r="S89" i="34"/>
  <c r="S90" i="34"/>
  <c r="S91" i="34"/>
  <c r="S92" i="34"/>
  <c r="S93" i="34"/>
  <c r="S94" i="34"/>
  <c r="S95" i="34"/>
  <c r="S96" i="34"/>
  <c r="S97" i="34"/>
  <c r="S98" i="34"/>
  <c r="S99" i="34"/>
  <c r="S100" i="34"/>
  <c r="S101" i="34"/>
  <c r="S102" i="34"/>
  <c r="S103" i="34"/>
  <c r="S104" i="34"/>
  <c r="S105" i="34"/>
  <c r="S106" i="34"/>
  <c r="S107" i="34"/>
  <c r="S108" i="34"/>
  <c r="S109" i="34"/>
  <c r="S110" i="34"/>
  <c r="S111" i="34"/>
  <c r="S112" i="34"/>
  <c r="S113" i="34"/>
  <c r="S114" i="34"/>
  <c r="S115" i="34"/>
  <c r="S116" i="34"/>
  <c r="S117" i="34"/>
  <c r="S118" i="34"/>
  <c r="S119" i="34"/>
  <c r="S120" i="34"/>
  <c r="S121" i="34"/>
  <c r="S122" i="34"/>
  <c r="S123" i="34"/>
  <c r="S124" i="34"/>
  <c r="S125" i="34"/>
  <c r="S126" i="34"/>
  <c r="S127" i="34"/>
  <c r="S128" i="34"/>
  <c r="S129" i="34"/>
  <c r="S130" i="34"/>
  <c r="S131" i="34"/>
  <c r="S132" i="34"/>
  <c r="S133" i="34"/>
  <c r="S134" i="34"/>
  <c r="S135" i="34"/>
  <c r="S136" i="34"/>
  <c r="S137" i="34"/>
  <c r="S138" i="34"/>
  <c r="S139" i="34"/>
  <c r="S140" i="34"/>
  <c r="S141" i="34"/>
  <c r="S142" i="34"/>
  <c r="S143" i="34"/>
  <c r="S144" i="34"/>
  <c r="S145" i="34"/>
  <c r="S146" i="34"/>
  <c r="S147" i="34"/>
  <c r="S148" i="34"/>
  <c r="S149" i="34"/>
  <c r="S150" i="34"/>
  <c r="S151" i="34"/>
  <c r="S2" i="34"/>
  <c r="Q13" i="34"/>
  <c r="Q14" i="34" s="1"/>
  <c r="Q15" i="34" s="1"/>
  <c r="Q16" i="34" s="1"/>
  <c r="Q17" i="34" s="1"/>
  <c r="G26" i="35" l="1"/>
  <c r="I18" i="35"/>
  <c r="H18" i="35"/>
  <c r="S41" i="35"/>
  <c r="P54" i="35"/>
  <c r="Q5" i="35"/>
  <c r="Q17" i="35"/>
  <c r="Q30" i="35" s="1"/>
  <c r="Q43" i="35" s="1"/>
  <c r="Q56" i="35" s="1"/>
  <c r="Q69" i="35" s="1"/>
  <c r="Q82" i="35" s="1"/>
  <c r="Q95" i="35" s="1"/>
  <c r="Q108" i="35" s="1"/>
  <c r="Q121" i="35" s="1"/>
  <c r="P5" i="35"/>
  <c r="S4" i="35"/>
  <c r="P17" i="35"/>
  <c r="T14" i="34"/>
  <c r="H102" i="35"/>
  <c r="H94" i="35"/>
  <c r="H86" i="35"/>
  <c r="H78" i="35"/>
  <c r="H70" i="35"/>
  <c r="H62" i="35"/>
  <c r="H54" i="35"/>
  <c r="H46" i="35"/>
  <c r="H38" i="35"/>
  <c r="H30" i="35"/>
  <c r="H22" i="35"/>
  <c r="H14" i="35"/>
  <c r="H10" i="35"/>
  <c r="I103" i="35"/>
  <c r="I99" i="35"/>
  <c r="I95" i="35"/>
  <c r="I91" i="35"/>
  <c r="I87" i="35"/>
  <c r="I83" i="35"/>
  <c r="I79" i="35"/>
  <c r="I75" i="35"/>
  <c r="I71" i="35"/>
  <c r="I67" i="35"/>
  <c r="I63" i="35"/>
  <c r="I59" i="35"/>
  <c r="I55" i="35"/>
  <c r="I51" i="35"/>
  <c r="I47" i="35"/>
  <c r="I43" i="35"/>
  <c r="I39" i="35"/>
  <c r="I35" i="35"/>
  <c r="I31" i="35"/>
  <c r="I27" i="35"/>
  <c r="I23" i="35"/>
  <c r="I19" i="35"/>
  <c r="I15" i="35"/>
  <c r="I11" i="35"/>
  <c r="S28" i="35"/>
  <c r="P16" i="35"/>
  <c r="Q16" i="35"/>
  <c r="Q29" i="35" s="1"/>
  <c r="Q42" i="35" s="1"/>
  <c r="Q55" i="35" s="1"/>
  <c r="Q68" i="35" s="1"/>
  <c r="Q81" i="35" s="1"/>
  <c r="Q94" i="35" s="1"/>
  <c r="Q107" i="35" s="1"/>
  <c r="Q120" i="35" s="1"/>
  <c r="H101" i="35"/>
  <c r="H97" i="35"/>
  <c r="H93" i="35"/>
  <c r="H89" i="35"/>
  <c r="H85" i="35"/>
  <c r="H81" i="35"/>
  <c r="H77" i="35"/>
  <c r="H73" i="35"/>
  <c r="H69" i="35"/>
  <c r="H65" i="35"/>
  <c r="H61" i="35"/>
  <c r="H57" i="35"/>
  <c r="H53" i="35"/>
  <c r="H49" i="35"/>
  <c r="H45" i="35"/>
  <c r="H41" i="35"/>
  <c r="H37" i="35"/>
  <c r="H33" i="35"/>
  <c r="H29" i="35"/>
  <c r="H25" i="35"/>
  <c r="H21" i="35"/>
  <c r="H17" i="35"/>
  <c r="H13" i="35"/>
  <c r="I10" i="35"/>
  <c r="S3" i="35"/>
  <c r="H100" i="35"/>
  <c r="H96" i="35"/>
  <c r="H92" i="35"/>
  <c r="H88" i="35"/>
  <c r="H84" i="35"/>
  <c r="H80" i="35"/>
  <c r="H76" i="35"/>
  <c r="H72" i="35"/>
  <c r="H68" i="35"/>
  <c r="H64" i="35"/>
  <c r="H60" i="35"/>
  <c r="H56" i="35"/>
  <c r="H52" i="35"/>
  <c r="H48" i="35"/>
  <c r="H44" i="35"/>
  <c r="H40" i="35"/>
  <c r="H36" i="35"/>
  <c r="H32" i="35"/>
  <c r="H28" i="35"/>
  <c r="H24" i="35"/>
  <c r="H20" i="35"/>
  <c r="H16" i="35"/>
  <c r="H12" i="35"/>
  <c r="T13" i="34"/>
  <c r="T15" i="34"/>
  <c r="T16" i="34"/>
  <c r="Q18" i="34"/>
  <c r="T17" i="34"/>
  <c r="X2" i="12"/>
  <c r="H102" i="34"/>
  <c r="H103" i="34"/>
  <c r="H104" i="34"/>
  <c r="H105" i="34"/>
  <c r="H106" i="34"/>
  <c r="H107" i="34"/>
  <c r="H108" i="34"/>
  <c r="H109" i="34"/>
  <c r="H110" i="34"/>
  <c r="H111" i="34"/>
  <c r="H112" i="34"/>
  <c r="H113" i="34"/>
  <c r="H114" i="34"/>
  <c r="H115" i="34"/>
  <c r="H116" i="34"/>
  <c r="H117" i="34"/>
  <c r="H118" i="34"/>
  <c r="H119" i="34"/>
  <c r="H120" i="34"/>
  <c r="H121" i="34"/>
  <c r="H122" i="34"/>
  <c r="H123" i="34"/>
  <c r="H124" i="34"/>
  <c r="H125" i="34"/>
  <c r="H126" i="34"/>
  <c r="H127" i="34"/>
  <c r="H128" i="34"/>
  <c r="H129" i="34"/>
  <c r="H130" i="34"/>
  <c r="H131" i="34"/>
  <c r="H132" i="34"/>
  <c r="H133" i="34"/>
  <c r="H134" i="34"/>
  <c r="H135" i="34"/>
  <c r="H136" i="34"/>
  <c r="H137" i="34"/>
  <c r="H138" i="34"/>
  <c r="H139" i="34"/>
  <c r="H140" i="34"/>
  <c r="H141" i="34"/>
  <c r="H142" i="34"/>
  <c r="H143" i="34"/>
  <c r="H144" i="34"/>
  <c r="H145" i="34"/>
  <c r="H146" i="34"/>
  <c r="H147" i="34"/>
  <c r="H148" i="34"/>
  <c r="H149" i="34"/>
  <c r="H150" i="34"/>
  <c r="H151" i="34"/>
  <c r="H152" i="34"/>
  <c r="H153" i="34"/>
  <c r="H154" i="34"/>
  <c r="H155" i="34"/>
  <c r="H156" i="34"/>
  <c r="H157" i="34"/>
  <c r="H158" i="34"/>
  <c r="H159" i="34"/>
  <c r="H160" i="34"/>
  <c r="H161" i="34"/>
  <c r="H162" i="34"/>
  <c r="H163" i="34"/>
  <c r="H164" i="34"/>
  <c r="H165" i="34"/>
  <c r="H166" i="34"/>
  <c r="H167" i="34"/>
  <c r="H168" i="34"/>
  <c r="H169" i="34"/>
  <c r="H170" i="34"/>
  <c r="H171" i="34"/>
  <c r="H172" i="34"/>
  <c r="H173" i="34"/>
  <c r="H174" i="34"/>
  <c r="H175" i="34"/>
  <c r="H176" i="34"/>
  <c r="H177" i="34"/>
  <c r="H178" i="34"/>
  <c r="H179" i="34"/>
  <c r="H180" i="34"/>
  <c r="H181" i="34"/>
  <c r="H182" i="34"/>
  <c r="H183" i="34"/>
  <c r="H184" i="34"/>
  <c r="H185" i="34"/>
  <c r="H186" i="34"/>
  <c r="H187" i="34"/>
  <c r="H188" i="34"/>
  <c r="H189" i="34"/>
  <c r="H190" i="34"/>
  <c r="H191" i="34"/>
  <c r="H192" i="34"/>
  <c r="H193" i="34"/>
  <c r="H194" i="34"/>
  <c r="H195" i="34"/>
  <c r="H196" i="34"/>
  <c r="H197" i="34"/>
  <c r="H198" i="34"/>
  <c r="H199" i="34"/>
  <c r="H200" i="34"/>
  <c r="H201" i="34"/>
  <c r="H202" i="34"/>
  <c r="H203" i="34"/>
  <c r="H204" i="34"/>
  <c r="H205" i="34"/>
  <c r="H206" i="34"/>
  <c r="H207" i="34"/>
  <c r="H208" i="34"/>
  <c r="H209" i="34"/>
  <c r="H210" i="34"/>
  <c r="H211" i="34"/>
  <c r="H212" i="34"/>
  <c r="H213" i="34"/>
  <c r="H214" i="34"/>
  <c r="H215" i="34"/>
  <c r="H216" i="34"/>
  <c r="H217" i="34"/>
  <c r="H218" i="34"/>
  <c r="H219" i="34"/>
  <c r="H220" i="34"/>
  <c r="H221" i="34"/>
  <c r="H222" i="34"/>
  <c r="H223" i="34"/>
  <c r="H224" i="34"/>
  <c r="H225" i="34"/>
  <c r="H226" i="34"/>
  <c r="H227" i="34"/>
  <c r="H228" i="34"/>
  <c r="H229" i="34"/>
  <c r="H230" i="34"/>
  <c r="H231" i="34"/>
  <c r="H232" i="34"/>
  <c r="H233" i="34"/>
  <c r="H234" i="34"/>
  <c r="H235" i="34"/>
  <c r="H236" i="34"/>
  <c r="H237" i="34"/>
  <c r="H238" i="34"/>
  <c r="H239" i="34"/>
  <c r="H240" i="34"/>
  <c r="H241" i="34"/>
  <c r="H242" i="34"/>
  <c r="H243" i="34"/>
  <c r="H244" i="34"/>
  <c r="H245" i="34"/>
  <c r="H246" i="34"/>
  <c r="H247" i="34"/>
  <c r="H248" i="34"/>
  <c r="H249" i="34"/>
  <c r="H250" i="34"/>
  <c r="H251" i="34"/>
  <c r="H252" i="34"/>
  <c r="H253" i="34"/>
  <c r="H254" i="34"/>
  <c r="H255" i="34"/>
  <c r="H256" i="34"/>
  <c r="H257" i="34"/>
  <c r="H258" i="34"/>
  <c r="H259" i="34"/>
  <c r="H260" i="34"/>
  <c r="H261" i="34"/>
  <c r="H262" i="34"/>
  <c r="H263" i="34"/>
  <c r="H264" i="34"/>
  <c r="H265" i="34"/>
  <c r="H266" i="34"/>
  <c r="H267" i="34"/>
  <c r="H268" i="34"/>
  <c r="H269" i="34"/>
  <c r="H270" i="34"/>
  <c r="H271" i="34"/>
  <c r="H272" i="34"/>
  <c r="H273" i="34"/>
  <c r="H274" i="34"/>
  <c r="H275" i="34"/>
  <c r="H276" i="34"/>
  <c r="H277" i="34"/>
  <c r="H278" i="34"/>
  <c r="H279" i="34"/>
  <c r="H280" i="34"/>
  <c r="H281" i="34"/>
  <c r="H282" i="34"/>
  <c r="H283" i="34"/>
  <c r="H284" i="34"/>
  <c r="H285" i="34"/>
  <c r="H286" i="34"/>
  <c r="H287" i="34"/>
  <c r="H288" i="34"/>
  <c r="H289" i="34"/>
  <c r="H290" i="34"/>
  <c r="H291" i="34"/>
  <c r="H292" i="34"/>
  <c r="H293" i="34"/>
  <c r="H294" i="34"/>
  <c r="H295" i="34"/>
  <c r="H296" i="34"/>
  <c r="H297" i="34"/>
  <c r="H298" i="34"/>
  <c r="H299" i="34"/>
  <c r="H300" i="34"/>
  <c r="H301" i="34"/>
  <c r="H101" i="34"/>
  <c r="H12" i="34"/>
  <c r="H13" i="34"/>
  <c r="H14" i="34"/>
  <c r="H15" i="34"/>
  <c r="H16" i="34"/>
  <c r="H17" i="34"/>
  <c r="H18" i="34"/>
  <c r="H19" i="34"/>
  <c r="H20" i="34"/>
  <c r="H21" i="34"/>
  <c r="H22" i="34"/>
  <c r="H23" i="34"/>
  <c r="H24" i="34"/>
  <c r="H25" i="34"/>
  <c r="H26" i="34"/>
  <c r="H27" i="34"/>
  <c r="H28" i="34"/>
  <c r="H29" i="34"/>
  <c r="H30" i="34"/>
  <c r="H31" i="34"/>
  <c r="H32" i="34"/>
  <c r="H33" i="34"/>
  <c r="H34" i="34"/>
  <c r="H35" i="34"/>
  <c r="H36" i="34"/>
  <c r="H37" i="34"/>
  <c r="H38" i="34"/>
  <c r="H39" i="34"/>
  <c r="H40" i="34"/>
  <c r="H41" i="34"/>
  <c r="H42" i="34"/>
  <c r="H43" i="34"/>
  <c r="H44" i="34"/>
  <c r="H45" i="34"/>
  <c r="H46" i="34"/>
  <c r="H47" i="34"/>
  <c r="H48" i="34"/>
  <c r="H49" i="34"/>
  <c r="H50" i="34"/>
  <c r="H51" i="34"/>
  <c r="H52" i="34"/>
  <c r="H53" i="34"/>
  <c r="H54" i="34"/>
  <c r="H55" i="34"/>
  <c r="H56" i="34"/>
  <c r="H57" i="34"/>
  <c r="H58" i="34"/>
  <c r="H59" i="34"/>
  <c r="H60" i="34"/>
  <c r="H61" i="34"/>
  <c r="H62" i="34"/>
  <c r="H63" i="34"/>
  <c r="H64" i="34"/>
  <c r="H65" i="34"/>
  <c r="H66" i="34"/>
  <c r="H67" i="34"/>
  <c r="H68" i="34"/>
  <c r="H69" i="34"/>
  <c r="H70" i="34"/>
  <c r="H71" i="34"/>
  <c r="H72" i="34"/>
  <c r="H73" i="34"/>
  <c r="H74" i="34"/>
  <c r="H75" i="34"/>
  <c r="H76" i="34"/>
  <c r="H77" i="34"/>
  <c r="H78" i="34"/>
  <c r="H79" i="34"/>
  <c r="H80" i="34"/>
  <c r="H81" i="34"/>
  <c r="H82" i="34"/>
  <c r="H83" i="34"/>
  <c r="H84" i="34"/>
  <c r="H85" i="34"/>
  <c r="H86" i="34"/>
  <c r="H87" i="34"/>
  <c r="H88" i="34"/>
  <c r="H89" i="34"/>
  <c r="H90" i="34"/>
  <c r="H91" i="34"/>
  <c r="H92" i="34"/>
  <c r="H93" i="34"/>
  <c r="H94" i="34"/>
  <c r="H95" i="34"/>
  <c r="H96" i="34"/>
  <c r="H97" i="34"/>
  <c r="H98" i="34"/>
  <c r="H99" i="34"/>
  <c r="H100" i="34"/>
  <c r="H11" i="34"/>
  <c r="H3" i="34"/>
  <c r="H4" i="34"/>
  <c r="H5" i="34"/>
  <c r="H6" i="34"/>
  <c r="H7" i="34"/>
  <c r="H8" i="34"/>
  <c r="H9" i="34"/>
  <c r="H10" i="34"/>
  <c r="H2" i="34"/>
  <c r="AA8" i="12" l="1"/>
  <c r="AA46" i="12"/>
  <c r="AA48" i="12"/>
  <c r="AA64" i="12"/>
  <c r="AA75" i="12"/>
  <c r="AA38" i="12"/>
  <c r="AA44" i="12"/>
  <c r="AA79" i="12"/>
  <c r="AA84" i="12"/>
  <c r="AA39" i="12"/>
  <c r="AA126" i="12"/>
  <c r="AA130" i="12"/>
  <c r="AA87" i="12"/>
  <c r="AA98" i="12"/>
  <c r="AA95" i="12"/>
  <c r="AA138" i="12"/>
  <c r="AA190" i="12"/>
  <c r="AA191" i="12"/>
  <c r="AA151" i="12"/>
  <c r="AA171" i="12"/>
  <c r="AA107" i="12"/>
  <c r="AA122" i="12"/>
  <c r="AA174" i="12"/>
  <c r="AA198" i="12"/>
  <c r="AA199" i="12"/>
  <c r="AA197" i="12"/>
  <c r="AA163" i="12"/>
  <c r="AA192" i="12"/>
  <c r="AA236" i="12"/>
  <c r="AA238" i="12"/>
  <c r="AA239" i="12"/>
  <c r="AA240" i="12"/>
  <c r="AA242" i="12"/>
  <c r="AA243" i="12"/>
  <c r="AA210" i="12"/>
  <c r="AA209" i="12"/>
  <c r="AA201" i="12"/>
  <c r="AA251" i="12"/>
  <c r="AA253" i="12"/>
  <c r="AA255" i="12"/>
  <c r="AA257" i="12"/>
  <c r="AA265" i="12"/>
  <c r="AA213" i="12"/>
  <c r="AA250" i="12"/>
  <c r="AA270" i="12"/>
  <c r="AA301" i="12"/>
  <c r="AA220" i="12"/>
  <c r="AA230" i="12"/>
  <c r="AA316" i="12"/>
  <c r="AA368" i="12"/>
  <c r="AA373" i="12"/>
  <c r="AA376" i="12"/>
  <c r="AA378" i="12"/>
  <c r="AA298" i="12"/>
  <c r="AA315" i="12"/>
  <c r="AA337" i="12"/>
  <c r="AA362" i="12"/>
  <c r="AA350" i="12"/>
  <c r="AA397" i="12"/>
  <c r="AA399" i="12"/>
  <c r="AA425" i="12"/>
  <c r="AA314" i="12"/>
  <c r="AA317" i="12"/>
  <c r="AA371" i="12"/>
  <c r="AA396" i="12"/>
  <c r="AA398" i="12"/>
  <c r="AA400" i="12"/>
  <c r="AA416" i="12"/>
  <c r="AA428" i="12"/>
  <c r="AA365" i="12"/>
  <c r="AA470" i="12"/>
  <c r="AA477" i="12"/>
  <c r="AA483" i="12"/>
  <c r="AA485" i="12"/>
  <c r="AA491" i="12"/>
  <c r="AA474" i="12"/>
  <c r="AA464" i="12"/>
  <c r="AA476" i="12"/>
  <c r="AA482" i="12"/>
  <c r="AA492" i="12"/>
  <c r="AA349" i="12"/>
  <c r="AA343" i="12"/>
  <c r="AA319" i="12"/>
  <c r="AA225" i="12"/>
  <c r="AA53" i="12"/>
  <c r="AA43" i="12"/>
  <c r="AA11" i="12"/>
  <c r="AA182" i="12"/>
  <c r="AA181" i="12"/>
  <c r="AA188" i="12"/>
  <c r="AA139" i="12"/>
  <c r="AA170" i="12"/>
  <c r="AA324" i="12"/>
  <c r="AA184" i="12"/>
  <c r="AA309" i="12"/>
  <c r="AA187" i="12"/>
  <c r="AA183" i="12"/>
  <c r="AA313" i="12"/>
  <c r="AA304" i="12"/>
  <c r="AA179" i="12"/>
  <c r="AA148" i="12"/>
  <c r="AA360" i="12"/>
  <c r="AA16" i="12"/>
  <c r="S5" i="35"/>
  <c r="P18" i="35"/>
  <c r="P6" i="35"/>
  <c r="S16" i="35"/>
  <c r="P29" i="35"/>
  <c r="S17" i="35"/>
  <c r="P30" i="35"/>
  <c r="Q18" i="35"/>
  <c r="Q31" i="35" s="1"/>
  <c r="Q44" i="35" s="1"/>
  <c r="Q57" i="35" s="1"/>
  <c r="Q70" i="35" s="1"/>
  <c r="Q83" i="35" s="1"/>
  <c r="Q96" i="35" s="1"/>
  <c r="Q109" i="35" s="1"/>
  <c r="Q122" i="35" s="1"/>
  <c r="Q6" i="35"/>
  <c r="S54" i="35"/>
  <c r="P67" i="35"/>
  <c r="G34" i="35"/>
  <c r="I26" i="35"/>
  <c r="H26" i="35"/>
  <c r="Q19" i="34"/>
  <c r="T18" i="34"/>
  <c r="AL2" i="12"/>
  <c r="G42" i="35" l="1"/>
  <c r="I34" i="35"/>
  <c r="H34" i="35"/>
  <c r="P80" i="35"/>
  <c r="S67" i="35"/>
  <c r="S30" i="35"/>
  <c r="P43" i="35"/>
  <c r="P7" i="35"/>
  <c r="S6" i="35"/>
  <c r="P19" i="35"/>
  <c r="S18" i="35"/>
  <c r="P31" i="35"/>
  <c r="Q7" i="35"/>
  <c r="Q19" i="35"/>
  <c r="Q32" i="35" s="1"/>
  <c r="Q45" i="35" s="1"/>
  <c r="Q58" i="35" s="1"/>
  <c r="Q71" i="35" s="1"/>
  <c r="Q84" i="35" s="1"/>
  <c r="Q97" i="35" s="1"/>
  <c r="Q110" i="35" s="1"/>
  <c r="Q123" i="35" s="1"/>
  <c r="S29" i="35"/>
  <c r="P42" i="35"/>
  <c r="Q20" i="34"/>
  <c r="T19" i="34"/>
  <c r="A87" i="33"/>
  <c r="A88" i="33" s="1"/>
  <c r="A89" i="33" s="1"/>
  <c r="A90" i="33" s="1"/>
  <c r="A91" i="33" s="1"/>
  <c r="A92" i="33" s="1"/>
  <c r="A93" i="33" s="1"/>
  <c r="A94" i="33" s="1"/>
  <c r="A95" i="33" s="1"/>
  <c r="C85" i="33"/>
  <c r="D85" i="33" s="1"/>
  <c r="E85" i="33" s="1"/>
  <c r="F85" i="33" s="1"/>
  <c r="G85" i="33" s="1"/>
  <c r="H85" i="33" s="1"/>
  <c r="I85" i="33" s="1"/>
  <c r="J85" i="33" s="1"/>
  <c r="K85" i="33" s="1"/>
  <c r="A75" i="33"/>
  <c r="C73" i="33"/>
  <c r="D73" i="33" s="1"/>
  <c r="E73" i="33" s="1"/>
  <c r="F73" i="33" s="1"/>
  <c r="G73" i="33" s="1"/>
  <c r="H73" i="33" s="1"/>
  <c r="I73" i="33" s="1"/>
  <c r="J73" i="33" s="1"/>
  <c r="K73" i="33" s="1"/>
  <c r="A63" i="33"/>
  <c r="A64" i="33" s="1"/>
  <c r="C61" i="33"/>
  <c r="D61" i="33" s="1"/>
  <c r="E61" i="33" s="1"/>
  <c r="C49" i="33"/>
  <c r="D49" i="33" s="1"/>
  <c r="E49" i="33" s="1"/>
  <c r="F49" i="33" s="1"/>
  <c r="G49" i="33" s="1"/>
  <c r="H49" i="33" s="1"/>
  <c r="I49" i="33" s="1"/>
  <c r="J49" i="33" s="1"/>
  <c r="K49" i="33" s="1"/>
  <c r="L49" i="33" s="1"/>
  <c r="M49" i="33" s="1"/>
  <c r="N49" i="33" s="1"/>
  <c r="C37" i="33"/>
  <c r="D37" i="33" s="1"/>
  <c r="E37" i="33" s="1"/>
  <c r="F37" i="33" s="1"/>
  <c r="G37" i="33" s="1"/>
  <c r="H37" i="33" s="1"/>
  <c r="I37" i="33" s="1"/>
  <c r="J37" i="33" s="1"/>
  <c r="K37" i="33" s="1"/>
  <c r="L37" i="33" s="1"/>
  <c r="M37" i="33" s="1"/>
  <c r="N37" i="33" s="1"/>
  <c r="C13" i="33"/>
  <c r="D13" i="33" s="1"/>
  <c r="E13" i="33" s="1"/>
  <c r="F13" i="33" s="1"/>
  <c r="G13" i="33" s="1"/>
  <c r="H13" i="33" s="1"/>
  <c r="I13" i="33" s="1"/>
  <c r="J13" i="33" s="1"/>
  <c r="K13" i="33" s="1"/>
  <c r="L13" i="33" s="1"/>
  <c r="M13" i="33" s="1"/>
  <c r="N13" i="33" s="1"/>
  <c r="C1" i="33"/>
  <c r="Q8" i="35" l="1"/>
  <c r="Q20" i="35"/>
  <c r="Q33" i="35" s="1"/>
  <c r="Q46" i="35" s="1"/>
  <c r="Q59" i="35" s="1"/>
  <c r="Q72" i="35" s="1"/>
  <c r="Q85" i="35" s="1"/>
  <c r="Q98" i="35" s="1"/>
  <c r="Q111" i="35" s="1"/>
  <c r="Q124" i="35" s="1"/>
  <c r="G50" i="35"/>
  <c r="I42" i="35"/>
  <c r="H42" i="35"/>
  <c r="P55" i="35"/>
  <c r="S42" i="35"/>
  <c r="P44" i="35"/>
  <c r="S31" i="35"/>
  <c r="P8" i="35"/>
  <c r="S7" i="35"/>
  <c r="P20" i="35"/>
  <c r="P93" i="35"/>
  <c r="S80" i="35"/>
  <c r="P32" i="35"/>
  <c r="S19" i="35"/>
  <c r="P56" i="35"/>
  <c r="S43" i="35"/>
  <c r="Q21" i="34"/>
  <c r="T20" i="34"/>
  <c r="D1" i="33"/>
  <c r="F61" i="33"/>
  <c r="A65" i="33"/>
  <c r="A76" i="33"/>
  <c r="P33" i="35" l="1"/>
  <c r="S20" i="35"/>
  <c r="P57" i="35"/>
  <c r="S44" i="35"/>
  <c r="G58" i="35"/>
  <c r="I50" i="35"/>
  <c r="H50" i="35"/>
  <c r="P106" i="35"/>
  <c r="S93" i="35"/>
  <c r="P45" i="35"/>
  <c r="S32" i="35"/>
  <c r="P9" i="35"/>
  <c r="S8" i="35"/>
  <c r="P21" i="35"/>
  <c r="P68" i="35"/>
  <c r="S55" i="35"/>
  <c r="P69" i="35"/>
  <c r="S56" i="35"/>
  <c r="Q9" i="35"/>
  <c r="Q21" i="35"/>
  <c r="Q34" i="35" s="1"/>
  <c r="Q47" i="35" s="1"/>
  <c r="Q60" i="35" s="1"/>
  <c r="Q73" i="35" s="1"/>
  <c r="Q86" i="35" s="1"/>
  <c r="Q99" i="35" s="1"/>
  <c r="Q112" i="35" s="1"/>
  <c r="Q125" i="35" s="1"/>
  <c r="Q22" i="34"/>
  <c r="T21" i="34"/>
  <c r="A77" i="33"/>
  <c r="G61" i="33"/>
  <c r="A66" i="33"/>
  <c r="E1" i="33"/>
  <c r="P10" i="35" l="1"/>
  <c r="S9" i="35"/>
  <c r="P22" i="35"/>
  <c r="P119" i="35"/>
  <c r="S119" i="35" s="1"/>
  <c r="S106" i="35"/>
  <c r="Q10" i="35"/>
  <c r="Q22" i="35"/>
  <c r="Q35" i="35" s="1"/>
  <c r="Q48" i="35" s="1"/>
  <c r="Q61" i="35" s="1"/>
  <c r="Q74" i="35" s="1"/>
  <c r="Q87" i="35" s="1"/>
  <c r="Q100" i="35" s="1"/>
  <c r="Q113" i="35" s="1"/>
  <c r="Q126" i="35" s="1"/>
  <c r="P81" i="35"/>
  <c r="S68" i="35"/>
  <c r="P70" i="35"/>
  <c r="S57" i="35"/>
  <c r="S21" i="35"/>
  <c r="P34" i="35"/>
  <c r="P58" i="35"/>
  <c r="S45" i="35"/>
  <c r="P82" i="35"/>
  <c r="S69" i="35"/>
  <c r="G66" i="35"/>
  <c r="I58" i="35"/>
  <c r="H58" i="35"/>
  <c r="S33" i="35"/>
  <c r="P46" i="35"/>
  <c r="Q23" i="34"/>
  <c r="T22" i="34"/>
  <c r="A78" i="33"/>
  <c r="F1" i="33"/>
  <c r="A67" i="33"/>
  <c r="H61" i="33"/>
  <c r="P95" i="35" l="1"/>
  <c r="S82" i="35"/>
  <c r="P94" i="35"/>
  <c r="S81" i="35"/>
  <c r="P35" i="35"/>
  <c r="S22" i="35"/>
  <c r="S46" i="35"/>
  <c r="P59" i="35"/>
  <c r="G74" i="35"/>
  <c r="I66" i="35"/>
  <c r="H66" i="35"/>
  <c r="P71" i="35"/>
  <c r="S58" i="35"/>
  <c r="P83" i="35"/>
  <c r="S70" i="35"/>
  <c r="Q11" i="35"/>
  <c r="Q23" i="35"/>
  <c r="Q36" i="35" s="1"/>
  <c r="Q49" i="35" s="1"/>
  <c r="Q62" i="35" s="1"/>
  <c r="Q75" i="35" s="1"/>
  <c r="Q88" i="35" s="1"/>
  <c r="Q101" i="35" s="1"/>
  <c r="Q114" i="35" s="1"/>
  <c r="Q127" i="35" s="1"/>
  <c r="P47" i="35"/>
  <c r="S34" i="35"/>
  <c r="P11" i="35"/>
  <c r="S10" i="35"/>
  <c r="P23" i="35"/>
  <c r="Q24" i="34"/>
  <c r="T23" i="34"/>
  <c r="I61" i="33"/>
  <c r="G1" i="33"/>
  <c r="A79" i="33"/>
  <c r="A68" i="33"/>
  <c r="G82" i="35" l="1"/>
  <c r="I74" i="35"/>
  <c r="H74" i="35"/>
  <c r="P48" i="35"/>
  <c r="S35" i="35"/>
  <c r="P108" i="35"/>
  <c r="S95" i="35"/>
  <c r="P12" i="35"/>
  <c r="S11" i="35"/>
  <c r="P24" i="35"/>
  <c r="Q12" i="35"/>
  <c r="Q24" i="35"/>
  <c r="Q37" i="35" s="1"/>
  <c r="Q50" i="35" s="1"/>
  <c r="Q63" i="35" s="1"/>
  <c r="Q76" i="35" s="1"/>
  <c r="Q89" i="35" s="1"/>
  <c r="Q102" i="35" s="1"/>
  <c r="Q115" i="35" s="1"/>
  <c r="Q128" i="35" s="1"/>
  <c r="P84" i="35"/>
  <c r="S71" i="35"/>
  <c r="P72" i="35"/>
  <c r="S59" i="35"/>
  <c r="P36" i="35"/>
  <c r="S23" i="35"/>
  <c r="P60" i="35"/>
  <c r="S47" i="35"/>
  <c r="P96" i="35"/>
  <c r="S83" i="35"/>
  <c r="P107" i="35"/>
  <c r="S94" i="35"/>
  <c r="Q25" i="34"/>
  <c r="T24" i="34"/>
  <c r="H1" i="33"/>
  <c r="J61" i="33"/>
  <c r="A69" i="33"/>
  <c r="A80" i="33"/>
  <c r="P49" i="35" l="1"/>
  <c r="S36" i="35"/>
  <c r="P13" i="35"/>
  <c r="S12" i="35"/>
  <c r="P25" i="35"/>
  <c r="P61" i="35"/>
  <c r="S48" i="35"/>
  <c r="P37" i="35"/>
  <c r="S24" i="35"/>
  <c r="P121" i="35"/>
  <c r="S121" i="35" s="1"/>
  <c r="S108" i="35"/>
  <c r="P109" i="35"/>
  <c r="S96" i="35"/>
  <c r="P97" i="35"/>
  <c r="S84" i="35"/>
  <c r="G90" i="35"/>
  <c r="I82" i="35"/>
  <c r="H82" i="35"/>
  <c r="P120" i="35"/>
  <c r="S120" i="35" s="1"/>
  <c r="S107" i="35"/>
  <c r="P73" i="35"/>
  <c r="S60" i="35"/>
  <c r="P85" i="35"/>
  <c r="S72" i="35"/>
  <c r="Q13" i="35"/>
  <c r="Q25" i="35"/>
  <c r="Q38" i="35" s="1"/>
  <c r="Q51" i="35" s="1"/>
  <c r="Q64" i="35" s="1"/>
  <c r="Q77" i="35" s="1"/>
  <c r="Q90" i="35" s="1"/>
  <c r="Q103" i="35" s="1"/>
  <c r="Q116" i="35" s="1"/>
  <c r="Q129" i="35" s="1"/>
  <c r="Q26" i="34"/>
  <c r="T25" i="34"/>
  <c r="K61" i="33"/>
  <c r="A81" i="33"/>
  <c r="A70" i="33"/>
  <c r="I1" i="33"/>
  <c r="P62" i="35" l="1"/>
  <c r="S49" i="35"/>
  <c r="G98" i="35"/>
  <c r="I90" i="35"/>
  <c r="H90" i="35"/>
  <c r="P122" i="35"/>
  <c r="S122" i="35" s="1"/>
  <c r="S109" i="35"/>
  <c r="S37" i="35"/>
  <c r="P50" i="35"/>
  <c r="Q14" i="35"/>
  <c r="Q27" i="35" s="1"/>
  <c r="Q40" i="35" s="1"/>
  <c r="Q53" i="35" s="1"/>
  <c r="Q66" i="35" s="1"/>
  <c r="Q79" i="35" s="1"/>
  <c r="Q92" i="35" s="1"/>
  <c r="Q105" i="35" s="1"/>
  <c r="Q118" i="35" s="1"/>
  <c r="Q131" i="35" s="1"/>
  <c r="Q26" i="35"/>
  <c r="Q39" i="35" s="1"/>
  <c r="Q52" i="35" s="1"/>
  <c r="Q65" i="35" s="1"/>
  <c r="Q78" i="35" s="1"/>
  <c r="Q91" i="35" s="1"/>
  <c r="Q104" i="35" s="1"/>
  <c r="Q117" i="35" s="1"/>
  <c r="Q130" i="35" s="1"/>
  <c r="P86" i="35"/>
  <c r="S73" i="35"/>
  <c r="S25" i="35"/>
  <c r="P38" i="35"/>
  <c r="P98" i="35"/>
  <c r="S85" i="35"/>
  <c r="P14" i="35"/>
  <c r="S13" i="35"/>
  <c r="P26" i="35"/>
  <c r="P74" i="35"/>
  <c r="S61" i="35"/>
  <c r="P110" i="35"/>
  <c r="S97" i="35"/>
  <c r="Q27" i="34"/>
  <c r="T26" i="34"/>
  <c r="A82" i="33"/>
  <c r="J1" i="33"/>
  <c r="A71" i="33"/>
  <c r="P87" i="35" l="1"/>
  <c r="S74" i="35"/>
  <c r="S50" i="35"/>
  <c r="P63" i="35"/>
  <c r="S26" i="35"/>
  <c r="P39" i="35"/>
  <c r="P111" i="35"/>
  <c r="S98" i="35"/>
  <c r="P99" i="35"/>
  <c r="S86" i="35"/>
  <c r="S14" i="35"/>
  <c r="P27" i="35"/>
  <c r="P75" i="35"/>
  <c r="S62" i="35"/>
  <c r="P123" i="35"/>
  <c r="S123" i="35" s="1"/>
  <c r="S110" i="35"/>
  <c r="S38" i="35"/>
  <c r="P51" i="35"/>
  <c r="I98" i="35"/>
  <c r="H98" i="35"/>
  <c r="Q28" i="34"/>
  <c r="T27" i="34"/>
  <c r="K1" i="33"/>
  <c r="A83" i="33"/>
  <c r="P40" i="35" l="1"/>
  <c r="S27" i="35"/>
  <c r="P76" i="35"/>
  <c r="S63" i="35"/>
  <c r="P124" i="35"/>
  <c r="S124" i="35" s="1"/>
  <c r="S111" i="35"/>
  <c r="P52" i="35"/>
  <c r="S39" i="35"/>
  <c r="P64" i="35"/>
  <c r="S51" i="35"/>
  <c r="P88" i="35"/>
  <c r="S75" i="35"/>
  <c r="P112" i="35"/>
  <c r="S99" i="35"/>
  <c r="P100" i="35"/>
  <c r="S87" i="35"/>
  <c r="Q29" i="34"/>
  <c r="T28" i="34"/>
  <c r="L1" i="33"/>
  <c r="P125" i="35" l="1"/>
  <c r="S125" i="35" s="1"/>
  <c r="S112" i="35"/>
  <c r="P77" i="35"/>
  <c r="S64" i="35"/>
  <c r="P113" i="35"/>
  <c r="S100" i="35"/>
  <c r="P101" i="35"/>
  <c r="S88" i="35"/>
  <c r="P65" i="35"/>
  <c r="S52" i="35"/>
  <c r="P89" i="35"/>
  <c r="S76" i="35"/>
  <c r="P53" i="35"/>
  <c r="S40" i="35"/>
  <c r="Q30" i="34"/>
  <c r="T29" i="34"/>
  <c r="M1" i="33"/>
  <c r="P78" i="35" l="1"/>
  <c r="S65" i="35"/>
  <c r="P66" i="35"/>
  <c r="S53" i="35"/>
  <c r="P126" i="35"/>
  <c r="S126" i="35" s="1"/>
  <c r="S113" i="35"/>
  <c r="P102" i="35"/>
  <c r="S89" i="35"/>
  <c r="P114" i="35"/>
  <c r="S101" i="35"/>
  <c r="P90" i="35"/>
  <c r="S77" i="35"/>
  <c r="Q31" i="34"/>
  <c r="T30" i="34"/>
  <c r="N1" i="33"/>
  <c r="P127" i="35" l="1"/>
  <c r="S127" i="35" s="1"/>
  <c r="S114" i="35"/>
  <c r="P91" i="35"/>
  <c r="S78" i="35"/>
  <c r="P103" i="35"/>
  <c r="S90" i="35"/>
  <c r="P115" i="35"/>
  <c r="S102" i="35"/>
  <c r="P79" i="35"/>
  <c r="S66" i="35"/>
  <c r="Q32" i="34"/>
  <c r="T31" i="34"/>
  <c r="T56" i="32"/>
  <c r="T582" i="32"/>
  <c r="T201" i="32"/>
  <c r="T249" i="32"/>
  <c r="T2" i="32"/>
  <c r="T583" i="32"/>
  <c r="T537" i="32"/>
  <c r="T497" i="32"/>
  <c r="T974" i="32"/>
  <c r="T275" i="32"/>
  <c r="T230" i="32"/>
  <c r="T750" i="32"/>
  <c r="T747" i="32"/>
  <c r="T450" i="32"/>
  <c r="T4" i="32"/>
  <c r="T311" i="32"/>
  <c r="T412" i="32"/>
  <c r="T211" i="32"/>
  <c r="T11" i="32"/>
  <c r="T370" i="32"/>
  <c r="T295" i="32"/>
  <c r="T367" i="32"/>
  <c r="T561" i="32"/>
  <c r="T933" i="32"/>
  <c r="T461" i="32"/>
  <c r="T101" i="32"/>
  <c r="T313" i="32"/>
  <c r="T811" i="32"/>
  <c r="T36" i="32"/>
  <c r="T950" i="32"/>
  <c r="T9" i="32"/>
  <c r="T215" i="32"/>
  <c r="T546" i="32"/>
  <c r="T960" i="32"/>
  <c r="T14" i="32"/>
  <c r="T75" i="32"/>
  <c r="T837" i="32"/>
  <c r="T688" i="32"/>
  <c r="T50" i="32"/>
  <c r="T290" i="32"/>
  <c r="T3" i="32"/>
  <c r="T466" i="32"/>
  <c r="T47" i="32"/>
  <c r="T243" i="32"/>
  <c r="T91" i="32"/>
  <c r="T116" i="32"/>
  <c r="T809" i="32"/>
  <c r="T982" i="32"/>
  <c r="T815" i="32"/>
  <c r="T361" i="32"/>
  <c r="T584" i="32"/>
  <c r="T70" i="32"/>
  <c r="T12" i="32"/>
  <c r="T1010" i="32"/>
  <c r="T72" i="32"/>
  <c r="T327" i="32"/>
  <c r="T52" i="32"/>
  <c r="T585" i="32"/>
  <c r="T63" i="32"/>
  <c r="T23" i="32"/>
  <c r="T519" i="32"/>
  <c r="T696" i="32"/>
  <c r="T15" i="32"/>
  <c r="T844" i="32"/>
  <c r="T573" i="32"/>
  <c r="T1025" i="32"/>
  <c r="T393" i="32"/>
  <c r="T5" i="32"/>
  <c r="T25" i="32"/>
  <c r="T6" i="32"/>
  <c r="T120" i="32"/>
  <c r="T940" i="32"/>
  <c r="T7" i="32"/>
  <c r="T803" i="32"/>
  <c r="T856" i="32"/>
  <c r="T13" i="32"/>
  <c r="T456" i="32"/>
  <c r="T41" i="32"/>
  <c r="T138" i="32"/>
  <c r="T548" i="32"/>
  <c r="T521" i="32"/>
  <c r="T731" i="32"/>
  <c r="T936" i="32"/>
  <c r="T663" i="32"/>
  <c r="T165" i="32"/>
  <c r="T98" i="32"/>
  <c r="T18" i="32"/>
  <c r="T88" i="32"/>
  <c r="T827" i="32"/>
  <c r="T30" i="32"/>
  <c r="T717" i="32"/>
  <c r="T586" i="32"/>
  <c r="T1104" i="32"/>
  <c r="T198" i="32"/>
  <c r="T78" i="32"/>
  <c r="T697" i="32"/>
  <c r="T32" i="32"/>
  <c r="T587" i="32"/>
  <c r="T154" i="32"/>
  <c r="T294" i="32"/>
  <c r="T1042" i="32"/>
  <c r="T411" i="32"/>
  <c r="T172" i="32"/>
  <c r="T771" i="32"/>
  <c r="T847" i="32"/>
  <c r="T470" i="32"/>
  <c r="T917" i="32"/>
  <c r="T21" i="32"/>
  <c r="T119" i="32"/>
  <c r="T73" i="32"/>
  <c r="T137" i="32"/>
  <c r="T385" i="32"/>
  <c r="T471" i="32"/>
  <c r="T110" i="32"/>
  <c r="T281" i="32"/>
  <c r="T782" i="32"/>
  <c r="T440" i="32"/>
  <c r="T770" i="32"/>
  <c r="T234" i="32"/>
  <c r="T57" i="32"/>
  <c r="T430" i="32"/>
  <c r="T74" i="32"/>
  <c r="T174" i="32"/>
  <c r="T588" i="32"/>
  <c r="T87" i="32"/>
  <c r="T8" i="32"/>
  <c r="T1019" i="32"/>
  <c r="T589" i="32"/>
  <c r="T170" i="32"/>
  <c r="T42" i="32"/>
  <c r="T922" i="32"/>
  <c r="T232" i="32"/>
  <c r="T19" i="32"/>
  <c r="T384" i="32"/>
  <c r="T491" i="32"/>
  <c r="T870" i="32"/>
  <c r="T102" i="32"/>
  <c r="T728" i="32"/>
  <c r="T590" i="32"/>
  <c r="T670" i="32"/>
  <c r="T302" i="32"/>
  <c r="T149" i="32"/>
  <c r="T1086" i="32"/>
  <c r="T157" i="32"/>
  <c r="T661" i="32"/>
  <c r="T891" i="32"/>
  <c r="T24" i="32"/>
  <c r="T33" i="32"/>
  <c r="T429" i="32"/>
  <c r="T1031" i="32"/>
  <c r="T449" i="32"/>
  <c r="T22" i="32"/>
  <c r="T284" i="32"/>
  <c r="T853" i="32"/>
  <c r="T932" i="32"/>
  <c r="T445" i="32"/>
  <c r="T417" i="32"/>
  <c r="T337" i="32"/>
  <c r="T360" i="32"/>
  <c r="T757" i="32"/>
  <c r="T16" i="32"/>
  <c r="T998" i="32"/>
  <c r="T254" i="32"/>
  <c r="T141" i="32"/>
  <c r="T17" i="32"/>
  <c r="T684" i="32"/>
  <c r="T858" i="32"/>
  <c r="T1014" i="32"/>
  <c r="T913" i="32"/>
  <c r="T591" i="32"/>
  <c r="T68" i="32"/>
  <c r="T1004" i="32"/>
  <c r="T865" i="32"/>
  <c r="T20" i="32"/>
  <c r="T381" i="32"/>
  <c r="T1120" i="32"/>
  <c r="T31" i="32"/>
  <c r="T918" i="32"/>
  <c r="T268" i="32"/>
  <c r="T902" i="32"/>
  <c r="T1123" i="32"/>
  <c r="T972" i="32"/>
  <c r="T494" i="32"/>
  <c r="T916" i="32"/>
  <c r="T818" i="32"/>
  <c r="T924" i="32"/>
  <c r="T840" i="32"/>
  <c r="T886" i="32"/>
  <c r="T10" i="32"/>
  <c r="T107" i="32"/>
  <c r="T830" i="32"/>
  <c r="T558" i="32"/>
  <c r="T866" i="32"/>
  <c r="T753" i="32"/>
  <c r="T1082" i="32"/>
  <c r="T592" i="32"/>
  <c r="T1072" i="32"/>
  <c r="T682" i="32"/>
  <c r="T687" i="32"/>
  <c r="T168" i="32"/>
  <c r="T820" i="32"/>
  <c r="T817" i="32"/>
  <c r="T969" i="32"/>
  <c r="T593" i="32"/>
  <c r="T1074" i="32"/>
  <c r="T973" i="32"/>
  <c r="T1034" i="32"/>
  <c r="T326" i="32"/>
  <c r="T1099" i="32"/>
  <c r="T344" i="32"/>
  <c r="T1102" i="32"/>
  <c r="T1119" i="32"/>
  <c r="T29" i="32"/>
  <c r="T539" i="32"/>
  <c r="T690" i="32"/>
  <c r="T43" i="32"/>
  <c r="T28" i="32"/>
  <c r="T77" i="32"/>
  <c r="T722" i="32"/>
  <c r="T38" i="32"/>
  <c r="T437" i="32"/>
  <c r="T882" i="32"/>
  <c r="T871" i="32"/>
  <c r="T27" i="32"/>
  <c r="T127" i="32"/>
  <c r="T53" i="32"/>
  <c r="T760" i="32"/>
  <c r="T570" i="32"/>
  <c r="T256" i="32"/>
  <c r="T873" i="32"/>
  <c r="T946" i="32"/>
  <c r="T594" i="32"/>
  <c r="T48" i="32"/>
  <c r="T839" i="32"/>
  <c r="T595" i="32"/>
  <c r="T1067" i="32"/>
  <c r="T271" i="32"/>
  <c r="T197" i="32"/>
  <c r="T1126" i="32"/>
  <c r="T26" i="32"/>
  <c r="T1040" i="32"/>
  <c r="T155" i="32"/>
  <c r="T685" i="32"/>
  <c r="T710" i="32"/>
  <c r="T775" i="32"/>
  <c r="T51" i="32"/>
  <c r="T55" i="32"/>
  <c r="T709" i="32"/>
  <c r="T1131" i="32"/>
  <c r="T362" i="32"/>
  <c r="T883" i="32"/>
  <c r="T888" i="32"/>
  <c r="T807" i="32"/>
  <c r="T150" i="32"/>
  <c r="T763" i="32"/>
  <c r="T40" i="32"/>
  <c r="T730" i="32"/>
  <c r="T525" i="32"/>
  <c r="T928" i="32"/>
  <c r="T186" i="32"/>
  <c r="T39" i="32"/>
  <c r="T1129" i="32"/>
  <c r="T342" i="32"/>
  <c r="T391" i="32"/>
  <c r="T348" i="32"/>
  <c r="T349" i="32"/>
  <c r="T108" i="32"/>
  <c r="T71" i="32"/>
  <c r="T76" i="32"/>
  <c r="T795" i="32"/>
  <c r="T401" i="32"/>
  <c r="T216" i="32"/>
  <c r="T833" i="32"/>
  <c r="T233" i="32"/>
  <c r="T681" i="32"/>
  <c r="T557" i="32"/>
  <c r="T1064" i="32"/>
  <c r="T874" i="32"/>
  <c r="T1039" i="32"/>
  <c r="T906" i="32"/>
  <c r="T499" i="32"/>
  <c r="T734" i="32"/>
  <c r="T814" i="32"/>
  <c r="T331" i="32"/>
  <c r="T156" i="32"/>
  <c r="T892" i="32"/>
  <c r="T436" i="32"/>
  <c r="T330" i="32"/>
  <c r="T845" i="32"/>
  <c r="T458" i="32"/>
  <c r="T350" i="32"/>
  <c r="T552" i="32"/>
  <c r="T704" i="32"/>
  <c r="T956" i="32"/>
  <c r="T575" i="32"/>
  <c r="T987" i="32"/>
  <c r="T721" i="32"/>
  <c r="T824" i="32"/>
  <c r="T879" i="32"/>
  <c r="T990" i="32"/>
  <c r="T93" i="32"/>
  <c r="T292" i="32"/>
  <c r="T46" i="32"/>
  <c r="T596" i="32"/>
  <c r="T1196" i="32"/>
  <c r="T1056" i="32"/>
  <c r="T597" i="32"/>
  <c r="T964" i="32"/>
  <c r="T708" i="32"/>
  <c r="T1159" i="32"/>
  <c r="T402" i="32"/>
  <c r="T37" i="32"/>
  <c r="T35" i="32"/>
  <c r="T287" i="32"/>
  <c r="T1046" i="32"/>
  <c r="T598" i="32"/>
  <c r="T359" i="32"/>
  <c r="T1003" i="32"/>
  <c r="T1162" i="32"/>
  <c r="T562" i="32"/>
  <c r="T662" i="32"/>
  <c r="T599" i="32"/>
  <c r="T378" i="32"/>
  <c r="T276" i="32"/>
  <c r="T600" i="32"/>
  <c r="T601" i="32"/>
  <c r="T377" i="32"/>
  <c r="T1182" i="32"/>
  <c r="T484" i="32"/>
  <c r="T289" i="32"/>
  <c r="T1183" i="32"/>
  <c r="T602" i="32"/>
  <c r="T953" i="32"/>
  <c r="T875" i="32"/>
  <c r="T603" i="32"/>
  <c r="T604" i="32"/>
  <c r="T769" i="32"/>
  <c r="T768" i="32"/>
  <c r="T62" i="32"/>
  <c r="T862" i="32"/>
  <c r="T605" i="32"/>
  <c r="T457" i="32"/>
  <c r="T667" i="32"/>
  <c r="T543" i="32"/>
  <c r="T1030" i="32"/>
  <c r="T49" i="32"/>
  <c r="T463" i="32"/>
  <c r="T84" i="32"/>
  <c r="T560" i="32"/>
  <c r="T1127" i="32"/>
  <c r="T909" i="32"/>
  <c r="T61" i="32"/>
  <c r="T1087" i="32"/>
  <c r="T738" i="32"/>
  <c r="T606" i="32"/>
  <c r="T1023" i="32"/>
  <c r="T1047" i="32"/>
  <c r="T1147" i="32"/>
  <c r="T828" i="32"/>
  <c r="T538" i="32"/>
  <c r="T83" i="32"/>
  <c r="T223" i="32"/>
  <c r="T66" i="32"/>
  <c r="T1001" i="32"/>
  <c r="T859" i="32"/>
  <c r="T714" i="32"/>
  <c r="T1130" i="32"/>
  <c r="T318" i="32"/>
  <c r="T547" i="32"/>
  <c r="T191" i="32"/>
  <c r="T607" i="32"/>
  <c r="T44" i="32"/>
  <c r="T323" i="32"/>
  <c r="T315" i="32"/>
  <c r="T60" i="32"/>
  <c r="T86" i="32"/>
  <c r="T691" i="32"/>
  <c r="T177" i="32"/>
  <c r="T502" i="32"/>
  <c r="T132" i="32"/>
  <c r="T669" i="32"/>
  <c r="T274" i="32"/>
  <c r="T304" i="32"/>
  <c r="T1077" i="32"/>
  <c r="T64" i="32"/>
  <c r="T1150" i="32"/>
  <c r="T895" i="32"/>
  <c r="T34" i="32"/>
  <c r="T280" i="32"/>
  <c r="T444" i="32"/>
  <c r="T608" i="32"/>
  <c r="T205" i="32"/>
  <c r="T317" i="32"/>
  <c r="T121" i="32"/>
  <c r="T693" i="32"/>
  <c r="T609" i="32"/>
  <c r="T336" i="32"/>
  <c r="T707" i="32"/>
  <c r="T512" i="32"/>
  <c r="T610" i="32"/>
  <c r="T736" i="32"/>
  <c r="T533" i="32"/>
  <c r="T1179" i="32"/>
  <c r="T299" i="32"/>
  <c r="T834" i="32"/>
  <c r="T556" i="32"/>
  <c r="T1185" i="32"/>
  <c r="T699" i="32"/>
  <c r="T451" i="32"/>
  <c r="T128" i="32"/>
  <c r="T816" i="32"/>
  <c r="T773" i="32"/>
  <c r="T705" i="32"/>
  <c r="T981" i="32"/>
  <c r="T975" i="32"/>
  <c r="T434" i="32"/>
  <c r="T963" i="32"/>
  <c r="T1192" i="32"/>
  <c r="T246" i="32"/>
  <c r="T1026" i="32"/>
  <c r="T252" i="32"/>
  <c r="T58" i="32"/>
  <c r="T571" i="32"/>
  <c r="T100" i="32"/>
  <c r="T343" i="32"/>
  <c r="T660" i="32"/>
  <c r="T221" i="32"/>
  <c r="T126" i="32"/>
  <c r="T225" i="32"/>
  <c r="T139" i="32"/>
  <c r="T656" i="32"/>
  <c r="T454" i="32"/>
  <c r="T375" i="32"/>
  <c r="T428" i="32"/>
  <c r="T553" i="32"/>
  <c r="T576" i="32"/>
  <c r="T1048" i="32"/>
  <c r="T65" i="32"/>
  <c r="T785" i="32"/>
  <c r="T59" i="32"/>
  <c r="T272" i="32"/>
  <c r="T474" i="32"/>
  <c r="T332" i="32"/>
  <c r="T427" i="32"/>
  <c r="T90" i="32"/>
  <c r="T104" i="32"/>
  <c r="T965" i="32"/>
  <c r="T1015" i="32"/>
  <c r="T468" i="32"/>
  <c r="T529" i="32"/>
  <c r="T96" i="32"/>
  <c r="T1009" i="32"/>
  <c r="T266" i="32"/>
  <c r="T611" i="32"/>
  <c r="T671" i="32"/>
  <c r="T612" i="32"/>
  <c r="T664" i="32"/>
  <c r="T910" i="32"/>
  <c r="T324" i="32"/>
  <c r="T991" i="32"/>
  <c r="T695" i="32"/>
  <c r="T1069" i="32"/>
  <c r="T89" i="32"/>
  <c r="T1133" i="32"/>
  <c r="T698" i="32"/>
  <c r="T517" i="32"/>
  <c r="T373" i="32"/>
  <c r="T285" i="32"/>
  <c r="T1166" i="32"/>
  <c r="T957" i="32"/>
  <c r="T911" i="32"/>
  <c r="T143" i="32"/>
  <c r="T678" i="32"/>
  <c r="T784" i="32"/>
  <c r="T1229" i="32"/>
  <c r="T388" i="32"/>
  <c r="T338" i="32"/>
  <c r="T794" i="32"/>
  <c r="T860" i="32"/>
  <c r="T797" i="32"/>
  <c r="T443" i="32"/>
  <c r="T169" i="32"/>
  <c r="T124" i="32"/>
  <c r="T1173" i="32"/>
  <c r="T45" i="32"/>
  <c r="T1168" i="32"/>
  <c r="T1114" i="32"/>
  <c r="T1125" i="32"/>
  <c r="T659" i="32"/>
  <c r="T958" i="32"/>
  <c r="T921" i="32"/>
  <c r="T81" i="32"/>
  <c r="T1002" i="32"/>
  <c r="T949" i="32"/>
  <c r="T540" i="32"/>
  <c r="T67" i="32"/>
  <c r="T893" i="32"/>
  <c r="T194" i="32"/>
  <c r="T1101" i="32"/>
  <c r="T510" i="32"/>
  <c r="T942" i="32"/>
  <c r="T99" i="32"/>
  <c r="T1000" i="32"/>
  <c r="T184" i="32"/>
  <c r="T190" i="32"/>
  <c r="T613" i="32"/>
  <c r="T614" i="32"/>
  <c r="T615" i="32"/>
  <c r="T616" i="32"/>
  <c r="T961" i="32"/>
  <c r="T617" i="32"/>
  <c r="T515" i="32"/>
  <c r="T262" i="32"/>
  <c r="T54" i="32"/>
  <c r="T1184" i="32"/>
  <c r="T366" i="32"/>
  <c r="T926" i="32"/>
  <c r="T452" i="32"/>
  <c r="T376" i="32"/>
  <c r="T231" i="32"/>
  <c r="T1234" i="32"/>
  <c r="T1008" i="32"/>
  <c r="T944" i="32"/>
  <c r="T927" i="32"/>
  <c r="T1200" i="32"/>
  <c r="T1045" i="32"/>
  <c r="T778" i="32"/>
  <c r="T1132" i="32"/>
  <c r="T810" i="32"/>
  <c r="T713" i="32"/>
  <c r="T152" i="32"/>
  <c r="T680" i="32"/>
  <c r="T1146" i="32"/>
  <c r="T399" i="32"/>
  <c r="T117" i="32"/>
  <c r="T1070" i="32"/>
  <c r="T133" i="32"/>
  <c r="T907" i="32"/>
  <c r="T729" i="32"/>
  <c r="T581" i="32"/>
  <c r="T618" i="32"/>
  <c r="T389" i="32"/>
  <c r="T720" i="32"/>
  <c r="T929" i="32"/>
  <c r="T1053" i="32"/>
  <c r="T82" i="32"/>
  <c r="T896" i="32"/>
  <c r="T479" i="32"/>
  <c r="T283" i="32"/>
  <c r="T1216" i="32"/>
  <c r="T700" i="32"/>
  <c r="T706" i="32"/>
  <c r="T903" i="32"/>
  <c r="T213" i="32"/>
  <c r="T320" i="32"/>
  <c r="T863" i="32"/>
  <c r="T222" i="32"/>
  <c r="T473" i="32"/>
  <c r="T1149" i="32"/>
  <c r="T1078" i="32"/>
  <c r="T85" i="32"/>
  <c r="T619" i="32"/>
  <c r="T114" i="32"/>
  <c r="T852" i="32"/>
  <c r="T1171" i="32"/>
  <c r="T620" i="32"/>
  <c r="T278" i="32"/>
  <c r="T1063" i="32"/>
  <c r="T1036" i="32"/>
  <c r="T755" i="32"/>
  <c r="T1145" i="32"/>
  <c r="T112" i="32"/>
  <c r="T453" i="32"/>
  <c r="T621" i="32"/>
  <c r="T1109" i="32"/>
  <c r="T106" i="32"/>
  <c r="T1071" i="32"/>
  <c r="T1178" i="32"/>
  <c r="T115" i="32"/>
  <c r="T508" i="32"/>
  <c r="T369" i="32"/>
  <c r="T257" i="32"/>
  <c r="T438" i="32"/>
  <c r="T622" i="32"/>
  <c r="T414" i="32"/>
  <c r="T1188" i="32"/>
  <c r="T94" i="32"/>
  <c r="T296" i="32"/>
  <c r="T1122" i="32"/>
  <c r="T1156" i="32"/>
  <c r="T567" i="32"/>
  <c r="T780" i="32"/>
  <c r="T836" i="32"/>
  <c r="T503" i="32"/>
  <c r="T997" i="32"/>
  <c r="T151" i="32"/>
  <c r="T806" i="32"/>
  <c r="T735" i="32"/>
  <c r="T1170" i="32"/>
  <c r="T329" i="32"/>
  <c r="T247" i="32"/>
  <c r="T365" i="32"/>
  <c r="T1033" i="32"/>
  <c r="T999" i="32"/>
  <c r="T1017" i="32"/>
  <c r="T303" i="32"/>
  <c r="T551" i="32"/>
  <c r="T1115" i="32"/>
  <c r="T1028" i="32"/>
  <c r="T1209" i="32"/>
  <c r="T536" i="32"/>
  <c r="T851" i="32"/>
  <c r="T277" i="32"/>
  <c r="T496" i="32"/>
  <c r="T325" i="32"/>
  <c r="T142" i="32"/>
  <c r="T623" i="32"/>
  <c r="T368" i="32"/>
  <c r="T238" i="32"/>
  <c r="T746" i="32"/>
  <c r="T1121" i="32"/>
  <c r="T524" i="32"/>
  <c r="T1083" i="32"/>
  <c r="T1059" i="32"/>
  <c r="T624" i="32"/>
  <c r="T1164" i="32"/>
  <c r="T492" i="32"/>
  <c r="T554" i="32"/>
  <c r="T1193" i="32"/>
  <c r="T756" i="32"/>
  <c r="T312" i="32"/>
  <c r="T850" i="32"/>
  <c r="T239" i="32"/>
  <c r="T1165" i="32"/>
  <c r="T898" i="32"/>
  <c r="T270" i="32"/>
  <c r="T1154" i="32"/>
  <c r="T237" i="32"/>
  <c r="T314" i="32"/>
  <c r="T364" i="32"/>
  <c r="T759" i="32"/>
  <c r="T712" i="32"/>
  <c r="T1139" i="32"/>
  <c r="T947" i="32"/>
  <c r="T125" i="32"/>
  <c r="T69" i="32"/>
  <c r="T1024" i="32"/>
  <c r="T741" i="32"/>
  <c r="T939" i="32"/>
  <c r="T703" i="32"/>
  <c r="T92" i="32"/>
  <c r="T1207" i="32"/>
  <c r="T674" i="32"/>
  <c r="T1148" i="32"/>
  <c r="T1143" i="32"/>
  <c r="T135" i="32"/>
  <c r="T472" i="32"/>
  <c r="T1106" i="32"/>
  <c r="T1236" i="32"/>
  <c r="T774" i="32"/>
  <c r="T490" i="32"/>
  <c r="T1062" i="32"/>
  <c r="T564" i="32"/>
  <c r="T701" i="32"/>
  <c r="T841" i="32"/>
  <c r="T447" i="32"/>
  <c r="T793" i="32"/>
  <c r="T855" i="32"/>
  <c r="T1191" i="32"/>
  <c r="T183" i="32"/>
  <c r="T1217" i="32"/>
  <c r="T181" i="32"/>
  <c r="T148" i="32"/>
  <c r="T802" i="32"/>
  <c r="T423" i="32"/>
  <c r="T1214" i="32"/>
  <c r="T1022" i="32"/>
  <c r="T371" i="32"/>
  <c r="T1073" i="32"/>
  <c r="T1213" i="32"/>
  <c r="T1097" i="32"/>
  <c r="T1239" i="32"/>
  <c r="T935" i="32"/>
  <c r="T914" i="32"/>
  <c r="T504" i="32"/>
  <c r="T1012" i="32"/>
  <c r="T161" i="32"/>
  <c r="T1153" i="32"/>
  <c r="T625" i="32"/>
  <c r="T799" i="32"/>
  <c r="T545" i="32"/>
  <c r="T196" i="32"/>
  <c r="T1226" i="32"/>
  <c r="T264" i="32"/>
  <c r="T300" i="32"/>
  <c r="T787" i="32"/>
  <c r="T1118" i="32"/>
  <c r="T719" i="32"/>
  <c r="T952" i="32"/>
  <c r="T626" i="32"/>
  <c r="T346" i="32"/>
  <c r="T475" i="32"/>
  <c r="T407" i="32"/>
  <c r="T509" i="32"/>
  <c r="T627" i="32"/>
  <c r="T448" i="32"/>
  <c r="T227" i="32"/>
  <c r="T245" i="32"/>
  <c r="T1247" i="32"/>
  <c r="T1245" i="32"/>
  <c r="T1189" i="32"/>
  <c r="T959" i="32"/>
  <c r="T1058" i="32"/>
  <c r="T976" i="32"/>
  <c r="T1243" i="32"/>
  <c r="T904" i="32"/>
  <c r="T1225" i="32"/>
  <c r="T1100" i="32"/>
  <c r="T1206" i="32"/>
  <c r="T744" i="32"/>
  <c r="T103" i="32"/>
  <c r="T209" i="32"/>
  <c r="T977" i="32"/>
  <c r="T995" i="32"/>
  <c r="T1029" i="32"/>
  <c r="T831" i="32"/>
  <c r="T758" i="32"/>
  <c r="T307" i="32"/>
  <c r="T966" i="32"/>
  <c r="T1204" i="32"/>
  <c r="T849" i="32"/>
  <c r="T808" i="32"/>
  <c r="T111" i="32"/>
  <c r="T544" i="32"/>
  <c r="T310" i="32"/>
  <c r="T930" i="32"/>
  <c r="T1194" i="32"/>
  <c r="T130" i="32"/>
  <c r="T726" i="32"/>
  <c r="T1195" i="32"/>
  <c r="T1035" i="32"/>
  <c r="T253" i="32"/>
  <c r="T1090" i="32"/>
  <c r="T1075" i="32"/>
  <c r="T129" i="32"/>
  <c r="T380" i="32"/>
  <c r="T1110" i="32"/>
  <c r="T1222" i="32"/>
  <c r="T786" i="32"/>
  <c r="T394" i="32"/>
  <c r="T832" i="32"/>
  <c r="T1248" i="32"/>
  <c r="T236" i="32"/>
  <c r="T574" i="32"/>
  <c r="T416" i="32"/>
  <c r="T424" i="32"/>
  <c r="T861" i="32"/>
  <c r="T868" i="32"/>
  <c r="T628" i="32"/>
  <c r="T843" i="32"/>
  <c r="T1096" i="32"/>
  <c r="T1252" i="32"/>
  <c r="T495" i="32"/>
  <c r="T206" i="32"/>
  <c r="T740" i="32"/>
  <c r="T208" i="32"/>
  <c r="T261" i="32"/>
  <c r="T80" i="32"/>
  <c r="T1255" i="32"/>
  <c r="T629" i="32"/>
  <c r="T1167" i="32"/>
  <c r="T273" i="32"/>
  <c r="T749" i="32"/>
  <c r="T531" i="32"/>
  <c r="T937" i="32"/>
  <c r="T153" i="32"/>
  <c r="T413" i="32"/>
  <c r="T298" i="32"/>
  <c r="T1037" i="32"/>
  <c r="T242" i="32"/>
  <c r="T1224" i="32"/>
  <c r="T220" i="32"/>
  <c r="T1251" i="32"/>
  <c r="T1237" i="32"/>
  <c r="T308" i="32"/>
  <c r="T488" i="32"/>
  <c r="T792" i="32"/>
  <c r="T658" i="32"/>
  <c r="T1198" i="32"/>
  <c r="T673" i="32"/>
  <c r="T900" i="32"/>
  <c r="T432" i="32"/>
  <c r="T829" i="32"/>
  <c r="T1116" i="32"/>
  <c r="T694" i="32"/>
  <c r="T762" i="32"/>
  <c r="T821" i="32"/>
  <c r="T578" i="32"/>
  <c r="T880" i="32"/>
  <c r="T1218" i="32"/>
  <c r="T465" i="32"/>
  <c r="T422" i="32"/>
  <c r="T372" i="32"/>
  <c r="T1210" i="32"/>
  <c r="T182" i="32"/>
  <c r="T455" i="32"/>
  <c r="T630" i="32"/>
  <c r="T1228" i="32"/>
  <c r="T905" i="32"/>
  <c r="T501" i="32"/>
  <c r="T306" i="32"/>
  <c r="T335" i="32"/>
  <c r="T1254" i="32"/>
  <c r="T1027" i="32"/>
  <c r="T1038" i="32"/>
  <c r="T1202" i="32"/>
  <c r="T542" i="32"/>
  <c r="T229" i="32"/>
  <c r="T919" i="32"/>
  <c r="T1021" i="32"/>
  <c r="T1124" i="32"/>
  <c r="T631" i="32"/>
  <c r="T632" i="32"/>
  <c r="T1043" i="32"/>
  <c r="T1057" i="32"/>
  <c r="T146" i="32"/>
  <c r="T1094" i="32"/>
  <c r="T689" i="32"/>
  <c r="T1208" i="32"/>
  <c r="T986" i="32"/>
  <c r="T1219" i="32"/>
  <c r="T1257" i="32"/>
  <c r="T267" i="32"/>
  <c r="T439" i="32"/>
  <c r="T980" i="32"/>
  <c r="T202" i="32"/>
  <c r="T251" i="32"/>
  <c r="T1032" i="32"/>
  <c r="T568" i="32"/>
  <c r="T113" i="32"/>
  <c r="T1244" i="32"/>
  <c r="T1157" i="32"/>
  <c r="T467" i="32"/>
  <c r="T390" i="32"/>
  <c r="T934" i="32"/>
  <c r="T890" i="32"/>
  <c r="T1020" i="32"/>
  <c r="T951" i="32"/>
  <c r="T397" i="32"/>
  <c r="T309" i="32"/>
  <c r="T826" i="32"/>
  <c r="T95" i="32"/>
  <c r="T1175" i="32"/>
  <c r="T178" i="32"/>
  <c r="T144" i="32"/>
  <c r="T528" i="32"/>
  <c r="T1174" i="32"/>
  <c r="T1111" i="32"/>
  <c r="T899" i="32"/>
  <c r="T813" i="32"/>
  <c r="T1085" i="32"/>
  <c r="T1246" i="32"/>
  <c r="T1205" i="32"/>
  <c r="T286" i="32"/>
  <c r="T1221" i="32"/>
  <c r="T732" i="32"/>
  <c r="T189" i="32"/>
  <c r="T195" i="32"/>
  <c r="T1005" i="32"/>
  <c r="T1249" i="32"/>
  <c r="T163" i="32"/>
  <c r="T633" i="32"/>
  <c r="T97" i="32"/>
  <c r="T716" i="32"/>
  <c r="T486" i="32"/>
  <c r="T1081" i="32"/>
  <c r="T293" i="32"/>
  <c r="T1172" i="32"/>
  <c r="T665" i="32"/>
  <c r="T210" i="32"/>
  <c r="T988" i="32"/>
  <c r="T534" i="32"/>
  <c r="T431" i="32"/>
  <c r="T876" i="32"/>
  <c r="T1273" i="32"/>
  <c r="T1211" i="32"/>
  <c r="T634" i="32"/>
  <c r="T1011" i="32"/>
  <c r="T460" i="32"/>
  <c r="T171" i="32"/>
  <c r="T1049" i="32"/>
  <c r="T1265" i="32"/>
  <c r="T754" i="32"/>
  <c r="T405" i="32"/>
  <c r="T522" i="32"/>
  <c r="T1095" i="32"/>
  <c r="T1076" i="32"/>
  <c r="T764" i="32"/>
  <c r="T204" i="32"/>
  <c r="T530" i="32"/>
  <c r="T1061" i="32"/>
  <c r="T846" i="32"/>
  <c r="T282" i="32"/>
  <c r="T702" i="32"/>
  <c r="T459" i="32"/>
  <c r="T1267" i="32"/>
  <c r="T577" i="32"/>
  <c r="T789" i="32"/>
  <c r="T1135" i="32"/>
  <c r="T105" i="32"/>
  <c r="T187" i="32"/>
  <c r="T635" i="32"/>
  <c r="T1013" i="32"/>
  <c r="T1275" i="32"/>
  <c r="T162" i="32"/>
  <c r="T1092" i="32"/>
  <c r="T723" i="32"/>
  <c r="T948" i="32"/>
  <c r="T279" i="32"/>
  <c r="T1128" i="32"/>
  <c r="T1190" i="32"/>
  <c r="T433" i="32"/>
  <c r="T109" i="32"/>
  <c r="T1079" i="32"/>
  <c r="T140" i="32"/>
  <c r="T392" i="32"/>
  <c r="T1007" i="32"/>
  <c r="T328" i="32"/>
  <c r="T923" i="32"/>
  <c r="T945" i="32"/>
  <c r="T1117" i="32"/>
  <c r="T657" i="32"/>
  <c r="T418" i="32"/>
  <c r="T636" i="32"/>
  <c r="T255" i="32"/>
  <c r="T118" i="32"/>
  <c r="T1080" i="32"/>
  <c r="T1065" i="32"/>
  <c r="T742" i="32"/>
  <c r="T565" i="32"/>
  <c r="T1279" i="32"/>
  <c r="T637" i="32"/>
  <c r="T1282" i="32"/>
  <c r="T219" i="32"/>
  <c r="T1136" i="32"/>
  <c r="T676" i="32"/>
  <c r="T638" i="32"/>
  <c r="T498" i="32"/>
  <c r="T248" i="32"/>
  <c r="T887" i="32"/>
  <c r="T297" i="32"/>
  <c r="T1227" i="32"/>
  <c r="T476" i="32"/>
  <c r="T403" i="32"/>
  <c r="T781" i="32"/>
  <c r="T483" i="32"/>
  <c r="T505" i="32"/>
  <c r="T579" i="32"/>
  <c r="T1091" i="32"/>
  <c r="T1292" i="32"/>
  <c r="T345" i="32"/>
  <c r="T353" i="32"/>
  <c r="T1050" i="32"/>
  <c r="T1055" i="32"/>
  <c r="T967" i="32"/>
  <c r="T848" i="32"/>
  <c r="T1250" i="32"/>
  <c r="T686" i="32"/>
  <c r="T672" i="32"/>
  <c r="T387" i="32"/>
  <c r="T316" i="32"/>
  <c r="T897" i="32"/>
  <c r="T1142" i="32"/>
  <c r="T1280" i="32"/>
  <c r="T523" i="32"/>
  <c r="T857" i="32"/>
  <c r="T718" i="32"/>
  <c r="T823" i="32"/>
  <c r="T1151" i="32"/>
  <c r="T511" i="32"/>
  <c r="T639" i="32"/>
  <c r="T1223" i="32"/>
  <c r="T1107" i="32"/>
  <c r="T1241" i="32"/>
  <c r="T715" i="32"/>
  <c r="T1270" i="32"/>
  <c r="T301" i="32"/>
  <c r="T131" i="32"/>
  <c r="T167" i="32"/>
  <c r="T207" i="32"/>
  <c r="T668" i="32"/>
  <c r="T739" i="32"/>
  <c r="T550" i="32"/>
  <c r="T791" i="32"/>
  <c r="T1180" i="32"/>
  <c r="T1144" i="32"/>
  <c r="T134" i="32"/>
  <c r="T269" i="32"/>
  <c r="T193" i="32"/>
  <c r="T1230" i="32"/>
  <c r="T1232" i="32"/>
  <c r="T224" i="32"/>
  <c r="T1271" i="32"/>
  <c r="T549" i="32"/>
  <c r="T1268" i="32"/>
  <c r="T804" i="32"/>
  <c r="T1068" i="32"/>
  <c r="T1296" i="32"/>
  <c r="T358" i="32"/>
  <c r="T761" i="32"/>
  <c r="T1089" i="32"/>
  <c r="T1240" i="32"/>
  <c r="T1140" i="32"/>
  <c r="T500" i="32"/>
  <c r="T779" i="32"/>
  <c r="T351" i="32"/>
  <c r="T1141" i="32"/>
  <c r="T745" i="32"/>
  <c r="T819" i="32"/>
  <c r="T983" i="32"/>
  <c r="T526" i="32"/>
  <c r="T766" i="32"/>
  <c r="T783" i="32"/>
  <c r="T480" i="32"/>
  <c r="T435" i="32"/>
  <c r="T1260" i="32"/>
  <c r="T1054" i="32"/>
  <c r="T347" i="32"/>
  <c r="T516" i="32"/>
  <c r="T894" i="32"/>
  <c r="T1231" i="32"/>
  <c r="T640" i="32"/>
  <c r="T441" i="32"/>
  <c r="T321" i="32"/>
  <c r="T357" i="32"/>
  <c r="T878" i="32"/>
  <c r="T800" i="32"/>
  <c r="T555" i="32"/>
  <c r="T854" i="32"/>
  <c r="T677" i="32"/>
  <c r="T477" i="32"/>
  <c r="T1266" i="32"/>
  <c r="T767" i="32"/>
  <c r="T410" i="32"/>
  <c r="T655" i="32"/>
  <c r="T801" i="32"/>
  <c r="T485" i="32"/>
  <c r="T1242" i="32"/>
  <c r="T176" i="32"/>
  <c r="T79" i="32"/>
  <c r="T1283" i="32"/>
  <c r="T641" i="32"/>
  <c r="T1261" i="32"/>
  <c r="T776" i="32"/>
  <c r="T1284" i="32"/>
  <c r="T1297" i="32"/>
  <c r="T258" i="32"/>
  <c r="T513" i="32"/>
  <c r="T374" i="32"/>
  <c r="T425" i="32"/>
  <c r="T442" i="32"/>
  <c r="T218" i="32"/>
  <c r="T1088" i="32"/>
  <c r="T877" i="32"/>
  <c r="T173" i="32"/>
  <c r="T212" i="32"/>
  <c r="T666" i="32"/>
  <c r="T507" i="32"/>
  <c r="T642" i="32"/>
  <c r="T145" i="32"/>
  <c r="T1060" i="32"/>
  <c r="T1253" i="32"/>
  <c r="T159" i="32"/>
  <c r="T679" i="32"/>
  <c r="T1044" i="32"/>
  <c r="T179" i="32"/>
  <c r="T482" i="32"/>
  <c r="T244" i="32"/>
  <c r="T643" i="32"/>
  <c r="T291" i="32"/>
  <c r="T395" i="32"/>
  <c r="T185" i="32"/>
  <c r="T1197" i="32"/>
  <c r="T356" i="32"/>
  <c r="T867" i="32"/>
  <c r="T1093" i="32"/>
  <c r="T228" i="32"/>
  <c r="T217" i="32"/>
  <c r="T1006" i="32"/>
  <c r="T572" i="32"/>
  <c r="T644" i="32"/>
  <c r="T188" i="32"/>
  <c r="T1155" i="32"/>
  <c r="T984" i="32"/>
  <c r="T727" i="32"/>
  <c r="T822" i="32"/>
  <c r="T796" i="32"/>
  <c r="T645" i="32"/>
  <c r="T166" i="32"/>
  <c r="T305" i="32"/>
  <c r="T989" i="32"/>
  <c r="T147" i="32"/>
  <c r="T487" i="32"/>
  <c r="T481" i="32"/>
  <c r="T646" i="32"/>
  <c r="T192" i="32"/>
  <c r="T1176" i="32"/>
  <c r="T408" i="32"/>
  <c r="T355" i="32"/>
  <c r="T1161" i="32"/>
  <c r="T884" i="32"/>
  <c r="T996" i="32"/>
  <c r="T647" i="32"/>
  <c r="T648" i="32"/>
  <c r="T421" i="32"/>
  <c r="T724" i="32"/>
  <c r="T404" i="32"/>
  <c r="T563" i="32"/>
  <c r="T200" i="32"/>
  <c r="T478" i="32"/>
  <c r="T881" i="32"/>
  <c r="T136" i="32"/>
  <c r="T420" i="32"/>
  <c r="T751" i="32"/>
  <c r="T240" i="32"/>
  <c r="T203" i="32"/>
  <c r="T790" i="32"/>
  <c r="T1272" i="32"/>
  <c r="T912" i="32"/>
  <c r="T675" i="32"/>
  <c r="T788" i="32"/>
  <c r="T743" i="32"/>
  <c r="T1098" i="32"/>
  <c r="T1169" i="32"/>
  <c r="T812" i="32"/>
  <c r="T532" i="32"/>
  <c r="T941" i="32"/>
  <c r="T765" i="32"/>
  <c r="T954" i="32"/>
  <c r="T520" i="32"/>
  <c r="T354" i="32"/>
  <c r="T931" i="32"/>
  <c r="T955" i="32"/>
  <c r="T1285" i="32"/>
  <c r="T235" i="32"/>
  <c r="T915" i="32"/>
  <c r="T649" i="32"/>
  <c r="T214" i="32"/>
  <c r="T1160" i="32"/>
  <c r="T426" i="32"/>
  <c r="T382" i="32"/>
  <c r="T1288" i="32"/>
  <c r="T122" i="32"/>
  <c r="T889" i="32"/>
  <c r="T180" i="32"/>
  <c r="T535" i="32"/>
  <c r="T650" i="32"/>
  <c r="T651" i="32"/>
  <c r="T1274" i="32"/>
  <c r="T464" i="32"/>
  <c r="T514" i="32"/>
  <c r="T352" i="32"/>
  <c r="T319" i="32"/>
  <c r="T1281" i="32"/>
  <c r="T123" i="32"/>
  <c r="T263" i="32"/>
  <c r="T938" i="32"/>
  <c r="T943" i="32"/>
  <c r="T1186" i="32"/>
  <c r="T733" i="32"/>
  <c r="T1137" i="32"/>
  <c r="T199" i="32"/>
  <c r="T1220" i="32"/>
  <c r="T1212" i="32"/>
  <c r="T962" i="32"/>
  <c r="T1289" i="32"/>
  <c r="T566" i="32"/>
  <c r="T265" i="32"/>
  <c r="T1263" i="32"/>
  <c r="T1163" i="32"/>
  <c r="T527" i="32"/>
  <c r="T406" i="32"/>
  <c r="T971" i="32"/>
  <c r="T288" i="32"/>
  <c r="T379" i="32"/>
  <c r="T885" i="32"/>
  <c r="T160" i="32"/>
  <c r="T985" i="32"/>
  <c r="T970" i="32"/>
  <c r="T339" i="32"/>
  <c r="T1287" i="32"/>
  <c r="T772" i="32"/>
  <c r="T692" i="32"/>
  <c r="T825" i="32"/>
  <c r="T1258" i="32"/>
  <c r="T175" i="32"/>
  <c r="T409" i="32"/>
  <c r="T469" i="32"/>
  <c r="T1103" i="32"/>
  <c r="T419" i="32"/>
  <c r="T1290" i="32"/>
  <c r="T1233" i="32"/>
  <c r="T1052" i="32"/>
  <c r="T992" i="32"/>
  <c r="T400" i="32"/>
  <c r="T993" i="32"/>
  <c r="T569" i="32"/>
  <c r="T835" i="32"/>
  <c r="T901" i="32"/>
  <c r="T541" i="32"/>
  <c r="T1276" i="32"/>
  <c r="T322" i="32"/>
  <c r="T978" i="32"/>
  <c r="T1112" i="32"/>
  <c r="T1051" i="32"/>
  <c r="T1203" i="32"/>
  <c r="T158" i="32"/>
  <c r="T506" i="32"/>
  <c r="T908" i="32"/>
  <c r="T925" i="32"/>
  <c r="T1066" i="32"/>
  <c r="T1259" i="32"/>
  <c r="T652" i="32"/>
  <c r="T1201" i="32"/>
  <c r="T994" i="32"/>
  <c r="T1264" i="32"/>
  <c r="T798" i="32"/>
  <c r="T777" i="32"/>
  <c r="T489" i="32"/>
  <c r="T737" i="32"/>
  <c r="T1269" i="32"/>
  <c r="T1277" i="32"/>
  <c r="T1291" i="32"/>
  <c r="T1134" i="32"/>
  <c r="T805" i="32"/>
  <c r="T259" i="32"/>
  <c r="T968" i="32"/>
  <c r="T842" i="32"/>
  <c r="T1181" i="32"/>
  <c r="T838" i="32"/>
  <c r="T864" i="32"/>
  <c r="T1105" i="32"/>
  <c r="T580" i="32"/>
  <c r="T226" i="32"/>
  <c r="T1108" i="32"/>
  <c r="T462" i="32"/>
  <c r="T1177" i="32"/>
  <c r="T1294" i="32"/>
  <c r="T241" i="32"/>
  <c r="T334" i="32"/>
  <c r="T653" i="32"/>
  <c r="T1299" i="32"/>
  <c r="T748" i="32"/>
  <c r="T398" i="32"/>
  <c r="T654" i="32"/>
  <c r="T1152" i="32"/>
  <c r="T1278" i="32"/>
  <c r="T518" i="32"/>
  <c r="T1138" i="32"/>
  <c r="T559" i="32"/>
  <c r="T164" i="32"/>
  <c r="T920" i="32"/>
  <c r="T446" i="32"/>
  <c r="T1293" i="32"/>
  <c r="T383" i="32"/>
  <c r="T1041" i="32"/>
  <c r="T1016" i="32"/>
  <c r="T1295" i="32"/>
  <c r="T1235" i="32"/>
  <c r="T1084" i="32"/>
  <c r="T363" i="32"/>
  <c r="T333" i="32"/>
  <c r="T415" i="32"/>
  <c r="T250" i="32"/>
  <c r="T1298" i="32"/>
  <c r="T340" i="32"/>
  <c r="T396" i="32"/>
  <c r="T260" i="32"/>
  <c r="T1286" i="32"/>
  <c r="T1018" i="32"/>
  <c r="T1238" i="32"/>
  <c r="T979" i="32"/>
  <c r="T725" i="32"/>
  <c r="T869" i="32"/>
  <c r="T711" i="32"/>
  <c r="T1158" i="32"/>
  <c r="T872" i="32"/>
  <c r="T1187" i="32"/>
  <c r="T1300" i="32"/>
  <c r="T1301" i="32"/>
  <c r="T1262" i="32"/>
  <c r="T493" i="32"/>
  <c r="T1199" i="32"/>
  <c r="T386" i="32"/>
  <c r="T752" i="32"/>
  <c r="T1215" i="32"/>
  <c r="T341" i="32"/>
  <c r="T1256" i="32"/>
  <c r="T1113" i="32"/>
  <c r="T683" i="32"/>
  <c r="K1129" i="32"/>
  <c r="L1129" i="32"/>
  <c r="K921" i="32"/>
  <c r="L921" i="32"/>
  <c r="K145" i="32"/>
  <c r="L145" i="32"/>
  <c r="K445" i="32"/>
  <c r="L445" i="32"/>
  <c r="K500" i="32"/>
  <c r="L500" i="32"/>
  <c r="K1074" i="32"/>
  <c r="L1074" i="32"/>
  <c r="K1148" i="32"/>
  <c r="L1148" i="32"/>
  <c r="K1025" i="32"/>
  <c r="L1025" i="32"/>
  <c r="K1281" i="32"/>
  <c r="L1281" i="32"/>
  <c r="K1155" i="32"/>
  <c r="L1155" i="32"/>
  <c r="K446" i="32"/>
  <c r="L446" i="32"/>
  <c r="K163" i="32"/>
  <c r="L163" i="32"/>
  <c r="K32" i="32"/>
  <c r="L32" i="32"/>
  <c r="K733" i="32"/>
  <c r="L733" i="32"/>
  <c r="K291" i="32"/>
  <c r="L291" i="32"/>
  <c r="K441" i="32"/>
  <c r="L441" i="32"/>
  <c r="K375" i="32"/>
  <c r="L375" i="32"/>
  <c r="K190" i="32"/>
  <c r="L190" i="32"/>
  <c r="K1185" i="32"/>
  <c r="L1185" i="32"/>
  <c r="K1256" i="32"/>
  <c r="L1256" i="32"/>
  <c r="K1042" i="32"/>
  <c r="L1042" i="32"/>
  <c r="K950" i="32"/>
  <c r="L950" i="32"/>
  <c r="K782" i="32"/>
  <c r="L782" i="32"/>
  <c r="K673" i="32"/>
  <c r="L673" i="32"/>
  <c r="K823" i="32"/>
  <c r="L823" i="32"/>
  <c r="K716" i="32"/>
  <c r="L716" i="32"/>
  <c r="K707" i="32"/>
  <c r="L707" i="32"/>
  <c r="K899" i="32"/>
  <c r="L899" i="32"/>
  <c r="K531" i="32"/>
  <c r="L531" i="32"/>
  <c r="K364" i="32"/>
  <c r="L364" i="32"/>
  <c r="K113" i="32"/>
  <c r="L113" i="32"/>
  <c r="K710" i="32"/>
  <c r="L710" i="32"/>
  <c r="K1005" i="32"/>
  <c r="L1005" i="32"/>
  <c r="K1269" i="32"/>
  <c r="L1269" i="32"/>
  <c r="K885" i="32"/>
  <c r="L885" i="32"/>
  <c r="K664" i="32"/>
  <c r="L664" i="32"/>
  <c r="K613" i="32"/>
  <c r="L613" i="32"/>
  <c r="K123" i="32"/>
  <c r="L123" i="32"/>
  <c r="K892" i="32"/>
  <c r="L892" i="32"/>
  <c r="K722" i="32"/>
  <c r="L722" i="32"/>
  <c r="K48" i="32"/>
  <c r="L48" i="32"/>
  <c r="K327" i="32"/>
  <c r="L327" i="32"/>
  <c r="K1198" i="32"/>
  <c r="L1198" i="32"/>
  <c r="K872" i="32"/>
  <c r="L872" i="32"/>
  <c r="K160" i="32"/>
  <c r="L160" i="32"/>
  <c r="K201" i="32"/>
  <c r="L201" i="32"/>
  <c r="K74" i="32"/>
  <c r="L74" i="32"/>
  <c r="K33" i="32"/>
  <c r="L33" i="32"/>
  <c r="K1098" i="32"/>
  <c r="L1098" i="32"/>
  <c r="K271" i="32"/>
  <c r="L271" i="32"/>
  <c r="K255" i="32"/>
  <c r="L255" i="32"/>
  <c r="K1208" i="32"/>
  <c r="L1208" i="32"/>
  <c r="K1251" i="32"/>
  <c r="L1251" i="32"/>
  <c r="K1036" i="32"/>
  <c r="L1036" i="32"/>
  <c r="K79" i="32"/>
  <c r="L79" i="32"/>
  <c r="K302" i="32"/>
  <c r="L302" i="32"/>
  <c r="K267" i="32"/>
  <c r="L267" i="32"/>
  <c r="K727" i="32"/>
  <c r="L727" i="32"/>
  <c r="K293" i="32"/>
  <c r="L293" i="32"/>
  <c r="K330" i="32"/>
  <c r="L330" i="32"/>
  <c r="K610" i="32"/>
  <c r="L610" i="32"/>
  <c r="K282" i="32"/>
  <c r="L282" i="32"/>
  <c r="K381" i="32"/>
  <c r="L381" i="32"/>
  <c r="K511" i="32"/>
  <c r="L511" i="32"/>
  <c r="K300" i="32"/>
  <c r="L300" i="32"/>
  <c r="K1260" i="32"/>
  <c r="L1260" i="32"/>
  <c r="K173" i="32"/>
  <c r="L173" i="32"/>
  <c r="K1196" i="32"/>
  <c r="L1196" i="32"/>
  <c r="K30" i="32"/>
  <c r="L30" i="32"/>
  <c r="K110" i="32"/>
  <c r="L110" i="32"/>
  <c r="K430" i="32"/>
  <c r="L430" i="32"/>
  <c r="K370" i="32"/>
  <c r="L370" i="32"/>
  <c r="K731" i="32"/>
  <c r="L731" i="32"/>
  <c r="K961" i="32"/>
  <c r="L961" i="32"/>
  <c r="K252" i="32"/>
  <c r="L252" i="32"/>
  <c r="K708" i="32"/>
  <c r="L708" i="32"/>
  <c r="K101" i="32"/>
  <c r="L101" i="32"/>
  <c r="K89" i="32"/>
  <c r="L89" i="32"/>
  <c r="K365" i="32"/>
  <c r="L365" i="32"/>
  <c r="K802" i="32"/>
  <c r="L802" i="32"/>
  <c r="K938" i="32"/>
  <c r="L938" i="32"/>
  <c r="K226" i="32"/>
  <c r="L226" i="32"/>
  <c r="K985" i="32"/>
  <c r="L985" i="32"/>
  <c r="K235" i="32"/>
  <c r="L235" i="32"/>
  <c r="K382" i="32"/>
  <c r="L382" i="32"/>
  <c r="K534" i="32"/>
  <c r="L534" i="32"/>
  <c r="K1080" i="32"/>
  <c r="L1080" i="32"/>
  <c r="K689" i="32"/>
  <c r="L689" i="32"/>
  <c r="K602" i="32"/>
  <c r="L602" i="32"/>
  <c r="K132" i="32"/>
  <c r="L132" i="32"/>
  <c r="K200" i="32"/>
  <c r="L200" i="32"/>
  <c r="K410" i="32"/>
  <c r="L410" i="32"/>
  <c r="K926" i="32"/>
  <c r="L926" i="32"/>
  <c r="K131" i="32"/>
  <c r="L131" i="32"/>
  <c r="K51" i="32"/>
  <c r="L51" i="32"/>
  <c r="K654" i="32"/>
  <c r="L654" i="32"/>
  <c r="K11" i="32"/>
  <c r="L11" i="32"/>
  <c r="K367" i="32"/>
  <c r="L367" i="32"/>
  <c r="K912" i="32"/>
  <c r="L912" i="32"/>
  <c r="K49" i="32"/>
  <c r="L49" i="32"/>
  <c r="K993" i="32"/>
  <c r="L993" i="32"/>
  <c r="K543" i="32"/>
  <c r="L543" i="32"/>
  <c r="K165" i="32"/>
  <c r="L165" i="32"/>
  <c r="K1239" i="32"/>
  <c r="L1239" i="32"/>
  <c r="K477" i="32"/>
  <c r="L477" i="32"/>
  <c r="K573" i="32"/>
  <c r="L573" i="32"/>
  <c r="K783" i="32"/>
  <c r="L783" i="32"/>
  <c r="K526" i="32"/>
  <c r="L526" i="32"/>
  <c r="K1173" i="32"/>
  <c r="L1173" i="32"/>
  <c r="K148" i="32"/>
  <c r="L148" i="32"/>
  <c r="K634" i="32"/>
  <c r="L634" i="32"/>
  <c r="K64" i="32"/>
  <c r="L64" i="32"/>
  <c r="K547" i="32"/>
  <c r="L547" i="32"/>
  <c r="K1127" i="32"/>
  <c r="L1127" i="32"/>
  <c r="K1091" i="32"/>
  <c r="L1091" i="32"/>
  <c r="K465" i="32"/>
  <c r="L465" i="32"/>
  <c r="K129" i="32"/>
  <c r="L129" i="32"/>
  <c r="K697" i="32"/>
  <c r="L697" i="32"/>
  <c r="K1232" i="32"/>
  <c r="L1232" i="32"/>
  <c r="K1285" i="32"/>
  <c r="L1285" i="32"/>
  <c r="K354" i="32"/>
  <c r="L354" i="32"/>
  <c r="K933" i="32"/>
  <c r="L933" i="32"/>
  <c r="K1278" i="32"/>
  <c r="L1278" i="32"/>
  <c r="K1029" i="32"/>
  <c r="L1029" i="32"/>
  <c r="K1058" i="32"/>
  <c r="L1058" i="32"/>
  <c r="K328" i="32"/>
  <c r="L328" i="32"/>
  <c r="K771" i="32"/>
  <c r="L771" i="32"/>
  <c r="K1182" i="32"/>
  <c r="L1182" i="32"/>
  <c r="K334" i="32"/>
  <c r="L334" i="32"/>
  <c r="K541" i="32"/>
  <c r="L541" i="32"/>
  <c r="K750" i="32"/>
  <c r="L750" i="32"/>
  <c r="K1176" i="32"/>
  <c r="L1176" i="32"/>
  <c r="K161" i="32"/>
  <c r="L161" i="32"/>
  <c r="K997" i="32"/>
  <c r="L997" i="32"/>
  <c r="K205" i="32"/>
  <c r="L205" i="32"/>
  <c r="K212" i="32"/>
  <c r="L212" i="32"/>
  <c r="K400" i="32"/>
  <c r="L400" i="32"/>
  <c r="K316" i="32"/>
  <c r="L316" i="32"/>
  <c r="K371" i="32"/>
  <c r="L371" i="32"/>
  <c r="K1033" i="32"/>
  <c r="L1033" i="32"/>
  <c r="K81" i="32"/>
  <c r="L81" i="32"/>
  <c r="K275" i="32"/>
  <c r="L275" i="32"/>
  <c r="K805" i="32"/>
  <c r="L805" i="32"/>
  <c r="K245" i="32"/>
  <c r="L245" i="32"/>
  <c r="K1152" i="32"/>
  <c r="L1152" i="32"/>
  <c r="K435" i="32"/>
  <c r="L435" i="32"/>
  <c r="K242" i="32"/>
  <c r="L242" i="32"/>
  <c r="K1272" i="32"/>
  <c r="L1272" i="32"/>
  <c r="K835" i="32"/>
  <c r="L835" i="32"/>
  <c r="K1018" i="32"/>
  <c r="L1018" i="32"/>
  <c r="K223" i="32"/>
  <c r="L223" i="32"/>
  <c r="K164" i="32"/>
  <c r="L164" i="32"/>
  <c r="K206" i="32"/>
  <c r="L206" i="32"/>
  <c r="K1023" i="32"/>
  <c r="L1023" i="32"/>
  <c r="K1241" i="32"/>
  <c r="L1241" i="32"/>
  <c r="K21" i="32"/>
  <c r="L21" i="32"/>
  <c r="K839" i="32"/>
  <c r="L839" i="32"/>
  <c r="K903" i="32"/>
  <c r="L903" i="32"/>
  <c r="K54" i="32"/>
  <c r="L54" i="32"/>
  <c r="K666" i="32"/>
  <c r="L666" i="32"/>
  <c r="K1206" i="32"/>
  <c r="L1206" i="32"/>
  <c r="K296" i="32"/>
  <c r="L296" i="32"/>
  <c r="K638" i="32"/>
  <c r="L638" i="32"/>
  <c r="K887" i="32"/>
  <c r="L887" i="32"/>
  <c r="K108" i="32"/>
  <c r="L108" i="32"/>
  <c r="K770" i="32"/>
  <c r="L770" i="32"/>
  <c r="K1118" i="32"/>
  <c r="L1118" i="32"/>
  <c r="K260" i="32"/>
  <c r="L260" i="32"/>
  <c r="K918" i="32"/>
  <c r="L918" i="32"/>
  <c r="K261" i="32"/>
  <c r="L261" i="32"/>
  <c r="K884" i="32"/>
  <c r="L884" i="32"/>
  <c r="K272" i="32"/>
  <c r="L272" i="32"/>
  <c r="K438" i="32"/>
  <c r="L438" i="32"/>
  <c r="K454" i="32"/>
  <c r="L454" i="32"/>
  <c r="K923" i="32"/>
  <c r="L923" i="32"/>
  <c r="K696" i="32"/>
  <c r="L696" i="32"/>
  <c r="K50" i="32"/>
  <c r="L50" i="32"/>
  <c r="K943" i="32"/>
  <c r="L943" i="32"/>
  <c r="K186" i="32"/>
  <c r="L186" i="32"/>
  <c r="K676" i="32"/>
  <c r="L676" i="32"/>
  <c r="K623" i="32"/>
  <c r="L623" i="32"/>
  <c r="K882" i="32"/>
  <c r="L882" i="32"/>
  <c r="K904" i="32"/>
  <c r="L904" i="32"/>
  <c r="K704" i="32"/>
  <c r="L704" i="32"/>
  <c r="K1096" i="32"/>
  <c r="L1096" i="32"/>
  <c r="K1082" i="32"/>
  <c r="L1082" i="32"/>
  <c r="K845" i="32"/>
  <c r="L845" i="32"/>
  <c r="K274" i="32"/>
  <c r="L274" i="32"/>
  <c r="K406" i="32"/>
  <c r="L406" i="32"/>
  <c r="K69" i="32"/>
  <c r="L69" i="32"/>
  <c r="K821" i="32"/>
  <c r="L821" i="32"/>
  <c r="K287" i="32"/>
  <c r="L287" i="32"/>
  <c r="K1165" i="32"/>
  <c r="L1165" i="32"/>
  <c r="K794" i="32"/>
  <c r="L794" i="32"/>
  <c r="K1052" i="32"/>
  <c r="L1052" i="32"/>
  <c r="K254" i="32"/>
  <c r="L254" i="32"/>
  <c r="K37" i="32"/>
  <c r="L37" i="32"/>
  <c r="K787" i="32"/>
  <c r="L787" i="32"/>
  <c r="K967" i="32"/>
  <c r="L967" i="32"/>
  <c r="K1032" i="32"/>
  <c r="L1032" i="32"/>
  <c r="K53" i="32"/>
  <c r="L53" i="32"/>
  <c r="K115" i="32"/>
  <c r="L115" i="32"/>
  <c r="K508" i="32"/>
  <c r="L508" i="32"/>
  <c r="K1151" i="32"/>
  <c r="L1151" i="32"/>
  <c r="K1200" i="32"/>
  <c r="L1200" i="32"/>
  <c r="K395" i="32"/>
  <c r="L395" i="32"/>
  <c r="K1209" i="32"/>
  <c r="L1209" i="32"/>
  <c r="K317" i="32"/>
  <c r="L317" i="32"/>
  <c r="K995" i="32"/>
  <c r="L995" i="32"/>
  <c r="K95" i="32"/>
  <c r="L95" i="32"/>
  <c r="K682" i="32"/>
  <c r="L682" i="32"/>
  <c r="K568" i="32"/>
  <c r="L568" i="32"/>
  <c r="K498" i="32"/>
  <c r="L498" i="32"/>
  <c r="K1202" i="32"/>
  <c r="L1202" i="32"/>
  <c r="K786" i="32"/>
  <c r="L786" i="32"/>
  <c r="K662" i="32"/>
  <c r="L662" i="32"/>
  <c r="K774" i="32"/>
  <c r="L774" i="32"/>
  <c r="K841" i="32"/>
  <c r="L841" i="32"/>
  <c r="K1264" i="32"/>
  <c r="L1264" i="32"/>
  <c r="K1113" i="32"/>
  <c r="L1113" i="32"/>
  <c r="K725" i="32"/>
  <c r="L725" i="32"/>
  <c r="K849" i="32"/>
  <c r="L849" i="32"/>
  <c r="K833" i="32"/>
  <c r="L833" i="32"/>
  <c r="K174" i="32"/>
  <c r="L174" i="32"/>
  <c r="K978" i="32"/>
  <c r="L978" i="32"/>
  <c r="K924" i="32"/>
  <c r="L924" i="32"/>
  <c r="K276" i="32"/>
  <c r="L276" i="32"/>
  <c r="K219" i="32"/>
  <c r="L219" i="32"/>
  <c r="K521" i="32"/>
  <c r="L521" i="32"/>
  <c r="K239" i="32"/>
  <c r="L239" i="32"/>
  <c r="K431" i="32"/>
  <c r="L431" i="32"/>
  <c r="K977" i="32"/>
  <c r="L977" i="32"/>
  <c r="K16" i="32"/>
  <c r="L16" i="32"/>
  <c r="K969" i="32"/>
  <c r="L969" i="32"/>
  <c r="K1099" i="32"/>
  <c r="L1099" i="32"/>
  <c r="K298" i="32"/>
  <c r="L298" i="32"/>
  <c r="K932" i="32"/>
  <c r="L932" i="32"/>
  <c r="K1217" i="32"/>
  <c r="L1217" i="32"/>
  <c r="K447" i="32"/>
  <c r="L447" i="32"/>
  <c r="K1086" i="32"/>
  <c r="L1086" i="32"/>
  <c r="K304" i="32"/>
  <c r="L304" i="32"/>
  <c r="K1027" i="32"/>
  <c r="L1027" i="32"/>
  <c r="K1286" i="32"/>
  <c r="L1286" i="32"/>
  <c r="K99" i="32"/>
  <c r="L99" i="32"/>
  <c r="K618" i="32"/>
  <c r="L618" i="32"/>
  <c r="K121" i="32"/>
  <c r="L121" i="32"/>
  <c r="K529" i="32"/>
  <c r="L529" i="32"/>
  <c r="K1111" i="32"/>
  <c r="L1111" i="32"/>
  <c r="K793" i="32"/>
  <c r="L793" i="32"/>
  <c r="K111" i="32"/>
  <c r="L111" i="32"/>
  <c r="K795" i="32"/>
  <c r="L795" i="32"/>
  <c r="K546" i="32"/>
  <c r="L546" i="32"/>
  <c r="K358" i="32"/>
  <c r="L358" i="32"/>
  <c r="K211" i="32"/>
  <c r="L211" i="32"/>
  <c r="K953" i="32"/>
  <c r="L953" i="32"/>
  <c r="K1146" i="32"/>
  <c r="L1146" i="32"/>
  <c r="K863" i="32"/>
  <c r="L863" i="32"/>
  <c r="K323" i="32"/>
  <c r="L323" i="32"/>
  <c r="K690" i="32"/>
  <c r="L690" i="32"/>
  <c r="K1030" i="32"/>
  <c r="L1030" i="32"/>
  <c r="K155" i="32"/>
  <c r="L155" i="32"/>
  <c r="K1174" i="32"/>
  <c r="L1174" i="32"/>
  <c r="K1116" i="32"/>
  <c r="L1116" i="32"/>
  <c r="K1230" i="32"/>
  <c r="L1230" i="32"/>
  <c r="K442" i="32"/>
  <c r="L442" i="32"/>
  <c r="K934" i="32"/>
  <c r="L934" i="32"/>
  <c r="K942" i="32"/>
  <c r="L942" i="32"/>
  <c r="K241" i="32"/>
  <c r="L241" i="32"/>
  <c r="K583" i="32"/>
  <c r="L583" i="32"/>
  <c r="K210" i="32"/>
  <c r="L210" i="32"/>
  <c r="K515" i="32"/>
  <c r="L515" i="32"/>
  <c r="K1083" i="32"/>
  <c r="L1083" i="32"/>
  <c r="K1016" i="32"/>
  <c r="L1016" i="32"/>
  <c r="K22" i="32"/>
  <c r="L22" i="32"/>
  <c r="K962" i="32"/>
  <c r="L962" i="32"/>
  <c r="K559" i="32"/>
  <c r="L559" i="32"/>
  <c r="K231" i="32"/>
  <c r="L231" i="32"/>
  <c r="K1255" i="32"/>
  <c r="L1255" i="32"/>
  <c r="K1088" i="32"/>
  <c r="L1088" i="32"/>
  <c r="K1228" i="32"/>
  <c r="L1228" i="32"/>
  <c r="K1002" i="32"/>
  <c r="L1002" i="32"/>
  <c r="K499" i="32"/>
  <c r="L499" i="32"/>
  <c r="K651" i="32"/>
  <c r="L651" i="32"/>
  <c r="K507" i="32"/>
  <c r="L507" i="32"/>
  <c r="K703" i="32"/>
  <c r="L703" i="32"/>
  <c r="K806" i="32"/>
  <c r="L806" i="32"/>
  <c r="K1066" i="32"/>
  <c r="L1066" i="32"/>
  <c r="K280" i="32"/>
  <c r="L280" i="32"/>
  <c r="K994" i="32"/>
  <c r="L994" i="32"/>
  <c r="K545" i="32"/>
  <c r="L545" i="32"/>
  <c r="K871" i="32"/>
  <c r="L871" i="32"/>
  <c r="K67" i="32"/>
  <c r="L67" i="32"/>
  <c r="K1233" i="32"/>
  <c r="L1233" i="32"/>
  <c r="K1188" i="32"/>
  <c r="L1188" i="32"/>
  <c r="K135" i="32"/>
  <c r="L135" i="32"/>
  <c r="K457" i="32"/>
  <c r="L457" i="32"/>
  <c r="K752" i="32"/>
  <c r="L752" i="32"/>
  <c r="K742" i="32"/>
  <c r="L742" i="32"/>
  <c r="K1022" i="32"/>
  <c r="L1022" i="32"/>
  <c r="K147" i="32"/>
  <c r="L147" i="32"/>
  <c r="K128" i="32"/>
  <c r="L128" i="32"/>
  <c r="K117" i="32"/>
  <c r="L117" i="32"/>
  <c r="K698" i="32"/>
  <c r="L698" i="32"/>
  <c r="K579" i="32"/>
  <c r="L579" i="32"/>
  <c r="K565" i="32"/>
  <c r="L565" i="32"/>
  <c r="K661" i="32"/>
  <c r="L661" i="32"/>
  <c r="K397" i="32"/>
  <c r="L397" i="32"/>
  <c r="K62" i="32"/>
  <c r="L62" i="32"/>
  <c r="K859" i="32"/>
  <c r="L859" i="32"/>
  <c r="K392" i="32"/>
  <c r="L392" i="32"/>
  <c r="K974" i="32"/>
  <c r="L974" i="32"/>
  <c r="K225" i="32"/>
  <c r="L225" i="32"/>
  <c r="K9" i="32"/>
  <c r="L9" i="32"/>
  <c r="K414" i="32"/>
  <c r="L414" i="32"/>
  <c r="K854" i="32"/>
  <c r="L854" i="32"/>
  <c r="K1297" i="32"/>
  <c r="L1297" i="32"/>
  <c r="K139" i="32"/>
  <c r="L139" i="32"/>
  <c r="K592" i="32"/>
  <c r="L592" i="32"/>
  <c r="K247" i="32"/>
  <c r="L247" i="32"/>
  <c r="K737" i="32"/>
  <c r="L737" i="32"/>
  <c r="K617" i="32"/>
  <c r="L617" i="32"/>
  <c r="K982" i="32"/>
  <c r="L982" i="32"/>
  <c r="K678" i="32"/>
  <c r="L678" i="32"/>
  <c r="K736" i="32"/>
  <c r="L736" i="32"/>
  <c r="K403" i="32"/>
  <c r="L403" i="32"/>
  <c r="K118" i="32"/>
  <c r="L118" i="32"/>
  <c r="K800" i="32"/>
  <c r="L800" i="32"/>
  <c r="K939" i="32"/>
  <c r="L939" i="32"/>
  <c r="K516" i="32"/>
  <c r="L516" i="32"/>
  <c r="K711" i="32"/>
  <c r="L711" i="32"/>
  <c r="K1020" i="32"/>
  <c r="L1020" i="32"/>
  <c r="K865" i="32"/>
  <c r="L865" i="32"/>
  <c r="K342" i="32"/>
  <c r="L342" i="32"/>
  <c r="K1110" i="32"/>
  <c r="L1110" i="32"/>
  <c r="K955" i="32"/>
  <c r="L955" i="32"/>
  <c r="K286" i="32"/>
  <c r="L286" i="32"/>
  <c r="K1288" i="32"/>
  <c r="L1288" i="32"/>
  <c r="K426" i="32"/>
  <c r="L426" i="32"/>
  <c r="K1163" i="32"/>
  <c r="L1163" i="32"/>
  <c r="K379" i="32"/>
  <c r="L379" i="32"/>
  <c r="K522" i="32"/>
  <c r="L522" i="32"/>
  <c r="K645" i="32"/>
  <c r="L645" i="32"/>
  <c r="K734" i="32"/>
  <c r="L734" i="32"/>
  <c r="K427" i="32"/>
  <c r="L427" i="32"/>
  <c r="K900" i="32"/>
  <c r="L900" i="32"/>
  <c r="K1121" i="32"/>
  <c r="L1121" i="32"/>
  <c r="K85" i="32"/>
  <c r="L85" i="32"/>
  <c r="K177" i="32"/>
  <c r="L177" i="32"/>
  <c r="K877" i="32"/>
  <c r="L877" i="32"/>
  <c r="K394" i="32"/>
  <c r="L394" i="32"/>
  <c r="K552" i="32"/>
  <c r="L552" i="32"/>
  <c r="K1045" i="32"/>
  <c r="L1045" i="32"/>
  <c r="K455" i="32"/>
  <c r="L455" i="32"/>
  <c r="K351" i="32"/>
  <c r="L351" i="32"/>
  <c r="K325" i="32"/>
  <c r="L325" i="32"/>
  <c r="K851" i="32"/>
  <c r="L851" i="32"/>
  <c r="K1290" i="32"/>
  <c r="L1290" i="32"/>
  <c r="K264" i="32"/>
  <c r="L264" i="32"/>
  <c r="K244" i="32"/>
  <c r="L244" i="32"/>
  <c r="K595" i="32"/>
  <c r="L595" i="32"/>
  <c r="K765" i="32"/>
  <c r="L765" i="32"/>
  <c r="K916" i="32"/>
  <c r="L916" i="32"/>
  <c r="K144" i="32"/>
  <c r="L144" i="32"/>
  <c r="K589" i="32"/>
  <c r="L589" i="32"/>
  <c r="K146" i="32"/>
  <c r="L146" i="32"/>
  <c r="K889" i="32"/>
  <c r="L889" i="32"/>
  <c r="K166" i="32"/>
  <c r="L166" i="32"/>
  <c r="K19" i="32"/>
  <c r="L19" i="32"/>
  <c r="K928" i="32"/>
  <c r="L928" i="32"/>
  <c r="K448" i="32"/>
  <c r="L448" i="32"/>
  <c r="K220" i="32"/>
  <c r="L220" i="32"/>
  <c r="K1259" i="32"/>
  <c r="L1259" i="32"/>
  <c r="K1095" i="32"/>
  <c r="L1095" i="32"/>
  <c r="K319" i="32"/>
  <c r="L319" i="32"/>
  <c r="K929" i="32"/>
  <c r="L929" i="32"/>
  <c r="K1284" i="32"/>
  <c r="L1284" i="32"/>
  <c r="K269" i="32"/>
  <c r="L269" i="32"/>
  <c r="K443" i="32"/>
  <c r="L443" i="32"/>
  <c r="K896" i="32"/>
  <c r="L896" i="32"/>
  <c r="K1180" i="32"/>
  <c r="L1180" i="32"/>
  <c r="K1186" i="32"/>
  <c r="L1186" i="32"/>
  <c r="K180" i="32"/>
  <c r="L180" i="32"/>
  <c r="K635" i="32"/>
  <c r="L635" i="32"/>
  <c r="K998" i="32"/>
  <c r="L998" i="32"/>
  <c r="K625" i="32"/>
  <c r="L625" i="32"/>
  <c r="K1170" i="32"/>
  <c r="L1170" i="32"/>
  <c r="K352" i="32"/>
  <c r="L352" i="32"/>
  <c r="K1210" i="32"/>
  <c r="L1210" i="32"/>
  <c r="K944" i="32"/>
  <c r="L944" i="32"/>
  <c r="K1242" i="32"/>
  <c r="L1242" i="32"/>
  <c r="K817" i="32"/>
  <c r="L817" i="32"/>
  <c r="K482" i="32"/>
  <c r="L482" i="32"/>
  <c r="K776" i="32"/>
  <c r="L776" i="32"/>
  <c r="K1205" i="32"/>
  <c r="L1205" i="32"/>
  <c r="K63" i="32"/>
  <c r="L63" i="32"/>
  <c r="K1139" i="32"/>
  <c r="L1139" i="32"/>
  <c r="K1201" i="32"/>
  <c r="L1201" i="32"/>
  <c r="K622" i="32"/>
  <c r="L622" i="32"/>
  <c r="K538" i="32"/>
  <c r="L538" i="32"/>
  <c r="K1266" i="32"/>
  <c r="L1266" i="32"/>
  <c r="K207" i="32"/>
  <c r="L207" i="32"/>
  <c r="K104" i="32"/>
  <c r="L104" i="32"/>
  <c r="K772" i="32"/>
  <c r="L772" i="32"/>
  <c r="K199" i="32"/>
  <c r="L199" i="32"/>
  <c r="K440" i="32"/>
  <c r="L440" i="32"/>
  <c r="K297" i="32"/>
  <c r="L297" i="32"/>
  <c r="K972" i="32"/>
  <c r="L972" i="32"/>
  <c r="K97" i="32"/>
  <c r="L97" i="32"/>
  <c r="K493" i="32"/>
  <c r="L493" i="32"/>
  <c r="K746" i="32"/>
  <c r="L746" i="32"/>
  <c r="K68" i="32"/>
  <c r="L68" i="32"/>
  <c r="K136" i="32"/>
  <c r="L136" i="32"/>
  <c r="K56" i="32"/>
  <c r="L56" i="32"/>
  <c r="K87" i="32"/>
  <c r="L87" i="32"/>
  <c r="K1193" i="32"/>
  <c r="L1193" i="32"/>
  <c r="K719" i="32"/>
  <c r="L719" i="32"/>
  <c r="K153" i="32"/>
  <c r="L153" i="32"/>
  <c r="K1047" i="32"/>
  <c r="L1047" i="32"/>
  <c r="K143" i="32"/>
  <c r="L143" i="32"/>
  <c r="K407" i="32"/>
  <c r="L407" i="32"/>
  <c r="K1214" i="32"/>
  <c r="L1214" i="32"/>
  <c r="K504" i="32"/>
  <c r="L504" i="32"/>
  <c r="K754" i="32"/>
  <c r="L754" i="32"/>
  <c r="K609" i="32"/>
  <c r="L609" i="32"/>
  <c r="K685" i="32"/>
  <c r="L685" i="32"/>
  <c r="K563" i="32"/>
  <c r="L563" i="32"/>
  <c r="K812" i="32"/>
  <c r="L812" i="32"/>
  <c r="K1024" i="32"/>
  <c r="L1024" i="32"/>
  <c r="K796" i="32"/>
  <c r="L796" i="32"/>
  <c r="K474" i="32"/>
  <c r="L474" i="32"/>
  <c r="K1137" i="32"/>
  <c r="L1137" i="32"/>
  <c r="K1013" i="32"/>
  <c r="L1013" i="32"/>
  <c r="K709" i="32"/>
  <c r="L709" i="32"/>
  <c r="K331" i="32"/>
  <c r="L331" i="32"/>
  <c r="K743" i="32"/>
  <c r="L743" i="32"/>
  <c r="K1212" i="32"/>
  <c r="L1212" i="32"/>
  <c r="K523" i="32"/>
  <c r="L523" i="32"/>
  <c r="K343" i="32"/>
  <c r="L343" i="32"/>
  <c r="K1273" i="32"/>
  <c r="L1273" i="32"/>
  <c r="K1213" i="32"/>
  <c r="L1213" i="32"/>
  <c r="K284" i="32"/>
  <c r="L284" i="32"/>
  <c r="K791" i="32"/>
  <c r="L791" i="32"/>
  <c r="K878" i="32"/>
  <c r="L878" i="32"/>
  <c r="K535" i="32"/>
  <c r="L535" i="32"/>
  <c r="K1090" i="32"/>
  <c r="L1090" i="32"/>
  <c r="K20" i="32"/>
  <c r="L20" i="32"/>
  <c r="K822" i="32"/>
  <c r="L822" i="32"/>
  <c r="K880" i="32"/>
  <c r="L880" i="32"/>
  <c r="K560" i="32"/>
  <c r="L560" i="32"/>
  <c r="K544" i="32"/>
  <c r="L544" i="32"/>
  <c r="K758" i="32"/>
  <c r="L758" i="32"/>
  <c r="K481" i="32"/>
  <c r="L481" i="32"/>
  <c r="K603" i="32"/>
  <c r="L603" i="32"/>
  <c r="K404" i="32"/>
  <c r="L404" i="32"/>
  <c r="K399" i="32"/>
  <c r="L399" i="32"/>
  <c r="K464" i="32"/>
  <c r="L464" i="32"/>
  <c r="K369" i="32"/>
  <c r="L369" i="32"/>
  <c r="K561" i="32"/>
  <c r="L561" i="32"/>
  <c r="K172" i="32"/>
  <c r="L172" i="32"/>
  <c r="K258" i="32"/>
  <c r="L258" i="32"/>
  <c r="K554" i="32"/>
  <c r="L554" i="32"/>
  <c r="K130" i="32"/>
  <c r="L130" i="32"/>
  <c r="K1301" i="32"/>
  <c r="L1301" i="32"/>
  <c r="K340" i="32"/>
  <c r="L340" i="32"/>
  <c r="K779" i="32"/>
  <c r="L779" i="32"/>
  <c r="K657" i="32"/>
  <c r="L657" i="32"/>
  <c r="K656" i="32"/>
  <c r="L656" i="32"/>
  <c r="K265" i="32"/>
  <c r="L265" i="32"/>
  <c r="K1140" i="32"/>
  <c r="L1140" i="32"/>
  <c r="K826" i="32"/>
  <c r="L826" i="32"/>
  <c r="K189" i="32"/>
  <c r="L189" i="32"/>
  <c r="K1247" i="32"/>
  <c r="L1247" i="32"/>
  <c r="K449" i="32"/>
  <c r="L449" i="32"/>
  <c r="K614" i="32"/>
  <c r="L614" i="32"/>
  <c r="K631" i="32"/>
  <c r="L631" i="32"/>
  <c r="K766" i="32"/>
  <c r="L766" i="32"/>
  <c r="K1059" i="32"/>
  <c r="L1059" i="32"/>
  <c r="K581" i="32"/>
  <c r="L581" i="32"/>
  <c r="K360" i="32"/>
  <c r="L360" i="32"/>
  <c r="K102" i="32"/>
  <c r="L102" i="32"/>
  <c r="K1192" i="32"/>
  <c r="L1192" i="32"/>
  <c r="K1225" i="32"/>
  <c r="L1225" i="32"/>
  <c r="K84" i="32"/>
  <c r="L84" i="32"/>
  <c r="K721" i="32"/>
  <c r="L721" i="32"/>
  <c r="K181" i="32"/>
  <c r="L181" i="32"/>
  <c r="K509" i="32"/>
  <c r="L509" i="32"/>
  <c r="K604" i="32"/>
  <c r="L604" i="32"/>
  <c r="K513" i="32"/>
  <c r="L513" i="32"/>
  <c r="K425" i="32"/>
  <c r="L425" i="32"/>
  <c r="K1166" i="32"/>
  <c r="L1166" i="32"/>
  <c r="K879" i="32"/>
  <c r="L879" i="32"/>
  <c r="K40" i="32"/>
  <c r="L40" i="32"/>
  <c r="K1296" i="32"/>
  <c r="L1296" i="32"/>
  <c r="K1149" i="32"/>
  <c r="L1149" i="32"/>
  <c r="K1006" i="32"/>
  <c r="L1006" i="32"/>
  <c r="K677" i="32"/>
  <c r="L677" i="32"/>
  <c r="K472" i="32"/>
  <c r="L472" i="32"/>
  <c r="K971" i="32"/>
  <c r="L971" i="32"/>
  <c r="K214" i="32"/>
  <c r="L214" i="32"/>
  <c r="K1055" i="32"/>
  <c r="L1055" i="32"/>
  <c r="K1094" i="32"/>
  <c r="L1094" i="32"/>
  <c r="K533" i="32"/>
  <c r="L533" i="32"/>
  <c r="K636" i="32"/>
  <c r="L636" i="32"/>
  <c r="K1132" i="32"/>
  <c r="L1132" i="32"/>
  <c r="K250" i="32"/>
  <c r="L250" i="32"/>
  <c r="K462" i="32"/>
  <c r="L462" i="32"/>
  <c r="K158" i="32"/>
  <c r="L158" i="32"/>
  <c r="K266" i="32"/>
  <c r="L266" i="32"/>
  <c r="K988" i="32"/>
  <c r="L988" i="32"/>
  <c r="K555" i="32"/>
  <c r="L555" i="32"/>
  <c r="K577" i="32"/>
  <c r="L577" i="32"/>
  <c r="K611" i="32"/>
  <c r="L611" i="32"/>
  <c r="K931" i="32"/>
  <c r="L931" i="32"/>
  <c r="K1144" i="32"/>
  <c r="L1144" i="32"/>
  <c r="K1157" i="32"/>
  <c r="L1157" i="32"/>
  <c r="K1219" i="32"/>
  <c r="L1219" i="32"/>
  <c r="K133" i="32"/>
  <c r="L133" i="32"/>
  <c r="K14" i="32"/>
  <c r="L14" i="32"/>
  <c r="K1019" i="32"/>
  <c r="L1019" i="32"/>
  <c r="K1035" i="32"/>
  <c r="L1035" i="32"/>
  <c r="K6" i="32"/>
  <c r="L6" i="32"/>
  <c r="K911" i="32"/>
  <c r="L911" i="32"/>
  <c r="K66" i="32"/>
  <c r="L66" i="32"/>
  <c r="K1292" i="32"/>
  <c r="L1292" i="32"/>
  <c r="K740" i="32"/>
  <c r="L740" i="32"/>
  <c r="K202" i="32"/>
  <c r="L202" i="32"/>
  <c r="K203" i="32"/>
  <c r="L203" i="32"/>
  <c r="K588" i="32"/>
  <c r="L588" i="32"/>
  <c r="K77" i="32"/>
  <c r="L77" i="32"/>
  <c r="K556" i="32"/>
  <c r="L556" i="32"/>
  <c r="K958" i="32"/>
  <c r="L958" i="32"/>
  <c r="K788" i="32"/>
  <c r="L788" i="32"/>
  <c r="K713" i="32"/>
  <c r="L713" i="32"/>
  <c r="K598" i="32"/>
  <c r="L598" i="32"/>
  <c r="K1126" i="32"/>
  <c r="L1126" i="32"/>
  <c r="K471" i="32"/>
  <c r="L471" i="32"/>
  <c r="K966" i="32"/>
  <c r="L966" i="32"/>
  <c r="K188" i="32"/>
  <c r="L188" i="32"/>
  <c r="K626" i="32"/>
  <c r="L626" i="32"/>
  <c r="K193" i="32"/>
  <c r="L193" i="32"/>
  <c r="K466" i="32"/>
  <c r="L466" i="32"/>
  <c r="K1169" i="32"/>
  <c r="L1169" i="32"/>
  <c r="K764" i="32"/>
  <c r="L764" i="32"/>
  <c r="K600" i="32"/>
  <c r="L600" i="32"/>
  <c r="K1254" i="32"/>
  <c r="L1254" i="32"/>
  <c r="K564" i="32"/>
  <c r="L564" i="32"/>
  <c r="K957" i="32"/>
  <c r="L957" i="32"/>
  <c r="K232" i="32"/>
  <c r="L232" i="32"/>
  <c r="K1283" i="32"/>
  <c r="L1283" i="32"/>
  <c r="K893" i="32"/>
  <c r="L893" i="32"/>
  <c r="K109" i="32"/>
  <c r="L109" i="32"/>
  <c r="K846" i="32"/>
  <c r="L846" i="32"/>
  <c r="K637" i="32"/>
  <c r="L637" i="32"/>
  <c r="K520" i="32"/>
  <c r="L520" i="32"/>
  <c r="K1275" i="32"/>
  <c r="L1275" i="32"/>
  <c r="K510" i="32"/>
  <c r="L510" i="32"/>
  <c r="K1134" i="32"/>
  <c r="L1134" i="32"/>
  <c r="K536" i="32"/>
  <c r="L536" i="32"/>
  <c r="K692" i="32"/>
  <c r="L692" i="32"/>
  <c r="K570" i="32"/>
  <c r="L570" i="32"/>
  <c r="K842" i="32"/>
  <c r="L842" i="32"/>
  <c r="K1138" i="32"/>
  <c r="L1138" i="32"/>
  <c r="K864" i="32"/>
  <c r="L864" i="32"/>
  <c r="K313" i="32"/>
  <c r="L313" i="32"/>
  <c r="K1053" i="32"/>
  <c r="L1053" i="32"/>
  <c r="K937" i="32"/>
  <c r="L937" i="32"/>
  <c r="K807" i="32"/>
  <c r="L807" i="32"/>
  <c r="K372" i="32"/>
  <c r="L372" i="32"/>
  <c r="K1236" i="32"/>
  <c r="L1236" i="32"/>
  <c r="K187" i="32"/>
  <c r="L187" i="32"/>
  <c r="K550" i="32"/>
  <c r="L550" i="32"/>
  <c r="K1049" i="32"/>
  <c r="L1049" i="32"/>
  <c r="K243" i="32"/>
  <c r="L243" i="32"/>
  <c r="K421" i="32"/>
  <c r="L421" i="32"/>
  <c r="K1168" i="32"/>
  <c r="L1168" i="32"/>
  <c r="K1265" i="32"/>
  <c r="L1265" i="32"/>
  <c r="K948" i="32"/>
  <c r="L948" i="32"/>
  <c r="K182" i="32"/>
  <c r="L182" i="32"/>
  <c r="K629" i="32"/>
  <c r="L629" i="32"/>
  <c r="K383" i="32"/>
  <c r="L383" i="32"/>
  <c r="K1119" i="32"/>
  <c r="L1119" i="32"/>
  <c r="K1014" i="32"/>
  <c r="L1014" i="32"/>
  <c r="K1227" i="32"/>
  <c r="L1227" i="32"/>
  <c r="K486" i="32"/>
  <c r="L486" i="32"/>
  <c r="K1291" i="32"/>
  <c r="L1291" i="32"/>
  <c r="K405" i="32"/>
  <c r="L405" i="32"/>
  <c r="K402" i="32"/>
  <c r="L402" i="32"/>
  <c r="K587" i="32"/>
  <c r="L587" i="32"/>
  <c r="K273" i="32"/>
  <c r="L273" i="32"/>
  <c r="K1141" i="32"/>
  <c r="L1141" i="32"/>
  <c r="K305" i="32"/>
  <c r="L305" i="32"/>
  <c r="K1160" i="32"/>
  <c r="L1160" i="32"/>
  <c r="K459" i="32"/>
  <c r="L459" i="32"/>
  <c r="K582" i="32"/>
  <c r="L582" i="32"/>
  <c r="K398" i="32"/>
  <c r="L398" i="32"/>
  <c r="K416" i="32"/>
  <c r="L416" i="32"/>
  <c r="K475" i="32"/>
  <c r="L475" i="32"/>
  <c r="K322" i="32"/>
  <c r="L322" i="32"/>
  <c r="K1107" i="32"/>
  <c r="L1107" i="32"/>
  <c r="K46" i="32"/>
  <c r="L46" i="32"/>
  <c r="K1282" i="32"/>
  <c r="L1282" i="32"/>
  <c r="K114" i="32"/>
  <c r="L114" i="32"/>
  <c r="K249" i="32"/>
  <c r="L249" i="32"/>
  <c r="K532" i="32"/>
  <c r="L532" i="32"/>
  <c r="K979" i="32"/>
  <c r="L979" i="32"/>
  <c r="K1068" i="32"/>
  <c r="L1068" i="32"/>
  <c r="K803" i="32"/>
  <c r="L803" i="32"/>
  <c r="K198" i="32"/>
  <c r="L198" i="32"/>
  <c r="K1135" i="32"/>
  <c r="L1135" i="32"/>
  <c r="K1081" i="32"/>
  <c r="L1081" i="32"/>
  <c r="K945" i="32"/>
  <c r="L945" i="32"/>
  <c r="K251" i="32"/>
  <c r="L251" i="32"/>
  <c r="K1287" i="32"/>
  <c r="L1287" i="32"/>
  <c r="K386" i="32"/>
  <c r="L386" i="32"/>
  <c r="K686" i="32"/>
  <c r="L686" i="32"/>
  <c r="K450" i="32"/>
  <c r="L450" i="32"/>
  <c r="K688" i="32"/>
  <c r="L688" i="32"/>
  <c r="K906" i="32"/>
  <c r="L906" i="32"/>
  <c r="K816" i="32"/>
  <c r="L816" i="32"/>
  <c r="K460" i="32"/>
  <c r="L460" i="32"/>
  <c r="K964" i="32"/>
  <c r="L964" i="32"/>
  <c r="K935" i="32"/>
  <c r="L935" i="32"/>
  <c r="K789" i="32"/>
  <c r="L789" i="32"/>
  <c r="K1252" i="32"/>
  <c r="L1252" i="32"/>
  <c r="K641" i="32"/>
  <c r="L641" i="32"/>
  <c r="K643" i="32"/>
  <c r="L643" i="32"/>
  <c r="K755" i="32"/>
  <c r="L755" i="32"/>
  <c r="K569" i="32"/>
  <c r="L569" i="32"/>
  <c r="K909" i="32"/>
  <c r="L909" i="32"/>
  <c r="K785" i="32"/>
  <c r="L785" i="32"/>
  <c r="K314" i="32"/>
  <c r="L314" i="32"/>
  <c r="K1216" i="32"/>
  <c r="L1216" i="32"/>
  <c r="K615" i="32"/>
  <c r="L615" i="32"/>
  <c r="K1044" i="32"/>
  <c r="L1044" i="32"/>
  <c r="K1089" i="32"/>
  <c r="L1089" i="32"/>
  <c r="K701" i="32"/>
  <c r="L701" i="32"/>
  <c r="K1195" i="32"/>
  <c r="L1195" i="32"/>
  <c r="K93" i="32"/>
  <c r="L93" i="32"/>
  <c r="K1063" i="32"/>
  <c r="L1063" i="32"/>
  <c r="K897" i="32"/>
  <c r="L897" i="32"/>
  <c r="K596" i="32"/>
  <c r="L596" i="32"/>
  <c r="K1263" i="32"/>
  <c r="L1263" i="32"/>
  <c r="K891" i="32"/>
  <c r="L891" i="32"/>
  <c r="K134" i="32"/>
  <c r="L134" i="32"/>
  <c r="K566" i="32"/>
  <c r="L566" i="32"/>
  <c r="K228" i="32"/>
  <c r="L228" i="32"/>
  <c r="K1031" i="32"/>
  <c r="L1031" i="32"/>
  <c r="K1069" i="32"/>
  <c r="L1069" i="32"/>
  <c r="K437" i="32"/>
  <c r="L437" i="32"/>
  <c r="K1123" i="32"/>
  <c r="L1123" i="32"/>
  <c r="K1181" i="32"/>
  <c r="L1181" i="32"/>
  <c r="K373" i="32"/>
  <c r="L373" i="32"/>
  <c r="K1043" i="32"/>
  <c r="L1043" i="32"/>
  <c r="K574" i="32"/>
  <c r="L574" i="32"/>
  <c r="K312" i="32"/>
  <c r="L312" i="32"/>
  <c r="K1075" i="32"/>
  <c r="L1075" i="32"/>
  <c r="K359" i="32"/>
  <c r="L359" i="32"/>
  <c r="K621" i="32"/>
  <c r="L621" i="32"/>
  <c r="K335" i="32"/>
  <c r="L335" i="32"/>
  <c r="K495" i="32"/>
  <c r="L495" i="32"/>
  <c r="K549" i="32"/>
  <c r="L549" i="32"/>
  <c r="K70" i="32"/>
  <c r="L70" i="32"/>
  <c r="K1224" i="32"/>
  <c r="L1224" i="32"/>
  <c r="K930" i="32"/>
  <c r="L930" i="32"/>
  <c r="K1120" i="32"/>
  <c r="L1120" i="32"/>
  <c r="K183" i="32"/>
  <c r="L183" i="32"/>
  <c r="K1222" i="32"/>
  <c r="L1222" i="32"/>
  <c r="K814" i="32"/>
  <c r="L814" i="32"/>
  <c r="K268" i="32"/>
  <c r="L268" i="32"/>
  <c r="K732" i="32"/>
  <c r="L732" i="32"/>
  <c r="K987" i="32"/>
  <c r="L987" i="32"/>
  <c r="K825" i="32"/>
  <c r="L825" i="32"/>
  <c r="K18" i="32"/>
  <c r="L18" i="32"/>
  <c r="K524" i="32"/>
  <c r="L524" i="32"/>
  <c r="K195" i="32"/>
  <c r="L195" i="32"/>
  <c r="K234" i="32"/>
  <c r="L234" i="32"/>
  <c r="K915" i="32"/>
  <c r="L915" i="32"/>
  <c r="K947" i="32"/>
  <c r="L947" i="32"/>
  <c r="K213" i="32"/>
  <c r="L213" i="32"/>
  <c r="K702" i="32"/>
  <c r="L702" i="32"/>
  <c r="K105" i="32"/>
  <c r="L105" i="32"/>
  <c r="K1215" i="32"/>
  <c r="L1215" i="32"/>
  <c r="K288" i="32"/>
  <c r="L288" i="32"/>
  <c r="K506" i="32"/>
  <c r="L506" i="32"/>
  <c r="K467" i="32"/>
  <c r="L467" i="32"/>
  <c r="K853" i="32"/>
  <c r="L853" i="32"/>
  <c r="K1203" i="32"/>
  <c r="L1203" i="32"/>
  <c r="K1246" i="32"/>
  <c r="L1246" i="32"/>
  <c r="K116" i="32"/>
  <c r="L116" i="32"/>
  <c r="K1289" i="32"/>
  <c r="L1289" i="32"/>
  <c r="K107" i="32"/>
  <c r="L107" i="32"/>
  <c r="K142" i="32"/>
  <c r="L142" i="32"/>
  <c r="K1007" i="32"/>
  <c r="L1007" i="32"/>
  <c r="K401" i="32"/>
  <c r="L401" i="32"/>
  <c r="K1070" i="32"/>
  <c r="L1070" i="32"/>
  <c r="K1229" i="32"/>
  <c r="L1229" i="32"/>
  <c r="K253" i="32"/>
  <c r="L253" i="32"/>
  <c r="K154" i="32"/>
  <c r="L154" i="32"/>
  <c r="K1158" i="32"/>
  <c r="L1158" i="32"/>
  <c r="K278" i="32"/>
  <c r="L278" i="32"/>
  <c r="K925" i="32"/>
  <c r="L925" i="32"/>
  <c r="K1156" i="32"/>
  <c r="L1156" i="32"/>
  <c r="K451" i="32"/>
  <c r="L451" i="32"/>
  <c r="K463" i="32"/>
  <c r="L463" i="32"/>
  <c r="K141" i="32"/>
  <c r="L141" i="32"/>
  <c r="K960" i="32"/>
  <c r="L960" i="32"/>
  <c r="K1039" i="32"/>
  <c r="L1039" i="32"/>
  <c r="K1179" i="32"/>
  <c r="L1179" i="32"/>
  <c r="K1108" i="32"/>
  <c r="L1108" i="32"/>
  <c r="K170" i="32"/>
  <c r="L170" i="32"/>
  <c r="K908" i="32"/>
  <c r="L908" i="32"/>
  <c r="K1204" i="32"/>
  <c r="L1204" i="32"/>
  <c r="K920" i="32"/>
  <c r="L920" i="32"/>
  <c r="K954" i="32"/>
  <c r="L954" i="32"/>
  <c r="K1060" i="32"/>
  <c r="L1060" i="32"/>
  <c r="K321" i="32"/>
  <c r="L321" i="32"/>
  <c r="K913" i="32"/>
  <c r="L913" i="32"/>
  <c r="K344" i="32"/>
  <c r="L344" i="32"/>
  <c r="K1199" i="32"/>
  <c r="L1199" i="32"/>
  <c r="K283" i="32"/>
  <c r="L283" i="32"/>
  <c r="K208" i="32"/>
  <c r="L208" i="32"/>
  <c r="K308" i="32"/>
  <c r="L308" i="32"/>
  <c r="K1238" i="32"/>
  <c r="L1238" i="32"/>
  <c r="K936" i="32"/>
  <c r="L936" i="32"/>
  <c r="K917" i="32"/>
  <c r="L917" i="32"/>
  <c r="K175" i="32"/>
  <c r="L175" i="32"/>
  <c r="K436" i="32"/>
  <c r="L436" i="32"/>
  <c r="K270" i="32"/>
  <c r="L270" i="32"/>
  <c r="K1122" i="32"/>
  <c r="L1122" i="32"/>
  <c r="K1128" i="32"/>
  <c r="L1128" i="32"/>
  <c r="K361" i="32"/>
  <c r="L361" i="32"/>
  <c r="K1131" i="32"/>
  <c r="L1131" i="32"/>
  <c r="K1124" i="32"/>
  <c r="L1124" i="32"/>
  <c r="K347" i="32"/>
  <c r="L347" i="32"/>
  <c r="K820" i="32"/>
  <c r="L820" i="32"/>
  <c r="K990" i="32"/>
  <c r="L990" i="32"/>
  <c r="K473" i="32"/>
  <c r="L473" i="32"/>
  <c r="K94" i="32"/>
  <c r="L94" i="32"/>
  <c r="K1021" i="32"/>
  <c r="L1021" i="32"/>
  <c r="K17" i="32"/>
  <c r="L17" i="32"/>
  <c r="K417" i="32"/>
  <c r="L417" i="32"/>
  <c r="K452" i="32"/>
  <c r="L452" i="32"/>
  <c r="K798" i="32"/>
  <c r="L798" i="32"/>
  <c r="K263" i="32"/>
  <c r="L263" i="32"/>
  <c r="K1130" i="32"/>
  <c r="L1130" i="32"/>
  <c r="K476" i="32"/>
  <c r="L476" i="32"/>
  <c r="K1294" i="32"/>
  <c r="L1294" i="32"/>
  <c r="K137" i="32"/>
  <c r="L137" i="32"/>
  <c r="K176" i="32"/>
  <c r="L176" i="32"/>
  <c r="K377" i="32"/>
  <c r="L377" i="32"/>
  <c r="K620" i="32"/>
  <c r="L620" i="32"/>
  <c r="K687" i="32"/>
  <c r="L687" i="32"/>
  <c r="K411" i="32"/>
  <c r="L411" i="32"/>
  <c r="K307" i="32"/>
  <c r="L307" i="32"/>
  <c r="K209" i="32"/>
  <c r="L209" i="32"/>
  <c r="K951" i="32"/>
  <c r="L951" i="32"/>
  <c r="K980" i="32"/>
  <c r="L980" i="32"/>
  <c r="K914" i="32"/>
  <c r="L914" i="32"/>
  <c r="K1100" i="32"/>
  <c r="L1100" i="32"/>
  <c r="K1270" i="32"/>
  <c r="L1270" i="32"/>
  <c r="K632" i="32"/>
  <c r="L632" i="32"/>
  <c r="K1171" i="32"/>
  <c r="L1171" i="32"/>
  <c r="K413" i="32"/>
  <c r="L413" i="32"/>
  <c r="K1267" i="32"/>
  <c r="L1267" i="32"/>
  <c r="K883" i="32"/>
  <c r="L883" i="32"/>
  <c r="K3" i="32"/>
  <c r="L3" i="32"/>
  <c r="K553" i="32"/>
  <c r="L553" i="32"/>
  <c r="K1154" i="32"/>
  <c r="L1154" i="32"/>
  <c r="K491" i="32"/>
  <c r="L491" i="32"/>
  <c r="K888" i="32"/>
  <c r="L888" i="32"/>
  <c r="K75" i="32"/>
  <c r="L75" i="32"/>
  <c r="K927" i="32"/>
  <c r="L927" i="32"/>
  <c r="K61" i="32"/>
  <c r="L61" i="32"/>
  <c r="K162" i="32"/>
  <c r="L162" i="32"/>
  <c r="K646" i="32"/>
  <c r="L646" i="32"/>
  <c r="K152" i="32"/>
  <c r="L152" i="32"/>
  <c r="K530" i="32"/>
  <c r="L530" i="32"/>
  <c r="K1235" i="32"/>
  <c r="L1235" i="32"/>
  <c r="K970" i="32"/>
  <c r="L970" i="32"/>
  <c r="K218" i="32"/>
  <c r="L218" i="32"/>
  <c r="K1041" i="32"/>
  <c r="L1041" i="32"/>
  <c r="K396" i="32"/>
  <c r="L396" i="32"/>
  <c r="K1268" i="32"/>
  <c r="L1268" i="32"/>
  <c r="K480" i="32"/>
  <c r="L480" i="32"/>
  <c r="K1028" i="32"/>
  <c r="L1028" i="32"/>
  <c r="K844" i="32"/>
  <c r="L844" i="32"/>
  <c r="K1008" i="32"/>
  <c r="L1008" i="32"/>
  <c r="K320" i="32"/>
  <c r="L320" i="32"/>
  <c r="K1136" i="32"/>
  <c r="L1136" i="32"/>
  <c r="K1226" i="32"/>
  <c r="L1226" i="32"/>
  <c r="K420" i="32"/>
  <c r="L420" i="32"/>
  <c r="K1079" i="32"/>
  <c r="L1079" i="32"/>
  <c r="K1015" i="32"/>
  <c r="L1015" i="32"/>
  <c r="K1105" i="32"/>
  <c r="L1105" i="32"/>
  <c r="K238" i="32"/>
  <c r="L238" i="32"/>
  <c r="K867" i="32"/>
  <c r="L867" i="32"/>
  <c r="K1221" i="32"/>
  <c r="L1221" i="32"/>
  <c r="K1109" i="32"/>
  <c r="L1109" i="32"/>
  <c r="K1237" i="32"/>
  <c r="L1237" i="32"/>
  <c r="K518" i="32"/>
  <c r="L518" i="32"/>
  <c r="K13" i="32"/>
  <c r="L13" i="32"/>
  <c r="K119" i="32"/>
  <c r="L119" i="32"/>
  <c r="K1084" i="32"/>
  <c r="L1084" i="32"/>
  <c r="K350" i="32"/>
  <c r="L350" i="32"/>
  <c r="K103" i="32"/>
  <c r="L103" i="32"/>
  <c r="K792" i="32"/>
  <c r="L792" i="32"/>
  <c r="K259" i="32"/>
  <c r="L259" i="32"/>
  <c r="K311" i="32"/>
  <c r="L311" i="32"/>
  <c r="K748" i="32"/>
  <c r="L748" i="32"/>
  <c r="K38" i="32"/>
  <c r="L38" i="32"/>
  <c r="K991" i="32"/>
  <c r="L991" i="32"/>
  <c r="K492" i="32"/>
  <c r="L492" i="32"/>
  <c r="K303" i="32"/>
  <c r="L303" i="32"/>
  <c r="K1223" i="32"/>
  <c r="L1223" i="32"/>
  <c r="K723" i="32"/>
  <c r="L723" i="32"/>
  <c r="K90" i="32"/>
  <c r="L90" i="32"/>
  <c r="K759" i="32"/>
  <c r="L759" i="32"/>
  <c r="K179" i="32"/>
  <c r="L179" i="32"/>
  <c r="K468" i="32"/>
  <c r="L468" i="32"/>
  <c r="K1153" i="32"/>
  <c r="L1153" i="32"/>
  <c r="K71" i="32"/>
  <c r="L71" i="32"/>
  <c r="K318" i="32"/>
  <c r="L318" i="32"/>
  <c r="K409" i="32"/>
  <c r="L409" i="32"/>
  <c r="K1073" i="32"/>
  <c r="L1073" i="32"/>
  <c r="K80" i="32"/>
  <c r="L80" i="32"/>
  <c r="K751" i="32"/>
  <c r="L751" i="32"/>
  <c r="K423" i="32"/>
  <c r="L423" i="32"/>
  <c r="K542" i="32"/>
  <c r="L542" i="32"/>
  <c r="K941" i="32"/>
  <c r="L941" i="32"/>
  <c r="K100" i="32"/>
  <c r="L100" i="32"/>
  <c r="K640" i="32"/>
  <c r="L640" i="32"/>
  <c r="K222" i="32"/>
  <c r="L222" i="32"/>
  <c r="K777" i="32"/>
  <c r="L777" i="32"/>
  <c r="K956" i="32"/>
  <c r="L956" i="32"/>
  <c r="K1056" i="32"/>
  <c r="L1056" i="32"/>
  <c r="K894" i="32"/>
  <c r="L894" i="32"/>
  <c r="K363" i="32"/>
  <c r="L363" i="32"/>
  <c r="K976" i="32"/>
  <c r="L976" i="32"/>
  <c r="K647" i="32"/>
  <c r="L647" i="32"/>
  <c r="K668" i="32"/>
  <c r="L668" i="32"/>
  <c r="K606" i="32"/>
  <c r="L606" i="32"/>
  <c r="K684" i="32"/>
  <c r="L684" i="32"/>
  <c r="K850" i="32"/>
  <c r="L850" i="32"/>
  <c r="K1072" i="32"/>
  <c r="L1072" i="32"/>
  <c r="K458" i="32"/>
  <c r="L458" i="32"/>
  <c r="K204" i="32"/>
  <c r="L204" i="32"/>
  <c r="K639" i="32"/>
  <c r="L639" i="32"/>
  <c r="K1142" i="32"/>
  <c r="L1142" i="32"/>
  <c r="K42" i="32"/>
  <c r="L42" i="32"/>
  <c r="K488" i="32"/>
  <c r="L488" i="32"/>
  <c r="K60" i="32"/>
  <c r="L60" i="32"/>
  <c r="K949" i="32"/>
  <c r="L949" i="32"/>
  <c r="K1261" i="32"/>
  <c r="L1261" i="32"/>
  <c r="K739" i="32"/>
  <c r="L739" i="32"/>
  <c r="K1143" i="32"/>
  <c r="L1143" i="32"/>
  <c r="K712" i="32"/>
  <c r="L712" i="32"/>
  <c r="K659" i="32"/>
  <c r="L659" i="32"/>
  <c r="K819" i="32"/>
  <c r="L819" i="32"/>
  <c r="K843" i="32"/>
  <c r="L843" i="32"/>
  <c r="K1189" i="32"/>
  <c r="L1189" i="32"/>
  <c r="K55" i="32"/>
  <c r="L55" i="32"/>
  <c r="K527" i="32"/>
  <c r="L527" i="32"/>
  <c r="K389" i="32"/>
  <c r="L389" i="32"/>
  <c r="K594" i="32"/>
  <c r="L594" i="32"/>
  <c r="K729" i="32"/>
  <c r="L729" i="32"/>
  <c r="K986" i="32"/>
  <c r="L986" i="32"/>
  <c r="K996" i="32"/>
  <c r="L996" i="32"/>
  <c r="K642" i="32"/>
  <c r="L642" i="32"/>
  <c r="K217" i="32"/>
  <c r="L217" i="32"/>
  <c r="K1061" i="32"/>
  <c r="L1061" i="32"/>
  <c r="K374" i="32"/>
  <c r="L374" i="32"/>
  <c r="K290" i="32"/>
  <c r="L290" i="32"/>
  <c r="K674" i="32"/>
  <c r="L674" i="32"/>
  <c r="K1038" i="32"/>
  <c r="L1038" i="32"/>
  <c r="K380" i="32"/>
  <c r="L380" i="32"/>
  <c r="K281" i="32"/>
  <c r="L281" i="32"/>
  <c r="K1274" i="32"/>
  <c r="L1274" i="32"/>
  <c r="K1231" i="32"/>
  <c r="L1231" i="32"/>
  <c r="K968" i="32"/>
  <c r="L968" i="32"/>
  <c r="K670" i="32"/>
  <c r="L670" i="32"/>
  <c r="K769" i="32"/>
  <c r="L769" i="32"/>
  <c r="K830" i="32"/>
  <c r="L830" i="32"/>
  <c r="K895" i="32"/>
  <c r="L895" i="32"/>
  <c r="K1057" i="32"/>
  <c r="L1057" i="32"/>
  <c r="K138" i="32"/>
  <c r="L138" i="32"/>
  <c r="K122" i="32"/>
  <c r="L122" i="32"/>
  <c r="K810" i="32"/>
  <c r="L810" i="32"/>
  <c r="K240" i="32"/>
  <c r="L240" i="32"/>
  <c r="K551" i="32"/>
  <c r="L551" i="32"/>
  <c r="K168" i="32"/>
  <c r="L168" i="32"/>
  <c r="K412" i="32"/>
  <c r="L412" i="32"/>
  <c r="K784" i="32"/>
  <c r="L784" i="32"/>
  <c r="K728" i="32"/>
  <c r="L728" i="32"/>
  <c r="K315" i="32"/>
  <c r="L315" i="32"/>
  <c r="K2" i="32"/>
  <c r="L2" i="32"/>
  <c r="K1115" i="32"/>
  <c r="L1115" i="32"/>
  <c r="K1085" i="32"/>
  <c r="L1085" i="32"/>
  <c r="K838" i="32"/>
  <c r="L838" i="32"/>
  <c r="K1097" i="32"/>
  <c r="L1097" i="32"/>
  <c r="K384" i="32"/>
  <c r="L384" i="32"/>
  <c r="K607" i="32"/>
  <c r="L607" i="32"/>
  <c r="K197" i="32"/>
  <c r="L197" i="32"/>
  <c r="K1220" i="32"/>
  <c r="L1220" i="32"/>
  <c r="K23" i="32"/>
  <c r="L23" i="32"/>
  <c r="K391" i="32"/>
  <c r="L391" i="32"/>
  <c r="K580" i="32"/>
  <c r="L580" i="32"/>
  <c r="K870" i="32"/>
  <c r="L870" i="32"/>
  <c r="K1003" i="32"/>
  <c r="L1003" i="32"/>
  <c r="K171" i="32"/>
  <c r="L171" i="32"/>
  <c r="K439" i="32"/>
  <c r="L439" i="32"/>
  <c r="K699" i="32"/>
  <c r="L699" i="32"/>
  <c r="K1183" i="32"/>
  <c r="L1183" i="32"/>
  <c r="K224" i="32"/>
  <c r="L224" i="32"/>
  <c r="K965" i="32"/>
  <c r="L965" i="32"/>
  <c r="K781" i="32"/>
  <c r="L781" i="32"/>
  <c r="K1197" i="32"/>
  <c r="L1197" i="32"/>
  <c r="K487" i="32"/>
  <c r="L487" i="32"/>
  <c r="K591" i="32"/>
  <c r="L591" i="32"/>
  <c r="K98" i="32"/>
  <c r="L98" i="32"/>
  <c r="K348" i="32"/>
  <c r="L348" i="32"/>
  <c r="K881" i="32"/>
  <c r="L881" i="32"/>
  <c r="K1248" i="32"/>
  <c r="L1248" i="32"/>
  <c r="K355" i="32"/>
  <c r="L355" i="32"/>
  <c r="K469" i="32"/>
  <c r="L469" i="32"/>
  <c r="K237" i="32"/>
  <c r="L237" i="32"/>
  <c r="K1293" i="32"/>
  <c r="L1293" i="32"/>
  <c r="K192" i="32"/>
  <c r="L192" i="32"/>
  <c r="K902" i="32"/>
  <c r="L902" i="32"/>
  <c r="K390" i="32"/>
  <c r="L390" i="32"/>
  <c r="K124" i="32"/>
  <c r="L124" i="32"/>
  <c r="K185" i="32"/>
  <c r="L185" i="32"/>
  <c r="K167" i="32"/>
  <c r="L167" i="32"/>
  <c r="K1277" i="32"/>
  <c r="L1277" i="32"/>
  <c r="K96" i="32"/>
  <c r="L96" i="32"/>
  <c r="K663" i="32"/>
  <c r="L663" i="32"/>
  <c r="K357" i="32"/>
  <c r="L357" i="32"/>
  <c r="K24" i="32"/>
  <c r="L24" i="32"/>
  <c r="K1112" i="32"/>
  <c r="L1112" i="32"/>
  <c r="K514" i="32"/>
  <c r="L514" i="32"/>
  <c r="K339" i="32"/>
  <c r="L339" i="32"/>
  <c r="K528" i="32"/>
  <c r="L528" i="32"/>
  <c r="K376" i="32"/>
  <c r="L376" i="32"/>
  <c r="K44" i="32"/>
  <c r="L44" i="32"/>
  <c r="K671" i="32"/>
  <c r="L671" i="32"/>
  <c r="K749" i="32"/>
  <c r="L749" i="32"/>
  <c r="K910" i="32"/>
  <c r="L910" i="32"/>
  <c r="K233" i="32"/>
  <c r="L233" i="32"/>
  <c r="K773" i="32"/>
  <c r="L773" i="32"/>
  <c r="K1194" i="32"/>
  <c r="L1194" i="32"/>
  <c r="K356" i="32"/>
  <c r="L356" i="32"/>
  <c r="K1258" i="32"/>
  <c r="L1258" i="32"/>
  <c r="K946" i="32"/>
  <c r="L946" i="32"/>
  <c r="K27" i="32"/>
  <c r="L27" i="32"/>
  <c r="K1164" i="32"/>
  <c r="L1164" i="32"/>
  <c r="K1104" i="32"/>
  <c r="L1104" i="32"/>
  <c r="K227" i="32"/>
  <c r="L227" i="32"/>
  <c r="K332" i="32"/>
  <c r="L332" i="32"/>
  <c r="K1092" i="32"/>
  <c r="L1092" i="32"/>
  <c r="K34" i="32"/>
  <c r="L34" i="32"/>
  <c r="K680" i="32"/>
  <c r="L680" i="32"/>
  <c r="K834" i="32"/>
  <c r="L834" i="32"/>
  <c r="K1172" i="32"/>
  <c r="L1172" i="32"/>
  <c r="K324" i="32"/>
  <c r="L324" i="32"/>
  <c r="K309" i="32"/>
  <c r="L309" i="32"/>
  <c r="K983" i="32"/>
  <c r="L983" i="32"/>
  <c r="K1271" i="32"/>
  <c r="L1271" i="32"/>
  <c r="K169" i="32"/>
  <c r="L169" i="32"/>
  <c r="K41" i="32"/>
  <c r="L41" i="32"/>
  <c r="K497" i="32"/>
  <c r="L497" i="32"/>
  <c r="K36" i="32"/>
  <c r="L36" i="32"/>
  <c r="K869" i="32"/>
  <c r="L869" i="32"/>
  <c r="K999" i="32"/>
  <c r="L999" i="32"/>
  <c r="K1004" i="32"/>
  <c r="L1004" i="32"/>
  <c r="K539" i="32"/>
  <c r="L539" i="32"/>
  <c r="K652" i="32"/>
  <c r="L652" i="32"/>
  <c r="K714" i="32"/>
  <c r="L714" i="32"/>
  <c r="K484" i="32"/>
  <c r="L484" i="32"/>
  <c r="K813" i="32"/>
  <c r="L813" i="32"/>
  <c r="K1187" i="32"/>
  <c r="L1187" i="32"/>
  <c r="K818" i="32"/>
  <c r="L818" i="32"/>
  <c r="K215" i="32"/>
  <c r="L215" i="32"/>
  <c r="K1071" i="32"/>
  <c r="L1071" i="32"/>
  <c r="K1103" i="32"/>
  <c r="L1103" i="32"/>
  <c r="K890" i="32"/>
  <c r="L890" i="32"/>
  <c r="K353" i="32"/>
  <c r="L353" i="32"/>
  <c r="K1257" i="32"/>
  <c r="L1257" i="32"/>
  <c r="K418" i="32"/>
  <c r="L418" i="32"/>
  <c r="K868" i="32"/>
  <c r="L868" i="32"/>
  <c r="K1279" i="32"/>
  <c r="L1279" i="32"/>
  <c r="K52" i="32"/>
  <c r="L52" i="32"/>
  <c r="K57" i="32"/>
  <c r="L57" i="32"/>
  <c r="K648" i="32"/>
  <c r="L648" i="32"/>
  <c r="K78" i="32"/>
  <c r="L78" i="32"/>
  <c r="K693" i="32"/>
  <c r="L693" i="32"/>
  <c r="K756" i="32"/>
  <c r="L756" i="32"/>
  <c r="K975" i="32"/>
  <c r="L975" i="32"/>
  <c r="K7" i="32"/>
  <c r="L7" i="32"/>
  <c r="K599" i="32"/>
  <c r="L599" i="32"/>
  <c r="K76" i="32"/>
  <c r="L76" i="32"/>
  <c r="K757" i="32"/>
  <c r="L757" i="32"/>
  <c r="K456" i="32"/>
  <c r="L456" i="32"/>
  <c r="K992" i="32"/>
  <c r="L992" i="32"/>
  <c r="K1262" i="32"/>
  <c r="L1262" i="32"/>
  <c r="K1093" i="32"/>
  <c r="L1093" i="32"/>
  <c r="K578" i="32"/>
  <c r="L578" i="32"/>
  <c r="K735" i="32"/>
  <c r="L735" i="32"/>
  <c r="K10" i="32"/>
  <c r="L10" i="32"/>
  <c r="K658" i="32"/>
  <c r="L658" i="32"/>
  <c r="K815" i="32"/>
  <c r="L815" i="32"/>
  <c r="K1190" i="32"/>
  <c r="L1190" i="32"/>
  <c r="K1240" i="32"/>
  <c r="L1240" i="32"/>
  <c r="K4" i="32"/>
  <c r="L4" i="32"/>
  <c r="K1161" i="32"/>
  <c r="L1161" i="32"/>
  <c r="K1159" i="32"/>
  <c r="L1159" i="32"/>
  <c r="K419" i="32"/>
  <c r="L419" i="32"/>
  <c r="K1150" i="32"/>
  <c r="L1150" i="32"/>
  <c r="K387" i="32"/>
  <c r="L387" i="32"/>
  <c r="K858" i="32"/>
  <c r="L858" i="32"/>
  <c r="K159" i="32"/>
  <c r="L159" i="32"/>
  <c r="K705" i="32"/>
  <c r="L705" i="32"/>
  <c r="K1250" i="32"/>
  <c r="L1250" i="32"/>
  <c r="K1295" i="32"/>
  <c r="L1295" i="32"/>
  <c r="K157" i="32"/>
  <c r="L157" i="32"/>
  <c r="K724" i="32"/>
  <c r="L724" i="32"/>
  <c r="K1054" i="32"/>
  <c r="L1054" i="32"/>
  <c r="K519" i="32"/>
  <c r="L519" i="32"/>
  <c r="K256" i="32"/>
  <c r="L256" i="32"/>
  <c r="K1175" i="32"/>
  <c r="L1175" i="32"/>
  <c r="K489" i="32"/>
  <c r="L489" i="32"/>
  <c r="K590" i="32"/>
  <c r="L590" i="32"/>
  <c r="K485" i="32"/>
  <c r="L485" i="32"/>
  <c r="K502" i="32"/>
  <c r="L502" i="32"/>
  <c r="K262" i="32"/>
  <c r="L262" i="32"/>
  <c r="K1064" i="32"/>
  <c r="L1064" i="32"/>
  <c r="K873" i="32"/>
  <c r="L873" i="32"/>
  <c r="K31" i="32"/>
  <c r="L31" i="32"/>
  <c r="K1234" i="32"/>
  <c r="L1234" i="32"/>
  <c r="K422" i="32"/>
  <c r="L422" i="32"/>
  <c r="K616" i="32"/>
  <c r="L616" i="32"/>
  <c r="K1051" i="32"/>
  <c r="L1051" i="32"/>
  <c r="K1009" i="32"/>
  <c r="L1009" i="32"/>
  <c r="K836" i="32"/>
  <c r="L836" i="32"/>
  <c r="K601" i="32"/>
  <c r="L601" i="32"/>
  <c r="K799" i="32"/>
  <c r="L799" i="32"/>
  <c r="K248" i="32"/>
  <c r="L248" i="32"/>
  <c r="K236" i="32"/>
  <c r="L236" i="32"/>
  <c r="K809" i="32"/>
  <c r="L809" i="32"/>
  <c r="K1145" i="32"/>
  <c r="L1145" i="32"/>
  <c r="K191" i="32"/>
  <c r="L191" i="32"/>
  <c r="K548" i="32"/>
  <c r="L548" i="32"/>
  <c r="K672" i="32"/>
  <c r="L672" i="32"/>
  <c r="K388" i="32"/>
  <c r="L388" i="32"/>
  <c r="K922" i="32"/>
  <c r="L922" i="32"/>
  <c r="K285" i="32"/>
  <c r="L285" i="32"/>
  <c r="K1106" i="32"/>
  <c r="L1106" i="32"/>
  <c r="K1012" i="32"/>
  <c r="L1012" i="32"/>
  <c r="K1101" i="32"/>
  <c r="L1101" i="32"/>
  <c r="K644" i="32"/>
  <c r="L644" i="32"/>
  <c r="K1244" i="32"/>
  <c r="L1244" i="32"/>
  <c r="K501" i="32"/>
  <c r="L501" i="32"/>
  <c r="K289" i="32"/>
  <c r="L289" i="32"/>
  <c r="K1178" i="32"/>
  <c r="L1178" i="32"/>
  <c r="K292" i="32"/>
  <c r="L292" i="32"/>
  <c r="K959" i="32"/>
  <c r="L959" i="32"/>
  <c r="K92" i="32"/>
  <c r="L92" i="32"/>
  <c r="K294" i="32"/>
  <c r="L294" i="32"/>
  <c r="K767" i="32"/>
  <c r="L767" i="32"/>
  <c r="K1034" i="32"/>
  <c r="L1034" i="32"/>
  <c r="K149" i="32"/>
  <c r="L149" i="32"/>
  <c r="K679" i="32"/>
  <c r="L679" i="32"/>
  <c r="K760" i="32"/>
  <c r="L760" i="32"/>
  <c r="K827" i="32"/>
  <c r="L827" i="32"/>
  <c r="K586" i="32"/>
  <c r="L586" i="32"/>
  <c r="K434" i="32"/>
  <c r="L434" i="32"/>
  <c r="K694" i="32"/>
  <c r="L694" i="32"/>
  <c r="K470" i="32"/>
  <c r="L470" i="32"/>
  <c r="K861" i="32"/>
  <c r="L861" i="32"/>
  <c r="K653" i="32"/>
  <c r="L653" i="32"/>
  <c r="K83" i="32"/>
  <c r="L83" i="32"/>
  <c r="K824" i="32"/>
  <c r="L824" i="32"/>
  <c r="K216" i="32"/>
  <c r="L216" i="32"/>
  <c r="K700" i="32"/>
  <c r="L700" i="32"/>
  <c r="K444" i="32"/>
  <c r="L444" i="32"/>
  <c r="K1062" i="32"/>
  <c r="L1062" i="32"/>
  <c r="K633" i="32"/>
  <c r="L633" i="32"/>
  <c r="K1048" i="32"/>
  <c r="L1048" i="32"/>
  <c r="K1184" i="32"/>
  <c r="L1184" i="32"/>
  <c r="K745" i="32"/>
  <c r="L745" i="32"/>
  <c r="K801" i="32"/>
  <c r="L801" i="32"/>
  <c r="K989" i="32"/>
  <c r="L989" i="32"/>
  <c r="K362" i="32"/>
  <c r="L362" i="32"/>
  <c r="K349" i="32"/>
  <c r="L349" i="32"/>
  <c r="K8" i="32"/>
  <c r="L8" i="32"/>
  <c r="K691" i="32"/>
  <c r="L691" i="32"/>
  <c r="K828" i="32"/>
  <c r="L828" i="32"/>
  <c r="K279" i="32"/>
  <c r="L279" i="32"/>
  <c r="K855" i="32"/>
  <c r="L855" i="32"/>
  <c r="K1087" i="32"/>
  <c r="L1087" i="32"/>
  <c r="K790" i="32"/>
  <c r="L790" i="32"/>
  <c r="K655" i="32"/>
  <c r="L655" i="32"/>
  <c r="K715" i="32"/>
  <c r="L715" i="32"/>
  <c r="K619" i="32"/>
  <c r="L619" i="32"/>
  <c r="K726" i="32"/>
  <c r="L726" i="32"/>
  <c r="K512" i="32"/>
  <c r="L512" i="32"/>
  <c r="K952" i="32"/>
  <c r="L952" i="32"/>
  <c r="K876" i="32"/>
  <c r="L876" i="32"/>
  <c r="K378" i="32"/>
  <c r="L378" i="32"/>
  <c r="K875" i="32"/>
  <c r="L875" i="32"/>
  <c r="K525" i="32"/>
  <c r="L525" i="32"/>
  <c r="K605" i="32"/>
  <c r="L605" i="32"/>
  <c r="K479" i="32"/>
  <c r="L479" i="32"/>
  <c r="K558" i="32"/>
  <c r="L558" i="32"/>
  <c r="K593" i="32"/>
  <c r="L593" i="32"/>
  <c r="K432" i="32"/>
  <c r="L432" i="32"/>
  <c r="K831" i="32"/>
  <c r="L831" i="32"/>
  <c r="K415" i="32"/>
  <c r="L415" i="32"/>
  <c r="K1040" i="32"/>
  <c r="L1040" i="32"/>
  <c r="K194" i="32"/>
  <c r="L194" i="32"/>
  <c r="K184" i="32"/>
  <c r="L184" i="32"/>
  <c r="K126" i="32"/>
  <c r="L126" i="32"/>
  <c r="K681" i="32"/>
  <c r="L681" i="32"/>
  <c r="K43" i="32"/>
  <c r="L43" i="32"/>
  <c r="K650" i="32"/>
  <c r="L650" i="32"/>
  <c r="K695" i="32"/>
  <c r="L695" i="32"/>
  <c r="K5" i="32"/>
  <c r="L5" i="32"/>
  <c r="K762" i="32"/>
  <c r="L762" i="32"/>
  <c r="K624" i="32"/>
  <c r="L624" i="32"/>
  <c r="K424" i="32"/>
  <c r="L424" i="32"/>
  <c r="K72" i="32"/>
  <c r="L72" i="32"/>
  <c r="K1077" i="32"/>
  <c r="L1077" i="32"/>
  <c r="K667" i="32"/>
  <c r="L667" i="32"/>
  <c r="K829" i="32"/>
  <c r="L829" i="32"/>
  <c r="K660" i="32"/>
  <c r="L660" i="32"/>
  <c r="K741" i="32"/>
  <c r="L741" i="32"/>
  <c r="K453" i="32"/>
  <c r="L453" i="32"/>
  <c r="K1243" i="32"/>
  <c r="L1243" i="32"/>
  <c r="K490" i="32"/>
  <c r="L490" i="32"/>
  <c r="K905" i="32"/>
  <c r="L905" i="32"/>
  <c r="K612" i="32"/>
  <c r="L612" i="32"/>
  <c r="K744" i="32"/>
  <c r="L744" i="32"/>
  <c r="K1218" i="32"/>
  <c r="L1218" i="32"/>
  <c r="K768" i="32"/>
  <c r="L768" i="32"/>
  <c r="K898" i="32"/>
  <c r="L898" i="32"/>
  <c r="K669" i="32"/>
  <c r="L669" i="32"/>
  <c r="K597" i="32"/>
  <c r="L597" i="32"/>
  <c r="K25" i="32"/>
  <c r="L25" i="32"/>
  <c r="K630" i="32"/>
  <c r="L630" i="32"/>
  <c r="K874" i="32"/>
  <c r="L874" i="32"/>
  <c r="K1001" i="32"/>
  <c r="L1001" i="32"/>
  <c r="K306" i="32"/>
  <c r="L306" i="32"/>
  <c r="K494" i="32"/>
  <c r="L494" i="32"/>
  <c r="K26" i="32"/>
  <c r="L26" i="32"/>
  <c r="K505" i="32"/>
  <c r="L505" i="32"/>
  <c r="K1147" i="32"/>
  <c r="L1147" i="32"/>
  <c r="K567" i="32"/>
  <c r="L567" i="32"/>
  <c r="K35" i="32"/>
  <c r="L35" i="32"/>
  <c r="K665" i="32"/>
  <c r="L665" i="32"/>
  <c r="K337" i="32"/>
  <c r="L337" i="32"/>
  <c r="K1046" i="32"/>
  <c r="L1046" i="32"/>
  <c r="K717" i="32"/>
  <c r="L717" i="32"/>
  <c r="K58" i="32"/>
  <c r="L58" i="32"/>
  <c r="K628" i="32"/>
  <c r="L628" i="32"/>
  <c r="K277" i="32"/>
  <c r="L277" i="32"/>
  <c r="K608" i="32"/>
  <c r="L608" i="32"/>
  <c r="K338" i="32"/>
  <c r="L338" i="32"/>
  <c r="K562" i="32"/>
  <c r="L562" i="32"/>
  <c r="K1133" i="32"/>
  <c r="L1133" i="32"/>
  <c r="K862" i="32"/>
  <c r="L862" i="32"/>
  <c r="K483" i="32"/>
  <c r="L483" i="32"/>
  <c r="K345" i="32"/>
  <c r="L345" i="32"/>
  <c r="K1050" i="32"/>
  <c r="L1050" i="32"/>
  <c r="K503" i="32"/>
  <c r="L503" i="32"/>
  <c r="K1211" i="32"/>
  <c r="L1211" i="32"/>
  <c r="K797" i="32"/>
  <c r="L797" i="32"/>
  <c r="K675" i="32"/>
  <c r="L675" i="32"/>
  <c r="K706" i="32"/>
  <c r="L706" i="32"/>
  <c r="K517" i="32"/>
  <c r="L517" i="32"/>
  <c r="K852" i="32"/>
  <c r="L852" i="32"/>
  <c r="K221" i="32"/>
  <c r="L221" i="32"/>
  <c r="K730" i="32"/>
  <c r="L730" i="32"/>
  <c r="K984" i="32"/>
  <c r="L984" i="32"/>
  <c r="K65" i="32"/>
  <c r="L65" i="32"/>
  <c r="K433" i="32"/>
  <c r="L433" i="32"/>
  <c r="K125" i="32"/>
  <c r="L125" i="32"/>
  <c r="K310" i="32"/>
  <c r="L310" i="32"/>
  <c r="K1245" i="32"/>
  <c r="L1245" i="32"/>
  <c r="K496" i="32"/>
  <c r="L496" i="32"/>
  <c r="K393" i="32"/>
  <c r="L393" i="32"/>
  <c r="K1300" i="32"/>
  <c r="L1300" i="32"/>
  <c r="K775" i="32"/>
  <c r="L775" i="32"/>
  <c r="K229" i="32"/>
  <c r="L229" i="32"/>
  <c r="K86" i="32"/>
  <c r="L86" i="32"/>
  <c r="K230" i="32"/>
  <c r="L230" i="32"/>
  <c r="K585" i="32"/>
  <c r="L585" i="32"/>
  <c r="K246" i="32"/>
  <c r="L246" i="32"/>
  <c r="K1037" i="32"/>
  <c r="L1037" i="32"/>
  <c r="K82" i="32"/>
  <c r="L82" i="32"/>
  <c r="K88" i="32"/>
  <c r="L88" i="32"/>
  <c r="K12" i="32"/>
  <c r="L12" i="32"/>
  <c r="K140" i="32"/>
  <c r="L140" i="32"/>
  <c r="K808" i="32"/>
  <c r="L808" i="32"/>
  <c r="K537" i="32"/>
  <c r="L537" i="32"/>
  <c r="K1280" i="32"/>
  <c r="L1280" i="32"/>
  <c r="K747" i="32"/>
  <c r="L747" i="32"/>
  <c r="K1162" i="32"/>
  <c r="L1162" i="32"/>
  <c r="K301" i="32"/>
  <c r="L301" i="32"/>
  <c r="K408" i="32"/>
  <c r="L408" i="32"/>
  <c r="K1207" i="32"/>
  <c r="L1207" i="32"/>
  <c r="K963" i="32"/>
  <c r="L963" i="32"/>
  <c r="K429" i="32"/>
  <c r="L429" i="32"/>
  <c r="K1000" i="32"/>
  <c r="L1000" i="32"/>
  <c r="K368" i="32"/>
  <c r="L368" i="32"/>
  <c r="K1167" i="32"/>
  <c r="L1167" i="32"/>
  <c r="K1026" i="32"/>
  <c r="L1026" i="32"/>
  <c r="K1065" i="32"/>
  <c r="L1065" i="32"/>
  <c r="K761" i="32"/>
  <c r="L761" i="32"/>
  <c r="K461" i="32"/>
  <c r="L461" i="32"/>
  <c r="K804" i="32"/>
  <c r="L804" i="32"/>
  <c r="K981" i="32"/>
  <c r="L981" i="32"/>
  <c r="K428" i="32"/>
  <c r="L428" i="32"/>
  <c r="K860" i="32"/>
  <c r="L860" i="32"/>
  <c r="K127" i="32"/>
  <c r="L127" i="32"/>
  <c r="K326" i="32"/>
  <c r="L326" i="32"/>
  <c r="K1191" i="32"/>
  <c r="L1191" i="32"/>
  <c r="K106" i="32"/>
  <c r="L106" i="32"/>
  <c r="K780" i="32"/>
  <c r="L780" i="32"/>
  <c r="K1249" i="32"/>
  <c r="L1249" i="32"/>
  <c r="K1125" i="32"/>
  <c r="L1125" i="32"/>
  <c r="K336" i="32"/>
  <c r="L336" i="32"/>
  <c r="K557" i="32"/>
  <c r="L557" i="32"/>
  <c r="K1299" i="32"/>
  <c r="L1299" i="32"/>
  <c r="K28" i="32"/>
  <c r="L28" i="32"/>
  <c r="K627" i="32"/>
  <c r="L627" i="32"/>
  <c r="K753" i="32"/>
  <c r="L753" i="32"/>
  <c r="K866" i="32"/>
  <c r="L866" i="32"/>
  <c r="K847" i="32"/>
  <c r="L847" i="32"/>
  <c r="K346" i="32"/>
  <c r="L346" i="32"/>
  <c r="K1298" i="32"/>
  <c r="L1298" i="32"/>
  <c r="K886" i="32"/>
  <c r="L886" i="32"/>
  <c r="K15" i="32"/>
  <c r="L15" i="32"/>
  <c r="K718" i="32"/>
  <c r="L718" i="32"/>
  <c r="K738" i="32"/>
  <c r="L738" i="32"/>
  <c r="K857" i="32"/>
  <c r="L857" i="32"/>
  <c r="K683" i="32"/>
  <c r="L683" i="32"/>
  <c r="K584" i="32"/>
  <c r="L584" i="32"/>
  <c r="K940" i="32"/>
  <c r="L940" i="32"/>
  <c r="K478" i="32"/>
  <c r="L478" i="32"/>
  <c r="K295" i="32"/>
  <c r="L295" i="32"/>
  <c r="K1102" i="32"/>
  <c r="L1102" i="32"/>
  <c r="K91" i="32"/>
  <c r="L91" i="32"/>
  <c r="K778" i="32"/>
  <c r="L778" i="32"/>
  <c r="K1067" i="32"/>
  <c r="L1067" i="32"/>
  <c r="K341" i="32"/>
  <c r="L341" i="32"/>
  <c r="K39" i="32"/>
  <c r="L39" i="32"/>
  <c r="K120" i="32"/>
  <c r="L120" i="32"/>
  <c r="K1010" i="32"/>
  <c r="L1010" i="32"/>
  <c r="K1011" i="32"/>
  <c r="L1011" i="32"/>
  <c r="K333" i="32"/>
  <c r="L333" i="32"/>
  <c r="K540" i="32"/>
  <c r="L540" i="32"/>
  <c r="K811" i="32"/>
  <c r="L811" i="32"/>
  <c r="K329" i="32"/>
  <c r="L329" i="32"/>
  <c r="K299" i="32"/>
  <c r="L299" i="32"/>
  <c r="K151" i="32"/>
  <c r="L151" i="32"/>
  <c r="K649" i="32"/>
  <c r="L649" i="32"/>
  <c r="K47" i="32"/>
  <c r="L47" i="32"/>
  <c r="K763" i="32"/>
  <c r="L763" i="32"/>
  <c r="K1078" i="32"/>
  <c r="L1078" i="32"/>
  <c r="K59" i="32"/>
  <c r="L59" i="32"/>
  <c r="K575" i="32"/>
  <c r="L575" i="32"/>
  <c r="K856" i="32"/>
  <c r="L856" i="32"/>
  <c r="K257" i="32"/>
  <c r="L257" i="32"/>
  <c r="K385" i="32"/>
  <c r="L385" i="32"/>
  <c r="K572" i="32"/>
  <c r="L572" i="32"/>
  <c r="K848" i="32"/>
  <c r="L848" i="32"/>
  <c r="K576" i="32"/>
  <c r="L576" i="32"/>
  <c r="K832" i="32"/>
  <c r="L832" i="32"/>
  <c r="K973" i="32"/>
  <c r="L973" i="32"/>
  <c r="K178" i="32"/>
  <c r="L178" i="32"/>
  <c r="K840" i="32"/>
  <c r="L840" i="32"/>
  <c r="K150" i="32"/>
  <c r="L150" i="32"/>
  <c r="K901" i="32"/>
  <c r="L901" i="32"/>
  <c r="K1276" i="32"/>
  <c r="L1276" i="32"/>
  <c r="K837" i="32"/>
  <c r="L837" i="32"/>
  <c r="K1253" i="32"/>
  <c r="L1253" i="32"/>
  <c r="K196" i="32"/>
  <c r="L196" i="32"/>
  <c r="K156" i="32"/>
  <c r="L156" i="32"/>
  <c r="K73" i="32"/>
  <c r="L73" i="32"/>
  <c r="K720" i="32"/>
  <c r="L720" i="32"/>
  <c r="K112" i="32"/>
  <c r="L112" i="32"/>
  <c r="K1114" i="32"/>
  <c r="L1114" i="32"/>
  <c r="K1177" i="32"/>
  <c r="L1177" i="32"/>
  <c r="K366" i="32"/>
  <c r="L366" i="32"/>
  <c r="K29" i="32"/>
  <c r="L29" i="32"/>
  <c r="K919" i="32"/>
  <c r="L919" i="32"/>
  <c r="K571" i="32"/>
  <c r="L571" i="32"/>
  <c r="K1117" i="32"/>
  <c r="L1117" i="32"/>
  <c r="K907" i="32"/>
  <c r="L907" i="32"/>
  <c r="K1017" i="32"/>
  <c r="L1017" i="32"/>
  <c r="K45" i="32"/>
  <c r="L45" i="32"/>
  <c r="L1076" i="32"/>
  <c r="K1076" i="32"/>
  <c r="P128" i="35" l="1"/>
  <c r="S128" i="35" s="1"/>
  <c r="S115" i="35"/>
  <c r="P104" i="35"/>
  <c r="S91" i="35"/>
  <c r="P92" i="35"/>
  <c r="S79" i="35"/>
  <c r="P116" i="35"/>
  <c r="S103" i="35"/>
  <c r="Q33" i="34"/>
  <c r="T32" i="34"/>
  <c r="P129" i="35" l="1"/>
  <c r="S129" i="35" s="1"/>
  <c r="S116" i="35"/>
  <c r="P117" i="35"/>
  <c r="S104" i="35"/>
  <c r="P105" i="35"/>
  <c r="S92" i="35"/>
  <c r="Q34" i="34"/>
  <c r="T33" i="34"/>
  <c r="P130" i="35" l="1"/>
  <c r="S130" i="35" s="1"/>
  <c r="S117" i="35"/>
  <c r="P118" i="35"/>
  <c r="S105" i="35"/>
  <c r="Q35" i="34"/>
  <c r="T34" i="34"/>
  <c r="P131" i="35" l="1"/>
  <c r="S131" i="35" s="1"/>
  <c r="S118" i="35"/>
  <c r="Q36" i="34"/>
  <c r="T35" i="34"/>
  <c r="A47" i="31"/>
  <c r="A48" i="31"/>
  <c r="A44" i="31"/>
  <c r="A45" i="31"/>
  <c r="A46" i="31"/>
  <c r="A43" i="31"/>
  <c r="A38" i="31"/>
  <c r="A39" i="31"/>
  <c r="A40" i="31"/>
  <c r="A37" i="31"/>
  <c r="B33" i="31"/>
  <c r="B32" i="31"/>
  <c r="B25" i="31"/>
  <c r="B26" i="31"/>
  <c r="B27" i="31"/>
  <c r="B28" i="31"/>
  <c r="B29" i="31"/>
  <c r="B30" i="31"/>
  <c r="B31" i="31"/>
  <c r="B24" i="31"/>
  <c r="E1" i="31"/>
  <c r="F1" i="31" s="1"/>
  <c r="G1" i="31" s="1"/>
  <c r="C3" i="31"/>
  <c r="C4" i="31"/>
  <c r="C5" i="31"/>
  <c r="C6" i="31"/>
  <c r="C7" i="31"/>
  <c r="C8" i="31"/>
  <c r="C9" i="31"/>
  <c r="C10" i="31"/>
  <c r="C11" i="31"/>
  <c r="C2" i="31"/>
  <c r="A4" i="31"/>
  <c r="A7" i="31"/>
  <c r="A8" i="31" s="1"/>
  <c r="A9" i="31" s="1"/>
  <c r="A10" i="31" s="1"/>
  <c r="A11" i="31" s="1"/>
  <c r="Q37" i="34" l="1"/>
  <c r="T36" i="34"/>
  <c r="Q38" i="34" l="1"/>
  <c r="T37" i="34"/>
  <c r="Q39" i="34" l="1"/>
  <c r="T38" i="34"/>
  <c r="F2" i="19"/>
  <c r="Q40" i="34" l="1"/>
  <c r="T39" i="34"/>
  <c r="C37" i="29"/>
  <c r="D37" i="29" s="1"/>
  <c r="E37" i="29" s="1"/>
  <c r="F37" i="29" s="1"/>
  <c r="G37" i="29" s="1"/>
  <c r="H37" i="29" s="1"/>
  <c r="I37" i="29" s="1"/>
  <c r="J37" i="29" s="1"/>
  <c r="K37" i="29" s="1"/>
  <c r="L37" i="29" s="1"/>
  <c r="M37" i="29" s="1"/>
  <c r="N37" i="29" s="1"/>
  <c r="S2" i="6"/>
  <c r="Q41" i="34" l="1"/>
  <c r="T40" i="34"/>
  <c r="Q2" i="6"/>
  <c r="Q42" i="34" l="1"/>
  <c r="T41" i="34"/>
  <c r="C61" i="29"/>
  <c r="D61" i="29" s="1"/>
  <c r="E61" i="29" s="1"/>
  <c r="F61" i="29" s="1"/>
  <c r="G61" i="29" s="1"/>
  <c r="H61" i="29" s="1"/>
  <c r="I61" i="29" s="1"/>
  <c r="J61" i="29" s="1"/>
  <c r="K61" i="29" s="1"/>
  <c r="L61" i="29" s="1"/>
  <c r="M61" i="29" s="1"/>
  <c r="N61" i="29" s="1"/>
  <c r="C49" i="29"/>
  <c r="D49" i="29" s="1"/>
  <c r="E49" i="29" s="1"/>
  <c r="F49" i="29" s="1"/>
  <c r="G49" i="29" s="1"/>
  <c r="H49" i="29" s="1"/>
  <c r="I49" i="29" s="1"/>
  <c r="J49" i="29" s="1"/>
  <c r="K49" i="29" s="1"/>
  <c r="L49" i="29" s="1"/>
  <c r="M49" i="29" s="1"/>
  <c r="N49" i="29" s="1"/>
  <c r="B27" i="29"/>
  <c r="B28" i="29"/>
  <c r="B29" i="29"/>
  <c r="B30" i="29"/>
  <c r="B31" i="29"/>
  <c r="B32" i="29"/>
  <c r="B33" i="29"/>
  <c r="B34" i="29"/>
  <c r="B35" i="29"/>
  <c r="B26" i="29"/>
  <c r="C25" i="29"/>
  <c r="D25" i="29" s="1"/>
  <c r="E25" i="29" s="1"/>
  <c r="F25" i="29" s="1"/>
  <c r="G25" i="29" s="1"/>
  <c r="H25" i="29" s="1"/>
  <c r="I25" i="29" s="1"/>
  <c r="J25" i="29" s="1"/>
  <c r="C13" i="29"/>
  <c r="D13" i="29" s="1"/>
  <c r="E13" i="29" s="1"/>
  <c r="F13" i="29" s="1"/>
  <c r="G13" i="29" s="1"/>
  <c r="H13" i="29" s="1"/>
  <c r="I13" i="29" s="1"/>
  <c r="J13" i="29" s="1"/>
  <c r="C1" i="29"/>
  <c r="C27" i="29" s="1"/>
  <c r="C26" i="29" l="1"/>
  <c r="D1" i="29"/>
  <c r="C35" i="29"/>
  <c r="C34" i="29"/>
  <c r="C33" i="29"/>
  <c r="C32" i="29"/>
  <c r="C31" i="29"/>
  <c r="C30" i="29"/>
  <c r="C29" i="29"/>
  <c r="C28" i="29"/>
  <c r="Q43" i="34"/>
  <c r="T42" i="34"/>
  <c r="K25" i="29"/>
  <c r="L25" i="29" s="1"/>
  <c r="M25" i="29" s="1"/>
  <c r="N25" i="29" s="1"/>
  <c r="K13" i="29"/>
  <c r="L13" i="29" s="1"/>
  <c r="M13" i="29" s="1"/>
  <c r="N13" i="29" s="1"/>
  <c r="L2" i="6"/>
  <c r="D26" i="29" l="1"/>
  <c r="E1" i="29"/>
  <c r="D27" i="29"/>
  <c r="D28" i="29"/>
  <c r="D29" i="29"/>
  <c r="D30" i="29"/>
  <c r="D31" i="29"/>
  <c r="D32" i="29"/>
  <c r="D33" i="29"/>
  <c r="D34" i="29"/>
  <c r="D35" i="29"/>
  <c r="Q44" i="34"/>
  <c r="T43" i="34"/>
  <c r="M2" i="6"/>
  <c r="A1" i="16"/>
  <c r="F1" i="29" l="1"/>
  <c r="E26" i="29"/>
  <c r="E34" i="29"/>
  <c r="E35" i="29"/>
  <c r="E27" i="29"/>
  <c r="E28" i="29"/>
  <c r="E29" i="29"/>
  <c r="E30" i="29"/>
  <c r="E31" i="29"/>
  <c r="E32" i="29"/>
  <c r="E33" i="29"/>
  <c r="Q45" i="34"/>
  <c r="T44" i="34"/>
  <c r="G1" i="29" l="1"/>
  <c r="F27" i="29"/>
  <c r="F31" i="29"/>
  <c r="F35" i="29"/>
  <c r="F34" i="29"/>
  <c r="F26" i="29"/>
  <c r="F29" i="29"/>
  <c r="F30" i="29"/>
  <c r="F33" i="29"/>
  <c r="F28" i="29"/>
  <c r="F32" i="29"/>
  <c r="Q46" i="34"/>
  <c r="T45" i="34"/>
  <c r="O69" i="27"/>
  <c r="O68" i="27"/>
  <c r="O70" i="27" s="1"/>
  <c r="N71" i="27"/>
  <c r="N72" i="27" s="1"/>
  <c r="N69" i="27"/>
  <c r="N68" i="27"/>
  <c r="Y58" i="27"/>
  <c r="Y64" i="27"/>
  <c r="Y26" i="27"/>
  <c r="H1" i="29" l="1"/>
  <c r="G27" i="29"/>
  <c r="G28" i="29"/>
  <c r="G29" i="29"/>
  <c r="G30" i="29"/>
  <c r="G31" i="29"/>
  <c r="G32" i="29"/>
  <c r="G33" i="29"/>
  <c r="G34" i="29"/>
  <c r="G35" i="29"/>
  <c r="G26" i="29"/>
  <c r="Q47" i="34"/>
  <c r="T46" i="34"/>
  <c r="A28" i="9"/>
  <c r="I1" i="29" l="1"/>
  <c r="H26" i="29"/>
  <c r="H27" i="29"/>
  <c r="H28" i="29"/>
  <c r="H29" i="29"/>
  <c r="H30" i="29"/>
  <c r="H31" i="29"/>
  <c r="H32" i="29"/>
  <c r="H33" i="29"/>
  <c r="H34" i="29"/>
  <c r="H35" i="29"/>
  <c r="Q48" i="34"/>
  <c r="T47" i="34"/>
  <c r="A29" i="9"/>
  <c r="A30" i="9" s="1"/>
  <c r="A31" i="9" s="1"/>
  <c r="A32" i="9" s="1"/>
  <c r="A33" i="9" s="1"/>
  <c r="A34" i="9" s="1"/>
  <c r="A35" i="9" s="1"/>
  <c r="A36" i="9" s="1"/>
  <c r="A37" i="9" s="1"/>
  <c r="A38" i="9" s="1"/>
  <c r="A39" i="9" s="1"/>
  <c r="A40" i="9" s="1"/>
  <c r="A41" i="9" s="1"/>
  <c r="A42" i="9" s="1"/>
  <c r="A43" i="9" s="1"/>
  <c r="J1" i="29" l="1"/>
  <c r="I35" i="29"/>
  <c r="I26" i="29"/>
  <c r="I27" i="29"/>
  <c r="I28" i="29"/>
  <c r="I29" i="29"/>
  <c r="I30" i="29"/>
  <c r="I31" i="29"/>
  <c r="I32" i="29"/>
  <c r="I33" i="29"/>
  <c r="I34" i="29"/>
  <c r="Q49" i="34"/>
  <c r="T48" i="34"/>
  <c r="C60" i="14"/>
  <c r="K1" i="29" l="1"/>
  <c r="J28" i="29"/>
  <c r="J32" i="29"/>
  <c r="J29" i="29"/>
  <c r="J33" i="29"/>
  <c r="J26" i="29"/>
  <c r="J30" i="29"/>
  <c r="J34" i="29"/>
  <c r="J27" i="29"/>
  <c r="J31" i="29"/>
  <c r="J35" i="29"/>
  <c r="Q50" i="34"/>
  <c r="T49" i="34"/>
  <c r="N15" i="19"/>
  <c r="R2" i="19"/>
  <c r="Q3" i="19"/>
  <c r="Q4" i="19" s="1"/>
  <c r="N4" i="19"/>
  <c r="N7" i="19" s="1"/>
  <c r="N8" i="19" s="1"/>
  <c r="N2" i="19"/>
  <c r="D2" i="19" s="1"/>
  <c r="R4" i="19" l="1"/>
  <c r="Q5" i="19"/>
  <c r="R3" i="19"/>
  <c r="L1" i="29"/>
  <c r="K26" i="29"/>
  <c r="K30" i="29"/>
  <c r="K34" i="29"/>
  <c r="K32" i="29"/>
  <c r="K27" i="29"/>
  <c r="K31" i="29"/>
  <c r="K35" i="29"/>
  <c r="K29" i="29"/>
  <c r="K33" i="29"/>
  <c r="K28" i="29"/>
  <c r="Q51" i="34"/>
  <c r="T50" i="34"/>
  <c r="Q6" i="19" l="1"/>
  <c r="R5" i="19"/>
  <c r="L26" i="29"/>
  <c r="L34" i="29"/>
  <c r="L31" i="29"/>
  <c r="M1" i="29"/>
  <c r="L29" i="29"/>
  <c r="L35" i="29"/>
  <c r="L27" i="29"/>
  <c r="L33" i="29"/>
  <c r="L30" i="29"/>
  <c r="L28" i="29"/>
  <c r="L32" i="29"/>
  <c r="Q52" i="34"/>
  <c r="T51" i="34"/>
  <c r="N19" i="25"/>
  <c r="T19" i="25"/>
  <c r="T3" i="25"/>
  <c r="T4" i="25"/>
  <c r="T5" i="25"/>
  <c r="T6" i="25"/>
  <c r="T7" i="25"/>
  <c r="T8" i="25"/>
  <c r="T9" i="25"/>
  <c r="T10" i="25"/>
  <c r="T11" i="25"/>
  <c r="T12" i="25"/>
  <c r="T13" i="25"/>
  <c r="T14" i="25"/>
  <c r="T15" i="25"/>
  <c r="T16" i="25"/>
  <c r="T17" i="25"/>
  <c r="T18" i="25"/>
  <c r="T2" i="25"/>
  <c r="A3" i="25"/>
  <c r="A4" i="25" s="1"/>
  <c r="K2" i="6"/>
  <c r="S2" i="1"/>
  <c r="U66" i="1" l="1"/>
  <c r="U289" i="1"/>
  <c r="U308" i="1"/>
  <c r="U310" i="1"/>
  <c r="U312" i="1"/>
  <c r="U322" i="1"/>
  <c r="U338" i="1"/>
  <c r="U357" i="1"/>
  <c r="U365" i="1"/>
  <c r="U371" i="1"/>
  <c r="U373" i="1"/>
  <c r="U377" i="1"/>
  <c r="U405" i="1"/>
  <c r="U437" i="1"/>
  <c r="U473" i="1"/>
  <c r="U22" i="1"/>
  <c r="U181" i="1"/>
  <c r="U182" i="1"/>
  <c r="U241" i="1"/>
  <c r="U261" i="1"/>
  <c r="U293" i="1"/>
  <c r="U300" i="1"/>
  <c r="U302" i="1"/>
  <c r="U342" i="1"/>
  <c r="U361" i="1"/>
  <c r="U362" i="1"/>
  <c r="U363" i="1"/>
  <c r="U385" i="1"/>
  <c r="U403" i="1"/>
  <c r="U415" i="1"/>
  <c r="U417" i="1"/>
  <c r="U419" i="1"/>
  <c r="U433" i="1"/>
  <c r="U434" i="1"/>
  <c r="U435" i="1"/>
  <c r="U441" i="1"/>
  <c r="U443" i="1"/>
  <c r="U445" i="1"/>
  <c r="U465" i="1"/>
  <c r="U471" i="1"/>
  <c r="U493" i="1"/>
  <c r="U495" i="1"/>
  <c r="U497" i="1"/>
  <c r="U505" i="1"/>
  <c r="U3" i="1"/>
  <c r="U8" i="1"/>
  <c r="V8" i="1" s="1"/>
  <c r="U46" i="1"/>
  <c r="U58" i="1"/>
  <c r="U70" i="1"/>
  <c r="U175" i="1"/>
  <c r="U191" i="1"/>
  <c r="U195" i="1"/>
  <c r="U207" i="1"/>
  <c r="U209" i="1"/>
  <c r="U211" i="1"/>
  <c r="V211" i="1" s="1"/>
  <c r="U215" i="1"/>
  <c r="U225" i="1"/>
  <c r="U273" i="1"/>
  <c r="U277" i="1"/>
  <c r="U318" i="1"/>
  <c r="U319" i="1"/>
  <c r="U334" i="1"/>
  <c r="U388" i="1"/>
  <c r="U393" i="1"/>
  <c r="U394" i="1"/>
  <c r="U396" i="1"/>
  <c r="U423" i="1"/>
  <c r="U424" i="1"/>
  <c r="U431" i="1"/>
  <c r="U457" i="1"/>
  <c r="U463" i="1"/>
  <c r="U469" i="1"/>
  <c r="U475" i="1"/>
  <c r="U476" i="1"/>
  <c r="U483" i="1"/>
  <c r="U484" i="1"/>
  <c r="U491" i="1"/>
  <c r="U503" i="1"/>
  <c r="U249" i="1"/>
  <c r="U257" i="1"/>
  <c r="U425" i="1"/>
  <c r="U427" i="1"/>
  <c r="U429" i="1"/>
  <c r="U477" i="1"/>
  <c r="U479" i="1"/>
  <c r="U481" i="1"/>
  <c r="U328" i="1"/>
  <c r="U399" i="1"/>
  <c r="U461" i="1"/>
  <c r="U229" i="1"/>
  <c r="U307" i="1"/>
  <c r="U375" i="1"/>
  <c r="U376" i="1"/>
  <c r="U407" i="1"/>
  <c r="U409" i="1"/>
  <c r="U411" i="1"/>
  <c r="U199" i="1"/>
  <c r="U316" i="1"/>
  <c r="U389" i="1"/>
  <c r="U485" i="1"/>
  <c r="U499" i="1"/>
  <c r="U500" i="1"/>
  <c r="U501" i="1"/>
  <c r="U401" i="1"/>
  <c r="U332" i="1"/>
  <c r="U367" i="1"/>
  <c r="U397" i="1"/>
  <c r="U297" i="1"/>
  <c r="U93" i="1"/>
  <c r="U265" i="1"/>
  <c r="U206" i="1"/>
  <c r="U507" i="1"/>
  <c r="U451" i="1"/>
  <c r="U359" i="1"/>
  <c r="U467" i="1"/>
  <c r="U452" i="1"/>
  <c r="U177" i="1"/>
  <c r="U489" i="1"/>
  <c r="U413" i="1"/>
  <c r="U298" i="1"/>
  <c r="U219" i="1"/>
  <c r="U179" i="1"/>
  <c r="U92" i="1"/>
  <c r="U348" i="1"/>
  <c r="U174" i="1"/>
  <c r="U488" i="1"/>
  <c r="U360" i="1"/>
  <c r="U234" i="1"/>
  <c r="U94" i="1"/>
  <c r="U444" i="1"/>
  <c r="U372" i="1"/>
  <c r="U236" i="1"/>
  <c r="U126" i="1"/>
  <c r="V126" i="1" s="1"/>
  <c r="U62" i="1"/>
  <c r="U458" i="1"/>
  <c r="U336" i="1"/>
  <c r="U170" i="1"/>
  <c r="U504" i="1"/>
  <c r="U428" i="1"/>
  <c r="U349" i="1"/>
  <c r="U323" i="1"/>
  <c r="U251" i="1"/>
  <c r="U226" i="1"/>
  <c r="U147" i="1"/>
  <c r="U100" i="1"/>
  <c r="V100" i="1" s="1"/>
  <c r="U18" i="1"/>
  <c r="U470" i="1"/>
  <c r="U436" i="1"/>
  <c r="U398" i="1"/>
  <c r="U356" i="1"/>
  <c r="U352" i="1"/>
  <c r="U283" i="1"/>
  <c r="U253" i="1"/>
  <c r="U238" i="1"/>
  <c r="U150" i="1"/>
  <c r="U117" i="1"/>
  <c r="U86" i="1"/>
  <c r="U400" i="1"/>
  <c r="U295" i="1"/>
  <c r="U262" i="1"/>
  <c r="U113" i="1"/>
  <c r="U317" i="1"/>
  <c r="U296" i="1"/>
  <c r="U274" i="1"/>
  <c r="U232" i="1"/>
  <c r="U97" i="1"/>
  <c r="U276" i="1"/>
  <c r="U244" i="1"/>
  <c r="U196" i="1"/>
  <c r="U176" i="1"/>
  <c r="U151" i="1"/>
  <c r="U119" i="1"/>
  <c r="U41" i="1"/>
  <c r="U383" i="1"/>
  <c r="U455" i="1"/>
  <c r="U168" i="1"/>
  <c r="U440" i="1"/>
  <c r="U288" i="1"/>
  <c r="U178" i="1"/>
  <c r="U171" i="1"/>
  <c r="U450" i="1"/>
  <c r="U186" i="1"/>
  <c r="U438" i="1"/>
  <c r="U230" i="1"/>
  <c r="U96" i="1"/>
  <c r="U420" i="1"/>
  <c r="U76" i="1"/>
  <c r="U386" i="1"/>
  <c r="U345" i="1"/>
  <c r="U247" i="1"/>
  <c r="U146" i="1"/>
  <c r="U502" i="1"/>
  <c r="U426" i="1"/>
  <c r="U355" i="1"/>
  <c r="U282" i="1"/>
  <c r="U252" i="1"/>
  <c r="U132" i="1"/>
  <c r="U64" i="1"/>
  <c r="U494" i="1"/>
  <c r="U294" i="1"/>
  <c r="U329" i="1"/>
  <c r="U291" i="1"/>
  <c r="U285" i="1"/>
  <c r="U271" i="1"/>
  <c r="U143" i="1"/>
  <c r="U111" i="1"/>
  <c r="U25" i="1"/>
  <c r="U508" i="1"/>
  <c r="U381" i="1"/>
  <c r="U490" i="1"/>
  <c r="U414" i="1"/>
  <c r="U299" i="1"/>
  <c r="U270" i="1"/>
  <c r="U81" i="1"/>
  <c r="V81" i="1" s="1"/>
  <c r="U368" i="1"/>
  <c r="U44" i="1"/>
  <c r="U315" i="1"/>
  <c r="U454" i="1"/>
  <c r="U163" i="1"/>
  <c r="U466" i="1"/>
  <c r="U40" i="1"/>
  <c r="U331" i="1"/>
  <c r="U160" i="1"/>
  <c r="U69" i="1"/>
  <c r="U408" i="1"/>
  <c r="U303" i="1"/>
  <c r="U239" i="1"/>
  <c r="U101" i="1"/>
  <c r="U263" i="1"/>
  <c r="U301" i="1"/>
  <c r="U258" i="1"/>
  <c r="U287" i="1"/>
  <c r="U127" i="1"/>
  <c r="U198" i="1"/>
  <c r="U395" i="1"/>
  <c r="U53" i="1"/>
  <c r="U157" i="1"/>
  <c r="U327" i="1"/>
  <c r="U91" i="1"/>
  <c r="U344" i="1"/>
  <c r="U347" i="1"/>
  <c r="U59" i="1"/>
  <c r="U341" i="1"/>
  <c r="U506" i="1"/>
  <c r="U335" i="1"/>
  <c r="U496" i="1"/>
  <c r="U286" i="1"/>
  <c r="U223" i="1"/>
  <c r="U99" i="1"/>
  <c r="U462" i="1"/>
  <c r="U390" i="1"/>
  <c r="U351" i="1"/>
  <c r="U224" i="1"/>
  <c r="U108" i="1"/>
  <c r="U350" i="1"/>
  <c r="U309" i="1"/>
  <c r="U264" i="1"/>
  <c r="U208" i="1"/>
  <c r="U169" i="1"/>
  <c r="U194" i="1"/>
  <c r="U410" i="1"/>
  <c r="U339" i="1"/>
  <c r="U358" i="1"/>
  <c r="V358" i="1" s="1"/>
  <c r="U227" i="1"/>
  <c r="U478" i="1"/>
  <c r="U364" i="1"/>
  <c r="U268" i="1"/>
  <c r="U118" i="1"/>
  <c r="U189" i="1"/>
  <c r="U321" i="1"/>
  <c r="U180" i="1"/>
  <c r="U159" i="1"/>
  <c r="U281" i="1"/>
  <c r="U110" i="1"/>
  <c r="U254" i="1"/>
  <c r="U120" i="1"/>
  <c r="U459" i="1"/>
  <c r="U460" i="1"/>
  <c r="U382" i="1"/>
  <c r="U203" i="1"/>
  <c r="U80" i="1"/>
  <c r="U468" i="1"/>
  <c r="U67" i="1"/>
  <c r="V67" i="1" s="1"/>
  <c r="U152" i="1"/>
  <c r="U421" i="1"/>
  <c r="U326" i="1"/>
  <c r="U284" i="1"/>
  <c r="U197" i="1"/>
  <c r="U140" i="1"/>
  <c r="U90" i="1"/>
  <c r="U404" i="1"/>
  <c r="U340" i="1"/>
  <c r="U123" i="1"/>
  <c r="U430" i="1"/>
  <c r="U343" i="1"/>
  <c r="U158" i="1"/>
  <c r="U464" i="1"/>
  <c r="U418" i="1"/>
  <c r="U333" i="1"/>
  <c r="U222" i="1"/>
  <c r="U83" i="1"/>
  <c r="V83" i="1" s="1"/>
  <c r="U482" i="1"/>
  <c r="U374" i="1"/>
  <c r="U221" i="1"/>
  <c r="U68" i="1"/>
  <c r="U480" i="1"/>
  <c r="U366" i="1"/>
  <c r="U337" i="1"/>
  <c r="U267" i="1"/>
  <c r="U237" i="1"/>
  <c r="U164" i="1"/>
  <c r="U125" i="1"/>
  <c r="U84" i="1"/>
  <c r="U486" i="1"/>
  <c r="U448" i="1"/>
  <c r="U416" i="1"/>
  <c r="U370" i="1"/>
  <c r="U354" i="1"/>
  <c r="U311" i="1"/>
  <c r="U272" i="1"/>
  <c r="U242" i="1"/>
  <c r="U210" i="1"/>
  <c r="U128" i="1"/>
  <c r="U102" i="1"/>
  <c r="U63" i="1"/>
  <c r="U432" i="1"/>
  <c r="U269" i="1"/>
  <c r="U278" i="1"/>
  <c r="U153" i="1"/>
  <c r="U325" i="1"/>
  <c r="U305" i="1"/>
  <c r="U290" i="1"/>
  <c r="U259" i="1"/>
  <c r="U184" i="1"/>
  <c r="U292" i="1"/>
  <c r="U260" i="1"/>
  <c r="U204" i="1"/>
  <c r="U188" i="1"/>
  <c r="U161" i="1"/>
  <c r="U135" i="1"/>
  <c r="U29" i="1"/>
  <c r="U217" i="1"/>
  <c r="U139" i="1"/>
  <c r="U235" i="1"/>
  <c r="U412" i="1"/>
  <c r="U112" i="1"/>
  <c r="U266" i="1"/>
  <c r="U72" i="1"/>
  <c r="U173" i="1"/>
  <c r="U456" i="1"/>
  <c r="U256" i="1"/>
  <c r="U114" i="1"/>
  <c r="U442" i="1"/>
  <c r="U353" i="1"/>
  <c r="U205" i="1"/>
  <c r="U36" i="1"/>
  <c r="U422" i="1"/>
  <c r="U280" i="1"/>
  <c r="U89" i="1"/>
  <c r="U255" i="1"/>
  <c r="U73" i="1"/>
  <c r="M31" i="29"/>
  <c r="M34" i="29"/>
  <c r="M28" i="29"/>
  <c r="N1" i="29"/>
  <c r="M29" i="29"/>
  <c r="M27" i="29"/>
  <c r="M26" i="29"/>
  <c r="M33" i="29"/>
  <c r="M32" i="29"/>
  <c r="M30" i="29"/>
  <c r="M35" i="29"/>
  <c r="Q7" i="19"/>
  <c r="R6" i="19"/>
  <c r="Q53" i="34"/>
  <c r="T52" i="34"/>
  <c r="A5" i="25"/>
  <c r="F75" i="14"/>
  <c r="Q8" i="19" l="1"/>
  <c r="R7" i="19"/>
  <c r="N35" i="29"/>
  <c r="N28" i="29"/>
  <c r="O28" i="29" s="1"/>
  <c r="N26" i="29"/>
  <c r="O26" i="29" s="1"/>
  <c r="N27" i="29"/>
  <c r="O27" i="29" s="1"/>
  <c r="N30" i="29"/>
  <c r="O30" i="29" s="1"/>
  <c r="N34" i="29"/>
  <c r="O34" i="29" s="1"/>
  <c r="N31" i="29"/>
  <c r="O31" i="29" s="1"/>
  <c r="N33" i="29"/>
  <c r="O33" i="29" s="1"/>
  <c r="N32" i="29"/>
  <c r="O32" i="29" s="1"/>
  <c r="N29" i="29"/>
  <c r="O29" i="29" s="1"/>
  <c r="Q54" i="34"/>
  <c r="T53" i="34"/>
  <c r="A6" i="25"/>
  <c r="F76" i="14"/>
  <c r="O35" i="29" l="1"/>
  <c r="S4" i="29"/>
  <c r="R4" i="29"/>
  <c r="Q9" i="19"/>
  <c r="R8" i="19"/>
  <c r="Q55" i="34"/>
  <c r="T54" i="34"/>
  <c r="A7" i="25"/>
  <c r="F77" i="14"/>
  <c r="D1" i="10"/>
  <c r="F9" i="9"/>
  <c r="Q10" i="19" l="1"/>
  <c r="R9" i="19"/>
  <c r="Q56" i="34"/>
  <c r="T55" i="34"/>
  <c r="A8" i="25"/>
  <c r="F78" i="14"/>
  <c r="B2" i="23"/>
  <c r="D2" i="23"/>
  <c r="C2" i="23"/>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3" i="23"/>
  <c r="AC3" i="5"/>
  <c r="AB119" i="5"/>
  <c r="AB120" i="5"/>
  <c r="AB121" i="5"/>
  <c r="AB122" i="5"/>
  <c r="AB123" i="5"/>
  <c r="AB124" i="5"/>
  <c r="AB125" i="5"/>
  <c r="AB126" i="5"/>
  <c r="AB127" i="5"/>
  <c r="AB128" i="5"/>
  <c r="AB129" i="5"/>
  <c r="AB130" i="5"/>
  <c r="AB131" i="5"/>
  <c r="AB25" i="5"/>
  <c r="AB26" i="5"/>
  <c r="AB27" i="5"/>
  <c r="AB28" i="5"/>
  <c r="AB29" i="5"/>
  <c r="AB30" i="5"/>
  <c r="AB31" i="5"/>
  <c r="AB32" i="5"/>
  <c r="AB33" i="5"/>
  <c r="AB34" i="5"/>
  <c r="AB35" i="5"/>
  <c r="AB36" i="5"/>
  <c r="AB37" i="5"/>
  <c r="AB38" i="5"/>
  <c r="AB39" i="5"/>
  <c r="AB40" i="5"/>
  <c r="AB41" i="5"/>
  <c r="AB42" i="5"/>
  <c r="AB43" i="5"/>
  <c r="AB44" i="5"/>
  <c r="AB45" i="5"/>
  <c r="AB46" i="5"/>
  <c r="AB47" i="5"/>
  <c r="AB48" i="5"/>
  <c r="AB49" i="5"/>
  <c r="AB50" i="5"/>
  <c r="AB51" i="5"/>
  <c r="AB52" i="5"/>
  <c r="AB53" i="5"/>
  <c r="AB54" i="5"/>
  <c r="AB55" i="5"/>
  <c r="AB56" i="5"/>
  <c r="AB57" i="5"/>
  <c r="AB58" i="5"/>
  <c r="AB59" i="5"/>
  <c r="AB60" i="5"/>
  <c r="AB61" i="5"/>
  <c r="AB62" i="5"/>
  <c r="AB63" i="5"/>
  <c r="AB64" i="5"/>
  <c r="AB65" i="5"/>
  <c r="AB66" i="5"/>
  <c r="AB67" i="5"/>
  <c r="AB68" i="5"/>
  <c r="AB69" i="5"/>
  <c r="AB70" i="5"/>
  <c r="AB71" i="5"/>
  <c r="AB72" i="5"/>
  <c r="AB73" i="5"/>
  <c r="AB74" i="5"/>
  <c r="AB75" i="5"/>
  <c r="AB76" i="5"/>
  <c r="AB77" i="5"/>
  <c r="AB78" i="5"/>
  <c r="AB79" i="5"/>
  <c r="AB80" i="5"/>
  <c r="AB81" i="5"/>
  <c r="AB82" i="5"/>
  <c r="AB83" i="5"/>
  <c r="AB84" i="5"/>
  <c r="AB85" i="5"/>
  <c r="AB86" i="5"/>
  <c r="AB87" i="5"/>
  <c r="AB88" i="5"/>
  <c r="AB89" i="5"/>
  <c r="AB90" i="5"/>
  <c r="AB91" i="5"/>
  <c r="AB92" i="5"/>
  <c r="AB93" i="5"/>
  <c r="AB94" i="5"/>
  <c r="AB95" i="5"/>
  <c r="AB96" i="5"/>
  <c r="AB97" i="5"/>
  <c r="AB98" i="5"/>
  <c r="AB99" i="5"/>
  <c r="AB100" i="5"/>
  <c r="AB101" i="5"/>
  <c r="AB102" i="5"/>
  <c r="AB103" i="5"/>
  <c r="AB104" i="5"/>
  <c r="AB105" i="5"/>
  <c r="AB106" i="5"/>
  <c r="AB107" i="5"/>
  <c r="AB108" i="5"/>
  <c r="AB109" i="5"/>
  <c r="AB110" i="5"/>
  <c r="AB111" i="5"/>
  <c r="AB112" i="5"/>
  <c r="AB113" i="5"/>
  <c r="AB114" i="5"/>
  <c r="AB115" i="5"/>
  <c r="AB116" i="5"/>
  <c r="AB117" i="5"/>
  <c r="AB118" i="5"/>
  <c r="Q11" i="19" l="1"/>
  <c r="R10" i="19"/>
  <c r="Q57" i="34"/>
  <c r="T56" i="34"/>
  <c r="AC4" i="5"/>
  <c r="AC5" i="5" s="1"/>
  <c r="AC6" i="5" s="1"/>
  <c r="AC7" i="5" s="1"/>
  <c r="AC8" i="5" s="1"/>
  <c r="AC9" i="5" s="1"/>
  <c r="AC10" i="5" s="1"/>
  <c r="AC11" i="5" s="1"/>
  <c r="AC12" i="5" s="1"/>
  <c r="AC13" i="5" s="1"/>
  <c r="AC14" i="5" s="1"/>
  <c r="AC15" i="5" s="1"/>
  <c r="AC16" i="5" s="1"/>
  <c r="AC17" i="5" s="1"/>
  <c r="AC18" i="5" s="1"/>
  <c r="AC19" i="5" s="1"/>
  <c r="AC20" i="5" s="1"/>
  <c r="AC21" i="5" s="1"/>
  <c r="AC22" i="5" s="1"/>
  <c r="AC23" i="5" s="1"/>
  <c r="AC24" i="5" s="1"/>
  <c r="AC25" i="5" s="1"/>
  <c r="AC26" i="5" s="1"/>
  <c r="AC27" i="5" s="1"/>
  <c r="AC28" i="5" s="1"/>
  <c r="AC29" i="5" s="1"/>
  <c r="AC30" i="5" s="1"/>
  <c r="AC31" i="5" s="1"/>
  <c r="AC32" i="5" s="1"/>
  <c r="AC33" i="5" s="1"/>
  <c r="AC34" i="5" s="1"/>
  <c r="AC35" i="5" s="1"/>
  <c r="AC36" i="5" s="1"/>
  <c r="AC37" i="5" s="1"/>
  <c r="AC38" i="5" s="1"/>
  <c r="AC39" i="5" s="1"/>
  <c r="AC40" i="5" s="1"/>
  <c r="AC41" i="5" s="1"/>
  <c r="AC42" i="5" s="1"/>
  <c r="AC43" i="5" s="1"/>
  <c r="AC44" i="5" s="1"/>
  <c r="AC45" i="5" s="1"/>
  <c r="AC46" i="5" s="1"/>
  <c r="AC47" i="5" s="1"/>
  <c r="AC48" i="5" s="1"/>
  <c r="AC49" i="5" s="1"/>
  <c r="AC50" i="5" s="1"/>
  <c r="AC51" i="5" s="1"/>
  <c r="AC52" i="5" s="1"/>
  <c r="AC53" i="5" s="1"/>
  <c r="AC54" i="5" s="1"/>
  <c r="AC55" i="5" s="1"/>
  <c r="AC56" i="5" s="1"/>
  <c r="AC57" i="5" s="1"/>
  <c r="AC58" i="5" s="1"/>
  <c r="AC59" i="5" s="1"/>
  <c r="AC60" i="5" s="1"/>
  <c r="AC61" i="5" s="1"/>
  <c r="AC62" i="5" s="1"/>
  <c r="AC63" i="5" s="1"/>
  <c r="AC64" i="5" s="1"/>
  <c r="AC65" i="5" s="1"/>
  <c r="AC66" i="5" s="1"/>
  <c r="AC67" i="5" s="1"/>
  <c r="AC68" i="5" s="1"/>
  <c r="AC69" i="5" s="1"/>
  <c r="AC70" i="5" s="1"/>
  <c r="AC71" i="5" s="1"/>
  <c r="AC72" i="5" s="1"/>
  <c r="AC73" i="5" s="1"/>
  <c r="AC74" i="5" s="1"/>
  <c r="AC75" i="5" s="1"/>
  <c r="AC76" i="5" s="1"/>
  <c r="AC77" i="5" s="1"/>
  <c r="AC78" i="5" s="1"/>
  <c r="AC79" i="5" s="1"/>
  <c r="AC80" i="5" s="1"/>
  <c r="AC81" i="5" s="1"/>
  <c r="AC82" i="5" s="1"/>
  <c r="AC83" i="5" s="1"/>
  <c r="AC84" i="5" s="1"/>
  <c r="AC85" i="5" s="1"/>
  <c r="AC86" i="5" s="1"/>
  <c r="AC87" i="5" s="1"/>
  <c r="AC88" i="5" s="1"/>
  <c r="AC89" i="5" s="1"/>
  <c r="AC90" i="5" s="1"/>
  <c r="AC91" i="5" s="1"/>
  <c r="AC92" i="5" s="1"/>
  <c r="AC93" i="5" s="1"/>
  <c r="AC94" i="5" s="1"/>
  <c r="AC95" i="5" s="1"/>
  <c r="AC96" i="5" s="1"/>
  <c r="AC97" i="5" s="1"/>
  <c r="AC98" i="5" s="1"/>
  <c r="AC99" i="5" s="1"/>
  <c r="AC100" i="5" s="1"/>
  <c r="AC101" i="5" s="1"/>
  <c r="AC102" i="5" s="1"/>
  <c r="AC103" i="5" s="1"/>
  <c r="AC104" i="5" s="1"/>
  <c r="AC105" i="5" s="1"/>
  <c r="AC106" i="5" s="1"/>
  <c r="AC107" i="5" s="1"/>
  <c r="AC108" i="5" s="1"/>
  <c r="AC109" i="5" s="1"/>
  <c r="AC110" i="5" s="1"/>
  <c r="AC111" i="5" s="1"/>
  <c r="AC112" i="5" s="1"/>
  <c r="AC113" i="5" s="1"/>
  <c r="AC114" i="5" s="1"/>
  <c r="AC115" i="5" s="1"/>
  <c r="AC116" i="5" s="1"/>
  <c r="AC117" i="5" s="1"/>
  <c r="AC118" i="5" s="1"/>
  <c r="AC119" i="5" s="1"/>
  <c r="AC120" i="5" s="1"/>
  <c r="AC121" i="5" s="1"/>
  <c r="AC122" i="5" s="1"/>
  <c r="AC123" i="5" s="1"/>
  <c r="AC124" i="5" s="1"/>
  <c r="AC125" i="5" s="1"/>
  <c r="AC126" i="5" s="1"/>
  <c r="AC127" i="5" s="1"/>
  <c r="AC128" i="5" s="1"/>
  <c r="AC129" i="5" s="1"/>
  <c r="AC130" i="5" s="1"/>
  <c r="AC131" i="5" s="1"/>
  <c r="D3" i="23"/>
  <c r="B3" i="23"/>
  <c r="C3" i="23"/>
  <c r="A9" i="25"/>
  <c r="F79" i="14"/>
  <c r="AB3" i="5"/>
  <c r="AB4" i="5"/>
  <c r="AB5" i="5"/>
  <c r="AB6" i="5"/>
  <c r="AB7" i="5"/>
  <c r="AB8" i="5"/>
  <c r="AB9" i="5"/>
  <c r="AB10" i="5"/>
  <c r="AB11" i="5"/>
  <c r="AB12" i="5"/>
  <c r="AB13" i="5"/>
  <c r="AB14" i="5"/>
  <c r="AB15" i="5"/>
  <c r="AB16" i="5"/>
  <c r="AB17" i="5"/>
  <c r="AB18" i="5"/>
  <c r="AB19" i="5"/>
  <c r="AB20" i="5"/>
  <c r="AB21" i="5"/>
  <c r="AB22" i="5"/>
  <c r="AB23" i="5"/>
  <c r="AB24" i="5"/>
  <c r="Q12" i="19" l="1"/>
  <c r="R11" i="19"/>
  <c r="C8" i="23"/>
  <c r="C14" i="23"/>
  <c r="D11" i="23"/>
  <c r="D10" i="23"/>
  <c r="C6" i="23"/>
  <c r="D12" i="23"/>
  <c r="D15" i="23"/>
  <c r="C22" i="23"/>
  <c r="D26" i="23"/>
  <c r="C7" i="23"/>
  <c r="D20" i="23"/>
  <c r="D19" i="23"/>
  <c r="C30" i="23"/>
  <c r="C9" i="23"/>
  <c r="C4" i="23"/>
  <c r="D51" i="23"/>
  <c r="D35" i="23"/>
  <c r="D45" i="23"/>
  <c r="D18" i="23"/>
  <c r="C47" i="23"/>
  <c r="B13" i="23"/>
  <c r="C38" i="23"/>
  <c r="C24" i="23"/>
  <c r="D27" i="23"/>
  <c r="D17" i="23"/>
  <c r="C17" i="23"/>
  <c r="C15" i="23"/>
  <c r="B12" i="23"/>
  <c r="D34" i="23"/>
  <c r="C25" i="23"/>
  <c r="D60" i="23"/>
  <c r="B23" i="23"/>
  <c r="B35" i="23"/>
  <c r="D43" i="23"/>
  <c r="D29" i="23"/>
  <c r="D42" i="23"/>
  <c r="C57" i="23"/>
  <c r="B34" i="23"/>
  <c r="C36" i="23"/>
  <c r="B29" i="23"/>
  <c r="B50" i="23"/>
  <c r="C40" i="23"/>
  <c r="D44" i="23"/>
  <c r="C31" i="23"/>
  <c r="B61" i="23"/>
  <c r="B28" i="23"/>
  <c r="Q58" i="34"/>
  <c r="T57" i="34"/>
  <c r="C63" i="23"/>
  <c r="C64" i="23"/>
  <c r="B59" i="23"/>
  <c r="C54" i="23"/>
  <c r="D58" i="23"/>
  <c r="C41" i="23"/>
  <c r="D28" i="23"/>
  <c r="D33" i="23"/>
  <c r="B45" i="23"/>
  <c r="B18" i="23"/>
  <c r="B44" i="23"/>
  <c r="B43" i="23"/>
  <c r="D7" i="23"/>
  <c r="D23" i="23"/>
  <c r="D39" i="23"/>
  <c r="D55" i="23"/>
  <c r="C10" i="23"/>
  <c r="C26" i="23"/>
  <c r="C42" i="23"/>
  <c r="C58" i="23"/>
  <c r="D21" i="23"/>
  <c r="D49" i="23"/>
  <c r="C16" i="23"/>
  <c r="C48" i="23"/>
  <c r="D14" i="23"/>
  <c r="D30" i="23"/>
  <c r="D46" i="23"/>
  <c r="D62" i="23"/>
  <c r="C13" i="23"/>
  <c r="C29" i="23"/>
  <c r="C45" i="23"/>
  <c r="C61" i="23"/>
  <c r="D16" i="23"/>
  <c r="D32" i="23"/>
  <c r="D48" i="23"/>
  <c r="D64" i="23"/>
  <c r="C19" i="23"/>
  <c r="C35" i="23"/>
  <c r="C51" i="23"/>
  <c r="D5" i="23"/>
  <c r="D41" i="23"/>
  <c r="C12" i="23"/>
  <c r="C44" i="23"/>
  <c r="B17" i="23"/>
  <c r="B33" i="23"/>
  <c r="B49" i="23"/>
  <c r="B65" i="23"/>
  <c r="B27" i="23"/>
  <c r="B6" i="23"/>
  <c r="B22" i="23"/>
  <c r="B38" i="23"/>
  <c r="B54" i="23"/>
  <c r="B51" i="23"/>
  <c r="B16" i="23"/>
  <c r="B32" i="23"/>
  <c r="B48" i="23"/>
  <c r="B64" i="23"/>
  <c r="B7" i="23"/>
  <c r="B55" i="23"/>
  <c r="B66" i="23"/>
  <c r="B60" i="23"/>
  <c r="C46" i="23"/>
  <c r="D57" i="23"/>
  <c r="C56" i="23"/>
  <c r="D66" i="23"/>
  <c r="C33" i="23"/>
  <c r="C65" i="23"/>
  <c r="D36" i="23"/>
  <c r="D52" i="23"/>
  <c r="C23" i="23"/>
  <c r="C39" i="23"/>
  <c r="C55" i="23"/>
  <c r="D13" i="23"/>
  <c r="D53" i="23"/>
  <c r="C20" i="23"/>
  <c r="C52" i="23"/>
  <c r="B21" i="23"/>
  <c r="B37" i="23"/>
  <c r="B53" i="23"/>
  <c r="C66" i="23"/>
  <c r="B31" i="23"/>
  <c r="B10" i="23"/>
  <c r="B26" i="23"/>
  <c r="B42" i="23"/>
  <c r="B58" i="23"/>
  <c r="B4" i="23"/>
  <c r="B20" i="23"/>
  <c r="B36" i="23"/>
  <c r="B52" i="23"/>
  <c r="B19" i="23"/>
  <c r="B63" i="23"/>
  <c r="D59" i="23"/>
  <c r="C62" i="23"/>
  <c r="D50" i="23"/>
  <c r="C49" i="23"/>
  <c r="D31" i="23"/>
  <c r="D47" i="23"/>
  <c r="D63" i="23"/>
  <c r="C18" i="23"/>
  <c r="C34" i="23"/>
  <c r="C50" i="23"/>
  <c r="D9" i="23"/>
  <c r="D37" i="23"/>
  <c r="D65" i="23"/>
  <c r="C32" i="23"/>
  <c r="D6" i="23"/>
  <c r="D22" i="23"/>
  <c r="D38" i="23"/>
  <c r="D54" i="23"/>
  <c r="C5" i="23"/>
  <c r="C21" i="23"/>
  <c r="C37" i="23"/>
  <c r="C53" i="23"/>
  <c r="D8" i="23"/>
  <c r="D24" i="23"/>
  <c r="D40" i="23"/>
  <c r="D56" i="23"/>
  <c r="C11" i="23"/>
  <c r="C27" i="23"/>
  <c r="C43" i="23"/>
  <c r="C59" i="23"/>
  <c r="D25" i="23"/>
  <c r="D61" i="23"/>
  <c r="C28" i="23"/>
  <c r="C60" i="23"/>
  <c r="B9" i="23"/>
  <c r="B25" i="23"/>
  <c r="B41" i="23"/>
  <c r="B57" i="23"/>
  <c r="B11" i="23"/>
  <c r="B47" i="23"/>
  <c r="B14" i="23"/>
  <c r="B30" i="23"/>
  <c r="B46" i="23"/>
  <c r="B62" i="23"/>
  <c r="B15" i="23"/>
  <c r="B8" i="23"/>
  <c r="B24" i="23"/>
  <c r="B40" i="23"/>
  <c r="B56" i="23"/>
  <c r="D4" i="23"/>
  <c r="B39" i="23"/>
  <c r="B5" i="23"/>
  <c r="A10" i="25"/>
  <c r="F80" i="14"/>
  <c r="E2" i="19"/>
  <c r="B2" i="19"/>
  <c r="A3" i="19"/>
  <c r="B3" i="19"/>
  <c r="C2" i="19"/>
  <c r="Q13" i="19" l="1"/>
  <c r="R12" i="19"/>
  <c r="Q59" i="34"/>
  <c r="T58" i="34"/>
  <c r="F3" i="19"/>
  <c r="A4" i="19"/>
  <c r="A11" i="25"/>
  <c r="F81" i="14"/>
  <c r="C3" i="19"/>
  <c r="E3" i="19"/>
  <c r="D3" i="19"/>
  <c r="D4" i="19" l="1"/>
  <c r="B4" i="19"/>
  <c r="Q14" i="19"/>
  <c r="R13" i="19"/>
  <c r="Q60" i="34"/>
  <c r="T59" i="34"/>
  <c r="A5" i="19"/>
  <c r="F5" i="19" s="1"/>
  <c r="F4" i="19"/>
  <c r="C4" i="19"/>
  <c r="E4" i="19"/>
  <c r="A12" i="25"/>
  <c r="F82" i="14"/>
  <c r="B5" i="19"/>
  <c r="D5" i="19"/>
  <c r="E5" i="19"/>
  <c r="A6" i="19"/>
  <c r="C5" i="19" l="1"/>
  <c r="C6" i="19"/>
  <c r="Q15" i="19"/>
  <c r="R14" i="19"/>
  <c r="Q61" i="34"/>
  <c r="T60" i="34"/>
  <c r="A7" i="19"/>
  <c r="F7" i="19"/>
  <c r="F6" i="19"/>
  <c r="B6" i="19"/>
  <c r="A13" i="25"/>
  <c r="F83" i="14"/>
  <c r="E7" i="19"/>
  <c r="D7" i="19"/>
  <c r="E6" i="19"/>
  <c r="D6" i="19"/>
  <c r="A8" i="19"/>
  <c r="B7" i="19"/>
  <c r="C7" i="19"/>
  <c r="Q16" i="19" l="1"/>
  <c r="R15" i="19"/>
  <c r="Q62" i="34"/>
  <c r="T61" i="34"/>
  <c r="F8" i="19"/>
  <c r="A14" i="25"/>
  <c r="E8" i="19"/>
  <c r="D8" i="19"/>
  <c r="C8" i="19"/>
  <c r="A9" i="19"/>
  <c r="B8" i="19"/>
  <c r="Q17" i="19" l="1"/>
  <c r="R16" i="19"/>
  <c r="Q63" i="34"/>
  <c r="T62" i="34"/>
  <c r="F9" i="19"/>
  <c r="A15" i="25"/>
  <c r="E9" i="19"/>
  <c r="D9" i="19"/>
  <c r="B9" i="19"/>
  <c r="C9" i="19"/>
  <c r="A10" i="19"/>
  <c r="Q18" i="19" l="1"/>
  <c r="R17" i="19"/>
  <c r="Q64" i="34"/>
  <c r="T63" i="34"/>
  <c r="F10" i="19"/>
  <c r="A16" i="25"/>
  <c r="E10" i="19"/>
  <c r="D10" i="19"/>
  <c r="C10" i="19"/>
  <c r="B10" i="19"/>
  <c r="A11" i="19"/>
  <c r="Q19" i="19" l="1"/>
  <c r="R18" i="19"/>
  <c r="Q65" i="34"/>
  <c r="T64" i="34"/>
  <c r="F11" i="19"/>
  <c r="A17" i="25"/>
  <c r="E11" i="19"/>
  <c r="D11" i="19"/>
  <c r="A12" i="19"/>
  <c r="B11" i="19"/>
  <c r="C11" i="19"/>
  <c r="Q20" i="19" l="1"/>
  <c r="R19" i="19"/>
  <c r="Q66" i="34"/>
  <c r="T65" i="34"/>
  <c r="F12" i="19"/>
  <c r="A18" i="25"/>
  <c r="E12" i="19"/>
  <c r="D12" i="19"/>
  <c r="B12" i="19"/>
  <c r="C12" i="19"/>
  <c r="A13" i="19"/>
  <c r="Q21" i="19" l="1"/>
  <c r="R20" i="19"/>
  <c r="Q67" i="34"/>
  <c r="T66" i="34"/>
  <c r="F13" i="19"/>
  <c r="E13" i="19"/>
  <c r="D13" i="19"/>
  <c r="B13" i="19"/>
  <c r="A14" i="19"/>
  <c r="C13" i="19"/>
  <c r="Q22" i="19" l="1"/>
  <c r="R21" i="19"/>
  <c r="Q68" i="34"/>
  <c r="T67" i="34"/>
  <c r="F14" i="19"/>
  <c r="E14" i="19"/>
  <c r="D14" i="19"/>
  <c r="C14" i="19"/>
  <c r="A15" i="19"/>
  <c r="B14" i="19"/>
  <c r="Q23" i="19" l="1"/>
  <c r="R22" i="19"/>
  <c r="Q69" i="34"/>
  <c r="T68" i="34"/>
  <c r="F15" i="19"/>
  <c r="E15" i="19"/>
  <c r="D15" i="19"/>
  <c r="A16" i="19"/>
  <c r="B15" i="19"/>
  <c r="C15" i="19"/>
  <c r="Q24" i="19" l="1"/>
  <c r="R23" i="19"/>
  <c r="Q70" i="34"/>
  <c r="T69" i="34"/>
  <c r="F16" i="19"/>
  <c r="E16" i="19"/>
  <c r="D16" i="19"/>
  <c r="C16" i="19"/>
  <c r="A17" i="19"/>
  <c r="B16" i="19"/>
  <c r="Q25" i="19" l="1"/>
  <c r="R24" i="19"/>
  <c r="Q71" i="34"/>
  <c r="T70" i="34"/>
  <c r="F17" i="19"/>
  <c r="E17" i="19"/>
  <c r="D17" i="19"/>
  <c r="B17" i="19"/>
  <c r="A18" i="19"/>
  <c r="C17" i="19"/>
  <c r="Q26" i="19" l="1"/>
  <c r="R25" i="19"/>
  <c r="Q72" i="34"/>
  <c r="T71" i="34"/>
  <c r="F18" i="19"/>
  <c r="E18" i="19"/>
  <c r="D18" i="19"/>
  <c r="C18" i="19"/>
  <c r="A19" i="19"/>
  <c r="B18" i="19"/>
  <c r="Q27" i="19" l="1"/>
  <c r="R26" i="19"/>
  <c r="Q73" i="34"/>
  <c r="T72" i="34"/>
  <c r="F19" i="19"/>
  <c r="E19" i="19"/>
  <c r="D19" i="19"/>
  <c r="A20" i="19"/>
  <c r="B19" i="19"/>
  <c r="C19" i="19"/>
  <c r="Q28" i="19" l="1"/>
  <c r="R27" i="19"/>
  <c r="Q74" i="34"/>
  <c r="T73" i="34"/>
  <c r="F20" i="19"/>
  <c r="D20" i="19"/>
  <c r="E20" i="19"/>
  <c r="C20" i="19"/>
  <c r="A21" i="19"/>
  <c r="B20" i="19"/>
  <c r="Q29" i="19" l="1"/>
  <c r="R28" i="19"/>
  <c r="Q75" i="34"/>
  <c r="T74" i="34"/>
  <c r="F21" i="19"/>
  <c r="E21" i="19"/>
  <c r="D21" i="19"/>
  <c r="B21" i="19"/>
  <c r="A22" i="19"/>
  <c r="C21" i="19"/>
  <c r="Q30" i="19" l="1"/>
  <c r="R29" i="19"/>
  <c r="Q76" i="34"/>
  <c r="T75" i="34"/>
  <c r="F22" i="19"/>
  <c r="E22" i="19"/>
  <c r="D22" i="19"/>
  <c r="C22" i="19"/>
  <c r="A23" i="19"/>
  <c r="B22" i="19"/>
  <c r="Q31" i="19" l="1"/>
  <c r="R30" i="19"/>
  <c r="Q77" i="34"/>
  <c r="T76" i="34"/>
  <c r="F23" i="19"/>
  <c r="E23" i="19"/>
  <c r="D23" i="19"/>
  <c r="A24" i="19"/>
  <c r="B23" i="19"/>
  <c r="C23" i="19"/>
  <c r="Q32" i="19" l="1"/>
  <c r="R31" i="19"/>
  <c r="Q78" i="34"/>
  <c r="T77" i="34"/>
  <c r="F24" i="19"/>
  <c r="E24" i="19"/>
  <c r="D24" i="19"/>
  <c r="C24" i="19"/>
  <c r="A25" i="19"/>
  <c r="B24" i="19"/>
  <c r="Q33" i="19" l="1"/>
  <c r="R32" i="19"/>
  <c r="Q79" i="34"/>
  <c r="T78" i="34"/>
  <c r="F25" i="19"/>
  <c r="E25" i="19"/>
  <c r="D25" i="19"/>
  <c r="B25" i="19"/>
  <c r="C25" i="19"/>
  <c r="A26" i="19"/>
  <c r="Q34" i="19" l="1"/>
  <c r="R33" i="19"/>
  <c r="Q80" i="34"/>
  <c r="T79" i="34"/>
  <c r="F26" i="19"/>
  <c r="E26" i="19"/>
  <c r="D26" i="19"/>
  <c r="C26" i="19"/>
  <c r="B26" i="19"/>
  <c r="A27" i="19"/>
  <c r="Q35" i="19" l="1"/>
  <c r="R34" i="19"/>
  <c r="Q81" i="34"/>
  <c r="T80" i="34"/>
  <c r="F27" i="19"/>
  <c r="E27" i="19"/>
  <c r="D27" i="19"/>
  <c r="A28" i="19"/>
  <c r="B27" i="19"/>
  <c r="C27" i="19"/>
  <c r="Q36" i="19" l="1"/>
  <c r="R35" i="19"/>
  <c r="Q82" i="34"/>
  <c r="T81" i="34"/>
  <c r="F28" i="19"/>
  <c r="E28" i="19"/>
  <c r="D28" i="19"/>
  <c r="C28" i="19"/>
  <c r="A29" i="19"/>
  <c r="B28" i="19"/>
  <c r="Q37" i="19" l="1"/>
  <c r="R36" i="19"/>
  <c r="Q83" i="34"/>
  <c r="T82" i="34"/>
  <c r="F29" i="19"/>
  <c r="E29" i="19"/>
  <c r="D29" i="19"/>
  <c r="B29" i="19"/>
  <c r="A30" i="19"/>
  <c r="C29" i="19"/>
  <c r="Q38" i="19" l="1"/>
  <c r="R37" i="19"/>
  <c r="Q84" i="34"/>
  <c r="T83" i="34"/>
  <c r="F30" i="19"/>
  <c r="E30" i="19"/>
  <c r="D30" i="19"/>
  <c r="C30" i="19"/>
  <c r="B30" i="19"/>
  <c r="A31" i="19"/>
  <c r="Q39" i="19" l="1"/>
  <c r="R38" i="19"/>
  <c r="Q85" i="34"/>
  <c r="T84" i="34"/>
  <c r="F31" i="19"/>
  <c r="E31" i="19"/>
  <c r="D31" i="19"/>
  <c r="A32" i="19"/>
  <c r="B31" i="19"/>
  <c r="C31" i="19"/>
  <c r="Q40" i="19" l="1"/>
  <c r="R39" i="19"/>
  <c r="Q86" i="34"/>
  <c r="T85" i="34"/>
  <c r="F32" i="19"/>
  <c r="E32" i="19"/>
  <c r="D32" i="19"/>
  <c r="C32" i="19"/>
  <c r="A33" i="19"/>
  <c r="B32" i="19"/>
  <c r="Q41" i="19" l="1"/>
  <c r="R40" i="19"/>
  <c r="Q87" i="34"/>
  <c r="T86" i="34"/>
  <c r="F33" i="19"/>
  <c r="E33" i="19"/>
  <c r="D33" i="19"/>
  <c r="B33" i="19"/>
  <c r="A34" i="19"/>
  <c r="C33" i="19"/>
  <c r="Q42" i="19" l="1"/>
  <c r="R41" i="19"/>
  <c r="Q88" i="34"/>
  <c r="T87" i="34"/>
  <c r="F34" i="19"/>
  <c r="E34" i="19"/>
  <c r="D34" i="19"/>
  <c r="C34" i="19"/>
  <c r="B34" i="19"/>
  <c r="A35" i="19"/>
  <c r="Q43" i="19" l="1"/>
  <c r="R42" i="19"/>
  <c r="Q89" i="34"/>
  <c r="T88" i="34"/>
  <c r="F35" i="19"/>
  <c r="E35" i="19"/>
  <c r="D35" i="19"/>
  <c r="A36" i="19"/>
  <c r="B35" i="19"/>
  <c r="C35" i="19"/>
  <c r="Q44" i="19" l="1"/>
  <c r="R43" i="19"/>
  <c r="Q90" i="34"/>
  <c r="T89" i="34"/>
  <c r="F36" i="19"/>
  <c r="D36" i="19"/>
  <c r="E36" i="19"/>
  <c r="C36" i="19"/>
  <c r="A37" i="19"/>
  <c r="B36" i="19"/>
  <c r="Q45" i="19" l="1"/>
  <c r="R44" i="19"/>
  <c r="Q91" i="34"/>
  <c r="T90" i="34"/>
  <c r="F37" i="19"/>
  <c r="E37" i="19"/>
  <c r="D37" i="19"/>
  <c r="B37" i="19"/>
  <c r="A38" i="19"/>
  <c r="C37" i="19"/>
  <c r="Q46" i="19" l="1"/>
  <c r="R45" i="19"/>
  <c r="Q92" i="34"/>
  <c r="T91" i="34"/>
  <c r="F38" i="19"/>
  <c r="E38" i="19"/>
  <c r="D38" i="19"/>
  <c r="C38" i="19"/>
  <c r="B38" i="19"/>
  <c r="A39" i="19"/>
  <c r="Q47" i="19" l="1"/>
  <c r="R46" i="19"/>
  <c r="Q93" i="34"/>
  <c r="T92" i="34"/>
  <c r="F39" i="19"/>
  <c r="E39" i="19"/>
  <c r="D39" i="19"/>
  <c r="A40" i="19"/>
  <c r="B39" i="19"/>
  <c r="C39" i="19"/>
  <c r="Q48" i="19" l="1"/>
  <c r="R47" i="19"/>
  <c r="Q94" i="34"/>
  <c r="T93" i="34"/>
  <c r="F40" i="19"/>
  <c r="E40" i="19"/>
  <c r="D40" i="19"/>
  <c r="C40" i="19"/>
  <c r="A41" i="19"/>
  <c r="B40" i="19"/>
  <c r="Q49" i="19" l="1"/>
  <c r="R48" i="19"/>
  <c r="Q95" i="34"/>
  <c r="T94" i="34"/>
  <c r="F41" i="19"/>
  <c r="E41" i="19"/>
  <c r="D41" i="19"/>
  <c r="B41" i="19"/>
  <c r="A42" i="19"/>
  <c r="C41" i="19"/>
  <c r="Q50" i="19" l="1"/>
  <c r="R49" i="19"/>
  <c r="Q96" i="34"/>
  <c r="T95" i="34"/>
  <c r="F42" i="19"/>
  <c r="E42" i="19"/>
  <c r="D42" i="19"/>
  <c r="C42" i="19"/>
  <c r="B42" i="19"/>
  <c r="A43" i="19"/>
  <c r="Q51" i="19" l="1"/>
  <c r="R50" i="19"/>
  <c r="Q97" i="34"/>
  <c r="T96" i="34"/>
  <c r="F43" i="19"/>
  <c r="E43" i="19"/>
  <c r="D43" i="19"/>
  <c r="A44" i="19"/>
  <c r="B43" i="19"/>
  <c r="C43" i="19"/>
  <c r="Q52" i="19" l="1"/>
  <c r="R51" i="19"/>
  <c r="Q98" i="34"/>
  <c r="T97" i="34"/>
  <c r="F44" i="19"/>
  <c r="E44" i="19"/>
  <c r="D44" i="19"/>
  <c r="C44" i="19"/>
  <c r="A45" i="19"/>
  <c r="B44" i="19"/>
  <c r="Q53" i="19" l="1"/>
  <c r="R52" i="19"/>
  <c r="Q99" i="34"/>
  <c r="T98" i="34"/>
  <c r="F45" i="19"/>
  <c r="E45" i="19"/>
  <c r="D45" i="19"/>
  <c r="B45" i="19"/>
  <c r="A46" i="19"/>
  <c r="C45" i="19"/>
  <c r="Q54" i="19" l="1"/>
  <c r="R53" i="19"/>
  <c r="Q100" i="34"/>
  <c r="T99" i="34"/>
  <c r="F46" i="19"/>
  <c r="E46" i="19"/>
  <c r="D46" i="19"/>
  <c r="C46" i="19"/>
  <c r="B46" i="19"/>
  <c r="A47" i="19"/>
  <c r="Q55" i="19" l="1"/>
  <c r="R54" i="19"/>
  <c r="Q101" i="34"/>
  <c r="T100" i="34"/>
  <c r="F47" i="19"/>
  <c r="E47" i="19"/>
  <c r="D47" i="19"/>
  <c r="A48" i="19"/>
  <c r="B47" i="19"/>
  <c r="C47" i="19"/>
  <c r="Q56" i="19" l="1"/>
  <c r="R55" i="19"/>
  <c r="Q102" i="34"/>
  <c r="T101" i="34"/>
  <c r="F48" i="19"/>
  <c r="D48" i="19"/>
  <c r="E48" i="19"/>
  <c r="C48" i="19"/>
  <c r="A49" i="19"/>
  <c r="B48" i="19"/>
  <c r="Q57" i="19" l="1"/>
  <c r="R56" i="19"/>
  <c r="Q103" i="34"/>
  <c r="T102" i="34"/>
  <c r="F49" i="19"/>
  <c r="E49" i="19"/>
  <c r="D49" i="19"/>
  <c r="B49" i="19"/>
  <c r="A50" i="19"/>
  <c r="C49" i="19"/>
  <c r="Q58" i="19" l="1"/>
  <c r="R57" i="19"/>
  <c r="Q104" i="34"/>
  <c r="T103" i="34"/>
  <c r="F50" i="19"/>
  <c r="E50" i="19"/>
  <c r="D50" i="19"/>
  <c r="C50" i="19"/>
  <c r="B50" i="19"/>
  <c r="A51" i="19"/>
  <c r="Q59" i="19" l="1"/>
  <c r="R58" i="19"/>
  <c r="Q105" i="34"/>
  <c r="T104" i="34"/>
  <c r="F51" i="19"/>
  <c r="E51" i="19"/>
  <c r="D51" i="19"/>
  <c r="A52" i="19"/>
  <c r="B51" i="19"/>
  <c r="C51" i="19"/>
  <c r="Q60" i="19" l="1"/>
  <c r="R59" i="19"/>
  <c r="Q106" i="34"/>
  <c r="T105" i="34"/>
  <c r="F52" i="19"/>
  <c r="A53" i="19"/>
  <c r="G53" i="19" s="1"/>
  <c r="E52" i="19"/>
  <c r="D52" i="19"/>
  <c r="C52" i="19"/>
  <c r="B52" i="19"/>
  <c r="H52" i="19" l="1"/>
  <c r="Q61" i="19"/>
  <c r="R60" i="19"/>
  <c r="G52" i="19"/>
  <c r="J52" i="19" s="1"/>
  <c r="Q107" i="34"/>
  <c r="T106" i="34"/>
  <c r="F53" i="19"/>
  <c r="C53" i="19"/>
  <c r="B53" i="19"/>
  <c r="E53" i="19"/>
  <c r="A54" i="19"/>
  <c r="G54" i="19" s="1"/>
  <c r="D53" i="19"/>
  <c r="Q62" i="19" l="1"/>
  <c r="R61" i="19"/>
  <c r="I52" i="19"/>
  <c r="H51" i="19"/>
  <c r="J53" i="19"/>
  <c r="K53" i="19"/>
  <c r="G51" i="19"/>
  <c r="I53" i="19"/>
  <c r="K52" i="19"/>
  <c r="Q108" i="34"/>
  <c r="T107" i="34"/>
  <c r="F54" i="19"/>
  <c r="I54" i="19" s="1"/>
  <c r="H53" i="19"/>
  <c r="E54" i="19"/>
  <c r="D54" i="19"/>
  <c r="B54" i="19"/>
  <c r="C54" i="19"/>
  <c r="A55" i="19"/>
  <c r="G55" i="19" s="1"/>
  <c r="J51" i="19" l="1"/>
  <c r="I51" i="19"/>
  <c r="K51" i="19"/>
  <c r="H50" i="19"/>
  <c r="K54" i="19"/>
  <c r="J54" i="19"/>
  <c r="G50" i="19"/>
  <c r="H54" i="19"/>
  <c r="Q63" i="19"/>
  <c r="R62" i="19"/>
  <c r="Q109" i="34"/>
  <c r="T108" i="34"/>
  <c r="F55" i="19"/>
  <c r="E55" i="19"/>
  <c r="C55" i="19"/>
  <c r="B55" i="19"/>
  <c r="A56" i="19"/>
  <c r="G56" i="19" s="1"/>
  <c r="D55" i="19"/>
  <c r="I50" i="19" l="1"/>
  <c r="J50" i="19"/>
  <c r="K50" i="19"/>
  <c r="H49" i="19"/>
  <c r="K55" i="19"/>
  <c r="J55" i="19"/>
  <c r="G49" i="19"/>
  <c r="Q64" i="19"/>
  <c r="R63" i="19"/>
  <c r="I55" i="19"/>
  <c r="Q110" i="34"/>
  <c r="T109" i="34"/>
  <c r="F56" i="19"/>
  <c r="J56" i="19" s="1"/>
  <c r="H55" i="19"/>
  <c r="C56" i="19"/>
  <c r="A57" i="19"/>
  <c r="G57" i="19" s="1"/>
  <c r="E56" i="19"/>
  <c r="D56" i="19"/>
  <c r="B56" i="19"/>
  <c r="I49" i="19" l="1"/>
  <c r="J49" i="19"/>
  <c r="K49" i="19"/>
  <c r="H48" i="19"/>
  <c r="K56" i="19"/>
  <c r="I56" i="19"/>
  <c r="G48" i="19"/>
  <c r="R64" i="19"/>
  <c r="Q65" i="19"/>
  <c r="Q111" i="34"/>
  <c r="T110" i="34"/>
  <c r="F57" i="19"/>
  <c r="H56" i="19"/>
  <c r="D57" i="19"/>
  <c r="E57" i="19"/>
  <c r="C57" i="19"/>
  <c r="B57" i="19"/>
  <c r="A58" i="19"/>
  <c r="G58" i="19" s="1"/>
  <c r="H47" i="19" l="1"/>
  <c r="K57" i="19"/>
  <c r="J57" i="19"/>
  <c r="G47" i="19"/>
  <c r="J48" i="19"/>
  <c r="I48" i="19"/>
  <c r="K48" i="19"/>
  <c r="Q66" i="19"/>
  <c r="R66" i="19" s="1"/>
  <c r="R65" i="19"/>
  <c r="I57" i="19"/>
  <c r="Q112" i="34"/>
  <c r="T111" i="34"/>
  <c r="F58" i="19"/>
  <c r="H58" i="19" s="1"/>
  <c r="H57" i="19"/>
  <c r="C58" i="19"/>
  <c r="A59" i="19"/>
  <c r="G59" i="19" s="1"/>
  <c r="E58" i="19"/>
  <c r="D58" i="19"/>
  <c r="B58" i="19"/>
  <c r="I58" i="19" l="1"/>
  <c r="I47" i="19"/>
  <c r="J47" i="19"/>
  <c r="K47" i="19"/>
  <c r="H46" i="19"/>
  <c r="J58" i="19"/>
  <c r="K58" i="19"/>
  <c r="G46" i="19"/>
  <c r="Q113" i="34"/>
  <c r="T112" i="34"/>
  <c r="F59" i="19"/>
  <c r="C59" i="19"/>
  <c r="B59" i="19"/>
  <c r="E59" i="19"/>
  <c r="A60" i="19"/>
  <c r="G60" i="19" s="1"/>
  <c r="D59" i="19"/>
  <c r="H45" i="19" l="1"/>
  <c r="K59" i="19"/>
  <c r="I59" i="19"/>
  <c r="G45" i="19"/>
  <c r="I46" i="19"/>
  <c r="J46" i="19"/>
  <c r="K46" i="19"/>
  <c r="J59" i="19"/>
  <c r="Q114" i="34"/>
  <c r="T113" i="34"/>
  <c r="F60" i="19"/>
  <c r="H59" i="19"/>
  <c r="E60" i="19"/>
  <c r="D60" i="19"/>
  <c r="C60" i="19"/>
  <c r="B60" i="19"/>
  <c r="A61" i="19"/>
  <c r="G61" i="19" s="1"/>
  <c r="H44" i="19" l="1"/>
  <c r="K60" i="19"/>
  <c r="I60" i="19"/>
  <c r="G44" i="19"/>
  <c r="I61" i="19"/>
  <c r="I45" i="19"/>
  <c r="J45" i="19"/>
  <c r="K45" i="19"/>
  <c r="J60" i="19"/>
  <c r="Q115" i="34"/>
  <c r="T114" i="34"/>
  <c r="F61" i="19"/>
  <c r="H60" i="19"/>
  <c r="C61" i="19"/>
  <c r="B61" i="19"/>
  <c r="A62" i="19"/>
  <c r="G62" i="19" s="1"/>
  <c r="E61" i="19"/>
  <c r="D61" i="19"/>
  <c r="H43" i="19" l="1"/>
  <c r="J61" i="19"/>
  <c r="K61" i="19"/>
  <c r="G43" i="19"/>
  <c r="J44" i="19"/>
  <c r="I44" i="19"/>
  <c r="K44" i="19"/>
  <c r="Q116" i="34"/>
  <c r="T115" i="34"/>
  <c r="F62" i="19"/>
  <c r="H62" i="19" s="1"/>
  <c r="H61" i="19"/>
  <c r="E62" i="19"/>
  <c r="D62" i="19"/>
  <c r="B62" i="19"/>
  <c r="A63" i="19"/>
  <c r="G63" i="19" s="1"/>
  <c r="C62" i="19"/>
  <c r="H42" i="19" l="1"/>
  <c r="J62" i="19"/>
  <c r="K62" i="19"/>
  <c r="G42" i="19"/>
  <c r="J43" i="19"/>
  <c r="K43" i="19"/>
  <c r="I43" i="19"/>
  <c r="I62" i="19"/>
  <c r="Q117" i="34"/>
  <c r="T116" i="34"/>
  <c r="F63" i="19"/>
  <c r="C63" i="19"/>
  <c r="B63" i="19"/>
  <c r="A64" i="19"/>
  <c r="G64" i="19" s="1"/>
  <c r="D63" i="19"/>
  <c r="E63" i="19"/>
  <c r="H41" i="19" l="1"/>
  <c r="J63" i="19"/>
  <c r="K63" i="19"/>
  <c r="G41" i="19"/>
  <c r="J64" i="19"/>
  <c r="I42" i="19"/>
  <c r="K42" i="19"/>
  <c r="J42" i="19"/>
  <c r="I63" i="19"/>
  <c r="Q118" i="34"/>
  <c r="T117" i="34"/>
  <c r="F64" i="19"/>
  <c r="H63" i="19"/>
  <c r="E64" i="19"/>
  <c r="D64" i="19"/>
  <c r="B64" i="19"/>
  <c r="C64" i="19"/>
  <c r="A65" i="19"/>
  <c r="G65" i="19" s="1"/>
  <c r="H40" i="19" l="1"/>
  <c r="I64" i="19"/>
  <c r="K64" i="19"/>
  <c r="G40" i="19"/>
  <c r="I41" i="19"/>
  <c r="K41" i="19"/>
  <c r="J41" i="19"/>
  <c r="Q119" i="34"/>
  <c r="T118" i="34"/>
  <c r="F65" i="19"/>
  <c r="I65" i="19" s="1"/>
  <c r="H65" i="19"/>
  <c r="H64" i="19"/>
  <c r="A66" i="19"/>
  <c r="G66" i="19" s="1"/>
  <c r="C65" i="19"/>
  <c r="D65" i="19"/>
  <c r="B65" i="19"/>
  <c r="E65" i="19"/>
  <c r="J40" i="19" l="1"/>
  <c r="K40" i="19"/>
  <c r="I40" i="19"/>
  <c r="H39" i="19"/>
  <c r="K65" i="19"/>
  <c r="J65" i="19"/>
  <c r="G39" i="19"/>
  <c r="Q120" i="34"/>
  <c r="T119" i="34"/>
  <c r="F66" i="19"/>
  <c r="I66" i="19" s="1"/>
  <c r="B66" i="19"/>
  <c r="C66" i="19"/>
  <c r="A67" i="19"/>
  <c r="G67" i="19" s="1"/>
  <c r="E66" i="19"/>
  <c r="D66" i="19"/>
  <c r="H66" i="19" l="1"/>
  <c r="H38" i="19"/>
  <c r="K66" i="19"/>
  <c r="J66" i="19"/>
  <c r="G38" i="19"/>
  <c r="I39" i="19"/>
  <c r="K39" i="19"/>
  <c r="J39" i="19"/>
  <c r="Q121" i="34"/>
  <c r="T120" i="34"/>
  <c r="F67" i="19"/>
  <c r="A68" i="19"/>
  <c r="G68" i="19" s="1"/>
  <c r="C67" i="19"/>
  <c r="D67" i="19"/>
  <c r="E67" i="19"/>
  <c r="B67" i="19"/>
  <c r="H37" i="19" l="1"/>
  <c r="K67" i="19"/>
  <c r="I67" i="19"/>
  <c r="G37" i="19"/>
  <c r="I38" i="19"/>
  <c r="K38" i="19"/>
  <c r="J38" i="19"/>
  <c r="J67" i="19"/>
  <c r="Q122" i="34"/>
  <c r="T121" i="34"/>
  <c r="F68" i="19"/>
  <c r="H67" i="19"/>
  <c r="B68" i="19"/>
  <c r="C68" i="19"/>
  <c r="A69" i="19"/>
  <c r="G69" i="19" s="1"/>
  <c r="E68" i="19"/>
  <c r="D68" i="19"/>
  <c r="H36" i="19" l="1"/>
  <c r="K68" i="19"/>
  <c r="I68" i="19"/>
  <c r="G36" i="19"/>
  <c r="I37" i="19"/>
  <c r="K37" i="19"/>
  <c r="J37" i="19"/>
  <c r="J68" i="19"/>
  <c r="Q123" i="34"/>
  <c r="T122" i="34"/>
  <c r="F69" i="19"/>
  <c r="H68" i="19"/>
  <c r="A70" i="19"/>
  <c r="G70" i="19" s="1"/>
  <c r="D69" i="19"/>
  <c r="E69" i="19"/>
  <c r="C69" i="19"/>
  <c r="B69" i="19"/>
  <c r="H35" i="19" l="1"/>
  <c r="J69" i="19"/>
  <c r="K69" i="19"/>
  <c r="G35" i="19"/>
  <c r="J36" i="19"/>
  <c r="I36" i="19"/>
  <c r="K36" i="19"/>
  <c r="I69" i="19"/>
  <c r="Q124" i="34"/>
  <c r="T123" i="34"/>
  <c r="F70" i="19"/>
  <c r="H70" i="19"/>
  <c r="H69" i="19"/>
  <c r="A71" i="19"/>
  <c r="G71" i="19" s="1"/>
  <c r="B70" i="19"/>
  <c r="C70" i="19"/>
  <c r="D70" i="19"/>
  <c r="E70" i="19"/>
  <c r="H34" i="19" l="1"/>
  <c r="K70" i="19"/>
  <c r="I70" i="19"/>
  <c r="G34" i="19"/>
  <c r="J70" i="19"/>
  <c r="J35" i="19"/>
  <c r="K35" i="19"/>
  <c r="I35" i="19"/>
  <c r="I71" i="19"/>
  <c r="Q125" i="34"/>
  <c r="T124" i="34"/>
  <c r="F71" i="19"/>
  <c r="B71" i="19"/>
  <c r="A72" i="19"/>
  <c r="G72" i="19" s="1"/>
  <c r="C71" i="19"/>
  <c r="D71" i="19"/>
  <c r="E71" i="19"/>
  <c r="H33" i="19" l="1"/>
  <c r="K71" i="19"/>
  <c r="J71" i="19"/>
  <c r="G33" i="19"/>
  <c r="I34" i="19"/>
  <c r="K34" i="19"/>
  <c r="J34" i="19"/>
  <c r="Q126" i="34"/>
  <c r="T125" i="34"/>
  <c r="F72" i="19"/>
  <c r="J72" i="19" s="1"/>
  <c r="H71" i="19"/>
  <c r="C72" i="19"/>
  <c r="B72" i="19"/>
  <c r="E72" i="19"/>
  <c r="D72" i="19"/>
  <c r="A73" i="19"/>
  <c r="G73" i="19" s="1"/>
  <c r="I33" i="19" l="1"/>
  <c r="K33" i="19"/>
  <c r="J33" i="19"/>
  <c r="H32" i="19"/>
  <c r="K72" i="19"/>
  <c r="I72" i="19"/>
  <c r="G32" i="19"/>
  <c r="Q127" i="34"/>
  <c r="T126" i="34"/>
  <c r="F73" i="19"/>
  <c r="H72" i="19"/>
  <c r="B73" i="19"/>
  <c r="C73" i="19"/>
  <c r="A74" i="19"/>
  <c r="G74" i="19" s="1"/>
  <c r="E73" i="19"/>
  <c r="D73" i="19"/>
  <c r="J32" i="19" l="1"/>
  <c r="I32" i="19"/>
  <c r="K32" i="19"/>
  <c r="H31" i="19"/>
  <c r="J73" i="19"/>
  <c r="K73" i="19"/>
  <c r="G31" i="19"/>
  <c r="I73" i="19"/>
  <c r="Q128" i="34"/>
  <c r="T127" i="34"/>
  <c r="F74" i="19"/>
  <c r="H74" i="19"/>
  <c r="H73" i="19"/>
  <c r="C74" i="19"/>
  <c r="B74" i="19"/>
  <c r="A75" i="19"/>
  <c r="G75" i="19" s="1"/>
  <c r="D74" i="19"/>
  <c r="E74" i="19"/>
  <c r="H30" i="19" l="1"/>
  <c r="K74" i="19"/>
  <c r="J74" i="19"/>
  <c r="G30" i="19"/>
  <c r="I31" i="19"/>
  <c r="J31" i="19"/>
  <c r="K31" i="19"/>
  <c r="I74" i="19"/>
  <c r="Q129" i="34"/>
  <c r="T128" i="34"/>
  <c r="F75" i="19"/>
  <c r="A76" i="19"/>
  <c r="G76" i="19" s="1"/>
  <c r="E75" i="19"/>
  <c r="D75" i="19"/>
  <c r="B75" i="19"/>
  <c r="C75" i="19"/>
  <c r="H29" i="19" l="1"/>
  <c r="K75" i="19"/>
  <c r="I75" i="19"/>
  <c r="G29" i="19"/>
  <c r="I30" i="19"/>
  <c r="J30" i="19"/>
  <c r="K30" i="19"/>
  <c r="J75" i="19"/>
  <c r="Q130" i="34"/>
  <c r="T129" i="34"/>
  <c r="F76" i="19"/>
  <c r="H75" i="19"/>
  <c r="E76" i="19"/>
  <c r="C76" i="19"/>
  <c r="B76" i="19"/>
  <c r="A77" i="19"/>
  <c r="G77" i="19" s="1"/>
  <c r="D76" i="19"/>
  <c r="H28" i="19" l="1"/>
  <c r="I76" i="19"/>
  <c r="K76" i="19"/>
  <c r="G28" i="19"/>
  <c r="J76" i="19"/>
  <c r="I29" i="19"/>
  <c r="K29" i="19"/>
  <c r="J29" i="19"/>
  <c r="Q131" i="34"/>
  <c r="T130" i="34"/>
  <c r="F77" i="19"/>
  <c r="H76" i="19"/>
  <c r="A78" i="19"/>
  <c r="G78" i="19" s="1"/>
  <c r="E77" i="19"/>
  <c r="D77" i="19"/>
  <c r="B77" i="19"/>
  <c r="C77" i="19"/>
  <c r="H27" i="19" l="1"/>
  <c r="J77" i="19"/>
  <c r="K77" i="19"/>
  <c r="G27" i="19"/>
  <c r="J28" i="19"/>
  <c r="I28" i="19"/>
  <c r="K28" i="19"/>
  <c r="I77" i="19"/>
  <c r="Q132" i="34"/>
  <c r="T131" i="34"/>
  <c r="F78" i="19"/>
  <c r="H78" i="19"/>
  <c r="H77" i="19"/>
  <c r="A79" i="19"/>
  <c r="G79" i="19" s="1"/>
  <c r="D78" i="19"/>
  <c r="C78" i="19"/>
  <c r="B78" i="19"/>
  <c r="E78" i="19"/>
  <c r="H26" i="19" l="1"/>
  <c r="K78" i="19"/>
  <c r="J78" i="19"/>
  <c r="G26" i="19"/>
  <c r="I78" i="19"/>
  <c r="J27" i="19"/>
  <c r="K27" i="19"/>
  <c r="I27" i="19"/>
  <c r="Q133" i="34"/>
  <c r="T132" i="34"/>
  <c r="F79" i="19"/>
  <c r="B79" i="19"/>
  <c r="A80" i="19"/>
  <c r="G80" i="19" s="1"/>
  <c r="D79" i="19"/>
  <c r="C79" i="19"/>
  <c r="E79" i="19"/>
  <c r="H25" i="19" l="1"/>
  <c r="J79" i="19"/>
  <c r="K79" i="19"/>
  <c r="G25" i="19"/>
  <c r="I26" i="19"/>
  <c r="J26" i="19"/>
  <c r="K26" i="19"/>
  <c r="I79" i="19"/>
  <c r="Q134" i="34"/>
  <c r="T133" i="34"/>
  <c r="F80" i="19"/>
  <c r="H79" i="19"/>
  <c r="A81" i="19"/>
  <c r="G81" i="19" s="1"/>
  <c r="B80" i="19"/>
  <c r="D80" i="19"/>
  <c r="E80" i="19"/>
  <c r="C80" i="19"/>
  <c r="H24" i="19" l="1"/>
  <c r="K80" i="19"/>
  <c r="I80" i="19"/>
  <c r="G24" i="19"/>
  <c r="J80" i="19"/>
  <c r="I25" i="19"/>
  <c r="K25" i="19"/>
  <c r="J25" i="19"/>
  <c r="I81" i="19"/>
  <c r="Q135" i="34"/>
  <c r="T134" i="34"/>
  <c r="F81" i="19"/>
  <c r="H81" i="19"/>
  <c r="H80" i="19"/>
  <c r="B81" i="19"/>
  <c r="D81" i="19"/>
  <c r="C81" i="19"/>
  <c r="A82" i="19"/>
  <c r="G82" i="19" s="1"/>
  <c r="E81" i="19"/>
  <c r="H23" i="19" l="1"/>
  <c r="K81" i="19"/>
  <c r="J81" i="19"/>
  <c r="G23" i="19"/>
  <c r="J24" i="19"/>
  <c r="K24" i="19"/>
  <c r="I24" i="19"/>
  <c r="Q136" i="34"/>
  <c r="T135" i="34"/>
  <c r="F82" i="19"/>
  <c r="H82" i="19" s="1"/>
  <c r="A83" i="19"/>
  <c r="G83" i="19" s="1"/>
  <c r="B82" i="19"/>
  <c r="D82" i="19"/>
  <c r="E82" i="19"/>
  <c r="C82" i="19"/>
  <c r="H22" i="19" l="1"/>
  <c r="I82" i="19"/>
  <c r="K82" i="19"/>
  <c r="G22" i="19"/>
  <c r="I23" i="19"/>
  <c r="J23" i="19"/>
  <c r="K23" i="19"/>
  <c r="J82" i="19"/>
  <c r="Q137" i="34"/>
  <c r="T136" i="34"/>
  <c r="F83" i="19"/>
  <c r="B83" i="19"/>
  <c r="D83" i="19"/>
  <c r="C83" i="19"/>
  <c r="A84" i="19"/>
  <c r="G84" i="19" s="1"/>
  <c r="E83" i="19"/>
  <c r="H21" i="19" l="1"/>
  <c r="I83" i="19"/>
  <c r="K83" i="19"/>
  <c r="G21" i="19"/>
  <c r="I22" i="19"/>
  <c r="J22" i="19"/>
  <c r="K22" i="19"/>
  <c r="J83" i="19"/>
  <c r="Q138" i="34"/>
  <c r="T137" i="34"/>
  <c r="F84" i="19"/>
  <c r="H83" i="19"/>
  <c r="A85" i="19"/>
  <c r="G85" i="19" s="1"/>
  <c r="D84" i="19"/>
  <c r="E84" i="19"/>
  <c r="B84" i="19"/>
  <c r="C84" i="19"/>
  <c r="H20" i="19" l="1"/>
  <c r="K84" i="19"/>
  <c r="I84" i="19"/>
  <c r="G20" i="19"/>
  <c r="I21" i="19"/>
  <c r="K21" i="19"/>
  <c r="J21" i="19"/>
  <c r="J84" i="19"/>
  <c r="Q139" i="34"/>
  <c r="T138" i="34"/>
  <c r="F85" i="19"/>
  <c r="H84" i="19"/>
  <c r="B85" i="19"/>
  <c r="A86" i="19"/>
  <c r="G86" i="19" s="1"/>
  <c r="C85" i="19"/>
  <c r="D85" i="19"/>
  <c r="E85" i="19"/>
  <c r="H19" i="19" l="1"/>
  <c r="K85" i="19"/>
  <c r="J85" i="19"/>
  <c r="G19" i="19"/>
  <c r="J20" i="19"/>
  <c r="K20" i="19"/>
  <c r="I20" i="19"/>
  <c r="I85" i="19"/>
  <c r="Q140" i="34"/>
  <c r="T139" i="34"/>
  <c r="F86" i="19"/>
  <c r="H85" i="19"/>
  <c r="C86" i="19"/>
  <c r="B86" i="19"/>
  <c r="E86" i="19"/>
  <c r="A87" i="19"/>
  <c r="G87" i="19" s="1"/>
  <c r="D86" i="19"/>
  <c r="H18" i="19" l="1"/>
  <c r="K86" i="19"/>
  <c r="J86" i="19"/>
  <c r="G18" i="19"/>
  <c r="I86" i="19"/>
  <c r="J19" i="19"/>
  <c r="I19" i="19"/>
  <c r="K19" i="19"/>
  <c r="H86" i="19"/>
  <c r="Q141" i="34"/>
  <c r="T140" i="34"/>
  <c r="F87" i="19"/>
  <c r="C87" i="19"/>
  <c r="A88" i="19"/>
  <c r="G88" i="19" s="1"/>
  <c r="E87" i="19"/>
  <c r="D87" i="19"/>
  <c r="B87" i="19"/>
  <c r="I18" i="19" l="1"/>
  <c r="J18" i="19"/>
  <c r="K18" i="19"/>
  <c r="H17" i="19"/>
  <c r="K87" i="19"/>
  <c r="J87" i="19"/>
  <c r="G17" i="19"/>
  <c r="I87" i="19"/>
  <c r="Q142" i="34"/>
  <c r="T141" i="34"/>
  <c r="F88" i="19"/>
  <c r="H87" i="19"/>
  <c r="A89" i="19"/>
  <c r="G89" i="19" s="1"/>
  <c r="D88" i="19"/>
  <c r="E88" i="19"/>
  <c r="C88" i="19"/>
  <c r="B88" i="19"/>
  <c r="H16" i="19" l="1"/>
  <c r="K88" i="19"/>
  <c r="I88" i="19"/>
  <c r="G16" i="19"/>
  <c r="I17" i="19"/>
  <c r="K17" i="19"/>
  <c r="J17" i="19"/>
  <c r="J88" i="19"/>
  <c r="Q143" i="34"/>
  <c r="T142" i="34"/>
  <c r="F89" i="19"/>
  <c r="H88" i="19"/>
  <c r="E89" i="19"/>
  <c r="D89" i="19"/>
  <c r="B89" i="19"/>
  <c r="C89" i="19"/>
  <c r="A90" i="19"/>
  <c r="G90" i="19" s="1"/>
  <c r="H15" i="19" l="1"/>
  <c r="K89" i="19"/>
  <c r="J89" i="19"/>
  <c r="G15" i="19"/>
  <c r="J16" i="19"/>
  <c r="K16" i="19"/>
  <c r="I16" i="19"/>
  <c r="I89" i="19"/>
  <c r="Q144" i="34"/>
  <c r="T143" i="34"/>
  <c r="F90" i="19"/>
  <c r="H90" i="19"/>
  <c r="H89" i="19"/>
  <c r="C90" i="19"/>
  <c r="B90" i="19"/>
  <c r="A91" i="19"/>
  <c r="G91" i="19" s="1"/>
  <c r="D90" i="19"/>
  <c r="E90" i="19"/>
  <c r="H14" i="19" l="1"/>
  <c r="J90" i="19"/>
  <c r="K90" i="19"/>
  <c r="G14" i="19"/>
  <c r="I90" i="19"/>
  <c r="I15" i="19"/>
  <c r="K15" i="19"/>
  <c r="J15" i="19"/>
  <c r="Q145" i="34"/>
  <c r="T144" i="34"/>
  <c r="F91" i="19"/>
  <c r="E91" i="19"/>
  <c r="D91" i="19"/>
  <c r="B91" i="19"/>
  <c r="C91" i="19"/>
  <c r="A92" i="19"/>
  <c r="G92" i="19" s="1"/>
  <c r="H13" i="19" l="1"/>
  <c r="K91" i="19"/>
  <c r="I91" i="19"/>
  <c r="G13" i="19"/>
  <c r="I14" i="19"/>
  <c r="J14" i="19"/>
  <c r="K14" i="19"/>
  <c r="J91" i="19"/>
  <c r="Q146" i="34"/>
  <c r="T145" i="34"/>
  <c r="F92" i="19"/>
  <c r="H91" i="19"/>
  <c r="A93" i="19"/>
  <c r="G93" i="19" s="1"/>
  <c r="D92" i="19"/>
  <c r="C92" i="19"/>
  <c r="E92" i="19"/>
  <c r="B92" i="19"/>
  <c r="H12" i="19" l="1"/>
  <c r="I92" i="19"/>
  <c r="K92" i="19"/>
  <c r="G12" i="19"/>
  <c r="I13" i="19"/>
  <c r="K13" i="19"/>
  <c r="J13" i="19"/>
  <c r="J92" i="19"/>
  <c r="Q147" i="34"/>
  <c r="T146" i="34"/>
  <c r="F93" i="19"/>
  <c r="H92" i="19"/>
  <c r="B93" i="19"/>
  <c r="A94" i="19"/>
  <c r="G94" i="19" s="1"/>
  <c r="C93" i="19"/>
  <c r="D93" i="19"/>
  <c r="E93" i="19"/>
  <c r="H11" i="19" l="1"/>
  <c r="K93" i="19"/>
  <c r="J93" i="19"/>
  <c r="G11" i="19"/>
  <c r="J12" i="19"/>
  <c r="K12" i="19"/>
  <c r="I12" i="19"/>
  <c r="I93" i="19"/>
  <c r="Q148" i="34"/>
  <c r="T147" i="34"/>
  <c r="F94" i="19"/>
  <c r="H93" i="19"/>
  <c r="C94" i="19"/>
  <c r="B94" i="19"/>
  <c r="E94" i="19"/>
  <c r="D94" i="19"/>
  <c r="A95" i="19"/>
  <c r="G95" i="19" s="1"/>
  <c r="H10" i="19" l="1"/>
  <c r="I94" i="19"/>
  <c r="K94" i="19"/>
  <c r="G10" i="19"/>
  <c r="J94" i="19"/>
  <c r="J11" i="19"/>
  <c r="K11" i="19"/>
  <c r="I11" i="19"/>
  <c r="H94" i="19"/>
  <c r="Q149" i="34"/>
  <c r="T148" i="34"/>
  <c r="F95" i="19"/>
  <c r="A96" i="19"/>
  <c r="G96" i="19" s="1"/>
  <c r="E95" i="19"/>
  <c r="D95" i="19"/>
  <c r="B95" i="19"/>
  <c r="C95" i="19"/>
  <c r="I10" i="19" l="1"/>
  <c r="J10" i="19"/>
  <c r="K10" i="19"/>
  <c r="H9" i="19"/>
  <c r="J95" i="19"/>
  <c r="K95" i="19"/>
  <c r="G9" i="19"/>
  <c r="I95" i="19"/>
  <c r="Q150" i="34"/>
  <c r="T149" i="34"/>
  <c r="F96" i="19"/>
  <c r="H95" i="19"/>
  <c r="D96" i="19"/>
  <c r="E96" i="19"/>
  <c r="C96" i="19"/>
  <c r="B96" i="19"/>
  <c r="A97" i="19"/>
  <c r="G97" i="19" s="1"/>
  <c r="H8" i="19" l="1"/>
  <c r="I96" i="19"/>
  <c r="K96" i="19"/>
  <c r="G8" i="19"/>
  <c r="I9" i="19"/>
  <c r="J9" i="19"/>
  <c r="K9" i="19"/>
  <c r="J96" i="19"/>
  <c r="Q151" i="34"/>
  <c r="T151" i="34" s="1"/>
  <c r="T150" i="34"/>
  <c r="F97" i="19"/>
  <c r="H96" i="19"/>
  <c r="B97" i="19"/>
  <c r="C97" i="19"/>
  <c r="A98" i="19"/>
  <c r="G98" i="19" s="1"/>
  <c r="E97" i="19"/>
  <c r="D97" i="19"/>
  <c r="H7" i="19" l="1"/>
  <c r="K97" i="19"/>
  <c r="J97" i="19"/>
  <c r="G7" i="19"/>
  <c r="J8" i="19"/>
  <c r="I8" i="19"/>
  <c r="K8" i="19"/>
  <c r="H97" i="19"/>
  <c r="I97" i="19"/>
  <c r="F98" i="19"/>
  <c r="I98" i="19" s="1"/>
  <c r="A99" i="19"/>
  <c r="G99" i="19" s="1"/>
  <c r="D98" i="19"/>
  <c r="E98" i="19"/>
  <c r="C98" i="19"/>
  <c r="B98" i="19"/>
  <c r="H98" i="19" l="1"/>
  <c r="I7" i="19"/>
  <c r="J7" i="19"/>
  <c r="K7" i="19"/>
  <c r="H6" i="19"/>
  <c r="K98" i="19"/>
  <c r="J98" i="19"/>
  <c r="G6" i="19"/>
  <c r="F99" i="19"/>
  <c r="J99" i="19" s="1"/>
  <c r="B99" i="19"/>
  <c r="C99" i="19"/>
  <c r="A100" i="19"/>
  <c r="G100" i="19" s="1"/>
  <c r="E99" i="19"/>
  <c r="D99" i="19"/>
  <c r="I6" i="19" l="1"/>
  <c r="J6" i="19"/>
  <c r="K6" i="19"/>
  <c r="H5" i="19"/>
  <c r="K99" i="19"/>
  <c r="I99" i="19"/>
  <c r="G5" i="19"/>
  <c r="F100" i="19"/>
  <c r="H99" i="19"/>
  <c r="A101" i="19"/>
  <c r="G101" i="19" s="1"/>
  <c r="D100" i="19"/>
  <c r="E100" i="19"/>
  <c r="B100" i="19"/>
  <c r="C100" i="19"/>
  <c r="H4" i="19" l="1"/>
  <c r="I100" i="19"/>
  <c r="K100" i="19"/>
  <c r="G4" i="19"/>
  <c r="I5" i="19"/>
  <c r="J5" i="19"/>
  <c r="K5" i="19"/>
  <c r="J100" i="19"/>
  <c r="F101" i="19"/>
  <c r="I101" i="19" s="1"/>
  <c r="H100" i="19"/>
  <c r="C101" i="19"/>
  <c r="A102" i="19"/>
  <c r="G102" i="19" s="1"/>
  <c r="D101" i="19"/>
  <c r="B101" i="19"/>
  <c r="E101" i="19"/>
  <c r="J4" i="19" l="1"/>
  <c r="K4" i="19"/>
  <c r="I4" i="19"/>
  <c r="H3" i="19"/>
  <c r="K101" i="19"/>
  <c r="J101" i="19"/>
  <c r="G3" i="19"/>
  <c r="F102" i="19"/>
  <c r="H102" i="19" s="1"/>
  <c r="H101" i="19"/>
  <c r="D102" i="19"/>
  <c r="E102" i="19"/>
  <c r="C102" i="19"/>
  <c r="B102" i="19"/>
  <c r="J3" i="19" l="1"/>
  <c r="I3" i="19"/>
  <c r="K3" i="19"/>
  <c r="J102" i="19"/>
  <c r="G2" i="19"/>
  <c r="H2" i="19"/>
  <c r="K102" i="19"/>
  <c r="I102" i="19"/>
  <c r="AJ8" i="5"/>
  <c r="K2" i="19" l="1"/>
  <c r="J2" i="19"/>
  <c r="I2" i="19"/>
  <c r="G1" i="10"/>
  <c r="C1" i="17" l="1"/>
  <c r="I12" i="15"/>
  <c r="K12" i="15" s="1"/>
  <c r="H12" i="15"/>
  <c r="J11" i="15"/>
  <c r="I11" i="15"/>
  <c r="H11" i="15"/>
  <c r="J10" i="15"/>
  <c r="I10" i="15"/>
  <c r="H10" i="15"/>
  <c r="J9" i="15"/>
  <c r="I9" i="15"/>
  <c r="H9" i="15"/>
  <c r="I8" i="15"/>
  <c r="M8" i="15" s="1"/>
  <c r="H8" i="15"/>
  <c r="J7" i="15"/>
  <c r="I7" i="15"/>
  <c r="H7" i="15"/>
  <c r="I6" i="15"/>
  <c r="M6" i="15" s="1"/>
  <c r="H6" i="15"/>
  <c r="J5" i="15"/>
  <c r="I5" i="15"/>
  <c r="H5" i="15"/>
  <c r="J4" i="15"/>
  <c r="I4" i="15"/>
  <c r="H4" i="15"/>
  <c r="A4" i="15"/>
  <c r="A5" i="15" s="1"/>
  <c r="A6" i="15" s="1"/>
  <c r="A7" i="15" s="1"/>
  <c r="A8" i="15" s="1"/>
  <c r="A9" i="15" s="1"/>
  <c r="A10" i="15" s="1"/>
  <c r="A11" i="15" s="1"/>
  <c r="A12" i="15" s="1"/>
  <c r="M3" i="15"/>
  <c r="K3" i="15"/>
  <c r="H3" i="15"/>
  <c r="G1" i="16"/>
  <c r="M1" i="16" s="1"/>
  <c r="C48" i="14"/>
  <c r="C36" i="14"/>
  <c r="D36" i="14" s="1"/>
  <c r="C1" i="14"/>
  <c r="A3" i="13"/>
  <c r="Z2" i="12"/>
  <c r="Y2" i="12"/>
  <c r="W2" i="12"/>
  <c r="V2" i="12"/>
  <c r="U2" i="12"/>
  <c r="D13" i="10"/>
  <c r="B43" i="9"/>
  <c r="A10" i="9"/>
  <c r="R9" i="9"/>
  <c r="AI8" i="5"/>
  <c r="AH8" i="5"/>
  <c r="AB2" i="5"/>
  <c r="C1" i="5"/>
  <c r="D1" i="5" s="1"/>
  <c r="T1" i="4"/>
  <c r="AK1" i="4" s="1"/>
  <c r="D1" i="4"/>
  <c r="D2" i="8"/>
  <c r="F2" i="8" s="1"/>
  <c r="L2" i="8" s="1"/>
  <c r="M2" i="8" s="1"/>
  <c r="M3" i="8" s="1"/>
  <c r="P2" i="3"/>
  <c r="O2" i="3"/>
  <c r="X2" i="2"/>
  <c r="W2" i="2"/>
  <c r="T2" i="1"/>
  <c r="AA530" i="12" l="1"/>
  <c r="AA531" i="12"/>
  <c r="AA532" i="12"/>
  <c r="AA533" i="12"/>
  <c r="AA534" i="12"/>
  <c r="AA535" i="12"/>
  <c r="AA536" i="12"/>
  <c r="AA537" i="12"/>
  <c r="AA538" i="12"/>
  <c r="AA539" i="12"/>
  <c r="AA540" i="12"/>
  <c r="AA541" i="12"/>
  <c r="AA542" i="12"/>
  <c r="AA543" i="12"/>
  <c r="AA544" i="12"/>
  <c r="AA545" i="12"/>
  <c r="AA546" i="12"/>
  <c r="AA547" i="12"/>
  <c r="AA548" i="12"/>
  <c r="AA549" i="12"/>
  <c r="AA550" i="12"/>
  <c r="AA551" i="12"/>
  <c r="AA552" i="12"/>
  <c r="AA553" i="12"/>
  <c r="AA554" i="12"/>
  <c r="AA555" i="12"/>
  <c r="AA556" i="12"/>
  <c r="AA557" i="12"/>
  <c r="AA558" i="12"/>
  <c r="AA559" i="12"/>
  <c r="AA560" i="12"/>
  <c r="AA561" i="12"/>
  <c r="AA19" i="12"/>
  <c r="AA6" i="12"/>
  <c r="AA18" i="12"/>
  <c r="AA30" i="12"/>
  <c r="AA31" i="12"/>
  <c r="AA45" i="12"/>
  <c r="AA51" i="12"/>
  <c r="AA4" i="12"/>
  <c r="AA41" i="12"/>
  <c r="AA52" i="12"/>
  <c r="AA85" i="12"/>
  <c r="AA59" i="12"/>
  <c r="AA61" i="12"/>
  <c r="AA63" i="12"/>
  <c r="AA67" i="12"/>
  <c r="AA72" i="12"/>
  <c r="AA121" i="12"/>
  <c r="AA89" i="12"/>
  <c r="AA104" i="12"/>
  <c r="AA108" i="12"/>
  <c r="AA110" i="12"/>
  <c r="AA134" i="12"/>
  <c r="AA189" i="12"/>
  <c r="AA168" i="12"/>
  <c r="AA217" i="12"/>
  <c r="AA244" i="12"/>
  <c r="AA246" i="12"/>
  <c r="AA211" i="12"/>
  <c r="AA226" i="12"/>
  <c r="AA261" i="12"/>
  <c r="AA267" i="12"/>
  <c r="AA269" i="12"/>
  <c r="AA156" i="12"/>
  <c r="AA295" i="12"/>
  <c r="AA299" i="12"/>
  <c r="AA338" i="12"/>
  <c r="AA359" i="12"/>
  <c r="AA363" i="12"/>
  <c r="AA380" i="12"/>
  <c r="AA385" i="12"/>
  <c r="AA341" i="12"/>
  <c r="AA403" i="12"/>
  <c r="AA413" i="12"/>
  <c r="AA419" i="12"/>
  <c r="AA322" i="12"/>
  <c r="AA336" i="12"/>
  <c r="AA414" i="12"/>
  <c r="AA418" i="12"/>
  <c r="AA420" i="12"/>
  <c r="AA426" i="12"/>
  <c r="AA460" i="12"/>
  <c r="AA481" i="12"/>
  <c r="AA448" i="12"/>
  <c r="AA469" i="12"/>
  <c r="AA451" i="12"/>
  <c r="AA447" i="12"/>
  <c r="AA339" i="12"/>
  <c r="AA356" i="12"/>
  <c r="AA302" i="12"/>
  <c r="AA77" i="12"/>
  <c r="AA167" i="12"/>
  <c r="AA150" i="12"/>
  <c r="AA47" i="12"/>
  <c r="AA370" i="12"/>
  <c r="AA157" i="12"/>
  <c r="AA83" i="12"/>
  <c r="AA82" i="12"/>
  <c r="AA364" i="12"/>
  <c r="AA175" i="12"/>
  <c r="AA497" i="12"/>
  <c r="AA499" i="12"/>
  <c r="AA501" i="12"/>
  <c r="AA503" i="12"/>
  <c r="AA505" i="12"/>
  <c r="AA507" i="12"/>
  <c r="AA511" i="12"/>
  <c r="AA515" i="12"/>
  <c r="AA519" i="12"/>
  <c r="AA523" i="12"/>
  <c r="AA524" i="12"/>
  <c r="AA525" i="12"/>
  <c r="AA526" i="12"/>
  <c r="AA527" i="12"/>
  <c r="AA528" i="12"/>
  <c r="AA529" i="12"/>
  <c r="AA512" i="12"/>
  <c r="AA516" i="12"/>
  <c r="AA520" i="12"/>
  <c r="AA514" i="12"/>
  <c r="AA518" i="12"/>
  <c r="AA496" i="12"/>
  <c r="AA498" i="12"/>
  <c r="AA500" i="12"/>
  <c r="AA502" i="12"/>
  <c r="AA504" i="12"/>
  <c r="AA506" i="12"/>
  <c r="AA508" i="12"/>
  <c r="AA509" i="12"/>
  <c r="AA513" i="12"/>
  <c r="AA517" i="12"/>
  <c r="AA521" i="12"/>
  <c r="AA510" i="12"/>
  <c r="AA522" i="12"/>
  <c r="AA10" i="12"/>
  <c r="AA14" i="12"/>
  <c r="AA15" i="12"/>
  <c r="AA20" i="12"/>
  <c r="AA21" i="12"/>
  <c r="AA27" i="12"/>
  <c r="AA5" i="12"/>
  <c r="AA32" i="12"/>
  <c r="AA35" i="12"/>
  <c r="AA25" i="12"/>
  <c r="AA50" i="12"/>
  <c r="AA62" i="12"/>
  <c r="AA69" i="12"/>
  <c r="AA49" i="12"/>
  <c r="AA55" i="12"/>
  <c r="AA71" i="12"/>
  <c r="AA78" i="12"/>
  <c r="AA74" i="12"/>
  <c r="AA73" i="12"/>
  <c r="AA92" i="12"/>
  <c r="AA97" i="12"/>
  <c r="AA100" i="12"/>
  <c r="AA112" i="12"/>
  <c r="AA117" i="12"/>
  <c r="AA124" i="12"/>
  <c r="AA135" i="12"/>
  <c r="AA60" i="12"/>
  <c r="AA131" i="12"/>
  <c r="AA136" i="12"/>
  <c r="AA90" i="12"/>
  <c r="AA114" i="12"/>
  <c r="AA123" i="12"/>
  <c r="AA102" i="12"/>
  <c r="AA173" i="12"/>
  <c r="AA141" i="12"/>
  <c r="AA169" i="12"/>
  <c r="AA195" i="12"/>
  <c r="AA203" i="12"/>
  <c r="AA212" i="12"/>
  <c r="AA234" i="12"/>
  <c r="AA245" i="12"/>
  <c r="AA215" i="12"/>
  <c r="AA218" i="12"/>
  <c r="AA202" i="12"/>
  <c r="AA205" i="12"/>
  <c r="AA222" i="12"/>
  <c r="AA232" i="12"/>
  <c r="AA277" i="12"/>
  <c r="AA279" i="12"/>
  <c r="AA281" i="12"/>
  <c r="AA293" i="12"/>
  <c r="AA300" i="12"/>
  <c r="AA252" i="12"/>
  <c r="AA258" i="12"/>
  <c r="AA260" i="12"/>
  <c r="AA274" i="12"/>
  <c r="AA282" i="12"/>
  <c r="AA289" i="12"/>
  <c r="AA307" i="12"/>
  <c r="AA308" i="12"/>
  <c r="AA285" i="12"/>
  <c r="AA290" i="12"/>
  <c r="AA294" i="12"/>
  <c r="AA375" i="12"/>
  <c r="AA379" i="12"/>
  <c r="AA381" i="12"/>
  <c r="AA383" i="12"/>
  <c r="AA387" i="12"/>
  <c r="AA318" i="12"/>
  <c r="AA323" i="12"/>
  <c r="AA352" i="12"/>
  <c r="AA353" i="12"/>
  <c r="AA367" i="12"/>
  <c r="AA325" i="12"/>
  <c r="AA407" i="12"/>
  <c r="AA409" i="12"/>
  <c r="AA411" i="12"/>
  <c r="AA421" i="12"/>
  <c r="AA427" i="12"/>
  <c r="AA432" i="12"/>
  <c r="AA216" i="12"/>
  <c r="AA430" i="12"/>
  <c r="AA390" i="12"/>
  <c r="AA392" i="12"/>
  <c r="AA404" i="12"/>
  <c r="AA406" i="12"/>
  <c r="AA410" i="12"/>
  <c r="AA424" i="12"/>
  <c r="AA439" i="12"/>
  <c r="AA455" i="12"/>
  <c r="AA459" i="12"/>
  <c r="AA461" i="12"/>
  <c r="AA466" i="12"/>
  <c r="AA487" i="12"/>
  <c r="AA493" i="12"/>
  <c r="AA454" i="12"/>
  <c r="AA456" i="12"/>
  <c r="AA442" i="12"/>
  <c r="AA440" i="12"/>
  <c r="AA437" i="12"/>
  <c r="AA468" i="12"/>
  <c r="AA475" i="12"/>
  <c r="AA488" i="12"/>
  <c r="AA444" i="12"/>
  <c r="AA472" i="12"/>
  <c r="AA369" i="12"/>
  <c r="AA311" i="12"/>
  <c r="AA327" i="12"/>
  <c r="AA310" i="12"/>
  <c r="AA224" i="12"/>
  <c r="AA162" i="12"/>
  <c r="AA144" i="12"/>
  <c r="AA185" i="12"/>
  <c r="AA178" i="12"/>
  <c r="AA433" i="12"/>
  <c r="AA326" i="12"/>
  <c r="AA345" i="12"/>
  <c r="AA154" i="12"/>
  <c r="AA42" i="12"/>
  <c r="AA355" i="12"/>
  <c r="AA331" i="12"/>
  <c r="AA344" i="12"/>
  <c r="AA335" i="12"/>
  <c r="AA303" i="12"/>
  <c r="AA153" i="12"/>
  <c r="AA177" i="12"/>
  <c r="AA160" i="12"/>
  <c r="AA161" i="12"/>
  <c r="AA152" i="12"/>
  <c r="AA81" i="12"/>
  <c r="AA329" i="12"/>
  <c r="AA312" i="12"/>
  <c r="AA219" i="12"/>
  <c r="AA166" i="12"/>
  <c r="AA186" i="12"/>
  <c r="AA13" i="12"/>
  <c r="AA26" i="12"/>
  <c r="AA9" i="12"/>
  <c r="AA24" i="12"/>
  <c r="AA40" i="12"/>
  <c r="AA56" i="12"/>
  <c r="AA7" i="12"/>
  <c r="AA12" i="12"/>
  <c r="AA29" i="12"/>
  <c r="AA34" i="12"/>
  <c r="AA37" i="12"/>
  <c r="AA54" i="12"/>
  <c r="AA66" i="12"/>
  <c r="AA68" i="12"/>
  <c r="AA80" i="12"/>
  <c r="AA33" i="12"/>
  <c r="AA36" i="12"/>
  <c r="AA58" i="12"/>
  <c r="AA65" i="12"/>
  <c r="AA57" i="12"/>
  <c r="AA93" i="12"/>
  <c r="AA101" i="12"/>
  <c r="AA105" i="12"/>
  <c r="AA119" i="12"/>
  <c r="AA128" i="12"/>
  <c r="AA96" i="12"/>
  <c r="AA115" i="12"/>
  <c r="AA133" i="12"/>
  <c r="AA3" i="12"/>
  <c r="AA94" i="12"/>
  <c r="AA106" i="12"/>
  <c r="AA109" i="12"/>
  <c r="AA111" i="12"/>
  <c r="AA116" i="12"/>
  <c r="AA132" i="12"/>
  <c r="AA118" i="12"/>
  <c r="AA127" i="12"/>
  <c r="AA91" i="12"/>
  <c r="AA125" i="12"/>
  <c r="AA140" i="12"/>
  <c r="AA147" i="12"/>
  <c r="AA158" i="12"/>
  <c r="AA165" i="12"/>
  <c r="AA176" i="12"/>
  <c r="AA113" i="12"/>
  <c r="AA99" i="12"/>
  <c r="AA196" i="12"/>
  <c r="AA200" i="12"/>
  <c r="AA145" i="12"/>
  <c r="AA193" i="12"/>
  <c r="AA120" i="12"/>
  <c r="AA129" i="12"/>
  <c r="AA180" i="12"/>
  <c r="AA214" i="12"/>
  <c r="AA223" i="12"/>
  <c r="AA228" i="12"/>
  <c r="AA233" i="12"/>
  <c r="AA235" i="12"/>
  <c r="AA237" i="12"/>
  <c r="AA241" i="12"/>
  <c r="AA247" i="12"/>
  <c r="AA206" i="12"/>
  <c r="AA208" i="12"/>
  <c r="AA103" i="12"/>
  <c r="AA194" i="12"/>
  <c r="AA207" i="12"/>
  <c r="AA221" i="12"/>
  <c r="AA227" i="12"/>
  <c r="AA231" i="12"/>
  <c r="AA149" i="12"/>
  <c r="AA249" i="12"/>
  <c r="AA259" i="12"/>
  <c r="AA263" i="12"/>
  <c r="AA271" i="12"/>
  <c r="AA273" i="12"/>
  <c r="AA275" i="12"/>
  <c r="AA283" i="12"/>
  <c r="AA248" i="12"/>
  <c r="AA254" i="12"/>
  <c r="AA256" i="12"/>
  <c r="AA262" i="12"/>
  <c r="AA264" i="12"/>
  <c r="AA266" i="12"/>
  <c r="AA268" i="12"/>
  <c r="AA272" i="12"/>
  <c r="AA276" i="12"/>
  <c r="AA278" i="12"/>
  <c r="AA280" i="12"/>
  <c r="AA284" i="12"/>
  <c r="AA306" i="12"/>
  <c r="AA204" i="12"/>
  <c r="AA287" i="12"/>
  <c r="AA292" i="12"/>
  <c r="AA297" i="12"/>
  <c r="AA296" i="12"/>
  <c r="AA305" i="12"/>
  <c r="AA342" i="12"/>
  <c r="AA348" i="12"/>
  <c r="AA354" i="12"/>
  <c r="AA377" i="12"/>
  <c r="AA382" i="12"/>
  <c r="AA384" i="12"/>
  <c r="AA386" i="12"/>
  <c r="AA286" i="12"/>
  <c r="AA288" i="12"/>
  <c r="AA291" i="12"/>
  <c r="AA328" i="12"/>
  <c r="AA330" i="12"/>
  <c r="AA332" i="12"/>
  <c r="AA334" i="12"/>
  <c r="AA347" i="12"/>
  <c r="AA351" i="12"/>
  <c r="AA358" i="12"/>
  <c r="AA366" i="12"/>
  <c r="AA372" i="12"/>
  <c r="AA389" i="12"/>
  <c r="AA391" i="12"/>
  <c r="AA393" i="12"/>
  <c r="AA395" i="12"/>
  <c r="AA401" i="12"/>
  <c r="AA405" i="12"/>
  <c r="AA415" i="12"/>
  <c r="AA417" i="12"/>
  <c r="AA423" i="12"/>
  <c r="AA429" i="12"/>
  <c r="AA357" i="12"/>
  <c r="AA388" i="12"/>
  <c r="AA394" i="12"/>
  <c r="AA402" i="12"/>
  <c r="AA408" i="12"/>
  <c r="AA412" i="12"/>
  <c r="AA422" i="12"/>
  <c r="AA340" i="12"/>
  <c r="AA435" i="12"/>
  <c r="AA441" i="12"/>
  <c r="AA443" i="12"/>
  <c r="AA449" i="12"/>
  <c r="AA453" i="12"/>
  <c r="AA471" i="12"/>
  <c r="AA479" i="12"/>
  <c r="AA489" i="12"/>
  <c r="AA495" i="12"/>
  <c r="AA361" i="12"/>
  <c r="AA431" i="12"/>
  <c r="AA450" i="12"/>
  <c r="AA462" i="12"/>
  <c r="AA467" i="12"/>
  <c r="AA436" i="12"/>
  <c r="AA438" i="12"/>
  <c r="AA446" i="12"/>
  <c r="AA452" i="12"/>
  <c r="AA458" i="12"/>
  <c r="AA465" i="12"/>
  <c r="AA346" i="12"/>
  <c r="AA445" i="12"/>
  <c r="AA457" i="12"/>
  <c r="AA463" i="12"/>
  <c r="AA478" i="12"/>
  <c r="AA480" i="12"/>
  <c r="AA484" i="12"/>
  <c r="AA486" i="12"/>
  <c r="AA490" i="12"/>
  <c r="AA494" i="12"/>
  <c r="AA473" i="12"/>
  <c r="AA333" i="12"/>
  <c r="AA434" i="12"/>
  <c r="AA320" i="12"/>
  <c r="AA229" i="12"/>
  <c r="AA86" i="12"/>
  <c r="AA70" i="12"/>
  <c r="AA374" i="12"/>
  <c r="AA172" i="12"/>
  <c r="AA146" i="12"/>
  <c r="AA23" i="12"/>
  <c r="AA321" i="12"/>
  <c r="AA76" i="12"/>
  <c r="AA17" i="12"/>
  <c r="AA22" i="12"/>
  <c r="AA28" i="12"/>
  <c r="AA142" i="12"/>
  <c r="AA143" i="12"/>
  <c r="AA159" i="12"/>
  <c r="AA155" i="12"/>
  <c r="AA137" i="12"/>
  <c r="AA164" i="12"/>
  <c r="AA88" i="12"/>
  <c r="M4" i="8"/>
  <c r="D119" i="4"/>
  <c r="AL119" i="4" s="1"/>
  <c r="D115" i="4"/>
  <c r="AL115" i="4" s="1"/>
  <c r="D111" i="4"/>
  <c r="AL111" i="4" s="1"/>
  <c r="D110" i="4"/>
  <c r="D109" i="4"/>
  <c r="AL109" i="4" s="1"/>
  <c r="D108" i="4"/>
  <c r="AL108" i="4" s="1"/>
  <c r="D107" i="4"/>
  <c r="U107" i="4" s="1"/>
  <c r="D106" i="4"/>
  <c r="D105" i="4"/>
  <c r="D104" i="4"/>
  <c r="U104" i="4" s="1"/>
  <c r="D103" i="4"/>
  <c r="AL103" i="4" s="1"/>
  <c r="D102" i="4"/>
  <c r="AL102" i="4" s="1"/>
  <c r="D101" i="4"/>
  <c r="D100" i="4"/>
  <c r="AL100" i="4" s="1"/>
  <c r="D99" i="4"/>
  <c r="U99" i="4" s="1"/>
  <c r="D98" i="4"/>
  <c r="D97" i="4"/>
  <c r="AL97" i="4" s="1"/>
  <c r="D96" i="4"/>
  <c r="AL96" i="4" s="1"/>
  <c r="D95" i="4"/>
  <c r="U95" i="4" s="1"/>
  <c r="D94" i="4"/>
  <c r="D93" i="4"/>
  <c r="D92" i="4"/>
  <c r="AL92" i="4" s="1"/>
  <c r="D91" i="4"/>
  <c r="AL91" i="4" s="1"/>
  <c r="D90" i="4"/>
  <c r="D89" i="4"/>
  <c r="D88" i="4"/>
  <c r="U88" i="4" s="1"/>
  <c r="D87" i="4"/>
  <c r="AL87" i="4" s="1"/>
  <c r="D86" i="4"/>
  <c r="D85" i="4"/>
  <c r="AL85" i="4" s="1"/>
  <c r="D84" i="4"/>
  <c r="U84" i="4" s="1"/>
  <c r="D83" i="4"/>
  <c r="AL83" i="4" s="1"/>
  <c r="D82" i="4"/>
  <c r="AL82" i="4" s="1"/>
  <c r="D81" i="4"/>
  <c r="D80" i="4"/>
  <c r="AL80" i="4" s="1"/>
  <c r="D79" i="4"/>
  <c r="U79" i="4" s="1"/>
  <c r="D78" i="4"/>
  <c r="U78" i="4" s="1"/>
  <c r="D77" i="4"/>
  <c r="D76" i="4"/>
  <c r="AL76" i="4" s="1"/>
  <c r="D75" i="4"/>
  <c r="AL75" i="4" s="1"/>
  <c r="D74" i="4"/>
  <c r="D73" i="4"/>
  <c r="AL73" i="4" s="1"/>
  <c r="D72" i="4"/>
  <c r="U72" i="4" s="1"/>
  <c r="D71" i="4"/>
  <c r="U71" i="4" s="1"/>
  <c r="D70" i="4"/>
  <c r="D69" i="4"/>
  <c r="D68" i="4"/>
  <c r="U68" i="4" s="1"/>
  <c r="D67" i="4"/>
  <c r="AL67" i="4" s="1"/>
  <c r="D66" i="4"/>
  <c r="D65" i="4"/>
  <c r="D64" i="4"/>
  <c r="AL64" i="4" s="1"/>
  <c r="D63" i="4"/>
  <c r="U63" i="4" s="1"/>
  <c r="D62" i="4"/>
  <c r="D61" i="4"/>
  <c r="AL61" i="4" s="1"/>
  <c r="D60" i="4"/>
  <c r="AL60" i="4" s="1"/>
  <c r="D59" i="4"/>
  <c r="AL59" i="4" s="1"/>
  <c r="D58" i="4"/>
  <c r="D57" i="4"/>
  <c r="D56" i="4"/>
  <c r="U56" i="4" s="1"/>
  <c r="D55" i="4"/>
  <c r="AL55" i="4" s="1"/>
  <c r="D54" i="4"/>
  <c r="D53" i="4"/>
  <c r="D52" i="4"/>
  <c r="U52" i="4" s="1"/>
  <c r="D51" i="4"/>
  <c r="AL51" i="4" s="1"/>
  <c r="D50" i="4"/>
  <c r="AL50" i="4" s="1"/>
  <c r="D49" i="4"/>
  <c r="U49" i="4" s="1"/>
  <c r="D48" i="4"/>
  <c r="U48" i="4" s="1"/>
  <c r="D47" i="4"/>
  <c r="U47" i="4" s="1"/>
  <c r="D46" i="4"/>
  <c r="D45" i="4"/>
  <c r="D44" i="4"/>
  <c r="AL44" i="4" s="1"/>
  <c r="D43" i="4"/>
  <c r="AL43" i="4" s="1"/>
  <c r="D42" i="4"/>
  <c r="AL42" i="4" s="1"/>
  <c r="D41" i="4"/>
  <c r="D40" i="4"/>
  <c r="AL40" i="4" s="1"/>
  <c r="D39" i="4"/>
  <c r="AL39" i="4" s="1"/>
  <c r="D38" i="4"/>
  <c r="D37" i="4"/>
  <c r="AL37" i="4" s="1"/>
  <c r="D36" i="4"/>
  <c r="U36" i="4" s="1"/>
  <c r="D35" i="4"/>
  <c r="U35" i="4" s="1"/>
  <c r="D34" i="4"/>
  <c r="D33" i="4"/>
  <c r="D32" i="4"/>
  <c r="AL32" i="4" s="1"/>
  <c r="D31" i="4"/>
  <c r="U31" i="4" s="1"/>
  <c r="D30" i="4"/>
  <c r="D29" i="4"/>
  <c r="D28" i="4"/>
  <c r="U28" i="4" s="1"/>
  <c r="D27" i="4"/>
  <c r="AL27" i="4" s="1"/>
  <c r="D26" i="4"/>
  <c r="AL26" i="4" s="1"/>
  <c r="D25" i="4"/>
  <c r="AL25" i="4" s="1"/>
  <c r="D24" i="4"/>
  <c r="AL24" i="4" s="1"/>
  <c r="D23" i="4"/>
  <c r="U23" i="4" s="1"/>
  <c r="D22" i="4"/>
  <c r="D21" i="4"/>
  <c r="D20" i="4"/>
  <c r="AL20" i="4" s="1"/>
  <c r="D19" i="4"/>
  <c r="AL19" i="4" s="1"/>
  <c r="D18" i="4"/>
  <c r="D17" i="4"/>
  <c r="D16" i="4"/>
  <c r="AL16" i="4" s="1"/>
  <c r="D15" i="4"/>
  <c r="AL15" i="4" s="1"/>
  <c r="D14" i="4"/>
  <c r="AL14" i="4" s="1"/>
  <c r="D13" i="4"/>
  <c r="AL13" i="4" s="1"/>
  <c r="D12" i="4"/>
  <c r="AL12" i="4" s="1"/>
  <c r="D11" i="4"/>
  <c r="U11" i="4" s="1"/>
  <c r="D10" i="4"/>
  <c r="U10" i="4" s="1"/>
  <c r="D9" i="4"/>
  <c r="D8" i="4"/>
  <c r="AL8" i="4" s="1"/>
  <c r="D7" i="4"/>
  <c r="U7" i="4" s="1"/>
  <c r="D6" i="4"/>
  <c r="AL6" i="4" s="1"/>
  <c r="D5" i="4"/>
  <c r="D4" i="4"/>
  <c r="AL4" i="4" s="1"/>
  <c r="D3" i="4"/>
  <c r="AL3" i="4" s="1"/>
  <c r="D2" i="4"/>
  <c r="AL2" i="4" s="1"/>
  <c r="D120" i="4"/>
  <c r="AL120" i="4" s="1"/>
  <c r="D116" i="4"/>
  <c r="U116" i="4" s="1"/>
  <c r="D112" i="4"/>
  <c r="AL112" i="4" s="1"/>
  <c r="D121" i="4"/>
  <c r="AL121" i="4" s="1"/>
  <c r="D117" i="4"/>
  <c r="D113" i="4"/>
  <c r="D118" i="4"/>
  <c r="U118" i="4" s="1"/>
  <c r="D114" i="4"/>
  <c r="AL10" i="4"/>
  <c r="U40" i="4"/>
  <c r="AL71" i="4"/>
  <c r="AL46" i="4"/>
  <c r="AL66" i="4"/>
  <c r="AL86" i="4"/>
  <c r="U50" i="4"/>
  <c r="U26" i="4"/>
  <c r="AL38" i="4"/>
  <c r="AL94" i="4"/>
  <c r="U46" i="4"/>
  <c r="U66" i="4"/>
  <c r="U86" i="4"/>
  <c r="AL18" i="4"/>
  <c r="AL114" i="4"/>
  <c r="U14" i="4"/>
  <c r="U38" i="4"/>
  <c r="U94" i="4"/>
  <c r="U18" i="4"/>
  <c r="U114" i="4"/>
  <c r="U22" i="4"/>
  <c r="AL62" i="4"/>
  <c r="U90" i="4"/>
  <c r="AL110" i="4"/>
  <c r="U82" i="4"/>
  <c r="U30" i="4"/>
  <c r="U34" i="4"/>
  <c r="U58" i="4"/>
  <c r="U62" i="4"/>
  <c r="AL90" i="4"/>
  <c r="U110" i="4"/>
  <c r="U42" i="4"/>
  <c r="U6" i="4"/>
  <c r="AL54" i="4"/>
  <c r="AL74" i="4"/>
  <c r="AL98" i="4"/>
  <c r="AL106" i="4"/>
  <c r="AL70" i="4"/>
  <c r="AL78" i="4"/>
  <c r="U54" i="4"/>
  <c r="U74" i="4"/>
  <c r="U98" i="4"/>
  <c r="U106" i="4"/>
  <c r="AL22" i="4"/>
  <c r="U70" i="4"/>
  <c r="AL30" i="4"/>
  <c r="AL34" i="4"/>
  <c r="AL58" i="4"/>
  <c r="U2" i="4"/>
  <c r="U102" i="4"/>
  <c r="A4" i="13"/>
  <c r="B4" i="13" s="1"/>
  <c r="B3" i="13"/>
  <c r="N43" i="9"/>
  <c r="N615" i="32"/>
  <c r="M615" i="32" s="1"/>
  <c r="N4" i="32"/>
  <c r="M4" i="32" s="1"/>
  <c r="N8" i="32"/>
  <c r="M8" i="32" s="1"/>
  <c r="N12" i="32"/>
  <c r="M12" i="32" s="1"/>
  <c r="N16" i="32"/>
  <c r="M16" i="32" s="1"/>
  <c r="N20" i="32"/>
  <c r="M20" i="32" s="1"/>
  <c r="N24" i="32"/>
  <c r="M24" i="32" s="1"/>
  <c r="N28" i="32"/>
  <c r="M28" i="32" s="1"/>
  <c r="N32" i="32"/>
  <c r="M32" i="32" s="1"/>
  <c r="N36" i="32"/>
  <c r="M36" i="32" s="1"/>
  <c r="N40" i="32"/>
  <c r="M40" i="32" s="1"/>
  <c r="N44" i="32"/>
  <c r="M44" i="32" s="1"/>
  <c r="N48" i="32"/>
  <c r="M48" i="32" s="1"/>
  <c r="N52" i="32"/>
  <c r="M52" i="32" s="1"/>
  <c r="N56" i="32"/>
  <c r="M56" i="32" s="1"/>
  <c r="N60" i="32"/>
  <c r="M60" i="32" s="1"/>
  <c r="N64" i="32"/>
  <c r="M64" i="32" s="1"/>
  <c r="N68" i="32"/>
  <c r="M68" i="32" s="1"/>
  <c r="N72" i="32"/>
  <c r="M72" i="32" s="1"/>
  <c r="N76" i="32"/>
  <c r="M76" i="32" s="1"/>
  <c r="N80" i="32"/>
  <c r="M80" i="32" s="1"/>
  <c r="N84" i="32"/>
  <c r="M84" i="32" s="1"/>
  <c r="N88" i="32"/>
  <c r="M88" i="32" s="1"/>
  <c r="N92" i="32"/>
  <c r="M92" i="32" s="1"/>
  <c r="N96" i="32"/>
  <c r="M96" i="32" s="1"/>
  <c r="N100" i="32"/>
  <c r="M100" i="32" s="1"/>
  <c r="N104" i="32"/>
  <c r="M104" i="32" s="1"/>
  <c r="N108" i="32"/>
  <c r="M108" i="32" s="1"/>
  <c r="N112" i="32"/>
  <c r="M112" i="32" s="1"/>
  <c r="N116" i="32"/>
  <c r="M116" i="32" s="1"/>
  <c r="N120" i="32"/>
  <c r="M120" i="32" s="1"/>
  <c r="N124" i="32"/>
  <c r="M124" i="32" s="1"/>
  <c r="N128" i="32"/>
  <c r="M128" i="32" s="1"/>
  <c r="N132" i="32"/>
  <c r="M132" i="32" s="1"/>
  <c r="N136" i="32"/>
  <c r="M136" i="32" s="1"/>
  <c r="N140" i="32"/>
  <c r="M140" i="32" s="1"/>
  <c r="N144" i="32"/>
  <c r="M144" i="32" s="1"/>
  <c r="N148" i="32"/>
  <c r="M148" i="32" s="1"/>
  <c r="N152" i="32"/>
  <c r="M152" i="32" s="1"/>
  <c r="N156" i="32"/>
  <c r="M156" i="32" s="1"/>
  <c r="N160" i="32"/>
  <c r="M160" i="32" s="1"/>
  <c r="N164" i="32"/>
  <c r="M164" i="32" s="1"/>
  <c r="N168" i="32"/>
  <c r="M168" i="32" s="1"/>
  <c r="N172" i="32"/>
  <c r="M172" i="32" s="1"/>
  <c r="N176" i="32"/>
  <c r="M176" i="32" s="1"/>
  <c r="N180" i="32"/>
  <c r="M180" i="32" s="1"/>
  <c r="N184" i="32"/>
  <c r="M184" i="32" s="1"/>
  <c r="N188" i="32"/>
  <c r="M188" i="32" s="1"/>
  <c r="N192" i="32"/>
  <c r="M192" i="32" s="1"/>
  <c r="N196" i="32"/>
  <c r="M196" i="32" s="1"/>
  <c r="N200" i="32"/>
  <c r="M200" i="32" s="1"/>
  <c r="N204" i="32"/>
  <c r="M204" i="32" s="1"/>
  <c r="N208" i="32"/>
  <c r="M208" i="32" s="1"/>
  <c r="N212" i="32"/>
  <c r="M212" i="32" s="1"/>
  <c r="N216" i="32"/>
  <c r="M216" i="32" s="1"/>
  <c r="N220" i="32"/>
  <c r="M220" i="32" s="1"/>
  <c r="N224" i="32"/>
  <c r="M224" i="32" s="1"/>
  <c r="N228" i="32"/>
  <c r="M228" i="32" s="1"/>
  <c r="N232" i="32"/>
  <c r="M232" i="32" s="1"/>
  <c r="N236" i="32"/>
  <c r="M236" i="32" s="1"/>
  <c r="N240" i="32"/>
  <c r="M240" i="32" s="1"/>
  <c r="N244" i="32"/>
  <c r="M244" i="32" s="1"/>
  <c r="N248" i="32"/>
  <c r="M248" i="32" s="1"/>
  <c r="N252" i="32"/>
  <c r="M252" i="32" s="1"/>
  <c r="N256" i="32"/>
  <c r="M256" i="32" s="1"/>
  <c r="N260" i="32"/>
  <c r="M260" i="32" s="1"/>
  <c r="N264" i="32"/>
  <c r="M264" i="32" s="1"/>
  <c r="N268" i="32"/>
  <c r="M268" i="32" s="1"/>
  <c r="N272" i="32"/>
  <c r="M272" i="32" s="1"/>
  <c r="N276" i="32"/>
  <c r="M276" i="32" s="1"/>
  <c r="N280" i="32"/>
  <c r="M280" i="32" s="1"/>
  <c r="N284" i="32"/>
  <c r="M284" i="32" s="1"/>
  <c r="N288" i="32"/>
  <c r="M288" i="32" s="1"/>
  <c r="N292" i="32"/>
  <c r="M292" i="32" s="1"/>
  <c r="N296" i="32"/>
  <c r="M296" i="32" s="1"/>
  <c r="N300" i="32"/>
  <c r="M300" i="32" s="1"/>
  <c r="N304" i="32"/>
  <c r="M304" i="32" s="1"/>
  <c r="N308" i="32"/>
  <c r="M308" i="32" s="1"/>
  <c r="N312" i="32"/>
  <c r="M312" i="32" s="1"/>
  <c r="N316" i="32"/>
  <c r="M316" i="32" s="1"/>
  <c r="N320" i="32"/>
  <c r="M320" i="32" s="1"/>
  <c r="N324" i="32"/>
  <c r="M324" i="32" s="1"/>
  <c r="N328" i="32"/>
  <c r="M328" i="32" s="1"/>
  <c r="N332" i="32"/>
  <c r="M332" i="32" s="1"/>
  <c r="N336" i="32"/>
  <c r="M336" i="32" s="1"/>
  <c r="N2" i="32"/>
  <c r="M2" i="32" s="1"/>
  <c r="N6" i="32"/>
  <c r="M6" i="32" s="1"/>
  <c r="N10" i="32"/>
  <c r="M10" i="32" s="1"/>
  <c r="N14" i="32"/>
  <c r="M14" i="32" s="1"/>
  <c r="N18" i="32"/>
  <c r="M18" i="32" s="1"/>
  <c r="N22" i="32"/>
  <c r="M22" i="32" s="1"/>
  <c r="N26" i="32"/>
  <c r="M26" i="32" s="1"/>
  <c r="N30" i="32"/>
  <c r="M30" i="32" s="1"/>
  <c r="N34" i="32"/>
  <c r="M34" i="32" s="1"/>
  <c r="N38" i="32"/>
  <c r="M38" i="32" s="1"/>
  <c r="N42" i="32"/>
  <c r="M42" i="32" s="1"/>
  <c r="N46" i="32"/>
  <c r="M46" i="32" s="1"/>
  <c r="N50" i="32"/>
  <c r="M50" i="32" s="1"/>
  <c r="N54" i="32"/>
  <c r="M54" i="32" s="1"/>
  <c r="N58" i="32"/>
  <c r="M58" i="32" s="1"/>
  <c r="N62" i="32"/>
  <c r="M62" i="32" s="1"/>
  <c r="N66" i="32"/>
  <c r="M66" i="32" s="1"/>
  <c r="N70" i="32"/>
  <c r="M70" i="32" s="1"/>
  <c r="N74" i="32"/>
  <c r="M74" i="32" s="1"/>
  <c r="N78" i="32"/>
  <c r="M78" i="32" s="1"/>
  <c r="N82" i="32"/>
  <c r="M82" i="32" s="1"/>
  <c r="N86" i="32"/>
  <c r="M86" i="32" s="1"/>
  <c r="N90" i="32"/>
  <c r="M90" i="32" s="1"/>
  <c r="N94" i="32"/>
  <c r="M94" i="32" s="1"/>
  <c r="N98" i="32"/>
  <c r="M98" i="32" s="1"/>
  <c r="N102" i="32"/>
  <c r="M102" i="32" s="1"/>
  <c r="N106" i="32"/>
  <c r="M106" i="32" s="1"/>
  <c r="N110" i="32"/>
  <c r="M110" i="32" s="1"/>
  <c r="N114" i="32"/>
  <c r="M114" i="32" s="1"/>
  <c r="N118" i="32"/>
  <c r="M118" i="32" s="1"/>
  <c r="N122" i="32"/>
  <c r="M122" i="32" s="1"/>
  <c r="N126" i="32"/>
  <c r="M126" i="32" s="1"/>
  <c r="N130" i="32"/>
  <c r="M130" i="32" s="1"/>
  <c r="N134" i="32"/>
  <c r="M134" i="32" s="1"/>
  <c r="N138" i="32"/>
  <c r="M138" i="32" s="1"/>
  <c r="N142" i="32"/>
  <c r="M142" i="32" s="1"/>
  <c r="N146" i="32"/>
  <c r="M146" i="32" s="1"/>
  <c r="N150" i="32"/>
  <c r="M150" i="32" s="1"/>
  <c r="N154" i="32"/>
  <c r="M154" i="32" s="1"/>
  <c r="N158" i="32"/>
  <c r="M158" i="32" s="1"/>
  <c r="N162" i="32"/>
  <c r="M162" i="32" s="1"/>
  <c r="N166" i="32"/>
  <c r="M166" i="32" s="1"/>
  <c r="N170" i="32"/>
  <c r="M170" i="32" s="1"/>
  <c r="N174" i="32"/>
  <c r="M174" i="32" s="1"/>
  <c r="N178" i="32"/>
  <c r="M178" i="32" s="1"/>
  <c r="N182" i="32"/>
  <c r="M182" i="32" s="1"/>
  <c r="N186" i="32"/>
  <c r="M186" i="32" s="1"/>
  <c r="N190" i="32"/>
  <c r="M190" i="32" s="1"/>
  <c r="N194" i="32"/>
  <c r="M194" i="32" s="1"/>
  <c r="N198" i="32"/>
  <c r="M198" i="32" s="1"/>
  <c r="N202" i="32"/>
  <c r="M202" i="32" s="1"/>
  <c r="N206" i="32"/>
  <c r="M206" i="32" s="1"/>
  <c r="N210" i="32"/>
  <c r="M210" i="32" s="1"/>
  <c r="N214" i="32"/>
  <c r="M214" i="32" s="1"/>
  <c r="N218" i="32"/>
  <c r="M218" i="32" s="1"/>
  <c r="N222" i="32"/>
  <c r="M222" i="32" s="1"/>
  <c r="N226" i="32"/>
  <c r="M226" i="32" s="1"/>
  <c r="N230" i="32"/>
  <c r="M230" i="32" s="1"/>
  <c r="N234" i="32"/>
  <c r="M234" i="32" s="1"/>
  <c r="N238" i="32"/>
  <c r="M238" i="32" s="1"/>
  <c r="N242" i="32"/>
  <c r="M242" i="32" s="1"/>
  <c r="N246" i="32"/>
  <c r="M246" i="32" s="1"/>
  <c r="N250" i="32"/>
  <c r="M250" i="32" s="1"/>
  <c r="N254" i="32"/>
  <c r="M254" i="32" s="1"/>
  <c r="N258" i="32"/>
  <c r="M258" i="32" s="1"/>
  <c r="N262" i="32"/>
  <c r="M262" i="32" s="1"/>
  <c r="N266" i="32"/>
  <c r="M266" i="32" s="1"/>
  <c r="N270" i="32"/>
  <c r="M270" i="32" s="1"/>
  <c r="N274" i="32"/>
  <c r="M274" i="32" s="1"/>
  <c r="N278" i="32"/>
  <c r="M278" i="32" s="1"/>
  <c r="N282" i="32"/>
  <c r="M282" i="32" s="1"/>
  <c r="N286" i="32"/>
  <c r="M286" i="32" s="1"/>
  <c r="N290" i="32"/>
  <c r="M290" i="32" s="1"/>
  <c r="N294" i="32"/>
  <c r="M294" i="32" s="1"/>
  <c r="N298" i="32"/>
  <c r="M298" i="32" s="1"/>
  <c r="N302" i="32"/>
  <c r="M302" i="32" s="1"/>
  <c r="N306" i="32"/>
  <c r="M306" i="32" s="1"/>
  <c r="N310" i="32"/>
  <c r="M310" i="32" s="1"/>
  <c r="N314" i="32"/>
  <c r="M314" i="32" s="1"/>
  <c r="N318" i="32"/>
  <c r="M318" i="32" s="1"/>
  <c r="N322" i="32"/>
  <c r="M322" i="32" s="1"/>
  <c r="N326" i="32"/>
  <c r="M326" i="32" s="1"/>
  <c r="N330" i="32"/>
  <c r="M330" i="32" s="1"/>
  <c r="N334" i="32"/>
  <c r="M334" i="32" s="1"/>
  <c r="N338" i="32"/>
  <c r="M338" i="32" s="1"/>
  <c r="N3" i="32"/>
  <c r="M3" i="32" s="1"/>
  <c r="N11" i="32"/>
  <c r="M11" i="32" s="1"/>
  <c r="N19" i="32"/>
  <c r="M19" i="32" s="1"/>
  <c r="N27" i="32"/>
  <c r="M27" i="32" s="1"/>
  <c r="N35" i="32"/>
  <c r="M35" i="32" s="1"/>
  <c r="N43" i="32"/>
  <c r="M43" i="32" s="1"/>
  <c r="N51" i="32"/>
  <c r="M51" i="32" s="1"/>
  <c r="N59" i="32"/>
  <c r="M59" i="32" s="1"/>
  <c r="N67" i="32"/>
  <c r="M67" i="32" s="1"/>
  <c r="N75" i="32"/>
  <c r="M75" i="32" s="1"/>
  <c r="N83" i="32"/>
  <c r="M83" i="32" s="1"/>
  <c r="N91" i="32"/>
  <c r="M91" i="32" s="1"/>
  <c r="N99" i="32"/>
  <c r="M99" i="32" s="1"/>
  <c r="N107" i="32"/>
  <c r="M107" i="32" s="1"/>
  <c r="N115" i="32"/>
  <c r="M115" i="32" s="1"/>
  <c r="N123" i="32"/>
  <c r="M123" i="32" s="1"/>
  <c r="N131" i="32"/>
  <c r="M131" i="32" s="1"/>
  <c r="N139" i="32"/>
  <c r="M139" i="32" s="1"/>
  <c r="N147" i="32"/>
  <c r="M147" i="32" s="1"/>
  <c r="N155" i="32"/>
  <c r="M155" i="32" s="1"/>
  <c r="N163" i="32"/>
  <c r="M163" i="32" s="1"/>
  <c r="N171" i="32"/>
  <c r="M171" i="32" s="1"/>
  <c r="N179" i="32"/>
  <c r="M179" i="32" s="1"/>
  <c r="N187" i="32"/>
  <c r="M187" i="32" s="1"/>
  <c r="N195" i="32"/>
  <c r="M195" i="32" s="1"/>
  <c r="N203" i="32"/>
  <c r="M203" i="32" s="1"/>
  <c r="N211" i="32"/>
  <c r="M211" i="32" s="1"/>
  <c r="N219" i="32"/>
  <c r="M219" i="32" s="1"/>
  <c r="N227" i="32"/>
  <c r="M227" i="32" s="1"/>
  <c r="N235" i="32"/>
  <c r="M235" i="32" s="1"/>
  <c r="N243" i="32"/>
  <c r="M243" i="32" s="1"/>
  <c r="N251" i="32"/>
  <c r="M251" i="32" s="1"/>
  <c r="N259" i="32"/>
  <c r="M259" i="32" s="1"/>
  <c r="N267" i="32"/>
  <c r="M267" i="32" s="1"/>
  <c r="N275" i="32"/>
  <c r="M275" i="32" s="1"/>
  <c r="N283" i="32"/>
  <c r="M283" i="32" s="1"/>
  <c r="N291" i="32"/>
  <c r="M291" i="32" s="1"/>
  <c r="N299" i="32"/>
  <c r="M299" i="32" s="1"/>
  <c r="N307" i="32"/>
  <c r="M307" i="32" s="1"/>
  <c r="N315" i="32"/>
  <c r="M315" i="32" s="1"/>
  <c r="N323" i="32"/>
  <c r="M323" i="32" s="1"/>
  <c r="N331" i="32"/>
  <c r="M331" i="32" s="1"/>
  <c r="N339" i="32"/>
  <c r="M339" i="32" s="1"/>
  <c r="N343" i="32"/>
  <c r="M343" i="32" s="1"/>
  <c r="N347" i="32"/>
  <c r="M347" i="32" s="1"/>
  <c r="N351" i="32"/>
  <c r="M351" i="32" s="1"/>
  <c r="N355" i="32"/>
  <c r="M355" i="32" s="1"/>
  <c r="N359" i="32"/>
  <c r="M359" i="32" s="1"/>
  <c r="N363" i="32"/>
  <c r="M363" i="32" s="1"/>
  <c r="N367" i="32"/>
  <c r="M367" i="32" s="1"/>
  <c r="N371" i="32"/>
  <c r="M371" i="32" s="1"/>
  <c r="N375" i="32"/>
  <c r="M375" i="32" s="1"/>
  <c r="N379" i="32"/>
  <c r="M379" i="32" s="1"/>
  <c r="N383" i="32"/>
  <c r="M383" i="32" s="1"/>
  <c r="N387" i="32"/>
  <c r="M387" i="32" s="1"/>
  <c r="N391" i="32"/>
  <c r="M391" i="32" s="1"/>
  <c r="N395" i="32"/>
  <c r="M395" i="32" s="1"/>
  <c r="N399" i="32"/>
  <c r="M399" i="32" s="1"/>
  <c r="N403" i="32"/>
  <c r="M403" i="32" s="1"/>
  <c r="N407" i="32"/>
  <c r="M407" i="32" s="1"/>
  <c r="N411" i="32"/>
  <c r="M411" i="32" s="1"/>
  <c r="N415" i="32"/>
  <c r="M415" i="32" s="1"/>
  <c r="N419" i="32"/>
  <c r="M419" i="32" s="1"/>
  <c r="N423" i="32"/>
  <c r="M423" i="32" s="1"/>
  <c r="N427" i="32"/>
  <c r="M427" i="32" s="1"/>
  <c r="N431" i="32"/>
  <c r="M431" i="32" s="1"/>
  <c r="N435" i="32"/>
  <c r="M435" i="32" s="1"/>
  <c r="N439" i="32"/>
  <c r="M439" i="32" s="1"/>
  <c r="N443" i="32"/>
  <c r="M443" i="32" s="1"/>
  <c r="N447" i="32"/>
  <c r="M447" i="32" s="1"/>
  <c r="N451" i="32"/>
  <c r="M451" i="32" s="1"/>
  <c r="N455" i="32"/>
  <c r="M455" i="32" s="1"/>
  <c r="N459" i="32"/>
  <c r="M459" i="32" s="1"/>
  <c r="N463" i="32"/>
  <c r="M463" i="32" s="1"/>
  <c r="N467" i="32"/>
  <c r="M467" i="32" s="1"/>
  <c r="N471" i="32"/>
  <c r="M471" i="32" s="1"/>
  <c r="N475" i="32"/>
  <c r="M475" i="32" s="1"/>
  <c r="N479" i="32"/>
  <c r="M479" i="32" s="1"/>
  <c r="N483" i="32"/>
  <c r="M483" i="32" s="1"/>
  <c r="N487" i="32"/>
  <c r="M487" i="32" s="1"/>
  <c r="N491" i="32"/>
  <c r="M491" i="32" s="1"/>
  <c r="N495" i="32"/>
  <c r="M495" i="32" s="1"/>
  <c r="N499" i="32"/>
  <c r="M499" i="32" s="1"/>
  <c r="N503" i="32"/>
  <c r="M503" i="32" s="1"/>
  <c r="N507" i="32"/>
  <c r="M507" i="32" s="1"/>
  <c r="N616" i="32"/>
  <c r="M616" i="32" s="1"/>
  <c r="N13" i="32"/>
  <c r="M13" i="32" s="1"/>
  <c r="N23" i="32"/>
  <c r="M23" i="32" s="1"/>
  <c r="N33" i="32"/>
  <c r="M33" i="32" s="1"/>
  <c r="N45" i="32"/>
  <c r="M45" i="32" s="1"/>
  <c r="N55" i="32"/>
  <c r="M55" i="32" s="1"/>
  <c r="N65" i="32"/>
  <c r="M65" i="32" s="1"/>
  <c r="N77" i="32"/>
  <c r="M77" i="32" s="1"/>
  <c r="N87" i="32"/>
  <c r="M87" i="32" s="1"/>
  <c r="N97" i="32"/>
  <c r="M97" i="32" s="1"/>
  <c r="N109" i="32"/>
  <c r="M109" i="32" s="1"/>
  <c r="N119" i="32"/>
  <c r="M119" i="32" s="1"/>
  <c r="N129" i="32"/>
  <c r="M129" i="32" s="1"/>
  <c r="N141" i="32"/>
  <c r="M141" i="32" s="1"/>
  <c r="N151" i="32"/>
  <c r="M151" i="32" s="1"/>
  <c r="N161" i="32"/>
  <c r="M161" i="32" s="1"/>
  <c r="N173" i="32"/>
  <c r="M173" i="32" s="1"/>
  <c r="N183" i="32"/>
  <c r="M183" i="32" s="1"/>
  <c r="N193" i="32"/>
  <c r="M193" i="32" s="1"/>
  <c r="N205" i="32"/>
  <c r="M205" i="32" s="1"/>
  <c r="N215" i="32"/>
  <c r="M215" i="32" s="1"/>
  <c r="N225" i="32"/>
  <c r="M225" i="32" s="1"/>
  <c r="N237" i="32"/>
  <c r="M237" i="32" s="1"/>
  <c r="N247" i="32"/>
  <c r="M247" i="32" s="1"/>
  <c r="N257" i="32"/>
  <c r="M257" i="32" s="1"/>
  <c r="N269" i="32"/>
  <c r="M269" i="32" s="1"/>
  <c r="N279" i="32"/>
  <c r="M279" i="32" s="1"/>
  <c r="N289" i="32"/>
  <c r="M289" i="32" s="1"/>
  <c r="N301" i="32"/>
  <c r="M301" i="32" s="1"/>
  <c r="N311" i="32"/>
  <c r="M311" i="32" s="1"/>
  <c r="N321" i="32"/>
  <c r="M321" i="32" s="1"/>
  <c r="N333" i="32"/>
  <c r="M333" i="32" s="1"/>
  <c r="N341" i="32"/>
  <c r="M341" i="32" s="1"/>
  <c r="N346" i="32"/>
  <c r="M346" i="32" s="1"/>
  <c r="N352" i="32"/>
  <c r="M352" i="32" s="1"/>
  <c r="N357" i="32"/>
  <c r="M357" i="32" s="1"/>
  <c r="N362" i="32"/>
  <c r="M362" i="32" s="1"/>
  <c r="N368" i="32"/>
  <c r="M368" i="32" s="1"/>
  <c r="N373" i="32"/>
  <c r="M373" i="32" s="1"/>
  <c r="N378" i="32"/>
  <c r="M378" i="32" s="1"/>
  <c r="N384" i="32"/>
  <c r="M384" i="32" s="1"/>
  <c r="N389" i="32"/>
  <c r="M389" i="32" s="1"/>
  <c r="N394" i="32"/>
  <c r="M394" i="32" s="1"/>
  <c r="N400" i="32"/>
  <c r="M400" i="32" s="1"/>
  <c r="N405" i="32"/>
  <c r="M405" i="32" s="1"/>
  <c r="N410" i="32"/>
  <c r="M410" i="32" s="1"/>
  <c r="N416" i="32"/>
  <c r="M416" i="32" s="1"/>
  <c r="N421" i="32"/>
  <c r="M421" i="32" s="1"/>
  <c r="N426" i="32"/>
  <c r="M426" i="32" s="1"/>
  <c r="N432" i="32"/>
  <c r="M432" i="32" s="1"/>
  <c r="N437" i="32"/>
  <c r="M437" i="32" s="1"/>
  <c r="N442" i="32"/>
  <c r="M442" i="32" s="1"/>
  <c r="N448" i="32"/>
  <c r="M448" i="32" s="1"/>
  <c r="N453" i="32"/>
  <c r="M453" i="32" s="1"/>
  <c r="N458" i="32"/>
  <c r="M458" i="32" s="1"/>
  <c r="N464" i="32"/>
  <c r="M464" i="32" s="1"/>
  <c r="N469" i="32"/>
  <c r="M469" i="32" s="1"/>
  <c r="N474" i="32"/>
  <c r="M474" i="32" s="1"/>
  <c r="N480" i="32"/>
  <c r="M480" i="32" s="1"/>
  <c r="N485" i="32"/>
  <c r="M485" i="32" s="1"/>
  <c r="N490" i="32"/>
  <c r="M490" i="32" s="1"/>
  <c r="N496" i="32"/>
  <c r="M496" i="32" s="1"/>
  <c r="N501" i="32"/>
  <c r="M501" i="32" s="1"/>
  <c r="N506" i="32"/>
  <c r="M506" i="32" s="1"/>
  <c r="N511" i="32"/>
  <c r="M511" i="32" s="1"/>
  <c r="N515" i="32"/>
  <c r="M515" i="32" s="1"/>
  <c r="N519" i="32"/>
  <c r="M519" i="32" s="1"/>
  <c r="N523" i="32"/>
  <c r="M523" i="32" s="1"/>
  <c r="N527" i="32"/>
  <c r="M527" i="32" s="1"/>
  <c r="N531" i="32"/>
  <c r="M531" i="32" s="1"/>
  <c r="N535" i="32"/>
  <c r="M535" i="32" s="1"/>
  <c r="N539" i="32"/>
  <c r="M539" i="32" s="1"/>
  <c r="N543" i="32"/>
  <c r="M543" i="32" s="1"/>
  <c r="N547" i="32"/>
  <c r="M547" i="32" s="1"/>
  <c r="N551" i="32"/>
  <c r="M551" i="32" s="1"/>
  <c r="N555" i="32"/>
  <c r="M555" i="32" s="1"/>
  <c r="N559" i="32"/>
  <c r="M559" i="32" s="1"/>
  <c r="N563" i="32"/>
  <c r="M563" i="32" s="1"/>
  <c r="N567" i="32"/>
  <c r="M567" i="32" s="1"/>
  <c r="N571" i="32"/>
  <c r="M571" i="32" s="1"/>
  <c r="N583" i="32"/>
  <c r="M583" i="32" s="1"/>
  <c r="N587" i="32"/>
  <c r="M587" i="32" s="1"/>
  <c r="N591" i="32"/>
  <c r="M591" i="32" s="1"/>
  <c r="N595" i="32"/>
  <c r="M595" i="32" s="1"/>
  <c r="N598" i="32"/>
  <c r="M598" i="32" s="1"/>
  <c r="N602" i="32"/>
  <c r="M602" i="32" s="1"/>
  <c r="N606" i="32"/>
  <c r="M606" i="32" s="1"/>
  <c r="N610" i="32"/>
  <c r="M610" i="32" s="1"/>
  <c r="N617" i="32"/>
  <c r="M617" i="32" s="1"/>
  <c r="N620" i="32"/>
  <c r="M620" i="32" s="1"/>
  <c r="N624" i="32"/>
  <c r="M624" i="32" s="1"/>
  <c r="N574" i="32"/>
  <c r="M574" i="32" s="1"/>
  <c r="N630" i="32"/>
  <c r="M630" i="32" s="1"/>
  <c r="N634" i="32"/>
  <c r="M634" i="32" s="1"/>
  <c r="N637" i="32"/>
  <c r="M637" i="32" s="1"/>
  <c r="N640" i="32"/>
  <c r="M640" i="32" s="1"/>
  <c r="N644" i="32"/>
  <c r="M644" i="32" s="1"/>
  <c r="N648" i="32"/>
  <c r="M648" i="32" s="1"/>
  <c r="N652" i="32"/>
  <c r="M652" i="32" s="1"/>
  <c r="N655" i="32"/>
  <c r="M655" i="32" s="1"/>
  <c r="N659" i="32"/>
  <c r="M659" i="32" s="1"/>
  <c r="N663" i="32"/>
  <c r="M663" i="32" s="1"/>
  <c r="N667" i="32"/>
  <c r="M667" i="32" s="1"/>
  <c r="N671" i="32"/>
  <c r="M671" i="32" s="1"/>
  <c r="N675" i="32"/>
  <c r="M675" i="32" s="1"/>
  <c r="N679" i="32"/>
  <c r="M679" i="32" s="1"/>
  <c r="N683" i="32"/>
  <c r="M683" i="32" s="1"/>
  <c r="N687" i="32"/>
  <c r="M687" i="32" s="1"/>
  <c r="N691" i="32"/>
  <c r="M691" i="32" s="1"/>
  <c r="N695" i="32"/>
  <c r="M695" i="32" s="1"/>
  <c r="N699" i="32"/>
  <c r="M699" i="32" s="1"/>
  <c r="N703" i="32"/>
  <c r="M703" i="32" s="1"/>
  <c r="N707" i="32"/>
  <c r="M707" i="32" s="1"/>
  <c r="N711" i="32"/>
  <c r="M711" i="32" s="1"/>
  <c r="N715" i="32"/>
  <c r="M715" i="32" s="1"/>
  <c r="N719" i="32"/>
  <c r="M719" i="32" s="1"/>
  <c r="N723" i="32"/>
  <c r="M723" i="32" s="1"/>
  <c r="N727" i="32"/>
  <c r="M727" i="32" s="1"/>
  <c r="N731" i="32"/>
  <c r="M731" i="32" s="1"/>
  <c r="N735" i="32"/>
  <c r="M735" i="32" s="1"/>
  <c r="N739" i="32"/>
  <c r="M739" i="32" s="1"/>
  <c r="N743" i="32"/>
  <c r="M743" i="32" s="1"/>
  <c r="N747" i="32"/>
  <c r="M747" i="32" s="1"/>
  <c r="N751" i="32"/>
  <c r="M751" i="32" s="1"/>
  <c r="N755" i="32"/>
  <c r="M755" i="32" s="1"/>
  <c r="N759" i="32"/>
  <c r="M759" i="32" s="1"/>
  <c r="N763" i="32"/>
  <c r="M763" i="32" s="1"/>
  <c r="N767" i="32"/>
  <c r="M767" i="32" s="1"/>
  <c r="N771" i="32"/>
  <c r="M771" i="32" s="1"/>
  <c r="N775" i="32"/>
  <c r="M775" i="32" s="1"/>
  <c r="N779" i="32"/>
  <c r="M779" i="32" s="1"/>
  <c r="N783" i="32"/>
  <c r="M783" i="32" s="1"/>
  <c r="N787" i="32"/>
  <c r="M787" i="32" s="1"/>
  <c r="N791" i="32"/>
  <c r="M791" i="32" s="1"/>
  <c r="N795" i="32"/>
  <c r="M795" i="32" s="1"/>
  <c r="N799" i="32"/>
  <c r="M799" i="32" s="1"/>
  <c r="N803" i="32"/>
  <c r="M803" i="32" s="1"/>
  <c r="N807" i="32"/>
  <c r="M807" i="32" s="1"/>
  <c r="N811" i="32"/>
  <c r="M811" i="32" s="1"/>
  <c r="N815" i="32"/>
  <c r="M815" i="32" s="1"/>
  <c r="N819" i="32"/>
  <c r="M819" i="32" s="1"/>
  <c r="N823" i="32"/>
  <c r="M823" i="32" s="1"/>
  <c r="N827" i="32"/>
  <c r="M827" i="32" s="1"/>
  <c r="N831" i="32"/>
  <c r="M831" i="32" s="1"/>
  <c r="N835" i="32"/>
  <c r="M835" i="32" s="1"/>
  <c r="N839" i="32"/>
  <c r="M839" i="32" s="1"/>
  <c r="N843" i="32"/>
  <c r="M843" i="32" s="1"/>
  <c r="N847" i="32"/>
  <c r="M847" i="32" s="1"/>
  <c r="N851" i="32"/>
  <c r="M851" i="32" s="1"/>
  <c r="N855" i="32"/>
  <c r="M855" i="32" s="1"/>
  <c r="N859" i="32"/>
  <c r="M859" i="32" s="1"/>
  <c r="N863" i="32"/>
  <c r="M863" i="32" s="1"/>
  <c r="N867" i="32"/>
  <c r="M867" i="32" s="1"/>
  <c r="N871" i="32"/>
  <c r="M871" i="32" s="1"/>
  <c r="N875" i="32"/>
  <c r="M875" i="32" s="1"/>
  <c r="N879" i="32"/>
  <c r="M879" i="32" s="1"/>
  <c r="N883" i="32"/>
  <c r="M883" i="32" s="1"/>
  <c r="N887" i="32"/>
  <c r="M887" i="32" s="1"/>
  <c r="N891" i="32"/>
  <c r="M891" i="32" s="1"/>
  <c r="N895" i="32"/>
  <c r="M895" i="32" s="1"/>
  <c r="N899" i="32"/>
  <c r="M899" i="32" s="1"/>
  <c r="N903" i="32"/>
  <c r="M903" i="32" s="1"/>
  <c r="N907" i="32"/>
  <c r="M907" i="32" s="1"/>
  <c r="N911" i="32"/>
  <c r="M911" i="32" s="1"/>
  <c r="N915" i="32"/>
  <c r="M915" i="32" s="1"/>
  <c r="N919" i="32"/>
  <c r="M919" i="32" s="1"/>
  <c r="N923" i="32"/>
  <c r="M923" i="32" s="1"/>
  <c r="N927" i="32"/>
  <c r="M927" i="32" s="1"/>
  <c r="N931" i="32"/>
  <c r="M931" i="32" s="1"/>
  <c r="N935" i="32"/>
  <c r="M935" i="32" s="1"/>
  <c r="N5" i="32"/>
  <c r="M5" i="32" s="1"/>
  <c r="N17" i="32"/>
  <c r="M17" i="32" s="1"/>
  <c r="N31" i="32"/>
  <c r="M31" i="32" s="1"/>
  <c r="N47" i="32"/>
  <c r="M47" i="32" s="1"/>
  <c r="N61" i="32"/>
  <c r="M61" i="32" s="1"/>
  <c r="N73" i="32"/>
  <c r="M73" i="32" s="1"/>
  <c r="N89" i="32"/>
  <c r="M89" i="32" s="1"/>
  <c r="N103" i="32"/>
  <c r="M103" i="32" s="1"/>
  <c r="N117" i="32"/>
  <c r="M117" i="32" s="1"/>
  <c r="N133" i="32"/>
  <c r="M133" i="32" s="1"/>
  <c r="N145" i="32"/>
  <c r="M145" i="32" s="1"/>
  <c r="N159" i="32"/>
  <c r="M159" i="32" s="1"/>
  <c r="N175" i="32"/>
  <c r="M175" i="32" s="1"/>
  <c r="N189" i="32"/>
  <c r="M189" i="32" s="1"/>
  <c r="N201" i="32"/>
  <c r="M201" i="32" s="1"/>
  <c r="N217" i="32"/>
  <c r="M217" i="32" s="1"/>
  <c r="N231" i="32"/>
  <c r="M231" i="32" s="1"/>
  <c r="N245" i="32"/>
  <c r="M245" i="32" s="1"/>
  <c r="N261" i="32"/>
  <c r="M261" i="32" s="1"/>
  <c r="N273" i="32"/>
  <c r="M273" i="32" s="1"/>
  <c r="N287" i="32"/>
  <c r="M287" i="32" s="1"/>
  <c r="N303" i="32"/>
  <c r="M303" i="32" s="1"/>
  <c r="N317" i="32"/>
  <c r="M317" i="32" s="1"/>
  <c r="N329" i="32"/>
  <c r="M329" i="32" s="1"/>
  <c r="N342" i="32"/>
  <c r="M342" i="32" s="1"/>
  <c r="N349" i="32"/>
  <c r="M349" i="32" s="1"/>
  <c r="N356" i="32"/>
  <c r="M356" i="32" s="1"/>
  <c r="N364" i="32"/>
  <c r="M364" i="32" s="1"/>
  <c r="N370" i="32"/>
  <c r="M370" i="32" s="1"/>
  <c r="N377" i="32"/>
  <c r="M377" i="32" s="1"/>
  <c r="N385" i="32"/>
  <c r="M385" i="32" s="1"/>
  <c r="N392" i="32"/>
  <c r="M392" i="32" s="1"/>
  <c r="N398" i="32"/>
  <c r="M398" i="32" s="1"/>
  <c r="N406" i="32"/>
  <c r="M406" i="32" s="1"/>
  <c r="N413" i="32"/>
  <c r="M413" i="32" s="1"/>
  <c r="N420" i="32"/>
  <c r="M420" i="32" s="1"/>
  <c r="N428" i="32"/>
  <c r="M428" i="32" s="1"/>
  <c r="N434" i="32"/>
  <c r="M434" i="32" s="1"/>
  <c r="N441" i="32"/>
  <c r="M441" i="32" s="1"/>
  <c r="N449" i="32"/>
  <c r="M449" i="32" s="1"/>
  <c r="N456" i="32"/>
  <c r="M456" i="32" s="1"/>
  <c r="N462" i="32"/>
  <c r="M462" i="32" s="1"/>
  <c r="N470" i="32"/>
  <c r="M470" i="32" s="1"/>
  <c r="N477" i="32"/>
  <c r="M477" i="32" s="1"/>
  <c r="N484" i="32"/>
  <c r="M484" i="32" s="1"/>
  <c r="N492" i="32"/>
  <c r="M492" i="32" s="1"/>
  <c r="N498" i="32"/>
  <c r="M498" i="32" s="1"/>
  <c r="N505" i="32"/>
  <c r="M505" i="32" s="1"/>
  <c r="N512" i="32"/>
  <c r="M512" i="32" s="1"/>
  <c r="N517" i="32"/>
  <c r="M517" i="32" s="1"/>
  <c r="N522" i="32"/>
  <c r="M522" i="32" s="1"/>
  <c r="N528" i="32"/>
  <c r="M528" i="32" s="1"/>
  <c r="N533" i="32"/>
  <c r="M533" i="32" s="1"/>
  <c r="N538" i="32"/>
  <c r="M538" i="32" s="1"/>
  <c r="N544" i="32"/>
  <c r="M544" i="32" s="1"/>
  <c r="N549" i="32"/>
  <c r="M549" i="32" s="1"/>
  <c r="N554" i="32"/>
  <c r="M554" i="32" s="1"/>
  <c r="N560" i="32"/>
  <c r="M560" i="32" s="1"/>
  <c r="N565" i="32"/>
  <c r="M565" i="32" s="1"/>
  <c r="N570" i="32"/>
  <c r="M570" i="32" s="1"/>
  <c r="N584" i="32"/>
  <c r="M584" i="32" s="1"/>
  <c r="N589" i="32"/>
  <c r="M589" i="32" s="1"/>
  <c r="N594" i="32"/>
  <c r="M594" i="32" s="1"/>
  <c r="N599" i="32"/>
  <c r="M599" i="32" s="1"/>
  <c r="N604" i="32"/>
  <c r="M604" i="32" s="1"/>
  <c r="N609" i="32"/>
  <c r="M609" i="32" s="1"/>
  <c r="N581" i="32"/>
  <c r="M581" i="32" s="1"/>
  <c r="N622" i="32"/>
  <c r="M622" i="32" s="1"/>
  <c r="N627" i="32"/>
  <c r="M627" i="32" s="1"/>
  <c r="N631" i="32"/>
  <c r="M631" i="32" s="1"/>
  <c r="N635" i="32"/>
  <c r="M635" i="32" s="1"/>
  <c r="N639" i="32"/>
  <c r="M639" i="32" s="1"/>
  <c r="N645" i="32"/>
  <c r="M645" i="32" s="1"/>
  <c r="N650" i="32"/>
  <c r="M650" i="32" s="1"/>
  <c r="N654" i="32"/>
  <c r="M654" i="32" s="1"/>
  <c r="N660" i="32"/>
  <c r="M660" i="32" s="1"/>
  <c r="N665" i="32"/>
  <c r="M665" i="32" s="1"/>
  <c r="N670" i="32"/>
  <c r="M670" i="32" s="1"/>
  <c r="N676" i="32"/>
  <c r="M676" i="32" s="1"/>
  <c r="N681" i="32"/>
  <c r="M681" i="32" s="1"/>
  <c r="N686" i="32"/>
  <c r="M686" i="32" s="1"/>
  <c r="N692" i="32"/>
  <c r="M692" i="32" s="1"/>
  <c r="N697" i="32"/>
  <c r="M697" i="32" s="1"/>
  <c r="N702" i="32"/>
  <c r="M702" i="32" s="1"/>
  <c r="N708" i="32"/>
  <c r="M708" i="32" s="1"/>
  <c r="N713" i="32"/>
  <c r="M713" i="32" s="1"/>
  <c r="N718" i="32"/>
  <c r="M718" i="32" s="1"/>
  <c r="N724" i="32"/>
  <c r="M724" i="32" s="1"/>
  <c r="N729" i="32"/>
  <c r="M729" i="32" s="1"/>
  <c r="N734" i="32"/>
  <c r="M734" i="32" s="1"/>
  <c r="N740" i="32"/>
  <c r="M740" i="32" s="1"/>
  <c r="N745" i="32"/>
  <c r="M745" i="32" s="1"/>
  <c r="N750" i="32"/>
  <c r="M750" i="32" s="1"/>
  <c r="N756" i="32"/>
  <c r="M756" i="32" s="1"/>
  <c r="N761" i="32"/>
  <c r="M761" i="32" s="1"/>
  <c r="N766" i="32"/>
  <c r="M766" i="32" s="1"/>
  <c r="N772" i="32"/>
  <c r="M772" i="32" s="1"/>
  <c r="N777" i="32"/>
  <c r="M777" i="32" s="1"/>
  <c r="N782" i="32"/>
  <c r="M782" i="32" s="1"/>
  <c r="N788" i="32"/>
  <c r="M788" i="32" s="1"/>
  <c r="N793" i="32"/>
  <c r="M793" i="32" s="1"/>
  <c r="N798" i="32"/>
  <c r="M798" i="32" s="1"/>
  <c r="N804" i="32"/>
  <c r="M804" i="32" s="1"/>
  <c r="N809" i="32"/>
  <c r="M809" i="32" s="1"/>
  <c r="N814" i="32"/>
  <c r="M814" i="32" s="1"/>
  <c r="N820" i="32"/>
  <c r="M820" i="32" s="1"/>
  <c r="N825" i="32"/>
  <c r="M825" i="32" s="1"/>
  <c r="N830" i="32"/>
  <c r="M830" i="32" s="1"/>
  <c r="N836" i="32"/>
  <c r="M836" i="32" s="1"/>
  <c r="N841" i="32"/>
  <c r="M841" i="32" s="1"/>
  <c r="N846" i="32"/>
  <c r="M846" i="32" s="1"/>
  <c r="N852" i="32"/>
  <c r="M852" i="32" s="1"/>
  <c r="N857" i="32"/>
  <c r="M857" i="32" s="1"/>
  <c r="N862" i="32"/>
  <c r="M862" i="32" s="1"/>
  <c r="N868" i="32"/>
  <c r="M868" i="32" s="1"/>
  <c r="N873" i="32"/>
  <c r="M873" i="32" s="1"/>
  <c r="N878" i="32"/>
  <c r="M878" i="32" s="1"/>
  <c r="N884" i="32"/>
  <c r="M884" i="32" s="1"/>
  <c r="N889" i="32"/>
  <c r="M889" i="32" s="1"/>
  <c r="N894" i="32"/>
  <c r="M894" i="32" s="1"/>
  <c r="N900" i="32"/>
  <c r="M900" i="32" s="1"/>
  <c r="N905" i="32"/>
  <c r="M905" i="32" s="1"/>
  <c r="N910" i="32"/>
  <c r="M910" i="32" s="1"/>
  <c r="N916" i="32"/>
  <c r="M916" i="32" s="1"/>
  <c r="N921" i="32"/>
  <c r="M921" i="32" s="1"/>
  <c r="N926" i="32"/>
  <c r="M926" i="32" s="1"/>
  <c r="N932" i="32"/>
  <c r="M932" i="32" s="1"/>
  <c r="N937" i="32"/>
  <c r="M937" i="32" s="1"/>
  <c r="N941" i="32"/>
  <c r="M941" i="32" s="1"/>
  <c r="N945" i="32"/>
  <c r="M945" i="32" s="1"/>
  <c r="N949" i="32"/>
  <c r="M949" i="32" s="1"/>
  <c r="N953" i="32"/>
  <c r="M953" i="32" s="1"/>
  <c r="N957" i="32"/>
  <c r="M957" i="32" s="1"/>
  <c r="N961" i="32"/>
  <c r="M961" i="32" s="1"/>
  <c r="N965" i="32"/>
  <c r="M965" i="32" s="1"/>
  <c r="N969" i="32"/>
  <c r="M969" i="32" s="1"/>
  <c r="N973" i="32"/>
  <c r="M973" i="32" s="1"/>
  <c r="N977" i="32"/>
  <c r="M977" i="32" s="1"/>
  <c r="N981" i="32"/>
  <c r="M981" i="32" s="1"/>
  <c r="N985" i="32"/>
  <c r="M985" i="32" s="1"/>
  <c r="N989" i="32"/>
  <c r="M989" i="32" s="1"/>
  <c r="N993" i="32"/>
  <c r="M993" i="32" s="1"/>
  <c r="N997" i="32"/>
  <c r="M997" i="32" s="1"/>
  <c r="N1001" i="32"/>
  <c r="M1001" i="32" s="1"/>
  <c r="N1005" i="32"/>
  <c r="M1005" i="32" s="1"/>
  <c r="N1009" i="32"/>
  <c r="M1009" i="32" s="1"/>
  <c r="N1013" i="32"/>
  <c r="M1013" i="32" s="1"/>
  <c r="N1017" i="32"/>
  <c r="M1017" i="32" s="1"/>
  <c r="N1021" i="32"/>
  <c r="M1021" i="32" s="1"/>
  <c r="N1025" i="32"/>
  <c r="M1025" i="32" s="1"/>
  <c r="N1029" i="32"/>
  <c r="M1029" i="32" s="1"/>
  <c r="N1033" i="32"/>
  <c r="M1033" i="32" s="1"/>
  <c r="N1037" i="32"/>
  <c r="M1037" i="32" s="1"/>
  <c r="N1041" i="32"/>
  <c r="M1041" i="32" s="1"/>
  <c r="N1045" i="32"/>
  <c r="M1045" i="32" s="1"/>
  <c r="N1049" i="32"/>
  <c r="M1049" i="32" s="1"/>
  <c r="N1053" i="32"/>
  <c r="M1053" i="32" s="1"/>
  <c r="N1057" i="32"/>
  <c r="M1057" i="32" s="1"/>
  <c r="N1061" i="32"/>
  <c r="M1061" i="32" s="1"/>
  <c r="N1065" i="32"/>
  <c r="M1065" i="32" s="1"/>
  <c r="N1069" i="32"/>
  <c r="M1069" i="32" s="1"/>
  <c r="N1073" i="32"/>
  <c r="M1073" i="32" s="1"/>
  <c r="N1077" i="32"/>
  <c r="M1077" i="32" s="1"/>
  <c r="N1081" i="32"/>
  <c r="M1081" i="32" s="1"/>
  <c r="N1085" i="32"/>
  <c r="M1085" i="32" s="1"/>
  <c r="N1089" i="32"/>
  <c r="M1089" i="32" s="1"/>
  <c r="N1093" i="32"/>
  <c r="M1093" i="32" s="1"/>
  <c r="N1097" i="32"/>
  <c r="M1097" i="32" s="1"/>
  <c r="N1101" i="32"/>
  <c r="M1101" i="32" s="1"/>
  <c r="N1105" i="32"/>
  <c r="M1105" i="32" s="1"/>
  <c r="N1109" i="32"/>
  <c r="M1109" i="32" s="1"/>
  <c r="N1113" i="32"/>
  <c r="M1113" i="32" s="1"/>
  <c r="N1117" i="32"/>
  <c r="M1117" i="32" s="1"/>
  <c r="N1121" i="32"/>
  <c r="M1121" i="32" s="1"/>
  <c r="N1125" i="32"/>
  <c r="M1125" i="32" s="1"/>
  <c r="N1129" i="32"/>
  <c r="M1129" i="32" s="1"/>
  <c r="N1133" i="32"/>
  <c r="M1133" i="32" s="1"/>
  <c r="N1137" i="32"/>
  <c r="M1137" i="32" s="1"/>
  <c r="N1141" i="32"/>
  <c r="M1141" i="32" s="1"/>
  <c r="N1145" i="32"/>
  <c r="M1145" i="32" s="1"/>
  <c r="N1149" i="32"/>
  <c r="M1149" i="32" s="1"/>
  <c r="N1153" i="32"/>
  <c r="M1153" i="32" s="1"/>
  <c r="N1157" i="32"/>
  <c r="M1157" i="32" s="1"/>
  <c r="N1161" i="32"/>
  <c r="M1161" i="32" s="1"/>
  <c r="N1165" i="32"/>
  <c r="M1165" i="32" s="1"/>
  <c r="N1169" i="32"/>
  <c r="M1169" i="32" s="1"/>
  <c r="N1173" i="32"/>
  <c r="M1173" i="32" s="1"/>
  <c r="N1177" i="32"/>
  <c r="M1177" i="32" s="1"/>
  <c r="N1181" i="32"/>
  <c r="M1181" i="32" s="1"/>
  <c r="N1185" i="32"/>
  <c r="M1185" i="32" s="1"/>
  <c r="N1189" i="32"/>
  <c r="M1189" i="32" s="1"/>
  <c r="N1193" i="32"/>
  <c r="M1193" i="32" s="1"/>
  <c r="N1197" i="32"/>
  <c r="M1197" i="32" s="1"/>
  <c r="N1201" i="32"/>
  <c r="M1201" i="32" s="1"/>
  <c r="N1205" i="32"/>
  <c r="M1205" i="32" s="1"/>
  <c r="N1209" i="32"/>
  <c r="M1209" i="32" s="1"/>
  <c r="N1213" i="32"/>
  <c r="M1213" i="32" s="1"/>
  <c r="N1217" i="32"/>
  <c r="M1217" i="32" s="1"/>
  <c r="N1221" i="32"/>
  <c r="M1221" i="32" s="1"/>
  <c r="N1225" i="32"/>
  <c r="M1225" i="32" s="1"/>
  <c r="N1229" i="32"/>
  <c r="M1229" i="32" s="1"/>
  <c r="N1233" i="32"/>
  <c r="M1233" i="32" s="1"/>
  <c r="N1237" i="32"/>
  <c r="M1237" i="32" s="1"/>
  <c r="N1241" i="32"/>
  <c r="M1241" i="32" s="1"/>
  <c r="N1245" i="32"/>
  <c r="M1245" i="32" s="1"/>
  <c r="N1249" i="32"/>
  <c r="M1249" i="32" s="1"/>
  <c r="N1253" i="32"/>
  <c r="M1253" i="32" s="1"/>
  <c r="N1257" i="32"/>
  <c r="M1257" i="32" s="1"/>
  <c r="N1261" i="32"/>
  <c r="M1261" i="32" s="1"/>
  <c r="N1265" i="32"/>
  <c r="M1265" i="32" s="1"/>
  <c r="N1269" i="32"/>
  <c r="M1269" i="32" s="1"/>
  <c r="N1273" i="32"/>
  <c r="M1273" i="32" s="1"/>
  <c r="N1277" i="32"/>
  <c r="M1277" i="32" s="1"/>
  <c r="N1281" i="32"/>
  <c r="M1281" i="32" s="1"/>
  <c r="N1285" i="32"/>
  <c r="M1285" i="32" s="1"/>
  <c r="N1289" i="32"/>
  <c r="M1289" i="32" s="1"/>
  <c r="N1293" i="32"/>
  <c r="M1293" i="32" s="1"/>
  <c r="N1297" i="32"/>
  <c r="M1297" i="32" s="1"/>
  <c r="N1301" i="32"/>
  <c r="M1301" i="32" s="1"/>
  <c r="N9" i="32"/>
  <c r="M9" i="32" s="1"/>
  <c r="N25" i="32"/>
  <c r="M25" i="32" s="1"/>
  <c r="N39" i="32"/>
  <c r="M39" i="32" s="1"/>
  <c r="N53" i="32"/>
  <c r="M53" i="32" s="1"/>
  <c r="N69" i="32"/>
  <c r="M69" i="32" s="1"/>
  <c r="N81" i="32"/>
  <c r="M81" i="32" s="1"/>
  <c r="N95" i="32"/>
  <c r="M95" i="32" s="1"/>
  <c r="N111" i="32"/>
  <c r="M111" i="32" s="1"/>
  <c r="N125" i="32"/>
  <c r="M125" i="32" s="1"/>
  <c r="N137" i="32"/>
  <c r="M137" i="32" s="1"/>
  <c r="N153" i="32"/>
  <c r="M153" i="32" s="1"/>
  <c r="N167" i="32"/>
  <c r="M167" i="32" s="1"/>
  <c r="N181" i="32"/>
  <c r="M181" i="32" s="1"/>
  <c r="N197" i="32"/>
  <c r="M197" i="32" s="1"/>
  <c r="N209" i="32"/>
  <c r="M209" i="32" s="1"/>
  <c r="N7" i="32"/>
  <c r="M7" i="32" s="1"/>
  <c r="N37" i="32"/>
  <c r="M37" i="32" s="1"/>
  <c r="N63" i="32"/>
  <c r="M63" i="32" s="1"/>
  <c r="N93" i="32"/>
  <c r="M93" i="32" s="1"/>
  <c r="N121" i="32"/>
  <c r="M121" i="32" s="1"/>
  <c r="N149" i="32"/>
  <c r="M149" i="32" s="1"/>
  <c r="N177" i="32"/>
  <c r="M177" i="32" s="1"/>
  <c r="N207" i="32"/>
  <c r="M207" i="32" s="1"/>
  <c r="N229" i="32"/>
  <c r="M229" i="32" s="1"/>
  <c r="N249" i="32"/>
  <c r="M249" i="32" s="1"/>
  <c r="N265" i="32"/>
  <c r="M265" i="32" s="1"/>
  <c r="N285" i="32"/>
  <c r="M285" i="32" s="1"/>
  <c r="N305" i="32"/>
  <c r="M305" i="32" s="1"/>
  <c r="N325" i="32"/>
  <c r="M325" i="32" s="1"/>
  <c r="N340" i="32"/>
  <c r="M340" i="32" s="1"/>
  <c r="N350" i="32"/>
  <c r="M350" i="32" s="1"/>
  <c r="N360" i="32"/>
  <c r="M360" i="32" s="1"/>
  <c r="N369" i="32"/>
  <c r="M369" i="32" s="1"/>
  <c r="N380" i="32"/>
  <c r="M380" i="32" s="1"/>
  <c r="N388" i="32"/>
  <c r="M388" i="32" s="1"/>
  <c r="N397" i="32"/>
  <c r="M397" i="32" s="1"/>
  <c r="N408" i="32"/>
  <c r="M408" i="32" s="1"/>
  <c r="N417" i="32"/>
  <c r="M417" i="32" s="1"/>
  <c r="N425" i="32"/>
  <c r="M425" i="32" s="1"/>
  <c r="N436" i="32"/>
  <c r="M436" i="32" s="1"/>
  <c r="N445" i="32"/>
  <c r="M445" i="32" s="1"/>
  <c r="N454" i="32"/>
  <c r="M454" i="32" s="1"/>
  <c r="N465" i="32"/>
  <c r="M465" i="32" s="1"/>
  <c r="N473" i="32"/>
  <c r="M473" i="32" s="1"/>
  <c r="N482" i="32"/>
  <c r="M482" i="32" s="1"/>
  <c r="N493" i="32"/>
  <c r="M493" i="32" s="1"/>
  <c r="N502" i="32"/>
  <c r="M502" i="32" s="1"/>
  <c r="N510" i="32"/>
  <c r="M510" i="32" s="1"/>
  <c r="N518" i="32"/>
  <c r="M518" i="32" s="1"/>
  <c r="N525" i="32"/>
  <c r="M525" i="32" s="1"/>
  <c r="N532" i="32"/>
  <c r="M532" i="32" s="1"/>
  <c r="N540" i="32"/>
  <c r="M540" i="32" s="1"/>
  <c r="N546" i="32"/>
  <c r="M546" i="32" s="1"/>
  <c r="N553" i="32"/>
  <c r="M553" i="32" s="1"/>
  <c r="N561" i="32"/>
  <c r="M561" i="32" s="1"/>
  <c r="N568" i="32"/>
  <c r="M568" i="32" s="1"/>
  <c r="N582" i="32"/>
  <c r="M582" i="32" s="1"/>
  <c r="N590" i="32"/>
  <c r="M590" i="32" s="1"/>
  <c r="N596" i="32"/>
  <c r="M596" i="32" s="1"/>
  <c r="N603" i="32"/>
  <c r="M603" i="32" s="1"/>
  <c r="N576" i="32"/>
  <c r="M576" i="32" s="1"/>
  <c r="N619" i="32"/>
  <c r="M619" i="32" s="1"/>
  <c r="N626" i="32"/>
  <c r="M626" i="32" s="1"/>
  <c r="N632" i="32"/>
  <c r="M632" i="32" s="1"/>
  <c r="N638" i="32"/>
  <c r="M638" i="32" s="1"/>
  <c r="N643" i="32"/>
  <c r="M643" i="32" s="1"/>
  <c r="N651" i="32"/>
  <c r="M651" i="32" s="1"/>
  <c r="N657" i="32"/>
  <c r="M657" i="32" s="1"/>
  <c r="N664" i="32"/>
  <c r="M664" i="32" s="1"/>
  <c r="N672" i="32"/>
  <c r="M672" i="32" s="1"/>
  <c r="N678" i="32"/>
  <c r="M678" i="32" s="1"/>
  <c r="N685" i="32"/>
  <c r="M685" i="32" s="1"/>
  <c r="N693" i="32"/>
  <c r="M693" i="32" s="1"/>
  <c r="N700" i="32"/>
  <c r="M700" i="32" s="1"/>
  <c r="N706" i="32"/>
  <c r="M706" i="32" s="1"/>
  <c r="N714" i="32"/>
  <c r="M714" i="32" s="1"/>
  <c r="N721" i="32"/>
  <c r="M721" i="32" s="1"/>
  <c r="N728" i="32"/>
  <c r="M728" i="32" s="1"/>
  <c r="N736" i="32"/>
  <c r="M736" i="32" s="1"/>
  <c r="N742" i="32"/>
  <c r="M742" i="32" s="1"/>
  <c r="N749" i="32"/>
  <c r="M749" i="32" s="1"/>
  <c r="N757" i="32"/>
  <c r="M757" i="32" s="1"/>
  <c r="N764" i="32"/>
  <c r="M764" i="32" s="1"/>
  <c r="N770" i="32"/>
  <c r="M770" i="32" s="1"/>
  <c r="N778" i="32"/>
  <c r="M778" i="32" s="1"/>
  <c r="N785" i="32"/>
  <c r="M785" i="32" s="1"/>
  <c r="N792" i="32"/>
  <c r="M792" i="32" s="1"/>
  <c r="N800" i="32"/>
  <c r="M800" i="32" s="1"/>
  <c r="N806" i="32"/>
  <c r="M806" i="32" s="1"/>
  <c r="N813" i="32"/>
  <c r="M813" i="32" s="1"/>
  <c r="N821" i="32"/>
  <c r="M821" i="32" s="1"/>
  <c r="N828" i="32"/>
  <c r="M828" i="32" s="1"/>
  <c r="N834" i="32"/>
  <c r="M834" i="32" s="1"/>
  <c r="N842" i="32"/>
  <c r="M842" i="32" s="1"/>
  <c r="N849" i="32"/>
  <c r="M849" i="32" s="1"/>
  <c r="N856" i="32"/>
  <c r="M856" i="32" s="1"/>
  <c r="N864" i="32"/>
  <c r="M864" i="32" s="1"/>
  <c r="N870" i="32"/>
  <c r="M870" i="32" s="1"/>
  <c r="N877" i="32"/>
  <c r="M877" i="32" s="1"/>
  <c r="N885" i="32"/>
  <c r="M885" i="32" s="1"/>
  <c r="N892" i="32"/>
  <c r="M892" i="32" s="1"/>
  <c r="N898" i="32"/>
  <c r="M898" i="32" s="1"/>
  <c r="N906" i="32"/>
  <c r="M906" i="32" s="1"/>
  <c r="N913" i="32"/>
  <c r="M913" i="32" s="1"/>
  <c r="N920" i="32"/>
  <c r="M920" i="32" s="1"/>
  <c r="N928" i="32"/>
  <c r="M928" i="32" s="1"/>
  <c r="N934" i="32"/>
  <c r="M934" i="32" s="1"/>
  <c r="N940" i="32"/>
  <c r="M940" i="32" s="1"/>
  <c r="N946" i="32"/>
  <c r="M946" i="32" s="1"/>
  <c r="N951" i="32"/>
  <c r="M951" i="32" s="1"/>
  <c r="N956" i="32"/>
  <c r="M956" i="32" s="1"/>
  <c r="N962" i="32"/>
  <c r="M962" i="32" s="1"/>
  <c r="N967" i="32"/>
  <c r="M967" i="32" s="1"/>
  <c r="N972" i="32"/>
  <c r="M972" i="32" s="1"/>
  <c r="N978" i="32"/>
  <c r="M978" i="32" s="1"/>
  <c r="N983" i="32"/>
  <c r="M983" i="32" s="1"/>
  <c r="N988" i="32"/>
  <c r="M988" i="32" s="1"/>
  <c r="N994" i="32"/>
  <c r="M994" i="32" s="1"/>
  <c r="N999" i="32"/>
  <c r="M999" i="32" s="1"/>
  <c r="N1004" i="32"/>
  <c r="M1004" i="32" s="1"/>
  <c r="N1010" i="32"/>
  <c r="M1010" i="32" s="1"/>
  <c r="N1015" i="32"/>
  <c r="M1015" i="32" s="1"/>
  <c r="N1020" i="32"/>
  <c r="M1020" i="32" s="1"/>
  <c r="N1026" i="32"/>
  <c r="M1026" i="32" s="1"/>
  <c r="N1031" i="32"/>
  <c r="M1031" i="32" s="1"/>
  <c r="N1036" i="32"/>
  <c r="M1036" i="32" s="1"/>
  <c r="N1042" i="32"/>
  <c r="M1042" i="32" s="1"/>
  <c r="N1047" i="32"/>
  <c r="M1047" i="32" s="1"/>
  <c r="N1052" i="32"/>
  <c r="M1052" i="32" s="1"/>
  <c r="N1058" i="32"/>
  <c r="M1058" i="32" s="1"/>
  <c r="N1063" i="32"/>
  <c r="M1063" i="32" s="1"/>
  <c r="N1068" i="32"/>
  <c r="M1068" i="32" s="1"/>
  <c r="N1074" i="32"/>
  <c r="M1074" i="32" s="1"/>
  <c r="N1079" i="32"/>
  <c r="M1079" i="32" s="1"/>
  <c r="N1084" i="32"/>
  <c r="M1084" i="32" s="1"/>
  <c r="N1090" i="32"/>
  <c r="M1090" i="32" s="1"/>
  <c r="N1095" i="32"/>
  <c r="M1095" i="32" s="1"/>
  <c r="N1100" i="32"/>
  <c r="M1100" i="32" s="1"/>
  <c r="N1106" i="32"/>
  <c r="M1106" i="32" s="1"/>
  <c r="N1111" i="32"/>
  <c r="M1111" i="32" s="1"/>
  <c r="N1116" i="32"/>
  <c r="M1116" i="32" s="1"/>
  <c r="N1122" i="32"/>
  <c r="M1122" i="32" s="1"/>
  <c r="N1127" i="32"/>
  <c r="M1127" i="32" s="1"/>
  <c r="N1132" i="32"/>
  <c r="M1132" i="32" s="1"/>
  <c r="N1138" i="32"/>
  <c r="M1138" i="32" s="1"/>
  <c r="N1143" i="32"/>
  <c r="M1143" i="32" s="1"/>
  <c r="N1148" i="32"/>
  <c r="M1148" i="32" s="1"/>
  <c r="N1154" i="32"/>
  <c r="M1154" i="32" s="1"/>
  <c r="N1159" i="32"/>
  <c r="M1159" i="32" s="1"/>
  <c r="N1164" i="32"/>
  <c r="M1164" i="32" s="1"/>
  <c r="N1170" i="32"/>
  <c r="M1170" i="32" s="1"/>
  <c r="N1175" i="32"/>
  <c r="M1175" i="32" s="1"/>
  <c r="N1180" i="32"/>
  <c r="M1180" i="32" s="1"/>
  <c r="N1186" i="32"/>
  <c r="M1186" i="32" s="1"/>
  <c r="N1191" i="32"/>
  <c r="M1191" i="32" s="1"/>
  <c r="N1196" i="32"/>
  <c r="M1196" i="32" s="1"/>
  <c r="N1202" i="32"/>
  <c r="M1202" i="32" s="1"/>
  <c r="N1207" i="32"/>
  <c r="M1207" i="32" s="1"/>
  <c r="N1212" i="32"/>
  <c r="M1212" i="32" s="1"/>
  <c r="N1218" i="32"/>
  <c r="M1218" i="32" s="1"/>
  <c r="N1223" i="32"/>
  <c r="M1223" i="32" s="1"/>
  <c r="N1228" i="32"/>
  <c r="M1228" i="32" s="1"/>
  <c r="N1234" i="32"/>
  <c r="M1234" i="32" s="1"/>
  <c r="N1239" i="32"/>
  <c r="M1239" i="32" s="1"/>
  <c r="N1244" i="32"/>
  <c r="M1244" i="32" s="1"/>
  <c r="N1250" i="32"/>
  <c r="M1250" i="32" s="1"/>
  <c r="N1255" i="32"/>
  <c r="M1255" i="32" s="1"/>
  <c r="N1260" i="32"/>
  <c r="M1260" i="32" s="1"/>
  <c r="N1266" i="32"/>
  <c r="M1266" i="32" s="1"/>
  <c r="N1271" i="32"/>
  <c r="M1271" i="32" s="1"/>
  <c r="N1276" i="32"/>
  <c r="M1276" i="32" s="1"/>
  <c r="N1282" i="32"/>
  <c r="M1282" i="32" s="1"/>
  <c r="N1287" i="32"/>
  <c r="M1287" i="32" s="1"/>
  <c r="N1292" i="32"/>
  <c r="M1292" i="32" s="1"/>
  <c r="N1298" i="32"/>
  <c r="M1298" i="32" s="1"/>
  <c r="N21" i="32"/>
  <c r="M21" i="32" s="1"/>
  <c r="N49" i="32"/>
  <c r="M49" i="32" s="1"/>
  <c r="N79" i="32"/>
  <c r="M79" i="32" s="1"/>
  <c r="N105" i="32"/>
  <c r="M105" i="32" s="1"/>
  <c r="N135" i="32"/>
  <c r="M135" i="32" s="1"/>
  <c r="N165" i="32"/>
  <c r="M165" i="32" s="1"/>
  <c r="N191" i="32"/>
  <c r="M191" i="32" s="1"/>
  <c r="N221" i="32"/>
  <c r="M221" i="32" s="1"/>
  <c r="N239" i="32"/>
  <c r="M239" i="32" s="1"/>
  <c r="N255" i="32"/>
  <c r="M255" i="32" s="1"/>
  <c r="N277" i="32"/>
  <c r="M277" i="32" s="1"/>
  <c r="N295" i="32"/>
  <c r="M295" i="32" s="1"/>
  <c r="N313" i="32"/>
  <c r="M313" i="32" s="1"/>
  <c r="N335" i="32"/>
  <c r="M335" i="32" s="1"/>
  <c r="N345" i="32"/>
  <c r="M345" i="32" s="1"/>
  <c r="N354" i="32"/>
  <c r="M354" i="32" s="1"/>
  <c r="N365" i="32"/>
  <c r="M365" i="32" s="1"/>
  <c r="N374" i="32"/>
  <c r="M374" i="32" s="1"/>
  <c r="N382" i="32"/>
  <c r="M382" i="32" s="1"/>
  <c r="N393" i="32"/>
  <c r="M393" i="32" s="1"/>
  <c r="N402" i="32"/>
  <c r="M402" i="32" s="1"/>
  <c r="N412" i="32"/>
  <c r="M412" i="32" s="1"/>
  <c r="N422" i="32"/>
  <c r="M422" i="32" s="1"/>
  <c r="N430" i="32"/>
  <c r="M430" i="32" s="1"/>
  <c r="N440" i="32"/>
  <c r="M440" i="32" s="1"/>
  <c r="N450" i="32"/>
  <c r="M450" i="32" s="1"/>
  <c r="N460" i="32"/>
  <c r="M460" i="32" s="1"/>
  <c r="N468" i="32"/>
  <c r="M468" i="32" s="1"/>
  <c r="N478" i="32"/>
  <c r="M478" i="32" s="1"/>
  <c r="N488" i="32"/>
  <c r="M488" i="32" s="1"/>
  <c r="N497" i="32"/>
  <c r="M497" i="32" s="1"/>
  <c r="N508" i="32"/>
  <c r="M508" i="32" s="1"/>
  <c r="N514" i="32"/>
  <c r="M514" i="32" s="1"/>
  <c r="N521" i="32"/>
  <c r="M521" i="32" s="1"/>
  <c r="N529" i="32"/>
  <c r="M529" i="32" s="1"/>
  <c r="N536" i="32"/>
  <c r="M536" i="32" s="1"/>
  <c r="N542" i="32"/>
  <c r="M542" i="32" s="1"/>
  <c r="N550" i="32"/>
  <c r="M550" i="32" s="1"/>
  <c r="N557" i="32"/>
  <c r="M557" i="32" s="1"/>
  <c r="N564" i="32"/>
  <c r="M564" i="32" s="1"/>
  <c r="N572" i="32"/>
  <c r="M572" i="32" s="1"/>
  <c r="N586" i="32"/>
  <c r="M586" i="32" s="1"/>
  <c r="N593" i="32"/>
  <c r="M593" i="32" s="1"/>
  <c r="N600" i="32"/>
  <c r="M600" i="32" s="1"/>
  <c r="N607" i="32"/>
  <c r="M607" i="32" s="1"/>
  <c r="N612" i="32"/>
  <c r="M612" i="32" s="1"/>
  <c r="N623" i="32"/>
  <c r="M623" i="32" s="1"/>
  <c r="N629" i="32"/>
  <c r="M629" i="32" s="1"/>
  <c r="N577" i="32"/>
  <c r="M577" i="32" s="1"/>
  <c r="N641" i="32"/>
  <c r="M641" i="32" s="1"/>
  <c r="N647" i="32"/>
  <c r="M647" i="32" s="1"/>
  <c r="N653" i="32"/>
  <c r="M653" i="32" s="1"/>
  <c r="N661" i="32"/>
  <c r="M661" i="32" s="1"/>
  <c r="N668" i="32"/>
  <c r="M668" i="32" s="1"/>
  <c r="N674" i="32"/>
  <c r="M674" i="32" s="1"/>
  <c r="N682" i="32"/>
  <c r="M682" i="32" s="1"/>
  <c r="N689" i="32"/>
  <c r="M689" i="32" s="1"/>
  <c r="N696" i="32"/>
  <c r="M696" i="32" s="1"/>
  <c r="N704" i="32"/>
  <c r="M704" i="32" s="1"/>
  <c r="N710" i="32"/>
  <c r="M710" i="32" s="1"/>
  <c r="N717" i="32"/>
  <c r="M717" i="32" s="1"/>
  <c r="N725" i="32"/>
  <c r="M725" i="32" s="1"/>
  <c r="N732" i="32"/>
  <c r="M732" i="32" s="1"/>
  <c r="N738" i="32"/>
  <c r="M738" i="32" s="1"/>
  <c r="N746" i="32"/>
  <c r="M746" i="32" s="1"/>
  <c r="N753" i="32"/>
  <c r="M753" i="32" s="1"/>
  <c r="N760" i="32"/>
  <c r="M760" i="32" s="1"/>
  <c r="N768" i="32"/>
  <c r="M768" i="32" s="1"/>
  <c r="N774" i="32"/>
  <c r="M774" i="32" s="1"/>
  <c r="N781" i="32"/>
  <c r="M781" i="32" s="1"/>
  <c r="N789" i="32"/>
  <c r="M789" i="32" s="1"/>
  <c r="N796" i="32"/>
  <c r="M796" i="32" s="1"/>
  <c r="N802" i="32"/>
  <c r="M802" i="32" s="1"/>
  <c r="N810" i="32"/>
  <c r="M810" i="32" s="1"/>
  <c r="N817" i="32"/>
  <c r="M817" i="32" s="1"/>
  <c r="N824" i="32"/>
  <c r="M824" i="32" s="1"/>
  <c r="N832" i="32"/>
  <c r="M832" i="32" s="1"/>
  <c r="N838" i="32"/>
  <c r="M838" i="32" s="1"/>
  <c r="N845" i="32"/>
  <c r="M845" i="32" s="1"/>
  <c r="N853" i="32"/>
  <c r="M853" i="32" s="1"/>
  <c r="N860" i="32"/>
  <c r="M860" i="32" s="1"/>
  <c r="N866" i="32"/>
  <c r="M866" i="32" s="1"/>
  <c r="N874" i="32"/>
  <c r="M874" i="32" s="1"/>
  <c r="N881" i="32"/>
  <c r="M881" i="32" s="1"/>
  <c r="N888" i="32"/>
  <c r="M888" i="32" s="1"/>
  <c r="N15" i="32"/>
  <c r="M15" i="32" s="1"/>
  <c r="N71" i="32"/>
  <c r="M71" i="32" s="1"/>
  <c r="N127" i="32"/>
  <c r="M127" i="32" s="1"/>
  <c r="N185" i="32"/>
  <c r="M185" i="32" s="1"/>
  <c r="N233" i="32"/>
  <c r="M233" i="32" s="1"/>
  <c r="N271" i="32"/>
  <c r="M271" i="32" s="1"/>
  <c r="N309" i="32"/>
  <c r="M309" i="32" s="1"/>
  <c r="N344" i="32"/>
  <c r="M344" i="32" s="1"/>
  <c r="N361" i="32"/>
  <c r="M361" i="32" s="1"/>
  <c r="N381" i="32"/>
  <c r="M381" i="32" s="1"/>
  <c r="N401" i="32"/>
  <c r="M401" i="32" s="1"/>
  <c r="N418" i="32"/>
  <c r="M418" i="32" s="1"/>
  <c r="N438" i="32"/>
  <c r="M438" i="32" s="1"/>
  <c r="N457" i="32"/>
  <c r="M457" i="32" s="1"/>
  <c r="N476" i="32"/>
  <c r="M476" i="32" s="1"/>
  <c r="N494" i="32"/>
  <c r="M494" i="32" s="1"/>
  <c r="N513" i="32"/>
  <c r="M513" i="32" s="1"/>
  <c r="N526" i="32"/>
  <c r="M526" i="32" s="1"/>
  <c r="N541" i="32"/>
  <c r="M541" i="32" s="1"/>
  <c r="N556" i="32"/>
  <c r="M556" i="32" s="1"/>
  <c r="N569" i="32"/>
  <c r="M569" i="32" s="1"/>
  <c r="N592" i="32"/>
  <c r="M592" i="32" s="1"/>
  <c r="N605" i="32"/>
  <c r="M605" i="32" s="1"/>
  <c r="N621" i="32"/>
  <c r="M621" i="32" s="1"/>
  <c r="N633" i="32"/>
  <c r="M633" i="32" s="1"/>
  <c r="N646" i="32"/>
  <c r="M646" i="32" s="1"/>
  <c r="N658" i="32"/>
  <c r="M658" i="32" s="1"/>
  <c r="N673" i="32"/>
  <c r="M673" i="32" s="1"/>
  <c r="N688" i="32"/>
  <c r="M688" i="32" s="1"/>
  <c r="N701" i="32"/>
  <c r="M701" i="32" s="1"/>
  <c r="N716" i="32"/>
  <c r="M716" i="32" s="1"/>
  <c r="N730" i="32"/>
  <c r="M730" i="32" s="1"/>
  <c r="N744" i="32"/>
  <c r="M744" i="32" s="1"/>
  <c r="N758" i="32"/>
  <c r="M758" i="32" s="1"/>
  <c r="N773" i="32"/>
  <c r="M773" i="32" s="1"/>
  <c r="N786" i="32"/>
  <c r="M786" i="32" s="1"/>
  <c r="N801" i="32"/>
  <c r="M801" i="32" s="1"/>
  <c r="N816" i="32"/>
  <c r="M816" i="32" s="1"/>
  <c r="N829" i="32"/>
  <c r="M829" i="32" s="1"/>
  <c r="N844" i="32"/>
  <c r="M844" i="32" s="1"/>
  <c r="N858" i="32"/>
  <c r="M858" i="32" s="1"/>
  <c r="N872" i="32"/>
  <c r="M872" i="32" s="1"/>
  <c r="N886" i="32"/>
  <c r="M886" i="32" s="1"/>
  <c r="N897" i="32"/>
  <c r="M897" i="32" s="1"/>
  <c r="N908" i="32"/>
  <c r="M908" i="32" s="1"/>
  <c r="N917" i="32"/>
  <c r="M917" i="32" s="1"/>
  <c r="N925" i="32"/>
  <c r="M925" i="32" s="1"/>
  <c r="N936" i="32"/>
  <c r="M936" i="32" s="1"/>
  <c r="N943" i="32"/>
  <c r="M943" i="32" s="1"/>
  <c r="N950" i="32"/>
  <c r="M950" i="32" s="1"/>
  <c r="N958" i="32"/>
  <c r="M958" i="32" s="1"/>
  <c r="N964" i="32"/>
  <c r="M964" i="32" s="1"/>
  <c r="N971" i="32"/>
  <c r="M971" i="32" s="1"/>
  <c r="N979" i="32"/>
  <c r="M979" i="32" s="1"/>
  <c r="N986" i="32"/>
  <c r="M986" i="32" s="1"/>
  <c r="N992" i="32"/>
  <c r="M992" i="32" s="1"/>
  <c r="N1000" i="32"/>
  <c r="M1000" i="32" s="1"/>
  <c r="N1007" i="32"/>
  <c r="M1007" i="32" s="1"/>
  <c r="N1014" i="32"/>
  <c r="M1014" i="32" s="1"/>
  <c r="N1022" i="32"/>
  <c r="M1022" i="32" s="1"/>
  <c r="N1028" i="32"/>
  <c r="M1028" i="32" s="1"/>
  <c r="N1035" i="32"/>
  <c r="M1035" i="32" s="1"/>
  <c r="N1043" i="32"/>
  <c r="M1043" i="32" s="1"/>
  <c r="N1050" i="32"/>
  <c r="M1050" i="32" s="1"/>
  <c r="N1056" i="32"/>
  <c r="M1056" i="32" s="1"/>
  <c r="N1064" i="32"/>
  <c r="M1064" i="32" s="1"/>
  <c r="N1071" i="32"/>
  <c r="M1071" i="32" s="1"/>
  <c r="N1078" i="32"/>
  <c r="M1078" i="32" s="1"/>
  <c r="N1086" i="32"/>
  <c r="M1086" i="32" s="1"/>
  <c r="N1092" i="32"/>
  <c r="M1092" i="32" s="1"/>
  <c r="N1099" i="32"/>
  <c r="M1099" i="32" s="1"/>
  <c r="N1107" i="32"/>
  <c r="M1107" i="32" s="1"/>
  <c r="N1114" i="32"/>
  <c r="M1114" i="32" s="1"/>
  <c r="N1120" i="32"/>
  <c r="M1120" i="32" s="1"/>
  <c r="N1128" i="32"/>
  <c r="M1128" i="32" s="1"/>
  <c r="N1135" i="32"/>
  <c r="M1135" i="32" s="1"/>
  <c r="N1142" i="32"/>
  <c r="M1142" i="32" s="1"/>
  <c r="N1150" i="32"/>
  <c r="M1150" i="32" s="1"/>
  <c r="N1156" i="32"/>
  <c r="M1156" i="32" s="1"/>
  <c r="N1163" i="32"/>
  <c r="M1163" i="32" s="1"/>
  <c r="N1171" i="32"/>
  <c r="M1171" i="32" s="1"/>
  <c r="N1178" i="32"/>
  <c r="M1178" i="32" s="1"/>
  <c r="N1184" i="32"/>
  <c r="M1184" i="32" s="1"/>
  <c r="N1192" i="32"/>
  <c r="M1192" i="32" s="1"/>
  <c r="N1199" i="32"/>
  <c r="M1199" i="32" s="1"/>
  <c r="N1206" i="32"/>
  <c r="M1206" i="32" s="1"/>
  <c r="N1214" i="32"/>
  <c r="M1214" i="32" s="1"/>
  <c r="N1220" i="32"/>
  <c r="M1220" i="32" s="1"/>
  <c r="N1227" i="32"/>
  <c r="M1227" i="32" s="1"/>
  <c r="N1235" i="32"/>
  <c r="M1235" i="32" s="1"/>
  <c r="N1242" i="32"/>
  <c r="M1242" i="32" s="1"/>
  <c r="N1248" i="32"/>
  <c r="M1248" i="32" s="1"/>
  <c r="N1256" i="32"/>
  <c r="M1256" i="32" s="1"/>
  <c r="N1263" i="32"/>
  <c r="M1263" i="32" s="1"/>
  <c r="N1270" i="32"/>
  <c r="M1270" i="32" s="1"/>
  <c r="N1278" i="32"/>
  <c r="M1278" i="32" s="1"/>
  <c r="N1284" i="32"/>
  <c r="M1284" i="32" s="1"/>
  <c r="N1291" i="32"/>
  <c r="M1291" i="32" s="1"/>
  <c r="N1299" i="32"/>
  <c r="M1299" i="32" s="1"/>
  <c r="N29" i="32"/>
  <c r="M29" i="32" s="1"/>
  <c r="N85" i="32"/>
  <c r="M85" i="32" s="1"/>
  <c r="N143" i="32"/>
  <c r="M143" i="32" s="1"/>
  <c r="N199" i="32"/>
  <c r="M199" i="32" s="1"/>
  <c r="N241" i="32"/>
  <c r="M241" i="32" s="1"/>
  <c r="N281" i="32"/>
  <c r="M281" i="32" s="1"/>
  <c r="N319" i="32"/>
  <c r="M319" i="32" s="1"/>
  <c r="N348" i="32"/>
  <c r="M348" i="32" s="1"/>
  <c r="N366" i="32"/>
  <c r="M366" i="32" s="1"/>
  <c r="N386" i="32"/>
  <c r="M386" i="32" s="1"/>
  <c r="N404" i="32"/>
  <c r="M404" i="32" s="1"/>
  <c r="N424" i="32"/>
  <c r="M424" i="32" s="1"/>
  <c r="N444" i="32"/>
  <c r="M444" i="32" s="1"/>
  <c r="N461" i="32"/>
  <c r="M461" i="32" s="1"/>
  <c r="N481" i="32"/>
  <c r="M481" i="32" s="1"/>
  <c r="N500" i="32"/>
  <c r="M500" i="32" s="1"/>
  <c r="N516" i="32"/>
  <c r="M516" i="32" s="1"/>
  <c r="N530" i="32"/>
  <c r="M530" i="32" s="1"/>
  <c r="N545" i="32"/>
  <c r="M545" i="32" s="1"/>
  <c r="N558" i="32"/>
  <c r="M558" i="32" s="1"/>
  <c r="N573" i="32"/>
  <c r="M573" i="32" s="1"/>
  <c r="N575" i="32"/>
  <c r="M575" i="32" s="1"/>
  <c r="N608" i="32"/>
  <c r="M608" i="32" s="1"/>
  <c r="N625" i="32"/>
  <c r="M625" i="32" s="1"/>
  <c r="N636" i="32"/>
  <c r="M636" i="32" s="1"/>
  <c r="N649" i="32"/>
  <c r="M649" i="32" s="1"/>
  <c r="N662" i="32"/>
  <c r="M662" i="32" s="1"/>
  <c r="N677" i="32"/>
  <c r="M677" i="32" s="1"/>
  <c r="N690" i="32"/>
  <c r="M690" i="32" s="1"/>
  <c r="N705" i="32"/>
  <c r="M705" i="32" s="1"/>
  <c r="N720" i="32"/>
  <c r="M720" i="32" s="1"/>
  <c r="N733" i="32"/>
  <c r="M733" i="32" s="1"/>
  <c r="N748" i="32"/>
  <c r="M748" i="32" s="1"/>
  <c r="N762" i="32"/>
  <c r="M762" i="32" s="1"/>
  <c r="N776" i="32"/>
  <c r="M776" i="32" s="1"/>
  <c r="N790" i="32"/>
  <c r="M790" i="32" s="1"/>
  <c r="N805" i="32"/>
  <c r="M805" i="32" s="1"/>
  <c r="N818" i="32"/>
  <c r="M818" i="32" s="1"/>
  <c r="N833" i="32"/>
  <c r="M833" i="32" s="1"/>
  <c r="N848" i="32"/>
  <c r="M848" i="32" s="1"/>
  <c r="N861" i="32"/>
  <c r="M861" i="32" s="1"/>
  <c r="N876" i="32"/>
  <c r="M876" i="32" s="1"/>
  <c r="N890" i="32"/>
  <c r="M890" i="32" s="1"/>
  <c r="N901" i="32"/>
  <c r="M901" i="32" s="1"/>
  <c r="N909" i="32"/>
  <c r="M909" i="32" s="1"/>
  <c r="N918" i="32"/>
  <c r="M918" i="32" s="1"/>
  <c r="N929" i="32"/>
  <c r="M929" i="32" s="1"/>
  <c r="N938" i="32"/>
  <c r="M938" i="32" s="1"/>
  <c r="N944" i="32"/>
  <c r="M944" i="32" s="1"/>
  <c r="N952" i="32"/>
  <c r="M952" i="32" s="1"/>
  <c r="N959" i="32"/>
  <c r="M959" i="32" s="1"/>
  <c r="N966" i="32"/>
  <c r="M966" i="32" s="1"/>
  <c r="N974" i="32"/>
  <c r="M974" i="32" s="1"/>
  <c r="N980" i="32"/>
  <c r="M980" i="32" s="1"/>
  <c r="N987" i="32"/>
  <c r="M987" i="32" s="1"/>
  <c r="N995" i="32"/>
  <c r="M995" i="32" s="1"/>
  <c r="N1002" i="32"/>
  <c r="M1002" i="32" s="1"/>
  <c r="N1008" i="32"/>
  <c r="M1008" i="32" s="1"/>
  <c r="N1016" i="32"/>
  <c r="M1016" i="32" s="1"/>
  <c r="N1023" i="32"/>
  <c r="M1023" i="32" s="1"/>
  <c r="N1030" i="32"/>
  <c r="M1030" i="32" s="1"/>
  <c r="N1038" i="32"/>
  <c r="M1038" i="32" s="1"/>
  <c r="N1044" i="32"/>
  <c r="M1044" i="32" s="1"/>
  <c r="N1051" i="32"/>
  <c r="M1051" i="32" s="1"/>
  <c r="N1059" i="32"/>
  <c r="M1059" i="32" s="1"/>
  <c r="N1066" i="32"/>
  <c r="M1066" i="32" s="1"/>
  <c r="N1072" i="32"/>
  <c r="M1072" i="32" s="1"/>
  <c r="N1080" i="32"/>
  <c r="M1080" i="32" s="1"/>
  <c r="N1087" i="32"/>
  <c r="M1087" i="32" s="1"/>
  <c r="N1094" i="32"/>
  <c r="M1094" i="32" s="1"/>
  <c r="N1102" i="32"/>
  <c r="M1102" i="32" s="1"/>
  <c r="N1108" i="32"/>
  <c r="M1108" i="32" s="1"/>
  <c r="N1115" i="32"/>
  <c r="M1115" i="32" s="1"/>
  <c r="N1123" i="32"/>
  <c r="M1123" i="32" s="1"/>
  <c r="N1130" i="32"/>
  <c r="M1130" i="32" s="1"/>
  <c r="N1136" i="32"/>
  <c r="M1136" i="32" s="1"/>
  <c r="N1144" i="32"/>
  <c r="M1144" i="32" s="1"/>
  <c r="N1151" i="32"/>
  <c r="M1151" i="32" s="1"/>
  <c r="N1158" i="32"/>
  <c r="M1158" i="32" s="1"/>
  <c r="N1166" i="32"/>
  <c r="M1166" i="32" s="1"/>
  <c r="N1172" i="32"/>
  <c r="M1172" i="32" s="1"/>
  <c r="N1179" i="32"/>
  <c r="M1179" i="32" s="1"/>
  <c r="N1187" i="32"/>
  <c r="M1187" i="32" s="1"/>
  <c r="N1194" i="32"/>
  <c r="M1194" i="32" s="1"/>
  <c r="N1200" i="32"/>
  <c r="M1200" i="32" s="1"/>
  <c r="N1208" i="32"/>
  <c r="M1208" i="32" s="1"/>
  <c r="N1215" i="32"/>
  <c r="M1215" i="32" s="1"/>
  <c r="N1222" i="32"/>
  <c r="M1222" i="32" s="1"/>
  <c r="N1230" i="32"/>
  <c r="M1230" i="32" s="1"/>
  <c r="N1236" i="32"/>
  <c r="M1236" i="32" s="1"/>
  <c r="N1243" i="32"/>
  <c r="M1243" i="32" s="1"/>
  <c r="N1251" i="32"/>
  <c r="M1251" i="32" s="1"/>
  <c r="N1258" i="32"/>
  <c r="M1258" i="32" s="1"/>
  <c r="N1264" i="32"/>
  <c r="M1264" i="32" s="1"/>
  <c r="N1272" i="32"/>
  <c r="M1272" i="32" s="1"/>
  <c r="N1279" i="32"/>
  <c r="M1279" i="32" s="1"/>
  <c r="N1286" i="32"/>
  <c r="M1286" i="32" s="1"/>
  <c r="N1294" i="32"/>
  <c r="M1294" i="32" s="1"/>
  <c r="N1300" i="32"/>
  <c r="M1300" i="32" s="1"/>
  <c r="N41" i="32"/>
  <c r="M41" i="32" s="1"/>
  <c r="N157" i="32"/>
  <c r="M157" i="32" s="1"/>
  <c r="N253" i="32"/>
  <c r="M253" i="32" s="1"/>
  <c r="N327" i="32"/>
  <c r="M327" i="32" s="1"/>
  <c r="N372" i="32"/>
  <c r="M372" i="32" s="1"/>
  <c r="N409" i="32"/>
  <c r="M409" i="32" s="1"/>
  <c r="N446" i="32"/>
  <c r="M446" i="32" s="1"/>
  <c r="N486" i="32"/>
  <c r="M486" i="32" s="1"/>
  <c r="N520" i="32"/>
  <c r="M520" i="32" s="1"/>
  <c r="N548" i="32"/>
  <c r="M548" i="32" s="1"/>
  <c r="N585" i="32"/>
  <c r="M585" i="32" s="1"/>
  <c r="N611" i="32"/>
  <c r="M611" i="32" s="1"/>
  <c r="N579" i="32"/>
  <c r="M579" i="32" s="1"/>
  <c r="N666" i="32"/>
  <c r="M666" i="32" s="1"/>
  <c r="N694" i="32"/>
  <c r="M694" i="32" s="1"/>
  <c r="N722" i="32"/>
  <c r="M722" i="32" s="1"/>
  <c r="N752" i="32"/>
  <c r="M752" i="32" s="1"/>
  <c r="N780" i="32"/>
  <c r="M780" i="32" s="1"/>
  <c r="N808" i="32"/>
  <c r="M808" i="32" s="1"/>
  <c r="N837" i="32"/>
  <c r="M837" i="32" s="1"/>
  <c r="N865" i="32"/>
  <c r="M865" i="32" s="1"/>
  <c r="N893" i="32"/>
  <c r="M893" i="32" s="1"/>
  <c r="N912" i="32"/>
  <c r="M912" i="32" s="1"/>
  <c r="N930" i="32"/>
  <c r="M930" i="32" s="1"/>
  <c r="N947" i="32"/>
  <c r="M947" i="32" s="1"/>
  <c r="N960" i="32"/>
  <c r="M960" i="32" s="1"/>
  <c r="N975" i="32"/>
  <c r="M975" i="32" s="1"/>
  <c r="N990" i="32"/>
  <c r="M990" i="32" s="1"/>
  <c r="N1003" i="32"/>
  <c r="M1003" i="32" s="1"/>
  <c r="N1018" i="32"/>
  <c r="M1018" i="32" s="1"/>
  <c r="N1032" i="32"/>
  <c r="M1032" i="32" s="1"/>
  <c r="N1046" i="32"/>
  <c r="M1046" i="32" s="1"/>
  <c r="N1060" i="32"/>
  <c r="M1060" i="32" s="1"/>
  <c r="N1075" i="32"/>
  <c r="M1075" i="32" s="1"/>
  <c r="N1088" i="32"/>
  <c r="M1088" i="32" s="1"/>
  <c r="N1103" i="32"/>
  <c r="M1103" i="32" s="1"/>
  <c r="N1118" i="32"/>
  <c r="M1118" i="32" s="1"/>
  <c r="N1131" i="32"/>
  <c r="M1131" i="32" s="1"/>
  <c r="N1146" i="32"/>
  <c r="M1146" i="32" s="1"/>
  <c r="N1160" i="32"/>
  <c r="M1160" i="32" s="1"/>
  <c r="N1174" i="32"/>
  <c r="M1174" i="32" s="1"/>
  <c r="N1188" i="32"/>
  <c r="M1188" i="32" s="1"/>
  <c r="N1203" i="32"/>
  <c r="M1203" i="32" s="1"/>
  <c r="N1216" i="32"/>
  <c r="M1216" i="32" s="1"/>
  <c r="N1231" i="32"/>
  <c r="M1231" i="32" s="1"/>
  <c r="N1246" i="32"/>
  <c r="M1246" i="32" s="1"/>
  <c r="N1259" i="32"/>
  <c r="M1259" i="32" s="1"/>
  <c r="N1274" i="32"/>
  <c r="M1274" i="32" s="1"/>
  <c r="N1288" i="32"/>
  <c r="M1288" i="32" s="1"/>
  <c r="N613" i="32"/>
  <c r="M613" i="32" s="1"/>
  <c r="N57" i="32"/>
  <c r="M57" i="32" s="1"/>
  <c r="N169" i="32"/>
  <c r="M169" i="32" s="1"/>
  <c r="N263" i="32"/>
  <c r="M263" i="32" s="1"/>
  <c r="N337" i="32"/>
  <c r="M337" i="32" s="1"/>
  <c r="N376" i="32"/>
  <c r="M376" i="32" s="1"/>
  <c r="N414" i="32"/>
  <c r="M414" i="32" s="1"/>
  <c r="N452" i="32"/>
  <c r="M452" i="32" s="1"/>
  <c r="N489" i="32"/>
  <c r="M489" i="32" s="1"/>
  <c r="N524" i="32"/>
  <c r="M524" i="32" s="1"/>
  <c r="N552" i="32"/>
  <c r="M552" i="32" s="1"/>
  <c r="N588" i="32"/>
  <c r="M588" i="32" s="1"/>
  <c r="N618" i="32"/>
  <c r="M618" i="32" s="1"/>
  <c r="N642" i="32"/>
  <c r="M642" i="32" s="1"/>
  <c r="N669" i="32"/>
  <c r="M669" i="32" s="1"/>
  <c r="N698" i="32"/>
  <c r="M698" i="32" s="1"/>
  <c r="N726" i="32"/>
  <c r="M726" i="32" s="1"/>
  <c r="N754" i="32"/>
  <c r="M754" i="32" s="1"/>
  <c r="N784" i="32"/>
  <c r="M784" i="32" s="1"/>
  <c r="N812" i="32"/>
  <c r="M812" i="32" s="1"/>
  <c r="N840" i="32"/>
  <c r="M840" i="32" s="1"/>
  <c r="N869" i="32"/>
  <c r="M869" i="32" s="1"/>
  <c r="N896" i="32"/>
  <c r="M896" i="32" s="1"/>
  <c r="N914" i="32"/>
  <c r="M914" i="32" s="1"/>
  <c r="N933" i="32"/>
  <c r="M933" i="32" s="1"/>
  <c r="N948" i="32"/>
  <c r="M948" i="32" s="1"/>
  <c r="N963" i="32"/>
  <c r="M963" i="32" s="1"/>
  <c r="N976" i="32"/>
  <c r="M976" i="32" s="1"/>
  <c r="N991" i="32"/>
  <c r="M991" i="32" s="1"/>
  <c r="N1006" i="32"/>
  <c r="M1006" i="32" s="1"/>
  <c r="N1019" i="32"/>
  <c r="M1019" i="32" s="1"/>
  <c r="N1034" i="32"/>
  <c r="M1034" i="32" s="1"/>
  <c r="N1048" i="32"/>
  <c r="M1048" i="32" s="1"/>
  <c r="N1062" i="32"/>
  <c r="M1062" i="32" s="1"/>
  <c r="N1076" i="32"/>
  <c r="M1076" i="32" s="1"/>
  <c r="N1091" i="32"/>
  <c r="M1091" i="32" s="1"/>
  <c r="N1104" i="32"/>
  <c r="M1104" i="32" s="1"/>
  <c r="N1119" i="32"/>
  <c r="M1119" i="32" s="1"/>
  <c r="N1134" i="32"/>
  <c r="M1134" i="32" s="1"/>
  <c r="N1147" i="32"/>
  <c r="M1147" i="32" s="1"/>
  <c r="N1162" i="32"/>
  <c r="M1162" i="32" s="1"/>
  <c r="N1176" i="32"/>
  <c r="M1176" i="32" s="1"/>
  <c r="N1190" i="32"/>
  <c r="M1190" i="32" s="1"/>
  <c r="N1204" i="32"/>
  <c r="M1204" i="32" s="1"/>
  <c r="N1219" i="32"/>
  <c r="M1219" i="32" s="1"/>
  <c r="N1232" i="32"/>
  <c r="M1232" i="32" s="1"/>
  <c r="N1247" i="32"/>
  <c r="M1247" i="32" s="1"/>
  <c r="N1262" i="32"/>
  <c r="M1262" i="32" s="1"/>
  <c r="N1275" i="32"/>
  <c r="M1275" i="32" s="1"/>
  <c r="N1290" i="32"/>
  <c r="M1290" i="32" s="1"/>
  <c r="N101" i="32"/>
  <c r="M101" i="32" s="1"/>
  <c r="N213" i="32"/>
  <c r="M213" i="32" s="1"/>
  <c r="N293" i="32"/>
  <c r="M293" i="32" s="1"/>
  <c r="N353" i="32"/>
  <c r="M353" i="32" s="1"/>
  <c r="N390" i="32"/>
  <c r="M390" i="32" s="1"/>
  <c r="N429" i="32"/>
  <c r="M429" i="32" s="1"/>
  <c r="N466" i="32"/>
  <c r="M466" i="32" s="1"/>
  <c r="N504" i="32"/>
  <c r="M504" i="32" s="1"/>
  <c r="N534" i="32"/>
  <c r="M534" i="32" s="1"/>
  <c r="N562" i="32"/>
  <c r="M562" i="32" s="1"/>
  <c r="N597" i="32"/>
  <c r="M597" i="32" s="1"/>
  <c r="N628" i="32"/>
  <c r="M628" i="32" s="1"/>
  <c r="N580" i="32"/>
  <c r="M580" i="32" s="1"/>
  <c r="N680" i="32"/>
  <c r="M680" i="32" s="1"/>
  <c r="N709" i="32"/>
  <c r="M709" i="32" s="1"/>
  <c r="N737" i="32"/>
  <c r="M737" i="32" s="1"/>
  <c r="N765" i="32"/>
  <c r="M765" i="32" s="1"/>
  <c r="N794" i="32"/>
  <c r="M794" i="32" s="1"/>
  <c r="N822" i="32"/>
  <c r="M822" i="32" s="1"/>
  <c r="N850" i="32"/>
  <c r="M850" i="32" s="1"/>
  <c r="N880" i="32"/>
  <c r="M880" i="32" s="1"/>
  <c r="N902" i="32"/>
  <c r="M902" i="32" s="1"/>
  <c r="N922" i="32"/>
  <c r="M922" i="32" s="1"/>
  <c r="N939" i="32"/>
  <c r="M939" i="32" s="1"/>
  <c r="N954" i="32"/>
  <c r="M954" i="32" s="1"/>
  <c r="N968" i="32"/>
  <c r="M968" i="32" s="1"/>
  <c r="N982" i="32"/>
  <c r="M982" i="32" s="1"/>
  <c r="N996" i="32"/>
  <c r="M996" i="32" s="1"/>
  <c r="N1011" i="32"/>
  <c r="M1011" i="32" s="1"/>
  <c r="N1024" i="32"/>
  <c r="M1024" i="32" s="1"/>
  <c r="N1039" i="32"/>
  <c r="M1039" i="32" s="1"/>
  <c r="N1054" i="32"/>
  <c r="M1054" i="32" s="1"/>
  <c r="N1067" i="32"/>
  <c r="M1067" i="32" s="1"/>
  <c r="N1082" i="32"/>
  <c r="M1082" i="32" s="1"/>
  <c r="N1096" i="32"/>
  <c r="M1096" i="32" s="1"/>
  <c r="N1110" i="32"/>
  <c r="M1110" i="32" s="1"/>
  <c r="N1124" i="32"/>
  <c r="M1124" i="32" s="1"/>
  <c r="N1139" i="32"/>
  <c r="M1139" i="32" s="1"/>
  <c r="N1152" i="32"/>
  <c r="M1152" i="32" s="1"/>
  <c r="N1167" i="32"/>
  <c r="M1167" i="32" s="1"/>
  <c r="N1182" i="32"/>
  <c r="M1182" i="32" s="1"/>
  <c r="N1195" i="32"/>
  <c r="M1195" i="32" s="1"/>
  <c r="N1210" i="32"/>
  <c r="M1210" i="32" s="1"/>
  <c r="N1224" i="32"/>
  <c r="M1224" i="32" s="1"/>
  <c r="N1238" i="32"/>
  <c r="M1238" i="32" s="1"/>
  <c r="N1252" i="32"/>
  <c r="M1252" i="32" s="1"/>
  <c r="N1267" i="32"/>
  <c r="M1267" i="32" s="1"/>
  <c r="N1280" i="32"/>
  <c r="M1280" i="32" s="1"/>
  <c r="N1295" i="32"/>
  <c r="M1295" i="32" s="1"/>
  <c r="N614" i="32"/>
  <c r="M614" i="32" s="1"/>
  <c r="N113" i="32"/>
  <c r="M113" i="32" s="1"/>
  <c r="N223" i="32"/>
  <c r="M223" i="32" s="1"/>
  <c r="N297" i="32"/>
  <c r="M297" i="32" s="1"/>
  <c r="N358" i="32"/>
  <c r="M358" i="32" s="1"/>
  <c r="N396" i="32"/>
  <c r="M396" i="32" s="1"/>
  <c r="N433" i="32"/>
  <c r="M433" i="32" s="1"/>
  <c r="N472" i="32"/>
  <c r="M472" i="32" s="1"/>
  <c r="N509" i="32"/>
  <c r="M509" i="32" s="1"/>
  <c r="N537" i="32"/>
  <c r="M537" i="32" s="1"/>
  <c r="N566" i="32"/>
  <c r="M566" i="32" s="1"/>
  <c r="N601" i="32"/>
  <c r="M601" i="32" s="1"/>
  <c r="N578" i="32"/>
  <c r="M578" i="32" s="1"/>
  <c r="N656" i="32"/>
  <c r="M656" i="32" s="1"/>
  <c r="N684" i="32"/>
  <c r="M684" i="32" s="1"/>
  <c r="N712" i="32"/>
  <c r="M712" i="32" s="1"/>
  <c r="N741" i="32"/>
  <c r="M741" i="32" s="1"/>
  <c r="N769" i="32"/>
  <c r="M769" i="32" s="1"/>
  <c r="N797" i="32"/>
  <c r="M797" i="32" s="1"/>
  <c r="N826" i="32"/>
  <c r="M826" i="32" s="1"/>
  <c r="N854" i="32"/>
  <c r="M854" i="32" s="1"/>
  <c r="N882" i="32"/>
  <c r="M882" i="32" s="1"/>
  <c r="N904" i="32"/>
  <c r="M904" i="32" s="1"/>
  <c r="N924" i="32"/>
  <c r="M924" i="32" s="1"/>
  <c r="N942" i="32"/>
  <c r="M942" i="32" s="1"/>
  <c r="N955" i="32"/>
  <c r="M955" i="32" s="1"/>
  <c r="N970" i="32"/>
  <c r="M970" i="32" s="1"/>
  <c r="N984" i="32"/>
  <c r="M984" i="32" s="1"/>
  <c r="N998" i="32"/>
  <c r="M998" i="32" s="1"/>
  <c r="N1012" i="32"/>
  <c r="M1012" i="32" s="1"/>
  <c r="N1027" i="32"/>
  <c r="M1027" i="32" s="1"/>
  <c r="N1040" i="32"/>
  <c r="M1040" i="32" s="1"/>
  <c r="N1055" i="32"/>
  <c r="M1055" i="32" s="1"/>
  <c r="N1070" i="32"/>
  <c r="M1070" i="32" s="1"/>
  <c r="N1083" i="32"/>
  <c r="M1083" i="32" s="1"/>
  <c r="N1098" i="32"/>
  <c r="M1098" i="32" s="1"/>
  <c r="N1112" i="32"/>
  <c r="M1112" i="32" s="1"/>
  <c r="N1126" i="32"/>
  <c r="M1126" i="32" s="1"/>
  <c r="N1140" i="32"/>
  <c r="M1140" i="32" s="1"/>
  <c r="N1155" i="32"/>
  <c r="M1155" i="32" s="1"/>
  <c r="N1168" i="32"/>
  <c r="M1168" i="32" s="1"/>
  <c r="N1183" i="32"/>
  <c r="M1183" i="32" s="1"/>
  <c r="N1198" i="32"/>
  <c r="M1198" i="32" s="1"/>
  <c r="N1211" i="32"/>
  <c r="M1211" i="32" s="1"/>
  <c r="N1226" i="32"/>
  <c r="M1226" i="32" s="1"/>
  <c r="N1240" i="32"/>
  <c r="M1240" i="32" s="1"/>
  <c r="N1254" i="32"/>
  <c r="M1254" i="32" s="1"/>
  <c r="N1268" i="32"/>
  <c r="M1268" i="32" s="1"/>
  <c r="N1283" i="32"/>
  <c r="M1283" i="32" s="1"/>
  <c r="N1296" i="32"/>
  <c r="M1296" i="32" s="1"/>
  <c r="N2" i="6"/>
  <c r="G2" i="8"/>
  <c r="O2" i="17" s="1"/>
  <c r="AO3" i="5"/>
  <c r="AO5" i="5"/>
  <c r="AO6" i="5"/>
  <c r="AO4" i="5"/>
  <c r="AO2" i="5"/>
  <c r="AO7" i="5"/>
  <c r="K10" i="15"/>
  <c r="M10" i="15"/>
  <c r="M5" i="15"/>
  <c r="M12" i="15"/>
  <c r="N12" i="15" s="1"/>
  <c r="K7" i="15"/>
  <c r="U1" i="4"/>
  <c r="AL1" i="4" s="1"/>
  <c r="E1" i="4"/>
  <c r="K6" i="15"/>
  <c r="N6" i="15" s="1"/>
  <c r="M7" i="15"/>
  <c r="K8" i="15"/>
  <c r="N8" i="15" s="1"/>
  <c r="B28" i="9"/>
  <c r="B38" i="9"/>
  <c r="B30" i="9"/>
  <c r="B34" i="9"/>
  <c r="B42" i="9"/>
  <c r="B10" i="9"/>
  <c r="A11" i="9"/>
  <c r="N3" i="17"/>
  <c r="O3" i="17"/>
  <c r="O4" i="17"/>
  <c r="N4" i="17"/>
  <c r="O5" i="17"/>
  <c r="N5" i="17"/>
  <c r="O6" i="17"/>
  <c r="N6" i="17"/>
  <c r="N7" i="17"/>
  <c r="O7" i="17"/>
  <c r="N8" i="17"/>
  <c r="O8" i="17"/>
  <c r="O9" i="17"/>
  <c r="N9" i="17"/>
  <c r="O10" i="17"/>
  <c r="N10" i="17"/>
  <c r="O11" i="17"/>
  <c r="N11" i="17"/>
  <c r="E1" i="5"/>
  <c r="P43" i="9"/>
  <c r="Q43" i="9" s="1"/>
  <c r="B29" i="9"/>
  <c r="B33" i="9"/>
  <c r="B37" i="9"/>
  <c r="B41" i="9"/>
  <c r="I9" i="9"/>
  <c r="G9" i="9"/>
  <c r="H9" i="9" s="1"/>
  <c r="B32" i="9"/>
  <c r="B36" i="9"/>
  <c r="B40" i="9"/>
  <c r="E1" i="10"/>
  <c r="B31" i="9"/>
  <c r="B35" i="9"/>
  <c r="B39" i="9"/>
  <c r="G13" i="10"/>
  <c r="D1" i="14"/>
  <c r="K11" i="15"/>
  <c r="M11" i="15"/>
  <c r="D48" i="14"/>
  <c r="E36" i="14"/>
  <c r="M9" i="15"/>
  <c r="K9" i="15"/>
  <c r="M4" i="15"/>
  <c r="K4" i="15"/>
  <c r="K5" i="15"/>
  <c r="N3" i="15"/>
  <c r="U97" i="4" l="1"/>
  <c r="U85" i="4"/>
  <c r="U109" i="4"/>
  <c r="AL56" i="4"/>
  <c r="U73" i="4"/>
  <c r="U25" i="4"/>
  <c r="U119" i="4"/>
  <c r="U60" i="4"/>
  <c r="AL52" i="4"/>
  <c r="AL49" i="4"/>
  <c r="AL84" i="4"/>
  <c r="U37" i="4"/>
  <c r="U87" i="4"/>
  <c r="AL68" i="4"/>
  <c r="U115" i="4"/>
  <c r="U92" i="4"/>
  <c r="U80" i="4"/>
  <c r="U76" i="4"/>
  <c r="AL104" i="4"/>
  <c r="U13" i="4"/>
  <c r="U61" i="4"/>
  <c r="M5" i="8"/>
  <c r="AL116" i="4"/>
  <c r="U20" i="4"/>
  <c r="U32" i="4"/>
  <c r="U103" i="4"/>
  <c r="U75" i="4"/>
  <c r="AL99" i="4"/>
  <c r="AL88" i="4"/>
  <c r="U44" i="4"/>
  <c r="U100" i="4"/>
  <c r="AL28" i="4"/>
  <c r="U55" i="4"/>
  <c r="U27" i="4"/>
  <c r="U83" i="4"/>
  <c r="U39" i="4"/>
  <c r="AL107" i="4"/>
  <c r="AL7" i="4"/>
  <c r="AL95" i="4"/>
  <c r="AL23" i="4"/>
  <c r="U16" i="4"/>
  <c r="U64" i="4"/>
  <c r="AL35" i="4"/>
  <c r="AL63" i="4"/>
  <c r="U3" i="4"/>
  <c r="U4" i="4"/>
  <c r="U51" i="4"/>
  <c r="U8" i="4"/>
  <c r="AL47" i="4"/>
  <c r="U59" i="4"/>
  <c r="U43" i="4"/>
  <c r="AL79" i="4"/>
  <c r="AL72" i="4"/>
  <c r="U96" i="4"/>
  <c r="U108" i="4"/>
  <c r="AL48" i="4"/>
  <c r="AL36" i="4"/>
  <c r="U120" i="4"/>
  <c r="U121" i="4"/>
  <c r="U12" i="4"/>
  <c r="U67" i="4"/>
  <c r="AL118" i="4"/>
  <c r="U15" i="4"/>
  <c r="U24" i="4"/>
  <c r="U91" i="4"/>
  <c r="AL31" i="4"/>
  <c r="E120" i="4"/>
  <c r="AM120" i="4" s="1"/>
  <c r="E116" i="4"/>
  <c r="AM116" i="4" s="1"/>
  <c r="E112" i="4"/>
  <c r="AM112" i="4" s="1"/>
  <c r="E121" i="4"/>
  <c r="AM121" i="4" s="1"/>
  <c r="E117" i="4"/>
  <c r="E113" i="4"/>
  <c r="E118" i="4"/>
  <c r="AM118" i="4" s="1"/>
  <c r="E114" i="4"/>
  <c r="AM114" i="4" s="1"/>
  <c r="E111" i="4"/>
  <c r="V111" i="4" s="1"/>
  <c r="E110" i="4"/>
  <c r="AM110" i="4" s="1"/>
  <c r="E109" i="4"/>
  <c r="V109" i="4" s="1"/>
  <c r="E108" i="4"/>
  <c r="AM108" i="4" s="1"/>
  <c r="E107" i="4"/>
  <c r="AM107" i="4" s="1"/>
  <c r="E106" i="4"/>
  <c r="V106" i="4" s="1"/>
  <c r="E105" i="4"/>
  <c r="E104" i="4"/>
  <c r="AM104" i="4" s="1"/>
  <c r="E103" i="4"/>
  <c r="V103" i="4" s="1"/>
  <c r="E102" i="4"/>
  <c r="AM102" i="4" s="1"/>
  <c r="E101" i="4"/>
  <c r="E100" i="4"/>
  <c r="AM100" i="4" s="1"/>
  <c r="E99" i="4"/>
  <c r="AM99" i="4" s="1"/>
  <c r="E98" i="4"/>
  <c r="AM98" i="4" s="1"/>
  <c r="E97" i="4"/>
  <c r="V97" i="4" s="1"/>
  <c r="E96" i="4"/>
  <c r="AM96" i="4" s="1"/>
  <c r="E95" i="4"/>
  <c r="V95" i="4" s="1"/>
  <c r="E94" i="4"/>
  <c r="AM94" i="4" s="1"/>
  <c r="E93" i="4"/>
  <c r="E92" i="4"/>
  <c r="V92" i="4" s="1"/>
  <c r="E91" i="4"/>
  <c r="AM91" i="4" s="1"/>
  <c r="E90" i="4"/>
  <c r="AM90" i="4" s="1"/>
  <c r="E89" i="4"/>
  <c r="E88" i="4"/>
  <c r="AM88" i="4" s="1"/>
  <c r="E87" i="4"/>
  <c r="V87" i="4" s="1"/>
  <c r="E86" i="4"/>
  <c r="V86" i="4" s="1"/>
  <c r="E85" i="4"/>
  <c r="AM85" i="4" s="1"/>
  <c r="E84" i="4"/>
  <c r="AM84" i="4" s="1"/>
  <c r="E83" i="4"/>
  <c r="AM83" i="4" s="1"/>
  <c r="E82" i="4"/>
  <c r="V82" i="4" s="1"/>
  <c r="E81" i="4"/>
  <c r="E80" i="4"/>
  <c r="AM80" i="4" s="1"/>
  <c r="E79" i="4"/>
  <c r="V79" i="4" s="1"/>
  <c r="E78" i="4"/>
  <c r="V78" i="4" s="1"/>
  <c r="E77" i="4"/>
  <c r="E76" i="4"/>
  <c r="V76" i="4" s="1"/>
  <c r="E75" i="4"/>
  <c r="AM75" i="4" s="1"/>
  <c r="E74" i="4"/>
  <c r="AM74" i="4" s="1"/>
  <c r="E73" i="4"/>
  <c r="AM73" i="4" s="1"/>
  <c r="E72" i="4"/>
  <c r="V72" i="4" s="1"/>
  <c r="E71" i="4"/>
  <c r="AM71" i="4" s="1"/>
  <c r="E70" i="4"/>
  <c r="AM70" i="4" s="1"/>
  <c r="E69" i="4"/>
  <c r="E68" i="4"/>
  <c r="AM68" i="4" s="1"/>
  <c r="E67" i="4"/>
  <c r="AM67" i="4" s="1"/>
  <c r="E66" i="4"/>
  <c r="AM66" i="4" s="1"/>
  <c r="E64" i="4"/>
  <c r="AM64" i="4" s="1"/>
  <c r="E63" i="4"/>
  <c r="AM63" i="4" s="1"/>
  <c r="E62" i="4"/>
  <c r="V62" i="4" s="1"/>
  <c r="E61" i="4"/>
  <c r="AM61" i="4" s="1"/>
  <c r="E60" i="4"/>
  <c r="AM60" i="4" s="1"/>
  <c r="E59" i="4"/>
  <c r="AM59" i="4" s="1"/>
  <c r="E58" i="4"/>
  <c r="AM58" i="4" s="1"/>
  <c r="E57" i="4"/>
  <c r="E56" i="4"/>
  <c r="AM56" i="4" s="1"/>
  <c r="E55" i="4"/>
  <c r="V55" i="4" s="1"/>
  <c r="E54" i="4"/>
  <c r="AM54" i="4" s="1"/>
  <c r="E52" i="4"/>
  <c r="AM52" i="4" s="1"/>
  <c r="E51" i="4"/>
  <c r="V51" i="4" s="1"/>
  <c r="E50" i="4"/>
  <c r="AM50" i="4" s="1"/>
  <c r="E49" i="4"/>
  <c r="AM49" i="4" s="1"/>
  <c r="E47" i="4"/>
  <c r="AM47" i="4" s="1"/>
  <c r="E46" i="4"/>
  <c r="AM46" i="4" s="1"/>
  <c r="E44" i="4"/>
  <c r="AM44" i="4" s="1"/>
  <c r="E42" i="4"/>
  <c r="V42" i="4" s="1"/>
  <c r="E40" i="4"/>
  <c r="AM40" i="4" s="1"/>
  <c r="E38" i="4"/>
  <c r="AM38" i="4" s="1"/>
  <c r="E37" i="4"/>
  <c r="AM37" i="4" s="1"/>
  <c r="E35" i="4"/>
  <c r="AM35" i="4" s="1"/>
  <c r="E33" i="4"/>
  <c r="E32" i="4"/>
  <c r="V32" i="4" s="1"/>
  <c r="E30" i="4"/>
  <c r="AM30" i="4" s="1"/>
  <c r="E29" i="4"/>
  <c r="E27" i="4"/>
  <c r="V27" i="4" s="1"/>
  <c r="E25" i="4"/>
  <c r="AM25" i="4" s="1"/>
  <c r="E24" i="4"/>
  <c r="AM24" i="4" s="1"/>
  <c r="E22" i="4"/>
  <c r="AM22" i="4" s="1"/>
  <c r="E20" i="4"/>
  <c r="AM20" i="4" s="1"/>
  <c r="E19" i="4"/>
  <c r="AM19" i="4" s="1"/>
  <c r="E16" i="4"/>
  <c r="AM16" i="4" s="1"/>
  <c r="E14" i="4"/>
  <c r="AM14" i="4" s="1"/>
  <c r="E12" i="4"/>
  <c r="AM12" i="4" s="1"/>
  <c r="E11" i="4"/>
  <c r="AM11" i="4" s="1"/>
  <c r="E9" i="4"/>
  <c r="E7" i="4"/>
  <c r="AM7" i="4" s="1"/>
  <c r="E5" i="4"/>
  <c r="E4" i="4"/>
  <c r="AM4" i="4" s="1"/>
  <c r="E2" i="4"/>
  <c r="AM2" i="4" s="1"/>
  <c r="E119" i="4"/>
  <c r="V119" i="4" s="1"/>
  <c r="E115" i="4"/>
  <c r="AM115" i="4" s="1"/>
  <c r="E65" i="4"/>
  <c r="E53" i="4"/>
  <c r="E48" i="4"/>
  <c r="AM48" i="4" s="1"/>
  <c r="E45" i="4"/>
  <c r="E43" i="4"/>
  <c r="V43" i="4" s="1"/>
  <c r="E41" i="4"/>
  <c r="E39" i="4"/>
  <c r="AM39" i="4" s="1"/>
  <c r="E36" i="4"/>
  <c r="V36" i="4" s="1"/>
  <c r="E34" i="4"/>
  <c r="V34" i="4" s="1"/>
  <c r="E31" i="4"/>
  <c r="AM31" i="4" s="1"/>
  <c r="E28" i="4"/>
  <c r="AM28" i="4" s="1"/>
  <c r="E26" i="4"/>
  <c r="AM26" i="4" s="1"/>
  <c r="E23" i="4"/>
  <c r="AM23" i="4" s="1"/>
  <c r="E21" i="4"/>
  <c r="E18" i="4"/>
  <c r="AM18" i="4" s="1"/>
  <c r="E17" i="4"/>
  <c r="E15" i="4"/>
  <c r="AM15" i="4" s="1"/>
  <c r="E13" i="4"/>
  <c r="AM13" i="4" s="1"/>
  <c r="E10" i="4"/>
  <c r="V10" i="4" s="1"/>
  <c r="E8" i="4"/>
  <c r="AM8" i="4" s="1"/>
  <c r="E6" i="4"/>
  <c r="AM6" i="4" s="1"/>
  <c r="E3" i="4"/>
  <c r="AM3" i="4" s="1"/>
  <c r="V39" i="4"/>
  <c r="V74" i="4"/>
  <c r="U112" i="4"/>
  <c r="U111" i="4"/>
  <c r="U19" i="4"/>
  <c r="AL11" i="4"/>
  <c r="H1" i="10"/>
  <c r="N30" i="9"/>
  <c r="N38" i="9"/>
  <c r="N34" i="9"/>
  <c r="N42" i="9"/>
  <c r="N28" i="9"/>
  <c r="N10" i="9"/>
  <c r="A5" i="13"/>
  <c r="B5" i="13" s="1"/>
  <c r="N39" i="9"/>
  <c r="N33" i="9"/>
  <c r="N40" i="9"/>
  <c r="N29" i="9"/>
  <c r="N35" i="9"/>
  <c r="N36" i="9"/>
  <c r="N41" i="9"/>
  <c r="N31" i="9"/>
  <c r="N32" i="9"/>
  <c r="N37" i="9"/>
  <c r="P34" i="9"/>
  <c r="Q34" i="9" s="1"/>
  <c r="R34" i="9" s="1"/>
  <c r="F34" i="9" s="1"/>
  <c r="P38" i="9"/>
  <c r="Q38" i="9" s="1"/>
  <c r="R38" i="9" s="1"/>
  <c r="I38" i="9" s="1"/>
  <c r="P30" i="9"/>
  <c r="Q30" i="9" s="1"/>
  <c r="R30" i="9" s="1"/>
  <c r="I30" i="9" s="1"/>
  <c r="P42" i="9"/>
  <c r="Q42" i="9" s="1"/>
  <c r="R42" i="9" s="1"/>
  <c r="F42" i="9" s="1"/>
  <c r="P28" i="9"/>
  <c r="Q28" i="9" s="1"/>
  <c r="R28" i="9" s="1"/>
  <c r="I28" i="9" s="1"/>
  <c r="P10" i="9"/>
  <c r="Q10" i="9" s="1"/>
  <c r="U1240" i="32"/>
  <c r="P1240" i="32"/>
  <c r="O1240" i="32"/>
  <c r="U1126" i="32"/>
  <c r="P1126" i="32"/>
  <c r="O1126" i="32"/>
  <c r="U1070" i="32"/>
  <c r="O1070" i="32"/>
  <c r="P1070" i="32"/>
  <c r="U955" i="32"/>
  <c r="O955" i="32"/>
  <c r="P955" i="32"/>
  <c r="U882" i="32"/>
  <c r="V882" i="32" s="1"/>
  <c r="W882" i="32" s="1"/>
  <c r="P882" i="32"/>
  <c r="O882" i="32"/>
  <c r="U656" i="32"/>
  <c r="V656" i="32" s="1"/>
  <c r="W656" i="32" s="1"/>
  <c r="P656" i="32"/>
  <c r="O656" i="32"/>
  <c r="U113" i="32"/>
  <c r="P113" i="32"/>
  <c r="O113" i="32"/>
  <c r="U1210" i="32"/>
  <c r="V1210" i="32" s="1"/>
  <c r="W1210" i="32" s="1"/>
  <c r="O1210" i="32"/>
  <c r="P1210" i="32"/>
  <c r="U1152" i="32"/>
  <c r="V1152" i="32" s="1"/>
  <c r="W1152" i="32" s="1"/>
  <c r="P1152" i="32"/>
  <c r="O1152" i="32"/>
  <c r="U982" i="32"/>
  <c r="O982" i="32"/>
  <c r="P982" i="32"/>
  <c r="U822" i="32"/>
  <c r="P822" i="32"/>
  <c r="O822" i="32"/>
  <c r="U597" i="32"/>
  <c r="V597" i="32" s="1"/>
  <c r="W597" i="32" s="1"/>
  <c r="P597" i="32"/>
  <c r="O597" i="32"/>
  <c r="U293" i="32"/>
  <c r="V293" i="32" s="1"/>
  <c r="W293" i="32" s="1"/>
  <c r="O293" i="32"/>
  <c r="P293" i="32"/>
  <c r="U1275" i="32"/>
  <c r="V1275" i="32" s="1"/>
  <c r="W1275" i="32" s="1"/>
  <c r="O1275" i="32"/>
  <c r="P1275" i="32"/>
  <c r="U1162" i="32"/>
  <c r="V1162" i="32" s="1"/>
  <c r="W1162" i="32" s="1"/>
  <c r="O1162" i="32"/>
  <c r="P1162" i="32"/>
  <c r="U1048" i="32"/>
  <c r="O1048" i="32"/>
  <c r="P1048" i="32"/>
  <c r="U991" i="32"/>
  <c r="P991" i="32"/>
  <c r="O991" i="32"/>
  <c r="U840" i="32"/>
  <c r="V840" i="32" s="1"/>
  <c r="W840" i="32" s="1"/>
  <c r="O840" i="32"/>
  <c r="P840" i="32"/>
  <c r="U726" i="32"/>
  <c r="O726" i="32"/>
  <c r="P726" i="32"/>
  <c r="U489" i="32"/>
  <c r="V489" i="32" s="1"/>
  <c r="W489" i="32" s="1"/>
  <c r="P489" i="32"/>
  <c r="O489" i="32"/>
  <c r="U613" i="32"/>
  <c r="V613" i="32" s="1"/>
  <c r="W613" i="32" s="1"/>
  <c r="O613" i="32"/>
  <c r="P613" i="32"/>
  <c r="U1188" i="32"/>
  <c r="P1188" i="32"/>
  <c r="O1188" i="32"/>
  <c r="U1018" i="32"/>
  <c r="P1018" i="32"/>
  <c r="O1018" i="32"/>
  <c r="U960" i="32"/>
  <c r="O960" i="32"/>
  <c r="P960" i="32"/>
  <c r="U666" i="32"/>
  <c r="V666" i="32" s="1"/>
  <c r="W666" i="32" s="1"/>
  <c r="O666" i="32"/>
  <c r="P666" i="32"/>
  <c r="U409" i="32"/>
  <c r="O409" i="32"/>
  <c r="P409" i="32"/>
  <c r="U1286" i="32"/>
  <c r="V1286" i="32" s="1"/>
  <c r="W1286" i="32" s="1"/>
  <c r="O1286" i="32"/>
  <c r="P1286" i="32"/>
  <c r="U1230" i="32"/>
  <c r="V1230" i="32" s="1"/>
  <c r="W1230" i="32" s="1"/>
  <c r="P1230" i="32"/>
  <c r="O1230" i="32"/>
  <c r="U1172" i="32"/>
  <c r="V1172" i="32" s="1"/>
  <c r="W1172" i="32" s="1"/>
  <c r="P1172" i="32"/>
  <c r="O1172" i="32"/>
  <c r="U1115" i="32"/>
  <c r="P1115" i="32"/>
  <c r="O1115" i="32"/>
  <c r="U1059" i="32"/>
  <c r="O1059" i="32"/>
  <c r="P1059" i="32"/>
  <c r="U974" i="32"/>
  <c r="O974" i="32"/>
  <c r="P974" i="32"/>
  <c r="U861" i="32"/>
  <c r="V861" i="32" s="1"/>
  <c r="W861" i="32" s="1"/>
  <c r="P861" i="32"/>
  <c r="O861" i="32"/>
  <c r="U748" i="32"/>
  <c r="V748" i="32" s="1"/>
  <c r="W748" i="32" s="1"/>
  <c r="O748" i="32"/>
  <c r="P748" i="32"/>
  <c r="U636" i="32"/>
  <c r="P636" i="32"/>
  <c r="O636" i="32"/>
  <c r="U516" i="32"/>
  <c r="O516" i="32"/>
  <c r="P516" i="32"/>
  <c r="U366" i="32"/>
  <c r="V366" i="32" s="1"/>
  <c r="W366" i="32" s="1"/>
  <c r="P366" i="32"/>
  <c r="O366" i="32"/>
  <c r="U29" i="32"/>
  <c r="O29" i="32"/>
  <c r="P29" i="32"/>
  <c r="U1248" i="32"/>
  <c r="P1248" i="32"/>
  <c r="O1248" i="32"/>
  <c r="U1192" i="32"/>
  <c r="P1192" i="32"/>
  <c r="O1192" i="32"/>
  <c r="U1135" i="32"/>
  <c r="P1135" i="32"/>
  <c r="O1135" i="32"/>
  <c r="U1107" i="32"/>
  <c r="P1107" i="32"/>
  <c r="O1107" i="32"/>
  <c r="U1050" i="32"/>
  <c r="O1050" i="32"/>
  <c r="P1050" i="32"/>
  <c r="U1022" i="32"/>
  <c r="V1022" i="32" s="1"/>
  <c r="W1022" i="32" s="1"/>
  <c r="P1022" i="32"/>
  <c r="O1022" i="32"/>
  <c r="U936" i="32"/>
  <c r="P936" i="32"/>
  <c r="O936" i="32"/>
  <c r="U844" i="32"/>
  <c r="O844" i="32"/>
  <c r="P844" i="32"/>
  <c r="O730" i="32"/>
  <c r="U730" i="32"/>
  <c r="P730" i="32"/>
  <c r="U621" i="32"/>
  <c r="O621" i="32"/>
  <c r="P621" i="32"/>
  <c r="U494" i="32"/>
  <c r="V494" i="32" s="1"/>
  <c r="W494" i="32" s="1"/>
  <c r="P494" i="32"/>
  <c r="O494" i="32"/>
  <c r="U344" i="32"/>
  <c r="O344" i="32"/>
  <c r="P344" i="32"/>
  <c r="U185" i="32"/>
  <c r="P185" i="32"/>
  <c r="O185" i="32"/>
  <c r="U832" i="32"/>
  <c r="V832" i="32" s="1"/>
  <c r="W832" i="32" s="1"/>
  <c r="P832" i="32"/>
  <c r="O832" i="32"/>
  <c r="U774" i="32"/>
  <c r="V774" i="32" s="1"/>
  <c r="W774" i="32" s="1"/>
  <c r="P774" i="32"/>
  <c r="O774" i="32"/>
  <c r="U746" i="32"/>
  <c r="P746" i="32"/>
  <c r="O746" i="32"/>
  <c r="U689" i="32"/>
  <c r="V689" i="32" s="1"/>
  <c r="W689" i="32" s="1"/>
  <c r="O689" i="32"/>
  <c r="P689" i="32"/>
  <c r="U661" i="32"/>
  <c r="O661" i="32"/>
  <c r="P661" i="32"/>
  <c r="U607" i="32"/>
  <c r="V607" i="32" s="1"/>
  <c r="W607" i="32" s="1"/>
  <c r="P607" i="32"/>
  <c r="O607" i="32"/>
  <c r="U542" i="32"/>
  <c r="P542" i="32"/>
  <c r="O542" i="32"/>
  <c r="U440" i="32"/>
  <c r="O440" i="32"/>
  <c r="P440" i="32"/>
  <c r="U402" i="32"/>
  <c r="V402" i="32" s="1"/>
  <c r="W402" i="32" s="1"/>
  <c r="O402" i="32"/>
  <c r="P402" i="32"/>
  <c r="U239" i="32"/>
  <c r="P239" i="32"/>
  <c r="O239" i="32"/>
  <c r="U21" i="32"/>
  <c r="P21" i="32"/>
  <c r="O21" i="32"/>
  <c r="U1239" i="32"/>
  <c r="V1239" i="32" s="1"/>
  <c r="W1239" i="32" s="1"/>
  <c r="O1239" i="32"/>
  <c r="P1239" i="32"/>
  <c r="U1196" i="32"/>
  <c r="P1196" i="32"/>
  <c r="O1196" i="32"/>
  <c r="U1175" i="32"/>
  <c r="O1175" i="32"/>
  <c r="P1175" i="32"/>
  <c r="U1132" i="32"/>
  <c r="P1132" i="32"/>
  <c r="O1132" i="32"/>
  <c r="U1090" i="32"/>
  <c r="O1090" i="32"/>
  <c r="P1090" i="32"/>
  <c r="U1026" i="32"/>
  <c r="V1026" i="32" s="1"/>
  <c r="W1026" i="32" s="1"/>
  <c r="O1026" i="32"/>
  <c r="P1026" i="32"/>
  <c r="U983" i="32"/>
  <c r="V983" i="32" s="1"/>
  <c r="W983" i="32" s="1"/>
  <c r="P983" i="32"/>
  <c r="O983" i="32"/>
  <c r="U940" i="32"/>
  <c r="O940" i="32"/>
  <c r="P940" i="32"/>
  <c r="U885" i="32"/>
  <c r="V885" i="32" s="1"/>
  <c r="W885" i="32" s="1"/>
  <c r="P885" i="32"/>
  <c r="O885" i="32"/>
  <c r="U828" i="32"/>
  <c r="V828" i="32" s="1"/>
  <c r="W828" i="32" s="1"/>
  <c r="O828" i="32"/>
  <c r="P828" i="32"/>
  <c r="U770" i="32"/>
  <c r="P770" i="32"/>
  <c r="O770" i="32"/>
  <c r="U714" i="32"/>
  <c r="P714" i="32"/>
  <c r="O714" i="32"/>
  <c r="U657" i="32"/>
  <c r="P657" i="32"/>
  <c r="O657" i="32"/>
  <c r="U603" i="32"/>
  <c r="O603" i="32"/>
  <c r="P603" i="32"/>
  <c r="U540" i="32"/>
  <c r="P540" i="32"/>
  <c r="O540" i="32"/>
  <c r="U473" i="32"/>
  <c r="O473" i="32"/>
  <c r="P473" i="32"/>
  <c r="U397" i="32"/>
  <c r="V397" i="32" s="1"/>
  <c r="W397" i="32" s="1"/>
  <c r="O397" i="32"/>
  <c r="P397" i="32"/>
  <c r="U305" i="32"/>
  <c r="V305" i="32" s="1"/>
  <c r="W305" i="32" s="1"/>
  <c r="P305" i="32"/>
  <c r="O305" i="32"/>
  <c r="U229" i="32"/>
  <c r="V229" i="32" s="1"/>
  <c r="W229" i="32" s="1"/>
  <c r="O229" i="32"/>
  <c r="P229" i="32"/>
  <c r="U7" i="32"/>
  <c r="P7" i="32"/>
  <c r="O7" i="32"/>
  <c r="U111" i="32"/>
  <c r="P111" i="32"/>
  <c r="O111" i="32"/>
  <c r="U1301" i="32"/>
  <c r="V1301" i="32" s="1"/>
  <c r="W1301" i="32" s="1"/>
  <c r="P1301" i="32"/>
  <c r="O1301" i="32"/>
  <c r="U1269" i="32"/>
  <c r="V1269" i="32" s="1"/>
  <c r="W1269" i="32" s="1"/>
  <c r="P1269" i="32"/>
  <c r="O1269" i="32"/>
  <c r="U1253" i="32"/>
  <c r="V1253" i="32" s="1"/>
  <c r="W1253" i="32" s="1"/>
  <c r="P1253" i="32"/>
  <c r="O1253" i="32"/>
  <c r="U1221" i="32"/>
  <c r="V1221" i="32" s="1"/>
  <c r="W1221" i="32" s="1"/>
  <c r="P1221" i="32"/>
  <c r="O1221" i="32"/>
  <c r="U1189" i="32"/>
  <c r="V1189" i="32" s="1"/>
  <c r="W1189" i="32" s="1"/>
  <c r="P1189" i="32"/>
  <c r="O1189" i="32"/>
  <c r="U1157" i="32"/>
  <c r="V1157" i="32" s="1"/>
  <c r="W1157" i="32" s="1"/>
  <c r="P1157" i="32"/>
  <c r="O1157" i="32"/>
  <c r="O1125" i="32"/>
  <c r="U1125" i="32"/>
  <c r="P1125" i="32"/>
  <c r="U1093" i="32"/>
  <c r="O1093" i="32"/>
  <c r="P1093" i="32"/>
  <c r="U1061" i="32"/>
  <c r="V1061" i="32" s="1"/>
  <c r="W1061" i="32" s="1"/>
  <c r="O1061" i="32"/>
  <c r="P1061" i="32"/>
  <c r="U1045" i="32"/>
  <c r="O1045" i="32"/>
  <c r="P1045" i="32"/>
  <c r="U997" i="32"/>
  <c r="P997" i="32"/>
  <c r="O997" i="32"/>
  <c r="U965" i="32"/>
  <c r="P965" i="32"/>
  <c r="O965" i="32"/>
  <c r="U910" i="32"/>
  <c r="V910" i="32" s="1"/>
  <c r="W910" i="32" s="1"/>
  <c r="P910" i="32"/>
  <c r="O910" i="32"/>
  <c r="U889" i="32"/>
  <c r="O889" i="32"/>
  <c r="P889" i="32"/>
  <c r="U825" i="32"/>
  <c r="O825" i="32"/>
  <c r="P825" i="32"/>
  <c r="U804" i="32"/>
  <c r="V804" i="32" s="1"/>
  <c r="W804" i="32" s="1"/>
  <c r="P804" i="32"/>
  <c r="O804" i="32"/>
  <c r="U740" i="32"/>
  <c r="O740" i="32"/>
  <c r="P740" i="32"/>
  <c r="U697" i="32"/>
  <c r="P697" i="32"/>
  <c r="O697" i="32"/>
  <c r="U676" i="32"/>
  <c r="O676" i="32"/>
  <c r="P676" i="32"/>
  <c r="U635" i="32"/>
  <c r="V635" i="32" s="1"/>
  <c r="W635" i="32" s="1"/>
  <c r="P635" i="32"/>
  <c r="O635" i="32"/>
  <c r="U594" i="32"/>
  <c r="V594" i="32" s="1"/>
  <c r="W594" i="32" s="1"/>
  <c r="O594" i="32"/>
  <c r="P594" i="32"/>
  <c r="U565" i="32"/>
  <c r="O565" i="32"/>
  <c r="P565" i="32"/>
  <c r="U522" i="32"/>
  <c r="P522" i="32"/>
  <c r="O522" i="32"/>
  <c r="U470" i="32"/>
  <c r="O470" i="32"/>
  <c r="P470" i="32"/>
  <c r="U441" i="32"/>
  <c r="O441" i="32"/>
  <c r="P441" i="32"/>
  <c r="U356" i="32"/>
  <c r="P356" i="32"/>
  <c r="O356" i="32"/>
  <c r="U261" i="32"/>
  <c r="V261" i="32" s="1"/>
  <c r="W261" i="32" s="1"/>
  <c r="P261" i="32"/>
  <c r="O261" i="32"/>
  <c r="U145" i="32"/>
  <c r="P145" i="32"/>
  <c r="O145" i="32"/>
  <c r="U931" i="32"/>
  <c r="V931" i="32" s="1"/>
  <c r="W931" i="32" s="1"/>
  <c r="P931" i="32"/>
  <c r="O931" i="32"/>
  <c r="U899" i="32"/>
  <c r="V899" i="32" s="1"/>
  <c r="W899" i="32" s="1"/>
  <c r="P899" i="32"/>
  <c r="O899" i="32"/>
  <c r="U867" i="32"/>
  <c r="P867" i="32"/>
  <c r="O867" i="32"/>
  <c r="U835" i="32"/>
  <c r="O835" i="32"/>
  <c r="P835" i="32"/>
  <c r="U787" i="32"/>
  <c r="P787" i="32"/>
  <c r="O787" i="32"/>
  <c r="U739" i="32"/>
  <c r="O739" i="32"/>
  <c r="P739" i="32"/>
  <c r="U723" i="32"/>
  <c r="V723" i="32" s="1"/>
  <c r="W723" i="32" s="1"/>
  <c r="O723" i="32"/>
  <c r="P723" i="32"/>
  <c r="U691" i="32"/>
  <c r="O691" i="32"/>
  <c r="P691" i="32"/>
  <c r="U659" i="32"/>
  <c r="O659" i="32"/>
  <c r="P659" i="32"/>
  <c r="U630" i="32"/>
  <c r="P630" i="32"/>
  <c r="O630" i="32"/>
  <c r="U598" i="32"/>
  <c r="P598" i="32"/>
  <c r="O598" i="32"/>
  <c r="U559" i="32"/>
  <c r="V559" i="32" s="1"/>
  <c r="W559" i="32" s="1"/>
  <c r="O559" i="32"/>
  <c r="P559" i="32"/>
  <c r="U527" i="32"/>
  <c r="V527" i="32" s="1"/>
  <c r="W527" i="32" s="1"/>
  <c r="O527" i="32"/>
  <c r="P527" i="32"/>
  <c r="U490" i="32"/>
  <c r="V490" i="32" s="1"/>
  <c r="W490" i="32" s="1"/>
  <c r="O490" i="32"/>
  <c r="P490" i="32"/>
  <c r="U448" i="32"/>
  <c r="O448" i="32"/>
  <c r="P448" i="32"/>
  <c r="U426" i="32"/>
  <c r="O426" i="32"/>
  <c r="P426" i="32"/>
  <c r="U362" i="32"/>
  <c r="P362" i="32"/>
  <c r="O362" i="32"/>
  <c r="U301" i="32"/>
  <c r="O301" i="32"/>
  <c r="P301" i="32"/>
  <c r="U215" i="32"/>
  <c r="V215" i="32" s="1"/>
  <c r="W215" i="32" s="1"/>
  <c r="P215" i="32"/>
  <c r="O215" i="32"/>
  <c r="U129" i="32"/>
  <c r="O129" i="32"/>
  <c r="P129" i="32"/>
  <c r="U45" i="32"/>
  <c r="P45" i="32"/>
  <c r="O45" i="32"/>
  <c r="U495" i="32"/>
  <c r="V495" i="32" s="1"/>
  <c r="W495" i="32" s="1"/>
  <c r="P495" i="32"/>
  <c r="O495" i="32"/>
  <c r="U479" i="32"/>
  <c r="V479" i="32" s="1"/>
  <c r="W479" i="32" s="1"/>
  <c r="O479" i="32"/>
  <c r="P479" i="32"/>
  <c r="U463" i="32"/>
  <c r="O463" i="32"/>
  <c r="P463" i="32"/>
  <c r="U431" i="32"/>
  <c r="V431" i="32" s="1"/>
  <c r="W431" i="32" s="1"/>
  <c r="O431" i="32"/>
  <c r="P431" i="32"/>
  <c r="U399" i="32"/>
  <c r="V399" i="32" s="1"/>
  <c r="W399" i="32" s="1"/>
  <c r="P399" i="32"/>
  <c r="O399" i="32"/>
  <c r="U367" i="32"/>
  <c r="P367" i="32"/>
  <c r="O367" i="32"/>
  <c r="U331" i="32"/>
  <c r="V331" i="32" s="1"/>
  <c r="W331" i="32" s="1"/>
  <c r="P331" i="32"/>
  <c r="O331" i="32"/>
  <c r="U267" i="32"/>
  <c r="V267" i="32" s="1"/>
  <c r="W267" i="32" s="1"/>
  <c r="P267" i="32"/>
  <c r="O267" i="32"/>
  <c r="U203" i="32"/>
  <c r="P203" i="32"/>
  <c r="O203" i="32"/>
  <c r="U139" i="32"/>
  <c r="P139" i="32"/>
  <c r="O139" i="32"/>
  <c r="U107" i="32"/>
  <c r="P107" i="32"/>
  <c r="O107" i="32"/>
  <c r="U43" i="32"/>
  <c r="V43" i="32" s="1"/>
  <c r="W43" i="32" s="1"/>
  <c r="P43" i="32"/>
  <c r="O43" i="32"/>
  <c r="U330" i="32"/>
  <c r="P330" i="32"/>
  <c r="O330" i="32"/>
  <c r="U314" i="32"/>
  <c r="V314" i="32" s="1"/>
  <c r="W314" i="32" s="1"/>
  <c r="O314" i="32"/>
  <c r="P314" i="32"/>
  <c r="U282" i="32"/>
  <c r="V282" i="32" s="1"/>
  <c r="W282" i="32" s="1"/>
  <c r="P282" i="32"/>
  <c r="O282" i="32"/>
  <c r="U250" i="32"/>
  <c r="P250" i="32"/>
  <c r="O250" i="32"/>
  <c r="U234" i="32"/>
  <c r="P234" i="32"/>
  <c r="O234" i="32"/>
  <c r="U202" i="32"/>
  <c r="P202" i="32"/>
  <c r="O202" i="32"/>
  <c r="U170" i="32"/>
  <c r="O170" i="32"/>
  <c r="P170" i="32"/>
  <c r="U138" i="32"/>
  <c r="V138" i="32" s="1"/>
  <c r="W138" i="32" s="1"/>
  <c r="P138" i="32"/>
  <c r="O138" i="32"/>
  <c r="U106" i="32"/>
  <c r="P106" i="32"/>
  <c r="O106" i="32"/>
  <c r="U58" i="32"/>
  <c r="V58" i="32" s="1"/>
  <c r="W58" i="32" s="1"/>
  <c r="P58" i="32"/>
  <c r="O58" i="32"/>
  <c r="U10" i="32"/>
  <c r="V10" i="32" s="1"/>
  <c r="W10" i="32" s="1"/>
  <c r="O10" i="32"/>
  <c r="P10" i="32"/>
  <c r="U316" i="32"/>
  <c r="P316" i="32"/>
  <c r="O316" i="32"/>
  <c r="U284" i="32"/>
  <c r="P284" i="32"/>
  <c r="O284" i="32"/>
  <c r="U252" i="32"/>
  <c r="V252" i="32" s="1"/>
  <c r="W252" i="32" s="1"/>
  <c r="O252" i="32"/>
  <c r="P252" i="32"/>
  <c r="U220" i="32"/>
  <c r="V220" i="32" s="1"/>
  <c r="W220" i="32" s="1"/>
  <c r="O220" i="32"/>
  <c r="P220" i="32"/>
  <c r="U188" i="32"/>
  <c r="P188" i="32"/>
  <c r="O188" i="32"/>
  <c r="U172" i="32"/>
  <c r="V172" i="32" s="1"/>
  <c r="W172" i="32" s="1"/>
  <c r="O172" i="32"/>
  <c r="P172" i="32"/>
  <c r="U140" i="32"/>
  <c r="V140" i="32" s="1"/>
  <c r="W140" i="32" s="1"/>
  <c r="O140" i="32"/>
  <c r="P140" i="32"/>
  <c r="U108" i="32"/>
  <c r="O108" i="32"/>
  <c r="P108" i="32"/>
  <c r="U76" i="32"/>
  <c r="O76" i="32"/>
  <c r="P76" i="32"/>
  <c r="U60" i="32"/>
  <c r="P60" i="32"/>
  <c r="O60" i="32"/>
  <c r="U12" i="32"/>
  <c r="O12" i="32"/>
  <c r="P12" i="32"/>
  <c r="U1226" i="32"/>
  <c r="V1226" i="32" s="1"/>
  <c r="W1226" i="32" s="1"/>
  <c r="O1226" i="32"/>
  <c r="P1226" i="32"/>
  <c r="U1112" i="32"/>
  <c r="V1112" i="32" s="1"/>
  <c r="W1112" i="32" s="1"/>
  <c r="P1112" i="32"/>
  <c r="O1112" i="32"/>
  <c r="U1055" i="32"/>
  <c r="O1055" i="32"/>
  <c r="P1055" i="32"/>
  <c r="U854" i="32"/>
  <c r="P854" i="32"/>
  <c r="O854" i="32"/>
  <c r="U741" i="32"/>
  <c r="O741" i="32"/>
  <c r="P741" i="32"/>
  <c r="U509" i="32"/>
  <c r="P509" i="32"/>
  <c r="O509" i="32"/>
  <c r="U614" i="32"/>
  <c r="V614" i="32" s="1"/>
  <c r="W614" i="32" s="1"/>
  <c r="P614" i="32"/>
  <c r="O614" i="32"/>
  <c r="U1195" i="32"/>
  <c r="P1195" i="32"/>
  <c r="O1195" i="32"/>
  <c r="U1082" i="32"/>
  <c r="P1082" i="32"/>
  <c r="O1082" i="32"/>
  <c r="U1024" i="32"/>
  <c r="V1024" i="32" s="1"/>
  <c r="W1024" i="32" s="1"/>
  <c r="O1024" i="32"/>
  <c r="P1024" i="32"/>
  <c r="U794" i="32"/>
  <c r="P794" i="32"/>
  <c r="O794" i="32"/>
  <c r="U562" i="32"/>
  <c r="O562" i="32"/>
  <c r="P562" i="32"/>
  <c r="U213" i="32"/>
  <c r="V213" i="32" s="1"/>
  <c r="W213" i="32" s="1"/>
  <c r="O213" i="32"/>
  <c r="P213" i="32"/>
  <c r="U1204" i="32"/>
  <c r="V1204" i="32" s="1"/>
  <c r="W1204" i="32" s="1"/>
  <c r="O1204" i="32"/>
  <c r="P1204" i="32"/>
  <c r="U1091" i="32"/>
  <c r="V1091" i="32" s="1"/>
  <c r="W1091" i="32" s="1"/>
  <c r="P1091" i="32"/>
  <c r="O1091" i="32"/>
  <c r="U976" i="32"/>
  <c r="V976" i="32" s="1"/>
  <c r="W976" i="32" s="1"/>
  <c r="O976" i="32"/>
  <c r="P976" i="32"/>
  <c r="U588" i="32"/>
  <c r="V588" i="32" s="1"/>
  <c r="W588" i="32" s="1"/>
  <c r="P588" i="32"/>
  <c r="O588" i="32"/>
  <c r="U263" i="32"/>
  <c r="O263" i="32"/>
  <c r="P263" i="32"/>
  <c r="U1174" i="32"/>
  <c r="P1174" i="32"/>
  <c r="O1174" i="32"/>
  <c r="U1060" i="32"/>
  <c r="P1060" i="32"/>
  <c r="O1060" i="32"/>
  <c r="U947" i="32"/>
  <c r="V947" i="32" s="1"/>
  <c r="W947" i="32" s="1"/>
  <c r="O947" i="32"/>
  <c r="P947" i="32"/>
  <c r="U865" i="32"/>
  <c r="V865" i="32" s="1"/>
  <c r="W865" i="32" s="1"/>
  <c r="P865" i="32"/>
  <c r="O865" i="32"/>
  <c r="U579" i="32"/>
  <c r="O579" i="32"/>
  <c r="P579" i="32"/>
  <c r="U41" i="32"/>
  <c r="V41" i="32" s="1"/>
  <c r="W41" i="32" s="1"/>
  <c r="P41" i="32"/>
  <c r="O41" i="32"/>
  <c r="U1279" i="32"/>
  <c r="V1279" i="32" s="1"/>
  <c r="W1279" i="32" s="1"/>
  <c r="P1279" i="32"/>
  <c r="O1279" i="32"/>
  <c r="U1222" i="32"/>
  <c r="P1222" i="32"/>
  <c r="O1222" i="32"/>
  <c r="U1166" i="32"/>
  <c r="P1166" i="32"/>
  <c r="O1166" i="32"/>
  <c r="U1108" i="32"/>
  <c r="V1108" i="32" s="1"/>
  <c r="W1108" i="32" s="1"/>
  <c r="P1108" i="32"/>
  <c r="O1108" i="32"/>
  <c r="U1080" i="32"/>
  <c r="P1080" i="32"/>
  <c r="O1080" i="32"/>
  <c r="U1023" i="32"/>
  <c r="P1023" i="32"/>
  <c r="O1023" i="32"/>
  <c r="U966" i="32"/>
  <c r="V966" i="32" s="1"/>
  <c r="W966" i="32" s="1"/>
  <c r="P966" i="32"/>
  <c r="O966" i="32"/>
  <c r="U901" i="32"/>
  <c r="V901" i="32" s="1"/>
  <c r="W901" i="32" s="1"/>
  <c r="P901" i="32"/>
  <c r="O901" i="32"/>
  <c r="U790" i="32"/>
  <c r="P790" i="32"/>
  <c r="O790" i="32"/>
  <c r="U625" i="32"/>
  <c r="V625" i="32" s="1"/>
  <c r="W625" i="32" s="1"/>
  <c r="P625" i="32"/>
  <c r="O625" i="32"/>
  <c r="U558" i="32"/>
  <c r="P558" i="32"/>
  <c r="O558" i="32"/>
  <c r="U424" i="32"/>
  <c r="P424" i="32"/>
  <c r="O424" i="32"/>
  <c r="U1299" i="32"/>
  <c r="V1299" i="32" s="1"/>
  <c r="W1299" i="32" s="1"/>
  <c r="O1299" i="32"/>
  <c r="P1299" i="32"/>
  <c r="U1242" i="32"/>
  <c r="P1242" i="32"/>
  <c r="O1242" i="32"/>
  <c r="U1184" i="32"/>
  <c r="V1184" i="32" s="1"/>
  <c r="W1184" i="32" s="1"/>
  <c r="O1184" i="32"/>
  <c r="P1184" i="32"/>
  <c r="U1156" i="32"/>
  <c r="O1156" i="32"/>
  <c r="P1156" i="32"/>
  <c r="U1099" i="32"/>
  <c r="P1099" i="32"/>
  <c r="O1099" i="32"/>
  <c r="U1071" i="32"/>
  <c r="P1071" i="32"/>
  <c r="O1071" i="32"/>
  <c r="U1043" i="32"/>
  <c r="V1043" i="32" s="1"/>
  <c r="W1043" i="32" s="1"/>
  <c r="P1043" i="32"/>
  <c r="O1043" i="32"/>
  <c r="U986" i="32"/>
  <c r="V986" i="32" s="1"/>
  <c r="W986" i="32" s="1"/>
  <c r="O986" i="32"/>
  <c r="P986" i="32"/>
  <c r="U925" i="32"/>
  <c r="P925" i="32"/>
  <c r="O925" i="32"/>
  <c r="U829" i="32"/>
  <c r="O829" i="32"/>
  <c r="P829" i="32"/>
  <c r="U716" i="32"/>
  <c r="P716" i="32"/>
  <c r="O716" i="32"/>
  <c r="U605" i="32"/>
  <c r="O605" i="32"/>
  <c r="P605" i="32"/>
  <c r="U541" i="32"/>
  <c r="V541" i="32" s="1"/>
  <c r="W541" i="32" s="1"/>
  <c r="P541" i="32"/>
  <c r="O541" i="32"/>
  <c r="U401" i="32"/>
  <c r="V401" i="32" s="1"/>
  <c r="W401" i="32" s="1"/>
  <c r="O401" i="32"/>
  <c r="P401" i="32"/>
  <c r="U881" i="32"/>
  <c r="O881" i="32"/>
  <c r="P881" i="32"/>
  <c r="U824" i="32"/>
  <c r="P824" i="32"/>
  <c r="O824" i="32"/>
  <c r="U738" i="32"/>
  <c r="V738" i="32" s="1"/>
  <c r="W738" i="32" s="1"/>
  <c r="P738" i="32"/>
  <c r="O738" i="32"/>
  <c r="U682" i="32"/>
  <c r="V682" i="32" s="1"/>
  <c r="W682" i="32" s="1"/>
  <c r="O682" i="32"/>
  <c r="P682" i="32"/>
  <c r="U653" i="32"/>
  <c r="V653" i="32" s="1"/>
  <c r="W653" i="32" s="1"/>
  <c r="O653" i="32"/>
  <c r="P653" i="32"/>
  <c r="U600" i="32"/>
  <c r="P600" i="32"/>
  <c r="O600" i="32"/>
  <c r="U508" i="32"/>
  <c r="P508" i="32"/>
  <c r="O508" i="32"/>
  <c r="U430" i="32"/>
  <c r="P430" i="32"/>
  <c r="O430" i="32"/>
  <c r="O393" i="32"/>
  <c r="P393" i="32"/>
  <c r="U393" i="32"/>
  <c r="U295" i="32"/>
  <c r="P295" i="32"/>
  <c r="O295" i="32"/>
  <c r="U105" i="32"/>
  <c r="O105" i="32"/>
  <c r="P105" i="32"/>
  <c r="U1276" i="32"/>
  <c r="P1276" i="32"/>
  <c r="O1276" i="32"/>
  <c r="O1191" i="32"/>
  <c r="U1191" i="32"/>
  <c r="P1191" i="32"/>
  <c r="U1170" i="32"/>
  <c r="P1170" i="32"/>
  <c r="O1170" i="32"/>
  <c r="U1127" i="32"/>
  <c r="P1127" i="32"/>
  <c r="O1127" i="32"/>
  <c r="U1084" i="32"/>
  <c r="V1084" i="32" s="1"/>
  <c r="W1084" i="32" s="1"/>
  <c r="P1084" i="32"/>
  <c r="O1084" i="32"/>
  <c r="U1042" i="32"/>
  <c r="V1042" i="32" s="1"/>
  <c r="W1042" i="32" s="1"/>
  <c r="O1042" i="32"/>
  <c r="P1042" i="32"/>
  <c r="U999" i="32"/>
  <c r="O999" i="32"/>
  <c r="P999" i="32"/>
  <c r="U956" i="32"/>
  <c r="O956" i="32"/>
  <c r="P956" i="32"/>
  <c r="U877" i="32"/>
  <c r="P877" i="32"/>
  <c r="O877" i="32"/>
  <c r="U821" i="32"/>
  <c r="O821" i="32"/>
  <c r="P821" i="32"/>
  <c r="U736" i="32"/>
  <c r="V736" i="32" s="1"/>
  <c r="W736" i="32" s="1"/>
  <c r="P736" i="32"/>
  <c r="O736" i="32"/>
  <c r="U678" i="32"/>
  <c r="O678" i="32"/>
  <c r="P678" i="32"/>
  <c r="U651" i="32"/>
  <c r="P651" i="32"/>
  <c r="O651" i="32"/>
  <c r="U596" i="32"/>
  <c r="O596" i="32"/>
  <c r="P596" i="32"/>
  <c r="U532" i="32"/>
  <c r="O532" i="32"/>
  <c r="P532" i="32"/>
  <c r="U502" i="32"/>
  <c r="P502" i="32"/>
  <c r="O502" i="32"/>
  <c r="U425" i="32"/>
  <c r="V425" i="32" s="1"/>
  <c r="W425" i="32" s="1"/>
  <c r="P425" i="32"/>
  <c r="O425" i="32"/>
  <c r="U285" i="32"/>
  <c r="P285" i="32"/>
  <c r="O285" i="32"/>
  <c r="U93" i="32"/>
  <c r="V93" i="32" s="1"/>
  <c r="W93" i="32" s="1"/>
  <c r="O93" i="32"/>
  <c r="P93" i="32"/>
  <c r="U95" i="32"/>
  <c r="V95" i="32" s="1"/>
  <c r="W95" i="32" s="1"/>
  <c r="P95" i="32"/>
  <c r="O95" i="32"/>
  <c r="U1297" i="32"/>
  <c r="V1297" i="32" s="1"/>
  <c r="W1297" i="32" s="1"/>
  <c r="P1297" i="32"/>
  <c r="O1297" i="32"/>
  <c r="U1265" i="32"/>
  <c r="P1265" i="32"/>
  <c r="O1265" i="32"/>
  <c r="U1233" i="32"/>
  <c r="O1233" i="32"/>
  <c r="P1233" i="32"/>
  <c r="U1201" i="32"/>
  <c r="O1201" i="32"/>
  <c r="P1201" i="32"/>
  <c r="U1185" i="32"/>
  <c r="P1185" i="32"/>
  <c r="O1185" i="32"/>
  <c r="U1153" i="32"/>
  <c r="P1153" i="32"/>
  <c r="O1153" i="32"/>
  <c r="U1137" i="32"/>
  <c r="V1137" i="32" s="1"/>
  <c r="W1137" i="32" s="1"/>
  <c r="P1137" i="32"/>
  <c r="O1137" i="32"/>
  <c r="U1089" i="32"/>
  <c r="V1089" i="32" s="1"/>
  <c r="W1089" i="32" s="1"/>
  <c r="P1089" i="32"/>
  <c r="O1089" i="32"/>
  <c r="U1057" i="32"/>
  <c r="P1057" i="32"/>
  <c r="O1057" i="32"/>
  <c r="U1025" i="32"/>
  <c r="O1025" i="32"/>
  <c r="P1025" i="32"/>
  <c r="U993" i="32"/>
  <c r="O993" i="32"/>
  <c r="P993" i="32"/>
  <c r="U961" i="32"/>
  <c r="P961" i="32"/>
  <c r="O961" i="32"/>
  <c r="U945" i="32"/>
  <c r="V945" i="32" s="1"/>
  <c r="W945" i="32" s="1"/>
  <c r="P945" i="32"/>
  <c r="O945" i="32"/>
  <c r="U905" i="32"/>
  <c r="P905" i="32"/>
  <c r="O905" i="32"/>
  <c r="O862" i="32"/>
  <c r="U862" i="32"/>
  <c r="P862" i="32"/>
  <c r="U820" i="32"/>
  <c r="V820" i="32" s="1"/>
  <c r="W820" i="32" s="1"/>
  <c r="O820" i="32"/>
  <c r="P820" i="32"/>
  <c r="U777" i="32"/>
  <c r="V777" i="32" s="1"/>
  <c r="W777" i="32" s="1"/>
  <c r="O777" i="32"/>
  <c r="P777" i="32"/>
  <c r="U734" i="32"/>
  <c r="V734" i="32" s="1"/>
  <c r="W734" i="32" s="1"/>
  <c r="O734" i="32"/>
  <c r="P734" i="32"/>
  <c r="U670" i="32"/>
  <c r="V670" i="32" s="1"/>
  <c r="W670" i="32" s="1"/>
  <c r="O670" i="32"/>
  <c r="P670" i="32"/>
  <c r="U631" i="32"/>
  <c r="O631" i="32"/>
  <c r="P631" i="32"/>
  <c r="U609" i="32"/>
  <c r="P609" i="32"/>
  <c r="O609" i="32"/>
  <c r="U560" i="32"/>
  <c r="V560" i="32" s="1"/>
  <c r="W560" i="32" s="1"/>
  <c r="P560" i="32"/>
  <c r="O560" i="32"/>
  <c r="U492" i="32"/>
  <c r="V492" i="32" s="1"/>
  <c r="W492" i="32" s="1"/>
  <c r="P492" i="32"/>
  <c r="O492" i="32"/>
  <c r="U406" i="32"/>
  <c r="V406" i="32" s="1"/>
  <c r="W406" i="32" s="1"/>
  <c r="P406" i="32"/>
  <c r="O406" i="32"/>
  <c r="U377" i="32"/>
  <c r="O377" i="32"/>
  <c r="P377" i="32"/>
  <c r="U303" i="32"/>
  <c r="P303" i="32"/>
  <c r="O303" i="32"/>
  <c r="U133" i="32"/>
  <c r="V133" i="32" s="1"/>
  <c r="W133" i="32" s="1"/>
  <c r="O133" i="32"/>
  <c r="P133" i="32"/>
  <c r="U73" i="32"/>
  <c r="O73" i="32"/>
  <c r="P73" i="32"/>
  <c r="U927" i="32"/>
  <c r="P927" i="32"/>
  <c r="O927" i="32"/>
  <c r="U911" i="32"/>
  <c r="V911" i="32" s="1"/>
  <c r="W911" i="32" s="1"/>
  <c r="P911" i="32"/>
  <c r="O911" i="32"/>
  <c r="U879" i="32"/>
  <c r="O879" i="32"/>
  <c r="P879" i="32"/>
  <c r="U863" i="32"/>
  <c r="P863" i="32"/>
  <c r="O863" i="32"/>
  <c r="U831" i="32"/>
  <c r="P831" i="32"/>
  <c r="O831" i="32"/>
  <c r="U799" i="32"/>
  <c r="V799" i="32" s="1"/>
  <c r="W799" i="32" s="1"/>
  <c r="O799" i="32"/>
  <c r="P799" i="32"/>
  <c r="U767" i="32"/>
  <c r="V767" i="32" s="1"/>
  <c r="W767" i="32" s="1"/>
  <c r="P767" i="32"/>
  <c r="O767" i="32"/>
  <c r="U735" i="32"/>
  <c r="P735" i="32"/>
  <c r="O735" i="32"/>
  <c r="U719" i="32"/>
  <c r="V719" i="32" s="1"/>
  <c r="W719" i="32" s="1"/>
  <c r="P719" i="32"/>
  <c r="O719" i="32"/>
  <c r="U671" i="32"/>
  <c r="P671" i="32"/>
  <c r="O671" i="32"/>
  <c r="U640" i="32"/>
  <c r="O640" i="32"/>
  <c r="P640" i="32"/>
  <c r="U610" i="32"/>
  <c r="V610" i="32" s="1"/>
  <c r="W610" i="32" s="1"/>
  <c r="O610" i="32"/>
  <c r="P610" i="32"/>
  <c r="U571" i="32"/>
  <c r="V571" i="32" s="1"/>
  <c r="W571" i="32" s="1"/>
  <c r="O571" i="32"/>
  <c r="P571" i="32"/>
  <c r="U539" i="32"/>
  <c r="P539" i="32"/>
  <c r="O539" i="32"/>
  <c r="U506" i="32"/>
  <c r="P506" i="32"/>
  <c r="O506" i="32"/>
  <c r="U442" i="32"/>
  <c r="V442" i="32" s="1"/>
  <c r="W442" i="32" s="1"/>
  <c r="P442" i="32"/>
  <c r="O442" i="32"/>
  <c r="U421" i="32"/>
  <c r="P421" i="32"/>
  <c r="O421" i="32"/>
  <c r="U378" i="32"/>
  <c r="P378" i="32"/>
  <c r="O378" i="32"/>
  <c r="U333" i="32"/>
  <c r="V333" i="32" s="1"/>
  <c r="W333" i="32" s="1"/>
  <c r="P333" i="32"/>
  <c r="O333" i="32"/>
  <c r="U247" i="32"/>
  <c r="O247" i="32"/>
  <c r="P247" i="32"/>
  <c r="U161" i="32"/>
  <c r="O161" i="32"/>
  <c r="P161" i="32"/>
  <c r="U119" i="32"/>
  <c r="V119" i="32" s="1"/>
  <c r="W119" i="32" s="1"/>
  <c r="O119" i="32"/>
  <c r="P119" i="32"/>
  <c r="U33" i="32"/>
  <c r="O33" i="32"/>
  <c r="P33" i="32"/>
  <c r="U507" i="32"/>
  <c r="V507" i="32" s="1"/>
  <c r="W507" i="32" s="1"/>
  <c r="O507" i="32"/>
  <c r="P507" i="32"/>
  <c r="U475" i="32"/>
  <c r="V475" i="32" s="1"/>
  <c r="W475" i="32" s="1"/>
  <c r="O475" i="32"/>
  <c r="P475" i="32"/>
  <c r="U443" i="32"/>
  <c r="O443" i="32"/>
  <c r="P443" i="32"/>
  <c r="U411" i="32"/>
  <c r="O411" i="32"/>
  <c r="P411" i="32"/>
  <c r="U379" i="32"/>
  <c r="V379" i="32" s="1"/>
  <c r="W379" i="32" s="1"/>
  <c r="P379" i="32"/>
  <c r="O379" i="32"/>
  <c r="U347" i="32"/>
  <c r="V347" i="32" s="1"/>
  <c r="W347" i="32" s="1"/>
  <c r="O347" i="32"/>
  <c r="P347" i="32"/>
  <c r="U291" i="32"/>
  <c r="P291" i="32"/>
  <c r="O291" i="32"/>
  <c r="U259" i="32"/>
  <c r="V259" i="32" s="1"/>
  <c r="W259" i="32" s="1"/>
  <c r="O259" i="32"/>
  <c r="P259" i="32"/>
  <c r="U163" i="32"/>
  <c r="V163" i="32" s="1"/>
  <c r="W163" i="32" s="1"/>
  <c r="P163" i="32"/>
  <c r="O163" i="32"/>
  <c r="U99" i="32"/>
  <c r="V99" i="32" s="1"/>
  <c r="W99" i="32" s="1"/>
  <c r="O99" i="32"/>
  <c r="P99" i="32"/>
  <c r="U3" i="32"/>
  <c r="V3" i="32" s="1"/>
  <c r="W3" i="32" s="1"/>
  <c r="O3" i="32"/>
  <c r="P3" i="32"/>
  <c r="U326" i="32"/>
  <c r="O326" i="32"/>
  <c r="P326" i="32"/>
  <c r="U294" i="32"/>
  <c r="V294" i="32" s="1"/>
  <c r="W294" i="32" s="1"/>
  <c r="P294" i="32"/>
  <c r="O294" i="32"/>
  <c r="U262" i="32"/>
  <c r="V262" i="32" s="1"/>
  <c r="W262" i="32" s="1"/>
  <c r="O262" i="32"/>
  <c r="P262" i="32"/>
  <c r="U230" i="32"/>
  <c r="V230" i="32" s="1"/>
  <c r="W230" i="32" s="1"/>
  <c r="P230" i="32"/>
  <c r="O230" i="32"/>
  <c r="U182" i="32"/>
  <c r="V182" i="32" s="1"/>
  <c r="W182" i="32" s="1"/>
  <c r="P182" i="32"/>
  <c r="O182" i="32"/>
  <c r="U150" i="32"/>
  <c r="P150" i="32"/>
  <c r="O150" i="32"/>
  <c r="U118" i="32"/>
  <c r="V118" i="32" s="1"/>
  <c r="W118" i="32" s="1"/>
  <c r="O118" i="32"/>
  <c r="P118" i="32"/>
  <c r="O86" i="32"/>
  <c r="U86" i="32"/>
  <c r="P86" i="32"/>
  <c r="U54" i="32"/>
  <c r="P54" i="32"/>
  <c r="O54" i="32"/>
  <c r="U22" i="32"/>
  <c r="P22" i="32"/>
  <c r="O22" i="32"/>
  <c r="U328" i="32"/>
  <c r="V328" i="32" s="1"/>
  <c r="W328" i="32" s="1"/>
  <c r="P328" i="32"/>
  <c r="O328" i="32"/>
  <c r="U296" i="32"/>
  <c r="P296" i="32"/>
  <c r="O296" i="32"/>
  <c r="U264" i="32"/>
  <c r="O264" i="32"/>
  <c r="P264" i="32"/>
  <c r="U232" i="32"/>
  <c r="O232" i="32"/>
  <c r="P232" i="32"/>
  <c r="U200" i="32"/>
  <c r="O200" i="32"/>
  <c r="P200" i="32"/>
  <c r="U184" i="32"/>
  <c r="O184" i="32"/>
  <c r="P184" i="32"/>
  <c r="U152" i="32"/>
  <c r="O152" i="32"/>
  <c r="P152" i="32"/>
  <c r="U120" i="32"/>
  <c r="V120" i="32" s="1"/>
  <c r="W120" i="32" s="1"/>
  <c r="O120" i="32"/>
  <c r="P120" i="32"/>
  <c r="U104" i="32"/>
  <c r="P104" i="32"/>
  <c r="O104" i="32"/>
  <c r="U88" i="32"/>
  <c r="V88" i="32" s="1"/>
  <c r="W88" i="32" s="1"/>
  <c r="O88" i="32"/>
  <c r="P88" i="32"/>
  <c r="U72" i="32"/>
  <c r="O72" i="32"/>
  <c r="P72" i="32"/>
  <c r="U56" i="32"/>
  <c r="O56" i="32"/>
  <c r="P56" i="32"/>
  <c r="U40" i="32"/>
  <c r="O40" i="32"/>
  <c r="P40" i="32"/>
  <c r="U8" i="32"/>
  <c r="P8" i="32"/>
  <c r="O8" i="32"/>
  <c r="U1268" i="32"/>
  <c r="O1268" i="32"/>
  <c r="P1268" i="32"/>
  <c r="U1211" i="32"/>
  <c r="O1211" i="32"/>
  <c r="P1211" i="32"/>
  <c r="U1155" i="32"/>
  <c r="P1155" i="32"/>
  <c r="O1155" i="32"/>
  <c r="U1098" i="32"/>
  <c r="V1098" i="32" s="1"/>
  <c r="W1098" i="32" s="1"/>
  <c r="P1098" i="32"/>
  <c r="O1098" i="32"/>
  <c r="U1040" i="32"/>
  <c r="V1040" i="32" s="1"/>
  <c r="W1040" i="32" s="1"/>
  <c r="P1040" i="32"/>
  <c r="O1040" i="32"/>
  <c r="U984" i="32"/>
  <c r="O984" i="32"/>
  <c r="P984" i="32"/>
  <c r="U924" i="32"/>
  <c r="V924" i="32" s="1"/>
  <c r="W924" i="32" s="1"/>
  <c r="P924" i="32"/>
  <c r="O924" i="32"/>
  <c r="U826" i="32"/>
  <c r="P826" i="32"/>
  <c r="O826" i="32"/>
  <c r="U712" i="32"/>
  <c r="O712" i="32"/>
  <c r="P712" i="32"/>
  <c r="U601" i="32"/>
  <c r="P601" i="32"/>
  <c r="O601" i="32"/>
  <c r="U472" i="32"/>
  <c r="V472" i="32" s="1"/>
  <c r="W472" i="32" s="1"/>
  <c r="P472" i="32"/>
  <c r="O472" i="32"/>
  <c r="U297" i="32"/>
  <c r="V297" i="32" s="1"/>
  <c r="W297" i="32" s="1"/>
  <c r="P297" i="32"/>
  <c r="O297" i="32"/>
  <c r="U1295" i="32"/>
  <c r="P1295" i="32"/>
  <c r="O1295" i="32"/>
  <c r="U1238" i="32"/>
  <c r="V1238" i="32" s="1"/>
  <c r="W1238" i="32" s="1"/>
  <c r="P1238" i="32"/>
  <c r="O1238" i="32"/>
  <c r="U1182" i="32"/>
  <c r="V1182" i="32" s="1"/>
  <c r="W1182" i="32" s="1"/>
  <c r="O1182" i="32"/>
  <c r="P1182" i="32"/>
  <c r="U1124" i="32"/>
  <c r="P1124" i="32"/>
  <c r="O1124" i="32"/>
  <c r="U1067" i="32"/>
  <c r="V1067" i="32" s="1"/>
  <c r="W1067" i="32" s="1"/>
  <c r="P1067" i="32"/>
  <c r="O1067" i="32"/>
  <c r="U1011" i="32"/>
  <c r="P1011" i="32"/>
  <c r="O1011" i="32"/>
  <c r="U954" i="32"/>
  <c r="O954" i="32"/>
  <c r="P954" i="32"/>
  <c r="U880" i="32"/>
  <c r="P880" i="32"/>
  <c r="O880" i="32"/>
  <c r="U765" i="32"/>
  <c r="O765" i="32"/>
  <c r="P765" i="32"/>
  <c r="U580" i="32"/>
  <c r="P580" i="32"/>
  <c r="O580" i="32"/>
  <c r="U534" i="32"/>
  <c r="V534" i="32" s="1"/>
  <c r="W534" i="32" s="1"/>
  <c r="P534" i="32"/>
  <c r="O534" i="32"/>
  <c r="U390" i="32"/>
  <c r="V390" i="32" s="1"/>
  <c r="W390" i="32" s="1"/>
  <c r="O390" i="32"/>
  <c r="P390" i="32"/>
  <c r="U101" i="32"/>
  <c r="O101" i="32"/>
  <c r="P101" i="32"/>
  <c r="U1247" i="32"/>
  <c r="P1247" i="32"/>
  <c r="O1247" i="32"/>
  <c r="U1190" i="32"/>
  <c r="V1190" i="32" s="1"/>
  <c r="W1190" i="32" s="1"/>
  <c r="P1190" i="32"/>
  <c r="O1190" i="32"/>
  <c r="U1134" i="32"/>
  <c r="V1134" i="32" s="1"/>
  <c r="W1134" i="32" s="1"/>
  <c r="O1134" i="32"/>
  <c r="P1134" i="32"/>
  <c r="U1076" i="32"/>
  <c r="V1076" i="32" s="1"/>
  <c r="W1076" i="32" s="1"/>
  <c r="O1076" i="32"/>
  <c r="P1076" i="32"/>
  <c r="U1019" i="32"/>
  <c r="V1019" i="32" s="1"/>
  <c r="W1019" i="32" s="1"/>
  <c r="P1019" i="32"/>
  <c r="O1019" i="32"/>
  <c r="U963" i="32"/>
  <c r="P963" i="32"/>
  <c r="O963" i="32"/>
  <c r="U896" i="32"/>
  <c r="V896" i="32" s="1"/>
  <c r="W896" i="32" s="1"/>
  <c r="P896" i="32"/>
  <c r="O896" i="32"/>
  <c r="U784" i="32"/>
  <c r="O784" i="32"/>
  <c r="P784" i="32"/>
  <c r="U669" i="32"/>
  <c r="O669" i="32"/>
  <c r="P669" i="32"/>
  <c r="U552" i="32"/>
  <c r="O552" i="32"/>
  <c r="P552" i="32"/>
  <c r="U414" i="32"/>
  <c r="O414" i="32"/>
  <c r="P414" i="32"/>
  <c r="U169" i="32"/>
  <c r="V169" i="32" s="1"/>
  <c r="W169" i="32" s="1"/>
  <c r="O169" i="32"/>
  <c r="P169" i="32"/>
  <c r="U1274" i="32"/>
  <c r="V1274" i="32" s="1"/>
  <c r="W1274" i="32" s="1"/>
  <c r="P1274" i="32"/>
  <c r="O1274" i="32"/>
  <c r="U1216" i="32"/>
  <c r="P1216" i="32"/>
  <c r="O1216" i="32"/>
  <c r="U1160" i="32"/>
  <c r="V1160" i="32" s="1"/>
  <c r="W1160" i="32" s="1"/>
  <c r="P1160" i="32"/>
  <c r="O1160" i="32"/>
  <c r="U1103" i="32"/>
  <c r="V1103" i="32" s="1"/>
  <c r="W1103" i="32" s="1"/>
  <c r="O1103" i="32"/>
  <c r="P1103" i="32"/>
  <c r="U1046" i="32"/>
  <c r="V1046" i="32" s="1"/>
  <c r="W1046" i="32" s="1"/>
  <c r="P1046" i="32"/>
  <c r="O1046" i="32"/>
  <c r="U990" i="32"/>
  <c r="V990" i="32" s="1"/>
  <c r="W990" i="32" s="1"/>
  <c r="O990" i="32"/>
  <c r="P990" i="32"/>
  <c r="U930" i="32"/>
  <c r="O930" i="32"/>
  <c r="P930" i="32"/>
  <c r="U837" i="32"/>
  <c r="O837" i="32"/>
  <c r="P837" i="32"/>
  <c r="U722" i="32"/>
  <c r="O722" i="32"/>
  <c r="P722" i="32"/>
  <c r="U611" i="32"/>
  <c r="V611" i="32" s="1"/>
  <c r="W611" i="32" s="1"/>
  <c r="P611" i="32"/>
  <c r="O611" i="32"/>
  <c r="U486" i="32"/>
  <c r="P486" i="32"/>
  <c r="O486" i="32"/>
  <c r="U327" i="32"/>
  <c r="V327" i="32" s="1"/>
  <c r="W327" i="32" s="1"/>
  <c r="P327" i="32"/>
  <c r="O327" i="32"/>
  <c r="U1300" i="32"/>
  <c r="V1300" i="32" s="1"/>
  <c r="W1300" i="32" s="1"/>
  <c r="O1300" i="32"/>
  <c r="P1300" i="32"/>
  <c r="U1272" i="32"/>
  <c r="V1272" i="32" s="1"/>
  <c r="W1272" i="32" s="1"/>
  <c r="P1272" i="32"/>
  <c r="O1272" i="32"/>
  <c r="U1243" i="32"/>
  <c r="P1243" i="32"/>
  <c r="O1243" i="32"/>
  <c r="U1215" i="32"/>
  <c r="V1215" i="32" s="1"/>
  <c r="W1215" i="32" s="1"/>
  <c r="O1215" i="32"/>
  <c r="P1215" i="32"/>
  <c r="U1187" i="32"/>
  <c r="P1187" i="32"/>
  <c r="O1187" i="32"/>
  <c r="U1158" i="32"/>
  <c r="V1158" i="32" s="1"/>
  <c r="W1158" i="32" s="1"/>
  <c r="P1158" i="32"/>
  <c r="O1158" i="32"/>
  <c r="U1130" i="32"/>
  <c r="O1130" i="32"/>
  <c r="P1130" i="32"/>
  <c r="U1102" i="32"/>
  <c r="P1102" i="32"/>
  <c r="O1102" i="32"/>
  <c r="U1072" i="32"/>
  <c r="P1072" i="32"/>
  <c r="O1072" i="32"/>
  <c r="U1044" i="32"/>
  <c r="V1044" i="32" s="1"/>
  <c r="W1044" i="32" s="1"/>
  <c r="P1044" i="32"/>
  <c r="O1044" i="32"/>
  <c r="U1016" i="32"/>
  <c r="P1016" i="32"/>
  <c r="O1016" i="32"/>
  <c r="U987" i="32"/>
  <c r="O987" i="32"/>
  <c r="P987" i="32"/>
  <c r="U959" i="32"/>
  <c r="V959" i="32" s="1"/>
  <c r="W959" i="32" s="1"/>
  <c r="P959" i="32"/>
  <c r="O959" i="32"/>
  <c r="U929" i="32"/>
  <c r="O929" i="32"/>
  <c r="P929" i="32"/>
  <c r="U890" i="32"/>
  <c r="V890" i="32" s="1"/>
  <c r="W890" i="32" s="1"/>
  <c r="P890" i="32"/>
  <c r="O890" i="32"/>
  <c r="U833" i="32"/>
  <c r="O833" i="32"/>
  <c r="P833" i="32"/>
  <c r="U776" i="32"/>
  <c r="V776" i="32" s="1"/>
  <c r="W776" i="32" s="1"/>
  <c r="P776" i="32"/>
  <c r="O776" i="32"/>
  <c r="U720" i="32"/>
  <c r="V720" i="32" s="1"/>
  <c r="W720" i="32" s="1"/>
  <c r="O720" i="32"/>
  <c r="P720" i="32"/>
  <c r="U662" i="32"/>
  <c r="P662" i="32"/>
  <c r="O662" i="32"/>
  <c r="O608" i="32"/>
  <c r="P608" i="32"/>
  <c r="U608" i="32"/>
  <c r="U545" i="32"/>
  <c r="P545" i="32"/>
  <c r="O545" i="32"/>
  <c r="U481" i="32"/>
  <c r="V481" i="32" s="1"/>
  <c r="W481" i="32" s="1"/>
  <c r="O481" i="32"/>
  <c r="P481" i="32"/>
  <c r="U404" i="32"/>
  <c r="P404" i="32"/>
  <c r="O404" i="32"/>
  <c r="U319" i="32"/>
  <c r="O319" i="32"/>
  <c r="P319" i="32"/>
  <c r="U143" i="32"/>
  <c r="P143" i="32"/>
  <c r="O143" i="32"/>
  <c r="U1291" i="32"/>
  <c r="P1291" i="32"/>
  <c r="O1291" i="32"/>
  <c r="U1263" i="32"/>
  <c r="O1263" i="32"/>
  <c r="P1263" i="32"/>
  <c r="U1235" i="32"/>
  <c r="V1235" i="32" s="1"/>
  <c r="W1235" i="32" s="1"/>
  <c r="O1235" i="32"/>
  <c r="P1235" i="32"/>
  <c r="U1206" i="32"/>
  <c r="V1206" i="32" s="1"/>
  <c r="W1206" i="32" s="1"/>
  <c r="P1206" i="32"/>
  <c r="O1206" i="32"/>
  <c r="U1178" i="32"/>
  <c r="V1178" i="32" s="1"/>
  <c r="W1178" i="32" s="1"/>
  <c r="P1178" i="32"/>
  <c r="O1178" i="32"/>
  <c r="U1150" i="32"/>
  <c r="V1150" i="32" s="1"/>
  <c r="W1150" i="32" s="1"/>
  <c r="P1150" i="32"/>
  <c r="O1150" i="32"/>
  <c r="U1120" i="32"/>
  <c r="O1120" i="32"/>
  <c r="P1120" i="32"/>
  <c r="U1092" i="32"/>
  <c r="V1092" i="32" s="1"/>
  <c r="W1092" i="32" s="1"/>
  <c r="P1092" i="32"/>
  <c r="O1092" i="32"/>
  <c r="U1064" i="32"/>
  <c r="V1064" i="32" s="1"/>
  <c r="W1064" i="32" s="1"/>
  <c r="P1064" i="32"/>
  <c r="O1064" i="32"/>
  <c r="U1035" i="32"/>
  <c r="V1035" i="32" s="1"/>
  <c r="W1035" i="32" s="1"/>
  <c r="P1035" i="32"/>
  <c r="O1035" i="32"/>
  <c r="U1007" i="32"/>
  <c r="V1007" i="32" s="1"/>
  <c r="W1007" i="32" s="1"/>
  <c r="P1007" i="32"/>
  <c r="O1007" i="32"/>
  <c r="U979" i="32"/>
  <c r="O979" i="32"/>
  <c r="P979" i="32"/>
  <c r="U950" i="32"/>
  <c r="P950" i="32"/>
  <c r="O950" i="32"/>
  <c r="U917" i="32"/>
  <c r="V917" i="32" s="1"/>
  <c r="W917" i="32" s="1"/>
  <c r="P917" i="32"/>
  <c r="O917" i="32"/>
  <c r="U872" i="32"/>
  <c r="P872" i="32"/>
  <c r="O872" i="32"/>
  <c r="U816" i="32"/>
  <c r="V816" i="32" s="1"/>
  <c r="W816" i="32" s="1"/>
  <c r="O816" i="32"/>
  <c r="P816" i="32"/>
  <c r="U758" i="32"/>
  <c r="P758" i="32"/>
  <c r="O758" i="32"/>
  <c r="U701" i="32"/>
  <c r="P701" i="32"/>
  <c r="O701" i="32"/>
  <c r="U646" i="32"/>
  <c r="V646" i="32" s="1"/>
  <c r="W646" i="32" s="1"/>
  <c r="O646" i="32"/>
  <c r="P646" i="32"/>
  <c r="U592" i="32"/>
  <c r="V592" i="32" s="1"/>
  <c r="W592" i="32" s="1"/>
  <c r="O592" i="32"/>
  <c r="P592" i="32"/>
  <c r="U526" i="32"/>
  <c r="V526" i="32" s="1"/>
  <c r="W526" i="32" s="1"/>
  <c r="P526" i="32"/>
  <c r="O526" i="32"/>
  <c r="U457" i="32"/>
  <c r="O457" i="32"/>
  <c r="P457" i="32"/>
  <c r="U381" i="32"/>
  <c r="P381" i="32"/>
  <c r="O381" i="32"/>
  <c r="U271" i="32"/>
  <c r="V271" i="32" s="1"/>
  <c r="W271" i="32" s="1"/>
  <c r="P271" i="32"/>
  <c r="O271" i="32"/>
  <c r="U71" i="32"/>
  <c r="P71" i="32"/>
  <c r="O71" i="32"/>
  <c r="O874" i="32"/>
  <c r="U874" i="32"/>
  <c r="P874" i="32"/>
  <c r="U845" i="32"/>
  <c r="V845" i="32" s="1"/>
  <c r="W845" i="32" s="1"/>
  <c r="P845" i="32"/>
  <c r="O845" i="32"/>
  <c r="U817" i="32"/>
  <c r="P817" i="32"/>
  <c r="O817" i="32"/>
  <c r="U789" i="32"/>
  <c r="P789" i="32"/>
  <c r="O789" i="32"/>
  <c r="U760" i="32"/>
  <c r="O760" i="32"/>
  <c r="P760" i="32"/>
  <c r="U732" i="32"/>
  <c r="V732" i="32" s="1"/>
  <c r="W732" i="32" s="1"/>
  <c r="O732" i="32"/>
  <c r="P732" i="32"/>
  <c r="U704" i="32"/>
  <c r="P704" i="32"/>
  <c r="O704" i="32"/>
  <c r="U674" i="32"/>
  <c r="O674" i="32"/>
  <c r="P674" i="32"/>
  <c r="U647" i="32"/>
  <c r="V647" i="32" s="1"/>
  <c r="W647" i="32" s="1"/>
  <c r="O647" i="32"/>
  <c r="P647" i="32"/>
  <c r="U623" i="32"/>
  <c r="V623" i="32" s="1"/>
  <c r="W623" i="32" s="1"/>
  <c r="P623" i="32"/>
  <c r="O623" i="32"/>
  <c r="U593" i="32"/>
  <c r="V593" i="32" s="1"/>
  <c r="W593" i="32" s="1"/>
  <c r="O593" i="32"/>
  <c r="P593" i="32"/>
  <c r="U557" i="32"/>
  <c r="V557" i="32" s="1"/>
  <c r="W557" i="32" s="1"/>
  <c r="O557" i="32"/>
  <c r="P557" i="32"/>
  <c r="U529" i="32"/>
  <c r="O529" i="32"/>
  <c r="P529" i="32"/>
  <c r="U497" i="32"/>
  <c r="V497" i="32" s="1"/>
  <c r="W497" i="32" s="1"/>
  <c r="O497" i="32"/>
  <c r="P497" i="32"/>
  <c r="U460" i="32"/>
  <c r="O460" i="32"/>
  <c r="P460" i="32"/>
  <c r="U422" i="32"/>
  <c r="V422" i="32" s="1"/>
  <c r="W422" i="32" s="1"/>
  <c r="P422" i="32"/>
  <c r="O422" i="32"/>
  <c r="U382" i="32"/>
  <c r="O382" i="32"/>
  <c r="P382" i="32"/>
  <c r="U345" i="32"/>
  <c r="V345" i="32" s="1"/>
  <c r="W345" i="32" s="1"/>
  <c r="P345" i="32"/>
  <c r="O345" i="32"/>
  <c r="U277" i="32"/>
  <c r="O277" i="32"/>
  <c r="P277" i="32"/>
  <c r="U191" i="32"/>
  <c r="O191" i="32"/>
  <c r="P191" i="32"/>
  <c r="U79" i="32"/>
  <c r="P79" i="32"/>
  <c r="O79" i="32"/>
  <c r="U1292" i="32"/>
  <c r="O1292" i="32"/>
  <c r="P1292" i="32"/>
  <c r="U1271" i="32"/>
  <c r="V1271" i="32" s="1"/>
  <c r="W1271" i="32" s="1"/>
  <c r="P1271" i="32"/>
  <c r="O1271" i="32"/>
  <c r="U1250" i="32"/>
  <c r="P1250" i="32"/>
  <c r="O1250" i="32"/>
  <c r="U1228" i="32"/>
  <c r="V1228" i="32" s="1"/>
  <c r="W1228" i="32" s="1"/>
  <c r="P1228" i="32"/>
  <c r="O1228" i="32"/>
  <c r="O1207" i="32"/>
  <c r="U1207" i="32"/>
  <c r="P1207" i="32"/>
  <c r="U1186" i="32"/>
  <c r="V1186" i="32" s="1"/>
  <c r="W1186" i="32" s="1"/>
  <c r="O1186" i="32"/>
  <c r="P1186" i="32"/>
  <c r="U1164" i="32"/>
  <c r="V1164" i="32" s="1"/>
  <c r="W1164" i="32" s="1"/>
  <c r="P1164" i="32"/>
  <c r="O1164" i="32"/>
  <c r="U1143" i="32"/>
  <c r="O1143" i="32"/>
  <c r="P1143" i="32"/>
  <c r="U1122" i="32"/>
  <c r="V1122" i="32" s="1"/>
  <c r="W1122" i="32" s="1"/>
  <c r="O1122" i="32"/>
  <c r="P1122" i="32"/>
  <c r="U1100" i="32"/>
  <c r="V1100" i="32" s="1"/>
  <c r="W1100" i="32" s="1"/>
  <c r="O1100" i="32"/>
  <c r="P1100" i="32"/>
  <c r="U1079" i="32"/>
  <c r="O1079" i="32"/>
  <c r="P1079" i="32"/>
  <c r="U1058" i="32"/>
  <c r="V1058" i="32" s="1"/>
  <c r="W1058" i="32" s="1"/>
  <c r="O1058" i="32"/>
  <c r="P1058" i="32"/>
  <c r="U1036" i="32"/>
  <c r="P1036" i="32"/>
  <c r="O1036" i="32"/>
  <c r="U1015" i="32"/>
  <c r="V1015" i="32" s="1"/>
  <c r="W1015" i="32" s="1"/>
  <c r="O1015" i="32"/>
  <c r="P1015" i="32"/>
  <c r="U994" i="32"/>
  <c r="V994" i="32" s="1"/>
  <c r="W994" i="32" s="1"/>
  <c r="P994" i="32"/>
  <c r="O994" i="32"/>
  <c r="U972" i="32"/>
  <c r="P972" i="32"/>
  <c r="O972" i="32"/>
  <c r="U951" i="32"/>
  <c r="P951" i="32"/>
  <c r="O951" i="32"/>
  <c r="U928" i="32"/>
  <c r="V928" i="32" s="1"/>
  <c r="W928" i="32" s="1"/>
  <c r="O928" i="32"/>
  <c r="P928" i="32"/>
  <c r="P898" i="32"/>
  <c r="U898" i="32"/>
  <c r="O898" i="32"/>
  <c r="U870" i="32"/>
  <c r="V870" i="32" s="1"/>
  <c r="W870" i="32" s="1"/>
  <c r="P870" i="32"/>
  <c r="O870" i="32"/>
  <c r="U842" i="32"/>
  <c r="V842" i="32" s="1"/>
  <c r="W842" i="32" s="1"/>
  <c r="P842" i="32"/>
  <c r="O842" i="32"/>
  <c r="U813" i="32"/>
  <c r="V813" i="32" s="1"/>
  <c r="W813" i="32" s="1"/>
  <c r="P813" i="32"/>
  <c r="O813" i="32"/>
  <c r="U785" i="32"/>
  <c r="V785" i="32" s="1"/>
  <c r="W785" i="32" s="1"/>
  <c r="P785" i="32"/>
  <c r="O785" i="32"/>
  <c r="U757" i="32"/>
  <c r="P757" i="32"/>
  <c r="O757" i="32"/>
  <c r="U728" i="32"/>
  <c r="V728" i="32" s="1"/>
  <c r="W728" i="32" s="1"/>
  <c r="P728" i="32"/>
  <c r="O728" i="32"/>
  <c r="U700" i="32"/>
  <c r="V700" i="32" s="1"/>
  <c r="W700" i="32" s="1"/>
  <c r="O700" i="32"/>
  <c r="P700" i="32"/>
  <c r="U672" i="32"/>
  <c r="V672" i="32" s="1"/>
  <c r="W672" i="32" s="1"/>
  <c r="P672" i="32"/>
  <c r="O672" i="32"/>
  <c r="U643" i="32"/>
  <c r="V643" i="32" s="1"/>
  <c r="W643" i="32" s="1"/>
  <c r="P643" i="32"/>
  <c r="O643" i="32"/>
  <c r="U619" i="32"/>
  <c r="O619" i="32"/>
  <c r="P619" i="32"/>
  <c r="U590" i="32"/>
  <c r="P590" i="32"/>
  <c r="O590" i="32"/>
  <c r="U553" i="32"/>
  <c r="O553" i="32"/>
  <c r="P553" i="32"/>
  <c r="U525" i="32"/>
  <c r="P525" i="32"/>
  <c r="O525" i="32"/>
  <c r="U493" i="32"/>
  <c r="P493" i="32"/>
  <c r="O493" i="32"/>
  <c r="U454" i="32"/>
  <c r="V454" i="32" s="1"/>
  <c r="W454" i="32" s="1"/>
  <c r="P454" i="32"/>
  <c r="O454" i="32"/>
  <c r="U417" i="32"/>
  <c r="V417" i="32" s="1"/>
  <c r="W417" i="32" s="1"/>
  <c r="P417" i="32"/>
  <c r="O417" i="32"/>
  <c r="U380" i="32"/>
  <c r="V380" i="32" s="1"/>
  <c r="W380" i="32" s="1"/>
  <c r="P380" i="32"/>
  <c r="O380" i="32"/>
  <c r="U340" i="32"/>
  <c r="V340" i="32" s="1"/>
  <c r="W340" i="32" s="1"/>
  <c r="P340" i="32"/>
  <c r="O340" i="32"/>
  <c r="U265" i="32"/>
  <c r="V265" i="32" s="1"/>
  <c r="W265" i="32" s="1"/>
  <c r="O265" i="32"/>
  <c r="P265" i="32"/>
  <c r="U177" i="32"/>
  <c r="V177" i="32" s="1"/>
  <c r="W177" i="32" s="1"/>
  <c r="P177" i="32"/>
  <c r="O177" i="32"/>
  <c r="U63" i="32"/>
  <c r="V63" i="32" s="1"/>
  <c r="W63" i="32" s="1"/>
  <c r="O63" i="32"/>
  <c r="P63" i="32"/>
  <c r="U197" i="32"/>
  <c r="V197" i="32" s="1"/>
  <c r="W197" i="32" s="1"/>
  <c r="P197" i="32"/>
  <c r="O197" i="32"/>
  <c r="U137" i="32"/>
  <c r="V137" i="32" s="1"/>
  <c r="W137" i="32" s="1"/>
  <c r="P137" i="32"/>
  <c r="O137" i="32"/>
  <c r="U81" i="32"/>
  <c r="O81" i="32"/>
  <c r="P81" i="32"/>
  <c r="O25" i="32"/>
  <c r="P25" i="32"/>
  <c r="U25" i="32"/>
  <c r="U1293" i="32"/>
  <c r="V1293" i="32" s="1"/>
  <c r="W1293" i="32" s="1"/>
  <c r="P1293" i="32"/>
  <c r="O1293" i="32"/>
  <c r="U1277" i="32"/>
  <c r="V1277" i="32" s="1"/>
  <c r="W1277" i="32" s="1"/>
  <c r="P1277" i="32"/>
  <c r="O1277" i="32"/>
  <c r="U1261" i="32"/>
  <c r="V1261" i="32" s="1"/>
  <c r="W1261" i="32" s="1"/>
  <c r="P1261" i="32"/>
  <c r="O1261" i="32"/>
  <c r="U1245" i="32"/>
  <c r="V1245" i="32" s="1"/>
  <c r="W1245" i="32" s="1"/>
  <c r="P1245" i="32"/>
  <c r="O1245" i="32"/>
  <c r="U1229" i="32"/>
  <c r="O1229" i="32"/>
  <c r="P1229" i="32"/>
  <c r="U1213" i="32"/>
  <c r="P1213" i="32"/>
  <c r="O1213" i="32"/>
  <c r="U1197" i="32"/>
  <c r="O1197" i="32"/>
  <c r="P1197" i="32"/>
  <c r="U1181" i="32"/>
  <c r="V1181" i="32" s="1"/>
  <c r="W1181" i="32" s="1"/>
  <c r="P1181" i="32"/>
  <c r="O1181" i="32"/>
  <c r="U1165" i="32"/>
  <c r="O1165" i="32"/>
  <c r="P1165" i="32"/>
  <c r="U1149" i="32"/>
  <c r="V1149" i="32" s="1"/>
  <c r="W1149" i="32" s="1"/>
  <c r="P1149" i="32"/>
  <c r="O1149" i="32"/>
  <c r="U1133" i="32"/>
  <c r="V1133" i="32" s="1"/>
  <c r="W1133" i="32" s="1"/>
  <c r="P1133" i="32"/>
  <c r="O1133" i="32"/>
  <c r="U1117" i="32"/>
  <c r="V1117" i="32" s="1"/>
  <c r="W1117" i="32" s="1"/>
  <c r="O1117" i="32"/>
  <c r="P1117" i="32"/>
  <c r="U1101" i="32"/>
  <c r="O1101" i="32"/>
  <c r="P1101" i="32"/>
  <c r="U1085" i="32"/>
  <c r="V1085" i="32" s="1"/>
  <c r="W1085" i="32" s="1"/>
  <c r="O1085" i="32"/>
  <c r="P1085" i="32"/>
  <c r="U1069" i="32"/>
  <c r="V1069" i="32" s="1"/>
  <c r="W1069" i="32" s="1"/>
  <c r="O1069" i="32"/>
  <c r="P1069" i="32"/>
  <c r="U1053" i="32"/>
  <c r="O1053" i="32"/>
  <c r="P1053" i="32"/>
  <c r="O1037" i="32"/>
  <c r="U1037" i="32"/>
  <c r="P1037" i="32"/>
  <c r="U1021" i="32"/>
  <c r="P1021" i="32"/>
  <c r="O1021" i="32"/>
  <c r="U1005" i="32"/>
  <c r="V1005" i="32" s="1"/>
  <c r="W1005" i="32" s="1"/>
  <c r="P1005" i="32"/>
  <c r="O1005" i="32"/>
  <c r="U989" i="32"/>
  <c r="V989" i="32" s="1"/>
  <c r="W989" i="32" s="1"/>
  <c r="P989" i="32"/>
  <c r="O989" i="32"/>
  <c r="U973" i="32"/>
  <c r="O973" i="32"/>
  <c r="P973" i="32"/>
  <c r="U957" i="32"/>
  <c r="P957" i="32"/>
  <c r="O957" i="32"/>
  <c r="U941" i="32"/>
  <c r="P941" i="32"/>
  <c r="O941" i="32"/>
  <c r="U921" i="32"/>
  <c r="P921" i="32"/>
  <c r="O921" i="32"/>
  <c r="U900" i="32"/>
  <c r="O900" i="32"/>
  <c r="P900" i="32"/>
  <c r="U878" i="32"/>
  <c r="O878" i="32"/>
  <c r="P878" i="32"/>
  <c r="U857" i="32"/>
  <c r="V857" i="32" s="1"/>
  <c r="W857" i="32" s="1"/>
  <c r="O857" i="32"/>
  <c r="P857" i="32"/>
  <c r="U836" i="32"/>
  <c r="P836" i="32"/>
  <c r="O836" i="32"/>
  <c r="U814" i="32"/>
  <c r="P814" i="32"/>
  <c r="O814" i="32"/>
  <c r="U793" i="32"/>
  <c r="V793" i="32" s="1"/>
  <c r="W793" i="32" s="1"/>
  <c r="P793" i="32"/>
  <c r="O793" i="32"/>
  <c r="U772" i="32"/>
  <c r="P772" i="32"/>
  <c r="O772" i="32"/>
  <c r="U750" i="32"/>
  <c r="P750" i="32"/>
  <c r="O750" i="32"/>
  <c r="U729" i="32"/>
  <c r="V729" i="32" s="1"/>
  <c r="W729" i="32" s="1"/>
  <c r="O729" i="32"/>
  <c r="P729" i="32"/>
  <c r="U708" i="32"/>
  <c r="P708" i="32"/>
  <c r="O708" i="32"/>
  <c r="U686" i="32"/>
  <c r="P686" i="32"/>
  <c r="O686" i="32"/>
  <c r="U665" i="32"/>
  <c r="O665" i="32"/>
  <c r="P665" i="32"/>
  <c r="U645" i="32"/>
  <c r="O645" i="32"/>
  <c r="P645" i="32"/>
  <c r="U627" i="32"/>
  <c r="V627" i="32" s="1"/>
  <c r="W627" i="32" s="1"/>
  <c r="P627" i="32"/>
  <c r="O627" i="32"/>
  <c r="U604" i="32"/>
  <c r="P604" i="32"/>
  <c r="O604" i="32"/>
  <c r="U584" i="32"/>
  <c r="O584" i="32"/>
  <c r="P584" i="32"/>
  <c r="U554" i="32"/>
  <c r="V554" i="32" s="1"/>
  <c r="W554" i="32" s="1"/>
  <c r="O554" i="32"/>
  <c r="P554" i="32"/>
  <c r="U533" i="32"/>
  <c r="P533" i="32"/>
  <c r="O533" i="32"/>
  <c r="U512" i="32"/>
  <c r="V512" i="32" s="1"/>
  <c r="W512" i="32" s="1"/>
  <c r="P512" i="32"/>
  <c r="O512" i="32"/>
  <c r="U484" i="32"/>
  <c r="V484" i="32" s="1"/>
  <c r="W484" i="32" s="1"/>
  <c r="O484" i="32"/>
  <c r="P484" i="32"/>
  <c r="U456" i="32"/>
  <c r="V456" i="32" s="1"/>
  <c r="W456" i="32" s="1"/>
  <c r="O456" i="32"/>
  <c r="P456" i="32"/>
  <c r="O428" i="32"/>
  <c r="P428" i="32"/>
  <c r="U428" i="32"/>
  <c r="U398" i="32"/>
  <c r="P398" i="32"/>
  <c r="O398" i="32"/>
  <c r="U370" i="32"/>
  <c r="O370" i="32"/>
  <c r="P370" i="32"/>
  <c r="U342" i="32"/>
  <c r="P342" i="32"/>
  <c r="O342" i="32"/>
  <c r="U287" i="32"/>
  <c r="P287" i="32"/>
  <c r="O287" i="32"/>
  <c r="U231" i="32"/>
  <c r="O231" i="32"/>
  <c r="P231" i="32"/>
  <c r="U175" i="32"/>
  <c r="V175" i="32" s="1"/>
  <c r="W175" i="32" s="1"/>
  <c r="O175" i="32"/>
  <c r="P175" i="32"/>
  <c r="U117" i="32"/>
  <c r="O117" i="32"/>
  <c r="P117" i="32"/>
  <c r="U61" i="32"/>
  <c r="P61" i="32"/>
  <c r="O61" i="32"/>
  <c r="U5" i="32"/>
  <c r="P5" i="32"/>
  <c r="O5" i="32"/>
  <c r="U923" i="32"/>
  <c r="O923" i="32"/>
  <c r="P923" i="32"/>
  <c r="U907" i="32"/>
  <c r="V907" i="32" s="1"/>
  <c r="W907" i="32" s="1"/>
  <c r="P907" i="32"/>
  <c r="O907" i="32"/>
  <c r="U891" i="32"/>
  <c r="P891" i="32"/>
  <c r="O891" i="32"/>
  <c r="U875" i="32"/>
  <c r="O875" i="32"/>
  <c r="P875" i="32"/>
  <c r="U859" i="32"/>
  <c r="P859" i="32"/>
  <c r="O859" i="32"/>
  <c r="U843" i="32"/>
  <c r="V843" i="32" s="1"/>
  <c r="W843" i="32" s="1"/>
  <c r="P843" i="32"/>
  <c r="O843" i="32"/>
  <c r="U827" i="32"/>
  <c r="P827" i="32"/>
  <c r="O827" i="32"/>
  <c r="U811" i="32"/>
  <c r="V811" i="32" s="1"/>
  <c r="W811" i="32" s="1"/>
  <c r="P811" i="32"/>
  <c r="O811" i="32"/>
  <c r="U795" i="32"/>
  <c r="V795" i="32" s="1"/>
  <c r="W795" i="32" s="1"/>
  <c r="P795" i="32"/>
  <c r="O795" i="32"/>
  <c r="U779" i="32"/>
  <c r="V779" i="32" s="1"/>
  <c r="W779" i="32" s="1"/>
  <c r="P779" i="32"/>
  <c r="O779" i="32"/>
  <c r="U763" i="32"/>
  <c r="V763" i="32" s="1"/>
  <c r="W763" i="32" s="1"/>
  <c r="P763" i="32"/>
  <c r="O763" i="32"/>
  <c r="O747" i="32"/>
  <c r="U747" i="32"/>
  <c r="P747" i="32"/>
  <c r="U731" i="32"/>
  <c r="P731" i="32"/>
  <c r="O731" i="32"/>
  <c r="U715" i="32"/>
  <c r="P715" i="32"/>
  <c r="O715" i="32"/>
  <c r="U699" i="32"/>
  <c r="V699" i="32" s="1"/>
  <c r="W699" i="32" s="1"/>
  <c r="O699" i="32"/>
  <c r="P699" i="32"/>
  <c r="U683" i="32"/>
  <c r="P683" i="32"/>
  <c r="O683" i="32"/>
  <c r="U667" i="32"/>
  <c r="P667" i="32"/>
  <c r="O667" i="32"/>
  <c r="U652" i="32"/>
  <c r="O652" i="32"/>
  <c r="P652" i="32"/>
  <c r="U637" i="32"/>
  <c r="P637" i="32"/>
  <c r="O637" i="32"/>
  <c r="U624" i="32"/>
  <c r="O624" i="32"/>
  <c r="P624" i="32"/>
  <c r="U606" i="32"/>
  <c r="O606" i="32"/>
  <c r="P606" i="32"/>
  <c r="U591" i="32"/>
  <c r="P591" i="32"/>
  <c r="O591" i="32"/>
  <c r="U567" i="32"/>
  <c r="V567" i="32" s="1"/>
  <c r="W567" i="32" s="1"/>
  <c r="O567" i="32"/>
  <c r="P567" i="32"/>
  <c r="U551" i="32"/>
  <c r="O551" i="32"/>
  <c r="P551" i="32"/>
  <c r="U535" i="32"/>
  <c r="O535" i="32"/>
  <c r="P535" i="32"/>
  <c r="U519" i="32"/>
  <c r="P519" i="32"/>
  <c r="O519" i="32"/>
  <c r="U501" i="32"/>
  <c r="O501" i="32"/>
  <c r="P501" i="32"/>
  <c r="U480" i="32"/>
  <c r="V480" i="32" s="1"/>
  <c r="W480" i="32" s="1"/>
  <c r="O480" i="32"/>
  <c r="P480" i="32"/>
  <c r="U458" i="32"/>
  <c r="P458" i="32"/>
  <c r="O458" i="32"/>
  <c r="U437" i="32"/>
  <c r="O437" i="32"/>
  <c r="P437" i="32"/>
  <c r="U416" i="32"/>
  <c r="O416" i="32"/>
  <c r="P416" i="32"/>
  <c r="U394" i="32"/>
  <c r="O394" i="32"/>
  <c r="P394" i="32"/>
  <c r="U373" i="32"/>
  <c r="V373" i="32" s="1"/>
  <c r="W373" i="32" s="1"/>
  <c r="P373" i="32"/>
  <c r="O373" i="32"/>
  <c r="U352" i="32"/>
  <c r="V352" i="32" s="1"/>
  <c r="W352" i="32" s="1"/>
  <c r="P352" i="32"/>
  <c r="O352" i="32"/>
  <c r="U321" i="32"/>
  <c r="P321" i="32"/>
  <c r="O321" i="32"/>
  <c r="U279" i="32"/>
  <c r="P279" i="32"/>
  <c r="O279" i="32"/>
  <c r="U237" i="32"/>
  <c r="P237" i="32"/>
  <c r="O237" i="32"/>
  <c r="U193" i="32"/>
  <c r="O193" i="32"/>
  <c r="P193" i="32"/>
  <c r="U151" i="32"/>
  <c r="O151" i="32"/>
  <c r="P151" i="32"/>
  <c r="U109" i="32"/>
  <c r="V109" i="32" s="1"/>
  <c r="W109" i="32" s="1"/>
  <c r="P109" i="32"/>
  <c r="O109" i="32"/>
  <c r="U65" i="32"/>
  <c r="V65" i="32" s="1"/>
  <c r="W65" i="32" s="1"/>
  <c r="O65" i="32"/>
  <c r="P65" i="32"/>
  <c r="U23" i="32"/>
  <c r="P23" i="32"/>
  <c r="O23" i="32"/>
  <c r="O503" i="32"/>
  <c r="U503" i="32"/>
  <c r="P503" i="32"/>
  <c r="U487" i="32"/>
  <c r="V487" i="32" s="1"/>
  <c r="W487" i="32" s="1"/>
  <c r="P487" i="32"/>
  <c r="O487" i="32"/>
  <c r="U471" i="32"/>
  <c r="P471" i="32"/>
  <c r="O471" i="32"/>
  <c r="U455" i="32"/>
  <c r="O455" i="32"/>
  <c r="P455" i="32"/>
  <c r="U439" i="32"/>
  <c r="V439" i="32" s="1"/>
  <c r="W439" i="32" s="1"/>
  <c r="P439" i="32"/>
  <c r="O439" i="32"/>
  <c r="U423" i="32"/>
  <c r="V423" i="32" s="1"/>
  <c r="W423" i="32" s="1"/>
  <c r="P423" i="32"/>
  <c r="O423" i="32"/>
  <c r="U407" i="32"/>
  <c r="V407" i="32" s="1"/>
  <c r="W407" i="32" s="1"/>
  <c r="O407" i="32"/>
  <c r="P407" i="32"/>
  <c r="U391" i="32"/>
  <c r="V391" i="32" s="1"/>
  <c r="W391" i="32" s="1"/>
  <c r="O391" i="32"/>
  <c r="P391" i="32"/>
  <c r="U375" i="32"/>
  <c r="V375" i="32" s="1"/>
  <c r="W375" i="32" s="1"/>
  <c r="P375" i="32"/>
  <c r="O375" i="32"/>
  <c r="U359" i="32"/>
  <c r="O359" i="32"/>
  <c r="P359" i="32"/>
  <c r="U343" i="32"/>
  <c r="V343" i="32" s="1"/>
  <c r="W343" i="32" s="1"/>
  <c r="P343" i="32"/>
  <c r="O343" i="32"/>
  <c r="U315" i="32"/>
  <c r="P315" i="32"/>
  <c r="O315" i="32"/>
  <c r="U283" i="32"/>
  <c r="V283" i="32" s="1"/>
  <c r="W283" i="32" s="1"/>
  <c r="O283" i="32"/>
  <c r="P283" i="32"/>
  <c r="U251" i="32"/>
  <c r="O251" i="32"/>
  <c r="P251" i="32"/>
  <c r="U219" i="32"/>
  <c r="V219" i="32" s="1"/>
  <c r="W219" i="32" s="1"/>
  <c r="O219" i="32"/>
  <c r="P219" i="32"/>
  <c r="U187" i="32"/>
  <c r="P187" i="32"/>
  <c r="O187" i="32"/>
  <c r="U155" i="32"/>
  <c r="V155" i="32" s="1"/>
  <c r="W155" i="32" s="1"/>
  <c r="O155" i="32"/>
  <c r="P155" i="32"/>
  <c r="U123" i="32"/>
  <c r="P123" i="32"/>
  <c r="O123" i="32"/>
  <c r="U91" i="32"/>
  <c r="V91" i="32" s="1"/>
  <c r="W91" i="32" s="1"/>
  <c r="P91" i="32"/>
  <c r="O91" i="32"/>
  <c r="U59" i="32"/>
  <c r="V59" i="32" s="1"/>
  <c r="W59" i="32" s="1"/>
  <c r="P59" i="32"/>
  <c r="O59" i="32"/>
  <c r="U27" i="32"/>
  <c r="V27" i="32" s="1"/>
  <c r="W27" i="32" s="1"/>
  <c r="O27" i="32"/>
  <c r="P27" i="32"/>
  <c r="U338" i="32"/>
  <c r="V338" i="32" s="1"/>
  <c r="W338" i="32" s="1"/>
  <c r="O338" i="32"/>
  <c r="P338" i="32"/>
  <c r="U322" i="32"/>
  <c r="P322" i="32"/>
  <c r="O322" i="32"/>
  <c r="O306" i="32"/>
  <c r="P306" i="32"/>
  <c r="U306" i="32"/>
  <c r="U290" i="32"/>
  <c r="O290" i="32"/>
  <c r="P290" i="32"/>
  <c r="U274" i="32"/>
  <c r="V274" i="32" s="1"/>
  <c r="W274" i="32" s="1"/>
  <c r="O274" i="32"/>
  <c r="P274" i="32"/>
  <c r="U258" i="32"/>
  <c r="V258" i="32" s="1"/>
  <c r="W258" i="32" s="1"/>
  <c r="O258" i="32"/>
  <c r="P258" i="32"/>
  <c r="U242" i="32"/>
  <c r="V242" i="32" s="1"/>
  <c r="W242" i="32" s="1"/>
  <c r="P242" i="32"/>
  <c r="O242" i="32"/>
  <c r="U226" i="32"/>
  <c r="V226" i="32" s="1"/>
  <c r="W226" i="32" s="1"/>
  <c r="P226" i="32"/>
  <c r="O226" i="32"/>
  <c r="U210" i="32"/>
  <c r="V210" i="32" s="1"/>
  <c r="W210" i="32" s="1"/>
  <c r="P210" i="32"/>
  <c r="O210" i="32"/>
  <c r="U194" i="32"/>
  <c r="V194" i="32" s="1"/>
  <c r="W194" i="32" s="1"/>
  <c r="O194" i="32"/>
  <c r="P194" i="32"/>
  <c r="U178" i="32"/>
  <c r="O178" i="32"/>
  <c r="P178" i="32"/>
  <c r="U162" i="32"/>
  <c r="V162" i="32" s="1"/>
  <c r="W162" i="32" s="1"/>
  <c r="O162" i="32"/>
  <c r="P162" i="32"/>
  <c r="U146" i="32"/>
  <c r="P146" i="32"/>
  <c r="O146" i="32"/>
  <c r="U130" i="32"/>
  <c r="P130" i="32"/>
  <c r="O130" i="32"/>
  <c r="U114" i="32"/>
  <c r="P114" i="32"/>
  <c r="O114" i="32"/>
  <c r="U98" i="32"/>
  <c r="V98" i="32" s="1"/>
  <c r="W98" i="32" s="1"/>
  <c r="O98" i="32"/>
  <c r="P98" i="32"/>
  <c r="U82" i="32"/>
  <c r="V82" i="32" s="1"/>
  <c r="W82" i="32" s="1"/>
  <c r="O82" i="32"/>
  <c r="P82" i="32"/>
  <c r="U66" i="32"/>
  <c r="O66" i="32"/>
  <c r="P66" i="32"/>
  <c r="U50" i="32"/>
  <c r="O50" i="32"/>
  <c r="P50" i="32"/>
  <c r="U34" i="32"/>
  <c r="V34" i="32" s="1"/>
  <c r="W34" i="32" s="1"/>
  <c r="O34" i="32"/>
  <c r="P34" i="32"/>
  <c r="U18" i="32"/>
  <c r="V18" i="32" s="1"/>
  <c r="W18" i="32" s="1"/>
  <c r="O18" i="32"/>
  <c r="P18" i="32"/>
  <c r="U2" i="32"/>
  <c r="O2" i="32"/>
  <c r="P2" i="32"/>
  <c r="U324" i="32"/>
  <c r="P324" i="32"/>
  <c r="O324" i="32"/>
  <c r="U308" i="32"/>
  <c r="V308" i="32" s="1"/>
  <c r="W308" i="32" s="1"/>
  <c r="O308" i="32"/>
  <c r="P308" i="32"/>
  <c r="U292" i="32"/>
  <c r="O292" i="32"/>
  <c r="P292" i="32"/>
  <c r="U276" i="32"/>
  <c r="O276" i="32"/>
  <c r="P276" i="32"/>
  <c r="U260" i="32"/>
  <c r="O260" i="32"/>
  <c r="P260" i="32"/>
  <c r="U244" i="32"/>
  <c r="O244" i="32"/>
  <c r="P244" i="32"/>
  <c r="U228" i="32"/>
  <c r="V228" i="32" s="1"/>
  <c r="W228" i="32" s="1"/>
  <c r="O228" i="32"/>
  <c r="P228" i="32"/>
  <c r="U212" i="32"/>
  <c r="V212" i="32" s="1"/>
  <c r="W212" i="32" s="1"/>
  <c r="O212" i="32"/>
  <c r="P212" i="32"/>
  <c r="U196" i="32"/>
  <c r="O196" i="32"/>
  <c r="P196" i="32"/>
  <c r="U180" i="32"/>
  <c r="P180" i="32"/>
  <c r="O180" i="32"/>
  <c r="U164" i="32"/>
  <c r="O164" i="32"/>
  <c r="P164" i="32"/>
  <c r="U148" i="32"/>
  <c r="V148" i="32" s="1"/>
  <c r="W148" i="32" s="1"/>
  <c r="P148" i="32"/>
  <c r="O148" i="32"/>
  <c r="U132" i="32"/>
  <c r="P132" i="32"/>
  <c r="O132" i="32"/>
  <c r="U116" i="32"/>
  <c r="O116" i="32"/>
  <c r="P116" i="32"/>
  <c r="U100" i="32"/>
  <c r="V100" i="32" s="1"/>
  <c r="W100" i="32" s="1"/>
  <c r="O100" i="32"/>
  <c r="P100" i="32"/>
  <c r="U84" i="32"/>
  <c r="P84" i="32"/>
  <c r="O84" i="32"/>
  <c r="U68" i="32"/>
  <c r="O68" i="32"/>
  <c r="P68" i="32"/>
  <c r="U52" i="32"/>
  <c r="P52" i="32"/>
  <c r="O52" i="32"/>
  <c r="U36" i="32"/>
  <c r="V36" i="32" s="1"/>
  <c r="W36" i="32" s="1"/>
  <c r="P36" i="32"/>
  <c r="O36" i="32"/>
  <c r="U20" i="32"/>
  <c r="P20" i="32"/>
  <c r="O20" i="32"/>
  <c r="U4" i="32"/>
  <c r="O4" i="32"/>
  <c r="P4" i="32"/>
  <c r="U1296" i="32"/>
  <c r="V1296" i="32" s="1"/>
  <c r="W1296" i="32" s="1"/>
  <c r="O1296" i="32"/>
  <c r="P1296" i="32"/>
  <c r="U1183" i="32"/>
  <c r="V1183" i="32" s="1"/>
  <c r="W1183" i="32" s="1"/>
  <c r="P1183" i="32"/>
  <c r="O1183" i="32"/>
  <c r="U1012" i="32"/>
  <c r="P1012" i="32"/>
  <c r="O1012" i="32"/>
  <c r="U769" i="32"/>
  <c r="O769" i="32"/>
  <c r="P769" i="32"/>
  <c r="U537" i="32"/>
  <c r="P537" i="32"/>
  <c r="O537" i="32"/>
  <c r="U396" i="32"/>
  <c r="O396" i="32"/>
  <c r="P396" i="32"/>
  <c r="U1267" i="32"/>
  <c r="P1267" i="32"/>
  <c r="O1267" i="32"/>
  <c r="U1096" i="32"/>
  <c r="O1096" i="32"/>
  <c r="P1096" i="32"/>
  <c r="U1039" i="32"/>
  <c r="P1039" i="32"/>
  <c r="O1039" i="32"/>
  <c r="U922" i="32"/>
  <c r="P922" i="32"/>
  <c r="O922" i="32"/>
  <c r="U709" i="32"/>
  <c r="P709" i="32"/>
  <c r="O709" i="32"/>
  <c r="U466" i="32"/>
  <c r="O466" i="32"/>
  <c r="P466" i="32"/>
  <c r="U1219" i="32"/>
  <c r="V1219" i="32" s="1"/>
  <c r="W1219" i="32" s="1"/>
  <c r="O1219" i="32"/>
  <c r="P1219" i="32"/>
  <c r="U1104" i="32"/>
  <c r="P1104" i="32"/>
  <c r="O1104" i="32"/>
  <c r="U933" i="32"/>
  <c r="V933" i="32" s="1"/>
  <c r="W933" i="32" s="1"/>
  <c r="P933" i="32"/>
  <c r="O933" i="32"/>
  <c r="U618" i="32"/>
  <c r="V618" i="32" s="1"/>
  <c r="W618" i="32" s="1"/>
  <c r="O618" i="32"/>
  <c r="P618" i="32"/>
  <c r="U337" i="32"/>
  <c r="V337" i="32" s="1"/>
  <c r="W337" i="32" s="1"/>
  <c r="O337" i="32"/>
  <c r="P337" i="32"/>
  <c r="U1246" i="32"/>
  <c r="O1246" i="32"/>
  <c r="P1246" i="32"/>
  <c r="U1131" i="32"/>
  <c r="P1131" i="32"/>
  <c r="O1131" i="32"/>
  <c r="U1075" i="32"/>
  <c r="O1075" i="32"/>
  <c r="P1075" i="32"/>
  <c r="U893" i="32"/>
  <c r="V893" i="32" s="1"/>
  <c r="W893" i="32" s="1"/>
  <c r="P893" i="32"/>
  <c r="O893" i="32"/>
  <c r="U780" i="32"/>
  <c r="P780" i="32"/>
  <c r="O780" i="32"/>
  <c r="U548" i="32"/>
  <c r="V548" i="32" s="1"/>
  <c r="W548" i="32" s="1"/>
  <c r="P548" i="32"/>
  <c r="O548" i="32"/>
  <c r="U157" i="32"/>
  <c r="O157" i="32"/>
  <c r="P157" i="32"/>
  <c r="U1258" i="32"/>
  <c r="V1258" i="32" s="1"/>
  <c r="W1258" i="32" s="1"/>
  <c r="O1258" i="32"/>
  <c r="P1258" i="32"/>
  <c r="U1200" i="32"/>
  <c r="P1200" i="32"/>
  <c r="O1200" i="32"/>
  <c r="U1144" i="32"/>
  <c r="P1144" i="32"/>
  <c r="O1144" i="32"/>
  <c r="U1087" i="32"/>
  <c r="V1087" i="32" s="1"/>
  <c r="W1087" i="32" s="1"/>
  <c r="O1087" i="32"/>
  <c r="P1087" i="32"/>
  <c r="U1030" i="32"/>
  <c r="V1030" i="32" s="1"/>
  <c r="W1030" i="32" s="1"/>
  <c r="O1030" i="32"/>
  <c r="P1030" i="32"/>
  <c r="U1002" i="32"/>
  <c r="P1002" i="32"/>
  <c r="O1002" i="32"/>
  <c r="U944" i="32"/>
  <c r="O944" i="32"/>
  <c r="P944" i="32"/>
  <c r="U909" i="32"/>
  <c r="V909" i="32" s="1"/>
  <c r="W909" i="32" s="1"/>
  <c r="O909" i="32"/>
  <c r="P909" i="32"/>
  <c r="U805" i="32"/>
  <c r="P805" i="32"/>
  <c r="O805" i="32"/>
  <c r="U690" i="32"/>
  <c r="O690" i="32"/>
  <c r="P690" i="32"/>
  <c r="U573" i="32"/>
  <c r="P573" i="32"/>
  <c r="O573" i="32"/>
  <c r="U444" i="32"/>
  <c r="P444" i="32"/>
  <c r="O444" i="32"/>
  <c r="U241" i="32"/>
  <c r="V241" i="32" s="1"/>
  <c r="W241" i="32" s="1"/>
  <c r="O241" i="32"/>
  <c r="P241" i="32"/>
  <c r="U1278" i="32"/>
  <c r="O1278" i="32"/>
  <c r="P1278" i="32"/>
  <c r="U1220" i="32"/>
  <c r="V1220" i="32" s="1"/>
  <c r="W1220" i="32" s="1"/>
  <c r="O1220" i="32"/>
  <c r="P1220" i="32"/>
  <c r="U1163" i="32"/>
  <c r="O1163" i="32"/>
  <c r="P1163" i="32"/>
  <c r="U1078" i="32"/>
  <c r="P1078" i="32"/>
  <c r="O1078" i="32"/>
  <c r="U992" i="32"/>
  <c r="V992" i="32" s="1"/>
  <c r="W992" i="32" s="1"/>
  <c r="P992" i="32"/>
  <c r="O992" i="32"/>
  <c r="U964" i="32"/>
  <c r="V964" i="32" s="1"/>
  <c r="W964" i="32" s="1"/>
  <c r="O964" i="32"/>
  <c r="P964" i="32"/>
  <c r="U897" i="32"/>
  <c r="O897" i="32"/>
  <c r="P897" i="32"/>
  <c r="U786" i="32"/>
  <c r="V786" i="32" s="1"/>
  <c r="W786" i="32" s="1"/>
  <c r="O786" i="32"/>
  <c r="P786" i="32"/>
  <c r="U673" i="32"/>
  <c r="O673" i="32"/>
  <c r="P673" i="32"/>
  <c r="U556" i="32"/>
  <c r="P556" i="32"/>
  <c r="O556" i="32"/>
  <c r="U418" i="32"/>
  <c r="V418" i="32" s="1"/>
  <c r="W418" i="32" s="1"/>
  <c r="P418" i="32"/>
  <c r="O418" i="32"/>
  <c r="U888" i="32"/>
  <c r="V888" i="32" s="1"/>
  <c r="W888" i="32" s="1"/>
  <c r="O888" i="32"/>
  <c r="P888" i="32"/>
  <c r="U860" i="32"/>
  <c r="O860" i="32"/>
  <c r="P860" i="32"/>
  <c r="U802" i="32"/>
  <c r="V802" i="32" s="1"/>
  <c r="W802" i="32" s="1"/>
  <c r="O802" i="32"/>
  <c r="P802" i="32"/>
  <c r="U717" i="32"/>
  <c r="P717" i="32"/>
  <c r="O717" i="32"/>
  <c r="U577" i="32"/>
  <c r="V577" i="32" s="1"/>
  <c r="W577" i="32" s="1"/>
  <c r="P577" i="32"/>
  <c r="O577" i="32"/>
  <c r="U572" i="32"/>
  <c r="P572" i="32"/>
  <c r="O572" i="32"/>
  <c r="U514" i="32"/>
  <c r="V514" i="32" s="1"/>
  <c r="W514" i="32" s="1"/>
  <c r="P514" i="32"/>
  <c r="O514" i="32"/>
  <c r="U478" i="32"/>
  <c r="V478" i="32" s="1"/>
  <c r="W478" i="32" s="1"/>
  <c r="O478" i="32"/>
  <c r="P478" i="32"/>
  <c r="U365" i="32"/>
  <c r="V365" i="32" s="1"/>
  <c r="W365" i="32" s="1"/>
  <c r="P365" i="32"/>
  <c r="O365" i="32"/>
  <c r="U313" i="32"/>
  <c r="O313" i="32"/>
  <c r="P313" i="32"/>
  <c r="U135" i="32"/>
  <c r="V135" i="32" s="1"/>
  <c r="W135" i="32" s="1"/>
  <c r="O135" i="32"/>
  <c r="P135" i="32"/>
  <c r="U1282" i="32"/>
  <c r="P1282" i="32"/>
  <c r="O1282" i="32"/>
  <c r="U1260" i="32"/>
  <c r="P1260" i="32"/>
  <c r="O1260" i="32"/>
  <c r="U1218" i="32"/>
  <c r="P1218" i="32"/>
  <c r="O1218" i="32"/>
  <c r="U1154" i="32"/>
  <c r="O1154" i="32"/>
  <c r="P1154" i="32"/>
  <c r="U1111" i="32"/>
  <c r="P1111" i="32"/>
  <c r="O1111" i="32"/>
  <c r="U1068" i="32"/>
  <c r="V1068" i="32" s="1"/>
  <c r="W1068" i="32" s="1"/>
  <c r="P1068" i="32"/>
  <c r="O1068" i="32"/>
  <c r="U1047" i="32"/>
  <c r="P1047" i="32"/>
  <c r="O1047" i="32"/>
  <c r="U1004" i="32"/>
  <c r="P1004" i="32"/>
  <c r="O1004" i="32"/>
  <c r="U962" i="32"/>
  <c r="V962" i="32" s="1"/>
  <c r="W962" i="32" s="1"/>
  <c r="O962" i="32"/>
  <c r="P962" i="32"/>
  <c r="U913" i="32"/>
  <c r="P913" i="32"/>
  <c r="O913" i="32"/>
  <c r="U856" i="32"/>
  <c r="V856" i="32" s="1"/>
  <c r="W856" i="32" s="1"/>
  <c r="O856" i="32"/>
  <c r="P856" i="32"/>
  <c r="U800" i="32"/>
  <c r="V800" i="32" s="1"/>
  <c r="W800" i="32" s="1"/>
  <c r="O800" i="32"/>
  <c r="P800" i="32"/>
  <c r="U742" i="32"/>
  <c r="V742" i="32" s="1"/>
  <c r="W742" i="32" s="1"/>
  <c r="O742" i="32"/>
  <c r="P742" i="32"/>
  <c r="U685" i="32"/>
  <c r="V685" i="32" s="1"/>
  <c r="W685" i="32" s="1"/>
  <c r="P685" i="32"/>
  <c r="O685" i="32"/>
  <c r="U632" i="32"/>
  <c r="V632" i="32" s="1"/>
  <c r="W632" i="32" s="1"/>
  <c r="O632" i="32"/>
  <c r="P632" i="32"/>
  <c r="U568" i="32"/>
  <c r="O568" i="32"/>
  <c r="P568" i="32"/>
  <c r="U510" i="32"/>
  <c r="V510" i="32" s="1"/>
  <c r="W510" i="32" s="1"/>
  <c r="O510" i="32"/>
  <c r="P510" i="32"/>
  <c r="U436" i="32"/>
  <c r="V436" i="32" s="1"/>
  <c r="W436" i="32" s="1"/>
  <c r="O436" i="32"/>
  <c r="P436" i="32"/>
  <c r="U360" i="32"/>
  <c r="P360" i="32"/>
  <c r="O360" i="32"/>
  <c r="U121" i="32"/>
  <c r="V121" i="32" s="1"/>
  <c r="W121" i="32" s="1"/>
  <c r="P121" i="32"/>
  <c r="O121" i="32"/>
  <c r="U167" i="32"/>
  <c r="O167" i="32"/>
  <c r="P167" i="32"/>
  <c r="U53" i="32"/>
  <c r="V53" i="32" s="1"/>
  <c r="W53" i="32" s="1"/>
  <c r="O53" i="32"/>
  <c r="P53" i="32"/>
  <c r="U1285" i="32"/>
  <c r="O1285" i="32"/>
  <c r="P1285" i="32"/>
  <c r="U1237" i="32"/>
  <c r="V1237" i="32" s="1"/>
  <c r="W1237" i="32" s="1"/>
  <c r="O1237" i="32"/>
  <c r="P1237" i="32"/>
  <c r="U1205" i="32"/>
  <c r="P1205" i="32"/>
  <c r="O1205" i="32"/>
  <c r="U1173" i="32"/>
  <c r="O1173" i="32"/>
  <c r="P1173" i="32"/>
  <c r="U1141" i="32"/>
  <c r="V1141" i="32" s="1"/>
  <c r="W1141" i="32" s="1"/>
  <c r="P1141" i="32"/>
  <c r="O1141" i="32"/>
  <c r="U1109" i="32"/>
  <c r="V1109" i="32" s="1"/>
  <c r="W1109" i="32" s="1"/>
  <c r="O1109" i="32"/>
  <c r="P1109" i="32"/>
  <c r="U1077" i="32"/>
  <c r="O1077" i="32"/>
  <c r="P1077" i="32"/>
  <c r="U1029" i="32"/>
  <c r="V1029" i="32" s="1"/>
  <c r="W1029" i="32" s="1"/>
  <c r="P1029" i="32"/>
  <c r="O1029" i="32"/>
  <c r="U1013" i="32"/>
  <c r="P1013" i="32"/>
  <c r="O1013" i="32"/>
  <c r="U981" i="32"/>
  <c r="O981" i="32"/>
  <c r="P981" i="32"/>
  <c r="U949" i="32"/>
  <c r="V949" i="32" s="1"/>
  <c r="W949" i="32" s="1"/>
  <c r="P949" i="32"/>
  <c r="O949" i="32"/>
  <c r="U932" i="32"/>
  <c r="O932" i="32"/>
  <c r="P932" i="32"/>
  <c r="U868" i="32"/>
  <c r="O868" i="32"/>
  <c r="P868" i="32"/>
  <c r="U846" i="32"/>
  <c r="V846" i="32" s="1"/>
  <c r="W846" i="32" s="1"/>
  <c r="P846" i="32"/>
  <c r="O846" i="32"/>
  <c r="U782" i="32"/>
  <c r="V782" i="32" s="1"/>
  <c r="W782" i="32" s="1"/>
  <c r="P782" i="32"/>
  <c r="O782" i="32"/>
  <c r="O761" i="32"/>
  <c r="U761" i="32"/>
  <c r="P761" i="32"/>
  <c r="U718" i="32"/>
  <c r="P718" i="32"/>
  <c r="O718" i="32"/>
  <c r="U654" i="32"/>
  <c r="O654" i="32"/>
  <c r="P654" i="32"/>
  <c r="U581" i="32"/>
  <c r="V581" i="32" s="1"/>
  <c r="W581" i="32" s="1"/>
  <c r="P581" i="32"/>
  <c r="O581" i="32"/>
  <c r="U544" i="32"/>
  <c r="P544" i="32"/>
  <c r="O544" i="32"/>
  <c r="U498" i="32"/>
  <c r="V498" i="32" s="1"/>
  <c r="W498" i="32" s="1"/>
  <c r="P498" i="32"/>
  <c r="O498" i="32"/>
  <c r="U413" i="32"/>
  <c r="P413" i="32"/>
  <c r="O413" i="32"/>
  <c r="U385" i="32"/>
  <c r="P385" i="32"/>
  <c r="O385" i="32"/>
  <c r="U317" i="32"/>
  <c r="O317" i="32"/>
  <c r="P317" i="32"/>
  <c r="U201" i="32"/>
  <c r="V201" i="32" s="1"/>
  <c r="W201" i="32" s="1"/>
  <c r="P201" i="32"/>
  <c r="O201" i="32"/>
  <c r="U89" i="32"/>
  <c r="V89" i="32" s="1"/>
  <c r="W89" i="32" s="1"/>
  <c r="P89" i="32"/>
  <c r="O89" i="32"/>
  <c r="U31" i="32"/>
  <c r="O31" i="32"/>
  <c r="P31" i="32"/>
  <c r="U915" i="32"/>
  <c r="P915" i="32"/>
  <c r="O915" i="32"/>
  <c r="U883" i="32"/>
  <c r="P883" i="32"/>
  <c r="O883" i="32"/>
  <c r="U851" i="32"/>
  <c r="V851" i="32" s="1"/>
  <c r="W851" i="32" s="1"/>
  <c r="P851" i="32"/>
  <c r="O851" i="32"/>
  <c r="U819" i="32"/>
  <c r="V819" i="32" s="1"/>
  <c r="W819" i="32" s="1"/>
  <c r="O819" i="32"/>
  <c r="P819" i="32"/>
  <c r="U803" i="32"/>
  <c r="P803" i="32"/>
  <c r="O803" i="32"/>
  <c r="U771" i="32"/>
  <c r="V771" i="32" s="1"/>
  <c r="W771" i="32" s="1"/>
  <c r="P771" i="32"/>
  <c r="O771" i="32"/>
  <c r="U755" i="32"/>
  <c r="V755" i="32" s="1"/>
  <c r="W755" i="32" s="1"/>
  <c r="O755" i="32"/>
  <c r="P755" i="32"/>
  <c r="U707" i="32"/>
  <c r="O707" i="32"/>
  <c r="P707" i="32"/>
  <c r="U675" i="32"/>
  <c r="P675" i="32"/>
  <c r="O675" i="32"/>
  <c r="U644" i="32"/>
  <c r="V644" i="32" s="1"/>
  <c r="W644" i="32" s="1"/>
  <c r="P644" i="32"/>
  <c r="O644" i="32"/>
  <c r="U617" i="32"/>
  <c r="V617" i="32" s="1"/>
  <c r="W617" i="32" s="1"/>
  <c r="O617" i="32"/>
  <c r="P617" i="32"/>
  <c r="U583" i="32"/>
  <c r="O583" i="32"/>
  <c r="P583" i="32"/>
  <c r="U543" i="32"/>
  <c r="P543" i="32"/>
  <c r="O543" i="32"/>
  <c r="U511" i="32"/>
  <c r="V511" i="32" s="1"/>
  <c r="W511" i="32" s="1"/>
  <c r="O511" i="32"/>
  <c r="P511" i="32"/>
  <c r="U469" i="32"/>
  <c r="O469" i="32"/>
  <c r="P469" i="32"/>
  <c r="U405" i="32"/>
  <c r="V405" i="32" s="1"/>
  <c r="W405" i="32" s="1"/>
  <c r="P405" i="32"/>
  <c r="O405" i="32"/>
  <c r="U384" i="32"/>
  <c r="O384" i="32"/>
  <c r="P384" i="32"/>
  <c r="U341" i="32"/>
  <c r="V341" i="32" s="1"/>
  <c r="W341" i="32" s="1"/>
  <c r="O341" i="32"/>
  <c r="P341" i="32"/>
  <c r="U257" i="32"/>
  <c r="O257" i="32"/>
  <c r="P257" i="32"/>
  <c r="U173" i="32"/>
  <c r="V173" i="32" s="1"/>
  <c r="W173" i="32" s="1"/>
  <c r="P173" i="32"/>
  <c r="O173" i="32"/>
  <c r="U87" i="32"/>
  <c r="P87" i="32"/>
  <c r="O87" i="32"/>
  <c r="U616" i="32"/>
  <c r="O616" i="32"/>
  <c r="P616" i="32"/>
  <c r="U447" i="32"/>
  <c r="V447" i="32" s="1"/>
  <c r="W447" i="32" s="1"/>
  <c r="O447" i="32"/>
  <c r="P447" i="32"/>
  <c r="U415" i="32"/>
  <c r="V415" i="32" s="1"/>
  <c r="W415" i="32" s="1"/>
  <c r="O415" i="32"/>
  <c r="P415" i="32"/>
  <c r="U383" i="32"/>
  <c r="O383" i="32"/>
  <c r="P383" i="32"/>
  <c r="U351" i="32"/>
  <c r="V351" i="32" s="1"/>
  <c r="W351" i="32" s="1"/>
  <c r="O351" i="32"/>
  <c r="P351" i="32"/>
  <c r="U299" i="32"/>
  <c r="O299" i="32"/>
  <c r="P299" i="32"/>
  <c r="U235" i="32"/>
  <c r="P235" i="32"/>
  <c r="O235" i="32"/>
  <c r="U171" i="32"/>
  <c r="P171" i="32"/>
  <c r="O171" i="32"/>
  <c r="U75" i="32"/>
  <c r="P75" i="32"/>
  <c r="O75" i="32"/>
  <c r="U11" i="32"/>
  <c r="P11" i="32"/>
  <c r="O11" i="32"/>
  <c r="U298" i="32"/>
  <c r="V298" i="32" s="1"/>
  <c r="W298" i="32" s="1"/>
  <c r="O298" i="32"/>
  <c r="P298" i="32"/>
  <c r="U266" i="32"/>
  <c r="O266" i="32"/>
  <c r="P266" i="32"/>
  <c r="U218" i="32"/>
  <c r="P218" i="32"/>
  <c r="O218" i="32"/>
  <c r="U186" i="32"/>
  <c r="O186" i="32"/>
  <c r="P186" i="32"/>
  <c r="U154" i="32"/>
  <c r="O154" i="32"/>
  <c r="P154" i="32"/>
  <c r="U122" i="32"/>
  <c r="V122" i="32" s="1"/>
  <c r="W122" i="32" s="1"/>
  <c r="O122" i="32"/>
  <c r="P122" i="32"/>
  <c r="U90" i="32"/>
  <c r="O90" i="32"/>
  <c r="P90" i="32"/>
  <c r="U74" i="32"/>
  <c r="V74" i="32" s="1"/>
  <c r="W74" i="32" s="1"/>
  <c r="P74" i="32"/>
  <c r="O74" i="32"/>
  <c r="U42" i="32"/>
  <c r="O42" i="32"/>
  <c r="P42" i="32"/>
  <c r="O26" i="32"/>
  <c r="U26" i="32"/>
  <c r="P26" i="32"/>
  <c r="U332" i="32"/>
  <c r="V332" i="32" s="1"/>
  <c r="W332" i="32" s="1"/>
  <c r="P332" i="32"/>
  <c r="O332" i="32"/>
  <c r="U300" i="32"/>
  <c r="V300" i="32" s="1"/>
  <c r="W300" i="32" s="1"/>
  <c r="P300" i="32"/>
  <c r="O300" i="32"/>
  <c r="U268" i="32"/>
  <c r="P268" i="32"/>
  <c r="O268" i="32"/>
  <c r="U236" i="32"/>
  <c r="V236" i="32" s="1"/>
  <c r="W236" i="32" s="1"/>
  <c r="P236" i="32"/>
  <c r="O236" i="32"/>
  <c r="U204" i="32"/>
  <c r="O204" i="32"/>
  <c r="P204" i="32"/>
  <c r="U156" i="32"/>
  <c r="O156" i="32"/>
  <c r="P156" i="32"/>
  <c r="U124" i="32"/>
  <c r="P124" i="32"/>
  <c r="O124" i="32"/>
  <c r="U92" i="32"/>
  <c r="O92" i="32"/>
  <c r="P92" i="32"/>
  <c r="U44" i="32"/>
  <c r="V44" i="32" s="1"/>
  <c r="W44" i="32" s="1"/>
  <c r="O44" i="32"/>
  <c r="P44" i="32"/>
  <c r="U28" i="32"/>
  <c r="P28" i="32"/>
  <c r="O28" i="32"/>
  <c r="U1283" i="32"/>
  <c r="V1283" i="32" s="1"/>
  <c r="W1283" i="32" s="1"/>
  <c r="O1283" i="32"/>
  <c r="P1283" i="32"/>
  <c r="U1168" i="32"/>
  <c r="P1168" i="32"/>
  <c r="O1168" i="32"/>
  <c r="U998" i="32"/>
  <c r="P998" i="32"/>
  <c r="O998" i="32"/>
  <c r="U942" i="32"/>
  <c r="V942" i="32" s="1"/>
  <c r="W942" i="32" s="1"/>
  <c r="P942" i="32"/>
  <c r="O942" i="32"/>
  <c r="U578" i="32"/>
  <c r="V578" i="32" s="1"/>
  <c r="W578" i="32" s="1"/>
  <c r="P578" i="32"/>
  <c r="O578" i="32"/>
  <c r="U358" i="32"/>
  <c r="O358" i="32"/>
  <c r="P358" i="32"/>
  <c r="U1252" i="32"/>
  <c r="P1252" i="32"/>
  <c r="O1252" i="32"/>
  <c r="U1139" i="32"/>
  <c r="V1139" i="32" s="1"/>
  <c r="W1139" i="32" s="1"/>
  <c r="O1139" i="32"/>
  <c r="P1139" i="32"/>
  <c r="U968" i="32"/>
  <c r="O968" i="32"/>
  <c r="P968" i="32"/>
  <c r="U902" i="32"/>
  <c r="P902" i="32"/>
  <c r="O902" i="32"/>
  <c r="U680" i="32"/>
  <c r="V680" i="32" s="1"/>
  <c r="W680" i="32" s="1"/>
  <c r="P680" i="32"/>
  <c r="O680" i="32"/>
  <c r="U429" i="32"/>
  <c r="P429" i="32"/>
  <c r="O429" i="32"/>
  <c r="U1262" i="32"/>
  <c r="P1262" i="32"/>
  <c r="O1262" i="32"/>
  <c r="U1147" i="32"/>
  <c r="P1147" i="32"/>
  <c r="O1147" i="32"/>
  <c r="U1034" i="32"/>
  <c r="O1034" i="32"/>
  <c r="P1034" i="32"/>
  <c r="U914" i="32"/>
  <c r="V914" i="32" s="1"/>
  <c r="W914" i="32" s="1"/>
  <c r="O914" i="32"/>
  <c r="P914" i="32"/>
  <c r="U812" i="32"/>
  <c r="O812" i="32"/>
  <c r="P812" i="32"/>
  <c r="U698" i="32"/>
  <c r="O698" i="32"/>
  <c r="P698" i="32"/>
  <c r="U452" i="32"/>
  <c r="V452" i="32" s="1"/>
  <c r="W452" i="32" s="1"/>
  <c r="O452" i="32"/>
  <c r="P452" i="32"/>
  <c r="U1288" i="32"/>
  <c r="V1288" i="32" s="1"/>
  <c r="W1288" i="32" s="1"/>
  <c r="O1288" i="32"/>
  <c r="P1288" i="32"/>
  <c r="U1231" i="32"/>
  <c r="O1231" i="32"/>
  <c r="P1231" i="32"/>
  <c r="U1118" i="32"/>
  <c r="V1118" i="32" s="1"/>
  <c r="W1118" i="32" s="1"/>
  <c r="P1118" i="32"/>
  <c r="O1118" i="32"/>
  <c r="U1003" i="32"/>
  <c r="O1003" i="32"/>
  <c r="P1003" i="32"/>
  <c r="U752" i="32"/>
  <c r="V752" i="32" s="1"/>
  <c r="W752" i="32" s="1"/>
  <c r="O752" i="32"/>
  <c r="P752" i="32"/>
  <c r="U520" i="32"/>
  <c r="V520" i="32" s="1"/>
  <c r="W520" i="32" s="1"/>
  <c r="P520" i="32"/>
  <c r="O520" i="32"/>
  <c r="U372" i="32"/>
  <c r="P372" i="32"/>
  <c r="O372" i="32"/>
  <c r="U1251" i="32"/>
  <c r="V1251" i="32" s="1"/>
  <c r="W1251" i="32" s="1"/>
  <c r="O1251" i="32"/>
  <c r="P1251" i="32"/>
  <c r="U1194" i="32"/>
  <c r="P1194" i="32"/>
  <c r="O1194" i="32"/>
  <c r="U1136" i="32"/>
  <c r="P1136" i="32"/>
  <c r="O1136" i="32"/>
  <c r="U1051" i="32"/>
  <c r="V1051" i="32" s="1"/>
  <c r="W1051" i="32" s="1"/>
  <c r="P1051" i="32"/>
  <c r="O1051" i="32"/>
  <c r="U995" i="32"/>
  <c r="O995" i="32"/>
  <c r="P995" i="32"/>
  <c r="U938" i="32"/>
  <c r="V938" i="32" s="1"/>
  <c r="W938" i="32" s="1"/>
  <c r="P938" i="32"/>
  <c r="O938" i="32"/>
  <c r="U848" i="32"/>
  <c r="V848" i="32" s="1"/>
  <c r="W848" i="32" s="1"/>
  <c r="P848" i="32"/>
  <c r="O848" i="32"/>
  <c r="U733" i="32"/>
  <c r="V733" i="32" s="1"/>
  <c r="W733" i="32" s="1"/>
  <c r="P733" i="32"/>
  <c r="O733" i="32"/>
  <c r="U677" i="32"/>
  <c r="V677" i="32" s="1"/>
  <c r="W677" i="32" s="1"/>
  <c r="P677" i="32"/>
  <c r="O677" i="32"/>
  <c r="U500" i="32"/>
  <c r="V500" i="32" s="1"/>
  <c r="W500" i="32" s="1"/>
  <c r="O500" i="32"/>
  <c r="P500" i="32"/>
  <c r="U348" i="32"/>
  <c r="V348" i="32" s="1"/>
  <c r="W348" i="32" s="1"/>
  <c r="P348" i="32"/>
  <c r="O348" i="32"/>
  <c r="U199" i="32"/>
  <c r="V199" i="32" s="1"/>
  <c r="W199" i="32" s="1"/>
  <c r="O199" i="32"/>
  <c r="P199" i="32"/>
  <c r="U1270" i="32"/>
  <c r="V1270" i="32" s="1"/>
  <c r="W1270" i="32" s="1"/>
  <c r="O1270" i="32"/>
  <c r="P1270" i="32"/>
  <c r="U1214" i="32"/>
  <c r="V1214" i="32" s="1"/>
  <c r="W1214" i="32" s="1"/>
  <c r="O1214" i="32"/>
  <c r="P1214" i="32"/>
  <c r="U1128" i="32"/>
  <c r="O1128" i="32"/>
  <c r="P1128" i="32"/>
  <c r="U1014" i="32"/>
  <c r="P1014" i="32"/>
  <c r="O1014" i="32"/>
  <c r="U958" i="32"/>
  <c r="V958" i="32" s="1"/>
  <c r="W958" i="32" s="1"/>
  <c r="P958" i="32"/>
  <c r="O958" i="32"/>
  <c r="U886" i="32"/>
  <c r="V886" i="32" s="1"/>
  <c r="W886" i="32" s="1"/>
  <c r="O886" i="32"/>
  <c r="P886" i="32"/>
  <c r="U773" i="32"/>
  <c r="V773" i="32" s="1"/>
  <c r="W773" i="32" s="1"/>
  <c r="O773" i="32"/>
  <c r="P773" i="32"/>
  <c r="U658" i="32"/>
  <c r="P658" i="32"/>
  <c r="O658" i="32"/>
  <c r="U476" i="32"/>
  <c r="O476" i="32"/>
  <c r="P476" i="32"/>
  <c r="U309" i="32"/>
  <c r="O309" i="32"/>
  <c r="P309" i="32"/>
  <c r="U127" i="32"/>
  <c r="O127" i="32"/>
  <c r="P127" i="32"/>
  <c r="U853" i="32"/>
  <c r="O853" i="32"/>
  <c r="P853" i="32"/>
  <c r="U796" i="32"/>
  <c r="O796" i="32"/>
  <c r="P796" i="32"/>
  <c r="U768" i="32"/>
  <c r="O768" i="32"/>
  <c r="P768" i="32"/>
  <c r="U710" i="32"/>
  <c r="O710" i="32"/>
  <c r="P710" i="32"/>
  <c r="U629" i="32"/>
  <c r="P629" i="32"/>
  <c r="O629" i="32"/>
  <c r="U564" i="32"/>
  <c r="P564" i="32"/>
  <c r="O564" i="32"/>
  <c r="U536" i="32"/>
  <c r="P536" i="32"/>
  <c r="O536" i="32"/>
  <c r="U468" i="32"/>
  <c r="P468" i="32"/>
  <c r="O468" i="32"/>
  <c r="U354" i="32"/>
  <c r="V354" i="32" s="1"/>
  <c r="W354" i="32" s="1"/>
  <c r="P354" i="32"/>
  <c r="O354" i="32"/>
  <c r="U221" i="32"/>
  <c r="O221" i="32"/>
  <c r="P221" i="32"/>
  <c r="U1298" i="32"/>
  <c r="O1298" i="32"/>
  <c r="P1298" i="32"/>
  <c r="U1255" i="32"/>
  <c r="P1255" i="32"/>
  <c r="O1255" i="32"/>
  <c r="U1234" i="32"/>
  <c r="P1234" i="32"/>
  <c r="O1234" i="32"/>
  <c r="U1212" i="32"/>
  <c r="V1212" i="32" s="1"/>
  <c r="W1212" i="32" s="1"/>
  <c r="O1212" i="32"/>
  <c r="P1212" i="32"/>
  <c r="U1148" i="32"/>
  <c r="P1148" i="32"/>
  <c r="O1148" i="32"/>
  <c r="U1106" i="32"/>
  <c r="O1106" i="32"/>
  <c r="P1106" i="32"/>
  <c r="U1063" i="32"/>
  <c r="V1063" i="32" s="1"/>
  <c r="W1063" i="32" s="1"/>
  <c r="O1063" i="32"/>
  <c r="P1063" i="32"/>
  <c r="U1020" i="32"/>
  <c r="V1020" i="32" s="1"/>
  <c r="W1020" i="32" s="1"/>
  <c r="P1020" i="32"/>
  <c r="O1020" i="32"/>
  <c r="U978" i="32"/>
  <c r="V978" i="32" s="1"/>
  <c r="W978" i="32" s="1"/>
  <c r="P978" i="32"/>
  <c r="O978" i="32"/>
  <c r="U934" i="32"/>
  <c r="P934" i="32"/>
  <c r="O934" i="32"/>
  <c r="U906" i="32"/>
  <c r="V906" i="32" s="1"/>
  <c r="W906" i="32" s="1"/>
  <c r="P906" i="32"/>
  <c r="O906" i="32"/>
  <c r="U849" i="32"/>
  <c r="V849" i="32" s="1"/>
  <c r="W849" i="32" s="1"/>
  <c r="P849" i="32"/>
  <c r="O849" i="32"/>
  <c r="U792" i="32"/>
  <c r="V792" i="32" s="1"/>
  <c r="W792" i="32" s="1"/>
  <c r="O792" i="32"/>
  <c r="P792" i="32"/>
  <c r="U764" i="32"/>
  <c r="P764" i="32"/>
  <c r="O764" i="32"/>
  <c r="U706" i="32"/>
  <c r="V706" i="32" s="1"/>
  <c r="W706" i="32" s="1"/>
  <c r="P706" i="32"/>
  <c r="O706" i="32"/>
  <c r="U626" i="32"/>
  <c r="O626" i="32"/>
  <c r="P626" i="32"/>
  <c r="U561" i="32"/>
  <c r="P561" i="32"/>
  <c r="O561" i="32"/>
  <c r="U465" i="32"/>
  <c r="P465" i="32"/>
  <c r="O465" i="32"/>
  <c r="U388" i="32"/>
  <c r="V388" i="32" s="1"/>
  <c r="W388" i="32" s="1"/>
  <c r="O388" i="32"/>
  <c r="P388" i="32"/>
  <c r="U350" i="32"/>
  <c r="V350" i="32" s="1"/>
  <c r="W350" i="32" s="1"/>
  <c r="P350" i="32"/>
  <c r="O350" i="32"/>
  <c r="U207" i="32"/>
  <c r="P207" i="32"/>
  <c r="O207" i="32"/>
  <c r="U209" i="32"/>
  <c r="P209" i="32"/>
  <c r="O209" i="32"/>
  <c r="U153" i="32"/>
  <c r="P153" i="32"/>
  <c r="O153" i="32"/>
  <c r="U39" i="32"/>
  <c r="O39" i="32"/>
  <c r="P39" i="32"/>
  <c r="U1281" i="32"/>
  <c r="P1281" i="32"/>
  <c r="O1281" i="32"/>
  <c r="U1249" i="32"/>
  <c r="V1249" i="32" s="1"/>
  <c r="W1249" i="32" s="1"/>
  <c r="P1249" i="32"/>
  <c r="O1249" i="32"/>
  <c r="U1217" i="32"/>
  <c r="P1217" i="32"/>
  <c r="O1217" i="32"/>
  <c r="U1169" i="32"/>
  <c r="P1169" i="32"/>
  <c r="O1169" i="32"/>
  <c r="U1121" i="32"/>
  <c r="O1121" i="32"/>
  <c r="P1121" i="32"/>
  <c r="U1105" i="32"/>
  <c r="V1105" i="32" s="1"/>
  <c r="W1105" i="32" s="1"/>
  <c r="O1105" i="32"/>
  <c r="P1105" i="32"/>
  <c r="U1073" i="32"/>
  <c r="O1073" i="32"/>
  <c r="P1073" i="32"/>
  <c r="U1041" i="32"/>
  <c r="P1041" i="32"/>
  <c r="O1041" i="32"/>
  <c r="U1009" i="32"/>
  <c r="V1009" i="32" s="1"/>
  <c r="W1009" i="32" s="1"/>
  <c r="O1009" i="32"/>
  <c r="P1009" i="32"/>
  <c r="U977" i="32"/>
  <c r="V977" i="32" s="1"/>
  <c r="W977" i="32" s="1"/>
  <c r="P977" i="32"/>
  <c r="O977" i="32"/>
  <c r="U926" i="32"/>
  <c r="O926" i="32"/>
  <c r="P926" i="32"/>
  <c r="U884" i="32"/>
  <c r="V884" i="32" s="1"/>
  <c r="W884" i="32" s="1"/>
  <c r="P884" i="32"/>
  <c r="O884" i="32"/>
  <c r="U841" i="32"/>
  <c r="V841" i="32" s="1"/>
  <c r="W841" i="32" s="1"/>
  <c r="P841" i="32"/>
  <c r="O841" i="32"/>
  <c r="U798" i="32"/>
  <c r="V798" i="32" s="1"/>
  <c r="W798" i="32" s="1"/>
  <c r="O798" i="32"/>
  <c r="P798" i="32"/>
  <c r="U756" i="32"/>
  <c r="V756" i="32" s="1"/>
  <c r="W756" i="32" s="1"/>
  <c r="P756" i="32"/>
  <c r="O756" i="32"/>
  <c r="U713" i="32"/>
  <c r="V713" i="32" s="1"/>
  <c r="W713" i="32" s="1"/>
  <c r="O713" i="32"/>
  <c r="P713" i="32"/>
  <c r="U692" i="32"/>
  <c r="V692" i="32" s="1"/>
  <c r="W692" i="32" s="1"/>
  <c r="P692" i="32"/>
  <c r="O692" i="32"/>
  <c r="U650" i="32"/>
  <c r="V650" i="32" s="1"/>
  <c r="W650" i="32" s="1"/>
  <c r="P650" i="32"/>
  <c r="O650" i="32"/>
  <c r="U589" i="32"/>
  <c r="V589" i="32" s="1"/>
  <c r="W589" i="32" s="1"/>
  <c r="P589" i="32"/>
  <c r="O589" i="32"/>
  <c r="U538" i="32"/>
  <c r="P538" i="32"/>
  <c r="O538" i="32"/>
  <c r="U517" i="32"/>
  <c r="V517" i="32" s="1"/>
  <c r="W517" i="32" s="1"/>
  <c r="P517" i="32"/>
  <c r="O517" i="32"/>
  <c r="U462" i="32"/>
  <c r="V462" i="32" s="1"/>
  <c r="W462" i="32" s="1"/>
  <c r="P462" i="32"/>
  <c r="O462" i="32"/>
  <c r="U434" i="32"/>
  <c r="P434" i="32"/>
  <c r="O434" i="32"/>
  <c r="U349" i="32"/>
  <c r="V349" i="32" s="1"/>
  <c r="W349" i="32" s="1"/>
  <c r="O349" i="32"/>
  <c r="P349" i="32"/>
  <c r="U245" i="32"/>
  <c r="V245" i="32" s="1"/>
  <c r="W245" i="32" s="1"/>
  <c r="O245" i="32"/>
  <c r="P245" i="32"/>
  <c r="U189" i="32"/>
  <c r="P189" i="32"/>
  <c r="O189" i="32"/>
  <c r="U17" i="32"/>
  <c r="V17" i="32" s="1"/>
  <c r="W17" i="32" s="1"/>
  <c r="P17" i="32"/>
  <c r="O17" i="32"/>
  <c r="U895" i="32"/>
  <c r="V895" i="32" s="1"/>
  <c r="W895" i="32" s="1"/>
  <c r="P895" i="32"/>
  <c r="O895" i="32"/>
  <c r="U847" i="32"/>
  <c r="V847" i="32" s="1"/>
  <c r="W847" i="32" s="1"/>
  <c r="P847" i="32"/>
  <c r="O847" i="32"/>
  <c r="U815" i="32"/>
  <c r="O815" i="32"/>
  <c r="P815" i="32"/>
  <c r="U783" i="32"/>
  <c r="V783" i="32" s="1"/>
  <c r="W783" i="32" s="1"/>
  <c r="O783" i="32"/>
  <c r="P783" i="32"/>
  <c r="U751" i="32"/>
  <c r="O751" i="32"/>
  <c r="P751" i="32"/>
  <c r="U703" i="32"/>
  <c r="O703" i="32"/>
  <c r="P703" i="32"/>
  <c r="U687" i="32"/>
  <c r="O687" i="32"/>
  <c r="P687" i="32"/>
  <c r="U655" i="32"/>
  <c r="O655" i="32"/>
  <c r="P655" i="32"/>
  <c r="U574" i="32"/>
  <c r="V574" i="32" s="1"/>
  <c r="W574" i="32" s="1"/>
  <c r="O574" i="32"/>
  <c r="P574" i="32"/>
  <c r="U595" i="32"/>
  <c r="O595" i="32"/>
  <c r="P595" i="32"/>
  <c r="U555" i="32"/>
  <c r="V555" i="32" s="1"/>
  <c r="W555" i="32" s="1"/>
  <c r="P555" i="32"/>
  <c r="O555" i="32"/>
  <c r="U523" i="32"/>
  <c r="O523" i="32"/>
  <c r="P523" i="32"/>
  <c r="U485" i="32"/>
  <c r="O485" i="32"/>
  <c r="P485" i="32"/>
  <c r="U464" i="32"/>
  <c r="P464" i="32"/>
  <c r="O464" i="32"/>
  <c r="U400" i="32"/>
  <c r="V400" i="32" s="1"/>
  <c r="W400" i="32" s="1"/>
  <c r="P400" i="32"/>
  <c r="O400" i="32"/>
  <c r="U357" i="32"/>
  <c r="P357" i="32"/>
  <c r="O357" i="32"/>
  <c r="U289" i="32"/>
  <c r="V289" i="32" s="1"/>
  <c r="W289" i="32" s="1"/>
  <c r="P289" i="32"/>
  <c r="O289" i="32"/>
  <c r="U205" i="32"/>
  <c r="V205" i="32" s="1"/>
  <c r="W205" i="32" s="1"/>
  <c r="P205" i="32"/>
  <c r="O205" i="32"/>
  <c r="U77" i="32"/>
  <c r="P77" i="32"/>
  <c r="O77" i="32"/>
  <c r="U491" i="32"/>
  <c r="O491" i="32"/>
  <c r="P491" i="32"/>
  <c r="U459" i="32"/>
  <c r="V459" i="32" s="1"/>
  <c r="W459" i="32" s="1"/>
  <c r="P459" i="32"/>
  <c r="O459" i="32"/>
  <c r="U427" i="32"/>
  <c r="V427" i="32" s="1"/>
  <c r="W427" i="32" s="1"/>
  <c r="O427" i="32"/>
  <c r="P427" i="32"/>
  <c r="U395" i="32"/>
  <c r="P395" i="32"/>
  <c r="O395" i="32"/>
  <c r="U363" i="32"/>
  <c r="V363" i="32" s="1"/>
  <c r="W363" i="32" s="1"/>
  <c r="P363" i="32"/>
  <c r="O363" i="32"/>
  <c r="U323" i="32"/>
  <c r="P323" i="32"/>
  <c r="O323" i="32"/>
  <c r="U227" i="32"/>
  <c r="O227" i="32"/>
  <c r="P227" i="32"/>
  <c r="U195" i="32"/>
  <c r="V195" i="32" s="1"/>
  <c r="W195" i="32" s="1"/>
  <c r="P195" i="32"/>
  <c r="O195" i="32"/>
  <c r="U131" i="32"/>
  <c r="P131" i="32"/>
  <c r="O131" i="32"/>
  <c r="U67" i="32"/>
  <c r="V67" i="32" s="1"/>
  <c r="W67" i="32" s="1"/>
  <c r="O67" i="32"/>
  <c r="P67" i="32"/>
  <c r="O35" i="32"/>
  <c r="U35" i="32"/>
  <c r="P35" i="32"/>
  <c r="U310" i="32"/>
  <c r="P310" i="32"/>
  <c r="O310" i="32"/>
  <c r="U278" i="32"/>
  <c r="V278" i="32" s="1"/>
  <c r="W278" i="32" s="1"/>
  <c r="P278" i="32"/>
  <c r="O278" i="32"/>
  <c r="U246" i="32"/>
  <c r="V246" i="32" s="1"/>
  <c r="W246" i="32" s="1"/>
  <c r="P246" i="32"/>
  <c r="O246" i="32"/>
  <c r="U214" i="32"/>
  <c r="V214" i="32" s="1"/>
  <c r="W214" i="32" s="1"/>
  <c r="P214" i="32"/>
  <c r="O214" i="32"/>
  <c r="U198" i="32"/>
  <c r="V198" i="32" s="1"/>
  <c r="W198" i="32" s="1"/>
  <c r="P198" i="32"/>
  <c r="O198" i="32"/>
  <c r="U166" i="32"/>
  <c r="O166" i="32"/>
  <c r="P166" i="32"/>
  <c r="U134" i="32"/>
  <c r="P134" i="32"/>
  <c r="O134" i="32"/>
  <c r="U102" i="32"/>
  <c r="V102" i="32" s="1"/>
  <c r="W102" i="32" s="1"/>
  <c r="P102" i="32"/>
  <c r="O102" i="32"/>
  <c r="U70" i="32"/>
  <c r="O70" i="32"/>
  <c r="P70" i="32"/>
  <c r="U38" i="32"/>
  <c r="V38" i="32" s="1"/>
  <c r="W38" i="32" s="1"/>
  <c r="O38" i="32"/>
  <c r="P38" i="32"/>
  <c r="U6" i="32"/>
  <c r="P6" i="32"/>
  <c r="O6" i="32"/>
  <c r="U312" i="32"/>
  <c r="O312" i="32"/>
  <c r="P312" i="32"/>
  <c r="U280" i="32"/>
  <c r="P280" i="32"/>
  <c r="O280" i="32"/>
  <c r="U248" i="32"/>
  <c r="V248" i="32" s="1"/>
  <c r="W248" i="32" s="1"/>
  <c r="P248" i="32"/>
  <c r="O248" i="32"/>
  <c r="U216" i="32"/>
  <c r="O216" i="32"/>
  <c r="P216" i="32"/>
  <c r="U168" i="32"/>
  <c r="P168" i="32"/>
  <c r="O168" i="32"/>
  <c r="U136" i="32"/>
  <c r="O136" i="32"/>
  <c r="P136" i="32"/>
  <c r="U24" i="32"/>
  <c r="O24" i="32"/>
  <c r="P24" i="32"/>
  <c r="U1254" i="32"/>
  <c r="P1254" i="32"/>
  <c r="O1254" i="32"/>
  <c r="U1198" i="32"/>
  <c r="O1198" i="32"/>
  <c r="P1198" i="32"/>
  <c r="U1140" i="32"/>
  <c r="O1140" i="32"/>
  <c r="P1140" i="32"/>
  <c r="U1083" i="32"/>
  <c r="V1083" i="32" s="1"/>
  <c r="W1083" i="32" s="1"/>
  <c r="P1083" i="32"/>
  <c r="O1083" i="32"/>
  <c r="U1027" i="32"/>
  <c r="V1027" i="32" s="1"/>
  <c r="W1027" i="32" s="1"/>
  <c r="P1027" i="32"/>
  <c r="O1027" i="32"/>
  <c r="U970" i="32"/>
  <c r="P970" i="32"/>
  <c r="O970" i="32"/>
  <c r="U904" i="32"/>
  <c r="O904" i="32"/>
  <c r="P904" i="32"/>
  <c r="U797" i="32"/>
  <c r="V797" i="32" s="1"/>
  <c r="W797" i="32" s="1"/>
  <c r="O797" i="32"/>
  <c r="P797" i="32"/>
  <c r="U684" i="32"/>
  <c r="O684" i="32"/>
  <c r="P684" i="32"/>
  <c r="U566" i="32"/>
  <c r="V566" i="32" s="1"/>
  <c r="W566" i="32" s="1"/>
  <c r="P566" i="32"/>
  <c r="O566" i="32"/>
  <c r="U433" i="32"/>
  <c r="P433" i="32"/>
  <c r="O433" i="32"/>
  <c r="U223" i="32"/>
  <c r="P223" i="32"/>
  <c r="O223" i="32"/>
  <c r="U1280" i="32"/>
  <c r="P1280" i="32"/>
  <c r="O1280" i="32"/>
  <c r="U1224" i="32"/>
  <c r="O1224" i="32"/>
  <c r="P1224" i="32"/>
  <c r="U1167" i="32"/>
  <c r="O1167" i="32"/>
  <c r="P1167" i="32"/>
  <c r="U1110" i="32"/>
  <c r="V1110" i="32" s="1"/>
  <c r="W1110" i="32" s="1"/>
  <c r="O1110" i="32"/>
  <c r="P1110" i="32"/>
  <c r="U1054" i="32"/>
  <c r="V1054" i="32" s="1"/>
  <c r="W1054" i="32" s="1"/>
  <c r="O1054" i="32"/>
  <c r="P1054" i="32"/>
  <c r="U996" i="32"/>
  <c r="P996" i="32"/>
  <c r="O996" i="32"/>
  <c r="U939" i="32"/>
  <c r="O939" i="32"/>
  <c r="P939" i="32"/>
  <c r="U850" i="32"/>
  <c r="P850" i="32"/>
  <c r="O850" i="32"/>
  <c r="U737" i="32"/>
  <c r="V737" i="32" s="1"/>
  <c r="W737" i="32" s="1"/>
  <c r="O737" i="32"/>
  <c r="P737" i="32"/>
  <c r="U628" i="32"/>
  <c r="P628" i="32"/>
  <c r="O628" i="32"/>
  <c r="U504" i="32"/>
  <c r="V504" i="32" s="1"/>
  <c r="W504" i="32" s="1"/>
  <c r="P504" i="32"/>
  <c r="O504" i="32"/>
  <c r="U353" i="32"/>
  <c r="O353" i="32"/>
  <c r="P353" i="32"/>
  <c r="U1290" i="32"/>
  <c r="P1290" i="32"/>
  <c r="O1290" i="32"/>
  <c r="U1232" i="32"/>
  <c r="P1232" i="32"/>
  <c r="O1232" i="32"/>
  <c r="U1176" i="32"/>
  <c r="V1176" i="32" s="1"/>
  <c r="W1176" i="32" s="1"/>
  <c r="P1176" i="32"/>
  <c r="O1176" i="32"/>
  <c r="U1119" i="32"/>
  <c r="V1119" i="32" s="1"/>
  <c r="W1119" i="32" s="1"/>
  <c r="O1119" i="32"/>
  <c r="P1119" i="32"/>
  <c r="U1062" i="32"/>
  <c r="O1062" i="32"/>
  <c r="P1062" i="32"/>
  <c r="U1006" i="32"/>
  <c r="V1006" i="32" s="1"/>
  <c r="W1006" i="32" s="1"/>
  <c r="P1006" i="32"/>
  <c r="O1006" i="32"/>
  <c r="U948" i="32"/>
  <c r="P948" i="32"/>
  <c r="O948" i="32"/>
  <c r="U869" i="32"/>
  <c r="V869" i="32" s="1"/>
  <c r="W869" i="32" s="1"/>
  <c r="P869" i="32"/>
  <c r="O869" i="32"/>
  <c r="U754" i="32"/>
  <c r="V754" i="32" s="1"/>
  <c r="W754" i="32" s="1"/>
  <c r="P754" i="32"/>
  <c r="O754" i="32"/>
  <c r="U642" i="32"/>
  <c r="P642" i="32"/>
  <c r="O642" i="32"/>
  <c r="U524" i="32"/>
  <c r="V524" i="32" s="1"/>
  <c r="W524" i="32" s="1"/>
  <c r="O524" i="32"/>
  <c r="P524" i="32"/>
  <c r="U376" i="32"/>
  <c r="V376" i="32" s="1"/>
  <c r="W376" i="32" s="1"/>
  <c r="P376" i="32"/>
  <c r="O376" i="32"/>
  <c r="U57" i="32"/>
  <c r="V57" i="32" s="1"/>
  <c r="W57" i="32" s="1"/>
  <c r="O57" i="32"/>
  <c r="P57" i="32"/>
  <c r="U1259" i="32"/>
  <c r="P1259" i="32"/>
  <c r="O1259" i="32"/>
  <c r="U1203" i="32"/>
  <c r="O1203" i="32"/>
  <c r="P1203" i="32"/>
  <c r="U1146" i="32"/>
  <c r="V1146" i="32" s="1"/>
  <c r="W1146" i="32" s="1"/>
  <c r="P1146" i="32"/>
  <c r="O1146" i="32"/>
  <c r="U1088" i="32"/>
  <c r="O1088" i="32"/>
  <c r="P1088" i="32"/>
  <c r="U1032" i="32"/>
  <c r="P1032" i="32"/>
  <c r="O1032" i="32"/>
  <c r="U975" i="32"/>
  <c r="V975" i="32" s="1"/>
  <c r="W975" i="32" s="1"/>
  <c r="O975" i="32"/>
  <c r="P975" i="32"/>
  <c r="U912" i="32"/>
  <c r="V912" i="32" s="1"/>
  <c r="W912" i="32" s="1"/>
  <c r="P912" i="32"/>
  <c r="O912" i="32"/>
  <c r="U808" i="32"/>
  <c r="P808" i="32"/>
  <c r="O808" i="32"/>
  <c r="U694" i="32"/>
  <c r="V694" i="32" s="1"/>
  <c r="W694" i="32" s="1"/>
  <c r="P694" i="32"/>
  <c r="O694" i="32"/>
  <c r="U585" i="32"/>
  <c r="P585" i="32"/>
  <c r="O585" i="32"/>
  <c r="U446" i="32"/>
  <c r="V446" i="32" s="1"/>
  <c r="W446" i="32" s="1"/>
  <c r="O446" i="32"/>
  <c r="P446" i="32"/>
  <c r="U253" i="32"/>
  <c r="O253" i="32"/>
  <c r="P253" i="32"/>
  <c r="U1294" i="32"/>
  <c r="P1294" i="32"/>
  <c r="O1294" i="32"/>
  <c r="U1264" i="32"/>
  <c r="P1264" i="32"/>
  <c r="O1264" i="32"/>
  <c r="U1236" i="32"/>
  <c r="V1236" i="32" s="1"/>
  <c r="W1236" i="32" s="1"/>
  <c r="P1236" i="32"/>
  <c r="O1236" i="32"/>
  <c r="U1208" i="32"/>
  <c r="V1208" i="32" s="1"/>
  <c r="W1208" i="32" s="1"/>
  <c r="P1208" i="32"/>
  <c r="O1208" i="32"/>
  <c r="U1179" i="32"/>
  <c r="V1179" i="32" s="1"/>
  <c r="W1179" i="32" s="1"/>
  <c r="P1179" i="32"/>
  <c r="O1179" i="32"/>
  <c r="U1151" i="32"/>
  <c r="V1151" i="32" s="1"/>
  <c r="W1151" i="32" s="1"/>
  <c r="O1151" i="32"/>
  <c r="P1151" i="32"/>
  <c r="U1123" i="32"/>
  <c r="O1123" i="32"/>
  <c r="P1123" i="32"/>
  <c r="U1094" i="32"/>
  <c r="O1094" i="32"/>
  <c r="P1094" i="32"/>
  <c r="U1066" i="32"/>
  <c r="O1066" i="32"/>
  <c r="P1066" i="32"/>
  <c r="U1038" i="32"/>
  <c r="V1038" i="32" s="1"/>
  <c r="W1038" i="32" s="1"/>
  <c r="O1038" i="32"/>
  <c r="P1038" i="32"/>
  <c r="U1008" i="32"/>
  <c r="P1008" i="32"/>
  <c r="O1008" i="32"/>
  <c r="U980" i="32"/>
  <c r="P980" i="32"/>
  <c r="O980" i="32"/>
  <c r="U952" i="32"/>
  <c r="O952" i="32"/>
  <c r="P952" i="32"/>
  <c r="U918" i="32"/>
  <c r="P918" i="32"/>
  <c r="O918" i="32"/>
  <c r="U876" i="32"/>
  <c r="V876" i="32" s="1"/>
  <c r="W876" i="32" s="1"/>
  <c r="P876" i="32"/>
  <c r="O876" i="32"/>
  <c r="U818" i="32"/>
  <c r="V818" i="32" s="1"/>
  <c r="W818" i="32" s="1"/>
  <c r="O818" i="32"/>
  <c r="P818" i="32"/>
  <c r="U762" i="32"/>
  <c r="V762" i="32" s="1"/>
  <c r="W762" i="32" s="1"/>
  <c r="O762" i="32"/>
  <c r="P762" i="32"/>
  <c r="U705" i="32"/>
  <c r="V705" i="32" s="1"/>
  <c r="W705" i="32" s="1"/>
  <c r="O705" i="32"/>
  <c r="P705" i="32"/>
  <c r="U649" i="32"/>
  <c r="O649" i="32"/>
  <c r="P649" i="32"/>
  <c r="U575" i="32"/>
  <c r="O575" i="32"/>
  <c r="P575" i="32"/>
  <c r="U530" i="32"/>
  <c r="V530" i="32" s="1"/>
  <c r="W530" i="32" s="1"/>
  <c r="O530" i="32"/>
  <c r="P530" i="32"/>
  <c r="U461" i="32"/>
  <c r="V461" i="32" s="1"/>
  <c r="W461" i="32" s="1"/>
  <c r="P461" i="32"/>
  <c r="O461" i="32"/>
  <c r="U386" i="32"/>
  <c r="V386" i="32" s="1"/>
  <c r="W386" i="32" s="1"/>
  <c r="P386" i="32"/>
  <c r="O386" i="32"/>
  <c r="U281" i="32"/>
  <c r="V281" i="32" s="1"/>
  <c r="W281" i="32" s="1"/>
  <c r="P281" i="32"/>
  <c r="O281" i="32"/>
  <c r="U85" i="32"/>
  <c r="V85" i="32" s="1"/>
  <c r="W85" i="32" s="1"/>
  <c r="P85" i="32"/>
  <c r="O85" i="32"/>
  <c r="U1284" i="32"/>
  <c r="O1284" i="32"/>
  <c r="P1284" i="32"/>
  <c r="U1256" i="32"/>
  <c r="P1256" i="32"/>
  <c r="O1256" i="32"/>
  <c r="U1227" i="32"/>
  <c r="V1227" i="32" s="1"/>
  <c r="W1227" i="32" s="1"/>
  <c r="P1227" i="32"/>
  <c r="O1227" i="32"/>
  <c r="U1199" i="32"/>
  <c r="O1199" i="32"/>
  <c r="P1199" i="32"/>
  <c r="U1171" i="32"/>
  <c r="O1171" i="32"/>
  <c r="P1171" i="32"/>
  <c r="U1142" i="32"/>
  <c r="O1142" i="32"/>
  <c r="P1142" i="32"/>
  <c r="U1114" i="32"/>
  <c r="V1114" i="32" s="1"/>
  <c r="W1114" i="32" s="1"/>
  <c r="P1114" i="32"/>
  <c r="O1114" i="32"/>
  <c r="U1086" i="32"/>
  <c r="V1086" i="32" s="1"/>
  <c r="W1086" i="32" s="1"/>
  <c r="P1086" i="32"/>
  <c r="O1086" i="32"/>
  <c r="U1056" i="32"/>
  <c r="P1056" i="32"/>
  <c r="O1056" i="32"/>
  <c r="U1028" i="32"/>
  <c r="O1028" i="32"/>
  <c r="P1028" i="32"/>
  <c r="U1000" i="32"/>
  <c r="V1000" i="32" s="1"/>
  <c r="W1000" i="32" s="1"/>
  <c r="O1000" i="32"/>
  <c r="P1000" i="32"/>
  <c r="U971" i="32"/>
  <c r="V971" i="32" s="1"/>
  <c r="W971" i="32" s="1"/>
  <c r="P971" i="32"/>
  <c r="O971" i="32"/>
  <c r="U943" i="32"/>
  <c r="V943" i="32" s="1"/>
  <c r="W943" i="32" s="1"/>
  <c r="P943" i="32"/>
  <c r="O943" i="32"/>
  <c r="U908" i="32"/>
  <c r="V908" i="32" s="1"/>
  <c r="W908" i="32" s="1"/>
  <c r="O908" i="32"/>
  <c r="P908" i="32"/>
  <c r="U858" i="32"/>
  <c r="P858" i="32"/>
  <c r="O858" i="32"/>
  <c r="U801" i="32"/>
  <c r="O801" i="32"/>
  <c r="P801" i="32"/>
  <c r="U744" i="32"/>
  <c r="V744" i="32" s="1"/>
  <c r="W744" i="32" s="1"/>
  <c r="O744" i="32"/>
  <c r="P744" i="32"/>
  <c r="U688" i="32"/>
  <c r="P688" i="32"/>
  <c r="O688" i="32"/>
  <c r="U633" i="32"/>
  <c r="P633" i="32"/>
  <c r="O633" i="32"/>
  <c r="U569" i="32"/>
  <c r="V569" i="32" s="1"/>
  <c r="W569" i="32" s="1"/>
  <c r="O569" i="32"/>
  <c r="P569" i="32"/>
  <c r="U513" i="32"/>
  <c r="P513" i="32"/>
  <c r="O513" i="32"/>
  <c r="U438" i="32"/>
  <c r="V438" i="32" s="1"/>
  <c r="W438" i="32" s="1"/>
  <c r="P438" i="32"/>
  <c r="O438" i="32"/>
  <c r="U361" i="32"/>
  <c r="P361" i="32"/>
  <c r="O361" i="32"/>
  <c r="U233" i="32"/>
  <c r="P233" i="32"/>
  <c r="O233" i="32"/>
  <c r="U15" i="32"/>
  <c r="P15" i="32"/>
  <c r="O15" i="32"/>
  <c r="U866" i="32"/>
  <c r="P866" i="32"/>
  <c r="O866" i="32"/>
  <c r="U838" i="32"/>
  <c r="V838" i="32" s="1"/>
  <c r="W838" i="32" s="1"/>
  <c r="P838" i="32"/>
  <c r="O838" i="32"/>
  <c r="U810" i="32"/>
  <c r="O810" i="32"/>
  <c r="P810" i="32"/>
  <c r="U781" i="32"/>
  <c r="V781" i="32" s="1"/>
  <c r="W781" i="32" s="1"/>
  <c r="P781" i="32"/>
  <c r="O781" i="32"/>
  <c r="U753" i="32"/>
  <c r="P753" i="32"/>
  <c r="O753" i="32"/>
  <c r="U725" i="32"/>
  <c r="O725" i="32"/>
  <c r="P725" i="32"/>
  <c r="U696" i="32"/>
  <c r="V696" i="32" s="1"/>
  <c r="W696" i="32" s="1"/>
  <c r="P696" i="32"/>
  <c r="O696" i="32"/>
  <c r="U668" i="32"/>
  <c r="O668" i="32"/>
  <c r="P668" i="32"/>
  <c r="U641" i="32"/>
  <c r="V641" i="32" s="1"/>
  <c r="W641" i="32" s="1"/>
  <c r="P641" i="32"/>
  <c r="O641" i="32"/>
  <c r="U612" i="32"/>
  <c r="P612" i="32"/>
  <c r="O612" i="32"/>
  <c r="U586" i="32"/>
  <c r="O586" i="32"/>
  <c r="P586" i="32"/>
  <c r="U550" i="32"/>
  <c r="V550" i="32" s="1"/>
  <c r="W550" i="32" s="1"/>
  <c r="O550" i="32"/>
  <c r="P550" i="32"/>
  <c r="U521" i="32"/>
  <c r="V521" i="32" s="1"/>
  <c r="W521" i="32" s="1"/>
  <c r="O521" i="32"/>
  <c r="P521" i="32"/>
  <c r="U488" i="32"/>
  <c r="O488" i="32"/>
  <c r="P488" i="32"/>
  <c r="U450" i="32"/>
  <c r="P450" i="32"/>
  <c r="O450" i="32"/>
  <c r="U412" i="32"/>
  <c r="P412" i="32"/>
  <c r="O412" i="32"/>
  <c r="U374" i="32"/>
  <c r="V374" i="32" s="1"/>
  <c r="W374" i="32" s="1"/>
  <c r="O374" i="32"/>
  <c r="P374" i="32"/>
  <c r="U335" i="32"/>
  <c r="P335" i="32"/>
  <c r="O335" i="32"/>
  <c r="U255" i="32"/>
  <c r="V255" i="32" s="1"/>
  <c r="W255" i="32" s="1"/>
  <c r="P255" i="32"/>
  <c r="O255" i="32"/>
  <c r="U165" i="32"/>
  <c r="V165" i="32" s="1"/>
  <c r="W165" i="32" s="1"/>
  <c r="P165" i="32"/>
  <c r="O165" i="32"/>
  <c r="U49" i="32"/>
  <c r="P49" i="32"/>
  <c r="O49" i="32"/>
  <c r="U1287" i="32"/>
  <c r="O1287" i="32"/>
  <c r="P1287" i="32"/>
  <c r="U1266" i="32"/>
  <c r="V1266" i="32" s="1"/>
  <c r="W1266" i="32" s="1"/>
  <c r="P1266" i="32"/>
  <c r="O1266" i="32"/>
  <c r="U1244" i="32"/>
  <c r="P1244" i="32"/>
  <c r="O1244" i="32"/>
  <c r="U1223" i="32"/>
  <c r="V1223" i="32" s="1"/>
  <c r="W1223" i="32" s="1"/>
  <c r="O1223" i="32"/>
  <c r="P1223" i="32"/>
  <c r="U1202" i="32"/>
  <c r="P1202" i="32"/>
  <c r="O1202" i="32"/>
  <c r="U1180" i="32"/>
  <c r="O1180" i="32"/>
  <c r="P1180" i="32"/>
  <c r="U1159" i="32"/>
  <c r="P1159" i="32"/>
  <c r="O1159" i="32"/>
  <c r="U1138" i="32"/>
  <c r="P1138" i="32"/>
  <c r="O1138" i="32"/>
  <c r="U1116" i="32"/>
  <c r="V1116" i="32" s="1"/>
  <c r="W1116" i="32" s="1"/>
  <c r="O1116" i="32"/>
  <c r="P1116" i="32"/>
  <c r="U1095" i="32"/>
  <c r="V1095" i="32" s="1"/>
  <c r="W1095" i="32" s="1"/>
  <c r="P1095" i="32"/>
  <c r="O1095" i="32"/>
  <c r="U1074" i="32"/>
  <c r="P1074" i="32"/>
  <c r="O1074" i="32"/>
  <c r="U1052" i="32"/>
  <c r="V1052" i="32" s="1"/>
  <c r="W1052" i="32" s="1"/>
  <c r="O1052" i="32"/>
  <c r="P1052" i="32"/>
  <c r="U1031" i="32"/>
  <c r="O1031" i="32"/>
  <c r="P1031" i="32"/>
  <c r="U1010" i="32"/>
  <c r="V1010" i="32" s="1"/>
  <c r="W1010" i="32" s="1"/>
  <c r="O1010" i="32"/>
  <c r="P1010" i="32"/>
  <c r="U988" i="32"/>
  <c r="V988" i="32" s="1"/>
  <c r="W988" i="32" s="1"/>
  <c r="O988" i="32"/>
  <c r="P988" i="32"/>
  <c r="U967" i="32"/>
  <c r="O967" i="32"/>
  <c r="P967" i="32"/>
  <c r="U946" i="32"/>
  <c r="P946" i="32"/>
  <c r="O946" i="32"/>
  <c r="U920" i="32"/>
  <c r="O920" i="32"/>
  <c r="P920" i="32"/>
  <c r="U892" i="32"/>
  <c r="V892" i="32" s="1"/>
  <c r="W892" i="32" s="1"/>
  <c r="P892" i="32"/>
  <c r="O892" i="32"/>
  <c r="U864" i="32"/>
  <c r="V864" i="32" s="1"/>
  <c r="W864" i="32" s="1"/>
  <c r="P864" i="32"/>
  <c r="O864" i="32"/>
  <c r="U834" i="32"/>
  <c r="V834" i="32" s="1"/>
  <c r="W834" i="32" s="1"/>
  <c r="O834" i="32"/>
  <c r="P834" i="32"/>
  <c r="U806" i="32"/>
  <c r="V806" i="32" s="1"/>
  <c r="W806" i="32" s="1"/>
  <c r="P806" i="32"/>
  <c r="O806" i="32"/>
  <c r="U778" i="32"/>
  <c r="O778" i="32"/>
  <c r="P778" i="32"/>
  <c r="U749" i="32"/>
  <c r="O749" i="32"/>
  <c r="P749" i="32"/>
  <c r="U721" i="32"/>
  <c r="V721" i="32" s="1"/>
  <c r="W721" i="32" s="1"/>
  <c r="O721" i="32"/>
  <c r="P721" i="32"/>
  <c r="U693" i="32"/>
  <c r="V693" i="32" s="1"/>
  <c r="W693" i="32" s="1"/>
  <c r="P693" i="32"/>
  <c r="O693" i="32"/>
  <c r="U664" i="32"/>
  <c r="P664" i="32"/>
  <c r="O664" i="32"/>
  <c r="U638" i="32"/>
  <c r="V638" i="32" s="1"/>
  <c r="W638" i="32" s="1"/>
  <c r="P638" i="32"/>
  <c r="O638" i="32"/>
  <c r="U576" i="32"/>
  <c r="O576" i="32"/>
  <c r="P576" i="32"/>
  <c r="U582" i="32"/>
  <c r="V582" i="32" s="1"/>
  <c r="W582" i="32" s="1"/>
  <c r="P582" i="32"/>
  <c r="O582" i="32"/>
  <c r="U546" i="32"/>
  <c r="V546" i="32" s="1"/>
  <c r="W546" i="32" s="1"/>
  <c r="O546" i="32"/>
  <c r="P546" i="32"/>
  <c r="U518" i="32"/>
  <c r="O518" i="32"/>
  <c r="P518" i="32"/>
  <c r="U482" i="32"/>
  <c r="P482" i="32"/>
  <c r="O482" i="32"/>
  <c r="U445" i="32"/>
  <c r="V445" i="32" s="1"/>
  <c r="W445" i="32" s="1"/>
  <c r="P445" i="32"/>
  <c r="O445" i="32"/>
  <c r="U408" i="32"/>
  <c r="V408" i="32" s="1"/>
  <c r="W408" i="32" s="1"/>
  <c r="O408" i="32"/>
  <c r="P408" i="32"/>
  <c r="U369" i="32"/>
  <c r="P369" i="32"/>
  <c r="O369" i="32"/>
  <c r="U325" i="32"/>
  <c r="V325" i="32" s="1"/>
  <c r="W325" i="32" s="1"/>
  <c r="O325" i="32"/>
  <c r="P325" i="32"/>
  <c r="U249" i="32"/>
  <c r="V249" i="32" s="1"/>
  <c r="W249" i="32" s="1"/>
  <c r="O249" i="32"/>
  <c r="P249" i="32"/>
  <c r="U149" i="32"/>
  <c r="P149" i="32"/>
  <c r="O149" i="32"/>
  <c r="U37" i="32"/>
  <c r="V37" i="32" s="1"/>
  <c r="W37" i="32" s="1"/>
  <c r="P37" i="32"/>
  <c r="O37" i="32"/>
  <c r="U181" i="32"/>
  <c r="O181" i="32"/>
  <c r="P181" i="32"/>
  <c r="O125" i="32"/>
  <c r="U125" i="32"/>
  <c r="P125" i="32"/>
  <c r="U69" i="32"/>
  <c r="P69" i="32"/>
  <c r="O69" i="32"/>
  <c r="U9" i="32"/>
  <c r="V9" i="32" s="1"/>
  <c r="W9" i="32" s="1"/>
  <c r="O9" i="32"/>
  <c r="P9" i="32"/>
  <c r="U1289" i="32"/>
  <c r="V1289" i="32" s="1"/>
  <c r="W1289" i="32" s="1"/>
  <c r="O1289" i="32"/>
  <c r="P1289" i="32"/>
  <c r="U1273" i="32"/>
  <c r="P1273" i="32"/>
  <c r="O1273" i="32"/>
  <c r="U1257" i="32"/>
  <c r="P1257" i="32"/>
  <c r="O1257" i="32"/>
  <c r="U1241" i="32"/>
  <c r="O1241" i="32"/>
  <c r="P1241" i="32"/>
  <c r="U1225" i="32"/>
  <c r="P1225" i="32"/>
  <c r="O1225" i="32"/>
  <c r="U1209" i="32"/>
  <c r="V1209" i="32" s="1"/>
  <c r="W1209" i="32" s="1"/>
  <c r="O1209" i="32"/>
  <c r="P1209" i="32"/>
  <c r="U1193" i="32"/>
  <c r="P1193" i="32"/>
  <c r="O1193" i="32"/>
  <c r="U1177" i="32"/>
  <c r="P1177" i="32"/>
  <c r="O1177" i="32"/>
  <c r="U1161" i="32"/>
  <c r="V1161" i="32" s="1"/>
  <c r="W1161" i="32" s="1"/>
  <c r="P1161" i="32"/>
  <c r="O1161" i="32"/>
  <c r="U1145" i="32"/>
  <c r="P1145" i="32"/>
  <c r="O1145" i="32"/>
  <c r="U1129" i="32"/>
  <c r="P1129" i="32"/>
  <c r="O1129" i="32"/>
  <c r="U1113" i="32"/>
  <c r="O1113" i="32"/>
  <c r="P1113" i="32"/>
  <c r="U1097" i="32"/>
  <c r="V1097" i="32" s="1"/>
  <c r="W1097" i="32" s="1"/>
  <c r="P1097" i="32"/>
  <c r="O1097" i="32"/>
  <c r="U1081" i="32"/>
  <c r="P1081" i="32"/>
  <c r="O1081" i="32"/>
  <c r="U1065" i="32"/>
  <c r="V1065" i="32" s="1"/>
  <c r="W1065" i="32" s="1"/>
  <c r="O1065" i="32"/>
  <c r="P1065" i="32"/>
  <c r="U1049" i="32"/>
  <c r="V1049" i="32" s="1"/>
  <c r="W1049" i="32" s="1"/>
  <c r="O1049" i="32"/>
  <c r="P1049" i="32"/>
  <c r="U1033" i="32"/>
  <c r="P1033" i="32"/>
  <c r="O1033" i="32"/>
  <c r="U1017" i="32"/>
  <c r="P1017" i="32"/>
  <c r="O1017" i="32"/>
  <c r="U1001" i="32"/>
  <c r="O1001" i="32"/>
  <c r="P1001" i="32"/>
  <c r="U985" i="32"/>
  <c r="V985" i="32" s="1"/>
  <c r="W985" i="32" s="1"/>
  <c r="P985" i="32"/>
  <c r="O985" i="32"/>
  <c r="U969" i="32"/>
  <c r="P969" i="32"/>
  <c r="O969" i="32"/>
  <c r="U953" i="32"/>
  <c r="V953" i="32" s="1"/>
  <c r="W953" i="32" s="1"/>
  <c r="O953" i="32"/>
  <c r="P953" i="32"/>
  <c r="U937" i="32"/>
  <c r="V937" i="32" s="1"/>
  <c r="W937" i="32" s="1"/>
  <c r="P937" i="32"/>
  <c r="O937" i="32"/>
  <c r="U916" i="32"/>
  <c r="V916" i="32" s="1"/>
  <c r="W916" i="32" s="1"/>
  <c r="O916" i="32"/>
  <c r="P916" i="32"/>
  <c r="U894" i="32"/>
  <c r="P894" i="32"/>
  <c r="O894" i="32"/>
  <c r="U873" i="32"/>
  <c r="P873" i="32"/>
  <c r="O873" i="32"/>
  <c r="U852" i="32"/>
  <c r="V852" i="32" s="1"/>
  <c r="W852" i="32" s="1"/>
  <c r="P852" i="32"/>
  <c r="O852" i="32"/>
  <c r="U830" i="32"/>
  <c r="V830" i="32" s="1"/>
  <c r="W830" i="32" s="1"/>
  <c r="O830" i="32"/>
  <c r="P830" i="32"/>
  <c r="U809" i="32"/>
  <c r="V809" i="32" s="1"/>
  <c r="W809" i="32" s="1"/>
  <c r="O809" i="32"/>
  <c r="P809" i="32"/>
  <c r="U788" i="32"/>
  <c r="V788" i="32" s="1"/>
  <c r="W788" i="32" s="1"/>
  <c r="O788" i="32"/>
  <c r="P788" i="32"/>
  <c r="U766" i="32"/>
  <c r="O766" i="32"/>
  <c r="P766" i="32"/>
  <c r="U745" i="32"/>
  <c r="V745" i="32" s="1"/>
  <c r="W745" i="32" s="1"/>
  <c r="P745" i="32"/>
  <c r="O745" i="32"/>
  <c r="U724" i="32"/>
  <c r="V724" i="32" s="1"/>
  <c r="W724" i="32" s="1"/>
  <c r="P724" i="32"/>
  <c r="O724" i="32"/>
  <c r="U702" i="32"/>
  <c r="V702" i="32" s="1"/>
  <c r="W702" i="32" s="1"/>
  <c r="O702" i="32"/>
  <c r="P702" i="32"/>
  <c r="U681" i="32"/>
  <c r="O681" i="32"/>
  <c r="P681" i="32"/>
  <c r="U660" i="32"/>
  <c r="P660" i="32"/>
  <c r="O660" i="32"/>
  <c r="U639" i="32"/>
  <c r="V639" i="32" s="1"/>
  <c r="W639" i="32" s="1"/>
  <c r="O639" i="32"/>
  <c r="P639" i="32"/>
  <c r="U622" i="32"/>
  <c r="P622" i="32"/>
  <c r="O622" i="32"/>
  <c r="U599" i="32"/>
  <c r="P599" i="32"/>
  <c r="O599" i="32"/>
  <c r="U570" i="32"/>
  <c r="V570" i="32" s="1"/>
  <c r="W570" i="32" s="1"/>
  <c r="P570" i="32"/>
  <c r="O570" i="32"/>
  <c r="U549" i="32"/>
  <c r="V549" i="32" s="1"/>
  <c r="W549" i="32" s="1"/>
  <c r="P549" i="32"/>
  <c r="O549" i="32"/>
  <c r="U528" i="32"/>
  <c r="P528" i="32"/>
  <c r="O528" i="32"/>
  <c r="U505" i="32"/>
  <c r="P505" i="32"/>
  <c r="O505" i="32"/>
  <c r="U477" i="32"/>
  <c r="V477" i="32" s="1"/>
  <c r="W477" i="32" s="1"/>
  <c r="P477" i="32"/>
  <c r="O477" i="32"/>
  <c r="U449" i="32"/>
  <c r="V449" i="32" s="1"/>
  <c r="W449" i="32" s="1"/>
  <c r="P449" i="32"/>
  <c r="O449" i="32"/>
  <c r="U420" i="32"/>
  <c r="O420" i="32"/>
  <c r="P420" i="32"/>
  <c r="U392" i="32"/>
  <c r="V392" i="32" s="1"/>
  <c r="W392" i="32" s="1"/>
  <c r="O392" i="32"/>
  <c r="P392" i="32"/>
  <c r="U364" i="32"/>
  <c r="P364" i="32"/>
  <c r="O364" i="32"/>
  <c r="U329" i="32"/>
  <c r="V329" i="32" s="1"/>
  <c r="W329" i="32" s="1"/>
  <c r="O329" i="32"/>
  <c r="P329" i="32"/>
  <c r="U273" i="32"/>
  <c r="V273" i="32" s="1"/>
  <c r="W273" i="32" s="1"/>
  <c r="O273" i="32"/>
  <c r="P273" i="32"/>
  <c r="U217" i="32"/>
  <c r="P217" i="32"/>
  <c r="O217" i="32"/>
  <c r="U159" i="32"/>
  <c r="V159" i="32" s="1"/>
  <c r="W159" i="32" s="1"/>
  <c r="P159" i="32"/>
  <c r="O159" i="32"/>
  <c r="U103" i="32"/>
  <c r="V103" i="32" s="1"/>
  <c r="W103" i="32" s="1"/>
  <c r="P103" i="32"/>
  <c r="O103" i="32"/>
  <c r="U47" i="32"/>
  <c r="P47" i="32"/>
  <c r="O47" i="32"/>
  <c r="U935" i="32"/>
  <c r="V935" i="32" s="1"/>
  <c r="W935" i="32" s="1"/>
  <c r="P935" i="32"/>
  <c r="O935" i="32"/>
  <c r="U919" i="32"/>
  <c r="O919" i="32"/>
  <c r="P919" i="32"/>
  <c r="U903" i="32"/>
  <c r="P903" i="32"/>
  <c r="O903" i="32"/>
  <c r="U887" i="32"/>
  <c r="V887" i="32" s="1"/>
  <c r="W887" i="32" s="1"/>
  <c r="P887" i="32"/>
  <c r="O887" i="32"/>
  <c r="U871" i="32"/>
  <c r="O871" i="32"/>
  <c r="P871" i="32"/>
  <c r="U855" i="32"/>
  <c r="O855" i="32"/>
  <c r="P855" i="32"/>
  <c r="U839" i="32"/>
  <c r="O839" i="32"/>
  <c r="P839" i="32"/>
  <c r="U823" i="32"/>
  <c r="P823" i="32"/>
  <c r="O823" i="32"/>
  <c r="U807" i="32"/>
  <c r="P807" i="32"/>
  <c r="O807" i="32"/>
  <c r="U791" i="32"/>
  <c r="V791" i="32" s="1"/>
  <c r="W791" i="32" s="1"/>
  <c r="P791" i="32"/>
  <c r="O791" i="32"/>
  <c r="U775" i="32"/>
  <c r="O775" i="32"/>
  <c r="P775" i="32"/>
  <c r="U759" i="32"/>
  <c r="O759" i="32"/>
  <c r="P759" i="32"/>
  <c r="U743" i="32"/>
  <c r="P743" i="32"/>
  <c r="O743" i="32"/>
  <c r="U727" i="32"/>
  <c r="P727" i="32"/>
  <c r="O727" i="32"/>
  <c r="U711" i="32"/>
  <c r="V711" i="32" s="1"/>
  <c r="W711" i="32" s="1"/>
  <c r="O711" i="32"/>
  <c r="P711" i="32"/>
  <c r="U695" i="32"/>
  <c r="O695" i="32"/>
  <c r="P695" i="32"/>
  <c r="U679" i="32"/>
  <c r="P679" i="32"/>
  <c r="O679" i="32"/>
  <c r="U663" i="32"/>
  <c r="O663" i="32"/>
  <c r="P663" i="32"/>
  <c r="U648" i="32"/>
  <c r="V648" i="32" s="1"/>
  <c r="W648" i="32" s="1"/>
  <c r="P648" i="32"/>
  <c r="O648" i="32"/>
  <c r="U634" i="32"/>
  <c r="P634" i="32"/>
  <c r="O634" i="32"/>
  <c r="U620" i="32"/>
  <c r="O620" i="32"/>
  <c r="P620" i="32"/>
  <c r="U602" i="32"/>
  <c r="P602" i="32"/>
  <c r="O602" i="32"/>
  <c r="U587" i="32"/>
  <c r="O587" i="32"/>
  <c r="P587" i="32"/>
  <c r="U563" i="32"/>
  <c r="P563" i="32"/>
  <c r="O563" i="32"/>
  <c r="U547" i="32"/>
  <c r="P547" i="32"/>
  <c r="O547" i="32"/>
  <c r="U531" i="32"/>
  <c r="O531" i="32"/>
  <c r="P531" i="32"/>
  <c r="U515" i="32"/>
  <c r="O515" i="32"/>
  <c r="P515" i="32"/>
  <c r="U496" i="32"/>
  <c r="O496" i="32"/>
  <c r="P496" i="32"/>
  <c r="U474" i="32"/>
  <c r="V474" i="32" s="1"/>
  <c r="W474" i="32" s="1"/>
  <c r="P474" i="32"/>
  <c r="O474" i="32"/>
  <c r="U453" i="32"/>
  <c r="O453" i="32"/>
  <c r="P453" i="32"/>
  <c r="U432" i="32"/>
  <c r="V432" i="32" s="1"/>
  <c r="W432" i="32" s="1"/>
  <c r="O432" i="32"/>
  <c r="P432" i="32"/>
  <c r="U410" i="32"/>
  <c r="P410" i="32"/>
  <c r="O410" i="32"/>
  <c r="U389" i="32"/>
  <c r="V389" i="32" s="1"/>
  <c r="W389" i="32" s="1"/>
  <c r="O389" i="32"/>
  <c r="P389" i="32"/>
  <c r="O368" i="32"/>
  <c r="U368" i="32"/>
  <c r="P368" i="32"/>
  <c r="U346" i="32"/>
  <c r="O346" i="32"/>
  <c r="P346" i="32"/>
  <c r="U311" i="32"/>
  <c r="O311" i="32"/>
  <c r="P311" i="32"/>
  <c r="U269" i="32"/>
  <c r="O269" i="32"/>
  <c r="P269" i="32"/>
  <c r="U225" i="32"/>
  <c r="V225" i="32" s="1"/>
  <c r="W225" i="32" s="1"/>
  <c r="O225" i="32"/>
  <c r="P225" i="32"/>
  <c r="U183" i="32"/>
  <c r="O183" i="32"/>
  <c r="P183" i="32"/>
  <c r="U141" i="32"/>
  <c r="O141" i="32"/>
  <c r="P141" i="32"/>
  <c r="U97" i="32"/>
  <c r="V97" i="32" s="1"/>
  <c r="W97" i="32" s="1"/>
  <c r="P97" i="32"/>
  <c r="O97" i="32"/>
  <c r="U55" i="32"/>
  <c r="V55" i="32" s="1"/>
  <c r="W55" i="32" s="1"/>
  <c r="P55" i="32"/>
  <c r="O55" i="32"/>
  <c r="U13" i="32"/>
  <c r="V13" i="32" s="1"/>
  <c r="W13" i="32" s="1"/>
  <c r="O13" i="32"/>
  <c r="P13" i="32"/>
  <c r="U499" i="32"/>
  <c r="P499" i="32"/>
  <c r="O499" i="32"/>
  <c r="U483" i="32"/>
  <c r="P483" i="32"/>
  <c r="O483" i="32"/>
  <c r="U467" i="32"/>
  <c r="P467" i="32"/>
  <c r="O467" i="32"/>
  <c r="U451" i="32"/>
  <c r="V451" i="32" s="1"/>
  <c r="W451" i="32" s="1"/>
  <c r="O451" i="32"/>
  <c r="P451" i="32"/>
  <c r="U435" i="32"/>
  <c r="P435" i="32"/>
  <c r="O435" i="32"/>
  <c r="U419" i="32"/>
  <c r="O419" i="32"/>
  <c r="P419" i="32"/>
  <c r="U403" i="32"/>
  <c r="P403" i="32"/>
  <c r="O403" i="32"/>
  <c r="U387" i="32"/>
  <c r="O387" i="32"/>
  <c r="P387" i="32"/>
  <c r="U371" i="32"/>
  <c r="O371" i="32"/>
  <c r="P371" i="32"/>
  <c r="U355" i="32"/>
  <c r="V355" i="32" s="1"/>
  <c r="W355" i="32" s="1"/>
  <c r="P355" i="32"/>
  <c r="O355" i="32"/>
  <c r="U339" i="32"/>
  <c r="O339" i="32"/>
  <c r="P339" i="32"/>
  <c r="U307" i="32"/>
  <c r="O307" i="32"/>
  <c r="P307" i="32"/>
  <c r="U275" i="32"/>
  <c r="P275" i="32"/>
  <c r="O275" i="32"/>
  <c r="U243" i="32"/>
  <c r="O243" i="32"/>
  <c r="P243" i="32"/>
  <c r="U211" i="32"/>
  <c r="P211" i="32"/>
  <c r="O211" i="32"/>
  <c r="U179" i="32"/>
  <c r="O179" i="32"/>
  <c r="P179" i="32"/>
  <c r="U147" i="32"/>
  <c r="V147" i="32" s="1"/>
  <c r="W147" i="32" s="1"/>
  <c r="P147" i="32"/>
  <c r="O147" i="32"/>
  <c r="U115" i="32"/>
  <c r="O115" i="32"/>
  <c r="P115" i="32"/>
  <c r="U83" i="32"/>
  <c r="O83" i="32"/>
  <c r="P83" i="32"/>
  <c r="U51" i="32"/>
  <c r="V51" i="32" s="1"/>
  <c r="W51" i="32" s="1"/>
  <c r="P51" i="32"/>
  <c r="O51" i="32"/>
  <c r="U19" i="32"/>
  <c r="O19" i="32"/>
  <c r="P19" i="32"/>
  <c r="U334" i="32"/>
  <c r="V334" i="32" s="1"/>
  <c r="W334" i="32" s="1"/>
  <c r="P334" i="32"/>
  <c r="O334" i="32"/>
  <c r="U318" i="32"/>
  <c r="V318" i="32" s="1"/>
  <c r="W318" i="32" s="1"/>
  <c r="O318" i="32"/>
  <c r="P318" i="32"/>
  <c r="U302" i="32"/>
  <c r="O302" i="32"/>
  <c r="P302" i="32"/>
  <c r="U286" i="32"/>
  <c r="O286" i="32"/>
  <c r="P286" i="32"/>
  <c r="U270" i="32"/>
  <c r="O270" i="32"/>
  <c r="P270" i="32"/>
  <c r="U254" i="32"/>
  <c r="O254" i="32"/>
  <c r="P254" i="32"/>
  <c r="U238" i="32"/>
  <c r="P238" i="32"/>
  <c r="O238" i="32"/>
  <c r="U222" i="32"/>
  <c r="O222" i="32"/>
  <c r="P222" i="32"/>
  <c r="U206" i="32"/>
  <c r="P206" i="32"/>
  <c r="O206" i="32"/>
  <c r="U190" i="32"/>
  <c r="P190" i="32"/>
  <c r="O190" i="32"/>
  <c r="U174" i="32"/>
  <c r="V174" i="32" s="1"/>
  <c r="W174" i="32" s="1"/>
  <c r="P174" i="32"/>
  <c r="O174" i="32"/>
  <c r="U158" i="32"/>
  <c r="V158" i="32" s="1"/>
  <c r="W158" i="32" s="1"/>
  <c r="O158" i="32"/>
  <c r="P158" i="32"/>
  <c r="U142" i="32"/>
  <c r="V142" i="32" s="1"/>
  <c r="W142" i="32" s="1"/>
  <c r="P142" i="32"/>
  <c r="O142" i="32"/>
  <c r="U126" i="32"/>
  <c r="P126" i="32"/>
  <c r="O126" i="32"/>
  <c r="U110" i="32"/>
  <c r="P110" i="32"/>
  <c r="O110" i="32"/>
  <c r="U94" i="32"/>
  <c r="O94" i="32"/>
  <c r="P94" i="32"/>
  <c r="U78" i="32"/>
  <c r="V78" i="32" s="1"/>
  <c r="W78" i="32" s="1"/>
  <c r="O78" i="32"/>
  <c r="P78" i="32"/>
  <c r="U62" i="32"/>
  <c r="V62" i="32" s="1"/>
  <c r="W62" i="32" s="1"/>
  <c r="P62" i="32"/>
  <c r="O62" i="32"/>
  <c r="U46" i="32"/>
  <c r="V46" i="32" s="1"/>
  <c r="W46" i="32" s="1"/>
  <c r="P46" i="32"/>
  <c r="O46" i="32"/>
  <c r="U30" i="32"/>
  <c r="O30" i="32"/>
  <c r="P30" i="32"/>
  <c r="U14" i="32"/>
  <c r="V14" i="32" s="1"/>
  <c r="W14" i="32" s="1"/>
  <c r="P14" i="32"/>
  <c r="O14" i="32"/>
  <c r="U336" i="32"/>
  <c r="V336" i="32" s="1"/>
  <c r="W336" i="32" s="1"/>
  <c r="O336" i="32"/>
  <c r="P336" i="32"/>
  <c r="U320" i="32"/>
  <c r="P320" i="32"/>
  <c r="O320" i="32"/>
  <c r="U304" i="32"/>
  <c r="P304" i="32"/>
  <c r="O304" i="32"/>
  <c r="U288" i="32"/>
  <c r="V288" i="32" s="1"/>
  <c r="W288" i="32" s="1"/>
  <c r="P288" i="32"/>
  <c r="O288" i="32"/>
  <c r="U272" i="32"/>
  <c r="O272" i="32"/>
  <c r="P272" i="32"/>
  <c r="U256" i="32"/>
  <c r="P256" i="32"/>
  <c r="O256" i="32"/>
  <c r="U240" i="32"/>
  <c r="O240" i="32"/>
  <c r="P240" i="32"/>
  <c r="U224" i="32"/>
  <c r="V224" i="32" s="1"/>
  <c r="W224" i="32" s="1"/>
  <c r="O224" i="32"/>
  <c r="P224" i="32"/>
  <c r="U208" i="32"/>
  <c r="V208" i="32" s="1"/>
  <c r="W208" i="32" s="1"/>
  <c r="O208" i="32"/>
  <c r="P208" i="32"/>
  <c r="U192" i="32"/>
  <c r="O192" i="32"/>
  <c r="P192" i="32"/>
  <c r="U176" i="32"/>
  <c r="V176" i="32" s="1"/>
  <c r="W176" i="32" s="1"/>
  <c r="P176" i="32"/>
  <c r="O176" i="32"/>
  <c r="U160" i="32"/>
  <c r="O160" i="32"/>
  <c r="P160" i="32"/>
  <c r="U144" i="32"/>
  <c r="V144" i="32" s="1"/>
  <c r="W144" i="32" s="1"/>
  <c r="P144" i="32"/>
  <c r="O144" i="32"/>
  <c r="U128" i="32"/>
  <c r="P128" i="32"/>
  <c r="O128" i="32"/>
  <c r="U112" i="32"/>
  <c r="P112" i="32"/>
  <c r="O112" i="32"/>
  <c r="U96" i="32"/>
  <c r="P96" i="32"/>
  <c r="O96" i="32"/>
  <c r="U80" i="32"/>
  <c r="O80" i="32"/>
  <c r="P80" i="32"/>
  <c r="U64" i="32"/>
  <c r="O64" i="32"/>
  <c r="P64" i="32"/>
  <c r="U48" i="32"/>
  <c r="P48" i="32"/>
  <c r="O48" i="32"/>
  <c r="U32" i="32"/>
  <c r="O32" i="32"/>
  <c r="P32" i="32"/>
  <c r="U16" i="32"/>
  <c r="V16" i="32" s="1"/>
  <c r="W16" i="32" s="1"/>
  <c r="P16" i="32"/>
  <c r="O16" i="32"/>
  <c r="U615" i="32"/>
  <c r="P615" i="32"/>
  <c r="O615" i="32"/>
  <c r="R2" i="6"/>
  <c r="P2" i="6"/>
  <c r="O2" i="6"/>
  <c r="AA2" i="12"/>
  <c r="AM5" i="5" s="1"/>
  <c r="N2" i="17"/>
  <c r="N5" i="15"/>
  <c r="N10" i="15"/>
  <c r="N9" i="15"/>
  <c r="N11" i="15"/>
  <c r="N7" i="15"/>
  <c r="F1" i="4"/>
  <c r="V1" i="4"/>
  <c r="AM1" i="4" s="1"/>
  <c r="A12" i="9"/>
  <c r="B11" i="9"/>
  <c r="P39" i="9"/>
  <c r="Q39" i="9" s="1"/>
  <c r="P36" i="9"/>
  <c r="Q36" i="9" s="1"/>
  <c r="P31" i="9"/>
  <c r="Q31" i="9" s="1"/>
  <c r="P37" i="9"/>
  <c r="Q37" i="9" s="1"/>
  <c r="F36" i="14"/>
  <c r="E1" i="14"/>
  <c r="F1" i="5"/>
  <c r="N4" i="15"/>
  <c r="E48" i="14"/>
  <c r="P40" i="9"/>
  <c r="Q40" i="9" s="1"/>
  <c r="S9" i="9"/>
  <c r="J9" i="9"/>
  <c r="P33" i="9"/>
  <c r="Q33" i="9" s="1"/>
  <c r="R43" i="9"/>
  <c r="I43" i="9" s="1"/>
  <c r="E13" i="10"/>
  <c r="F1" i="10"/>
  <c r="P29" i="9"/>
  <c r="Q29" i="9" s="1"/>
  <c r="P35" i="9"/>
  <c r="Q35" i="9" s="1"/>
  <c r="P32" i="9"/>
  <c r="Q32" i="9" s="1"/>
  <c r="P41" i="9"/>
  <c r="Q41" i="9" s="1"/>
  <c r="A3" i="17"/>
  <c r="B3" i="17"/>
  <c r="V94" i="4" l="1"/>
  <c r="AM106" i="4"/>
  <c r="AM82" i="4"/>
  <c r="AM27" i="4"/>
  <c r="V40" i="4"/>
  <c r="V110" i="4"/>
  <c r="V52" i="4"/>
  <c r="V98" i="4"/>
  <c r="AM86" i="4"/>
  <c r="V70" i="4"/>
  <c r="V90" i="4"/>
  <c r="V66" i="4"/>
  <c r="AM78" i="4"/>
  <c r="V102" i="4"/>
  <c r="V116" i="4"/>
  <c r="V47" i="4"/>
  <c r="V28" i="4"/>
  <c r="V54" i="4"/>
  <c r="AM62" i="4"/>
  <c r="AM87" i="4"/>
  <c r="AM95" i="4"/>
  <c r="V99" i="4"/>
  <c r="AM103" i="4"/>
  <c r="V107" i="4"/>
  <c r="V58" i="4"/>
  <c r="AM79" i="4"/>
  <c r="V88" i="4"/>
  <c r="V37" i="4"/>
  <c r="AM55" i="4"/>
  <c r="AM111" i="4"/>
  <c r="V67" i="4"/>
  <c r="V71" i="4"/>
  <c r="V18" i="4"/>
  <c r="V91" i="4"/>
  <c r="AM10" i="4"/>
  <c r="V83" i="4"/>
  <c r="AM42" i="4"/>
  <c r="V35" i="4"/>
  <c r="V75" i="4"/>
  <c r="V14" i="4"/>
  <c r="AM119" i="4"/>
  <c r="V7" i="4"/>
  <c r="V120" i="4"/>
  <c r="V22" i="4"/>
  <c r="V49" i="4"/>
  <c r="V68" i="4"/>
  <c r="V60" i="4"/>
  <c r="V85" i="4"/>
  <c r="AM109" i="4"/>
  <c r="V46" i="4"/>
  <c r="AM43" i="4"/>
  <c r="AD183" i="12"/>
  <c r="AD192" i="12"/>
  <c r="AD181" i="12"/>
  <c r="AD182" i="12"/>
  <c r="AD188" i="12"/>
  <c r="AD191" i="12"/>
  <c r="AD184" i="12"/>
  <c r="AD197" i="12"/>
  <c r="AD190" i="12"/>
  <c r="AD187" i="12"/>
  <c r="AD236" i="12"/>
  <c r="AD238" i="12"/>
  <c r="AD239" i="12"/>
  <c r="AD240" i="12"/>
  <c r="AD242" i="12"/>
  <c r="AD243" i="12"/>
  <c r="AD250" i="12"/>
  <c r="AD251" i="12"/>
  <c r="AD253" i="12"/>
  <c r="AD255" i="12"/>
  <c r="AD257" i="12"/>
  <c r="AD265" i="12"/>
  <c r="AD270" i="12"/>
  <c r="AD376" i="12"/>
  <c r="AD378" i="12"/>
  <c r="AD396" i="12"/>
  <c r="AD397" i="12"/>
  <c r="AD398" i="12"/>
  <c r="AD399" i="12"/>
  <c r="AD400" i="12"/>
  <c r="AD416" i="12"/>
  <c r="AD425" i="12"/>
  <c r="AD428" i="12"/>
  <c r="AD464" i="12"/>
  <c r="AD470" i="12"/>
  <c r="AD474" i="12"/>
  <c r="AD476" i="12"/>
  <c r="AD477" i="12"/>
  <c r="AD482" i="12"/>
  <c r="AD483" i="12"/>
  <c r="AD485" i="12"/>
  <c r="AD491" i="12"/>
  <c r="AD492" i="12"/>
  <c r="AD371" i="12"/>
  <c r="AD350" i="12"/>
  <c r="AD315" i="12"/>
  <c r="AD210" i="12"/>
  <c r="AD220" i="12"/>
  <c r="AD179" i="12"/>
  <c r="AD148" i="12"/>
  <c r="AD174" i="12"/>
  <c r="AD163" i="12"/>
  <c r="AD130" i="12"/>
  <c r="AD39" i="12"/>
  <c r="AD343" i="12"/>
  <c r="AD314" i="12"/>
  <c r="AD316" i="12"/>
  <c r="AD362" i="12"/>
  <c r="AD309" i="12"/>
  <c r="AD64" i="12"/>
  <c r="AD8" i="12"/>
  <c r="AD365" i="12"/>
  <c r="AD317" i="12"/>
  <c r="AD313" i="12"/>
  <c r="AD304" i="12"/>
  <c r="AD373" i="12"/>
  <c r="AD337" i="12"/>
  <c r="AD298" i="12"/>
  <c r="AD201" i="12"/>
  <c r="AD209" i="12"/>
  <c r="AD171" i="12"/>
  <c r="AD151" i="12"/>
  <c r="AD139" i="12"/>
  <c r="AD95" i="12"/>
  <c r="AD87" i="12"/>
  <c r="AD84" i="12"/>
  <c r="AD349" i="12"/>
  <c r="AD225" i="12"/>
  <c r="AD213" i="12"/>
  <c r="AD75" i="12"/>
  <c r="AD360" i="12"/>
  <c r="AD319" i="12"/>
  <c r="AD368" i="12"/>
  <c r="AD301" i="12"/>
  <c r="AD230" i="12"/>
  <c r="AD198" i="12"/>
  <c r="AD138" i="12"/>
  <c r="AD122" i="12"/>
  <c r="AD107" i="12"/>
  <c r="AD126" i="12"/>
  <c r="AD98" i="12"/>
  <c r="AD53" i="12"/>
  <c r="AD43" i="12"/>
  <c r="AD46" i="12"/>
  <c r="AD11" i="12"/>
  <c r="AD48" i="12"/>
  <c r="AD38" i="12"/>
  <c r="AD16" i="12"/>
  <c r="AD324" i="12"/>
  <c r="AD199" i="12"/>
  <c r="AD170" i="12"/>
  <c r="AD79" i="12"/>
  <c r="AD44" i="12"/>
  <c r="V112" i="4"/>
  <c r="V19" i="4"/>
  <c r="V24" i="4"/>
  <c r="V115" i="4"/>
  <c r="V56" i="4"/>
  <c r="V20" i="4"/>
  <c r="AM51" i="4"/>
  <c r="V118" i="4"/>
  <c r="V38" i="4"/>
  <c r="V64" i="4"/>
  <c r="M6" i="8"/>
  <c r="V114" i="4"/>
  <c r="V63" i="4"/>
  <c r="V30" i="4"/>
  <c r="V100" i="4"/>
  <c r="AM76" i="4"/>
  <c r="V44" i="4"/>
  <c r="AM92" i="4"/>
  <c r="V104" i="4"/>
  <c r="V11" i="4"/>
  <c r="AM72" i="4"/>
  <c r="AM32" i="4"/>
  <c r="V59" i="4"/>
  <c r="V80" i="4"/>
  <c r="V121" i="4"/>
  <c r="V16" i="4"/>
  <c r="V2" i="4"/>
  <c r="V50" i="4"/>
  <c r="V13" i="4"/>
  <c r="V4" i="4"/>
  <c r="AM34" i="4"/>
  <c r="V26" i="4"/>
  <c r="V8" i="4"/>
  <c r="V84" i="4"/>
  <c r="V12" i="4"/>
  <c r="AM36" i="4"/>
  <c r="V96" i="4"/>
  <c r="V48" i="4"/>
  <c r="V108" i="4"/>
  <c r="AM97" i="4"/>
  <c r="V73" i="4"/>
  <c r="V25" i="4"/>
  <c r="V61" i="4"/>
  <c r="F121" i="4"/>
  <c r="AN121" i="4" s="1"/>
  <c r="F120" i="4"/>
  <c r="W120" i="4" s="1"/>
  <c r="F119" i="4"/>
  <c r="AN119" i="4" s="1"/>
  <c r="F118" i="4"/>
  <c r="AN118" i="4" s="1"/>
  <c r="F117" i="4"/>
  <c r="F116" i="4"/>
  <c r="AN116" i="4" s="1"/>
  <c r="F115" i="4"/>
  <c r="AN115" i="4" s="1"/>
  <c r="F114" i="4"/>
  <c r="W114" i="4" s="1"/>
  <c r="F113" i="4"/>
  <c r="F112" i="4"/>
  <c r="AN112" i="4" s="1"/>
  <c r="F111" i="4"/>
  <c r="W111" i="4" s="1"/>
  <c r="F110" i="4"/>
  <c r="AN110" i="4" s="1"/>
  <c r="F109" i="4"/>
  <c r="AN109" i="4" s="1"/>
  <c r="F108" i="4"/>
  <c r="W108" i="4" s="1"/>
  <c r="F107" i="4"/>
  <c r="W107" i="4" s="1"/>
  <c r="F106" i="4"/>
  <c r="W106" i="4" s="1"/>
  <c r="F105" i="4"/>
  <c r="F104" i="4"/>
  <c r="AN104" i="4" s="1"/>
  <c r="F103" i="4"/>
  <c r="AN103" i="4" s="1"/>
  <c r="F102" i="4"/>
  <c r="W102" i="4" s="1"/>
  <c r="F101" i="4"/>
  <c r="F100" i="4"/>
  <c r="AN100" i="4" s="1"/>
  <c r="F99" i="4"/>
  <c r="AN99" i="4" s="1"/>
  <c r="F98" i="4"/>
  <c r="AN98" i="4" s="1"/>
  <c r="F97" i="4"/>
  <c r="W97" i="4" s="1"/>
  <c r="F96" i="4"/>
  <c r="AN96" i="4" s="1"/>
  <c r="F95" i="4"/>
  <c r="W95" i="4" s="1"/>
  <c r="F94" i="4"/>
  <c r="AN94" i="4" s="1"/>
  <c r="F93" i="4"/>
  <c r="F92" i="4"/>
  <c r="AN92" i="4" s="1"/>
  <c r="F91" i="4"/>
  <c r="AN91" i="4" s="1"/>
  <c r="F90" i="4"/>
  <c r="AN90" i="4" s="1"/>
  <c r="F89" i="4"/>
  <c r="F88" i="4"/>
  <c r="AN88" i="4" s="1"/>
  <c r="F87" i="4"/>
  <c r="W87" i="4" s="1"/>
  <c r="F86" i="4"/>
  <c r="AN86" i="4" s="1"/>
  <c r="F85" i="4"/>
  <c r="AN85" i="4" s="1"/>
  <c r="F84" i="4"/>
  <c r="W84" i="4" s="1"/>
  <c r="F83" i="4"/>
  <c r="AN83" i="4" s="1"/>
  <c r="F82" i="4"/>
  <c r="W82" i="4" s="1"/>
  <c r="F81" i="4"/>
  <c r="F80" i="4"/>
  <c r="AN80" i="4" s="1"/>
  <c r="F79" i="4"/>
  <c r="AN79" i="4" s="1"/>
  <c r="F78" i="4"/>
  <c r="W78" i="4" s="1"/>
  <c r="F77" i="4"/>
  <c r="F76" i="4"/>
  <c r="AN76" i="4" s="1"/>
  <c r="F75" i="4"/>
  <c r="W75" i="4" s="1"/>
  <c r="F74" i="4"/>
  <c r="AN74" i="4" s="1"/>
  <c r="F73" i="4"/>
  <c r="W73" i="4" s="1"/>
  <c r="F72" i="4"/>
  <c r="AN72" i="4" s="1"/>
  <c r="F71" i="4"/>
  <c r="W71" i="4" s="1"/>
  <c r="F70" i="4"/>
  <c r="W70" i="4" s="1"/>
  <c r="F69" i="4"/>
  <c r="F68" i="4"/>
  <c r="AN68" i="4" s="1"/>
  <c r="F67" i="4"/>
  <c r="AN67" i="4" s="1"/>
  <c r="F66" i="4"/>
  <c r="AN66" i="4" s="1"/>
  <c r="F65" i="4"/>
  <c r="F64" i="4"/>
  <c r="W64" i="4" s="1"/>
  <c r="F63" i="4"/>
  <c r="W63" i="4" s="1"/>
  <c r="F62" i="4"/>
  <c r="AN62" i="4" s="1"/>
  <c r="F61" i="4"/>
  <c r="W61" i="4" s="1"/>
  <c r="F60" i="4"/>
  <c r="W60" i="4" s="1"/>
  <c r="F59" i="4"/>
  <c r="AN59" i="4" s="1"/>
  <c r="F58" i="4"/>
  <c r="W58" i="4" s="1"/>
  <c r="F57" i="4"/>
  <c r="F56" i="4"/>
  <c r="AN56" i="4" s="1"/>
  <c r="F55" i="4"/>
  <c r="AN55" i="4" s="1"/>
  <c r="F54" i="4"/>
  <c r="AN54" i="4" s="1"/>
  <c r="F53" i="4"/>
  <c r="F52" i="4"/>
  <c r="AN52" i="4" s="1"/>
  <c r="F51" i="4"/>
  <c r="W51" i="4" s="1"/>
  <c r="F50" i="4"/>
  <c r="AN50" i="4" s="1"/>
  <c r="F49" i="4"/>
  <c r="AN49" i="4" s="1"/>
  <c r="F48" i="4"/>
  <c r="AN48" i="4" s="1"/>
  <c r="F47" i="4"/>
  <c r="AN47" i="4" s="1"/>
  <c r="F46" i="4"/>
  <c r="W46" i="4" s="1"/>
  <c r="F45" i="4"/>
  <c r="F44" i="4"/>
  <c r="AN44" i="4" s="1"/>
  <c r="F43" i="4"/>
  <c r="AN43" i="4" s="1"/>
  <c r="F42" i="4"/>
  <c r="W42" i="4" s="1"/>
  <c r="F41" i="4"/>
  <c r="F40" i="4"/>
  <c r="AN40" i="4" s="1"/>
  <c r="F39" i="4"/>
  <c r="W39" i="4" s="1"/>
  <c r="F38" i="4"/>
  <c r="AN38" i="4" s="1"/>
  <c r="F37" i="4"/>
  <c r="AN37" i="4" s="1"/>
  <c r="F36" i="4"/>
  <c r="AN36" i="4" s="1"/>
  <c r="F35" i="4"/>
  <c r="AN35" i="4" s="1"/>
  <c r="F34" i="4"/>
  <c r="W34" i="4" s="1"/>
  <c r="F33" i="4"/>
  <c r="F32" i="4"/>
  <c r="W32" i="4" s="1"/>
  <c r="F31" i="4"/>
  <c r="AN31" i="4" s="1"/>
  <c r="F30" i="4"/>
  <c r="AN30" i="4" s="1"/>
  <c r="F29" i="4"/>
  <c r="F28" i="4"/>
  <c r="AN28" i="4" s="1"/>
  <c r="F27" i="4"/>
  <c r="AN27" i="4" s="1"/>
  <c r="F26" i="4"/>
  <c r="W26" i="4" s="1"/>
  <c r="F25" i="4"/>
  <c r="AN25" i="4" s="1"/>
  <c r="F24" i="4"/>
  <c r="AN24" i="4" s="1"/>
  <c r="F23" i="4"/>
  <c r="AN23" i="4" s="1"/>
  <c r="F22" i="4"/>
  <c r="AN22" i="4" s="1"/>
  <c r="F21" i="4"/>
  <c r="F20" i="4"/>
  <c r="AN20" i="4" s="1"/>
  <c r="F19" i="4"/>
  <c r="W19" i="4" s="1"/>
  <c r="F18" i="4"/>
  <c r="AN18" i="4" s="1"/>
  <c r="F17" i="4"/>
  <c r="F16" i="4"/>
  <c r="AN16" i="4" s="1"/>
  <c r="F15" i="4"/>
  <c r="AN15" i="4" s="1"/>
  <c r="F14" i="4"/>
  <c r="AN14" i="4" s="1"/>
  <c r="F13" i="4"/>
  <c r="AN13" i="4" s="1"/>
  <c r="F12" i="4"/>
  <c r="AN12" i="4" s="1"/>
  <c r="F11" i="4"/>
  <c r="W11" i="4" s="1"/>
  <c r="F10" i="4"/>
  <c r="W10" i="4" s="1"/>
  <c r="F9" i="4"/>
  <c r="F8" i="4"/>
  <c r="W8" i="4" s="1"/>
  <c r="F7" i="4"/>
  <c r="W7" i="4" s="1"/>
  <c r="F6" i="4"/>
  <c r="AN6" i="4" s="1"/>
  <c r="F5" i="4"/>
  <c r="F4" i="4"/>
  <c r="AN4" i="4" s="1"/>
  <c r="F3" i="4"/>
  <c r="AN3" i="4" s="1"/>
  <c r="F2" i="4"/>
  <c r="AN2" i="4" s="1"/>
  <c r="V3" i="4"/>
  <c r="V23" i="4"/>
  <c r="V15" i="4"/>
  <c r="V6" i="4"/>
  <c r="V31" i="4"/>
  <c r="A6" i="13"/>
  <c r="B6" i="13" s="1"/>
  <c r="I1" i="10"/>
  <c r="H13" i="10"/>
  <c r="BI5" i="12"/>
  <c r="N11" i="9"/>
  <c r="Q306" i="32"/>
  <c r="R428" i="32"/>
  <c r="Q669" i="32"/>
  <c r="R717" i="32"/>
  <c r="R393" i="32"/>
  <c r="R140" i="32"/>
  <c r="R862" i="32"/>
  <c r="R1125" i="32"/>
  <c r="Q1191" i="32"/>
  <c r="R28" i="32"/>
  <c r="Q1037" i="32"/>
  <c r="Q1207" i="32"/>
  <c r="R368" i="32"/>
  <c r="Q125" i="32"/>
  <c r="R26" i="32"/>
  <c r="R761" i="32"/>
  <c r="Q503" i="32"/>
  <c r="Q874" i="32"/>
  <c r="R86" i="32"/>
  <c r="B87" i="14"/>
  <c r="AD2" i="12"/>
  <c r="AJ2" i="12" s="1"/>
  <c r="S34" i="9"/>
  <c r="J34" i="9" s="1"/>
  <c r="F30" i="9"/>
  <c r="F38" i="9"/>
  <c r="P11" i="9"/>
  <c r="Q11" i="9" s="1"/>
  <c r="R11" i="9" s="1"/>
  <c r="I11" i="9" s="1"/>
  <c r="V192" i="32"/>
  <c r="W192" i="32" s="1"/>
  <c r="R288" i="32"/>
  <c r="Q288" i="32"/>
  <c r="R30" i="32"/>
  <c r="Q30" i="32"/>
  <c r="V110" i="32"/>
  <c r="W110" i="32" s="1"/>
  <c r="R222" i="32"/>
  <c r="Q222" i="32"/>
  <c r="R286" i="32"/>
  <c r="Q286" i="32"/>
  <c r="R371" i="32"/>
  <c r="Q371" i="32"/>
  <c r="R496" i="32"/>
  <c r="Q496" i="32"/>
  <c r="V587" i="32"/>
  <c r="W587" i="32" s="1"/>
  <c r="R679" i="32"/>
  <c r="Q679" i="32"/>
  <c r="R759" i="32"/>
  <c r="Q759" i="32"/>
  <c r="R935" i="32"/>
  <c r="Q935" i="32"/>
  <c r="R273" i="32"/>
  <c r="Q273" i="32"/>
  <c r="Q420" i="32"/>
  <c r="R420" i="32"/>
  <c r="Q788" i="32"/>
  <c r="R788" i="32"/>
  <c r="R852" i="32"/>
  <c r="Q852" i="32"/>
  <c r="R937" i="32"/>
  <c r="Q937" i="32"/>
  <c r="Q1193" i="32"/>
  <c r="R1193" i="32"/>
  <c r="R69" i="32"/>
  <c r="Q69" i="32"/>
  <c r="R149" i="32"/>
  <c r="Q149" i="32"/>
  <c r="V576" i="32"/>
  <c r="W576" i="32" s="1"/>
  <c r="R664" i="32"/>
  <c r="Q664" i="32"/>
  <c r="R1010" i="32"/>
  <c r="Q1010" i="32"/>
  <c r="Q1244" i="32"/>
  <c r="R1244" i="32"/>
  <c r="V488" i="32"/>
  <c r="W488" i="32" s="1"/>
  <c r="V725" i="32"/>
  <c r="W725" i="32" s="1"/>
  <c r="V633" i="32"/>
  <c r="W633" i="32" s="1"/>
  <c r="R943" i="32"/>
  <c r="Q943" i="32"/>
  <c r="R530" i="32"/>
  <c r="Q530" i="32"/>
  <c r="V980" i="32"/>
  <c r="W980" i="32" s="1"/>
  <c r="R1264" i="32"/>
  <c r="Q1264" i="32"/>
  <c r="V1088" i="32"/>
  <c r="W1088" i="32" s="1"/>
  <c r="V1290" i="32"/>
  <c r="W1290" i="32" s="1"/>
  <c r="V1280" i="32"/>
  <c r="W1280" i="32" s="1"/>
  <c r="V6" i="32"/>
  <c r="W6" i="32" s="1"/>
  <c r="R198" i="32"/>
  <c r="Q198" i="32"/>
  <c r="V35" i="32"/>
  <c r="W35" i="32" s="1"/>
  <c r="R227" i="32"/>
  <c r="Q227" i="32"/>
  <c r="R400" i="32"/>
  <c r="Q400" i="32"/>
  <c r="R595" i="32"/>
  <c r="Q595" i="32"/>
  <c r="R977" i="32"/>
  <c r="Q977" i="32"/>
  <c r="R1121" i="32"/>
  <c r="Q1121" i="32"/>
  <c r="V39" i="32"/>
  <c r="W39" i="32" s="1"/>
  <c r="Q465" i="32"/>
  <c r="R465" i="32"/>
  <c r="R792" i="32"/>
  <c r="Q792" i="32"/>
  <c r="R309" i="32"/>
  <c r="Q309" i="32"/>
  <c r="Q348" i="32"/>
  <c r="R348" i="32"/>
  <c r="V1003" i="32"/>
  <c r="W1003" i="32" s="1"/>
  <c r="R914" i="32"/>
  <c r="Q914" i="32"/>
  <c r="V1252" i="32"/>
  <c r="W1252" i="32" s="1"/>
  <c r="Q156" i="32"/>
  <c r="R156" i="32"/>
  <c r="V90" i="32"/>
  <c r="W90" i="32" s="1"/>
  <c r="Q299" i="32"/>
  <c r="R299" i="32"/>
  <c r="R447" i="32"/>
  <c r="Q447" i="32"/>
  <c r="R755" i="32"/>
  <c r="Q755" i="32"/>
  <c r="R385" i="32"/>
  <c r="Q385" i="32"/>
  <c r="Q654" i="32"/>
  <c r="R654" i="32"/>
  <c r="V868" i="32"/>
  <c r="W868" i="32" s="1"/>
  <c r="R1237" i="32"/>
  <c r="Q1237" i="32"/>
  <c r="V360" i="32"/>
  <c r="W360" i="32" s="1"/>
  <c r="V1218" i="32"/>
  <c r="W1218" i="32" s="1"/>
  <c r="V313" i="32"/>
  <c r="W313" i="32" s="1"/>
  <c r="R964" i="32"/>
  <c r="Q964" i="32"/>
  <c r="V1278" i="32"/>
  <c r="W1278" i="32" s="1"/>
  <c r="V780" i="32"/>
  <c r="W780" i="32" s="1"/>
  <c r="R276" i="32"/>
  <c r="Q276" i="32"/>
  <c r="R258" i="32"/>
  <c r="Q258" i="32"/>
  <c r="R219" i="32"/>
  <c r="Q219" i="32"/>
  <c r="V359" i="32"/>
  <c r="W359" i="32" s="1"/>
  <c r="R65" i="32"/>
  <c r="Q65" i="32"/>
  <c r="V394" i="32"/>
  <c r="W394" i="32" s="1"/>
  <c r="Q519" i="32"/>
  <c r="R519" i="32"/>
  <c r="R606" i="32"/>
  <c r="Q606" i="32"/>
  <c r="V683" i="32"/>
  <c r="W683" i="32" s="1"/>
  <c r="V875" i="32"/>
  <c r="W875" i="32" s="1"/>
  <c r="R342" i="32"/>
  <c r="Q342" i="32"/>
  <c r="V604" i="32"/>
  <c r="W604" i="32" s="1"/>
  <c r="R814" i="32"/>
  <c r="Q814" i="32"/>
  <c r="R1117" i="32"/>
  <c r="Q1117" i="32"/>
  <c r="V1197" i="32"/>
  <c r="W1197" i="32" s="1"/>
  <c r="V1250" i="32"/>
  <c r="W1250" i="32" s="1"/>
  <c r="V191" i="32"/>
  <c r="W191" i="32" s="1"/>
  <c r="Q647" i="32"/>
  <c r="R647" i="32"/>
  <c r="V789" i="32"/>
  <c r="W789" i="32" s="1"/>
  <c r="R845" i="32"/>
  <c r="Q845" i="32"/>
  <c r="R457" i="32"/>
  <c r="Q457" i="32"/>
  <c r="R872" i="32"/>
  <c r="Q872" i="32"/>
  <c r="V950" i="32"/>
  <c r="W950" i="32" s="1"/>
  <c r="V929" i="32"/>
  <c r="W929" i="32" s="1"/>
  <c r="V1155" i="32"/>
  <c r="W1155" i="32" s="1"/>
  <c r="R88" i="32"/>
  <c r="Q88" i="32"/>
  <c r="V200" i="32"/>
  <c r="W200" i="32" s="1"/>
  <c r="Q333" i="32"/>
  <c r="R333" i="32"/>
  <c r="V1057" i="32"/>
  <c r="W1057" i="32" s="1"/>
  <c r="V877" i="32"/>
  <c r="W877" i="32" s="1"/>
  <c r="R1042" i="32"/>
  <c r="Q1042" i="32"/>
  <c r="V1276" i="32"/>
  <c r="W1276" i="32" s="1"/>
  <c r="V430" i="32"/>
  <c r="W430" i="32" s="1"/>
  <c r="Q824" i="32"/>
  <c r="R824" i="32"/>
  <c r="V829" i="32"/>
  <c r="W829" i="32" s="1"/>
  <c r="V1023" i="32"/>
  <c r="W1023" i="32" s="1"/>
  <c r="R579" i="32"/>
  <c r="Q579" i="32"/>
  <c r="V263" i="32"/>
  <c r="W263" i="32" s="1"/>
  <c r="V509" i="32"/>
  <c r="W509" i="32" s="1"/>
  <c r="R202" i="32"/>
  <c r="Q202" i="32"/>
  <c r="R215" i="32"/>
  <c r="Q215" i="32"/>
  <c r="R490" i="32"/>
  <c r="Q490" i="32"/>
  <c r="V787" i="32"/>
  <c r="W787" i="32" s="1"/>
  <c r="V441" i="32"/>
  <c r="W441" i="32" s="1"/>
  <c r="R889" i="32"/>
  <c r="Q889" i="32"/>
  <c r="R714" i="32"/>
  <c r="Q714" i="32"/>
  <c r="Q1132" i="32"/>
  <c r="R1132" i="32"/>
  <c r="V960" i="32"/>
  <c r="W960" i="32" s="1"/>
  <c r="R293" i="32"/>
  <c r="Q293" i="32"/>
  <c r="R32" i="32"/>
  <c r="Q32" i="32"/>
  <c r="V112" i="32"/>
  <c r="W112" i="32" s="1"/>
  <c r="V94" i="32"/>
  <c r="W94" i="32" s="1"/>
  <c r="Q270" i="32"/>
  <c r="R270" i="32"/>
  <c r="R115" i="32"/>
  <c r="Q115" i="32"/>
  <c r="V275" i="32"/>
  <c r="W275" i="32" s="1"/>
  <c r="R403" i="32"/>
  <c r="Q403" i="32"/>
  <c r="V141" i="32"/>
  <c r="W141" i="32" s="1"/>
  <c r="V311" i="32"/>
  <c r="W311" i="32" s="1"/>
  <c r="V634" i="32"/>
  <c r="W634" i="32" s="1"/>
  <c r="R727" i="32"/>
  <c r="Q727" i="32"/>
  <c r="R159" i="32"/>
  <c r="Q159" i="32"/>
  <c r="R364" i="32"/>
  <c r="Q364" i="32"/>
  <c r="R477" i="32"/>
  <c r="Q477" i="32"/>
  <c r="V528" i="32"/>
  <c r="W528" i="32" s="1"/>
  <c r="V622" i="32"/>
  <c r="W622" i="32" s="1"/>
  <c r="R766" i="32"/>
  <c r="Q766" i="32"/>
  <c r="R1065" i="32"/>
  <c r="Q1065" i="32"/>
  <c r="R1177" i="32"/>
  <c r="Q1177" i="32"/>
  <c r="R615" i="32"/>
  <c r="Q615" i="32"/>
  <c r="R128" i="32"/>
  <c r="Q128" i="32"/>
  <c r="V160" i="32"/>
  <c r="W160" i="32" s="1"/>
  <c r="V206" i="32"/>
  <c r="W206" i="32" s="1"/>
  <c r="V270" i="32"/>
  <c r="W270" i="32" s="1"/>
  <c r="R318" i="32"/>
  <c r="Q318" i="32"/>
  <c r="Q83" i="32"/>
  <c r="R83" i="32"/>
  <c r="Q339" i="32"/>
  <c r="R339" i="32"/>
  <c r="R648" i="32"/>
  <c r="Q648" i="32"/>
  <c r="V679" i="32"/>
  <c r="W679" i="32" s="1"/>
  <c r="V743" i="32"/>
  <c r="W743" i="32" s="1"/>
  <c r="V871" i="32"/>
  <c r="W871" i="32" s="1"/>
  <c r="V217" i="32"/>
  <c r="W217" i="32" s="1"/>
  <c r="V505" i="32"/>
  <c r="W505" i="32" s="1"/>
  <c r="V599" i="32"/>
  <c r="W599" i="32" s="1"/>
  <c r="V681" i="32"/>
  <c r="W681" i="32" s="1"/>
  <c r="V766" i="32"/>
  <c r="W766" i="32" s="1"/>
  <c r="R894" i="32"/>
  <c r="Q894" i="32"/>
  <c r="R969" i="32"/>
  <c r="Q969" i="32"/>
  <c r="R1033" i="32"/>
  <c r="Q1033" i="32"/>
  <c r="Q1097" i="32"/>
  <c r="R1097" i="32"/>
  <c r="R1161" i="32"/>
  <c r="Q1161" i="32"/>
  <c r="R1225" i="32"/>
  <c r="Q1225" i="32"/>
  <c r="V1257" i="32"/>
  <c r="W1257" i="32" s="1"/>
  <c r="R518" i="32"/>
  <c r="Q518" i="32"/>
  <c r="R749" i="32"/>
  <c r="Q749" i="32"/>
  <c r="R1052" i="32"/>
  <c r="Q1052" i="32"/>
  <c r="R1202" i="32"/>
  <c r="Q1202" i="32"/>
  <c r="V1244" i="32"/>
  <c r="W1244" i="32" s="1"/>
  <c r="V412" i="32"/>
  <c r="W412" i="32" s="1"/>
  <c r="V668" i="32"/>
  <c r="W668" i="32" s="1"/>
  <c r="Q838" i="32"/>
  <c r="R838" i="32"/>
  <c r="R361" i="32"/>
  <c r="Q361" i="32"/>
  <c r="R633" i="32"/>
  <c r="Q633" i="32"/>
  <c r="R858" i="32"/>
  <c r="Q858" i="32"/>
  <c r="V1056" i="32"/>
  <c r="W1056" i="32" s="1"/>
  <c r="V1171" i="32"/>
  <c r="W1171" i="32" s="1"/>
  <c r="R649" i="32"/>
  <c r="Q649" i="32"/>
  <c r="Q1208" i="32"/>
  <c r="R1208" i="32"/>
  <c r="R446" i="32"/>
  <c r="Q446" i="32"/>
  <c r="Q808" i="32"/>
  <c r="R808" i="32"/>
  <c r="R1290" i="32"/>
  <c r="Q1290" i="32"/>
  <c r="R353" i="32"/>
  <c r="Q353" i="32"/>
  <c r="V1167" i="32"/>
  <c r="W1167" i="32" s="1"/>
  <c r="Q797" i="32"/>
  <c r="R797" i="32"/>
  <c r="R24" i="32"/>
  <c r="Q24" i="32"/>
  <c r="R38" i="32"/>
  <c r="Q38" i="32"/>
  <c r="R166" i="32"/>
  <c r="Q166" i="32"/>
  <c r="R246" i="32"/>
  <c r="Q246" i="32"/>
  <c r="R323" i="32"/>
  <c r="Q323" i="32"/>
  <c r="R459" i="32"/>
  <c r="Q459" i="32"/>
  <c r="R289" i="32"/>
  <c r="Q289" i="32"/>
  <c r="Q655" i="32"/>
  <c r="R655" i="32"/>
  <c r="Q783" i="32"/>
  <c r="R783" i="32"/>
  <c r="R538" i="32"/>
  <c r="Q538" i="32"/>
  <c r="V209" i="32"/>
  <c r="W209" i="32" s="1"/>
  <c r="R388" i="32"/>
  <c r="Q388" i="32"/>
  <c r="V764" i="32"/>
  <c r="W764" i="32" s="1"/>
  <c r="R849" i="32"/>
  <c r="Q849" i="32"/>
  <c r="R1020" i="32"/>
  <c r="Q1020" i="32"/>
  <c r="Q564" i="32"/>
  <c r="R564" i="32"/>
  <c r="V710" i="32"/>
  <c r="W710" i="32" s="1"/>
  <c r="V127" i="32"/>
  <c r="W127" i="32" s="1"/>
  <c r="R199" i="32"/>
  <c r="Q199" i="32"/>
  <c r="R680" i="32"/>
  <c r="Q680" i="32"/>
  <c r="R358" i="32"/>
  <c r="Q358" i="32"/>
  <c r="V124" i="32"/>
  <c r="W124" i="32" s="1"/>
  <c r="V268" i="32"/>
  <c r="W268" i="32" s="1"/>
  <c r="V42" i="32"/>
  <c r="W42" i="32" s="1"/>
  <c r="V154" i="32"/>
  <c r="W154" i="32" s="1"/>
  <c r="V235" i="32"/>
  <c r="W235" i="32" s="1"/>
  <c r="R383" i="32"/>
  <c r="Q383" i="32"/>
  <c r="R384" i="32"/>
  <c r="Q384" i="32"/>
  <c r="Q644" i="32"/>
  <c r="R644" i="32"/>
  <c r="V31" i="32"/>
  <c r="W31" i="32" s="1"/>
  <c r="V385" i="32"/>
  <c r="W385" i="32" s="1"/>
  <c r="R718" i="32"/>
  <c r="Q718" i="32"/>
  <c r="R1013" i="32"/>
  <c r="Q1013" i="32"/>
  <c r="V1077" i="32"/>
  <c r="W1077" i="32" s="1"/>
  <c r="V1205" i="32"/>
  <c r="W1205" i="32" s="1"/>
  <c r="V167" i="32"/>
  <c r="W167" i="32" s="1"/>
  <c r="V897" i="32"/>
  <c r="W897" i="32" s="1"/>
  <c r="R241" i="32"/>
  <c r="Q241" i="32"/>
  <c r="R1030" i="32"/>
  <c r="Q1030" i="32"/>
  <c r="V157" i="32"/>
  <c r="W157" i="32" s="1"/>
  <c r="V1075" i="32"/>
  <c r="W1075" i="32" s="1"/>
  <c r="Q337" i="32"/>
  <c r="R337" i="32"/>
  <c r="Q1219" i="32"/>
  <c r="R1219" i="32"/>
  <c r="V769" i="32"/>
  <c r="W769" i="32" s="1"/>
  <c r="V4" i="32"/>
  <c r="W4" i="32" s="1"/>
  <c r="V68" i="32"/>
  <c r="W68" i="32" s="1"/>
  <c r="V132" i="32"/>
  <c r="W132" i="32" s="1"/>
  <c r="V324" i="32"/>
  <c r="W324" i="32" s="1"/>
  <c r="V50" i="32"/>
  <c r="W50" i="32" s="1"/>
  <c r="V114" i="32"/>
  <c r="W114" i="32" s="1"/>
  <c r="V178" i="32"/>
  <c r="W178" i="32" s="1"/>
  <c r="R123" i="32"/>
  <c r="Q123" i="32"/>
  <c r="V187" i="32"/>
  <c r="W187" i="32" s="1"/>
  <c r="R283" i="32"/>
  <c r="Q283" i="32"/>
  <c r="V315" i="32"/>
  <c r="W315" i="32" s="1"/>
  <c r="R423" i="32"/>
  <c r="Q423" i="32"/>
  <c r="V455" i="32"/>
  <c r="W455" i="32" s="1"/>
  <c r="R487" i="32"/>
  <c r="Q487" i="32"/>
  <c r="V503" i="32"/>
  <c r="W503" i="32" s="1"/>
  <c r="V23" i="32"/>
  <c r="W23" i="32" s="1"/>
  <c r="Q109" i="32"/>
  <c r="R109" i="32"/>
  <c r="R151" i="32"/>
  <c r="Q151" i="32"/>
  <c r="V615" i="32"/>
  <c r="W615" i="32" s="1"/>
  <c r="R96" i="32"/>
  <c r="Q96" i="32"/>
  <c r="V128" i="32"/>
  <c r="W128" i="32" s="1"/>
  <c r="V256" i="32"/>
  <c r="W256" i="32" s="1"/>
  <c r="R14" i="32"/>
  <c r="Q14" i="32"/>
  <c r="Q94" i="32"/>
  <c r="R94" i="32"/>
  <c r="Q158" i="32"/>
  <c r="R158" i="32"/>
  <c r="R206" i="32"/>
  <c r="Q206" i="32"/>
  <c r="V238" i="32"/>
  <c r="W238" i="32" s="1"/>
  <c r="V302" i="32"/>
  <c r="W302" i="32" s="1"/>
  <c r="R334" i="32"/>
  <c r="Q334" i="32"/>
  <c r="V179" i="32"/>
  <c r="W179" i="32" s="1"/>
  <c r="R355" i="32"/>
  <c r="Q355" i="32"/>
  <c r="V387" i="32"/>
  <c r="W387" i="32" s="1"/>
  <c r="R97" i="32"/>
  <c r="Q97" i="32"/>
  <c r="V183" i="32"/>
  <c r="W183" i="32" s="1"/>
  <c r="R311" i="32"/>
  <c r="Q311" i="32"/>
  <c r="V515" i="32"/>
  <c r="W515" i="32" s="1"/>
  <c r="R547" i="32"/>
  <c r="Q547" i="32"/>
  <c r="R695" i="32"/>
  <c r="Q695" i="32"/>
  <c r="R743" i="32"/>
  <c r="Q743" i="32"/>
  <c r="V775" i="32"/>
  <c r="W775" i="32" s="1"/>
  <c r="V839" i="32"/>
  <c r="W839" i="32" s="1"/>
  <c r="Q505" i="32"/>
  <c r="R505" i="32"/>
  <c r="V894" i="32"/>
  <c r="W894" i="32" s="1"/>
  <c r="V969" i="32"/>
  <c r="W969" i="32" s="1"/>
  <c r="R1129" i="32"/>
  <c r="Q1129" i="32"/>
  <c r="R1209" i="32"/>
  <c r="Q1209" i="32"/>
  <c r="V1225" i="32"/>
  <c r="W1225" i="32" s="1"/>
  <c r="V125" i="32"/>
  <c r="W125" i="32" s="1"/>
  <c r="Q249" i="32"/>
  <c r="R249" i="32"/>
  <c r="V482" i="32"/>
  <c r="W482" i="32" s="1"/>
  <c r="R892" i="32"/>
  <c r="Q892" i="32"/>
  <c r="R920" i="32"/>
  <c r="Q920" i="32"/>
  <c r="V1031" i="32"/>
  <c r="W1031" i="32" s="1"/>
  <c r="R1180" i="32"/>
  <c r="Q1180" i="32"/>
  <c r="V1202" i="32"/>
  <c r="W1202" i="32" s="1"/>
  <c r="R165" i="32"/>
  <c r="Q165" i="32"/>
  <c r="V335" i="32"/>
  <c r="W335" i="32" s="1"/>
  <c r="R586" i="32"/>
  <c r="Q586" i="32"/>
  <c r="V612" i="32"/>
  <c r="W612" i="32" s="1"/>
  <c r="Q781" i="32"/>
  <c r="R781" i="32"/>
  <c r="Q810" i="32"/>
  <c r="R810" i="32"/>
  <c r="V361" i="32"/>
  <c r="W361" i="32" s="1"/>
  <c r="R569" i="32"/>
  <c r="Q569" i="32"/>
  <c r="R801" i="32"/>
  <c r="Q801" i="32"/>
  <c r="Q1056" i="32"/>
  <c r="R1056" i="32"/>
  <c r="R1199" i="32"/>
  <c r="Q1199" i="32"/>
  <c r="Q461" i="32"/>
  <c r="R461" i="32"/>
  <c r="V575" i="32"/>
  <c r="W575" i="32" s="1"/>
  <c r="R762" i="32"/>
  <c r="Q762" i="32"/>
  <c r="R918" i="32"/>
  <c r="Q918" i="32"/>
  <c r="Q1066" i="32"/>
  <c r="R1066" i="32"/>
  <c r="V1094" i="32"/>
  <c r="W1094" i="32" s="1"/>
  <c r="R585" i="32"/>
  <c r="Q585" i="32"/>
  <c r="V808" i="32"/>
  <c r="W808" i="32" s="1"/>
  <c r="R948" i="32"/>
  <c r="Q948" i="32"/>
  <c r="V1062" i="32"/>
  <c r="W1062" i="32" s="1"/>
  <c r="R504" i="32"/>
  <c r="Q504" i="32"/>
  <c r="R433" i="32"/>
  <c r="Q433" i="32"/>
  <c r="Q1198" i="32"/>
  <c r="R1198" i="32"/>
  <c r="V1254" i="32"/>
  <c r="W1254" i="32" s="1"/>
  <c r="V216" i="32"/>
  <c r="W216" i="32" s="1"/>
  <c r="R312" i="32"/>
  <c r="Q312" i="32"/>
  <c r="V134" i="32"/>
  <c r="W134" i="32" s="1"/>
  <c r="Q310" i="32"/>
  <c r="R310" i="32"/>
  <c r="R195" i="32"/>
  <c r="Q195" i="32"/>
  <c r="V323" i="32"/>
  <c r="W323" i="32" s="1"/>
  <c r="R427" i="32"/>
  <c r="Q427" i="32"/>
  <c r="R555" i="32"/>
  <c r="Q555" i="32"/>
  <c r="R703" i="32"/>
  <c r="Q703" i="32"/>
  <c r="V751" i="32"/>
  <c r="W751" i="32" s="1"/>
  <c r="R189" i="32"/>
  <c r="Q189" i="32"/>
  <c r="R245" i="32"/>
  <c r="Q245" i="32"/>
  <c r="V538" i="32"/>
  <c r="W538" i="32" s="1"/>
  <c r="Q650" i="32"/>
  <c r="R650" i="32"/>
  <c r="R1009" i="32"/>
  <c r="Q1009" i="32"/>
  <c r="V1041" i="32"/>
  <c r="W1041" i="32" s="1"/>
  <c r="V1169" i="32"/>
  <c r="W1169" i="32" s="1"/>
  <c r="Q209" i="32"/>
  <c r="R209" i="32"/>
  <c r="R764" i="32"/>
  <c r="Q764" i="32"/>
  <c r="Q934" i="32"/>
  <c r="R934" i="32"/>
  <c r="Q1298" i="32"/>
  <c r="R1298" i="32"/>
  <c r="V221" i="32"/>
  <c r="W221" i="32" s="1"/>
  <c r="Q468" i="32"/>
  <c r="R468" i="32"/>
  <c r="R768" i="32"/>
  <c r="Q768" i="32"/>
  <c r="V796" i="32"/>
  <c r="W796" i="32" s="1"/>
  <c r="V476" i="32"/>
  <c r="W476" i="32" s="1"/>
  <c r="R886" i="32"/>
  <c r="Q886" i="32"/>
  <c r="R500" i="32"/>
  <c r="Q500" i="32"/>
  <c r="Q848" i="32"/>
  <c r="R848" i="32"/>
  <c r="V995" i="32"/>
  <c r="W995" i="32" s="1"/>
  <c r="R520" i="32"/>
  <c r="Q520" i="32"/>
  <c r="R1288" i="32"/>
  <c r="Q1288" i="32"/>
  <c r="V1034" i="32"/>
  <c r="W1034" i="32" s="1"/>
  <c r="R1262" i="32"/>
  <c r="Q1262" i="32"/>
  <c r="R1139" i="32"/>
  <c r="Q1139" i="32"/>
  <c r="V998" i="32"/>
  <c r="W998" i="32" s="1"/>
  <c r="Q124" i="32"/>
  <c r="R124" i="32"/>
  <c r="R268" i="32"/>
  <c r="Q268" i="32"/>
  <c r="V218" i="32"/>
  <c r="W218" i="32" s="1"/>
  <c r="V75" i="32"/>
  <c r="W75" i="32" s="1"/>
  <c r="R235" i="32"/>
  <c r="Q235" i="32"/>
  <c r="V616" i="32"/>
  <c r="W616" i="32" s="1"/>
  <c r="R257" i="32"/>
  <c r="Q257" i="32"/>
  <c r="R405" i="32"/>
  <c r="Q405" i="32"/>
  <c r="V718" i="32"/>
  <c r="W718" i="32" s="1"/>
  <c r="R949" i="32"/>
  <c r="Q949" i="32"/>
  <c r="V1013" i="32"/>
  <c r="W1013" i="32" s="1"/>
  <c r="R1109" i="32"/>
  <c r="Q1109" i="32"/>
  <c r="Q1205" i="32"/>
  <c r="R1205" i="32"/>
  <c r="V1285" i="32"/>
  <c r="W1285" i="32" s="1"/>
  <c r="R568" i="32"/>
  <c r="Q568" i="32"/>
  <c r="R800" i="32"/>
  <c r="Q800" i="32"/>
  <c r="V1047" i="32"/>
  <c r="W1047" i="32" s="1"/>
  <c r="R1154" i="32"/>
  <c r="Q1154" i="32"/>
  <c r="R1282" i="32"/>
  <c r="Q1282" i="32"/>
  <c r="R802" i="32"/>
  <c r="Q802" i="32"/>
  <c r="R418" i="32"/>
  <c r="Q418" i="32"/>
  <c r="Q1220" i="32"/>
  <c r="R1220" i="32"/>
  <c r="V690" i="32"/>
  <c r="W690" i="32" s="1"/>
  <c r="V1002" i="32"/>
  <c r="W1002" i="32" s="1"/>
  <c r="V1200" i="32"/>
  <c r="W1200" i="32" s="1"/>
  <c r="V1246" i="32"/>
  <c r="W1246" i="32" s="1"/>
  <c r="V922" i="32"/>
  <c r="W922" i="32" s="1"/>
  <c r="V396" i="32"/>
  <c r="W396" i="32" s="1"/>
  <c r="R212" i="32"/>
  <c r="Q212" i="32"/>
  <c r="V292" i="32"/>
  <c r="W292" i="32" s="1"/>
  <c r="R2" i="32"/>
  <c r="Q2" i="32"/>
  <c r="R114" i="32"/>
  <c r="Q114" i="32"/>
  <c r="R194" i="32"/>
  <c r="Q194" i="32"/>
  <c r="R242" i="32"/>
  <c r="Q242" i="32"/>
  <c r="V306" i="32"/>
  <c r="W306" i="32" s="1"/>
  <c r="V123" i="32"/>
  <c r="W123" i="32" s="1"/>
  <c r="V251" i="32"/>
  <c r="W251" i="32" s="1"/>
  <c r="R315" i="32"/>
  <c r="Q315" i="32"/>
  <c r="R407" i="32"/>
  <c r="Q407" i="32"/>
  <c r="R23" i="32"/>
  <c r="Q23" i="32"/>
  <c r="V279" i="32"/>
  <c r="W279" i="32" s="1"/>
  <c r="R352" i="32"/>
  <c r="Q352" i="32"/>
  <c r="R535" i="32"/>
  <c r="Q535" i="32"/>
  <c r="V551" i="32"/>
  <c r="W551" i="32" s="1"/>
  <c r="V624" i="32"/>
  <c r="W624" i="32" s="1"/>
  <c r="R715" i="32"/>
  <c r="Q715" i="32"/>
  <c r="R779" i="32"/>
  <c r="Q779" i="32"/>
  <c r="R843" i="32"/>
  <c r="Q843" i="32"/>
  <c r="R907" i="32"/>
  <c r="Q907" i="32"/>
  <c r="R923" i="32"/>
  <c r="Q923" i="32"/>
  <c r="R175" i="32"/>
  <c r="Q175" i="32"/>
  <c r="R370" i="32"/>
  <c r="Q370" i="32"/>
  <c r="V398" i="32"/>
  <c r="W398" i="32" s="1"/>
  <c r="V686" i="32"/>
  <c r="W686" i="32" s="1"/>
  <c r="V941" i="32"/>
  <c r="W941" i="32" s="1"/>
  <c r="R1293" i="32"/>
  <c r="Q1293" i="32"/>
  <c r="R197" i="32"/>
  <c r="Q197" i="32"/>
  <c r="R63" i="32"/>
  <c r="Q63" i="32"/>
  <c r="V553" i="32"/>
  <c r="W553" i="32" s="1"/>
  <c r="R728" i="32"/>
  <c r="Q728" i="32"/>
  <c r="R842" i="32"/>
  <c r="Q842" i="32"/>
  <c r="R1058" i="32"/>
  <c r="Q1058" i="32"/>
  <c r="V1079" i="32"/>
  <c r="W1079" i="32" s="1"/>
  <c r="Q1143" i="32"/>
  <c r="R1143" i="32"/>
  <c r="Q345" i="32"/>
  <c r="R345" i="32"/>
  <c r="R529" i="32"/>
  <c r="Q529" i="32"/>
  <c r="R623" i="32"/>
  <c r="Q623" i="32"/>
  <c r="V674" i="32"/>
  <c r="W674" i="32" s="1"/>
  <c r="R760" i="32"/>
  <c r="Q760" i="32"/>
  <c r="V874" i="32"/>
  <c r="W874" i="32" s="1"/>
  <c r="R381" i="32"/>
  <c r="Q381" i="32"/>
  <c r="V758" i="32"/>
  <c r="W758" i="32" s="1"/>
  <c r="R1263" i="32"/>
  <c r="Q1263" i="32"/>
  <c r="R1130" i="32"/>
  <c r="Q1130" i="32"/>
  <c r="R327" i="32"/>
  <c r="Q327" i="32"/>
  <c r="R930" i="32"/>
  <c r="Q930" i="32"/>
  <c r="V1216" i="32"/>
  <c r="W1216" i="32" s="1"/>
  <c r="R414" i="32"/>
  <c r="Q414" i="32"/>
  <c r="R1134" i="32"/>
  <c r="Q1134" i="32"/>
  <c r="R390" i="32"/>
  <c r="Q390" i="32"/>
  <c r="V954" i="32"/>
  <c r="W954" i="32" s="1"/>
  <c r="R1040" i="32"/>
  <c r="Q1040" i="32"/>
  <c r="V40" i="32"/>
  <c r="W40" i="32" s="1"/>
  <c r="V104" i="32"/>
  <c r="W104" i="32" s="1"/>
  <c r="Q54" i="32"/>
  <c r="R54" i="32"/>
  <c r="V86" i="32"/>
  <c r="W86" i="32" s="1"/>
  <c r="R443" i="32"/>
  <c r="Q443" i="32"/>
  <c r="Q119" i="32"/>
  <c r="R119" i="32"/>
  <c r="V161" i="32"/>
  <c r="W161" i="32" s="1"/>
  <c r="V421" i="32"/>
  <c r="W421" i="32" s="1"/>
  <c r="R506" i="32"/>
  <c r="Q506" i="32"/>
  <c r="R767" i="32"/>
  <c r="Q767" i="32"/>
  <c r="V831" i="32"/>
  <c r="W831" i="32" s="1"/>
  <c r="V927" i="32"/>
  <c r="W927" i="32" s="1"/>
  <c r="Q492" i="32"/>
  <c r="R492" i="32"/>
  <c r="V609" i="32"/>
  <c r="W609" i="32" s="1"/>
  <c r="R1025" i="32"/>
  <c r="Q1025" i="32"/>
  <c r="V1185" i="32"/>
  <c r="W1185" i="32" s="1"/>
  <c r="R596" i="32"/>
  <c r="Q596" i="32"/>
  <c r="R736" i="32"/>
  <c r="Q736" i="32"/>
  <c r="V1191" i="32"/>
  <c r="W1191" i="32" s="1"/>
  <c r="R295" i="32"/>
  <c r="Q295" i="32"/>
  <c r="Q600" i="32"/>
  <c r="R600" i="32"/>
  <c r="R653" i="32"/>
  <c r="Q653" i="32"/>
  <c r="R881" i="32"/>
  <c r="Q881" i="32"/>
  <c r="V1071" i="32"/>
  <c r="W1071" i="32" s="1"/>
  <c r="R1184" i="32"/>
  <c r="Q1184" i="32"/>
  <c r="R424" i="32"/>
  <c r="Q424" i="32"/>
  <c r="R1108" i="32"/>
  <c r="Q1108" i="32"/>
  <c r="R41" i="32"/>
  <c r="Q41" i="32"/>
  <c r="Q1060" i="32"/>
  <c r="R1060" i="32"/>
  <c r="R854" i="32"/>
  <c r="Q854" i="32"/>
  <c r="R172" i="32"/>
  <c r="Q172" i="32"/>
  <c r="V316" i="32"/>
  <c r="W316" i="32" s="1"/>
  <c r="V250" i="32"/>
  <c r="W250" i="32" s="1"/>
  <c r="R367" i="32"/>
  <c r="Q367" i="32"/>
  <c r="Q301" i="32"/>
  <c r="R301" i="32"/>
  <c r="V362" i="32"/>
  <c r="W362" i="32" s="1"/>
  <c r="R598" i="32"/>
  <c r="Q598" i="32"/>
  <c r="V659" i="32"/>
  <c r="W659" i="32" s="1"/>
  <c r="R867" i="32"/>
  <c r="Q867" i="32"/>
  <c r="R565" i="32"/>
  <c r="Q565" i="32"/>
  <c r="V740" i="32"/>
  <c r="W740" i="32" s="1"/>
  <c r="Q1045" i="32"/>
  <c r="R1045" i="32"/>
  <c r="R1253" i="32"/>
  <c r="Q1253" i="32"/>
  <c r="R7" i="32"/>
  <c r="Q7" i="32"/>
  <c r="R229" i="32"/>
  <c r="Q229" i="32"/>
  <c r="V603" i="32"/>
  <c r="W603" i="32" s="1"/>
  <c r="R1175" i="32"/>
  <c r="Q1175" i="32"/>
  <c r="R21" i="32"/>
  <c r="Q21" i="32"/>
  <c r="V661" i="32"/>
  <c r="W661" i="32" s="1"/>
  <c r="R746" i="32"/>
  <c r="Q746" i="32"/>
  <c r="V1192" i="32"/>
  <c r="W1192" i="32" s="1"/>
  <c r="R1115" i="32"/>
  <c r="Q1115" i="32"/>
  <c r="Q666" i="32"/>
  <c r="R666" i="32"/>
  <c r="R1188" i="32"/>
  <c r="Q1188" i="32"/>
  <c r="R613" i="32"/>
  <c r="Q613" i="32"/>
  <c r="R656" i="32"/>
  <c r="Q656" i="32"/>
  <c r="V955" i="32"/>
  <c r="W955" i="32" s="1"/>
  <c r="R16" i="32"/>
  <c r="Q16" i="32"/>
  <c r="R160" i="32"/>
  <c r="Q160" i="32"/>
  <c r="V240" i="32"/>
  <c r="W240" i="32" s="1"/>
  <c r="V30" i="32"/>
  <c r="W30" i="32" s="1"/>
  <c r="R78" i="32"/>
  <c r="Q78" i="32"/>
  <c r="R190" i="32"/>
  <c r="Q190" i="32"/>
  <c r="V222" i="32"/>
  <c r="W222" i="32" s="1"/>
  <c r="V286" i="32"/>
  <c r="W286" i="32" s="1"/>
  <c r="R211" i="32"/>
  <c r="Q211" i="32"/>
  <c r="R243" i="32"/>
  <c r="Q243" i="32"/>
  <c r="V371" i="32"/>
  <c r="W371" i="32" s="1"/>
  <c r="V435" i="32"/>
  <c r="W435" i="32" s="1"/>
  <c r="R467" i="32"/>
  <c r="Q467" i="32"/>
  <c r="R55" i="32"/>
  <c r="Q55" i="32"/>
  <c r="R269" i="32"/>
  <c r="Q269" i="32"/>
  <c r="R389" i="32"/>
  <c r="Q389" i="32"/>
  <c r="V410" i="32"/>
  <c r="W410" i="32" s="1"/>
  <c r="V496" i="32"/>
  <c r="W496" i="32" s="1"/>
  <c r="V563" i="32"/>
  <c r="W563" i="32" s="1"/>
  <c r="R620" i="32"/>
  <c r="Q620" i="32"/>
  <c r="V695" i="32"/>
  <c r="W695" i="32" s="1"/>
  <c r="V759" i="32"/>
  <c r="W759" i="32" s="1"/>
  <c r="R871" i="32"/>
  <c r="Q871" i="32"/>
  <c r="V47" i="32"/>
  <c r="W47" i="32" s="1"/>
  <c r="R392" i="32"/>
  <c r="Q392" i="32"/>
  <c r="Q570" i="32"/>
  <c r="R570" i="32"/>
  <c r="R660" i="32"/>
  <c r="Q660" i="32"/>
  <c r="R1001" i="32"/>
  <c r="Q1001" i="32"/>
  <c r="V1017" i="32"/>
  <c r="W1017" i="32" s="1"/>
  <c r="V1081" i="32"/>
  <c r="W1081" i="32" s="1"/>
  <c r="V1273" i="32"/>
  <c r="W1273" i="32" s="1"/>
  <c r="V32" i="32"/>
  <c r="W32" i="32" s="1"/>
  <c r="R80" i="32"/>
  <c r="Q80" i="32"/>
  <c r="V96" i="32"/>
  <c r="W96" i="32" s="1"/>
  <c r="R208" i="32"/>
  <c r="Q208" i="32"/>
  <c r="Q256" i="32"/>
  <c r="R256" i="32"/>
  <c r="R272" i="32"/>
  <c r="Q272" i="32"/>
  <c r="R320" i="32"/>
  <c r="Q320" i="32"/>
  <c r="R336" i="32"/>
  <c r="Q336" i="32"/>
  <c r="R46" i="32"/>
  <c r="Q46" i="32"/>
  <c r="R110" i="32"/>
  <c r="Q110" i="32"/>
  <c r="Q174" i="32"/>
  <c r="R174" i="32"/>
  <c r="R238" i="32"/>
  <c r="Q238" i="32"/>
  <c r="R254" i="32"/>
  <c r="Q254" i="32"/>
  <c r="Q51" i="32"/>
  <c r="R51" i="32"/>
  <c r="V115" i="32"/>
  <c r="W115" i="32" s="1"/>
  <c r="V243" i="32"/>
  <c r="W243" i="32" s="1"/>
  <c r="V419" i="32"/>
  <c r="W419" i="32" s="1"/>
  <c r="V483" i="32"/>
  <c r="W483" i="32" s="1"/>
  <c r="R225" i="32"/>
  <c r="Q225" i="32"/>
  <c r="V269" i="32"/>
  <c r="W269" i="32" s="1"/>
  <c r="V368" i="32"/>
  <c r="W368" i="32" s="1"/>
  <c r="R453" i="32"/>
  <c r="Q453" i="32"/>
  <c r="R531" i="32"/>
  <c r="Q531" i="32"/>
  <c r="V547" i="32"/>
  <c r="W547" i="32" s="1"/>
  <c r="V620" i="32"/>
  <c r="W620" i="32" s="1"/>
  <c r="Q663" i="32"/>
  <c r="R663" i="32"/>
  <c r="V807" i="32"/>
  <c r="W807" i="32" s="1"/>
  <c r="R855" i="32"/>
  <c r="Q855" i="32"/>
  <c r="R903" i="32"/>
  <c r="Q903" i="32"/>
  <c r="Q919" i="32"/>
  <c r="R919" i="32"/>
  <c r="R103" i="32"/>
  <c r="Q103" i="32"/>
  <c r="R449" i="32"/>
  <c r="Q449" i="32"/>
  <c r="R549" i="32"/>
  <c r="Q549" i="32"/>
  <c r="R724" i="32"/>
  <c r="Q724" i="32"/>
  <c r="R830" i="32"/>
  <c r="Q830" i="32"/>
  <c r="R916" i="32"/>
  <c r="Q916" i="32"/>
  <c r="V1001" i="32"/>
  <c r="W1001" i="32" s="1"/>
  <c r="Q1049" i="32"/>
  <c r="R1049" i="32"/>
  <c r="R1113" i="32"/>
  <c r="Q1113" i="32"/>
  <c r="V1129" i="32"/>
  <c r="W1129" i="32" s="1"/>
  <c r="V1193" i="32"/>
  <c r="W1193" i="32" s="1"/>
  <c r="R1241" i="32"/>
  <c r="Q1241" i="32"/>
  <c r="R9" i="32"/>
  <c r="Q9" i="32"/>
  <c r="V69" i="32"/>
  <c r="W69" i="32" s="1"/>
  <c r="V149" i="32"/>
  <c r="W149" i="32" s="1"/>
  <c r="R482" i="32"/>
  <c r="Q482" i="32"/>
  <c r="V664" i="32"/>
  <c r="W664" i="32" s="1"/>
  <c r="V778" i="32"/>
  <c r="W778" i="32" s="1"/>
  <c r="Q946" i="32"/>
  <c r="R946" i="32"/>
  <c r="R967" i="32"/>
  <c r="Q967" i="32"/>
  <c r="V1074" i="32"/>
  <c r="W1074" i="32" s="1"/>
  <c r="V1159" i="32"/>
  <c r="W1159" i="32" s="1"/>
  <c r="R1223" i="32"/>
  <c r="Q1223" i="32"/>
  <c r="R335" i="32"/>
  <c r="Q335" i="32"/>
  <c r="Q374" i="32"/>
  <c r="R374" i="32"/>
  <c r="R521" i="32"/>
  <c r="Q521" i="32"/>
  <c r="Q612" i="32"/>
  <c r="R612" i="32"/>
  <c r="V15" i="32"/>
  <c r="W15" i="32" s="1"/>
  <c r="V513" i="32"/>
  <c r="W513" i="32" s="1"/>
  <c r="R908" i="32"/>
  <c r="Q908" i="32"/>
  <c r="R1028" i="32"/>
  <c r="Q1028" i="32"/>
  <c r="Q1114" i="32"/>
  <c r="R1114" i="32"/>
  <c r="R1142" i="32"/>
  <c r="Q1142" i="32"/>
  <c r="R1227" i="32"/>
  <c r="Q1227" i="32"/>
  <c r="V1284" i="32"/>
  <c r="W1284" i="32" s="1"/>
  <c r="Q281" i="32"/>
  <c r="R281" i="32"/>
  <c r="V918" i="32"/>
  <c r="W918" i="32" s="1"/>
  <c r="R980" i="32"/>
  <c r="Q980" i="32"/>
  <c r="R1123" i="32"/>
  <c r="Q1123" i="32"/>
  <c r="V1264" i="32"/>
  <c r="W1264" i="32" s="1"/>
  <c r="V585" i="32"/>
  <c r="W585" i="32" s="1"/>
  <c r="V1203" i="32"/>
  <c r="W1203" i="32" s="1"/>
  <c r="R754" i="32"/>
  <c r="Q754" i="32"/>
  <c r="V948" i="32"/>
  <c r="W948" i="32" s="1"/>
  <c r="R1119" i="32"/>
  <c r="Q1119" i="32"/>
  <c r="V939" i="32"/>
  <c r="W939" i="32" s="1"/>
  <c r="R1110" i="32"/>
  <c r="Q1110" i="32"/>
  <c r="R1280" i="32"/>
  <c r="Q1280" i="32"/>
  <c r="V433" i="32"/>
  <c r="W433" i="32" s="1"/>
  <c r="V904" i="32"/>
  <c r="W904" i="32" s="1"/>
  <c r="R1027" i="32"/>
  <c r="Q1027" i="32"/>
  <c r="V1140" i="32"/>
  <c r="W1140" i="32" s="1"/>
  <c r="R1254" i="32"/>
  <c r="Q1254" i="32"/>
  <c r="V136" i="32"/>
  <c r="W136" i="32" s="1"/>
  <c r="V280" i="32"/>
  <c r="W280" i="32" s="1"/>
  <c r="R6" i="32"/>
  <c r="Q6" i="32"/>
  <c r="V70" i="32"/>
  <c r="W70" i="32" s="1"/>
  <c r="R134" i="32"/>
  <c r="Q134" i="32"/>
  <c r="V310" i="32"/>
  <c r="W310" i="32" s="1"/>
  <c r="V395" i="32"/>
  <c r="W395" i="32" s="1"/>
  <c r="R491" i="32"/>
  <c r="Q491" i="32"/>
  <c r="V77" i="32"/>
  <c r="W77" i="32" s="1"/>
  <c r="R523" i="32"/>
  <c r="Q523" i="32"/>
  <c r="V687" i="32"/>
  <c r="W687" i="32" s="1"/>
  <c r="V815" i="32"/>
  <c r="W815" i="32" s="1"/>
  <c r="Q895" i="32"/>
  <c r="R895" i="32"/>
  <c r="V189" i="32"/>
  <c r="W189" i="32" s="1"/>
  <c r="Q884" i="32"/>
  <c r="R884" i="32"/>
  <c r="R926" i="32"/>
  <c r="Q926" i="32"/>
  <c r="R1041" i="32"/>
  <c r="Q1041" i="32"/>
  <c r="Q1073" i="32"/>
  <c r="R1073" i="32"/>
  <c r="R1169" i="32"/>
  <c r="Q1169" i="32"/>
  <c r="R350" i="32"/>
  <c r="Q350" i="32"/>
  <c r="V465" i="32"/>
  <c r="W465" i="32" s="1"/>
  <c r="V934" i="32"/>
  <c r="W934" i="32" s="1"/>
  <c r="Q1063" i="32"/>
  <c r="R1063" i="32"/>
  <c r="V1106" i="32"/>
  <c r="W1106" i="32" s="1"/>
  <c r="V1255" i="32"/>
  <c r="W1255" i="32" s="1"/>
  <c r="V468" i="32"/>
  <c r="W468" i="32" s="1"/>
  <c r="R853" i="32"/>
  <c r="Q853" i="32"/>
  <c r="R958" i="32"/>
  <c r="Q958" i="32"/>
  <c r="V1128" i="32"/>
  <c r="W1128" i="32" s="1"/>
  <c r="R677" i="32"/>
  <c r="Q677" i="32"/>
  <c r="V1136" i="32"/>
  <c r="W1136" i="32" s="1"/>
  <c r="V1231" i="32"/>
  <c r="W1231" i="32" s="1"/>
  <c r="R698" i="32"/>
  <c r="Q698" i="32"/>
  <c r="V812" i="32"/>
  <c r="W812" i="32" s="1"/>
  <c r="V1262" i="32"/>
  <c r="W1262" i="32" s="1"/>
  <c r="V968" i="32"/>
  <c r="W968" i="32" s="1"/>
  <c r="R1252" i="32"/>
  <c r="Q1252" i="32"/>
  <c r="Q998" i="32"/>
  <c r="R998" i="32"/>
  <c r="R92" i="32"/>
  <c r="Q92" i="32"/>
  <c r="R332" i="32"/>
  <c r="Q332" i="32"/>
  <c r="V26" i="32"/>
  <c r="W26" i="32" s="1"/>
  <c r="R122" i="32"/>
  <c r="Q122" i="32"/>
  <c r="Q218" i="32"/>
  <c r="R218" i="32"/>
  <c r="R266" i="32"/>
  <c r="Q266" i="32"/>
  <c r="Q75" i="32"/>
  <c r="R75" i="32"/>
  <c r="V583" i="32"/>
  <c r="W583" i="32" s="1"/>
  <c r="V707" i="32"/>
  <c r="W707" i="32" s="1"/>
  <c r="R771" i="32"/>
  <c r="Q771" i="32"/>
  <c r="R883" i="32"/>
  <c r="Q883" i="32"/>
  <c r="R201" i="32"/>
  <c r="Q201" i="32"/>
  <c r="R317" i="32"/>
  <c r="Q317" i="32"/>
  <c r="R498" i="32"/>
  <c r="Q498" i="32"/>
  <c r="V761" i="32"/>
  <c r="W761" i="32" s="1"/>
  <c r="R932" i="32"/>
  <c r="Q932" i="32"/>
  <c r="R1141" i="32"/>
  <c r="Q1141" i="32"/>
  <c r="R1173" i="32"/>
  <c r="Q1173" i="32"/>
  <c r="R53" i="32"/>
  <c r="Q53" i="32"/>
  <c r="Q360" i="32"/>
  <c r="R360" i="32"/>
  <c r="Q436" i="32"/>
  <c r="R436" i="32"/>
  <c r="R1047" i="32"/>
  <c r="Q1047" i="32"/>
  <c r="V1111" i="32"/>
  <c r="W1111" i="32" s="1"/>
  <c r="R1218" i="32"/>
  <c r="Q1218" i="32"/>
  <c r="V1282" i="32"/>
  <c r="W1282" i="32" s="1"/>
  <c r="R572" i="32"/>
  <c r="Q572" i="32"/>
  <c r="V717" i="32"/>
  <c r="W717" i="32" s="1"/>
  <c r="Q888" i="32"/>
  <c r="R888" i="32"/>
  <c r="R786" i="32"/>
  <c r="Q786" i="32"/>
  <c r="R992" i="32"/>
  <c r="Q992" i="32"/>
  <c r="V1163" i="32"/>
  <c r="W1163" i="32" s="1"/>
  <c r="V444" i="32"/>
  <c r="W444" i="32" s="1"/>
  <c r="R1002" i="32"/>
  <c r="Q1002" i="32"/>
  <c r="R1200" i="32"/>
  <c r="Q1200" i="32"/>
  <c r="Q1258" i="32"/>
  <c r="R1258" i="32"/>
  <c r="R780" i="32"/>
  <c r="Q780" i="32"/>
  <c r="R1104" i="32"/>
  <c r="Q1104" i="32"/>
  <c r="V466" i="32"/>
  <c r="W466" i="32" s="1"/>
  <c r="R922" i="32"/>
  <c r="Q922" i="32"/>
  <c r="V1096" i="32"/>
  <c r="W1096" i="32" s="1"/>
  <c r="R1183" i="32"/>
  <c r="Q1183" i="32"/>
  <c r="R1296" i="32"/>
  <c r="Q1296" i="32"/>
  <c r="R36" i="32"/>
  <c r="Q36" i="32"/>
  <c r="R116" i="32"/>
  <c r="Q116" i="32"/>
  <c r="V196" i="32"/>
  <c r="W196" i="32" s="1"/>
  <c r="R244" i="32"/>
  <c r="Q244" i="32"/>
  <c r="V260" i="32"/>
  <c r="W260" i="32" s="1"/>
  <c r="R308" i="32"/>
  <c r="Q308" i="32"/>
  <c r="R34" i="32"/>
  <c r="Q34" i="32"/>
  <c r="Q98" i="32"/>
  <c r="R98" i="32"/>
  <c r="R146" i="32"/>
  <c r="Q146" i="32"/>
  <c r="R162" i="32"/>
  <c r="Q162" i="32"/>
  <c r="R210" i="32"/>
  <c r="Q210" i="32"/>
  <c r="R290" i="32"/>
  <c r="Q290" i="32"/>
  <c r="R27" i="32"/>
  <c r="Q27" i="32"/>
  <c r="R155" i="32"/>
  <c r="Q155" i="32"/>
  <c r="R48" i="32"/>
  <c r="Q48" i="32"/>
  <c r="R64" i="32"/>
  <c r="Q64" i="32"/>
  <c r="V80" i="32"/>
  <c r="W80" i="32" s="1"/>
  <c r="R112" i="32"/>
  <c r="Q112" i="32"/>
  <c r="R176" i="32"/>
  <c r="Q176" i="32"/>
  <c r="R192" i="32"/>
  <c r="Q192" i="32"/>
  <c r="V272" i="32"/>
  <c r="W272" i="32" s="1"/>
  <c r="R304" i="32"/>
  <c r="Q304" i="32"/>
  <c r="V126" i="32"/>
  <c r="W126" i="32" s="1"/>
  <c r="V64" i="32"/>
  <c r="W64" i="32" s="1"/>
  <c r="Q240" i="32"/>
  <c r="R240" i="32"/>
  <c r="V320" i="32"/>
  <c r="W320" i="32" s="1"/>
  <c r="R142" i="32"/>
  <c r="Q142" i="32"/>
  <c r="R19" i="32"/>
  <c r="Q19" i="32"/>
  <c r="V307" i="32"/>
  <c r="W307" i="32" s="1"/>
  <c r="Q483" i="32"/>
  <c r="R483" i="32"/>
  <c r="R141" i="32"/>
  <c r="Q141" i="32"/>
  <c r="V346" i="32"/>
  <c r="W346" i="32" s="1"/>
  <c r="R474" i="32"/>
  <c r="Q474" i="32"/>
  <c r="Q807" i="32"/>
  <c r="R807" i="32"/>
  <c r="V903" i="32"/>
  <c r="W903" i="32" s="1"/>
  <c r="R217" i="32"/>
  <c r="Q217" i="32"/>
  <c r="R599" i="32"/>
  <c r="Q599" i="32"/>
  <c r="R702" i="32"/>
  <c r="Q702" i="32"/>
  <c r="R953" i="32"/>
  <c r="Q953" i="32"/>
  <c r="V1033" i="32"/>
  <c r="W1033" i="32" s="1"/>
  <c r="R1257" i="32"/>
  <c r="Q1257" i="32"/>
  <c r="V181" i="32"/>
  <c r="W181" i="32" s="1"/>
  <c r="V946" i="32"/>
  <c r="W946" i="32" s="1"/>
  <c r="R1074" i="32"/>
  <c r="Q1074" i="32"/>
  <c r="R1159" i="32"/>
  <c r="Q1159" i="32"/>
  <c r="V1287" i="32"/>
  <c r="W1287" i="32" s="1"/>
  <c r="R412" i="32"/>
  <c r="Q412" i="32"/>
  <c r="R15" i="32"/>
  <c r="Q15" i="32"/>
  <c r="R513" i="32"/>
  <c r="Q513" i="32"/>
  <c r="V858" i="32"/>
  <c r="W858" i="32" s="1"/>
  <c r="R952" i="32"/>
  <c r="Q952" i="32"/>
  <c r="V253" i="32"/>
  <c r="W253" i="32" s="1"/>
  <c r="R1176" i="32"/>
  <c r="Q1176" i="32"/>
  <c r="R1224" i="32"/>
  <c r="Q1224" i="32"/>
  <c r="V684" i="32"/>
  <c r="W684" i="32" s="1"/>
  <c r="Q280" i="32"/>
  <c r="R280" i="32"/>
  <c r="R395" i="32"/>
  <c r="Q395" i="32"/>
  <c r="R77" i="32"/>
  <c r="Q77" i="32"/>
  <c r="V485" i="32"/>
  <c r="W485" i="32" s="1"/>
  <c r="R462" i="32"/>
  <c r="Q462" i="32"/>
  <c r="R1249" i="32"/>
  <c r="Q1249" i="32"/>
  <c r="V626" i="32"/>
  <c r="W626" i="32" s="1"/>
  <c r="R1255" i="32"/>
  <c r="Q1255" i="32"/>
  <c r="V564" i="32"/>
  <c r="W564" i="32" s="1"/>
  <c r="R1214" i="32"/>
  <c r="Q1214" i="32"/>
  <c r="R1136" i="32"/>
  <c r="Q1136" i="32"/>
  <c r="R752" i="32"/>
  <c r="Q752" i="32"/>
  <c r="R578" i="32"/>
  <c r="Q578" i="32"/>
  <c r="V204" i="32"/>
  <c r="W204" i="32" s="1"/>
  <c r="R186" i="32"/>
  <c r="Q186" i="32"/>
  <c r="R173" i="32"/>
  <c r="Q173" i="32"/>
  <c r="R469" i="32"/>
  <c r="Q469" i="32"/>
  <c r="R617" i="32"/>
  <c r="Q617" i="32"/>
  <c r="V883" i="32"/>
  <c r="W883" i="32" s="1"/>
  <c r="R581" i="32"/>
  <c r="Q581" i="32"/>
  <c r="R782" i="32"/>
  <c r="Q782" i="32"/>
  <c r="R981" i="32"/>
  <c r="Q981" i="32"/>
  <c r="R1111" i="32"/>
  <c r="Q1111" i="32"/>
  <c r="R135" i="32"/>
  <c r="Q135" i="32"/>
  <c r="V572" i="32"/>
  <c r="W572" i="32" s="1"/>
  <c r="V860" i="32"/>
  <c r="W860" i="32" s="1"/>
  <c r="V673" i="32"/>
  <c r="W673" i="32" s="1"/>
  <c r="R444" i="32"/>
  <c r="Q444" i="32"/>
  <c r="R944" i="32"/>
  <c r="Q944" i="32"/>
  <c r="V1104" i="32"/>
  <c r="W1104" i="32" s="1"/>
  <c r="R132" i="32"/>
  <c r="Q132" i="32"/>
  <c r="V164" i="32"/>
  <c r="W164" i="32" s="1"/>
  <c r="Q324" i="32"/>
  <c r="R324" i="32"/>
  <c r="Q66" i="32"/>
  <c r="R66" i="32"/>
  <c r="V146" i="32"/>
  <c r="W146" i="32" s="1"/>
  <c r="R59" i="32"/>
  <c r="Q59" i="32"/>
  <c r="R187" i="32"/>
  <c r="Q187" i="32"/>
  <c r="R591" i="32"/>
  <c r="Q591" i="32"/>
  <c r="Q747" i="32"/>
  <c r="R747" i="32"/>
  <c r="V5" i="32"/>
  <c r="W5" i="32" s="1"/>
  <c r="V231" i="32"/>
  <c r="W231" i="32" s="1"/>
  <c r="R484" i="32"/>
  <c r="Q484" i="32"/>
  <c r="R584" i="32"/>
  <c r="Q584" i="32"/>
  <c r="R665" i="32"/>
  <c r="Q665" i="32"/>
  <c r="V772" i="32"/>
  <c r="W772" i="32" s="1"/>
  <c r="R1053" i="32"/>
  <c r="Q1053" i="32"/>
  <c r="V81" i="32"/>
  <c r="W81" i="32" s="1"/>
  <c r="Q340" i="32"/>
  <c r="R340" i="32"/>
  <c r="R493" i="32"/>
  <c r="Q493" i="32"/>
  <c r="R951" i="32"/>
  <c r="Q951" i="32"/>
  <c r="R1036" i="32"/>
  <c r="Q1036" i="32"/>
  <c r="R382" i="32"/>
  <c r="Q382" i="32"/>
  <c r="V71" i="32"/>
  <c r="W71" i="32" s="1"/>
  <c r="R1007" i="32"/>
  <c r="Q1007" i="32"/>
  <c r="V1291" i="32"/>
  <c r="W1291" i="32" s="1"/>
  <c r="V608" i="32"/>
  <c r="W608" i="32" s="1"/>
  <c r="R1102" i="32"/>
  <c r="Q1102" i="32"/>
  <c r="V552" i="32"/>
  <c r="W552" i="32" s="1"/>
  <c r="V963" i="32"/>
  <c r="W963" i="32" s="1"/>
  <c r="R1067" i="32"/>
  <c r="Q1067" i="32"/>
  <c r="R1295" i="32"/>
  <c r="Q1295" i="32"/>
  <c r="R184" i="32"/>
  <c r="Q184" i="32"/>
  <c r="R182" i="32"/>
  <c r="Q182" i="32"/>
  <c r="R3" i="32"/>
  <c r="Q3" i="32"/>
  <c r="R799" i="32"/>
  <c r="Q799" i="32"/>
  <c r="V377" i="32"/>
  <c r="W377" i="32" s="1"/>
  <c r="R734" i="32"/>
  <c r="Q734" i="32"/>
  <c r="R1137" i="32"/>
  <c r="Q1137" i="32"/>
  <c r="V651" i="32"/>
  <c r="W651" i="32" s="1"/>
  <c r="R821" i="32"/>
  <c r="Q821" i="32"/>
  <c r="R1170" i="32"/>
  <c r="Q1170" i="32"/>
  <c r="V1242" i="32"/>
  <c r="W1242" i="32" s="1"/>
  <c r="R901" i="32"/>
  <c r="Q901" i="32"/>
  <c r="V1222" i="32"/>
  <c r="W1222" i="32" s="1"/>
  <c r="R1195" i="32"/>
  <c r="Q1195" i="32"/>
  <c r="Q1055" i="32"/>
  <c r="R1055" i="32"/>
  <c r="V76" i="32"/>
  <c r="W76" i="32" s="1"/>
  <c r="V188" i="32"/>
  <c r="W188" i="32" s="1"/>
  <c r="R58" i="32"/>
  <c r="Q58" i="32"/>
  <c r="R139" i="32"/>
  <c r="Q139" i="32"/>
  <c r="V45" i="32"/>
  <c r="W45" i="32" s="1"/>
  <c r="R739" i="32"/>
  <c r="Q739" i="32"/>
  <c r="R261" i="32"/>
  <c r="Q261" i="32"/>
  <c r="R522" i="32"/>
  <c r="Q522" i="32"/>
  <c r="R997" i="32"/>
  <c r="Q997" i="32"/>
  <c r="V1196" i="32"/>
  <c r="W1196" i="32" s="1"/>
  <c r="R542" i="32"/>
  <c r="Q542" i="32"/>
  <c r="V621" i="32"/>
  <c r="W621" i="32" s="1"/>
  <c r="R1107" i="32"/>
  <c r="Q1107" i="32"/>
  <c r="V516" i="32"/>
  <c r="W516" i="32" s="1"/>
  <c r="V974" i="32"/>
  <c r="W974" i="32" s="1"/>
  <c r="V1048" i="32"/>
  <c r="W1048" i="32" s="1"/>
  <c r="R1126" i="32"/>
  <c r="Q1126" i="32"/>
  <c r="V48" i="32"/>
  <c r="W48" i="32" s="1"/>
  <c r="Q144" i="32"/>
  <c r="R144" i="32"/>
  <c r="R224" i="32"/>
  <c r="Q224" i="32"/>
  <c r="V304" i="32"/>
  <c r="W304" i="32" s="1"/>
  <c r="Q62" i="32"/>
  <c r="R62" i="32"/>
  <c r="R126" i="32"/>
  <c r="Q126" i="32"/>
  <c r="V19" i="32"/>
  <c r="W19" i="32" s="1"/>
  <c r="Q419" i="32"/>
  <c r="R419" i="32"/>
  <c r="V499" i="32"/>
  <c r="W499" i="32" s="1"/>
  <c r="R602" i="32"/>
  <c r="Q602" i="32"/>
  <c r="R791" i="32"/>
  <c r="Q791" i="32"/>
  <c r="V823" i="32"/>
  <c r="W823" i="32" s="1"/>
  <c r="V420" i="32"/>
  <c r="W420" i="32" s="1"/>
  <c r="R681" i="32"/>
  <c r="Q681" i="32"/>
  <c r="R745" i="32"/>
  <c r="Q745" i="32"/>
  <c r="V873" i="32"/>
  <c r="W873" i="32" s="1"/>
  <c r="R985" i="32"/>
  <c r="Q985" i="32"/>
  <c r="V1145" i="32"/>
  <c r="W1145" i="32" s="1"/>
  <c r="R37" i="32"/>
  <c r="Q37" i="32"/>
  <c r="R369" i="32"/>
  <c r="Q369" i="32"/>
  <c r="R408" i="32"/>
  <c r="Q408" i="32"/>
  <c r="R546" i="32"/>
  <c r="Q546" i="32"/>
  <c r="R638" i="32"/>
  <c r="Q638" i="32"/>
  <c r="R778" i="32"/>
  <c r="Q778" i="32"/>
  <c r="R864" i="32"/>
  <c r="Q864" i="32"/>
  <c r="V920" i="32"/>
  <c r="W920" i="32" s="1"/>
  <c r="R988" i="32"/>
  <c r="Q988" i="32"/>
  <c r="R1138" i="32"/>
  <c r="Q1138" i="32"/>
  <c r="V1180" i="32"/>
  <c r="W1180" i="32" s="1"/>
  <c r="R49" i="32"/>
  <c r="Q49" i="32"/>
  <c r="V450" i="32"/>
  <c r="W450" i="32" s="1"/>
  <c r="R550" i="32"/>
  <c r="Q550" i="32"/>
  <c r="V586" i="32"/>
  <c r="W586" i="32" s="1"/>
  <c r="R641" i="32"/>
  <c r="Q641" i="32"/>
  <c r="R668" i="32"/>
  <c r="Q668" i="32"/>
  <c r="Q753" i="32"/>
  <c r="R753" i="32"/>
  <c r="V810" i="32"/>
  <c r="W810" i="32" s="1"/>
  <c r="R866" i="32"/>
  <c r="Q866" i="32"/>
  <c r="V233" i="32"/>
  <c r="W233" i="32" s="1"/>
  <c r="R438" i="32"/>
  <c r="Q438" i="32"/>
  <c r="R688" i="32"/>
  <c r="Q688" i="32"/>
  <c r="R744" i="32"/>
  <c r="Q744" i="32"/>
  <c r="V801" i="32"/>
  <c r="W801" i="32" s="1"/>
  <c r="R1171" i="32"/>
  <c r="Q1171" i="32"/>
  <c r="V1199" i="32"/>
  <c r="W1199" i="32" s="1"/>
  <c r="R1256" i="32"/>
  <c r="Q1256" i="32"/>
  <c r="R1284" i="32"/>
  <c r="Q1284" i="32"/>
  <c r="R386" i="32"/>
  <c r="Q386" i="32"/>
  <c r="R705" i="32"/>
  <c r="Q705" i="32"/>
  <c r="R876" i="32"/>
  <c r="Q876" i="32"/>
  <c r="V952" i="32"/>
  <c r="W952" i="32" s="1"/>
  <c r="Q1008" i="32"/>
  <c r="R1008" i="32"/>
  <c r="R1038" i="32"/>
  <c r="Q1038" i="32"/>
  <c r="V1066" i="32"/>
  <c r="W1066" i="32" s="1"/>
  <c r="R1151" i="32"/>
  <c r="Q1151" i="32"/>
  <c r="R1236" i="32"/>
  <c r="Q1236" i="32"/>
  <c r="V1294" i="32"/>
  <c r="W1294" i="32" s="1"/>
  <c r="R912" i="32"/>
  <c r="Q912" i="32"/>
  <c r="R975" i="32"/>
  <c r="Q975" i="32"/>
  <c r="V1032" i="32"/>
  <c r="W1032" i="32" s="1"/>
  <c r="Q1146" i="32"/>
  <c r="R1146" i="32"/>
  <c r="Q1203" i="32"/>
  <c r="R1203" i="32"/>
  <c r="V1259" i="32"/>
  <c r="W1259" i="32" s="1"/>
  <c r="R376" i="32"/>
  <c r="Q376" i="32"/>
  <c r="Q524" i="32"/>
  <c r="R524" i="32"/>
  <c r="V642" i="32"/>
  <c r="W642" i="32" s="1"/>
  <c r="R869" i="32"/>
  <c r="Q869" i="32"/>
  <c r="V1232" i="32"/>
  <c r="W1232" i="32" s="1"/>
  <c r="V628" i="32"/>
  <c r="W628" i="32" s="1"/>
  <c r="R850" i="32"/>
  <c r="Q850" i="32"/>
  <c r="R939" i="32"/>
  <c r="Q939" i="32"/>
  <c r="V996" i="32"/>
  <c r="W996" i="32" s="1"/>
  <c r="R1167" i="32"/>
  <c r="Q1167" i="32"/>
  <c r="V1224" i="32"/>
  <c r="W1224" i="32" s="1"/>
  <c r="R223" i="32"/>
  <c r="Q223" i="32"/>
  <c r="R904" i="32"/>
  <c r="Q904" i="32"/>
  <c r="V970" i="32"/>
  <c r="W970" i="32" s="1"/>
  <c r="R1083" i="32"/>
  <c r="Q1083" i="32"/>
  <c r="R1140" i="32"/>
  <c r="Q1140" i="32"/>
  <c r="V1198" i="32"/>
  <c r="W1198" i="32" s="1"/>
  <c r="R136" i="32"/>
  <c r="Q136" i="32"/>
  <c r="V168" i="32"/>
  <c r="W168" i="32" s="1"/>
  <c r="R248" i="32"/>
  <c r="Q248" i="32"/>
  <c r="V312" i="32"/>
  <c r="W312" i="32" s="1"/>
  <c r="R70" i="32"/>
  <c r="Q70" i="32"/>
  <c r="Q278" i="32"/>
  <c r="R278" i="32"/>
  <c r="R35" i="32"/>
  <c r="Q35" i="32"/>
  <c r="R131" i="32"/>
  <c r="Q131" i="32"/>
  <c r="V227" i="32"/>
  <c r="W227" i="32" s="1"/>
  <c r="R363" i="32"/>
  <c r="Q363" i="32"/>
  <c r="R357" i="32"/>
  <c r="Q357" i="32"/>
  <c r="V464" i="32"/>
  <c r="W464" i="32" s="1"/>
  <c r="V595" i="32"/>
  <c r="W595" i="32" s="1"/>
  <c r="R687" i="32"/>
  <c r="Q687" i="32"/>
  <c r="V703" i="32"/>
  <c r="W703" i="32" s="1"/>
  <c r="R815" i="32"/>
  <c r="Q815" i="32"/>
  <c r="R17" i="32"/>
  <c r="Q17" i="32"/>
  <c r="R434" i="32"/>
  <c r="Q434" i="32"/>
  <c r="R589" i="32"/>
  <c r="Q589" i="32"/>
  <c r="Q756" i="32"/>
  <c r="R756" i="32"/>
  <c r="Q798" i="32"/>
  <c r="R798" i="32"/>
  <c r="R1105" i="32"/>
  <c r="Q1105" i="32"/>
  <c r="V1121" i="32"/>
  <c r="W1121" i="32" s="1"/>
  <c r="R1217" i="32"/>
  <c r="Q1217" i="32"/>
  <c r="V1281" i="32"/>
  <c r="W1281" i="32" s="1"/>
  <c r="R153" i="32"/>
  <c r="Q153" i="32"/>
  <c r="V207" i="32"/>
  <c r="W207" i="32" s="1"/>
  <c r="V561" i="32"/>
  <c r="W561" i="32" s="1"/>
  <c r="Q706" i="32"/>
  <c r="R706" i="32"/>
  <c r="R906" i="32"/>
  <c r="Q906" i="32"/>
  <c r="R1106" i="32"/>
  <c r="Q1106" i="32"/>
  <c r="V1148" i="32"/>
  <c r="W1148" i="32" s="1"/>
  <c r="R1234" i="32"/>
  <c r="Q1234" i="32"/>
  <c r="V1298" i="32"/>
  <c r="W1298" i="32" s="1"/>
  <c r="R354" i="32"/>
  <c r="Q354" i="32"/>
  <c r="V536" i="32"/>
  <c r="W536" i="32" s="1"/>
  <c r="R629" i="32"/>
  <c r="Q629" i="32"/>
  <c r="Q710" i="32"/>
  <c r="R710" i="32"/>
  <c r="V768" i="32"/>
  <c r="W768" i="32" s="1"/>
  <c r="Q127" i="32"/>
  <c r="R127" i="32"/>
  <c r="V309" i="32"/>
  <c r="W309" i="32" s="1"/>
  <c r="R658" i="32"/>
  <c r="Q658" i="32"/>
  <c r="R773" i="32"/>
  <c r="Q773" i="32"/>
  <c r="Q1014" i="32"/>
  <c r="R1014" i="32"/>
  <c r="R1128" i="32"/>
  <c r="Q1128" i="32"/>
  <c r="V193" i="32"/>
  <c r="W193" i="32" s="1"/>
  <c r="R279" i="32"/>
  <c r="Q279" i="32"/>
  <c r="R416" i="32"/>
  <c r="Q416" i="32"/>
  <c r="V437" i="32"/>
  <c r="W437" i="32" s="1"/>
  <c r="R501" i="32"/>
  <c r="Q501" i="32"/>
  <c r="V519" i="32"/>
  <c r="W519" i="32" s="1"/>
  <c r="R567" i="32"/>
  <c r="Q567" i="32"/>
  <c r="V591" i="32"/>
  <c r="W591" i="32" s="1"/>
  <c r="V652" i="32"/>
  <c r="W652" i="32" s="1"/>
  <c r="R683" i="32"/>
  <c r="Q683" i="32"/>
  <c r="R699" i="32"/>
  <c r="Q699" i="32"/>
  <c r="V715" i="32"/>
  <c r="W715" i="32" s="1"/>
  <c r="R811" i="32"/>
  <c r="Q811" i="32"/>
  <c r="R5" i="32"/>
  <c r="Q5" i="32"/>
  <c r="V117" i="32"/>
  <c r="W117" i="32" s="1"/>
  <c r="V342" i="32"/>
  <c r="W342" i="32" s="1"/>
  <c r="R398" i="32"/>
  <c r="Q398" i="32"/>
  <c r="R512" i="32"/>
  <c r="Q512" i="32"/>
  <c r="R604" i="32"/>
  <c r="Q604" i="32"/>
  <c r="V645" i="32"/>
  <c r="W645" i="32" s="1"/>
  <c r="Q686" i="32"/>
  <c r="R686" i="32"/>
  <c r="R772" i="32"/>
  <c r="Q772" i="32"/>
  <c r="V814" i="32"/>
  <c r="W814" i="32" s="1"/>
  <c r="R878" i="32"/>
  <c r="Q878" i="32"/>
  <c r="V900" i="32"/>
  <c r="W900" i="32" s="1"/>
  <c r="R941" i="32"/>
  <c r="Q941" i="32"/>
  <c r="V973" i="32"/>
  <c r="W973" i="32" s="1"/>
  <c r="R1005" i="32"/>
  <c r="Q1005" i="32"/>
  <c r="R1037" i="32"/>
  <c r="R1085" i="32"/>
  <c r="Q1085" i="32"/>
  <c r="V1101" i="32"/>
  <c r="W1101" i="32" s="1"/>
  <c r="R1133" i="32"/>
  <c r="Q1133" i="32"/>
  <c r="V1165" i="32"/>
  <c r="W1165" i="32" s="1"/>
  <c r="V1229" i="32"/>
  <c r="W1229" i="32" s="1"/>
  <c r="R1261" i="32"/>
  <c r="Q1261" i="32"/>
  <c r="R177" i="32"/>
  <c r="Q177" i="32"/>
  <c r="R265" i="32"/>
  <c r="Q265" i="32"/>
  <c r="R417" i="32"/>
  <c r="Q417" i="32"/>
  <c r="V493" i="32"/>
  <c r="W493" i="32" s="1"/>
  <c r="V619" i="32"/>
  <c r="W619" i="32" s="1"/>
  <c r="R672" i="32"/>
  <c r="Q672" i="32"/>
  <c r="R700" i="32"/>
  <c r="Q700" i="32"/>
  <c r="Q785" i="32"/>
  <c r="R785" i="32"/>
  <c r="Q898" i="32"/>
  <c r="R898" i="32"/>
  <c r="R928" i="32"/>
  <c r="Q928" i="32"/>
  <c r="V951" i="32"/>
  <c r="W951" i="32" s="1"/>
  <c r="R994" i="32"/>
  <c r="Q994" i="32"/>
  <c r="R1015" i="32"/>
  <c r="Q1015" i="32"/>
  <c r="V1036" i="32"/>
  <c r="W1036" i="32" s="1"/>
  <c r="Q1100" i="32"/>
  <c r="R1100" i="32"/>
  <c r="R1164" i="32"/>
  <c r="Q1164" i="32"/>
  <c r="R1186" i="32"/>
  <c r="Q1186" i="32"/>
  <c r="R1207" i="32"/>
  <c r="S1207" i="32" s="1"/>
  <c r="R1250" i="32"/>
  <c r="Q1250" i="32"/>
  <c r="V1292" i="32"/>
  <c r="W1292" i="32" s="1"/>
  <c r="R277" i="32"/>
  <c r="Q277" i="32"/>
  <c r="R422" i="32"/>
  <c r="Q422" i="32"/>
  <c r="R460" i="32"/>
  <c r="Q460" i="32"/>
  <c r="R593" i="32"/>
  <c r="Q593" i="32"/>
  <c r="Q789" i="32"/>
  <c r="R789" i="32"/>
  <c r="R71" i="32"/>
  <c r="Q71" i="32"/>
  <c r="V381" i="32"/>
  <c r="W381" i="32" s="1"/>
  <c r="R526" i="32"/>
  <c r="Q526" i="32"/>
  <c r="R592" i="32"/>
  <c r="Q592" i="32"/>
  <c r="R758" i="32"/>
  <c r="Q758" i="32"/>
  <c r="R816" i="32"/>
  <c r="Q816" i="32"/>
  <c r="V872" i="32"/>
  <c r="W872" i="32" s="1"/>
  <c r="R950" i="32"/>
  <c r="Q950" i="32"/>
  <c r="R979" i="32"/>
  <c r="Q979" i="32"/>
  <c r="R1064" i="32"/>
  <c r="Q1064" i="32"/>
  <c r="V1120" i="32"/>
  <c r="W1120" i="32" s="1"/>
  <c r="R1178" i="32"/>
  <c r="Q1178" i="32"/>
  <c r="R1291" i="32"/>
  <c r="Q1291" i="32"/>
  <c r="V319" i="32"/>
  <c r="W319" i="32" s="1"/>
  <c r="R608" i="32"/>
  <c r="Q608" i="32"/>
  <c r="V833" i="32"/>
  <c r="W833" i="32" s="1"/>
  <c r="V987" i="32"/>
  <c r="W987" i="32" s="1"/>
  <c r="R1044" i="32"/>
  <c r="Q1044" i="32"/>
  <c r="V1102" i="32"/>
  <c r="W1102" i="32" s="1"/>
  <c r="R1158" i="32"/>
  <c r="Q1158" i="32"/>
  <c r="R1272" i="32"/>
  <c r="Q1272" i="32"/>
  <c r="R1300" i="32"/>
  <c r="Q1300" i="32"/>
  <c r="Q611" i="32"/>
  <c r="R611" i="32"/>
  <c r="R722" i="32"/>
  <c r="Q722" i="32"/>
  <c r="V837" i="32"/>
  <c r="W837" i="32" s="1"/>
  <c r="R1216" i="32"/>
  <c r="Q1216" i="32"/>
  <c r="V784" i="32"/>
  <c r="W784" i="32" s="1"/>
  <c r="R963" i="32"/>
  <c r="Q963" i="32"/>
  <c r="R1190" i="32"/>
  <c r="Q1190" i="32"/>
  <c r="V101" i="32"/>
  <c r="W101" i="32" s="1"/>
  <c r="R534" i="32"/>
  <c r="Q534" i="32"/>
  <c r="V765" i="32"/>
  <c r="W765" i="32" s="1"/>
  <c r="V1295" i="32"/>
  <c r="W1295" i="32" s="1"/>
  <c r="R472" i="32"/>
  <c r="Q472" i="32"/>
  <c r="V712" i="32"/>
  <c r="W712" i="32" s="1"/>
  <c r="R924" i="32"/>
  <c r="Q924" i="32"/>
  <c r="R984" i="32"/>
  <c r="Q984" i="32"/>
  <c r="Q1155" i="32"/>
  <c r="R1155" i="32"/>
  <c r="R1211" i="32"/>
  <c r="Q1211" i="32"/>
  <c r="V1268" i="32"/>
  <c r="W1268" i="32" s="1"/>
  <c r="R56" i="32"/>
  <c r="Q56" i="32"/>
  <c r="V72" i="32"/>
  <c r="W72" i="32" s="1"/>
  <c r="R104" i="32"/>
  <c r="Q104" i="32"/>
  <c r="R120" i="32"/>
  <c r="Q120" i="32"/>
  <c r="V152" i="32"/>
  <c r="W152" i="32" s="1"/>
  <c r="Q232" i="32"/>
  <c r="R232" i="32"/>
  <c r="V264" i="32"/>
  <c r="W264" i="32" s="1"/>
  <c r="R328" i="32"/>
  <c r="Q328" i="32"/>
  <c r="V54" i="32"/>
  <c r="W54" i="32" s="1"/>
  <c r="V326" i="32"/>
  <c r="W326" i="32" s="1"/>
  <c r="V411" i="32"/>
  <c r="W411" i="32" s="1"/>
  <c r="R507" i="32"/>
  <c r="Q507" i="32"/>
  <c r="V33" i="32"/>
  <c r="W33" i="32" s="1"/>
  <c r="R247" i="32"/>
  <c r="Q247" i="32"/>
  <c r="R421" i="32"/>
  <c r="Q421" i="32"/>
  <c r="V506" i="32"/>
  <c r="W506" i="32" s="1"/>
  <c r="R610" i="32"/>
  <c r="Q610" i="32"/>
  <c r="V640" i="32"/>
  <c r="W640" i="32" s="1"/>
  <c r="Q719" i="32"/>
  <c r="R719" i="32"/>
  <c r="R831" i="32"/>
  <c r="Q831" i="32"/>
  <c r="V879" i="32"/>
  <c r="W879" i="32" s="1"/>
  <c r="R927" i="32"/>
  <c r="Q927" i="32"/>
  <c r="R73" i="32"/>
  <c r="Q73" i="32"/>
  <c r="R609" i="32"/>
  <c r="Q609" i="32"/>
  <c r="R631" i="32"/>
  <c r="Q631" i="32"/>
  <c r="R820" i="32"/>
  <c r="Q820" i="32"/>
  <c r="Q862" i="32"/>
  <c r="R945" i="32"/>
  <c r="Q945" i="32"/>
  <c r="V993" i="32"/>
  <c r="W993" i="32" s="1"/>
  <c r="R1057" i="32"/>
  <c r="Q1057" i="32"/>
  <c r="R1185" i="32"/>
  <c r="Q1185" i="32"/>
  <c r="R1201" i="32"/>
  <c r="Q1201" i="32"/>
  <c r="V1233" i="32"/>
  <c r="W1233" i="32" s="1"/>
  <c r="R1297" i="32"/>
  <c r="Q1297" i="32"/>
  <c r="R425" i="32"/>
  <c r="Q425" i="32"/>
  <c r="V532" i="32"/>
  <c r="W532" i="32" s="1"/>
  <c r="R651" i="32"/>
  <c r="Q651" i="32"/>
  <c r="R678" i="32"/>
  <c r="Q678" i="32"/>
  <c r="R877" i="32"/>
  <c r="Q877" i="32"/>
  <c r="Q956" i="32"/>
  <c r="R956" i="32"/>
  <c r="V999" i="32"/>
  <c r="W999" i="32" s="1"/>
  <c r="Q1084" i="32"/>
  <c r="R1084" i="32"/>
  <c r="V1170" i="32"/>
  <c r="W1170" i="32" s="1"/>
  <c r="Q1276" i="32"/>
  <c r="R1276" i="32"/>
  <c r="R105" i="32"/>
  <c r="Q105" i="32"/>
  <c r="V295" i="32"/>
  <c r="W295" i="32" s="1"/>
  <c r="R430" i="32"/>
  <c r="Q430" i="32"/>
  <c r="V600" i="32"/>
  <c r="W600" i="32" s="1"/>
  <c r="V824" i="32"/>
  <c r="W824" i="32" s="1"/>
  <c r="V605" i="32"/>
  <c r="W605" i="32" s="1"/>
  <c r="R1071" i="32"/>
  <c r="Q1071" i="32"/>
  <c r="V1156" i="32"/>
  <c r="W1156" i="32" s="1"/>
  <c r="R1242" i="32"/>
  <c r="Q1242" i="32"/>
  <c r="R1299" i="32"/>
  <c r="Q1299" i="32"/>
  <c r="V424" i="32"/>
  <c r="W424" i="32" s="1"/>
  <c r="R625" i="32"/>
  <c r="Q625" i="32"/>
  <c r="R1023" i="32"/>
  <c r="Q1023" i="32"/>
  <c r="Q1222" i="32"/>
  <c r="R1222" i="32"/>
  <c r="R865" i="32"/>
  <c r="Q865" i="32"/>
  <c r="R947" i="32"/>
  <c r="Q947" i="32"/>
  <c r="V1060" i="32"/>
  <c r="W1060" i="32" s="1"/>
  <c r="Q213" i="32"/>
  <c r="R213" i="32"/>
  <c r="V562" i="32"/>
  <c r="W562" i="32" s="1"/>
  <c r="V1195" i="32"/>
  <c r="W1195" i="32" s="1"/>
  <c r="R509" i="32"/>
  <c r="Q509" i="32"/>
  <c r="R741" i="32"/>
  <c r="Q741" i="32"/>
  <c r="V854" i="32"/>
  <c r="W854" i="32" s="1"/>
  <c r="R1112" i="32"/>
  <c r="Q1112" i="32"/>
  <c r="R1226" i="32"/>
  <c r="Q1226" i="32"/>
  <c r="V12" i="32"/>
  <c r="W12" i="32" s="1"/>
  <c r="R108" i="32"/>
  <c r="Q108" i="32"/>
  <c r="R188" i="32"/>
  <c r="Q188" i="32"/>
  <c r="R220" i="32"/>
  <c r="Q220" i="32"/>
  <c r="Q316" i="32"/>
  <c r="R316" i="32"/>
  <c r="R10" i="32"/>
  <c r="Q10" i="32"/>
  <c r="R138" i="32"/>
  <c r="Q138" i="32"/>
  <c r="Q170" i="32"/>
  <c r="R170" i="32"/>
  <c r="V202" i="32"/>
  <c r="W202" i="32" s="1"/>
  <c r="R250" i="32"/>
  <c r="Q250" i="32"/>
  <c r="Q43" i="32"/>
  <c r="R43" i="32"/>
  <c r="V139" i="32"/>
  <c r="W139" i="32" s="1"/>
  <c r="R267" i="32"/>
  <c r="Q267" i="32"/>
  <c r="V367" i="32"/>
  <c r="W367" i="32" s="1"/>
  <c r="R463" i="32"/>
  <c r="Q463" i="32"/>
  <c r="R45" i="32"/>
  <c r="Q45" i="32"/>
  <c r="R129" i="32"/>
  <c r="Q129" i="32"/>
  <c r="Q362" i="32"/>
  <c r="R362" i="32"/>
  <c r="R426" i="32"/>
  <c r="Q426" i="32"/>
  <c r="V448" i="32"/>
  <c r="W448" i="32" s="1"/>
  <c r="R559" i="32"/>
  <c r="Q559" i="32"/>
  <c r="V598" i="32"/>
  <c r="W598" i="32" s="1"/>
  <c r="R691" i="32"/>
  <c r="Q691" i="32"/>
  <c r="R787" i="32"/>
  <c r="Q787" i="32"/>
  <c r="R835" i="32"/>
  <c r="Q835" i="32"/>
  <c r="V867" i="32"/>
  <c r="W867" i="32" s="1"/>
  <c r="R931" i="32"/>
  <c r="Q931" i="32"/>
  <c r="R470" i="32"/>
  <c r="Q470" i="32"/>
  <c r="V522" i="32"/>
  <c r="W522" i="32" s="1"/>
  <c r="V676" i="32"/>
  <c r="W676" i="32" s="1"/>
  <c r="V825" i="32"/>
  <c r="W825" i="32" s="1"/>
  <c r="R910" i="32"/>
  <c r="Q910" i="32"/>
  <c r="V997" i="32"/>
  <c r="W997" i="32" s="1"/>
  <c r="Q1093" i="32"/>
  <c r="R1093" i="32"/>
  <c r="Q1125" i="32"/>
  <c r="R1189" i="32"/>
  <c r="Q1189" i="32"/>
  <c r="Q1301" i="32"/>
  <c r="R1301" i="32"/>
  <c r="V7" i="32"/>
  <c r="W7" i="32" s="1"/>
  <c r="R305" i="32"/>
  <c r="Q305" i="32"/>
  <c r="R397" i="32"/>
  <c r="Q397" i="32"/>
  <c r="V473" i="32"/>
  <c r="W473" i="32" s="1"/>
  <c r="V714" i="32"/>
  <c r="W714" i="32" s="1"/>
  <c r="V940" i="32"/>
  <c r="W940" i="32" s="1"/>
  <c r="R1090" i="32"/>
  <c r="Q1090" i="32"/>
  <c r="V1132" i="32"/>
  <c r="W1132" i="32" s="1"/>
  <c r="R1196" i="32"/>
  <c r="Q1196" i="32"/>
  <c r="R1239" i="32"/>
  <c r="Q1239" i="32"/>
  <c r="V21" i="32"/>
  <c r="W21" i="32" s="1"/>
  <c r="R440" i="32"/>
  <c r="Q440" i="32"/>
  <c r="V542" i="32"/>
  <c r="W542" i="32" s="1"/>
  <c r="R689" i="32"/>
  <c r="Q689" i="32"/>
  <c r="V746" i="32"/>
  <c r="W746" i="32" s="1"/>
  <c r="R832" i="32"/>
  <c r="Q832" i="32"/>
  <c r="V344" i="32"/>
  <c r="W344" i="32" s="1"/>
  <c r="V730" i="32"/>
  <c r="W730" i="32" s="1"/>
  <c r="V844" i="32"/>
  <c r="W844" i="32" s="1"/>
  <c r="Q1022" i="32"/>
  <c r="R1022" i="32"/>
  <c r="R1050" i="32"/>
  <c r="Q1050" i="32"/>
  <c r="V1107" i="32"/>
  <c r="W1107" i="32" s="1"/>
  <c r="R1192" i="32"/>
  <c r="Q1192" i="32"/>
  <c r="V29" i="32"/>
  <c r="W29" i="32" s="1"/>
  <c r="R1059" i="32"/>
  <c r="Q1059" i="32"/>
  <c r="V1115" i="32"/>
  <c r="W1115" i="32" s="1"/>
  <c r="R1230" i="32"/>
  <c r="Q1230" i="32"/>
  <c r="R1286" i="32"/>
  <c r="Q1286" i="32"/>
  <c r="V409" i="32"/>
  <c r="W409" i="32" s="1"/>
  <c r="V1188" i="32"/>
  <c r="W1188" i="32" s="1"/>
  <c r="R489" i="32"/>
  <c r="Q489" i="32"/>
  <c r="R726" i="32"/>
  <c r="Q726" i="32"/>
  <c r="R1162" i="32"/>
  <c r="Q1162" i="32"/>
  <c r="R597" i="32"/>
  <c r="Q597" i="32"/>
  <c r="V982" i="32"/>
  <c r="W982" i="32" s="1"/>
  <c r="Q1070" i="32"/>
  <c r="R1070" i="32"/>
  <c r="V1126" i="32"/>
  <c r="W1126" i="32" s="1"/>
  <c r="V190" i="32"/>
  <c r="W190" i="32" s="1"/>
  <c r="V254" i="32"/>
  <c r="W254" i="32" s="1"/>
  <c r="R302" i="32"/>
  <c r="Q302" i="32"/>
  <c r="V83" i="32"/>
  <c r="W83" i="32" s="1"/>
  <c r="R147" i="32"/>
  <c r="Q147" i="32"/>
  <c r="R179" i="32"/>
  <c r="Q179" i="32"/>
  <c r="V211" i="32"/>
  <c r="W211" i="32" s="1"/>
  <c r="R275" i="32"/>
  <c r="Q275" i="32"/>
  <c r="R307" i="32"/>
  <c r="Q307" i="32"/>
  <c r="V339" i="32"/>
  <c r="W339" i="32" s="1"/>
  <c r="R387" i="32"/>
  <c r="Q387" i="32"/>
  <c r="V403" i="32"/>
  <c r="W403" i="32" s="1"/>
  <c r="R435" i="32"/>
  <c r="Q435" i="32"/>
  <c r="Q451" i="32"/>
  <c r="R451" i="32"/>
  <c r="V467" i="32"/>
  <c r="W467" i="32" s="1"/>
  <c r="R499" i="32"/>
  <c r="Q499" i="32"/>
  <c r="R13" i="32"/>
  <c r="Q13" i="32"/>
  <c r="R183" i="32"/>
  <c r="Q183" i="32"/>
  <c r="R346" i="32"/>
  <c r="Q346" i="32"/>
  <c r="Q368" i="32"/>
  <c r="R410" i="32"/>
  <c r="Q410" i="32"/>
  <c r="R432" i="32"/>
  <c r="Q432" i="32"/>
  <c r="V453" i="32"/>
  <c r="W453" i="32" s="1"/>
  <c r="R515" i="32"/>
  <c r="Q515" i="32"/>
  <c r="V531" i="32"/>
  <c r="W531" i="32" s="1"/>
  <c r="R563" i="32"/>
  <c r="Q563" i="32"/>
  <c r="Q587" i="32"/>
  <c r="R587" i="32"/>
  <c r="V602" i="32"/>
  <c r="W602" i="32" s="1"/>
  <c r="R634" i="32"/>
  <c r="Q634" i="32"/>
  <c r="V663" i="32"/>
  <c r="W663" i="32" s="1"/>
  <c r="R711" i="32"/>
  <c r="Q711" i="32"/>
  <c r="V727" i="32"/>
  <c r="W727" i="32" s="1"/>
  <c r="Q775" i="32"/>
  <c r="R775" i="32"/>
  <c r="R823" i="32"/>
  <c r="Q823" i="32"/>
  <c r="R839" i="32"/>
  <c r="Q839" i="32"/>
  <c r="V855" i="32"/>
  <c r="W855" i="32" s="1"/>
  <c r="R887" i="32"/>
  <c r="Q887" i="32"/>
  <c r="V919" i="32"/>
  <c r="W919" i="32" s="1"/>
  <c r="R47" i="32"/>
  <c r="Q47" i="32"/>
  <c r="R329" i="32"/>
  <c r="Q329" i="32"/>
  <c r="V364" i="32"/>
  <c r="W364" i="32" s="1"/>
  <c r="R528" i="32"/>
  <c r="Q528" i="32"/>
  <c r="R622" i="32"/>
  <c r="Q622" i="32"/>
  <c r="R639" i="32"/>
  <c r="Q639" i="32"/>
  <c r="V660" i="32"/>
  <c r="W660" i="32" s="1"/>
  <c r="Q809" i="32"/>
  <c r="R809" i="32"/>
  <c r="R873" i="32"/>
  <c r="Q873" i="32"/>
  <c r="Q1017" i="32"/>
  <c r="R1017" i="32"/>
  <c r="R1081" i="32"/>
  <c r="Q1081" i="32"/>
  <c r="V1113" i="32"/>
  <c r="W1113" i="32" s="1"/>
  <c r="Q1145" i="32"/>
  <c r="R1145" i="32"/>
  <c r="V1177" i="32"/>
  <c r="W1177" i="32" s="1"/>
  <c r="V1241" i="32"/>
  <c r="W1241" i="32" s="1"/>
  <c r="R1273" i="32"/>
  <c r="Q1273" i="32"/>
  <c r="R1289" i="32"/>
  <c r="Q1289" i="32"/>
  <c r="R125" i="32"/>
  <c r="R181" i="32"/>
  <c r="Q181" i="32"/>
  <c r="R325" i="32"/>
  <c r="Q325" i="32"/>
  <c r="V369" i="32"/>
  <c r="W369" i="32" s="1"/>
  <c r="R445" i="32"/>
  <c r="Q445" i="32"/>
  <c r="V518" i="32"/>
  <c r="W518" i="32" s="1"/>
  <c r="R582" i="32"/>
  <c r="Q582" i="32"/>
  <c r="R576" i="32"/>
  <c r="Q576" i="32"/>
  <c r="Q693" i="32"/>
  <c r="R693" i="32"/>
  <c r="Q721" i="32"/>
  <c r="R721" i="32"/>
  <c r="V749" i="32"/>
  <c r="W749" i="32" s="1"/>
  <c r="R806" i="32"/>
  <c r="Q806" i="32"/>
  <c r="R834" i="32"/>
  <c r="Q834" i="32"/>
  <c r="V967" i="32"/>
  <c r="W967" i="32" s="1"/>
  <c r="R1031" i="32"/>
  <c r="Q1031" i="32"/>
  <c r="R1095" i="32"/>
  <c r="Q1095" i="32"/>
  <c r="R1116" i="32"/>
  <c r="Q1116" i="32"/>
  <c r="V1138" i="32"/>
  <c r="W1138" i="32" s="1"/>
  <c r="R1266" i="32"/>
  <c r="Q1266" i="32"/>
  <c r="R1287" i="32"/>
  <c r="Q1287" i="32"/>
  <c r="V49" i="32"/>
  <c r="W49" i="32" s="1"/>
  <c r="R255" i="32"/>
  <c r="Q255" i="32"/>
  <c r="R450" i="32"/>
  <c r="Q450" i="32"/>
  <c r="R488" i="32"/>
  <c r="Q488" i="32"/>
  <c r="R696" i="32"/>
  <c r="Q696" i="32"/>
  <c r="R725" i="32"/>
  <c r="Q725" i="32"/>
  <c r="V753" i="32"/>
  <c r="W753" i="32" s="1"/>
  <c r="V866" i="32"/>
  <c r="W866" i="32" s="1"/>
  <c r="Q233" i="32"/>
  <c r="R233" i="32"/>
  <c r="V688" i="32"/>
  <c r="W688" i="32" s="1"/>
  <c r="R971" i="32"/>
  <c r="Q971" i="32"/>
  <c r="R1000" i="32"/>
  <c r="Q1000" i="32"/>
  <c r="V1028" i="32"/>
  <c r="W1028" i="32" s="1"/>
  <c r="R1086" i="32"/>
  <c r="Q1086" i="32"/>
  <c r="V1142" i="32"/>
  <c r="W1142" i="32" s="1"/>
  <c r="V1256" i="32"/>
  <c r="W1256" i="32" s="1"/>
  <c r="R85" i="32"/>
  <c r="Q85" i="32"/>
  <c r="R575" i="32"/>
  <c r="Q575" i="32"/>
  <c r="V649" i="32"/>
  <c r="W649" i="32" s="1"/>
  <c r="R818" i="32"/>
  <c r="Q818" i="32"/>
  <c r="V1008" i="32"/>
  <c r="W1008" i="32" s="1"/>
  <c r="R1094" i="32"/>
  <c r="Q1094" i="32"/>
  <c r="V1123" i="32"/>
  <c r="W1123" i="32" s="1"/>
  <c r="R1179" i="32"/>
  <c r="Q1179" i="32"/>
  <c r="R1294" i="32"/>
  <c r="Q1294" i="32"/>
  <c r="R253" i="32"/>
  <c r="Q253" i="32"/>
  <c r="Q694" i="32"/>
  <c r="R694" i="32"/>
  <c r="R1032" i="32"/>
  <c r="Q1032" i="32"/>
  <c r="R1088" i="32"/>
  <c r="Q1088" i="32"/>
  <c r="Q1259" i="32"/>
  <c r="R1259" i="32"/>
  <c r="R57" i="32"/>
  <c r="Q57" i="32"/>
  <c r="R642" i="32"/>
  <c r="Q642" i="32"/>
  <c r="R1006" i="32"/>
  <c r="Q1006" i="32"/>
  <c r="R1062" i="32"/>
  <c r="Q1062" i="32"/>
  <c r="R1232" i="32"/>
  <c r="Q1232" i="32"/>
  <c r="V353" i="32"/>
  <c r="W353" i="32" s="1"/>
  <c r="R628" i="32"/>
  <c r="Q628" i="32"/>
  <c r="Q737" i="32"/>
  <c r="R737" i="32"/>
  <c r="V850" i="32"/>
  <c r="W850" i="32" s="1"/>
  <c r="Q996" i="32"/>
  <c r="R996" i="32"/>
  <c r="R1054" i="32"/>
  <c r="Q1054" i="32"/>
  <c r="V223" i="32"/>
  <c r="W223" i="32" s="1"/>
  <c r="R566" i="32"/>
  <c r="Q566" i="32"/>
  <c r="R684" i="32"/>
  <c r="Q684" i="32"/>
  <c r="R970" i="32"/>
  <c r="Q970" i="32"/>
  <c r="V24" i="32"/>
  <c r="W24" i="32" s="1"/>
  <c r="R168" i="32"/>
  <c r="Q168" i="32"/>
  <c r="R216" i="32"/>
  <c r="Q216" i="32"/>
  <c r="R102" i="32"/>
  <c r="Q102" i="32"/>
  <c r="V166" i="32"/>
  <c r="W166" i="32" s="1"/>
  <c r="Q214" i="32"/>
  <c r="R214" i="32"/>
  <c r="R67" i="32"/>
  <c r="Q67" i="32"/>
  <c r="V131" i="32"/>
  <c r="W131" i="32" s="1"/>
  <c r="V491" i="32"/>
  <c r="W491" i="32" s="1"/>
  <c r="R205" i="32"/>
  <c r="Q205" i="32"/>
  <c r="V357" i="32"/>
  <c r="W357" i="32" s="1"/>
  <c r="Q464" i="32"/>
  <c r="R464" i="32"/>
  <c r="Q485" i="32"/>
  <c r="R485" i="32"/>
  <c r="V523" i="32"/>
  <c r="W523" i="32" s="1"/>
  <c r="R574" i="32"/>
  <c r="Q574" i="32"/>
  <c r="V655" i="32"/>
  <c r="W655" i="32" s="1"/>
  <c r="R751" i="32"/>
  <c r="Q751" i="32"/>
  <c r="R847" i="32"/>
  <c r="Q847" i="32"/>
  <c r="R349" i="32"/>
  <c r="Q349" i="32"/>
  <c r="V434" i="32"/>
  <c r="W434" i="32" s="1"/>
  <c r="R517" i="32"/>
  <c r="Q517" i="32"/>
  <c r="Q692" i="32"/>
  <c r="R692" i="32"/>
  <c r="R713" i="32"/>
  <c r="Q713" i="32"/>
  <c r="R841" i="32"/>
  <c r="Q841" i="32"/>
  <c r="V926" i="32"/>
  <c r="W926" i="32" s="1"/>
  <c r="V1073" i="32"/>
  <c r="W1073" i="32" s="1"/>
  <c r="V1217" i="32"/>
  <c r="W1217" i="32" s="1"/>
  <c r="R1281" i="32"/>
  <c r="Q1281" i="32"/>
  <c r="Q39" i="32"/>
  <c r="R39" i="32"/>
  <c r="V153" i="32"/>
  <c r="W153" i="32" s="1"/>
  <c r="R207" i="32"/>
  <c r="Q207" i="32"/>
  <c r="R561" i="32"/>
  <c r="Q561" i="32"/>
  <c r="Q626" i="32"/>
  <c r="R626" i="32"/>
  <c r="R978" i="32"/>
  <c r="Q978" i="32"/>
  <c r="R1148" i="32"/>
  <c r="Q1148" i="32"/>
  <c r="Q1212" i="32"/>
  <c r="R1212" i="32"/>
  <c r="V1234" i="32"/>
  <c r="W1234" i="32" s="1"/>
  <c r="R221" i="32"/>
  <c r="Q221" i="32"/>
  <c r="R536" i="32"/>
  <c r="Q536" i="32"/>
  <c r="V629" i="32"/>
  <c r="W629" i="32" s="1"/>
  <c r="R796" i="32"/>
  <c r="Q796" i="32"/>
  <c r="V853" i="32"/>
  <c r="W853" i="32" s="1"/>
  <c r="R476" i="32"/>
  <c r="Q476" i="32"/>
  <c r="V658" i="32"/>
  <c r="W658" i="32" s="1"/>
  <c r="V1014" i="32"/>
  <c r="W1014" i="32" s="1"/>
  <c r="Q1270" i="32"/>
  <c r="R1270" i="32"/>
  <c r="R938" i="32"/>
  <c r="Q938" i="32"/>
  <c r="R995" i="32"/>
  <c r="Q995" i="32"/>
  <c r="R1194" i="32"/>
  <c r="Q1194" i="32"/>
  <c r="R1251" i="32"/>
  <c r="Q1251" i="32"/>
  <c r="V372" i="32"/>
  <c r="W372" i="32" s="1"/>
  <c r="Q1003" i="32"/>
  <c r="R1003" i="32"/>
  <c r="R452" i="32"/>
  <c r="Q452" i="32"/>
  <c r="V698" i="32"/>
  <c r="W698" i="32" s="1"/>
  <c r="Q1034" i="32"/>
  <c r="R1034" i="32"/>
  <c r="V1147" i="32"/>
  <c r="W1147" i="32" s="1"/>
  <c r="R429" i="32"/>
  <c r="Q429" i="32"/>
  <c r="V902" i="32"/>
  <c r="W902" i="32" s="1"/>
  <c r="V358" i="32"/>
  <c r="W358" i="32" s="1"/>
  <c r="R942" i="32"/>
  <c r="Q942" i="32"/>
  <c r="V1168" i="32"/>
  <c r="W1168" i="32" s="1"/>
  <c r="Q28" i="32"/>
  <c r="R44" i="32"/>
  <c r="Q44" i="32"/>
  <c r="V92" i="32"/>
  <c r="W92" i="32" s="1"/>
  <c r="R204" i="32"/>
  <c r="Q204" i="32"/>
  <c r="R300" i="32"/>
  <c r="Q300" i="32"/>
  <c r="Q26" i="32"/>
  <c r="R74" i="32"/>
  <c r="Q74" i="32"/>
  <c r="R90" i="32"/>
  <c r="Q90" i="32"/>
  <c r="V266" i="32"/>
  <c r="W266" i="32" s="1"/>
  <c r="R11" i="32"/>
  <c r="Q11" i="32"/>
  <c r="V171" i="32"/>
  <c r="W171" i="32" s="1"/>
  <c r="R351" i="32"/>
  <c r="Q351" i="32"/>
  <c r="V383" i="32"/>
  <c r="W383" i="32" s="1"/>
  <c r="R616" i="32"/>
  <c r="Q616" i="32"/>
  <c r="V87" i="32"/>
  <c r="W87" i="32" s="1"/>
  <c r="R341" i="32"/>
  <c r="Q341" i="32"/>
  <c r="V384" i="32"/>
  <c r="W384" i="32" s="1"/>
  <c r="Q511" i="32"/>
  <c r="R511" i="32"/>
  <c r="V543" i="32"/>
  <c r="W543" i="32" s="1"/>
  <c r="V675" i="32"/>
  <c r="W675" i="32" s="1"/>
  <c r="V803" i="32"/>
  <c r="W803" i="32" s="1"/>
  <c r="R851" i="32"/>
  <c r="Q851" i="32"/>
  <c r="V915" i="32"/>
  <c r="W915" i="32" s="1"/>
  <c r="R89" i="32"/>
  <c r="Q89" i="32"/>
  <c r="V317" i="32"/>
  <c r="W317" i="32" s="1"/>
  <c r="R413" i="32"/>
  <c r="Q413" i="32"/>
  <c r="V544" i="32"/>
  <c r="W544" i="32" s="1"/>
  <c r="Q761" i="32"/>
  <c r="R846" i="32"/>
  <c r="Q846" i="32"/>
  <c r="R868" i="32"/>
  <c r="Q868" i="32"/>
  <c r="V932" i="32"/>
  <c r="W932" i="32" s="1"/>
  <c r="V1173" i="32"/>
  <c r="W1173" i="32" s="1"/>
  <c r="R1285" i="32"/>
  <c r="Q1285" i="32"/>
  <c r="R121" i="32"/>
  <c r="Q121" i="32"/>
  <c r="R632" i="32"/>
  <c r="Q632" i="32"/>
  <c r="Q856" i="32"/>
  <c r="R856" i="32"/>
  <c r="V913" i="32"/>
  <c r="W913" i="32" s="1"/>
  <c r="R1004" i="32"/>
  <c r="Q1004" i="32"/>
  <c r="V1260" i="32"/>
  <c r="W1260" i="32" s="1"/>
  <c r="R313" i="32"/>
  <c r="Q313" i="32"/>
  <c r="R514" i="32"/>
  <c r="Q514" i="32"/>
  <c r="R860" i="32"/>
  <c r="Q860" i="32"/>
  <c r="Q556" i="32"/>
  <c r="R556" i="32"/>
  <c r="R673" i="32"/>
  <c r="Q673" i="32"/>
  <c r="V1078" i="32"/>
  <c r="W1078" i="32" s="1"/>
  <c r="R1278" i="32"/>
  <c r="Q1278" i="32"/>
  <c r="R573" i="32"/>
  <c r="Q573" i="32"/>
  <c r="R690" i="32"/>
  <c r="Q690" i="32"/>
  <c r="V805" i="32"/>
  <c r="W805" i="32" s="1"/>
  <c r="R1144" i="32"/>
  <c r="Q1144" i="32"/>
  <c r="R548" i="32"/>
  <c r="Q548" i="32"/>
  <c r="R1131" i="32"/>
  <c r="Q1131" i="32"/>
  <c r="R1246" i="32"/>
  <c r="Q1246" i="32"/>
  <c r="R933" i="32"/>
  <c r="Q933" i="32"/>
  <c r="R709" i="32"/>
  <c r="Q709" i="32"/>
  <c r="V1039" i="32"/>
  <c r="W1039" i="32" s="1"/>
  <c r="R1267" i="32"/>
  <c r="Q1267" i="32"/>
  <c r="R396" i="32"/>
  <c r="Q396" i="32"/>
  <c r="V537" i="32"/>
  <c r="W537" i="32" s="1"/>
  <c r="R1012" i="32"/>
  <c r="Q1012" i="32"/>
  <c r="R20" i="32"/>
  <c r="Q20" i="32"/>
  <c r="V52" i="32"/>
  <c r="W52" i="32" s="1"/>
  <c r="Q84" i="32"/>
  <c r="R84" i="32"/>
  <c r="R100" i="32"/>
  <c r="Q100" i="32"/>
  <c r="V116" i="32"/>
  <c r="W116" i="32" s="1"/>
  <c r="R148" i="32"/>
  <c r="Q148" i="32"/>
  <c r="R164" i="32"/>
  <c r="Q164" i="32"/>
  <c r="V180" i="32"/>
  <c r="W180" i="32" s="1"/>
  <c r="Q228" i="32"/>
  <c r="R228" i="32"/>
  <c r="V244" i="32"/>
  <c r="W244" i="32" s="1"/>
  <c r="Q292" i="32"/>
  <c r="R292" i="32"/>
  <c r="R18" i="32"/>
  <c r="Q18" i="32"/>
  <c r="R82" i="32"/>
  <c r="Q82" i="32"/>
  <c r="R130" i="32"/>
  <c r="Q130" i="32"/>
  <c r="R274" i="32"/>
  <c r="Q274" i="32"/>
  <c r="V290" i="32"/>
  <c r="W290" i="32" s="1"/>
  <c r="R322" i="32"/>
  <c r="Q322" i="32"/>
  <c r="R338" i="32"/>
  <c r="Q338" i="32"/>
  <c r="Q91" i="32"/>
  <c r="R91" i="32"/>
  <c r="R251" i="32"/>
  <c r="Q251" i="32"/>
  <c r="R343" i="32"/>
  <c r="Q343" i="32"/>
  <c r="R359" i="32"/>
  <c r="Q359" i="32"/>
  <c r="R471" i="32"/>
  <c r="Q471" i="32"/>
  <c r="R503" i="32"/>
  <c r="V151" i="32"/>
  <c r="W151" i="32" s="1"/>
  <c r="R237" i="32"/>
  <c r="Q237" i="32"/>
  <c r="V321" i="32"/>
  <c r="W321" i="32" s="1"/>
  <c r="Q373" i="32"/>
  <c r="R373" i="32"/>
  <c r="R394" i="32"/>
  <c r="Q394" i="32"/>
  <c r="V416" i="32"/>
  <c r="W416" i="32" s="1"/>
  <c r="R458" i="32"/>
  <c r="Q458" i="32"/>
  <c r="R480" i="32"/>
  <c r="Q480" i="32"/>
  <c r="V501" i="32"/>
  <c r="W501" i="32" s="1"/>
  <c r="R551" i="32"/>
  <c r="Q551" i="32"/>
  <c r="Q624" i="32"/>
  <c r="R624" i="32"/>
  <c r="V637" i="32"/>
  <c r="W637" i="32" s="1"/>
  <c r="R667" i="32"/>
  <c r="Q667" i="32"/>
  <c r="R731" i="32"/>
  <c r="Q731" i="32"/>
  <c r="V747" i="32"/>
  <c r="W747" i="32" s="1"/>
  <c r="R795" i="32"/>
  <c r="Q795" i="32"/>
  <c r="V827" i="32"/>
  <c r="W827" i="32" s="1"/>
  <c r="R859" i="32"/>
  <c r="Q859" i="32"/>
  <c r="R875" i="32"/>
  <c r="Q875" i="32"/>
  <c r="V891" i="32"/>
  <c r="W891" i="32" s="1"/>
  <c r="V61" i="32"/>
  <c r="W61" i="32" s="1"/>
  <c r="R231" i="32"/>
  <c r="Q231" i="32"/>
  <c r="V287" i="32"/>
  <c r="W287" i="32" s="1"/>
  <c r="Q428" i="32"/>
  <c r="V533" i="32"/>
  <c r="W533" i="32" s="1"/>
  <c r="V708" i="32"/>
  <c r="W708" i="32" s="1"/>
  <c r="R750" i="32"/>
  <c r="Q750" i="32"/>
  <c r="R836" i="32"/>
  <c r="Q836" i="32"/>
  <c r="R857" i="32"/>
  <c r="Q857" i="32"/>
  <c r="V878" i="32"/>
  <c r="W878" i="32" s="1"/>
  <c r="R921" i="32"/>
  <c r="Q921" i="32"/>
  <c r="V957" i="32"/>
  <c r="W957" i="32" s="1"/>
  <c r="Q989" i="32"/>
  <c r="R989" i="32"/>
  <c r="V1021" i="32"/>
  <c r="W1021" i="32" s="1"/>
  <c r="R1069" i="32"/>
  <c r="Q1069" i="32"/>
  <c r="Q1181" i="32"/>
  <c r="R1181" i="32"/>
  <c r="R1197" i="32"/>
  <c r="Q1197" i="32"/>
  <c r="V1213" i="32"/>
  <c r="W1213" i="32" s="1"/>
  <c r="Q1245" i="32"/>
  <c r="R1245" i="32"/>
  <c r="V25" i="32"/>
  <c r="W25" i="32" s="1"/>
  <c r="R81" i="32"/>
  <c r="Q81" i="32"/>
  <c r="R380" i="32"/>
  <c r="Q380" i="32"/>
  <c r="R525" i="32"/>
  <c r="Q525" i="32"/>
  <c r="R553" i="32"/>
  <c r="Q553" i="32"/>
  <c r="V590" i="32"/>
  <c r="W590" i="32" s="1"/>
  <c r="R643" i="32"/>
  <c r="Q643" i="32"/>
  <c r="R757" i="32"/>
  <c r="Q757" i="32"/>
  <c r="R870" i="32"/>
  <c r="Q870" i="32"/>
  <c r="V898" i="32"/>
  <c r="W898" i="32" s="1"/>
  <c r="R972" i="32"/>
  <c r="Q972" i="32"/>
  <c r="Q1079" i="32"/>
  <c r="R1079" i="32"/>
  <c r="R1228" i="32"/>
  <c r="Q1228" i="32"/>
  <c r="R79" i="32"/>
  <c r="Q79" i="32"/>
  <c r="R191" i="32"/>
  <c r="Q191" i="32"/>
  <c r="V277" i="32"/>
  <c r="W277" i="32" s="1"/>
  <c r="V460" i="32"/>
  <c r="W460" i="32" s="1"/>
  <c r="R557" i="32"/>
  <c r="Q557" i="32"/>
  <c r="R674" i="32"/>
  <c r="Q674" i="32"/>
  <c r="V704" i="32"/>
  <c r="W704" i="32" s="1"/>
  <c r="V817" i="32"/>
  <c r="W817" i="32" s="1"/>
  <c r="R874" i="32"/>
  <c r="R701" i="32"/>
  <c r="Q701" i="32"/>
  <c r="R917" i="32"/>
  <c r="Q917" i="32"/>
  <c r="V979" i="32"/>
  <c r="W979" i="32" s="1"/>
  <c r="R1035" i="32"/>
  <c r="Q1035" i="32"/>
  <c r="Q1150" i="32"/>
  <c r="R1150" i="32"/>
  <c r="V143" i="32"/>
  <c r="W143" i="32" s="1"/>
  <c r="R404" i="32"/>
  <c r="Q404" i="32"/>
  <c r="R481" i="32"/>
  <c r="Q481" i="32"/>
  <c r="V545" i="32"/>
  <c r="W545" i="32" s="1"/>
  <c r="R662" i="32"/>
  <c r="Q662" i="32"/>
  <c r="R720" i="32"/>
  <c r="Q720" i="32"/>
  <c r="Q890" i="32"/>
  <c r="R890" i="32"/>
  <c r="R929" i="32"/>
  <c r="Q929" i="32"/>
  <c r="R1016" i="32"/>
  <c r="Q1016" i="32"/>
  <c r="V1072" i="32"/>
  <c r="W1072" i="32" s="1"/>
  <c r="V1187" i="32"/>
  <c r="W1187" i="32" s="1"/>
  <c r="R1243" i="32"/>
  <c r="Q1243" i="32"/>
  <c r="R486" i="32"/>
  <c r="Q486" i="32"/>
  <c r="V722" i="32"/>
  <c r="W722" i="32" s="1"/>
  <c r="R990" i="32"/>
  <c r="Q990" i="32"/>
  <c r="R1160" i="32"/>
  <c r="Q1160" i="32"/>
  <c r="Q552" i="32"/>
  <c r="R552" i="32"/>
  <c r="V669" i="32"/>
  <c r="W669" i="32" s="1"/>
  <c r="R896" i="32"/>
  <c r="Q896" i="32"/>
  <c r="V1247" i="32"/>
  <c r="W1247" i="32" s="1"/>
  <c r="V580" i="32"/>
  <c r="W580" i="32" s="1"/>
  <c r="Q880" i="32"/>
  <c r="R880" i="32"/>
  <c r="R954" i="32"/>
  <c r="Q954" i="32"/>
  <c r="V1011" i="32"/>
  <c r="W1011" i="32" s="1"/>
  <c r="R1124" i="32"/>
  <c r="Q1124" i="32"/>
  <c r="Q1182" i="32"/>
  <c r="R1182" i="32"/>
  <c r="R297" i="32"/>
  <c r="Q297" i="32"/>
  <c r="V601" i="32"/>
  <c r="W601" i="32" s="1"/>
  <c r="R826" i="32"/>
  <c r="Q826" i="32"/>
  <c r="V984" i="32"/>
  <c r="W984" i="32" s="1"/>
  <c r="R1098" i="32"/>
  <c r="Q1098" i="32"/>
  <c r="V1211" i="32"/>
  <c r="W1211" i="32" s="1"/>
  <c r="R8" i="32"/>
  <c r="Q8" i="32"/>
  <c r="R40" i="32"/>
  <c r="Q40" i="32"/>
  <c r="V56" i="32"/>
  <c r="W56" i="32" s="1"/>
  <c r="R200" i="32"/>
  <c r="Q200" i="32"/>
  <c r="V232" i="32"/>
  <c r="W232" i="32" s="1"/>
  <c r="R296" i="32"/>
  <c r="Q296" i="32"/>
  <c r="V22" i="32"/>
  <c r="W22" i="32" s="1"/>
  <c r="Q86" i="32"/>
  <c r="R118" i="32"/>
  <c r="Q118" i="32"/>
  <c r="V150" i="32"/>
  <c r="W150" i="32" s="1"/>
  <c r="R230" i="32"/>
  <c r="Q230" i="32"/>
  <c r="R262" i="32"/>
  <c r="Q262" i="32"/>
  <c r="Q99" i="32"/>
  <c r="R99" i="32"/>
  <c r="R291" i="32"/>
  <c r="Q291" i="32"/>
  <c r="R347" i="32"/>
  <c r="Q347" i="32"/>
  <c r="R475" i="32"/>
  <c r="Q475" i="32"/>
  <c r="R161" i="32"/>
  <c r="Q161" i="32"/>
  <c r="V247" i="32"/>
  <c r="W247" i="32" s="1"/>
  <c r="Q378" i="32"/>
  <c r="R378" i="32"/>
  <c r="R539" i="32"/>
  <c r="Q539" i="32"/>
  <c r="R571" i="32"/>
  <c r="Q571" i="32"/>
  <c r="R671" i="32"/>
  <c r="Q671" i="32"/>
  <c r="V735" i="32"/>
  <c r="W735" i="32" s="1"/>
  <c r="V863" i="32"/>
  <c r="W863" i="32" s="1"/>
  <c r="R911" i="32"/>
  <c r="Q911" i="32"/>
  <c r="V73" i="32"/>
  <c r="W73" i="32" s="1"/>
  <c r="R303" i="32"/>
  <c r="Q303" i="32"/>
  <c r="R377" i="32"/>
  <c r="Q377" i="32"/>
  <c r="R560" i="32"/>
  <c r="Q560" i="32"/>
  <c r="V631" i="32"/>
  <c r="W631" i="32" s="1"/>
  <c r="R777" i="32"/>
  <c r="Q777" i="32"/>
  <c r="R905" i="32"/>
  <c r="Q905" i="32"/>
  <c r="V961" i="32"/>
  <c r="W961" i="32" s="1"/>
  <c r="R1153" i="32"/>
  <c r="Q1153" i="32"/>
  <c r="V1201" i="32"/>
  <c r="W1201" i="32" s="1"/>
  <c r="Q1265" i="32"/>
  <c r="R1265" i="32"/>
  <c r="R285" i="32"/>
  <c r="Q285" i="32"/>
  <c r="V502" i="32"/>
  <c r="W502" i="32" s="1"/>
  <c r="V678" i="32"/>
  <c r="W678" i="32" s="1"/>
  <c r="V956" i="32"/>
  <c r="W956" i="32" s="1"/>
  <c r="V1127" i="32"/>
  <c r="W1127" i="32" s="1"/>
  <c r="V105" i="32"/>
  <c r="W105" i="32" s="1"/>
  <c r="V393" i="32"/>
  <c r="W393" i="32" s="1"/>
  <c r="V508" i="32"/>
  <c r="W508" i="32" s="1"/>
  <c r="R682" i="32"/>
  <c r="Q682" i="32"/>
  <c r="R401" i="32"/>
  <c r="Q401" i="32"/>
  <c r="R716" i="32"/>
  <c r="Q716" i="32"/>
  <c r="Q829" i="32"/>
  <c r="R829" i="32"/>
  <c r="V925" i="32"/>
  <c r="W925" i="32" s="1"/>
  <c r="R1043" i="32"/>
  <c r="Q1043" i="32"/>
  <c r="V1099" i="32"/>
  <c r="W1099" i="32" s="1"/>
  <c r="Q558" i="32"/>
  <c r="R558" i="32"/>
  <c r="V790" i="32"/>
  <c r="W790" i="32" s="1"/>
  <c r="R966" i="32"/>
  <c r="Q966" i="32"/>
  <c r="V1080" i="32"/>
  <c r="W1080" i="32" s="1"/>
  <c r="R1166" i="32"/>
  <c r="Q1166" i="32"/>
  <c r="R1174" i="32"/>
  <c r="Q1174" i="32"/>
  <c r="R263" i="32"/>
  <c r="Q263" i="32"/>
  <c r="R1091" i="32"/>
  <c r="Q1091" i="32"/>
  <c r="R1204" i="32"/>
  <c r="Q1204" i="32"/>
  <c r="R794" i="32"/>
  <c r="Q794" i="32"/>
  <c r="R1024" i="32"/>
  <c r="Q1024" i="32"/>
  <c r="V1082" i="32"/>
  <c r="W1082" i="32" s="1"/>
  <c r="R614" i="32"/>
  <c r="Q614" i="32"/>
  <c r="V741" i="32"/>
  <c r="W741" i="32" s="1"/>
  <c r="Q60" i="32"/>
  <c r="R60" i="32"/>
  <c r="Q76" i="32"/>
  <c r="R76" i="32"/>
  <c r="V108" i="32"/>
  <c r="W108" i="32" s="1"/>
  <c r="R284" i="32"/>
  <c r="Q284" i="32"/>
  <c r="R106" i="32"/>
  <c r="Q106" i="32"/>
  <c r="V170" i="32"/>
  <c r="W170" i="32" s="1"/>
  <c r="R234" i="32"/>
  <c r="Q234" i="32"/>
  <c r="R330" i="32"/>
  <c r="Q330" i="32"/>
  <c r="V107" i="32"/>
  <c r="W107" i="32" s="1"/>
  <c r="R203" i="32"/>
  <c r="Q203" i="32"/>
  <c r="R399" i="32"/>
  <c r="Q399" i="32"/>
  <c r="R431" i="32"/>
  <c r="Q431" i="32"/>
  <c r="V463" i="32"/>
  <c r="W463" i="32" s="1"/>
  <c r="R495" i="32"/>
  <c r="Q495" i="32"/>
  <c r="V129" i="32"/>
  <c r="W129" i="32" s="1"/>
  <c r="V426" i="32"/>
  <c r="W426" i="32" s="1"/>
  <c r="R527" i="32"/>
  <c r="Q527" i="32"/>
  <c r="R630" i="32"/>
  <c r="Q630" i="32"/>
  <c r="R659" i="32"/>
  <c r="Q659" i="32"/>
  <c r="V691" i="32"/>
  <c r="W691" i="32" s="1"/>
  <c r="V835" i="32"/>
  <c r="W835" i="32" s="1"/>
  <c r="R899" i="32"/>
  <c r="Q899" i="32"/>
  <c r="V145" i="32"/>
  <c r="W145" i="32" s="1"/>
  <c r="R356" i="32"/>
  <c r="Q356" i="32"/>
  <c r="R441" i="32"/>
  <c r="Q441" i="32"/>
  <c r="V470" i="32"/>
  <c r="W470" i="32" s="1"/>
  <c r="R594" i="32"/>
  <c r="Q594" i="32"/>
  <c r="R697" i="32"/>
  <c r="Q697" i="32"/>
  <c r="R740" i="32"/>
  <c r="Q740" i="32"/>
  <c r="V965" i="32"/>
  <c r="W965" i="32" s="1"/>
  <c r="R1061" i="32"/>
  <c r="Q1061" i="32"/>
  <c r="V1093" i="32"/>
  <c r="W1093" i="32" s="1"/>
  <c r="R1157" i="32"/>
  <c r="Q1157" i="32"/>
  <c r="R1269" i="32"/>
  <c r="Q1269" i="32"/>
  <c r="V111" i="32"/>
  <c r="W111" i="32" s="1"/>
  <c r="R540" i="32"/>
  <c r="Q540" i="32"/>
  <c r="R603" i="32"/>
  <c r="Q603" i="32"/>
  <c r="V657" i="32"/>
  <c r="W657" i="32" s="1"/>
  <c r="R770" i="32"/>
  <c r="Q770" i="32"/>
  <c r="Q828" i="32"/>
  <c r="R828" i="32"/>
  <c r="R983" i="32"/>
  <c r="Q983" i="32"/>
  <c r="R1026" i="32"/>
  <c r="Q1026" i="32"/>
  <c r="V1090" i="32"/>
  <c r="W1090" i="32" s="1"/>
  <c r="R239" i="32"/>
  <c r="Q239" i="32"/>
  <c r="Q402" i="32"/>
  <c r="R402" i="32"/>
  <c r="V440" i="32"/>
  <c r="W440" i="32" s="1"/>
  <c r="R607" i="32"/>
  <c r="Q607" i="32"/>
  <c r="R661" i="32"/>
  <c r="Q661" i="32"/>
  <c r="R774" i="32"/>
  <c r="Q774" i="32"/>
  <c r="V185" i="32"/>
  <c r="W185" i="32" s="1"/>
  <c r="R494" i="32"/>
  <c r="Q494" i="32"/>
  <c r="Q621" i="32"/>
  <c r="R621" i="32"/>
  <c r="Q730" i="32"/>
  <c r="R730" i="32"/>
  <c r="R936" i="32"/>
  <c r="Q936" i="32"/>
  <c r="V1050" i="32"/>
  <c r="W1050" i="32" s="1"/>
  <c r="R1135" i="32"/>
  <c r="Q1135" i="32"/>
  <c r="V1248" i="32"/>
  <c r="W1248" i="32" s="1"/>
  <c r="R366" i="32"/>
  <c r="Q366" i="32"/>
  <c r="R516" i="32"/>
  <c r="Q516" i="32"/>
  <c r="V636" i="32"/>
  <c r="W636" i="32" s="1"/>
  <c r="R861" i="32"/>
  <c r="Q861" i="32"/>
  <c r="R974" i="32"/>
  <c r="Q974" i="32"/>
  <c r="V1059" i="32"/>
  <c r="W1059" i="32" s="1"/>
  <c r="Q1172" i="32"/>
  <c r="R1172" i="32"/>
  <c r="R960" i="32"/>
  <c r="Q960" i="32"/>
  <c r="V1018" i="32"/>
  <c r="W1018" i="32" s="1"/>
  <c r="V726" i="32"/>
  <c r="W726" i="32" s="1"/>
  <c r="R991" i="32"/>
  <c r="Q991" i="32"/>
  <c r="R1048" i="32"/>
  <c r="Q1048" i="32"/>
  <c r="V822" i="32"/>
  <c r="W822" i="32" s="1"/>
  <c r="R1152" i="32"/>
  <c r="Q1152" i="32"/>
  <c r="R1210" i="32"/>
  <c r="Q1210" i="32"/>
  <c r="V113" i="32"/>
  <c r="W113" i="32" s="1"/>
  <c r="R882" i="32"/>
  <c r="Q882" i="32"/>
  <c r="R955" i="32"/>
  <c r="Q955" i="32"/>
  <c r="V1070" i="32"/>
  <c r="W1070" i="32" s="1"/>
  <c r="Q1240" i="32"/>
  <c r="R1240" i="32"/>
  <c r="R733" i="32"/>
  <c r="Q733" i="32"/>
  <c r="R1051" i="32"/>
  <c r="Q1051" i="32"/>
  <c r="V1194" i="32"/>
  <c r="W1194" i="32" s="1"/>
  <c r="R372" i="32"/>
  <c r="Q372" i="32"/>
  <c r="R1118" i="32"/>
  <c r="Q1118" i="32"/>
  <c r="R1231" i="32"/>
  <c r="Q1231" i="32"/>
  <c r="Q812" i="32"/>
  <c r="R812" i="32"/>
  <c r="Q1147" i="32"/>
  <c r="R1147" i="32"/>
  <c r="V429" i="32"/>
  <c r="W429" i="32" s="1"/>
  <c r="R902" i="32"/>
  <c r="Q902" i="32"/>
  <c r="R968" i="32"/>
  <c r="Q968" i="32"/>
  <c r="Q1168" i="32"/>
  <c r="R1168" i="32"/>
  <c r="R1283" i="32"/>
  <c r="Q1283" i="32"/>
  <c r="V28" i="32"/>
  <c r="W28" i="32" s="1"/>
  <c r="V156" i="32"/>
  <c r="W156" i="32" s="1"/>
  <c r="R236" i="32"/>
  <c r="Q236" i="32"/>
  <c r="R42" i="32"/>
  <c r="Q42" i="32"/>
  <c r="R154" i="32"/>
  <c r="Q154" i="32"/>
  <c r="V186" i="32"/>
  <c r="W186" i="32" s="1"/>
  <c r="R298" i="32"/>
  <c r="Q298" i="32"/>
  <c r="V11" i="32"/>
  <c r="W11" i="32" s="1"/>
  <c r="R171" i="32"/>
  <c r="Q171" i="32"/>
  <c r="V299" i="32"/>
  <c r="W299" i="32" s="1"/>
  <c r="R415" i="32"/>
  <c r="Q415" i="32"/>
  <c r="R87" i="32"/>
  <c r="Q87" i="32"/>
  <c r="V257" i="32"/>
  <c r="W257" i="32" s="1"/>
  <c r="V469" i="32"/>
  <c r="W469" i="32" s="1"/>
  <c r="R543" i="32"/>
  <c r="Q543" i="32"/>
  <c r="R583" i="32"/>
  <c r="Q583" i="32"/>
  <c r="R675" i="32"/>
  <c r="Q675" i="32"/>
  <c r="R707" i="32"/>
  <c r="Q707" i="32"/>
  <c r="R803" i="32"/>
  <c r="Q803" i="32"/>
  <c r="R819" i="32"/>
  <c r="Q819" i="32"/>
  <c r="R915" i="32"/>
  <c r="Q915" i="32"/>
  <c r="Q31" i="32"/>
  <c r="R31" i="32"/>
  <c r="V413" i="32"/>
  <c r="W413" i="32" s="1"/>
  <c r="R544" i="32"/>
  <c r="Q544" i="32"/>
  <c r="V654" i="32"/>
  <c r="W654" i="32" s="1"/>
  <c r="V981" i="32"/>
  <c r="W981" i="32" s="1"/>
  <c r="R1029" i="32"/>
  <c r="Q1029" i="32"/>
  <c r="R1077" i="32"/>
  <c r="Q1077" i="32"/>
  <c r="R167" i="32"/>
  <c r="Q167" i="32"/>
  <c r="R510" i="32"/>
  <c r="Q510" i="32"/>
  <c r="V568" i="32"/>
  <c r="W568" i="32" s="1"/>
  <c r="R685" i="32"/>
  <c r="Q685" i="32"/>
  <c r="R742" i="32"/>
  <c r="Q742" i="32"/>
  <c r="R913" i="32"/>
  <c r="Q913" i="32"/>
  <c r="R962" i="32"/>
  <c r="Q962" i="32"/>
  <c r="V1004" i="32"/>
  <c r="W1004" i="32" s="1"/>
  <c r="R1068" i="32"/>
  <c r="Q1068" i="32"/>
  <c r="V1154" i="32"/>
  <c r="W1154" i="32" s="1"/>
  <c r="R1260" i="32"/>
  <c r="Q1260" i="32"/>
  <c r="R365" i="32"/>
  <c r="Q365" i="32"/>
  <c r="R478" i="32"/>
  <c r="Q478" i="32"/>
  <c r="Q577" i="32"/>
  <c r="R577" i="32"/>
  <c r="Q717" i="32"/>
  <c r="V556" i="32"/>
  <c r="W556" i="32" s="1"/>
  <c r="R897" i="32"/>
  <c r="Q897" i="32"/>
  <c r="R1078" i="32"/>
  <c r="Q1078" i="32"/>
  <c r="R1163" i="32"/>
  <c r="Q1163" i="32"/>
  <c r="V573" i="32"/>
  <c r="W573" i="32" s="1"/>
  <c r="R805" i="32"/>
  <c r="Q805" i="32"/>
  <c r="R909" i="32"/>
  <c r="Q909" i="32"/>
  <c r="V944" i="32"/>
  <c r="W944" i="32" s="1"/>
  <c r="R1087" i="32"/>
  <c r="Q1087" i="32"/>
  <c r="V1144" i="32"/>
  <c r="W1144" i="32" s="1"/>
  <c r="R157" i="32"/>
  <c r="Q157" i="32"/>
  <c r="R893" i="32"/>
  <c r="Q893" i="32"/>
  <c r="R1075" i="32"/>
  <c r="Q1075" i="32"/>
  <c r="V1131" i="32"/>
  <c r="W1131" i="32" s="1"/>
  <c r="R618" i="32"/>
  <c r="Q618" i="32"/>
  <c r="R466" i="32"/>
  <c r="Q466" i="32"/>
  <c r="V709" i="32"/>
  <c r="W709" i="32" s="1"/>
  <c r="R1039" i="32"/>
  <c r="Q1039" i="32"/>
  <c r="R1096" i="32"/>
  <c r="Q1096" i="32"/>
  <c r="V1267" i="32"/>
  <c r="W1267" i="32" s="1"/>
  <c r="Q537" i="32"/>
  <c r="R537" i="32"/>
  <c r="R769" i="32"/>
  <c r="Q769" i="32"/>
  <c r="V1012" i="32"/>
  <c r="W1012" i="32" s="1"/>
  <c r="R4" i="32"/>
  <c r="Q4" i="32"/>
  <c r="V20" i="32"/>
  <c r="W20" i="32" s="1"/>
  <c r="R52" i="32"/>
  <c r="Q52" i="32"/>
  <c r="R68" i="32"/>
  <c r="Q68" i="32"/>
  <c r="V84" i="32"/>
  <c r="W84" i="32" s="1"/>
  <c r="R180" i="32"/>
  <c r="Q180" i="32"/>
  <c r="R196" i="32"/>
  <c r="Q196" i="32"/>
  <c r="R260" i="32"/>
  <c r="Q260" i="32"/>
  <c r="V276" i="32"/>
  <c r="W276" i="32" s="1"/>
  <c r="V2" i="32"/>
  <c r="W2" i="32" s="1"/>
  <c r="R50" i="32"/>
  <c r="Q50" i="32"/>
  <c r="V66" i="32"/>
  <c r="W66" i="32" s="1"/>
  <c r="V130" i="32"/>
  <c r="W130" i="32" s="1"/>
  <c r="Q178" i="32"/>
  <c r="R178" i="32"/>
  <c r="R226" i="32"/>
  <c r="Q226" i="32"/>
  <c r="R306" i="32"/>
  <c r="V322" i="32"/>
  <c r="W322" i="32" s="1"/>
  <c r="R375" i="32"/>
  <c r="Q375" i="32"/>
  <c r="R391" i="32"/>
  <c r="Q391" i="32"/>
  <c r="R439" i="32"/>
  <c r="Q439" i="32"/>
  <c r="R455" i="32"/>
  <c r="Q455" i="32"/>
  <c r="V471" i="32"/>
  <c r="W471" i="32" s="1"/>
  <c r="Q193" i="32"/>
  <c r="R193" i="32"/>
  <c r="V237" i="32"/>
  <c r="W237" i="32" s="1"/>
  <c r="Q321" i="32"/>
  <c r="R321" i="32"/>
  <c r="R437" i="32"/>
  <c r="Q437" i="32"/>
  <c r="V458" i="32"/>
  <c r="W458" i="32" s="1"/>
  <c r="V535" i="32"/>
  <c r="W535" i="32" s="1"/>
  <c r="V606" i="32"/>
  <c r="W606" i="32" s="1"/>
  <c r="R637" i="32"/>
  <c r="Q637" i="32"/>
  <c r="R652" i="32"/>
  <c r="Q652" i="32"/>
  <c r="V667" i="32"/>
  <c r="W667" i="32" s="1"/>
  <c r="V731" i="32"/>
  <c r="W731" i="32" s="1"/>
  <c r="Q763" i="32"/>
  <c r="R763" i="32"/>
  <c r="R827" i="32"/>
  <c r="Q827" i="32"/>
  <c r="V859" i="32"/>
  <c r="W859" i="32" s="1"/>
  <c r="R891" i="32"/>
  <c r="Q891" i="32"/>
  <c r="V923" i="32"/>
  <c r="W923" i="32" s="1"/>
  <c r="R61" i="32"/>
  <c r="Q61" i="32"/>
  <c r="R117" i="32"/>
  <c r="Q117" i="32"/>
  <c r="Q287" i="32"/>
  <c r="R287" i="32"/>
  <c r="V370" i="32"/>
  <c r="W370" i="32" s="1"/>
  <c r="V428" i="32"/>
  <c r="W428" i="32" s="1"/>
  <c r="R456" i="32"/>
  <c r="Q456" i="32"/>
  <c r="R533" i="32"/>
  <c r="Q533" i="32"/>
  <c r="R554" i="32"/>
  <c r="Q554" i="32"/>
  <c r="V584" i="32"/>
  <c r="W584" i="32" s="1"/>
  <c r="Q627" i="32"/>
  <c r="R627" i="32"/>
  <c r="R645" i="32"/>
  <c r="Q645" i="32"/>
  <c r="V665" i="32"/>
  <c r="W665" i="32" s="1"/>
  <c r="R708" i="32"/>
  <c r="Q708" i="32"/>
  <c r="R729" i="32"/>
  <c r="Q729" i="32"/>
  <c r="V750" i="32"/>
  <c r="W750" i="32" s="1"/>
  <c r="R793" i="32"/>
  <c r="Q793" i="32"/>
  <c r="V836" i="32"/>
  <c r="W836" i="32" s="1"/>
  <c r="R900" i="32"/>
  <c r="Q900" i="32"/>
  <c r="V921" i="32"/>
  <c r="W921" i="32" s="1"/>
  <c r="R957" i="32"/>
  <c r="Q957" i="32"/>
  <c r="R973" i="32"/>
  <c r="Q973" i="32"/>
  <c r="Q1021" i="32"/>
  <c r="R1021" i="32"/>
  <c r="V1037" i="32"/>
  <c r="W1037" i="32" s="1"/>
  <c r="V1053" i="32"/>
  <c r="W1053" i="32" s="1"/>
  <c r="R1101" i="32"/>
  <c r="Q1101" i="32"/>
  <c r="R1149" i="32"/>
  <c r="Q1149" i="32"/>
  <c r="R1165" i="32"/>
  <c r="Q1165" i="32"/>
  <c r="R1213" i="32"/>
  <c r="Q1213" i="32"/>
  <c r="R1229" i="32"/>
  <c r="Q1229" i="32"/>
  <c r="R1277" i="32"/>
  <c r="Q1277" i="32"/>
  <c r="R25" i="32"/>
  <c r="Q25" i="32"/>
  <c r="Q137" i="32"/>
  <c r="R137" i="32"/>
  <c r="R454" i="32"/>
  <c r="Q454" i="32"/>
  <c r="V525" i="32"/>
  <c r="W525" i="32" s="1"/>
  <c r="R590" i="32"/>
  <c r="Q590" i="32"/>
  <c r="R619" i="32"/>
  <c r="Q619" i="32"/>
  <c r="V757" i="32"/>
  <c r="W757" i="32" s="1"/>
  <c r="R813" i="32"/>
  <c r="Q813" i="32"/>
  <c r="V972" i="32"/>
  <c r="W972" i="32" s="1"/>
  <c r="R1122" i="32"/>
  <c r="Q1122" i="32"/>
  <c r="V1143" i="32"/>
  <c r="W1143" i="32" s="1"/>
  <c r="V1207" i="32"/>
  <c r="W1207" i="32" s="1"/>
  <c r="R1271" i="32"/>
  <c r="Q1271" i="32"/>
  <c r="Q1292" i="32"/>
  <c r="R1292" i="32"/>
  <c r="V79" i="32"/>
  <c r="W79" i="32" s="1"/>
  <c r="V382" i="32"/>
  <c r="W382" i="32" s="1"/>
  <c r="R497" i="32"/>
  <c r="Q497" i="32"/>
  <c r="V529" i="32"/>
  <c r="W529" i="32" s="1"/>
  <c r="R704" i="32"/>
  <c r="Q704" i="32"/>
  <c r="R732" i="32"/>
  <c r="Q732" i="32"/>
  <c r="V760" i="32"/>
  <c r="W760" i="32" s="1"/>
  <c r="R817" i="32"/>
  <c r="Q817" i="32"/>
  <c r="R271" i="32"/>
  <c r="Q271" i="32"/>
  <c r="V457" i="32"/>
  <c r="W457" i="32" s="1"/>
  <c r="Q646" i="32"/>
  <c r="R646" i="32"/>
  <c r="V701" i="32"/>
  <c r="W701" i="32" s="1"/>
  <c r="R1092" i="32"/>
  <c r="Q1092" i="32"/>
  <c r="R1120" i="32"/>
  <c r="Q1120" i="32"/>
  <c r="R1206" i="32"/>
  <c r="Q1206" i="32"/>
  <c r="R1235" i="32"/>
  <c r="Q1235" i="32"/>
  <c r="V1263" i="32"/>
  <c r="W1263" i="32" s="1"/>
  <c r="R143" i="32"/>
  <c r="Q143" i="32"/>
  <c r="R319" i="32"/>
  <c r="Q319" i="32"/>
  <c r="V404" i="32"/>
  <c r="W404" i="32" s="1"/>
  <c r="R545" i="32"/>
  <c r="Q545" i="32"/>
  <c r="V662" i="32"/>
  <c r="W662" i="32" s="1"/>
  <c r="R776" i="32"/>
  <c r="Q776" i="32"/>
  <c r="Q833" i="32"/>
  <c r="R833" i="32"/>
  <c r="R959" i="32"/>
  <c r="Q959" i="32"/>
  <c r="R987" i="32"/>
  <c r="Q987" i="32"/>
  <c r="V1016" i="32"/>
  <c r="W1016" i="32" s="1"/>
  <c r="Q1072" i="32"/>
  <c r="R1072" i="32"/>
  <c r="V1130" i="32"/>
  <c r="W1130" i="32" s="1"/>
  <c r="Q1187" i="32"/>
  <c r="R1187" i="32"/>
  <c r="R1215" i="32"/>
  <c r="Q1215" i="32"/>
  <c r="V1243" i="32"/>
  <c r="W1243" i="32" s="1"/>
  <c r="V486" i="32"/>
  <c r="W486" i="32" s="1"/>
  <c r="R837" i="32"/>
  <c r="Q837" i="32"/>
  <c r="V930" i="32"/>
  <c r="W930" i="32" s="1"/>
  <c r="R1046" i="32"/>
  <c r="Q1046" i="32"/>
  <c r="Q1103" i="32"/>
  <c r="R1103" i="32"/>
  <c r="R1274" i="32"/>
  <c r="Q1274" i="32"/>
  <c r="Q169" i="32"/>
  <c r="R169" i="32"/>
  <c r="V414" i="32"/>
  <c r="W414" i="32" s="1"/>
  <c r="R669" i="32"/>
  <c r="R784" i="32"/>
  <c r="Q784" i="32"/>
  <c r="R1019" i="32"/>
  <c r="Q1019" i="32"/>
  <c r="R1076" i="32"/>
  <c r="Q1076" i="32"/>
  <c r="Q1247" i="32"/>
  <c r="R1247" i="32"/>
  <c r="R101" i="32"/>
  <c r="Q101" i="32"/>
  <c r="R580" i="32"/>
  <c r="Q580" i="32"/>
  <c r="R765" i="32"/>
  <c r="Q765" i="32"/>
  <c r="V880" i="32"/>
  <c r="W880" i="32" s="1"/>
  <c r="R1011" i="32"/>
  <c r="Q1011" i="32"/>
  <c r="V1124" i="32"/>
  <c r="W1124" i="32" s="1"/>
  <c r="Q1238" i="32"/>
  <c r="R1238" i="32"/>
  <c r="Q601" i="32"/>
  <c r="R601" i="32"/>
  <c r="Q712" i="32"/>
  <c r="R712" i="32"/>
  <c r="V826" i="32"/>
  <c r="W826" i="32" s="1"/>
  <c r="R1268" i="32"/>
  <c r="Q1268" i="32"/>
  <c r="V8" i="32"/>
  <c r="W8" i="32" s="1"/>
  <c r="R72" i="32"/>
  <c r="Q72" i="32"/>
  <c r="R152" i="32"/>
  <c r="Q152" i="32"/>
  <c r="V184" i="32"/>
  <c r="W184" i="32" s="1"/>
  <c r="R264" i="32"/>
  <c r="Q264" i="32"/>
  <c r="V296" i="32"/>
  <c r="W296" i="32" s="1"/>
  <c r="R22" i="32"/>
  <c r="Q22" i="32"/>
  <c r="R150" i="32"/>
  <c r="Q150" i="32"/>
  <c r="R294" i="32"/>
  <c r="Q294" i="32"/>
  <c r="R326" i="32"/>
  <c r="Q326" i="32"/>
  <c r="R163" i="32"/>
  <c r="Q163" i="32"/>
  <c r="Q259" i="32"/>
  <c r="R259" i="32"/>
  <c r="V291" i="32"/>
  <c r="W291" i="32" s="1"/>
  <c r="R379" i="32"/>
  <c r="Q379" i="32"/>
  <c r="R411" i="32"/>
  <c r="Q411" i="32"/>
  <c r="V443" i="32"/>
  <c r="W443" i="32" s="1"/>
  <c r="R33" i="32"/>
  <c r="Q33" i="32"/>
  <c r="V378" i="32"/>
  <c r="W378" i="32" s="1"/>
  <c r="R442" i="32"/>
  <c r="Q442" i="32"/>
  <c r="V539" i="32"/>
  <c r="W539" i="32" s="1"/>
  <c r="R640" i="32"/>
  <c r="Q640" i="32"/>
  <c r="V671" i="32"/>
  <c r="W671" i="32" s="1"/>
  <c r="R735" i="32"/>
  <c r="Q735" i="32"/>
  <c r="R863" i="32"/>
  <c r="Q863" i="32"/>
  <c r="Q879" i="32"/>
  <c r="R879" i="32"/>
  <c r="R133" i="32"/>
  <c r="Q133" i="32"/>
  <c r="V303" i="32"/>
  <c r="W303" i="32" s="1"/>
  <c r="R406" i="32"/>
  <c r="Q406" i="32"/>
  <c r="R670" i="32"/>
  <c r="Q670" i="32"/>
  <c r="V862" i="32"/>
  <c r="W862" i="32" s="1"/>
  <c r="V905" i="32"/>
  <c r="W905" i="32" s="1"/>
  <c r="R961" i="32"/>
  <c r="Q961" i="32"/>
  <c r="R993" i="32"/>
  <c r="Q993" i="32"/>
  <c r="V1025" i="32"/>
  <c r="W1025" i="32" s="1"/>
  <c r="R1089" i="32"/>
  <c r="Q1089" i="32"/>
  <c r="V1153" i="32"/>
  <c r="W1153" i="32" s="1"/>
  <c r="R1233" i="32"/>
  <c r="Q1233" i="32"/>
  <c r="V1265" i="32"/>
  <c r="W1265" i="32" s="1"/>
  <c r="R95" i="32"/>
  <c r="Q95" i="32"/>
  <c r="R93" i="32"/>
  <c r="Q93" i="32"/>
  <c r="V285" i="32"/>
  <c r="W285" i="32" s="1"/>
  <c r="R502" i="32"/>
  <c r="Q502" i="32"/>
  <c r="R532" i="32"/>
  <c r="Q532" i="32"/>
  <c r="V596" i="32"/>
  <c r="W596" i="32" s="1"/>
  <c r="V821" i="32"/>
  <c r="W821" i="32" s="1"/>
  <c r="Q999" i="32"/>
  <c r="R999" i="32"/>
  <c r="R1127" i="32"/>
  <c r="Q1127" i="32"/>
  <c r="R1191" i="32"/>
  <c r="Q393" i="32"/>
  <c r="R508" i="32"/>
  <c r="Q508" i="32"/>
  <c r="Q738" i="32"/>
  <c r="R738" i="32"/>
  <c r="V881" i="32"/>
  <c r="W881" i="32" s="1"/>
  <c r="R541" i="32"/>
  <c r="Q541" i="32"/>
  <c r="R605" i="32"/>
  <c r="Q605" i="32"/>
  <c r="V716" i="32"/>
  <c r="W716" i="32" s="1"/>
  <c r="R925" i="32"/>
  <c r="Q925" i="32"/>
  <c r="Q986" i="32"/>
  <c r="R986" i="32"/>
  <c r="Q1099" i="32"/>
  <c r="R1099" i="32"/>
  <c r="R1156" i="32"/>
  <c r="Q1156" i="32"/>
  <c r="V558" i="32"/>
  <c r="W558" i="32" s="1"/>
  <c r="R790" i="32"/>
  <c r="Q790" i="32"/>
  <c r="R1080" i="32"/>
  <c r="Q1080" i="32"/>
  <c r="V1166" i="32"/>
  <c r="W1166" i="32" s="1"/>
  <c r="R1279" i="32"/>
  <c r="Q1279" i="32"/>
  <c r="V579" i="32"/>
  <c r="W579" i="32" s="1"/>
  <c r="V1174" i="32"/>
  <c r="W1174" i="32" s="1"/>
  <c r="R588" i="32"/>
  <c r="Q588" i="32"/>
  <c r="R976" i="32"/>
  <c r="Q976" i="32"/>
  <c r="R562" i="32"/>
  <c r="Q562" i="32"/>
  <c r="V794" i="32"/>
  <c r="W794" i="32" s="1"/>
  <c r="R1082" i="32"/>
  <c r="Q1082" i="32"/>
  <c r="V1055" i="32"/>
  <c r="W1055" i="32" s="1"/>
  <c r="R12" i="32"/>
  <c r="Q12" i="32"/>
  <c r="V60" i="32"/>
  <c r="W60" i="32" s="1"/>
  <c r="Q140" i="32"/>
  <c r="R252" i="32"/>
  <c r="Q252" i="32"/>
  <c r="V284" i="32"/>
  <c r="W284" i="32" s="1"/>
  <c r="V106" i="32"/>
  <c r="W106" i="32" s="1"/>
  <c r="V234" i="32"/>
  <c r="W234" i="32" s="1"/>
  <c r="R282" i="32"/>
  <c r="Q282" i="32"/>
  <c r="Q314" i="32"/>
  <c r="R314" i="32"/>
  <c r="V330" i="32"/>
  <c r="W330" i="32" s="1"/>
  <c r="R107" i="32"/>
  <c r="Q107" i="32"/>
  <c r="V203" i="32"/>
  <c r="W203" i="32" s="1"/>
  <c r="R331" i="32"/>
  <c r="Q331" i="32"/>
  <c r="Q479" i="32"/>
  <c r="R479" i="32"/>
  <c r="V301" i="32"/>
  <c r="W301" i="32" s="1"/>
  <c r="R448" i="32"/>
  <c r="Q448" i="32"/>
  <c r="V630" i="32"/>
  <c r="W630" i="32" s="1"/>
  <c r="R723" i="32"/>
  <c r="Q723" i="32"/>
  <c r="V739" i="32"/>
  <c r="W739" i="32" s="1"/>
  <c r="R145" i="32"/>
  <c r="Q145" i="32"/>
  <c r="V356" i="32"/>
  <c r="W356" i="32" s="1"/>
  <c r="V565" i="32"/>
  <c r="W565" i="32" s="1"/>
  <c r="R635" i="32"/>
  <c r="Q635" i="32"/>
  <c r="Q676" i="32"/>
  <c r="R676" i="32"/>
  <c r="V697" i="32"/>
  <c r="W697" i="32" s="1"/>
  <c r="Q804" i="32"/>
  <c r="R804" i="32"/>
  <c r="R825" i="32"/>
  <c r="Q825" i="32"/>
  <c r="V889" i="32"/>
  <c r="W889" i="32" s="1"/>
  <c r="R965" i="32"/>
  <c r="Q965" i="32"/>
  <c r="V1045" i="32"/>
  <c r="W1045" i="32" s="1"/>
  <c r="V1125" i="32"/>
  <c r="W1125" i="32" s="1"/>
  <c r="R1221" i="32"/>
  <c r="Q1221" i="32"/>
  <c r="R111" i="32"/>
  <c r="Q111" i="32"/>
  <c r="R473" i="32"/>
  <c r="Q473" i="32"/>
  <c r="V540" i="32"/>
  <c r="W540" i="32" s="1"/>
  <c r="R657" i="32"/>
  <c r="Q657" i="32"/>
  <c r="V770" i="32"/>
  <c r="W770" i="32" s="1"/>
  <c r="R885" i="32"/>
  <c r="Q885" i="32"/>
  <c r="Q940" i="32"/>
  <c r="R940" i="32"/>
  <c r="V1175" i="32"/>
  <c r="W1175" i="32" s="1"/>
  <c r="V239" i="32"/>
  <c r="W239" i="32" s="1"/>
  <c r="Q185" i="32"/>
  <c r="R185" i="32"/>
  <c r="R344" i="32"/>
  <c r="Q344" i="32"/>
  <c r="R844" i="32"/>
  <c r="Q844" i="32"/>
  <c r="V936" i="32"/>
  <c r="W936" i="32" s="1"/>
  <c r="V1135" i="32"/>
  <c r="W1135" i="32" s="1"/>
  <c r="R1248" i="32"/>
  <c r="Q1248" i="32"/>
  <c r="R29" i="32"/>
  <c r="Q29" i="32"/>
  <c r="R636" i="32"/>
  <c r="Q636" i="32"/>
  <c r="R748" i="32"/>
  <c r="Q748" i="32"/>
  <c r="Q409" i="32"/>
  <c r="R409" i="32"/>
  <c r="R1018" i="32"/>
  <c r="Q1018" i="32"/>
  <c r="R840" i="32"/>
  <c r="Q840" i="32"/>
  <c r="V991" i="32"/>
  <c r="W991" i="32" s="1"/>
  <c r="R1275" i="32"/>
  <c r="Q1275" i="32"/>
  <c r="R822" i="32"/>
  <c r="Q822" i="32"/>
  <c r="R982" i="32"/>
  <c r="Q982" i="32"/>
  <c r="Q113" i="32"/>
  <c r="R113" i="32"/>
  <c r="V1240" i="32"/>
  <c r="W1240" i="32" s="1"/>
  <c r="L10" i="29"/>
  <c r="L22" i="29"/>
  <c r="L3" i="29"/>
  <c r="L39" i="29" s="1"/>
  <c r="N7" i="29"/>
  <c r="N43" i="29" s="1"/>
  <c r="L4" i="29"/>
  <c r="L40" i="29" s="1"/>
  <c r="N16" i="29"/>
  <c r="L14" i="29"/>
  <c r="N18" i="29"/>
  <c r="L18" i="29"/>
  <c r="N11" i="29"/>
  <c r="N4" i="29"/>
  <c r="N40" i="29" s="1"/>
  <c r="N23" i="29"/>
  <c r="M14" i="29"/>
  <c r="N17" i="29"/>
  <c r="L9" i="29"/>
  <c r="L45" i="29" s="1"/>
  <c r="M5" i="29"/>
  <c r="M41" i="29" s="1"/>
  <c r="N22" i="29"/>
  <c r="M15" i="29"/>
  <c r="N3" i="29"/>
  <c r="N39" i="29" s="1"/>
  <c r="N8" i="29"/>
  <c r="N44" i="29" s="1"/>
  <c r="L15" i="29"/>
  <c r="M17" i="29"/>
  <c r="M11" i="29"/>
  <c r="M47" i="29" s="1"/>
  <c r="M2" i="29"/>
  <c r="M38" i="29" s="1"/>
  <c r="N10" i="29"/>
  <c r="M20" i="29"/>
  <c r="L16" i="29"/>
  <c r="L20" i="29"/>
  <c r="M9" i="29"/>
  <c r="M45" i="29" s="1"/>
  <c r="N15" i="29"/>
  <c r="N5" i="29"/>
  <c r="N41" i="29" s="1"/>
  <c r="M19" i="29"/>
  <c r="M3" i="29"/>
  <c r="L5" i="29"/>
  <c r="L41" i="29" s="1"/>
  <c r="N9" i="29"/>
  <c r="N45" i="29" s="1"/>
  <c r="N6" i="29"/>
  <c r="N42" i="29" s="1"/>
  <c r="M18" i="29"/>
  <c r="N19" i="29"/>
  <c r="N2" i="29"/>
  <c r="N38" i="29" s="1"/>
  <c r="L19" i="29"/>
  <c r="L6" i="29"/>
  <c r="M7" i="29"/>
  <c r="L11" i="29"/>
  <c r="L47" i="29" s="1"/>
  <c r="L8" i="29"/>
  <c r="L44" i="29" s="1"/>
  <c r="M10" i="29"/>
  <c r="M46" i="29" s="1"/>
  <c r="M21" i="29"/>
  <c r="M8" i="29"/>
  <c r="M44" i="29" s="1"/>
  <c r="N20" i="29"/>
  <c r="M16" i="29"/>
  <c r="N14" i="29"/>
  <c r="L23" i="29"/>
  <c r="L59" i="29" s="1"/>
  <c r="M4" i="29"/>
  <c r="M40" i="29" s="1"/>
  <c r="L17" i="29"/>
  <c r="M22" i="29"/>
  <c r="L21" i="29"/>
  <c r="L57" i="29" s="1"/>
  <c r="M6" i="29"/>
  <c r="N21" i="29"/>
  <c r="M23" i="29"/>
  <c r="L2" i="29"/>
  <c r="L38" i="29" s="1"/>
  <c r="L7" i="29"/>
  <c r="L55" i="29" s="1"/>
  <c r="L46" i="29"/>
  <c r="K9" i="29"/>
  <c r="K19" i="29"/>
  <c r="K2" i="29"/>
  <c r="K18" i="29"/>
  <c r="K8" i="29"/>
  <c r="K44" i="29" s="1"/>
  <c r="K6" i="29"/>
  <c r="K42" i="29" s="1"/>
  <c r="K11" i="29"/>
  <c r="K47" i="29" s="1"/>
  <c r="K16" i="29"/>
  <c r="K14" i="29"/>
  <c r="K21" i="29"/>
  <c r="K20" i="29"/>
  <c r="K10" i="29"/>
  <c r="K46" i="29" s="1"/>
  <c r="K23" i="29"/>
  <c r="K3" i="29"/>
  <c r="K7" i="29"/>
  <c r="K22" i="29"/>
  <c r="K17" i="29"/>
  <c r="K15" i="29"/>
  <c r="K4" i="29"/>
  <c r="K5" i="29"/>
  <c r="K41" i="29" s="1"/>
  <c r="K45" i="29"/>
  <c r="C87" i="14"/>
  <c r="E87" i="14"/>
  <c r="D87" i="14"/>
  <c r="B91" i="14"/>
  <c r="D91" i="14"/>
  <c r="E91" i="14"/>
  <c r="B90" i="14"/>
  <c r="C90" i="14"/>
  <c r="E90" i="14"/>
  <c r="D90" i="14"/>
  <c r="B89" i="14"/>
  <c r="E89" i="14"/>
  <c r="D89" i="14"/>
  <c r="C89" i="14"/>
  <c r="D88" i="14"/>
  <c r="E88" i="14"/>
  <c r="C88" i="14"/>
  <c r="B88" i="14"/>
  <c r="D92" i="14"/>
  <c r="C92" i="14"/>
  <c r="E92" i="14"/>
  <c r="B92" i="14"/>
  <c r="E96" i="14"/>
  <c r="D96" i="14"/>
  <c r="C96" i="14"/>
  <c r="B96" i="14"/>
  <c r="C91" i="14"/>
  <c r="B93" i="14"/>
  <c r="E93" i="14"/>
  <c r="C93" i="14"/>
  <c r="D93" i="14"/>
  <c r="B95" i="14"/>
  <c r="E95" i="14"/>
  <c r="D95" i="14"/>
  <c r="C95" i="14"/>
  <c r="C94" i="14"/>
  <c r="B94" i="14"/>
  <c r="D94" i="14"/>
  <c r="E94" i="14"/>
  <c r="J7" i="29"/>
  <c r="J43" i="29" s="1"/>
  <c r="J11" i="29"/>
  <c r="J47" i="29" s="1"/>
  <c r="J10" i="29"/>
  <c r="J46" i="29" s="1"/>
  <c r="J16" i="29"/>
  <c r="J9" i="29"/>
  <c r="J45" i="29" s="1"/>
  <c r="AK4" i="5"/>
  <c r="C14" i="29"/>
  <c r="J5" i="29"/>
  <c r="J41" i="29" s="1"/>
  <c r="J18" i="29"/>
  <c r="J14" i="29"/>
  <c r="J3" i="29"/>
  <c r="J39" i="29" s="1"/>
  <c r="J6" i="29"/>
  <c r="J42" i="29" s="1"/>
  <c r="J2" i="29"/>
  <c r="J38" i="29" s="1"/>
  <c r="J22" i="29"/>
  <c r="J21" i="29"/>
  <c r="J8" i="29"/>
  <c r="J44" i="29" s="1"/>
  <c r="J4" i="29"/>
  <c r="J40" i="29" s="1"/>
  <c r="J19" i="29"/>
  <c r="J15" i="29"/>
  <c r="J17" i="29"/>
  <c r="J20" i="29"/>
  <c r="J23" i="29"/>
  <c r="I9" i="29"/>
  <c r="I45" i="29" s="1"/>
  <c r="H14" i="29"/>
  <c r="G8" i="29"/>
  <c r="G44" i="29" s="1"/>
  <c r="H2" i="29"/>
  <c r="H38" i="29" s="1"/>
  <c r="D15" i="29"/>
  <c r="G10" i="29"/>
  <c r="G46" i="29" s="1"/>
  <c r="E3" i="29"/>
  <c r="E39" i="29" s="1"/>
  <c r="I21" i="29"/>
  <c r="I15" i="29"/>
  <c r="F23" i="29"/>
  <c r="F10" i="29"/>
  <c r="F46" i="29" s="1"/>
  <c r="B14" i="29"/>
  <c r="I20" i="29"/>
  <c r="E23" i="29"/>
  <c r="B17" i="29"/>
  <c r="D18" i="29"/>
  <c r="I17" i="29"/>
  <c r="D20" i="29"/>
  <c r="I23" i="29"/>
  <c r="D4" i="29"/>
  <c r="D40" i="29" s="1"/>
  <c r="I22" i="29"/>
  <c r="H21" i="29"/>
  <c r="E9" i="29"/>
  <c r="E45" i="29" s="1"/>
  <c r="G3" i="29"/>
  <c r="G39" i="29" s="1"/>
  <c r="F18" i="29"/>
  <c r="E2" i="29"/>
  <c r="E38" i="29" s="1"/>
  <c r="F7" i="29"/>
  <c r="F43" i="29" s="1"/>
  <c r="H6" i="29"/>
  <c r="H42" i="29" s="1"/>
  <c r="H23" i="29"/>
  <c r="D17" i="29"/>
  <c r="I2" i="29"/>
  <c r="I38" i="29" s="1"/>
  <c r="G11" i="29"/>
  <c r="G47" i="29" s="1"/>
  <c r="E20" i="29"/>
  <c r="F8" i="29"/>
  <c r="F44" i="29" s="1"/>
  <c r="F16" i="29"/>
  <c r="E17" i="29"/>
  <c r="C16" i="29"/>
  <c r="H20" i="29"/>
  <c r="H22" i="29"/>
  <c r="H5" i="29"/>
  <c r="H41" i="29" s="1"/>
  <c r="G18" i="29"/>
  <c r="H4" i="29"/>
  <c r="H40" i="29" s="1"/>
  <c r="E4" i="29"/>
  <c r="E40" i="29" s="1"/>
  <c r="G6" i="29"/>
  <c r="G42" i="29" s="1"/>
  <c r="D6" i="29"/>
  <c r="D42" i="29" s="1"/>
  <c r="B3" i="29"/>
  <c r="B39" i="29" s="1"/>
  <c r="F2" i="29"/>
  <c r="F38" i="29" s="1"/>
  <c r="G4" i="29"/>
  <c r="G40" i="29" s="1"/>
  <c r="B6" i="29"/>
  <c r="B42" i="29" s="1"/>
  <c r="E18" i="29"/>
  <c r="C11" i="29"/>
  <c r="C47" i="29" s="1"/>
  <c r="D2" i="29"/>
  <c r="D38" i="29" s="1"/>
  <c r="C22" i="29"/>
  <c r="H18" i="29"/>
  <c r="I8" i="29"/>
  <c r="I44" i="29" s="1"/>
  <c r="G14" i="29"/>
  <c r="I5" i="29"/>
  <c r="I41" i="29" s="1"/>
  <c r="B5" i="29"/>
  <c r="F5" i="29"/>
  <c r="F41" i="29" s="1"/>
  <c r="C3" i="29"/>
  <c r="C39" i="29" s="1"/>
  <c r="D21" i="29"/>
  <c r="B9" i="29"/>
  <c r="B45" i="29" s="1"/>
  <c r="D7" i="29"/>
  <c r="D43" i="29" s="1"/>
  <c r="D10" i="29"/>
  <c r="D46" i="29" s="1"/>
  <c r="G5" i="29"/>
  <c r="G41" i="29" s="1"/>
  <c r="B11" i="29"/>
  <c r="B47" i="29" s="1"/>
  <c r="I19" i="29"/>
  <c r="G7" i="29"/>
  <c r="G43" i="29" s="1"/>
  <c r="D16" i="29"/>
  <c r="C21" i="29"/>
  <c r="B10" i="29"/>
  <c r="B46" i="29" s="1"/>
  <c r="C18" i="29"/>
  <c r="D14" i="29"/>
  <c r="C10" i="29"/>
  <c r="C46" i="29" s="1"/>
  <c r="I4" i="29"/>
  <c r="I40" i="29" s="1"/>
  <c r="F3" i="29"/>
  <c r="F39" i="29" s="1"/>
  <c r="E7" i="29"/>
  <c r="E43" i="29" s="1"/>
  <c r="C19" i="29"/>
  <c r="D8" i="29"/>
  <c r="D44" i="29" s="1"/>
  <c r="E22" i="29"/>
  <c r="D9" i="29"/>
  <c r="D45" i="29" s="1"/>
  <c r="I7" i="29"/>
  <c r="I43" i="29" s="1"/>
  <c r="I11" i="29"/>
  <c r="I47" i="29" s="1"/>
  <c r="C20" i="29"/>
  <c r="G20" i="29"/>
  <c r="B4" i="29"/>
  <c r="B40" i="29" s="1"/>
  <c r="E16" i="29"/>
  <c r="C9" i="29"/>
  <c r="C45" i="29" s="1"/>
  <c r="D5" i="29"/>
  <c r="E11" i="29"/>
  <c r="E47" i="29" s="1"/>
  <c r="F11" i="29"/>
  <c r="F47" i="29" s="1"/>
  <c r="H9" i="29"/>
  <c r="H45" i="29" s="1"/>
  <c r="E6" i="29"/>
  <c r="E42" i="29" s="1"/>
  <c r="I6" i="29"/>
  <c r="I42" i="29" s="1"/>
  <c r="D23" i="29"/>
  <c r="B23" i="29"/>
  <c r="C17" i="29"/>
  <c r="B7" i="29"/>
  <c r="B43" i="29" s="1"/>
  <c r="F15" i="29"/>
  <c r="G17" i="29"/>
  <c r="C4" i="29"/>
  <c r="I10" i="29"/>
  <c r="I46" i="29" s="1"/>
  <c r="C15" i="29"/>
  <c r="G2" i="29"/>
  <c r="G38" i="29" s="1"/>
  <c r="H3" i="29"/>
  <c r="H39" i="29" s="1"/>
  <c r="E5" i="29"/>
  <c r="E41" i="29" s="1"/>
  <c r="E21" i="29"/>
  <c r="D3" i="29"/>
  <c r="D39" i="29" s="1"/>
  <c r="G9" i="29"/>
  <c r="G45" i="29" s="1"/>
  <c r="F20" i="29"/>
  <c r="H16" i="29"/>
  <c r="F21" i="29"/>
  <c r="H8" i="29"/>
  <c r="H44" i="29" s="1"/>
  <c r="F4" i="29"/>
  <c r="F40" i="29" s="1"/>
  <c r="I14" i="29"/>
  <c r="H11" i="29"/>
  <c r="E8" i="29"/>
  <c r="C2" i="29"/>
  <c r="C38" i="29" s="1"/>
  <c r="F17" i="29"/>
  <c r="D11" i="29"/>
  <c r="D47" i="29" s="1"/>
  <c r="B8" i="29"/>
  <c r="B44" i="29" s="1"/>
  <c r="F9" i="29"/>
  <c r="F45" i="29" s="1"/>
  <c r="H10" i="29"/>
  <c r="H46" i="29" s="1"/>
  <c r="B20" i="29"/>
  <c r="G15" i="29"/>
  <c r="H15" i="29"/>
  <c r="D22" i="29"/>
  <c r="C8" i="29"/>
  <c r="C44" i="29" s="1"/>
  <c r="B21" i="29"/>
  <c r="G22" i="29"/>
  <c r="B16" i="29"/>
  <c r="C6" i="29"/>
  <c r="C42" i="29" s="1"/>
  <c r="C7" i="29"/>
  <c r="C43" i="29" s="1"/>
  <c r="B15" i="29"/>
  <c r="F14" i="29"/>
  <c r="F50" i="29" s="1"/>
  <c r="G21" i="29"/>
  <c r="E19" i="29"/>
  <c r="E10" i="29"/>
  <c r="E46" i="29" s="1"/>
  <c r="F19" i="29"/>
  <c r="D19" i="29"/>
  <c r="H17" i="29"/>
  <c r="C5" i="29"/>
  <c r="C41" i="29" s="1"/>
  <c r="I3" i="29"/>
  <c r="I39" i="29" s="1"/>
  <c r="B22" i="29"/>
  <c r="B2" i="29"/>
  <c r="F6" i="29"/>
  <c r="F42" i="29" s="1"/>
  <c r="G19" i="29"/>
  <c r="C23" i="29"/>
  <c r="G16" i="29"/>
  <c r="E15" i="29"/>
  <c r="E14" i="29"/>
  <c r="F22" i="29"/>
  <c r="B18" i="29"/>
  <c r="I18" i="29"/>
  <c r="B19" i="29"/>
  <c r="G23" i="29"/>
  <c r="I16" i="29"/>
  <c r="H19" i="29"/>
  <c r="H7" i="29"/>
  <c r="H43" i="29" s="1"/>
  <c r="R10" i="9"/>
  <c r="F10" i="9" s="1"/>
  <c r="AL2" i="5"/>
  <c r="AK2" i="5"/>
  <c r="W1" i="4"/>
  <c r="AN1" i="4" s="1"/>
  <c r="G1" i="4"/>
  <c r="S42" i="9"/>
  <c r="G42" i="9" s="1"/>
  <c r="F28" i="9"/>
  <c r="I42" i="9"/>
  <c r="I34" i="9"/>
  <c r="A13" i="9"/>
  <c r="B12" i="9"/>
  <c r="S40" i="9"/>
  <c r="J40" i="9" s="1"/>
  <c r="R40" i="9"/>
  <c r="I40" i="9" s="1"/>
  <c r="G36" i="14"/>
  <c r="S37" i="9"/>
  <c r="J37" i="9" s="1"/>
  <c r="R37" i="9"/>
  <c r="I37" i="9" s="1"/>
  <c r="AL7" i="5"/>
  <c r="AK6" i="5"/>
  <c r="AM4" i="5"/>
  <c r="AL3" i="5"/>
  <c r="AK7" i="5"/>
  <c r="AL4" i="5"/>
  <c r="AK3" i="5"/>
  <c r="AM6" i="5"/>
  <c r="AL5" i="5"/>
  <c r="AM2" i="5"/>
  <c r="AK5" i="5"/>
  <c r="AM3" i="5"/>
  <c r="AL6" i="5"/>
  <c r="AM7" i="5"/>
  <c r="S32" i="9"/>
  <c r="J32" i="9" s="1"/>
  <c r="R32" i="9"/>
  <c r="I32" i="9" s="1"/>
  <c r="S43" i="9"/>
  <c r="A7" i="13"/>
  <c r="B7" i="13" s="1"/>
  <c r="S28" i="9"/>
  <c r="S36" i="9"/>
  <c r="G36" i="9" s="1"/>
  <c r="R36" i="9"/>
  <c r="F36" i="9" s="1"/>
  <c r="S39" i="9"/>
  <c r="J39" i="9" s="1"/>
  <c r="R39" i="9"/>
  <c r="F39" i="9" s="1"/>
  <c r="S29" i="9"/>
  <c r="J29" i="9" s="1"/>
  <c r="R29" i="9"/>
  <c r="I29" i="9" s="1"/>
  <c r="S41" i="9"/>
  <c r="J41" i="9" s="1"/>
  <c r="R41" i="9"/>
  <c r="I41" i="9" s="1"/>
  <c r="S35" i="9"/>
  <c r="J35" i="9" s="1"/>
  <c r="R35" i="9"/>
  <c r="F35" i="9" s="1"/>
  <c r="F13" i="10"/>
  <c r="F43" i="9"/>
  <c r="S33" i="9"/>
  <c r="J33" i="9" s="1"/>
  <c r="R33" i="9"/>
  <c r="F33" i="9" s="1"/>
  <c r="K9" i="9"/>
  <c r="T9" i="9"/>
  <c r="T41" i="9" s="1"/>
  <c r="H41" i="9" s="1"/>
  <c r="F48" i="14"/>
  <c r="F1" i="14"/>
  <c r="S31" i="9"/>
  <c r="J31" i="9" s="1"/>
  <c r="T31" i="9"/>
  <c r="H31" i="9" s="1"/>
  <c r="R31" i="9"/>
  <c r="I31" i="9" s="1"/>
  <c r="A4" i="17"/>
  <c r="I3" i="17"/>
  <c r="E3" i="17"/>
  <c r="F3" i="17"/>
  <c r="J3" i="17"/>
  <c r="D3" i="17"/>
  <c r="B4" i="17"/>
  <c r="G3" i="17"/>
  <c r="H3" i="17"/>
  <c r="S30" i="9"/>
  <c r="S10" i="9"/>
  <c r="S38" i="9"/>
  <c r="G1" i="5"/>
  <c r="W112" i="4" l="1"/>
  <c r="AN107" i="4"/>
  <c r="W103" i="4"/>
  <c r="AN63" i="4"/>
  <c r="W35" i="4"/>
  <c r="AN111" i="4"/>
  <c r="W44" i="4"/>
  <c r="W116" i="4"/>
  <c r="W100" i="4"/>
  <c r="W104" i="4"/>
  <c r="W68" i="4"/>
  <c r="W55" i="4"/>
  <c r="AN87" i="4"/>
  <c r="W91" i="4"/>
  <c r="W99" i="4"/>
  <c r="AN95" i="4"/>
  <c r="AN75" i="4"/>
  <c r="W83" i="4"/>
  <c r="W56" i="4"/>
  <c r="AN51" i="4"/>
  <c r="W115" i="4"/>
  <c r="W80" i="4"/>
  <c r="AN64" i="4"/>
  <c r="W76" i="4"/>
  <c r="W88" i="4"/>
  <c r="W92" i="4"/>
  <c r="W36" i="4"/>
  <c r="AN108" i="4"/>
  <c r="W16" i="4"/>
  <c r="W31" i="4"/>
  <c r="W118" i="4"/>
  <c r="W119" i="4"/>
  <c r="AN82" i="4"/>
  <c r="AN34" i="4"/>
  <c r="W59" i="4"/>
  <c r="AN71" i="4"/>
  <c r="AN39" i="4"/>
  <c r="W22" i="4"/>
  <c r="AN11" i="4"/>
  <c r="W85" i="4"/>
  <c r="W14" i="4"/>
  <c r="W62" i="4"/>
  <c r="AN78" i="4"/>
  <c r="W109" i="4"/>
  <c r="AN70" i="4"/>
  <c r="AN26" i="4"/>
  <c r="AN61" i="4"/>
  <c r="W20" i="4"/>
  <c r="AC5" i="12"/>
  <c r="AC10" i="12"/>
  <c r="AC25" i="12"/>
  <c r="AC14" i="12"/>
  <c r="AC15" i="12"/>
  <c r="AC20" i="12"/>
  <c r="AC21" i="12"/>
  <c r="AC27" i="12"/>
  <c r="AC49" i="12"/>
  <c r="AC50" i="12"/>
  <c r="AC55" i="12"/>
  <c r="AC60" i="12"/>
  <c r="AC71" i="12"/>
  <c r="AC78" i="12"/>
  <c r="AC62" i="12"/>
  <c r="AC73" i="12"/>
  <c r="AC74" i="12"/>
  <c r="AC81" i="12"/>
  <c r="AC69" i="12"/>
  <c r="AC90" i="12"/>
  <c r="AC97" i="12"/>
  <c r="AC100" i="12"/>
  <c r="AC102" i="12"/>
  <c r="AC114" i="12"/>
  <c r="AC123" i="12"/>
  <c r="AC112" i="12"/>
  <c r="AC117" i="12"/>
  <c r="AC124" i="12"/>
  <c r="AC135" i="12"/>
  <c r="AC144" i="12"/>
  <c r="AC160" i="12"/>
  <c r="AC161" i="12"/>
  <c r="AC162" i="12"/>
  <c r="AC173" i="12"/>
  <c r="AC131" i="12"/>
  <c r="AC141" i="12"/>
  <c r="AC169" i="12"/>
  <c r="AC136" i="12"/>
  <c r="AC195" i="12"/>
  <c r="AC152" i="12"/>
  <c r="AC202" i="12"/>
  <c r="AC205" i="12"/>
  <c r="AC203" i="12"/>
  <c r="AC212" i="12"/>
  <c r="AC222" i="12"/>
  <c r="AC232" i="12"/>
  <c r="AC178" i="12"/>
  <c r="AC216" i="12"/>
  <c r="AC218" i="12"/>
  <c r="AC219" i="12"/>
  <c r="AC215" i="12"/>
  <c r="AC245" i="12"/>
  <c r="AC285" i="12"/>
  <c r="AC290" i="12"/>
  <c r="AC307" i="12"/>
  <c r="AC308" i="12"/>
  <c r="AC294" i="12"/>
  <c r="AC234" i="12"/>
  <c r="AC252" i="12"/>
  <c r="AC258" i="12"/>
  <c r="AC260" i="12"/>
  <c r="AC274" i="12"/>
  <c r="AC282" i="12"/>
  <c r="AC289" i="12"/>
  <c r="AC281" i="12"/>
  <c r="AC300" i="12"/>
  <c r="AC352" i="12"/>
  <c r="AC353" i="12"/>
  <c r="AC367" i="12"/>
  <c r="AC277" i="12"/>
  <c r="AC293" i="12"/>
  <c r="AC303" i="12"/>
  <c r="AC310" i="12"/>
  <c r="AC335" i="12"/>
  <c r="AC344" i="12"/>
  <c r="AC345" i="12"/>
  <c r="AC381" i="12"/>
  <c r="AC407" i="12"/>
  <c r="AC409" i="12"/>
  <c r="AC411" i="12"/>
  <c r="AC421" i="12"/>
  <c r="AC427" i="12"/>
  <c r="AC432" i="12"/>
  <c r="AC454" i="12"/>
  <c r="AC455" i="12"/>
  <c r="AC456" i="12"/>
  <c r="AC459" i="12"/>
  <c r="AC461" i="12"/>
  <c r="AC466" i="12"/>
  <c r="AC468" i="12"/>
  <c r="AC472" i="12"/>
  <c r="AC475" i="12"/>
  <c r="AC279" i="12"/>
  <c r="AC312" i="12"/>
  <c r="AC430" i="12"/>
  <c r="AC387" i="12"/>
  <c r="AC404" i="12"/>
  <c r="AC488" i="12"/>
  <c r="AC390" i="12"/>
  <c r="AC392" i="12"/>
  <c r="AC410" i="12"/>
  <c r="AC487" i="12"/>
  <c r="AC493" i="12"/>
  <c r="AC375" i="12"/>
  <c r="AC383" i="12"/>
  <c r="AC406" i="12"/>
  <c r="AC369" i="12"/>
  <c r="AC424" i="12"/>
  <c r="AC379" i="12"/>
  <c r="AC433" i="12"/>
  <c r="AC440" i="12"/>
  <c r="AC326" i="12"/>
  <c r="AC329" i="12"/>
  <c r="AC153" i="12"/>
  <c r="AC444" i="12"/>
  <c r="AC92" i="12"/>
  <c r="AC42" i="12"/>
  <c r="AC437" i="12"/>
  <c r="AC355" i="12"/>
  <c r="AC331" i="12"/>
  <c r="AC311" i="12"/>
  <c r="AC166" i="12"/>
  <c r="AC186" i="12"/>
  <c r="AC35" i="12"/>
  <c r="AC323" i="12"/>
  <c r="AC224" i="12"/>
  <c r="AC442" i="12"/>
  <c r="AC439" i="12"/>
  <c r="AC318" i="12"/>
  <c r="AC325" i="12"/>
  <c r="AC185" i="12"/>
  <c r="AC32" i="12"/>
  <c r="AC327" i="12"/>
  <c r="AC177" i="12"/>
  <c r="AC154" i="12"/>
  <c r="AJ138" i="12"/>
  <c r="AC530" i="12"/>
  <c r="AC531" i="12"/>
  <c r="AC532" i="12"/>
  <c r="AC533" i="12"/>
  <c r="AC534" i="12"/>
  <c r="AC535" i="12"/>
  <c r="AC536" i="12"/>
  <c r="AC537" i="12"/>
  <c r="AC538" i="12"/>
  <c r="AC539" i="12"/>
  <c r="AC540" i="12"/>
  <c r="AC541" i="12"/>
  <c r="AC542" i="12"/>
  <c r="AC543" i="12"/>
  <c r="AC544" i="12"/>
  <c r="AC545" i="12"/>
  <c r="AC546" i="12"/>
  <c r="AC547" i="12"/>
  <c r="AC548" i="12"/>
  <c r="AC549" i="12"/>
  <c r="AC550" i="12"/>
  <c r="AC551" i="12"/>
  <c r="AC552" i="12"/>
  <c r="AC553" i="12"/>
  <c r="AC554" i="12"/>
  <c r="AC555" i="12"/>
  <c r="AC556" i="12"/>
  <c r="AC557" i="12"/>
  <c r="AC558" i="12"/>
  <c r="AC559" i="12"/>
  <c r="AC560" i="12"/>
  <c r="AC561" i="12"/>
  <c r="AC8" i="12"/>
  <c r="AC44" i="12"/>
  <c r="AC16" i="12"/>
  <c r="AC46" i="12"/>
  <c r="AC64" i="12"/>
  <c r="AC75" i="12"/>
  <c r="AC95" i="12"/>
  <c r="AC98" i="12"/>
  <c r="AC107" i="12"/>
  <c r="AC126" i="12"/>
  <c r="AC130" i="12"/>
  <c r="AC122" i="12"/>
  <c r="AC138" i="12"/>
  <c r="AC163" i="12"/>
  <c r="AC174" i="12"/>
  <c r="AC190" i="12"/>
  <c r="AC191" i="12"/>
  <c r="AC192" i="12"/>
  <c r="AC171" i="12"/>
  <c r="AC198" i="12"/>
  <c r="AC209" i="12"/>
  <c r="AC197" i="12"/>
  <c r="AC199" i="12"/>
  <c r="AC201" i="12"/>
  <c r="AC213" i="12"/>
  <c r="AC151" i="12"/>
  <c r="AC301" i="12"/>
  <c r="AC315" i="12"/>
  <c r="AC239" i="12"/>
  <c r="AC243" i="12"/>
  <c r="AC298" i="12"/>
  <c r="AC210" i="12"/>
  <c r="AC238" i="12"/>
  <c r="AC242" i="12"/>
  <c r="AC250" i="12"/>
  <c r="AC270" i="12"/>
  <c r="AC240" i="12"/>
  <c r="AC255" i="12"/>
  <c r="AC265" i="12"/>
  <c r="AC236" i="12"/>
  <c r="AC251" i="12"/>
  <c r="AC253" i="12"/>
  <c r="AC257" i="12"/>
  <c r="AC313" i="12"/>
  <c r="AC378" i="12"/>
  <c r="AC397" i="12"/>
  <c r="AC399" i="12"/>
  <c r="AC425" i="12"/>
  <c r="AC464" i="12"/>
  <c r="AC470" i="12"/>
  <c r="AC474" i="12"/>
  <c r="AC476" i="12"/>
  <c r="AC368" i="12"/>
  <c r="AC376" i="12"/>
  <c r="AC428" i="12"/>
  <c r="AC309" i="12"/>
  <c r="AC492" i="12"/>
  <c r="AC400" i="12"/>
  <c r="AC416" i="12"/>
  <c r="AC477" i="12"/>
  <c r="AC483" i="12"/>
  <c r="AC485" i="12"/>
  <c r="AC491" i="12"/>
  <c r="AC373" i="12"/>
  <c r="AC396" i="12"/>
  <c r="AC482" i="12"/>
  <c r="AC398" i="12"/>
  <c r="AC362" i="12"/>
  <c r="AC360" i="12"/>
  <c r="AC324" i="12"/>
  <c r="AC314" i="12"/>
  <c r="AC316" i="12"/>
  <c r="AC371" i="12"/>
  <c r="AC350" i="12"/>
  <c r="AC170" i="12"/>
  <c r="AC84" i="12"/>
  <c r="AC187" i="12"/>
  <c r="AC183" i="12"/>
  <c r="AC87" i="12"/>
  <c r="AC319" i="12"/>
  <c r="AC11" i="12"/>
  <c r="AC349" i="12"/>
  <c r="AC343" i="12"/>
  <c r="AC337" i="12"/>
  <c r="AC225" i="12"/>
  <c r="AC179" i="12"/>
  <c r="AC148" i="12"/>
  <c r="AC79" i="12"/>
  <c r="AC182" i="12"/>
  <c r="AC48" i="12"/>
  <c r="AC38" i="12"/>
  <c r="AC220" i="12"/>
  <c r="AC184" i="12"/>
  <c r="AC43" i="12"/>
  <c r="AC39" i="12"/>
  <c r="AC317" i="12"/>
  <c r="AC365" i="12"/>
  <c r="AC230" i="12"/>
  <c r="AC181" i="12"/>
  <c r="AC139" i="12"/>
  <c r="AC304" i="12"/>
  <c r="AC188" i="12"/>
  <c r="AC53" i="12"/>
  <c r="AB496" i="12"/>
  <c r="AB497" i="12"/>
  <c r="AB498" i="12"/>
  <c r="AB499" i="12"/>
  <c r="AB500" i="12"/>
  <c r="AB501" i="12"/>
  <c r="AB502" i="12"/>
  <c r="AB503" i="12"/>
  <c r="AB504" i="12"/>
  <c r="AB505" i="12"/>
  <c r="AB506" i="12"/>
  <c r="AB507" i="12"/>
  <c r="AB508" i="12"/>
  <c r="AB509" i="12"/>
  <c r="AB510" i="12"/>
  <c r="AB511" i="12"/>
  <c r="AB512" i="12"/>
  <c r="AB513" i="12"/>
  <c r="AB514" i="12"/>
  <c r="AB515" i="12"/>
  <c r="AB516" i="12"/>
  <c r="AB517" i="12"/>
  <c r="AB518" i="12"/>
  <c r="AB519" i="12"/>
  <c r="AB520" i="12"/>
  <c r="AB521" i="12"/>
  <c r="AB522" i="12"/>
  <c r="AB523" i="12"/>
  <c r="AB524" i="12"/>
  <c r="AB525" i="12"/>
  <c r="AB526" i="12"/>
  <c r="AB527" i="12"/>
  <c r="AB528" i="12"/>
  <c r="AB529" i="12"/>
  <c r="AC510" i="12"/>
  <c r="AC514" i="12"/>
  <c r="AC518" i="12"/>
  <c r="AC522" i="12"/>
  <c r="AC500" i="12"/>
  <c r="AC508" i="12"/>
  <c r="AC497" i="12"/>
  <c r="AC499" i="12"/>
  <c r="AC501" i="12"/>
  <c r="AC503" i="12"/>
  <c r="AC505" i="12"/>
  <c r="AC507" i="12"/>
  <c r="AC511" i="12"/>
  <c r="AC515" i="12"/>
  <c r="AC519" i="12"/>
  <c r="AC498" i="12"/>
  <c r="AC504" i="12"/>
  <c r="AC506" i="12"/>
  <c r="AC517" i="12"/>
  <c r="AC512" i="12"/>
  <c r="AC516" i="12"/>
  <c r="AC520" i="12"/>
  <c r="AC523" i="12"/>
  <c r="AC524" i="12"/>
  <c r="AC525" i="12"/>
  <c r="AC526" i="12"/>
  <c r="AC527" i="12"/>
  <c r="AC528" i="12"/>
  <c r="AC529" i="12"/>
  <c r="AC496" i="12"/>
  <c r="AC502" i="12"/>
  <c r="AC509" i="12"/>
  <c r="AC513" i="12"/>
  <c r="AC521" i="12"/>
  <c r="AB3" i="12"/>
  <c r="AB7" i="12"/>
  <c r="AB9" i="12"/>
  <c r="AB12" i="12"/>
  <c r="AB24" i="12"/>
  <c r="AB29" i="12"/>
  <c r="AB33" i="12"/>
  <c r="AB34" i="12"/>
  <c r="AB36" i="12"/>
  <c r="AB37" i="12"/>
  <c r="AB13" i="12"/>
  <c r="AB26" i="12"/>
  <c r="AB22" i="12"/>
  <c r="AB28" i="12"/>
  <c r="AB54" i="12"/>
  <c r="AB57" i="12"/>
  <c r="AB58" i="12"/>
  <c r="AB65" i="12"/>
  <c r="AB66" i="12"/>
  <c r="AB68" i="12"/>
  <c r="AB40" i="12"/>
  <c r="AB56" i="12"/>
  <c r="AB80" i="12"/>
  <c r="AB76" i="12"/>
  <c r="AB91" i="12"/>
  <c r="AB93" i="12"/>
  <c r="AB94" i="12"/>
  <c r="AB96" i="12"/>
  <c r="AB99" i="12"/>
  <c r="AB101" i="12"/>
  <c r="AB103" i="12"/>
  <c r="AB105" i="12"/>
  <c r="AB106" i="12"/>
  <c r="AB109" i="12"/>
  <c r="AB111" i="12"/>
  <c r="AB113" i="12"/>
  <c r="AB115" i="12"/>
  <c r="AB116" i="12"/>
  <c r="AB118" i="12"/>
  <c r="AB119" i="12"/>
  <c r="AB120" i="12"/>
  <c r="AB125" i="12"/>
  <c r="AB127" i="12"/>
  <c r="AB128" i="12"/>
  <c r="AB129" i="12"/>
  <c r="AB132" i="12"/>
  <c r="AB133" i="12"/>
  <c r="AB137" i="12"/>
  <c r="AB145" i="12"/>
  <c r="AB149" i="12"/>
  <c r="AB180" i="12"/>
  <c r="AB17" i="12"/>
  <c r="AB146" i="12"/>
  <c r="AB164" i="12"/>
  <c r="AB193" i="12"/>
  <c r="AB194" i="12"/>
  <c r="AB196" i="12"/>
  <c r="AB140" i="12"/>
  <c r="AB147" i="12"/>
  <c r="AB158" i="12"/>
  <c r="AB165" i="12"/>
  <c r="AB176" i="12"/>
  <c r="AB200" i="12"/>
  <c r="AB204" i="12"/>
  <c r="AB206" i="12"/>
  <c r="AB207" i="12"/>
  <c r="AB208" i="12"/>
  <c r="AB214" i="12"/>
  <c r="AB155" i="12"/>
  <c r="AB159" i="12"/>
  <c r="AB221" i="12"/>
  <c r="AB227" i="12"/>
  <c r="AB231" i="12"/>
  <c r="AB223" i="12"/>
  <c r="AB228" i="12"/>
  <c r="AB233" i="12"/>
  <c r="AB235" i="12"/>
  <c r="AB237" i="12"/>
  <c r="AB241" i="12"/>
  <c r="AB247" i="12"/>
  <c r="AB248" i="12"/>
  <c r="AB249" i="12"/>
  <c r="AB254" i="12"/>
  <c r="AB256" i="12"/>
  <c r="AB259" i="12"/>
  <c r="AB262" i="12"/>
  <c r="AB263" i="12"/>
  <c r="AB264" i="12"/>
  <c r="AB266" i="12"/>
  <c r="AB268" i="12"/>
  <c r="AB271" i="12"/>
  <c r="AB272" i="12"/>
  <c r="AB273" i="12"/>
  <c r="AB275" i="12"/>
  <c r="AB276" i="12"/>
  <c r="AB278" i="12"/>
  <c r="AB280" i="12"/>
  <c r="AB283" i="12"/>
  <c r="AB284" i="12"/>
  <c r="AB286" i="12"/>
  <c r="AB287" i="12"/>
  <c r="AB288" i="12"/>
  <c r="AB291" i="12"/>
  <c r="AB292" i="12"/>
  <c r="AB296" i="12"/>
  <c r="AB297" i="12"/>
  <c r="AB229" i="12"/>
  <c r="AB305" i="12"/>
  <c r="AB306" i="12"/>
  <c r="AB320" i="12"/>
  <c r="AB328" i="12"/>
  <c r="AB330" i="12"/>
  <c r="AB332" i="12"/>
  <c r="AB334" i="12"/>
  <c r="AB347" i="12"/>
  <c r="AB351" i="12"/>
  <c r="AB358" i="12"/>
  <c r="AB366" i="12"/>
  <c r="AB372" i="12"/>
  <c r="AB342" i="12"/>
  <c r="AB348" i="12"/>
  <c r="AB354" i="12"/>
  <c r="AB377" i="12"/>
  <c r="AB382" i="12"/>
  <c r="AB384" i="12"/>
  <c r="AB386" i="12"/>
  <c r="AB388" i="12"/>
  <c r="AB389" i="12"/>
  <c r="AB391" i="12"/>
  <c r="AB393" i="12"/>
  <c r="AB394" i="12"/>
  <c r="AB395" i="12"/>
  <c r="AB401" i="12"/>
  <c r="AB402" i="12"/>
  <c r="AB405" i="12"/>
  <c r="AB408" i="12"/>
  <c r="AB412" i="12"/>
  <c r="AB415" i="12"/>
  <c r="AB417" i="12"/>
  <c r="AB422" i="12"/>
  <c r="AB423" i="12"/>
  <c r="AB429" i="12"/>
  <c r="AB431" i="12"/>
  <c r="AB340" i="12"/>
  <c r="AB346" i="12"/>
  <c r="AB357" i="12"/>
  <c r="AB361" i="12"/>
  <c r="AB321" i="12"/>
  <c r="AB374" i="12"/>
  <c r="AB435" i="12"/>
  <c r="AB436" i="12"/>
  <c r="AB438" i="12"/>
  <c r="AB441" i="12"/>
  <c r="AB443" i="12"/>
  <c r="AB445" i="12"/>
  <c r="AB446" i="12"/>
  <c r="AB449" i="12"/>
  <c r="AB450" i="12"/>
  <c r="AB452" i="12"/>
  <c r="AB453" i="12"/>
  <c r="AB457" i="12"/>
  <c r="AB458" i="12"/>
  <c r="AB462" i="12"/>
  <c r="AB463" i="12"/>
  <c r="AB465" i="12"/>
  <c r="AB467" i="12"/>
  <c r="AB471" i="12"/>
  <c r="AB473" i="12"/>
  <c r="AB478" i="12"/>
  <c r="AB479" i="12"/>
  <c r="AB480" i="12"/>
  <c r="AB484" i="12"/>
  <c r="AB486" i="12"/>
  <c r="AB489" i="12"/>
  <c r="AB490" i="12"/>
  <c r="AB494" i="12"/>
  <c r="AB495" i="12"/>
  <c r="AB434" i="12"/>
  <c r="AB172" i="12"/>
  <c r="AB23" i="12"/>
  <c r="AB142" i="12"/>
  <c r="AB88" i="12"/>
  <c r="AB333" i="12"/>
  <c r="AB143" i="12"/>
  <c r="AB86" i="12"/>
  <c r="AB70" i="12"/>
  <c r="AJ199" i="12"/>
  <c r="AJ48" i="12"/>
  <c r="AJ53" i="12"/>
  <c r="AJ122" i="12"/>
  <c r="AJ75" i="12"/>
  <c r="AJ84" i="12"/>
  <c r="AJ151" i="12"/>
  <c r="AJ298" i="12"/>
  <c r="AJ313" i="12"/>
  <c r="AJ64" i="12"/>
  <c r="AJ314" i="12"/>
  <c r="AJ163" i="12"/>
  <c r="AJ220" i="12"/>
  <c r="AJ371" i="12"/>
  <c r="AJ483" i="12"/>
  <c r="AJ474" i="12"/>
  <c r="AJ425" i="12"/>
  <c r="AJ398" i="12"/>
  <c r="AJ376" i="12"/>
  <c r="AJ238" i="12"/>
  <c r="AJ182" i="12"/>
  <c r="AD90" i="12"/>
  <c r="AD195" i="12"/>
  <c r="AD185" i="12"/>
  <c r="AD186" i="12"/>
  <c r="AD234" i="12"/>
  <c r="AD245" i="12"/>
  <c r="AD252" i="12"/>
  <c r="AD258" i="12"/>
  <c r="AD260" i="12"/>
  <c r="AD274" i="12"/>
  <c r="AD277" i="12"/>
  <c r="AD279" i="12"/>
  <c r="AD281" i="12"/>
  <c r="AD282" i="12"/>
  <c r="AD285" i="12"/>
  <c r="AD375" i="12"/>
  <c r="AD379" i="12"/>
  <c r="AD381" i="12"/>
  <c r="AD383" i="12"/>
  <c r="AD387" i="12"/>
  <c r="AD390" i="12"/>
  <c r="AD392" i="12"/>
  <c r="AD404" i="12"/>
  <c r="AD406" i="12"/>
  <c r="AD407" i="12"/>
  <c r="AD409" i="12"/>
  <c r="AD410" i="12"/>
  <c r="AD411" i="12"/>
  <c r="AD421" i="12"/>
  <c r="AD424" i="12"/>
  <c r="AD427" i="12"/>
  <c r="AD430" i="12"/>
  <c r="AD437" i="12"/>
  <c r="AD439" i="12"/>
  <c r="AD440" i="12"/>
  <c r="AD442" i="12"/>
  <c r="AD444" i="12"/>
  <c r="AD454" i="12"/>
  <c r="AD455" i="12"/>
  <c r="AD456" i="12"/>
  <c r="AD459" i="12"/>
  <c r="AD461" i="12"/>
  <c r="AD466" i="12"/>
  <c r="AD468" i="12"/>
  <c r="AD472" i="12"/>
  <c r="AD475" i="12"/>
  <c r="AD487" i="12"/>
  <c r="AD488" i="12"/>
  <c r="AD493" i="12"/>
  <c r="AD433" i="12"/>
  <c r="AD331" i="12"/>
  <c r="AD367" i="12"/>
  <c r="AD303" i="12"/>
  <c r="AD290" i="12"/>
  <c r="AD218" i="12"/>
  <c r="AD205" i="12"/>
  <c r="AD154" i="12"/>
  <c r="AD161" i="12"/>
  <c r="AD135" i="12"/>
  <c r="AD117" i="12"/>
  <c r="AD100" i="12"/>
  <c r="AD42" i="12"/>
  <c r="AD81" i="12"/>
  <c r="AD71" i="12"/>
  <c r="AD50" i="12"/>
  <c r="AD27" i="12"/>
  <c r="AD15" i="12"/>
  <c r="AD25" i="12"/>
  <c r="AD326" i="12"/>
  <c r="AD212" i="12"/>
  <c r="AD178" i="12"/>
  <c r="AD136" i="12"/>
  <c r="AD344" i="12"/>
  <c r="AD335" i="12"/>
  <c r="AD353" i="12"/>
  <c r="AD318" i="12"/>
  <c r="AD325" i="12"/>
  <c r="AD312" i="12"/>
  <c r="AD308" i="12"/>
  <c r="AD300" i="12"/>
  <c r="AD289" i="12"/>
  <c r="AD153" i="12"/>
  <c r="AD216" i="12"/>
  <c r="AD203" i="12"/>
  <c r="AD177" i="12"/>
  <c r="AD152" i="12"/>
  <c r="AD169" i="12"/>
  <c r="AD131" i="12"/>
  <c r="AD114" i="12"/>
  <c r="AD97" i="12"/>
  <c r="AD74" i="12"/>
  <c r="AD78" i="12"/>
  <c r="AD69" i="12"/>
  <c r="AD55" i="12"/>
  <c r="AD35" i="12"/>
  <c r="AD32" i="12"/>
  <c r="AD20" i="12"/>
  <c r="AD345" i="12"/>
  <c r="AD329" i="12"/>
  <c r="AD352" i="12"/>
  <c r="AD307" i="12"/>
  <c r="AD141" i="12"/>
  <c r="AD123" i="12"/>
  <c r="AD21" i="12"/>
  <c r="AD5" i="12"/>
  <c r="AD355" i="12"/>
  <c r="AD311" i="12"/>
  <c r="AD327" i="12"/>
  <c r="AD323" i="12"/>
  <c r="AD310" i="12"/>
  <c r="AD294" i="12"/>
  <c r="AD219" i="12"/>
  <c r="AD232" i="12"/>
  <c r="AD222" i="12"/>
  <c r="AD215" i="12"/>
  <c r="AD202" i="12"/>
  <c r="AD166" i="12"/>
  <c r="AD173" i="12"/>
  <c r="AD162" i="12"/>
  <c r="AD160" i="12"/>
  <c r="AD124" i="12"/>
  <c r="AD112" i="12"/>
  <c r="AD92" i="12"/>
  <c r="AD62" i="12"/>
  <c r="AD49" i="12"/>
  <c r="AD14" i="12"/>
  <c r="AD10" i="12"/>
  <c r="AD369" i="12"/>
  <c r="AD432" i="12"/>
  <c r="AD224" i="12"/>
  <c r="AD293" i="12"/>
  <c r="AD144" i="12"/>
  <c r="AD102" i="12"/>
  <c r="AD73" i="12"/>
  <c r="AD60" i="12"/>
  <c r="AJ44" i="12"/>
  <c r="AJ324" i="12"/>
  <c r="AJ11" i="12"/>
  <c r="AJ98" i="12"/>
  <c r="AJ368" i="12"/>
  <c r="AJ213" i="12"/>
  <c r="AJ87" i="12"/>
  <c r="AJ171" i="12"/>
  <c r="AJ337" i="12"/>
  <c r="AJ317" i="12"/>
  <c r="AJ309" i="12"/>
  <c r="AJ343" i="12"/>
  <c r="AJ174" i="12"/>
  <c r="AJ210" i="12"/>
  <c r="AJ416" i="12"/>
  <c r="AJ397" i="12"/>
  <c r="AJ270" i="12"/>
  <c r="AJ253" i="12"/>
  <c r="AJ242" i="12"/>
  <c r="AJ236" i="12"/>
  <c r="AB8" i="12"/>
  <c r="AB38" i="12"/>
  <c r="AB16" i="12"/>
  <c r="AB39" i="12"/>
  <c r="AB44" i="12"/>
  <c r="AB48" i="12"/>
  <c r="AB64" i="12"/>
  <c r="AB46" i="12"/>
  <c r="AB79" i="12"/>
  <c r="AB84" i="12"/>
  <c r="AB75" i="12"/>
  <c r="AB87" i="12"/>
  <c r="AB95" i="12"/>
  <c r="AB98" i="12"/>
  <c r="AB107" i="12"/>
  <c r="AB122" i="12"/>
  <c r="AB126" i="12"/>
  <c r="AB130" i="12"/>
  <c r="AB138" i="12"/>
  <c r="AB163" i="12"/>
  <c r="AB174" i="12"/>
  <c r="AB139" i="12"/>
  <c r="AB170" i="12"/>
  <c r="AB181" i="12"/>
  <c r="AB182" i="12"/>
  <c r="AB183" i="12"/>
  <c r="AB184" i="12"/>
  <c r="AB187" i="12"/>
  <c r="AB188" i="12"/>
  <c r="AB190" i="12"/>
  <c r="AB191" i="12"/>
  <c r="AB192" i="12"/>
  <c r="AB197" i="12"/>
  <c r="AB151" i="12"/>
  <c r="AB171" i="12"/>
  <c r="AB179" i="12"/>
  <c r="AB198" i="12"/>
  <c r="AB199" i="12"/>
  <c r="AB201" i="12"/>
  <c r="AB209" i="12"/>
  <c r="AB210" i="12"/>
  <c r="AB213" i="12"/>
  <c r="AB236" i="12"/>
  <c r="AB238" i="12"/>
  <c r="AB239" i="12"/>
  <c r="AB240" i="12"/>
  <c r="AB242" i="12"/>
  <c r="AB243" i="12"/>
  <c r="AB250" i="12"/>
  <c r="AB251" i="12"/>
  <c r="AB253" i="12"/>
  <c r="AB255" i="12"/>
  <c r="AB257" i="12"/>
  <c r="AB265" i="12"/>
  <c r="AB270" i="12"/>
  <c r="AB298" i="12"/>
  <c r="AB220" i="12"/>
  <c r="AB230" i="12"/>
  <c r="AB309" i="12"/>
  <c r="AB225" i="12"/>
  <c r="AB301" i="12"/>
  <c r="AB315" i="12"/>
  <c r="AB337" i="12"/>
  <c r="AB362" i="12"/>
  <c r="AB316" i="12"/>
  <c r="AB368" i="12"/>
  <c r="AB373" i="12"/>
  <c r="AB376" i="12"/>
  <c r="AB378" i="12"/>
  <c r="AB396" i="12"/>
  <c r="AB397" i="12"/>
  <c r="AB398" i="12"/>
  <c r="AB399" i="12"/>
  <c r="AB400" i="12"/>
  <c r="AB416" i="12"/>
  <c r="AB425" i="12"/>
  <c r="AB428" i="12"/>
  <c r="AB314" i="12"/>
  <c r="AB317" i="12"/>
  <c r="AB350" i="12"/>
  <c r="AB365" i="12"/>
  <c r="AB371" i="12"/>
  <c r="AB313" i="12"/>
  <c r="AB464" i="12"/>
  <c r="AB470" i="12"/>
  <c r="AB474" i="12"/>
  <c r="AB476" i="12"/>
  <c r="AB477" i="12"/>
  <c r="AB482" i="12"/>
  <c r="AB483" i="12"/>
  <c r="AB485" i="12"/>
  <c r="AB491" i="12"/>
  <c r="AB492" i="12"/>
  <c r="AB360" i="12"/>
  <c r="AB324" i="12"/>
  <c r="AB304" i="12"/>
  <c r="AB319" i="12"/>
  <c r="AB53" i="12"/>
  <c r="AB11" i="12"/>
  <c r="AB349" i="12"/>
  <c r="AB343" i="12"/>
  <c r="AB148" i="12"/>
  <c r="AB43" i="12"/>
  <c r="AB5" i="12"/>
  <c r="AB10" i="12"/>
  <c r="AB25" i="12"/>
  <c r="AB32" i="12"/>
  <c r="AB35" i="12"/>
  <c r="AB49" i="12"/>
  <c r="AB50" i="12"/>
  <c r="AB55" i="12"/>
  <c r="AB60" i="12"/>
  <c r="AB62" i="12"/>
  <c r="AB73" i="12"/>
  <c r="AB74" i="12"/>
  <c r="AB69" i="12"/>
  <c r="AB78" i="12"/>
  <c r="AB90" i="12"/>
  <c r="AB92" i="12"/>
  <c r="AB97" i="12"/>
  <c r="AB100" i="12"/>
  <c r="AB102" i="12"/>
  <c r="AB112" i="12"/>
  <c r="AB114" i="12"/>
  <c r="AB117" i="12"/>
  <c r="AB123" i="12"/>
  <c r="AB124" i="12"/>
  <c r="AB131" i="12"/>
  <c r="AB135" i="12"/>
  <c r="AB136" i="12"/>
  <c r="AB71" i="12"/>
  <c r="AB185" i="12"/>
  <c r="AB186" i="12"/>
  <c r="AB195" i="12"/>
  <c r="AB162" i="12"/>
  <c r="AB160" i="12"/>
  <c r="AB202" i="12"/>
  <c r="AB203" i="12"/>
  <c r="AB205" i="12"/>
  <c r="AB212" i="12"/>
  <c r="AB215" i="12"/>
  <c r="AB216" i="12"/>
  <c r="AB144" i="12"/>
  <c r="AB161" i="12"/>
  <c r="AB222" i="12"/>
  <c r="AB232" i="12"/>
  <c r="AB234" i="12"/>
  <c r="AB245" i="12"/>
  <c r="AB252" i="12"/>
  <c r="AB258" i="12"/>
  <c r="AB260" i="12"/>
  <c r="AB274" i="12"/>
  <c r="AB277" i="12"/>
  <c r="AB279" i="12"/>
  <c r="AB281" i="12"/>
  <c r="AB282" i="12"/>
  <c r="AB285" i="12"/>
  <c r="AB289" i="12"/>
  <c r="AB290" i="12"/>
  <c r="AB293" i="12"/>
  <c r="AB294" i="12"/>
  <c r="AB300" i="12"/>
  <c r="AB173" i="12"/>
  <c r="AB218" i="12"/>
  <c r="AB318" i="12"/>
  <c r="AB323" i="12"/>
  <c r="AB352" i="12"/>
  <c r="AB353" i="12"/>
  <c r="AB367" i="12"/>
  <c r="AB375" i="12"/>
  <c r="AB379" i="12"/>
  <c r="AB381" i="12"/>
  <c r="AB383" i="12"/>
  <c r="AB387" i="12"/>
  <c r="AB390" i="12"/>
  <c r="AB392" i="12"/>
  <c r="AB404" i="12"/>
  <c r="AB406" i="12"/>
  <c r="AB407" i="12"/>
  <c r="AB409" i="12"/>
  <c r="AB410" i="12"/>
  <c r="AB411" i="12"/>
  <c r="AB421" i="12"/>
  <c r="AB424" i="12"/>
  <c r="AB427" i="12"/>
  <c r="AB430" i="12"/>
  <c r="AB432" i="12"/>
  <c r="AB325" i="12"/>
  <c r="AB335" i="12"/>
  <c r="AB437" i="12"/>
  <c r="AB439" i="12"/>
  <c r="AB440" i="12"/>
  <c r="AB442" i="12"/>
  <c r="AB444" i="12"/>
  <c r="AB454" i="12"/>
  <c r="AB455" i="12"/>
  <c r="AB456" i="12"/>
  <c r="AB459" i="12"/>
  <c r="AB461" i="12"/>
  <c r="AB466" i="12"/>
  <c r="AB468" i="12"/>
  <c r="AB472" i="12"/>
  <c r="AB475" i="12"/>
  <c r="AB487" i="12"/>
  <c r="AB488" i="12"/>
  <c r="AB493" i="12"/>
  <c r="AB219" i="12"/>
  <c r="AB329" i="12"/>
  <c r="AB345" i="12"/>
  <c r="AB327" i="12"/>
  <c r="AB344" i="12"/>
  <c r="AB355" i="12"/>
  <c r="AB307" i="12"/>
  <c r="AB166" i="12"/>
  <c r="AB169" i="12"/>
  <c r="AB141" i="12"/>
  <c r="AB20" i="12"/>
  <c r="AB15" i="12"/>
  <c r="AB152" i="12"/>
  <c r="AB21" i="12"/>
  <c r="AB369" i="12"/>
  <c r="AB308" i="12"/>
  <c r="AB303" i="12"/>
  <c r="AB224" i="12"/>
  <c r="AB178" i="12"/>
  <c r="AB27" i="12"/>
  <c r="AB14" i="12"/>
  <c r="AB311" i="12"/>
  <c r="AB310" i="12"/>
  <c r="AB433" i="12"/>
  <c r="AB326" i="12"/>
  <c r="AB312" i="12"/>
  <c r="AB154" i="12"/>
  <c r="AB42" i="12"/>
  <c r="AB331" i="12"/>
  <c r="AB153" i="12"/>
  <c r="AB177" i="12"/>
  <c r="AB81" i="12"/>
  <c r="AD194" i="12"/>
  <c r="AD193" i="12"/>
  <c r="AD196" i="12"/>
  <c r="AD233" i="12"/>
  <c r="AD235" i="12"/>
  <c r="AD237" i="12"/>
  <c r="AD241" i="12"/>
  <c r="AD247" i="12"/>
  <c r="AD248" i="12"/>
  <c r="AD249" i="12"/>
  <c r="AD254" i="12"/>
  <c r="AD256" i="12"/>
  <c r="AD259" i="12"/>
  <c r="AD262" i="12"/>
  <c r="AD263" i="12"/>
  <c r="AD264" i="12"/>
  <c r="AD266" i="12"/>
  <c r="AD268" i="12"/>
  <c r="AD271" i="12"/>
  <c r="AD272" i="12"/>
  <c r="AD273" i="12"/>
  <c r="AD275" i="12"/>
  <c r="AD276" i="12"/>
  <c r="AD278" i="12"/>
  <c r="AD280" i="12"/>
  <c r="AD283" i="12"/>
  <c r="AD284" i="12"/>
  <c r="AD377" i="12"/>
  <c r="AD382" i="12"/>
  <c r="AD384" i="12"/>
  <c r="AD386" i="12"/>
  <c r="AD388" i="12"/>
  <c r="AD389" i="12"/>
  <c r="AD391" i="12"/>
  <c r="AD393" i="12"/>
  <c r="AD394" i="12"/>
  <c r="AD395" i="12"/>
  <c r="AD401" i="12"/>
  <c r="AD402" i="12"/>
  <c r="AD405" i="12"/>
  <c r="AD408" i="12"/>
  <c r="AD412" i="12"/>
  <c r="AD415" i="12"/>
  <c r="AD417" i="12"/>
  <c r="AD422" i="12"/>
  <c r="AD423" i="12"/>
  <c r="AD429" i="12"/>
  <c r="AD435" i="12"/>
  <c r="AD436" i="12"/>
  <c r="AD438" i="12"/>
  <c r="AD441" i="12"/>
  <c r="AD443" i="12"/>
  <c r="AD445" i="12"/>
  <c r="AD446" i="12"/>
  <c r="AD449" i="12"/>
  <c r="AD450" i="12"/>
  <c r="AD452" i="12"/>
  <c r="AD453" i="12"/>
  <c r="AD457" i="12"/>
  <c r="AD458" i="12"/>
  <c r="AD462" i="12"/>
  <c r="AD463" i="12"/>
  <c r="AD465" i="12"/>
  <c r="AD467" i="12"/>
  <c r="AD471" i="12"/>
  <c r="AD473" i="12"/>
  <c r="AD478" i="12"/>
  <c r="AD479" i="12"/>
  <c r="AD480" i="12"/>
  <c r="AD484" i="12"/>
  <c r="AD486" i="12"/>
  <c r="AD489" i="12"/>
  <c r="AD490" i="12"/>
  <c r="AD494" i="12"/>
  <c r="AD495" i="12"/>
  <c r="AD431" i="12"/>
  <c r="AD348" i="12"/>
  <c r="AD334" i="12"/>
  <c r="AD330" i="12"/>
  <c r="AD305" i="12"/>
  <c r="AD288" i="12"/>
  <c r="AD292" i="12"/>
  <c r="AD204" i="12"/>
  <c r="AD223" i="12"/>
  <c r="AD172" i="12"/>
  <c r="AD140" i="12"/>
  <c r="AD137" i="12"/>
  <c r="AD115" i="12"/>
  <c r="AD133" i="12"/>
  <c r="AD127" i="12"/>
  <c r="AD118" i="12"/>
  <c r="AD99" i="12"/>
  <c r="AD119" i="12"/>
  <c r="AD109" i="12"/>
  <c r="AD91" i="12"/>
  <c r="AD23" i="12"/>
  <c r="AD80" i="12"/>
  <c r="AD40" i="12"/>
  <c r="AD36" i="12"/>
  <c r="AD33" i="12"/>
  <c r="AD3" i="12"/>
  <c r="AH199" i="12" s="1"/>
  <c r="AD357" i="12"/>
  <c r="AD342" i="12"/>
  <c r="AD142" i="12"/>
  <c r="AD143" i="12"/>
  <c r="AD159" i="12"/>
  <c r="AD176" i="12"/>
  <c r="AD129" i="12"/>
  <c r="AD103" i="12"/>
  <c r="AD93" i="12"/>
  <c r="AD37" i="12"/>
  <c r="AD7" i="12"/>
  <c r="AD333" i="12"/>
  <c r="AD434" i="12"/>
  <c r="AD374" i="12"/>
  <c r="AD346" i="12"/>
  <c r="AD366" i="12"/>
  <c r="AD358" i="12"/>
  <c r="AD347" i="12"/>
  <c r="AD306" i="12"/>
  <c r="AD286" i="12"/>
  <c r="AD287" i="12"/>
  <c r="AD214" i="12"/>
  <c r="AD231" i="12"/>
  <c r="AD96" i="12"/>
  <c r="AD146" i="12"/>
  <c r="AD145" i="12"/>
  <c r="AD125" i="12"/>
  <c r="AD113" i="12"/>
  <c r="AD128" i="12"/>
  <c r="AD105" i="12"/>
  <c r="AD132" i="12"/>
  <c r="AD106" i="12"/>
  <c r="AD65" i="12"/>
  <c r="AD70" i="12"/>
  <c r="AD76" i="12"/>
  <c r="AD68" i="12"/>
  <c r="AD57" i="12"/>
  <c r="AD54" i="12"/>
  <c r="AD29" i="12"/>
  <c r="AD22" i="12"/>
  <c r="AD12" i="12"/>
  <c r="AD351" i="12"/>
  <c r="AD291" i="12"/>
  <c r="AD228" i="12"/>
  <c r="AD227" i="12"/>
  <c r="AD155" i="12"/>
  <c r="AD158" i="12"/>
  <c r="AD88" i="12"/>
  <c r="AD111" i="12"/>
  <c r="AD56" i="12"/>
  <c r="AD34" i="12"/>
  <c r="AD24" i="12"/>
  <c r="AD321" i="12"/>
  <c r="AD208" i="12"/>
  <c r="AD361" i="12"/>
  <c r="AD340" i="12"/>
  <c r="AD332" i="12"/>
  <c r="AD328" i="12"/>
  <c r="AD320" i="12"/>
  <c r="AD296" i="12"/>
  <c r="AD206" i="12"/>
  <c r="AD297" i="12"/>
  <c r="AD229" i="12"/>
  <c r="AD200" i="12"/>
  <c r="AD221" i="12"/>
  <c r="AD207" i="12"/>
  <c r="AD58" i="12"/>
  <c r="AD165" i="12"/>
  <c r="AD164" i="12"/>
  <c r="AD180" i="12"/>
  <c r="AD149" i="12"/>
  <c r="AD101" i="12"/>
  <c r="AD116" i="12"/>
  <c r="AD86" i="12"/>
  <c r="AD66" i="12"/>
  <c r="AD17" i="12"/>
  <c r="AD28" i="12"/>
  <c r="AD26" i="12"/>
  <c r="AD13" i="12"/>
  <c r="AD9" i="12"/>
  <c r="AD354" i="12"/>
  <c r="AD372" i="12"/>
  <c r="AD147" i="12"/>
  <c r="AD120" i="12"/>
  <c r="AD94" i="12"/>
  <c r="AB4" i="12"/>
  <c r="AB6" i="12"/>
  <c r="AB18" i="12"/>
  <c r="AB30" i="12"/>
  <c r="AB31" i="12"/>
  <c r="AB19" i="12"/>
  <c r="AB59" i="12"/>
  <c r="AB61" i="12"/>
  <c r="AB63" i="12"/>
  <c r="AB67" i="12"/>
  <c r="AB45" i="12"/>
  <c r="AB51" i="12"/>
  <c r="AB41" i="12"/>
  <c r="AB52" i="12"/>
  <c r="AB72" i="12"/>
  <c r="AB85" i="12"/>
  <c r="AB89" i="12"/>
  <c r="AB104" i="12"/>
  <c r="AB108" i="12"/>
  <c r="AB110" i="12"/>
  <c r="AB121" i="12"/>
  <c r="AB134" i="12"/>
  <c r="AB82" i="12"/>
  <c r="AB156" i="12"/>
  <c r="AB168" i="12"/>
  <c r="AB150" i="12"/>
  <c r="AB157" i="12"/>
  <c r="AB175" i="12"/>
  <c r="AB189" i="12"/>
  <c r="AB211" i="12"/>
  <c r="AB217" i="12"/>
  <c r="AB167" i="12"/>
  <c r="AB244" i="12"/>
  <c r="AB246" i="12"/>
  <c r="AB261" i="12"/>
  <c r="AB267" i="12"/>
  <c r="AB269" i="12"/>
  <c r="AB295" i="12"/>
  <c r="AB299" i="12"/>
  <c r="AB226" i="12"/>
  <c r="AB302" i="12"/>
  <c r="AB341" i="12"/>
  <c r="AB338" i="12"/>
  <c r="AB359" i="12"/>
  <c r="AB363" i="12"/>
  <c r="AB380" i="12"/>
  <c r="AB385" i="12"/>
  <c r="AB403" i="12"/>
  <c r="AB413" i="12"/>
  <c r="AB414" i="12"/>
  <c r="AB418" i="12"/>
  <c r="AB419" i="12"/>
  <c r="AB420" i="12"/>
  <c r="AB426" i="12"/>
  <c r="AB322" i="12"/>
  <c r="AB336" i="12"/>
  <c r="AB370" i="12"/>
  <c r="AB447" i="12"/>
  <c r="AB448" i="12"/>
  <c r="AB451" i="12"/>
  <c r="AB460" i="12"/>
  <c r="AB469" i="12"/>
  <c r="AB481" i="12"/>
  <c r="AB356" i="12"/>
  <c r="AB83" i="12"/>
  <c r="AB77" i="12"/>
  <c r="AB339" i="12"/>
  <c r="AB364" i="12"/>
  <c r="AB47" i="12"/>
  <c r="AJ79" i="12"/>
  <c r="AJ16" i="12"/>
  <c r="AJ46" i="12"/>
  <c r="AJ126" i="12"/>
  <c r="AJ198" i="12"/>
  <c r="AJ319" i="12"/>
  <c r="AJ95" i="12"/>
  <c r="AJ209" i="12"/>
  <c r="AJ373" i="12"/>
  <c r="AJ365" i="12"/>
  <c r="AJ362" i="12"/>
  <c r="AJ39" i="12"/>
  <c r="AJ148" i="12"/>
  <c r="AJ315" i="12"/>
  <c r="AJ491" i="12"/>
  <c r="AJ477" i="12"/>
  <c r="AJ396" i="12"/>
  <c r="AJ265" i="12"/>
  <c r="AJ251" i="12"/>
  <c r="AJ240" i="12"/>
  <c r="AJ187" i="12"/>
  <c r="AJ192" i="12"/>
  <c r="AD530" i="12"/>
  <c r="AD531" i="12"/>
  <c r="AD534" i="12"/>
  <c r="AD537" i="12"/>
  <c r="AD538" i="12"/>
  <c r="AD542" i="12"/>
  <c r="AD549" i="12"/>
  <c r="AD550" i="12"/>
  <c r="AD554" i="12"/>
  <c r="AD555" i="12"/>
  <c r="AD539" i="12"/>
  <c r="AD540" i="12"/>
  <c r="AD541" i="12"/>
  <c r="AD543" i="12"/>
  <c r="AD544" i="12"/>
  <c r="AD545" i="12"/>
  <c r="AD546" i="12"/>
  <c r="AD547" i="12"/>
  <c r="AD548" i="12"/>
  <c r="AD551" i="12"/>
  <c r="AD553" i="12"/>
  <c r="AD556" i="12"/>
  <c r="AD557" i="12"/>
  <c r="AD558" i="12"/>
  <c r="AD559" i="12"/>
  <c r="AD560" i="12"/>
  <c r="AD561" i="12"/>
  <c r="AD532" i="12"/>
  <c r="AD533" i="12"/>
  <c r="AD535" i="12"/>
  <c r="AD536" i="12"/>
  <c r="AD552" i="12"/>
  <c r="AD496" i="12"/>
  <c r="AD497" i="12"/>
  <c r="AD498" i="12"/>
  <c r="AD499" i="12"/>
  <c r="AD500" i="12"/>
  <c r="AD501" i="12"/>
  <c r="AD502" i="12"/>
  <c r="AD503" i="12"/>
  <c r="AD504" i="12"/>
  <c r="AD505" i="12"/>
  <c r="AD506" i="12"/>
  <c r="AD507" i="12"/>
  <c r="AD508" i="12"/>
  <c r="AD509" i="12"/>
  <c r="AD513" i="12"/>
  <c r="AD517" i="12"/>
  <c r="AD521" i="12"/>
  <c r="AD523" i="12"/>
  <c r="AD526" i="12"/>
  <c r="AD510" i="12"/>
  <c r="AD514" i="12"/>
  <c r="AD518" i="12"/>
  <c r="AD522" i="12"/>
  <c r="AD516" i="12"/>
  <c r="AD527" i="12"/>
  <c r="AD528" i="12"/>
  <c r="AD529" i="12"/>
  <c r="AD511" i="12"/>
  <c r="AD515" i="12"/>
  <c r="AD519" i="12"/>
  <c r="AD512" i="12"/>
  <c r="AD520" i="12"/>
  <c r="AD524" i="12"/>
  <c r="AD525" i="12"/>
  <c r="AD189" i="12"/>
  <c r="AD244" i="12"/>
  <c r="AD246" i="12"/>
  <c r="AD261" i="12"/>
  <c r="AD267" i="12"/>
  <c r="AD269" i="12"/>
  <c r="AD380" i="12"/>
  <c r="AD385" i="12"/>
  <c r="AD403" i="12"/>
  <c r="AD413" i="12"/>
  <c r="AD414" i="12"/>
  <c r="AD418" i="12"/>
  <c r="AD419" i="12"/>
  <c r="AD420" i="12"/>
  <c r="AD426" i="12"/>
  <c r="AD447" i="12"/>
  <c r="AD448" i="12"/>
  <c r="AD451" i="12"/>
  <c r="AD460" i="12"/>
  <c r="AD469" i="12"/>
  <c r="AD481" i="12"/>
  <c r="AD302" i="12"/>
  <c r="AD217" i="12"/>
  <c r="AD211" i="12"/>
  <c r="AD150" i="12"/>
  <c r="AD156" i="12"/>
  <c r="AD83" i="12"/>
  <c r="AD134" i="12"/>
  <c r="AD89" i="12"/>
  <c r="AD52" i="12"/>
  <c r="AD41" i="12"/>
  <c r="AD30" i="12"/>
  <c r="AD6" i="12"/>
  <c r="AD18" i="12"/>
  <c r="AD4" i="12"/>
  <c r="AH95" i="12" s="1"/>
  <c r="AD336" i="12"/>
  <c r="AD226" i="12"/>
  <c r="AD157" i="12"/>
  <c r="AD45" i="12"/>
  <c r="AD363" i="12"/>
  <c r="AD338" i="12"/>
  <c r="AD299" i="12"/>
  <c r="AD104" i="12"/>
  <c r="AD168" i="12"/>
  <c r="AD110" i="12"/>
  <c r="AD82" i="12"/>
  <c r="AD77" i="12"/>
  <c r="AD67" i="12"/>
  <c r="AD85" i="12"/>
  <c r="AD19" i="12"/>
  <c r="AD339" i="12"/>
  <c r="AD356" i="12"/>
  <c r="AD322" i="12"/>
  <c r="AD121" i="12"/>
  <c r="AD364" i="12"/>
  <c r="AD370" i="12"/>
  <c r="AD359" i="12"/>
  <c r="AD167" i="12"/>
  <c r="AD175" i="12"/>
  <c r="AD108" i="12"/>
  <c r="AD63" i="12"/>
  <c r="AD61" i="12"/>
  <c r="AD47" i="12"/>
  <c r="AD59" i="12"/>
  <c r="AD72" i="12"/>
  <c r="AD51" i="12"/>
  <c r="AD341" i="12"/>
  <c r="AD295" i="12"/>
  <c r="AD31" i="12"/>
  <c r="AC7" i="12"/>
  <c r="AC9" i="12"/>
  <c r="AC12" i="12"/>
  <c r="AC13" i="12"/>
  <c r="AC26" i="12"/>
  <c r="AC22" i="12"/>
  <c r="AC28" i="12"/>
  <c r="AC57" i="12"/>
  <c r="AC58" i="12"/>
  <c r="AC66" i="12"/>
  <c r="AC68" i="12"/>
  <c r="AC80" i="12"/>
  <c r="AC65" i="12"/>
  <c r="AC76" i="12"/>
  <c r="AC93" i="12"/>
  <c r="AC94" i="12"/>
  <c r="AC96" i="12"/>
  <c r="AC99" i="12"/>
  <c r="AC101" i="12"/>
  <c r="AC103" i="12"/>
  <c r="AC105" i="12"/>
  <c r="AC106" i="12"/>
  <c r="AC109" i="12"/>
  <c r="AC111" i="12"/>
  <c r="AC116" i="12"/>
  <c r="AC132" i="12"/>
  <c r="AC119" i="12"/>
  <c r="AC128" i="12"/>
  <c r="AC113" i="12"/>
  <c r="AC118" i="12"/>
  <c r="AC120" i="12"/>
  <c r="AC125" i="12"/>
  <c r="AC127" i="12"/>
  <c r="AC129" i="12"/>
  <c r="AC133" i="12"/>
  <c r="AC115" i="12"/>
  <c r="AC145" i="12"/>
  <c r="AC149" i="12"/>
  <c r="AC180" i="12"/>
  <c r="AC86" i="12"/>
  <c r="AC176" i="12"/>
  <c r="AC147" i="12"/>
  <c r="AC196" i="12"/>
  <c r="AC165" i="12"/>
  <c r="AC194" i="12"/>
  <c r="AC207" i="12"/>
  <c r="AC140" i="12"/>
  <c r="AC193" i="12"/>
  <c r="AC214" i="12"/>
  <c r="AC158" i="12"/>
  <c r="AC204" i="12"/>
  <c r="AC208" i="12"/>
  <c r="AC233" i="12"/>
  <c r="AC237" i="12"/>
  <c r="AC241" i="12"/>
  <c r="AC287" i="12"/>
  <c r="AC292" i="12"/>
  <c r="AC297" i="12"/>
  <c r="AC306" i="12"/>
  <c r="AC223" i="12"/>
  <c r="AC235" i="12"/>
  <c r="AC247" i="12"/>
  <c r="AC286" i="12"/>
  <c r="AC288" i="12"/>
  <c r="AC291" i="12"/>
  <c r="AC296" i="12"/>
  <c r="AC200" i="12"/>
  <c r="AC248" i="12"/>
  <c r="AC254" i="12"/>
  <c r="AC256" i="12"/>
  <c r="AC262" i="12"/>
  <c r="AC264" i="12"/>
  <c r="AC266" i="12"/>
  <c r="AC268" i="12"/>
  <c r="AC272" i="12"/>
  <c r="AC276" i="12"/>
  <c r="AC278" i="12"/>
  <c r="AC280" i="12"/>
  <c r="AC284" i="12"/>
  <c r="AC206" i="12"/>
  <c r="AC263" i="12"/>
  <c r="AC275" i="12"/>
  <c r="AC271" i="12"/>
  <c r="AC273" i="12"/>
  <c r="AC283" i="12"/>
  <c r="AC228" i="12"/>
  <c r="AC342" i="12"/>
  <c r="AC348" i="12"/>
  <c r="AC354" i="12"/>
  <c r="AC382" i="12"/>
  <c r="AC386" i="12"/>
  <c r="AC431" i="12"/>
  <c r="AC249" i="12"/>
  <c r="AC377" i="12"/>
  <c r="AC389" i="12"/>
  <c r="AC391" i="12"/>
  <c r="AC393" i="12"/>
  <c r="AC395" i="12"/>
  <c r="AC401" i="12"/>
  <c r="AC405" i="12"/>
  <c r="AC415" i="12"/>
  <c r="AC417" i="12"/>
  <c r="AC423" i="12"/>
  <c r="AC429" i="12"/>
  <c r="AC449" i="12"/>
  <c r="AC450" i="12"/>
  <c r="AC452" i="12"/>
  <c r="AC453" i="12"/>
  <c r="AC457" i="12"/>
  <c r="AC458" i="12"/>
  <c r="AC462" i="12"/>
  <c r="AC463" i="12"/>
  <c r="AC465" i="12"/>
  <c r="AC467" i="12"/>
  <c r="AC471" i="12"/>
  <c r="AC473" i="12"/>
  <c r="AC384" i="12"/>
  <c r="AC394" i="12"/>
  <c r="AC402" i="12"/>
  <c r="AC484" i="12"/>
  <c r="AC486" i="12"/>
  <c r="AC494" i="12"/>
  <c r="AC388" i="12"/>
  <c r="AC412" i="12"/>
  <c r="AC479" i="12"/>
  <c r="AC489" i="12"/>
  <c r="AC495" i="12"/>
  <c r="AC408" i="12"/>
  <c r="AC422" i="12"/>
  <c r="AC259" i="12"/>
  <c r="AC478" i="12"/>
  <c r="AC480" i="12"/>
  <c r="AC490" i="12"/>
  <c r="AC436" i="12"/>
  <c r="AC445" i="12"/>
  <c r="AC443" i="12"/>
  <c r="AC374" i="12"/>
  <c r="AC361" i="12"/>
  <c r="AC340" i="12"/>
  <c r="AC142" i="12"/>
  <c r="AC143" i="12"/>
  <c r="AC159" i="12"/>
  <c r="AC155" i="12"/>
  <c r="AC88" i="12"/>
  <c r="AC54" i="12"/>
  <c r="AC29" i="12"/>
  <c r="AC33" i="12"/>
  <c r="AC438" i="12"/>
  <c r="AC435" i="12"/>
  <c r="AC332" i="12"/>
  <c r="AC320" i="12"/>
  <c r="AC446" i="12"/>
  <c r="AC366" i="12"/>
  <c r="AC441" i="12"/>
  <c r="AC372" i="12"/>
  <c r="AC351" i="12"/>
  <c r="AC334" i="12"/>
  <c r="AC330" i="12"/>
  <c r="AC229" i="12"/>
  <c r="AC172" i="12"/>
  <c r="AC164" i="12"/>
  <c r="AC23" i="12"/>
  <c r="AC24" i="12"/>
  <c r="AC3" i="12"/>
  <c r="AC321" i="12"/>
  <c r="AC146" i="12"/>
  <c r="AC137" i="12"/>
  <c r="AC56" i="12"/>
  <c r="AC17" i="12"/>
  <c r="AC36" i="12"/>
  <c r="AC333" i="12"/>
  <c r="AC347" i="12"/>
  <c r="AC434" i="12"/>
  <c r="AC358" i="12"/>
  <c r="AC231" i="12"/>
  <c r="AC305" i="12"/>
  <c r="AC357" i="12"/>
  <c r="AC346" i="12"/>
  <c r="AC221" i="12"/>
  <c r="AC227" i="12"/>
  <c r="AC91" i="12"/>
  <c r="AC34" i="12"/>
  <c r="AC70" i="12"/>
  <c r="AC37" i="12"/>
  <c r="AC328" i="12"/>
  <c r="AC40" i="12"/>
  <c r="AB530" i="12"/>
  <c r="AB531" i="12"/>
  <c r="AB532" i="12"/>
  <c r="AB533" i="12"/>
  <c r="AB534" i="12"/>
  <c r="AB535" i="12"/>
  <c r="AB536" i="12"/>
  <c r="AB537" i="12"/>
  <c r="AB538" i="12"/>
  <c r="AB539" i="12"/>
  <c r="AB540" i="12"/>
  <c r="AB541" i="12"/>
  <c r="AB542" i="12"/>
  <c r="AB543" i="12"/>
  <c r="AB544" i="12"/>
  <c r="AB545" i="12"/>
  <c r="AB546" i="12"/>
  <c r="AB547" i="12"/>
  <c r="AB548" i="12"/>
  <c r="AB549" i="12"/>
  <c r="AB550" i="12"/>
  <c r="AB551" i="12"/>
  <c r="AB552" i="12"/>
  <c r="AB553" i="12"/>
  <c r="AB554" i="12"/>
  <c r="AB555" i="12"/>
  <c r="AB556" i="12"/>
  <c r="AB557" i="12"/>
  <c r="AB558" i="12"/>
  <c r="AB559" i="12"/>
  <c r="AB560" i="12"/>
  <c r="AB561" i="12"/>
  <c r="AC4" i="12"/>
  <c r="AC6" i="12"/>
  <c r="AC19" i="12"/>
  <c r="AC59" i="12"/>
  <c r="AC61" i="12"/>
  <c r="AC41" i="12"/>
  <c r="AC52" i="12"/>
  <c r="AC63" i="12"/>
  <c r="AC104" i="12"/>
  <c r="AC82" i="12"/>
  <c r="AC134" i="12"/>
  <c r="AC121" i="12"/>
  <c r="AC67" i="12"/>
  <c r="AC156" i="12"/>
  <c r="AC168" i="12"/>
  <c r="AC85" i="12"/>
  <c r="AC110" i="12"/>
  <c r="AC108" i="12"/>
  <c r="AC211" i="12"/>
  <c r="AC217" i="12"/>
  <c r="AC295" i="12"/>
  <c r="AC299" i="12"/>
  <c r="AC246" i="12"/>
  <c r="AC244" i="12"/>
  <c r="AC261" i="12"/>
  <c r="AC267" i="12"/>
  <c r="AC363" i="12"/>
  <c r="AC269" i="12"/>
  <c r="AC385" i="12"/>
  <c r="AC403" i="12"/>
  <c r="AC413" i="12"/>
  <c r="AC419" i="12"/>
  <c r="AC451" i="12"/>
  <c r="AC460" i="12"/>
  <c r="AC469" i="12"/>
  <c r="AC302" i="12"/>
  <c r="AC380" i="12"/>
  <c r="AC418" i="12"/>
  <c r="AC414" i="12"/>
  <c r="AC426" i="12"/>
  <c r="AC481" i="12"/>
  <c r="AC420" i="12"/>
  <c r="AC359" i="12"/>
  <c r="AC338" i="12"/>
  <c r="AC448" i="12"/>
  <c r="AC341" i="12"/>
  <c r="AC226" i="12"/>
  <c r="AC167" i="12"/>
  <c r="AC175" i="12"/>
  <c r="AC157" i="12"/>
  <c r="AC89" i="12"/>
  <c r="AC47" i="12"/>
  <c r="AC72" i="12"/>
  <c r="AC77" i="12"/>
  <c r="AC45" i="12"/>
  <c r="AC364" i="12"/>
  <c r="AC370" i="12"/>
  <c r="AC447" i="12"/>
  <c r="AC322" i="12"/>
  <c r="AC51" i="12"/>
  <c r="AC31" i="12"/>
  <c r="AC339" i="12"/>
  <c r="AC356" i="12"/>
  <c r="AC336" i="12"/>
  <c r="AC189" i="12"/>
  <c r="AC150" i="12"/>
  <c r="AC83" i="12"/>
  <c r="AC30" i="12"/>
  <c r="AC18" i="12"/>
  <c r="AJ170" i="12"/>
  <c r="AH170" i="12"/>
  <c r="AJ38" i="12"/>
  <c r="AH38" i="12"/>
  <c r="AH43" i="12"/>
  <c r="AJ107" i="12"/>
  <c r="AH107" i="12"/>
  <c r="AH230" i="12"/>
  <c r="AJ230" i="12"/>
  <c r="AJ360" i="12"/>
  <c r="AH360" i="12"/>
  <c r="AJ349" i="12"/>
  <c r="AH349" i="12"/>
  <c r="AH139" i="12"/>
  <c r="AJ139" i="12"/>
  <c r="AJ201" i="12"/>
  <c r="AH201" i="12"/>
  <c r="AJ304" i="12"/>
  <c r="AH304" i="12"/>
  <c r="AH8" i="12"/>
  <c r="AJ8" i="12"/>
  <c r="AJ316" i="12"/>
  <c r="AH316" i="12"/>
  <c r="AH130" i="12"/>
  <c r="AJ130" i="12"/>
  <c r="AH179" i="12"/>
  <c r="AJ179" i="12"/>
  <c r="AH350" i="12"/>
  <c r="AJ350" i="12"/>
  <c r="AH485" i="12"/>
  <c r="AJ485" i="12"/>
  <c r="AJ476" i="12"/>
  <c r="AH476" i="12"/>
  <c r="AH428" i="12"/>
  <c r="AJ428" i="12"/>
  <c r="AH399" i="12"/>
  <c r="AJ399" i="12"/>
  <c r="AH378" i="12"/>
  <c r="AJ378" i="12"/>
  <c r="AH257" i="12"/>
  <c r="AJ257" i="12"/>
  <c r="AH250" i="12"/>
  <c r="AJ250" i="12"/>
  <c r="AH239" i="12"/>
  <c r="AJ239" i="12"/>
  <c r="AH190" i="12"/>
  <c r="AJ190" i="12"/>
  <c r="AH188" i="12"/>
  <c r="AJ188" i="12"/>
  <c r="AH183" i="12"/>
  <c r="AJ183" i="12"/>
  <c r="AN114" i="4"/>
  <c r="AN46" i="4"/>
  <c r="W74" i="4"/>
  <c r="W110" i="4"/>
  <c r="W66" i="4"/>
  <c r="AN102" i="4"/>
  <c r="W86" i="4"/>
  <c r="W54" i="4"/>
  <c r="W98" i="4"/>
  <c r="AN106" i="4"/>
  <c r="AN58" i="4"/>
  <c r="W18" i="4"/>
  <c r="W50" i="4"/>
  <c r="W15" i="4"/>
  <c r="W30" i="4"/>
  <c r="W94" i="4"/>
  <c r="AN42" i="4"/>
  <c r="AN10" i="4"/>
  <c r="W90" i="4"/>
  <c r="W38" i="4"/>
  <c r="W25" i="4"/>
  <c r="AN97" i="4"/>
  <c r="M7" i="8"/>
  <c r="AN32" i="4"/>
  <c r="AN73" i="4"/>
  <c r="W2" i="4"/>
  <c r="W4" i="4"/>
  <c r="W52" i="4"/>
  <c r="W40" i="4"/>
  <c r="AN60" i="4"/>
  <c r="AN8" i="4"/>
  <c r="W121" i="4"/>
  <c r="W43" i="4"/>
  <c r="W47" i="4"/>
  <c r="W6" i="4"/>
  <c r="W23" i="4"/>
  <c r="W24" i="4"/>
  <c r="W72" i="4"/>
  <c r="AN120" i="4"/>
  <c r="W48" i="4"/>
  <c r="W96" i="4"/>
  <c r="AN84" i="4"/>
  <c r="W12" i="4"/>
  <c r="W37" i="4"/>
  <c r="W13" i="4"/>
  <c r="W27" i="4"/>
  <c r="W79" i="4"/>
  <c r="W49" i="4"/>
  <c r="W28" i="4"/>
  <c r="W67" i="4"/>
  <c r="W3" i="4"/>
  <c r="AN19" i="4"/>
  <c r="AN7" i="4"/>
  <c r="I13" i="10"/>
  <c r="E51" i="29"/>
  <c r="J51" i="29"/>
  <c r="S874" i="32"/>
  <c r="S428" i="32"/>
  <c r="S140" i="32"/>
  <c r="S717" i="32"/>
  <c r="S761" i="32"/>
  <c r="S1125" i="32"/>
  <c r="S669" i="32"/>
  <c r="S439" i="32"/>
  <c r="S1037" i="32"/>
  <c r="N58" i="29"/>
  <c r="S86" i="32"/>
  <c r="S393" i="32"/>
  <c r="S306" i="32"/>
  <c r="T33" i="9"/>
  <c r="H33" i="9" s="1"/>
  <c r="BI4" i="12"/>
  <c r="BI6" i="12"/>
  <c r="BI7" i="12"/>
  <c r="BI2" i="12"/>
  <c r="BI3" i="12"/>
  <c r="S26" i="32"/>
  <c r="S862" i="32"/>
  <c r="N12" i="9"/>
  <c r="AK8" i="5"/>
  <c r="S1191" i="32"/>
  <c r="S959" i="32"/>
  <c r="S1277" i="32"/>
  <c r="S616" i="32"/>
  <c r="S487" i="32"/>
  <c r="S849" i="32"/>
  <c r="S368" i="32"/>
  <c r="S1247" i="32"/>
  <c r="S503" i="32"/>
  <c r="S193" i="32"/>
  <c r="S68" i="32"/>
  <c r="S769" i="32"/>
  <c r="S618" i="32"/>
  <c r="S1078" i="32"/>
  <c r="S486" i="32"/>
  <c r="S404" i="32"/>
  <c r="S917" i="32"/>
  <c r="S125" i="32"/>
  <c r="S1071" i="32"/>
  <c r="S293" i="32"/>
  <c r="S977" i="32"/>
  <c r="S400" i="32"/>
  <c r="S776" i="32"/>
  <c r="S1213" i="32"/>
  <c r="S23" i="32"/>
  <c r="S418" i="32"/>
  <c r="S1282" i="32"/>
  <c r="S1109" i="32"/>
  <c r="S257" i="32"/>
  <c r="S1139" i="32"/>
  <c r="S500" i="32"/>
  <c r="S189" i="32"/>
  <c r="S762" i="32"/>
  <c r="S355" i="32"/>
  <c r="S28" i="32"/>
  <c r="S1140" i="32"/>
  <c r="S1008" i="32"/>
  <c r="S824" i="32"/>
  <c r="S333" i="32"/>
  <c r="S385" i="32"/>
  <c r="S447" i="32"/>
  <c r="S465" i="32"/>
  <c r="S1149" i="32"/>
  <c r="S793" i="32"/>
  <c r="S603" i="32"/>
  <c r="S228" i="32"/>
  <c r="S213" i="32"/>
  <c r="S69" i="32"/>
  <c r="S601" i="32"/>
  <c r="S321" i="32"/>
  <c r="S516" i="32"/>
  <c r="S1153" i="32"/>
  <c r="S148" i="32"/>
  <c r="S597" i="32"/>
  <c r="S726" i="32"/>
  <c r="S1230" i="32"/>
  <c r="S832" i="32"/>
  <c r="S924" i="32"/>
  <c r="S963" i="32"/>
  <c r="S389" i="32"/>
  <c r="S1045" i="32"/>
  <c r="S479" i="32"/>
  <c r="S1197" i="32"/>
  <c r="S1069" i="32"/>
  <c r="S942" i="32"/>
  <c r="S429" i="32"/>
  <c r="S221" i="32"/>
  <c r="S349" i="32"/>
  <c r="S751" i="32"/>
  <c r="S102" i="32"/>
  <c r="S168" i="32"/>
  <c r="S1232" i="32"/>
  <c r="S1006" i="32"/>
  <c r="S57" i="32"/>
  <c r="S1088" i="32"/>
  <c r="S1294" i="32"/>
  <c r="S971" i="32"/>
  <c r="S1266" i="32"/>
  <c r="S806" i="32"/>
  <c r="S445" i="32"/>
  <c r="S1289" i="32"/>
  <c r="S1017" i="32"/>
  <c r="S809" i="32"/>
  <c r="S1164" i="32"/>
  <c r="S700" i="32"/>
  <c r="S265" i="32"/>
  <c r="S1261" i="32"/>
  <c r="S1133" i="32"/>
  <c r="S686" i="32"/>
  <c r="S35" i="32"/>
  <c r="S70" i="32"/>
  <c r="S988" i="32"/>
  <c r="S681" i="32"/>
  <c r="S791" i="32"/>
  <c r="S1258" i="32"/>
  <c r="S895" i="32"/>
  <c r="S1110" i="32"/>
  <c r="S1119" i="32"/>
  <c r="S754" i="32"/>
  <c r="S1114" i="32"/>
  <c r="S1001" i="32"/>
  <c r="S175" i="32"/>
  <c r="S353" i="32"/>
  <c r="S838" i="32"/>
  <c r="S937" i="32"/>
  <c r="S1272" i="32"/>
  <c r="S804" i="32"/>
  <c r="S314" i="32"/>
  <c r="S1080" i="32"/>
  <c r="S541" i="32"/>
  <c r="S1089" i="32"/>
  <c r="S437" i="32"/>
  <c r="S478" i="32"/>
  <c r="S1260" i="32"/>
  <c r="S31" i="32"/>
  <c r="S902" i="32"/>
  <c r="S614" i="32"/>
  <c r="S1043" i="32"/>
  <c r="S378" i="32"/>
  <c r="S690" i="32"/>
  <c r="S1278" i="32"/>
  <c r="S634" i="32"/>
  <c r="S956" i="32"/>
  <c r="S512" i="32"/>
  <c r="S710" i="32"/>
  <c r="S15" i="32"/>
  <c r="S647" i="32"/>
  <c r="S65" i="32"/>
  <c r="S1237" i="32"/>
  <c r="S1244" i="32"/>
  <c r="S790" i="32"/>
  <c r="S605" i="32"/>
  <c r="S95" i="32"/>
  <c r="S133" i="32"/>
  <c r="S863" i="32"/>
  <c r="S442" i="32"/>
  <c r="S379" i="32"/>
  <c r="S837" i="32"/>
  <c r="S1215" i="32"/>
  <c r="S987" i="32"/>
  <c r="S319" i="32"/>
  <c r="S900" i="32"/>
  <c r="S117" i="32"/>
  <c r="S955" i="32"/>
  <c r="S983" i="32"/>
  <c r="S770" i="32"/>
  <c r="S441" i="32"/>
  <c r="S297" i="32"/>
  <c r="S1124" i="32"/>
  <c r="S990" i="32"/>
  <c r="S929" i="32"/>
  <c r="S720" i="32"/>
  <c r="S1035" i="32"/>
  <c r="S875" i="32"/>
  <c r="S731" i="32"/>
  <c r="S458" i="32"/>
  <c r="S237" i="32"/>
  <c r="S933" i="32"/>
  <c r="S1131" i="32"/>
  <c r="S1144" i="32"/>
  <c r="S121" i="32"/>
  <c r="S89" i="32"/>
  <c r="S851" i="32"/>
  <c r="S12" i="32"/>
  <c r="S957" i="32"/>
  <c r="S637" i="32"/>
  <c r="S52" i="32"/>
  <c r="S466" i="32"/>
  <c r="S1087" i="32"/>
  <c r="S1163" i="32"/>
  <c r="S897" i="32"/>
  <c r="S962" i="32"/>
  <c r="S742" i="32"/>
  <c r="S415" i="32"/>
  <c r="S1051" i="32"/>
  <c r="S960" i="32"/>
  <c r="S740" i="32"/>
  <c r="S594" i="32"/>
  <c r="S659" i="32"/>
  <c r="S527" i="32"/>
  <c r="S966" i="32"/>
  <c r="S757" i="32"/>
  <c r="S525" i="32"/>
  <c r="S81" i="32"/>
  <c r="S921" i="32"/>
  <c r="S1004" i="32"/>
  <c r="S11" i="32"/>
  <c r="S300" i="32"/>
  <c r="S452" i="32"/>
  <c r="S796" i="32"/>
  <c r="S536" i="32"/>
  <c r="S1281" i="32"/>
  <c r="S847" i="32"/>
  <c r="S216" i="32"/>
  <c r="S676" i="32"/>
  <c r="S93" i="32"/>
  <c r="S735" i="32"/>
  <c r="S411" i="32"/>
  <c r="S712" i="32"/>
  <c r="S1238" i="32"/>
  <c r="S143" i="32"/>
  <c r="S729" i="32"/>
  <c r="S375" i="32"/>
  <c r="S226" i="32"/>
  <c r="S1068" i="32"/>
  <c r="S1231" i="32"/>
  <c r="S372" i="32"/>
  <c r="S1048" i="32"/>
  <c r="S621" i="32"/>
  <c r="S399" i="32"/>
  <c r="S1024" i="32"/>
  <c r="S1204" i="32"/>
  <c r="S263" i="32"/>
  <c r="S1166" i="32"/>
  <c r="S401" i="32"/>
  <c r="S905" i="32"/>
  <c r="S475" i="32"/>
  <c r="S291" i="32"/>
  <c r="S262" i="32"/>
  <c r="S200" i="32"/>
  <c r="S1098" i="32"/>
  <c r="S859" i="32"/>
  <c r="S667" i="32"/>
  <c r="S480" i="32"/>
  <c r="S359" i="32"/>
  <c r="S251" i="32"/>
  <c r="S338" i="32"/>
  <c r="S292" i="32"/>
  <c r="S100" i="32"/>
  <c r="S673" i="32"/>
  <c r="S860" i="32"/>
  <c r="S313" i="32"/>
  <c r="S410" i="32"/>
  <c r="S307" i="32"/>
  <c r="S509" i="32"/>
  <c r="S1242" i="32"/>
  <c r="S1291" i="32"/>
  <c r="S136" i="32"/>
  <c r="S975" i="32"/>
  <c r="S688" i="32"/>
  <c r="S734" i="32"/>
  <c r="S799" i="32"/>
  <c r="S182" i="32"/>
  <c r="S1295" i="32"/>
  <c r="S578" i="32"/>
  <c r="S1136" i="32"/>
  <c r="S830" i="32"/>
  <c r="S549" i="32"/>
  <c r="S103" i="32"/>
  <c r="S903" i="32"/>
  <c r="S225" i="32"/>
  <c r="S767" i="32"/>
  <c r="S443" i="32"/>
  <c r="S1134" i="32"/>
  <c r="S623" i="32"/>
  <c r="S63" i="32"/>
  <c r="S1293" i="32"/>
  <c r="S407" i="32"/>
  <c r="S212" i="32"/>
  <c r="S802" i="32"/>
  <c r="S1154" i="32"/>
  <c r="S405" i="32"/>
  <c r="S1262" i="32"/>
  <c r="S886" i="32"/>
  <c r="S768" i="32"/>
  <c r="S245" i="32"/>
  <c r="S195" i="32"/>
  <c r="S948" i="32"/>
  <c r="S918" i="32"/>
  <c r="S165" i="32"/>
  <c r="S1180" i="32"/>
  <c r="S1209" i="32"/>
  <c r="S695" i="32"/>
  <c r="S96" i="32"/>
  <c r="S151" i="32"/>
  <c r="S283" i="32"/>
  <c r="S384" i="32"/>
  <c r="S538" i="32"/>
  <c r="S459" i="32"/>
  <c r="S246" i="32"/>
  <c r="S38" i="32"/>
  <c r="S477" i="32"/>
  <c r="S159" i="32"/>
  <c r="S1054" i="32"/>
  <c r="S1062" i="32"/>
  <c r="S642" i="32"/>
  <c r="S1032" i="32"/>
  <c r="S253" i="32"/>
  <c r="S1179" i="32"/>
  <c r="S1094" i="32"/>
  <c r="S818" i="32"/>
  <c r="S1000" i="32"/>
  <c r="S1287" i="32"/>
  <c r="S834" i="32"/>
  <c r="S622" i="32"/>
  <c r="S1162" i="32"/>
  <c r="S489" i="32"/>
  <c r="S1286" i="32"/>
  <c r="S1192" i="32"/>
  <c r="S440" i="32"/>
  <c r="S1090" i="32"/>
  <c r="S1189" i="32"/>
  <c r="S610" i="32"/>
  <c r="S507" i="32"/>
  <c r="S56" i="32"/>
  <c r="S1211" i="32"/>
  <c r="S984" i="32"/>
  <c r="S1190" i="32"/>
  <c r="S71" i="32"/>
  <c r="S593" i="32"/>
  <c r="S422" i="32"/>
  <c r="S1186" i="32"/>
  <c r="S928" i="32"/>
  <c r="S672" i="32"/>
  <c r="S417" i="32"/>
  <c r="S177" i="32"/>
  <c r="S1005" i="32"/>
  <c r="S683" i="32"/>
  <c r="S1106" i="32"/>
  <c r="S248" i="32"/>
  <c r="S1167" i="32"/>
  <c r="S1203" i="32"/>
  <c r="S1107" i="32"/>
  <c r="S542" i="32"/>
  <c r="S997" i="32"/>
  <c r="S261" i="32"/>
  <c r="S132" i="32"/>
  <c r="S944" i="32"/>
  <c r="S469" i="32"/>
  <c r="S186" i="32"/>
  <c r="S19" i="32"/>
  <c r="S523" i="32"/>
  <c r="S491" i="32"/>
  <c r="S1223" i="32"/>
  <c r="S9" i="32"/>
  <c r="S1113" i="32"/>
  <c r="S919" i="32"/>
  <c r="S930" i="32"/>
  <c r="S1130" i="32"/>
  <c r="S760" i="32"/>
  <c r="S1058" i="32"/>
  <c r="S728" i="32"/>
  <c r="S388" i="32"/>
  <c r="S889" i="32"/>
  <c r="S579" i="32"/>
  <c r="S219" i="32"/>
  <c r="S435" i="32"/>
  <c r="S275" i="32"/>
  <c r="S470" i="32"/>
  <c r="S43" i="32"/>
  <c r="S316" i="32"/>
  <c r="S1222" i="32"/>
  <c r="S1276" i="32"/>
  <c r="S425" i="32"/>
  <c r="S758" i="32"/>
  <c r="S526" i="32"/>
  <c r="S1014" i="32"/>
  <c r="S1234" i="32"/>
  <c r="S756" i="32"/>
  <c r="S584" i="32"/>
  <c r="S187" i="32"/>
  <c r="S66" i="32"/>
  <c r="S702" i="32"/>
  <c r="S217" i="32"/>
  <c r="S1142" i="32"/>
  <c r="S1028" i="32"/>
  <c r="S1049" i="32"/>
  <c r="S55" i="32"/>
  <c r="S1129" i="32"/>
  <c r="S743" i="32"/>
  <c r="S547" i="32"/>
  <c r="S1219" i="32"/>
  <c r="S339" i="32"/>
  <c r="S273" i="32"/>
  <c r="S409" i="32"/>
  <c r="S940" i="32"/>
  <c r="S976" i="32"/>
  <c r="S925" i="32"/>
  <c r="S532" i="32"/>
  <c r="S993" i="32"/>
  <c r="S406" i="32"/>
  <c r="S640" i="32"/>
  <c r="S163" i="32"/>
  <c r="S294" i="32"/>
  <c r="S1274" i="32"/>
  <c r="S1046" i="32"/>
  <c r="S545" i="32"/>
  <c r="S1235" i="32"/>
  <c r="S1120" i="32"/>
  <c r="S271" i="32"/>
  <c r="S1292" i="32"/>
  <c r="S1122" i="32"/>
  <c r="S813" i="32"/>
  <c r="S619" i="32"/>
  <c r="S25" i="32"/>
  <c r="S50" i="32"/>
  <c r="S260" i="32"/>
  <c r="S180" i="32"/>
  <c r="S4" i="32"/>
  <c r="S1096" i="32"/>
  <c r="S893" i="32"/>
  <c r="S909" i="32"/>
  <c r="S577" i="32"/>
  <c r="S915" i="32"/>
  <c r="S803" i="32"/>
  <c r="S675" i="32"/>
  <c r="S543" i="32"/>
  <c r="S1152" i="32"/>
  <c r="S1172" i="32"/>
  <c r="S494" i="32"/>
  <c r="S774" i="32"/>
  <c r="S607" i="32"/>
  <c r="S828" i="32"/>
  <c r="S234" i="32"/>
  <c r="S106" i="32"/>
  <c r="S76" i="32"/>
  <c r="S377" i="32"/>
  <c r="S40" i="32"/>
  <c r="S826" i="32"/>
  <c r="S896" i="32"/>
  <c r="S1243" i="32"/>
  <c r="S481" i="32"/>
  <c r="S701" i="32"/>
  <c r="S557" i="32"/>
  <c r="S113" i="32"/>
  <c r="S185" i="32"/>
  <c r="S1082" i="32"/>
  <c r="S562" i="32"/>
  <c r="S588" i="32"/>
  <c r="S1279" i="32"/>
  <c r="S1156" i="32"/>
  <c r="S508" i="32"/>
  <c r="S1127" i="32"/>
  <c r="S502" i="32"/>
  <c r="S1233" i="32"/>
  <c r="S961" i="32"/>
  <c r="S670" i="32"/>
  <c r="S33" i="32"/>
  <c r="S326" i="32"/>
  <c r="S150" i="32"/>
  <c r="S1206" i="32"/>
  <c r="S1092" i="32"/>
  <c r="S554" i="32"/>
  <c r="S456" i="32"/>
  <c r="S287" i="32"/>
  <c r="S196" i="32"/>
  <c r="S1039" i="32"/>
  <c r="S1075" i="32"/>
  <c r="S157" i="32"/>
  <c r="S805" i="32"/>
  <c r="S167" i="32"/>
  <c r="S1029" i="32"/>
  <c r="S171" i="32"/>
  <c r="S298" i="32"/>
  <c r="S154" i="32"/>
  <c r="S236" i="32"/>
  <c r="S812" i="32"/>
  <c r="S861" i="32"/>
  <c r="S1157" i="32"/>
  <c r="S1061" i="32"/>
  <c r="S671" i="32"/>
  <c r="S539" i="32"/>
  <c r="S99" i="32"/>
  <c r="S296" i="32"/>
  <c r="S79" i="32"/>
  <c r="S1181" i="32"/>
  <c r="S795" i="32"/>
  <c r="S130" i="32"/>
  <c r="S18" i="32"/>
  <c r="S84" i="32"/>
  <c r="S868" i="32"/>
  <c r="S351" i="32"/>
  <c r="S74" i="32"/>
  <c r="S1251" i="32"/>
  <c r="S995" i="32"/>
  <c r="S476" i="32"/>
  <c r="S978" i="32"/>
  <c r="S561" i="32"/>
  <c r="S841" i="32"/>
  <c r="S574" i="32"/>
  <c r="S205" i="32"/>
  <c r="S67" i="32"/>
  <c r="S970" i="32"/>
  <c r="S566" i="32"/>
  <c r="S85" i="32"/>
  <c r="S1086" i="32"/>
  <c r="S725" i="32"/>
  <c r="S488" i="32"/>
  <c r="S255" i="32"/>
  <c r="S1116" i="32"/>
  <c r="S1031" i="32"/>
  <c r="S576" i="32"/>
  <c r="S325" i="32"/>
  <c r="S1081" i="32"/>
  <c r="S873" i="32"/>
  <c r="S183" i="32"/>
  <c r="S499" i="32"/>
  <c r="S387" i="32"/>
  <c r="S179" i="32"/>
  <c r="S1050" i="32"/>
  <c r="S1239" i="32"/>
  <c r="S305" i="32"/>
  <c r="S910" i="32"/>
  <c r="S45" i="32"/>
  <c r="S865" i="32"/>
  <c r="S1023" i="32"/>
  <c r="S877" i="32"/>
  <c r="S651" i="32"/>
  <c r="S631" i="32"/>
  <c r="S73" i="32"/>
  <c r="S247" i="32"/>
  <c r="S328" i="32"/>
  <c r="S104" i="32"/>
  <c r="S472" i="32"/>
  <c r="S534" i="32"/>
  <c r="S1015" i="32"/>
  <c r="S941" i="32"/>
  <c r="S878" i="32"/>
  <c r="S772" i="32"/>
  <c r="S629" i="32"/>
  <c r="S354" i="32"/>
  <c r="S589" i="32"/>
  <c r="S17" i="32"/>
  <c r="S223" i="32"/>
  <c r="S869" i="32"/>
  <c r="S8" i="32"/>
  <c r="S954" i="32"/>
  <c r="S1160" i="32"/>
  <c r="S1016" i="32"/>
  <c r="S662" i="32"/>
  <c r="S857" i="32"/>
  <c r="S750" i="32"/>
  <c r="S231" i="32"/>
  <c r="S551" i="32"/>
  <c r="S394" i="32"/>
  <c r="S91" i="32"/>
  <c r="S1012" i="32"/>
  <c r="S396" i="32"/>
  <c r="S556" i="32"/>
  <c r="S413" i="32"/>
  <c r="S341" i="32"/>
  <c r="S90" i="32"/>
  <c r="S1194" i="32"/>
  <c r="S938" i="32"/>
  <c r="S1148" i="32"/>
  <c r="S207" i="32"/>
  <c r="S713" i="32"/>
  <c r="S517" i="32"/>
  <c r="S684" i="32"/>
  <c r="S628" i="32"/>
  <c r="S575" i="32"/>
  <c r="S696" i="32"/>
  <c r="S450" i="32"/>
  <c r="S1095" i="32"/>
  <c r="S582" i="32"/>
  <c r="S181" i="32"/>
  <c r="S47" i="32"/>
  <c r="S887" i="32"/>
  <c r="S839" i="32"/>
  <c r="S711" i="32"/>
  <c r="S346" i="32"/>
  <c r="S13" i="32"/>
  <c r="S147" i="32"/>
  <c r="S302" i="32"/>
  <c r="S1059" i="32"/>
  <c r="S689" i="32"/>
  <c r="S1196" i="32"/>
  <c r="S397" i="32"/>
  <c r="S787" i="32"/>
  <c r="S250" i="32"/>
  <c r="S10" i="32"/>
  <c r="S220" i="32"/>
  <c r="S108" i="32"/>
  <c r="S1226" i="32"/>
  <c r="S430" i="32"/>
  <c r="S105" i="32"/>
  <c r="S1084" i="32"/>
  <c r="S1185" i="32"/>
  <c r="S820" i="32"/>
  <c r="S609" i="32"/>
  <c r="S927" i="32"/>
  <c r="S831" i="32"/>
  <c r="S421" i="32"/>
  <c r="S120" i="32"/>
  <c r="S979" i="32"/>
  <c r="S789" i="32"/>
  <c r="S994" i="32"/>
  <c r="S1085" i="32"/>
  <c r="S5" i="32"/>
  <c r="S279" i="32"/>
  <c r="S1128" i="32"/>
  <c r="S773" i="32"/>
  <c r="S127" i="32"/>
  <c r="S357" i="32"/>
  <c r="S278" i="32"/>
  <c r="S1126" i="32"/>
  <c r="S1170" i="32"/>
  <c r="S1036" i="32"/>
  <c r="S493" i="32"/>
  <c r="S1111" i="32"/>
  <c r="S782" i="32"/>
  <c r="S462" i="32"/>
  <c r="S77" i="32"/>
  <c r="S1224" i="32"/>
  <c r="S304" i="32"/>
  <c r="S192" i="32"/>
  <c r="S112" i="32"/>
  <c r="S64" i="32"/>
  <c r="S155" i="32"/>
  <c r="S290" i="32"/>
  <c r="S162" i="32"/>
  <c r="S308" i="32"/>
  <c r="S244" i="32"/>
  <c r="S116" i="32"/>
  <c r="S1296" i="32"/>
  <c r="S266" i="32"/>
  <c r="S122" i="32"/>
  <c r="S332" i="32"/>
  <c r="S350" i="32"/>
  <c r="S926" i="32"/>
  <c r="S1254" i="32"/>
  <c r="S1027" i="32"/>
  <c r="S531" i="32"/>
  <c r="S620" i="32"/>
  <c r="S506" i="32"/>
  <c r="S390" i="32"/>
  <c r="S414" i="32"/>
  <c r="S381" i="32"/>
  <c r="S529" i="32"/>
  <c r="S197" i="32"/>
  <c r="S370" i="32"/>
  <c r="S923" i="32"/>
  <c r="S843" i="32"/>
  <c r="S715" i="32"/>
  <c r="S535" i="32"/>
  <c r="S194" i="32"/>
  <c r="S2" i="32"/>
  <c r="S568" i="32"/>
  <c r="S949" i="32"/>
  <c r="S235" i="32"/>
  <c r="S268" i="32"/>
  <c r="S520" i="32"/>
  <c r="S764" i="32"/>
  <c r="S703" i="32"/>
  <c r="S427" i="32"/>
  <c r="S312" i="32"/>
  <c r="S504" i="32"/>
  <c r="S569" i="32"/>
  <c r="S586" i="32"/>
  <c r="S892" i="32"/>
  <c r="S311" i="32"/>
  <c r="S97" i="32"/>
  <c r="S14" i="32"/>
  <c r="S123" i="32"/>
  <c r="S241" i="32"/>
  <c r="S858" i="32"/>
  <c r="S361" i="32"/>
  <c r="S615" i="32"/>
  <c r="S1065" i="32"/>
  <c r="S215" i="32"/>
  <c r="S457" i="32"/>
  <c r="S914" i="32"/>
  <c r="S792" i="32"/>
  <c r="S1264" i="32"/>
  <c r="S530" i="32"/>
  <c r="S371" i="32"/>
  <c r="S222" i="32"/>
  <c r="S30" i="32"/>
  <c r="S939" i="32"/>
  <c r="S705" i="32"/>
  <c r="S1284" i="32"/>
  <c r="S668" i="32"/>
  <c r="S745" i="32"/>
  <c r="S602" i="32"/>
  <c r="S126" i="32"/>
  <c r="S1195" i="32"/>
  <c r="S901" i="32"/>
  <c r="S1102" i="32"/>
  <c r="S340" i="32"/>
  <c r="S1074" i="32"/>
  <c r="S992" i="32"/>
  <c r="S572" i="32"/>
  <c r="S1218" i="32"/>
  <c r="S1047" i="32"/>
  <c r="S1173" i="32"/>
  <c r="S932" i="32"/>
  <c r="S498" i="32"/>
  <c r="S201" i="32"/>
  <c r="S771" i="32"/>
  <c r="S75" i="32"/>
  <c r="S218" i="32"/>
  <c r="S677" i="32"/>
  <c r="S958" i="32"/>
  <c r="S884" i="32"/>
  <c r="S1123" i="32"/>
  <c r="S281" i="32"/>
  <c r="S254" i="32"/>
  <c r="S46" i="32"/>
  <c r="S320" i="32"/>
  <c r="S666" i="32"/>
  <c r="S301" i="32"/>
  <c r="S1060" i="32"/>
  <c r="S600" i="32"/>
  <c r="S1040" i="32"/>
  <c r="S327" i="32"/>
  <c r="S1263" i="32"/>
  <c r="S842" i="32"/>
  <c r="S315" i="32"/>
  <c r="S1042" i="32"/>
  <c r="S276" i="32"/>
  <c r="S755" i="32"/>
  <c r="S759" i="32"/>
  <c r="S1151" i="32"/>
  <c r="S1038" i="32"/>
  <c r="S753" i="32"/>
  <c r="S864" i="32"/>
  <c r="S638" i="32"/>
  <c r="S408" i="32"/>
  <c r="S37" i="32"/>
  <c r="S985" i="32"/>
  <c r="S62" i="32"/>
  <c r="S58" i="32"/>
  <c r="S1055" i="32"/>
  <c r="S240" i="32"/>
  <c r="S780" i="32"/>
  <c r="S1200" i="32"/>
  <c r="S436" i="32"/>
  <c r="S1063" i="32"/>
  <c r="S663" i="32"/>
  <c r="S51" i="32"/>
  <c r="S907" i="32"/>
  <c r="S779" i="32"/>
  <c r="S352" i="32"/>
  <c r="S242" i="32"/>
  <c r="S114" i="32"/>
  <c r="S800" i="32"/>
  <c r="S1288" i="32"/>
  <c r="S1009" i="32"/>
  <c r="S555" i="32"/>
  <c r="S433" i="32"/>
  <c r="S585" i="32"/>
  <c r="S1199" i="32"/>
  <c r="S801" i="32"/>
  <c r="S920" i="32"/>
  <c r="S334" i="32"/>
  <c r="S206" i="32"/>
  <c r="S423" i="32"/>
  <c r="S718" i="32"/>
  <c r="S644" i="32"/>
  <c r="S680" i="32"/>
  <c r="S783" i="32"/>
  <c r="S1052" i="32"/>
  <c r="S518" i="32"/>
  <c r="S1225" i="32"/>
  <c r="S969" i="32"/>
  <c r="S648" i="32"/>
  <c r="S814" i="32"/>
  <c r="S342" i="32"/>
  <c r="S1010" i="32"/>
  <c r="S1193" i="32"/>
  <c r="S420" i="32"/>
  <c r="B50" i="29"/>
  <c r="N56" i="29"/>
  <c r="F56" i="29"/>
  <c r="K58" i="29"/>
  <c r="G34" i="9"/>
  <c r="S11" i="9"/>
  <c r="J11" i="9" s="1"/>
  <c r="P12" i="9"/>
  <c r="Q12" i="9" s="1"/>
  <c r="S12" i="9" s="1"/>
  <c r="J12" i="9" s="1"/>
  <c r="F11" i="9"/>
  <c r="L66" i="29"/>
  <c r="L58" i="29"/>
  <c r="S822" i="32"/>
  <c r="S1018" i="32"/>
  <c r="S748" i="32"/>
  <c r="S29" i="32"/>
  <c r="S844" i="32"/>
  <c r="S885" i="32"/>
  <c r="S657" i="32"/>
  <c r="S473" i="32"/>
  <c r="S1221" i="32"/>
  <c r="S145" i="32"/>
  <c r="S723" i="32"/>
  <c r="S448" i="32"/>
  <c r="S282" i="32"/>
  <c r="S252" i="32"/>
  <c r="S986" i="32"/>
  <c r="S738" i="32"/>
  <c r="S999" i="32"/>
  <c r="S259" i="32"/>
  <c r="S22" i="32"/>
  <c r="S264" i="32"/>
  <c r="S152" i="32"/>
  <c r="S580" i="32"/>
  <c r="S1019" i="32"/>
  <c r="S1187" i="32"/>
  <c r="S1072" i="32"/>
  <c r="S833" i="32"/>
  <c r="S704" i="32"/>
  <c r="S497" i="32"/>
  <c r="S1271" i="32"/>
  <c r="S590" i="32"/>
  <c r="S454" i="32"/>
  <c r="S1229" i="32"/>
  <c r="S1165" i="32"/>
  <c r="S1101" i="32"/>
  <c r="S973" i="32"/>
  <c r="S708" i="32"/>
  <c r="S645" i="32"/>
  <c r="S533" i="32"/>
  <c r="S61" i="32"/>
  <c r="S891" i="32"/>
  <c r="S827" i="32"/>
  <c r="S652" i="32"/>
  <c r="S455" i="32"/>
  <c r="S391" i="32"/>
  <c r="S178" i="32"/>
  <c r="S537" i="32"/>
  <c r="S365" i="32"/>
  <c r="S913" i="32"/>
  <c r="S685" i="32"/>
  <c r="S510" i="32"/>
  <c r="S1077" i="32"/>
  <c r="S544" i="32"/>
  <c r="S819" i="32"/>
  <c r="S707" i="32"/>
  <c r="S583" i="32"/>
  <c r="S87" i="32"/>
  <c r="S42" i="32"/>
  <c r="S1283" i="32"/>
  <c r="S968" i="32"/>
  <c r="S1118" i="32"/>
  <c r="S733" i="32"/>
  <c r="S882" i="32"/>
  <c r="S1210" i="32"/>
  <c r="S991" i="32"/>
  <c r="S974" i="32"/>
  <c r="S366" i="32"/>
  <c r="S1135" i="32"/>
  <c r="S936" i="32"/>
  <c r="S661" i="32"/>
  <c r="S239" i="32"/>
  <c r="S1026" i="32"/>
  <c r="S540" i="32"/>
  <c r="S1269" i="32"/>
  <c r="S697" i="32"/>
  <c r="S356" i="32"/>
  <c r="S899" i="32"/>
  <c r="S630" i="32"/>
  <c r="S495" i="32"/>
  <c r="S431" i="32"/>
  <c r="S203" i="32"/>
  <c r="S330" i="32"/>
  <c r="S284" i="32"/>
  <c r="S794" i="32"/>
  <c r="S1091" i="32"/>
  <c r="S1174" i="32"/>
  <c r="S716" i="32"/>
  <c r="S682" i="32"/>
  <c r="S285" i="32"/>
  <c r="S777" i="32"/>
  <c r="S560" i="32"/>
  <c r="S303" i="32"/>
  <c r="S911" i="32"/>
  <c r="S571" i="32"/>
  <c r="S161" i="32"/>
  <c r="S347" i="32"/>
  <c r="S230" i="32"/>
  <c r="S118" i="32"/>
  <c r="S1182" i="32"/>
  <c r="S880" i="32"/>
  <c r="S1150" i="32"/>
  <c r="S674" i="32"/>
  <c r="S191" i="32"/>
  <c r="S1228" i="32"/>
  <c r="S972" i="32"/>
  <c r="S870" i="32"/>
  <c r="S643" i="32"/>
  <c r="S553" i="32"/>
  <c r="S380" i="32"/>
  <c r="S836" i="32"/>
  <c r="S624" i="32"/>
  <c r="S471" i="32"/>
  <c r="S343" i="32"/>
  <c r="S322" i="32"/>
  <c r="S274" i="32"/>
  <c r="S82" i="32"/>
  <c r="S164" i="32"/>
  <c r="S20" i="32"/>
  <c r="S1267" i="32"/>
  <c r="S709" i="32"/>
  <c r="S1246" i="32"/>
  <c r="S548" i="32"/>
  <c r="S573" i="32"/>
  <c r="S514" i="32"/>
  <c r="S632" i="32"/>
  <c r="S1285" i="32"/>
  <c r="S846" i="32"/>
  <c r="S511" i="32"/>
  <c r="S204" i="32"/>
  <c r="S44" i="32"/>
  <c r="S1003" i="32"/>
  <c r="S1270" i="32"/>
  <c r="S1212" i="32"/>
  <c r="S692" i="32"/>
  <c r="S464" i="32"/>
  <c r="S214" i="32"/>
  <c r="S694" i="32"/>
  <c r="S233" i="32"/>
  <c r="S693" i="32"/>
  <c r="S1273" i="32"/>
  <c r="S639" i="32"/>
  <c r="S528" i="32"/>
  <c r="S329" i="32"/>
  <c r="S823" i="32"/>
  <c r="S563" i="32"/>
  <c r="S515" i="32"/>
  <c r="S432" i="32"/>
  <c r="S1070" i="32"/>
  <c r="S1022" i="32"/>
  <c r="S1301" i="32"/>
  <c r="S931" i="32"/>
  <c r="S835" i="32"/>
  <c r="S691" i="32"/>
  <c r="S559" i="32"/>
  <c r="S426" i="32"/>
  <c r="S129" i="32"/>
  <c r="S463" i="32"/>
  <c r="S267" i="32"/>
  <c r="S138" i="32"/>
  <c r="S188" i="32"/>
  <c r="S1112" i="32"/>
  <c r="S741" i="32"/>
  <c r="S947" i="32"/>
  <c r="S625" i="32"/>
  <c r="S1299" i="32"/>
  <c r="S678" i="32"/>
  <c r="S1297" i="32"/>
  <c r="S1201" i="32"/>
  <c r="S1057" i="32"/>
  <c r="S945" i="32"/>
  <c r="S719" i="32"/>
  <c r="S1216" i="32"/>
  <c r="S722" i="32"/>
  <c r="S1300" i="32"/>
  <c r="S1158" i="32"/>
  <c r="S1044" i="32"/>
  <c r="S1178" i="32"/>
  <c r="S1064" i="32"/>
  <c r="S950" i="32"/>
  <c r="S816" i="32"/>
  <c r="S592" i="32"/>
  <c r="S460" i="32"/>
  <c r="S277" i="32"/>
  <c r="S1250" i="32"/>
  <c r="S785" i="32"/>
  <c r="S604" i="32"/>
  <c r="S398" i="32"/>
  <c r="S811" i="32"/>
  <c r="S699" i="32"/>
  <c r="S567" i="32"/>
  <c r="S501" i="32"/>
  <c r="S416" i="32"/>
  <c r="S658" i="32"/>
  <c r="S906" i="32"/>
  <c r="S153" i="32"/>
  <c r="S1217" i="32"/>
  <c r="S1105" i="32"/>
  <c r="S434" i="32"/>
  <c r="S815" i="32"/>
  <c r="S687" i="32"/>
  <c r="S363" i="32"/>
  <c r="S131" i="32"/>
  <c r="S1083" i="32"/>
  <c r="S904" i="32"/>
  <c r="S850" i="32"/>
  <c r="S376" i="32"/>
  <c r="S912" i="32"/>
  <c r="S1236" i="32"/>
  <c r="S876" i="32"/>
  <c r="S386" i="32"/>
  <c r="S1256" i="32"/>
  <c r="S1171" i="32"/>
  <c r="S744" i="32"/>
  <c r="S438" i="32"/>
  <c r="S866" i="32"/>
  <c r="S641" i="32"/>
  <c r="S550" i="32"/>
  <c r="S49" i="32"/>
  <c r="S1138" i="32"/>
  <c r="S778" i="32"/>
  <c r="S546" i="32"/>
  <c r="S369" i="32"/>
  <c r="S224" i="32"/>
  <c r="S522" i="32"/>
  <c r="S739" i="32"/>
  <c r="S139" i="32"/>
  <c r="S821" i="32"/>
  <c r="S1137" i="32"/>
  <c r="S3" i="32"/>
  <c r="S184" i="32"/>
  <c r="S1067" i="32"/>
  <c r="S1007" i="32"/>
  <c r="S382" i="32"/>
  <c r="S951" i="32"/>
  <c r="S1053" i="32"/>
  <c r="S665" i="32"/>
  <c r="S484" i="32"/>
  <c r="S591" i="32"/>
  <c r="S59" i="32"/>
  <c r="S444" i="32"/>
  <c r="S135" i="32"/>
  <c r="S981" i="32"/>
  <c r="S581" i="32"/>
  <c r="S617" i="32"/>
  <c r="S173" i="32"/>
  <c r="S752" i="32"/>
  <c r="S1214" i="32"/>
  <c r="S1255" i="32"/>
  <c r="S1249" i="32"/>
  <c r="S395" i="32"/>
  <c r="S1176" i="32"/>
  <c r="S952" i="32"/>
  <c r="S513" i="32"/>
  <c r="S412" i="32"/>
  <c r="S1159" i="32"/>
  <c r="S1257" i="32"/>
  <c r="S953" i="32"/>
  <c r="S599" i="32"/>
  <c r="S474" i="32"/>
  <c r="S141" i="32"/>
  <c r="S142" i="32"/>
  <c r="S176" i="32"/>
  <c r="S48" i="32"/>
  <c r="S27" i="32"/>
  <c r="S210" i="32"/>
  <c r="S146" i="32"/>
  <c r="S34" i="32"/>
  <c r="S36" i="32"/>
  <c r="S1183" i="32"/>
  <c r="S922" i="32"/>
  <c r="S1104" i="32"/>
  <c r="S1002" i="32"/>
  <c r="S786" i="32"/>
  <c r="S53" i="32"/>
  <c r="S1141" i="32"/>
  <c r="S317" i="32"/>
  <c r="S883" i="32"/>
  <c r="S92" i="32"/>
  <c r="S1252" i="32"/>
  <c r="S698" i="32"/>
  <c r="S853" i="32"/>
  <c r="S1169" i="32"/>
  <c r="S1041" i="32"/>
  <c r="S134" i="32"/>
  <c r="S6" i="32"/>
  <c r="S1280" i="32"/>
  <c r="S980" i="32"/>
  <c r="S1227" i="32"/>
  <c r="S908" i="32"/>
  <c r="S521" i="32"/>
  <c r="S335" i="32"/>
  <c r="S967" i="32"/>
  <c r="S482" i="32"/>
  <c r="S1241" i="32"/>
  <c r="S916" i="32"/>
  <c r="S724" i="32"/>
  <c r="S449" i="32"/>
  <c r="S855" i="32"/>
  <c r="S453" i="32"/>
  <c r="S238" i="32"/>
  <c r="S110" i="32"/>
  <c r="S336" i="32"/>
  <c r="S272" i="32"/>
  <c r="S208" i="32"/>
  <c r="S80" i="32"/>
  <c r="S660" i="32"/>
  <c r="S392" i="32"/>
  <c r="S871" i="32"/>
  <c r="S269" i="32"/>
  <c r="S467" i="32"/>
  <c r="S211" i="32"/>
  <c r="S78" i="32"/>
  <c r="S16" i="32"/>
  <c r="S656" i="32"/>
  <c r="S1188" i="32"/>
  <c r="S1115" i="32"/>
  <c r="S746" i="32"/>
  <c r="S21" i="32"/>
  <c r="S7" i="32"/>
  <c r="S565" i="32"/>
  <c r="S367" i="32"/>
  <c r="S854" i="32"/>
  <c r="S41" i="32"/>
  <c r="S424" i="32"/>
  <c r="S653" i="32"/>
  <c r="S295" i="32"/>
  <c r="S736" i="32"/>
  <c r="S119" i="32"/>
  <c r="S1143" i="32"/>
  <c r="S1220" i="32"/>
  <c r="S934" i="32"/>
  <c r="S209" i="32"/>
  <c r="S650" i="32"/>
  <c r="S310" i="32"/>
  <c r="S781" i="32"/>
  <c r="S505" i="32"/>
  <c r="S94" i="32"/>
  <c r="S1030" i="32"/>
  <c r="S1013" i="32"/>
  <c r="S383" i="32"/>
  <c r="S358" i="32"/>
  <c r="S199" i="32"/>
  <c r="S1020" i="32"/>
  <c r="S289" i="32"/>
  <c r="S323" i="32"/>
  <c r="S166" i="32"/>
  <c r="S24" i="32"/>
  <c r="S1290" i="32"/>
  <c r="S446" i="32"/>
  <c r="S649" i="32"/>
  <c r="S633" i="32"/>
  <c r="S1202" i="32"/>
  <c r="S749" i="32"/>
  <c r="S1161" i="32"/>
  <c r="S1033" i="32"/>
  <c r="S894" i="32"/>
  <c r="S318" i="32"/>
  <c r="S128" i="32"/>
  <c r="S1177" i="32"/>
  <c r="S766" i="32"/>
  <c r="S364" i="32"/>
  <c r="S727" i="32"/>
  <c r="S403" i="32"/>
  <c r="S115" i="32"/>
  <c r="S32" i="32"/>
  <c r="S714" i="32"/>
  <c r="S490" i="32"/>
  <c r="S202" i="32"/>
  <c r="S88" i="32"/>
  <c r="S872" i="32"/>
  <c r="S845" i="32"/>
  <c r="S1117" i="32"/>
  <c r="S606" i="32"/>
  <c r="S258" i="32"/>
  <c r="S964" i="32"/>
  <c r="S654" i="32"/>
  <c r="S299" i="32"/>
  <c r="S156" i="32"/>
  <c r="S309" i="32"/>
  <c r="S1121" i="32"/>
  <c r="S595" i="32"/>
  <c r="S227" i="32"/>
  <c r="S198" i="32"/>
  <c r="S943" i="32"/>
  <c r="S664" i="32"/>
  <c r="S149" i="32"/>
  <c r="S852" i="32"/>
  <c r="S935" i="32"/>
  <c r="S679" i="32"/>
  <c r="S496" i="32"/>
  <c r="S286" i="32"/>
  <c r="S288" i="32"/>
  <c r="S137" i="32"/>
  <c r="S1021" i="32"/>
  <c r="S627" i="32"/>
  <c r="S763" i="32"/>
  <c r="S1168" i="32"/>
  <c r="S1147" i="32"/>
  <c r="S1240" i="32"/>
  <c r="S730" i="32"/>
  <c r="S402" i="32"/>
  <c r="S60" i="32"/>
  <c r="S558" i="32"/>
  <c r="S829" i="32"/>
  <c r="S1265" i="32"/>
  <c r="S1079" i="32"/>
  <c r="S1245" i="32"/>
  <c r="S989" i="32"/>
  <c r="S856" i="32"/>
  <c r="S1145" i="32"/>
  <c r="S775" i="32"/>
  <c r="S587" i="32"/>
  <c r="S1093" i="32"/>
  <c r="S362" i="32"/>
  <c r="S170" i="32"/>
  <c r="S611" i="32"/>
  <c r="S608" i="32"/>
  <c r="S706" i="32"/>
  <c r="S798" i="32"/>
  <c r="S524" i="32"/>
  <c r="S1146" i="32"/>
  <c r="S419" i="32"/>
  <c r="S144" i="32"/>
  <c r="S747" i="32"/>
  <c r="S324" i="32"/>
  <c r="S280" i="32"/>
  <c r="S807" i="32"/>
  <c r="S483" i="32"/>
  <c r="S98" i="32"/>
  <c r="S888" i="32"/>
  <c r="S360" i="32"/>
  <c r="S998" i="32"/>
  <c r="S1073" i="32"/>
  <c r="S612" i="32"/>
  <c r="S374" i="32"/>
  <c r="S946" i="32"/>
  <c r="S174" i="32"/>
  <c r="S256" i="32"/>
  <c r="S570" i="32"/>
  <c r="S337" i="32"/>
  <c r="S564" i="32"/>
  <c r="S655" i="32"/>
  <c r="S797" i="32"/>
  <c r="S808" i="32"/>
  <c r="S1208" i="32"/>
  <c r="S1097" i="32"/>
  <c r="S83" i="32"/>
  <c r="S270" i="32"/>
  <c r="S1132" i="32"/>
  <c r="S519" i="32"/>
  <c r="S348" i="32"/>
  <c r="S788" i="32"/>
  <c r="S982" i="32"/>
  <c r="S1275" i="32"/>
  <c r="S840" i="32"/>
  <c r="S636" i="32"/>
  <c r="S1248" i="32"/>
  <c r="S344" i="32"/>
  <c r="S111" i="32"/>
  <c r="S965" i="32"/>
  <c r="S825" i="32"/>
  <c r="S635" i="32"/>
  <c r="S331" i="32"/>
  <c r="S107" i="32"/>
  <c r="S1099" i="32"/>
  <c r="S879" i="32"/>
  <c r="S72" i="32"/>
  <c r="S1268" i="32"/>
  <c r="S1011" i="32"/>
  <c r="S765" i="32"/>
  <c r="S101" i="32"/>
  <c r="S1076" i="32"/>
  <c r="S784" i="32"/>
  <c r="S169" i="32"/>
  <c r="S1103" i="32"/>
  <c r="S646" i="32"/>
  <c r="S817" i="32"/>
  <c r="S732" i="32"/>
  <c r="S552" i="32"/>
  <c r="S890" i="32"/>
  <c r="S373" i="32"/>
  <c r="S1034" i="32"/>
  <c r="S626" i="32"/>
  <c r="S39" i="32"/>
  <c r="S485" i="32"/>
  <c r="S996" i="32"/>
  <c r="S737" i="32"/>
  <c r="S1259" i="32"/>
  <c r="S721" i="32"/>
  <c r="S451" i="32"/>
  <c r="S232" i="32"/>
  <c r="S1155" i="32"/>
  <c r="S1100" i="32"/>
  <c r="S898" i="32"/>
  <c r="S243" i="32"/>
  <c r="S190" i="32"/>
  <c r="S160" i="32"/>
  <c r="S613" i="32"/>
  <c r="S1175" i="32"/>
  <c r="S229" i="32"/>
  <c r="S1253" i="32"/>
  <c r="S867" i="32"/>
  <c r="S598" i="32"/>
  <c r="S172" i="32"/>
  <c r="S1108" i="32"/>
  <c r="S1184" i="32"/>
  <c r="S881" i="32"/>
  <c r="S596" i="32"/>
  <c r="S1025" i="32"/>
  <c r="S492" i="32"/>
  <c r="S54" i="32"/>
  <c r="S345" i="32"/>
  <c r="S1205" i="32"/>
  <c r="S124" i="32"/>
  <c r="S848" i="32"/>
  <c r="S468" i="32"/>
  <c r="S1298" i="32"/>
  <c r="S1198" i="32"/>
  <c r="S1066" i="32"/>
  <c r="S461" i="32"/>
  <c r="S1056" i="32"/>
  <c r="S810" i="32"/>
  <c r="S249" i="32"/>
  <c r="S158" i="32"/>
  <c r="S109" i="32"/>
  <c r="N62" i="29"/>
  <c r="N51" i="29"/>
  <c r="L51" i="29"/>
  <c r="N54" i="29"/>
  <c r="M71" i="29"/>
  <c r="M55" i="29"/>
  <c r="M53" i="29"/>
  <c r="N53" i="29"/>
  <c r="M50" i="29"/>
  <c r="L64" i="29"/>
  <c r="L52" i="29"/>
  <c r="N46" i="29"/>
  <c r="L71" i="29"/>
  <c r="M70" i="29"/>
  <c r="M69" i="29"/>
  <c r="L70" i="29"/>
  <c r="M54" i="29"/>
  <c r="N67" i="29"/>
  <c r="M56" i="29"/>
  <c r="N71" i="29"/>
  <c r="N70" i="29"/>
  <c r="N50" i="29"/>
  <c r="M43" i="29"/>
  <c r="N47" i="29"/>
  <c r="N64" i="29"/>
  <c r="N66" i="29"/>
  <c r="N55" i="29"/>
  <c r="M57" i="29"/>
  <c r="N69" i="29"/>
  <c r="L53" i="29"/>
  <c r="N52" i="29"/>
  <c r="N59" i="29"/>
  <c r="N63" i="29"/>
  <c r="M62" i="29"/>
  <c r="N68" i="29"/>
  <c r="M68" i="29"/>
  <c r="M63" i="29"/>
  <c r="L54" i="29"/>
  <c r="L56" i="29"/>
  <c r="M51" i="29"/>
  <c r="L69" i="29"/>
  <c r="L42" i="29"/>
  <c r="M39" i="29"/>
  <c r="M52" i="29"/>
  <c r="L68" i="29"/>
  <c r="L50" i="29"/>
  <c r="M64" i="29"/>
  <c r="M66" i="29"/>
  <c r="M42" i="29"/>
  <c r="N65" i="29"/>
  <c r="L62" i="29"/>
  <c r="N57" i="29"/>
  <c r="L65" i="29"/>
  <c r="L63" i="29"/>
  <c r="L43" i="29"/>
  <c r="M67" i="29"/>
  <c r="M65" i="29"/>
  <c r="M58" i="29"/>
  <c r="M59" i="29"/>
  <c r="L67" i="29"/>
  <c r="F89" i="14"/>
  <c r="G91" i="14"/>
  <c r="K56" i="29"/>
  <c r="K57" i="29"/>
  <c r="K50" i="29"/>
  <c r="K38" i="29"/>
  <c r="K55" i="29"/>
  <c r="K66" i="29"/>
  <c r="K54" i="29"/>
  <c r="K62" i="29"/>
  <c r="K64" i="29"/>
  <c r="K71" i="29"/>
  <c r="K51" i="29"/>
  <c r="K59" i="29"/>
  <c r="K63" i="29"/>
  <c r="K39" i="29"/>
  <c r="K69" i="29"/>
  <c r="K43" i="29"/>
  <c r="K40" i="29"/>
  <c r="K70" i="29"/>
  <c r="K67" i="29"/>
  <c r="K52" i="29"/>
  <c r="K65" i="29"/>
  <c r="K53" i="29"/>
  <c r="K68" i="29"/>
  <c r="F94" i="14"/>
  <c r="B38" i="29"/>
  <c r="R2" i="29"/>
  <c r="E56" i="29"/>
  <c r="E44" i="29"/>
  <c r="C52" i="29"/>
  <c r="C40" i="29"/>
  <c r="D53" i="29"/>
  <c r="D41" i="29"/>
  <c r="C97" i="14"/>
  <c r="H59" i="29"/>
  <c r="H47" i="29"/>
  <c r="B97" i="14"/>
  <c r="B53" i="29"/>
  <c r="B41" i="29"/>
  <c r="F95" i="14"/>
  <c r="F96" i="14"/>
  <c r="G89" i="14"/>
  <c r="G95" i="14"/>
  <c r="F90" i="14"/>
  <c r="G93" i="14"/>
  <c r="G92" i="14"/>
  <c r="G90" i="14"/>
  <c r="F91" i="14"/>
  <c r="G87" i="14"/>
  <c r="F92" i="14"/>
  <c r="F88" i="14"/>
  <c r="F87" i="14"/>
  <c r="G96" i="14"/>
  <c r="G88" i="14"/>
  <c r="G94" i="14"/>
  <c r="F93" i="14"/>
  <c r="C50" i="29"/>
  <c r="J52" i="29"/>
  <c r="J57" i="29"/>
  <c r="J55" i="29"/>
  <c r="J58" i="29"/>
  <c r="J64" i="29"/>
  <c r="J69" i="29"/>
  <c r="J50" i="29"/>
  <c r="J62" i="29"/>
  <c r="J67" i="29"/>
  <c r="J63" i="29"/>
  <c r="J70" i="29"/>
  <c r="J54" i="29"/>
  <c r="J66" i="29"/>
  <c r="J65" i="29"/>
  <c r="J53" i="29"/>
  <c r="J59" i="29"/>
  <c r="J71" i="29"/>
  <c r="J56" i="29"/>
  <c r="J68" i="29"/>
  <c r="G62" i="29"/>
  <c r="G56" i="29"/>
  <c r="F58" i="29"/>
  <c r="H50" i="29"/>
  <c r="I53" i="29"/>
  <c r="H57" i="29"/>
  <c r="F59" i="29"/>
  <c r="D56" i="29"/>
  <c r="E50" i="29"/>
  <c r="H70" i="29"/>
  <c r="G58" i="29"/>
  <c r="E59" i="29"/>
  <c r="C58" i="29"/>
  <c r="I56" i="29"/>
  <c r="I58" i="29"/>
  <c r="G50" i="29"/>
  <c r="I57" i="29"/>
  <c r="F53" i="29"/>
  <c r="E52" i="29"/>
  <c r="H54" i="29"/>
  <c r="D54" i="29"/>
  <c r="F52" i="29"/>
  <c r="I64" i="29"/>
  <c r="G51" i="29"/>
  <c r="D52" i="29"/>
  <c r="B58" i="29"/>
  <c r="D55" i="29"/>
  <c r="D63" i="29"/>
  <c r="H52" i="29"/>
  <c r="I50" i="29"/>
  <c r="E57" i="29"/>
  <c r="I65" i="29"/>
  <c r="I59" i="29"/>
  <c r="F55" i="29"/>
  <c r="I71" i="29"/>
  <c r="B57" i="29"/>
  <c r="E65" i="29"/>
  <c r="G59" i="29"/>
  <c r="D70" i="29"/>
  <c r="E53" i="29"/>
  <c r="G54" i="29"/>
  <c r="F65" i="29"/>
  <c r="D58" i="29"/>
  <c r="C51" i="29"/>
  <c r="D50" i="29"/>
  <c r="F51" i="29"/>
  <c r="C66" i="29"/>
  <c r="F63" i="29"/>
  <c r="D69" i="29"/>
  <c r="G63" i="29"/>
  <c r="H65" i="29"/>
  <c r="I66" i="29"/>
  <c r="B51" i="29"/>
  <c r="C71" i="29"/>
  <c r="H66" i="29"/>
  <c r="E64" i="29"/>
  <c r="B59" i="29"/>
  <c r="C57" i="29"/>
  <c r="D64" i="29"/>
  <c r="G66" i="29"/>
  <c r="F66" i="29"/>
  <c r="H56" i="29"/>
  <c r="C65" i="29"/>
  <c r="E66" i="29"/>
  <c r="D62" i="29"/>
  <c r="B56" i="29"/>
  <c r="E69" i="29"/>
  <c r="E54" i="29"/>
  <c r="D57" i="29"/>
  <c r="G57" i="29"/>
  <c r="H51" i="29"/>
  <c r="H58" i="29"/>
  <c r="G67" i="29"/>
  <c r="O20" i="29"/>
  <c r="E58" i="29"/>
  <c r="O9" i="29"/>
  <c r="G53" i="29"/>
  <c r="D59" i="29"/>
  <c r="C67" i="29"/>
  <c r="I54" i="29"/>
  <c r="B52" i="29"/>
  <c r="I67" i="29"/>
  <c r="I55" i="29"/>
  <c r="O4" i="29"/>
  <c r="I70" i="29"/>
  <c r="F62" i="29"/>
  <c r="H63" i="29"/>
  <c r="I62" i="29"/>
  <c r="F54" i="29"/>
  <c r="B62" i="29"/>
  <c r="E71" i="29"/>
  <c r="F69" i="29"/>
  <c r="D51" i="29"/>
  <c r="O2" i="29"/>
  <c r="E70" i="29"/>
  <c r="H68" i="29"/>
  <c r="G65" i="29"/>
  <c r="F71" i="29"/>
  <c r="B65" i="29"/>
  <c r="F57" i="29"/>
  <c r="B71" i="29"/>
  <c r="D68" i="29"/>
  <c r="D71" i="29"/>
  <c r="H71" i="29"/>
  <c r="O11" i="29"/>
  <c r="B68" i="29"/>
  <c r="C55" i="29"/>
  <c r="O10" i="29"/>
  <c r="B54" i="29"/>
  <c r="G52" i="29"/>
  <c r="E55" i="29"/>
  <c r="E63" i="29"/>
  <c r="B63" i="29"/>
  <c r="O5" i="29"/>
  <c r="O15" i="29"/>
  <c r="I52" i="29"/>
  <c r="C53" i="29"/>
  <c r="O17" i="29"/>
  <c r="H53" i="29"/>
  <c r="O21" i="29"/>
  <c r="H62" i="29"/>
  <c r="H67" i="29"/>
  <c r="B67" i="29"/>
  <c r="O6" i="29"/>
  <c r="G70" i="29"/>
  <c r="O18" i="29"/>
  <c r="B69" i="29"/>
  <c r="C56" i="29"/>
  <c r="C68" i="29"/>
  <c r="C70" i="29"/>
  <c r="B70" i="29"/>
  <c r="F64" i="29"/>
  <c r="H69" i="29"/>
  <c r="I69" i="29"/>
  <c r="E67" i="29"/>
  <c r="O3" i="29"/>
  <c r="I63" i="29"/>
  <c r="C62" i="29"/>
  <c r="B66" i="29"/>
  <c r="F70" i="29"/>
  <c r="F68" i="29"/>
  <c r="G68" i="29"/>
  <c r="D65" i="29"/>
  <c r="G64" i="29"/>
  <c r="H64" i="29"/>
  <c r="E68" i="29"/>
  <c r="D66" i="29"/>
  <c r="I68" i="29"/>
  <c r="G71" i="29"/>
  <c r="C63" i="29"/>
  <c r="E62" i="29"/>
  <c r="C64" i="29"/>
  <c r="B64" i="29"/>
  <c r="G69" i="29"/>
  <c r="C69" i="29"/>
  <c r="D67" i="29"/>
  <c r="F67" i="29"/>
  <c r="O8" i="29"/>
  <c r="C54" i="29"/>
  <c r="O23" i="29"/>
  <c r="O22" i="29"/>
  <c r="C59" i="29"/>
  <c r="I10" i="9"/>
  <c r="S3" i="29"/>
  <c r="G55" i="29"/>
  <c r="B55" i="29"/>
  <c r="I51" i="29"/>
  <c r="O16" i="29"/>
  <c r="O19" i="29"/>
  <c r="O14" i="29"/>
  <c r="S2" i="29"/>
  <c r="R3" i="29"/>
  <c r="H55" i="29"/>
  <c r="O7" i="29"/>
  <c r="H1" i="4"/>
  <c r="X1" i="4"/>
  <c r="AO1" i="4" s="1"/>
  <c r="AL8" i="5"/>
  <c r="J42" i="9"/>
  <c r="T29" i="9"/>
  <c r="H29" i="9" s="1"/>
  <c r="T37" i="9"/>
  <c r="H37" i="9" s="1"/>
  <c r="T36" i="9"/>
  <c r="H36" i="9" s="1"/>
  <c r="F29" i="9"/>
  <c r="G37" i="9"/>
  <c r="F37" i="9"/>
  <c r="I35" i="9"/>
  <c r="G39" i="9"/>
  <c r="K31" i="9"/>
  <c r="G35" i="9"/>
  <c r="J36" i="9"/>
  <c r="G41" i="9"/>
  <c r="I39" i="9"/>
  <c r="I36" i="9"/>
  <c r="F32" i="9"/>
  <c r="G40" i="9"/>
  <c r="I33" i="9"/>
  <c r="K41" i="9"/>
  <c r="F41" i="9"/>
  <c r="G32" i="9"/>
  <c r="F40" i="9"/>
  <c r="A14" i="9"/>
  <c r="B13" i="9"/>
  <c r="F31" i="9"/>
  <c r="G1" i="14"/>
  <c r="T10" i="9"/>
  <c r="T30" i="9"/>
  <c r="T38" i="9"/>
  <c r="T11" i="9"/>
  <c r="T42" i="9"/>
  <c r="T34" i="9"/>
  <c r="T28" i="9"/>
  <c r="T43" i="9"/>
  <c r="G33" i="9"/>
  <c r="T35" i="9"/>
  <c r="T39" i="9"/>
  <c r="T32" i="9"/>
  <c r="AC2" i="12"/>
  <c r="G31" i="9"/>
  <c r="J38" i="9"/>
  <c r="G38" i="9"/>
  <c r="A5" i="17"/>
  <c r="I4" i="17"/>
  <c r="E4" i="17"/>
  <c r="J4" i="17"/>
  <c r="D4" i="17"/>
  <c r="B5" i="17"/>
  <c r="H4" i="17"/>
  <c r="F4" i="17"/>
  <c r="G4" i="17"/>
  <c r="G29" i="9"/>
  <c r="J28" i="9"/>
  <c r="G28" i="9"/>
  <c r="A8" i="13"/>
  <c r="B8" i="13" s="1"/>
  <c r="H1" i="5"/>
  <c r="J10" i="9"/>
  <c r="G10" i="9"/>
  <c r="G48" i="14"/>
  <c r="J43" i="9"/>
  <c r="G43" i="9"/>
  <c r="AB2" i="12"/>
  <c r="H36" i="14"/>
  <c r="T40" i="9"/>
  <c r="J30" i="9"/>
  <c r="G30" i="9"/>
  <c r="AG150" i="12" l="1"/>
  <c r="AG339" i="12"/>
  <c r="AG447" i="12"/>
  <c r="AG77" i="12"/>
  <c r="AG157" i="12"/>
  <c r="AG341" i="12"/>
  <c r="AG420" i="12"/>
  <c r="AG418" i="12"/>
  <c r="AG460" i="12"/>
  <c r="AG403" i="12"/>
  <c r="AG267" i="12"/>
  <c r="AG299" i="12"/>
  <c r="AG108" i="12"/>
  <c r="AG156" i="12"/>
  <c r="AG82" i="12"/>
  <c r="AG41" i="12"/>
  <c r="AG6" i="12"/>
  <c r="AF559" i="12"/>
  <c r="AF555" i="12"/>
  <c r="AF551" i="12"/>
  <c r="AF547" i="12"/>
  <c r="AF543" i="12"/>
  <c r="AF539" i="12"/>
  <c r="AF535" i="12"/>
  <c r="AF531" i="12"/>
  <c r="AG37" i="12"/>
  <c r="AG227" i="12"/>
  <c r="AG305" i="12"/>
  <c r="AG347" i="12"/>
  <c r="AG56" i="12"/>
  <c r="AG3" i="12"/>
  <c r="AG172" i="12"/>
  <c r="AG351" i="12"/>
  <c r="AG446" i="12"/>
  <c r="AG438" i="12"/>
  <c r="AG88" i="12"/>
  <c r="AG142" i="12"/>
  <c r="AG443" i="12"/>
  <c r="AG480" i="12"/>
  <c r="AG408" i="12"/>
  <c r="AG412" i="12"/>
  <c r="AG484" i="12"/>
  <c r="AG473" i="12"/>
  <c r="AG463" i="12"/>
  <c r="AG453" i="12"/>
  <c r="AG429" i="12"/>
  <c r="AG405" i="12"/>
  <c r="AG391" i="12"/>
  <c r="AG431" i="12"/>
  <c r="AG348" i="12"/>
  <c r="AG273" i="12"/>
  <c r="AG206" i="12"/>
  <c r="AG276" i="12"/>
  <c r="AG264" i="12"/>
  <c r="AG248" i="12"/>
  <c r="AG288" i="12"/>
  <c r="AG223" i="12"/>
  <c r="AG287" i="12"/>
  <c r="AG208" i="12"/>
  <c r="AG193" i="12"/>
  <c r="AG165" i="12"/>
  <c r="AG86" i="12"/>
  <c r="AG115" i="12"/>
  <c r="AG125" i="12"/>
  <c r="AG128" i="12"/>
  <c r="AG111" i="12"/>
  <c r="AG103" i="12"/>
  <c r="AG94" i="12"/>
  <c r="AG80" i="12"/>
  <c r="AG57" i="12"/>
  <c r="AG13" i="12"/>
  <c r="AH31" i="12"/>
  <c r="AH72" i="12"/>
  <c r="AJ72" i="12"/>
  <c r="AH63" i="12"/>
  <c r="AJ63" i="12"/>
  <c r="AJ359" i="12"/>
  <c r="AH359" i="12"/>
  <c r="AJ322" i="12"/>
  <c r="AH322" i="12"/>
  <c r="AJ85" i="12"/>
  <c r="AH85" i="12"/>
  <c r="AH110" i="12"/>
  <c r="AJ110" i="12"/>
  <c r="AH338" i="12"/>
  <c r="AH226" i="12"/>
  <c r="AH6" i="12"/>
  <c r="AH89" i="12"/>
  <c r="AJ89" i="12"/>
  <c r="AJ150" i="12"/>
  <c r="AH150" i="12"/>
  <c r="AH481" i="12"/>
  <c r="AJ481" i="12"/>
  <c r="AJ448" i="12"/>
  <c r="AH448" i="12"/>
  <c r="AH419" i="12"/>
  <c r="AJ419" i="12"/>
  <c r="AH403" i="12"/>
  <c r="AJ403" i="12"/>
  <c r="AH267" i="12"/>
  <c r="AJ267" i="12"/>
  <c r="AH189" i="12"/>
  <c r="AJ189" i="12"/>
  <c r="AJ512" i="12"/>
  <c r="AH512" i="12"/>
  <c r="AH529" i="12"/>
  <c r="AJ529" i="12"/>
  <c r="AH522" i="12"/>
  <c r="AJ522" i="12"/>
  <c r="AH526" i="12"/>
  <c r="AJ526" i="12"/>
  <c r="AH513" i="12"/>
  <c r="AJ513" i="12"/>
  <c r="AJ506" i="12"/>
  <c r="AH506" i="12"/>
  <c r="AH502" i="12"/>
  <c r="AH498" i="12"/>
  <c r="AH552" i="12"/>
  <c r="AJ552" i="12"/>
  <c r="AH532" i="12"/>
  <c r="AH558" i="12"/>
  <c r="AJ558" i="12"/>
  <c r="AH551" i="12"/>
  <c r="AH545" i="12"/>
  <c r="AJ545" i="12"/>
  <c r="AH540" i="12"/>
  <c r="AJ540" i="12"/>
  <c r="AH550" i="12"/>
  <c r="AJ550" i="12"/>
  <c r="AH537" i="12"/>
  <c r="AJ537" i="12"/>
  <c r="AH192" i="12"/>
  <c r="AH187" i="12"/>
  <c r="AH251" i="12"/>
  <c r="AH396" i="12"/>
  <c r="AH477" i="12"/>
  <c r="AH39" i="12"/>
  <c r="AH365" i="12"/>
  <c r="AH319" i="12"/>
  <c r="AH16" i="12"/>
  <c r="AF47" i="12"/>
  <c r="AF83" i="12"/>
  <c r="AF460" i="12"/>
  <c r="AF370" i="12"/>
  <c r="AF420" i="12"/>
  <c r="AF413" i="12"/>
  <c r="AF363" i="12"/>
  <c r="AF302" i="12"/>
  <c r="AF269" i="12"/>
  <c r="AF244" i="12"/>
  <c r="AF189" i="12"/>
  <c r="AF168" i="12"/>
  <c r="AF121" i="12"/>
  <c r="AF89" i="12"/>
  <c r="AF41" i="12"/>
  <c r="AF63" i="12"/>
  <c r="AF31" i="12"/>
  <c r="AF4" i="12"/>
  <c r="AH372" i="12"/>
  <c r="AJ372" i="12"/>
  <c r="AH26" i="12"/>
  <c r="AJ86" i="12"/>
  <c r="AH86" i="12"/>
  <c r="AH180" i="12"/>
  <c r="AJ207" i="12"/>
  <c r="AH207" i="12"/>
  <c r="AJ297" i="12"/>
  <c r="AH297" i="12"/>
  <c r="AH328" i="12"/>
  <c r="AH208" i="12"/>
  <c r="AJ208" i="12"/>
  <c r="AJ56" i="12"/>
  <c r="AH56" i="12"/>
  <c r="AH155" i="12"/>
  <c r="AH351" i="12"/>
  <c r="AH54" i="12"/>
  <c r="AH70" i="12"/>
  <c r="AJ70" i="12"/>
  <c r="AJ105" i="12"/>
  <c r="AH105" i="12"/>
  <c r="AH145" i="12"/>
  <c r="AJ145" i="12"/>
  <c r="AH214" i="12"/>
  <c r="AJ214" i="12"/>
  <c r="AH347" i="12"/>
  <c r="AJ347" i="12"/>
  <c r="AH374" i="12"/>
  <c r="AJ374" i="12"/>
  <c r="AH37" i="12"/>
  <c r="AJ176" i="12"/>
  <c r="AH176" i="12"/>
  <c r="AJ342" i="12"/>
  <c r="AH342" i="12"/>
  <c r="AH36" i="12"/>
  <c r="AJ91" i="12"/>
  <c r="AH91" i="12"/>
  <c r="AJ118" i="12"/>
  <c r="AH118" i="12"/>
  <c r="AJ137" i="12"/>
  <c r="AH137" i="12"/>
  <c r="AJ204" i="12"/>
  <c r="AH204" i="12"/>
  <c r="AJ330" i="12"/>
  <c r="AH330" i="12"/>
  <c r="AH495" i="12"/>
  <c r="AJ495" i="12"/>
  <c r="AJ486" i="12"/>
  <c r="AH486" i="12"/>
  <c r="AJ478" i="12"/>
  <c r="AH478" i="12"/>
  <c r="AJ465" i="12"/>
  <c r="AH465" i="12"/>
  <c r="AJ457" i="12"/>
  <c r="AH457" i="12"/>
  <c r="AJ449" i="12"/>
  <c r="AH449" i="12"/>
  <c r="AH441" i="12"/>
  <c r="AH429" i="12"/>
  <c r="AJ429" i="12"/>
  <c r="AH415" i="12"/>
  <c r="AH402" i="12"/>
  <c r="AJ402" i="12"/>
  <c r="AH393" i="12"/>
  <c r="AJ393" i="12"/>
  <c r="AH386" i="12"/>
  <c r="AJ386" i="12"/>
  <c r="AH284" i="12"/>
  <c r="AH276" i="12"/>
  <c r="AJ276" i="12"/>
  <c r="AH271" i="12"/>
  <c r="AH263" i="12"/>
  <c r="AJ263" i="12"/>
  <c r="AH254" i="12"/>
  <c r="AJ254" i="12"/>
  <c r="AH241" i="12"/>
  <c r="AJ241" i="12"/>
  <c r="AH196" i="12"/>
  <c r="AF177" i="12"/>
  <c r="AF154" i="12"/>
  <c r="AF310" i="12"/>
  <c r="AF178" i="12"/>
  <c r="AF369" i="12"/>
  <c r="AF20" i="12"/>
  <c r="AF307" i="12"/>
  <c r="AF345" i="12"/>
  <c r="AF488" i="12"/>
  <c r="AF468" i="12"/>
  <c r="AF456" i="12"/>
  <c r="AF442" i="12"/>
  <c r="AF335" i="12"/>
  <c r="AF427" i="12"/>
  <c r="AF410" i="12"/>
  <c r="AF404" i="12"/>
  <c r="AF383" i="12"/>
  <c r="AF367" i="12"/>
  <c r="AF318" i="12"/>
  <c r="AF294" i="12"/>
  <c r="AF285" i="12"/>
  <c r="AF277" i="12"/>
  <c r="AF252" i="12"/>
  <c r="AF222" i="12"/>
  <c r="AF215" i="12"/>
  <c r="AF202" i="12"/>
  <c r="AF186" i="12"/>
  <c r="AF135" i="12"/>
  <c r="AF117" i="12"/>
  <c r="AF100" i="12"/>
  <c r="AF78" i="12"/>
  <c r="AF62" i="12"/>
  <c r="AF49" i="12"/>
  <c r="AF10" i="12"/>
  <c r="AF343" i="12"/>
  <c r="AF319" i="12"/>
  <c r="AF492" i="12"/>
  <c r="AF482" i="12"/>
  <c r="AF470" i="12"/>
  <c r="AF365" i="12"/>
  <c r="AF428" i="12"/>
  <c r="AF399" i="12"/>
  <c r="AF378" i="12"/>
  <c r="AF316" i="12"/>
  <c r="AF301" i="12"/>
  <c r="AF220" i="12"/>
  <c r="AF257" i="12"/>
  <c r="AF250" i="12"/>
  <c r="AF239" i="12"/>
  <c r="AF210" i="12"/>
  <c r="AF198" i="12"/>
  <c r="AF197" i="12"/>
  <c r="AF188" i="12"/>
  <c r="AF182" i="12"/>
  <c r="AF174" i="12"/>
  <c r="AF126" i="12"/>
  <c r="AF95" i="12"/>
  <c r="AF79" i="12"/>
  <c r="AF44" i="12"/>
  <c r="AF8" i="12"/>
  <c r="AH492" i="12"/>
  <c r="AH174" i="12"/>
  <c r="AH337" i="12"/>
  <c r="AH87" i="12"/>
  <c r="AH11" i="12"/>
  <c r="AH44" i="12"/>
  <c r="AH144" i="12"/>
  <c r="AJ144" i="12"/>
  <c r="AJ369" i="12"/>
  <c r="AH369" i="12"/>
  <c r="AH62" i="12"/>
  <c r="AJ62" i="12"/>
  <c r="AH160" i="12"/>
  <c r="AH202" i="12"/>
  <c r="AJ219" i="12"/>
  <c r="AH219" i="12"/>
  <c r="AJ327" i="12"/>
  <c r="AH327" i="12"/>
  <c r="AH21" i="12"/>
  <c r="AH352" i="12"/>
  <c r="AJ352" i="12"/>
  <c r="AJ32" i="12"/>
  <c r="AH32" i="12"/>
  <c r="AH78" i="12"/>
  <c r="AJ78" i="12"/>
  <c r="AH131" i="12"/>
  <c r="AJ131" i="12"/>
  <c r="AH203" i="12"/>
  <c r="AJ203" i="12"/>
  <c r="AH300" i="12"/>
  <c r="AJ300" i="12"/>
  <c r="AJ318" i="12"/>
  <c r="AH318" i="12"/>
  <c r="AH136" i="12"/>
  <c r="AH25" i="12"/>
  <c r="AH71" i="12"/>
  <c r="AJ71" i="12"/>
  <c r="AH117" i="12"/>
  <c r="AJ117" i="12"/>
  <c r="AJ205" i="12"/>
  <c r="AH205" i="12"/>
  <c r="AH367" i="12"/>
  <c r="AJ367" i="12"/>
  <c r="AJ488" i="12"/>
  <c r="AH488" i="12"/>
  <c r="AJ468" i="12"/>
  <c r="AH468" i="12"/>
  <c r="AJ456" i="12"/>
  <c r="AH456" i="12"/>
  <c r="AJ442" i="12"/>
  <c r="AH442" i="12"/>
  <c r="AH430" i="12"/>
  <c r="AJ430" i="12"/>
  <c r="AH411" i="12"/>
  <c r="AH406" i="12"/>
  <c r="AJ406" i="12"/>
  <c r="AH387" i="12"/>
  <c r="AH375" i="12"/>
  <c r="AH279" i="12"/>
  <c r="AJ279" i="12"/>
  <c r="AH258" i="12"/>
  <c r="AJ258" i="12"/>
  <c r="AH186" i="12"/>
  <c r="AJ186" i="12"/>
  <c r="AH238" i="12"/>
  <c r="AH376" i="12"/>
  <c r="AH425" i="12"/>
  <c r="AH483" i="12"/>
  <c r="AH220" i="12"/>
  <c r="AH314" i="12"/>
  <c r="AF143" i="12"/>
  <c r="AF23" i="12"/>
  <c r="AF494" i="12"/>
  <c r="AF484" i="12"/>
  <c r="AF473" i="12"/>
  <c r="AF463" i="12"/>
  <c r="AF453" i="12"/>
  <c r="AF446" i="12"/>
  <c r="AF438" i="12"/>
  <c r="AF321" i="12"/>
  <c r="AF340" i="12"/>
  <c r="AF422" i="12"/>
  <c r="AF408" i="12"/>
  <c r="AF395" i="12"/>
  <c r="AF389" i="12"/>
  <c r="AF382" i="12"/>
  <c r="AF342" i="12"/>
  <c r="AF351" i="12"/>
  <c r="AF330" i="12"/>
  <c r="AF305" i="12"/>
  <c r="AF292" i="12"/>
  <c r="AF286" i="12"/>
  <c r="AF278" i="12"/>
  <c r="AF272" i="12"/>
  <c r="AF264" i="12"/>
  <c r="AF256" i="12"/>
  <c r="AF247" i="12"/>
  <c r="AF233" i="12"/>
  <c r="AF227" i="12"/>
  <c r="AF214" i="12"/>
  <c r="AF204" i="12"/>
  <c r="AF158" i="12"/>
  <c r="AF194" i="12"/>
  <c r="AF17" i="12"/>
  <c r="AF137" i="12"/>
  <c r="AF128" i="12"/>
  <c r="AF119" i="12"/>
  <c r="AF113" i="12"/>
  <c r="AF105" i="12"/>
  <c r="AF96" i="12"/>
  <c r="AF76" i="12"/>
  <c r="AF68" i="12"/>
  <c r="AF57" i="12"/>
  <c r="AF26" i="12"/>
  <c r="AF34" i="12"/>
  <c r="AF12" i="12"/>
  <c r="AG521" i="12"/>
  <c r="AG496" i="12"/>
  <c r="AG526" i="12"/>
  <c r="AG520" i="12"/>
  <c r="AG506" i="12"/>
  <c r="AG515" i="12"/>
  <c r="AG503" i="12"/>
  <c r="AG508" i="12"/>
  <c r="AG514" i="12"/>
  <c r="AF527" i="12"/>
  <c r="AF523" i="12"/>
  <c r="AF519" i="12"/>
  <c r="AF515" i="12"/>
  <c r="AF511" i="12"/>
  <c r="AF507" i="12"/>
  <c r="AF503" i="12"/>
  <c r="AF499" i="12"/>
  <c r="AG53" i="12"/>
  <c r="AG181" i="12"/>
  <c r="AG39" i="12"/>
  <c r="AG38" i="12"/>
  <c r="AG148" i="12"/>
  <c r="AG343" i="12"/>
  <c r="AG87" i="12"/>
  <c r="AG170" i="12"/>
  <c r="AG314" i="12"/>
  <c r="AG398" i="12"/>
  <c r="AG491" i="12"/>
  <c r="AG416" i="12"/>
  <c r="AG428" i="12"/>
  <c r="AG474" i="12"/>
  <c r="AG399" i="12"/>
  <c r="AG257" i="12"/>
  <c r="AG265" i="12"/>
  <c r="AG250" i="12"/>
  <c r="AG298" i="12"/>
  <c r="AG301" i="12"/>
  <c r="AG199" i="12"/>
  <c r="AG171" i="12"/>
  <c r="AG174" i="12"/>
  <c r="AG130" i="12"/>
  <c r="AG95" i="12"/>
  <c r="AG16" i="12"/>
  <c r="AG560" i="12"/>
  <c r="AG556" i="12"/>
  <c r="AG552" i="12"/>
  <c r="AG548" i="12"/>
  <c r="AG544" i="12"/>
  <c r="AG540" i="12"/>
  <c r="AG536" i="12"/>
  <c r="AG532" i="12"/>
  <c r="AG32" i="12"/>
  <c r="AG439" i="12"/>
  <c r="AG35" i="12"/>
  <c r="AG331" i="12"/>
  <c r="AG92" i="12"/>
  <c r="AG326" i="12"/>
  <c r="AG424" i="12"/>
  <c r="AG375" i="12"/>
  <c r="AG392" i="12"/>
  <c r="AG387" i="12"/>
  <c r="AG475" i="12"/>
  <c r="AG461" i="12"/>
  <c r="AG454" i="12"/>
  <c r="AG411" i="12"/>
  <c r="AG345" i="12"/>
  <c r="AG303" i="12"/>
  <c r="AG353" i="12"/>
  <c r="AG289" i="12"/>
  <c r="AG258" i="12"/>
  <c r="AG308" i="12"/>
  <c r="AG245" i="12"/>
  <c r="AG216" i="12"/>
  <c r="AG212" i="12"/>
  <c r="AG152" i="12"/>
  <c r="AG141" i="12"/>
  <c r="AG161" i="12"/>
  <c r="AG124" i="12"/>
  <c r="AG114" i="12"/>
  <c r="AG90" i="12"/>
  <c r="AG73" i="12"/>
  <c r="AG60" i="12"/>
  <c r="AG27" i="12"/>
  <c r="AG14" i="12"/>
  <c r="AG18" i="12"/>
  <c r="AG189" i="12"/>
  <c r="AG31" i="12"/>
  <c r="AG370" i="12"/>
  <c r="AG72" i="12"/>
  <c r="AG175" i="12"/>
  <c r="AG448" i="12"/>
  <c r="AG481" i="12"/>
  <c r="AG380" i="12"/>
  <c r="AG451" i="12"/>
  <c r="AG385" i="12"/>
  <c r="AG261" i="12"/>
  <c r="AG295" i="12"/>
  <c r="AG110" i="12"/>
  <c r="AG67" i="12"/>
  <c r="AG104" i="12"/>
  <c r="AG61" i="12"/>
  <c r="AG4" i="12"/>
  <c r="AF558" i="12"/>
  <c r="AF554" i="12"/>
  <c r="AF550" i="12"/>
  <c r="AF546" i="12"/>
  <c r="AF542" i="12"/>
  <c r="AF538" i="12"/>
  <c r="AF534" i="12"/>
  <c r="AF530" i="12"/>
  <c r="AG70" i="12"/>
  <c r="AG221" i="12"/>
  <c r="AG231" i="12"/>
  <c r="AG333" i="12"/>
  <c r="AG137" i="12"/>
  <c r="AG24" i="12"/>
  <c r="AG229" i="12"/>
  <c r="AG372" i="12"/>
  <c r="AG320" i="12"/>
  <c r="AG33" i="12"/>
  <c r="AG155" i="12"/>
  <c r="AG340" i="12"/>
  <c r="AG445" i="12"/>
  <c r="AG478" i="12"/>
  <c r="AG495" i="12"/>
  <c r="AG388" i="12"/>
  <c r="AG402" i="12"/>
  <c r="AG471" i="12"/>
  <c r="AG462" i="12"/>
  <c r="AG452" i="12"/>
  <c r="AG423" i="12"/>
  <c r="AG401" i="12"/>
  <c r="AG389" i="12"/>
  <c r="AG386" i="12"/>
  <c r="AG342" i="12"/>
  <c r="AG271" i="12"/>
  <c r="AG284" i="12"/>
  <c r="AG272" i="12"/>
  <c r="AG262" i="12"/>
  <c r="AG200" i="12"/>
  <c r="AG286" i="12"/>
  <c r="AG306" i="12"/>
  <c r="AG241" i="12"/>
  <c r="AG204" i="12"/>
  <c r="AG140" i="12"/>
  <c r="AG196" i="12"/>
  <c r="AG180" i="12"/>
  <c r="AG133" i="12"/>
  <c r="AG120" i="12"/>
  <c r="AG119" i="12"/>
  <c r="AG109" i="12"/>
  <c r="AG101" i="12"/>
  <c r="AG93" i="12"/>
  <c r="AG68" i="12"/>
  <c r="AG28" i="12"/>
  <c r="AG12" i="12"/>
  <c r="AJ295" i="12"/>
  <c r="AH295" i="12"/>
  <c r="AJ59" i="12"/>
  <c r="AH59" i="12"/>
  <c r="AH108" i="12"/>
  <c r="AJ108" i="12"/>
  <c r="AJ370" i="12"/>
  <c r="AH370" i="12"/>
  <c r="AJ356" i="12"/>
  <c r="AH356" i="12"/>
  <c r="AH67" i="12"/>
  <c r="AJ67" i="12"/>
  <c r="AH168" i="12"/>
  <c r="AJ168" i="12"/>
  <c r="AJ363" i="12"/>
  <c r="AH363" i="12"/>
  <c r="AH336" i="12"/>
  <c r="AJ336" i="12"/>
  <c r="AH30" i="12"/>
  <c r="AJ134" i="12"/>
  <c r="AH134" i="12"/>
  <c r="AJ211" i="12"/>
  <c r="AH211" i="12"/>
  <c r="AJ469" i="12"/>
  <c r="AH469" i="12"/>
  <c r="AJ447" i="12"/>
  <c r="AH447" i="12"/>
  <c r="AH418" i="12"/>
  <c r="AJ418" i="12"/>
  <c r="AH385" i="12"/>
  <c r="AH261" i="12"/>
  <c r="AJ261" i="12"/>
  <c r="AH525" i="12"/>
  <c r="AJ525" i="12"/>
  <c r="AJ519" i="12"/>
  <c r="AH519" i="12"/>
  <c r="AH528" i="12"/>
  <c r="AJ528" i="12"/>
  <c r="AH518" i="12"/>
  <c r="AJ518" i="12"/>
  <c r="AH523" i="12"/>
  <c r="AH509" i="12"/>
  <c r="AH505" i="12"/>
  <c r="AJ505" i="12"/>
  <c r="AH501" i="12"/>
  <c r="AH497" i="12"/>
  <c r="AJ497" i="12"/>
  <c r="AH536" i="12"/>
  <c r="AJ536" i="12"/>
  <c r="AH561" i="12"/>
  <c r="AJ561" i="12"/>
  <c r="AH557" i="12"/>
  <c r="AJ557" i="12"/>
  <c r="AH548" i="12"/>
  <c r="AH544" i="12"/>
  <c r="AJ544" i="12"/>
  <c r="AH539" i="12"/>
  <c r="AJ539" i="12"/>
  <c r="AH549" i="12"/>
  <c r="AJ549" i="12"/>
  <c r="AH534" i="12"/>
  <c r="AH400" i="12"/>
  <c r="AH373" i="12"/>
  <c r="AH126" i="12"/>
  <c r="AF364" i="12"/>
  <c r="AF356" i="12"/>
  <c r="AF451" i="12"/>
  <c r="AF336" i="12"/>
  <c r="AF419" i="12"/>
  <c r="AF403" i="12"/>
  <c r="AF359" i="12"/>
  <c r="AF226" i="12"/>
  <c r="AF267" i="12"/>
  <c r="AF167" i="12"/>
  <c r="AF175" i="12"/>
  <c r="AF156" i="12"/>
  <c r="AF110" i="12"/>
  <c r="AF85" i="12"/>
  <c r="AF51" i="12"/>
  <c r="AF61" i="12"/>
  <c r="AF30" i="12"/>
  <c r="AJ94" i="12"/>
  <c r="AH94" i="12"/>
  <c r="AH354" i="12"/>
  <c r="AJ28" i="12"/>
  <c r="AH28" i="12"/>
  <c r="AJ116" i="12"/>
  <c r="AH116" i="12"/>
  <c r="AJ164" i="12"/>
  <c r="AH164" i="12"/>
  <c r="AH221" i="12"/>
  <c r="AJ221" i="12"/>
  <c r="AH206" i="12"/>
  <c r="AJ206" i="12"/>
  <c r="AJ332" i="12"/>
  <c r="AH332" i="12"/>
  <c r="AJ321" i="12"/>
  <c r="AH321" i="12"/>
  <c r="AJ111" i="12"/>
  <c r="AH111" i="12"/>
  <c r="AH227" i="12"/>
  <c r="AJ227" i="12"/>
  <c r="AH12" i="12"/>
  <c r="AJ12" i="12"/>
  <c r="AJ57" i="12"/>
  <c r="AH57" i="12"/>
  <c r="AH65" i="12"/>
  <c r="AJ65" i="12"/>
  <c r="AH128" i="12"/>
  <c r="AJ128" i="12"/>
  <c r="AJ146" i="12"/>
  <c r="AH146" i="12"/>
  <c r="AJ287" i="12"/>
  <c r="AH287" i="12"/>
  <c r="AH358" i="12"/>
  <c r="AH434" i="12"/>
  <c r="AJ434" i="12"/>
  <c r="AJ93" i="12"/>
  <c r="AH93" i="12"/>
  <c r="AH159" i="12"/>
  <c r="AH357" i="12"/>
  <c r="AJ357" i="12"/>
  <c r="AJ40" i="12"/>
  <c r="AH40" i="12"/>
  <c r="AH109" i="12"/>
  <c r="AJ127" i="12"/>
  <c r="AH127" i="12"/>
  <c r="AH140" i="12"/>
  <c r="AJ140" i="12"/>
  <c r="AH292" i="12"/>
  <c r="AH334" i="12"/>
  <c r="AJ494" i="12"/>
  <c r="AH494" i="12"/>
  <c r="AH484" i="12"/>
  <c r="AJ484" i="12"/>
  <c r="AH473" i="12"/>
  <c r="AJ463" i="12"/>
  <c r="AH463" i="12"/>
  <c r="AJ453" i="12"/>
  <c r="AH453" i="12"/>
  <c r="AJ446" i="12"/>
  <c r="AH446" i="12"/>
  <c r="AJ438" i="12"/>
  <c r="AH438" i="12"/>
  <c r="AH423" i="12"/>
  <c r="AH412" i="12"/>
  <c r="AJ412" i="12"/>
  <c r="AH401" i="12"/>
  <c r="AJ401" i="12"/>
  <c r="AH391" i="12"/>
  <c r="AH384" i="12"/>
  <c r="AJ384" i="12"/>
  <c r="AH283" i="12"/>
  <c r="AH275" i="12"/>
  <c r="AJ275" i="12"/>
  <c r="AH268" i="12"/>
  <c r="AJ268" i="12"/>
  <c r="AH262" i="12"/>
  <c r="AJ262" i="12"/>
  <c r="AH249" i="12"/>
  <c r="AJ249" i="12"/>
  <c r="AH237" i="12"/>
  <c r="AJ237" i="12"/>
  <c r="AJ193" i="12"/>
  <c r="AH193" i="12"/>
  <c r="AF153" i="12"/>
  <c r="AF312" i="12"/>
  <c r="AF311" i="12"/>
  <c r="AF224" i="12"/>
  <c r="AF21" i="12"/>
  <c r="AF141" i="12"/>
  <c r="AF355" i="12"/>
  <c r="AF329" i="12"/>
  <c r="AF487" i="12"/>
  <c r="AF466" i="12"/>
  <c r="AF455" i="12"/>
  <c r="AF440" i="12"/>
  <c r="AF325" i="12"/>
  <c r="AF424" i="12"/>
  <c r="AF409" i="12"/>
  <c r="AF392" i="12"/>
  <c r="AF381" i="12"/>
  <c r="AF353" i="12"/>
  <c r="AF218" i="12"/>
  <c r="AF293" i="12"/>
  <c r="AF282" i="12"/>
  <c r="AF274" i="12"/>
  <c r="AF245" i="12"/>
  <c r="AF161" i="12"/>
  <c r="AF212" i="12"/>
  <c r="AF160" i="12"/>
  <c r="AF185" i="12"/>
  <c r="AF131" i="12"/>
  <c r="AF114" i="12"/>
  <c r="AF97" i="12"/>
  <c r="AF69" i="12"/>
  <c r="AF60" i="12"/>
  <c r="AF35" i="12"/>
  <c r="AF5" i="12"/>
  <c r="AF349" i="12"/>
  <c r="AF304" i="12"/>
  <c r="AF491" i="12"/>
  <c r="AF477" i="12"/>
  <c r="AF464" i="12"/>
  <c r="AF350" i="12"/>
  <c r="AF425" i="12"/>
  <c r="AF398" i="12"/>
  <c r="AF376" i="12"/>
  <c r="AF362" i="12"/>
  <c r="AF225" i="12"/>
  <c r="AF298" i="12"/>
  <c r="AF255" i="12"/>
  <c r="AF243" i="12"/>
  <c r="AF238" i="12"/>
  <c r="AF209" i="12"/>
  <c r="AF179" i="12"/>
  <c r="AF192" i="12"/>
  <c r="AF187" i="12"/>
  <c r="AF181" i="12"/>
  <c r="AF163" i="12"/>
  <c r="AF122" i="12"/>
  <c r="AF87" i="12"/>
  <c r="AF46" i="12"/>
  <c r="AF39" i="12"/>
  <c r="AH181" i="12"/>
  <c r="AH242" i="12"/>
  <c r="AH270" i="12"/>
  <c r="AH416" i="12"/>
  <c r="AH343" i="12"/>
  <c r="AH317" i="12"/>
  <c r="AH171" i="12"/>
  <c r="AH213" i="12"/>
  <c r="AH98" i="12"/>
  <c r="AH324" i="12"/>
  <c r="AJ60" i="12"/>
  <c r="AH60" i="12"/>
  <c r="AH293" i="12"/>
  <c r="AH10" i="12"/>
  <c r="AH92" i="12"/>
  <c r="AH162" i="12"/>
  <c r="AH215" i="12"/>
  <c r="AJ215" i="12"/>
  <c r="AH294" i="12"/>
  <c r="AH311" i="12"/>
  <c r="AH123" i="12"/>
  <c r="AJ329" i="12"/>
  <c r="AH329" i="12"/>
  <c r="AJ35" i="12"/>
  <c r="AH35" i="12"/>
  <c r="AH74" i="12"/>
  <c r="AJ74" i="12"/>
  <c r="AH169" i="12"/>
  <c r="AJ169" i="12"/>
  <c r="AJ216" i="12"/>
  <c r="AH216" i="12"/>
  <c r="AH308" i="12"/>
  <c r="AH353" i="12"/>
  <c r="AJ353" i="12"/>
  <c r="AJ178" i="12"/>
  <c r="AH178" i="12"/>
  <c r="AH15" i="12"/>
  <c r="AH81" i="12"/>
  <c r="AH135" i="12"/>
  <c r="AJ135" i="12"/>
  <c r="AH218" i="12"/>
  <c r="AH331" i="12"/>
  <c r="AH487" i="12"/>
  <c r="AJ487" i="12"/>
  <c r="AJ466" i="12"/>
  <c r="AH466" i="12"/>
  <c r="AJ455" i="12"/>
  <c r="AH455" i="12"/>
  <c r="AH440" i="12"/>
  <c r="AH427" i="12"/>
  <c r="AJ427" i="12"/>
  <c r="AH410" i="12"/>
  <c r="AJ410" i="12"/>
  <c r="AH404" i="12"/>
  <c r="AJ404" i="12"/>
  <c r="AH383" i="12"/>
  <c r="AJ285" i="12"/>
  <c r="AH285" i="12"/>
  <c r="AH277" i="12"/>
  <c r="AJ277" i="12"/>
  <c r="AH252" i="12"/>
  <c r="AH185" i="12"/>
  <c r="AH182" i="12"/>
  <c r="AH243" i="12"/>
  <c r="AH474" i="12"/>
  <c r="AH298" i="12"/>
  <c r="AH301" i="12"/>
  <c r="AH53" i="12"/>
  <c r="AF333" i="12"/>
  <c r="AF172" i="12"/>
  <c r="AF490" i="12"/>
  <c r="AF480" i="12"/>
  <c r="AF471" i="12"/>
  <c r="AF462" i="12"/>
  <c r="AF452" i="12"/>
  <c r="AF445" i="12"/>
  <c r="AF436" i="12"/>
  <c r="AF361" i="12"/>
  <c r="AF431" i="12"/>
  <c r="AF417" i="12"/>
  <c r="AF405" i="12"/>
  <c r="AF394" i="12"/>
  <c r="AF388" i="12"/>
  <c r="AF377" i="12"/>
  <c r="AF372" i="12"/>
  <c r="AF347" i="12"/>
  <c r="AF328" i="12"/>
  <c r="AF229" i="12"/>
  <c r="AF291" i="12"/>
  <c r="AF284" i="12"/>
  <c r="AF276" i="12"/>
  <c r="AF271" i="12"/>
  <c r="AF263" i="12"/>
  <c r="AF254" i="12"/>
  <c r="AF241" i="12"/>
  <c r="AF228" i="12"/>
  <c r="AF221" i="12"/>
  <c r="AF208" i="12"/>
  <c r="AF200" i="12"/>
  <c r="AF147" i="12"/>
  <c r="AF193" i="12"/>
  <c r="AF180" i="12"/>
  <c r="AF133" i="12"/>
  <c r="AF127" i="12"/>
  <c r="AF118" i="12"/>
  <c r="AF111" i="12"/>
  <c r="AF103" i="12"/>
  <c r="AF94" i="12"/>
  <c r="AF80" i="12"/>
  <c r="AF66" i="12"/>
  <c r="AF54" i="12"/>
  <c r="AF13" i="12"/>
  <c r="AF33" i="12"/>
  <c r="AF9" i="12"/>
  <c r="AG513" i="12"/>
  <c r="AG529" i="12"/>
  <c r="AG525" i="12"/>
  <c r="AG516" i="12"/>
  <c r="AG504" i="12"/>
  <c r="AG511" i="12"/>
  <c r="AG501" i="12"/>
  <c r="AG500" i="12"/>
  <c r="AG510" i="12"/>
  <c r="AF526" i="12"/>
  <c r="AF522" i="12"/>
  <c r="AF518" i="12"/>
  <c r="AF514" i="12"/>
  <c r="AF510" i="12"/>
  <c r="AF506" i="12"/>
  <c r="AF502" i="12"/>
  <c r="AF498" i="12"/>
  <c r="AG188" i="12"/>
  <c r="AG230" i="12"/>
  <c r="AG43" i="12"/>
  <c r="AG48" i="12"/>
  <c r="AG179" i="12"/>
  <c r="AG349" i="12"/>
  <c r="AG183" i="12"/>
  <c r="AG350" i="12"/>
  <c r="AG324" i="12"/>
  <c r="AG482" i="12"/>
  <c r="AG485" i="12"/>
  <c r="AG400" i="12"/>
  <c r="AG376" i="12"/>
  <c r="AG470" i="12"/>
  <c r="AG397" i="12"/>
  <c r="AG253" i="12"/>
  <c r="AG255" i="12"/>
  <c r="AG242" i="12"/>
  <c r="AG243" i="12"/>
  <c r="AG151" i="12"/>
  <c r="AG197" i="12"/>
  <c r="AG192" i="12"/>
  <c r="AG163" i="12"/>
  <c r="AG126" i="12"/>
  <c r="AG75" i="12"/>
  <c r="AG44" i="12"/>
  <c r="AG559" i="12"/>
  <c r="AG555" i="12"/>
  <c r="AG551" i="12"/>
  <c r="AG547" i="12"/>
  <c r="AG543" i="12"/>
  <c r="AG539" i="12"/>
  <c r="AG535" i="12"/>
  <c r="AG531" i="12"/>
  <c r="AG154" i="12"/>
  <c r="AG185" i="12"/>
  <c r="AG442" i="12"/>
  <c r="AG186" i="12"/>
  <c r="AG355" i="12"/>
  <c r="AG444" i="12"/>
  <c r="AG440" i="12"/>
  <c r="AG369" i="12"/>
  <c r="AG493" i="12"/>
  <c r="AG390" i="12"/>
  <c r="AG430" i="12"/>
  <c r="AG472" i="12"/>
  <c r="AG459" i="12"/>
  <c r="AG432" i="12"/>
  <c r="AG409" i="12"/>
  <c r="AG344" i="12"/>
  <c r="AG293" i="12"/>
  <c r="AG352" i="12"/>
  <c r="AG282" i="12"/>
  <c r="AG252" i="12"/>
  <c r="AG307" i="12"/>
  <c r="AG215" i="12"/>
  <c r="AG178" i="12"/>
  <c r="AG203" i="12"/>
  <c r="AG195" i="12"/>
  <c r="AG131" i="12"/>
  <c r="AG160" i="12"/>
  <c r="AG117" i="12"/>
  <c r="AG102" i="12"/>
  <c r="AG69" i="12"/>
  <c r="AG62" i="12"/>
  <c r="AG55" i="12"/>
  <c r="AG21" i="12"/>
  <c r="AG25" i="12"/>
  <c r="AG30" i="12"/>
  <c r="AG336" i="12"/>
  <c r="AG51" i="12"/>
  <c r="AG364" i="12"/>
  <c r="AG47" i="12"/>
  <c r="AG167" i="12"/>
  <c r="AG338" i="12"/>
  <c r="AG426" i="12"/>
  <c r="AG302" i="12"/>
  <c r="AG419" i="12"/>
  <c r="AG269" i="12"/>
  <c r="AG244" i="12"/>
  <c r="AG217" i="12"/>
  <c r="AG85" i="12"/>
  <c r="AG121" i="12"/>
  <c r="AG63" i="12"/>
  <c r="AG59" i="12"/>
  <c r="AF561" i="12"/>
  <c r="AF557" i="12"/>
  <c r="AF553" i="12"/>
  <c r="AF549" i="12"/>
  <c r="AF545" i="12"/>
  <c r="AF541" i="12"/>
  <c r="AF537" i="12"/>
  <c r="AF533" i="12"/>
  <c r="AG40" i="12"/>
  <c r="AG34" i="12"/>
  <c r="AG346" i="12"/>
  <c r="AG358" i="12"/>
  <c r="AG36" i="12"/>
  <c r="AG146" i="12"/>
  <c r="AG23" i="12"/>
  <c r="AG330" i="12"/>
  <c r="AG441" i="12"/>
  <c r="AG332" i="12"/>
  <c r="AG29" i="12"/>
  <c r="AG159" i="12"/>
  <c r="AG361" i="12"/>
  <c r="AG436" i="12"/>
  <c r="AG259" i="12"/>
  <c r="AG489" i="12"/>
  <c r="AG494" i="12"/>
  <c r="AG394" i="12"/>
  <c r="AG467" i="12"/>
  <c r="AG458" i="12"/>
  <c r="AG450" i="12"/>
  <c r="AG417" i="12"/>
  <c r="AG395" i="12"/>
  <c r="AG377" i="12"/>
  <c r="AG382" i="12"/>
  <c r="AG228" i="12"/>
  <c r="AG275" i="12"/>
  <c r="AG280" i="12"/>
  <c r="AG268" i="12"/>
  <c r="AG256" i="12"/>
  <c r="AG296" i="12"/>
  <c r="AG247" i="12"/>
  <c r="AG297" i="12"/>
  <c r="AG237" i="12"/>
  <c r="AG158" i="12"/>
  <c r="AG207" i="12"/>
  <c r="AG147" i="12"/>
  <c r="AG149" i="12"/>
  <c r="AG129" i="12"/>
  <c r="AG118" i="12"/>
  <c r="AG132" i="12"/>
  <c r="AG106" i="12"/>
  <c r="AG99" i="12"/>
  <c r="AG76" i="12"/>
  <c r="AG66" i="12"/>
  <c r="AG22" i="12"/>
  <c r="AG9" i="12"/>
  <c r="AH341" i="12"/>
  <c r="AH47" i="12"/>
  <c r="AJ175" i="12"/>
  <c r="AH175" i="12"/>
  <c r="AJ364" i="12"/>
  <c r="AH364" i="12"/>
  <c r="AJ339" i="12"/>
  <c r="AH339" i="12"/>
  <c r="AH77" i="12"/>
  <c r="AJ104" i="12"/>
  <c r="AH104" i="12"/>
  <c r="AH45" i="12"/>
  <c r="AJ4" i="12"/>
  <c r="AK399" i="12" s="1"/>
  <c r="AH4" i="12"/>
  <c r="AJ41" i="12"/>
  <c r="AH41" i="12"/>
  <c r="AH83" i="12"/>
  <c r="AJ83" i="12"/>
  <c r="AH217" i="12"/>
  <c r="AJ217" i="12"/>
  <c r="AH460" i="12"/>
  <c r="AH426" i="12"/>
  <c r="AJ426" i="12"/>
  <c r="AH414" i="12"/>
  <c r="AJ414" i="12"/>
  <c r="AH380" i="12"/>
  <c r="AH246" i="12"/>
  <c r="AJ246" i="12"/>
  <c r="AH524" i="12"/>
  <c r="AJ524" i="12"/>
  <c r="AJ515" i="12"/>
  <c r="AH515" i="12"/>
  <c r="AH527" i="12"/>
  <c r="AJ527" i="12"/>
  <c r="AH514" i="12"/>
  <c r="AJ514" i="12"/>
  <c r="AH521" i="12"/>
  <c r="AJ521" i="12"/>
  <c r="AH508" i="12"/>
  <c r="AH504" i="12"/>
  <c r="AH500" i="12"/>
  <c r="AH496" i="12"/>
  <c r="AJ496" i="12"/>
  <c r="AH535" i="12"/>
  <c r="AJ535" i="12"/>
  <c r="AH560" i="12"/>
  <c r="AJ560" i="12"/>
  <c r="AH556" i="12"/>
  <c r="AJ556" i="12"/>
  <c r="AH547" i="12"/>
  <c r="AJ547" i="12"/>
  <c r="AH543" i="12"/>
  <c r="AJ543" i="12"/>
  <c r="AH555" i="12"/>
  <c r="AH542" i="12"/>
  <c r="AH531" i="12"/>
  <c r="AH191" i="12"/>
  <c r="AH240" i="12"/>
  <c r="AH265" i="12"/>
  <c r="AH464" i="12"/>
  <c r="AH491" i="12"/>
  <c r="AH148" i="12"/>
  <c r="AH362" i="12"/>
  <c r="AH46" i="12"/>
  <c r="AF339" i="12"/>
  <c r="AF481" i="12"/>
  <c r="AF448" i="12"/>
  <c r="AF322" i="12"/>
  <c r="AF418" i="12"/>
  <c r="AF385" i="12"/>
  <c r="AF338" i="12"/>
  <c r="AF299" i="12"/>
  <c r="AF261" i="12"/>
  <c r="AF217" i="12"/>
  <c r="AF157" i="12"/>
  <c r="AF82" i="12"/>
  <c r="AF108" i="12"/>
  <c r="AF72" i="12"/>
  <c r="AF45" i="12"/>
  <c r="AF59" i="12"/>
  <c r="AF18" i="12"/>
  <c r="AJ120" i="12"/>
  <c r="AH120" i="12"/>
  <c r="AH9" i="12"/>
  <c r="AH17" i="12"/>
  <c r="AJ17" i="12"/>
  <c r="AJ101" i="12"/>
  <c r="AH101" i="12"/>
  <c r="AH165" i="12"/>
  <c r="AH200" i="12"/>
  <c r="AJ200" i="12"/>
  <c r="AJ296" i="12"/>
  <c r="AH296" i="12"/>
  <c r="AH340" i="12"/>
  <c r="AJ340" i="12"/>
  <c r="AH24" i="12"/>
  <c r="AH88" i="12"/>
  <c r="AJ88" i="12"/>
  <c r="AJ228" i="12"/>
  <c r="AH228" i="12"/>
  <c r="AJ22" i="12"/>
  <c r="AH22" i="12"/>
  <c r="AH68" i="12"/>
  <c r="AJ68" i="12"/>
  <c r="AJ106" i="12"/>
  <c r="AH106" i="12"/>
  <c r="AH113" i="12"/>
  <c r="AH96" i="12"/>
  <c r="AH286" i="12"/>
  <c r="AH366" i="12"/>
  <c r="AJ333" i="12"/>
  <c r="AH333" i="12"/>
  <c r="AJ103" i="12"/>
  <c r="AH103" i="12"/>
  <c r="AH143" i="12"/>
  <c r="AH3" i="12"/>
  <c r="AJ80" i="12"/>
  <c r="AH80" i="12"/>
  <c r="AH119" i="12"/>
  <c r="AJ119" i="12"/>
  <c r="AH133" i="12"/>
  <c r="AH172" i="12"/>
  <c r="AJ172" i="12"/>
  <c r="AJ288" i="12"/>
  <c r="AH288" i="12"/>
  <c r="AJ348" i="12"/>
  <c r="AH348" i="12"/>
  <c r="AH490" i="12"/>
  <c r="AJ490" i="12"/>
  <c r="AH480" i="12"/>
  <c r="AJ480" i="12"/>
  <c r="AJ471" i="12"/>
  <c r="AH471" i="12"/>
  <c r="AJ462" i="12"/>
  <c r="AH462" i="12"/>
  <c r="AJ452" i="12"/>
  <c r="AH452" i="12"/>
  <c r="AJ445" i="12"/>
  <c r="AH445" i="12"/>
  <c r="AH436" i="12"/>
  <c r="AH422" i="12"/>
  <c r="AJ422" i="12"/>
  <c r="AH408" i="12"/>
  <c r="AJ408" i="12"/>
  <c r="AH395" i="12"/>
  <c r="AJ395" i="12"/>
  <c r="AH389" i="12"/>
  <c r="AH382" i="12"/>
  <c r="AJ382" i="12"/>
  <c r="AH280" i="12"/>
  <c r="AJ280" i="12"/>
  <c r="AH273" i="12"/>
  <c r="AH266" i="12"/>
  <c r="AJ266" i="12"/>
  <c r="AH259" i="12"/>
  <c r="AH248" i="12"/>
  <c r="AJ248" i="12"/>
  <c r="AH235" i="12"/>
  <c r="AJ235" i="12"/>
  <c r="AH194" i="12"/>
  <c r="AF331" i="12"/>
  <c r="AF326" i="12"/>
  <c r="AF14" i="12"/>
  <c r="AF303" i="12"/>
  <c r="AF152" i="12"/>
  <c r="AF169" i="12"/>
  <c r="AF344" i="12"/>
  <c r="AF219" i="12"/>
  <c r="AF475" i="12"/>
  <c r="AF461" i="12"/>
  <c r="AF454" i="12"/>
  <c r="AF439" i="12"/>
  <c r="AF432" i="12"/>
  <c r="AF421" i="12"/>
  <c r="AF407" i="12"/>
  <c r="AF390" i="12"/>
  <c r="AF379" i="12"/>
  <c r="AF352" i="12"/>
  <c r="AF173" i="12"/>
  <c r="AF290" i="12"/>
  <c r="AF281" i="12"/>
  <c r="AF260" i="12"/>
  <c r="AF234" i="12"/>
  <c r="AF144" i="12"/>
  <c r="AF205" i="12"/>
  <c r="AF162" i="12"/>
  <c r="AF71" i="12"/>
  <c r="AF124" i="12"/>
  <c r="AF112" i="12"/>
  <c r="AF92" i="12"/>
  <c r="AF74" i="12"/>
  <c r="AF55" i="12"/>
  <c r="AF32" i="12"/>
  <c r="AF43" i="12"/>
  <c r="AF11" i="12"/>
  <c r="AF324" i="12"/>
  <c r="AF485" i="12"/>
  <c r="AF476" i="12"/>
  <c r="AF313" i="12"/>
  <c r="AF317" i="12"/>
  <c r="AF416" i="12"/>
  <c r="AF397" i="12"/>
  <c r="AF373" i="12"/>
  <c r="AF337" i="12"/>
  <c r="AF309" i="12"/>
  <c r="AF270" i="12"/>
  <c r="AF253" i="12"/>
  <c r="AF242" i="12"/>
  <c r="AF236" i="12"/>
  <c r="AF201" i="12"/>
  <c r="AF171" i="12"/>
  <c r="AF191" i="12"/>
  <c r="AF184" i="12"/>
  <c r="AF170" i="12"/>
  <c r="AF138" i="12"/>
  <c r="AF107" i="12"/>
  <c r="AF75" i="12"/>
  <c r="AF64" i="12"/>
  <c r="AF16" i="12"/>
  <c r="AH470" i="12"/>
  <c r="AH210" i="12"/>
  <c r="AH73" i="12"/>
  <c r="AJ73" i="12"/>
  <c r="AJ224" i="12"/>
  <c r="AH224" i="12"/>
  <c r="AJ14" i="12"/>
  <c r="AH14" i="12"/>
  <c r="AH112" i="12"/>
  <c r="AJ112" i="12"/>
  <c r="AH173" i="12"/>
  <c r="AJ173" i="12"/>
  <c r="AH222" i="12"/>
  <c r="AJ310" i="12"/>
  <c r="AH310" i="12"/>
  <c r="AJ355" i="12"/>
  <c r="AH355" i="12"/>
  <c r="AH141" i="12"/>
  <c r="AJ141" i="12"/>
  <c r="AJ345" i="12"/>
  <c r="AH345" i="12"/>
  <c r="AH55" i="12"/>
  <c r="AJ55" i="12"/>
  <c r="AJ97" i="12"/>
  <c r="AH97" i="12"/>
  <c r="AJ152" i="12"/>
  <c r="AH152" i="12"/>
  <c r="AJ153" i="12"/>
  <c r="AH153" i="12"/>
  <c r="AH312" i="12"/>
  <c r="AH335" i="12"/>
  <c r="AH212" i="12"/>
  <c r="AJ212" i="12"/>
  <c r="AJ27" i="12"/>
  <c r="AH27" i="12"/>
  <c r="AH42" i="12"/>
  <c r="AH161" i="12"/>
  <c r="AJ161" i="12"/>
  <c r="AJ290" i="12"/>
  <c r="AH290" i="12"/>
  <c r="AJ433" i="12"/>
  <c r="AH433" i="12"/>
  <c r="AJ475" i="12"/>
  <c r="AH475" i="12"/>
  <c r="AJ461" i="12"/>
  <c r="AH461" i="12"/>
  <c r="AH454" i="12"/>
  <c r="AJ439" i="12"/>
  <c r="AH439" i="12"/>
  <c r="AH424" i="12"/>
  <c r="AH409" i="12"/>
  <c r="AJ409" i="12"/>
  <c r="AH392" i="12"/>
  <c r="AJ392" i="12"/>
  <c r="AH381" i="12"/>
  <c r="AJ381" i="12"/>
  <c r="AH282" i="12"/>
  <c r="AH274" i="12"/>
  <c r="AJ274" i="12"/>
  <c r="AH245" i="12"/>
  <c r="AH195" i="12"/>
  <c r="AJ195" i="12"/>
  <c r="AH197" i="12"/>
  <c r="AH255" i="12"/>
  <c r="AH398" i="12"/>
  <c r="AH371" i="12"/>
  <c r="AH163" i="12"/>
  <c r="AH64" i="12"/>
  <c r="AH84" i="12"/>
  <c r="AH122" i="12"/>
  <c r="AF70" i="12"/>
  <c r="AF88" i="12"/>
  <c r="AF434" i="12"/>
  <c r="AF489" i="12"/>
  <c r="AF479" i="12"/>
  <c r="AF467" i="12"/>
  <c r="AF458" i="12"/>
  <c r="AF450" i="12"/>
  <c r="AF443" i="12"/>
  <c r="AF435" i="12"/>
  <c r="AF357" i="12"/>
  <c r="AF429" i="12"/>
  <c r="AF415" i="12"/>
  <c r="AF402" i="12"/>
  <c r="AF393" i="12"/>
  <c r="AF386" i="12"/>
  <c r="AF354" i="12"/>
  <c r="AF366" i="12"/>
  <c r="AF334" i="12"/>
  <c r="AF320" i="12"/>
  <c r="AF297" i="12"/>
  <c r="AF288" i="12"/>
  <c r="AF283" i="12"/>
  <c r="AF275" i="12"/>
  <c r="AF268" i="12"/>
  <c r="AF262" i="12"/>
  <c r="AF249" i="12"/>
  <c r="AF237" i="12"/>
  <c r="AF223" i="12"/>
  <c r="AF159" i="12"/>
  <c r="AF207" i="12"/>
  <c r="AF176" i="12"/>
  <c r="AF140" i="12"/>
  <c r="AF164" i="12"/>
  <c r="AF149" i="12"/>
  <c r="AF132" i="12"/>
  <c r="AF125" i="12"/>
  <c r="AF116" i="12"/>
  <c r="AF109" i="12"/>
  <c r="AF101" i="12"/>
  <c r="AF93" i="12"/>
  <c r="AF56" i="12"/>
  <c r="AF65" i="12"/>
  <c r="AF28" i="12"/>
  <c r="AF37" i="12"/>
  <c r="AF29" i="12"/>
  <c r="AF7" i="12"/>
  <c r="AG509" i="12"/>
  <c r="AG528" i="12"/>
  <c r="AG524" i="12"/>
  <c r="AG512" i="12"/>
  <c r="AG498" i="12"/>
  <c r="AG507" i="12"/>
  <c r="AG499" i="12"/>
  <c r="AG522" i="12"/>
  <c r="AF529" i="12"/>
  <c r="AF525" i="12"/>
  <c r="AF521" i="12"/>
  <c r="AF517" i="12"/>
  <c r="AF513" i="12"/>
  <c r="AF509" i="12"/>
  <c r="AF505" i="12"/>
  <c r="AF501" i="12"/>
  <c r="AF497" i="12"/>
  <c r="AG304" i="12"/>
  <c r="AG365" i="12"/>
  <c r="AG184" i="12"/>
  <c r="AG182" i="12"/>
  <c r="AG225" i="12"/>
  <c r="AG11" i="12"/>
  <c r="AG187" i="12"/>
  <c r="AG371" i="12"/>
  <c r="AG360" i="12"/>
  <c r="AG396" i="12"/>
  <c r="AG483" i="12"/>
  <c r="AG492" i="12"/>
  <c r="AG368" i="12"/>
  <c r="AG464" i="12"/>
  <c r="AG378" i="12"/>
  <c r="AG251" i="12"/>
  <c r="AG240" i="12"/>
  <c r="AG238" i="12"/>
  <c r="AG239" i="12"/>
  <c r="AG213" i="12"/>
  <c r="AG209" i="12"/>
  <c r="AG191" i="12"/>
  <c r="AG138" i="12"/>
  <c r="AG107" i="12"/>
  <c r="AG64" i="12"/>
  <c r="AG8" i="12"/>
  <c r="AG558" i="12"/>
  <c r="AG554" i="12"/>
  <c r="AG550" i="12"/>
  <c r="AG546" i="12"/>
  <c r="AG542" i="12"/>
  <c r="AG538" i="12"/>
  <c r="AG534" i="12"/>
  <c r="AG530" i="12"/>
  <c r="AG177" i="12"/>
  <c r="AG325" i="12"/>
  <c r="AG224" i="12"/>
  <c r="AG166" i="12"/>
  <c r="AG437" i="12"/>
  <c r="AG153" i="12"/>
  <c r="AG433" i="12"/>
  <c r="AG406" i="12"/>
  <c r="AG487" i="12"/>
  <c r="AG488" i="12"/>
  <c r="AG312" i="12"/>
  <c r="AG468" i="12"/>
  <c r="AG456" i="12"/>
  <c r="AG427" i="12"/>
  <c r="AG407" i="12"/>
  <c r="AG335" i="12"/>
  <c r="AG277" i="12"/>
  <c r="AG300" i="12"/>
  <c r="AG274" i="12"/>
  <c r="AG234" i="12"/>
  <c r="AG290" i="12"/>
  <c r="AG219" i="12"/>
  <c r="AG232" i="12"/>
  <c r="AG205" i="12"/>
  <c r="AG136" i="12"/>
  <c r="AG173" i="12"/>
  <c r="AG144" i="12"/>
  <c r="AG112" i="12"/>
  <c r="AG100" i="12"/>
  <c r="AG81" i="12"/>
  <c r="AG78" i="12"/>
  <c r="AG50" i="12"/>
  <c r="AG20" i="12"/>
  <c r="AG10" i="12"/>
  <c r="AG83" i="12"/>
  <c r="AG356" i="12"/>
  <c r="AG322" i="12"/>
  <c r="AG45" i="12"/>
  <c r="AG89" i="12"/>
  <c r="AG226" i="12"/>
  <c r="AG359" i="12"/>
  <c r="AG414" i="12"/>
  <c r="AG469" i="12"/>
  <c r="AG413" i="12"/>
  <c r="AG363" i="12"/>
  <c r="AG246" i="12"/>
  <c r="AG211" i="12"/>
  <c r="AG168" i="12"/>
  <c r="AG134" i="12"/>
  <c r="AG52" i="12"/>
  <c r="AG19" i="12"/>
  <c r="AF560" i="12"/>
  <c r="AF556" i="12"/>
  <c r="AF552" i="12"/>
  <c r="AF548" i="12"/>
  <c r="AF544" i="12"/>
  <c r="AF540" i="12"/>
  <c r="AF536" i="12"/>
  <c r="AF532" i="12"/>
  <c r="AG328" i="12"/>
  <c r="AG91" i="12"/>
  <c r="AG357" i="12"/>
  <c r="AG434" i="12"/>
  <c r="AG17" i="12"/>
  <c r="AG321" i="12"/>
  <c r="AG164" i="12"/>
  <c r="AG334" i="12"/>
  <c r="AG366" i="12"/>
  <c r="AG435" i="12"/>
  <c r="AG54" i="12"/>
  <c r="AG143" i="12"/>
  <c r="AG374" i="12"/>
  <c r="AG490" i="12"/>
  <c r="AG422" i="12"/>
  <c r="AG479" i="12"/>
  <c r="AG486" i="12"/>
  <c r="AG384" i="12"/>
  <c r="AG465" i="12"/>
  <c r="AG457" i="12"/>
  <c r="AG449" i="12"/>
  <c r="AG415" i="12"/>
  <c r="AG393" i="12"/>
  <c r="AG249" i="12"/>
  <c r="AG354" i="12"/>
  <c r="AG283" i="12"/>
  <c r="AG263" i="12"/>
  <c r="AG278" i="12"/>
  <c r="AG266" i="12"/>
  <c r="AG254" i="12"/>
  <c r="AG291" i="12"/>
  <c r="AG235" i="12"/>
  <c r="AG292" i="12"/>
  <c r="AG233" i="12"/>
  <c r="AG214" i="12"/>
  <c r="AG194" i="12"/>
  <c r="AG176" i="12"/>
  <c r="AG145" i="12"/>
  <c r="AG127" i="12"/>
  <c r="AG113" i="12"/>
  <c r="AG116" i="12"/>
  <c r="AG105" i="12"/>
  <c r="AG96" i="12"/>
  <c r="AG65" i="12"/>
  <c r="AG58" i="12"/>
  <c r="AG26" i="12"/>
  <c r="AG7" i="12"/>
  <c r="AJ51" i="12"/>
  <c r="AH51" i="12"/>
  <c r="AJ61" i="12"/>
  <c r="AH61" i="12"/>
  <c r="AH167" i="12"/>
  <c r="AH121" i="12"/>
  <c r="AJ121" i="12"/>
  <c r="AJ19" i="12"/>
  <c r="AH19" i="12"/>
  <c r="AH82" i="12"/>
  <c r="AJ299" i="12"/>
  <c r="AH299" i="12"/>
  <c r="AJ157" i="12"/>
  <c r="AH157" i="12"/>
  <c r="AH18" i="12"/>
  <c r="AJ52" i="12"/>
  <c r="AH52" i="12"/>
  <c r="AH156" i="12"/>
  <c r="AJ302" i="12"/>
  <c r="AH302" i="12"/>
  <c r="AJ451" i="12"/>
  <c r="AH451" i="12"/>
  <c r="AH420" i="12"/>
  <c r="AJ420" i="12"/>
  <c r="AH413" i="12"/>
  <c r="AH269" i="12"/>
  <c r="AJ269" i="12"/>
  <c r="AH244" i="12"/>
  <c r="AJ244" i="12"/>
  <c r="AJ520" i="12"/>
  <c r="AH520" i="12"/>
  <c r="AJ511" i="12"/>
  <c r="AH511" i="12"/>
  <c r="AJ516" i="12"/>
  <c r="AH516" i="12"/>
  <c r="AH510" i="12"/>
  <c r="AJ510" i="12"/>
  <c r="AH517" i="12"/>
  <c r="AJ517" i="12"/>
  <c r="AH507" i="12"/>
  <c r="AJ507" i="12"/>
  <c r="AH503" i="12"/>
  <c r="AH499" i="12"/>
  <c r="AH184" i="12"/>
  <c r="AH533" i="12"/>
  <c r="AH559" i="12"/>
  <c r="AJ559" i="12"/>
  <c r="AH553" i="12"/>
  <c r="AJ553" i="12"/>
  <c r="AH546" i="12"/>
  <c r="AJ546" i="12"/>
  <c r="AH541" i="12"/>
  <c r="AH554" i="12"/>
  <c r="AJ554" i="12"/>
  <c r="AH538" i="12"/>
  <c r="AH530" i="12"/>
  <c r="AH315" i="12"/>
  <c r="AH209" i="12"/>
  <c r="AH225" i="12"/>
  <c r="AH198" i="12"/>
  <c r="AH79" i="12"/>
  <c r="AF77" i="12"/>
  <c r="AF469" i="12"/>
  <c r="AF447" i="12"/>
  <c r="AF426" i="12"/>
  <c r="AF414" i="12"/>
  <c r="AF380" i="12"/>
  <c r="AF341" i="12"/>
  <c r="AF295" i="12"/>
  <c r="AF246" i="12"/>
  <c r="AF211" i="12"/>
  <c r="AF150" i="12"/>
  <c r="AF134" i="12"/>
  <c r="AF104" i="12"/>
  <c r="AF52" i="12"/>
  <c r="AF67" i="12"/>
  <c r="AF19" i="12"/>
  <c r="AF6" i="12"/>
  <c r="AH147" i="12"/>
  <c r="AJ13" i="12"/>
  <c r="AH13" i="12"/>
  <c r="AH66" i="12"/>
  <c r="AJ66" i="12"/>
  <c r="AH149" i="12"/>
  <c r="AJ149" i="12"/>
  <c r="AJ58" i="12"/>
  <c r="AH58" i="12"/>
  <c r="AH229" i="12"/>
  <c r="AJ320" i="12"/>
  <c r="AH320" i="12"/>
  <c r="AH361" i="12"/>
  <c r="AJ361" i="12"/>
  <c r="AJ34" i="12"/>
  <c r="AH34" i="12"/>
  <c r="AJ158" i="12"/>
  <c r="AH158" i="12"/>
  <c r="AH291" i="12"/>
  <c r="AJ29" i="12"/>
  <c r="AH29" i="12"/>
  <c r="AH76" i="12"/>
  <c r="AJ132" i="12"/>
  <c r="AH132" i="12"/>
  <c r="AJ125" i="12"/>
  <c r="AH125" i="12"/>
  <c r="AH231" i="12"/>
  <c r="AJ231" i="12"/>
  <c r="AH306" i="12"/>
  <c r="AH346" i="12"/>
  <c r="AJ7" i="12"/>
  <c r="AK198" i="12" s="1"/>
  <c r="AH7" i="12"/>
  <c r="AJ129" i="12"/>
  <c r="AH129" i="12"/>
  <c r="AJ142" i="12"/>
  <c r="AH142" i="12"/>
  <c r="AJ33" i="12"/>
  <c r="AH33" i="12"/>
  <c r="AH23" i="12"/>
  <c r="AJ99" i="12"/>
  <c r="AH99" i="12"/>
  <c r="AH115" i="12"/>
  <c r="AJ115" i="12"/>
  <c r="AH223" i="12"/>
  <c r="AH305" i="12"/>
  <c r="AJ305" i="12"/>
  <c r="AJ431" i="12"/>
  <c r="AH431" i="12"/>
  <c r="AH489" i="12"/>
  <c r="AH479" i="12"/>
  <c r="AJ467" i="12"/>
  <c r="AH467" i="12"/>
  <c r="AJ458" i="12"/>
  <c r="AH458" i="12"/>
  <c r="AJ450" i="12"/>
  <c r="AH450" i="12"/>
  <c r="AJ443" i="12"/>
  <c r="AH443" i="12"/>
  <c r="AH435" i="12"/>
  <c r="AH417" i="12"/>
  <c r="AJ417" i="12"/>
  <c r="AH405" i="12"/>
  <c r="AH394" i="12"/>
  <c r="AJ394" i="12"/>
  <c r="AH388" i="12"/>
  <c r="AJ388" i="12"/>
  <c r="AH377" i="12"/>
  <c r="AH278" i="12"/>
  <c r="AJ278" i="12"/>
  <c r="AH272" i="12"/>
  <c r="AH264" i="12"/>
  <c r="AH256" i="12"/>
  <c r="AJ256" i="12"/>
  <c r="AH247" i="12"/>
  <c r="AH233" i="12"/>
  <c r="AJ233" i="12"/>
  <c r="AF81" i="12"/>
  <c r="AF42" i="12"/>
  <c r="AF433" i="12"/>
  <c r="AF27" i="12"/>
  <c r="AF308" i="12"/>
  <c r="AF15" i="12"/>
  <c r="AF166" i="12"/>
  <c r="AF327" i="12"/>
  <c r="AF493" i="12"/>
  <c r="AF472" i="12"/>
  <c r="AF459" i="12"/>
  <c r="AF444" i="12"/>
  <c r="AF437" i="12"/>
  <c r="AF430" i="12"/>
  <c r="AF411" i="12"/>
  <c r="AF406" i="12"/>
  <c r="AF387" i="12"/>
  <c r="AF375" i="12"/>
  <c r="AF323" i="12"/>
  <c r="AF300" i="12"/>
  <c r="AF289" i="12"/>
  <c r="AF279" i="12"/>
  <c r="AF258" i="12"/>
  <c r="AF232" i="12"/>
  <c r="AF216" i="12"/>
  <c r="AF203" i="12"/>
  <c r="AF195" i="12"/>
  <c r="AF136" i="12"/>
  <c r="AF123" i="12"/>
  <c r="AF102" i="12"/>
  <c r="AF90" i="12"/>
  <c r="AF73" i="12"/>
  <c r="AF50" i="12"/>
  <c r="AF25" i="12"/>
  <c r="AF148" i="12"/>
  <c r="AF53" i="12"/>
  <c r="AF360" i="12"/>
  <c r="AF483" i="12"/>
  <c r="AF474" i="12"/>
  <c r="AF371" i="12"/>
  <c r="AF314" i="12"/>
  <c r="AF400" i="12"/>
  <c r="AF396" i="12"/>
  <c r="AF368" i="12"/>
  <c r="AF315" i="12"/>
  <c r="AF230" i="12"/>
  <c r="AF265" i="12"/>
  <c r="AF251" i="12"/>
  <c r="AF240" i="12"/>
  <c r="AF213" i="12"/>
  <c r="AF199" i="12"/>
  <c r="AF151" i="12"/>
  <c r="AF190" i="12"/>
  <c r="AF183" i="12"/>
  <c r="AF139" i="12"/>
  <c r="AF130" i="12"/>
  <c r="AF98" i="12"/>
  <c r="AF84" i="12"/>
  <c r="AF48" i="12"/>
  <c r="AF38" i="12"/>
  <c r="AH236" i="12"/>
  <c r="AH253" i="12"/>
  <c r="AH397" i="12"/>
  <c r="AH482" i="12"/>
  <c r="AH309" i="12"/>
  <c r="AH368" i="12"/>
  <c r="AH102" i="12"/>
  <c r="AH432" i="12"/>
  <c r="AH49" i="12"/>
  <c r="AJ49" i="12"/>
  <c r="AK87" i="12" s="1"/>
  <c r="AH124" i="12"/>
  <c r="AJ124" i="12"/>
  <c r="AK376" i="12" s="1"/>
  <c r="AJ166" i="12"/>
  <c r="AH166" i="12"/>
  <c r="AH232" i="12"/>
  <c r="AJ323" i="12"/>
  <c r="AH323" i="12"/>
  <c r="AH5" i="12"/>
  <c r="AH307" i="12"/>
  <c r="AH20" i="12"/>
  <c r="AJ69" i="12"/>
  <c r="AH69" i="12"/>
  <c r="AJ114" i="12"/>
  <c r="AH114" i="12"/>
  <c r="AJ177" i="12"/>
  <c r="AH177" i="12"/>
  <c r="AH289" i="12"/>
  <c r="AJ289" i="12"/>
  <c r="AH325" i="12"/>
  <c r="AH344" i="12"/>
  <c r="AJ326" i="12"/>
  <c r="AH326" i="12"/>
  <c r="AH50" i="12"/>
  <c r="AH100" i="12"/>
  <c r="AH154" i="12"/>
  <c r="AH303" i="12"/>
  <c r="AH493" i="12"/>
  <c r="AJ493" i="12"/>
  <c r="AH472" i="12"/>
  <c r="AH459" i="12"/>
  <c r="AJ444" i="12"/>
  <c r="AH444" i="12"/>
  <c r="AJ437" i="12"/>
  <c r="AH437" i="12"/>
  <c r="AH421" i="12"/>
  <c r="AJ421" i="12"/>
  <c r="AH407" i="12"/>
  <c r="AJ407" i="12"/>
  <c r="AH390" i="12"/>
  <c r="AJ390" i="12"/>
  <c r="AH379" i="12"/>
  <c r="AJ379" i="12"/>
  <c r="AH281" i="12"/>
  <c r="AJ281" i="12"/>
  <c r="AH260" i="12"/>
  <c r="AJ260" i="12"/>
  <c r="AK260" i="12" s="1"/>
  <c r="AH234" i="12"/>
  <c r="AJ90" i="12"/>
  <c r="AH90" i="12"/>
  <c r="AK238" i="12"/>
  <c r="AK220" i="12"/>
  <c r="AH313" i="12"/>
  <c r="AH151" i="12"/>
  <c r="AH75" i="12"/>
  <c r="AH48" i="12"/>
  <c r="AF86" i="12"/>
  <c r="AF142" i="12"/>
  <c r="AF495" i="12"/>
  <c r="AF486" i="12"/>
  <c r="AF478" i="12"/>
  <c r="AF465" i="12"/>
  <c r="AF457" i="12"/>
  <c r="AF449" i="12"/>
  <c r="AF441" i="12"/>
  <c r="AF374" i="12"/>
  <c r="AF346" i="12"/>
  <c r="AF423" i="12"/>
  <c r="AF412" i="12"/>
  <c r="AF401" i="12"/>
  <c r="AF391" i="12"/>
  <c r="AF384" i="12"/>
  <c r="AF348" i="12"/>
  <c r="AF358" i="12"/>
  <c r="AF332" i="12"/>
  <c r="AF306" i="12"/>
  <c r="AF296" i="12"/>
  <c r="AF287" i="12"/>
  <c r="AF280" i="12"/>
  <c r="AF273" i="12"/>
  <c r="AF266" i="12"/>
  <c r="AF259" i="12"/>
  <c r="AF248" i="12"/>
  <c r="AF235" i="12"/>
  <c r="AF231" i="12"/>
  <c r="AF155" i="12"/>
  <c r="AF206" i="12"/>
  <c r="AF165" i="12"/>
  <c r="AF196" i="12"/>
  <c r="AF146" i="12"/>
  <c r="AF145" i="12"/>
  <c r="AF129" i="12"/>
  <c r="AF120" i="12"/>
  <c r="AF115" i="12"/>
  <c r="AF106" i="12"/>
  <c r="AF99" i="12"/>
  <c r="AF91" i="12"/>
  <c r="AF40" i="12"/>
  <c r="AF58" i="12"/>
  <c r="AF22" i="12"/>
  <c r="AF36" i="12"/>
  <c r="AF24" i="12"/>
  <c r="AF3" i="12"/>
  <c r="AG502" i="12"/>
  <c r="AG527" i="12"/>
  <c r="AG523" i="12"/>
  <c r="AG517" i="12"/>
  <c r="AG519" i="12"/>
  <c r="AG505" i="12"/>
  <c r="AG497" i="12"/>
  <c r="AG518" i="12"/>
  <c r="AF528" i="12"/>
  <c r="AF524" i="12"/>
  <c r="AF520" i="12"/>
  <c r="AF516" i="12"/>
  <c r="AF512" i="12"/>
  <c r="AF508" i="12"/>
  <c r="AF504" i="12"/>
  <c r="AF500" i="12"/>
  <c r="AF496" i="12"/>
  <c r="AG139" i="12"/>
  <c r="AG317" i="12"/>
  <c r="AG220" i="12"/>
  <c r="AG79" i="12"/>
  <c r="AG337" i="12"/>
  <c r="AG319" i="12"/>
  <c r="AG84" i="12"/>
  <c r="AG316" i="12"/>
  <c r="AG362" i="12"/>
  <c r="AG373" i="12"/>
  <c r="AG477" i="12"/>
  <c r="AG309" i="12"/>
  <c r="AG476" i="12"/>
  <c r="AG425" i="12"/>
  <c r="AG313" i="12"/>
  <c r="AG236" i="12"/>
  <c r="AG270" i="12"/>
  <c r="AG210" i="12"/>
  <c r="AG315" i="12"/>
  <c r="AG201" i="12"/>
  <c r="AG198" i="12"/>
  <c r="AG190" i="12"/>
  <c r="AG122" i="12"/>
  <c r="AG98" i="12"/>
  <c r="AG46" i="12"/>
  <c r="AG561" i="12"/>
  <c r="AG557" i="12"/>
  <c r="AG553" i="12"/>
  <c r="AG549" i="12"/>
  <c r="AG545" i="12"/>
  <c r="AG541" i="12"/>
  <c r="AG537" i="12"/>
  <c r="AG533" i="12"/>
  <c r="AH138" i="12"/>
  <c r="AG327" i="12"/>
  <c r="AG318" i="12"/>
  <c r="AG323" i="12"/>
  <c r="AG311" i="12"/>
  <c r="AG42" i="12"/>
  <c r="AG329" i="12"/>
  <c r="AG379" i="12"/>
  <c r="AG383" i="12"/>
  <c r="AG410" i="12"/>
  <c r="AG404" i="12"/>
  <c r="AG279" i="12"/>
  <c r="AG466" i="12"/>
  <c r="AG455" i="12"/>
  <c r="AG421" i="12"/>
  <c r="AG381" i="12"/>
  <c r="AG310" i="12"/>
  <c r="AG367" i="12"/>
  <c r="AG281" i="12"/>
  <c r="AG260" i="12"/>
  <c r="AG294" i="12"/>
  <c r="AG285" i="12"/>
  <c r="AG218" i="12"/>
  <c r="AG222" i="12"/>
  <c r="AG202" i="12"/>
  <c r="AG169" i="12"/>
  <c r="AG162" i="12"/>
  <c r="AG135" i="12"/>
  <c r="AG123" i="12"/>
  <c r="AG97" i="12"/>
  <c r="AG74" i="12"/>
  <c r="AG71" i="12"/>
  <c r="AG49" i="12"/>
  <c r="AG15" i="12"/>
  <c r="AG5" i="12"/>
  <c r="M8" i="8"/>
  <c r="L43" i="9"/>
  <c r="N13" i="9"/>
  <c r="AH2" i="12"/>
  <c r="T12" i="9"/>
  <c r="K12" i="9" s="1"/>
  <c r="R12" i="9"/>
  <c r="F12" i="9" s="1"/>
  <c r="G11" i="9"/>
  <c r="G12" i="9"/>
  <c r="P13" i="9"/>
  <c r="Q13" i="9" s="1"/>
  <c r="T13" i="9" s="1"/>
  <c r="H13" i="9" s="1"/>
  <c r="O64" i="29"/>
  <c r="F97" i="14"/>
  <c r="F99" i="14" s="1"/>
  <c r="G97" i="14"/>
  <c r="G99" i="14" s="1"/>
  <c r="O56" i="29"/>
  <c r="O62" i="29"/>
  <c r="P59" i="29"/>
  <c r="O58" i="29"/>
  <c r="P53" i="29"/>
  <c r="P50" i="29"/>
  <c r="P57" i="29"/>
  <c r="P51" i="29"/>
  <c r="O59" i="29"/>
  <c r="O54" i="29"/>
  <c r="P56" i="29"/>
  <c r="P52" i="29"/>
  <c r="R63" i="29"/>
  <c r="O51" i="29"/>
  <c r="P58" i="29"/>
  <c r="R65" i="29"/>
  <c r="O57" i="29"/>
  <c r="S5" i="29"/>
  <c r="O52" i="29"/>
  <c r="O53" i="29"/>
  <c r="P55" i="29"/>
  <c r="O71" i="29"/>
  <c r="O50" i="29"/>
  <c r="R64" i="29"/>
  <c r="O68" i="29"/>
  <c r="R71" i="29"/>
  <c r="R68" i="29"/>
  <c r="O69" i="29"/>
  <c r="P54" i="29"/>
  <c r="R62" i="29"/>
  <c r="R70" i="29"/>
  <c r="R69" i="29"/>
  <c r="R67" i="29"/>
  <c r="O55" i="29"/>
  <c r="R66" i="29"/>
  <c r="R5" i="29"/>
  <c r="O63" i="29"/>
  <c r="O66" i="29"/>
  <c r="O65" i="29"/>
  <c r="O67" i="29"/>
  <c r="O70" i="29"/>
  <c r="AF2" i="12"/>
  <c r="Y1" i="4"/>
  <c r="AP1" i="4" s="1"/>
  <c r="I1" i="4"/>
  <c r="K29" i="9"/>
  <c r="K36" i="9"/>
  <c r="K37" i="9"/>
  <c r="K33" i="9"/>
  <c r="A15" i="9"/>
  <c r="B14" i="9"/>
  <c r="A6" i="17"/>
  <c r="I5" i="17"/>
  <c r="E5" i="17"/>
  <c r="B6" i="17"/>
  <c r="H5" i="17"/>
  <c r="G5" i="17"/>
  <c r="D5" i="17"/>
  <c r="J5" i="17"/>
  <c r="F5" i="17"/>
  <c r="I36" i="14"/>
  <c r="A9" i="13"/>
  <c r="B9" i="13" s="1"/>
  <c r="AG2" i="12"/>
  <c r="K35" i="9"/>
  <c r="H35" i="9"/>
  <c r="K43" i="9"/>
  <c r="H43" i="9"/>
  <c r="K38" i="9"/>
  <c r="H38" i="9"/>
  <c r="H11" i="9"/>
  <c r="K11" i="9"/>
  <c r="H48" i="14"/>
  <c r="K32" i="9"/>
  <c r="H32" i="9"/>
  <c r="K28" i="9"/>
  <c r="H28" i="9"/>
  <c r="K30" i="9"/>
  <c r="H30" i="9"/>
  <c r="H1" i="14"/>
  <c r="K39" i="9"/>
  <c r="H39" i="9"/>
  <c r="H34" i="9"/>
  <c r="K34" i="9"/>
  <c r="K40" i="9"/>
  <c r="H40" i="9"/>
  <c r="I1" i="5"/>
  <c r="H42" i="9"/>
  <c r="K42" i="9"/>
  <c r="K10" i="9"/>
  <c r="H10" i="9"/>
  <c r="AK483" i="12" l="1"/>
  <c r="AK437" i="12"/>
  <c r="AK326" i="12"/>
  <c r="AK114" i="12"/>
  <c r="AK233" i="12"/>
  <c r="AK394" i="12"/>
  <c r="AK99" i="12"/>
  <c r="AK231" i="12"/>
  <c r="AK29" i="12"/>
  <c r="AK58" i="12"/>
  <c r="AK187" i="12"/>
  <c r="AK553" i="12"/>
  <c r="AK507" i="12"/>
  <c r="AK510" i="12"/>
  <c r="AK244" i="12"/>
  <c r="AK451" i="12"/>
  <c r="AK157" i="12"/>
  <c r="AK51" i="12"/>
  <c r="AK316" i="12"/>
  <c r="AK298" i="12"/>
  <c r="AK474" i="12"/>
  <c r="AK195" i="12"/>
  <c r="AK392" i="12"/>
  <c r="AK161" i="12"/>
  <c r="AK27" i="12"/>
  <c r="AK152" i="12"/>
  <c r="AK310" i="12"/>
  <c r="AK112" i="12"/>
  <c r="AK324" i="12"/>
  <c r="AK317" i="12"/>
  <c r="AK397" i="12"/>
  <c r="AK266" i="12"/>
  <c r="AK395" i="12"/>
  <c r="AK422" i="12"/>
  <c r="AK445" i="12"/>
  <c r="AK462" i="12"/>
  <c r="AK348" i="12"/>
  <c r="AK88" i="12"/>
  <c r="AK17" i="12"/>
  <c r="AK120" i="12"/>
  <c r="AK521" i="12"/>
  <c r="AK527" i="12"/>
  <c r="AK524" i="12"/>
  <c r="AK83" i="12"/>
  <c r="AK104" i="12"/>
  <c r="AK179" i="12"/>
  <c r="AK250" i="12"/>
  <c r="AK84" i="12"/>
  <c r="AK371" i="12"/>
  <c r="AK404" i="12"/>
  <c r="AK427" i="12"/>
  <c r="AK455" i="12"/>
  <c r="AK178" i="12"/>
  <c r="AK74" i="12"/>
  <c r="AK60" i="12"/>
  <c r="AK193" i="12"/>
  <c r="AK384" i="12"/>
  <c r="AK494" i="12"/>
  <c r="AK65" i="12"/>
  <c r="AK12" i="12"/>
  <c r="AK221" i="12"/>
  <c r="AK16" i="12"/>
  <c r="AK362" i="12"/>
  <c r="AK265" i="12"/>
  <c r="AK549" i="12"/>
  <c r="AK544" i="12"/>
  <c r="AK505" i="12"/>
  <c r="AK518" i="12"/>
  <c r="AK261" i="12"/>
  <c r="AK469" i="12"/>
  <c r="AK134" i="12"/>
  <c r="AK67" i="12"/>
  <c r="AK349" i="12"/>
  <c r="AK138" i="12"/>
  <c r="AK75" i="12"/>
  <c r="AK258" i="12"/>
  <c r="AK442" i="12"/>
  <c r="AK468" i="12"/>
  <c r="AK32" i="12"/>
  <c r="AK416" i="12"/>
  <c r="AK241" i="12"/>
  <c r="AK263" i="12"/>
  <c r="AK393" i="12"/>
  <c r="AK342" i="12"/>
  <c r="AK374" i="12"/>
  <c r="AK214" i="12"/>
  <c r="AK56" i="12"/>
  <c r="AK372" i="12"/>
  <c r="AK537" i="12"/>
  <c r="AK540" i="12"/>
  <c r="AK552" i="12"/>
  <c r="AK526" i="12"/>
  <c r="AK529" i="12"/>
  <c r="AK189" i="12"/>
  <c r="AK403" i="12"/>
  <c r="AK322" i="12"/>
  <c r="AK230" i="12"/>
  <c r="AK425" i="12"/>
  <c r="AK90" i="12"/>
  <c r="AK281" i="12"/>
  <c r="AK390" i="12"/>
  <c r="AK421" i="12"/>
  <c r="AK493" i="12"/>
  <c r="AK49" i="12"/>
  <c r="AK44" i="12"/>
  <c r="AK337" i="12"/>
  <c r="AK450" i="12"/>
  <c r="AK467" i="12"/>
  <c r="AK431" i="12"/>
  <c r="AK115" i="12"/>
  <c r="AK142" i="12"/>
  <c r="AK7" i="12"/>
  <c r="AK132" i="12"/>
  <c r="AK34" i="12"/>
  <c r="AK320" i="12"/>
  <c r="AK149" i="12"/>
  <c r="AK477" i="12"/>
  <c r="AK511" i="12"/>
  <c r="AK420" i="12"/>
  <c r="AK52" i="12"/>
  <c r="AK19" i="12"/>
  <c r="AK107" i="12"/>
  <c r="AK48" i="12"/>
  <c r="AK461" i="12"/>
  <c r="AK433" i="12"/>
  <c r="AK212" i="12"/>
  <c r="AK224" i="12"/>
  <c r="AK98" i="12"/>
  <c r="AK343" i="12"/>
  <c r="AK253" i="12"/>
  <c r="AK248" i="12"/>
  <c r="AK382" i="12"/>
  <c r="AK490" i="12"/>
  <c r="AK80" i="12"/>
  <c r="AK103" i="12"/>
  <c r="AK106" i="12"/>
  <c r="AK22" i="12"/>
  <c r="AK95" i="12"/>
  <c r="AK543" i="12"/>
  <c r="AK556" i="12"/>
  <c r="AK535" i="12"/>
  <c r="AK414" i="12"/>
  <c r="AK4" i="12"/>
  <c r="AK364" i="12"/>
  <c r="AK485" i="12"/>
  <c r="AK190" i="12"/>
  <c r="AK353" i="12"/>
  <c r="AK216" i="12"/>
  <c r="AK329" i="12"/>
  <c r="AK215" i="12"/>
  <c r="AK237" i="12"/>
  <c r="AK262" i="12"/>
  <c r="AK275" i="12"/>
  <c r="AK412" i="12"/>
  <c r="AK438" i="12"/>
  <c r="AK453" i="12"/>
  <c r="AK484" i="12"/>
  <c r="AK40" i="12"/>
  <c r="AK146" i="12"/>
  <c r="AK111" i="12"/>
  <c r="AK332" i="12"/>
  <c r="AK116" i="12"/>
  <c r="AK148" i="12"/>
  <c r="AK240" i="12"/>
  <c r="AK561" i="12"/>
  <c r="AK497" i="12"/>
  <c r="AK519" i="12"/>
  <c r="AK363" i="12"/>
  <c r="AK370" i="12"/>
  <c r="AK59" i="12"/>
  <c r="AK201" i="12"/>
  <c r="AK151" i="12"/>
  <c r="AK182" i="12"/>
  <c r="AK430" i="12"/>
  <c r="AK71" i="12"/>
  <c r="AK203" i="12"/>
  <c r="AK78" i="12"/>
  <c r="AK352" i="12"/>
  <c r="AK327" i="12"/>
  <c r="AK369" i="12"/>
  <c r="AK309" i="12"/>
  <c r="AK270" i="12"/>
  <c r="AK429" i="12"/>
  <c r="AK449" i="12"/>
  <c r="AK465" i="12"/>
  <c r="AK486" i="12"/>
  <c r="AK330" i="12"/>
  <c r="AK137" i="12"/>
  <c r="AK91" i="12"/>
  <c r="AK105" i="12"/>
  <c r="AK208" i="12"/>
  <c r="AK297" i="12"/>
  <c r="AK126" i="12"/>
  <c r="AK558" i="12"/>
  <c r="AK506" i="12"/>
  <c r="AK448" i="12"/>
  <c r="AK150" i="12"/>
  <c r="AK72" i="12"/>
  <c r="AK8" i="12"/>
  <c r="AK257" i="12"/>
  <c r="AK122" i="12"/>
  <c r="AK314" i="12"/>
  <c r="AK444" i="12"/>
  <c r="AK177" i="12"/>
  <c r="AK69" i="12"/>
  <c r="AK166" i="12"/>
  <c r="AK11" i="12"/>
  <c r="AK388" i="12"/>
  <c r="AK305" i="12"/>
  <c r="AK361" i="12"/>
  <c r="AK13" i="12"/>
  <c r="AK46" i="12"/>
  <c r="AK365" i="12"/>
  <c r="AK396" i="12"/>
  <c r="AK546" i="12"/>
  <c r="AK559" i="12"/>
  <c r="AK517" i="12"/>
  <c r="AK269" i="12"/>
  <c r="AK302" i="12"/>
  <c r="AK299" i="12"/>
  <c r="AK121" i="12"/>
  <c r="AK61" i="12"/>
  <c r="AK360" i="12"/>
  <c r="AK381" i="12"/>
  <c r="AK409" i="12"/>
  <c r="AK439" i="12"/>
  <c r="AK153" i="12"/>
  <c r="AK97" i="12"/>
  <c r="AK345" i="12"/>
  <c r="AK355" i="12"/>
  <c r="AK173" i="12"/>
  <c r="AK73" i="12"/>
  <c r="AK213" i="12"/>
  <c r="AK236" i="12"/>
  <c r="AK408" i="12"/>
  <c r="AK452" i="12"/>
  <c r="AK471" i="12"/>
  <c r="AK288" i="12"/>
  <c r="AK119" i="12"/>
  <c r="AK68" i="12"/>
  <c r="AK296" i="12"/>
  <c r="AK79" i="12"/>
  <c r="AK373" i="12"/>
  <c r="AK514" i="12"/>
  <c r="AK246" i="12"/>
  <c r="AK217" i="12"/>
  <c r="AK38" i="12"/>
  <c r="AK428" i="12"/>
  <c r="AK183" i="12"/>
  <c r="AK64" i="12"/>
  <c r="AK398" i="12"/>
  <c r="AK285" i="12"/>
  <c r="AK410" i="12"/>
  <c r="AK466" i="12"/>
  <c r="AK169" i="12"/>
  <c r="AK127" i="12"/>
  <c r="AK357" i="12"/>
  <c r="AK93" i="12"/>
  <c r="AK128" i="12"/>
  <c r="AK227" i="12"/>
  <c r="AK206" i="12"/>
  <c r="AK94" i="12"/>
  <c r="AK319" i="12"/>
  <c r="AK491" i="12"/>
  <c r="AK192" i="12"/>
  <c r="AK539" i="12"/>
  <c r="AK528" i="12"/>
  <c r="AK525" i="12"/>
  <c r="AK447" i="12"/>
  <c r="AK211" i="12"/>
  <c r="AK336" i="12"/>
  <c r="AK168" i="12"/>
  <c r="AK108" i="12"/>
  <c r="AK476" i="12"/>
  <c r="AK199" i="12"/>
  <c r="AK313" i="12"/>
  <c r="AK186" i="12"/>
  <c r="AK279" i="12"/>
  <c r="AK406" i="12"/>
  <c r="AK456" i="12"/>
  <c r="AK488" i="12"/>
  <c r="AK205" i="12"/>
  <c r="AK318" i="12"/>
  <c r="AK62" i="12"/>
  <c r="AK144" i="12"/>
  <c r="AK368" i="12"/>
  <c r="AK242" i="12"/>
  <c r="AK254" i="12"/>
  <c r="AK386" i="12"/>
  <c r="AK402" i="12"/>
  <c r="AK495" i="12"/>
  <c r="AK176" i="12"/>
  <c r="AK347" i="12"/>
  <c r="AK145" i="12"/>
  <c r="AK70" i="12"/>
  <c r="AK86" i="12"/>
  <c r="AK315" i="12"/>
  <c r="AK550" i="12"/>
  <c r="AK545" i="12"/>
  <c r="AK513" i="12"/>
  <c r="AK522" i="12"/>
  <c r="AK267" i="12"/>
  <c r="AK419" i="12"/>
  <c r="AK481" i="12"/>
  <c r="AK89" i="12"/>
  <c r="AK85" i="12"/>
  <c r="AK359" i="12"/>
  <c r="AK130" i="12"/>
  <c r="AK239" i="12"/>
  <c r="AK379" i="12"/>
  <c r="AK407" i="12"/>
  <c r="AK289" i="12"/>
  <c r="AK323" i="12"/>
  <c r="AK124" i="12"/>
  <c r="AK174" i="12"/>
  <c r="AK256" i="12"/>
  <c r="AK278" i="12"/>
  <c r="AK417" i="12"/>
  <c r="AK443" i="12"/>
  <c r="AK458" i="12"/>
  <c r="AK33" i="12"/>
  <c r="AK129" i="12"/>
  <c r="AK125" i="12"/>
  <c r="AK158" i="12"/>
  <c r="AK66" i="12"/>
  <c r="AK39" i="12"/>
  <c r="AK251" i="12"/>
  <c r="AK554" i="12"/>
  <c r="AK516" i="12"/>
  <c r="AK520" i="12"/>
  <c r="AK304" i="12"/>
  <c r="AK274" i="12"/>
  <c r="AK475" i="12"/>
  <c r="AK290" i="12"/>
  <c r="AK55" i="12"/>
  <c r="AK141" i="12"/>
  <c r="AK14" i="12"/>
  <c r="AK171" i="12"/>
  <c r="AK235" i="12"/>
  <c r="AK280" i="12"/>
  <c r="AK480" i="12"/>
  <c r="AK172" i="12"/>
  <c r="AK333" i="12"/>
  <c r="AK228" i="12"/>
  <c r="AK340" i="12"/>
  <c r="AK200" i="12"/>
  <c r="AK101" i="12"/>
  <c r="AK547" i="12"/>
  <c r="AK560" i="12"/>
  <c r="AK496" i="12"/>
  <c r="AK515" i="12"/>
  <c r="AK426" i="12"/>
  <c r="AK41" i="12"/>
  <c r="AK339" i="12"/>
  <c r="AK175" i="12"/>
  <c r="AK139" i="12"/>
  <c r="AK378" i="12"/>
  <c r="AK163" i="12"/>
  <c r="AK277" i="12"/>
  <c r="AK487" i="12"/>
  <c r="AK135" i="12"/>
  <c r="AK35" i="12"/>
  <c r="AK210" i="12"/>
  <c r="AK249" i="12"/>
  <c r="AK268" i="12"/>
  <c r="AK401" i="12"/>
  <c r="AK446" i="12"/>
  <c r="AK463" i="12"/>
  <c r="AK140" i="12"/>
  <c r="AK434" i="12"/>
  <c r="AK287" i="12"/>
  <c r="AK57" i="12"/>
  <c r="AK321" i="12"/>
  <c r="AK164" i="12"/>
  <c r="AK28" i="12"/>
  <c r="AK557" i="12"/>
  <c r="AK536" i="12"/>
  <c r="AK418" i="12"/>
  <c r="AK356" i="12"/>
  <c r="AK295" i="12"/>
  <c r="AK53" i="12"/>
  <c r="AK367" i="12"/>
  <c r="AK117" i="12"/>
  <c r="AK300" i="12"/>
  <c r="AK131" i="12"/>
  <c r="AK219" i="12"/>
  <c r="AK276" i="12"/>
  <c r="AK457" i="12"/>
  <c r="AK478" i="12"/>
  <c r="AK204" i="12"/>
  <c r="AK118" i="12"/>
  <c r="AK207" i="12"/>
  <c r="AK209" i="12"/>
  <c r="AK512" i="12"/>
  <c r="AK110" i="12"/>
  <c r="AK63" i="12"/>
  <c r="AK170" i="12"/>
  <c r="AK350" i="12"/>
  <c r="AK188" i="12"/>
  <c r="M9" i="8"/>
  <c r="N14" i="9"/>
  <c r="C2" i="13"/>
  <c r="H12" i="9"/>
  <c r="I12" i="9"/>
  <c r="R13" i="9"/>
  <c r="F13" i="9" s="1"/>
  <c r="S13" i="9"/>
  <c r="G13" i="9" s="1"/>
  <c r="P14" i="9"/>
  <c r="Q14" i="9" s="1"/>
  <c r="S14" i="9" s="1"/>
  <c r="G14" i="9" s="1"/>
  <c r="H98" i="14"/>
  <c r="K89" i="14" s="1"/>
  <c r="F98" i="14"/>
  <c r="I87" i="14" s="1"/>
  <c r="G98" i="14"/>
  <c r="J94" i="14" s="1"/>
  <c r="L10" i="9"/>
  <c r="L29" i="9"/>
  <c r="Z1" i="4"/>
  <c r="AQ1" i="4" s="1"/>
  <c r="J1" i="4"/>
  <c r="L30" i="9"/>
  <c r="L28" i="9"/>
  <c r="L39" i="9"/>
  <c r="L31" i="9"/>
  <c r="L41" i="9"/>
  <c r="L37" i="9"/>
  <c r="L35" i="9"/>
  <c r="L36" i="9"/>
  <c r="L38" i="9"/>
  <c r="L42" i="9"/>
  <c r="L33" i="9"/>
  <c r="L32" i="9"/>
  <c r="L40" i="9"/>
  <c r="L34" i="9"/>
  <c r="L13" i="9"/>
  <c r="L11" i="9"/>
  <c r="L14" i="9"/>
  <c r="L12" i="9"/>
  <c r="A16" i="9"/>
  <c r="B15" i="9"/>
  <c r="K13" i="9"/>
  <c r="J1" i="5"/>
  <c r="A10" i="13"/>
  <c r="B10" i="13" s="1"/>
  <c r="A7" i="17"/>
  <c r="I6" i="17"/>
  <c r="E6" i="17"/>
  <c r="G6" i="17"/>
  <c r="F6" i="17"/>
  <c r="J6" i="17"/>
  <c r="B7" i="17"/>
  <c r="D6" i="17"/>
  <c r="H6" i="17"/>
  <c r="AK2" i="12"/>
  <c r="I1" i="14"/>
  <c r="C3" i="13"/>
  <c r="H3" i="13" s="1"/>
  <c r="C5" i="13"/>
  <c r="I48" i="14"/>
  <c r="M10" i="8" l="1"/>
  <c r="N15" i="9"/>
  <c r="K2" i="13"/>
  <c r="R14" i="9"/>
  <c r="F14" i="9" s="1"/>
  <c r="T14" i="9"/>
  <c r="H14" i="9" s="1"/>
  <c r="P15" i="9"/>
  <c r="Q15" i="9" s="1"/>
  <c r="R15" i="9" s="1"/>
  <c r="F15" i="9" s="1"/>
  <c r="J13" i="9"/>
  <c r="I13" i="9"/>
  <c r="L2" i="13"/>
  <c r="I88" i="14"/>
  <c r="I89" i="14"/>
  <c r="I95" i="14"/>
  <c r="I96" i="14"/>
  <c r="I90" i="14"/>
  <c r="I93" i="14"/>
  <c r="I92" i="14"/>
  <c r="I91" i="14"/>
  <c r="I94" i="14"/>
  <c r="J93" i="14"/>
  <c r="J90" i="14"/>
  <c r="J88" i="14"/>
  <c r="I98" i="14"/>
  <c r="K92" i="14"/>
  <c r="K88" i="14"/>
  <c r="K91" i="14"/>
  <c r="K90" i="14"/>
  <c r="K95" i="14"/>
  <c r="K96" i="14"/>
  <c r="K94" i="14"/>
  <c r="K93" i="14"/>
  <c r="K87" i="14"/>
  <c r="J95" i="14"/>
  <c r="J92" i="14"/>
  <c r="J87" i="14"/>
  <c r="J89" i="14"/>
  <c r="J91" i="14"/>
  <c r="J96" i="14"/>
  <c r="K1" i="4"/>
  <c r="AA1" i="4"/>
  <c r="AR1" i="4" s="1"/>
  <c r="L8" i="13"/>
  <c r="K8" i="13"/>
  <c r="E8" i="13"/>
  <c r="C8" i="13"/>
  <c r="L15" i="9"/>
  <c r="A17" i="9"/>
  <c r="B16" i="9"/>
  <c r="J14" i="9"/>
  <c r="E2" i="13"/>
  <c r="J1" i="14"/>
  <c r="A8" i="17"/>
  <c r="I7" i="17"/>
  <c r="E7" i="17"/>
  <c r="F7" i="17"/>
  <c r="J7" i="17"/>
  <c r="D7" i="17"/>
  <c r="H7" i="17"/>
  <c r="G7" i="17"/>
  <c r="B8" i="17"/>
  <c r="A11" i="13"/>
  <c r="B11" i="13" s="1"/>
  <c r="E5" i="13"/>
  <c r="K5" i="13"/>
  <c r="L5" i="13"/>
  <c r="E6" i="13"/>
  <c r="K6" i="13"/>
  <c r="L6" i="13"/>
  <c r="C6" i="13"/>
  <c r="E3" i="13"/>
  <c r="K3" i="13"/>
  <c r="G3" i="13"/>
  <c r="L3" i="13"/>
  <c r="E7" i="13"/>
  <c r="K7" i="13"/>
  <c r="L7" i="13"/>
  <c r="C7" i="13"/>
  <c r="E4" i="13"/>
  <c r="K4" i="13"/>
  <c r="C4" i="13"/>
  <c r="L4" i="13"/>
  <c r="E9" i="13"/>
  <c r="K9" i="13"/>
  <c r="L9" i="13"/>
  <c r="C9" i="13"/>
  <c r="K1" i="5"/>
  <c r="M11" i="8" l="1"/>
  <c r="H2" i="13"/>
  <c r="G2" i="13"/>
  <c r="N16" i="9"/>
  <c r="K14" i="9"/>
  <c r="I14" i="9"/>
  <c r="T15" i="9"/>
  <c r="H15" i="9" s="1"/>
  <c r="S15" i="9"/>
  <c r="G15" i="9" s="1"/>
  <c r="G9" i="13"/>
  <c r="H9" i="13"/>
  <c r="G7" i="13"/>
  <c r="H7" i="13"/>
  <c r="G6" i="13"/>
  <c r="H6" i="13"/>
  <c r="G5" i="13"/>
  <c r="H5" i="13"/>
  <c r="G4" i="13"/>
  <c r="H4" i="13"/>
  <c r="G8" i="13"/>
  <c r="H8" i="13"/>
  <c r="AB1" i="4"/>
  <c r="AS1" i="4" s="1"/>
  <c r="L1" i="4"/>
  <c r="M8" i="13"/>
  <c r="N8" i="13" s="1"/>
  <c r="Q8" i="13"/>
  <c r="F8" i="13"/>
  <c r="P16" i="9"/>
  <c r="Q16" i="9" s="1"/>
  <c r="L16" i="9"/>
  <c r="A18" i="9"/>
  <c r="B17" i="9"/>
  <c r="I15" i="9"/>
  <c r="L1" i="5"/>
  <c r="Q4" i="13"/>
  <c r="Q7" i="13"/>
  <c r="Q3" i="13"/>
  <c r="M5" i="13"/>
  <c r="N5" i="13" s="1"/>
  <c r="F5" i="13"/>
  <c r="A9" i="17"/>
  <c r="I8" i="17"/>
  <c r="E8" i="17"/>
  <c r="J8" i="17"/>
  <c r="D8" i="17"/>
  <c r="B9" i="17"/>
  <c r="H8" i="17"/>
  <c r="G8" i="17"/>
  <c r="F8" i="17"/>
  <c r="M2" i="13"/>
  <c r="N2" i="13" s="1"/>
  <c r="F2" i="13"/>
  <c r="M9" i="13"/>
  <c r="N9" i="13" s="1"/>
  <c r="F9" i="13"/>
  <c r="M4" i="13"/>
  <c r="N4" i="13" s="1"/>
  <c r="F4" i="13"/>
  <c r="M7" i="13"/>
  <c r="N7" i="13" s="1"/>
  <c r="F7" i="13"/>
  <c r="M3" i="13"/>
  <c r="N3" i="13" s="1"/>
  <c r="F3" i="13"/>
  <c r="Q6" i="13"/>
  <c r="B24" i="14" s="1"/>
  <c r="K1" i="14"/>
  <c r="Q9" i="13"/>
  <c r="M6" i="13"/>
  <c r="N6" i="13" s="1"/>
  <c r="F6" i="13"/>
  <c r="E10" i="13"/>
  <c r="K10" i="13"/>
  <c r="C10" i="13"/>
  <c r="L10" i="13"/>
  <c r="Q5" i="13"/>
  <c r="A12" i="13"/>
  <c r="B12" i="13" s="1"/>
  <c r="Q2" i="13"/>
  <c r="M12" i="8" l="1"/>
  <c r="N17" i="9"/>
  <c r="K15" i="9"/>
  <c r="J15" i="9"/>
  <c r="G10" i="13"/>
  <c r="H10" i="13"/>
  <c r="O9" i="13"/>
  <c r="R9" i="13" s="1"/>
  <c r="P5" i="13"/>
  <c r="S5" i="13" s="1"/>
  <c r="O6" i="13"/>
  <c r="R6" i="13" s="1"/>
  <c r="P3" i="13"/>
  <c r="S3" i="13" s="1"/>
  <c r="P2" i="13"/>
  <c r="S2" i="13" s="1"/>
  <c r="P4" i="13"/>
  <c r="S4" i="13" s="1"/>
  <c r="O2" i="13"/>
  <c r="R2" i="13" s="1"/>
  <c r="O5" i="13"/>
  <c r="R5" i="13" s="1"/>
  <c r="O3" i="13"/>
  <c r="R3" i="13" s="1"/>
  <c r="O4" i="13"/>
  <c r="R4" i="13" s="1"/>
  <c r="O8" i="13"/>
  <c r="R8" i="13" s="1"/>
  <c r="O7" i="13"/>
  <c r="R7" i="13" s="1"/>
  <c r="P8" i="13"/>
  <c r="S8" i="13" s="1"/>
  <c r="U8" i="13" s="1"/>
  <c r="P6" i="13"/>
  <c r="S6" i="13" s="1"/>
  <c r="P7" i="13"/>
  <c r="S7" i="13" s="1"/>
  <c r="U7" i="13" s="1"/>
  <c r="P9" i="13"/>
  <c r="S9" i="13" s="1"/>
  <c r="AC1" i="4"/>
  <c r="AT1" i="4" s="1"/>
  <c r="M1" i="4"/>
  <c r="P17" i="9"/>
  <c r="Q17" i="9" s="1"/>
  <c r="L17" i="9"/>
  <c r="A19" i="9"/>
  <c r="B18" i="9"/>
  <c r="S16" i="9"/>
  <c r="J16" i="9" s="1"/>
  <c r="R16" i="9"/>
  <c r="F16" i="9" s="1"/>
  <c r="T16" i="9"/>
  <c r="K16" i="9" s="1"/>
  <c r="A10" i="17"/>
  <c r="I9" i="17"/>
  <c r="E9" i="17"/>
  <c r="B10" i="17"/>
  <c r="H9" i="17"/>
  <c r="G9" i="17"/>
  <c r="F9" i="17"/>
  <c r="J9" i="17"/>
  <c r="D9" i="17"/>
  <c r="Q10" i="13"/>
  <c r="L1" i="14"/>
  <c r="A13" i="13"/>
  <c r="B13" i="13" s="1"/>
  <c r="E11" i="13"/>
  <c r="K11" i="13"/>
  <c r="L11" i="13"/>
  <c r="C11" i="13"/>
  <c r="H11" i="13" s="1"/>
  <c r="M10" i="13"/>
  <c r="N10" i="13" s="1"/>
  <c r="F10" i="13"/>
  <c r="M1" i="5"/>
  <c r="M13" i="8" l="1"/>
  <c r="N18" i="9"/>
  <c r="U9" i="13"/>
  <c r="P10" i="13"/>
  <c r="S10" i="13" s="1"/>
  <c r="G11" i="13"/>
  <c r="O10" i="13"/>
  <c r="R10" i="13" s="1"/>
  <c r="U2" i="13"/>
  <c r="AD1" i="4"/>
  <c r="AU1" i="4" s="1"/>
  <c r="N1" i="4"/>
  <c r="G16" i="9"/>
  <c r="H16" i="9"/>
  <c r="P18" i="9"/>
  <c r="Q18" i="9" s="1"/>
  <c r="L18" i="9"/>
  <c r="S17" i="9"/>
  <c r="G17" i="9" s="1"/>
  <c r="R17" i="9"/>
  <c r="I17" i="9" s="1"/>
  <c r="T17" i="9"/>
  <c r="H17" i="9" s="1"/>
  <c r="A20" i="9"/>
  <c r="B19" i="9"/>
  <c r="I16" i="9"/>
  <c r="M11" i="13"/>
  <c r="N11" i="13" s="1"/>
  <c r="F11" i="13"/>
  <c r="A14" i="13"/>
  <c r="B14" i="13" s="1"/>
  <c r="Q11" i="13"/>
  <c r="U4" i="13"/>
  <c r="M1" i="14"/>
  <c r="A11" i="17"/>
  <c r="I10" i="17"/>
  <c r="E10" i="17"/>
  <c r="G10" i="17"/>
  <c r="F10" i="17"/>
  <c r="D10" i="17"/>
  <c r="H10" i="17"/>
  <c r="B11" i="17"/>
  <c r="J10" i="17"/>
  <c r="U5" i="13"/>
  <c r="E12" i="13"/>
  <c r="K12" i="13"/>
  <c r="L12" i="13"/>
  <c r="C12" i="13"/>
  <c r="N1" i="5"/>
  <c r="U3" i="13"/>
  <c r="U6" i="13"/>
  <c r="P13" i="8" l="1"/>
  <c r="M14" i="8"/>
  <c r="N19" i="9"/>
  <c r="G12" i="13"/>
  <c r="H12" i="13"/>
  <c r="O11" i="13"/>
  <c r="R11" i="13" s="1"/>
  <c r="P11" i="13"/>
  <c r="S11" i="13" s="1"/>
  <c r="J17" i="9"/>
  <c r="AE1" i="4"/>
  <c r="AV1" i="4" s="1"/>
  <c r="O1" i="4"/>
  <c r="F17" i="9"/>
  <c r="A21" i="9"/>
  <c r="B20" i="9"/>
  <c r="S18" i="9"/>
  <c r="J18" i="9" s="1"/>
  <c r="R18" i="9"/>
  <c r="I18" i="9" s="1"/>
  <c r="T18" i="9"/>
  <c r="K18" i="9" s="1"/>
  <c r="K17" i="9"/>
  <c r="P19" i="9"/>
  <c r="Q19" i="9" s="1"/>
  <c r="L19" i="9"/>
  <c r="M12" i="13"/>
  <c r="N12" i="13" s="1"/>
  <c r="F12" i="13"/>
  <c r="O1" i="5"/>
  <c r="N1" i="14"/>
  <c r="E13" i="13"/>
  <c r="K13" i="13"/>
  <c r="C13" i="13"/>
  <c r="H13" i="13" s="1"/>
  <c r="L13" i="13"/>
  <c r="A12" i="17"/>
  <c r="I11" i="17"/>
  <c r="E11" i="17"/>
  <c r="F11" i="17"/>
  <c r="J11" i="17"/>
  <c r="D11" i="17"/>
  <c r="G11" i="17"/>
  <c r="H11" i="17"/>
  <c r="B12" i="17"/>
  <c r="Q12" i="13"/>
  <c r="U10" i="13"/>
  <c r="A15" i="13"/>
  <c r="B15" i="13" s="1"/>
  <c r="M15" i="8" l="1"/>
  <c r="N20" i="9"/>
  <c r="G13" i="13"/>
  <c r="O12" i="13"/>
  <c r="R12" i="13" s="1"/>
  <c r="P12" i="13"/>
  <c r="S12" i="13" s="1"/>
  <c r="AF1" i="4"/>
  <c r="AW1" i="4" s="1"/>
  <c r="P1" i="4"/>
  <c r="G18" i="9"/>
  <c r="F18" i="9"/>
  <c r="H18" i="9"/>
  <c r="P20" i="9"/>
  <c r="Q20" i="9" s="1"/>
  <c r="L20" i="9"/>
  <c r="S19" i="9"/>
  <c r="J19" i="9" s="1"/>
  <c r="R19" i="9"/>
  <c r="F19" i="9" s="1"/>
  <c r="T19" i="9"/>
  <c r="H19" i="9" s="1"/>
  <c r="A22" i="9"/>
  <c r="B21" i="9"/>
  <c r="A16" i="13"/>
  <c r="B16" i="13" s="1"/>
  <c r="M13" i="13"/>
  <c r="N13" i="13" s="1"/>
  <c r="F13" i="13"/>
  <c r="U11" i="13"/>
  <c r="E14" i="13"/>
  <c r="K14" i="13"/>
  <c r="L14" i="13"/>
  <c r="C14" i="13"/>
  <c r="H14" i="13" s="1"/>
  <c r="I12" i="17"/>
  <c r="E12" i="17"/>
  <c r="B13" i="17"/>
  <c r="H12" i="17"/>
  <c r="D12" i="17"/>
  <c r="G12" i="17"/>
  <c r="F12" i="17"/>
  <c r="J12" i="17"/>
  <c r="A13" i="17"/>
  <c r="Q13" i="13"/>
  <c r="O1" i="14"/>
  <c r="P1" i="5"/>
  <c r="M16" i="8" l="1"/>
  <c r="I19" i="9"/>
  <c r="N21" i="9"/>
  <c r="U12" i="13"/>
  <c r="P13" i="13"/>
  <c r="S13" i="13" s="1"/>
  <c r="O13" i="13"/>
  <c r="R13" i="13" s="1"/>
  <c r="G14" i="13"/>
  <c r="Q1" i="4"/>
  <c r="AG1" i="4"/>
  <c r="AX1" i="4" s="1"/>
  <c r="K19" i="9"/>
  <c r="G19" i="9"/>
  <c r="P21" i="9"/>
  <c r="Q21" i="9" s="1"/>
  <c r="L21" i="9"/>
  <c r="A23" i="9"/>
  <c r="B23" i="9" s="1"/>
  <c r="B22" i="9"/>
  <c r="R20" i="9"/>
  <c r="I20" i="9" s="1"/>
  <c r="S20" i="9"/>
  <c r="J20" i="9" s="1"/>
  <c r="T20" i="9"/>
  <c r="H20" i="9" s="1"/>
  <c r="E15" i="13"/>
  <c r="K15" i="13"/>
  <c r="C15" i="13"/>
  <c r="L15" i="13"/>
  <c r="A17" i="13"/>
  <c r="B17" i="13" s="1"/>
  <c r="Q1" i="5"/>
  <c r="M14" i="13"/>
  <c r="N14" i="13" s="1"/>
  <c r="F14" i="13"/>
  <c r="A14" i="17"/>
  <c r="G13" i="17"/>
  <c r="J13" i="17"/>
  <c r="F13" i="17"/>
  <c r="E13" i="17"/>
  <c r="B14" i="17"/>
  <c r="D13" i="17"/>
  <c r="I13" i="17"/>
  <c r="H13" i="17"/>
  <c r="P1" i="14"/>
  <c r="Q14" i="13"/>
  <c r="M17" i="8" l="1"/>
  <c r="N22" i="9"/>
  <c r="N23" i="9"/>
  <c r="F20" i="9"/>
  <c r="G15" i="13"/>
  <c r="H15" i="13"/>
  <c r="P14" i="13"/>
  <c r="S14" i="13" s="1"/>
  <c r="O14" i="13"/>
  <c r="R14" i="13" s="1"/>
  <c r="R1" i="4"/>
  <c r="AH1" i="4"/>
  <c r="AY1" i="4" s="1"/>
  <c r="A24" i="9"/>
  <c r="A25" i="9" s="1"/>
  <c r="G20" i="9"/>
  <c r="K20" i="9"/>
  <c r="R21" i="9"/>
  <c r="I21" i="9" s="1"/>
  <c r="S21" i="9"/>
  <c r="G21" i="9" s="1"/>
  <c r="T21" i="9"/>
  <c r="H21" i="9" s="1"/>
  <c r="P22" i="9"/>
  <c r="Q22" i="9" s="1"/>
  <c r="L22" i="9"/>
  <c r="I14" i="17"/>
  <c r="E14" i="17"/>
  <c r="B15" i="17"/>
  <c r="H14" i="17"/>
  <c r="D14" i="17"/>
  <c r="A15" i="17"/>
  <c r="J14" i="17"/>
  <c r="F14" i="17"/>
  <c r="G14" i="17"/>
  <c r="M15" i="13"/>
  <c r="N15" i="13" s="1"/>
  <c r="F15" i="13"/>
  <c r="U13" i="13"/>
  <c r="Q15" i="13"/>
  <c r="R1" i="5"/>
  <c r="E16" i="13"/>
  <c r="K16" i="13"/>
  <c r="L16" i="13"/>
  <c r="C16" i="13"/>
  <c r="Q1" i="14"/>
  <c r="A18" i="13"/>
  <c r="B18" i="13" s="1"/>
  <c r="E80" i="8" l="1"/>
  <c r="C80" i="8" s="1"/>
  <c r="E81" i="8"/>
  <c r="C81" i="8" s="1"/>
  <c r="E82" i="8"/>
  <c r="C82" i="8" s="1"/>
  <c r="E83" i="8"/>
  <c r="C83" i="8" s="1"/>
  <c r="E84" i="8"/>
  <c r="C84" i="8" s="1"/>
  <c r="E86" i="8"/>
  <c r="C86" i="8" s="1"/>
  <c r="E85" i="8"/>
  <c r="C85" i="8" s="1"/>
  <c r="E52" i="8"/>
  <c r="C52" i="8" s="1"/>
  <c r="E140" i="8"/>
  <c r="C140" i="8" s="1"/>
  <c r="E13" i="8"/>
  <c r="C13" i="8" s="1"/>
  <c r="E94" i="8"/>
  <c r="C94" i="8" s="1"/>
  <c r="E142" i="8"/>
  <c r="C142" i="8" s="1"/>
  <c r="E109" i="8"/>
  <c r="C109" i="8" s="1"/>
  <c r="E72" i="8"/>
  <c r="C72" i="8" s="1"/>
  <c r="E100" i="8"/>
  <c r="C100" i="8" s="1"/>
  <c r="E93" i="8"/>
  <c r="C93" i="8" s="1"/>
  <c r="E154" i="8"/>
  <c r="C154" i="8" s="1"/>
  <c r="E33" i="8"/>
  <c r="C33" i="8" s="1"/>
  <c r="E26" i="8"/>
  <c r="C26" i="8" s="1"/>
  <c r="E92" i="8"/>
  <c r="C92" i="8" s="1"/>
  <c r="E55" i="8"/>
  <c r="C55" i="8" s="1"/>
  <c r="E43" i="8"/>
  <c r="C43" i="8" s="1"/>
  <c r="E17" i="8"/>
  <c r="C17" i="8" s="1"/>
  <c r="E141" i="8"/>
  <c r="C141" i="8" s="1"/>
  <c r="E29" i="8"/>
  <c r="C29" i="8" s="1"/>
  <c r="E40" i="8"/>
  <c r="C40" i="8" s="1"/>
  <c r="E139" i="8"/>
  <c r="C139" i="8" s="1"/>
  <c r="E30" i="8"/>
  <c r="C30" i="8" s="1"/>
  <c r="E79" i="8"/>
  <c r="C79" i="8" s="1"/>
  <c r="E130" i="8"/>
  <c r="C130" i="8" s="1"/>
  <c r="E48" i="8"/>
  <c r="C48" i="8" s="1"/>
  <c r="E21" i="8"/>
  <c r="C21" i="8" s="1"/>
  <c r="E115" i="8"/>
  <c r="C115" i="8" s="1"/>
  <c r="E153" i="8"/>
  <c r="C153" i="8" s="1"/>
  <c r="E88" i="8"/>
  <c r="C88" i="8" s="1"/>
  <c r="E71" i="8"/>
  <c r="C71" i="8" s="1"/>
  <c r="E89" i="8"/>
  <c r="C89" i="8" s="1"/>
  <c r="E27" i="8"/>
  <c r="C27" i="8" s="1"/>
  <c r="E14" i="8"/>
  <c r="C14" i="8" s="1"/>
  <c r="E58" i="8"/>
  <c r="C58" i="8" s="1"/>
  <c r="E128" i="8"/>
  <c r="C128" i="8" s="1"/>
  <c r="E107" i="8"/>
  <c r="C107" i="8" s="1"/>
  <c r="E111" i="8"/>
  <c r="C111" i="8" s="1"/>
  <c r="E110" i="8"/>
  <c r="C110" i="8" s="1"/>
  <c r="E34" i="8"/>
  <c r="C34" i="8" s="1"/>
  <c r="E91" i="8"/>
  <c r="C91" i="8" s="1"/>
  <c r="E116" i="8"/>
  <c r="C116" i="8" s="1"/>
  <c r="E65" i="8"/>
  <c r="C65" i="8" s="1"/>
  <c r="E37" i="8"/>
  <c r="C37" i="8" s="1"/>
  <c r="E56" i="8"/>
  <c r="C56" i="8" s="1"/>
  <c r="E10" i="8"/>
  <c r="C10" i="8" s="1"/>
  <c r="E39" i="8"/>
  <c r="C39" i="8" s="1"/>
  <c r="E147" i="8"/>
  <c r="C147" i="8" s="1"/>
  <c r="E134" i="8"/>
  <c r="C134" i="8" s="1"/>
  <c r="E15" i="8"/>
  <c r="C15" i="8" s="1"/>
  <c r="E97" i="8"/>
  <c r="C97" i="8" s="1"/>
  <c r="E78" i="8"/>
  <c r="C78" i="8" s="1"/>
  <c r="E60" i="8"/>
  <c r="C60" i="8" s="1"/>
  <c r="E28" i="8"/>
  <c r="C28" i="8" s="1"/>
  <c r="E114" i="8"/>
  <c r="C114" i="8" s="1"/>
  <c r="E101" i="8"/>
  <c r="C101" i="8" s="1"/>
  <c r="E51" i="8"/>
  <c r="C51" i="8" s="1"/>
  <c r="E150" i="8"/>
  <c r="C150" i="8" s="1"/>
  <c r="E61" i="8"/>
  <c r="C61" i="8" s="1"/>
  <c r="E96" i="8"/>
  <c r="C96" i="8" s="1"/>
  <c r="E16" i="8"/>
  <c r="C16" i="8" s="1"/>
  <c r="E148" i="8"/>
  <c r="C148" i="8" s="1"/>
  <c r="E44" i="8"/>
  <c r="C44" i="8" s="1"/>
  <c r="E75" i="8"/>
  <c r="C75" i="8" s="1"/>
  <c r="E122" i="8"/>
  <c r="C122" i="8" s="1"/>
  <c r="E127" i="8"/>
  <c r="C127" i="8" s="1"/>
  <c r="E46" i="8"/>
  <c r="C46" i="8" s="1"/>
  <c r="E120" i="8"/>
  <c r="C120" i="8" s="1"/>
  <c r="E23" i="8"/>
  <c r="C23" i="8" s="1"/>
  <c r="E145" i="8"/>
  <c r="C145" i="8" s="1"/>
  <c r="E11" i="8"/>
  <c r="C11" i="8" s="1"/>
  <c r="E63" i="8"/>
  <c r="C63" i="8" s="1"/>
  <c r="E57" i="8"/>
  <c r="C57" i="8" s="1"/>
  <c r="E68" i="8"/>
  <c r="C68" i="8" s="1"/>
  <c r="E99" i="8"/>
  <c r="C99" i="8" s="1"/>
  <c r="E77" i="8"/>
  <c r="C77" i="8" s="1"/>
  <c r="E19" i="8"/>
  <c r="C19" i="8" s="1"/>
  <c r="E137" i="8"/>
  <c r="C137" i="8" s="1"/>
  <c r="E12" i="8"/>
  <c r="C12" i="8" s="1"/>
  <c r="E146" i="8"/>
  <c r="C146" i="8" s="1"/>
  <c r="E149" i="8"/>
  <c r="C149" i="8" s="1"/>
  <c r="E35" i="8"/>
  <c r="C35" i="8" s="1"/>
  <c r="E121" i="8"/>
  <c r="C121" i="8" s="1"/>
  <c r="E45" i="8"/>
  <c r="C45" i="8" s="1"/>
  <c r="E7" i="8"/>
  <c r="C7" i="8" s="1"/>
  <c r="E8" i="8"/>
  <c r="C8" i="8" s="1"/>
  <c r="E42" i="8"/>
  <c r="C42" i="8" s="1"/>
  <c r="E53" i="8"/>
  <c r="C53" i="8" s="1"/>
  <c r="E129" i="8"/>
  <c r="C129" i="8" s="1"/>
  <c r="E49" i="8"/>
  <c r="C49" i="8" s="1"/>
  <c r="E9" i="8"/>
  <c r="C9" i="8" s="1"/>
  <c r="E74" i="8"/>
  <c r="C74" i="8" s="1"/>
  <c r="E136" i="8"/>
  <c r="C136" i="8" s="1"/>
  <c r="E138" i="8"/>
  <c r="C138" i="8" s="1"/>
  <c r="E152" i="8"/>
  <c r="C152" i="8" s="1"/>
  <c r="E104" i="8"/>
  <c r="C104" i="8" s="1"/>
  <c r="E47" i="8"/>
  <c r="C47" i="8" s="1"/>
  <c r="E124" i="8"/>
  <c r="C124" i="8" s="1"/>
  <c r="E113" i="8"/>
  <c r="C113" i="8" s="1"/>
  <c r="E125" i="8"/>
  <c r="C125" i="8" s="1"/>
  <c r="E66" i="8"/>
  <c r="C66" i="8" s="1"/>
  <c r="E25" i="8"/>
  <c r="C25" i="8" s="1"/>
  <c r="E32" i="8"/>
  <c r="C32" i="8" s="1"/>
  <c r="E119" i="8"/>
  <c r="C119" i="8" s="1"/>
  <c r="E131" i="8"/>
  <c r="C131" i="8" s="1"/>
  <c r="E59" i="8"/>
  <c r="C59" i="8" s="1"/>
  <c r="E64" i="8"/>
  <c r="C64" i="8" s="1"/>
  <c r="E69" i="8"/>
  <c r="C69" i="8" s="1"/>
  <c r="E70" i="8"/>
  <c r="C70" i="8" s="1"/>
  <c r="E90" i="8"/>
  <c r="C90" i="8" s="1"/>
  <c r="E87" i="8"/>
  <c r="C87" i="8" s="1"/>
  <c r="E98" i="8"/>
  <c r="C98" i="8" s="1"/>
  <c r="E6" i="8"/>
  <c r="C6" i="8" s="1"/>
  <c r="E95" i="8"/>
  <c r="C95" i="8" s="1"/>
  <c r="E126" i="8"/>
  <c r="C126" i="8" s="1"/>
  <c r="E4" i="8"/>
  <c r="C4" i="8" s="1"/>
  <c r="E108" i="8"/>
  <c r="C108" i="8" s="1"/>
  <c r="E123" i="8"/>
  <c r="C123" i="8" s="1"/>
  <c r="E106" i="8"/>
  <c r="C106" i="8" s="1"/>
  <c r="E133" i="8"/>
  <c r="C133" i="8" s="1"/>
  <c r="E118" i="8"/>
  <c r="C118" i="8" s="1"/>
  <c r="E54" i="8"/>
  <c r="C54" i="8" s="1"/>
  <c r="E22" i="8"/>
  <c r="C22" i="8" s="1"/>
  <c r="E73" i="8"/>
  <c r="C73" i="8" s="1"/>
  <c r="E102" i="8"/>
  <c r="C102" i="8" s="1"/>
  <c r="E41" i="8"/>
  <c r="C41" i="8" s="1"/>
  <c r="E5" i="8"/>
  <c r="C5" i="8" s="1"/>
  <c r="E151" i="8"/>
  <c r="C151" i="8" s="1"/>
  <c r="E50" i="8"/>
  <c r="C50" i="8" s="1"/>
  <c r="E18" i="8"/>
  <c r="C18" i="8" s="1"/>
  <c r="E135" i="8"/>
  <c r="C135" i="8" s="1"/>
  <c r="E105" i="8"/>
  <c r="C105" i="8" s="1"/>
  <c r="E24" i="8"/>
  <c r="C24" i="8" s="1"/>
  <c r="E38" i="8"/>
  <c r="C38" i="8" s="1"/>
  <c r="E112" i="8"/>
  <c r="C112" i="8" s="1"/>
  <c r="E3" i="8"/>
  <c r="C3" i="8" s="1"/>
  <c r="E62" i="8"/>
  <c r="C62" i="8" s="1"/>
  <c r="E20" i="8"/>
  <c r="C20" i="8" s="1"/>
  <c r="E36" i="8"/>
  <c r="C36" i="8" s="1"/>
  <c r="E117" i="8"/>
  <c r="C117" i="8" s="1"/>
  <c r="E144" i="8"/>
  <c r="C144" i="8" s="1"/>
  <c r="E103" i="8"/>
  <c r="C103" i="8" s="1"/>
  <c r="E143" i="8"/>
  <c r="C143" i="8" s="1"/>
  <c r="E67" i="8"/>
  <c r="C67" i="8" s="1"/>
  <c r="E31" i="8"/>
  <c r="C31" i="8" s="1"/>
  <c r="E155" i="8"/>
  <c r="C155" i="8" s="1"/>
  <c r="E132" i="8"/>
  <c r="C132" i="8" s="1"/>
  <c r="E76" i="8"/>
  <c r="C76" i="8" s="1"/>
  <c r="M18" i="8"/>
  <c r="B25" i="9"/>
  <c r="M25" i="9" s="1"/>
  <c r="G16" i="13"/>
  <c r="H16" i="13"/>
  <c r="P15" i="13"/>
  <c r="S15" i="13" s="1"/>
  <c r="O15" i="13"/>
  <c r="R15" i="13" s="1"/>
  <c r="AI1" i="4"/>
  <c r="AZ1" i="4" s="1"/>
  <c r="S1" i="4"/>
  <c r="AJ1" i="4" s="1"/>
  <c r="BA1" i="4" s="1"/>
  <c r="J21" i="9"/>
  <c r="F21" i="9"/>
  <c r="K21" i="9"/>
  <c r="R22" i="9"/>
  <c r="I22" i="9" s="1"/>
  <c r="S22" i="9"/>
  <c r="J22" i="9" s="1"/>
  <c r="T22" i="9"/>
  <c r="H22" i="9" s="1"/>
  <c r="P23" i="9"/>
  <c r="Q23" i="9" s="1"/>
  <c r="L23" i="9"/>
  <c r="B24" i="9"/>
  <c r="A19" i="13"/>
  <c r="B19" i="13" s="1"/>
  <c r="M16" i="13"/>
  <c r="N16" i="13" s="1"/>
  <c r="F16" i="13"/>
  <c r="A16" i="17"/>
  <c r="G15" i="17"/>
  <c r="J15" i="17"/>
  <c r="F15" i="17"/>
  <c r="I15" i="17"/>
  <c r="H15" i="17"/>
  <c r="E15" i="17"/>
  <c r="B16" i="17"/>
  <c r="D15" i="17"/>
  <c r="E17" i="13"/>
  <c r="K17" i="13"/>
  <c r="C17" i="13"/>
  <c r="L17" i="13"/>
  <c r="Q16" i="13"/>
  <c r="U14" i="13" s="1"/>
  <c r="K1188" i="3" l="1"/>
  <c r="L1188" i="3" s="1"/>
  <c r="K1234" i="3"/>
  <c r="L1234" i="3" s="1"/>
  <c r="K1612" i="3"/>
  <c r="L1612" i="3" s="1"/>
  <c r="K1578" i="3"/>
  <c r="L1578" i="3" s="1"/>
  <c r="K1266" i="3"/>
  <c r="L1266" i="3" s="1"/>
  <c r="K1270" i="3"/>
  <c r="L1270" i="3" s="1"/>
  <c r="K1639" i="3"/>
  <c r="L1639" i="3" s="1"/>
  <c r="K1584" i="3"/>
  <c r="L1584" i="3" s="1"/>
  <c r="K1472" i="3"/>
  <c r="L1472" i="3" s="1"/>
  <c r="K1322" i="3"/>
  <c r="L1322" i="3" s="1"/>
  <c r="K1239" i="3"/>
  <c r="L1239" i="3" s="1"/>
  <c r="K1568" i="3"/>
  <c r="L1568" i="3" s="1"/>
  <c r="K1176" i="3"/>
  <c r="L1176" i="3" s="1"/>
  <c r="K1553" i="3"/>
  <c r="L1553" i="3" s="1"/>
  <c r="K1446" i="3"/>
  <c r="L1446" i="3" s="1"/>
  <c r="K1451" i="3"/>
  <c r="L1451" i="3" s="1"/>
  <c r="K1561" i="3"/>
  <c r="L1561" i="3" s="1"/>
  <c r="K1027" i="3"/>
  <c r="L1027" i="3" s="1"/>
  <c r="K1587" i="3"/>
  <c r="L1587" i="3" s="1"/>
  <c r="K7331" i="3"/>
  <c r="L7331" i="3" s="1"/>
  <c r="K1324" i="3"/>
  <c r="L1324" i="3" s="1"/>
  <c r="K1436" i="3"/>
  <c r="L1436" i="3" s="1"/>
  <c r="K1277" i="3"/>
  <c r="L1277" i="3" s="1"/>
  <c r="K1519" i="3"/>
  <c r="L1519" i="3" s="1"/>
  <c r="K1287" i="3"/>
  <c r="L1287" i="3" s="1"/>
  <c r="K1221" i="3"/>
  <c r="L1221" i="3" s="1"/>
  <c r="K1263" i="3"/>
  <c r="L1263" i="3" s="1"/>
  <c r="K1232" i="3"/>
  <c r="L1232" i="3" s="1"/>
  <c r="K1264" i="3"/>
  <c r="L1264" i="3" s="1"/>
  <c r="K7332" i="3"/>
  <c r="L7332" i="3" s="1"/>
  <c r="K1448" i="3"/>
  <c r="L1448" i="3" s="1"/>
  <c r="K1218" i="3"/>
  <c r="L1218" i="3" s="1"/>
  <c r="K1276" i="3"/>
  <c r="L1276" i="3" s="1"/>
  <c r="K1428" i="3"/>
  <c r="L1428" i="3" s="1"/>
  <c r="K1396" i="3"/>
  <c r="L1396" i="3" s="1"/>
  <c r="K1296" i="3"/>
  <c r="L1296" i="3" s="1"/>
  <c r="K1380" i="3"/>
  <c r="L1380" i="3" s="1"/>
  <c r="K1525" i="3"/>
  <c r="L1525" i="3" s="1"/>
  <c r="K1574" i="3"/>
  <c r="L1574" i="3" s="1"/>
  <c r="K1406" i="3"/>
  <c r="L1406" i="3" s="1"/>
  <c r="K1540" i="3"/>
  <c r="L1540" i="3" s="1"/>
  <c r="K1602" i="3"/>
  <c r="L1602" i="3" s="1"/>
  <c r="K1771" i="3"/>
  <c r="L1771" i="3" s="1"/>
  <c r="K1129" i="3"/>
  <c r="L1129" i="3" s="1"/>
  <c r="K1338" i="3"/>
  <c r="L1338" i="3" s="1"/>
  <c r="K1260" i="3"/>
  <c r="L1260" i="3" s="1"/>
  <c r="K1882" i="3"/>
  <c r="L1882" i="3" s="1"/>
  <c r="K1447" i="3"/>
  <c r="L1447" i="3" s="1"/>
  <c r="K1108" i="3"/>
  <c r="L1108" i="3" s="1"/>
  <c r="K1122" i="3"/>
  <c r="L1122" i="3" s="1"/>
  <c r="K1515" i="3"/>
  <c r="L1515" i="3" s="1"/>
  <c r="K1279" i="3"/>
  <c r="L1279" i="3" s="1"/>
  <c r="K1017" i="3"/>
  <c r="L1017" i="3" s="1"/>
  <c r="K1449" i="3"/>
  <c r="L1449" i="3" s="1"/>
  <c r="K1160" i="3"/>
  <c r="L1160" i="3" s="1"/>
  <c r="K7438" i="3"/>
  <c r="L7438" i="3" s="1"/>
  <c r="K1055" i="3"/>
  <c r="L1055" i="3" s="1"/>
  <c r="K1060" i="3"/>
  <c r="L1060" i="3" s="1"/>
  <c r="K1118" i="3"/>
  <c r="L1118" i="3" s="1"/>
  <c r="K1526" i="3"/>
  <c r="L1526" i="3" s="1"/>
  <c r="K7436" i="3"/>
  <c r="L7436" i="3" s="1"/>
  <c r="K7439" i="3"/>
  <c r="L7439" i="3" s="1"/>
  <c r="K1323" i="3"/>
  <c r="L1323" i="3" s="1"/>
  <c r="K7437" i="3"/>
  <c r="L7437" i="3" s="1"/>
  <c r="K253" i="3"/>
  <c r="L253" i="3" s="1"/>
  <c r="K98" i="3"/>
  <c r="L98" i="3" s="1"/>
  <c r="K254" i="3"/>
  <c r="L254" i="3" s="1"/>
  <c r="K132" i="3"/>
  <c r="L132" i="3" s="1"/>
  <c r="K156" i="3"/>
  <c r="L156" i="3" s="1"/>
  <c r="K266" i="3"/>
  <c r="L266" i="3" s="1"/>
  <c r="K128" i="3"/>
  <c r="L128" i="3" s="1"/>
  <c r="K220" i="3"/>
  <c r="L220" i="3" s="1"/>
  <c r="K292" i="3"/>
  <c r="L292" i="3" s="1"/>
  <c r="K136" i="3"/>
  <c r="L136" i="3" s="1"/>
  <c r="K244" i="3"/>
  <c r="L244" i="3" s="1"/>
  <c r="K264" i="3"/>
  <c r="L264" i="3" s="1"/>
  <c r="K144" i="3"/>
  <c r="L144" i="3" s="1"/>
  <c r="K5" i="3"/>
  <c r="L5" i="3" s="1"/>
  <c r="K210" i="3"/>
  <c r="L210" i="3" s="1"/>
  <c r="K259" i="3"/>
  <c r="L259" i="3" s="1"/>
  <c r="K472" i="3"/>
  <c r="L472" i="3" s="1"/>
  <c r="K430" i="3"/>
  <c r="L430" i="3" s="1"/>
  <c r="K806" i="3"/>
  <c r="L806" i="3" s="1"/>
  <c r="K715" i="3"/>
  <c r="L715" i="3" s="1"/>
  <c r="K648" i="3"/>
  <c r="L648" i="3" s="1"/>
  <c r="K879" i="3"/>
  <c r="L879" i="3" s="1"/>
  <c r="K998" i="3"/>
  <c r="L998" i="3" s="1"/>
  <c r="K749" i="3"/>
  <c r="L749" i="3" s="1"/>
  <c r="K969" i="3"/>
  <c r="L969" i="3" s="1"/>
  <c r="K907" i="3"/>
  <c r="L907" i="3" s="1"/>
  <c r="K714" i="3"/>
  <c r="L714" i="3" s="1"/>
  <c r="K583" i="3"/>
  <c r="L583" i="3" s="1"/>
  <c r="K681" i="3"/>
  <c r="L681" i="3" s="1"/>
  <c r="K862" i="3"/>
  <c r="L862" i="3" s="1"/>
  <c r="K518" i="3"/>
  <c r="L518" i="3" s="1"/>
  <c r="K705" i="3"/>
  <c r="L705" i="3" s="1"/>
  <c r="K16" i="3"/>
  <c r="L16" i="3" s="1"/>
  <c r="K341" i="3"/>
  <c r="L341" i="3" s="1"/>
  <c r="K320" i="3"/>
  <c r="L320" i="3" s="1"/>
  <c r="K245" i="3"/>
  <c r="L245" i="3" s="1"/>
  <c r="K169" i="3"/>
  <c r="L169" i="3" s="1"/>
  <c r="K42" i="3"/>
  <c r="L42" i="3" s="1"/>
  <c r="K161" i="3"/>
  <c r="L161" i="3" s="1"/>
  <c r="K274" i="3"/>
  <c r="L274" i="3" s="1"/>
  <c r="K22" i="3"/>
  <c r="L22" i="3" s="1"/>
  <c r="K28" i="3"/>
  <c r="L28" i="3" s="1"/>
  <c r="K96" i="3"/>
  <c r="L96" i="3" s="1"/>
  <c r="K154" i="3"/>
  <c r="L154" i="3" s="1"/>
  <c r="K65" i="3"/>
  <c r="L65" i="3" s="1"/>
  <c r="K212" i="3"/>
  <c r="L212" i="3" s="1"/>
  <c r="K8" i="3"/>
  <c r="L8" i="3" s="1"/>
  <c r="K198" i="3"/>
  <c r="L198" i="3" s="1"/>
  <c r="K609" i="3"/>
  <c r="L609" i="3" s="1"/>
  <c r="K670" i="3"/>
  <c r="L670" i="3" s="1"/>
  <c r="K674" i="3"/>
  <c r="L674" i="3" s="1"/>
  <c r="K759" i="3"/>
  <c r="L759" i="3" s="1"/>
  <c r="K796" i="3"/>
  <c r="L796" i="3" s="1"/>
  <c r="K593" i="3"/>
  <c r="L593" i="3" s="1"/>
  <c r="K816" i="3"/>
  <c r="L816" i="3" s="1"/>
  <c r="K1247" i="3"/>
  <c r="L1247" i="3" s="1"/>
  <c r="K487" i="3"/>
  <c r="L487" i="3" s="1"/>
  <c r="K536" i="3"/>
  <c r="L536" i="3" s="1"/>
  <c r="K634" i="3"/>
  <c r="L634" i="3" s="1"/>
  <c r="K772" i="3"/>
  <c r="L772" i="3" s="1"/>
  <c r="K1106" i="3"/>
  <c r="L1106" i="3" s="1"/>
  <c r="K977" i="3"/>
  <c r="L977" i="3" s="1"/>
  <c r="K1168" i="3"/>
  <c r="L1168" i="3" s="1"/>
  <c r="K1127" i="3"/>
  <c r="L1127" i="3" s="1"/>
  <c r="K1629" i="3"/>
  <c r="L1629" i="3" s="1"/>
  <c r="K1665" i="3"/>
  <c r="L1665" i="3" s="1"/>
  <c r="K1707" i="3"/>
  <c r="L1707" i="3" s="1"/>
  <c r="K1746" i="3"/>
  <c r="L1746" i="3" s="1"/>
  <c r="K2008" i="3"/>
  <c r="L2008" i="3" s="1"/>
  <c r="K2156" i="3"/>
  <c r="L2156" i="3" s="1"/>
  <c r="K1974" i="3"/>
  <c r="L1974" i="3" s="1"/>
  <c r="K2010" i="3"/>
  <c r="L2010" i="3" s="1"/>
  <c r="K2421" i="3"/>
  <c r="L2421" i="3" s="1"/>
  <c r="K2251" i="3"/>
  <c r="L2251" i="3" s="1"/>
  <c r="K2433" i="3"/>
  <c r="L2433" i="3" s="1"/>
  <c r="K2094" i="3"/>
  <c r="L2094" i="3" s="1"/>
  <c r="K3587" i="3"/>
  <c r="L3587" i="3" s="1"/>
  <c r="K7370" i="3"/>
  <c r="L7370" i="3" s="1"/>
  <c r="K7369" i="3"/>
  <c r="L7369" i="3" s="1"/>
  <c r="K7371" i="3"/>
  <c r="L7371" i="3" s="1"/>
  <c r="K1849" i="3"/>
  <c r="L1849" i="3" s="1"/>
  <c r="K1871" i="3"/>
  <c r="L1871" i="3" s="1"/>
  <c r="K1905" i="3"/>
  <c r="L1905" i="3" s="1"/>
  <c r="K1972" i="3"/>
  <c r="L1972" i="3" s="1"/>
  <c r="K2018" i="3"/>
  <c r="L2018" i="3" s="1"/>
  <c r="K2050" i="3"/>
  <c r="L2050" i="3" s="1"/>
  <c r="K2434" i="3"/>
  <c r="L2434" i="3" s="1"/>
  <c r="K1763" i="3"/>
  <c r="L1763" i="3" s="1"/>
  <c r="K1789" i="3"/>
  <c r="L1789" i="3" s="1"/>
  <c r="K1970" i="3"/>
  <c r="L1970" i="3" s="1"/>
  <c r="K1992" i="3"/>
  <c r="L1992" i="3" s="1"/>
  <c r="K2074" i="3"/>
  <c r="L2074" i="3" s="1"/>
  <c r="K2080" i="3"/>
  <c r="L2080" i="3" s="1"/>
  <c r="K2363" i="3"/>
  <c r="L2363" i="3" s="1"/>
  <c r="K1939" i="3"/>
  <c r="L1939" i="3" s="1"/>
  <c r="K2516" i="3"/>
  <c r="L2516" i="3" s="1"/>
  <c r="K696" i="3"/>
  <c r="L696" i="3" s="1"/>
  <c r="K793" i="3"/>
  <c r="L793" i="3" s="1"/>
  <c r="K967" i="3"/>
  <c r="L967" i="3" s="1"/>
  <c r="K1026" i="3"/>
  <c r="L1026" i="3" s="1"/>
  <c r="K866" i="3"/>
  <c r="L866" i="3" s="1"/>
  <c r="K1006" i="3"/>
  <c r="L1006" i="3" s="1"/>
  <c r="K1020" i="3"/>
  <c r="L1020" i="3" s="1"/>
  <c r="K1109" i="3"/>
  <c r="L1109" i="3" s="1"/>
  <c r="K875" i="3"/>
  <c r="L875" i="3" s="1"/>
  <c r="K948" i="3"/>
  <c r="L948" i="3" s="1"/>
  <c r="K951" i="3"/>
  <c r="L951" i="3" s="1"/>
  <c r="K1853" i="3"/>
  <c r="L1853" i="3" s="1"/>
  <c r="K941" i="3"/>
  <c r="L941" i="3" s="1"/>
  <c r="K1723" i="3"/>
  <c r="L1723" i="3" s="1"/>
  <c r="K2572" i="3"/>
  <c r="L2572" i="3" s="1"/>
  <c r="K7628" i="3"/>
  <c r="L7628" i="3" s="1"/>
  <c r="K823" i="3"/>
  <c r="L823" i="3" s="1"/>
  <c r="K911" i="3"/>
  <c r="L911" i="3" s="1"/>
  <c r="K964" i="3"/>
  <c r="L964" i="3" s="1"/>
  <c r="K752" i="3"/>
  <c r="L752" i="3" s="1"/>
  <c r="K908" i="3"/>
  <c r="L908" i="3" s="1"/>
  <c r="K1275" i="3"/>
  <c r="L1275" i="3" s="1"/>
  <c r="K751" i="3"/>
  <c r="L751" i="3" s="1"/>
  <c r="K846" i="3"/>
  <c r="L846" i="3" s="1"/>
  <c r="K1038" i="3"/>
  <c r="L1038" i="3" s="1"/>
  <c r="K1136" i="3"/>
  <c r="L1136" i="3" s="1"/>
  <c r="K1191" i="3"/>
  <c r="L1191" i="3" s="1"/>
  <c r="K949" i="3"/>
  <c r="L949" i="3" s="1"/>
  <c r="K971" i="3"/>
  <c r="L971" i="3" s="1"/>
  <c r="K970" i="3"/>
  <c r="L970" i="3" s="1"/>
  <c r="K1224" i="3"/>
  <c r="L1224" i="3" s="1"/>
  <c r="K1149" i="3"/>
  <c r="L1149" i="3" s="1"/>
  <c r="U28" i="2"/>
  <c r="V28" i="2" s="1"/>
  <c r="U124" i="2"/>
  <c r="V124" i="2" s="1"/>
  <c r="U337" i="2"/>
  <c r="V337" i="2" s="1"/>
  <c r="U147" i="2"/>
  <c r="V147" i="2" s="1"/>
  <c r="U238" i="2"/>
  <c r="V238" i="2" s="1"/>
  <c r="U355" i="2"/>
  <c r="V355" i="2" s="1"/>
  <c r="U451" i="2"/>
  <c r="V451" i="2" s="1"/>
  <c r="U273" i="2"/>
  <c r="V273" i="2" s="1"/>
  <c r="U452" i="2"/>
  <c r="V452" i="2" s="1"/>
  <c r="U455" i="2"/>
  <c r="V455" i="2" s="1"/>
  <c r="U335" i="2"/>
  <c r="V335" i="2" s="1"/>
  <c r="U63" i="2"/>
  <c r="V63" i="2" s="1"/>
  <c r="U169" i="2"/>
  <c r="V169" i="2" s="1"/>
  <c r="U177" i="2"/>
  <c r="V177" i="2" s="1"/>
  <c r="U226" i="2"/>
  <c r="V226" i="2" s="1"/>
  <c r="U402" i="2"/>
  <c r="V402" i="2" s="1"/>
  <c r="K1319" i="3"/>
  <c r="L1319" i="3" s="1"/>
  <c r="K1440" i="3"/>
  <c r="L1440" i="3" s="1"/>
  <c r="K1791" i="3"/>
  <c r="L1791" i="3" s="1"/>
  <c r="K1273" i="3"/>
  <c r="L1273" i="3" s="1"/>
  <c r="K1286" i="3"/>
  <c r="L1286" i="3" s="1"/>
  <c r="K1608" i="3"/>
  <c r="L1608" i="3" s="1"/>
  <c r="K1867" i="3"/>
  <c r="L1867" i="3" s="1"/>
  <c r="K1084" i="3"/>
  <c r="L1084" i="3" s="1"/>
  <c r="K1314" i="3"/>
  <c r="L1314" i="3" s="1"/>
  <c r="K1469" i="3"/>
  <c r="L1469" i="3" s="1"/>
  <c r="K1493" i="3"/>
  <c r="L1493" i="3" s="1"/>
  <c r="K2034" i="3"/>
  <c r="L2034" i="3" s="1"/>
  <c r="K2017" i="3"/>
  <c r="L2017" i="3" s="1"/>
  <c r="K1714" i="3"/>
  <c r="L1714" i="3" s="1"/>
  <c r="K2674" i="3"/>
  <c r="L2674" i="3" s="1"/>
  <c r="K1847" i="3"/>
  <c r="L1847" i="3" s="1"/>
  <c r="K686" i="3"/>
  <c r="L686" i="3" s="1"/>
  <c r="K695" i="3"/>
  <c r="L695" i="3" s="1"/>
  <c r="K795" i="3"/>
  <c r="L795" i="3" s="1"/>
  <c r="K936" i="3"/>
  <c r="L936" i="3" s="1"/>
  <c r="K960" i="3"/>
  <c r="L960" i="3" s="1"/>
  <c r="K1022" i="3"/>
  <c r="L1022" i="3" s="1"/>
  <c r="K1001" i="3"/>
  <c r="L1001" i="3" s="1"/>
  <c r="K932" i="3"/>
  <c r="L932" i="3" s="1"/>
  <c r="K665" i="3"/>
  <c r="L665" i="3" s="1"/>
  <c r="K740" i="3"/>
  <c r="L740" i="3" s="1"/>
  <c r="K916" i="3"/>
  <c r="L916" i="3" s="1"/>
  <c r="K886" i="3"/>
  <c r="L886" i="3" s="1"/>
  <c r="K990" i="3"/>
  <c r="L990" i="3" s="1"/>
  <c r="K1099" i="3"/>
  <c r="L1099" i="3" s="1"/>
  <c r="K1254" i="3"/>
  <c r="L1254" i="3" s="1"/>
  <c r="K1895" i="3"/>
  <c r="L1895" i="3" s="1"/>
  <c r="K1498" i="3"/>
  <c r="L1498" i="3" s="1"/>
  <c r="K1673" i="3"/>
  <c r="L1673" i="3" s="1"/>
  <c r="K1717" i="3"/>
  <c r="L1717" i="3" s="1"/>
  <c r="K1345" i="3"/>
  <c r="L1345" i="3" s="1"/>
  <c r="K1581" i="3"/>
  <c r="L1581" i="3" s="1"/>
  <c r="K1607" i="3"/>
  <c r="L1607" i="3" s="1"/>
  <c r="K1751" i="3"/>
  <c r="L1751" i="3" s="1"/>
  <c r="K1443" i="3"/>
  <c r="L1443" i="3" s="1"/>
  <c r="K1634" i="3"/>
  <c r="L1634" i="3" s="1"/>
  <c r="K1891" i="3"/>
  <c r="L1891" i="3" s="1"/>
  <c r="K1713" i="3"/>
  <c r="L1713" i="3" s="1"/>
  <c r="K1770" i="3"/>
  <c r="L1770" i="3" s="1"/>
  <c r="K1598" i="3"/>
  <c r="L1598" i="3" s="1"/>
  <c r="K2939" i="3"/>
  <c r="L2939" i="3" s="1"/>
  <c r="K2976" i="3"/>
  <c r="L2976" i="3" s="1"/>
  <c r="K3490" i="3"/>
  <c r="L3490" i="3" s="1"/>
  <c r="K929" i="3"/>
  <c r="L929" i="3" s="1"/>
  <c r="K992" i="3"/>
  <c r="L992" i="3" s="1"/>
  <c r="K1058" i="3"/>
  <c r="L1058" i="3" s="1"/>
  <c r="K1412" i="3"/>
  <c r="L1412" i="3" s="1"/>
  <c r="K1153" i="3"/>
  <c r="L1153" i="3" s="1"/>
  <c r="K1196" i="3"/>
  <c r="L1196" i="3" s="1"/>
  <c r="K1206" i="3"/>
  <c r="L1206" i="3" s="1"/>
  <c r="K1408" i="3"/>
  <c r="L1408" i="3" s="1"/>
  <c r="K1456" i="3"/>
  <c r="L1456" i="3" s="1"/>
  <c r="K1103" i="3"/>
  <c r="L1103" i="3" s="1"/>
  <c r="K1231" i="3"/>
  <c r="L1231" i="3" s="1"/>
  <c r="K963" i="3"/>
  <c r="L963" i="3" s="1"/>
  <c r="K1151" i="3"/>
  <c r="L1151" i="3" s="1"/>
  <c r="K1328" i="3"/>
  <c r="L1328" i="3" s="1"/>
  <c r="K1462" i="3"/>
  <c r="L1462" i="3" s="1"/>
  <c r="K1185" i="3"/>
  <c r="L1185" i="3" s="1"/>
  <c r="K897" i="3"/>
  <c r="L897" i="3" s="1"/>
  <c r="K1013" i="3"/>
  <c r="L1013" i="3" s="1"/>
  <c r="K894" i="3"/>
  <c r="L894" i="3" s="1"/>
  <c r="K1090" i="3"/>
  <c r="L1090" i="3" s="1"/>
  <c r="K1019" i="3"/>
  <c r="L1019" i="3" s="1"/>
  <c r="K871" i="3"/>
  <c r="L871" i="3" s="1"/>
  <c r="K898" i="3"/>
  <c r="L898" i="3" s="1"/>
  <c r="K1142" i="3"/>
  <c r="L1142" i="3" s="1"/>
  <c r="K1442" i="3"/>
  <c r="L1442" i="3" s="1"/>
  <c r="K1676" i="3"/>
  <c r="L1676" i="3" s="1"/>
  <c r="K1018" i="3"/>
  <c r="L1018" i="3" s="1"/>
  <c r="K1306" i="3"/>
  <c r="L1306" i="3" s="1"/>
  <c r="K1210" i="3"/>
  <c r="L1210" i="3" s="1"/>
  <c r="K1606" i="3"/>
  <c r="L1606" i="3" s="1"/>
  <c r="K1203" i="3"/>
  <c r="L1203" i="3" s="1"/>
  <c r="K3179" i="3"/>
  <c r="L3179" i="3" s="1"/>
  <c r="K1183" i="3"/>
  <c r="L1183" i="3" s="1"/>
  <c r="K2990" i="3"/>
  <c r="L2990" i="3" s="1"/>
  <c r="K3045" i="3"/>
  <c r="L3045" i="3" s="1"/>
  <c r="K7376" i="3"/>
  <c r="L7376" i="3" s="1"/>
  <c r="K2982" i="3"/>
  <c r="L2982" i="3" s="1"/>
  <c r="K3055" i="3"/>
  <c r="L3055" i="3" s="1"/>
  <c r="K3069" i="3"/>
  <c r="L3069" i="3" s="1"/>
  <c r="K3110" i="3"/>
  <c r="L3110" i="3" s="1"/>
  <c r="K3354" i="3"/>
  <c r="L3354" i="3" s="1"/>
  <c r="K3247" i="3"/>
  <c r="L3247" i="3" s="1"/>
  <c r="K7374" i="3"/>
  <c r="L7374" i="3" s="1"/>
  <c r="K7377" i="3"/>
  <c r="L7377" i="3" s="1"/>
  <c r="K7373" i="3"/>
  <c r="L7373" i="3" s="1"/>
  <c r="K7378" i="3"/>
  <c r="L7378" i="3" s="1"/>
  <c r="K3102" i="3"/>
  <c r="L3102" i="3" s="1"/>
  <c r="K7375" i="3"/>
  <c r="L7375" i="3" s="1"/>
  <c r="K101" i="3"/>
  <c r="L101" i="3" s="1"/>
  <c r="K179" i="3"/>
  <c r="L179" i="3" s="1"/>
  <c r="K43" i="3"/>
  <c r="L43" i="3" s="1"/>
  <c r="K138" i="3"/>
  <c r="L138" i="3" s="1"/>
  <c r="K235" i="3"/>
  <c r="L235" i="3" s="1"/>
  <c r="K489" i="3"/>
  <c r="L489" i="3" s="1"/>
  <c r="K107" i="3"/>
  <c r="L107" i="3" s="1"/>
  <c r="K158" i="3"/>
  <c r="L158" i="3" s="1"/>
  <c r="K354" i="3"/>
  <c r="L354" i="3" s="1"/>
  <c r="K398" i="3"/>
  <c r="L398" i="3" s="1"/>
  <c r="K58" i="3"/>
  <c r="L58" i="3" s="1"/>
  <c r="K77" i="3"/>
  <c r="L77" i="3" s="1"/>
  <c r="K221" i="3"/>
  <c r="L221" i="3" s="1"/>
  <c r="K224" i="3"/>
  <c r="L224" i="3" s="1"/>
  <c r="K288" i="3"/>
  <c r="L288" i="3" s="1"/>
  <c r="K121" i="3"/>
  <c r="L121" i="3" s="1"/>
  <c r="K499" i="3"/>
  <c r="L499" i="3" s="1"/>
  <c r="K597" i="3"/>
  <c r="L597" i="3" s="1"/>
  <c r="K785" i="3"/>
  <c r="L785" i="3" s="1"/>
  <c r="K878" i="3"/>
  <c r="L878" i="3" s="1"/>
  <c r="K542" i="3"/>
  <c r="L542" i="3" s="1"/>
  <c r="K587" i="3"/>
  <c r="L587" i="3" s="1"/>
  <c r="K653" i="3"/>
  <c r="L653" i="3" s="1"/>
  <c r="K764" i="3"/>
  <c r="L764" i="3" s="1"/>
  <c r="K1331" i="3"/>
  <c r="L1331" i="3" s="1"/>
  <c r="K744" i="3"/>
  <c r="L744" i="3" s="1"/>
  <c r="K934" i="3"/>
  <c r="L934" i="3" s="1"/>
  <c r="K945" i="3"/>
  <c r="L945" i="3" s="1"/>
  <c r="K625" i="3"/>
  <c r="L625" i="3" s="1"/>
  <c r="K716" i="3"/>
  <c r="L716" i="3" s="1"/>
  <c r="K801" i="3"/>
  <c r="L801" i="3" s="1"/>
  <c r="K835" i="3"/>
  <c r="L835" i="3" s="1"/>
  <c r="K1369" i="3"/>
  <c r="L1369" i="3" s="1"/>
  <c r="K1339" i="3"/>
  <c r="L1339" i="3" s="1"/>
  <c r="K1557" i="3"/>
  <c r="L1557" i="3" s="1"/>
  <c r="K1804" i="3"/>
  <c r="L1804" i="3" s="1"/>
  <c r="K1610" i="3"/>
  <c r="L1610" i="3" s="1"/>
  <c r="K1640" i="3"/>
  <c r="L1640" i="3" s="1"/>
  <c r="K1757" i="3"/>
  <c r="L1757" i="3" s="1"/>
  <c r="K1844" i="3"/>
  <c r="L1844" i="3" s="1"/>
  <c r="K1333" i="3"/>
  <c r="L1333" i="3" s="1"/>
  <c r="K1483" i="3"/>
  <c r="L1483" i="3" s="1"/>
  <c r="K1762" i="3"/>
  <c r="L1762" i="3" s="1"/>
  <c r="K1715" i="3"/>
  <c r="L1715" i="3" s="1"/>
  <c r="K1475" i="3"/>
  <c r="L1475" i="3" s="1"/>
  <c r="K2151" i="3"/>
  <c r="L2151" i="3" s="1"/>
  <c r="K1706" i="3"/>
  <c r="L1706" i="3" s="1"/>
  <c r="K1756" i="3"/>
  <c r="L1756" i="3" s="1"/>
  <c r="Q88" i="1"/>
  <c r="Q155" i="1"/>
  <c r="Q200" i="1"/>
  <c r="Q214" i="1"/>
  <c r="Q218" i="1"/>
  <c r="Q245" i="1"/>
  <c r="Q65" i="1"/>
  <c r="Q98" i="1"/>
  <c r="Q109" i="1"/>
  <c r="Q129" i="1"/>
  <c r="Q306" i="1"/>
  <c r="Q136" i="1"/>
  <c r="Q192" i="1"/>
  <c r="Q233" i="1"/>
  <c r="Q148" i="1"/>
  <c r="Q193" i="1"/>
  <c r="K1015" i="3"/>
  <c r="L1015" i="3" s="1"/>
  <c r="K946" i="3"/>
  <c r="L946" i="3" s="1"/>
  <c r="K1085" i="3"/>
  <c r="L1085" i="3" s="1"/>
  <c r="K1184" i="3"/>
  <c r="L1184" i="3" s="1"/>
  <c r="K1037" i="3"/>
  <c r="L1037" i="3" s="1"/>
  <c r="K1113" i="3"/>
  <c r="L1113" i="3" s="1"/>
  <c r="K1283" i="3"/>
  <c r="L1283" i="3" s="1"/>
  <c r="K1470" i="3"/>
  <c r="L1470" i="3" s="1"/>
  <c r="K1675" i="3"/>
  <c r="L1675" i="3" s="1"/>
  <c r="K1528" i="3"/>
  <c r="L1528" i="3" s="1"/>
  <c r="K1900" i="3"/>
  <c r="L1900" i="3" s="1"/>
  <c r="K2108" i="3"/>
  <c r="L2108" i="3" s="1"/>
  <c r="K2124" i="3"/>
  <c r="L2124" i="3" s="1"/>
  <c r="K1373" i="3"/>
  <c r="L1373" i="3" s="1"/>
  <c r="K1603" i="3"/>
  <c r="L1603" i="3" s="1"/>
  <c r="K1358" i="3"/>
  <c r="L1358" i="3" s="1"/>
  <c r="Q330" i="1"/>
  <c r="Q202" i="1"/>
  <c r="Q379" i="1"/>
  <c r="Q487" i="1"/>
  <c r="Q446" i="1"/>
  <c r="Q447" i="1"/>
  <c r="Q51" i="1"/>
  <c r="Q216" i="1"/>
  <c r="Q314" i="1"/>
  <c r="Q492" i="1"/>
  <c r="Q313" i="1"/>
  <c r="Q472" i="1"/>
  <c r="Q380" i="1"/>
  <c r="Q231" i="1"/>
  <c r="Q474" i="1"/>
  <c r="Q498" i="1"/>
  <c r="K1005" i="3"/>
  <c r="L1005" i="3" s="1"/>
  <c r="K1059" i="3"/>
  <c r="L1059" i="3" s="1"/>
  <c r="K1086" i="3"/>
  <c r="L1086" i="3" s="1"/>
  <c r="K1134" i="3"/>
  <c r="L1134" i="3" s="1"/>
  <c r="K1157" i="3"/>
  <c r="L1157" i="3" s="1"/>
  <c r="K1318" i="3"/>
  <c r="L1318" i="3" s="1"/>
  <c r="K953" i="3"/>
  <c r="L953" i="3" s="1"/>
  <c r="K1021" i="3"/>
  <c r="L1021" i="3" s="1"/>
  <c r="K1605" i="3"/>
  <c r="L1605" i="3" s="1"/>
  <c r="K1156" i="3"/>
  <c r="L1156" i="3" s="1"/>
  <c r="K917" i="3"/>
  <c r="L917" i="3" s="1"/>
  <c r="K1093" i="3"/>
  <c r="L1093" i="3" s="1"/>
  <c r="K1398" i="3"/>
  <c r="L1398" i="3" s="1"/>
  <c r="K1172" i="3"/>
  <c r="L1172" i="3" s="1"/>
  <c r="K1205" i="3"/>
  <c r="L1205" i="3" s="1"/>
  <c r="K1363" i="3"/>
  <c r="L1363" i="3" s="1"/>
  <c r="K2264" i="3"/>
  <c r="L2264" i="3" s="1"/>
  <c r="K2583" i="3"/>
  <c r="L2583" i="3" s="1"/>
  <c r="K2967" i="3"/>
  <c r="L2967" i="3" s="1"/>
  <c r="K3071" i="3"/>
  <c r="L3071" i="3" s="1"/>
  <c r="K3108" i="3"/>
  <c r="L3108" i="3" s="1"/>
  <c r="K3112" i="3"/>
  <c r="L3112" i="3" s="1"/>
  <c r="K2383" i="3"/>
  <c r="L2383" i="3" s="1"/>
  <c r="K2414" i="3"/>
  <c r="L2414" i="3" s="1"/>
  <c r="K3128" i="3"/>
  <c r="L3128" i="3" s="1"/>
  <c r="K3334" i="3"/>
  <c r="L3334" i="3" s="1"/>
  <c r="K3717" i="3"/>
  <c r="L3717" i="3" s="1"/>
  <c r="K2401" i="3"/>
  <c r="L2401" i="3" s="1"/>
  <c r="K2795" i="3"/>
  <c r="L2795" i="3" s="1"/>
  <c r="K2832" i="3"/>
  <c r="L2832" i="3" s="1"/>
  <c r="K2360" i="3"/>
  <c r="L2360" i="3" s="1"/>
  <c r="K2558" i="3"/>
  <c r="L2558" i="3" s="1"/>
  <c r="K88" i="3"/>
  <c r="L88" i="3" s="1"/>
  <c r="K227" i="3"/>
  <c r="L227" i="3" s="1"/>
  <c r="K296" i="3"/>
  <c r="L296" i="3" s="1"/>
  <c r="K445" i="3"/>
  <c r="L445" i="3" s="1"/>
  <c r="K627" i="3"/>
  <c r="L627" i="3" s="1"/>
  <c r="K640" i="3"/>
  <c r="L640" i="3" s="1"/>
  <c r="K732" i="3"/>
  <c r="L732" i="3" s="1"/>
  <c r="K205" i="3"/>
  <c r="L205" i="3" s="1"/>
  <c r="K498" i="3"/>
  <c r="L498" i="3" s="1"/>
  <c r="K511" i="3"/>
  <c r="L511" i="3" s="1"/>
  <c r="K573" i="3"/>
  <c r="L573" i="3" s="1"/>
  <c r="K225" i="3"/>
  <c r="L225" i="3" s="1"/>
  <c r="K233" i="3"/>
  <c r="L233" i="3" s="1"/>
  <c r="K360" i="3"/>
  <c r="L360" i="3" s="1"/>
  <c r="K666" i="3"/>
  <c r="L666" i="3" s="1"/>
  <c r="K417" i="3"/>
  <c r="L417" i="3" s="1"/>
  <c r="K1271" i="3"/>
  <c r="L1271" i="3" s="1"/>
  <c r="K1317" i="3"/>
  <c r="L1317" i="3" s="1"/>
  <c r="K1379" i="3"/>
  <c r="L1379" i="3" s="1"/>
  <c r="K1401" i="3"/>
  <c r="L1401" i="3" s="1"/>
  <c r="K1133" i="3"/>
  <c r="L1133" i="3" s="1"/>
  <c r="K1192" i="3"/>
  <c r="L1192" i="3" s="1"/>
  <c r="K1295" i="3"/>
  <c r="L1295" i="3" s="1"/>
  <c r="K1329" i="3"/>
  <c r="L1329" i="3" s="1"/>
  <c r="K1559" i="3"/>
  <c r="L1559" i="3" s="1"/>
  <c r="K1564" i="3"/>
  <c r="L1564" i="3" s="1"/>
  <c r="K1141" i="3"/>
  <c r="L1141" i="3" s="1"/>
  <c r="K1154" i="3"/>
  <c r="L1154" i="3" s="1"/>
  <c r="K1367" i="3"/>
  <c r="L1367" i="3" s="1"/>
  <c r="K1390" i="3"/>
  <c r="L1390" i="3" s="1"/>
  <c r="K1230" i="3"/>
  <c r="L1230" i="3" s="1"/>
  <c r="K1376" i="3"/>
  <c r="L1376" i="3" s="1"/>
  <c r="K1353" i="3"/>
  <c r="L1353" i="3" s="1"/>
  <c r="K1759" i="3"/>
  <c r="L1759" i="3" s="1"/>
  <c r="K1452" i="3"/>
  <c r="L1452" i="3" s="1"/>
  <c r="K1677" i="3"/>
  <c r="L1677" i="3" s="1"/>
  <c r="K1410" i="3"/>
  <c r="L1410" i="3" s="1"/>
  <c r="K1712" i="3"/>
  <c r="L1712" i="3" s="1"/>
  <c r="K1724" i="3"/>
  <c r="L1724" i="3" s="1"/>
  <c r="K1827" i="3"/>
  <c r="L1827" i="3" s="1"/>
  <c r="K1831" i="3"/>
  <c r="L1831" i="3" s="1"/>
  <c r="K1555" i="3"/>
  <c r="L1555" i="3" s="1"/>
  <c r="K1760" i="3"/>
  <c r="L1760" i="3" s="1"/>
  <c r="K1839" i="3"/>
  <c r="L1839" i="3" s="1"/>
  <c r="K1261" i="3"/>
  <c r="L1261" i="3" s="1"/>
  <c r="K1767" i="3"/>
  <c r="L1767" i="3" s="1"/>
  <c r="K1513" i="3"/>
  <c r="L1513" i="3" s="1"/>
  <c r="K2229" i="3"/>
  <c r="L2229" i="3" s="1"/>
  <c r="Q9" i="1"/>
  <c r="Q130" i="1"/>
  <c r="Q320" i="1"/>
  <c r="Q27" i="1"/>
  <c r="Q116" i="1"/>
  <c r="Q149" i="1"/>
  <c r="Q213" i="1"/>
  <c r="Q248" i="1"/>
  <c r="Q71" i="1"/>
  <c r="Q154" i="1"/>
  <c r="Q103" i="1"/>
  <c r="Q34" i="1"/>
  <c r="Q228" i="1"/>
  <c r="Q33" i="1"/>
  <c r="Q95" i="1"/>
  <c r="Q187" i="1"/>
  <c r="U36" i="2"/>
  <c r="V36" i="2" s="1"/>
  <c r="U215" i="2"/>
  <c r="V215" i="2" s="1"/>
  <c r="U313" i="2"/>
  <c r="V313" i="2" s="1"/>
  <c r="U58" i="2"/>
  <c r="V58" i="2" s="1"/>
  <c r="U392" i="2"/>
  <c r="V392" i="2" s="1"/>
  <c r="U150" i="2"/>
  <c r="V150" i="2" s="1"/>
  <c r="U153" i="2"/>
  <c r="V153" i="2" s="1"/>
  <c r="U154" i="2"/>
  <c r="V154" i="2" s="1"/>
  <c r="U204" i="2"/>
  <c r="V204" i="2" s="1"/>
  <c r="U3" i="2"/>
  <c r="V3" i="2" s="1"/>
  <c r="U57" i="2"/>
  <c r="V57" i="2" s="1"/>
  <c r="U182" i="2"/>
  <c r="V182" i="2" s="1"/>
  <c r="U31" i="2"/>
  <c r="V31" i="2" s="1"/>
  <c r="U38" i="2"/>
  <c r="V38" i="2" s="1"/>
  <c r="U9" i="2"/>
  <c r="V9" i="2" s="1"/>
  <c r="U37" i="2"/>
  <c r="V37" i="2" s="1"/>
  <c r="K1362" i="3"/>
  <c r="L1362" i="3" s="1"/>
  <c r="K1508" i="3"/>
  <c r="L1508" i="3" s="1"/>
  <c r="K1529" i="3"/>
  <c r="L1529" i="3" s="1"/>
  <c r="K1511" i="3"/>
  <c r="L1511" i="3" s="1"/>
  <c r="K1461" i="3"/>
  <c r="L1461" i="3" s="1"/>
  <c r="K1809" i="3"/>
  <c r="L1809" i="3" s="1"/>
  <c r="K1803" i="3"/>
  <c r="L1803" i="3" s="1"/>
  <c r="K1823" i="3"/>
  <c r="L1823" i="3" s="1"/>
  <c r="K1996" i="3"/>
  <c r="L1996" i="3" s="1"/>
  <c r="K1425" i="3"/>
  <c r="L1425" i="3" s="1"/>
  <c r="K7435" i="3"/>
  <c r="L7435" i="3" s="1"/>
  <c r="K1782" i="3"/>
  <c r="L1782" i="3" s="1"/>
  <c r="K1971" i="3"/>
  <c r="L1971" i="3" s="1"/>
  <c r="K2859" i="3"/>
  <c r="L2859" i="3" s="1"/>
  <c r="K2241" i="3"/>
  <c r="L2241" i="3" s="1"/>
  <c r="K36" i="3"/>
  <c r="L36" i="3" s="1"/>
  <c r="K72" i="3"/>
  <c r="L72" i="3" s="1"/>
  <c r="K84" i="3"/>
  <c r="L84" i="3" s="1"/>
  <c r="K23" i="3"/>
  <c r="L23" i="3" s="1"/>
  <c r="K31" i="3"/>
  <c r="L31" i="3" s="1"/>
  <c r="K71" i="3"/>
  <c r="L71" i="3" s="1"/>
  <c r="K192" i="3"/>
  <c r="L192" i="3" s="1"/>
  <c r="K213" i="3"/>
  <c r="L213" i="3" s="1"/>
  <c r="K239" i="3"/>
  <c r="L239" i="3" s="1"/>
  <c r="K295" i="3"/>
  <c r="L295" i="3" s="1"/>
  <c r="K69" i="3"/>
  <c r="L69" i="3" s="1"/>
  <c r="K103" i="3"/>
  <c r="L103" i="3" s="1"/>
  <c r="K364" i="3"/>
  <c r="L364" i="3" s="1"/>
  <c r="K46" i="3"/>
  <c r="L46" i="3" s="1"/>
  <c r="K112" i="3"/>
  <c r="L112" i="3" s="1"/>
  <c r="K250" i="3"/>
  <c r="L250" i="3" s="1"/>
  <c r="K1056" i="3"/>
  <c r="L1056" i="3" s="1"/>
  <c r="K1057" i="3"/>
  <c r="L1057" i="3" s="1"/>
  <c r="K1123" i="3"/>
  <c r="L1123" i="3" s="1"/>
  <c r="K958" i="3"/>
  <c r="L958" i="3" s="1"/>
  <c r="K961" i="3"/>
  <c r="L961" i="3" s="1"/>
  <c r="K1181" i="3"/>
  <c r="L1181" i="3" s="1"/>
  <c r="K1288" i="3"/>
  <c r="L1288" i="3" s="1"/>
  <c r="K1393" i="3"/>
  <c r="L1393" i="3" s="1"/>
  <c r="K986" i="3"/>
  <c r="L986" i="3" s="1"/>
  <c r="K1158" i="3"/>
  <c r="L1158" i="3" s="1"/>
  <c r="K1182" i="3"/>
  <c r="L1182" i="3" s="1"/>
  <c r="K7504" i="3"/>
  <c r="L7504" i="3" s="1"/>
  <c r="K1419" i="3"/>
  <c r="L1419" i="3" s="1"/>
  <c r="K7507" i="3"/>
  <c r="L7507" i="3" s="1"/>
  <c r="K7506" i="3"/>
  <c r="L7506" i="3" s="1"/>
  <c r="K7505" i="3"/>
  <c r="L7505" i="3" s="1"/>
  <c r="K1679" i="3"/>
  <c r="L1679" i="3" s="1"/>
  <c r="K1628" i="3"/>
  <c r="L1628" i="3" s="1"/>
  <c r="K1429" i="3"/>
  <c r="L1429" i="3" s="1"/>
  <c r="K2184" i="3"/>
  <c r="L2184" i="3" s="1"/>
  <c r="K2236" i="3"/>
  <c r="L2236" i="3" s="1"/>
  <c r="K1748" i="3"/>
  <c r="L1748" i="3" s="1"/>
  <c r="K1842" i="3"/>
  <c r="L1842" i="3" s="1"/>
  <c r="K2106" i="3"/>
  <c r="L2106" i="3" s="1"/>
  <c r="K2306" i="3"/>
  <c r="L2306" i="3" s="1"/>
  <c r="K2496" i="3"/>
  <c r="L2496" i="3" s="1"/>
  <c r="K1815" i="3"/>
  <c r="L1815" i="3" s="1"/>
  <c r="K2337" i="3"/>
  <c r="L2337" i="3" s="1"/>
  <c r="K2554" i="3"/>
  <c r="L2554" i="3" s="1"/>
  <c r="K2461" i="3"/>
  <c r="L2461" i="3" s="1"/>
  <c r="K2368" i="3"/>
  <c r="L2368" i="3" s="1"/>
  <c r="K2289" i="3"/>
  <c r="L2289" i="3" s="1"/>
  <c r="K1066" i="3"/>
  <c r="L1066" i="3" s="1"/>
  <c r="K739" i="3"/>
  <c r="L739" i="3" s="1"/>
  <c r="K1079" i="3"/>
  <c r="L1079" i="3" s="1"/>
  <c r="K921" i="3"/>
  <c r="L921" i="3" s="1"/>
  <c r="K955" i="3"/>
  <c r="L955" i="3" s="1"/>
  <c r="K999" i="3"/>
  <c r="L999" i="3" s="1"/>
  <c r="K1088" i="3"/>
  <c r="L1088" i="3" s="1"/>
  <c r="K940" i="3"/>
  <c r="L940" i="3" s="1"/>
  <c r="K985" i="3"/>
  <c r="L985" i="3" s="1"/>
  <c r="K1130" i="3"/>
  <c r="L1130" i="3" s="1"/>
  <c r="K981" i="3"/>
  <c r="L981" i="3" s="1"/>
  <c r="K1491" i="3"/>
  <c r="L1491" i="3" s="1"/>
  <c r="K1622" i="3"/>
  <c r="L1622" i="3" s="1"/>
  <c r="K1659" i="3"/>
  <c r="L1659" i="3" s="1"/>
  <c r="K1350" i="3"/>
  <c r="L1350" i="3" s="1"/>
  <c r="K1048" i="3"/>
  <c r="L1048" i="3" s="1"/>
  <c r="U333" i="2"/>
  <c r="V333" i="2" s="1"/>
  <c r="U155" i="2"/>
  <c r="V155" i="2" s="1"/>
  <c r="U160" i="2"/>
  <c r="V160" i="2" s="1"/>
  <c r="U396" i="2"/>
  <c r="V396" i="2" s="1"/>
  <c r="U427" i="2"/>
  <c r="V427" i="2" s="1"/>
  <c r="U94" i="2"/>
  <c r="V94" i="2" s="1"/>
  <c r="U159" i="2"/>
  <c r="V159" i="2" s="1"/>
  <c r="U148" i="2"/>
  <c r="V148" i="2" s="1"/>
  <c r="U435" i="2"/>
  <c r="V435" i="2" s="1"/>
  <c r="U482" i="2"/>
  <c r="V482" i="2" s="1"/>
  <c r="U257" i="2"/>
  <c r="V257" i="2" s="1"/>
  <c r="U493" i="2"/>
  <c r="V493" i="2" s="1"/>
  <c r="U173" i="2"/>
  <c r="V173" i="2" s="1"/>
  <c r="U331" i="2"/>
  <c r="V331" i="2" s="1"/>
  <c r="U477" i="2"/>
  <c r="V477" i="2" s="1"/>
  <c r="U96" i="2"/>
  <c r="V96" i="2" s="1"/>
  <c r="K991" i="3"/>
  <c r="L991" i="3" s="1"/>
  <c r="K1340" i="3"/>
  <c r="L1340" i="3" s="1"/>
  <c r="K1377" i="3"/>
  <c r="L1377" i="3" s="1"/>
  <c r="K1455" i="3"/>
  <c r="L1455" i="3" s="1"/>
  <c r="K1029" i="3"/>
  <c r="L1029" i="3" s="1"/>
  <c r="K1301" i="3"/>
  <c r="L1301" i="3" s="1"/>
  <c r="K1512" i="3"/>
  <c r="L1512" i="3" s="1"/>
  <c r="K983" i="3"/>
  <c r="L983" i="3" s="1"/>
  <c r="K1227" i="3"/>
  <c r="L1227" i="3" s="1"/>
  <c r="K1293" i="3"/>
  <c r="L1293" i="3" s="1"/>
  <c r="K1325" i="3"/>
  <c r="L1325" i="3" s="1"/>
  <c r="K1494" i="3"/>
  <c r="L1494" i="3" s="1"/>
  <c r="K1502" i="3"/>
  <c r="L1502" i="3" s="1"/>
  <c r="K1826" i="3"/>
  <c r="L1826" i="3" s="1"/>
  <c r="K1433" i="3"/>
  <c r="L1433" i="3" s="1"/>
  <c r="K7498" i="3"/>
  <c r="L7498" i="3" s="1"/>
  <c r="K824" i="3"/>
  <c r="L824" i="3" s="1"/>
  <c r="K647" i="3"/>
  <c r="L647" i="3" s="1"/>
  <c r="K685" i="3"/>
  <c r="L685" i="3" s="1"/>
  <c r="K683" i="3"/>
  <c r="L683" i="3" s="1"/>
  <c r="K776" i="3"/>
  <c r="L776" i="3" s="1"/>
  <c r="K607" i="3"/>
  <c r="L607" i="3" s="1"/>
  <c r="K1226" i="3"/>
  <c r="L1226" i="3" s="1"/>
  <c r="K1278" i="3"/>
  <c r="L1278" i="3" s="1"/>
  <c r="K1420" i="3"/>
  <c r="L1420" i="3" s="1"/>
  <c r="K1424" i="3"/>
  <c r="L1424" i="3" s="1"/>
  <c r="K1155" i="3"/>
  <c r="L1155" i="3" s="1"/>
  <c r="K1569" i="3"/>
  <c r="L1569" i="3" s="1"/>
  <c r="K1361" i="3"/>
  <c r="L1361" i="3" s="1"/>
  <c r="K1986" i="3"/>
  <c r="L1986" i="3" s="1"/>
  <c r="K1983" i="3"/>
  <c r="L1983" i="3" s="1"/>
  <c r="K1737" i="3"/>
  <c r="L1737" i="3" s="1"/>
  <c r="U8" i="2"/>
  <c r="V8" i="2" s="1"/>
  <c r="U103" i="2"/>
  <c r="V103" i="2" s="1"/>
  <c r="U151" i="2"/>
  <c r="V151" i="2" s="1"/>
  <c r="U183" i="2"/>
  <c r="V183" i="2" s="1"/>
  <c r="U235" i="2"/>
  <c r="V235" i="2" s="1"/>
  <c r="U381" i="2"/>
  <c r="V381" i="2" s="1"/>
  <c r="U454" i="2"/>
  <c r="V454" i="2" s="1"/>
  <c r="U249" i="2"/>
  <c r="V249" i="2" s="1"/>
  <c r="U407" i="2"/>
  <c r="V407" i="2" s="1"/>
  <c r="U89" i="2"/>
  <c r="V89" i="2" s="1"/>
  <c r="U212" i="2"/>
  <c r="V212" i="2" s="1"/>
  <c r="U250" i="2"/>
  <c r="V250" i="2" s="1"/>
  <c r="U7" i="2"/>
  <c r="V7" i="2" s="1"/>
  <c r="U188" i="2"/>
  <c r="V188" i="2" s="1"/>
  <c r="U262" i="2"/>
  <c r="V262" i="2" s="1"/>
  <c r="U104" i="2"/>
  <c r="V104" i="2" s="1"/>
  <c r="Q13" i="8"/>
  <c r="K1229" i="3"/>
  <c r="L1229" i="3" s="1"/>
  <c r="K1439" i="3"/>
  <c r="L1439" i="3" s="1"/>
  <c r="K1464" i="3"/>
  <c r="L1464" i="3" s="1"/>
  <c r="K1485" i="3"/>
  <c r="L1485" i="3" s="1"/>
  <c r="K1550" i="3"/>
  <c r="L1550" i="3" s="1"/>
  <c r="K1678" i="3"/>
  <c r="L1678" i="3" s="1"/>
  <c r="K2069" i="3"/>
  <c r="L2069" i="3" s="1"/>
  <c r="K1534" i="3"/>
  <c r="L1534" i="3" s="1"/>
  <c r="K2054" i="3"/>
  <c r="L2054" i="3" s="1"/>
  <c r="K1308" i="3"/>
  <c r="L1308" i="3" s="1"/>
  <c r="K1828" i="3"/>
  <c r="L1828" i="3" s="1"/>
  <c r="K1932" i="3"/>
  <c r="L1932" i="3" s="1"/>
  <c r="K1860" i="3"/>
  <c r="L1860" i="3" s="1"/>
  <c r="K2115" i="3"/>
  <c r="L2115" i="3" s="1"/>
  <c r="K3420" i="3"/>
  <c r="L3420" i="3" s="1"/>
  <c r="K2317" i="3"/>
  <c r="L2317" i="3" s="1"/>
  <c r="M19" i="8"/>
  <c r="K703" i="3"/>
  <c r="L703" i="3" s="1"/>
  <c r="K860" i="3"/>
  <c r="L860" i="3" s="1"/>
  <c r="K924" i="3"/>
  <c r="L924" i="3" s="1"/>
  <c r="K745" i="3"/>
  <c r="L745" i="3" s="1"/>
  <c r="K834" i="3"/>
  <c r="L834" i="3" s="1"/>
  <c r="K554" i="3"/>
  <c r="L554" i="3" s="1"/>
  <c r="K804" i="3"/>
  <c r="L804" i="3" s="1"/>
  <c r="K855" i="3"/>
  <c r="L855" i="3" s="1"/>
  <c r="K827" i="3"/>
  <c r="L827" i="3" s="1"/>
  <c r="K1944" i="3"/>
  <c r="L1944" i="3" s="1"/>
  <c r="K892" i="3"/>
  <c r="L892" i="3" s="1"/>
  <c r="K2242" i="3"/>
  <c r="L2242" i="3" s="1"/>
  <c r="K7496" i="3"/>
  <c r="L7496" i="3" s="1"/>
  <c r="K7497" i="3"/>
  <c r="L7497" i="3" s="1"/>
  <c r="K7495" i="3"/>
  <c r="L7495" i="3" s="1"/>
  <c r="K7494" i="3"/>
  <c r="L7494" i="3" s="1"/>
  <c r="U139" i="2"/>
  <c r="V139" i="2" s="1"/>
  <c r="U162" i="2"/>
  <c r="V162" i="2" s="1"/>
  <c r="U167" i="2"/>
  <c r="V167" i="2" s="1"/>
  <c r="U239" i="2"/>
  <c r="V239" i="2" s="1"/>
  <c r="U216" i="2"/>
  <c r="V216" i="2" s="1"/>
  <c r="U224" i="2"/>
  <c r="V224" i="2" s="1"/>
  <c r="U322" i="2"/>
  <c r="V322" i="2" s="1"/>
  <c r="U388" i="2"/>
  <c r="V388" i="2" s="1"/>
  <c r="U221" i="2"/>
  <c r="V221" i="2" s="1"/>
  <c r="U6" i="2"/>
  <c r="V6" i="2" s="1"/>
  <c r="U10" i="2"/>
  <c r="V10" i="2" s="1"/>
  <c r="U42" i="2"/>
  <c r="V42" i="2" s="1"/>
  <c r="U324" i="2"/>
  <c r="V324" i="2" s="1"/>
  <c r="U277" i="2"/>
  <c r="V277" i="2" s="1"/>
  <c r="U364" i="2"/>
  <c r="V364" i="2" s="1"/>
  <c r="K1250" i="3"/>
  <c r="L1250" i="3" s="1"/>
  <c r="K1701" i="3"/>
  <c r="L1701" i="3" s="1"/>
  <c r="K1716" i="3"/>
  <c r="L1716" i="3" s="1"/>
  <c r="K1384" i="3"/>
  <c r="L1384" i="3" s="1"/>
  <c r="K1522" i="3"/>
  <c r="L1522" i="3" s="1"/>
  <c r="K1614" i="3"/>
  <c r="L1614" i="3" s="1"/>
  <c r="K1936" i="3"/>
  <c r="L1936" i="3" s="1"/>
  <c r="K2059" i="3"/>
  <c r="L2059" i="3" s="1"/>
  <c r="K1552" i="3"/>
  <c r="L1552" i="3" s="1"/>
  <c r="K1866" i="3"/>
  <c r="L1866" i="3" s="1"/>
  <c r="K2715" i="3"/>
  <c r="L2715" i="3" s="1"/>
  <c r="K1457" i="3"/>
  <c r="L1457" i="3" s="1"/>
  <c r="K1722" i="3"/>
  <c r="L1722" i="3" s="1"/>
  <c r="K3408" i="3"/>
  <c r="L3408" i="3" s="1"/>
  <c r="K1336" i="3"/>
  <c r="L1336" i="3" s="1"/>
  <c r="K3518" i="3"/>
  <c r="L3518" i="3" s="1"/>
  <c r="K1896" i="3"/>
  <c r="L1896" i="3" s="1"/>
  <c r="K3634" i="3"/>
  <c r="L3634" i="3" s="1"/>
  <c r="K3876" i="3"/>
  <c r="L3876" i="3" s="1"/>
  <c r="K4857" i="3"/>
  <c r="L4857" i="3" s="1"/>
  <c r="K3464" i="3"/>
  <c r="L3464" i="3" s="1"/>
  <c r="K3642" i="3"/>
  <c r="L3642" i="3" s="1"/>
  <c r="K3729" i="3"/>
  <c r="L3729" i="3" s="1"/>
  <c r="K3841" i="3"/>
  <c r="L3841" i="3" s="1"/>
  <c r="K3946" i="3"/>
  <c r="L3946" i="3" s="1"/>
  <c r="K3542" i="3"/>
  <c r="L3542" i="3" s="1"/>
  <c r="K6186" i="3"/>
  <c r="L6186" i="3" s="1"/>
  <c r="K3818" i="3"/>
  <c r="L3818" i="3" s="1"/>
  <c r="K3561" i="3"/>
  <c r="L3561" i="3" s="1"/>
  <c r="K3593" i="3"/>
  <c r="L3593" i="3" s="1"/>
  <c r="K3572" i="3"/>
  <c r="L3572" i="3" s="1"/>
  <c r="K570" i="3"/>
  <c r="L570" i="3" s="1"/>
  <c r="K574" i="3"/>
  <c r="L574" i="3" s="1"/>
  <c r="K856" i="3"/>
  <c r="L856" i="3" s="1"/>
  <c r="K618" i="3"/>
  <c r="L618" i="3" s="1"/>
  <c r="K505" i="3"/>
  <c r="L505" i="3" s="1"/>
  <c r="K853" i="3"/>
  <c r="L853" i="3" s="1"/>
  <c r="K1003" i="3"/>
  <c r="L1003" i="3" s="1"/>
  <c r="K1252" i="3"/>
  <c r="L1252" i="3" s="1"/>
  <c r="K575" i="3"/>
  <c r="L575" i="3" s="1"/>
  <c r="K589" i="3"/>
  <c r="L589" i="3" s="1"/>
  <c r="K791" i="3"/>
  <c r="L791" i="3" s="1"/>
  <c r="K1366" i="3"/>
  <c r="L1366" i="3" s="1"/>
  <c r="K691" i="3"/>
  <c r="L691" i="3" s="1"/>
  <c r="K950" i="3"/>
  <c r="L950" i="3" s="1"/>
  <c r="K899" i="3"/>
  <c r="L899" i="3" s="1"/>
  <c r="K1062" i="3"/>
  <c r="L1062" i="3" s="1"/>
  <c r="Q183" i="1"/>
  <c r="K1110" i="3"/>
  <c r="L1110" i="3" s="1"/>
  <c r="K1313" i="3"/>
  <c r="L1313" i="3" s="1"/>
  <c r="K1482" i="3"/>
  <c r="L1482" i="3" s="1"/>
  <c r="K1217" i="3"/>
  <c r="L1217" i="3" s="1"/>
  <c r="K1259" i="3"/>
  <c r="L1259" i="3" s="1"/>
  <c r="K1326" i="3"/>
  <c r="L1326" i="3" s="1"/>
  <c r="K1435" i="3"/>
  <c r="L1435" i="3" s="1"/>
  <c r="K1258" i="3"/>
  <c r="L1258" i="3" s="1"/>
  <c r="K1416" i="3"/>
  <c r="L1416" i="3" s="1"/>
  <c r="K1486" i="3"/>
  <c r="L1486" i="3" s="1"/>
  <c r="K1536" i="3"/>
  <c r="L1536" i="3" s="1"/>
  <c r="K1236" i="3"/>
  <c r="L1236" i="3" s="1"/>
  <c r="K3109" i="3"/>
  <c r="L3109" i="3" s="1"/>
  <c r="K7222" i="3"/>
  <c r="L7222" i="3" s="1"/>
  <c r="K7220" i="3"/>
  <c r="L7220" i="3" s="1"/>
  <c r="K7221" i="3"/>
  <c r="L7221" i="3" s="1"/>
  <c r="K1663" i="3"/>
  <c r="L1663" i="3" s="1"/>
  <c r="K2455" i="3"/>
  <c r="L2455" i="3" s="1"/>
  <c r="K2298" i="3"/>
  <c r="L2298" i="3" s="1"/>
  <c r="K2491" i="3"/>
  <c r="L2491" i="3" s="1"/>
  <c r="K2507" i="3"/>
  <c r="L2507" i="3" s="1"/>
  <c r="K2568" i="3"/>
  <c r="L2568" i="3" s="1"/>
  <c r="K2604" i="3"/>
  <c r="L2604" i="3" s="1"/>
  <c r="K2860" i="3"/>
  <c r="L2860" i="3" s="1"/>
  <c r="K2299" i="3"/>
  <c r="L2299" i="3" s="1"/>
  <c r="K2535" i="3"/>
  <c r="L2535" i="3" s="1"/>
  <c r="K2872" i="3"/>
  <c r="L2872" i="3" s="1"/>
  <c r="K2235" i="3"/>
  <c r="L2235" i="3" s="1"/>
  <c r="K2552" i="3"/>
  <c r="L2552" i="3" s="1"/>
  <c r="K2571" i="3"/>
  <c r="L2571" i="3" s="1"/>
  <c r="K2609" i="3"/>
  <c r="L2609" i="3" s="1"/>
  <c r="K2217" i="3"/>
  <c r="L2217" i="3" s="1"/>
  <c r="K24" i="3"/>
  <c r="L24" i="3" s="1"/>
  <c r="K111" i="3"/>
  <c r="L111" i="3" s="1"/>
  <c r="K175" i="3"/>
  <c r="L175" i="3" s="1"/>
  <c r="K248" i="3"/>
  <c r="L248" i="3" s="1"/>
  <c r="K47" i="3"/>
  <c r="L47" i="3" s="1"/>
  <c r="K67" i="3"/>
  <c r="L67" i="3" s="1"/>
  <c r="K83" i="3"/>
  <c r="L83" i="3" s="1"/>
  <c r="K163" i="3"/>
  <c r="L163" i="3" s="1"/>
  <c r="K18" i="3"/>
  <c r="L18" i="3" s="1"/>
  <c r="K145" i="3"/>
  <c r="L145" i="3" s="1"/>
  <c r="K25" i="3"/>
  <c r="L25" i="3" s="1"/>
  <c r="K30" i="3"/>
  <c r="L30" i="3" s="1"/>
  <c r="K57" i="3"/>
  <c r="L57" i="3" s="1"/>
  <c r="K85" i="3"/>
  <c r="L85" i="3" s="1"/>
  <c r="K94" i="3"/>
  <c r="L94" i="3" s="1"/>
  <c r="K102" i="3"/>
  <c r="L102" i="3" s="1"/>
  <c r="K588" i="3"/>
  <c r="L588" i="3" s="1"/>
  <c r="K694" i="3"/>
  <c r="L694" i="3" s="1"/>
  <c r="K758" i="3"/>
  <c r="L758" i="3" s="1"/>
  <c r="K814" i="3"/>
  <c r="L814" i="3" s="1"/>
  <c r="K833" i="3"/>
  <c r="L833" i="3" s="1"/>
  <c r="K506" i="3"/>
  <c r="L506" i="3" s="1"/>
  <c r="K527" i="3"/>
  <c r="L527" i="3" s="1"/>
  <c r="K722" i="3"/>
  <c r="L722" i="3" s="1"/>
  <c r="K655" i="3"/>
  <c r="L655" i="3" s="1"/>
  <c r="K830" i="3"/>
  <c r="L830" i="3" s="1"/>
  <c r="K603" i="3"/>
  <c r="L603" i="3" s="1"/>
  <c r="K637" i="3"/>
  <c r="L637" i="3" s="1"/>
  <c r="K783" i="3"/>
  <c r="L783" i="3" s="1"/>
  <c r="K581" i="3"/>
  <c r="L581" i="3" s="1"/>
  <c r="K661" i="3"/>
  <c r="L661" i="3" s="1"/>
  <c r="K675" i="3"/>
  <c r="L675" i="3" s="1"/>
  <c r="K1517" i="3"/>
  <c r="L1517" i="3" s="1"/>
  <c r="K1523" i="3"/>
  <c r="L1523" i="3" s="1"/>
  <c r="K1861" i="3"/>
  <c r="L1861" i="3" s="1"/>
  <c r="K2349" i="3"/>
  <c r="L2349" i="3" s="1"/>
  <c r="K2413" i="3"/>
  <c r="L2413" i="3" s="1"/>
  <c r="K1427" i="3"/>
  <c r="L1427" i="3" s="1"/>
  <c r="K2093" i="3"/>
  <c r="L2093" i="3" s="1"/>
  <c r="K1321" i="3"/>
  <c r="L1321" i="3" s="1"/>
  <c r="K2161" i="3"/>
  <c r="L2161" i="3" s="1"/>
  <c r="K2275" i="3"/>
  <c r="L2275" i="3" s="1"/>
  <c r="K2239" i="3"/>
  <c r="L2239" i="3" s="1"/>
  <c r="K2305" i="3"/>
  <c r="L2305" i="3" s="1"/>
  <c r="K2359" i="3"/>
  <c r="L2359" i="3" s="1"/>
  <c r="K7196" i="3"/>
  <c r="L7196" i="3" s="1"/>
  <c r="K1445" i="3"/>
  <c r="L1445" i="3" s="1"/>
  <c r="K7195" i="3"/>
  <c r="L7195" i="3" s="1"/>
  <c r="U161" i="2"/>
  <c r="V161" i="2" s="1"/>
  <c r="U82" i="2"/>
  <c r="V82" i="2" s="1"/>
  <c r="U138" i="2"/>
  <c r="V138" i="2" s="1"/>
  <c r="U141" i="2"/>
  <c r="V141" i="2" s="1"/>
  <c r="U491" i="2"/>
  <c r="V491" i="2" s="1"/>
  <c r="U382" i="2"/>
  <c r="V382" i="2" s="1"/>
  <c r="U384" i="2"/>
  <c r="V384" i="2" s="1"/>
  <c r="U75" i="2"/>
  <c r="V75" i="2" s="1"/>
  <c r="U85" i="2"/>
  <c r="V85" i="2" s="1"/>
  <c r="U88" i="2"/>
  <c r="V88" i="2" s="1"/>
  <c r="U117" i="2"/>
  <c r="V117" i="2" s="1"/>
  <c r="U126" i="2"/>
  <c r="V126" i="2" s="1"/>
  <c r="U368" i="2"/>
  <c r="V368" i="2" s="1"/>
  <c r="U490" i="2"/>
  <c r="V490" i="2" s="1"/>
  <c r="U83" i="2"/>
  <c r="V83" i="2" s="1"/>
  <c r="U116" i="2"/>
  <c r="V116" i="2" s="1"/>
  <c r="K3229" i="3"/>
  <c r="L3229" i="3" s="1"/>
  <c r="K3417" i="3"/>
  <c r="L3417" i="3" s="1"/>
  <c r="K3517" i="3"/>
  <c r="L3517" i="3" s="1"/>
  <c r="K3792" i="3"/>
  <c r="L3792" i="3" s="1"/>
  <c r="K3252" i="3"/>
  <c r="L3252" i="3" s="1"/>
  <c r="K3440" i="3"/>
  <c r="L3440" i="3" s="1"/>
  <c r="K3727" i="3"/>
  <c r="L3727" i="3" s="1"/>
  <c r="K3648" i="3"/>
  <c r="L3648" i="3" s="1"/>
  <c r="K3555" i="3"/>
  <c r="L3555" i="3" s="1"/>
  <c r="K3567" i="3"/>
  <c r="L3567" i="3" s="1"/>
  <c r="K3726" i="3"/>
  <c r="L3726" i="3" s="1"/>
  <c r="K3528" i="3"/>
  <c r="L3528" i="3" s="1"/>
  <c r="K3439" i="3"/>
  <c r="L3439" i="3" s="1"/>
  <c r="K1567" i="3"/>
  <c r="L1567" i="3" s="1"/>
  <c r="K1609" i="3"/>
  <c r="L1609" i="3" s="1"/>
  <c r="K1705" i="3"/>
  <c r="L1705" i="3" s="1"/>
  <c r="K1711" i="3"/>
  <c r="L1711" i="3" s="1"/>
  <c r="K1781" i="3"/>
  <c r="L1781" i="3" s="1"/>
  <c r="K1913" i="3"/>
  <c r="L1913" i="3" s="1"/>
  <c r="K2117" i="3"/>
  <c r="L2117" i="3" s="1"/>
  <c r="K1856" i="3"/>
  <c r="L1856" i="3" s="1"/>
  <c r="K1919" i="3"/>
  <c r="L1919" i="3" s="1"/>
  <c r="K1753" i="3"/>
  <c r="L1753" i="3" s="1"/>
  <c r="K2291" i="3"/>
  <c r="L2291" i="3" s="1"/>
  <c r="K3341" i="3"/>
  <c r="L3341" i="3" s="1"/>
  <c r="K1838" i="3"/>
  <c r="L1838" i="3" s="1"/>
  <c r="K2598" i="3"/>
  <c r="L2598" i="3" s="1"/>
  <c r="K3206" i="3"/>
  <c r="L3206" i="3" s="1"/>
  <c r="K1618" i="3"/>
  <c r="L1618" i="3" s="1"/>
  <c r="K566" i="3"/>
  <c r="L566" i="3" s="1"/>
  <c r="K883" i="3"/>
  <c r="L883" i="3" s="1"/>
  <c r="K649" i="3"/>
  <c r="L649" i="3" s="1"/>
  <c r="K443" i="3"/>
  <c r="L443" i="3" s="1"/>
  <c r="K620" i="3"/>
  <c r="L620" i="3" s="1"/>
  <c r="K659" i="3"/>
  <c r="L659" i="3" s="1"/>
  <c r="K747" i="3"/>
  <c r="L747" i="3" s="1"/>
  <c r="K774" i="3"/>
  <c r="L774" i="3" s="1"/>
  <c r="K813" i="3"/>
  <c r="L813" i="3" s="1"/>
  <c r="K563" i="3"/>
  <c r="L563" i="3" s="1"/>
  <c r="K700" i="3"/>
  <c r="L700" i="3" s="1"/>
  <c r="K733" i="3"/>
  <c r="L733" i="3" s="1"/>
  <c r="K765" i="3"/>
  <c r="L765" i="3" s="1"/>
  <c r="K586" i="3"/>
  <c r="L586" i="3" s="1"/>
  <c r="K672" i="3"/>
  <c r="L672" i="3" s="1"/>
  <c r="K713" i="3"/>
  <c r="L713" i="3" s="1"/>
  <c r="K1312" i="3"/>
  <c r="L1312" i="3" s="1"/>
  <c r="K1102" i="3"/>
  <c r="L1102" i="3" s="1"/>
  <c r="K1407" i="3"/>
  <c r="L1407" i="3" s="1"/>
  <c r="K1802" i="3"/>
  <c r="L1802" i="3" s="1"/>
  <c r="K1963" i="3"/>
  <c r="L1963" i="3" s="1"/>
  <c r="K1742" i="3"/>
  <c r="L1742" i="3" s="1"/>
  <c r="K1177" i="3"/>
  <c r="L1177" i="3" s="1"/>
  <c r="K1413" i="3"/>
  <c r="L1413" i="3" s="1"/>
  <c r="K1465" i="3"/>
  <c r="L1465" i="3" s="1"/>
  <c r="K1489" i="3"/>
  <c r="L1489" i="3" s="1"/>
  <c r="K1884" i="3"/>
  <c r="L1884" i="3" s="1"/>
  <c r="K1658" i="3"/>
  <c r="L1658" i="3" s="1"/>
  <c r="K2465" i="3"/>
  <c r="L2465" i="3" s="1"/>
  <c r="K2803" i="3"/>
  <c r="L2803" i="3" s="1"/>
  <c r="K1208" i="3"/>
  <c r="L1208" i="3" s="1"/>
  <c r="K2277" i="3"/>
  <c r="L2277" i="3" s="1"/>
  <c r="K1054" i="3"/>
  <c r="L1054" i="3" s="1"/>
  <c r="K667" i="3"/>
  <c r="L667" i="3" s="1"/>
  <c r="K973" i="3"/>
  <c r="L973" i="3" s="1"/>
  <c r="K1042" i="3"/>
  <c r="L1042" i="3" s="1"/>
  <c r="K900" i="3"/>
  <c r="L900" i="3" s="1"/>
  <c r="K1034" i="3"/>
  <c r="L1034" i="3" s="1"/>
  <c r="K1004" i="3"/>
  <c r="L1004" i="3" s="1"/>
  <c r="K1096" i="3"/>
  <c r="L1096" i="3" s="1"/>
  <c r="K1097" i="3"/>
  <c r="L1097" i="3" s="1"/>
  <c r="K1204" i="3"/>
  <c r="L1204" i="3" s="1"/>
  <c r="K1248" i="3"/>
  <c r="L1248" i="3" s="1"/>
  <c r="K1282" i="3"/>
  <c r="L1282" i="3" s="1"/>
  <c r="K7328" i="3"/>
  <c r="L7328" i="3" s="1"/>
  <c r="K817" i="3"/>
  <c r="L817" i="3" s="1"/>
  <c r="K7330" i="3"/>
  <c r="L7330" i="3" s="1"/>
  <c r="K7329" i="3"/>
  <c r="L7329" i="3" s="1"/>
  <c r="K1492" i="3"/>
  <c r="L1492" i="3" s="1"/>
  <c r="K1668" i="3"/>
  <c r="L1668" i="3" s="1"/>
  <c r="K1980" i="3"/>
  <c r="L1980" i="3" s="1"/>
  <c r="K2408" i="3"/>
  <c r="L2408" i="3" s="1"/>
  <c r="K1698" i="3"/>
  <c r="L1698" i="3" s="1"/>
  <c r="K2103" i="3"/>
  <c r="L2103" i="3" s="1"/>
  <c r="K2579" i="3"/>
  <c r="L2579" i="3" s="1"/>
  <c r="K2154" i="3"/>
  <c r="L2154" i="3" s="1"/>
  <c r="K2191" i="3"/>
  <c r="L2191" i="3" s="1"/>
  <c r="K1819" i="3"/>
  <c r="L1819" i="3" s="1"/>
  <c r="K1825" i="3"/>
  <c r="L1825" i="3" s="1"/>
  <c r="K2145" i="3"/>
  <c r="L2145" i="3" s="1"/>
  <c r="K2483" i="3"/>
  <c r="L2483" i="3" s="1"/>
  <c r="K2542" i="3"/>
  <c r="L2542" i="3" s="1"/>
  <c r="K2201" i="3"/>
  <c r="L2201" i="3" s="1"/>
  <c r="K2681" i="3"/>
  <c r="L2681" i="3" s="1"/>
  <c r="K410" i="3"/>
  <c r="L410" i="3" s="1"/>
  <c r="K437" i="3"/>
  <c r="L437" i="3" s="1"/>
  <c r="K481" i="3"/>
  <c r="L481" i="3" s="1"/>
  <c r="K508" i="3"/>
  <c r="L508" i="3" s="1"/>
  <c r="K539" i="3"/>
  <c r="L539" i="3" s="1"/>
  <c r="K789" i="3"/>
  <c r="L789" i="3" s="1"/>
  <c r="K431" i="3"/>
  <c r="L431" i="3" s="1"/>
  <c r="K435" i="3"/>
  <c r="L435" i="3" s="1"/>
  <c r="K531" i="3"/>
  <c r="L531" i="3" s="1"/>
  <c r="K624" i="3"/>
  <c r="L624" i="3" s="1"/>
  <c r="K710" i="3"/>
  <c r="L710" i="3" s="1"/>
  <c r="K366" i="3"/>
  <c r="L366" i="3" s="1"/>
  <c r="K456" i="3"/>
  <c r="L456" i="3" s="1"/>
  <c r="K519" i="3"/>
  <c r="L519" i="3" s="1"/>
  <c r="K697" i="3"/>
  <c r="L697" i="3" s="1"/>
  <c r="K788" i="3"/>
  <c r="L788" i="3" s="1"/>
  <c r="K707" i="3"/>
  <c r="L707" i="3" s="1"/>
  <c r="K729" i="3"/>
  <c r="L729" i="3" s="1"/>
  <c r="K731" i="3"/>
  <c r="L731" i="3" s="1"/>
  <c r="K706" i="3"/>
  <c r="L706" i="3" s="1"/>
  <c r="K735" i="3"/>
  <c r="L735" i="3" s="1"/>
  <c r="K826" i="3"/>
  <c r="L826" i="3" s="1"/>
  <c r="K919" i="3"/>
  <c r="L919" i="3" s="1"/>
  <c r="K724" i="3"/>
  <c r="L724" i="3" s="1"/>
  <c r="K918" i="3"/>
  <c r="L918" i="3" s="1"/>
  <c r="K786" i="3"/>
  <c r="L786" i="3" s="1"/>
  <c r="K882" i="3"/>
  <c r="L882" i="3" s="1"/>
  <c r="K1061" i="3"/>
  <c r="L1061" i="3" s="1"/>
  <c r="K1121" i="3"/>
  <c r="L1121" i="3" s="1"/>
  <c r="K889" i="3"/>
  <c r="L889" i="3" s="1"/>
  <c r="K927" i="3"/>
  <c r="L927" i="3" s="1"/>
  <c r="K787" i="3"/>
  <c r="L787" i="3" s="1"/>
  <c r="K376" i="3"/>
  <c r="L376" i="3" s="1"/>
  <c r="K384" i="3"/>
  <c r="L384" i="3" s="1"/>
  <c r="K504" i="3"/>
  <c r="L504" i="3" s="1"/>
  <c r="K159" i="3"/>
  <c r="L159" i="3" s="1"/>
  <c r="K291" i="3"/>
  <c r="L291" i="3" s="1"/>
  <c r="K327" i="3"/>
  <c r="L327" i="3" s="1"/>
  <c r="K396" i="3"/>
  <c r="L396" i="3" s="1"/>
  <c r="K485" i="3"/>
  <c r="L485" i="3" s="1"/>
  <c r="K284" i="3"/>
  <c r="L284" i="3" s="1"/>
  <c r="K395" i="3"/>
  <c r="L395" i="3" s="1"/>
  <c r="K450" i="3"/>
  <c r="L450" i="3" s="1"/>
  <c r="K359" i="3"/>
  <c r="L359" i="3" s="1"/>
  <c r="K576" i="3"/>
  <c r="L576" i="3" s="1"/>
  <c r="K297" i="3"/>
  <c r="L297" i="3" s="1"/>
  <c r="K492" i="3"/>
  <c r="L492" i="3" s="1"/>
  <c r="K303" i="3"/>
  <c r="L303" i="3" s="1"/>
  <c r="U4" i="2"/>
  <c r="V4" i="2" s="1"/>
  <c r="U113" i="2"/>
  <c r="V113" i="2" s="1"/>
  <c r="U199" i="2"/>
  <c r="V199" i="2" s="1"/>
  <c r="U385" i="2"/>
  <c r="V385" i="2" s="1"/>
  <c r="U479" i="2"/>
  <c r="V479" i="2" s="1"/>
  <c r="U483" i="2"/>
  <c r="V483" i="2" s="1"/>
  <c r="U11" i="2"/>
  <c r="V11" i="2" s="1"/>
  <c r="U168" i="2"/>
  <c r="V168" i="2" s="1"/>
  <c r="U269" i="2"/>
  <c r="V269" i="2" s="1"/>
  <c r="U200" i="2"/>
  <c r="V200" i="2" s="1"/>
  <c r="U217" i="2"/>
  <c r="V217" i="2" s="1"/>
  <c r="U278" i="2"/>
  <c r="V278" i="2" s="1"/>
  <c r="U316" i="2"/>
  <c r="V316" i="2" s="1"/>
  <c r="U55" i="2"/>
  <c r="V55" i="2" s="1"/>
  <c r="U67" i="2"/>
  <c r="V67" i="2" s="1"/>
  <c r="U315" i="2"/>
  <c r="V315" i="2" s="1"/>
  <c r="K1193" i="3"/>
  <c r="L1193" i="3" s="1"/>
  <c r="K1216" i="3"/>
  <c r="L1216" i="3" s="1"/>
  <c r="K1238" i="3"/>
  <c r="L1238" i="3" s="1"/>
  <c r="K1450" i="3"/>
  <c r="L1450" i="3" s="1"/>
  <c r="K1727" i="3"/>
  <c r="L1727" i="3" s="1"/>
  <c r="K1468" i="3"/>
  <c r="L1468" i="3" s="1"/>
  <c r="K1591" i="3"/>
  <c r="L1591" i="3" s="1"/>
  <c r="K1330" i="3"/>
  <c r="L1330" i="3" s="1"/>
  <c r="K1441" i="3"/>
  <c r="L1441" i="3" s="1"/>
  <c r="K1267" i="3"/>
  <c r="L1267" i="3" s="1"/>
  <c r="K1356" i="3"/>
  <c r="L1356" i="3" s="1"/>
  <c r="K1794" i="3"/>
  <c r="L1794" i="3" s="1"/>
  <c r="K1863" i="3"/>
  <c r="L1863" i="3" s="1"/>
  <c r="K1316" i="3"/>
  <c r="L1316" i="3" s="1"/>
  <c r="K1246" i="3"/>
  <c r="L1246" i="3" s="1"/>
  <c r="K1682" i="3"/>
  <c r="L1682" i="3" s="1"/>
  <c r="K1551" i="3"/>
  <c r="L1551" i="3" s="1"/>
  <c r="K1732" i="3"/>
  <c r="L1732" i="3" s="1"/>
  <c r="K1645" i="3"/>
  <c r="L1645" i="3" s="1"/>
  <c r="K1650" i="3"/>
  <c r="L1650" i="3" s="1"/>
  <c r="K1688" i="3"/>
  <c r="L1688" i="3" s="1"/>
  <c r="K1697" i="3"/>
  <c r="L1697" i="3" s="1"/>
  <c r="K1955" i="3"/>
  <c r="L1955" i="3" s="1"/>
  <c r="K2013" i="3"/>
  <c r="L2013" i="3" s="1"/>
  <c r="K2072" i="3"/>
  <c r="L2072" i="3" s="1"/>
  <c r="K1846" i="3"/>
  <c r="L1846" i="3" s="1"/>
  <c r="K1889" i="3"/>
  <c r="L1889" i="3" s="1"/>
  <c r="K2020" i="3"/>
  <c r="L2020" i="3" s="1"/>
  <c r="K1881" i="3"/>
  <c r="L1881" i="3" s="1"/>
  <c r="K1865" i="3"/>
  <c r="L1865" i="3" s="1"/>
  <c r="K2166" i="3"/>
  <c r="L2166" i="3" s="1"/>
  <c r="K2336" i="3"/>
  <c r="L2336" i="3" s="1"/>
  <c r="K2267" i="3"/>
  <c r="L2267" i="3" s="1"/>
  <c r="K2550" i="3"/>
  <c r="L2550" i="3" s="1"/>
  <c r="K2775" i="3"/>
  <c r="L2775" i="3" s="1"/>
  <c r="K2953" i="3"/>
  <c r="L2953" i="3" s="1"/>
  <c r="K3008" i="3"/>
  <c r="L3008" i="3" s="1"/>
  <c r="K3313" i="3"/>
  <c r="L3313" i="3" s="1"/>
  <c r="K2618" i="3"/>
  <c r="L2618" i="3" s="1"/>
  <c r="K3603" i="3"/>
  <c r="L3603" i="3" s="1"/>
  <c r="K2904" i="3"/>
  <c r="L2904" i="3" s="1"/>
  <c r="K4265" i="3"/>
  <c r="L4265" i="3" s="1"/>
  <c r="K2800" i="3"/>
  <c r="L2800" i="3" s="1"/>
  <c r="K2887" i="3"/>
  <c r="L2887" i="3" s="1"/>
  <c r="K7665" i="3"/>
  <c r="L7665" i="3" s="1"/>
  <c r="K2553" i="3"/>
  <c r="L2553" i="3" s="1"/>
  <c r="K2727" i="3"/>
  <c r="L2727" i="3" s="1"/>
  <c r="K3203" i="3"/>
  <c r="L3203" i="3" s="1"/>
  <c r="U86" i="2"/>
  <c r="V86" i="2" s="1"/>
  <c r="U87" i="2"/>
  <c r="V87" i="2" s="1"/>
  <c r="U107" i="2"/>
  <c r="V107" i="2" s="1"/>
  <c r="U409" i="2"/>
  <c r="V409" i="2" s="1"/>
  <c r="U5" i="2"/>
  <c r="V5" i="2" s="1"/>
  <c r="U29" i="2"/>
  <c r="V29" i="2" s="1"/>
  <c r="U33" i="2"/>
  <c r="V33" i="2" s="1"/>
  <c r="U51" i="2"/>
  <c r="V51" i="2" s="1"/>
  <c r="U134" i="2"/>
  <c r="V134" i="2" s="1"/>
  <c r="U419" i="2"/>
  <c r="V419" i="2" s="1"/>
  <c r="U61" i="2"/>
  <c r="V61" i="2" s="1"/>
  <c r="U176" i="2"/>
  <c r="V176" i="2" s="1"/>
  <c r="U80" i="2"/>
  <c r="V80" i="2" s="1"/>
  <c r="U93" i="2"/>
  <c r="V93" i="2" s="1"/>
  <c r="U136" i="2"/>
  <c r="V136" i="2" s="1"/>
  <c r="U78" i="2"/>
  <c r="V78" i="2" s="1"/>
  <c r="K1065" i="3"/>
  <c r="L1065" i="3" s="1"/>
  <c r="K1174" i="3"/>
  <c r="L1174" i="3" s="1"/>
  <c r="K1187" i="3"/>
  <c r="L1187" i="3" s="1"/>
  <c r="K1310" i="3"/>
  <c r="L1310" i="3" s="1"/>
  <c r="K1337" i="3"/>
  <c r="L1337" i="3" s="1"/>
  <c r="K1577" i="3"/>
  <c r="L1577" i="3" s="1"/>
  <c r="K1589" i="3"/>
  <c r="L1589" i="3" s="1"/>
  <c r="K1615" i="3"/>
  <c r="L1615" i="3" s="1"/>
  <c r="K1754" i="3"/>
  <c r="L1754" i="3" s="1"/>
  <c r="K1458" i="3"/>
  <c r="L1458" i="3" s="1"/>
  <c r="K1495" i="3"/>
  <c r="L1495" i="3" s="1"/>
  <c r="K1543" i="3"/>
  <c r="L1543" i="3" s="1"/>
  <c r="K1509" i="3"/>
  <c r="L1509" i="3" s="1"/>
  <c r="K1785" i="3"/>
  <c r="L1785" i="3" s="1"/>
  <c r="K1481" i="3"/>
  <c r="L1481" i="3" s="1"/>
  <c r="K7669" i="3"/>
  <c r="L7669" i="3" s="1"/>
  <c r="K1147" i="3"/>
  <c r="L1147" i="3" s="1"/>
  <c r="K1365" i="3"/>
  <c r="L1365" i="3" s="1"/>
  <c r="K1223" i="3"/>
  <c r="L1223" i="3" s="1"/>
  <c r="K1304" i="3"/>
  <c r="L1304" i="3" s="1"/>
  <c r="K1556" i="3"/>
  <c r="L1556" i="3" s="1"/>
  <c r="K1375" i="3"/>
  <c r="L1375" i="3" s="1"/>
  <c r="K1383" i="3"/>
  <c r="L1383" i="3" s="1"/>
  <c r="K1484" i="3"/>
  <c r="L1484" i="3" s="1"/>
  <c r="K1549" i="3"/>
  <c r="L1549" i="3" s="1"/>
  <c r="K1144" i="3"/>
  <c r="L1144" i="3" s="1"/>
  <c r="K1290" i="3"/>
  <c r="L1290" i="3" s="1"/>
  <c r="K2032" i="3"/>
  <c r="L2032" i="3" s="1"/>
  <c r="K1235" i="3"/>
  <c r="L1235" i="3" s="1"/>
  <c r="K1729" i="3"/>
  <c r="L1729" i="3" s="1"/>
  <c r="K2400" i="3"/>
  <c r="L2400" i="3" s="1"/>
  <c r="K5610" i="3"/>
  <c r="L5610" i="3" s="1"/>
  <c r="K1786" i="3"/>
  <c r="L1786" i="3" s="1"/>
  <c r="K2064" i="3"/>
  <c r="L2064" i="3" s="1"/>
  <c r="K2133" i="3"/>
  <c r="L2133" i="3" s="1"/>
  <c r="K2058" i="3"/>
  <c r="L2058" i="3" s="1"/>
  <c r="K2232" i="3"/>
  <c r="L2232" i="3" s="1"/>
  <c r="K2386" i="3"/>
  <c r="L2386" i="3" s="1"/>
  <c r="K1837" i="3"/>
  <c r="L1837" i="3" s="1"/>
  <c r="K1880" i="3"/>
  <c r="L1880" i="3" s="1"/>
  <c r="K1978" i="3"/>
  <c r="L1978" i="3" s="1"/>
  <c r="K2492" i="3"/>
  <c r="L2492" i="3" s="1"/>
  <c r="K1855" i="3"/>
  <c r="L1855" i="3" s="1"/>
  <c r="K2930" i="3"/>
  <c r="L2930" i="3" s="1"/>
  <c r="K2162" i="3"/>
  <c r="L2162" i="3" s="1"/>
  <c r="K2546" i="3"/>
  <c r="L2546" i="3" s="1"/>
  <c r="K2205" i="3"/>
  <c r="L2205" i="3" s="1"/>
  <c r="K2415" i="3"/>
  <c r="L2415" i="3" s="1"/>
  <c r="U16" i="2"/>
  <c r="V16" i="2" s="1"/>
  <c r="U251" i="2"/>
  <c r="V251" i="2" s="1"/>
  <c r="U329" i="2"/>
  <c r="V329" i="2" s="1"/>
  <c r="U365" i="2"/>
  <c r="V365" i="2" s="1"/>
  <c r="U62" i="2"/>
  <c r="V62" i="2" s="1"/>
  <c r="U264" i="2"/>
  <c r="V264" i="2" s="1"/>
  <c r="U447" i="2"/>
  <c r="V447" i="2" s="1"/>
  <c r="U25" i="2"/>
  <c r="V25" i="2" s="1"/>
  <c r="U185" i="2"/>
  <c r="V185" i="2" s="1"/>
  <c r="U275" i="2"/>
  <c r="V275" i="2" s="1"/>
  <c r="U391" i="2"/>
  <c r="V391" i="2" s="1"/>
  <c r="U30" i="2"/>
  <c r="V30" i="2" s="1"/>
  <c r="U131" i="2"/>
  <c r="V131" i="2" s="1"/>
  <c r="U383" i="2"/>
  <c r="V383" i="2" s="1"/>
  <c r="U390" i="2"/>
  <c r="V390" i="2" s="1"/>
  <c r="U468" i="2"/>
  <c r="V468" i="2" s="1"/>
  <c r="K20" i="3"/>
  <c r="L20" i="3" s="1"/>
  <c r="K40" i="3"/>
  <c r="L40" i="3" s="1"/>
  <c r="K64" i="3"/>
  <c r="L64" i="3" s="1"/>
  <c r="K151" i="3"/>
  <c r="L151" i="3" s="1"/>
  <c r="K197" i="3"/>
  <c r="L197" i="3" s="1"/>
  <c r="K206" i="3"/>
  <c r="L206" i="3" s="1"/>
  <c r="K287" i="3"/>
  <c r="L287" i="3" s="1"/>
  <c r="K454" i="3"/>
  <c r="L454" i="3" s="1"/>
  <c r="K55" i="3"/>
  <c r="L55" i="3" s="1"/>
  <c r="K286" i="3"/>
  <c r="L286" i="3" s="1"/>
  <c r="K300" i="3"/>
  <c r="L300" i="3" s="1"/>
  <c r="K10" i="3"/>
  <c r="L10" i="3" s="1"/>
  <c r="K34" i="3"/>
  <c r="L34" i="3" s="1"/>
  <c r="K50" i="3"/>
  <c r="L50" i="3" s="1"/>
  <c r="K194" i="3"/>
  <c r="L194" i="3" s="1"/>
  <c r="K469" i="3"/>
  <c r="L469" i="3" s="1"/>
  <c r="K56" i="3"/>
  <c r="L56" i="3" s="1"/>
  <c r="K97" i="3"/>
  <c r="L97" i="3" s="1"/>
  <c r="K231" i="3"/>
  <c r="L231" i="3" s="1"/>
  <c r="K27" i="3"/>
  <c r="L27" i="3" s="1"/>
  <c r="K35" i="3"/>
  <c r="L35" i="3" s="1"/>
  <c r="K39" i="3"/>
  <c r="L39" i="3" s="1"/>
  <c r="K75" i="3"/>
  <c r="L75" i="3" s="1"/>
  <c r="K109" i="3"/>
  <c r="L109" i="3" s="1"/>
  <c r="K61" i="3"/>
  <c r="L61" i="3" s="1"/>
  <c r="K90" i="3"/>
  <c r="L90" i="3" s="1"/>
  <c r="K125" i="3"/>
  <c r="L125" i="3" s="1"/>
  <c r="K171" i="3"/>
  <c r="L171" i="3" s="1"/>
  <c r="K73" i="3"/>
  <c r="L73" i="3" s="1"/>
  <c r="K13" i="3"/>
  <c r="L13" i="3" s="1"/>
  <c r="K140" i="3"/>
  <c r="L140" i="3" s="1"/>
  <c r="K99" i="3"/>
  <c r="L99" i="3" s="1"/>
  <c r="Q6" i="1"/>
  <c r="Q14" i="1"/>
  <c r="Q39" i="1"/>
  <c r="Q5" i="1"/>
  <c r="Q21" i="1"/>
  <c r="Q87" i="1"/>
  <c r="Q57" i="1"/>
  <c r="Q279" i="1"/>
  <c r="Q28" i="1"/>
  <c r="Q79" i="1"/>
  <c r="Q162" i="1"/>
  <c r="Q185" i="1"/>
  <c r="Q275" i="1"/>
  <c r="Q144" i="1"/>
  <c r="Q43" i="1"/>
  <c r="Q392" i="1"/>
  <c r="K1657" i="3"/>
  <c r="L1657" i="3" s="1"/>
  <c r="K2005" i="3"/>
  <c r="L2005" i="3" s="1"/>
  <c r="K1990" i="3"/>
  <c r="L1990" i="3" s="1"/>
  <c r="K2004" i="3"/>
  <c r="L2004" i="3" s="1"/>
  <c r="K2136" i="3"/>
  <c r="L2136" i="3" s="1"/>
  <c r="K1694" i="3"/>
  <c r="L1694" i="3" s="1"/>
  <c r="K1832" i="3"/>
  <c r="L1832" i="3" s="1"/>
  <c r="K2098" i="3"/>
  <c r="L2098" i="3" s="1"/>
  <c r="K2181" i="3"/>
  <c r="L2181" i="3" s="1"/>
  <c r="K1833" i="3"/>
  <c r="L1833" i="3" s="1"/>
  <c r="K2021" i="3"/>
  <c r="L2021" i="3" s="1"/>
  <c r="K2049" i="3"/>
  <c r="L2049" i="3" s="1"/>
  <c r="K1869" i="3"/>
  <c r="L1869" i="3" s="1"/>
  <c r="K2238" i="3"/>
  <c r="L2238" i="3" s="1"/>
  <c r="K2186" i="3"/>
  <c r="L2186" i="3" s="1"/>
  <c r="K2150" i="3"/>
  <c r="L2150" i="3" s="1"/>
  <c r="K1620" i="3"/>
  <c r="L1620" i="3" s="1"/>
  <c r="K1800" i="3"/>
  <c r="L1800" i="3" s="1"/>
  <c r="K1596" i="3"/>
  <c r="L1596" i="3" s="1"/>
  <c r="K1467" i="3"/>
  <c r="L1467" i="3" s="1"/>
  <c r="K1709" i="3"/>
  <c r="L1709" i="3" s="1"/>
  <c r="K1773" i="3"/>
  <c r="L1773" i="3" s="1"/>
  <c r="K1666" i="3"/>
  <c r="L1666" i="3" s="1"/>
  <c r="K1774" i="3"/>
  <c r="L1774" i="3" s="1"/>
  <c r="K2042" i="3"/>
  <c r="L2042" i="3" s="1"/>
  <c r="K2043" i="3"/>
  <c r="L2043" i="3" s="1"/>
  <c r="K2315" i="3"/>
  <c r="L2315" i="3" s="1"/>
  <c r="K2747" i="3"/>
  <c r="L2747" i="3" s="1"/>
  <c r="K2766" i="3"/>
  <c r="L2766" i="3" s="1"/>
  <c r="K1920" i="3"/>
  <c r="L1920" i="3" s="1"/>
  <c r="K2742" i="3"/>
  <c r="L2742" i="3" s="1"/>
  <c r="K2182" i="3"/>
  <c r="L2182" i="3" s="1"/>
  <c r="K2152" i="3"/>
  <c r="L2152" i="3" s="1"/>
  <c r="K1702" i="3"/>
  <c r="L1702" i="3" s="1"/>
  <c r="K2302" i="3"/>
  <c r="L2302" i="3" s="1"/>
  <c r="K2481" i="3"/>
  <c r="L2481" i="3" s="1"/>
  <c r="K2561" i="3"/>
  <c r="L2561" i="3" s="1"/>
  <c r="K2398" i="3"/>
  <c r="L2398" i="3" s="1"/>
  <c r="K2475" i="3"/>
  <c r="L2475" i="3" s="1"/>
  <c r="K2664" i="3"/>
  <c r="L2664" i="3" s="1"/>
  <c r="K2193" i="3"/>
  <c r="L2193" i="3" s="1"/>
  <c r="K2316" i="3"/>
  <c r="L2316" i="3" s="1"/>
  <c r="K2515" i="3"/>
  <c r="L2515" i="3" s="1"/>
  <c r="K2799" i="3"/>
  <c r="L2799" i="3" s="1"/>
  <c r="K2278" i="3"/>
  <c r="L2278" i="3" s="1"/>
  <c r="K2891" i="3"/>
  <c r="L2891" i="3" s="1"/>
  <c r="K2500" i="3"/>
  <c r="L2500" i="3" s="1"/>
  <c r="K2576" i="3"/>
  <c r="L2576" i="3" s="1"/>
  <c r="K1265" i="3"/>
  <c r="L1265" i="3" s="1"/>
  <c r="K1343" i="3"/>
  <c r="L1343" i="3" s="1"/>
  <c r="K1444" i="3"/>
  <c r="L1444" i="3" s="1"/>
  <c r="K1402" i="3"/>
  <c r="L1402" i="3" s="1"/>
  <c r="K1426" i="3"/>
  <c r="L1426" i="3" s="1"/>
  <c r="K1585" i="3"/>
  <c r="L1585" i="3" s="1"/>
  <c r="K1661" i="3"/>
  <c r="L1661" i="3" s="1"/>
  <c r="K1959" i="3"/>
  <c r="L1959" i="3" s="1"/>
  <c r="K1364" i="3"/>
  <c r="L1364" i="3" s="1"/>
  <c r="K1616" i="3"/>
  <c r="L1616" i="3" s="1"/>
  <c r="K1830" i="3"/>
  <c r="L1830" i="3" s="1"/>
  <c r="K1917" i="3"/>
  <c r="L1917" i="3" s="1"/>
  <c r="K1648" i="3"/>
  <c r="L1648" i="3" s="1"/>
  <c r="K1654" i="3"/>
  <c r="L1654" i="3" s="1"/>
  <c r="K2210" i="3"/>
  <c r="L2210" i="3" s="1"/>
  <c r="K1274" i="3"/>
  <c r="L1274" i="3" s="1"/>
  <c r="K896" i="3"/>
  <c r="L896" i="3" s="1"/>
  <c r="K1076" i="3"/>
  <c r="L1076" i="3" s="1"/>
  <c r="K1411" i="3"/>
  <c r="L1411" i="3" s="1"/>
  <c r="K1052" i="3"/>
  <c r="L1052" i="3" s="1"/>
  <c r="K1268" i="3"/>
  <c r="L1268" i="3" s="1"/>
  <c r="K1303" i="3"/>
  <c r="L1303" i="3" s="1"/>
  <c r="K1405" i="3"/>
  <c r="L1405" i="3" s="1"/>
  <c r="K1460" i="3"/>
  <c r="L1460" i="3" s="1"/>
  <c r="K930" i="3"/>
  <c r="L930" i="3" s="1"/>
  <c r="K1506" i="3"/>
  <c r="L1506" i="3" s="1"/>
  <c r="K1137" i="3"/>
  <c r="L1137" i="3" s="1"/>
  <c r="K1388" i="3"/>
  <c r="L1388" i="3" s="1"/>
  <c r="K1430" i="3"/>
  <c r="L1430" i="3" s="1"/>
  <c r="K1453" i="3"/>
  <c r="L1453" i="3" s="1"/>
  <c r="K1459" i="3"/>
  <c r="L1459" i="3" s="1"/>
  <c r="K1175" i="3"/>
  <c r="L1175" i="3" s="1"/>
  <c r="K1046" i="3"/>
  <c r="L1046" i="3" s="1"/>
  <c r="K1161" i="3"/>
  <c r="L1161" i="3" s="1"/>
  <c r="K1198" i="3"/>
  <c r="L1198" i="3" s="1"/>
  <c r="K1170" i="3"/>
  <c r="L1170" i="3" s="1"/>
  <c r="K1685" i="3"/>
  <c r="L1685" i="3" s="1"/>
  <c r="K1189" i="3"/>
  <c r="L1189" i="3" s="1"/>
  <c r="K1496" i="3"/>
  <c r="L1496" i="3" s="1"/>
  <c r="K1249" i="3"/>
  <c r="L1249" i="3" s="1"/>
  <c r="K1558" i="3"/>
  <c r="L1558" i="3" s="1"/>
  <c r="K1299" i="3"/>
  <c r="L1299" i="3" s="1"/>
  <c r="K1370" i="3"/>
  <c r="L1370" i="3" s="1"/>
  <c r="K1477" i="3"/>
  <c r="L1477" i="3" s="1"/>
  <c r="K903" i="3"/>
  <c r="L903" i="3" s="1"/>
  <c r="K1305" i="3"/>
  <c r="L1305" i="3" s="1"/>
  <c r="K1241" i="3"/>
  <c r="L1241" i="3" s="1"/>
  <c r="K1302" i="3"/>
  <c r="L1302" i="3" s="1"/>
  <c r="K393" i="3"/>
  <c r="L393" i="3" s="1"/>
  <c r="K490" i="3"/>
  <c r="L490" i="3" s="1"/>
  <c r="K150" i="3"/>
  <c r="L150" i="3" s="1"/>
  <c r="K269" i="3"/>
  <c r="L269" i="3" s="1"/>
  <c r="K356" i="3"/>
  <c r="L356" i="3" s="1"/>
  <c r="K515" i="3"/>
  <c r="L515" i="3" s="1"/>
  <c r="K377" i="3"/>
  <c r="L377" i="3" s="1"/>
  <c r="K413" i="3"/>
  <c r="L413" i="3" s="1"/>
  <c r="K439" i="3"/>
  <c r="L439" i="3" s="1"/>
  <c r="K825" i="3"/>
  <c r="L825" i="3" s="1"/>
  <c r="K425" i="3"/>
  <c r="L425" i="3" s="1"/>
  <c r="K599" i="3"/>
  <c r="L599" i="3" s="1"/>
  <c r="K438" i="3"/>
  <c r="L438" i="3" s="1"/>
  <c r="K451" i="3"/>
  <c r="L451" i="3" s="1"/>
  <c r="K720" i="3"/>
  <c r="L720" i="3" s="1"/>
  <c r="K408" i="3"/>
  <c r="L408" i="3" s="1"/>
  <c r="K1047" i="3"/>
  <c r="L1047" i="3" s="1"/>
  <c r="K1199" i="3"/>
  <c r="L1199" i="3" s="1"/>
  <c r="K1237" i="3"/>
  <c r="L1237" i="3" s="1"/>
  <c r="K1245" i="3"/>
  <c r="L1245" i="3" s="1"/>
  <c r="K2027" i="3"/>
  <c r="L2027" i="3" s="1"/>
  <c r="K1870" i="3"/>
  <c r="L1870" i="3" s="1"/>
  <c r="K1886" i="3"/>
  <c r="L1886" i="3" s="1"/>
  <c r="K2068" i="3"/>
  <c r="L2068" i="3" s="1"/>
  <c r="K1859" i="3"/>
  <c r="L1859" i="3" s="1"/>
  <c r="K2006" i="3"/>
  <c r="L2006" i="3" s="1"/>
  <c r="K2079" i="3"/>
  <c r="L2079" i="3" s="1"/>
  <c r="K2092" i="3"/>
  <c r="L2092" i="3" s="1"/>
  <c r="K2352" i="3"/>
  <c r="L2352" i="3" s="1"/>
  <c r="K2110" i="3"/>
  <c r="L2110" i="3" s="1"/>
  <c r="K1885" i="3"/>
  <c r="L1885" i="3" s="1"/>
  <c r="K1690" i="3"/>
  <c r="L1690" i="3" s="1"/>
  <c r="K1423" i="3"/>
  <c r="L1423" i="3" s="1"/>
  <c r="K1434" i="3"/>
  <c r="L1434" i="3" s="1"/>
  <c r="K1637" i="3"/>
  <c r="L1637" i="3" s="1"/>
  <c r="K1387" i="3"/>
  <c r="L1387" i="3" s="1"/>
  <c r="K1463" i="3"/>
  <c r="L1463" i="3" s="1"/>
  <c r="K1565" i="3"/>
  <c r="L1565" i="3" s="1"/>
  <c r="K1613" i="3"/>
  <c r="L1613" i="3" s="1"/>
  <c r="K1692" i="3"/>
  <c r="L1692" i="3" s="1"/>
  <c r="K1739" i="3"/>
  <c r="L1739" i="3" s="1"/>
  <c r="K1473" i="3"/>
  <c r="L1473" i="3" s="1"/>
  <c r="K1499" i="3"/>
  <c r="L1499" i="3" s="1"/>
  <c r="K1521" i="3"/>
  <c r="L1521" i="3" s="1"/>
  <c r="K3393" i="3"/>
  <c r="L3393" i="3" s="1"/>
  <c r="K1683" i="3"/>
  <c r="L1683" i="3" s="1"/>
  <c r="K3530" i="3"/>
  <c r="L3530" i="3" s="1"/>
  <c r="K7569" i="3"/>
  <c r="L7569" i="3" s="1"/>
  <c r="Q15" i="1"/>
  <c r="Q52" i="1"/>
  <c r="Q106" i="1"/>
  <c r="Q23" i="1"/>
  <c r="Q105" i="1"/>
  <c r="Q107" i="1"/>
  <c r="Q131" i="1"/>
  <c r="Q167" i="1"/>
  <c r="Q50" i="1"/>
  <c r="Q56" i="1"/>
  <c r="Q133" i="1"/>
  <c r="Q304" i="1"/>
  <c r="Q85" i="1"/>
  <c r="Q60" i="1"/>
  <c r="Q17" i="1"/>
  <c r="Q77" i="1"/>
  <c r="U48" i="2"/>
  <c r="V48" i="2" s="1"/>
  <c r="U227" i="2"/>
  <c r="V227" i="2" s="1"/>
  <c r="U285" i="2"/>
  <c r="V285" i="2" s="1"/>
  <c r="U433" i="2"/>
  <c r="V433" i="2" s="1"/>
  <c r="U142" i="2"/>
  <c r="V142" i="2" s="1"/>
  <c r="U256" i="2"/>
  <c r="V256" i="2" s="1"/>
  <c r="U395" i="2"/>
  <c r="V395" i="2" s="1"/>
  <c r="U509" i="2"/>
  <c r="V509" i="2" s="1"/>
  <c r="U100" i="2"/>
  <c r="V100" i="2" s="1"/>
  <c r="U470" i="2"/>
  <c r="V470" i="2" s="1"/>
  <c r="U505" i="2"/>
  <c r="V505" i="2" s="1"/>
  <c r="U99" i="2"/>
  <c r="V99" i="2" s="1"/>
  <c r="U380" i="2"/>
  <c r="V380" i="2" s="1"/>
  <c r="U453" i="2"/>
  <c r="V453" i="2" s="1"/>
  <c r="U202" i="2"/>
  <c r="V202" i="2" s="1"/>
  <c r="U448" i="2"/>
  <c r="V448" i="2" s="1"/>
  <c r="K319" i="3"/>
  <c r="L319" i="3" s="1"/>
  <c r="K401" i="3"/>
  <c r="L401" i="3" s="1"/>
  <c r="K247" i="3"/>
  <c r="L247" i="3" s="1"/>
  <c r="K405" i="3"/>
  <c r="L405" i="3" s="1"/>
  <c r="K409" i="3"/>
  <c r="L409" i="3" s="1"/>
  <c r="K293" i="3"/>
  <c r="L293" i="3" s="1"/>
  <c r="K307" i="3"/>
  <c r="L307" i="3" s="1"/>
  <c r="K338" i="3"/>
  <c r="L338" i="3" s="1"/>
  <c r="K416" i="3"/>
  <c r="L416" i="3" s="1"/>
  <c r="K412" i="3"/>
  <c r="L412" i="3" s="1"/>
  <c r="K343" i="3"/>
  <c r="L343" i="3" s="1"/>
  <c r="K391" i="3"/>
  <c r="L391" i="3" s="1"/>
  <c r="K321" i="3"/>
  <c r="L321" i="3" s="1"/>
  <c r="K402" i="3"/>
  <c r="L402" i="3" s="1"/>
  <c r="K191" i="3"/>
  <c r="L191" i="3" s="1"/>
  <c r="K322" i="3"/>
  <c r="L322" i="3" s="1"/>
  <c r="K663" i="3"/>
  <c r="L663" i="3" s="1"/>
  <c r="K718" i="3"/>
  <c r="L718" i="3" s="1"/>
  <c r="K1280" i="3"/>
  <c r="L1280" i="3" s="1"/>
  <c r="K1354" i="3"/>
  <c r="L1354" i="3" s="1"/>
  <c r="K689" i="3"/>
  <c r="L689" i="3" s="1"/>
  <c r="K1315" i="3"/>
  <c r="L1315" i="3" s="1"/>
  <c r="K1371" i="3"/>
  <c r="L1371" i="3" s="1"/>
  <c r="K1414" i="3"/>
  <c r="L1414" i="3" s="1"/>
  <c r="K1341" i="3"/>
  <c r="L1341" i="3" s="1"/>
  <c r="K1901" i="3"/>
  <c r="L1901" i="3" s="1"/>
  <c r="K1973" i="3"/>
  <c r="L1973" i="3" s="1"/>
  <c r="K2101" i="3"/>
  <c r="L2101" i="3" s="1"/>
  <c r="K1656" i="3"/>
  <c r="L1656" i="3" s="1"/>
  <c r="K1912" i="3"/>
  <c r="L1912" i="3" s="1"/>
  <c r="K2144" i="3"/>
  <c r="L2144" i="3" s="1"/>
  <c r="K1956" i="3"/>
  <c r="L1956" i="3" s="1"/>
  <c r="K1309" i="3"/>
  <c r="L1309" i="3" s="1"/>
  <c r="K1342" i="3"/>
  <c r="L1342" i="3" s="1"/>
  <c r="K1397" i="3"/>
  <c r="L1397" i="3" s="1"/>
  <c r="K1599" i="3"/>
  <c r="L1599" i="3" s="1"/>
  <c r="K1636" i="3"/>
  <c r="L1636" i="3" s="1"/>
  <c r="K1736" i="3"/>
  <c r="L1736" i="3" s="1"/>
  <c r="K1098" i="3"/>
  <c r="L1098" i="3" s="1"/>
  <c r="K1297" i="3"/>
  <c r="L1297" i="3" s="1"/>
  <c r="K1432" i="3"/>
  <c r="L1432" i="3" s="1"/>
  <c r="K1479" i="3"/>
  <c r="L1479" i="3" s="1"/>
  <c r="K1532" i="3"/>
  <c r="L1532" i="3" s="1"/>
  <c r="K1092" i="3"/>
  <c r="L1092" i="3" s="1"/>
  <c r="K1171" i="3"/>
  <c r="L1171" i="3" s="1"/>
  <c r="K1719" i="3"/>
  <c r="L1719" i="3" s="1"/>
  <c r="K1910" i="3"/>
  <c r="L1910" i="3" s="1"/>
  <c r="K1730" i="3"/>
  <c r="L1730" i="3" s="1"/>
  <c r="Q406" i="1"/>
  <c r="Q453" i="1"/>
  <c r="Q7" i="1"/>
  <c r="Q243" i="1"/>
  <c r="Q391" i="1"/>
  <c r="Q449" i="1"/>
  <c r="Q246" i="1"/>
  <c r="Q346" i="1"/>
  <c r="Q439" i="1"/>
  <c r="Q369" i="1"/>
  <c r="Q384" i="1"/>
  <c r="Q387" i="1"/>
  <c r="Q142" i="1"/>
  <c r="Q165" i="1"/>
  <c r="Q250" i="1"/>
  <c r="Q190" i="1"/>
  <c r="K48" i="3"/>
  <c r="L48" i="3" s="1"/>
  <c r="K76" i="3"/>
  <c r="L76" i="3" s="1"/>
  <c r="K106" i="3"/>
  <c r="L106" i="3" s="1"/>
  <c r="K123" i="3"/>
  <c r="L123" i="3" s="1"/>
  <c r="K7" i="3"/>
  <c r="L7" i="3" s="1"/>
  <c r="K11" i="3"/>
  <c r="L11" i="3" s="1"/>
  <c r="K122" i="3"/>
  <c r="L122" i="3" s="1"/>
  <c r="K130" i="3"/>
  <c r="L130" i="3" s="1"/>
  <c r="K234" i="3"/>
  <c r="L234" i="3" s="1"/>
  <c r="K6" i="3"/>
  <c r="L6" i="3" s="1"/>
  <c r="K38" i="3"/>
  <c r="L38" i="3" s="1"/>
  <c r="K520" i="3"/>
  <c r="L520" i="3" s="1"/>
  <c r="K229" i="3"/>
  <c r="L229" i="3" s="1"/>
  <c r="K177" i="3"/>
  <c r="L177" i="3" s="1"/>
  <c r="K54" i="3"/>
  <c r="L54" i="3" s="1"/>
  <c r="Q4" i="1"/>
  <c r="Q24" i="1"/>
  <c r="Q38" i="1"/>
  <c r="Q55" i="1"/>
  <c r="Q121" i="1"/>
  <c r="Q37" i="1"/>
  <c r="Q10" i="1"/>
  <c r="Q138" i="1"/>
  <c r="Q61" i="1"/>
  <c r="Q82" i="1"/>
  <c r="Q19" i="1"/>
  <c r="Q115" i="1"/>
  <c r="Q45" i="1"/>
  <c r="Q48" i="1"/>
  <c r="Q124" i="1"/>
  <c r="Q172" i="1"/>
  <c r="K1504" i="3"/>
  <c r="L1504" i="3" s="1"/>
  <c r="K1768" i="3"/>
  <c r="L1768" i="3" s="1"/>
  <c r="K1805" i="3"/>
  <c r="L1805" i="3" s="1"/>
  <c r="K1810" i="3"/>
  <c r="L1810" i="3" s="1"/>
  <c r="K1474" i="3"/>
  <c r="L1474" i="3" s="1"/>
  <c r="K1597" i="3"/>
  <c r="L1597" i="3" s="1"/>
  <c r="K1761" i="3"/>
  <c r="L1761" i="3" s="1"/>
  <c r="K1784" i="3"/>
  <c r="L1784" i="3" s="1"/>
  <c r="K2121" i="3"/>
  <c r="L2121" i="3" s="1"/>
  <c r="K1437" i="3"/>
  <c r="L1437" i="3" s="1"/>
  <c r="K1976" i="3"/>
  <c r="L1976" i="3" s="1"/>
  <c r="K1600" i="3"/>
  <c r="L1600" i="3" s="1"/>
  <c r="K1836" i="3"/>
  <c r="L1836" i="3" s="1"/>
  <c r="K1888" i="3"/>
  <c r="L1888" i="3" s="1"/>
  <c r="K2540" i="3"/>
  <c r="L2540" i="3" s="1"/>
  <c r="K2459" i="3"/>
  <c r="L2459" i="3" s="1"/>
  <c r="K632" i="3"/>
  <c r="L632" i="3" s="1"/>
  <c r="K865" i="3"/>
  <c r="L865" i="3" s="1"/>
  <c r="K939" i="3"/>
  <c r="L939" i="3" s="1"/>
  <c r="K988" i="3"/>
  <c r="L988" i="3" s="1"/>
  <c r="K1014" i="3"/>
  <c r="L1014" i="3" s="1"/>
  <c r="K688" i="3"/>
  <c r="L688" i="3" s="1"/>
  <c r="K1148" i="3"/>
  <c r="L1148" i="3" s="1"/>
  <c r="K923" i="3"/>
  <c r="L923" i="3" s="1"/>
  <c r="K1101" i="3"/>
  <c r="L1101" i="3" s="1"/>
  <c r="K1240" i="3"/>
  <c r="L1240" i="3" s="1"/>
  <c r="K1292" i="3"/>
  <c r="L1292" i="3" s="1"/>
  <c r="K1031" i="3"/>
  <c r="L1031" i="3" s="1"/>
  <c r="K1159" i="3"/>
  <c r="L1159" i="3" s="1"/>
  <c r="K1201" i="3"/>
  <c r="L1201" i="3" s="1"/>
  <c r="K1095" i="3"/>
  <c r="L1095" i="3" s="1"/>
  <c r="K1112" i="3"/>
  <c r="L1112" i="3" s="1"/>
  <c r="K1152" i="3"/>
  <c r="L1152" i="3" s="1"/>
  <c r="K1541" i="3"/>
  <c r="L1541" i="3" s="1"/>
  <c r="K1621" i="3"/>
  <c r="L1621" i="3" s="1"/>
  <c r="K1533" i="3"/>
  <c r="L1533" i="3" s="1"/>
  <c r="K1611" i="3"/>
  <c r="L1611" i="3" s="1"/>
  <c r="K1822" i="3"/>
  <c r="L1822" i="3" s="1"/>
  <c r="K1834" i="3"/>
  <c r="L1834" i="3" s="1"/>
  <c r="K2196" i="3"/>
  <c r="L2196" i="3" s="1"/>
  <c r="K1344" i="3"/>
  <c r="L1344" i="3" s="1"/>
  <c r="K1539" i="3"/>
  <c r="L1539" i="3" s="1"/>
  <c r="K1670" i="3"/>
  <c r="L1670" i="3" s="1"/>
  <c r="K1943" i="3"/>
  <c r="L1943" i="3" s="1"/>
  <c r="K2511" i="3"/>
  <c r="L2511" i="3" s="1"/>
  <c r="K1776" i="3"/>
  <c r="L1776" i="3" s="1"/>
  <c r="K1953" i="3"/>
  <c r="L1953" i="3" s="1"/>
  <c r="K2520" i="3"/>
  <c r="L2520" i="3" s="1"/>
  <c r="K1165" i="3"/>
  <c r="L1165" i="3" s="1"/>
  <c r="K1386" i="3"/>
  <c r="L1386" i="3" s="1"/>
  <c r="K1307" i="3"/>
  <c r="L1307" i="3" s="1"/>
  <c r="K1538" i="3"/>
  <c r="L1538" i="3" s="1"/>
  <c r="K1817" i="3"/>
  <c r="L1817" i="3" s="1"/>
  <c r="K1687" i="3"/>
  <c r="L1687" i="3" s="1"/>
  <c r="K1765" i="3"/>
  <c r="L1765" i="3" s="1"/>
  <c r="K1821" i="3"/>
  <c r="L1821" i="3" s="1"/>
  <c r="K1852" i="3"/>
  <c r="L1852" i="3" s="1"/>
  <c r="K1571" i="3"/>
  <c r="L1571" i="3" s="1"/>
  <c r="K2061" i="3"/>
  <c r="L2061" i="3" s="1"/>
  <c r="K1180" i="3"/>
  <c r="L1180" i="3" s="1"/>
  <c r="K2089" i="3"/>
  <c r="L2089" i="3" s="1"/>
  <c r="K2209" i="3"/>
  <c r="L2209" i="3" s="1"/>
  <c r="K2472" i="3"/>
  <c r="L2472" i="3" s="1"/>
  <c r="K2067" i="3"/>
  <c r="L2067" i="3" s="1"/>
  <c r="K2318" i="3"/>
  <c r="L2318" i="3" s="1"/>
  <c r="K2326" i="3"/>
  <c r="L2326" i="3" s="1"/>
  <c r="K2344" i="3"/>
  <c r="L2344" i="3" s="1"/>
  <c r="K2367" i="3"/>
  <c r="L2367" i="3" s="1"/>
  <c r="K2419" i="3"/>
  <c r="L2419" i="3" s="1"/>
  <c r="K2002" i="3"/>
  <c r="L2002" i="3" s="1"/>
  <c r="K1915" i="3"/>
  <c r="L1915" i="3" s="1"/>
  <c r="K2219" i="3"/>
  <c r="L2219" i="3" s="1"/>
  <c r="K2624" i="3"/>
  <c r="L2624" i="3" s="1"/>
  <c r="K2739" i="3"/>
  <c r="L2739" i="3" s="1"/>
  <c r="K2312" i="3"/>
  <c r="L2312" i="3" s="1"/>
  <c r="K2562" i="3"/>
  <c r="L2562" i="3" s="1"/>
  <c r="K2616" i="3"/>
  <c r="L2616" i="3" s="1"/>
  <c r="K2494" i="3"/>
  <c r="L2494" i="3" s="1"/>
  <c r="K2617" i="3"/>
  <c r="L2617" i="3" s="1"/>
  <c r="K2585" i="3"/>
  <c r="L2585" i="3" s="1"/>
  <c r="K1631" i="3"/>
  <c r="L1631" i="3" s="1"/>
  <c r="K1777" i="3"/>
  <c r="L1777" i="3" s="1"/>
  <c r="K1490" i="3"/>
  <c r="L1490" i="3" s="1"/>
  <c r="K1644" i="3"/>
  <c r="L1644" i="3" s="1"/>
  <c r="K1638" i="3"/>
  <c r="L1638" i="3" s="1"/>
  <c r="K1845" i="3"/>
  <c r="L1845" i="3" s="1"/>
  <c r="K1931" i="3"/>
  <c r="L1931" i="3" s="1"/>
  <c r="K1988" i="3"/>
  <c r="L1988" i="3" s="1"/>
  <c r="K2007" i="3"/>
  <c r="L2007" i="3" s="1"/>
  <c r="K2039" i="3"/>
  <c r="L2039" i="3" s="1"/>
  <c r="K7488" i="3"/>
  <c r="L7488" i="3" s="1"/>
  <c r="K7492" i="3"/>
  <c r="L7492" i="3" s="1"/>
  <c r="K7490" i="3"/>
  <c r="L7490" i="3" s="1"/>
  <c r="K7493" i="3"/>
  <c r="L7493" i="3" s="1"/>
  <c r="K7489" i="3"/>
  <c r="L7489" i="3" s="1"/>
  <c r="K7491" i="3"/>
  <c r="L7491" i="3" s="1"/>
  <c r="K982" i="3"/>
  <c r="L982" i="3" s="1"/>
  <c r="K1173" i="3"/>
  <c r="L1173" i="3" s="1"/>
  <c r="K1400" i="3"/>
  <c r="L1400" i="3" s="1"/>
  <c r="K2633" i="3"/>
  <c r="L2633" i="3" s="1"/>
  <c r="K2729" i="3"/>
  <c r="L2729" i="3" s="1"/>
  <c r="K2202" i="3"/>
  <c r="L2202" i="3" s="1"/>
  <c r="K2591" i="3"/>
  <c r="L2591" i="3" s="1"/>
  <c r="K2751" i="3"/>
  <c r="L2751" i="3" s="1"/>
  <c r="K2834" i="3"/>
  <c r="L2834" i="3" s="1"/>
  <c r="K3016" i="3"/>
  <c r="L3016" i="3" s="1"/>
  <c r="K3085" i="3"/>
  <c r="L3085" i="3" s="1"/>
  <c r="K3272" i="3"/>
  <c r="L3272" i="3" s="1"/>
  <c r="K2786" i="3"/>
  <c r="L2786" i="3" s="1"/>
  <c r="K2833" i="3"/>
  <c r="L2833" i="3" s="1"/>
  <c r="K2855" i="3"/>
  <c r="L2855" i="3" s="1"/>
  <c r="K2723" i="3"/>
  <c r="L2723" i="3" s="1"/>
  <c r="K337" i="3"/>
  <c r="L337" i="3" s="1"/>
  <c r="K406" i="3"/>
  <c r="L406" i="3" s="1"/>
  <c r="K313" i="3"/>
  <c r="L313" i="3" s="1"/>
  <c r="K344" i="3"/>
  <c r="L344" i="3" s="1"/>
  <c r="K392" i="3"/>
  <c r="L392" i="3" s="1"/>
  <c r="K419" i="3"/>
  <c r="L419" i="3" s="1"/>
  <c r="K440" i="3"/>
  <c r="L440" i="3" s="1"/>
  <c r="K255" i="3"/>
  <c r="L255" i="3" s="1"/>
  <c r="K678" i="3"/>
  <c r="L678" i="3" s="1"/>
  <c r="K157" i="3"/>
  <c r="L157" i="3" s="1"/>
  <c r="K185" i="3"/>
  <c r="L185" i="3" s="1"/>
  <c r="K275" i="3"/>
  <c r="L275" i="3" s="1"/>
  <c r="K369" i="3"/>
  <c r="L369" i="3" s="1"/>
  <c r="K798" i="3"/>
  <c r="L798" i="3" s="1"/>
  <c r="K550" i="3"/>
  <c r="L550" i="3" s="1"/>
  <c r="K461" i="3"/>
  <c r="L461" i="3" s="1"/>
  <c r="K512" i="3"/>
  <c r="L512" i="3" s="1"/>
  <c r="K578" i="3"/>
  <c r="L578" i="3" s="1"/>
  <c r="K584" i="3"/>
  <c r="L584" i="3" s="1"/>
  <c r="K636" i="3"/>
  <c r="L636" i="3" s="1"/>
  <c r="K743" i="3"/>
  <c r="L743" i="3" s="1"/>
  <c r="K995" i="3"/>
  <c r="L995" i="3" s="1"/>
  <c r="K525" i="3"/>
  <c r="L525" i="3" s="1"/>
  <c r="K534" i="3"/>
  <c r="L534" i="3" s="1"/>
  <c r="K569" i="3"/>
  <c r="L569" i="3" s="1"/>
  <c r="K643" i="3"/>
  <c r="L643" i="3" s="1"/>
  <c r="K611" i="3"/>
  <c r="L611" i="3" s="1"/>
  <c r="K446" i="3"/>
  <c r="L446" i="3" s="1"/>
  <c r="K555" i="3"/>
  <c r="L555" i="3" s="1"/>
  <c r="K652" i="3"/>
  <c r="L652" i="3" s="1"/>
  <c r="K901" i="3"/>
  <c r="L901" i="3" s="1"/>
  <c r="K528" i="3"/>
  <c r="L528" i="3" s="1"/>
  <c r="K1064" i="3"/>
  <c r="L1064" i="3" s="1"/>
  <c r="K1169" i="3"/>
  <c r="L1169" i="3" s="1"/>
  <c r="K1043" i="3"/>
  <c r="L1043" i="3" s="1"/>
  <c r="K1220" i="3"/>
  <c r="L1220" i="3" s="1"/>
  <c r="K1291" i="3"/>
  <c r="L1291" i="3" s="1"/>
  <c r="K1488" i="3"/>
  <c r="L1488" i="3" s="1"/>
  <c r="K1116" i="3"/>
  <c r="L1116" i="3" s="1"/>
  <c r="K1349" i="3"/>
  <c r="L1349" i="3" s="1"/>
  <c r="K1357" i="3"/>
  <c r="L1357" i="3" s="1"/>
  <c r="K1087" i="3"/>
  <c r="L1087" i="3" s="1"/>
  <c r="K1285" i="3"/>
  <c r="L1285" i="3" s="1"/>
  <c r="K1128" i="3"/>
  <c r="L1128" i="3" s="1"/>
  <c r="K1594" i="3"/>
  <c r="L1594" i="3" s="1"/>
  <c r="K1530" i="3"/>
  <c r="L1530" i="3" s="1"/>
  <c r="K1403" i="3"/>
  <c r="L1403" i="3" s="1"/>
  <c r="K2259" i="3"/>
  <c r="L2259" i="3" s="1"/>
  <c r="K2418" i="3"/>
  <c r="L2418" i="3" s="1"/>
  <c r="K2502" i="3"/>
  <c r="L2502" i="3" s="1"/>
  <c r="K2560" i="3"/>
  <c r="L2560" i="3" s="1"/>
  <c r="K2569" i="3"/>
  <c r="L2569" i="3" s="1"/>
  <c r="K2615" i="3"/>
  <c r="L2615" i="3" s="1"/>
  <c r="K2417" i="3"/>
  <c r="L2417" i="3" s="1"/>
  <c r="K2501" i="3"/>
  <c r="L2501" i="3" s="1"/>
  <c r="K2701" i="3"/>
  <c r="L2701" i="3" s="1"/>
  <c r="K2648" i="3"/>
  <c r="L2648" i="3" s="1"/>
  <c r="K2722" i="3"/>
  <c r="L2722" i="3" s="1"/>
  <c r="K2973" i="3"/>
  <c r="L2973" i="3" s="1"/>
  <c r="K2991" i="3"/>
  <c r="L2991" i="3" s="1"/>
  <c r="K2731" i="3"/>
  <c r="L2731" i="3" s="1"/>
  <c r="K2782" i="3"/>
  <c r="L2782" i="3" s="1"/>
  <c r="K2635" i="3"/>
  <c r="L2635" i="3" s="1"/>
  <c r="K2672" i="3"/>
  <c r="L2672" i="3" s="1"/>
  <c r="K1347" i="3"/>
  <c r="L1347" i="3" s="1"/>
  <c r="K1487" i="3"/>
  <c r="L1487" i="3" s="1"/>
  <c r="K1576" i="3"/>
  <c r="L1576" i="3" s="1"/>
  <c r="K1892" i="3"/>
  <c r="L1892" i="3" s="1"/>
  <c r="K2001" i="3"/>
  <c r="L2001" i="3" s="1"/>
  <c r="K2096" i="3"/>
  <c r="L2096" i="3" s="1"/>
  <c r="K1546" i="3"/>
  <c r="L1546" i="3" s="1"/>
  <c r="K2022" i="3"/>
  <c r="L2022" i="3" s="1"/>
  <c r="K1775" i="3"/>
  <c r="L1775" i="3" s="1"/>
  <c r="K1792" i="3"/>
  <c r="L1792" i="3" s="1"/>
  <c r="K1942" i="3"/>
  <c r="L1942" i="3" s="1"/>
  <c r="K2070" i="3"/>
  <c r="L2070" i="3" s="1"/>
  <c r="K2328" i="3"/>
  <c r="L2328" i="3" s="1"/>
  <c r="K1947" i="3"/>
  <c r="L1947" i="3" s="1"/>
  <c r="K1984" i="3"/>
  <c r="L1984" i="3" s="1"/>
  <c r="K1741" i="3"/>
  <c r="L1741" i="3" s="1"/>
  <c r="K887" i="3"/>
  <c r="L887" i="3" s="1"/>
  <c r="K902" i="3"/>
  <c r="L902" i="3" s="1"/>
  <c r="K920" i="3"/>
  <c r="L920" i="3" s="1"/>
  <c r="K863" i="3"/>
  <c r="L863" i="3" s="1"/>
  <c r="K877" i="3"/>
  <c r="L877" i="3" s="1"/>
  <c r="K959" i="3"/>
  <c r="L959" i="3" s="1"/>
  <c r="K1023" i="3"/>
  <c r="L1023" i="3" s="1"/>
  <c r="K942" i="3"/>
  <c r="L942" i="3" s="1"/>
  <c r="K1150" i="3"/>
  <c r="L1150" i="3" s="1"/>
  <c r="K1298" i="3"/>
  <c r="L1298" i="3" s="1"/>
  <c r="K926" i="3"/>
  <c r="L926" i="3" s="1"/>
  <c r="K1089" i="3"/>
  <c r="L1089" i="3" s="1"/>
  <c r="K1070" i="3"/>
  <c r="L1070" i="3" s="1"/>
  <c r="K1200" i="3"/>
  <c r="L1200" i="3" s="1"/>
  <c r="K1007" i="3"/>
  <c r="L1007" i="3" s="1"/>
  <c r="K1107" i="3"/>
  <c r="L1107" i="3" s="1"/>
  <c r="K654" i="3"/>
  <c r="L654" i="3" s="1"/>
  <c r="K838" i="3"/>
  <c r="L838" i="3" s="1"/>
  <c r="K994" i="3"/>
  <c r="L994" i="3" s="1"/>
  <c r="K698" i="3"/>
  <c r="L698" i="3" s="1"/>
  <c r="K880" i="3"/>
  <c r="L880" i="3" s="1"/>
  <c r="K925" i="3"/>
  <c r="L925" i="3" s="1"/>
  <c r="K1016" i="3"/>
  <c r="L1016" i="3" s="1"/>
  <c r="K1039" i="3"/>
  <c r="L1039" i="3" s="1"/>
  <c r="K1049" i="3"/>
  <c r="L1049" i="3" s="1"/>
  <c r="K737" i="3"/>
  <c r="L737" i="3" s="1"/>
  <c r="K810" i="3"/>
  <c r="L810" i="3" s="1"/>
  <c r="K843" i="3"/>
  <c r="L843" i="3" s="1"/>
  <c r="K820" i="3"/>
  <c r="L820" i="3" s="1"/>
  <c r="K867" i="3"/>
  <c r="L867" i="3" s="1"/>
  <c r="K7412" i="3"/>
  <c r="L7412" i="3" s="1"/>
  <c r="K7413" i="3"/>
  <c r="L7413" i="3" s="1"/>
  <c r="K1243" i="3"/>
  <c r="L1243" i="3" s="1"/>
  <c r="K1294" i="3"/>
  <c r="L1294" i="3" s="1"/>
  <c r="K1300" i="3"/>
  <c r="L1300" i="3" s="1"/>
  <c r="K1320" i="3"/>
  <c r="L1320" i="3" s="1"/>
  <c r="K1418" i="3"/>
  <c r="L1418" i="3" s="1"/>
  <c r="K1178" i="3"/>
  <c r="L1178" i="3" s="1"/>
  <c r="K1352" i="3"/>
  <c r="L1352" i="3" s="1"/>
  <c r="K1242" i="3"/>
  <c r="L1242" i="3" s="1"/>
  <c r="K1431" i="3"/>
  <c r="L1431" i="3" s="1"/>
  <c r="K1500" i="3"/>
  <c r="L1500" i="3" s="1"/>
  <c r="K1527" i="3"/>
  <c r="L1527" i="3" s="1"/>
  <c r="K1131" i="3"/>
  <c r="L1131" i="3" s="1"/>
  <c r="K1693" i="3"/>
  <c r="L1693" i="3" s="1"/>
  <c r="K1733" i="3"/>
  <c r="L1733" i="3" s="1"/>
  <c r="K1642" i="3"/>
  <c r="L1642" i="3" s="1"/>
  <c r="K1454" i="3"/>
  <c r="L1454" i="3" s="1"/>
  <c r="Q30" i="1"/>
  <c r="Q31" i="1"/>
  <c r="Q137" i="1"/>
  <c r="Q141" i="1"/>
  <c r="Q156" i="1"/>
  <c r="Q11" i="1"/>
  <c r="Q13" i="1"/>
  <c r="Q20" i="1"/>
  <c r="Q240" i="1"/>
  <c r="Q16" i="1"/>
  <c r="Q47" i="1"/>
  <c r="Q49" i="1"/>
  <c r="Q35" i="1"/>
  <c r="Q78" i="1"/>
  <c r="Q32" i="1"/>
  <c r="Q75" i="1"/>
  <c r="K725" i="3"/>
  <c r="L725" i="3" s="1"/>
  <c r="K736" i="3"/>
  <c r="L736" i="3" s="1"/>
  <c r="K807" i="3"/>
  <c r="L807" i="3" s="1"/>
  <c r="K639" i="3"/>
  <c r="L639" i="3" s="1"/>
  <c r="K756" i="3"/>
  <c r="L756" i="3" s="1"/>
  <c r="K778" i="3"/>
  <c r="L778" i="3" s="1"/>
  <c r="K779" i="3"/>
  <c r="L779" i="3" s="1"/>
  <c r="K610" i="3"/>
  <c r="L610" i="3" s="1"/>
  <c r="K792" i="3"/>
  <c r="L792" i="3" s="1"/>
  <c r="K799" i="3"/>
  <c r="L799" i="3" s="1"/>
  <c r="K803" i="3"/>
  <c r="L803" i="3" s="1"/>
  <c r="K676" i="3"/>
  <c r="L676" i="3" s="1"/>
  <c r="K944" i="3"/>
  <c r="L944" i="3" s="1"/>
  <c r="K1351" i="3"/>
  <c r="L1351" i="3" s="1"/>
  <c r="K1083" i="3"/>
  <c r="L1083" i="3" s="1"/>
  <c r="K1125" i="3"/>
  <c r="L1125" i="3" s="1"/>
  <c r="K730" i="3"/>
  <c r="L730" i="3" s="1"/>
  <c r="K767" i="3"/>
  <c r="L767" i="3" s="1"/>
  <c r="K771" i="3"/>
  <c r="L771" i="3" s="1"/>
  <c r="K851" i="3"/>
  <c r="L851" i="3" s="1"/>
  <c r="K709" i="3"/>
  <c r="L709" i="3" s="1"/>
  <c r="K777" i="3"/>
  <c r="L777" i="3" s="1"/>
  <c r="K1124" i="3"/>
  <c r="L1124" i="3" s="1"/>
  <c r="K1143" i="3"/>
  <c r="L1143" i="3" s="1"/>
  <c r="K975" i="3"/>
  <c r="L975" i="3" s="1"/>
  <c r="K1081" i="3"/>
  <c r="L1081" i="3" s="1"/>
  <c r="K848" i="3"/>
  <c r="L848" i="3" s="1"/>
  <c r="K845" i="3"/>
  <c r="L845" i="3" s="1"/>
  <c r="K1080" i="3"/>
  <c r="L1080" i="3" s="1"/>
  <c r="K1132" i="3"/>
  <c r="L1132" i="3" s="1"/>
  <c r="K854" i="3"/>
  <c r="L854" i="3" s="1"/>
  <c r="K7631" i="3"/>
  <c r="L7631" i="3" s="1"/>
  <c r="K1641" i="3"/>
  <c r="L1641" i="3" s="1"/>
  <c r="K1537" i="3"/>
  <c r="L1537" i="3" s="1"/>
  <c r="K1548" i="3"/>
  <c r="L1548" i="3" s="1"/>
  <c r="K1660" i="3"/>
  <c r="L1660" i="3" s="1"/>
  <c r="K1672" i="3"/>
  <c r="L1672" i="3" s="1"/>
  <c r="K1725" i="3"/>
  <c r="L1725" i="3" s="1"/>
  <c r="K1858" i="3"/>
  <c r="L1858" i="3" s="1"/>
  <c r="K1518" i="3"/>
  <c r="L1518" i="3" s="1"/>
  <c r="K1478" i="3"/>
  <c r="L1478" i="3" s="1"/>
  <c r="K1686" i="3"/>
  <c r="L1686" i="3" s="1"/>
  <c r="K1510" i="3"/>
  <c r="L1510" i="3" s="1"/>
  <c r="K2268" i="3"/>
  <c r="L2268" i="3" s="1"/>
  <c r="K1507" i="3"/>
  <c r="L1507" i="3" s="1"/>
  <c r="K2356" i="3"/>
  <c r="L2356" i="3" s="1"/>
  <c r="K2194" i="3"/>
  <c r="L2194" i="3" s="1"/>
  <c r="K2146" i="3"/>
  <c r="L2146" i="3" s="1"/>
  <c r="K2104" i="3"/>
  <c r="L2104" i="3" s="1"/>
  <c r="K2116" i="3"/>
  <c r="L2116" i="3" s="1"/>
  <c r="K2322" i="3"/>
  <c r="L2322" i="3" s="1"/>
  <c r="K2412" i="3"/>
  <c r="L2412" i="3" s="1"/>
  <c r="K2445" i="3"/>
  <c r="L2445" i="3" s="1"/>
  <c r="K2215" i="3"/>
  <c r="L2215" i="3" s="1"/>
  <c r="K2334" i="3"/>
  <c r="L2334" i="3" s="1"/>
  <c r="K2734" i="3"/>
  <c r="L2734" i="3" s="1"/>
  <c r="K2935" i="3"/>
  <c r="L2935" i="3" s="1"/>
  <c r="K2406" i="3"/>
  <c r="L2406" i="3" s="1"/>
  <c r="K2272" i="3"/>
  <c r="L2272" i="3" s="1"/>
  <c r="K2395" i="3"/>
  <c r="L2395" i="3" s="1"/>
  <c r="K2509" i="3"/>
  <c r="L2509" i="3" s="1"/>
  <c r="K3278" i="3"/>
  <c r="L3278" i="3" s="1"/>
  <c r="K2321" i="3"/>
  <c r="L2321" i="3" s="1"/>
  <c r="K2993" i="3"/>
  <c r="L2993" i="3" s="1"/>
  <c r="K1806" i="3"/>
  <c r="L1806" i="3" s="1"/>
  <c r="K3099" i="3"/>
  <c r="L3099" i="3" s="1"/>
  <c r="K3385" i="3"/>
  <c r="L3385" i="3" s="1"/>
  <c r="K3465" i="3"/>
  <c r="L3465" i="3" s="1"/>
  <c r="K3740" i="3"/>
  <c r="L3740" i="3" s="1"/>
  <c r="K3780" i="3"/>
  <c r="L3780" i="3" s="1"/>
  <c r="K2187" i="3"/>
  <c r="L2187" i="3" s="1"/>
  <c r="K2573" i="3"/>
  <c r="L2573" i="3" s="1"/>
  <c r="K3855" i="3"/>
  <c r="L3855" i="3" s="1"/>
  <c r="K3160" i="3"/>
  <c r="L3160" i="3" s="1"/>
  <c r="K3422" i="3"/>
  <c r="L3422" i="3" s="1"/>
  <c r="K3687" i="3"/>
  <c r="L3687" i="3" s="1"/>
  <c r="K3327" i="3"/>
  <c r="L3327" i="3" s="1"/>
  <c r="K3882" i="3"/>
  <c r="L3882" i="3" s="1"/>
  <c r="K3459" i="3"/>
  <c r="L3459" i="3" s="1"/>
  <c r="K3602" i="3"/>
  <c r="L3602" i="3" s="1"/>
  <c r="U20" i="2"/>
  <c r="V20" i="2" s="1"/>
  <c r="U52" i="2"/>
  <c r="V52" i="2" s="1"/>
  <c r="U68" i="2"/>
  <c r="V68" i="2" s="1"/>
  <c r="U97" i="2"/>
  <c r="V97" i="2" s="1"/>
  <c r="U309" i="2"/>
  <c r="V309" i="2" s="1"/>
  <c r="U467" i="2"/>
  <c r="V467" i="2" s="1"/>
  <c r="U95" i="2"/>
  <c r="V95" i="2" s="1"/>
  <c r="U241" i="2"/>
  <c r="V241" i="2" s="1"/>
  <c r="U284" i="2"/>
  <c r="V284" i="2" s="1"/>
  <c r="U310" i="2"/>
  <c r="V310" i="2" s="1"/>
  <c r="U240" i="2"/>
  <c r="V240" i="2" s="1"/>
  <c r="U74" i="2"/>
  <c r="V74" i="2" s="1"/>
  <c r="U472" i="2"/>
  <c r="V472" i="2" s="1"/>
  <c r="U122" i="2"/>
  <c r="V122" i="2" s="1"/>
  <c r="U233" i="2"/>
  <c r="V233" i="2" s="1"/>
  <c r="U210" i="2"/>
  <c r="V210" i="2" s="1"/>
  <c r="K165" i="3"/>
  <c r="L165" i="3" s="1"/>
  <c r="K357" i="3"/>
  <c r="L357" i="3" s="1"/>
  <c r="K380" i="3"/>
  <c r="L380" i="3" s="1"/>
  <c r="K388" i="3"/>
  <c r="L388" i="3" s="1"/>
  <c r="K428" i="3"/>
  <c r="L428" i="3" s="1"/>
  <c r="K200" i="3"/>
  <c r="L200" i="3" s="1"/>
  <c r="K230" i="3"/>
  <c r="L230" i="3" s="1"/>
  <c r="K252" i="3"/>
  <c r="L252" i="3" s="1"/>
  <c r="K207" i="3"/>
  <c r="L207" i="3" s="1"/>
  <c r="K166" i="3"/>
  <c r="L166" i="3" s="1"/>
  <c r="K237" i="3"/>
  <c r="L237" i="3" s="1"/>
  <c r="K386" i="3"/>
  <c r="L386" i="3" s="1"/>
  <c r="K211" i="3"/>
  <c r="L211" i="3" s="1"/>
  <c r="K312" i="3"/>
  <c r="L312" i="3" s="1"/>
  <c r="K455" i="3"/>
  <c r="L455" i="3" s="1"/>
  <c r="K108" i="3"/>
  <c r="L108" i="3" s="1"/>
  <c r="K1652" i="3"/>
  <c r="L1652" i="3" s="1"/>
  <c r="K1438" i="3"/>
  <c r="L1438" i="3" s="1"/>
  <c r="K2009" i="3"/>
  <c r="L2009" i="3" s="1"/>
  <c r="K1801" i="3"/>
  <c r="L1801" i="3" s="1"/>
  <c r="K1816" i="3"/>
  <c r="L1816" i="3" s="1"/>
  <c r="K1848" i="3"/>
  <c r="L1848" i="3" s="1"/>
  <c r="K2044" i="3"/>
  <c r="L2044" i="3" s="1"/>
  <c r="K2100" i="3"/>
  <c r="L2100" i="3" s="1"/>
  <c r="K2429" i="3"/>
  <c r="L2429" i="3" s="1"/>
  <c r="K1421" i="3"/>
  <c r="L1421" i="3" s="1"/>
  <c r="K1938" i="3"/>
  <c r="L1938" i="3" s="1"/>
  <c r="K2038" i="3"/>
  <c r="L2038" i="3" s="1"/>
  <c r="K1851" i="3"/>
  <c r="L1851" i="3" s="1"/>
  <c r="K1731" i="3"/>
  <c r="L1731" i="3" s="1"/>
  <c r="K1554" i="3"/>
  <c r="L1554" i="3" s="1"/>
  <c r="K2422" i="3"/>
  <c r="L2422" i="3" s="1"/>
  <c r="K956" i="3"/>
  <c r="L956" i="3" s="1"/>
  <c r="K1036" i="3"/>
  <c r="L1036" i="3" s="1"/>
  <c r="K1078" i="3"/>
  <c r="L1078" i="3" s="1"/>
  <c r="K1111" i="3"/>
  <c r="L1111" i="3" s="1"/>
  <c r="K1179" i="3"/>
  <c r="L1179" i="3" s="1"/>
  <c r="K1327" i="3"/>
  <c r="L1327" i="3" s="1"/>
  <c r="K1195" i="3"/>
  <c r="L1195" i="3" s="1"/>
  <c r="K1063" i="3"/>
  <c r="L1063" i="3" s="1"/>
  <c r="K1580" i="3"/>
  <c r="L1580" i="3" s="1"/>
  <c r="K1094" i="3"/>
  <c r="L1094" i="3" s="1"/>
  <c r="K1244" i="3"/>
  <c r="L1244" i="3" s="1"/>
  <c r="K1272" i="3"/>
  <c r="L1272" i="3" s="1"/>
  <c r="K1626" i="3"/>
  <c r="L1626" i="3" s="1"/>
  <c r="K1560" i="3"/>
  <c r="L1560" i="3" s="1"/>
  <c r="K910" i="3"/>
  <c r="L910" i="3" s="1"/>
  <c r="K1749" i="3"/>
  <c r="L1749" i="3" s="1"/>
  <c r="K526" i="3"/>
  <c r="L526" i="3" s="1"/>
  <c r="K592" i="3"/>
  <c r="L592" i="3" s="1"/>
  <c r="K757" i="3"/>
  <c r="L757" i="3" s="1"/>
  <c r="K873" i="3"/>
  <c r="L873" i="3" s="1"/>
  <c r="K462" i="3"/>
  <c r="L462" i="3" s="1"/>
  <c r="K521" i="3"/>
  <c r="L521" i="3" s="1"/>
  <c r="K460" i="3"/>
  <c r="L460" i="3" s="1"/>
  <c r="K433" i="3"/>
  <c r="L433" i="3" s="1"/>
  <c r="K488" i="3"/>
  <c r="L488" i="3" s="1"/>
  <c r="K629" i="3"/>
  <c r="L629" i="3" s="1"/>
  <c r="K684" i="3"/>
  <c r="L684" i="3" s="1"/>
  <c r="K769" i="3"/>
  <c r="L769" i="3" s="1"/>
  <c r="K809" i="3"/>
  <c r="L809" i="3" s="1"/>
  <c r="K657" i="3"/>
  <c r="L657" i="3" s="1"/>
  <c r="K837" i="3"/>
  <c r="L837" i="3" s="1"/>
  <c r="K914" i="3"/>
  <c r="L914" i="3" s="1"/>
  <c r="K44" i="3"/>
  <c r="L44" i="3" s="1"/>
  <c r="K115" i="3"/>
  <c r="L115" i="3" s="1"/>
  <c r="K160" i="3"/>
  <c r="L160" i="3" s="1"/>
  <c r="K202" i="3"/>
  <c r="L202" i="3" s="1"/>
  <c r="K183" i="3"/>
  <c r="L183" i="3" s="1"/>
  <c r="K209" i="3"/>
  <c r="L209" i="3" s="1"/>
  <c r="K281" i="3"/>
  <c r="L281" i="3" s="1"/>
  <c r="K314" i="3"/>
  <c r="L314" i="3" s="1"/>
  <c r="K299" i="3"/>
  <c r="L299" i="3" s="1"/>
  <c r="K289" i="3"/>
  <c r="L289" i="3" s="1"/>
  <c r="K524" i="3"/>
  <c r="L524" i="3" s="1"/>
  <c r="K133" i="3"/>
  <c r="L133" i="3" s="1"/>
  <c r="K382" i="3"/>
  <c r="L382" i="3" s="1"/>
  <c r="K62" i="3"/>
  <c r="L62" i="3" s="1"/>
  <c r="K339" i="3"/>
  <c r="L339" i="3" s="1"/>
  <c r="K342" i="3"/>
  <c r="L342" i="3" s="1"/>
  <c r="K781" i="3"/>
  <c r="L781" i="3" s="1"/>
  <c r="K965" i="3"/>
  <c r="L965" i="3" s="1"/>
  <c r="K876" i="3"/>
  <c r="L876" i="3" s="1"/>
  <c r="K979" i="3"/>
  <c r="L979" i="3" s="1"/>
  <c r="K1212" i="3"/>
  <c r="L1212" i="3" s="1"/>
  <c r="K1032" i="3"/>
  <c r="L1032" i="3" s="1"/>
  <c r="K997" i="3"/>
  <c r="L997" i="3" s="1"/>
  <c r="K1009" i="3"/>
  <c r="L1009" i="3" s="1"/>
  <c r="K1140" i="3"/>
  <c r="L1140" i="3" s="1"/>
  <c r="K1164" i="3"/>
  <c r="L1164" i="3" s="1"/>
  <c r="K980" i="3"/>
  <c r="L980" i="3" s="1"/>
  <c r="K1028" i="3"/>
  <c r="L1028" i="3" s="1"/>
  <c r="K1256" i="3"/>
  <c r="L1256" i="3" s="1"/>
  <c r="K1368" i="3"/>
  <c r="L1368" i="3" s="1"/>
  <c r="K874" i="3"/>
  <c r="L874" i="3" s="1"/>
  <c r="K7407" i="3"/>
  <c r="L7407" i="3" s="1"/>
  <c r="K721" i="3"/>
  <c r="L721" i="3" s="1"/>
  <c r="K938" i="3"/>
  <c r="L938" i="3" s="1"/>
  <c r="K966" i="3"/>
  <c r="L966" i="3" s="1"/>
  <c r="K742" i="3"/>
  <c r="L742" i="3" s="1"/>
  <c r="K1002" i="3"/>
  <c r="L1002" i="3" s="1"/>
  <c r="K1202" i="3"/>
  <c r="L1202" i="3" s="1"/>
  <c r="K1348" i="3"/>
  <c r="L1348" i="3" s="1"/>
  <c r="K872" i="3"/>
  <c r="L872" i="3" s="1"/>
  <c r="K895" i="3"/>
  <c r="L895" i="3" s="1"/>
  <c r="K1011" i="3"/>
  <c r="L1011" i="3" s="1"/>
  <c r="K790" i="3"/>
  <c r="L790" i="3" s="1"/>
  <c r="K984" i="3"/>
  <c r="L984" i="3" s="1"/>
  <c r="K1346" i="3"/>
  <c r="L1346" i="3" s="1"/>
  <c r="K1114" i="3"/>
  <c r="L1114" i="3" s="1"/>
  <c r="K1710" i="3"/>
  <c r="L1710" i="3" s="1"/>
  <c r="K1051" i="3"/>
  <c r="L1051" i="3" s="1"/>
  <c r="K619" i="3"/>
  <c r="L619" i="3" s="1"/>
  <c r="K669" i="3"/>
  <c r="L669" i="3" s="1"/>
  <c r="K978" i="3"/>
  <c r="L978" i="3" s="1"/>
  <c r="K516" i="3"/>
  <c r="L516" i="3" s="1"/>
  <c r="K600" i="3"/>
  <c r="L600" i="3" s="1"/>
  <c r="K478" i="3"/>
  <c r="L478" i="3" s="1"/>
  <c r="K630" i="3"/>
  <c r="L630" i="3" s="1"/>
  <c r="K699" i="3"/>
  <c r="L699" i="3" s="1"/>
  <c r="K502" i="3"/>
  <c r="L502" i="3" s="1"/>
  <c r="K728" i="3"/>
  <c r="L728" i="3" s="1"/>
  <c r="K831" i="3"/>
  <c r="L831" i="3" s="1"/>
  <c r="K662" i="3"/>
  <c r="L662" i="3" s="1"/>
  <c r="K727" i="3"/>
  <c r="L727" i="3" s="1"/>
  <c r="K616" i="3"/>
  <c r="L616" i="3" s="1"/>
  <c r="K761" i="3"/>
  <c r="L761" i="3" s="1"/>
  <c r="K690" i="3"/>
  <c r="L690" i="3" s="1"/>
  <c r="K1385" i="3"/>
  <c r="L1385" i="3" s="1"/>
  <c r="K1417" i="3"/>
  <c r="L1417" i="3" s="1"/>
  <c r="K1355" i="3"/>
  <c r="L1355" i="3" s="1"/>
  <c r="K1466" i="3"/>
  <c r="L1466" i="3" s="1"/>
  <c r="K1653" i="3"/>
  <c r="L1653" i="3" s="1"/>
  <c r="K1145" i="3"/>
  <c r="L1145" i="3" s="1"/>
  <c r="K1372" i="3"/>
  <c r="L1372" i="3" s="1"/>
  <c r="K1601" i="3"/>
  <c r="L1601" i="3" s="1"/>
  <c r="K1617" i="3"/>
  <c r="L1617" i="3" s="1"/>
  <c r="K1197" i="3"/>
  <c r="L1197" i="3" s="1"/>
  <c r="K1547" i="3"/>
  <c r="L1547" i="3" s="1"/>
  <c r="K1404" i="3"/>
  <c r="L1404" i="3" s="1"/>
  <c r="K1590" i="3"/>
  <c r="L1590" i="3" s="1"/>
  <c r="K1563" i="3"/>
  <c r="L1563" i="3" s="1"/>
  <c r="K1630" i="3"/>
  <c r="L1630" i="3" s="1"/>
  <c r="K1566" i="3"/>
  <c r="L1566" i="3" s="1"/>
  <c r="K477" i="3"/>
  <c r="L477" i="3" s="1"/>
  <c r="K495" i="3"/>
  <c r="L495" i="3" s="1"/>
  <c r="K794" i="3"/>
  <c r="L794" i="3" s="1"/>
  <c r="K491" i="3"/>
  <c r="L491" i="3" s="1"/>
  <c r="K571" i="3"/>
  <c r="L571" i="3" s="1"/>
  <c r="K754" i="3"/>
  <c r="L754" i="3" s="1"/>
  <c r="K496" i="3"/>
  <c r="L496" i="3" s="1"/>
  <c r="K568" i="3"/>
  <c r="L568" i="3" s="1"/>
  <c r="K905" i="3"/>
  <c r="L905" i="3" s="1"/>
  <c r="K251" i="3"/>
  <c r="L251" i="3" s="1"/>
  <c r="K559" i="3"/>
  <c r="L559" i="3" s="1"/>
  <c r="K954" i="3"/>
  <c r="L954" i="3" s="1"/>
  <c r="K479" i="3"/>
  <c r="L479" i="3" s="1"/>
  <c r="K509" i="3"/>
  <c r="L509" i="3" s="1"/>
  <c r="K819" i="3"/>
  <c r="L819" i="3" s="1"/>
  <c r="K885" i="3"/>
  <c r="L885" i="3" s="1"/>
  <c r="K1604" i="3"/>
  <c r="L1604" i="3" s="1"/>
  <c r="K1255" i="3"/>
  <c r="L1255" i="3" s="1"/>
  <c r="K1575" i="3"/>
  <c r="L1575" i="3" s="1"/>
  <c r="K1681" i="3"/>
  <c r="L1681" i="3" s="1"/>
  <c r="K1570" i="3"/>
  <c r="L1570" i="3" s="1"/>
  <c r="K1799" i="3"/>
  <c r="L1799" i="3" s="1"/>
  <c r="K1619" i="3"/>
  <c r="L1619" i="3" s="1"/>
  <c r="K1643" i="3"/>
  <c r="L1643" i="3" s="1"/>
  <c r="K1696" i="3"/>
  <c r="L1696" i="3" s="1"/>
  <c r="K1930" i="3"/>
  <c r="L1930" i="3" s="1"/>
  <c r="K1914" i="3"/>
  <c r="L1914" i="3" s="1"/>
  <c r="K1829" i="3"/>
  <c r="L1829" i="3" s="1"/>
  <c r="K1190" i="3"/>
  <c r="L1190" i="3" s="1"/>
  <c r="K2085" i="3"/>
  <c r="L2085" i="3" s="1"/>
  <c r="K2396" i="3"/>
  <c r="L2396" i="3" s="1"/>
  <c r="K2773" i="3"/>
  <c r="L2773" i="3" s="1"/>
  <c r="K60" i="3"/>
  <c r="L60" i="3" s="1"/>
  <c r="K127" i="3"/>
  <c r="L127" i="3" s="1"/>
  <c r="K193" i="3"/>
  <c r="L193" i="3" s="1"/>
  <c r="K219" i="3"/>
  <c r="L219" i="3" s="1"/>
  <c r="K265" i="3"/>
  <c r="L265" i="3" s="1"/>
  <c r="K59" i="3"/>
  <c r="L59" i="3" s="1"/>
  <c r="K95" i="3"/>
  <c r="L95" i="3" s="1"/>
  <c r="K168" i="3"/>
  <c r="L168" i="3" s="1"/>
  <c r="K243" i="3"/>
  <c r="L243" i="3" s="1"/>
  <c r="K195" i="3"/>
  <c r="L195" i="3" s="1"/>
  <c r="K66" i="3"/>
  <c r="L66" i="3" s="1"/>
  <c r="K124" i="3"/>
  <c r="L124" i="3" s="1"/>
  <c r="K232" i="3"/>
  <c r="L232" i="3" s="1"/>
  <c r="K346" i="3"/>
  <c r="L346" i="3" s="1"/>
  <c r="K199" i="3"/>
  <c r="L199" i="3" s="1"/>
  <c r="K294" i="3"/>
  <c r="L294" i="3" s="1"/>
  <c r="K415" i="3"/>
  <c r="L415" i="3" s="1"/>
  <c r="K142" i="3"/>
  <c r="L142" i="3" s="1"/>
  <c r="K217" i="3"/>
  <c r="L217" i="3" s="1"/>
  <c r="K226" i="3"/>
  <c r="L226" i="3" s="1"/>
  <c r="K348" i="3"/>
  <c r="L348" i="3" s="1"/>
  <c r="K352" i="3"/>
  <c r="L352" i="3" s="1"/>
  <c r="K371" i="3"/>
  <c r="L371" i="3" s="1"/>
  <c r="K475" i="3"/>
  <c r="L475" i="3" s="1"/>
  <c r="K228" i="3"/>
  <c r="L228" i="3" s="1"/>
  <c r="K249" i="3"/>
  <c r="L249" i="3" s="1"/>
  <c r="K334" i="3"/>
  <c r="L334" i="3" s="1"/>
  <c r="K394" i="3"/>
  <c r="L394" i="3" s="1"/>
  <c r="K404" i="3"/>
  <c r="L404" i="3" s="1"/>
  <c r="K141" i="3"/>
  <c r="L141" i="3" s="1"/>
  <c r="K187" i="3"/>
  <c r="L187" i="3" s="1"/>
  <c r="K285" i="3"/>
  <c r="L285" i="3" s="1"/>
  <c r="K1115" i="3"/>
  <c r="L1115" i="3" s="1"/>
  <c r="K1033" i="3"/>
  <c r="L1033" i="3" s="1"/>
  <c r="K1381" i="3"/>
  <c r="L1381" i="3" s="1"/>
  <c r="K1520" i="3"/>
  <c r="L1520" i="3" s="1"/>
  <c r="K1572" i="3"/>
  <c r="L1572" i="3" s="1"/>
  <c r="K1684" i="3"/>
  <c r="L1684" i="3" s="1"/>
  <c r="K987" i="3"/>
  <c r="L987" i="3" s="1"/>
  <c r="K1228" i="3"/>
  <c r="L1228" i="3" s="1"/>
  <c r="K1166" i="3"/>
  <c r="L1166" i="3" s="1"/>
  <c r="K1582" i="3"/>
  <c r="L1582" i="3" s="1"/>
  <c r="K1382" i="3"/>
  <c r="L1382" i="3" s="1"/>
  <c r="K1542" i="3"/>
  <c r="L1542" i="3" s="1"/>
  <c r="K1778" i="3"/>
  <c r="L1778" i="3" s="1"/>
  <c r="K1213" i="3"/>
  <c r="L1213" i="3" s="1"/>
  <c r="K1592" i="3"/>
  <c r="L1592" i="3" s="1"/>
  <c r="K2190" i="3"/>
  <c r="L2190" i="3" s="1"/>
  <c r="K1758" i="3"/>
  <c r="L1758" i="3" s="1"/>
  <c r="K839" i="3"/>
  <c r="L839" i="3" s="1"/>
  <c r="K1950" i="3"/>
  <c r="L1950" i="3" s="1"/>
  <c r="K2097" i="3"/>
  <c r="L2097" i="3" s="1"/>
  <c r="K1738" i="3"/>
  <c r="L1738" i="3" s="1"/>
  <c r="K1940" i="3"/>
  <c r="L1940" i="3" s="1"/>
  <c r="K1999" i="3"/>
  <c r="L1999" i="3" s="1"/>
  <c r="K2224" i="3"/>
  <c r="L2224" i="3" s="1"/>
  <c r="K2266" i="3"/>
  <c r="L2266" i="3" s="1"/>
  <c r="K2376" i="3"/>
  <c r="L2376" i="3" s="1"/>
  <c r="K2565" i="3"/>
  <c r="L2565" i="3" s="1"/>
  <c r="K1998" i="3"/>
  <c r="L1998" i="3" s="1"/>
  <c r="K2075" i="3"/>
  <c r="L2075" i="3" s="1"/>
  <c r="K2474" i="3"/>
  <c r="L2474" i="3" s="1"/>
  <c r="K2139" i="3"/>
  <c r="L2139" i="3" s="1"/>
  <c r="K2364" i="3"/>
  <c r="L2364" i="3" s="1"/>
  <c r="K2240" i="3"/>
  <c r="L2240" i="3" s="1"/>
  <c r="K2439" i="3"/>
  <c r="L2439" i="3" s="1"/>
  <c r="K1752" i="3"/>
  <c r="L1752" i="3" s="1"/>
  <c r="K1872" i="3"/>
  <c r="L1872" i="3" s="1"/>
  <c r="K2047" i="3"/>
  <c r="L2047" i="3" s="1"/>
  <c r="K2252" i="3"/>
  <c r="L2252" i="3" s="1"/>
  <c r="K2464" i="3"/>
  <c r="L2464" i="3" s="1"/>
  <c r="K1907" i="3"/>
  <c r="L1907" i="3" s="1"/>
  <c r="K3190" i="3"/>
  <c r="L3190" i="3" s="1"/>
  <c r="K2189" i="3"/>
  <c r="L2189" i="3" s="1"/>
  <c r="K2323" i="3"/>
  <c r="L2323" i="3" s="1"/>
  <c r="K2514" i="3"/>
  <c r="L2514" i="3" s="1"/>
  <c r="K2530" i="3"/>
  <c r="L2530" i="3" s="1"/>
  <c r="K2379" i="3"/>
  <c r="L2379" i="3" s="1"/>
  <c r="K2126" i="3"/>
  <c r="L2126" i="3" s="1"/>
  <c r="K2505" i="3"/>
  <c r="L2505" i="3" s="1"/>
  <c r="K623" i="3"/>
  <c r="L623" i="3" s="1"/>
  <c r="K822" i="3"/>
  <c r="L822" i="3" s="1"/>
  <c r="K869" i="3"/>
  <c r="L869" i="3" s="1"/>
  <c r="K974" i="3"/>
  <c r="L974" i="3" s="1"/>
  <c r="K1040" i="3"/>
  <c r="L1040" i="3" s="1"/>
  <c r="K712" i="3"/>
  <c r="L712" i="3" s="1"/>
  <c r="K755" i="3"/>
  <c r="L755" i="3" s="1"/>
  <c r="K775" i="3"/>
  <c r="L775" i="3" s="1"/>
  <c r="K962" i="3"/>
  <c r="L962" i="3" s="1"/>
  <c r="K762" i="3"/>
  <c r="L762" i="3" s="1"/>
  <c r="K829" i="3"/>
  <c r="L829" i="3" s="1"/>
  <c r="K904" i="3"/>
  <c r="L904" i="3" s="1"/>
  <c r="K868" i="3"/>
  <c r="L868" i="3" s="1"/>
  <c r="K864" i="3"/>
  <c r="L864" i="3" s="1"/>
  <c r="K1126" i="3"/>
  <c r="L1126" i="3" s="1"/>
  <c r="K928" i="3"/>
  <c r="L928" i="3" s="1"/>
  <c r="K328" i="3"/>
  <c r="L328" i="3" s="1"/>
  <c r="K389" i="3"/>
  <c r="L389" i="3" s="1"/>
  <c r="K449" i="3"/>
  <c r="L449" i="3" s="1"/>
  <c r="K891" i="3"/>
  <c r="L891" i="3" s="1"/>
  <c r="K453" i="3"/>
  <c r="L453" i="3" s="1"/>
  <c r="K494" i="3"/>
  <c r="L494" i="3" s="1"/>
  <c r="K626" i="3"/>
  <c r="L626" i="3" s="1"/>
  <c r="K258" i="3"/>
  <c r="L258" i="3" s="1"/>
  <c r="K660" i="3"/>
  <c r="L660" i="3" s="1"/>
  <c r="K279" i="3"/>
  <c r="L279" i="3" s="1"/>
  <c r="K330" i="3"/>
  <c r="L330" i="3" s="1"/>
  <c r="K381" i="3"/>
  <c r="L381" i="3" s="1"/>
  <c r="K562" i="3"/>
  <c r="L562" i="3" s="1"/>
  <c r="K5037" i="3"/>
  <c r="L5037" i="3" s="1"/>
  <c r="K4073" i="3"/>
  <c r="L4073" i="3" s="1"/>
  <c r="K4362" i="3"/>
  <c r="L4362" i="3" s="1"/>
  <c r="K1728" i="3"/>
  <c r="L1728" i="3" s="1"/>
  <c r="K1875" i="3"/>
  <c r="L1875" i="3" s="1"/>
  <c r="K1968" i="3"/>
  <c r="L1968" i="3" s="1"/>
  <c r="K1969" i="3"/>
  <c r="L1969" i="3" s="1"/>
  <c r="K1987" i="3"/>
  <c r="L1987" i="3" s="1"/>
  <c r="K2258" i="3"/>
  <c r="L2258" i="3" s="1"/>
  <c r="K2296" i="3"/>
  <c r="L2296" i="3" s="1"/>
  <c r="K1726" i="3"/>
  <c r="L1726" i="3" s="1"/>
  <c r="K1788" i="3"/>
  <c r="L1788" i="3" s="1"/>
  <c r="K1997" i="3"/>
  <c r="L1997" i="3" s="1"/>
  <c r="K2056" i="3"/>
  <c r="L2056" i="3" s="1"/>
  <c r="K2370" i="3"/>
  <c r="L2370" i="3" s="1"/>
  <c r="K2119" i="3"/>
  <c r="L2119" i="3" s="1"/>
  <c r="K2446" i="3"/>
  <c r="L2446" i="3" s="1"/>
  <c r="K2347" i="3"/>
  <c r="L2347" i="3" s="1"/>
  <c r="K2388" i="3"/>
  <c r="L2388" i="3" s="1"/>
  <c r="K1067" i="3"/>
  <c r="L1067" i="3" s="1"/>
  <c r="K996" i="3"/>
  <c r="L996" i="3" s="1"/>
  <c r="K1053" i="3"/>
  <c r="L1053" i="3" s="1"/>
  <c r="K1225" i="3"/>
  <c r="L1225" i="3" s="1"/>
  <c r="K1262" i="3"/>
  <c r="L1262" i="3" s="1"/>
  <c r="K1374" i="3"/>
  <c r="L1374" i="3" s="1"/>
  <c r="K1167" i="3"/>
  <c r="L1167" i="3" s="1"/>
  <c r="K1332" i="3"/>
  <c r="L1332" i="3" s="1"/>
  <c r="K1068" i="3"/>
  <c r="L1068" i="3" s="1"/>
  <c r="K1073" i="3"/>
  <c r="L1073" i="3" s="1"/>
  <c r="K1117" i="3"/>
  <c r="L1117" i="3" s="1"/>
  <c r="K1531" i="3"/>
  <c r="L1531" i="3" s="1"/>
  <c r="K1646" i="3"/>
  <c r="L1646" i="3" s="1"/>
  <c r="K1120" i="3"/>
  <c r="L1120" i="3" s="1"/>
  <c r="K2284" i="3"/>
  <c r="L2284" i="3" s="1"/>
  <c r="K2175" i="3"/>
  <c r="L2175" i="3" s="1"/>
  <c r="Q104" i="1"/>
  <c r="Q134" i="1"/>
  <c r="Q220" i="1"/>
  <c r="Q74" i="1"/>
  <c r="Q166" i="1"/>
  <c r="Q378" i="1"/>
  <c r="Q324" i="1"/>
  <c r="Q402" i="1"/>
  <c r="Q26" i="1"/>
  <c r="Q212" i="1"/>
  <c r="Q12" i="1"/>
  <c r="Q42" i="1"/>
  <c r="Q145" i="1"/>
  <c r="Q201" i="1"/>
  <c r="Q54" i="1"/>
  <c r="Q122" i="1"/>
  <c r="K1284" i="3"/>
  <c r="L1284" i="3" s="1"/>
  <c r="K1289" i="3"/>
  <c r="L1289" i="3" s="1"/>
  <c r="K1335" i="3"/>
  <c r="L1335" i="3" s="1"/>
  <c r="K1391" i="3"/>
  <c r="L1391" i="3" s="1"/>
  <c r="K972" i="3"/>
  <c r="L972" i="3" s="1"/>
  <c r="K1219" i="3"/>
  <c r="L1219" i="3" s="1"/>
  <c r="K1253" i="3"/>
  <c r="L1253" i="3" s="1"/>
  <c r="K1395" i="3"/>
  <c r="L1395" i="3" s="1"/>
  <c r="K1041" i="3"/>
  <c r="L1041" i="3" s="1"/>
  <c r="K1795" i="3"/>
  <c r="L1795" i="3" s="1"/>
  <c r="K2019" i="3"/>
  <c r="L2019" i="3" s="1"/>
  <c r="K1691" i="3"/>
  <c r="L1691" i="3" s="1"/>
  <c r="K1878" i="3"/>
  <c r="L1878" i="3" s="1"/>
  <c r="K1975" i="3"/>
  <c r="L1975" i="3" s="1"/>
  <c r="K1934" i="3"/>
  <c r="L1934" i="3" s="1"/>
  <c r="K1135" i="3"/>
  <c r="L1135" i="3" s="1"/>
  <c r="K1209" i="3"/>
  <c r="L1209" i="3" s="1"/>
  <c r="K1334" i="3"/>
  <c r="L1334" i="3" s="1"/>
  <c r="K1476" i="3"/>
  <c r="L1476" i="3" s="1"/>
  <c r="K1503" i="3"/>
  <c r="L1503" i="3" s="1"/>
  <c r="K1583" i="3"/>
  <c r="L1583" i="3" s="1"/>
  <c r="K1588" i="3"/>
  <c r="L1588" i="3" s="1"/>
  <c r="K1593" i="3"/>
  <c r="L1593" i="3" s="1"/>
  <c r="K1480" i="3"/>
  <c r="L1480" i="3" s="1"/>
  <c r="K1516" i="3"/>
  <c r="L1516" i="3" s="1"/>
  <c r="K1649" i="3"/>
  <c r="L1649" i="3" s="1"/>
  <c r="K1222" i="3"/>
  <c r="L1222" i="3" s="1"/>
  <c r="K1720" i="3"/>
  <c r="L1720" i="3" s="1"/>
  <c r="K1766" i="3"/>
  <c r="L1766" i="3" s="1"/>
  <c r="K1409" i="3"/>
  <c r="L1409" i="3" s="1"/>
  <c r="K1394" i="3"/>
  <c r="L1394" i="3" s="1"/>
  <c r="K1632" i="3"/>
  <c r="L1632" i="3" s="1"/>
  <c r="K645" i="3"/>
  <c r="L645" i="3" s="1"/>
  <c r="K631" i="3"/>
  <c r="L631" i="3" s="1"/>
  <c r="K644" i="3"/>
  <c r="L644" i="3" s="1"/>
  <c r="K580" i="3"/>
  <c r="L580" i="3" s="1"/>
  <c r="K641" i="3"/>
  <c r="L641" i="3" s="1"/>
  <c r="K708" i="3"/>
  <c r="L708" i="3" s="1"/>
  <c r="K673" i="3"/>
  <c r="L673" i="3" s="1"/>
  <c r="K734" i="3"/>
  <c r="L734" i="3" s="1"/>
  <c r="K811" i="3"/>
  <c r="L811" i="3" s="1"/>
  <c r="K815" i="3"/>
  <c r="L815" i="3" s="1"/>
  <c r="K890" i="3"/>
  <c r="L890" i="3" s="1"/>
  <c r="K913" i="3"/>
  <c r="L913" i="3" s="1"/>
  <c r="K1514" i="3"/>
  <c r="L1514" i="3" s="1"/>
  <c r="K931" i="3"/>
  <c r="L931" i="3" s="1"/>
  <c r="K2497" i="3"/>
  <c r="L2497" i="3" s="1"/>
  <c r="K7304" i="3"/>
  <c r="L7304" i="3" s="1"/>
  <c r="K832" i="3"/>
  <c r="L832" i="3" s="1"/>
  <c r="K753" i="3"/>
  <c r="L753" i="3" s="1"/>
  <c r="K780" i="3"/>
  <c r="L780" i="3" s="1"/>
  <c r="K748" i="3"/>
  <c r="L748" i="3" s="1"/>
  <c r="K782" i="3"/>
  <c r="L782" i="3" s="1"/>
  <c r="K884" i="3"/>
  <c r="L884" i="3" s="1"/>
  <c r="K922" i="3"/>
  <c r="L922" i="3" s="1"/>
  <c r="K1207" i="3"/>
  <c r="L1207" i="3" s="1"/>
  <c r="K1211" i="3"/>
  <c r="L1211" i="3" s="1"/>
  <c r="K1251" i="3"/>
  <c r="L1251" i="3" s="1"/>
  <c r="K768" i="3"/>
  <c r="L768" i="3" s="1"/>
  <c r="K1186" i="3"/>
  <c r="L1186" i="3" s="1"/>
  <c r="K1074" i="3"/>
  <c r="L1074" i="3" s="1"/>
  <c r="K1139" i="3"/>
  <c r="L1139" i="3" s="1"/>
  <c r="K1981" i="3"/>
  <c r="L1981" i="3" s="1"/>
  <c r="K1146" i="3"/>
  <c r="L1146" i="3" s="1"/>
  <c r="K1524" i="3"/>
  <c r="L1524" i="3" s="1"/>
  <c r="K1545" i="3"/>
  <c r="L1545" i="3" s="1"/>
  <c r="K1745" i="3"/>
  <c r="L1745" i="3" s="1"/>
  <c r="K1635" i="3"/>
  <c r="L1635" i="3" s="1"/>
  <c r="K1909" i="3"/>
  <c r="L1909" i="3" s="1"/>
  <c r="K1798" i="3"/>
  <c r="L1798" i="3" s="1"/>
  <c r="K1808" i="3"/>
  <c r="L1808" i="3" s="1"/>
  <c r="K1922" i="3"/>
  <c r="L1922" i="3" s="1"/>
  <c r="K1926" i="3"/>
  <c r="L1926" i="3" s="1"/>
  <c r="K1699" i="3"/>
  <c r="L1699" i="3" s="1"/>
  <c r="K2029" i="3"/>
  <c r="L2029" i="3" s="1"/>
  <c r="K1734" i="3"/>
  <c r="L1734" i="3" s="1"/>
  <c r="K1595" i="3"/>
  <c r="L1595" i="3" s="1"/>
  <c r="K1718" i="3"/>
  <c r="L1718" i="3" s="1"/>
  <c r="K2174" i="3"/>
  <c r="L2174" i="3" s="1"/>
  <c r="K7291" i="3"/>
  <c r="L7291" i="3" s="1"/>
  <c r="K943" i="3"/>
  <c r="L943" i="3" s="1"/>
  <c r="K1044" i="3"/>
  <c r="L1044" i="3" s="1"/>
  <c r="K1045" i="3"/>
  <c r="L1045" i="3" s="1"/>
  <c r="K976" i="3"/>
  <c r="L976" i="3" s="1"/>
  <c r="K1233" i="3"/>
  <c r="L1233" i="3" s="1"/>
  <c r="K933" i="3"/>
  <c r="L933" i="3" s="1"/>
  <c r="K952" i="3"/>
  <c r="L952" i="3" s="1"/>
  <c r="K968" i="3"/>
  <c r="L968" i="3" s="1"/>
  <c r="K1010" i="3"/>
  <c r="L1010" i="3" s="1"/>
  <c r="K1071" i="3"/>
  <c r="L1071" i="3" s="1"/>
  <c r="K1214" i="3"/>
  <c r="L1214" i="3" s="1"/>
  <c r="K888" i="3"/>
  <c r="L888" i="3" s="1"/>
  <c r="K1024" i="3"/>
  <c r="L1024" i="3" s="1"/>
  <c r="K1105" i="3"/>
  <c r="L1105" i="3" s="1"/>
  <c r="K1194" i="3"/>
  <c r="L1194" i="3" s="1"/>
  <c r="K1415" i="3"/>
  <c r="L1415" i="3" s="1"/>
  <c r="K861" i="3"/>
  <c r="L861" i="3" s="1"/>
  <c r="K937" i="3"/>
  <c r="L937" i="3" s="1"/>
  <c r="K552" i="3"/>
  <c r="L552" i="3" s="1"/>
  <c r="K615" i="3"/>
  <c r="L615" i="3" s="1"/>
  <c r="K702" i="3"/>
  <c r="L702" i="3" s="1"/>
  <c r="K773" i="3"/>
  <c r="L773" i="3" s="1"/>
  <c r="K881" i="3"/>
  <c r="L881" i="3" s="1"/>
  <c r="K567" i="3"/>
  <c r="L567" i="3" s="1"/>
  <c r="K841" i="3"/>
  <c r="L841" i="3" s="1"/>
  <c r="K893" i="3"/>
  <c r="L893" i="3" s="1"/>
  <c r="K1035" i="3"/>
  <c r="L1035" i="3" s="1"/>
  <c r="K836" i="3"/>
  <c r="L836" i="3" s="1"/>
  <c r="K858" i="3"/>
  <c r="L858" i="3" s="1"/>
  <c r="K642" i="3"/>
  <c r="L642" i="3" s="1"/>
  <c r="K1030" i="3"/>
  <c r="L1030" i="3" s="1"/>
  <c r="K844" i="3"/>
  <c r="L844" i="3" s="1"/>
  <c r="K3" i="3"/>
  <c r="L3" i="3" s="1"/>
  <c r="K91" i="3"/>
  <c r="L91" i="3" s="1"/>
  <c r="K146" i="3"/>
  <c r="L146" i="3" s="1"/>
  <c r="K53" i="3"/>
  <c r="L53" i="3" s="1"/>
  <c r="K186" i="3"/>
  <c r="L186" i="3" s="1"/>
  <c r="K190" i="3"/>
  <c r="L190" i="3" s="1"/>
  <c r="K41" i="3"/>
  <c r="L41" i="3" s="1"/>
  <c r="K113" i="3"/>
  <c r="L113" i="3" s="1"/>
  <c r="K172" i="3"/>
  <c r="L172" i="3" s="1"/>
  <c r="K362" i="3"/>
  <c r="L362" i="3" s="1"/>
  <c r="K483" i="3"/>
  <c r="L483" i="3" s="1"/>
  <c r="K117" i="3"/>
  <c r="L117" i="3" s="1"/>
  <c r="K129" i="3"/>
  <c r="L129" i="3" s="1"/>
  <c r="K208" i="3"/>
  <c r="L208" i="3" s="1"/>
  <c r="K7286" i="3"/>
  <c r="L7286" i="3" s="1"/>
  <c r="K7287" i="3"/>
  <c r="L7287" i="3" s="1"/>
  <c r="K4" i="3"/>
  <c r="L4" i="3" s="1"/>
  <c r="K32" i="3"/>
  <c r="L32" i="3" s="1"/>
  <c r="K68" i="3"/>
  <c r="L68" i="3" s="1"/>
  <c r="K143" i="3"/>
  <c r="L143" i="3" s="1"/>
  <c r="K278" i="3"/>
  <c r="L278" i="3" s="1"/>
  <c r="K15" i="3"/>
  <c r="L15" i="3" s="1"/>
  <c r="K19" i="3"/>
  <c r="L19" i="3" s="1"/>
  <c r="K126" i="3"/>
  <c r="L126" i="3" s="1"/>
  <c r="K134" i="3"/>
  <c r="L134" i="3" s="1"/>
  <c r="K222" i="3"/>
  <c r="L222" i="3" s="1"/>
  <c r="K26" i="3"/>
  <c r="L26" i="3" s="1"/>
  <c r="K148" i="3"/>
  <c r="L148" i="3" s="1"/>
  <c r="K267" i="3"/>
  <c r="L267" i="3" s="1"/>
  <c r="K152" i="3"/>
  <c r="L152" i="3" s="1"/>
  <c r="K21" i="3"/>
  <c r="L21" i="3" s="1"/>
  <c r="K263" i="3"/>
  <c r="L263" i="3" s="1"/>
  <c r="K1857" i="3"/>
  <c r="L1857" i="3" s="1"/>
  <c r="K2283" i="3"/>
  <c r="L2283" i="3" s="1"/>
  <c r="K2460" i="3"/>
  <c r="L2460" i="3" s="1"/>
  <c r="K3067" i="3"/>
  <c r="L3067" i="3" s="1"/>
  <c r="K3329" i="3"/>
  <c r="L3329" i="3" s="1"/>
  <c r="K1957" i="3"/>
  <c r="L1957" i="3" s="1"/>
  <c r="K2127" i="3"/>
  <c r="L2127" i="3" s="1"/>
  <c r="K2448" i="3"/>
  <c r="L2448" i="3" s="1"/>
  <c r="K2696" i="3"/>
  <c r="L2696" i="3" s="1"/>
  <c r="K2840" i="3"/>
  <c r="L2840" i="3" s="1"/>
  <c r="K2873" i="3"/>
  <c r="L2873" i="3" s="1"/>
  <c r="K2947" i="3"/>
  <c r="L2947" i="3" s="1"/>
  <c r="K2763" i="3"/>
  <c r="L2763" i="3" s="1"/>
  <c r="K3129" i="3"/>
  <c r="L3129" i="3" s="1"/>
  <c r="K3339" i="3"/>
  <c r="L3339" i="3" s="1"/>
  <c r="K2864" i="3"/>
  <c r="L2864" i="3" s="1"/>
  <c r="K458" i="3"/>
  <c r="L458" i="3" s="1"/>
  <c r="K614" i="3"/>
  <c r="L614" i="3" s="1"/>
  <c r="K650" i="3"/>
  <c r="L650" i="3" s="1"/>
  <c r="K507" i="3"/>
  <c r="L507" i="3" s="1"/>
  <c r="K582" i="3"/>
  <c r="L582" i="3" s="1"/>
  <c r="K608" i="3"/>
  <c r="L608" i="3" s="1"/>
  <c r="K514" i="3"/>
  <c r="L514" i="3" s="1"/>
  <c r="K549" i="3"/>
  <c r="L549" i="3" s="1"/>
  <c r="K579" i="3"/>
  <c r="L579" i="3" s="1"/>
  <c r="K1104" i="3"/>
  <c r="L1104" i="3" s="1"/>
  <c r="K617" i="3"/>
  <c r="L617" i="3" s="1"/>
  <c r="K802" i="3"/>
  <c r="L802" i="3" s="1"/>
  <c r="K852" i="3"/>
  <c r="L852" i="3" s="1"/>
  <c r="K602" i="3"/>
  <c r="L602" i="3" s="1"/>
  <c r="K840" i="3"/>
  <c r="L840" i="3" s="1"/>
  <c r="K558" i="3"/>
  <c r="L558" i="3" s="1"/>
  <c r="K52" i="3"/>
  <c r="L52" i="3" s="1"/>
  <c r="K92" i="3"/>
  <c r="L92" i="3" s="1"/>
  <c r="K139" i="3"/>
  <c r="L139" i="3" s="1"/>
  <c r="K196" i="3"/>
  <c r="L196" i="3" s="1"/>
  <c r="K309" i="3"/>
  <c r="L309" i="3" s="1"/>
  <c r="K78" i="3"/>
  <c r="L78" i="3" s="1"/>
  <c r="K116" i="3"/>
  <c r="L116" i="3" s="1"/>
  <c r="K120" i="3"/>
  <c r="L120" i="3" s="1"/>
  <c r="K49" i="3"/>
  <c r="L49" i="3" s="1"/>
  <c r="K246" i="3"/>
  <c r="L246" i="3" s="1"/>
  <c r="K290" i="3"/>
  <c r="L290" i="3" s="1"/>
  <c r="K316" i="3"/>
  <c r="L316" i="3" s="1"/>
  <c r="K203" i="3"/>
  <c r="L203" i="3" s="1"/>
  <c r="K311" i="3"/>
  <c r="L311" i="3" s="1"/>
  <c r="K45" i="3"/>
  <c r="L45" i="3" s="1"/>
  <c r="K355" i="3"/>
  <c r="L355" i="3" s="1"/>
  <c r="K1077" i="3"/>
  <c r="L1077" i="3" s="1"/>
  <c r="K1359" i="3"/>
  <c r="L1359" i="3" s="1"/>
  <c r="K1091" i="3"/>
  <c r="L1091" i="3" s="1"/>
  <c r="K1378" i="3"/>
  <c r="L1378" i="3" s="1"/>
  <c r="K1573" i="3"/>
  <c r="L1573" i="3" s="1"/>
  <c r="K1625" i="3"/>
  <c r="L1625" i="3" s="1"/>
  <c r="K1025" i="3"/>
  <c r="L1025" i="3" s="1"/>
  <c r="K1497" i="3"/>
  <c r="L1497" i="3" s="1"/>
  <c r="K1744" i="3"/>
  <c r="L1744" i="3" s="1"/>
  <c r="K1769" i="3"/>
  <c r="L1769" i="3" s="1"/>
  <c r="K1862" i="3"/>
  <c r="L1862" i="3" s="1"/>
  <c r="K1505" i="3"/>
  <c r="L1505" i="3" s="1"/>
  <c r="K1854" i="3"/>
  <c r="L1854" i="3" s="1"/>
  <c r="K3192" i="3"/>
  <c r="L3192" i="3" s="1"/>
  <c r="K1664" i="3"/>
  <c r="L1664" i="3" s="1"/>
  <c r="K2153" i="3"/>
  <c r="L2153" i="3" s="1"/>
  <c r="K1700" i="3"/>
  <c r="L1700" i="3" s="1"/>
  <c r="K1787" i="3"/>
  <c r="L1787" i="3" s="1"/>
  <c r="K1897" i="3"/>
  <c r="L1897" i="3" s="1"/>
  <c r="K2065" i="3"/>
  <c r="L2065" i="3" s="1"/>
  <c r="K2091" i="3"/>
  <c r="L2091" i="3" s="1"/>
  <c r="K2129" i="3"/>
  <c r="L2129" i="3" s="1"/>
  <c r="K1680" i="3"/>
  <c r="L1680" i="3" s="1"/>
  <c r="K1874" i="3"/>
  <c r="L1874" i="3" s="1"/>
  <c r="K1949" i="3"/>
  <c r="L1949" i="3" s="1"/>
  <c r="K1755" i="3"/>
  <c r="L1755" i="3" s="1"/>
  <c r="K1946" i="3"/>
  <c r="L1946" i="3" s="1"/>
  <c r="K2060" i="3"/>
  <c r="L2060" i="3" s="1"/>
  <c r="K2158" i="3"/>
  <c r="L2158" i="3" s="1"/>
  <c r="K1911" i="3"/>
  <c r="L1911" i="3" s="1"/>
  <c r="K2107" i="3"/>
  <c r="L2107" i="3" s="1"/>
  <c r="K2135" i="3"/>
  <c r="L2135" i="3" s="1"/>
  <c r="K1360" i="3"/>
  <c r="L1360" i="3" s="1"/>
  <c r="K1281" i="3"/>
  <c r="L1281" i="3" s="1"/>
  <c r="K1389" i="3"/>
  <c r="L1389" i="3" s="1"/>
  <c r="K1671" i="3"/>
  <c r="L1671" i="3" s="1"/>
  <c r="K1544" i="3"/>
  <c r="L1544" i="3" s="1"/>
  <c r="K1579" i="3"/>
  <c r="L1579" i="3" s="1"/>
  <c r="K2082" i="3"/>
  <c r="L2082" i="3" s="1"/>
  <c r="K1269" i="3"/>
  <c r="L1269" i="3" s="1"/>
  <c r="K1899" i="3"/>
  <c r="L1899" i="3" s="1"/>
  <c r="K2025" i="3"/>
  <c r="L2025" i="3" s="1"/>
  <c r="K2147" i="3"/>
  <c r="L2147" i="3" s="1"/>
  <c r="K2861" i="3"/>
  <c r="L2861" i="3" s="1"/>
  <c r="K2898" i="3"/>
  <c r="L2898" i="3" s="1"/>
  <c r="K1807" i="3"/>
  <c r="L1807" i="3" s="1"/>
  <c r="K1929" i="3"/>
  <c r="L1929" i="3" s="1"/>
  <c r="K1311" i="3"/>
  <c r="L1311" i="3" s="1"/>
  <c r="K847" i="3"/>
  <c r="L847" i="3" s="1"/>
  <c r="K1119" i="3"/>
  <c r="L1119" i="3" s="1"/>
  <c r="K1257" i="3"/>
  <c r="L1257" i="3" s="1"/>
  <c r="K808" i="3"/>
  <c r="L808" i="3" s="1"/>
  <c r="K1623" i="3"/>
  <c r="L1623" i="3" s="1"/>
  <c r="K1840" i="3"/>
  <c r="L1840" i="3" s="1"/>
  <c r="K1918" i="3"/>
  <c r="L1918" i="3" s="1"/>
  <c r="K2000" i="3"/>
  <c r="L2000" i="3" s="1"/>
  <c r="K1935" i="3"/>
  <c r="L1935" i="3" s="1"/>
  <c r="K2112" i="3"/>
  <c r="L2112" i="3" s="1"/>
  <c r="K2160" i="3"/>
  <c r="L2160" i="3" s="1"/>
  <c r="K828" i="3"/>
  <c r="L828" i="3" s="1"/>
  <c r="K1811" i="3"/>
  <c r="L1811" i="3" s="1"/>
  <c r="K2440" i="3"/>
  <c r="L2440" i="3" s="1"/>
  <c r="K2426" i="3"/>
  <c r="L2426" i="3" s="1"/>
  <c r="K2950" i="3"/>
  <c r="L2950" i="3" s="1"/>
  <c r="K821" i="3"/>
  <c r="L821" i="3" s="1"/>
  <c r="K906" i="3"/>
  <c r="L906" i="3" s="1"/>
  <c r="K915" i="3"/>
  <c r="L915" i="3" s="1"/>
  <c r="K1012" i="3"/>
  <c r="L1012" i="3" s="1"/>
  <c r="K746" i="3"/>
  <c r="L746" i="3" s="1"/>
  <c r="K912" i="3"/>
  <c r="L912" i="3" s="1"/>
  <c r="K741" i="3"/>
  <c r="L741" i="3" s="1"/>
  <c r="K1008" i="3"/>
  <c r="L1008" i="3" s="1"/>
  <c r="K957" i="3"/>
  <c r="L957" i="3" s="1"/>
  <c r="K1162" i="3"/>
  <c r="L1162" i="3" s="1"/>
  <c r="K797" i="3"/>
  <c r="L797" i="3" s="1"/>
  <c r="K989" i="3"/>
  <c r="L989" i="3" s="1"/>
  <c r="K1072" i="3"/>
  <c r="L1072" i="3" s="1"/>
  <c r="K1082" i="3"/>
  <c r="L1082" i="3" s="1"/>
  <c r="K1163" i="3"/>
  <c r="L1163" i="3" s="1"/>
  <c r="K1215" i="3"/>
  <c r="L1215" i="3" s="1"/>
  <c r="N25" i="9"/>
  <c r="N24" i="9"/>
  <c r="U15" i="13"/>
  <c r="G17" i="13"/>
  <c r="H17" i="13"/>
  <c r="E2" i="8"/>
  <c r="P16" i="13"/>
  <c r="S16" i="13" s="1"/>
  <c r="O16" i="13"/>
  <c r="R16" i="13" s="1"/>
  <c r="F22" i="9"/>
  <c r="P24" i="9"/>
  <c r="Q24" i="9" s="1"/>
  <c r="L24" i="9"/>
  <c r="K22" i="9"/>
  <c r="R23" i="9"/>
  <c r="I23" i="9" s="1"/>
  <c r="S23" i="9"/>
  <c r="J23" i="9" s="1"/>
  <c r="T23" i="9"/>
  <c r="K23" i="9" s="1"/>
  <c r="G22" i="9"/>
  <c r="M17" i="13"/>
  <c r="N17" i="13" s="1"/>
  <c r="F17" i="13"/>
  <c r="Q17" i="13"/>
  <c r="E18" i="13"/>
  <c r="K18" i="13"/>
  <c r="L18" i="13"/>
  <c r="C18" i="13"/>
  <c r="C24" i="14"/>
  <c r="I16" i="17"/>
  <c r="E16" i="17"/>
  <c r="B17" i="17"/>
  <c r="H16" i="17"/>
  <c r="D16" i="17"/>
  <c r="G16" i="17"/>
  <c r="F16" i="17"/>
  <c r="A17" i="17"/>
  <c r="J16" i="17"/>
  <c r="A20" i="13"/>
  <c r="B20" i="13" s="1"/>
  <c r="R201" i="1" l="1"/>
  <c r="U201" i="1"/>
  <c r="V201" i="1" s="1"/>
  <c r="R134" i="1"/>
  <c r="U134" i="1"/>
  <c r="V134" i="1" s="1"/>
  <c r="R49" i="1"/>
  <c r="U49" i="1"/>
  <c r="V49" i="1" s="1"/>
  <c r="R172" i="1"/>
  <c r="U172" i="1"/>
  <c r="V172" i="1" s="1"/>
  <c r="R138" i="1"/>
  <c r="U138" i="1"/>
  <c r="V138" i="1" s="1"/>
  <c r="R246" i="1"/>
  <c r="U246" i="1"/>
  <c r="V246" i="1" s="1"/>
  <c r="R85" i="1"/>
  <c r="U85" i="1"/>
  <c r="V85" i="1" s="1"/>
  <c r="R15" i="1"/>
  <c r="U15" i="1"/>
  <c r="V15" i="1" s="1"/>
  <c r="R21" i="1"/>
  <c r="U21" i="1"/>
  <c r="V21" i="1" s="1"/>
  <c r="R248" i="1"/>
  <c r="U248" i="1"/>
  <c r="V248" i="1" s="1"/>
  <c r="R498" i="1"/>
  <c r="U498" i="1"/>
  <c r="V498" i="1" s="1"/>
  <c r="U216" i="1"/>
  <c r="V216" i="1" s="1"/>
  <c r="R216" i="1"/>
  <c r="R98" i="1"/>
  <c r="U98" i="1"/>
  <c r="V98" i="1" s="1"/>
  <c r="R26" i="1"/>
  <c r="U26" i="1"/>
  <c r="V26" i="1" s="1"/>
  <c r="R104" i="1"/>
  <c r="U104" i="1"/>
  <c r="V104" i="1" s="1"/>
  <c r="R47" i="1"/>
  <c r="U47" i="1"/>
  <c r="V47" i="1" s="1"/>
  <c r="R124" i="1"/>
  <c r="U124" i="1"/>
  <c r="V124" i="1" s="1"/>
  <c r="R19" i="1"/>
  <c r="U19" i="1"/>
  <c r="V19" i="1" s="1"/>
  <c r="R10" i="1"/>
  <c r="U10" i="1"/>
  <c r="V10" i="1" s="1"/>
  <c r="R38" i="1"/>
  <c r="U38" i="1"/>
  <c r="V38" i="1" s="1"/>
  <c r="R165" i="1"/>
  <c r="U165" i="1"/>
  <c r="V165" i="1" s="1"/>
  <c r="R369" i="1"/>
  <c r="U369" i="1"/>
  <c r="V369" i="1" s="1"/>
  <c r="U449" i="1"/>
  <c r="V449" i="1" s="1"/>
  <c r="R449" i="1"/>
  <c r="U453" i="1"/>
  <c r="V453" i="1" s="1"/>
  <c r="R453" i="1"/>
  <c r="R77" i="1"/>
  <c r="U77" i="1"/>
  <c r="V77" i="1" s="1"/>
  <c r="U304" i="1"/>
  <c r="V304" i="1" s="1"/>
  <c r="R304" i="1"/>
  <c r="R167" i="1"/>
  <c r="U167" i="1"/>
  <c r="V167" i="1" s="1"/>
  <c r="R23" i="1"/>
  <c r="U23" i="1"/>
  <c r="V23" i="1" s="1"/>
  <c r="R392" i="1"/>
  <c r="U392" i="1"/>
  <c r="V392" i="1" s="1"/>
  <c r="U185" i="1"/>
  <c r="V185" i="1" s="1"/>
  <c r="R185" i="1"/>
  <c r="R279" i="1"/>
  <c r="U279" i="1"/>
  <c r="V279" i="1" s="1"/>
  <c r="R5" i="1"/>
  <c r="U5" i="1"/>
  <c r="V5" i="1" s="1"/>
  <c r="M20" i="8"/>
  <c r="R95" i="1"/>
  <c r="U95" i="1"/>
  <c r="V95" i="1" s="1"/>
  <c r="R103" i="1"/>
  <c r="U103" i="1"/>
  <c r="V103" i="1" s="1"/>
  <c r="R213" i="1"/>
  <c r="U213" i="1"/>
  <c r="V213" i="1" s="1"/>
  <c r="U320" i="1"/>
  <c r="V320" i="1" s="1"/>
  <c r="R320" i="1"/>
  <c r="R474" i="1"/>
  <c r="U474" i="1"/>
  <c r="V474" i="1" s="1"/>
  <c r="R313" i="1"/>
  <c r="U313" i="1"/>
  <c r="V313" i="1" s="1"/>
  <c r="R51" i="1"/>
  <c r="U51" i="1"/>
  <c r="V51" i="1" s="1"/>
  <c r="U379" i="1"/>
  <c r="V379" i="1" s="1"/>
  <c r="R379" i="1"/>
  <c r="R148" i="1"/>
  <c r="U148" i="1"/>
  <c r="V148" i="1" s="1"/>
  <c r="U306" i="1"/>
  <c r="V306" i="1" s="1"/>
  <c r="R306" i="1"/>
  <c r="R65" i="1"/>
  <c r="U65" i="1"/>
  <c r="V65" i="1" s="1"/>
  <c r="R200" i="1"/>
  <c r="U200" i="1"/>
  <c r="V200" i="1" s="1"/>
  <c r="U212" i="1"/>
  <c r="V212" i="1" s="1"/>
  <c r="R212" i="1"/>
  <c r="R75" i="1"/>
  <c r="U75" i="1"/>
  <c r="V75" i="1" s="1"/>
  <c r="R20" i="1"/>
  <c r="U20" i="1"/>
  <c r="V20" i="1" s="1"/>
  <c r="R115" i="1"/>
  <c r="U115" i="1"/>
  <c r="V115" i="1" s="1"/>
  <c r="R55" i="1"/>
  <c r="U55" i="1"/>
  <c r="V55" i="1" s="1"/>
  <c r="R250" i="1"/>
  <c r="U250" i="1"/>
  <c r="V250" i="1" s="1"/>
  <c r="R384" i="1"/>
  <c r="U384" i="1"/>
  <c r="R7" i="1"/>
  <c r="U7" i="1"/>
  <c r="V7" i="1" s="1"/>
  <c r="R50" i="1"/>
  <c r="U50" i="1"/>
  <c r="V50" i="1" s="1"/>
  <c r="U105" i="1"/>
  <c r="V105" i="1" s="1"/>
  <c r="R105" i="1"/>
  <c r="R275" i="1"/>
  <c r="U275" i="1"/>
  <c r="V275" i="1" s="1"/>
  <c r="R28" i="1"/>
  <c r="U28" i="1"/>
  <c r="V28" i="1" s="1"/>
  <c r="U6" i="1"/>
  <c r="V6" i="1" s="1"/>
  <c r="R6" i="1"/>
  <c r="R187" i="1"/>
  <c r="U187" i="1"/>
  <c r="V187" i="1" s="1"/>
  <c r="R34" i="1"/>
  <c r="U34" i="1"/>
  <c r="V34" i="1" s="1"/>
  <c r="R27" i="1"/>
  <c r="U27" i="1"/>
  <c r="V27" i="1" s="1"/>
  <c r="R472" i="1"/>
  <c r="U472" i="1"/>
  <c r="V472" i="1" s="1"/>
  <c r="U487" i="1"/>
  <c r="V487" i="1" s="1"/>
  <c r="R487" i="1"/>
  <c r="U193" i="1"/>
  <c r="V193" i="1" s="1"/>
  <c r="R193" i="1"/>
  <c r="R136" i="1"/>
  <c r="U136" i="1"/>
  <c r="V136" i="1" s="1"/>
  <c r="R214" i="1"/>
  <c r="U214" i="1"/>
  <c r="V214" i="1" s="1"/>
  <c r="U145" i="1"/>
  <c r="V145" i="1" s="1"/>
  <c r="R145" i="1"/>
  <c r="R166" i="1"/>
  <c r="U166" i="1"/>
  <c r="V166" i="1" s="1"/>
  <c r="R32" i="1"/>
  <c r="U32" i="1"/>
  <c r="V32" i="1" s="1"/>
  <c r="R13" i="1"/>
  <c r="U13" i="1"/>
  <c r="V13" i="1" s="1"/>
  <c r="U137" i="1"/>
  <c r="V137" i="1" s="1"/>
  <c r="R137" i="1"/>
  <c r="R122" i="1"/>
  <c r="U122" i="1"/>
  <c r="U42" i="1"/>
  <c r="R42" i="1"/>
  <c r="R402" i="1"/>
  <c r="U402" i="1"/>
  <c r="V402" i="1" s="1"/>
  <c r="U74" i="1"/>
  <c r="V74" i="1" s="1"/>
  <c r="R74" i="1"/>
  <c r="R78" i="1"/>
  <c r="U78" i="1"/>
  <c r="V78" i="1" s="1"/>
  <c r="R16" i="1"/>
  <c r="U16" i="1"/>
  <c r="V16" i="1" s="1"/>
  <c r="R11" i="1"/>
  <c r="U11" i="1"/>
  <c r="V11" i="1" s="1"/>
  <c r="R31" i="1"/>
  <c r="U31" i="1"/>
  <c r="V31" i="1" s="1"/>
  <c r="R48" i="1"/>
  <c r="U48" i="1"/>
  <c r="V48" i="1" s="1"/>
  <c r="R82" i="1"/>
  <c r="U82" i="1"/>
  <c r="V82" i="1" s="1"/>
  <c r="R37" i="1"/>
  <c r="U37" i="1"/>
  <c r="V37" i="1" s="1"/>
  <c r="R24" i="1"/>
  <c r="U24" i="1"/>
  <c r="V24" i="1" s="1"/>
  <c r="R142" i="1"/>
  <c r="U142" i="1"/>
  <c r="V142" i="1" s="1"/>
  <c r="U439" i="1"/>
  <c r="V439" i="1" s="1"/>
  <c r="R439" i="1"/>
  <c r="U391" i="1"/>
  <c r="V391" i="1" s="1"/>
  <c r="R391" i="1"/>
  <c r="R406" i="1"/>
  <c r="U406" i="1"/>
  <c r="R17" i="1"/>
  <c r="U17" i="1"/>
  <c r="V17" i="1" s="1"/>
  <c r="R133" i="1"/>
  <c r="U133" i="1"/>
  <c r="V133" i="1" s="1"/>
  <c r="R131" i="1"/>
  <c r="U131" i="1"/>
  <c r="V131" i="1" s="1"/>
  <c r="R106" i="1"/>
  <c r="U106" i="1"/>
  <c r="V106" i="1" s="1"/>
  <c r="R43" i="1"/>
  <c r="U43" i="1"/>
  <c r="V43" i="1" s="1"/>
  <c r="R162" i="1"/>
  <c r="U162" i="1"/>
  <c r="V162" i="1" s="1"/>
  <c r="R57" i="1"/>
  <c r="U57" i="1"/>
  <c r="V57" i="1" s="1"/>
  <c r="R39" i="1"/>
  <c r="U39" i="1"/>
  <c r="V39" i="1" s="1"/>
  <c r="U183" i="1"/>
  <c r="V183" i="1" s="1"/>
  <c r="R183" i="1"/>
  <c r="R33" i="1"/>
  <c r="U33" i="1"/>
  <c r="V33" i="1" s="1"/>
  <c r="R154" i="1"/>
  <c r="U154" i="1"/>
  <c r="V154" i="1" s="1"/>
  <c r="R149" i="1"/>
  <c r="U149" i="1"/>
  <c r="V149" i="1" s="1"/>
  <c r="R130" i="1"/>
  <c r="U130" i="1"/>
  <c r="V130" i="1" s="1"/>
  <c r="R231" i="1"/>
  <c r="U231" i="1"/>
  <c r="V231" i="1" s="1"/>
  <c r="R492" i="1"/>
  <c r="U492" i="1"/>
  <c r="V492" i="1" s="1"/>
  <c r="R447" i="1"/>
  <c r="U447" i="1"/>
  <c r="V447" i="1" s="1"/>
  <c r="R202" i="1"/>
  <c r="U202" i="1"/>
  <c r="V202" i="1" s="1"/>
  <c r="U233" i="1"/>
  <c r="V233" i="1" s="1"/>
  <c r="R233" i="1"/>
  <c r="R129" i="1"/>
  <c r="U129" i="1"/>
  <c r="V129" i="1" s="1"/>
  <c r="U245" i="1"/>
  <c r="V245" i="1" s="1"/>
  <c r="R245" i="1"/>
  <c r="R155" i="1"/>
  <c r="U155" i="1"/>
  <c r="V155" i="1" s="1"/>
  <c r="R378" i="1"/>
  <c r="U378" i="1"/>
  <c r="V378" i="1" s="1"/>
  <c r="R141" i="1"/>
  <c r="U141" i="1"/>
  <c r="V141" i="1" s="1"/>
  <c r="R54" i="1"/>
  <c r="U54" i="1"/>
  <c r="R12" i="1"/>
  <c r="U12" i="1"/>
  <c r="U324" i="1"/>
  <c r="V324" i="1" s="1"/>
  <c r="R324" i="1"/>
  <c r="R220" i="1"/>
  <c r="U220" i="1"/>
  <c r="V220" i="1" s="1"/>
  <c r="R35" i="1"/>
  <c r="U35" i="1"/>
  <c r="V35" i="1" s="1"/>
  <c r="R240" i="1"/>
  <c r="U240" i="1"/>
  <c r="V240" i="1" s="1"/>
  <c r="R156" i="1"/>
  <c r="U156" i="1"/>
  <c r="V156" i="1" s="1"/>
  <c r="R30" i="1"/>
  <c r="U30" i="1"/>
  <c r="V30" i="1" s="1"/>
  <c r="R45" i="1"/>
  <c r="U45" i="1"/>
  <c r="V45" i="1" s="1"/>
  <c r="R61" i="1"/>
  <c r="U61" i="1"/>
  <c r="V61" i="1" s="1"/>
  <c r="R121" i="1"/>
  <c r="U121" i="1"/>
  <c r="V121" i="1" s="1"/>
  <c r="U4" i="1"/>
  <c r="V4" i="1" s="1"/>
  <c r="R4" i="1"/>
  <c r="R190" i="1"/>
  <c r="U190" i="1"/>
  <c r="V190" i="1" s="1"/>
  <c r="R387" i="1"/>
  <c r="U387" i="1"/>
  <c r="V387" i="1" s="1"/>
  <c r="U346" i="1"/>
  <c r="R346" i="1"/>
  <c r="R243" i="1"/>
  <c r="U243" i="1"/>
  <c r="V243" i="1" s="1"/>
  <c r="R60" i="1"/>
  <c r="U60" i="1"/>
  <c r="V60" i="1" s="1"/>
  <c r="R56" i="1"/>
  <c r="U56" i="1"/>
  <c r="V56" i="1" s="1"/>
  <c r="R107" i="1"/>
  <c r="U107" i="1"/>
  <c r="V107" i="1" s="1"/>
  <c r="R52" i="1"/>
  <c r="U52" i="1"/>
  <c r="V52" i="1" s="1"/>
  <c r="R144" i="1"/>
  <c r="U144" i="1"/>
  <c r="V144" i="1" s="1"/>
  <c r="R79" i="1"/>
  <c r="U79" i="1"/>
  <c r="V79" i="1" s="1"/>
  <c r="R87" i="1"/>
  <c r="U87" i="1"/>
  <c r="V87" i="1" s="1"/>
  <c r="R14" i="1"/>
  <c r="U14" i="1"/>
  <c r="V14" i="1" s="1"/>
  <c r="R228" i="1"/>
  <c r="U228" i="1"/>
  <c r="V228" i="1" s="1"/>
  <c r="R71" i="1"/>
  <c r="U71" i="1"/>
  <c r="V71" i="1" s="1"/>
  <c r="R116" i="1"/>
  <c r="U116" i="1"/>
  <c r="V116" i="1" s="1"/>
  <c r="R9" i="1"/>
  <c r="U9" i="1"/>
  <c r="V9" i="1" s="1"/>
  <c r="R380" i="1"/>
  <c r="U380" i="1"/>
  <c r="V380" i="1" s="1"/>
  <c r="U314" i="1"/>
  <c r="V314" i="1" s="1"/>
  <c r="R314" i="1"/>
  <c r="R446" i="1"/>
  <c r="U446" i="1"/>
  <c r="V446" i="1" s="1"/>
  <c r="U330" i="1"/>
  <c r="V330" i="1" s="1"/>
  <c r="R330" i="1"/>
  <c r="R192" i="1"/>
  <c r="U192" i="1"/>
  <c r="V192" i="1" s="1"/>
  <c r="R109" i="1"/>
  <c r="U109" i="1"/>
  <c r="V109" i="1" s="1"/>
  <c r="R218" i="1"/>
  <c r="U218" i="1"/>
  <c r="V218" i="1" s="1"/>
  <c r="R88" i="1"/>
  <c r="U88" i="1"/>
  <c r="V88" i="1" s="1"/>
  <c r="C2" i="8"/>
  <c r="G18" i="13"/>
  <c r="H18" i="13"/>
  <c r="P17" i="13"/>
  <c r="S17" i="13" s="1"/>
  <c r="O17" i="13"/>
  <c r="R17" i="13" s="1"/>
  <c r="D4" i="13"/>
  <c r="D16" i="13"/>
  <c r="D17" i="13"/>
  <c r="G23" i="9"/>
  <c r="Q2" i="1"/>
  <c r="U2" i="1" s="1"/>
  <c r="D6" i="13"/>
  <c r="D7" i="13"/>
  <c r="D10" i="13"/>
  <c r="K2" i="3"/>
  <c r="L2" i="3" s="1"/>
  <c r="D13" i="13"/>
  <c r="H23" i="9"/>
  <c r="D2" i="13"/>
  <c r="D5" i="13"/>
  <c r="D14" i="13"/>
  <c r="D8" i="13"/>
  <c r="F23" i="9"/>
  <c r="D3" i="13"/>
  <c r="T24" i="9"/>
  <c r="H24" i="9" s="1"/>
  <c r="R24" i="9"/>
  <c r="I24" i="9" s="1"/>
  <c r="S24" i="9"/>
  <c r="G24" i="9" s="1"/>
  <c r="D15" i="13"/>
  <c r="D11" i="13"/>
  <c r="U2" i="2"/>
  <c r="V2" i="2" s="1"/>
  <c r="D9" i="13"/>
  <c r="D12" i="13"/>
  <c r="P25" i="9"/>
  <c r="Q25" i="9" s="1"/>
  <c r="L25" i="9"/>
  <c r="E19" i="13"/>
  <c r="K19" i="13"/>
  <c r="C19" i="13"/>
  <c r="L19" i="13"/>
  <c r="M18" i="13"/>
  <c r="N18" i="13" s="1"/>
  <c r="F18" i="13"/>
  <c r="A21" i="13"/>
  <c r="B21" i="13" s="1"/>
  <c r="D18" i="13"/>
  <c r="U16" i="13"/>
  <c r="A18" i="17"/>
  <c r="G17" i="17"/>
  <c r="J17" i="17"/>
  <c r="F17" i="17"/>
  <c r="E17" i="17"/>
  <c r="B18" i="17"/>
  <c r="D17" i="17"/>
  <c r="H17" i="17"/>
  <c r="I17" i="17"/>
  <c r="Q18" i="13"/>
  <c r="K12" i="3" l="1"/>
  <c r="L12" i="3" s="1"/>
  <c r="K80" i="3"/>
  <c r="L80" i="3" s="1"/>
  <c r="K135" i="3"/>
  <c r="L135" i="3" s="1"/>
  <c r="K100" i="3"/>
  <c r="L100" i="3" s="1"/>
  <c r="K114" i="3"/>
  <c r="L114" i="3" s="1"/>
  <c r="K173" i="3"/>
  <c r="L173" i="3" s="1"/>
  <c r="K256" i="3"/>
  <c r="L256" i="3" s="1"/>
  <c r="K104" i="3"/>
  <c r="L104" i="3" s="1"/>
  <c r="K137" i="3"/>
  <c r="L137" i="3" s="1"/>
  <c r="K9" i="3"/>
  <c r="L9" i="3" s="1"/>
  <c r="M10" i="3" s="1"/>
  <c r="N10" i="3" s="1"/>
  <c r="K17" i="3"/>
  <c r="L17" i="3" s="1"/>
  <c r="K33" i="3"/>
  <c r="L33" i="3" s="1"/>
  <c r="K89" i="3"/>
  <c r="L89" i="3" s="1"/>
  <c r="K14" i="3"/>
  <c r="L14" i="3" s="1"/>
  <c r="M14" i="3" s="1"/>
  <c r="N14" i="3" s="1"/>
  <c r="K74" i="3"/>
  <c r="L74" i="3" s="1"/>
  <c r="K29" i="3"/>
  <c r="L29" i="3" s="1"/>
  <c r="H80" i="8"/>
  <c r="H81" i="8"/>
  <c r="H82" i="8"/>
  <c r="H83" i="8"/>
  <c r="H84" i="8"/>
  <c r="H86" i="8"/>
  <c r="H85" i="8"/>
  <c r="H144" i="8"/>
  <c r="H102" i="8"/>
  <c r="H108" i="8"/>
  <c r="H70" i="8"/>
  <c r="H131" i="8"/>
  <c r="H66" i="8"/>
  <c r="H136" i="8"/>
  <c r="H7" i="8"/>
  <c r="H19" i="8"/>
  <c r="H23" i="8"/>
  <c r="H16" i="8"/>
  <c r="H60" i="8"/>
  <c r="H56" i="8"/>
  <c r="H107" i="8"/>
  <c r="H153" i="8"/>
  <c r="H40" i="8"/>
  <c r="H13" i="8"/>
  <c r="H38" i="8"/>
  <c r="H90" i="8"/>
  <c r="H25" i="8"/>
  <c r="H14" i="8"/>
  <c r="H48" i="8"/>
  <c r="H17" i="8"/>
  <c r="H67" i="8"/>
  <c r="H133" i="8"/>
  <c r="H119" i="8"/>
  <c r="H74" i="8"/>
  <c r="H45" i="8"/>
  <c r="H120" i="8"/>
  <c r="H96" i="8"/>
  <c r="H78" i="8"/>
  <c r="H37" i="8"/>
  <c r="H128" i="8"/>
  <c r="H115" i="8"/>
  <c r="H29" i="8"/>
  <c r="H154" i="8"/>
  <c r="H140" i="8"/>
  <c r="H143" i="8"/>
  <c r="H112" i="8"/>
  <c r="H152" i="8"/>
  <c r="H42" i="8"/>
  <c r="H12" i="8"/>
  <c r="H11" i="8"/>
  <c r="H114" i="8"/>
  <c r="H39" i="8"/>
  <c r="H110" i="8"/>
  <c r="H30" i="8"/>
  <c r="H92" i="8"/>
  <c r="H142" i="8"/>
  <c r="H79" i="8"/>
  <c r="H109" i="8"/>
  <c r="H36" i="8"/>
  <c r="H9" i="8"/>
  <c r="H65" i="8"/>
  <c r="H93" i="8"/>
  <c r="H24" i="8"/>
  <c r="H27" i="8"/>
  <c r="H43" i="8"/>
  <c r="H103" i="8"/>
  <c r="H123" i="8"/>
  <c r="H138" i="8"/>
  <c r="H8" i="8"/>
  <c r="H145" i="8"/>
  <c r="H148" i="8"/>
  <c r="H111" i="8"/>
  <c r="H88" i="8"/>
  <c r="H139" i="8"/>
  <c r="H26" i="8"/>
  <c r="H94" i="8"/>
  <c r="H76" i="8"/>
  <c r="H117" i="8"/>
  <c r="H73" i="8"/>
  <c r="H4" i="8"/>
  <c r="H69" i="8"/>
  <c r="H77" i="8"/>
  <c r="H5" i="8"/>
  <c r="H106" i="8"/>
  <c r="H87" i="8"/>
  <c r="H32" i="8"/>
  <c r="H44" i="8"/>
  <c r="H71" i="8"/>
  <c r="H147" i="8"/>
  <c r="H34" i="8"/>
  <c r="H132" i="8"/>
  <c r="H22" i="8"/>
  <c r="H64" i="8"/>
  <c r="H46" i="8"/>
  <c r="H58" i="8"/>
  <c r="H52" i="8"/>
  <c r="H6" i="8"/>
  <c r="H129" i="8"/>
  <c r="H122" i="8"/>
  <c r="H134" i="8"/>
  <c r="H33" i="8"/>
  <c r="H41" i="8"/>
  <c r="H49" i="8"/>
  <c r="H68" i="8"/>
  <c r="H15" i="8"/>
  <c r="H116" i="8"/>
  <c r="H31" i="8"/>
  <c r="H3" i="8"/>
  <c r="H105" i="8"/>
  <c r="H98" i="8"/>
  <c r="H63" i="8"/>
  <c r="H101" i="8"/>
  <c r="H121" i="8"/>
  <c r="H21" i="8"/>
  <c r="H141" i="8"/>
  <c r="H62" i="8"/>
  <c r="H50" i="8"/>
  <c r="H47" i="8"/>
  <c r="H57" i="8"/>
  <c r="H130" i="8"/>
  <c r="H72" i="8"/>
  <c r="H20" i="8"/>
  <c r="H18" i="8"/>
  <c r="H54" i="8"/>
  <c r="H95" i="8"/>
  <c r="H124" i="8"/>
  <c r="H137" i="8"/>
  <c r="H28" i="8"/>
  <c r="H10" i="8"/>
  <c r="H125" i="8"/>
  <c r="H104" i="8"/>
  <c r="H53" i="8"/>
  <c r="H146" i="8"/>
  <c r="H126" i="8"/>
  <c r="H99" i="8"/>
  <c r="H61" i="8"/>
  <c r="H118" i="8"/>
  <c r="H149" i="8"/>
  <c r="H51" i="8"/>
  <c r="H91" i="8"/>
  <c r="H155" i="8"/>
  <c r="H59" i="8"/>
  <c r="H35" i="8"/>
  <c r="H127" i="8"/>
  <c r="H150" i="8"/>
  <c r="H100" i="8"/>
  <c r="H151" i="8"/>
  <c r="H75" i="8"/>
  <c r="H89" i="8"/>
  <c r="H55" i="8"/>
  <c r="H135" i="8"/>
  <c r="H113" i="8"/>
  <c r="H97" i="8"/>
  <c r="M21" i="8"/>
  <c r="M6" i="3"/>
  <c r="N6" i="3" s="1"/>
  <c r="M4" i="3"/>
  <c r="N4" i="3" s="1"/>
  <c r="M8" i="3"/>
  <c r="N8" i="3" s="1"/>
  <c r="M3" i="3"/>
  <c r="N3" i="3" s="1"/>
  <c r="M7" i="3"/>
  <c r="N7" i="3" s="1"/>
  <c r="M5" i="3"/>
  <c r="N5" i="3" s="1"/>
  <c r="Y7" i="2"/>
  <c r="Z7" i="2" s="1"/>
  <c r="Y9" i="2"/>
  <c r="Z9" i="2" s="1"/>
  <c r="Y10" i="2"/>
  <c r="Z10" i="2" s="1"/>
  <c r="Y11" i="2"/>
  <c r="Z11" i="2" s="1"/>
  <c r="Y12" i="2"/>
  <c r="Z12" i="2" s="1"/>
  <c r="Y13" i="2"/>
  <c r="Z13" i="2" s="1"/>
  <c r="Y14" i="2"/>
  <c r="Z14" i="2" s="1"/>
  <c r="Y15" i="2"/>
  <c r="Z15" i="2" s="1"/>
  <c r="Y16" i="2"/>
  <c r="Z16" i="2" s="1"/>
  <c r="Y17" i="2"/>
  <c r="Z17" i="2" s="1"/>
  <c r="Y18" i="2"/>
  <c r="Z18" i="2" s="1"/>
  <c r="Y19" i="2"/>
  <c r="Z19" i="2" s="1"/>
  <c r="Y20" i="2"/>
  <c r="Z20" i="2" s="1"/>
  <c r="Y21" i="2"/>
  <c r="Z21" i="2" s="1"/>
  <c r="Y22" i="2"/>
  <c r="Z22" i="2" s="1"/>
  <c r="Y23" i="2"/>
  <c r="Z23" i="2" s="1"/>
  <c r="Y24" i="2"/>
  <c r="Z24" i="2" s="1"/>
  <c r="Y25" i="2"/>
  <c r="Z25" i="2" s="1"/>
  <c r="Y26" i="2"/>
  <c r="Z26" i="2" s="1"/>
  <c r="Y27" i="2"/>
  <c r="Z27" i="2" s="1"/>
  <c r="Y28" i="2"/>
  <c r="Z28" i="2" s="1"/>
  <c r="Y29" i="2"/>
  <c r="Z29" i="2" s="1"/>
  <c r="Y30" i="2"/>
  <c r="Z30" i="2" s="1"/>
  <c r="Y31" i="2"/>
  <c r="Z31" i="2" s="1"/>
  <c r="Y32" i="2"/>
  <c r="Z32" i="2" s="1"/>
  <c r="Y33" i="2"/>
  <c r="Z33" i="2" s="1"/>
  <c r="Y34" i="2"/>
  <c r="Z34" i="2" s="1"/>
  <c r="Y35" i="2"/>
  <c r="Z35" i="2" s="1"/>
  <c r="Y36" i="2"/>
  <c r="Z36" i="2" s="1"/>
  <c r="Y37" i="2"/>
  <c r="Z37" i="2" s="1"/>
  <c r="Y38" i="2"/>
  <c r="Z38" i="2" s="1"/>
  <c r="Y39" i="2"/>
  <c r="Z39" i="2" s="1"/>
  <c r="Y40" i="2"/>
  <c r="Z40" i="2" s="1"/>
  <c r="Y41" i="2"/>
  <c r="Z41" i="2" s="1"/>
  <c r="Y42" i="2"/>
  <c r="Z42" i="2" s="1"/>
  <c r="Y43" i="2"/>
  <c r="Z43" i="2" s="1"/>
  <c r="Y81" i="2"/>
  <c r="Z81" i="2" s="1"/>
  <c r="Y77" i="2"/>
  <c r="Z77" i="2" s="1"/>
  <c r="Y83" i="2"/>
  <c r="Z83" i="2" s="1"/>
  <c r="Y88" i="2"/>
  <c r="Z88" i="2" s="1"/>
  <c r="Y92" i="2"/>
  <c r="Z92" i="2" s="1"/>
  <c r="Y96" i="2"/>
  <c r="Z96" i="2" s="1"/>
  <c r="Y100" i="2"/>
  <c r="Z100" i="2" s="1"/>
  <c r="Y104" i="2"/>
  <c r="Z104" i="2" s="1"/>
  <c r="Y108" i="2"/>
  <c r="Z108" i="2" s="1"/>
  <c r="Y112" i="2"/>
  <c r="Z112" i="2" s="1"/>
  <c r="Y116" i="2"/>
  <c r="Z116" i="2" s="1"/>
  <c r="Y120" i="2"/>
  <c r="Z120" i="2" s="1"/>
  <c r="Y124" i="2"/>
  <c r="Z124" i="2" s="1"/>
  <c r="Y128" i="2"/>
  <c r="Z128" i="2" s="1"/>
  <c r="Y73" i="2"/>
  <c r="Z73" i="2" s="1"/>
  <c r="Y75" i="2"/>
  <c r="Z75" i="2" s="1"/>
  <c r="Y90" i="2"/>
  <c r="Z90" i="2" s="1"/>
  <c r="Y94" i="2"/>
  <c r="Z94" i="2" s="1"/>
  <c r="Y98" i="2"/>
  <c r="Z98" i="2" s="1"/>
  <c r="Y102" i="2"/>
  <c r="Z102" i="2" s="1"/>
  <c r="Y106" i="2"/>
  <c r="Z106" i="2" s="1"/>
  <c r="Y110" i="2"/>
  <c r="Z110" i="2" s="1"/>
  <c r="Y114" i="2"/>
  <c r="Z114" i="2" s="1"/>
  <c r="Y118" i="2"/>
  <c r="Z118" i="2" s="1"/>
  <c r="Y122" i="2"/>
  <c r="Z122" i="2" s="1"/>
  <c r="Y126" i="2"/>
  <c r="Z126" i="2" s="1"/>
  <c r="Y130" i="2"/>
  <c r="Z130" i="2" s="1"/>
  <c r="Y138" i="2"/>
  <c r="Z138" i="2" s="1"/>
  <c r="Y144" i="2"/>
  <c r="Z144" i="2" s="1"/>
  <c r="Y160" i="2"/>
  <c r="Z160" i="2" s="1"/>
  <c r="Y165" i="2"/>
  <c r="Z165" i="2" s="1"/>
  <c r="Y85" i="2"/>
  <c r="Z85" i="2" s="1"/>
  <c r="Y132" i="2"/>
  <c r="Z132" i="2" s="1"/>
  <c r="Y140" i="2"/>
  <c r="Z140" i="2" s="1"/>
  <c r="Y156" i="2"/>
  <c r="Z156" i="2" s="1"/>
  <c r="Y134" i="2"/>
  <c r="Z134" i="2" s="1"/>
  <c r="Y152" i="2"/>
  <c r="Z152" i="2" s="1"/>
  <c r="Y136" i="2"/>
  <c r="Z136" i="2" s="1"/>
  <c r="Y148" i="2"/>
  <c r="Z148" i="2" s="1"/>
  <c r="Y285" i="2"/>
  <c r="Z285" i="2" s="1"/>
  <c r="Y143" i="2"/>
  <c r="Z143" i="2" s="1"/>
  <c r="Y159" i="2"/>
  <c r="Z159" i="2" s="1"/>
  <c r="Y172" i="2"/>
  <c r="Z172" i="2" s="1"/>
  <c r="Y188" i="2"/>
  <c r="Z188" i="2" s="1"/>
  <c r="Y204" i="2"/>
  <c r="Z204" i="2" s="1"/>
  <c r="Y220" i="2"/>
  <c r="Z220" i="2" s="1"/>
  <c r="Y226" i="2"/>
  <c r="Z226" i="2" s="1"/>
  <c r="Y234" i="2"/>
  <c r="Z234" i="2" s="1"/>
  <c r="Y242" i="2"/>
  <c r="Z242" i="2" s="1"/>
  <c r="Y250" i="2"/>
  <c r="Z250" i="2" s="1"/>
  <c r="Y258" i="2"/>
  <c r="Z258" i="2" s="1"/>
  <c r="Y273" i="2"/>
  <c r="Z273" i="2" s="1"/>
  <c r="Y274" i="2"/>
  <c r="Z274" i="2" s="1"/>
  <c r="Y154" i="2"/>
  <c r="Z154" i="2" s="1"/>
  <c r="Y180" i="2"/>
  <c r="Z180" i="2" s="1"/>
  <c r="Y196" i="2"/>
  <c r="Z196" i="2" s="1"/>
  <c r="Y212" i="2"/>
  <c r="Z212" i="2" s="1"/>
  <c r="Y254" i="2"/>
  <c r="Z254" i="2" s="1"/>
  <c r="Y265" i="2"/>
  <c r="Z265" i="2" s="1"/>
  <c r="Y266" i="2"/>
  <c r="Z266" i="2" s="1"/>
  <c r="Y478" i="2"/>
  <c r="Z478" i="2" s="1"/>
  <c r="Y230" i="2"/>
  <c r="Z230" i="2" s="1"/>
  <c r="Y284" i="2"/>
  <c r="Z284" i="2" s="1"/>
  <c r="Y289" i="2"/>
  <c r="Z289" i="2" s="1"/>
  <c r="Y305" i="2"/>
  <c r="Z305" i="2" s="1"/>
  <c r="Y321" i="2"/>
  <c r="Z321" i="2" s="1"/>
  <c r="Y337" i="2"/>
  <c r="Z337" i="2" s="1"/>
  <c r="Y353" i="2"/>
  <c r="Z353" i="2" s="1"/>
  <c r="Y369" i="2"/>
  <c r="Z369" i="2" s="1"/>
  <c r="Y385" i="2"/>
  <c r="Z385" i="2" s="1"/>
  <c r="Y393" i="2"/>
  <c r="Z393" i="2" s="1"/>
  <c r="Y401" i="2"/>
  <c r="Z401" i="2" s="1"/>
  <c r="Y409" i="2"/>
  <c r="Z409" i="2" s="1"/>
  <c r="Y417" i="2"/>
  <c r="Z417" i="2" s="1"/>
  <c r="Y425" i="2"/>
  <c r="Z425" i="2" s="1"/>
  <c r="Y433" i="2"/>
  <c r="Z433" i="2" s="1"/>
  <c r="Y438" i="2"/>
  <c r="Z438" i="2" s="1"/>
  <c r="Y439" i="2"/>
  <c r="Z439" i="2" s="1"/>
  <c r="Y454" i="2"/>
  <c r="Z454" i="2" s="1"/>
  <c r="Y455" i="2"/>
  <c r="Z455" i="2" s="1"/>
  <c r="Y470" i="2"/>
  <c r="Z470" i="2" s="1"/>
  <c r="Y471" i="2"/>
  <c r="Z471" i="2" s="1"/>
  <c r="Y486" i="2"/>
  <c r="Z486" i="2" s="1"/>
  <c r="Y487" i="2"/>
  <c r="Z487" i="2" s="1"/>
  <c r="Y502" i="2"/>
  <c r="Z502" i="2" s="1"/>
  <c r="Y503" i="2"/>
  <c r="Z503" i="2" s="1"/>
  <c r="Y238" i="2"/>
  <c r="Z238" i="2" s="1"/>
  <c r="Y281" i="2"/>
  <c r="Z281" i="2" s="1"/>
  <c r="Y282" i="2"/>
  <c r="Z282" i="2" s="1"/>
  <c r="Y246" i="2"/>
  <c r="Z246" i="2" s="1"/>
  <c r="Y268" i="2"/>
  <c r="Z268" i="2" s="1"/>
  <c r="Y297" i="2"/>
  <c r="Z297" i="2" s="1"/>
  <c r="Y313" i="2"/>
  <c r="Z313" i="2" s="1"/>
  <c r="Y329" i="2"/>
  <c r="Z329" i="2" s="1"/>
  <c r="Y345" i="2"/>
  <c r="Z345" i="2" s="1"/>
  <c r="Y361" i="2"/>
  <c r="Z361" i="2" s="1"/>
  <c r="Y377" i="2"/>
  <c r="Z377" i="2" s="1"/>
  <c r="Y389" i="2"/>
  <c r="Z389" i="2" s="1"/>
  <c r="Y397" i="2"/>
  <c r="Z397" i="2" s="1"/>
  <c r="Y405" i="2"/>
  <c r="Z405" i="2" s="1"/>
  <c r="Y413" i="2"/>
  <c r="Z413" i="2" s="1"/>
  <c r="Y421" i="2"/>
  <c r="Z421" i="2" s="1"/>
  <c r="Y429" i="2"/>
  <c r="Z429" i="2" s="1"/>
  <c r="Y446" i="2"/>
  <c r="Z446" i="2" s="1"/>
  <c r="Y447" i="2"/>
  <c r="Z447" i="2" s="1"/>
  <c r="Y462" i="2"/>
  <c r="Z462" i="2" s="1"/>
  <c r="Y463" i="2"/>
  <c r="Z463" i="2" s="1"/>
  <c r="Y479" i="2"/>
  <c r="Z479" i="2" s="1"/>
  <c r="Y494" i="2"/>
  <c r="Z494" i="2" s="1"/>
  <c r="Y495" i="2"/>
  <c r="Z495" i="2" s="1"/>
  <c r="Y453" i="2"/>
  <c r="Z453" i="2" s="1"/>
  <c r="Y473" i="2"/>
  <c r="Z473" i="2" s="1"/>
  <c r="Y441" i="2"/>
  <c r="Z441" i="2" s="1"/>
  <c r="Y485" i="2"/>
  <c r="Z485" i="2" s="1"/>
  <c r="Y497" i="2"/>
  <c r="Z497" i="2" s="1"/>
  <c r="Y465" i="2"/>
  <c r="Z465" i="2" s="1"/>
  <c r="Y489" i="2"/>
  <c r="Z489" i="2" s="1"/>
  <c r="Y460" i="2"/>
  <c r="Z460" i="2" s="1"/>
  <c r="Y408" i="2"/>
  <c r="Z408" i="2" s="1"/>
  <c r="Y347" i="2"/>
  <c r="Z347" i="2" s="1"/>
  <c r="Y336" i="2"/>
  <c r="Z336" i="2" s="1"/>
  <c r="Y280" i="2"/>
  <c r="Z280" i="2" s="1"/>
  <c r="Y261" i="2"/>
  <c r="Z261" i="2" s="1"/>
  <c r="Y248" i="2"/>
  <c r="Z248" i="2" s="1"/>
  <c r="Y491" i="2"/>
  <c r="Z491" i="2" s="1"/>
  <c r="Y472" i="2"/>
  <c r="Z472" i="2" s="1"/>
  <c r="Y456" i="2"/>
  <c r="Z456" i="2" s="1"/>
  <c r="Y380" i="2"/>
  <c r="Z380" i="2" s="1"/>
  <c r="Y348" i="2"/>
  <c r="Z348" i="2" s="1"/>
  <c r="Y316" i="2"/>
  <c r="Z316" i="2" s="1"/>
  <c r="Y420" i="2"/>
  <c r="Z420" i="2" s="1"/>
  <c r="Y388" i="2"/>
  <c r="Z388" i="2" s="1"/>
  <c r="Y376" i="2"/>
  <c r="Z376" i="2" s="1"/>
  <c r="Y323" i="2"/>
  <c r="Z323" i="2" s="1"/>
  <c r="Y312" i="2"/>
  <c r="Z312" i="2" s="1"/>
  <c r="Y263" i="2"/>
  <c r="Z263" i="2" s="1"/>
  <c r="Y232" i="2"/>
  <c r="Z232" i="2" s="1"/>
  <c r="Y513" i="2"/>
  <c r="Z513" i="2" s="1"/>
  <c r="Y483" i="2"/>
  <c r="Z483" i="2" s="1"/>
  <c r="Y451" i="2"/>
  <c r="Z451" i="2" s="1"/>
  <c r="Y430" i="2"/>
  <c r="Z430" i="2" s="1"/>
  <c r="Y422" i="2"/>
  <c r="Z422" i="2" s="1"/>
  <c r="Y414" i="2"/>
  <c r="Z414" i="2" s="1"/>
  <c r="Y406" i="2"/>
  <c r="Z406" i="2" s="1"/>
  <c r="Y398" i="2"/>
  <c r="Z398" i="2" s="1"/>
  <c r="Y390" i="2"/>
  <c r="Z390" i="2" s="1"/>
  <c r="Y372" i="2"/>
  <c r="Z372" i="2" s="1"/>
  <c r="Y340" i="2"/>
  <c r="Z340" i="2" s="1"/>
  <c r="Y308" i="2"/>
  <c r="Z308" i="2" s="1"/>
  <c r="Y256" i="2"/>
  <c r="Z256" i="2" s="1"/>
  <c r="Y224" i="2"/>
  <c r="Z224" i="2" s="1"/>
  <c r="Y198" i="2"/>
  <c r="Z198" i="2" s="1"/>
  <c r="Y187" i="2"/>
  <c r="Z187" i="2" s="1"/>
  <c r="Y235" i="2"/>
  <c r="Z235" i="2" s="1"/>
  <c r="Y210" i="2"/>
  <c r="Z210" i="2" s="1"/>
  <c r="Y192" i="2"/>
  <c r="Z192" i="2" s="1"/>
  <c r="Y178" i="2"/>
  <c r="Z178" i="2" s="1"/>
  <c r="Y237" i="2"/>
  <c r="Z237" i="2" s="1"/>
  <c r="Y174" i="2"/>
  <c r="Z174" i="2" s="1"/>
  <c r="Y155" i="2"/>
  <c r="Z155" i="2" s="1"/>
  <c r="Y80" i="2"/>
  <c r="Z80" i="2" s="1"/>
  <c r="Y370" i="2"/>
  <c r="Z370" i="2" s="1"/>
  <c r="Y354" i="2"/>
  <c r="Z354" i="2" s="1"/>
  <c r="Y338" i="2"/>
  <c r="Z338" i="2" s="1"/>
  <c r="Y322" i="2"/>
  <c r="Z322" i="2" s="1"/>
  <c r="Y306" i="2"/>
  <c r="Z306" i="2" s="1"/>
  <c r="Y290" i="2"/>
  <c r="Z290" i="2" s="1"/>
  <c r="Y216" i="2"/>
  <c r="Z216" i="2" s="1"/>
  <c r="Y202" i="2"/>
  <c r="Z202" i="2" s="1"/>
  <c r="Y184" i="2"/>
  <c r="Z184" i="2" s="1"/>
  <c r="Y170" i="2"/>
  <c r="Z170" i="2" s="1"/>
  <c r="Y163" i="2"/>
  <c r="Z163" i="2" s="1"/>
  <c r="Y141" i="2"/>
  <c r="Z141" i="2" s="1"/>
  <c r="Y145" i="2"/>
  <c r="Z145" i="2" s="1"/>
  <c r="Y123" i="2"/>
  <c r="Z123" i="2" s="1"/>
  <c r="Y107" i="2"/>
  <c r="Z107" i="2" s="1"/>
  <c r="Y91" i="2"/>
  <c r="Z91" i="2" s="1"/>
  <c r="Y72" i="2"/>
  <c r="Z72" i="2" s="1"/>
  <c r="Y146" i="2"/>
  <c r="Z146" i="2" s="1"/>
  <c r="Y117" i="2"/>
  <c r="Z117" i="2" s="1"/>
  <c r="Y101" i="2"/>
  <c r="Z101" i="2" s="1"/>
  <c r="Y78" i="2"/>
  <c r="Z78" i="2" s="1"/>
  <c r="Y213" i="2"/>
  <c r="Z213" i="2" s="1"/>
  <c r="Y197" i="2"/>
  <c r="Z197" i="2" s="1"/>
  <c r="Y505" i="2"/>
  <c r="Z505" i="2" s="1"/>
  <c r="Y510" i="2"/>
  <c r="Z510" i="2" s="1"/>
  <c r="Y493" i="2"/>
  <c r="Z493" i="2" s="1"/>
  <c r="Y461" i="2"/>
  <c r="Z461" i="2" s="1"/>
  <c r="Y512" i="2"/>
  <c r="Z512" i="2" s="1"/>
  <c r="Y481" i="2"/>
  <c r="Z481" i="2" s="1"/>
  <c r="Y449" i="2"/>
  <c r="Z449" i="2" s="1"/>
  <c r="Y492" i="2"/>
  <c r="Z492" i="2" s="1"/>
  <c r="Y476" i="2"/>
  <c r="Z476" i="2" s="1"/>
  <c r="Y416" i="2"/>
  <c r="Z416" i="2" s="1"/>
  <c r="Y384" i="2"/>
  <c r="Z384" i="2" s="1"/>
  <c r="Y331" i="2"/>
  <c r="Z331" i="2" s="1"/>
  <c r="Y320" i="2"/>
  <c r="Z320" i="2" s="1"/>
  <c r="Y504" i="2"/>
  <c r="Z504" i="2" s="1"/>
  <c r="Y490" i="2"/>
  <c r="Z490" i="2" s="1"/>
  <c r="Y440" i="2"/>
  <c r="Z440" i="2" s="1"/>
  <c r="Y434" i="2"/>
  <c r="Z434" i="2" s="1"/>
  <c r="Y426" i="2"/>
  <c r="Z426" i="2" s="1"/>
  <c r="Y418" i="2"/>
  <c r="Z418" i="2" s="1"/>
  <c r="Y410" i="2"/>
  <c r="Z410" i="2" s="1"/>
  <c r="Y402" i="2"/>
  <c r="Z402" i="2" s="1"/>
  <c r="Y394" i="2"/>
  <c r="Z394" i="2" s="1"/>
  <c r="Y386" i="2"/>
  <c r="Z386" i="2" s="1"/>
  <c r="Y375" i="2"/>
  <c r="Z375" i="2" s="1"/>
  <c r="Y357" i="2"/>
  <c r="Z357" i="2" s="1"/>
  <c r="Y343" i="2"/>
  <c r="Z343" i="2" s="1"/>
  <c r="Y325" i="2"/>
  <c r="Z325" i="2" s="1"/>
  <c r="Y311" i="2"/>
  <c r="Z311" i="2" s="1"/>
  <c r="Y293" i="2"/>
  <c r="Z293" i="2" s="1"/>
  <c r="Y276" i="2"/>
  <c r="Z276" i="2" s="1"/>
  <c r="Y262" i="2"/>
  <c r="Z262" i="2" s="1"/>
  <c r="Y240" i="2"/>
  <c r="Z240" i="2" s="1"/>
  <c r="Y428" i="2"/>
  <c r="Z428" i="2" s="1"/>
  <c r="Y396" i="2"/>
  <c r="Z396" i="2" s="1"/>
  <c r="Y371" i="2"/>
  <c r="Z371" i="2" s="1"/>
  <c r="Y360" i="2"/>
  <c r="Z360" i="2" s="1"/>
  <c r="Y307" i="2"/>
  <c r="Z307" i="2" s="1"/>
  <c r="Y296" i="2"/>
  <c r="Z296" i="2" s="1"/>
  <c r="Y277" i="2"/>
  <c r="Z277" i="2" s="1"/>
  <c r="Y444" i="2"/>
  <c r="Z444" i="2" s="1"/>
  <c r="Y509" i="2"/>
  <c r="Z509" i="2" s="1"/>
  <c r="Y496" i="2"/>
  <c r="Z496" i="2" s="1"/>
  <c r="Y482" i="2"/>
  <c r="Z482" i="2" s="1"/>
  <c r="Y464" i="2"/>
  <c r="Z464" i="2" s="1"/>
  <c r="Y450" i="2"/>
  <c r="Z450" i="2" s="1"/>
  <c r="Y381" i="2"/>
  <c r="Z381" i="2" s="1"/>
  <c r="Y367" i="2"/>
  <c r="Z367" i="2" s="1"/>
  <c r="Y349" i="2"/>
  <c r="Z349" i="2" s="1"/>
  <c r="Y335" i="2"/>
  <c r="Z335" i="2" s="1"/>
  <c r="Y317" i="2"/>
  <c r="Z317" i="2" s="1"/>
  <c r="Y303" i="2"/>
  <c r="Z303" i="2" s="1"/>
  <c r="Y260" i="2"/>
  <c r="Z260" i="2" s="1"/>
  <c r="Y182" i="2"/>
  <c r="Z182" i="2" s="1"/>
  <c r="Y171" i="2"/>
  <c r="Z171" i="2" s="1"/>
  <c r="Y158" i="2"/>
  <c r="Z158" i="2" s="1"/>
  <c r="Y3" i="2"/>
  <c r="Z3" i="2" s="1"/>
  <c r="Y243" i="2"/>
  <c r="Z243" i="2" s="1"/>
  <c r="Y199" i="2"/>
  <c r="Z199" i="2" s="1"/>
  <c r="Y167" i="2"/>
  <c r="Z167" i="2" s="1"/>
  <c r="Y133" i="2"/>
  <c r="Z133" i="2" s="1"/>
  <c r="Y245" i="2"/>
  <c r="Z245" i="2" s="1"/>
  <c r="Y222" i="2"/>
  <c r="Z222" i="2" s="1"/>
  <c r="Y211" i="2"/>
  <c r="Z211" i="2" s="1"/>
  <c r="Y151" i="2"/>
  <c r="Z151" i="2" s="1"/>
  <c r="Y382" i="2"/>
  <c r="Z382" i="2" s="1"/>
  <c r="Y366" i="2"/>
  <c r="Z366" i="2" s="1"/>
  <c r="Y350" i="2"/>
  <c r="Z350" i="2" s="1"/>
  <c r="Y334" i="2"/>
  <c r="Z334" i="2" s="1"/>
  <c r="Y318" i="2"/>
  <c r="Z318" i="2" s="1"/>
  <c r="Y302" i="2"/>
  <c r="Z302" i="2" s="1"/>
  <c r="Y286" i="2"/>
  <c r="Z286" i="2" s="1"/>
  <c r="Y267" i="2"/>
  <c r="Z267" i="2" s="1"/>
  <c r="Y255" i="2"/>
  <c r="Z255" i="2" s="1"/>
  <c r="Y247" i="2"/>
  <c r="Z247" i="2" s="1"/>
  <c r="Y239" i="2"/>
  <c r="Z239" i="2" s="1"/>
  <c r="Y231" i="2"/>
  <c r="Z231" i="2" s="1"/>
  <c r="Y223" i="2"/>
  <c r="Z223" i="2" s="1"/>
  <c r="Y191" i="2"/>
  <c r="Z191" i="2" s="1"/>
  <c r="Y469" i="2"/>
  <c r="Z469" i="2" s="1"/>
  <c r="Y437" i="2"/>
  <c r="Z437" i="2" s="1"/>
  <c r="Y474" i="2"/>
  <c r="Z474" i="2" s="1"/>
  <c r="Y442" i="2"/>
  <c r="Z442" i="2" s="1"/>
  <c r="Y457" i="2"/>
  <c r="Z457" i="2" s="1"/>
  <c r="Y477" i="2"/>
  <c r="Z477" i="2" s="1"/>
  <c r="Y445" i="2"/>
  <c r="Z445" i="2" s="1"/>
  <c r="Y424" i="2"/>
  <c r="Z424" i="2" s="1"/>
  <c r="Y392" i="2"/>
  <c r="Z392" i="2" s="1"/>
  <c r="Y379" i="2"/>
  <c r="Z379" i="2" s="1"/>
  <c r="Y368" i="2"/>
  <c r="Z368" i="2" s="1"/>
  <c r="Y315" i="2"/>
  <c r="Z315" i="2" s="1"/>
  <c r="Y304" i="2"/>
  <c r="Z304" i="2" s="1"/>
  <c r="Y279" i="2"/>
  <c r="Z279" i="2" s="1"/>
  <c r="Y257" i="2"/>
  <c r="Z257" i="2" s="1"/>
  <c r="Y225" i="2"/>
  <c r="Z225" i="2" s="1"/>
  <c r="Y475" i="2"/>
  <c r="Z475" i="2" s="1"/>
  <c r="Y364" i="2"/>
  <c r="Z364" i="2" s="1"/>
  <c r="Y332" i="2"/>
  <c r="Z332" i="2" s="1"/>
  <c r="Y300" i="2"/>
  <c r="Z300" i="2" s="1"/>
  <c r="Y500" i="2"/>
  <c r="Z500" i="2" s="1"/>
  <c r="Y484" i="2"/>
  <c r="Z484" i="2" s="1"/>
  <c r="Y468" i="2"/>
  <c r="Z468" i="2" s="1"/>
  <c r="Y452" i="2"/>
  <c r="Z452" i="2" s="1"/>
  <c r="Y436" i="2"/>
  <c r="Z436" i="2" s="1"/>
  <c r="Y404" i="2"/>
  <c r="Z404" i="2" s="1"/>
  <c r="Y355" i="2"/>
  <c r="Z355" i="2" s="1"/>
  <c r="Y344" i="2"/>
  <c r="Z344" i="2" s="1"/>
  <c r="Y291" i="2"/>
  <c r="Z291" i="2" s="1"/>
  <c r="Y264" i="2"/>
  <c r="Z264" i="2" s="1"/>
  <c r="Y241" i="2"/>
  <c r="Z241" i="2" s="1"/>
  <c r="Y499" i="2"/>
  <c r="Z499" i="2" s="1"/>
  <c r="Y467" i="2"/>
  <c r="Z467" i="2" s="1"/>
  <c r="Y435" i="2"/>
  <c r="Z435" i="2" s="1"/>
  <c r="Y427" i="2"/>
  <c r="Z427" i="2" s="1"/>
  <c r="Y419" i="2"/>
  <c r="Z419" i="2" s="1"/>
  <c r="Y411" i="2"/>
  <c r="Z411" i="2" s="1"/>
  <c r="Y403" i="2"/>
  <c r="Z403" i="2" s="1"/>
  <c r="Y395" i="2"/>
  <c r="Z395" i="2" s="1"/>
  <c r="Y387" i="2"/>
  <c r="Z387" i="2" s="1"/>
  <c r="Y356" i="2"/>
  <c r="Z356" i="2" s="1"/>
  <c r="Y324" i="2"/>
  <c r="Z324" i="2" s="1"/>
  <c r="Y292" i="2"/>
  <c r="Z292" i="2" s="1"/>
  <c r="Y278" i="2"/>
  <c r="Z278" i="2" s="1"/>
  <c r="Y233" i="2"/>
  <c r="Z233" i="2" s="1"/>
  <c r="Y219" i="2"/>
  <c r="Z219" i="2" s="1"/>
  <c r="Y166" i="2"/>
  <c r="Z166" i="2" s="1"/>
  <c r="Y251" i="2"/>
  <c r="Z251" i="2" s="1"/>
  <c r="Y208" i="2"/>
  <c r="Z208" i="2" s="1"/>
  <c r="Y194" i="2"/>
  <c r="Z194" i="2" s="1"/>
  <c r="Y176" i="2"/>
  <c r="Z176" i="2" s="1"/>
  <c r="Y164" i="2"/>
  <c r="Z164" i="2" s="1"/>
  <c r="Y271" i="2"/>
  <c r="Z271" i="2" s="1"/>
  <c r="Y253" i="2"/>
  <c r="Z253" i="2" s="1"/>
  <c r="Y206" i="2"/>
  <c r="Z206" i="2" s="1"/>
  <c r="Y195" i="2"/>
  <c r="Z195" i="2" s="1"/>
  <c r="Y147" i="2"/>
  <c r="Z147" i="2" s="1"/>
  <c r="Y378" i="2"/>
  <c r="Z378" i="2" s="1"/>
  <c r="Y362" i="2"/>
  <c r="Z362" i="2" s="1"/>
  <c r="Y346" i="2"/>
  <c r="Z346" i="2" s="1"/>
  <c r="Y330" i="2"/>
  <c r="Z330" i="2" s="1"/>
  <c r="Y314" i="2"/>
  <c r="Z314" i="2" s="1"/>
  <c r="Y298" i="2"/>
  <c r="Z298" i="2" s="1"/>
  <c r="Y270" i="2"/>
  <c r="Z270" i="2" s="1"/>
  <c r="Y218" i="2"/>
  <c r="Z218" i="2" s="1"/>
  <c r="Y200" i="2"/>
  <c r="Z200" i="2" s="1"/>
  <c r="Y186" i="2"/>
  <c r="Z186" i="2" s="1"/>
  <c r="Y168" i="2"/>
  <c r="Z168" i="2" s="1"/>
  <c r="Y161" i="2"/>
  <c r="Z161" i="2" s="1"/>
  <c r="Y131" i="2"/>
  <c r="Z131" i="2" s="1"/>
  <c r="Y115" i="2"/>
  <c r="Z115" i="2" s="1"/>
  <c r="Y99" i="2"/>
  <c r="Z99" i="2" s="1"/>
  <c r="Y84" i="2"/>
  <c r="Z84" i="2" s="1"/>
  <c r="Y125" i="2"/>
  <c r="Z125" i="2" s="1"/>
  <c r="Y109" i="2"/>
  <c r="Z109" i="2" s="1"/>
  <c r="Y93" i="2"/>
  <c r="Z93" i="2" s="1"/>
  <c r="Y221" i="2"/>
  <c r="Z221" i="2" s="1"/>
  <c r="Y205" i="2"/>
  <c r="Z205" i="2" s="1"/>
  <c r="Y189" i="2"/>
  <c r="Z189" i="2" s="1"/>
  <c r="Y173" i="2"/>
  <c r="Z173" i="2" s="1"/>
  <c r="Y150" i="2"/>
  <c r="Z150" i="2" s="1"/>
  <c r="Y82" i="2"/>
  <c r="Z82" i="2" s="1"/>
  <c r="Y71" i="2"/>
  <c r="Z71" i="2" s="1"/>
  <c r="Y67" i="2"/>
  <c r="Z67" i="2" s="1"/>
  <c r="Y63" i="2"/>
  <c r="Z63" i="2" s="1"/>
  <c r="Y59" i="2"/>
  <c r="Z59" i="2" s="1"/>
  <c r="Y55" i="2"/>
  <c r="Z55" i="2" s="1"/>
  <c r="Y51" i="2"/>
  <c r="Z51" i="2" s="1"/>
  <c r="Y47" i="2"/>
  <c r="Z47" i="2" s="1"/>
  <c r="Y6" i="2"/>
  <c r="Z6" i="2" s="1"/>
  <c r="Y501" i="2"/>
  <c r="Z501" i="2" s="1"/>
  <c r="Y458" i="2"/>
  <c r="Z458" i="2" s="1"/>
  <c r="Y432" i="2"/>
  <c r="Z432" i="2" s="1"/>
  <c r="Y288" i="2"/>
  <c r="Z288" i="2" s="1"/>
  <c r="Y443" i="2"/>
  <c r="Z443" i="2" s="1"/>
  <c r="Y415" i="2"/>
  <c r="Z415" i="2" s="1"/>
  <c r="Y341" i="2"/>
  <c r="Z341" i="2" s="1"/>
  <c r="Y295" i="2"/>
  <c r="Z295" i="2" s="1"/>
  <c r="Y480" i="2"/>
  <c r="Z480" i="2" s="1"/>
  <c r="Y365" i="2"/>
  <c r="Z365" i="2" s="1"/>
  <c r="Y319" i="2"/>
  <c r="Z319" i="2" s="1"/>
  <c r="Y203" i="2"/>
  <c r="Z203" i="2" s="1"/>
  <c r="Y142" i="2"/>
  <c r="Z142" i="2" s="1"/>
  <c r="Y326" i="2"/>
  <c r="Z326" i="2" s="1"/>
  <c r="Y269" i="2"/>
  <c r="Z269" i="2" s="1"/>
  <c r="Y236" i="2"/>
  <c r="Z236" i="2" s="1"/>
  <c r="Y157" i="2"/>
  <c r="Z157" i="2" s="1"/>
  <c r="Y139" i="2"/>
  <c r="Z139" i="2" s="1"/>
  <c r="Y103" i="2"/>
  <c r="Z103" i="2" s="1"/>
  <c r="Y129" i="2"/>
  <c r="Z129" i="2" s="1"/>
  <c r="Y97" i="2"/>
  <c r="Z97" i="2" s="1"/>
  <c r="Y209" i="2"/>
  <c r="Z209" i="2" s="1"/>
  <c r="Y181" i="2"/>
  <c r="Z181" i="2" s="1"/>
  <c r="Y153" i="2"/>
  <c r="Z153" i="2" s="1"/>
  <c r="Y74" i="2"/>
  <c r="Z74" i="2" s="1"/>
  <c r="Y66" i="2"/>
  <c r="Z66" i="2" s="1"/>
  <c r="Y61" i="2"/>
  <c r="Z61" i="2" s="1"/>
  <c r="Y56" i="2"/>
  <c r="Z56" i="2" s="1"/>
  <c r="Y50" i="2"/>
  <c r="Z50" i="2" s="1"/>
  <c r="Y45" i="2"/>
  <c r="Z45" i="2" s="1"/>
  <c r="Y459" i="2"/>
  <c r="Z459" i="2" s="1"/>
  <c r="Y507" i="2"/>
  <c r="Z507" i="2" s="1"/>
  <c r="Y488" i="2"/>
  <c r="Z488" i="2" s="1"/>
  <c r="Y407" i="2"/>
  <c r="Z407" i="2" s="1"/>
  <c r="Y373" i="2"/>
  <c r="Z373" i="2" s="1"/>
  <c r="Y327" i="2"/>
  <c r="Z327" i="2" s="1"/>
  <c r="Y339" i="2"/>
  <c r="Z339" i="2" s="1"/>
  <c r="Y466" i="2"/>
  <c r="Z466" i="2" s="1"/>
  <c r="Y351" i="2"/>
  <c r="Z351" i="2" s="1"/>
  <c r="Y275" i="2"/>
  <c r="Z275" i="2" s="1"/>
  <c r="Y227" i="2"/>
  <c r="Z227" i="2" s="1"/>
  <c r="Y183" i="2"/>
  <c r="Z183" i="2" s="1"/>
  <c r="Y190" i="2"/>
  <c r="Z190" i="2" s="1"/>
  <c r="Y374" i="2"/>
  <c r="Z374" i="2" s="1"/>
  <c r="Y310" i="2"/>
  <c r="Z310" i="2" s="1"/>
  <c r="Y228" i="2"/>
  <c r="Z228" i="2" s="1"/>
  <c r="Y127" i="2"/>
  <c r="Z127" i="2" s="1"/>
  <c r="Y95" i="2"/>
  <c r="Z95" i="2" s="1"/>
  <c r="Y149" i="2"/>
  <c r="Z149" i="2" s="1"/>
  <c r="Y121" i="2"/>
  <c r="Z121" i="2" s="1"/>
  <c r="Y89" i="2"/>
  <c r="Z89" i="2" s="1"/>
  <c r="Y201" i="2"/>
  <c r="Z201" i="2" s="1"/>
  <c r="Y177" i="2"/>
  <c r="Z177" i="2" s="1"/>
  <c r="Y135" i="2"/>
  <c r="Z135" i="2" s="1"/>
  <c r="Y86" i="2"/>
  <c r="Z86" i="2" s="1"/>
  <c r="Y70" i="2"/>
  <c r="Z70" i="2" s="1"/>
  <c r="Y65" i="2"/>
  <c r="Z65" i="2" s="1"/>
  <c r="Y60" i="2"/>
  <c r="Z60" i="2" s="1"/>
  <c r="Y54" i="2"/>
  <c r="Z54" i="2" s="1"/>
  <c r="Y49" i="2"/>
  <c r="Z49" i="2" s="1"/>
  <c r="Y44" i="2"/>
  <c r="Z44" i="2" s="1"/>
  <c r="Y5" i="2"/>
  <c r="Z5" i="2" s="1"/>
  <c r="Y511" i="2"/>
  <c r="Z511" i="2" s="1"/>
  <c r="Y363" i="2"/>
  <c r="Z363" i="2" s="1"/>
  <c r="Y431" i="2"/>
  <c r="Z431" i="2" s="1"/>
  <c r="Y399" i="2"/>
  <c r="Z399" i="2" s="1"/>
  <c r="Y359" i="2"/>
  <c r="Z359" i="2" s="1"/>
  <c r="Y272" i="2"/>
  <c r="Z272" i="2" s="1"/>
  <c r="Y328" i="2"/>
  <c r="Z328" i="2" s="1"/>
  <c r="Y498" i="2"/>
  <c r="Z498" i="2" s="1"/>
  <c r="Y383" i="2"/>
  <c r="Z383" i="2" s="1"/>
  <c r="Y301" i="2"/>
  <c r="Z301" i="2" s="1"/>
  <c r="Y259" i="2"/>
  <c r="Z259" i="2" s="1"/>
  <c r="Y215" i="2"/>
  <c r="Z215" i="2" s="1"/>
  <c r="Y229" i="2"/>
  <c r="Z229" i="2" s="1"/>
  <c r="Y179" i="2"/>
  <c r="Z179" i="2" s="1"/>
  <c r="Y358" i="2"/>
  <c r="Z358" i="2" s="1"/>
  <c r="Y294" i="2"/>
  <c r="Z294" i="2" s="1"/>
  <c r="Y252" i="2"/>
  <c r="Z252" i="2" s="1"/>
  <c r="Y175" i="2"/>
  <c r="Z175" i="2" s="1"/>
  <c r="Y119" i="2"/>
  <c r="Z119" i="2" s="1"/>
  <c r="Y87" i="2"/>
  <c r="Z87" i="2" s="1"/>
  <c r="Y113" i="2"/>
  <c r="Z113" i="2" s="1"/>
  <c r="Y193" i="2"/>
  <c r="Z193" i="2" s="1"/>
  <c r="Y169" i="2"/>
  <c r="Z169" i="2" s="1"/>
  <c r="Y69" i="2"/>
  <c r="Z69" i="2" s="1"/>
  <c r="Y64" i="2"/>
  <c r="Z64" i="2" s="1"/>
  <c r="Y58" i="2"/>
  <c r="Z58" i="2" s="1"/>
  <c r="Y53" i="2"/>
  <c r="Z53" i="2" s="1"/>
  <c r="Y48" i="2"/>
  <c r="Z48" i="2" s="1"/>
  <c r="Y508" i="2"/>
  <c r="Z508" i="2" s="1"/>
  <c r="Y400" i="2"/>
  <c r="Z400" i="2" s="1"/>
  <c r="Y352" i="2"/>
  <c r="Z352" i="2" s="1"/>
  <c r="Y299" i="2"/>
  <c r="Z299" i="2" s="1"/>
  <c r="Y506" i="2"/>
  <c r="Z506" i="2" s="1"/>
  <c r="Y423" i="2"/>
  <c r="Z423" i="2" s="1"/>
  <c r="Y391" i="2"/>
  <c r="Z391" i="2" s="1"/>
  <c r="Y309" i="2"/>
  <c r="Z309" i="2" s="1"/>
  <c r="Y249" i="2"/>
  <c r="Z249" i="2" s="1"/>
  <c r="Y412" i="2"/>
  <c r="Z412" i="2" s="1"/>
  <c r="Y448" i="2"/>
  <c r="Z448" i="2" s="1"/>
  <c r="Y333" i="2"/>
  <c r="Z333" i="2" s="1"/>
  <c r="Y287" i="2"/>
  <c r="Z287" i="2" s="1"/>
  <c r="Y214" i="2"/>
  <c r="Z214" i="2" s="1"/>
  <c r="Y162" i="2"/>
  <c r="Z162" i="2" s="1"/>
  <c r="Y342" i="2"/>
  <c r="Z342" i="2" s="1"/>
  <c r="Y283" i="2"/>
  <c r="Z283" i="2" s="1"/>
  <c r="Y244" i="2"/>
  <c r="Z244" i="2" s="1"/>
  <c r="Y207" i="2"/>
  <c r="Z207" i="2" s="1"/>
  <c r="Y111" i="2"/>
  <c r="Z111" i="2" s="1"/>
  <c r="Y76" i="2"/>
  <c r="Z76" i="2" s="1"/>
  <c r="Y137" i="2"/>
  <c r="Z137" i="2" s="1"/>
  <c r="Y105" i="2"/>
  <c r="Z105" i="2" s="1"/>
  <c r="Y217" i="2"/>
  <c r="Z217" i="2" s="1"/>
  <c r="Y185" i="2"/>
  <c r="Z185" i="2" s="1"/>
  <c r="Y79" i="2"/>
  <c r="Z79" i="2" s="1"/>
  <c r="Y4" i="2"/>
  <c r="Z4" i="2" s="1"/>
  <c r="Y68" i="2"/>
  <c r="Z68" i="2" s="1"/>
  <c r="Y62" i="2"/>
  <c r="Z62" i="2" s="1"/>
  <c r="Y57" i="2"/>
  <c r="Z57" i="2" s="1"/>
  <c r="Y52" i="2"/>
  <c r="Z52" i="2" s="1"/>
  <c r="Y46" i="2"/>
  <c r="Z46" i="2" s="1"/>
  <c r="Y8" i="2"/>
  <c r="Z8" i="2" s="1"/>
  <c r="V58" i="1"/>
  <c r="V42" i="1"/>
  <c r="V96" i="1"/>
  <c r="V112" i="1"/>
  <c r="V120" i="1"/>
  <c r="V128" i="1"/>
  <c r="V152" i="1"/>
  <c r="V160" i="1"/>
  <c r="V168" i="1"/>
  <c r="V175" i="1"/>
  <c r="V179" i="1"/>
  <c r="V191" i="1"/>
  <c r="V195" i="1"/>
  <c r="V199" i="1"/>
  <c r="V203" i="1"/>
  <c r="V207" i="1"/>
  <c r="V215" i="1"/>
  <c r="V177" i="1"/>
  <c r="V90" i="1"/>
  <c r="V181" i="1"/>
  <c r="V209" i="1"/>
  <c r="V293" i="1"/>
  <c r="V371" i="1"/>
  <c r="V381" i="1"/>
  <c r="V383" i="1"/>
  <c r="V385" i="1"/>
  <c r="V389" i="1"/>
  <c r="V393" i="1"/>
  <c r="V397" i="1"/>
  <c r="V403" i="1"/>
  <c r="V405" i="1"/>
  <c r="V407" i="1"/>
  <c r="V417" i="1"/>
  <c r="V419" i="1"/>
  <c r="V421" i="1"/>
  <c r="V431" i="1"/>
  <c r="V433" i="1"/>
  <c r="V435" i="1"/>
  <c r="V437" i="1"/>
  <c r="V441" i="1"/>
  <c r="V443" i="1"/>
  <c r="V457" i="1"/>
  <c r="V459" i="1"/>
  <c r="V469" i="1"/>
  <c r="V471" i="1"/>
  <c r="V479" i="1"/>
  <c r="V481" i="1"/>
  <c r="V483" i="1"/>
  <c r="V489" i="1"/>
  <c r="V491" i="1"/>
  <c r="V493" i="1"/>
  <c r="V495" i="1"/>
  <c r="V497" i="1"/>
  <c r="V499" i="1"/>
  <c r="V501" i="1"/>
  <c r="V503" i="1"/>
  <c r="V505" i="1"/>
  <c r="V46" i="1"/>
  <c r="V146" i="1"/>
  <c r="V302" i="1"/>
  <c r="V322" i="1"/>
  <c r="V334" i="1"/>
  <c r="V338" i="1"/>
  <c r="V346" i="1"/>
  <c r="V114" i="1"/>
  <c r="V170" i="1"/>
  <c r="V225" i="1"/>
  <c r="V241" i="1"/>
  <c r="V257" i="1"/>
  <c r="V273" i="1"/>
  <c r="V289" i="1"/>
  <c r="V300" i="1"/>
  <c r="V308" i="1"/>
  <c r="V312" i="1"/>
  <c r="V316" i="1"/>
  <c r="V328" i="1"/>
  <c r="V173" i="1"/>
  <c r="V229" i="1"/>
  <c r="V261" i="1"/>
  <c r="V277" i="1"/>
  <c r="V357" i="1"/>
  <c r="V359" i="1"/>
  <c r="V361" i="1"/>
  <c r="V363" i="1"/>
  <c r="V365" i="1"/>
  <c r="V367" i="1"/>
  <c r="V373" i="1"/>
  <c r="V375" i="1"/>
  <c r="V377" i="1"/>
  <c r="V399" i="1"/>
  <c r="V401" i="1"/>
  <c r="V409" i="1"/>
  <c r="V411" i="1"/>
  <c r="V413" i="1"/>
  <c r="V415" i="1"/>
  <c r="V423" i="1"/>
  <c r="V425" i="1"/>
  <c r="V427" i="1"/>
  <c r="V429" i="1"/>
  <c r="V445" i="1"/>
  <c r="V451" i="1"/>
  <c r="V461" i="1"/>
  <c r="V463" i="1"/>
  <c r="V465" i="1"/>
  <c r="V467" i="1"/>
  <c r="V473" i="1"/>
  <c r="V475" i="1"/>
  <c r="V477" i="1"/>
  <c r="V485" i="1"/>
  <c r="V507" i="1"/>
  <c r="V122" i="1"/>
  <c r="V249" i="1"/>
  <c r="V310" i="1"/>
  <c r="V318" i="1"/>
  <c r="V326" i="1"/>
  <c r="V342" i="1"/>
  <c r="V500" i="1"/>
  <c r="V434" i="1"/>
  <c r="V362" i="1"/>
  <c r="V488" i="1"/>
  <c r="V450" i="1"/>
  <c r="V360" i="1"/>
  <c r="V336" i="1"/>
  <c r="V496" i="1"/>
  <c r="V438" i="1"/>
  <c r="V366" i="1"/>
  <c r="V337" i="1"/>
  <c r="V237" i="1"/>
  <c r="V476" i="1"/>
  <c r="V406" i="1"/>
  <c r="V254" i="1"/>
  <c r="V374" i="1"/>
  <c r="V504" i="1"/>
  <c r="V410" i="1"/>
  <c r="V470" i="1"/>
  <c r="V436" i="1"/>
  <c r="V398" i="1"/>
  <c r="V370" i="1"/>
  <c r="V354" i="1"/>
  <c r="V297" i="1"/>
  <c r="V205" i="1"/>
  <c r="V319" i="1"/>
  <c r="V282" i="1"/>
  <c r="V235" i="1"/>
  <c r="V108" i="1"/>
  <c r="V230" i="1"/>
  <c r="V62" i="1"/>
  <c r="V171" i="1"/>
  <c r="V339" i="1"/>
  <c r="V307" i="1"/>
  <c r="V251" i="1"/>
  <c r="V210" i="1"/>
  <c r="V182" i="1"/>
  <c r="V239" i="1"/>
  <c r="V139" i="1"/>
  <c r="V157" i="1"/>
  <c r="V117" i="1"/>
  <c r="V94" i="1"/>
  <c r="V44" i="1"/>
  <c r="V66" i="1"/>
  <c r="V12" i="1"/>
  <c r="V84" i="1"/>
  <c r="V484" i="1"/>
  <c r="V414" i="1"/>
  <c r="V206" i="1"/>
  <c r="V482" i="1"/>
  <c r="V420" i="1"/>
  <c r="V348" i="1"/>
  <c r="V332" i="1"/>
  <c r="V480" i="1"/>
  <c r="V428" i="1"/>
  <c r="V349" i="1"/>
  <c r="V333" i="1"/>
  <c r="V222" i="1"/>
  <c r="V460" i="1"/>
  <c r="V394" i="1"/>
  <c r="V455" i="1"/>
  <c r="V265" i="1"/>
  <c r="V454" i="1"/>
  <c r="V502" i="1"/>
  <c r="V462" i="1"/>
  <c r="V426" i="1"/>
  <c r="V395" i="1"/>
  <c r="V364" i="1"/>
  <c r="V353" i="1"/>
  <c r="V253" i="1"/>
  <c r="V315" i="1"/>
  <c r="V224" i="1"/>
  <c r="V163" i="1"/>
  <c r="V76" i="1"/>
  <c r="V284" i="1"/>
  <c r="V174" i="1"/>
  <c r="V227" i="1"/>
  <c r="V186" i="1"/>
  <c r="V335" i="1"/>
  <c r="V303" i="1"/>
  <c r="V283" i="1"/>
  <c r="V234" i="1"/>
  <c r="V3" i="1"/>
  <c r="V99" i="1"/>
  <c r="V150" i="1"/>
  <c r="V110" i="1"/>
  <c r="V93" i="1"/>
  <c r="V59" i="1"/>
  <c r="V40" i="1"/>
  <c r="V36" i="1"/>
  <c r="V452" i="1"/>
  <c r="V382" i="1"/>
  <c r="V506" i="1"/>
  <c r="V458" i="1"/>
  <c r="V368" i="1"/>
  <c r="V340" i="1"/>
  <c r="V198" i="1"/>
  <c r="V456" i="1"/>
  <c r="V372" i="1"/>
  <c r="V341" i="1"/>
  <c r="V281" i="1"/>
  <c r="V490" i="1"/>
  <c r="V424" i="1"/>
  <c r="V376" i="1"/>
  <c r="V412" i="1"/>
  <c r="V178" i="1"/>
  <c r="V418" i="1"/>
  <c r="V478" i="1"/>
  <c r="V442" i="1"/>
  <c r="V408" i="1"/>
  <c r="V384" i="1"/>
  <c r="V355" i="1"/>
  <c r="V351" i="1"/>
  <c r="V217" i="1"/>
  <c r="V327" i="1"/>
  <c r="V298" i="1"/>
  <c r="V256" i="1"/>
  <c r="V123" i="1"/>
  <c r="V236" i="1"/>
  <c r="V69" i="1"/>
  <c r="V242" i="1"/>
  <c r="V132" i="1"/>
  <c r="V347" i="1"/>
  <c r="V323" i="1"/>
  <c r="V288" i="1"/>
  <c r="V266" i="1"/>
  <c r="V164" i="1"/>
  <c r="V247" i="1"/>
  <c r="V194" i="1"/>
  <c r="V92" i="1"/>
  <c r="V140" i="1"/>
  <c r="V158" i="1"/>
  <c r="V118" i="1"/>
  <c r="V101" i="1"/>
  <c r="V64" i="1"/>
  <c r="V80" i="1"/>
  <c r="V18" i="1"/>
  <c r="V468" i="1"/>
  <c r="V404" i="1"/>
  <c r="V386" i="1"/>
  <c r="V440" i="1"/>
  <c r="V444" i="1"/>
  <c r="V390" i="1"/>
  <c r="V267" i="1"/>
  <c r="V147" i="1"/>
  <c r="V252" i="1"/>
  <c r="V299" i="1"/>
  <c r="V22" i="1"/>
  <c r="V72" i="1"/>
  <c r="V396" i="1"/>
  <c r="V344" i="1"/>
  <c r="V345" i="1"/>
  <c r="V388" i="1"/>
  <c r="V486" i="1"/>
  <c r="V356" i="1"/>
  <c r="V343" i="1"/>
  <c r="V70" i="1"/>
  <c r="V91" i="1"/>
  <c r="V226" i="1"/>
  <c r="V268" i="1"/>
  <c r="V125" i="1"/>
  <c r="V197" i="1"/>
  <c r="V270" i="1"/>
  <c r="V286" i="1"/>
  <c r="V430" i="1"/>
  <c r="V448" i="1"/>
  <c r="V352" i="1"/>
  <c r="V311" i="1"/>
  <c r="V63" i="1"/>
  <c r="V272" i="1"/>
  <c r="V53" i="1"/>
  <c r="V102" i="1"/>
  <c r="V54" i="1"/>
  <c r="V68" i="1"/>
  <c r="V466" i="1"/>
  <c r="V464" i="1"/>
  <c r="V508" i="1"/>
  <c r="V221" i="1"/>
  <c r="V416" i="1"/>
  <c r="V238" i="1"/>
  <c r="V331" i="1"/>
  <c r="V219" i="1"/>
  <c r="V223" i="1"/>
  <c r="V86" i="1"/>
  <c r="V29" i="1"/>
  <c r="V274" i="1"/>
  <c r="V127" i="1"/>
  <c r="V255" i="1"/>
  <c r="V244" i="1"/>
  <c r="V290" i="1"/>
  <c r="V278" i="1"/>
  <c r="V292" i="1"/>
  <c r="V296" i="1"/>
  <c r="V269" i="1"/>
  <c r="V111" i="1"/>
  <c r="V204" i="1"/>
  <c r="V232" i="1"/>
  <c r="V317" i="1"/>
  <c r="V400" i="1"/>
  <c r="V196" i="1"/>
  <c r="V184" i="1"/>
  <c r="V422" i="1"/>
  <c r="V97" i="1"/>
  <c r="V113" i="1"/>
  <c r="V161" i="1"/>
  <c r="V280" i="1"/>
  <c r="V325" i="1"/>
  <c r="V264" i="1"/>
  <c r="V258" i="1"/>
  <c r="V188" i="1"/>
  <c r="V301" i="1"/>
  <c r="V176" i="1"/>
  <c r="V291" i="1"/>
  <c r="V159" i="1"/>
  <c r="V287" i="1"/>
  <c r="V276" i="1"/>
  <c r="V305" i="1"/>
  <c r="V295" i="1"/>
  <c r="V73" i="1"/>
  <c r="V89" i="1"/>
  <c r="V329" i="1"/>
  <c r="V350" i="1"/>
  <c r="V143" i="1"/>
  <c r="V271" i="1"/>
  <c r="V259" i="1"/>
  <c r="V263" i="1"/>
  <c r="V309" i="1"/>
  <c r="V180" i="1"/>
  <c r="V119" i="1"/>
  <c r="V321" i="1"/>
  <c r="V135" i="1"/>
  <c r="V494" i="1"/>
  <c r="V169" i="1"/>
  <c r="V294" i="1"/>
  <c r="V208" i="1"/>
  <c r="V25" i="1"/>
  <c r="V432" i="1"/>
  <c r="V151" i="1"/>
  <c r="V153" i="1"/>
  <c r="V260" i="1"/>
  <c r="V262" i="1"/>
  <c r="V41" i="1"/>
  <c r="V285" i="1"/>
  <c r="V189" i="1"/>
  <c r="R120" i="4"/>
  <c r="N120" i="4"/>
  <c r="J120" i="4"/>
  <c r="P108" i="4"/>
  <c r="L108" i="4"/>
  <c r="H108" i="4"/>
  <c r="R96" i="4"/>
  <c r="N96" i="4"/>
  <c r="J96" i="4"/>
  <c r="P84" i="4"/>
  <c r="L84" i="4"/>
  <c r="H84" i="4"/>
  <c r="R72" i="4"/>
  <c r="N72" i="4"/>
  <c r="J72" i="4"/>
  <c r="P60" i="4"/>
  <c r="L60" i="4"/>
  <c r="H60" i="4"/>
  <c r="R48" i="4"/>
  <c r="N48" i="4"/>
  <c r="J48" i="4"/>
  <c r="P36" i="4"/>
  <c r="L36" i="4"/>
  <c r="H36" i="4"/>
  <c r="R24" i="4"/>
  <c r="N24" i="4"/>
  <c r="J24" i="4"/>
  <c r="P12" i="4"/>
  <c r="L12" i="4"/>
  <c r="H12" i="4"/>
  <c r="Q120" i="4"/>
  <c r="M120" i="4"/>
  <c r="I120" i="4"/>
  <c r="S108" i="4"/>
  <c r="O108" i="4"/>
  <c r="K108" i="4"/>
  <c r="G108" i="4"/>
  <c r="Q96" i="4"/>
  <c r="M96" i="4"/>
  <c r="I96" i="4"/>
  <c r="S84" i="4"/>
  <c r="O84" i="4"/>
  <c r="K84" i="4"/>
  <c r="G84" i="4"/>
  <c r="Q72" i="4"/>
  <c r="M72" i="4"/>
  <c r="I72" i="4"/>
  <c r="S60" i="4"/>
  <c r="O60" i="4"/>
  <c r="K60" i="4"/>
  <c r="G60" i="4"/>
  <c r="Q48" i="4"/>
  <c r="M48" i="4"/>
  <c r="I48" i="4"/>
  <c r="S36" i="4"/>
  <c r="O36" i="4"/>
  <c r="K36" i="4"/>
  <c r="G36" i="4"/>
  <c r="Q24" i="4"/>
  <c r="M24" i="4"/>
  <c r="I24" i="4"/>
  <c r="S12" i="4"/>
  <c r="O12" i="4"/>
  <c r="K12" i="4"/>
  <c r="G12" i="4"/>
  <c r="S120" i="4"/>
  <c r="K120" i="4"/>
  <c r="M108" i="4"/>
  <c r="O96" i="4"/>
  <c r="G96" i="4"/>
  <c r="Q84" i="4"/>
  <c r="I84" i="4"/>
  <c r="S72" i="4"/>
  <c r="K72" i="4"/>
  <c r="M60" i="4"/>
  <c r="O48" i="4"/>
  <c r="G48" i="4"/>
  <c r="Q36" i="4"/>
  <c r="I36" i="4"/>
  <c r="S24" i="4"/>
  <c r="K24" i="4"/>
  <c r="M12" i="4"/>
  <c r="P120" i="4"/>
  <c r="H120" i="4"/>
  <c r="R108" i="4"/>
  <c r="J108" i="4"/>
  <c r="L96" i="4"/>
  <c r="N84" i="4"/>
  <c r="P72" i="4"/>
  <c r="H72" i="4"/>
  <c r="R60" i="4"/>
  <c r="J60" i="4"/>
  <c r="L48" i="4"/>
  <c r="N36" i="4"/>
  <c r="P24" i="4"/>
  <c r="H24" i="4"/>
  <c r="R12" i="4"/>
  <c r="J12" i="4"/>
  <c r="H96" i="4"/>
  <c r="J84" i="4"/>
  <c r="L72" i="4"/>
  <c r="N60" i="4"/>
  <c r="P48" i="4"/>
  <c r="R36" i="4"/>
  <c r="G120" i="4"/>
  <c r="M84" i="4"/>
  <c r="Q60" i="4"/>
  <c r="I12" i="4"/>
  <c r="O120" i="4"/>
  <c r="Q108" i="4"/>
  <c r="S96" i="4"/>
  <c r="G72" i="4"/>
  <c r="I60" i="4"/>
  <c r="K48" i="4"/>
  <c r="M36" i="4"/>
  <c r="O24" i="4"/>
  <c r="Q12" i="4"/>
  <c r="L120" i="4"/>
  <c r="N108" i="4"/>
  <c r="P96" i="4"/>
  <c r="R84" i="4"/>
  <c r="H48" i="4"/>
  <c r="J36" i="4"/>
  <c r="L24" i="4"/>
  <c r="N12" i="4"/>
  <c r="I108" i="4"/>
  <c r="K96" i="4"/>
  <c r="O72" i="4"/>
  <c r="S48" i="4"/>
  <c r="G24" i="4"/>
  <c r="V2" i="1"/>
  <c r="R2" i="1"/>
  <c r="Y2" i="2"/>
  <c r="Z2" i="2" s="1"/>
  <c r="H2" i="8"/>
  <c r="U17" i="13"/>
  <c r="G19" i="13"/>
  <c r="H19" i="13"/>
  <c r="P18" i="13"/>
  <c r="S18" i="13" s="1"/>
  <c r="O18" i="13"/>
  <c r="R18" i="13" s="1"/>
  <c r="X17" i="13"/>
  <c r="J24" i="9"/>
  <c r="Y5" i="13"/>
  <c r="X5" i="13"/>
  <c r="K24" i="9"/>
  <c r="X14" i="13"/>
  <c r="Y14" i="13"/>
  <c r="Y10" i="13"/>
  <c r="X10" i="13"/>
  <c r="Y12" i="13"/>
  <c r="X12" i="13"/>
  <c r="Y9" i="13"/>
  <c r="X9" i="13"/>
  <c r="Y17" i="13"/>
  <c r="F24" i="9"/>
  <c r="X8" i="13"/>
  <c r="X4" i="13"/>
  <c r="Y2" i="13"/>
  <c r="X2" i="13"/>
  <c r="Y4" i="13"/>
  <c r="X16" i="13"/>
  <c r="Y16" i="13"/>
  <c r="Y7" i="13"/>
  <c r="X7" i="13"/>
  <c r="Y6" i="13"/>
  <c r="X6" i="13"/>
  <c r="S25" i="9"/>
  <c r="J25" i="9" s="1"/>
  <c r="R25" i="9"/>
  <c r="F25" i="9" s="1"/>
  <c r="T25" i="9"/>
  <c r="K25" i="9" s="1"/>
  <c r="X11" i="13"/>
  <c r="Y11" i="13"/>
  <c r="X15" i="13"/>
  <c r="Y15" i="13"/>
  <c r="X3" i="13"/>
  <c r="Y3" i="13"/>
  <c r="Y8" i="13"/>
  <c r="Y13" i="13"/>
  <c r="X13" i="13"/>
  <c r="M2" i="3"/>
  <c r="N2" i="3" s="1"/>
  <c r="D19" i="13"/>
  <c r="E20" i="13"/>
  <c r="K20" i="13"/>
  <c r="L20" i="13"/>
  <c r="C20" i="13"/>
  <c r="I18" i="17"/>
  <c r="E18" i="17"/>
  <c r="B19" i="17"/>
  <c r="H18" i="17"/>
  <c r="D18" i="17"/>
  <c r="A19" i="17"/>
  <c r="J18" i="17"/>
  <c r="G18" i="17"/>
  <c r="F18" i="17"/>
  <c r="Q19" i="13"/>
  <c r="Y18" i="13"/>
  <c r="X18" i="13"/>
  <c r="A22" i="13"/>
  <c r="B22" i="13" s="1"/>
  <c r="M19" i="13"/>
  <c r="N19" i="13" s="1"/>
  <c r="F19" i="13"/>
  <c r="M13" i="3" l="1"/>
  <c r="N13" i="3" s="1"/>
  <c r="M1669" i="3"/>
  <c r="N1669" i="3" s="1"/>
  <c r="M2782" i="3"/>
  <c r="N2782" i="3" s="1"/>
  <c r="M1624" i="3"/>
  <c r="N1624" i="3" s="1"/>
  <c r="M247" i="3"/>
  <c r="N247" i="3" s="1"/>
  <c r="M25" i="3"/>
  <c r="N25" i="3" s="1"/>
  <c r="M21" i="3"/>
  <c r="N21" i="3" s="1"/>
  <c r="M4146" i="3"/>
  <c r="N4146" i="3" s="1"/>
  <c r="M1270" i="3"/>
  <c r="N1270" i="3" s="1"/>
  <c r="M1751" i="3"/>
  <c r="N1751" i="3" s="1"/>
  <c r="M2885" i="3"/>
  <c r="N2885" i="3" s="1"/>
  <c r="M19" i="3"/>
  <c r="N19" i="3" s="1"/>
  <c r="M2530" i="3"/>
  <c r="N2530" i="3" s="1"/>
  <c r="M2986" i="3"/>
  <c r="N2986" i="3" s="1"/>
  <c r="M1703" i="3"/>
  <c r="N1703" i="3" s="1"/>
  <c r="M662" i="3"/>
  <c r="N662" i="3" s="1"/>
  <c r="M2761" i="3"/>
  <c r="N2761" i="3" s="1"/>
  <c r="M6634" i="3"/>
  <c r="N6634" i="3" s="1"/>
  <c r="M24" i="3"/>
  <c r="N24" i="3" s="1"/>
  <c r="M238" i="3"/>
  <c r="N238" i="3" s="1"/>
  <c r="M433" i="3"/>
  <c r="N433" i="3" s="1"/>
  <c r="M1412" i="3"/>
  <c r="N1412" i="3" s="1"/>
  <c r="M2637" i="3"/>
  <c r="N2637" i="3" s="1"/>
  <c r="M1041" i="3"/>
  <c r="N1041" i="3" s="1"/>
  <c r="M1802" i="3"/>
  <c r="N1802" i="3" s="1"/>
  <c r="M3236" i="3"/>
  <c r="N3236" i="3" s="1"/>
  <c r="M2188" i="3"/>
  <c r="N2188" i="3" s="1"/>
  <c r="M4974" i="3"/>
  <c r="N4974" i="3" s="1"/>
  <c r="M219" i="3"/>
  <c r="N219" i="3" s="1"/>
  <c r="M23" i="3"/>
  <c r="N23" i="3" s="1"/>
  <c r="M48" i="3"/>
  <c r="N48" i="3" s="1"/>
  <c r="M1113" i="3"/>
  <c r="N1113" i="3" s="1"/>
  <c r="M1532" i="3"/>
  <c r="N1532" i="3" s="1"/>
  <c r="M3528" i="3"/>
  <c r="N3528" i="3" s="1"/>
  <c r="M1622" i="3"/>
  <c r="N1622" i="3" s="1"/>
  <c r="M2473" i="3"/>
  <c r="N2473" i="3" s="1"/>
  <c r="M4684" i="3"/>
  <c r="N4684" i="3" s="1"/>
  <c r="M29" i="3"/>
  <c r="N29" i="3" s="1"/>
  <c r="M7104" i="3"/>
  <c r="N7104" i="3" s="1"/>
  <c r="M7233" i="3"/>
  <c r="N7233" i="3" s="1"/>
  <c r="M5021" i="3"/>
  <c r="N5021" i="3" s="1"/>
  <c r="M6770" i="3"/>
  <c r="N6770" i="3" s="1"/>
  <c r="M5244" i="3"/>
  <c r="N5244" i="3" s="1"/>
  <c r="M4057" i="3"/>
  <c r="N4057" i="3" s="1"/>
  <c r="M6297" i="3"/>
  <c r="N6297" i="3" s="1"/>
  <c r="M5349" i="3"/>
  <c r="N5349" i="3" s="1"/>
  <c r="M4133" i="3"/>
  <c r="N4133" i="3" s="1"/>
  <c r="M2788" i="3"/>
  <c r="N2788" i="3" s="1"/>
  <c r="M1619" i="3"/>
  <c r="N1619" i="3" s="1"/>
  <c r="M740" i="3"/>
  <c r="N740" i="3" s="1"/>
  <c r="M4218" i="3"/>
  <c r="N4218" i="3" s="1"/>
  <c r="M214" i="3"/>
  <c r="N214" i="3" s="1"/>
  <c r="M205" i="3"/>
  <c r="N205" i="3" s="1"/>
  <c r="M372" i="3"/>
  <c r="N372" i="3" s="1"/>
  <c r="M81" i="3"/>
  <c r="N81" i="3" s="1"/>
  <c r="M497" i="3"/>
  <c r="N497" i="3" s="1"/>
  <c r="M1330" i="3"/>
  <c r="N1330" i="3" s="1"/>
  <c r="M1600" i="3"/>
  <c r="N1600" i="3" s="1"/>
  <c r="M2487" i="3"/>
  <c r="N2487" i="3" s="1"/>
  <c r="M2717" i="3"/>
  <c r="N2717" i="3" s="1"/>
  <c r="M4574" i="3"/>
  <c r="N4574" i="3" s="1"/>
  <c r="M1089" i="3"/>
  <c r="N1089" i="3" s="1"/>
  <c r="M2136" i="3"/>
  <c r="N2136" i="3" s="1"/>
  <c r="M3154" i="3"/>
  <c r="N3154" i="3" s="1"/>
  <c r="M3492" i="3"/>
  <c r="N3492" i="3" s="1"/>
  <c r="M1079" i="3"/>
  <c r="N1079" i="3" s="1"/>
  <c r="M3540" i="3"/>
  <c r="N3540" i="3" s="1"/>
  <c r="M2288" i="3"/>
  <c r="N2288" i="3" s="1"/>
  <c r="M6197" i="3"/>
  <c r="N6197" i="3" s="1"/>
  <c r="M278" i="3"/>
  <c r="N278" i="3" s="1"/>
  <c r="M237" i="3"/>
  <c r="N237" i="3" s="1"/>
  <c r="M217" i="3"/>
  <c r="N217" i="3" s="1"/>
  <c r="M76" i="3"/>
  <c r="N76" i="3" s="1"/>
  <c r="M271" i="3"/>
  <c r="N271" i="3" s="1"/>
  <c r="M873" i="3"/>
  <c r="N873" i="3" s="1"/>
  <c r="M782" i="3"/>
  <c r="N782" i="3" s="1"/>
  <c r="M1404" i="3"/>
  <c r="N1404" i="3" s="1"/>
  <c r="M1494" i="3"/>
  <c r="N1494" i="3" s="1"/>
  <c r="M1898" i="3"/>
  <c r="N1898" i="3" s="1"/>
  <c r="M2300" i="3"/>
  <c r="N2300" i="3" s="1"/>
  <c r="M2574" i="3"/>
  <c r="N2574" i="3" s="1"/>
  <c r="M3038" i="3"/>
  <c r="N3038" i="3" s="1"/>
  <c r="M3069" i="3"/>
  <c r="N3069" i="3" s="1"/>
  <c r="M3612" i="3"/>
  <c r="N3612" i="3" s="1"/>
  <c r="M4269" i="3"/>
  <c r="N4269" i="3" s="1"/>
  <c r="M736" i="3"/>
  <c r="N736" i="3" s="1"/>
  <c r="M1254" i="3"/>
  <c r="N1254" i="3" s="1"/>
  <c r="M1738" i="3"/>
  <c r="N1738" i="3" s="1"/>
  <c r="M2317" i="3"/>
  <c r="N2317" i="3" s="1"/>
  <c r="M2730" i="3"/>
  <c r="N2730" i="3" s="1"/>
  <c r="M3186" i="3"/>
  <c r="N3186" i="3" s="1"/>
  <c r="M2445" i="3"/>
  <c r="N2445" i="3" s="1"/>
  <c r="M3674" i="3"/>
  <c r="N3674" i="3" s="1"/>
  <c r="M605" i="3"/>
  <c r="N605" i="3" s="1"/>
  <c r="M1774" i="3"/>
  <c r="N1774" i="3" s="1"/>
  <c r="M2720" i="3"/>
  <c r="N2720" i="3" s="1"/>
  <c r="M3866" i="3"/>
  <c r="N3866" i="3" s="1"/>
  <c r="M3653" i="3"/>
  <c r="N3653" i="3" s="1"/>
  <c r="M5575" i="3"/>
  <c r="N5575" i="3" s="1"/>
  <c r="M5669" i="3"/>
  <c r="N5669" i="3" s="1"/>
  <c r="M346" i="3"/>
  <c r="N346" i="3" s="1"/>
  <c r="M62" i="3"/>
  <c r="N62" i="3" s="1"/>
  <c r="M251" i="3"/>
  <c r="N251" i="3" s="1"/>
  <c r="M1246" i="3"/>
  <c r="N1246" i="3" s="1"/>
  <c r="M1742" i="3"/>
  <c r="N1742" i="3" s="1"/>
  <c r="M1944" i="3"/>
  <c r="N1944" i="3" s="1"/>
  <c r="M2870" i="3"/>
  <c r="N2870" i="3" s="1"/>
  <c r="M3521" i="3"/>
  <c r="N3521" i="3" s="1"/>
  <c r="M358" i="3"/>
  <c r="N358" i="3" s="1"/>
  <c r="M1731" i="3"/>
  <c r="N1731" i="3" s="1"/>
  <c r="M1710" i="3"/>
  <c r="N1710" i="3" s="1"/>
  <c r="M2690" i="3"/>
  <c r="N2690" i="3" s="1"/>
  <c r="M3113" i="3"/>
  <c r="N3113" i="3" s="1"/>
  <c r="M865" i="3"/>
  <c r="N865" i="3" s="1"/>
  <c r="M2500" i="3"/>
  <c r="N2500" i="3" s="1"/>
  <c r="M7273" i="3"/>
  <c r="N7273" i="3" s="1"/>
  <c r="M4984" i="3"/>
  <c r="N4984" i="3" s="1"/>
  <c r="M82" i="3"/>
  <c r="N82" i="3" s="1"/>
  <c r="M384" i="3"/>
  <c r="N384" i="3" s="1"/>
  <c r="M273" i="3"/>
  <c r="N273" i="3" s="1"/>
  <c r="M170" i="3"/>
  <c r="N170" i="3" s="1"/>
  <c r="M105" i="3"/>
  <c r="N105" i="3" s="1"/>
  <c r="M466" i="3"/>
  <c r="N466" i="3" s="1"/>
  <c r="M925" i="3"/>
  <c r="N925" i="3" s="1"/>
  <c r="M814" i="3"/>
  <c r="N814" i="3" s="1"/>
  <c r="M1530" i="3"/>
  <c r="N1530" i="3" s="1"/>
  <c r="M1620" i="3"/>
  <c r="N1620" i="3" s="1"/>
  <c r="M1627" i="3"/>
  <c r="N1627" i="3" s="1"/>
  <c r="M2428" i="3"/>
  <c r="N2428" i="3" s="1"/>
  <c r="M2614" i="3"/>
  <c r="N2614" i="3" s="1"/>
  <c r="M3086" i="3"/>
  <c r="N3086" i="3" s="1"/>
  <c r="M3547" i="3"/>
  <c r="N3547" i="3" s="1"/>
  <c r="M3690" i="3"/>
  <c r="N3690" i="3" s="1"/>
  <c r="M3984" i="3"/>
  <c r="N3984" i="3" s="1"/>
  <c r="M824" i="3"/>
  <c r="N824" i="3" s="1"/>
  <c r="M1576" i="3"/>
  <c r="N1576" i="3" s="1"/>
  <c r="M1360" i="3"/>
  <c r="N1360" i="3" s="1"/>
  <c r="M1641" i="3"/>
  <c r="N1641" i="3" s="1"/>
  <c r="M2374" i="3"/>
  <c r="N2374" i="3" s="1"/>
  <c r="M2898" i="3"/>
  <c r="N2898" i="3" s="1"/>
  <c r="M2681" i="3"/>
  <c r="N2681" i="3" s="1"/>
  <c r="M3565" i="3"/>
  <c r="N3565" i="3" s="1"/>
  <c r="M4022" i="3"/>
  <c r="N4022" i="3" s="1"/>
  <c r="M1386" i="3"/>
  <c r="N1386" i="3" s="1"/>
  <c r="M2888" i="3"/>
  <c r="N2888" i="3" s="1"/>
  <c r="M830" i="3"/>
  <c r="N830" i="3" s="1"/>
  <c r="M4300" i="3"/>
  <c r="N4300" i="3" s="1"/>
  <c r="M6932" i="3"/>
  <c r="N6932" i="3" s="1"/>
  <c r="M26" i="3"/>
  <c r="N26" i="3" s="1"/>
  <c r="M39" i="3"/>
  <c r="N39" i="3" s="1"/>
  <c r="M194" i="3"/>
  <c r="N194" i="3" s="1"/>
  <c r="M315" i="3"/>
  <c r="N315" i="3" s="1"/>
  <c r="M80" i="3"/>
  <c r="N80" i="3" s="1"/>
  <c r="M223" i="3"/>
  <c r="N223" i="3" s="1"/>
  <c r="M22" i="3"/>
  <c r="N22" i="3" s="1"/>
  <c r="M27" i="3"/>
  <c r="N27" i="3" s="1"/>
  <c r="M168" i="3"/>
  <c r="N168" i="3" s="1"/>
  <c r="M20" i="3"/>
  <c r="N20" i="3" s="1"/>
  <c r="M117" i="3"/>
  <c r="N117" i="3" s="1"/>
  <c r="M225" i="3"/>
  <c r="N225" i="3" s="1"/>
  <c r="M530" i="3"/>
  <c r="N530" i="3" s="1"/>
  <c r="M561" i="3"/>
  <c r="N561" i="3" s="1"/>
  <c r="M886" i="3"/>
  <c r="N886" i="3" s="1"/>
  <c r="M686" i="3"/>
  <c r="N686" i="3" s="1"/>
  <c r="M1210" i="3"/>
  <c r="N1210" i="3" s="1"/>
  <c r="M1308" i="3"/>
  <c r="N1308" i="3" s="1"/>
  <c r="M1575" i="3"/>
  <c r="N1575" i="3" s="1"/>
  <c r="M1138" i="3"/>
  <c r="N1138" i="3" s="1"/>
  <c r="M1019" i="3"/>
  <c r="N1019" i="3" s="1"/>
  <c r="M967" i="3"/>
  <c r="N967" i="3" s="1"/>
  <c r="M1798" i="3"/>
  <c r="N1798" i="3" s="1"/>
  <c r="M2116" i="3"/>
  <c r="N2116" i="3" s="1"/>
  <c r="M2508" i="3"/>
  <c r="N2508" i="3" s="1"/>
  <c r="M2246" i="3"/>
  <c r="N2246" i="3" s="1"/>
  <c r="M2702" i="3"/>
  <c r="N2702" i="3" s="1"/>
  <c r="M2910" i="3"/>
  <c r="N2910" i="3" s="1"/>
  <c r="M3126" i="3"/>
  <c r="N3126" i="3" s="1"/>
  <c r="M2893" i="3"/>
  <c r="N2893" i="3" s="1"/>
  <c r="M3639" i="3"/>
  <c r="N3639" i="3" s="1"/>
  <c r="M3594" i="3"/>
  <c r="N3594" i="3" s="1"/>
  <c r="M3970" i="3"/>
  <c r="N3970" i="3" s="1"/>
  <c r="M4638" i="3"/>
  <c r="N4638" i="3" s="1"/>
  <c r="M403" i="3"/>
  <c r="N403" i="3" s="1"/>
  <c r="M586" i="3"/>
  <c r="N586" i="3" s="1"/>
  <c r="M901" i="3"/>
  <c r="N901" i="3" s="1"/>
  <c r="M1185" i="3"/>
  <c r="N1185" i="3" s="1"/>
  <c r="M1157" i="3"/>
  <c r="N1157" i="3" s="1"/>
  <c r="M1570" i="3"/>
  <c r="N1570" i="3" s="1"/>
  <c r="M1763" i="3"/>
  <c r="N1763" i="3" s="1"/>
  <c r="M1972" i="3"/>
  <c r="N1972" i="3" s="1"/>
  <c r="M2370" i="3"/>
  <c r="N2370" i="3" s="1"/>
  <c r="M2562" i="3"/>
  <c r="N2562" i="3" s="1"/>
  <c r="M2818" i="3"/>
  <c r="N2818" i="3" s="1"/>
  <c r="M3026" i="3"/>
  <c r="N3026" i="3" s="1"/>
  <c r="M3206" i="3"/>
  <c r="N3206" i="3" s="1"/>
  <c r="M2937" i="3"/>
  <c r="N2937" i="3" s="1"/>
  <c r="M2499" i="3"/>
  <c r="N2499" i="3" s="1"/>
  <c r="M3324" i="3"/>
  <c r="N3324" i="3" s="1"/>
  <c r="M3606" i="3"/>
  <c r="N3606" i="3" s="1"/>
  <c r="M4128" i="3"/>
  <c r="N4128" i="3" s="1"/>
  <c r="M770" i="3"/>
  <c r="N770" i="3" s="1"/>
  <c r="M1464" i="3"/>
  <c r="N1464" i="3" s="1"/>
  <c r="M2439" i="3"/>
  <c r="N2439" i="3" s="1"/>
  <c r="M3056" i="3"/>
  <c r="N3056" i="3" s="1"/>
  <c r="M3488" i="3"/>
  <c r="N3488" i="3" s="1"/>
  <c r="M3901" i="3"/>
  <c r="N3901" i="3" s="1"/>
  <c r="M965" i="3"/>
  <c r="N965" i="3" s="1"/>
  <c r="M1663" i="3"/>
  <c r="N1663" i="3" s="1"/>
  <c r="M2705" i="3"/>
  <c r="N2705" i="3" s="1"/>
  <c r="M4167" i="3"/>
  <c r="N4167" i="3" s="1"/>
  <c r="M5235" i="3"/>
  <c r="N5235" i="3" s="1"/>
  <c r="M7149" i="3"/>
  <c r="N7149" i="3" s="1"/>
  <c r="M4123" i="3"/>
  <c r="N4123" i="3" s="1"/>
  <c r="M5322" i="3"/>
  <c r="N5322" i="3" s="1"/>
  <c r="M6760" i="3"/>
  <c r="N6760" i="3" s="1"/>
  <c r="M5243" i="3"/>
  <c r="N5243" i="3" s="1"/>
  <c r="M6751" i="3"/>
  <c r="N6751" i="3" s="1"/>
  <c r="M3732" i="3"/>
  <c r="N3732" i="3" s="1"/>
  <c r="M6206" i="3"/>
  <c r="N6206" i="3" s="1"/>
  <c r="M50" i="3"/>
  <c r="N50" i="3" s="1"/>
  <c r="M71" i="3"/>
  <c r="N71" i="3" s="1"/>
  <c r="M352" i="3"/>
  <c r="N352" i="3" s="1"/>
  <c r="M387" i="3"/>
  <c r="N387" i="3" s="1"/>
  <c r="M61" i="3"/>
  <c r="N61" i="3" s="1"/>
  <c r="M161" i="3"/>
  <c r="N161" i="3" s="1"/>
  <c r="M398" i="3"/>
  <c r="N398" i="3" s="1"/>
  <c r="M30" i="3"/>
  <c r="N30" i="3" s="1"/>
  <c r="M35" i="3"/>
  <c r="N35" i="3" s="1"/>
  <c r="M340" i="3"/>
  <c r="N340" i="3" s="1"/>
  <c r="M17" i="3"/>
  <c r="N17" i="3" s="1"/>
  <c r="M28" i="3"/>
  <c r="N28" i="3" s="1"/>
  <c r="M187" i="3"/>
  <c r="N187" i="3" s="1"/>
  <c r="M414" i="3"/>
  <c r="N414" i="3" s="1"/>
  <c r="M594" i="3"/>
  <c r="N594" i="3" s="1"/>
  <c r="M570" i="3"/>
  <c r="N570" i="3" s="1"/>
  <c r="M918" i="3"/>
  <c r="N918" i="3" s="1"/>
  <c r="M718" i="3"/>
  <c r="N718" i="3" s="1"/>
  <c r="M1142" i="3"/>
  <c r="N1142" i="3" s="1"/>
  <c r="M1340" i="3"/>
  <c r="N1340" i="3" s="1"/>
  <c r="M1621" i="3"/>
  <c r="N1621" i="3" s="1"/>
  <c r="M1430" i="3"/>
  <c r="N1430" i="3" s="1"/>
  <c r="M1348" i="3"/>
  <c r="N1348" i="3" s="1"/>
  <c r="M1173" i="3"/>
  <c r="N1173" i="3" s="1"/>
  <c r="M1580" i="3"/>
  <c r="N1580" i="3" s="1"/>
  <c r="M2212" i="3"/>
  <c r="N2212" i="3" s="1"/>
  <c r="M2294" i="3"/>
  <c r="N2294" i="3" s="1"/>
  <c r="M2502" i="3"/>
  <c r="N2502" i="3" s="1"/>
  <c r="M2742" i="3"/>
  <c r="N2742" i="3" s="1"/>
  <c r="M2958" i="3"/>
  <c r="N2958" i="3" s="1"/>
  <c r="M2523" i="3"/>
  <c r="N2523" i="3" s="1"/>
  <c r="M2973" i="3"/>
  <c r="N2973" i="3" s="1"/>
  <c r="M3398" i="3"/>
  <c r="N3398" i="3" s="1"/>
  <c r="M3680" i="3"/>
  <c r="N3680" i="3" s="1"/>
  <c r="M4066" i="3"/>
  <c r="N4066" i="3" s="1"/>
  <c r="M3917" i="3"/>
  <c r="N3917" i="3" s="1"/>
  <c r="M537" i="3"/>
  <c r="N537" i="3" s="1"/>
  <c r="M696" i="3"/>
  <c r="N696" i="3" s="1"/>
  <c r="M961" i="3"/>
  <c r="N961" i="3" s="1"/>
  <c r="M366" i="3"/>
  <c r="N366" i="3" s="1"/>
  <c r="M1558" i="3"/>
  <c r="N1558" i="3" s="1"/>
  <c r="M1629" i="3"/>
  <c r="N1629" i="3" s="1"/>
  <c r="M1932" i="3"/>
  <c r="N1932" i="3" s="1"/>
  <c r="M1390" i="3"/>
  <c r="N1390" i="3" s="1"/>
  <c r="M1977" i="3"/>
  <c r="N1977" i="3" s="1"/>
  <c r="M2432" i="3"/>
  <c r="N2432" i="3" s="1"/>
  <c r="M2642" i="3"/>
  <c r="N2642" i="3" s="1"/>
  <c r="M2858" i="3"/>
  <c r="N2858" i="3" s="1"/>
  <c r="M3074" i="3"/>
  <c r="N3074" i="3" s="1"/>
  <c r="M2609" i="3"/>
  <c r="N2609" i="3" s="1"/>
  <c r="M3017" i="3"/>
  <c r="N3017" i="3" s="1"/>
  <c r="M3548" i="3"/>
  <c r="N3548" i="3" s="1"/>
  <c r="M3404" i="3"/>
  <c r="N3404" i="3" s="1"/>
  <c r="M3846" i="3"/>
  <c r="N3846" i="3" s="1"/>
  <c r="M418" i="3"/>
  <c r="N418" i="3" s="1"/>
  <c r="M1238" i="3"/>
  <c r="N1238" i="3" s="1"/>
  <c r="M1346" i="3"/>
  <c r="N1346" i="3" s="1"/>
  <c r="M1724" i="3"/>
  <c r="N1724" i="3" s="1"/>
  <c r="M2541" i="3"/>
  <c r="N2541" i="3" s="1"/>
  <c r="M2554" i="3"/>
  <c r="N2554" i="3" s="1"/>
  <c r="M3470" i="3"/>
  <c r="N3470" i="3" s="1"/>
  <c r="M4208" i="3"/>
  <c r="N4208" i="3" s="1"/>
  <c r="M1217" i="3"/>
  <c r="N1217" i="3" s="1"/>
  <c r="M1659" i="3"/>
  <c r="N1659" i="3" s="1"/>
  <c r="M3635" i="3"/>
  <c r="N3635" i="3" s="1"/>
  <c r="M5593" i="3"/>
  <c r="N5593" i="3" s="1"/>
  <c r="M6099" i="3"/>
  <c r="N6099" i="3" s="1"/>
  <c r="M6833" i="3"/>
  <c r="N6833" i="3" s="1"/>
  <c r="M5552" i="3"/>
  <c r="N5552" i="3" s="1"/>
  <c r="M7118" i="3"/>
  <c r="N7118" i="3" s="1"/>
  <c r="M4191" i="3"/>
  <c r="N4191" i="3" s="1"/>
  <c r="M6271" i="3"/>
  <c r="N6271" i="3" s="1"/>
  <c r="M12" i="3"/>
  <c r="N12" i="3" s="1"/>
  <c r="M1745" i="3"/>
  <c r="N1745" i="3" s="1"/>
  <c r="M4439" i="3"/>
  <c r="N4439" i="3" s="1"/>
  <c r="M5866" i="3"/>
  <c r="N5866" i="3" s="1"/>
  <c r="M6440" i="3"/>
  <c r="N6440" i="3" s="1"/>
  <c r="M7308" i="3"/>
  <c r="N7308" i="3" s="1"/>
  <c r="M4991" i="3"/>
  <c r="N4991" i="3" s="1"/>
  <c r="M7103" i="3"/>
  <c r="N7103" i="3" s="1"/>
  <c r="M6971" i="3"/>
  <c r="N6971" i="3" s="1"/>
  <c r="M6365" i="3"/>
  <c r="N6365" i="3" s="1"/>
  <c r="M6447" i="3"/>
  <c r="N6447" i="3" s="1"/>
  <c r="M5579" i="3"/>
  <c r="N5579" i="3" s="1"/>
  <c r="M5357" i="3"/>
  <c r="N5357" i="3" s="1"/>
  <c r="M5326" i="3"/>
  <c r="N5326" i="3" s="1"/>
  <c r="M4929" i="3"/>
  <c r="N4929" i="3" s="1"/>
  <c r="M7096" i="3"/>
  <c r="N7096" i="3" s="1"/>
  <c r="M7122" i="3"/>
  <c r="N7122" i="3" s="1"/>
  <c r="M7275" i="3"/>
  <c r="N7275" i="3" s="1"/>
  <c r="M7304" i="3"/>
  <c r="N7304" i="3" s="1"/>
  <c r="M5651" i="3"/>
  <c r="N5651" i="3" s="1"/>
  <c r="M5500" i="3"/>
  <c r="N5500" i="3" s="1"/>
  <c r="M4452" i="3"/>
  <c r="N4452" i="3" s="1"/>
  <c r="M4807" i="3"/>
  <c r="N4807" i="3" s="1"/>
  <c r="M4784" i="3"/>
  <c r="N4784" i="3" s="1"/>
  <c r="M4695" i="3"/>
  <c r="N4695" i="3" s="1"/>
  <c r="M7401" i="3"/>
  <c r="N7401" i="3" s="1"/>
  <c r="M7089" i="3"/>
  <c r="N7089" i="3" s="1"/>
  <c r="M6755" i="3"/>
  <c r="N6755" i="3" s="1"/>
  <c r="M6425" i="3"/>
  <c r="N6425" i="3" s="1"/>
  <c r="M5913" i="3"/>
  <c r="N5913" i="3" s="1"/>
  <c r="M6227" i="3"/>
  <c r="N6227" i="3" s="1"/>
  <c r="M5491" i="3"/>
  <c r="N5491" i="3" s="1"/>
  <c r="M5605" i="3"/>
  <c r="N5605" i="3" s="1"/>
  <c r="M4560" i="3"/>
  <c r="N4560" i="3" s="1"/>
  <c r="M4870" i="3"/>
  <c r="N4870" i="3" s="1"/>
  <c r="M4825" i="3"/>
  <c r="N4825" i="3" s="1"/>
  <c r="M4056" i="3"/>
  <c r="N4056" i="3" s="1"/>
  <c r="M4014" i="3"/>
  <c r="N4014" i="3" s="1"/>
  <c r="M3232" i="3"/>
  <c r="N3232" i="3" s="1"/>
  <c r="M2961" i="3"/>
  <c r="N2961" i="3" s="1"/>
  <c r="M2916" i="3"/>
  <c r="N2916" i="3" s="1"/>
  <c r="M2504" i="3"/>
  <c r="N2504" i="3" s="1"/>
  <c r="M1970" i="3"/>
  <c r="N1970" i="3" s="1"/>
  <c r="M1744" i="3"/>
  <c r="N1744" i="3" s="1"/>
  <c r="M1683" i="3"/>
  <c r="N1683" i="3" s="1"/>
  <c r="M959" i="3"/>
  <c r="N959" i="3" s="1"/>
  <c r="M1162" i="3"/>
  <c r="N1162" i="3" s="1"/>
  <c r="M1013" i="3"/>
  <c r="N1013" i="3" s="1"/>
  <c r="M780" i="3"/>
  <c r="N780" i="3" s="1"/>
  <c r="M673" i="3"/>
  <c r="N673" i="3" s="1"/>
  <c r="M438" i="3"/>
  <c r="N438" i="3" s="1"/>
  <c r="M4061" i="3"/>
  <c r="N4061" i="3" s="1"/>
  <c r="M4286" i="3"/>
  <c r="N4286" i="3" s="1"/>
  <c r="M3962" i="3"/>
  <c r="N3962" i="3" s="1"/>
  <c r="M3656" i="3"/>
  <c r="N3656" i="3" s="1"/>
  <c r="M3534" i="3"/>
  <c r="N3534" i="3" s="1"/>
  <c r="M3647" i="3"/>
  <c r="N3647" i="3" s="1"/>
  <c r="M2965" i="3"/>
  <c r="N2965" i="3" s="1"/>
  <c r="M2629" i="3"/>
  <c r="N2629" i="3" s="1"/>
  <c r="M3104" i="3"/>
  <c r="N3104" i="3" s="1"/>
  <c r="M2928" i="3"/>
  <c r="N2928" i="3" s="1"/>
  <c r="M2760" i="3"/>
  <c r="N2760" i="3" s="1"/>
  <c r="M2592" i="3"/>
  <c r="N2592" i="3" s="1"/>
  <c r="M2569" i="3"/>
  <c r="N2569" i="3" s="1"/>
  <c r="M2276" i="3"/>
  <c r="N2276" i="3" s="1"/>
  <c r="M2286" i="3"/>
  <c r="N2286" i="3" s="1"/>
  <c r="M1934" i="3"/>
  <c r="N1934" i="3" s="1"/>
  <c r="M1816" i="3"/>
  <c r="N1816" i="3" s="1"/>
  <c r="M1611" i="3"/>
  <c r="N1611" i="3" s="1"/>
  <c r="M1442" i="3"/>
  <c r="N1442" i="3" s="1"/>
  <c r="M1540" i="3"/>
  <c r="N1540" i="3" s="1"/>
  <c r="M1719" i="3"/>
  <c r="N1719" i="3" s="1"/>
  <c r="M1482" i="3"/>
  <c r="N1482" i="3" s="1"/>
  <c r="M1318" i="3"/>
  <c r="N1318" i="3" s="1"/>
  <c r="M810" i="3"/>
  <c r="N810" i="3" s="1"/>
  <c r="M1169" i="3"/>
  <c r="N1169" i="3" s="1"/>
  <c r="M350" i="3"/>
  <c r="N350" i="3" s="1"/>
  <c r="M494" i="3"/>
  <c r="N494" i="3" s="1"/>
  <c r="M394" i="3"/>
  <c r="N394" i="3" s="1"/>
  <c r="M3989" i="3"/>
  <c r="N3989" i="3" s="1"/>
  <c r="M4102" i="3"/>
  <c r="N4102" i="3" s="1"/>
  <c r="M3661" i="3"/>
  <c r="N3661" i="3" s="1"/>
  <c r="M3545" i="3"/>
  <c r="N3545" i="3" s="1"/>
  <c r="M3364" i="3"/>
  <c r="N3364" i="3" s="1"/>
  <c r="M3575" i="3"/>
  <c r="N3575" i="3" s="1"/>
  <c r="M2595" i="3"/>
  <c r="N2595" i="3" s="1"/>
  <c r="M2296" i="3"/>
  <c r="N2296" i="3" s="1"/>
  <c r="M2857" i="3"/>
  <c r="N2857" i="3" s="1"/>
  <c r="M2495" i="3"/>
  <c r="N2495" i="3" s="1"/>
  <c r="M3114" i="3"/>
  <c r="N3114" i="3" s="1"/>
  <c r="M2946" i="3"/>
  <c r="N2946" i="3" s="1"/>
  <c r="M2770" i="3"/>
  <c r="N2770" i="3" s="1"/>
  <c r="M2602" i="3"/>
  <c r="N2602" i="3" s="1"/>
  <c r="M2528" i="3"/>
  <c r="N2528" i="3" s="1"/>
  <c r="M2216" i="3"/>
  <c r="N2216" i="3" s="1"/>
  <c r="M1868" i="3"/>
  <c r="N1868" i="3" s="1"/>
  <c r="M1872" i="3"/>
  <c r="N1872" i="3" s="1"/>
  <c r="M1679" i="3"/>
  <c r="N1679" i="3" s="1"/>
  <c r="M1681" i="3"/>
  <c r="N1681" i="3" s="1"/>
  <c r="M975" i="3"/>
  <c r="N975" i="3" s="1"/>
  <c r="M1130" i="3"/>
  <c r="N1130" i="3" s="1"/>
  <c r="M1001" i="3"/>
  <c r="N1001" i="3" s="1"/>
  <c r="M784" i="3"/>
  <c r="N784" i="3" s="1"/>
  <c r="M283" i="3"/>
  <c r="N283" i="3" s="1"/>
  <c r="M457" i="3"/>
  <c r="N457" i="3" s="1"/>
  <c r="M4109" i="3"/>
  <c r="N4109" i="3" s="1"/>
  <c r="M4226" i="3"/>
  <c r="N4226" i="3" s="1"/>
  <c r="M3890" i="3"/>
  <c r="N3890" i="3" s="1"/>
  <c r="M3518" i="3"/>
  <c r="N3518" i="3" s="1"/>
  <c r="M3438" i="3"/>
  <c r="N3438" i="3" s="1"/>
  <c r="M3149" i="3"/>
  <c r="N3149" i="3" s="1"/>
  <c r="M2813" i="3"/>
  <c r="N2813" i="3" s="1"/>
  <c r="M3166" i="3"/>
  <c r="N3166" i="3" s="1"/>
  <c r="M2998" i="3"/>
  <c r="N2998" i="3" s="1"/>
  <c r="M2830" i="3"/>
  <c r="N2830" i="3" s="1"/>
  <c r="M2654" i="3"/>
  <c r="N2654" i="3" s="1"/>
  <c r="M2422" i="3"/>
  <c r="N2422" i="3" s="1"/>
  <c r="M2450" i="3"/>
  <c r="N2450" i="3" s="1"/>
  <c r="M2360" i="3"/>
  <c r="N2360" i="3" s="1"/>
  <c r="M1984" i="3"/>
  <c r="N1984" i="3" s="1"/>
  <c r="M1842" i="3"/>
  <c r="N1842" i="3" s="1"/>
  <c r="M1721" i="3"/>
  <c r="N1721" i="3" s="1"/>
  <c r="M1492" i="3"/>
  <c r="N1492" i="3" s="1"/>
  <c r="M1739" i="3"/>
  <c r="N1739" i="3" s="1"/>
  <c r="M1366" i="3"/>
  <c r="N1366" i="3" s="1"/>
  <c r="M1658" i="3"/>
  <c r="N1658" i="3" s="1"/>
  <c r="M1468" i="3"/>
  <c r="N1468" i="3" s="1"/>
  <c r="M1011" i="3"/>
  <c r="N1011" i="3" s="1"/>
  <c r="M852" i="3"/>
  <c r="N852" i="3" s="1"/>
  <c r="M750" i="3"/>
  <c r="N750" i="3" s="1"/>
  <c r="M1118" i="3"/>
  <c r="N1118" i="3" s="1"/>
  <c r="M854" i="3"/>
  <c r="N854" i="3" s="1"/>
  <c r="M654" i="3"/>
  <c r="N654" i="3" s="1"/>
  <c r="M291" i="3"/>
  <c r="N291" i="3" s="1"/>
  <c r="M617" i="3"/>
  <c r="N617" i="3" s="1"/>
  <c r="M89" i="3"/>
  <c r="N89" i="3" s="1"/>
  <c r="M171" i="3"/>
  <c r="N171" i="3" s="1"/>
  <c r="M44" i="3"/>
  <c r="N44" i="3" s="1"/>
  <c r="M49" i="3"/>
  <c r="N49" i="3" s="1"/>
  <c r="M330" i="3"/>
  <c r="N330" i="3" s="1"/>
  <c r="M234" i="3"/>
  <c r="N234" i="3" s="1"/>
  <c r="M67" i="3"/>
  <c r="N67" i="3" s="1"/>
  <c r="M11" i="3"/>
  <c r="N11" i="3" s="1"/>
  <c r="M269" i="3"/>
  <c r="N269" i="3" s="1"/>
  <c r="M107" i="3"/>
  <c r="N107" i="3" s="1"/>
  <c r="M16" i="3"/>
  <c r="N16" i="3" s="1"/>
  <c r="M15" i="3"/>
  <c r="N15" i="3" s="1"/>
  <c r="M299" i="3"/>
  <c r="N299" i="3" s="1"/>
  <c r="M258" i="3"/>
  <c r="N258" i="3" s="1"/>
  <c r="M172" i="3"/>
  <c r="N172" i="3" s="1"/>
  <c r="M9" i="3"/>
  <c r="N9" i="3" s="1"/>
  <c r="M18" i="3"/>
  <c r="N18" i="3" s="1"/>
  <c r="M331" i="3"/>
  <c r="N331" i="3" s="1"/>
  <c r="M2663" i="3"/>
  <c r="N2663" i="3" s="1"/>
  <c r="M3817" i="3"/>
  <c r="N3817" i="3" s="1"/>
  <c r="M5756" i="3"/>
  <c r="N5756" i="3" s="1"/>
  <c r="M7114" i="3"/>
  <c r="N7114" i="3" s="1"/>
  <c r="M5686" i="3"/>
  <c r="N5686" i="3" s="1"/>
  <c r="M4036" i="3"/>
  <c r="N4036" i="3" s="1"/>
  <c r="M7001" i="3"/>
  <c r="N7001" i="3" s="1"/>
  <c r="M6981" i="3"/>
  <c r="N6981" i="3" s="1"/>
  <c r="M6021" i="3"/>
  <c r="N6021" i="3" s="1"/>
  <c r="M6103" i="3"/>
  <c r="N6103" i="3" s="1"/>
  <c r="M4907" i="3"/>
  <c r="N4907" i="3" s="1"/>
  <c r="M4648" i="3"/>
  <c r="N4648" i="3" s="1"/>
  <c r="M5617" i="3"/>
  <c r="N5617" i="3" s="1"/>
  <c r="M3855" i="3"/>
  <c r="N3855" i="3" s="1"/>
  <c r="M7542" i="3"/>
  <c r="N7542" i="3" s="1"/>
  <c r="M7619" i="3"/>
  <c r="N7619" i="3" s="1"/>
  <c r="M7648" i="3"/>
  <c r="N7648" i="3" s="1"/>
  <c r="M6766" i="3"/>
  <c r="N6766" i="3" s="1"/>
  <c r="M4986" i="3"/>
  <c r="N4986" i="3" s="1"/>
  <c r="M4988" i="3"/>
  <c r="N4988" i="3" s="1"/>
  <c r="M5319" i="3"/>
  <c r="N5319" i="3" s="1"/>
  <c r="M5296" i="3"/>
  <c r="N5296" i="3" s="1"/>
  <c r="M3867" i="3"/>
  <c r="N3867" i="3" s="1"/>
  <c r="M7657" i="3"/>
  <c r="N7657" i="3" s="1"/>
  <c r="M6999" i="3"/>
  <c r="N6999" i="3" s="1"/>
  <c r="M6545" i="3"/>
  <c r="N6545" i="3" s="1"/>
  <c r="M6893" i="3"/>
  <c r="N6893" i="3" s="1"/>
  <c r="M6169" i="3"/>
  <c r="N6169" i="3" s="1"/>
  <c r="M6483" i="3"/>
  <c r="N6483" i="3" s="1"/>
  <c r="M5971" i="3"/>
  <c r="N5971" i="3" s="1"/>
  <c r="M4979" i="3"/>
  <c r="N4979" i="3" s="1"/>
  <c r="M5093" i="3"/>
  <c r="N5093" i="3" s="1"/>
  <c r="M5382" i="3"/>
  <c r="N5382" i="3" s="1"/>
  <c r="M5337" i="3"/>
  <c r="N5337" i="3" s="1"/>
  <c r="M3911" i="3"/>
  <c r="N3911" i="3" s="1"/>
  <c r="M4526" i="3"/>
  <c r="N4526" i="3" s="1"/>
  <c r="M3626" i="3"/>
  <c r="N3626" i="3" s="1"/>
  <c r="M2515" i="3"/>
  <c r="N2515" i="3" s="1"/>
  <c r="M2341" i="3"/>
  <c r="N2341" i="3" s="1"/>
  <c r="M2660" i="3"/>
  <c r="N2660" i="3" s="1"/>
  <c r="M1953" i="3"/>
  <c r="N1953" i="3" s="1"/>
  <c r="M1269" i="3"/>
  <c r="N1269" i="3" s="1"/>
  <c r="M1581" i="3"/>
  <c r="N1581" i="3" s="1"/>
  <c r="M1569" i="3"/>
  <c r="N1569" i="3" s="1"/>
  <c r="M844" i="3"/>
  <c r="N844" i="3" s="1"/>
  <c r="M1093" i="3"/>
  <c r="N1093" i="3" s="1"/>
  <c r="M909" i="3"/>
  <c r="N909" i="3" s="1"/>
  <c r="M700" i="3"/>
  <c r="N700" i="3" s="1"/>
  <c r="M598" i="3"/>
  <c r="N598" i="3" s="1"/>
  <c r="M3968" i="3"/>
  <c r="N3968" i="3" s="1"/>
  <c r="M4550" i="3"/>
  <c r="N4550" i="3" s="1"/>
  <c r="M4122" i="3"/>
  <c r="N4122" i="3" s="1"/>
  <c r="M3684" i="3"/>
  <c r="N3684" i="3" s="1"/>
  <c r="M3578" i="3"/>
  <c r="N3578" i="3" s="1"/>
  <c r="M3442" i="3"/>
  <c r="N3442" i="3" s="1"/>
  <c r="M3141" i="3"/>
  <c r="N3141" i="3" s="1"/>
  <c r="M2805" i="3"/>
  <c r="N2805" i="3" s="1"/>
  <c r="M2349" i="3"/>
  <c r="N2349" i="3" s="1"/>
  <c r="M3016" i="3"/>
  <c r="N3016" i="3" s="1"/>
  <c r="M2848" i="3"/>
  <c r="N2848" i="3" s="1"/>
  <c r="M2672" i="3"/>
  <c r="N2672" i="3" s="1"/>
  <c r="M2462" i="3"/>
  <c r="N2462" i="3" s="1"/>
  <c r="M2522" i="3"/>
  <c r="N2522" i="3" s="1"/>
  <c r="M2408" i="3"/>
  <c r="N2408" i="3" s="1"/>
  <c r="M2108" i="3"/>
  <c r="N2108" i="3" s="1"/>
  <c r="M1936" i="3"/>
  <c r="N1936" i="3" s="1"/>
  <c r="M1680" i="3"/>
  <c r="N1680" i="3" s="1"/>
  <c r="M971" i="3"/>
  <c r="N971" i="3" s="1"/>
  <c r="M1384" i="3"/>
  <c r="N1384" i="3" s="1"/>
  <c r="M1605" i="3"/>
  <c r="N1605" i="3" s="1"/>
  <c r="M1320" i="3"/>
  <c r="N1320" i="3" s="1"/>
  <c r="M914" i="3"/>
  <c r="N914" i="3" s="1"/>
  <c r="M722" i="3"/>
  <c r="N722" i="3" s="1"/>
  <c r="M912" i="3"/>
  <c r="N912" i="3" s="1"/>
  <c r="M506" i="3"/>
  <c r="N506" i="3" s="1"/>
  <c r="M565" i="3"/>
  <c r="N565" i="3" s="1"/>
  <c r="M3928" i="3"/>
  <c r="N3928" i="3" s="1"/>
  <c r="M4366" i="3"/>
  <c r="N4366" i="3" s="1"/>
  <c r="M3926" i="3"/>
  <c r="N3926" i="3" s="1"/>
  <c r="M3633" i="3"/>
  <c r="N3633" i="3" s="1"/>
  <c r="M3452" i="3"/>
  <c r="N3452" i="3" s="1"/>
  <c r="M3276" i="3"/>
  <c r="N3276" i="3" s="1"/>
  <c r="M3643" i="3"/>
  <c r="N3643" i="3" s="1"/>
  <c r="M2558" i="3"/>
  <c r="N2558" i="3" s="1"/>
  <c r="M919" i="3"/>
  <c r="N919" i="3" s="1"/>
  <c r="M3253" i="3"/>
  <c r="N3253" i="3" s="1"/>
  <c r="M4296" i="3"/>
  <c r="N4296" i="3" s="1"/>
  <c r="M6100" i="3"/>
  <c r="N6100" i="3" s="1"/>
  <c r="M7279" i="3"/>
  <c r="N7279" i="3" s="1"/>
  <c r="M4652" i="3"/>
  <c r="N4652" i="3" s="1"/>
  <c r="M7485" i="3"/>
  <c r="N7485" i="3" s="1"/>
  <c r="M6665" i="3"/>
  <c r="N6665" i="3" s="1"/>
  <c r="M6631" i="3"/>
  <c r="N6631" i="3" s="1"/>
  <c r="M5853" i="3"/>
  <c r="N5853" i="3" s="1"/>
  <c r="M5935" i="3"/>
  <c r="N5935" i="3" s="1"/>
  <c r="M5668" i="3"/>
  <c r="N5668" i="3" s="1"/>
  <c r="M4312" i="3"/>
  <c r="N4312" i="3" s="1"/>
  <c r="M5281" i="3"/>
  <c r="N5281" i="3" s="1"/>
  <c r="M4490" i="3"/>
  <c r="N4490" i="3" s="1"/>
  <c r="M7374" i="3"/>
  <c r="N7374" i="3" s="1"/>
  <c r="M7451" i="3"/>
  <c r="N7451" i="3" s="1"/>
  <c r="M7472" i="3"/>
  <c r="N7472" i="3" s="1"/>
  <c r="M6635" i="3"/>
  <c r="N6635" i="3" s="1"/>
  <c r="M5714" i="3"/>
  <c r="N5714" i="3" s="1"/>
  <c r="M4732" i="3"/>
  <c r="N4732" i="3" s="1"/>
  <c r="M5063" i="3"/>
  <c r="N5063" i="3" s="1"/>
  <c r="M5040" i="3"/>
  <c r="N5040" i="3" s="1"/>
  <c r="M4092" i="3"/>
  <c r="N4092" i="3" s="1"/>
  <c r="M7529" i="3"/>
  <c r="N7529" i="3" s="1"/>
  <c r="M6743" i="3"/>
  <c r="N6743" i="3" s="1"/>
  <c r="M7011" i="3"/>
  <c r="N7011" i="3" s="1"/>
  <c r="M6638" i="3"/>
  <c r="N6638" i="3" s="1"/>
  <c r="M6041" i="3"/>
  <c r="N6041" i="3" s="1"/>
  <c r="M6355" i="3"/>
  <c r="N6355" i="3" s="1"/>
  <c r="M5843" i="3"/>
  <c r="N5843" i="3" s="1"/>
  <c r="M4723" i="3"/>
  <c r="N4723" i="3" s="1"/>
  <c r="M4837" i="3"/>
  <c r="N4837" i="3" s="1"/>
  <c r="M5126" i="3"/>
  <c r="N5126" i="3" s="1"/>
  <c r="M5081" i="3"/>
  <c r="N5081" i="3" s="1"/>
  <c r="M4290" i="3"/>
  <c r="N4290" i="3" s="1"/>
  <c r="M4270" i="3"/>
  <c r="N4270" i="3" s="1"/>
  <c r="M3360" i="3"/>
  <c r="N3360" i="3" s="1"/>
  <c r="M2356" i="3"/>
  <c r="N2356" i="3" s="1"/>
  <c r="M3044" i="3"/>
  <c r="N3044" i="3" s="1"/>
  <c r="M2513" i="3"/>
  <c r="N2513" i="3" s="1"/>
  <c r="M2046" i="3"/>
  <c r="N2046" i="3" s="1"/>
  <c r="M1833" i="3"/>
  <c r="N1833" i="3" s="1"/>
  <c r="M908" i="3"/>
  <c r="N908" i="3" s="1"/>
  <c r="M1221" i="3"/>
  <c r="N1221" i="3" s="1"/>
  <c r="M1158" i="3"/>
  <c r="N1158" i="3" s="1"/>
  <c r="M1053" i="3"/>
  <c r="N1053" i="3" s="1"/>
  <c r="M828" i="3"/>
  <c r="N828" i="3" s="1"/>
  <c r="M522" i="3"/>
  <c r="N522" i="3" s="1"/>
  <c r="M518" i="3"/>
  <c r="N518" i="3" s="1"/>
  <c r="M4253" i="3"/>
  <c r="N4253" i="3" s="1"/>
  <c r="M4326" i="3"/>
  <c r="N4326" i="3" s="1"/>
  <c r="M4042" i="3"/>
  <c r="N4042" i="3" s="1"/>
  <c r="M3604" i="3"/>
  <c r="N3604" i="3" s="1"/>
  <c r="M3544" i="3"/>
  <c r="N3544" i="3" s="1"/>
  <c r="M3402" i="3"/>
  <c r="N3402" i="3" s="1"/>
  <c r="M3061" i="3"/>
  <c r="N3061" i="3" s="1"/>
  <c r="M2709" i="3"/>
  <c r="N2709" i="3" s="1"/>
  <c r="M3144" i="3"/>
  <c r="N3144" i="3" s="1"/>
  <c r="M2976" i="3"/>
  <c r="N2976" i="3" s="1"/>
  <c r="M2800" i="3"/>
  <c r="N2800" i="3" s="1"/>
  <c r="M2632" i="3"/>
  <c r="N2632" i="3" s="1"/>
  <c r="M2350" i="3"/>
  <c r="N2350" i="3" s="1"/>
  <c r="M2426" i="3"/>
  <c r="N2426" i="3" s="1"/>
  <c r="M2353" i="3"/>
  <c r="N2353" i="3" s="1"/>
  <c r="M1966" i="3"/>
  <c r="N1966" i="3" s="1"/>
  <c r="M1502" i="3"/>
  <c r="N1502" i="3" s="1"/>
  <c r="M1864" i="3"/>
  <c r="N1864" i="3" s="1"/>
  <c r="M1522" i="3"/>
  <c r="N1522" i="3" s="1"/>
  <c r="M1737" i="3"/>
  <c r="N1737" i="3" s="1"/>
  <c r="M874" i="3"/>
  <c r="N874" i="3" s="1"/>
  <c r="M1546" i="3"/>
  <c r="N1546" i="3" s="1"/>
  <c r="M1027" i="3"/>
  <c r="N1027" i="3" s="1"/>
  <c r="M1197" i="3"/>
  <c r="N1197" i="3" s="1"/>
  <c r="M682" i="3"/>
  <c r="N682" i="3" s="1"/>
  <c r="M872" i="3"/>
  <c r="N872" i="3" s="1"/>
  <c r="M574" i="3"/>
  <c r="N574" i="3" s="1"/>
  <c r="M485" i="3"/>
  <c r="N485" i="3" s="1"/>
  <c r="M4181" i="3"/>
  <c r="N4181" i="3" s="1"/>
  <c r="M4182" i="3"/>
  <c r="N4182" i="3" s="1"/>
  <c r="M208" i="3"/>
  <c r="N208" i="3" s="1"/>
  <c r="M33" i="3"/>
  <c r="N33" i="3" s="1"/>
  <c r="M104" i="3"/>
  <c r="N104" i="3" s="1"/>
  <c r="M58" i="3"/>
  <c r="N58" i="3" s="1"/>
  <c r="M47" i="3"/>
  <c r="N47" i="3" s="1"/>
  <c r="M79" i="3"/>
  <c r="N79" i="3" s="1"/>
  <c r="M160" i="3"/>
  <c r="N160" i="3" s="1"/>
  <c r="M230" i="3"/>
  <c r="N230" i="3" s="1"/>
  <c r="M178" i="3"/>
  <c r="N178" i="3" s="1"/>
  <c r="M210" i="3"/>
  <c r="N210" i="3" s="1"/>
  <c r="M274" i="3"/>
  <c r="N274" i="3" s="1"/>
  <c r="M360" i="3"/>
  <c r="N360" i="3" s="1"/>
  <c r="M162" i="3"/>
  <c r="N162" i="3" s="1"/>
  <c r="M279" i="3"/>
  <c r="N279" i="3" s="1"/>
  <c r="M303" i="3"/>
  <c r="N303" i="3" s="1"/>
  <c r="M319" i="3"/>
  <c r="N319" i="3" s="1"/>
  <c r="M406" i="3"/>
  <c r="N406" i="3" s="1"/>
  <c r="M378" i="3"/>
  <c r="N378" i="3" s="1"/>
  <c r="M37" i="3"/>
  <c r="N37" i="3" s="1"/>
  <c r="M69" i="3"/>
  <c r="N69" i="3" s="1"/>
  <c r="M56" i="3"/>
  <c r="N56" i="3" s="1"/>
  <c r="M94" i="3"/>
  <c r="N94" i="3" s="1"/>
  <c r="M111" i="3"/>
  <c r="N111" i="3" s="1"/>
  <c r="M181" i="3"/>
  <c r="N181" i="3" s="1"/>
  <c r="M213" i="3"/>
  <c r="N213" i="3" s="1"/>
  <c r="M245" i="3"/>
  <c r="N245" i="3" s="1"/>
  <c r="M277" i="3"/>
  <c r="N277" i="3" s="1"/>
  <c r="M255" i="3"/>
  <c r="N255" i="3" s="1"/>
  <c r="M175" i="3"/>
  <c r="N175" i="3" s="1"/>
  <c r="M354" i="3"/>
  <c r="N354" i="3" s="1"/>
  <c r="M38" i="3"/>
  <c r="N38" i="3" s="1"/>
  <c r="M70" i="3"/>
  <c r="N70" i="3" s="1"/>
  <c r="M90" i="3"/>
  <c r="N90" i="3" s="1"/>
  <c r="M43" i="3"/>
  <c r="N43" i="3" s="1"/>
  <c r="M75" i="3"/>
  <c r="N75" i="3" s="1"/>
  <c r="M190" i="3"/>
  <c r="N190" i="3" s="1"/>
  <c r="M254" i="3"/>
  <c r="N254" i="3" s="1"/>
  <c r="M186" i="3"/>
  <c r="N186" i="3" s="1"/>
  <c r="M250" i="3"/>
  <c r="N250" i="3" s="1"/>
  <c r="M348" i="3"/>
  <c r="N348" i="3" s="1"/>
  <c r="M380" i="3"/>
  <c r="N380" i="3" s="1"/>
  <c r="M249" i="3"/>
  <c r="N249" i="3" s="1"/>
  <c r="M362" i="3"/>
  <c r="N362" i="3" s="1"/>
  <c r="M57" i="3"/>
  <c r="N57" i="3" s="1"/>
  <c r="M52" i="3"/>
  <c r="N52" i="3" s="1"/>
  <c r="M84" i="3"/>
  <c r="N84" i="3" s="1"/>
  <c r="M109" i="3"/>
  <c r="N109" i="3" s="1"/>
  <c r="M164" i="3"/>
  <c r="N164" i="3" s="1"/>
  <c r="M179" i="3"/>
  <c r="N179" i="3" s="1"/>
  <c r="M195" i="3"/>
  <c r="N195" i="3" s="1"/>
  <c r="M227" i="3"/>
  <c r="N227" i="3" s="1"/>
  <c r="M259" i="3"/>
  <c r="N259" i="3" s="1"/>
  <c r="M154" i="3"/>
  <c r="N154" i="3" s="1"/>
  <c r="M257" i="3"/>
  <c r="N257" i="3" s="1"/>
  <c r="M152" i="3"/>
  <c r="N152" i="3" s="1"/>
  <c r="M338" i="3"/>
  <c r="N338" i="3" s="1"/>
  <c r="M265" i="3"/>
  <c r="N265" i="3" s="1"/>
  <c r="M482" i="3"/>
  <c r="N482" i="3" s="1"/>
  <c r="M546" i="3"/>
  <c r="N546" i="3" s="1"/>
  <c r="M610" i="3"/>
  <c r="N610" i="3" s="1"/>
  <c r="M390" i="3"/>
  <c r="N390" i="3" s="1"/>
  <c r="M449" i="3"/>
  <c r="N449" i="3" s="1"/>
  <c r="M513" i="3"/>
  <c r="N513" i="3" s="1"/>
  <c r="M577" i="3"/>
  <c r="N577" i="3" s="1"/>
  <c r="M670" i="3"/>
  <c r="N670" i="3" s="1"/>
  <c r="M621" i="3"/>
  <c r="N621" i="3" s="1"/>
  <c r="M889" i="3"/>
  <c r="N889" i="3" s="1"/>
  <c r="M382" i="3"/>
  <c r="N382" i="3" s="1"/>
  <c r="M862" i="3"/>
  <c r="N862" i="3" s="1"/>
  <c r="M894" i="3"/>
  <c r="N894" i="3" s="1"/>
  <c r="M490" i="3"/>
  <c r="N490" i="3" s="1"/>
  <c r="M834" i="3"/>
  <c r="N834" i="3" s="1"/>
  <c r="M1137" i="3"/>
  <c r="N1137" i="3" s="1"/>
  <c r="M1265" i="3"/>
  <c r="N1265" i="3" s="1"/>
  <c r="M694" i="3"/>
  <c r="N694" i="3" s="1"/>
  <c r="M726" i="3"/>
  <c r="N726" i="3" s="1"/>
  <c r="M758" i="3"/>
  <c r="N758" i="3" s="1"/>
  <c r="M790" i="3"/>
  <c r="N790" i="3" s="1"/>
  <c r="M822" i="3"/>
  <c r="N822" i="3" s="1"/>
  <c r="M1229" i="3"/>
  <c r="N1229" i="3" s="1"/>
  <c r="M884" i="3"/>
  <c r="N884" i="3" s="1"/>
  <c r="M1161" i="3"/>
  <c r="N1161" i="3" s="1"/>
  <c r="M1306" i="3"/>
  <c r="N1306" i="3" s="1"/>
  <c r="M1338" i="3"/>
  <c r="N1338" i="3" s="1"/>
  <c r="M1043" i="3"/>
  <c r="N1043" i="3" s="1"/>
  <c r="M1316" i="3"/>
  <c r="N1316" i="3" s="1"/>
  <c r="M1356" i="3"/>
  <c r="N1356" i="3" s="1"/>
  <c r="M1420" i="3"/>
  <c r="N1420" i="3" s="1"/>
  <c r="M1484" i="3"/>
  <c r="N1484" i="3" s="1"/>
  <c r="M1543" i="3"/>
  <c r="N1543" i="3" s="1"/>
  <c r="M1589" i="3"/>
  <c r="N1589" i="3" s="1"/>
  <c r="M1626" i="3"/>
  <c r="N1626" i="3" s="1"/>
  <c r="M1671" i="3"/>
  <c r="N1671" i="3" s="1"/>
  <c r="M1717" i="3"/>
  <c r="N1717" i="3" s="1"/>
  <c r="M1750" i="3"/>
  <c r="N1750" i="3" s="1"/>
  <c r="M1189" i="3"/>
  <c r="N1189" i="3" s="1"/>
  <c r="M1382" i="3"/>
  <c r="N1382" i="3" s="1"/>
  <c r="M1446" i="3"/>
  <c r="N1446" i="3" s="1"/>
  <c r="M1510" i="3"/>
  <c r="N1510" i="3" s="1"/>
  <c r="M1652" i="3"/>
  <c r="N1652" i="3" s="1"/>
  <c r="M1755" i="3"/>
  <c r="N1755" i="3" s="1"/>
  <c r="M1051" i="3"/>
  <c r="N1051" i="3" s="1"/>
  <c r="M1364" i="3"/>
  <c r="N1364" i="3" s="1"/>
  <c r="M1428" i="3"/>
  <c r="N1428" i="3" s="1"/>
  <c r="M1508" i="3"/>
  <c r="N1508" i="3" s="1"/>
  <c r="M1664" i="3"/>
  <c r="N1664" i="3" s="1"/>
  <c r="M999" i="3"/>
  <c r="N999" i="3" s="1"/>
  <c r="M1547" i="3"/>
  <c r="N1547" i="3" s="1"/>
  <c r="M1857" i="3"/>
  <c r="N1857" i="3" s="1"/>
  <c r="M1912" i="3"/>
  <c r="N1912" i="3" s="1"/>
  <c r="M1673" i="3"/>
  <c r="N1673" i="3" s="1"/>
  <c r="M1814" i="3"/>
  <c r="N1814" i="3" s="1"/>
  <c r="M1205" i="3"/>
  <c r="N1205" i="3" s="1"/>
  <c r="M1708" i="3"/>
  <c r="N1708" i="3" s="1"/>
  <c r="M1759" i="3"/>
  <c r="N1759" i="3" s="1"/>
  <c r="M1952" i="3"/>
  <c r="N1952" i="3" s="1"/>
  <c r="M1992" i="3"/>
  <c r="N1992" i="3" s="1"/>
  <c r="M2148" i="3"/>
  <c r="N2148" i="3" s="1"/>
  <c r="M2228" i="3"/>
  <c r="N2228" i="3" s="1"/>
  <c r="M2316" i="3"/>
  <c r="N2316" i="3" s="1"/>
  <c r="M2378" i="3"/>
  <c r="N2378" i="3" s="1"/>
  <c r="M2444" i="3"/>
  <c r="N2444" i="3" s="1"/>
  <c r="M2524" i="3"/>
  <c r="N2524" i="3" s="1"/>
  <c r="M2364" i="3"/>
  <c r="N2364" i="3" s="1"/>
  <c r="M2466" i="3"/>
  <c r="N2466" i="3" s="1"/>
  <c r="M2261" i="3"/>
  <c r="N2261" i="3" s="1"/>
  <c r="M2567" i="3"/>
  <c r="N2567" i="3" s="1"/>
  <c r="M2292" i="3"/>
  <c r="N2292" i="3" s="1"/>
  <c r="M2438" i="3"/>
  <c r="N2438" i="3" s="1"/>
  <c r="M2534" i="3"/>
  <c r="N2534" i="3" s="1"/>
  <c r="M2582" i="3"/>
  <c r="N2582" i="3" s="1"/>
  <c r="M2622" i="3"/>
  <c r="N2622" i="3" s="1"/>
  <c r="M2670" i="3"/>
  <c r="N2670" i="3" s="1"/>
  <c r="M2710" i="3"/>
  <c r="N2710" i="3" s="1"/>
  <c r="M2750" i="3"/>
  <c r="N2750" i="3" s="1"/>
  <c r="M2798" i="3"/>
  <c r="N2798" i="3" s="1"/>
  <c r="M2838" i="3"/>
  <c r="N2838" i="3" s="1"/>
  <c r="M2878" i="3"/>
  <c r="N2878" i="3" s="1"/>
  <c r="M2926" i="3"/>
  <c r="N2926" i="3" s="1"/>
  <c r="M2966" i="3"/>
  <c r="N2966" i="3" s="1"/>
  <c r="M3006" i="3"/>
  <c r="N3006" i="3" s="1"/>
  <c r="M3054" i="3"/>
  <c r="N3054" i="3" s="1"/>
  <c r="M3094" i="3"/>
  <c r="N3094" i="3" s="1"/>
  <c r="M3134" i="3"/>
  <c r="N3134" i="3" s="1"/>
  <c r="M2381" i="3"/>
  <c r="N2381" i="3" s="1"/>
  <c r="M2571" i="3"/>
  <c r="N2571" i="3" s="1"/>
  <c r="M2653" i="3"/>
  <c r="N2653" i="3" s="1"/>
  <c r="M2749" i="3"/>
  <c r="N2749" i="3" s="1"/>
  <c r="M2829" i="3"/>
  <c r="N2829" i="3" s="1"/>
  <c r="M2909" i="3"/>
  <c r="N2909" i="3" s="1"/>
  <c r="M3005" i="3"/>
  <c r="N3005" i="3" s="1"/>
  <c r="M3085" i="3"/>
  <c r="N3085" i="3" s="1"/>
  <c r="M3165" i="3"/>
  <c r="N3165" i="3" s="1"/>
  <c r="M3579" i="3"/>
  <c r="N3579" i="3" s="1"/>
  <c r="M3655" i="3"/>
  <c r="N3655" i="3" s="1"/>
  <c r="M3406" i="3"/>
  <c r="N3406" i="3" s="1"/>
  <c r="M3550" i="3"/>
  <c r="N3550" i="3" s="1"/>
  <c r="M3551" i="3"/>
  <c r="N3551" i="3" s="1"/>
  <c r="M3530" i="3"/>
  <c r="N3530" i="3" s="1"/>
  <c r="M3634" i="3"/>
  <c r="N3634" i="3" s="1"/>
  <c r="M3616" i="3"/>
  <c r="N3616" i="3" s="1"/>
  <c r="M3707" i="3"/>
  <c r="N3707" i="3" s="1"/>
  <c r="M3644" i="3"/>
  <c r="N3644" i="3" s="1"/>
  <c r="M3694" i="3"/>
  <c r="N3694" i="3" s="1"/>
  <c r="M3906" i="3"/>
  <c r="N3906" i="3" s="1"/>
  <c r="M4002" i="3"/>
  <c r="N4002" i="3" s="1"/>
  <c r="M4082" i="3"/>
  <c r="N4082" i="3" s="1"/>
  <c r="M4162" i="3"/>
  <c r="N4162" i="3" s="1"/>
  <c r="M4258" i="3"/>
  <c r="N4258" i="3" s="1"/>
  <c r="M4582" i="3"/>
  <c r="N4582" i="3" s="1"/>
  <c r="M4670" i="3"/>
  <c r="N4670" i="3" s="1"/>
  <c r="M3981" i="3"/>
  <c r="N3981" i="3" s="1"/>
  <c r="M4141" i="3"/>
  <c r="N4141" i="3" s="1"/>
  <c r="M3856" i="3"/>
  <c r="N3856" i="3" s="1"/>
  <c r="M4048" i="3"/>
  <c r="N4048" i="3" s="1"/>
  <c r="M231" i="3"/>
  <c r="N231" i="3" s="1"/>
  <c r="M473" i="3"/>
  <c r="N473" i="3" s="1"/>
  <c r="M569" i="3"/>
  <c r="N569" i="3" s="1"/>
  <c r="M405" i="3"/>
  <c r="N405" i="3" s="1"/>
  <c r="M461" i="3"/>
  <c r="N461" i="3" s="1"/>
  <c r="M342" i="3"/>
  <c r="N342" i="3" s="1"/>
  <c r="M637" i="3"/>
  <c r="N637" i="3" s="1"/>
  <c r="M704" i="3"/>
  <c r="N704" i="3" s="1"/>
  <c r="M752" i="3"/>
  <c r="N752" i="3" s="1"/>
  <c r="M792" i="3"/>
  <c r="N792" i="3" s="1"/>
  <c r="M837" i="3"/>
  <c r="N837" i="3" s="1"/>
  <c r="M929" i="3"/>
  <c r="N929" i="3" s="1"/>
  <c r="M969" i="3"/>
  <c r="N969" i="3" s="1"/>
  <c r="M1009" i="3"/>
  <c r="N1009" i="3" s="1"/>
  <c r="M1057" i="3"/>
  <c r="N1057" i="3" s="1"/>
  <c r="M1097" i="3"/>
  <c r="N1097" i="3" s="1"/>
  <c r="M1230" i="3"/>
  <c r="N1230" i="3" s="1"/>
  <c r="M1194" i="3"/>
  <c r="N1194" i="3" s="1"/>
  <c r="M1126" i="3"/>
  <c r="N1126" i="3" s="1"/>
  <c r="M1273" i="3"/>
  <c r="N1273" i="3" s="1"/>
  <c r="M1640" i="3"/>
  <c r="N1640" i="3" s="1"/>
  <c r="M1007" i="3"/>
  <c r="N1007" i="3" s="1"/>
  <c r="M1234" i="3"/>
  <c r="N1234" i="3" s="1"/>
  <c r="M1585" i="3"/>
  <c r="N1585" i="3" s="1"/>
  <c r="M1635" i="3"/>
  <c r="N1635" i="3" s="1"/>
  <c r="M1686" i="3"/>
  <c r="N1686" i="3" s="1"/>
  <c r="M1533" i="3"/>
  <c r="N1533" i="3" s="1"/>
  <c r="M1583" i="3"/>
  <c r="N1583" i="3" s="1"/>
  <c r="M1634" i="3"/>
  <c r="N1634" i="3" s="1"/>
  <c r="M1698" i="3"/>
  <c r="N1698" i="3" s="1"/>
  <c r="M1746" i="3"/>
  <c r="N1746" i="3" s="1"/>
  <c r="M1424" i="3"/>
  <c r="N1424" i="3" s="1"/>
  <c r="M1809" i="3"/>
  <c r="N1809" i="3" s="1"/>
  <c r="M1881" i="3"/>
  <c r="N1881" i="3" s="1"/>
  <c r="M1358" i="3"/>
  <c r="N1358" i="3" s="1"/>
  <c r="M1561" i="3"/>
  <c r="N1561" i="3" s="1"/>
  <c r="M1797" i="3"/>
  <c r="N1797" i="3" s="1"/>
  <c r="M1454" i="3"/>
  <c r="N1454" i="3" s="1"/>
  <c r="M1723" i="3"/>
  <c r="N1723" i="3" s="1"/>
  <c r="M1810" i="3"/>
  <c r="N1810" i="3" s="1"/>
  <c r="M1914" i="3"/>
  <c r="N1914" i="3" s="1"/>
  <c r="M1988" i="3"/>
  <c r="N1988" i="3" s="1"/>
  <c r="M1993" i="3"/>
  <c r="N1993" i="3" s="1"/>
  <c r="M2152" i="3"/>
  <c r="N2152" i="3" s="1"/>
  <c r="M2253" i="3"/>
  <c r="N2253" i="3" s="1"/>
  <c r="M2329" i="3"/>
  <c r="N2329" i="3" s="1"/>
  <c r="M2384" i="3"/>
  <c r="N2384" i="3" s="1"/>
  <c r="M2464" i="3"/>
  <c r="N2464" i="3" s="1"/>
  <c r="M1965" i="3"/>
  <c r="N1965" i="3" s="1"/>
  <c r="M2406" i="3"/>
  <c r="N2406" i="3" s="1"/>
  <c r="M2505" i="3"/>
  <c r="N2505" i="3" s="1"/>
  <c r="M2570" i="3"/>
  <c r="N2570" i="3" s="1"/>
  <c r="M2610" i="3"/>
  <c r="N2610" i="3" s="1"/>
  <c r="M2658" i="3"/>
  <c r="N2658" i="3" s="1"/>
  <c r="M2698" i="3"/>
  <c r="N2698" i="3" s="1"/>
  <c r="M2738" i="3"/>
  <c r="N2738" i="3" s="1"/>
  <c r="M2786" i="3"/>
  <c r="N2786" i="3" s="1"/>
  <c r="M2826" i="3"/>
  <c r="N2826" i="3" s="1"/>
  <c r="M2866" i="3"/>
  <c r="N2866" i="3" s="1"/>
  <c r="M2914" i="3"/>
  <c r="N2914" i="3" s="1"/>
  <c r="M2954" i="3"/>
  <c r="N2954" i="3" s="1"/>
  <c r="M2994" i="3"/>
  <c r="N2994" i="3" s="1"/>
  <c r="M3042" i="3"/>
  <c r="N3042" i="3" s="1"/>
  <c r="M3082" i="3"/>
  <c r="N3082" i="3" s="1"/>
  <c r="M3122" i="3"/>
  <c r="N3122" i="3" s="1"/>
  <c r="M3170" i="3"/>
  <c r="N3170" i="3" s="1"/>
  <c r="M3190" i="3"/>
  <c r="N3190" i="3" s="1"/>
  <c r="M2293" i="3"/>
  <c r="N2293" i="3" s="1"/>
  <c r="M2545" i="3"/>
  <c r="N2545" i="3" s="1"/>
  <c r="M2623" i="3"/>
  <c r="N2623" i="3" s="1"/>
  <c r="M2697" i="3"/>
  <c r="N2697" i="3" s="1"/>
  <c r="M2793" i="3"/>
  <c r="N2793" i="3" s="1"/>
  <c r="M2873" i="3"/>
  <c r="N2873" i="3" s="1"/>
  <c r="M2953" i="3"/>
  <c r="N2953" i="3" s="1"/>
  <c r="M3049" i="3"/>
  <c r="N3049" i="3" s="1"/>
  <c r="M3129" i="3"/>
  <c r="N3129" i="3" s="1"/>
  <c r="M2340" i="3"/>
  <c r="N2340" i="3" s="1"/>
  <c r="M2477" i="3"/>
  <c r="N2477" i="3" s="1"/>
  <c r="M2333" i="3"/>
  <c r="N2333" i="3" s="1"/>
  <c r="M2531" i="3"/>
  <c r="N2531" i="3" s="1"/>
  <c r="M3450" i="3"/>
  <c r="N3450" i="3" s="1"/>
  <c r="M3571" i="3"/>
  <c r="N3571" i="3" s="1"/>
  <c r="M3659" i="3"/>
  <c r="N3659" i="3" s="1"/>
  <c r="M3597" i="3"/>
  <c r="N3597" i="3" s="1"/>
  <c r="M3584" i="3"/>
  <c r="N3584" i="3" s="1"/>
  <c r="M3244" i="3"/>
  <c r="N3244" i="3" s="1"/>
  <c r="M3292" i="3"/>
  <c r="N3292" i="3" s="1"/>
  <c r="M3332" i="3"/>
  <c r="N3332" i="3" s="1"/>
  <c r="M3372" i="3"/>
  <c r="N3372" i="3" s="1"/>
  <c r="M3420" i="3"/>
  <c r="N3420" i="3" s="1"/>
  <c r="M3460" i="3"/>
  <c r="N3460" i="3" s="1"/>
  <c r="M3500" i="3"/>
  <c r="N3500" i="3" s="1"/>
  <c r="M3577" i="3"/>
  <c r="N3577" i="3" s="1"/>
  <c r="M3462" i="3"/>
  <c r="N3462" i="3" s="1"/>
  <c r="M3649" i="3"/>
  <c r="N3649" i="3" s="1"/>
  <c r="M3670" i="3"/>
  <c r="N3670" i="3" s="1"/>
  <c r="M3677" i="3"/>
  <c r="N3677" i="3" s="1"/>
  <c r="M3862" i="3"/>
  <c r="N3862" i="3" s="1"/>
  <c r="M3958" i="3"/>
  <c r="N3958" i="3" s="1"/>
  <c r="M4038" i="3"/>
  <c r="N4038" i="3" s="1"/>
  <c r="M4118" i="3"/>
  <c r="N4118" i="3" s="1"/>
  <c r="M4214" i="3"/>
  <c r="N4214" i="3" s="1"/>
  <c r="M4398" i="3"/>
  <c r="N4398" i="3" s="1"/>
  <c r="M3861" i="3"/>
  <c r="N3861" i="3" s="1"/>
  <c r="M4053" i="3"/>
  <c r="N4053" i="3" s="1"/>
  <c r="M4213" i="3"/>
  <c r="N4213" i="3" s="1"/>
  <c r="M3960" i="3"/>
  <c r="N3960" i="3" s="1"/>
  <c r="M395" i="3"/>
  <c r="N395" i="3" s="1"/>
  <c r="M421" i="3"/>
  <c r="N421" i="3" s="1"/>
  <c r="M501" i="3"/>
  <c r="N501" i="3" s="1"/>
  <c r="M597" i="3"/>
  <c r="N597" i="3" s="1"/>
  <c r="M430" i="3"/>
  <c r="N430" i="3" s="1"/>
  <c r="M510" i="3"/>
  <c r="N510" i="3" s="1"/>
  <c r="M606" i="3"/>
  <c r="N606" i="3" s="1"/>
  <c r="M557" i="3"/>
  <c r="N557" i="3" s="1"/>
  <c r="M881" i="3"/>
  <c r="N881" i="3" s="1"/>
  <c r="M840" i="3"/>
  <c r="N840" i="3" s="1"/>
  <c r="M880" i="3"/>
  <c r="N880" i="3" s="1"/>
  <c r="M920" i="3"/>
  <c r="N920" i="3" s="1"/>
  <c r="M836" i="3"/>
  <c r="N836" i="3" s="1"/>
  <c r="M1214" i="3"/>
  <c r="N1214" i="3" s="1"/>
  <c r="M690" i="3"/>
  <c r="N690" i="3" s="1"/>
  <c r="M738" i="3"/>
  <c r="N738" i="3" s="1"/>
  <c r="M778" i="3"/>
  <c r="N778" i="3" s="1"/>
  <c r="M818" i="3"/>
  <c r="N818" i="3" s="1"/>
  <c r="M1261" i="3"/>
  <c r="N1261" i="3" s="1"/>
  <c r="M1112" i="3"/>
  <c r="N1112" i="3" s="1"/>
  <c r="M1257" i="3"/>
  <c r="N1257" i="3" s="1"/>
  <c r="M1334" i="3"/>
  <c r="N1334" i="3" s="1"/>
  <c r="M1059" i="3"/>
  <c r="N1059" i="3" s="1"/>
  <c r="M1328" i="3"/>
  <c r="N1328" i="3" s="1"/>
  <c r="M1418" i="3"/>
  <c r="N1418" i="3" s="1"/>
  <c r="M1498" i="3"/>
  <c r="N1498" i="3" s="1"/>
  <c r="M1559" i="3"/>
  <c r="N1559" i="3" s="1"/>
  <c r="M1623" i="3"/>
  <c r="N1623" i="3" s="1"/>
  <c r="M1674" i="3"/>
  <c r="N1674" i="3" s="1"/>
  <c r="M1732" i="3"/>
  <c r="N1732" i="3" s="1"/>
  <c r="M1202" i="3"/>
  <c r="N1202" i="3" s="1"/>
  <c r="M1400" i="3"/>
  <c r="N1400" i="3" s="1"/>
  <c r="M1480" i="3"/>
  <c r="N1480" i="3" s="1"/>
  <c r="M1604" i="3"/>
  <c r="N1604" i="3" s="1"/>
  <c r="M1747" i="3"/>
  <c r="N1747" i="3" s="1"/>
  <c r="M1003" i="3"/>
  <c r="N1003" i="3" s="1"/>
  <c r="M1378" i="3"/>
  <c r="N1378" i="3" s="1"/>
  <c r="M1458" i="3"/>
  <c r="N1458" i="3" s="1"/>
  <c r="M1552" i="3"/>
  <c r="N1552" i="3" s="1"/>
  <c r="M951" i="3"/>
  <c r="N951" i="3" s="1"/>
  <c r="M1111" i="3"/>
  <c r="N1111" i="3" s="1"/>
  <c r="M1657" i="3"/>
  <c r="N1657" i="3" s="1"/>
  <c r="M1882" i="3"/>
  <c r="N1882" i="3" s="1"/>
  <c r="M1563" i="3"/>
  <c r="N1563" i="3" s="1"/>
  <c r="M1784" i="3"/>
  <c r="N1784" i="3" s="1"/>
  <c r="M1832" i="3"/>
  <c r="N1832" i="3" s="1"/>
  <c r="M1644" i="3"/>
  <c r="N1644" i="3" s="1"/>
  <c r="M1743" i="3"/>
  <c r="N1743" i="3" s="1"/>
  <c r="M1917" i="3"/>
  <c r="N1917" i="3" s="1"/>
  <c r="M1974" i="3"/>
  <c r="N1974" i="3" s="1"/>
  <c r="M2124" i="3"/>
  <c r="N2124" i="3" s="1"/>
  <c r="M2220" i="3"/>
  <c r="N2220" i="3" s="1"/>
  <c r="M2302" i="3"/>
  <c r="N2302" i="3" s="1"/>
  <c r="M2362" i="3"/>
  <c r="N2362" i="3" s="1"/>
  <c r="M2436" i="3"/>
  <c r="N2436" i="3" s="1"/>
  <c r="M2516" i="3"/>
  <c r="N2516" i="3" s="1"/>
  <c r="M2312" i="3"/>
  <c r="N2312" i="3" s="1"/>
  <c r="M2458" i="3"/>
  <c r="N2458" i="3" s="1"/>
  <c r="M2538" i="3"/>
  <c r="N2538" i="3" s="1"/>
  <c r="M2471" i="3"/>
  <c r="N2471" i="3" s="1"/>
  <c r="M2601" i="3"/>
  <c r="N2601" i="3" s="1"/>
  <c r="M2382" i="3"/>
  <c r="N2382" i="3" s="1"/>
  <c r="M2478" i="3"/>
  <c r="N2478" i="3" s="1"/>
  <c r="M2560" i="3"/>
  <c r="N2560" i="3" s="1"/>
  <c r="M2600" i="3"/>
  <c r="N2600" i="3" s="1"/>
  <c r="M2640" i="3"/>
  <c r="N2640" i="3" s="1"/>
  <c r="M2688" i="3"/>
  <c r="N2688" i="3" s="1"/>
  <c r="M2728" i="3"/>
  <c r="N2728" i="3" s="1"/>
  <c r="M2768" i="3"/>
  <c r="N2768" i="3" s="1"/>
  <c r="M2816" i="3"/>
  <c r="N2816" i="3" s="1"/>
  <c r="M2856" i="3"/>
  <c r="N2856" i="3" s="1"/>
  <c r="M2896" i="3"/>
  <c r="N2896" i="3" s="1"/>
  <c r="M2944" i="3"/>
  <c r="N2944" i="3" s="1"/>
  <c r="M2984" i="3"/>
  <c r="N2984" i="3" s="1"/>
  <c r="M3024" i="3"/>
  <c r="N3024" i="3" s="1"/>
  <c r="M3072" i="3"/>
  <c r="N3072" i="3" s="1"/>
  <c r="M3112" i="3"/>
  <c r="N3112" i="3" s="1"/>
  <c r="M3152" i="3"/>
  <c r="N3152" i="3" s="1"/>
  <c r="M2443" i="3"/>
  <c r="N2443" i="3" s="1"/>
  <c r="M2573" i="3"/>
  <c r="N2573" i="3" s="1"/>
  <c r="M2645" i="3"/>
  <c r="N2645" i="3" s="1"/>
  <c r="M2741" i="3"/>
  <c r="N2741" i="3" s="1"/>
  <c r="M2821" i="3"/>
  <c r="N2821" i="3" s="1"/>
  <c r="M2901" i="3"/>
  <c r="N2901" i="3" s="1"/>
  <c r="M2997" i="3"/>
  <c r="N2997" i="3" s="1"/>
  <c r="M3077" i="3"/>
  <c r="N3077" i="3" s="1"/>
  <c r="M3157" i="3"/>
  <c r="N3157" i="3" s="1"/>
  <c r="M3572" i="3"/>
  <c r="N3572" i="3" s="1"/>
  <c r="M3663" i="3"/>
  <c r="N3663" i="3" s="1"/>
  <c r="M3410" i="3"/>
  <c r="N3410" i="3" s="1"/>
  <c r="M3456" i="3"/>
  <c r="N3456" i="3" s="1"/>
  <c r="M3496" i="3"/>
  <c r="N3496" i="3" s="1"/>
  <c r="M3557" i="3"/>
  <c r="N3557" i="3" s="1"/>
  <c r="M3576" i="3"/>
  <c r="N3576" i="3" s="1"/>
  <c r="M3599" i="3"/>
  <c r="N3599" i="3" s="1"/>
  <c r="M3502" i="3"/>
  <c r="N3502" i="3" s="1"/>
  <c r="M3703" i="3"/>
  <c r="N3703" i="3" s="1"/>
  <c r="M3620" i="3"/>
  <c r="N3620" i="3" s="1"/>
  <c r="M3688" i="3"/>
  <c r="N3688" i="3" s="1"/>
  <c r="M3898" i="3"/>
  <c r="N3898" i="3" s="1"/>
  <c r="M3978" i="3"/>
  <c r="N3978" i="3" s="1"/>
  <c r="M4058" i="3"/>
  <c r="N4058" i="3" s="1"/>
  <c r="M4154" i="3"/>
  <c r="N4154" i="3" s="1"/>
  <c r="M4234" i="3"/>
  <c r="N4234" i="3" s="1"/>
  <c r="M4294" i="3"/>
  <c r="N4294" i="3" s="1"/>
  <c r="M4342" i="3"/>
  <c r="N4342" i="3" s="1"/>
  <c r="M4622" i="3"/>
  <c r="N4622" i="3" s="1"/>
  <c r="M3933" i="3"/>
  <c r="N3933" i="3" s="1"/>
  <c r="M4125" i="3"/>
  <c r="N4125" i="3" s="1"/>
  <c r="M4678" i="3"/>
  <c r="N4678" i="3" s="1"/>
  <c r="M4000" i="3"/>
  <c r="N4000" i="3" s="1"/>
  <c r="M419" i="3"/>
  <c r="N419" i="3" s="1"/>
  <c r="M454" i="3"/>
  <c r="N454" i="3" s="1"/>
  <c r="M534" i="3"/>
  <c r="N534" i="3" s="1"/>
  <c r="M633" i="3"/>
  <c r="N633" i="3" s="1"/>
  <c r="M474" i="3"/>
  <c r="N474" i="3" s="1"/>
  <c r="M285" i="3"/>
  <c r="N285" i="3" s="1"/>
  <c r="M650" i="3"/>
  <c r="N650" i="3" s="1"/>
  <c r="M708" i="3"/>
  <c r="N708" i="3" s="1"/>
  <c r="M748" i="3"/>
  <c r="N748" i="3" s="1"/>
  <c r="M796" i="3"/>
  <c r="N796" i="3" s="1"/>
  <c r="M845" i="3"/>
  <c r="N845" i="3" s="1"/>
  <c r="M933" i="3"/>
  <c r="N933" i="3" s="1"/>
  <c r="M981" i="3"/>
  <c r="N981" i="3" s="1"/>
  <c r="M1021" i="3"/>
  <c r="N1021" i="3" s="1"/>
  <c r="M1061" i="3"/>
  <c r="N1061" i="3" s="1"/>
  <c r="M1109" i="3"/>
  <c r="N1109" i="3" s="1"/>
  <c r="M1262" i="3"/>
  <c r="N1262" i="3" s="1"/>
  <c r="M1181" i="3"/>
  <c r="N1181" i="3" s="1"/>
  <c r="M1222" i="3"/>
  <c r="N1222" i="3" s="1"/>
  <c r="M1293" i="3"/>
  <c r="N1293" i="3" s="1"/>
  <c r="M1656" i="3"/>
  <c r="N1656" i="3" s="1"/>
  <c r="M1023" i="3"/>
  <c r="N1023" i="3" s="1"/>
  <c r="M1523" i="3"/>
  <c r="N1523" i="3" s="1"/>
  <c r="M1574" i="3"/>
  <c r="N1574" i="3" s="1"/>
  <c r="M1638" i="3"/>
  <c r="N1638" i="3" s="1"/>
  <c r="M1697" i="3"/>
  <c r="N1697" i="3" s="1"/>
  <c r="M1535" i="3"/>
  <c r="N1535" i="3" s="1"/>
  <c r="M1613" i="3"/>
  <c r="N1613" i="3" s="1"/>
  <c r="M1695" i="3"/>
  <c r="N1695" i="3" s="1"/>
  <c r="M1122" i="3"/>
  <c r="N1122" i="3" s="1"/>
  <c r="M1888" i="3"/>
  <c r="N1888" i="3" s="1"/>
  <c r="M1707" i="3"/>
  <c r="N1707" i="3" s="1"/>
  <c r="M1788" i="3"/>
  <c r="N1788" i="3" s="1"/>
  <c r="M1998" i="3"/>
  <c r="N1998" i="3" s="1"/>
  <c r="M2062" i="3"/>
  <c r="N2062" i="3" s="1"/>
  <c r="M1937" i="3"/>
  <c r="N1937" i="3" s="1"/>
  <c r="M2345" i="3"/>
  <c r="N2345" i="3" s="1"/>
  <c r="M1981" i="3"/>
  <c r="N1981" i="3" s="1"/>
  <c r="M2564" i="3"/>
  <c r="N2564" i="3" s="1"/>
  <c r="M2692" i="3"/>
  <c r="N2692" i="3" s="1"/>
  <c r="M2820" i="3"/>
  <c r="N2820" i="3" s="1"/>
  <c r="M2948" i="3"/>
  <c r="N2948" i="3" s="1"/>
  <c r="M3076" i="3"/>
  <c r="N3076" i="3" s="1"/>
  <c r="M2511" i="3"/>
  <c r="N2511" i="3" s="1"/>
  <c r="M2769" i="3"/>
  <c r="N2769" i="3" s="1"/>
  <c r="M3025" i="3"/>
  <c r="N3025" i="3" s="1"/>
  <c r="M2453" i="3"/>
  <c r="N2453" i="3" s="1"/>
  <c r="M2579" i="3"/>
  <c r="N2579" i="3" s="1"/>
  <c r="M3526" i="3"/>
  <c r="N3526" i="3" s="1"/>
  <c r="M3264" i="3"/>
  <c r="N3264" i="3" s="1"/>
  <c r="M3392" i="3"/>
  <c r="N3392" i="3" s="1"/>
  <c r="M3510" i="3"/>
  <c r="N3510" i="3" s="1"/>
  <c r="M3693" i="3"/>
  <c r="N3693" i="3" s="1"/>
  <c r="M4078" i="3"/>
  <c r="N4078" i="3" s="1"/>
  <c r="M4430" i="3"/>
  <c r="N4430" i="3" s="1"/>
  <c r="M4646" i="3"/>
  <c r="N4646" i="3" s="1"/>
  <c r="M4261" i="3"/>
  <c r="N4261" i="3" s="1"/>
  <c r="M4120" i="3"/>
  <c r="N4120" i="3" s="1"/>
  <c r="M4322" i="3"/>
  <c r="N4322" i="3" s="1"/>
  <c r="M3975" i="3"/>
  <c r="N3975" i="3" s="1"/>
  <c r="M4231" i="3"/>
  <c r="N4231" i="3" s="1"/>
  <c r="M4889" i="3"/>
  <c r="N4889" i="3" s="1"/>
  <c r="M5145" i="3"/>
  <c r="N5145" i="3" s="1"/>
  <c r="M5401" i="3"/>
  <c r="N5401" i="3" s="1"/>
  <c r="M5762" i="3"/>
  <c r="N5762" i="3" s="1"/>
  <c r="M4934" i="3"/>
  <c r="N4934" i="3" s="1"/>
  <c r="M5190" i="3"/>
  <c r="N5190" i="3" s="1"/>
  <c r="M5446" i="3"/>
  <c r="N5446" i="3" s="1"/>
  <c r="M4368" i="3"/>
  <c r="N4368" i="3" s="1"/>
  <c r="M4624" i="3"/>
  <c r="N4624" i="3" s="1"/>
  <c r="M4901" i="3"/>
  <c r="N4901" i="3" s="1"/>
  <c r="M5157" i="3"/>
  <c r="N5157" i="3" s="1"/>
  <c r="M5413" i="3"/>
  <c r="N5413" i="3" s="1"/>
  <c r="M5656" i="3"/>
  <c r="N5656" i="3" s="1"/>
  <c r="M4787" i="3"/>
  <c r="N4787" i="3" s="1"/>
  <c r="M5043" i="3"/>
  <c r="N5043" i="3" s="1"/>
  <c r="M5299" i="3"/>
  <c r="N5299" i="3" s="1"/>
  <c r="M5555" i="3"/>
  <c r="N5555" i="3" s="1"/>
  <c r="M5875" i="3"/>
  <c r="N5875" i="3" s="1"/>
  <c r="M6003" i="3"/>
  <c r="N6003" i="3" s="1"/>
  <c r="M6131" i="3"/>
  <c r="N6131" i="3" s="1"/>
  <c r="M6259" i="3"/>
  <c r="N6259" i="3" s="1"/>
  <c r="M6387" i="3"/>
  <c r="N6387" i="3" s="1"/>
  <c r="M6515" i="3"/>
  <c r="N6515" i="3" s="1"/>
  <c r="M5817" i="3"/>
  <c r="N5817" i="3" s="1"/>
  <c r="M5945" i="3"/>
  <c r="N5945" i="3" s="1"/>
  <c r="M6073" i="3"/>
  <c r="N6073" i="3" s="1"/>
  <c r="M6201" i="3"/>
  <c r="N6201" i="3" s="1"/>
  <c r="M6329" i="3"/>
  <c r="N6329" i="3" s="1"/>
  <c r="M6457" i="3"/>
  <c r="N6457" i="3" s="1"/>
  <c r="M6701" i="3"/>
  <c r="N6701" i="3" s="1"/>
  <c r="M6957" i="3"/>
  <c r="N6957" i="3" s="1"/>
  <c r="M7195" i="3"/>
  <c r="N7195" i="3" s="1"/>
  <c r="M6819" i="3"/>
  <c r="N6819" i="3" s="1"/>
  <c r="M7075" i="3"/>
  <c r="N7075" i="3" s="1"/>
  <c r="M6609" i="3"/>
  <c r="N6609" i="3" s="1"/>
  <c r="M6897" i="3"/>
  <c r="N6897" i="3" s="1"/>
  <c r="M7153" i="3"/>
  <c r="N7153" i="3" s="1"/>
  <c r="M6807" i="3"/>
  <c r="N6807" i="3" s="1"/>
  <c r="M7063" i="3"/>
  <c r="N7063" i="3" s="1"/>
  <c r="M7305" i="3"/>
  <c r="N7305" i="3" s="1"/>
  <c r="M7433" i="3"/>
  <c r="N7433" i="3" s="1"/>
  <c r="M7561" i="3"/>
  <c r="N7561" i="3" s="1"/>
  <c r="M3865" i="3"/>
  <c r="N3865" i="3" s="1"/>
  <c r="M4121" i="3"/>
  <c r="N4121" i="3" s="1"/>
  <c r="M3900" i="3"/>
  <c r="N3900" i="3" s="1"/>
  <c r="M4156" i="3"/>
  <c r="N4156" i="3" s="1"/>
  <c r="M3931" i="3"/>
  <c r="N3931" i="3" s="1"/>
  <c r="M4187" i="3"/>
  <c r="N4187" i="3" s="1"/>
  <c r="M4848" i="3"/>
  <c r="N4848" i="3" s="1"/>
  <c r="M5104" i="3"/>
  <c r="N5104" i="3" s="1"/>
  <c r="M5360" i="3"/>
  <c r="N5360" i="3" s="1"/>
  <c r="M5616" i="3"/>
  <c r="N5616" i="3" s="1"/>
  <c r="M4871" i="3"/>
  <c r="N4871" i="3" s="1"/>
  <c r="M5127" i="3"/>
  <c r="N5127" i="3" s="1"/>
  <c r="M5383" i="3"/>
  <c r="N5383" i="3" s="1"/>
  <c r="M5636" i="3"/>
  <c r="N5636" i="3" s="1"/>
  <c r="M4516" i="3"/>
  <c r="N4516" i="3" s="1"/>
  <c r="M4796" i="3"/>
  <c r="N4796" i="3" s="1"/>
  <c r="M5052" i="3"/>
  <c r="N5052" i="3" s="1"/>
  <c r="M5308" i="3"/>
  <c r="N5308" i="3" s="1"/>
  <c r="M5564" i="3"/>
  <c r="N5564" i="3" s="1"/>
  <c r="M4730" i="3"/>
  <c r="N4730" i="3" s="1"/>
  <c r="M5066" i="3"/>
  <c r="N5066" i="3" s="1"/>
  <c r="M5418" i="3"/>
  <c r="N5418" i="3" s="1"/>
  <c r="M5671" i="3"/>
  <c r="N5671" i="3" s="1"/>
  <c r="M6620" i="3"/>
  <c r="N6620" i="3" s="1"/>
  <c r="M6862" i="3"/>
  <c r="N6862" i="3" s="1"/>
  <c r="M7192" i="3"/>
  <c r="N7192" i="3" s="1"/>
  <c r="M7344" i="3"/>
  <c r="N7344" i="3" s="1"/>
  <c r="M7520" i="3"/>
  <c r="N7520" i="3" s="1"/>
  <c r="M6676" i="3"/>
  <c r="N6676" i="3" s="1"/>
  <c r="M7012" i="3"/>
  <c r="N7012" i="3" s="1"/>
  <c r="M7323" i="3"/>
  <c r="N7323" i="3" s="1"/>
  <c r="M7491" i="3"/>
  <c r="N7491" i="3" s="1"/>
  <c r="M7659" i="3"/>
  <c r="N7659" i="3" s="1"/>
  <c r="M6866" i="3"/>
  <c r="N6866" i="3" s="1"/>
  <c r="M7229" i="3"/>
  <c r="N7229" i="3" s="1"/>
  <c r="M7414" i="3"/>
  <c r="N7414" i="3" s="1"/>
  <c r="M7590" i="3"/>
  <c r="N7590" i="3" s="1"/>
  <c r="M6840" i="3"/>
  <c r="N6840" i="3" s="1"/>
  <c r="M7176" i="3"/>
  <c r="N7176" i="3" s="1"/>
  <c r="M4562" i="3"/>
  <c r="N4562" i="3" s="1"/>
  <c r="M3935" i="3"/>
  <c r="N3935" i="3" s="1"/>
  <c r="M4271" i="3"/>
  <c r="N4271" i="3" s="1"/>
  <c r="M5025" i="3"/>
  <c r="N5025" i="3" s="1"/>
  <c r="M5361" i="3"/>
  <c r="N5361" i="3" s="1"/>
  <c r="M4718" i="3"/>
  <c r="N4718" i="3" s="1"/>
  <c r="M5070" i="3"/>
  <c r="N5070" i="3" s="1"/>
  <c r="M5406" i="3"/>
  <c r="N5406" i="3" s="1"/>
  <c r="M4392" i="3"/>
  <c r="N4392" i="3" s="1"/>
  <c r="M4765" i="3"/>
  <c r="N4765" i="3" s="1"/>
  <c r="M5101" i="3"/>
  <c r="N5101" i="3" s="1"/>
  <c r="M5437" i="3"/>
  <c r="N5437" i="3" s="1"/>
  <c r="M5716" i="3"/>
  <c r="N5716" i="3" s="1"/>
  <c r="M4987" i="3"/>
  <c r="N4987" i="3" s="1"/>
  <c r="M5323" i="3"/>
  <c r="N5323" i="3" s="1"/>
  <c r="M5807" i="3"/>
  <c r="N5807" i="3" s="1"/>
  <c r="M5975" i="3"/>
  <c r="N5975" i="3" s="1"/>
  <c r="M6143" i="3"/>
  <c r="N6143" i="3" s="1"/>
  <c r="M6319" i="3"/>
  <c r="N6319" i="3" s="1"/>
  <c r="M6487" i="3"/>
  <c r="N6487" i="3" s="1"/>
  <c r="M5893" i="3"/>
  <c r="N5893" i="3" s="1"/>
  <c r="M6069" i="3"/>
  <c r="N6069" i="3" s="1"/>
  <c r="M6237" i="3"/>
  <c r="N6237" i="3" s="1"/>
  <c r="M6405" i="3"/>
  <c r="N6405" i="3" s="1"/>
  <c r="M6725" i="3"/>
  <c r="N6725" i="3" s="1"/>
  <c r="M7061" i="3"/>
  <c r="N7061" i="3" s="1"/>
  <c r="M6715" i="3"/>
  <c r="N6715" i="3" s="1"/>
  <c r="M7067" i="3"/>
  <c r="N7067" i="3" s="1"/>
  <c r="M6745" i="3"/>
  <c r="N6745" i="3" s="1"/>
  <c r="M7081" i="3"/>
  <c r="N7081" i="3" s="1"/>
  <c r="M6847" i="3"/>
  <c r="N6847" i="3" s="1"/>
  <c r="M7183" i="3"/>
  <c r="N7183" i="3" s="1"/>
  <c r="M7613" i="3"/>
  <c r="N7613" i="3" s="1"/>
  <c r="M4402" i="3"/>
  <c r="N4402" i="3" s="1"/>
  <c r="M5240" i="3"/>
  <c r="N5240" i="3" s="1"/>
  <c r="M5247" i="3"/>
  <c r="N5247" i="3" s="1"/>
  <c r="M4932" i="3"/>
  <c r="N4932" i="3" s="1"/>
  <c r="M4850" i="3"/>
  <c r="N4850" i="3" s="1"/>
  <c r="M5761" i="3"/>
  <c r="N5761" i="3" s="1"/>
  <c r="M7476" i="3"/>
  <c r="N7476" i="3" s="1"/>
  <c r="M7447" i="3"/>
  <c r="N7447" i="3" s="1"/>
  <c r="M7370" i="3"/>
  <c r="N7370" i="3" s="1"/>
  <c r="M6643" i="3"/>
  <c r="N6643" i="3" s="1"/>
  <c r="M6356" i="3"/>
  <c r="N6356" i="3" s="1"/>
  <c r="M6012" i="3"/>
  <c r="N6012" i="3" s="1"/>
  <c r="M6462" i="3"/>
  <c r="N6462" i="3" s="1"/>
  <c r="M6122" i="3"/>
  <c r="N6122" i="3" s="1"/>
  <c r="M5776" i="3"/>
  <c r="N5776" i="3" s="1"/>
  <c r="M4557" i="3"/>
  <c r="N4557" i="3" s="1"/>
  <c r="M3796" i="3"/>
  <c r="N3796" i="3" s="1"/>
  <c r="M3710" i="3"/>
  <c r="N3710" i="3" s="1"/>
  <c r="M4355" i="3"/>
  <c r="N4355" i="3" s="1"/>
  <c r="M3297" i="3"/>
  <c r="N3297" i="3" s="1"/>
  <c r="M2303" i="3"/>
  <c r="N2303" i="3" s="1"/>
  <c r="M2099" i="3"/>
  <c r="N2099" i="3" s="1"/>
  <c r="M1373" i="3"/>
  <c r="N1373" i="3" s="1"/>
  <c r="M643" i="3"/>
  <c r="N643" i="3" s="1"/>
  <c r="M95" i="3"/>
  <c r="N95" i="3" s="1"/>
  <c r="M102" i="3"/>
  <c r="N102" i="3" s="1"/>
  <c r="M110" i="3"/>
  <c r="N110" i="3" s="1"/>
  <c r="M180" i="3"/>
  <c r="N180" i="3" s="1"/>
  <c r="M196" i="3"/>
  <c r="N196" i="3" s="1"/>
  <c r="M212" i="3"/>
  <c r="N212" i="3" s="1"/>
  <c r="M228" i="3"/>
  <c r="N228" i="3" s="1"/>
  <c r="M244" i="3"/>
  <c r="N244" i="3" s="1"/>
  <c r="M260" i="3"/>
  <c r="N260" i="3" s="1"/>
  <c r="M276" i="3"/>
  <c r="N276" i="3" s="1"/>
  <c r="M292" i="3"/>
  <c r="N292" i="3" s="1"/>
  <c r="M308" i="3"/>
  <c r="N308" i="3" s="1"/>
  <c r="M324" i="3"/>
  <c r="N324" i="3" s="1"/>
  <c r="M120" i="3"/>
  <c r="N120" i="3" s="1"/>
  <c r="M124" i="3"/>
  <c r="N124" i="3" s="1"/>
  <c r="M128" i="3"/>
  <c r="N128" i="3" s="1"/>
  <c r="M132" i="3"/>
  <c r="N132" i="3" s="1"/>
  <c r="M136" i="3"/>
  <c r="N136" i="3" s="1"/>
  <c r="M140" i="3"/>
  <c r="N140" i="3" s="1"/>
  <c r="M144" i="3"/>
  <c r="N144" i="3" s="1"/>
  <c r="M148" i="3"/>
  <c r="N148" i="3" s="1"/>
  <c r="M335" i="3"/>
  <c r="N335" i="3" s="1"/>
  <c r="M351" i="3"/>
  <c r="N351" i="3" s="1"/>
  <c r="M367" i="3"/>
  <c r="N367" i="3" s="1"/>
  <c r="M383" i="3"/>
  <c r="N383" i="3" s="1"/>
  <c r="M158" i="3"/>
  <c r="N158" i="3" s="1"/>
  <c r="M397" i="3"/>
  <c r="N397" i="3" s="1"/>
  <c r="M361" i="3"/>
  <c r="N361" i="3" s="1"/>
  <c r="M297" i="3"/>
  <c r="N297" i="3" s="1"/>
  <c r="M305" i="3"/>
  <c r="N305" i="3" s="1"/>
  <c r="M313" i="3"/>
  <c r="N313" i="3" s="1"/>
  <c r="M321" i="3"/>
  <c r="N321" i="3" s="1"/>
  <c r="M329" i="3"/>
  <c r="N329" i="3" s="1"/>
  <c r="M401" i="3"/>
  <c r="N401" i="3" s="1"/>
  <c r="M417" i="3"/>
  <c r="N417" i="3" s="1"/>
  <c r="M357" i="3"/>
  <c r="N357" i="3" s="1"/>
  <c r="M427" i="3"/>
  <c r="N427" i="3" s="1"/>
  <c r="M459" i="3"/>
  <c r="N459" i="3" s="1"/>
  <c r="M491" i="3"/>
  <c r="N491" i="3" s="1"/>
  <c r="M523" i="3"/>
  <c r="N523" i="3" s="1"/>
  <c r="M555" i="3"/>
  <c r="N555" i="3" s="1"/>
  <c r="M587" i="3"/>
  <c r="N587" i="3" s="1"/>
  <c r="M619" i="3"/>
  <c r="N619" i="3" s="1"/>
  <c r="M651" i="3"/>
  <c r="N651" i="3" s="1"/>
  <c r="M675" i="3"/>
  <c r="N675" i="3" s="1"/>
  <c r="M691" i="3"/>
  <c r="N691" i="3" s="1"/>
  <c r="M707" i="3"/>
  <c r="N707" i="3" s="1"/>
  <c r="M723" i="3"/>
  <c r="N723" i="3" s="1"/>
  <c r="M739" i="3"/>
  <c r="N739" i="3" s="1"/>
  <c r="M755" i="3"/>
  <c r="N755" i="3" s="1"/>
  <c r="M771" i="3"/>
  <c r="N771" i="3" s="1"/>
  <c r="M787" i="3"/>
  <c r="N787" i="3" s="1"/>
  <c r="M803" i="3"/>
  <c r="N803" i="3" s="1"/>
  <c r="M819" i="3"/>
  <c r="N819" i="3" s="1"/>
  <c r="M424" i="3"/>
  <c r="N424" i="3" s="1"/>
  <c r="M456" i="3"/>
  <c r="N456" i="3" s="1"/>
  <c r="M488" i="3"/>
  <c r="N488" i="3" s="1"/>
  <c r="M520" i="3"/>
  <c r="N520" i="3" s="1"/>
  <c r="M552" i="3"/>
  <c r="N552" i="3" s="1"/>
  <c r="M584" i="3"/>
  <c r="N584" i="3" s="1"/>
  <c r="M616" i="3"/>
  <c r="N616" i="3" s="1"/>
  <c r="M648" i="3"/>
  <c r="N648" i="3" s="1"/>
  <c r="M393" i="3"/>
  <c r="N393" i="3" s="1"/>
  <c r="M452" i="3"/>
  <c r="N452" i="3" s="1"/>
  <c r="M484" i="3"/>
  <c r="N484" i="3" s="1"/>
  <c r="M516" i="3"/>
  <c r="N516" i="3" s="1"/>
  <c r="M548" i="3"/>
  <c r="N548" i="3" s="1"/>
  <c r="M580" i="3"/>
  <c r="N580" i="3" s="1"/>
  <c r="M612" i="3"/>
  <c r="N612" i="3" s="1"/>
  <c r="M644" i="3"/>
  <c r="N644" i="3" s="1"/>
  <c r="M681" i="3"/>
  <c r="N681" i="3" s="1"/>
  <c r="M697" i="3"/>
  <c r="N697" i="3" s="1"/>
  <c r="M713" i="3"/>
  <c r="N713" i="3" s="1"/>
  <c r="M729" i="3"/>
  <c r="N729" i="3" s="1"/>
  <c r="M745" i="3"/>
  <c r="N745" i="3" s="1"/>
  <c r="M761" i="3"/>
  <c r="N761" i="3" s="1"/>
  <c r="M777" i="3"/>
  <c r="N777" i="3" s="1"/>
  <c r="M793" i="3"/>
  <c r="N793" i="3" s="1"/>
  <c r="M809" i="3"/>
  <c r="N809" i="3" s="1"/>
  <c r="M825" i="3"/>
  <c r="N825" i="3" s="1"/>
  <c r="M843" i="3"/>
  <c r="N843" i="3" s="1"/>
  <c r="M859" i="3"/>
  <c r="N859" i="3" s="1"/>
  <c r="M875" i="3"/>
  <c r="N875" i="3" s="1"/>
  <c r="M891" i="3"/>
  <c r="N891" i="3" s="1"/>
  <c r="M907" i="3"/>
  <c r="N907" i="3" s="1"/>
  <c r="M431" i="3"/>
  <c r="N431" i="3" s="1"/>
  <c r="M495" i="3"/>
  <c r="N495" i="3" s="1"/>
  <c r="M559" i="3"/>
  <c r="N559" i="3" s="1"/>
  <c r="M623" i="3"/>
  <c r="N623" i="3" s="1"/>
  <c r="M930" i="3"/>
  <c r="N930" i="3" s="1"/>
  <c r="M946" i="3"/>
  <c r="N946" i="3" s="1"/>
  <c r="M962" i="3"/>
  <c r="N962" i="3" s="1"/>
  <c r="M978" i="3"/>
  <c r="N978" i="3" s="1"/>
  <c r="M994" i="3"/>
  <c r="N994" i="3" s="1"/>
  <c r="M1010" i="3"/>
  <c r="N1010" i="3" s="1"/>
  <c r="M1026" i="3"/>
  <c r="N1026" i="3" s="1"/>
  <c r="M1042" i="3"/>
  <c r="N1042" i="3" s="1"/>
  <c r="M1058" i="3"/>
  <c r="N1058" i="3" s="1"/>
  <c r="M1074" i="3"/>
  <c r="N1074" i="3" s="1"/>
  <c r="M1090" i="3"/>
  <c r="N1090" i="3" s="1"/>
  <c r="M1106" i="3"/>
  <c r="N1106" i="3" s="1"/>
  <c r="M922" i="3"/>
  <c r="N922" i="3" s="1"/>
  <c r="M448" i="3"/>
  <c r="N448" i="3" s="1"/>
  <c r="M512" i="3"/>
  <c r="N512" i="3" s="1"/>
  <c r="M576" i="3"/>
  <c r="N576" i="3" s="1"/>
  <c r="M640" i="3"/>
  <c r="N640" i="3" s="1"/>
  <c r="M940" i="3"/>
  <c r="N940" i="3" s="1"/>
  <c r="M956" i="3"/>
  <c r="N956" i="3" s="1"/>
  <c r="M972" i="3"/>
  <c r="N972" i="3" s="1"/>
  <c r="M988" i="3"/>
  <c r="N988" i="3" s="1"/>
  <c r="M1004" i="3"/>
  <c r="N1004" i="3" s="1"/>
  <c r="M1020" i="3"/>
  <c r="N1020" i="3" s="1"/>
  <c r="M1036" i="3"/>
  <c r="N1036" i="3" s="1"/>
  <c r="M1052" i="3"/>
  <c r="N1052" i="3" s="1"/>
  <c r="M1068" i="3"/>
  <c r="N1068" i="3" s="1"/>
  <c r="M1084" i="3"/>
  <c r="N1084" i="3" s="1"/>
  <c r="M1100" i="3"/>
  <c r="N1100" i="3" s="1"/>
  <c r="M1123" i="3"/>
  <c r="N1123" i="3" s="1"/>
  <c r="M1155" i="3"/>
  <c r="N1155" i="3" s="1"/>
  <c r="M1187" i="3"/>
  <c r="N1187" i="3" s="1"/>
  <c r="M1219" i="3"/>
  <c r="N1219" i="3" s="1"/>
  <c r="M1251" i="3"/>
  <c r="N1251" i="3" s="1"/>
  <c r="M1291" i="3"/>
  <c r="N1291" i="3" s="1"/>
  <c r="M1135" i="3"/>
  <c r="N1135" i="3" s="1"/>
  <c r="M1167" i="3"/>
  <c r="N1167" i="3" s="1"/>
  <c r="M1199" i="3"/>
  <c r="N1199" i="3" s="1"/>
  <c r="M1231" i="3"/>
  <c r="N1231" i="3" s="1"/>
  <c r="M1263" i="3"/>
  <c r="N1263" i="3" s="1"/>
  <c r="M1295" i="3"/>
  <c r="N1295" i="3" s="1"/>
  <c r="M1313" i="3"/>
  <c r="N1313" i="3" s="1"/>
  <c r="M1329" i="3"/>
  <c r="N1329" i="3" s="1"/>
  <c r="M1345" i="3"/>
  <c r="N1345" i="3" s="1"/>
  <c r="M1361" i="3"/>
  <c r="N1361" i="3" s="1"/>
  <c r="M1377" i="3"/>
  <c r="N1377" i="3" s="1"/>
  <c r="M1393" i="3"/>
  <c r="N1393" i="3" s="1"/>
  <c r="M1409" i="3"/>
  <c r="N1409" i="3" s="1"/>
  <c r="M1425" i="3"/>
  <c r="N1425" i="3" s="1"/>
  <c r="M1441" i="3"/>
  <c r="N1441" i="3" s="1"/>
  <c r="M1457" i="3"/>
  <c r="N1457" i="3" s="1"/>
  <c r="M1473" i="3"/>
  <c r="N1473" i="3" s="1"/>
  <c r="M1489" i="3"/>
  <c r="N1489" i="3" s="1"/>
  <c r="M1505" i="3"/>
  <c r="N1505" i="3" s="1"/>
  <c r="M1521" i="3"/>
  <c r="N1521" i="3" s="1"/>
  <c r="M1147" i="3"/>
  <c r="N1147" i="3" s="1"/>
  <c r="M1179" i="3"/>
  <c r="N1179" i="3" s="1"/>
  <c r="M1211" i="3"/>
  <c r="N1211" i="3" s="1"/>
  <c r="M1243" i="3"/>
  <c r="N1243" i="3" s="1"/>
  <c r="M1275" i="3"/>
  <c r="N1275" i="3" s="1"/>
  <c r="M1299" i="3"/>
  <c r="N1299" i="3" s="1"/>
  <c r="M1749" i="3"/>
  <c r="N1749" i="3" s="1"/>
  <c r="M1765" i="3"/>
  <c r="N1765" i="3" s="1"/>
  <c r="M1343" i="3"/>
  <c r="N1343" i="3" s="1"/>
  <c r="M1407" i="3"/>
  <c r="N1407" i="3" s="1"/>
  <c r="M1471" i="3"/>
  <c r="N1471" i="3" s="1"/>
  <c r="M1777" i="3"/>
  <c r="N1777" i="3" s="1"/>
  <c r="M1159" i="3"/>
  <c r="N1159" i="3" s="1"/>
  <c r="M1223" i="3"/>
  <c r="N1223" i="3" s="1"/>
  <c r="M1303" i="3"/>
  <c r="N1303" i="3" s="1"/>
  <c r="M1319" i="3"/>
  <c r="N1319" i="3" s="1"/>
  <c r="M1335" i="3"/>
  <c r="N1335" i="3" s="1"/>
  <c r="M1387" i="3"/>
  <c r="N1387" i="3" s="1"/>
  <c r="M1451" i="3"/>
  <c r="N1451" i="3" s="1"/>
  <c r="M1515" i="3"/>
  <c r="N1515" i="3" s="1"/>
  <c r="M1399" i="3"/>
  <c r="N1399" i="3" s="1"/>
  <c r="M1463" i="3"/>
  <c r="N1463" i="3" s="1"/>
  <c r="M1525" i="3"/>
  <c r="N1525" i="3" s="1"/>
  <c r="M1771" i="3"/>
  <c r="N1771" i="3" s="1"/>
  <c r="M1780" i="3"/>
  <c r="N1780" i="3" s="1"/>
  <c r="M1795" i="3"/>
  <c r="N1795" i="3" s="1"/>
  <c r="M1811" i="3"/>
  <c r="N1811" i="3" s="1"/>
  <c r="M1827" i="3"/>
  <c r="N1827" i="3" s="1"/>
  <c r="M1843" i="3"/>
  <c r="N1843" i="3" s="1"/>
  <c r="M1240" i="3"/>
  <c r="N1240" i="3" s="1"/>
  <c r="M1851" i="3"/>
  <c r="N1851" i="3" s="1"/>
  <c r="M1883" i="3"/>
  <c r="N1883" i="3" s="1"/>
  <c r="M1379" i="3"/>
  <c r="N1379" i="3" s="1"/>
  <c r="M1144" i="3"/>
  <c r="N1144" i="3" s="1"/>
  <c r="M1272" i="3"/>
  <c r="N1272" i="3" s="1"/>
  <c r="M1841" i="3"/>
  <c r="N1841" i="3" s="1"/>
  <c r="M1847" i="3"/>
  <c r="N1847" i="3" s="1"/>
  <c r="M1861" i="3"/>
  <c r="N1861" i="3" s="1"/>
  <c r="M1870" i="3"/>
  <c r="N1870" i="3" s="1"/>
  <c r="M1879" i="3"/>
  <c r="N1879" i="3" s="1"/>
  <c r="M1893" i="3"/>
  <c r="N1893" i="3" s="1"/>
  <c r="M1902" i="3"/>
  <c r="N1902" i="3" s="1"/>
  <c r="M1911" i="3"/>
  <c r="N1911" i="3" s="1"/>
  <c r="M1927" i="3"/>
  <c r="N1927" i="3" s="1"/>
  <c r="M1943" i="3"/>
  <c r="N1943" i="3" s="1"/>
  <c r="M1959" i="3"/>
  <c r="N1959" i="3" s="1"/>
  <c r="M1975" i="3"/>
  <c r="N1975" i="3" s="1"/>
  <c r="M1991" i="3"/>
  <c r="N1991" i="3" s="1"/>
  <c r="M2007" i="3"/>
  <c r="N2007" i="3" s="1"/>
  <c r="M2023" i="3"/>
  <c r="N2023" i="3" s="1"/>
  <c r="M2039" i="3"/>
  <c r="N2039" i="3" s="1"/>
  <c r="M2055" i="3"/>
  <c r="N2055" i="3" s="1"/>
  <c r="M2071" i="3"/>
  <c r="N2071" i="3" s="1"/>
  <c r="M2087" i="3"/>
  <c r="N2087" i="3" s="1"/>
  <c r="M2103" i="3"/>
  <c r="N2103" i="3" s="1"/>
  <c r="M1475" i="3"/>
  <c r="N1475" i="3" s="1"/>
  <c r="M2001" i="3"/>
  <c r="N2001" i="3" s="1"/>
  <c r="M2009" i="3"/>
  <c r="N2009" i="3" s="1"/>
  <c r="M2017" i="3"/>
  <c r="N2017" i="3" s="1"/>
  <c r="M2025" i="3"/>
  <c r="N2025" i="3" s="1"/>
  <c r="M2033" i="3"/>
  <c r="N2033" i="3" s="1"/>
  <c r="M2041" i="3"/>
  <c r="N2041" i="3" s="1"/>
  <c r="M2049" i="3"/>
  <c r="N2049" i="3" s="1"/>
  <c r="M2057" i="3"/>
  <c r="N2057" i="3" s="1"/>
  <c r="M2065" i="3"/>
  <c r="N2065" i="3" s="1"/>
  <c r="M2073" i="3"/>
  <c r="N2073" i="3" s="1"/>
  <c r="M2081" i="3"/>
  <c r="N2081" i="3" s="1"/>
  <c r="M2089" i="3"/>
  <c r="N2089" i="3" s="1"/>
  <c r="M2107" i="3"/>
  <c r="N2107" i="3" s="1"/>
  <c r="M2113" i="3"/>
  <c r="N2113" i="3" s="1"/>
  <c r="M2118" i="3"/>
  <c r="N2118" i="3" s="1"/>
  <c r="M2123" i="3"/>
  <c r="N2123" i="3" s="1"/>
  <c r="M2129" i="3"/>
  <c r="N2129" i="3" s="1"/>
  <c r="M2134" i="3"/>
  <c r="N2134" i="3" s="1"/>
  <c r="M2139" i="3"/>
  <c r="N2139" i="3" s="1"/>
  <c r="M2145" i="3"/>
  <c r="N2145" i="3" s="1"/>
  <c r="M2150" i="3"/>
  <c r="N2150" i="3" s="1"/>
  <c r="M2155" i="3"/>
  <c r="N2155" i="3" s="1"/>
  <c r="M2161" i="3"/>
  <c r="N2161" i="3" s="1"/>
  <c r="M2166" i="3"/>
  <c r="N2166" i="3" s="1"/>
  <c r="M2171" i="3"/>
  <c r="N2171" i="3" s="1"/>
  <c r="M2177" i="3"/>
  <c r="N2177" i="3" s="1"/>
  <c r="M2182" i="3"/>
  <c r="N2182" i="3" s="1"/>
  <c r="M2187" i="3"/>
  <c r="N2187" i="3" s="1"/>
  <c r="M2193" i="3"/>
  <c r="N2193" i="3" s="1"/>
  <c r="M2198" i="3"/>
  <c r="N2198" i="3" s="1"/>
  <c r="M2203" i="3"/>
  <c r="N2203" i="3" s="1"/>
  <c r="M2209" i="3"/>
  <c r="N2209" i="3" s="1"/>
  <c r="M2214" i="3"/>
  <c r="N2214" i="3" s="1"/>
  <c r="M2219" i="3"/>
  <c r="N2219" i="3" s="1"/>
  <c r="M2225" i="3"/>
  <c r="N2225" i="3" s="1"/>
  <c r="M2230" i="3"/>
  <c r="N2230" i="3" s="1"/>
  <c r="M2235" i="3"/>
  <c r="N2235" i="3" s="1"/>
  <c r="M2241" i="3"/>
  <c r="N2241" i="3" s="1"/>
  <c r="M2257" i="3"/>
  <c r="N2257" i="3" s="1"/>
  <c r="M2273" i="3"/>
  <c r="N2273" i="3" s="1"/>
  <c r="M2289" i="3"/>
  <c r="N2289" i="3" s="1"/>
  <c r="M2305" i="3"/>
  <c r="N2305" i="3" s="1"/>
  <c r="M2321" i="3"/>
  <c r="N2321" i="3" s="1"/>
  <c r="M2339" i="3"/>
  <c r="N2339" i="3" s="1"/>
  <c r="M2371" i="3"/>
  <c r="N2371" i="3" s="1"/>
  <c r="M2403" i="3"/>
  <c r="N2403" i="3" s="1"/>
  <c r="M2096" i="3"/>
  <c r="N2096" i="3" s="1"/>
  <c r="M2250" i="3"/>
  <c r="N2250" i="3" s="1"/>
  <c r="M2266" i="3"/>
  <c r="N2266" i="3" s="1"/>
  <c r="M2282" i="3"/>
  <c r="N2282" i="3" s="1"/>
  <c r="M2298" i="3"/>
  <c r="N2298" i="3" s="1"/>
  <c r="M2314" i="3"/>
  <c r="N2314" i="3" s="1"/>
  <c r="M2343" i="3"/>
  <c r="N2343" i="3" s="1"/>
  <c r="M2375" i="3"/>
  <c r="N2375" i="3" s="1"/>
  <c r="M2407" i="3"/>
  <c r="N2407" i="3" s="1"/>
  <c r="M2635" i="3"/>
  <c r="N2635" i="3" s="1"/>
  <c r="M2651" i="3"/>
  <c r="N2651" i="3" s="1"/>
  <c r="M2667" i="3"/>
  <c r="N2667" i="3" s="1"/>
  <c r="M2683" i="3"/>
  <c r="N2683" i="3" s="1"/>
  <c r="M2699" i="3"/>
  <c r="N2699" i="3" s="1"/>
  <c r="M2715" i="3"/>
  <c r="N2715" i="3" s="1"/>
  <c r="M2731" i="3"/>
  <c r="N2731" i="3" s="1"/>
  <c r="M2747" i="3"/>
  <c r="N2747" i="3" s="1"/>
  <c r="M2763" i="3"/>
  <c r="N2763" i="3" s="1"/>
  <c r="M2779" i="3"/>
  <c r="N2779" i="3" s="1"/>
  <c r="M2795" i="3"/>
  <c r="N2795" i="3" s="1"/>
  <c r="M2811" i="3"/>
  <c r="N2811" i="3" s="1"/>
  <c r="M2827" i="3"/>
  <c r="N2827" i="3" s="1"/>
  <c r="M2843" i="3"/>
  <c r="N2843" i="3" s="1"/>
  <c r="M2859" i="3"/>
  <c r="N2859" i="3" s="1"/>
  <c r="M2875" i="3"/>
  <c r="N2875" i="3" s="1"/>
  <c r="M2891" i="3"/>
  <c r="N2891" i="3" s="1"/>
  <c r="M2907" i="3"/>
  <c r="N2907" i="3" s="1"/>
  <c r="M2923" i="3"/>
  <c r="N2923" i="3" s="1"/>
  <c r="M2939" i="3"/>
  <c r="N2939" i="3" s="1"/>
  <c r="M2955" i="3"/>
  <c r="N2955" i="3" s="1"/>
  <c r="M2971" i="3"/>
  <c r="N2971" i="3" s="1"/>
  <c r="M2987" i="3"/>
  <c r="N2987" i="3" s="1"/>
  <c r="M3003" i="3"/>
  <c r="N3003" i="3" s="1"/>
  <c r="M3019" i="3"/>
  <c r="N3019" i="3" s="1"/>
  <c r="M3035" i="3"/>
  <c r="N3035" i="3" s="1"/>
  <c r="M3051" i="3"/>
  <c r="N3051" i="3" s="1"/>
  <c r="M3067" i="3"/>
  <c r="N3067" i="3" s="1"/>
  <c r="M3083" i="3"/>
  <c r="N3083" i="3" s="1"/>
  <c r="M3099" i="3"/>
  <c r="N3099" i="3" s="1"/>
  <c r="M3115" i="3"/>
  <c r="N3115" i="3" s="1"/>
  <c r="M3131" i="3"/>
  <c r="N3131" i="3" s="1"/>
  <c r="M3147" i="3"/>
  <c r="N3147" i="3" s="1"/>
  <c r="M3163" i="3"/>
  <c r="N3163" i="3" s="1"/>
  <c r="M3179" i="3"/>
  <c r="N3179" i="3" s="1"/>
  <c r="M3195" i="3"/>
  <c r="N3195" i="3" s="1"/>
  <c r="M2092" i="3"/>
  <c r="N2092" i="3" s="1"/>
  <c r="M3173" i="3"/>
  <c r="N3173" i="3" s="1"/>
  <c r="M3181" i="3"/>
  <c r="N3181" i="3" s="1"/>
  <c r="M3189" i="3"/>
  <c r="N3189" i="3" s="1"/>
  <c r="M3197" i="3"/>
  <c r="N3197" i="3" s="1"/>
  <c r="M3205" i="3"/>
  <c r="N3205" i="3" s="1"/>
  <c r="M3211" i="3"/>
  <c r="N3211" i="3" s="1"/>
  <c r="M3225" i="3"/>
  <c r="N3225" i="3" s="1"/>
  <c r="M3234" i="3"/>
  <c r="N3234" i="3" s="1"/>
  <c r="M3243" i="3"/>
  <c r="N3243" i="3" s="1"/>
  <c r="M3257" i="3"/>
  <c r="N3257" i="3" s="1"/>
  <c r="M3266" i="3"/>
  <c r="N3266" i="3" s="1"/>
  <c r="M3275" i="3"/>
  <c r="N3275" i="3" s="1"/>
  <c r="M3289" i="3"/>
  <c r="N3289" i="3" s="1"/>
  <c r="M3298" i="3"/>
  <c r="N3298" i="3" s="1"/>
  <c r="M3307" i="3"/>
  <c r="N3307" i="3" s="1"/>
  <c r="M3321" i="3"/>
  <c r="N3321" i="3" s="1"/>
  <c r="M3330" i="3"/>
  <c r="N3330" i="3" s="1"/>
  <c r="M3339" i="3"/>
  <c r="N3339" i="3" s="1"/>
  <c r="M3353" i="3"/>
  <c r="N3353" i="3" s="1"/>
  <c r="M3362" i="3"/>
  <c r="N3362" i="3" s="1"/>
  <c r="M3371" i="3"/>
  <c r="N3371" i="3" s="1"/>
  <c r="M3383" i="3"/>
  <c r="N3383" i="3" s="1"/>
  <c r="M3399" i="3"/>
  <c r="N3399" i="3" s="1"/>
  <c r="M3415" i="3"/>
  <c r="N3415" i="3" s="1"/>
  <c r="M3431" i="3"/>
  <c r="N3431" i="3" s="1"/>
  <c r="M3213" i="3"/>
  <c r="N3213" i="3" s="1"/>
  <c r="M3222" i="3"/>
  <c r="N3222" i="3" s="1"/>
  <c r="M3231" i="3"/>
  <c r="N3231" i="3" s="1"/>
  <c r="M3245" i="3"/>
  <c r="N3245" i="3" s="1"/>
  <c r="M3254" i="3"/>
  <c r="N3254" i="3" s="1"/>
  <c r="M3263" i="3"/>
  <c r="N3263" i="3" s="1"/>
  <c r="M3277" i="3"/>
  <c r="N3277" i="3" s="1"/>
  <c r="M3286" i="3"/>
  <c r="N3286" i="3" s="1"/>
  <c r="M3295" i="3"/>
  <c r="N3295" i="3" s="1"/>
  <c r="M3309" i="3"/>
  <c r="N3309" i="3" s="1"/>
  <c r="M3318" i="3"/>
  <c r="N3318" i="3" s="1"/>
  <c r="M3327" i="3"/>
  <c r="N3327" i="3" s="1"/>
  <c r="M3341" i="3"/>
  <c r="N3341" i="3" s="1"/>
  <c r="M3350" i="3"/>
  <c r="N3350" i="3" s="1"/>
  <c r="M3359" i="3"/>
  <c r="N3359" i="3" s="1"/>
  <c r="M3373" i="3"/>
  <c r="N3373" i="3" s="1"/>
  <c r="M3385" i="3"/>
  <c r="N3385" i="3" s="1"/>
  <c r="M3401" i="3"/>
  <c r="N3401" i="3" s="1"/>
  <c r="M3417" i="3"/>
  <c r="N3417" i="3" s="1"/>
  <c r="M3433" i="3"/>
  <c r="N3433" i="3" s="1"/>
  <c r="M3449" i="3"/>
  <c r="N3449" i="3" s="1"/>
  <c r="M3465" i="3"/>
  <c r="N3465" i="3" s="1"/>
  <c r="M3481" i="3"/>
  <c r="N3481" i="3" s="1"/>
  <c r="M3497" i="3"/>
  <c r="N3497" i="3" s="1"/>
  <c r="M3513" i="3"/>
  <c r="N3513" i="3" s="1"/>
  <c r="M3467" i="3"/>
  <c r="N3467" i="3" s="1"/>
  <c r="M3499" i="3"/>
  <c r="N3499" i="3" s="1"/>
  <c r="M3700" i="3"/>
  <c r="N3700" i="3" s="1"/>
  <c r="M96" i="3"/>
  <c r="N96" i="3" s="1"/>
  <c r="M112" i="3"/>
  <c r="N112" i="3" s="1"/>
  <c r="M184" i="3"/>
  <c r="N184" i="3" s="1"/>
  <c r="M200" i="3"/>
  <c r="N200" i="3" s="1"/>
  <c r="M216" i="3"/>
  <c r="N216" i="3" s="1"/>
  <c r="M232" i="3"/>
  <c r="N232" i="3" s="1"/>
  <c r="M248" i="3"/>
  <c r="N248" i="3" s="1"/>
  <c r="M264" i="3"/>
  <c r="N264" i="3" s="1"/>
  <c r="M280" i="3"/>
  <c r="N280" i="3" s="1"/>
  <c r="M296" i="3"/>
  <c r="N296" i="3" s="1"/>
  <c r="M312" i="3"/>
  <c r="N312" i="3" s="1"/>
  <c r="M328" i="3"/>
  <c r="N328" i="3" s="1"/>
  <c r="M121" i="3"/>
  <c r="N121" i="3" s="1"/>
  <c r="M125" i="3"/>
  <c r="N125" i="3" s="1"/>
  <c r="M129" i="3"/>
  <c r="N129" i="3" s="1"/>
  <c r="M133" i="3"/>
  <c r="N133" i="3" s="1"/>
  <c r="M137" i="3"/>
  <c r="N137" i="3" s="1"/>
  <c r="M141" i="3"/>
  <c r="N141" i="3" s="1"/>
  <c r="M145" i="3"/>
  <c r="N145" i="3" s="1"/>
  <c r="M149" i="3"/>
  <c r="N149" i="3" s="1"/>
  <c r="M339" i="3"/>
  <c r="N339" i="3" s="1"/>
  <c r="M355" i="3"/>
  <c r="N355" i="3" s="1"/>
  <c r="M371" i="3"/>
  <c r="N371" i="3" s="1"/>
  <c r="M91" i="3"/>
  <c r="N91" i="3" s="1"/>
  <c r="M165" i="3"/>
  <c r="N165" i="3" s="1"/>
  <c r="M337" i="3"/>
  <c r="N337" i="3" s="1"/>
  <c r="M369" i="3"/>
  <c r="N369" i="3" s="1"/>
  <c r="M298" i="3"/>
  <c r="N298" i="3" s="1"/>
  <c r="M306" i="3"/>
  <c r="N306" i="3" s="1"/>
  <c r="M314" i="3"/>
  <c r="N314" i="3" s="1"/>
  <c r="M322" i="3"/>
  <c r="N322" i="3" s="1"/>
  <c r="M388" i="3"/>
  <c r="N388" i="3" s="1"/>
  <c r="M408" i="3"/>
  <c r="N408" i="3" s="1"/>
  <c r="M333" i="3"/>
  <c r="N333" i="3" s="1"/>
  <c r="M365" i="3"/>
  <c r="N365" i="3" s="1"/>
  <c r="M428" i="3"/>
  <c r="N428" i="3" s="1"/>
  <c r="M460" i="3"/>
  <c r="N460" i="3" s="1"/>
  <c r="M492" i="3"/>
  <c r="N492" i="3" s="1"/>
  <c r="M524" i="3"/>
  <c r="N524" i="3" s="1"/>
  <c r="M556" i="3"/>
  <c r="N556" i="3" s="1"/>
  <c r="M588" i="3"/>
  <c r="N588" i="3" s="1"/>
  <c r="M620" i="3"/>
  <c r="N620" i="3" s="1"/>
  <c r="M652" i="3"/>
  <c r="N652" i="3" s="1"/>
  <c r="M679" i="3"/>
  <c r="N679" i="3" s="1"/>
  <c r="M695" i="3"/>
  <c r="N695" i="3" s="1"/>
  <c r="M711" i="3"/>
  <c r="N711" i="3" s="1"/>
  <c r="M727" i="3"/>
  <c r="N727" i="3" s="1"/>
  <c r="M743" i="3"/>
  <c r="N743" i="3" s="1"/>
  <c r="M759" i="3"/>
  <c r="N759" i="3" s="1"/>
  <c r="M775" i="3"/>
  <c r="N775" i="3" s="1"/>
  <c r="M791" i="3"/>
  <c r="N791" i="3" s="1"/>
  <c r="M807" i="3"/>
  <c r="N807" i="3" s="1"/>
  <c r="M823" i="3"/>
  <c r="N823" i="3" s="1"/>
  <c r="M439" i="3"/>
  <c r="N439" i="3" s="1"/>
  <c r="M471" i="3"/>
  <c r="N471" i="3" s="1"/>
  <c r="M503" i="3"/>
  <c r="N503" i="3" s="1"/>
  <c r="M535" i="3"/>
  <c r="N535" i="3" s="1"/>
  <c r="M567" i="3"/>
  <c r="N567" i="3" s="1"/>
  <c r="M599" i="3"/>
  <c r="N599" i="3" s="1"/>
  <c r="M631" i="3"/>
  <c r="N631" i="3" s="1"/>
  <c r="M663" i="3"/>
  <c r="N663" i="3" s="1"/>
  <c r="M435" i="3"/>
  <c r="N435" i="3" s="1"/>
  <c r="M467" i="3"/>
  <c r="N467" i="3" s="1"/>
  <c r="M499" i="3"/>
  <c r="N499" i="3" s="1"/>
  <c r="M531" i="3"/>
  <c r="N531" i="3" s="1"/>
  <c r="M563" i="3"/>
  <c r="N563" i="3" s="1"/>
  <c r="M595" i="3"/>
  <c r="N595" i="3" s="1"/>
  <c r="M627" i="3"/>
  <c r="N627" i="3" s="1"/>
  <c r="M667" i="3"/>
  <c r="N667" i="3" s="1"/>
  <c r="M685" i="3"/>
  <c r="N685" i="3" s="1"/>
  <c r="M701" i="3"/>
  <c r="N701" i="3" s="1"/>
  <c r="M717" i="3"/>
  <c r="N717" i="3" s="1"/>
  <c r="M733" i="3"/>
  <c r="N733" i="3" s="1"/>
  <c r="M749" i="3"/>
  <c r="N749" i="3" s="1"/>
  <c r="M765" i="3"/>
  <c r="N765" i="3" s="1"/>
  <c r="M781" i="3"/>
  <c r="N781" i="3" s="1"/>
  <c r="M797" i="3"/>
  <c r="N797" i="3" s="1"/>
  <c r="M813" i="3"/>
  <c r="N813" i="3" s="1"/>
  <c r="M831" i="3"/>
  <c r="N831" i="3" s="1"/>
  <c r="M847" i="3"/>
  <c r="N847" i="3" s="1"/>
  <c r="M863" i="3"/>
  <c r="N863" i="3" s="1"/>
  <c r="M879" i="3"/>
  <c r="N879" i="3" s="1"/>
  <c r="M895" i="3"/>
  <c r="N895" i="3" s="1"/>
  <c r="M911" i="3"/>
  <c r="N911" i="3" s="1"/>
  <c r="M432" i="3"/>
  <c r="N432" i="3" s="1"/>
  <c r="M496" i="3"/>
  <c r="N496" i="3" s="1"/>
  <c r="M560" i="3"/>
  <c r="N560" i="3" s="1"/>
  <c r="M624" i="3"/>
  <c r="N624" i="3" s="1"/>
  <c r="M934" i="3"/>
  <c r="N934" i="3" s="1"/>
  <c r="M950" i="3"/>
  <c r="N950" i="3" s="1"/>
  <c r="M966" i="3"/>
  <c r="N966" i="3" s="1"/>
  <c r="M982" i="3"/>
  <c r="N982" i="3" s="1"/>
  <c r="M998" i="3"/>
  <c r="N998" i="3" s="1"/>
  <c r="M1014" i="3"/>
  <c r="N1014" i="3" s="1"/>
  <c r="M1030" i="3"/>
  <c r="N1030" i="3" s="1"/>
  <c r="M1046" i="3"/>
  <c r="N1046" i="3" s="1"/>
  <c r="M1062" i="3"/>
  <c r="N1062" i="3" s="1"/>
  <c r="M1078" i="3"/>
  <c r="N1078" i="3" s="1"/>
  <c r="M1094" i="3"/>
  <c r="N1094" i="3" s="1"/>
  <c r="M1110" i="3"/>
  <c r="N1110" i="3" s="1"/>
  <c r="M924" i="3"/>
  <c r="N924" i="3" s="1"/>
  <c r="M479" i="3"/>
  <c r="N479" i="3" s="1"/>
  <c r="M543" i="3"/>
  <c r="N543" i="3" s="1"/>
  <c r="M607" i="3"/>
  <c r="N607" i="3" s="1"/>
  <c r="M928" i="3"/>
  <c r="N928" i="3" s="1"/>
  <c r="M944" i="3"/>
  <c r="N944" i="3" s="1"/>
  <c r="M960" i="3"/>
  <c r="N960" i="3" s="1"/>
  <c r="M976" i="3"/>
  <c r="N976" i="3" s="1"/>
  <c r="M992" i="3"/>
  <c r="N992" i="3" s="1"/>
  <c r="M1008" i="3"/>
  <c r="N1008" i="3" s="1"/>
  <c r="M1024" i="3"/>
  <c r="N1024" i="3" s="1"/>
  <c r="M1040" i="3"/>
  <c r="N1040" i="3" s="1"/>
  <c r="M1056" i="3"/>
  <c r="N1056" i="3" s="1"/>
  <c r="M1072" i="3"/>
  <c r="N1072" i="3" s="1"/>
  <c r="M1088" i="3"/>
  <c r="N1088" i="3" s="1"/>
  <c r="M1104" i="3"/>
  <c r="N1104" i="3" s="1"/>
  <c r="M1124" i="3"/>
  <c r="N1124" i="3" s="1"/>
  <c r="M1156" i="3"/>
  <c r="N1156" i="3" s="1"/>
  <c r="M1188" i="3"/>
  <c r="N1188" i="3" s="1"/>
  <c r="M1220" i="3"/>
  <c r="N1220" i="3" s="1"/>
  <c r="M1252" i="3"/>
  <c r="N1252" i="3" s="1"/>
  <c r="M1292" i="3"/>
  <c r="N1292" i="3" s="1"/>
  <c r="M1136" i="3"/>
  <c r="N1136" i="3" s="1"/>
  <c r="M1168" i="3"/>
  <c r="N1168" i="3" s="1"/>
  <c r="M1200" i="3"/>
  <c r="N1200" i="3" s="1"/>
  <c r="M1232" i="3"/>
  <c r="N1232" i="3" s="1"/>
  <c r="M1264" i="3"/>
  <c r="N1264" i="3" s="1"/>
  <c r="M1296" i="3"/>
  <c r="N1296" i="3" s="1"/>
  <c r="M1317" i="3"/>
  <c r="N1317" i="3" s="1"/>
  <c r="M1333" i="3"/>
  <c r="N1333" i="3" s="1"/>
  <c r="M1349" i="3"/>
  <c r="N1349" i="3" s="1"/>
  <c r="M1365" i="3"/>
  <c r="N1365" i="3" s="1"/>
  <c r="M1381" i="3"/>
  <c r="N1381" i="3" s="1"/>
  <c r="M1397" i="3"/>
  <c r="N1397" i="3" s="1"/>
  <c r="M1413" i="3"/>
  <c r="N1413" i="3" s="1"/>
  <c r="M1429" i="3"/>
  <c r="N1429" i="3" s="1"/>
  <c r="M1445" i="3"/>
  <c r="N1445" i="3" s="1"/>
  <c r="M1461" i="3"/>
  <c r="N1461" i="3" s="1"/>
  <c r="M1477" i="3"/>
  <c r="N1477" i="3" s="1"/>
  <c r="M1493" i="3"/>
  <c r="N1493" i="3" s="1"/>
  <c r="M1509" i="3"/>
  <c r="N1509" i="3" s="1"/>
  <c r="M1116" i="3"/>
  <c r="N1116" i="3" s="1"/>
  <c r="M1148" i="3"/>
  <c r="N1148" i="3" s="1"/>
  <c r="M1180" i="3"/>
  <c r="N1180" i="3" s="1"/>
  <c r="M1212" i="3"/>
  <c r="N1212" i="3" s="1"/>
  <c r="M1244" i="3"/>
  <c r="N1244" i="3" s="1"/>
  <c r="M1276" i="3"/>
  <c r="N1276" i="3" s="1"/>
  <c r="M1300" i="3"/>
  <c r="N1300" i="3" s="1"/>
  <c r="M1753" i="3"/>
  <c r="N1753" i="3" s="1"/>
  <c r="M1769" i="3"/>
  <c r="N1769" i="3" s="1"/>
  <c r="M1359" i="3"/>
  <c r="N1359" i="3" s="1"/>
  <c r="M1423" i="3"/>
  <c r="N1423" i="3" s="1"/>
  <c r="M1487" i="3"/>
  <c r="N1487" i="3" s="1"/>
  <c r="M1785" i="3"/>
  <c r="N1785" i="3" s="1"/>
  <c r="M1160" i="3"/>
  <c r="N1160" i="3" s="1"/>
  <c r="M1224" i="3"/>
  <c r="N1224" i="3" s="1"/>
  <c r="M1307" i="3"/>
  <c r="N1307" i="3" s="1"/>
  <c r="M1323" i="3"/>
  <c r="N1323" i="3" s="1"/>
  <c r="M1339" i="3"/>
  <c r="N1339" i="3" s="1"/>
  <c r="M1403" i="3"/>
  <c r="N1403" i="3" s="1"/>
  <c r="M1467" i="3"/>
  <c r="N1467" i="3" s="1"/>
  <c r="M1351" i="3"/>
  <c r="N1351" i="3" s="1"/>
  <c r="M1415" i="3"/>
  <c r="N1415" i="3" s="1"/>
  <c r="M1479" i="3"/>
  <c r="N1479" i="3" s="1"/>
  <c r="M1766" i="3"/>
  <c r="N1766" i="3" s="1"/>
  <c r="M1772" i="3"/>
  <c r="N1772" i="3" s="1"/>
  <c r="M1781" i="3"/>
  <c r="N1781" i="3" s="1"/>
  <c r="M1799" i="3"/>
  <c r="N1799" i="3" s="1"/>
  <c r="M1815" i="3"/>
  <c r="N1815" i="3" s="1"/>
  <c r="M1831" i="3"/>
  <c r="N1831" i="3" s="1"/>
  <c r="M1175" i="3"/>
  <c r="N1175" i="3" s="1"/>
  <c r="M1363" i="3"/>
  <c r="N1363" i="3" s="1"/>
  <c r="M1859" i="3"/>
  <c r="N1859" i="3" s="1"/>
  <c r="M1891" i="3"/>
  <c r="N1891" i="3" s="1"/>
  <c r="M1443" i="3"/>
  <c r="N1443" i="3" s="1"/>
  <c r="M1207" i="3"/>
  <c r="N1207" i="3" s="1"/>
  <c r="M1395" i="3"/>
  <c r="N1395" i="3" s="1"/>
  <c r="M1844" i="3"/>
  <c r="N1844" i="3" s="1"/>
  <c r="M1853" i="3"/>
  <c r="N1853" i="3" s="1"/>
  <c r="M1862" i="3"/>
  <c r="N1862" i="3" s="1"/>
  <c r="M1871" i="3"/>
  <c r="N1871" i="3" s="1"/>
  <c r="M1885" i="3"/>
  <c r="N1885" i="3" s="1"/>
  <c r="M1894" i="3"/>
  <c r="N1894" i="3" s="1"/>
  <c r="M1903" i="3"/>
  <c r="N1903" i="3" s="1"/>
  <c r="M1915" i="3"/>
  <c r="N1915" i="3" s="1"/>
  <c r="M1931" i="3"/>
  <c r="N1931" i="3" s="1"/>
  <c r="M1947" i="3"/>
  <c r="N1947" i="3" s="1"/>
  <c r="M1963" i="3"/>
  <c r="N1963" i="3" s="1"/>
  <c r="M1979" i="3"/>
  <c r="N1979" i="3" s="1"/>
  <c r="M1995" i="3"/>
  <c r="N1995" i="3" s="1"/>
  <c r="M2011" i="3"/>
  <c r="N2011" i="3" s="1"/>
  <c r="M2027" i="3"/>
  <c r="N2027" i="3" s="1"/>
  <c r="M2043" i="3"/>
  <c r="N2043" i="3" s="1"/>
  <c r="M2059" i="3"/>
  <c r="N2059" i="3" s="1"/>
  <c r="M2075" i="3"/>
  <c r="N2075" i="3" s="1"/>
  <c r="M2091" i="3"/>
  <c r="N2091" i="3" s="1"/>
  <c r="M1996" i="3"/>
  <c r="N1996" i="3" s="1"/>
  <c r="M2004" i="3"/>
  <c r="N2004" i="3" s="1"/>
  <c r="M2012" i="3"/>
  <c r="N2012" i="3" s="1"/>
  <c r="M2020" i="3"/>
  <c r="N2020" i="3" s="1"/>
  <c r="M2028" i="3"/>
  <c r="N2028" i="3" s="1"/>
  <c r="M2036" i="3"/>
  <c r="N2036" i="3" s="1"/>
  <c r="M2044" i="3"/>
  <c r="N2044" i="3" s="1"/>
  <c r="M2052" i="3"/>
  <c r="N2052" i="3" s="1"/>
  <c r="M2060" i="3"/>
  <c r="N2060" i="3" s="1"/>
  <c r="M2068" i="3"/>
  <c r="N2068" i="3" s="1"/>
  <c r="M2076" i="3"/>
  <c r="N2076" i="3" s="1"/>
  <c r="M2084" i="3"/>
  <c r="N2084" i="3" s="1"/>
  <c r="M2104" i="3"/>
  <c r="N2104" i="3" s="1"/>
  <c r="M2109" i="3"/>
  <c r="N2109" i="3" s="1"/>
  <c r="M2114" i="3"/>
  <c r="N2114" i="3" s="1"/>
  <c r="M2119" i="3"/>
  <c r="N2119" i="3" s="1"/>
  <c r="M2125" i="3"/>
  <c r="N2125" i="3" s="1"/>
  <c r="M2130" i="3"/>
  <c r="N2130" i="3" s="1"/>
  <c r="M2135" i="3"/>
  <c r="N2135" i="3" s="1"/>
  <c r="M2141" i="3"/>
  <c r="N2141" i="3" s="1"/>
  <c r="M2146" i="3"/>
  <c r="N2146" i="3" s="1"/>
  <c r="M2151" i="3"/>
  <c r="N2151" i="3" s="1"/>
  <c r="M2157" i="3"/>
  <c r="N2157" i="3" s="1"/>
  <c r="M2162" i="3"/>
  <c r="N2162" i="3" s="1"/>
  <c r="M2167" i="3"/>
  <c r="N2167" i="3" s="1"/>
  <c r="M2173" i="3"/>
  <c r="N2173" i="3" s="1"/>
  <c r="M2178" i="3"/>
  <c r="N2178" i="3" s="1"/>
  <c r="M2183" i="3"/>
  <c r="N2183" i="3" s="1"/>
  <c r="M2189" i="3"/>
  <c r="N2189" i="3" s="1"/>
  <c r="M2194" i="3"/>
  <c r="N2194" i="3" s="1"/>
  <c r="M2199" i="3"/>
  <c r="N2199" i="3" s="1"/>
  <c r="M2205" i="3"/>
  <c r="N2205" i="3" s="1"/>
  <c r="M2210" i="3"/>
  <c r="N2210" i="3" s="1"/>
  <c r="M2215" i="3"/>
  <c r="N2215" i="3" s="1"/>
  <c r="M2221" i="3"/>
  <c r="N2221" i="3" s="1"/>
  <c r="M2226" i="3"/>
  <c r="N2226" i="3" s="1"/>
  <c r="M2231" i="3"/>
  <c r="N2231" i="3" s="1"/>
  <c r="M2237" i="3"/>
  <c r="N2237" i="3" s="1"/>
  <c r="M2242" i="3"/>
  <c r="N2242" i="3" s="1"/>
  <c r="M2258" i="3"/>
  <c r="N2258" i="3" s="1"/>
  <c r="M2274" i="3"/>
  <c r="N2274" i="3" s="1"/>
  <c r="M2290" i="3"/>
  <c r="N2290" i="3" s="1"/>
  <c r="M2306" i="3"/>
  <c r="N2306" i="3" s="1"/>
  <c r="M2322" i="3"/>
  <c r="N2322" i="3" s="1"/>
  <c r="M2347" i="3"/>
  <c r="N2347" i="3" s="1"/>
  <c r="M2379" i="3"/>
  <c r="N2379" i="3" s="1"/>
  <c r="M2411" i="3"/>
  <c r="N2411" i="3" s="1"/>
  <c r="M2097" i="3"/>
  <c r="N2097" i="3" s="1"/>
  <c r="M2251" i="3"/>
  <c r="N2251" i="3" s="1"/>
  <c r="M2267" i="3"/>
  <c r="N2267" i="3" s="1"/>
  <c r="M2283" i="3"/>
  <c r="N2283" i="3" s="1"/>
  <c r="M2299" i="3"/>
  <c r="N2299" i="3" s="1"/>
  <c r="M2315" i="3"/>
  <c r="N2315" i="3" s="1"/>
  <c r="M2351" i="3"/>
  <c r="N2351" i="3" s="1"/>
  <c r="M2383" i="3"/>
  <c r="N2383" i="3" s="1"/>
  <c r="M2415" i="3"/>
  <c r="N2415" i="3" s="1"/>
  <c r="M2639" i="3"/>
  <c r="N2639" i="3" s="1"/>
  <c r="M2655" i="3"/>
  <c r="N2655" i="3" s="1"/>
  <c r="M2671" i="3"/>
  <c r="N2671" i="3" s="1"/>
  <c r="M2687" i="3"/>
  <c r="N2687" i="3" s="1"/>
  <c r="M2703" i="3"/>
  <c r="N2703" i="3" s="1"/>
  <c r="M2719" i="3"/>
  <c r="N2719" i="3" s="1"/>
  <c r="M2735" i="3"/>
  <c r="N2735" i="3" s="1"/>
  <c r="M2751" i="3"/>
  <c r="N2751" i="3" s="1"/>
  <c r="M2767" i="3"/>
  <c r="N2767" i="3" s="1"/>
  <c r="M2783" i="3"/>
  <c r="N2783" i="3" s="1"/>
  <c r="M2799" i="3"/>
  <c r="N2799" i="3" s="1"/>
  <c r="M2815" i="3"/>
  <c r="N2815" i="3" s="1"/>
  <c r="M2831" i="3"/>
  <c r="N2831" i="3" s="1"/>
  <c r="M2847" i="3"/>
  <c r="N2847" i="3" s="1"/>
  <c r="M2863" i="3"/>
  <c r="N2863" i="3" s="1"/>
  <c r="M2879" i="3"/>
  <c r="N2879" i="3" s="1"/>
  <c r="M2895" i="3"/>
  <c r="N2895" i="3" s="1"/>
  <c r="M2911" i="3"/>
  <c r="N2911" i="3" s="1"/>
  <c r="M2927" i="3"/>
  <c r="N2927" i="3" s="1"/>
  <c r="M2943" i="3"/>
  <c r="N2943" i="3" s="1"/>
  <c r="M2959" i="3"/>
  <c r="N2959" i="3" s="1"/>
  <c r="M2975" i="3"/>
  <c r="N2975" i="3" s="1"/>
  <c r="M2991" i="3"/>
  <c r="N2991" i="3" s="1"/>
  <c r="M3007" i="3"/>
  <c r="N3007" i="3" s="1"/>
  <c r="M3023" i="3"/>
  <c r="N3023" i="3" s="1"/>
  <c r="M3039" i="3"/>
  <c r="N3039" i="3" s="1"/>
  <c r="M3055" i="3"/>
  <c r="N3055" i="3" s="1"/>
  <c r="M3071" i="3"/>
  <c r="N3071" i="3" s="1"/>
  <c r="M3087" i="3"/>
  <c r="N3087" i="3" s="1"/>
  <c r="M3103" i="3"/>
  <c r="N3103" i="3" s="1"/>
  <c r="M3119" i="3"/>
  <c r="N3119" i="3" s="1"/>
  <c r="M3135" i="3"/>
  <c r="N3135" i="3" s="1"/>
  <c r="M3151" i="3"/>
  <c r="N3151" i="3" s="1"/>
  <c r="M3167" i="3"/>
  <c r="N3167" i="3" s="1"/>
  <c r="M3183" i="3"/>
  <c r="N3183" i="3" s="1"/>
  <c r="M3199" i="3"/>
  <c r="N3199" i="3" s="1"/>
  <c r="M2093" i="3"/>
  <c r="N2093" i="3" s="1"/>
  <c r="M3176" i="3"/>
  <c r="N3176" i="3" s="1"/>
  <c r="M3184" i="3"/>
  <c r="N3184" i="3" s="1"/>
  <c r="M3192" i="3"/>
  <c r="N3192" i="3" s="1"/>
  <c r="M3200" i="3"/>
  <c r="N3200" i="3" s="1"/>
  <c r="M3208" i="3"/>
  <c r="N3208" i="3" s="1"/>
  <c r="M3217" i="3"/>
  <c r="N3217" i="3" s="1"/>
  <c r="M3226" i="3"/>
  <c r="N3226" i="3" s="1"/>
  <c r="M3235" i="3"/>
  <c r="N3235" i="3" s="1"/>
  <c r="M3249" i="3"/>
  <c r="N3249" i="3" s="1"/>
  <c r="M3258" i="3"/>
  <c r="N3258" i="3" s="1"/>
  <c r="M3267" i="3"/>
  <c r="N3267" i="3" s="1"/>
  <c r="M3281" i="3"/>
  <c r="N3281" i="3" s="1"/>
  <c r="M3290" i="3"/>
  <c r="N3290" i="3" s="1"/>
  <c r="M3299" i="3"/>
  <c r="N3299" i="3" s="1"/>
  <c r="M3313" i="3"/>
  <c r="N3313" i="3" s="1"/>
  <c r="M3322" i="3"/>
  <c r="N3322" i="3" s="1"/>
  <c r="M3331" i="3"/>
  <c r="N3331" i="3" s="1"/>
  <c r="M3345" i="3"/>
  <c r="N3345" i="3" s="1"/>
  <c r="M3354" i="3"/>
  <c r="N3354" i="3" s="1"/>
  <c r="M3363" i="3"/>
  <c r="N3363" i="3" s="1"/>
  <c r="M3377" i="3"/>
  <c r="N3377" i="3" s="1"/>
  <c r="M3387" i="3"/>
  <c r="N3387" i="3" s="1"/>
  <c r="M3403" i="3"/>
  <c r="N3403" i="3" s="1"/>
  <c r="M3419" i="3"/>
  <c r="N3419" i="3" s="1"/>
  <c r="M3435" i="3"/>
  <c r="N3435" i="3" s="1"/>
  <c r="M3214" i="3"/>
  <c r="N3214" i="3" s="1"/>
  <c r="M3223" i="3"/>
  <c r="N3223" i="3" s="1"/>
  <c r="M3237" i="3"/>
  <c r="N3237" i="3" s="1"/>
  <c r="M3246" i="3"/>
  <c r="N3246" i="3" s="1"/>
  <c r="M3255" i="3"/>
  <c r="N3255" i="3" s="1"/>
  <c r="M3269" i="3"/>
  <c r="N3269" i="3" s="1"/>
  <c r="M3278" i="3"/>
  <c r="N3278" i="3" s="1"/>
  <c r="M3287" i="3"/>
  <c r="N3287" i="3" s="1"/>
  <c r="M3301" i="3"/>
  <c r="N3301" i="3" s="1"/>
  <c r="M3310" i="3"/>
  <c r="N3310" i="3" s="1"/>
  <c r="M3319" i="3"/>
  <c r="N3319" i="3" s="1"/>
  <c r="M3333" i="3"/>
  <c r="N3333" i="3" s="1"/>
  <c r="M3342" i="3"/>
  <c r="N3342" i="3" s="1"/>
  <c r="M3351" i="3"/>
  <c r="N3351" i="3" s="1"/>
  <c r="M3365" i="3"/>
  <c r="N3365" i="3" s="1"/>
  <c r="M3374" i="3"/>
  <c r="N3374" i="3" s="1"/>
  <c r="M3389" i="3"/>
  <c r="N3389" i="3" s="1"/>
  <c r="M3405" i="3"/>
  <c r="N3405" i="3" s="1"/>
  <c r="M3421" i="3"/>
  <c r="N3421" i="3" s="1"/>
  <c r="M3437" i="3"/>
  <c r="N3437" i="3" s="1"/>
  <c r="M3453" i="3"/>
  <c r="N3453" i="3" s="1"/>
  <c r="M3469" i="3"/>
  <c r="N3469" i="3" s="1"/>
  <c r="M3485" i="3"/>
  <c r="N3485" i="3" s="1"/>
  <c r="M3501" i="3"/>
  <c r="N3501" i="3" s="1"/>
  <c r="M3517" i="3"/>
  <c r="N3517" i="3" s="1"/>
  <c r="M3475" i="3"/>
  <c r="N3475" i="3" s="1"/>
  <c r="M3507" i="3"/>
  <c r="N3507" i="3" s="1"/>
  <c r="M3447" i="3"/>
  <c r="N3447" i="3" s="1"/>
  <c r="M3479" i="3"/>
  <c r="N3479" i="3" s="1"/>
  <c r="M3511" i="3"/>
  <c r="N3511" i="3" s="1"/>
  <c r="M4283" i="3"/>
  <c r="N4283" i="3" s="1"/>
  <c r="M4299" i="3"/>
  <c r="N4299" i="3" s="1"/>
  <c r="M4315" i="3"/>
  <c r="N4315" i="3" s="1"/>
  <c r="M4331" i="3"/>
  <c r="N4331" i="3" s="1"/>
  <c r="M4347" i="3"/>
  <c r="N4347" i="3" s="1"/>
  <c r="M4363" i="3"/>
  <c r="N4363" i="3" s="1"/>
  <c r="M4379" i="3"/>
  <c r="N4379" i="3" s="1"/>
  <c r="M4395" i="3"/>
  <c r="N4395" i="3" s="1"/>
  <c r="M4411" i="3"/>
  <c r="N4411" i="3" s="1"/>
  <c r="M4427" i="3"/>
  <c r="N4427" i="3" s="1"/>
  <c r="M4443" i="3"/>
  <c r="N4443" i="3" s="1"/>
  <c r="M4459" i="3"/>
  <c r="N4459" i="3" s="1"/>
  <c r="M4475" i="3"/>
  <c r="N4475" i="3" s="1"/>
  <c r="M4491" i="3"/>
  <c r="N4491" i="3" s="1"/>
  <c r="M4507" i="3"/>
  <c r="N4507" i="3" s="1"/>
  <c r="M4523" i="3"/>
  <c r="N4523" i="3" s="1"/>
  <c r="M4539" i="3"/>
  <c r="N4539" i="3" s="1"/>
  <c r="M4555" i="3"/>
  <c r="N4555" i="3" s="1"/>
  <c r="M4571" i="3"/>
  <c r="N4571" i="3" s="1"/>
  <c r="M4587" i="3"/>
  <c r="N4587" i="3" s="1"/>
  <c r="M4603" i="3"/>
  <c r="N4603" i="3" s="1"/>
  <c r="M4619" i="3"/>
  <c r="N4619" i="3" s="1"/>
  <c r="M4635" i="3"/>
  <c r="N4635" i="3" s="1"/>
  <c r="M4651" i="3"/>
  <c r="N4651" i="3" s="1"/>
  <c r="M4667" i="3"/>
  <c r="N4667" i="3" s="1"/>
  <c r="M3706" i="3"/>
  <c r="N3706" i="3" s="1"/>
  <c r="M3711" i="3"/>
  <c r="N3711" i="3" s="1"/>
  <c r="M3715" i="3"/>
  <c r="N3715" i="3" s="1"/>
  <c r="M3719" i="3"/>
  <c r="N3719" i="3" s="1"/>
  <c r="M3723" i="3"/>
  <c r="N3723" i="3" s="1"/>
  <c r="M3727" i="3"/>
  <c r="N3727" i="3" s="1"/>
  <c r="M3731" i="3"/>
  <c r="N3731" i="3" s="1"/>
  <c r="M3735" i="3"/>
  <c r="N3735" i="3" s="1"/>
  <c r="M3739" i="3"/>
  <c r="N3739" i="3" s="1"/>
  <c r="M3743" i="3"/>
  <c r="N3743" i="3" s="1"/>
  <c r="M3747" i="3"/>
  <c r="N3747" i="3" s="1"/>
  <c r="M3751" i="3"/>
  <c r="N3751" i="3" s="1"/>
  <c r="M3755" i="3"/>
  <c r="N3755" i="3" s="1"/>
  <c r="M3759" i="3"/>
  <c r="N3759" i="3" s="1"/>
  <c r="M3763" i="3"/>
  <c r="N3763" i="3" s="1"/>
  <c r="M3767" i="3"/>
  <c r="N3767" i="3" s="1"/>
  <c r="M3771" i="3"/>
  <c r="N3771" i="3" s="1"/>
  <c r="M3775" i="3"/>
  <c r="N3775" i="3" s="1"/>
  <c r="M3779" i="3"/>
  <c r="N3779" i="3" s="1"/>
  <c r="M3783" i="3"/>
  <c r="N3783" i="3" s="1"/>
  <c r="M3787" i="3"/>
  <c r="N3787" i="3" s="1"/>
  <c r="M3791" i="3"/>
  <c r="N3791" i="3" s="1"/>
  <c r="M3795" i="3"/>
  <c r="N3795" i="3" s="1"/>
  <c r="M3799" i="3"/>
  <c r="N3799" i="3" s="1"/>
  <c r="M3803" i="3"/>
  <c r="N3803" i="3" s="1"/>
  <c r="M3807" i="3"/>
  <c r="N3807" i="3" s="1"/>
  <c r="M3811" i="3"/>
  <c r="N3811" i="3" s="1"/>
  <c r="M3815" i="3"/>
  <c r="N3815" i="3" s="1"/>
  <c r="M3819" i="3"/>
  <c r="N3819" i="3" s="1"/>
  <c r="M3823" i="3"/>
  <c r="N3823" i="3" s="1"/>
  <c r="M3827" i="3"/>
  <c r="N3827" i="3" s="1"/>
  <c r="M3831" i="3"/>
  <c r="N3831" i="3" s="1"/>
  <c r="M3835" i="3"/>
  <c r="N3835" i="3" s="1"/>
  <c r="M3839" i="3"/>
  <c r="N3839" i="3" s="1"/>
  <c r="M3843" i="3"/>
  <c r="N3843" i="3" s="1"/>
  <c r="M4285" i="3"/>
  <c r="N4285" i="3" s="1"/>
  <c r="M4317" i="3"/>
  <c r="N4317" i="3" s="1"/>
  <c r="M4349" i="3"/>
  <c r="N4349" i="3" s="1"/>
  <c r="M4381" i="3"/>
  <c r="N4381" i="3" s="1"/>
  <c r="M4413" i="3"/>
  <c r="N4413" i="3" s="1"/>
  <c r="M4445" i="3"/>
  <c r="N4445" i="3" s="1"/>
  <c r="M4477" i="3"/>
  <c r="N4477" i="3" s="1"/>
  <c r="M4509" i="3"/>
  <c r="N4509" i="3" s="1"/>
  <c r="M4541" i="3"/>
  <c r="N4541" i="3" s="1"/>
  <c r="M4573" i="3"/>
  <c r="N4573" i="3" s="1"/>
  <c r="M4605" i="3"/>
  <c r="N4605" i="3" s="1"/>
  <c r="M4637" i="3"/>
  <c r="N4637" i="3" s="1"/>
  <c r="M4669" i="3"/>
  <c r="N4669" i="3" s="1"/>
  <c r="M4281" i="3"/>
  <c r="N4281" i="3" s="1"/>
  <c r="M4297" i="3"/>
  <c r="N4297" i="3" s="1"/>
  <c r="M4321" i="3"/>
  <c r="N4321" i="3" s="1"/>
  <c r="M4353" i="3"/>
  <c r="N4353" i="3" s="1"/>
  <c r="M4385" i="3"/>
  <c r="N4385" i="3" s="1"/>
  <c r="M4417" i="3"/>
  <c r="N4417" i="3" s="1"/>
  <c r="M4449" i="3"/>
  <c r="N4449" i="3" s="1"/>
  <c r="M4481" i="3"/>
  <c r="N4481" i="3" s="1"/>
  <c r="M4513" i="3"/>
  <c r="N4513" i="3" s="1"/>
  <c r="M4545" i="3"/>
  <c r="N4545" i="3" s="1"/>
  <c r="M4577" i="3"/>
  <c r="N4577" i="3" s="1"/>
  <c r="M4609" i="3"/>
  <c r="N4609" i="3" s="1"/>
  <c r="M4641" i="3"/>
  <c r="N4641" i="3" s="1"/>
  <c r="M5719" i="3"/>
  <c r="N5719" i="3" s="1"/>
  <c r="M5735" i="3"/>
  <c r="N5735" i="3" s="1"/>
  <c r="M5751" i="3"/>
  <c r="N5751" i="3" s="1"/>
  <c r="M5767" i="3"/>
  <c r="N5767" i="3" s="1"/>
  <c r="M5783" i="3"/>
  <c r="N5783" i="3" s="1"/>
  <c r="M5798" i="3"/>
  <c r="N5798" i="3" s="1"/>
  <c r="M5814" i="3"/>
  <c r="N5814" i="3" s="1"/>
  <c r="M5830" i="3"/>
  <c r="N5830" i="3" s="1"/>
  <c r="M5846" i="3"/>
  <c r="N5846" i="3" s="1"/>
  <c r="M5862" i="3"/>
  <c r="N5862" i="3" s="1"/>
  <c r="M5878" i="3"/>
  <c r="N5878" i="3" s="1"/>
  <c r="M5894" i="3"/>
  <c r="N5894" i="3" s="1"/>
  <c r="M5910" i="3"/>
  <c r="N5910" i="3" s="1"/>
  <c r="M5926" i="3"/>
  <c r="N5926" i="3" s="1"/>
  <c r="M5942" i="3"/>
  <c r="N5942" i="3" s="1"/>
  <c r="M5958" i="3"/>
  <c r="N5958" i="3" s="1"/>
  <c r="M5974" i="3"/>
  <c r="N5974" i="3" s="1"/>
  <c r="M5990" i="3"/>
  <c r="N5990" i="3" s="1"/>
  <c r="M6006" i="3"/>
  <c r="N6006" i="3" s="1"/>
  <c r="M6022" i="3"/>
  <c r="N6022" i="3" s="1"/>
  <c r="M6038" i="3"/>
  <c r="N6038" i="3" s="1"/>
  <c r="M6054" i="3"/>
  <c r="N6054" i="3" s="1"/>
  <c r="M6070" i="3"/>
  <c r="N6070" i="3" s="1"/>
  <c r="M6086" i="3"/>
  <c r="N6086" i="3" s="1"/>
  <c r="M6102" i="3"/>
  <c r="N6102" i="3" s="1"/>
  <c r="M6118" i="3"/>
  <c r="N6118" i="3" s="1"/>
  <c r="M6134" i="3"/>
  <c r="N6134" i="3" s="1"/>
  <c r="M6150" i="3"/>
  <c r="N6150" i="3" s="1"/>
  <c r="M6166" i="3"/>
  <c r="N6166" i="3" s="1"/>
  <c r="M6182" i="3"/>
  <c r="N6182" i="3" s="1"/>
  <c r="M6198" i="3"/>
  <c r="N6198" i="3" s="1"/>
  <c r="M6214" i="3"/>
  <c r="N6214" i="3" s="1"/>
  <c r="M6230" i="3"/>
  <c r="N6230" i="3" s="1"/>
  <c r="M6246" i="3"/>
  <c r="N6246" i="3" s="1"/>
  <c r="M6262" i="3"/>
  <c r="N6262" i="3" s="1"/>
  <c r="M6278" i="3"/>
  <c r="N6278" i="3" s="1"/>
  <c r="M6294" i="3"/>
  <c r="N6294" i="3" s="1"/>
  <c r="M6310" i="3"/>
  <c r="N6310" i="3" s="1"/>
  <c r="M6326" i="3"/>
  <c r="N6326" i="3" s="1"/>
  <c r="M6342" i="3"/>
  <c r="N6342" i="3" s="1"/>
  <c r="M6358" i="3"/>
  <c r="N6358" i="3" s="1"/>
  <c r="M6374" i="3"/>
  <c r="N6374" i="3" s="1"/>
  <c r="M6390" i="3"/>
  <c r="N6390" i="3" s="1"/>
  <c r="M6406" i="3"/>
  <c r="N6406" i="3" s="1"/>
  <c r="M6422" i="3"/>
  <c r="N6422" i="3" s="1"/>
  <c r="M6438" i="3"/>
  <c r="N6438" i="3" s="1"/>
  <c r="M6454" i="3"/>
  <c r="N6454" i="3" s="1"/>
  <c r="M6470" i="3"/>
  <c r="N6470" i="3" s="1"/>
  <c r="M6486" i="3"/>
  <c r="N6486" i="3" s="1"/>
  <c r="M6502" i="3"/>
  <c r="N6502" i="3" s="1"/>
  <c r="M5731" i="3"/>
  <c r="N5731" i="3" s="1"/>
  <c r="M5747" i="3"/>
  <c r="N5747" i="3" s="1"/>
  <c r="M5763" i="3"/>
  <c r="N5763" i="3" s="1"/>
  <c r="M5779" i="3"/>
  <c r="N5779" i="3" s="1"/>
  <c r="M5795" i="3"/>
  <c r="N5795" i="3" s="1"/>
  <c r="M5808" i="3"/>
  <c r="N5808" i="3" s="1"/>
  <c r="M5824" i="3"/>
  <c r="N5824" i="3" s="1"/>
  <c r="M5840" i="3"/>
  <c r="N5840" i="3" s="1"/>
  <c r="M5856" i="3"/>
  <c r="N5856" i="3" s="1"/>
  <c r="M5872" i="3"/>
  <c r="N5872" i="3" s="1"/>
  <c r="M5888" i="3"/>
  <c r="N5888" i="3" s="1"/>
  <c r="M5904" i="3"/>
  <c r="N5904" i="3" s="1"/>
  <c r="M5920" i="3"/>
  <c r="N5920" i="3" s="1"/>
  <c r="M5936" i="3"/>
  <c r="N5936" i="3" s="1"/>
  <c r="M5952" i="3"/>
  <c r="N5952" i="3" s="1"/>
  <c r="M5968" i="3"/>
  <c r="N5968" i="3" s="1"/>
  <c r="M5984" i="3"/>
  <c r="N5984" i="3" s="1"/>
  <c r="M6000" i="3"/>
  <c r="N6000" i="3" s="1"/>
  <c r="M6016" i="3"/>
  <c r="N6016" i="3" s="1"/>
  <c r="M6032" i="3"/>
  <c r="N6032" i="3" s="1"/>
  <c r="M6048" i="3"/>
  <c r="N6048" i="3" s="1"/>
  <c r="M6064" i="3"/>
  <c r="N6064" i="3" s="1"/>
  <c r="M6080" i="3"/>
  <c r="N6080" i="3" s="1"/>
  <c r="M6096" i="3"/>
  <c r="N6096" i="3" s="1"/>
  <c r="M6112" i="3"/>
  <c r="N6112" i="3" s="1"/>
  <c r="M6128" i="3"/>
  <c r="N6128" i="3" s="1"/>
  <c r="M6144" i="3"/>
  <c r="N6144" i="3" s="1"/>
  <c r="M6160" i="3"/>
  <c r="N6160" i="3" s="1"/>
  <c r="M6176" i="3"/>
  <c r="N6176" i="3" s="1"/>
  <c r="M6192" i="3"/>
  <c r="N6192" i="3" s="1"/>
  <c r="M6208" i="3"/>
  <c r="N6208" i="3" s="1"/>
  <c r="M6224" i="3"/>
  <c r="N6224" i="3" s="1"/>
  <c r="M6240" i="3"/>
  <c r="N6240" i="3" s="1"/>
  <c r="M6256" i="3"/>
  <c r="N6256" i="3" s="1"/>
  <c r="M6272" i="3"/>
  <c r="N6272" i="3" s="1"/>
  <c r="M6288" i="3"/>
  <c r="N6288" i="3" s="1"/>
  <c r="M6304" i="3"/>
  <c r="N6304" i="3" s="1"/>
  <c r="M6320" i="3"/>
  <c r="N6320" i="3" s="1"/>
  <c r="M6336" i="3"/>
  <c r="N6336" i="3" s="1"/>
  <c r="M6352" i="3"/>
  <c r="N6352" i="3" s="1"/>
  <c r="M6368" i="3"/>
  <c r="N6368" i="3" s="1"/>
  <c r="M6384" i="3"/>
  <c r="N6384" i="3" s="1"/>
  <c r="M6400" i="3"/>
  <c r="N6400" i="3" s="1"/>
  <c r="M6416" i="3"/>
  <c r="N6416" i="3" s="1"/>
  <c r="M6432" i="3"/>
  <c r="N6432" i="3" s="1"/>
  <c r="M6448" i="3"/>
  <c r="N6448" i="3" s="1"/>
  <c r="M6464" i="3"/>
  <c r="N6464" i="3" s="1"/>
  <c r="M6480" i="3"/>
  <c r="N6480" i="3" s="1"/>
  <c r="M6496" i="3"/>
  <c r="N6496" i="3" s="1"/>
  <c r="M6512" i="3"/>
  <c r="N6512" i="3" s="1"/>
  <c r="M6528" i="3"/>
  <c r="N6528" i="3" s="1"/>
  <c r="M6544" i="3"/>
  <c r="N6544" i="3" s="1"/>
  <c r="M6560" i="3"/>
  <c r="N6560" i="3" s="1"/>
  <c r="M6576" i="3"/>
  <c r="N6576" i="3" s="1"/>
  <c r="M6592" i="3"/>
  <c r="N6592" i="3" s="1"/>
  <c r="M6608" i="3"/>
  <c r="N6608" i="3" s="1"/>
  <c r="M7242" i="3"/>
  <c r="N7242" i="3" s="1"/>
  <c r="M6530" i="3"/>
  <c r="N6530" i="3" s="1"/>
  <c r="M6562" i="3"/>
  <c r="N6562" i="3" s="1"/>
  <c r="M6594" i="3"/>
  <c r="N6594" i="3" s="1"/>
  <c r="M7240" i="3"/>
  <c r="N7240" i="3" s="1"/>
  <c r="M6518" i="3"/>
  <c r="N6518" i="3" s="1"/>
  <c r="M6550" i="3"/>
  <c r="N6550" i="3" s="1"/>
  <c r="M6582" i="3"/>
  <c r="N6582" i="3" s="1"/>
  <c r="M7217" i="3"/>
  <c r="N7217" i="3" s="1"/>
  <c r="M7152" i="3"/>
  <c r="N7152" i="3" s="1"/>
  <c r="M7088" i="3"/>
  <c r="N7088" i="3" s="1"/>
  <c r="M7024" i="3"/>
  <c r="N7024" i="3" s="1"/>
  <c r="M6960" i="3"/>
  <c r="N6960" i="3" s="1"/>
  <c r="M6896" i="3"/>
  <c r="N6896" i="3" s="1"/>
  <c r="M6832" i="3"/>
  <c r="N6832" i="3" s="1"/>
  <c r="M6768" i="3"/>
  <c r="N6768" i="3" s="1"/>
  <c r="M6704" i="3"/>
  <c r="N6704" i="3" s="1"/>
  <c r="M7650" i="3"/>
  <c r="N7650" i="3" s="1"/>
  <c r="M7618" i="3"/>
  <c r="N7618" i="3" s="1"/>
  <c r="M7586" i="3"/>
  <c r="N7586" i="3" s="1"/>
  <c r="M7554" i="3"/>
  <c r="N7554" i="3" s="1"/>
  <c r="M7522" i="3"/>
  <c r="N7522" i="3" s="1"/>
  <c r="M7490" i="3"/>
  <c r="N7490" i="3" s="1"/>
  <c r="M7458" i="3"/>
  <c r="N7458" i="3" s="1"/>
  <c r="M7426" i="3"/>
  <c r="N7426" i="3" s="1"/>
  <c r="M7394" i="3"/>
  <c r="N7394" i="3" s="1"/>
  <c r="M7362" i="3"/>
  <c r="N7362" i="3" s="1"/>
  <c r="M7330" i="3"/>
  <c r="N7330" i="3" s="1"/>
  <c r="M7298" i="3"/>
  <c r="N7298" i="3" s="1"/>
  <c r="M7266" i="3"/>
  <c r="N7266" i="3" s="1"/>
  <c r="M7230" i="3"/>
  <c r="N7230" i="3" s="1"/>
  <c r="M7130" i="3"/>
  <c r="N7130" i="3" s="1"/>
  <c r="M7066" i="3"/>
  <c r="N7066" i="3" s="1"/>
  <c r="M7002" i="3"/>
  <c r="N7002" i="3" s="1"/>
  <c r="M6938" i="3"/>
  <c r="N6938" i="3" s="1"/>
  <c r="M6874" i="3"/>
  <c r="N6874" i="3" s="1"/>
  <c r="M6810" i="3"/>
  <c r="N6810" i="3" s="1"/>
  <c r="M6746" i="3"/>
  <c r="N6746" i="3" s="1"/>
  <c r="M6682" i="3"/>
  <c r="N6682" i="3" s="1"/>
  <c r="M6589" i="3"/>
  <c r="N6589" i="3" s="1"/>
  <c r="M6525" i="3"/>
  <c r="N6525" i="3" s="1"/>
  <c r="M7647" i="3"/>
  <c r="N7647" i="3" s="1"/>
  <c r="M7615" i="3"/>
  <c r="N7615" i="3" s="1"/>
  <c r="M7583" i="3"/>
  <c r="N7583" i="3" s="1"/>
  <c r="M7551" i="3"/>
  <c r="N7551" i="3" s="1"/>
  <c r="M7519" i="3"/>
  <c r="N7519" i="3" s="1"/>
  <c r="M7487" i="3"/>
  <c r="N7487" i="3" s="1"/>
  <c r="M7455" i="3"/>
  <c r="N7455" i="3" s="1"/>
  <c r="M7423" i="3"/>
  <c r="N7423" i="3" s="1"/>
  <c r="M7391" i="3"/>
  <c r="N7391" i="3" s="1"/>
  <c r="M7359" i="3"/>
  <c r="N7359" i="3" s="1"/>
  <c r="M7327" i="3"/>
  <c r="N7327" i="3" s="1"/>
  <c r="M7295" i="3"/>
  <c r="N7295" i="3" s="1"/>
  <c r="M7263" i="3"/>
  <c r="N7263" i="3" s="1"/>
  <c r="M7180" i="3"/>
  <c r="N7180" i="3" s="1"/>
  <c r="M7116" i="3"/>
  <c r="N7116" i="3" s="1"/>
  <c r="M7052" i="3"/>
  <c r="N7052" i="3" s="1"/>
  <c r="M6988" i="3"/>
  <c r="N6988" i="3" s="1"/>
  <c r="M6924" i="3"/>
  <c r="N6924" i="3" s="1"/>
  <c r="M6860" i="3"/>
  <c r="N6860" i="3" s="1"/>
  <c r="M6796" i="3"/>
  <c r="N6796" i="3" s="1"/>
  <c r="M6732" i="3"/>
  <c r="N6732" i="3" s="1"/>
  <c r="M6668" i="3"/>
  <c r="N6668" i="3" s="1"/>
  <c r="M7652" i="3"/>
  <c r="N7652" i="3" s="1"/>
  <c r="M7620" i="3"/>
  <c r="N7620" i="3" s="1"/>
  <c r="M7588" i="3"/>
  <c r="N7588" i="3" s="1"/>
  <c r="M7556" i="3"/>
  <c r="N7556" i="3" s="1"/>
  <c r="M7524" i="3"/>
  <c r="N7524" i="3" s="1"/>
  <c r="M7492" i="3"/>
  <c r="N7492" i="3" s="1"/>
  <c r="M7460" i="3"/>
  <c r="N7460" i="3" s="1"/>
  <c r="M7428" i="3"/>
  <c r="N7428" i="3" s="1"/>
  <c r="M7396" i="3"/>
  <c r="N7396" i="3" s="1"/>
  <c r="M7364" i="3"/>
  <c r="N7364" i="3" s="1"/>
  <c r="M7332" i="3"/>
  <c r="N7332" i="3" s="1"/>
  <c r="M7300" i="3"/>
  <c r="N7300" i="3" s="1"/>
  <c r="M7268" i="3"/>
  <c r="N7268" i="3" s="1"/>
  <c r="M7214" i="3"/>
  <c r="N7214" i="3" s="1"/>
  <c r="M7198" i="3"/>
  <c r="N7198" i="3" s="1"/>
  <c r="M7158" i="3"/>
  <c r="N7158" i="3" s="1"/>
  <c r="M7094" i="3"/>
  <c r="N7094" i="3" s="1"/>
  <c r="M7030" i="3"/>
  <c r="N7030" i="3" s="1"/>
  <c r="M6966" i="3"/>
  <c r="N6966" i="3" s="1"/>
  <c r="M6902" i="3"/>
  <c r="N6902" i="3" s="1"/>
  <c r="M6838" i="3"/>
  <c r="N6838" i="3" s="1"/>
  <c r="M6774" i="3"/>
  <c r="N6774" i="3" s="1"/>
  <c r="M6710" i="3"/>
  <c r="N6710" i="3" s="1"/>
  <c r="M6646" i="3"/>
  <c r="N6646" i="3" s="1"/>
  <c r="M6575" i="3"/>
  <c r="N6575" i="3" s="1"/>
  <c r="M6543" i="3"/>
  <c r="N6543" i="3" s="1"/>
  <c r="M6642" i="3"/>
  <c r="N6642" i="3" s="1"/>
  <c r="M5745" i="3"/>
  <c r="N5745" i="3" s="1"/>
  <c r="M6611" i="3"/>
  <c r="N6611" i="3" s="1"/>
  <c r="M5725" i="3"/>
  <c r="N5725" i="3" s="1"/>
  <c r="M5705" i="3"/>
  <c r="N5705" i="3" s="1"/>
  <c r="M5689" i="3"/>
  <c r="N5689" i="3" s="1"/>
  <c r="M5673" i="3"/>
  <c r="N5673" i="3" s="1"/>
  <c r="M5657" i="3"/>
  <c r="N5657" i="3" s="1"/>
  <c r="M5630" i="3"/>
  <c r="N5630" i="3" s="1"/>
  <c r="M5570" i="3"/>
  <c r="N5570" i="3" s="1"/>
  <c r="M5506" i="3"/>
  <c r="N5506" i="3" s="1"/>
  <c r="M5442" i="3"/>
  <c r="N5442" i="3" s="1"/>
  <c r="M5378" i="3"/>
  <c r="N5378" i="3" s="1"/>
  <c r="M5314" i="3"/>
  <c r="N5314" i="3" s="1"/>
  <c r="M5250" i="3"/>
  <c r="N5250" i="3" s="1"/>
  <c r="M98" i="3"/>
  <c r="N98" i="3" s="1"/>
  <c r="M106" i="3"/>
  <c r="N106" i="3" s="1"/>
  <c r="M114" i="3"/>
  <c r="N114" i="3" s="1"/>
  <c r="M188" i="3"/>
  <c r="N188" i="3" s="1"/>
  <c r="M204" i="3"/>
  <c r="N204" i="3" s="1"/>
  <c r="M220" i="3"/>
  <c r="N220" i="3" s="1"/>
  <c r="M236" i="3"/>
  <c r="N236" i="3" s="1"/>
  <c r="M252" i="3"/>
  <c r="N252" i="3" s="1"/>
  <c r="M268" i="3"/>
  <c r="N268" i="3" s="1"/>
  <c r="M284" i="3"/>
  <c r="N284" i="3" s="1"/>
  <c r="M300" i="3"/>
  <c r="N300" i="3" s="1"/>
  <c r="M316" i="3"/>
  <c r="N316" i="3" s="1"/>
  <c r="M173" i="3"/>
  <c r="N173" i="3" s="1"/>
  <c r="M122" i="3"/>
  <c r="N122" i="3" s="1"/>
  <c r="M126" i="3"/>
  <c r="N126" i="3" s="1"/>
  <c r="M130" i="3"/>
  <c r="N130" i="3" s="1"/>
  <c r="M134" i="3"/>
  <c r="N134" i="3" s="1"/>
  <c r="M138" i="3"/>
  <c r="N138" i="3" s="1"/>
  <c r="M142" i="3"/>
  <c r="N142" i="3" s="1"/>
  <c r="M146" i="3"/>
  <c r="N146" i="3" s="1"/>
  <c r="M150" i="3"/>
  <c r="N150" i="3" s="1"/>
  <c r="M343" i="3"/>
  <c r="N343" i="3" s="1"/>
  <c r="M359" i="3"/>
  <c r="N359" i="3" s="1"/>
  <c r="M375" i="3"/>
  <c r="N375" i="3" s="1"/>
  <c r="M92" i="3"/>
  <c r="N92" i="3" s="1"/>
  <c r="M166" i="3"/>
  <c r="N166" i="3" s="1"/>
  <c r="M345" i="3"/>
  <c r="N345" i="3" s="1"/>
  <c r="M377" i="3"/>
  <c r="N377" i="3" s="1"/>
  <c r="M301" i="3"/>
  <c r="N301" i="3" s="1"/>
  <c r="M309" i="3"/>
  <c r="N309" i="3" s="1"/>
  <c r="M317" i="3"/>
  <c r="N317" i="3" s="1"/>
  <c r="M325" i="3"/>
  <c r="N325" i="3" s="1"/>
  <c r="M389" i="3"/>
  <c r="N389" i="3" s="1"/>
  <c r="M409" i="3"/>
  <c r="N409" i="3" s="1"/>
  <c r="M341" i="3"/>
  <c r="N341" i="3" s="1"/>
  <c r="M373" i="3"/>
  <c r="N373" i="3" s="1"/>
  <c r="M443" i="3"/>
  <c r="N443" i="3" s="1"/>
  <c r="M475" i="3"/>
  <c r="N475" i="3" s="1"/>
  <c r="M507" i="3"/>
  <c r="N507" i="3" s="1"/>
  <c r="M539" i="3"/>
  <c r="N539" i="3" s="1"/>
  <c r="M571" i="3"/>
  <c r="N571" i="3" s="1"/>
  <c r="M603" i="3"/>
  <c r="N603" i="3" s="1"/>
  <c r="M635" i="3"/>
  <c r="N635" i="3" s="1"/>
  <c r="M659" i="3"/>
  <c r="N659" i="3" s="1"/>
  <c r="M683" i="3"/>
  <c r="N683" i="3" s="1"/>
  <c r="M699" i="3"/>
  <c r="N699" i="3" s="1"/>
  <c r="M715" i="3"/>
  <c r="N715" i="3" s="1"/>
  <c r="M731" i="3"/>
  <c r="N731" i="3" s="1"/>
  <c r="M747" i="3"/>
  <c r="N747" i="3" s="1"/>
  <c r="M763" i="3"/>
  <c r="N763" i="3" s="1"/>
  <c r="M779" i="3"/>
  <c r="N779" i="3" s="1"/>
  <c r="M795" i="3"/>
  <c r="N795" i="3" s="1"/>
  <c r="M811" i="3"/>
  <c r="N811" i="3" s="1"/>
  <c r="M827" i="3"/>
  <c r="N827" i="3" s="1"/>
  <c r="M440" i="3"/>
  <c r="N440" i="3" s="1"/>
  <c r="M472" i="3"/>
  <c r="N472" i="3" s="1"/>
  <c r="M504" i="3"/>
  <c r="N504" i="3" s="1"/>
  <c r="M536" i="3"/>
  <c r="N536" i="3" s="1"/>
  <c r="M568" i="3"/>
  <c r="N568" i="3" s="1"/>
  <c r="M600" i="3"/>
  <c r="N600" i="3" s="1"/>
  <c r="M632" i="3"/>
  <c r="N632" i="3" s="1"/>
  <c r="M664" i="3"/>
  <c r="N664" i="3" s="1"/>
  <c r="M436" i="3"/>
  <c r="N436" i="3" s="1"/>
  <c r="M468" i="3"/>
  <c r="N468" i="3" s="1"/>
  <c r="M500" i="3"/>
  <c r="N500" i="3" s="1"/>
  <c r="M532" i="3"/>
  <c r="N532" i="3" s="1"/>
  <c r="M564" i="3"/>
  <c r="N564" i="3" s="1"/>
  <c r="M596" i="3"/>
  <c r="N596" i="3" s="1"/>
  <c r="M628" i="3"/>
  <c r="N628" i="3" s="1"/>
  <c r="M668" i="3"/>
  <c r="N668" i="3" s="1"/>
  <c r="M689" i="3"/>
  <c r="N689" i="3" s="1"/>
  <c r="M705" i="3"/>
  <c r="N705" i="3" s="1"/>
  <c r="M721" i="3"/>
  <c r="N721" i="3" s="1"/>
  <c r="M737" i="3"/>
  <c r="N737" i="3" s="1"/>
  <c r="M753" i="3"/>
  <c r="N753" i="3" s="1"/>
  <c r="M769" i="3"/>
  <c r="N769" i="3" s="1"/>
  <c r="M785" i="3"/>
  <c r="N785" i="3" s="1"/>
  <c r="M801" i="3"/>
  <c r="N801" i="3" s="1"/>
  <c r="M817" i="3"/>
  <c r="N817" i="3" s="1"/>
  <c r="M835" i="3"/>
  <c r="N835" i="3" s="1"/>
  <c r="M851" i="3"/>
  <c r="N851" i="3" s="1"/>
  <c r="M867" i="3"/>
  <c r="N867" i="3" s="1"/>
  <c r="M883" i="3"/>
  <c r="N883" i="3" s="1"/>
  <c r="M899" i="3"/>
  <c r="N899" i="3" s="1"/>
  <c r="M915" i="3"/>
  <c r="N915" i="3" s="1"/>
  <c r="M463" i="3"/>
  <c r="N463" i="3" s="1"/>
  <c r="M527" i="3"/>
  <c r="N527" i="3" s="1"/>
  <c r="M591" i="3"/>
  <c r="N591" i="3" s="1"/>
  <c r="M655" i="3"/>
  <c r="N655" i="3" s="1"/>
  <c r="M938" i="3"/>
  <c r="N938" i="3" s="1"/>
  <c r="M954" i="3"/>
  <c r="N954" i="3" s="1"/>
  <c r="M970" i="3"/>
  <c r="N970" i="3" s="1"/>
  <c r="M986" i="3"/>
  <c r="N986" i="3" s="1"/>
  <c r="M1002" i="3"/>
  <c r="N1002" i="3" s="1"/>
  <c r="M1018" i="3"/>
  <c r="N1018" i="3" s="1"/>
  <c r="M1034" i="3"/>
  <c r="N1034" i="3" s="1"/>
  <c r="M1050" i="3"/>
  <c r="N1050" i="3" s="1"/>
  <c r="M1066" i="3"/>
  <c r="N1066" i="3" s="1"/>
  <c r="M1082" i="3"/>
  <c r="N1082" i="3" s="1"/>
  <c r="M1098" i="3"/>
  <c r="N1098" i="3" s="1"/>
  <c r="M671" i="3"/>
  <c r="N671" i="3" s="1"/>
  <c r="M926" i="3"/>
  <c r="N926" i="3" s="1"/>
  <c r="M480" i="3"/>
  <c r="N480" i="3" s="1"/>
  <c r="M544" i="3"/>
  <c r="N544" i="3" s="1"/>
  <c r="M608" i="3"/>
  <c r="N608" i="3" s="1"/>
  <c r="M932" i="3"/>
  <c r="N932" i="3" s="1"/>
  <c r="M948" i="3"/>
  <c r="N948" i="3" s="1"/>
  <c r="M964" i="3"/>
  <c r="N964" i="3" s="1"/>
  <c r="M980" i="3"/>
  <c r="N980" i="3" s="1"/>
  <c r="M996" i="3"/>
  <c r="N996" i="3" s="1"/>
  <c r="M1012" i="3"/>
  <c r="N1012" i="3" s="1"/>
  <c r="M1028" i="3"/>
  <c r="N1028" i="3" s="1"/>
  <c r="M1044" i="3"/>
  <c r="N1044" i="3" s="1"/>
  <c r="M1060" i="3"/>
  <c r="N1060" i="3" s="1"/>
  <c r="M1076" i="3"/>
  <c r="N1076" i="3" s="1"/>
  <c r="M1092" i="3"/>
  <c r="N1092" i="3" s="1"/>
  <c r="M1108" i="3"/>
  <c r="N1108" i="3" s="1"/>
  <c r="M1139" i="3"/>
  <c r="N1139" i="3" s="1"/>
  <c r="M1171" i="3"/>
  <c r="N1171" i="3" s="1"/>
  <c r="M1203" i="3"/>
  <c r="N1203" i="3" s="1"/>
  <c r="M1235" i="3"/>
  <c r="N1235" i="3" s="1"/>
  <c r="M1267" i="3"/>
  <c r="N1267" i="3" s="1"/>
  <c r="M1119" i="3"/>
  <c r="N1119" i="3" s="1"/>
  <c r="M1151" i="3"/>
  <c r="N1151" i="3" s="1"/>
  <c r="M1183" i="3"/>
  <c r="N1183" i="3" s="1"/>
  <c r="M1215" i="3"/>
  <c r="N1215" i="3" s="1"/>
  <c r="M1247" i="3"/>
  <c r="N1247" i="3" s="1"/>
  <c r="M1279" i="3"/>
  <c r="N1279" i="3" s="1"/>
  <c r="M1305" i="3"/>
  <c r="N1305" i="3" s="1"/>
  <c r="M1321" i="3"/>
  <c r="N1321" i="3" s="1"/>
  <c r="M1337" i="3"/>
  <c r="N1337" i="3" s="1"/>
  <c r="M1353" i="3"/>
  <c r="N1353" i="3" s="1"/>
  <c r="M1369" i="3"/>
  <c r="N1369" i="3" s="1"/>
  <c r="M1385" i="3"/>
  <c r="N1385" i="3" s="1"/>
  <c r="M1401" i="3"/>
  <c r="N1401" i="3" s="1"/>
  <c r="M1417" i="3"/>
  <c r="N1417" i="3" s="1"/>
  <c r="M1433" i="3"/>
  <c r="N1433" i="3" s="1"/>
  <c r="M1449" i="3"/>
  <c r="N1449" i="3" s="1"/>
  <c r="M1465" i="3"/>
  <c r="N1465" i="3" s="1"/>
  <c r="M1481" i="3"/>
  <c r="N1481" i="3" s="1"/>
  <c r="M1497" i="3"/>
  <c r="N1497" i="3" s="1"/>
  <c r="M1513" i="3"/>
  <c r="N1513" i="3" s="1"/>
  <c r="M1131" i="3"/>
  <c r="N1131" i="3" s="1"/>
  <c r="M1163" i="3"/>
  <c r="N1163" i="3" s="1"/>
  <c r="M1195" i="3"/>
  <c r="N1195" i="3" s="1"/>
  <c r="M1227" i="3"/>
  <c r="N1227" i="3" s="1"/>
  <c r="M1259" i="3"/>
  <c r="N1259" i="3" s="1"/>
  <c r="M1283" i="3"/>
  <c r="N1283" i="3" s="1"/>
  <c r="M1741" i="3"/>
  <c r="N1741" i="3" s="1"/>
  <c r="M1757" i="3"/>
  <c r="N1757" i="3" s="1"/>
  <c r="M1287" i="3"/>
  <c r="N1287" i="3" s="1"/>
  <c r="M1375" i="3"/>
  <c r="N1375" i="3" s="1"/>
  <c r="M1439" i="3"/>
  <c r="N1439" i="3" s="1"/>
  <c r="M1503" i="3"/>
  <c r="N1503" i="3" s="1"/>
  <c r="M1127" i="3"/>
  <c r="N1127" i="3" s="1"/>
  <c r="M1191" i="3"/>
  <c r="N1191" i="3" s="1"/>
  <c r="M1255" i="3"/>
  <c r="N1255" i="3" s="1"/>
  <c r="M1311" i="3"/>
  <c r="N1311" i="3" s="1"/>
  <c r="M1327" i="3"/>
  <c r="N1327" i="3" s="1"/>
  <c r="M1355" i="3"/>
  <c r="N1355" i="3" s="1"/>
  <c r="M1419" i="3"/>
  <c r="N1419" i="3" s="1"/>
  <c r="M1483" i="3"/>
  <c r="N1483" i="3" s="1"/>
  <c r="M1367" i="3"/>
  <c r="N1367" i="3" s="1"/>
  <c r="M1431" i="3"/>
  <c r="N1431" i="3" s="1"/>
  <c r="M1495" i="3"/>
  <c r="N1495" i="3" s="1"/>
  <c r="M1767" i="3"/>
  <c r="N1767" i="3" s="1"/>
  <c r="M1773" i="3"/>
  <c r="N1773" i="3" s="1"/>
  <c r="M1787" i="3"/>
  <c r="N1787" i="3" s="1"/>
  <c r="M1803" i="3"/>
  <c r="N1803" i="3" s="1"/>
  <c r="M1819" i="3"/>
  <c r="N1819" i="3" s="1"/>
  <c r="M1835" i="3"/>
  <c r="N1835" i="3" s="1"/>
  <c r="M1176" i="3"/>
  <c r="N1176" i="3" s="1"/>
  <c r="M1427" i="3"/>
  <c r="N1427" i="3" s="1"/>
  <c r="M1867" i="3"/>
  <c r="N1867" i="3" s="1"/>
  <c r="M1899" i="3"/>
  <c r="N1899" i="3" s="1"/>
  <c r="M1507" i="3"/>
  <c r="N1507" i="3" s="1"/>
  <c r="M1208" i="3"/>
  <c r="N1208" i="3" s="1"/>
  <c r="M1459" i="3"/>
  <c r="N1459" i="3" s="1"/>
  <c r="M1845" i="3"/>
  <c r="N1845" i="3" s="1"/>
  <c r="M1854" i="3"/>
  <c r="N1854" i="3" s="1"/>
  <c r="M1863" i="3"/>
  <c r="N1863" i="3" s="1"/>
  <c r="M1877" i="3"/>
  <c r="N1877" i="3" s="1"/>
  <c r="M1886" i="3"/>
  <c r="N1886" i="3" s="1"/>
  <c r="M1895" i="3"/>
  <c r="N1895" i="3" s="1"/>
  <c r="M1909" i="3"/>
  <c r="N1909" i="3" s="1"/>
  <c r="M1919" i="3"/>
  <c r="N1919" i="3" s="1"/>
  <c r="M1935" i="3"/>
  <c r="N1935" i="3" s="1"/>
  <c r="M1951" i="3"/>
  <c r="N1951" i="3" s="1"/>
  <c r="M1967" i="3"/>
  <c r="N1967" i="3" s="1"/>
  <c r="M1983" i="3"/>
  <c r="N1983" i="3" s="1"/>
  <c r="M1999" i="3"/>
  <c r="N1999" i="3" s="1"/>
  <c r="M2015" i="3"/>
  <c r="N2015" i="3" s="1"/>
  <c r="M2031" i="3"/>
  <c r="N2031" i="3" s="1"/>
  <c r="M2047" i="3"/>
  <c r="N2047" i="3" s="1"/>
  <c r="M2063" i="3"/>
  <c r="N2063" i="3" s="1"/>
  <c r="M2079" i="3"/>
  <c r="N2079" i="3" s="1"/>
  <c r="M2095" i="3"/>
  <c r="N2095" i="3" s="1"/>
  <c r="M1347" i="3"/>
  <c r="N1347" i="3" s="1"/>
  <c r="M1997" i="3"/>
  <c r="N1997" i="3" s="1"/>
  <c r="M2005" i="3"/>
  <c r="N2005" i="3" s="1"/>
  <c r="M2013" i="3"/>
  <c r="N2013" i="3" s="1"/>
  <c r="M2021" i="3"/>
  <c r="N2021" i="3" s="1"/>
  <c r="M2029" i="3"/>
  <c r="N2029" i="3" s="1"/>
  <c r="M2037" i="3"/>
  <c r="N2037" i="3" s="1"/>
  <c r="M2045" i="3"/>
  <c r="N2045" i="3" s="1"/>
  <c r="M2053" i="3"/>
  <c r="N2053" i="3" s="1"/>
  <c r="M2061" i="3"/>
  <c r="N2061" i="3" s="1"/>
  <c r="M2069" i="3"/>
  <c r="N2069" i="3" s="1"/>
  <c r="M2077" i="3"/>
  <c r="N2077" i="3" s="1"/>
  <c r="M2085" i="3"/>
  <c r="N2085" i="3" s="1"/>
  <c r="M2105" i="3"/>
  <c r="N2105" i="3" s="1"/>
  <c r="M2110" i="3"/>
  <c r="N2110" i="3" s="1"/>
  <c r="M2115" i="3"/>
  <c r="N2115" i="3" s="1"/>
  <c r="M2121" i="3"/>
  <c r="N2121" i="3" s="1"/>
  <c r="M2126" i="3"/>
  <c r="N2126" i="3" s="1"/>
  <c r="M2131" i="3"/>
  <c r="N2131" i="3" s="1"/>
  <c r="M2137" i="3"/>
  <c r="N2137" i="3" s="1"/>
  <c r="M2142" i="3"/>
  <c r="N2142" i="3" s="1"/>
  <c r="M2147" i="3"/>
  <c r="N2147" i="3" s="1"/>
  <c r="M2153" i="3"/>
  <c r="N2153" i="3" s="1"/>
  <c r="M2158" i="3"/>
  <c r="N2158" i="3" s="1"/>
  <c r="M2163" i="3"/>
  <c r="N2163" i="3" s="1"/>
  <c r="M2169" i="3"/>
  <c r="N2169" i="3" s="1"/>
  <c r="M2174" i="3"/>
  <c r="N2174" i="3" s="1"/>
  <c r="M2179" i="3"/>
  <c r="N2179" i="3" s="1"/>
  <c r="M2185" i="3"/>
  <c r="N2185" i="3" s="1"/>
  <c r="M2190" i="3"/>
  <c r="N2190" i="3" s="1"/>
  <c r="M2195" i="3"/>
  <c r="N2195" i="3" s="1"/>
  <c r="M2201" i="3"/>
  <c r="N2201" i="3" s="1"/>
  <c r="M2206" i="3"/>
  <c r="N2206" i="3" s="1"/>
  <c r="M2211" i="3"/>
  <c r="N2211" i="3" s="1"/>
  <c r="M2217" i="3"/>
  <c r="N2217" i="3" s="1"/>
  <c r="M2222" i="3"/>
  <c r="N2222" i="3" s="1"/>
  <c r="M2227" i="3"/>
  <c r="N2227" i="3" s="1"/>
  <c r="M2233" i="3"/>
  <c r="N2233" i="3" s="1"/>
  <c r="M2238" i="3"/>
  <c r="N2238" i="3" s="1"/>
  <c r="M2243" i="3"/>
  <c r="N2243" i="3" s="1"/>
  <c r="M2259" i="3"/>
  <c r="N2259" i="3" s="1"/>
  <c r="M2275" i="3"/>
  <c r="N2275" i="3" s="1"/>
  <c r="M2291" i="3"/>
  <c r="N2291" i="3" s="1"/>
  <c r="M2307" i="3"/>
  <c r="N2307" i="3" s="1"/>
  <c r="M2323" i="3"/>
  <c r="N2323" i="3" s="1"/>
  <c r="M2355" i="3"/>
  <c r="N2355" i="3" s="1"/>
  <c r="M2387" i="3"/>
  <c r="N2387" i="3" s="1"/>
  <c r="M2100" i="3"/>
  <c r="N2100" i="3" s="1"/>
  <c r="M2247" i="3"/>
  <c r="N2247" i="3" s="1"/>
  <c r="M2263" i="3"/>
  <c r="N2263" i="3" s="1"/>
  <c r="M2279" i="3"/>
  <c r="N2279" i="3" s="1"/>
  <c r="M2295" i="3"/>
  <c r="N2295" i="3" s="1"/>
  <c r="M2311" i="3"/>
  <c r="N2311" i="3" s="1"/>
  <c r="M2327" i="3"/>
  <c r="N2327" i="3" s="1"/>
  <c r="M2359" i="3"/>
  <c r="N2359" i="3" s="1"/>
  <c r="M2391" i="3"/>
  <c r="N2391" i="3" s="1"/>
  <c r="M2627" i="3"/>
  <c r="N2627" i="3" s="1"/>
  <c r="M2643" i="3"/>
  <c r="N2643" i="3" s="1"/>
  <c r="M2659" i="3"/>
  <c r="N2659" i="3" s="1"/>
  <c r="M2675" i="3"/>
  <c r="N2675" i="3" s="1"/>
  <c r="M2691" i="3"/>
  <c r="N2691" i="3" s="1"/>
  <c r="M2707" i="3"/>
  <c r="N2707" i="3" s="1"/>
  <c r="M2723" i="3"/>
  <c r="N2723" i="3" s="1"/>
  <c r="M2739" i="3"/>
  <c r="N2739" i="3" s="1"/>
  <c r="M2755" i="3"/>
  <c r="N2755" i="3" s="1"/>
  <c r="M2771" i="3"/>
  <c r="N2771" i="3" s="1"/>
  <c r="M2787" i="3"/>
  <c r="N2787" i="3" s="1"/>
  <c r="M2803" i="3"/>
  <c r="N2803" i="3" s="1"/>
  <c r="M2819" i="3"/>
  <c r="N2819" i="3" s="1"/>
  <c r="M2835" i="3"/>
  <c r="N2835" i="3" s="1"/>
  <c r="M2851" i="3"/>
  <c r="N2851" i="3" s="1"/>
  <c r="M2867" i="3"/>
  <c r="N2867" i="3" s="1"/>
  <c r="M2883" i="3"/>
  <c r="N2883" i="3" s="1"/>
  <c r="M2899" i="3"/>
  <c r="N2899" i="3" s="1"/>
  <c r="M2915" i="3"/>
  <c r="N2915" i="3" s="1"/>
  <c r="M2931" i="3"/>
  <c r="N2931" i="3" s="1"/>
  <c r="M2947" i="3"/>
  <c r="N2947" i="3" s="1"/>
  <c r="M2963" i="3"/>
  <c r="N2963" i="3" s="1"/>
  <c r="M2979" i="3"/>
  <c r="N2979" i="3" s="1"/>
  <c r="M2995" i="3"/>
  <c r="N2995" i="3" s="1"/>
  <c r="M3011" i="3"/>
  <c r="N3011" i="3" s="1"/>
  <c r="M3027" i="3"/>
  <c r="N3027" i="3" s="1"/>
  <c r="M3043" i="3"/>
  <c r="N3043" i="3" s="1"/>
  <c r="M3059" i="3"/>
  <c r="N3059" i="3" s="1"/>
  <c r="M3075" i="3"/>
  <c r="N3075" i="3" s="1"/>
  <c r="M3091" i="3"/>
  <c r="N3091" i="3" s="1"/>
  <c r="M3107" i="3"/>
  <c r="N3107" i="3" s="1"/>
  <c r="M3123" i="3"/>
  <c r="N3123" i="3" s="1"/>
  <c r="M3139" i="3"/>
  <c r="N3139" i="3" s="1"/>
  <c r="M3155" i="3"/>
  <c r="N3155" i="3" s="1"/>
  <c r="M3171" i="3"/>
  <c r="N3171" i="3" s="1"/>
  <c r="M3187" i="3"/>
  <c r="N3187" i="3" s="1"/>
  <c r="M3203" i="3"/>
  <c r="N3203" i="3" s="1"/>
  <c r="M3596" i="3"/>
  <c r="N3596" i="3" s="1"/>
  <c r="M3177" i="3"/>
  <c r="N3177" i="3" s="1"/>
  <c r="M3185" i="3"/>
  <c r="N3185" i="3" s="1"/>
  <c r="M3193" i="3"/>
  <c r="N3193" i="3" s="1"/>
  <c r="M3201" i="3"/>
  <c r="N3201" i="3" s="1"/>
  <c r="M3209" i="3"/>
  <c r="N3209" i="3" s="1"/>
  <c r="M3218" i="3"/>
  <c r="N3218" i="3" s="1"/>
  <c r="M3227" i="3"/>
  <c r="N3227" i="3" s="1"/>
  <c r="M3241" i="3"/>
  <c r="N3241" i="3" s="1"/>
  <c r="M3250" i="3"/>
  <c r="N3250" i="3" s="1"/>
  <c r="M3259" i="3"/>
  <c r="N3259" i="3" s="1"/>
  <c r="M3273" i="3"/>
  <c r="N3273" i="3" s="1"/>
  <c r="M3282" i="3"/>
  <c r="N3282" i="3" s="1"/>
  <c r="M3291" i="3"/>
  <c r="N3291" i="3" s="1"/>
  <c r="M3305" i="3"/>
  <c r="N3305" i="3" s="1"/>
  <c r="M3314" i="3"/>
  <c r="N3314" i="3" s="1"/>
  <c r="M3323" i="3"/>
  <c r="N3323" i="3" s="1"/>
  <c r="M3337" i="3"/>
  <c r="N3337" i="3" s="1"/>
  <c r="M3346" i="3"/>
  <c r="N3346" i="3" s="1"/>
  <c r="M3355" i="3"/>
  <c r="N3355" i="3" s="1"/>
  <c r="M3369" i="3"/>
  <c r="N3369" i="3" s="1"/>
  <c r="M3378" i="3"/>
  <c r="N3378" i="3" s="1"/>
  <c r="M3391" i="3"/>
  <c r="N3391" i="3" s="1"/>
  <c r="M3407" i="3"/>
  <c r="N3407" i="3" s="1"/>
  <c r="M3423" i="3"/>
  <c r="N3423" i="3" s="1"/>
  <c r="M3439" i="3"/>
  <c r="N3439" i="3" s="1"/>
  <c r="M3215" i="3"/>
  <c r="N3215" i="3" s="1"/>
  <c r="M3229" i="3"/>
  <c r="N3229" i="3" s="1"/>
  <c r="M3238" i="3"/>
  <c r="N3238" i="3" s="1"/>
  <c r="M3247" i="3"/>
  <c r="N3247" i="3" s="1"/>
  <c r="M3261" i="3"/>
  <c r="N3261" i="3" s="1"/>
  <c r="M3270" i="3"/>
  <c r="N3270" i="3" s="1"/>
  <c r="M3279" i="3"/>
  <c r="N3279" i="3" s="1"/>
  <c r="M3293" i="3"/>
  <c r="N3293" i="3" s="1"/>
  <c r="M3302" i="3"/>
  <c r="N3302" i="3" s="1"/>
  <c r="M3311" i="3"/>
  <c r="N3311" i="3" s="1"/>
  <c r="M3325" i="3"/>
  <c r="N3325" i="3" s="1"/>
  <c r="M3334" i="3"/>
  <c r="N3334" i="3" s="1"/>
  <c r="M3343" i="3"/>
  <c r="N3343" i="3" s="1"/>
  <c r="M3357" i="3"/>
  <c r="N3357" i="3" s="1"/>
  <c r="M3366" i="3"/>
  <c r="N3366" i="3" s="1"/>
  <c r="M3375" i="3"/>
  <c r="N3375" i="3" s="1"/>
  <c r="M3393" i="3"/>
  <c r="N3393" i="3" s="1"/>
  <c r="M3409" i="3"/>
  <c r="N3409" i="3" s="1"/>
  <c r="M3425" i="3"/>
  <c r="N3425" i="3" s="1"/>
  <c r="M3441" i="3"/>
  <c r="N3441" i="3" s="1"/>
  <c r="M3457" i="3"/>
  <c r="N3457" i="3" s="1"/>
  <c r="M3473" i="3"/>
  <c r="N3473" i="3" s="1"/>
  <c r="M3489" i="3"/>
  <c r="N3489" i="3" s="1"/>
  <c r="M3505" i="3"/>
  <c r="N3505" i="3" s="1"/>
  <c r="M3451" i="3"/>
  <c r="N3451" i="3" s="1"/>
  <c r="M108" i="3"/>
  <c r="N108" i="3" s="1"/>
  <c r="M224" i="3"/>
  <c r="N224" i="3" s="1"/>
  <c r="M288" i="3"/>
  <c r="N288" i="3" s="1"/>
  <c r="M123" i="3"/>
  <c r="N123" i="3" s="1"/>
  <c r="M139" i="3"/>
  <c r="N139" i="3" s="1"/>
  <c r="M347" i="3"/>
  <c r="N347" i="3" s="1"/>
  <c r="M396" i="3"/>
  <c r="N396" i="3" s="1"/>
  <c r="M310" i="3"/>
  <c r="N310" i="3" s="1"/>
  <c r="M416" i="3"/>
  <c r="N416" i="3" s="1"/>
  <c r="M476" i="3"/>
  <c r="N476" i="3" s="1"/>
  <c r="M604" i="3"/>
  <c r="N604" i="3" s="1"/>
  <c r="M703" i="3"/>
  <c r="N703" i="3" s="1"/>
  <c r="M767" i="3"/>
  <c r="N767" i="3" s="1"/>
  <c r="M423" i="3"/>
  <c r="N423" i="3" s="1"/>
  <c r="M551" i="3"/>
  <c r="N551" i="3" s="1"/>
  <c r="M392" i="3"/>
  <c r="N392" i="3" s="1"/>
  <c r="M547" i="3"/>
  <c r="N547" i="3" s="1"/>
  <c r="M677" i="3"/>
  <c r="N677" i="3" s="1"/>
  <c r="M741" i="3"/>
  <c r="N741" i="3" s="1"/>
  <c r="M805" i="3"/>
  <c r="N805" i="3" s="1"/>
  <c r="M871" i="3"/>
  <c r="N871" i="3" s="1"/>
  <c r="M464" i="3"/>
  <c r="N464" i="3" s="1"/>
  <c r="M942" i="3"/>
  <c r="N942" i="3" s="1"/>
  <c r="M1006" i="3"/>
  <c r="N1006" i="3" s="1"/>
  <c r="M1070" i="3"/>
  <c r="N1070" i="3" s="1"/>
  <c r="M447" i="3"/>
  <c r="N447" i="3" s="1"/>
  <c r="M936" i="3"/>
  <c r="N936" i="3" s="1"/>
  <c r="M1000" i="3"/>
  <c r="N1000" i="3" s="1"/>
  <c r="M1064" i="3"/>
  <c r="N1064" i="3" s="1"/>
  <c r="M1140" i="3"/>
  <c r="N1140" i="3" s="1"/>
  <c r="M1268" i="3"/>
  <c r="N1268" i="3" s="1"/>
  <c r="M1216" i="3"/>
  <c r="N1216" i="3" s="1"/>
  <c r="M1325" i="3"/>
  <c r="N1325" i="3" s="1"/>
  <c r="M1389" i="3"/>
  <c r="N1389" i="3" s="1"/>
  <c r="M1453" i="3"/>
  <c r="N1453" i="3" s="1"/>
  <c r="M1517" i="3"/>
  <c r="N1517" i="3" s="1"/>
  <c r="M1228" i="3"/>
  <c r="N1228" i="3" s="1"/>
  <c r="M1761" i="3"/>
  <c r="N1761" i="3" s="1"/>
  <c r="M1519" i="3"/>
  <c r="N1519" i="3" s="1"/>
  <c r="M1315" i="3"/>
  <c r="N1315" i="3" s="1"/>
  <c r="M1499" i="3"/>
  <c r="N1499" i="3" s="1"/>
  <c r="M1770" i="3"/>
  <c r="N1770" i="3" s="1"/>
  <c r="M1823" i="3"/>
  <c r="N1823" i="3" s="1"/>
  <c r="M1875" i="3"/>
  <c r="N1875" i="3" s="1"/>
  <c r="M1840" i="3"/>
  <c r="N1840" i="3" s="1"/>
  <c r="M1878" i="3"/>
  <c r="N1878" i="3" s="1"/>
  <c r="M1923" i="3"/>
  <c r="N1923" i="3" s="1"/>
  <c r="M1987" i="3"/>
  <c r="N1987" i="3" s="1"/>
  <c r="M2051" i="3"/>
  <c r="N2051" i="3" s="1"/>
  <c r="M2016" i="3"/>
  <c r="N2016" i="3" s="1"/>
  <c r="M2048" i="3"/>
  <c r="N2048" i="3" s="1"/>
  <c r="M2080" i="3"/>
  <c r="N2080" i="3" s="1"/>
  <c r="M2117" i="3"/>
  <c r="N2117" i="3" s="1"/>
  <c r="M2138" i="3"/>
  <c r="N2138" i="3" s="1"/>
  <c r="M2159" i="3"/>
  <c r="N2159" i="3" s="1"/>
  <c r="M2181" i="3"/>
  <c r="N2181" i="3" s="1"/>
  <c r="M2202" i="3"/>
  <c r="N2202" i="3" s="1"/>
  <c r="M2223" i="3"/>
  <c r="N2223" i="3" s="1"/>
  <c r="M2255" i="3"/>
  <c r="N2255" i="3" s="1"/>
  <c r="M2319" i="3"/>
  <c r="N2319" i="3" s="1"/>
  <c r="M2101" i="3"/>
  <c r="N2101" i="3" s="1"/>
  <c r="M2297" i="3"/>
  <c r="N2297" i="3" s="1"/>
  <c r="M2399" i="3"/>
  <c r="N2399" i="3" s="1"/>
  <c r="M2679" i="3"/>
  <c r="N2679" i="3" s="1"/>
  <c r="M2743" i="3"/>
  <c r="N2743" i="3" s="1"/>
  <c r="M2807" i="3"/>
  <c r="N2807" i="3" s="1"/>
  <c r="M2871" i="3"/>
  <c r="N2871" i="3" s="1"/>
  <c r="M2935" i="3"/>
  <c r="N2935" i="3" s="1"/>
  <c r="M2999" i="3"/>
  <c r="N2999" i="3" s="1"/>
  <c r="M3063" i="3"/>
  <c r="N3063" i="3" s="1"/>
  <c r="M3127" i="3"/>
  <c r="N3127" i="3" s="1"/>
  <c r="M3191" i="3"/>
  <c r="N3191" i="3" s="1"/>
  <c r="M3188" i="3"/>
  <c r="N3188" i="3" s="1"/>
  <c r="M3219" i="3"/>
  <c r="N3219" i="3" s="1"/>
  <c r="M3265" i="3"/>
  <c r="N3265" i="3" s="1"/>
  <c r="M3306" i="3"/>
  <c r="N3306" i="3" s="1"/>
  <c r="M3347" i="3"/>
  <c r="N3347" i="3" s="1"/>
  <c r="M3395" i="3"/>
  <c r="N3395" i="3" s="1"/>
  <c r="M3221" i="3"/>
  <c r="N3221" i="3" s="1"/>
  <c r="M3262" i="3"/>
  <c r="N3262" i="3" s="1"/>
  <c r="M3303" i="3"/>
  <c r="N3303" i="3" s="1"/>
  <c r="M3349" i="3"/>
  <c r="N3349" i="3" s="1"/>
  <c r="M3397" i="3"/>
  <c r="N3397" i="3" s="1"/>
  <c r="M3461" i="3"/>
  <c r="N3461" i="3" s="1"/>
  <c r="M3459" i="3"/>
  <c r="N3459" i="3" s="1"/>
  <c r="M3600" i="3"/>
  <c r="N3600" i="3" s="1"/>
  <c r="M3487" i="3"/>
  <c r="N3487" i="3" s="1"/>
  <c r="M4275" i="3"/>
  <c r="N4275" i="3" s="1"/>
  <c r="M4295" i="3"/>
  <c r="N4295" i="3" s="1"/>
  <c r="M4319" i="3"/>
  <c r="N4319" i="3" s="1"/>
  <c r="M4339" i="3"/>
  <c r="N4339" i="3" s="1"/>
  <c r="M4359" i="3"/>
  <c r="N4359" i="3" s="1"/>
  <c r="M4383" i="3"/>
  <c r="N4383" i="3" s="1"/>
  <c r="M4403" i="3"/>
  <c r="N4403" i="3" s="1"/>
  <c r="M4423" i="3"/>
  <c r="N4423" i="3" s="1"/>
  <c r="M4447" i="3"/>
  <c r="N4447" i="3" s="1"/>
  <c r="M4467" i="3"/>
  <c r="N4467" i="3" s="1"/>
  <c r="M4487" i="3"/>
  <c r="N4487" i="3" s="1"/>
  <c r="M4511" i="3"/>
  <c r="N4511" i="3" s="1"/>
  <c r="M4531" i="3"/>
  <c r="N4531" i="3" s="1"/>
  <c r="M4551" i="3"/>
  <c r="N4551" i="3" s="1"/>
  <c r="M4575" i="3"/>
  <c r="N4575" i="3" s="1"/>
  <c r="M4595" i="3"/>
  <c r="N4595" i="3" s="1"/>
  <c r="M4615" i="3"/>
  <c r="N4615" i="3" s="1"/>
  <c r="M4639" i="3"/>
  <c r="N4639" i="3" s="1"/>
  <c r="M4659" i="3"/>
  <c r="N4659" i="3" s="1"/>
  <c r="M3704" i="3"/>
  <c r="N3704" i="3" s="1"/>
  <c r="M3712" i="3"/>
  <c r="N3712" i="3" s="1"/>
  <c r="M3717" i="3"/>
  <c r="N3717" i="3" s="1"/>
  <c r="M3722" i="3"/>
  <c r="N3722" i="3" s="1"/>
  <c r="M3728" i="3"/>
  <c r="N3728" i="3" s="1"/>
  <c r="M3733" i="3"/>
  <c r="N3733" i="3" s="1"/>
  <c r="M3738" i="3"/>
  <c r="N3738" i="3" s="1"/>
  <c r="M3744" i="3"/>
  <c r="N3744" i="3" s="1"/>
  <c r="M3749" i="3"/>
  <c r="N3749" i="3" s="1"/>
  <c r="M3754" i="3"/>
  <c r="N3754" i="3" s="1"/>
  <c r="M3760" i="3"/>
  <c r="N3760" i="3" s="1"/>
  <c r="M3765" i="3"/>
  <c r="N3765" i="3" s="1"/>
  <c r="M3770" i="3"/>
  <c r="N3770" i="3" s="1"/>
  <c r="M3776" i="3"/>
  <c r="N3776" i="3" s="1"/>
  <c r="M3781" i="3"/>
  <c r="N3781" i="3" s="1"/>
  <c r="M3786" i="3"/>
  <c r="N3786" i="3" s="1"/>
  <c r="M3792" i="3"/>
  <c r="N3792" i="3" s="1"/>
  <c r="M3797" i="3"/>
  <c r="N3797" i="3" s="1"/>
  <c r="M3802" i="3"/>
  <c r="N3802" i="3" s="1"/>
  <c r="M3808" i="3"/>
  <c r="N3808" i="3" s="1"/>
  <c r="M3813" i="3"/>
  <c r="N3813" i="3" s="1"/>
  <c r="M3818" i="3"/>
  <c r="N3818" i="3" s="1"/>
  <c r="M3824" i="3"/>
  <c r="N3824" i="3" s="1"/>
  <c r="M3829" i="3"/>
  <c r="N3829" i="3" s="1"/>
  <c r="M3834" i="3"/>
  <c r="N3834" i="3" s="1"/>
  <c r="M3840" i="3"/>
  <c r="N3840" i="3" s="1"/>
  <c r="M4692" i="3"/>
  <c r="N4692" i="3" s="1"/>
  <c r="M4309" i="3"/>
  <c r="N4309" i="3" s="1"/>
  <c r="M4357" i="3"/>
  <c r="N4357" i="3" s="1"/>
  <c r="M4397" i="3"/>
  <c r="N4397" i="3" s="1"/>
  <c r="M4437" i="3"/>
  <c r="N4437" i="3" s="1"/>
  <c r="M4485" i="3"/>
  <c r="N4485" i="3" s="1"/>
  <c r="M4525" i="3"/>
  <c r="N4525" i="3" s="1"/>
  <c r="M4565" i="3"/>
  <c r="N4565" i="3" s="1"/>
  <c r="M4613" i="3"/>
  <c r="N4613" i="3" s="1"/>
  <c r="M4653" i="3"/>
  <c r="N4653" i="3" s="1"/>
  <c r="M4280" i="3"/>
  <c r="N4280" i="3" s="1"/>
  <c r="M4304" i="3"/>
  <c r="N4304" i="3" s="1"/>
  <c r="M4337" i="3"/>
  <c r="N4337" i="3" s="1"/>
  <c r="M4377" i="3"/>
  <c r="N4377" i="3" s="1"/>
  <c r="M4425" i="3"/>
  <c r="N4425" i="3" s="1"/>
  <c r="M4465" i="3"/>
  <c r="N4465" i="3" s="1"/>
  <c r="M4505" i="3"/>
  <c r="N4505" i="3" s="1"/>
  <c r="M4553" i="3"/>
  <c r="N4553" i="3" s="1"/>
  <c r="M4593" i="3"/>
  <c r="N4593" i="3" s="1"/>
  <c r="M4633" i="3"/>
  <c r="N4633" i="3" s="1"/>
  <c r="M5720" i="3"/>
  <c r="N5720" i="3" s="1"/>
  <c r="M5743" i="3"/>
  <c r="N5743" i="3" s="1"/>
  <c r="M5760" i="3"/>
  <c r="N5760" i="3" s="1"/>
  <c r="M5784" i="3"/>
  <c r="N5784" i="3" s="1"/>
  <c r="M5806" i="3"/>
  <c r="N5806" i="3" s="1"/>
  <c r="M5826" i="3"/>
  <c r="N5826" i="3" s="1"/>
  <c r="M5850" i="3"/>
  <c r="N5850" i="3" s="1"/>
  <c r="M5870" i="3"/>
  <c r="N5870" i="3" s="1"/>
  <c r="M5890" i="3"/>
  <c r="N5890" i="3" s="1"/>
  <c r="M5914" i="3"/>
  <c r="N5914" i="3" s="1"/>
  <c r="M5934" i="3"/>
  <c r="N5934" i="3" s="1"/>
  <c r="M5954" i="3"/>
  <c r="N5954" i="3" s="1"/>
  <c r="M5978" i="3"/>
  <c r="N5978" i="3" s="1"/>
  <c r="M5998" i="3"/>
  <c r="N5998" i="3" s="1"/>
  <c r="M6018" i="3"/>
  <c r="N6018" i="3" s="1"/>
  <c r="M6042" i="3"/>
  <c r="N6042" i="3" s="1"/>
  <c r="M6062" i="3"/>
  <c r="N6062" i="3" s="1"/>
  <c r="M6082" i="3"/>
  <c r="N6082" i="3" s="1"/>
  <c r="M6106" i="3"/>
  <c r="N6106" i="3" s="1"/>
  <c r="M6126" i="3"/>
  <c r="N6126" i="3" s="1"/>
  <c r="M6146" i="3"/>
  <c r="N6146" i="3" s="1"/>
  <c r="M6170" i="3"/>
  <c r="N6170" i="3" s="1"/>
  <c r="M6190" i="3"/>
  <c r="N6190" i="3" s="1"/>
  <c r="M6210" i="3"/>
  <c r="N6210" i="3" s="1"/>
  <c r="M6234" i="3"/>
  <c r="N6234" i="3" s="1"/>
  <c r="M6254" i="3"/>
  <c r="N6254" i="3" s="1"/>
  <c r="M6274" i="3"/>
  <c r="N6274" i="3" s="1"/>
  <c r="M6298" i="3"/>
  <c r="N6298" i="3" s="1"/>
  <c r="M6318" i="3"/>
  <c r="N6318" i="3" s="1"/>
  <c r="M6338" i="3"/>
  <c r="N6338" i="3" s="1"/>
  <c r="M6362" i="3"/>
  <c r="N6362" i="3" s="1"/>
  <c r="M6382" i="3"/>
  <c r="N6382" i="3" s="1"/>
  <c r="M6402" i="3"/>
  <c r="N6402" i="3" s="1"/>
  <c r="M6426" i="3"/>
  <c r="N6426" i="3" s="1"/>
  <c r="M6446" i="3"/>
  <c r="N6446" i="3" s="1"/>
  <c r="M6466" i="3"/>
  <c r="N6466" i="3" s="1"/>
  <c r="M6490" i="3"/>
  <c r="N6490" i="3" s="1"/>
  <c r="M5723" i="3"/>
  <c r="N5723" i="3" s="1"/>
  <c r="M5740" i="3"/>
  <c r="N5740" i="3" s="1"/>
  <c r="M5764" i="3"/>
  <c r="N5764" i="3" s="1"/>
  <c r="M5787" i="3"/>
  <c r="N5787" i="3" s="1"/>
  <c r="M5804" i="3"/>
  <c r="N5804" i="3" s="1"/>
  <c r="M5828" i="3"/>
  <c r="N5828" i="3" s="1"/>
  <c r="M5848" i="3"/>
  <c r="N5848" i="3" s="1"/>
  <c r="M5868" i="3"/>
  <c r="N5868" i="3" s="1"/>
  <c r="M5892" i="3"/>
  <c r="N5892" i="3" s="1"/>
  <c r="M5912" i="3"/>
  <c r="N5912" i="3" s="1"/>
  <c r="M5932" i="3"/>
  <c r="N5932" i="3" s="1"/>
  <c r="M5956" i="3"/>
  <c r="N5956" i="3" s="1"/>
  <c r="M5976" i="3"/>
  <c r="N5976" i="3" s="1"/>
  <c r="M5996" i="3"/>
  <c r="N5996" i="3" s="1"/>
  <c r="M6020" i="3"/>
  <c r="N6020" i="3" s="1"/>
  <c r="M6040" i="3"/>
  <c r="N6040" i="3" s="1"/>
  <c r="M6060" i="3"/>
  <c r="N6060" i="3" s="1"/>
  <c r="M6084" i="3"/>
  <c r="N6084" i="3" s="1"/>
  <c r="M6104" i="3"/>
  <c r="N6104" i="3" s="1"/>
  <c r="M6124" i="3"/>
  <c r="N6124" i="3" s="1"/>
  <c r="M6148" i="3"/>
  <c r="N6148" i="3" s="1"/>
  <c r="M6168" i="3"/>
  <c r="N6168" i="3" s="1"/>
  <c r="M6188" i="3"/>
  <c r="N6188" i="3" s="1"/>
  <c r="M6212" i="3"/>
  <c r="N6212" i="3" s="1"/>
  <c r="M6232" i="3"/>
  <c r="N6232" i="3" s="1"/>
  <c r="M6252" i="3"/>
  <c r="N6252" i="3" s="1"/>
  <c r="M6276" i="3"/>
  <c r="N6276" i="3" s="1"/>
  <c r="M6296" i="3"/>
  <c r="N6296" i="3" s="1"/>
  <c r="M6316" i="3"/>
  <c r="N6316" i="3" s="1"/>
  <c r="M6340" i="3"/>
  <c r="N6340" i="3" s="1"/>
  <c r="M6360" i="3"/>
  <c r="N6360" i="3" s="1"/>
  <c r="M6380" i="3"/>
  <c r="N6380" i="3" s="1"/>
  <c r="M6404" i="3"/>
  <c r="N6404" i="3" s="1"/>
  <c r="M6424" i="3"/>
  <c r="N6424" i="3" s="1"/>
  <c r="M6444" i="3"/>
  <c r="N6444" i="3" s="1"/>
  <c r="M6468" i="3"/>
  <c r="N6468" i="3" s="1"/>
  <c r="M6488" i="3"/>
  <c r="N6488" i="3" s="1"/>
  <c r="M6508" i="3"/>
  <c r="N6508" i="3" s="1"/>
  <c r="M6532" i="3"/>
  <c r="N6532" i="3" s="1"/>
  <c r="M6552" i="3"/>
  <c r="N6552" i="3" s="1"/>
  <c r="M6572" i="3"/>
  <c r="N6572" i="3" s="1"/>
  <c r="M6596" i="3"/>
  <c r="N6596" i="3" s="1"/>
  <c r="M7234" i="3"/>
  <c r="N7234" i="3" s="1"/>
  <c r="M6522" i="3"/>
  <c r="N6522" i="3" s="1"/>
  <c r="M6570" i="3"/>
  <c r="N6570" i="3" s="1"/>
  <c r="M6610" i="3"/>
  <c r="N6610" i="3" s="1"/>
  <c r="M6510" i="3"/>
  <c r="N6510" i="3" s="1"/>
  <c r="M6558" i="3"/>
  <c r="N6558" i="3" s="1"/>
  <c r="M6598" i="3"/>
  <c r="N6598" i="3" s="1"/>
  <c r="M7168" i="3"/>
  <c r="N7168" i="3" s="1"/>
  <c r="M7072" i="3"/>
  <c r="N7072" i="3" s="1"/>
  <c r="M6992" i="3"/>
  <c r="N6992" i="3" s="1"/>
  <c r="M6912" i="3"/>
  <c r="N6912" i="3" s="1"/>
  <c r="M6816" i="3"/>
  <c r="N6816" i="3" s="1"/>
  <c r="M6736" i="3"/>
  <c r="N6736" i="3" s="1"/>
  <c r="M6656" i="3"/>
  <c r="N6656" i="3" s="1"/>
  <c r="M7610" i="3"/>
  <c r="N7610" i="3" s="1"/>
  <c r="M7570" i="3"/>
  <c r="N7570" i="3" s="1"/>
  <c r="M7530" i="3"/>
  <c r="N7530" i="3" s="1"/>
  <c r="M7482" i="3"/>
  <c r="N7482" i="3" s="1"/>
  <c r="M7442" i="3"/>
  <c r="N7442" i="3" s="1"/>
  <c r="M7402" i="3"/>
  <c r="N7402" i="3" s="1"/>
  <c r="M7354" i="3"/>
  <c r="N7354" i="3" s="1"/>
  <c r="M7314" i="3"/>
  <c r="N7314" i="3" s="1"/>
  <c r="M7274" i="3"/>
  <c r="N7274" i="3" s="1"/>
  <c r="M7178" i="3"/>
  <c r="N7178" i="3" s="1"/>
  <c r="M7098" i="3"/>
  <c r="N7098" i="3" s="1"/>
  <c r="M7018" i="3"/>
  <c r="N7018" i="3" s="1"/>
  <c r="M6922" i="3"/>
  <c r="N6922" i="3" s="1"/>
  <c r="M6842" i="3"/>
  <c r="N6842" i="3" s="1"/>
  <c r="M6762" i="3"/>
  <c r="N6762" i="3" s="1"/>
  <c r="M6666" i="3"/>
  <c r="N6666" i="3" s="1"/>
  <c r="M6557" i="3"/>
  <c r="N6557" i="3" s="1"/>
  <c r="M7655" i="3"/>
  <c r="N7655" i="3" s="1"/>
  <c r="M7607" i="3"/>
  <c r="N7607" i="3" s="1"/>
  <c r="M7567" i="3"/>
  <c r="N7567" i="3" s="1"/>
  <c r="M7527" i="3"/>
  <c r="N7527" i="3" s="1"/>
  <c r="M7479" i="3"/>
  <c r="N7479" i="3" s="1"/>
  <c r="M7439" i="3"/>
  <c r="N7439" i="3" s="1"/>
  <c r="M7399" i="3"/>
  <c r="N7399" i="3" s="1"/>
  <c r="M7351" i="3"/>
  <c r="N7351" i="3" s="1"/>
  <c r="M7311" i="3"/>
  <c r="N7311" i="3" s="1"/>
  <c r="M7271" i="3"/>
  <c r="N7271" i="3" s="1"/>
  <c r="M7164" i="3"/>
  <c r="N7164" i="3" s="1"/>
  <c r="M7084" i="3"/>
  <c r="N7084" i="3" s="1"/>
  <c r="M7004" i="3"/>
  <c r="N7004" i="3" s="1"/>
  <c r="M6908" i="3"/>
  <c r="N6908" i="3" s="1"/>
  <c r="M6828" i="3"/>
  <c r="N6828" i="3" s="1"/>
  <c r="M6748" i="3"/>
  <c r="N6748" i="3" s="1"/>
  <c r="M6652" i="3"/>
  <c r="N6652" i="3" s="1"/>
  <c r="M7636" i="3"/>
  <c r="N7636" i="3" s="1"/>
  <c r="M7596" i="3"/>
  <c r="N7596" i="3" s="1"/>
  <c r="M7548" i="3"/>
  <c r="N7548" i="3" s="1"/>
  <c r="M7508" i="3"/>
  <c r="N7508" i="3" s="1"/>
  <c r="M7468" i="3"/>
  <c r="N7468" i="3" s="1"/>
  <c r="M7420" i="3"/>
  <c r="N7420" i="3" s="1"/>
  <c r="M7380" i="3"/>
  <c r="N7380" i="3" s="1"/>
  <c r="M7340" i="3"/>
  <c r="N7340" i="3" s="1"/>
  <c r="M7292" i="3"/>
  <c r="N7292" i="3" s="1"/>
  <c r="M7252" i="3"/>
  <c r="N7252" i="3" s="1"/>
  <c r="M7202" i="3"/>
  <c r="N7202" i="3" s="1"/>
  <c r="M7142" i="3"/>
  <c r="N7142" i="3" s="1"/>
  <c r="M7062" i="3"/>
  <c r="N7062" i="3" s="1"/>
  <c r="M6982" i="3"/>
  <c r="N6982" i="3" s="1"/>
  <c r="M6886" i="3"/>
  <c r="N6886" i="3" s="1"/>
  <c r="M6806" i="3"/>
  <c r="N6806" i="3" s="1"/>
  <c r="M6726" i="3"/>
  <c r="N6726" i="3" s="1"/>
  <c r="M6623" i="3"/>
  <c r="N6623" i="3" s="1"/>
  <c r="M6559" i="3"/>
  <c r="N6559" i="3" s="1"/>
  <c r="M5781" i="3"/>
  <c r="N5781" i="3" s="1"/>
  <c r="M5729" i="3"/>
  <c r="N5729" i="3" s="1"/>
  <c r="M6595" i="3"/>
  <c r="N6595" i="3" s="1"/>
  <c r="M5709" i="3"/>
  <c r="N5709" i="3" s="1"/>
  <c r="M5685" i="3"/>
  <c r="N5685" i="3" s="1"/>
  <c r="M5665" i="3"/>
  <c r="N5665" i="3" s="1"/>
  <c r="M5644" i="3"/>
  <c r="N5644" i="3" s="1"/>
  <c r="M5554" i="3"/>
  <c r="N5554" i="3" s="1"/>
  <c r="M5474" i="3"/>
  <c r="N5474" i="3" s="1"/>
  <c r="M5394" i="3"/>
  <c r="N5394" i="3" s="1"/>
  <c r="M5298" i="3"/>
  <c r="N5298" i="3" s="1"/>
  <c r="M5218" i="3"/>
  <c r="N5218" i="3" s="1"/>
  <c r="M5154" i="3"/>
  <c r="N5154" i="3" s="1"/>
  <c r="M5090" i="3"/>
  <c r="N5090" i="3" s="1"/>
  <c r="M5026" i="3"/>
  <c r="N5026" i="3" s="1"/>
  <c r="M4962" i="3"/>
  <c r="N4962" i="3" s="1"/>
  <c r="M4898" i="3"/>
  <c r="N4898" i="3" s="1"/>
  <c r="M4834" i="3"/>
  <c r="N4834" i="3" s="1"/>
  <c r="M4770" i="3"/>
  <c r="N4770" i="3" s="1"/>
  <c r="M4706" i="3"/>
  <c r="N4706" i="3" s="1"/>
  <c r="M5710" i="3"/>
  <c r="N5710" i="3" s="1"/>
  <c r="M5678" i="3"/>
  <c r="N5678" i="3" s="1"/>
  <c r="M5620" i="3"/>
  <c r="N5620" i="3" s="1"/>
  <c r="M5556" i="3"/>
  <c r="N5556" i="3" s="1"/>
  <c r="M5492" i="3"/>
  <c r="N5492" i="3" s="1"/>
  <c r="M5428" i="3"/>
  <c r="N5428" i="3" s="1"/>
  <c r="M5364" i="3"/>
  <c r="N5364" i="3" s="1"/>
  <c r="M5300" i="3"/>
  <c r="N5300" i="3" s="1"/>
  <c r="M5236" i="3"/>
  <c r="N5236" i="3" s="1"/>
  <c r="M5172" i="3"/>
  <c r="N5172" i="3" s="1"/>
  <c r="M5108" i="3"/>
  <c r="N5108" i="3" s="1"/>
  <c r="M5044" i="3"/>
  <c r="N5044" i="3" s="1"/>
  <c r="M4980" i="3"/>
  <c r="N4980" i="3" s="1"/>
  <c r="M4916" i="3"/>
  <c r="N4916" i="3" s="1"/>
  <c r="M4852" i="3"/>
  <c r="N4852" i="3" s="1"/>
  <c r="M4788" i="3"/>
  <c r="N4788" i="3" s="1"/>
  <c r="M4724" i="3"/>
  <c r="N4724" i="3" s="1"/>
  <c r="M4636" i="3"/>
  <c r="N4636" i="3" s="1"/>
  <c r="M4572" i="3"/>
  <c r="N4572" i="3" s="1"/>
  <c r="M4508" i="3"/>
  <c r="N4508" i="3" s="1"/>
  <c r="M4444" i="3"/>
  <c r="N4444" i="3" s="1"/>
  <c r="M4380" i="3"/>
  <c r="N4380" i="3" s="1"/>
  <c r="M4316" i="3"/>
  <c r="N4316" i="3" s="1"/>
  <c r="M5615" i="3"/>
  <c r="N5615" i="3" s="1"/>
  <c r="M5551" i="3"/>
  <c r="N5551" i="3" s="1"/>
  <c r="M5487" i="3"/>
  <c r="N5487" i="3" s="1"/>
  <c r="M5423" i="3"/>
  <c r="N5423" i="3" s="1"/>
  <c r="M5359" i="3"/>
  <c r="N5359" i="3" s="1"/>
  <c r="M5295" i="3"/>
  <c r="N5295" i="3" s="1"/>
  <c r="M5231" i="3"/>
  <c r="N5231" i="3" s="1"/>
  <c r="M5167" i="3"/>
  <c r="N5167" i="3" s="1"/>
  <c r="M5103" i="3"/>
  <c r="N5103" i="3" s="1"/>
  <c r="M5039" i="3"/>
  <c r="N5039" i="3" s="1"/>
  <c r="M4975" i="3"/>
  <c r="N4975" i="3" s="1"/>
  <c r="M4911" i="3"/>
  <c r="N4911" i="3" s="1"/>
  <c r="M4847" i="3"/>
  <c r="N4847" i="3" s="1"/>
  <c r="M4783" i="3"/>
  <c r="N4783" i="3" s="1"/>
  <c r="M4719" i="3"/>
  <c r="N4719" i="3" s="1"/>
  <c r="M5722" i="3"/>
  <c r="N5722" i="3" s="1"/>
  <c r="M5608" i="3"/>
  <c r="N5608" i="3" s="1"/>
  <c r="M5544" i="3"/>
  <c r="N5544" i="3" s="1"/>
  <c r="M5480" i="3"/>
  <c r="N5480" i="3" s="1"/>
  <c r="M5416" i="3"/>
  <c r="N5416" i="3" s="1"/>
  <c r="M5352" i="3"/>
  <c r="N5352" i="3" s="1"/>
  <c r="M5288" i="3"/>
  <c r="N5288" i="3" s="1"/>
  <c r="M5224" i="3"/>
  <c r="N5224" i="3" s="1"/>
  <c r="M5160" i="3"/>
  <c r="N5160" i="3" s="1"/>
  <c r="M5096" i="3"/>
  <c r="N5096" i="3" s="1"/>
  <c r="M5032" i="3"/>
  <c r="N5032" i="3" s="1"/>
  <c r="M4968" i="3"/>
  <c r="N4968" i="3" s="1"/>
  <c r="M4904" i="3"/>
  <c r="N4904" i="3" s="1"/>
  <c r="M4840" i="3"/>
  <c r="N4840" i="3" s="1"/>
  <c r="M4776" i="3"/>
  <c r="N4776" i="3" s="1"/>
  <c r="M4712" i="3"/>
  <c r="N4712" i="3" s="1"/>
  <c r="M4243" i="3"/>
  <c r="N4243" i="3" s="1"/>
  <c r="M4179" i="3"/>
  <c r="N4179" i="3" s="1"/>
  <c r="M4115" i="3"/>
  <c r="N4115" i="3" s="1"/>
  <c r="M4051" i="3"/>
  <c r="N4051" i="3" s="1"/>
  <c r="M3987" i="3"/>
  <c r="N3987" i="3" s="1"/>
  <c r="M3923" i="3"/>
  <c r="N3923" i="3" s="1"/>
  <c r="M3859" i="3"/>
  <c r="N3859" i="3" s="1"/>
  <c r="M4370" i="3"/>
  <c r="N4370" i="3" s="1"/>
  <c r="M4212" i="3"/>
  <c r="N4212" i="3" s="1"/>
  <c r="M4148" i="3"/>
  <c r="N4148" i="3" s="1"/>
  <c r="M4084" i="3"/>
  <c r="N4084" i="3" s="1"/>
  <c r="M4020" i="3"/>
  <c r="N4020" i="3" s="1"/>
  <c r="M3956" i="3"/>
  <c r="N3956" i="3" s="1"/>
  <c r="M3892" i="3"/>
  <c r="N3892" i="3" s="1"/>
  <c r="M4693" i="3"/>
  <c r="N4693" i="3" s="1"/>
  <c r="M4209" i="3"/>
  <c r="N4209" i="3" s="1"/>
  <c r="M4145" i="3"/>
  <c r="N4145" i="3" s="1"/>
  <c r="M4081" i="3"/>
  <c r="N4081" i="3" s="1"/>
  <c r="M4017" i="3"/>
  <c r="N4017" i="3" s="1"/>
  <c r="M3953" i="3"/>
  <c r="N3953" i="3" s="1"/>
  <c r="M3889" i="3"/>
  <c r="N3889" i="3" s="1"/>
  <c r="M7669" i="3"/>
  <c r="N7669" i="3" s="1"/>
  <c r="M7637" i="3"/>
  <c r="N7637" i="3" s="1"/>
  <c r="M7605" i="3"/>
  <c r="N7605" i="3" s="1"/>
  <c r="M7573" i="3"/>
  <c r="N7573" i="3" s="1"/>
  <c r="M7541" i="3"/>
  <c r="N7541" i="3" s="1"/>
  <c r="M7509" i="3"/>
  <c r="N7509" i="3" s="1"/>
  <c r="M7477" i="3"/>
  <c r="N7477" i="3" s="1"/>
  <c r="M7445" i="3"/>
  <c r="N7445" i="3" s="1"/>
  <c r="M7413" i="3"/>
  <c r="N7413" i="3" s="1"/>
  <c r="M7381" i="3"/>
  <c r="N7381" i="3" s="1"/>
  <c r="M7349" i="3"/>
  <c r="N7349" i="3" s="1"/>
  <c r="M7317" i="3"/>
  <c r="N7317" i="3" s="1"/>
  <c r="M7285" i="3"/>
  <c r="N7285" i="3" s="1"/>
  <c r="M7253" i="3"/>
  <c r="N7253" i="3" s="1"/>
  <c r="M88" i="3"/>
  <c r="N88" i="3" s="1"/>
  <c r="M240" i="3"/>
  <c r="N240" i="3" s="1"/>
  <c r="M304" i="3"/>
  <c r="N304" i="3" s="1"/>
  <c r="M127" i="3"/>
  <c r="N127" i="3" s="1"/>
  <c r="M143" i="3"/>
  <c r="N143" i="3" s="1"/>
  <c r="M363" i="3"/>
  <c r="N363" i="3" s="1"/>
  <c r="M353" i="3"/>
  <c r="N353" i="3" s="1"/>
  <c r="M318" i="3"/>
  <c r="N318" i="3" s="1"/>
  <c r="M349" i="3"/>
  <c r="N349" i="3" s="1"/>
  <c r="M508" i="3"/>
  <c r="N508" i="3" s="1"/>
  <c r="M636" i="3"/>
  <c r="N636" i="3" s="1"/>
  <c r="M719" i="3"/>
  <c r="N719" i="3" s="1"/>
  <c r="M783" i="3"/>
  <c r="N783" i="3" s="1"/>
  <c r="M455" i="3"/>
  <c r="N455" i="3" s="1"/>
  <c r="M583" i="3"/>
  <c r="N583" i="3" s="1"/>
  <c r="M451" i="3"/>
  <c r="N451" i="3" s="1"/>
  <c r="M579" i="3"/>
  <c r="N579" i="3" s="1"/>
  <c r="M693" i="3"/>
  <c r="N693" i="3" s="1"/>
  <c r="M757" i="3"/>
  <c r="N757" i="3" s="1"/>
  <c r="M821" i="3"/>
  <c r="N821" i="3" s="1"/>
  <c r="M887" i="3"/>
  <c r="N887" i="3" s="1"/>
  <c r="M528" i="3"/>
  <c r="N528" i="3" s="1"/>
  <c r="M958" i="3"/>
  <c r="N958" i="3" s="1"/>
  <c r="M1022" i="3"/>
  <c r="N1022" i="3" s="1"/>
  <c r="M1086" i="3"/>
  <c r="N1086" i="3" s="1"/>
  <c r="M511" i="3"/>
  <c r="N511" i="3" s="1"/>
  <c r="M952" i="3"/>
  <c r="N952" i="3" s="1"/>
  <c r="M1016" i="3"/>
  <c r="N1016" i="3" s="1"/>
  <c r="M1080" i="3"/>
  <c r="N1080" i="3" s="1"/>
  <c r="M1172" i="3"/>
  <c r="N1172" i="3" s="1"/>
  <c r="M1120" i="3"/>
  <c r="N1120" i="3" s="1"/>
  <c r="M1248" i="3"/>
  <c r="N1248" i="3" s="1"/>
  <c r="M1341" i="3"/>
  <c r="N1341" i="3" s="1"/>
  <c r="M1405" i="3"/>
  <c r="N1405" i="3" s="1"/>
  <c r="M1469" i="3"/>
  <c r="N1469" i="3" s="1"/>
  <c r="M1132" i="3"/>
  <c r="N1132" i="3" s="1"/>
  <c r="M1260" i="3"/>
  <c r="N1260" i="3" s="1"/>
  <c r="M1288" i="3"/>
  <c r="N1288" i="3" s="1"/>
  <c r="M1128" i="3"/>
  <c r="N1128" i="3" s="1"/>
  <c r="M1331" i="3"/>
  <c r="N1331" i="3" s="1"/>
  <c r="M1383" i="3"/>
  <c r="N1383" i="3" s="1"/>
  <c r="M1779" i="3"/>
  <c r="N1779" i="3" s="1"/>
  <c r="M1839" i="3"/>
  <c r="N1839" i="3" s="1"/>
  <c r="M1907" i="3"/>
  <c r="N1907" i="3" s="1"/>
  <c r="M1846" i="3"/>
  <c r="N1846" i="3" s="1"/>
  <c r="M1887" i="3"/>
  <c r="N1887" i="3" s="1"/>
  <c r="M1939" i="3"/>
  <c r="N1939" i="3" s="1"/>
  <c r="M2003" i="3"/>
  <c r="N2003" i="3" s="1"/>
  <c r="M2067" i="3"/>
  <c r="N2067" i="3" s="1"/>
  <c r="M1411" i="3"/>
  <c r="N1411" i="3" s="1"/>
  <c r="M2024" i="3"/>
  <c r="N2024" i="3" s="1"/>
  <c r="M2056" i="3"/>
  <c r="N2056" i="3" s="1"/>
  <c r="M2088" i="3"/>
  <c r="N2088" i="3" s="1"/>
  <c r="M2122" i="3"/>
  <c r="N2122" i="3" s="1"/>
  <c r="M2143" i="3"/>
  <c r="N2143" i="3" s="1"/>
  <c r="M2165" i="3"/>
  <c r="N2165" i="3" s="1"/>
  <c r="M2186" i="3"/>
  <c r="N2186" i="3" s="1"/>
  <c r="M2207" i="3"/>
  <c r="N2207" i="3" s="1"/>
  <c r="M2229" i="3"/>
  <c r="N2229" i="3" s="1"/>
  <c r="M2271" i="3"/>
  <c r="N2271" i="3" s="1"/>
  <c r="M2331" i="3"/>
  <c r="N2331" i="3" s="1"/>
  <c r="M2249" i="3"/>
  <c r="N2249" i="3" s="1"/>
  <c r="M2313" i="3"/>
  <c r="N2313" i="3" s="1"/>
  <c r="M2631" i="3"/>
  <c r="N2631" i="3" s="1"/>
  <c r="M2695" i="3"/>
  <c r="N2695" i="3" s="1"/>
  <c r="M2759" i="3"/>
  <c r="N2759" i="3" s="1"/>
  <c r="M2823" i="3"/>
  <c r="N2823" i="3" s="1"/>
  <c r="M2887" i="3"/>
  <c r="N2887" i="3" s="1"/>
  <c r="M2951" i="3"/>
  <c r="N2951" i="3" s="1"/>
  <c r="M3015" i="3"/>
  <c r="N3015" i="3" s="1"/>
  <c r="M3079" i="3"/>
  <c r="N3079" i="3" s="1"/>
  <c r="M3143" i="3"/>
  <c r="N3143" i="3" s="1"/>
  <c r="M3207" i="3"/>
  <c r="N3207" i="3" s="1"/>
  <c r="M3196" i="3"/>
  <c r="N3196" i="3" s="1"/>
  <c r="M3233" i="3"/>
  <c r="N3233" i="3" s="1"/>
  <c r="M3274" i="3"/>
  <c r="N3274" i="3" s="1"/>
  <c r="M3315" i="3"/>
  <c r="N3315" i="3" s="1"/>
  <c r="M3361" i="3"/>
  <c r="N3361" i="3" s="1"/>
  <c r="M3411" i="3"/>
  <c r="N3411" i="3" s="1"/>
  <c r="M3230" i="3"/>
  <c r="N3230" i="3" s="1"/>
  <c r="M3271" i="3"/>
  <c r="N3271" i="3" s="1"/>
  <c r="M3317" i="3"/>
  <c r="N3317" i="3" s="1"/>
  <c r="M3358" i="3"/>
  <c r="N3358" i="3" s="1"/>
  <c r="M3413" i="3"/>
  <c r="N3413" i="3" s="1"/>
  <c r="M3477" i="3"/>
  <c r="N3477" i="3" s="1"/>
  <c r="M3483" i="3"/>
  <c r="N3483" i="3" s="1"/>
  <c r="M3455" i="3"/>
  <c r="N3455" i="3" s="1"/>
  <c r="M3495" i="3"/>
  <c r="N3495" i="3" s="1"/>
  <c r="M4279" i="3"/>
  <c r="N4279" i="3" s="1"/>
  <c r="M4303" i="3"/>
  <c r="N4303" i="3" s="1"/>
  <c r="M4323" i="3"/>
  <c r="N4323" i="3" s="1"/>
  <c r="M4343" i="3"/>
  <c r="N4343" i="3" s="1"/>
  <c r="M4367" i="3"/>
  <c r="N4367" i="3" s="1"/>
  <c r="M4387" i="3"/>
  <c r="N4387" i="3" s="1"/>
  <c r="M4407" i="3"/>
  <c r="N4407" i="3" s="1"/>
  <c r="M4431" i="3"/>
  <c r="N4431" i="3" s="1"/>
  <c r="M4451" i="3"/>
  <c r="N4451" i="3" s="1"/>
  <c r="M4471" i="3"/>
  <c r="N4471" i="3" s="1"/>
  <c r="M4495" i="3"/>
  <c r="N4495" i="3" s="1"/>
  <c r="M4515" i="3"/>
  <c r="N4515" i="3" s="1"/>
  <c r="M4535" i="3"/>
  <c r="N4535" i="3" s="1"/>
  <c r="M4559" i="3"/>
  <c r="N4559" i="3" s="1"/>
  <c r="M4579" i="3"/>
  <c r="N4579" i="3" s="1"/>
  <c r="M4599" i="3"/>
  <c r="N4599" i="3" s="1"/>
  <c r="M4623" i="3"/>
  <c r="N4623" i="3" s="1"/>
  <c r="M4643" i="3"/>
  <c r="N4643" i="3" s="1"/>
  <c r="M4663" i="3"/>
  <c r="N4663" i="3" s="1"/>
  <c r="M3708" i="3"/>
  <c r="N3708" i="3" s="1"/>
  <c r="M3713" i="3"/>
  <c r="N3713" i="3" s="1"/>
  <c r="M3718" i="3"/>
  <c r="N3718" i="3" s="1"/>
  <c r="M3724" i="3"/>
  <c r="N3724" i="3" s="1"/>
  <c r="M3729" i="3"/>
  <c r="N3729" i="3" s="1"/>
  <c r="M3734" i="3"/>
  <c r="N3734" i="3" s="1"/>
  <c r="M3740" i="3"/>
  <c r="N3740" i="3" s="1"/>
  <c r="M3745" i="3"/>
  <c r="N3745" i="3" s="1"/>
  <c r="M3750" i="3"/>
  <c r="N3750" i="3" s="1"/>
  <c r="M3756" i="3"/>
  <c r="N3756" i="3" s="1"/>
  <c r="M3761" i="3"/>
  <c r="N3761" i="3" s="1"/>
  <c r="M3766" i="3"/>
  <c r="N3766" i="3" s="1"/>
  <c r="M3772" i="3"/>
  <c r="N3772" i="3" s="1"/>
  <c r="M3777" i="3"/>
  <c r="N3777" i="3" s="1"/>
  <c r="M3782" i="3"/>
  <c r="N3782" i="3" s="1"/>
  <c r="M3788" i="3"/>
  <c r="N3788" i="3" s="1"/>
  <c r="M3793" i="3"/>
  <c r="N3793" i="3" s="1"/>
  <c r="M3798" i="3"/>
  <c r="N3798" i="3" s="1"/>
  <c r="M3804" i="3"/>
  <c r="N3804" i="3" s="1"/>
  <c r="M3809" i="3"/>
  <c r="N3809" i="3" s="1"/>
  <c r="M3814" i="3"/>
  <c r="N3814" i="3" s="1"/>
  <c r="M3820" i="3"/>
  <c r="N3820" i="3" s="1"/>
  <c r="M3825" i="3"/>
  <c r="N3825" i="3" s="1"/>
  <c r="M3830" i="3"/>
  <c r="N3830" i="3" s="1"/>
  <c r="M3836" i="3"/>
  <c r="N3836" i="3" s="1"/>
  <c r="M3841" i="3"/>
  <c r="N3841" i="3" s="1"/>
  <c r="M4277" i="3"/>
  <c r="N4277" i="3" s="1"/>
  <c r="M4325" i="3"/>
  <c r="N4325" i="3" s="1"/>
  <c r="M4365" i="3"/>
  <c r="N4365" i="3" s="1"/>
  <c r="M4405" i="3"/>
  <c r="N4405" i="3" s="1"/>
  <c r="M4453" i="3"/>
  <c r="N4453" i="3" s="1"/>
  <c r="M4493" i="3"/>
  <c r="N4493" i="3" s="1"/>
  <c r="M4533" i="3"/>
  <c r="N4533" i="3" s="1"/>
  <c r="M4581" i="3"/>
  <c r="N4581" i="3" s="1"/>
  <c r="M4621" i="3"/>
  <c r="N4621" i="3" s="1"/>
  <c r="M4661" i="3"/>
  <c r="N4661" i="3" s="1"/>
  <c r="M4288" i="3"/>
  <c r="N4288" i="3" s="1"/>
  <c r="M4305" i="3"/>
  <c r="N4305" i="3" s="1"/>
  <c r="M4345" i="3"/>
  <c r="N4345" i="3" s="1"/>
  <c r="M4393" i="3"/>
  <c r="N4393" i="3" s="1"/>
  <c r="M4433" i="3"/>
  <c r="N4433" i="3" s="1"/>
  <c r="M4473" i="3"/>
  <c r="N4473" i="3" s="1"/>
  <c r="M4521" i="3"/>
  <c r="N4521" i="3" s="1"/>
  <c r="M4561" i="3"/>
  <c r="N4561" i="3" s="1"/>
  <c r="M4601" i="3"/>
  <c r="N4601" i="3" s="1"/>
  <c r="M4649" i="3"/>
  <c r="N4649" i="3" s="1"/>
  <c r="M5727" i="3"/>
  <c r="N5727" i="3" s="1"/>
  <c r="M5744" i="3"/>
  <c r="N5744" i="3" s="1"/>
  <c r="M5768" i="3"/>
  <c r="N5768" i="3" s="1"/>
  <c r="M5791" i="3"/>
  <c r="N5791" i="3" s="1"/>
  <c r="M5810" i="3"/>
  <c r="N5810" i="3" s="1"/>
  <c r="M5834" i="3"/>
  <c r="N5834" i="3" s="1"/>
  <c r="M5854" i="3"/>
  <c r="N5854" i="3" s="1"/>
  <c r="M5874" i="3"/>
  <c r="N5874" i="3" s="1"/>
  <c r="M5898" i="3"/>
  <c r="N5898" i="3" s="1"/>
  <c r="M5918" i="3"/>
  <c r="N5918" i="3" s="1"/>
  <c r="M5938" i="3"/>
  <c r="N5938" i="3" s="1"/>
  <c r="M5962" i="3"/>
  <c r="N5962" i="3" s="1"/>
  <c r="M5982" i="3"/>
  <c r="N5982" i="3" s="1"/>
  <c r="M6002" i="3"/>
  <c r="N6002" i="3" s="1"/>
  <c r="M6026" i="3"/>
  <c r="N6026" i="3" s="1"/>
  <c r="M6046" i="3"/>
  <c r="N6046" i="3" s="1"/>
  <c r="M6066" i="3"/>
  <c r="N6066" i="3" s="1"/>
  <c r="M6090" i="3"/>
  <c r="N6090" i="3" s="1"/>
  <c r="M6110" i="3"/>
  <c r="N6110" i="3" s="1"/>
  <c r="M6130" i="3"/>
  <c r="N6130" i="3" s="1"/>
  <c r="M6154" i="3"/>
  <c r="N6154" i="3" s="1"/>
  <c r="M6174" i="3"/>
  <c r="N6174" i="3" s="1"/>
  <c r="M6194" i="3"/>
  <c r="N6194" i="3" s="1"/>
  <c r="M6218" i="3"/>
  <c r="N6218" i="3" s="1"/>
  <c r="M6238" i="3"/>
  <c r="N6238" i="3" s="1"/>
  <c r="M6258" i="3"/>
  <c r="N6258" i="3" s="1"/>
  <c r="M6282" i="3"/>
  <c r="N6282" i="3" s="1"/>
  <c r="M6302" i="3"/>
  <c r="N6302" i="3" s="1"/>
  <c r="M6322" i="3"/>
  <c r="N6322" i="3" s="1"/>
  <c r="M6346" i="3"/>
  <c r="N6346" i="3" s="1"/>
  <c r="M6366" i="3"/>
  <c r="N6366" i="3" s="1"/>
  <c r="M6386" i="3"/>
  <c r="N6386" i="3" s="1"/>
  <c r="M6410" i="3"/>
  <c r="N6410" i="3" s="1"/>
  <c r="M6430" i="3"/>
  <c r="N6430" i="3" s="1"/>
  <c r="M6450" i="3"/>
  <c r="N6450" i="3" s="1"/>
  <c r="M6474" i="3"/>
  <c r="N6474" i="3" s="1"/>
  <c r="M6494" i="3"/>
  <c r="N6494" i="3" s="1"/>
  <c r="M5724" i="3"/>
  <c r="N5724" i="3" s="1"/>
  <c r="M5748" i="3"/>
  <c r="N5748" i="3" s="1"/>
  <c r="M5771" i="3"/>
  <c r="N5771" i="3" s="1"/>
  <c r="M5788" i="3"/>
  <c r="N5788" i="3" s="1"/>
  <c r="M5812" i="3"/>
  <c r="N5812" i="3" s="1"/>
  <c r="M5832" i="3"/>
  <c r="N5832" i="3" s="1"/>
  <c r="M5852" i="3"/>
  <c r="N5852" i="3" s="1"/>
  <c r="M5876" i="3"/>
  <c r="N5876" i="3" s="1"/>
  <c r="M5896" i="3"/>
  <c r="N5896" i="3" s="1"/>
  <c r="M5916" i="3"/>
  <c r="N5916" i="3" s="1"/>
  <c r="M5940" i="3"/>
  <c r="N5940" i="3" s="1"/>
  <c r="M5960" i="3"/>
  <c r="N5960" i="3" s="1"/>
  <c r="M5980" i="3"/>
  <c r="N5980" i="3" s="1"/>
  <c r="M6004" i="3"/>
  <c r="N6004" i="3" s="1"/>
  <c r="M6024" i="3"/>
  <c r="N6024" i="3" s="1"/>
  <c r="M6044" i="3"/>
  <c r="N6044" i="3" s="1"/>
  <c r="M6068" i="3"/>
  <c r="N6068" i="3" s="1"/>
  <c r="M6088" i="3"/>
  <c r="N6088" i="3" s="1"/>
  <c r="M6108" i="3"/>
  <c r="N6108" i="3" s="1"/>
  <c r="M6132" i="3"/>
  <c r="N6132" i="3" s="1"/>
  <c r="M6152" i="3"/>
  <c r="N6152" i="3" s="1"/>
  <c r="M6172" i="3"/>
  <c r="N6172" i="3" s="1"/>
  <c r="M6196" i="3"/>
  <c r="N6196" i="3" s="1"/>
  <c r="M6216" i="3"/>
  <c r="N6216" i="3" s="1"/>
  <c r="M6236" i="3"/>
  <c r="N6236" i="3" s="1"/>
  <c r="M6260" i="3"/>
  <c r="N6260" i="3" s="1"/>
  <c r="M6280" i="3"/>
  <c r="N6280" i="3" s="1"/>
  <c r="M6300" i="3"/>
  <c r="N6300" i="3" s="1"/>
  <c r="M6324" i="3"/>
  <c r="N6324" i="3" s="1"/>
  <c r="M6344" i="3"/>
  <c r="N6344" i="3" s="1"/>
  <c r="M6364" i="3"/>
  <c r="N6364" i="3" s="1"/>
  <c r="M6388" i="3"/>
  <c r="N6388" i="3" s="1"/>
  <c r="M6408" i="3"/>
  <c r="N6408" i="3" s="1"/>
  <c r="M6428" i="3"/>
  <c r="N6428" i="3" s="1"/>
  <c r="M6452" i="3"/>
  <c r="N6452" i="3" s="1"/>
  <c r="M6472" i="3"/>
  <c r="N6472" i="3" s="1"/>
  <c r="M6492" i="3"/>
  <c r="N6492" i="3" s="1"/>
  <c r="M6516" i="3"/>
  <c r="N6516" i="3" s="1"/>
  <c r="M6536" i="3"/>
  <c r="N6536" i="3" s="1"/>
  <c r="M6556" i="3"/>
  <c r="N6556" i="3" s="1"/>
  <c r="M6580" i="3"/>
  <c r="N6580" i="3" s="1"/>
  <c r="M6600" i="3"/>
  <c r="N6600" i="3" s="1"/>
  <c r="M7238" i="3"/>
  <c r="N7238" i="3" s="1"/>
  <c r="M6538" i="3"/>
  <c r="N6538" i="3" s="1"/>
  <c r="M6578" i="3"/>
  <c r="N6578" i="3" s="1"/>
  <c r="M7236" i="3"/>
  <c r="N7236" i="3" s="1"/>
  <c r="M6526" i="3"/>
  <c r="N6526" i="3" s="1"/>
  <c r="M6566" i="3"/>
  <c r="N6566" i="3" s="1"/>
  <c r="M6606" i="3"/>
  <c r="N6606" i="3" s="1"/>
  <c r="M7136" i="3"/>
  <c r="N7136" i="3" s="1"/>
  <c r="M7056" i="3"/>
  <c r="N7056" i="3" s="1"/>
  <c r="M6976" i="3"/>
  <c r="N6976" i="3" s="1"/>
  <c r="M6880" i="3"/>
  <c r="N6880" i="3" s="1"/>
  <c r="M6800" i="3"/>
  <c r="N6800" i="3" s="1"/>
  <c r="M6720" i="3"/>
  <c r="N6720" i="3" s="1"/>
  <c r="M7642" i="3"/>
  <c r="N7642" i="3" s="1"/>
  <c r="M7602" i="3"/>
  <c r="N7602" i="3" s="1"/>
  <c r="M7562" i="3"/>
  <c r="N7562" i="3" s="1"/>
  <c r="M7514" i="3"/>
  <c r="N7514" i="3" s="1"/>
  <c r="M7474" i="3"/>
  <c r="N7474" i="3" s="1"/>
  <c r="M7434" i="3"/>
  <c r="N7434" i="3" s="1"/>
  <c r="M7386" i="3"/>
  <c r="N7386" i="3" s="1"/>
  <c r="M7346" i="3"/>
  <c r="N7346" i="3" s="1"/>
  <c r="M7306" i="3"/>
  <c r="N7306" i="3" s="1"/>
  <c r="M7258" i="3"/>
  <c r="N7258" i="3" s="1"/>
  <c r="M7162" i="3"/>
  <c r="N7162" i="3" s="1"/>
  <c r="M7082" i="3"/>
  <c r="N7082" i="3" s="1"/>
  <c r="M6986" i="3"/>
  <c r="N6986" i="3" s="1"/>
  <c r="M6906" i="3"/>
  <c r="N6906" i="3" s="1"/>
  <c r="M6826" i="3"/>
  <c r="N6826" i="3" s="1"/>
  <c r="M6730" i="3"/>
  <c r="N6730" i="3" s="1"/>
  <c r="M6650" i="3"/>
  <c r="N6650" i="3" s="1"/>
  <c r="M6541" i="3"/>
  <c r="N6541" i="3" s="1"/>
  <c r="M7639" i="3"/>
  <c r="N7639" i="3" s="1"/>
  <c r="M7599" i="3"/>
  <c r="N7599" i="3" s="1"/>
  <c r="M7559" i="3"/>
  <c r="N7559" i="3" s="1"/>
  <c r="M7511" i="3"/>
  <c r="N7511" i="3" s="1"/>
  <c r="M7471" i="3"/>
  <c r="N7471" i="3" s="1"/>
  <c r="M7431" i="3"/>
  <c r="N7431" i="3" s="1"/>
  <c r="M7383" i="3"/>
  <c r="N7383" i="3" s="1"/>
  <c r="M7343" i="3"/>
  <c r="N7343" i="3" s="1"/>
  <c r="M7303" i="3"/>
  <c r="N7303" i="3" s="1"/>
  <c r="M7255" i="3"/>
  <c r="N7255" i="3" s="1"/>
  <c r="M7148" i="3"/>
  <c r="N7148" i="3" s="1"/>
  <c r="M7068" i="3"/>
  <c r="N7068" i="3" s="1"/>
  <c r="M6972" i="3"/>
  <c r="N6972" i="3" s="1"/>
  <c r="M6892" i="3"/>
  <c r="N6892" i="3" s="1"/>
  <c r="M6812" i="3"/>
  <c r="N6812" i="3" s="1"/>
  <c r="M6716" i="3"/>
  <c r="N6716" i="3" s="1"/>
  <c r="M7668" i="3"/>
  <c r="N7668" i="3" s="1"/>
  <c r="M7628" i="3"/>
  <c r="N7628" i="3" s="1"/>
  <c r="M7580" i="3"/>
  <c r="N7580" i="3" s="1"/>
  <c r="M7540" i="3"/>
  <c r="N7540" i="3" s="1"/>
  <c r="M7500" i="3"/>
  <c r="N7500" i="3" s="1"/>
  <c r="M7452" i="3"/>
  <c r="N7452" i="3" s="1"/>
  <c r="M7412" i="3"/>
  <c r="N7412" i="3" s="1"/>
  <c r="M7372" i="3"/>
  <c r="N7372" i="3" s="1"/>
  <c r="M7324" i="3"/>
  <c r="N7324" i="3" s="1"/>
  <c r="M7284" i="3"/>
  <c r="N7284" i="3" s="1"/>
  <c r="M7225" i="3"/>
  <c r="N7225" i="3" s="1"/>
  <c r="M7194" i="3"/>
  <c r="N7194" i="3" s="1"/>
  <c r="M7126" i="3"/>
  <c r="N7126" i="3" s="1"/>
  <c r="M7046" i="3"/>
  <c r="N7046" i="3" s="1"/>
  <c r="M6950" i="3"/>
  <c r="N6950" i="3" s="1"/>
  <c r="M6870" i="3"/>
  <c r="N6870" i="3" s="1"/>
  <c r="M6790" i="3"/>
  <c r="N6790" i="3" s="1"/>
  <c r="M6694" i="3"/>
  <c r="N6694" i="3" s="1"/>
  <c r="M6614" i="3"/>
  <c r="N6614" i="3" s="1"/>
  <c r="M6551" i="3"/>
  <c r="N6551" i="3" s="1"/>
  <c r="M6619" i="3"/>
  <c r="N6619" i="3" s="1"/>
  <c r="M6640" i="3"/>
  <c r="N6640" i="3" s="1"/>
  <c r="M5789" i="3"/>
  <c r="N5789" i="3" s="1"/>
  <c r="M5701" i="3"/>
  <c r="N5701" i="3" s="1"/>
  <c r="M5681" i="3"/>
  <c r="N5681" i="3" s="1"/>
  <c r="M5661" i="3"/>
  <c r="N5661" i="3" s="1"/>
  <c r="M5618" i="3"/>
  <c r="N5618" i="3" s="1"/>
  <c r="M5538" i="3"/>
  <c r="N5538" i="3" s="1"/>
  <c r="M5458" i="3"/>
  <c r="N5458" i="3" s="1"/>
  <c r="M5362" i="3"/>
  <c r="N5362" i="3" s="1"/>
  <c r="M5282" i="3"/>
  <c r="N5282" i="3" s="1"/>
  <c r="M5202" i="3"/>
  <c r="N5202" i="3" s="1"/>
  <c r="M5138" i="3"/>
  <c r="N5138" i="3" s="1"/>
  <c r="M5074" i="3"/>
  <c r="N5074" i="3" s="1"/>
  <c r="M5010" i="3"/>
  <c r="N5010" i="3" s="1"/>
  <c r="M4946" i="3"/>
  <c r="N4946" i="3" s="1"/>
  <c r="M4882" i="3"/>
  <c r="N4882" i="3" s="1"/>
  <c r="M4818" i="3"/>
  <c r="N4818" i="3" s="1"/>
  <c r="M4754" i="3"/>
  <c r="N4754" i="3" s="1"/>
  <c r="M5782" i="3"/>
  <c r="N5782" i="3" s="1"/>
  <c r="M5702" i="3"/>
  <c r="N5702" i="3" s="1"/>
  <c r="M5670" i="3"/>
  <c r="N5670" i="3" s="1"/>
  <c r="M5604" i="3"/>
  <c r="N5604" i="3" s="1"/>
  <c r="M5540" i="3"/>
  <c r="N5540" i="3" s="1"/>
  <c r="M5476" i="3"/>
  <c r="N5476" i="3" s="1"/>
  <c r="M5412" i="3"/>
  <c r="N5412" i="3" s="1"/>
  <c r="M5348" i="3"/>
  <c r="N5348" i="3" s="1"/>
  <c r="M5284" i="3"/>
  <c r="N5284" i="3" s="1"/>
  <c r="M5220" i="3"/>
  <c r="N5220" i="3" s="1"/>
  <c r="M5156" i="3"/>
  <c r="N5156" i="3" s="1"/>
  <c r="M5092" i="3"/>
  <c r="N5092" i="3" s="1"/>
  <c r="M5028" i="3"/>
  <c r="N5028" i="3" s="1"/>
  <c r="M4964" i="3"/>
  <c r="N4964" i="3" s="1"/>
  <c r="M4900" i="3"/>
  <c r="N4900" i="3" s="1"/>
  <c r="M4836" i="3"/>
  <c r="N4836" i="3" s="1"/>
  <c r="M4772" i="3"/>
  <c r="N4772" i="3" s="1"/>
  <c r="M4708" i="3"/>
  <c r="N4708" i="3" s="1"/>
  <c r="M4620" i="3"/>
  <c r="N4620" i="3" s="1"/>
  <c r="M4556" i="3"/>
  <c r="N4556" i="3" s="1"/>
  <c r="M4492" i="3"/>
  <c r="N4492" i="3" s="1"/>
  <c r="M4428" i="3"/>
  <c r="N4428" i="3" s="1"/>
  <c r="M4364" i="3"/>
  <c r="N4364" i="3" s="1"/>
  <c r="M4292" i="3"/>
  <c r="N4292" i="3" s="1"/>
  <c r="M5599" i="3"/>
  <c r="N5599" i="3" s="1"/>
  <c r="M5535" i="3"/>
  <c r="N5535" i="3" s="1"/>
  <c r="M5471" i="3"/>
  <c r="N5471" i="3" s="1"/>
  <c r="M5407" i="3"/>
  <c r="N5407" i="3" s="1"/>
  <c r="M5343" i="3"/>
  <c r="N5343" i="3" s="1"/>
  <c r="M5279" i="3"/>
  <c r="N5279" i="3" s="1"/>
  <c r="M5215" i="3"/>
  <c r="N5215" i="3" s="1"/>
  <c r="M5151" i="3"/>
  <c r="N5151" i="3" s="1"/>
  <c r="M5087" i="3"/>
  <c r="N5087" i="3" s="1"/>
  <c r="M5023" i="3"/>
  <c r="N5023" i="3" s="1"/>
  <c r="M4959" i="3"/>
  <c r="N4959" i="3" s="1"/>
  <c r="M4895" i="3"/>
  <c r="N4895" i="3" s="1"/>
  <c r="M4831" i="3"/>
  <c r="N4831" i="3" s="1"/>
  <c r="M4767" i="3"/>
  <c r="N4767" i="3" s="1"/>
  <c r="M4703" i="3"/>
  <c r="N4703" i="3" s="1"/>
  <c r="M5642" i="3"/>
  <c r="N5642" i="3" s="1"/>
  <c r="M5592" i="3"/>
  <c r="N5592" i="3" s="1"/>
  <c r="M5528" i="3"/>
  <c r="N5528" i="3" s="1"/>
  <c r="M5464" i="3"/>
  <c r="N5464" i="3" s="1"/>
  <c r="M5400" i="3"/>
  <c r="N5400" i="3" s="1"/>
  <c r="M5336" i="3"/>
  <c r="N5336" i="3" s="1"/>
  <c r="M5272" i="3"/>
  <c r="N5272" i="3" s="1"/>
  <c r="M5208" i="3"/>
  <c r="N5208" i="3" s="1"/>
  <c r="M5144" i="3"/>
  <c r="N5144" i="3" s="1"/>
  <c r="M5080" i="3"/>
  <c r="N5080" i="3" s="1"/>
  <c r="M5016" i="3"/>
  <c r="N5016" i="3" s="1"/>
  <c r="M4952" i="3"/>
  <c r="N4952" i="3" s="1"/>
  <c r="M4888" i="3"/>
  <c r="N4888" i="3" s="1"/>
  <c r="M4824" i="3"/>
  <c r="N4824" i="3" s="1"/>
  <c r="M4760" i="3"/>
  <c r="N4760" i="3" s="1"/>
  <c r="M4690" i="3"/>
  <c r="N4690" i="3" s="1"/>
  <c r="M4227" i="3"/>
  <c r="N4227" i="3" s="1"/>
  <c r="M4163" i="3"/>
  <c r="N4163" i="3" s="1"/>
  <c r="M4099" i="3"/>
  <c r="N4099" i="3" s="1"/>
  <c r="M4035" i="3"/>
  <c r="N4035" i="3" s="1"/>
  <c r="M3971" i="3"/>
  <c r="N3971" i="3" s="1"/>
  <c r="M3907" i="3"/>
  <c r="N3907" i="3" s="1"/>
  <c r="M4680" i="3"/>
  <c r="N4680" i="3" s="1"/>
  <c r="M4260" i="3"/>
  <c r="N4260" i="3" s="1"/>
  <c r="M4196" i="3"/>
  <c r="N4196" i="3" s="1"/>
  <c r="M4132" i="3"/>
  <c r="N4132" i="3" s="1"/>
  <c r="M4068" i="3"/>
  <c r="N4068" i="3" s="1"/>
  <c r="M4004" i="3"/>
  <c r="N4004" i="3" s="1"/>
  <c r="M3940" i="3"/>
  <c r="N3940" i="3" s="1"/>
  <c r="M3876" i="3"/>
  <c r="N3876" i="3" s="1"/>
  <c r="M4257" i="3"/>
  <c r="N4257" i="3" s="1"/>
  <c r="M4193" i="3"/>
  <c r="N4193" i="3" s="1"/>
  <c r="M4129" i="3"/>
  <c r="N4129" i="3" s="1"/>
  <c r="M4065" i="3"/>
  <c r="N4065" i="3" s="1"/>
  <c r="M4001" i="3"/>
  <c r="N4001" i="3" s="1"/>
  <c r="M3937" i="3"/>
  <c r="N3937" i="3" s="1"/>
  <c r="M3873" i="3"/>
  <c r="N3873" i="3" s="1"/>
  <c r="M7661" i="3"/>
  <c r="N7661" i="3" s="1"/>
  <c r="M7629" i="3"/>
  <c r="N7629" i="3" s="1"/>
  <c r="M7597" i="3"/>
  <c r="N7597" i="3" s="1"/>
  <c r="M7565" i="3"/>
  <c r="N7565" i="3" s="1"/>
  <c r="M7533" i="3"/>
  <c r="N7533" i="3" s="1"/>
  <c r="M7501" i="3"/>
  <c r="N7501" i="3" s="1"/>
  <c r="M7469" i="3"/>
  <c r="N7469" i="3" s="1"/>
  <c r="M7437" i="3"/>
  <c r="N7437" i="3" s="1"/>
  <c r="M7405" i="3"/>
  <c r="N7405" i="3" s="1"/>
  <c r="M7373" i="3"/>
  <c r="N7373" i="3" s="1"/>
  <c r="M7341" i="3"/>
  <c r="N7341" i="3" s="1"/>
  <c r="M7309" i="3"/>
  <c r="N7309" i="3" s="1"/>
  <c r="M7277" i="3"/>
  <c r="N7277" i="3" s="1"/>
  <c r="M7235" i="3"/>
  <c r="N7235" i="3" s="1"/>
  <c r="M7151" i="3"/>
  <c r="N7151" i="3" s="1"/>
  <c r="M7087" i="3"/>
  <c r="N7087" i="3" s="1"/>
  <c r="M7023" i="3"/>
  <c r="N7023" i="3" s="1"/>
  <c r="M6959" i="3"/>
  <c r="N6959" i="3" s="1"/>
  <c r="M6895" i="3"/>
  <c r="N6895" i="3" s="1"/>
  <c r="M6831" i="3"/>
  <c r="N6831" i="3" s="1"/>
  <c r="M6767" i="3"/>
  <c r="N6767" i="3" s="1"/>
  <c r="M6703" i="3"/>
  <c r="N6703" i="3" s="1"/>
  <c r="M7666" i="3"/>
  <c r="N7666" i="3" s="1"/>
  <c r="M7161" i="3"/>
  <c r="N7161" i="3" s="1"/>
  <c r="M7097" i="3"/>
  <c r="N7097" i="3" s="1"/>
  <c r="M7033" i="3"/>
  <c r="N7033" i="3" s="1"/>
  <c r="M6969" i="3"/>
  <c r="N6969" i="3" s="1"/>
  <c r="M6905" i="3"/>
  <c r="N6905" i="3" s="1"/>
  <c r="M6841" i="3"/>
  <c r="N6841" i="3" s="1"/>
  <c r="M6777" i="3"/>
  <c r="N6777" i="3" s="1"/>
  <c r="M6713" i="3"/>
  <c r="N6713" i="3" s="1"/>
  <c r="M6649" i="3"/>
  <c r="N6649" i="3" s="1"/>
  <c r="M6553" i="3"/>
  <c r="N6553" i="3" s="1"/>
  <c r="M7179" i="3"/>
  <c r="N7179" i="3" s="1"/>
  <c r="M7115" i="3"/>
  <c r="N7115" i="3" s="1"/>
  <c r="M7051" i="3"/>
  <c r="N7051" i="3" s="1"/>
  <c r="M6987" i="3"/>
  <c r="N6987" i="3" s="1"/>
  <c r="M6923" i="3"/>
  <c r="N6923" i="3" s="1"/>
  <c r="M6859" i="3"/>
  <c r="N6859" i="3" s="1"/>
  <c r="M6795" i="3"/>
  <c r="N6795" i="3" s="1"/>
  <c r="M6731" i="3"/>
  <c r="N6731" i="3" s="1"/>
  <c r="M6667" i="3"/>
  <c r="N6667" i="3" s="1"/>
  <c r="M7213" i="3"/>
  <c r="N7213" i="3" s="1"/>
  <c r="M7197" i="3"/>
  <c r="N7197" i="3" s="1"/>
  <c r="M7157" i="3"/>
  <c r="N7157" i="3" s="1"/>
  <c r="M7093" i="3"/>
  <c r="N7093" i="3" s="1"/>
  <c r="M7029" i="3"/>
  <c r="N7029" i="3" s="1"/>
  <c r="M6965" i="3"/>
  <c r="N6965" i="3" s="1"/>
  <c r="M6901" i="3"/>
  <c r="N6901" i="3" s="1"/>
  <c r="M6837" i="3"/>
  <c r="N6837" i="3" s="1"/>
  <c r="M6773" i="3"/>
  <c r="N6773" i="3" s="1"/>
  <c r="M6709" i="3"/>
  <c r="N6709" i="3" s="1"/>
  <c r="M6645" i="3"/>
  <c r="N6645" i="3" s="1"/>
  <c r="M6583" i="3"/>
  <c r="N6583" i="3" s="1"/>
  <c r="M6477" i="3"/>
  <c r="N6477" i="3" s="1"/>
  <c r="M6445" i="3"/>
  <c r="N6445" i="3" s="1"/>
  <c r="M6413" i="3"/>
  <c r="N6413" i="3" s="1"/>
  <c r="M6381" i="3"/>
  <c r="N6381" i="3" s="1"/>
  <c r="M6349" i="3"/>
  <c r="N6349" i="3" s="1"/>
  <c r="M6317" i="3"/>
  <c r="N6317" i="3" s="1"/>
  <c r="M6285" i="3"/>
  <c r="N6285" i="3" s="1"/>
  <c r="M6253" i="3"/>
  <c r="N6253" i="3" s="1"/>
  <c r="M6221" i="3"/>
  <c r="N6221" i="3" s="1"/>
  <c r="M6189" i="3"/>
  <c r="N6189" i="3" s="1"/>
  <c r="M6157" i="3"/>
  <c r="N6157" i="3" s="1"/>
  <c r="M6125" i="3"/>
  <c r="N6125" i="3" s="1"/>
  <c r="M6093" i="3"/>
  <c r="N6093" i="3" s="1"/>
  <c r="M6061" i="3"/>
  <c r="N6061" i="3" s="1"/>
  <c r="M6029" i="3"/>
  <c r="N6029" i="3" s="1"/>
  <c r="M5997" i="3"/>
  <c r="N5997" i="3" s="1"/>
  <c r="M5965" i="3"/>
  <c r="N5965" i="3" s="1"/>
  <c r="M5933" i="3"/>
  <c r="N5933" i="3" s="1"/>
  <c r="M5901" i="3"/>
  <c r="N5901" i="3" s="1"/>
  <c r="M5869" i="3"/>
  <c r="N5869" i="3" s="1"/>
  <c r="M5837" i="3"/>
  <c r="N5837" i="3" s="1"/>
  <c r="M5805" i="3"/>
  <c r="N5805" i="3" s="1"/>
  <c r="M6618" i="3"/>
  <c r="N6618" i="3" s="1"/>
  <c r="M6503" i="3"/>
  <c r="N6503" i="3" s="1"/>
  <c r="M6471" i="3"/>
  <c r="N6471" i="3" s="1"/>
  <c r="M6439" i="3"/>
  <c r="N6439" i="3" s="1"/>
  <c r="M6407" i="3"/>
  <c r="N6407" i="3" s="1"/>
  <c r="M6375" i="3"/>
  <c r="N6375" i="3" s="1"/>
  <c r="M6343" i="3"/>
  <c r="N6343" i="3" s="1"/>
  <c r="M6311" i="3"/>
  <c r="N6311" i="3" s="1"/>
  <c r="M6279" i="3"/>
  <c r="N6279" i="3" s="1"/>
  <c r="M6247" i="3"/>
  <c r="N6247" i="3" s="1"/>
  <c r="M6215" i="3"/>
  <c r="N6215" i="3" s="1"/>
  <c r="M6183" i="3"/>
  <c r="N6183" i="3" s="1"/>
  <c r="M6151" i="3"/>
  <c r="N6151" i="3" s="1"/>
  <c r="M6119" i="3"/>
  <c r="N6119" i="3" s="1"/>
  <c r="M6087" i="3"/>
  <c r="N6087" i="3" s="1"/>
  <c r="M6055" i="3"/>
  <c r="N6055" i="3" s="1"/>
  <c r="M6023" i="3"/>
  <c r="N6023" i="3" s="1"/>
  <c r="M5991" i="3"/>
  <c r="N5991" i="3" s="1"/>
  <c r="M5959" i="3"/>
  <c r="N5959" i="3" s="1"/>
  <c r="M5927" i="3"/>
  <c r="N5927" i="3" s="1"/>
  <c r="M5895" i="3"/>
  <c r="N5895" i="3" s="1"/>
  <c r="M5863" i="3"/>
  <c r="N5863" i="3" s="1"/>
  <c r="M5831" i="3"/>
  <c r="N5831" i="3" s="1"/>
  <c r="M5799" i="3"/>
  <c r="N5799" i="3" s="1"/>
  <c r="M5595" i="3"/>
  <c r="N5595" i="3" s="1"/>
  <c r="M5531" i="3"/>
  <c r="N5531" i="3" s="1"/>
  <c r="M5467" i="3"/>
  <c r="N5467" i="3" s="1"/>
  <c r="M5403" i="3"/>
  <c r="N5403" i="3" s="1"/>
  <c r="M5339" i="3"/>
  <c r="N5339" i="3" s="1"/>
  <c r="M5275" i="3"/>
  <c r="N5275" i="3" s="1"/>
  <c r="M5211" i="3"/>
  <c r="N5211" i="3" s="1"/>
  <c r="M5147" i="3"/>
  <c r="N5147" i="3" s="1"/>
  <c r="M5083" i="3"/>
  <c r="N5083" i="3" s="1"/>
  <c r="M5019" i="3"/>
  <c r="N5019" i="3" s="1"/>
  <c r="M4955" i="3"/>
  <c r="N4955" i="3" s="1"/>
  <c r="M4891" i="3"/>
  <c r="N4891" i="3" s="1"/>
  <c r="M4827" i="3"/>
  <c r="N4827" i="3" s="1"/>
  <c r="M4763" i="3"/>
  <c r="N4763" i="3" s="1"/>
  <c r="M4699" i="3"/>
  <c r="N4699" i="3" s="1"/>
  <c r="M5708" i="3"/>
  <c r="N5708" i="3" s="1"/>
  <c r="M5676" i="3"/>
  <c r="N5676" i="3" s="1"/>
  <c r="M5637" i="3"/>
  <c r="N5637" i="3" s="1"/>
  <c r="M5581" i="3"/>
  <c r="N5581" i="3" s="1"/>
  <c r="M5517" i="3"/>
  <c r="N5517" i="3" s="1"/>
  <c r="M5453" i="3"/>
  <c r="N5453" i="3" s="1"/>
  <c r="M5389" i="3"/>
  <c r="N5389" i="3" s="1"/>
  <c r="M5325" i="3"/>
  <c r="N5325" i="3" s="1"/>
  <c r="M5261" i="3"/>
  <c r="N5261" i="3" s="1"/>
  <c r="M5197" i="3"/>
  <c r="N5197" i="3" s="1"/>
  <c r="M5133" i="3"/>
  <c r="N5133" i="3" s="1"/>
  <c r="M5069" i="3"/>
  <c r="N5069" i="3" s="1"/>
  <c r="M5005" i="3"/>
  <c r="N5005" i="3" s="1"/>
  <c r="M4941" i="3"/>
  <c r="N4941" i="3" s="1"/>
  <c r="M4877" i="3"/>
  <c r="N4877" i="3" s="1"/>
  <c r="M4813" i="3"/>
  <c r="N4813" i="3" s="1"/>
  <c r="M4749" i="3"/>
  <c r="N4749" i="3" s="1"/>
  <c r="M4664" i="3"/>
  <c r="N4664" i="3" s="1"/>
  <c r="M4600" i="3"/>
  <c r="N4600" i="3" s="1"/>
  <c r="M4536" i="3"/>
  <c r="N4536" i="3" s="1"/>
  <c r="M4472" i="3"/>
  <c r="N4472" i="3" s="1"/>
  <c r="M4408" i="3"/>
  <c r="N4408" i="3" s="1"/>
  <c r="M4344" i="3"/>
  <c r="N4344" i="3" s="1"/>
  <c r="M5623" i="3"/>
  <c r="N5623" i="3" s="1"/>
  <c r="M5566" i="3"/>
  <c r="N5566" i="3" s="1"/>
  <c r="M5502" i="3"/>
  <c r="N5502" i="3" s="1"/>
  <c r="M5438" i="3"/>
  <c r="N5438" i="3" s="1"/>
  <c r="M5374" i="3"/>
  <c r="N5374" i="3" s="1"/>
  <c r="M5310" i="3"/>
  <c r="N5310" i="3" s="1"/>
  <c r="M5246" i="3"/>
  <c r="N5246" i="3" s="1"/>
  <c r="M5182" i="3"/>
  <c r="N5182" i="3" s="1"/>
  <c r="M5118" i="3"/>
  <c r="N5118" i="3" s="1"/>
  <c r="M5054" i="3"/>
  <c r="N5054" i="3" s="1"/>
  <c r="M4990" i="3"/>
  <c r="N4990" i="3" s="1"/>
  <c r="M4926" i="3"/>
  <c r="N4926" i="3" s="1"/>
  <c r="M4862" i="3"/>
  <c r="N4862" i="3" s="1"/>
  <c r="M4798" i="3"/>
  <c r="N4798" i="3" s="1"/>
  <c r="M4734" i="3"/>
  <c r="N4734" i="3" s="1"/>
  <c r="M5746" i="3"/>
  <c r="N5746" i="3" s="1"/>
  <c r="M5585" i="3"/>
  <c r="N5585" i="3" s="1"/>
  <c r="M5521" i="3"/>
  <c r="N5521" i="3" s="1"/>
  <c r="M5457" i="3"/>
  <c r="N5457" i="3" s="1"/>
  <c r="M5393" i="3"/>
  <c r="N5393" i="3" s="1"/>
  <c r="M5329" i="3"/>
  <c r="N5329" i="3" s="1"/>
  <c r="M5265" i="3"/>
  <c r="N5265" i="3" s="1"/>
  <c r="M5201" i="3"/>
  <c r="N5201" i="3" s="1"/>
  <c r="M5137" i="3"/>
  <c r="N5137" i="3" s="1"/>
  <c r="M5073" i="3"/>
  <c r="N5073" i="3" s="1"/>
  <c r="M5009" i="3"/>
  <c r="N5009" i="3" s="1"/>
  <c r="M4945" i="3"/>
  <c r="N4945" i="3" s="1"/>
  <c r="M4881" i="3"/>
  <c r="N4881" i="3" s="1"/>
  <c r="M4817" i="3"/>
  <c r="N4817" i="3" s="1"/>
  <c r="M4753" i="3"/>
  <c r="N4753" i="3" s="1"/>
  <c r="M4689" i="3"/>
  <c r="N4689" i="3" s="1"/>
  <c r="M4223" i="3"/>
  <c r="N4223" i="3" s="1"/>
  <c r="M4159" i="3"/>
  <c r="N4159" i="3" s="1"/>
  <c r="M4095" i="3"/>
  <c r="N4095" i="3" s="1"/>
  <c r="M4031" i="3"/>
  <c r="N4031" i="3" s="1"/>
  <c r="M3967" i="3"/>
  <c r="N3967" i="3" s="1"/>
  <c r="M3903" i="3"/>
  <c r="N3903" i="3" s="1"/>
  <c r="M4688" i="3"/>
  <c r="N4688" i="3" s="1"/>
  <c r="M4650" i="3"/>
  <c r="N4650" i="3" s="1"/>
  <c r="M4618" i="3"/>
  <c r="N4618" i="3" s="1"/>
  <c r="M4586" i="3"/>
  <c r="N4586" i="3" s="1"/>
  <c r="M4554" i="3"/>
  <c r="N4554" i="3" s="1"/>
  <c r="M4498" i="3"/>
  <c r="N4498" i="3" s="1"/>
  <c r="M4466" i="3"/>
  <c r="N4466" i="3" s="1"/>
  <c r="M4434" i="3"/>
  <c r="N4434" i="3" s="1"/>
  <c r="M4378" i="3"/>
  <c r="N4378" i="3" s="1"/>
  <c r="M7228" i="3"/>
  <c r="N7228" i="3" s="1"/>
  <c r="M7128" i="3"/>
  <c r="N7128" i="3" s="1"/>
  <c r="M7064" i="3"/>
  <c r="N7064" i="3" s="1"/>
  <c r="M7000" i="3"/>
  <c r="N7000" i="3" s="1"/>
  <c r="M6936" i="3"/>
  <c r="N6936" i="3" s="1"/>
  <c r="M6872" i="3"/>
  <c r="N6872" i="3" s="1"/>
  <c r="M6808" i="3"/>
  <c r="N6808" i="3" s="1"/>
  <c r="M6744" i="3"/>
  <c r="N6744" i="3" s="1"/>
  <c r="M6680" i="3"/>
  <c r="N6680" i="3" s="1"/>
  <c r="M7646" i="3"/>
  <c r="N7646" i="3" s="1"/>
  <c r="M7614" i="3"/>
  <c r="N7614" i="3" s="1"/>
  <c r="M7582" i="3"/>
  <c r="N7582" i="3" s="1"/>
  <c r="M7550" i="3"/>
  <c r="N7550" i="3" s="1"/>
  <c r="M7518" i="3"/>
  <c r="N7518" i="3" s="1"/>
  <c r="M7486" i="3"/>
  <c r="N7486" i="3" s="1"/>
  <c r="M7454" i="3"/>
  <c r="N7454" i="3" s="1"/>
  <c r="M7422" i="3"/>
  <c r="N7422" i="3" s="1"/>
  <c r="M7390" i="3"/>
  <c r="N7390" i="3" s="1"/>
  <c r="M7358" i="3"/>
  <c r="N7358" i="3" s="1"/>
  <c r="M7326" i="3"/>
  <c r="N7326" i="3" s="1"/>
  <c r="M7294" i="3"/>
  <c r="N7294" i="3" s="1"/>
  <c r="M7262" i="3"/>
  <c r="N7262" i="3" s="1"/>
  <c r="M7170" i="3"/>
  <c r="N7170" i="3" s="1"/>
  <c r="M7106" i="3"/>
  <c r="N7106" i="3" s="1"/>
  <c r="M7042" i="3"/>
  <c r="N7042" i="3" s="1"/>
  <c r="M6978" i="3"/>
  <c r="N6978" i="3" s="1"/>
  <c r="M6914" i="3"/>
  <c r="N6914" i="3" s="1"/>
  <c r="M6850" i="3"/>
  <c r="N6850" i="3" s="1"/>
  <c r="M6786" i="3"/>
  <c r="N6786" i="3" s="1"/>
  <c r="M6722" i="3"/>
  <c r="N6722" i="3" s="1"/>
  <c r="M6658" i="3"/>
  <c r="N6658" i="3" s="1"/>
  <c r="M6565" i="3"/>
  <c r="N6565" i="3" s="1"/>
  <c r="M7667" i="3"/>
  <c r="N7667" i="3" s="1"/>
  <c r="M7635" i="3"/>
  <c r="N7635" i="3" s="1"/>
  <c r="M7603" i="3"/>
  <c r="N7603" i="3" s="1"/>
  <c r="M7571" i="3"/>
  <c r="N7571" i="3" s="1"/>
  <c r="M7539" i="3"/>
  <c r="N7539" i="3" s="1"/>
  <c r="M7507" i="3"/>
  <c r="N7507" i="3" s="1"/>
  <c r="M7475" i="3"/>
  <c r="N7475" i="3" s="1"/>
  <c r="M7443" i="3"/>
  <c r="N7443" i="3" s="1"/>
  <c r="M7411" i="3"/>
  <c r="N7411" i="3" s="1"/>
  <c r="M7379" i="3"/>
  <c r="N7379" i="3" s="1"/>
  <c r="M7347" i="3"/>
  <c r="N7347" i="3" s="1"/>
  <c r="M7315" i="3"/>
  <c r="N7315" i="3" s="1"/>
  <c r="M7283" i="3"/>
  <c r="N7283" i="3" s="1"/>
  <c r="M7251" i="3"/>
  <c r="N7251" i="3" s="1"/>
  <c r="M7156" i="3"/>
  <c r="N7156" i="3" s="1"/>
  <c r="M7092" i="3"/>
  <c r="N7092" i="3" s="1"/>
  <c r="M7028" i="3"/>
  <c r="N7028" i="3" s="1"/>
  <c r="M6964" i="3"/>
  <c r="N6964" i="3" s="1"/>
  <c r="M6900" i="3"/>
  <c r="N6900" i="3" s="1"/>
  <c r="M6836" i="3"/>
  <c r="N6836" i="3" s="1"/>
  <c r="M6772" i="3"/>
  <c r="N6772" i="3" s="1"/>
  <c r="M6708" i="3"/>
  <c r="N6708" i="3" s="1"/>
  <c r="M6644" i="3"/>
  <c r="N6644" i="3" s="1"/>
  <c r="M7640" i="3"/>
  <c r="N7640" i="3" s="1"/>
  <c r="M7608" i="3"/>
  <c r="N7608" i="3" s="1"/>
  <c r="M7576" i="3"/>
  <c r="N7576" i="3" s="1"/>
  <c r="M7544" i="3"/>
  <c r="N7544" i="3" s="1"/>
  <c r="M7512" i="3"/>
  <c r="N7512" i="3" s="1"/>
  <c r="M7480" i="3"/>
  <c r="N7480" i="3" s="1"/>
  <c r="M7448" i="3"/>
  <c r="N7448" i="3" s="1"/>
  <c r="M7416" i="3"/>
  <c r="N7416" i="3" s="1"/>
  <c r="M7384" i="3"/>
  <c r="N7384" i="3" s="1"/>
  <c r="M7352" i="3"/>
  <c r="N7352" i="3" s="1"/>
  <c r="M7320" i="3"/>
  <c r="N7320" i="3" s="1"/>
  <c r="M7288" i="3"/>
  <c r="N7288" i="3" s="1"/>
  <c r="M7256" i="3"/>
  <c r="N7256" i="3" s="1"/>
  <c r="M7216" i="3"/>
  <c r="N7216" i="3" s="1"/>
  <c r="M7200" i="3"/>
  <c r="N7200" i="3" s="1"/>
  <c r="M7166" i="3"/>
  <c r="N7166" i="3" s="1"/>
  <c r="M7102" i="3"/>
  <c r="N7102" i="3" s="1"/>
  <c r="M7038" i="3"/>
  <c r="N7038" i="3" s="1"/>
  <c r="M6974" i="3"/>
  <c r="N6974" i="3" s="1"/>
  <c r="M6910" i="3"/>
  <c r="N6910" i="3" s="1"/>
  <c r="M6846" i="3"/>
  <c r="N6846" i="3" s="1"/>
  <c r="M6782" i="3"/>
  <c r="N6782" i="3" s="1"/>
  <c r="M6718" i="3"/>
  <c r="N6718" i="3" s="1"/>
  <c r="M6654" i="3"/>
  <c r="N6654" i="3" s="1"/>
  <c r="M5769" i="3"/>
  <c r="N5769" i="3" s="1"/>
  <c r="M6629" i="3"/>
  <c r="N6629" i="3" s="1"/>
  <c r="M6591" i="3"/>
  <c r="N6591" i="3" s="1"/>
  <c r="M6633" i="3"/>
  <c r="N6633" i="3" s="1"/>
  <c r="M5711" i="3"/>
  <c r="N5711" i="3" s="1"/>
  <c r="M5695" i="3"/>
  <c r="N5695" i="3" s="1"/>
  <c r="M5679" i="3"/>
  <c r="N5679" i="3" s="1"/>
  <c r="M5663" i="3"/>
  <c r="N5663" i="3" s="1"/>
  <c r="M5646" i="3"/>
  <c r="N5646" i="3" s="1"/>
  <c r="M5594" i="3"/>
  <c r="N5594" i="3" s="1"/>
  <c r="M5530" i="3"/>
  <c r="N5530" i="3" s="1"/>
  <c r="M5466" i="3"/>
  <c r="N5466" i="3" s="1"/>
  <c r="M5402" i="3"/>
  <c r="N5402" i="3" s="1"/>
  <c r="M5338" i="3"/>
  <c r="N5338" i="3" s="1"/>
  <c r="M5274" i="3"/>
  <c r="N5274" i="3" s="1"/>
  <c r="M5210" i="3"/>
  <c r="N5210" i="3" s="1"/>
  <c r="M5146" i="3"/>
  <c r="N5146" i="3" s="1"/>
  <c r="M5082" i="3"/>
  <c r="N5082" i="3" s="1"/>
  <c r="M5018" i="3"/>
  <c r="N5018" i="3" s="1"/>
  <c r="M4954" i="3"/>
  <c r="N4954" i="3" s="1"/>
  <c r="M4890" i="3"/>
  <c r="N4890" i="3" s="1"/>
  <c r="M4826" i="3"/>
  <c r="N4826" i="3" s="1"/>
  <c r="M4762" i="3"/>
  <c r="N4762" i="3" s="1"/>
  <c r="M4698" i="3"/>
  <c r="N4698" i="3" s="1"/>
  <c r="M5706" i="3"/>
  <c r="N5706" i="3" s="1"/>
  <c r="M192" i="3"/>
  <c r="N192" i="3" s="1"/>
  <c r="M256" i="3"/>
  <c r="N256" i="3" s="1"/>
  <c r="M320" i="3"/>
  <c r="N320" i="3" s="1"/>
  <c r="M131" i="3"/>
  <c r="N131" i="3" s="1"/>
  <c r="M147" i="3"/>
  <c r="N147" i="3" s="1"/>
  <c r="M379" i="3"/>
  <c r="N379" i="3" s="1"/>
  <c r="M385" i="3"/>
  <c r="N385" i="3" s="1"/>
  <c r="M326" i="3"/>
  <c r="N326" i="3" s="1"/>
  <c r="M381" i="3"/>
  <c r="N381" i="3" s="1"/>
  <c r="M540" i="3"/>
  <c r="N540" i="3" s="1"/>
  <c r="M660" i="3"/>
  <c r="N660" i="3" s="1"/>
  <c r="M735" i="3"/>
  <c r="N735" i="3" s="1"/>
  <c r="M799" i="3"/>
  <c r="N799" i="3" s="1"/>
  <c r="M487" i="3"/>
  <c r="N487" i="3" s="1"/>
  <c r="M615" i="3"/>
  <c r="N615" i="3" s="1"/>
  <c r="M483" i="3"/>
  <c r="N483" i="3" s="1"/>
  <c r="M611" i="3"/>
  <c r="N611" i="3" s="1"/>
  <c r="M709" i="3"/>
  <c r="N709" i="3" s="1"/>
  <c r="M773" i="3"/>
  <c r="N773" i="3" s="1"/>
  <c r="M839" i="3"/>
  <c r="N839" i="3" s="1"/>
  <c r="M903" i="3"/>
  <c r="N903" i="3" s="1"/>
  <c r="M592" i="3"/>
  <c r="N592" i="3" s="1"/>
  <c r="M974" i="3"/>
  <c r="N974" i="3" s="1"/>
  <c r="M1038" i="3"/>
  <c r="N1038" i="3" s="1"/>
  <c r="M1102" i="3"/>
  <c r="N1102" i="3" s="1"/>
  <c r="M575" i="3"/>
  <c r="N575" i="3" s="1"/>
  <c r="M968" i="3"/>
  <c r="N968" i="3" s="1"/>
  <c r="M1032" i="3"/>
  <c r="N1032" i="3" s="1"/>
  <c r="M1096" i="3"/>
  <c r="N1096" i="3" s="1"/>
  <c r="M1204" i="3"/>
  <c r="N1204" i="3" s="1"/>
  <c r="M1152" i="3"/>
  <c r="N1152" i="3" s="1"/>
  <c r="M1280" i="3"/>
  <c r="N1280" i="3" s="1"/>
  <c r="M1357" i="3"/>
  <c r="N1357" i="3" s="1"/>
  <c r="M1421" i="3"/>
  <c r="N1421" i="3" s="1"/>
  <c r="M1485" i="3"/>
  <c r="N1485" i="3" s="1"/>
  <c r="M1164" i="3"/>
  <c r="N1164" i="3" s="1"/>
  <c r="M1284" i="3"/>
  <c r="N1284" i="3" s="1"/>
  <c r="M1391" i="3"/>
  <c r="N1391" i="3" s="1"/>
  <c r="M1192" i="3"/>
  <c r="N1192" i="3" s="1"/>
  <c r="M1371" i="3"/>
  <c r="N1371" i="3" s="1"/>
  <c r="M1447" i="3"/>
  <c r="N1447" i="3" s="1"/>
  <c r="M1791" i="3"/>
  <c r="N1791" i="3" s="1"/>
  <c r="M1239" i="3"/>
  <c r="N1239" i="3" s="1"/>
  <c r="M1143" i="3"/>
  <c r="N1143" i="3" s="1"/>
  <c r="M1855" i="3"/>
  <c r="N1855" i="3" s="1"/>
  <c r="M1901" i="3"/>
  <c r="N1901" i="3" s="1"/>
  <c r="M1955" i="3"/>
  <c r="N1955" i="3" s="1"/>
  <c r="M2019" i="3"/>
  <c r="N2019" i="3" s="1"/>
  <c r="M2083" i="3"/>
  <c r="N2083" i="3" s="1"/>
  <c r="M2000" i="3"/>
  <c r="N2000" i="3" s="1"/>
  <c r="M2032" i="3"/>
  <c r="N2032" i="3" s="1"/>
  <c r="M2064" i="3"/>
  <c r="N2064" i="3" s="1"/>
  <c r="M2106" i="3"/>
  <c r="N2106" i="3" s="1"/>
  <c r="M2127" i="3"/>
  <c r="N2127" i="3" s="1"/>
  <c r="M2149" i="3"/>
  <c r="N2149" i="3" s="1"/>
  <c r="M2170" i="3"/>
  <c r="N2170" i="3" s="1"/>
  <c r="M2191" i="3"/>
  <c r="N2191" i="3" s="1"/>
  <c r="M2213" i="3"/>
  <c r="N2213" i="3" s="1"/>
  <c r="M2234" i="3"/>
  <c r="N2234" i="3" s="1"/>
  <c r="M2287" i="3"/>
  <c r="N2287" i="3" s="1"/>
  <c r="M2363" i="3"/>
  <c r="N2363" i="3" s="1"/>
  <c r="M2265" i="3"/>
  <c r="N2265" i="3" s="1"/>
  <c r="M2335" i="3"/>
  <c r="N2335" i="3" s="1"/>
  <c r="M2647" i="3"/>
  <c r="N2647" i="3" s="1"/>
  <c r="M2711" i="3"/>
  <c r="N2711" i="3" s="1"/>
  <c r="M2775" i="3"/>
  <c r="N2775" i="3" s="1"/>
  <c r="M2839" i="3"/>
  <c r="N2839" i="3" s="1"/>
  <c r="M2903" i="3"/>
  <c r="N2903" i="3" s="1"/>
  <c r="M2967" i="3"/>
  <c r="N2967" i="3" s="1"/>
  <c r="M3031" i="3"/>
  <c r="N3031" i="3" s="1"/>
  <c r="M3095" i="3"/>
  <c r="N3095" i="3" s="1"/>
  <c r="M3159" i="3"/>
  <c r="N3159" i="3" s="1"/>
  <c r="M3172" i="3"/>
  <c r="N3172" i="3" s="1"/>
  <c r="M3204" i="3"/>
  <c r="N3204" i="3" s="1"/>
  <c r="M3242" i="3"/>
  <c r="N3242" i="3" s="1"/>
  <c r="M3283" i="3"/>
  <c r="N3283" i="3" s="1"/>
  <c r="M3329" i="3"/>
  <c r="N3329" i="3" s="1"/>
  <c r="M3370" i="3"/>
  <c r="N3370" i="3" s="1"/>
  <c r="M3427" i="3"/>
  <c r="N3427" i="3" s="1"/>
  <c r="M3239" i="3"/>
  <c r="N3239" i="3" s="1"/>
  <c r="M3285" i="3"/>
  <c r="N3285" i="3" s="1"/>
  <c r="M3326" i="3"/>
  <c r="N3326" i="3" s="1"/>
  <c r="M3367" i="3"/>
  <c r="N3367" i="3" s="1"/>
  <c r="M3429" i="3"/>
  <c r="N3429" i="3" s="1"/>
  <c r="M3493" i="3"/>
  <c r="N3493" i="3" s="1"/>
  <c r="M3491" i="3"/>
  <c r="N3491" i="3" s="1"/>
  <c r="M3463" i="3"/>
  <c r="N3463" i="3" s="1"/>
  <c r="M3503" i="3"/>
  <c r="N3503" i="3" s="1"/>
  <c r="M4287" i="3"/>
  <c r="N4287" i="3" s="1"/>
  <c r="M4307" i="3"/>
  <c r="N4307" i="3" s="1"/>
  <c r="M4327" i="3"/>
  <c r="N4327" i="3" s="1"/>
  <c r="M4351" i="3"/>
  <c r="N4351" i="3" s="1"/>
  <c r="M4371" i="3"/>
  <c r="N4371" i="3" s="1"/>
  <c r="M4391" i="3"/>
  <c r="N4391" i="3" s="1"/>
  <c r="M4415" i="3"/>
  <c r="N4415" i="3" s="1"/>
  <c r="M4435" i="3"/>
  <c r="N4435" i="3" s="1"/>
  <c r="M4455" i="3"/>
  <c r="N4455" i="3" s="1"/>
  <c r="M4479" i="3"/>
  <c r="N4479" i="3" s="1"/>
  <c r="M4499" i="3"/>
  <c r="N4499" i="3" s="1"/>
  <c r="M4519" i="3"/>
  <c r="N4519" i="3" s="1"/>
  <c r="M4543" i="3"/>
  <c r="N4543" i="3" s="1"/>
  <c r="M4563" i="3"/>
  <c r="N4563" i="3" s="1"/>
  <c r="M4583" i="3"/>
  <c r="N4583" i="3" s="1"/>
  <c r="M4607" i="3"/>
  <c r="N4607" i="3" s="1"/>
  <c r="M4627" i="3"/>
  <c r="N4627" i="3" s="1"/>
  <c r="M4647" i="3"/>
  <c r="N4647" i="3" s="1"/>
  <c r="M4671" i="3"/>
  <c r="N4671" i="3" s="1"/>
  <c r="M3709" i="3"/>
  <c r="N3709" i="3" s="1"/>
  <c r="M3714" i="3"/>
  <c r="N3714" i="3" s="1"/>
  <c r="M3720" i="3"/>
  <c r="N3720" i="3" s="1"/>
  <c r="M3725" i="3"/>
  <c r="N3725" i="3" s="1"/>
  <c r="M3730" i="3"/>
  <c r="N3730" i="3" s="1"/>
  <c r="M3736" i="3"/>
  <c r="N3736" i="3" s="1"/>
  <c r="M3741" i="3"/>
  <c r="N3741" i="3" s="1"/>
  <c r="M3746" i="3"/>
  <c r="N3746" i="3" s="1"/>
  <c r="M3752" i="3"/>
  <c r="N3752" i="3" s="1"/>
  <c r="M3757" i="3"/>
  <c r="N3757" i="3" s="1"/>
  <c r="M3762" i="3"/>
  <c r="N3762" i="3" s="1"/>
  <c r="M3768" i="3"/>
  <c r="N3768" i="3" s="1"/>
  <c r="M3773" i="3"/>
  <c r="N3773" i="3" s="1"/>
  <c r="M3778" i="3"/>
  <c r="N3778" i="3" s="1"/>
  <c r="M3784" i="3"/>
  <c r="N3784" i="3" s="1"/>
  <c r="M3789" i="3"/>
  <c r="N3789" i="3" s="1"/>
  <c r="M3794" i="3"/>
  <c r="N3794" i="3" s="1"/>
  <c r="M3800" i="3"/>
  <c r="N3800" i="3" s="1"/>
  <c r="M3805" i="3"/>
  <c r="N3805" i="3" s="1"/>
  <c r="M3810" i="3"/>
  <c r="N3810" i="3" s="1"/>
  <c r="M3816" i="3"/>
  <c r="N3816" i="3" s="1"/>
  <c r="M3821" i="3"/>
  <c r="N3821" i="3" s="1"/>
  <c r="M3826" i="3"/>
  <c r="N3826" i="3" s="1"/>
  <c r="M3832" i="3"/>
  <c r="N3832" i="3" s="1"/>
  <c r="M3837" i="3"/>
  <c r="N3837" i="3" s="1"/>
  <c r="M3842" i="3"/>
  <c r="N3842" i="3" s="1"/>
  <c r="M4293" i="3"/>
  <c r="N4293" i="3" s="1"/>
  <c r="M4333" i="3"/>
  <c r="N4333" i="3" s="1"/>
  <c r="M4373" i="3"/>
  <c r="N4373" i="3" s="1"/>
  <c r="M4421" i="3"/>
  <c r="N4421" i="3" s="1"/>
  <c r="M4461" i="3"/>
  <c r="N4461" i="3" s="1"/>
  <c r="M4501" i="3"/>
  <c r="N4501" i="3" s="1"/>
  <c r="M4549" i="3"/>
  <c r="N4549" i="3" s="1"/>
  <c r="M4589" i="3"/>
  <c r="N4589" i="3" s="1"/>
  <c r="M4629" i="3"/>
  <c r="N4629" i="3" s="1"/>
  <c r="M4272" i="3"/>
  <c r="N4272" i="3" s="1"/>
  <c r="M4289" i="3"/>
  <c r="N4289" i="3" s="1"/>
  <c r="M4313" i="3"/>
  <c r="N4313" i="3" s="1"/>
  <c r="M4361" i="3"/>
  <c r="N4361" i="3" s="1"/>
  <c r="M4401" i="3"/>
  <c r="N4401" i="3" s="1"/>
  <c r="M4441" i="3"/>
  <c r="N4441" i="3" s="1"/>
  <c r="M4489" i="3"/>
  <c r="N4489" i="3" s="1"/>
  <c r="M4529" i="3"/>
  <c r="N4529" i="3" s="1"/>
  <c r="M4569" i="3"/>
  <c r="N4569" i="3" s="1"/>
  <c r="M4617" i="3"/>
  <c r="N4617" i="3" s="1"/>
  <c r="M4657" i="3"/>
  <c r="N4657" i="3" s="1"/>
  <c r="M5728" i="3"/>
  <c r="N5728" i="3" s="1"/>
  <c r="M5752" i="3"/>
  <c r="N5752" i="3" s="1"/>
  <c r="M5775" i="3"/>
  <c r="N5775" i="3" s="1"/>
  <c r="M5792" i="3"/>
  <c r="N5792" i="3" s="1"/>
  <c r="M5818" i="3"/>
  <c r="N5818" i="3" s="1"/>
  <c r="M5838" i="3"/>
  <c r="N5838" i="3" s="1"/>
  <c r="M5858" i="3"/>
  <c r="N5858" i="3" s="1"/>
  <c r="M5882" i="3"/>
  <c r="N5882" i="3" s="1"/>
  <c r="M5902" i="3"/>
  <c r="N5902" i="3" s="1"/>
  <c r="M5922" i="3"/>
  <c r="N5922" i="3" s="1"/>
  <c r="M5946" i="3"/>
  <c r="N5946" i="3" s="1"/>
  <c r="M5966" i="3"/>
  <c r="N5966" i="3" s="1"/>
  <c r="M5986" i="3"/>
  <c r="N5986" i="3" s="1"/>
  <c r="M6010" i="3"/>
  <c r="N6010" i="3" s="1"/>
  <c r="M6030" i="3"/>
  <c r="N6030" i="3" s="1"/>
  <c r="M6050" i="3"/>
  <c r="N6050" i="3" s="1"/>
  <c r="M6074" i="3"/>
  <c r="N6074" i="3" s="1"/>
  <c r="M6094" i="3"/>
  <c r="N6094" i="3" s="1"/>
  <c r="M6114" i="3"/>
  <c r="N6114" i="3" s="1"/>
  <c r="M6138" i="3"/>
  <c r="N6138" i="3" s="1"/>
  <c r="M6158" i="3"/>
  <c r="N6158" i="3" s="1"/>
  <c r="M6178" i="3"/>
  <c r="N6178" i="3" s="1"/>
  <c r="M6202" i="3"/>
  <c r="N6202" i="3" s="1"/>
  <c r="M6222" i="3"/>
  <c r="N6222" i="3" s="1"/>
  <c r="M6242" i="3"/>
  <c r="N6242" i="3" s="1"/>
  <c r="M6266" i="3"/>
  <c r="N6266" i="3" s="1"/>
  <c r="M6286" i="3"/>
  <c r="N6286" i="3" s="1"/>
  <c r="M6306" i="3"/>
  <c r="N6306" i="3" s="1"/>
  <c r="M6330" i="3"/>
  <c r="N6330" i="3" s="1"/>
  <c r="M6350" i="3"/>
  <c r="N6350" i="3" s="1"/>
  <c r="M6370" i="3"/>
  <c r="N6370" i="3" s="1"/>
  <c r="M6394" i="3"/>
  <c r="N6394" i="3" s="1"/>
  <c r="M6414" i="3"/>
  <c r="N6414" i="3" s="1"/>
  <c r="M6434" i="3"/>
  <c r="N6434" i="3" s="1"/>
  <c r="M6458" i="3"/>
  <c r="N6458" i="3" s="1"/>
  <c r="M6478" i="3"/>
  <c r="N6478" i="3" s="1"/>
  <c r="M6498" i="3"/>
  <c r="N6498" i="3" s="1"/>
  <c r="M5732" i="3"/>
  <c r="N5732" i="3" s="1"/>
  <c r="M5755" i="3"/>
  <c r="N5755" i="3" s="1"/>
  <c r="M5772" i="3"/>
  <c r="N5772" i="3" s="1"/>
  <c r="M5796" i="3"/>
  <c r="N5796" i="3" s="1"/>
  <c r="M5816" i="3"/>
  <c r="N5816" i="3" s="1"/>
  <c r="M5836" i="3"/>
  <c r="N5836" i="3" s="1"/>
  <c r="M5860" i="3"/>
  <c r="N5860" i="3" s="1"/>
  <c r="M5880" i="3"/>
  <c r="N5880" i="3" s="1"/>
  <c r="M5900" i="3"/>
  <c r="N5900" i="3" s="1"/>
  <c r="M5924" i="3"/>
  <c r="N5924" i="3" s="1"/>
  <c r="M5944" i="3"/>
  <c r="N5944" i="3" s="1"/>
  <c r="M5964" i="3"/>
  <c r="N5964" i="3" s="1"/>
  <c r="M5988" i="3"/>
  <c r="N5988" i="3" s="1"/>
  <c r="M6008" i="3"/>
  <c r="N6008" i="3" s="1"/>
  <c r="M6028" i="3"/>
  <c r="N6028" i="3" s="1"/>
  <c r="M6052" i="3"/>
  <c r="N6052" i="3" s="1"/>
  <c r="M6072" i="3"/>
  <c r="N6072" i="3" s="1"/>
  <c r="M6092" i="3"/>
  <c r="N6092" i="3" s="1"/>
  <c r="M6116" i="3"/>
  <c r="N6116" i="3" s="1"/>
  <c r="M6136" i="3"/>
  <c r="N6136" i="3" s="1"/>
  <c r="M6156" i="3"/>
  <c r="N6156" i="3" s="1"/>
  <c r="M6180" i="3"/>
  <c r="N6180" i="3" s="1"/>
  <c r="M6200" i="3"/>
  <c r="N6200" i="3" s="1"/>
  <c r="M6220" i="3"/>
  <c r="N6220" i="3" s="1"/>
  <c r="M6244" i="3"/>
  <c r="N6244" i="3" s="1"/>
  <c r="M6264" i="3"/>
  <c r="N6264" i="3" s="1"/>
  <c r="M6284" i="3"/>
  <c r="N6284" i="3" s="1"/>
  <c r="M6308" i="3"/>
  <c r="N6308" i="3" s="1"/>
  <c r="M6328" i="3"/>
  <c r="N6328" i="3" s="1"/>
  <c r="M6348" i="3"/>
  <c r="N6348" i="3" s="1"/>
  <c r="M6372" i="3"/>
  <c r="N6372" i="3" s="1"/>
  <c r="M6392" i="3"/>
  <c r="N6392" i="3" s="1"/>
  <c r="M6412" i="3"/>
  <c r="N6412" i="3" s="1"/>
  <c r="M6436" i="3"/>
  <c r="N6436" i="3" s="1"/>
  <c r="M6456" i="3"/>
  <c r="N6456" i="3" s="1"/>
  <c r="M6476" i="3"/>
  <c r="N6476" i="3" s="1"/>
  <c r="M6500" i="3"/>
  <c r="N6500" i="3" s="1"/>
  <c r="M6520" i="3"/>
  <c r="N6520" i="3" s="1"/>
  <c r="M6540" i="3"/>
  <c r="N6540" i="3" s="1"/>
  <c r="M6564" i="3"/>
  <c r="N6564" i="3" s="1"/>
  <c r="M6584" i="3"/>
  <c r="N6584" i="3" s="1"/>
  <c r="M6604" i="3"/>
  <c r="N6604" i="3" s="1"/>
  <c r="M7246" i="3"/>
  <c r="N7246" i="3" s="1"/>
  <c r="M6546" i="3"/>
  <c r="N6546" i="3" s="1"/>
  <c r="M6586" i="3"/>
  <c r="N6586" i="3" s="1"/>
  <c r="M7244" i="3"/>
  <c r="N7244" i="3" s="1"/>
  <c r="M6534" i="3"/>
  <c r="N6534" i="3" s="1"/>
  <c r="M6574" i="3"/>
  <c r="N6574" i="3" s="1"/>
  <c r="M7227" i="3"/>
  <c r="N7227" i="3" s="1"/>
  <c r="M7120" i="3"/>
  <c r="N7120" i="3" s="1"/>
  <c r="M7040" i="3"/>
  <c r="N7040" i="3" s="1"/>
  <c r="M6944" i="3"/>
  <c r="N6944" i="3" s="1"/>
  <c r="M6864" i="3"/>
  <c r="N6864" i="3" s="1"/>
  <c r="M6784" i="3"/>
  <c r="N6784" i="3" s="1"/>
  <c r="M6688" i="3"/>
  <c r="N6688" i="3" s="1"/>
  <c r="M7634" i="3"/>
  <c r="N7634" i="3" s="1"/>
  <c r="M7594" i="3"/>
  <c r="N7594" i="3" s="1"/>
  <c r="M7546" i="3"/>
  <c r="N7546" i="3" s="1"/>
  <c r="M7506" i="3"/>
  <c r="N7506" i="3" s="1"/>
  <c r="M7466" i="3"/>
  <c r="N7466" i="3" s="1"/>
  <c r="M7418" i="3"/>
  <c r="N7418" i="3" s="1"/>
  <c r="M7378" i="3"/>
  <c r="N7378" i="3" s="1"/>
  <c r="M7338" i="3"/>
  <c r="N7338" i="3" s="1"/>
  <c r="M7290" i="3"/>
  <c r="N7290" i="3" s="1"/>
  <c r="M7250" i="3"/>
  <c r="N7250" i="3" s="1"/>
  <c r="M7146" i="3"/>
  <c r="N7146" i="3" s="1"/>
  <c r="M7050" i="3"/>
  <c r="N7050" i="3" s="1"/>
  <c r="M6970" i="3"/>
  <c r="N6970" i="3" s="1"/>
  <c r="M6890" i="3"/>
  <c r="N6890" i="3" s="1"/>
  <c r="M6794" i="3"/>
  <c r="N6794" i="3" s="1"/>
  <c r="M6714" i="3"/>
  <c r="N6714" i="3" s="1"/>
  <c r="M6605" i="3"/>
  <c r="N6605" i="3" s="1"/>
  <c r="M6509" i="3"/>
  <c r="N6509" i="3" s="1"/>
  <c r="M7631" i="3"/>
  <c r="N7631" i="3" s="1"/>
  <c r="M7591" i="3"/>
  <c r="N7591" i="3" s="1"/>
  <c r="M7543" i="3"/>
  <c r="N7543" i="3" s="1"/>
  <c r="M7503" i="3"/>
  <c r="N7503" i="3" s="1"/>
  <c r="M7463" i="3"/>
  <c r="N7463" i="3" s="1"/>
  <c r="M7415" i="3"/>
  <c r="N7415" i="3" s="1"/>
  <c r="M7375" i="3"/>
  <c r="N7375" i="3" s="1"/>
  <c r="M7335" i="3"/>
  <c r="N7335" i="3" s="1"/>
  <c r="M7287" i="3"/>
  <c r="N7287" i="3" s="1"/>
  <c r="M7247" i="3"/>
  <c r="N7247" i="3" s="1"/>
  <c r="M7132" i="3"/>
  <c r="N7132" i="3" s="1"/>
  <c r="M7036" i="3"/>
  <c r="N7036" i="3" s="1"/>
  <c r="M6956" i="3"/>
  <c r="N6956" i="3" s="1"/>
  <c r="M6876" i="3"/>
  <c r="N6876" i="3" s="1"/>
  <c r="M6780" i="3"/>
  <c r="N6780" i="3" s="1"/>
  <c r="M6700" i="3"/>
  <c r="N6700" i="3" s="1"/>
  <c r="M7660" i="3"/>
  <c r="N7660" i="3" s="1"/>
  <c r="M7612" i="3"/>
  <c r="N7612" i="3" s="1"/>
  <c r="M7572" i="3"/>
  <c r="N7572" i="3" s="1"/>
  <c r="M7532" i="3"/>
  <c r="N7532" i="3" s="1"/>
  <c r="M7484" i="3"/>
  <c r="N7484" i="3" s="1"/>
  <c r="M7444" i="3"/>
  <c r="N7444" i="3" s="1"/>
  <c r="M7404" i="3"/>
  <c r="N7404" i="3" s="1"/>
  <c r="M7356" i="3"/>
  <c r="N7356" i="3" s="1"/>
  <c r="M7316" i="3"/>
  <c r="N7316" i="3" s="1"/>
  <c r="M7276" i="3"/>
  <c r="N7276" i="3" s="1"/>
  <c r="M7210" i="3"/>
  <c r="N7210" i="3" s="1"/>
  <c r="M7190" i="3"/>
  <c r="N7190" i="3" s="1"/>
  <c r="M7110" i="3"/>
  <c r="N7110" i="3" s="1"/>
  <c r="M7014" i="3"/>
  <c r="N7014" i="3" s="1"/>
  <c r="M6934" i="3"/>
  <c r="N6934" i="3" s="1"/>
  <c r="M6854" i="3"/>
  <c r="N6854" i="3" s="1"/>
  <c r="M6758" i="3"/>
  <c r="N6758" i="3" s="1"/>
  <c r="M6678" i="3"/>
  <c r="N6678" i="3" s="1"/>
  <c r="M6636" i="3"/>
  <c r="N6636" i="3" s="1"/>
  <c r="M6535" i="3"/>
  <c r="N6535" i="3" s="1"/>
  <c r="M5777" i="3"/>
  <c r="N5777" i="3" s="1"/>
  <c r="M6617" i="3"/>
  <c r="N6617" i="3" s="1"/>
  <c r="M5717" i="3"/>
  <c r="N5717" i="3" s="1"/>
  <c r="M5697" i="3"/>
  <c r="N5697" i="3" s="1"/>
  <c r="M5677" i="3"/>
  <c r="N5677" i="3" s="1"/>
  <c r="M5653" i="3"/>
  <c r="N5653" i="3" s="1"/>
  <c r="M5602" i="3"/>
  <c r="N5602" i="3" s="1"/>
  <c r="M5522" i="3"/>
  <c r="N5522" i="3" s="1"/>
  <c r="M5426" i="3"/>
  <c r="N5426" i="3" s="1"/>
  <c r="M5346" i="3"/>
  <c r="N5346" i="3" s="1"/>
  <c r="M5266" i="3"/>
  <c r="N5266" i="3" s="1"/>
  <c r="M5186" i="3"/>
  <c r="N5186" i="3" s="1"/>
  <c r="M5122" i="3"/>
  <c r="N5122" i="3" s="1"/>
  <c r="M5058" i="3"/>
  <c r="N5058" i="3" s="1"/>
  <c r="M4994" i="3"/>
  <c r="N4994" i="3" s="1"/>
  <c r="M4930" i="3"/>
  <c r="N4930" i="3" s="1"/>
  <c r="M4866" i="3"/>
  <c r="N4866" i="3" s="1"/>
  <c r="M4802" i="3"/>
  <c r="N4802" i="3" s="1"/>
  <c r="M4738" i="3"/>
  <c r="N4738" i="3" s="1"/>
  <c r="M5750" i="3"/>
  <c r="N5750" i="3" s="1"/>
  <c r="M5694" i="3"/>
  <c r="N5694" i="3" s="1"/>
  <c r="M5662" i="3"/>
  <c r="N5662" i="3" s="1"/>
  <c r="M5588" i="3"/>
  <c r="N5588" i="3" s="1"/>
  <c r="M5524" i="3"/>
  <c r="N5524" i="3" s="1"/>
  <c r="M5460" i="3"/>
  <c r="N5460" i="3" s="1"/>
  <c r="M5396" i="3"/>
  <c r="N5396" i="3" s="1"/>
  <c r="M5332" i="3"/>
  <c r="N5332" i="3" s="1"/>
  <c r="M5268" i="3"/>
  <c r="N5268" i="3" s="1"/>
  <c r="M5204" i="3"/>
  <c r="N5204" i="3" s="1"/>
  <c r="M5140" i="3"/>
  <c r="N5140" i="3" s="1"/>
  <c r="M5076" i="3"/>
  <c r="N5076" i="3" s="1"/>
  <c r="M5012" i="3"/>
  <c r="N5012" i="3" s="1"/>
  <c r="M4948" i="3"/>
  <c r="N4948" i="3" s="1"/>
  <c r="M4884" i="3"/>
  <c r="N4884" i="3" s="1"/>
  <c r="M4820" i="3"/>
  <c r="N4820" i="3" s="1"/>
  <c r="M4756" i="3"/>
  <c r="N4756" i="3" s="1"/>
  <c r="M4668" i="3"/>
  <c r="N4668" i="3" s="1"/>
  <c r="M4604" i="3"/>
  <c r="N4604" i="3" s="1"/>
  <c r="M4540" i="3"/>
  <c r="N4540" i="3" s="1"/>
  <c r="M4476" i="3"/>
  <c r="N4476" i="3" s="1"/>
  <c r="M4412" i="3"/>
  <c r="N4412" i="3" s="1"/>
  <c r="M4348" i="3"/>
  <c r="N4348" i="3" s="1"/>
  <c r="M5638" i="3"/>
  <c r="N5638" i="3" s="1"/>
  <c r="M5583" i="3"/>
  <c r="N5583" i="3" s="1"/>
  <c r="M5519" i="3"/>
  <c r="N5519" i="3" s="1"/>
  <c r="M5455" i="3"/>
  <c r="N5455" i="3" s="1"/>
  <c r="M5391" i="3"/>
  <c r="N5391" i="3" s="1"/>
  <c r="M5327" i="3"/>
  <c r="N5327" i="3" s="1"/>
  <c r="M5263" i="3"/>
  <c r="N5263" i="3" s="1"/>
  <c r="M5199" i="3"/>
  <c r="N5199" i="3" s="1"/>
  <c r="M5135" i="3"/>
  <c r="N5135" i="3" s="1"/>
  <c r="M5071" i="3"/>
  <c r="N5071" i="3" s="1"/>
  <c r="M5007" i="3"/>
  <c r="N5007" i="3" s="1"/>
  <c r="M4943" i="3"/>
  <c r="N4943" i="3" s="1"/>
  <c r="M4879" i="3"/>
  <c r="N4879" i="3" s="1"/>
  <c r="M4815" i="3"/>
  <c r="N4815" i="3" s="1"/>
  <c r="M4751" i="3"/>
  <c r="N4751" i="3" s="1"/>
  <c r="M5786" i="3"/>
  <c r="N5786" i="3" s="1"/>
  <c r="M5629" i="3"/>
  <c r="N5629" i="3" s="1"/>
  <c r="M5576" i="3"/>
  <c r="N5576" i="3" s="1"/>
  <c r="M5512" i="3"/>
  <c r="N5512" i="3" s="1"/>
  <c r="M5448" i="3"/>
  <c r="N5448" i="3" s="1"/>
  <c r="M5384" i="3"/>
  <c r="N5384" i="3" s="1"/>
  <c r="M5320" i="3"/>
  <c r="N5320" i="3" s="1"/>
  <c r="M5256" i="3"/>
  <c r="N5256" i="3" s="1"/>
  <c r="M5192" i="3"/>
  <c r="N5192" i="3" s="1"/>
  <c r="M5128" i="3"/>
  <c r="N5128" i="3" s="1"/>
  <c r="M5064" i="3"/>
  <c r="N5064" i="3" s="1"/>
  <c r="M5000" i="3"/>
  <c r="N5000" i="3" s="1"/>
  <c r="M4936" i="3"/>
  <c r="N4936" i="3" s="1"/>
  <c r="M4872" i="3"/>
  <c r="N4872" i="3" s="1"/>
  <c r="M4808" i="3"/>
  <c r="N4808" i="3" s="1"/>
  <c r="M4744" i="3"/>
  <c r="N4744" i="3" s="1"/>
  <c r="M4681" i="3"/>
  <c r="N4681" i="3" s="1"/>
  <c r="M4211" i="3"/>
  <c r="N4211" i="3" s="1"/>
  <c r="M4147" i="3"/>
  <c r="N4147" i="3" s="1"/>
  <c r="M4083" i="3"/>
  <c r="N4083" i="3" s="1"/>
  <c r="M4019" i="3"/>
  <c r="N4019" i="3" s="1"/>
  <c r="M3955" i="3"/>
  <c r="N3955" i="3" s="1"/>
  <c r="M3891" i="3"/>
  <c r="N3891" i="3" s="1"/>
  <c r="M4546" i="3"/>
  <c r="N4546" i="3" s="1"/>
  <c r="M4244" i="3"/>
  <c r="N4244" i="3" s="1"/>
  <c r="M4180" i="3"/>
  <c r="N4180" i="3" s="1"/>
  <c r="M4116" i="3"/>
  <c r="N4116" i="3" s="1"/>
  <c r="M4052" i="3"/>
  <c r="N4052" i="3" s="1"/>
  <c r="M3988" i="3"/>
  <c r="N3988" i="3" s="1"/>
  <c r="M3924" i="3"/>
  <c r="N3924" i="3" s="1"/>
  <c r="M3860" i="3"/>
  <c r="N3860" i="3" s="1"/>
  <c r="M4241" i="3"/>
  <c r="N4241" i="3" s="1"/>
  <c r="M4177" i="3"/>
  <c r="N4177" i="3" s="1"/>
  <c r="M4113" i="3"/>
  <c r="N4113" i="3" s="1"/>
  <c r="M4049" i="3"/>
  <c r="N4049" i="3" s="1"/>
  <c r="M3985" i="3"/>
  <c r="N3985" i="3" s="1"/>
  <c r="M3921" i="3"/>
  <c r="N3921" i="3" s="1"/>
  <c r="M3857" i="3"/>
  <c r="N3857" i="3" s="1"/>
  <c r="M7653" i="3"/>
  <c r="N7653" i="3" s="1"/>
  <c r="M7621" i="3"/>
  <c r="N7621" i="3" s="1"/>
  <c r="M7589" i="3"/>
  <c r="N7589" i="3" s="1"/>
  <c r="M7557" i="3"/>
  <c r="N7557" i="3" s="1"/>
  <c r="M7525" i="3"/>
  <c r="N7525" i="3" s="1"/>
  <c r="M7493" i="3"/>
  <c r="N7493" i="3" s="1"/>
  <c r="M7461" i="3"/>
  <c r="N7461" i="3" s="1"/>
  <c r="M7429" i="3"/>
  <c r="N7429" i="3" s="1"/>
  <c r="M7397" i="3"/>
  <c r="N7397" i="3" s="1"/>
  <c r="M7365" i="3"/>
  <c r="N7365" i="3" s="1"/>
  <c r="M272" i="3"/>
  <c r="N272" i="3" s="1"/>
  <c r="M157" i="3"/>
  <c r="N157" i="3" s="1"/>
  <c r="M572" i="3"/>
  <c r="N572" i="3" s="1"/>
  <c r="M519" i="3"/>
  <c r="N519" i="3" s="1"/>
  <c r="M725" i="3"/>
  <c r="N725" i="3" s="1"/>
  <c r="M656" i="3"/>
  <c r="N656" i="3" s="1"/>
  <c r="M639" i="3"/>
  <c r="N639" i="3" s="1"/>
  <c r="M1236" i="3"/>
  <c r="N1236" i="3" s="1"/>
  <c r="M1437" i="3"/>
  <c r="N1437" i="3" s="1"/>
  <c r="M1455" i="3"/>
  <c r="N1455" i="3" s="1"/>
  <c r="M1807" i="3"/>
  <c r="N1807" i="3" s="1"/>
  <c r="M1910" i="3"/>
  <c r="N1910" i="3" s="1"/>
  <c r="M2111" i="3"/>
  <c r="N2111" i="3" s="1"/>
  <c r="M2197" i="3"/>
  <c r="N2197" i="3" s="1"/>
  <c r="M2395" i="3"/>
  <c r="N2395" i="3" s="1"/>
  <c r="M2727" i="3"/>
  <c r="N2727" i="3" s="1"/>
  <c r="M2983" i="3"/>
  <c r="N2983" i="3" s="1"/>
  <c r="M3180" i="3"/>
  <c r="N3180" i="3" s="1"/>
  <c r="M3338" i="3"/>
  <c r="N3338" i="3" s="1"/>
  <c r="M3294" i="3"/>
  <c r="N3294" i="3" s="1"/>
  <c r="M3509" i="3"/>
  <c r="N3509" i="3" s="1"/>
  <c r="M4291" i="3"/>
  <c r="N4291" i="3" s="1"/>
  <c r="M4375" i="3"/>
  <c r="N4375" i="3" s="1"/>
  <c r="M4463" i="3"/>
  <c r="N4463" i="3" s="1"/>
  <c r="M4547" i="3"/>
  <c r="N4547" i="3" s="1"/>
  <c r="M4631" i="3"/>
  <c r="N4631" i="3" s="1"/>
  <c r="M3716" i="3"/>
  <c r="N3716" i="3" s="1"/>
  <c r="M3737" i="3"/>
  <c r="N3737" i="3" s="1"/>
  <c r="M3758" i="3"/>
  <c r="N3758" i="3" s="1"/>
  <c r="M3780" i="3"/>
  <c r="N3780" i="3" s="1"/>
  <c r="M3801" i="3"/>
  <c r="N3801" i="3" s="1"/>
  <c r="M3822" i="3"/>
  <c r="N3822" i="3" s="1"/>
  <c r="M3844" i="3"/>
  <c r="N3844" i="3" s="1"/>
  <c r="M4429" i="3"/>
  <c r="N4429" i="3" s="1"/>
  <c r="M4597" i="3"/>
  <c r="N4597" i="3" s="1"/>
  <c r="M4329" i="3"/>
  <c r="N4329" i="3" s="1"/>
  <c r="M4497" i="3"/>
  <c r="N4497" i="3" s="1"/>
  <c r="M4665" i="3"/>
  <c r="N4665" i="3" s="1"/>
  <c r="M5802" i="3"/>
  <c r="N5802" i="3" s="1"/>
  <c r="M5886" i="3"/>
  <c r="N5886" i="3" s="1"/>
  <c r="M5970" i="3"/>
  <c r="N5970" i="3" s="1"/>
  <c r="M6058" i="3"/>
  <c r="N6058" i="3" s="1"/>
  <c r="M6142" i="3"/>
  <c r="N6142" i="3" s="1"/>
  <c r="M6226" i="3"/>
  <c r="N6226" i="3" s="1"/>
  <c r="M6314" i="3"/>
  <c r="N6314" i="3" s="1"/>
  <c r="M6398" i="3"/>
  <c r="N6398" i="3" s="1"/>
  <c r="M6482" i="3"/>
  <c r="N6482" i="3" s="1"/>
  <c r="M5780" i="3"/>
  <c r="N5780" i="3" s="1"/>
  <c r="M5864" i="3"/>
  <c r="N5864" i="3" s="1"/>
  <c r="M5948" i="3"/>
  <c r="N5948" i="3" s="1"/>
  <c r="M6036" i="3"/>
  <c r="N6036" i="3" s="1"/>
  <c r="M6120" i="3"/>
  <c r="N6120" i="3" s="1"/>
  <c r="M6204" i="3"/>
  <c r="N6204" i="3" s="1"/>
  <c r="M6292" i="3"/>
  <c r="N6292" i="3" s="1"/>
  <c r="M6376" i="3"/>
  <c r="N6376" i="3" s="1"/>
  <c r="M6460" i="3"/>
  <c r="N6460" i="3" s="1"/>
  <c r="M6548" i="3"/>
  <c r="N6548" i="3" s="1"/>
  <c r="M6514" i="3"/>
  <c r="N6514" i="3" s="1"/>
  <c r="M6542" i="3"/>
  <c r="N6542" i="3" s="1"/>
  <c r="M7008" i="3"/>
  <c r="N7008" i="3" s="1"/>
  <c r="M6672" i="3"/>
  <c r="N6672" i="3" s="1"/>
  <c r="M7498" i="3"/>
  <c r="N7498" i="3" s="1"/>
  <c r="M7322" i="3"/>
  <c r="N7322" i="3" s="1"/>
  <c r="M7034" i="3"/>
  <c r="N7034" i="3" s="1"/>
  <c r="M6698" i="3"/>
  <c r="N6698" i="3" s="1"/>
  <c r="M7575" i="3"/>
  <c r="N7575" i="3" s="1"/>
  <c r="M7407" i="3"/>
  <c r="N7407" i="3" s="1"/>
  <c r="M7232" i="3"/>
  <c r="N7232" i="3" s="1"/>
  <c r="M6844" i="3"/>
  <c r="N6844" i="3" s="1"/>
  <c r="M7604" i="3"/>
  <c r="N7604" i="3" s="1"/>
  <c r="M7436" i="3"/>
  <c r="N7436" i="3" s="1"/>
  <c r="M7260" i="3"/>
  <c r="N7260" i="3" s="1"/>
  <c r="M6998" i="3"/>
  <c r="N6998" i="3" s="1"/>
  <c r="M6662" i="3"/>
  <c r="N6662" i="3" s="1"/>
  <c r="M6603" i="3"/>
  <c r="N6603" i="3" s="1"/>
  <c r="M5649" i="3"/>
  <c r="N5649" i="3" s="1"/>
  <c r="M5330" i="3"/>
  <c r="N5330" i="3" s="1"/>
  <c r="M5042" i="3"/>
  <c r="N5042" i="3" s="1"/>
  <c r="M4786" i="3"/>
  <c r="N4786" i="3" s="1"/>
  <c r="M5654" i="3"/>
  <c r="N5654" i="3" s="1"/>
  <c r="M5380" i="3"/>
  <c r="N5380" i="3" s="1"/>
  <c r="M5124" i="3"/>
  <c r="N5124" i="3" s="1"/>
  <c r="M4868" i="3"/>
  <c r="N4868" i="3" s="1"/>
  <c r="M4588" i="3"/>
  <c r="N4588" i="3" s="1"/>
  <c r="M4332" i="3"/>
  <c r="N4332" i="3" s="1"/>
  <c r="M5439" i="3"/>
  <c r="N5439" i="3" s="1"/>
  <c r="M5183" i="3"/>
  <c r="N5183" i="3" s="1"/>
  <c r="M4927" i="3"/>
  <c r="N4927" i="3" s="1"/>
  <c r="M5754" i="3"/>
  <c r="N5754" i="3" s="1"/>
  <c r="M5432" i="3"/>
  <c r="N5432" i="3" s="1"/>
  <c r="M5176" i="3"/>
  <c r="N5176" i="3" s="1"/>
  <c r="M4920" i="3"/>
  <c r="N4920" i="3" s="1"/>
  <c r="M4259" i="3"/>
  <c r="N4259" i="3" s="1"/>
  <c r="M4003" i="3"/>
  <c r="N4003" i="3" s="1"/>
  <c r="M4228" i="3"/>
  <c r="N4228" i="3" s="1"/>
  <c r="M3972" i="3"/>
  <c r="N3972" i="3" s="1"/>
  <c r="M4161" i="3"/>
  <c r="N4161" i="3" s="1"/>
  <c r="M3905" i="3"/>
  <c r="N3905" i="3" s="1"/>
  <c r="M7581" i="3"/>
  <c r="N7581" i="3" s="1"/>
  <c r="M7453" i="3"/>
  <c r="N7453" i="3" s="1"/>
  <c r="M7333" i="3"/>
  <c r="N7333" i="3" s="1"/>
  <c r="M7269" i="3"/>
  <c r="N7269" i="3" s="1"/>
  <c r="M7167" i="3"/>
  <c r="N7167" i="3" s="1"/>
  <c r="M7071" i="3"/>
  <c r="N7071" i="3" s="1"/>
  <c r="M6991" i="3"/>
  <c r="N6991" i="3" s="1"/>
  <c r="M6911" i="3"/>
  <c r="N6911" i="3" s="1"/>
  <c r="M6815" i="3"/>
  <c r="N6815" i="3" s="1"/>
  <c r="M6735" i="3"/>
  <c r="N6735" i="3" s="1"/>
  <c r="M6655" i="3"/>
  <c r="N6655" i="3" s="1"/>
  <c r="M7145" i="3"/>
  <c r="N7145" i="3" s="1"/>
  <c r="M7065" i="3"/>
  <c r="N7065" i="3" s="1"/>
  <c r="M6985" i="3"/>
  <c r="N6985" i="3" s="1"/>
  <c r="M6889" i="3"/>
  <c r="N6889" i="3" s="1"/>
  <c r="M6809" i="3"/>
  <c r="N6809" i="3" s="1"/>
  <c r="M6729" i="3"/>
  <c r="N6729" i="3" s="1"/>
  <c r="M6601" i="3"/>
  <c r="N6601" i="3" s="1"/>
  <c r="M6521" i="3"/>
  <c r="N6521" i="3" s="1"/>
  <c r="M7131" i="3"/>
  <c r="N7131" i="3" s="1"/>
  <c r="M7035" i="3"/>
  <c r="N7035" i="3" s="1"/>
  <c r="M6955" i="3"/>
  <c r="N6955" i="3" s="1"/>
  <c r="M6875" i="3"/>
  <c r="N6875" i="3" s="1"/>
  <c r="M6779" i="3"/>
  <c r="N6779" i="3" s="1"/>
  <c r="M6699" i="3"/>
  <c r="N6699" i="3" s="1"/>
  <c r="M7218" i="3"/>
  <c r="N7218" i="3" s="1"/>
  <c r="M7193" i="3"/>
  <c r="N7193" i="3" s="1"/>
  <c r="M7125" i="3"/>
  <c r="N7125" i="3" s="1"/>
  <c r="M7045" i="3"/>
  <c r="N7045" i="3" s="1"/>
  <c r="M6949" i="3"/>
  <c r="N6949" i="3" s="1"/>
  <c r="M6869" i="3"/>
  <c r="N6869" i="3" s="1"/>
  <c r="M6789" i="3"/>
  <c r="N6789" i="3" s="1"/>
  <c r="M6693" i="3"/>
  <c r="N6693" i="3" s="1"/>
  <c r="M6622" i="3"/>
  <c r="N6622" i="3" s="1"/>
  <c r="M6485" i="3"/>
  <c r="N6485" i="3" s="1"/>
  <c r="M6437" i="3"/>
  <c r="N6437" i="3" s="1"/>
  <c r="M6397" i="3"/>
  <c r="N6397" i="3" s="1"/>
  <c r="M6357" i="3"/>
  <c r="N6357" i="3" s="1"/>
  <c r="M6309" i="3"/>
  <c r="N6309" i="3" s="1"/>
  <c r="M6269" i="3"/>
  <c r="N6269" i="3" s="1"/>
  <c r="M6229" i="3"/>
  <c r="N6229" i="3" s="1"/>
  <c r="M6181" i="3"/>
  <c r="N6181" i="3" s="1"/>
  <c r="M6141" i="3"/>
  <c r="N6141" i="3" s="1"/>
  <c r="M6101" i="3"/>
  <c r="N6101" i="3" s="1"/>
  <c r="M6053" i="3"/>
  <c r="N6053" i="3" s="1"/>
  <c r="M6013" i="3"/>
  <c r="N6013" i="3" s="1"/>
  <c r="M5973" i="3"/>
  <c r="N5973" i="3" s="1"/>
  <c r="M5925" i="3"/>
  <c r="N5925" i="3" s="1"/>
  <c r="M5885" i="3"/>
  <c r="N5885" i="3" s="1"/>
  <c r="M5845" i="3"/>
  <c r="N5845" i="3" s="1"/>
  <c r="M5797" i="3"/>
  <c r="N5797" i="3" s="1"/>
  <c r="M6625" i="3"/>
  <c r="N6625" i="3" s="1"/>
  <c r="M6479" i="3"/>
  <c r="N6479" i="3" s="1"/>
  <c r="M6431" i="3"/>
  <c r="N6431" i="3" s="1"/>
  <c r="M6391" i="3"/>
  <c r="N6391" i="3" s="1"/>
  <c r="M6351" i="3"/>
  <c r="N6351" i="3" s="1"/>
  <c r="M6303" i="3"/>
  <c r="N6303" i="3" s="1"/>
  <c r="M6263" i="3"/>
  <c r="N6263" i="3" s="1"/>
  <c r="M6223" i="3"/>
  <c r="N6223" i="3" s="1"/>
  <c r="M6175" i="3"/>
  <c r="N6175" i="3" s="1"/>
  <c r="M6135" i="3"/>
  <c r="N6135" i="3" s="1"/>
  <c r="M6095" i="3"/>
  <c r="N6095" i="3" s="1"/>
  <c r="M6047" i="3"/>
  <c r="N6047" i="3" s="1"/>
  <c r="M6007" i="3"/>
  <c r="N6007" i="3" s="1"/>
  <c r="M5967" i="3"/>
  <c r="N5967" i="3" s="1"/>
  <c r="M5919" i="3"/>
  <c r="N5919" i="3" s="1"/>
  <c r="M5879" i="3"/>
  <c r="N5879" i="3" s="1"/>
  <c r="M5839" i="3"/>
  <c r="N5839" i="3" s="1"/>
  <c r="M5741" i="3"/>
  <c r="N5741" i="3" s="1"/>
  <c r="M5563" i="3"/>
  <c r="N5563" i="3" s="1"/>
  <c r="M5483" i="3"/>
  <c r="N5483" i="3" s="1"/>
  <c r="M5387" i="3"/>
  <c r="N5387" i="3" s="1"/>
  <c r="M5307" i="3"/>
  <c r="N5307" i="3" s="1"/>
  <c r="M5227" i="3"/>
  <c r="N5227" i="3" s="1"/>
  <c r="M5131" i="3"/>
  <c r="N5131" i="3" s="1"/>
  <c r="M5051" i="3"/>
  <c r="N5051" i="3" s="1"/>
  <c r="M4971" i="3"/>
  <c r="N4971" i="3" s="1"/>
  <c r="M4875" i="3"/>
  <c r="N4875" i="3" s="1"/>
  <c r="M4795" i="3"/>
  <c r="N4795" i="3" s="1"/>
  <c r="M4715" i="3"/>
  <c r="N4715" i="3" s="1"/>
  <c r="M5700" i="3"/>
  <c r="N5700" i="3" s="1"/>
  <c r="M5660" i="3"/>
  <c r="N5660" i="3" s="1"/>
  <c r="M5597" i="3"/>
  <c r="N5597" i="3" s="1"/>
  <c r="M5501" i="3"/>
  <c r="N5501" i="3" s="1"/>
  <c r="M5421" i="3"/>
  <c r="N5421" i="3" s="1"/>
  <c r="M5341" i="3"/>
  <c r="N5341" i="3" s="1"/>
  <c r="M5245" i="3"/>
  <c r="N5245" i="3" s="1"/>
  <c r="M5165" i="3"/>
  <c r="N5165" i="3" s="1"/>
  <c r="M5085" i="3"/>
  <c r="N5085" i="3" s="1"/>
  <c r="M4989" i="3"/>
  <c r="N4989" i="3" s="1"/>
  <c r="M4909" i="3"/>
  <c r="N4909" i="3" s="1"/>
  <c r="M4829" i="3"/>
  <c r="N4829" i="3" s="1"/>
  <c r="M4733" i="3"/>
  <c r="N4733" i="3" s="1"/>
  <c r="M4632" i="3"/>
  <c r="N4632" i="3" s="1"/>
  <c r="M4552" i="3"/>
  <c r="N4552" i="3" s="1"/>
  <c r="M4456" i="3"/>
  <c r="N4456" i="3" s="1"/>
  <c r="M4376" i="3"/>
  <c r="N4376" i="3" s="1"/>
  <c r="M4284" i="3"/>
  <c r="N4284" i="3" s="1"/>
  <c r="M5550" i="3"/>
  <c r="N5550" i="3" s="1"/>
  <c r="M5470" i="3"/>
  <c r="N5470" i="3" s="1"/>
  <c r="M5390" i="3"/>
  <c r="N5390" i="3" s="1"/>
  <c r="M5294" i="3"/>
  <c r="N5294" i="3" s="1"/>
  <c r="M5214" i="3"/>
  <c r="N5214" i="3" s="1"/>
  <c r="M5134" i="3"/>
  <c r="N5134" i="3" s="1"/>
  <c r="M5038" i="3"/>
  <c r="N5038" i="3" s="1"/>
  <c r="M4958" i="3"/>
  <c r="N4958" i="3" s="1"/>
  <c r="M4878" i="3"/>
  <c r="N4878" i="3" s="1"/>
  <c r="M4782" i="3"/>
  <c r="N4782" i="3" s="1"/>
  <c r="M4702" i="3"/>
  <c r="N4702" i="3" s="1"/>
  <c r="M5601" i="3"/>
  <c r="N5601" i="3" s="1"/>
  <c r="M5505" i="3"/>
  <c r="N5505" i="3" s="1"/>
  <c r="M5425" i="3"/>
  <c r="N5425" i="3" s="1"/>
  <c r="M5345" i="3"/>
  <c r="N5345" i="3" s="1"/>
  <c r="M5249" i="3"/>
  <c r="N5249" i="3" s="1"/>
  <c r="M5169" i="3"/>
  <c r="N5169" i="3" s="1"/>
  <c r="M5089" i="3"/>
  <c r="N5089" i="3" s="1"/>
  <c r="M4993" i="3"/>
  <c r="N4993" i="3" s="1"/>
  <c r="M4913" i="3"/>
  <c r="N4913" i="3" s="1"/>
  <c r="M4833" i="3"/>
  <c r="N4833" i="3" s="1"/>
  <c r="M4737" i="3"/>
  <c r="N4737" i="3" s="1"/>
  <c r="M4255" i="3"/>
  <c r="N4255" i="3" s="1"/>
  <c r="M4175" i="3"/>
  <c r="N4175" i="3" s="1"/>
  <c r="M4079" i="3"/>
  <c r="N4079" i="3" s="1"/>
  <c r="M3999" i="3"/>
  <c r="N3999" i="3" s="1"/>
  <c r="M3919" i="3"/>
  <c r="N3919" i="3" s="1"/>
  <c r="M4679" i="3"/>
  <c r="N4679" i="3" s="1"/>
  <c r="M4634" i="3"/>
  <c r="N4634" i="3" s="1"/>
  <c r="M4594" i="3"/>
  <c r="N4594" i="3" s="1"/>
  <c r="M4522" i="3"/>
  <c r="N4522" i="3" s="1"/>
  <c r="M4482" i="3"/>
  <c r="N4482" i="3" s="1"/>
  <c r="M4442" i="3"/>
  <c r="N4442" i="3" s="1"/>
  <c r="M4256" i="3"/>
  <c r="N4256" i="3" s="1"/>
  <c r="M7160" i="3"/>
  <c r="N7160" i="3" s="1"/>
  <c r="M7080" i="3"/>
  <c r="N7080" i="3" s="1"/>
  <c r="M6984" i="3"/>
  <c r="N6984" i="3" s="1"/>
  <c r="M6904" i="3"/>
  <c r="N6904" i="3" s="1"/>
  <c r="M6824" i="3"/>
  <c r="N6824" i="3" s="1"/>
  <c r="M6728" i="3"/>
  <c r="N6728" i="3" s="1"/>
  <c r="M6648" i="3"/>
  <c r="N6648" i="3" s="1"/>
  <c r="M7622" i="3"/>
  <c r="N7622" i="3" s="1"/>
  <c r="M7574" i="3"/>
  <c r="N7574" i="3" s="1"/>
  <c r="M7534" i="3"/>
  <c r="N7534" i="3" s="1"/>
  <c r="M7494" i="3"/>
  <c r="N7494" i="3" s="1"/>
  <c r="M7446" i="3"/>
  <c r="N7446" i="3" s="1"/>
  <c r="M7406" i="3"/>
  <c r="N7406" i="3" s="1"/>
  <c r="M7366" i="3"/>
  <c r="N7366" i="3" s="1"/>
  <c r="M7318" i="3"/>
  <c r="N7318" i="3" s="1"/>
  <c r="M7278" i="3"/>
  <c r="N7278" i="3" s="1"/>
  <c r="M7186" i="3"/>
  <c r="N7186" i="3" s="1"/>
  <c r="M7090" i="3"/>
  <c r="N7090" i="3" s="1"/>
  <c r="M7010" i="3"/>
  <c r="N7010" i="3" s="1"/>
  <c r="M6930" i="3"/>
  <c r="N6930" i="3" s="1"/>
  <c r="M6834" i="3"/>
  <c r="N6834" i="3" s="1"/>
  <c r="M6754" i="3"/>
  <c r="N6754" i="3" s="1"/>
  <c r="M6674" i="3"/>
  <c r="N6674" i="3" s="1"/>
  <c r="M6549" i="3"/>
  <c r="N6549" i="3" s="1"/>
  <c r="M7651" i="3"/>
  <c r="N7651" i="3" s="1"/>
  <c r="M7611" i="3"/>
  <c r="N7611" i="3" s="1"/>
  <c r="M7563" i="3"/>
  <c r="N7563" i="3" s="1"/>
  <c r="M7523" i="3"/>
  <c r="N7523" i="3" s="1"/>
  <c r="M7483" i="3"/>
  <c r="N7483" i="3" s="1"/>
  <c r="M7435" i="3"/>
  <c r="N7435" i="3" s="1"/>
  <c r="M7395" i="3"/>
  <c r="N7395" i="3" s="1"/>
  <c r="M7355" i="3"/>
  <c r="N7355" i="3" s="1"/>
  <c r="M7307" i="3"/>
  <c r="N7307" i="3" s="1"/>
  <c r="M7267" i="3"/>
  <c r="N7267" i="3" s="1"/>
  <c r="M7172" i="3"/>
  <c r="N7172" i="3" s="1"/>
  <c r="M7076" i="3"/>
  <c r="N7076" i="3" s="1"/>
  <c r="M6996" i="3"/>
  <c r="N6996" i="3" s="1"/>
  <c r="M6916" i="3"/>
  <c r="N6916" i="3" s="1"/>
  <c r="M6820" i="3"/>
  <c r="N6820" i="3" s="1"/>
  <c r="M6740" i="3"/>
  <c r="N6740" i="3" s="1"/>
  <c r="M6660" i="3"/>
  <c r="N6660" i="3" s="1"/>
  <c r="M7632" i="3"/>
  <c r="N7632" i="3" s="1"/>
  <c r="M7592" i="3"/>
  <c r="N7592" i="3" s="1"/>
  <c r="M7552" i="3"/>
  <c r="N7552" i="3" s="1"/>
  <c r="M7504" i="3"/>
  <c r="N7504" i="3" s="1"/>
  <c r="M7464" i="3"/>
  <c r="N7464" i="3" s="1"/>
  <c r="M7424" i="3"/>
  <c r="N7424" i="3" s="1"/>
  <c r="M7376" i="3"/>
  <c r="N7376" i="3" s="1"/>
  <c r="M7336" i="3"/>
  <c r="N7336" i="3" s="1"/>
  <c r="M7296" i="3"/>
  <c r="N7296" i="3" s="1"/>
  <c r="M7248" i="3"/>
  <c r="N7248" i="3" s="1"/>
  <c r="M7208" i="3"/>
  <c r="N7208" i="3" s="1"/>
  <c r="M7182" i="3"/>
  <c r="N7182" i="3" s="1"/>
  <c r="M7086" i="3"/>
  <c r="N7086" i="3" s="1"/>
  <c r="M7006" i="3"/>
  <c r="N7006" i="3" s="1"/>
  <c r="M6926" i="3"/>
  <c r="N6926" i="3" s="1"/>
  <c r="M6830" i="3"/>
  <c r="N6830" i="3" s="1"/>
  <c r="M6750" i="3"/>
  <c r="N6750" i="3" s="1"/>
  <c r="M6670" i="3"/>
  <c r="N6670" i="3" s="1"/>
  <c r="M5753" i="3"/>
  <c r="N5753" i="3" s="1"/>
  <c r="M6607" i="3"/>
  <c r="N6607" i="3" s="1"/>
  <c r="M6626" i="3"/>
  <c r="N6626" i="3" s="1"/>
  <c r="M5707" i="3"/>
  <c r="N5707" i="3" s="1"/>
  <c r="M5687" i="3"/>
  <c r="N5687" i="3" s="1"/>
  <c r="M5667" i="3"/>
  <c r="N5667" i="3" s="1"/>
  <c r="M5633" i="3"/>
  <c r="N5633" i="3" s="1"/>
  <c r="M5562" i="3"/>
  <c r="N5562" i="3" s="1"/>
  <c r="M5482" i="3"/>
  <c r="N5482" i="3" s="1"/>
  <c r="M5386" i="3"/>
  <c r="N5386" i="3" s="1"/>
  <c r="M5306" i="3"/>
  <c r="N5306" i="3" s="1"/>
  <c r="M5226" i="3"/>
  <c r="N5226" i="3" s="1"/>
  <c r="M5130" i="3"/>
  <c r="N5130" i="3" s="1"/>
  <c r="M5050" i="3"/>
  <c r="N5050" i="3" s="1"/>
  <c r="M4970" i="3"/>
  <c r="N4970" i="3" s="1"/>
  <c r="M4874" i="3"/>
  <c r="N4874" i="3" s="1"/>
  <c r="M4794" i="3"/>
  <c r="N4794" i="3" s="1"/>
  <c r="M4714" i="3"/>
  <c r="N4714" i="3" s="1"/>
  <c r="M5698" i="3"/>
  <c r="N5698" i="3" s="1"/>
  <c r="M5666" i="3"/>
  <c r="N5666" i="3" s="1"/>
  <c r="M5612" i="3"/>
  <c r="N5612" i="3" s="1"/>
  <c r="M5548" i="3"/>
  <c r="N5548" i="3" s="1"/>
  <c r="M5484" i="3"/>
  <c r="N5484" i="3" s="1"/>
  <c r="M5420" i="3"/>
  <c r="N5420" i="3" s="1"/>
  <c r="M5356" i="3"/>
  <c r="N5356" i="3" s="1"/>
  <c r="M5292" i="3"/>
  <c r="N5292" i="3" s="1"/>
  <c r="M5228" i="3"/>
  <c r="N5228" i="3" s="1"/>
  <c r="M5164" i="3"/>
  <c r="N5164" i="3" s="1"/>
  <c r="M5100" i="3"/>
  <c r="N5100" i="3" s="1"/>
  <c r="M5036" i="3"/>
  <c r="N5036" i="3" s="1"/>
  <c r="M4972" i="3"/>
  <c r="N4972" i="3" s="1"/>
  <c r="M4908" i="3"/>
  <c r="N4908" i="3" s="1"/>
  <c r="M4844" i="3"/>
  <c r="N4844" i="3" s="1"/>
  <c r="M4780" i="3"/>
  <c r="N4780" i="3" s="1"/>
  <c r="M4716" i="3"/>
  <c r="N4716" i="3" s="1"/>
  <c r="M4628" i="3"/>
  <c r="N4628" i="3" s="1"/>
  <c r="M4564" i="3"/>
  <c r="N4564" i="3" s="1"/>
  <c r="M4500" i="3"/>
  <c r="N4500" i="3" s="1"/>
  <c r="M4436" i="3"/>
  <c r="N4436" i="3" s="1"/>
  <c r="M4372" i="3"/>
  <c r="N4372" i="3" s="1"/>
  <c r="M4308" i="3"/>
  <c r="N4308" i="3" s="1"/>
  <c r="M5622" i="3"/>
  <c r="N5622" i="3" s="1"/>
  <c r="M5559" i="3"/>
  <c r="N5559" i="3" s="1"/>
  <c r="M5495" i="3"/>
  <c r="N5495" i="3" s="1"/>
  <c r="M5431" i="3"/>
  <c r="N5431" i="3" s="1"/>
  <c r="M5367" i="3"/>
  <c r="N5367" i="3" s="1"/>
  <c r="M5303" i="3"/>
  <c r="N5303" i="3" s="1"/>
  <c r="M5239" i="3"/>
  <c r="N5239" i="3" s="1"/>
  <c r="M5175" i="3"/>
  <c r="N5175" i="3" s="1"/>
  <c r="M5111" i="3"/>
  <c r="N5111" i="3" s="1"/>
  <c r="M5047" i="3"/>
  <c r="N5047" i="3" s="1"/>
  <c r="M4983" i="3"/>
  <c r="N4983" i="3" s="1"/>
  <c r="M4919" i="3"/>
  <c r="N4919" i="3" s="1"/>
  <c r="M4855" i="3"/>
  <c r="N4855" i="3" s="1"/>
  <c r="M4791" i="3"/>
  <c r="N4791" i="3" s="1"/>
  <c r="M4727" i="3"/>
  <c r="N4727" i="3" s="1"/>
  <c r="M5645" i="3"/>
  <c r="N5645" i="3" s="1"/>
  <c r="M5600" i="3"/>
  <c r="N5600" i="3" s="1"/>
  <c r="M5536" i="3"/>
  <c r="N5536" i="3" s="1"/>
  <c r="M5472" i="3"/>
  <c r="N5472" i="3" s="1"/>
  <c r="M5408" i="3"/>
  <c r="N5408" i="3" s="1"/>
  <c r="M5344" i="3"/>
  <c r="N5344" i="3" s="1"/>
  <c r="M5280" i="3"/>
  <c r="N5280" i="3" s="1"/>
  <c r="M5216" i="3"/>
  <c r="N5216" i="3" s="1"/>
  <c r="M5152" i="3"/>
  <c r="N5152" i="3" s="1"/>
  <c r="M5088" i="3"/>
  <c r="N5088" i="3" s="1"/>
  <c r="M5024" i="3"/>
  <c r="N5024" i="3" s="1"/>
  <c r="M4960" i="3"/>
  <c r="N4960" i="3" s="1"/>
  <c r="M4896" i="3"/>
  <c r="N4896" i="3" s="1"/>
  <c r="M4832" i="3"/>
  <c r="N4832" i="3" s="1"/>
  <c r="M4768" i="3"/>
  <c r="N4768" i="3" s="1"/>
  <c r="M4704" i="3"/>
  <c r="N4704" i="3" s="1"/>
  <c r="M4235" i="3"/>
  <c r="N4235" i="3" s="1"/>
  <c r="M4171" i="3"/>
  <c r="N4171" i="3" s="1"/>
  <c r="M4107" i="3"/>
  <c r="N4107" i="3" s="1"/>
  <c r="M4043" i="3"/>
  <c r="N4043" i="3" s="1"/>
  <c r="M3979" i="3"/>
  <c r="N3979" i="3" s="1"/>
  <c r="M3915" i="3"/>
  <c r="N3915" i="3" s="1"/>
  <c r="M3851" i="3"/>
  <c r="N3851" i="3" s="1"/>
  <c r="M4268" i="3"/>
  <c r="N4268" i="3" s="1"/>
  <c r="M4204" i="3"/>
  <c r="N4204" i="3" s="1"/>
  <c r="M4140" i="3"/>
  <c r="N4140" i="3" s="1"/>
  <c r="M4076" i="3"/>
  <c r="N4076" i="3" s="1"/>
  <c r="M4012" i="3"/>
  <c r="N4012" i="3" s="1"/>
  <c r="M3948" i="3"/>
  <c r="N3948" i="3" s="1"/>
  <c r="M3884" i="3"/>
  <c r="N3884" i="3" s="1"/>
  <c r="M4686" i="3"/>
  <c r="N4686" i="3" s="1"/>
  <c r="M4233" i="3"/>
  <c r="N4233" i="3" s="1"/>
  <c r="M4169" i="3"/>
  <c r="N4169" i="3" s="1"/>
  <c r="M4105" i="3"/>
  <c r="N4105" i="3" s="1"/>
  <c r="M4041" i="3"/>
  <c r="N4041" i="3" s="1"/>
  <c r="M3977" i="3"/>
  <c r="N3977" i="3" s="1"/>
  <c r="M3913" i="3"/>
  <c r="N3913" i="3" s="1"/>
  <c r="M3849" i="3"/>
  <c r="N3849" i="3" s="1"/>
  <c r="M7649" i="3"/>
  <c r="N7649" i="3" s="1"/>
  <c r="M7617" i="3"/>
  <c r="N7617" i="3" s="1"/>
  <c r="M7585" i="3"/>
  <c r="N7585" i="3" s="1"/>
  <c r="M7553" i="3"/>
  <c r="N7553" i="3" s="1"/>
  <c r="M7521" i="3"/>
  <c r="N7521" i="3" s="1"/>
  <c r="M7489" i="3"/>
  <c r="N7489" i="3" s="1"/>
  <c r="M7457" i="3"/>
  <c r="N7457" i="3" s="1"/>
  <c r="M7425" i="3"/>
  <c r="N7425" i="3" s="1"/>
  <c r="M7393" i="3"/>
  <c r="N7393" i="3" s="1"/>
  <c r="M7361" i="3"/>
  <c r="N7361" i="3" s="1"/>
  <c r="M7329" i="3"/>
  <c r="N7329" i="3" s="1"/>
  <c r="M7297" i="3"/>
  <c r="N7297" i="3" s="1"/>
  <c r="M7265" i="3"/>
  <c r="N7265" i="3" s="1"/>
  <c r="M7175" i="3"/>
  <c r="N7175" i="3" s="1"/>
  <c r="M7111" i="3"/>
  <c r="N7111" i="3" s="1"/>
  <c r="M7047" i="3"/>
  <c r="N7047" i="3" s="1"/>
  <c r="M6983" i="3"/>
  <c r="N6983" i="3" s="1"/>
  <c r="M6919" i="3"/>
  <c r="N6919" i="3" s="1"/>
  <c r="M6855" i="3"/>
  <c r="N6855" i="3" s="1"/>
  <c r="M6791" i="3"/>
  <c r="N6791" i="3" s="1"/>
  <c r="M6727" i="3"/>
  <c r="N6727" i="3" s="1"/>
  <c r="M6663" i="3"/>
  <c r="N6663" i="3" s="1"/>
  <c r="M7222" i="3"/>
  <c r="N7222" i="3" s="1"/>
  <c r="M7137" i="3"/>
  <c r="N7137" i="3" s="1"/>
  <c r="M7073" i="3"/>
  <c r="N7073" i="3" s="1"/>
  <c r="M7009" i="3"/>
  <c r="N7009" i="3" s="1"/>
  <c r="M6945" i="3"/>
  <c r="N6945" i="3" s="1"/>
  <c r="M6881" i="3"/>
  <c r="N6881" i="3" s="1"/>
  <c r="M6817" i="3"/>
  <c r="N6817" i="3" s="1"/>
  <c r="M6753" i="3"/>
  <c r="N6753" i="3" s="1"/>
  <c r="M6689" i="3"/>
  <c r="N6689" i="3" s="1"/>
  <c r="M6593" i="3"/>
  <c r="N6593" i="3" s="1"/>
  <c r="M6529" i="3"/>
  <c r="N6529" i="3" s="1"/>
  <c r="M7187" i="3"/>
  <c r="N7187" i="3" s="1"/>
  <c r="M7123" i="3"/>
  <c r="N7123" i="3" s="1"/>
  <c r="M7059" i="3"/>
  <c r="N7059" i="3" s="1"/>
  <c r="M6995" i="3"/>
  <c r="N6995" i="3" s="1"/>
  <c r="M6931" i="3"/>
  <c r="N6931" i="3" s="1"/>
  <c r="M6867" i="3"/>
  <c r="N6867" i="3" s="1"/>
  <c r="M6803" i="3"/>
  <c r="N6803" i="3" s="1"/>
  <c r="M6739" i="3"/>
  <c r="N6739" i="3" s="1"/>
  <c r="M6675" i="3"/>
  <c r="N6675" i="3" s="1"/>
  <c r="M7207" i="3"/>
  <c r="N7207" i="3" s="1"/>
  <c r="M7191" i="3"/>
  <c r="N7191" i="3" s="1"/>
  <c r="M7133" i="3"/>
  <c r="N7133" i="3" s="1"/>
  <c r="M7069" i="3"/>
  <c r="N7069" i="3" s="1"/>
  <c r="M7005" i="3"/>
  <c r="N7005" i="3" s="1"/>
  <c r="M6941" i="3"/>
  <c r="N6941" i="3" s="1"/>
  <c r="M6877" i="3"/>
  <c r="N6877" i="3" s="1"/>
  <c r="M6813" i="3"/>
  <c r="N6813" i="3" s="1"/>
  <c r="M6749" i="3"/>
  <c r="N6749" i="3" s="1"/>
  <c r="M6685" i="3"/>
  <c r="N6685" i="3" s="1"/>
  <c r="M6615" i="3"/>
  <c r="N6615" i="3" s="1"/>
  <c r="M6511" i="3"/>
  <c r="N6511" i="3" s="1"/>
  <c r="M6481" i="3"/>
  <c r="N6481" i="3" s="1"/>
  <c r="M6449" i="3"/>
  <c r="N6449" i="3" s="1"/>
  <c r="M6417" i="3"/>
  <c r="N6417" i="3" s="1"/>
  <c r="M6385" i="3"/>
  <c r="N6385" i="3" s="1"/>
  <c r="M6353" i="3"/>
  <c r="N6353" i="3" s="1"/>
  <c r="M6321" i="3"/>
  <c r="N6321" i="3" s="1"/>
  <c r="M6289" i="3"/>
  <c r="N6289" i="3" s="1"/>
  <c r="M6257" i="3"/>
  <c r="N6257" i="3" s="1"/>
  <c r="M6225" i="3"/>
  <c r="N6225" i="3" s="1"/>
  <c r="M6193" i="3"/>
  <c r="N6193" i="3" s="1"/>
  <c r="M6161" i="3"/>
  <c r="N6161" i="3" s="1"/>
  <c r="M6129" i="3"/>
  <c r="N6129" i="3" s="1"/>
  <c r="M6097" i="3"/>
  <c r="N6097" i="3" s="1"/>
  <c r="M6065" i="3"/>
  <c r="N6065" i="3" s="1"/>
  <c r="M6033" i="3"/>
  <c r="N6033" i="3" s="1"/>
  <c r="M6001" i="3"/>
  <c r="N6001" i="3" s="1"/>
  <c r="M5969" i="3"/>
  <c r="N5969" i="3" s="1"/>
  <c r="M5937" i="3"/>
  <c r="N5937" i="3" s="1"/>
  <c r="M5905" i="3"/>
  <c r="N5905" i="3" s="1"/>
  <c r="M5873" i="3"/>
  <c r="N5873" i="3" s="1"/>
  <c r="M5841" i="3"/>
  <c r="N5841" i="3" s="1"/>
  <c r="M5809" i="3"/>
  <c r="N5809" i="3" s="1"/>
  <c r="M6641" i="3"/>
  <c r="N6641" i="3" s="1"/>
  <c r="M6571" i="3"/>
  <c r="N6571" i="3" s="1"/>
  <c r="M6539" i="3"/>
  <c r="N6539" i="3" s="1"/>
  <c r="M6507" i="3"/>
  <c r="N6507" i="3" s="1"/>
  <c r="M6475" i="3"/>
  <c r="N6475" i="3" s="1"/>
  <c r="M6443" i="3"/>
  <c r="N6443" i="3" s="1"/>
  <c r="M6411" i="3"/>
  <c r="N6411" i="3" s="1"/>
  <c r="M6379" i="3"/>
  <c r="N6379" i="3" s="1"/>
  <c r="M6347" i="3"/>
  <c r="N6347" i="3" s="1"/>
  <c r="M6315" i="3"/>
  <c r="N6315" i="3" s="1"/>
  <c r="M6283" i="3"/>
  <c r="N6283" i="3" s="1"/>
  <c r="M6251" i="3"/>
  <c r="N6251" i="3" s="1"/>
  <c r="M6219" i="3"/>
  <c r="N6219" i="3" s="1"/>
  <c r="M6187" i="3"/>
  <c r="N6187" i="3" s="1"/>
  <c r="M6155" i="3"/>
  <c r="N6155" i="3" s="1"/>
  <c r="M6123" i="3"/>
  <c r="N6123" i="3" s="1"/>
  <c r="M6091" i="3"/>
  <c r="N6091" i="3" s="1"/>
  <c r="M6059" i="3"/>
  <c r="N6059" i="3" s="1"/>
  <c r="M6027" i="3"/>
  <c r="N6027" i="3" s="1"/>
  <c r="M5995" i="3"/>
  <c r="N5995" i="3" s="1"/>
  <c r="M5963" i="3"/>
  <c r="N5963" i="3" s="1"/>
  <c r="M5931" i="3"/>
  <c r="N5931" i="3" s="1"/>
  <c r="M5899" i="3"/>
  <c r="N5899" i="3" s="1"/>
  <c r="M5867" i="3"/>
  <c r="N5867" i="3" s="1"/>
  <c r="M5835" i="3"/>
  <c r="N5835" i="3" s="1"/>
  <c r="M5803" i="3"/>
  <c r="N5803" i="3" s="1"/>
  <c r="M5603" i="3"/>
  <c r="N5603" i="3" s="1"/>
  <c r="M5539" i="3"/>
  <c r="N5539" i="3" s="1"/>
  <c r="M5475" i="3"/>
  <c r="N5475" i="3" s="1"/>
  <c r="M5411" i="3"/>
  <c r="N5411" i="3" s="1"/>
  <c r="M5347" i="3"/>
  <c r="N5347" i="3" s="1"/>
  <c r="M5283" i="3"/>
  <c r="N5283" i="3" s="1"/>
  <c r="M5219" i="3"/>
  <c r="N5219" i="3" s="1"/>
  <c r="M5155" i="3"/>
  <c r="N5155" i="3" s="1"/>
  <c r="M5091" i="3"/>
  <c r="N5091" i="3" s="1"/>
  <c r="M5027" i="3"/>
  <c r="N5027" i="3" s="1"/>
  <c r="M4963" i="3"/>
  <c r="N4963" i="3" s="1"/>
  <c r="M4899" i="3"/>
  <c r="N4899" i="3" s="1"/>
  <c r="M4835" i="3"/>
  <c r="N4835" i="3" s="1"/>
  <c r="M4771" i="3"/>
  <c r="N4771" i="3" s="1"/>
  <c r="M4707" i="3"/>
  <c r="N4707" i="3" s="1"/>
  <c r="M5712" i="3"/>
  <c r="N5712" i="3" s="1"/>
  <c r="M5680" i="3"/>
  <c r="N5680" i="3" s="1"/>
  <c r="M5648" i="3"/>
  <c r="N5648" i="3" s="1"/>
  <c r="M5589" i="3"/>
  <c r="N5589" i="3" s="1"/>
  <c r="M5525" i="3"/>
  <c r="N5525" i="3" s="1"/>
  <c r="M5461" i="3"/>
  <c r="N5461" i="3" s="1"/>
  <c r="M5397" i="3"/>
  <c r="N5397" i="3" s="1"/>
  <c r="M5333" i="3"/>
  <c r="N5333" i="3" s="1"/>
  <c r="M5269" i="3"/>
  <c r="N5269" i="3" s="1"/>
  <c r="M5205" i="3"/>
  <c r="N5205" i="3" s="1"/>
  <c r="M5141" i="3"/>
  <c r="N5141" i="3" s="1"/>
  <c r="M5077" i="3"/>
  <c r="N5077" i="3" s="1"/>
  <c r="M5013" i="3"/>
  <c r="N5013" i="3" s="1"/>
  <c r="M4949" i="3"/>
  <c r="N4949" i="3" s="1"/>
  <c r="M4885" i="3"/>
  <c r="N4885" i="3" s="1"/>
  <c r="M4821" i="3"/>
  <c r="N4821" i="3" s="1"/>
  <c r="M4757" i="3"/>
  <c r="N4757" i="3" s="1"/>
  <c r="M4672" i="3"/>
  <c r="N4672" i="3" s="1"/>
  <c r="M4608" i="3"/>
  <c r="N4608" i="3" s="1"/>
  <c r="M4544" i="3"/>
  <c r="N4544" i="3" s="1"/>
  <c r="M4480" i="3"/>
  <c r="N4480" i="3" s="1"/>
  <c r="M4416" i="3"/>
  <c r="N4416" i="3" s="1"/>
  <c r="M4352" i="3"/>
  <c r="N4352" i="3" s="1"/>
  <c r="M5639" i="3"/>
  <c r="N5639" i="3" s="1"/>
  <c r="M5558" i="3"/>
  <c r="N5558" i="3" s="1"/>
  <c r="M5494" i="3"/>
  <c r="N5494" i="3" s="1"/>
  <c r="M5430" i="3"/>
  <c r="N5430" i="3" s="1"/>
  <c r="M5366" i="3"/>
  <c r="N5366" i="3" s="1"/>
  <c r="M5302" i="3"/>
  <c r="N5302" i="3" s="1"/>
  <c r="M5238" i="3"/>
  <c r="N5238" i="3" s="1"/>
  <c r="M5174" i="3"/>
  <c r="N5174" i="3" s="1"/>
  <c r="M5110" i="3"/>
  <c r="N5110" i="3" s="1"/>
  <c r="M5046" i="3"/>
  <c r="N5046" i="3" s="1"/>
  <c r="M4982" i="3"/>
  <c r="N4982" i="3" s="1"/>
  <c r="M4918" i="3"/>
  <c r="N4918" i="3" s="1"/>
  <c r="M4854" i="3"/>
  <c r="N4854" i="3" s="1"/>
  <c r="M4790" i="3"/>
  <c r="N4790" i="3" s="1"/>
  <c r="M4726" i="3"/>
  <c r="N4726" i="3" s="1"/>
  <c r="M5730" i="3"/>
  <c r="N5730" i="3" s="1"/>
  <c r="M5577" i="3"/>
  <c r="N5577" i="3" s="1"/>
  <c r="M5513" i="3"/>
  <c r="N5513" i="3" s="1"/>
  <c r="M5449" i="3"/>
  <c r="N5449" i="3" s="1"/>
  <c r="M5385" i="3"/>
  <c r="N5385" i="3" s="1"/>
  <c r="M5321" i="3"/>
  <c r="N5321" i="3" s="1"/>
  <c r="M5257" i="3"/>
  <c r="N5257" i="3" s="1"/>
  <c r="M5193" i="3"/>
  <c r="N5193" i="3" s="1"/>
  <c r="M5129" i="3"/>
  <c r="N5129" i="3" s="1"/>
  <c r="M5065" i="3"/>
  <c r="N5065" i="3" s="1"/>
  <c r="M5001" i="3"/>
  <c r="N5001" i="3" s="1"/>
  <c r="M4937" i="3"/>
  <c r="N4937" i="3" s="1"/>
  <c r="M4873" i="3"/>
  <c r="N4873" i="3" s="1"/>
  <c r="M4809" i="3"/>
  <c r="N4809" i="3" s="1"/>
  <c r="M4745" i="3"/>
  <c r="N4745" i="3" s="1"/>
  <c r="M4673" i="3"/>
  <c r="N4673" i="3" s="1"/>
  <c r="M4215" i="3"/>
  <c r="N4215" i="3" s="1"/>
  <c r="M4151" i="3"/>
  <c r="N4151" i="3" s="1"/>
  <c r="M4087" i="3"/>
  <c r="N4087" i="3" s="1"/>
  <c r="M4023" i="3"/>
  <c r="N4023" i="3" s="1"/>
  <c r="M3959" i="3"/>
  <c r="N3959" i="3" s="1"/>
  <c r="M3895" i="3"/>
  <c r="N3895" i="3" s="1"/>
  <c r="M4538" i="3"/>
  <c r="N4538" i="3" s="1"/>
  <c r="M4346" i="3"/>
  <c r="N4346" i="3" s="1"/>
  <c r="M4314" i="3"/>
  <c r="N4314" i="3" s="1"/>
  <c r="M4282" i="3"/>
  <c r="N4282" i="3" s="1"/>
  <c r="M4232" i="3"/>
  <c r="N4232" i="3" s="1"/>
  <c r="M4168" i="3"/>
  <c r="N4168" i="3" s="1"/>
  <c r="M4104" i="3"/>
  <c r="N4104" i="3" s="1"/>
  <c r="M4224" i="3"/>
  <c r="N4224" i="3" s="1"/>
  <c r="M4008" i="3"/>
  <c r="N4008" i="3" s="1"/>
  <c r="M3880" i="3"/>
  <c r="N3880" i="3" s="1"/>
  <c r="M4229" i="3"/>
  <c r="N4229" i="3" s="1"/>
  <c r="M4101" i="3"/>
  <c r="N4101" i="3" s="1"/>
  <c r="M3973" i="3"/>
  <c r="N3973" i="3" s="1"/>
  <c r="M3845" i="3"/>
  <c r="N3845" i="3" s="1"/>
  <c r="M4614" i="3"/>
  <c r="N4614" i="3" s="1"/>
  <c r="M4518" i="3"/>
  <c r="N4518" i="3" s="1"/>
  <c r="M4486" i="3"/>
  <c r="N4486" i="3" s="1"/>
  <c r="M4454" i="3"/>
  <c r="N4454" i="3" s="1"/>
  <c r="M4422" i="3"/>
  <c r="N4422" i="3" s="1"/>
  <c r="M4254" i="3"/>
  <c r="N4254" i="3" s="1"/>
  <c r="M4190" i="3"/>
  <c r="N4190" i="3" s="1"/>
  <c r="M4126" i="3"/>
  <c r="N4126" i="3" s="1"/>
  <c r="M4062" i="3"/>
  <c r="N4062" i="3" s="1"/>
  <c r="M3998" i="3"/>
  <c r="N3998" i="3" s="1"/>
  <c r="M3934" i="3"/>
  <c r="N3934" i="3" s="1"/>
  <c r="M3870" i="3"/>
  <c r="N3870" i="3" s="1"/>
  <c r="M3689" i="3"/>
  <c r="N3689" i="3" s="1"/>
  <c r="M3637" i="3"/>
  <c r="N3637" i="3" s="1"/>
  <c r="M3622" i="3"/>
  <c r="N3622" i="3" s="1"/>
  <c r="M3641" i="3"/>
  <c r="N3641" i="3" s="1"/>
  <c r="M3478" i="3"/>
  <c r="N3478" i="3" s="1"/>
  <c r="M3593" i="3"/>
  <c r="N3593" i="3" s="1"/>
  <c r="M3529" i="3"/>
  <c r="N3529" i="3" s="1"/>
  <c r="M3416" i="3"/>
  <c r="N3416" i="3" s="1"/>
  <c r="M3384" i="3"/>
  <c r="N3384" i="3" s="1"/>
  <c r="M3352" i="3"/>
  <c r="N3352" i="3" s="1"/>
  <c r="M3320" i="3"/>
  <c r="N3320" i="3" s="1"/>
  <c r="M3288" i="3"/>
  <c r="N3288" i="3" s="1"/>
  <c r="M3256" i="3"/>
  <c r="N3256" i="3" s="1"/>
  <c r="M3224" i="3"/>
  <c r="N3224" i="3" s="1"/>
  <c r="M3559" i="3"/>
  <c r="N3559" i="3" s="1"/>
  <c r="M3581" i="3"/>
  <c r="N3581" i="3" s="1"/>
  <c r="M3683" i="3"/>
  <c r="N3683" i="3" s="1"/>
  <c r="M3619" i="3"/>
  <c r="N3619" i="3" s="1"/>
  <c r="M3555" i="3"/>
  <c r="N3555" i="3" s="1"/>
  <c r="M3466" i="3"/>
  <c r="N3466" i="3" s="1"/>
  <c r="M2565" i="3"/>
  <c r="N2565" i="3" s="1"/>
  <c r="M2483" i="3"/>
  <c r="N2483" i="3" s="1"/>
  <c r="M2277" i="3"/>
  <c r="N2277" i="3" s="1"/>
  <c r="M2501" i="3"/>
  <c r="N2501" i="3" s="1"/>
  <c r="M2437" i="3"/>
  <c r="N2437" i="3" s="1"/>
  <c r="M2324" i="3"/>
  <c r="N2324" i="3" s="1"/>
  <c r="M3137" i="3"/>
  <c r="N3137" i="3" s="1"/>
  <c r="M3073" i="3"/>
  <c r="N3073" i="3" s="1"/>
  <c r="M3009" i="3"/>
  <c r="N3009" i="3" s="1"/>
  <c r="M2945" i="3"/>
  <c r="N2945" i="3" s="1"/>
  <c r="M2881" i="3"/>
  <c r="N2881" i="3" s="1"/>
  <c r="M2817" i="3"/>
  <c r="N2817" i="3" s="1"/>
  <c r="M2753" i="3"/>
  <c r="N2753" i="3" s="1"/>
  <c r="M2689" i="3"/>
  <c r="N2689" i="3" s="1"/>
  <c r="M2625" i="3"/>
  <c r="N2625" i="3" s="1"/>
  <c r="M2561" i="3"/>
  <c r="N2561" i="3" s="1"/>
  <c r="M2479" i="3"/>
  <c r="N2479" i="3" s="1"/>
  <c r="M3164" i="3"/>
  <c r="N3164" i="3" s="1"/>
  <c r="M3132" i="3"/>
  <c r="N3132" i="3" s="1"/>
  <c r="M3100" i="3"/>
  <c r="N3100" i="3" s="1"/>
  <c r="M3068" i="3"/>
  <c r="N3068" i="3" s="1"/>
  <c r="M3036" i="3"/>
  <c r="N3036" i="3" s="1"/>
  <c r="M3004" i="3"/>
  <c r="N3004" i="3" s="1"/>
  <c r="M2972" i="3"/>
  <c r="N2972" i="3" s="1"/>
  <c r="M2940" i="3"/>
  <c r="N2940" i="3" s="1"/>
  <c r="M2908" i="3"/>
  <c r="N2908" i="3" s="1"/>
  <c r="M2876" i="3"/>
  <c r="N2876" i="3" s="1"/>
  <c r="M2844" i="3"/>
  <c r="N2844" i="3" s="1"/>
  <c r="M2812" i="3"/>
  <c r="N2812" i="3" s="1"/>
  <c r="M2780" i="3"/>
  <c r="N2780" i="3" s="1"/>
  <c r="M2748" i="3"/>
  <c r="N2748" i="3" s="1"/>
  <c r="M2716" i="3"/>
  <c r="N2716" i="3" s="1"/>
  <c r="M2684" i="3"/>
  <c r="N2684" i="3" s="1"/>
  <c r="M2652" i="3"/>
  <c r="N2652" i="3" s="1"/>
  <c r="M2620" i="3"/>
  <c r="N2620" i="3" s="1"/>
  <c r="M2588" i="3"/>
  <c r="N2588" i="3" s="1"/>
  <c r="M2552" i="3"/>
  <c r="N2552" i="3" s="1"/>
  <c r="M2497" i="3"/>
  <c r="N2497" i="3" s="1"/>
  <c r="M2433" i="3"/>
  <c r="N2433" i="3" s="1"/>
  <c r="M2326" i="3"/>
  <c r="N2326" i="3" s="1"/>
  <c r="M1949" i="3"/>
  <c r="N1949" i="3" s="1"/>
  <c r="M2488" i="3"/>
  <c r="N2488" i="3" s="1"/>
  <c r="M2424" i="3"/>
  <c r="N2424" i="3" s="1"/>
  <c r="M2377" i="3"/>
  <c r="N2377" i="3" s="1"/>
  <c r="M2336" i="3"/>
  <c r="N2336" i="3" s="1"/>
  <c r="M2272" i="3"/>
  <c r="N2272" i="3" s="1"/>
  <c r="M2208" i="3"/>
  <c r="N2208" i="3" s="1"/>
  <c r="M2144" i="3"/>
  <c r="N2144" i="3" s="1"/>
  <c r="M1922" i="3"/>
  <c r="N1922" i="3" s="1"/>
  <c r="M1918" i="3"/>
  <c r="N1918" i="3" s="1"/>
  <c r="M2090" i="3"/>
  <c r="N2090" i="3" s="1"/>
  <c r="M2074" i="3"/>
  <c r="N2074" i="3" s="1"/>
  <c r="M2058" i="3"/>
  <c r="N2058" i="3" s="1"/>
  <c r="M2042" i="3"/>
  <c r="N2042" i="3" s="1"/>
  <c r="M2026" i="3"/>
  <c r="N2026" i="3" s="1"/>
  <c r="M2010" i="3"/>
  <c r="N2010" i="3" s="1"/>
  <c r="M1994" i="3"/>
  <c r="N1994" i="3" s="1"/>
  <c r="M1962" i="3"/>
  <c r="N1962" i="3" s="1"/>
  <c r="M1900" i="3"/>
  <c r="N1900" i="3" s="1"/>
  <c r="M1812" i="3"/>
  <c r="N1812" i="3" s="1"/>
  <c r="M1782" i="3"/>
  <c r="N1782" i="3" s="1"/>
  <c r="M1598" i="3"/>
  <c r="N1598" i="3" s="1"/>
  <c r="M1408" i="3"/>
  <c r="N1408" i="3" s="1"/>
  <c r="M1805" i="3"/>
  <c r="N1805" i="3" s="1"/>
  <c r="M1646" i="3"/>
  <c r="N1646" i="3" s="1"/>
  <c r="M1154" i="3"/>
  <c r="N1154" i="3" s="1"/>
  <c r="M1504" i="3"/>
  <c r="N1504" i="3" s="1"/>
  <c r="M1924" i="3"/>
  <c r="N1924" i="3" s="1"/>
  <c r="M1874" i="3"/>
  <c r="N1874" i="3" s="1"/>
  <c r="M1817" i="3"/>
  <c r="N1817" i="3" s="1"/>
  <c r="M1406" i="3"/>
  <c r="N1406" i="3" s="1"/>
  <c r="M1760" i="3"/>
  <c r="N1760" i="3" s="1"/>
  <c r="M1727" i="3"/>
  <c r="N1727" i="3" s="1"/>
  <c r="M1682" i="3"/>
  <c r="N1682" i="3" s="1"/>
  <c r="M1645" i="3"/>
  <c r="N1645" i="3" s="1"/>
  <c r="M1599" i="3"/>
  <c r="N1599" i="3" s="1"/>
  <c r="M174" i="3"/>
  <c r="N174" i="3" s="1"/>
  <c r="M302" i="3"/>
  <c r="N302" i="3" s="1"/>
  <c r="M687" i="3"/>
  <c r="N687" i="3" s="1"/>
  <c r="M647" i="3"/>
  <c r="N647" i="3" s="1"/>
  <c r="M789" i="3"/>
  <c r="N789" i="3" s="1"/>
  <c r="M990" i="3"/>
  <c r="N990" i="3" s="1"/>
  <c r="M984" i="3"/>
  <c r="N984" i="3" s="1"/>
  <c r="M1184" i="3"/>
  <c r="N1184" i="3" s="1"/>
  <c r="M1501" i="3"/>
  <c r="N1501" i="3" s="1"/>
  <c r="M1256" i="3"/>
  <c r="N1256" i="3" s="1"/>
  <c r="M1491" i="3"/>
  <c r="N1491" i="3" s="1"/>
  <c r="M1971" i="3"/>
  <c r="N1971" i="3" s="1"/>
  <c r="M2008" i="3"/>
  <c r="N2008" i="3" s="1"/>
  <c r="M2133" i="3"/>
  <c r="N2133" i="3" s="1"/>
  <c r="M2218" i="3"/>
  <c r="N2218" i="3" s="1"/>
  <c r="M2281" i="3"/>
  <c r="N2281" i="3" s="1"/>
  <c r="M2791" i="3"/>
  <c r="N2791" i="3" s="1"/>
  <c r="M3047" i="3"/>
  <c r="N3047" i="3" s="1"/>
  <c r="M3210" i="3"/>
  <c r="N3210" i="3" s="1"/>
  <c r="M3379" i="3"/>
  <c r="N3379" i="3" s="1"/>
  <c r="M3335" i="3"/>
  <c r="N3335" i="3" s="1"/>
  <c r="M3515" i="3"/>
  <c r="N3515" i="3" s="1"/>
  <c r="M4311" i="3"/>
  <c r="N4311" i="3" s="1"/>
  <c r="M4399" i="3"/>
  <c r="N4399" i="3" s="1"/>
  <c r="M4483" i="3"/>
  <c r="N4483" i="3" s="1"/>
  <c r="M4567" i="3"/>
  <c r="N4567" i="3" s="1"/>
  <c r="M4655" i="3"/>
  <c r="N4655" i="3" s="1"/>
  <c r="M3721" i="3"/>
  <c r="N3721" i="3" s="1"/>
  <c r="M3742" i="3"/>
  <c r="N3742" i="3" s="1"/>
  <c r="M3764" i="3"/>
  <c r="N3764" i="3" s="1"/>
  <c r="M3785" i="3"/>
  <c r="N3785" i="3" s="1"/>
  <c r="M3806" i="3"/>
  <c r="N3806" i="3" s="1"/>
  <c r="M3828" i="3"/>
  <c r="N3828" i="3" s="1"/>
  <c r="M4301" i="3"/>
  <c r="N4301" i="3" s="1"/>
  <c r="M4469" i="3"/>
  <c r="N4469" i="3" s="1"/>
  <c r="M4645" i="3"/>
  <c r="N4645" i="3" s="1"/>
  <c r="M4369" i="3"/>
  <c r="N4369" i="3" s="1"/>
  <c r="M4537" i="3"/>
  <c r="N4537" i="3" s="1"/>
  <c r="M5736" i="3"/>
  <c r="N5736" i="3" s="1"/>
  <c r="M5822" i="3"/>
  <c r="N5822" i="3" s="1"/>
  <c r="M5906" i="3"/>
  <c r="N5906" i="3" s="1"/>
  <c r="M5994" i="3"/>
  <c r="N5994" i="3" s="1"/>
  <c r="M6078" i="3"/>
  <c r="N6078" i="3" s="1"/>
  <c r="M6162" i="3"/>
  <c r="N6162" i="3" s="1"/>
  <c r="M6250" i="3"/>
  <c r="N6250" i="3" s="1"/>
  <c r="M6334" i="3"/>
  <c r="N6334" i="3" s="1"/>
  <c r="M6418" i="3"/>
  <c r="N6418" i="3" s="1"/>
  <c r="M6506" i="3"/>
  <c r="N6506" i="3" s="1"/>
  <c r="M5800" i="3"/>
  <c r="N5800" i="3" s="1"/>
  <c r="M5884" i="3"/>
  <c r="N5884" i="3" s="1"/>
  <c r="M5972" i="3"/>
  <c r="N5972" i="3" s="1"/>
  <c r="M6056" i="3"/>
  <c r="N6056" i="3" s="1"/>
  <c r="M6140" i="3"/>
  <c r="N6140" i="3" s="1"/>
  <c r="M6228" i="3"/>
  <c r="N6228" i="3" s="1"/>
  <c r="M6312" i="3"/>
  <c r="N6312" i="3" s="1"/>
  <c r="M6396" i="3"/>
  <c r="N6396" i="3" s="1"/>
  <c r="M6484" i="3"/>
  <c r="N6484" i="3" s="1"/>
  <c r="M6568" i="3"/>
  <c r="N6568" i="3" s="1"/>
  <c r="M6554" i="3"/>
  <c r="N6554" i="3" s="1"/>
  <c r="M6590" i="3"/>
  <c r="N6590" i="3" s="1"/>
  <c r="M6928" i="3"/>
  <c r="N6928" i="3" s="1"/>
  <c r="M7626" i="3"/>
  <c r="N7626" i="3" s="1"/>
  <c r="M7450" i="3"/>
  <c r="N7450" i="3" s="1"/>
  <c r="M7282" i="3"/>
  <c r="N7282" i="3" s="1"/>
  <c r="M6954" i="3"/>
  <c r="N6954" i="3" s="1"/>
  <c r="M6573" i="3"/>
  <c r="N6573" i="3" s="1"/>
  <c r="M7535" i="3"/>
  <c r="N7535" i="3" s="1"/>
  <c r="M7367" i="3"/>
  <c r="N7367" i="3" s="1"/>
  <c r="M7100" i="3"/>
  <c r="N7100" i="3" s="1"/>
  <c r="M6764" i="3"/>
  <c r="N6764" i="3" s="1"/>
  <c r="M7564" i="3"/>
  <c r="N7564" i="3" s="1"/>
  <c r="M7388" i="3"/>
  <c r="N7388" i="3" s="1"/>
  <c r="M7206" i="3"/>
  <c r="N7206" i="3" s="1"/>
  <c r="M6918" i="3"/>
  <c r="N6918" i="3" s="1"/>
  <c r="M6567" i="3"/>
  <c r="N6567" i="3" s="1"/>
  <c r="M5713" i="3"/>
  <c r="N5713" i="3" s="1"/>
  <c r="M5586" i="3"/>
  <c r="N5586" i="3" s="1"/>
  <c r="M5234" i="3"/>
  <c r="N5234" i="3" s="1"/>
  <c r="M4978" i="3"/>
  <c r="N4978" i="3" s="1"/>
  <c r="M4722" i="3"/>
  <c r="N4722" i="3" s="1"/>
  <c r="M5572" i="3"/>
  <c r="N5572" i="3" s="1"/>
  <c r="M5316" i="3"/>
  <c r="N5316" i="3" s="1"/>
  <c r="M5060" i="3"/>
  <c r="N5060" i="3" s="1"/>
  <c r="M4804" i="3"/>
  <c r="N4804" i="3" s="1"/>
  <c r="M4524" i="3"/>
  <c r="N4524" i="3" s="1"/>
  <c r="M5625" i="3"/>
  <c r="N5625" i="3" s="1"/>
  <c r="M5375" i="3"/>
  <c r="N5375" i="3" s="1"/>
  <c r="M5119" i="3"/>
  <c r="N5119" i="3" s="1"/>
  <c r="M4863" i="3"/>
  <c r="N4863" i="3" s="1"/>
  <c r="M5624" i="3"/>
  <c r="N5624" i="3" s="1"/>
  <c r="M5368" i="3"/>
  <c r="N5368" i="3" s="1"/>
  <c r="M5112" i="3"/>
  <c r="N5112" i="3" s="1"/>
  <c r="M4856" i="3"/>
  <c r="N4856" i="3" s="1"/>
  <c r="M4195" i="3"/>
  <c r="N4195" i="3" s="1"/>
  <c r="M3939" i="3"/>
  <c r="N3939" i="3" s="1"/>
  <c r="M4164" i="3"/>
  <c r="N4164" i="3" s="1"/>
  <c r="M3908" i="3"/>
  <c r="N3908" i="3" s="1"/>
  <c r="M4097" i="3"/>
  <c r="N4097" i="3" s="1"/>
  <c r="M4691" i="3"/>
  <c r="N4691" i="3" s="1"/>
  <c r="M7549" i="3"/>
  <c r="N7549" i="3" s="1"/>
  <c r="M7421" i="3"/>
  <c r="N7421" i="3" s="1"/>
  <c r="M7325" i="3"/>
  <c r="N7325" i="3" s="1"/>
  <c r="M7261" i="3"/>
  <c r="N7261" i="3" s="1"/>
  <c r="M7135" i="3"/>
  <c r="N7135" i="3" s="1"/>
  <c r="M7055" i="3"/>
  <c r="N7055" i="3" s="1"/>
  <c r="M6975" i="3"/>
  <c r="N6975" i="3" s="1"/>
  <c r="M6879" i="3"/>
  <c r="N6879" i="3" s="1"/>
  <c r="M6799" i="3"/>
  <c r="N6799" i="3" s="1"/>
  <c r="M6719" i="3"/>
  <c r="N6719" i="3" s="1"/>
  <c r="M7658" i="3"/>
  <c r="N7658" i="3" s="1"/>
  <c r="M7129" i="3"/>
  <c r="N7129" i="3" s="1"/>
  <c r="M7049" i="3"/>
  <c r="N7049" i="3" s="1"/>
  <c r="M6953" i="3"/>
  <c r="N6953" i="3" s="1"/>
  <c r="M6873" i="3"/>
  <c r="N6873" i="3" s="1"/>
  <c r="M6793" i="3"/>
  <c r="N6793" i="3" s="1"/>
  <c r="M6697" i="3"/>
  <c r="N6697" i="3" s="1"/>
  <c r="M6585" i="3"/>
  <c r="N6585" i="3" s="1"/>
  <c r="M7223" i="3"/>
  <c r="N7223" i="3" s="1"/>
  <c r="M7099" i="3"/>
  <c r="N7099" i="3" s="1"/>
  <c r="M7019" i="3"/>
  <c r="N7019" i="3" s="1"/>
  <c r="M6939" i="3"/>
  <c r="N6939" i="3" s="1"/>
  <c r="M6843" i="3"/>
  <c r="N6843" i="3" s="1"/>
  <c r="M6763" i="3"/>
  <c r="N6763" i="3" s="1"/>
  <c r="M6683" i="3"/>
  <c r="N6683" i="3" s="1"/>
  <c r="M7209" i="3"/>
  <c r="N7209" i="3" s="1"/>
  <c r="M7189" i="3"/>
  <c r="N7189" i="3" s="1"/>
  <c r="M7109" i="3"/>
  <c r="N7109" i="3" s="1"/>
  <c r="M7013" i="3"/>
  <c r="N7013" i="3" s="1"/>
  <c r="M6933" i="3"/>
  <c r="N6933" i="3" s="1"/>
  <c r="M6853" i="3"/>
  <c r="N6853" i="3" s="1"/>
  <c r="M6757" i="3"/>
  <c r="N6757" i="3" s="1"/>
  <c r="M6677" i="3"/>
  <c r="N6677" i="3" s="1"/>
  <c r="M6621" i="3"/>
  <c r="N6621" i="3" s="1"/>
  <c r="M6469" i="3"/>
  <c r="N6469" i="3" s="1"/>
  <c r="M6429" i="3"/>
  <c r="N6429" i="3" s="1"/>
  <c r="M6389" i="3"/>
  <c r="N6389" i="3" s="1"/>
  <c r="M6341" i="3"/>
  <c r="N6341" i="3" s="1"/>
  <c r="M6301" i="3"/>
  <c r="N6301" i="3" s="1"/>
  <c r="M6261" i="3"/>
  <c r="N6261" i="3" s="1"/>
  <c r="M6213" i="3"/>
  <c r="N6213" i="3" s="1"/>
  <c r="M6173" i="3"/>
  <c r="N6173" i="3" s="1"/>
  <c r="M6133" i="3"/>
  <c r="N6133" i="3" s="1"/>
  <c r="M6085" i="3"/>
  <c r="N6085" i="3" s="1"/>
  <c r="M6045" i="3"/>
  <c r="N6045" i="3" s="1"/>
  <c r="M6005" i="3"/>
  <c r="N6005" i="3" s="1"/>
  <c r="M5957" i="3"/>
  <c r="N5957" i="3" s="1"/>
  <c r="M5917" i="3"/>
  <c r="N5917" i="3" s="1"/>
  <c r="M5877" i="3"/>
  <c r="N5877" i="3" s="1"/>
  <c r="M5829" i="3"/>
  <c r="N5829" i="3" s="1"/>
  <c r="M5733" i="3"/>
  <c r="N5733" i="3" s="1"/>
  <c r="M6616" i="3"/>
  <c r="N6616" i="3" s="1"/>
  <c r="M6463" i="3"/>
  <c r="N6463" i="3" s="1"/>
  <c r="M6423" i="3"/>
  <c r="N6423" i="3" s="1"/>
  <c r="M6383" i="3"/>
  <c r="N6383" i="3" s="1"/>
  <c r="M6335" i="3"/>
  <c r="N6335" i="3" s="1"/>
  <c r="M6295" i="3"/>
  <c r="N6295" i="3" s="1"/>
  <c r="M6255" i="3"/>
  <c r="N6255" i="3" s="1"/>
  <c r="M6207" i="3"/>
  <c r="N6207" i="3" s="1"/>
  <c r="M6167" i="3"/>
  <c r="N6167" i="3" s="1"/>
  <c r="M6127" i="3"/>
  <c r="N6127" i="3" s="1"/>
  <c r="M6079" i="3"/>
  <c r="N6079" i="3" s="1"/>
  <c r="M6039" i="3"/>
  <c r="N6039" i="3" s="1"/>
  <c r="M5999" i="3"/>
  <c r="N5999" i="3" s="1"/>
  <c r="M5951" i="3"/>
  <c r="N5951" i="3" s="1"/>
  <c r="M5911" i="3"/>
  <c r="N5911" i="3" s="1"/>
  <c r="M5871" i="3"/>
  <c r="N5871" i="3" s="1"/>
  <c r="M5823" i="3"/>
  <c r="N5823" i="3" s="1"/>
  <c r="M5647" i="3"/>
  <c r="N5647" i="3" s="1"/>
  <c r="M5547" i="3"/>
  <c r="N5547" i="3" s="1"/>
  <c r="M5451" i="3"/>
  <c r="N5451" i="3" s="1"/>
  <c r="M5371" i="3"/>
  <c r="N5371" i="3" s="1"/>
  <c r="M5291" i="3"/>
  <c r="N5291" i="3" s="1"/>
  <c r="M5195" i="3"/>
  <c r="N5195" i="3" s="1"/>
  <c r="M5115" i="3"/>
  <c r="N5115" i="3" s="1"/>
  <c r="M5035" i="3"/>
  <c r="N5035" i="3" s="1"/>
  <c r="M4939" i="3"/>
  <c r="N4939" i="3" s="1"/>
  <c r="M4859" i="3"/>
  <c r="N4859" i="3" s="1"/>
  <c r="M4779" i="3"/>
  <c r="N4779" i="3" s="1"/>
  <c r="M5774" i="3"/>
  <c r="N5774" i="3" s="1"/>
  <c r="M5692" i="3"/>
  <c r="N5692" i="3" s="1"/>
  <c r="M5652" i="3"/>
  <c r="N5652" i="3" s="1"/>
  <c r="M5565" i="3"/>
  <c r="N5565" i="3" s="1"/>
  <c r="M5485" i="3"/>
  <c r="N5485" i="3" s="1"/>
  <c r="M5405" i="3"/>
  <c r="N5405" i="3" s="1"/>
  <c r="M5309" i="3"/>
  <c r="N5309" i="3" s="1"/>
  <c r="M5229" i="3"/>
  <c r="N5229" i="3" s="1"/>
  <c r="M5149" i="3"/>
  <c r="N5149" i="3" s="1"/>
  <c r="M5053" i="3"/>
  <c r="N5053" i="3" s="1"/>
  <c r="M4973" i="3"/>
  <c r="N4973" i="3" s="1"/>
  <c r="M4893" i="3"/>
  <c r="N4893" i="3" s="1"/>
  <c r="M4797" i="3"/>
  <c r="N4797" i="3" s="1"/>
  <c r="M4717" i="3"/>
  <c r="N4717" i="3" s="1"/>
  <c r="M4616" i="3"/>
  <c r="N4616" i="3" s="1"/>
  <c r="M4520" i="3"/>
  <c r="N4520" i="3" s="1"/>
  <c r="M4440" i="3"/>
  <c r="N4440" i="3" s="1"/>
  <c r="M4360" i="3"/>
  <c r="N4360" i="3" s="1"/>
  <c r="M5614" i="3"/>
  <c r="N5614" i="3" s="1"/>
  <c r="M5534" i="3"/>
  <c r="N5534" i="3" s="1"/>
  <c r="M5454" i="3"/>
  <c r="N5454" i="3" s="1"/>
  <c r="M5358" i="3"/>
  <c r="N5358" i="3" s="1"/>
  <c r="M5278" i="3"/>
  <c r="N5278" i="3" s="1"/>
  <c r="M5198" i="3"/>
  <c r="N5198" i="3" s="1"/>
  <c r="M5102" i="3"/>
  <c r="N5102" i="3" s="1"/>
  <c r="M5022" i="3"/>
  <c r="N5022" i="3" s="1"/>
  <c r="M4942" i="3"/>
  <c r="N4942" i="3" s="1"/>
  <c r="M4846" i="3"/>
  <c r="N4846" i="3" s="1"/>
  <c r="M4766" i="3"/>
  <c r="N4766" i="3" s="1"/>
  <c r="M5778" i="3"/>
  <c r="N5778" i="3" s="1"/>
  <c r="M5569" i="3"/>
  <c r="N5569" i="3" s="1"/>
  <c r="M5489" i="3"/>
  <c r="N5489" i="3" s="1"/>
  <c r="M5409" i="3"/>
  <c r="N5409" i="3" s="1"/>
  <c r="M5313" i="3"/>
  <c r="N5313" i="3" s="1"/>
  <c r="M5233" i="3"/>
  <c r="N5233" i="3" s="1"/>
  <c r="M5153" i="3"/>
  <c r="N5153" i="3" s="1"/>
  <c r="M5057" i="3"/>
  <c r="N5057" i="3" s="1"/>
  <c r="M4977" i="3"/>
  <c r="N4977" i="3" s="1"/>
  <c r="M4897" i="3"/>
  <c r="N4897" i="3" s="1"/>
  <c r="M4801" i="3"/>
  <c r="N4801" i="3" s="1"/>
  <c r="M4721" i="3"/>
  <c r="N4721" i="3" s="1"/>
  <c r="M4239" i="3"/>
  <c r="N4239" i="3" s="1"/>
  <c r="M4143" i="3"/>
  <c r="N4143" i="3" s="1"/>
  <c r="M4063" i="3"/>
  <c r="N4063" i="3" s="1"/>
  <c r="M3983" i="3"/>
  <c r="N3983" i="3" s="1"/>
  <c r="M3887" i="3"/>
  <c r="N3887" i="3" s="1"/>
  <c r="M4666" i="3"/>
  <c r="N4666" i="3" s="1"/>
  <c r="M4626" i="3"/>
  <c r="N4626" i="3" s="1"/>
  <c r="M4578" i="3"/>
  <c r="N4578" i="3" s="1"/>
  <c r="M4514" i="3"/>
  <c r="N4514" i="3" s="1"/>
  <c r="M4474" i="3"/>
  <c r="N4474" i="3" s="1"/>
  <c r="M4426" i="3"/>
  <c r="N4426" i="3" s="1"/>
  <c r="M4240" i="3"/>
  <c r="N4240" i="3" s="1"/>
  <c r="M7144" i="3"/>
  <c r="N7144" i="3" s="1"/>
  <c r="M7048" i="3"/>
  <c r="N7048" i="3" s="1"/>
  <c r="M6968" i="3"/>
  <c r="N6968" i="3" s="1"/>
  <c r="M6888" i="3"/>
  <c r="N6888" i="3" s="1"/>
  <c r="M6792" i="3"/>
  <c r="N6792" i="3" s="1"/>
  <c r="M6712" i="3"/>
  <c r="N6712" i="3" s="1"/>
  <c r="M7654" i="3"/>
  <c r="N7654" i="3" s="1"/>
  <c r="M7606" i="3"/>
  <c r="N7606" i="3" s="1"/>
  <c r="M7566" i="3"/>
  <c r="N7566" i="3" s="1"/>
  <c r="M7526" i="3"/>
  <c r="N7526" i="3" s="1"/>
  <c r="M7478" i="3"/>
  <c r="N7478" i="3" s="1"/>
  <c r="M7438" i="3"/>
  <c r="N7438" i="3" s="1"/>
  <c r="M7398" i="3"/>
  <c r="N7398" i="3" s="1"/>
  <c r="M7350" i="3"/>
  <c r="N7350" i="3" s="1"/>
  <c r="M7310" i="3"/>
  <c r="N7310" i="3" s="1"/>
  <c r="M7270" i="3"/>
  <c r="N7270" i="3" s="1"/>
  <c r="M7154" i="3"/>
  <c r="N7154" i="3" s="1"/>
  <c r="M7074" i="3"/>
  <c r="N7074" i="3" s="1"/>
  <c r="M6994" i="3"/>
  <c r="N6994" i="3" s="1"/>
  <c r="M6898" i="3"/>
  <c r="N6898" i="3" s="1"/>
  <c r="M6818" i="3"/>
  <c r="N6818" i="3" s="1"/>
  <c r="M6738" i="3"/>
  <c r="N6738" i="3" s="1"/>
  <c r="M6613" i="3"/>
  <c r="N6613" i="3" s="1"/>
  <c r="M6533" i="3"/>
  <c r="N6533" i="3" s="1"/>
  <c r="M7643" i="3"/>
  <c r="N7643" i="3" s="1"/>
  <c r="M7595" i="3"/>
  <c r="N7595" i="3" s="1"/>
  <c r="M7555" i="3"/>
  <c r="N7555" i="3" s="1"/>
  <c r="M7515" i="3"/>
  <c r="N7515" i="3" s="1"/>
  <c r="M7467" i="3"/>
  <c r="N7467" i="3" s="1"/>
  <c r="M7427" i="3"/>
  <c r="N7427" i="3" s="1"/>
  <c r="M7387" i="3"/>
  <c r="N7387" i="3" s="1"/>
  <c r="M7339" i="3"/>
  <c r="N7339" i="3" s="1"/>
  <c r="M7299" i="3"/>
  <c r="N7299" i="3" s="1"/>
  <c r="M7259" i="3"/>
  <c r="N7259" i="3" s="1"/>
  <c r="M7140" i="3"/>
  <c r="N7140" i="3" s="1"/>
  <c r="M7060" i="3"/>
  <c r="N7060" i="3" s="1"/>
  <c r="M6980" i="3"/>
  <c r="N6980" i="3" s="1"/>
  <c r="M6884" i="3"/>
  <c r="N6884" i="3" s="1"/>
  <c r="M6804" i="3"/>
  <c r="N6804" i="3" s="1"/>
  <c r="M6724" i="3"/>
  <c r="N6724" i="3" s="1"/>
  <c r="M7664" i="3"/>
  <c r="N7664" i="3" s="1"/>
  <c r="M7624" i="3"/>
  <c r="N7624" i="3" s="1"/>
  <c r="M7584" i="3"/>
  <c r="N7584" i="3" s="1"/>
  <c r="M7536" i="3"/>
  <c r="N7536" i="3" s="1"/>
  <c r="M7496" i="3"/>
  <c r="N7496" i="3" s="1"/>
  <c r="M7456" i="3"/>
  <c r="N7456" i="3" s="1"/>
  <c r="M7408" i="3"/>
  <c r="N7408" i="3" s="1"/>
  <c r="M7368" i="3"/>
  <c r="N7368" i="3" s="1"/>
  <c r="M7328" i="3"/>
  <c r="N7328" i="3" s="1"/>
  <c r="M7280" i="3"/>
  <c r="N7280" i="3" s="1"/>
  <c r="M7241" i="3"/>
  <c r="N7241" i="3" s="1"/>
  <c r="M7204" i="3"/>
  <c r="N7204" i="3" s="1"/>
  <c r="M7150" i="3"/>
  <c r="N7150" i="3" s="1"/>
  <c r="M7070" i="3"/>
  <c r="N7070" i="3" s="1"/>
  <c r="M6990" i="3"/>
  <c r="N6990" i="3" s="1"/>
  <c r="M6894" i="3"/>
  <c r="N6894" i="3" s="1"/>
  <c r="M6814" i="3"/>
  <c r="N6814" i="3" s="1"/>
  <c r="M6734" i="3"/>
  <c r="N6734" i="3" s="1"/>
  <c r="M6639" i="3"/>
  <c r="N6639" i="3" s="1"/>
  <c r="M5737" i="3"/>
  <c r="N5737" i="3" s="1"/>
  <c r="M6599" i="3"/>
  <c r="N6599" i="3" s="1"/>
  <c r="M6624" i="3"/>
  <c r="N6624" i="3" s="1"/>
  <c r="M5703" i="3"/>
  <c r="N5703" i="3" s="1"/>
  <c r="M5683" i="3"/>
  <c r="N5683" i="3" s="1"/>
  <c r="M5659" i="3"/>
  <c r="N5659" i="3" s="1"/>
  <c r="M5628" i="3"/>
  <c r="N5628" i="3" s="1"/>
  <c r="M5546" i="3"/>
  <c r="N5546" i="3" s="1"/>
  <c r="M5450" i="3"/>
  <c r="N5450" i="3" s="1"/>
  <c r="M5370" i="3"/>
  <c r="N5370" i="3" s="1"/>
  <c r="M5290" i="3"/>
  <c r="N5290" i="3" s="1"/>
  <c r="M5194" i="3"/>
  <c r="N5194" i="3" s="1"/>
  <c r="M5114" i="3"/>
  <c r="N5114" i="3" s="1"/>
  <c r="M5034" i="3"/>
  <c r="N5034" i="3" s="1"/>
  <c r="M4938" i="3"/>
  <c r="N4938" i="3" s="1"/>
  <c r="M4858" i="3"/>
  <c r="N4858" i="3" s="1"/>
  <c r="M4778" i="3"/>
  <c r="N4778" i="3" s="1"/>
  <c r="M5766" i="3"/>
  <c r="N5766" i="3" s="1"/>
  <c r="M5690" i="3"/>
  <c r="N5690" i="3" s="1"/>
  <c r="M5658" i="3"/>
  <c r="N5658" i="3" s="1"/>
  <c r="M5596" i="3"/>
  <c r="N5596" i="3" s="1"/>
  <c r="M5532" i="3"/>
  <c r="N5532" i="3" s="1"/>
  <c r="M5468" i="3"/>
  <c r="N5468" i="3" s="1"/>
  <c r="M5404" i="3"/>
  <c r="N5404" i="3" s="1"/>
  <c r="M5340" i="3"/>
  <c r="N5340" i="3" s="1"/>
  <c r="M5276" i="3"/>
  <c r="N5276" i="3" s="1"/>
  <c r="M5212" i="3"/>
  <c r="N5212" i="3" s="1"/>
  <c r="M5148" i="3"/>
  <c r="N5148" i="3" s="1"/>
  <c r="M5084" i="3"/>
  <c r="N5084" i="3" s="1"/>
  <c r="M5020" i="3"/>
  <c r="N5020" i="3" s="1"/>
  <c r="M4956" i="3"/>
  <c r="N4956" i="3" s="1"/>
  <c r="M4892" i="3"/>
  <c r="N4892" i="3" s="1"/>
  <c r="M4828" i="3"/>
  <c r="N4828" i="3" s="1"/>
  <c r="M4764" i="3"/>
  <c r="N4764" i="3" s="1"/>
  <c r="M4700" i="3"/>
  <c r="N4700" i="3" s="1"/>
  <c r="M4612" i="3"/>
  <c r="N4612" i="3" s="1"/>
  <c r="M4548" i="3"/>
  <c r="N4548" i="3" s="1"/>
  <c r="M4484" i="3"/>
  <c r="N4484" i="3" s="1"/>
  <c r="M4420" i="3"/>
  <c r="N4420" i="3" s="1"/>
  <c r="M4356" i="3"/>
  <c r="N4356" i="3" s="1"/>
  <c r="M4276" i="3"/>
  <c r="N4276" i="3" s="1"/>
  <c r="M5607" i="3"/>
  <c r="N5607" i="3" s="1"/>
  <c r="M5543" i="3"/>
  <c r="N5543" i="3" s="1"/>
  <c r="M5479" i="3"/>
  <c r="N5479" i="3" s="1"/>
  <c r="M5415" i="3"/>
  <c r="N5415" i="3" s="1"/>
  <c r="M5351" i="3"/>
  <c r="N5351" i="3" s="1"/>
  <c r="M5287" i="3"/>
  <c r="N5287" i="3" s="1"/>
  <c r="M5223" i="3"/>
  <c r="N5223" i="3" s="1"/>
  <c r="M5159" i="3"/>
  <c r="N5159" i="3" s="1"/>
  <c r="M5095" i="3"/>
  <c r="N5095" i="3" s="1"/>
  <c r="M5031" i="3"/>
  <c r="N5031" i="3" s="1"/>
  <c r="M4967" i="3"/>
  <c r="N4967" i="3" s="1"/>
  <c r="M4903" i="3"/>
  <c r="N4903" i="3" s="1"/>
  <c r="M4839" i="3"/>
  <c r="N4839" i="3" s="1"/>
  <c r="M4775" i="3"/>
  <c r="N4775" i="3" s="1"/>
  <c r="M4711" i="3"/>
  <c r="N4711" i="3" s="1"/>
  <c r="M5640" i="3"/>
  <c r="N5640" i="3" s="1"/>
  <c r="M5584" i="3"/>
  <c r="N5584" i="3" s="1"/>
  <c r="M5520" i="3"/>
  <c r="N5520" i="3" s="1"/>
  <c r="M5456" i="3"/>
  <c r="N5456" i="3" s="1"/>
  <c r="M5392" i="3"/>
  <c r="N5392" i="3" s="1"/>
  <c r="M5328" i="3"/>
  <c r="N5328" i="3" s="1"/>
  <c r="M5264" i="3"/>
  <c r="N5264" i="3" s="1"/>
  <c r="M5200" i="3"/>
  <c r="N5200" i="3" s="1"/>
  <c r="M5136" i="3"/>
  <c r="N5136" i="3" s="1"/>
  <c r="M5072" i="3"/>
  <c r="N5072" i="3" s="1"/>
  <c r="M5008" i="3"/>
  <c r="N5008" i="3" s="1"/>
  <c r="M4944" i="3"/>
  <c r="N4944" i="3" s="1"/>
  <c r="M4880" i="3"/>
  <c r="N4880" i="3" s="1"/>
  <c r="M4816" i="3"/>
  <c r="N4816" i="3" s="1"/>
  <c r="M4752" i="3"/>
  <c r="N4752" i="3" s="1"/>
  <c r="M4674" i="3"/>
  <c r="N4674" i="3" s="1"/>
  <c r="M4219" i="3"/>
  <c r="N4219" i="3" s="1"/>
  <c r="M4155" i="3"/>
  <c r="N4155" i="3" s="1"/>
  <c r="M4091" i="3"/>
  <c r="N4091" i="3" s="1"/>
  <c r="M4027" i="3"/>
  <c r="N4027" i="3" s="1"/>
  <c r="M3963" i="3"/>
  <c r="N3963" i="3" s="1"/>
  <c r="M3899" i="3"/>
  <c r="N3899" i="3" s="1"/>
  <c r="M4687" i="3"/>
  <c r="N4687" i="3" s="1"/>
  <c r="M4252" i="3"/>
  <c r="N4252" i="3" s="1"/>
  <c r="M4188" i="3"/>
  <c r="N4188" i="3" s="1"/>
  <c r="M4124" i="3"/>
  <c r="N4124" i="3" s="1"/>
  <c r="M4060" i="3"/>
  <c r="N4060" i="3" s="1"/>
  <c r="M3996" i="3"/>
  <c r="N3996" i="3" s="1"/>
  <c r="M3932" i="3"/>
  <c r="N3932" i="3" s="1"/>
  <c r="M3868" i="3"/>
  <c r="N3868" i="3" s="1"/>
  <c r="M4677" i="3"/>
  <c r="N4677" i="3" s="1"/>
  <c r="M4217" i="3"/>
  <c r="N4217" i="3" s="1"/>
  <c r="M4153" i="3"/>
  <c r="N4153" i="3" s="1"/>
  <c r="M4089" i="3"/>
  <c r="N4089" i="3" s="1"/>
  <c r="M4025" i="3"/>
  <c r="N4025" i="3" s="1"/>
  <c r="M3961" i="3"/>
  <c r="N3961" i="3" s="1"/>
  <c r="M3897" i="3"/>
  <c r="N3897" i="3" s="1"/>
  <c r="M4696" i="3"/>
  <c r="N4696" i="3" s="1"/>
  <c r="M7641" i="3"/>
  <c r="N7641" i="3" s="1"/>
  <c r="M7609" i="3"/>
  <c r="N7609" i="3" s="1"/>
  <c r="M7577" i="3"/>
  <c r="N7577" i="3" s="1"/>
  <c r="M7545" i="3"/>
  <c r="N7545" i="3" s="1"/>
  <c r="M7513" i="3"/>
  <c r="N7513" i="3" s="1"/>
  <c r="M7481" i="3"/>
  <c r="N7481" i="3" s="1"/>
  <c r="M7449" i="3"/>
  <c r="N7449" i="3" s="1"/>
  <c r="M7417" i="3"/>
  <c r="N7417" i="3" s="1"/>
  <c r="M7385" i="3"/>
  <c r="N7385" i="3" s="1"/>
  <c r="M7353" i="3"/>
  <c r="N7353" i="3" s="1"/>
  <c r="M7321" i="3"/>
  <c r="N7321" i="3" s="1"/>
  <c r="M7289" i="3"/>
  <c r="N7289" i="3" s="1"/>
  <c r="M7257" i="3"/>
  <c r="N7257" i="3" s="1"/>
  <c r="M7159" i="3"/>
  <c r="N7159" i="3" s="1"/>
  <c r="M7095" i="3"/>
  <c r="N7095" i="3" s="1"/>
  <c r="M7031" i="3"/>
  <c r="N7031" i="3" s="1"/>
  <c r="M6967" i="3"/>
  <c r="N6967" i="3" s="1"/>
  <c r="M6903" i="3"/>
  <c r="N6903" i="3" s="1"/>
  <c r="M6839" i="3"/>
  <c r="N6839" i="3" s="1"/>
  <c r="M6775" i="3"/>
  <c r="N6775" i="3" s="1"/>
  <c r="M6711" i="3"/>
  <c r="N6711" i="3" s="1"/>
  <c r="M6647" i="3"/>
  <c r="N6647" i="3" s="1"/>
  <c r="M7185" i="3"/>
  <c r="N7185" i="3" s="1"/>
  <c r="M7121" i="3"/>
  <c r="N7121" i="3" s="1"/>
  <c r="M7057" i="3"/>
  <c r="N7057" i="3" s="1"/>
  <c r="M6993" i="3"/>
  <c r="N6993" i="3" s="1"/>
  <c r="M6929" i="3"/>
  <c r="N6929" i="3" s="1"/>
  <c r="M6865" i="3"/>
  <c r="N6865" i="3" s="1"/>
  <c r="M6801" i="3"/>
  <c r="N6801" i="3" s="1"/>
  <c r="M6737" i="3"/>
  <c r="N6737" i="3" s="1"/>
  <c r="M6673" i="3"/>
  <c r="N6673" i="3" s="1"/>
  <c r="M6577" i="3"/>
  <c r="N6577" i="3" s="1"/>
  <c r="M6513" i="3"/>
  <c r="N6513" i="3" s="1"/>
  <c r="M7171" i="3"/>
  <c r="N7171" i="3" s="1"/>
  <c r="M7107" i="3"/>
  <c r="N7107" i="3" s="1"/>
  <c r="M7043" i="3"/>
  <c r="N7043" i="3" s="1"/>
  <c r="M6979" i="3"/>
  <c r="N6979" i="3" s="1"/>
  <c r="M6915" i="3"/>
  <c r="N6915" i="3" s="1"/>
  <c r="M6851" i="3"/>
  <c r="N6851" i="3" s="1"/>
  <c r="M6787" i="3"/>
  <c r="N6787" i="3" s="1"/>
  <c r="M6723" i="3"/>
  <c r="N6723" i="3" s="1"/>
  <c r="M6659" i="3"/>
  <c r="N6659" i="3" s="1"/>
  <c r="M7203" i="3"/>
  <c r="N7203" i="3" s="1"/>
  <c r="M7181" i="3"/>
  <c r="N7181" i="3" s="1"/>
  <c r="M7117" i="3"/>
  <c r="N7117" i="3" s="1"/>
  <c r="M7053" i="3"/>
  <c r="N7053" i="3" s="1"/>
  <c r="M6989" i="3"/>
  <c r="N6989" i="3" s="1"/>
  <c r="M6925" i="3"/>
  <c r="N6925" i="3" s="1"/>
  <c r="M6861" i="3"/>
  <c r="N6861" i="3" s="1"/>
  <c r="M6797" i="3"/>
  <c r="N6797" i="3" s="1"/>
  <c r="M6733" i="3"/>
  <c r="N6733" i="3" s="1"/>
  <c r="M6669" i="3"/>
  <c r="N6669" i="3" s="1"/>
  <c r="M6637" i="3"/>
  <c r="N6637" i="3" s="1"/>
  <c r="M6505" i="3"/>
  <c r="N6505" i="3" s="1"/>
  <c r="M6473" i="3"/>
  <c r="N6473" i="3" s="1"/>
  <c r="M6441" i="3"/>
  <c r="N6441" i="3" s="1"/>
  <c r="M6409" i="3"/>
  <c r="N6409" i="3" s="1"/>
  <c r="M6377" i="3"/>
  <c r="N6377" i="3" s="1"/>
  <c r="M6345" i="3"/>
  <c r="N6345" i="3" s="1"/>
  <c r="M6313" i="3"/>
  <c r="N6313" i="3" s="1"/>
  <c r="M6281" i="3"/>
  <c r="N6281" i="3" s="1"/>
  <c r="M6249" i="3"/>
  <c r="N6249" i="3" s="1"/>
  <c r="M6217" i="3"/>
  <c r="N6217" i="3" s="1"/>
  <c r="M6185" i="3"/>
  <c r="N6185" i="3" s="1"/>
  <c r="M6153" i="3"/>
  <c r="N6153" i="3" s="1"/>
  <c r="M6121" i="3"/>
  <c r="N6121" i="3" s="1"/>
  <c r="M6089" i="3"/>
  <c r="N6089" i="3" s="1"/>
  <c r="M6057" i="3"/>
  <c r="N6057" i="3" s="1"/>
  <c r="M6025" i="3"/>
  <c r="N6025" i="3" s="1"/>
  <c r="M5993" i="3"/>
  <c r="N5993" i="3" s="1"/>
  <c r="M5961" i="3"/>
  <c r="N5961" i="3" s="1"/>
  <c r="M5929" i="3"/>
  <c r="N5929" i="3" s="1"/>
  <c r="M5897" i="3"/>
  <c r="N5897" i="3" s="1"/>
  <c r="M5865" i="3"/>
  <c r="N5865" i="3" s="1"/>
  <c r="M5833" i="3"/>
  <c r="N5833" i="3" s="1"/>
  <c r="M5801" i="3"/>
  <c r="N5801" i="3" s="1"/>
  <c r="M6632" i="3"/>
  <c r="N6632" i="3" s="1"/>
  <c r="M6563" i="3"/>
  <c r="N6563" i="3" s="1"/>
  <c r="M6531" i="3"/>
  <c r="N6531" i="3" s="1"/>
  <c r="M6499" i="3"/>
  <c r="N6499" i="3" s="1"/>
  <c r="M6467" i="3"/>
  <c r="N6467" i="3" s="1"/>
  <c r="M6435" i="3"/>
  <c r="N6435" i="3" s="1"/>
  <c r="M6403" i="3"/>
  <c r="N6403" i="3" s="1"/>
  <c r="M6371" i="3"/>
  <c r="N6371" i="3" s="1"/>
  <c r="M6339" i="3"/>
  <c r="N6339" i="3" s="1"/>
  <c r="M6307" i="3"/>
  <c r="N6307" i="3" s="1"/>
  <c r="M6275" i="3"/>
  <c r="N6275" i="3" s="1"/>
  <c r="M6243" i="3"/>
  <c r="N6243" i="3" s="1"/>
  <c r="M6211" i="3"/>
  <c r="N6211" i="3" s="1"/>
  <c r="M6179" i="3"/>
  <c r="N6179" i="3" s="1"/>
  <c r="M6147" i="3"/>
  <c r="N6147" i="3" s="1"/>
  <c r="M6115" i="3"/>
  <c r="N6115" i="3" s="1"/>
  <c r="M6083" i="3"/>
  <c r="N6083" i="3" s="1"/>
  <c r="M6051" i="3"/>
  <c r="N6051" i="3" s="1"/>
  <c r="M6019" i="3"/>
  <c r="N6019" i="3" s="1"/>
  <c r="M5987" i="3"/>
  <c r="N5987" i="3" s="1"/>
  <c r="M5955" i="3"/>
  <c r="N5955" i="3" s="1"/>
  <c r="M5923" i="3"/>
  <c r="N5923" i="3" s="1"/>
  <c r="M5891" i="3"/>
  <c r="N5891" i="3" s="1"/>
  <c r="M5859" i="3"/>
  <c r="N5859" i="3" s="1"/>
  <c r="M5827" i="3"/>
  <c r="N5827" i="3" s="1"/>
  <c r="M5773" i="3"/>
  <c r="N5773" i="3" s="1"/>
  <c r="M5587" i="3"/>
  <c r="N5587" i="3" s="1"/>
  <c r="M5523" i="3"/>
  <c r="N5523" i="3" s="1"/>
  <c r="M5459" i="3"/>
  <c r="N5459" i="3" s="1"/>
  <c r="M5395" i="3"/>
  <c r="N5395" i="3" s="1"/>
  <c r="M5331" i="3"/>
  <c r="N5331" i="3" s="1"/>
  <c r="M5267" i="3"/>
  <c r="N5267" i="3" s="1"/>
  <c r="M5203" i="3"/>
  <c r="N5203" i="3" s="1"/>
  <c r="M5139" i="3"/>
  <c r="N5139" i="3" s="1"/>
  <c r="M5075" i="3"/>
  <c r="N5075" i="3" s="1"/>
  <c r="M5011" i="3"/>
  <c r="N5011" i="3" s="1"/>
  <c r="M4947" i="3"/>
  <c r="N4947" i="3" s="1"/>
  <c r="M4883" i="3"/>
  <c r="N4883" i="3" s="1"/>
  <c r="M4819" i="3"/>
  <c r="N4819" i="3" s="1"/>
  <c r="M4755" i="3"/>
  <c r="N4755" i="3" s="1"/>
  <c r="M5790" i="3"/>
  <c r="N5790" i="3" s="1"/>
  <c r="M5704" i="3"/>
  <c r="N5704" i="3" s="1"/>
  <c r="M5672" i="3"/>
  <c r="N5672" i="3" s="1"/>
  <c r="M5634" i="3"/>
  <c r="N5634" i="3" s="1"/>
  <c r="M5573" i="3"/>
  <c r="N5573" i="3" s="1"/>
  <c r="M5509" i="3"/>
  <c r="N5509" i="3" s="1"/>
  <c r="M5445" i="3"/>
  <c r="N5445" i="3" s="1"/>
  <c r="M5381" i="3"/>
  <c r="N5381" i="3" s="1"/>
  <c r="M5317" i="3"/>
  <c r="N5317" i="3" s="1"/>
  <c r="M5253" i="3"/>
  <c r="N5253" i="3" s="1"/>
  <c r="M5189" i="3"/>
  <c r="N5189" i="3" s="1"/>
  <c r="M5125" i="3"/>
  <c r="N5125" i="3" s="1"/>
  <c r="M5061" i="3"/>
  <c r="N5061" i="3" s="1"/>
  <c r="M4997" i="3"/>
  <c r="N4997" i="3" s="1"/>
  <c r="M4933" i="3"/>
  <c r="N4933" i="3" s="1"/>
  <c r="M4869" i="3"/>
  <c r="N4869" i="3" s="1"/>
  <c r="M4805" i="3"/>
  <c r="N4805" i="3" s="1"/>
  <c r="M4741" i="3"/>
  <c r="N4741" i="3" s="1"/>
  <c r="M4656" i="3"/>
  <c r="N4656" i="3" s="1"/>
  <c r="M4592" i="3"/>
  <c r="N4592" i="3" s="1"/>
  <c r="M4528" i="3"/>
  <c r="N4528" i="3" s="1"/>
  <c r="M4464" i="3"/>
  <c r="N4464" i="3" s="1"/>
  <c r="M4400" i="3"/>
  <c r="N4400" i="3" s="1"/>
  <c r="M4336" i="3"/>
  <c r="N4336" i="3" s="1"/>
  <c r="M5606" i="3"/>
  <c r="N5606" i="3" s="1"/>
  <c r="M5542" i="3"/>
  <c r="N5542" i="3" s="1"/>
  <c r="M5478" i="3"/>
  <c r="N5478" i="3" s="1"/>
  <c r="M5414" i="3"/>
  <c r="N5414" i="3" s="1"/>
  <c r="M5350" i="3"/>
  <c r="N5350" i="3" s="1"/>
  <c r="M5286" i="3"/>
  <c r="N5286" i="3" s="1"/>
  <c r="M5222" i="3"/>
  <c r="N5222" i="3" s="1"/>
  <c r="M5158" i="3"/>
  <c r="N5158" i="3" s="1"/>
  <c r="M5094" i="3"/>
  <c r="N5094" i="3" s="1"/>
  <c r="M5030" i="3"/>
  <c r="N5030" i="3" s="1"/>
  <c r="M4966" i="3"/>
  <c r="N4966" i="3" s="1"/>
  <c r="M4902" i="3"/>
  <c r="N4902" i="3" s="1"/>
  <c r="M4838" i="3"/>
  <c r="N4838" i="3" s="1"/>
  <c r="M4774" i="3"/>
  <c r="N4774" i="3" s="1"/>
  <c r="M4710" i="3"/>
  <c r="N4710" i="3" s="1"/>
  <c r="M5643" i="3"/>
  <c r="N5643" i="3" s="1"/>
  <c r="M5561" i="3"/>
  <c r="N5561" i="3" s="1"/>
  <c r="M5497" i="3"/>
  <c r="N5497" i="3" s="1"/>
  <c r="M5433" i="3"/>
  <c r="N5433" i="3" s="1"/>
  <c r="M5369" i="3"/>
  <c r="N5369" i="3" s="1"/>
  <c r="M5305" i="3"/>
  <c r="N5305" i="3" s="1"/>
  <c r="M5241" i="3"/>
  <c r="N5241" i="3" s="1"/>
  <c r="M5177" i="3"/>
  <c r="N5177" i="3" s="1"/>
  <c r="M5113" i="3"/>
  <c r="N5113" i="3" s="1"/>
  <c r="M5049" i="3"/>
  <c r="N5049" i="3" s="1"/>
  <c r="M4985" i="3"/>
  <c r="N4985" i="3" s="1"/>
  <c r="M4921" i="3"/>
  <c r="N4921" i="3" s="1"/>
  <c r="M4857" i="3"/>
  <c r="N4857" i="3" s="1"/>
  <c r="M4793" i="3"/>
  <c r="N4793" i="3" s="1"/>
  <c r="M4729" i="3"/>
  <c r="N4729" i="3" s="1"/>
  <c r="M4263" i="3"/>
  <c r="N4263" i="3" s="1"/>
  <c r="M4199" i="3"/>
  <c r="N4199" i="3" s="1"/>
  <c r="M4135" i="3"/>
  <c r="N4135" i="3" s="1"/>
  <c r="M4071" i="3"/>
  <c r="N4071" i="3" s="1"/>
  <c r="M4007" i="3"/>
  <c r="N4007" i="3" s="1"/>
  <c r="M3943" i="3"/>
  <c r="N3943" i="3" s="1"/>
  <c r="M3879" i="3"/>
  <c r="N3879" i="3" s="1"/>
  <c r="M4394" i="3"/>
  <c r="N4394" i="3" s="1"/>
  <c r="M4338" i="3"/>
  <c r="N4338" i="3" s="1"/>
  <c r="M4306" i="3"/>
  <c r="N4306" i="3" s="1"/>
  <c r="M4274" i="3"/>
  <c r="N4274" i="3" s="1"/>
  <c r="M4216" i="3"/>
  <c r="N4216" i="3" s="1"/>
  <c r="M4152" i="3"/>
  <c r="N4152" i="3" s="1"/>
  <c r="M4088" i="3"/>
  <c r="N4088" i="3" s="1"/>
  <c r="M4160" i="3"/>
  <c r="N4160" i="3" s="1"/>
  <c r="M3976" i="3"/>
  <c r="N3976" i="3" s="1"/>
  <c r="M3848" i="3"/>
  <c r="N3848" i="3" s="1"/>
  <c r="M4197" i="3"/>
  <c r="N4197" i="3" s="1"/>
  <c r="M4069" i="3"/>
  <c r="N4069" i="3" s="1"/>
  <c r="M3941" i="3"/>
  <c r="N3941" i="3" s="1"/>
  <c r="M4694" i="3"/>
  <c r="N4694" i="3" s="1"/>
  <c r="M4542" i="3"/>
  <c r="N4542" i="3" s="1"/>
  <c r="M4510" i="3"/>
  <c r="N4510" i="3" s="1"/>
  <c r="M4478" i="3"/>
  <c r="N4478" i="3" s="1"/>
  <c r="M4446" i="3"/>
  <c r="N4446" i="3" s="1"/>
  <c r="M4414" i="3"/>
  <c r="N4414" i="3" s="1"/>
  <c r="M4238" i="3"/>
  <c r="N4238" i="3" s="1"/>
  <c r="M4174" i="3"/>
  <c r="N4174" i="3" s="1"/>
  <c r="M4110" i="3"/>
  <c r="N4110" i="3" s="1"/>
  <c r="M4046" i="3"/>
  <c r="N4046" i="3" s="1"/>
  <c r="M3982" i="3"/>
  <c r="N3982" i="3" s="1"/>
  <c r="M3918" i="3"/>
  <c r="N3918" i="3" s="1"/>
  <c r="M3854" i="3"/>
  <c r="N3854" i="3" s="1"/>
  <c r="M3685" i="3"/>
  <c r="N3685" i="3" s="1"/>
  <c r="M3621" i="3"/>
  <c r="N3621" i="3" s="1"/>
  <c r="M3701" i="3"/>
  <c r="N3701" i="3" s="1"/>
  <c r="M3625" i="3"/>
  <c r="N3625" i="3" s="1"/>
  <c r="M3446" i="3"/>
  <c r="N3446" i="3" s="1"/>
  <c r="M3570" i="3"/>
  <c r="N3570" i="3" s="1"/>
  <c r="M3440" i="3"/>
  <c r="N3440" i="3" s="1"/>
  <c r="M3408" i="3"/>
  <c r="N3408" i="3" s="1"/>
  <c r="M3376" i="3"/>
  <c r="N3376" i="3" s="1"/>
  <c r="M3344" i="3"/>
  <c r="N3344" i="3" s="1"/>
  <c r="M3312" i="3"/>
  <c r="N3312" i="3" s="1"/>
  <c r="M3280" i="3"/>
  <c r="N3280" i="3" s="1"/>
  <c r="M3248" i="3"/>
  <c r="N3248" i="3" s="1"/>
  <c r="M3216" i="3"/>
  <c r="N3216" i="3" s="1"/>
  <c r="M3536" i="3"/>
  <c r="N3536" i="3" s="1"/>
  <c r="M3558" i="3"/>
  <c r="N3558" i="3" s="1"/>
  <c r="M3667" i="3"/>
  <c r="N3667" i="3" s="1"/>
  <c r="M3603" i="3"/>
  <c r="N3603" i="3" s="1"/>
  <c r="M3532" i="3"/>
  <c r="N3532" i="3" s="1"/>
  <c r="M2611" i="3"/>
  <c r="N2611" i="3" s="1"/>
  <c r="M2556" i="3"/>
  <c r="N2556" i="3" s="1"/>
  <c r="M2451" i="3"/>
  <c r="N2451" i="3" s="1"/>
  <c r="M2542" i="3"/>
  <c r="N2542" i="3" s="1"/>
  <c r="M2485" i="3"/>
  <c r="N2485" i="3" s="1"/>
  <c r="M2421" i="3"/>
  <c r="N2421" i="3" s="1"/>
  <c r="M2278" i="3"/>
  <c r="N2278" i="3" s="1"/>
  <c r="M3121" i="3"/>
  <c r="N3121" i="3" s="1"/>
  <c r="M3057" i="3"/>
  <c r="N3057" i="3" s="1"/>
  <c r="M2993" i="3"/>
  <c r="N2993" i="3" s="1"/>
  <c r="M2929" i="3"/>
  <c r="N2929" i="3" s="1"/>
  <c r="M2865" i="3"/>
  <c r="N2865" i="3" s="1"/>
  <c r="M2801" i="3"/>
  <c r="N2801" i="3" s="1"/>
  <c r="M2737" i="3"/>
  <c r="N2737" i="3" s="1"/>
  <c r="M2673" i="3"/>
  <c r="N2673" i="3" s="1"/>
  <c r="M2607" i="3"/>
  <c r="N2607" i="3" s="1"/>
  <c r="M2548" i="3"/>
  <c r="N2548" i="3" s="1"/>
  <c r="M2447" i="3"/>
  <c r="N2447" i="3" s="1"/>
  <c r="M3156" i="3"/>
  <c r="N3156" i="3" s="1"/>
  <c r="M3124" i="3"/>
  <c r="N3124" i="3" s="1"/>
  <c r="M3092" i="3"/>
  <c r="N3092" i="3" s="1"/>
  <c r="M3060" i="3"/>
  <c r="N3060" i="3" s="1"/>
  <c r="M3028" i="3"/>
  <c r="N3028" i="3" s="1"/>
  <c r="M2996" i="3"/>
  <c r="N2996" i="3" s="1"/>
  <c r="M2964" i="3"/>
  <c r="N2964" i="3" s="1"/>
  <c r="M2932" i="3"/>
  <c r="N2932" i="3" s="1"/>
  <c r="M2900" i="3"/>
  <c r="N2900" i="3" s="1"/>
  <c r="M2868" i="3"/>
  <c r="N2868" i="3" s="1"/>
  <c r="M2836" i="3"/>
  <c r="N2836" i="3" s="1"/>
  <c r="M2804" i="3"/>
  <c r="N2804" i="3" s="1"/>
  <c r="M2772" i="3"/>
  <c r="N2772" i="3" s="1"/>
  <c r="M2740" i="3"/>
  <c r="N2740" i="3" s="1"/>
  <c r="M2708" i="3"/>
  <c r="N2708" i="3" s="1"/>
  <c r="M2676" i="3"/>
  <c r="N2676" i="3" s="1"/>
  <c r="M2644" i="3"/>
  <c r="N2644" i="3" s="1"/>
  <c r="M2612" i="3"/>
  <c r="N2612" i="3" s="1"/>
  <c r="M2580" i="3"/>
  <c r="N2580" i="3" s="1"/>
  <c r="M2547" i="3"/>
  <c r="N2547" i="3" s="1"/>
  <c r="M2481" i="3"/>
  <c r="N2481" i="3" s="1"/>
  <c r="M2417" i="3"/>
  <c r="N2417" i="3" s="1"/>
  <c r="M2280" i="3"/>
  <c r="N2280" i="3" s="1"/>
  <c r="M2536" i="3"/>
  <c r="N2536" i="3" s="1"/>
  <c r="M2472" i="3"/>
  <c r="N2472" i="3" s="1"/>
  <c r="M2409" i="3"/>
  <c r="N2409" i="3" s="1"/>
  <c r="M2368" i="3"/>
  <c r="N2368" i="3" s="1"/>
  <c r="M2320" i="3"/>
  <c r="N2320" i="3" s="1"/>
  <c r="M2256" i="3"/>
  <c r="N2256" i="3" s="1"/>
  <c r="M2192" i="3"/>
  <c r="N2192" i="3" s="1"/>
  <c r="M2128" i="3"/>
  <c r="N2128" i="3" s="1"/>
  <c r="M1985" i="3"/>
  <c r="N1985" i="3" s="1"/>
  <c r="M2102" i="3"/>
  <c r="N2102" i="3" s="1"/>
  <c r="M2086" i="3"/>
  <c r="N2086" i="3" s="1"/>
  <c r="M2070" i="3"/>
  <c r="N2070" i="3" s="1"/>
  <c r="M2054" i="3"/>
  <c r="N2054" i="3" s="1"/>
  <c r="M2038" i="3"/>
  <c r="N2038" i="3" s="1"/>
  <c r="M2022" i="3"/>
  <c r="N2022" i="3" s="1"/>
  <c r="M2006" i="3"/>
  <c r="N2006" i="3" s="1"/>
  <c r="M1986" i="3"/>
  <c r="N1986" i="3" s="1"/>
  <c r="M1954" i="3"/>
  <c r="N1954" i="3" s="1"/>
  <c r="M1836" i="3"/>
  <c r="N1836" i="3" s="1"/>
  <c r="M1804" i="3"/>
  <c r="N1804" i="3" s="1"/>
  <c r="M1726" i="3"/>
  <c r="N1726" i="3" s="1"/>
  <c r="M1577" i="3"/>
  <c r="N1577" i="3" s="1"/>
  <c r="M1344" i="3"/>
  <c r="N1344" i="3" s="1"/>
  <c r="M1789" i="3"/>
  <c r="N1789" i="3" s="1"/>
  <c r="M1625" i="3"/>
  <c r="N1625" i="3" s="1"/>
  <c r="M1735" i="3"/>
  <c r="N1735" i="3" s="1"/>
  <c r="M1440" i="3"/>
  <c r="N1440" i="3" s="1"/>
  <c r="M1906" i="3"/>
  <c r="N1906" i="3" s="1"/>
  <c r="M1865" i="3"/>
  <c r="N1865" i="3" s="1"/>
  <c r="M1801" i="3"/>
  <c r="N1801" i="3" s="1"/>
  <c r="M1342" i="3"/>
  <c r="N1342" i="3" s="1"/>
  <c r="M1752" i="3"/>
  <c r="N1752" i="3" s="1"/>
  <c r="M1714" i="3"/>
  <c r="N1714" i="3" s="1"/>
  <c r="M1677" i="3"/>
  <c r="N1677" i="3" s="1"/>
  <c r="M1631" i="3"/>
  <c r="N1631" i="3" s="1"/>
  <c r="M1586" i="3"/>
  <c r="N1586" i="3" s="1"/>
  <c r="M1549" i="3"/>
  <c r="N1549" i="3" s="1"/>
  <c r="M1715" i="3"/>
  <c r="N1715" i="3" s="1"/>
  <c r="M1670" i="3"/>
  <c r="N1670" i="3" s="1"/>
  <c r="M1633" i="3"/>
  <c r="N1633" i="3" s="1"/>
  <c r="M1587" i="3"/>
  <c r="N1587" i="3" s="1"/>
  <c r="M1542" i="3"/>
  <c r="N1542" i="3" s="1"/>
  <c r="M1170" i="3"/>
  <c r="N1170" i="3" s="1"/>
  <c r="M991" i="3"/>
  <c r="N991" i="3" s="1"/>
  <c r="M1688" i="3"/>
  <c r="N1688" i="3" s="1"/>
  <c r="M1560" i="3"/>
  <c r="N1560" i="3" s="1"/>
  <c r="M1297" i="3"/>
  <c r="N1297" i="3" s="1"/>
  <c r="M1177" i="3"/>
  <c r="N1177" i="3" s="1"/>
  <c r="M1226" i="3"/>
  <c r="N1226" i="3" s="1"/>
  <c r="M890" i="3"/>
  <c r="N890" i="3" s="1"/>
  <c r="M1198" i="3"/>
  <c r="N1198" i="3" s="1"/>
  <c r="M1101" i="3"/>
  <c r="N1101" i="3" s="1"/>
  <c r="M1069" i="3"/>
  <c r="N1069" i="3" s="1"/>
  <c r="M1037" i="3"/>
  <c r="N1037" i="3" s="1"/>
  <c r="M1005" i="3"/>
  <c r="N1005" i="3" s="1"/>
  <c r="M973" i="3"/>
  <c r="N973" i="3" s="1"/>
  <c r="M941" i="3"/>
  <c r="N941" i="3" s="1"/>
  <c r="M877" i="3"/>
  <c r="N877" i="3" s="1"/>
  <c r="M820" i="3"/>
  <c r="N820" i="3" s="1"/>
  <c r="M788" i="3"/>
  <c r="N788" i="3" s="1"/>
  <c r="M756" i="3"/>
  <c r="N756" i="3" s="1"/>
  <c r="M724" i="3"/>
  <c r="N724" i="3" s="1"/>
  <c r="M692" i="3"/>
  <c r="N692" i="3" s="1"/>
  <c r="M573" i="3"/>
  <c r="N573" i="3" s="1"/>
  <c r="M669" i="3"/>
  <c r="N669" i="3" s="1"/>
  <c r="M602" i="3"/>
  <c r="N602" i="3" s="1"/>
  <c r="M625" i="3"/>
  <c r="N625" i="3" s="1"/>
  <c r="M614" i="3"/>
  <c r="N614" i="3" s="1"/>
  <c r="M550" i="3"/>
  <c r="N550" i="3" s="1"/>
  <c r="M486" i="3"/>
  <c r="N486" i="3" s="1"/>
  <c r="M422" i="3"/>
  <c r="N422" i="3" s="1"/>
  <c r="M286" i="3"/>
  <c r="N286" i="3" s="1"/>
  <c r="M4032" i="3"/>
  <c r="N4032" i="3" s="1"/>
  <c r="M3904" i="3"/>
  <c r="N3904" i="3" s="1"/>
  <c r="M4221" i="3"/>
  <c r="N4221" i="3" s="1"/>
  <c r="M4093" i="3"/>
  <c r="N4093" i="3" s="1"/>
  <c r="M3965" i="3"/>
  <c r="N3965" i="3" s="1"/>
  <c r="M4675" i="3"/>
  <c r="N4675" i="3" s="1"/>
  <c r="M4390" i="3"/>
  <c r="N4390" i="3" s="1"/>
  <c r="M4334" i="3"/>
  <c r="N4334" i="3" s="1"/>
  <c r="M4302" i="3"/>
  <c r="N4302" i="3" s="1"/>
  <c r="M4266" i="3"/>
  <c r="N4266" i="3" s="1"/>
  <c r="M4202" i="3"/>
  <c r="N4202" i="3" s="1"/>
  <c r="M4138" i="3"/>
  <c r="N4138" i="3" s="1"/>
  <c r="M4074" i="3"/>
  <c r="N4074" i="3" s="1"/>
  <c r="M4010" i="3"/>
  <c r="N4010" i="3" s="1"/>
  <c r="M3946" i="3"/>
  <c r="N3946" i="3" s="1"/>
  <c r="M3882" i="3"/>
  <c r="N3882" i="3" s="1"/>
  <c r="M3692" i="3"/>
  <c r="N3692" i="3" s="1"/>
  <c r="M3652" i="3"/>
  <c r="N3652" i="3" s="1"/>
  <c r="M3678" i="3"/>
  <c r="N3678" i="3" s="1"/>
  <c r="M3672" i="3"/>
  <c r="N3672" i="3" s="1"/>
  <c r="M3608" i="3"/>
  <c r="N3608" i="3" s="1"/>
  <c r="M3650" i="3"/>
  <c r="N3650" i="3" s="1"/>
  <c r="M3569" i="3"/>
  <c r="N3569" i="3" s="1"/>
  <c r="M3567" i="3"/>
  <c r="N3567" i="3" s="1"/>
  <c r="M3566" i="3"/>
  <c r="N3566" i="3" s="1"/>
  <c r="M3512" i="3"/>
  <c r="N3512" i="3" s="1"/>
  <c r="M3480" i="3"/>
  <c r="N3480" i="3" s="1"/>
  <c r="M3448" i="3"/>
  <c r="N3448" i="3" s="1"/>
  <c r="M3418" i="3"/>
  <c r="N3418" i="3" s="1"/>
  <c r="M3386" i="3"/>
  <c r="N3386" i="3" s="1"/>
  <c r="M3631" i="3"/>
  <c r="N3631" i="3" s="1"/>
  <c r="M3563" i="3"/>
  <c r="N3563" i="3" s="1"/>
  <c r="M3458" i="3"/>
  <c r="N3458" i="3" s="1"/>
  <c r="M3109" i="3"/>
  <c r="N3109" i="3" s="1"/>
  <c r="M3045" i="3"/>
  <c r="N3045" i="3" s="1"/>
  <c r="M2981" i="3"/>
  <c r="N2981" i="3" s="1"/>
  <c r="M2917" i="3"/>
  <c r="N2917" i="3" s="1"/>
  <c r="M2853" i="3"/>
  <c r="N2853" i="3" s="1"/>
  <c r="M2789" i="3"/>
  <c r="N2789" i="3" s="1"/>
  <c r="M2725" i="3"/>
  <c r="N2725" i="3" s="1"/>
  <c r="M2661" i="3"/>
  <c r="N2661" i="3" s="1"/>
  <c r="M2605" i="3"/>
  <c r="N2605" i="3" s="1"/>
  <c r="M2539" i="3"/>
  <c r="N2539" i="3" s="1"/>
  <c r="M2413" i="3"/>
  <c r="N2413" i="3" s="1"/>
  <c r="M3160" i="3"/>
  <c r="N3160" i="3" s="1"/>
  <c r="M3128" i="3"/>
  <c r="N3128" i="3" s="1"/>
  <c r="M3096" i="3"/>
  <c r="N3096" i="3" s="1"/>
  <c r="M3064" i="3"/>
  <c r="N3064" i="3" s="1"/>
  <c r="M3032" i="3"/>
  <c r="N3032" i="3" s="1"/>
  <c r="M3000" i="3"/>
  <c r="N3000" i="3" s="1"/>
  <c r="M2968" i="3"/>
  <c r="N2968" i="3" s="1"/>
  <c r="M2936" i="3"/>
  <c r="N2936" i="3" s="1"/>
  <c r="M2904" i="3"/>
  <c r="N2904" i="3" s="1"/>
  <c r="M2872" i="3"/>
  <c r="N2872" i="3" s="1"/>
  <c r="M2840" i="3"/>
  <c r="N2840" i="3" s="1"/>
  <c r="M2808" i="3"/>
  <c r="N2808" i="3" s="1"/>
  <c r="M2776" i="3"/>
  <c r="N2776" i="3" s="1"/>
  <c r="M2744" i="3"/>
  <c r="N2744" i="3" s="1"/>
  <c r="M2712" i="3"/>
  <c r="N2712" i="3" s="1"/>
  <c r="M2680" i="3"/>
  <c r="N2680" i="3" s="1"/>
  <c r="M2648" i="3"/>
  <c r="N2648" i="3" s="1"/>
  <c r="M2616" i="3"/>
  <c r="N2616" i="3" s="1"/>
  <c r="M2584" i="3"/>
  <c r="N2584" i="3" s="1"/>
  <c r="M2555" i="3"/>
  <c r="N2555" i="3" s="1"/>
  <c r="M2494" i="3"/>
  <c r="N2494" i="3" s="1"/>
  <c r="M2430" i="3"/>
  <c r="N2430" i="3" s="1"/>
  <c r="M2310" i="3"/>
  <c r="N2310" i="3" s="1"/>
  <c r="M2583" i="3"/>
  <c r="N2583" i="3" s="1"/>
  <c r="M2503" i="3"/>
  <c r="N2503" i="3" s="1"/>
  <c r="M2325" i="3"/>
  <c r="N2325" i="3" s="1"/>
  <c r="M2506" i="3"/>
  <c r="N2506" i="3" s="1"/>
  <c r="M2442" i="3"/>
  <c r="N2442" i="3" s="1"/>
  <c r="M2348" i="3"/>
  <c r="N2348" i="3" s="1"/>
  <c r="M1957" i="3"/>
  <c r="N1957" i="3" s="1"/>
  <c r="M2484" i="3"/>
  <c r="N2484" i="3" s="1"/>
  <c r="M2420" i="3"/>
  <c r="N2420" i="3" s="1"/>
  <c r="M2376" i="3"/>
  <c r="N2376" i="3" s="1"/>
  <c r="M2330" i="3"/>
  <c r="N2330" i="3" s="1"/>
  <c r="M2270" i="3"/>
  <c r="N2270" i="3" s="1"/>
  <c r="M2204" i="3"/>
  <c r="N2204" i="3" s="1"/>
  <c r="M2140" i="3"/>
  <c r="N2140" i="3" s="1"/>
  <c r="M1990" i="3"/>
  <c r="N1990" i="3" s="1"/>
  <c r="M1958" i="3"/>
  <c r="N1958" i="3" s="1"/>
  <c r="M1852" i="3"/>
  <c r="N1852" i="3" s="1"/>
  <c r="M1941" i="3"/>
  <c r="N1941" i="3" s="1"/>
  <c r="M201" i="3"/>
  <c r="N201" i="3" s="1"/>
  <c r="M1438" i="3"/>
  <c r="N1438" i="3" s="1"/>
  <c r="M1824" i="3"/>
  <c r="N1824" i="3" s="1"/>
  <c r="M1792" i="3"/>
  <c r="N1792" i="3" s="1"/>
  <c r="M1630" i="3"/>
  <c r="N1630" i="3" s="1"/>
  <c r="M1920" i="3"/>
  <c r="N1920" i="3" s="1"/>
  <c r="M1873" i="3"/>
  <c r="N1873" i="3" s="1"/>
  <c r="M1678" i="3"/>
  <c r="N1678" i="3" s="1"/>
  <c r="M1529" i="3"/>
  <c r="N1529" i="3" s="1"/>
  <c r="M1047" i="3"/>
  <c r="N1047" i="3" s="1"/>
  <c r="M1712" i="3"/>
  <c r="N1712" i="3" s="1"/>
  <c r="M1584" i="3"/>
  <c r="N1584" i="3" s="1"/>
  <c r="M1490" i="3"/>
  <c r="N1490" i="3" s="1"/>
  <c r="M1426" i="3"/>
  <c r="N1426" i="3" s="1"/>
  <c r="M1362" i="3"/>
  <c r="N1362" i="3" s="1"/>
  <c r="M1035" i="3"/>
  <c r="N1035" i="3" s="1"/>
  <c r="M1768" i="3"/>
  <c r="N1768" i="3" s="1"/>
  <c r="M1700" i="3"/>
  <c r="N1700" i="3" s="1"/>
  <c r="M1572" i="3"/>
  <c r="N1572" i="3" s="1"/>
  <c r="M1496" i="3"/>
  <c r="N1496" i="3" s="1"/>
  <c r="M1432" i="3"/>
  <c r="N1432" i="3" s="1"/>
  <c r="M1368" i="3"/>
  <c r="N1368" i="3" s="1"/>
  <c r="M1125" i="3"/>
  <c r="N1125" i="3" s="1"/>
  <c r="M1740" i="3"/>
  <c r="N1740" i="3" s="1"/>
  <c r="M1701" i="3"/>
  <c r="N1701" i="3" s="1"/>
  <c r="M1655" i="3"/>
  <c r="N1655" i="3" s="1"/>
  <c r="M1610" i="3"/>
  <c r="N1610" i="3" s="1"/>
  <c r="M1573" i="3"/>
  <c r="N1573" i="3" s="1"/>
  <c r="M1527" i="3"/>
  <c r="N1527" i="3" s="1"/>
  <c r="M1466" i="3"/>
  <c r="N1466" i="3" s="1"/>
  <c r="M1402" i="3"/>
  <c r="N1402" i="3" s="1"/>
  <c r="M1336" i="3"/>
  <c r="N1336" i="3" s="1"/>
  <c r="M1304" i="3"/>
  <c r="N1304" i="3" s="1"/>
  <c r="M995" i="3"/>
  <c r="N995" i="3" s="1"/>
  <c r="M1326" i="3"/>
  <c r="N1326" i="3" s="1"/>
  <c r="M1286" i="3"/>
  <c r="N1286" i="3" s="1"/>
  <c r="M1174" i="3"/>
  <c r="N1174" i="3" s="1"/>
  <c r="M882" i="3"/>
  <c r="N882" i="3" s="1"/>
  <c r="M1242" i="3"/>
  <c r="N1242" i="3" s="1"/>
  <c r="M826" i="3"/>
  <c r="N826" i="3" s="1"/>
  <c r="M794" i="3"/>
  <c r="N794" i="3" s="1"/>
  <c r="M762" i="3"/>
  <c r="N762" i="3" s="1"/>
  <c r="M730" i="3"/>
  <c r="N730" i="3" s="1"/>
  <c r="M698" i="3"/>
  <c r="N698" i="3" s="1"/>
  <c r="M1278" i="3"/>
  <c r="N1278" i="3" s="1"/>
  <c r="M1150" i="3"/>
  <c r="N1150" i="3" s="1"/>
  <c r="M657" i="3"/>
  <c r="N657" i="3" s="1"/>
  <c r="M426" i="3"/>
  <c r="N426" i="3" s="1"/>
  <c r="M896" i="3"/>
  <c r="N896" i="3" s="1"/>
  <c r="M864" i="3"/>
  <c r="N864" i="3" s="1"/>
  <c r="M832" i="3"/>
  <c r="N832" i="3" s="1"/>
  <c r="M897" i="3"/>
  <c r="N897" i="3" s="1"/>
  <c r="M833" i="3"/>
  <c r="N833" i="3" s="1"/>
  <c r="M429" i="3"/>
  <c r="N429" i="3" s="1"/>
  <c r="M590" i="3"/>
  <c r="N590" i="3" s="1"/>
  <c r="M526" i="3"/>
  <c r="N526" i="3" s="1"/>
  <c r="M462" i="3"/>
  <c r="N462" i="3" s="1"/>
  <c r="M402" i="3"/>
  <c r="N402" i="3" s="1"/>
  <c r="M581" i="3"/>
  <c r="N581" i="3" s="1"/>
  <c r="M517" i="3"/>
  <c r="N517" i="3" s="1"/>
  <c r="M453" i="3"/>
  <c r="N453" i="3" s="1"/>
  <c r="M263" i="3"/>
  <c r="N263" i="3" s="1"/>
  <c r="M4192" i="3"/>
  <c r="N4192" i="3" s="1"/>
  <c r="M3992" i="3"/>
  <c r="N3992" i="3" s="1"/>
  <c r="M3864" i="3"/>
  <c r="N3864" i="3" s="1"/>
  <c r="M4149" i="3"/>
  <c r="N4149" i="3" s="1"/>
  <c r="M4021" i="3"/>
  <c r="N4021" i="3" s="1"/>
  <c r="M3893" i="3"/>
  <c r="N3893" i="3" s="1"/>
  <c r="M4630" i="3"/>
  <c r="N4630" i="3" s="1"/>
  <c r="M4262" i="3"/>
  <c r="N4262" i="3" s="1"/>
  <c r="M4198" i="3"/>
  <c r="N4198" i="3" s="1"/>
  <c r="M4134" i="3"/>
  <c r="N4134" i="3" s="1"/>
  <c r="M4070" i="3"/>
  <c r="N4070" i="3" s="1"/>
  <c r="M4006" i="3"/>
  <c r="N4006" i="3" s="1"/>
  <c r="M3942" i="3"/>
  <c r="N3942" i="3" s="1"/>
  <c r="M3878" i="3"/>
  <c r="N3878" i="3" s="1"/>
  <c r="M3691" i="3"/>
  <c r="N3691" i="3" s="1"/>
  <c r="M3645" i="3"/>
  <c r="N3645" i="3" s="1"/>
  <c r="M3638" i="3"/>
  <c r="N3638" i="3" s="1"/>
  <c r="M3665" i="3"/>
  <c r="N3665" i="3" s="1"/>
  <c r="M3601" i="3"/>
  <c r="N3601" i="3" s="1"/>
  <c r="M3642" i="3"/>
  <c r="N3642" i="3" s="1"/>
  <c r="M3554" i="3"/>
  <c r="N3554" i="3" s="1"/>
  <c r="M3508" i="3"/>
  <c r="N3508" i="3" s="1"/>
  <c r="M3476" i="3"/>
  <c r="N3476" i="3" s="1"/>
  <c r="M3444" i="3"/>
  <c r="N3444" i="3" s="1"/>
  <c r="M3412" i="3"/>
  <c r="N3412" i="3" s="1"/>
  <c r="M3380" i="3"/>
  <c r="N3380" i="3" s="1"/>
  <c r="M3348" i="3"/>
  <c r="N3348" i="3" s="1"/>
  <c r="M3316" i="3"/>
  <c r="N3316" i="3" s="1"/>
  <c r="M3284" i="3"/>
  <c r="N3284" i="3" s="1"/>
  <c r="M3252" i="3"/>
  <c r="N3252" i="3" s="1"/>
  <c r="M3220" i="3"/>
  <c r="N3220" i="3" s="1"/>
  <c r="M3552" i="3"/>
  <c r="N3552" i="3" s="1"/>
  <c r="M3574" i="3"/>
  <c r="N3574" i="3" s="1"/>
  <c r="M3675" i="3"/>
  <c r="N3675" i="3" s="1"/>
  <c r="M3611" i="3"/>
  <c r="N3611" i="3" s="1"/>
  <c r="M3539" i="3"/>
  <c r="N3539" i="3" s="1"/>
  <c r="M2613" i="3"/>
  <c r="N2613" i="3" s="1"/>
  <c r="M2553" i="3"/>
  <c r="N2553" i="3" s="1"/>
  <c r="M2435" i="3"/>
  <c r="N2435" i="3" s="1"/>
  <c r="M2525" i="3"/>
  <c r="N2525" i="3" s="1"/>
  <c r="M2461" i="3"/>
  <c r="N2461" i="3" s="1"/>
  <c r="M2372" i="3"/>
  <c r="N2372" i="3" s="1"/>
  <c r="M3161" i="3"/>
  <c r="N3161" i="3" s="1"/>
  <c r="M3097" i="3"/>
  <c r="N3097" i="3" s="1"/>
  <c r="M3033" i="3"/>
  <c r="N3033" i="3" s="1"/>
  <c r="M2969" i="3"/>
  <c r="N2969" i="3" s="1"/>
  <c r="M2905" i="3"/>
  <c r="N2905" i="3" s="1"/>
  <c r="M2841" i="3"/>
  <c r="N2841" i="3" s="1"/>
  <c r="M2777" i="3"/>
  <c r="N2777" i="3" s="1"/>
  <c r="M2713" i="3"/>
  <c r="N2713" i="3" s="1"/>
  <c r="M2649" i="3"/>
  <c r="N2649" i="3" s="1"/>
  <c r="M2591" i="3"/>
  <c r="N2591" i="3" s="1"/>
  <c r="M2527" i="3"/>
  <c r="N2527" i="3" s="1"/>
  <c r="M2373" i="3"/>
  <c r="N2373" i="3" s="1"/>
  <c r="M3198" i="3"/>
  <c r="N3198" i="3" s="1"/>
  <c r="M3182" i="3"/>
  <c r="N3182" i="3" s="1"/>
  <c r="M3162" i="3"/>
  <c r="N3162" i="3" s="1"/>
  <c r="M3130" i="3"/>
  <c r="N3130" i="3" s="1"/>
  <c r="M3098" i="3"/>
  <c r="N3098" i="3" s="1"/>
  <c r="M3066" i="3"/>
  <c r="N3066" i="3" s="1"/>
  <c r="M3034" i="3"/>
  <c r="N3034" i="3" s="1"/>
  <c r="M3002" i="3"/>
  <c r="N3002" i="3" s="1"/>
  <c r="M2970" i="3"/>
  <c r="N2970" i="3" s="1"/>
  <c r="M2938" i="3"/>
  <c r="N2938" i="3" s="1"/>
  <c r="M2906" i="3"/>
  <c r="N2906" i="3" s="1"/>
  <c r="M2874" i="3"/>
  <c r="N2874" i="3" s="1"/>
  <c r="M2842" i="3"/>
  <c r="N2842" i="3" s="1"/>
  <c r="M2810" i="3"/>
  <c r="N2810" i="3" s="1"/>
  <c r="M2778" i="3"/>
  <c r="N2778" i="3" s="1"/>
  <c r="M2746" i="3"/>
  <c r="N2746" i="3" s="1"/>
  <c r="M2714" i="3"/>
  <c r="N2714" i="3" s="1"/>
  <c r="M2682" i="3"/>
  <c r="N2682" i="3" s="1"/>
  <c r="M2650" i="3"/>
  <c r="N2650" i="3" s="1"/>
  <c r="M2618" i="3"/>
  <c r="N2618" i="3" s="1"/>
  <c r="M2586" i="3"/>
  <c r="N2586" i="3" s="1"/>
  <c r="M2549" i="3"/>
  <c r="N2549" i="3" s="1"/>
  <c r="M2489" i="3"/>
  <c r="N2489" i="3" s="1"/>
  <c r="M2425" i="3"/>
  <c r="N2425" i="3" s="1"/>
  <c r="M2308" i="3"/>
  <c r="N2308" i="3" s="1"/>
  <c r="M2512" i="3"/>
  <c r="N2512" i="3" s="1"/>
  <c r="M2448" i="3"/>
  <c r="N2448" i="3" s="1"/>
  <c r="M2393" i="3"/>
  <c r="N2393" i="3" s="1"/>
  <c r="M2352" i="3"/>
  <c r="N2352" i="3" s="1"/>
  <c r="M2301" i="3"/>
  <c r="N2301" i="3" s="1"/>
  <c r="M2232" i="3"/>
  <c r="N2232" i="3" s="1"/>
  <c r="M2168" i="3"/>
  <c r="N2168" i="3" s="1"/>
  <c r="M1926" i="3"/>
  <c r="N1926" i="3" s="1"/>
  <c r="M1961" i="3"/>
  <c r="N1961" i="3" s="1"/>
  <c r="M1980" i="3"/>
  <c r="N1980" i="3" s="1"/>
  <c r="M1948" i="3"/>
  <c r="N1948" i="3" s="1"/>
  <c r="M1826" i="3"/>
  <c r="N1826" i="3" s="1"/>
  <c r="M1794" i="3"/>
  <c r="N1794" i="3" s="1"/>
  <c r="M1662" i="3"/>
  <c r="N1662" i="3" s="1"/>
  <c r="M1518" i="3"/>
  <c r="N1518" i="3" s="1"/>
  <c r="M1829" i="3"/>
  <c r="N1829" i="3" s="1"/>
  <c r="M1689" i="3"/>
  <c r="N1689" i="3" s="1"/>
  <c r="M1141" i="3"/>
  <c r="N1141" i="3" s="1"/>
  <c r="M1422" i="3"/>
  <c r="N1422" i="3" s="1"/>
  <c r="M1904" i="3"/>
  <c r="N1904" i="3" s="1"/>
  <c r="M1858" i="3"/>
  <c r="N1858" i="3" s="1"/>
  <c r="M1793" i="3"/>
  <c r="N1793" i="3" s="1"/>
  <c r="M1488" i="3"/>
  <c r="N1488" i="3" s="1"/>
  <c r="M1762" i="3"/>
  <c r="N1762" i="3" s="1"/>
  <c r="M1730" i="3"/>
  <c r="N1730" i="3" s="1"/>
  <c r="M1693" i="3"/>
  <c r="N1693" i="3" s="1"/>
  <c r="M1647" i="3"/>
  <c r="N1647" i="3" s="1"/>
  <c r="M1602" i="3"/>
  <c r="N1602" i="3" s="1"/>
  <c r="M1565" i="3"/>
  <c r="N1565" i="3" s="1"/>
  <c r="M906" i="3"/>
  <c r="N906" i="3" s="1"/>
  <c r="M1699" i="3"/>
  <c r="N1699" i="3" s="1"/>
  <c r="M1654" i="3"/>
  <c r="N1654" i="3" s="1"/>
  <c r="M1617" i="3"/>
  <c r="N1617" i="3" s="1"/>
  <c r="M1571" i="3"/>
  <c r="N1571" i="3" s="1"/>
  <c r="M1301" i="3"/>
  <c r="N1301" i="3" s="1"/>
  <c r="M1071" i="3"/>
  <c r="N1071" i="3" s="1"/>
  <c r="M943" i="3"/>
  <c r="N943" i="3" s="1"/>
  <c r="M1608" i="3"/>
  <c r="N1608" i="3" s="1"/>
  <c r="M842" i="3"/>
  <c r="N842" i="3" s="1"/>
  <c r="M1190" i="3"/>
  <c r="N1190" i="3" s="1"/>
  <c r="M1277" i="3"/>
  <c r="N1277" i="3" s="1"/>
  <c r="M1149" i="3"/>
  <c r="N1149" i="3" s="1"/>
  <c r="M1249" i="3"/>
  <c r="N1249" i="3" s="1"/>
  <c r="M1121" i="3"/>
  <c r="N1121" i="3" s="1"/>
  <c r="M1081" i="3"/>
  <c r="N1081" i="3" s="1"/>
  <c r="M1049" i="3"/>
  <c r="N1049" i="3" s="1"/>
  <c r="M1017" i="3"/>
  <c r="N1017" i="3" s="1"/>
  <c r="M985" i="3"/>
  <c r="N985" i="3" s="1"/>
  <c r="M953" i="3"/>
  <c r="N953" i="3" s="1"/>
  <c r="M917" i="3"/>
  <c r="N917" i="3" s="1"/>
  <c r="M853" i="3"/>
  <c r="N853" i="3" s="1"/>
  <c r="M808" i="3"/>
  <c r="N808" i="3" s="1"/>
  <c r="M776" i="3"/>
  <c r="N776" i="3" s="1"/>
  <c r="M744" i="3"/>
  <c r="N744" i="3" s="1"/>
  <c r="M712" i="3"/>
  <c r="N712" i="3" s="1"/>
  <c r="M680" i="3"/>
  <c r="N680" i="3" s="1"/>
  <c r="M509" i="3"/>
  <c r="N509" i="3" s="1"/>
  <c r="M829" i="3"/>
  <c r="N829" i="3" s="1"/>
  <c r="M538" i="3"/>
  <c r="N538" i="3" s="1"/>
  <c r="M638" i="3"/>
  <c r="N638" i="3" s="1"/>
  <c r="M646" i="3"/>
  <c r="N646" i="3" s="1"/>
  <c r="M553" i="3"/>
  <c r="N553" i="3" s="1"/>
  <c r="M489" i="3"/>
  <c r="N489" i="3" s="1"/>
  <c r="M425" i="3"/>
  <c r="N425" i="3" s="1"/>
  <c r="M386" i="3"/>
  <c r="N386" i="3" s="1"/>
  <c r="M4016" i="3"/>
  <c r="N4016" i="3" s="1"/>
  <c r="M3888" i="3"/>
  <c r="N3888" i="3" s="1"/>
  <c r="M4205" i="3"/>
  <c r="N4205" i="3" s="1"/>
  <c r="M4077" i="3"/>
  <c r="N4077" i="3" s="1"/>
  <c r="M3949" i="3"/>
  <c r="N3949" i="3" s="1"/>
  <c r="M4683" i="3"/>
  <c r="N4683" i="3" s="1"/>
  <c r="M4598" i="3"/>
  <c r="N4598" i="3" s="1"/>
  <c r="M4566" i="3"/>
  <c r="N4566" i="3" s="1"/>
  <c r="M4242" i="3"/>
  <c r="N4242" i="3" s="1"/>
  <c r="M4178" i="3"/>
  <c r="N4178" i="3" s="1"/>
  <c r="M4114" i="3"/>
  <c r="N4114" i="3" s="1"/>
  <c r="M4050" i="3"/>
  <c r="N4050" i="3" s="1"/>
  <c r="M3986" i="3"/>
  <c r="N3986" i="3" s="1"/>
  <c r="M3922" i="3"/>
  <c r="N3922" i="3" s="1"/>
  <c r="M3858" i="3"/>
  <c r="N3858" i="3" s="1"/>
  <c r="M3686" i="3"/>
  <c r="N3686" i="3" s="1"/>
  <c r="M3628" i="3"/>
  <c r="N3628" i="3" s="1"/>
  <c r="M3630" i="3"/>
  <c r="N3630" i="3" s="1"/>
  <c r="M3648" i="3"/>
  <c r="N3648" i="3" s="1"/>
  <c r="M3486" i="3"/>
  <c r="N3486" i="3" s="1"/>
  <c r="M3602" i="3"/>
  <c r="N3602" i="3" s="1"/>
  <c r="M3553" i="3"/>
  <c r="N3553" i="3" s="1"/>
  <c r="M3583" i="3"/>
  <c r="N3583" i="3" s="1"/>
  <c r="M3519" i="3"/>
  <c r="N3519" i="3" s="1"/>
  <c r="M3541" i="3"/>
  <c r="N3541" i="3" s="1"/>
  <c r="M3414" i="3"/>
  <c r="N3414" i="3" s="1"/>
  <c r="M3382" i="3"/>
  <c r="N3382" i="3" s="1"/>
  <c r="M3623" i="3"/>
  <c r="N3623" i="3" s="1"/>
  <c r="M3556" i="3"/>
  <c r="N3556" i="3" s="1"/>
  <c r="M3474" i="3"/>
  <c r="N3474" i="3" s="1"/>
  <c r="M3117" i="3"/>
  <c r="N3117" i="3" s="1"/>
  <c r="M3053" i="3"/>
  <c r="N3053" i="3" s="1"/>
  <c r="M2989" i="3"/>
  <c r="N2989" i="3" s="1"/>
  <c r="M2925" i="3"/>
  <c r="N2925" i="3" s="1"/>
  <c r="M2861" i="3"/>
  <c r="N2861" i="3" s="1"/>
  <c r="M2797" i="3"/>
  <c r="N2797" i="3" s="1"/>
  <c r="M2733" i="3"/>
  <c r="N2733" i="3" s="1"/>
  <c r="M2669" i="3"/>
  <c r="N2669" i="3" s="1"/>
  <c r="M2603" i="3"/>
  <c r="N2603" i="3" s="1"/>
  <c r="M2491" i="3"/>
  <c r="N2491" i="3" s="1"/>
  <c r="M2309" i="3"/>
  <c r="N2309" i="3" s="1"/>
  <c r="M3142" i="3"/>
  <c r="N3142" i="3" s="1"/>
  <c r="M3110" i="3"/>
  <c r="N3110" i="3" s="1"/>
  <c r="M3078" i="3"/>
  <c r="N3078" i="3" s="1"/>
  <c r="M3046" i="3"/>
  <c r="N3046" i="3" s="1"/>
  <c r="M3014" i="3"/>
  <c r="N3014" i="3" s="1"/>
  <c r="M2982" i="3"/>
  <c r="N2982" i="3" s="1"/>
  <c r="M2950" i="3"/>
  <c r="N2950" i="3" s="1"/>
  <c r="M2918" i="3"/>
  <c r="N2918" i="3" s="1"/>
  <c r="M2886" i="3"/>
  <c r="N2886" i="3" s="1"/>
  <c r="M2854" i="3"/>
  <c r="N2854" i="3" s="1"/>
  <c r="M2822" i="3"/>
  <c r="N2822" i="3" s="1"/>
  <c r="M2790" i="3"/>
  <c r="N2790" i="3" s="1"/>
  <c r="M2758" i="3"/>
  <c r="N2758" i="3" s="1"/>
  <c r="M2726" i="3"/>
  <c r="N2726" i="3" s="1"/>
  <c r="M2694" i="3"/>
  <c r="N2694" i="3" s="1"/>
  <c r="M2662" i="3"/>
  <c r="N2662" i="3" s="1"/>
  <c r="M2630" i="3"/>
  <c r="N2630" i="3" s="1"/>
  <c r="M2598" i="3"/>
  <c r="N2598" i="3" s="1"/>
  <c r="M2566" i="3"/>
  <c r="N2566" i="3" s="1"/>
  <c r="M2518" i="3"/>
  <c r="N2518" i="3" s="1"/>
  <c r="M2454" i="3"/>
  <c r="N2454" i="3" s="1"/>
  <c r="M2366" i="3"/>
  <c r="N2366" i="3" s="1"/>
  <c r="M2617" i="3"/>
  <c r="N2617" i="3" s="1"/>
  <c r="M2519" i="3"/>
  <c r="N2519" i="3" s="1"/>
  <c r="M2357" i="3"/>
  <c r="N2357" i="3" s="1"/>
  <c r="M2498" i="3"/>
  <c r="N2498" i="3" s="1"/>
  <c r="M2434" i="3"/>
  <c r="N2434" i="3" s="1"/>
  <c r="M2332" i="3"/>
  <c r="N2332" i="3" s="1"/>
  <c r="M2540" i="3"/>
  <c r="N2540" i="3" s="1"/>
  <c r="M2476" i="3"/>
  <c r="N2476" i="3" s="1"/>
  <c r="M2410" i="3"/>
  <c r="N2410" i="3" s="1"/>
  <c r="M2369" i="3"/>
  <c r="N2369" i="3" s="1"/>
  <c r="M2328" i="3"/>
  <c r="N2328" i="3" s="1"/>
  <c r="M2268" i="3"/>
  <c r="N2268" i="3" s="1"/>
  <c r="M2196" i="3"/>
  <c r="N2196" i="3" s="1"/>
  <c r="M2132" i="3"/>
  <c r="N2132" i="3" s="1"/>
  <c r="M1860" i="3"/>
  <c r="N1860" i="3" s="1"/>
  <c r="M1968" i="3"/>
  <c r="N1968" i="3" s="1"/>
  <c r="M1884" i="3"/>
  <c r="N1884" i="3" s="1"/>
  <c r="M1660" i="3"/>
  <c r="N1660" i="3" s="1"/>
  <c r="M1783" i="3"/>
  <c r="N1783" i="3" s="1"/>
  <c r="M1456" i="3"/>
  <c r="N1456" i="3" s="1"/>
  <c r="M1838" i="3"/>
  <c r="N1838" i="3" s="1"/>
  <c r="M1806" i="3"/>
  <c r="N1806" i="3" s="1"/>
  <c r="M1694" i="3"/>
  <c r="N1694" i="3" s="1"/>
  <c r="M1545" i="3"/>
  <c r="N1545" i="3" s="1"/>
  <c r="M1889" i="3"/>
  <c r="N1889" i="3" s="1"/>
  <c r="M1848" i="3"/>
  <c r="N1848" i="3" s="1"/>
  <c r="M1593" i="3"/>
  <c r="N1593" i="3" s="1"/>
  <c r="M1063" i="3"/>
  <c r="N1063" i="3" s="1"/>
  <c r="M935" i="3"/>
  <c r="N935" i="3" s="1"/>
  <c r="M1632" i="3"/>
  <c r="N1632" i="3" s="1"/>
  <c r="M1524" i="3"/>
  <c r="N1524" i="3" s="1"/>
  <c r="M1460" i="3"/>
  <c r="N1460" i="3" s="1"/>
  <c r="M135" i="3"/>
  <c r="N135" i="3" s="1"/>
  <c r="M400" i="3"/>
  <c r="N400" i="3" s="1"/>
  <c r="M751" i="3"/>
  <c r="N751" i="3" s="1"/>
  <c r="M515" i="3"/>
  <c r="N515" i="3" s="1"/>
  <c r="M855" i="3"/>
  <c r="N855" i="3" s="1"/>
  <c r="M1054" i="3"/>
  <c r="N1054" i="3" s="1"/>
  <c r="M1048" i="3"/>
  <c r="N1048" i="3" s="1"/>
  <c r="M1309" i="3"/>
  <c r="N1309" i="3" s="1"/>
  <c r="M1196" i="3"/>
  <c r="N1196" i="3" s="1"/>
  <c r="M1435" i="3"/>
  <c r="N1435" i="3" s="1"/>
  <c r="M1271" i="3"/>
  <c r="N1271" i="3" s="1"/>
  <c r="M2035" i="3"/>
  <c r="N2035" i="3" s="1"/>
  <c r="M2040" i="3"/>
  <c r="N2040" i="3" s="1"/>
  <c r="M2154" i="3"/>
  <c r="N2154" i="3" s="1"/>
  <c r="M2239" i="3"/>
  <c r="N2239" i="3" s="1"/>
  <c r="M2367" i="3"/>
  <c r="N2367" i="3" s="1"/>
  <c r="M2855" i="3"/>
  <c r="N2855" i="3" s="1"/>
  <c r="M3111" i="3"/>
  <c r="N3111" i="3" s="1"/>
  <c r="M3251" i="3"/>
  <c r="N3251" i="3" s="1"/>
  <c r="M3443" i="3"/>
  <c r="N3443" i="3" s="1"/>
  <c r="M3381" i="3"/>
  <c r="N3381" i="3" s="1"/>
  <c r="M3471" i="3"/>
  <c r="N3471" i="3" s="1"/>
  <c r="M4335" i="3"/>
  <c r="N4335" i="3" s="1"/>
  <c r="M4419" i="3"/>
  <c r="N4419" i="3" s="1"/>
  <c r="M4503" i="3"/>
  <c r="N4503" i="3" s="1"/>
  <c r="M4591" i="3"/>
  <c r="N4591" i="3" s="1"/>
  <c r="M3702" i="3"/>
  <c r="N3702" i="3" s="1"/>
  <c r="M3726" i="3"/>
  <c r="N3726" i="3" s="1"/>
  <c r="M3748" i="3"/>
  <c r="N3748" i="3" s="1"/>
  <c r="M3769" i="3"/>
  <c r="N3769" i="3" s="1"/>
  <c r="M3790" i="3"/>
  <c r="N3790" i="3" s="1"/>
  <c r="M3812" i="3"/>
  <c r="N3812" i="3" s="1"/>
  <c r="M3833" i="3"/>
  <c r="N3833" i="3" s="1"/>
  <c r="M4341" i="3"/>
  <c r="N4341" i="3" s="1"/>
  <c r="M4517" i="3"/>
  <c r="N4517" i="3" s="1"/>
  <c r="M4273" i="3"/>
  <c r="N4273" i="3" s="1"/>
  <c r="M4409" i="3"/>
  <c r="N4409" i="3" s="1"/>
  <c r="M4585" i="3"/>
  <c r="N4585" i="3" s="1"/>
  <c r="M5759" i="3"/>
  <c r="N5759" i="3" s="1"/>
  <c r="M5842" i="3"/>
  <c r="N5842" i="3" s="1"/>
  <c r="M5930" i="3"/>
  <c r="N5930" i="3" s="1"/>
  <c r="M6014" i="3"/>
  <c r="N6014" i="3" s="1"/>
  <c r="M6098" i="3"/>
  <c r="N6098" i="3" s="1"/>
  <c r="M6186" i="3"/>
  <c r="N6186" i="3" s="1"/>
  <c r="M6270" i="3"/>
  <c r="N6270" i="3" s="1"/>
  <c r="M6354" i="3"/>
  <c r="N6354" i="3" s="1"/>
  <c r="M6442" i="3"/>
  <c r="N6442" i="3" s="1"/>
  <c r="M5739" i="3"/>
  <c r="N5739" i="3" s="1"/>
  <c r="M5820" i="3"/>
  <c r="N5820" i="3" s="1"/>
  <c r="M5908" i="3"/>
  <c r="N5908" i="3" s="1"/>
  <c r="M5992" i="3"/>
  <c r="N5992" i="3" s="1"/>
  <c r="M6076" i="3"/>
  <c r="N6076" i="3" s="1"/>
  <c r="M6164" i="3"/>
  <c r="N6164" i="3" s="1"/>
  <c r="M6248" i="3"/>
  <c r="N6248" i="3" s="1"/>
  <c r="M6332" i="3"/>
  <c r="N6332" i="3" s="1"/>
  <c r="M6420" i="3"/>
  <c r="N6420" i="3" s="1"/>
  <c r="M6504" i="3"/>
  <c r="N6504" i="3" s="1"/>
  <c r="M6588" i="3"/>
  <c r="N6588" i="3" s="1"/>
  <c r="M6602" i="3"/>
  <c r="N6602" i="3" s="1"/>
  <c r="M7184" i="3"/>
  <c r="N7184" i="3" s="1"/>
  <c r="M6848" i="3"/>
  <c r="N6848" i="3" s="1"/>
  <c r="M7578" i="3"/>
  <c r="N7578" i="3" s="1"/>
  <c r="M7410" i="3"/>
  <c r="N7410" i="3" s="1"/>
  <c r="M7245" i="3"/>
  <c r="N7245" i="3" s="1"/>
  <c r="M6858" i="3"/>
  <c r="N6858" i="3" s="1"/>
  <c r="M7663" i="3"/>
  <c r="N7663" i="3" s="1"/>
  <c r="M7495" i="3"/>
  <c r="N7495" i="3" s="1"/>
  <c r="M7319" i="3"/>
  <c r="N7319" i="3" s="1"/>
  <c r="M7020" i="3"/>
  <c r="N7020" i="3" s="1"/>
  <c r="M6684" i="3"/>
  <c r="N6684" i="3" s="1"/>
  <c r="M7516" i="3"/>
  <c r="N7516" i="3" s="1"/>
  <c r="M7348" i="3"/>
  <c r="N7348" i="3" s="1"/>
  <c r="M7174" i="3"/>
  <c r="N7174" i="3" s="1"/>
  <c r="M6822" i="3"/>
  <c r="N6822" i="3" s="1"/>
  <c r="M6527" i="3"/>
  <c r="N6527" i="3" s="1"/>
  <c r="M5693" i="3"/>
  <c r="N5693" i="3" s="1"/>
  <c r="M5490" i="3"/>
  <c r="N5490" i="3" s="1"/>
  <c r="M5170" i="3"/>
  <c r="N5170" i="3" s="1"/>
  <c r="M4914" i="3"/>
  <c r="N4914" i="3" s="1"/>
  <c r="M5718" i="3"/>
  <c r="N5718" i="3" s="1"/>
  <c r="M5508" i="3"/>
  <c r="N5508" i="3" s="1"/>
  <c r="M5252" i="3"/>
  <c r="N5252" i="3" s="1"/>
  <c r="M4996" i="3"/>
  <c r="N4996" i="3" s="1"/>
  <c r="M4740" i="3"/>
  <c r="N4740" i="3" s="1"/>
  <c r="M4460" i="3"/>
  <c r="N4460" i="3" s="1"/>
  <c r="M5567" i="3"/>
  <c r="N5567" i="3" s="1"/>
  <c r="M5311" i="3"/>
  <c r="N5311" i="3" s="1"/>
  <c r="M5055" i="3"/>
  <c r="N5055" i="3" s="1"/>
  <c r="M4799" i="3"/>
  <c r="N4799" i="3" s="1"/>
  <c r="M5560" i="3"/>
  <c r="N5560" i="3" s="1"/>
  <c r="M5304" i="3"/>
  <c r="N5304" i="3" s="1"/>
  <c r="M5048" i="3"/>
  <c r="N5048" i="3" s="1"/>
  <c r="M4792" i="3"/>
  <c r="N4792" i="3" s="1"/>
  <c r="M4131" i="3"/>
  <c r="N4131" i="3" s="1"/>
  <c r="M3875" i="3"/>
  <c r="N3875" i="3" s="1"/>
  <c r="M4100" i="3"/>
  <c r="N4100" i="3" s="1"/>
  <c r="M4697" i="3"/>
  <c r="N4697" i="3" s="1"/>
  <c r="M4033" i="3"/>
  <c r="N4033" i="3" s="1"/>
  <c r="M7645" i="3"/>
  <c r="N7645" i="3" s="1"/>
  <c r="M7517" i="3"/>
  <c r="N7517" i="3" s="1"/>
  <c r="M7389" i="3"/>
  <c r="N7389" i="3" s="1"/>
  <c r="M7301" i="3"/>
  <c r="N7301" i="3" s="1"/>
  <c r="M7220" i="3"/>
  <c r="N7220" i="3" s="1"/>
  <c r="M7119" i="3"/>
  <c r="N7119" i="3" s="1"/>
  <c r="M7039" i="3"/>
  <c r="N7039" i="3" s="1"/>
  <c r="M6943" i="3"/>
  <c r="N6943" i="3" s="1"/>
  <c r="M6863" i="3"/>
  <c r="N6863" i="3" s="1"/>
  <c r="M6783" i="3"/>
  <c r="N6783" i="3" s="1"/>
  <c r="M6687" i="3"/>
  <c r="N6687" i="3" s="1"/>
  <c r="M7221" i="3"/>
  <c r="N7221" i="3" s="1"/>
  <c r="M7113" i="3"/>
  <c r="N7113" i="3" s="1"/>
  <c r="M7017" i="3"/>
  <c r="N7017" i="3" s="1"/>
  <c r="M6937" i="3"/>
  <c r="N6937" i="3" s="1"/>
  <c r="M6857" i="3"/>
  <c r="N6857" i="3" s="1"/>
  <c r="M6761" i="3"/>
  <c r="N6761" i="3" s="1"/>
  <c r="M6681" i="3"/>
  <c r="N6681" i="3" s="1"/>
  <c r="M6569" i="3"/>
  <c r="N6569" i="3" s="1"/>
  <c r="M7163" i="3"/>
  <c r="N7163" i="3" s="1"/>
  <c r="M7083" i="3"/>
  <c r="N7083" i="3" s="1"/>
  <c r="M7003" i="3"/>
  <c r="N7003" i="3" s="1"/>
  <c r="M6907" i="3"/>
  <c r="N6907" i="3" s="1"/>
  <c r="M6827" i="3"/>
  <c r="N6827" i="3" s="1"/>
  <c r="M6747" i="3"/>
  <c r="N6747" i="3" s="1"/>
  <c r="M6651" i="3"/>
  <c r="N6651" i="3" s="1"/>
  <c r="M7205" i="3"/>
  <c r="N7205" i="3" s="1"/>
  <c r="M7173" i="3"/>
  <c r="N7173" i="3" s="1"/>
  <c r="M7077" i="3"/>
  <c r="N7077" i="3" s="1"/>
  <c r="M6997" i="3"/>
  <c r="N6997" i="3" s="1"/>
  <c r="M6917" i="3"/>
  <c r="N6917" i="3" s="1"/>
  <c r="M6821" i="3"/>
  <c r="N6821" i="3" s="1"/>
  <c r="M6741" i="3"/>
  <c r="N6741" i="3" s="1"/>
  <c r="M6661" i="3"/>
  <c r="N6661" i="3" s="1"/>
  <c r="M6501" i="3"/>
  <c r="N6501" i="3" s="1"/>
  <c r="M6461" i="3"/>
  <c r="N6461" i="3" s="1"/>
  <c r="M6421" i="3"/>
  <c r="N6421" i="3" s="1"/>
  <c r="M6373" i="3"/>
  <c r="N6373" i="3" s="1"/>
  <c r="M6333" i="3"/>
  <c r="N6333" i="3" s="1"/>
  <c r="M6293" i="3"/>
  <c r="N6293" i="3" s="1"/>
  <c r="M6245" i="3"/>
  <c r="N6245" i="3" s="1"/>
  <c r="M6205" i="3"/>
  <c r="N6205" i="3" s="1"/>
  <c r="M6165" i="3"/>
  <c r="N6165" i="3" s="1"/>
  <c r="M6117" i="3"/>
  <c r="N6117" i="3" s="1"/>
  <c r="M6077" i="3"/>
  <c r="N6077" i="3" s="1"/>
  <c r="M6037" i="3"/>
  <c r="N6037" i="3" s="1"/>
  <c r="M5989" i="3"/>
  <c r="N5989" i="3" s="1"/>
  <c r="M5949" i="3"/>
  <c r="N5949" i="3" s="1"/>
  <c r="M5909" i="3"/>
  <c r="N5909" i="3" s="1"/>
  <c r="M5861" i="3"/>
  <c r="N5861" i="3" s="1"/>
  <c r="M5821" i="3"/>
  <c r="N5821" i="3" s="1"/>
  <c r="M6627" i="3"/>
  <c r="N6627" i="3" s="1"/>
  <c r="M6495" i="3"/>
  <c r="N6495" i="3" s="1"/>
  <c r="M6455" i="3"/>
  <c r="N6455" i="3" s="1"/>
  <c r="M6415" i="3"/>
  <c r="N6415" i="3" s="1"/>
  <c r="M6367" i="3"/>
  <c r="N6367" i="3" s="1"/>
  <c r="M6327" i="3"/>
  <c r="N6327" i="3" s="1"/>
  <c r="M6287" i="3"/>
  <c r="N6287" i="3" s="1"/>
  <c r="M6239" i="3"/>
  <c r="N6239" i="3" s="1"/>
  <c r="M6199" i="3"/>
  <c r="N6199" i="3" s="1"/>
  <c r="M6159" i="3"/>
  <c r="N6159" i="3" s="1"/>
  <c r="M6111" i="3"/>
  <c r="N6111" i="3" s="1"/>
  <c r="M6071" i="3"/>
  <c r="N6071" i="3" s="1"/>
  <c r="M6031" i="3"/>
  <c r="N6031" i="3" s="1"/>
  <c r="M5983" i="3"/>
  <c r="N5983" i="3" s="1"/>
  <c r="M5943" i="3"/>
  <c r="N5943" i="3" s="1"/>
  <c r="M5903" i="3"/>
  <c r="N5903" i="3" s="1"/>
  <c r="M5855" i="3"/>
  <c r="N5855" i="3" s="1"/>
  <c r="M5815" i="3"/>
  <c r="N5815" i="3" s="1"/>
  <c r="M5611" i="3"/>
  <c r="N5611" i="3" s="1"/>
  <c r="M5515" i="3"/>
  <c r="N5515" i="3" s="1"/>
  <c r="M5435" i="3"/>
  <c r="N5435" i="3" s="1"/>
  <c r="M5355" i="3"/>
  <c r="N5355" i="3" s="1"/>
  <c r="M5259" i="3"/>
  <c r="N5259" i="3" s="1"/>
  <c r="M5179" i="3"/>
  <c r="N5179" i="3" s="1"/>
  <c r="M5099" i="3"/>
  <c r="N5099" i="3" s="1"/>
  <c r="M5003" i="3"/>
  <c r="N5003" i="3" s="1"/>
  <c r="M4923" i="3"/>
  <c r="N4923" i="3" s="1"/>
  <c r="M4843" i="3"/>
  <c r="N4843" i="3" s="1"/>
  <c r="M4747" i="3"/>
  <c r="N4747" i="3" s="1"/>
  <c r="M5742" i="3"/>
  <c r="N5742" i="3" s="1"/>
  <c r="M5684" i="3"/>
  <c r="N5684" i="3" s="1"/>
  <c r="M5632" i="3"/>
  <c r="N5632" i="3" s="1"/>
  <c r="M5549" i="3"/>
  <c r="N5549" i="3" s="1"/>
  <c r="M5469" i="3"/>
  <c r="N5469" i="3" s="1"/>
  <c r="M5373" i="3"/>
  <c r="N5373" i="3" s="1"/>
  <c r="M5293" i="3"/>
  <c r="N5293" i="3" s="1"/>
  <c r="M5213" i="3"/>
  <c r="N5213" i="3" s="1"/>
  <c r="M5117" i="3"/>
  <c r="N5117" i="3" s="1"/>
  <c r="M5037" i="3"/>
  <c r="N5037" i="3" s="1"/>
  <c r="M4957" i="3"/>
  <c r="N4957" i="3" s="1"/>
  <c r="M4861" i="3"/>
  <c r="N4861" i="3" s="1"/>
  <c r="M4781" i="3"/>
  <c r="N4781" i="3" s="1"/>
  <c r="M4701" i="3"/>
  <c r="N4701" i="3" s="1"/>
  <c r="M4584" i="3"/>
  <c r="N4584" i="3" s="1"/>
  <c r="M4504" i="3"/>
  <c r="N4504" i="3" s="1"/>
  <c r="M4424" i="3"/>
  <c r="N4424" i="3" s="1"/>
  <c r="M4328" i="3"/>
  <c r="N4328" i="3" s="1"/>
  <c r="M5598" i="3"/>
  <c r="N5598" i="3" s="1"/>
  <c r="M5518" i="3"/>
  <c r="N5518" i="3" s="1"/>
  <c r="M5422" i="3"/>
  <c r="N5422" i="3" s="1"/>
  <c r="M5342" i="3"/>
  <c r="N5342" i="3" s="1"/>
  <c r="M5262" i="3"/>
  <c r="N5262" i="3" s="1"/>
  <c r="M5166" i="3"/>
  <c r="N5166" i="3" s="1"/>
  <c r="M5086" i="3"/>
  <c r="N5086" i="3" s="1"/>
  <c r="M5006" i="3"/>
  <c r="N5006" i="3" s="1"/>
  <c r="M4910" i="3"/>
  <c r="N4910" i="3" s="1"/>
  <c r="M4830" i="3"/>
  <c r="N4830" i="3" s="1"/>
  <c r="M4750" i="3"/>
  <c r="N4750" i="3" s="1"/>
  <c r="M5627" i="3"/>
  <c r="N5627" i="3" s="1"/>
  <c r="M5553" i="3"/>
  <c r="N5553" i="3" s="1"/>
  <c r="M5473" i="3"/>
  <c r="N5473" i="3" s="1"/>
  <c r="M5377" i="3"/>
  <c r="N5377" i="3" s="1"/>
  <c r="M5297" i="3"/>
  <c r="N5297" i="3" s="1"/>
  <c r="M5217" i="3"/>
  <c r="N5217" i="3" s="1"/>
  <c r="M5121" i="3"/>
  <c r="N5121" i="3" s="1"/>
  <c r="M5041" i="3"/>
  <c r="N5041" i="3" s="1"/>
  <c r="M4961" i="3"/>
  <c r="N4961" i="3" s="1"/>
  <c r="M4865" i="3"/>
  <c r="N4865" i="3" s="1"/>
  <c r="M4785" i="3"/>
  <c r="N4785" i="3" s="1"/>
  <c r="M4705" i="3"/>
  <c r="N4705" i="3" s="1"/>
  <c r="M4207" i="3"/>
  <c r="N4207" i="3" s="1"/>
  <c r="M4127" i="3"/>
  <c r="N4127" i="3" s="1"/>
  <c r="M4047" i="3"/>
  <c r="N4047" i="3" s="1"/>
  <c r="M3951" i="3"/>
  <c r="N3951" i="3" s="1"/>
  <c r="M3871" i="3"/>
  <c r="N3871" i="3" s="1"/>
  <c r="M4658" i="3"/>
  <c r="N4658" i="3" s="1"/>
  <c r="M4610" i="3"/>
  <c r="N4610" i="3" s="1"/>
  <c r="M4570" i="3"/>
  <c r="N4570" i="3" s="1"/>
  <c r="M4506" i="3"/>
  <c r="N4506" i="3" s="1"/>
  <c r="M4458" i="3"/>
  <c r="N4458" i="3" s="1"/>
  <c r="M4418" i="3"/>
  <c r="N4418" i="3" s="1"/>
  <c r="M7243" i="3"/>
  <c r="N7243" i="3" s="1"/>
  <c r="M7112" i="3"/>
  <c r="N7112" i="3" s="1"/>
  <c r="M7032" i="3"/>
  <c r="N7032" i="3" s="1"/>
  <c r="M6952" i="3"/>
  <c r="N6952" i="3" s="1"/>
  <c r="M6856" i="3"/>
  <c r="N6856" i="3" s="1"/>
  <c r="M6776" i="3"/>
  <c r="N6776" i="3" s="1"/>
  <c r="M6696" i="3"/>
  <c r="N6696" i="3" s="1"/>
  <c r="M7638" i="3"/>
  <c r="N7638" i="3" s="1"/>
  <c r="M7598" i="3"/>
  <c r="N7598" i="3" s="1"/>
  <c r="M7558" i="3"/>
  <c r="N7558" i="3" s="1"/>
  <c r="M7510" i="3"/>
  <c r="N7510" i="3" s="1"/>
  <c r="M7470" i="3"/>
  <c r="N7470" i="3" s="1"/>
  <c r="M7430" i="3"/>
  <c r="N7430" i="3" s="1"/>
  <c r="M7382" i="3"/>
  <c r="N7382" i="3" s="1"/>
  <c r="M7342" i="3"/>
  <c r="N7342" i="3" s="1"/>
  <c r="M7302" i="3"/>
  <c r="N7302" i="3" s="1"/>
  <c r="M7254" i="3"/>
  <c r="N7254" i="3" s="1"/>
  <c r="M7138" i="3"/>
  <c r="N7138" i="3" s="1"/>
  <c r="M7058" i="3"/>
  <c r="N7058" i="3" s="1"/>
  <c r="M6962" i="3"/>
  <c r="N6962" i="3" s="1"/>
  <c r="M6882" i="3"/>
  <c r="N6882" i="3" s="1"/>
  <c r="M6802" i="3"/>
  <c r="N6802" i="3" s="1"/>
  <c r="M6706" i="3"/>
  <c r="N6706" i="3" s="1"/>
  <c r="M6597" i="3"/>
  <c r="N6597" i="3" s="1"/>
  <c r="M6517" i="3"/>
  <c r="N6517" i="3" s="1"/>
  <c r="M7627" i="3"/>
  <c r="N7627" i="3" s="1"/>
  <c r="M7587" i="3"/>
  <c r="N7587" i="3" s="1"/>
  <c r="M7547" i="3"/>
  <c r="N7547" i="3" s="1"/>
  <c r="M7499" i="3"/>
  <c r="N7499" i="3" s="1"/>
  <c r="M7459" i="3"/>
  <c r="N7459" i="3" s="1"/>
  <c r="M7419" i="3"/>
  <c r="N7419" i="3" s="1"/>
  <c r="M7371" i="3"/>
  <c r="N7371" i="3" s="1"/>
  <c r="M7331" i="3"/>
  <c r="N7331" i="3" s="1"/>
  <c r="M7291" i="3"/>
  <c r="N7291" i="3" s="1"/>
  <c r="M7231" i="3"/>
  <c r="N7231" i="3" s="1"/>
  <c r="M7124" i="3"/>
  <c r="N7124" i="3" s="1"/>
  <c r="M7044" i="3"/>
  <c r="N7044" i="3" s="1"/>
  <c r="M6948" i="3"/>
  <c r="N6948" i="3" s="1"/>
  <c r="M6868" i="3"/>
  <c r="N6868" i="3" s="1"/>
  <c r="M6788" i="3"/>
  <c r="N6788" i="3" s="1"/>
  <c r="M6692" i="3"/>
  <c r="N6692" i="3" s="1"/>
  <c r="M7656" i="3"/>
  <c r="N7656" i="3" s="1"/>
  <c r="M7616" i="3"/>
  <c r="N7616" i="3" s="1"/>
  <c r="M7568" i="3"/>
  <c r="N7568" i="3" s="1"/>
  <c r="M7528" i="3"/>
  <c r="N7528" i="3" s="1"/>
  <c r="M7488" i="3"/>
  <c r="N7488" i="3" s="1"/>
  <c r="M7440" i="3"/>
  <c r="N7440" i="3" s="1"/>
  <c r="M7400" i="3"/>
  <c r="N7400" i="3" s="1"/>
  <c r="M7360" i="3"/>
  <c r="N7360" i="3" s="1"/>
  <c r="M7312" i="3"/>
  <c r="N7312" i="3" s="1"/>
  <c r="M7272" i="3"/>
  <c r="N7272" i="3" s="1"/>
  <c r="M7226" i="3"/>
  <c r="N7226" i="3" s="1"/>
  <c r="M7196" i="3"/>
  <c r="N7196" i="3" s="1"/>
  <c r="M7134" i="3"/>
  <c r="N7134" i="3" s="1"/>
  <c r="M7054" i="3"/>
  <c r="N7054" i="3" s="1"/>
  <c r="M6958" i="3"/>
  <c r="N6958" i="3" s="1"/>
  <c r="M6878" i="3"/>
  <c r="N6878" i="3" s="1"/>
  <c r="M6798" i="3"/>
  <c r="N6798" i="3" s="1"/>
  <c r="M6702" i="3"/>
  <c r="N6702" i="3" s="1"/>
  <c r="M6630" i="3"/>
  <c r="N6630" i="3" s="1"/>
  <c r="M5721" i="3"/>
  <c r="N5721" i="3" s="1"/>
  <c r="M5749" i="3"/>
  <c r="N5749" i="3" s="1"/>
  <c r="M5757" i="3"/>
  <c r="N5757" i="3" s="1"/>
  <c r="M5699" i="3"/>
  <c r="N5699" i="3" s="1"/>
  <c r="M5675" i="3"/>
  <c r="N5675" i="3" s="1"/>
  <c r="M5655" i="3"/>
  <c r="N5655" i="3" s="1"/>
  <c r="M5610" i="3"/>
  <c r="N5610" i="3" s="1"/>
  <c r="M5514" i="3"/>
  <c r="N5514" i="3" s="1"/>
  <c r="M5434" i="3"/>
  <c r="N5434" i="3" s="1"/>
  <c r="M5354" i="3"/>
  <c r="N5354" i="3" s="1"/>
  <c r="M5258" i="3"/>
  <c r="N5258" i="3" s="1"/>
  <c r="M5178" i="3"/>
  <c r="N5178" i="3" s="1"/>
  <c r="M5098" i="3"/>
  <c r="N5098" i="3" s="1"/>
  <c r="M5002" i="3"/>
  <c r="N5002" i="3" s="1"/>
  <c r="M4922" i="3"/>
  <c r="N4922" i="3" s="1"/>
  <c r="M4842" i="3"/>
  <c r="N4842" i="3" s="1"/>
  <c r="M4746" i="3"/>
  <c r="N4746" i="3" s="1"/>
  <c r="M5734" i="3"/>
  <c r="N5734" i="3" s="1"/>
  <c r="M5682" i="3"/>
  <c r="N5682" i="3" s="1"/>
  <c r="M5650" i="3"/>
  <c r="N5650" i="3" s="1"/>
  <c r="M5580" i="3"/>
  <c r="N5580" i="3" s="1"/>
  <c r="M5516" i="3"/>
  <c r="N5516" i="3" s="1"/>
  <c r="M5452" i="3"/>
  <c r="N5452" i="3" s="1"/>
  <c r="M5388" i="3"/>
  <c r="N5388" i="3" s="1"/>
  <c r="M5324" i="3"/>
  <c r="N5324" i="3" s="1"/>
  <c r="M5260" i="3"/>
  <c r="N5260" i="3" s="1"/>
  <c r="M5196" i="3"/>
  <c r="N5196" i="3" s="1"/>
  <c r="M5132" i="3"/>
  <c r="N5132" i="3" s="1"/>
  <c r="M5068" i="3"/>
  <c r="N5068" i="3" s="1"/>
  <c r="M5004" i="3"/>
  <c r="N5004" i="3" s="1"/>
  <c r="M4940" i="3"/>
  <c r="N4940" i="3" s="1"/>
  <c r="M4876" i="3"/>
  <c r="N4876" i="3" s="1"/>
  <c r="M4812" i="3"/>
  <c r="N4812" i="3" s="1"/>
  <c r="M4748" i="3"/>
  <c r="N4748" i="3" s="1"/>
  <c r="M4660" i="3"/>
  <c r="N4660" i="3" s="1"/>
  <c r="M4596" i="3"/>
  <c r="N4596" i="3" s="1"/>
  <c r="M4532" i="3"/>
  <c r="N4532" i="3" s="1"/>
  <c r="M4468" i="3"/>
  <c r="N4468" i="3" s="1"/>
  <c r="M4404" i="3"/>
  <c r="N4404" i="3" s="1"/>
  <c r="M4340" i="3"/>
  <c r="N4340" i="3" s="1"/>
  <c r="M5641" i="3"/>
  <c r="N5641" i="3" s="1"/>
  <c r="M5591" i="3"/>
  <c r="N5591" i="3" s="1"/>
  <c r="M5527" i="3"/>
  <c r="N5527" i="3" s="1"/>
  <c r="M5463" i="3"/>
  <c r="N5463" i="3" s="1"/>
  <c r="M5399" i="3"/>
  <c r="N5399" i="3" s="1"/>
  <c r="M5335" i="3"/>
  <c r="N5335" i="3" s="1"/>
  <c r="M5271" i="3"/>
  <c r="N5271" i="3" s="1"/>
  <c r="M5207" i="3"/>
  <c r="N5207" i="3" s="1"/>
  <c r="M5143" i="3"/>
  <c r="N5143" i="3" s="1"/>
  <c r="M5079" i="3"/>
  <c r="N5079" i="3" s="1"/>
  <c r="M5015" i="3"/>
  <c r="N5015" i="3" s="1"/>
  <c r="M4951" i="3"/>
  <c r="N4951" i="3" s="1"/>
  <c r="M4887" i="3"/>
  <c r="N4887" i="3" s="1"/>
  <c r="M4823" i="3"/>
  <c r="N4823" i="3" s="1"/>
  <c r="M4759" i="3"/>
  <c r="N4759" i="3" s="1"/>
  <c r="M5770" i="3"/>
  <c r="N5770" i="3" s="1"/>
  <c r="M5626" i="3"/>
  <c r="N5626" i="3" s="1"/>
  <c r="M5568" i="3"/>
  <c r="N5568" i="3" s="1"/>
  <c r="M5504" i="3"/>
  <c r="N5504" i="3" s="1"/>
  <c r="M5440" i="3"/>
  <c r="N5440" i="3" s="1"/>
  <c r="M5376" i="3"/>
  <c r="N5376" i="3" s="1"/>
  <c r="M5312" i="3"/>
  <c r="N5312" i="3" s="1"/>
  <c r="M5248" i="3"/>
  <c r="N5248" i="3" s="1"/>
  <c r="M5184" i="3"/>
  <c r="N5184" i="3" s="1"/>
  <c r="M5120" i="3"/>
  <c r="N5120" i="3" s="1"/>
  <c r="M5056" i="3"/>
  <c r="N5056" i="3" s="1"/>
  <c r="M4992" i="3"/>
  <c r="N4992" i="3" s="1"/>
  <c r="M4928" i="3"/>
  <c r="N4928" i="3" s="1"/>
  <c r="M4864" i="3"/>
  <c r="N4864" i="3" s="1"/>
  <c r="M4800" i="3"/>
  <c r="N4800" i="3" s="1"/>
  <c r="M4736" i="3"/>
  <c r="N4736" i="3" s="1"/>
  <c r="M4267" i="3"/>
  <c r="N4267" i="3" s="1"/>
  <c r="M4203" i="3"/>
  <c r="N4203" i="3" s="1"/>
  <c r="M4139" i="3"/>
  <c r="N4139" i="3" s="1"/>
  <c r="M4075" i="3"/>
  <c r="N4075" i="3" s="1"/>
  <c r="M4011" i="3"/>
  <c r="N4011" i="3" s="1"/>
  <c r="M3947" i="3"/>
  <c r="N3947" i="3" s="1"/>
  <c r="M3883" i="3"/>
  <c r="N3883" i="3" s="1"/>
  <c r="M4530" i="3"/>
  <c r="N4530" i="3" s="1"/>
  <c r="M4236" i="3"/>
  <c r="N4236" i="3" s="1"/>
  <c r="M4172" i="3"/>
  <c r="N4172" i="3" s="1"/>
  <c r="M4108" i="3"/>
  <c r="N4108" i="3" s="1"/>
  <c r="M4044" i="3"/>
  <c r="N4044" i="3" s="1"/>
  <c r="M3980" i="3"/>
  <c r="N3980" i="3" s="1"/>
  <c r="M3916" i="3"/>
  <c r="N3916" i="3" s="1"/>
  <c r="M3852" i="3"/>
  <c r="N3852" i="3" s="1"/>
  <c r="M4265" i="3"/>
  <c r="N4265" i="3" s="1"/>
  <c r="M4201" i="3"/>
  <c r="N4201" i="3" s="1"/>
  <c r="M4137" i="3"/>
  <c r="N4137" i="3" s="1"/>
  <c r="M4073" i="3"/>
  <c r="N4073" i="3" s="1"/>
  <c r="M4009" i="3"/>
  <c r="N4009" i="3" s="1"/>
  <c r="M3945" i="3"/>
  <c r="N3945" i="3" s="1"/>
  <c r="M3881" i="3"/>
  <c r="N3881" i="3" s="1"/>
  <c r="M7665" i="3"/>
  <c r="N7665" i="3" s="1"/>
  <c r="M7633" i="3"/>
  <c r="N7633" i="3" s="1"/>
  <c r="M7601" i="3"/>
  <c r="N7601" i="3" s="1"/>
  <c r="M7569" i="3"/>
  <c r="N7569" i="3" s="1"/>
  <c r="M7537" i="3"/>
  <c r="N7537" i="3" s="1"/>
  <c r="M7505" i="3"/>
  <c r="N7505" i="3" s="1"/>
  <c r="M7473" i="3"/>
  <c r="N7473" i="3" s="1"/>
  <c r="M7441" i="3"/>
  <c r="N7441" i="3" s="1"/>
  <c r="M7409" i="3"/>
  <c r="N7409" i="3" s="1"/>
  <c r="M7377" i="3"/>
  <c r="N7377" i="3" s="1"/>
  <c r="M7345" i="3"/>
  <c r="N7345" i="3" s="1"/>
  <c r="M7313" i="3"/>
  <c r="N7313" i="3" s="1"/>
  <c r="M7281" i="3"/>
  <c r="N7281" i="3" s="1"/>
  <c r="M7249" i="3"/>
  <c r="N7249" i="3" s="1"/>
  <c r="M7143" i="3"/>
  <c r="N7143" i="3" s="1"/>
  <c r="M7079" i="3"/>
  <c r="N7079" i="3" s="1"/>
  <c r="M7015" i="3"/>
  <c r="N7015" i="3" s="1"/>
  <c r="M6951" i="3"/>
  <c r="N6951" i="3" s="1"/>
  <c r="M6887" i="3"/>
  <c r="N6887" i="3" s="1"/>
  <c r="M6823" i="3"/>
  <c r="N6823" i="3" s="1"/>
  <c r="M6759" i="3"/>
  <c r="N6759" i="3" s="1"/>
  <c r="M6695" i="3"/>
  <c r="N6695" i="3" s="1"/>
  <c r="M7662" i="3"/>
  <c r="N7662" i="3" s="1"/>
  <c r="M7169" i="3"/>
  <c r="N7169" i="3" s="1"/>
  <c r="M7105" i="3"/>
  <c r="N7105" i="3" s="1"/>
  <c r="M7041" i="3"/>
  <c r="N7041" i="3" s="1"/>
  <c r="M6977" i="3"/>
  <c r="N6977" i="3" s="1"/>
  <c r="M6913" i="3"/>
  <c r="N6913" i="3" s="1"/>
  <c r="M6849" i="3"/>
  <c r="N6849" i="3" s="1"/>
  <c r="M6785" i="3"/>
  <c r="N6785" i="3" s="1"/>
  <c r="M6721" i="3"/>
  <c r="N6721" i="3" s="1"/>
  <c r="M6657" i="3"/>
  <c r="N6657" i="3" s="1"/>
  <c r="M6561" i="3"/>
  <c r="N6561" i="3" s="1"/>
  <c r="M7239" i="3"/>
  <c r="N7239" i="3" s="1"/>
  <c r="M7155" i="3"/>
  <c r="N7155" i="3" s="1"/>
  <c r="M7091" i="3"/>
  <c r="N7091" i="3" s="1"/>
  <c r="M7027" i="3"/>
  <c r="N7027" i="3" s="1"/>
  <c r="M6963" i="3"/>
  <c r="N6963" i="3" s="1"/>
  <c r="M6899" i="3"/>
  <c r="N6899" i="3" s="1"/>
  <c r="M6835" i="3"/>
  <c r="N6835" i="3" s="1"/>
  <c r="M6771" i="3"/>
  <c r="N6771" i="3" s="1"/>
  <c r="M6707" i="3"/>
  <c r="N6707" i="3" s="1"/>
  <c r="M7215" i="3"/>
  <c r="N7215" i="3" s="1"/>
  <c r="M7199" i="3"/>
  <c r="N7199" i="3" s="1"/>
  <c r="M7165" i="3"/>
  <c r="N7165" i="3" s="1"/>
  <c r="M7101" i="3"/>
  <c r="N7101" i="3" s="1"/>
  <c r="M7037" i="3"/>
  <c r="N7037" i="3" s="1"/>
  <c r="M6973" i="3"/>
  <c r="N6973" i="3" s="1"/>
  <c r="M6909" i="3"/>
  <c r="N6909" i="3" s="1"/>
  <c r="M6845" i="3"/>
  <c r="N6845" i="3" s="1"/>
  <c r="M6781" i="3"/>
  <c r="N6781" i="3" s="1"/>
  <c r="M6717" i="3"/>
  <c r="N6717" i="3" s="1"/>
  <c r="M6653" i="3"/>
  <c r="N6653" i="3" s="1"/>
  <c r="M6628" i="3"/>
  <c r="N6628" i="3" s="1"/>
  <c r="M6497" i="3"/>
  <c r="N6497" i="3" s="1"/>
  <c r="M6465" i="3"/>
  <c r="N6465" i="3" s="1"/>
  <c r="M6433" i="3"/>
  <c r="N6433" i="3" s="1"/>
  <c r="M6401" i="3"/>
  <c r="N6401" i="3" s="1"/>
  <c r="M6369" i="3"/>
  <c r="N6369" i="3" s="1"/>
  <c r="M6337" i="3"/>
  <c r="N6337" i="3" s="1"/>
  <c r="M6305" i="3"/>
  <c r="N6305" i="3" s="1"/>
  <c r="M6273" i="3"/>
  <c r="N6273" i="3" s="1"/>
  <c r="M6241" i="3"/>
  <c r="N6241" i="3" s="1"/>
  <c r="M6209" i="3"/>
  <c r="N6209" i="3" s="1"/>
  <c r="M6177" i="3"/>
  <c r="N6177" i="3" s="1"/>
  <c r="M6145" i="3"/>
  <c r="N6145" i="3" s="1"/>
  <c r="M6113" i="3"/>
  <c r="N6113" i="3" s="1"/>
  <c r="M6081" i="3"/>
  <c r="N6081" i="3" s="1"/>
  <c r="M6049" i="3"/>
  <c r="N6049" i="3" s="1"/>
  <c r="M6017" i="3"/>
  <c r="N6017" i="3" s="1"/>
  <c r="M5985" i="3"/>
  <c r="N5985" i="3" s="1"/>
  <c r="M5953" i="3"/>
  <c r="N5953" i="3" s="1"/>
  <c r="M5921" i="3"/>
  <c r="N5921" i="3" s="1"/>
  <c r="M5889" i="3"/>
  <c r="N5889" i="3" s="1"/>
  <c r="M5857" i="3"/>
  <c r="N5857" i="3" s="1"/>
  <c r="M5825" i="3"/>
  <c r="N5825" i="3" s="1"/>
  <c r="M5765" i="3"/>
  <c r="N5765" i="3" s="1"/>
  <c r="M6587" i="3"/>
  <c r="N6587" i="3" s="1"/>
  <c r="M6555" i="3"/>
  <c r="N6555" i="3" s="1"/>
  <c r="M6523" i="3"/>
  <c r="N6523" i="3" s="1"/>
  <c r="M6491" i="3"/>
  <c r="N6491" i="3" s="1"/>
  <c r="M6459" i="3"/>
  <c r="N6459" i="3" s="1"/>
  <c r="M6427" i="3"/>
  <c r="N6427" i="3" s="1"/>
  <c r="M6395" i="3"/>
  <c r="N6395" i="3" s="1"/>
  <c r="M6363" i="3"/>
  <c r="N6363" i="3" s="1"/>
  <c r="M6331" i="3"/>
  <c r="N6331" i="3" s="1"/>
  <c r="M6299" i="3"/>
  <c r="N6299" i="3" s="1"/>
  <c r="M6267" i="3"/>
  <c r="N6267" i="3" s="1"/>
  <c r="M6235" i="3"/>
  <c r="N6235" i="3" s="1"/>
  <c r="M6203" i="3"/>
  <c r="N6203" i="3" s="1"/>
  <c r="M6171" i="3"/>
  <c r="N6171" i="3" s="1"/>
  <c r="M6139" i="3"/>
  <c r="N6139" i="3" s="1"/>
  <c r="M6107" i="3"/>
  <c r="N6107" i="3" s="1"/>
  <c r="M6075" i="3"/>
  <c r="N6075" i="3" s="1"/>
  <c r="M6043" i="3"/>
  <c r="N6043" i="3" s="1"/>
  <c r="M6011" i="3"/>
  <c r="N6011" i="3" s="1"/>
  <c r="M5979" i="3"/>
  <c r="N5979" i="3" s="1"/>
  <c r="M5947" i="3"/>
  <c r="N5947" i="3" s="1"/>
  <c r="M5915" i="3"/>
  <c r="N5915" i="3" s="1"/>
  <c r="M5883" i="3"/>
  <c r="N5883" i="3" s="1"/>
  <c r="M5851" i="3"/>
  <c r="N5851" i="3" s="1"/>
  <c r="M5819" i="3"/>
  <c r="N5819" i="3" s="1"/>
  <c r="M5631" i="3"/>
  <c r="N5631" i="3" s="1"/>
  <c r="M5571" i="3"/>
  <c r="N5571" i="3" s="1"/>
  <c r="M5507" i="3"/>
  <c r="N5507" i="3" s="1"/>
  <c r="M5443" i="3"/>
  <c r="N5443" i="3" s="1"/>
  <c r="M5379" i="3"/>
  <c r="N5379" i="3" s="1"/>
  <c r="M5315" i="3"/>
  <c r="N5315" i="3" s="1"/>
  <c r="M5251" i="3"/>
  <c r="N5251" i="3" s="1"/>
  <c r="M5187" i="3"/>
  <c r="N5187" i="3" s="1"/>
  <c r="M5123" i="3"/>
  <c r="N5123" i="3" s="1"/>
  <c r="M5059" i="3"/>
  <c r="N5059" i="3" s="1"/>
  <c r="M4995" i="3"/>
  <c r="N4995" i="3" s="1"/>
  <c r="M4931" i="3"/>
  <c r="N4931" i="3" s="1"/>
  <c r="M4867" i="3"/>
  <c r="N4867" i="3" s="1"/>
  <c r="M4803" i="3"/>
  <c r="N4803" i="3" s="1"/>
  <c r="M4739" i="3"/>
  <c r="N4739" i="3" s="1"/>
  <c r="M5758" i="3"/>
  <c r="N5758" i="3" s="1"/>
  <c r="M5696" i="3"/>
  <c r="N5696" i="3" s="1"/>
  <c r="M5664" i="3"/>
  <c r="N5664" i="3" s="1"/>
  <c r="M5621" i="3"/>
  <c r="N5621" i="3" s="1"/>
  <c r="M5557" i="3"/>
  <c r="N5557" i="3" s="1"/>
  <c r="M5493" i="3"/>
  <c r="N5493" i="3" s="1"/>
  <c r="M5429" i="3"/>
  <c r="N5429" i="3" s="1"/>
  <c r="M5365" i="3"/>
  <c r="N5365" i="3" s="1"/>
  <c r="M5301" i="3"/>
  <c r="N5301" i="3" s="1"/>
  <c r="M5237" i="3"/>
  <c r="N5237" i="3" s="1"/>
  <c r="M5173" i="3"/>
  <c r="N5173" i="3" s="1"/>
  <c r="M5109" i="3"/>
  <c r="N5109" i="3" s="1"/>
  <c r="M5045" i="3"/>
  <c r="N5045" i="3" s="1"/>
  <c r="M4981" i="3"/>
  <c r="N4981" i="3" s="1"/>
  <c r="M4917" i="3"/>
  <c r="N4917" i="3" s="1"/>
  <c r="M4853" i="3"/>
  <c r="N4853" i="3" s="1"/>
  <c r="M4789" i="3"/>
  <c r="N4789" i="3" s="1"/>
  <c r="M4725" i="3"/>
  <c r="N4725" i="3" s="1"/>
  <c r="M4640" i="3"/>
  <c r="N4640" i="3" s="1"/>
  <c r="M4576" i="3"/>
  <c r="N4576" i="3" s="1"/>
  <c r="M4512" i="3"/>
  <c r="N4512" i="3" s="1"/>
  <c r="M4448" i="3"/>
  <c r="N4448" i="3" s="1"/>
  <c r="M4384" i="3"/>
  <c r="N4384" i="3" s="1"/>
  <c r="M4320" i="3"/>
  <c r="N4320" i="3" s="1"/>
  <c r="M5590" i="3"/>
  <c r="N5590" i="3" s="1"/>
  <c r="M5526" i="3"/>
  <c r="N5526" i="3" s="1"/>
  <c r="M5462" i="3"/>
  <c r="N5462" i="3" s="1"/>
  <c r="M5398" i="3"/>
  <c r="N5398" i="3" s="1"/>
  <c r="M5334" i="3"/>
  <c r="N5334" i="3" s="1"/>
  <c r="M5270" i="3"/>
  <c r="N5270" i="3" s="1"/>
  <c r="M5206" i="3"/>
  <c r="N5206" i="3" s="1"/>
  <c r="M5142" i="3"/>
  <c r="N5142" i="3" s="1"/>
  <c r="M5078" i="3"/>
  <c r="N5078" i="3" s="1"/>
  <c r="M5014" i="3"/>
  <c r="N5014" i="3" s="1"/>
  <c r="M4950" i="3"/>
  <c r="N4950" i="3" s="1"/>
  <c r="M4886" i="3"/>
  <c r="N4886" i="3" s="1"/>
  <c r="M4822" i="3"/>
  <c r="N4822" i="3" s="1"/>
  <c r="M4758" i="3"/>
  <c r="N4758" i="3" s="1"/>
  <c r="M5794" i="3"/>
  <c r="N5794" i="3" s="1"/>
  <c r="M5609" i="3"/>
  <c r="N5609" i="3" s="1"/>
  <c r="M5545" i="3"/>
  <c r="N5545" i="3" s="1"/>
  <c r="M5481" i="3"/>
  <c r="N5481" i="3" s="1"/>
  <c r="M5417" i="3"/>
  <c r="N5417" i="3" s="1"/>
  <c r="M5353" i="3"/>
  <c r="N5353" i="3" s="1"/>
  <c r="M5289" i="3"/>
  <c r="N5289" i="3" s="1"/>
  <c r="M5225" i="3"/>
  <c r="N5225" i="3" s="1"/>
  <c r="M5161" i="3"/>
  <c r="N5161" i="3" s="1"/>
  <c r="M5097" i="3"/>
  <c r="N5097" i="3" s="1"/>
  <c r="M5033" i="3"/>
  <c r="N5033" i="3" s="1"/>
  <c r="M4969" i="3"/>
  <c r="N4969" i="3" s="1"/>
  <c r="M4905" i="3"/>
  <c r="N4905" i="3" s="1"/>
  <c r="M4841" i="3"/>
  <c r="N4841" i="3" s="1"/>
  <c r="M4777" i="3"/>
  <c r="N4777" i="3" s="1"/>
  <c r="M4713" i="3"/>
  <c r="N4713" i="3" s="1"/>
  <c r="M4247" i="3"/>
  <c r="N4247" i="3" s="1"/>
  <c r="M4183" i="3"/>
  <c r="N4183" i="3" s="1"/>
  <c r="M4119" i="3"/>
  <c r="N4119" i="3" s="1"/>
  <c r="M4055" i="3"/>
  <c r="N4055" i="3" s="1"/>
  <c r="M3991" i="3"/>
  <c r="N3991" i="3" s="1"/>
  <c r="M3927" i="3"/>
  <c r="N3927" i="3" s="1"/>
  <c r="M3863" i="3"/>
  <c r="N3863" i="3" s="1"/>
  <c r="M4362" i="3"/>
  <c r="N4362" i="3" s="1"/>
  <c r="M4330" i="3"/>
  <c r="N4330" i="3" s="1"/>
  <c r="M4298" i="3"/>
  <c r="N4298" i="3" s="1"/>
  <c r="M4264" i="3"/>
  <c r="N4264" i="3" s="1"/>
  <c r="M4200" i="3"/>
  <c r="N4200" i="3" s="1"/>
  <c r="M4136" i="3"/>
  <c r="N4136" i="3" s="1"/>
  <c r="M4072" i="3"/>
  <c r="N4072" i="3" s="1"/>
  <c r="M4096" i="3"/>
  <c r="N4096" i="3" s="1"/>
  <c r="M3944" i="3"/>
  <c r="N3944" i="3" s="1"/>
  <c r="M4685" i="3"/>
  <c r="N4685" i="3" s="1"/>
  <c r="M4165" i="3"/>
  <c r="N4165" i="3" s="1"/>
  <c r="M4037" i="3"/>
  <c r="N4037" i="3" s="1"/>
  <c r="M3909" i="3"/>
  <c r="N3909" i="3" s="1"/>
  <c r="M4676" i="3"/>
  <c r="N4676" i="3" s="1"/>
  <c r="M4534" i="3"/>
  <c r="N4534" i="3" s="1"/>
  <c r="M4502" i="3"/>
  <c r="N4502" i="3" s="1"/>
  <c r="M4470" i="3"/>
  <c r="N4470" i="3" s="1"/>
  <c r="M4438" i="3"/>
  <c r="N4438" i="3" s="1"/>
  <c r="M4382" i="3"/>
  <c r="N4382" i="3" s="1"/>
  <c r="M4222" i="3"/>
  <c r="N4222" i="3" s="1"/>
  <c r="M4158" i="3"/>
  <c r="N4158" i="3" s="1"/>
  <c r="M4094" i="3"/>
  <c r="N4094" i="3" s="1"/>
  <c r="M4030" i="3"/>
  <c r="N4030" i="3" s="1"/>
  <c r="M3966" i="3"/>
  <c r="N3966" i="3" s="1"/>
  <c r="M3902" i="3"/>
  <c r="N3902" i="3" s="1"/>
  <c r="M3697" i="3"/>
  <c r="N3697" i="3" s="1"/>
  <c r="M3669" i="3"/>
  <c r="N3669" i="3" s="1"/>
  <c r="M3605" i="3"/>
  <c r="N3605" i="3" s="1"/>
  <c r="M3673" i="3"/>
  <c r="N3673" i="3" s="1"/>
  <c r="M3609" i="3"/>
  <c r="N3609" i="3" s="1"/>
  <c r="M3658" i="3"/>
  <c r="N3658" i="3" s="1"/>
  <c r="M3561" i="3"/>
  <c r="N3561" i="3" s="1"/>
  <c r="M3432" i="3"/>
  <c r="N3432" i="3" s="1"/>
  <c r="M3400" i="3"/>
  <c r="N3400" i="3" s="1"/>
  <c r="M3368" i="3"/>
  <c r="N3368" i="3" s="1"/>
  <c r="M3336" i="3"/>
  <c r="N3336" i="3" s="1"/>
  <c r="M3304" i="3"/>
  <c r="N3304" i="3" s="1"/>
  <c r="M3272" i="3"/>
  <c r="N3272" i="3" s="1"/>
  <c r="M3240" i="3"/>
  <c r="N3240" i="3" s="1"/>
  <c r="M3591" i="3"/>
  <c r="N3591" i="3" s="1"/>
  <c r="M3527" i="3"/>
  <c r="N3527" i="3" s="1"/>
  <c r="M3549" i="3"/>
  <c r="N3549" i="3" s="1"/>
  <c r="M3651" i="3"/>
  <c r="N3651" i="3" s="1"/>
  <c r="M3587" i="3"/>
  <c r="N3587" i="3" s="1"/>
  <c r="M3523" i="3"/>
  <c r="N3523" i="3" s="1"/>
  <c r="M2597" i="3"/>
  <c r="N2597" i="3" s="1"/>
  <c r="M2551" i="3"/>
  <c r="N2551" i="3" s="1"/>
  <c r="M2419" i="3"/>
  <c r="N2419" i="3" s="1"/>
  <c r="M2533" i="3"/>
  <c r="N2533" i="3" s="1"/>
  <c r="M2469" i="3"/>
  <c r="N2469" i="3" s="1"/>
  <c r="M2388" i="3"/>
  <c r="N2388" i="3" s="1"/>
  <c r="M3169" i="3"/>
  <c r="N3169" i="3" s="1"/>
  <c r="M3105" i="3"/>
  <c r="N3105" i="3" s="1"/>
  <c r="M3041" i="3"/>
  <c r="N3041" i="3" s="1"/>
  <c r="M2977" i="3"/>
  <c r="N2977" i="3" s="1"/>
  <c r="M2913" i="3"/>
  <c r="N2913" i="3" s="1"/>
  <c r="M2849" i="3"/>
  <c r="N2849" i="3" s="1"/>
  <c r="M2785" i="3"/>
  <c r="N2785" i="3" s="1"/>
  <c r="M2721" i="3"/>
  <c r="N2721" i="3" s="1"/>
  <c r="M2657" i="3"/>
  <c r="N2657" i="3" s="1"/>
  <c r="M2593" i="3"/>
  <c r="N2593" i="3" s="1"/>
  <c r="M2543" i="3"/>
  <c r="N2543" i="3" s="1"/>
  <c r="M2405" i="3"/>
  <c r="N2405" i="3" s="1"/>
  <c r="M3148" i="3"/>
  <c r="N3148" i="3" s="1"/>
  <c r="M3116" i="3"/>
  <c r="N3116" i="3" s="1"/>
  <c r="M3084" i="3"/>
  <c r="N3084" i="3" s="1"/>
  <c r="M3052" i="3"/>
  <c r="N3052" i="3" s="1"/>
  <c r="M3020" i="3"/>
  <c r="N3020" i="3" s="1"/>
  <c r="M2988" i="3"/>
  <c r="N2988" i="3" s="1"/>
  <c r="M2956" i="3"/>
  <c r="N2956" i="3" s="1"/>
  <c r="M2924" i="3"/>
  <c r="N2924" i="3" s="1"/>
  <c r="M2892" i="3"/>
  <c r="N2892" i="3" s="1"/>
  <c r="M2860" i="3"/>
  <c r="N2860" i="3" s="1"/>
  <c r="M2828" i="3"/>
  <c r="N2828" i="3" s="1"/>
  <c r="M2796" i="3"/>
  <c r="N2796" i="3" s="1"/>
  <c r="M2764" i="3"/>
  <c r="N2764" i="3" s="1"/>
  <c r="M2732" i="3"/>
  <c r="N2732" i="3" s="1"/>
  <c r="M2700" i="3"/>
  <c r="N2700" i="3" s="1"/>
  <c r="M2668" i="3"/>
  <c r="N2668" i="3" s="1"/>
  <c r="M2636" i="3"/>
  <c r="N2636" i="3" s="1"/>
  <c r="M2604" i="3"/>
  <c r="N2604" i="3" s="1"/>
  <c r="M2572" i="3"/>
  <c r="N2572" i="3" s="1"/>
  <c r="M2529" i="3"/>
  <c r="N2529" i="3" s="1"/>
  <c r="M2465" i="3"/>
  <c r="N2465" i="3" s="1"/>
  <c r="M2390" i="3"/>
  <c r="N2390" i="3" s="1"/>
  <c r="M2244" i="3"/>
  <c r="N2244" i="3" s="1"/>
  <c r="M2520" i="3"/>
  <c r="N2520" i="3" s="1"/>
  <c r="M2456" i="3"/>
  <c r="N2456" i="3" s="1"/>
  <c r="M2400" i="3"/>
  <c r="N2400" i="3" s="1"/>
  <c r="M2354" i="3"/>
  <c r="N2354" i="3" s="1"/>
  <c r="M2304" i="3"/>
  <c r="N2304" i="3" s="1"/>
  <c r="M2240" i="3"/>
  <c r="N2240" i="3" s="1"/>
  <c r="M2176" i="3"/>
  <c r="N2176" i="3" s="1"/>
  <c r="M2112" i="3"/>
  <c r="N2112" i="3" s="1"/>
  <c r="M1969" i="3"/>
  <c r="N1969" i="3" s="1"/>
  <c r="M2098" i="3"/>
  <c r="N2098" i="3" s="1"/>
  <c r="M2082" i="3"/>
  <c r="N2082" i="3" s="1"/>
  <c r="M2066" i="3"/>
  <c r="N2066" i="3" s="1"/>
  <c r="M2050" i="3"/>
  <c r="N2050" i="3" s="1"/>
  <c r="M2034" i="3"/>
  <c r="N2034" i="3" s="1"/>
  <c r="M2018" i="3"/>
  <c r="N2018" i="3" s="1"/>
  <c r="M2002" i="3"/>
  <c r="N2002" i="3" s="1"/>
  <c r="M1978" i="3"/>
  <c r="N1978" i="3" s="1"/>
  <c r="M1946" i="3"/>
  <c r="N1946" i="3" s="1"/>
  <c r="M1828" i="3"/>
  <c r="N1828" i="3" s="1"/>
  <c r="M1796" i="3"/>
  <c r="N1796" i="3" s="1"/>
  <c r="M1705" i="3"/>
  <c r="N1705" i="3" s="1"/>
  <c r="M1531" i="3"/>
  <c r="N1531" i="3" s="1"/>
  <c r="M1837" i="3"/>
  <c r="N1837" i="3" s="1"/>
  <c r="M1733" i="3"/>
  <c r="N1733" i="3" s="1"/>
  <c r="M1579" i="3"/>
  <c r="N1579" i="3" s="1"/>
  <c r="M1692" i="3"/>
  <c r="N1692" i="3" s="1"/>
  <c r="M1376" i="3"/>
  <c r="N1376" i="3" s="1"/>
  <c r="M1897" i="3"/>
  <c r="N1897" i="3" s="1"/>
  <c r="M1856" i="3"/>
  <c r="N1856" i="3" s="1"/>
  <c r="M1612" i="3"/>
  <c r="N1612" i="3" s="1"/>
  <c r="M100" i="3"/>
  <c r="N100" i="3" s="1"/>
  <c r="M34" i="3"/>
  <c r="N34" i="3" s="1"/>
  <c r="M66" i="3"/>
  <c r="N66" i="3" s="1"/>
  <c r="M55" i="3"/>
  <c r="N55" i="3" s="1"/>
  <c r="M87" i="3"/>
  <c r="N87" i="3" s="1"/>
  <c r="M182" i="3"/>
  <c r="N182" i="3" s="1"/>
  <c r="M246" i="3"/>
  <c r="N246" i="3" s="1"/>
  <c r="M167" i="3"/>
  <c r="N167" i="3" s="1"/>
  <c r="M226" i="3"/>
  <c r="N226" i="3" s="1"/>
  <c r="M336" i="3"/>
  <c r="N336" i="3" s="1"/>
  <c r="M368" i="3"/>
  <c r="N368" i="3" s="1"/>
  <c r="M183" i="3"/>
  <c r="N183" i="3" s="1"/>
  <c r="M287" i="3"/>
  <c r="N287" i="3" s="1"/>
  <c r="M307" i="3"/>
  <c r="N307" i="3" s="1"/>
  <c r="M323" i="3"/>
  <c r="N323" i="3" s="1"/>
  <c r="M153" i="3"/>
  <c r="N153" i="3" s="1"/>
  <c r="M45" i="3"/>
  <c r="N45" i="3" s="1"/>
  <c r="M77" i="3"/>
  <c r="N77" i="3" s="1"/>
  <c r="M32" i="3"/>
  <c r="N32" i="3" s="1"/>
  <c r="M64" i="3"/>
  <c r="N64" i="3" s="1"/>
  <c r="M99" i="3"/>
  <c r="N99" i="3" s="1"/>
  <c r="M115" i="3"/>
  <c r="N115" i="3" s="1"/>
  <c r="M189" i="3"/>
  <c r="N189" i="3" s="1"/>
  <c r="M221" i="3"/>
  <c r="N221" i="3" s="1"/>
  <c r="M253" i="3"/>
  <c r="N253" i="3" s="1"/>
  <c r="M118" i="3"/>
  <c r="N118" i="3" s="1"/>
  <c r="M282" i="3"/>
  <c r="N282" i="3" s="1"/>
  <c r="M209" i="3"/>
  <c r="N209" i="3" s="1"/>
  <c r="M46" i="3"/>
  <c r="N46" i="3" s="1"/>
  <c r="M78" i="3"/>
  <c r="N78" i="3" s="1"/>
  <c r="M51" i="3"/>
  <c r="N51" i="3" s="1"/>
  <c r="M83" i="3"/>
  <c r="N83" i="3" s="1"/>
  <c r="M206" i="3"/>
  <c r="N206" i="3" s="1"/>
  <c r="M270" i="3"/>
  <c r="N270" i="3" s="1"/>
  <c r="M202" i="3"/>
  <c r="N202" i="3" s="1"/>
  <c r="M266" i="3"/>
  <c r="N266" i="3" s="1"/>
  <c r="M356" i="3"/>
  <c r="N356" i="3" s="1"/>
  <c r="M407" i="3"/>
  <c r="N407" i="3" s="1"/>
  <c r="M281" i="3"/>
  <c r="N281" i="3" s="1"/>
  <c r="M391" i="3"/>
  <c r="N391" i="3" s="1"/>
  <c r="M65" i="3"/>
  <c r="N65" i="3" s="1"/>
  <c r="M60" i="3"/>
  <c r="N60" i="3" s="1"/>
  <c r="M97" i="3"/>
  <c r="N97" i="3" s="1"/>
  <c r="M113" i="3"/>
  <c r="N113" i="3" s="1"/>
  <c r="M155" i="3"/>
  <c r="N155" i="3" s="1"/>
  <c r="M159" i="3"/>
  <c r="N159" i="3" s="1"/>
  <c r="M203" i="3"/>
  <c r="N203" i="3" s="1"/>
  <c r="M235" i="3"/>
  <c r="N235" i="3" s="1"/>
  <c r="M267" i="3"/>
  <c r="N267" i="3" s="1"/>
  <c r="M176" i="3"/>
  <c r="N176" i="3" s="1"/>
  <c r="M290" i="3"/>
  <c r="N290" i="3" s="1"/>
  <c r="M207" i="3"/>
  <c r="N207" i="3" s="1"/>
  <c r="M370" i="3"/>
  <c r="N370" i="3" s="1"/>
  <c r="M434" i="3"/>
  <c r="N434" i="3" s="1"/>
  <c r="M498" i="3"/>
  <c r="N498" i="3" s="1"/>
  <c r="M562" i="3"/>
  <c r="N562" i="3" s="1"/>
  <c r="M626" i="3"/>
  <c r="N626" i="3" s="1"/>
  <c r="M404" i="3"/>
  <c r="N404" i="3" s="1"/>
  <c r="M465" i="3"/>
  <c r="N465" i="3" s="1"/>
  <c r="M529" i="3"/>
  <c r="N529" i="3" s="1"/>
  <c r="M593" i="3"/>
  <c r="N593" i="3" s="1"/>
  <c r="M442" i="3"/>
  <c r="N442" i="3" s="1"/>
  <c r="M841" i="3"/>
  <c r="N841" i="3" s="1"/>
  <c r="M905" i="3"/>
  <c r="N905" i="3" s="1"/>
  <c r="M838" i="3"/>
  <c r="N838" i="3" s="1"/>
  <c r="M870" i="3"/>
  <c r="N870" i="3" s="1"/>
  <c r="M902" i="3"/>
  <c r="N902" i="3" s="1"/>
  <c r="M541" i="3"/>
  <c r="N541" i="3" s="1"/>
  <c r="M866" i="3"/>
  <c r="N866" i="3" s="1"/>
  <c r="M1182" i="3"/>
  <c r="N1182" i="3" s="1"/>
  <c r="M1294" i="3"/>
  <c r="N1294" i="3" s="1"/>
  <c r="M702" i="3"/>
  <c r="N702" i="3" s="1"/>
  <c r="M734" i="3"/>
  <c r="N734" i="3" s="1"/>
  <c r="M766" i="3"/>
  <c r="N766" i="3" s="1"/>
  <c r="M798" i="3"/>
  <c r="N798" i="3" s="1"/>
  <c r="M1146" i="3"/>
  <c r="N1146" i="3" s="1"/>
  <c r="M1274" i="3"/>
  <c r="N1274" i="3" s="1"/>
  <c r="M916" i="3"/>
  <c r="N916" i="3" s="1"/>
  <c r="M1206" i="3"/>
  <c r="N1206" i="3" s="1"/>
  <c r="M1314" i="3"/>
  <c r="N1314" i="3" s="1"/>
  <c r="M947" i="3"/>
  <c r="N947" i="3" s="1"/>
  <c r="M1075" i="3"/>
  <c r="N1075" i="3" s="1"/>
  <c r="M1324" i="3"/>
  <c r="N1324" i="3" s="1"/>
  <c r="M1372" i="3"/>
  <c r="N1372" i="3" s="1"/>
  <c r="M1436" i="3"/>
  <c r="N1436" i="3" s="1"/>
  <c r="M1500" i="3"/>
  <c r="N1500" i="3" s="1"/>
  <c r="M1557" i="3"/>
  <c r="N1557" i="3" s="1"/>
  <c r="M1594" i="3"/>
  <c r="N1594" i="3" s="1"/>
  <c r="M1639" i="3"/>
  <c r="N1639" i="3" s="1"/>
  <c r="M1685" i="3"/>
  <c r="N1685" i="3" s="1"/>
  <c r="M1722" i="3"/>
  <c r="N1722" i="3" s="1"/>
  <c r="M1758" i="3"/>
  <c r="N1758" i="3" s="1"/>
  <c r="M1266" i="3"/>
  <c r="N1266" i="3" s="1"/>
  <c r="M1398" i="3"/>
  <c r="N1398" i="3" s="1"/>
  <c r="M1462" i="3"/>
  <c r="N1462" i="3" s="1"/>
  <c r="M1556" i="3"/>
  <c r="N1556" i="3" s="1"/>
  <c r="M1684" i="3"/>
  <c r="N1684" i="3" s="1"/>
  <c r="M955" i="3"/>
  <c r="N955" i="3" s="1"/>
  <c r="M1083" i="3"/>
  <c r="N1083" i="3" s="1"/>
  <c r="M1380" i="3"/>
  <c r="N1380" i="3" s="1"/>
  <c r="M1444" i="3"/>
  <c r="N1444" i="3" s="1"/>
  <c r="M1536" i="3"/>
  <c r="N1536" i="3" s="1"/>
  <c r="M1696" i="3"/>
  <c r="N1696" i="3" s="1"/>
  <c r="M1031" i="3"/>
  <c r="N1031" i="3" s="1"/>
  <c r="M1614" i="3"/>
  <c r="N1614" i="3" s="1"/>
  <c r="M1866" i="3"/>
  <c r="N1866" i="3" s="1"/>
  <c r="M1928" i="3"/>
  <c r="N1928" i="3" s="1"/>
  <c r="M1778" i="3"/>
  <c r="N1778" i="3" s="1"/>
  <c r="M1822" i="3"/>
  <c r="N1822" i="3" s="1"/>
  <c r="M1392" i="3"/>
  <c r="N1392" i="3" s="1"/>
  <c r="M199" i="3"/>
  <c r="N199" i="3" s="1"/>
  <c r="M1930" i="3"/>
  <c r="N1930" i="3" s="1"/>
  <c r="M1960" i="3"/>
  <c r="N1960" i="3" s="1"/>
  <c r="M1921" i="3"/>
  <c r="N1921" i="3" s="1"/>
  <c r="M2164" i="3"/>
  <c r="N2164" i="3" s="1"/>
  <c r="M2252" i="3"/>
  <c r="N2252" i="3" s="1"/>
  <c r="M2337" i="3"/>
  <c r="N2337" i="3" s="1"/>
  <c r="M2392" i="3"/>
  <c r="N2392" i="3" s="1"/>
  <c r="M2460" i="3"/>
  <c r="N2460" i="3" s="1"/>
  <c r="M1973" i="3"/>
  <c r="N1973" i="3" s="1"/>
  <c r="M2396" i="3"/>
  <c r="N2396" i="3" s="1"/>
  <c r="M2482" i="3"/>
  <c r="N2482" i="3" s="1"/>
  <c r="M2423" i="3"/>
  <c r="N2423" i="3" s="1"/>
  <c r="M2585" i="3"/>
  <c r="N2585" i="3" s="1"/>
  <c r="M2334" i="3"/>
  <c r="N2334" i="3" s="1"/>
  <c r="M2470" i="3"/>
  <c r="N2470" i="3" s="1"/>
  <c r="M2544" i="3"/>
  <c r="N2544" i="3" s="1"/>
  <c r="M2590" i="3"/>
  <c r="N2590" i="3" s="1"/>
  <c r="M2638" i="3"/>
  <c r="N2638" i="3" s="1"/>
  <c r="M2678" i="3"/>
  <c r="N2678" i="3" s="1"/>
  <c r="M2718" i="3"/>
  <c r="N2718" i="3" s="1"/>
  <c r="M2766" i="3"/>
  <c r="N2766" i="3" s="1"/>
  <c r="M2806" i="3"/>
  <c r="N2806" i="3" s="1"/>
  <c r="M2846" i="3"/>
  <c r="N2846" i="3" s="1"/>
  <c r="M2894" i="3"/>
  <c r="N2894" i="3" s="1"/>
  <c r="M2934" i="3"/>
  <c r="N2934" i="3" s="1"/>
  <c r="M2974" i="3"/>
  <c r="N2974" i="3" s="1"/>
  <c r="M3022" i="3"/>
  <c r="N3022" i="3" s="1"/>
  <c r="M3062" i="3"/>
  <c r="N3062" i="3" s="1"/>
  <c r="M3102" i="3"/>
  <c r="N3102" i="3" s="1"/>
  <c r="M3150" i="3"/>
  <c r="N3150" i="3" s="1"/>
  <c r="M2427" i="3"/>
  <c r="N2427" i="3" s="1"/>
  <c r="M2589" i="3"/>
  <c r="N2589" i="3" s="1"/>
  <c r="M2685" i="3"/>
  <c r="N2685" i="3" s="1"/>
  <c r="M2765" i="3"/>
  <c r="N2765" i="3" s="1"/>
  <c r="M2845" i="3"/>
  <c r="N2845" i="3" s="1"/>
  <c r="M2941" i="3"/>
  <c r="N2941" i="3" s="1"/>
  <c r="M3021" i="3"/>
  <c r="N3021" i="3" s="1"/>
  <c r="M3101" i="3"/>
  <c r="N3101" i="3" s="1"/>
  <c r="M3506" i="3"/>
  <c r="N3506" i="3" s="1"/>
  <c r="M3588" i="3"/>
  <c r="N3588" i="3" s="1"/>
  <c r="M3671" i="3"/>
  <c r="N3671" i="3" s="1"/>
  <c r="M3422" i="3"/>
  <c r="N3422" i="3" s="1"/>
  <c r="M3573" i="3"/>
  <c r="N3573" i="3" s="1"/>
  <c r="M3560" i="3"/>
  <c r="N3560" i="3" s="1"/>
  <c r="M3562" i="3"/>
  <c r="N3562" i="3" s="1"/>
  <c r="M3666" i="3"/>
  <c r="N3666" i="3" s="1"/>
  <c r="M3632" i="3"/>
  <c r="N3632" i="3" s="1"/>
  <c r="M3662" i="3"/>
  <c r="N3662" i="3" s="1"/>
  <c r="M3660" i="3"/>
  <c r="N3660" i="3" s="1"/>
  <c r="M3698" i="3"/>
  <c r="N3698" i="3" s="1"/>
  <c r="M3938" i="3"/>
  <c r="N3938" i="3" s="1"/>
  <c r="M4018" i="3"/>
  <c r="N4018" i="3" s="1"/>
  <c r="M4098" i="3"/>
  <c r="N4098" i="3" s="1"/>
  <c r="M4194" i="3"/>
  <c r="N4194" i="3" s="1"/>
  <c r="M4374" i="3"/>
  <c r="N4374" i="3" s="1"/>
  <c r="M4590" i="3"/>
  <c r="N4590" i="3" s="1"/>
  <c r="M3853" i="3"/>
  <c r="N3853" i="3" s="1"/>
  <c r="M4013" i="3"/>
  <c r="N4013" i="3" s="1"/>
  <c r="M4173" i="3"/>
  <c r="N4173" i="3" s="1"/>
  <c r="M3920" i="3"/>
  <c r="N3920" i="3" s="1"/>
  <c r="M4112" i="3"/>
  <c r="N4112" i="3" s="1"/>
  <c r="M412" i="3"/>
  <c r="N412" i="3" s="1"/>
  <c r="M505" i="3"/>
  <c r="N505" i="3" s="1"/>
  <c r="M585" i="3"/>
  <c r="N585" i="3" s="1"/>
  <c r="M629" i="3"/>
  <c r="N629" i="3" s="1"/>
  <c r="M589" i="3"/>
  <c r="N589" i="3" s="1"/>
  <c r="M413" i="3"/>
  <c r="N413" i="3" s="1"/>
  <c r="M658" i="3"/>
  <c r="N658" i="3" s="1"/>
  <c r="M720" i="3"/>
  <c r="N720" i="3" s="1"/>
  <c r="M760" i="3"/>
  <c r="N760" i="3" s="1"/>
  <c r="M800" i="3"/>
  <c r="N800" i="3" s="1"/>
  <c r="M869" i="3"/>
  <c r="N869" i="3" s="1"/>
  <c r="M937" i="3"/>
  <c r="N937" i="3" s="1"/>
  <c r="M977" i="3"/>
  <c r="N977" i="3" s="1"/>
  <c r="M1025" i="3"/>
  <c r="N1025" i="3" s="1"/>
  <c r="M1065" i="3"/>
  <c r="N1065" i="3" s="1"/>
  <c r="M1105" i="3"/>
  <c r="N1105" i="3" s="1"/>
  <c r="M860" i="3"/>
  <c r="N860" i="3" s="1"/>
  <c r="M1213" i="3"/>
  <c r="N1213" i="3" s="1"/>
  <c r="M1145" i="3"/>
  <c r="N1145" i="3" s="1"/>
  <c r="M1285" i="3"/>
  <c r="N1285" i="3" s="1"/>
  <c r="M1672" i="3"/>
  <c r="N1672" i="3" s="1"/>
  <c r="M1039" i="3"/>
  <c r="N1039" i="3" s="1"/>
  <c r="M1539" i="3"/>
  <c r="N1539" i="3" s="1"/>
  <c r="M1590" i="3"/>
  <c r="N1590" i="3" s="1"/>
  <c r="M1649" i="3"/>
  <c r="N1649" i="3" s="1"/>
  <c r="M1713" i="3"/>
  <c r="N1713" i="3" s="1"/>
  <c r="M1538" i="3"/>
  <c r="N1538" i="3" s="1"/>
  <c r="M1597" i="3"/>
  <c r="N1597" i="3" s="1"/>
  <c r="M1661" i="3"/>
  <c r="N1661" i="3" s="1"/>
  <c r="M1711" i="3"/>
  <c r="N1711" i="3" s="1"/>
  <c r="M1754" i="3"/>
  <c r="N1754" i="3" s="1"/>
  <c r="M1548" i="3"/>
  <c r="N1548" i="3" s="1"/>
  <c r="M1825" i="3"/>
  <c r="N1825" i="3" s="1"/>
  <c r="M1890" i="3"/>
  <c r="N1890" i="3" s="1"/>
  <c r="M1486" i="3"/>
  <c r="N1486" i="3" s="1"/>
  <c r="M1582" i="3"/>
  <c r="N1582" i="3" s="1"/>
  <c r="M1813" i="3"/>
  <c r="N1813" i="3" s="1"/>
  <c r="M1534" i="3"/>
  <c r="N1534" i="3" s="1"/>
  <c r="M1776" i="3"/>
  <c r="N1776" i="3" s="1"/>
  <c r="M1818" i="3"/>
  <c r="N1818" i="3" s="1"/>
  <c r="M1956" i="3"/>
  <c r="N1956" i="3" s="1"/>
  <c r="M1929" i="3"/>
  <c r="N1929" i="3" s="1"/>
  <c r="M1933" i="3"/>
  <c r="N1933" i="3" s="1"/>
  <c r="M2184" i="3"/>
  <c r="N2184" i="3" s="1"/>
  <c r="M2269" i="3"/>
  <c r="N2269" i="3" s="1"/>
  <c r="M2338" i="3"/>
  <c r="N2338" i="3" s="1"/>
  <c r="M2402" i="3"/>
  <c r="N2402" i="3" s="1"/>
  <c r="M2480" i="3"/>
  <c r="N2480" i="3" s="1"/>
  <c r="M2262" i="3"/>
  <c r="N2262" i="3" s="1"/>
  <c r="M2441" i="3"/>
  <c r="N2441" i="3" s="1"/>
  <c r="M2521" i="3"/>
  <c r="N2521" i="3" s="1"/>
  <c r="M2578" i="3"/>
  <c r="N2578" i="3" s="1"/>
  <c r="M2626" i="3"/>
  <c r="N2626" i="3" s="1"/>
  <c r="M2666" i="3"/>
  <c r="N2666" i="3" s="1"/>
  <c r="M2706" i="3"/>
  <c r="N2706" i="3" s="1"/>
  <c r="M2754" i="3"/>
  <c r="N2754" i="3" s="1"/>
  <c r="M2794" i="3"/>
  <c r="N2794" i="3" s="1"/>
  <c r="M2834" i="3"/>
  <c r="N2834" i="3" s="1"/>
  <c r="M2882" i="3"/>
  <c r="N2882" i="3" s="1"/>
  <c r="M2922" i="3"/>
  <c r="N2922" i="3" s="1"/>
  <c r="M2962" i="3"/>
  <c r="N2962" i="3" s="1"/>
  <c r="M3010" i="3"/>
  <c r="N3010" i="3" s="1"/>
  <c r="M3050" i="3"/>
  <c r="N3050" i="3" s="1"/>
  <c r="M3090" i="3"/>
  <c r="N3090" i="3" s="1"/>
  <c r="M3138" i="3"/>
  <c r="N3138" i="3" s="1"/>
  <c r="M3174" i="3"/>
  <c r="N3174" i="3" s="1"/>
  <c r="M3194" i="3"/>
  <c r="N3194" i="3" s="1"/>
  <c r="M2431" i="3"/>
  <c r="N2431" i="3" s="1"/>
  <c r="M2559" i="3"/>
  <c r="N2559" i="3" s="1"/>
  <c r="M2633" i="3"/>
  <c r="N2633" i="3" s="1"/>
  <c r="M2729" i="3"/>
  <c r="N2729" i="3" s="1"/>
  <c r="M2809" i="3"/>
  <c r="N2809" i="3" s="1"/>
  <c r="M2889" i="3"/>
  <c r="N2889" i="3" s="1"/>
  <c r="M2985" i="3"/>
  <c r="N2985" i="3" s="1"/>
  <c r="M3065" i="3"/>
  <c r="N3065" i="3" s="1"/>
  <c r="M3145" i="3"/>
  <c r="N3145" i="3" s="1"/>
  <c r="M2404" i="3"/>
  <c r="N2404" i="3" s="1"/>
  <c r="M2493" i="3"/>
  <c r="N2493" i="3" s="1"/>
  <c r="M2397" i="3"/>
  <c r="N2397" i="3" s="1"/>
  <c r="M2563" i="3"/>
  <c r="N2563" i="3" s="1"/>
  <c r="M3482" i="3"/>
  <c r="N3482" i="3" s="1"/>
  <c r="M3580" i="3"/>
  <c r="N3580" i="3" s="1"/>
  <c r="M3533" i="3"/>
  <c r="N3533" i="3" s="1"/>
  <c r="M3520" i="3"/>
  <c r="N3520" i="3" s="1"/>
  <c r="M3212" i="3"/>
  <c r="N3212" i="3" s="1"/>
  <c r="M3260" i="3"/>
  <c r="N3260" i="3" s="1"/>
  <c r="M3300" i="3"/>
  <c r="N3300" i="3" s="1"/>
  <c r="M3340" i="3"/>
  <c r="N3340" i="3" s="1"/>
  <c r="M3388" i="3"/>
  <c r="N3388" i="3" s="1"/>
  <c r="M3428" i="3"/>
  <c r="N3428" i="3" s="1"/>
  <c r="M3468" i="3"/>
  <c r="N3468" i="3" s="1"/>
  <c r="M3516" i="3"/>
  <c r="N3516" i="3" s="1"/>
  <c r="M3586" i="3"/>
  <c r="N3586" i="3" s="1"/>
  <c r="M3494" i="3"/>
  <c r="N3494" i="3" s="1"/>
  <c r="M3681" i="3"/>
  <c r="N3681" i="3" s="1"/>
  <c r="M3613" i="3"/>
  <c r="N3613" i="3" s="1"/>
  <c r="M3687" i="3"/>
  <c r="N3687" i="3" s="1"/>
  <c r="M3894" i="3"/>
  <c r="N3894" i="3" s="1"/>
  <c r="M3974" i="3"/>
  <c r="N3974" i="3" s="1"/>
  <c r="M4054" i="3"/>
  <c r="N4054" i="3" s="1"/>
  <c r="M4150" i="3"/>
  <c r="N4150" i="3" s="1"/>
  <c r="M4230" i="3"/>
  <c r="N4230" i="3" s="1"/>
  <c r="M4558" i="3"/>
  <c r="N4558" i="3" s="1"/>
  <c r="M3925" i="3"/>
  <c r="N3925" i="3" s="1"/>
  <c r="M4085" i="3"/>
  <c r="N4085" i="3" s="1"/>
  <c r="M4245" i="3"/>
  <c r="N4245" i="3" s="1"/>
  <c r="M4024" i="3"/>
  <c r="N4024" i="3" s="1"/>
  <c r="M630" i="3"/>
  <c r="N630" i="3" s="1"/>
  <c r="M437" i="3"/>
  <c r="N437" i="3" s="1"/>
  <c r="M533" i="3"/>
  <c r="N533" i="3" s="1"/>
  <c r="M613" i="3"/>
  <c r="N613" i="3" s="1"/>
  <c r="M446" i="3"/>
  <c r="N446" i="3" s="1"/>
  <c r="M542" i="3"/>
  <c r="N542" i="3" s="1"/>
  <c r="M622" i="3"/>
  <c r="N622" i="3" s="1"/>
  <c r="M634" i="3"/>
  <c r="N634" i="3" s="1"/>
  <c r="M913" i="3"/>
  <c r="N913" i="3" s="1"/>
  <c r="M848" i="3"/>
  <c r="N848" i="3" s="1"/>
  <c r="M888" i="3"/>
  <c r="N888" i="3" s="1"/>
  <c r="M477" i="3"/>
  <c r="N477" i="3" s="1"/>
  <c r="M868" i="3"/>
  <c r="N868" i="3" s="1"/>
  <c r="M1233" i="3"/>
  <c r="N1233" i="3" s="1"/>
  <c r="M706" i="3"/>
  <c r="N706" i="3" s="1"/>
  <c r="M746" i="3"/>
  <c r="N746" i="3" s="1"/>
  <c r="M786" i="3"/>
  <c r="N786" i="3" s="1"/>
  <c r="M1133" i="3"/>
  <c r="N1133" i="3" s="1"/>
  <c r="M1298" i="3"/>
  <c r="N1298" i="3" s="1"/>
  <c r="M1129" i="3"/>
  <c r="N1129" i="3" s="1"/>
  <c r="M1302" i="3"/>
  <c r="N1302" i="3" s="1"/>
  <c r="M931" i="3"/>
  <c r="N931" i="3" s="1"/>
  <c r="M1091" i="3"/>
  <c r="N1091" i="3" s="1"/>
  <c r="M1354" i="3"/>
  <c r="N1354" i="3" s="1"/>
  <c r="M1434" i="3"/>
  <c r="N1434" i="3" s="1"/>
  <c r="M1514" i="3"/>
  <c r="N1514" i="3" s="1"/>
  <c r="M1578" i="3"/>
  <c r="N1578" i="3" s="1"/>
  <c r="M1637" i="3"/>
  <c r="N1637" i="3" s="1"/>
  <c r="M1687" i="3"/>
  <c r="N1687" i="3" s="1"/>
  <c r="M1748" i="3"/>
  <c r="N1748" i="3" s="1"/>
  <c r="M1253" i="3"/>
  <c r="N1253" i="3" s="1"/>
  <c r="M1416" i="3"/>
  <c r="N1416" i="3" s="1"/>
  <c r="M1512" i="3"/>
  <c r="N1512" i="3" s="1"/>
  <c r="M1636" i="3"/>
  <c r="N1636" i="3" s="1"/>
  <c r="M1764" i="3"/>
  <c r="N1764" i="3" s="1"/>
  <c r="M1067" i="3"/>
  <c r="N1067" i="3" s="1"/>
  <c r="M1394" i="3"/>
  <c r="N1394" i="3" s="1"/>
  <c r="M1474" i="3"/>
  <c r="N1474" i="3" s="1"/>
  <c r="M1616" i="3"/>
  <c r="N1616" i="3" s="1"/>
  <c r="M983" i="3"/>
  <c r="N983" i="3" s="1"/>
  <c r="M1186" i="3"/>
  <c r="N1186" i="3" s="1"/>
  <c r="M1775" i="3"/>
  <c r="N1775" i="3" s="1"/>
  <c r="M1896" i="3"/>
  <c r="N1896" i="3" s="1"/>
  <c r="M1609" i="3"/>
  <c r="N1609" i="3" s="1"/>
  <c r="M1800" i="3"/>
  <c r="N1800" i="3" s="1"/>
  <c r="M1218" i="3"/>
  <c r="N1218" i="3" s="1"/>
  <c r="M1876" i="3"/>
  <c r="N1876" i="3" s="1"/>
  <c r="M1938" i="3"/>
  <c r="N1938" i="3" s="1"/>
  <c r="M1982" i="3"/>
  <c r="N1982" i="3" s="1"/>
  <c r="M2156" i="3"/>
  <c r="N2156" i="3" s="1"/>
  <c r="M2236" i="3"/>
  <c r="N2236" i="3" s="1"/>
  <c r="M2318" i="3"/>
  <c r="N2318" i="3" s="1"/>
  <c r="M2385" i="3"/>
  <c r="N2385" i="3" s="1"/>
  <c r="M2452" i="3"/>
  <c r="N2452" i="3" s="1"/>
  <c r="M2532" i="3"/>
  <c r="N2532" i="3" s="1"/>
  <c r="M2380" i="3"/>
  <c r="N2380" i="3" s="1"/>
  <c r="M2474" i="3"/>
  <c r="N2474" i="3" s="1"/>
  <c r="M2550" i="3"/>
  <c r="N2550" i="3" s="1"/>
  <c r="M2535" i="3"/>
  <c r="N2535" i="3" s="1"/>
  <c r="M2615" i="3"/>
  <c r="N2615" i="3" s="1"/>
  <c r="M2414" i="3"/>
  <c r="N2414" i="3" s="1"/>
  <c r="M2510" i="3"/>
  <c r="N2510" i="3" s="1"/>
  <c r="M2568" i="3"/>
  <c r="N2568" i="3" s="1"/>
  <c r="M2608" i="3"/>
  <c r="N2608" i="3" s="1"/>
  <c r="M2656" i="3"/>
  <c r="N2656" i="3" s="1"/>
  <c r="M2696" i="3"/>
  <c r="N2696" i="3" s="1"/>
  <c r="M2736" i="3"/>
  <c r="N2736" i="3" s="1"/>
  <c r="M2784" i="3"/>
  <c r="N2784" i="3" s="1"/>
  <c r="M2824" i="3"/>
  <c r="N2824" i="3" s="1"/>
  <c r="M2864" i="3"/>
  <c r="N2864" i="3" s="1"/>
  <c r="M2912" i="3"/>
  <c r="N2912" i="3" s="1"/>
  <c r="M2952" i="3"/>
  <c r="N2952" i="3" s="1"/>
  <c r="M2992" i="3"/>
  <c r="N2992" i="3" s="1"/>
  <c r="M3040" i="3"/>
  <c r="N3040" i="3" s="1"/>
  <c r="M3080" i="3"/>
  <c r="N3080" i="3" s="1"/>
  <c r="M3120" i="3"/>
  <c r="N3120" i="3" s="1"/>
  <c r="M3168" i="3"/>
  <c r="N3168" i="3" s="1"/>
  <c r="M2475" i="3"/>
  <c r="N2475" i="3" s="1"/>
  <c r="M2587" i="3"/>
  <c r="N2587" i="3" s="1"/>
  <c r="M2677" i="3"/>
  <c r="N2677" i="3" s="1"/>
  <c r="M2757" i="3"/>
  <c r="N2757" i="3" s="1"/>
  <c r="M2837" i="3"/>
  <c r="N2837" i="3" s="1"/>
  <c r="M2933" i="3"/>
  <c r="N2933" i="3" s="1"/>
  <c r="M3013" i="3"/>
  <c r="N3013" i="3" s="1"/>
  <c r="M3093" i="3"/>
  <c r="N3093" i="3" s="1"/>
  <c r="M3490" i="3"/>
  <c r="N3490" i="3" s="1"/>
  <c r="M3595" i="3"/>
  <c r="N3595" i="3" s="1"/>
  <c r="M3679" i="3"/>
  <c r="N3679" i="3" s="1"/>
  <c r="M3426" i="3"/>
  <c r="N3426" i="3" s="1"/>
  <c r="M3464" i="3"/>
  <c r="N3464" i="3" s="1"/>
  <c r="M3504" i="3"/>
  <c r="N3504" i="3" s="1"/>
  <c r="M3589" i="3"/>
  <c r="N3589" i="3" s="1"/>
  <c r="M3537" i="3"/>
  <c r="N3537" i="3" s="1"/>
  <c r="M3618" i="3"/>
  <c r="N3618" i="3" s="1"/>
  <c r="M3624" i="3"/>
  <c r="N3624" i="3" s="1"/>
  <c r="M3614" i="3"/>
  <c r="N3614" i="3" s="1"/>
  <c r="M3636" i="3"/>
  <c r="N3636" i="3" s="1"/>
  <c r="M3696" i="3"/>
  <c r="N3696" i="3" s="1"/>
  <c r="M3914" i="3"/>
  <c r="N3914" i="3" s="1"/>
  <c r="M3994" i="3"/>
  <c r="N3994" i="3" s="1"/>
  <c r="M4090" i="3"/>
  <c r="N4090" i="3" s="1"/>
  <c r="M4170" i="3"/>
  <c r="N4170" i="3" s="1"/>
  <c r="M4250" i="3"/>
  <c r="N4250" i="3" s="1"/>
  <c r="M4310" i="3"/>
  <c r="N4310" i="3" s="1"/>
  <c r="M4350" i="3"/>
  <c r="N4350" i="3" s="1"/>
  <c r="M4654" i="3"/>
  <c r="N4654" i="3" s="1"/>
  <c r="M3997" i="3"/>
  <c r="N3997" i="3" s="1"/>
  <c r="M4157" i="3"/>
  <c r="N4157" i="3" s="1"/>
  <c r="M3872" i="3"/>
  <c r="N3872" i="3" s="1"/>
  <c r="M4080" i="3"/>
  <c r="N4080" i="3" s="1"/>
  <c r="M233" i="3"/>
  <c r="N233" i="3" s="1"/>
  <c r="M470" i="3"/>
  <c r="N470" i="3" s="1"/>
  <c r="M566" i="3"/>
  <c r="N566" i="3" s="1"/>
  <c r="M642" i="3"/>
  <c r="N642" i="3" s="1"/>
  <c r="M525" i="3"/>
  <c r="N525" i="3" s="1"/>
  <c r="M374" i="3"/>
  <c r="N374" i="3" s="1"/>
  <c r="M676" i="3"/>
  <c r="N676" i="3" s="1"/>
  <c r="M716" i="3"/>
  <c r="N716" i="3" s="1"/>
  <c r="M764" i="3"/>
  <c r="N764" i="3" s="1"/>
  <c r="M804" i="3"/>
  <c r="N804" i="3" s="1"/>
  <c r="M861" i="3"/>
  <c r="N861" i="3" s="1"/>
  <c r="M949" i="3"/>
  <c r="N949" i="3" s="1"/>
  <c r="M989" i="3"/>
  <c r="N989" i="3" s="1"/>
  <c r="M1029" i="3"/>
  <c r="N1029" i="3" s="1"/>
  <c r="M1077" i="3"/>
  <c r="N1077" i="3" s="1"/>
  <c r="M1134" i="3"/>
  <c r="N1134" i="3" s="1"/>
  <c r="M858" i="3"/>
  <c r="N858" i="3" s="1"/>
  <c r="M1245" i="3"/>
  <c r="N1245" i="3" s="1"/>
  <c r="M1241" i="3"/>
  <c r="N1241" i="3" s="1"/>
  <c r="M1528" i="3"/>
  <c r="N1528" i="3" s="1"/>
  <c r="M1720" i="3"/>
  <c r="N1720" i="3" s="1"/>
  <c r="M1055" i="3"/>
  <c r="N1055" i="3" s="1"/>
  <c r="M1537" i="3"/>
  <c r="N1537" i="3" s="1"/>
  <c r="M1601" i="3"/>
  <c r="N1601" i="3" s="1"/>
  <c r="M1651" i="3"/>
  <c r="N1651" i="3" s="1"/>
  <c r="M1702" i="3"/>
  <c r="N1702" i="3" s="1"/>
  <c r="M1554" i="3"/>
  <c r="N1554" i="3" s="1"/>
  <c r="M1618" i="3"/>
  <c r="N1618" i="3" s="1"/>
  <c r="M1709" i="3"/>
  <c r="N1709" i="3" s="1"/>
  <c r="M1237" i="3"/>
  <c r="N1237" i="3" s="1"/>
  <c r="M1940" i="3"/>
  <c r="N1940" i="3" s="1"/>
  <c r="M1821" i="3"/>
  <c r="N1821" i="3" s="1"/>
  <c r="M1820" i="3"/>
  <c r="N1820" i="3" s="1"/>
  <c r="M2014" i="3"/>
  <c r="N2014" i="3" s="1"/>
  <c r="M2078" i="3"/>
  <c r="N2078" i="3" s="1"/>
  <c r="M2160" i="3"/>
  <c r="N2160" i="3" s="1"/>
  <c r="M2386" i="3"/>
  <c r="N2386" i="3" s="1"/>
  <c r="M2358" i="3"/>
  <c r="N2358" i="3" s="1"/>
  <c r="M2596" i="3"/>
  <c r="N2596" i="3" s="1"/>
  <c r="M2724" i="3"/>
  <c r="N2724" i="3" s="1"/>
  <c r="M2852" i="3"/>
  <c r="N2852" i="3" s="1"/>
  <c r="M2980" i="3"/>
  <c r="N2980" i="3" s="1"/>
  <c r="M3108" i="3"/>
  <c r="N3108" i="3" s="1"/>
  <c r="M2575" i="3"/>
  <c r="N2575" i="3" s="1"/>
  <c r="M2833" i="3"/>
  <c r="N2833" i="3" s="1"/>
  <c r="M3089" i="3"/>
  <c r="N3089" i="3" s="1"/>
  <c r="M2517" i="3"/>
  <c r="N2517" i="3" s="1"/>
  <c r="M3498" i="3"/>
  <c r="N3498" i="3" s="1"/>
  <c r="M3590" i="3"/>
  <c r="N3590" i="3" s="1"/>
  <c r="M3296" i="3"/>
  <c r="N3296" i="3" s="1"/>
  <c r="M3424" i="3"/>
  <c r="N3424" i="3" s="1"/>
  <c r="M3657" i="3"/>
  <c r="N3657" i="3" s="1"/>
  <c r="M3886" i="3"/>
  <c r="N3886" i="3" s="1"/>
  <c r="M4142" i="3"/>
  <c r="N4142" i="3" s="1"/>
  <c r="M4462" i="3"/>
  <c r="N4462" i="3" s="1"/>
  <c r="M3877" i="3"/>
  <c r="N3877" i="3" s="1"/>
  <c r="M3912" i="3"/>
  <c r="N3912" i="3" s="1"/>
  <c r="M4184" i="3"/>
  <c r="N4184" i="3" s="1"/>
  <c r="M4354" i="3"/>
  <c r="N4354" i="3" s="1"/>
  <c r="M4039" i="3"/>
  <c r="N4039" i="3" s="1"/>
  <c r="M4682" i="3"/>
  <c r="N4682" i="3" s="1"/>
  <c r="M4953" i="3"/>
  <c r="N4953" i="3" s="1"/>
  <c r="M5209" i="3"/>
  <c r="N5209" i="3" s="1"/>
  <c r="M5465" i="3"/>
  <c r="N5465" i="3" s="1"/>
  <c r="M4742" i="3"/>
  <c r="N4742" i="3" s="1"/>
  <c r="M4998" i="3"/>
  <c r="N4998" i="3" s="1"/>
  <c r="M5254" i="3"/>
  <c r="N5254" i="3" s="1"/>
  <c r="M5510" i="3"/>
  <c r="N5510" i="3" s="1"/>
  <c r="M4432" i="3"/>
  <c r="N4432" i="3" s="1"/>
  <c r="M4709" i="3"/>
  <c r="N4709" i="3" s="1"/>
  <c r="M4965" i="3"/>
  <c r="N4965" i="3" s="1"/>
  <c r="M5221" i="3"/>
  <c r="N5221" i="3" s="1"/>
  <c r="M5477" i="3"/>
  <c r="N5477" i="3" s="1"/>
  <c r="M5688" i="3"/>
  <c r="N5688" i="3" s="1"/>
  <c r="M4851" i="3"/>
  <c r="N4851" i="3" s="1"/>
  <c r="M5107" i="3"/>
  <c r="N5107" i="3" s="1"/>
  <c r="M5363" i="3"/>
  <c r="N5363" i="3" s="1"/>
  <c r="M5619" i="3"/>
  <c r="N5619" i="3" s="1"/>
  <c r="M5907" i="3"/>
  <c r="N5907" i="3" s="1"/>
  <c r="M6035" i="3"/>
  <c r="N6035" i="3" s="1"/>
  <c r="M6163" i="3"/>
  <c r="N6163" i="3" s="1"/>
  <c r="M6291" i="3"/>
  <c r="N6291" i="3" s="1"/>
  <c r="M6419" i="3"/>
  <c r="N6419" i="3" s="1"/>
  <c r="M6547" i="3"/>
  <c r="N6547" i="3" s="1"/>
  <c r="M5849" i="3"/>
  <c r="N5849" i="3" s="1"/>
  <c r="M5977" i="3"/>
  <c r="N5977" i="3" s="1"/>
  <c r="M6105" i="3"/>
  <c r="N6105" i="3" s="1"/>
  <c r="M6233" i="3"/>
  <c r="N6233" i="3" s="1"/>
  <c r="M6361" i="3"/>
  <c r="N6361" i="3" s="1"/>
  <c r="M6489" i="3"/>
  <c r="N6489" i="3" s="1"/>
  <c r="M6765" i="3"/>
  <c r="N6765" i="3" s="1"/>
  <c r="M7021" i="3"/>
  <c r="N7021" i="3" s="1"/>
  <c r="M7211" i="3"/>
  <c r="N7211" i="3" s="1"/>
  <c r="M6883" i="3"/>
  <c r="N6883" i="3" s="1"/>
  <c r="M7139" i="3"/>
  <c r="N7139" i="3" s="1"/>
  <c r="M6705" i="3"/>
  <c r="N6705" i="3" s="1"/>
  <c r="M6961" i="3"/>
  <c r="N6961" i="3" s="1"/>
  <c r="M7237" i="3"/>
  <c r="N7237" i="3" s="1"/>
  <c r="M6871" i="3"/>
  <c r="N6871" i="3" s="1"/>
  <c r="M7127" i="3"/>
  <c r="N7127" i="3" s="1"/>
  <c r="M7337" i="3"/>
  <c r="N7337" i="3" s="1"/>
  <c r="M7465" i="3"/>
  <c r="N7465" i="3" s="1"/>
  <c r="M7593" i="3"/>
  <c r="N7593" i="3" s="1"/>
  <c r="M3929" i="3"/>
  <c r="N3929" i="3" s="1"/>
  <c r="M4185" i="3"/>
  <c r="N4185" i="3" s="1"/>
  <c r="M3964" i="3"/>
  <c r="N3964" i="3" s="1"/>
  <c r="M4220" i="3"/>
  <c r="N4220" i="3" s="1"/>
  <c r="M3995" i="3"/>
  <c r="N3995" i="3" s="1"/>
  <c r="M4251" i="3"/>
  <c r="N4251" i="3" s="1"/>
  <c r="M4912" i="3"/>
  <c r="N4912" i="3" s="1"/>
  <c r="M5168" i="3"/>
  <c r="N5168" i="3" s="1"/>
  <c r="M5424" i="3"/>
  <c r="N5424" i="3" s="1"/>
  <c r="M5738" i="3"/>
  <c r="N5738" i="3" s="1"/>
  <c r="M4935" i="3"/>
  <c r="N4935" i="3" s="1"/>
  <c r="M5191" i="3"/>
  <c r="N5191" i="3" s="1"/>
  <c r="M5447" i="3"/>
  <c r="N5447" i="3" s="1"/>
  <c r="M4324" i="3"/>
  <c r="N4324" i="3" s="1"/>
  <c r="M4580" i="3"/>
  <c r="N4580" i="3" s="1"/>
  <c r="M4860" i="3"/>
  <c r="N4860" i="3" s="1"/>
  <c r="M5116" i="3"/>
  <c r="N5116" i="3" s="1"/>
  <c r="M5372" i="3"/>
  <c r="N5372" i="3" s="1"/>
  <c r="M5635" i="3"/>
  <c r="N5635" i="3" s="1"/>
  <c r="M4810" i="3"/>
  <c r="N4810" i="3" s="1"/>
  <c r="M5162" i="3"/>
  <c r="N5162" i="3" s="1"/>
  <c r="M5498" i="3"/>
  <c r="N5498" i="3" s="1"/>
  <c r="M5691" i="3"/>
  <c r="N5691" i="3" s="1"/>
  <c r="M5785" i="3"/>
  <c r="N5785" i="3" s="1"/>
  <c r="M6942" i="3"/>
  <c r="N6942" i="3" s="1"/>
  <c r="M7212" i="3"/>
  <c r="N7212" i="3" s="1"/>
  <c r="M7392" i="3"/>
  <c r="N7392" i="3" s="1"/>
  <c r="M7560" i="3"/>
  <c r="N7560" i="3" s="1"/>
  <c r="M6756" i="3"/>
  <c r="N6756" i="3" s="1"/>
  <c r="M7108" i="3"/>
  <c r="N7108" i="3" s="1"/>
  <c r="M7363" i="3"/>
  <c r="N7363" i="3" s="1"/>
  <c r="M7531" i="3"/>
  <c r="N7531" i="3" s="1"/>
  <c r="M6581" i="3"/>
  <c r="N6581" i="3" s="1"/>
  <c r="M6946" i="3"/>
  <c r="N6946" i="3" s="1"/>
  <c r="M7286" i="3"/>
  <c r="N7286" i="3" s="1"/>
  <c r="M7462" i="3"/>
  <c r="N7462" i="3" s="1"/>
  <c r="M7630" i="3"/>
  <c r="N7630" i="3" s="1"/>
  <c r="M6920" i="3"/>
  <c r="N6920" i="3" s="1"/>
  <c r="M4410" i="3"/>
  <c r="N4410" i="3" s="1"/>
  <c r="M4602" i="3"/>
  <c r="N4602" i="3" s="1"/>
  <c r="M4015" i="3"/>
  <c r="N4015" i="3" s="1"/>
  <c r="M4769" i="3"/>
  <c r="N4769" i="3" s="1"/>
  <c r="M5105" i="3"/>
  <c r="N5105" i="3" s="1"/>
  <c r="M5441" i="3"/>
  <c r="N5441" i="3" s="1"/>
  <c r="M4814" i="3"/>
  <c r="N4814" i="3" s="1"/>
  <c r="M5150" i="3"/>
  <c r="N5150" i="3" s="1"/>
  <c r="M5486" i="3"/>
  <c r="N5486" i="3" s="1"/>
  <c r="M4488" i="3"/>
  <c r="N4488" i="3" s="1"/>
  <c r="M4845" i="3"/>
  <c r="N4845" i="3" s="1"/>
  <c r="M5181" i="3"/>
  <c r="N5181" i="3" s="1"/>
  <c r="M5533" i="3"/>
  <c r="N5533" i="3" s="1"/>
  <c r="M4731" i="3"/>
  <c r="N4731" i="3" s="1"/>
  <c r="M5067" i="3"/>
  <c r="N5067" i="3" s="1"/>
  <c r="M5419" i="3"/>
  <c r="N5419" i="3" s="1"/>
  <c r="M5847" i="3"/>
  <c r="N5847" i="3" s="1"/>
  <c r="M6015" i="3"/>
  <c r="N6015" i="3" s="1"/>
  <c r="M6191" i="3"/>
  <c r="N6191" i="3" s="1"/>
  <c r="M6359" i="3"/>
  <c r="N6359" i="3" s="1"/>
  <c r="M5793" i="3"/>
  <c r="N5793" i="3" s="1"/>
  <c r="M5941" i="3"/>
  <c r="N5941" i="3" s="1"/>
  <c r="M6109" i="3"/>
  <c r="N6109" i="3" s="1"/>
  <c r="M6277" i="3"/>
  <c r="N6277" i="3" s="1"/>
  <c r="M6453" i="3"/>
  <c r="N6453" i="3" s="1"/>
  <c r="M6805" i="3"/>
  <c r="N6805" i="3" s="1"/>
  <c r="M7141" i="3"/>
  <c r="N7141" i="3" s="1"/>
  <c r="M6811" i="3"/>
  <c r="N6811" i="3" s="1"/>
  <c r="M7147" i="3"/>
  <c r="N7147" i="3" s="1"/>
  <c r="M6825" i="3"/>
  <c r="N6825" i="3" s="1"/>
  <c r="M7177" i="3"/>
  <c r="N7177" i="3" s="1"/>
  <c r="M6927" i="3"/>
  <c r="N6927" i="3" s="1"/>
  <c r="M7293" i="3"/>
  <c r="N7293" i="3" s="1"/>
  <c r="M3969" i="3"/>
  <c r="N3969" i="3" s="1"/>
  <c r="M4067" i="3"/>
  <c r="N4067" i="3" s="1"/>
  <c r="M5496" i="3"/>
  <c r="N5496" i="3" s="1"/>
  <c r="M5503" i="3"/>
  <c r="N5503" i="3" s="1"/>
  <c r="M5188" i="3"/>
  <c r="N5188" i="3" s="1"/>
  <c r="M5106" i="3"/>
  <c r="N5106" i="3" s="1"/>
  <c r="M6742" i="3"/>
  <c r="N6742" i="3" s="1"/>
  <c r="M7644" i="3"/>
  <c r="N7644" i="3" s="1"/>
  <c r="M7623" i="3"/>
  <c r="N7623" i="3" s="1"/>
  <c r="M7538" i="3"/>
  <c r="N7538" i="3" s="1"/>
  <c r="M6612" i="3"/>
  <c r="N6612" i="3" s="1"/>
  <c r="M6268" i="3"/>
  <c r="N6268" i="3" s="1"/>
  <c r="M5928" i="3"/>
  <c r="N5928" i="3" s="1"/>
  <c r="M6378" i="3"/>
  <c r="N6378" i="3" s="1"/>
  <c r="M6034" i="3"/>
  <c r="N6034" i="3" s="1"/>
  <c r="M4625" i="3"/>
  <c r="N4625" i="3" s="1"/>
  <c r="M4389" i="3"/>
  <c r="N4389" i="3" s="1"/>
  <c r="M3774" i="3"/>
  <c r="N3774" i="3" s="1"/>
  <c r="M4611" i="3"/>
  <c r="N4611" i="3" s="1"/>
  <c r="M3598" i="3"/>
  <c r="N3598" i="3" s="1"/>
  <c r="M3175" i="3"/>
  <c r="N3175" i="3" s="1"/>
  <c r="M2175" i="3"/>
  <c r="N2175" i="3" s="1"/>
  <c r="M1869" i="3"/>
  <c r="N1869" i="3" s="1"/>
  <c r="M1114" i="3"/>
  <c r="N1114" i="3" s="1"/>
  <c r="M815" i="3"/>
  <c r="N815" i="3" s="1"/>
  <c r="M42" i="3"/>
  <c r="N42" i="3" s="1"/>
  <c r="M74" i="3"/>
  <c r="N74" i="3" s="1"/>
  <c r="M31" i="3"/>
  <c r="N31" i="3" s="1"/>
  <c r="M63" i="3"/>
  <c r="N63" i="3" s="1"/>
  <c r="M116" i="3"/>
  <c r="N116" i="3" s="1"/>
  <c r="M198" i="3"/>
  <c r="N198" i="3" s="1"/>
  <c r="M262" i="3"/>
  <c r="N262" i="3" s="1"/>
  <c r="M177" i="3"/>
  <c r="N177" i="3" s="1"/>
  <c r="M242" i="3"/>
  <c r="N242" i="3" s="1"/>
  <c r="M344" i="3"/>
  <c r="N344" i="3" s="1"/>
  <c r="M376" i="3"/>
  <c r="N376" i="3" s="1"/>
  <c r="M215" i="3"/>
  <c r="N215" i="3" s="1"/>
  <c r="M295" i="3"/>
  <c r="N295" i="3" s="1"/>
  <c r="M311" i="3"/>
  <c r="N311" i="3" s="1"/>
  <c r="M327" i="3"/>
  <c r="N327" i="3" s="1"/>
  <c r="M294" i="3"/>
  <c r="N294" i="3" s="1"/>
  <c r="M53" i="3"/>
  <c r="N53" i="3" s="1"/>
  <c r="M85" i="3"/>
  <c r="N85" i="3" s="1"/>
  <c r="M40" i="3"/>
  <c r="N40" i="3" s="1"/>
  <c r="M72" i="3"/>
  <c r="N72" i="3" s="1"/>
  <c r="M103" i="3"/>
  <c r="N103" i="3" s="1"/>
  <c r="M151" i="3"/>
  <c r="N151" i="3" s="1"/>
  <c r="M197" i="3"/>
  <c r="N197" i="3" s="1"/>
  <c r="M229" i="3"/>
  <c r="N229" i="3" s="1"/>
  <c r="M261" i="3"/>
  <c r="N261" i="3" s="1"/>
  <c r="M191" i="3"/>
  <c r="N191" i="3" s="1"/>
  <c r="M399" i="3"/>
  <c r="N399" i="3" s="1"/>
  <c r="M241" i="3"/>
  <c r="N241" i="3" s="1"/>
  <c r="M54" i="3"/>
  <c r="N54" i="3" s="1"/>
  <c r="M86" i="3"/>
  <c r="N86" i="3" s="1"/>
  <c r="M59" i="3"/>
  <c r="N59" i="3" s="1"/>
  <c r="M156" i="3"/>
  <c r="N156" i="3" s="1"/>
  <c r="M222" i="3"/>
  <c r="N222" i="3" s="1"/>
  <c r="M119" i="3"/>
  <c r="N119" i="3" s="1"/>
  <c r="M218" i="3"/>
  <c r="N218" i="3" s="1"/>
  <c r="M332" i="3"/>
  <c r="N332" i="3" s="1"/>
  <c r="M364" i="3"/>
  <c r="N364" i="3" s="1"/>
  <c r="M185" i="3"/>
  <c r="N185" i="3" s="1"/>
  <c r="M289" i="3"/>
  <c r="N289" i="3" s="1"/>
  <c r="M41" i="3"/>
  <c r="N41" i="3" s="1"/>
  <c r="M73" i="3"/>
  <c r="N73" i="3" s="1"/>
  <c r="M36" i="3"/>
  <c r="N36" i="3" s="1"/>
  <c r="M68" i="3"/>
  <c r="N68" i="3" s="1"/>
  <c r="M101" i="3"/>
  <c r="N101" i="3" s="1"/>
  <c r="M93" i="3"/>
  <c r="N93" i="3" s="1"/>
  <c r="M163" i="3"/>
  <c r="N163" i="3" s="1"/>
  <c r="M169" i="3"/>
  <c r="N169" i="3" s="1"/>
  <c r="M211" i="3"/>
  <c r="N211" i="3" s="1"/>
  <c r="M243" i="3"/>
  <c r="N243" i="3" s="1"/>
  <c r="M275" i="3"/>
  <c r="N275" i="3" s="1"/>
  <c r="M193" i="3"/>
  <c r="N193" i="3" s="1"/>
  <c r="M415" i="3"/>
  <c r="N415" i="3" s="1"/>
  <c r="M239" i="3"/>
  <c r="N239" i="3" s="1"/>
  <c r="M411" i="3"/>
  <c r="N411" i="3" s="1"/>
  <c r="M450" i="3"/>
  <c r="N450" i="3" s="1"/>
  <c r="M514" i="3"/>
  <c r="N514" i="3" s="1"/>
  <c r="M578" i="3"/>
  <c r="N578" i="3" s="1"/>
  <c r="M645" i="3"/>
  <c r="N645" i="3" s="1"/>
  <c r="M420" i="3"/>
  <c r="N420" i="3" s="1"/>
  <c r="M481" i="3"/>
  <c r="N481" i="3" s="1"/>
  <c r="M545" i="3"/>
  <c r="N545" i="3" s="1"/>
  <c r="M609" i="3"/>
  <c r="N609" i="3" s="1"/>
  <c r="M493" i="3"/>
  <c r="N493" i="3" s="1"/>
  <c r="M857" i="3"/>
  <c r="N857" i="3" s="1"/>
  <c r="M921" i="3"/>
  <c r="N921" i="3" s="1"/>
  <c r="M846" i="3"/>
  <c r="N846" i="3" s="1"/>
  <c r="M878" i="3"/>
  <c r="N878" i="3" s="1"/>
  <c r="M910" i="3"/>
  <c r="N910" i="3" s="1"/>
  <c r="M618" i="3"/>
  <c r="N618" i="3" s="1"/>
  <c r="M898" i="3"/>
  <c r="N898" i="3" s="1"/>
  <c r="M1201" i="3"/>
  <c r="N1201" i="3" s="1"/>
  <c r="M678" i="3"/>
  <c r="N678" i="3" s="1"/>
  <c r="M710" i="3"/>
  <c r="N710" i="3" s="1"/>
  <c r="M742" i="3"/>
  <c r="N742" i="3" s="1"/>
  <c r="M774" i="3"/>
  <c r="N774" i="3" s="1"/>
  <c r="M806" i="3"/>
  <c r="N806" i="3" s="1"/>
  <c r="M1165" i="3"/>
  <c r="N1165" i="3" s="1"/>
  <c r="M1282" i="3"/>
  <c r="N1282" i="3" s="1"/>
  <c r="M1115" i="3"/>
  <c r="N1115" i="3" s="1"/>
  <c r="M1225" i="3"/>
  <c r="N1225" i="3" s="1"/>
  <c r="M1322" i="3"/>
  <c r="N1322" i="3" s="1"/>
  <c r="M979" i="3"/>
  <c r="N979" i="3" s="1"/>
  <c r="M1107" i="3"/>
  <c r="N1107" i="3" s="1"/>
  <c r="M1332" i="3"/>
  <c r="N1332" i="3" s="1"/>
  <c r="M1388" i="3"/>
  <c r="N1388" i="3" s="1"/>
  <c r="M1452" i="3"/>
  <c r="N1452" i="3" s="1"/>
  <c r="M1516" i="3"/>
  <c r="N1516" i="3" s="1"/>
  <c r="M1562" i="3"/>
  <c r="N1562" i="3" s="1"/>
  <c r="M1607" i="3"/>
  <c r="N1607" i="3" s="1"/>
  <c r="M1653" i="3"/>
  <c r="N1653" i="3" s="1"/>
  <c r="M1690" i="3"/>
  <c r="N1690" i="3" s="1"/>
  <c r="M1734" i="3"/>
  <c r="N1734" i="3" s="1"/>
  <c r="M876" i="3"/>
  <c r="N876" i="3" s="1"/>
  <c r="M1350" i="3"/>
  <c r="N1350" i="3" s="1"/>
  <c r="M1414" i="3"/>
  <c r="N1414" i="3" s="1"/>
  <c r="M1478" i="3"/>
  <c r="N1478" i="3" s="1"/>
  <c r="M1588" i="3"/>
  <c r="N1588" i="3" s="1"/>
  <c r="M1716" i="3"/>
  <c r="N1716" i="3" s="1"/>
  <c r="M987" i="3"/>
  <c r="N987" i="3" s="1"/>
  <c r="M1290" i="3"/>
  <c r="N1290" i="3" s="1"/>
  <c r="M1396" i="3"/>
  <c r="N1396" i="3" s="1"/>
  <c r="M1476" i="3"/>
  <c r="N1476" i="3" s="1"/>
  <c r="M1568" i="3"/>
  <c r="N1568" i="3" s="1"/>
  <c r="M1728" i="3"/>
  <c r="N1728" i="3" s="1"/>
  <c r="M1095" i="3"/>
  <c r="N1095" i="3" s="1"/>
  <c r="M1675" i="3"/>
  <c r="N1675" i="3" s="1"/>
  <c r="M1880" i="3"/>
  <c r="N1880" i="3" s="1"/>
  <c r="M1566" i="3"/>
  <c r="N1566" i="3" s="1"/>
  <c r="M1790" i="3"/>
  <c r="N1790" i="3" s="1"/>
  <c r="M1830" i="3"/>
  <c r="N1830" i="3" s="1"/>
  <c r="M1520" i="3"/>
  <c r="N1520" i="3" s="1"/>
  <c r="M1289" i="3"/>
  <c r="N1289" i="3" s="1"/>
  <c r="M1908" i="3"/>
  <c r="N1908" i="3" s="1"/>
  <c r="M1976" i="3"/>
  <c r="N1976" i="3" s="1"/>
  <c r="M1942" i="3"/>
  <c r="N1942" i="3" s="1"/>
  <c r="M2180" i="3"/>
  <c r="N2180" i="3" s="1"/>
  <c r="M2284" i="3"/>
  <c r="N2284" i="3" s="1"/>
  <c r="M2346" i="3"/>
  <c r="N2346" i="3" s="1"/>
  <c r="M2401" i="3"/>
  <c r="N2401" i="3" s="1"/>
  <c r="M2492" i="3"/>
  <c r="N2492" i="3" s="1"/>
  <c r="M2248" i="3"/>
  <c r="N2248" i="3" s="1"/>
  <c r="M2418" i="3"/>
  <c r="N2418" i="3" s="1"/>
  <c r="M2514" i="3"/>
  <c r="N2514" i="3" s="1"/>
  <c r="M2455" i="3"/>
  <c r="N2455" i="3" s="1"/>
  <c r="M2599" i="3"/>
  <c r="N2599" i="3" s="1"/>
  <c r="M2398" i="3"/>
  <c r="N2398" i="3" s="1"/>
  <c r="M2486" i="3"/>
  <c r="N2486" i="3" s="1"/>
  <c r="M2557" i="3"/>
  <c r="N2557" i="3" s="1"/>
  <c r="M2606" i="3"/>
  <c r="N2606" i="3" s="1"/>
  <c r="M2646" i="3"/>
  <c r="N2646" i="3" s="1"/>
  <c r="M2686" i="3"/>
  <c r="N2686" i="3" s="1"/>
  <c r="M2734" i="3"/>
  <c r="N2734" i="3" s="1"/>
  <c r="M2774" i="3"/>
  <c r="N2774" i="3" s="1"/>
  <c r="M2814" i="3"/>
  <c r="N2814" i="3" s="1"/>
  <c r="M2862" i="3"/>
  <c r="N2862" i="3" s="1"/>
  <c r="M2902" i="3"/>
  <c r="N2902" i="3" s="1"/>
  <c r="M2942" i="3"/>
  <c r="N2942" i="3" s="1"/>
  <c r="M2990" i="3"/>
  <c r="N2990" i="3" s="1"/>
  <c r="M3030" i="3"/>
  <c r="N3030" i="3" s="1"/>
  <c r="M3070" i="3"/>
  <c r="N3070" i="3" s="1"/>
  <c r="M3118" i="3"/>
  <c r="N3118" i="3" s="1"/>
  <c r="M3158" i="3"/>
  <c r="N3158" i="3" s="1"/>
  <c r="M2459" i="3"/>
  <c r="N2459" i="3" s="1"/>
  <c r="M2621" i="3"/>
  <c r="N2621" i="3" s="1"/>
  <c r="M2701" i="3"/>
  <c r="N2701" i="3" s="1"/>
  <c r="M2781" i="3"/>
  <c r="N2781" i="3" s="1"/>
  <c r="M2877" i="3"/>
  <c r="N2877" i="3" s="1"/>
  <c r="M2957" i="3"/>
  <c r="N2957" i="3" s="1"/>
  <c r="M3037" i="3"/>
  <c r="N3037" i="3" s="1"/>
  <c r="M3133" i="3"/>
  <c r="N3133" i="3" s="1"/>
  <c r="M3524" i="3"/>
  <c r="N3524" i="3" s="1"/>
  <c r="M3607" i="3"/>
  <c r="N3607" i="3" s="1"/>
  <c r="M3390" i="3"/>
  <c r="N3390" i="3" s="1"/>
  <c r="M3430" i="3"/>
  <c r="N3430" i="3" s="1"/>
  <c r="M3582" i="3"/>
  <c r="N3582" i="3" s="1"/>
  <c r="M3592" i="3"/>
  <c r="N3592" i="3" s="1"/>
  <c r="M3585" i="3"/>
  <c r="N3585" i="3" s="1"/>
  <c r="M3454" i="3"/>
  <c r="N3454" i="3" s="1"/>
  <c r="M3664" i="3"/>
  <c r="N3664" i="3" s="1"/>
  <c r="M3699" i="3"/>
  <c r="N3699" i="3" s="1"/>
  <c r="M3676" i="3"/>
  <c r="N3676" i="3" s="1"/>
  <c r="M3874" i="3"/>
  <c r="N3874" i="3" s="1"/>
  <c r="M3954" i="3"/>
  <c r="N3954" i="3" s="1"/>
  <c r="M4034" i="3"/>
  <c r="N4034" i="3" s="1"/>
  <c r="M4130" i="3"/>
  <c r="N4130" i="3" s="1"/>
  <c r="M4210" i="3"/>
  <c r="N4210" i="3" s="1"/>
  <c r="M4406" i="3"/>
  <c r="N4406" i="3" s="1"/>
  <c r="M4606" i="3"/>
  <c r="N4606" i="3" s="1"/>
  <c r="M3885" i="3"/>
  <c r="N3885" i="3" s="1"/>
  <c r="M4045" i="3"/>
  <c r="N4045" i="3" s="1"/>
  <c r="M4237" i="3"/>
  <c r="N4237" i="3" s="1"/>
  <c r="M3952" i="3"/>
  <c r="N3952" i="3" s="1"/>
  <c r="M4176" i="3"/>
  <c r="N4176" i="3" s="1"/>
  <c r="M441" i="3"/>
  <c r="N441" i="3" s="1"/>
  <c r="M521" i="3"/>
  <c r="N521" i="3" s="1"/>
  <c r="M601" i="3"/>
  <c r="N601" i="3" s="1"/>
  <c r="M665" i="3"/>
  <c r="N665" i="3" s="1"/>
  <c r="M661" i="3"/>
  <c r="N661" i="3" s="1"/>
  <c r="M458" i="3"/>
  <c r="N458" i="3" s="1"/>
  <c r="M688" i="3"/>
  <c r="N688" i="3" s="1"/>
  <c r="M728" i="3"/>
  <c r="N728" i="3" s="1"/>
  <c r="M768" i="3"/>
  <c r="N768" i="3" s="1"/>
  <c r="M816" i="3"/>
  <c r="N816" i="3" s="1"/>
  <c r="M885" i="3"/>
  <c r="N885" i="3" s="1"/>
  <c r="M945" i="3"/>
  <c r="N945" i="3" s="1"/>
  <c r="M993" i="3"/>
  <c r="N993" i="3" s="1"/>
  <c r="M1033" i="3"/>
  <c r="N1033" i="3" s="1"/>
  <c r="M1073" i="3"/>
  <c r="N1073" i="3" s="1"/>
  <c r="M1166" i="3"/>
  <c r="N1166" i="3" s="1"/>
  <c r="M892" i="3"/>
  <c r="N892" i="3" s="1"/>
  <c r="M1258" i="3"/>
  <c r="N1258" i="3" s="1"/>
  <c r="M1209" i="3"/>
  <c r="N1209" i="3" s="1"/>
  <c r="M1544" i="3"/>
  <c r="N1544" i="3" s="1"/>
  <c r="M1704" i="3"/>
  <c r="N1704" i="3" s="1"/>
  <c r="M1103" i="3"/>
  <c r="N1103" i="3" s="1"/>
  <c r="M1553" i="3"/>
  <c r="N1553" i="3" s="1"/>
  <c r="M1603" i="3"/>
  <c r="N1603" i="3" s="1"/>
  <c r="M1667" i="3"/>
  <c r="N1667" i="3" s="1"/>
  <c r="M1718" i="3"/>
  <c r="N1718" i="3" s="1"/>
  <c r="M1551" i="3"/>
  <c r="N1551" i="3" s="1"/>
  <c r="M1615" i="3"/>
  <c r="N1615" i="3" s="1"/>
  <c r="M1666" i="3"/>
  <c r="N1666" i="3" s="1"/>
  <c r="M1725" i="3"/>
  <c r="N1725" i="3" s="1"/>
  <c r="M1250" i="3"/>
  <c r="N1250" i="3" s="1"/>
  <c r="M1676" i="3"/>
  <c r="N1676" i="3" s="1"/>
  <c r="M1849" i="3"/>
  <c r="N1849" i="3" s="1"/>
  <c r="M1916" i="3"/>
  <c r="N1916" i="3" s="1"/>
  <c r="M1628" i="3"/>
  <c r="N1628" i="3" s="1"/>
  <c r="M1643" i="3"/>
  <c r="N1643" i="3" s="1"/>
  <c r="M1595" i="3"/>
  <c r="N1595" i="3" s="1"/>
  <c r="M1786" i="3"/>
  <c r="N1786" i="3" s="1"/>
  <c r="M1834" i="3"/>
  <c r="N1834" i="3" s="1"/>
  <c r="M1964" i="3"/>
  <c r="N1964" i="3" s="1"/>
  <c r="M1945" i="3"/>
  <c r="N1945" i="3" s="1"/>
  <c r="M2120" i="3"/>
  <c r="N2120" i="3" s="1"/>
  <c r="M2200" i="3"/>
  <c r="N2200" i="3" s="1"/>
  <c r="M2285" i="3"/>
  <c r="N2285" i="3" s="1"/>
  <c r="M2361" i="3"/>
  <c r="N2361" i="3" s="1"/>
  <c r="M2416" i="3"/>
  <c r="N2416" i="3" s="1"/>
  <c r="M2496" i="3"/>
  <c r="N2496" i="3" s="1"/>
  <c r="M2342" i="3"/>
  <c r="N2342" i="3" s="1"/>
  <c r="M2457" i="3"/>
  <c r="N2457" i="3" s="1"/>
  <c r="M2537" i="3"/>
  <c r="N2537" i="3" s="1"/>
  <c r="M2594" i="3"/>
  <c r="N2594" i="3" s="1"/>
  <c r="M2634" i="3"/>
  <c r="N2634" i="3" s="1"/>
  <c r="M2674" i="3"/>
  <c r="N2674" i="3" s="1"/>
  <c r="M2722" i="3"/>
  <c r="N2722" i="3" s="1"/>
  <c r="M2762" i="3"/>
  <c r="N2762" i="3" s="1"/>
  <c r="M2802" i="3"/>
  <c r="N2802" i="3" s="1"/>
  <c r="M2850" i="3"/>
  <c r="N2850" i="3" s="1"/>
  <c r="M2890" i="3"/>
  <c r="N2890" i="3" s="1"/>
  <c r="M2930" i="3"/>
  <c r="N2930" i="3" s="1"/>
  <c r="M2978" i="3"/>
  <c r="N2978" i="3" s="1"/>
  <c r="M3018" i="3"/>
  <c r="N3018" i="3" s="1"/>
  <c r="M3058" i="3"/>
  <c r="N3058" i="3" s="1"/>
  <c r="M3106" i="3"/>
  <c r="N3106" i="3" s="1"/>
  <c r="M3146" i="3"/>
  <c r="N3146" i="3" s="1"/>
  <c r="M3178" i="3"/>
  <c r="N3178" i="3" s="1"/>
  <c r="M3202" i="3"/>
  <c r="N3202" i="3" s="1"/>
  <c r="M2463" i="3"/>
  <c r="N2463" i="3" s="1"/>
  <c r="M2577" i="3"/>
  <c r="N2577" i="3" s="1"/>
  <c r="M2665" i="3"/>
  <c r="N2665" i="3" s="1"/>
  <c r="M2745" i="3"/>
  <c r="N2745" i="3" s="1"/>
  <c r="M2825" i="3"/>
  <c r="N2825" i="3" s="1"/>
  <c r="M2921" i="3"/>
  <c r="N2921" i="3" s="1"/>
  <c r="M3001" i="3"/>
  <c r="N3001" i="3" s="1"/>
  <c r="M3081" i="3"/>
  <c r="N3081" i="3" s="1"/>
  <c r="M2260" i="3"/>
  <c r="N2260" i="3" s="1"/>
  <c r="M2429" i="3"/>
  <c r="N2429" i="3" s="1"/>
  <c r="M2509" i="3"/>
  <c r="N2509" i="3" s="1"/>
  <c r="M2467" i="3"/>
  <c r="N2467" i="3" s="1"/>
  <c r="M2581" i="3"/>
  <c r="N2581" i="3" s="1"/>
  <c r="M3514" i="3"/>
  <c r="N3514" i="3" s="1"/>
  <c r="M3627" i="3"/>
  <c r="N3627" i="3" s="1"/>
  <c r="M3542" i="3"/>
  <c r="N3542" i="3" s="1"/>
  <c r="M3543" i="3"/>
  <c r="N3543" i="3" s="1"/>
  <c r="M3228" i="3"/>
  <c r="N3228" i="3" s="1"/>
  <c r="M3268" i="3"/>
  <c r="N3268" i="3" s="1"/>
  <c r="M3308" i="3"/>
  <c r="N3308" i="3" s="1"/>
  <c r="M3356" i="3"/>
  <c r="N3356" i="3" s="1"/>
  <c r="M3396" i="3"/>
  <c r="N3396" i="3" s="1"/>
  <c r="M3436" i="3"/>
  <c r="N3436" i="3" s="1"/>
  <c r="M3484" i="3"/>
  <c r="N3484" i="3" s="1"/>
  <c r="M3522" i="3"/>
  <c r="N3522" i="3" s="1"/>
  <c r="M3610" i="3"/>
  <c r="N3610" i="3" s="1"/>
  <c r="M3617" i="3"/>
  <c r="N3617" i="3" s="1"/>
  <c r="M3705" i="3"/>
  <c r="N3705" i="3" s="1"/>
  <c r="M3629" i="3"/>
  <c r="N3629" i="3" s="1"/>
  <c r="M3695" i="3"/>
  <c r="N3695" i="3" s="1"/>
  <c r="M3910" i="3"/>
  <c r="N3910" i="3" s="1"/>
  <c r="M3990" i="3"/>
  <c r="N3990" i="3" s="1"/>
  <c r="M4086" i="3"/>
  <c r="N4086" i="3" s="1"/>
  <c r="M4166" i="3"/>
  <c r="N4166" i="3" s="1"/>
  <c r="M4246" i="3"/>
  <c r="N4246" i="3" s="1"/>
  <c r="M4662" i="3"/>
  <c r="N4662" i="3" s="1"/>
  <c r="M3957" i="3"/>
  <c r="N3957" i="3" s="1"/>
  <c r="M4117" i="3"/>
  <c r="N4117" i="3" s="1"/>
  <c r="M3896" i="3"/>
  <c r="N3896" i="3" s="1"/>
  <c r="M4064" i="3"/>
  <c r="N4064" i="3" s="1"/>
  <c r="M649" i="3"/>
  <c r="N649" i="3" s="1"/>
  <c r="M469" i="3"/>
  <c r="N469" i="3" s="1"/>
  <c r="M549" i="3"/>
  <c r="N549" i="3" s="1"/>
  <c r="M293" i="3"/>
  <c r="N293" i="3" s="1"/>
  <c r="M478" i="3"/>
  <c r="N478" i="3" s="1"/>
  <c r="M558" i="3"/>
  <c r="N558" i="3" s="1"/>
  <c r="M641" i="3"/>
  <c r="N641" i="3" s="1"/>
  <c r="M849" i="3"/>
  <c r="N849" i="3" s="1"/>
  <c r="M923" i="3"/>
  <c r="N923" i="3" s="1"/>
  <c r="M856" i="3"/>
  <c r="N856" i="3" s="1"/>
  <c r="M904" i="3"/>
  <c r="N904" i="3" s="1"/>
  <c r="M554" i="3"/>
  <c r="N554" i="3" s="1"/>
  <c r="M900" i="3"/>
  <c r="N900" i="3" s="1"/>
  <c r="M674" i="3"/>
  <c r="N674" i="3" s="1"/>
  <c r="M714" i="3"/>
  <c r="N714" i="3" s="1"/>
  <c r="M754" i="3"/>
  <c r="N754" i="3" s="1"/>
  <c r="M802" i="3"/>
  <c r="N802" i="3" s="1"/>
  <c r="M1178" i="3"/>
  <c r="N1178" i="3" s="1"/>
  <c r="M850" i="3"/>
  <c r="N850" i="3" s="1"/>
  <c r="M1193" i="3"/>
  <c r="N1193" i="3" s="1"/>
  <c r="M1310" i="3"/>
  <c r="N1310" i="3" s="1"/>
  <c r="M963" i="3"/>
  <c r="N963" i="3" s="1"/>
  <c r="M1312" i="3"/>
  <c r="N1312" i="3" s="1"/>
  <c r="M1370" i="3"/>
  <c r="N1370" i="3" s="1"/>
  <c r="M1450" i="3"/>
  <c r="N1450" i="3" s="1"/>
  <c r="M1541" i="3"/>
  <c r="N1541" i="3" s="1"/>
  <c r="M1591" i="3"/>
  <c r="N1591" i="3" s="1"/>
  <c r="M1642" i="3"/>
  <c r="N1642" i="3" s="1"/>
  <c r="M1706" i="3"/>
  <c r="N1706" i="3" s="1"/>
  <c r="M1756" i="3"/>
  <c r="N1756" i="3" s="1"/>
  <c r="M1352" i="3"/>
  <c r="N1352" i="3" s="1"/>
  <c r="M1448" i="3"/>
  <c r="N1448" i="3" s="1"/>
  <c r="M1526" i="3"/>
  <c r="N1526" i="3" s="1"/>
  <c r="M1668" i="3"/>
  <c r="N1668" i="3" s="1"/>
  <c r="M939" i="3"/>
  <c r="N939" i="3" s="1"/>
  <c r="M1099" i="3"/>
  <c r="N1099" i="3" s="1"/>
  <c r="M1410" i="3"/>
  <c r="N1410" i="3" s="1"/>
  <c r="M1506" i="3"/>
  <c r="N1506" i="3" s="1"/>
  <c r="M1648" i="3"/>
  <c r="N1648" i="3" s="1"/>
  <c r="M1015" i="3"/>
  <c r="N1015" i="3" s="1"/>
  <c r="M1550" i="3"/>
  <c r="N1550" i="3" s="1"/>
  <c r="M1850" i="3"/>
  <c r="N1850" i="3" s="1"/>
  <c r="M1905" i="3"/>
  <c r="N1905" i="3" s="1"/>
  <c r="M1691" i="3"/>
  <c r="N1691" i="3" s="1"/>
  <c r="M1808" i="3"/>
  <c r="N1808" i="3" s="1"/>
  <c r="M1374" i="3"/>
  <c r="N1374" i="3" s="1"/>
  <c r="M1596" i="3"/>
  <c r="N1596" i="3" s="1"/>
  <c r="M1913" i="3"/>
  <c r="N1913" i="3" s="1"/>
  <c r="M1950" i="3"/>
  <c r="N1950" i="3" s="1"/>
  <c r="M1892" i="3"/>
  <c r="N1892" i="3" s="1"/>
  <c r="M2172" i="3"/>
  <c r="N2172" i="3" s="1"/>
  <c r="M2254" i="3"/>
  <c r="N2254" i="3" s="1"/>
  <c r="M2344" i="3"/>
  <c r="N2344" i="3" s="1"/>
  <c r="M2394" i="3"/>
  <c r="N2394" i="3" s="1"/>
  <c r="M2468" i="3"/>
  <c r="N2468" i="3" s="1"/>
  <c r="M1989" i="3"/>
  <c r="N1989" i="3" s="1"/>
  <c r="M2412" i="3"/>
  <c r="N2412" i="3" s="1"/>
  <c r="M2490" i="3"/>
  <c r="N2490" i="3" s="1"/>
  <c r="M2389" i="3"/>
  <c r="N2389" i="3" s="1"/>
  <c r="M2546" i="3"/>
  <c r="N2546" i="3" s="1"/>
  <c r="M2264" i="3"/>
  <c r="N2264" i="3" s="1"/>
  <c r="M2446" i="3"/>
  <c r="N2446" i="3" s="1"/>
  <c r="M2526" i="3"/>
  <c r="N2526" i="3" s="1"/>
  <c r="M2576" i="3"/>
  <c r="N2576" i="3" s="1"/>
  <c r="M2624" i="3"/>
  <c r="N2624" i="3" s="1"/>
  <c r="M2664" i="3"/>
  <c r="N2664" i="3" s="1"/>
  <c r="M2704" i="3"/>
  <c r="N2704" i="3" s="1"/>
  <c r="M2752" i="3"/>
  <c r="N2752" i="3" s="1"/>
  <c r="M2792" i="3"/>
  <c r="N2792" i="3" s="1"/>
  <c r="M2832" i="3"/>
  <c r="N2832" i="3" s="1"/>
  <c r="M2880" i="3"/>
  <c r="N2880" i="3" s="1"/>
  <c r="M2920" i="3"/>
  <c r="N2920" i="3" s="1"/>
  <c r="M2960" i="3"/>
  <c r="N2960" i="3" s="1"/>
  <c r="M3008" i="3"/>
  <c r="N3008" i="3" s="1"/>
  <c r="M3048" i="3"/>
  <c r="N3048" i="3" s="1"/>
  <c r="M3088" i="3"/>
  <c r="N3088" i="3" s="1"/>
  <c r="M3136" i="3"/>
  <c r="N3136" i="3" s="1"/>
  <c r="M2245" i="3"/>
  <c r="N2245" i="3" s="1"/>
  <c r="M2507" i="3"/>
  <c r="N2507" i="3" s="1"/>
  <c r="M2619" i="3"/>
  <c r="N2619" i="3" s="1"/>
  <c r="M2693" i="3"/>
  <c r="N2693" i="3" s="1"/>
  <c r="M2773" i="3"/>
  <c r="N2773" i="3" s="1"/>
  <c r="M2869" i="3"/>
  <c r="N2869" i="3" s="1"/>
  <c r="M2949" i="3"/>
  <c r="N2949" i="3" s="1"/>
  <c r="M3029" i="3"/>
  <c r="N3029" i="3" s="1"/>
  <c r="M3125" i="3"/>
  <c r="N3125" i="3" s="1"/>
  <c r="M3531" i="3"/>
  <c r="N3531" i="3" s="1"/>
  <c r="M3615" i="3"/>
  <c r="N3615" i="3" s="1"/>
  <c r="M3394" i="3"/>
  <c r="N3394" i="3" s="1"/>
  <c r="M3434" i="3"/>
  <c r="N3434" i="3" s="1"/>
  <c r="M3472" i="3"/>
  <c r="N3472" i="3" s="1"/>
  <c r="M3525" i="3"/>
  <c r="N3525" i="3" s="1"/>
  <c r="M3535" i="3"/>
  <c r="N3535" i="3" s="1"/>
  <c r="M3546" i="3"/>
  <c r="N3546" i="3" s="1"/>
  <c r="M3682" i="3"/>
  <c r="N3682" i="3" s="1"/>
  <c r="M3640" i="3"/>
  <c r="N3640" i="3" s="1"/>
  <c r="M3646" i="3"/>
  <c r="N3646" i="3" s="1"/>
  <c r="M3668" i="3"/>
  <c r="N3668" i="3" s="1"/>
  <c r="M3850" i="3"/>
  <c r="N3850" i="3" s="1"/>
  <c r="M3930" i="3"/>
  <c r="N3930" i="3" s="1"/>
  <c r="M4026" i="3"/>
  <c r="N4026" i="3" s="1"/>
  <c r="M4106" i="3"/>
  <c r="N4106" i="3" s="1"/>
  <c r="M4186" i="3"/>
  <c r="N4186" i="3" s="1"/>
  <c r="M4278" i="3"/>
  <c r="N4278" i="3" s="1"/>
  <c r="M4318" i="3"/>
  <c r="N4318" i="3" s="1"/>
  <c r="M4358" i="3"/>
  <c r="N4358" i="3" s="1"/>
  <c r="M3869" i="3"/>
  <c r="N3869" i="3" s="1"/>
  <c r="M4029" i="3"/>
  <c r="N4029" i="3" s="1"/>
  <c r="M4189" i="3"/>
  <c r="N4189" i="3" s="1"/>
  <c r="M3936" i="3"/>
  <c r="N3936" i="3" s="1"/>
  <c r="M4144" i="3"/>
  <c r="N4144" i="3" s="1"/>
  <c r="M410" i="3"/>
  <c r="N410" i="3" s="1"/>
  <c r="M502" i="3"/>
  <c r="N502" i="3" s="1"/>
  <c r="M582" i="3"/>
  <c r="N582" i="3" s="1"/>
  <c r="M666" i="3"/>
  <c r="N666" i="3" s="1"/>
  <c r="M653" i="3"/>
  <c r="N653" i="3" s="1"/>
  <c r="M445" i="3"/>
  <c r="N445" i="3" s="1"/>
  <c r="M684" i="3"/>
  <c r="N684" i="3" s="1"/>
  <c r="M732" i="3"/>
  <c r="N732" i="3" s="1"/>
  <c r="M772" i="3"/>
  <c r="N772" i="3" s="1"/>
  <c r="M812" i="3"/>
  <c r="N812" i="3" s="1"/>
  <c r="M893" i="3"/>
  <c r="N893" i="3" s="1"/>
  <c r="M957" i="3"/>
  <c r="N957" i="3" s="1"/>
  <c r="M997" i="3"/>
  <c r="N997" i="3" s="1"/>
  <c r="M1045" i="3"/>
  <c r="N1045" i="3" s="1"/>
  <c r="M1085" i="3"/>
  <c r="N1085" i="3" s="1"/>
  <c r="M1153" i="3"/>
  <c r="N1153" i="3" s="1"/>
  <c r="M1117" i="3"/>
  <c r="N1117" i="3" s="1"/>
  <c r="M334" i="3"/>
  <c r="N334" i="3" s="1"/>
  <c r="M1281" i="3"/>
  <c r="N1281" i="3" s="1"/>
  <c r="M1592" i="3"/>
  <c r="N1592" i="3" s="1"/>
  <c r="M927" i="3"/>
  <c r="N927" i="3" s="1"/>
  <c r="M1087" i="3"/>
  <c r="N1087" i="3" s="1"/>
  <c r="M1555" i="3"/>
  <c r="N1555" i="3" s="1"/>
  <c r="M1606" i="3"/>
  <c r="N1606" i="3" s="1"/>
  <c r="M1665" i="3"/>
  <c r="N1665" i="3" s="1"/>
  <c r="M1729" i="3"/>
  <c r="N1729" i="3" s="1"/>
  <c r="M1567" i="3"/>
  <c r="N1567" i="3" s="1"/>
  <c r="M1650" i="3"/>
  <c r="N1650" i="3" s="1"/>
  <c r="M1736" i="3"/>
  <c r="N1736" i="3" s="1"/>
  <c r="M1470" i="3"/>
  <c r="N1470" i="3" s="1"/>
  <c r="M1564" i="3"/>
  <c r="N1564" i="3" s="1"/>
  <c r="M1472" i="3"/>
  <c r="N1472" i="3" s="1"/>
  <c r="M1925" i="3"/>
  <c r="N1925" i="3" s="1"/>
  <c r="M2030" i="3"/>
  <c r="N2030" i="3" s="1"/>
  <c r="M2094" i="3"/>
  <c r="N2094" i="3" s="1"/>
  <c r="M2224" i="3"/>
  <c r="N2224" i="3" s="1"/>
  <c r="M2440" i="3"/>
  <c r="N2440" i="3" s="1"/>
  <c r="M2449" i="3"/>
  <c r="N2449" i="3" s="1"/>
  <c r="M2628" i="3"/>
  <c r="N2628" i="3" s="1"/>
  <c r="M2756" i="3"/>
  <c r="N2756" i="3" s="1"/>
  <c r="M2884" i="3"/>
  <c r="N2884" i="3" s="1"/>
  <c r="M3012" i="3"/>
  <c r="N3012" i="3" s="1"/>
  <c r="M3140" i="3"/>
  <c r="N3140" i="3" s="1"/>
  <c r="M2641" i="3"/>
  <c r="N2641" i="3" s="1"/>
  <c r="M2897" i="3"/>
  <c r="N2897" i="3" s="1"/>
  <c r="M3153" i="3"/>
  <c r="N3153" i="3" s="1"/>
  <c r="M2365" i="3"/>
  <c r="N2365" i="3" s="1"/>
  <c r="M3564" i="3"/>
  <c r="N3564" i="3" s="1"/>
  <c r="M3568" i="3"/>
  <c r="N3568" i="3" s="1"/>
  <c r="M3328" i="3"/>
  <c r="N3328" i="3" s="1"/>
  <c r="M3538" i="3"/>
  <c r="N3538" i="3" s="1"/>
  <c r="M3654" i="3"/>
  <c r="N3654" i="3" s="1"/>
  <c r="M3950" i="3"/>
  <c r="N3950" i="3" s="1"/>
  <c r="M4206" i="3"/>
  <c r="N4206" i="3" s="1"/>
  <c r="M4494" i="3"/>
  <c r="N4494" i="3" s="1"/>
  <c r="M4005" i="3"/>
  <c r="N4005" i="3" s="1"/>
  <c r="M4040" i="3"/>
  <c r="N4040" i="3" s="1"/>
  <c r="M4248" i="3"/>
  <c r="N4248" i="3" s="1"/>
  <c r="M3847" i="3"/>
  <c r="N3847" i="3" s="1"/>
  <c r="M4103" i="3"/>
  <c r="N4103" i="3" s="1"/>
  <c r="M4761" i="3"/>
  <c r="N4761" i="3" s="1"/>
  <c r="M5017" i="3"/>
  <c r="N5017" i="3" s="1"/>
  <c r="M5273" i="3"/>
  <c r="N5273" i="3" s="1"/>
  <c r="M5529" i="3"/>
  <c r="N5529" i="3" s="1"/>
  <c r="M4806" i="3"/>
  <c r="N4806" i="3" s="1"/>
  <c r="M5062" i="3"/>
  <c r="N5062" i="3" s="1"/>
  <c r="M5318" i="3"/>
  <c r="N5318" i="3" s="1"/>
  <c r="M5574" i="3"/>
  <c r="N5574" i="3" s="1"/>
  <c r="M4496" i="3"/>
  <c r="N4496" i="3" s="1"/>
  <c r="M4773" i="3"/>
  <c r="N4773" i="3" s="1"/>
  <c r="M5029" i="3"/>
  <c r="N5029" i="3" s="1"/>
  <c r="M5285" i="3"/>
  <c r="N5285" i="3" s="1"/>
  <c r="M5541" i="3"/>
  <c r="N5541" i="3" s="1"/>
  <c r="M5726" i="3"/>
  <c r="N5726" i="3" s="1"/>
  <c r="M4915" i="3"/>
  <c r="N4915" i="3" s="1"/>
  <c r="M5171" i="3"/>
  <c r="N5171" i="3" s="1"/>
  <c r="M5427" i="3"/>
  <c r="N5427" i="3" s="1"/>
  <c r="M5811" i="3"/>
  <c r="N5811" i="3" s="1"/>
  <c r="M5939" i="3"/>
  <c r="N5939" i="3" s="1"/>
  <c r="M6067" i="3"/>
  <c r="N6067" i="3" s="1"/>
  <c r="M6195" i="3"/>
  <c r="N6195" i="3" s="1"/>
  <c r="M6323" i="3"/>
  <c r="N6323" i="3" s="1"/>
  <c r="M6451" i="3"/>
  <c r="N6451" i="3" s="1"/>
  <c r="M6579" i="3"/>
  <c r="N6579" i="3" s="1"/>
  <c r="M5881" i="3"/>
  <c r="N5881" i="3" s="1"/>
  <c r="M6009" i="3"/>
  <c r="N6009" i="3" s="1"/>
  <c r="M6137" i="3"/>
  <c r="N6137" i="3" s="1"/>
  <c r="M6265" i="3"/>
  <c r="N6265" i="3" s="1"/>
  <c r="M6393" i="3"/>
  <c r="N6393" i="3" s="1"/>
  <c r="M6519" i="3"/>
  <c r="N6519" i="3" s="1"/>
  <c r="M6829" i="3"/>
  <c r="N6829" i="3" s="1"/>
  <c r="M7085" i="3"/>
  <c r="N7085" i="3" s="1"/>
  <c r="M6691" i="3"/>
  <c r="N6691" i="3" s="1"/>
  <c r="M6947" i="3"/>
  <c r="N6947" i="3" s="1"/>
  <c r="M7224" i="3"/>
  <c r="N7224" i="3" s="1"/>
  <c r="M6769" i="3"/>
  <c r="N6769" i="3" s="1"/>
  <c r="M7025" i="3"/>
  <c r="N7025" i="3" s="1"/>
  <c r="M6679" i="3"/>
  <c r="N6679" i="3" s="1"/>
  <c r="M6935" i="3"/>
  <c r="N6935" i="3" s="1"/>
  <c r="M7219" i="3"/>
  <c r="N7219" i="3" s="1"/>
  <c r="M7369" i="3"/>
  <c r="N7369" i="3" s="1"/>
  <c r="M7497" i="3"/>
  <c r="N7497" i="3" s="1"/>
  <c r="M7625" i="3"/>
  <c r="N7625" i="3" s="1"/>
  <c r="M3993" i="3"/>
  <c r="N3993" i="3" s="1"/>
  <c r="M4249" i="3"/>
  <c r="N4249" i="3" s="1"/>
  <c r="M4028" i="3"/>
  <c r="N4028" i="3" s="1"/>
  <c r="M4386" i="3"/>
  <c r="N4386" i="3" s="1"/>
  <c r="M4059" i="3"/>
  <c r="N4059" i="3" s="1"/>
  <c r="M4720" i="3"/>
  <c r="N4720" i="3" s="1"/>
  <c r="M4976" i="3"/>
  <c r="N4976" i="3" s="1"/>
  <c r="M5232" i="3"/>
  <c r="N5232" i="3" s="1"/>
  <c r="M5488" i="3"/>
  <c r="N5488" i="3" s="1"/>
  <c r="M4743" i="3"/>
  <c r="N4743" i="3" s="1"/>
  <c r="M4999" i="3"/>
  <c r="N4999" i="3" s="1"/>
  <c r="M5255" i="3"/>
  <c r="N5255" i="3" s="1"/>
  <c r="M5511" i="3"/>
  <c r="N5511" i="3" s="1"/>
  <c r="M4388" i="3"/>
  <c r="N4388" i="3" s="1"/>
  <c r="M4644" i="3"/>
  <c r="N4644" i="3" s="1"/>
  <c r="M4924" i="3"/>
  <c r="N4924" i="3" s="1"/>
  <c r="M5180" i="3"/>
  <c r="N5180" i="3" s="1"/>
  <c r="M5436" i="3"/>
  <c r="N5436" i="3" s="1"/>
  <c r="M5674" i="3"/>
  <c r="N5674" i="3" s="1"/>
  <c r="M4906" i="3"/>
  <c r="N4906" i="3" s="1"/>
  <c r="M5242" i="3"/>
  <c r="N5242" i="3" s="1"/>
  <c r="M5578" i="3"/>
  <c r="N5578" i="3" s="1"/>
  <c r="M5715" i="3"/>
  <c r="N5715" i="3" s="1"/>
  <c r="M6686" i="3"/>
  <c r="N6686" i="3" s="1"/>
  <c r="M7022" i="3"/>
  <c r="N7022" i="3" s="1"/>
  <c r="M7264" i="3"/>
  <c r="N7264" i="3" s="1"/>
  <c r="M7432" i="3"/>
  <c r="N7432" i="3" s="1"/>
  <c r="M7600" i="3"/>
  <c r="N7600" i="3" s="1"/>
  <c r="M6852" i="3"/>
  <c r="N6852" i="3" s="1"/>
  <c r="M7188" i="3"/>
  <c r="N7188" i="3" s="1"/>
  <c r="M7403" i="3"/>
  <c r="N7403" i="3" s="1"/>
  <c r="M7579" i="3"/>
  <c r="N7579" i="3" s="1"/>
  <c r="M6690" i="3"/>
  <c r="N6690" i="3" s="1"/>
  <c r="M7026" i="3"/>
  <c r="N7026" i="3" s="1"/>
  <c r="M7334" i="3"/>
  <c r="N7334" i="3" s="1"/>
  <c r="M7502" i="3"/>
  <c r="N7502" i="3" s="1"/>
  <c r="M6664" i="3"/>
  <c r="N6664" i="3" s="1"/>
  <c r="M7016" i="3"/>
  <c r="N7016" i="3" s="1"/>
  <c r="M4450" i="3"/>
  <c r="N4450" i="3" s="1"/>
  <c r="M4642" i="3"/>
  <c r="N4642" i="3" s="1"/>
  <c r="M4111" i="3"/>
  <c r="N4111" i="3" s="1"/>
  <c r="M4849" i="3"/>
  <c r="N4849" i="3" s="1"/>
  <c r="M5185" i="3"/>
  <c r="N5185" i="3" s="1"/>
  <c r="M5537" i="3"/>
  <c r="N5537" i="3" s="1"/>
  <c r="M4894" i="3"/>
  <c r="N4894" i="3" s="1"/>
  <c r="M5230" i="3"/>
  <c r="N5230" i="3" s="1"/>
  <c r="M5582" i="3"/>
  <c r="N5582" i="3" s="1"/>
  <c r="M4568" i="3"/>
  <c r="N4568" i="3" s="1"/>
  <c r="M4925" i="3"/>
  <c r="N4925" i="3" s="1"/>
  <c r="M5277" i="3"/>
  <c r="N5277" i="3" s="1"/>
  <c r="M5613" i="3"/>
  <c r="N5613" i="3" s="1"/>
  <c r="M4811" i="3"/>
  <c r="N4811" i="3" s="1"/>
  <c r="M5163" i="3"/>
  <c r="N5163" i="3" s="1"/>
  <c r="M5499" i="3"/>
  <c r="N5499" i="3" s="1"/>
  <c r="M5887" i="3"/>
  <c r="N5887" i="3" s="1"/>
  <c r="M6063" i="3"/>
  <c r="N6063" i="3" s="1"/>
  <c r="M6231" i="3"/>
  <c r="N6231" i="3" s="1"/>
  <c r="M6399" i="3"/>
  <c r="N6399" i="3" s="1"/>
  <c r="M5813" i="3"/>
  <c r="N5813" i="3" s="1"/>
  <c r="M5981" i="3"/>
  <c r="N5981" i="3" s="1"/>
  <c r="M6149" i="3"/>
  <c r="N6149" i="3" s="1"/>
  <c r="M6325" i="3"/>
  <c r="N6325" i="3" s="1"/>
  <c r="M6493" i="3"/>
  <c r="N6493" i="3" s="1"/>
  <c r="M6885" i="3"/>
  <c r="N6885" i="3" s="1"/>
  <c r="M7201" i="3"/>
  <c r="N7201" i="3" s="1"/>
  <c r="M6891" i="3"/>
  <c r="N6891" i="3" s="1"/>
  <c r="M6537" i="3"/>
  <c r="N6537" i="3" s="1"/>
  <c r="M6921" i="3"/>
  <c r="N6921" i="3" s="1"/>
  <c r="M6671" i="3"/>
  <c r="N6671" i="3" s="1"/>
  <c r="M7007" i="3"/>
  <c r="N7007" i="3" s="1"/>
  <c r="M7357" i="3"/>
  <c r="N7357" i="3" s="1"/>
  <c r="M4225" i="3"/>
  <c r="N4225" i="3" s="1"/>
  <c r="M4728" i="3"/>
  <c r="N4728" i="3" s="1"/>
  <c r="M4735" i="3"/>
  <c r="N4735" i="3" s="1"/>
  <c r="M4396" i="3"/>
  <c r="N4396" i="3" s="1"/>
  <c r="M5444" i="3"/>
  <c r="N5444" i="3" s="1"/>
  <c r="M5410" i="3"/>
  <c r="N5410" i="3" s="1"/>
  <c r="M7078" i="3"/>
  <c r="N7078" i="3" s="1"/>
  <c r="M6940" i="3"/>
  <c r="N6940" i="3" s="1"/>
  <c r="M6778" i="3"/>
  <c r="N6778" i="3" s="1"/>
  <c r="M6752" i="3"/>
  <c r="N6752" i="3" s="1"/>
  <c r="M6524" i="3"/>
  <c r="N6524" i="3" s="1"/>
  <c r="M6184" i="3"/>
  <c r="N6184" i="3" s="1"/>
  <c r="M5844" i="3"/>
  <c r="N5844" i="3" s="1"/>
  <c r="M6290" i="3"/>
  <c r="N6290" i="3" s="1"/>
  <c r="M5950" i="3"/>
  <c r="N5950" i="3" s="1"/>
  <c r="M4457" i="3"/>
  <c r="N4457" i="3" s="1"/>
  <c r="M3838" i="3"/>
  <c r="N3838" i="3" s="1"/>
  <c r="M3753" i="3"/>
  <c r="N3753" i="3" s="1"/>
  <c r="M4527" i="3"/>
  <c r="N4527" i="3" s="1"/>
  <c r="M3445" i="3"/>
  <c r="N3445" i="3" s="1"/>
  <c r="M2919" i="3"/>
  <c r="N2919" i="3" s="1"/>
  <c r="M2072" i="3"/>
  <c r="N2072" i="3" s="1"/>
  <c r="M1511" i="3"/>
  <c r="N1511" i="3" s="1"/>
  <c r="M672" i="3"/>
  <c r="N672" i="3" s="1"/>
  <c r="M444" i="3"/>
  <c r="N444" i="3" s="1"/>
  <c r="M22" i="8"/>
  <c r="AR36" i="4"/>
  <c r="AA36" i="4"/>
  <c r="AV108" i="4"/>
  <c r="AE108" i="4"/>
  <c r="BA96" i="4"/>
  <c r="AJ96" i="4"/>
  <c r="AX48" i="4"/>
  <c r="AG48" i="4"/>
  <c r="AT96" i="4"/>
  <c r="AC96" i="4"/>
  <c r="AX120" i="4"/>
  <c r="AG120" i="4"/>
  <c r="AU60" i="4"/>
  <c r="AD60" i="4"/>
  <c r="AY24" i="4"/>
  <c r="AH24" i="4"/>
  <c r="AO60" i="4"/>
  <c r="X60" i="4"/>
  <c r="Z72" i="4"/>
  <c r="AQ72" i="4"/>
  <c r="AS84" i="4"/>
  <c r="AB84" i="4"/>
  <c r="AW108" i="4"/>
  <c r="AF108" i="4"/>
  <c r="AY120" i="4"/>
  <c r="AH120" i="4"/>
  <c r="AT36" i="4"/>
  <c r="AC36" i="4"/>
  <c r="AZ48" i="4"/>
  <c r="AI48" i="4"/>
  <c r="AR120" i="4"/>
  <c r="AA120" i="4"/>
  <c r="Q121" i="4"/>
  <c r="M121" i="4"/>
  <c r="I121" i="4"/>
  <c r="S109" i="4"/>
  <c r="O109" i="4"/>
  <c r="K109" i="4"/>
  <c r="G109" i="4"/>
  <c r="Q97" i="4"/>
  <c r="M97" i="4"/>
  <c r="I97" i="4"/>
  <c r="S85" i="4"/>
  <c r="O85" i="4"/>
  <c r="K85" i="4"/>
  <c r="G85" i="4"/>
  <c r="Q73" i="4"/>
  <c r="M73" i="4"/>
  <c r="I73" i="4"/>
  <c r="S61" i="4"/>
  <c r="O61" i="4"/>
  <c r="K61" i="4"/>
  <c r="G61" i="4"/>
  <c r="Q49" i="4"/>
  <c r="M49" i="4"/>
  <c r="I49" i="4"/>
  <c r="S37" i="4"/>
  <c r="O37" i="4"/>
  <c r="K37" i="4"/>
  <c r="G37" i="4"/>
  <c r="Q25" i="4"/>
  <c r="M25" i="4"/>
  <c r="I25" i="4"/>
  <c r="S13" i="4"/>
  <c r="O13" i="4"/>
  <c r="K13" i="4"/>
  <c r="G13" i="4"/>
  <c r="P121" i="4"/>
  <c r="L121" i="4"/>
  <c r="H121" i="4"/>
  <c r="R109" i="4"/>
  <c r="N109" i="4"/>
  <c r="J109" i="4"/>
  <c r="P97" i="4"/>
  <c r="L97" i="4"/>
  <c r="H97" i="4"/>
  <c r="R85" i="4"/>
  <c r="N85" i="4"/>
  <c r="J85" i="4"/>
  <c r="P73" i="4"/>
  <c r="L73" i="4"/>
  <c r="H73" i="4"/>
  <c r="R61" i="4"/>
  <c r="N61" i="4"/>
  <c r="J61" i="4"/>
  <c r="P49" i="4"/>
  <c r="L49" i="4"/>
  <c r="H49" i="4"/>
  <c r="R37" i="4"/>
  <c r="N37" i="4"/>
  <c r="J37" i="4"/>
  <c r="P25" i="4"/>
  <c r="L25" i="4"/>
  <c r="H25" i="4"/>
  <c r="R13" i="4"/>
  <c r="N13" i="4"/>
  <c r="J13" i="4"/>
  <c r="N121" i="4"/>
  <c r="P109" i="4"/>
  <c r="H109" i="4"/>
  <c r="R97" i="4"/>
  <c r="J97" i="4"/>
  <c r="L85" i="4"/>
  <c r="N73" i="4"/>
  <c r="P61" i="4"/>
  <c r="H61" i="4"/>
  <c r="R49" i="4"/>
  <c r="J49" i="4"/>
  <c r="L37" i="4"/>
  <c r="N25" i="4"/>
  <c r="P13" i="4"/>
  <c r="H13" i="4"/>
  <c r="S121" i="4"/>
  <c r="K121" i="4"/>
  <c r="M109" i="4"/>
  <c r="O97" i="4"/>
  <c r="G97" i="4"/>
  <c r="Q85" i="4"/>
  <c r="I85" i="4"/>
  <c r="S73" i="4"/>
  <c r="K73" i="4"/>
  <c r="M61" i="4"/>
  <c r="O49" i="4"/>
  <c r="G49" i="4"/>
  <c r="Q37" i="4"/>
  <c r="I37" i="4"/>
  <c r="S25" i="4"/>
  <c r="K25" i="4"/>
  <c r="M13" i="4"/>
  <c r="G121" i="4"/>
  <c r="I109" i="4"/>
  <c r="K97" i="4"/>
  <c r="M85" i="4"/>
  <c r="O73" i="4"/>
  <c r="Q61" i="4"/>
  <c r="S49" i="4"/>
  <c r="G25" i="4"/>
  <c r="I13" i="4"/>
  <c r="L109" i="4"/>
  <c r="P85" i="4"/>
  <c r="H37" i="4"/>
  <c r="R121" i="4"/>
  <c r="H85" i="4"/>
  <c r="J73" i="4"/>
  <c r="L61" i="4"/>
  <c r="N49" i="4"/>
  <c r="P37" i="4"/>
  <c r="R25" i="4"/>
  <c r="O121" i="4"/>
  <c r="Q109" i="4"/>
  <c r="S97" i="4"/>
  <c r="G73" i="4"/>
  <c r="I61" i="4"/>
  <c r="K49" i="4"/>
  <c r="M37" i="4"/>
  <c r="O25" i="4"/>
  <c r="Q13" i="4"/>
  <c r="J121" i="4"/>
  <c r="N97" i="4"/>
  <c r="R73" i="4"/>
  <c r="J25" i="4"/>
  <c r="L13" i="4"/>
  <c r="R86" i="4"/>
  <c r="M63" i="4"/>
  <c r="N62" i="4"/>
  <c r="S98" i="4"/>
  <c r="O98" i="4"/>
  <c r="I98" i="4"/>
  <c r="AW72" i="4"/>
  <c r="AF72" i="4"/>
  <c r="AT24" i="4"/>
  <c r="AC24" i="4"/>
  <c r="AX96" i="4"/>
  <c r="AG96" i="4"/>
  <c r="AW24" i="4"/>
  <c r="AF24" i="4"/>
  <c r="AO72" i="4"/>
  <c r="X72" i="4"/>
  <c r="AQ12" i="4"/>
  <c r="Z12" i="4"/>
  <c r="AZ36" i="4"/>
  <c r="AI36" i="4"/>
  <c r="AR84" i="4"/>
  <c r="AA84" i="4"/>
  <c r="AP24" i="4"/>
  <c r="Y24" i="4"/>
  <c r="AR60" i="4"/>
  <c r="AA60" i="4"/>
  <c r="AV84" i="4"/>
  <c r="AE84" i="4"/>
  <c r="AP120" i="4"/>
  <c r="Y120" i="4"/>
  <c r="BA24" i="4"/>
  <c r="AJ24" i="4"/>
  <c r="AW48" i="4"/>
  <c r="AF48" i="4"/>
  <c r="AQ84" i="4"/>
  <c r="Z84" i="4"/>
  <c r="AU108" i="4"/>
  <c r="AD108" i="4"/>
  <c r="AS12" i="4"/>
  <c r="AB12" i="4"/>
  <c r="AU24" i="4"/>
  <c r="AD24" i="4"/>
  <c r="AW36" i="4"/>
  <c r="AF36" i="4"/>
  <c r="AH48" i="4"/>
  <c r="AY48" i="4"/>
  <c r="AJ60" i="4"/>
  <c r="BA60" i="4"/>
  <c r="AO84" i="4"/>
  <c r="X84" i="4"/>
  <c r="AQ96" i="4"/>
  <c r="Z96" i="4"/>
  <c r="AS108" i="4"/>
  <c r="AB108" i="4"/>
  <c r="AU120" i="4"/>
  <c r="AD120" i="4"/>
  <c r="AX12" i="4"/>
  <c r="AG12" i="4"/>
  <c r="AP36" i="4"/>
  <c r="Y36" i="4"/>
  <c r="AV48" i="4"/>
  <c r="AE48" i="4"/>
  <c r="AX60" i="4"/>
  <c r="AG60" i="4"/>
  <c r="AP84" i="4"/>
  <c r="Y84" i="4"/>
  <c r="AV96" i="4"/>
  <c r="AE96" i="4"/>
  <c r="AG108" i="4"/>
  <c r="AX108" i="4"/>
  <c r="AS96" i="4"/>
  <c r="AB96" i="4"/>
  <c r="AU36" i="4"/>
  <c r="AD36" i="4"/>
  <c r="AY60" i="4"/>
  <c r="AH60" i="4"/>
  <c r="AP96" i="4"/>
  <c r="Y96" i="4"/>
  <c r="AX24" i="4"/>
  <c r="AG24" i="4"/>
  <c r="AZ60" i="4"/>
  <c r="AI60" i="4"/>
  <c r="AQ36" i="4"/>
  <c r="Z36" i="4"/>
  <c r="AY84" i="4"/>
  <c r="AH84" i="4"/>
  <c r="AS120" i="4"/>
  <c r="AB120" i="4"/>
  <c r="AW12" i="4"/>
  <c r="AF12" i="4"/>
  <c r="AJ36" i="4"/>
  <c r="BA36" i="4"/>
  <c r="AU96" i="4"/>
  <c r="AD96" i="4"/>
  <c r="AR24" i="4"/>
  <c r="AA24" i="4"/>
  <c r="AR72" i="4"/>
  <c r="AA72" i="4"/>
  <c r="AT84" i="4"/>
  <c r="AC84" i="4"/>
  <c r="AZ96" i="4"/>
  <c r="AI96" i="4"/>
  <c r="AO24" i="4"/>
  <c r="X24" i="4"/>
  <c r="AQ108" i="4"/>
  <c r="Z108" i="4"/>
  <c r="AP48" i="4"/>
  <c r="Y48" i="4"/>
  <c r="AT120" i="4"/>
  <c r="AC120" i="4"/>
  <c r="AS48" i="4"/>
  <c r="AB48" i="4"/>
  <c r="AY108" i="4"/>
  <c r="AH108" i="4"/>
  <c r="AU84" i="4"/>
  <c r="AD84" i="4"/>
  <c r="AV60" i="4"/>
  <c r="AE60" i="4"/>
  <c r="AR12" i="4"/>
  <c r="AA12" i="4"/>
  <c r="AV36" i="4"/>
  <c r="AE36" i="4"/>
  <c r="AP72" i="4"/>
  <c r="Y72" i="4"/>
  <c r="AR108" i="4"/>
  <c r="AA108" i="4"/>
  <c r="AU12" i="4"/>
  <c r="AD12" i="4"/>
  <c r="AY36" i="4"/>
  <c r="AH36" i="4"/>
  <c r="AS72" i="4"/>
  <c r="AB72" i="4"/>
  <c r="AO96" i="4"/>
  <c r="X96" i="4"/>
  <c r="BA120" i="4"/>
  <c r="AJ120" i="4"/>
  <c r="AJ12" i="4"/>
  <c r="BA12" i="4"/>
  <c r="AO36" i="4"/>
  <c r="X36" i="4"/>
  <c r="Z48" i="4"/>
  <c r="AQ48" i="4"/>
  <c r="AS60" i="4"/>
  <c r="AB60" i="4"/>
  <c r="AU72" i="4"/>
  <c r="AD72" i="4"/>
  <c r="AF84" i="4"/>
  <c r="AW84" i="4"/>
  <c r="AY96" i="4"/>
  <c r="AH96" i="4"/>
  <c r="BA108" i="4"/>
  <c r="AJ108" i="4"/>
  <c r="AP12" i="4"/>
  <c r="Y12" i="4"/>
  <c r="AV24" i="4"/>
  <c r="AE24" i="4"/>
  <c r="AX36" i="4"/>
  <c r="AG36" i="4"/>
  <c r="AP60" i="4"/>
  <c r="Y60" i="4"/>
  <c r="AV72" i="4"/>
  <c r="AE72" i="4"/>
  <c r="AG84" i="4"/>
  <c r="AX84" i="4"/>
  <c r="AP108" i="4"/>
  <c r="Y108" i="4"/>
  <c r="AV120" i="4"/>
  <c r="AE120" i="4"/>
  <c r="BA48" i="4"/>
  <c r="AJ48" i="4"/>
  <c r="AV12" i="4"/>
  <c r="AE12" i="4"/>
  <c r="AZ84" i="4"/>
  <c r="AI84" i="4"/>
  <c r="AY12" i="4"/>
  <c r="AH12" i="4"/>
  <c r="AQ60" i="4"/>
  <c r="Z60" i="4"/>
  <c r="AW120" i="4"/>
  <c r="AF120" i="4"/>
  <c r="AO120" i="4"/>
  <c r="X120" i="4"/>
  <c r="AT72" i="4"/>
  <c r="AC72" i="4"/>
  <c r="AZ12" i="4"/>
  <c r="AI12" i="4"/>
  <c r="AT48" i="4"/>
  <c r="AC48" i="4"/>
  <c r="AX72" i="4"/>
  <c r="AG72" i="4"/>
  <c r="AZ108" i="4"/>
  <c r="AI108" i="4"/>
  <c r="AS24" i="4"/>
  <c r="AB24" i="4"/>
  <c r="AO48" i="4"/>
  <c r="X48" i="4"/>
  <c r="BA72" i="4"/>
  <c r="AJ72" i="4"/>
  <c r="AF96" i="4"/>
  <c r="AW96" i="4"/>
  <c r="AO12" i="4"/>
  <c r="X12" i="4"/>
  <c r="Z24" i="4"/>
  <c r="AQ24" i="4"/>
  <c r="AB36" i="4"/>
  <c r="AS36" i="4"/>
  <c r="AU48" i="4"/>
  <c r="AD48" i="4"/>
  <c r="AW60" i="4"/>
  <c r="AF60" i="4"/>
  <c r="AY72" i="4"/>
  <c r="AH72" i="4"/>
  <c r="BA84" i="4"/>
  <c r="AJ84" i="4"/>
  <c r="AO108" i="4"/>
  <c r="X108" i="4"/>
  <c r="AQ120" i="4"/>
  <c r="Z120" i="4"/>
  <c r="AT12" i="4"/>
  <c r="AC12" i="4"/>
  <c r="AZ24" i="4"/>
  <c r="AI24" i="4"/>
  <c r="AR48" i="4"/>
  <c r="AA48" i="4"/>
  <c r="AT60" i="4"/>
  <c r="AC60" i="4"/>
  <c r="AZ72" i="4"/>
  <c r="AI72" i="4"/>
  <c r="AR96" i="4"/>
  <c r="AA96" i="4"/>
  <c r="AT108" i="4"/>
  <c r="AC108" i="4"/>
  <c r="AZ120" i="4"/>
  <c r="AI120" i="4"/>
  <c r="N51" i="16"/>
  <c r="N49" i="16"/>
  <c r="N52" i="16"/>
  <c r="N48" i="16"/>
  <c r="N50" i="16"/>
  <c r="H48" i="16"/>
  <c r="H49" i="16"/>
  <c r="H51" i="16"/>
  <c r="H52" i="16"/>
  <c r="H50" i="16"/>
  <c r="B52" i="16"/>
  <c r="E52" i="16" s="1"/>
  <c r="B51" i="16"/>
  <c r="E51" i="16" s="1"/>
  <c r="E8" i="25"/>
  <c r="K8" i="25" s="1"/>
  <c r="E10" i="25"/>
  <c r="K10" i="25" s="1"/>
  <c r="D13" i="25"/>
  <c r="J13" i="25" s="1"/>
  <c r="D14" i="25"/>
  <c r="J14" i="25" s="1"/>
  <c r="F7" i="25"/>
  <c r="L7" i="25" s="1"/>
  <c r="F14" i="25"/>
  <c r="L14" i="25" s="1"/>
  <c r="C3" i="25"/>
  <c r="I3" i="25" s="1"/>
  <c r="E15" i="25"/>
  <c r="K15" i="25" s="1"/>
  <c r="F5" i="25"/>
  <c r="L5" i="25" s="1"/>
  <c r="B5" i="25"/>
  <c r="H5" i="25" s="1"/>
  <c r="E6" i="25"/>
  <c r="K6" i="25" s="1"/>
  <c r="E5" i="25"/>
  <c r="K5" i="25" s="1"/>
  <c r="D16" i="25"/>
  <c r="J16" i="25" s="1"/>
  <c r="E13" i="25"/>
  <c r="K13" i="25" s="1"/>
  <c r="D4" i="25"/>
  <c r="J4" i="25" s="1"/>
  <c r="B49" i="16"/>
  <c r="B3" i="25"/>
  <c r="H3" i="25" s="1"/>
  <c r="C6" i="25"/>
  <c r="I6" i="25" s="1"/>
  <c r="E4" i="25"/>
  <c r="K4" i="25" s="1"/>
  <c r="E14" i="25"/>
  <c r="K14" i="25" s="1"/>
  <c r="F10" i="25"/>
  <c r="L10" i="25" s="1"/>
  <c r="D12" i="25"/>
  <c r="J12" i="25" s="1"/>
  <c r="C17" i="25"/>
  <c r="I17" i="25" s="1"/>
  <c r="C13" i="25"/>
  <c r="I13" i="25" s="1"/>
  <c r="C10" i="25"/>
  <c r="I10" i="25" s="1"/>
  <c r="F6" i="25"/>
  <c r="L6" i="25" s="1"/>
  <c r="F2" i="25"/>
  <c r="L2" i="25" s="1"/>
  <c r="C16" i="25"/>
  <c r="I16" i="25" s="1"/>
  <c r="F13" i="25"/>
  <c r="L13" i="25" s="1"/>
  <c r="D10" i="25"/>
  <c r="J10" i="25" s="1"/>
  <c r="D7" i="25"/>
  <c r="J7" i="25" s="1"/>
  <c r="B4" i="25"/>
  <c r="H4" i="25" s="1"/>
  <c r="F17" i="25"/>
  <c r="L17" i="25" s="1"/>
  <c r="C14" i="25"/>
  <c r="I14" i="25" s="1"/>
  <c r="E11" i="25"/>
  <c r="K11" i="25" s="1"/>
  <c r="C7" i="25"/>
  <c r="I7" i="25" s="1"/>
  <c r="D3" i="25"/>
  <c r="J3" i="25" s="1"/>
  <c r="B14" i="25"/>
  <c r="H14" i="25" s="1"/>
  <c r="C4" i="25"/>
  <c r="I4" i="25" s="1"/>
  <c r="E9" i="25"/>
  <c r="K9" i="25" s="1"/>
  <c r="F12" i="25"/>
  <c r="L12" i="25" s="1"/>
  <c r="B2" i="25"/>
  <c r="H2" i="25" s="1"/>
  <c r="E7" i="25"/>
  <c r="K7" i="25" s="1"/>
  <c r="B50" i="16"/>
  <c r="E50" i="16" s="1"/>
  <c r="B7" i="25"/>
  <c r="H7" i="25" s="1"/>
  <c r="B8" i="25"/>
  <c r="H8" i="25" s="1"/>
  <c r="B9" i="25"/>
  <c r="H9" i="25" s="1"/>
  <c r="F18" i="25"/>
  <c r="L18" i="25" s="1"/>
  <c r="D17" i="25"/>
  <c r="J17" i="25" s="1"/>
  <c r="B16" i="25"/>
  <c r="H16" i="25" s="1"/>
  <c r="C18" i="25"/>
  <c r="I18" i="25" s="1"/>
  <c r="D18" i="25"/>
  <c r="J18" i="25" s="1"/>
  <c r="F15" i="25"/>
  <c r="L15" i="25" s="1"/>
  <c r="C12" i="25"/>
  <c r="I12" i="25" s="1"/>
  <c r="C9" i="25"/>
  <c r="I9" i="25" s="1"/>
  <c r="C5" i="25"/>
  <c r="I5" i="25" s="1"/>
  <c r="E18" i="25"/>
  <c r="K18" i="25" s="1"/>
  <c r="D15" i="25"/>
  <c r="J15" i="25" s="1"/>
  <c r="B12" i="25"/>
  <c r="H12" i="25" s="1"/>
  <c r="F8" i="25"/>
  <c r="L8" i="25" s="1"/>
  <c r="D5" i="25"/>
  <c r="J5" i="25" s="1"/>
  <c r="F3" i="25"/>
  <c r="L3" i="25" s="1"/>
  <c r="B15" i="25"/>
  <c r="H15" i="25" s="1"/>
  <c r="E12" i="25"/>
  <c r="K12" i="25" s="1"/>
  <c r="F9" i="25"/>
  <c r="L9" i="25" s="1"/>
  <c r="B6" i="25"/>
  <c r="H6" i="25" s="1"/>
  <c r="C2" i="25"/>
  <c r="I2" i="25" s="1"/>
  <c r="E3" i="25"/>
  <c r="K3" i="25" s="1"/>
  <c r="C15" i="25"/>
  <c r="I15" i="25" s="1"/>
  <c r="E17" i="25"/>
  <c r="K17" i="25" s="1"/>
  <c r="D11" i="25"/>
  <c r="J11" i="25" s="1"/>
  <c r="F4" i="25"/>
  <c r="L4" i="25" s="1"/>
  <c r="B17" i="25"/>
  <c r="H17" i="25" s="1"/>
  <c r="C11" i="25"/>
  <c r="I11" i="25" s="1"/>
  <c r="D8" i="25"/>
  <c r="J8" i="25" s="1"/>
  <c r="B18" i="25"/>
  <c r="H18" i="25" s="1"/>
  <c r="B11" i="25"/>
  <c r="H11" i="25" s="1"/>
  <c r="C8" i="25"/>
  <c r="I8" i="25" s="1"/>
  <c r="B48" i="16"/>
  <c r="F11" i="25"/>
  <c r="L11" i="25" s="1"/>
  <c r="D2" i="25"/>
  <c r="J2" i="25" s="1"/>
  <c r="F16" i="25"/>
  <c r="L16" i="25" s="1"/>
  <c r="B13" i="25"/>
  <c r="H13" i="25" s="1"/>
  <c r="E2" i="25"/>
  <c r="K2" i="25" s="1"/>
  <c r="D9" i="25"/>
  <c r="J9" i="25" s="1"/>
  <c r="D6" i="25"/>
  <c r="J6" i="25" s="1"/>
  <c r="E16" i="25"/>
  <c r="K16" i="25" s="1"/>
  <c r="B10" i="25"/>
  <c r="H10" i="25" s="1"/>
  <c r="H41" i="16"/>
  <c r="H43" i="16"/>
  <c r="B45" i="16"/>
  <c r="N45" i="16"/>
  <c r="N41" i="16"/>
  <c r="B43" i="16"/>
  <c r="N42" i="16"/>
  <c r="H45" i="16"/>
  <c r="B44" i="16"/>
  <c r="N43" i="16"/>
  <c r="H44" i="16"/>
  <c r="B41" i="16"/>
  <c r="H42" i="16"/>
  <c r="B42" i="16"/>
  <c r="N44" i="16"/>
  <c r="C5" i="17"/>
  <c r="C3" i="17"/>
  <c r="C13" i="17"/>
  <c r="C9" i="17"/>
  <c r="C16" i="17"/>
  <c r="C12" i="17"/>
  <c r="C8" i="17"/>
  <c r="C4" i="17"/>
  <c r="C15" i="17"/>
  <c r="C11" i="17"/>
  <c r="C7" i="17"/>
  <c r="C17" i="17"/>
  <c r="C18" i="17"/>
  <c r="C14" i="17"/>
  <c r="C10" i="17"/>
  <c r="C6" i="17"/>
  <c r="G20" i="13"/>
  <c r="H20" i="13"/>
  <c r="P19" i="13"/>
  <c r="S19" i="13" s="1"/>
  <c r="O19" i="13"/>
  <c r="R19" i="13" s="1"/>
  <c r="I25" i="9"/>
  <c r="H25" i="9"/>
  <c r="C19" i="17"/>
  <c r="E21" i="13"/>
  <c r="K21" i="13"/>
  <c r="C21" i="13"/>
  <c r="L21" i="13"/>
  <c r="Y19" i="13"/>
  <c r="X19" i="13"/>
  <c r="A23" i="13"/>
  <c r="B23" i="13" s="1"/>
  <c r="Q20" i="13"/>
  <c r="M20" i="13"/>
  <c r="N20" i="13" s="1"/>
  <c r="F20" i="13"/>
  <c r="U18" i="13"/>
  <c r="H19" i="17"/>
  <c r="D19" i="17"/>
  <c r="G19" i="17"/>
  <c r="J19" i="17"/>
  <c r="I19" i="17"/>
  <c r="E19" i="17"/>
  <c r="F19" i="17"/>
  <c r="D20" i="13"/>
  <c r="K38" i="4" l="1"/>
  <c r="M23" i="8"/>
  <c r="L117" i="14"/>
  <c r="J103" i="14"/>
  <c r="L106" i="14"/>
  <c r="J123" i="14"/>
  <c r="K122" i="14"/>
  <c r="K118" i="14"/>
  <c r="K114" i="14"/>
  <c r="K110" i="14"/>
  <c r="M104" i="14"/>
  <c r="J118" i="14"/>
  <c r="N120" i="14"/>
  <c r="N116" i="14"/>
  <c r="J105" i="14"/>
  <c r="K107" i="14"/>
  <c r="M111" i="14"/>
  <c r="M122" i="14"/>
  <c r="M118" i="14"/>
  <c r="M114" i="14"/>
  <c r="M110" i="14"/>
  <c r="L105" i="14"/>
  <c r="J120" i="14"/>
  <c r="L121" i="14"/>
  <c r="D114" i="14"/>
  <c r="L110" i="14"/>
  <c r="K105" i="14"/>
  <c r="J119" i="14"/>
  <c r="K121" i="14"/>
  <c r="K117" i="14"/>
  <c r="J110" i="14"/>
  <c r="M108" i="14"/>
  <c r="L103" i="14"/>
  <c r="N123" i="14"/>
  <c r="N119" i="14"/>
  <c r="N115" i="14"/>
  <c r="K111" i="14"/>
  <c r="M105" i="14"/>
  <c r="J121" i="14"/>
  <c r="M121" i="14"/>
  <c r="M117" i="14"/>
  <c r="J102" i="14"/>
  <c r="L109" i="14"/>
  <c r="K104" i="14"/>
  <c r="J116" i="14"/>
  <c r="L120" i="14"/>
  <c r="L116" i="14"/>
  <c r="J111" i="14"/>
  <c r="K109" i="14"/>
  <c r="M103" i="14"/>
  <c r="J115" i="14"/>
  <c r="K120" i="14"/>
  <c r="K116" i="14"/>
  <c r="J106" i="14"/>
  <c r="L107" i="14"/>
  <c r="K102" i="14"/>
  <c r="N122" i="14"/>
  <c r="N118" i="14"/>
  <c r="N114" i="14"/>
  <c r="M109" i="14"/>
  <c r="L104" i="14"/>
  <c r="J117" i="14"/>
  <c r="M120" i="14"/>
  <c r="M116" i="14"/>
  <c r="J108" i="14"/>
  <c r="K108" i="14"/>
  <c r="M102" i="14"/>
  <c r="L123" i="14"/>
  <c r="L119" i="14"/>
  <c r="L115" i="14"/>
  <c r="J107" i="14"/>
  <c r="M107" i="14"/>
  <c r="L102" i="14"/>
  <c r="K123" i="14"/>
  <c r="K119" i="14"/>
  <c r="K115" i="14"/>
  <c r="L111" i="14"/>
  <c r="K106" i="14"/>
  <c r="J122" i="14"/>
  <c r="N121" i="14"/>
  <c r="N117" i="14"/>
  <c r="J109" i="14"/>
  <c r="L108" i="14"/>
  <c r="K103" i="14"/>
  <c r="M123" i="14"/>
  <c r="M119" i="14"/>
  <c r="M115" i="14"/>
  <c r="J104" i="14"/>
  <c r="M106" i="14"/>
  <c r="J114" i="14"/>
  <c r="L122" i="14"/>
  <c r="L118" i="14"/>
  <c r="L114" i="14"/>
  <c r="D107" i="14"/>
  <c r="C123" i="14"/>
  <c r="C119" i="14"/>
  <c r="C115" i="14"/>
  <c r="C109" i="14"/>
  <c r="C105" i="14"/>
  <c r="B118" i="14"/>
  <c r="F120" i="14"/>
  <c r="F116" i="14"/>
  <c r="D110" i="14"/>
  <c r="B123" i="14"/>
  <c r="B111" i="14"/>
  <c r="B107" i="14"/>
  <c r="B103" i="14"/>
  <c r="E122" i="14"/>
  <c r="E118" i="14"/>
  <c r="E114" i="14"/>
  <c r="E109" i="14"/>
  <c r="E105" i="14"/>
  <c r="B120" i="14"/>
  <c r="D121" i="14"/>
  <c r="D117" i="14"/>
  <c r="D105" i="14"/>
  <c r="C122" i="14"/>
  <c r="C118" i="14"/>
  <c r="D102" i="14"/>
  <c r="C108" i="14"/>
  <c r="C104" i="14"/>
  <c r="F123" i="14"/>
  <c r="F119" i="14"/>
  <c r="F115" i="14"/>
  <c r="D108" i="14"/>
  <c r="B115" i="14"/>
  <c r="B110" i="14"/>
  <c r="B106" i="14"/>
  <c r="B121" i="14"/>
  <c r="E121" i="14"/>
  <c r="E117" i="14"/>
  <c r="B102" i="14"/>
  <c r="E108" i="14"/>
  <c r="E104" i="14"/>
  <c r="B116" i="14"/>
  <c r="D120" i="14"/>
  <c r="D116" i="14"/>
  <c r="D111" i="14"/>
  <c r="D103" i="14"/>
  <c r="C121" i="14"/>
  <c r="C117" i="14"/>
  <c r="C111" i="14"/>
  <c r="C107" i="14"/>
  <c r="C103" i="14"/>
  <c r="F122" i="14"/>
  <c r="F118" i="14"/>
  <c r="F114" i="14"/>
  <c r="D106" i="14"/>
  <c r="C114" i="14"/>
  <c r="B109" i="14"/>
  <c r="B105" i="14"/>
  <c r="B117" i="14"/>
  <c r="E120" i="14"/>
  <c r="E116" i="14"/>
  <c r="E111" i="14"/>
  <c r="E107" i="14"/>
  <c r="E103" i="14"/>
  <c r="D123" i="14"/>
  <c r="D119" i="14"/>
  <c r="D115" i="14"/>
  <c r="D109" i="14"/>
  <c r="B119" i="14"/>
  <c r="C120" i="14"/>
  <c r="C116" i="14"/>
  <c r="C110" i="14"/>
  <c r="C106" i="14"/>
  <c r="B122" i="14"/>
  <c r="F121" i="14"/>
  <c r="F117" i="14"/>
  <c r="E102" i="14"/>
  <c r="D104" i="14"/>
  <c r="C102" i="14"/>
  <c r="B108" i="14"/>
  <c r="B104" i="14"/>
  <c r="E123" i="14"/>
  <c r="E119" i="14"/>
  <c r="E115" i="14"/>
  <c r="E110" i="14"/>
  <c r="E106" i="14"/>
  <c r="B114" i="14"/>
  <c r="D122" i="14"/>
  <c r="D118" i="14"/>
  <c r="O117" i="4"/>
  <c r="P27" i="4"/>
  <c r="P47" i="4"/>
  <c r="J81" i="4"/>
  <c r="J101" i="4"/>
  <c r="H8" i="4"/>
  <c r="I21" i="4"/>
  <c r="P38" i="4"/>
  <c r="G53" i="4"/>
  <c r="R64" i="4"/>
  <c r="P76" i="4"/>
  <c r="N88" i="4"/>
  <c r="O101" i="4"/>
  <c r="P114" i="4"/>
  <c r="H7" i="4"/>
  <c r="S18" i="4"/>
  <c r="G32" i="4"/>
  <c r="H45" i="4"/>
  <c r="O62" i="4"/>
  <c r="S76" i="4"/>
  <c r="Q88" i="4"/>
  <c r="N107" i="4"/>
  <c r="L119" i="4"/>
  <c r="N19" i="4"/>
  <c r="Q40" i="4"/>
  <c r="S66" i="4"/>
  <c r="S86" i="4"/>
  <c r="N30" i="4"/>
  <c r="S11" i="4"/>
  <c r="Q23" i="4"/>
  <c r="O35" i="4"/>
  <c r="M47" i="4"/>
  <c r="G63" i="4"/>
  <c r="H76" i="4"/>
  <c r="I89" i="4"/>
  <c r="M103" i="4"/>
  <c r="K115" i="4"/>
  <c r="P4" i="4"/>
  <c r="O9" i="4"/>
  <c r="I17" i="4"/>
  <c r="M23" i="4"/>
  <c r="R30" i="4"/>
  <c r="L38" i="4"/>
  <c r="K43" i="4"/>
  <c r="R50" i="4"/>
  <c r="Q55" i="4"/>
  <c r="K63" i="4"/>
  <c r="J68" i="4"/>
  <c r="G77" i="4"/>
  <c r="S81" i="4"/>
  <c r="M89" i="4"/>
  <c r="I95" i="4"/>
  <c r="S101" i="4"/>
  <c r="O107" i="4"/>
  <c r="L114" i="4"/>
  <c r="H3" i="4"/>
  <c r="G8" i="4"/>
  <c r="N15" i="4"/>
  <c r="M20" i="4"/>
  <c r="G28" i="4"/>
  <c r="S32" i="4"/>
  <c r="H41" i="4"/>
  <c r="H46" i="4" s="1"/>
  <c r="L47" i="4"/>
  <c r="Q54" i="4"/>
  <c r="K62" i="4"/>
  <c r="J67" i="4"/>
  <c r="Q74" i="4"/>
  <c r="N83" i="4"/>
  <c r="H99" i="4"/>
  <c r="N111" i="4"/>
  <c r="S2" i="4"/>
  <c r="R7" i="4"/>
  <c r="G16" i="4"/>
  <c r="S20" i="4"/>
  <c r="Q28" i="4"/>
  <c r="P33" i="4"/>
  <c r="R41" i="4"/>
  <c r="R47" i="4"/>
  <c r="O54" i="4"/>
  <c r="Q62" i="4"/>
  <c r="P67" i="4"/>
  <c r="N75" i="4"/>
  <c r="M80" i="4"/>
  <c r="O88" i="4"/>
  <c r="N93" i="4"/>
  <c r="I100" i="4"/>
  <c r="H105" i="4"/>
  <c r="J113" i="4"/>
  <c r="J119" i="4"/>
  <c r="H6" i="4"/>
  <c r="J14" i="4"/>
  <c r="I19" i="4"/>
  <c r="P26" i="4"/>
  <c r="O31" i="4"/>
  <c r="Q39" i="4"/>
  <c r="P44" i="4"/>
  <c r="J52" i="4"/>
  <c r="I57" i="4"/>
  <c r="Q67" i="4"/>
  <c r="K75" i="4"/>
  <c r="J80" i="4"/>
  <c r="I87" i="4"/>
  <c r="H92" i="4"/>
  <c r="O99" i="4"/>
  <c r="N104" i="4"/>
  <c r="P112" i="4"/>
  <c r="AZ73" i="4"/>
  <c r="AI73" i="4"/>
  <c r="AF25" i="4"/>
  <c r="AW25" i="4"/>
  <c r="AO73" i="4"/>
  <c r="X73" i="4"/>
  <c r="AZ25" i="4"/>
  <c r="AI25" i="4"/>
  <c r="AR73" i="4"/>
  <c r="AA73" i="4"/>
  <c r="AX85" i="4"/>
  <c r="AG85" i="4"/>
  <c r="BA49" i="4"/>
  <c r="AJ49" i="4"/>
  <c r="AS97" i="4"/>
  <c r="AB97" i="4"/>
  <c r="AS25" i="4"/>
  <c r="AB25" i="4"/>
  <c r="AO49" i="4"/>
  <c r="X49" i="4"/>
  <c r="BA73" i="4"/>
  <c r="AJ73" i="4"/>
  <c r="AW97" i="4"/>
  <c r="AF97" i="4"/>
  <c r="AP13" i="4"/>
  <c r="Y13" i="4"/>
  <c r="AR49" i="4"/>
  <c r="AA49" i="4"/>
  <c r="AV73" i="4"/>
  <c r="AE73" i="4"/>
  <c r="AP109" i="4"/>
  <c r="Y109" i="4"/>
  <c r="AV13" i="4"/>
  <c r="AE13" i="4"/>
  <c r="AX25" i="4"/>
  <c r="AG25" i="4"/>
  <c r="Y49" i="4"/>
  <c r="AP49" i="4"/>
  <c r="AV61" i="4"/>
  <c r="AE61" i="4"/>
  <c r="AX73" i="4"/>
  <c r="AG73" i="4"/>
  <c r="AP97" i="4"/>
  <c r="Y97" i="4"/>
  <c r="AV109" i="4"/>
  <c r="AE109" i="4"/>
  <c r="AX121" i="4"/>
  <c r="AG121" i="4"/>
  <c r="BA13" i="4"/>
  <c r="AJ13" i="4"/>
  <c r="AO37" i="4"/>
  <c r="X37" i="4"/>
  <c r="Z49" i="4"/>
  <c r="AQ49" i="4"/>
  <c r="AS61" i="4"/>
  <c r="AB61" i="4"/>
  <c r="AU73" i="4"/>
  <c r="AD73" i="4"/>
  <c r="AF85" i="4"/>
  <c r="AW85" i="4"/>
  <c r="AY97" i="4"/>
  <c r="AH97" i="4"/>
  <c r="BA109" i="4"/>
  <c r="AJ109" i="4"/>
  <c r="K119" i="4"/>
  <c r="K117" i="4"/>
  <c r="H116" i="4"/>
  <c r="R114" i="4"/>
  <c r="O113" i="4"/>
  <c r="L112" i="4"/>
  <c r="I111" i="4"/>
  <c r="Q107" i="4"/>
  <c r="M105" i="4"/>
  <c r="J104" i="4"/>
  <c r="G103" i="4"/>
  <c r="Q101" i="4"/>
  <c r="N100" i="4"/>
  <c r="K99" i="4"/>
  <c r="H98" i="4"/>
  <c r="G95" i="4"/>
  <c r="G93" i="4"/>
  <c r="Q91" i="4"/>
  <c r="N90" i="4"/>
  <c r="K89" i="4"/>
  <c r="H88" i="4"/>
  <c r="M83" i="4"/>
  <c r="I81" i="4"/>
  <c r="S79" i="4"/>
  <c r="P78" i="4"/>
  <c r="M77" i="4"/>
  <c r="J76" i="4"/>
  <c r="G75" i="4"/>
  <c r="S71" i="4"/>
  <c r="S69" i="4"/>
  <c r="P68" i="4"/>
  <c r="M67" i="4"/>
  <c r="J66" i="4"/>
  <c r="G65" i="4"/>
  <c r="Q63" i="4"/>
  <c r="I59" i="4"/>
  <c r="R56" i="4"/>
  <c r="O55" i="4"/>
  <c r="L54" i="4"/>
  <c r="I53" i="4"/>
  <c r="I58" i="4" s="1"/>
  <c r="S51" i="4"/>
  <c r="P50" i="4"/>
  <c r="O47" i="4"/>
  <c r="O45" i="4"/>
  <c r="L44" i="4"/>
  <c r="I43" i="4"/>
  <c r="S41" i="4"/>
  <c r="P40" i="4"/>
  <c r="M39" i="4"/>
  <c r="J38" i="4"/>
  <c r="Q33" i="4"/>
  <c r="N32" i="4"/>
  <c r="K31" i="4"/>
  <c r="H30" i="4"/>
  <c r="R28" i="4"/>
  <c r="O27" i="4"/>
  <c r="L26" i="4"/>
  <c r="K23" i="4"/>
  <c r="K21" i="4"/>
  <c r="H20" i="4"/>
  <c r="R18" i="4"/>
  <c r="O17" i="4"/>
  <c r="L16" i="4"/>
  <c r="I15" i="4"/>
  <c r="Q11" i="4"/>
  <c r="M9" i="4"/>
  <c r="J8" i="4"/>
  <c r="G7" i="4"/>
  <c r="Q5" i="4"/>
  <c r="N4" i="4"/>
  <c r="K3" i="4"/>
  <c r="H2" i="4"/>
  <c r="R117" i="4"/>
  <c r="O116" i="4"/>
  <c r="L115" i="4"/>
  <c r="I114" i="4"/>
  <c r="S112" i="4"/>
  <c r="P111" i="4"/>
  <c r="M110" i="4"/>
  <c r="H107" i="4"/>
  <c r="Q104" i="4"/>
  <c r="N103" i="4"/>
  <c r="K102" i="4"/>
  <c r="H101" i="4"/>
  <c r="R99" i="4"/>
  <c r="N95" i="4"/>
  <c r="J93" i="4"/>
  <c r="G92" i="4"/>
  <c r="Q90" i="4"/>
  <c r="N89" i="4"/>
  <c r="K88" i="4"/>
  <c r="H87" i="4"/>
  <c r="P83" i="4"/>
  <c r="L81" i="4"/>
  <c r="I80" i="4"/>
  <c r="S78" i="4"/>
  <c r="P77" i="4"/>
  <c r="M76" i="4"/>
  <c r="J75" i="4"/>
  <c r="G74" i="4"/>
  <c r="R69" i="4"/>
  <c r="O68" i="4"/>
  <c r="L67" i="4"/>
  <c r="I66" i="4"/>
  <c r="S64" i="4"/>
  <c r="P63" i="4"/>
  <c r="M62" i="4"/>
  <c r="H59" i="4"/>
  <c r="Q56" i="4"/>
  <c r="N55" i="4"/>
  <c r="K54" i="4"/>
  <c r="H53" i="4"/>
  <c r="R51" i="4"/>
  <c r="O50" i="4"/>
  <c r="N47" i="4"/>
  <c r="J45" i="4"/>
  <c r="G44" i="4"/>
  <c r="Q42" i="4"/>
  <c r="N41" i="4"/>
  <c r="K40" i="4"/>
  <c r="H39" i="4"/>
  <c r="P35" i="4"/>
  <c r="L33" i="4"/>
  <c r="I32" i="4"/>
  <c r="S30" i="4"/>
  <c r="P29" i="4"/>
  <c r="P34" i="4" s="1"/>
  <c r="M28" i="4"/>
  <c r="J27" i="4"/>
  <c r="G26" i="4"/>
  <c r="R21" i="4"/>
  <c r="O20" i="4"/>
  <c r="L19" i="4"/>
  <c r="I18" i="4"/>
  <c r="S16" i="4"/>
  <c r="P15" i="4"/>
  <c r="M14" i="4"/>
  <c r="H11" i="4"/>
  <c r="Q8" i="4"/>
  <c r="N7" i="4"/>
  <c r="K6" i="4"/>
  <c r="H5" i="4"/>
  <c r="R3" i="4"/>
  <c r="O2" i="4"/>
  <c r="H119" i="4"/>
  <c r="R115" i="4"/>
  <c r="L113" i="4"/>
  <c r="S110" i="4"/>
  <c r="R105" i="4"/>
  <c r="L103" i="4"/>
  <c r="S100" i="4"/>
  <c r="M98" i="4"/>
  <c r="I92" i="4"/>
  <c r="P89" i="4"/>
  <c r="J87" i="4"/>
  <c r="N81" i="4"/>
  <c r="H79" i="4"/>
  <c r="O76" i="4"/>
  <c r="I74" i="4"/>
  <c r="H69" i="4"/>
  <c r="O66" i="4"/>
  <c r="I64" i="4"/>
  <c r="R59" i="4"/>
  <c r="O56" i="4"/>
  <c r="I54" i="4"/>
  <c r="P51" i="4"/>
  <c r="L45" i="4"/>
  <c r="S42" i="4"/>
  <c r="M40" i="4"/>
  <c r="G38" i="4"/>
  <c r="K32" i="4"/>
  <c r="R29" i="4"/>
  <c r="L27" i="4"/>
  <c r="H23" i="4"/>
  <c r="R19" i="4"/>
  <c r="L17" i="4"/>
  <c r="S14" i="4"/>
  <c r="R9" i="4"/>
  <c r="L7" i="4"/>
  <c r="S4" i="4"/>
  <c r="M2" i="4"/>
  <c r="J116" i="4"/>
  <c r="Q113" i="4"/>
  <c r="K111" i="4"/>
  <c r="G107" i="4"/>
  <c r="Q103" i="4"/>
  <c r="K101" i="4"/>
  <c r="R98" i="4"/>
  <c r="Q93" i="4"/>
  <c r="K91" i="4"/>
  <c r="R88" i="4"/>
  <c r="L86" i="4"/>
  <c r="K81" i="4"/>
  <c r="R78" i="4"/>
  <c r="L76" i="4"/>
  <c r="M71" i="4"/>
  <c r="O67" i="4"/>
  <c r="I65" i="4"/>
  <c r="P62" i="4"/>
  <c r="O57" i="4"/>
  <c r="I55" i="4"/>
  <c r="P52" i="4"/>
  <c r="J50" i="4"/>
  <c r="I45" i="4"/>
  <c r="P42" i="4"/>
  <c r="J40" i="4"/>
  <c r="S35" i="4"/>
  <c r="P32" i="4"/>
  <c r="J30" i="4"/>
  <c r="Q27" i="4"/>
  <c r="M21" i="4"/>
  <c r="G19" i="4"/>
  <c r="N16" i="4"/>
  <c r="H14" i="4"/>
  <c r="G9" i="4"/>
  <c r="N6" i="4"/>
  <c r="H4" i="4"/>
  <c r="Q119" i="4"/>
  <c r="H114" i="4"/>
  <c r="S107" i="4"/>
  <c r="J102" i="4"/>
  <c r="R92" i="4"/>
  <c r="S87" i="4"/>
  <c r="Q79" i="4"/>
  <c r="R74" i="4"/>
  <c r="P66" i="4"/>
  <c r="K59" i="4"/>
  <c r="O53" i="4"/>
  <c r="O58" i="4" s="1"/>
  <c r="M45" i="4"/>
  <c r="N40" i="4"/>
  <c r="O33" i="4"/>
  <c r="P28" i="4"/>
  <c r="Q21" i="4"/>
  <c r="R16" i="4"/>
  <c r="S9" i="4"/>
  <c r="G5" i="4"/>
  <c r="Q116" i="4"/>
  <c r="R111" i="4"/>
  <c r="J83" i="4"/>
  <c r="K76" i="4"/>
  <c r="P65" i="4"/>
  <c r="N57" i="4"/>
  <c r="I30" i="4"/>
  <c r="S8" i="4"/>
  <c r="G4" i="4"/>
  <c r="I116" i="4"/>
  <c r="J111" i="4"/>
  <c r="K104" i="4"/>
  <c r="L99" i="4"/>
  <c r="M92" i="4"/>
  <c r="N87" i="4"/>
  <c r="O80" i="4"/>
  <c r="P75" i="4"/>
  <c r="K66" i="4"/>
  <c r="S56" i="4"/>
  <c r="G52" i="4"/>
  <c r="R43" i="4"/>
  <c r="S38" i="4"/>
  <c r="Q30" i="4"/>
  <c r="L23" i="4"/>
  <c r="P17" i="4"/>
  <c r="N11" i="4"/>
  <c r="R5" i="4"/>
  <c r="I119" i="4"/>
  <c r="M113" i="4"/>
  <c r="K105" i="4"/>
  <c r="L100" i="4"/>
  <c r="J92" i="4"/>
  <c r="K87" i="4"/>
  <c r="L80" i="4"/>
  <c r="M75" i="4"/>
  <c r="N68" i="4"/>
  <c r="O63" i="4"/>
  <c r="P56" i="4"/>
  <c r="Q51" i="4"/>
  <c r="L42" i="4"/>
  <c r="G35" i="4"/>
  <c r="H28" i="4"/>
  <c r="S19" i="4"/>
  <c r="G15" i="4"/>
  <c r="R6" i="4"/>
  <c r="S104" i="4"/>
  <c r="G100" i="4"/>
  <c r="R91" i="4"/>
  <c r="H75" i="4"/>
  <c r="R53" i="4"/>
  <c r="P45" i="4"/>
  <c r="N39" i="4"/>
  <c r="M26" i="4"/>
  <c r="G119" i="4"/>
  <c r="G117" i="4"/>
  <c r="Q115" i="4"/>
  <c r="N114" i="4"/>
  <c r="K113" i="4"/>
  <c r="H112" i="4"/>
  <c r="R110" i="4"/>
  <c r="M107" i="4"/>
  <c r="I105" i="4"/>
  <c r="S103" i="4"/>
  <c r="P102" i="4"/>
  <c r="M101" i="4"/>
  <c r="J100" i="4"/>
  <c r="G99" i="4"/>
  <c r="S95" i="4"/>
  <c r="S93" i="4"/>
  <c r="P92" i="4"/>
  <c r="M91" i="4"/>
  <c r="J90" i="4"/>
  <c r="G89" i="4"/>
  <c r="Q87" i="4"/>
  <c r="N86" i="4"/>
  <c r="I83" i="4"/>
  <c r="R80" i="4"/>
  <c r="O79" i="4"/>
  <c r="L78" i="4"/>
  <c r="I77" i="4"/>
  <c r="I82" i="4" s="1"/>
  <c r="S75" i="4"/>
  <c r="P74" i="4"/>
  <c r="O71" i="4"/>
  <c r="O69" i="4"/>
  <c r="L68" i="4"/>
  <c r="I67" i="4"/>
  <c r="S65" i="4"/>
  <c r="S70" i="4" s="1"/>
  <c r="P64" i="4"/>
  <c r="J62" i="4"/>
  <c r="Q57" i="4"/>
  <c r="N56" i="4"/>
  <c r="K55" i="4"/>
  <c r="H54" i="4"/>
  <c r="R52" i="4"/>
  <c r="O51" i="4"/>
  <c r="L50" i="4"/>
  <c r="K47" i="4"/>
  <c r="K45" i="4"/>
  <c r="H44" i="4"/>
  <c r="R42" i="4"/>
  <c r="O41" i="4"/>
  <c r="O46" i="4" s="1"/>
  <c r="L40" i="4"/>
  <c r="I39" i="4"/>
  <c r="Q35" i="4"/>
  <c r="M33" i="4"/>
  <c r="J32" i="4"/>
  <c r="G31" i="4"/>
  <c r="Q29" i="4"/>
  <c r="Q34" i="4" s="1"/>
  <c r="N28" i="4"/>
  <c r="K27" i="4"/>
  <c r="H26" i="4"/>
  <c r="G23" i="4"/>
  <c r="G21" i="4"/>
  <c r="Q19" i="4"/>
  <c r="N18" i="4"/>
  <c r="K17" i="4"/>
  <c r="K22" i="4" s="1"/>
  <c r="H16" i="4"/>
  <c r="R14" i="4"/>
  <c r="M11" i="4"/>
  <c r="I9" i="4"/>
  <c r="S7" i="4"/>
  <c r="P6" i="4"/>
  <c r="M5" i="4"/>
  <c r="M10" i="4" s="1"/>
  <c r="J4" i="4"/>
  <c r="G3" i="4"/>
  <c r="R119" i="4"/>
  <c r="N117" i="4"/>
  <c r="K116" i="4"/>
  <c r="H115" i="4"/>
  <c r="R113" i="4"/>
  <c r="R118" i="4" s="1"/>
  <c r="O112" i="4"/>
  <c r="L111" i="4"/>
  <c r="I110" i="4"/>
  <c r="P105" i="4"/>
  <c r="M104" i="4"/>
  <c r="J103" i="4"/>
  <c r="G102" i="4"/>
  <c r="Q100" i="4"/>
  <c r="N99" i="4"/>
  <c r="K98" i="4"/>
  <c r="J95" i="4"/>
  <c r="S92" i="4"/>
  <c r="P91" i="4"/>
  <c r="M90" i="4"/>
  <c r="J89" i="4"/>
  <c r="G88" i="4"/>
  <c r="Q86" i="4"/>
  <c r="L83" i="4"/>
  <c r="H81" i="4"/>
  <c r="R79" i="4"/>
  <c r="O78" i="4"/>
  <c r="L77" i="4"/>
  <c r="I76" i="4"/>
  <c r="S74" i="4"/>
  <c r="R71" i="4"/>
  <c r="N69" i="4"/>
  <c r="K68" i="4"/>
  <c r="H67" i="4"/>
  <c r="R65" i="4"/>
  <c r="O64" i="4"/>
  <c r="L63" i="4"/>
  <c r="I62" i="4"/>
  <c r="P57" i="4"/>
  <c r="M56" i="4"/>
  <c r="J55" i="4"/>
  <c r="G54" i="4"/>
  <c r="Q52" i="4"/>
  <c r="N51" i="4"/>
  <c r="K50" i="4"/>
  <c r="J47" i="4"/>
  <c r="S44" i="4"/>
  <c r="P43" i="4"/>
  <c r="M42" i="4"/>
  <c r="J41" i="4"/>
  <c r="G40" i="4"/>
  <c r="Q38" i="4"/>
  <c r="L35" i="4"/>
  <c r="H33" i="4"/>
  <c r="R31" i="4"/>
  <c r="O30" i="4"/>
  <c r="L29" i="4"/>
  <c r="I28" i="4"/>
  <c r="S26" i="4"/>
  <c r="R23" i="4"/>
  <c r="N21" i="4"/>
  <c r="K20" i="4"/>
  <c r="H19" i="4"/>
  <c r="R17" i="4"/>
  <c r="O16" i="4"/>
  <c r="L15" i="4"/>
  <c r="I14" i="4"/>
  <c r="P9" i="4"/>
  <c r="M8" i="4"/>
  <c r="J7" i="4"/>
  <c r="G6" i="4"/>
  <c r="Q4" i="4"/>
  <c r="N3" i="4"/>
  <c r="K2" i="4"/>
  <c r="P117" i="4"/>
  <c r="J115" i="4"/>
  <c r="Q112" i="4"/>
  <c r="K110" i="4"/>
  <c r="J105" i="4"/>
  <c r="Q102" i="4"/>
  <c r="K100" i="4"/>
  <c r="L95" i="4"/>
  <c r="N91" i="4"/>
  <c r="H89" i="4"/>
  <c r="O86" i="4"/>
  <c r="S80" i="4"/>
  <c r="M78" i="4"/>
  <c r="G76" i="4"/>
  <c r="P71" i="4"/>
  <c r="M68" i="4"/>
  <c r="G66" i="4"/>
  <c r="N63" i="4"/>
  <c r="J59" i="4"/>
  <c r="G56" i="4"/>
  <c r="N53" i="4"/>
  <c r="H51" i="4"/>
  <c r="Q44" i="4"/>
  <c r="K42" i="4"/>
  <c r="R39" i="4"/>
  <c r="N35" i="4"/>
  <c r="P31" i="4"/>
  <c r="J29" i="4"/>
  <c r="Q26" i="4"/>
  <c r="P21" i="4"/>
  <c r="J19" i="4"/>
  <c r="Q16" i="4"/>
  <c r="K14" i="4"/>
  <c r="J9" i="4"/>
  <c r="Q6" i="4"/>
  <c r="K4" i="4"/>
  <c r="M119" i="4"/>
  <c r="O115" i="4"/>
  <c r="I113" i="4"/>
  <c r="P110" i="4"/>
  <c r="O105" i="4"/>
  <c r="I103" i="4"/>
  <c r="P100" i="4"/>
  <c r="J98" i="4"/>
  <c r="I93" i="4"/>
  <c r="P90" i="4"/>
  <c r="J88" i="4"/>
  <c r="S83" i="4"/>
  <c r="P80" i="4"/>
  <c r="J78" i="4"/>
  <c r="Q75" i="4"/>
  <c r="M69" i="4"/>
  <c r="G67" i="4"/>
  <c r="N64" i="4"/>
  <c r="H62" i="4"/>
  <c r="G57" i="4"/>
  <c r="N54" i="4"/>
  <c r="H52" i="4"/>
  <c r="Q47" i="4"/>
  <c r="N44" i="4"/>
  <c r="H42" i="4"/>
  <c r="O39" i="4"/>
  <c r="K35" i="4"/>
  <c r="H32" i="4"/>
  <c r="O29" i="4"/>
  <c r="O34" i="4" s="1"/>
  <c r="I27" i="4"/>
  <c r="R20" i="4"/>
  <c r="L18" i="4"/>
  <c r="S15" i="4"/>
  <c r="O11" i="4"/>
  <c r="L8" i="4"/>
  <c r="S5" i="4"/>
  <c r="M3" i="4"/>
  <c r="Q117" i="4"/>
  <c r="R112" i="4"/>
  <c r="S105" i="4"/>
  <c r="G101" i="4"/>
  <c r="O91" i="4"/>
  <c r="P86" i="4"/>
  <c r="N78" i="4"/>
  <c r="I71" i="4"/>
  <c r="M65" i="4"/>
  <c r="K57" i="4"/>
  <c r="L52" i="4"/>
  <c r="J44" i="4"/>
  <c r="K39" i="4"/>
  <c r="L32" i="4"/>
  <c r="M27" i="4"/>
  <c r="N20" i="4"/>
  <c r="O15" i="4"/>
  <c r="P8" i="4"/>
  <c r="Q3" i="4"/>
  <c r="N115" i="4"/>
  <c r="O110" i="4"/>
  <c r="G80" i="4"/>
  <c r="L69" i="4"/>
  <c r="M64" i="4"/>
  <c r="K56" i="4"/>
  <c r="R35" i="4"/>
  <c r="Q20" i="4"/>
  <c r="P7" i="4"/>
  <c r="Q2" i="4"/>
  <c r="S114" i="4"/>
  <c r="G110" i="4"/>
  <c r="H103" i="4"/>
  <c r="J91" i="4"/>
  <c r="K86" i="4"/>
  <c r="L79" i="4"/>
  <c r="M74" i="4"/>
  <c r="H65" i="4"/>
  <c r="H70" i="4" s="1"/>
  <c r="P55" i="4"/>
  <c r="Q50" i="4"/>
  <c r="O42" i="4"/>
  <c r="J35" i="4"/>
  <c r="N29" i="4"/>
  <c r="L21" i="4"/>
  <c r="M16" i="4"/>
  <c r="N9" i="4"/>
  <c r="O4" i="4"/>
  <c r="I117" i="4"/>
  <c r="J112" i="4"/>
  <c r="H104" i="4"/>
  <c r="I99" i="4"/>
  <c r="G91" i="4"/>
  <c r="H86" i="4"/>
  <c r="I79" i="4"/>
  <c r="J74" i="4"/>
  <c r="K67" i="4"/>
  <c r="L62" i="4"/>
  <c r="M55" i="4"/>
  <c r="N50" i="4"/>
  <c r="I41" i="4"/>
  <c r="G33" i="4"/>
  <c r="R26" i="4"/>
  <c r="P18" i="4"/>
  <c r="K11" i="4"/>
  <c r="O5" i="4"/>
  <c r="P103" i="4"/>
  <c r="Q98" i="4"/>
  <c r="O90" i="4"/>
  <c r="L71" i="4"/>
  <c r="O52" i="4"/>
  <c r="M44" i="4"/>
  <c r="R33" i="4"/>
  <c r="H17" i="4"/>
  <c r="S119" i="4"/>
  <c r="S117" i="4"/>
  <c r="P116" i="4"/>
  <c r="M115" i="4"/>
  <c r="J114" i="4"/>
  <c r="G113" i="4"/>
  <c r="Q111" i="4"/>
  <c r="N110" i="4"/>
  <c r="I107" i="4"/>
  <c r="R104" i="4"/>
  <c r="O103" i="4"/>
  <c r="L102" i="4"/>
  <c r="I101" i="4"/>
  <c r="S99" i="4"/>
  <c r="P98" i="4"/>
  <c r="O95" i="4"/>
  <c r="O93" i="4"/>
  <c r="L92" i="4"/>
  <c r="I91" i="4"/>
  <c r="S89" i="4"/>
  <c r="P88" i="4"/>
  <c r="M87" i="4"/>
  <c r="J86" i="4"/>
  <c r="Q81" i="4"/>
  <c r="N80" i="4"/>
  <c r="K79" i="4"/>
  <c r="H78" i="4"/>
  <c r="R76" i="4"/>
  <c r="O75" i="4"/>
  <c r="L74" i="4"/>
  <c r="K71" i="4"/>
  <c r="K69" i="4"/>
  <c r="H68" i="4"/>
  <c r="R66" i="4"/>
  <c r="O65" i="4"/>
  <c r="L64" i="4"/>
  <c r="I63" i="4"/>
  <c r="Q59" i="4"/>
  <c r="M57" i="4"/>
  <c r="J56" i="4"/>
  <c r="G55" i="4"/>
  <c r="Q53" i="4"/>
  <c r="N52" i="4"/>
  <c r="K51" i="4"/>
  <c r="H50" i="4"/>
  <c r="G47" i="4"/>
  <c r="G45" i="4"/>
  <c r="Q43" i="4"/>
  <c r="N42" i="4"/>
  <c r="K41" i="4"/>
  <c r="H40" i="4"/>
  <c r="R38" i="4"/>
  <c r="M35" i="4"/>
  <c r="I33" i="4"/>
  <c r="S31" i="4"/>
  <c r="P30" i="4"/>
  <c r="M29" i="4"/>
  <c r="J28" i="4"/>
  <c r="G27" i="4"/>
  <c r="S23" i="4"/>
  <c r="S21" i="4"/>
  <c r="P20" i="4"/>
  <c r="M19" i="4"/>
  <c r="J18" i="4"/>
  <c r="G17" i="4"/>
  <c r="Q15" i="4"/>
  <c r="N14" i="4"/>
  <c r="I11" i="4"/>
  <c r="R8" i="4"/>
  <c r="O7" i="4"/>
  <c r="L6" i="4"/>
  <c r="I5" i="4"/>
  <c r="S3" i="4"/>
  <c r="P2" i="4"/>
  <c r="N119" i="4"/>
  <c r="J117" i="4"/>
  <c r="G116" i="4"/>
  <c r="Q114" i="4"/>
  <c r="N113" i="4"/>
  <c r="K112" i="4"/>
  <c r="H111" i="4"/>
  <c r="P107" i="4"/>
  <c r="L105" i="4"/>
  <c r="I104" i="4"/>
  <c r="S102" i="4"/>
  <c r="P101" i="4"/>
  <c r="M100" i="4"/>
  <c r="J99" i="4"/>
  <c r="G98" i="4"/>
  <c r="R93" i="4"/>
  <c r="O92" i="4"/>
  <c r="L91" i="4"/>
  <c r="I90" i="4"/>
  <c r="S88" i="4"/>
  <c r="P87" i="4"/>
  <c r="M86" i="4"/>
  <c r="H83" i="4"/>
  <c r="Q80" i="4"/>
  <c r="N79" i="4"/>
  <c r="K78" i="4"/>
  <c r="H77" i="4"/>
  <c r="R75" i="4"/>
  <c r="O74" i="4"/>
  <c r="N71" i="4"/>
  <c r="J69" i="4"/>
  <c r="G68" i="4"/>
  <c r="Q66" i="4"/>
  <c r="N65" i="4"/>
  <c r="K64" i="4"/>
  <c r="H63" i="4"/>
  <c r="P59" i="4"/>
  <c r="L57" i="4"/>
  <c r="I56" i="4"/>
  <c r="S54" i="4"/>
  <c r="P53" i="4"/>
  <c r="M52" i="4"/>
  <c r="J51" i="4"/>
  <c r="G50" i="4"/>
  <c r="R45" i="4"/>
  <c r="O44" i="4"/>
  <c r="L43" i="4"/>
  <c r="I42" i="4"/>
  <c r="S40" i="4"/>
  <c r="P39" i="4"/>
  <c r="M38" i="4"/>
  <c r="H35" i="4"/>
  <c r="Q32" i="4"/>
  <c r="N31" i="4"/>
  <c r="K30" i="4"/>
  <c r="H29" i="4"/>
  <c r="R27" i="4"/>
  <c r="O26" i="4"/>
  <c r="N23" i="4"/>
  <c r="J21" i="4"/>
  <c r="G20" i="4"/>
  <c r="Q18" i="4"/>
  <c r="N17" i="4"/>
  <c r="K16" i="4"/>
  <c r="H15" i="4"/>
  <c r="P11" i="4"/>
  <c r="L9" i="4"/>
  <c r="I8" i="4"/>
  <c r="S6" i="4"/>
  <c r="P5" i="4"/>
  <c r="M4" i="4"/>
  <c r="J3" i="4"/>
  <c r="G2" i="4"/>
  <c r="H117" i="4"/>
  <c r="O114" i="4"/>
  <c r="I112" i="4"/>
  <c r="R107" i="4"/>
  <c r="O104" i="4"/>
  <c r="I102" i="4"/>
  <c r="P99" i="4"/>
  <c r="L93" i="4"/>
  <c r="S90" i="4"/>
  <c r="M88" i="4"/>
  <c r="G86" i="4"/>
  <c r="K80" i="4"/>
  <c r="R77" i="4"/>
  <c r="S28" i="4"/>
  <c r="L51" i="4"/>
  <c r="L89" i="4"/>
  <c r="L94" i="4" s="1"/>
  <c r="M102" i="4"/>
  <c r="K9" i="4"/>
  <c r="I23" i="4"/>
  <c r="S39" i="4"/>
  <c r="J54" i="4"/>
  <c r="H66" i="4"/>
  <c r="S77" i="4"/>
  <c r="S82" i="4" s="1"/>
  <c r="Q89" i="4"/>
  <c r="R102" i="4"/>
  <c r="S115" i="4"/>
  <c r="K8" i="4"/>
  <c r="I20" i="4"/>
  <c r="J33" i="4"/>
  <c r="H47" i="4"/>
  <c r="R63" i="4"/>
  <c r="I78" i="4"/>
  <c r="G90" i="4"/>
  <c r="O100" i="4"/>
  <c r="M112" i="4"/>
  <c r="J5" i="4"/>
  <c r="L31" i="4"/>
  <c r="I50" i="4"/>
  <c r="I68" i="4"/>
  <c r="I88" i="4"/>
  <c r="N2" i="4"/>
  <c r="L14" i="4"/>
  <c r="J26" i="4"/>
  <c r="H38" i="4"/>
  <c r="I51" i="4"/>
  <c r="J64" i="4"/>
  <c r="K77" i="4"/>
  <c r="K82" i="4" s="1"/>
  <c r="L90" i="4"/>
  <c r="P104" i="4"/>
  <c r="N116" i="4"/>
  <c r="K5" i="4"/>
  <c r="G11" i="4"/>
  <c r="Q17" i="4"/>
  <c r="N26" i="4"/>
  <c r="M31" i="4"/>
  <c r="G39" i="4"/>
  <c r="S43" i="4"/>
  <c r="M51" i="4"/>
  <c r="L56" i="4"/>
  <c r="S63" i="4"/>
  <c r="R68" i="4"/>
  <c r="O77" i="4"/>
  <c r="K83" i="4"/>
  <c r="H90" i="4"/>
  <c r="Q95" i="4"/>
  <c r="N102" i="4"/>
  <c r="H110" i="4"/>
  <c r="G115" i="4"/>
  <c r="P3" i="4"/>
  <c r="O8" i="4"/>
  <c r="I16" i="4"/>
  <c r="H21" i="4"/>
  <c r="O28" i="4"/>
  <c r="N33" i="4"/>
  <c r="P41" i="4"/>
  <c r="M50" i="4"/>
  <c r="L55" i="4"/>
  <c r="S62" i="4"/>
  <c r="R67" i="4"/>
  <c r="L75" i="4"/>
  <c r="R87" i="4"/>
  <c r="N101" i="4"/>
  <c r="G114" i="4"/>
  <c r="I4" i="4"/>
  <c r="H9" i="4"/>
  <c r="J17" i="4"/>
  <c r="J23" i="4"/>
  <c r="G30" i="4"/>
  <c r="I38" i="4"/>
  <c r="H43" i="4"/>
  <c r="S50" i="4"/>
  <c r="R55" i="4"/>
  <c r="G64" i="4"/>
  <c r="S68" i="4"/>
  <c r="Q76" i="4"/>
  <c r="P81" i="4"/>
  <c r="R89" i="4"/>
  <c r="R95" i="4"/>
  <c r="L101" i="4"/>
  <c r="L107" i="4"/>
  <c r="M114" i="4"/>
  <c r="L2" i="4"/>
  <c r="K7" i="4"/>
  <c r="M15" i="4"/>
  <c r="L20" i="4"/>
  <c r="S27" i="4"/>
  <c r="R32" i="4"/>
  <c r="G41" i="4"/>
  <c r="G46" i="4" s="1"/>
  <c r="S45" i="4"/>
  <c r="M53" i="4"/>
  <c r="M59" i="4"/>
  <c r="H64" i="4"/>
  <c r="G69" i="4"/>
  <c r="N76" i="4"/>
  <c r="M81" i="4"/>
  <c r="L88" i="4"/>
  <c r="K93" i="4"/>
  <c r="R100" i="4"/>
  <c r="Q105" i="4"/>
  <c r="S113" i="4"/>
  <c r="O119" i="4"/>
  <c r="O14" i="4"/>
  <c r="G42" i="4"/>
  <c r="H55" i="4"/>
  <c r="H93" i="4"/>
  <c r="I3" i="4"/>
  <c r="J16" i="4"/>
  <c r="K29" i="4"/>
  <c r="O43" i="4"/>
  <c r="S57" i="4"/>
  <c r="Q69" i="4"/>
  <c r="O81" i="4"/>
  <c r="M93" i="4"/>
  <c r="K107" i="4"/>
  <c r="I2" i="4"/>
  <c r="G14" i="4"/>
  <c r="H27" i="4"/>
  <c r="I40" i="4"/>
  <c r="J53" i="4"/>
  <c r="N67" i="4"/>
  <c r="R81" i="4"/>
  <c r="P93" i="4"/>
  <c r="R101" i="4"/>
  <c r="R106" i="4" s="1"/>
  <c r="P113" i="4"/>
  <c r="M6" i="4"/>
  <c r="O32" i="4"/>
  <c r="N59" i="4"/>
  <c r="N77" i="4"/>
  <c r="N82" i="4" s="1"/>
  <c r="H113" i="4"/>
  <c r="J6" i="4"/>
  <c r="H18" i="4"/>
  <c r="S29" i="4"/>
  <c r="Q41" i="4"/>
  <c r="R54" i="4"/>
  <c r="S67" i="4"/>
  <c r="G81" i="4"/>
  <c r="N98" i="4"/>
  <c r="L110" i="4"/>
  <c r="J2" i="4"/>
  <c r="I7" i="4"/>
  <c r="P14" i="4"/>
  <c r="O19" i="4"/>
  <c r="L28" i="4"/>
  <c r="K33" i="4"/>
  <c r="R40" i="4"/>
  <c r="Q45" i="4"/>
  <c r="K53" i="4"/>
  <c r="K58" i="4" s="1"/>
  <c r="G59" i="4"/>
  <c r="Q65" i="4"/>
  <c r="N74" i="4"/>
  <c r="M79" i="4"/>
  <c r="G87" i="4"/>
  <c r="S91" i="4"/>
  <c r="M99" i="4"/>
  <c r="L104" i="4"/>
  <c r="S111" i="4"/>
  <c r="R116" i="4"/>
  <c r="N5" i="4"/>
  <c r="N10" i="4" s="1"/>
  <c r="J11" i="4"/>
  <c r="G18" i="4"/>
  <c r="P23" i="4"/>
  <c r="M30" i="4"/>
  <c r="O38" i="4"/>
  <c r="N43" i="4"/>
  <c r="K52" i="4"/>
  <c r="J57" i="4"/>
  <c r="Q64" i="4"/>
  <c r="P69" i="4"/>
  <c r="J77" i="4"/>
  <c r="J82" i="4" s="1"/>
  <c r="K90" i="4"/>
  <c r="G104" i="4"/>
  <c r="M116" i="4"/>
  <c r="L5" i="4"/>
  <c r="L11" i="4"/>
  <c r="M18" i="4"/>
  <c r="K26" i="4"/>
  <c r="J31" i="4"/>
  <c r="L39" i="4"/>
  <c r="K44" i="4"/>
  <c r="I52" i="4"/>
  <c r="H57" i="4"/>
  <c r="J65" i="4"/>
  <c r="J70" i="4" s="1"/>
  <c r="J71" i="4"/>
  <c r="G78" i="4"/>
  <c r="I86" i="4"/>
  <c r="H91" i="4"/>
  <c r="O102" i="4"/>
  <c r="Q110" i="4"/>
  <c r="P115" i="4"/>
  <c r="O3" i="4"/>
  <c r="N8" i="4"/>
  <c r="P16" i="4"/>
  <c r="O21" i="4"/>
  <c r="I29" i="4"/>
  <c r="I35" i="4"/>
  <c r="J42" i="4"/>
  <c r="S47" i="4"/>
  <c r="P54" i="4"/>
  <c r="K65" i="4"/>
  <c r="G71" i="4"/>
  <c r="Q77" i="4"/>
  <c r="Q82" i="4" s="1"/>
  <c r="Q83" i="4"/>
  <c r="O89" i="4"/>
  <c r="K95" i="4"/>
  <c r="H102" i="4"/>
  <c r="J110" i="4"/>
  <c r="I115" i="4"/>
  <c r="R15" i="4"/>
  <c r="J43" i="4"/>
  <c r="J63" i="4"/>
  <c r="H95" i="4"/>
  <c r="L4" i="4"/>
  <c r="M17" i="4"/>
  <c r="M22" i="4" s="1"/>
  <c r="Q31" i="4"/>
  <c r="R44" i="4"/>
  <c r="S59" i="4"/>
  <c r="Q71" i="4"/>
  <c r="O83" i="4"/>
  <c r="M95" i="4"/>
  <c r="G111" i="4"/>
  <c r="L3" i="4"/>
  <c r="J15" i="4"/>
  <c r="K28" i="4"/>
  <c r="L41" i="4"/>
  <c r="M54" i="4"/>
  <c r="Q68" i="4"/>
  <c r="R83" i="4"/>
  <c r="P95" i="4"/>
  <c r="N105" i="4"/>
  <c r="L117" i="4"/>
  <c r="K18" i="4"/>
  <c r="G62" i="4"/>
  <c r="Q78" i="4"/>
  <c r="K114" i="4"/>
  <c r="M7" i="4"/>
  <c r="K19" i="4"/>
  <c r="I31" i="4"/>
  <c r="G43" i="4"/>
  <c r="H56" i="4"/>
  <c r="I69" i="4"/>
  <c r="G83" i="4"/>
  <c r="Q99" i="4"/>
  <c r="O111" i="4"/>
  <c r="R2" i="4"/>
  <c r="Q7" i="4"/>
  <c r="K15" i="4"/>
  <c r="J20" i="4"/>
  <c r="G29" i="4"/>
  <c r="S33" i="4"/>
  <c r="M41" i="4"/>
  <c r="I47" i="4"/>
  <c r="S53" i="4"/>
  <c r="O59" i="4"/>
  <c r="L66" i="4"/>
  <c r="I75" i="4"/>
  <c r="H80" i="4"/>
  <c r="O87" i="4"/>
  <c r="N92" i="4"/>
  <c r="H100" i="4"/>
  <c r="G105" i="4"/>
  <c r="N112" i="4"/>
  <c r="M117" i="4"/>
  <c r="I6" i="4"/>
  <c r="R11" i="4"/>
  <c r="O18" i="4"/>
  <c r="I26" i="4"/>
  <c r="H31" i="4"/>
  <c r="J39" i="4"/>
  <c r="I44" i="4"/>
  <c r="S52" i="4"/>
  <c r="R57" i="4"/>
  <c r="L65" i="4"/>
  <c r="L70" i="4" s="1"/>
  <c r="H71" i="4"/>
  <c r="P79" i="4"/>
  <c r="Q92" i="4"/>
  <c r="J107" i="4"/>
  <c r="P119" i="4"/>
  <c r="O6" i="4"/>
  <c r="Q14" i="4"/>
  <c r="P19" i="4"/>
  <c r="N27" i="4"/>
  <c r="M32" i="4"/>
  <c r="O40" i="4"/>
  <c r="N45" i="4"/>
  <c r="L53" i="4"/>
  <c r="L58" i="4" s="1"/>
  <c r="L59" i="4"/>
  <c r="M66" i="4"/>
  <c r="K74" i="4"/>
  <c r="J79" i="4"/>
  <c r="L87" i="4"/>
  <c r="K92" i="4"/>
  <c r="BA98" i="4"/>
  <c r="AJ98" i="4"/>
  <c r="R103" i="4"/>
  <c r="G112" i="4"/>
  <c r="S116" i="4"/>
  <c r="R4" i="4"/>
  <c r="Q9" i="4"/>
  <c r="S17" i="4"/>
  <c r="O23" i="4"/>
  <c r="L30" i="4"/>
  <c r="N38" i="4"/>
  <c r="M43" i="4"/>
  <c r="G51" i="4"/>
  <c r="S55" i="4"/>
  <c r="R62" i="4"/>
  <c r="N66" i="4"/>
  <c r="H74" i="4"/>
  <c r="G79" i="4"/>
  <c r="R90" i="4"/>
  <c r="L98" i="4"/>
  <c r="K103" i="4"/>
  <c r="M111" i="4"/>
  <c r="L116" i="4"/>
  <c r="AE97" i="4"/>
  <c r="AV97" i="4"/>
  <c r="AU37" i="4"/>
  <c r="AD37" i="4"/>
  <c r="BA97" i="4"/>
  <c r="AJ97" i="4"/>
  <c r="AX37" i="4"/>
  <c r="AG37" i="4"/>
  <c r="AP85" i="4"/>
  <c r="Y85" i="4"/>
  <c r="AT109" i="4"/>
  <c r="AC109" i="4"/>
  <c r="AY61" i="4"/>
  <c r="AH61" i="4"/>
  <c r="AQ109" i="4"/>
  <c r="Z109" i="4"/>
  <c r="BA25" i="4"/>
  <c r="AJ25" i="4"/>
  <c r="AW49" i="4"/>
  <c r="AF49" i="4"/>
  <c r="AQ85" i="4"/>
  <c r="Z85" i="4"/>
  <c r="AU109" i="4"/>
  <c r="AD109" i="4"/>
  <c r="AX13" i="4"/>
  <c r="AG13" i="4"/>
  <c r="AZ49" i="4"/>
  <c r="AI49" i="4"/>
  <c r="AT85" i="4"/>
  <c r="AC85" i="4"/>
  <c r="AX109" i="4"/>
  <c r="AG109" i="4"/>
  <c r="AI13" i="4"/>
  <c r="AZ13" i="4"/>
  <c r="AA37" i="4"/>
  <c r="AR37" i="4"/>
  <c r="AT49" i="4"/>
  <c r="AC49" i="4"/>
  <c r="AI61" i="4"/>
  <c r="AZ61" i="4"/>
  <c r="AR85" i="4"/>
  <c r="AA85" i="4"/>
  <c r="AT97" i="4"/>
  <c r="AC97" i="4"/>
  <c r="AZ109" i="4"/>
  <c r="AI109" i="4"/>
  <c r="AO13" i="4"/>
  <c r="X13" i="4"/>
  <c r="V74" i="14" s="1"/>
  <c r="AQ25" i="4"/>
  <c r="Z25" i="4"/>
  <c r="AS37" i="4"/>
  <c r="AB37" i="4"/>
  <c r="AU49" i="4"/>
  <c r="AD49" i="4"/>
  <c r="AW61" i="4"/>
  <c r="AF61" i="4"/>
  <c r="AY73" i="4"/>
  <c r="AH73" i="4"/>
  <c r="BA85" i="4"/>
  <c r="AJ85" i="4"/>
  <c r="AO109" i="4"/>
  <c r="X109" i="4"/>
  <c r="V82" i="14" s="1"/>
  <c r="AQ121" i="4"/>
  <c r="Z121" i="4"/>
  <c r="AQ98" i="4"/>
  <c r="Z98" i="4"/>
  <c r="AU63" i="4"/>
  <c r="AD63" i="4"/>
  <c r="AT13" i="4"/>
  <c r="AC13" i="4"/>
  <c r="AR121" i="4"/>
  <c r="AA121" i="4"/>
  <c r="AS49" i="4"/>
  <c r="AB49" i="4"/>
  <c r="AY109" i="4"/>
  <c r="AH109" i="4"/>
  <c r="AV49" i="4"/>
  <c r="AE49" i="4"/>
  <c r="AZ121" i="4"/>
  <c r="AI121" i="4"/>
  <c r="AQ13" i="4"/>
  <c r="Z13" i="4"/>
  <c r="AW73" i="4"/>
  <c r="AF73" i="4"/>
  <c r="AO121" i="4"/>
  <c r="X121" i="4"/>
  <c r="V83" i="14" s="1"/>
  <c r="AQ37" i="4"/>
  <c r="Z37" i="4"/>
  <c r="AU61" i="4"/>
  <c r="AD61" i="4"/>
  <c r="AY85" i="4"/>
  <c r="AH85" i="4"/>
  <c r="AS121" i="4"/>
  <c r="AB121" i="4"/>
  <c r="AV25" i="4"/>
  <c r="AE25" i="4"/>
  <c r="AP61" i="4"/>
  <c r="Y61" i="4"/>
  <c r="AR97" i="4"/>
  <c r="AA97" i="4"/>
  <c r="AV121" i="4"/>
  <c r="AE121" i="4"/>
  <c r="Y25" i="4"/>
  <c r="AP25" i="4"/>
  <c r="AV37" i="4"/>
  <c r="AE37" i="4"/>
  <c r="AG49" i="4"/>
  <c r="AX49" i="4"/>
  <c r="Y73" i="4"/>
  <c r="AP73" i="4"/>
  <c r="AE85" i="4"/>
  <c r="AV85" i="4"/>
  <c r="AX97" i="4"/>
  <c r="AG97" i="4"/>
  <c r="AP121" i="4"/>
  <c r="Y121" i="4"/>
  <c r="AS13" i="4"/>
  <c r="AB13" i="4"/>
  <c r="AU25" i="4"/>
  <c r="AD25" i="4"/>
  <c r="AW37" i="4"/>
  <c r="AF37" i="4"/>
  <c r="AY49" i="4"/>
  <c r="AH49" i="4"/>
  <c r="BA61" i="4"/>
  <c r="AJ61" i="4"/>
  <c r="AO85" i="4"/>
  <c r="X85" i="4"/>
  <c r="V80" i="14" s="1"/>
  <c r="AQ97" i="4"/>
  <c r="Z97" i="4"/>
  <c r="AS109" i="4"/>
  <c r="AB109" i="4"/>
  <c r="AU121" i="4"/>
  <c r="AD121" i="4"/>
  <c r="AS38" i="4"/>
  <c r="AB38" i="4"/>
  <c r="AW98" i="4"/>
  <c r="AF98" i="4"/>
  <c r="AV62" i="4"/>
  <c r="AE62" i="4"/>
  <c r="AZ86" i="4"/>
  <c r="AI86" i="4"/>
  <c r="AR25" i="4"/>
  <c r="AA25" i="4"/>
  <c r="AY13" i="4"/>
  <c r="AH13" i="4"/>
  <c r="AQ61" i="4"/>
  <c r="Z61" i="4"/>
  <c r="AW121" i="4"/>
  <c r="AF121" i="4"/>
  <c r="AT61" i="4"/>
  <c r="AC61" i="4"/>
  <c r="AP37" i="4"/>
  <c r="Y37" i="4"/>
  <c r="AO25" i="4"/>
  <c r="X25" i="4"/>
  <c r="V75" i="14" s="1"/>
  <c r="AU85" i="4"/>
  <c r="AD85" i="4"/>
  <c r="AU13" i="4"/>
  <c r="AD13" i="4"/>
  <c r="AY37" i="4"/>
  <c r="AH37" i="4"/>
  <c r="AS73" i="4"/>
  <c r="AB73" i="4"/>
  <c r="AO97" i="4"/>
  <c r="X97" i="4"/>
  <c r="V81" i="14" s="1"/>
  <c r="BA121" i="4"/>
  <c r="AJ121" i="4"/>
  <c r="AT37" i="4"/>
  <c r="AC37" i="4"/>
  <c r="AX61" i="4"/>
  <c r="AG61" i="4"/>
  <c r="AZ97" i="4"/>
  <c r="AI97" i="4"/>
  <c r="AR13" i="4"/>
  <c r="AA13" i="4"/>
  <c r="AT25" i="4"/>
  <c r="AC25" i="4"/>
  <c r="AI37" i="4"/>
  <c r="AZ37" i="4"/>
  <c r="AR61" i="4"/>
  <c r="AA61" i="4"/>
  <c r="AT73" i="4"/>
  <c r="AC73" i="4"/>
  <c r="AZ85" i="4"/>
  <c r="AI85" i="4"/>
  <c r="AR109" i="4"/>
  <c r="AA109" i="4"/>
  <c r="AT121" i="4"/>
  <c r="AC121" i="4"/>
  <c r="AW13" i="4"/>
  <c r="AF13" i="4"/>
  <c r="AY25" i="4"/>
  <c r="AH25" i="4"/>
  <c r="AJ37" i="4"/>
  <c r="BA37" i="4"/>
  <c r="AO61" i="4"/>
  <c r="X61" i="4"/>
  <c r="V78" i="14" s="1"/>
  <c r="AQ73" i="4"/>
  <c r="Z73" i="4"/>
  <c r="AS85" i="4"/>
  <c r="AB85" i="4"/>
  <c r="AU97" i="4"/>
  <c r="AD97" i="4"/>
  <c r="AW109" i="4"/>
  <c r="AF109" i="4"/>
  <c r="AY121" i="4"/>
  <c r="AH121" i="4"/>
  <c r="O45" i="16"/>
  <c r="Q45" i="16"/>
  <c r="P45" i="16"/>
  <c r="Q44" i="16"/>
  <c r="P44" i="16"/>
  <c r="O44" i="16"/>
  <c r="P42" i="16"/>
  <c r="O42" i="16"/>
  <c r="Q42" i="16"/>
  <c r="P41" i="16"/>
  <c r="O41" i="16"/>
  <c r="Q41" i="16"/>
  <c r="Q43" i="16"/>
  <c r="P43" i="16"/>
  <c r="O43" i="16"/>
  <c r="Q48" i="16"/>
  <c r="O48" i="16"/>
  <c r="P48" i="16"/>
  <c r="P52" i="16"/>
  <c r="Q52" i="16"/>
  <c r="O52" i="16"/>
  <c r="Q49" i="16"/>
  <c r="O49" i="16"/>
  <c r="P49" i="16"/>
  <c r="P50" i="16"/>
  <c r="O50" i="16"/>
  <c r="Q50" i="16"/>
  <c r="O51" i="16"/>
  <c r="Q51" i="16"/>
  <c r="P51" i="16"/>
  <c r="K52" i="16"/>
  <c r="J52" i="16"/>
  <c r="I52" i="16"/>
  <c r="E49" i="16"/>
  <c r="D49" i="16"/>
  <c r="C48" i="16"/>
  <c r="D48" i="16"/>
  <c r="E48" i="16"/>
  <c r="K49" i="16"/>
  <c r="J49" i="16"/>
  <c r="I49" i="16"/>
  <c r="J51" i="16"/>
  <c r="I51" i="16"/>
  <c r="K51" i="16"/>
  <c r="K50" i="16"/>
  <c r="I50" i="16"/>
  <c r="J50" i="16"/>
  <c r="K48" i="16"/>
  <c r="I48" i="16"/>
  <c r="J48" i="16"/>
  <c r="C50" i="16"/>
  <c r="D50" i="16"/>
  <c r="C49" i="16"/>
  <c r="C51" i="16"/>
  <c r="D51" i="16"/>
  <c r="C52" i="16"/>
  <c r="D52" i="16"/>
  <c r="C41" i="16"/>
  <c r="D41" i="16"/>
  <c r="E41" i="16"/>
  <c r="K45" i="16"/>
  <c r="J45" i="16"/>
  <c r="I45" i="16"/>
  <c r="D45" i="16"/>
  <c r="E45" i="16"/>
  <c r="C45" i="16"/>
  <c r="C42" i="16"/>
  <c r="E42" i="16"/>
  <c r="D42" i="16"/>
  <c r="D43" i="16"/>
  <c r="C43" i="16"/>
  <c r="E43" i="16"/>
  <c r="J43" i="16"/>
  <c r="I43" i="16"/>
  <c r="K43" i="16"/>
  <c r="I44" i="16"/>
  <c r="J44" i="16"/>
  <c r="K44" i="16"/>
  <c r="K42" i="16"/>
  <c r="J42" i="16"/>
  <c r="I42" i="16"/>
  <c r="E44" i="16"/>
  <c r="D44" i="16"/>
  <c r="C44" i="16"/>
  <c r="K41" i="16"/>
  <c r="J41" i="16"/>
  <c r="I41" i="16"/>
  <c r="U79" i="14"/>
  <c r="U74" i="14"/>
  <c r="U83" i="14"/>
  <c r="U77" i="14"/>
  <c r="U75" i="14"/>
  <c r="U81" i="14"/>
  <c r="U82" i="14"/>
  <c r="U78" i="14"/>
  <c r="V76" i="14"/>
  <c r="V77" i="14"/>
  <c r="V79" i="14"/>
  <c r="U80" i="14"/>
  <c r="U76" i="14"/>
  <c r="B11" i="16"/>
  <c r="B3" i="16"/>
  <c r="N35" i="16"/>
  <c r="B26" i="16"/>
  <c r="B24" i="16"/>
  <c r="H35" i="16"/>
  <c r="B17" i="16"/>
  <c r="N31" i="16"/>
  <c r="H6" i="16"/>
  <c r="H34" i="16"/>
  <c r="H7" i="16"/>
  <c r="N15" i="16"/>
  <c r="H24" i="16"/>
  <c r="H26" i="16"/>
  <c r="B16" i="16"/>
  <c r="N28" i="16"/>
  <c r="H11" i="16"/>
  <c r="B25" i="16"/>
  <c r="N34" i="16"/>
  <c r="B27" i="16"/>
  <c r="N38" i="16"/>
  <c r="N11" i="16"/>
  <c r="H23" i="16"/>
  <c r="B23" i="16"/>
  <c r="H27" i="16"/>
  <c r="B37" i="16"/>
  <c r="H3" i="16"/>
  <c r="H22" i="16"/>
  <c r="B19" i="16"/>
  <c r="H13" i="16"/>
  <c r="H29" i="16"/>
  <c r="B31" i="16"/>
  <c r="N22" i="16"/>
  <c r="H38" i="16"/>
  <c r="B18" i="16"/>
  <c r="B4" i="16"/>
  <c r="N24" i="16"/>
  <c r="H28" i="16"/>
  <c r="B34" i="16"/>
  <c r="N25" i="16"/>
  <c r="N37" i="16"/>
  <c r="Q37" i="16" s="1"/>
  <c r="N3" i="16"/>
  <c r="H25" i="16"/>
  <c r="H37" i="16"/>
  <c r="N16" i="16"/>
  <c r="H10" i="16"/>
  <c r="N12" i="16"/>
  <c r="H31" i="16"/>
  <c r="H36" i="16"/>
  <c r="N36" i="16"/>
  <c r="H16" i="16"/>
  <c r="K16" i="16" s="1"/>
  <c r="N5" i="16"/>
  <c r="N7" i="16"/>
  <c r="H17" i="16"/>
  <c r="B13" i="16"/>
  <c r="B15" i="16"/>
  <c r="H30" i="16"/>
  <c r="N17" i="16"/>
  <c r="Q17" i="16" s="1"/>
  <c r="B30" i="16"/>
  <c r="N30" i="16"/>
  <c r="B6" i="16"/>
  <c r="H14" i="16"/>
  <c r="N26" i="16"/>
  <c r="N29" i="16"/>
  <c r="H4" i="16"/>
  <c r="B10" i="16"/>
  <c r="N10" i="16"/>
  <c r="N19" i="16"/>
  <c r="H15" i="16"/>
  <c r="N13" i="16"/>
  <c r="H12" i="16"/>
  <c r="B38" i="16"/>
  <c r="N23" i="16"/>
  <c r="N6" i="16"/>
  <c r="B7" i="16"/>
  <c r="N14" i="16"/>
  <c r="N18" i="16"/>
  <c r="B22" i="16"/>
  <c r="N27" i="16"/>
  <c r="H18" i="16"/>
  <c r="B12" i="16"/>
  <c r="N4" i="16"/>
  <c r="B29" i="16"/>
  <c r="H19" i="16"/>
  <c r="H5" i="16"/>
  <c r="B35" i="16"/>
  <c r="B5" i="16"/>
  <c r="B36" i="16"/>
  <c r="B14" i="16"/>
  <c r="B28" i="16"/>
  <c r="D82" i="14"/>
  <c r="D81" i="14"/>
  <c r="D75" i="14"/>
  <c r="D80" i="14"/>
  <c r="D79" i="14"/>
  <c r="D78" i="14"/>
  <c r="D74" i="14"/>
  <c r="D83" i="14"/>
  <c r="D77" i="14"/>
  <c r="D76" i="14"/>
  <c r="G21" i="13"/>
  <c r="H21" i="13"/>
  <c r="P20" i="13"/>
  <c r="S20" i="13" s="1"/>
  <c r="O20" i="13"/>
  <c r="R20" i="13" s="1"/>
  <c r="A24" i="13"/>
  <c r="B24" i="13" s="1"/>
  <c r="D21" i="13"/>
  <c r="U19" i="13"/>
  <c r="Y20" i="13"/>
  <c r="X20" i="13"/>
  <c r="Q21" i="13"/>
  <c r="E22" i="13"/>
  <c r="K22" i="13"/>
  <c r="L22" i="13"/>
  <c r="C22" i="13"/>
  <c r="M21" i="13"/>
  <c r="N21" i="13" s="1"/>
  <c r="F21" i="13"/>
  <c r="R94" i="4" l="1"/>
  <c r="AI94" i="4" s="1"/>
  <c r="Q22" i="4"/>
  <c r="S94" i="4"/>
  <c r="BA94" i="4" s="1"/>
  <c r="M24" i="8"/>
  <c r="O118" i="4"/>
  <c r="AW118" i="4" s="1"/>
  <c r="Q70" i="4"/>
  <c r="J10" i="4"/>
  <c r="AR10" i="4" s="1"/>
  <c r="O70" i="4"/>
  <c r="AW70" i="4" s="1"/>
  <c r="I46" i="4"/>
  <c r="AQ46" i="4" s="1"/>
  <c r="L34" i="4"/>
  <c r="AT34" i="4" s="1"/>
  <c r="J94" i="4"/>
  <c r="AA94" i="4" s="1"/>
  <c r="P10" i="4"/>
  <c r="AX10" i="4" s="1"/>
  <c r="N70" i="4"/>
  <c r="AV70" i="4" s="1"/>
  <c r="I10" i="4"/>
  <c r="AQ10" i="4" s="1"/>
  <c r="H118" i="4"/>
  <c r="Y118" i="4" s="1"/>
  <c r="E81" i="14"/>
  <c r="S58" i="4"/>
  <c r="BA58" i="4" s="1"/>
  <c r="L10" i="4"/>
  <c r="AC10" i="4" s="1"/>
  <c r="N94" i="4"/>
  <c r="AV94" i="4" s="1"/>
  <c r="E78" i="14"/>
  <c r="Q46" i="4"/>
  <c r="AY46" i="4" s="1"/>
  <c r="P46" i="4"/>
  <c r="O10" i="4"/>
  <c r="AW10" i="4" s="1"/>
  <c r="S22" i="4"/>
  <c r="AJ22" i="4" s="1"/>
  <c r="O94" i="4"/>
  <c r="AF94" i="4" s="1"/>
  <c r="K70" i="4"/>
  <c r="AS70" i="4" s="1"/>
  <c r="G118" i="4"/>
  <c r="AO118" i="4" s="1"/>
  <c r="N58" i="4"/>
  <c r="AE58" i="4" s="1"/>
  <c r="R70" i="4"/>
  <c r="AZ70" i="4" s="1"/>
  <c r="H34" i="4"/>
  <c r="AP34" i="4" s="1"/>
  <c r="P106" i="4"/>
  <c r="AX106" i="4" s="1"/>
  <c r="K46" i="4"/>
  <c r="AS46" i="4" s="1"/>
  <c r="Q58" i="4"/>
  <c r="AH58" i="4" s="1"/>
  <c r="G94" i="4"/>
  <c r="AO94" i="4" s="1"/>
  <c r="M106" i="4"/>
  <c r="AD106" i="4" s="1"/>
  <c r="M58" i="4"/>
  <c r="AU58" i="4" s="1"/>
  <c r="I106" i="4"/>
  <c r="AQ106" i="4" s="1"/>
  <c r="R10" i="4"/>
  <c r="AZ10" i="4" s="1"/>
  <c r="I22" i="4"/>
  <c r="Z22" i="4" s="1"/>
  <c r="L106" i="4"/>
  <c r="AT106" i="4" s="1"/>
  <c r="H106" i="4"/>
  <c r="AP106" i="4" s="1"/>
  <c r="M70" i="4"/>
  <c r="AU70" i="4" s="1"/>
  <c r="E79" i="14"/>
  <c r="E83" i="14"/>
  <c r="E77" i="14"/>
  <c r="E80" i="14"/>
  <c r="E75" i="14"/>
  <c r="E76" i="14"/>
  <c r="G34" i="4"/>
  <c r="AO34" i="4" s="1"/>
  <c r="L46" i="4"/>
  <c r="AT46" i="4" s="1"/>
  <c r="P118" i="4"/>
  <c r="AX118" i="4" s="1"/>
  <c r="S118" i="4"/>
  <c r="BA118" i="4" s="1"/>
  <c r="Q94" i="4"/>
  <c r="AY94" i="4" s="1"/>
  <c r="P58" i="4"/>
  <c r="AX58" i="4" s="1"/>
  <c r="N118" i="4"/>
  <c r="AE118" i="4" s="1"/>
  <c r="S10" i="4"/>
  <c r="BA10" i="4" s="1"/>
  <c r="J46" i="4"/>
  <c r="AR46" i="4" s="1"/>
  <c r="K118" i="4"/>
  <c r="AS118" i="4" s="1"/>
  <c r="M46" i="4"/>
  <c r="AU46" i="4" s="1"/>
  <c r="I34" i="4"/>
  <c r="Z34" i="4" s="1"/>
  <c r="J22" i="4"/>
  <c r="AR22" i="4" s="1"/>
  <c r="N22" i="4"/>
  <c r="AV22" i="4" s="1"/>
  <c r="H82" i="4"/>
  <c r="AP82" i="4" s="1"/>
  <c r="G22" i="4"/>
  <c r="AO22" i="4" s="1"/>
  <c r="M34" i="4"/>
  <c r="AD34" i="4" s="1"/>
  <c r="R22" i="4"/>
  <c r="AI22" i="4" s="1"/>
  <c r="L82" i="4"/>
  <c r="AC82" i="4" s="1"/>
  <c r="K106" i="4"/>
  <c r="AS106" i="4" s="1"/>
  <c r="E74" i="14"/>
  <c r="E82" i="14"/>
  <c r="K10" i="4"/>
  <c r="AB10" i="4" s="1"/>
  <c r="AT116" i="4"/>
  <c r="AC116" i="4"/>
  <c r="AZ90" i="4"/>
  <c r="AI90" i="4"/>
  <c r="AZ62" i="4"/>
  <c r="AI62" i="4"/>
  <c r="AV38" i="4"/>
  <c r="AE38" i="4"/>
  <c r="AZ103" i="4"/>
  <c r="AI103" i="4"/>
  <c r="AT87" i="4"/>
  <c r="AC87" i="4"/>
  <c r="AT59" i="4"/>
  <c r="AC59" i="4"/>
  <c r="AU32" i="4"/>
  <c r="AD32" i="4"/>
  <c r="AW6" i="4"/>
  <c r="AF6" i="4"/>
  <c r="AX79" i="4"/>
  <c r="AG79" i="4"/>
  <c r="BA52" i="4"/>
  <c r="AJ52" i="4"/>
  <c r="AQ26" i="4"/>
  <c r="Z26" i="4"/>
  <c r="AV92" i="4"/>
  <c r="AE92" i="4"/>
  <c r="AT66" i="4"/>
  <c r="AC66" i="4"/>
  <c r="AS15" i="4"/>
  <c r="AB15" i="4"/>
  <c r="AY99" i="4"/>
  <c r="AH99" i="4"/>
  <c r="AO43" i="4"/>
  <c r="X43" i="4"/>
  <c r="AS114" i="4"/>
  <c r="AB114" i="4"/>
  <c r="AY68" i="4"/>
  <c r="AH68" i="4"/>
  <c r="AR15" i="4"/>
  <c r="AA15" i="4"/>
  <c r="AW83" i="4"/>
  <c r="AF83" i="4"/>
  <c r="AY31" i="4"/>
  <c r="AH31" i="4"/>
  <c r="AR63" i="4"/>
  <c r="AA63" i="4"/>
  <c r="AR110" i="4"/>
  <c r="AA110" i="4"/>
  <c r="AH83" i="4"/>
  <c r="AY83" i="4"/>
  <c r="AX54" i="4"/>
  <c r="AG54" i="4"/>
  <c r="AQ34" i="4"/>
  <c r="AW3" i="4"/>
  <c r="AF3" i="4"/>
  <c r="AP91" i="4"/>
  <c r="Y91" i="4"/>
  <c r="AR70" i="4"/>
  <c r="AA70" i="4"/>
  <c r="AT39" i="4"/>
  <c r="AC39" i="4"/>
  <c r="AT11" i="4"/>
  <c r="AC11" i="4"/>
  <c r="AS90" i="4"/>
  <c r="AB90" i="4"/>
  <c r="AU30" i="4"/>
  <c r="AD30" i="4"/>
  <c r="AV10" i="4"/>
  <c r="AE10" i="4"/>
  <c r="AU99" i="4"/>
  <c r="AD99" i="4"/>
  <c r="AV74" i="4"/>
  <c r="AE74" i="4"/>
  <c r="AW19" i="4"/>
  <c r="AF19" i="4"/>
  <c r="AT110" i="4"/>
  <c r="AC110" i="4"/>
  <c r="AZ54" i="4"/>
  <c r="AI54" i="4"/>
  <c r="AR6" i="4"/>
  <c r="AA6" i="4"/>
  <c r="AW32" i="4"/>
  <c r="AF32" i="4"/>
  <c r="AQ40" i="4"/>
  <c r="Z40" i="4"/>
  <c r="AS107" i="4"/>
  <c r="AB107" i="4"/>
  <c r="AQ3" i="4"/>
  <c r="Z3" i="4"/>
  <c r="AW14" i="4"/>
  <c r="AF14" i="4"/>
  <c r="AZ100" i="4"/>
  <c r="AI100" i="4"/>
  <c r="AV76" i="4"/>
  <c r="AE76" i="4"/>
  <c r="BA27" i="4"/>
  <c r="AJ27" i="4"/>
  <c r="AT2" i="4"/>
  <c r="AC2" i="4"/>
  <c r="AZ95" i="4"/>
  <c r="AI95" i="4"/>
  <c r="BA68" i="4"/>
  <c r="AJ68" i="4"/>
  <c r="AP43" i="4"/>
  <c r="Y43" i="4"/>
  <c r="N106" i="4"/>
  <c r="BA62" i="4"/>
  <c r="AJ62" i="4"/>
  <c r="AW8" i="4"/>
  <c r="AF8" i="4"/>
  <c r="AV102" i="4"/>
  <c r="AE102" i="4"/>
  <c r="O82" i="4"/>
  <c r="AU51" i="4"/>
  <c r="AD51" i="4"/>
  <c r="AV26" i="4"/>
  <c r="AE26" i="4"/>
  <c r="AV116" i="4"/>
  <c r="AE116" i="4"/>
  <c r="AR64" i="4"/>
  <c r="AA64" i="4"/>
  <c r="AT14" i="4"/>
  <c r="AC14" i="4"/>
  <c r="AQ50" i="4"/>
  <c r="Z50" i="4"/>
  <c r="AW100" i="4"/>
  <c r="AF100" i="4"/>
  <c r="AP47" i="4"/>
  <c r="Y47" i="4"/>
  <c r="BA115" i="4"/>
  <c r="AJ115" i="4"/>
  <c r="AP66" i="4"/>
  <c r="Y66" i="4"/>
  <c r="BA28" i="4"/>
  <c r="AJ28" i="4"/>
  <c r="AU88" i="4"/>
  <c r="AD88" i="4"/>
  <c r="AQ102" i="4"/>
  <c r="Z102" i="4"/>
  <c r="AW114" i="4"/>
  <c r="AF114" i="4"/>
  <c r="AU4" i="4"/>
  <c r="AD4" i="4"/>
  <c r="AV23" i="4"/>
  <c r="AE23" i="4"/>
  <c r="AS30" i="4"/>
  <c r="AB30" i="4"/>
  <c r="AU38" i="4"/>
  <c r="AD38" i="4"/>
  <c r="AT43" i="4"/>
  <c r="AC43" i="4"/>
  <c r="AA51" i="4"/>
  <c r="AR51" i="4"/>
  <c r="AQ56" i="4"/>
  <c r="Z56" i="4"/>
  <c r="AS64" i="4"/>
  <c r="AB64" i="4"/>
  <c r="AP83" i="4"/>
  <c r="Y83" i="4"/>
  <c r="AQ90" i="4"/>
  <c r="Z90" i="4"/>
  <c r="AO98" i="4"/>
  <c r="X98" i="4"/>
  <c r="BA102" i="4"/>
  <c r="AJ102" i="4"/>
  <c r="AP111" i="4"/>
  <c r="Y111" i="4"/>
  <c r="AO116" i="4"/>
  <c r="X116" i="4"/>
  <c r="BA3" i="4"/>
  <c r="AJ3" i="4"/>
  <c r="AZ8" i="4"/>
  <c r="AI8" i="4"/>
  <c r="AU35" i="4"/>
  <c r="AD35" i="4"/>
  <c r="AE42" i="4"/>
  <c r="AV42" i="4"/>
  <c r="AP50" i="4"/>
  <c r="Y50" i="4"/>
  <c r="X55" i="4"/>
  <c r="AO55" i="4"/>
  <c r="AQ63" i="4"/>
  <c r="Z63" i="4"/>
  <c r="AP68" i="4"/>
  <c r="Y68" i="4"/>
  <c r="AW75" i="4"/>
  <c r="AF75" i="4"/>
  <c r="AV80" i="4"/>
  <c r="AE80" i="4"/>
  <c r="AX88" i="4"/>
  <c r="AG88" i="4"/>
  <c r="AQ107" i="4"/>
  <c r="Z107" i="4"/>
  <c r="AR114" i="4"/>
  <c r="AA114" i="4"/>
  <c r="BA119" i="4"/>
  <c r="AJ119" i="4"/>
  <c r="AW52" i="4"/>
  <c r="AF52" i="4"/>
  <c r="AX103" i="4"/>
  <c r="AG103" i="4"/>
  <c r="AZ26" i="4"/>
  <c r="AI26" i="4"/>
  <c r="AU55" i="4"/>
  <c r="AD55" i="4"/>
  <c r="AQ79" i="4"/>
  <c r="Z79" i="4"/>
  <c r="AP104" i="4"/>
  <c r="Y104" i="4"/>
  <c r="AR35" i="4"/>
  <c r="AA35" i="4"/>
  <c r="AP70" i="4"/>
  <c r="Y70" i="4"/>
  <c r="AR91" i="4"/>
  <c r="AA91" i="4"/>
  <c r="AY2" i="4"/>
  <c r="AH2" i="4"/>
  <c r="AS56" i="4"/>
  <c r="AB56" i="4"/>
  <c r="AW110" i="4"/>
  <c r="AF110" i="4"/>
  <c r="AW15" i="4"/>
  <c r="AF15" i="4"/>
  <c r="AS39" i="4"/>
  <c r="AB39" i="4"/>
  <c r="AW91" i="4"/>
  <c r="AF91" i="4"/>
  <c r="AW11" i="4"/>
  <c r="AF11" i="4"/>
  <c r="AQ27" i="4"/>
  <c r="Z27" i="4"/>
  <c r="AW39" i="4"/>
  <c r="AF39" i="4"/>
  <c r="AP52" i="4"/>
  <c r="Y52" i="4"/>
  <c r="AV64" i="4"/>
  <c r="AE64" i="4"/>
  <c r="AR78" i="4"/>
  <c r="AA78" i="4"/>
  <c r="AX90" i="4"/>
  <c r="AG90" i="4"/>
  <c r="AQ103" i="4"/>
  <c r="Z103" i="4"/>
  <c r="AW115" i="4"/>
  <c r="AF115" i="4"/>
  <c r="AV35" i="4"/>
  <c r="AE35" i="4"/>
  <c r="AP51" i="4"/>
  <c r="Y51" i="4"/>
  <c r="AV63" i="4"/>
  <c r="AE63" i="4"/>
  <c r="AO76" i="4"/>
  <c r="X76" i="4"/>
  <c r="H94" i="4"/>
  <c r="AY102" i="4"/>
  <c r="AH102" i="4"/>
  <c r="AR115" i="4"/>
  <c r="AA115" i="4"/>
  <c r="AY4" i="4"/>
  <c r="AH4" i="4"/>
  <c r="AZ23" i="4"/>
  <c r="AI23" i="4"/>
  <c r="AW30" i="4"/>
  <c r="AF30" i="4"/>
  <c r="AH38" i="4"/>
  <c r="AY38" i="4"/>
  <c r="AX43" i="4"/>
  <c r="AG43" i="4"/>
  <c r="AV51" i="4"/>
  <c r="AE51" i="4"/>
  <c r="AU56" i="4"/>
  <c r="AD56" i="4"/>
  <c r="AF64" i="4"/>
  <c r="AW64" i="4"/>
  <c r="AT83" i="4"/>
  <c r="AC83" i="4"/>
  <c r="AU90" i="4"/>
  <c r="AD90" i="4"/>
  <c r="AS98" i="4"/>
  <c r="AB98" i="4"/>
  <c r="AR103" i="4"/>
  <c r="AA103" i="4"/>
  <c r="AT111" i="4"/>
  <c r="AC111" i="4"/>
  <c r="AS116" i="4"/>
  <c r="AB116" i="4"/>
  <c r="AR4" i="4"/>
  <c r="AA4" i="4"/>
  <c r="AB22" i="4"/>
  <c r="AS22" i="4"/>
  <c r="AO23" i="4"/>
  <c r="X23" i="4"/>
  <c r="AY34" i="4"/>
  <c r="AH34" i="4"/>
  <c r="AY35" i="4"/>
  <c r="AH35" i="4"/>
  <c r="AZ42" i="4"/>
  <c r="AI42" i="4"/>
  <c r="AT50" i="4"/>
  <c r="AC50" i="4"/>
  <c r="AS55" i="4"/>
  <c r="AB55" i="4"/>
  <c r="AX64" i="4"/>
  <c r="AG64" i="4"/>
  <c r="AQ82" i="4"/>
  <c r="Z82" i="4"/>
  <c r="AQ83" i="4"/>
  <c r="Z83" i="4"/>
  <c r="AR90" i="4"/>
  <c r="AA90" i="4"/>
  <c r="BA95" i="4"/>
  <c r="AJ95" i="4"/>
  <c r="AX102" i="4"/>
  <c r="AG102" i="4"/>
  <c r="AZ110" i="4"/>
  <c r="AI110" i="4"/>
  <c r="AY115" i="4"/>
  <c r="AH115" i="4"/>
  <c r="AV39" i="4"/>
  <c r="AE39" i="4"/>
  <c r="AZ91" i="4"/>
  <c r="AI91" i="4"/>
  <c r="AO15" i="4"/>
  <c r="X15" i="4"/>
  <c r="AT42" i="4"/>
  <c r="AC42" i="4"/>
  <c r="AV68" i="4"/>
  <c r="AE68" i="4"/>
  <c r="AR92" i="4"/>
  <c r="AA92" i="4"/>
  <c r="AQ119" i="4"/>
  <c r="Z119" i="4"/>
  <c r="AT23" i="4"/>
  <c r="AC23" i="4"/>
  <c r="AO52" i="4"/>
  <c r="X52" i="4"/>
  <c r="AW80" i="4"/>
  <c r="AF80" i="4"/>
  <c r="AS104" i="4"/>
  <c r="AB104" i="4"/>
  <c r="BA8" i="4"/>
  <c r="AJ8" i="4"/>
  <c r="AS76" i="4"/>
  <c r="AB76" i="4"/>
  <c r="G10" i="4"/>
  <c r="AX28" i="4"/>
  <c r="AG28" i="4"/>
  <c r="AW58" i="4"/>
  <c r="AF58" i="4"/>
  <c r="AY79" i="4"/>
  <c r="AH79" i="4"/>
  <c r="BA107" i="4"/>
  <c r="AJ107" i="4"/>
  <c r="AV6" i="4"/>
  <c r="AE6" i="4"/>
  <c r="AO19" i="4"/>
  <c r="X19" i="4"/>
  <c r="AX32" i="4"/>
  <c r="AG32" i="4"/>
  <c r="AU71" i="4"/>
  <c r="AD71" i="4"/>
  <c r="AT86" i="4"/>
  <c r="AC86" i="4"/>
  <c r="AZ98" i="4"/>
  <c r="AI98" i="4"/>
  <c r="AS111" i="4"/>
  <c r="AB111" i="4"/>
  <c r="BA4" i="4"/>
  <c r="AJ4" i="4"/>
  <c r="L22" i="4"/>
  <c r="R34" i="4"/>
  <c r="BA42" i="4"/>
  <c r="AJ42" i="4"/>
  <c r="AW56" i="4"/>
  <c r="AF56" i="4"/>
  <c r="AU98" i="4"/>
  <c r="AD98" i="4"/>
  <c r="BA110" i="4"/>
  <c r="AJ110" i="4"/>
  <c r="AW2" i="4"/>
  <c r="AF2" i="4"/>
  <c r="AV7" i="4"/>
  <c r="AE7" i="4"/>
  <c r="AG15" i="4"/>
  <c r="AX15" i="4"/>
  <c r="AW20" i="4"/>
  <c r="AF20" i="4"/>
  <c r="AU28" i="4"/>
  <c r="AD28" i="4"/>
  <c r="N46" i="4"/>
  <c r="AV47" i="4"/>
  <c r="AE47" i="4"/>
  <c r="AS54" i="4"/>
  <c r="AB54" i="4"/>
  <c r="AU62" i="4"/>
  <c r="AD62" i="4"/>
  <c r="AT67" i="4"/>
  <c r="AC67" i="4"/>
  <c r="AR75" i="4"/>
  <c r="AA75" i="4"/>
  <c r="AQ80" i="4"/>
  <c r="Z80" i="4"/>
  <c r="AS88" i="4"/>
  <c r="AB88" i="4"/>
  <c r="AS102" i="4"/>
  <c r="AB102" i="4"/>
  <c r="AU110" i="4"/>
  <c r="AD110" i="4"/>
  <c r="AT115" i="4"/>
  <c r="AC115" i="4"/>
  <c r="AS3" i="4"/>
  <c r="AB3" i="4"/>
  <c r="AR8" i="4"/>
  <c r="AA8" i="4"/>
  <c r="AT16" i="4"/>
  <c r="AC16" i="4"/>
  <c r="AZ28" i="4"/>
  <c r="AI28" i="4"/>
  <c r="S46" i="4"/>
  <c r="AW47" i="4"/>
  <c r="AF47" i="4"/>
  <c r="AT54" i="4"/>
  <c r="AC54" i="4"/>
  <c r="AY63" i="4"/>
  <c r="AH63" i="4"/>
  <c r="AX68" i="4"/>
  <c r="AG68" i="4"/>
  <c r="AR76" i="4"/>
  <c r="AA76" i="4"/>
  <c r="AV90" i="4"/>
  <c r="AE90" i="4"/>
  <c r="AP98" i="4"/>
  <c r="Y98" i="4"/>
  <c r="AO103" i="4"/>
  <c r="X103" i="4"/>
  <c r="AQ111" i="4"/>
  <c r="Z111" i="4"/>
  <c r="AP116" i="4"/>
  <c r="Y116" i="4"/>
  <c r="AV104" i="4"/>
  <c r="AE104" i="4"/>
  <c r="AR80" i="4"/>
  <c r="AA80" i="4"/>
  <c r="AR52" i="4"/>
  <c r="AA52" i="4"/>
  <c r="AX26" i="4"/>
  <c r="AG26" i="4"/>
  <c r="AR119" i="4"/>
  <c r="AA119" i="4"/>
  <c r="AX67" i="4"/>
  <c r="AG67" i="4"/>
  <c r="R46" i="4"/>
  <c r="AO16" i="4"/>
  <c r="X16" i="4"/>
  <c r="AP99" i="4"/>
  <c r="Y99" i="4"/>
  <c r="AS62" i="4"/>
  <c r="AB62" i="4"/>
  <c r="BA32" i="4"/>
  <c r="AJ32" i="4"/>
  <c r="AO8" i="4"/>
  <c r="X8" i="4"/>
  <c r="S106" i="4"/>
  <c r="G82" i="4"/>
  <c r="AZ50" i="4"/>
  <c r="AI50" i="4"/>
  <c r="AU23" i="4"/>
  <c r="AD23" i="4"/>
  <c r="AS115" i="4"/>
  <c r="AB115" i="4"/>
  <c r="AO63" i="4"/>
  <c r="X63" i="4"/>
  <c r="BA11" i="4"/>
  <c r="AJ11" i="4"/>
  <c r="AY40" i="4"/>
  <c r="AH40" i="4"/>
  <c r="AY88" i="4"/>
  <c r="AH88" i="4"/>
  <c r="AO32" i="4"/>
  <c r="X32" i="4"/>
  <c r="O106" i="4"/>
  <c r="G58" i="4"/>
  <c r="J106" i="4"/>
  <c r="AO79" i="4"/>
  <c r="X79" i="4"/>
  <c r="BA55" i="4"/>
  <c r="AJ55" i="4"/>
  <c r="AT30" i="4"/>
  <c r="AC30" i="4"/>
  <c r="AZ4" i="4"/>
  <c r="AI4" i="4"/>
  <c r="AR79" i="4"/>
  <c r="AA79" i="4"/>
  <c r="AT58" i="4"/>
  <c r="AC58" i="4"/>
  <c r="AV27" i="4"/>
  <c r="AE27" i="4"/>
  <c r="AX119" i="4"/>
  <c r="AG119" i="4"/>
  <c r="AP71" i="4"/>
  <c r="Y71" i="4"/>
  <c r="AQ44" i="4"/>
  <c r="Z44" i="4"/>
  <c r="AW18" i="4"/>
  <c r="AF18" i="4"/>
  <c r="AV112" i="4"/>
  <c r="AE112" i="4"/>
  <c r="AW87" i="4"/>
  <c r="AF87" i="4"/>
  <c r="AW59" i="4"/>
  <c r="AF59" i="4"/>
  <c r="AY7" i="4"/>
  <c r="AH7" i="4"/>
  <c r="AO83" i="4"/>
  <c r="X83" i="4"/>
  <c r="AQ31" i="4"/>
  <c r="Z31" i="4"/>
  <c r="AY78" i="4"/>
  <c r="AH78" i="4"/>
  <c r="AU54" i="4"/>
  <c r="AD54" i="4"/>
  <c r="AT3" i="4"/>
  <c r="AC3" i="4"/>
  <c r="AY71" i="4"/>
  <c r="AH71" i="4"/>
  <c r="AU22" i="4"/>
  <c r="AD22" i="4"/>
  <c r="AR43" i="4"/>
  <c r="AA43" i="4"/>
  <c r="AP102" i="4"/>
  <c r="Y102" i="4"/>
  <c r="AH82" i="4"/>
  <c r="AY82" i="4"/>
  <c r="BA47" i="4"/>
  <c r="AJ47" i="4"/>
  <c r="AX115" i="4"/>
  <c r="AG115" i="4"/>
  <c r="AQ86" i="4"/>
  <c r="Z86" i="4"/>
  <c r="AR31" i="4"/>
  <c r="AA31" i="4"/>
  <c r="AT10" i="4"/>
  <c r="AR82" i="4"/>
  <c r="AA82" i="4"/>
  <c r="AS52" i="4"/>
  <c r="AB52" i="4"/>
  <c r="AX23" i="4"/>
  <c r="AG23" i="4"/>
  <c r="AZ116" i="4"/>
  <c r="AI116" i="4"/>
  <c r="AJ91" i="4"/>
  <c r="BA91" i="4"/>
  <c r="AY70" i="4"/>
  <c r="AH70" i="4"/>
  <c r="AZ40" i="4"/>
  <c r="AI40" i="4"/>
  <c r="AX14" i="4"/>
  <c r="AG14" i="4"/>
  <c r="AV98" i="4"/>
  <c r="AE98" i="4"/>
  <c r="AU6" i="4"/>
  <c r="AD6" i="4"/>
  <c r="AP27" i="4"/>
  <c r="Y27" i="4"/>
  <c r="AW43" i="4"/>
  <c r="AF43" i="4"/>
  <c r="AW119" i="4"/>
  <c r="AF119" i="4"/>
  <c r="AC20" i="4"/>
  <c r="AT20" i="4"/>
  <c r="AU114" i="4"/>
  <c r="AD114" i="4"/>
  <c r="AZ94" i="4"/>
  <c r="AO64" i="4"/>
  <c r="X64" i="4"/>
  <c r="Z38" i="4"/>
  <c r="AQ38" i="4"/>
  <c r="AZ87" i="4"/>
  <c r="AI87" i="4"/>
  <c r="AT55" i="4"/>
  <c r="AC55" i="4"/>
  <c r="AW28" i="4"/>
  <c r="AF28" i="4"/>
  <c r="AX3" i="4"/>
  <c r="AG3" i="4"/>
  <c r="AY95" i="4"/>
  <c r="AH95" i="4"/>
  <c r="AZ68" i="4"/>
  <c r="AI68" i="4"/>
  <c r="BA43" i="4"/>
  <c r="AJ43" i="4"/>
  <c r="AY22" i="4"/>
  <c r="AH22" i="4"/>
  <c r="AX104" i="4"/>
  <c r="AG104" i="4"/>
  <c r="AQ51" i="4"/>
  <c r="Z51" i="4"/>
  <c r="AV2" i="4"/>
  <c r="AE2" i="4"/>
  <c r="AT31" i="4"/>
  <c r="AC31" i="4"/>
  <c r="AO90" i="4"/>
  <c r="X90" i="4"/>
  <c r="AZ102" i="4"/>
  <c r="AI102" i="4"/>
  <c r="AR54" i="4"/>
  <c r="AA54" i="4"/>
  <c r="AU102" i="4"/>
  <c r="AD102" i="4"/>
  <c r="R82" i="4"/>
  <c r="BA90" i="4"/>
  <c r="AJ90" i="4"/>
  <c r="AW104" i="4"/>
  <c r="AF104" i="4"/>
  <c r="AX11" i="4"/>
  <c r="AG11" i="4"/>
  <c r="AY18" i="4"/>
  <c r="AH18" i="4"/>
  <c r="AW26" i="4"/>
  <c r="AF26" i="4"/>
  <c r="AV31" i="4"/>
  <c r="AE31" i="4"/>
  <c r="AG39" i="4"/>
  <c r="AX39" i="4"/>
  <c r="AW44" i="4"/>
  <c r="AF44" i="4"/>
  <c r="AU52" i="4"/>
  <c r="AD52" i="4"/>
  <c r="AV71" i="4"/>
  <c r="AE71" i="4"/>
  <c r="AS78" i="4"/>
  <c r="AB78" i="4"/>
  <c r="AU86" i="4"/>
  <c r="AD86" i="4"/>
  <c r="AT91" i="4"/>
  <c r="AC91" i="4"/>
  <c r="AR99" i="4"/>
  <c r="AA99" i="4"/>
  <c r="AQ104" i="4"/>
  <c r="Z104" i="4"/>
  <c r="AB112" i="4"/>
  <c r="AS112" i="4"/>
  <c r="AQ11" i="4"/>
  <c r="Z11" i="4"/>
  <c r="AR18" i="4"/>
  <c r="AA18" i="4"/>
  <c r="BA23" i="4"/>
  <c r="AJ23" i="4"/>
  <c r="AG30" i="4"/>
  <c r="AX30" i="4"/>
  <c r="AZ38" i="4"/>
  <c r="AI38" i="4"/>
  <c r="AY43" i="4"/>
  <c r="AH43" i="4"/>
  <c r="AS51" i="4"/>
  <c r="AB51" i="4"/>
  <c r="AR56" i="4"/>
  <c r="AA56" i="4"/>
  <c r="AT64" i="4"/>
  <c r="AC64" i="4"/>
  <c r="AZ76" i="4"/>
  <c r="AI76" i="4"/>
  <c r="AJ94" i="4"/>
  <c r="AW95" i="4"/>
  <c r="AF95" i="4"/>
  <c r="AT102" i="4"/>
  <c r="AC102" i="4"/>
  <c r="AV110" i="4"/>
  <c r="AE110" i="4"/>
  <c r="AU115" i="4"/>
  <c r="AD115" i="4"/>
  <c r="H22" i="4"/>
  <c r="AT71" i="4"/>
  <c r="AC71" i="4"/>
  <c r="AT62" i="4"/>
  <c r="AC62" i="4"/>
  <c r="AP86" i="4"/>
  <c r="Y86" i="4"/>
  <c r="AR112" i="4"/>
  <c r="AA112" i="4"/>
  <c r="AU16" i="4"/>
  <c r="AD16" i="4"/>
  <c r="AF42" i="4"/>
  <c r="AW42" i="4"/>
  <c r="AU74" i="4"/>
  <c r="AD74" i="4"/>
  <c r="AP103" i="4"/>
  <c r="Y103" i="4"/>
  <c r="AX7" i="4"/>
  <c r="AG7" i="4"/>
  <c r="AU64" i="4"/>
  <c r="AD64" i="4"/>
  <c r="AV115" i="4"/>
  <c r="AE115" i="4"/>
  <c r="AV20" i="4"/>
  <c r="AE20" i="4"/>
  <c r="AR44" i="4"/>
  <c r="AA44" i="4"/>
  <c r="AQ71" i="4"/>
  <c r="Z71" i="4"/>
  <c r="G106" i="4"/>
  <c r="AU3" i="4"/>
  <c r="AD3" i="4"/>
  <c r="BA15" i="4"/>
  <c r="AJ15" i="4"/>
  <c r="AW34" i="4"/>
  <c r="AF34" i="4"/>
  <c r="AP42" i="4"/>
  <c r="Y42" i="4"/>
  <c r="AV54" i="4"/>
  <c r="AE54" i="4"/>
  <c r="AO67" i="4"/>
  <c r="X67" i="4"/>
  <c r="AX80" i="4"/>
  <c r="AG80" i="4"/>
  <c r="AU119" i="4"/>
  <c r="AD119" i="4"/>
  <c r="AS14" i="4"/>
  <c r="AB14" i="4"/>
  <c r="AY26" i="4"/>
  <c r="AH26" i="4"/>
  <c r="AZ39" i="4"/>
  <c r="AI39" i="4"/>
  <c r="AO66" i="4"/>
  <c r="X66" i="4"/>
  <c r="AU78" i="4"/>
  <c r="AD78" i="4"/>
  <c r="AV91" i="4"/>
  <c r="AE91" i="4"/>
  <c r="AO6" i="4"/>
  <c r="X6" i="4"/>
  <c r="AQ14" i="4"/>
  <c r="Z14" i="4"/>
  <c r="AP19" i="4"/>
  <c r="Y19" i="4"/>
  <c r="BA26" i="4"/>
  <c r="AJ26" i="4"/>
  <c r="AZ31" i="4"/>
  <c r="AI31" i="4"/>
  <c r="X40" i="4"/>
  <c r="AO40" i="4"/>
  <c r="BA44" i="4"/>
  <c r="AJ44" i="4"/>
  <c r="AY52" i="4"/>
  <c r="AH52" i="4"/>
  <c r="AZ71" i="4"/>
  <c r="AI71" i="4"/>
  <c r="AW78" i="4"/>
  <c r="AF78" i="4"/>
  <c r="AY86" i="4"/>
  <c r="AH86" i="4"/>
  <c r="AX91" i="4"/>
  <c r="AG91" i="4"/>
  <c r="AV99" i="4"/>
  <c r="AE99" i="4"/>
  <c r="AU104" i="4"/>
  <c r="AD104" i="4"/>
  <c r="AW112" i="4"/>
  <c r="AF112" i="4"/>
  <c r="AU10" i="4"/>
  <c r="AD10" i="4"/>
  <c r="AU11" i="4"/>
  <c r="AD11" i="4"/>
  <c r="AE18" i="4"/>
  <c r="AV18" i="4"/>
  <c r="AP26" i="4"/>
  <c r="Y26" i="4"/>
  <c r="X31" i="4"/>
  <c r="AO31" i="4"/>
  <c r="AQ39" i="4"/>
  <c r="Z39" i="4"/>
  <c r="AP44" i="4"/>
  <c r="Y44" i="4"/>
  <c r="AW51" i="4"/>
  <c r="AF51" i="4"/>
  <c r="AV56" i="4"/>
  <c r="AE56" i="4"/>
  <c r="BA70" i="4"/>
  <c r="AJ70" i="4"/>
  <c r="AW71" i="4"/>
  <c r="AF71" i="4"/>
  <c r="AT78" i="4"/>
  <c r="AC78" i="4"/>
  <c r="AV86" i="4"/>
  <c r="AE86" i="4"/>
  <c r="AU91" i="4"/>
  <c r="AD91" i="4"/>
  <c r="X99" i="4"/>
  <c r="AO99" i="4"/>
  <c r="AJ103" i="4"/>
  <c r="BA103" i="4"/>
  <c r="AP112" i="4"/>
  <c r="Y112" i="4"/>
  <c r="AO100" i="4"/>
  <c r="X100" i="4"/>
  <c r="BA19" i="4"/>
  <c r="AJ19" i="4"/>
  <c r="AY51" i="4"/>
  <c r="AH51" i="4"/>
  <c r="AU75" i="4"/>
  <c r="AD75" i="4"/>
  <c r="AT100" i="4"/>
  <c r="AC100" i="4"/>
  <c r="AY30" i="4"/>
  <c r="AH30" i="4"/>
  <c r="BA56" i="4"/>
  <c r="AJ56" i="4"/>
  <c r="AV87" i="4"/>
  <c r="AE87" i="4"/>
  <c r="AR111" i="4"/>
  <c r="AA111" i="4"/>
  <c r="AQ30" i="4"/>
  <c r="Z30" i="4"/>
  <c r="AR83" i="4"/>
  <c r="AA83" i="4"/>
  <c r="AS59" i="4"/>
  <c r="AB59" i="4"/>
  <c r="BA87" i="4"/>
  <c r="AJ87" i="4"/>
  <c r="AP114" i="4"/>
  <c r="Y114" i="4"/>
  <c r="BA35" i="4"/>
  <c r="AJ35" i="4"/>
  <c r="AR50" i="4"/>
  <c r="AA50" i="4"/>
  <c r="AX62" i="4"/>
  <c r="AG62" i="4"/>
  <c r="AT76" i="4"/>
  <c r="AC76" i="4"/>
  <c r="AZ88" i="4"/>
  <c r="AI88" i="4"/>
  <c r="Q118" i="4"/>
  <c r="AT7" i="4"/>
  <c r="AC7" i="4"/>
  <c r="AZ19" i="4"/>
  <c r="AI19" i="4"/>
  <c r="AS32" i="4"/>
  <c r="AB32" i="4"/>
  <c r="AZ59" i="4"/>
  <c r="AI59" i="4"/>
  <c r="AQ74" i="4"/>
  <c r="Z74" i="4"/>
  <c r="AR87" i="4"/>
  <c r="AA87" i="4"/>
  <c r="BA100" i="4"/>
  <c r="AJ100" i="4"/>
  <c r="L118" i="4"/>
  <c r="AZ3" i="4"/>
  <c r="AI3" i="4"/>
  <c r="AY8" i="4"/>
  <c r="AH8" i="4"/>
  <c r="BA16" i="4"/>
  <c r="AJ16" i="4"/>
  <c r="AX34" i="4"/>
  <c r="AG34" i="4"/>
  <c r="AX35" i="4"/>
  <c r="AG35" i="4"/>
  <c r="AY42" i="4"/>
  <c r="AH42" i="4"/>
  <c r="AW50" i="4"/>
  <c r="AF50" i="4"/>
  <c r="AV55" i="4"/>
  <c r="AE55" i="4"/>
  <c r="AG63" i="4"/>
  <c r="AX63" i="4"/>
  <c r="AW68" i="4"/>
  <c r="AF68" i="4"/>
  <c r="AU76" i="4"/>
  <c r="AD76" i="4"/>
  <c r="AV95" i="4"/>
  <c r="AE95" i="4"/>
  <c r="AV103" i="4"/>
  <c r="AE103" i="4"/>
  <c r="AX111" i="4"/>
  <c r="AG111" i="4"/>
  <c r="AW116" i="4"/>
  <c r="AF116" i="4"/>
  <c r="AV4" i="4"/>
  <c r="AE4" i="4"/>
  <c r="O22" i="4"/>
  <c r="AS23" i="4"/>
  <c r="AB23" i="4"/>
  <c r="Y30" i="4"/>
  <c r="AP30" i="4"/>
  <c r="AR38" i="4"/>
  <c r="AA38" i="4"/>
  <c r="AQ43" i="4"/>
  <c r="Z43" i="4"/>
  <c r="AX50" i="4"/>
  <c r="AG50" i="4"/>
  <c r="AW55" i="4"/>
  <c r="AF55" i="4"/>
  <c r="G70" i="4"/>
  <c r="M82" i="4"/>
  <c r="AU83" i="4"/>
  <c r="AD83" i="4"/>
  <c r="AY91" i="4"/>
  <c r="AH91" i="4"/>
  <c r="AS99" i="4"/>
  <c r="AB99" i="4"/>
  <c r="AR104" i="4"/>
  <c r="AA104" i="4"/>
  <c r="AC112" i="4"/>
  <c r="AT112" i="4"/>
  <c r="AW99" i="4"/>
  <c r="AF99" i="4"/>
  <c r="AS75" i="4"/>
  <c r="AB75" i="4"/>
  <c r="AX44" i="4"/>
  <c r="AG44" i="4"/>
  <c r="AQ19" i="4"/>
  <c r="Z19" i="4"/>
  <c r="J118" i="4"/>
  <c r="AW88" i="4"/>
  <c r="AF88" i="4"/>
  <c r="AH62" i="4"/>
  <c r="AY62" i="4"/>
  <c r="AZ7" i="4"/>
  <c r="AI7" i="4"/>
  <c r="AV83" i="4"/>
  <c r="AE83" i="4"/>
  <c r="AY54" i="4"/>
  <c r="AH54" i="4"/>
  <c r="AO28" i="4"/>
  <c r="X28" i="4"/>
  <c r="AP3" i="4"/>
  <c r="Y3" i="4"/>
  <c r="AQ95" i="4"/>
  <c r="Z95" i="4"/>
  <c r="AR68" i="4"/>
  <c r="AA68" i="4"/>
  <c r="AS43" i="4"/>
  <c r="AB43" i="4"/>
  <c r="AU103" i="4"/>
  <c r="AD103" i="4"/>
  <c r="AU47" i="4"/>
  <c r="AD47" i="4"/>
  <c r="AV30" i="4"/>
  <c r="AE30" i="4"/>
  <c r="AV19" i="4"/>
  <c r="AE19" i="4"/>
  <c r="BA76" i="4"/>
  <c r="AJ76" i="4"/>
  <c r="BA18" i="4"/>
  <c r="AJ18" i="4"/>
  <c r="AV88" i="4"/>
  <c r="AE88" i="4"/>
  <c r="AX38" i="4"/>
  <c r="AG38" i="4"/>
  <c r="AU111" i="4"/>
  <c r="AD111" i="4"/>
  <c r="AS103" i="4"/>
  <c r="AB103" i="4"/>
  <c r="Y74" i="4"/>
  <c r="AP74" i="4"/>
  <c r="AO51" i="4"/>
  <c r="X51" i="4"/>
  <c r="AW23" i="4"/>
  <c r="AF23" i="4"/>
  <c r="BA116" i="4"/>
  <c r="AJ116" i="4"/>
  <c r="AS74" i="4"/>
  <c r="AB74" i="4"/>
  <c r="AX19" i="4"/>
  <c r="AG19" i="4"/>
  <c r="AR107" i="4"/>
  <c r="AA107" i="4"/>
  <c r="AT70" i="4"/>
  <c r="AC70" i="4"/>
  <c r="AR39" i="4"/>
  <c r="AA39" i="4"/>
  <c r="AZ11" i="4"/>
  <c r="AI11" i="4"/>
  <c r="AP80" i="4"/>
  <c r="Y80" i="4"/>
  <c r="AZ2" i="4"/>
  <c r="AI2" i="4"/>
  <c r="AS19" i="4"/>
  <c r="AB19" i="4"/>
  <c r="AO62" i="4"/>
  <c r="X62" i="4"/>
  <c r="AG95" i="4"/>
  <c r="AX95" i="4"/>
  <c r="AO111" i="4"/>
  <c r="X111" i="4"/>
  <c r="BA59" i="4"/>
  <c r="AJ59" i="4"/>
  <c r="AT4" i="4"/>
  <c r="AC4" i="4"/>
  <c r="AZ15" i="4"/>
  <c r="AI15" i="4"/>
  <c r="AS95" i="4"/>
  <c r="AB95" i="4"/>
  <c r="AO71" i="4"/>
  <c r="X71" i="4"/>
  <c r="AR42" i="4"/>
  <c r="AA42" i="4"/>
  <c r="AX16" i="4"/>
  <c r="AG16" i="4"/>
  <c r="AY110" i="4"/>
  <c r="AH110" i="4"/>
  <c r="AO78" i="4"/>
  <c r="X78" i="4"/>
  <c r="Z52" i="4"/>
  <c r="AQ52" i="4"/>
  <c r="AB26" i="4"/>
  <c r="AS26" i="4"/>
  <c r="AU116" i="4"/>
  <c r="AD116" i="4"/>
  <c r="AV43" i="4"/>
  <c r="AE43" i="4"/>
  <c r="AO18" i="4"/>
  <c r="X18" i="4"/>
  <c r="BA111" i="4"/>
  <c r="AJ111" i="4"/>
  <c r="AO87" i="4"/>
  <c r="X87" i="4"/>
  <c r="AO59" i="4"/>
  <c r="X59" i="4"/>
  <c r="AQ7" i="4"/>
  <c r="Z7" i="4"/>
  <c r="S34" i="4"/>
  <c r="AV82" i="4"/>
  <c r="AE82" i="4"/>
  <c r="AV67" i="4"/>
  <c r="AE67" i="4"/>
  <c r="AO14" i="4"/>
  <c r="X14" i="4"/>
  <c r="K34" i="4"/>
  <c r="AP55" i="4"/>
  <c r="Y55" i="4"/>
  <c r="AT88" i="4"/>
  <c r="AC88" i="4"/>
  <c r="AP64" i="4"/>
  <c r="Y64" i="4"/>
  <c r="AO46" i="4"/>
  <c r="X46" i="4"/>
  <c r="AU15" i="4"/>
  <c r="AD15" i="4"/>
  <c r="AT107" i="4"/>
  <c r="AC107" i="4"/>
  <c r="AZ55" i="4"/>
  <c r="AI55" i="4"/>
  <c r="AO30" i="4"/>
  <c r="X30" i="4"/>
  <c r="Z4" i="4"/>
  <c r="AQ4" i="4"/>
  <c r="AT75" i="4"/>
  <c r="AC75" i="4"/>
  <c r="AU50" i="4"/>
  <c r="AD50" i="4"/>
  <c r="AO115" i="4"/>
  <c r="X115" i="4"/>
  <c r="AP90" i="4"/>
  <c r="Y90" i="4"/>
  <c r="BA63" i="4"/>
  <c r="AJ63" i="4"/>
  <c r="AO39" i="4"/>
  <c r="X39" i="4"/>
  <c r="AO11" i="4"/>
  <c r="X11" i="4"/>
  <c r="AT90" i="4"/>
  <c r="AC90" i="4"/>
  <c r="AP38" i="4"/>
  <c r="Y38" i="4"/>
  <c r="AQ88" i="4"/>
  <c r="Z88" i="4"/>
  <c r="AQ78" i="4"/>
  <c r="Z78" i="4"/>
  <c r="AQ20" i="4"/>
  <c r="Z20" i="4"/>
  <c r="BA39" i="4"/>
  <c r="AJ39" i="4"/>
  <c r="AT94" i="4"/>
  <c r="AC94" i="4"/>
  <c r="AS80" i="4"/>
  <c r="AB80" i="4"/>
  <c r="AZ107" i="4"/>
  <c r="AI107" i="4"/>
  <c r="AO2" i="4"/>
  <c r="X2" i="4"/>
  <c r="S74" i="14" s="1"/>
  <c r="BA6" i="4"/>
  <c r="AJ6" i="4"/>
  <c r="AP15" i="4"/>
  <c r="Y15" i="4"/>
  <c r="AO20" i="4"/>
  <c r="X20" i="4"/>
  <c r="AI27" i="4"/>
  <c r="AZ27" i="4"/>
  <c r="AY32" i="4"/>
  <c r="AH32" i="4"/>
  <c r="BA40" i="4"/>
  <c r="AJ40" i="4"/>
  <c r="AX59" i="4"/>
  <c r="AG59" i="4"/>
  <c r="AY66" i="4"/>
  <c r="AH66" i="4"/>
  <c r="AW74" i="4"/>
  <c r="AF74" i="4"/>
  <c r="AV79" i="4"/>
  <c r="AE79" i="4"/>
  <c r="AX87" i="4"/>
  <c r="AG87" i="4"/>
  <c r="AW92" i="4"/>
  <c r="AF92" i="4"/>
  <c r="AU100" i="4"/>
  <c r="AD100" i="4"/>
  <c r="AV118" i="4"/>
  <c r="AV119" i="4"/>
  <c r="AE119" i="4"/>
  <c r="AT6" i="4"/>
  <c r="AC6" i="4"/>
  <c r="AV14" i="4"/>
  <c r="AE14" i="4"/>
  <c r="AD19" i="4"/>
  <c r="AU19" i="4"/>
  <c r="AO27" i="4"/>
  <c r="X27" i="4"/>
  <c r="BA31" i="4"/>
  <c r="AJ31" i="4"/>
  <c r="AP40" i="4"/>
  <c r="Y40" i="4"/>
  <c r="AV52" i="4"/>
  <c r="AE52" i="4"/>
  <c r="AB71" i="4"/>
  <c r="AS71" i="4"/>
  <c r="AP78" i="4"/>
  <c r="Y78" i="4"/>
  <c r="AR86" i="4"/>
  <c r="AA86" i="4"/>
  <c r="AQ91" i="4"/>
  <c r="Z91" i="4"/>
  <c r="AX98" i="4"/>
  <c r="AG98" i="4"/>
  <c r="AW103" i="4"/>
  <c r="AF103" i="4"/>
  <c r="AY111" i="4"/>
  <c r="AH111" i="4"/>
  <c r="AX116" i="4"/>
  <c r="AG116" i="4"/>
  <c r="AW90" i="4"/>
  <c r="AF90" i="4"/>
  <c r="AS11" i="4"/>
  <c r="AB11" i="4"/>
  <c r="AS67" i="4"/>
  <c r="AB67" i="4"/>
  <c r="AO91" i="4"/>
  <c r="X91" i="4"/>
  <c r="AY50" i="4"/>
  <c r="AH50" i="4"/>
  <c r="AT79" i="4"/>
  <c r="AC79" i="4"/>
  <c r="AO110" i="4"/>
  <c r="X110" i="4"/>
  <c r="AY20" i="4"/>
  <c r="AH20" i="4"/>
  <c r="AY3" i="4"/>
  <c r="AH3" i="4"/>
  <c r="AU27" i="4"/>
  <c r="AD27" i="4"/>
  <c r="AT52" i="4"/>
  <c r="AC52" i="4"/>
  <c r="AV78" i="4"/>
  <c r="AE78" i="4"/>
  <c r="AT18" i="4"/>
  <c r="AC18" i="4"/>
  <c r="AP32" i="4"/>
  <c r="Y32" i="4"/>
  <c r="AV44" i="4"/>
  <c r="AE44" i="4"/>
  <c r="BA83" i="4"/>
  <c r="AJ83" i="4"/>
  <c r="AR98" i="4"/>
  <c r="AA98" i="4"/>
  <c r="AX110" i="4"/>
  <c r="AG110" i="4"/>
  <c r="AS4" i="4"/>
  <c r="AB4" i="4"/>
  <c r="AY16" i="4"/>
  <c r="AH16" i="4"/>
  <c r="J34" i="4"/>
  <c r="AS42" i="4"/>
  <c r="AB42" i="4"/>
  <c r="AO56" i="4"/>
  <c r="X56" i="4"/>
  <c r="AU68" i="4"/>
  <c r="AD68" i="4"/>
  <c r="AJ80" i="4"/>
  <c r="BA80" i="4"/>
  <c r="AT95" i="4"/>
  <c r="AC95" i="4"/>
  <c r="AS110" i="4"/>
  <c r="AB110" i="4"/>
  <c r="AB2" i="4"/>
  <c r="AS2" i="4"/>
  <c r="AR7" i="4"/>
  <c r="AA7" i="4"/>
  <c r="AT15" i="4"/>
  <c r="AC15" i="4"/>
  <c r="AS20" i="4"/>
  <c r="AB20" i="4"/>
  <c r="Z28" i="4"/>
  <c r="AQ28" i="4"/>
  <c r="AA47" i="4"/>
  <c r="AR47" i="4"/>
  <c r="AO54" i="4"/>
  <c r="X54" i="4"/>
  <c r="AQ62" i="4"/>
  <c r="Z62" i="4"/>
  <c r="AP67" i="4"/>
  <c r="Y67" i="4"/>
  <c r="BA74" i="4"/>
  <c r="AJ74" i="4"/>
  <c r="AZ79" i="4"/>
  <c r="AI79" i="4"/>
  <c r="AO88" i="4"/>
  <c r="X88" i="4"/>
  <c r="BA92" i="4"/>
  <c r="AJ92" i="4"/>
  <c r="AY100" i="4"/>
  <c r="AH100" i="4"/>
  <c r="AZ118" i="4"/>
  <c r="AI118" i="4"/>
  <c r="AZ119" i="4"/>
  <c r="AI119" i="4"/>
  <c r="AX6" i="4"/>
  <c r="AG6" i="4"/>
  <c r="AZ14" i="4"/>
  <c r="AI14" i="4"/>
  <c r="AY19" i="4"/>
  <c r="AH19" i="4"/>
  <c r="AS27" i="4"/>
  <c r="AB27" i="4"/>
  <c r="AR32" i="4"/>
  <c r="AA32" i="4"/>
  <c r="AT40" i="4"/>
  <c r="AC40" i="4"/>
  <c r="AZ52" i="4"/>
  <c r="AI52" i="4"/>
  <c r="AQ67" i="4"/>
  <c r="Z67" i="4"/>
  <c r="AX74" i="4"/>
  <c r="AG74" i="4"/>
  <c r="AW79" i="4"/>
  <c r="AF79" i="4"/>
  <c r="AY87" i="4"/>
  <c r="AH87" i="4"/>
  <c r="AX92" i="4"/>
  <c r="AG92" i="4"/>
  <c r="AR100" i="4"/>
  <c r="AA100" i="4"/>
  <c r="AO119" i="4"/>
  <c r="X119" i="4"/>
  <c r="R58" i="4"/>
  <c r="BA104" i="4"/>
  <c r="AJ104" i="4"/>
  <c r="AP28" i="4"/>
  <c r="Y28" i="4"/>
  <c r="AX56" i="4"/>
  <c r="AG56" i="4"/>
  <c r="AT80" i="4"/>
  <c r="AC80" i="4"/>
  <c r="AV11" i="4"/>
  <c r="AE11" i="4"/>
  <c r="BA38" i="4"/>
  <c r="AJ38" i="4"/>
  <c r="AS66" i="4"/>
  <c r="AB66" i="4"/>
  <c r="AU92" i="4"/>
  <c r="AD92" i="4"/>
  <c r="AQ116" i="4"/>
  <c r="Z116" i="4"/>
  <c r="AZ111" i="4"/>
  <c r="AI111" i="4"/>
  <c r="AZ16" i="4"/>
  <c r="AI16" i="4"/>
  <c r="AV40" i="4"/>
  <c r="AE40" i="4"/>
  <c r="AX66" i="4"/>
  <c r="AG66" i="4"/>
  <c r="AI92" i="4"/>
  <c r="AZ92" i="4"/>
  <c r="AY119" i="4"/>
  <c r="AH119" i="4"/>
  <c r="AP14" i="4"/>
  <c r="Y14" i="4"/>
  <c r="AY27" i="4"/>
  <c r="AH27" i="4"/>
  <c r="AR40" i="4"/>
  <c r="AA40" i="4"/>
  <c r="AX52" i="4"/>
  <c r="AG52" i="4"/>
  <c r="I70" i="4"/>
  <c r="AZ78" i="4"/>
  <c r="AI78" i="4"/>
  <c r="AS91" i="4"/>
  <c r="AB91" i="4"/>
  <c r="AY103" i="4"/>
  <c r="AH103" i="4"/>
  <c r="AR116" i="4"/>
  <c r="AA116" i="4"/>
  <c r="AP23" i="4"/>
  <c r="Y23" i="4"/>
  <c r="AO38" i="4"/>
  <c r="X38" i="4"/>
  <c r="AX51" i="4"/>
  <c r="AG51" i="4"/>
  <c r="AQ64" i="4"/>
  <c r="Z64" i="4"/>
  <c r="AW76" i="4"/>
  <c r="AF76" i="4"/>
  <c r="P94" i="4"/>
  <c r="AT103" i="4"/>
  <c r="AC103" i="4"/>
  <c r="AZ115" i="4"/>
  <c r="AI115" i="4"/>
  <c r="H10" i="4"/>
  <c r="AP11" i="4"/>
  <c r="Y11" i="4"/>
  <c r="AQ18" i="4"/>
  <c r="Z18" i="4"/>
  <c r="AO26" i="4"/>
  <c r="X26" i="4"/>
  <c r="S76" i="14" s="1"/>
  <c r="BA30" i="4"/>
  <c r="AJ30" i="4"/>
  <c r="Y39" i="4"/>
  <c r="AP39" i="4"/>
  <c r="AO44" i="4"/>
  <c r="X44" i="4"/>
  <c r="AZ51" i="4"/>
  <c r="AI51" i="4"/>
  <c r="AY56" i="4"/>
  <c r="AH56" i="4"/>
  <c r="BA64" i="4"/>
  <c r="AJ64" i="4"/>
  <c r="P82" i="4"/>
  <c r="AG83" i="4"/>
  <c r="AX83" i="4"/>
  <c r="AY90" i="4"/>
  <c r="AH90" i="4"/>
  <c r="AZ99" i="4"/>
  <c r="AI99" i="4"/>
  <c r="AY104" i="4"/>
  <c r="AH104" i="4"/>
  <c r="BA112" i="4"/>
  <c r="AJ112" i="4"/>
  <c r="Q10" i="4"/>
  <c r="AY11" i="4"/>
  <c r="AH11" i="4"/>
  <c r="AZ18" i="4"/>
  <c r="AI18" i="4"/>
  <c r="AC26" i="4"/>
  <c r="AT26" i="4"/>
  <c r="AS31" i="4"/>
  <c r="AB31" i="4"/>
  <c r="AU39" i="4"/>
  <c r="AD39" i="4"/>
  <c r="AC44" i="4"/>
  <c r="AT44" i="4"/>
  <c r="BA51" i="4"/>
  <c r="AJ51" i="4"/>
  <c r="AZ56" i="4"/>
  <c r="AI56" i="4"/>
  <c r="AR66" i="4"/>
  <c r="AA66" i="4"/>
  <c r="BA71" i="4"/>
  <c r="AJ71" i="4"/>
  <c r="AX78" i="4"/>
  <c r="AG78" i="4"/>
  <c r="AP88" i="4"/>
  <c r="Y88" i="4"/>
  <c r="AV100" i="4"/>
  <c r="AE100" i="4"/>
  <c r="AS119" i="4"/>
  <c r="AB119" i="4"/>
  <c r="AP92" i="4"/>
  <c r="Y92" i="4"/>
  <c r="AY67" i="4"/>
  <c r="AH67" i="4"/>
  <c r="AH39" i="4"/>
  <c r="AY39" i="4"/>
  <c r="AR14" i="4"/>
  <c r="AA14" i="4"/>
  <c r="AU80" i="4"/>
  <c r="AD80" i="4"/>
  <c r="AW54" i="4"/>
  <c r="AF54" i="4"/>
  <c r="AH28" i="4"/>
  <c r="AY28" i="4"/>
  <c r="BA2" i="4"/>
  <c r="AJ2" i="4"/>
  <c r="AY74" i="4"/>
  <c r="AH74" i="4"/>
  <c r="AT47" i="4"/>
  <c r="AC47" i="4"/>
  <c r="AU20" i="4"/>
  <c r="AD20" i="4"/>
  <c r="AT114" i="4"/>
  <c r="AC114" i="4"/>
  <c r="M94" i="4"/>
  <c r="AS63" i="4"/>
  <c r="AB63" i="4"/>
  <c r="AT38" i="4"/>
  <c r="AC38" i="4"/>
  <c r="I94" i="4"/>
  <c r="AW35" i="4"/>
  <c r="AF35" i="4"/>
  <c r="BA86" i="4"/>
  <c r="AJ86" i="4"/>
  <c r="AT119" i="4"/>
  <c r="AC119" i="4"/>
  <c r="AW62" i="4"/>
  <c r="AF62" i="4"/>
  <c r="AP7" i="4"/>
  <c r="Y7" i="4"/>
  <c r="AX76" i="4"/>
  <c r="AG76" i="4"/>
  <c r="AX47" i="4"/>
  <c r="AG47" i="4"/>
  <c r="AT98" i="4"/>
  <c r="AC98" i="4"/>
  <c r="AE66" i="4"/>
  <c r="AV66" i="4"/>
  <c r="AD43" i="4"/>
  <c r="AU43" i="4"/>
  <c r="AO112" i="4"/>
  <c r="X112" i="4"/>
  <c r="AS92" i="4"/>
  <c r="AB92" i="4"/>
  <c r="AU66" i="4"/>
  <c r="AD66" i="4"/>
  <c r="AF40" i="4"/>
  <c r="AW40" i="4"/>
  <c r="AH14" i="4"/>
  <c r="AY14" i="4"/>
  <c r="AY92" i="4"/>
  <c r="AH92" i="4"/>
  <c r="Y31" i="4"/>
  <c r="AP31" i="4"/>
  <c r="AQ6" i="4"/>
  <c r="Z6" i="4"/>
  <c r="AP100" i="4"/>
  <c r="Y100" i="4"/>
  <c r="AQ75" i="4"/>
  <c r="Z75" i="4"/>
  <c r="AQ47" i="4"/>
  <c r="Z47" i="4"/>
  <c r="AR20" i="4"/>
  <c r="AA20" i="4"/>
  <c r="AW111" i="4"/>
  <c r="AF111" i="4"/>
  <c r="AP56" i="4"/>
  <c r="Y56" i="4"/>
  <c r="AU7" i="4"/>
  <c r="AD7" i="4"/>
  <c r="AS18" i="4"/>
  <c r="AB18" i="4"/>
  <c r="AZ83" i="4"/>
  <c r="AI83" i="4"/>
  <c r="AS28" i="4"/>
  <c r="AB28" i="4"/>
  <c r="AU95" i="4"/>
  <c r="AD95" i="4"/>
  <c r="AZ44" i="4"/>
  <c r="AI44" i="4"/>
  <c r="AP95" i="4"/>
  <c r="Y95" i="4"/>
  <c r="AQ115" i="4"/>
  <c r="Z115" i="4"/>
  <c r="AQ35" i="4"/>
  <c r="Z35" i="4"/>
  <c r="AV8" i="4"/>
  <c r="AE8" i="4"/>
  <c r="AW102" i="4"/>
  <c r="AF102" i="4"/>
  <c r="AA71" i="4"/>
  <c r="AR71" i="4"/>
  <c r="AS44" i="4"/>
  <c r="AB44" i="4"/>
  <c r="AU18" i="4"/>
  <c r="AD18" i="4"/>
  <c r="AO104" i="4"/>
  <c r="X104" i="4"/>
  <c r="AY64" i="4"/>
  <c r="AH64" i="4"/>
  <c r="AW38" i="4"/>
  <c r="AF38" i="4"/>
  <c r="AR11" i="4"/>
  <c r="AA11" i="4"/>
  <c r="AT104" i="4"/>
  <c r="AC104" i="4"/>
  <c r="AU79" i="4"/>
  <c r="AD79" i="4"/>
  <c r="AS58" i="4"/>
  <c r="AB58" i="4"/>
  <c r="AT28" i="4"/>
  <c r="AC28" i="4"/>
  <c r="AR2" i="4"/>
  <c r="AA2" i="4"/>
  <c r="BA67" i="4"/>
  <c r="AJ67" i="4"/>
  <c r="AP18" i="4"/>
  <c r="Y18" i="4"/>
  <c r="AV59" i="4"/>
  <c r="AE59" i="4"/>
  <c r="AZ106" i="4"/>
  <c r="AI106" i="4"/>
  <c r="J58" i="4"/>
  <c r="AQ2" i="4"/>
  <c r="Z2" i="4"/>
  <c r="AR16" i="4"/>
  <c r="AA16" i="4"/>
  <c r="AO42" i="4"/>
  <c r="X42" i="4"/>
  <c r="AU59" i="4"/>
  <c r="AD59" i="4"/>
  <c r="AZ32" i="4"/>
  <c r="AI32" i="4"/>
  <c r="AS7" i="4"/>
  <c r="AB7" i="4"/>
  <c r="AY76" i="4"/>
  <c r="AH76" i="4"/>
  <c r="BA50" i="4"/>
  <c r="AJ50" i="4"/>
  <c r="AA23" i="4"/>
  <c r="AR23" i="4"/>
  <c r="AO114" i="4"/>
  <c r="X114" i="4"/>
  <c r="AZ67" i="4"/>
  <c r="AI67" i="4"/>
  <c r="AX46" i="4"/>
  <c r="AG46" i="4"/>
  <c r="AQ16" i="4"/>
  <c r="Z16" i="4"/>
  <c r="AP110" i="4"/>
  <c r="Y110" i="4"/>
  <c r="AS83" i="4"/>
  <c r="AB83" i="4"/>
  <c r="AT56" i="4"/>
  <c r="AC56" i="4"/>
  <c r="AU31" i="4"/>
  <c r="AD31" i="4"/>
  <c r="AS82" i="4"/>
  <c r="AB82" i="4"/>
  <c r="AR26" i="4"/>
  <c r="AA26" i="4"/>
  <c r="AQ68" i="4"/>
  <c r="Z68" i="4"/>
  <c r="AU112" i="4"/>
  <c r="AD112" i="4"/>
  <c r="AZ63" i="4"/>
  <c r="AI63" i="4"/>
  <c r="AS8" i="4"/>
  <c r="AB8" i="4"/>
  <c r="BA82" i="4"/>
  <c r="AJ82" i="4"/>
  <c r="AQ23" i="4"/>
  <c r="Z23" i="4"/>
  <c r="AT51" i="4"/>
  <c r="AC51" i="4"/>
  <c r="X86" i="4"/>
  <c r="S81" i="14" s="1"/>
  <c r="AO86" i="4"/>
  <c r="AX99" i="4"/>
  <c r="AG99" i="4"/>
  <c r="AQ112" i="4"/>
  <c r="Z112" i="4"/>
  <c r="AA3" i="4"/>
  <c r="AR3" i="4"/>
  <c r="AQ8" i="4"/>
  <c r="Z8" i="4"/>
  <c r="AS16" i="4"/>
  <c r="AB16" i="4"/>
  <c r="AP35" i="4"/>
  <c r="Y35" i="4"/>
  <c r="AQ42" i="4"/>
  <c r="Z42" i="4"/>
  <c r="AO50" i="4"/>
  <c r="X50" i="4"/>
  <c r="S78" i="14" s="1"/>
  <c r="BA54" i="4"/>
  <c r="AJ54" i="4"/>
  <c r="AP63" i="4"/>
  <c r="Y63" i="4"/>
  <c r="AO68" i="4"/>
  <c r="X68" i="4"/>
  <c r="AZ75" i="4"/>
  <c r="AI75" i="4"/>
  <c r="AY80" i="4"/>
  <c r="AH80" i="4"/>
  <c r="BA88" i="4"/>
  <c r="AJ88" i="4"/>
  <c r="AX107" i="4"/>
  <c r="AG107" i="4"/>
  <c r="AY114" i="4"/>
  <c r="AH114" i="4"/>
  <c r="AX2" i="4"/>
  <c r="AG2" i="4"/>
  <c r="AW7" i="4"/>
  <c r="AF7" i="4"/>
  <c r="AY15" i="4"/>
  <c r="AH15" i="4"/>
  <c r="AX20" i="4"/>
  <c r="AG20" i="4"/>
  <c r="AA28" i="4"/>
  <c r="AR28" i="4"/>
  <c r="AO47" i="4"/>
  <c r="X47" i="4"/>
  <c r="AY59" i="4"/>
  <c r="AH59" i="4"/>
  <c r="AZ66" i="4"/>
  <c r="AI66" i="4"/>
  <c r="AT74" i="4"/>
  <c r="AC74" i="4"/>
  <c r="AS79" i="4"/>
  <c r="AB79" i="4"/>
  <c r="AU87" i="4"/>
  <c r="AD87" i="4"/>
  <c r="AT92" i="4"/>
  <c r="AC92" i="4"/>
  <c r="BA99" i="4"/>
  <c r="AJ99" i="4"/>
  <c r="AZ104" i="4"/>
  <c r="AI104" i="4"/>
  <c r="AD44" i="4"/>
  <c r="AU44" i="4"/>
  <c r="AY98" i="4"/>
  <c r="AH98" i="4"/>
  <c r="AX18" i="4"/>
  <c r="AG18" i="4"/>
  <c r="AV50" i="4"/>
  <c r="AE50" i="4"/>
  <c r="AR74" i="4"/>
  <c r="AA74" i="4"/>
  <c r="AQ99" i="4"/>
  <c r="Z99" i="4"/>
  <c r="AW4" i="4"/>
  <c r="AF4" i="4"/>
  <c r="N34" i="4"/>
  <c r="AX55" i="4"/>
  <c r="AG55" i="4"/>
  <c r="AS86" i="4"/>
  <c r="AB86" i="4"/>
  <c r="BA114" i="4"/>
  <c r="AJ114" i="4"/>
  <c r="AZ35" i="4"/>
  <c r="AI35" i="4"/>
  <c r="AO80" i="4"/>
  <c r="X80" i="4"/>
  <c r="AX8" i="4"/>
  <c r="AG8" i="4"/>
  <c r="AT32" i="4"/>
  <c r="AC32" i="4"/>
  <c r="AX86" i="4"/>
  <c r="AG86" i="4"/>
  <c r="AZ112" i="4"/>
  <c r="AI112" i="4"/>
  <c r="AT8" i="4"/>
  <c r="AC8" i="4"/>
  <c r="AZ20" i="4"/>
  <c r="AI20" i="4"/>
  <c r="AS35" i="4"/>
  <c r="AB35" i="4"/>
  <c r="AY47" i="4"/>
  <c r="AH47" i="4"/>
  <c r="AP62" i="4"/>
  <c r="Y62" i="4"/>
  <c r="AY75" i="4"/>
  <c r="AH75" i="4"/>
  <c r="AR88" i="4"/>
  <c r="AA88" i="4"/>
  <c r="AX100" i="4"/>
  <c r="AG100" i="4"/>
  <c r="I118" i="4"/>
  <c r="AY6" i="4"/>
  <c r="AH6" i="4"/>
  <c r="AR19" i="4"/>
  <c r="AA19" i="4"/>
  <c r="AX31" i="4"/>
  <c r="AG31" i="4"/>
  <c r="AY44" i="4"/>
  <c r="AH44" i="4"/>
  <c r="AR59" i="4"/>
  <c r="AA59" i="4"/>
  <c r="AX71" i="4"/>
  <c r="AG71" i="4"/>
  <c r="AW86" i="4"/>
  <c r="AF86" i="4"/>
  <c r="AS100" i="4"/>
  <c r="AB100" i="4"/>
  <c r="AY112" i="4"/>
  <c r="AH112" i="4"/>
  <c r="AV3" i="4"/>
  <c r="AE3" i="4"/>
  <c r="AU8" i="4"/>
  <c r="AD8" i="4"/>
  <c r="AF16" i="4"/>
  <c r="AW16" i="4"/>
  <c r="AC35" i="4"/>
  <c r="AT35" i="4"/>
  <c r="AU42" i="4"/>
  <c r="AD42" i="4"/>
  <c r="AB50" i="4"/>
  <c r="AS50" i="4"/>
  <c r="AR55" i="4"/>
  <c r="AA55" i="4"/>
  <c r="AT63" i="4"/>
  <c r="AC63" i="4"/>
  <c r="AS68" i="4"/>
  <c r="AB68" i="4"/>
  <c r="AQ76" i="4"/>
  <c r="Z76" i="4"/>
  <c r="AR95" i="4"/>
  <c r="AA95" i="4"/>
  <c r="AO102" i="4"/>
  <c r="X102" i="4"/>
  <c r="AQ110" i="4"/>
  <c r="Z110" i="4"/>
  <c r="AP115" i="4"/>
  <c r="Y115" i="4"/>
  <c r="AO3" i="4"/>
  <c r="X3" i="4"/>
  <c r="BA7" i="4"/>
  <c r="AJ7" i="4"/>
  <c r="AP16" i="4"/>
  <c r="Y16" i="4"/>
  <c r="AV28" i="4"/>
  <c r="AE28" i="4"/>
  <c r="AW46" i="4"/>
  <c r="AF46" i="4"/>
  <c r="AB47" i="4"/>
  <c r="AS47" i="4"/>
  <c r="Y54" i="4"/>
  <c r="AP54" i="4"/>
  <c r="AR62" i="4"/>
  <c r="AA62" i="4"/>
  <c r="AC68" i="4"/>
  <c r="AT68" i="4"/>
  <c r="BA75" i="4"/>
  <c r="AJ75" i="4"/>
  <c r="AI80" i="4"/>
  <c r="AZ80" i="4"/>
  <c r="X94" i="4"/>
  <c r="AU107" i="4"/>
  <c r="AD107" i="4"/>
  <c r="AV114" i="4"/>
  <c r="AE114" i="4"/>
  <c r="AU26" i="4"/>
  <c r="AD26" i="4"/>
  <c r="AP75" i="4"/>
  <c r="Y75" i="4"/>
  <c r="AZ6" i="4"/>
  <c r="AI6" i="4"/>
  <c r="AO35" i="4"/>
  <c r="X35" i="4"/>
  <c r="AW63" i="4"/>
  <c r="AF63" i="4"/>
  <c r="AS87" i="4"/>
  <c r="AB87" i="4"/>
  <c r="M118" i="4"/>
  <c r="P22" i="4"/>
  <c r="AZ43" i="4"/>
  <c r="AI43" i="4"/>
  <c r="AX75" i="4"/>
  <c r="AG75" i="4"/>
  <c r="AT99" i="4"/>
  <c r="AC99" i="4"/>
  <c r="AO4" i="4"/>
  <c r="X4" i="4"/>
  <c r="P70" i="4"/>
  <c r="AY116" i="4"/>
  <c r="AH116" i="4"/>
  <c r="AZ74" i="4"/>
  <c r="AI74" i="4"/>
  <c r="AR102" i="4"/>
  <c r="AA102" i="4"/>
  <c r="AP4" i="4"/>
  <c r="Y4" i="4"/>
  <c r="AV16" i="4"/>
  <c r="AE16" i="4"/>
  <c r="AR30" i="4"/>
  <c r="AA30" i="4"/>
  <c r="AX42" i="4"/>
  <c r="AG42" i="4"/>
  <c r="AQ55" i="4"/>
  <c r="Z55" i="4"/>
  <c r="AW67" i="4"/>
  <c r="AF67" i="4"/>
  <c r="AO107" i="4"/>
  <c r="X107" i="4"/>
  <c r="AU2" i="4"/>
  <c r="AD2" i="4"/>
  <c r="BA14" i="4"/>
  <c r="AJ14" i="4"/>
  <c r="AT27" i="4"/>
  <c r="AC27" i="4"/>
  <c r="AU40" i="4"/>
  <c r="AD40" i="4"/>
  <c r="AQ54" i="4"/>
  <c r="Z54" i="4"/>
  <c r="AF66" i="4"/>
  <c r="AW66" i="4"/>
  <c r="AP79" i="4"/>
  <c r="Y79" i="4"/>
  <c r="AQ92" i="4"/>
  <c r="Z92" i="4"/>
  <c r="AP119" i="4"/>
  <c r="Y119" i="4"/>
  <c r="AS6" i="4"/>
  <c r="AB6" i="4"/>
  <c r="AU14" i="4"/>
  <c r="AD14" i="4"/>
  <c r="AT19" i="4"/>
  <c r="AC19" i="4"/>
  <c r="AA27" i="4"/>
  <c r="AR27" i="4"/>
  <c r="AQ32" i="4"/>
  <c r="Z32" i="4"/>
  <c r="AS40" i="4"/>
  <c r="AB40" i="4"/>
  <c r="H58" i="4"/>
  <c r="AP59" i="4"/>
  <c r="Y59" i="4"/>
  <c r="AQ66" i="4"/>
  <c r="Z66" i="4"/>
  <c r="X74" i="4"/>
  <c r="AO74" i="4"/>
  <c r="BA78" i="4"/>
  <c r="AJ78" i="4"/>
  <c r="AP87" i="4"/>
  <c r="Y87" i="4"/>
  <c r="AO92" i="4"/>
  <c r="X92" i="4"/>
  <c r="AP107" i="4"/>
  <c r="Y107" i="4"/>
  <c r="AQ114" i="4"/>
  <c r="Z114" i="4"/>
  <c r="AP2" i="4"/>
  <c r="Y2" i="4"/>
  <c r="X7" i="4"/>
  <c r="AO7" i="4"/>
  <c r="AQ15" i="4"/>
  <c r="Z15" i="4"/>
  <c r="AP20" i="4"/>
  <c r="Y20" i="4"/>
  <c r="AW27" i="4"/>
  <c r="AF27" i="4"/>
  <c r="AE32" i="4"/>
  <c r="AV32" i="4"/>
  <c r="AX40" i="4"/>
  <c r="AG40" i="4"/>
  <c r="AQ58" i="4"/>
  <c r="Z58" i="4"/>
  <c r="AQ59" i="4"/>
  <c r="Z59" i="4"/>
  <c r="AD67" i="4"/>
  <c r="AU67" i="4"/>
  <c r="X75" i="4"/>
  <c r="AO75" i="4"/>
  <c r="AJ79" i="4"/>
  <c r="BA79" i="4"/>
  <c r="K94" i="4"/>
  <c r="AO95" i="4"/>
  <c r="X95" i="4"/>
  <c r="Q106" i="4"/>
  <c r="AY107" i="4"/>
  <c r="AH107" i="4"/>
  <c r="AZ114" i="4"/>
  <c r="AI114" i="4"/>
  <c r="AX112" i="4"/>
  <c r="AG112" i="4"/>
  <c r="AQ87" i="4"/>
  <c r="Z87" i="4"/>
  <c r="AF31" i="4"/>
  <c r="AW31" i="4"/>
  <c r="Y6" i="4"/>
  <c r="AP6" i="4"/>
  <c r="AQ100" i="4"/>
  <c r="Z100" i="4"/>
  <c r="AV75" i="4"/>
  <c r="AE75" i="4"/>
  <c r="AI47" i="4"/>
  <c r="AZ47" i="4"/>
  <c r="BA20" i="4"/>
  <c r="AJ20" i="4"/>
  <c r="AV111" i="4"/>
  <c r="AE111" i="4"/>
  <c r="AR67" i="4"/>
  <c r="AA67" i="4"/>
  <c r="AP46" i="4"/>
  <c r="Y46" i="4"/>
  <c r="AV15" i="4"/>
  <c r="AE15" i="4"/>
  <c r="AW107" i="4"/>
  <c r="AF107" i="4"/>
  <c r="AY55" i="4"/>
  <c r="AH55" i="4"/>
  <c r="AZ30" i="4"/>
  <c r="AI30" i="4"/>
  <c r="AX4" i="4"/>
  <c r="AG4" i="4"/>
  <c r="AP76" i="4"/>
  <c r="Y76" i="4"/>
  <c r="AY23" i="4"/>
  <c r="AH23" i="4"/>
  <c r="BA66" i="4"/>
  <c r="AJ66" i="4"/>
  <c r="AV107" i="4"/>
  <c r="AE107" i="4"/>
  <c r="AX114" i="4"/>
  <c r="AG114" i="4"/>
  <c r="AZ64" i="4"/>
  <c r="AI64" i="4"/>
  <c r="AP8" i="4"/>
  <c r="Y8" i="4"/>
  <c r="AX27" i="4"/>
  <c r="AG27" i="4"/>
  <c r="I5" i="16"/>
  <c r="K5" i="16"/>
  <c r="P14" i="16"/>
  <c r="Q14" i="16"/>
  <c r="P23" i="16"/>
  <c r="Q23" i="16"/>
  <c r="O13" i="16"/>
  <c r="Q13" i="16"/>
  <c r="O10" i="16"/>
  <c r="Q10" i="16"/>
  <c r="J14" i="16"/>
  <c r="K14" i="16"/>
  <c r="J30" i="16"/>
  <c r="K30" i="16"/>
  <c r="O5" i="16"/>
  <c r="Q5" i="16"/>
  <c r="P36" i="16"/>
  <c r="Q36" i="16"/>
  <c r="O12" i="16"/>
  <c r="Q12" i="16"/>
  <c r="P16" i="16"/>
  <c r="Q16" i="16"/>
  <c r="I37" i="16"/>
  <c r="K37" i="16"/>
  <c r="O22" i="16"/>
  <c r="Q22" i="16"/>
  <c r="I29" i="16"/>
  <c r="K29" i="16"/>
  <c r="O11" i="16"/>
  <c r="Q11" i="16"/>
  <c r="P38" i="16"/>
  <c r="Q38" i="16"/>
  <c r="P28" i="16"/>
  <c r="Q28" i="16"/>
  <c r="O18" i="16"/>
  <c r="Q18" i="16"/>
  <c r="O6" i="16"/>
  <c r="Q6" i="16"/>
  <c r="P26" i="16"/>
  <c r="Q26" i="16"/>
  <c r="J31" i="16"/>
  <c r="K31" i="16"/>
  <c r="J10" i="16"/>
  <c r="K10" i="16"/>
  <c r="J13" i="16"/>
  <c r="K13" i="16"/>
  <c r="I26" i="16"/>
  <c r="K26" i="16"/>
  <c r="I7" i="16"/>
  <c r="K7" i="16"/>
  <c r="I6" i="16"/>
  <c r="K6" i="16"/>
  <c r="I19" i="16"/>
  <c r="K19" i="16"/>
  <c r="J12" i="16"/>
  <c r="K12" i="16"/>
  <c r="J15" i="16"/>
  <c r="K15" i="16"/>
  <c r="O19" i="16"/>
  <c r="Q19" i="16"/>
  <c r="I4" i="16"/>
  <c r="K4" i="16"/>
  <c r="P29" i="16"/>
  <c r="Q29" i="16"/>
  <c r="P30" i="16"/>
  <c r="Q30" i="16"/>
  <c r="J17" i="16"/>
  <c r="K17" i="16"/>
  <c r="O7" i="16"/>
  <c r="Q7" i="16"/>
  <c r="I36" i="16"/>
  <c r="K36" i="16"/>
  <c r="I25" i="16"/>
  <c r="K25" i="16"/>
  <c r="O25" i="16"/>
  <c r="Q25" i="16"/>
  <c r="J28" i="16"/>
  <c r="K28" i="16"/>
  <c r="I38" i="16"/>
  <c r="K38" i="16"/>
  <c r="J22" i="16"/>
  <c r="K22" i="16"/>
  <c r="J3" i="16"/>
  <c r="K3" i="16"/>
  <c r="J23" i="16"/>
  <c r="K23" i="16"/>
  <c r="O34" i="16"/>
  <c r="Q34" i="16"/>
  <c r="I24" i="16"/>
  <c r="K24" i="16"/>
  <c r="P15" i="16"/>
  <c r="Q15" i="16"/>
  <c r="J34" i="16"/>
  <c r="K34" i="16"/>
  <c r="J35" i="16"/>
  <c r="K35" i="16"/>
  <c r="P4" i="16"/>
  <c r="Q4" i="16"/>
  <c r="I18" i="16"/>
  <c r="K18" i="16"/>
  <c r="O27" i="16"/>
  <c r="Q27" i="16"/>
  <c r="O3" i="16"/>
  <c r="Q3" i="16"/>
  <c r="P24" i="16"/>
  <c r="Q24" i="16"/>
  <c r="J27" i="16"/>
  <c r="K27" i="16"/>
  <c r="I11" i="16"/>
  <c r="K11" i="16"/>
  <c r="O31" i="16"/>
  <c r="Q31" i="16"/>
  <c r="P35" i="16"/>
  <c r="Q35" i="16"/>
  <c r="C28" i="16"/>
  <c r="E28" i="16"/>
  <c r="D29" i="16"/>
  <c r="E29" i="16"/>
  <c r="C10" i="16"/>
  <c r="E10" i="16"/>
  <c r="D15" i="16"/>
  <c r="E15" i="16"/>
  <c r="D11" i="16"/>
  <c r="E11" i="16"/>
  <c r="D36" i="16"/>
  <c r="E36" i="16"/>
  <c r="C22" i="16"/>
  <c r="E22" i="16"/>
  <c r="D7" i="16"/>
  <c r="E7" i="16"/>
  <c r="D30" i="16"/>
  <c r="E30" i="16"/>
  <c r="D34" i="16"/>
  <c r="E34" i="16"/>
  <c r="D25" i="16"/>
  <c r="E25" i="16"/>
  <c r="D26" i="16"/>
  <c r="E26" i="16"/>
  <c r="C5" i="16"/>
  <c r="E5" i="16"/>
  <c r="D35" i="16"/>
  <c r="E35" i="16"/>
  <c r="C38" i="16"/>
  <c r="E38" i="16"/>
  <c r="D13" i="16"/>
  <c r="E13" i="16"/>
  <c r="D4" i="16"/>
  <c r="E4" i="16"/>
  <c r="C23" i="16"/>
  <c r="E23" i="16"/>
  <c r="D24" i="16"/>
  <c r="E24" i="16"/>
  <c r="D14" i="16"/>
  <c r="E14" i="16"/>
  <c r="D17" i="16"/>
  <c r="E17" i="16"/>
  <c r="D12" i="16"/>
  <c r="E12" i="16"/>
  <c r="D6" i="16"/>
  <c r="E6" i="16"/>
  <c r="D18" i="16"/>
  <c r="E18" i="16"/>
  <c r="D31" i="16"/>
  <c r="E31" i="16"/>
  <c r="C19" i="16"/>
  <c r="E19" i="16"/>
  <c r="C37" i="16"/>
  <c r="E37" i="16"/>
  <c r="D27" i="16"/>
  <c r="E27" i="16"/>
  <c r="D16" i="16"/>
  <c r="E16" i="16"/>
  <c r="D3" i="16"/>
  <c r="E3" i="16"/>
  <c r="C17" i="16"/>
  <c r="V84" i="14"/>
  <c r="U84" i="14"/>
  <c r="C11" i="16"/>
  <c r="P31" i="16"/>
  <c r="J11" i="16"/>
  <c r="O35" i="16"/>
  <c r="C26" i="16"/>
  <c r="T81" i="14"/>
  <c r="I35" i="16"/>
  <c r="C3" i="16"/>
  <c r="O15" i="16"/>
  <c r="I34" i="16"/>
  <c r="C27" i="16"/>
  <c r="I28" i="16"/>
  <c r="D19" i="16"/>
  <c r="P34" i="16"/>
  <c r="J25" i="16"/>
  <c r="D37" i="16"/>
  <c r="I22" i="16"/>
  <c r="C16" i="16"/>
  <c r="O30" i="16"/>
  <c r="D10" i="16"/>
  <c r="C31" i="16"/>
  <c r="J24" i="16"/>
  <c r="P25" i="16"/>
  <c r="I23" i="16"/>
  <c r="C18" i="16"/>
  <c r="P7" i="16"/>
  <c r="I3" i="16"/>
  <c r="I17" i="16"/>
  <c r="J38" i="16"/>
  <c r="J7" i="16"/>
  <c r="C24" i="16"/>
  <c r="S79" i="14"/>
  <c r="P3" i="16"/>
  <c r="I27" i="16"/>
  <c r="I10" i="16"/>
  <c r="J6" i="16"/>
  <c r="J26" i="16"/>
  <c r="D23" i="16"/>
  <c r="T74" i="14"/>
  <c r="O24" i="16"/>
  <c r="C15" i="16"/>
  <c r="I16" i="16"/>
  <c r="J16" i="16"/>
  <c r="D28" i="16"/>
  <c r="I13" i="16"/>
  <c r="C29" i="16"/>
  <c r="I12" i="16"/>
  <c r="P19" i="16"/>
  <c r="O29" i="16"/>
  <c r="I15" i="16"/>
  <c r="P17" i="16"/>
  <c r="O17" i="16"/>
  <c r="C4" i="16"/>
  <c r="T78" i="14"/>
  <c r="D38" i="16"/>
  <c r="C13" i="16"/>
  <c r="O26" i="16"/>
  <c r="I31" i="16"/>
  <c r="C25" i="16"/>
  <c r="J4" i="16"/>
  <c r="J36" i="16"/>
  <c r="C6" i="16"/>
  <c r="C14" i="16"/>
  <c r="O28" i="16"/>
  <c r="P11" i="16"/>
  <c r="J19" i="16"/>
  <c r="P27" i="16"/>
  <c r="J18" i="16"/>
  <c r="O4" i="16"/>
  <c r="D5" i="16"/>
  <c r="J29" i="16"/>
  <c r="C30" i="16"/>
  <c r="O37" i="16"/>
  <c r="P37" i="16"/>
  <c r="P13" i="16"/>
  <c r="P10" i="16"/>
  <c r="J37" i="16"/>
  <c r="P12" i="16"/>
  <c r="P5" i="16"/>
  <c r="O16" i="16"/>
  <c r="P22" i="16"/>
  <c r="C34" i="16"/>
  <c r="I30" i="16"/>
  <c r="C12" i="16"/>
  <c r="O38" i="16"/>
  <c r="P6" i="16"/>
  <c r="C7" i="16"/>
  <c r="O14" i="16"/>
  <c r="P18" i="16"/>
  <c r="J5" i="16"/>
  <c r="I14" i="16"/>
  <c r="D22" i="16"/>
  <c r="O23" i="16"/>
  <c r="C36" i="16"/>
  <c r="C35" i="16"/>
  <c r="O36" i="16"/>
  <c r="D84" i="14"/>
  <c r="J82" i="14" s="1"/>
  <c r="G22" i="13"/>
  <c r="H22" i="13"/>
  <c r="P21" i="13"/>
  <c r="S21" i="13" s="1"/>
  <c r="O21" i="13"/>
  <c r="R21" i="13" s="1"/>
  <c r="Y21" i="13"/>
  <c r="X21" i="13"/>
  <c r="D22" i="13"/>
  <c r="M22" i="13"/>
  <c r="N22" i="13" s="1"/>
  <c r="F22" i="13"/>
  <c r="E23" i="13"/>
  <c r="K23" i="13"/>
  <c r="C23" i="13"/>
  <c r="L23" i="13"/>
  <c r="Q22" i="13"/>
  <c r="U20" i="13"/>
  <c r="A25" i="13"/>
  <c r="B25" i="13" s="1"/>
  <c r="AJ58" i="4" l="1"/>
  <c r="R6" i="5" s="1"/>
  <c r="G3" i="31" s="1"/>
  <c r="AH46" i="4"/>
  <c r="P5" i="5" s="1"/>
  <c r="E5" i="31" s="1"/>
  <c r="E61" i="31" s="1"/>
  <c r="Z46" i="4"/>
  <c r="AE70" i="4"/>
  <c r="M25" i="8"/>
  <c r="AF118" i="4"/>
  <c r="AR94" i="4"/>
  <c r="I20" i="5" s="1"/>
  <c r="I57" i="33" s="1"/>
  <c r="AQ22" i="4"/>
  <c r="H14" i="5" s="1"/>
  <c r="H51" i="33" s="1"/>
  <c r="X118" i="4"/>
  <c r="F11" i="5" s="1"/>
  <c r="F23" i="33" s="1"/>
  <c r="AS10" i="4"/>
  <c r="J13" i="5" s="1"/>
  <c r="J50" i="33" s="1"/>
  <c r="AA10" i="4"/>
  <c r="AE94" i="4"/>
  <c r="M9" i="5" s="1"/>
  <c r="M21" i="33" s="1"/>
  <c r="AV58" i="4"/>
  <c r="M17" i="5" s="1"/>
  <c r="M54" i="33" s="1"/>
  <c r="AP118" i="4"/>
  <c r="G22" i="5" s="1"/>
  <c r="G59" i="33" s="1"/>
  <c r="AU106" i="4"/>
  <c r="AG118" i="4"/>
  <c r="AB46" i="4"/>
  <c r="J5" i="5" s="1"/>
  <c r="J17" i="33" s="1"/>
  <c r="AF70" i="4"/>
  <c r="N7" i="5" s="1"/>
  <c r="N19" i="33" s="1"/>
  <c r="AG10" i="4"/>
  <c r="O2" i="5" s="1"/>
  <c r="D9" i="31" s="1"/>
  <c r="E74" i="31" s="1"/>
  <c r="BA22" i="4"/>
  <c r="AJ10" i="4"/>
  <c r="R2" i="5" s="1"/>
  <c r="G9" i="31" s="1"/>
  <c r="AC34" i="4"/>
  <c r="K4" i="5" s="1"/>
  <c r="K16" i="33" s="1"/>
  <c r="Z10" i="4"/>
  <c r="H2" i="5" s="1"/>
  <c r="H14" i="33" s="1"/>
  <c r="X22" i="4"/>
  <c r="AD58" i="4"/>
  <c r="L6" i="5" s="1"/>
  <c r="L18" i="33" s="1"/>
  <c r="AJ118" i="4"/>
  <c r="R11" i="5" s="1"/>
  <c r="G8" i="31" s="1"/>
  <c r="AB106" i="4"/>
  <c r="J10" i="5" s="1"/>
  <c r="J22" i="33" s="1"/>
  <c r="AC106" i="4"/>
  <c r="K10" i="5" s="1"/>
  <c r="K22" i="33" s="1"/>
  <c r="AY58" i="4"/>
  <c r="P17" i="5" s="1"/>
  <c r="E14" i="31" s="1"/>
  <c r="AG106" i="4"/>
  <c r="O10" i="5" s="1"/>
  <c r="D10" i="31" s="1"/>
  <c r="B80" i="31" s="1"/>
  <c r="AT82" i="4"/>
  <c r="K19" i="5" s="1"/>
  <c r="K56" i="33" s="1"/>
  <c r="AF10" i="4"/>
  <c r="N2" i="5" s="1"/>
  <c r="N14" i="33" s="1"/>
  <c r="AZ22" i="4"/>
  <c r="Q14" i="5" s="1"/>
  <c r="F13" i="31" s="1"/>
  <c r="AD70" i="4"/>
  <c r="L7" i="5" s="1"/>
  <c r="L19" i="33" s="1"/>
  <c r="AB70" i="4"/>
  <c r="J7" i="5" s="1"/>
  <c r="J19" i="33" s="1"/>
  <c r="AC46" i="4"/>
  <c r="K5" i="5" s="1"/>
  <c r="K17" i="33" s="1"/>
  <c r="AE22" i="4"/>
  <c r="M3" i="5" s="1"/>
  <c r="M15" i="33" s="1"/>
  <c r="AW94" i="4"/>
  <c r="N20" i="5" s="1"/>
  <c r="N57" i="33" s="1"/>
  <c r="Y106" i="4"/>
  <c r="G10" i="5" s="1"/>
  <c r="G22" i="33" s="1"/>
  <c r="Z106" i="4"/>
  <c r="H10" i="5" s="1"/>
  <c r="H22" i="33" s="1"/>
  <c r="K21" i="5"/>
  <c r="F115" i="22" s="1"/>
  <c r="AI70" i="4"/>
  <c r="Q7" i="5" s="1"/>
  <c r="F4" i="31" s="1"/>
  <c r="E84" i="14"/>
  <c r="K74" i="14" s="1"/>
  <c r="AA46" i="4"/>
  <c r="I5" i="5" s="1"/>
  <c r="I17" i="33" s="1"/>
  <c r="AH94" i="4"/>
  <c r="P9" i="5" s="1"/>
  <c r="E6" i="31" s="1"/>
  <c r="B69" i="31" s="1"/>
  <c r="AB118" i="4"/>
  <c r="J11" i="5" s="1"/>
  <c r="J23" i="33" s="1"/>
  <c r="AG58" i="4"/>
  <c r="O6" i="5" s="1"/>
  <c r="D3" i="31" s="1"/>
  <c r="E52" i="31" s="1"/>
  <c r="Y34" i="4"/>
  <c r="G4" i="5" s="1"/>
  <c r="G16" i="33" s="1"/>
  <c r="AI10" i="4"/>
  <c r="Q2" i="5" s="1"/>
  <c r="F9" i="31" s="1"/>
  <c r="Y82" i="4"/>
  <c r="G8" i="5" s="1"/>
  <c r="G20" i="33" s="1"/>
  <c r="AD46" i="4"/>
  <c r="L5" i="5" s="1"/>
  <c r="L17" i="33" s="1"/>
  <c r="X34" i="4"/>
  <c r="F4" i="5" s="1"/>
  <c r="F16" i="33" s="1"/>
  <c r="AU34" i="4"/>
  <c r="L15" i="5" s="1"/>
  <c r="L52" i="33" s="1"/>
  <c r="AA22" i="4"/>
  <c r="I3" i="5" s="1"/>
  <c r="I15" i="33" s="1"/>
  <c r="O21" i="5"/>
  <c r="D21" i="31" s="1"/>
  <c r="AS94" i="4"/>
  <c r="J20" i="5" s="1"/>
  <c r="J57" i="33" s="1"/>
  <c r="AB94" i="4"/>
  <c r="J9" i="5" s="1"/>
  <c r="J21" i="33" s="1"/>
  <c r="AU118" i="4"/>
  <c r="L22" i="5" s="1"/>
  <c r="L59" i="33" s="1"/>
  <c r="AD118" i="4"/>
  <c r="L11" i="5" s="1"/>
  <c r="L23" i="33" s="1"/>
  <c r="AV34" i="4"/>
  <c r="M15" i="5" s="1"/>
  <c r="M52" i="33" s="1"/>
  <c r="AE34" i="4"/>
  <c r="M4" i="5" s="1"/>
  <c r="M16" i="33" s="1"/>
  <c r="AQ94" i="4"/>
  <c r="H20" i="5" s="1"/>
  <c r="H57" i="33" s="1"/>
  <c r="Z94" i="4"/>
  <c r="H9" i="5" s="1"/>
  <c r="H21" i="33" s="1"/>
  <c r="AY10" i="4"/>
  <c r="P13" i="5" s="1"/>
  <c r="E20" i="31" s="1"/>
  <c r="AH10" i="4"/>
  <c r="P2" i="5" s="1"/>
  <c r="E9" i="31" s="1"/>
  <c r="E75" i="31" s="1"/>
  <c r="AW22" i="4"/>
  <c r="N14" i="5" s="1"/>
  <c r="N51" i="33" s="1"/>
  <c r="AF22" i="4"/>
  <c r="N3" i="5" s="1"/>
  <c r="N15" i="33" s="1"/>
  <c r="AP22" i="4"/>
  <c r="G14" i="5" s="1"/>
  <c r="G51" i="33" s="1"/>
  <c r="Y22" i="4"/>
  <c r="G3" i="5" s="1"/>
  <c r="G15" i="33" s="1"/>
  <c r="AW106" i="4"/>
  <c r="N21" i="5" s="1"/>
  <c r="N58" i="33" s="1"/>
  <c r="AF106" i="4"/>
  <c r="N10" i="5" s="1"/>
  <c r="N22" i="33" s="1"/>
  <c r="AO10" i="4"/>
  <c r="F13" i="5" s="1"/>
  <c r="F50" i="33" s="1"/>
  <c r="X10" i="4"/>
  <c r="F2" i="5" s="1"/>
  <c r="F14" i="33" s="1"/>
  <c r="AW82" i="4"/>
  <c r="N19" i="5" s="1"/>
  <c r="N56" i="33" s="1"/>
  <c r="AF82" i="4"/>
  <c r="N8" i="5" s="1"/>
  <c r="N20" i="33" s="1"/>
  <c r="AY106" i="4"/>
  <c r="P21" i="5" s="1"/>
  <c r="E21" i="31" s="1"/>
  <c r="AH106" i="4"/>
  <c r="P10" i="5" s="1"/>
  <c r="E10" i="31" s="1"/>
  <c r="B81" i="31" s="1"/>
  <c r="AQ118" i="4"/>
  <c r="H22" i="5" s="1"/>
  <c r="H59" i="33" s="1"/>
  <c r="Z118" i="4"/>
  <c r="H11" i="5" s="1"/>
  <c r="H23" i="33" s="1"/>
  <c r="AU94" i="4"/>
  <c r="L20" i="5" s="1"/>
  <c r="L57" i="33" s="1"/>
  <c r="AD94" i="4"/>
  <c r="L9" i="5" s="1"/>
  <c r="L21" i="33" s="1"/>
  <c r="AZ58" i="4"/>
  <c r="Q17" i="5" s="1"/>
  <c r="F14" i="31" s="1"/>
  <c r="AI58" i="4"/>
  <c r="Q6" i="5" s="1"/>
  <c r="F3" i="31" s="1"/>
  <c r="AS34" i="4"/>
  <c r="J15" i="5" s="1"/>
  <c r="J52" i="33" s="1"/>
  <c r="AB34" i="4"/>
  <c r="J4" i="5" s="1"/>
  <c r="J16" i="33" s="1"/>
  <c r="AO106" i="4"/>
  <c r="F21" i="5" s="1"/>
  <c r="F58" i="33" s="1"/>
  <c r="X106" i="4"/>
  <c r="F10" i="5" s="1"/>
  <c r="F22" i="33" s="1"/>
  <c r="AI82" i="4"/>
  <c r="Q8" i="5" s="1"/>
  <c r="F11" i="31" s="1"/>
  <c r="AZ82" i="4"/>
  <c r="AO82" i="4"/>
  <c r="F19" i="5" s="1"/>
  <c r="F56" i="33" s="1"/>
  <c r="X82" i="4"/>
  <c r="F8" i="5" s="1"/>
  <c r="F20" i="33" s="1"/>
  <c r="AZ46" i="4"/>
  <c r="Q16" i="5" s="1"/>
  <c r="F16" i="31" s="1"/>
  <c r="AI46" i="4"/>
  <c r="Q5" i="5" s="1"/>
  <c r="F5" i="31" s="1"/>
  <c r="AX70" i="4"/>
  <c r="O18" i="5" s="1"/>
  <c r="D15" i="31" s="1"/>
  <c r="AG70" i="4"/>
  <c r="O7" i="5" s="1"/>
  <c r="D4" i="31" s="1"/>
  <c r="B60" i="31" s="1"/>
  <c r="AP10" i="4"/>
  <c r="G13" i="5" s="1"/>
  <c r="G50" i="33" s="1"/>
  <c r="G38" i="33" s="1"/>
  <c r="G35" i="33" s="1"/>
  <c r="Y10" i="4"/>
  <c r="AQ70" i="4"/>
  <c r="H18" i="5" s="1"/>
  <c r="H55" i="33" s="1"/>
  <c r="Z70" i="4"/>
  <c r="H7" i="5" s="1"/>
  <c r="H19" i="33" s="1"/>
  <c r="AR34" i="4"/>
  <c r="I15" i="5" s="1"/>
  <c r="I52" i="33" s="1"/>
  <c r="AA34" i="4"/>
  <c r="BA34" i="4"/>
  <c r="R15" i="5" s="1"/>
  <c r="G18" i="31" s="1"/>
  <c r="AJ34" i="4"/>
  <c r="R4" i="5" s="1"/>
  <c r="G7" i="31" s="1"/>
  <c r="AU82" i="4"/>
  <c r="L19" i="5" s="1"/>
  <c r="L56" i="33" s="1"/>
  <c r="AD82" i="4"/>
  <c r="AY118" i="4"/>
  <c r="P22" i="5" s="1"/>
  <c r="E19" i="31" s="1"/>
  <c r="AH118" i="4"/>
  <c r="P11" i="5" s="1"/>
  <c r="E8" i="31" s="1"/>
  <c r="B75" i="31" s="1"/>
  <c r="AR106" i="4"/>
  <c r="I21" i="5" s="1"/>
  <c r="I58" i="33" s="1"/>
  <c r="AA106" i="4"/>
  <c r="I10" i="5" s="1"/>
  <c r="I22" i="33" s="1"/>
  <c r="BA106" i="4"/>
  <c r="R21" i="5" s="1"/>
  <c r="G21" i="31" s="1"/>
  <c r="AJ106" i="4"/>
  <c r="R10" i="5" s="1"/>
  <c r="G10" i="31" s="1"/>
  <c r="AJ46" i="4"/>
  <c r="R5" i="5" s="1"/>
  <c r="G5" i="31" s="1"/>
  <c r="BA46" i="4"/>
  <c r="R16" i="5" s="1"/>
  <c r="G16" i="31" s="1"/>
  <c r="AZ34" i="4"/>
  <c r="Q15" i="5" s="1"/>
  <c r="F18" i="31" s="1"/>
  <c r="AI34" i="4"/>
  <c r="Q4" i="5" s="1"/>
  <c r="F7" i="31" s="1"/>
  <c r="AP58" i="4"/>
  <c r="G17" i="5" s="1"/>
  <c r="Y58" i="4"/>
  <c r="G6" i="5" s="1"/>
  <c r="G18" i="33" s="1"/>
  <c r="AX22" i="4"/>
  <c r="O14" i="5" s="1"/>
  <c r="D13" i="31" s="1"/>
  <c r="AG22" i="4"/>
  <c r="O3" i="5" s="1"/>
  <c r="D2" i="31" s="1"/>
  <c r="B52" i="31" s="1"/>
  <c r="AR58" i="4"/>
  <c r="I17" i="5" s="1"/>
  <c r="I54" i="33" s="1"/>
  <c r="AA58" i="4"/>
  <c r="I6" i="5" s="1"/>
  <c r="I18" i="33" s="1"/>
  <c r="AX82" i="4"/>
  <c r="O19" i="5" s="1"/>
  <c r="D22" i="31" s="1"/>
  <c r="AG82" i="4"/>
  <c r="O8" i="5" s="1"/>
  <c r="D11" i="31" s="1"/>
  <c r="AX94" i="4"/>
  <c r="O20" i="5" s="1"/>
  <c r="D17" i="31" s="1"/>
  <c r="AG94" i="4"/>
  <c r="O9" i="5" s="1"/>
  <c r="D6" i="31" s="1"/>
  <c r="B68" i="31" s="1"/>
  <c r="AR118" i="4"/>
  <c r="I22" i="5" s="1"/>
  <c r="I59" i="33" s="1"/>
  <c r="AA118" i="4"/>
  <c r="I11" i="5" s="1"/>
  <c r="I23" i="33" s="1"/>
  <c r="AO70" i="4"/>
  <c r="F18" i="5" s="1"/>
  <c r="F55" i="33" s="1"/>
  <c r="X70" i="4"/>
  <c r="F7" i="5" s="1"/>
  <c r="F19" i="33" s="1"/>
  <c r="AT118" i="4"/>
  <c r="K22" i="5" s="1"/>
  <c r="AC118" i="4"/>
  <c r="K11" i="5" s="1"/>
  <c r="K23" i="33" s="1"/>
  <c r="AO58" i="4"/>
  <c r="F17" i="5" s="1"/>
  <c r="F58" i="22" s="1"/>
  <c r="X58" i="4"/>
  <c r="F6" i="5" s="1"/>
  <c r="F18" i="33" s="1"/>
  <c r="AV46" i="4"/>
  <c r="M16" i="5" s="1"/>
  <c r="M53" i="33" s="1"/>
  <c r="AE46" i="4"/>
  <c r="M5" i="5" s="1"/>
  <c r="M17" i="33" s="1"/>
  <c r="AT22" i="4"/>
  <c r="K14" i="5" s="1"/>
  <c r="K51" i="33" s="1"/>
  <c r="AC22" i="4"/>
  <c r="K3" i="5" s="1"/>
  <c r="K15" i="33" s="1"/>
  <c r="AP94" i="4"/>
  <c r="G20" i="5" s="1"/>
  <c r="G57" i="33" s="1"/>
  <c r="Y94" i="4"/>
  <c r="AV106" i="4"/>
  <c r="M21" i="5" s="1"/>
  <c r="M58" i="33" s="1"/>
  <c r="AE106" i="4"/>
  <c r="M10" i="5" s="1"/>
  <c r="M22" i="33" s="1"/>
  <c r="S80" i="14"/>
  <c r="T79" i="14"/>
  <c r="T80" i="14"/>
  <c r="J14" i="5"/>
  <c r="F23" i="22" s="1"/>
  <c r="T76" i="14"/>
  <c r="T77" i="14"/>
  <c r="S77" i="14"/>
  <c r="S83" i="14"/>
  <c r="S75" i="14"/>
  <c r="T82" i="14"/>
  <c r="T75" i="14"/>
  <c r="S82" i="14"/>
  <c r="T83" i="14"/>
  <c r="P6" i="5"/>
  <c r="E3" i="31" s="1"/>
  <c r="E53" i="31" s="1"/>
  <c r="P15" i="5"/>
  <c r="E18" i="31" s="1"/>
  <c r="I9" i="5"/>
  <c r="I21" i="33" s="1"/>
  <c r="G21" i="5"/>
  <c r="H64" i="23" s="1"/>
  <c r="E14" i="5"/>
  <c r="H5" i="23" s="1"/>
  <c r="R13" i="5"/>
  <c r="G20" i="31" s="1"/>
  <c r="E22" i="5"/>
  <c r="E59" i="33" s="1"/>
  <c r="R19" i="5"/>
  <c r="G22" i="31" s="1"/>
  <c r="F3" i="5"/>
  <c r="F15" i="33" s="1"/>
  <c r="I18" i="5"/>
  <c r="I55" i="33" s="1"/>
  <c r="C20" i="5"/>
  <c r="H59" i="23" s="1"/>
  <c r="J18" i="5"/>
  <c r="J55" i="33" s="1"/>
  <c r="C5" i="5"/>
  <c r="C17" i="33" s="1"/>
  <c r="C11" i="5"/>
  <c r="C23" i="33" s="1"/>
  <c r="B75" i="14"/>
  <c r="K2" i="5"/>
  <c r="K14" i="33" s="1"/>
  <c r="M18" i="5"/>
  <c r="M55" i="33" s="1"/>
  <c r="B16" i="5"/>
  <c r="B53" i="33" s="1"/>
  <c r="P8" i="5"/>
  <c r="E11" i="31" s="1"/>
  <c r="E81" i="31" s="1"/>
  <c r="D13" i="5"/>
  <c r="D50" i="33" s="1"/>
  <c r="B82" i="14"/>
  <c r="G11" i="5"/>
  <c r="G23" i="33" s="1"/>
  <c r="K8" i="5"/>
  <c r="K20" i="33" s="1"/>
  <c r="C15" i="5"/>
  <c r="C52" i="33" s="1"/>
  <c r="C2" i="5"/>
  <c r="C14" i="33" s="1"/>
  <c r="E7" i="5"/>
  <c r="E19" i="33" s="1"/>
  <c r="B11" i="5"/>
  <c r="B23" i="33" s="1"/>
  <c r="R20" i="5"/>
  <c r="G17" i="31" s="1"/>
  <c r="P20" i="5"/>
  <c r="E17" i="31" s="1"/>
  <c r="L2" i="5"/>
  <c r="L14" i="33" s="1"/>
  <c r="E3" i="5"/>
  <c r="E15" i="33" s="1"/>
  <c r="O13" i="5"/>
  <c r="D20" i="31" s="1"/>
  <c r="J8" i="5"/>
  <c r="J20" i="33" s="1"/>
  <c r="C19" i="5"/>
  <c r="C56" i="33" s="1"/>
  <c r="C82" i="14"/>
  <c r="Q13" i="5"/>
  <c r="F20" i="31" s="1"/>
  <c r="B13" i="5"/>
  <c r="M6" i="5"/>
  <c r="M18" i="33" s="1"/>
  <c r="M14" i="5"/>
  <c r="M51" i="33" s="1"/>
  <c r="H8" i="5"/>
  <c r="H20" i="33" s="1"/>
  <c r="C21" i="5"/>
  <c r="C58" i="33" s="1"/>
  <c r="D11" i="5"/>
  <c r="D15" i="5"/>
  <c r="D52" i="33" s="1"/>
  <c r="C22" i="5"/>
  <c r="C59" i="33" s="1"/>
  <c r="B10" i="5"/>
  <c r="B22" i="33" s="1"/>
  <c r="O17" i="5"/>
  <c r="D14" i="31" s="1"/>
  <c r="I13" i="5"/>
  <c r="I50" i="33" s="1"/>
  <c r="M19" i="5"/>
  <c r="M56" i="33" s="1"/>
  <c r="Q10" i="5"/>
  <c r="F10" i="31" s="1"/>
  <c r="E16" i="5"/>
  <c r="E53" i="33" s="1"/>
  <c r="N5" i="5"/>
  <c r="N17" i="33" s="1"/>
  <c r="D21" i="5"/>
  <c r="D58" i="33" s="1"/>
  <c r="H13" i="5"/>
  <c r="H50" i="33" s="1"/>
  <c r="L18" i="5"/>
  <c r="L55" i="33" s="1"/>
  <c r="R18" i="5"/>
  <c r="G15" i="31" s="1"/>
  <c r="E5" i="5"/>
  <c r="E17" i="33" s="1"/>
  <c r="I8" i="5"/>
  <c r="I20" i="33" s="1"/>
  <c r="H15" i="5"/>
  <c r="H52" i="33" s="1"/>
  <c r="L14" i="5"/>
  <c r="L51" i="33" s="1"/>
  <c r="N18" i="5"/>
  <c r="E17" i="5"/>
  <c r="E54" i="33" s="1"/>
  <c r="D8" i="5"/>
  <c r="G5" i="5"/>
  <c r="G17" i="33" s="1"/>
  <c r="P16" i="5"/>
  <c r="E16" i="31" s="1"/>
  <c r="G18" i="5"/>
  <c r="G55" i="33" s="1"/>
  <c r="K7" i="5"/>
  <c r="K19" i="33" s="1"/>
  <c r="J21" i="5"/>
  <c r="J58" i="33" s="1"/>
  <c r="R9" i="5"/>
  <c r="G6" i="31" s="1"/>
  <c r="B81" i="14"/>
  <c r="M2" i="5"/>
  <c r="M14" i="33" s="1"/>
  <c r="E4" i="5"/>
  <c r="E16" i="33" s="1"/>
  <c r="N22" i="5"/>
  <c r="J19" i="5"/>
  <c r="J56" i="33" s="1"/>
  <c r="Q20" i="5"/>
  <c r="F17" i="31" s="1"/>
  <c r="C75" i="14"/>
  <c r="D10" i="5"/>
  <c r="D7" i="5"/>
  <c r="D9" i="5"/>
  <c r="Q21" i="5"/>
  <c r="F21" i="31" s="1"/>
  <c r="G16" i="5"/>
  <c r="G53" i="33" s="1"/>
  <c r="K15" i="5"/>
  <c r="K52" i="33" s="1"/>
  <c r="D5" i="5"/>
  <c r="E8" i="5"/>
  <c r="E20" i="33" s="1"/>
  <c r="P7" i="5"/>
  <c r="E4" i="31" s="1"/>
  <c r="B61" i="31" s="1"/>
  <c r="B79" i="14"/>
  <c r="C8" i="5"/>
  <c r="C20" i="33" s="1"/>
  <c r="H3" i="5"/>
  <c r="H15" i="33" s="1"/>
  <c r="L17" i="5"/>
  <c r="L54" i="33" s="1"/>
  <c r="P18" i="5"/>
  <c r="E15" i="31" s="1"/>
  <c r="G15" i="5"/>
  <c r="G52" i="33" s="1"/>
  <c r="F16" i="5"/>
  <c r="F53" i="33" s="1"/>
  <c r="L21" i="5"/>
  <c r="L58" i="33" s="1"/>
  <c r="Q3" i="5"/>
  <c r="F2" i="31" s="1"/>
  <c r="I7" i="5"/>
  <c r="I19" i="33" s="1"/>
  <c r="N15" i="5"/>
  <c r="F22" i="5"/>
  <c r="F59" i="33" s="1"/>
  <c r="Q18" i="5"/>
  <c r="F15" i="31" s="1"/>
  <c r="M8" i="5"/>
  <c r="M20" i="33" s="1"/>
  <c r="F15" i="5"/>
  <c r="F52" i="33" s="1"/>
  <c r="R8" i="5"/>
  <c r="G11" i="31" s="1"/>
  <c r="P3" i="5"/>
  <c r="E2" i="31" s="1"/>
  <c r="B53" i="31" s="1"/>
  <c r="C9" i="5"/>
  <c r="C21" i="33" s="1"/>
  <c r="I4" i="5"/>
  <c r="I16" i="33" s="1"/>
  <c r="D18" i="5"/>
  <c r="D55" i="33" s="1"/>
  <c r="F20" i="5"/>
  <c r="F57" i="33" s="1"/>
  <c r="Q11" i="5"/>
  <c r="F8" i="31" s="1"/>
  <c r="K17" i="5"/>
  <c r="K54" i="33" s="1"/>
  <c r="C78" i="14"/>
  <c r="B76" i="14"/>
  <c r="H17" i="5"/>
  <c r="H54" i="33" s="1"/>
  <c r="B9" i="5"/>
  <c r="B21" i="33" s="1"/>
  <c r="I14" i="5"/>
  <c r="I51" i="33" s="1"/>
  <c r="N11" i="5"/>
  <c r="N23" i="33" s="1"/>
  <c r="R17" i="5"/>
  <c r="G14" i="31" s="1"/>
  <c r="N17" i="5"/>
  <c r="N54" i="33" s="1"/>
  <c r="H5" i="5"/>
  <c r="H17" i="33" s="1"/>
  <c r="B77" i="14"/>
  <c r="C14" i="5"/>
  <c r="C51" i="33" s="1"/>
  <c r="E2" i="5"/>
  <c r="E14" i="33" s="1"/>
  <c r="B22" i="5"/>
  <c r="B59" i="33" s="1"/>
  <c r="E11" i="5"/>
  <c r="E23" i="33" s="1"/>
  <c r="J3" i="5"/>
  <c r="J15" i="33" s="1"/>
  <c r="O4" i="5"/>
  <c r="D7" i="31" s="1"/>
  <c r="E68" i="31" s="1"/>
  <c r="C80" i="14"/>
  <c r="D2" i="5"/>
  <c r="J6" i="5"/>
  <c r="J18" i="33" s="1"/>
  <c r="G9" i="5"/>
  <c r="G21" i="33" s="1"/>
  <c r="H4" i="5"/>
  <c r="H16" i="33" s="1"/>
  <c r="O16" i="5"/>
  <c r="D16" i="31" s="1"/>
  <c r="K6" i="5"/>
  <c r="K18" i="33" s="1"/>
  <c r="Q9" i="5"/>
  <c r="F6" i="31" s="1"/>
  <c r="D4" i="5"/>
  <c r="O22" i="5"/>
  <c r="D19" i="31" s="1"/>
  <c r="H19" i="5"/>
  <c r="H56" i="33" s="1"/>
  <c r="L10" i="5"/>
  <c r="L22" i="33" s="1"/>
  <c r="O15" i="5"/>
  <c r="D18" i="31" s="1"/>
  <c r="J22" i="5"/>
  <c r="J59" i="33" s="1"/>
  <c r="K20" i="5"/>
  <c r="K57" i="33" s="1"/>
  <c r="L8" i="5"/>
  <c r="L20" i="33" s="1"/>
  <c r="M22" i="5"/>
  <c r="M59" i="33" s="1"/>
  <c r="H6" i="5"/>
  <c r="H18" i="33" s="1"/>
  <c r="Q19" i="5"/>
  <c r="F22" i="31" s="1"/>
  <c r="N4" i="5"/>
  <c r="N16" i="33" s="1"/>
  <c r="K16" i="5"/>
  <c r="K53" i="33" s="1"/>
  <c r="H16" i="5"/>
  <c r="H53" i="33" s="1"/>
  <c r="O11" i="5"/>
  <c r="D8" i="31" s="1"/>
  <c r="B74" i="31" s="1"/>
  <c r="P19" i="5"/>
  <c r="E22" i="31" s="1"/>
  <c r="L13" i="5"/>
  <c r="L50" i="33" s="1"/>
  <c r="E6" i="5"/>
  <c r="E18" i="33" s="1"/>
  <c r="O5" i="5"/>
  <c r="D5" i="31" s="1"/>
  <c r="E60" i="31" s="1"/>
  <c r="G7" i="5"/>
  <c r="G19" i="33" s="1"/>
  <c r="J17" i="5"/>
  <c r="J54" i="33" s="1"/>
  <c r="E20" i="5"/>
  <c r="E57" i="33" s="1"/>
  <c r="K9" i="5"/>
  <c r="K21" i="33" s="1"/>
  <c r="L4" i="5"/>
  <c r="L16" i="33" s="1"/>
  <c r="C16" i="5"/>
  <c r="C53" i="33" s="1"/>
  <c r="B20" i="5"/>
  <c r="B57" i="33" s="1"/>
  <c r="E18" i="5"/>
  <c r="E55" i="33" s="1"/>
  <c r="C83" i="14"/>
  <c r="C81" i="14"/>
  <c r="B74" i="14"/>
  <c r="C77" i="14"/>
  <c r="I19" i="5"/>
  <c r="I56" i="33" s="1"/>
  <c r="N16" i="5"/>
  <c r="N53" i="33" s="1"/>
  <c r="R22" i="5"/>
  <c r="G19" i="31" s="1"/>
  <c r="C4" i="5"/>
  <c r="C16" i="33" s="1"/>
  <c r="J2" i="5"/>
  <c r="J14" i="33" s="1"/>
  <c r="B5" i="5"/>
  <c r="B17" i="33" s="1"/>
  <c r="B15" i="5"/>
  <c r="B52" i="33" s="1"/>
  <c r="P4" i="5"/>
  <c r="E7" i="31" s="1"/>
  <c r="E69" i="31" s="1"/>
  <c r="N9" i="5"/>
  <c r="N21" i="33" s="1"/>
  <c r="F14" i="5"/>
  <c r="F51" i="33" s="1"/>
  <c r="B17" i="5"/>
  <c r="B54" i="33" s="1"/>
  <c r="C76" i="14"/>
  <c r="D16" i="5"/>
  <c r="D53" i="33" s="1"/>
  <c r="B18" i="5"/>
  <c r="B55" i="33" s="1"/>
  <c r="N13" i="5"/>
  <c r="N50" i="33" s="1"/>
  <c r="H21" i="5"/>
  <c r="H58" i="33" s="1"/>
  <c r="K18" i="5"/>
  <c r="K55" i="33" s="1"/>
  <c r="L16" i="5"/>
  <c r="L53" i="33" s="1"/>
  <c r="M11" i="5"/>
  <c r="M23" i="33" s="1"/>
  <c r="E15" i="5"/>
  <c r="E52" i="33" s="1"/>
  <c r="F9" i="5"/>
  <c r="F21" i="33" s="1"/>
  <c r="Q22" i="5"/>
  <c r="F19" i="31" s="1"/>
  <c r="E13" i="5"/>
  <c r="E50" i="33" s="1"/>
  <c r="C6" i="5"/>
  <c r="C18" i="33" s="1"/>
  <c r="L3" i="5"/>
  <c r="L15" i="33" s="1"/>
  <c r="B7" i="5"/>
  <c r="B19" i="33" s="1"/>
  <c r="C79" i="14"/>
  <c r="B14" i="5"/>
  <c r="B51" i="33" s="1"/>
  <c r="N6" i="5"/>
  <c r="N18" i="33" s="1"/>
  <c r="B19" i="5"/>
  <c r="B56" i="33" s="1"/>
  <c r="C13" i="5"/>
  <c r="B4" i="5"/>
  <c r="B16" i="33" s="1"/>
  <c r="C3" i="5"/>
  <c r="C15" i="33" s="1"/>
  <c r="B2" i="5"/>
  <c r="I16" i="5"/>
  <c r="I53" i="33" s="1"/>
  <c r="B21" i="5"/>
  <c r="B58" i="33" s="1"/>
  <c r="B83" i="14"/>
  <c r="B78" i="14"/>
  <c r="F5" i="5"/>
  <c r="F17" i="33" s="1"/>
  <c r="P14" i="5"/>
  <c r="E13" i="31" s="1"/>
  <c r="C74" i="14"/>
  <c r="B6" i="5"/>
  <c r="B18" i="33" s="1"/>
  <c r="B8" i="5"/>
  <c r="B20" i="33" s="1"/>
  <c r="B80" i="14"/>
  <c r="M7" i="5"/>
  <c r="M19" i="33" s="1"/>
  <c r="E9" i="5"/>
  <c r="E21" i="33" s="1"/>
  <c r="I2" i="5"/>
  <c r="I14" i="33" s="1"/>
  <c r="C17" i="5"/>
  <c r="C54" i="33" s="1"/>
  <c r="B3" i="5"/>
  <c r="B15" i="33" s="1"/>
  <c r="C18" i="5"/>
  <c r="C7" i="5"/>
  <c r="C19" i="33" s="1"/>
  <c r="D22" i="5"/>
  <c r="D59" i="33" s="1"/>
  <c r="D20" i="5"/>
  <c r="D57" i="33" s="1"/>
  <c r="G19" i="5"/>
  <c r="J16" i="5"/>
  <c r="J53" i="33" s="1"/>
  <c r="R7" i="5"/>
  <c r="G4" i="31" s="1"/>
  <c r="R3" i="5"/>
  <c r="G2" i="31" s="1"/>
  <c r="K13" i="5"/>
  <c r="K50" i="33" s="1"/>
  <c r="R14" i="5"/>
  <c r="G13" i="31" s="1"/>
  <c r="M20" i="5"/>
  <c r="M57" i="33" s="1"/>
  <c r="D19" i="5"/>
  <c r="D56" i="33" s="1"/>
  <c r="M13" i="5"/>
  <c r="M50" i="33" s="1"/>
  <c r="E19" i="5"/>
  <c r="E56" i="33" s="1"/>
  <c r="G2" i="5"/>
  <c r="G14" i="33" s="1"/>
  <c r="C10" i="5"/>
  <c r="C22" i="33" s="1"/>
  <c r="E21" i="5"/>
  <c r="E58" i="33" s="1"/>
  <c r="E10" i="5"/>
  <c r="E22" i="33" s="1"/>
  <c r="D6" i="5"/>
  <c r="D17" i="5"/>
  <c r="D54" i="33" s="1"/>
  <c r="D3" i="5"/>
  <c r="D14" i="5"/>
  <c r="D51" i="33" s="1"/>
  <c r="J83" i="14"/>
  <c r="J78" i="14"/>
  <c r="J74" i="14"/>
  <c r="J81" i="14"/>
  <c r="J77" i="14"/>
  <c r="J80" i="14"/>
  <c r="J75" i="14"/>
  <c r="J76" i="14"/>
  <c r="J79" i="14"/>
  <c r="G23" i="13"/>
  <c r="H23" i="13"/>
  <c r="P22" i="13"/>
  <c r="S22" i="13" s="1"/>
  <c r="O22" i="13"/>
  <c r="R22" i="13" s="1"/>
  <c r="A26" i="13"/>
  <c r="B26" i="13" s="1"/>
  <c r="U21" i="13"/>
  <c r="D23" i="13"/>
  <c r="Y22" i="13"/>
  <c r="X22" i="13"/>
  <c r="Q23" i="13"/>
  <c r="E24" i="13"/>
  <c r="K24" i="13"/>
  <c r="L24" i="13"/>
  <c r="C24" i="13"/>
  <c r="M23" i="13"/>
  <c r="N23" i="13" s="1"/>
  <c r="F23" i="13"/>
  <c r="M26" i="8" l="1"/>
  <c r="K58" i="33"/>
  <c r="K46" i="33" s="1"/>
  <c r="K35" i="33" s="1"/>
  <c r="K83" i="14"/>
  <c r="K79" i="14"/>
  <c r="K78" i="14"/>
  <c r="K80" i="14"/>
  <c r="K76" i="14"/>
  <c r="K82" i="14"/>
  <c r="K81" i="14"/>
  <c r="K77" i="14"/>
  <c r="K75" i="14"/>
  <c r="G66" i="23"/>
  <c r="G7" i="23"/>
  <c r="F7" i="22"/>
  <c r="S84" i="14"/>
  <c r="T84" i="14"/>
  <c r="Q24" i="5"/>
  <c r="N74" i="14" s="1"/>
  <c r="O74" i="14" s="1"/>
  <c r="P74" i="14" s="1"/>
  <c r="Q74" i="14" s="1"/>
  <c r="F111" i="22"/>
  <c r="G58" i="33"/>
  <c r="G46" i="33" s="1"/>
  <c r="G33" i="33" s="1"/>
  <c r="D18" i="33"/>
  <c r="V6" i="5"/>
  <c r="D19" i="33"/>
  <c r="V7" i="5"/>
  <c r="D22" i="33"/>
  <c r="V10" i="5"/>
  <c r="D20" i="33"/>
  <c r="V8" i="5"/>
  <c r="D23" i="33"/>
  <c r="V11" i="5"/>
  <c r="D15" i="33"/>
  <c r="V3" i="5"/>
  <c r="D16" i="33"/>
  <c r="V4" i="5"/>
  <c r="D21" i="33"/>
  <c r="V9" i="5"/>
  <c r="D14" i="33"/>
  <c r="V2" i="5"/>
  <c r="D17" i="33"/>
  <c r="V5" i="5"/>
  <c r="G57" i="23"/>
  <c r="G47" i="23"/>
  <c r="F18" i="22"/>
  <c r="B24" i="5"/>
  <c r="B73" i="29" s="1"/>
  <c r="B84" i="29" s="1"/>
  <c r="E51" i="33"/>
  <c r="E39" i="33" s="1"/>
  <c r="E26" i="33" s="1"/>
  <c r="F94" i="22"/>
  <c r="G22" i="23"/>
  <c r="G54" i="33"/>
  <c r="G42" i="33" s="1"/>
  <c r="G29" i="33" s="1"/>
  <c r="K59" i="33"/>
  <c r="K47" i="33" s="1"/>
  <c r="K34" i="33" s="1"/>
  <c r="C55" i="33"/>
  <c r="C43" i="33" s="1"/>
  <c r="C28" i="33" s="1"/>
  <c r="C50" i="33"/>
  <c r="C38" i="33" s="1"/>
  <c r="C29" i="33" s="1"/>
  <c r="C57" i="33"/>
  <c r="C45" i="33" s="1"/>
  <c r="C32" i="33" s="1"/>
  <c r="F54" i="33"/>
  <c r="F42" i="33" s="1"/>
  <c r="F31" i="33" s="1"/>
  <c r="G56" i="33"/>
  <c r="G44" i="33" s="1"/>
  <c r="G31" i="33" s="1"/>
  <c r="N52" i="33"/>
  <c r="N40" i="33" s="1"/>
  <c r="N34" i="33" s="1"/>
  <c r="N59" i="33"/>
  <c r="N47" i="33" s="1"/>
  <c r="N32" i="33" s="1"/>
  <c r="N55" i="33"/>
  <c r="N43" i="33" s="1"/>
  <c r="N30" i="33" s="1"/>
  <c r="J51" i="33"/>
  <c r="J39" i="33" s="1"/>
  <c r="J29" i="33" s="1"/>
  <c r="E17" i="23"/>
  <c r="F109" i="22"/>
  <c r="E46" i="33"/>
  <c r="E32" i="33" s="1"/>
  <c r="E123" i="22"/>
  <c r="E85" i="22"/>
  <c r="E68" i="22"/>
  <c r="F49" i="23"/>
  <c r="E78" i="22"/>
  <c r="E54" i="22"/>
  <c r="E16" i="23"/>
  <c r="F80" i="22"/>
  <c r="B44" i="33"/>
  <c r="B29" i="33" s="1"/>
  <c r="G15" i="23"/>
  <c r="B39" i="33"/>
  <c r="B33" i="33" s="1"/>
  <c r="E25" i="22"/>
  <c r="H6" i="23"/>
  <c r="F44" i="33"/>
  <c r="F26" i="33" s="1"/>
  <c r="E27" i="22"/>
  <c r="E92" i="22"/>
  <c r="F14" i="22"/>
  <c r="N38" i="33"/>
  <c r="N27" i="33" s="1"/>
  <c r="F129" i="22"/>
  <c r="L47" i="33"/>
  <c r="L28" i="33" s="1"/>
  <c r="H2" i="23"/>
  <c r="B40" i="33"/>
  <c r="B26" i="33" s="1"/>
  <c r="E19" i="23"/>
  <c r="F87" i="22"/>
  <c r="I44" i="33"/>
  <c r="I28" i="33" s="1"/>
  <c r="F105" i="22"/>
  <c r="N45" i="33"/>
  <c r="N29" i="33" s="1"/>
  <c r="F42" i="22"/>
  <c r="C41" i="33"/>
  <c r="C26" i="33" s="1"/>
  <c r="G50" i="23"/>
  <c r="J42" i="33"/>
  <c r="J35" i="33" s="1"/>
  <c r="G12" i="23"/>
  <c r="L38" i="33"/>
  <c r="L29" i="33" s="1"/>
  <c r="G42" i="23"/>
  <c r="K41" i="33"/>
  <c r="K32" i="33" s="1"/>
  <c r="E51" i="22"/>
  <c r="H50" i="23"/>
  <c r="J47" i="33"/>
  <c r="J30" i="33" s="1"/>
  <c r="H43" i="23"/>
  <c r="M46" i="33"/>
  <c r="M29" i="33" s="1"/>
  <c r="F99" i="22"/>
  <c r="H45" i="33"/>
  <c r="H31" i="33" s="1"/>
  <c r="E128" i="22"/>
  <c r="E56" i="23"/>
  <c r="E122" i="22"/>
  <c r="E5" i="23"/>
  <c r="F66" i="22"/>
  <c r="N42" i="33"/>
  <c r="N31" i="33" s="1"/>
  <c r="E131" i="22"/>
  <c r="G63" i="23"/>
  <c r="F45" i="33"/>
  <c r="F35" i="33" s="1"/>
  <c r="F35" i="22"/>
  <c r="I40" i="33"/>
  <c r="I32" i="33" s="1"/>
  <c r="E24" i="22"/>
  <c r="F71" i="22"/>
  <c r="F43" i="33"/>
  <c r="F30" i="33" s="1"/>
  <c r="E49" i="22"/>
  <c r="E21" i="22"/>
  <c r="E83" i="22"/>
  <c r="E61" i="22"/>
  <c r="F38" i="23"/>
  <c r="F73" i="22"/>
  <c r="H43" i="33"/>
  <c r="H33" i="33" s="1"/>
  <c r="F114" i="22"/>
  <c r="J46" i="33"/>
  <c r="J31" i="33" s="1"/>
  <c r="E46" i="22"/>
  <c r="E101" i="22"/>
  <c r="G30" i="23"/>
  <c r="H40" i="33"/>
  <c r="H29" i="33" s="1"/>
  <c r="G43" i="23"/>
  <c r="M41" i="33"/>
  <c r="M34" i="33" s="1"/>
  <c r="F8" i="22"/>
  <c r="H38" i="33"/>
  <c r="H34" i="33" s="1"/>
  <c r="F30" i="22"/>
  <c r="D40" i="33"/>
  <c r="D35" i="33" s="1"/>
  <c r="F81" i="22"/>
  <c r="C44" i="33"/>
  <c r="C33" i="33" s="1"/>
  <c r="E18" i="22"/>
  <c r="F89" i="22"/>
  <c r="K44" i="33"/>
  <c r="K29" i="33" s="1"/>
  <c r="G26" i="23"/>
  <c r="C40" i="33"/>
  <c r="C31" i="33" s="1"/>
  <c r="F41" i="22"/>
  <c r="B41" i="33"/>
  <c r="B32" i="33" s="1"/>
  <c r="E42" i="22"/>
  <c r="F74" i="22"/>
  <c r="I43" i="33"/>
  <c r="I26" i="33" s="1"/>
  <c r="E65" i="23"/>
  <c r="E9" i="22"/>
  <c r="E8" i="22"/>
  <c r="E52" i="22"/>
  <c r="E45" i="22"/>
  <c r="H53" i="23"/>
  <c r="B46" i="33"/>
  <c r="B31" i="33" s="1"/>
  <c r="F2" i="23"/>
  <c r="E66" i="22"/>
  <c r="F65" i="22"/>
  <c r="M42" i="33"/>
  <c r="M28" i="33" s="1"/>
  <c r="H33" i="23"/>
  <c r="K43" i="33"/>
  <c r="K28" i="33" s="1"/>
  <c r="F67" i="22"/>
  <c r="B43" i="33"/>
  <c r="B34" i="33" s="1"/>
  <c r="G45" i="23"/>
  <c r="B42" i="33"/>
  <c r="B35" i="33" s="1"/>
  <c r="E37" i="23"/>
  <c r="E29" i="22"/>
  <c r="G44" i="23"/>
  <c r="N41" i="33"/>
  <c r="N33" i="33" s="1"/>
  <c r="E126" i="22"/>
  <c r="F6" i="23"/>
  <c r="F70" i="22"/>
  <c r="E43" i="33"/>
  <c r="E35" i="33" s="1"/>
  <c r="F93" i="22"/>
  <c r="B45" i="33"/>
  <c r="B27" i="33" s="1"/>
  <c r="E34" i="23"/>
  <c r="F21" i="23"/>
  <c r="F28" i="23"/>
  <c r="E40" i="22"/>
  <c r="F130" i="22"/>
  <c r="M47" i="33"/>
  <c r="M31" i="33" s="1"/>
  <c r="F39" i="22"/>
  <c r="M40" i="33"/>
  <c r="M30" i="33" s="1"/>
  <c r="E22" i="22"/>
  <c r="H2" i="33"/>
  <c r="E30" i="22"/>
  <c r="G64" i="23"/>
  <c r="J64" i="23" s="1"/>
  <c r="G45" i="33"/>
  <c r="G34" i="33" s="1"/>
  <c r="E39" i="22"/>
  <c r="E32" i="22"/>
  <c r="F103" i="22"/>
  <c r="L45" i="33"/>
  <c r="L32" i="33" s="1"/>
  <c r="F125" i="22"/>
  <c r="H47" i="33"/>
  <c r="H27" i="33" s="1"/>
  <c r="G16" i="23"/>
  <c r="C39" i="33"/>
  <c r="C30" i="33" s="1"/>
  <c r="H54" i="23"/>
  <c r="E47" i="33"/>
  <c r="E31" i="33" s="1"/>
  <c r="F60" i="22"/>
  <c r="H42" i="33"/>
  <c r="H32" i="33" s="1"/>
  <c r="F63" i="22"/>
  <c r="K42" i="33"/>
  <c r="K26" i="33" s="1"/>
  <c r="F69" i="22"/>
  <c r="D43" i="33"/>
  <c r="D29" i="33" s="1"/>
  <c r="F9" i="23"/>
  <c r="F116" i="22"/>
  <c r="L46" i="33"/>
  <c r="L30" i="33" s="1"/>
  <c r="E59" i="23"/>
  <c r="E77" i="22"/>
  <c r="F37" i="22"/>
  <c r="K40" i="33"/>
  <c r="K31" i="33" s="1"/>
  <c r="H41" i="23"/>
  <c r="I47" i="33"/>
  <c r="I29" i="33" s="1"/>
  <c r="F46" i="23"/>
  <c r="E31" i="22"/>
  <c r="E103" i="22"/>
  <c r="F33" i="23"/>
  <c r="F17" i="23"/>
  <c r="F25" i="22"/>
  <c r="L39" i="33"/>
  <c r="L31" i="33" s="1"/>
  <c r="F31" i="23"/>
  <c r="F108" i="22"/>
  <c r="D46" i="33"/>
  <c r="D30" i="33" s="1"/>
  <c r="H25" i="23"/>
  <c r="M44" i="33"/>
  <c r="M27" i="33" s="1"/>
  <c r="F53" i="23"/>
  <c r="E121" i="22"/>
  <c r="G25" i="23"/>
  <c r="J25" i="23" s="1"/>
  <c r="M39" i="33"/>
  <c r="M32" i="33" s="1"/>
  <c r="E88" i="22"/>
  <c r="E54" i="23"/>
  <c r="F42" i="23"/>
  <c r="E37" i="22"/>
  <c r="G4" i="23"/>
  <c r="D38" i="33"/>
  <c r="D33" i="33" s="1"/>
  <c r="F78" i="22"/>
  <c r="M43" i="33"/>
  <c r="M35" i="33" s="1"/>
  <c r="G61" i="23"/>
  <c r="L44" i="33"/>
  <c r="L33" i="33" s="1"/>
  <c r="F118" i="22"/>
  <c r="N46" i="33"/>
  <c r="N28" i="33" s="1"/>
  <c r="F75" i="22"/>
  <c r="J43" i="33"/>
  <c r="J34" i="33" s="1"/>
  <c r="F57" i="23"/>
  <c r="G13" i="23"/>
  <c r="M38" i="33"/>
  <c r="M33" i="33" s="1"/>
  <c r="F95" i="22"/>
  <c r="D45" i="33"/>
  <c r="D26" i="33" s="1"/>
  <c r="E56" i="22"/>
  <c r="E7" i="22"/>
  <c r="F82" i="22"/>
  <c r="D44" i="33"/>
  <c r="D27" i="33" s="1"/>
  <c r="G11" i="23"/>
  <c r="K38" i="33"/>
  <c r="K30" i="33" s="1"/>
  <c r="H22" i="23"/>
  <c r="J41" i="33"/>
  <c r="J27" i="33" s="1"/>
  <c r="E15" i="22"/>
  <c r="F20" i="23"/>
  <c r="G41" i="23"/>
  <c r="I41" i="33"/>
  <c r="I35" i="33" s="1"/>
  <c r="E19" i="22"/>
  <c r="E67" i="22"/>
  <c r="F16" i="23"/>
  <c r="E63" i="23"/>
  <c r="F58" i="23"/>
  <c r="F112" i="22"/>
  <c r="H46" i="33"/>
  <c r="H26" i="33" s="1"/>
  <c r="F43" i="22"/>
  <c r="D41" i="33"/>
  <c r="D31" i="33" s="1"/>
  <c r="F19" i="22"/>
  <c r="F39" i="33"/>
  <c r="F29" i="33" s="1"/>
  <c r="G10" i="23"/>
  <c r="J38" i="33"/>
  <c r="J32" i="33" s="1"/>
  <c r="E10" i="23"/>
  <c r="E99" i="22"/>
  <c r="E48" i="22"/>
  <c r="E102" i="22"/>
  <c r="E72" i="22"/>
  <c r="E127" i="22"/>
  <c r="H30" i="23"/>
  <c r="H41" i="33"/>
  <c r="H28" i="33" s="1"/>
  <c r="E90" i="22"/>
  <c r="G6" i="23"/>
  <c r="F38" i="33"/>
  <c r="F32" i="33" s="1"/>
  <c r="E116" i="22"/>
  <c r="F86" i="22"/>
  <c r="H44" i="33"/>
  <c r="H30" i="33" s="1"/>
  <c r="E34" i="22"/>
  <c r="E98" i="22"/>
  <c r="H2" i="10"/>
  <c r="H14" i="10" s="1"/>
  <c r="H45" i="23"/>
  <c r="B47" i="33"/>
  <c r="B30" i="33" s="1"/>
  <c r="H21" i="23"/>
  <c r="I46" i="33"/>
  <c r="I27" i="33" s="1"/>
  <c r="G21" i="23"/>
  <c r="I39" i="33"/>
  <c r="I34" i="33" s="1"/>
  <c r="E31" i="23"/>
  <c r="G29" i="23"/>
  <c r="F40" i="33"/>
  <c r="F34" i="33" s="1"/>
  <c r="H63" i="23"/>
  <c r="F47" i="33"/>
  <c r="F33" i="33" s="1"/>
  <c r="H18" i="23"/>
  <c r="F41" i="33"/>
  <c r="F27" i="33" s="1"/>
  <c r="G51" i="23"/>
  <c r="L42" i="33"/>
  <c r="L34" i="33" s="1"/>
  <c r="F61" i="22"/>
  <c r="I42" i="33"/>
  <c r="I33" i="33" s="1"/>
  <c r="F27" i="22"/>
  <c r="N39" i="33"/>
  <c r="N26" i="33" s="1"/>
  <c r="E95" i="22"/>
  <c r="E59" i="22"/>
  <c r="H10" i="23"/>
  <c r="J44" i="33"/>
  <c r="J26" i="33" s="1"/>
  <c r="E13" i="23"/>
  <c r="E50" i="22"/>
  <c r="F72" i="22"/>
  <c r="G43" i="33"/>
  <c r="G32" i="33" s="1"/>
  <c r="H28" i="23"/>
  <c r="E42" i="33"/>
  <c r="E28" i="33" s="1"/>
  <c r="E25" i="23"/>
  <c r="E39" i="23"/>
  <c r="G32" i="23"/>
  <c r="J40" i="33"/>
  <c r="J33" i="33" s="1"/>
  <c r="E53" i="22"/>
  <c r="E58" i="22"/>
  <c r="F107" i="22"/>
  <c r="C46" i="33"/>
  <c r="C35" i="33" s="1"/>
  <c r="E65" i="22"/>
  <c r="G34" i="23"/>
  <c r="L40" i="33"/>
  <c r="L35" i="33" s="1"/>
  <c r="F34" i="23"/>
  <c r="E12" i="23"/>
  <c r="E119" i="22"/>
  <c r="E75" i="22"/>
  <c r="E11" i="23"/>
  <c r="E51" i="23"/>
  <c r="F56" i="22"/>
  <c r="D42" i="33"/>
  <c r="D34" i="33" s="1"/>
  <c r="G17" i="23"/>
  <c r="D39" i="33"/>
  <c r="D32" i="33" s="1"/>
  <c r="E109" i="22"/>
  <c r="F83" i="22"/>
  <c r="E44" i="33"/>
  <c r="E34" i="33" s="1"/>
  <c r="F104" i="22"/>
  <c r="M45" i="33"/>
  <c r="M26" i="33" s="1"/>
  <c r="F121" i="22"/>
  <c r="D47" i="33"/>
  <c r="D28" i="33" s="1"/>
  <c r="H16" i="23"/>
  <c r="C42" i="33"/>
  <c r="C27" i="33" s="1"/>
  <c r="E96" i="22"/>
  <c r="B5" i="33"/>
  <c r="E118" i="22"/>
  <c r="AI33" i="33"/>
  <c r="B14" i="33"/>
  <c r="W32" i="33" s="1"/>
  <c r="F65" i="23"/>
  <c r="E115" i="22"/>
  <c r="F5" i="22"/>
  <c r="E38" i="33"/>
  <c r="E27" i="33" s="1"/>
  <c r="G28" i="23"/>
  <c r="E40" i="33"/>
  <c r="E30" i="33" s="1"/>
  <c r="F51" i="22"/>
  <c r="L41" i="33"/>
  <c r="L26" i="33" s="1"/>
  <c r="G19" i="23"/>
  <c r="G39" i="33"/>
  <c r="G28" i="33" s="1"/>
  <c r="F52" i="23"/>
  <c r="N5" i="33"/>
  <c r="E111" i="22"/>
  <c r="F19" i="23"/>
  <c r="H29" i="23"/>
  <c r="F46" i="33"/>
  <c r="F28" i="33" s="1"/>
  <c r="H39" i="23"/>
  <c r="E45" i="33"/>
  <c r="E29" i="33" s="1"/>
  <c r="H7" i="23"/>
  <c r="G47" i="33"/>
  <c r="G26" i="33" s="1"/>
  <c r="E36" i="22"/>
  <c r="G20" i="23"/>
  <c r="H39" i="33"/>
  <c r="H35" i="33" s="1"/>
  <c r="E60" i="22"/>
  <c r="E6" i="23"/>
  <c r="H23" i="23"/>
  <c r="K45" i="33"/>
  <c r="K27" i="33" s="1"/>
  <c r="E117" i="22"/>
  <c r="E14" i="22"/>
  <c r="E63" i="22"/>
  <c r="E62" i="22"/>
  <c r="E23" i="22"/>
  <c r="E47" i="22"/>
  <c r="F15" i="23"/>
  <c r="G23" i="23"/>
  <c r="K39" i="33"/>
  <c r="K33" i="33" s="1"/>
  <c r="E94" i="22"/>
  <c r="F25" i="23"/>
  <c r="H19" i="23"/>
  <c r="G40" i="33"/>
  <c r="G27" i="33" s="1"/>
  <c r="E43" i="22"/>
  <c r="G40" i="23"/>
  <c r="G41" i="33"/>
  <c r="G30" i="33" s="1"/>
  <c r="F101" i="22"/>
  <c r="J45" i="33"/>
  <c r="J28" i="33" s="1"/>
  <c r="F4" i="33"/>
  <c r="E104" i="22"/>
  <c r="F100" i="22"/>
  <c r="I45" i="33"/>
  <c r="I30" i="33" s="1"/>
  <c r="F77" i="22"/>
  <c r="L43" i="33"/>
  <c r="L27" i="33" s="1"/>
  <c r="F44" i="22"/>
  <c r="E41" i="33"/>
  <c r="E33" i="33" s="1"/>
  <c r="F9" i="22"/>
  <c r="I38" i="33"/>
  <c r="I31" i="33" s="1"/>
  <c r="F120" i="22"/>
  <c r="C47" i="33"/>
  <c r="C34" i="33" s="1"/>
  <c r="F48" i="23"/>
  <c r="F2" i="22"/>
  <c r="B50" i="33"/>
  <c r="B38" i="33" s="1"/>
  <c r="B28" i="33" s="1"/>
  <c r="E3" i="22"/>
  <c r="E124" i="22"/>
  <c r="F47" i="23"/>
  <c r="G62" i="23"/>
  <c r="N44" i="33"/>
  <c r="N35" i="33" s="1"/>
  <c r="H9" i="23"/>
  <c r="E76" i="31"/>
  <c r="H36" i="23"/>
  <c r="G37" i="23"/>
  <c r="H42" i="23"/>
  <c r="E3" i="23"/>
  <c r="G2" i="23"/>
  <c r="F29" i="22"/>
  <c r="G2" i="10"/>
  <c r="G14" i="10" s="1"/>
  <c r="G9" i="23"/>
  <c r="E70" i="22"/>
  <c r="I7" i="10"/>
  <c r="I19" i="10" s="1"/>
  <c r="F38" i="22"/>
  <c r="E47" i="23"/>
  <c r="F45" i="23"/>
  <c r="Q33" i="5"/>
  <c r="N83" i="14" s="1"/>
  <c r="O83" i="14" s="1"/>
  <c r="P83" i="14" s="1"/>
  <c r="Q83" i="14" s="1"/>
  <c r="G65" i="23"/>
  <c r="G39" i="23"/>
  <c r="H65" i="23"/>
  <c r="Q32" i="5"/>
  <c r="N82" i="14" s="1"/>
  <c r="O82" i="14" s="1"/>
  <c r="P82" i="14" s="1"/>
  <c r="Q82" i="14" s="1"/>
  <c r="H49" i="23"/>
  <c r="E106" i="22"/>
  <c r="G27" i="23"/>
  <c r="E26" i="22"/>
  <c r="H24" i="23"/>
  <c r="F59" i="23"/>
  <c r="E60" i="23"/>
  <c r="G55" i="23"/>
  <c r="E82" i="22"/>
  <c r="F88" i="22"/>
  <c r="F52" i="22"/>
  <c r="F46" i="22"/>
  <c r="E20" i="23"/>
  <c r="E108" i="22"/>
  <c r="I8" i="10"/>
  <c r="I20" i="10" s="1"/>
  <c r="E44" i="22"/>
  <c r="E42" i="23"/>
  <c r="F5" i="23"/>
  <c r="I3" i="10"/>
  <c r="I15" i="10" s="1"/>
  <c r="H8" i="10"/>
  <c r="H20" i="10" s="1"/>
  <c r="F79" i="22"/>
  <c r="H52" i="23"/>
  <c r="F32" i="23"/>
  <c r="H57" i="23"/>
  <c r="E23" i="23"/>
  <c r="E61" i="23"/>
  <c r="F56" i="23"/>
  <c r="F24" i="23"/>
  <c r="G8" i="23"/>
  <c r="H32" i="23"/>
  <c r="G33" i="23"/>
  <c r="E81" i="22"/>
  <c r="E110" i="22"/>
  <c r="F29" i="23"/>
  <c r="H10" i="10"/>
  <c r="H22" i="10" s="1"/>
  <c r="S2" i="5"/>
  <c r="E132" i="22" s="1"/>
  <c r="E71" i="22"/>
  <c r="F64" i="22"/>
  <c r="F28" i="5"/>
  <c r="F4" i="23"/>
  <c r="T11" i="5"/>
  <c r="E151" i="22" s="1"/>
  <c r="G9" i="10"/>
  <c r="G21" i="10" s="1"/>
  <c r="F113" i="22"/>
  <c r="E55" i="23"/>
  <c r="E62" i="23"/>
  <c r="F7" i="23"/>
  <c r="E14" i="23"/>
  <c r="H20" i="23"/>
  <c r="E35" i="23"/>
  <c r="F16" i="22"/>
  <c r="S15" i="5"/>
  <c r="F134" i="22" s="1"/>
  <c r="E27" i="23"/>
  <c r="F24" i="22"/>
  <c r="G31" i="23"/>
  <c r="F4" i="22"/>
  <c r="E29" i="23"/>
  <c r="F22" i="23"/>
  <c r="F6" i="22"/>
  <c r="G52" i="23"/>
  <c r="G48" i="23"/>
  <c r="H61" i="23"/>
  <c r="E93" i="22"/>
  <c r="F131" i="22"/>
  <c r="H62" i="23"/>
  <c r="F36" i="22"/>
  <c r="E86" i="22"/>
  <c r="E41" i="23"/>
  <c r="E35" i="22"/>
  <c r="S19" i="5"/>
  <c r="F138" i="22" s="1"/>
  <c r="H4" i="10"/>
  <c r="H16" i="10" s="1"/>
  <c r="H9" i="10"/>
  <c r="H21" i="10" s="1"/>
  <c r="H46" i="23"/>
  <c r="S13" i="5"/>
  <c r="F132" i="22" s="1"/>
  <c r="T21" i="5"/>
  <c r="F150" i="22" s="1"/>
  <c r="Q31" i="5"/>
  <c r="N81" i="14" s="1"/>
  <c r="O81" i="14" s="1"/>
  <c r="P81" i="14" s="1"/>
  <c r="Q81" i="14" s="1"/>
  <c r="F117" i="22"/>
  <c r="F32" i="22"/>
  <c r="E49" i="23"/>
  <c r="F92" i="22"/>
  <c r="E114" i="22"/>
  <c r="E11" i="22"/>
  <c r="S18" i="5"/>
  <c r="F137" i="22" s="1"/>
  <c r="F97" i="22"/>
  <c r="F122" i="22"/>
  <c r="E48" i="23"/>
  <c r="E5" i="22"/>
  <c r="B62" i="31"/>
  <c r="G8" i="10"/>
  <c r="G20" i="10" s="1"/>
  <c r="F20" i="22"/>
  <c r="H47" i="23"/>
  <c r="H38" i="23"/>
  <c r="H14" i="23"/>
  <c r="F33" i="22"/>
  <c r="F126" i="22"/>
  <c r="F29" i="5"/>
  <c r="F78" i="29" s="1"/>
  <c r="F89" i="29" s="1"/>
  <c r="F14" i="23"/>
  <c r="G38" i="23"/>
  <c r="G18" i="23"/>
  <c r="E55" i="22"/>
  <c r="E113" i="22"/>
  <c r="F22" i="22"/>
  <c r="E57" i="22"/>
  <c r="E91" i="22"/>
  <c r="E33" i="23"/>
  <c r="S17" i="5"/>
  <c r="F136" i="22" s="1"/>
  <c r="G6" i="10"/>
  <c r="G18" i="10" s="1"/>
  <c r="I11" i="10"/>
  <c r="I23" i="10" s="1"/>
  <c r="E10" i="22"/>
  <c r="E66" i="23"/>
  <c r="E73" i="22"/>
  <c r="E130" i="22"/>
  <c r="F66" i="23"/>
  <c r="K27" i="5"/>
  <c r="K76" i="29" s="1"/>
  <c r="K87" i="29" s="1"/>
  <c r="E12" i="22"/>
  <c r="E40" i="23"/>
  <c r="H11" i="23"/>
  <c r="S11" i="5"/>
  <c r="E141" i="22" s="1"/>
  <c r="N24" i="5"/>
  <c r="N73" i="29" s="1"/>
  <c r="N84" i="29" s="1"/>
  <c r="F84" i="22"/>
  <c r="E54" i="31"/>
  <c r="H11" i="10"/>
  <c r="H23" i="10" s="1"/>
  <c r="I5" i="10"/>
  <c r="I17" i="10" s="1"/>
  <c r="E33" i="5"/>
  <c r="E82" i="29" s="1"/>
  <c r="E93" i="29" s="1"/>
  <c r="E89" i="22"/>
  <c r="F11" i="22"/>
  <c r="F96" i="22"/>
  <c r="E22" i="23"/>
  <c r="F12" i="22"/>
  <c r="H51" i="23"/>
  <c r="F21" i="22"/>
  <c r="K30" i="5"/>
  <c r="T8" i="5"/>
  <c r="E148" i="22" s="1"/>
  <c r="I2" i="10"/>
  <c r="I14" i="10" s="1"/>
  <c r="G35" i="23"/>
  <c r="E57" i="23"/>
  <c r="E30" i="23"/>
  <c r="F54" i="23"/>
  <c r="F35" i="23"/>
  <c r="J32" i="5"/>
  <c r="I6" i="10"/>
  <c r="I18" i="10" s="1"/>
  <c r="H5" i="10"/>
  <c r="H17" i="10" s="1"/>
  <c r="E38" i="23"/>
  <c r="F40" i="23"/>
  <c r="I40" i="23" s="1"/>
  <c r="F30" i="23"/>
  <c r="I30" i="23" s="1"/>
  <c r="F43" i="23"/>
  <c r="S20" i="5"/>
  <c r="F139" i="22" s="1"/>
  <c r="G4" i="10"/>
  <c r="G16" i="10" s="1"/>
  <c r="E29" i="5"/>
  <c r="E78" i="29" s="1"/>
  <c r="E89" i="29" s="1"/>
  <c r="H28" i="5"/>
  <c r="H77" i="29" s="1"/>
  <c r="H88" i="29" s="1"/>
  <c r="G54" i="23"/>
  <c r="F53" i="22"/>
  <c r="E13" i="22"/>
  <c r="E52" i="23"/>
  <c r="F26" i="5"/>
  <c r="F75" i="29" s="1"/>
  <c r="F86" i="29" s="1"/>
  <c r="F110" i="22"/>
  <c r="F50" i="23"/>
  <c r="E4" i="22"/>
  <c r="E38" i="22"/>
  <c r="E33" i="22"/>
  <c r="S6" i="5"/>
  <c r="E136" i="22" s="1"/>
  <c r="S16" i="5"/>
  <c r="F135" i="22" s="1"/>
  <c r="E21" i="23"/>
  <c r="E4" i="23"/>
  <c r="F62" i="23"/>
  <c r="H48" i="23"/>
  <c r="E36" i="23"/>
  <c r="F119" i="22"/>
  <c r="T13" i="5"/>
  <c r="F142" i="22" s="1"/>
  <c r="T17" i="5"/>
  <c r="F146" i="22" s="1"/>
  <c r="T3" i="5"/>
  <c r="E143" i="22" s="1"/>
  <c r="E64" i="23"/>
  <c r="G24" i="23"/>
  <c r="E129" i="22"/>
  <c r="F31" i="22"/>
  <c r="E84" i="22"/>
  <c r="F124" i="22"/>
  <c r="N10" i="31"/>
  <c r="H3" i="10"/>
  <c r="H15" i="10" s="1"/>
  <c r="I25" i="5"/>
  <c r="I74" i="29" s="1"/>
  <c r="I85" i="29" s="1"/>
  <c r="I32" i="5"/>
  <c r="I81" i="29" s="1"/>
  <c r="I92" i="29" s="1"/>
  <c r="F45" i="22"/>
  <c r="G14" i="23"/>
  <c r="E74" i="22"/>
  <c r="F10" i="22"/>
  <c r="F98" i="22"/>
  <c r="J28" i="5"/>
  <c r="G5" i="10"/>
  <c r="G17" i="10" s="1"/>
  <c r="H31" i="23"/>
  <c r="E80" i="22"/>
  <c r="E20" i="22"/>
  <c r="E50" i="23"/>
  <c r="M25" i="5"/>
  <c r="M74" i="29" s="1"/>
  <c r="M85" i="29" s="1"/>
  <c r="F91" i="22"/>
  <c r="K7" i="31"/>
  <c r="H24" i="5"/>
  <c r="H73" i="29" s="1"/>
  <c r="H84" i="29" s="1"/>
  <c r="S9" i="5"/>
  <c r="E139" i="22" s="1"/>
  <c r="F25" i="5"/>
  <c r="T10" i="5"/>
  <c r="E150" i="22" s="1"/>
  <c r="T16" i="5"/>
  <c r="F145" i="22" s="1"/>
  <c r="I4" i="10"/>
  <c r="I16" i="10" s="1"/>
  <c r="L33" i="5"/>
  <c r="L82" i="29" s="1"/>
  <c r="L93" i="29" s="1"/>
  <c r="N25" i="5"/>
  <c r="M32" i="5"/>
  <c r="G26" i="5"/>
  <c r="G75" i="29" s="1"/>
  <c r="G86" i="29" s="1"/>
  <c r="G58" i="23"/>
  <c r="F127" i="22"/>
  <c r="F8" i="23"/>
  <c r="H58" i="23"/>
  <c r="F27" i="23"/>
  <c r="B76" i="31"/>
  <c r="F3" i="23"/>
  <c r="E53" i="23"/>
  <c r="H33" i="5"/>
  <c r="H82" i="29" s="1"/>
  <c r="H93" i="29" s="1"/>
  <c r="L32" i="5"/>
  <c r="L81" i="29" s="1"/>
  <c r="L92" i="29" s="1"/>
  <c r="D33" i="5"/>
  <c r="D82" i="29" s="1"/>
  <c r="D93" i="29" s="1"/>
  <c r="F12" i="23"/>
  <c r="H34" i="23"/>
  <c r="F57" i="22"/>
  <c r="E32" i="23"/>
  <c r="E28" i="23"/>
  <c r="E8" i="23"/>
  <c r="H44" i="23"/>
  <c r="E112" i="22"/>
  <c r="F47" i="22"/>
  <c r="J31" i="5"/>
  <c r="J80" i="29" s="1"/>
  <c r="J91" i="29" s="1"/>
  <c r="H3" i="23"/>
  <c r="E28" i="22"/>
  <c r="T15" i="5"/>
  <c r="F144" i="22" s="1"/>
  <c r="T6" i="5"/>
  <c r="E146" i="22" s="1"/>
  <c r="Q29" i="5"/>
  <c r="N79" i="14" s="1"/>
  <c r="O79" i="14" s="1"/>
  <c r="P79" i="14" s="1"/>
  <c r="Q79" i="14" s="1"/>
  <c r="M29" i="5"/>
  <c r="M78" i="29" s="1"/>
  <c r="M89" i="29" s="1"/>
  <c r="L29" i="5"/>
  <c r="L78" i="29" s="1"/>
  <c r="L89" i="29" s="1"/>
  <c r="L27" i="5"/>
  <c r="L76" i="29" s="1"/>
  <c r="L87" i="29" s="1"/>
  <c r="E24" i="23"/>
  <c r="F51" i="23"/>
  <c r="J26" i="5"/>
  <c r="D26" i="5"/>
  <c r="N30" i="5"/>
  <c r="F41" i="23"/>
  <c r="H27" i="23"/>
  <c r="E43" i="23"/>
  <c r="H12" i="23"/>
  <c r="F90" i="22"/>
  <c r="J29" i="5"/>
  <c r="J78" i="29" s="1"/>
  <c r="J89" i="29" s="1"/>
  <c r="B82" i="31"/>
  <c r="F15" i="22"/>
  <c r="B54" i="31"/>
  <c r="J33" i="5"/>
  <c r="J82" i="29" s="1"/>
  <c r="J93" i="29" s="1"/>
  <c r="H25" i="5"/>
  <c r="E125" i="22"/>
  <c r="E2" i="22"/>
  <c r="L30" i="5"/>
  <c r="L3" i="31"/>
  <c r="E56" i="31" s="1"/>
  <c r="K31" i="5"/>
  <c r="K80" i="29" s="1"/>
  <c r="K91" i="29" s="1"/>
  <c r="L10" i="31"/>
  <c r="F24" i="5"/>
  <c r="F73" i="29" s="1"/>
  <c r="F84" i="29" s="1"/>
  <c r="M8" i="31"/>
  <c r="G25" i="5"/>
  <c r="G74" i="29" s="1"/>
  <c r="G85" i="29" s="1"/>
  <c r="L8" i="31"/>
  <c r="K25" i="5"/>
  <c r="K24" i="5"/>
  <c r="K73" i="29" s="1"/>
  <c r="K84" i="29" s="1"/>
  <c r="F18" i="23"/>
  <c r="F106" i="22"/>
  <c r="J30" i="5"/>
  <c r="T4" i="5"/>
  <c r="E144" i="22" s="1"/>
  <c r="S3" i="5"/>
  <c r="E133" i="22" s="1"/>
  <c r="Q26" i="5"/>
  <c r="N76" i="14" s="1"/>
  <c r="O76" i="14" s="1"/>
  <c r="P76" i="14" s="1"/>
  <c r="Q76" i="14" s="1"/>
  <c r="M27" i="5"/>
  <c r="M76" i="29" s="1"/>
  <c r="M87" i="29" s="1"/>
  <c r="L25" i="5"/>
  <c r="H31" i="5"/>
  <c r="H80" i="29" s="1"/>
  <c r="H91" i="29" s="1"/>
  <c r="L31" i="5"/>
  <c r="L80" i="29" s="1"/>
  <c r="L91" i="29" s="1"/>
  <c r="F23" i="23"/>
  <c r="E6" i="22"/>
  <c r="E87" i="22"/>
  <c r="F61" i="23"/>
  <c r="F102" i="22"/>
  <c r="C31" i="5"/>
  <c r="B32" i="5"/>
  <c r="K28" i="5"/>
  <c r="B70" i="31"/>
  <c r="M7" i="31"/>
  <c r="I12" i="31"/>
  <c r="N33" i="5"/>
  <c r="N82" i="29" s="1"/>
  <c r="N93" i="29" s="1"/>
  <c r="H60" i="23"/>
  <c r="E17" i="22"/>
  <c r="L26" i="5"/>
  <c r="F11" i="23"/>
  <c r="L9" i="31"/>
  <c r="F55" i="22"/>
  <c r="Q30" i="5"/>
  <c r="N80" i="14" s="1"/>
  <c r="O80" i="14" s="1"/>
  <c r="P80" i="14" s="1"/>
  <c r="Q80" i="14" s="1"/>
  <c r="H7" i="10"/>
  <c r="H19" i="10" s="1"/>
  <c r="Q25" i="5"/>
  <c r="N75" i="14" s="1"/>
  <c r="O75" i="14" s="1"/>
  <c r="P75" i="14" s="1"/>
  <c r="Q75" i="14" s="1"/>
  <c r="F32" i="5"/>
  <c r="F81" i="29" s="1"/>
  <c r="F92" i="29" s="1"/>
  <c r="H32" i="5"/>
  <c r="M30" i="5"/>
  <c r="M79" i="29" s="1"/>
  <c r="M90" i="29" s="1"/>
  <c r="E28" i="5"/>
  <c r="E77" i="29" s="1"/>
  <c r="E88" i="29" s="1"/>
  <c r="H30" i="5"/>
  <c r="H79" i="29" s="1"/>
  <c r="H90" i="29" s="1"/>
  <c r="F26" i="22"/>
  <c r="F62" i="22"/>
  <c r="F50" i="22"/>
  <c r="F34" i="22"/>
  <c r="F28" i="22"/>
  <c r="H15" i="23"/>
  <c r="K33" i="5"/>
  <c r="K82" i="29" s="1"/>
  <c r="K93" i="29" s="1"/>
  <c r="K9" i="31"/>
  <c r="I27" i="5"/>
  <c r="I76" i="29" s="1"/>
  <c r="I87" i="29" s="1"/>
  <c r="C24" i="5"/>
  <c r="C73" i="29" s="1"/>
  <c r="C84" i="29" s="1"/>
  <c r="T2" i="5"/>
  <c r="E142" i="22" s="1"/>
  <c r="T9" i="5"/>
  <c r="E149" i="22" s="1"/>
  <c r="E69" i="22"/>
  <c r="K29" i="5"/>
  <c r="K78" i="29" s="1"/>
  <c r="K89" i="29" s="1"/>
  <c r="S4" i="5"/>
  <c r="E134" i="22" s="1"/>
  <c r="T18" i="5"/>
  <c r="F147" i="22" s="1"/>
  <c r="T20" i="5"/>
  <c r="F149" i="22" s="1"/>
  <c r="Q27" i="5"/>
  <c r="N77" i="14" s="1"/>
  <c r="O77" i="14" s="1"/>
  <c r="P77" i="14" s="1"/>
  <c r="Q77" i="14" s="1"/>
  <c r="F33" i="5"/>
  <c r="F82" i="29" s="1"/>
  <c r="F93" i="29" s="1"/>
  <c r="E25" i="5"/>
  <c r="E76" i="22"/>
  <c r="F76" i="22"/>
  <c r="F26" i="23"/>
  <c r="G31" i="5"/>
  <c r="G80" i="29" s="1"/>
  <c r="G91" i="29" s="1"/>
  <c r="F49" i="22"/>
  <c r="E97" i="22"/>
  <c r="E70" i="31"/>
  <c r="E16" i="22"/>
  <c r="K4" i="31"/>
  <c r="M4" i="31" s="1"/>
  <c r="N6" i="31"/>
  <c r="K10" i="31"/>
  <c r="T19" i="5"/>
  <c r="F148" i="22" s="1"/>
  <c r="T7" i="5"/>
  <c r="E147" i="22" s="1"/>
  <c r="S5" i="5"/>
  <c r="E135" i="22" s="1"/>
  <c r="T22" i="5"/>
  <c r="F151" i="22" s="1"/>
  <c r="H26" i="5"/>
  <c r="I33" i="5"/>
  <c r="I82" i="29" s="1"/>
  <c r="I93" i="29" s="1"/>
  <c r="L28" i="5"/>
  <c r="L77" i="29" s="1"/>
  <c r="L88" i="29" s="1"/>
  <c r="L24" i="5"/>
  <c r="L73" i="29" s="1"/>
  <c r="L84" i="29" s="1"/>
  <c r="H13" i="23"/>
  <c r="H8" i="23"/>
  <c r="F48" i="22"/>
  <c r="K2" i="31"/>
  <c r="M2" i="31" s="1"/>
  <c r="K6" i="31"/>
  <c r="F3" i="22"/>
  <c r="B29" i="5"/>
  <c r="B78" i="29" s="1"/>
  <c r="B89" i="29" s="1"/>
  <c r="G59" i="23"/>
  <c r="J59" i="23" s="1"/>
  <c r="E15" i="23"/>
  <c r="E62" i="31"/>
  <c r="E26" i="23"/>
  <c r="G3" i="23"/>
  <c r="C30" i="5"/>
  <c r="AD81" i="5" s="1"/>
  <c r="F54" i="22"/>
  <c r="B25" i="5"/>
  <c r="G53" i="23"/>
  <c r="G27" i="5"/>
  <c r="G76" i="29" s="1"/>
  <c r="G87" i="29" s="1"/>
  <c r="B84" i="14"/>
  <c r="H78" i="14" s="1"/>
  <c r="C84" i="14"/>
  <c r="I76" i="14" s="1"/>
  <c r="K11" i="31"/>
  <c r="N28" i="5"/>
  <c r="K8" i="31"/>
  <c r="L6" i="31"/>
  <c r="M28" i="5"/>
  <c r="M77" i="29" s="1"/>
  <c r="M88" i="29" s="1"/>
  <c r="H35" i="23"/>
  <c r="F123" i="22"/>
  <c r="F63" i="23"/>
  <c r="F13" i="23"/>
  <c r="S21" i="5"/>
  <c r="S10" i="5"/>
  <c r="E140" i="22" s="1"/>
  <c r="I10" i="10"/>
  <c r="I22" i="10" s="1"/>
  <c r="E26" i="5"/>
  <c r="E75" i="29" s="1"/>
  <c r="E86" i="29" s="1"/>
  <c r="M26" i="5"/>
  <c r="M3" i="9" s="1"/>
  <c r="M5" i="9" s="1"/>
  <c r="F30" i="5"/>
  <c r="J24" i="5"/>
  <c r="J73" i="29" s="1"/>
  <c r="J84" i="29" s="1"/>
  <c r="H27" i="5"/>
  <c r="H76" i="29" s="1"/>
  <c r="H87" i="29" s="1"/>
  <c r="F10" i="23"/>
  <c r="F60" i="23"/>
  <c r="E64" i="22"/>
  <c r="B33" i="5"/>
  <c r="B82" i="29" s="1"/>
  <c r="B93" i="29" s="1"/>
  <c r="E105" i="22"/>
  <c r="F44" i="23"/>
  <c r="N31" i="5"/>
  <c r="N80" i="29" s="1"/>
  <c r="N91" i="29" s="1"/>
  <c r="N27" i="5"/>
  <c r="N76" i="29" s="1"/>
  <c r="N87" i="29" s="1"/>
  <c r="H6" i="10"/>
  <c r="H18" i="10" s="1"/>
  <c r="G3" i="10"/>
  <c r="G15" i="10" s="1"/>
  <c r="E24" i="5"/>
  <c r="E73" i="29" s="1"/>
  <c r="E84" i="29" s="1"/>
  <c r="N29" i="5"/>
  <c r="N78" i="29" s="1"/>
  <c r="N89" i="29" s="1"/>
  <c r="I26" i="5"/>
  <c r="D29" i="5"/>
  <c r="D78" i="29" s="1"/>
  <c r="D89" i="29" s="1"/>
  <c r="F64" i="23"/>
  <c r="H56" i="23"/>
  <c r="E79" i="22"/>
  <c r="G5" i="23"/>
  <c r="J5" i="23" s="1"/>
  <c r="E58" i="23"/>
  <c r="K26" i="5"/>
  <c r="M11" i="31"/>
  <c r="L7" i="31"/>
  <c r="C28" i="5"/>
  <c r="C77" i="29" s="1"/>
  <c r="C88" i="29" s="1"/>
  <c r="L11" i="31"/>
  <c r="C27" i="5"/>
  <c r="M9" i="31"/>
  <c r="M33" i="5"/>
  <c r="M82" i="29" s="1"/>
  <c r="M93" i="29" s="1"/>
  <c r="D31" i="5"/>
  <c r="D80" i="29" s="1"/>
  <c r="D91" i="29" s="1"/>
  <c r="G32" i="5"/>
  <c r="G49" i="23"/>
  <c r="N7" i="31"/>
  <c r="M6" i="31"/>
  <c r="M10" i="31"/>
  <c r="L5" i="31"/>
  <c r="E64" i="31" s="1"/>
  <c r="H37" i="23"/>
  <c r="E41" i="22"/>
  <c r="B30" i="5"/>
  <c r="S8" i="5"/>
  <c r="E138" i="22" s="1"/>
  <c r="T5" i="5"/>
  <c r="E145" i="22" s="1"/>
  <c r="S22" i="5"/>
  <c r="Q28" i="5"/>
  <c r="N78" i="14" s="1"/>
  <c r="O78" i="14" s="1"/>
  <c r="P78" i="14" s="1"/>
  <c r="Q78" i="14" s="1"/>
  <c r="I24" i="5"/>
  <c r="I73" i="29" s="1"/>
  <c r="I84" i="29" s="1"/>
  <c r="I30" i="5"/>
  <c r="I79" i="29" s="1"/>
  <c r="I90" i="29" s="1"/>
  <c r="D27" i="5"/>
  <c r="I31" i="5"/>
  <c r="I80" i="29" s="1"/>
  <c r="I91" i="29" s="1"/>
  <c r="I28" i="5"/>
  <c r="N8" i="31"/>
  <c r="L2" i="31"/>
  <c r="M24" i="5"/>
  <c r="M73" i="29" s="1"/>
  <c r="M84" i="29" s="1"/>
  <c r="L4" i="31"/>
  <c r="B64" i="31" s="1"/>
  <c r="K5" i="31"/>
  <c r="E63" i="31" s="1"/>
  <c r="C25" i="5"/>
  <c r="C74" i="29" s="1"/>
  <c r="C85" i="29" s="1"/>
  <c r="H29" i="5"/>
  <c r="H78" i="29" s="1"/>
  <c r="H89" i="29" s="1"/>
  <c r="G28" i="5"/>
  <c r="F13" i="22"/>
  <c r="H40" i="23"/>
  <c r="G56" i="23"/>
  <c r="G46" i="23"/>
  <c r="J27" i="5"/>
  <c r="J76" i="29" s="1"/>
  <c r="J87" i="29" s="1"/>
  <c r="K3" i="31"/>
  <c r="E55" i="31" s="1"/>
  <c r="C33" i="5"/>
  <c r="C82" i="29" s="1"/>
  <c r="C93" i="29" s="1"/>
  <c r="C32" i="5"/>
  <c r="B26" i="5"/>
  <c r="E2" i="23"/>
  <c r="N32" i="5"/>
  <c r="N81" i="29" s="1"/>
  <c r="N92" i="29" s="1"/>
  <c r="C29" i="5"/>
  <c r="C78" i="29" s="1"/>
  <c r="C89" i="29" s="1"/>
  <c r="S14" i="5"/>
  <c r="F133" i="22" s="1"/>
  <c r="N26" i="5"/>
  <c r="N3" i="9" s="1"/>
  <c r="N5" i="9" s="1"/>
  <c r="G7" i="10"/>
  <c r="G19" i="10" s="1"/>
  <c r="D32" i="5"/>
  <c r="D81" i="29" s="1"/>
  <c r="D92" i="29" s="1"/>
  <c r="E44" i="23"/>
  <c r="F59" i="22"/>
  <c r="F39" i="23"/>
  <c r="F55" i="23"/>
  <c r="E18" i="23"/>
  <c r="G60" i="23"/>
  <c r="F36" i="23"/>
  <c r="J25" i="5"/>
  <c r="E120" i="22"/>
  <c r="E107" i="22"/>
  <c r="B27" i="5"/>
  <c r="B76" i="29" s="1"/>
  <c r="B87" i="29" s="1"/>
  <c r="I9" i="10"/>
  <c r="I21" i="10" s="1"/>
  <c r="T14" i="5"/>
  <c r="F143" i="22" s="1"/>
  <c r="E31" i="5"/>
  <c r="E80" i="29" s="1"/>
  <c r="E91" i="29" s="1"/>
  <c r="G11" i="10"/>
  <c r="G23" i="10" s="1"/>
  <c r="G10" i="10"/>
  <c r="G22" i="10" s="1"/>
  <c r="M31" i="5"/>
  <c r="M80" i="29" s="1"/>
  <c r="M91" i="29" s="1"/>
  <c r="E27" i="5"/>
  <c r="E76" i="29" s="1"/>
  <c r="E87" i="29" s="1"/>
  <c r="F27" i="5"/>
  <c r="F76" i="29" s="1"/>
  <c r="F87" i="29" s="1"/>
  <c r="F31" i="5"/>
  <c r="F80" i="29" s="1"/>
  <c r="F91" i="29" s="1"/>
  <c r="N9" i="31"/>
  <c r="N11" i="31"/>
  <c r="F68" i="22"/>
  <c r="E45" i="23"/>
  <c r="B28" i="5"/>
  <c r="B31" i="5"/>
  <c r="B80" i="29" s="1"/>
  <c r="B91" i="29" s="1"/>
  <c r="F37" i="23"/>
  <c r="H55" i="23"/>
  <c r="G29" i="5"/>
  <c r="G78" i="29" s="1"/>
  <c r="G89" i="29" s="1"/>
  <c r="G30" i="5"/>
  <c r="F85" i="22"/>
  <c r="S7" i="5"/>
  <c r="E137" i="22" s="1"/>
  <c r="D28" i="5"/>
  <c r="D77" i="29" s="1"/>
  <c r="D88" i="29" s="1"/>
  <c r="G33" i="5"/>
  <c r="G82" i="29" s="1"/>
  <c r="G93" i="29" s="1"/>
  <c r="D24" i="5"/>
  <c r="D73" i="29" s="1"/>
  <c r="D84" i="29" s="1"/>
  <c r="I29" i="5"/>
  <c r="I78" i="29" s="1"/>
  <c r="I89" i="29" s="1"/>
  <c r="G24" i="5"/>
  <c r="G73" i="29" s="1"/>
  <c r="G84" i="29" s="1"/>
  <c r="E100" i="22"/>
  <c r="H4" i="23"/>
  <c r="H17" i="23"/>
  <c r="G36" i="23"/>
  <c r="E46" i="23"/>
  <c r="E9" i="23"/>
  <c r="H66" i="23"/>
  <c r="J66" i="23" s="1"/>
  <c r="K32" i="5"/>
  <c r="E80" i="31"/>
  <c r="E82" i="31" s="1"/>
  <c r="H26" i="23"/>
  <c r="C26" i="5"/>
  <c r="AD29" i="5" s="1"/>
  <c r="F40" i="22"/>
  <c r="F128" i="22"/>
  <c r="E7" i="23"/>
  <c r="E30" i="5"/>
  <c r="E79" i="29" s="1"/>
  <c r="E90" i="29" s="1"/>
  <c r="D25" i="5"/>
  <c r="D74" i="29" s="1"/>
  <c r="D85" i="29" s="1"/>
  <c r="F17" i="22"/>
  <c r="D30" i="5"/>
  <c r="D79" i="29" s="1"/>
  <c r="D90" i="29" s="1"/>
  <c r="E32" i="5"/>
  <c r="E81" i="29" s="1"/>
  <c r="E92" i="29" s="1"/>
  <c r="D78" i="31"/>
  <c r="N22" i="31"/>
  <c r="L22" i="31"/>
  <c r="M22" i="31"/>
  <c r="K22" i="31"/>
  <c r="K15" i="31"/>
  <c r="B58" i="31"/>
  <c r="C59" i="31" s="1"/>
  <c r="L15" i="31"/>
  <c r="D50" i="31"/>
  <c r="L14" i="31"/>
  <c r="K14" i="31"/>
  <c r="B50" i="31"/>
  <c r="C51" i="31" s="1"/>
  <c r="L13" i="31"/>
  <c r="K13" i="31"/>
  <c r="B72" i="31"/>
  <c r="C73" i="31" s="1"/>
  <c r="M19" i="31"/>
  <c r="N19" i="31"/>
  <c r="K19" i="31"/>
  <c r="L19" i="31"/>
  <c r="B66" i="31"/>
  <c r="C67" i="31" s="1"/>
  <c r="M17" i="31"/>
  <c r="K17" i="31"/>
  <c r="N17" i="31"/>
  <c r="L17" i="31"/>
  <c r="D66" i="31"/>
  <c r="K18" i="31"/>
  <c r="M18" i="31"/>
  <c r="L18" i="31"/>
  <c r="N18" i="31"/>
  <c r="K16" i="31"/>
  <c r="L16" i="31"/>
  <c r="D58" i="31"/>
  <c r="D72" i="31"/>
  <c r="L20" i="31"/>
  <c r="N20" i="31"/>
  <c r="K20" i="31"/>
  <c r="M20" i="31"/>
  <c r="B78" i="31"/>
  <c r="C79" i="31" s="1"/>
  <c r="K21" i="31"/>
  <c r="N21" i="31"/>
  <c r="L21" i="31"/>
  <c r="M21" i="31"/>
  <c r="G24" i="13"/>
  <c r="H24" i="13"/>
  <c r="P23" i="13"/>
  <c r="S23" i="13" s="1"/>
  <c r="O23" i="13"/>
  <c r="R23" i="13" s="1"/>
  <c r="D24" i="13"/>
  <c r="Y23" i="13"/>
  <c r="X23" i="13"/>
  <c r="E25" i="13"/>
  <c r="K25" i="13"/>
  <c r="C25" i="13"/>
  <c r="L25" i="13"/>
  <c r="U22" i="13"/>
  <c r="Q24" i="13"/>
  <c r="A27" i="13"/>
  <c r="B27" i="13" s="1"/>
  <c r="M24" i="13"/>
  <c r="N24" i="13" s="1"/>
  <c r="F24" i="13"/>
  <c r="M27" i="8" l="1"/>
  <c r="N33" i="31"/>
  <c r="J7" i="23"/>
  <c r="W7" i="5"/>
  <c r="J47" i="23"/>
  <c r="J57" i="23"/>
  <c r="J35" i="23"/>
  <c r="K81" i="29"/>
  <c r="K92" i="29" s="1"/>
  <c r="AD115" i="5"/>
  <c r="G79" i="29"/>
  <c r="G90" i="29" s="1"/>
  <c r="AD85" i="5"/>
  <c r="B77" i="29"/>
  <c r="B88" i="29" s="1"/>
  <c r="O88" i="29" s="1"/>
  <c r="AD54" i="5"/>
  <c r="J74" i="29"/>
  <c r="J85" i="29" s="1"/>
  <c r="AD23" i="5"/>
  <c r="B3" i="9"/>
  <c r="AD28" i="5"/>
  <c r="C81" i="29"/>
  <c r="C92" i="29" s="1"/>
  <c r="AD107" i="5"/>
  <c r="G77" i="29"/>
  <c r="G88" i="29" s="1"/>
  <c r="AD59" i="5"/>
  <c r="I77" i="29"/>
  <c r="I88" i="29" s="1"/>
  <c r="AD61" i="5"/>
  <c r="B79" i="29"/>
  <c r="B90" i="29" s="1"/>
  <c r="AD80" i="5"/>
  <c r="G81" i="29"/>
  <c r="G92" i="29" s="1"/>
  <c r="AD111" i="5"/>
  <c r="K3" i="9"/>
  <c r="K5" i="9" s="1"/>
  <c r="AD37" i="5"/>
  <c r="F79" i="29"/>
  <c r="F90" i="29" s="1"/>
  <c r="AD84" i="5"/>
  <c r="N77" i="29"/>
  <c r="N88" i="29" s="1"/>
  <c r="AD66" i="5"/>
  <c r="B74" i="29"/>
  <c r="B85" i="29" s="1"/>
  <c r="AD15" i="5"/>
  <c r="H3" i="9"/>
  <c r="H5" i="9" s="1"/>
  <c r="AD34" i="5"/>
  <c r="E74" i="29"/>
  <c r="E85" i="29" s="1"/>
  <c r="AD18" i="5"/>
  <c r="H81" i="29"/>
  <c r="H92" i="29" s="1"/>
  <c r="AD112" i="5"/>
  <c r="L3" i="9"/>
  <c r="L5" i="9" s="1"/>
  <c r="AD38" i="5"/>
  <c r="K77" i="29"/>
  <c r="K88" i="29" s="1"/>
  <c r="AD63" i="5"/>
  <c r="B81" i="29"/>
  <c r="B92" i="29" s="1"/>
  <c r="O92" i="29" s="1"/>
  <c r="AD106" i="5"/>
  <c r="L74" i="29"/>
  <c r="L85" i="29" s="1"/>
  <c r="AD25" i="5"/>
  <c r="J79" i="29"/>
  <c r="J90" i="29" s="1"/>
  <c r="AD88" i="5"/>
  <c r="K74" i="29"/>
  <c r="K85" i="29" s="1"/>
  <c r="AD24" i="5"/>
  <c r="L79" i="29"/>
  <c r="L90" i="29" s="1"/>
  <c r="AD90" i="5"/>
  <c r="H74" i="29"/>
  <c r="H85" i="29" s="1"/>
  <c r="AD21" i="5"/>
  <c r="N79" i="29"/>
  <c r="N90" i="29" s="1"/>
  <c r="AD92" i="5"/>
  <c r="D75" i="29"/>
  <c r="D86" i="29" s="1"/>
  <c r="AD30" i="5"/>
  <c r="J75" i="29"/>
  <c r="J86" i="29" s="1"/>
  <c r="AD36" i="5"/>
  <c r="M81" i="29"/>
  <c r="M92" i="29" s="1"/>
  <c r="AD117" i="5"/>
  <c r="N74" i="29"/>
  <c r="N85" i="29" s="1"/>
  <c r="AD27" i="5"/>
  <c r="F74" i="29"/>
  <c r="F85" i="29" s="1"/>
  <c r="AD19" i="5"/>
  <c r="J77" i="29"/>
  <c r="J88" i="29" s="1"/>
  <c r="AD62" i="5"/>
  <c r="J81" i="29"/>
  <c r="J92" i="29" s="1"/>
  <c r="AD114" i="5"/>
  <c r="K79" i="29"/>
  <c r="K90" i="29" s="1"/>
  <c r="AD89" i="5"/>
  <c r="F77" i="29"/>
  <c r="F88" i="29" s="1"/>
  <c r="AD58" i="5"/>
  <c r="I51" i="23"/>
  <c r="I65" i="23"/>
  <c r="J22" i="23"/>
  <c r="I31" i="23"/>
  <c r="J13" i="23"/>
  <c r="J30" i="23"/>
  <c r="K30" i="23" s="1"/>
  <c r="J42" i="23"/>
  <c r="I52" i="23"/>
  <c r="I54" i="23"/>
  <c r="I56" i="23"/>
  <c r="C80" i="29"/>
  <c r="C91" i="29" s="1"/>
  <c r="O91" i="29" s="1"/>
  <c r="D9" i="10"/>
  <c r="D21" i="10" s="1"/>
  <c r="I19" i="23"/>
  <c r="I46" i="23"/>
  <c r="J40" i="23"/>
  <c r="M40" i="23" s="1"/>
  <c r="I28" i="23"/>
  <c r="I53" i="23"/>
  <c r="J10" i="23"/>
  <c r="J51" i="23"/>
  <c r="I42" i="23"/>
  <c r="I63" i="23"/>
  <c r="I12" i="23"/>
  <c r="I34" i="23"/>
  <c r="I16" i="23"/>
  <c r="J41" i="23"/>
  <c r="I25" i="23"/>
  <c r="K25" i="23" s="1"/>
  <c r="I17" i="23"/>
  <c r="I4" i="23"/>
  <c r="J2" i="23"/>
  <c r="J26" i="23"/>
  <c r="I38" i="23"/>
  <c r="J4" i="23"/>
  <c r="I37" i="23"/>
  <c r="I13" i="23"/>
  <c r="J53" i="23"/>
  <c r="I48" i="23"/>
  <c r="J61" i="23"/>
  <c r="I20" i="23"/>
  <c r="J23" i="23"/>
  <c r="J6" i="23"/>
  <c r="J16" i="23"/>
  <c r="J63" i="23"/>
  <c r="J24" i="23"/>
  <c r="I62" i="23"/>
  <c r="J21" i="23"/>
  <c r="I9" i="23"/>
  <c r="J12" i="23"/>
  <c r="I21" i="23"/>
  <c r="J54" i="23"/>
  <c r="I49" i="23"/>
  <c r="J45" i="23"/>
  <c r="I58" i="23"/>
  <c r="J34" i="23"/>
  <c r="J19" i="23"/>
  <c r="I6" i="23"/>
  <c r="J43" i="23"/>
  <c r="J50" i="23"/>
  <c r="I39" i="23"/>
  <c r="I60" i="23"/>
  <c r="J11" i="23"/>
  <c r="I33" i="23"/>
  <c r="J28" i="23"/>
  <c r="J29" i="23"/>
  <c r="I2" i="23"/>
  <c r="J17" i="23"/>
  <c r="J55" i="23"/>
  <c r="J15" i="23"/>
  <c r="J44" i="23"/>
  <c r="I57" i="23"/>
  <c r="J33" i="23"/>
  <c r="I10" i="23"/>
  <c r="I15" i="23"/>
  <c r="I11" i="23"/>
  <c r="J18" i="23"/>
  <c r="J32" i="23"/>
  <c r="I5" i="23"/>
  <c r="L5" i="23" s="1"/>
  <c r="I59" i="23"/>
  <c r="L59" i="23" s="1"/>
  <c r="I47" i="23"/>
  <c r="J9" i="23"/>
  <c r="AB35" i="33"/>
  <c r="G2" i="33"/>
  <c r="Z34" i="33"/>
  <c r="E8" i="33"/>
  <c r="AF26" i="33"/>
  <c r="K6" i="33"/>
  <c r="B6" i="33"/>
  <c r="W35" i="33"/>
  <c r="AG35" i="33"/>
  <c r="L4" i="33"/>
  <c r="AH30" i="33"/>
  <c r="M4" i="33"/>
  <c r="AA30" i="33"/>
  <c r="F7" i="33"/>
  <c r="AH27" i="33"/>
  <c r="M8" i="33"/>
  <c r="AH26" i="33"/>
  <c r="M9" i="33"/>
  <c r="AB30" i="33"/>
  <c r="G5" i="33"/>
  <c r="AD28" i="33"/>
  <c r="I8" i="33"/>
  <c r="Y26" i="33"/>
  <c r="D9" i="33"/>
  <c r="AC28" i="33"/>
  <c r="H5" i="33"/>
  <c r="AG34" i="33"/>
  <c r="L6" i="33"/>
  <c r="AG32" i="33"/>
  <c r="L9" i="33"/>
  <c r="AE35" i="33"/>
  <c r="J6" i="33"/>
  <c r="AF33" i="33"/>
  <c r="K3" i="33"/>
  <c r="AC33" i="33"/>
  <c r="H7" i="33"/>
  <c r="AH35" i="33"/>
  <c r="M7" i="33"/>
  <c r="X30" i="33"/>
  <c r="C3" i="33"/>
  <c r="AA27" i="33"/>
  <c r="F5" i="33"/>
  <c r="AC35" i="33"/>
  <c r="H3" i="33"/>
  <c r="Y30" i="33"/>
  <c r="D10" i="33"/>
  <c r="AF32" i="33"/>
  <c r="K5" i="33"/>
  <c r="AE32" i="33"/>
  <c r="J2" i="33"/>
  <c r="Y35" i="33"/>
  <c r="D4" i="33"/>
  <c r="AD32" i="33"/>
  <c r="I4" i="33"/>
  <c r="Y32" i="33"/>
  <c r="D3" i="33"/>
  <c r="AG33" i="33"/>
  <c r="L8" i="33"/>
  <c r="Y34" i="33"/>
  <c r="D6" i="33"/>
  <c r="X32" i="33"/>
  <c r="C9" i="33"/>
  <c r="AD31" i="33"/>
  <c r="I2" i="33"/>
  <c r="AA28" i="33"/>
  <c r="F10" i="33"/>
  <c r="AI28" i="33"/>
  <c r="N10" i="33"/>
  <c r="AD34" i="33"/>
  <c r="I3" i="33"/>
  <c r="AA32" i="33"/>
  <c r="F2" i="33"/>
  <c r="W29" i="33"/>
  <c r="B8" i="33"/>
  <c r="W28" i="33"/>
  <c r="B2" i="33"/>
  <c r="AA29" i="33"/>
  <c r="F3" i="33"/>
  <c r="AC26" i="33"/>
  <c r="H10" i="33"/>
  <c r="X34" i="33"/>
  <c r="C11" i="33"/>
  <c r="X29" i="33"/>
  <c r="C2" i="33"/>
  <c r="Z27" i="33"/>
  <c r="E2" i="33"/>
  <c r="AE33" i="33"/>
  <c r="J4" i="33"/>
  <c r="Y31" i="33"/>
  <c r="D5" i="33"/>
  <c r="Z32" i="33"/>
  <c r="E10" i="33"/>
  <c r="AE29" i="33"/>
  <c r="J3" i="33"/>
  <c r="AF27" i="33"/>
  <c r="K9" i="33"/>
  <c r="Z35" i="33"/>
  <c r="E7" i="33"/>
  <c r="AF35" i="33"/>
  <c r="K10" i="33"/>
  <c r="AG29" i="33"/>
  <c r="L2" i="33"/>
  <c r="AI27" i="33"/>
  <c r="N2" i="33"/>
  <c r="AG27" i="33"/>
  <c r="L7" i="33"/>
  <c r="W30" i="33"/>
  <c r="B11" i="33"/>
  <c r="AD33" i="33"/>
  <c r="I6" i="33"/>
  <c r="AB32" i="33"/>
  <c r="G7" i="33"/>
  <c r="J39" i="23"/>
  <c r="AA34" i="33"/>
  <c r="X33" i="33"/>
  <c r="C8" i="33"/>
  <c r="B3" i="33"/>
  <c r="W33" i="33"/>
  <c r="AE27" i="33"/>
  <c r="J5" i="33"/>
  <c r="AF30" i="33"/>
  <c r="K2" i="33"/>
  <c r="AH34" i="33"/>
  <c r="M5" i="33"/>
  <c r="AA26" i="33"/>
  <c r="F8" i="33"/>
  <c r="AB34" i="33"/>
  <c r="G9" i="33"/>
  <c r="AI31" i="33"/>
  <c r="N6" i="33"/>
  <c r="X35" i="33"/>
  <c r="C10" i="33"/>
  <c r="AC34" i="33"/>
  <c r="AA31" i="33"/>
  <c r="F6" i="33"/>
  <c r="X26" i="33"/>
  <c r="C5" i="33"/>
  <c r="AC32" i="33"/>
  <c r="H6" i="33"/>
  <c r="AH33" i="33"/>
  <c r="M2" i="33"/>
  <c r="Y29" i="33"/>
  <c r="D7" i="33"/>
  <c r="AI34" i="33"/>
  <c r="N4" i="33"/>
  <c r="Z33" i="33"/>
  <c r="E5" i="33"/>
  <c r="AG30" i="33"/>
  <c r="L10" i="33"/>
  <c r="AE31" i="33"/>
  <c r="J10" i="33"/>
  <c r="AG26" i="33"/>
  <c r="L5" i="33"/>
  <c r="AI29" i="33"/>
  <c r="N9" i="33"/>
  <c r="Z29" i="33"/>
  <c r="E9" i="33"/>
  <c r="AF29" i="33"/>
  <c r="K8" i="33"/>
  <c r="Y33" i="33"/>
  <c r="D2" i="33"/>
  <c r="AB33" i="33"/>
  <c r="G10" i="33"/>
  <c r="AB31" i="33"/>
  <c r="G8" i="33"/>
  <c r="AD29" i="33"/>
  <c r="I11" i="33"/>
  <c r="AE26" i="33"/>
  <c r="J8" i="33"/>
  <c r="AA33" i="33"/>
  <c r="F11" i="33"/>
  <c r="B10" i="33"/>
  <c r="W31" i="33"/>
  <c r="B9" i="33"/>
  <c r="W27" i="33"/>
  <c r="AB26" i="33"/>
  <c r="G11" i="33"/>
  <c r="AE34" i="33"/>
  <c r="J7" i="33"/>
  <c r="AF28" i="33"/>
  <c r="K7" i="33"/>
  <c r="Z31" i="33"/>
  <c r="E11" i="33"/>
  <c r="W34" i="33"/>
  <c r="B7" i="33"/>
  <c r="AF31" i="33"/>
  <c r="K4" i="33"/>
  <c r="Z28" i="33"/>
  <c r="E6" i="33"/>
  <c r="AG31" i="33"/>
  <c r="L3" i="33"/>
  <c r="AH28" i="33"/>
  <c r="M6" i="33"/>
  <c r="Y28" i="33"/>
  <c r="D11" i="33"/>
  <c r="AD27" i="33"/>
  <c r="I10" i="33"/>
  <c r="Z30" i="33"/>
  <c r="E4" i="33"/>
  <c r="AG28" i="33"/>
  <c r="L11" i="33"/>
  <c r="AD35" i="33"/>
  <c r="I5" i="33"/>
  <c r="X28" i="33"/>
  <c r="C7" i="33"/>
  <c r="AI30" i="33"/>
  <c r="N7" i="33"/>
  <c r="AH29" i="33"/>
  <c r="M10" i="33"/>
  <c r="AD26" i="33"/>
  <c r="I7" i="33"/>
  <c r="AB29" i="33"/>
  <c r="G6" i="33"/>
  <c r="AD30" i="33"/>
  <c r="I9" i="33"/>
  <c r="AC27" i="33"/>
  <c r="H11" i="33"/>
  <c r="AI35" i="33"/>
  <c r="N8" i="33"/>
  <c r="Z26" i="33"/>
  <c r="E3" i="33"/>
  <c r="AC31" i="33"/>
  <c r="H9" i="33"/>
  <c r="AB27" i="33"/>
  <c r="G4" i="33"/>
  <c r="AI32" i="33"/>
  <c r="N11" i="33"/>
  <c r="X27" i="33"/>
  <c r="C6" i="33"/>
  <c r="AH31" i="33"/>
  <c r="M11" i="33"/>
  <c r="X31" i="33"/>
  <c r="C4" i="33"/>
  <c r="AA35" i="33"/>
  <c r="F9" i="33"/>
  <c r="Y27" i="33"/>
  <c r="D8" i="33"/>
  <c r="J62" i="23"/>
  <c r="J20" i="23"/>
  <c r="L20" i="23" s="1"/>
  <c r="AH32" i="33"/>
  <c r="M3" i="33"/>
  <c r="AC29" i="33"/>
  <c r="H4" i="33"/>
  <c r="AE30" i="33"/>
  <c r="J11" i="33"/>
  <c r="AI26" i="33"/>
  <c r="N3" i="33"/>
  <c r="AC30" i="33"/>
  <c r="H8" i="33"/>
  <c r="AE28" i="33"/>
  <c r="J9" i="33"/>
  <c r="AB28" i="33"/>
  <c r="G3" i="33"/>
  <c r="AF34" i="33"/>
  <c r="K11" i="33"/>
  <c r="W26" i="33"/>
  <c r="B4" i="33"/>
  <c r="J36" i="23"/>
  <c r="J37" i="23"/>
  <c r="J65" i="23"/>
  <c r="I3" i="23"/>
  <c r="I45" i="23"/>
  <c r="J27" i="23"/>
  <c r="J49" i="23"/>
  <c r="I32" i="23"/>
  <c r="J52" i="23"/>
  <c r="L43" i="31"/>
  <c r="J8" i="23"/>
  <c r="I23" i="23"/>
  <c r="I55" i="23"/>
  <c r="I24" i="23"/>
  <c r="I22" i="23"/>
  <c r="I7" i="23"/>
  <c r="F3" i="9"/>
  <c r="F5" i="9" s="1"/>
  <c r="I61" i="23"/>
  <c r="I29" i="23"/>
  <c r="F95" i="5"/>
  <c r="J31" i="23"/>
  <c r="I41" i="23"/>
  <c r="I14" i="23"/>
  <c r="I27" i="23"/>
  <c r="J48" i="23"/>
  <c r="I35" i="23"/>
  <c r="I66" i="23"/>
  <c r="L66" i="23" s="1"/>
  <c r="J14" i="23"/>
  <c r="I18" i="23"/>
  <c r="J46" i="23"/>
  <c r="B55" i="31"/>
  <c r="N43" i="31"/>
  <c r="B127" i="5"/>
  <c r="I78" i="14"/>
  <c r="L78" i="14" s="1"/>
  <c r="K40" i="31"/>
  <c r="H76" i="14"/>
  <c r="L76" i="14" s="1"/>
  <c r="J38" i="23"/>
  <c r="I121" i="5"/>
  <c r="D121" i="5"/>
  <c r="F4" i="10"/>
  <c r="F16" i="10" s="1"/>
  <c r="B102" i="5"/>
  <c r="I123" i="5"/>
  <c r="F11" i="10"/>
  <c r="F23" i="10" s="1"/>
  <c r="H128" i="5"/>
  <c r="D2" i="10"/>
  <c r="D14" i="10" s="1"/>
  <c r="J3" i="9"/>
  <c r="J5" i="9" s="1"/>
  <c r="I36" i="23"/>
  <c r="B128" i="5"/>
  <c r="F3" i="10"/>
  <c r="F15" i="10" s="1"/>
  <c r="J58" i="23"/>
  <c r="I43" i="23"/>
  <c r="F128" i="5"/>
  <c r="B125" i="5"/>
  <c r="N3" i="31"/>
  <c r="I44" i="23"/>
  <c r="K128" i="5"/>
  <c r="F121" i="5"/>
  <c r="F123" i="5"/>
  <c r="I99" i="5"/>
  <c r="K42" i="31"/>
  <c r="L40" i="31"/>
  <c r="M41" i="31"/>
  <c r="J3" i="23"/>
  <c r="F102" i="5"/>
  <c r="I95" i="5"/>
  <c r="I125" i="5"/>
  <c r="B99" i="5"/>
  <c r="F7" i="10"/>
  <c r="F19" i="10" s="1"/>
  <c r="G3" i="9"/>
  <c r="G5" i="9" s="1"/>
  <c r="M43" i="31"/>
  <c r="L41" i="31"/>
  <c r="I50" i="23"/>
  <c r="I26" i="23"/>
  <c r="I64" i="23"/>
  <c r="M64" i="23" s="1"/>
  <c r="D3" i="9"/>
  <c r="D5" i="9" s="1"/>
  <c r="E4" i="10"/>
  <c r="E16" i="10" s="1"/>
  <c r="P29" i="5"/>
  <c r="P67" i="29" s="1"/>
  <c r="Q67" i="29" s="1"/>
  <c r="L75" i="29"/>
  <c r="L86" i="29" s="1"/>
  <c r="I8" i="23"/>
  <c r="E10" i="10"/>
  <c r="E22" i="10" s="1"/>
  <c r="D99" i="5"/>
  <c r="H102" i="5"/>
  <c r="F101" i="5"/>
  <c r="I101" i="5"/>
  <c r="B101" i="5"/>
  <c r="E11" i="10"/>
  <c r="E23" i="10" s="1"/>
  <c r="I77" i="14"/>
  <c r="D125" i="5"/>
  <c r="D101" i="5"/>
  <c r="H123" i="5"/>
  <c r="H97" i="5"/>
  <c r="P25" i="5"/>
  <c r="P63" i="29" s="1"/>
  <c r="Q63" i="29" s="1"/>
  <c r="D127" i="5"/>
  <c r="H125" i="5"/>
  <c r="F97" i="5"/>
  <c r="P32" i="5"/>
  <c r="P70" i="29" s="1"/>
  <c r="Q70" i="29" s="1"/>
  <c r="F6" i="10"/>
  <c r="F18" i="10" s="1"/>
  <c r="F2" i="10"/>
  <c r="F14" i="10" s="1"/>
  <c r="I80" i="14"/>
  <c r="J60" i="23"/>
  <c r="I82" i="14"/>
  <c r="I81" i="14"/>
  <c r="D102" i="5"/>
  <c r="H121" i="5"/>
  <c r="F127" i="5"/>
  <c r="B97" i="5"/>
  <c r="P33" i="5"/>
  <c r="P71" i="29" s="1"/>
  <c r="Q71" i="29" s="1"/>
  <c r="P24" i="5"/>
  <c r="P62" i="29" s="1"/>
  <c r="Q62" i="29" s="1"/>
  <c r="H75" i="29"/>
  <c r="H86" i="29" s="1"/>
  <c r="L39" i="31"/>
  <c r="I83" i="14"/>
  <c r="M40" i="31"/>
  <c r="N39" i="31"/>
  <c r="E123" i="5"/>
  <c r="E101" i="5"/>
  <c r="H96" i="5"/>
  <c r="F98" i="5"/>
  <c r="E7" i="10"/>
  <c r="E19" i="10" s="1"/>
  <c r="E6" i="10"/>
  <c r="E18" i="10" s="1"/>
  <c r="G129" i="5"/>
  <c r="F5" i="10"/>
  <c r="F17" i="10" s="1"/>
  <c r="N75" i="29"/>
  <c r="N86" i="29" s="1"/>
  <c r="H100" i="5"/>
  <c r="F9" i="10"/>
  <c r="F21" i="10" s="1"/>
  <c r="F100" i="5"/>
  <c r="N2" i="31"/>
  <c r="B56" i="31"/>
  <c r="D76" i="29"/>
  <c r="D87" i="29" s="1"/>
  <c r="E5" i="10"/>
  <c r="E17" i="10" s="1"/>
  <c r="F141" i="22"/>
  <c r="B130" i="5"/>
  <c r="K124" i="5"/>
  <c r="I130" i="5"/>
  <c r="F130" i="5"/>
  <c r="K99" i="5"/>
  <c r="K97" i="5"/>
  <c r="K125" i="5"/>
  <c r="B104" i="5"/>
  <c r="H130" i="5"/>
  <c r="D130" i="5"/>
  <c r="J104" i="5"/>
  <c r="J130" i="5"/>
  <c r="K101" i="5"/>
  <c r="K123" i="5"/>
  <c r="K121" i="5"/>
  <c r="K126" i="5"/>
  <c r="I104" i="5"/>
  <c r="C76" i="29"/>
  <c r="C87" i="29" s="1"/>
  <c r="O87" i="29" s="1"/>
  <c r="D5" i="10"/>
  <c r="D17" i="10" s="1"/>
  <c r="I3" i="9"/>
  <c r="I5" i="9" s="1"/>
  <c r="I75" i="29"/>
  <c r="I86" i="29" s="1"/>
  <c r="F140" i="22"/>
  <c r="K103" i="5"/>
  <c r="J98" i="5"/>
  <c r="E103" i="5"/>
  <c r="C79" i="29"/>
  <c r="C90" i="29" s="1"/>
  <c r="D8" i="10"/>
  <c r="D20" i="10" s="1"/>
  <c r="D104" i="5"/>
  <c r="F104" i="5"/>
  <c r="K95" i="5"/>
  <c r="P31" i="5"/>
  <c r="P69" i="29" s="1"/>
  <c r="Q69" i="29" s="1"/>
  <c r="M5" i="31"/>
  <c r="B63" i="31"/>
  <c r="C3" i="9"/>
  <c r="C5" i="9" s="1"/>
  <c r="D4" i="10"/>
  <c r="D16" i="10" s="1"/>
  <c r="H104" i="5"/>
  <c r="E104" i="5"/>
  <c r="M75" i="29"/>
  <c r="M86" i="29" s="1"/>
  <c r="K102" i="5"/>
  <c r="J95" i="5"/>
  <c r="M3" i="31"/>
  <c r="N44" i="31"/>
  <c r="I100" i="5"/>
  <c r="O27" i="5"/>
  <c r="F39" i="5" s="1"/>
  <c r="P27" i="5"/>
  <c r="P65" i="29" s="1"/>
  <c r="Q65" i="29" s="1"/>
  <c r="K27" i="31"/>
  <c r="K39" i="31"/>
  <c r="K25" i="31"/>
  <c r="K44" i="31"/>
  <c r="G127" i="5"/>
  <c r="D95" i="5"/>
  <c r="D128" i="5"/>
  <c r="G130" i="5"/>
  <c r="E3" i="9"/>
  <c r="E5" i="9" s="1"/>
  <c r="H98" i="5"/>
  <c r="H95" i="5"/>
  <c r="H99" i="5"/>
  <c r="B123" i="5"/>
  <c r="I97" i="5"/>
  <c r="I127" i="5"/>
  <c r="K127" i="5"/>
  <c r="J126" i="5"/>
  <c r="J97" i="5"/>
  <c r="D6" i="10"/>
  <c r="D18" i="10" s="1"/>
  <c r="K75" i="29"/>
  <c r="K86" i="29" s="1"/>
  <c r="K43" i="31"/>
  <c r="N40" i="31"/>
  <c r="K26" i="31"/>
  <c r="M44" i="31"/>
  <c r="I74" i="14"/>
  <c r="I79" i="14"/>
  <c r="I75" i="14"/>
  <c r="O93" i="29"/>
  <c r="E100" i="5"/>
  <c r="J128" i="5"/>
  <c r="J99" i="5"/>
  <c r="D98" i="5"/>
  <c r="D124" i="5"/>
  <c r="J123" i="5"/>
  <c r="F129" i="5"/>
  <c r="I98" i="5"/>
  <c r="K98" i="5"/>
  <c r="E95" i="5"/>
  <c r="C128" i="5"/>
  <c r="J125" i="5"/>
  <c r="J102" i="5"/>
  <c r="B124" i="5"/>
  <c r="J127" i="5"/>
  <c r="M42" i="31"/>
  <c r="K41" i="31"/>
  <c r="H80" i="14"/>
  <c r="H83" i="14"/>
  <c r="H79" i="14"/>
  <c r="D129" i="5"/>
  <c r="D103" i="5"/>
  <c r="E97" i="5"/>
  <c r="C102" i="5"/>
  <c r="C127" i="5"/>
  <c r="E99" i="5"/>
  <c r="N5" i="31"/>
  <c r="H77" i="14"/>
  <c r="H82" i="14"/>
  <c r="H74" i="14"/>
  <c r="I129" i="5"/>
  <c r="E121" i="5"/>
  <c r="E129" i="5"/>
  <c r="J121" i="5"/>
  <c r="E125" i="5"/>
  <c r="E130" i="5"/>
  <c r="E102" i="5"/>
  <c r="H103" i="5"/>
  <c r="H124" i="5"/>
  <c r="H129" i="5"/>
  <c r="F124" i="5"/>
  <c r="F103" i="5"/>
  <c r="I103" i="5"/>
  <c r="I124" i="5"/>
  <c r="K129" i="5"/>
  <c r="E127" i="5"/>
  <c r="J101" i="5"/>
  <c r="C123" i="5"/>
  <c r="B129" i="5"/>
  <c r="B103" i="5"/>
  <c r="E126" i="5"/>
  <c r="E128" i="5"/>
  <c r="J124" i="5"/>
  <c r="B98" i="5"/>
  <c r="H75" i="14"/>
  <c r="H81" i="14"/>
  <c r="O89" i="29"/>
  <c r="G102" i="5"/>
  <c r="G124" i="5"/>
  <c r="H126" i="5"/>
  <c r="I126" i="5"/>
  <c r="K100" i="5"/>
  <c r="F10" i="10"/>
  <c r="F22" i="10" s="1"/>
  <c r="M39" i="31"/>
  <c r="G98" i="5"/>
  <c r="O29" i="5"/>
  <c r="F41" i="5" s="1"/>
  <c r="D100" i="5"/>
  <c r="G121" i="5"/>
  <c r="G95" i="5"/>
  <c r="B100" i="5"/>
  <c r="E9" i="10"/>
  <c r="E21" i="10" s="1"/>
  <c r="N4" i="31"/>
  <c r="N41" i="31"/>
  <c r="L44" i="31"/>
  <c r="P26" i="5"/>
  <c r="P64" i="29" s="1"/>
  <c r="Q64" i="29" s="1"/>
  <c r="J56" i="23"/>
  <c r="G101" i="5"/>
  <c r="D126" i="5"/>
  <c r="G104" i="5"/>
  <c r="G125" i="5"/>
  <c r="F126" i="5"/>
  <c r="G97" i="5"/>
  <c r="G99" i="5"/>
  <c r="B126" i="5"/>
  <c r="P28" i="5"/>
  <c r="P66" i="29" s="1"/>
  <c r="Q66" i="29" s="1"/>
  <c r="N42" i="31"/>
  <c r="O26" i="5"/>
  <c r="B38" i="5" s="1"/>
  <c r="C99" i="5"/>
  <c r="D96" i="5"/>
  <c r="D122" i="5"/>
  <c r="C100" i="5"/>
  <c r="F122" i="5"/>
  <c r="C130" i="5"/>
  <c r="C95" i="5"/>
  <c r="E122" i="5"/>
  <c r="D3" i="10"/>
  <c r="D15" i="10" s="1"/>
  <c r="O25" i="5"/>
  <c r="I37" i="5" s="1"/>
  <c r="C104" i="5"/>
  <c r="C124" i="5"/>
  <c r="H122" i="5"/>
  <c r="G96" i="5"/>
  <c r="C97" i="5"/>
  <c r="J122" i="5"/>
  <c r="C101" i="5"/>
  <c r="B122" i="5"/>
  <c r="J96" i="5"/>
  <c r="D11" i="10"/>
  <c r="D23" i="10" s="1"/>
  <c r="C121" i="5"/>
  <c r="C125" i="5"/>
  <c r="O33" i="5"/>
  <c r="I45" i="5" s="1"/>
  <c r="G122" i="5"/>
  <c r="B96" i="5"/>
  <c r="C103" i="5"/>
  <c r="C75" i="29"/>
  <c r="C86" i="29" s="1"/>
  <c r="W10" i="5"/>
  <c r="E3" i="10"/>
  <c r="E15" i="10" s="1"/>
  <c r="W6" i="5"/>
  <c r="G123" i="5"/>
  <c r="C98" i="5"/>
  <c r="O32" i="5"/>
  <c r="E44" i="5" s="1"/>
  <c r="G128" i="5"/>
  <c r="C126" i="5"/>
  <c r="O31" i="5"/>
  <c r="Q43" i="5" s="1"/>
  <c r="G103" i="5"/>
  <c r="C129" i="5"/>
  <c r="F96" i="5"/>
  <c r="I96" i="5"/>
  <c r="I122" i="5"/>
  <c r="O28" i="5"/>
  <c r="H40" i="5" s="1"/>
  <c r="K96" i="5"/>
  <c r="K122" i="5"/>
  <c r="E96" i="5"/>
  <c r="J100" i="5"/>
  <c r="D10" i="10"/>
  <c r="D22" i="10" s="1"/>
  <c r="E8" i="10"/>
  <c r="E20" i="10" s="1"/>
  <c r="D7" i="10"/>
  <c r="D19" i="10" s="1"/>
  <c r="B75" i="29"/>
  <c r="B86" i="29" s="1"/>
  <c r="O24" i="5"/>
  <c r="C36" i="5" s="1"/>
  <c r="E2" i="10"/>
  <c r="E14" i="10" s="1"/>
  <c r="W2" i="5"/>
  <c r="W3" i="5"/>
  <c r="W4" i="5"/>
  <c r="W8" i="5"/>
  <c r="P30" i="5"/>
  <c r="P68" i="29" s="1"/>
  <c r="Q68" i="29" s="1"/>
  <c r="W11" i="5"/>
  <c r="W5" i="5"/>
  <c r="F8" i="10"/>
  <c r="F20" i="10" s="1"/>
  <c r="W9" i="5"/>
  <c r="O30" i="5"/>
  <c r="C42" i="5" s="1"/>
  <c r="K33" i="31"/>
  <c r="L30" i="31"/>
  <c r="N30" i="31"/>
  <c r="M29" i="31"/>
  <c r="M33" i="31"/>
  <c r="D33" i="31" s="1"/>
  <c r="D48" i="31" s="1"/>
  <c r="L29" i="31"/>
  <c r="M30" i="31"/>
  <c r="L33" i="31"/>
  <c r="M28" i="31"/>
  <c r="N32" i="31"/>
  <c r="M32" i="31"/>
  <c r="M31" i="31"/>
  <c r="L32" i="31"/>
  <c r="K31" i="31"/>
  <c r="K38" i="31"/>
  <c r="N15" i="31"/>
  <c r="N29" i="31"/>
  <c r="K37" i="31"/>
  <c r="N16" i="31"/>
  <c r="L31" i="31"/>
  <c r="L42" i="31"/>
  <c r="K29" i="31"/>
  <c r="L28" i="31"/>
  <c r="K32" i="31"/>
  <c r="K24" i="31"/>
  <c r="N14" i="31"/>
  <c r="K35" i="31"/>
  <c r="K36" i="31"/>
  <c r="N13" i="31"/>
  <c r="L26" i="31"/>
  <c r="M16" i="31"/>
  <c r="L37" i="31"/>
  <c r="K28" i="31"/>
  <c r="L27" i="31"/>
  <c r="L38" i="31"/>
  <c r="M15" i="31"/>
  <c r="M37" i="31" s="1"/>
  <c r="N31" i="31"/>
  <c r="K30" i="31"/>
  <c r="L24" i="31"/>
  <c r="M14" i="31"/>
  <c r="L35" i="31"/>
  <c r="L25" i="31"/>
  <c r="L36" i="31"/>
  <c r="M13" i="31"/>
  <c r="M35" i="31" s="1"/>
  <c r="N28" i="31"/>
  <c r="O84" i="29"/>
  <c r="G25" i="13"/>
  <c r="H25" i="13"/>
  <c r="P24" i="13"/>
  <c r="S24" i="13" s="1"/>
  <c r="O24" i="13"/>
  <c r="R24" i="13" s="1"/>
  <c r="A28" i="13"/>
  <c r="B28" i="13" s="1"/>
  <c r="M25" i="13"/>
  <c r="N25" i="13" s="1"/>
  <c r="F25" i="13"/>
  <c r="Y24" i="13"/>
  <c r="X24" i="13"/>
  <c r="U23" i="13"/>
  <c r="D25" i="13"/>
  <c r="E26" i="13"/>
  <c r="K26" i="13"/>
  <c r="L26" i="13"/>
  <c r="C26" i="13"/>
  <c r="Q25" i="13"/>
  <c r="M28" i="8" l="1"/>
  <c r="L7" i="23"/>
  <c r="C48" i="9"/>
  <c r="P4" i="33"/>
  <c r="P5" i="33"/>
  <c r="P7" i="33"/>
  <c r="P10" i="33"/>
  <c r="P11" i="33"/>
  <c r="P2" i="33"/>
  <c r="P12" i="33"/>
  <c r="P3" i="33"/>
  <c r="P6" i="33"/>
  <c r="P9" i="33"/>
  <c r="P8" i="33"/>
  <c r="B5" i="9"/>
  <c r="O85" i="29"/>
  <c r="L35" i="23"/>
  <c r="L47" i="23"/>
  <c r="M57" i="23"/>
  <c r="K24" i="23"/>
  <c r="M26" i="23"/>
  <c r="O90" i="29"/>
  <c r="W17" i="5"/>
  <c r="W13" i="5"/>
  <c r="W16" i="5"/>
  <c r="L51" i="23"/>
  <c r="L22" i="23"/>
  <c r="K51" i="23"/>
  <c r="K65" i="23"/>
  <c r="L30" i="23"/>
  <c r="M31" i="23"/>
  <c r="M30" i="23"/>
  <c r="K13" i="23"/>
  <c r="M13" i="23"/>
  <c r="K47" i="23"/>
  <c r="M25" i="23"/>
  <c r="L13" i="23"/>
  <c r="M12" i="23"/>
  <c r="L25" i="23"/>
  <c r="M42" i="23"/>
  <c r="M10" i="23"/>
  <c r="L12" i="23"/>
  <c r="K40" i="23"/>
  <c r="L40" i="23"/>
  <c r="L34" i="23"/>
  <c r="K52" i="23"/>
  <c r="L54" i="23"/>
  <c r="K19" i="23"/>
  <c r="M19" i="23"/>
  <c r="K56" i="23"/>
  <c r="M61" i="23"/>
  <c r="K54" i="23"/>
  <c r="L16" i="23"/>
  <c r="M47" i="23"/>
  <c r="L46" i="23"/>
  <c r="K12" i="23"/>
  <c r="K59" i="23"/>
  <c r="M37" i="23"/>
  <c r="M29" i="23"/>
  <c r="K39" i="23"/>
  <c r="L2" i="23"/>
  <c r="K16" i="23"/>
  <c r="K28" i="23"/>
  <c r="K42" i="23"/>
  <c r="K38" i="23"/>
  <c r="L45" i="23"/>
  <c r="L28" i="23"/>
  <c r="M28" i="23"/>
  <c r="M51" i="23"/>
  <c r="M16" i="23"/>
  <c r="L10" i="23"/>
  <c r="L42" i="23"/>
  <c r="K60" i="23"/>
  <c r="M23" i="23"/>
  <c r="M17" i="23"/>
  <c r="M34" i="23"/>
  <c r="L15" i="23"/>
  <c r="M21" i="23"/>
  <c r="K53" i="23"/>
  <c r="M5" i="23"/>
  <c r="L53" i="23"/>
  <c r="M53" i="23"/>
  <c r="K6" i="23"/>
  <c r="M63" i="23"/>
  <c r="K11" i="23"/>
  <c r="M62" i="23"/>
  <c r="M4" i="23"/>
  <c r="L63" i="23"/>
  <c r="L4" i="23"/>
  <c r="K63" i="23"/>
  <c r="M41" i="23"/>
  <c r="K4" i="23"/>
  <c r="L6" i="23"/>
  <c r="M58" i="23"/>
  <c r="M2" i="23"/>
  <c r="K2" i="23"/>
  <c r="K45" i="23"/>
  <c r="L21" i="23"/>
  <c r="K5" i="23"/>
  <c r="K21" i="23"/>
  <c r="M6" i="23"/>
  <c r="M44" i="23"/>
  <c r="L43" i="23"/>
  <c r="L62" i="23"/>
  <c r="M11" i="23"/>
  <c r="K48" i="23"/>
  <c r="L39" i="23"/>
  <c r="K9" i="23"/>
  <c r="F33" i="31"/>
  <c r="E48" i="31" s="1"/>
  <c r="M20" i="23"/>
  <c r="L19" i="23"/>
  <c r="L36" i="23"/>
  <c r="K49" i="23"/>
  <c r="M33" i="23"/>
  <c r="M39" i="23"/>
  <c r="L23" i="23"/>
  <c r="K18" i="23"/>
  <c r="M55" i="23"/>
  <c r="M9" i="23"/>
  <c r="M8" i="23"/>
  <c r="M50" i="23"/>
  <c r="M59" i="23"/>
  <c r="L33" i="23"/>
  <c r="K62" i="23"/>
  <c r="L17" i="23"/>
  <c r="K57" i="23"/>
  <c r="M54" i="23"/>
  <c r="AI5" i="33"/>
  <c r="K15" i="23"/>
  <c r="K33" i="23"/>
  <c r="K34" i="23"/>
  <c r="K17" i="23"/>
  <c r="L57" i="23"/>
  <c r="L11" i="23"/>
  <c r="L32" i="23"/>
  <c r="L9" i="23"/>
  <c r="K10" i="23"/>
  <c r="M15" i="23"/>
  <c r="AJ28" i="33"/>
  <c r="AK28" i="33" s="1"/>
  <c r="AA16" i="33"/>
  <c r="AJ30" i="33"/>
  <c r="AK30" i="33" s="1"/>
  <c r="K77" i="33"/>
  <c r="K89" i="33" s="1"/>
  <c r="AJ32" i="33"/>
  <c r="AK32" i="33" s="1"/>
  <c r="C77" i="33"/>
  <c r="C89" i="33" s="1"/>
  <c r="H63" i="33"/>
  <c r="AJ27" i="33"/>
  <c r="AK27" i="33" s="1"/>
  <c r="E75" i="33"/>
  <c r="E87" i="33" s="1"/>
  <c r="AI15" i="33"/>
  <c r="AI3" i="33"/>
  <c r="AH23" i="33"/>
  <c r="AH11" i="33"/>
  <c r="AI20" i="33"/>
  <c r="AI8" i="33"/>
  <c r="B79" i="33"/>
  <c r="B91" i="33" s="1"/>
  <c r="AI7" i="33"/>
  <c r="AI19" i="33"/>
  <c r="Z16" i="33"/>
  <c r="Z40" i="33" s="1"/>
  <c r="Z4" i="33"/>
  <c r="AG15" i="33"/>
  <c r="AG3" i="33"/>
  <c r="AF16" i="33"/>
  <c r="AF4" i="33"/>
  <c r="AA23" i="33"/>
  <c r="AA11" i="33"/>
  <c r="AF20" i="33"/>
  <c r="AF8" i="33"/>
  <c r="Y19" i="33"/>
  <c r="Y7" i="33"/>
  <c r="H67" i="33"/>
  <c r="AJ29" i="33"/>
  <c r="AK29" i="33" s="1"/>
  <c r="AB17" i="33"/>
  <c r="AB5" i="33"/>
  <c r="Z8" i="33"/>
  <c r="Z20" i="33"/>
  <c r="I77" i="33"/>
  <c r="I89" i="33" s="1"/>
  <c r="F77" i="33"/>
  <c r="F89" i="33" s="1"/>
  <c r="AJ26" i="33"/>
  <c r="AK26" i="33" s="1"/>
  <c r="AI17" i="33"/>
  <c r="W21" i="33"/>
  <c r="W9" i="33"/>
  <c r="I67" i="33"/>
  <c r="I65" i="33"/>
  <c r="I63" i="33"/>
  <c r="E81" i="33"/>
  <c r="E93" i="33" s="1"/>
  <c r="K81" i="33"/>
  <c r="K93" i="33" s="1"/>
  <c r="I70" i="33"/>
  <c r="I62" i="33"/>
  <c r="C81" i="33"/>
  <c r="C93" i="33" s="1"/>
  <c r="G81" i="33"/>
  <c r="G93" i="33" s="1"/>
  <c r="I66" i="33"/>
  <c r="H81" i="33"/>
  <c r="H93" i="33" s="1"/>
  <c r="B81" i="33"/>
  <c r="B93" i="33" s="1"/>
  <c r="I68" i="33"/>
  <c r="I81" i="33"/>
  <c r="I93" i="33" s="1"/>
  <c r="I64" i="33"/>
  <c r="F81" i="33"/>
  <c r="F93" i="33" s="1"/>
  <c r="I71" i="33"/>
  <c r="I69" i="33"/>
  <c r="J81" i="33"/>
  <c r="J93" i="33" s="1"/>
  <c r="D81" i="33"/>
  <c r="D93" i="33" s="1"/>
  <c r="AI18" i="33"/>
  <c r="AI6" i="33"/>
  <c r="AA20" i="33"/>
  <c r="AA8" i="33"/>
  <c r="AF14" i="33"/>
  <c r="AF38" i="33" s="1"/>
  <c r="AF2" i="33"/>
  <c r="AJ33" i="33"/>
  <c r="AK33" i="33" s="1"/>
  <c r="AD18" i="33"/>
  <c r="AD6" i="33"/>
  <c r="AG7" i="33"/>
  <c r="AG19" i="33"/>
  <c r="AF21" i="33"/>
  <c r="AF9" i="33"/>
  <c r="Z22" i="33"/>
  <c r="Z10" i="33"/>
  <c r="AE16" i="33"/>
  <c r="AE4" i="33"/>
  <c r="X14" i="33"/>
  <c r="X38" i="33" s="1"/>
  <c r="X2" i="33"/>
  <c r="AC22" i="33"/>
  <c r="AC10" i="33"/>
  <c r="W14" i="33"/>
  <c r="W2" i="33"/>
  <c r="J74" i="33"/>
  <c r="J86" i="33" s="1"/>
  <c r="B67" i="33"/>
  <c r="B62" i="33"/>
  <c r="B66" i="33"/>
  <c r="C74" i="33"/>
  <c r="C86" i="33" s="1"/>
  <c r="G74" i="33"/>
  <c r="G86" i="33" s="1"/>
  <c r="B64" i="33"/>
  <c r="B70" i="33"/>
  <c r="K74" i="33"/>
  <c r="K86" i="33" s="1"/>
  <c r="D74" i="33"/>
  <c r="D86" i="33" s="1"/>
  <c r="B69" i="33"/>
  <c r="B63" i="33"/>
  <c r="B68" i="33"/>
  <c r="E74" i="33"/>
  <c r="E86" i="33" s="1"/>
  <c r="B71" i="33"/>
  <c r="H74" i="33"/>
  <c r="H86" i="33" s="1"/>
  <c r="F74" i="33"/>
  <c r="F86" i="33" s="1"/>
  <c r="B74" i="33"/>
  <c r="B86" i="33" s="1"/>
  <c r="I74" i="33"/>
  <c r="I86" i="33" s="1"/>
  <c r="AA14" i="33"/>
  <c r="AA38" i="33" s="1"/>
  <c r="AA2" i="33"/>
  <c r="AI22" i="33"/>
  <c r="AI10" i="33"/>
  <c r="AA10" i="33"/>
  <c r="AA22" i="33"/>
  <c r="X21" i="33"/>
  <c r="X9" i="33"/>
  <c r="AG8" i="33"/>
  <c r="AG20" i="33"/>
  <c r="AD16" i="33"/>
  <c r="AD4" i="33"/>
  <c r="AE14" i="33"/>
  <c r="AE38" i="33" s="1"/>
  <c r="AE2" i="33"/>
  <c r="Y22" i="33"/>
  <c r="Y46" i="33" s="1"/>
  <c r="Y10" i="33"/>
  <c r="AA17" i="33"/>
  <c r="AA5" i="33"/>
  <c r="AH19" i="33"/>
  <c r="AH7" i="33"/>
  <c r="AF3" i="33"/>
  <c r="AF15" i="33"/>
  <c r="AG21" i="33"/>
  <c r="AG9" i="33"/>
  <c r="AC5" i="33"/>
  <c r="AC17" i="33"/>
  <c r="AD20" i="33"/>
  <c r="AD8" i="33"/>
  <c r="W6" i="33"/>
  <c r="W18" i="33"/>
  <c r="F62" i="33"/>
  <c r="F67" i="33"/>
  <c r="F64" i="33"/>
  <c r="F69" i="33"/>
  <c r="F113" i="33" s="1"/>
  <c r="F78" i="33"/>
  <c r="F90" i="33" s="1"/>
  <c r="E78" i="33"/>
  <c r="E90" i="33" s="1"/>
  <c r="G78" i="33"/>
  <c r="G90" i="33" s="1"/>
  <c r="F65" i="33"/>
  <c r="F109" i="33" s="1"/>
  <c r="I78" i="33"/>
  <c r="I90" i="33" s="1"/>
  <c r="H78" i="33"/>
  <c r="H90" i="33" s="1"/>
  <c r="C78" i="33"/>
  <c r="C90" i="33" s="1"/>
  <c r="J78" i="33"/>
  <c r="J90" i="33" s="1"/>
  <c r="B78" i="33"/>
  <c r="B90" i="33" s="1"/>
  <c r="D78" i="33"/>
  <c r="D90" i="33" s="1"/>
  <c r="F71" i="33"/>
  <c r="K78" i="33"/>
  <c r="K90" i="33" s="1"/>
  <c r="F70" i="33"/>
  <c r="F68" i="33"/>
  <c r="F66" i="33"/>
  <c r="F63" i="33"/>
  <c r="J77" i="33"/>
  <c r="J89" i="33" s="1"/>
  <c r="E69" i="33"/>
  <c r="E65" i="33"/>
  <c r="W5" i="33"/>
  <c r="AB14" i="33"/>
  <c r="AB2" i="33"/>
  <c r="W4" i="33"/>
  <c r="W16" i="33"/>
  <c r="D62" i="33"/>
  <c r="D106" i="33" s="1"/>
  <c r="D64" i="33"/>
  <c r="D66" i="33"/>
  <c r="K76" i="33"/>
  <c r="K88" i="33" s="1"/>
  <c r="C76" i="33"/>
  <c r="C88" i="33" s="1"/>
  <c r="J76" i="33"/>
  <c r="J88" i="33" s="1"/>
  <c r="D69" i="33"/>
  <c r="G76" i="33"/>
  <c r="G88" i="33" s="1"/>
  <c r="D68" i="33"/>
  <c r="F76" i="33"/>
  <c r="F88" i="33" s="1"/>
  <c r="D71" i="33"/>
  <c r="E76" i="33"/>
  <c r="E88" i="33" s="1"/>
  <c r="B76" i="33"/>
  <c r="B88" i="33" s="1"/>
  <c r="D76" i="33"/>
  <c r="D88" i="33" s="1"/>
  <c r="D65" i="33"/>
  <c r="I76" i="33"/>
  <c r="I88" i="33" s="1"/>
  <c r="D63" i="33"/>
  <c r="D67" i="33"/>
  <c r="D70" i="33"/>
  <c r="AC4" i="33"/>
  <c r="AC16" i="33"/>
  <c r="B83" i="33"/>
  <c r="B95" i="33" s="1"/>
  <c r="AI11" i="33"/>
  <c r="AI23" i="33"/>
  <c r="AD21" i="33"/>
  <c r="AD45" i="33" s="1"/>
  <c r="AD9" i="33"/>
  <c r="Y23" i="33"/>
  <c r="Y11" i="33"/>
  <c r="AE19" i="33"/>
  <c r="AE7" i="33"/>
  <c r="AB22" i="33"/>
  <c r="AB46" i="33" s="1"/>
  <c r="AB10" i="33"/>
  <c r="AE22" i="33"/>
  <c r="AE10" i="33"/>
  <c r="AC6" i="33"/>
  <c r="AC18" i="33"/>
  <c r="AF22" i="33"/>
  <c r="AF10" i="33"/>
  <c r="AH16" i="33"/>
  <c r="AH4" i="33"/>
  <c r="K20" i="23"/>
  <c r="AF11" i="33"/>
  <c r="AF23" i="33"/>
  <c r="AB3" i="33"/>
  <c r="AB15" i="33"/>
  <c r="AC20" i="33"/>
  <c r="AC8" i="33"/>
  <c r="AE23" i="33"/>
  <c r="AE11" i="33"/>
  <c r="AH3" i="33"/>
  <c r="AH15" i="33"/>
  <c r="AH39" i="33" s="1"/>
  <c r="Y20" i="33"/>
  <c r="Y8" i="33"/>
  <c r="X16" i="33"/>
  <c r="X4" i="33"/>
  <c r="X6" i="33"/>
  <c r="X18" i="33"/>
  <c r="AB16" i="33"/>
  <c r="AB40" i="33" s="1"/>
  <c r="AB4" i="33"/>
  <c r="Z3" i="33"/>
  <c r="Z15" i="33"/>
  <c r="Z39" i="33" s="1"/>
  <c r="AC23" i="33"/>
  <c r="AC47" i="33" s="1"/>
  <c r="AC11" i="33"/>
  <c r="AB18" i="33"/>
  <c r="AB6" i="33"/>
  <c r="AH22" i="33"/>
  <c r="AH46" i="33" s="1"/>
  <c r="AH10" i="33"/>
  <c r="X19" i="33"/>
  <c r="X7" i="33"/>
  <c r="AG11" i="33"/>
  <c r="AG23" i="33"/>
  <c r="AD22" i="33"/>
  <c r="AD10" i="33"/>
  <c r="AH18" i="33"/>
  <c r="AH6" i="33"/>
  <c r="Z6" i="33"/>
  <c r="Z18" i="33"/>
  <c r="W19" i="33"/>
  <c r="W7" i="33"/>
  <c r="G63" i="33"/>
  <c r="G66" i="33"/>
  <c r="G71" i="33"/>
  <c r="I79" i="33"/>
  <c r="I91" i="33" s="1"/>
  <c r="J79" i="33"/>
  <c r="J91" i="33" s="1"/>
  <c r="F79" i="33"/>
  <c r="F91" i="33" s="1"/>
  <c r="G64" i="33"/>
  <c r="G65" i="33"/>
  <c r="G68" i="33"/>
  <c r="E79" i="33"/>
  <c r="E91" i="33" s="1"/>
  <c r="H79" i="33"/>
  <c r="H91" i="33" s="1"/>
  <c r="G70" i="33"/>
  <c r="D79" i="33"/>
  <c r="D91" i="33" s="1"/>
  <c r="C79" i="33"/>
  <c r="C91" i="33" s="1"/>
  <c r="G69" i="33"/>
  <c r="G79" i="33"/>
  <c r="G91" i="33" s="1"/>
  <c r="G62" i="33"/>
  <c r="G67" i="33"/>
  <c r="K79" i="33"/>
  <c r="K91" i="33" s="1"/>
  <c r="AF7" i="33"/>
  <c r="AF19" i="33"/>
  <c r="AB11" i="33"/>
  <c r="AB23" i="33"/>
  <c r="AJ31" i="33"/>
  <c r="AK31" i="33" s="1"/>
  <c r="AE20" i="33"/>
  <c r="AE8" i="33"/>
  <c r="AB20" i="33"/>
  <c r="AB8" i="33"/>
  <c r="Y2" i="33"/>
  <c r="Y14" i="33"/>
  <c r="Z9" i="33"/>
  <c r="Z21" i="33"/>
  <c r="AG17" i="33"/>
  <c r="AG5" i="33"/>
  <c r="AG22" i="33"/>
  <c r="AG10" i="33"/>
  <c r="H76" i="33"/>
  <c r="H88" i="33" s="1"/>
  <c r="AI16" i="33"/>
  <c r="AI4" i="33"/>
  <c r="AH2" i="33"/>
  <c r="AH14" i="33"/>
  <c r="X5" i="33"/>
  <c r="X17" i="33"/>
  <c r="W15" i="33"/>
  <c r="W3" i="33"/>
  <c r="C63" i="33"/>
  <c r="B75" i="33"/>
  <c r="B87" i="33" s="1"/>
  <c r="C69" i="33"/>
  <c r="C66" i="33"/>
  <c r="K75" i="33"/>
  <c r="K87" i="33" s="1"/>
  <c r="C64" i="33"/>
  <c r="C75" i="33"/>
  <c r="C87" i="33" s="1"/>
  <c r="C67" i="33"/>
  <c r="C62" i="33"/>
  <c r="C68" i="33"/>
  <c r="C71" i="33"/>
  <c r="H75" i="33"/>
  <c r="H87" i="33" s="1"/>
  <c r="J75" i="33"/>
  <c r="J87" i="33" s="1"/>
  <c r="C70" i="33"/>
  <c r="F75" i="33"/>
  <c r="F87" i="33" s="1"/>
  <c r="G75" i="33"/>
  <c r="G87" i="33" s="1"/>
  <c r="I75" i="33"/>
  <c r="I87" i="33" s="1"/>
  <c r="D75" i="33"/>
  <c r="D87" i="33" s="1"/>
  <c r="C65" i="33"/>
  <c r="AG14" i="33"/>
  <c r="AG2" i="33"/>
  <c r="Z19" i="33"/>
  <c r="Z7" i="33"/>
  <c r="AH21" i="33"/>
  <c r="AH9" i="33"/>
  <c r="AA7" i="33"/>
  <c r="AA19" i="33"/>
  <c r="AG4" i="33"/>
  <c r="AG16" i="33"/>
  <c r="AF6" i="33"/>
  <c r="AF18" i="33"/>
  <c r="E63" i="33"/>
  <c r="H77" i="33"/>
  <c r="H89" i="33" s="1"/>
  <c r="E64" i="33"/>
  <c r="D77" i="33"/>
  <c r="D89" i="33" s="1"/>
  <c r="E66" i="33"/>
  <c r="W17" i="33"/>
  <c r="AE21" i="33"/>
  <c r="AE9" i="33"/>
  <c r="AA21" i="33"/>
  <c r="AA9" i="33"/>
  <c r="AC9" i="33"/>
  <c r="AC21" i="33"/>
  <c r="AD19" i="33"/>
  <c r="AD7" i="33"/>
  <c r="AD17" i="33"/>
  <c r="AD5" i="33"/>
  <c r="Z23" i="33"/>
  <c r="Z11" i="33"/>
  <c r="AD23" i="33"/>
  <c r="AD11" i="33"/>
  <c r="AI21" i="33"/>
  <c r="AI9" i="33"/>
  <c r="Z17" i="33"/>
  <c r="Z5" i="33"/>
  <c r="AA18" i="33"/>
  <c r="AA6" i="33"/>
  <c r="AC14" i="33"/>
  <c r="AH20" i="33"/>
  <c r="AH8" i="33"/>
  <c r="AJ35" i="33"/>
  <c r="AK35" i="33" s="1"/>
  <c r="E70" i="33"/>
  <c r="G77" i="33"/>
  <c r="G89" i="33" s="1"/>
  <c r="AJ34" i="33"/>
  <c r="AK34" i="33" s="1"/>
  <c r="W10" i="33"/>
  <c r="W22" i="33"/>
  <c r="J69" i="33"/>
  <c r="J82" i="33"/>
  <c r="J94" i="33" s="1"/>
  <c r="J64" i="33"/>
  <c r="D82" i="33"/>
  <c r="D94" i="33" s="1"/>
  <c r="J66" i="33"/>
  <c r="J68" i="33"/>
  <c r="C82" i="33"/>
  <c r="C94" i="33" s="1"/>
  <c r="J70" i="33"/>
  <c r="F82" i="33"/>
  <c r="F94" i="33" s="1"/>
  <c r="J71" i="33"/>
  <c r="G82" i="33"/>
  <c r="G94" i="33" s="1"/>
  <c r="B82" i="33"/>
  <c r="B94" i="33" s="1"/>
  <c r="J63" i="33"/>
  <c r="I82" i="33"/>
  <c r="I94" i="33" s="1"/>
  <c r="J65" i="33"/>
  <c r="H82" i="33"/>
  <c r="H94" i="33" s="1"/>
  <c r="J62" i="33"/>
  <c r="K82" i="33"/>
  <c r="K94" i="33" s="1"/>
  <c r="J67" i="33"/>
  <c r="E82" i="33"/>
  <c r="E94" i="33" s="1"/>
  <c r="X22" i="33"/>
  <c r="X10" i="33"/>
  <c r="AB9" i="33"/>
  <c r="AB21" i="33"/>
  <c r="AH17" i="33"/>
  <c r="AH5" i="33"/>
  <c r="AE17" i="33"/>
  <c r="AE5" i="33"/>
  <c r="X20" i="33"/>
  <c r="X8" i="33"/>
  <c r="AB7" i="33"/>
  <c r="AB19" i="33"/>
  <c r="W23" i="33"/>
  <c r="W11" i="33"/>
  <c r="K70" i="33"/>
  <c r="K62" i="33"/>
  <c r="K66" i="33"/>
  <c r="J83" i="33"/>
  <c r="J95" i="33" s="1"/>
  <c r="K71" i="33"/>
  <c r="K64" i="33"/>
  <c r="E83" i="33"/>
  <c r="E95" i="33" s="1"/>
  <c r="C83" i="33"/>
  <c r="C95" i="33" s="1"/>
  <c r="K65" i="33"/>
  <c r="K63" i="33"/>
  <c r="K68" i="33"/>
  <c r="K83" i="33"/>
  <c r="K95" i="33" s="1"/>
  <c r="K67" i="33"/>
  <c r="D83" i="33"/>
  <c r="D95" i="33" s="1"/>
  <c r="H83" i="33"/>
  <c r="H95" i="33" s="1"/>
  <c r="G83" i="33"/>
  <c r="G95" i="33" s="1"/>
  <c r="K69" i="33"/>
  <c r="F83" i="33"/>
  <c r="F95" i="33" s="1"/>
  <c r="I83" i="33"/>
  <c r="I95" i="33" s="1"/>
  <c r="B65" i="33"/>
  <c r="AI2" i="33"/>
  <c r="AI14" i="33"/>
  <c r="AE3" i="33"/>
  <c r="AE15" i="33"/>
  <c r="Y5" i="33"/>
  <c r="Y17" i="33"/>
  <c r="Z14" i="33"/>
  <c r="Z2" i="33"/>
  <c r="X11" i="33"/>
  <c r="X23" i="33"/>
  <c r="AA3" i="33"/>
  <c r="AA15" i="33"/>
  <c r="W20" i="33"/>
  <c r="W8" i="33"/>
  <c r="H70" i="33"/>
  <c r="H65" i="33"/>
  <c r="H71" i="33"/>
  <c r="H69" i="33"/>
  <c r="H68" i="33"/>
  <c r="H66" i="33"/>
  <c r="H64" i="33"/>
  <c r="C80" i="33"/>
  <c r="C92" i="33" s="1"/>
  <c r="H62" i="33"/>
  <c r="I80" i="33"/>
  <c r="I92" i="33" s="1"/>
  <c r="D80" i="33"/>
  <c r="D92" i="33" s="1"/>
  <c r="F80" i="33"/>
  <c r="F92" i="33" s="1"/>
  <c r="J80" i="33"/>
  <c r="J92" i="33" s="1"/>
  <c r="H80" i="33"/>
  <c r="H92" i="33" s="1"/>
  <c r="K80" i="33"/>
  <c r="K92" i="33" s="1"/>
  <c r="G80" i="33"/>
  <c r="G92" i="33" s="1"/>
  <c r="B80" i="33"/>
  <c r="B92" i="33" s="1"/>
  <c r="E80" i="33"/>
  <c r="E92" i="33" s="1"/>
  <c r="AD15" i="33"/>
  <c r="AD3" i="33"/>
  <c r="AC2" i="33"/>
  <c r="AD14" i="33"/>
  <c r="AD2" i="33"/>
  <c r="Y18" i="33"/>
  <c r="Y6" i="33"/>
  <c r="Y15" i="33"/>
  <c r="Y3" i="33"/>
  <c r="Y4" i="33"/>
  <c r="Y16" i="33"/>
  <c r="AF17" i="33"/>
  <c r="AF5" i="33"/>
  <c r="AC15" i="33"/>
  <c r="AC3" i="33"/>
  <c r="X15" i="33"/>
  <c r="X3" i="33"/>
  <c r="AC7" i="33"/>
  <c r="AC19" i="33"/>
  <c r="AE6" i="33"/>
  <c r="AE18" i="33"/>
  <c r="AE42" i="33" s="1"/>
  <c r="AG18" i="33"/>
  <c r="AG6" i="33"/>
  <c r="Y21" i="33"/>
  <c r="Y9" i="33"/>
  <c r="E62" i="33"/>
  <c r="E67" i="33"/>
  <c r="E68" i="33"/>
  <c r="E77" i="33"/>
  <c r="E89" i="33" s="1"/>
  <c r="B77" i="33"/>
  <c r="B89" i="33" s="1"/>
  <c r="E71" i="33"/>
  <c r="E115" i="33" s="1"/>
  <c r="AA4" i="33"/>
  <c r="L65" i="23"/>
  <c r="M65" i="23"/>
  <c r="K37" i="23"/>
  <c r="L37" i="23"/>
  <c r="L3" i="23"/>
  <c r="M45" i="23"/>
  <c r="L49" i="23"/>
  <c r="M49" i="23"/>
  <c r="K27" i="23"/>
  <c r="K55" i="23"/>
  <c r="L55" i="23"/>
  <c r="K32" i="23"/>
  <c r="M32" i="23"/>
  <c r="M52" i="23"/>
  <c r="L52" i="23"/>
  <c r="M24" i="23"/>
  <c r="L24" i="23"/>
  <c r="E32" i="31"/>
  <c r="G47" i="31" s="1"/>
  <c r="K23" i="23"/>
  <c r="K22" i="23"/>
  <c r="M22" i="23"/>
  <c r="M7" i="23"/>
  <c r="M27" i="23"/>
  <c r="L29" i="23"/>
  <c r="K29" i="23"/>
  <c r="K7" i="23"/>
  <c r="L61" i="23"/>
  <c r="K61" i="23"/>
  <c r="L48" i="23"/>
  <c r="M48" i="23"/>
  <c r="L31" i="23"/>
  <c r="K31" i="23"/>
  <c r="K41" i="23"/>
  <c r="M35" i="23"/>
  <c r="L27" i="23"/>
  <c r="K66" i="23"/>
  <c r="L41" i="23"/>
  <c r="L58" i="23"/>
  <c r="K35" i="23"/>
  <c r="L14" i="23"/>
  <c r="M66" i="23"/>
  <c r="L38" i="23"/>
  <c r="K14" i="23"/>
  <c r="F32" i="31"/>
  <c r="E47" i="31" s="1"/>
  <c r="M18" i="23"/>
  <c r="M14" i="23"/>
  <c r="L80" i="14"/>
  <c r="K46" i="23"/>
  <c r="M46" i="23"/>
  <c r="L18" i="23"/>
  <c r="M38" i="23"/>
  <c r="K43" i="23"/>
  <c r="K36" i="23"/>
  <c r="M36" i="23"/>
  <c r="K58" i="23"/>
  <c r="E28" i="31"/>
  <c r="C43" i="31" s="1"/>
  <c r="E29" i="31"/>
  <c r="C44" i="31" s="1"/>
  <c r="C27" i="31"/>
  <c r="B40" i="31" s="1"/>
  <c r="N36" i="31"/>
  <c r="F30" i="31"/>
  <c r="G45" i="31" s="1"/>
  <c r="O38" i="5"/>
  <c r="M60" i="23"/>
  <c r="L50" i="23"/>
  <c r="L60" i="23"/>
  <c r="K50" i="23"/>
  <c r="K3" i="23"/>
  <c r="E30" i="31"/>
  <c r="C45" i="31" s="1"/>
  <c r="L8" i="23"/>
  <c r="M3" i="23"/>
  <c r="E31" i="31"/>
  <c r="C46" i="31" s="1"/>
  <c r="K64" i="23"/>
  <c r="M43" i="23"/>
  <c r="K44" i="23"/>
  <c r="L44" i="23"/>
  <c r="L64" i="23"/>
  <c r="M56" i="23"/>
  <c r="N37" i="31"/>
  <c r="F26" i="31" s="1"/>
  <c r="E39" i="31" s="1"/>
  <c r="K26" i="23"/>
  <c r="L26" i="23"/>
  <c r="F31" i="31"/>
  <c r="G46" i="31" s="1"/>
  <c r="L82" i="14"/>
  <c r="K8" i="23"/>
  <c r="L83" i="14"/>
  <c r="L77" i="14"/>
  <c r="I39" i="5"/>
  <c r="E36" i="5"/>
  <c r="M39" i="5"/>
  <c r="L81" i="14"/>
  <c r="C43" i="5"/>
  <c r="H39" i="5"/>
  <c r="F29" i="31"/>
  <c r="E44" i="31" s="1"/>
  <c r="O36" i="5"/>
  <c r="O39" i="5"/>
  <c r="C39" i="5"/>
  <c r="Q44" i="5"/>
  <c r="G39" i="5"/>
  <c r="K39" i="5"/>
  <c r="B39" i="5"/>
  <c r="M38" i="31"/>
  <c r="F28" i="31"/>
  <c r="E43" i="31" s="1"/>
  <c r="H43" i="5"/>
  <c r="Q39" i="5"/>
  <c r="L39" i="5"/>
  <c r="N39" i="5"/>
  <c r="M36" i="31"/>
  <c r="H41" i="5"/>
  <c r="M45" i="5"/>
  <c r="M41" i="5"/>
  <c r="Q45" i="5"/>
  <c r="B44" i="5"/>
  <c r="M40" i="5"/>
  <c r="G37" i="5"/>
  <c r="E40" i="5"/>
  <c r="L38" i="5"/>
  <c r="F37" i="5"/>
  <c r="O40" i="5"/>
  <c r="N38" i="5"/>
  <c r="D37" i="5"/>
  <c r="N40" i="5"/>
  <c r="H37" i="5"/>
  <c r="N44" i="5"/>
  <c r="L44" i="5"/>
  <c r="L75" i="14"/>
  <c r="E45" i="5"/>
  <c r="N41" i="5"/>
  <c r="K41" i="5"/>
  <c r="D45" i="5"/>
  <c r="J45" i="5"/>
  <c r="B41" i="5"/>
  <c r="G41" i="5"/>
  <c r="C45" i="5"/>
  <c r="C44" i="5"/>
  <c r="I36" i="5"/>
  <c r="L41" i="5"/>
  <c r="J41" i="5"/>
  <c r="L42" i="5"/>
  <c r="O45" i="5"/>
  <c r="K44" i="5"/>
  <c r="M44" i="5"/>
  <c r="L74" i="14"/>
  <c r="E33" i="31"/>
  <c r="G48" i="31" s="1"/>
  <c r="K40" i="5"/>
  <c r="J40" i="5"/>
  <c r="I40" i="5"/>
  <c r="K38" i="5"/>
  <c r="I38" i="5"/>
  <c r="H38" i="5"/>
  <c r="J38" i="5"/>
  <c r="E37" i="5"/>
  <c r="Q37" i="5"/>
  <c r="B37" i="5"/>
  <c r="C37" i="5"/>
  <c r="D40" i="5"/>
  <c r="G40" i="5"/>
  <c r="F40" i="5"/>
  <c r="Q40" i="5"/>
  <c r="Q38" i="5"/>
  <c r="E38" i="5"/>
  <c r="D38" i="5"/>
  <c r="F38" i="5"/>
  <c r="I41" i="5"/>
  <c r="E41" i="5"/>
  <c r="Q41" i="5"/>
  <c r="D41" i="5"/>
  <c r="O37" i="5"/>
  <c r="N37" i="5"/>
  <c r="M37" i="5"/>
  <c r="N45" i="5"/>
  <c r="L45" i="5"/>
  <c r="K45" i="5"/>
  <c r="F45" i="5"/>
  <c r="O44" i="5"/>
  <c r="J44" i="5"/>
  <c r="I44" i="5"/>
  <c r="H44" i="5"/>
  <c r="C25" i="31"/>
  <c r="B38" i="31" s="1"/>
  <c r="C26" i="31"/>
  <c r="B39" i="31" s="1"/>
  <c r="L40" i="5"/>
  <c r="B40" i="5"/>
  <c r="C40" i="5"/>
  <c r="N36" i="5"/>
  <c r="M38" i="5"/>
  <c r="C38" i="5"/>
  <c r="G38" i="5"/>
  <c r="C41" i="5"/>
  <c r="O41" i="5"/>
  <c r="I43" i="5"/>
  <c r="L37" i="5"/>
  <c r="K37" i="5"/>
  <c r="J37" i="5"/>
  <c r="B45" i="5"/>
  <c r="H45" i="5"/>
  <c r="G45" i="5"/>
  <c r="J39" i="5"/>
  <c r="D39" i="5"/>
  <c r="E39" i="5"/>
  <c r="G44" i="5"/>
  <c r="F44" i="5"/>
  <c r="D44" i="5"/>
  <c r="N35" i="31"/>
  <c r="F24" i="31" s="1"/>
  <c r="E37" i="31" s="1"/>
  <c r="O86" i="29"/>
  <c r="L79" i="14"/>
  <c r="I42" i="5"/>
  <c r="L56" i="23"/>
  <c r="N38" i="31"/>
  <c r="Q42" i="5"/>
  <c r="R73" i="29"/>
  <c r="B42" i="5"/>
  <c r="Q36" i="5"/>
  <c r="K36" i="5"/>
  <c r="J36" i="5"/>
  <c r="M36" i="5"/>
  <c r="G43" i="5"/>
  <c r="D43" i="5"/>
  <c r="E43" i="5"/>
  <c r="N43" i="5"/>
  <c r="H36" i="5"/>
  <c r="G36" i="5"/>
  <c r="F36" i="5"/>
  <c r="L36" i="5"/>
  <c r="F43" i="5"/>
  <c r="B43" i="5"/>
  <c r="O43" i="5"/>
  <c r="J43" i="5"/>
  <c r="D36" i="5"/>
  <c r="B36" i="5"/>
  <c r="M43" i="5"/>
  <c r="L43" i="5"/>
  <c r="K43" i="5"/>
  <c r="O42" i="5"/>
  <c r="N42" i="5"/>
  <c r="E42" i="5"/>
  <c r="H42" i="5"/>
  <c r="K42" i="5"/>
  <c r="J42" i="5"/>
  <c r="M42" i="5"/>
  <c r="D42" i="5"/>
  <c r="G42" i="5"/>
  <c r="F42" i="5"/>
  <c r="D29" i="31"/>
  <c r="D44" i="31" s="1"/>
  <c r="N25" i="31"/>
  <c r="D30" i="31"/>
  <c r="F45" i="31" s="1"/>
  <c r="C30" i="31"/>
  <c r="B45" i="31" s="1"/>
  <c r="C33" i="31"/>
  <c r="F48" i="31" s="1"/>
  <c r="D31" i="31"/>
  <c r="F46" i="31" s="1"/>
  <c r="D28" i="31"/>
  <c r="D43" i="31" s="1"/>
  <c r="N26" i="31"/>
  <c r="C29" i="31"/>
  <c r="B44" i="31" s="1"/>
  <c r="C28" i="31"/>
  <c r="B43" i="31" s="1"/>
  <c r="E26" i="31"/>
  <c r="C39" i="31" s="1"/>
  <c r="D32" i="31"/>
  <c r="D47" i="31" s="1"/>
  <c r="C32" i="31"/>
  <c r="F47" i="31" s="1"/>
  <c r="N24" i="31"/>
  <c r="C24" i="31"/>
  <c r="B37" i="31" s="1"/>
  <c r="C31" i="31"/>
  <c r="B46" i="31" s="1"/>
  <c r="E25" i="31"/>
  <c r="C38" i="31" s="1"/>
  <c r="M26" i="31"/>
  <c r="N27" i="31"/>
  <c r="M24" i="31"/>
  <c r="E24" i="31"/>
  <c r="C37" i="31" s="1"/>
  <c r="M27" i="31"/>
  <c r="M25" i="31"/>
  <c r="E27" i="31"/>
  <c r="C40" i="31" s="1"/>
  <c r="G26" i="13"/>
  <c r="H26" i="13"/>
  <c r="P25" i="13"/>
  <c r="S25" i="13" s="1"/>
  <c r="O25" i="13"/>
  <c r="R25" i="13" s="1"/>
  <c r="Y25" i="13"/>
  <c r="X25" i="13"/>
  <c r="A29" i="13"/>
  <c r="B29" i="13" s="1"/>
  <c r="U24" i="13"/>
  <c r="M26" i="13"/>
  <c r="N26" i="13" s="1"/>
  <c r="F26" i="13"/>
  <c r="E27" i="13"/>
  <c r="K27" i="13"/>
  <c r="C27" i="13"/>
  <c r="L27" i="13"/>
  <c r="Q26" i="13"/>
  <c r="D26" i="13"/>
  <c r="M29" i="8" l="1"/>
  <c r="W19" i="5"/>
  <c r="W14" i="5"/>
  <c r="W20" i="5"/>
  <c r="AF41" i="33"/>
  <c r="Y39" i="33"/>
  <c r="H113" i="33"/>
  <c r="Y41" i="33"/>
  <c r="AB43" i="33"/>
  <c r="D114" i="33"/>
  <c r="Z41" i="33"/>
  <c r="C109" i="33"/>
  <c r="AD39" i="33"/>
  <c r="K110" i="33"/>
  <c r="J106" i="33"/>
  <c r="J110" i="33"/>
  <c r="K109" i="33"/>
  <c r="AE41" i="33"/>
  <c r="J108" i="33"/>
  <c r="Y45" i="33"/>
  <c r="X39" i="33"/>
  <c r="AD43" i="33"/>
  <c r="AH45" i="33"/>
  <c r="X41" i="33"/>
  <c r="AG46" i="33"/>
  <c r="AB47" i="33"/>
  <c r="AC44" i="33"/>
  <c r="Z46" i="33"/>
  <c r="AG45" i="33"/>
  <c r="AD40" i="33"/>
  <c r="X45" i="33"/>
  <c r="AC42" i="33"/>
  <c r="AI47" i="33"/>
  <c r="AA39" i="33"/>
  <c r="AE39" i="33"/>
  <c r="W43" i="33"/>
  <c r="AI45" i="33"/>
  <c r="X42" i="33"/>
  <c r="AC40" i="33"/>
  <c r="Y40" i="33"/>
  <c r="Z38" i="33"/>
  <c r="AH44" i="33"/>
  <c r="AF42" i="33"/>
  <c r="AA43" i="33"/>
  <c r="AG38" i="33"/>
  <c r="AG41" i="33"/>
  <c r="AE44" i="33"/>
  <c r="AD46" i="33"/>
  <c r="AB42" i="33"/>
  <c r="Y44" i="33"/>
  <c r="AE47" i="33"/>
  <c r="AC46" i="33"/>
  <c r="AF45" i="33"/>
  <c r="AI43" i="33"/>
  <c r="AG42" i="33"/>
  <c r="AC39" i="33"/>
  <c r="Y42" i="33"/>
  <c r="X47" i="33"/>
  <c r="AI38" i="33"/>
  <c r="AB45" i="33"/>
  <c r="AC38" i="33"/>
  <c r="AD47" i="33"/>
  <c r="AD41" i="33"/>
  <c r="Z45" i="33"/>
  <c r="G114" i="33"/>
  <c r="AF47" i="33"/>
  <c r="AH40" i="33"/>
  <c r="D110" i="33"/>
  <c r="E109" i="33"/>
  <c r="F108" i="33"/>
  <c r="AA41" i="33"/>
  <c r="B107" i="33"/>
  <c r="AG43" i="33"/>
  <c r="AA44" i="33"/>
  <c r="I106" i="33"/>
  <c r="AB41" i="33"/>
  <c r="Y43" i="33"/>
  <c r="B109" i="33"/>
  <c r="K107" i="33"/>
  <c r="J114" i="33"/>
  <c r="C115" i="33"/>
  <c r="F110" i="33"/>
  <c r="B110" i="33"/>
  <c r="I107" i="33"/>
  <c r="K113" i="33"/>
  <c r="J109" i="33"/>
  <c r="C108" i="33"/>
  <c r="G113" i="33"/>
  <c r="H111" i="33"/>
  <c r="E112" i="33"/>
  <c r="E111" i="33"/>
  <c r="H107" i="33"/>
  <c r="G106" i="33"/>
  <c r="H110" i="33"/>
  <c r="H109" i="33"/>
  <c r="E110" i="33"/>
  <c r="B111" i="33"/>
  <c r="I113" i="33"/>
  <c r="AC43" i="33"/>
  <c r="J112" i="33"/>
  <c r="H106" i="33"/>
  <c r="H112" i="33"/>
  <c r="K112" i="33"/>
  <c r="X44" i="33"/>
  <c r="AH41" i="33"/>
  <c r="X46" i="33"/>
  <c r="J107" i="33"/>
  <c r="J113" i="33"/>
  <c r="AJ5" i="33"/>
  <c r="K106" i="33"/>
  <c r="A117" i="33" s="1"/>
  <c r="H114" i="33"/>
  <c r="G109" i="33"/>
  <c r="H108" i="33"/>
  <c r="J111" i="33"/>
  <c r="G108" i="33"/>
  <c r="E113" i="33"/>
  <c r="B113" i="33"/>
  <c r="K108" i="33"/>
  <c r="E108" i="33"/>
  <c r="C113" i="33"/>
  <c r="D109" i="33"/>
  <c r="D113" i="33"/>
  <c r="I108" i="33"/>
  <c r="C106" i="33"/>
  <c r="AE45" i="33"/>
  <c r="AG47" i="33"/>
  <c r="Y47" i="33"/>
  <c r="W47" i="33"/>
  <c r="AJ23" i="33"/>
  <c r="AK23" i="33" s="1"/>
  <c r="AC45" i="33"/>
  <c r="C110" i="33"/>
  <c r="AH38" i="33"/>
  <c r="AF43" i="33"/>
  <c r="G112" i="33"/>
  <c r="G107" i="33"/>
  <c r="X43" i="33"/>
  <c r="W40" i="33"/>
  <c r="AJ16" i="33"/>
  <c r="AK16" i="33" s="1"/>
  <c r="F107" i="33"/>
  <c r="W42" i="33"/>
  <c r="AJ18" i="33"/>
  <c r="AK18" i="33" s="1"/>
  <c r="AC41" i="33"/>
  <c r="AF39" i="33"/>
  <c r="AG44" i="33"/>
  <c r="AA46" i="33"/>
  <c r="B112" i="33"/>
  <c r="AE40" i="33"/>
  <c r="AD42" i="33"/>
  <c r="AI44" i="33"/>
  <c r="AI39" i="33"/>
  <c r="W46" i="33"/>
  <c r="AJ22" i="33"/>
  <c r="AK22" i="33" s="1"/>
  <c r="AJ11" i="33"/>
  <c r="D115" i="33"/>
  <c r="F115" i="33"/>
  <c r="B114" i="33"/>
  <c r="W45" i="33"/>
  <c r="AJ21" i="33"/>
  <c r="AK21" i="33" s="1"/>
  <c r="AA47" i="33"/>
  <c r="AG39" i="33"/>
  <c r="AJ7" i="33"/>
  <c r="W39" i="33"/>
  <c r="AJ15" i="33"/>
  <c r="AK15" i="33" s="1"/>
  <c r="H115" i="33"/>
  <c r="W44" i="33"/>
  <c r="AJ20" i="33"/>
  <c r="AK20" i="33" s="1"/>
  <c r="AJ2" i="33"/>
  <c r="K115" i="33"/>
  <c r="K114" i="33"/>
  <c r="AJ9" i="33"/>
  <c r="W41" i="33"/>
  <c r="AJ17" i="33"/>
  <c r="AK17" i="33" s="1"/>
  <c r="AG40" i="33"/>
  <c r="Z43" i="33"/>
  <c r="C114" i="33"/>
  <c r="C112" i="33"/>
  <c r="AJ4" i="33"/>
  <c r="AB44" i="33"/>
  <c r="K111" i="33"/>
  <c r="G115" i="33"/>
  <c r="AJ19" i="33"/>
  <c r="AK19" i="33" s="1"/>
  <c r="AH42" i="33"/>
  <c r="X40" i="33"/>
  <c r="D111" i="33"/>
  <c r="D108" i="33"/>
  <c r="F112" i="33"/>
  <c r="F111" i="33"/>
  <c r="AJ10" i="33"/>
  <c r="B115" i="33"/>
  <c r="B108" i="33"/>
  <c r="B106" i="33"/>
  <c r="W38" i="33"/>
  <c r="AJ14" i="33"/>
  <c r="AK14" i="33" s="1"/>
  <c r="AJ6" i="33"/>
  <c r="I110" i="33"/>
  <c r="I114" i="33"/>
  <c r="I109" i="33"/>
  <c r="AI41" i="33"/>
  <c r="Z44" i="33"/>
  <c r="AH47" i="33"/>
  <c r="E114" i="33"/>
  <c r="AD38" i="33"/>
  <c r="J115" i="33"/>
  <c r="AA42" i="33"/>
  <c r="Z47" i="33"/>
  <c r="AA45" i="33"/>
  <c r="E107" i="33"/>
  <c r="C107" i="33"/>
  <c r="AI40" i="33"/>
  <c r="Y38" i="33"/>
  <c r="G111" i="33"/>
  <c r="C111" i="33"/>
  <c r="G110" i="33"/>
  <c r="Z42" i="33"/>
  <c r="AB39" i="33"/>
  <c r="AF46" i="33"/>
  <c r="AE46" i="33"/>
  <c r="AE43" i="33"/>
  <c r="D107" i="33"/>
  <c r="D112" i="33"/>
  <c r="AB38" i="33"/>
  <c r="F114" i="33"/>
  <c r="F106" i="33"/>
  <c r="AD44" i="33"/>
  <c r="AH43" i="33"/>
  <c r="AI46" i="33"/>
  <c r="E106" i="33"/>
  <c r="AI42" i="33"/>
  <c r="I115" i="33"/>
  <c r="I112" i="33"/>
  <c r="I111" i="33"/>
  <c r="AF44" i="33"/>
  <c r="AF40" i="33"/>
  <c r="AJ8" i="33"/>
  <c r="AJ3" i="33"/>
  <c r="AA40" i="33"/>
  <c r="F25" i="31"/>
  <c r="E38" i="31" s="1"/>
  <c r="F27" i="31"/>
  <c r="E40" i="31" s="1"/>
  <c r="P45" i="5"/>
  <c r="K11" i="10" s="1"/>
  <c r="K23" i="10" s="1"/>
  <c r="C49" i="5"/>
  <c r="P39" i="5"/>
  <c r="K5" i="10" s="1"/>
  <c r="K17" i="10" s="1"/>
  <c r="P38" i="5"/>
  <c r="P41" i="5"/>
  <c r="K7" i="10" s="1"/>
  <c r="K19" i="10" s="1"/>
  <c r="P40" i="5"/>
  <c r="K6" i="10" s="1"/>
  <c r="K18" i="10" s="1"/>
  <c r="P44" i="5"/>
  <c r="R32" i="5" s="1"/>
  <c r="C48" i="5"/>
  <c r="P37" i="5"/>
  <c r="R25" i="5" s="1"/>
  <c r="C52" i="5"/>
  <c r="C51" i="5"/>
  <c r="C50" i="5"/>
  <c r="P42" i="5"/>
  <c r="K8" i="10" s="1"/>
  <c r="K20" i="10" s="1"/>
  <c r="P43" i="5"/>
  <c r="R31" i="5" s="1"/>
  <c r="P36" i="5"/>
  <c r="R24" i="5" s="1"/>
  <c r="D25" i="31"/>
  <c r="D38" i="31" s="1"/>
  <c r="D26" i="31"/>
  <c r="D39" i="31" s="1"/>
  <c r="D24" i="31"/>
  <c r="D37" i="31" s="1"/>
  <c r="D27" i="31"/>
  <c r="D40" i="31" s="1"/>
  <c r="G27" i="13"/>
  <c r="H27" i="13"/>
  <c r="P26" i="13"/>
  <c r="S26" i="13" s="1"/>
  <c r="O26" i="13"/>
  <c r="R26" i="13" s="1"/>
  <c r="E28" i="13"/>
  <c r="K28" i="13"/>
  <c r="L28" i="13"/>
  <c r="C28" i="13"/>
  <c r="Q27" i="13"/>
  <c r="Y26" i="13"/>
  <c r="X26" i="13"/>
  <c r="D27" i="13"/>
  <c r="U25" i="13"/>
  <c r="A30" i="13"/>
  <c r="B30" i="13" s="1"/>
  <c r="D24" i="14"/>
  <c r="M27" i="13"/>
  <c r="N27" i="13" s="1"/>
  <c r="F27" i="13"/>
  <c r="M30" i="8" l="1"/>
  <c r="R26" i="5"/>
  <c r="K4" i="10"/>
  <c r="K16" i="10" s="1"/>
  <c r="W21" i="5"/>
  <c r="AJ45" i="33"/>
  <c r="AK45" i="33" s="1"/>
  <c r="AJ41" i="33"/>
  <c r="AK41" i="33" s="1"/>
  <c r="L113" i="33"/>
  <c r="D116" i="33"/>
  <c r="H116" i="33"/>
  <c r="AJ47" i="33"/>
  <c r="AK47" i="33" s="1"/>
  <c r="J116" i="33"/>
  <c r="K116" i="33"/>
  <c r="C116" i="33"/>
  <c r="L109" i="33"/>
  <c r="G116" i="33"/>
  <c r="L108" i="33"/>
  <c r="L111" i="33"/>
  <c r="E116" i="33"/>
  <c r="F116" i="33"/>
  <c r="AJ43" i="33"/>
  <c r="AK43" i="33" s="1"/>
  <c r="AJ38" i="33"/>
  <c r="AK38" i="33" s="1"/>
  <c r="AJ40" i="33"/>
  <c r="AK40" i="33" s="1"/>
  <c r="L114" i="33"/>
  <c r="AJ39" i="33"/>
  <c r="AK39" i="33" s="1"/>
  <c r="L115" i="33"/>
  <c r="L107" i="33"/>
  <c r="AJ44" i="33"/>
  <c r="AK44" i="33" s="1"/>
  <c r="L112" i="33"/>
  <c r="AJ46" i="33"/>
  <c r="AK46" i="33" s="1"/>
  <c r="L106" i="33"/>
  <c r="B116" i="33"/>
  <c r="I116" i="33"/>
  <c r="L110" i="33"/>
  <c r="AJ42" i="33"/>
  <c r="AK42" i="33" s="1"/>
  <c r="R33" i="5"/>
  <c r="R28" i="5"/>
  <c r="K10" i="10"/>
  <c r="K22" i="10" s="1"/>
  <c r="R27" i="5"/>
  <c r="K9" i="10"/>
  <c r="K21" i="10" s="1"/>
  <c r="B48" i="5"/>
  <c r="D48" i="5" s="1"/>
  <c r="B61" i="5" s="1"/>
  <c r="R29" i="5"/>
  <c r="B49" i="5"/>
  <c r="D49" i="5" s="1"/>
  <c r="B58" i="5" s="1"/>
  <c r="K3" i="10"/>
  <c r="K15" i="10" s="1"/>
  <c r="B50" i="5"/>
  <c r="D50" i="5" s="1"/>
  <c r="D59" i="5" s="1"/>
  <c r="B51" i="5"/>
  <c r="D51" i="5" s="1"/>
  <c r="F57" i="5" s="1"/>
  <c r="K2" i="10"/>
  <c r="K14" i="10" s="1"/>
  <c r="B52" i="5"/>
  <c r="D52" i="5" s="1"/>
  <c r="H63" i="5" s="1"/>
  <c r="R30" i="5"/>
  <c r="G28" i="13"/>
  <c r="H28" i="13"/>
  <c r="P27" i="13"/>
  <c r="S27" i="13" s="1"/>
  <c r="O27" i="13"/>
  <c r="R27" i="13" s="1"/>
  <c r="E29" i="13"/>
  <c r="K29" i="13"/>
  <c r="C29" i="13"/>
  <c r="L29" i="13"/>
  <c r="Y27" i="13"/>
  <c r="X27" i="13"/>
  <c r="D28" i="13"/>
  <c r="A31" i="13"/>
  <c r="B31" i="13" s="1"/>
  <c r="U26" i="13"/>
  <c r="Q28" i="13"/>
  <c r="M28" i="13"/>
  <c r="N28" i="13" s="1"/>
  <c r="F28" i="13"/>
  <c r="M31" i="8" l="1"/>
  <c r="L4" i="10"/>
  <c r="L16" i="10" s="1"/>
  <c r="D60" i="5"/>
  <c r="B57" i="5"/>
  <c r="L9" i="10"/>
  <c r="L21" i="10" s="1"/>
  <c r="B65" i="5"/>
  <c r="B63" i="5"/>
  <c r="B59" i="5"/>
  <c r="L7" i="10"/>
  <c r="L19" i="10" s="1"/>
  <c r="B56" i="5"/>
  <c r="B60" i="5"/>
  <c r="D63" i="5"/>
  <c r="D64" i="5"/>
  <c r="D58" i="5"/>
  <c r="L5" i="10"/>
  <c r="L17" i="10" s="1"/>
  <c r="B62" i="5"/>
  <c r="D62" i="5"/>
  <c r="H59" i="5"/>
  <c r="L2" i="10"/>
  <c r="L14" i="10" s="1"/>
  <c r="F64" i="5"/>
  <c r="B64" i="5"/>
  <c r="F61" i="5"/>
  <c r="F56" i="5"/>
  <c r="F58" i="5"/>
  <c r="F60" i="5"/>
  <c r="F63" i="5"/>
  <c r="D56" i="5"/>
  <c r="D61" i="5"/>
  <c r="F65" i="5"/>
  <c r="F62" i="5"/>
  <c r="D65" i="5"/>
  <c r="D57" i="5"/>
  <c r="H57" i="5"/>
  <c r="L6" i="10"/>
  <c r="L18" i="10" s="1"/>
  <c r="H62" i="5"/>
  <c r="H64" i="5"/>
  <c r="L3" i="10"/>
  <c r="L15" i="10" s="1"/>
  <c r="L10" i="10"/>
  <c r="L22" i="10" s="1"/>
  <c r="H58" i="5"/>
  <c r="H60" i="5"/>
  <c r="H61" i="5"/>
  <c r="L11" i="10"/>
  <c r="L23" i="10" s="1"/>
  <c r="F59" i="5"/>
  <c r="L8" i="10"/>
  <c r="L20" i="10" s="1"/>
  <c r="H56" i="5"/>
  <c r="H65" i="5"/>
  <c r="G29" i="13"/>
  <c r="H29" i="13"/>
  <c r="P28" i="13"/>
  <c r="S28" i="13" s="1"/>
  <c r="O28" i="13"/>
  <c r="R28" i="13" s="1"/>
  <c r="Q29" i="13"/>
  <c r="A32" i="13"/>
  <c r="B32" i="13" s="1"/>
  <c r="M29" i="13"/>
  <c r="N29" i="13" s="1"/>
  <c r="F29" i="13"/>
  <c r="E30" i="13"/>
  <c r="K30" i="13"/>
  <c r="L30" i="13"/>
  <c r="C30" i="13"/>
  <c r="U27" i="13"/>
  <c r="Y28" i="13"/>
  <c r="X28" i="13"/>
  <c r="D29" i="13"/>
  <c r="M32" i="8" l="1"/>
  <c r="B66" i="5"/>
  <c r="E48" i="5"/>
  <c r="C56" i="5" s="1"/>
  <c r="E49" i="5"/>
  <c r="C60" i="5" s="1"/>
  <c r="D66" i="5"/>
  <c r="E62" i="5" s="1"/>
  <c r="B75" i="5" s="1"/>
  <c r="H66" i="5"/>
  <c r="I62" i="5" s="1"/>
  <c r="C8" i="10" s="1"/>
  <c r="C20" i="10" s="1"/>
  <c r="F66" i="5"/>
  <c r="G63" i="5" s="1"/>
  <c r="G30" i="13"/>
  <c r="H30" i="13"/>
  <c r="P29" i="13"/>
  <c r="S29" i="13" s="1"/>
  <c r="O29" i="13"/>
  <c r="R29" i="13" s="1"/>
  <c r="A33" i="13"/>
  <c r="B33" i="13" s="1"/>
  <c r="Q30" i="13"/>
  <c r="M30" i="13"/>
  <c r="N30" i="13" s="1"/>
  <c r="F30" i="13"/>
  <c r="Y29" i="13"/>
  <c r="X29" i="13"/>
  <c r="D30" i="13"/>
  <c r="U28" i="13"/>
  <c r="E31" i="13"/>
  <c r="K31" i="13"/>
  <c r="C31" i="13"/>
  <c r="L31" i="13"/>
  <c r="M33" i="8" l="1"/>
  <c r="I57" i="5"/>
  <c r="F70" i="5" s="1"/>
  <c r="I59" i="5"/>
  <c r="F72" i="5" s="1"/>
  <c r="F75" i="5"/>
  <c r="I58" i="5"/>
  <c r="F71" i="5" s="1"/>
  <c r="I64" i="5"/>
  <c r="C10" i="10" s="1"/>
  <c r="C22" i="10" s="1"/>
  <c r="I65" i="5"/>
  <c r="C11" i="10" s="1"/>
  <c r="C23" i="10" s="1"/>
  <c r="E57" i="5"/>
  <c r="B70" i="5" s="1"/>
  <c r="C59" i="5"/>
  <c r="E63" i="5"/>
  <c r="B76" i="5" s="1"/>
  <c r="E61" i="5"/>
  <c r="B74" i="5" s="1"/>
  <c r="E60" i="5"/>
  <c r="B73" i="5" s="1"/>
  <c r="E64" i="5"/>
  <c r="B77" i="5" s="1"/>
  <c r="E56" i="5"/>
  <c r="B69" i="5" s="1"/>
  <c r="E59" i="5"/>
  <c r="B72" i="5" s="1"/>
  <c r="E65" i="5"/>
  <c r="B78" i="5" s="1"/>
  <c r="E58" i="5"/>
  <c r="B71" i="5" s="1"/>
  <c r="C61" i="5"/>
  <c r="C63" i="5"/>
  <c r="C65" i="5"/>
  <c r="C62" i="5"/>
  <c r="C75" i="5" s="1"/>
  <c r="C64" i="5"/>
  <c r="C58" i="5"/>
  <c r="Q3" i="9" s="1"/>
  <c r="Q5" i="9" s="1"/>
  <c r="G56" i="5"/>
  <c r="D69" i="5" s="1"/>
  <c r="C57" i="5"/>
  <c r="G60" i="5"/>
  <c r="D73" i="5" s="1"/>
  <c r="G59" i="5"/>
  <c r="G64" i="5"/>
  <c r="G62" i="5"/>
  <c r="G58" i="5"/>
  <c r="I56" i="5"/>
  <c r="C2" i="10" s="1"/>
  <c r="C14" i="10" s="1"/>
  <c r="G57" i="5"/>
  <c r="I63" i="5"/>
  <c r="C9" i="10" s="1"/>
  <c r="C21" i="10" s="1"/>
  <c r="I60" i="5"/>
  <c r="C6" i="10" s="1"/>
  <c r="C18" i="10" s="1"/>
  <c r="I61" i="5"/>
  <c r="F74" i="5" s="1"/>
  <c r="G65" i="5"/>
  <c r="G61" i="5"/>
  <c r="G31" i="13"/>
  <c r="H31" i="13"/>
  <c r="P30" i="13"/>
  <c r="S30" i="13" s="1"/>
  <c r="O30" i="13"/>
  <c r="R30" i="13" s="1"/>
  <c r="M31" i="13"/>
  <c r="N31" i="13" s="1"/>
  <c r="F31" i="13"/>
  <c r="Y30" i="13"/>
  <c r="X30" i="13"/>
  <c r="D31" i="13"/>
  <c r="U29" i="13"/>
  <c r="E32" i="13"/>
  <c r="K32" i="13"/>
  <c r="L32" i="13"/>
  <c r="C32" i="13"/>
  <c r="Q31" i="13"/>
  <c r="A34" i="13"/>
  <c r="B34" i="13" s="1"/>
  <c r="M34" i="8" l="1"/>
  <c r="D78" i="5"/>
  <c r="D75" i="5"/>
  <c r="E75" i="5" s="1"/>
  <c r="C5" i="10"/>
  <c r="C17" i="10" s="1"/>
  <c r="C3" i="10"/>
  <c r="C15" i="10" s="1"/>
  <c r="D72" i="5"/>
  <c r="C4" i="10"/>
  <c r="C16" i="10" s="1"/>
  <c r="F77" i="5"/>
  <c r="C76" i="5"/>
  <c r="C69" i="5"/>
  <c r="E69" i="5" s="1"/>
  <c r="P3" i="9"/>
  <c r="P5" i="9" s="1"/>
  <c r="F78" i="5"/>
  <c r="C70" i="5"/>
  <c r="D77" i="5"/>
  <c r="C78" i="5"/>
  <c r="C73" i="5"/>
  <c r="E73" i="5" s="1"/>
  <c r="C74" i="5"/>
  <c r="D76" i="5"/>
  <c r="C77" i="5"/>
  <c r="C71" i="5"/>
  <c r="C72" i="5"/>
  <c r="D74" i="5"/>
  <c r="F69" i="5"/>
  <c r="F73" i="5"/>
  <c r="C7" i="10"/>
  <c r="C19" i="10" s="1"/>
  <c r="D70" i="5"/>
  <c r="D71" i="5"/>
  <c r="F76" i="5"/>
  <c r="G32" i="13"/>
  <c r="H32" i="13"/>
  <c r="P31" i="13"/>
  <c r="S31" i="13" s="1"/>
  <c r="O31" i="13"/>
  <c r="R31" i="13" s="1"/>
  <c r="E33" i="13"/>
  <c r="K33" i="13"/>
  <c r="C33" i="13"/>
  <c r="L33" i="13"/>
  <c r="Q32" i="13"/>
  <c r="A35" i="13"/>
  <c r="B35" i="13" s="1"/>
  <c r="M32" i="13"/>
  <c r="N32" i="13" s="1"/>
  <c r="F32" i="13"/>
  <c r="U30" i="13"/>
  <c r="D32" i="13"/>
  <c r="Y31" i="13"/>
  <c r="X31" i="13"/>
  <c r="M35" i="8" l="1"/>
  <c r="P7" i="9"/>
  <c r="E78" i="5"/>
  <c r="E72" i="5"/>
  <c r="E76" i="5"/>
  <c r="E70" i="5"/>
  <c r="E71" i="5"/>
  <c r="E77" i="5"/>
  <c r="E74" i="5"/>
  <c r="N88" i="5"/>
  <c r="R91" i="5"/>
  <c r="R85" i="5"/>
  <c r="O88" i="5"/>
  <c r="T87" i="5"/>
  <c r="T91" i="5"/>
  <c r="O85" i="5"/>
  <c r="U90" i="5"/>
  <c r="T84" i="5"/>
  <c r="R82" i="5"/>
  <c r="N86" i="5"/>
  <c r="U88" i="5"/>
  <c r="S89" i="5"/>
  <c r="W90" i="5"/>
  <c r="W89" i="5"/>
  <c r="P83" i="5"/>
  <c r="R87" i="5"/>
  <c r="Q90" i="5"/>
  <c r="T82" i="5"/>
  <c r="P85" i="5"/>
  <c r="P87" i="5"/>
  <c r="R83" i="5"/>
  <c r="U83" i="5"/>
  <c r="S85" i="5"/>
  <c r="N89" i="5"/>
  <c r="W88" i="5"/>
  <c r="O82" i="5"/>
  <c r="Q83" i="5"/>
  <c r="V91" i="5"/>
  <c r="S91" i="5"/>
  <c r="N85" i="5"/>
  <c r="V86" i="5"/>
  <c r="P90" i="5"/>
  <c r="R88" i="5"/>
  <c r="R84" i="5"/>
  <c r="T85" i="5"/>
  <c r="O86" i="5"/>
  <c r="Q88" i="5"/>
  <c r="Q84" i="5"/>
  <c r="P86" i="5"/>
  <c r="O90" i="5"/>
  <c r="V89" i="5"/>
  <c r="R89" i="5"/>
  <c r="Q87" i="5"/>
  <c r="N83" i="5"/>
  <c r="W83" i="5"/>
  <c r="U91" i="5"/>
  <c r="P82" i="5"/>
  <c r="R90" i="5"/>
  <c r="W84" i="5"/>
  <c r="W85" i="5"/>
  <c r="P88" i="5"/>
  <c r="N84" i="5"/>
  <c r="T86" i="5"/>
  <c r="U86" i="5"/>
  <c r="V87" i="5"/>
  <c r="V83" i="5"/>
  <c r="U82" i="5"/>
  <c r="Q86" i="5"/>
  <c r="Q89" i="5"/>
  <c r="T89" i="5"/>
  <c r="O87" i="5"/>
  <c r="V85" i="5"/>
  <c r="W86" i="5"/>
  <c r="N91" i="5"/>
  <c r="S90" i="5"/>
  <c r="Q82" i="5"/>
  <c r="S84" i="5"/>
  <c r="S82" i="5"/>
  <c r="W87" i="5"/>
  <c r="U84" i="5"/>
  <c r="T83" i="5"/>
  <c r="T90" i="5"/>
  <c r="W82" i="5"/>
  <c r="S88" i="5"/>
  <c r="V84" i="5"/>
  <c r="S86" i="5"/>
  <c r="S83" i="5"/>
  <c r="U85" i="5"/>
  <c r="P89" i="5"/>
  <c r="O89" i="5"/>
  <c r="N90" i="5"/>
  <c r="N87" i="5"/>
  <c r="O84" i="5"/>
  <c r="V82" i="5"/>
  <c r="Q91" i="5"/>
  <c r="O91" i="5"/>
  <c r="P91" i="5"/>
  <c r="V88" i="5"/>
  <c r="U87" i="5"/>
  <c r="G33" i="13"/>
  <c r="H33" i="13"/>
  <c r="P32" i="13"/>
  <c r="S32" i="13" s="1"/>
  <c r="O32" i="13"/>
  <c r="R32" i="13" s="1"/>
  <c r="D33" i="13"/>
  <c r="Y32" i="13"/>
  <c r="X32" i="13"/>
  <c r="E34" i="13"/>
  <c r="K34" i="13"/>
  <c r="L34" i="13"/>
  <c r="C34" i="13"/>
  <c r="Q33" i="13"/>
  <c r="A36" i="13"/>
  <c r="B36" i="13" s="1"/>
  <c r="M33" i="13"/>
  <c r="N33" i="13" s="1"/>
  <c r="F33" i="13"/>
  <c r="U31" i="13"/>
  <c r="M36" i="8" l="1"/>
  <c r="K89" i="5"/>
  <c r="E82" i="5"/>
  <c r="H85" i="5"/>
  <c r="I91" i="5"/>
  <c r="E86" i="5"/>
  <c r="K86" i="5"/>
  <c r="E90" i="5"/>
  <c r="J86" i="5"/>
  <c r="B86" i="5"/>
  <c r="J85" i="5"/>
  <c r="C91" i="5"/>
  <c r="D82" i="5"/>
  <c r="C89" i="5"/>
  <c r="D88" i="5"/>
  <c r="K87" i="5"/>
  <c r="J83" i="5"/>
  <c r="E88" i="5"/>
  <c r="G90" i="5"/>
  <c r="I82" i="5"/>
  <c r="C90" i="5"/>
  <c r="C88" i="5"/>
  <c r="K90" i="5"/>
  <c r="E83" i="5"/>
  <c r="G82" i="5"/>
  <c r="E91" i="5"/>
  <c r="K83" i="5"/>
  <c r="G88" i="5"/>
  <c r="J88" i="5"/>
  <c r="D83" i="5"/>
  <c r="I88" i="5"/>
  <c r="F83" i="5"/>
  <c r="D86" i="5"/>
  <c r="E84" i="5"/>
  <c r="H91" i="5"/>
  <c r="H84" i="5"/>
  <c r="H87" i="5"/>
  <c r="G86" i="5"/>
  <c r="D87" i="5"/>
  <c r="B89" i="5"/>
  <c r="D89" i="5"/>
  <c r="I84" i="5"/>
  <c r="I83" i="5"/>
  <c r="D85" i="5"/>
  <c r="J82" i="5"/>
  <c r="F82" i="5"/>
  <c r="F87" i="5"/>
  <c r="B88" i="5"/>
  <c r="K85" i="5"/>
  <c r="B85" i="5"/>
  <c r="F88" i="5"/>
  <c r="H83" i="5"/>
  <c r="C84" i="5"/>
  <c r="B87" i="5"/>
  <c r="J87" i="5"/>
  <c r="F89" i="5"/>
  <c r="E89" i="5"/>
  <c r="I86" i="5"/>
  <c r="I85" i="5"/>
  <c r="C82" i="5"/>
  <c r="G83" i="5"/>
  <c r="B84" i="5"/>
  <c r="C85" i="5"/>
  <c r="G84" i="5"/>
  <c r="J91" i="5"/>
  <c r="K84" i="5"/>
  <c r="D91" i="5"/>
  <c r="E87" i="5"/>
  <c r="F85" i="5"/>
  <c r="H86" i="5"/>
  <c r="G89" i="5"/>
  <c r="D90" i="5"/>
  <c r="F91" i="5"/>
  <c r="K88" i="5"/>
  <c r="K82" i="5"/>
  <c r="C86" i="5"/>
  <c r="G91" i="5"/>
  <c r="B90" i="5"/>
  <c r="J84" i="5"/>
  <c r="H89" i="5"/>
  <c r="H90" i="5"/>
  <c r="H82" i="5"/>
  <c r="C87" i="5"/>
  <c r="B83" i="5"/>
  <c r="B91" i="5"/>
  <c r="J89" i="5"/>
  <c r="I90" i="5"/>
  <c r="I87" i="5"/>
  <c r="G85" i="5"/>
  <c r="F90" i="5"/>
  <c r="F84" i="5"/>
  <c r="N98" i="5"/>
  <c r="N103" i="5"/>
  <c r="N100" i="5"/>
  <c r="N95" i="5"/>
  <c r="N99" i="5"/>
  <c r="N102" i="5"/>
  <c r="N101" i="5"/>
  <c r="N104" i="5"/>
  <c r="N97" i="5"/>
  <c r="N96" i="5"/>
  <c r="G34" i="13"/>
  <c r="H34" i="13"/>
  <c r="O33" i="13"/>
  <c r="R33" i="13" s="1"/>
  <c r="P33" i="13"/>
  <c r="S33" i="13" s="1"/>
  <c r="U32" i="13"/>
  <c r="A37" i="13"/>
  <c r="B37" i="13" s="1"/>
  <c r="Q34" i="13"/>
  <c r="M34" i="13"/>
  <c r="N34" i="13" s="1"/>
  <c r="F34" i="13"/>
  <c r="Y33" i="13"/>
  <c r="X33" i="13"/>
  <c r="E35" i="13"/>
  <c r="K35" i="13"/>
  <c r="C35" i="13"/>
  <c r="L35" i="13"/>
  <c r="D34" i="13"/>
  <c r="M37" i="8" l="1"/>
  <c r="M98" i="5"/>
  <c r="O98" i="5" s="1"/>
  <c r="M104" i="5"/>
  <c r="O104" i="5" s="1"/>
  <c r="M96" i="5"/>
  <c r="O96" i="5" s="1"/>
  <c r="M103" i="5"/>
  <c r="O103" i="5" s="1"/>
  <c r="M102" i="5"/>
  <c r="O102" i="5" s="1"/>
  <c r="M101" i="5"/>
  <c r="M97" i="5"/>
  <c r="O97" i="5" s="1"/>
  <c r="M100" i="5"/>
  <c r="O100" i="5" s="1"/>
  <c r="M95" i="5"/>
  <c r="O95" i="5" s="1"/>
  <c r="M99" i="5"/>
  <c r="O99" i="5" s="1"/>
  <c r="G35" i="13"/>
  <c r="H35" i="13"/>
  <c r="P34" i="13"/>
  <c r="S34" i="13" s="1"/>
  <c r="U34" i="13" s="1"/>
  <c r="O34" i="13"/>
  <c r="R34" i="13" s="1"/>
  <c r="E36" i="13"/>
  <c r="K36" i="13"/>
  <c r="L36" i="13"/>
  <c r="C36" i="13"/>
  <c r="D35" i="13"/>
  <c r="A38" i="13"/>
  <c r="B38" i="13" s="1"/>
  <c r="Y34" i="13"/>
  <c r="X34" i="13"/>
  <c r="Q35" i="13"/>
  <c r="U33" i="13"/>
  <c r="M35" i="13"/>
  <c r="N35" i="13" s="1"/>
  <c r="F35" i="13"/>
  <c r="M38" i="8" l="1"/>
  <c r="D108" i="5"/>
  <c r="D117" i="5"/>
  <c r="E115" i="5"/>
  <c r="G116" i="5"/>
  <c r="K108" i="5"/>
  <c r="D111" i="5"/>
  <c r="H113" i="5"/>
  <c r="E108" i="5"/>
  <c r="H115" i="5"/>
  <c r="J115" i="5"/>
  <c r="O101" i="5"/>
  <c r="K112" i="5"/>
  <c r="I116" i="5"/>
  <c r="G115" i="5"/>
  <c r="K114" i="5"/>
  <c r="F116" i="5"/>
  <c r="J109" i="5"/>
  <c r="H112" i="5"/>
  <c r="B110" i="5"/>
  <c r="C115" i="5"/>
  <c r="B115" i="5"/>
  <c r="I109" i="5"/>
  <c r="C110" i="5"/>
  <c r="D114" i="5"/>
  <c r="I108" i="5"/>
  <c r="C112" i="5"/>
  <c r="G108" i="5"/>
  <c r="D109" i="5"/>
  <c r="E109" i="5"/>
  <c r="C116" i="5"/>
  <c r="J114" i="5"/>
  <c r="H110" i="5"/>
  <c r="C113" i="5"/>
  <c r="E110" i="5"/>
  <c r="H111" i="5"/>
  <c r="D115" i="5"/>
  <c r="K109" i="5"/>
  <c r="B109" i="5"/>
  <c r="I114" i="5"/>
  <c r="G114" i="5"/>
  <c r="D116" i="5"/>
  <c r="E112" i="5"/>
  <c r="F113" i="5"/>
  <c r="B117" i="5"/>
  <c r="F109" i="5"/>
  <c r="K110" i="5"/>
  <c r="B114" i="5"/>
  <c r="E114" i="5"/>
  <c r="J110" i="5"/>
  <c r="D112" i="5"/>
  <c r="G112" i="5"/>
  <c r="J112" i="5"/>
  <c r="K113" i="5"/>
  <c r="D113" i="5"/>
  <c r="H108" i="5"/>
  <c r="B116" i="5"/>
  <c r="I117" i="5"/>
  <c r="G117" i="5"/>
  <c r="G111" i="5"/>
  <c r="K111" i="5"/>
  <c r="C108" i="5"/>
  <c r="F110" i="5"/>
  <c r="F115" i="5"/>
  <c r="K115" i="5"/>
  <c r="G109" i="5"/>
  <c r="H109" i="5"/>
  <c r="F108" i="5"/>
  <c r="K116" i="5"/>
  <c r="C114" i="5"/>
  <c r="F114" i="5"/>
  <c r="J108" i="5"/>
  <c r="E116" i="5"/>
  <c r="I112" i="5"/>
  <c r="B112" i="5"/>
  <c r="J113" i="5"/>
  <c r="B113" i="5"/>
  <c r="G110" i="5"/>
  <c r="H116" i="5"/>
  <c r="E117" i="5"/>
  <c r="C117" i="5"/>
  <c r="C111" i="5"/>
  <c r="B111" i="5"/>
  <c r="J111" i="5"/>
  <c r="I113" i="5"/>
  <c r="E113" i="5"/>
  <c r="I110" i="5"/>
  <c r="J117" i="5"/>
  <c r="F117" i="5"/>
  <c r="H117" i="5"/>
  <c r="I111" i="5"/>
  <c r="F111" i="5"/>
  <c r="G36" i="13"/>
  <c r="H36" i="13"/>
  <c r="O35" i="13"/>
  <c r="R35" i="13" s="1"/>
  <c r="P35" i="13"/>
  <c r="S35" i="13" s="1"/>
  <c r="A39" i="13"/>
  <c r="B39" i="13" s="1"/>
  <c r="D36" i="13"/>
  <c r="Q36" i="13"/>
  <c r="E37" i="13"/>
  <c r="K37" i="13"/>
  <c r="C37" i="13"/>
  <c r="L37" i="13"/>
  <c r="Y35" i="13"/>
  <c r="X35" i="13"/>
  <c r="M36" i="13"/>
  <c r="N36" i="13" s="1"/>
  <c r="F36" i="13"/>
  <c r="P38" i="8" l="1"/>
  <c r="M39" i="8"/>
  <c r="Q38" i="8"/>
  <c r="M121" i="5"/>
  <c r="B2" i="10" s="1"/>
  <c r="M128" i="5"/>
  <c r="B9" i="10" s="1"/>
  <c r="M130" i="5"/>
  <c r="B11" i="10" s="1"/>
  <c r="M125" i="5"/>
  <c r="B6" i="10" s="1"/>
  <c r="M127" i="5"/>
  <c r="B8" i="10" s="1"/>
  <c r="M126" i="5"/>
  <c r="B7" i="10" s="1"/>
  <c r="M123" i="5"/>
  <c r="R3" i="9" s="1"/>
  <c r="R5" i="9" s="1"/>
  <c r="M124" i="5"/>
  <c r="M122" i="5"/>
  <c r="B3" i="10" s="1"/>
  <c r="M129" i="5"/>
  <c r="B10" i="10" s="1"/>
  <c r="G37" i="13"/>
  <c r="H37" i="13"/>
  <c r="P36" i="13"/>
  <c r="S36" i="13" s="1"/>
  <c r="O36" i="13"/>
  <c r="R36" i="13" s="1"/>
  <c r="A40" i="13"/>
  <c r="B40" i="13" s="1"/>
  <c r="D37" i="13"/>
  <c r="E24" i="14"/>
  <c r="Q37" i="13"/>
  <c r="U35" i="13"/>
  <c r="Y36" i="13"/>
  <c r="X36" i="13"/>
  <c r="M37" i="13"/>
  <c r="N37" i="13" s="1"/>
  <c r="F37" i="13"/>
  <c r="E38" i="13"/>
  <c r="K38" i="13"/>
  <c r="L38" i="13"/>
  <c r="C38" i="13"/>
  <c r="M40" i="8" l="1"/>
  <c r="B15" i="10"/>
  <c r="B4" i="10"/>
  <c r="B16" i="10" s="1"/>
  <c r="N130" i="5"/>
  <c r="N128" i="5"/>
  <c r="B5" i="10"/>
  <c r="N123" i="5"/>
  <c r="N124" i="5"/>
  <c r="N127" i="5"/>
  <c r="N129" i="5"/>
  <c r="N122" i="5"/>
  <c r="N121" i="5"/>
  <c r="N125" i="5"/>
  <c r="N126" i="5"/>
  <c r="G38" i="13"/>
  <c r="H38" i="13"/>
  <c r="P37" i="13"/>
  <c r="S37" i="13" s="1"/>
  <c r="O37" i="13"/>
  <c r="R37" i="13" s="1"/>
  <c r="B20" i="10"/>
  <c r="B23" i="10"/>
  <c r="B14" i="10"/>
  <c r="B21" i="10"/>
  <c r="B19" i="10"/>
  <c r="B22" i="10"/>
  <c r="B18" i="10"/>
  <c r="A41" i="13"/>
  <c r="B41" i="13" s="1"/>
  <c r="Q38" i="13"/>
  <c r="U36" i="13"/>
  <c r="Y37" i="13"/>
  <c r="X37" i="13"/>
  <c r="M38" i="13"/>
  <c r="N38" i="13" s="1"/>
  <c r="F38" i="13"/>
  <c r="D38" i="13"/>
  <c r="E39" i="13"/>
  <c r="K39" i="13"/>
  <c r="C39" i="13"/>
  <c r="L39" i="13"/>
  <c r="M41" i="8" l="1"/>
  <c r="J3" i="10"/>
  <c r="J15" i="10" s="1"/>
  <c r="J7" i="10"/>
  <c r="J19" i="10" s="1"/>
  <c r="J4" i="10"/>
  <c r="J16" i="10" s="1"/>
  <c r="J11" i="10"/>
  <c r="J23" i="10" s="1"/>
  <c r="J6" i="10"/>
  <c r="J18" i="10" s="1"/>
  <c r="J5" i="10"/>
  <c r="J17" i="10" s="1"/>
  <c r="J8" i="10"/>
  <c r="J20" i="10" s="1"/>
  <c r="J9" i="10"/>
  <c r="J21" i="10" s="1"/>
  <c r="J2" i="10"/>
  <c r="J14" i="10" s="1"/>
  <c r="B17" i="10"/>
  <c r="R7" i="9" s="1"/>
  <c r="J10" i="10"/>
  <c r="J22" i="10" s="1"/>
  <c r="G39" i="13"/>
  <c r="H39" i="13"/>
  <c r="P38" i="13"/>
  <c r="S38" i="13" s="1"/>
  <c r="O38" i="13"/>
  <c r="R38" i="13" s="1"/>
  <c r="D39" i="13"/>
  <c r="Y38" i="13"/>
  <c r="X38" i="13"/>
  <c r="U37" i="13"/>
  <c r="E40" i="13"/>
  <c r="K40" i="13"/>
  <c r="L40" i="13"/>
  <c r="C40" i="13"/>
  <c r="Q39" i="13"/>
  <c r="A42" i="13"/>
  <c r="B42" i="13" s="1"/>
  <c r="M39" i="13"/>
  <c r="N39" i="13" s="1"/>
  <c r="F39" i="13"/>
  <c r="M42" i="8" l="1"/>
  <c r="G40" i="13"/>
  <c r="H40" i="13"/>
  <c r="P39" i="13"/>
  <c r="S39" i="13" s="1"/>
  <c r="U39" i="13" s="1"/>
  <c r="O39" i="13"/>
  <c r="R39" i="13" s="1"/>
  <c r="U38" i="13"/>
  <c r="Q40" i="13"/>
  <c r="E41" i="13"/>
  <c r="K41" i="13"/>
  <c r="C41" i="13"/>
  <c r="L41" i="13"/>
  <c r="M40" i="13"/>
  <c r="N40" i="13" s="1"/>
  <c r="F40" i="13"/>
  <c r="Y39" i="13"/>
  <c r="X39" i="13"/>
  <c r="A43" i="13"/>
  <c r="B43" i="13" s="1"/>
  <c r="D40" i="13"/>
  <c r="M43" i="8" l="1"/>
  <c r="G41" i="13"/>
  <c r="H41" i="13"/>
  <c r="O40" i="13"/>
  <c r="R40" i="13" s="1"/>
  <c r="P40" i="13"/>
  <c r="S40" i="13" s="1"/>
  <c r="Y40" i="13"/>
  <c r="X40" i="13"/>
  <c r="D41" i="13"/>
  <c r="E42" i="13"/>
  <c r="K42" i="13"/>
  <c r="L42" i="13"/>
  <c r="C42" i="13"/>
  <c r="Q41" i="13"/>
  <c r="A44" i="13"/>
  <c r="B44" i="13" s="1"/>
  <c r="M41" i="13"/>
  <c r="N41" i="13" s="1"/>
  <c r="F41" i="13"/>
  <c r="M44" i="8" l="1"/>
  <c r="G42" i="13"/>
  <c r="H42" i="13"/>
  <c r="O41" i="13"/>
  <c r="R41" i="13" s="1"/>
  <c r="P41" i="13"/>
  <c r="S41" i="13" s="1"/>
  <c r="U41" i="13" s="1"/>
  <c r="U40" i="13"/>
  <c r="D42" i="13"/>
  <c r="Y41" i="13"/>
  <c r="X41" i="13"/>
  <c r="E43" i="13"/>
  <c r="K43" i="13"/>
  <c r="C43" i="13"/>
  <c r="L43" i="13"/>
  <c r="Q42" i="13"/>
  <c r="A45" i="13"/>
  <c r="B45" i="13" s="1"/>
  <c r="M42" i="13"/>
  <c r="N42" i="13" s="1"/>
  <c r="F42" i="13"/>
  <c r="M45" i="8" l="1"/>
  <c r="G43" i="13"/>
  <c r="H43" i="13"/>
  <c r="P42" i="13"/>
  <c r="S42" i="13" s="1"/>
  <c r="U42" i="13" s="1"/>
  <c r="O42" i="13"/>
  <c r="R42" i="13" s="1"/>
  <c r="D43" i="13"/>
  <c r="Y42" i="13"/>
  <c r="X42" i="13"/>
  <c r="E44" i="13"/>
  <c r="K44" i="13"/>
  <c r="L44" i="13"/>
  <c r="C44" i="13"/>
  <c r="Q43" i="13"/>
  <c r="A46" i="13"/>
  <c r="B46" i="13" s="1"/>
  <c r="M43" i="13"/>
  <c r="N43" i="13" s="1"/>
  <c r="F43" i="13"/>
  <c r="M46" i="8" l="1"/>
  <c r="G44" i="13"/>
  <c r="H44" i="13"/>
  <c r="P43" i="13"/>
  <c r="S43" i="13" s="1"/>
  <c r="O43" i="13"/>
  <c r="R43" i="13" s="1"/>
  <c r="Q44" i="13"/>
  <c r="E45" i="13"/>
  <c r="K45" i="13"/>
  <c r="C45" i="13"/>
  <c r="L45" i="13"/>
  <c r="M44" i="13"/>
  <c r="N44" i="13" s="1"/>
  <c r="F44" i="13"/>
  <c r="Y43" i="13"/>
  <c r="X43" i="13"/>
  <c r="A47" i="13"/>
  <c r="B47" i="13" s="1"/>
  <c r="D44" i="13"/>
  <c r="M47" i="8" l="1"/>
  <c r="G45" i="13"/>
  <c r="H45" i="13"/>
  <c r="P44" i="13"/>
  <c r="S44" i="13" s="1"/>
  <c r="O44" i="13"/>
  <c r="R44" i="13" s="1"/>
  <c r="Y44" i="13"/>
  <c r="X44" i="13"/>
  <c r="A48" i="13"/>
  <c r="B48" i="13" s="1"/>
  <c r="D45" i="13"/>
  <c r="U43" i="13"/>
  <c r="Q45" i="13"/>
  <c r="E46" i="13"/>
  <c r="K46" i="13"/>
  <c r="L46" i="13"/>
  <c r="C46" i="13"/>
  <c r="M45" i="13"/>
  <c r="N45" i="13" s="1"/>
  <c r="F45" i="13"/>
  <c r="M48" i="8" l="1"/>
  <c r="G46" i="13"/>
  <c r="H46" i="13"/>
  <c r="O45" i="13"/>
  <c r="R45" i="13" s="1"/>
  <c r="P45" i="13"/>
  <c r="S45" i="13" s="1"/>
  <c r="M46" i="13"/>
  <c r="N46" i="13" s="1"/>
  <c r="F46" i="13"/>
  <c r="D46" i="13"/>
  <c r="Y45" i="13"/>
  <c r="X45" i="13"/>
  <c r="E47" i="13"/>
  <c r="K47" i="13"/>
  <c r="C47" i="13"/>
  <c r="L47" i="13"/>
  <c r="Q46" i="13"/>
  <c r="U44" i="13"/>
  <c r="A49" i="13"/>
  <c r="B49" i="13" s="1"/>
  <c r="M49" i="8" l="1"/>
  <c r="G47" i="13"/>
  <c r="H47" i="13"/>
  <c r="O46" i="13"/>
  <c r="R46" i="13" s="1"/>
  <c r="P46" i="13"/>
  <c r="S46" i="13" s="1"/>
  <c r="D47" i="13"/>
  <c r="Y46" i="13"/>
  <c r="X46" i="13"/>
  <c r="F24" i="14"/>
  <c r="Q47" i="13"/>
  <c r="E48" i="13"/>
  <c r="K48" i="13"/>
  <c r="L48" i="13"/>
  <c r="C48" i="13"/>
  <c r="M47" i="13"/>
  <c r="N47" i="13" s="1"/>
  <c r="F47" i="13"/>
  <c r="A50" i="13"/>
  <c r="B50" i="13" s="1"/>
  <c r="U45" i="13"/>
  <c r="M50" i="8" l="1"/>
  <c r="G48" i="13"/>
  <c r="H48" i="13"/>
  <c r="O47" i="13"/>
  <c r="R47" i="13" s="1"/>
  <c r="P47" i="13"/>
  <c r="S47" i="13" s="1"/>
  <c r="E49" i="13"/>
  <c r="K49" i="13"/>
  <c r="C49" i="13"/>
  <c r="L49" i="13"/>
  <c r="A51" i="13"/>
  <c r="B51" i="13" s="1"/>
  <c r="C50" i="13"/>
  <c r="Q48" i="13"/>
  <c r="M48" i="13"/>
  <c r="N48" i="13" s="1"/>
  <c r="F48" i="13"/>
  <c r="Y47" i="13"/>
  <c r="X47" i="13"/>
  <c r="U46" i="13"/>
  <c r="D48" i="13"/>
  <c r="M51" i="8" l="1"/>
  <c r="G49" i="13"/>
  <c r="H49" i="13"/>
  <c r="O48" i="13"/>
  <c r="R48" i="13" s="1"/>
  <c r="P48" i="13"/>
  <c r="S48" i="13" s="1"/>
  <c r="Y48" i="13"/>
  <c r="X48" i="13"/>
  <c r="A52" i="13"/>
  <c r="B52" i="13" s="1"/>
  <c r="U47" i="13"/>
  <c r="D49" i="13"/>
  <c r="Q49" i="13"/>
  <c r="K50" i="13"/>
  <c r="E50" i="13"/>
  <c r="L50" i="13"/>
  <c r="M49" i="13"/>
  <c r="N49" i="13" s="1"/>
  <c r="F49" i="13"/>
  <c r="M52" i="8" l="1"/>
  <c r="G50" i="13"/>
  <c r="H50" i="13"/>
  <c r="P49" i="13"/>
  <c r="S49" i="13" s="1"/>
  <c r="O49" i="13"/>
  <c r="R49" i="13" s="1"/>
  <c r="F50" i="13"/>
  <c r="M50" i="13"/>
  <c r="N50" i="13" s="1"/>
  <c r="K51" i="13"/>
  <c r="E51" i="13"/>
  <c r="L51" i="13"/>
  <c r="C51" i="13"/>
  <c r="Q50" i="13"/>
  <c r="D50" i="13"/>
  <c r="U48" i="13"/>
  <c r="Y49" i="13"/>
  <c r="X49" i="13"/>
  <c r="A53" i="13"/>
  <c r="B53" i="13" s="1"/>
  <c r="M53" i="8" l="1"/>
  <c r="G51" i="13"/>
  <c r="H51" i="13"/>
  <c r="P50" i="13"/>
  <c r="S50" i="13" s="1"/>
  <c r="O50" i="13"/>
  <c r="R50" i="13" s="1"/>
  <c r="F51" i="13"/>
  <c r="M51" i="13"/>
  <c r="N51" i="13" s="1"/>
  <c r="X50" i="13"/>
  <c r="Y50" i="13"/>
  <c r="Q51" i="13"/>
  <c r="A54" i="13"/>
  <c r="B54" i="13" s="1"/>
  <c r="D51" i="13"/>
  <c r="K52" i="13"/>
  <c r="E52" i="13"/>
  <c r="L52" i="13"/>
  <c r="C52" i="13"/>
  <c r="U49" i="13"/>
  <c r="M54" i="8" l="1"/>
  <c r="G52" i="13"/>
  <c r="H52" i="13"/>
  <c r="O51" i="13"/>
  <c r="R51" i="13" s="1"/>
  <c r="P51" i="13"/>
  <c r="S51" i="13" s="1"/>
  <c r="U51" i="13" s="1"/>
  <c r="U50" i="13"/>
  <c r="Q52" i="13"/>
  <c r="D52" i="13"/>
  <c r="A55" i="13"/>
  <c r="B55" i="13" s="1"/>
  <c r="K53" i="13"/>
  <c r="E53" i="13"/>
  <c r="L53" i="13"/>
  <c r="C53" i="13"/>
  <c r="F52" i="13"/>
  <c r="M52" i="13"/>
  <c r="N52" i="13" s="1"/>
  <c r="X51" i="13"/>
  <c r="Y51" i="13"/>
  <c r="M55" i="8" l="1"/>
  <c r="G53" i="13"/>
  <c r="H53" i="13"/>
  <c r="P52" i="13"/>
  <c r="S52" i="13" s="1"/>
  <c r="O52" i="13"/>
  <c r="R52" i="13" s="1"/>
  <c r="F53" i="13"/>
  <c r="M53" i="13"/>
  <c r="N53" i="13" s="1"/>
  <c r="K54" i="13"/>
  <c r="E54" i="13"/>
  <c r="L54" i="13"/>
  <c r="C54" i="13"/>
  <c r="Q53" i="13"/>
  <c r="X52" i="13"/>
  <c r="Y52" i="13"/>
  <c r="D53" i="13"/>
  <c r="A56" i="13"/>
  <c r="B56" i="13" s="1"/>
  <c r="M56" i="8" l="1"/>
  <c r="G54" i="13"/>
  <c r="H54" i="13"/>
  <c r="O53" i="13"/>
  <c r="R53" i="13" s="1"/>
  <c r="P53" i="13"/>
  <c r="S53" i="13" s="1"/>
  <c r="U53" i="13" s="1"/>
  <c r="A57" i="13"/>
  <c r="B57" i="13" s="1"/>
  <c r="X53" i="13"/>
  <c r="Y53" i="13"/>
  <c r="F54" i="13"/>
  <c r="M54" i="13"/>
  <c r="N54" i="13" s="1"/>
  <c r="K55" i="13"/>
  <c r="E55" i="13"/>
  <c r="L55" i="13"/>
  <c r="C55" i="13"/>
  <c r="U52" i="13"/>
  <c r="Q54" i="13"/>
  <c r="D54" i="13"/>
  <c r="M57" i="8" l="1"/>
  <c r="G55" i="13"/>
  <c r="H55" i="13"/>
  <c r="P54" i="13"/>
  <c r="S54" i="13" s="1"/>
  <c r="U54" i="13" s="1"/>
  <c r="O54" i="13"/>
  <c r="R54" i="13" s="1"/>
  <c r="D55" i="13"/>
  <c r="X54" i="13"/>
  <c r="Y54" i="13"/>
  <c r="F55" i="13"/>
  <c r="M55" i="13"/>
  <c r="N55" i="13" s="1"/>
  <c r="A58" i="13"/>
  <c r="B58" i="13" s="1"/>
  <c r="Q55" i="13"/>
  <c r="K56" i="13"/>
  <c r="E56" i="13"/>
  <c r="L56" i="13"/>
  <c r="C56" i="13"/>
  <c r="M58" i="8" l="1"/>
  <c r="G56" i="13"/>
  <c r="H56" i="13"/>
  <c r="O55" i="13"/>
  <c r="R55" i="13" s="1"/>
  <c r="P55" i="13"/>
  <c r="S55" i="13" s="1"/>
  <c r="U55" i="13" s="1"/>
  <c r="F56" i="13"/>
  <c r="M56" i="13"/>
  <c r="N56" i="13" s="1"/>
  <c r="A59" i="13"/>
  <c r="B59" i="13" s="1"/>
  <c r="Q56" i="13"/>
  <c r="K57" i="13"/>
  <c r="E57" i="13"/>
  <c r="L57" i="13"/>
  <c r="C57" i="13"/>
  <c r="X55" i="13"/>
  <c r="Y55" i="13"/>
  <c r="D56" i="13"/>
  <c r="M59" i="8" l="1"/>
  <c r="G57" i="13"/>
  <c r="H57" i="13"/>
  <c r="P56" i="13"/>
  <c r="S56" i="13" s="1"/>
  <c r="U56" i="13" s="1"/>
  <c r="O56" i="13"/>
  <c r="R56" i="13" s="1"/>
  <c r="F57" i="13"/>
  <c r="M57" i="13"/>
  <c r="N57" i="13" s="1"/>
  <c r="K58" i="13"/>
  <c r="E58" i="13"/>
  <c r="L58" i="13"/>
  <c r="C58" i="13"/>
  <c r="Q57" i="13"/>
  <c r="X56" i="13"/>
  <c r="Y56" i="13"/>
  <c r="D57" i="13"/>
  <c r="G24" i="14"/>
  <c r="A60" i="13"/>
  <c r="B60" i="13" s="1"/>
  <c r="M60" i="8" l="1"/>
  <c r="G58" i="13"/>
  <c r="H58" i="13"/>
  <c r="P57" i="13"/>
  <c r="S57" i="13" s="1"/>
  <c r="U57" i="13" s="1"/>
  <c r="O57" i="13"/>
  <c r="R57" i="13" s="1"/>
  <c r="F58" i="13"/>
  <c r="M58" i="13"/>
  <c r="N58" i="13" s="1"/>
  <c r="X57" i="13"/>
  <c r="Y57" i="13"/>
  <c r="Q58" i="13"/>
  <c r="A61" i="13"/>
  <c r="B61" i="13" s="1"/>
  <c r="D58" i="13"/>
  <c r="K59" i="13"/>
  <c r="E59" i="13"/>
  <c r="L59" i="13"/>
  <c r="C59" i="13"/>
  <c r="M61" i="8" l="1"/>
  <c r="G59" i="13"/>
  <c r="H59" i="13"/>
  <c r="O58" i="13"/>
  <c r="R58" i="13" s="1"/>
  <c r="P58" i="13"/>
  <c r="S58" i="13" s="1"/>
  <c r="U58" i="13" s="1"/>
  <c r="Q59" i="13"/>
  <c r="D59" i="13"/>
  <c r="X58" i="13"/>
  <c r="Y58" i="13"/>
  <c r="A62" i="13"/>
  <c r="B62" i="13" s="1"/>
  <c r="F59" i="13"/>
  <c r="M59" i="13"/>
  <c r="N59" i="13" s="1"/>
  <c r="K60" i="13"/>
  <c r="E60" i="13"/>
  <c r="L60" i="13"/>
  <c r="C60" i="13"/>
  <c r="P61" i="8" l="1"/>
  <c r="M62" i="8"/>
  <c r="Q61" i="8"/>
  <c r="G60" i="13"/>
  <c r="H60" i="13"/>
  <c r="O59" i="13"/>
  <c r="R59" i="13" s="1"/>
  <c r="P59" i="13"/>
  <c r="S59" i="13" s="1"/>
  <c r="Q60" i="13"/>
  <c r="D60" i="13"/>
  <c r="L62" i="13"/>
  <c r="A63" i="13"/>
  <c r="B63" i="13" s="1"/>
  <c r="F60" i="13"/>
  <c r="M60" i="13"/>
  <c r="N60" i="13" s="1"/>
  <c r="K61" i="13"/>
  <c r="E61" i="13"/>
  <c r="L61" i="13"/>
  <c r="C61" i="13"/>
  <c r="X59" i="13"/>
  <c r="Y59" i="13"/>
  <c r="M63" i="8" l="1"/>
  <c r="G61" i="13"/>
  <c r="H61" i="13"/>
  <c r="P60" i="13"/>
  <c r="S60" i="13" s="1"/>
  <c r="O60" i="13"/>
  <c r="R60" i="13" s="1"/>
  <c r="F61" i="13"/>
  <c r="M61" i="13"/>
  <c r="N61" i="13" s="1"/>
  <c r="K62" i="13"/>
  <c r="E62" i="13"/>
  <c r="C62" i="13"/>
  <c r="Q61" i="13"/>
  <c r="D61" i="13"/>
  <c r="U59" i="13"/>
  <c r="C63" i="13"/>
  <c r="H63" i="13" s="1"/>
  <c r="A64" i="13"/>
  <c r="B64" i="13" s="1"/>
  <c r="X60" i="13"/>
  <c r="Y60" i="13"/>
  <c r="M64" i="8" l="1"/>
  <c r="G62" i="13"/>
  <c r="H62" i="13"/>
  <c r="O61" i="13"/>
  <c r="R61" i="13" s="1"/>
  <c r="P61" i="13"/>
  <c r="S61" i="13" s="1"/>
  <c r="U61" i="13" s="1"/>
  <c r="K63" i="13"/>
  <c r="E63" i="13"/>
  <c r="L63" i="13"/>
  <c r="G63" i="13"/>
  <c r="D62" i="13"/>
  <c r="U60" i="13"/>
  <c r="X61" i="13"/>
  <c r="Y61" i="13"/>
  <c r="F62" i="13"/>
  <c r="M62" i="13"/>
  <c r="N62" i="13" s="1"/>
  <c r="A65" i="13"/>
  <c r="B65" i="13" s="1"/>
  <c r="Q62" i="13"/>
  <c r="M65" i="8" l="1"/>
  <c r="P62" i="13"/>
  <c r="S62" i="13" s="1"/>
  <c r="O62" i="13"/>
  <c r="R62" i="13" s="1"/>
  <c r="K64" i="13"/>
  <c r="E64" i="13"/>
  <c r="L64" i="13"/>
  <c r="C64" i="13"/>
  <c r="X62" i="13"/>
  <c r="Y62" i="13"/>
  <c r="F63" i="13"/>
  <c r="M63" i="13"/>
  <c r="Q63" i="13"/>
  <c r="A66" i="13"/>
  <c r="B66" i="13" s="1"/>
  <c r="D63" i="13"/>
  <c r="M66" i="8" l="1"/>
  <c r="G64" i="13"/>
  <c r="H64" i="13"/>
  <c r="N63" i="13"/>
  <c r="O63" i="13"/>
  <c r="R63" i="13" s="1"/>
  <c r="P63" i="13"/>
  <c r="S63" i="13" s="1"/>
  <c r="F64" i="13"/>
  <c r="M64" i="13"/>
  <c r="N64" i="13" s="1"/>
  <c r="X63" i="13"/>
  <c r="Y63" i="13"/>
  <c r="A67" i="13"/>
  <c r="B67" i="13" s="1"/>
  <c r="U62" i="13"/>
  <c r="Q64" i="13"/>
  <c r="K65" i="13"/>
  <c r="E65" i="13"/>
  <c r="L65" i="13"/>
  <c r="C65" i="13"/>
  <c r="D64" i="13"/>
  <c r="M67" i="8" l="1"/>
  <c r="G65" i="13"/>
  <c r="H65" i="13"/>
  <c r="P64" i="13"/>
  <c r="S64" i="13" s="1"/>
  <c r="O64" i="13"/>
  <c r="R64" i="13" s="1"/>
  <c r="F65" i="13"/>
  <c r="M65" i="13"/>
  <c r="N65" i="13" s="1"/>
  <c r="Q65" i="13"/>
  <c r="U63" i="13"/>
  <c r="X64" i="13"/>
  <c r="Y64" i="13"/>
  <c r="D65" i="13"/>
  <c r="A68" i="13"/>
  <c r="B68" i="13" s="1"/>
  <c r="K66" i="13"/>
  <c r="E66" i="13"/>
  <c r="L66" i="13"/>
  <c r="C66" i="13"/>
  <c r="M68" i="8" l="1"/>
  <c r="G66" i="13"/>
  <c r="H66" i="13"/>
  <c r="P65" i="13"/>
  <c r="S65" i="13" s="1"/>
  <c r="U65" i="13" s="1"/>
  <c r="O65" i="13"/>
  <c r="R65" i="13" s="1"/>
  <c r="F66" i="13"/>
  <c r="M66" i="13"/>
  <c r="N66" i="13" s="1"/>
  <c r="K67" i="13"/>
  <c r="E67" i="13"/>
  <c r="L67" i="13"/>
  <c r="C67" i="13"/>
  <c r="X65" i="13"/>
  <c r="Y65" i="13"/>
  <c r="Q66" i="13"/>
  <c r="D66" i="13"/>
  <c r="U64" i="13"/>
  <c r="A69" i="13"/>
  <c r="B69" i="13" s="1"/>
  <c r="M69" i="8" l="1"/>
  <c r="G67" i="13"/>
  <c r="H67" i="13"/>
  <c r="P66" i="13"/>
  <c r="S66" i="13" s="1"/>
  <c r="U66" i="13" s="1"/>
  <c r="O66" i="13"/>
  <c r="R66" i="13" s="1"/>
  <c r="A70" i="13"/>
  <c r="B70" i="13" s="1"/>
  <c r="H24" i="14"/>
  <c r="F67" i="13"/>
  <c r="M67" i="13"/>
  <c r="N67" i="13" s="1"/>
  <c r="K68" i="13"/>
  <c r="E68" i="13"/>
  <c r="L68" i="13"/>
  <c r="C68" i="13"/>
  <c r="X66" i="13"/>
  <c r="Y66" i="13"/>
  <c r="Q67" i="13"/>
  <c r="D67" i="13"/>
  <c r="M70" i="8" l="1"/>
  <c r="G68" i="13"/>
  <c r="H68" i="13"/>
  <c r="P67" i="13"/>
  <c r="S67" i="13" s="1"/>
  <c r="O67" i="13"/>
  <c r="R67" i="13" s="1"/>
  <c r="D68" i="13"/>
  <c r="F68" i="13"/>
  <c r="M68" i="13"/>
  <c r="N68" i="13" s="1"/>
  <c r="A71" i="13"/>
  <c r="B71" i="13" s="1"/>
  <c r="X67" i="13"/>
  <c r="Y67" i="13"/>
  <c r="Q68" i="13"/>
  <c r="K69" i="13"/>
  <c r="E69" i="13"/>
  <c r="L69" i="13"/>
  <c r="C69" i="13"/>
  <c r="M71" i="8" l="1"/>
  <c r="G69" i="13"/>
  <c r="H69" i="13"/>
  <c r="P68" i="13"/>
  <c r="S68" i="13" s="1"/>
  <c r="U68" i="13" s="1"/>
  <c r="O68" i="13"/>
  <c r="R68" i="13" s="1"/>
  <c r="F69" i="13"/>
  <c r="M69" i="13"/>
  <c r="N69" i="13" s="1"/>
  <c r="U67" i="13"/>
  <c r="Q69" i="13"/>
  <c r="X68" i="13"/>
  <c r="Y68" i="13"/>
  <c r="D69" i="13"/>
  <c r="A72" i="13"/>
  <c r="B72" i="13" s="1"/>
  <c r="K70" i="13"/>
  <c r="E70" i="13"/>
  <c r="L70" i="13"/>
  <c r="C70" i="13"/>
  <c r="M72" i="8" l="1"/>
  <c r="G70" i="13"/>
  <c r="H70" i="13"/>
  <c r="P69" i="13"/>
  <c r="S69" i="13" s="1"/>
  <c r="O69" i="13"/>
  <c r="R69" i="13" s="1"/>
  <c r="D70" i="13"/>
  <c r="A73" i="13"/>
  <c r="B73" i="13" s="1"/>
  <c r="K71" i="13"/>
  <c r="E71" i="13"/>
  <c r="L71" i="13"/>
  <c r="C71" i="13"/>
  <c r="F70" i="13"/>
  <c r="M70" i="13"/>
  <c r="N70" i="13" s="1"/>
  <c r="Q70" i="13"/>
  <c r="X69" i="13"/>
  <c r="Y69" i="13"/>
  <c r="M73" i="8" l="1"/>
  <c r="G71" i="13"/>
  <c r="H71" i="13"/>
  <c r="P70" i="13"/>
  <c r="S70" i="13" s="1"/>
  <c r="O70" i="13"/>
  <c r="R70" i="13" s="1"/>
  <c r="F71" i="13"/>
  <c r="M71" i="13"/>
  <c r="N71" i="13" s="1"/>
  <c r="K72" i="13"/>
  <c r="E72" i="13"/>
  <c r="L72" i="13"/>
  <c r="C72" i="13"/>
  <c r="Q71" i="13"/>
  <c r="X70" i="13"/>
  <c r="Y70" i="13"/>
  <c r="U69" i="13"/>
  <c r="D71" i="13"/>
  <c r="A74" i="13"/>
  <c r="B74" i="13" s="1"/>
  <c r="M74" i="8" l="1"/>
  <c r="G72" i="13"/>
  <c r="H72" i="13"/>
  <c r="P71" i="13"/>
  <c r="S71" i="13" s="1"/>
  <c r="O71" i="13"/>
  <c r="R71" i="13" s="1"/>
  <c r="K73" i="13"/>
  <c r="E73" i="13"/>
  <c r="L73" i="13"/>
  <c r="C73" i="13"/>
  <c r="F72" i="13"/>
  <c r="M72" i="13"/>
  <c r="N72" i="13" s="1"/>
  <c r="U70" i="13"/>
  <c r="Q72" i="13"/>
  <c r="D72" i="13"/>
  <c r="A75" i="13"/>
  <c r="B75" i="13" s="1"/>
  <c r="X71" i="13"/>
  <c r="Y71" i="13"/>
  <c r="M75" i="8" l="1"/>
  <c r="G73" i="13"/>
  <c r="H73" i="13"/>
  <c r="P72" i="13"/>
  <c r="S72" i="13" s="1"/>
  <c r="U72" i="13" s="1"/>
  <c r="O72" i="13"/>
  <c r="R72" i="13" s="1"/>
  <c r="A76" i="13"/>
  <c r="B76" i="13" s="1"/>
  <c r="K74" i="13"/>
  <c r="E74" i="13"/>
  <c r="L74" i="13"/>
  <c r="C74" i="13"/>
  <c r="U71" i="13"/>
  <c r="F73" i="13"/>
  <c r="M73" i="13"/>
  <c r="N73" i="13" s="1"/>
  <c r="Q73" i="13"/>
  <c r="X72" i="13"/>
  <c r="Y72" i="13"/>
  <c r="D73" i="13"/>
  <c r="M76" i="8" l="1"/>
  <c r="G74" i="13"/>
  <c r="H74" i="13"/>
  <c r="O73" i="13"/>
  <c r="R73" i="13" s="1"/>
  <c r="P73" i="13"/>
  <c r="S73" i="13" s="1"/>
  <c r="U73" i="13" s="1"/>
  <c r="Q74" i="13"/>
  <c r="D74" i="13"/>
  <c r="X73" i="13"/>
  <c r="Y73" i="13"/>
  <c r="A77" i="13"/>
  <c r="B77" i="13" s="1"/>
  <c r="F74" i="13"/>
  <c r="M74" i="13"/>
  <c r="N74" i="13" s="1"/>
  <c r="K75" i="13"/>
  <c r="E75" i="13"/>
  <c r="L75" i="13"/>
  <c r="C75" i="13"/>
  <c r="M77" i="8" l="1"/>
  <c r="G75" i="13"/>
  <c r="H75" i="13"/>
  <c r="P74" i="13"/>
  <c r="S74" i="13" s="1"/>
  <c r="O74" i="13"/>
  <c r="R74" i="13" s="1"/>
  <c r="F75" i="13"/>
  <c r="M75" i="13"/>
  <c r="N75" i="13" s="1"/>
  <c r="A78" i="13"/>
  <c r="B78" i="13" s="1"/>
  <c r="X74" i="13"/>
  <c r="Y74" i="13"/>
  <c r="Q75" i="13"/>
  <c r="K76" i="13"/>
  <c r="E76" i="13"/>
  <c r="L76" i="13"/>
  <c r="C76" i="13"/>
  <c r="D75" i="13"/>
  <c r="M78" i="8" l="1"/>
  <c r="G76" i="13"/>
  <c r="H76" i="13"/>
  <c r="P75" i="13"/>
  <c r="S75" i="13" s="1"/>
  <c r="O75" i="13"/>
  <c r="R75" i="13" s="1"/>
  <c r="D76" i="13"/>
  <c r="X75" i="13"/>
  <c r="Y75" i="13"/>
  <c r="A79" i="13"/>
  <c r="B79" i="13" s="1"/>
  <c r="F76" i="13"/>
  <c r="M76" i="13"/>
  <c r="N76" i="13" s="1"/>
  <c r="K77" i="13"/>
  <c r="E77" i="13"/>
  <c r="L77" i="13"/>
  <c r="C77" i="13"/>
  <c r="U74" i="13"/>
  <c r="Q76" i="13"/>
  <c r="M79" i="8" l="1"/>
  <c r="G77" i="13"/>
  <c r="H77" i="13"/>
  <c r="P76" i="13"/>
  <c r="S76" i="13" s="1"/>
  <c r="O76" i="13"/>
  <c r="R76" i="13" s="1"/>
  <c r="Q77" i="13"/>
  <c r="K78" i="13"/>
  <c r="E78" i="13"/>
  <c r="L78" i="13"/>
  <c r="C78" i="13"/>
  <c r="I24" i="14"/>
  <c r="D77" i="13"/>
  <c r="U75" i="13"/>
  <c r="X76" i="13"/>
  <c r="Y76" i="13"/>
  <c r="F77" i="13"/>
  <c r="M77" i="13"/>
  <c r="N77" i="13" s="1"/>
  <c r="A80" i="13"/>
  <c r="B80" i="13" s="1"/>
  <c r="M80" i="8" l="1"/>
  <c r="G78" i="13"/>
  <c r="H78" i="13"/>
  <c r="P77" i="13"/>
  <c r="S77" i="13" s="1"/>
  <c r="U77" i="13" s="1"/>
  <c r="O77" i="13"/>
  <c r="R77" i="13" s="1"/>
  <c r="Q78" i="13"/>
  <c r="A81" i="13"/>
  <c r="B81" i="13" s="1"/>
  <c r="X77" i="13"/>
  <c r="Y77" i="13"/>
  <c r="D78" i="13"/>
  <c r="K79" i="13"/>
  <c r="E79" i="13"/>
  <c r="L79" i="13"/>
  <c r="C79" i="13"/>
  <c r="U76" i="13"/>
  <c r="F78" i="13"/>
  <c r="M78" i="13"/>
  <c r="N78" i="13" s="1"/>
  <c r="M81" i="8" l="1"/>
  <c r="G79" i="13"/>
  <c r="H79" i="13"/>
  <c r="P78" i="13"/>
  <c r="S78" i="13" s="1"/>
  <c r="O78" i="13"/>
  <c r="R78" i="13" s="1"/>
  <c r="K80" i="13"/>
  <c r="E80" i="13"/>
  <c r="L80" i="13"/>
  <c r="C80" i="13"/>
  <c r="F79" i="13"/>
  <c r="M79" i="13"/>
  <c r="N79" i="13" s="1"/>
  <c r="X78" i="13"/>
  <c r="Y78" i="13"/>
  <c r="Q79" i="13"/>
  <c r="D79" i="13"/>
  <c r="A82" i="13"/>
  <c r="B82" i="13" s="1"/>
  <c r="M82" i="8" l="1"/>
  <c r="G80" i="13"/>
  <c r="H80" i="13"/>
  <c r="P79" i="13"/>
  <c r="S79" i="13" s="1"/>
  <c r="O79" i="13"/>
  <c r="R79" i="13" s="1"/>
  <c r="F80" i="13"/>
  <c r="M80" i="13"/>
  <c r="N80" i="13" s="1"/>
  <c r="A83" i="13"/>
  <c r="B83" i="13" s="1"/>
  <c r="Q80" i="13"/>
  <c r="K81" i="13"/>
  <c r="E81" i="13"/>
  <c r="L81" i="13"/>
  <c r="C81" i="13"/>
  <c r="U78" i="13"/>
  <c r="D80" i="13"/>
  <c r="X79" i="13"/>
  <c r="Y79" i="13"/>
  <c r="M83" i="8" l="1"/>
  <c r="G81" i="13"/>
  <c r="H81" i="13"/>
  <c r="O80" i="13"/>
  <c r="R80" i="13" s="1"/>
  <c r="P80" i="13"/>
  <c r="S80" i="13" s="1"/>
  <c r="U80" i="13" s="1"/>
  <c r="Q81" i="13"/>
  <c r="U79" i="13"/>
  <c r="D81" i="13"/>
  <c r="X80" i="13"/>
  <c r="Y80" i="13"/>
  <c r="A84" i="13"/>
  <c r="B84" i="13" s="1"/>
  <c r="F81" i="13"/>
  <c r="M81" i="13"/>
  <c r="N81" i="13" s="1"/>
  <c r="K82" i="13"/>
  <c r="E82" i="13"/>
  <c r="L82" i="13"/>
  <c r="C82" i="13"/>
  <c r="M84" i="8" l="1"/>
  <c r="G82" i="13"/>
  <c r="H82" i="13"/>
  <c r="P81" i="13"/>
  <c r="S81" i="13" s="1"/>
  <c r="O81" i="13"/>
  <c r="R81" i="13" s="1"/>
  <c r="F82" i="13"/>
  <c r="M82" i="13"/>
  <c r="N82" i="13" s="1"/>
  <c r="X81" i="13"/>
  <c r="Y81" i="13"/>
  <c r="Q82" i="13"/>
  <c r="D82" i="13"/>
  <c r="A85" i="13"/>
  <c r="B85" i="13" s="1"/>
  <c r="K83" i="13"/>
  <c r="E83" i="13"/>
  <c r="L83" i="13"/>
  <c r="C83" i="13"/>
  <c r="M85" i="8" l="1"/>
  <c r="G83" i="13"/>
  <c r="H83" i="13"/>
  <c r="P82" i="13"/>
  <c r="S82" i="13" s="1"/>
  <c r="U82" i="13" s="1"/>
  <c r="O82" i="13"/>
  <c r="R82" i="13" s="1"/>
  <c r="F83" i="13"/>
  <c r="M83" i="13"/>
  <c r="N83" i="13" s="1"/>
  <c r="Q83" i="13"/>
  <c r="U81" i="13" s="1"/>
  <c r="A86" i="13"/>
  <c r="B86" i="13" s="1"/>
  <c r="X82" i="13"/>
  <c r="Y82" i="13"/>
  <c r="D83" i="13"/>
  <c r="K84" i="13"/>
  <c r="E84" i="13"/>
  <c r="L84" i="13"/>
  <c r="C84" i="13"/>
  <c r="M86" i="8" l="1"/>
  <c r="G84" i="13"/>
  <c r="H84" i="13"/>
  <c r="P83" i="13"/>
  <c r="S83" i="13" s="1"/>
  <c r="O83" i="13"/>
  <c r="R83" i="13" s="1"/>
  <c r="X83" i="13"/>
  <c r="Y83" i="13"/>
  <c r="K85" i="13"/>
  <c r="E85" i="13"/>
  <c r="L85" i="13"/>
  <c r="C85" i="13"/>
  <c r="F84" i="13"/>
  <c r="M84" i="13"/>
  <c r="N84" i="13" s="1"/>
  <c r="Q84" i="13"/>
  <c r="D84" i="13"/>
  <c r="A87" i="13"/>
  <c r="B87" i="13" s="1"/>
  <c r="M87" i="8" l="1"/>
  <c r="G85" i="13"/>
  <c r="H85" i="13"/>
  <c r="P84" i="13"/>
  <c r="S84" i="13" s="1"/>
  <c r="U84" i="13" s="1"/>
  <c r="O84" i="13"/>
  <c r="R84" i="13" s="1"/>
  <c r="A88" i="13"/>
  <c r="B88" i="13" s="1"/>
  <c r="F85" i="13"/>
  <c r="M85" i="13"/>
  <c r="N85" i="13" s="1"/>
  <c r="K86" i="13"/>
  <c r="E86" i="13"/>
  <c r="L86" i="13"/>
  <c r="C86" i="13"/>
  <c r="Q85" i="13"/>
  <c r="U83" i="13"/>
  <c r="D85" i="13"/>
  <c r="X84" i="13"/>
  <c r="Y84" i="13"/>
  <c r="M88" i="8" l="1"/>
  <c r="G86" i="13"/>
  <c r="H86" i="13"/>
  <c r="P85" i="13"/>
  <c r="S85" i="13" s="1"/>
  <c r="O85" i="13"/>
  <c r="R85" i="13" s="1"/>
  <c r="X85" i="13"/>
  <c r="Y85" i="13"/>
  <c r="F86" i="13"/>
  <c r="M86" i="13"/>
  <c r="N86" i="13" s="1"/>
  <c r="Q86" i="13"/>
  <c r="A89" i="13"/>
  <c r="B89" i="13" s="1"/>
  <c r="D86" i="13"/>
  <c r="K87" i="13"/>
  <c r="E87" i="13"/>
  <c r="L87" i="13"/>
  <c r="C87" i="13"/>
  <c r="M89" i="8" l="1"/>
  <c r="U85" i="13"/>
  <c r="G87" i="13"/>
  <c r="H87" i="13"/>
  <c r="P86" i="13"/>
  <c r="S86" i="13" s="1"/>
  <c r="O86" i="13"/>
  <c r="R86" i="13" s="1"/>
  <c r="X86" i="13"/>
  <c r="Y86" i="13"/>
  <c r="A90" i="13"/>
  <c r="B90" i="13" s="1"/>
  <c r="J24" i="14"/>
  <c r="F87" i="13"/>
  <c r="M87" i="13"/>
  <c r="N87" i="13" s="1"/>
  <c r="K88" i="13"/>
  <c r="E88" i="13"/>
  <c r="L88" i="13"/>
  <c r="C88" i="13"/>
  <c r="Q87" i="13"/>
  <c r="D87" i="13"/>
  <c r="M90" i="8" l="1"/>
  <c r="U86" i="13"/>
  <c r="G88" i="13"/>
  <c r="H88" i="13"/>
  <c r="P87" i="13"/>
  <c r="S87" i="13" s="1"/>
  <c r="O87" i="13"/>
  <c r="R87" i="13" s="1"/>
  <c r="Q88" i="13"/>
  <c r="D88" i="13"/>
  <c r="K89" i="13"/>
  <c r="E89" i="13"/>
  <c r="L89" i="13"/>
  <c r="C89" i="13"/>
  <c r="A91" i="13"/>
  <c r="B91" i="13" s="1"/>
  <c r="X87" i="13"/>
  <c r="Y87" i="13"/>
  <c r="F88" i="13"/>
  <c r="M88" i="13"/>
  <c r="N88" i="13" s="1"/>
  <c r="M91" i="8" l="1"/>
  <c r="G89" i="13"/>
  <c r="H89" i="13"/>
  <c r="O88" i="13"/>
  <c r="R88" i="13" s="1"/>
  <c r="P88" i="13"/>
  <c r="S88" i="13" s="1"/>
  <c r="A92" i="13"/>
  <c r="B92" i="13" s="1"/>
  <c r="F89" i="13"/>
  <c r="M89" i="13"/>
  <c r="N89" i="13" s="1"/>
  <c r="K90" i="13"/>
  <c r="E90" i="13"/>
  <c r="L90" i="13"/>
  <c r="C90" i="13"/>
  <c r="Q89" i="13"/>
  <c r="D89" i="13"/>
  <c r="X88" i="13"/>
  <c r="Y88" i="13"/>
  <c r="U87" i="13"/>
  <c r="M92" i="8" l="1"/>
  <c r="G90" i="13"/>
  <c r="H90" i="13"/>
  <c r="P89" i="13"/>
  <c r="S89" i="13" s="1"/>
  <c r="O89" i="13"/>
  <c r="R89" i="13" s="1"/>
  <c r="F90" i="13"/>
  <c r="M90" i="13"/>
  <c r="N90" i="13" s="1"/>
  <c r="Q90" i="13"/>
  <c r="A93" i="13"/>
  <c r="B93" i="13" s="1"/>
  <c r="X89" i="13"/>
  <c r="Y89" i="13"/>
  <c r="U88" i="13"/>
  <c r="D90" i="13"/>
  <c r="K91" i="13"/>
  <c r="E91" i="13"/>
  <c r="L91" i="13"/>
  <c r="C91" i="13"/>
  <c r="M93" i="8" l="1"/>
  <c r="G91" i="13"/>
  <c r="H91" i="13"/>
  <c r="P90" i="13"/>
  <c r="S90" i="13" s="1"/>
  <c r="O90" i="13"/>
  <c r="R90" i="13" s="1"/>
  <c r="Q91" i="13"/>
  <c r="D91" i="13"/>
  <c r="K92" i="13"/>
  <c r="E92" i="13"/>
  <c r="L92" i="13"/>
  <c r="C92" i="13"/>
  <c r="F91" i="13"/>
  <c r="M91" i="13"/>
  <c r="N91" i="13" s="1"/>
  <c r="X90" i="13"/>
  <c r="Y90" i="13"/>
  <c r="A94" i="13"/>
  <c r="B94" i="13" s="1"/>
  <c r="U89" i="13"/>
  <c r="M94" i="8" l="1"/>
  <c r="G92" i="13"/>
  <c r="H92" i="13"/>
  <c r="P91" i="13"/>
  <c r="S91" i="13" s="1"/>
  <c r="O91" i="13"/>
  <c r="R91" i="13" s="1"/>
  <c r="E93" i="13"/>
  <c r="K93" i="13"/>
  <c r="L93" i="13"/>
  <c r="C93" i="13"/>
  <c r="F92" i="13"/>
  <c r="M92" i="13"/>
  <c r="N92" i="13" s="1"/>
  <c r="X91" i="13"/>
  <c r="Y91" i="13"/>
  <c r="A95" i="13"/>
  <c r="B95" i="13" s="1"/>
  <c r="Q92" i="13"/>
  <c r="D92" i="13"/>
  <c r="U90" i="13"/>
  <c r="M95" i="8" l="1"/>
  <c r="U91" i="13"/>
  <c r="G93" i="13"/>
  <c r="H93" i="13"/>
  <c r="P92" i="13"/>
  <c r="S92" i="13" s="1"/>
  <c r="O92" i="13"/>
  <c r="R92" i="13" s="1"/>
  <c r="X92" i="13"/>
  <c r="Y92" i="13"/>
  <c r="A96" i="13"/>
  <c r="B96" i="13" s="1"/>
  <c r="D93" i="13"/>
  <c r="Q93" i="13"/>
  <c r="E94" i="13"/>
  <c r="K94" i="13"/>
  <c r="L94" i="13"/>
  <c r="C94" i="13"/>
  <c r="F93" i="13"/>
  <c r="M93" i="13"/>
  <c r="N93" i="13" s="1"/>
  <c r="M96" i="8" l="1"/>
  <c r="U92" i="13"/>
  <c r="G94" i="13"/>
  <c r="H94" i="13"/>
  <c r="P93" i="13"/>
  <c r="S93" i="13" s="1"/>
  <c r="U93" i="13" s="1"/>
  <c r="O93" i="13"/>
  <c r="R93" i="13" s="1"/>
  <c r="A97" i="13"/>
  <c r="B97" i="13" s="1"/>
  <c r="F94" i="13"/>
  <c r="M94" i="13"/>
  <c r="N94" i="13" s="1"/>
  <c r="D94" i="13"/>
  <c r="X93" i="13"/>
  <c r="Y93" i="13"/>
  <c r="Q94" i="13"/>
  <c r="E95" i="13"/>
  <c r="K95" i="13"/>
  <c r="C95" i="13"/>
  <c r="L95" i="13"/>
  <c r="M97" i="8" l="1"/>
  <c r="G95" i="13"/>
  <c r="H95" i="13"/>
  <c r="P94" i="13"/>
  <c r="S94" i="13" s="1"/>
  <c r="O94" i="13"/>
  <c r="R94" i="13" s="1"/>
  <c r="M95" i="13"/>
  <c r="N95" i="13" s="1"/>
  <c r="F95" i="13"/>
  <c r="X94" i="13"/>
  <c r="Y94" i="13"/>
  <c r="D95" i="13"/>
  <c r="E96" i="13"/>
  <c r="K96" i="13"/>
  <c r="L96" i="13"/>
  <c r="C96" i="13"/>
  <c r="Q95" i="13"/>
  <c r="A98" i="13"/>
  <c r="B98" i="13" s="1"/>
  <c r="M98" i="8" l="1"/>
  <c r="G96" i="13"/>
  <c r="H96" i="13"/>
  <c r="P95" i="13"/>
  <c r="S95" i="13" s="1"/>
  <c r="U95" i="13" s="1"/>
  <c r="O95" i="13"/>
  <c r="R95" i="13" s="1"/>
  <c r="D96" i="13"/>
  <c r="E97" i="13"/>
  <c r="K97" i="13"/>
  <c r="C97" i="13"/>
  <c r="L97" i="13"/>
  <c r="Q96" i="13"/>
  <c r="U94" i="13"/>
  <c r="A99" i="13"/>
  <c r="B99" i="13" s="1"/>
  <c r="M96" i="13"/>
  <c r="N96" i="13" s="1"/>
  <c r="F96" i="13"/>
  <c r="Y95" i="13"/>
  <c r="X95" i="13"/>
  <c r="M99" i="8" l="1"/>
  <c r="G97" i="13"/>
  <c r="H97" i="13"/>
  <c r="P96" i="13"/>
  <c r="S96" i="13" s="1"/>
  <c r="O96" i="13"/>
  <c r="R96" i="13" s="1"/>
  <c r="M97" i="13"/>
  <c r="N97" i="13" s="1"/>
  <c r="F97" i="13"/>
  <c r="E98" i="13"/>
  <c r="K98" i="13"/>
  <c r="L98" i="13"/>
  <c r="C98" i="13"/>
  <c r="A100" i="13"/>
  <c r="B100" i="13" s="1"/>
  <c r="D97" i="13"/>
  <c r="Y96" i="13"/>
  <c r="X96" i="13"/>
  <c r="K24" i="14"/>
  <c r="Q97" i="13"/>
  <c r="M100" i="8" l="1"/>
  <c r="U96" i="13"/>
  <c r="G98" i="13"/>
  <c r="H98" i="13"/>
  <c r="P97" i="13"/>
  <c r="S97" i="13" s="1"/>
  <c r="O97" i="13"/>
  <c r="R97" i="13" s="1"/>
  <c r="E99" i="13"/>
  <c r="K99" i="13"/>
  <c r="C99" i="13"/>
  <c r="L99" i="13"/>
  <c r="Q98" i="13"/>
  <c r="A101" i="13"/>
  <c r="B101" i="13" s="1"/>
  <c r="M98" i="13"/>
  <c r="N98" i="13" s="1"/>
  <c r="F98" i="13"/>
  <c r="Y97" i="13"/>
  <c r="X97" i="13"/>
  <c r="D98" i="13"/>
  <c r="M101" i="8" l="1"/>
  <c r="G99" i="13"/>
  <c r="H99" i="13"/>
  <c r="P98" i="13"/>
  <c r="S98" i="13" s="1"/>
  <c r="O98" i="13"/>
  <c r="R98" i="13" s="1"/>
  <c r="A102" i="13"/>
  <c r="B102" i="13" s="1"/>
  <c r="M99" i="13"/>
  <c r="N99" i="13" s="1"/>
  <c r="F99" i="13"/>
  <c r="E100" i="13"/>
  <c r="K100" i="13"/>
  <c r="L100" i="13"/>
  <c r="C100" i="13"/>
  <c r="Q99" i="13"/>
  <c r="U97" i="13"/>
  <c r="Y98" i="13"/>
  <c r="X98" i="13"/>
  <c r="D99" i="13"/>
  <c r="M102" i="8" l="1"/>
  <c r="G100" i="13"/>
  <c r="H100" i="13"/>
  <c r="P99" i="13"/>
  <c r="S99" i="13" s="1"/>
  <c r="O99" i="13"/>
  <c r="R99" i="13" s="1"/>
  <c r="Q100" i="13"/>
  <c r="Y99" i="13"/>
  <c r="X99" i="13"/>
  <c r="M100" i="13"/>
  <c r="N100" i="13" s="1"/>
  <c r="F100" i="13"/>
  <c r="E101" i="13"/>
  <c r="K101" i="13"/>
  <c r="C101" i="13"/>
  <c r="L101" i="13"/>
  <c r="A103" i="13"/>
  <c r="B103" i="13" s="1"/>
  <c r="U98" i="13"/>
  <c r="D100" i="13"/>
  <c r="M103" i="8" l="1"/>
  <c r="G101" i="13"/>
  <c r="H101" i="13"/>
  <c r="P100" i="13"/>
  <c r="S100" i="13" s="1"/>
  <c r="O100" i="13"/>
  <c r="R100" i="13" s="1"/>
  <c r="E102" i="13"/>
  <c r="K102" i="13"/>
  <c r="L102" i="13"/>
  <c r="C102" i="13"/>
  <c r="Y100" i="13"/>
  <c r="X100" i="13"/>
  <c r="Q101" i="13"/>
  <c r="U99" i="13"/>
  <c r="A104" i="13"/>
  <c r="B104" i="13" s="1"/>
  <c r="M101" i="13"/>
  <c r="N101" i="13" s="1"/>
  <c r="F101" i="13"/>
  <c r="D101" i="13"/>
  <c r="M104" i="8" l="1"/>
  <c r="G102" i="13"/>
  <c r="H102" i="13"/>
  <c r="P101" i="13"/>
  <c r="S101" i="13" s="1"/>
  <c r="O101" i="13"/>
  <c r="R101" i="13" s="1"/>
  <c r="E103" i="13"/>
  <c r="K103" i="13"/>
  <c r="C103" i="13"/>
  <c r="L103" i="13"/>
  <c r="Q102" i="13"/>
  <c r="Y101" i="13"/>
  <c r="X101" i="13"/>
  <c r="A105" i="13"/>
  <c r="B105" i="13" s="1"/>
  <c r="M102" i="13"/>
  <c r="N102" i="13" s="1"/>
  <c r="F102" i="13"/>
  <c r="U100" i="13"/>
  <c r="D102" i="13"/>
  <c r="M105" i="8" l="1"/>
  <c r="G103" i="13"/>
  <c r="H103" i="13"/>
  <c r="P102" i="13"/>
  <c r="S102" i="13" s="1"/>
  <c r="O102" i="13"/>
  <c r="R102" i="13" s="1"/>
  <c r="Y102" i="13"/>
  <c r="X102" i="13"/>
  <c r="A106" i="13"/>
  <c r="B106" i="13" s="1"/>
  <c r="D103" i="13"/>
  <c r="Q103" i="13"/>
  <c r="E104" i="13"/>
  <c r="K104" i="13"/>
  <c r="L104" i="13"/>
  <c r="C104" i="13"/>
  <c r="U101" i="13"/>
  <c r="M103" i="13"/>
  <c r="N103" i="13" s="1"/>
  <c r="F103" i="13"/>
  <c r="M106" i="8" l="1"/>
  <c r="G104" i="13"/>
  <c r="H104" i="13"/>
  <c r="P103" i="13"/>
  <c r="S103" i="13" s="1"/>
  <c r="O103" i="13"/>
  <c r="R103" i="13" s="1"/>
  <c r="M104" i="13"/>
  <c r="N104" i="13" s="1"/>
  <c r="F104" i="13"/>
  <c r="E105" i="13"/>
  <c r="K105" i="13"/>
  <c r="C105" i="13"/>
  <c r="L105" i="13"/>
  <c r="D104" i="13"/>
  <c r="Y103" i="13"/>
  <c r="X103" i="13"/>
  <c r="A107" i="13"/>
  <c r="B107" i="13" s="1"/>
  <c r="U102" i="13"/>
  <c r="Q104" i="13"/>
  <c r="M107" i="8" l="1"/>
  <c r="G105" i="13"/>
  <c r="H105" i="13"/>
  <c r="P104" i="13"/>
  <c r="S104" i="13" s="1"/>
  <c r="U104" i="13" s="1"/>
  <c r="O104" i="13"/>
  <c r="R104" i="13" s="1"/>
  <c r="Y104" i="13"/>
  <c r="X104" i="13"/>
  <c r="Q105" i="13"/>
  <c r="M105" i="13"/>
  <c r="N105" i="13" s="1"/>
  <c r="F105" i="13"/>
  <c r="E106" i="13"/>
  <c r="K106" i="13"/>
  <c r="L106" i="13"/>
  <c r="C106" i="13"/>
  <c r="U103" i="13"/>
  <c r="A108" i="13"/>
  <c r="B108" i="13" s="1"/>
  <c r="D105" i="13"/>
  <c r="M108" i="8" l="1"/>
  <c r="G106" i="13"/>
  <c r="H106" i="13"/>
  <c r="P105" i="13"/>
  <c r="S105" i="13" s="1"/>
  <c r="O105" i="13"/>
  <c r="R105" i="13" s="1"/>
  <c r="E107" i="13"/>
  <c r="K107" i="13"/>
  <c r="C107" i="13"/>
  <c r="L107" i="13"/>
  <c r="A109" i="13"/>
  <c r="B109" i="13" s="1"/>
  <c r="M106" i="13"/>
  <c r="N106" i="13" s="1"/>
  <c r="F106" i="13"/>
  <c r="D106" i="13"/>
  <c r="Y105" i="13"/>
  <c r="X105" i="13"/>
  <c r="Q106" i="13"/>
  <c r="M109" i="8" l="1"/>
  <c r="G107" i="13"/>
  <c r="H107" i="13"/>
  <c r="O106" i="13"/>
  <c r="R106" i="13" s="1"/>
  <c r="P106" i="13"/>
  <c r="S106" i="13" s="1"/>
  <c r="U106" i="13" s="1"/>
  <c r="L24" i="14"/>
  <c r="U105" i="13"/>
  <c r="Y106" i="13"/>
  <c r="X106" i="13"/>
  <c r="D107" i="13"/>
  <c r="E108" i="13"/>
  <c r="K108" i="13"/>
  <c r="L108" i="13"/>
  <c r="C108" i="13"/>
  <c r="Q107" i="13"/>
  <c r="A110" i="13"/>
  <c r="B110" i="13" s="1"/>
  <c r="M107" i="13"/>
  <c r="N107" i="13" s="1"/>
  <c r="F107" i="13"/>
  <c r="M110" i="8" l="1"/>
  <c r="G108" i="13"/>
  <c r="H108" i="13"/>
  <c r="O107" i="13"/>
  <c r="R107" i="13" s="1"/>
  <c r="P107" i="13"/>
  <c r="S107" i="13" s="1"/>
  <c r="E109" i="13"/>
  <c r="K109" i="13"/>
  <c r="C109" i="13"/>
  <c r="L109" i="13"/>
  <c r="M108" i="13"/>
  <c r="N108" i="13" s="1"/>
  <c r="F108" i="13"/>
  <c r="A111" i="13"/>
  <c r="B111" i="13" s="1"/>
  <c r="D108" i="13"/>
  <c r="Q108" i="13"/>
  <c r="Y107" i="13"/>
  <c r="X107" i="13"/>
  <c r="M111" i="8" l="1"/>
  <c r="G109" i="13"/>
  <c r="H109" i="13"/>
  <c r="P108" i="13"/>
  <c r="S108" i="13" s="1"/>
  <c r="O108" i="13"/>
  <c r="R108" i="13" s="1"/>
  <c r="D109" i="13"/>
  <c r="E110" i="13"/>
  <c r="K110" i="13"/>
  <c r="L110" i="13"/>
  <c r="C110" i="13"/>
  <c r="M109" i="13"/>
  <c r="N109" i="13" s="1"/>
  <c r="F109" i="13"/>
  <c r="U107" i="13"/>
  <c r="Y108" i="13"/>
  <c r="X108" i="13"/>
  <c r="Q109" i="13"/>
  <c r="A112" i="13"/>
  <c r="B112" i="13" s="1"/>
  <c r="M112" i="8" l="1"/>
  <c r="G110" i="13"/>
  <c r="H110" i="13"/>
  <c r="O109" i="13"/>
  <c r="R109" i="13" s="1"/>
  <c r="P109" i="13"/>
  <c r="S109" i="13" s="1"/>
  <c r="E111" i="13"/>
  <c r="K111" i="13"/>
  <c r="C111" i="13"/>
  <c r="L111" i="13"/>
  <c r="M110" i="13"/>
  <c r="N110" i="13" s="1"/>
  <c r="F110" i="13"/>
  <c r="A113" i="13"/>
  <c r="B113" i="13" s="1"/>
  <c r="D110" i="13"/>
  <c r="U108" i="13"/>
  <c r="Q110" i="13"/>
  <c r="Y109" i="13"/>
  <c r="X109" i="13"/>
  <c r="M113" i="8" l="1"/>
  <c r="G111" i="13"/>
  <c r="H111" i="13"/>
  <c r="P110" i="13"/>
  <c r="S110" i="13" s="1"/>
  <c r="U110" i="13" s="1"/>
  <c r="O110" i="13"/>
  <c r="R110" i="13" s="1"/>
  <c r="D111" i="13"/>
  <c r="Y110" i="13"/>
  <c r="X110" i="13"/>
  <c r="A114" i="13"/>
  <c r="B114" i="13" s="1"/>
  <c r="Q111" i="13"/>
  <c r="E112" i="13"/>
  <c r="K112" i="13"/>
  <c r="L112" i="13"/>
  <c r="C112" i="13"/>
  <c r="U109" i="13"/>
  <c r="M111" i="13"/>
  <c r="N111" i="13" s="1"/>
  <c r="F111" i="13"/>
  <c r="M114" i="8" l="1"/>
  <c r="G112" i="13"/>
  <c r="H112" i="13"/>
  <c r="P111" i="13"/>
  <c r="S111" i="13" s="1"/>
  <c r="O111" i="13"/>
  <c r="R111" i="13" s="1"/>
  <c r="M112" i="13"/>
  <c r="N112" i="13" s="1"/>
  <c r="F112" i="13"/>
  <c r="D112" i="13"/>
  <c r="E113" i="13"/>
  <c r="K113" i="13"/>
  <c r="C113" i="13"/>
  <c r="L113" i="13"/>
  <c r="A115" i="13"/>
  <c r="B115" i="13" s="1"/>
  <c r="Q112" i="13"/>
  <c r="Y111" i="13"/>
  <c r="X111" i="13"/>
  <c r="P114" i="8" l="1"/>
  <c r="M115" i="8"/>
  <c r="Q114" i="8"/>
  <c r="G113" i="13"/>
  <c r="H113" i="13"/>
  <c r="P112" i="13"/>
  <c r="S112" i="13" s="1"/>
  <c r="O112" i="13"/>
  <c r="R112" i="13" s="1"/>
  <c r="E114" i="13"/>
  <c r="K114" i="13"/>
  <c r="L114" i="13"/>
  <c r="C114" i="13"/>
  <c r="Q113" i="13"/>
  <c r="Y112" i="13"/>
  <c r="X112" i="13"/>
  <c r="U111" i="13"/>
  <c r="D113" i="13"/>
  <c r="A116" i="13"/>
  <c r="B116" i="13" s="1"/>
  <c r="M113" i="13"/>
  <c r="N113" i="13" s="1"/>
  <c r="F113" i="13"/>
  <c r="M116" i="8" l="1"/>
  <c r="G114" i="13"/>
  <c r="H114" i="13"/>
  <c r="P113" i="13"/>
  <c r="S113" i="13" s="1"/>
  <c r="O113" i="13"/>
  <c r="R113" i="13" s="1"/>
  <c r="E115" i="13"/>
  <c r="K115" i="13"/>
  <c r="C115" i="13"/>
  <c r="L115" i="13"/>
  <c r="Q114" i="13"/>
  <c r="A117" i="13"/>
  <c r="B117" i="13" s="1"/>
  <c r="Y113" i="13"/>
  <c r="X113" i="13"/>
  <c r="M114" i="13"/>
  <c r="N114" i="13" s="1"/>
  <c r="F114" i="13"/>
  <c r="D114" i="13"/>
  <c r="U112" i="13"/>
  <c r="M117" i="8" l="1"/>
  <c r="G115" i="13"/>
  <c r="H115" i="13"/>
  <c r="P114" i="13"/>
  <c r="S114" i="13" s="1"/>
  <c r="O114" i="13"/>
  <c r="R114" i="13" s="1"/>
  <c r="A118" i="13"/>
  <c r="B118" i="13" s="1"/>
  <c r="D115" i="13"/>
  <c r="Y114" i="13"/>
  <c r="X114" i="13"/>
  <c r="Q115" i="13"/>
  <c r="E116" i="13"/>
  <c r="K116" i="13"/>
  <c r="L116" i="13"/>
  <c r="C116" i="13"/>
  <c r="U113" i="13"/>
  <c r="M115" i="13"/>
  <c r="N115" i="13" s="1"/>
  <c r="F115" i="13"/>
  <c r="M118" i="8" l="1"/>
  <c r="G116" i="13"/>
  <c r="H116" i="13"/>
  <c r="O115" i="13"/>
  <c r="R115" i="13" s="1"/>
  <c r="P115" i="13"/>
  <c r="S115" i="13" s="1"/>
  <c r="E117" i="13"/>
  <c r="K117" i="13"/>
  <c r="C117" i="13"/>
  <c r="L117" i="13"/>
  <c r="Q116" i="13"/>
  <c r="D116" i="13"/>
  <c r="Y115" i="13"/>
  <c r="X115" i="13"/>
  <c r="A119" i="13"/>
  <c r="B119" i="13" s="1"/>
  <c r="M116" i="13"/>
  <c r="N116" i="13" s="1"/>
  <c r="F116" i="13"/>
  <c r="U114" i="13"/>
  <c r="M119" i="8" l="1"/>
  <c r="G117" i="13"/>
  <c r="H117" i="13"/>
  <c r="O116" i="13"/>
  <c r="R116" i="13" s="1"/>
  <c r="P116" i="13"/>
  <c r="S116" i="13" s="1"/>
  <c r="E118" i="13"/>
  <c r="K118" i="13"/>
  <c r="L118" i="13"/>
  <c r="C118" i="13"/>
  <c r="U115" i="13"/>
  <c r="Y116" i="13"/>
  <c r="X116" i="13"/>
  <c r="Q117" i="13"/>
  <c r="M24" i="14"/>
  <c r="M117" i="13"/>
  <c r="N117" i="13" s="1"/>
  <c r="F117" i="13"/>
  <c r="A120" i="13"/>
  <c r="B120" i="13" s="1"/>
  <c r="D117" i="13"/>
  <c r="M120" i="8" l="1"/>
  <c r="G118" i="13"/>
  <c r="H118" i="13"/>
  <c r="O117" i="13"/>
  <c r="R117" i="13" s="1"/>
  <c r="P117" i="13"/>
  <c r="S117" i="13" s="1"/>
  <c r="D118" i="13"/>
  <c r="U116" i="13"/>
  <c r="Q118" i="13"/>
  <c r="A121" i="13"/>
  <c r="B121" i="13" s="1"/>
  <c r="Y117" i="13"/>
  <c r="X117" i="13"/>
  <c r="E119" i="13"/>
  <c r="K119" i="13"/>
  <c r="C119" i="13"/>
  <c r="L119" i="13"/>
  <c r="M118" i="13"/>
  <c r="N118" i="13" s="1"/>
  <c r="F118" i="13"/>
  <c r="M121" i="8" l="1"/>
  <c r="G119" i="13"/>
  <c r="H119" i="13"/>
  <c r="P118" i="13"/>
  <c r="S118" i="13" s="1"/>
  <c r="O118" i="13"/>
  <c r="R118" i="13" s="1"/>
  <c r="M119" i="13"/>
  <c r="N119" i="13" s="1"/>
  <c r="F119" i="13"/>
  <c r="E120" i="13"/>
  <c r="K120" i="13"/>
  <c r="L120" i="13"/>
  <c r="C120" i="13"/>
  <c r="Y118" i="13"/>
  <c r="X118" i="13"/>
  <c r="Q119" i="13"/>
  <c r="A122" i="13"/>
  <c r="B122" i="13" s="1"/>
  <c r="U117" i="13"/>
  <c r="D119" i="13"/>
  <c r="M122" i="8" l="1"/>
  <c r="G120" i="13"/>
  <c r="H120" i="13"/>
  <c r="P119" i="13"/>
  <c r="S119" i="13" s="1"/>
  <c r="O119" i="13"/>
  <c r="R119" i="13" s="1"/>
  <c r="E121" i="13"/>
  <c r="K121" i="13"/>
  <c r="C121" i="13"/>
  <c r="L121" i="13"/>
  <c r="Y119" i="13"/>
  <c r="X119" i="13"/>
  <c r="D120" i="13"/>
  <c r="A123" i="13"/>
  <c r="B123" i="13" s="1"/>
  <c r="U118" i="13"/>
  <c r="Q120" i="13"/>
  <c r="M120" i="13"/>
  <c r="N120" i="13" s="1"/>
  <c r="F120" i="13"/>
  <c r="M123" i="8" l="1"/>
  <c r="G121" i="13"/>
  <c r="H121" i="13"/>
  <c r="P120" i="13"/>
  <c r="S120" i="13" s="1"/>
  <c r="O120" i="13"/>
  <c r="R120" i="13" s="1"/>
  <c r="U119" i="13"/>
  <c r="D121" i="13"/>
  <c r="Y120" i="13"/>
  <c r="X120" i="13"/>
  <c r="E122" i="13"/>
  <c r="K122" i="13"/>
  <c r="L122" i="13"/>
  <c r="C122" i="13"/>
  <c r="Q121" i="13"/>
  <c r="A124" i="13"/>
  <c r="B124" i="13" s="1"/>
  <c r="M121" i="13"/>
  <c r="N121" i="13" s="1"/>
  <c r="F121" i="13"/>
  <c r="M124" i="8" l="1"/>
  <c r="G122" i="13"/>
  <c r="H122" i="13"/>
  <c r="P121" i="13"/>
  <c r="S121" i="13" s="1"/>
  <c r="O121" i="13"/>
  <c r="R121" i="13" s="1"/>
  <c r="E123" i="13"/>
  <c r="K123" i="13"/>
  <c r="C123" i="13"/>
  <c r="L123" i="13"/>
  <c r="U120" i="13"/>
  <c r="M122" i="13"/>
  <c r="N122" i="13" s="1"/>
  <c r="F122" i="13"/>
  <c r="Y121" i="13"/>
  <c r="X121" i="13"/>
  <c r="D122" i="13"/>
  <c r="A125" i="13"/>
  <c r="B125" i="13" s="1"/>
  <c r="Q122" i="13"/>
  <c r="M125" i="8" l="1"/>
  <c r="G123" i="13"/>
  <c r="H123" i="13"/>
  <c r="P122" i="13"/>
  <c r="S122" i="13" s="1"/>
  <c r="O122" i="13"/>
  <c r="R122" i="13" s="1"/>
  <c r="Y122" i="13"/>
  <c r="X122" i="13"/>
  <c r="D123" i="13"/>
  <c r="E124" i="13"/>
  <c r="K124" i="13"/>
  <c r="L124" i="13"/>
  <c r="C124" i="13"/>
  <c r="Q123" i="13"/>
  <c r="A126" i="13"/>
  <c r="B126" i="13" s="1"/>
  <c r="U121" i="13"/>
  <c r="M123" i="13"/>
  <c r="N123" i="13" s="1"/>
  <c r="F123" i="13"/>
  <c r="M126" i="8" l="1"/>
  <c r="G124" i="13"/>
  <c r="H124" i="13"/>
  <c r="P123" i="13"/>
  <c r="S123" i="13" s="1"/>
  <c r="O123" i="13"/>
  <c r="R123" i="13" s="1"/>
  <c r="E125" i="13"/>
  <c r="K125" i="13"/>
  <c r="C125" i="13"/>
  <c r="L125" i="13"/>
  <c r="Q124" i="13"/>
  <c r="Y123" i="13"/>
  <c r="X123" i="13"/>
  <c r="A127" i="13"/>
  <c r="B127" i="13" s="1"/>
  <c r="M124" i="13"/>
  <c r="N124" i="13" s="1"/>
  <c r="F124" i="13"/>
  <c r="D124" i="13"/>
  <c r="U122" i="13"/>
  <c r="M127" i="8" l="1"/>
  <c r="G125" i="13"/>
  <c r="H125" i="13"/>
  <c r="O124" i="13"/>
  <c r="R124" i="13" s="1"/>
  <c r="P124" i="13"/>
  <c r="S124" i="13" s="1"/>
  <c r="D125" i="13"/>
  <c r="Y124" i="13"/>
  <c r="X124" i="13"/>
  <c r="E126" i="13"/>
  <c r="K126" i="13"/>
  <c r="L126" i="13"/>
  <c r="C126" i="13"/>
  <c r="Q125" i="13"/>
  <c r="U123" i="13"/>
  <c r="A128" i="13"/>
  <c r="B128" i="13" s="1"/>
  <c r="M125" i="13"/>
  <c r="N125" i="13" s="1"/>
  <c r="F125" i="13"/>
  <c r="M128" i="8" l="1"/>
  <c r="G126" i="13"/>
  <c r="H126" i="13"/>
  <c r="P125" i="13"/>
  <c r="S125" i="13" s="1"/>
  <c r="O125" i="13"/>
  <c r="R125" i="13" s="1"/>
  <c r="E127" i="13"/>
  <c r="K127" i="13"/>
  <c r="C127" i="13"/>
  <c r="L127" i="13"/>
  <c r="U124" i="13"/>
  <c r="A129" i="13"/>
  <c r="B129" i="13" s="1"/>
  <c r="Q126" i="13"/>
  <c r="M126" i="13"/>
  <c r="N126" i="13" s="1"/>
  <c r="F126" i="13"/>
  <c r="Y125" i="13"/>
  <c r="X125" i="13"/>
  <c r="D126" i="13"/>
  <c r="M129" i="8" l="1"/>
  <c r="G127" i="13"/>
  <c r="H127" i="13"/>
  <c r="P126" i="13"/>
  <c r="S126" i="13" s="1"/>
  <c r="O126" i="13"/>
  <c r="R126" i="13" s="1"/>
  <c r="E128" i="13"/>
  <c r="K128" i="13"/>
  <c r="L128" i="13"/>
  <c r="C128" i="13"/>
  <c r="A130" i="13"/>
  <c r="B130" i="13" s="1"/>
  <c r="D127" i="13"/>
  <c r="Y126" i="13"/>
  <c r="X126" i="13"/>
  <c r="N24" i="14"/>
  <c r="Q127" i="13"/>
  <c r="U125" i="13"/>
  <c r="M127" i="13"/>
  <c r="N127" i="13" s="1"/>
  <c r="F127" i="13"/>
  <c r="M130" i="8" l="1"/>
  <c r="G128" i="13"/>
  <c r="H128" i="13"/>
  <c r="P127" i="13"/>
  <c r="S127" i="13" s="1"/>
  <c r="O127" i="13"/>
  <c r="R127" i="13" s="1"/>
  <c r="Y127" i="13"/>
  <c r="X127" i="13"/>
  <c r="D128" i="13"/>
  <c r="E129" i="13"/>
  <c r="K129" i="13"/>
  <c r="C129" i="13"/>
  <c r="L129" i="13"/>
  <c r="U126" i="13"/>
  <c r="A131" i="13"/>
  <c r="B131" i="13" s="1"/>
  <c r="Q128" i="13"/>
  <c r="M128" i="13"/>
  <c r="N128" i="13" s="1"/>
  <c r="F128" i="13"/>
  <c r="M131" i="8" l="1"/>
  <c r="G129" i="13"/>
  <c r="H129" i="13"/>
  <c r="P128" i="13"/>
  <c r="S128" i="13" s="1"/>
  <c r="O128" i="13"/>
  <c r="R128" i="13" s="1"/>
  <c r="D129" i="13"/>
  <c r="Y128" i="13"/>
  <c r="X128" i="13"/>
  <c r="Q129" i="13"/>
  <c r="E130" i="13"/>
  <c r="K130" i="13"/>
  <c r="L130" i="13"/>
  <c r="C130" i="13"/>
  <c r="M129" i="13"/>
  <c r="N129" i="13" s="1"/>
  <c r="F129" i="13"/>
  <c r="U127" i="13"/>
  <c r="A132" i="13"/>
  <c r="B132" i="13" s="1"/>
  <c r="M132" i="8" l="1"/>
  <c r="G130" i="13"/>
  <c r="H130" i="13"/>
  <c r="P129" i="13"/>
  <c r="S129" i="13" s="1"/>
  <c r="O129" i="13"/>
  <c r="R129" i="13" s="1"/>
  <c r="A133" i="13"/>
  <c r="B133" i="13" s="1"/>
  <c r="D130" i="13"/>
  <c r="U128" i="13"/>
  <c r="Y129" i="13"/>
  <c r="X129" i="13"/>
  <c r="E131" i="13"/>
  <c r="K131" i="13"/>
  <c r="C131" i="13"/>
  <c r="L131" i="13"/>
  <c r="Q130" i="13"/>
  <c r="M130" i="13"/>
  <c r="N130" i="13" s="1"/>
  <c r="F130" i="13"/>
  <c r="M133" i="8" l="1"/>
  <c r="G131" i="13"/>
  <c r="H131" i="13"/>
  <c r="P130" i="13"/>
  <c r="S130" i="13" s="1"/>
  <c r="O130" i="13"/>
  <c r="R130" i="13" s="1"/>
  <c r="Q131" i="13"/>
  <c r="M131" i="13"/>
  <c r="N131" i="13" s="1"/>
  <c r="F131" i="13"/>
  <c r="Y130" i="13"/>
  <c r="X130" i="13"/>
  <c r="E132" i="13"/>
  <c r="K132" i="13"/>
  <c r="L132" i="13"/>
  <c r="C132" i="13"/>
  <c r="D131" i="13"/>
  <c r="U129" i="13"/>
  <c r="A134" i="13"/>
  <c r="B134" i="13" s="1"/>
  <c r="M134" i="8" l="1"/>
  <c r="G132" i="13"/>
  <c r="H132" i="13"/>
  <c r="O131" i="13"/>
  <c r="R131" i="13" s="1"/>
  <c r="P131" i="13"/>
  <c r="S131" i="13" s="1"/>
  <c r="E133" i="13"/>
  <c r="K133" i="13"/>
  <c r="C133" i="13"/>
  <c r="L133" i="13"/>
  <c r="D132" i="13"/>
  <c r="A135" i="13"/>
  <c r="B135" i="13" s="1"/>
  <c r="Y131" i="13"/>
  <c r="X131" i="13"/>
  <c r="U130" i="13"/>
  <c r="Q132" i="13"/>
  <c r="M132" i="13"/>
  <c r="N132" i="13" s="1"/>
  <c r="F132" i="13"/>
  <c r="M135" i="8" l="1"/>
  <c r="G133" i="13"/>
  <c r="H133" i="13"/>
  <c r="O132" i="13"/>
  <c r="R132" i="13" s="1"/>
  <c r="P132" i="13"/>
  <c r="S132" i="13" s="1"/>
  <c r="U131" i="13"/>
  <c r="A136" i="13"/>
  <c r="B136" i="13" s="1"/>
  <c r="D133" i="13"/>
  <c r="Q133" i="13"/>
  <c r="E134" i="13"/>
  <c r="K134" i="13"/>
  <c r="L134" i="13"/>
  <c r="C134" i="13"/>
  <c r="Y132" i="13"/>
  <c r="X132" i="13"/>
  <c r="M133" i="13"/>
  <c r="N133" i="13" s="1"/>
  <c r="F133" i="13"/>
  <c r="M136" i="8" l="1"/>
  <c r="G134" i="13"/>
  <c r="H134" i="13"/>
  <c r="P133" i="13"/>
  <c r="S133" i="13" s="1"/>
  <c r="O133" i="13"/>
  <c r="R133" i="13" s="1"/>
  <c r="M134" i="13"/>
  <c r="N134" i="13" s="1"/>
  <c r="F134" i="13"/>
  <c r="A137" i="13"/>
  <c r="B137" i="13" s="1"/>
  <c r="D134" i="13"/>
  <c r="U132" i="13"/>
  <c r="Y133" i="13"/>
  <c r="X133" i="13"/>
  <c r="Q134" i="13"/>
  <c r="L135" i="13"/>
  <c r="E135" i="13"/>
  <c r="K135" i="13"/>
  <c r="C135" i="13"/>
  <c r="M137" i="8" l="1"/>
  <c r="G135" i="13"/>
  <c r="H135" i="13"/>
  <c r="P134" i="13"/>
  <c r="S134" i="13" s="1"/>
  <c r="O134" i="13"/>
  <c r="R134" i="13" s="1"/>
  <c r="M135" i="13"/>
  <c r="N135" i="13" s="1"/>
  <c r="F135" i="13"/>
  <c r="Y134" i="13"/>
  <c r="X134" i="13"/>
  <c r="D135" i="13"/>
  <c r="U133" i="13"/>
  <c r="L136" i="13"/>
  <c r="C136" i="13"/>
  <c r="E136" i="13"/>
  <c r="K136" i="13"/>
  <c r="Q135" i="13"/>
  <c r="A138" i="13"/>
  <c r="B138" i="13" s="1"/>
  <c r="M138" i="8" l="1"/>
  <c r="G136" i="13"/>
  <c r="H136" i="13"/>
  <c r="P135" i="13"/>
  <c r="S135" i="13" s="1"/>
  <c r="U135" i="13" s="1"/>
  <c r="O135" i="13"/>
  <c r="R135" i="13" s="1"/>
  <c r="Q136" i="13"/>
  <c r="O24" i="14" s="1"/>
  <c r="D136" i="13"/>
  <c r="U134" i="13"/>
  <c r="L137" i="13"/>
  <c r="C137" i="13"/>
  <c r="E137" i="13"/>
  <c r="K137" i="13"/>
  <c r="A139" i="13"/>
  <c r="B139" i="13" s="1"/>
  <c r="M136" i="13"/>
  <c r="N136" i="13" s="1"/>
  <c r="F136" i="13"/>
  <c r="Y135" i="13"/>
  <c r="X135" i="13"/>
  <c r="P138" i="8" l="1"/>
  <c r="M139" i="8"/>
  <c r="Q138" i="8"/>
  <c r="G137" i="13"/>
  <c r="H137" i="13"/>
  <c r="P136" i="13"/>
  <c r="S136" i="13" s="1"/>
  <c r="O136" i="13"/>
  <c r="R136" i="13" s="1"/>
  <c r="M137" i="13"/>
  <c r="N137" i="13" s="1"/>
  <c r="F137" i="13"/>
  <c r="L138" i="13"/>
  <c r="C138" i="13"/>
  <c r="E138" i="13"/>
  <c r="K138" i="13"/>
  <c r="D137" i="13"/>
  <c r="Y136" i="13"/>
  <c r="X136" i="13"/>
  <c r="A140" i="13"/>
  <c r="B140" i="13" s="1"/>
  <c r="Q137" i="13"/>
  <c r="M140" i="8" l="1"/>
  <c r="G138" i="13"/>
  <c r="H138" i="13"/>
  <c r="P137" i="13"/>
  <c r="S137" i="13" s="1"/>
  <c r="O137" i="13"/>
  <c r="R137" i="13" s="1"/>
  <c r="L139" i="13"/>
  <c r="C139" i="13"/>
  <c r="E139" i="13"/>
  <c r="K139" i="13"/>
  <c r="M138" i="13"/>
  <c r="N138" i="13" s="1"/>
  <c r="F138" i="13"/>
  <c r="U136" i="13"/>
  <c r="A141" i="13"/>
  <c r="B141" i="13" s="1"/>
  <c r="D138" i="13"/>
  <c r="Q138" i="13"/>
  <c r="Y137" i="13"/>
  <c r="X137" i="13"/>
  <c r="M141" i="8" l="1"/>
  <c r="G139" i="13"/>
  <c r="H139" i="13"/>
  <c r="P138" i="13"/>
  <c r="S138" i="13" s="1"/>
  <c r="O138" i="13"/>
  <c r="R138" i="13" s="1"/>
  <c r="L140" i="13"/>
  <c r="C140" i="13"/>
  <c r="E140" i="13"/>
  <c r="K140" i="13"/>
  <c r="U137" i="13"/>
  <c r="A142" i="13"/>
  <c r="B142" i="13" s="1"/>
  <c r="Q139" i="13"/>
  <c r="M139" i="13"/>
  <c r="N139" i="13" s="1"/>
  <c r="F139" i="13"/>
  <c r="Y138" i="13"/>
  <c r="X138" i="13"/>
  <c r="D139" i="13"/>
  <c r="P141" i="8" l="1"/>
  <c r="M142" i="8"/>
  <c r="Q141" i="8"/>
  <c r="G140" i="13"/>
  <c r="H140" i="13"/>
  <c r="P139" i="13"/>
  <c r="S139" i="13" s="1"/>
  <c r="O139" i="13"/>
  <c r="R139" i="13" s="1"/>
  <c r="L141" i="13"/>
  <c r="C141" i="13"/>
  <c r="E141" i="13"/>
  <c r="K141" i="13"/>
  <c r="D140" i="13"/>
  <c r="A143" i="13"/>
  <c r="B143" i="13" s="1"/>
  <c r="Y139" i="13"/>
  <c r="X139" i="13"/>
  <c r="Q140" i="13"/>
  <c r="U138" i="13"/>
  <c r="M140" i="13"/>
  <c r="N140" i="13" s="1"/>
  <c r="F140" i="13"/>
  <c r="M143" i="8" l="1"/>
  <c r="G141" i="13"/>
  <c r="H141" i="13"/>
  <c r="P140" i="13"/>
  <c r="S140" i="13" s="1"/>
  <c r="O140" i="13"/>
  <c r="R140" i="13" s="1"/>
  <c r="D141" i="13"/>
  <c r="U139" i="13"/>
  <c r="M141" i="13"/>
  <c r="N141" i="13" s="1"/>
  <c r="F141" i="13"/>
  <c r="L142" i="13"/>
  <c r="C142" i="13"/>
  <c r="E142" i="13"/>
  <c r="K142" i="13"/>
  <c r="Y140" i="13"/>
  <c r="X140" i="13"/>
  <c r="A144" i="13"/>
  <c r="B144" i="13" s="1"/>
  <c r="Q141" i="13"/>
  <c r="M144" i="8" l="1"/>
  <c r="G142" i="13"/>
  <c r="H142" i="13"/>
  <c r="P141" i="13"/>
  <c r="S141" i="13" s="1"/>
  <c r="O141" i="13"/>
  <c r="R141" i="13" s="1"/>
  <c r="L143" i="13"/>
  <c r="C143" i="13"/>
  <c r="E143" i="13"/>
  <c r="K143" i="13"/>
  <c r="Y141" i="13"/>
  <c r="X141" i="13"/>
  <c r="M142" i="13"/>
  <c r="N142" i="13" s="1"/>
  <c r="F142" i="13"/>
  <c r="D142" i="13"/>
  <c r="U140" i="13"/>
  <c r="A145" i="13"/>
  <c r="B145" i="13" s="1"/>
  <c r="Q142" i="13"/>
  <c r="M145" i="8" l="1"/>
  <c r="G143" i="13"/>
  <c r="H143" i="13"/>
  <c r="O142" i="13"/>
  <c r="R142" i="13" s="1"/>
  <c r="P142" i="13"/>
  <c r="S142" i="13" s="1"/>
  <c r="Q143" i="13"/>
  <c r="D143" i="13"/>
  <c r="A146" i="13"/>
  <c r="B146" i="13" s="1"/>
  <c r="U141" i="13"/>
  <c r="L144" i="13"/>
  <c r="C144" i="13"/>
  <c r="E144" i="13"/>
  <c r="K144" i="13"/>
  <c r="Y142" i="13"/>
  <c r="X142" i="13"/>
  <c r="M143" i="13"/>
  <c r="N143" i="13" s="1"/>
  <c r="F143" i="13"/>
  <c r="M146" i="8" l="1"/>
  <c r="G144" i="13"/>
  <c r="H144" i="13"/>
  <c r="P143" i="13"/>
  <c r="S143" i="13" s="1"/>
  <c r="O143" i="13"/>
  <c r="R143" i="13" s="1"/>
  <c r="U142" i="13"/>
  <c r="D144" i="13"/>
  <c r="Y143" i="13"/>
  <c r="X143" i="13"/>
  <c r="A147" i="13"/>
  <c r="B147" i="13" s="1"/>
  <c r="M144" i="13"/>
  <c r="N144" i="13" s="1"/>
  <c r="F144" i="13"/>
  <c r="L145" i="13"/>
  <c r="C145" i="13"/>
  <c r="E145" i="13"/>
  <c r="K145" i="13"/>
  <c r="Q144" i="13"/>
  <c r="M147" i="8" l="1"/>
  <c r="G145" i="13"/>
  <c r="H145" i="13"/>
  <c r="P144" i="13"/>
  <c r="S144" i="13" s="1"/>
  <c r="O144" i="13"/>
  <c r="R144" i="13" s="1"/>
  <c r="Q145" i="13"/>
  <c r="U143" i="13"/>
  <c r="Y144" i="13"/>
  <c r="X144" i="13"/>
  <c r="M145" i="13"/>
  <c r="N145" i="13" s="1"/>
  <c r="F145" i="13"/>
  <c r="D145" i="13"/>
  <c r="L146" i="13"/>
  <c r="C146" i="13"/>
  <c r="E146" i="13"/>
  <c r="K146" i="13"/>
  <c r="A148" i="13"/>
  <c r="B148" i="13" s="1"/>
  <c r="M148" i="8" l="1"/>
  <c r="G146" i="13"/>
  <c r="H146" i="13"/>
  <c r="P145" i="13"/>
  <c r="S145" i="13" s="1"/>
  <c r="O145" i="13"/>
  <c r="R145" i="13" s="1"/>
  <c r="Y145" i="13"/>
  <c r="X145" i="13"/>
  <c r="M146" i="13"/>
  <c r="N146" i="13" s="1"/>
  <c r="F146" i="13"/>
  <c r="L147" i="13"/>
  <c r="C147" i="13"/>
  <c r="E147" i="13"/>
  <c r="K147" i="13"/>
  <c r="D146" i="13"/>
  <c r="U144" i="13"/>
  <c r="Q146" i="13"/>
  <c r="A149" i="13"/>
  <c r="B149" i="13" s="1"/>
  <c r="M149" i="8" l="1"/>
  <c r="G147" i="13"/>
  <c r="H147" i="13"/>
  <c r="O146" i="13"/>
  <c r="R146" i="13" s="1"/>
  <c r="P146" i="13"/>
  <c r="S146" i="13" s="1"/>
  <c r="U146" i="13" s="1"/>
  <c r="L148" i="13"/>
  <c r="C148" i="13"/>
  <c r="E148" i="13"/>
  <c r="K148" i="13"/>
  <c r="P24" i="14"/>
  <c r="Q147" i="13"/>
  <c r="M147" i="13"/>
  <c r="N147" i="13" s="1"/>
  <c r="F147" i="13"/>
  <c r="D147" i="13"/>
  <c r="A150" i="13"/>
  <c r="B150" i="13" s="1"/>
  <c r="U145" i="13"/>
  <c r="Y146" i="13"/>
  <c r="X146" i="13"/>
  <c r="M150" i="8" l="1"/>
  <c r="G148" i="13"/>
  <c r="H148" i="13"/>
  <c r="P147" i="13"/>
  <c r="S147" i="13" s="1"/>
  <c r="O147" i="13"/>
  <c r="R147" i="13" s="1"/>
  <c r="Q148" i="13"/>
  <c r="Y147" i="13"/>
  <c r="X147" i="13"/>
  <c r="D148" i="13"/>
  <c r="A151" i="13"/>
  <c r="B151" i="13" s="1"/>
  <c r="M148" i="13"/>
  <c r="N148" i="13" s="1"/>
  <c r="F148" i="13"/>
  <c r="L149" i="13"/>
  <c r="C149" i="13"/>
  <c r="E149" i="13"/>
  <c r="K149" i="13"/>
  <c r="M151" i="8" l="1"/>
  <c r="G149" i="13"/>
  <c r="H149" i="13"/>
  <c r="P148" i="13"/>
  <c r="S148" i="13" s="1"/>
  <c r="O148" i="13"/>
  <c r="R148" i="13" s="1"/>
  <c r="A152" i="13"/>
  <c r="B152" i="13" s="1"/>
  <c r="Y148" i="13"/>
  <c r="X148" i="13"/>
  <c r="M149" i="13"/>
  <c r="N149" i="13" s="1"/>
  <c r="F149" i="13"/>
  <c r="L150" i="13"/>
  <c r="C150" i="13"/>
  <c r="E150" i="13"/>
  <c r="K150" i="13"/>
  <c r="U147" i="13"/>
  <c r="Q149" i="13"/>
  <c r="D149" i="13"/>
  <c r="P151" i="8" l="1"/>
  <c r="M152" i="8"/>
  <c r="Q151" i="8"/>
  <c r="G150" i="13"/>
  <c r="H150" i="13"/>
  <c r="O149" i="13"/>
  <c r="R149" i="13" s="1"/>
  <c r="P149" i="13"/>
  <c r="S149" i="13" s="1"/>
  <c r="D150" i="13"/>
  <c r="Q150" i="13"/>
  <c r="U148" i="13"/>
  <c r="L151" i="13"/>
  <c r="C151" i="13"/>
  <c r="E151" i="13"/>
  <c r="K151" i="13"/>
  <c r="Y149" i="13"/>
  <c r="X149" i="13"/>
  <c r="M150" i="13"/>
  <c r="N150" i="13" s="1"/>
  <c r="F150" i="13"/>
  <c r="A153" i="13"/>
  <c r="B153" i="13" s="1"/>
  <c r="M153" i="8" l="1"/>
  <c r="G151" i="13"/>
  <c r="H151" i="13"/>
  <c r="O150" i="13"/>
  <c r="R150" i="13" s="1"/>
  <c r="P150" i="13"/>
  <c r="S150" i="13" s="1"/>
  <c r="Y150" i="13"/>
  <c r="X150" i="13"/>
  <c r="Q151" i="13"/>
  <c r="M151" i="13"/>
  <c r="N151" i="13" s="1"/>
  <c r="F151" i="13"/>
  <c r="U149" i="13"/>
  <c r="L152" i="13"/>
  <c r="C152" i="13"/>
  <c r="E152" i="13"/>
  <c r="K152" i="13"/>
  <c r="A154" i="13"/>
  <c r="B154" i="13" s="1"/>
  <c r="D151" i="13"/>
  <c r="M154" i="8" l="1"/>
  <c r="G152" i="13"/>
  <c r="H152" i="13"/>
  <c r="P151" i="13"/>
  <c r="S151" i="13" s="1"/>
  <c r="O151" i="13"/>
  <c r="R151" i="13" s="1"/>
  <c r="Y151" i="13"/>
  <c r="X151" i="13"/>
  <c r="Q152" i="13"/>
  <c r="A155" i="13"/>
  <c r="B155" i="13" s="1"/>
  <c r="D152" i="13"/>
  <c r="L153" i="13"/>
  <c r="C153" i="13"/>
  <c r="E153" i="13"/>
  <c r="K153" i="13"/>
  <c r="M152" i="13"/>
  <c r="N152" i="13" s="1"/>
  <c r="F152" i="13"/>
  <c r="U150" i="13"/>
  <c r="M155" i="8" l="1"/>
  <c r="G153" i="13"/>
  <c r="H153" i="13"/>
  <c r="P152" i="13"/>
  <c r="S152" i="13" s="1"/>
  <c r="O152" i="13"/>
  <c r="R152" i="13" s="1"/>
  <c r="A156" i="13"/>
  <c r="B156" i="13" s="1"/>
  <c r="Q153" i="13"/>
  <c r="M153" i="13"/>
  <c r="N153" i="13" s="1"/>
  <c r="F153" i="13"/>
  <c r="Y152" i="13"/>
  <c r="X152" i="13"/>
  <c r="D153" i="13"/>
  <c r="L154" i="13"/>
  <c r="C154" i="13"/>
  <c r="E154" i="13"/>
  <c r="K154" i="13"/>
  <c r="U151" i="13"/>
  <c r="N1" i="8" l="1"/>
  <c r="N2" i="8" s="1"/>
  <c r="N3" i="8" s="1"/>
  <c r="G154" i="13"/>
  <c r="H154" i="13"/>
  <c r="P153" i="13"/>
  <c r="S153" i="13" s="1"/>
  <c r="O153" i="13"/>
  <c r="R153" i="13" s="1"/>
  <c r="Y153" i="13"/>
  <c r="X153" i="13"/>
  <c r="M154" i="13"/>
  <c r="N154" i="13" s="1"/>
  <c r="F154" i="13"/>
  <c r="Q154" i="13"/>
  <c r="U152" i="13"/>
  <c r="L155" i="13"/>
  <c r="C155" i="13"/>
  <c r="E155" i="13"/>
  <c r="K155" i="13"/>
  <c r="A157" i="13"/>
  <c r="B157" i="13" s="1"/>
  <c r="D154" i="13"/>
  <c r="N4" i="8" l="1"/>
  <c r="G155" i="13"/>
  <c r="H155" i="13"/>
  <c r="O154" i="13"/>
  <c r="R154" i="13" s="1"/>
  <c r="P154" i="13"/>
  <c r="S154" i="13" s="1"/>
  <c r="Y154" i="13"/>
  <c r="X154" i="13"/>
  <c r="D155" i="13"/>
  <c r="L156" i="13"/>
  <c r="C156" i="13"/>
  <c r="E156" i="13"/>
  <c r="K156" i="13"/>
  <c r="Q155" i="13"/>
  <c r="U153" i="13"/>
  <c r="A158" i="13"/>
  <c r="B158" i="13" s="1"/>
  <c r="M155" i="13"/>
  <c r="N155" i="13" s="1"/>
  <c r="F155" i="13"/>
  <c r="N5" i="8" l="1"/>
  <c r="G156" i="13"/>
  <c r="H156" i="13"/>
  <c r="P155" i="13"/>
  <c r="S155" i="13" s="1"/>
  <c r="O155" i="13"/>
  <c r="R155" i="13" s="1"/>
  <c r="U154" i="13"/>
  <c r="D156" i="13"/>
  <c r="L157" i="13"/>
  <c r="C157" i="13"/>
  <c r="E157" i="13"/>
  <c r="K157" i="13"/>
  <c r="Q156" i="13"/>
  <c r="Y155" i="13"/>
  <c r="X155" i="13"/>
  <c r="A159" i="13"/>
  <c r="B159" i="13" s="1"/>
  <c r="M156" i="13"/>
  <c r="N156" i="13" s="1"/>
  <c r="F156" i="13"/>
  <c r="N6" i="8" l="1"/>
  <c r="G157" i="13"/>
  <c r="H157" i="13"/>
  <c r="P156" i="13"/>
  <c r="S156" i="13" s="1"/>
  <c r="O156" i="13"/>
  <c r="R156" i="13" s="1"/>
  <c r="A160" i="13"/>
  <c r="B160" i="13" s="1"/>
  <c r="Q157" i="13"/>
  <c r="D157" i="13"/>
  <c r="U155" i="13"/>
  <c r="L158" i="13"/>
  <c r="C158" i="13"/>
  <c r="E158" i="13"/>
  <c r="K158" i="13"/>
  <c r="Q24" i="14"/>
  <c r="M157" i="13"/>
  <c r="N157" i="13" s="1"/>
  <c r="F157" i="13"/>
  <c r="Y156" i="13"/>
  <c r="X156" i="13"/>
  <c r="N7" i="8" l="1"/>
  <c r="G158" i="13"/>
  <c r="H158" i="13"/>
  <c r="P157" i="13"/>
  <c r="S157" i="13" s="1"/>
  <c r="O157" i="13"/>
  <c r="R157" i="13" s="1"/>
  <c r="M158" i="13"/>
  <c r="N158" i="13" s="1"/>
  <c r="F158" i="13"/>
  <c r="L159" i="13"/>
  <c r="C159" i="13"/>
  <c r="E159" i="13"/>
  <c r="K159" i="13"/>
  <c r="Y157" i="13"/>
  <c r="X157" i="13"/>
  <c r="A161" i="13"/>
  <c r="B161" i="13" s="1"/>
  <c r="D158" i="13"/>
  <c r="Q158" i="13"/>
  <c r="U156" i="13"/>
  <c r="N8" i="8" l="1"/>
  <c r="G159" i="13"/>
  <c r="H159" i="13"/>
  <c r="O158" i="13"/>
  <c r="R158" i="13" s="1"/>
  <c r="P158" i="13"/>
  <c r="S158" i="13" s="1"/>
  <c r="D159" i="13"/>
  <c r="L160" i="13"/>
  <c r="C160" i="13"/>
  <c r="E160" i="13"/>
  <c r="K160" i="13"/>
  <c r="Y158" i="13"/>
  <c r="X158" i="13"/>
  <c r="A162" i="13"/>
  <c r="B162" i="13" s="1"/>
  <c r="Q159" i="13"/>
  <c r="U157" i="13"/>
  <c r="M159" i="13"/>
  <c r="N159" i="13" s="1"/>
  <c r="F159" i="13"/>
  <c r="N9" i="8" l="1"/>
  <c r="U158" i="13"/>
  <c r="G160" i="13"/>
  <c r="H160" i="13"/>
  <c r="P159" i="13"/>
  <c r="S159" i="13" s="1"/>
  <c r="O159" i="13"/>
  <c r="R159" i="13" s="1"/>
  <c r="Y159" i="13"/>
  <c r="X159" i="13"/>
  <c r="L161" i="13"/>
  <c r="C161" i="13"/>
  <c r="E161" i="13"/>
  <c r="K161" i="13"/>
  <c r="A163" i="13"/>
  <c r="B163" i="13" s="1"/>
  <c r="Q160" i="13"/>
  <c r="D160" i="13"/>
  <c r="M160" i="13"/>
  <c r="N160" i="13" s="1"/>
  <c r="F160" i="13"/>
  <c r="N10" i="8" l="1"/>
  <c r="G161" i="13"/>
  <c r="H161" i="13"/>
  <c r="P160" i="13"/>
  <c r="S160" i="13" s="1"/>
  <c r="O160" i="13"/>
  <c r="R160" i="13" s="1"/>
  <c r="Y160" i="13"/>
  <c r="X160" i="13"/>
  <c r="D161" i="13"/>
  <c r="U159" i="13"/>
  <c r="L162" i="13"/>
  <c r="C162" i="13"/>
  <c r="E162" i="13"/>
  <c r="K162" i="13"/>
  <c r="A164" i="13"/>
  <c r="B164" i="13" s="1"/>
  <c r="Q161" i="13"/>
  <c r="M161" i="13"/>
  <c r="N161" i="13" s="1"/>
  <c r="F161" i="13"/>
  <c r="N11" i="8" l="1"/>
  <c r="G162" i="13"/>
  <c r="H162" i="13"/>
  <c r="P161" i="13"/>
  <c r="S161" i="13" s="1"/>
  <c r="O161" i="13"/>
  <c r="R161" i="13" s="1"/>
  <c r="A165" i="13"/>
  <c r="B165" i="13" s="1"/>
  <c r="M162" i="13"/>
  <c r="N162" i="13" s="1"/>
  <c r="F162" i="13"/>
  <c r="D162" i="13"/>
  <c r="U160" i="13"/>
  <c r="L163" i="13"/>
  <c r="C163" i="13"/>
  <c r="E163" i="13"/>
  <c r="K163" i="13"/>
  <c r="Q162" i="13"/>
  <c r="Y161" i="13"/>
  <c r="X161" i="13"/>
  <c r="N12" i="8" l="1"/>
  <c r="G163" i="13"/>
  <c r="H163" i="13"/>
  <c r="O162" i="13"/>
  <c r="R162" i="13" s="1"/>
  <c r="P162" i="13"/>
  <c r="S162" i="13" s="1"/>
  <c r="Q163" i="13"/>
  <c r="U161" i="13" s="1"/>
  <c r="Y162" i="13"/>
  <c r="X162" i="13"/>
  <c r="A166" i="13"/>
  <c r="B166" i="13" s="1"/>
  <c r="D163" i="13"/>
  <c r="M163" i="13"/>
  <c r="N163" i="13" s="1"/>
  <c r="F163" i="13"/>
  <c r="L164" i="13"/>
  <c r="C164" i="13"/>
  <c r="E164" i="13"/>
  <c r="K164" i="13"/>
  <c r="N13" i="8" l="1"/>
  <c r="N14" i="8" s="1"/>
  <c r="G164" i="13"/>
  <c r="H164" i="13"/>
  <c r="P163" i="13"/>
  <c r="S163" i="13" s="1"/>
  <c r="O163" i="13"/>
  <c r="R163" i="13" s="1"/>
  <c r="D164" i="13"/>
  <c r="A167" i="13"/>
  <c r="B167" i="13" s="1"/>
  <c r="M164" i="13"/>
  <c r="N164" i="13" s="1"/>
  <c r="F164" i="13"/>
  <c r="L165" i="13"/>
  <c r="C165" i="13"/>
  <c r="E165" i="13"/>
  <c r="K165" i="13"/>
  <c r="Y163" i="13"/>
  <c r="X163" i="13"/>
  <c r="Q164" i="13"/>
  <c r="U162" i="13"/>
  <c r="N15" i="8" l="1"/>
  <c r="G165" i="13"/>
  <c r="H165" i="13"/>
  <c r="P164" i="13"/>
  <c r="S164" i="13" s="1"/>
  <c r="O164" i="13"/>
  <c r="R164" i="13" s="1"/>
  <c r="M165" i="13"/>
  <c r="N165" i="13" s="1"/>
  <c r="F165" i="13"/>
  <c r="D165" i="13"/>
  <c r="Y164" i="13"/>
  <c r="X164" i="13"/>
  <c r="L166" i="13"/>
  <c r="C166" i="13"/>
  <c r="E166" i="13"/>
  <c r="K166" i="13"/>
  <c r="Q165" i="13"/>
  <c r="U163" i="13" s="1"/>
  <c r="A168" i="13"/>
  <c r="B168" i="13" s="1"/>
  <c r="N16" i="8" l="1"/>
  <c r="G166" i="13"/>
  <c r="H166" i="13"/>
  <c r="P165" i="13"/>
  <c r="S165" i="13" s="1"/>
  <c r="O165" i="13"/>
  <c r="R165" i="13" s="1"/>
  <c r="M166" i="13"/>
  <c r="N166" i="13" s="1"/>
  <c r="F166" i="13"/>
  <c r="D166" i="13"/>
  <c r="U164" i="13"/>
  <c r="L167" i="13"/>
  <c r="C167" i="13"/>
  <c r="E167" i="13"/>
  <c r="K167" i="13"/>
  <c r="Q166" i="13"/>
  <c r="A169" i="13"/>
  <c r="B169" i="13" s="1"/>
  <c r="Y165" i="13"/>
  <c r="X165" i="13"/>
  <c r="N17" i="8" l="1"/>
  <c r="G167" i="13"/>
  <c r="H167" i="13"/>
  <c r="O166" i="13"/>
  <c r="R166" i="13" s="1"/>
  <c r="P166" i="13"/>
  <c r="S166" i="13" s="1"/>
  <c r="L168" i="13"/>
  <c r="C168" i="13"/>
  <c r="E168" i="13"/>
  <c r="K168" i="13"/>
  <c r="Q167" i="13"/>
  <c r="Y166" i="13"/>
  <c r="X166" i="13"/>
  <c r="D167" i="13"/>
  <c r="A170" i="13"/>
  <c r="B170" i="13" s="1"/>
  <c r="M167" i="13"/>
  <c r="N167" i="13" s="1"/>
  <c r="F167" i="13"/>
  <c r="U165" i="13"/>
  <c r="N18" i="8" l="1"/>
  <c r="G168" i="13"/>
  <c r="H168" i="13"/>
  <c r="P167" i="13"/>
  <c r="S167" i="13" s="1"/>
  <c r="O167" i="13"/>
  <c r="R167" i="13" s="1"/>
  <c r="A171" i="13"/>
  <c r="B171" i="13" s="1"/>
  <c r="U166" i="13"/>
  <c r="M168" i="13"/>
  <c r="N168" i="13" s="1"/>
  <c r="F168" i="13"/>
  <c r="L169" i="13"/>
  <c r="C169" i="13"/>
  <c r="E169" i="13"/>
  <c r="K169" i="13"/>
  <c r="D168" i="13"/>
  <c r="Y167" i="13"/>
  <c r="X167" i="13"/>
  <c r="Q168" i="13"/>
  <c r="N19" i="8" l="1"/>
  <c r="G169" i="13"/>
  <c r="H169" i="13"/>
  <c r="P168" i="13"/>
  <c r="S168" i="13" s="1"/>
  <c r="O168" i="13"/>
  <c r="R168" i="13" s="1"/>
  <c r="Y168" i="13"/>
  <c r="X168" i="13"/>
  <c r="U167" i="13"/>
  <c r="M169" i="13"/>
  <c r="N169" i="13" s="1"/>
  <c r="F169" i="13"/>
  <c r="L170" i="13"/>
  <c r="C170" i="13"/>
  <c r="E170" i="13"/>
  <c r="K170" i="13"/>
  <c r="Q169" i="13"/>
  <c r="D169" i="13"/>
  <c r="A172" i="13"/>
  <c r="B172" i="13" s="1"/>
  <c r="N20" i="8" l="1"/>
  <c r="G170" i="13"/>
  <c r="H170" i="13"/>
  <c r="P169" i="13"/>
  <c r="S169" i="13" s="1"/>
  <c r="U169" i="13" s="1"/>
  <c r="O169" i="13"/>
  <c r="R169" i="13" s="1"/>
  <c r="M170" i="13"/>
  <c r="N170" i="13" s="1"/>
  <c r="F170" i="13"/>
  <c r="L171" i="13"/>
  <c r="C171" i="13"/>
  <c r="E171" i="13"/>
  <c r="K171" i="13"/>
  <c r="Y169" i="13"/>
  <c r="X169" i="13"/>
  <c r="U168" i="13"/>
  <c r="D170" i="13"/>
  <c r="A173" i="13"/>
  <c r="B173" i="13" s="1"/>
  <c r="Q170" i="13"/>
  <c r="N21" i="8" l="1"/>
  <c r="G171" i="13"/>
  <c r="H171" i="13"/>
  <c r="O170" i="13"/>
  <c r="R170" i="13" s="1"/>
  <c r="P170" i="13"/>
  <c r="S170" i="13" s="1"/>
  <c r="A174" i="13"/>
  <c r="B174" i="13" s="1"/>
  <c r="Q171" i="13"/>
  <c r="Y170" i="13"/>
  <c r="X170" i="13"/>
  <c r="D171" i="13"/>
  <c r="L172" i="13"/>
  <c r="C172" i="13"/>
  <c r="E172" i="13"/>
  <c r="K172" i="13"/>
  <c r="M171" i="13"/>
  <c r="N171" i="13" s="1"/>
  <c r="F171" i="13"/>
  <c r="N22" i="8" l="1"/>
  <c r="G172" i="13"/>
  <c r="H172" i="13"/>
  <c r="O171" i="13"/>
  <c r="R171" i="13" s="1"/>
  <c r="P171" i="13"/>
  <c r="S171" i="13" s="1"/>
  <c r="D172" i="13"/>
  <c r="A175" i="13"/>
  <c r="B175" i="13" s="1"/>
  <c r="Y171" i="13"/>
  <c r="X171" i="13"/>
  <c r="U170" i="13"/>
  <c r="M172" i="13"/>
  <c r="N172" i="13" s="1"/>
  <c r="F172" i="13"/>
  <c r="L173" i="13"/>
  <c r="C173" i="13"/>
  <c r="E173" i="13"/>
  <c r="K173" i="13"/>
  <c r="Q172" i="13"/>
  <c r="N23" i="8" l="1"/>
  <c r="G173" i="13"/>
  <c r="H173" i="13"/>
  <c r="P172" i="13"/>
  <c r="S172" i="13" s="1"/>
  <c r="O172" i="13"/>
  <c r="R172" i="13" s="1"/>
  <c r="L174" i="13"/>
  <c r="C174" i="13"/>
  <c r="E174" i="13"/>
  <c r="K174" i="13"/>
  <c r="Y172" i="13"/>
  <c r="X172" i="13"/>
  <c r="D173" i="13"/>
  <c r="Q173" i="13"/>
  <c r="M173" i="13"/>
  <c r="N173" i="13" s="1"/>
  <c r="F173" i="13"/>
  <c r="U171" i="13"/>
  <c r="A176" i="13"/>
  <c r="B176" i="13" s="1"/>
  <c r="N24" i="8" l="1"/>
  <c r="G174" i="13"/>
  <c r="H174" i="13"/>
  <c r="O173" i="13"/>
  <c r="R173" i="13" s="1"/>
  <c r="P173" i="13"/>
  <c r="S173" i="13" s="1"/>
  <c r="Y173" i="13"/>
  <c r="X173" i="13"/>
  <c r="M174" i="13"/>
  <c r="N174" i="13" s="1"/>
  <c r="F174" i="13"/>
  <c r="U172" i="13"/>
  <c r="A177" i="13"/>
  <c r="B177" i="13" s="1"/>
  <c r="D174" i="13"/>
  <c r="L175" i="13"/>
  <c r="C175" i="13"/>
  <c r="E175" i="13"/>
  <c r="K175" i="13"/>
  <c r="Q174" i="13"/>
  <c r="N25" i="8" l="1"/>
  <c r="G175" i="13"/>
  <c r="H175" i="13"/>
  <c r="O174" i="13"/>
  <c r="R174" i="13" s="1"/>
  <c r="P174" i="13"/>
  <c r="S174" i="13" s="1"/>
  <c r="U174" i="13" s="1"/>
  <c r="L176" i="13"/>
  <c r="C176" i="13"/>
  <c r="E176" i="13"/>
  <c r="K176" i="13"/>
  <c r="Q175" i="13"/>
  <c r="Y174" i="13"/>
  <c r="X174" i="13"/>
  <c r="A178" i="13"/>
  <c r="B178" i="13" s="1"/>
  <c r="U173" i="13"/>
  <c r="M175" i="13"/>
  <c r="N175" i="13" s="1"/>
  <c r="F175" i="13"/>
  <c r="D175" i="13"/>
  <c r="N26" i="8" l="1"/>
  <c r="G176" i="13"/>
  <c r="H176" i="13"/>
  <c r="P175" i="13"/>
  <c r="S175" i="13" s="1"/>
  <c r="O175" i="13"/>
  <c r="R175" i="13" s="1"/>
  <c r="L177" i="13"/>
  <c r="C177" i="13"/>
  <c r="E177" i="13"/>
  <c r="K177" i="13"/>
  <c r="D176" i="13"/>
  <c r="M176" i="13"/>
  <c r="N176" i="13" s="1"/>
  <c r="F176" i="13"/>
  <c r="A179" i="13"/>
  <c r="B179" i="13" s="1"/>
  <c r="Y175" i="13"/>
  <c r="X175" i="13"/>
  <c r="Q176" i="13"/>
  <c r="N27" i="8" l="1"/>
  <c r="G177" i="13"/>
  <c r="H177" i="13"/>
  <c r="P176" i="13"/>
  <c r="S176" i="13" s="1"/>
  <c r="U176" i="13" s="1"/>
  <c r="O176" i="13"/>
  <c r="R176" i="13" s="1"/>
  <c r="A180" i="13"/>
  <c r="B180" i="13" s="1"/>
  <c r="L178" i="13"/>
  <c r="C178" i="13"/>
  <c r="E178" i="13"/>
  <c r="K178" i="13"/>
  <c r="Y176" i="13"/>
  <c r="X176" i="13"/>
  <c r="D177" i="13"/>
  <c r="Q177" i="13"/>
  <c r="U175" i="13"/>
  <c r="M177" i="13"/>
  <c r="N177" i="13" s="1"/>
  <c r="F177" i="13"/>
  <c r="N28" i="8" l="1"/>
  <c r="G178" i="13"/>
  <c r="H178" i="13"/>
  <c r="P177" i="13"/>
  <c r="S177" i="13" s="1"/>
  <c r="O177" i="13"/>
  <c r="R177" i="13" s="1"/>
  <c r="Y177" i="13"/>
  <c r="X177" i="13"/>
  <c r="M178" i="13"/>
  <c r="N178" i="13" s="1"/>
  <c r="F178" i="13"/>
  <c r="A181" i="13"/>
  <c r="B181" i="13" s="1"/>
  <c r="D178" i="13"/>
  <c r="Q178" i="13"/>
  <c r="L179" i="13"/>
  <c r="C179" i="13"/>
  <c r="E179" i="13"/>
  <c r="K179" i="13"/>
  <c r="N29" i="8" l="1"/>
  <c r="G179" i="13"/>
  <c r="H179" i="13"/>
  <c r="O178" i="13"/>
  <c r="R178" i="13" s="1"/>
  <c r="P178" i="13"/>
  <c r="S178" i="13" s="1"/>
  <c r="Q179" i="13"/>
  <c r="L180" i="13"/>
  <c r="C180" i="13"/>
  <c r="E180" i="13"/>
  <c r="K180" i="13"/>
  <c r="D179" i="13"/>
  <c r="Y178" i="13"/>
  <c r="X178" i="13"/>
  <c r="M179" i="13"/>
  <c r="N179" i="13" s="1"/>
  <c r="F179" i="13"/>
  <c r="A182" i="13"/>
  <c r="B182" i="13" s="1"/>
  <c r="U177" i="13"/>
  <c r="N30" i="8" l="1"/>
  <c r="G180" i="13"/>
  <c r="H180" i="13"/>
  <c r="P179" i="13"/>
  <c r="S179" i="13" s="1"/>
  <c r="O179" i="13"/>
  <c r="R179" i="13" s="1"/>
  <c r="M180" i="13"/>
  <c r="N180" i="13" s="1"/>
  <c r="F180" i="13"/>
  <c r="L181" i="13"/>
  <c r="C181" i="13"/>
  <c r="E181" i="13"/>
  <c r="K181" i="13"/>
  <c r="A183" i="13"/>
  <c r="B183" i="13" s="1"/>
  <c r="D180" i="13"/>
  <c r="Q180" i="13"/>
  <c r="U178" i="13"/>
  <c r="Y179" i="13"/>
  <c r="X179" i="13"/>
  <c r="N31" i="8" l="1"/>
  <c r="G181" i="13"/>
  <c r="H181" i="13"/>
  <c r="P180" i="13"/>
  <c r="S180" i="13" s="1"/>
  <c r="O180" i="13"/>
  <c r="R180" i="13" s="1"/>
  <c r="A184" i="13"/>
  <c r="B184" i="13" s="1"/>
  <c r="Y180" i="13"/>
  <c r="X180" i="13"/>
  <c r="M181" i="13"/>
  <c r="N181" i="13" s="1"/>
  <c r="F181" i="13"/>
  <c r="L182" i="13"/>
  <c r="C182" i="13"/>
  <c r="E182" i="13"/>
  <c r="K182" i="13"/>
  <c r="D181" i="13"/>
  <c r="Q181" i="13"/>
  <c r="U179" i="13" s="1"/>
  <c r="N32" i="8" l="1"/>
  <c r="G182" i="13"/>
  <c r="H182" i="13"/>
  <c r="P181" i="13"/>
  <c r="S181" i="13" s="1"/>
  <c r="O181" i="13"/>
  <c r="R181" i="13" s="1"/>
  <c r="Q182" i="13"/>
  <c r="M182" i="13"/>
  <c r="N182" i="13" s="1"/>
  <c r="F182" i="13"/>
  <c r="L183" i="13"/>
  <c r="C183" i="13"/>
  <c r="E183" i="13"/>
  <c r="K183" i="13"/>
  <c r="A185" i="13"/>
  <c r="B185" i="13" s="1"/>
  <c r="U180" i="13"/>
  <c r="D182" i="13"/>
  <c r="Y181" i="13"/>
  <c r="X181" i="13"/>
  <c r="N33" i="8" l="1"/>
  <c r="G183" i="13"/>
  <c r="H183" i="13"/>
  <c r="O182" i="13"/>
  <c r="R182" i="13" s="1"/>
  <c r="P182" i="13"/>
  <c r="S182" i="13" s="1"/>
  <c r="A186" i="13"/>
  <c r="B186" i="13" s="1"/>
  <c r="D183" i="13"/>
  <c r="Y182" i="13"/>
  <c r="X182" i="13"/>
  <c r="Q183" i="13"/>
  <c r="U181" i="13"/>
  <c r="L184" i="13"/>
  <c r="C184" i="13"/>
  <c r="K184" i="13"/>
  <c r="E184" i="13"/>
  <c r="M183" i="13"/>
  <c r="N183" i="13" s="1"/>
  <c r="F183" i="13"/>
  <c r="N34" i="8" l="1"/>
  <c r="G184" i="13"/>
  <c r="H184" i="13"/>
  <c r="P183" i="13"/>
  <c r="S183" i="13" s="1"/>
  <c r="O183" i="13"/>
  <c r="R183" i="13" s="1"/>
  <c r="U182" i="13"/>
  <c r="M184" i="13"/>
  <c r="N184" i="13" s="1"/>
  <c r="F184" i="13"/>
  <c r="Y183" i="13"/>
  <c r="X183" i="13"/>
  <c r="Q184" i="13"/>
  <c r="E185" i="13"/>
  <c r="L185" i="13"/>
  <c r="C185" i="13"/>
  <c r="K185" i="13"/>
  <c r="D184" i="13"/>
  <c r="A187" i="13"/>
  <c r="B187" i="13" s="1"/>
  <c r="N35" i="8" l="1"/>
  <c r="G185" i="13"/>
  <c r="H185" i="13"/>
  <c r="P184" i="13"/>
  <c r="S184" i="13" s="1"/>
  <c r="O184" i="13"/>
  <c r="R184" i="13" s="1"/>
  <c r="U183" i="13"/>
  <c r="F185" i="13"/>
  <c r="M185" i="13"/>
  <c r="N185" i="13" s="1"/>
  <c r="K186" i="13"/>
  <c r="E186" i="13"/>
  <c r="L186" i="13"/>
  <c r="C186" i="13"/>
  <c r="D185" i="13"/>
  <c r="A188" i="13"/>
  <c r="B188" i="13" s="1"/>
  <c r="X184" i="13"/>
  <c r="Y184" i="13"/>
  <c r="Q185" i="13"/>
  <c r="N36" i="8" l="1"/>
  <c r="G186" i="13"/>
  <c r="H186" i="13"/>
  <c r="P185" i="13"/>
  <c r="S185" i="13" s="1"/>
  <c r="O185" i="13"/>
  <c r="R185" i="13" s="1"/>
  <c r="A189" i="13"/>
  <c r="B189" i="13" s="1"/>
  <c r="D186" i="13"/>
  <c r="U184" i="13"/>
  <c r="Q186" i="13"/>
  <c r="K187" i="13"/>
  <c r="E187" i="13"/>
  <c r="L187" i="13"/>
  <c r="C187" i="13"/>
  <c r="X185" i="13"/>
  <c r="Y185" i="13"/>
  <c r="F186" i="13"/>
  <c r="M186" i="13"/>
  <c r="N186" i="13" s="1"/>
  <c r="N37" i="8" l="1"/>
  <c r="G187" i="13"/>
  <c r="H187" i="13"/>
  <c r="P186" i="13"/>
  <c r="S186" i="13" s="1"/>
  <c r="O186" i="13"/>
  <c r="R186" i="13" s="1"/>
  <c r="K188" i="13"/>
  <c r="E188" i="13"/>
  <c r="L188" i="13"/>
  <c r="C188" i="13"/>
  <c r="U185" i="13"/>
  <c r="D187" i="13"/>
  <c r="X186" i="13"/>
  <c r="Y186" i="13"/>
  <c r="A190" i="13"/>
  <c r="B190" i="13" s="1"/>
  <c r="F187" i="13"/>
  <c r="M187" i="13"/>
  <c r="N187" i="13" s="1"/>
  <c r="Q187" i="13"/>
  <c r="N38" i="8" l="1"/>
  <c r="N39" i="8" s="1"/>
  <c r="G188" i="13"/>
  <c r="H188" i="13"/>
  <c r="P187" i="13"/>
  <c r="S187" i="13" s="1"/>
  <c r="O187" i="13"/>
  <c r="R187" i="13" s="1"/>
  <c r="F188" i="13"/>
  <c r="M188" i="13"/>
  <c r="N188" i="13" s="1"/>
  <c r="A191" i="13"/>
  <c r="B191" i="13" s="1"/>
  <c r="U186" i="13"/>
  <c r="Q188" i="13"/>
  <c r="K189" i="13"/>
  <c r="E189" i="13"/>
  <c r="L189" i="13"/>
  <c r="C189" i="13"/>
  <c r="X187" i="13"/>
  <c r="Y187" i="13"/>
  <c r="D188" i="13"/>
  <c r="N40" i="8" l="1"/>
  <c r="G189" i="13"/>
  <c r="H189" i="13"/>
  <c r="P188" i="13"/>
  <c r="S188" i="13" s="1"/>
  <c r="O188" i="13"/>
  <c r="R188" i="13" s="1"/>
  <c r="Q189" i="13"/>
  <c r="K190" i="13"/>
  <c r="E190" i="13"/>
  <c r="L190" i="13"/>
  <c r="C190" i="13"/>
  <c r="X188" i="13"/>
  <c r="Y188" i="13"/>
  <c r="D189" i="13"/>
  <c r="U187" i="13"/>
  <c r="F189" i="13"/>
  <c r="M189" i="13"/>
  <c r="N189" i="13" s="1"/>
  <c r="A192" i="13"/>
  <c r="B192" i="13" s="1"/>
  <c r="N41" i="8" l="1"/>
  <c r="G190" i="13"/>
  <c r="H190" i="13"/>
  <c r="O189" i="13"/>
  <c r="R189" i="13" s="1"/>
  <c r="P189" i="13"/>
  <c r="S189" i="13" s="1"/>
  <c r="Q190" i="13"/>
  <c r="F190" i="13"/>
  <c r="M190" i="13"/>
  <c r="N190" i="13" s="1"/>
  <c r="A193" i="13"/>
  <c r="B193" i="13" s="1"/>
  <c r="X189" i="13"/>
  <c r="Y189" i="13"/>
  <c r="D190" i="13"/>
  <c r="U188" i="13"/>
  <c r="K191" i="13"/>
  <c r="E191" i="13"/>
  <c r="L191" i="13"/>
  <c r="C191" i="13"/>
  <c r="N42" i="8" l="1"/>
  <c r="G191" i="13"/>
  <c r="H191" i="13"/>
  <c r="O190" i="13"/>
  <c r="R190" i="13" s="1"/>
  <c r="P190" i="13"/>
  <c r="S190" i="13" s="1"/>
  <c r="K192" i="13"/>
  <c r="E192" i="13"/>
  <c r="L192" i="13"/>
  <c r="C192" i="13"/>
  <c r="F191" i="13"/>
  <c r="M191" i="13"/>
  <c r="N191" i="13" s="1"/>
  <c r="Q191" i="13"/>
  <c r="A194" i="13"/>
  <c r="B194" i="13" s="1"/>
  <c r="D191" i="13"/>
  <c r="X190" i="13"/>
  <c r="Y190" i="13"/>
  <c r="U189" i="13"/>
  <c r="N43" i="8" l="1"/>
  <c r="G192" i="13"/>
  <c r="H192" i="13"/>
  <c r="P191" i="13"/>
  <c r="S191" i="13" s="1"/>
  <c r="O191" i="13"/>
  <c r="R191" i="13" s="1"/>
  <c r="U190" i="13"/>
  <c r="F192" i="13"/>
  <c r="M192" i="13"/>
  <c r="N192" i="13" s="1"/>
  <c r="K193" i="13"/>
  <c r="E193" i="13"/>
  <c r="L193" i="13"/>
  <c r="C193" i="13"/>
  <c r="Q192" i="13"/>
  <c r="X191" i="13"/>
  <c r="Y191" i="13"/>
  <c r="A195" i="13"/>
  <c r="B195" i="13" s="1"/>
  <c r="D192" i="13"/>
  <c r="N44" i="8" l="1"/>
  <c r="G193" i="13"/>
  <c r="H193" i="13"/>
  <c r="P192" i="13"/>
  <c r="S192" i="13" s="1"/>
  <c r="O192" i="13"/>
  <c r="R192" i="13" s="1"/>
  <c r="U191" i="13"/>
  <c r="K194" i="13"/>
  <c r="E194" i="13"/>
  <c r="L194" i="13"/>
  <c r="C194" i="13"/>
  <c r="F193" i="13"/>
  <c r="M193" i="13"/>
  <c r="N193" i="13" s="1"/>
  <c r="X192" i="13"/>
  <c r="Y192" i="13"/>
  <c r="A196" i="13"/>
  <c r="B196" i="13" s="1"/>
  <c r="Q193" i="13"/>
  <c r="D193" i="13"/>
  <c r="N45" i="8" l="1"/>
  <c r="G194" i="13"/>
  <c r="H194" i="13"/>
  <c r="P193" i="13"/>
  <c r="S193" i="13" s="1"/>
  <c r="O193" i="13"/>
  <c r="R193" i="13" s="1"/>
  <c r="Q194" i="13"/>
  <c r="U192" i="13"/>
  <c r="A197" i="13"/>
  <c r="B197" i="13" s="1"/>
  <c r="D194" i="13"/>
  <c r="K195" i="13"/>
  <c r="E195" i="13"/>
  <c r="L195" i="13"/>
  <c r="C195" i="13"/>
  <c r="X193" i="13"/>
  <c r="Y193" i="13"/>
  <c r="F194" i="13"/>
  <c r="M194" i="13"/>
  <c r="N194" i="13" s="1"/>
  <c r="N46" i="8" l="1"/>
  <c r="G195" i="13"/>
  <c r="H195" i="13"/>
  <c r="O194" i="13"/>
  <c r="R194" i="13" s="1"/>
  <c r="P194" i="13"/>
  <c r="S194" i="13" s="1"/>
  <c r="F195" i="13"/>
  <c r="M195" i="13"/>
  <c r="N195" i="13" s="1"/>
  <c r="A198" i="13"/>
  <c r="B198" i="13" s="1"/>
  <c r="Q195" i="13"/>
  <c r="K196" i="13"/>
  <c r="E196" i="13"/>
  <c r="L196" i="13"/>
  <c r="C196" i="13"/>
  <c r="D195" i="13"/>
  <c r="X194" i="13"/>
  <c r="Y194" i="13"/>
  <c r="U193" i="13"/>
  <c r="N47" i="8" l="1"/>
  <c r="G196" i="13"/>
  <c r="H196" i="13"/>
  <c r="P195" i="13"/>
  <c r="S195" i="13" s="1"/>
  <c r="O195" i="13"/>
  <c r="R195" i="13" s="1"/>
  <c r="D196" i="13"/>
  <c r="A199" i="13"/>
  <c r="B199" i="13" s="1"/>
  <c r="X195" i="13"/>
  <c r="Y195" i="13"/>
  <c r="K197" i="13"/>
  <c r="E197" i="13"/>
  <c r="L197" i="13"/>
  <c r="C197" i="13"/>
  <c r="U194" i="13"/>
  <c r="F196" i="13"/>
  <c r="M196" i="13"/>
  <c r="N196" i="13" s="1"/>
  <c r="Q196" i="13"/>
  <c r="N48" i="8" l="1"/>
  <c r="P47" i="8"/>
  <c r="Q47" i="8"/>
  <c r="G197" i="13"/>
  <c r="H197" i="13"/>
  <c r="P196" i="13"/>
  <c r="S196" i="13" s="1"/>
  <c r="O196" i="13"/>
  <c r="R196" i="13" s="1"/>
  <c r="A200" i="13"/>
  <c r="B200" i="13" s="1"/>
  <c r="Q197" i="13"/>
  <c r="X196" i="13"/>
  <c r="Y196" i="13"/>
  <c r="F197" i="13"/>
  <c r="M197" i="13"/>
  <c r="N197" i="13" s="1"/>
  <c r="U195" i="13"/>
  <c r="D197" i="13"/>
  <c r="K198" i="13"/>
  <c r="E198" i="13"/>
  <c r="L198" i="13"/>
  <c r="C198" i="13"/>
  <c r="N49" i="8" l="1"/>
  <c r="G198" i="13"/>
  <c r="H198" i="13"/>
  <c r="P197" i="13"/>
  <c r="S197" i="13" s="1"/>
  <c r="O197" i="13"/>
  <c r="R197" i="13" s="1"/>
  <c r="F198" i="13"/>
  <c r="M198" i="13"/>
  <c r="N198" i="13" s="1"/>
  <c r="L199" i="13"/>
  <c r="K199" i="13"/>
  <c r="E199" i="13"/>
  <c r="C199" i="13"/>
  <c r="Q198" i="13"/>
  <c r="U196" i="13"/>
  <c r="D198" i="13"/>
  <c r="X197" i="13"/>
  <c r="Y197" i="13"/>
  <c r="A201" i="13"/>
  <c r="B201" i="13" s="1"/>
  <c r="N50" i="8" l="1"/>
  <c r="G199" i="13"/>
  <c r="H199" i="13"/>
  <c r="O198" i="13"/>
  <c r="R198" i="13" s="1"/>
  <c r="P198" i="13"/>
  <c r="S198" i="13" s="1"/>
  <c r="U197" i="13"/>
  <c r="D199" i="13"/>
  <c r="L201" i="13"/>
  <c r="C201" i="13"/>
  <c r="H201" i="13" s="1"/>
  <c r="K201" i="13"/>
  <c r="E201" i="13"/>
  <c r="L200" i="13"/>
  <c r="C200" i="13"/>
  <c r="K200" i="13"/>
  <c r="E200" i="13"/>
  <c r="F199" i="13"/>
  <c r="M199" i="13"/>
  <c r="N199" i="13" s="1"/>
  <c r="Y198" i="13"/>
  <c r="X198" i="13"/>
  <c r="Q199" i="13"/>
  <c r="N51" i="8" l="1"/>
  <c r="G200" i="13"/>
  <c r="H200" i="13"/>
  <c r="P199" i="13"/>
  <c r="S199" i="13" s="1"/>
  <c r="G201" i="13"/>
  <c r="AG2" i="13"/>
  <c r="AG3" i="13"/>
  <c r="O199" i="13"/>
  <c r="R199" i="13" s="1"/>
  <c r="U198" i="13"/>
  <c r="Q200" i="13"/>
  <c r="Q201" i="13"/>
  <c r="D200" i="13"/>
  <c r="D201" i="13"/>
  <c r="F200" i="13"/>
  <c r="M200" i="13"/>
  <c r="N200" i="13" s="1"/>
  <c r="F201" i="13"/>
  <c r="M201" i="13"/>
  <c r="N201" i="13" s="1"/>
  <c r="X199" i="13"/>
  <c r="Y199" i="13"/>
  <c r="N52" i="8" l="1"/>
  <c r="T3" i="13"/>
  <c r="T2" i="13"/>
  <c r="V150" i="13"/>
  <c r="AH3" i="13"/>
  <c r="AJ3" i="13"/>
  <c r="AI3" i="13"/>
  <c r="P201" i="13"/>
  <c r="S201" i="13" s="1"/>
  <c r="P200" i="13"/>
  <c r="S200" i="13" s="1"/>
  <c r="U200" i="13" s="1"/>
  <c r="AH2" i="13"/>
  <c r="AI2" i="13"/>
  <c r="AJ2" i="13"/>
  <c r="O201" i="13"/>
  <c r="R201" i="13" s="1"/>
  <c r="T201" i="13" s="1"/>
  <c r="O200" i="13"/>
  <c r="R200" i="13" s="1"/>
  <c r="V192" i="13"/>
  <c r="V181" i="13"/>
  <c r="W190" i="13"/>
  <c r="J190" i="13" s="1"/>
  <c r="W178" i="13"/>
  <c r="J178" i="13" s="1"/>
  <c r="V189" i="13"/>
  <c r="V178" i="13"/>
  <c r="V120" i="13"/>
  <c r="W193" i="13"/>
  <c r="J193" i="13" s="1"/>
  <c r="V140" i="13"/>
  <c r="V182" i="13"/>
  <c r="W169" i="13"/>
  <c r="J169" i="13" s="1"/>
  <c r="W43" i="13"/>
  <c r="J43" i="13" s="1"/>
  <c r="V190" i="13"/>
  <c r="W184" i="13"/>
  <c r="J184" i="13" s="1"/>
  <c r="W177" i="13"/>
  <c r="J177" i="13" s="1"/>
  <c r="V175" i="13"/>
  <c r="V144" i="13"/>
  <c r="W95" i="13"/>
  <c r="J95" i="13" s="1"/>
  <c r="W189" i="13"/>
  <c r="J189" i="13" s="1"/>
  <c r="W181" i="13"/>
  <c r="J181" i="13" s="1"/>
  <c r="V177" i="13"/>
  <c r="W147" i="13"/>
  <c r="J147" i="13" s="1"/>
  <c r="V132" i="13"/>
  <c r="V21" i="13"/>
  <c r="W73" i="13"/>
  <c r="J73" i="13" s="1"/>
  <c r="W37" i="13"/>
  <c r="J37" i="13" s="1"/>
  <c r="V111" i="13"/>
  <c r="W162" i="13"/>
  <c r="J162" i="13" s="1"/>
  <c r="W111" i="13"/>
  <c r="J111" i="13" s="1"/>
  <c r="W185" i="13"/>
  <c r="J185" i="13" s="1"/>
  <c r="V95" i="13"/>
  <c r="W141" i="13"/>
  <c r="J141" i="13" s="1"/>
  <c r="W32" i="13"/>
  <c r="J32" i="13" s="1"/>
  <c r="V185" i="13"/>
  <c r="W102" i="13"/>
  <c r="J102" i="13" s="1"/>
  <c r="V60" i="13"/>
  <c r="V32" i="13"/>
  <c r="V10" i="13"/>
  <c r="W157" i="13"/>
  <c r="J157" i="13" s="1"/>
  <c r="V157" i="13"/>
  <c r="V147" i="13"/>
  <c r="W158" i="13"/>
  <c r="J158" i="13" s="1"/>
  <c r="W132" i="13"/>
  <c r="J132" i="13" s="1"/>
  <c r="W120" i="13"/>
  <c r="J120" i="13" s="1"/>
  <c r="W175" i="13"/>
  <c r="J175" i="13" s="1"/>
  <c r="W144" i="13"/>
  <c r="J144" i="13" s="1"/>
  <c r="V102" i="13"/>
  <c r="W92" i="13"/>
  <c r="J92" i="13" s="1"/>
  <c r="V24" i="13"/>
  <c r="V68" i="13"/>
  <c r="W2" i="13"/>
  <c r="J2" i="13" s="1"/>
  <c r="V169" i="13"/>
  <c r="V126" i="13"/>
  <c r="W67" i="13"/>
  <c r="J67" i="13" s="1"/>
  <c r="V53" i="13"/>
  <c r="V36" i="13"/>
  <c r="W22" i="13"/>
  <c r="J22" i="13" s="1"/>
  <c r="V171" i="13"/>
  <c r="W150" i="13"/>
  <c r="J150" i="13" s="1"/>
  <c r="V137" i="13"/>
  <c r="W126" i="13"/>
  <c r="J126" i="13" s="1"/>
  <c r="V78" i="13"/>
  <c r="V67" i="13"/>
  <c r="V62" i="13"/>
  <c r="W53" i="13"/>
  <c r="J53" i="13" s="1"/>
  <c r="V41" i="13"/>
  <c r="W21" i="13"/>
  <c r="J21" i="13" s="1"/>
  <c r="V18" i="13"/>
  <c r="W196" i="13"/>
  <c r="J196" i="13" s="1"/>
  <c r="W87" i="13"/>
  <c r="J87" i="13" s="1"/>
  <c r="V66" i="13"/>
  <c r="W41" i="13"/>
  <c r="J41" i="13" s="1"/>
  <c r="W24" i="13"/>
  <c r="J24" i="13" s="1"/>
  <c r="W171" i="13"/>
  <c r="J171" i="13" s="1"/>
  <c r="V92" i="13"/>
  <c r="W78" i="13"/>
  <c r="J78" i="13" s="1"/>
  <c r="W68" i="13"/>
  <c r="J68" i="13" s="1"/>
  <c r="W62" i="13"/>
  <c r="J62" i="13" s="1"/>
  <c r="V46" i="13"/>
  <c r="V37" i="13"/>
  <c r="V22" i="13"/>
  <c r="W18" i="13"/>
  <c r="J18" i="13" s="1"/>
  <c r="W191" i="13"/>
  <c r="J191" i="13" s="1"/>
  <c r="V174" i="13"/>
  <c r="W122" i="13"/>
  <c r="J122" i="13" s="1"/>
  <c r="V176" i="13"/>
  <c r="W174" i="13"/>
  <c r="J174" i="13" s="1"/>
  <c r="W110" i="13"/>
  <c r="J110" i="13" s="1"/>
  <c r="V191" i="13"/>
  <c r="V49" i="13"/>
  <c r="W176" i="13"/>
  <c r="J176" i="13" s="1"/>
  <c r="V19" i="13"/>
  <c r="W74" i="13"/>
  <c r="J74" i="13" s="1"/>
  <c r="V50" i="13"/>
  <c r="V44" i="13"/>
  <c r="V145" i="13"/>
  <c r="V110" i="13"/>
  <c r="W44" i="13"/>
  <c r="J44" i="13" s="1"/>
  <c r="W6" i="13"/>
  <c r="J6" i="13" s="1"/>
  <c r="V3" i="13"/>
  <c r="I3" i="13" s="1"/>
  <c r="W154" i="13"/>
  <c r="J154" i="13" s="1"/>
  <c r="V133" i="13"/>
  <c r="V122" i="13"/>
  <c r="V106" i="13"/>
  <c r="W50" i="13"/>
  <c r="J50" i="13" s="1"/>
  <c r="W11" i="13"/>
  <c r="J11" i="13" s="1"/>
  <c r="V11" i="13"/>
  <c r="W69" i="13"/>
  <c r="J69" i="13" s="1"/>
  <c r="W49" i="13"/>
  <c r="J49" i="13" s="1"/>
  <c r="W19" i="13"/>
  <c r="J19" i="13" s="1"/>
  <c r="V7" i="13"/>
  <c r="V8" i="13"/>
  <c r="V166" i="13"/>
  <c r="V186" i="13"/>
  <c r="V104" i="13"/>
  <c r="V101" i="13"/>
  <c r="W192" i="13"/>
  <c r="J192" i="13" s="1"/>
  <c r="W161" i="13"/>
  <c r="J161" i="13" s="1"/>
  <c r="W136" i="13"/>
  <c r="J136" i="13" s="1"/>
  <c r="W101" i="13"/>
  <c r="J101" i="13" s="1"/>
  <c r="W186" i="13"/>
  <c r="J186" i="13" s="1"/>
  <c r="W166" i="13"/>
  <c r="J166" i="13" s="1"/>
  <c r="W145" i="13"/>
  <c r="J145" i="13" s="1"/>
  <c r="V83" i="13"/>
  <c r="V162" i="13"/>
  <c r="W16" i="13"/>
  <c r="J16" i="13" s="1"/>
  <c r="W119" i="13"/>
  <c r="J119" i="13" s="1"/>
  <c r="W91" i="13"/>
  <c r="J91" i="13" s="1"/>
  <c r="W89" i="13"/>
  <c r="J89" i="13" s="1"/>
  <c r="V81" i="13"/>
  <c r="V146" i="13"/>
  <c r="W130" i="13"/>
  <c r="J130" i="13" s="1"/>
  <c r="V198" i="13"/>
  <c r="V130" i="13"/>
  <c r="V119" i="13"/>
  <c r="V91" i="13"/>
  <c r="V89" i="13"/>
  <c r="W81" i="13"/>
  <c r="J81" i="13" s="1"/>
  <c r="V196" i="13"/>
  <c r="W194" i="13"/>
  <c r="J194" i="13" s="1"/>
  <c r="W183" i="13"/>
  <c r="J183" i="13" s="1"/>
  <c r="W146" i="13"/>
  <c r="J146" i="13" s="1"/>
  <c r="W107" i="13"/>
  <c r="J107" i="13" s="1"/>
  <c r="V87" i="13"/>
  <c r="W198" i="13"/>
  <c r="J198" i="13" s="1"/>
  <c r="V194" i="13"/>
  <c r="W159" i="13"/>
  <c r="J159" i="13" s="1"/>
  <c r="V129" i="13"/>
  <c r="V117" i="13"/>
  <c r="V173" i="13"/>
  <c r="W173" i="13"/>
  <c r="J173" i="13" s="1"/>
  <c r="V148" i="13"/>
  <c r="W83" i="13"/>
  <c r="J83" i="13" s="1"/>
  <c r="W197" i="13"/>
  <c r="J197" i="13" s="1"/>
  <c r="V161" i="13"/>
  <c r="V158" i="13"/>
  <c r="W117" i="13"/>
  <c r="J117" i="13" s="1"/>
  <c r="W93" i="13"/>
  <c r="J93" i="13" s="1"/>
  <c r="V197" i="13"/>
  <c r="W148" i="13"/>
  <c r="J148" i="13" s="1"/>
  <c r="V93" i="13"/>
  <c r="V85" i="13"/>
  <c r="V193" i="13"/>
  <c r="W139" i="13"/>
  <c r="J139" i="13" s="1"/>
  <c r="V54" i="13"/>
  <c r="V136" i="13"/>
  <c r="W129" i="13"/>
  <c r="J129" i="13" s="1"/>
  <c r="W135" i="13"/>
  <c r="J135" i="13" s="1"/>
  <c r="V141" i="13"/>
  <c r="V84" i="13"/>
  <c r="V63" i="13"/>
  <c r="W188" i="13"/>
  <c r="J188" i="13" s="1"/>
  <c r="V165" i="13"/>
  <c r="W164" i="13"/>
  <c r="J164" i="13" s="1"/>
  <c r="V135" i="13"/>
  <c r="W108" i="13"/>
  <c r="J108" i="13" s="1"/>
  <c r="V105" i="13"/>
  <c r="V34" i="13"/>
  <c r="W167" i="13"/>
  <c r="J167" i="13" s="1"/>
  <c r="V152" i="13"/>
  <c r="V139" i="13"/>
  <c r="V109" i="13"/>
  <c r="W105" i="13"/>
  <c r="J105" i="13" s="1"/>
  <c r="W98" i="13"/>
  <c r="J98" i="13" s="1"/>
  <c r="W54" i="13"/>
  <c r="J54" i="13" s="1"/>
  <c r="W140" i="13"/>
  <c r="J140" i="13" s="1"/>
  <c r="V116" i="13"/>
  <c r="V108" i="13"/>
  <c r="V88" i="13"/>
  <c r="W79" i="13"/>
  <c r="J79" i="13" s="1"/>
  <c r="V29" i="13"/>
  <c r="W172" i="13"/>
  <c r="J172" i="13" s="1"/>
  <c r="V172" i="13"/>
  <c r="V163" i="13"/>
  <c r="W149" i="13"/>
  <c r="J149" i="13" s="1"/>
  <c r="W143" i="13"/>
  <c r="J143" i="13" s="1"/>
  <c r="W96" i="13"/>
  <c r="J96" i="13" s="1"/>
  <c r="V90" i="13"/>
  <c r="W76" i="13"/>
  <c r="J76" i="13" s="1"/>
  <c r="W59" i="13"/>
  <c r="J59" i="13" s="1"/>
  <c r="W9" i="13"/>
  <c r="J9" i="13" s="1"/>
  <c r="W12" i="13"/>
  <c r="J12" i="13" s="1"/>
  <c r="W86" i="13"/>
  <c r="J86" i="13" s="1"/>
  <c r="W77" i="13"/>
  <c r="J77" i="13" s="1"/>
  <c r="V184" i="13"/>
  <c r="V167" i="13"/>
  <c r="W163" i="13"/>
  <c r="J163" i="13" s="1"/>
  <c r="W152" i="13"/>
  <c r="J152" i="13" s="1"/>
  <c r="V143" i="13"/>
  <c r="W137" i="13"/>
  <c r="J137" i="13" s="1"/>
  <c r="W116" i="13"/>
  <c r="J116" i="13" s="1"/>
  <c r="V103" i="13"/>
  <c r="W84" i="13"/>
  <c r="J84" i="13" s="1"/>
  <c r="W80" i="13"/>
  <c r="J80" i="13" s="1"/>
  <c r="V76" i="13"/>
  <c r="W65" i="13"/>
  <c r="J65" i="13" s="1"/>
  <c r="V61" i="13"/>
  <c r="W52" i="13"/>
  <c r="J52" i="13" s="1"/>
  <c r="W51" i="13"/>
  <c r="J51" i="13" s="1"/>
  <c r="V48" i="13"/>
  <c r="W29" i="13"/>
  <c r="J29" i="13" s="1"/>
  <c r="V25" i="13"/>
  <c r="V12" i="13"/>
  <c r="V188" i="13"/>
  <c r="W179" i="13"/>
  <c r="J179" i="13" s="1"/>
  <c r="V168" i="13"/>
  <c r="W168" i="13"/>
  <c r="J168" i="13" s="1"/>
  <c r="V149" i="13"/>
  <c r="W142" i="13"/>
  <c r="J142" i="13" s="1"/>
  <c r="W109" i="13"/>
  <c r="J109" i="13" s="1"/>
  <c r="W103" i="13"/>
  <c r="J103" i="13" s="1"/>
  <c r="V96" i="13"/>
  <c r="V86" i="13"/>
  <c r="W63" i="13"/>
  <c r="J63" i="13" s="1"/>
  <c r="V59" i="13"/>
  <c r="V57" i="13"/>
  <c r="V47" i="13"/>
  <c r="W45" i="13"/>
  <c r="J45" i="13" s="1"/>
  <c r="W27" i="13"/>
  <c r="J27" i="13" s="1"/>
  <c r="V9" i="13"/>
  <c r="V75" i="13"/>
  <c r="V65" i="13"/>
  <c r="W61" i="13"/>
  <c r="J61" i="13" s="1"/>
  <c r="W58" i="13"/>
  <c r="J58" i="13" s="1"/>
  <c r="W47" i="13"/>
  <c r="J47" i="13" s="1"/>
  <c r="V45" i="13"/>
  <c r="V42" i="13"/>
  <c r="W25" i="13"/>
  <c r="J25" i="13" s="1"/>
  <c r="V17" i="13"/>
  <c r="W156" i="13"/>
  <c r="J156" i="13" s="1"/>
  <c r="V138" i="13"/>
  <c r="W138" i="13"/>
  <c r="J138" i="13" s="1"/>
  <c r="W99" i="13"/>
  <c r="J99" i="13" s="1"/>
  <c r="W123" i="13"/>
  <c r="J123" i="13" s="1"/>
  <c r="W170" i="13"/>
  <c r="J170" i="13" s="1"/>
  <c r="V94" i="13"/>
  <c r="V170" i="13"/>
  <c r="W85" i="13"/>
  <c r="J85" i="13" s="1"/>
  <c r="W155" i="13"/>
  <c r="J155" i="13" s="1"/>
  <c r="W115" i="13"/>
  <c r="J115" i="13" s="1"/>
  <c r="W153" i="13"/>
  <c r="J153" i="13" s="1"/>
  <c r="W151" i="13"/>
  <c r="J151" i="13" s="1"/>
  <c r="W127" i="13"/>
  <c r="J127" i="13" s="1"/>
  <c r="W160" i="13"/>
  <c r="J160" i="13" s="1"/>
  <c r="W94" i="13"/>
  <c r="J94" i="13" s="1"/>
  <c r="W66" i="13"/>
  <c r="J66" i="13" s="1"/>
  <c r="V16" i="13"/>
  <c r="T195" i="13"/>
  <c r="T198" i="13"/>
  <c r="V155" i="13"/>
  <c r="V151" i="13"/>
  <c r="V99" i="13"/>
  <c r="V97" i="13"/>
  <c r="V160" i="13"/>
  <c r="V153" i="13"/>
  <c r="W131" i="13"/>
  <c r="J131" i="13" s="1"/>
  <c r="V127" i="13"/>
  <c r="V123" i="13"/>
  <c r="V115" i="13"/>
  <c r="W97" i="13"/>
  <c r="J97" i="13" s="1"/>
  <c r="V195" i="13"/>
  <c r="T8" i="13"/>
  <c r="V2" i="13"/>
  <c r="W5" i="13"/>
  <c r="J5" i="13" s="1"/>
  <c r="W8" i="13"/>
  <c r="J8" i="13" s="1"/>
  <c r="W7" i="13"/>
  <c r="J7" i="13" s="1"/>
  <c r="V4" i="13"/>
  <c r="V6" i="13"/>
  <c r="V5" i="13"/>
  <c r="W4" i="13"/>
  <c r="J4" i="13" s="1"/>
  <c r="W3" i="13"/>
  <c r="J3" i="13" s="1"/>
  <c r="T4" i="13"/>
  <c r="T9" i="13"/>
  <c r="T10" i="13"/>
  <c r="T7" i="13"/>
  <c r="T5" i="13"/>
  <c r="W10" i="13"/>
  <c r="J10" i="13" s="1"/>
  <c r="W13" i="13"/>
  <c r="J13" i="13" s="1"/>
  <c r="V13" i="13"/>
  <c r="V14" i="13"/>
  <c r="T6" i="13"/>
  <c r="T12" i="13"/>
  <c r="T11" i="13"/>
  <c r="T14" i="13"/>
  <c r="W15" i="13"/>
  <c r="J15" i="13" s="1"/>
  <c r="W14" i="13"/>
  <c r="J14" i="13" s="1"/>
  <c r="T15" i="13"/>
  <c r="T13" i="13"/>
  <c r="T16" i="13"/>
  <c r="V15" i="13"/>
  <c r="T17" i="13"/>
  <c r="W17" i="13"/>
  <c r="J17" i="13" s="1"/>
  <c r="T19" i="13"/>
  <c r="T18" i="13"/>
  <c r="T20" i="13"/>
  <c r="W20" i="13"/>
  <c r="J20" i="13" s="1"/>
  <c r="V20" i="13"/>
  <c r="T21" i="13"/>
  <c r="T25" i="13"/>
  <c r="T22" i="13"/>
  <c r="V23" i="13"/>
  <c r="W23" i="13"/>
  <c r="J23" i="13" s="1"/>
  <c r="T23" i="13"/>
  <c r="T24" i="13"/>
  <c r="W26" i="13"/>
  <c r="J26" i="13" s="1"/>
  <c r="V26" i="13"/>
  <c r="V28" i="13"/>
  <c r="V27" i="13"/>
  <c r="T26" i="13"/>
  <c r="W28" i="13"/>
  <c r="J28" i="13" s="1"/>
  <c r="T27" i="13"/>
  <c r="T28" i="13"/>
  <c r="T32" i="13"/>
  <c r="V30" i="13"/>
  <c r="T30" i="13"/>
  <c r="W30" i="13"/>
  <c r="J30" i="13" s="1"/>
  <c r="T29" i="13"/>
  <c r="W31" i="13"/>
  <c r="J31" i="13" s="1"/>
  <c r="T31" i="13"/>
  <c r="V31" i="13"/>
  <c r="T34" i="13"/>
  <c r="T36" i="13"/>
  <c r="T33" i="13"/>
  <c r="W35" i="13"/>
  <c r="J35" i="13" s="1"/>
  <c r="W33" i="13"/>
  <c r="J33" i="13" s="1"/>
  <c r="V33" i="13"/>
  <c r="V35" i="13"/>
  <c r="W34" i="13"/>
  <c r="J34" i="13" s="1"/>
  <c r="T35" i="13"/>
  <c r="W36" i="13"/>
  <c r="J36" i="13" s="1"/>
  <c r="V38" i="13"/>
  <c r="T39" i="13"/>
  <c r="W38" i="13"/>
  <c r="J38" i="13" s="1"/>
  <c r="W40" i="13"/>
  <c r="J40" i="13" s="1"/>
  <c r="T41" i="13"/>
  <c r="T37" i="13"/>
  <c r="V39" i="13"/>
  <c r="V40" i="13"/>
  <c r="W42" i="13"/>
  <c r="J42" i="13" s="1"/>
  <c r="T38" i="13"/>
  <c r="W39" i="13"/>
  <c r="J39" i="13" s="1"/>
  <c r="T42" i="13"/>
  <c r="T40" i="13"/>
  <c r="V43" i="13"/>
  <c r="T43" i="13"/>
  <c r="T46" i="13"/>
  <c r="T45" i="13"/>
  <c r="T44" i="13"/>
  <c r="W46" i="13"/>
  <c r="J46" i="13" s="1"/>
  <c r="T48" i="13"/>
  <c r="W48" i="13"/>
  <c r="J48" i="13" s="1"/>
  <c r="T51" i="13"/>
  <c r="T50" i="13"/>
  <c r="T49" i="13"/>
  <c r="T47" i="13"/>
  <c r="V51" i="13"/>
  <c r="I51" i="13" s="1"/>
  <c r="V52" i="13"/>
  <c r="V55" i="13"/>
  <c r="T55" i="13"/>
  <c r="T54" i="13"/>
  <c r="W56" i="13"/>
  <c r="J56" i="13" s="1"/>
  <c r="T56" i="13"/>
  <c r="V56" i="13"/>
  <c r="T52" i="13"/>
  <c r="W55" i="13"/>
  <c r="J55" i="13" s="1"/>
  <c r="T53" i="13"/>
  <c r="T57" i="13"/>
  <c r="W57" i="13"/>
  <c r="J57" i="13" s="1"/>
  <c r="T58" i="13"/>
  <c r="V58" i="13"/>
  <c r="T59" i="13"/>
  <c r="T61" i="13"/>
  <c r="W60" i="13"/>
  <c r="J60" i="13" s="1"/>
  <c r="T60" i="13"/>
  <c r="T63" i="13"/>
  <c r="V64" i="13"/>
  <c r="T65" i="13"/>
  <c r="W64" i="13"/>
  <c r="J64" i="13" s="1"/>
  <c r="T62" i="13"/>
  <c r="T64" i="13"/>
  <c r="T66" i="13"/>
  <c r="T70" i="13"/>
  <c r="T69" i="13"/>
  <c r="V69" i="13"/>
  <c r="V70" i="13"/>
  <c r="T67" i="13"/>
  <c r="T68" i="13"/>
  <c r="W70" i="13"/>
  <c r="J70" i="13" s="1"/>
  <c r="V72" i="13"/>
  <c r="W71" i="13"/>
  <c r="J71" i="13" s="1"/>
  <c r="V71" i="13"/>
  <c r="T72" i="13"/>
  <c r="W72" i="13"/>
  <c r="J72" i="13" s="1"/>
  <c r="T71" i="13"/>
  <c r="T73" i="13"/>
  <c r="T74" i="13"/>
  <c r="V74" i="13"/>
  <c r="V73" i="13"/>
  <c r="W75" i="13"/>
  <c r="J75" i="13" s="1"/>
  <c r="T75" i="13"/>
  <c r="V77" i="13"/>
  <c r="T76" i="13"/>
  <c r="T78" i="13"/>
  <c r="V79" i="13"/>
  <c r="T77" i="13"/>
  <c r="T80" i="13"/>
  <c r="V80" i="13"/>
  <c r="T81" i="13"/>
  <c r="T79" i="13"/>
  <c r="V82" i="13"/>
  <c r="W82" i="13"/>
  <c r="J82" i="13" s="1"/>
  <c r="T82" i="13"/>
  <c r="T84" i="13"/>
  <c r="T85" i="13"/>
  <c r="T83" i="13"/>
  <c r="T86" i="13"/>
  <c r="T88" i="13"/>
  <c r="T87" i="13"/>
  <c r="T90" i="13"/>
  <c r="W88" i="13"/>
  <c r="J88" i="13" s="1"/>
  <c r="T89" i="13"/>
  <c r="W90" i="13"/>
  <c r="J90" i="13" s="1"/>
  <c r="T93" i="13"/>
  <c r="T92" i="13"/>
  <c r="T91" i="13"/>
  <c r="T94" i="13"/>
  <c r="V98" i="13"/>
  <c r="T96" i="13"/>
  <c r="T95" i="13"/>
  <c r="T97" i="13"/>
  <c r="T98" i="13"/>
  <c r="V100" i="13"/>
  <c r="T99" i="13"/>
  <c r="T100" i="13"/>
  <c r="W100" i="13"/>
  <c r="J100" i="13" s="1"/>
  <c r="T104" i="13"/>
  <c r="W104" i="13"/>
  <c r="J104" i="13" s="1"/>
  <c r="T102" i="13"/>
  <c r="T103" i="13"/>
  <c r="T101" i="13"/>
  <c r="W106" i="13"/>
  <c r="J106" i="13" s="1"/>
  <c r="T106" i="13"/>
  <c r="T105" i="13"/>
  <c r="V107" i="13"/>
  <c r="T107" i="13"/>
  <c r="T110" i="13"/>
  <c r="T108" i="13"/>
  <c r="T109" i="13"/>
  <c r="W112" i="13"/>
  <c r="J112" i="13" s="1"/>
  <c r="V112" i="13"/>
  <c r="T111" i="13"/>
  <c r="T113" i="13"/>
  <c r="V113" i="13"/>
  <c r="T112" i="13"/>
  <c r="W113" i="13"/>
  <c r="J113" i="13" s="1"/>
  <c r="V114" i="13"/>
  <c r="W114" i="13"/>
  <c r="J114" i="13" s="1"/>
  <c r="T119" i="13"/>
  <c r="T115" i="13"/>
  <c r="T114" i="13"/>
  <c r="T117" i="13"/>
  <c r="T116" i="13"/>
  <c r="W118" i="13"/>
  <c r="J118" i="13" s="1"/>
  <c r="T120" i="13"/>
  <c r="V118" i="13"/>
  <c r="T118" i="13"/>
  <c r="T121" i="13"/>
  <c r="V121" i="13"/>
  <c r="W121" i="13"/>
  <c r="J121" i="13" s="1"/>
  <c r="T123" i="13"/>
  <c r="T122" i="13"/>
  <c r="W125" i="13"/>
  <c r="J125" i="13" s="1"/>
  <c r="V124" i="13"/>
  <c r="W124" i="13"/>
  <c r="J124" i="13" s="1"/>
  <c r="T124" i="13"/>
  <c r="T125" i="13"/>
  <c r="V125" i="13"/>
  <c r="W128" i="13"/>
  <c r="J128" i="13" s="1"/>
  <c r="T128" i="13"/>
  <c r="V128" i="13"/>
  <c r="T126" i="13"/>
  <c r="T127" i="13"/>
  <c r="T130" i="13"/>
  <c r="T129" i="13"/>
  <c r="V131" i="13"/>
  <c r="T133" i="13"/>
  <c r="T131" i="13"/>
  <c r="T135" i="13"/>
  <c r="W133" i="13"/>
  <c r="J133" i="13" s="1"/>
  <c r="T132" i="13"/>
  <c r="W134" i="13"/>
  <c r="J134" i="13" s="1"/>
  <c r="V134" i="13"/>
  <c r="T136" i="13"/>
  <c r="T134" i="13"/>
  <c r="T137" i="13"/>
  <c r="T139" i="13"/>
  <c r="T138" i="13"/>
  <c r="T140" i="13"/>
  <c r="V142" i="13"/>
  <c r="T141" i="13"/>
  <c r="T144" i="13"/>
  <c r="T142" i="13"/>
  <c r="T146" i="13"/>
  <c r="T143" i="13"/>
  <c r="T147" i="13"/>
  <c r="T145" i="13"/>
  <c r="T148" i="13"/>
  <c r="T149" i="13"/>
  <c r="T151" i="13"/>
  <c r="T150" i="13"/>
  <c r="I150" i="13" s="1"/>
  <c r="V156" i="13"/>
  <c r="T153" i="13"/>
  <c r="T154" i="13"/>
  <c r="T158" i="13"/>
  <c r="V154" i="13"/>
  <c r="T155" i="13"/>
  <c r="T152" i="13"/>
  <c r="T157" i="13"/>
  <c r="T156" i="13"/>
  <c r="T160" i="13"/>
  <c r="V159" i="13"/>
  <c r="T162" i="13"/>
  <c r="T159" i="13"/>
  <c r="T161" i="13"/>
  <c r="T163" i="13"/>
  <c r="T164" i="13"/>
  <c r="V164" i="13"/>
  <c r="T167" i="13"/>
  <c r="W165" i="13"/>
  <c r="J165" i="13" s="1"/>
  <c r="T166" i="13"/>
  <c r="T169" i="13"/>
  <c r="T165" i="13"/>
  <c r="T168" i="13"/>
  <c r="T171" i="13"/>
  <c r="T170" i="13"/>
  <c r="T174" i="13"/>
  <c r="T172" i="13"/>
  <c r="T176" i="13"/>
  <c r="T173" i="13"/>
  <c r="T177" i="13"/>
  <c r="T175" i="13"/>
  <c r="T178" i="13"/>
  <c r="V180" i="13"/>
  <c r="V179" i="13"/>
  <c r="T179" i="13"/>
  <c r="W180" i="13"/>
  <c r="J180" i="13" s="1"/>
  <c r="W182" i="13"/>
  <c r="J182" i="13" s="1"/>
  <c r="T180" i="13"/>
  <c r="T181" i="13"/>
  <c r="V183" i="13"/>
  <c r="T184" i="13"/>
  <c r="T185" i="13"/>
  <c r="W187" i="13"/>
  <c r="J187" i="13" s="1"/>
  <c r="T183" i="13"/>
  <c r="T182" i="13"/>
  <c r="T186" i="13"/>
  <c r="V187" i="13"/>
  <c r="T187" i="13"/>
  <c r="T188" i="13"/>
  <c r="T189" i="13"/>
  <c r="T190" i="13"/>
  <c r="T192" i="13"/>
  <c r="W195" i="13"/>
  <c r="J195" i="13" s="1"/>
  <c r="T191" i="13"/>
  <c r="X200" i="13"/>
  <c r="Y200" i="13"/>
  <c r="T199" i="13"/>
  <c r="V199" i="13"/>
  <c r="X201" i="13"/>
  <c r="Y201" i="13"/>
  <c r="T196" i="13"/>
  <c r="T193" i="13"/>
  <c r="T194" i="13"/>
  <c r="T197" i="13"/>
  <c r="U199" i="13"/>
  <c r="W199" i="13"/>
  <c r="N53" i="8" l="1"/>
  <c r="I2" i="13"/>
  <c r="I198" i="13"/>
  <c r="B63" i="14"/>
  <c r="E63" i="14" s="1"/>
  <c r="B70" i="14"/>
  <c r="E70" i="14" s="1"/>
  <c r="C63" i="14"/>
  <c r="F63" i="14" s="1"/>
  <c r="B66" i="14"/>
  <c r="E66" i="14" s="1"/>
  <c r="B62" i="14"/>
  <c r="E62" i="14" s="1"/>
  <c r="C69" i="14"/>
  <c r="F69" i="14" s="1"/>
  <c r="C65" i="14"/>
  <c r="F65" i="14" s="1"/>
  <c r="C61" i="14"/>
  <c r="F61" i="14" s="1"/>
  <c r="B67" i="14"/>
  <c r="E67" i="14" s="1"/>
  <c r="C70" i="14"/>
  <c r="F70" i="14" s="1"/>
  <c r="C66" i="14"/>
  <c r="F66" i="14" s="1"/>
  <c r="C62" i="14"/>
  <c r="F62" i="14" s="1"/>
  <c r="B68" i="14"/>
  <c r="E68" i="14" s="1"/>
  <c r="B64" i="14"/>
  <c r="E64" i="14" s="1"/>
  <c r="B61" i="14"/>
  <c r="E61" i="14" s="1"/>
  <c r="C67" i="14"/>
  <c r="F67" i="14" s="1"/>
  <c r="B69" i="14"/>
  <c r="E69" i="14" s="1"/>
  <c r="B65" i="14"/>
  <c r="E65" i="14" s="1"/>
  <c r="C68" i="14"/>
  <c r="F68" i="14" s="1"/>
  <c r="C64" i="14"/>
  <c r="F64" i="14" s="1"/>
  <c r="I95" i="13"/>
  <c r="I185" i="13"/>
  <c r="I157" i="13"/>
  <c r="I21" i="13"/>
  <c r="I8" i="13"/>
  <c r="AH4" i="13"/>
  <c r="I60" i="13"/>
  <c r="AK2" i="13"/>
  <c r="AK3" i="13"/>
  <c r="I192" i="13"/>
  <c r="D38" i="14"/>
  <c r="M38" i="14" s="1"/>
  <c r="I181" i="13"/>
  <c r="I144" i="13"/>
  <c r="I190" i="13"/>
  <c r="I189" i="13"/>
  <c r="I182" i="13"/>
  <c r="I178" i="13"/>
  <c r="I177" i="13"/>
  <c r="I120" i="13"/>
  <c r="I140" i="13"/>
  <c r="I132" i="13"/>
  <c r="B45" i="14"/>
  <c r="K45" i="14" s="1"/>
  <c r="B37" i="14"/>
  <c r="K37" i="14" s="1"/>
  <c r="B53" i="14"/>
  <c r="K53" i="14" s="1"/>
  <c r="B41" i="14"/>
  <c r="K41" i="14" s="1"/>
  <c r="C37" i="14"/>
  <c r="L37" i="14" s="1"/>
  <c r="B54" i="14"/>
  <c r="K54" i="14" s="1"/>
  <c r="I175" i="13"/>
  <c r="B11" i="14"/>
  <c r="B22" i="14" s="1"/>
  <c r="B34" i="14" s="1"/>
  <c r="B2" i="14"/>
  <c r="B13" i="14" s="1"/>
  <c r="C6" i="14"/>
  <c r="C17" i="14" s="1"/>
  <c r="B6" i="14"/>
  <c r="B17" i="14" s="1"/>
  <c r="B4" i="14"/>
  <c r="B15" i="14" s="1"/>
  <c r="B27" i="14" s="1"/>
  <c r="C2" i="14"/>
  <c r="C13" i="14" s="1"/>
  <c r="B10" i="14"/>
  <c r="B21" i="14" s="1"/>
  <c r="B33" i="14" s="1"/>
  <c r="B3" i="14"/>
  <c r="B14" i="14" s="1"/>
  <c r="B26" i="14" s="1"/>
  <c r="B7" i="14"/>
  <c r="B18" i="14" s="1"/>
  <c r="B30" i="14" s="1"/>
  <c r="B9" i="14"/>
  <c r="B20" i="14" s="1"/>
  <c r="B32" i="14" s="1"/>
  <c r="I111" i="13"/>
  <c r="B50" i="14"/>
  <c r="K50" i="14" s="1"/>
  <c r="AP2" i="5"/>
  <c r="AP3" i="5"/>
  <c r="AP6" i="5"/>
  <c r="AP5" i="5"/>
  <c r="AP7" i="5"/>
  <c r="AP4" i="5"/>
  <c r="I32" i="13"/>
  <c r="I10" i="13"/>
  <c r="I147" i="13"/>
  <c r="I162" i="13"/>
  <c r="I110" i="13"/>
  <c r="I166" i="13"/>
  <c r="I24" i="13"/>
  <c r="I152" i="13"/>
  <c r="I91" i="13"/>
  <c r="I19" i="13"/>
  <c r="I9" i="13"/>
  <c r="I41" i="13"/>
  <c r="I130" i="13"/>
  <c r="I78" i="13"/>
  <c r="I68" i="13"/>
  <c r="I196" i="13"/>
  <c r="W200" i="13"/>
  <c r="J200" i="13" s="1"/>
  <c r="I161" i="13"/>
  <c r="I104" i="13"/>
  <c r="I92" i="13"/>
  <c r="I44" i="13"/>
  <c r="I169" i="13"/>
  <c r="I137" i="13"/>
  <c r="I62" i="13"/>
  <c r="I102" i="13"/>
  <c r="I37" i="13"/>
  <c r="I36" i="13"/>
  <c r="I18" i="13"/>
  <c r="I22" i="13"/>
  <c r="I126" i="13"/>
  <c r="I67" i="13"/>
  <c r="I53" i="13"/>
  <c r="I66" i="13"/>
  <c r="I171" i="13"/>
  <c r="I46" i="13"/>
  <c r="I176" i="13"/>
  <c r="I174" i="13"/>
  <c r="B44" i="14"/>
  <c r="K44" i="14" s="1"/>
  <c r="B58" i="14"/>
  <c r="K58" i="14" s="1"/>
  <c r="I191" i="13"/>
  <c r="I50" i="13"/>
  <c r="I133" i="13"/>
  <c r="I49" i="13"/>
  <c r="I145" i="13"/>
  <c r="I106" i="13"/>
  <c r="B40" i="14"/>
  <c r="K40" i="14" s="1"/>
  <c r="B39" i="14"/>
  <c r="K39" i="14" s="1"/>
  <c r="B8" i="14"/>
  <c r="B19" i="14" s="1"/>
  <c r="B5" i="14"/>
  <c r="B16" i="14" s="1"/>
  <c r="B43" i="14"/>
  <c r="K43" i="14" s="1"/>
  <c r="F51" i="14"/>
  <c r="O51" i="14" s="1"/>
  <c r="I7" i="13"/>
  <c r="I122" i="13"/>
  <c r="I11" i="13"/>
  <c r="I193" i="13"/>
  <c r="I197" i="13"/>
  <c r="I146" i="13"/>
  <c r="I119" i="13"/>
  <c r="I186" i="13"/>
  <c r="I101" i="13"/>
  <c r="I83" i="13"/>
  <c r="C45" i="14"/>
  <c r="L45" i="14" s="1"/>
  <c r="C40" i="14"/>
  <c r="L40" i="14" s="1"/>
  <c r="C10" i="14"/>
  <c r="C21" i="14" s="1"/>
  <c r="C5" i="14"/>
  <c r="C16" i="14" s="1"/>
  <c r="I63" i="13"/>
  <c r="I59" i="13"/>
  <c r="I123" i="13"/>
  <c r="I85" i="13"/>
  <c r="I194" i="13"/>
  <c r="I81" i="13"/>
  <c r="I158" i="13"/>
  <c r="I87" i="13"/>
  <c r="I89" i="13"/>
  <c r="I88" i="13"/>
  <c r="I148" i="13"/>
  <c r="I172" i="13"/>
  <c r="I117" i="13"/>
  <c r="I149" i="13"/>
  <c r="I129" i="13"/>
  <c r="I96" i="13"/>
  <c r="I165" i="13"/>
  <c r="I141" i="13"/>
  <c r="I139" i="13"/>
  <c r="I54" i="13"/>
  <c r="I173" i="13"/>
  <c r="I105" i="13"/>
  <c r="I93" i="13"/>
  <c r="I84" i="13"/>
  <c r="I109" i="13"/>
  <c r="I90" i="13"/>
  <c r="I45" i="13"/>
  <c r="I25" i="13"/>
  <c r="I136" i="13"/>
  <c r="I65" i="13"/>
  <c r="I34" i="13"/>
  <c r="I168" i="13"/>
  <c r="I163" i="13"/>
  <c r="I167" i="13"/>
  <c r="I116" i="13"/>
  <c r="I76" i="13"/>
  <c r="I138" i="13"/>
  <c r="I135" i="13"/>
  <c r="I42" i="13"/>
  <c r="I12" i="13"/>
  <c r="I29" i="13"/>
  <c r="I188" i="13"/>
  <c r="I108" i="13"/>
  <c r="I103" i="13"/>
  <c r="I57" i="13"/>
  <c r="I48" i="13"/>
  <c r="I143" i="13"/>
  <c r="I86" i="13"/>
  <c r="I75" i="13"/>
  <c r="I61" i="13"/>
  <c r="I184" i="13"/>
  <c r="I47" i="13"/>
  <c r="I17" i="13"/>
  <c r="I99" i="13"/>
  <c r="I94" i="13"/>
  <c r="I155" i="13"/>
  <c r="I160" i="13"/>
  <c r="I195" i="13"/>
  <c r="I170" i="13"/>
  <c r="I127" i="13"/>
  <c r="I97" i="13"/>
  <c r="I16" i="13"/>
  <c r="I153" i="13"/>
  <c r="I151" i="13"/>
  <c r="I115" i="13"/>
  <c r="J199" i="13"/>
  <c r="I58" i="13"/>
  <c r="I26" i="13"/>
  <c r="V201" i="13"/>
  <c r="I201" i="13" s="1"/>
  <c r="I55" i="13"/>
  <c r="I40" i="13"/>
  <c r="I33" i="13"/>
  <c r="I30" i="13"/>
  <c r="I15" i="13"/>
  <c r="I73" i="13"/>
  <c r="I159" i="13"/>
  <c r="I23" i="13"/>
  <c r="I20" i="13"/>
  <c r="I187" i="13"/>
  <c r="I131" i="13"/>
  <c r="I124" i="13"/>
  <c r="I118" i="13"/>
  <c r="I179" i="13"/>
  <c r="I134" i="13"/>
  <c r="I128" i="13"/>
  <c r="I121" i="13"/>
  <c r="I114" i="13"/>
  <c r="I107" i="13"/>
  <c r="I100" i="13"/>
  <c r="I79" i="13"/>
  <c r="I69" i="13"/>
  <c r="I64" i="13"/>
  <c r="I43" i="13"/>
  <c r="I31" i="13"/>
  <c r="I27" i="13"/>
  <c r="I6" i="13"/>
  <c r="I14" i="13"/>
  <c r="I180" i="13"/>
  <c r="I164" i="13"/>
  <c r="I154" i="13"/>
  <c r="I156" i="13"/>
  <c r="I142" i="13"/>
  <c r="I98" i="13"/>
  <c r="I80" i="13"/>
  <c r="I71" i="13"/>
  <c r="I56" i="13"/>
  <c r="I38" i="13"/>
  <c r="I35" i="13"/>
  <c r="I28" i="13"/>
  <c r="I13" i="13"/>
  <c r="I4" i="13"/>
  <c r="I56" i="14"/>
  <c r="R56" i="14" s="1"/>
  <c r="E58" i="14"/>
  <c r="N58" i="14" s="1"/>
  <c r="G45" i="14"/>
  <c r="P45" i="14" s="1"/>
  <c r="D40" i="14"/>
  <c r="M40" i="14" s="1"/>
  <c r="G44" i="14"/>
  <c r="P44" i="14" s="1"/>
  <c r="C58" i="14"/>
  <c r="L58" i="14" s="1"/>
  <c r="F52" i="14"/>
  <c r="O52" i="14" s="1"/>
  <c r="I45" i="14"/>
  <c r="R45" i="14" s="1"/>
  <c r="H54" i="14"/>
  <c r="Q54" i="14" s="1"/>
  <c r="C57" i="14"/>
  <c r="L57" i="14" s="1"/>
  <c r="E42" i="14"/>
  <c r="N42" i="14" s="1"/>
  <c r="F53" i="14"/>
  <c r="O53" i="14" s="1"/>
  <c r="C55" i="14"/>
  <c r="L55" i="14" s="1"/>
  <c r="G54" i="14"/>
  <c r="P54" i="14" s="1"/>
  <c r="E45" i="14"/>
  <c r="N45" i="14" s="1"/>
  <c r="F38" i="14"/>
  <c r="O38" i="14" s="1"/>
  <c r="G49" i="14"/>
  <c r="P49" i="14" s="1"/>
  <c r="G52" i="14"/>
  <c r="P52" i="14" s="1"/>
  <c r="G50" i="14"/>
  <c r="P50" i="14" s="1"/>
  <c r="F46" i="14"/>
  <c r="O46" i="14" s="1"/>
  <c r="E51" i="14"/>
  <c r="N51" i="14" s="1"/>
  <c r="H46" i="14"/>
  <c r="Q46" i="14" s="1"/>
  <c r="E39" i="14"/>
  <c r="N39" i="14" s="1"/>
  <c r="H52" i="14"/>
  <c r="Q52" i="14" s="1"/>
  <c r="E57" i="14"/>
  <c r="N57" i="14" s="1"/>
  <c r="G43" i="14"/>
  <c r="P43" i="14" s="1"/>
  <c r="F49" i="14"/>
  <c r="O49" i="14" s="1"/>
  <c r="I52" i="14"/>
  <c r="R52" i="14" s="1"/>
  <c r="I37" i="14"/>
  <c r="R37" i="14" s="1"/>
  <c r="E53" i="14"/>
  <c r="N53" i="14" s="1"/>
  <c r="E38" i="14"/>
  <c r="N38" i="14" s="1"/>
  <c r="C39" i="14"/>
  <c r="L39" i="14" s="1"/>
  <c r="B42" i="14"/>
  <c r="K42" i="14" s="1"/>
  <c r="H53" i="14"/>
  <c r="Q53" i="14" s="1"/>
  <c r="D49" i="14"/>
  <c r="M49" i="14" s="1"/>
  <c r="G40" i="14"/>
  <c r="P40" i="14" s="1"/>
  <c r="D58" i="14"/>
  <c r="M58" i="14" s="1"/>
  <c r="D52" i="14"/>
  <c r="M52" i="14" s="1"/>
  <c r="F41" i="14"/>
  <c r="O41" i="14" s="1"/>
  <c r="H41" i="14"/>
  <c r="Q41" i="14" s="1"/>
  <c r="I39" i="14"/>
  <c r="R39" i="14" s="1"/>
  <c r="F50" i="14"/>
  <c r="O50" i="14" s="1"/>
  <c r="E41" i="14"/>
  <c r="N41" i="14" s="1"/>
  <c r="C54" i="14"/>
  <c r="L54" i="14" s="1"/>
  <c r="G58" i="14"/>
  <c r="P58" i="14" s="1"/>
  <c r="D51" i="14"/>
  <c r="M51" i="14" s="1"/>
  <c r="F40" i="14"/>
  <c r="O40" i="14" s="1"/>
  <c r="H51" i="14"/>
  <c r="Q51" i="14" s="1"/>
  <c r="D55" i="14"/>
  <c r="M55" i="14" s="1"/>
  <c r="B55" i="14"/>
  <c r="K55" i="14" s="1"/>
  <c r="D39" i="14"/>
  <c r="M39" i="14" s="1"/>
  <c r="I38" i="14"/>
  <c r="R38" i="14" s="1"/>
  <c r="F42" i="14"/>
  <c r="O42" i="14" s="1"/>
  <c r="G42" i="14"/>
  <c r="P42" i="14" s="1"/>
  <c r="I54" i="14"/>
  <c r="R54" i="14" s="1"/>
  <c r="E49" i="14"/>
  <c r="N49" i="14" s="1"/>
  <c r="E55" i="14"/>
  <c r="N55" i="14" s="1"/>
  <c r="D44" i="14"/>
  <c r="M44" i="14" s="1"/>
  <c r="G57" i="14"/>
  <c r="P57" i="14" s="1"/>
  <c r="E46" i="14"/>
  <c r="N46" i="14" s="1"/>
  <c r="G41" i="14"/>
  <c r="P41" i="14" s="1"/>
  <c r="I43" i="14"/>
  <c r="R43" i="14" s="1"/>
  <c r="E50" i="14"/>
  <c r="N50" i="14" s="1"/>
  <c r="H39" i="14"/>
  <c r="Q39" i="14" s="1"/>
  <c r="E52" i="14"/>
  <c r="N52" i="14" s="1"/>
  <c r="F57" i="14"/>
  <c r="O57" i="14" s="1"/>
  <c r="D45" i="14"/>
  <c r="M45" i="14" s="1"/>
  <c r="H56" i="14"/>
  <c r="Q56" i="14" s="1"/>
  <c r="G53" i="14"/>
  <c r="P53" i="14" s="1"/>
  <c r="H38" i="14"/>
  <c r="Q38" i="14" s="1"/>
  <c r="H49" i="14"/>
  <c r="Q49" i="14" s="1"/>
  <c r="C56" i="14"/>
  <c r="L56" i="14" s="1"/>
  <c r="I49" i="14"/>
  <c r="R49" i="14" s="1"/>
  <c r="I55" i="14"/>
  <c r="R55" i="14" s="1"/>
  <c r="H42" i="14"/>
  <c r="Q42" i="14" s="1"/>
  <c r="I53" i="14"/>
  <c r="R53" i="14" s="1"/>
  <c r="G55" i="14"/>
  <c r="P55" i="14" s="1"/>
  <c r="C49" i="14"/>
  <c r="L49" i="14" s="1"/>
  <c r="F56" i="14"/>
  <c r="O56" i="14" s="1"/>
  <c r="I58" i="14"/>
  <c r="R58" i="14" s="1"/>
  <c r="I57" i="14"/>
  <c r="R57" i="14" s="1"/>
  <c r="E44" i="14"/>
  <c r="N44" i="14" s="1"/>
  <c r="G46" i="14"/>
  <c r="P46" i="14" s="1"/>
  <c r="I41" i="14"/>
  <c r="R41" i="14" s="1"/>
  <c r="H57" i="14"/>
  <c r="Q57" i="14" s="1"/>
  <c r="C41" i="14"/>
  <c r="L41" i="14" s="1"/>
  <c r="I51" i="14"/>
  <c r="R51" i="14" s="1"/>
  <c r="H44" i="14"/>
  <c r="Q44" i="14" s="1"/>
  <c r="E54" i="14"/>
  <c r="N54" i="14" s="1"/>
  <c r="E56" i="14"/>
  <c r="N56" i="14" s="1"/>
  <c r="F55" i="14"/>
  <c r="O55" i="14" s="1"/>
  <c r="E40" i="14"/>
  <c r="N40" i="14" s="1"/>
  <c r="G39" i="14"/>
  <c r="P39" i="14" s="1"/>
  <c r="H55" i="14"/>
  <c r="Q55" i="14" s="1"/>
  <c r="I40" i="14"/>
  <c r="R40" i="14" s="1"/>
  <c r="C43" i="14"/>
  <c r="L43" i="14" s="1"/>
  <c r="C52" i="14"/>
  <c r="L52" i="14" s="1"/>
  <c r="G38" i="14"/>
  <c r="P38" i="14" s="1"/>
  <c r="H40" i="14"/>
  <c r="Q40" i="14" s="1"/>
  <c r="I44" i="14"/>
  <c r="R44" i="14" s="1"/>
  <c r="H50" i="14"/>
  <c r="Q50" i="14" s="1"/>
  <c r="D57" i="14"/>
  <c r="M57" i="14" s="1"/>
  <c r="B51" i="14"/>
  <c r="K51" i="14" s="1"/>
  <c r="E43" i="14"/>
  <c r="N43" i="14" s="1"/>
  <c r="D53" i="14"/>
  <c r="M53" i="14" s="1"/>
  <c r="I46" i="14"/>
  <c r="R46" i="14" s="1"/>
  <c r="F44" i="14"/>
  <c r="O44" i="14" s="1"/>
  <c r="G56" i="14"/>
  <c r="P56" i="14" s="1"/>
  <c r="H58" i="14"/>
  <c r="Q58" i="14" s="1"/>
  <c r="F43" i="14"/>
  <c r="O43" i="14" s="1"/>
  <c r="F39" i="14"/>
  <c r="O39" i="14" s="1"/>
  <c r="H37" i="14"/>
  <c r="Q37" i="14" s="1"/>
  <c r="H43" i="14"/>
  <c r="Q43" i="14" s="1"/>
  <c r="D41" i="14"/>
  <c r="M41" i="14" s="1"/>
  <c r="D54" i="14"/>
  <c r="M54" i="14" s="1"/>
  <c r="D50" i="14"/>
  <c r="M50" i="14" s="1"/>
  <c r="E37" i="14"/>
  <c r="N37" i="14" s="1"/>
  <c r="F45" i="14"/>
  <c r="O45" i="14" s="1"/>
  <c r="G37" i="14"/>
  <c r="P37" i="14" s="1"/>
  <c r="C53" i="14"/>
  <c r="L53" i="14" s="1"/>
  <c r="G51" i="14"/>
  <c r="P51" i="14" s="1"/>
  <c r="H45" i="14"/>
  <c r="Q45" i="14" s="1"/>
  <c r="D56" i="14"/>
  <c r="M56" i="14" s="1"/>
  <c r="I50" i="14"/>
  <c r="R50" i="14" s="1"/>
  <c r="I42" i="14"/>
  <c r="R42" i="14" s="1"/>
  <c r="F37" i="14"/>
  <c r="O37" i="14" s="1"/>
  <c r="F58" i="14"/>
  <c r="O58" i="14" s="1"/>
  <c r="F54" i="14"/>
  <c r="O54" i="14" s="1"/>
  <c r="D46" i="14"/>
  <c r="M46" i="14" s="1"/>
  <c r="C46" i="14"/>
  <c r="L46" i="14" s="1"/>
  <c r="C51" i="14"/>
  <c r="L51" i="14" s="1"/>
  <c r="C42" i="14"/>
  <c r="L42" i="14" s="1"/>
  <c r="B52" i="14"/>
  <c r="K52" i="14" s="1"/>
  <c r="B38" i="14"/>
  <c r="K38" i="14" s="1"/>
  <c r="D42" i="14"/>
  <c r="M42" i="14" s="1"/>
  <c r="C50" i="14"/>
  <c r="L50" i="14" s="1"/>
  <c r="D37" i="14"/>
  <c r="M37" i="14" s="1"/>
  <c r="C38" i="14"/>
  <c r="L38" i="14" s="1"/>
  <c r="C44" i="14"/>
  <c r="L44" i="14" s="1"/>
  <c r="D43" i="14"/>
  <c r="M43" i="14" s="1"/>
  <c r="B49" i="14"/>
  <c r="K49" i="14" s="1"/>
  <c r="B57" i="14"/>
  <c r="K57" i="14" s="1"/>
  <c r="B46" i="14"/>
  <c r="K46" i="14" s="1"/>
  <c r="B56" i="14"/>
  <c r="K56" i="14" s="1"/>
  <c r="U201" i="13"/>
  <c r="W201" i="13"/>
  <c r="I199" i="13"/>
  <c r="I183" i="13"/>
  <c r="I112" i="13"/>
  <c r="I82" i="13"/>
  <c r="K11" i="14"/>
  <c r="K22" i="14" s="1"/>
  <c r="D11" i="14"/>
  <c r="D22" i="14" s="1"/>
  <c r="F7" i="14"/>
  <c r="F18" i="14" s="1"/>
  <c r="H5" i="14"/>
  <c r="H16" i="14" s="1"/>
  <c r="G4" i="14"/>
  <c r="G15" i="14" s="1"/>
  <c r="I3" i="14"/>
  <c r="I14" i="14" s="1"/>
  <c r="H10" i="14"/>
  <c r="H21" i="14" s="1"/>
  <c r="J7" i="14"/>
  <c r="J18" i="14" s="1"/>
  <c r="I8" i="14"/>
  <c r="I19" i="14" s="1"/>
  <c r="I2" i="14"/>
  <c r="I13" i="14" s="1"/>
  <c r="J8" i="14"/>
  <c r="J19" i="14" s="1"/>
  <c r="D7" i="14"/>
  <c r="D18" i="14" s="1"/>
  <c r="K9" i="14"/>
  <c r="K20" i="14" s="1"/>
  <c r="D5" i="14"/>
  <c r="D16" i="14" s="1"/>
  <c r="F4" i="14"/>
  <c r="F15" i="14" s="1"/>
  <c r="H7" i="14"/>
  <c r="H18" i="14" s="1"/>
  <c r="E7" i="14"/>
  <c r="E18" i="14" s="1"/>
  <c r="D8" i="14"/>
  <c r="D19" i="14" s="1"/>
  <c r="E6" i="14"/>
  <c r="E17" i="14" s="1"/>
  <c r="C9" i="14"/>
  <c r="C20" i="14" s="1"/>
  <c r="E5" i="14"/>
  <c r="E16" i="14" s="1"/>
  <c r="K3" i="14"/>
  <c r="K14" i="14" s="1"/>
  <c r="F9" i="14"/>
  <c r="F20" i="14" s="1"/>
  <c r="K7" i="14"/>
  <c r="K18" i="14" s="1"/>
  <c r="G8" i="14"/>
  <c r="G19" i="14" s="1"/>
  <c r="J4" i="14"/>
  <c r="J15" i="14" s="1"/>
  <c r="F10" i="14"/>
  <c r="F21" i="14" s="1"/>
  <c r="J6" i="14"/>
  <c r="J17" i="14" s="1"/>
  <c r="G3" i="14"/>
  <c r="G14" i="14" s="1"/>
  <c r="F6" i="14"/>
  <c r="F17" i="14" s="1"/>
  <c r="F2" i="14"/>
  <c r="F13" i="14" s="1"/>
  <c r="K4" i="14"/>
  <c r="K15" i="14" s="1"/>
  <c r="K10" i="14"/>
  <c r="K21" i="14" s="1"/>
  <c r="I9" i="14"/>
  <c r="I20" i="14" s="1"/>
  <c r="D10" i="14"/>
  <c r="D21" i="14" s="1"/>
  <c r="H2" i="14"/>
  <c r="H13" i="14" s="1"/>
  <c r="F5" i="14"/>
  <c r="F16" i="14" s="1"/>
  <c r="E8" i="14"/>
  <c r="E19" i="14" s="1"/>
  <c r="G5" i="14"/>
  <c r="G16" i="14" s="1"/>
  <c r="I11" i="14"/>
  <c r="I22" i="14" s="1"/>
  <c r="D3" i="14"/>
  <c r="D14" i="14" s="1"/>
  <c r="E2" i="14"/>
  <c r="E13" i="14" s="1"/>
  <c r="H9" i="14"/>
  <c r="H20" i="14" s="1"/>
  <c r="J10" i="14"/>
  <c r="J21" i="14" s="1"/>
  <c r="C8" i="14"/>
  <c r="C19" i="14" s="1"/>
  <c r="K8" i="14"/>
  <c r="K19" i="14" s="1"/>
  <c r="H8" i="14"/>
  <c r="H19" i="14" s="1"/>
  <c r="G10" i="14"/>
  <c r="G21" i="14" s="1"/>
  <c r="K6" i="14"/>
  <c r="K17" i="14" s="1"/>
  <c r="I10" i="14"/>
  <c r="I21" i="14" s="1"/>
  <c r="I5" i="14"/>
  <c r="I16" i="14" s="1"/>
  <c r="I4" i="14"/>
  <c r="I15" i="14" s="1"/>
  <c r="H11" i="14"/>
  <c r="H22" i="14" s="1"/>
  <c r="J3" i="14"/>
  <c r="J14" i="14" s="1"/>
  <c r="J11" i="14"/>
  <c r="J22" i="14" s="1"/>
  <c r="H6" i="14"/>
  <c r="H17" i="14" s="1"/>
  <c r="G2" i="14"/>
  <c r="G13" i="14" s="1"/>
  <c r="F11" i="14"/>
  <c r="F22" i="14" s="1"/>
  <c r="L6" i="14"/>
  <c r="L17" i="14" s="1"/>
  <c r="L5" i="14"/>
  <c r="L16" i="14" s="1"/>
  <c r="I7" i="14"/>
  <c r="I18" i="14" s="1"/>
  <c r="J5" i="14"/>
  <c r="J16" i="14" s="1"/>
  <c r="D6" i="14"/>
  <c r="D17" i="14" s="1"/>
  <c r="K5" i="14"/>
  <c r="K16" i="14" s="1"/>
  <c r="D9" i="14"/>
  <c r="D20" i="14" s="1"/>
  <c r="E3" i="14"/>
  <c r="E14" i="14" s="1"/>
  <c r="E10" i="14"/>
  <c r="E21" i="14" s="1"/>
  <c r="E11" i="14"/>
  <c r="E22" i="14" s="1"/>
  <c r="G7" i="14"/>
  <c r="G18" i="14" s="1"/>
  <c r="I6" i="14"/>
  <c r="I17" i="14" s="1"/>
  <c r="G6" i="14"/>
  <c r="G17" i="14" s="1"/>
  <c r="J2" i="14"/>
  <c r="J13" i="14" s="1"/>
  <c r="E4" i="14"/>
  <c r="E15" i="14" s="1"/>
  <c r="D2" i="14"/>
  <c r="D13" i="14" s="1"/>
  <c r="G9" i="14"/>
  <c r="G20" i="14" s="1"/>
  <c r="C11" i="14"/>
  <c r="C22" i="14" s="1"/>
  <c r="L10" i="14"/>
  <c r="L21" i="14" s="1"/>
  <c r="F3" i="14"/>
  <c r="F14" i="14" s="1"/>
  <c r="J9" i="14"/>
  <c r="J20" i="14" s="1"/>
  <c r="D4" i="14"/>
  <c r="D15" i="14" s="1"/>
  <c r="M11" i="14"/>
  <c r="M22" i="14" s="1"/>
  <c r="L9" i="14"/>
  <c r="L20" i="14" s="1"/>
  <c r="C4" i="14"/>
  <c r="C15" i="14" s="1"/>
  <c r="G11" i="14"/>
  <c r="G22" i="14" s="1"/>
  <c r="L7" i="14"/>
  <c r="L18" i="14" s="1"/>
  <c r="F8" i="14"/>
  <c r="F19" i="14" s="1"/>
  <c r="H4" i="14"/>
  <c r="H15" i="14" s="1"/>
  <c r="E9" i="14"/>
  <c r="E20" i="14" s="1"/>
  <c r="M5" i="14"/>
  <c r="M16" i="14" s="1"/>
  <c r="M6" i="14"/>
  <c r="M17" i="14" s="1"/>
  <c r="L8" i="14"/>
  <c r="L19" i="14" s="1"/>
  <c r="K2" i="14"/>
  <c r="K13" i="14" s="1"/>
  <c r="C3" i="14"/>
  <c r="C14" i="14" s="1"/>
  <c r="H3" i="14"/>
  <c r="H14" i="14" s="1"/>
  <c r="L2" i="14"/>
  <c r="L13" i="14" s="1"/>
  <c r="M10" i="14"/>
  <c r="M21" i="14" s="1"/>
  <c r="M3" i="14"/>
  <c r="M14" i="14" s="1"/>
  <c r="N9" i="14"/>
  <c r="N20" i="14" s="1"/>
  <c r="M2" i="14"/>
  <c r="M13" i="14" s="1"/>
  <c r="L4" i="14"/>
  <c r="L15" i="14" s="1"/>
  <c r="C7" i="14"/>
  <c r="C18" i="14" s="1"/>
  <c r="M4" i="14"/>
  <c r="M15" i="14" s="1"/>
  <c r="M7" i="14"/>
  <c r="M18" i="14" s="1"/>
  <c r="N6" i="14"/>
  <c r="N17" i="14" s="1"/>
  <c r="L11" i="14"/>
  <c r="L22" i="14" s="1"/>
  <c r="O11" i="14"/>
  <c r="O22" i="14" s="1"/>
  <c r="N8" i="14"/>
  <c r="N19" i="14" s="1"/>
  <c r="M9" i="14"/>
  <c r="M20" i="14" s="1"/>
  <c r="L3" i="14"/>
  <c r="L14" i="14" s="1"/>
  <c r="M8" i="14"/>
  <c r="M19" i="14" s="1"/>
  <c r="N7" i="14"/>
  <c r="N18" i="14" s="1"/>
  <c r="N10" i="14"/>
  <c r="N21" i="14" s="1"/>
  <c r="N4" i="14"/>
  <c r="N15" i="14" s="1"/>
  <c r="N11" i="14"/>
  <c r="N22" i="14" s="1"/>
  <c r="N3" i="14"/>
  <c r="N14" i="14" s="1"/>
  <c r="O9" i="14"/>
  <c r="O20" i="14" s="1"/>
  <c r="O8" i="14"/>
  <c r="O19" i="14" s="1"/>
  <c r="O6" i="14"/>
  <c r="O17" i="14" s="1"/>
  <c r="P5" i="14"/>
  <c r="P16" i="14" s="1"/>
  <c r="P7" i="14"/>
  <c r="P18" i="14" s="1"/>
  <c r="O7" i="14"/>
  <c r="O18" i="14" s="1"/>
  <c r="O5" i="14"/>
  <c r="O16" i="14" s="1"/>
  <c r="O4" i="14"/>
  <c r="O15" i="14" s="1"/>
  <c r="N5" i="14"/>
  <c r="N16" i="14" s="1"/>
  <c r="P4" i="14"/>
  <c r="P15" i="14" s="1"/>
  <c r="P3" i="14"/>
  <c r="P14" i="14" s="1"/>
  <c r="N2" i="14"/>
  <c r="N13" i="14" s="1"/>
  <c r="O10" i="14"/>
  <c r="O21" i="14" s="1"/>
  <c r="P2" i="14"/>
  <c r="P13" i="14" s="1"/>
  <c r="O3" i="14"/>
  <c r="O14" i="14" s="1"/>
  <c r="O2" i="14"/>
  <c r="O13" i="14" s="1"/>
  <c r="Q6" i="14"/>
  <c r="Q17" i="14" s="1"/>
  <c r="P9" i="14"/>
  <c r="P20" i="14" s="1"/>
  <c r="Q8" i="14"/>
  <c r="Q19" i="14" s="1"/>
  <c r="P8" i="14"/>
  <c r="P19" i="14" s="1"/>
  <c r="Q7" i="14"/>
  <c r="Q18" i="14" s="1"/>
  <c r="P11" i="14"/>
  <c r="P22" i="14" s="1"/>
  <c r="Q11" i="14"/>
  <c r="Q22" i="14" s="1"/>
  <c r="P10" i="14"/>
  <c r="P21" i="14" s="1"/>
  <c r="Q2" i="14"/>
  <c r="Q13" i="14" s="1"/>
  <c r="Q9" i="14"/>
  <c r="Q20" i="14" s="1"/>
  <c r="Q4" i="14"/>
  <c r="Q15" i="14" s="1"/>
  <c r="Q10" i="14"/>
  <c r="Q21" i="14" s="1"/>
  <c r="Q5" i="14"/>
  <c r="Q16" i="14" s="1"/>
  <c r="P6" i="14"/>
  <c r="P17" i="14" s="1"/>
  <c r="Q3" i="14"/>
  <c r="Q14" i="14" s="1"/>
  <c r="T200" i="13"/>
  <c r="V200" i="13"/>
  <c r="I125" i="13"/>
  <c r="I113" i="13"/>
  <c r="I77" i="13"/>
  <c r="I74" i="13"/>
  <c r="I72" i="13"/>
  <c r="I70" i="13"/>
  <c r="I52" i="13"/>
  <c r="I39" i="13"/>
  <c r="I5" i="13"/>
  <c r="N54" i="8" l="1"/>
  <c r="B28" i="14"/>
  <c r="H28" i="14"/>
  <c r="AK4" i="13"/>
  <c r="AL3" i="13" s="1"/>
  <c r="C28" i="14"/>
  <c r="C33" i="14"/>
  <c r="B29" i="14"/>
  <c r="C29" i="14"/>
  <c r="C25" i="14"/>
  <c r="B25" i="14"/>
  <c r="AQ6" i="5"/>
  <c r="AR6" i="5"/>
  <c r="AR4" i="5"/>
  <c r="AQ4" i="5"/>
  <c r="AR3" i="5"/>
  <c r="AQ3" i="5"/>
  <c r="AR7" i="5"/>
  <c r="AQ7" i="5"/>
  <c r="AQ2" i="5"/>
  <c r="AR2" i="5"/>
  <c r="AQ5" i="5"/>
  <c r="AR5" i="5"/>
  <c r="B31" i="14"/>
  <c r="O31" i="14"/>
  <c r="F33" i="14"/>
  <c r="O25" i="14"/>
  <c r="P25" i="14"/>
  <c r="Q25" i="14"/>
  <c r="K25" i="14"/>
  <c r="N25" i="14"/>
  <c r="D25" i="14"/>
  <c r="E25" i="14"/>
  <c r="F25" i="14"/>
  <c r="G25" i="14"/>
  <c r="H25" i="14"/>
  <c r="I25" i="14"/>
  <c r="J25" i="14"/>
  <c r="L25" i="14"/>
  <c r="M25" i="14"/>
  <c r="E28" i="14"/>
  <c r="D28" i="14"/>
  <c r="Q28" i="14"/>
  <c r="O28" i="14"/>
  <c r="I28" i="14"/>
  <c r="F28" i="14"/>
  <c r="G28" i="14"/>
  <c r="M28" i="14"/>
  <c r="J28" i="14"/>
  <c r="K28" i="14"/>
  <c r="L28" i="14"/>
  <c r="N28" i="14"/>
  <c r="P28" i="14"/>
  <c r="P33" i="14"/>
  <c r="L33" i="14"/>
  <c r="E33" i="14"/>
  <c r="E30" i="14"/>
  <c r="C30" i="14"/>
  <c r="D30" i="14"/>
  <c r="Q30" i="14"/>
  <c r="O30" i="14"/>
  <c r="I30" i="14"/>
  <c r="F30" i="14"/>
  <c r="G30" i="14"/>
  <c r="H30" i="14"/>
  <c r="M30" i="14"/>
  <c r="J30" i="14"/>
  <c r="K30" i="14"/>
  <c r="L30" i="14"/>
  <c r="N30" i="14"/>
  <c r="P30" i="14"/>
  <c r="E26" i="14"/>
  <c r="D26" i="14"/>
  <c r="O26" i="14"/>
  <c r="N26" i="14"/>
  <c r="I26" i="14"/>
  <c r="F26" i="14"/>
  <c r="C26" i="14"/>
  <c r="H26" i="14"/>
  <c r="M26" i="14"/>
  <c r="J26" i="14"/>
  <c r="G26" i="14"/>
  <c r="L26" i="14"/>
  <c r="Q26" i="14"/>
  <c r="K26" i="14"/>
  <c r="P26" i="14"/>
  <c r="E31" i="14"/>
  <c r="C31" i="14"/>
  <c r="D31" i="14"/>
  <c r="Q31" i="14"/>
  <c r="P31" i="14"/>
  <c r="I31" i="14"/>
  <c r="F31" i="14"/>
  <c r="G31" i="14"/>
  <c r="H31" i="14"/>
  <c r="M31" i="14"/>
  <c r="J31" i="14"/>
  <c r="K31" i="14"/>
  <c r="L31" i="14"/>
  <c r="N31" i="14"/>
  <c r="Q33" i="14"/>
  <c r="O33" i="14"/>
  <c r="K33" i="14"/>
  <c r="H33" i="14"/>
  <c r="C34" i="14"/>
  <c r="D34" i="14"/>
  <c r="E34" i="14"/>
  <c r="N34" i="14"/>
  <c r="O34" i="14"/>
  <c r="F34" i="14"/>
  <c r="G34" i="14"/>
  <c r="H34" i="14"/>
  <c r="I34" i="14"/>
  <c r="J34" i="14"/>
  <c r="K34" i="14"/>
  <c r="L34" i="14"/>
  <c r="M34" i="14"/>
  <c r="P34" i="14"/>
  <c r="Q34" i="14"/>
  <c r="E32" i="14"/>
  <c r="C32" i="14"/>
  <c r="D32" i="14"/>
  <c r="N32" i="14"/>
  <c r="I32" i="14"/>
  <c r="F32" i="14"/>
  <c r="G32" i="14"/>
  <c r="H32" i="14"/>
  <c r="O32" i="14"/>
  <c r="M32" i="14"/>
  <c r="J32" i="14"/>
  <c r="K32" i="14"/>
  <c r="L32" i="14"/>
  <c r="Q32" i="14"/>
  <c r="P32" i="14"/>
  <c r="D33" i="14"/>
  <c r="N33" i="14"/>
  <c r="J33" i="14"/>
  <c r="G33" i="14"/>
  <c r="E27" i="14"/>
  <c r="C27" i="14"/>
  <c r="D27" i="14"/>
  <c r="Q27" i="14"/>
  <c r="O27" i="14"/>
  <c r="I27" i="14"/>
  <c r="F27" i="14"/>
  <c r="G27" i="14"/>
  <c r="H27" i="14"/>
  <c r="M27" i="14"/>
  <c r="J27" i="14"/>
  <c r="K27" i="14"/>
  <c r="L27" i="14"/>
  <c r="N27" i="14"/>
  <c r="P27" i="14"/>
  <c r="E29" i="14"/>
  <c r="D29" i="14"/>
  <c r="Q29" i="14"/>
  <c r="O29" i="14"/>
  <c r="I29" i="14"/>
  <c r="F29" i="14"/>
  <c r="G29" i="14"/>
  <c r="H29" i="14"/>
  <c r="M29" i="14"/>
  <c r="J29" i="14"/>
  <c r="K29" i="14"/>
  <c r="L29" i="14"/>
  <c r="N29" i="14"/>
  <c r="P29" i="14"/>
  <c r="M33" i="14"/>
  <c r="I33" i="14"/>
  <c r="I200" i="13"/>
  <c r="J201" i="13"/>
  <c r="A3" i="37"/>
  <c r="A4" i="37" s="1"/>
  <c r="A5" i="37" s="1"/>
  <c r="A6" i="37" s="1"/>
  <c r="A7" i="37" s="1"/>
  <c r="A8" i="37" s="1"/>
  <c r="A9" i="37" s="1"/>
  <c r="A10" i="37" s="1"/>
  <c r="A11" i="37" s="1"/>
  <c r="A12" i="37" s="1"/>
  <c r="A13" i="37" s="1"/>
  <c r="A14" i="37" s="1"/>
  <c r="A15" i="37" s="1"/>
  <c r="A16" i="37" s="1"/>
  <c r="A17" i="37" s="1"/>
  <c r="A18" i="37" s="1"/>
  <c r="A19" i="37" s="1"/>
  <c r="A20" i="37" s="1"/>
  <c r="A21" i="37" s="1"/>
  <c r="A22" i="37" s="1"/>
  <c r="A23" i="37" s="1"/>
  <c r="A24" i="37" s="1"/>
  <c r="A25" i="37" s="1"/>
  <c r="A26" i="37" s="1"/>
  <c r="A27" i="37" s="1"/>
  <c r="A28" i="37" s="1"/>
  <c r="A29" i="37" s="1"/>
  <c r="A30" i="37" s="1"/>
  <c r="A31" i="37" s="1"/>
  <c r="A32" i="37" s="1"/>
  <c r="A33" i="37" s="1"/>
  <c r="A34" i="37" s="1"/>
  <c r="A35" i="37" s="1"/>
  <c r="A36" i="37" s="1"/>
  <c r="A37" i="37" s="1"/>
  <c r="A38" i="37" s="1"/>
  <c r="A39" i="37" s="1"/>
  <c r="A40" i="37" s="1"/>
  <c r="A41" i="37" s="1"/>
  <c r="A42" i="37" s="1"/>
  <c r="A43" i="37" s="1"/>
  <c r="A44" i="37" s="1"/>
  <c r="A45" i="37" s="1"/>
  <c r="A46" i="37" s="1"/>
  <c r="A47" i="37" s="1"/>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A71" i="37" s="1"/>
  <c r="A72" i="37" s="1"/>
  <c r="A73" i="37" s="1"/>
  <c r="A74" i="37" s="1"/>
  <c r="A75" i="37" s="1"/>
  <c r="A76" i="37" s="1"/>
  <c r="A77" i="37" s="1"/>
  <c r="A78" i="37" s="1"/>
  <c r="A79" i="37" s="1"/>
  <c r="A80" i="37" s="1"/>
  <c r="A81" i="37" s="1"/>
  <c r="A82" i="37" s="1"/>
  <c r="A83" i="37" s="1"/>
  <c r="A84" i="37" s="1"/>
  <c r="A85" i="37" s="1"/>
  <c r="A86" i="37" s="1"/>
  <c r="A87" i="37" s="1"/>
  <c r="A88" i="37" s="1"/>
  <c r="A89" i="37" s="1"/>
  <c r="A90" i="37" s="1"/>
  <c r="A91" i="37" s="1"/>
  <c r="A92" i="37" s="1"/>
  <c r="A93" i="37" s="1"/>
  <c r="A94" i="37" s="1"/>
  <c r="A95" i="37" s="1"/>
  <c r="A96" i="37" s="1"/>
  <c r="A97" i="37" s="1"/>
  <c r="A98" i="37" s="1"/>
  <c r="A99" i="37" s="1"/>
  <c r="A100" i="37" s="1"/>
  <c r="A101" i="37" s="1"/>
  <c r="A102" i="37" s="1"/>
  <c r="A103" i="37" s="1"/>
  <c r="A104" i="37" s="1"/>
  <c r="A105" i="37" s="1"/>
  <c r="A106" i="37" s="1"/>
  <c r="A107" i="37" s="1"/>
  <c r="A108" i="37" s="1"/>
  <c r="A109" i="37" s="1"/>
  <c r="A110" i="37" s="1"/>
  <c r="A111" i="37" s="1"/>
  <c r="A112" i="37" s="1"/>
  <c r="A113" i="37" s="1"/>
  <c r="A114" i="37" s="1"/>
  <c r="A115" i="37" s="1"/>
  <c r="A116" i="37" s="1"/>
  <c r="A117" i="37" s="1"/>
  <c r="A118" i="37" s="1"/>
  <c r="A119" i="37" s="1"/>
  <c r="A120" i="37" s="1"/>
  <c r="A121" i="37" s="1"/>
  <c r="A122" i="37" s="1"/>
  <c r="A123" i="37" s="1"/>
  <c r="A124" i="37" s="1"/>
  <c r="A125" i="37" s="1"/>
  <c r="A126" i="37" s="1"/>
  <c r="A127" i="37" s="1"/>
  <c r="A128" i="37" s="1"/>
  <c r="A129" i="37" s="1"/>
  <c r="A130" i="37" s="1"/>
  <c r="A131" i="37" s="1"/>
  <c r="A132" i="37" s="1"/>
  <c r="A133" i="37" s="1"/>
  <c r="A134" i="37" s="1"/>
  <c r="A135" i="37" s="1"/>
  <c r="A136" i="37" s="1"/>
  <c r="A137" i="37" s="1"/>
  <c r="A138" i="37" s="1"/>
  <c r="A139" i="37" s="1"/>
  <c r="A140" i="37" s="1"/>
  <c r="A141" i="37" s="1"/>
  <c r="A142" i="37" s="1"/>
  <c r="A143" i="37" s="1"/>
  <c r="A144" i="37" s="1"/>
  <c r="A145" i="37" s="1"/>
  <c r="A146" i="37" s="1"/>
  <c r="A147" i="37" s="1"/>
  <c r="A148" i="37" s="1"/>
  <c r="A149" i="37" s="1"/>
  <c r="A150" i="37" s="1"/>
  <c r="A151" i="37" s="1"/>
  <c r="A152" i="37" s="1"/>
  <c r="A153" i="37" s="1"/>
  <c r="A154" i="37" s="1"/>
  <c r="A155" i="37" s="1"/>
  <c r="A156" i="37" s="1"/>
  <c r="A157" i="37" s="1"/>
  <c r="A158" i="37" s="1"/>
  <c r="A159" i="37" s="1"/>
  <c r="A160" i="37" s="1"/>
  <c r="A161" i="37" s="1"/>
  <c r="A162" i="37" s="1"/>
  <c r="A163" i="37" s="1"/>
  <c r="A164" i="37" s="1"/>
  <c r="A165" i="37" s="1"/>
  <c r="A166" i="37" s="1"/>
  <c r="A167" i="37" s="1"/>
  <c r="A168" i="37" s="1"/>
  <c r="A169" i="37" s="1"/>
  <c r="A170" i="37" s="1"/>
  <c r="A171" i="37" s="1"/>
  <c r="A172" i="37" s="1"/>
  <c r="A173" i="37" s="1"/>
  <c r="A174" i="37" s="1"/>
  <c r="A175" i="37" s="1"/>
  <c r="A176" i="37" s="1"/>
  <c r="A177" i="37" s="1"/>
  <c r="A178" i="37" s="1"/>
  <c r="A179" i="37" s="1"/>
  <c r="A180" i="37" s="1"/>
  <c r="A181" i="37" s="1"/>
  <c r="A182" i="37" s="1"/>
  <c r="A183" i="37" s="1"/>
  <c r="A184" i="37" s="1"/>
  <c r="A185" i="37" s="1"/>
  <c r="A186" i="37" s="1"/>
  <c r="A187" i="37" s="1"/>
  <c r="A188" i="37" s="1"/>
  <c r="A189" i="37" s="1"/>
  <c r="A190" i="37" s="1"/>
  <c r="A191" i="37" s="1"/>
  <c r="A192" i="37" s="1"/>
  <c r="A193" i="37" s="1"/>
  <c r="A194" i="37" s="1"/>
  <c r="A195" i="37" s="1"/>
  <c r="A196" i="37" s="1"/>
  <c r="A197" i="37" s="1"/>
  <c r="A198" i="37" s="1"/>
  <c r="A199" i="37" s="1"/>
  <c r="A200" i="37" s="1"/>
  <c r="A201" i="37" s="1"/>
  <c r="A202" i="37" s="1"/>
  <c r="A203" i="37" s="1"/>
  <c r="A204" i="37" s="1"/>
  <c r="A205" i="37" s="1"/>
  <c r="A206" i="37" s="1"/>
  <c r="A207" i="37" s="1"/>
  <c r="A208" i="37" s="1"/>
  <c r="A209" i="37" s="1"/>
  <c r="A210" i="37" s="1"/>
  <c r="A211" i="37" s="1"/>
  <c r="A212" i="37" s="1"/>
  <c r="A213" i="37" s="1"/>
  <c r="A214" i="37" s="1"/>
  <c r="A215" i="37" s="1"/>
  <c r="A216" i="37" s="1"/>
  <c r="A217" i="37" s="1"/>
  <c r="A218" i="37" s="1"/>
  <c r="A219" i="37" s="1"/>
  <c r="A220" i="37" s="1"/>
  <c r="A221" i="37" s="1"/>
  <c r="A222" i="37" s="1"/>
  <c r="A223" i="37" s="1"/>
  <c r="A224" i="37" s="1"/>
  <c r="A225" i="37" s="1"/>
  <c r="A226" i="37" s="1"/>
  <c r="A227" i="37" s="1"/>
  <c r="A228" i="37" s="1"/>
  <c r="A229" i="37" s="1"/>
  <c r="A230" i="37" s="1"/>
  <c r="A231" i="37" s="1"/>
  <c r="A232" i="37" s="1"/>
  <c r="A233" i="37" s="1"/>
  <c r="A234" i="37" s="1"/>
  <c r="A235" i="37" s="1"/>
  <c r="A236" i="37" s="1"/>
  <c r="A237" i="37" s="1"/>
  <c r="A238" i="37" s="1"/>
  <c r="A239" i="37" s="1"/>
  <c r="A240" i="37" s="1"/>
  <c r="A241" i="37" s="1"/>
  <c r="A242" i="37" s="1"/>
  <c r="A243" i="37" s="1"/>
  <c r="A244" i="37" s="1"/>
  <c r="A245" i="37" s="1"/>
  <c r="A246" i="37" s="1"/>
  <c r="A247" i="37" s="1"/>
  <c r="A248" i="37" s="1"/>
  <c r="A249" i="37" s="1"/>
  <c r="A250" i="37" s="1"/>
  <c r="A251" i="37" s="1"/>
  <c r="A252" i="37" s="1"/>
  <c r="A253" i="37" s="1"/>
  <c r="A254" i="37" s="1"/>
  <c r="A255" i="37" s="1"/>
  <c r="A256" i="37" s="1"/>
  <c r="A257" i="37" s="1"/>
  <c r="A258" i="37" s="1"/>
  <c r="A259" i="37" s="1"/>
  <c r="A260" i="37" s="1"/>
  <c r="A261" i="37" s="1"/>
  <c r="A262" i="37" s="1"/>
  <c r="A263" i="37" s="1"/>
  <c r="A264" i="37" s="1"/>
  <c r="A265" i="37" s="1"/>
  <c r="A266" i="37" s="1"/>
  <c r="A267" i="37" s="1"/>
  <c r="A268" i="37" s="1"/>
  <c r="A269" i="37" s="1"/>
  <c r="A270" i="37" s="1"/>
  <c r="A271" i="37" s="1"/>
  <c r="A272" i="37" s="1"/>
  <c r="A273" i="37" s="1"/>
  <c r="A274" i="37" s="1"/>
  <c r="A275" i="37" s="1"/>
  <c r="A276" i="37" s="1"/>
  <c r="A277" i="37" s="1"/>
  <c r="A278" i="37" s="1"/>
  <c r="A279" i="37" s="1"/>
  <c r="A280" i="37" s="1"/>
  <c r="A281" i="37" s="1"/>
  <c r="A282" i="37" s="1"/>
  <c r="A283" i="37" s="1"/>
  <c r="A284" i="37" s="1"/>
  <c r="A285" i="37" s="1"/>
  <c r="A286" i="37" s="1"/>
  <c r="A287" i="37" s="1"/>
  <c r="A288" i="37" s="1"/>
  <c r="A289" i="37" s="1"/>
  <c r="A290" i="37" s="1"/>
  <c r="A291" i="37" s="1"/>
  <c r="A292" i="37" s="1"/>
  <c r="A293" i="37" s="1"/>
  <c r="A294" i="37" s="1"/>
  <c r="A295" i="37" s="1"/>
  <c r="A296" i="37" s="1"/>
  <c r="A297" i="37" s="1"/>
  <c r="A298" i="37" s="1"/>
  <c r="A299" i="37" s="1"/>
  <c r="A300" i="37" s="1"/>
  <c r="A301" i="37" s="1"/>
  <c r="A302" i="37" s="1"/>
  <c r="A303" i="37" s="1"/>
  <c r="A304" i="37" s="1"/>
  <c r="A305" i="37" s="1"/>
  <c r="A306" i="37" s="1"/>
  <c r="A307" i="37" s="1"/>
  <c r="A308" i="37" s="1"/>
  <c r="A309" i="37" s="1"/>
  <c r="A310" i="37" s="1"/>
  <c r="A311" i="37" s="1"/>
  <c r="A312" i="37" s="1"/>
  <c r="A313" i="37" s="1"/>
  <c r="A314" i="37" s="1"/>
  <c r="A315" i="37" s="1"/>
  <c r="A316" i="37" s="1"/>
  <c r="A317" i="37" s="1"/>
  <c r="A318" i="37" s="1"/>
  <c r="A319" i="37" s="1"/>
  <c r="A320" i="37" s="1"/>
  <c r="A321" i="37" s="1"/>
  <c r="A322" i="37" s="1"/>
  <c r="A323" i="37" s="1"/>
  <c r="A324" i="37" s="1"/>
  <c r="A325" i="37" s="1"/>
  <c r="A326" i="37" s="1"/>
  <c r="A327" i="37" s="1"/>
  <c r="A328" i="37" s="1"/>
  <c r="A329" i="37" s="1"/>
  <c r="A330" i="37" s="1"/>
  <c r="A331" i="37" s="1"/>
  <c r="A332" i="37" s="1"/>
  <c r="A333" i="37" s="1"/>
  <c r="A334" i="37" s="1"/>
  <c r="A335" i="37" s="1"/>
  <c r="A336" i="37" s="1"/>
  <c r="A337" i="37" s="1"/>
  <c r="A338" i="37" s="1"/>
  <c r="A339" i="37" s="1"/>
  <c r="A340" i="37" s="1"/>
  <c r="A341" i="37" s="1"/>
  <c r="A342" i="37" s="1"/>
  <c r="A343" i="37" s="1"/>
  <c r="A344" i="37" s="1"/>
  <c r="A345" i="37" s="1"/>
  <c r="A346" i="37" s="1"/>
  <c r="A347" i="37" s="1"/>
  <c r="A348" i="37" s="1"/>
  <c r="A349" i="37" s="1"/>
  <c r="A350" i="37" s="1"/>
  <c r="A351" i="37" s="1"/>
  <c r="A352" i="37" s="1"/>
  <c r="A353" i="37" s="1"/>
  <c r="A354" i="37" s="1"/>
  <c r="A355" i="37" s="1"/>
  <c r="A356" i="37" s="1"/>
  <c r="A357" i="37" s="1"/>
  <c r="A358" i="37" s="1"/>
  <c r="A359" i="37" s="1"/>
  <c r="A360" i="37" s="1"/>
  <c r="A361" i="37" s="1"/>
  <c r="A362" i="37" s="1"/>
  <c r="A363" i="37" s="1"/>
  <c r="A364" i="37" s="1"/>
  <c r="A365" i="37" s="1"/>
  <c r="A366" i="37" s="1"/>
  <c r="A367" i="37" s="1"/>
  <c r="A368" i="37" s="1"/>
  <c r="A369" i="37" s="1"/>
  <c r="A370" i="37" s="1"/>
  <c r="A371" i="37" s="1"/>
  <c r="A372" i="37" s="1"/>
  <c r="A373" i="37" s="1"/>
  <c r="A374" i="37" s="1"/>
  <c r="A375" i="37" s="1"/>
  <c r="A376" i="37" s="1"/>
  <c r="A377" i="37" s="1"/>
  <c r="A378" i="37" s="1"/>
  <c r="A379" i="37" s="1"/>
  <c r="A380" i="37" s="1"/>
  <c r="A381" i="37" s="1"/>
  <c r="A382" i="37" s="1"/>
  <c r="A383" i="37" s="1"/>
  <c r="A384" i="37" s="1"/>
  <c r="A385" i="37" s="1"/>
  <c r="A386" i="37" s="1"/>
  <c r="A387" i="37" s="1"/>
  <c r="A388" i="37" s="1"/>
  <c r="A389" i="37" s="1"/>
  <c r="A390" i="37" s="1"/>
  <c r="A391" i="37" s="1"/>
  <c r="A392" i="37" s="1"/>
  <c r="A393" i="37" s="1"/>
  <c r="A394" i="37" s="1"/>
  <c r="A396" i="37"/>
  <c r="A397" i="37"/>
  <c r="A398" i="37" s="1"/>
  <c r="A399" i="37" s="1"/>
  <c r="A400" i="37" s="1"/>
  <c r="A401" i="37" s="1"/>
  <c r="A402" i="37" s="1"/>
  <c r="A403" i="37" s="1"/>
  <c r="A404" i="37" s="1"/>
  <c r="A405" i="37" s="1"/>
  <c r="A406" i="37" s="1"/>
  <c r="A407" i="37" s="1"/>
  <c r="A408" i="37" s="1"/>
  <c r="A409" i="37" s="1"/>
  <c r="A410" i="37" s="1"/>
  <c r="A411" i="37" s="1"/>
  <c r="A412" i="37" s="1"/>
  <c r="A413" i="37" s="1"/>
  <c r="A414" i="37" s="1"/>
  <c r="A415" i="37" s="1"/>
  <c r="A416" i="37" s="1"/>
  <c r="A417" i="37" s="1"/>
  <c r="A418" i="37" s="1"/>
  <c r="A419" i="37" s="1"/>
  <c r="A420" i="37" s="1"/>
  <c r="A421" i="37" s="1"/>
  <c r="A422" i="37" s="1"/>
  <c r="A423" i="37" s="1"/>
  <c r="A424" i="37" s="1"/>
  <c r="A425" i="37" s="1"/>
  <c r="A426" i="37" s="1"/>
  <c r="A427" i="37" s="1"/>
  <c r="A428" i="37" s="1"/>
  <c r="A429" i="37" s="1"/>
  <c r="A430" i="37" s="1"/>
  <c r="A431" i="37" s="1"/>
  <c r="A432" i="37" s="1"/>
  <c r="A433" i="37" s="1"/>
  <c r="A434" i="37" s="1"/>
  <c r="A435" i="37" s="1"/>
  <c r="A436" i="37" s="1"/>
  <c r="A437" i="37" s="1"/>
  <c r="A438" i="37" s="1"/>
  <c r="A439" i="37" s="1"/>
  <c r="A440" i="37" s="1"/>
  <c r="A441" i="37" s="1"/>
  <c r="A442" i="37" s="1"/>
  <c r="A443" i="37" s="1"/>
  <c r="A444" i="37" s="1"/>
  <c r="A445" i="37" s="1"/>
  <c r="A446" i="37" s="1"/>
  <c r="A447" i="37" s="1"/>
  <c r="A448" i="37" s="1"/>
  <c r="A449" i="37" s="1"/>
  <c r="A450" i="37" s="1"/>
  <c r="A451" i="37" s="1"/>
  <c r="A452" i="37" s="1"/>
  <c r="A453" i="37" s="1"/>
  <c r="A454" i="37" s="1"/>
  <c r="A455" i="37" s="1"/>
  <c r="A456" i="37" s="1"/>
  <c r="A457" i="37" s="1"/>
  <c r="A458" i="37" s="1"/>
  <c r="A459" i="37" s="1"/>
  <c r="A460" i="37" s="1"/>
  <c r="A461" i="37" s="1"/>
  <c r="A462" i="37" s="1"/>
  <c r="A463" i="37" s="1"/>
  <c r="A464" i="37" s="1"/>
  <c r="A465" i="37" s="1"/>
  <c r="A466" i="37" s="1"/>
  <c r="A467" i="37" s="1"/>
  <c r="A468" i="37" s="1"/>
  <c r="A469" i="37" s="1"/>
  <c r="A470" i="37" s="1"/>
  <c r="A471" i="37" s="1"/>
  <c r="A472" i="37" s="1"/>
  <c r="A473" i="37" s="1"/>
  <c r="A474" i="37" s="1"/>
  <c r="A475" i="37" s="1"/>
  <c r="A476" i="37" s="1"/>
  <c r="A477" i="37" s="1"/>
  <c r="A478" i="37" s="1"/>
  <c r="A479" i="37" s="1"/>
  <c r="A480" i="37" s="1"/>
  <c r="A481" i="37" s="1"/>
  <c r="A482" i="37" s="1"/>
  <c r="A483" i="37" s="1"/>
  <c r="A484" i="37" s="1"/>
  <c r="A485" i="37" s="1"/>
  <c r="A486" i="37" s="1"/>
  <c r="A487" i="37" s="1"/>
  <c r="A488" i="37" s="1"/>
  <c r="A489" i="37" s="1"/>
  <c r="A490" i="37" s="1"/>
  <c r="A491" i="37" s="1"/>
  <c r="A492" i="37" s="1"/>
  <c r="A493" i="37" s="1"/>
  <c r="A494" i="37" s="1"/>
  <c r="A495" i="37" s="1"/>
  <c r="A496" i="37" s="1"/>
  <c r="A497" i="37" s="1"/>
  <c r="A498" i="37" s="1"/>
  <c r="A499" i="37" s="1"/>
  <c r="A500" i="37" s="1"/>
  <c r="A501" i="37" s="1"/>
  <c r="A502" i="37" s="1"/>
  <c r="A503" i="37" s="1"/>
  <c r="A504" i="37" s="1"/>
  <c r="A505" i="37" s="1"/>
  <c r="A506" i="37" s="1"/>
  <c r="A507" i="37" s="1"/>
  <c r="A508" i="37" s="1"/>
  <c r="A509" i="37" s="1"/>
  <c r="A510" i="37" s="1"/>
  <c r="A511" i="37" s="1"/>
  <c r="A512" i="37" s="1"/>
  <c r="A513" i="37" s="1"/>
  <c r="A514" i="37" s="1"/>
  <c r="A515" i="37" s="1"/>
  <c r="A516" i="37" s="1"/>
  <c r="A517" i="37" s="1"/>
  <c r="A518" i="37" s="1"/>
  <c r="A519" i="37" s="1"/>
  <c r="A520" i="37" s="1"/>
  <c r="A521" i="37" s="1"/>
  <c r="A522" i="37" s="1"/>
  <c r="A523" i="37" s="1"/>
  <c r="A524" i="37" s="1"/>
  <c r="A525" i="37" s="1"/>
  <c r="A526" i="37" s="1"/>
  <c r="A527" i="37" s="1"/>
  <c r="A528" i="37" s="1"/>
  <c r="A529" i="37" s="1"/>
  <c r="A530" i="37" s="1"/>
  <c r="A531" i="37" s="1"/>
  <c r="A532" i="37" s="1"/>
  <c r="A533" i="37" s="1"/>
  <c r="A534" i="37" s="1"/>
  <c r="A535" i="37" s="1"/>
  <c r="A536" i="37" s="1"/>
  <c r="A537" i="37" s="1"/>
  <c r="A538" i="37" s="1"/>
  <c r="A539" i="37" s="1"/>
  <c r="A540" i="37" s="1"/>
  <c r="A541" i="37" s="1"/>
  <c r="A542" i="37" s="1"/>
  <c r="A543" i="37" s="1"/>
  <c r="A544" i="37" s="1"/>
  <c r="A545" i="37" s="1"/>
  <c r="A546" i="37" s="1"/>
  <c r="A547" i="37" s="1"/>
  <c r="A548" i="37" s="1"/>
  <c r="A549" i="37" s="1"/>
  <c r="A550" i="37" s="1"/>
  <c r="A551" i="37" s="1"/>
  <c r="A552" i="37" s="1"/>
  <c r="A553" i="37" s="1"/>
  <c r="A554" i="37" s="1"/>
  <c r="A555" i="37" s="1"/>
  <c r="A556" i="37" s="1"/>
  <c r="A557" i="37" s="1"/>
  <c r="A558" i="37" s="1"/>
  <c r="A559" i="37" s="1"/>
  <c r="A560" i="37" s="1"/>
  <c r="A561" i="37" s="1"/>
  <c r="A562" i="37" s="1"/>
  <c r="A563" i="37" s="1"/>
  <c r="A564" i="37" s="1"/>
  <c r="A565" i="37" s="1"/>
  <c r="A566" i="37" s="1"/>
  <c r="A567" i="37" s="1"/>
  <c r="A568" i="37" s="1"/>
  <c r="A569" i="37" s="1"/>
  <c r="A570" i="37" s="1"/>
  <c r="A571" i="37" s="1"/>
  <c r="A572" i="37" s="1"/>
  <c r="A573" i="37" s="1"/>
  <c r="A574" i="37" s="1"/>
  <c r="A575" i="37" s="1"/>
  <c r="A576" i="37" s="1"/>
  <c r="A577" i="37" s="1"/>
  <c r="A578" i="37" s="1"/>
  <c r="A579" i="37" s="1"/>
  <c r="A580" i="37" s="1"/>
  <c r="A581" i="37" s="1"/>
  <c r="A582" i="37" s="1"/>
  <c r="A583" i="37" s="1"/>
  <c r="A584" i="37" s="1"/>
  <c r="A585" i="37" s="1"/>
  <c r="A586" i="37" s="1"/>
  <c r="A587" i="37" s="1"/>
  <c r="A588" i="37" s="1"/>
  <c r="A589" i="37" s="1"/>
  <c r="A590" i="37" s="1"/>
  <c r="A591" i="37" s="1"/>
  <c r="A592" i="37" s="1"/>
  <c r="A593" i="37" s="1"/>
  <c r="A594" i="37" s="1"/>
  <c r="A595" i="37" s="1"/>
  <c r="A596" i="37" s="1"/>
  <c r="A597" i="37" s="1"/>
  <c r="A598" i="37" s="1"/>
  <c r="A599" i="37" s="1"/>
  <c r="A600" i="37" s="1"/>
  <c r="A601" i="37" s="1"/>
  <c r="A602" i="37" s="1"/>
  <c r="A603" i="37" s="1"/>
  <c r="A604" i="37" s="1"/>
  <c r="A605" i="37" s="1"/>
  <c r="A606" i="37" s="1"/>
  <c r="A607" i="37" s="1"/>
  <c r="A608" i="37" s="1"/>
  <c r="A609" i="37" s="1"/>
  <c r="A610" i="37" s="1"/>
  <c r="A611" i="37" s="1"/>
  <c r="A612" i="37" s="1"/>
  <c r="A613" i="37" s="1"/>
  <c r="A614" i="37" s="1"/>
  <c r="A615" i="37" s="1"/>
  <c r="A616" i="37" s="1"/>
  <c r="A617" i="37" s="1"/>
  <c r="A618" i="37" s="1"/>
  <c r="A619" i="37" s="1"/>
  <c r="A620" i="37" s="1"/>
  <c r="A621" i="37" s="1"/>
  <c r="A622" i="37" s="1"/>
  <c r="A623" i="37" s="1"/>
  <c r="A624" i="37" s="1"/>
  <c r="A625" i="37" s="1"/>
  <c r="A626" i="37" s="1"/>
  <c r="A627" i="37" s="1"/>
  <c r="A628" i="37" s="1"/>
  <c r="A629" i="37" s="1"/>
  <c r="A630" i="37" s="1"/>
  <c r="A631" i="37" s="1"/>
  <c r="A632" i="37" s="1"/>
  <c r="A633" i="37" s="1"/>
  <c r="A634" i="37" s="1"/>
  <c r="A635" i="37" s="1"/>
  <c r="A636" i="37" s="1"/>
  <c r="A637" i="37" s="1"/>
  <c r="A638" i="37" s="1"/>
  <c r="A639" i="37" s="1"/>
  <c r="A640" i="37" s="1"/>
  <c r="A641" i="37" s="1"/>
  <c r="A642" i="37" s="1"/>
  <c r="A643" i="37" s="1"/>
  <c r="A644" i="37" s="1"/>
  <c r="A645" i="37" s="1"/>
  <c r="A646" i="37" s="1"/>
  <c r="A647" i="37" s="1"/>
  <c r="A648" i="37" s="1"/>
  <c r="A649" i="37" s="1"/>
  <c r="A650" i="37" s="1"/>
  <c r="N55" i="8" l="1"/>
  <c r="M43" i="9"/>
  <c r="M40" i="9"/>
  <c r="M34" i="9"/>
  <c r="M39" i="9"/>
  <c r="M10" i="9"/>
  <c r="M14" i="9"/>
  <c r="M18" i="9"/>
  <c r="M23" i="9"/>
  <c r="M32" i="9"/>
  <c r="M36" i="9"/>
  <c r="M13" i="9"/>
  <c r="M21" i="9"/>
  <c r="M33" i="9"/>
  <c r="M35" i="9"/>
  <c r="M28" i="9"/>
  <c r="M31" i="9"/>
  <c r="M11" i="9"/>
  <c r="M15" i="9"/>
  <c r="M19" i="9"/>
  <c r="M22" i="9"/>
  <c r="M29" i="9"/>
  <c r="M37" i="9"/>
  <c r="M41" i="9"/>
  <c r="M38" i="9"/>
  <c r="M12" i="9"/>
  <c r="M16" i="9"/>
  <c r="M20" i="9"/>
  <c r="M30" i="9"/>
  <c r="M42" i="9"/>
  <c r="M17" i="9"/>
  <c r="M24" i="9"/>
  <c r="N56" i="8" l="1"/>
  <c r="N57" i="8" l="1"/>
  <c r="N58" i="8" l="1"/>
  <c r="N59" i="8" l="1"/>
  <c r="N60" i="8" l="1"/>
  <c r="N61" i="8" l="1"/>
  <c r="N62" i="8" l="1"/>
  <c r="N63" i="8" l="1"/>
  <c r="P62" i="8"/>
  <c r="Q62" i="8"/>
  <c r="N64" i="8" l="1"/>
  <c r="P63" i="8"/>
  <c r="Q63" i="8"/>
  <c r="N65" i="8" l="1"/>
  <c r="N66" i="8" l="1"/>
  <c r="N67" i="8" l="1"/>
  <c r="N68" i="8" l="1"/>
  <c r="N69" i="8" l="1"/>
  <c r="N70" i="8" l="1"/>
  <c r="N71" i="8" l="1"/>
  <c r="N72" i="8" l="1"/>
  <c r="N73" i="8" l="1"/>
  <c r="N74" i="8" l="1"/>
  <c r="N75" i="8" l="1"/>
  <c r="N76" i="8" l="1"/>
  <c r="N77" i="8" l="1"/>
  <c r="N78" i="8" l="1"/>
  <c r="N79" i="8" l="1"/>
  <c r="N80" i="8" l="1"/>
  <c r="P79" i="8"/>
  <c r="Q79" i="8"/>
  <c r="N81" i="8"/>
  <c r="N82" i="8" l="1"/>
  <c r="N83" i="8" l="1"/>
  <c r="N84" i="8" l="1"/>
  <c r="N85" i="8" l="1"/>
  <c r="N86" i="8" l="1"/>
  <c r="N87" i="8" l="1"/>
  <c r="N88" i="8" l="1"/>
  <c r="N89" i="8" l="1"/>
  <c r="N90" i="8" l="1"/>
  <c r="N91" i="8" l="1"/>
  <c r="N92" i="8" l="1"/>
  <c r="N93" i="8" l="1"/>
  <c r="N94" i="8" l="1"/>
  <c r="N95" i="8" l="1"/>
  <c r="N96" i="8" l="1"/>
  <c r="N97" i="8" l="1"/>
  <c r="N98" i="8" l="1"/>
  <c r="N99" i="8" l="1"/>
  <c r="N100" i="8" l="1"/>
  <c r="N101" i="8" l="1"/>
  <c r="N102" i="8" l="1"/>
  <c r="N103" i="8" l="1"/>
  <c r="N104" i="8" l="1"/>
  <c r="N105" i="8" l="1"/>
  <c r="N106" i="8" l="1"/>
  <c r="N107" i="8" l="1"/>
  <c r="N108" i="8" l="1"/>
  <c r="N109" i="8" l="1"/>
  <c r="N110" i="8" l="1"/>
  <c r="N111" i="8" l="1"/>
  <c r="N112" i="8" l="1"/>
  <c r="N113" i="8" l="1"/>
  <c r="N114" i="8" l="1"/>
  <c r="N115" i="8" s="1"/>
  <c r="N116" i="8" l="1"/>
  <c r="N117" i="8" l="1"/>
  <c r="N118" i="8" l="1"/>
  <c r="N119" i="8" l="1"/>
  <c r="N120" i="8" l="1"/>
  <c r="N121" i="8" l="1"/>
  <c r="N122" i="8" l="1"/>
  <c r="N123" i="8" l="1"/>
  <c r="N124" i="8" l="1"/>
  <c r="N125" i="8" l="1"/>
  <c r="N126" i="8" l="1"/>
  <c r="N127" i="8" l="1"/>
  <c r="N128" i="8" l="1"/>
  <c r="N129" i="8" l="1"/>
  <c r="N130" i="8" l="1"/>
  <c r="N131" i="8" l="1"/>
  <c r="N132" i="8" l="1"/>
  <c r="N133" i="8" l="1"/>
  <c r="N134" i="8" l="1"/>
  <c r="N135" i="8" l="1"/>
  <c r="N136" i="8" l="1"/>
  <c r="N137" i="8" l="1"/>
  <c r="N138" i="8" l="1"/>
  <c r="N139" i="8" s="1"/>
  <c r="N140" i="8" l="1"/>
  <c r="N141" i="8" l="1"/>
  <c r="N142" i="8" s="1"/>
  <c r="N143" i="8" l="1"/>
  <c r="N144" i="8" l="1"/>
  <c r="N145" i="8" l="1"/>
  <c r="N146" i="8" l="1"/>
  <c r="N147" i="8" l="1"/>
  <c r="N148" i="8" l="1"/>
  <c r="N149" i="8" l="1"/>
  <c r="N150" i="8" l="1"/>
  <c r="N151" i="8" l="1"/>
  <c r="N152" i="8" s="1"/>
  <c r="N153" i="8" l="1"/>
  <c r="N154" i="8" l="1"/>
  <c r="N155" i="8" l="1"/>
  <c r="P155" i="8" l="1"/>
  <c r="Q155" i="8"/>
  <c r="O1" i="8"/>
  <c r="O2" i="8" s="1"/>
  <c r="O3" i="8" l="1"/>
  <c r="Q2" i="8"/>
  <c r="P2" i="8"/>
  <c r="O4" i="8" l="1"/>
  <c r="P3" i="8"/>
  <c r="Q3" i="8"/>
  <c r="O5" i="8" l="1"/>
  <c r="P4" i="8"/>
  <c r="Q4" i="8"/>
  <c r="O6" i="8" l="1"/>
  <c r="P5" i="8"/>
  <c r="Q5" i="8"/>
  <c r="O7" i="8" l="1"/>
  <c r="P6" i="8"/>
  <c r="Q6" i="8"/>
  <c r="O8" i="8" l="1"/>
  <c r="P7" i="8"/>
  <c r="Q7" i="8"/>
  <c r="O9" i="8" l="1"/>
  <c r="P8" i="8"/>
  <c r="Q8" i="8"/>
  <c r="O10" i="8" l="1"/>
  <c r="P9" i="8"/>
  <c r="Q9" i="8"/>
  <c r="O11" i="8" l="1"/>
  <c r="P10" i="8"/>
  <c r="Q10" i="8"/>
  <c r="O12" i="8" l="1"/>
  <c r="P11" i="8"/>
  <c r="Q11" i="8"/>
  <c r="O13" i="8" l="1"/>
  <c r="O14" i="8" s="1"/>
  <c r="P12" i="8"/>
  <c r="Q12" i="8"/>
  <c r="O15" i="8" l="1"/>
  <c r="P14" i="8"/>
  <c r="Q14" i="8"/>
  <c r="O16" i="8" l="1"/>
  <c r="P15" i="8"/>
  <c r="Q15" i="8"/>
  <c r="O17" i="8" l="1"/>
  <c r="P16" i="8"/>
  <c r="Q16" i="8"/>
  <c r="O18" i="8" l="1"/>
  <c r="P17" i="8"/>
  <c r="Q17" i="8"/>
  <c r="O19" i="8" l="1"/>
  <c r="P18" i="8"/>
  <c r="Q18" i="8"/>
  <c r="O20" i="8" l="1"/>
  <c r="P19" i="8"/>
  <c r="Q19" i="8"/>
  <c r="O21" i="8" l="1"/>
  <c r="P20" i="8"/>
  <c r="Q20" i="8"/>
  <c r="O22" i="8" l="1"/>
  <c r="P21" i="8"/>
  <c r="Q21" i="8"/>
  <c r="O23" i="8" l="1"/>
  <c r="P22" i="8"/>
  <c r="Q22" i="8"/>
  <c r="O24" i="8" l="1"/>
  <c r="Q23" i="8"/>
  <c r="P23" i="8"/>
  <c r="O25" i="8" l="1"/>
  <c r="P24" i="8"/>
  <c r="Q24" i="8"/>
  <c r="O26" i="8" l="1"/>
  <c r="P25" i="8"/>
  <c r="Q25" i="8"/>
  <c r="O27" i="8" l="1"/>
  <c r="P26" i="8"/>
  <c r="Q26" i="8"/>
  <c r="O28" i="8" l="1"/>
  <c r="P27" i="8"/>
  <c r="Q27" i="8"/>
  <c r="O29" i="8" l="1"/>
  <c r="P28" i="8"/>
  <c r="Q28" i="8"/>
  <c r="O30" i="8" l="1"/>
  <c r="P29" i="8"/>
  <c r="Q29" i="8"/>
  <c r="O31" i="8" l="1"/>
  <c r="P30" i="8"/>
  <c r="Q30" i="8"/>
  <c r="O32" i="8" l="1"/>
  <c r="P31" i="8"/>
  <c r="Q31" i="8"/>
  <c r="O33" i="8" l="1"/>
  <c r="P32" i="8"/>
  <c r="Q32" i="8"/>
  <c r="O34" i="8" l="1"/>
  <c r="P33" i="8"/>
  <c r="Q33" i="8"/>
  <c r="O35" i="8" l="1"/>
  <c r="P34" i="8"/>
  <c r="Q34" i="8"/>
  <c r="O36" i="8" l="1"/>
  <c r="P35" i="8"/>
  <c r="Q35" i="8"/>
  <c r="O37" i="8" l="1"/>
  <c r="P36" i="8"/>
  <c r="Q36" i="8"/>
  <c r="O38" i="8" l="1"/>
  <c r="O39" i="8" s="1"/>
  <c r="P37" i="8"/>
  <c r="Q37" i="8"/>
  <c r="O40" i="8" l="1"/>
  <c r="P39" i="8"/>
  <c r="Q39" i="8"/>
  <c r="O41" i="8" l="1"/>
  <c r="P40" i="8"/>
  <c r="Q40" i="8"/>
  <c r="O42" i="8" l="1"/>
  <c r="P41" i="8"/>
  <c r="Q41" i="8"/>
  <c r="O43" i="8" l="1"/>
  <c r="P42" i="8"/>
  <c r="Q42" i="8"/>
  <c r="O44" i="8" l="1"/>
  <c r="P43" i="8"/>
  <c r="Q43" i="8"/>
  <c r="O45" i="8" l="1"/>
  <c r="P44" i="8"/>
  <c r="Q44" i="8"/>
  <c r="O46" i="8" l="1"/>
  <c r="P45" i="8"/>
  <c r="Q45" i="8"/>
  <c r="O47" i="8" l="1"/>
  <c r="O48" i="8" s="1"/>
  <c r="P46" i="8"/>
  <c r="Q46" i="8"/>
  <c r="O49" i="8" l="1"/>
  <c r="P48" i="8"/>
  <c r="Q48" i="8"/>
  <c r="O50" i="8" l="1"/>
  <c r="P49" i="8"/>
  <c r="Q49" i="8"/>
  <c r="O51" i="8" l="1"/>
  <c r="P50" i="8"/>
  <c r="Q50" i="8"/>
  <c r="O52" i="8" l="1"/>
  <c r="P51" i="8"/>
  <c r="Q51" i="8"/>
  <c r="O53" i="8" l="1"/>
  <c r="P52" i="8"/>
  <c r="Q52" i="8"/>
  <c r="O54" i="8" l="1"/>
  <c r="P53" i="8"/>
  <c r="Q53" i="8"/>
  <c r="O55" i="8" l="1"/>
  <c r="P54" i="8"/>
  <c r="Q54" i="8"/>
  <c r="O56" i="8" l="1"/>
  <c r="P55" i="8"/>
  <c r="Q55" i="8"/>
  <c r="O57" i="8" l="1"/>
  <c r="P56" i="8"/>
  <c r="Q56" i="8"/>
  <c r="O58" i="8" l="1"/>
  <c r="P57" i="8"/>
  <c r="Q57" i="8"/>
  <c r="O59" i="8" l="1"/>
  <c r="P58" i="8"/>
  <c r="Q58" i="8"/>
  <c r="O60" i="8" l="1"/>
  <c r="Q59" i="8"/>
  <c r="P59" i="8"/>
  <c r="O61" i="8" l="1"/>
  <c r="O62" i="8" s="1"/>
  <c r="O63" i="8" s="1"/>
  <c r="O64" i="8" s="1"/>
  <c r="P60" i="8"/>
  <c r="Q60" i="8"/>
  <c r="O65" i="8" l="1"/>
  <c r="P64" i="8"/>
  <c r="Q64" i="8"/>
  <c r="O66" i="8" l="1"/>
  <c r="Q65" i="8"/>
  <c r="P65" i="8"/>
  <c r="O67" i="8" l="1"/>
  <c r="P66" i="8"/>
  <c r="Q66" i="8"/>
  <c r="O68" i="8" l="1"/>
  <c r="P67" i="8"/>
  <c r="Q67" i="8"/>
  <c r="O69" i="8" l="1"/>
  <c r="P68" i="8"/>
  <c r="Q68" i="8"/>
  <c r="O70" i="8" l="1"/>
  <c r="P69" i="8"/>
  <c r="Q69" i="8"/>
  <c r="O71" i="8" l="1"/>
  <c r="Q70" i="8"/>
  <c r="P70" i="8"/>
  <c r="O72" i="8" l="1"/>
  <c r="Q71" i="8"/>
  <c r="P71" i="8"/>
  <c r="O73" i="8" l="1"/>
  <c r="Q72" i="8"/>
  <c r="P72" i="8"/>
  <c r="O74" i="8" l="1"/>
  <c r="Q73" i="8"/>
  <c r="P73" i="8"/>
  <c r="O75" i="8" l="1"/>
  <c r="Q74" i="8"/>
  <c r="P74" i="8"/>
  <c r="O76" i="8" l="1"/>
  <c r="Q75" i="8"/>
  <c r="P75" i="8"/>
  <c r="O77" i="8" l="1"/>
  <c r="Q76" i="8"/>
  <c r="P76" i="8"/>
  <c r="O78" i="8" l="1"/>
  <c r="Q77" i="8"/>
  <c r="P77" i="8"/>
  <c r="O79" i="8" l="1"/>
  <c r="O80" i="8" s="1"/>
  <c r="P78" i="8"/>
  <c r="Q78" i="8"/>
  <c r="O81" i="8" l="1"/>
  <c r="P80" i="8"/>
  <c r="Q80" i="8"/>
  <c r="O82" i="8" l="1"/>
  <c r="P81" i="8"/>
  <c r="Q81" i="8"/>
  <c r="O83" i="8" l="1"/>
  <c r="Q82" i="8"/>
  <c r="P82" i="8"/>
  <c r="O84" i="8" l="1"/>
  <c r="Q83" i="8"/>
  <c r="P83" i="8"/>
  <c r="O85" i="8" l="1"/>
  <c r="Q84" i="8"/>
  <c r="P84" i="8"/>
  <c r="O86" i="8" l="1"/>
  <c r="Q85" i="8"/>
  <c r="P85" i="8"/>
  <c r="O87" i="8" l="1"/>
  <c r="Q86" i="8"/>
  <c r="P86" i="8"/>
  <c r="O88" i="8" l="1"/>
  <c r="Q87" i="8"/>
  <c r="P87" i="8"/>
  <c r="O89" i="8" l="1"/>
  <c r="Q88" i="8"/>
  <c r="P88" i="8"/>
  <c r="O90" i="8" l="1"/>
  <c r="Q89" i="8"/>
  <c r="P89" i="8"/>
  <c r="O91" i="8" l="1"/>
  <c r="Q90" i="8"/>
  <c r="P90" i="8"/>
  <c r="O92" i="8" l="1"/>
  <c r="Q91" i="8"/>
  <c r="P91" i="8"/>
  <c r="O93" i="8" l="1"/>
  <c r="Q92" i="8"/>
  <c r="P92" i="8"/>
  <c r="O94" i="8" l="1"/>
  <c r="Q93" i="8"/>
  <c r="P93" i="8"/>
  <c r="O95" i="8" l="1"/>
  <c r="Q94" i="8"/>
  <c r="P94" i="8"/>
  <c r="O96" i="8" l="1"/>
  <c r="Q95" i="8"/>
  <c r="P95" i="8"/>
  <c r="O97" i="8" l="1"/>
  <c r="Q96" i="8"/>
  <c r="P96" i="8"/>
  <c r="O98" i="8" l="1"/>
  <c r="Q97" i="8"/>
  <c r="P97" i="8"/>
  <c r="O99" i="8" l="1"/>
  <c r="Q98" i="8"/>
  <c r="P98" i="8"/>
  <c r="O100" i="8" l="1"/>
  <c r="Q99" i="8"/>
  <c r="P99" i="8"/>
  <c r="O101" i="8" l="1"/>
  <c r="Q100" i="8"/>
  <c r="P100" i="8"/>
  <c r="O102" i="8" l="1"/>
  <c r="Q101" i="8"/>
  <c r="P101" i="8"/>
  <c r="O103" i="8" l="1"/>
  <c r="Q102" i="8"/>
  <c r="P102" i="8"/>
  <c r="O104" i="8" l="1"/>
  <c r="Q103" i="8"/>
  <c r="P103" i="8"/>
  <c r="O105" i="8" l="1"/>
  <c r="Q104" i="8"/>
  <c r="P104" i="8"/>
  <c r="O106" i="8" l="1"/>
  <c r="Q105" i="8"/>
  <c r="P105" i="8"/>
  <c r="O107" i="8" l="1"/>
  <c r="Q106" i="8"/>
  <c r="P106" i="8"/>
  <c r="O108" i="8" l="1"/>
  <c r="Q107" i="8"/>
  <c r="P107" i="8"/>
  <c r="O109" i="8" l="1"/>
  <c r="Q108" i="8"/>
  <c r="P108" i="8"/>
  <c r="O110" i="8" l="1"/>
  <c r="Q109" i="8"/>
  <c r="P109" i="8"/>
  <c r="O111" i="8" l="1"/>
  <c r="Q110" i="8"/>
  <c r="P110" i="8"/>
  <c r="O112" i="8" l="1"/>
  <c r="Q111" i="8"/>
  <c r="P111" i="8"/>
  <c r="O113" i="8" l="1"/>
  <c r="Q112" i="8"/>
  <c r="P112" i="8"/>
  <c r="O114" i="8" l="1"/>
  <c r="O115" i="8" s="1"/>
  <c r="Q113" i="8"/>
  <c r="P113" i="8"/>
  <c r="O116" i="8" l="1"/>
  <c r="Q115" i="8"/>
  <c r="P115" i="8"/>
  <c r="O117" i="8" l="1"/>
  <c r="Q116" i="8"/>
  <c r="P116" i="8"/>
  <c r="O118" i="8" l="1"/>
  <c r="Q117" i="8"/>
  <c r="P117" i="8"/>
  <c r="O119" i="8" l="1"/>
  <c r="Q118" i="8"/>
  <c r="P118" i="8"/>
  <c r="O120" i="8" l="1"/>
  <c r="Q119" i="8"/>
  <c r="P119" i="8"/>
  <c r="O121" i="8" l="1"/>
  <c r="Q120" i="8"/>
  <c r="P120" i="8"/>
  <c r="O122" i="8" l="1"/>
  <c r="Q121" i="8"/>
  <c r="P121" i="8"/>
  <c r="O123" i="8" l="1"/>
  <c r="Q122" i="8"/>
  <c r="P122" i="8"/>
  <c r="O124" i="8" l="1"/>
  <c r="Q123" i="8"/>
  <c r="P123" i="8"/>
  <c r="O125" i="8" l="1"/>
  <c r="Q124" i="8"/>
  <c r="P124" i="8"/>
  <c r="O126" i="8" l="1"/>
  <c r="Q125" i="8"/>
  <c r="P125" i="8"/>
  <c r="O127" i="8" l="1"/>
  <c r="Q126" i="8"/>
  <c r="P126" i="8"/>
  <c r="O128" i="8" l="1"/>
  <c r="Q127" i="8"/>
  <c r="P127" i="8"/>
  <c r="O129" i="8" l="1"/>
  <c r="Q128" i="8"/>
  <c r="P128" i="8"/>
  <c r="O130" i="8" l="1"/>
  <c r="Q129" i="8"/>
  <c r="P129" i="8"/>
  <c r="O131" i="8" l="1"/>
  <c r="Q130" i="8"/>
  <c r="P130" i="8"/>
  <c r="O132" i="8" l="1"/>
  <c r="Q131" i="8"/>
  <c r="P131" i="8"/>
  <c r="O133" i="8" l="1"/>
  <c r="Q132" i="8"/>
  <c r="P132" i="8"/>
  <c r="O134" i="8" l="1"/>
  <c r="Q133" i="8"/>
  <c r="P133" i="8"/>
  <c r="O135" i="8" l="1"/>
  <c r="Q134" i="8"/>
  <c r="P134" i="8"/>
  <c r="O136" i="8" l="1"/>
  <c r="Q135" i="8"/>
  <c r="P135" i="8"/>
  <c r="O137" i="8" l="1"/>
  <c r="Q136" i="8"/>
  <c r="P136" i="8"/>
  <c r="O138" i="8" l="1"/>
  <c r="O139" i="8" s="1"/>
  <c r="P137" i="8"/>
  <c r="Q137" i="8"/>
  <c r="O140" i="8" l="1"/>
  <c r="P139" i="8"/>
  <c r="Q139" i="8"/>
  <c r="O141" i="8" l="1"/>
  <c r="O142" i="8" s="1"/>
  <c r="P140" i="8"/>
  <c r="Q140" i="8"/>
  <c r="O143" i="8" l="1"/>
  <c r="P142" i="8"/>
  <c r="Q142" i="8"/>
  <c r="O144" i="8" l="1"/>
  <c r="P143" i="8"/>
  <c r="Q143" i="8"/>
  <c r="O145" i="8" l="1"/>
  <c r="Q144" i="8"/>
  <c r="P144" i="8"/>
  <c r="O146" i="8" l="1"/>
  <c r="Q145" i="8"/>
  <c r="P145" i="8"/>
  <c r="O147" i="8" l="1"/>
  <c r="Q146" i="8"/>
  <c r="P146" i="8"/>
  <c r="O148" i="8" l="1"/>
  <c r="Q147" i="8"/>
  <c r="P147" i="8"/>
  <c r="O149" i="8" l="1"/>
  <c r="Q148" i="8"/>
  <c r="P148" i="8"/>
  <c r="O150" i="8" l="1"/>
  <c r="Q149" i="8"/>
  <c r="P149" i="8"/>
  <c r="O151" i="8" l="1"/>
  <c r="O152" i="8" s="1"/>
  <c r="P150" i="8"/>
  <c r="Q150" i="8"/>
  <c r="O153" i="8" l="1"/>
  <c r="Q152" i="8"/>
  <c r="P152" i="8"/>
  <c r="O154" i="8" l="1"/>
  <c r="Q153" i="8"/>
  <c r="P153" i="8"/>
  <c r="O155" i="8" l="1"/>
  <c r="Q154" i="8"/>
  <c r="P154" i="8"/>
  <c r="T12" i="8" l="1"/>
  <c r="T6" i="8"/>
  <c r="T13" i="8"/>
  <c r="T4" i="8"/>
  <c r="T7" i="8"/>
  <c r="T23" i="8"/>
  <c r="T21" i="8"/>
  <c r="T24" i="8"/>
  <c r="T3" i="8"/>
  <c r="T15" i="8"/>
  <c r="T25" i="8"/>
  <c r="T20" i="8"/>
  <c r="T11" i="8"/>
  <c r="T26" i="8"/>
  <c r="T22" i="8"/>
  <c r="T14" i="8"/>
  <c r="T2" i="8"/>
  <c r="T10" i="8"/>
  <c r="T17" i="8"/>
  <c r="T5" i="8"/>
  <c r="T18" i="8"/>
  <c r="T9" i="8"/>
  <c r="T8" i="8"/>
  <c r="T16" i="8"/>
  <c r="T19" i="8"/>
</calcChain>
</file>

<file path=xl/connections.xml><?xml version="1.0" encoding="utf-8"?>
<connections xmlns="http://schemas.openxmlformats.org/spreadsheetml/2006/main">
  <connection id="1" name="current_rosters" type="6" refreshedVersion="4" background="1" saveData="1">
    <textPr prompt="0" codePage="437" sourceFile="C:\Users\Owner\Documents\GitHub\Fantasy-Football\current_rosters.txt" tab="0" space="1" consecutive="1">
      <textFields count="2">
        <textField/>
        <textField/>
      </textFields>
    </textPr>
  </connection>
  <connection id="2" name="D_proj" type="6" refreshedVersion="4" background="1" saveData="1">
    <textPr prompt="0" codePage="437" sourceFile="C:\Users\Owner\Documents\GitHub\Fantasy-Football\D_proj.txt" tab="0" space="1" consecutive="1">
      <textFields count="20">
        <textField/>
        <textField/>
        <textField/>
        <textField/>
        <textField/>
        <textField/>
        <textField/>
        <textField/>
        <textField/>
        <textField/>
        <textField/>
        <textField/>
        <textField/>
        <textField/>
        <textField/>
        <textField/>
        <textField/>
        <textField/>
        <textField/>
        <textField/>
      </textFields>
    </textPr>
  </connection>
  <connection id="3" name="FLEX_proj" type="6" refreshedVersion="4" background="1" saveData="1">
    <textPr prompt="0" codePage="437" sourceFile="C:\Users\Owner\Documents\GitHub\Fantasy-Football\FLEX_proj.txt" tab="0" space="1" consecutive="1">
      <textFields count="10">
        <textField/>
        <textField/>
        <textField/>
        <textField/>
        <textField/>
        <textField/>
        <textField/>
        <textField/>
        <textField/>
        <textField/>
      </textFields>
    </textPr>
  </connection>
  <connection id="4" name="Grid_proj" type="6" refreshedVersion="4" background="1" saveData="1">
    <textPr prompt="0" codePage="437" sourceFile="C:\Users\Owner\Documents\GitHub\Fantasy-Football\Grid_proj.txt" space="1" consecutive="1">
      <textFields count="19">
        <textField/>
        <textField/>
        <textField/>
        <textField/>
        <textField/>
        <textField/>
        <textField/>
        <textField/>
        <textField/>
        <textField/>
        <textField/>
        <textField/>
        <textField/>
        <textField/>
        <textField/>
        <textField/>
        <textField/>
        <textField/>
        <textField/>
      </textFields>
    </textPr>
  </connection>
  <connection id="5" name="K_proj" type="6" refreshedVersion="4" background="1" saveData="1">
    <textPr prompt="0" codePage="437" sourceFile="C:\Users\Owner\Documents\GitHub\Fantasy-Football\K_proj.txt" tab="0" space="1" consecutive="1">
      <textFields count="16">
        <textField/>
        <textField/>
        <textField/>
        <textField/>
        <textField/>
        <textField/>
        <textField/>
        <textField/>
        <textField/>
        <textField/>
        <textField/>
        <textField/>
        <textField/>
        <textField/>
        <textField/>
        <textField/>
      </textFields>
    </textPr>
  </connection>
  <connection id="6" name="results" type="6" refreshedVersion="4" background="1" saveData="1">
    <textPr prompt="0" codePage="437" sourceFile="C:\Users\Owner\Documents\GitHub\Fantasy-Football\results.txt" tab="0" space="1" consecutive="1">
      <textFields count="9">
        <textField/>
        <textField/>
        <textField/>
        <textField/>
        <textField/>
        <textField/>
        <textField/>
        <textField/>
        <textField/>
      </textFields>
    </textPr>
  </connection>
  <connection id="7" name="sched" type="6" refreshedVersion="4" background="1" saveData="1">
    <textPr prompt="0" codePage="437" sourceFile="C:\Users\Owner\Documents\GitHub\Fantasy-Football\sched.txt" tab="0" semicolon="1">
      <textFields count="3">
        <textField/>
        <textField/>
        <textField/>
      </textFields>
    </textPr>
  </connection>
</connections>
</file>

<file path=xl/sharedStrings.xml><?xml version="1.0" encoding="utf-8"?>
<sst xmlns="http://schemas.openxmlformats.org/spreadsheetml/2006/main" count="56600" uniqueCount="9119">
  <si>
    <t>Player</t>
  </si>
  <si>
    <t>Week</t>
  </si>
  <si>
    <t>range</t>
  </si>
  <si>
    <t>proj</t>
  </si>
  <si>
    <t>rnk</t>
  </si>
  <si>
    <t>pos</t>
  </si>
  <si>
    <t>max</t>
  </si>
  <si>
    <t>min</t>
  </si>
  <si>
    <t>std</t>
  </si>
  <si>
    <t>Var</t>
  </si>
  <si>
    <t>Owner</t>
  </si>
  <si>
    <t>OwnerWeekPos</t>
  </si>
  <si>
    <t>OwnerWeekPosRnk</t>
  </si>
  <si>
    <t>Aaron Rodgers</t>
  </si>
  <si>
    <t>#30</t>
  </si>
  <si>
    <t>QB</t>
  </si>
  <si>
    <t>cory</t>
  </si>
  <si>
    <t>#31</t>
  </si>
  <si>
    <t>Tom Brady</t>
  </si>
  <si>
    <t>#24</t>
  </si>
  <si>
    <t>scott</t>
  </si>
  <si>
    <t>Drew Brees</t>
  </si>
  <si>
    <t>#23</t>
  </si>
  <si>
    <t>perry</t>
  </si>
  <si>
    <t>#32</t>
  </si>
  <si>
    <t>#26</t>
  </si>
  <si>
    <t>Matt Ryan</t>
  </si>
  <si>
    <t>comp</t>
  </si>
  <si>
    <t>#8</t>
  </si>
  <si>
    <t>#11</t>
  </si>
  <si>
    <t>#18</t>
  </si>
  <si>
    <t>#19</t>
  </si>
  <si>
    <t>#25</t>
  </si>
  <si>
    <t>Andrew Luck</t>
  </si>
  <si>
    <t>#28</t>
  </si>
  <si>
    <t>devon</t>
  </si>
  <si>
    <t>#27</t>
  </si>
  <si>
    <t>#20</t>
  </si>
  <si>
    <t>#14</t>
  </si>
  <si>
    <t>Cam Newton</t>
  </si>
  <si>
    <t>jason</t>
  </si>
  <si>
    <t>#21</t>
  </si>
  <si>
    <t>#16</t>
  </si>
  <si>
    <t>Kirk Cousins</t>
  </si>
  <si>
    <t>seth</t>
  </si>
  <si>
    <t>David Johnson</t>
  </si>
  <si>
    <t>#29</t>
  </si>
  <si>
    <t>RB</t>
  </si>
  <si>
    <t>Le'Veon Bell</t>
  </si>
  <si>
    <t>matty</t>
  </si>
  <si>
    <t>#6</t>
  </si>
  <si>
    <t>#15</t>
  </si>
  <si>
    <t>#2</t>
  </si>
  <si>
    <t>Russell Wilson</t>
  </si>
  <si>
    <t>#22</t>
  </si>
  <si>
    <t>aj</t>
  </si>
  <si>
    <t>#10</t>
  </si>
  <si>
    <t>Ezekiel Elliott</t>
  </si>
  <si>
    <t>#13</t>
  </si>
  <si>
    <t>Dak Prescott</t>
  </si>
  <si>
    <t>#12</t>
  </si>
  <si>
    <t>Jameis Winston</t>
  </si>
  <si>
    <t>chad</t>
  </si>
  <si>
    <t>Andy Dalton</t>
  </si>
  <si>
    <t>NA</t>
  </si>
  <si>
    <t>Ben Roethlisberger</t>
  </si>
  <si>
    <t>#9</t>
  </si>
  <si>
    <t>Philip Rivers</t>
  </si>
  <si>
    <t>Tyrod Taylor</t>
  </si>
  <si>
    <t>Marcus Mariota</t>
  </si>
  <si>
    <t>Matthew Stafford</t>
  </si>
  <si>
    <t>Derek Carr</t>
  </si>
  <si>
    <t>#5</t>
  </si>
  <si>
    <t>#4</t>
  </si>
  <si>
    <t>#7</t>
  </si>
  <si>
    <t>Eli Manning</t>
  </si>
  <si>
    <t>#3</t>
  </si>
  <si>
    <t>#1</t>
  </si>
  <si>
    <t>Sam Bradford</t>
  </si>
  <si>
    <t>Blake Bortles</t>
  </si>
  <si>
    <t>Carson Wentz</t>
  </si>
  <si>
    <t>LeSean McCoy</t>
  </si>
  <si>
    <t>Joe Flacco</t>
  </si>
  <si>
    <t>Jared Goff</t>
  </si>
  <si>
    <t>Mike Glennon</t>
  </si>
  <si>
    <t>DeMarco Murray</t>
  </si>
  <si>
    <t>Odell Beckham Jr.</t>
  </si>
  <si>
    <t>WR</t>
  </si>
  <si>
    <t>Josh McCown</t>
  </si>
  <si>
    <t>Jay Ajayi</t>
  </si>
  <si>
    <t>Devonta Freeman</t>
  </si>
  <si>
    <t>DeShone Kizer</t>
  </si>
  <si>
    <t>Melvin Gordon</t>
  </si>
  <si>
    <t>Julio Jones</t>
  </si>
  <si>
    <t>Todd Gurley</t>
  </si>
  <si>
    <t>Alex Smith</t>
  </si>
  <si>
    <t>Antonio Brown</t>
  </si>
  <si>
    <t>Jordan Howard</t>
  </si>
  <si>
    <t>Jordy Nelson</t>
  </si>
  <si>
    <t>Lamar Miller</t>
  </si>
  <si>
    <t>Mike Evans</t>
  </si>
  <si>
    <t>Doug Martin</t>
  </si>
  <si>
    <t>Trevor Siemian</t>
  </si>
  <si>
    <t>Amari Cooper</t>
  </si>
  <si>
    <t>A.J. Green</t>
  </si>
  <si>
    <t>Doug Baldwin</t>
  </si>
  <si>
    <t>Dez Bryant</t>
  </si>
  <si>
    <t>T.Y. Hilton</t>
  </si>
  <si>
    <t>Brandin Cooks</t>
  </si>
  <si>
    <t>Ty Montgomery</t>
  </si>
  <si>
    <t>Michael Thomas</t>
  </si>
  <si>
    <t>Leonard Fournette</t>
  </si>
  <si>
    <t>Christian McCaffrey</t>
  </si>
  <si>
    <t>Rob Gronkowski</t>
  </si>
  <si>
    <t>TE</t>
  </si>
  <si>
    <t>Kareem Hunt</t>
  </si>
  <si>
    <t>Michael Crabtree</t>
  </si>
  <si>
    <t>Isaiah Crowell</t>
  </si>
  <si>
    <t>Jordan Reed</t>
  </si>
  <si>
    <t>Allen Robinson</t>
  </si>
  <si>
    <t>DeAndre Hopkins</t>
  </si>
  <si>
    <t>Ameer Abdullah</t>
  </si>
  <si>
    <t>Golden Tate</t>
  </si>
  <si>
    <t>Joe Mixon</t>
  </si>
  <si>
    <t>Tyreek Hill</t>
  </si>
  <si>
    <t>Sammy Watkins</t>
  </si>
  <si>
    <t>Alshon Jeffery</t>
  </si>
  <si>
    <t>Dalvin Cook</t>
  </si>
  <si>
    <t>Frank Gore</t>
  </si>
  <si>
    <t>Tyler Eifert</t>
  </si>
  <si>
    <t>Carlos Hyde</t>
  </si>
  <si>
    <t>C.J. Anderson</t>
  </si>
  <si>
    <t>Marshawn Lynch</t>
  </si>
  <si>
    <t>Stefon Diggs</t>
  </si>
  <si>
    <t>Jarvis Landry</t>
  </si>
  <si>
    <t>Davante Adams</t>
  </si>
  <si>
    <t>Demaryius Thomas</t>
  </si>
  <si>
    <t>Jamison Crowder</t>
  </si>
  <si>
    <t>Mark Ingram</t>
  </si>
  <si>
    <t>Bilal Powell</t>
  </si>
  <si>
    <t>Larry Fitzgerald</t>
  </si>
  <si>
    <t>Greg Olsen</t>
  </si>
  <si>
    <t>Jacquizz Rodgers</t>
  </si>
  <si>
    <t>Terrelle Pryor Sr.</t>
  </si>
  <si>
    <t>Mike Gillislee</t>
  </si>
  <si>
    <t>Tevin Coleman</t>
  </si>
  <si>
    <t>Paul Perkins</t>
  </si>
  <si>
    <t>Donte Moncrief</t>
  </si>
  <si>
    <t>Eddie Lacy</t>
  </si>
  <si>
    <t>Emmanuel Sanders</t>
  </si>
  <si>
    <t>Kelvin Benjamin</t>
  </si>
  <si>
    <t>Travis Kelce</t>
  </si>
  <si>
    <t>Willie Snead</t>
  </si>
  <si>
    <t>Eric Decker</t>
  </si>
  <si>
    <t>Keenan Allen</t>
  </si>
  <si>
    <t>Theo Riddick</t>
  </si>
  <si>
    <t>Martavis Bryant</t>
  </si>
  <si>
    <t>Jeremy Maclin</t>
  </si>
  <si>
    <t>Adrian Peterson</t>
  </si>
  <si>
    <t>Chris Hogan</t>
  </si>
  <si>
    <t>Pierre Garcon</t>
  </si>
  <si>
    <t>Kenny Britt</t>
  </si>
  <si>
    <t>Jimmy Graham</t>
  </si>
  <si>
    <t>DeSean Jackson</t>
  </si>
  <si>
    <t>Samaje Perine</t>
  </si>
  <si>
    <t>Delanie Walker</t>
  </si>
  <si>
    <t>Randall Cobb</t>
  </si>
  <si>
    <t>Brandon Marshall</t>
  </si>
  <si>
    <t>Ted Ginn Jr.</t>
  </si>
  <si>
    <t>Corey Coleman</t>
  </si>
  <si>
    <t>LeGarrette Blount</t>
  </si>
  <si>
    <t>Corey Davis</t>
  </si>
  <si>
    <t>Matt Forte</t>
  </si>
  <si>
    <t>Rishard Matthews</t>
  </si>
  <si>
    <t>Terrance West</t>
  </si>
  <si>
    <t>DeVante Parker</t>
  </si>
  <si>
    <t>Martellus Bennett</t>
  </si>
  <si>
    <t>Zach Ertz</t>
  </si>
  <si>
    <t>Eric Ebron</t>
  </si>
  <si>
    <t>Deshaun Watson</t>
  </si>
  <si>
    <t>Tyler Lockett</t>
  </si>
  <si>
    <t>Kyle Rudolph</t>
  </si>
  <si>
    <t>Zay Jones</t>
  </si>
  <si>
    <t>Duke Johnson Jr.</t>
  </si>
  <si>
    <t>Mike Wallace</t>
  </si>
  <si>
    <t>John Brown</t>
  </si>
  <si>
    <t>Jonathan Stewart</t>
  </si>
  <si>
    <t>Latavius Murray</t>
  </si>
  <si>
    <t>Coby Fleener</t>
  </si>
  <si>
    <t>Jack Doyle</t>
  </si>
  <si>
    <t>Tavon Austin</t>
  </si>
  <si>
    <t>Adam Thielen</t>
  </si>
  <si>
    <t>Sterling Shepard</t>
  </si>
  <si>
    <t>James White</t>
  </si>
  <si>
    <t>Mohamed Sanu</t>
  </si>
  <si>
    <t>Kenny Golladay</t>
  </si>
  <si>
    <t>Giovani Bernard</t>
  </si>
  <si>
    <t>Cole Beasley</t>
  </si>
  <si>
    <t>Kevin White</t>
  </si>
  <si>
    <t>Hunter Henry</t>
  </si>
  <si>
    <t>Zach Miller</t>
  </si>
  <si>
    <t>Derrick Henry</t>
  </si>
  <si>
    <t>Chris Thompson</t>
  </si>
  <si>
    <t>Robby Anderson</t>
  </si>
  <si>
    <t>Jeremy Hill</t>
  </si>
  <si>
    <t>Jamaal Williams</t>
  </si>
  <si>
    <t>Jason Witten</t>
  </si>
  <si>
    <t>Dion Lewis</t>
  </si>
  <si>
    <t>Jared Cook</t>
  </si>
  <si>
    <t>Torrey Smith</t>
  </si>
  <si>
    <t>Tyrell Williams</t>
  </si>
  <si>
    <t>Austin Hooper</t>
  </si>
  <si>
    <t>Alfred Morris</t>
  </si>
  <si>
    <t>Cameron Brate</t>
  </si>
  <si>
    <t>Vance McDonald</t>
  </si>
  <si>
    <t>David Njoku</t>
  </si>
  <si>
    <t>C.J. Prosise</t>
  </si>
  <si>
    <t>Charles Clay</t>
  </si>
  <si>
    <t>DeAndre Washington</t>
  </si>
  <si>
    <t>Jermaine Kearse</t>
  </si>
  <si>
    <t>Kenny Stills</t>
  </si>
  <si>
    <t>Tyler Boyd</t>
  </si>
  <si>
    <t>Terrance Williams</t>
  </si>
  <si>
    <t>Paul Richardson</t>
  </si>
  <si>
    <t>Marlon Mack</t>
  </si>
  <si>
    <t>Jeremy Kerley</t>
  </si>
  <si>
    <t>Mike Williams</t>
  </si>
  <si>
    <t>Danny Amendola</t>
  </si>
  <si>
    <t>Matt Breida</t>
  </si>
  <si>
    <t>O.J. Howard</t>
  </si>
  <si>
    <t>Josh Doctson</t>
  </si>
  <si>
    <t>Jermaine Gresham</t>
  </si>
  <si>
    <t>Jalen Richard</t>
  </si>
  <si>
    <t>Curtis Samuel</t>
  </si>
  <si>
    <t>ArDarius Stewart</t>
  </si>
  <si>
    <t>Evan Engram</t>
  </si>
  <si>
    <t>Rex Burkhead</t>
  </si>
  <si>
    <t>Taylor Gabriel</t>
  </si>
  <si>
    <t>Seth Roberts</t>
  </si>
  <si>
    <t>John Ross</t>
  </si>
  <si>
    <t>Nelson Agholor</t>
  </si>
  <si>
    <t>J.J. Nelson</t>
  </si>
  <si>
    <t>Adam Humphries</t>
  </si>
  <si>
    <t>Phillip Dorsett</t>
  </si>
  <si>
    <t>Tyler Higbee</t>
  </si>
  <si>
    <t>T.J. Yeldon</t>
  </si>
  <si>
    <t>Marqise Lee</t>
  </si>
  <si>
    <t>Austin Seferian-Jenkins</t>
  </si>
  <si>
    <t>Robert Woods</t>
  </si>
  <si>
    <t>Travis Benjamin</t>
  </si>
  <si>
    <t>Wendell Smallwood</t>
  </si>
  <si>
    <t>Devin Funchess</t>
  </si>
  <si>
    <t>Allen Hurns</t>
  </si>
  <si>
    <t>Justin Hardy</t>
  </si>
  <si>
    <t>Dwayne Allen</t>
  </si>
  <si>
    <t>Marquise Goodwin</t>
  </si>
  <si>
    <t>Cooper Kupp</t>
  </si>
  <si>
    <t>Alvin Kamara</t>
  </si>
  <si>
    <t>Jerick McKinnon</t>
  </si>
  <si>
    <t>Russell Shepard</t>
  </si>
  <si>
    <t>D'Onta Foreman</t>
  </si>
  <si>
    <t>Benjamin Watson</t>
  </si>
  <si>
    <t>Laquon Treadwell</t>
  </si>
  <si>
    <t>T.J. Jones</t>
  </si>
  <si>
    <t>George Kittle</t>
  </si>
  <si>
    <t>Vernon Davis</t>
  </si>
  <si>
    <t>Will Fuller V</t>
  </si>
  <si>
    <t>Virgil Green</t>
  </si>
  <si>
    <t>Wayne Gallman</t>
  </si>
  <si>
    <t>Roger Lewis</t>
  </si>
  <si>
    <t>Maxx Williams</t>
  </si>
  <si>
    <t>Geronimo Allison</t>
  </si>
  <si>
    <t>Damien Williams</t>
  </si>
  <si>
    <t>Albert Wilson</t>
  </si>
  <si>
    <t>Ryan Griffin</t>
  </si>
  <si>
    <t>Devontae Booker</t>
  </si>
  <si>
    <t>Andre Holmes</t>
  </si>
  <si>
    <t>Garrett Celek</t>
  </si>
  <si>
    <t>Orleans Darkwa</t>
  </si>
  <si>
    <t>Levine Toilolo</t>
  </si>
  <si>
    <t>Chris Ivory</t>
  </si>
  <si>
    <t>Aaron Jones</t>
  </si>
  <si>
    <t>Malcolm Brown</t>
  </si>
  <si>
    <t>Cordarrelle Patterson</t>
  </si>
  <si>
    <t>Dion Sims</t>
  </si>
  <si>
    <t>Tarik Cohen</t>
  </si>
  <si>
    <t>A.J. Derby</t>
  </si>
  <si>
    <t>Josh Hill</t>
  </si>
  <si>
    <t>Marcedes Lewis</t>
  </si>
  <si>
    <t>Troy Niklas</t>
  </si>
  <si>
    <t>Kenyan Drake</t>
  </si>
  <si>
    <t>Mitchell Trubisky</t>
  </si>
  <si>
    <t>Luke Willson</t>
  </si>
  <si>
    <t>Benny Cunningham</t>
  </si>
  <si>
    <t>Alfred Blue</t>
  </si>
  <si>
    <t>Richard Rodgers</t>
  </si>
  <si>
    <t>Jarius Wright</t>
  </si>
  <si>
    <t>Seth DeValve</t>
  </si>
  <si>
    <t>James Conner</t>
  </si>
  <si>
    <t>Jesse James</t>
  </si>
  <si>
    <t>Lance Kendricks</t>
  </si>
  <si>
    <t>C.J. Uzomah</t>
  </si>
  <si>
    <t>Patrick Mahomes</t>
  </si>
  <si>
    <t>Taywan Taylor</t>
  </si>
  <si>
    <t>Darrius Heyward-Bey</t>
  </si>
  <si>
    <t>Chester Rogers</t>
  </si>
  <si>
    <t>Javorius Allen</t>
  </si>
  <si>
    <t>Ed Dickson</t>
  </si>
  <si>
    <t>Jeff Heuerman</t>
  </si>
  <si>
    <t>Geoff Swaim</t>
  </si>
  <si>
    <t>Demetrius Harris</t>
  </si>
  <si>
    <t>Chad Henne</t>
  </si>
  <si>
    <t>Darren Fells</t>
  </si>
  <si>
    <t>Trey Burton</t>
  </si>
  <si>
    <t>Ryan Fitzpatrick</t>
  </si>
  <si>
    <t>Luke Stocker</t>
  </si>
  <si>
    <t>Corey Grant</t>
  </si>
  <si>
    <t>Derek Watt</t>
  </si>
  <si>
    <t>David Morgan</t>
  </si>
  <si>
    <t>Brock Osweiler</t>
  </si>
  <si>
    <t>Elijah McGuire</t>
  </si>
  <si>
    <t>Johnny Holton</t>
  </si>
  <si>
    <t>Kevin Hogan</t>
  </si>
  <si>
    <t>Niles Paul</t>
  </si>
  <si>
    <t>A.J. McCarron</t>
  </si>
  <si>
    <t>Tyler Kroft</t>
  </si>
  <si>
    <t>Sean McGrath</t>
  </si>
  <si>
    <t>Justin Hunter</t>
  </si>
  <si>
    <t>Patrick DiMarco</t>
  </si>
  <si>
    <t>Trevor Davis</t>
  </si>
  <si>
    <t>Chris Manhertz</t>
  </si>
  <si>
    <t>Colt McCoy</t>
  </si>
  <si>
    <t>Senorise Perry</t>
  </si>
  <si>
    <t>Jimmy Garoppolo</t>
  </si>
  <si>
    <t>Tanner McEvoy</t>
  </si>
  <si>
    <t>Jordan Taylor</t>
  </si>
  <si>
    <t>Andy Janovich</t>
  </si>
  <si>
    <t>Sammie Coates</t>
  </si>
  <si>
    <t>Jaron Brown</t>
  </si>
  <si>
    <t>Kyle Juszczyk</t>
  </si>
  <si>
    <t>0.07-1.27</t>
  </si>
  <si>
    <t>Demarcus Robinson</t>
  </si>
  <si>
    <t>Cody Core</t>
  </si>
  <si>
    <t>0.07-1.23</t>
  </si>
  <si>
    <t>Nick Foles</t>
  </si>
  <si>
    <t>Matt Schaub</t>
  </si>
  <si>
    <t>Alex Erickson</t>
  </si>
  <si>
    <t>Sean Mannion</t>
  </si>
  <si>
    <t>Jerell Adams</t>
  </si>
  <si>
    <t>Pharoh Cooper</t>
  </si>
  <si>
    <t>0.09-1.09</t>
  </si>
  <si>
    <t>Cameron Artis-Payne</t>
  </si>
  <si>
    <t>0.03-1.13</t>
  </si>
  <si>
    <t>0.00-1.14</t>
  </si>
  <si>
    <t>0.08-1.06</t>
  </si>
  <si>
    <t>Peyton Barber</t>
  </si>
  <si>
    <t>0.00-1.12</t>
  </si>
  <si>
    <t>Chris Moore</t>
  </si>
  <si>
    <t>James O'Shaughnessy</t>
  </si>
  <si>
    <t>Josh Bellamy</t>
  </si>
  <si>
    <t>MarQueis Gray</t>
  </si>
  <si>
    <t>De'Anthony Thomas</t>
  </si>
  <si>
    <t>Nick Vannett</t>
  </si>
  <si>
    <t>0.01-1.07</t>
  </si>
  <si>
    <t>Tommylee Lewis</t>
  </si>
  <si>
    <t>Brett Hundley</t>
  </si>
  <si>
    <t>0.08-0.98</t>
  </si>
  <si>
    <t>0.01-1.05</t>
  </si>
  <si>
    <t>Keith Smith</t>
  </si>
  <si>
    <t>Matt Cassel</t>
  </si>
  <si>
    <t>0.04-0.98</t>
  </si>
  <si>
    <t>0.00-1.02</t>
  </si>
  <si>
    <t>Xavier Grimble</t>
  </si>
  <si>
    <t>Cody Latimer</t>
  </si>
  <si>
    <t>James Develin</t>
  </si>
  <si>
    <t>0.00-0.94</t>
  </si>
  <si>
    <t>Ross Travis</t>
  </si>
  <si>
    <t>0.00-0.92</t>
  </si>
  <si>
    <t>Jakeem Grant</t>
  </si>
  <si>
    <t>Raheem Mostert</t>
  </si>
  <si>
    <t>Derek Carrier</t>
  </si>
  <si>
    <t>Ryan Grant</t>
  </si>
  <si>
    <t>Dan Vitale</t>
  </si>
  <si>
    <t>Drew Stanton</t>
  </si>
  <si>
    <t>Chase Daniel</t>
  </si>
  <si>
    <t>Anthony Sherman</t>
  </si>
  <si>
    <t>Nick Boyle</t>
  </si>
  <si>
    <t>Rhett Ellison</t>
  </si>
  <si>
    <t>Rod Smith</t>
  </si>
  <si>
    <t>Lee Smith</t>
  </si>
  <si>
    <t>Roosevelt Nix</t>
  </si>
  <si>
    <t>Matt Slater</t>
  </si>
  <si>
    <t>pts_all</t>
  </si>
  <si>
    <t>sacks</t>
  </si>
  <si>
    <t>INT</t>
  </si>
  <si>
    <t>fum</t>
  </si>
  <si>
    <t>SAF</t>
  </si>
  <si>
    <t>TD</t>
  </si>
  <si>
    <t>pts_all_grp</t>
  </si>
  <si>
    <t>pts_all_score</t>
  </si>
  <si>
    <t>yrds_est</t>
  </si>
  <si>
    <t>yrds_all_grp</t>
  </si>
  <si>
    <t>yrds_all_score</t>
  </si>
  <si>
    <t>Full_Proj</t>
  </si>
  <si>
    <t>OwnerWeek</t>
  </si>
  <si>
    <t>Texans D/ST</t>
  </si>
  <si>
    <t>Vikings D/ST</t>
  </si>
  <si>
    <t>Seahawks D/ST</t>
  </si>
  <si>
    <t>Giants D/ST</t>
  </si>
  <si>
    <t>Cardinals D/ST</t>
  </si>
  <si>
    <t>Chiefs D/ST</t>
  </si>
  <si>
    <t>Ravens D/ST</t>
  </si>
  <si>
    <t>Broncos D/ST</t>
  </si>
  <si>
    <t>Panthers D/ST</t>
  </si>
  <si>
    <t>Eagles D/ST</t>
  </si>
  <si>
    <t>Patriots D/ST</t>
  </si>
  <si>
    <t>Bears D/ST</t>
  </si>
  <si>
    <t>Bengals D/ST</t>
  </si>
  <si>
    <t>Bills D/ST</t>
  </si>
  <si>
    <t>Jaguars D/ST</t>
  </si>
  <si>
    <t>Rams D/ST</t>
  </si>
  <si>
    <t>Chargers D/ST</t>
  </si>
  <si>
    <t>Dolphins D/ST</t>
  </si>
  <si>
    <t>#17</t>
  </si>
  <si>
    <t>Steelers D/ST</t>
  </si>
  <si>
    <t>Packers D/ST</t>
  </si>
  <si>
    <t>Cowboys D/ST</t>
  </si>
  <si>
    <t>Titans D/ST</t>
  </si>
  <si>
    <t>Buccaneers D/ST</t>
  </si>
  <si>
    <t>Redskins D/ST</t>
  </si>
  <si>
    <t>Jets D/ST</t>
  </si>
  <si>
    <t>Saints D/ST</t>
  </si>
  <si>
    <t>Colts D/ST</t>
  </si>
  <si>
    <t>Raiders D/ST</t>
  </si>
  <si>
    <t>Browns D/ST</t>
  </si>
  <si>
    <t>Lions D/ST</t>
  </si>
  <si>
    <t>49ers D/ST</t>
  </si>
  <si>
    <t>Falcons D/ST</t>
  </si>
  <si>
    <t>FGM</t>
  </si>
  <si>
    <t>FGA</t>
  </si>
  <si>
    <t>XPM</t>
  </si>
  <si>
    <t>XPA</t>
  </si>
  <si>
    <t>XP_miss</t>
  </si>
  <si>
    <t>FG_miss</t>
  </si>
  <si>
    <t>Mason Crosby</t>
  </si>
  <si>
    <t>Dan Bailey</t>
  </si>
  <si>
    <t>Stephen Gostkowski</t>
  </si>
  <si>
    <t>Justin Tucker</t>
  </si>
  <si>
    <t>Adam Vinatieri</t>
  </si>
  <si>
    <t>Matt Bryant</t>
  </si>
  <si>
    <t>Matt Prater</t>
  </si>
  <si>
    <t>Cairo Santos</t>
  </si>
  <si>
    <t>Robbie Gould</t>
  </si>
  <si>
    <t>Ryan Succop</t>
  </si>
  <si>
    <t>Randy Bullock</t>
  </si>
  <si>
    <t>Chris Boswell</t>
  </si>
  <si>
    <t>Graham Gano</t>
  </si>
  <si>
    <t>Chandler Catanzaro</t>
  </si>
  <si>
    <t>Kai Forbath</t>
  </si>
  <si>
    <t>Cody Parkey</t>
  </si>
  <si>
    <t>Jason Myers</t>
  </si>
  <si>
    <t>Aldrick Rosas</t>
  </si>
  <si>
    <t>Wil Lutz</t>
  </si>
  <si>
    <t>Phil Dawson</t>
  </si>
  <si>
    <t>Greg Zuerlein</t>
  </si>
  <si>
    <t>Brandon McManus</t>
  </si>
  <si>
    <t>WR/RB</t>
  </si>
  <si>
    <t>QB-1</t>
  </si>
  <si>
    <t>RB-1</t>
  </si>
  <si>
    <t>RB-2</t>
  </si>
  <si>
    <t>RB-3</t>
  </si>
  <si>
    <t>WR-1</t>
  </si>
  <si>
    <t>WR-2</t>
  </si>
  <si>
    <t>WR-3</t>
  </si>
  <si>
    <t>WR-4</t>
  </si>
  <si>
    <t>TE-1</t>
  </si>
  <si>
    <t>PosRnk</t>
  </si>
  <si>
    <t>D/ST</t>
  </si>
  <si>
    <t>K</t>
  </si>
  <si>
    <t>Semi</t>
  </si>
  <si>
    <t>Final</t>
  </si>
  <si>
    <t>wk</t>
  </si>
  <si>
    <t>team</t>
  </si>
  <si>
    <t>opp</t>
  </si>
  <si>
    <t>Lookup</t>
  </si>
  <si>
    <t>Exp Win</t>
  </si>
  <si>
    <t>Var Win</t>
  </si>
  <si>
    <t>Div</t>
  </si>
  <si>
    <t>Raw</t>
  </si>
  <si>
    <t>Rel</t>
  </si>
  <si>
    <t>DP</t>
  </si>
  <si>
    <t>HK</t>
  </si>
  <si>
    <t>Avg</t>
  </si>
  <si>
    <t>Win Est</t>
  </si>
  <si>
    <t>Donkey Punch</t>
  </si>
  <si>
    <t>Hot Karl</t>
  </si>
  <si>
    <t>League</t>
  </si>
  <si>
    <t>Playoffs</t>
  </si>
  <si>
    <t>Pos</t>
  </si>
  <si>
    <t>jason-1</t>
  </si>
  <si>
    <t>seth-1</t>
  </si>
  <si>
    <t>chad-1</t>
  </si>
  <si>
    <t>cory-1</t>
  </si>
  <si>
    <t>devon-1</t>
  </si>
  <si>
    <t>scott-1</t>
  </si>
  <si>
    <t>matty-1</t>
  </si>
  <si>
    <t>comp-1</t>
  </si>
  <si>
    <t>aj-1</t>
  </si>
  <si>
    <t>perry-1</t>
  </si>
  <si>
    <t>seth-1QB-1</t>
  </si>
  <si>
    <t>chad-1WR-3</t>
  </si>
  <si>
    <t>cory-1WR-2</t>
  </si>
  <si>
    <t>seth-1WR-2</t>
  </si>
  <si>
    <t>devon-1WR-2</t>
  </si>
  <si>
    <t>cory-1RB-2</t>
  </si>
  <si>
    <t>devon-1WR-1</t>
  </si>
  <si>
    <t>scott-1TE-1</t>
  </si>
  <si>
    <t>matty-1WR/RB</t>
  </si>
  <si>
    <t>comp-1WR-3</t>
  </si>
  <si>
    <t>aj-1RB-2</t>
  </si>
  <si>
    <t>chad-1QB-1</t>
  </si>
  <si>
    <t>matty-1RB-2</t>
  </si>
  <si>
    <t>perry-1WR/RB</t>
  </si>
  <si>
    <t>comp-1RB-2</t>
  </si>
  <si>
    <t>perry-1WR-1</t>
  </si>
  <si>
    <t>matty-1RB-1</t>
  </si>
  <si>
    <t>devon-1WR-3</t>
  </si>
  <si>
    <t>matty-1TE-1</t>
  </si>
  <si>
    <t>devon-1RB-1</t>
  </si>
  <si>
    <t>chad-1WR-1</t>
  </si>
  <si>
    <t>aj-1QB-1</t>
  </si>
  <si>
    <t>scott-1RB-1</t>
  </si>
  <si>
    <t>comp-1WR-1</t>
  </si>
  <si>
    <t>seth-1WR/RB</t>
  </si>
  <si>
    <t>matty-1WR-3</t>
  </si>
  <si>
    <t>aj-1RB-1</t>
  </si>
  <si>
    <t>cory-1RB-1</t>
  </si>
  <si>
    <t>scott-1WR-3</t>
  </si>
  <si>
    <t>cory-1TE-1</t>
  </si>
  <si>
    <t>chad-1RB-2</t>
  </si>
  <si>
    <t>devon-1WR/RB</t>
  </si>
  <si>
    <t>devon-1TE-1</t>
  </si>
  <si>
    <t>devon-1RB-2</t>
  </si>
  <si>
    <t>scott-1RB-2</t>
  </si>
  <si>
    <t>aj-1TE-1</t>
  </si>
  <si>
    <t>matty-1WR-1</t>
  </si>
  <si>
    <t>seth-1WR-1</t>
  </si>
  <si>
    <t>scott-1WR/RB</t>
  </si>
  <si>
    <t>scott-1WR-1</t>
  </si>
  <si>
    <t>perry-1WR-3</t>
  </si>
  <si>
    <t>matty-1QB-1</t>
  </si>
  <si>
    <t>seth-1TE-1</t>
  </si>
  <si>
    <t>seth-1RB-2</t>
  </si>
  <si>
    <t>chad-1WR-2</t>
  </si>
  <si>
    <t>perry-1RB-1</t>
  </si>
  <si>
    <t>comp-1WR/RB</t>
  </si>
  <si>
    <t>seth-1RB-1</t>
  </si>
  <si>
    <t>chad-1RB-1</t>
  </si>
  <si>
    <t>comp-1QB-1</t>
  </si>
  <si>
    <t>aj-1WR/RB</t>
  </si>
  <si>
    <t>aj-1WR-3</t>
  </si>
  <si>
    <t>perry-1TE-1</t>
  </si>
  <si>
    <t>devon-1QB-1</t>
  </si>
  <si>
    <t>perry-1QB-1</t>
  </si>
  <si>
    <t>perry-1RB-2</t>
  </si>
  <si>
    <t>aj-1WR-2</t>
  </si>
  <si>
    <t>cory-1WR-1</t>
  </si>
  <si>
    <t>scott-1WR-2</t>
  </si>
  <si>
    <t>cory-1WR/RB</t>
  </si>
  <si>
    <t>chad-1WR/RB</t>
  </si>
  <si>
    <t>comp-1WR-2</t>
  </si>
  <si>
    <t>chad-1TE-1</t>
  </si>
  <si>
    <t>cory-1QB-1</t>
  </si>
  <si>
    <t>cory-1WR-3</t>
  </si>
  <si>
    <t>seth-1WR-3</t>
  </si>
  <si>
    <t>aj-1WR-1</t>
  </si>
  <si>
    <t>matty-1WR-2</t>
  </si>
  <si>
    <t>comp-1RB-1</t>
  </si>
  <si>
    <t>scott-1QB-1</t>
  </si>
  <si>
    <t>comp-1TE-1</t>
  </si>
  <si>
    <t>perry-1WR-2</t>
  </si>
  <si>
    <t>perry-1K</t>
  </si>
  <si>
    <t>aj-1K</t>
  </si>
  <si>
    <t>matty-1K</t>
  </si>
  <si>
    <t>chad-1K</t>
  </si>
  <si>
    <t>scott-1K</t>
  </si>
  <si>
    <t>seth-1K</t>
  </si>
  <si>
    <t>devon-1K</t>
  </si>
  <si>
    <t>cory-1K</t>
  </si>
  <si>
    <t>comp-1K</t>
  </si>
  <si>
    <t>seth-1D/ST</t>
  </si>
  <si>
    <t>aj-1D/ST</t>
  </si>
  <si>
    <t>devon-1D/ST</t>
  </si>
  <si>
    <t>scott-1D/ST</t>
  </si>
  <si>
    <t>chad-1D/ST</t>
  </si>
  <si>
    <t>cory-1D/ST</t>
  </si>
  <si>
    <t>comp-1D/ST</t>
  </si>
  <si>
    <t>matty-1D/ST</t>
  </si>
  <si>
    <t>perry-1D/ST</t>
  </si>
  <si>
    <t>Top Seed</t>
  </si>
  <si>
    <t>Top Wild Card</t>
  </si>
  <si>
    <t>Top Wild Card+</t>
  </si>
  <si>
    <t>#1 Seed</t>
  </si>
  <si>
    <t>#2 Seed</t>
  </si>
  <si>
    <t>#3 Seed</t>
  </si>
  <si>
    <t>#4 Seed</t>
  </si>
  <si>
    <t>Miss</t>
  </si>
  <si>
    <t>1/4 SEMI</t>
  </si>
  <si>
    <t>2/3 SEMI</t>
  </si>
  <si>
    <t>ROUND 1 WIN PCT</t>
  </si>
  <si>
    <t>CHAMPIONSHIP</t>
  </si>
  <si>
    <t>ROUND 2 WIN PCT</t>
  </si>
  <si>
    <t>Champion</t>
  </si>
  <si>
    <t>Marvin Jones Jr.</t>
  </si>
  <si>
    <t>Rob Kelley</t>
  </si>
  <si>
    <t>0.24-3.66</t>
  </si>
  <si>
    <t>perry-2</t>
  </si>
  <si>
    <t>perry-2WR-1</t>
  </si>
  <si>
    <t>cory-2</t>
  </si>
  <si>
    <t>cory-2QB-1</t>
  </si>
  <si>
    <t>jason-2</t>
  </si>
  <si>
    <t>perry-2WR/RB</t>
  </si>
  <si>
    <t>cory-2WR-2</t>
  </si>
  <si>
    <t>comp-2</t>
  </si>
  <si>
    <t>comp-2WR-2</t>
  </si>
  <si>
    <t>aj-2</t>
  </si>
  <si>
    <t>aj-2WR/RB</t>
  </si>
  <si>
    <t>comp-2WR-1</t>
  </si>
  <si>
    <t>scott-2</t>
  </si>
  <si>
    <t>scott-2TE-1</t>
  </si>
  <si>
    <t>seth-2</t>
  </si>
  <si>
    <t>seth-2RB-2</t>
  </si>
  <si>
    <t>perry-2WR-3</t>
  </si>
  <si>
    <t>devon-2</t>
  </si>
  <si>
    <t>devon-2RB-2</t>
  </si>
  <si>
    <t>seth-2RB-1</t>
  </si>
  <si>
    <t>matty-2</t>
  </si>
  <si>
    <t>matty-2WR/RB</t>
  </si>
  <si>
    <t>chad-2</t>
  </si>
  <si>
    <t>chad-2RB-2</t>
  </si>
  <si>
    <t>matty-2WR-1</t>
  </si>
  <si>
    <t>comp-2WR-3</t>
  </si>
  <si>
    <t>seth-2TE-1</t>
  </si>
  <si>
    <t>comp-2RB-1</t>
  </si>
  <si>
    <t>devon-2QB-1</t>
  </si>
  <si>
    <t>scott-2RB-1</t>
  </si>
  <si>
    <t>perry-2WR-2</t>
  </si>
  <si>
    <t>chad-2WR-2</t>
  </si>
  <si>
    <t>perry-2QB-1</t>
  </si>
  <si>
    <t>cory-2WR/RB</t>
  </si>
  <si>
    <t>seth-2WR-3</t>
  </si>
  <si>
    <t>devon-2RB-1</t>
  </si>
  <si>
    <t>aj-2RB-2</t>
  </si>
  <si>
    <t>scott-2WR-3</t>
  </si>
  <si>
    <t>aj-2TE-1</t>
  </si>
  <si>
    <t>chad-2QB-1</t>
  </si>
  <si>
    <t>comp-2WR/RB</t>
  </si>
  <si>
    <t>aj-2RB-1</t>
  </si>
  <si>
    <t>comp-2TE-1</t>
  </si>
  <si>
    <t>scott-2RB-2</t>
  </si>
  <si>
    <t>devon-2TE-1</t>
  </si>
  <si>
    <t>seth-2WR-1</t>
  </si>
  <si>
    <t>cory-2WR-1</t>
  </si>
  <si>
    <t>scott-2WR/RB</t>
  </si>
  <si>
    <t>scott-2WR-1</t>
  </si>
  <si>
    <t>matty-2WR-3</t>
  </si>
  <si>
    <t>seth-2QB-1</t>
  </si>
  <si>
    <t>cory-2TE-1</t>
  </si>
  <si>
    <t>cory-2RB-2</t>
  </si>
  <si>
    <t>matty-2RB-1</t>
  </si>
  <si>
    <t>chad-2WR/RB</t>
  </si>
  <si>
    <t>cory-2RB-1</t>
  </si>
  <si>
    <t>seth-2WR/RB</t>
  </si>
  <si>
    <t>devon-2WR/RB</t>
  </si>
  <si>
    <t>devon-2WR-3</t>
  </si>
  <si>
    <t>matty-2TE-1</t>
  </si>
  <si>
    <t>comp-2QB-1</t>
  </si>
  <si>
    <t>matty-2QB-1</t>
  </si>
  <si>
    <t>matty-2RB-2</t>
  </si>
  <si>
    <t>devon-2WR-2</t>
  </si>
  <si>
    <t>aj-2WR-2</t>
  </si>
  <si>
    <t>chad-2WR-1</t>
  </si>
  <si>
    <t>scott-2WR-2</t>
  </si>
  <si>
    <t>aj-2WR-1</t>
  </si>
  <si>
    <t>chad-2WR-3</t>
  </si>
  <si>
    <t>aj-2QB-1</t>
  </si>
  <si>
    <t>aj-2WR-3</t>
  </si>
  <si>
    <t>cory-2WR-3</t>
  </si>
  <si>
    <t>devon-2WR-1</t>
  </si>
  <si>
    <t>comp-2RB-2</t>
  </si>
  <si>
    <t>seth-2WR-2</t>
  </si>
  <si>
    <t>perry-2RB-2</t>
  </si>
  <si>
    <t>chad-2RB-1</t>
  </si>
  <si>
    <t>scott-2QB-1</t>
  </si>
  <si>
    <t>chad-2TE-1</t>
  </si>
  <si>
    <t>perry-2RB-1</t>
  </si>
  <si>
    <t>perry-2TE-1</t>
  </si>
  <si>
    <t>matty-2WR-2</t>
  </si>
  <si>
    <t>matty-2K</t>
  </si>
  <si>
    <t>perry-2K</t>
  </si>
  <si>
    <t>devon-2K</t>
  </si>
  <si>
    <t>seth-2K</t>
  </si>
  <si>
    <t>scott-2K</t>
  </si>
  <si>
    <t>cory-2K</t>
  </si>
  <si>
    <t>comp-2K</t>
  </si>
  <si>
    <t>aj-2K</t>
  </si>
  <si>
    <t>chad-2K</t>
  </si>
  <si>
    <t>devon-2D/ST</t>
  </si>
  <si>
    <t>comp-2D/ST</t>
  </si>
  <si>
    <t>cory-2D/ST</t>
  </si>
  <si>
    <t>scott-2D/ST</t>
  </si>
  <si>
    <t>aj-2D/ST</t>
  </si>
  <si>
    <t>chad-2D/ST</t>
  </si>
  <si>
    <t>perry-2D/ST</t>
  </si>
  <si>
    <t>seth-2D/ST</t>
  </si>
  <si>
    <t>matty-2D/ST</t>
  </si>
  <si>
    <t>Row Labels</t>
  </si>
  <si>
    <t>Grand Total</t>
  </si>
  <si>
    <t>New Team</t>
  </si>
  <si>
    <t>Change</t>
  </si>
  <si>
    <t>TRnk</t>
  </si>
  <si>
    <t>Count Games</t>
  </si>
  <si>
    <t>Week1</t>
  </si>
  <si>
    <t>Week2</t>
  </si>
  <si>
    <t>Week3</t>
  </si>
  <si>
    <t>Week4</t>
  </si>
  <si>
    <t>Week5</t>
  </si>
  <si>
    <t>Week6</t>
  </si>
  <si>
    <t>Week7</t>
  </si>
  <si>
    <t>Week8</t>
  </si>
  <si>
    <t>Week9</t>
  </si>
  <si>
    <t>Week10</t>
  </si>
  <si>
    <t>Week11</t>
  </si>
  <si>
    <t>Week12</t>
  </si>
  <si>
    <t>Week13</t>
  </si>
  <si>
    <t>Division</t>
  </si>
  <si>
    <t>Champ</t>
  </si>
  <si>
    <t>After</t>
  </si>
  <si>
    <t>Before</t>
  </si>
  <si>
    <t>Team</t>
  </si>
  <si>
    <t>Trade</t>
  </si>
  <si>
    <t>Getting</t>
  </si>
  <si>
    <t>Sum of total STD</t>
  </si>
  <si>
    <t>0.00-0.00</t>
  </si>
  <si>
    <t>Cody Kessler</t>
  </si>
  <si>
    <t>Teddy Bridgewater</t>
  </si>
  <si>
    <t>Average of proj</t>
  </si>
  <si>
    <t>Rank</t>
  </si>
  <si>
    <t>WeekRnk</t>
  </si>
  <si>
    <t>PlayerWeek</t>
  </si>
  <si>
    <t>Opp</t>
  </si>
  <si>
    <t>Exp Wins</t>
  </si>
  <si>
    <t>Projection</t>
  </si>
  <si>
    <t>X1</t>
  </si>
  <si>
    <t>X2</t>
  </si>
  <si>
    <t>X3</t>
  </si>
  <si>
    <t>X4</t>
  </si>
  <si>
    <t>X5</t>
  </si>
  <si>
    <t>X6</t>
  </si>
  <si>
    <t>X7</t>
  </si>
  <si>
    <t>X8</t>
  </si>
  <si>
    <t>X9</t>
  </si>
  <si>
    <t>X10</t>
  </si>
  <si>
    <t>X11</t>
  </si>
  <si>
    <t>X12</t>
  </si>
  <si>
    <t>X13</t>
  </si>
  <si>
    <t>X14</t>
  </si>
  <si>
    <t>X15</t>
  </si>
  <si>
    <t>X16</t>
  </si>
  <si>
    <t>X17</t>
  </si>
  <si>
    <t>D</t>
  </si>
  <si>
    <t>Pos Rank</t>
  </si>
  <si>
    <t>Pts</t>
  </si>
  <si>
    <t>Position</t>
  </si>
  <si>
    <t>Avg Start</t>
  </si>
  <si>
    <t>Repl Start</t>
  </si>
  <si>
    <t>Repl Bench</t>
  </si>
  <si>
    <t>ROS Rnk</t>
  </si>
  <si>
    <t>Avail</t>
  </si>
  <si>
    <t>FA Rankings</t>
  </si>
  <si>
    <t>Row</t>
  </si>
  <si>
    <t>ROS Avg</t>
  </si>
  <si>
    <t>Games</t>
  </si>
  <si>
    <t>Season STD</t>
  </si>
  <si>
    <t>Current Val</t>
  </si>
  <si>
    <t>LowOvr</t>
  </si>
  <si>
    <t>HighOvr</t>
  </si>
  <si>
    <t>68% Low</t>
  </si>
  <si>
    <t>68% High</t>
  </si>
  <si>
    <t>LowPos</t>
  </si>
  <si>
    <t>HighPos</t>
  </si>
  <si>
    <t>Peak</t>
  </si>
  <si>
    <t xml:space="preserve">Floor </t>
  </si>
  <si>
    <t>Coeff</t>
  </si>
  <si>
    <t>OwnerInx</t>
  </si>
  <si>
    <t>OwnerPosInx</t>
  </si>
  <si>
    <t>Alex Collins</t>
  </si>
  <si>
    <t>0.03-1.05</t>
  </si>
  <si>
    <t>Rashard Higgins</t>
  </si>
  <si>
    <t>Wins</t>
  </si>
  <si>
    <t>1.22-8.52</t>
  </si>
  <si>
    <t>0.05-1.09</t>
  </si>
  <si>
    <t>0.04-1.00</t>
  </si>
  <si>
    <t>cory-3</t>
  </si>
  <si>
    <t>jason-3</t>
  </si>
  <si>
    <t>comp-3</t>
  </si>
  <si>
    <t>aj-3</t>
  </si>
  <si>
    <t>scott-3</t>
  </si>
  <si>
    <t>seth-3</t>
  </si>
  <si>
    <t>perry-3</t>
  </si>
  <si>
    <t>chad-3</t>
  </si>
  <si>
    <t>devon-3</t>
  </si>
  <si>
    <t>matty-3</t>
  </si>
  <si>
    <t>Year</t>
  </si>
  <si>
    <t>PITT</t>
  </si>
  <si>
    <t>IND</t>
  </si>
  <si>
    <t>AZ</t>
  </si>
  <si>
    <t>Job</t>
  </si>
  <si>
    <t>Off Cord</t>
  </si>
  <si>
    <t>OC/Int HC</t>
  </si>
  <si>
    <t>Head C</t>
  </si>
  <si>
    <t>Rushes</t>
  </si>
  <si>
    <t>Targets</t>
  </si>
  <si>
    <t>Top RB</t>
  </si>
  <si>
    <t>Rest of Team</t>
  </si>
  <si>
    <t>W. Parker</t>
  </si>
  <si>
    <t>Touches/G</t>
  </si>
  <si>
    <t>R. Mendenhall</t>
  </si>
  <si>
    <t>V. Ballard</t>
  </si>
  <si>
    <t>All RB Rushes+Targets</t>
  </si>
  <si>
    <t>Est Rushes+Targets/G for Top RB</t>
  </si>
  <si>
    <t>A. Ellington</t>
  </si>
  <si>
    <t>C. Johnson</t>
  </si>
  <si>
    <t>D. Johnson</t>
  </si>
  <si>
    <t>Chris Carson</t>
  </si>
  <si>
    <t>Proj</t>
  </si>
  <si>
    <t>Sum of Var</t>
  </si>
  <si>
    <t>Group</t>
  </si>
  <si>
    <t>ID</t>
  </si>
  <si>
    <t>FLEX</t>
  </si>
  <si>
    <t>Non</t>
  </si>
  <si>
    <t>Flex</t>
  </si>
  <si>
    <t>Top 10</t>
  </si>
  <si>
    <t>Top 20</t>
  </si>
  <si>
    <t>Top 30</t>
  </si>
  <si>
    <t>Top 40</t>
  </si>
  <si>
    <t>40+</t>
  </si>
  <si>
    <t>Trending</t>
  </si>
  <si>
    <t>Down</t>
  </si>
  <si>
    <t>Up</t>
  </si>
  <si>
    <t>Giorgio Tavecchio</t>
  </si>
  <si>
    <t>median</t>
  </si>
  <si>
    <t>0.05-1.43</t>
  </si>
  <si>
    <t>0.06-1.18</t>
  </si>
  <si>
    <t>0.03-0.97</t>
  </si>
  <si>
    <t>0.00-0.88</t>
  </si>
  <si>
    <t>0.01-0.75</t>
  </si>
  <si>
    <t>seth-4</t>
  </si>
  <si>
    <t>cory-4</t>
  </si>
  <si>
    <t>jason-4</t>
  </si>
  <si>
    <t>comp-4</t>
  </si>
  <si>
    <t>scott-4</t>
  </si>
  <si>
    <t>perry-4</t>
  </si>
  <si>
    <t>devon-4</t>
  </si>
  <si>
    <t>matty-4</t>
  </si>
  <si>
    <t>chad-4</t>
  </si>
  <si>
    <t>aj-4</t>
  </si>
  <si>
    <t>Prev Wk</t>
  </si>
  <si>
    <t>Last Update</t>
  </si>
  <si>
    <t>opp1</t>
  </si>
  <si>
    <t>opp2</t>
  </si>
  <si>
    <t>aj1</t>
  </si>
  <si>
    <t>aj2</t>
  </si>
  <si>
    <t>opp chng</t>
  </si>
  <si>
    <t>aj chng</t>
  </si>
  <si>
    <t>Bruce Ellington</t>
  </si>
  <si>
    <t>Owned</t>
  </si>
  <si>
    <t>Best Avail</t>
  </si>
  <si>
    <t>0.24-1.34</t>
  </si>
  <si>
    <t>0.00-1.18</t>
  </si>
  <si>
    <t>0.06-1.02</t>
  </si>
  <si>
    <t>0.04-1.04</t>
  </si>
  <si>
    <t>seth-5</t>
  </si>
  <si>
    <t>cory-5</t>
  </si>
  <si>
    <t>jason-5</t>
  </si>
  <si>
    <t>devon-5</t>
  </si>
  <si>
    <t>chad-5</t>
  </si>
  <si>
    <t>comp-5</t>
  </si>
  <si>
    <t>aj-5</t>
  </si>
  <si>
    <t>perry-5</t>
  </si>
  <si>
    <t>scott-5</t>
  </si>
  <si>
    <t>matty-5</t>
  </si>
  <si>
    <t>chance</t>
  </si>
  <si>
    <t>winpts</t>
  </si>
  <si>
    <t>losspts</t>
  </si>
  <si>
    <t>x^2</t>
  </si>
  <si>
    <t>x</t>
  </si>
  <si>
    <t>int</t>
  </si>
  <si>
    <t>Break Even%</t>
  </si>
  <si>
    <t>Wk</t>
  </si>
  <si>
    <t>Tie</t>
  </si>
  <si>
    <t>Compare</t>
  </si>
  <si>
    <t>SeasonSTD</t>
  </si>
  <si>
    <t>GameSTD</t>
  </si>
  <si>
    <t>scott-6</t>
  </si>
  <si>
    <t>scott-7</t>
  </si>
  <si>
    <t>scott-8</t>
  </si>
  <si>
    <t>scott-9</t>
  </si>
  <si>
    <t>scott-10</t>
  </si>
  <si>
    <t>scott-11</t>
  </si>
  <si>
    <t>scott-12</t>
  </si>
  <si>
    <t>scott-13</t>
  </si>
  <si>
    <t>cory-6</t>
  </si>
  <si>
    <t>cory-7</t>
  </si>
  <si>
    <t>cory-8</t>
  </si>
  <si>
    <t>cory-9</t>
  </si>
  <si>
    <t>cory-10</t>
  </si>
  <si>
    <t>cory-11</t>
  </si>
  <si>
    <t>cory-12</t>
  </si>
  <si>
    <t>cory-13</t>
  </si>
  <si>
    <t>aj-6</t>
  </si>
  <si>
    <t>aj-7</t>
  </si>
  <si>
    <t>aj-8</t>
  </si>
  <si>
    <t>aj-9</t>
  </si>
  <si>
    <t>aj-10</t>
  </si>
  <si>
    <t>aj-11</t>
  </si>
  <si>
    <t>aj-12</t>
  </si>
  <si>
    <t>aj-13</t>
  </si>
  <si>
    <t>devon-6</t>
  </si>
  <si>
    <t>devon-7</t>
  </si>
  <si>
    <t>devon-8</t>
  </si>
  <si>
    <t>devon-9</t>
  </si>
  <si>
    <t>devon-10</t>
  </si>
  <si>
    <t>devon-11</t>
  </si>
  <si>
    <t>devon-12</t>
  </si>
  <si>
    <t>devon-13</t>
  </si>
  <si>
    <t>comp-6</t>
  </si>
  <si>
    <t>comp-7</t>
  </si>
  <si>
    <t>comp-8</t>
  </si>
  <si>
    <t>comp-9</t>
  </si>
  <si>
    <t>comp-10</t>
  </si>
  <si>
    <t>comp-11</t>
  </si>
  <si>
    <t>comp-12</t>
  </si>
  <si>
    <t>comp-13</t>
  </si>
  <si>
    <t>chad-6</t>
  </si>
  <si>
    <t>chad-7</t>
  </si>
  <si>
    <t>chad-8</t>
  </si>
  <si>
    <t>chad-9</t>
  </si>
  <si>
    <t>chad-10</t>
  </si>
  <si>
    <t>chad-11</t>
  </si>
  <si>
    <t>chad-12</t>
  </si>
  <si>
    <t>chad-13</t>
  </si>
  <si>
    <t>jason-6</t>
  </si>
  <si>
    <t>jason-7</t>
  </si>
  <si>
    <t>jason-8</t>
  </si>
  <si>
    <t>jason-9</t>
  </si>
  <si>
    <t>jason-10</t>
  </si>
  <si>
    <t>jason-11</t>
  </si>
  <si>
    <t>jason-12</t>
  </si>
  <si>
    <t>jason-13</t>
  </si>
  <si>
    <t>perry-6</t>
  </si>
  <si>
    <t>perry-7</t>
  </si>
  <si>
    <t>perry-8</t>
  </si>
  <si>
    <t>perry-9</t>
  </si>
  <si>
    <t>perry-10</t>
  </si>
  <si>
    <t>perry-11</t>
  </si>
  <si>
    <t>perry-12</t>
  </si>
  <si>
    <t>perry-13</t>
  </si>
  <si>
    <t>matty-6</t>
  </si>
  <si>
    <t>matty-7</t>
  </si>
  <si>
    <t>matty-8</t>
  </si>
  <si>
    <t>matty-9</t>
  </si>
  <si>
    <t>matty-10</t>
  </si>
  <si>
    <t>matty-11</t>
  </si>
  <si>
    <t>matty-12</t>
  </si>
  <si>
    <t>matty-13</t>
  </si>
  <si>
    <t>seth-6</t>
  </si>
  <si>
    <t>seth-7</t>
  </si>
  <si>
    <t>seth-8</t>
  </si>
  <si>
    <t>seth-9</t>
  </si>
  <si>
    <t>seth-10</t>
  </si>
  <si>
    <t>seth-11</t>
  </si>
  <si>
    <t>seth-12</t>
  </si>
  <si>
    <t>seth-13</t>
  </si>
  <si>
    <t>Score</t>
  </si>
  <si>
    <t>Variance</t>
  </si>
  <si>
    <t>week</t>
  </si>
  <si>
    <t>GameID</t>
  </si>
  <si>
    <t>Team1</t>
  </si>
  <si>
    <t>Team2</t>
  </si>
  <si>
    <t>Team1 Score</t>
  </si>
  <si>
    <t>Team2 Score</t>
  </si>
  <si>
    <t>Team1 Var</t>
  </si>
  <si>
    <t>Team2 Var</t>
  </si>
  <si>
    <t>Total Mean</t>
  </si>
  <si>
    <t>Total Std</t>
  </si>
  <si>
    <t>Team1 Win</t>
  </si>
  <si>
    <t>Team2 Win</t>
  </si>
  <si>
    <t>Jake Elliott</t>
  </si>
  <si>
    <t>Ka'imi Fairbairn</t>
  </si>
  <si>
    <t>0.12-1.36</t>
  </si>
  <si>
    <t>Single Scoring</t>
  </si>
  <si>
    <t>Base Row</t>
  </si>
  <si>
    <t>Rev Starting Lookup</t>
  </si>
  <si>
    <t>Starter Lookup</t>
  </si>
  <si>
    <t>FA Rank</t>
  </si>
  <si>
    <t>Kicker1</t>
  </si>
  <si>
    <t>Kicker2</t>
  </si>
  <si>
    <t>Kicker3</t>
  </si>
  <si>
    <t>Kicker4</t>
  </si>
  <si>
    <t>Kicker5</t>
  </si>
  <si>
    <t>Score1</t>
  </si>
  <si>
    <t>Score2</t>
  </si>
  <si>
    <t>Score3</t>
  </si>
  <si>
    <t>Score4</t>
  </si>
  <si>
    <t>Score5</t>
  </si>
  <si>
    <t>0.01-2.41</t>
  </si>
  <si>
    <t>0.13-1.23</t>
  </si>
  <si>
    <t>0.07-1.15</t>
  </si>
  <si>
    <t>0.01-1.15</t>
  </si>
  <si>
    <t>0.02-1.08</t>
  </si>
  <si>
    <t>0.04-0.92</t>
  </si>
  <si>
    <t>0.01-0.87</t>
  </si>
  <si>
    <t>All Picks on this</t>
  </si>
  <si>
    <t>My %Corr</t>
  </si>
  <si>
    <t>Correct</t>
  </si>
  <si>
    <t>Std</t>
  </si>
  <si>
    <t>95% Corr</t>
  </si>
  <si>
    <t>Avg Gain</t>
  </si>
  <si>
    <t>Pick%</t>
  </si>
  <si>
    <t>Model</t>
  </si>
  <si>
    <t>Spread</t>
  </si>
  <si>
    <t>Prob</t>
  </si>
  <si>
    <t>0.16-1.40</t>
  </si>
  <si>
    <t>0.10-1.24</t>
  </si>
  <si>
    <t>0.04-1.16</t>
  </si>
  <si>
    <t>Deonte Thompson</t>
  </si>
  <si>
    <t>KAN</t>
  </si>
  <si>
    <t>LAR</t>
  </si>
  <si>
    <t>JAX</t>
  </si>
  <si>
    <t>PIT</t>
  </si>
  <si>
    <t>LAC</t>
  </si>
  <si>
    <t>CHI</t>
  </si>
  <si>
    <t>HOU</t>
  </si>
  <si>
    <t>DAL</t>
  </si>
  <si>
    <t>WAS</t>
  </si>
  <si>
    <t>rb</t>
  </si>
  <si>
    <t>SFO</t>
  </si>
  <si>
    <t>MIN</t>
  </si>
  <si>
    <t>NWE</t>
  </si>
  <si>
    <t>BUF</t>
  </si>
  <si>
    <t>NOR</t>
  </si>
  <si>
    <t>ATL</t>
  </si>
  <si>
    <t>MIA</t>
  </si>
  <si>
    <t>DEN</t>
  </si>
  <si>
    <t>Kareem Hunt, KC RB</t>
  </si>
  <si>
    <t>Ahhh</t>
  </si>
  <si>
    <t>0/0</t>
  </si>
  <si>
    <t>Leonard Fournette, Jax RB</t>
  </si>
  <si>
    <t>BEER</t>
  </si>
  <si>
    <t>Todd Gurley, LAR RB</t>
  </si>
  <si>
    <t>KOED</t>
  </si>
  <si>
    <t>Melvin Gordon, LAC RB  Q</t>
  </si>
  <si>
    <t>LALM</t>
  </si>
  <si>
    <t>Le'Veon Bell, Pit RB</t>
  </si>
  <si>
    <t>F U</t>
  </si>
  <si>
    <t>Jordan Howard, Chi RB</t>
  </si>
  <si>
    <t>Chris Thompson, Wsh RB</t>
  </si>
  <si>
    <t>JDID</t>
  </si>
  <si>
    <t>Devonta Freeman, Atl RB</t>
  </si>
  <si>
    <t>Carlos Hyde, SF RB</t>
  </si>
  <si>
    <t>Ezekiel Elliott, Dal RB</t>
  </si>
  <si>
    <t>DOFH</t>
  </si>
  <si>
    <t>Lamar Miller, Hou RB</t>
  </si>
  <si>
    <t>Duke Johnson Jr., Cle RB</t>
  </si>
  <si>
    <t>LLOY</t>
  </si>
  <si>
    <t>LeGarrette Blount, Phi RB</t>
  </si>
  <si>
    <t>Dalvin Cook*, Min RB  IR</t>
  </si>
  <si>
    <t>Mark Ingram, NO RB</t>
  </si>
  <si>
    <t>Mike Gillislee, NE RB</t>
  </si>
  <si>
    <t>C.J. Anderson, Den RB</t>
  </si>
  <si>
    <t>Javorius Allen, Bal RB</t>
  </si>
  <si>
    <t>Frank Gore, Ind RB</t>
  </si>
  <si>
    <t>FRCE</t>
  </si>
  <si>
    <t>DeMarco Murray, Ten RB  Q</t>
  </si>
  <si>
    <t>TY</t>
  </si>
  <si>
    <t>Tevin Coleman, Atl RB</t>
  </si>
  <si>
    <t>Ty Montgomery, GB RB</t>
  </si>
  <si>
    <t>Christian McCaffrey, Car RB</t>
  </si>
  <si>
    <t>Ameer Abdullah, Det RB</t>
  </si>
  <si>
    <t>Derrick Henry, Ten RB</t>
  </si>
  <si>
    <t>LeSean McCoy, Buf RB</t>
  </si>
  <si>
    <t>Jerick McKinnon, Min RB</t>
  </si>
  <si>
    <t>Tarik Cohen, Chi RB</t>
  </si>
  <si>
    <t>Alvin Kamara, NO RB</t>
  </si>
  <si>
    <t>Bilal Powell, NYJ RB</t>
  </si>
  <si>
    <t>Marshawn Lynch, Oak RB</t>
  </si>
  <si>
    <t>Jay Ajayi, Mia RB  Q</t>
  </si>
  <si>
    <t>15 yard runs</t>
  </si>
  <si>
    <t>https://www.pro-football-reference.com/play-index/play_finder.cgi?request=1&amp;match=summary&amp;year_min=2017&amp;year_max=2017&amp;game_type=R&amp;game_num_min=0&amp;game_num_max=99&amp;week_num_min=0&amp;week_num_max=99&amp;quarter%5B%5D=1&amp;quarter%5B%5D=2&amp;quarter%5B%5D=3&amp;quarter%5B%5D=4&amp;quarter%5B%5D=5&amp;tr_gtlt=lt&amp;minutes=15&amp;seconds=0&amp;down%5B%5D=1&amp;down%5B%5D=2&amp;down%5B%5D=3&amp;down%5B%5D=4&amp;yg_gtlt=gt&amp;yards=15&amp;field_pos_min_field=team&amp;field_pos_max_field=team&amp;end_field_pos_min_field=team&amp;end_field_pos_max_field=team&amp;type%5B%5D=RUSH&amp;no_play=N&amp;turnover_type%5B%5D=interception&amp;turnover_type%5B%5D=fumble&amp;score_type%5B%5D=touchdown&amp;score_type%5B%5D=field_goal&amp;score_type%5B%5D=safety&amp;rush_direction%5B%5D=LE&amp;rush_direction%5B%5D=LT&amp;rush_direction%5B%5D=LG&amp;rush_direction%5B%5D=M&amp;rush_direction%5B%5D=RG&amp;rush_direction%5B%5D=RT&amp;rush_direction%5B%5D=RE&amp;pass_location%5B%5D=SL&amp;pass_location%5B%5D=SM&amp;pass_location%5B%5D=SR&amp;pass_location%5B%5D=DL&amp;pass_location%5B%5D=DM&amp;pass_location%5B%5D=DR&amp;order_by=game_date</t>
  </si>
  <si>
    <t>Todd Gurley II</t>
  </si>
  <si>
    <t>0.18-1.28</t>
  </si>
  <si>
    <t>0.04-0.78</t>
  </si>
  <si>
    <t>Playoffs^</t>
  </si>
  <si>
    <t>Last</t>
  </si>
  <si>
    <t>JuJu Smith-Schuster</t>
  </si>
  <si>
    <t>Jordan Leggett</t>
  </si>
  <si>
    <t>Stephen Hauschka</t>
  </si>
  <si>
    <t>Harrison Butker</t>
  </si>
  <si>
    <t>Geno Smith</t>
  </si>
  <si>
    <t>0.22-1.30</t>
  </si>
  <si>
    <t>0.07-1.37</t>
  </si>
  <si>
    <t>Mike Thomas</t>
  </si>
  <si>
    <t>0.02-1.04</t>
  </si>
  <si>
    <t>5.31-18.41</t>
  </si>
  <si>
    <t>Darius Jennings</t>
  </si>
  <si>
    <t>Brandon Weeden</t>
  </si>
  <si>
    <t>Wins Left</t>
  </si>
  <si>
    <t>Brian Hoyer</t>
  </si>
  <si>
    <t>Josh Lambo</t>
  </si>
  <si>
    <t>Dustin Hopkins</t>
  </si>
  <si>
    <t>Caleb Sturgis</t>
  </si>
  <si>
    <t>Darren Sproles</t>
  </si>
  <si>
    <t>Robert Turbin</t>
  </si>
  <si>
    <t>Chris Conley</t>
  </si>
  <si>
    <t>Logan Paulsen</t>
  </si>
  <si>
    <t>Charone Peake</t>
  </si>
  <si>
    <t>Dwayne Harris</t>
  </si>
  <si>
    <t>Damiere Byrd</t>
  </si>
  <si>
    <t>Alan Cross</t>
  </si>
  <si>
    <t>Neal Sterling</t>
  </si>
  <si>
    <t>Tyler Ervin</t>
  </si>
  <si>
    <t>Geremy Davis</t>
  </si>
  <si>
    <t>Freddie Martino</t>
  </si>
  <si>
    <t>Joe Kerridge</t>
  </si>
  <si>
    <t>Tab</t>
  </si>
  <si>
    <t>Index</t>
  </si>
  <si>
    <t>mean</t>
  </si>
  <si>
    <t>p.value</t>
  </si>
  <si>
    <t>0.05-3.37</t>
  </si>
  <si>
    <t>0.25-1.37</t>
  </si>
  <si>
    <t>0.02-1.28</t>
  </si>
  <si>
    <t>0.07-1.17</t>
  </si>
  <si>
    <t>0.03-1.15</t>
  </si>
  <si>
    <t>0.05-0.97</t>
  </si>
  <si>
    <t>Ben Braunecker</t>
  </si>
  <si>
    <t>Maurice Harris</t>
  </si>
  <si>
    <t>Byron Marshall</t>
  </si>
  <si>
    <t>Mike Davis</t>
  </si>
  <si>
    <t>0.01-0.81</t>
  </si>
  <si>
    <t>Real Pos</t>
  </si>
  <si>
    <t>Average of Final</t>
  </si>
  <si>
    <t>Average of Proj2</t>
  </si>
  <si>
    <t>Sum of Beat Proj</t>
  </si>
  <si>
    <t>Sum of Std tot</t>
  </si>
  <si>
    <t>0.14-5.06</t>
  </si>
  <si>
    <t>0.21-1.31</t>
  </si>
  <si>
    <t>0.02-1.26</t>
  </si>
  <si>
    <t>Josh Gordon</t>
  </si>
  <si>
    <t>Nick Rose</t>
  </si>
  <si>
    <t>0.05-1.17</t>
  </si>
  <si>
    <t>0.28-2.92</t>
  </si>
  <si>
    <t>0.04-1.10</t>
  </si>
  <si>
    <t>Reg Rnk</t>
  </si>
  <si>
    <t>match</t>
  </si>
  <si>
    <t>Rnd1 Win Prob</t>
  </si>
  <si>
    <t>Rnd 2 - Team 1</t>
  </si>
  <si>
    <t>Rnd 2 - Team 2</t>
  </si>
  <si>
    <t>Rnd 2 - Team 3</t>
  </si>
  <si>
    <t>Rnd 2 - Team 4</t>
  </si>
  <si>
    <t>Adv Prob</t>
  </si>
  <si>
    <t>Fall Prob</t>
  </si>
  <si>
    <t>Rnd 2 Win</t>
  </si>
  <si>
    <t>Rnd 2 Loss</t>
  </si>
  <si>
    <t>Placement</t>
  </si>
  <si>
    <t>2nd</t>
  </si>
  <si>
    <t>3rd</t>
  </si>
  <si>
    <t>4th</t>
  </si>
  <si>
    <t>5th</t>
  </si>
  <si>
    <t>6th</t>
  </si>
  <si>
    <t>7th</t>
  </si>
  <si>
    <t>8th</t>
  </si>
  <si>
    <t>9th</t>
  </si>
  <si>
    <t>10th</t>
  </si>
  <si>
    <t>vs chad</t>
  </si>
  <si>
    <t>vs devon</t>
  </si>
  <si>
    <t>Week 14 Proj</t>
  </si>
  <si>
    <t>Week 15 Proj</t>
  </si>
  <si>
    <t>Total Proj</t>
  </si>
  <si>
    <t>vs cory</t>
  </si>
  <si>
    <t>vs comp</t>
  </si>
  <si>
    <t>My Team Pts</t>
  </si>
  <si>
    <t>My Team Var</t>
  </si>
  <si>
    <t>Opp Pts</t>
  </si>
  <si>
    <t>Opp Var</t>
  </si>
  <si>
    <t>Prob Before</t>
  </si>
  <si>
    <t>Prob After</t>
  </si>
  <si>
    <t>Diff</t>
  </si>
  <si>
    <t>Ty Hilton BYE</t>
  </si>
  <si>
    <t>Sum of Diff</t>
  </si>
  <si>
    <t>Column Labels</t>
  </si>
  <si>
    <t>Aaron Rodgers Total</t>
  </si>
  <si>
    <t>Opp Final</t>
  </si>
  <si>
    <t>My Final</t>
  </si>
  <si>
    <t>As Last</t>
  </si>
  <si>
    <t>Last Diff</t>
  </si>
  <si>
    <t>Opp Wk</t>
  </si>
  <si>
    <t>Total Sum of Diff</t>
  </si>
  <si>
    <t>Sum of Last Diff</t>
  </si>
  <si>
    <t>Total Sum of Last Diff</t>
  </si>
  <si>
    <t>aj Total</t>
  </si>
  <si>
    <t>Dede Westbrook</t>
  </si>
  <si>
    <t>1.68-10.90</t>
  </si>
  <si>
    <t>Case Keenum</t>
  </si>
  <si>
    <t>0.77-8.27</t>
  </si>
  <si>
    <t>4.73-13.83</t>
  </si>
  <si>
    <t>Sebastian Janikowski</t>
  </si>
  <si>
    <t>Daniel Carlson</t>
  </si>
  <si>
    <t>6.96-19.84</t>
  </si>
  <si>
    <t>5.18-19.26</t>
  </si>
  <si>
    <t>4.09-18.43</t>
  </si>
  <si>
    <t>4.13-16.29</t>
  </si>
  <si>
    <t>3.37-15.73</t>
  </si>
  <si>
    <t>2.72-15.64</t>
  </si>
  <si>
    <t>2.66-14.82</t>
  </si>
  <si>
    <t>2.99-16.13</t>
  </si>
  <si>
    <t>3.28-16.28</t>
  </si>
  <si>
    <t>3.44-15.00</t>
  </si>
  <si>
    <t>0.99-16.83</t>
  </si>
  <si>
    <t>2.89-14.39</t>
  </si>
  <si>
    <t>1.92-16.08</t>
  </si>
  <si>
    <t>2.91-14.19</t>
  </si>
  <si>
    <t>3.59-14.83</t>
  </si>
  <si>
    <t>2.39-13.99</t>
  </si>
  <si>
    <t>1.81-13.99</t>
  </si>
  <si>
    <t>1.69-14.73</t>
  </si>
  <si>
    <t>1.88-15.58</t>
  </si>
  <si>
    <t>1.86-13.04</t>
  </si>
  <si>
    <t>2.66-14.68</t>
  </si>
  <si>
    <t>2.34-14.12</t>
  </si>
  <si>
    <t>2.19-12.69</t>
  </si>
  <si>
    <t>2.62-12.70</t>
  </si>
  <si>
    <t>0.90-13.12</t>
  </si>
  <si>
    <t>2.70-11.86</t>
  </si>
  <si>
    <t>1.46-13.52</t>
  </si>
  <si>
    <t>1.67-11.45</t>
  </si>
  <si>
    <t>1.31-11.83</t>
  </si>
  <si>
    <t>0.93-12.81</t>
  </si>
  <si>
    <t>1.62-11.88</t>
  </si>
  <si>
    <t>0.26-12.24</t>
  </si>
  <si>
    <t>1.16-11.08</t>
  </si>
  <si>
    <t>0.45-12.99</t>
  </si>
  <si>
    <t>1.97-10.99</t>
  </si>
  <si>
    <t>1.26-10.46</t>
  </si>
  <si>
    <t>0.07-10.91</t>
  </si>
  <si>
    <t>0.95-10.81</t>
  </si>
  <si>
    <t>0.57-10.59</t>
  </si>
  <si>
    <t>0.15-11.33</t>
  </si>
  <si>
    <t>0.36-9.62</t>
  </si>
  <si>
    <t>0.12-8.82</t>
  </si>
  <si>
    <t>0.43-10.53</t>
  </si>
  <si>
    <t>0.65-9.45</t>
  </si>
  <si>
    <t>16.53-31.59</t>
  </si>
  <si>
    <t>15.55-30.77</t>
  </si>
  <si>
    <t>13.26-31.46</t>
  </si>
  <si>
    <t>12.62-27.16</t>
  </si>
  <si>
    <t>12.92-26.82</t>
  </si>
  <si>
    <t>11.15-27.43</t>
  </si>
  <si>
    <t>11.61-26.55</t>
  </si>
  <si>
    <t>10.49-27.47</t>
  </si>
  <si>
    <t>11.19-26.73</t>
  </si>
  <si>
    <t>11.36-26.00</t>
  </si>
  <si>
    <t>9.97-27.01</t>
  </si>
  <si>
    <t>10.99-25.97</t>
  </si>
  <si>
    <t>11.15-25.29</t>
  </si>
  <si>
    <t>Sam Darnold</t>
  </si>
  <si>
    <t>10.43-24.41</t>
  </si>
  <si>
    <t>Josh Allen</t>
  </si>
  <si>
    <t>Ryan Tannehill</t>
  </si>
  <si>
    <t>9.69-24.25</t>
  </si>
  <si>
    <t>9.18-24.16</t>
  </si>
  <si>
    <t>7.44-25.88</t>
  </si>
  <si>
    <t>6.82-25.20</t>
  </si>
  <si>
    <t>9.69-21.99</t>
  </si>
  <si>
    <t>9.31-21.95</t>
  </si>
  <si>
    <t>8.88-21.96</t>
  </si>
  <si>
    <t>8.93-21.53</t>
  </si>
  <si>
    <t>7.72-22.22</t>
  </si>
  <si>
    <t>Saquon Barkley</t>
  </si>
  <si>
    <t>8.48-20.68</t>
  </si>
  <si>
    <t>7.68-21.04</t>
  </si>
  <si>
    <t>8.39-20.13</t>
  </si>
  <si>
    <t>7.11-20.49</t>
  </si>
  <si>
    <t>3.91-23.55</t>
  </si>
  <si>
    <t>7.04-19.94</t>
  </si>
  <si>
    <t>7.58-19.30</t>
  </si>
  <si>
    <t>6.97-19.89</t>
  </si>
  <si>
    <t>6.79-19.15</t>
  </si>
  <si>
    <t>6.61-19.31</t>
  </si>
  <si>
    <t>6.24-19.40</t>
  </si>
  <si>
    <t>5.75-19.77</t>
  </si>
  <si>
    <t>5.94-19.36</t>
  </si>
  <si>
    <t>6.77-18.29</t>
  </si>
  <si>
    <t>6.33-18.73</t>
  </si>
  <si>
    <t>4.25-20.69</t>
  </si>
  <si>
    <t>5.33-19.47</t>
  </si>
  <si>
    <t>4.13-20.55</t>
  </si>
  <si>
    <t>6.46-18.12</t>
  </si>
  <si>
    <t>5.99-18.25</t>
  </si>
  <si>
    <t>6.15-17.81</t>
  </si>
  <si>
    <t>2.93-20.61</t>
  </si>
  <si>
    <t>5.29-17.51</t>
  </si>
  <si>
    <t>3.28-18.82</t>
  </si>
  <si>
    <t>4.44-17.36</t>
  </si>
  <si>
    <t>3.33-18.05</t>
  </si>
  <si>
    <t>2.88-18.10</t>
  </si>
  <si>
    <t>4.22-16.62</t>
  </si>
  <si>
    <t>4.32-16.44</t>
  </si>
  <si>
    <t>1.30-19.26</t>
  </si>
  <si>
    <t>Ronald Jones</t>
  </si>
  <si>
    <t>2.48-17.58</t>
  </si>
  <si>
    <t>3.69-16.29</t>
  </si>
  <si>
    <t>1.74-18.00</t>
  </si>
  <si>
    <t>2.78-16.86</t>
  </si>
  <si>
    <t>2.95-16.59</t>
  </si>
  <si>
    <t>5.10-14.38</t>
  </si>
  <si>
    <t>Kerryon Johnson</t>
  </si>
  <si>
    <t>3.74-15.06</t>
  </si>
  <si>
    <t>3.63-15.13</t>
  </si>
  <si>
    <t>3.11-15.59</t>
  </si>
  <si>
    <t>Julian Edelman</t>
  </si>
  <si>
    <t>3.80-14.74</t>
  </si>
  <si>
    <t>3.19-15.23</t>
  </si>
  <si>
    <t>2.37-16.01</t>
  </si>
  <si>
    <t>4.33-14.03</t>
  </si>
  <si>
    <t>3.00-14.94</t>
  </si>
  <si>
    <t>Rashaad Penny</t>
  </si>
  <si>
    <t>4.01-13.45</t>
  </si>
  <si>
    <t>2.72-14.70</t>
  </si>
  <si>
    <t>1.97-15.35</t>
  </si>
  <si>
    <t>3.48-13.80</t>
  </si>
  <si>
    <t>3.83-13.43</t>
  </si>
  <si>
    <t>3.78-13.40</t>
  </si>
  <si>
    <t>2.73-14.39</t>
  </si>
  <si>
    <t>2.89-14.03</t>
  </si>
  <si>
    <t>1.05-15.45</t>
  </si>
  <si>
    <t>Royce Freeman</t>
  </si>
  <si>
    <t>2.66-13.62</t>
  </si>
  <si>
    <t>1.16-15.04</t>
  </si>
  <si>
    <t>0.53-15.43</t>
  </si>
  <si>
    <t>2.40-13.40</t>
  </si>
  <si>
    <t>2.40-13.38</t>
  </si>
  <si>
    <t>Sony Michel</t>
  </si>
  <si>
    <t>2.77-12.89</t>
  </si>
  <si>
    <t>0.65-14.57</t>
  </si>
  <si>
    <t>1.97-13.21</t>
  </si>
  <si>
    <t>3.05-11.95</t>
  </si>
  <si>
    <t>2.37-12.07</t>
  </si>
  <si>
    <t>2.20-12.20</t>
  </si>
  <si>
    <t>0.99-12.93</t>
  </si>
  <si>
    <t>1.86-12.06</t>
  </si>
  <si>
    <t>1.65-12.17</t>
  </si>
  <si>
    <t>2.46-11.22</t>
  </si>
  <si>
    <t>1.55-11.91</t>
  </si>
  <si>
    <t>1.93-11.53</t>
  </si>
  <si>
    <t>2.52-10.92</t>
  </si>
  <si>
    <t>Nick Chubb</t>
  </si>
  <si>
    <t>Cameron Meredith</t>
  </si>
  <si>
    <t>Keelan Cole</t>
  </si>
  <si>
    <t>1.40-11.64</t>
  </si>
  <si>
    <t>1.40-11.62</t>
  </si>
  <si>
    <t>2.18-10.78</t>
  </si>
  <si>
    <t>Quincy Enunwa</t>
  </si>
  <si>
    <t>Austin Ekeler</t>
  </si>
  <si>
    <t>1.25-11.09</t>
  </si>
  <si>
    <t>2.30-9.92</t>
  </si>
  <si>
    <t>1.78-10.42</t>
  </si>
  <si>
    <t>Anthony Miller</t>
  </si>
  <si>
    <t>1.43-10.47</t>
  </si>
  <si>
    <t>1.68-10.10</t>
  </si>
  <si>
    <t>0.58-11.00</t>
  </si>
  <si>
    <t>Ricky Seals-Jones</t>
  </si>
  <si>
    <t>1.67-9.57</t>
  </si>
  <si>
    <t>1.24-9.98</t>
  </si>
  <si>
    <t>1.89-9.31</t>
  </si>
  <si>
    <t>1.86-9.32</t>
  </si>
  <si>
    <t>0.96-10.14</t>
  </si>
  <si>
    <t>Corey Clement</t>
  </si>
  <si>
    <t>Jordan Wilkins</t>
  </si>
  <si>
    <t>0.66-10.30</t>
  </si>
  <si>
    <t>0.50-10.42</t>
  </si>
  <si>
    <t>D.J. Moore</t>
  </si>
  <si>
    <t>2.04-8.76</t>
  </si>
  <si>
    <t>1.54-9.16</t>
  </si>
  <si>
    <t>1.06-9.54</t>
  </si>
  <si>
    <t>Nyheim Hines</t>
  </si>
  <si>
    <t>Chris Godwin</t>
  </si>
  <si>
    <t>Christian Kirk</t>
  </si>
  <si>
    <t>0.84-9.54</t>
  </si>
  <si>
    <t>2.60-7.72</t>
  </si>
  <si>
    <t>1.04-9.26</t>
  </si>
  <si>
    <t>0.14-10.16</t>
  </si>
  <si>
    <t>1.33-8.91</t>
  </si>
  <si>
    <t>1.24-8.98</t>
  </si>
  <si>
    <t>Spencer Ware</t>
  </si>
  <si>
    <t>1.88-8.22</t>
  </si>
  <si>
    <t>Kenneth Dixon</t>
  </si>
  <si>
    <t>1.33-8.65</t>
  </si>
  <si>
    <t>Michael Gallup</t>
  </si>
  <si>
    <t>0.93-8.99</t>
  </si>
  <si>
    <t>0.66-9.22</t>
  </si>
  <si>
    <t>0.88-8.96</t>
  </si>
  <si>
    <t>1.05-8.65</t>
  </si>
  <si>
    <t>1.42-8.24</t>
  </si>
  <si>
    <t>0.78-8.84</t>
  </si>
  <si>
    <t>0.13-9.47</t>
  </si>
  <si>
    <t>0.48-9.10</t>
  </si>
  <si>
    <t>0.53-8.89</t>
  </si>
  <si>
    <t>0.69-8.69</t>
  </si>
  <si>
    <t>Antonio Callaway</t>
  </si>
  <si>
    <t>0.94-8.36</t>
  </si>
  <si>
    <t>0.89-8.41</t>
  </si>
  <si>
    <t>Calvin Ridley</t>
  </si>
  <si>
    <t>Michael Gesicki</t>
  </si>
  <si>
    <t>0.51-8.71</t>
  </si>
  <si>
    <t>Courtland Sutton</t>
  </si>
  <si>
    <t>1.39-7.79</t>
  </si>
  <si>
    <t>0.88-8.18</t>
  </si>
  <si>
    <t>1.35-7.65</t>
  </si>
  <si>
    <t>0.11-8.85</t>
  </si>
  <si>
    <t>0.61-8.31</t>
  </si>
  <si>
    <t>0.20-8.70</t>
  </si>
  <si>
    <t>Chase Edmonds</t>
  </si>
  <si>
    <t>0.09-8.71</t>
  </si>
  <si>
    <t>0.73-8.03</t>
  </si>
  <si>
    <t>0.60-8.14</t>
  </si>
  <si>
    <t>0.26-8.42</t>
  </si>
  <si>
    <t>0.28-8.38</t>
  </si>
  <si>
    <t>0.21-8.33</t>
  </si>
  <si>
    <t>James Washington</t>
  </si>
  <si>
    <t>0.73-7.77</t>
  </si>
  <si>
    <t>0.43-8.07</t>
  </si>
  <si>
    <t>0.63-7.83</t>
  </si>
  <si>
    <t>0.72-7.70</t>
  </si>
  <si>
    <t>0.78-7.52</t>
  </si>
  <si>
    <t>0.16-7.98</t>
  </si>
  <si>
    <t>0.16-7.90</t>
  </si>
  <si>
    <t>0.63-7.39</t>
  </si>
  <si>
    <t>0.12-7.76</t>
  </si>
  <si>
    <t>Hayden Hurst</t>
  </si>
  <si>
    <t>0.74-6.88</t>
  </si>
  <si>
    <t>0.26-7.28</t>
  </si>
  <si>
    <t>0.47-6.99</t>
  </si>
  <si>
    <t>1.15-6.29</t>
  </si>
  <si>
    <t>0.08-7.26</t>
  </si>
  <si>
    <t>0.24-7.08</t>
  </si>
  <si>
    <t>0.31-6.95</t>
  </si>
  <si>
    <t>Trent Taylor</t>
  </si>
  <si>
    <t>Kalen Ballage</t>
  </si>
  <si>
    <t>0.09-6.97</t>
  </si>
  <si>
    <t>0.03-6.99</t>
  </si>
  <si>
    <t>0.05-6.89</t>
  </si>
  <si>
    <t>0.57-6.19</t>
  </si>
  <si>
    <t>0.01-6.73</t>
  </si>
  <si>
    <t>0.39-6.35</t>
  </si>
  <si>
    <t>0.33-6.35</t>
  </si>
  <si>
    <t>0.20-6.28</t>
  </si>
  <si>
    <t>0.45-5.95</t>
  </si>
  <si>
    <t>0.49-5.87</t>
  </si>
  <si>
    <t>Gerald Everett</t>
  </si>
  <si>
    <t>0.07-6.11</t>
  </si>
  <si>
    <t>0.27-5.85</t>
  </si>
  <si>
    <t>Mack Hollins</t>
  </si>
  <si>
    <t>Justin Jackson</t>
  </si>
  <si>
    <t>0.28-5.28</t>
  </si>
  <si>
    <t>0.01-5.41</t>
  </si>
  <si>
    <t>0.52-4.88</t>
  </si>
  <si>
    <t>0.18-5.02</t>
  </si>
  <si>
    <t>Dallas Goedert</t>
  </si>
  <si>
    <t>0.36-4.78</t>
  </si>
  <si>
    <t>0.35-4.77</t>
  </si>
  <si>
    <t>0.27-4.69</t>
  </si>
  <si>
    <t>0.45-4.37</t>
  </si>
  <si>
    <t>Lamar Jackson</t>
  </si>
  <si>
    <t>Jake Butt</t>
  </si>
  <si>
    <t>0.56-4.08</t>
  </si>
  <si>
    <t>0.32-4.26</t>
  </si>
  <si>
    <t>0.27-4.29</t>
  </si>
  <si>
    <t>Adam Shaheen</t>
  </si>
  <si>
    <t>Chad Williams</t>
  </si>
  <si>
    <t>J.D. McKissic</t>
  </si>
  <si>
    <t>0.01-4.45</t>
  </si>
  <si>
    <t>Baker Mayfield</t>
  </si>
  <si>
    <t>1.03-3.35</t>
  </si>
  <si>
    <t>0.16-4.16</t>
  </si>
  <si>
    <t>Jonnu Smith</t>
  </si>
  <si>
    <t>0.56-3.72</t>
  </si>
  <si>
    <t>Jacoby Brissett</t>
  </si>
  <si>
    <t>0.07-4.11</t>
  </si>
  <si>
    <t>Rico Gathers</t>
  </si>
  <si>
    <t>0.16-3.92</t>
  </si>
  <si>
    <t>0.74-3.02</t>
  </si>
  <si>
    <t>0.14-3.60</t>
  </si>
  <si>
    <t>D.J. Chark</t>
  </si>
  <si>
    <t>0.56-3.00</t>
  </si>
  <si>
    <t>0.53-2.93</t>
  </si>
  <si>
    <t>Josh Rosen</t>
  </si>
  <si>
    <t>0.52-2.92</t>
  </si>
  <si>
    <t>0.37-3.03</t>
  </si>
  <si>
    <t>0.12-3.26</t>
  </si>
  <si>
    <t>0.08-3.16</t>
  </si>
  <si>
    <t>Tajae Sharpe</t>
  </si>
  <si>
    <t>0.51-2.59</t>
  </si>
  <si>
    <t>0.06-3.04</t>
  </si>
  <si>
    <t>0.36-2.72</t>
  </si>
  <si>
    <t>0.21-2.75</t>
  </si>
  <si>
    <t>J'Mon Moore</t>
  </si>
  <si>
    <t>Eric Saubert</t>
  </si>
  <si>
    <t>0.05-2.67</t>
  </si>
  <si>
    <t>0.30-2.42</t>
  </si>
  <si>
    <t>0.14-2.58</t>
  </si>
  <si>
    <t>0.35-2.31</t>
  </si>
  <si>
    <t>0.02-2.52</t>
  </si>
  <si>
    <t>0.01-2.51</t>
  </si>
  <si>
    <t>David Fluellen</t>
  </si>
  <si>
    <t>0.03-2.43</t>
  </si>
  <si>
    <t>Michael Roberts</t>
  </si>
  <si>
    <t>Trey Edmunds</t>
  </si>
  <si>
    <t>0.02-2.10</t>
  </si>
  <si>
    <t>0.13-1.97</t>
  </si>
  <si>
    <t>0.07-1.99</t>
  </si>
  <si>
    <t>0.36-1.66</t>
  </si>
  <si>
    <t>0.16-1.84</t>
  </si>
  <si>
    <t>0.40-1.58</t>
  </si>
  <si>
    <t>0.13-1.81</t>
  </si>
  <si>
    <t>0.39-1.55</t>
  </si>
  <si>
    <t>0.37-1.57</t>
  </si>
  <si>
    <t>C.J. Beathard</t>
  </si>
  <si>
    <t>0.29-1.53</t>
  </si>
  <si>
    <t>0.29-1.51</t>
  </si>
  <si>
    <t>Ryan Switzer</t>
  </si>
  <si>
    <t>0.00-1.80</t>
  </si>
  <si>
    <t>Antony Auclair</t>
  </si>
  <si>
    <t>David Fales</t>
  </si>
  <si>
    <t>0.26-1.50</t>
  </si>
  <si>
    <t>0.28-1.48</t>
  </si>
  <si>
    <t>0.02-1.66</t>
  </si>
  <si>
    <t>0.26-1.38</t>
  </si>
  <si>
    <t>Jeremy Sprinkle</t>
  </si>
  <si>
    <t>C.J. Ham</t>
  </si>
  <si>
    <t>Cooper Rush</t>
  </si>
  <si>
    <t>0.22-1.36</t>
  </si>
  <si>
    <t>0.12-1.44</t>
  </si>
  <si>
    <t>0.17-1.37</t>
  </si>
  <si>
    <t>0.16-1.34</t>
  </si>
  <si>
    <t>Alex Armah</t>
  </si>
  <si>
    <t>Marcus Murphy</t>
  </si>
  <si>
    <t>0.15-1.31</t>
  </si>
  <si>
    <t>0.19-1.27</t>
  </si>
  <si>
    <t>Daniel Brown</t>
  </si>
  <si>
    <t>Jaydon Mickens</t>
  </si>
  <si>
    <t>0.14-1.30</t>
  </si>
  <si>
    <t>Cole Wick</t>
  </si>
  <si>
    <t>0.17-1.25</t>
  </si>
  <si>
    <t>0.02-1.38</t>
  </si>
  <si>
    <t>Justin Davis</t>
  </si>
  <si>
    <t>Victor Bolden Jr.</t>
  </si>
  <si>
    <t>0.00-1.38</t>
  </si>
  <si>
    <t>0.10-1.28</t>
  </si>
  <si>
    <t>0.05-1.33</t>
  </si>
  <si>
    <t>Nathan Peterman</t>
  </si>
  <si>
    <t>0.15-1.21</t>
  </si>
  <si>
    <t>Andy Jones</t>
  </si>
  <si>
    <t>0.01-1.33</t>
  </si>
  <si>
    <t>0.08-1.26</t>
  </si>
  <si>
    <t>0.22-1.12</t>
  </si>
  <si>
    <t>Emanuel Byrd</t>
  </si>
  <si>
    <t>Jace Billingsley</t>
  </si>
  <si>
    <t>0.01-1.31</t>
  </si>
  <si>
    <t>0.00-1.32</t>
  </si>
  <si>
    <t>0.05-1.25</t>
  </si>
  <si>
    <t>Stevan Ridley</t>
  </si>
  <si>
    <t>0.10-1.16</t>
  </si>
  <si>
    <t>Logan Thomas</t>
  </si>
  <si>
    <t>MyCole Pruitt</t>
  </si>
  <si>
    <t>0.02-1.24</t>
  </si>
  <si>
    <t>Eric Tomlinson</t>
  </si>
  <si>
    <t>0.00-1.22</t>
  </si>
  <si>
    <t>0.03-1.19</t>
  </si>
  <si>
    <t>0.09-1.13</t>
  </si>
  <si>
    <t>0.13-1.09</t>
  </si>
  <si>
    <t>0.00-1.20</t>
  </si>
  <si>
    <t>0.03-1.17</t>
  </si>
  <si>
    <t>Josh Reynolds</t>
  </si>
  <si>
    <t>Marvin Hall</t>
  </si>
  <si>
    <t>0.01-1.17</t>
  </si>
  <si>
    <t>0.07-1.09</t>
  </si>
  <si>
    <t>Khari Lee</t>
  </si>
  <si>
    <t>0.00-1.16</t>
  </si>
  <si>
    <t>Andre Williams</t>
  </si>
  <si>
    <t>Tommy Bohanon</t>
  </si>
  <si>
    <t>0.02-1.10</t>
  </si>
  <si>
    <t>0.05-1.07</t>
  </si>
  <si>
    <t>Evan Baylis</t>
  </si>
  <si>
    <t>0.04-1.06</t>
  </si>
  <si>
    <t>Chad Hansen</t>
  </si>
  <si>
    <t>0.01-1.09</t>
  </si>
  <si>
    <t>Hakeem Valles</t>
  </si>
  <si>
    <t>Bradley Marquez</t>
  </si>
  <si>
    <t>0.05-1.01</t>
  </si>
  <si>
    <t>0.01-1.03</t>
  </si>
  <si>
    <t>0.03-1.01</t>
  </si>
  <si>
    <t>0.02-1.00</t>
  </si>
  <si>
    <t>0.01-1.01</t>
  </si>
  <si>
    <t>Alex Ellis</t>
  </si>
  <si>
    <t>0.02-0.98</t>
  </si>
  <si>
    <t>Hunter Sharp</t>
  </si>
  <si>
    <t>0.02-0.96</t>
  </si>
  <si>
    <t>Tre Madden</t>
  </si>
  <si>
    <t>0.01-0.93</t>
  </si>
  <si>
    <t>Bronson Hill</t>
  </si>
  <si>
    <t>Cethan Carter</t>
  </si>
  <si>
    <t>Kendrick Bourne</t>
  </si>
  <si>
    <t>Noah Brown</t>
  </si>
  <si>
    <t>Gabe Holmes</t>
  </si>
  <si>
    <t>Jacob Hollister</t>
  </si>
  <si>
    <t>0.03-0.87</t>
  </si>
  <si>
    <t>Blaine Gabbert</t>
  </si>
  <si>
    <t>Stacy Coley</t>
  </si>
  <si>
    <t>Amara Darboh</t>
  </si>
  <si>
    <t>0.06-0.82</t>
  </si>
  <si>
    <t>Josh Malone</t>
  </si>
  <si>
    <t>0.03-0.81</t>
  </si>
  <si>
    <t>Marcus Johnson</t>
  </si>
  <si>
    <t>Shelton Gibson</t>
  </si>
  <si>
    <t>0.01-0.69</t>
  </si>
  <si>
    <t>Michael Burton</t>
  </si>
  <si>
    <t>Darrell Daniels</t>
  </si>
  <si>
    <t>0.00-0.62</t>
  </si>
  <si>
    <t>0.00-0.58</t>
  </si>
  <si>
    <t>Taiwan Jones</t>
  </si>
  <si>
    <t>Marquez Williams</t>
  </si>
  <si>
    <t>Alex Tanney</t>
  </si>
  <si>
    <t>Nate Sudfeld</t>
  </si>
  <si>
    <t>Robert Griffin III</t>
  </si>
  <si>
    <t>Taylor Heinicke</t>
  </si>
  <si>
    <t>Taysom Hill</t>
  </si>
  <si>
    <t>Mark Ingram II</t>
  </si>
  <si>
    <t>lucas</t>
  </si>
  <si>
    <t>lucas-1</t>
  </si>
  <si>
    <t>lucas-1WR-1</t>
  </si>
  <si>
    <t>lucas-2</t>
  </si>
  <si>
    <t>lucas-2WR-1</t>
  </si>
  <si>
    <t>lucas-1RB-2</t>
  </si>
  <si>
    <t>lucas-2RB-2</t>
  </si>
  <si>
    <t>lucas-1WR-3</t>
  </si>
  <si>
    <t>lucas-2WR-3</t>
  </si>
  <si>
    <t>lucas-1WR-2</t>
  </si>
  <si>
    <t>lucas-2WR-2</t>
  </si>
  <si>
    <t>lucas-1TE-1</t>
  </si>
  <si>
    <t>lucas-2TE-1</t>
  </si>
  <si>
    <t>lucas-1RB-1</t>
  </si>
  <si>
    <t>lucas-2RB-1</t>
  </si>
  <si>
    <t>lucas-1WR/RB</t>
  </si>
  <si>
    <t>lucas-2WR/RB</t>
  </si>
  <si>
    <t>lucas-1QB-1</t>
  </si>
  <si>
    <t>lucas-2QB-1</t>
  </si>
  <si>
    <t>lucas-1K</t>
  </si>
  <si>
    <t>lucas-2K</t>
  </si>
  <si>
    <t>lucas-1D/ST</t>
  </si>
  <si>
    <t>lucas-2D/ST</t>
  </si>
  <si>
    <t>#N/A</t>
  </si>
  <si>
    <t>#N/A Total</t>
  </si>
  <si>
    <t>lucas Total</t>
  </si>
  <si>
    <t>12.15-26.17</t>
  </si>
  <si>
    <t>13.86-24.28</t>
  </si>
  <si>
    <t>12.02-24.62</t>
  </si>
  <si>
    <t>10.65-25.45</t>
  </si>
  <si>
    <t>6.86-22.10</t>
  </si>
  <si>
    <t>8.22-20.00</t>
  </si>
  <si>
    <t>6.01-18.69</t>
  </si>
  <si>
    <t>3.66-19.72</t>
  </si>
  <si>
    <t>4.61-16.99</t>
  </si>
  <si>
    <t>4.10-16.94</t>
  </si>
  <si>
    <t>4.54-15.92</t>
  </si>
  <si>
    <t>3.95-16.39</t>
  </si>
  <si>
    <t>3.50-16.40</t>
  </si>
  <si>
    <t>3.72-14.06</t>
  </si>
  <si>
    <t>1.45-15.55</t>
  </si>
  <si>
    <t>3.38-13.00</t>
  </si>
  <si>
    <t>2.10-14.24</t>
  </si>
  <si>
    <t>2.81-13.29</t>
  </si>
  <si>
    <t>2.63-12.95</t>
  </si>
  <si>
    <t>2.50-11.94</t>
  </si>
  <si>
    <t>1.13-13.07</t>
  </si>
  <si>
    <t>1.22-12.96</t>
  </si>
  <si>
    <t>1.50-12.20</t>
  </si>
  <si>
    <t>1.13-12.39</t>
  </si>
  <si>
    <t>0.88-12.50</t>
  </si>
  <si>
    <t>1.03-11.95</t>
  </si>
  <si>
    <t>1.44-11.44</t>
  </si>
  <si>
    <t>0.00-12.74</t>
  </si>
  <si>
    <t>0.44-11.52</t>
  </si>
  <si>
    <t>2.39-9.35</t>
  </si>
  <si>
    <t>0.87-10.61</t>
  </si>
  <si>
    <t>1.38-9.64</t>
  </si>
  <si>
    <t>0.79-10.03</t>
  </si>
  <si>
    <t>0.30-10.32</t>
  </si>
  <si>
    <t>1.30-8.90</t>
  </si>
  <si>
    <t>0.34-8.60</t>
  </si>
  <si>
    <t>0.62-7.76</t>
  </si>
  <si>
    <t>0.02-7.84</t>
  </si>
  <si>
    <t>1.31-5.13</t>
  </si>
  <si>
    <t>0.34-1.62</t>
  </si>
  <si>
    <t>opp-score</t>
  </si>
  <si>
    <t>paste score</t>
  </si>
  <si>
    <t>opp-var</t>
  </si>
  <si>
    <t>team-var</t>
  </si>
  <si>
    <t>paste var</t>
  </si>
  <si>
    <t>sched-switch</t>
  </si>
  <si>
    <t>same-team matchups</t>
  </si>
  <si>
    <t>lucas-3</t>
  </si>
  <si>
    <t>lucas-4</t>
  </si>
  <si>
    <t>lucas-5</t>
  </si>
  <si>
    <t>adjusted away</t>
  </si>
  <si>
    <t>lucas-6</t>
  </si>
  <si>
    <t>lucas-7</t>
  </si>
  <si>
    <t>lucas-8</t>
  </si>
  <si>
    <t>lucas-9</t>
  </si>
  <si>
    <t>lucas-10</t>
  </si>
  <si>
    <t>lucas-11</t>
  </si>
  <si>
    <t>lucas-12</t>
  </si>
  <si>
    <t>lucas-13</t>
  </si>
  <si>
    <t>avg</t>
  </si>
  <si>
    <t>avg opp</t>
  </si>
  <si>
    <t>residual-opp</t>
  </si>
  <si>
    <t>residual-team</t>
  </si>
  <si>
    <t>toughest draws (weekly opp res-season long opp residual)</t>
  </si>
  <si>
    <t>4.14-15.36</t>
  </si>
  <si>
    <t>1.25-11.87</t>
  </si>
  <si>
    <t>0.81-11.31</t>
  </si>
  <si>
    <t>1.18-10.42</t>
  </si>
  <si>
    <t>0.46-9.34</t>
  </si>
  <si>
    <t>5.43-16.15</t>
  </si>
  <si>
    <t>6.05-13.95</t>
  </si>
  <si>
    <t>6.39-13.49</t>
  </si>
  <si>
    <t>3.57-15.53</t>
  </si>
  <si>
    <t>4.56-13.28</t>
  </si>
  <si>
    <t>5.52-13.12</t>
  </si>
  <si>
    <t>4.23-13.69</t>
  </si>
  <si>
    <t>5.07-12.49</t>
  </si>
  <si>
    <t>4.84-12.52</t>
  </si>
  <si>
    <t>3.62-13.50</t>
  </si>
  <si>
    <t>5.05-11.89</t>
  </si>
  <si>
    <t>4.40-12.46</t>
  </si>
  <si>
    <t>4.69-11.79</t>
  </si>
  <si>
    <t>4.17-12.85</t>
  </si>
  <si>
    <t>3.80-11.66</t>
  </si>
  <si>
    <t>3.54-12.80</t>
  </si>
  <si>
    <t>4.34-12.08</t>
  </si>
  <si>
    <t>3.59-11.57</t>
  </si>
  <si>
    <t>3.43-13.37</t>
  </si>
  <si>
    <t>4.16-10.90</t>
  </si>
  <si>
    <t>3.28-11.32</t>
  </si>
  <si>
    <t>3.07-12.01</t>
  </si>
  <si>
    <t>3.60-10.74</t>
  </si>
  <si>
    <t>3.45-11.93</t>
  </si>
  <si>
    <t>3.21-12.11</t>
  </si>
  <si>
    <t>2.60-11.34</t>
  </si>
  <si>
    <t>7.60-20.70</t>
  </si>
  <si>
    <t>3.43-14.75</t>
  </si>
  <si>
    <t>1.65-15.41</t>
  </si>
  <si>
    <t>0.65-11.29</t>
  </si>
  <si>
    <t>1.50-10.32</t>
  </si>
  <si>
    <t>0.62-6.14</t>
  </si>
  <si>
    <t>0.03-6.59</t>
  </si>
  <si>
    <t>0.76-4.74</t>
  </si>
  <si>
    <t>0.76-4.66</t>
  </si>
  <si>
    <t>0.08-5.26</t>
  </si>
  <si>
    <t>0.02-4.90</t>
  </si>
  <si>
    <t>0.21-4.63</t>
  </si>
  <si>
    <t>0.24-4.38</t>
  </si>
  <si>
    <t>0.06-1.88</t>
  </si>
  <si>
    <t>0.15-1.29</t>
  </si>
  <si>
    <t>0.04-1.12</t>
  </si>
  <si>
    <t>0.05-0.95</t>
  </si>
  <si>
    <t>6.47-17.25</t>
  </si>
  <si>
    <t>4.97-16.75</t>
  </si>
  <si>
    <t>11.22-25.34</t>
  </si>
  <si>
    <t>3.56-16.22</t>
  </si>
  <si>
    <t>0.09-8.39</t>
  </si>
  <si>
    <t>0.22-7.20</t>
  </si>
  <si>
    <t>Joe Webb</t>
  </si>
  <si>
    <t>9.21-27.67</t>
  </si>
  <si>
    <t>5.17-24.63</t>
  </si>
  <si>
    <t>8.06-20.96</t>
  </si>
  <si>
    <t>5.61-21.15</t>
  </si>
  <si>
    <t>4.72-20.68</t>
  </si>
  <si>
    <t>2.76-16.26</t>
  </si>
  <si>
    <t>3.01-15.31</t>
  </si>
  <si>
    <t>0.57-16.13</t>
  </si>
  <si>
    <t>0.94-11.80</t>
  </si>
  <si>
    <t>Rank, Player</t>
  </si>
  <si>
    <t>PosRank</t>
  </si>
  <si>
    <t>RB1</t>
  </si>
  <si>
    <t>RB2</t>
  </si>
  <si>
    <t>ARI</t>
  </si>
  <si>
    <t>RB3</t>
  </si>
  <si>
    <t>RB4</t>
  </si>
  <si>
    <t>5. Antonio Brown</t>
  </si>
  <si>
    <t>WR1</t>
  </si>
  <si>
    <t>NYG</t>
  </si>
  <si>
    <t>RB5</t>
  </si>
  <si>
    <t>NO</t>
  </si>
  <si>
    <t>RB6</t>
  </si>
  <si>
    <t>8. Julio Jones</t>
  </si>
  <si>
    <t>WR2</t>
  </si>
  <si>
    <t>9. Odell Beckham Jr.</t>
  </si>
  <si>
    <t>WR3</t>
  </si>
  <si>
    <t>10. DeAndre Hopkins</t>
  </si>
  <si>
    <t>WR4</t>
  </si>
  <si>
    <t>KC</t>
  </si>
  <si>
    <t>RB7</t>
  </si>
  <si>
    <t>JAC</t>
  </si>
  <si>
    <t>RB8</t>
  </si>
  <si>
    <t>RB9</t>
  </si>
  <si>
    <t>RB10</t>
  </si>
  <si>
    <t>15. Keenan Allen</t>
  </si>
  <si>
    <t>WR5</t>
  </si>
  <si>
    <t>16. Michael Thomas</t>
  </si>
  <si>
    <t>WR6</t>
  </si>
  <si>
    <t>CAR</t>
  </si>
  <si>
    <t>RB11</t>
  </si>
  <si>
    <t>18. A.J. Green</t>
  </si>
  <si>
    <t>CIN</t>
  </si>
  <si>
    <t>WR7</t>
  </si>
  <si>
    <t>19. Devonta Freeman</t>
  </si>
  <si>
    <t>RB12</t>
  </si>
  <si>
    <t>20. Rob Gronkowski</t>
  </si>
  <si>
    <t>NE</t>
  </si>
  <si>
    <t>TE1</t>
  </si>
  <si>
    <t>21. Davante Adams</t>
  </si>
  <si>
    <t>GB</t>
  </si>
  <si>
    <t>WR8</t>
  </si>
  <si>
    <t>22. Mike Evans</t>
  </si>
  <si>
    <t>TB</t>
  </si>
  <si>
    <t>WR9</t>
  </si>
  <si>
    <t>23. LeSean McCoy</t>
  </si>
  <si>
    <t>RB13</t>
  </si>
  <si>
    <t>24. T.Y. Hilton</t>
  </si>
  <si>
    <t>WR10</t>
  </si>
  <si>
    <t>25. Adam Thielen</t>
  </si>
  <si>
    <t>WR11</t>
  </si>
  <si>
    <t>26. Stefon Diggs</t>
  </si>
  <si>
    <t>WR12</t>
  </si>
  <si>
    <t>27. Tyreek Hill</t>
  </si>
  <si>
    <t>WR13</t>
  </si>
  <si>
    <t>28. Larry Fitzgerald</t>
  </si>
  <si>
    <t>WR14</t>
  </si>
  <si>
    <t>29. Travis Kelce</t>
  </si>
  <si>
    <t>TE2</t>
  </si>
  <si>
    <t>30. Zach Ertz</t>
  </si>
  <si>
    <t>PHI</t>
  </si>
  <si>
    <t>TE3</t>
  </si>
  <si>
    <t>31. Doug Baldwin</t>
  </si>
  <si>
    <t>SEA</t>
  </si>
  <si>
    <t>WR15</t>
  </si>
  <si>
    <t>32. Allen Robinson</t>
  </si>
  <si>
    <t>WR16</t>
  </si>
  <si>
    <t>33. Amari Cooper</t>
  </si>
  <si>
    <t>OAK</t>
  </si>
  <si>
    <t>WR17</t>
  </si>
  <si>
    <t>CLE</t>
  </si>
  <si>
    <t>WR18</t>
  </si>
  <si>
    <t>WR19</t>
  </si>
  <si>
    <t>36. Jordan Howard</t>
  </si>
  <si>
    <t>RB14</t>
  </si>
  <si>
    <t>37. Joe Mixon</t>
  </si>
  <si>
    <t>RB15</t>
  </si>
  <si>
    <t>38. Kenyan Drake</t>
  </si>
  <si>
    <t>RB16</t>
  </si>
  <si>
    <t>WR20</t>
  </si>
  <si>
    <t>DET</t>
  </si>
  <si>
    <t>WR21</t>
  </si>
  <si>
    <t>WR22</t>
  </si>
  <si>
    <t>WR23</t>
  </si>
  <si>
    <t>RB17</t>
  </si>
  <si>
    <t>TEN</t>
  </si>
  <si>
    <t>RB18</t>
  </si>
  <si>
    <t>45. Alex Collins</t>
  </si>
  <si>
    <t>BAL</t>
  </si>
  <si>
    <t>RB19</t>
  </si>
  <si>
    <t>46. Jay Ajayi</t>
  </si>
  <si>
    <t>RB20</t>
  </si>
  <si>
    <t>47. Marshawn Lynch</t>
  </si>
  <si>
    <t>RB21</t>
  </si>
  <si>
    <t>48. Lamar Miller</t>
  </si>
  <si>
    <t>RB22</t>
  </si>
  <si>
    <t>49. Mark Ingram II</t>
  </si>
  <si>
    <t>RB23</t>
  </si>
  <si>
    <t>RB24</t>
  </si>
  <si>
    <t>51. Golden Tate</t>
  </si>
  <si>
    <t>WR24</t>
  </si>
  <si>
    <t>52. JuJu Smith-Schuster</t>
  </si>
  <si>
    <t>WR25</t>
  </si>
  <si>
    <t>53. Emmanuel Sanders</t>
  </si>
  <si>
    <t>WR26</t>
  </si>
  <si>
    <t>54. Corey Davis</t>
  </si>
  <si>
    <t>WR27</t>
  </si>
  <si>
    <t>SF</t>
  </si>
  <si>
    <t>RB25</t>
  </si>
  <si>
    <t>56. Aaron Rodgers</t>
  </si>
  <si>
    <t>QB1</t>
  </si>
  <si>
    <t>57. Tom Brady</t>
  </si>
  <si>
    <t>QB2</t>
  </si>
  <si>
    <t>RB26</t>
  </si>
  <si>
    <t>RB27</t>
  </si>
  <si>
    <t>RB28</t>
  </si>
  <si>
    <t>RB29</t>
  </si>
  <si>
    <t>WR28</t>
  </si>
  <si>
    <t>WR29</t>
  </si>
  <si>
    <t>WR30</t>
  </si>
  <si>
    <t>WR31</t>
  </si>
  <si>
    <t>66. Cam Newton</t>
  </si>
  <si>
    <t>QB3</t>
  </si>
  <si>
    <t>67. Russell Wilson</t>
  </si>
  <si>
    <t>QB4</t>
  </si>
  <si>
    <t>68. Deshaun Watson</t>
  </si>
  <si>
    <t>QB5</t>
  </si>
  <si>
    <t>69. Carson Wentz</t>
  </si>
  <si>
    <t>QB6</t>
  </si>
  <si>
    <t>WR32</t>
  </si>
  <si>
    <t>71. Sammy Watkins</t>
  </si>
  <si>
    <t>WR33</t>
  </si>
  <si>
    <t>WR34</t>
  </si>
  <si>
    <t>NYJ</t>
  </si>
  <si>
    <t>WR35</t>
  </si>
  <si>
    <t>WR36</t>
  </si>
  <si>
    <t>WR37</t>
  </si>
  <si>
    <t>WR38</t>
  </si>
  <si>
    <t>77. Greg Olsen</t>
  </si>
  <si>
    <t>TE4</t>
  </si>
  <si>
    <t>78. Delanie Walker</t>
  </si>
  <si>
    <t>TE5</t>
  </si>
  <si>
    <t>79. Evan Engram</t>
  </si>
  <si>
    <t>TE6</t>
  </si>
  <si>
    <t>RB30</t>
  </si>
  <si>
    <t>WR39</t>
  </si>
  <si>
    <t>WR40</t>
  </si>
  <si>
    <t>RB31</t>
  </si>
  <si>
    <t>84. Jimmy Graham</t>
  </si>
  <si>
    <t>TE7</t>
  </si>
  <si>
    <t>RB32</t>
  </si>
  <si>
    <t>86. Rashaad Penny</t>
  </si>
  <si>
    <t>RB33</t>
  </si>
  <si>
    <t>RB34</t>
  </si>
  <si>
    <t>88. Nelson Agholor</t>
  </si>
  <si>
    <t>WR41</t>
  </si>
  <si>
    <t>WR42</t>
  </si>
  <si>
    <t>90. Jordan Reed</t>
  </si>
  <si>
    <t>TE8</t>
  </si>
  <si>
    <t>WR43</t>
  </si>
  <si>
    <t>WR44</t>
  </si>
  <si>
    <t>WR45</t>
  </si>
  <si>
    <t>RB35</t>
  </si>
  <si>
    <t>RB36</t>
  </si>
  <si>
    <t>RB37</t>
  </si>
  <si>
    <t>RB38</t>
  </si>
  <si>
    <t>RB39</t>
  </si>
  <si>
    <t>99. Kyle Rudolph</t>
  </si>
  <si>
    <t>TE9</t>
  </si>
  <si>
    <t>RB40</t>
  </si>
  <si>
    <t>WR46</t>
  </si>
  <si>
    <t>WR47</t>
  </si>
  <si>
    <t>WR48</t>
  </si>
  <si>
    <t>WR49</t>
  </si>
  <si>
    <t>WR50</t>
  </si>
  <si>
    <t>106. Paul Richardson</t>
  </si>
  <si>
    <t>WR51</t>
  </si>
  <si>
    <t>RB41</t>
  </si>
  <si>
    <t>108. Matt Breida</t>
  </si>
  <si>
    <t>RB42</t>
  </si>
  <si>
    <t>109. Ronald Jones II</t>
  </si>
  <si>
    <t>RB43</t>
  </si>
  <si>
    <t>110. Trey Burton</t>
  </si>
  <si>
    <t>TE10</t>
  </si>
  <si>
    <t>111. David Njoku</t>
  </si>
  <si>
    <t>TE11</t>
  </si>
  <si>
    <t>RB44</t>
  </si>
  <si>
    <t>RB45</t>
  </si>
  <si>
    <t>114. James White</t>
  </si>
  <si>
    <t>RB46</t>
  </si>
  <si>
    <t>115. John Ross</t>
  </si>
  <si>
    <t>WR52</t>
  </si>
  <si>
    <t>WR53</t>
  </si>
  <si>
    <t>117. Andrew Luck</t>
  </si>
  <si>
    <t>QB7</t>
  </si>
  <si>
    <t>118. Ben Roethlisberger</t>
  </si>
  <si>
    <t>QB8</t>
  </si>
  <si>
    <t>119. Kirk Cousins</t>
  </si>
  <si>
    <t>QB9</t>
  </si>
  <si>
    <t>120. Jack Doyle</t>
  </si>
  <si>
    <t>TE12</t>
  </si>
  <si>
    <t>WR54</t>
  </si>
  <si>
    <t>WR55</t>
  </si>
  <si>
    <t>WR56</t>
  </si>
  <si>
    <t>WR57</t>
  </si>
  <si>
    <t>WR58</t>
  </si>
  <si>
    <t>WR59</t>
  </si>
  <si>
    <t>127. Matthew Stafford</t>
  </si>
  <si>
    <t>QB10</t>
  </si>
  <si>
    <t>128. Drew Brees</t>
  </si>
  <si>
    <t>QB11</t>
  </si>
  <si>
    <t>129. Danny Amendola</t>
  </si>
  <si>
    <t>WR60</t>
  </si>
  <si>
    <t>WR61</t>
  </si>
  <si>
    <t>WR62</t>
  </si>
  <si>
    <t>WR63</t>
  </si>
  <si>
    <t>133. Charles Clay</t>
  </si>
  <si>
    <t>TE13</t>
  </si>
  <si>
    <t>134. Matt Ryan</t>
  </si>
  <si>
    <t>QB12</t>
  </si>
  <si>
    <t>135. Patrick Mahomes</t>
  </si>
  <si>
    <t>QB13</t>
  </si>
  <si>
    <t>136. Tyler Eifert</t>
  </si>
  <si>
    <t>TE14</t>
  </si>
  <si>
    <t>137. Philip Rivers</t>
  </si>
  <si>
    <t>QB14</t>
  </si>
  <si>
    <t>138. Jimmy Garoppolo</t>
  </si>
  <si>
    <t>QB15</t>
  </si>
  <si>
    <t>139. Alex Smith</t>
  </si>
  <si>
    <t>QB16</t>
  </si>
  <si>
    <t>QB17</t>
  </si>
  <si>
    <t>141. John Brown</t>
  </si>
  <si>
    <t>WR64</t>
  </si>
  <si>
    <t>142. Anthony Miller</t>
  </si>
  <si>
    <t>WR65</t>
  </si>
  <si>
    <t>WR66</t>
  </si>
  <si>
    <t>144. Courtland Sutton</t>
  </si>
  <si>
    <t>WR67</t>
  </si>
  <si>
    <t>145. Donte Moncrief</t>
  </si>
  <si>
    <t>WR68</t>
  </si>
  <si>
    <t>146. Mike Williams</t>
  </si>
  <si>
    <t>WR69</t>
  </si>
  <si>
    <t>RB47</t>
  </si>
  <si>
    <t>RB48</t>
  </si>
  <si>
    <t>RB49</t>
  </si>
  <si>
    <t>RB50</t>
  </si>
  <si>
    <t>RB51</t>
  </si>
  <si>
    <t>RB52</t>
  </si>
  <si>
    <t>RB53</t>
  </si>
  <si>
    <t>RB54</t>
  </si>
  <si>
    <t>RB55</t>
  </si>
  <si>
    <t>156. Jaguars D/ST</t>
  </si>
  <si>
    <t>DST</t>
  </si>
  <si>
    <t>DST1</t>
  </si>
  <si>
    <t>157. George Kittle</t>
  </si>
  <si>
    <t>TE15</t>
  </si>
  <si>
    <t>158. Ryan Grant</t>
  </si>
  <si>
    <t>WR70</t>
  </si>
  <si>
    <t>WR71</t>
  </si>
  <si>
    <t>WR72</t>
  </si>
  <si>
    <t>RB56</t>
  </si>
  <si>
    <t>QB18</t>
  </si>
  <si>
    <t>QB19</t>
  </si>
  <si>
    <t>164. Benjamin Watson</t>
  </si>
  <si>
    <t>TE16</t>
  </si>
  <si>
    <t>WR73</t>
  </si>
  <si>
    <t>166. Antonio Gates</t>
  </si>
  <si>
    <t>TE17</t>
  </si>
  <si>
    <t>RB57</t>
  </si>
  <si>
    <t>QB20</t>
  </si>
  <si>
    <t>WR74</t>
  </si>
  <si>
    <t>170. Eagles D/ST</t>
  </si>
  <si>
    <t>DST2</t>
  </si>
  <si>
    <t>171. Rams D/ST</t>
  </si>
  <si>
    <t>DST3</t>
  </si>
  <si>
    <t>172. Vikings D/ST</t>
  </si>
  <si>
    <t>DST4</t>
  </si>
  <si>
    <t>DST5</t>
  </si>
  <si>
    <t>DST6</t>
  </si>
  <si>
    <t>175. Greg Zuerlein</t>
  </si>
  <si>
    <t>K1</t>
  </si>
  <si>
    <t>176. Stephen Gostkowski</t>
  </si>
  <si>
    <t>K2</t>
  </si>
  <si>
    <t>177. Justin Tucker</t>
  </si>
  <si>
    <t>K3</t>
  </si>
  <si>
    <t>178. Patriots D/ST</t>
  </si>
  <si>
    <t>DST7</t>
  </si>
  <si>
    <t>179. Chargers D/ST</t>
  </si>
  <si>
    <t>DST8</t>
  </si>
  <si>
    <t>180. Broncos D/ST</t>
  </si>
  <si>
    <t>DST9</t>
  </si>
  <si>
    <t>181. Saints D/ST</t>
  </si>
  <si>
    <t>DST10</t>
  </si>
  <si>
    <t>182. Titans D/ST</t>
  </si>
  <si>
    <t>DST11</t>
  </si>
  <si>
    <t>183. Bears D/ST</t>
  </si>
  <si>
    <t>DST12</t>
  </si>
  <si>
    <t>184. Matt Bryant</t>
  </si>
  <si>
    <t>K4</t>
  </si>
  <si>
    <t>185. Wil Lutz</t>
  </si>
  <si>
    <t>K5</t>
  </si>
  <si>
    <t>186. Chris Boswell</t>
  </si>
  <si>
    <t>K6</t>
  </si>
  <si>
    <t>187. Robbie Gould</t>
  </si>
  <si>
    <t>K7</t>
  </si>
  <si>
    <t>188. Jake Elliott</t>
  </si>
  <si>
    <t>K8</t>
  </si>
  <si>
    <t>189. Matt Prater</t>
  </si>
  <si>
    <t>K9</t>
  </si>
  <si>
    <t>190. Harrison Butker</t>
  </si>
  <si>
    <t>K10</t>
  </si>
  <si>
    <t>191. Adam Vinatieri</t>
  </si>
  <si>
    <t>K11</t>
  </si>
  <si>
    <t>192. Graham Gano</t>
  </si>
  <si>
    <t>K12</t>
  </si>
  <si>
    <t>RB58</t>
  </si>
  <si>
    <t>RB59</t>
  </si>
  <si>
    <t>RB60</t>
  </si>
  <si>
    <t>TE18</t>
  </si>
  <si>
    <t>TE19</t>
  </si>
  <si>
    <t>TE20</t>
  </si>
  <si>
    <t>RB61</t>
  </si>
  <si>
    <t>RB62</t>
  </si>
  <si>
    <t>RB63</t>
  </si>
  <si>
    <t>RB64</t>
  </si>
  <si>
    <t>RB65</t>
  </si>
  <si>
    <t>RB66</t>
  </si>
  <si>
    <t>RB67</t>
  </si>
  <si>
    <t>RB68</t>
  </si>
  <si>
    <t>RB69</t>
  </si>
  <si>
    <t>RB70</t>
  </si>
  <si>
    <t>RB71</t>
  </si>
  <si>
    <t>210. Austin Hooper</t>
  </si>
  <si>
    <t>TE21</t>
  </si>
  <si>
    <t>TE22</t>
  </si>
  <si>
    <t>212. Mitchell Trubisky</t>
  </si>
  <si>
    <t>QB21</t>
  </si>
  <si>
    <t>WR75</t>
  </si>
  <si>
    <t>WR76</t>
  </si>
  <si>
    <t>WR77</t>
  </si>
  <si>
    <t>WR78</t>
  </si>
  <si>
    <t>WR79</t>
  </si>
  <si>
    <t>WR80</t>
  </si>
  <si>
    <t>219. Andy Dalton</t>
  </si>
  <si>
    <t>QB22</t>
  </si>
  <si>
    <t>220. Ryan Tannehill</t>
  </si>
  <si>
    <t>QB23</t>
  </si>
  <si>
    <t>221. Panthers D/ST</t>
  </si>
  <si>
    <t>DST13</t>
  </si>
  <si>
    <t>222. Redskins D/ST</t>
  </si>
  <si>
    <t>DST14</t>
  </si>
  <si>
    <t>223. Ryan Succop</t>
  </si>
  <si>
    <t>K13</t>
  </si>
  <si>
    <t>224. Daniel Carlson</t>
  </si>
  <si>
    <t>K14</t>
  </si>
  <si>
    <t>WR81</t>
  </si>
  <si>
    <t>WR82</t>
  </si>
  <si>
    <t>FA</t>
  </si>
  <si>
    <t>WR83</t>
  </si>
  <si>
    <t>228. Brandon Marshall</t>
  </si>
  <si>
    <t>WR84</t>
  </si>
  <si>
    <t>229. Travis Benjamin</t>
  </si>
  <si>
    <t>WR85</t>
  </si>
  <si>
    <t>230. Tre'Quan Smith</t>
  </si>
  <si>
    <t>WR86</t>
  </si>
  <si>
    <t>231. D.J. Chark</t>
  </si>
  <si>
    <t>WR87</t>
  </si>
  <si>
    <t>WR88</t>
  </si>
  <si>
    <t>WR89</t>
  </si>
  <si>
    <t>WR90</t>
  </si>
  <si>
    <t>RB72</t>
  </si>
  <si>
    <t>RB73</t>
  </si>
  <si>
    <t>RB74</t>
  </si>
  <si>
    <t>RB75</t>
  </si>
  <si>
    <t>RB76</t>
  </si>
  <si>
    <t>240. Jonathan Stewart</t>
  </si>
  <si>
    <t>RB77</t>
  </si>
  <si>
    <t>241. Wayne Gallman</t>
  </si>
  <si>
    <t>RB78</t>
  </si>
  <si>
    <t>242. Rod Smith</t>
  </si>
  <si>
    <t>RB79</t>
  </si>
  <si>
    <t>243. Eli Manning</t>
  </si>
  <si>
    <t>QB24</t>
  </si>
  <si>
    <t>244. Derek Carr</t>
  </si>
  <si>
    <t>QB25</t>
  </si>
  <si>
    <t>245. Jameis Winston</t>
  </si>
  <si>
    <t>QB26</t>
  </si>
  <si>
    <t>TE23</t>
  </si>
  <si>
    <t>247. Eric Ebron</t>
  </si>
  <si>
    <t>TE24</t>
  </si>
  <si>
    <t>TE25</t>
  </si>
  <si>
    <t>TE26</t>
  </si>
  <si>
    <t>RB80</t>
  </si>
  <si>
    <t>WR91</t>
  </si>
  <si>
    <t>252. Antonio Callaway</t>
  </si>
  <si>
    <t>WR92</t>
  </si>
  <si>
    <t>253. Cardinals D/ST</t>
  </si>
  <si>
    <t>DST15</t>
  </si>
  <si>
    <t>254. Falcons D/ST</t>
  </si>
  <si>
    <t>DST16</t>
  </si>
  <si>
    <t>255. Mason Crosby</t>
  </si>
  <si>
    <t>K15</t>
  </si>
  <si>
    <t>256. Josh Lambo</t>
  </si>
  <si>
    <t>K16</t>
  </si>
  <si>
    <t>TE27</t>
  </si>
  <si>
    <t>258. Hayden Hurst</t>
  </si>
  <si>
    <t>TE28</t>
  </si>
  <si>
    <t>TE29</t>
  </si>
  <si>
    <t>260. J'Mon Moore</t>
  </si>
  <si>
    <t>WR93</t>
  </si>
  <si>
    <t>261. Marquez Valdes-Scantling</t>
  </si>
  <si>
    <t>WR94</t>
  </si>
  <si>
    <t>262. Equanimeous St. Brown</t>
  </si>
  <si>
    <t>WR95</t>
  </si>
  <si>
    <t>263. Adam Humphries</t>
  </si>
  <si>
    <t>WR96</t>
  </si>
  <si>
    <t>RB81</t>
  </si>
  <si>
    <t>RB82</t>
  </si>
  <si>
    <t>266. Case Keenum</t>
  </si>
  <si>
    <t>QB27</t>
  </si>
  <si>
    <t>267. Blake Bortles</t>
  </si>
  <si>
    <t>QB28</t>
  </si>
  <si>
    <t>268. Joe Flacco</t>
  </si>
  <si>
    <t>QB29</t>
  </si>
  <si>
    <t>269. Sam Darnold</t>
  </si>
  <si>
    <t>QB30</t>
  </si>
  <si>
    <t>270. Sam Bradford</t>
  </si>
  <si>
    <t>QB31</t>
  </si>
  <si>
    <t>271. Zay Jones</t>
  </si>
  <si>
    <t>WR97</t>
  </si>
  <si>
    <t>WR98</t>
  </si>
  <si>
    <t>WR99</t>
  </si>
  <si>
    <t>WR100</t>
  </si>
  <si>
    <t>WR101</t>
  </si>
  <si>
    <t>RB83</t>
  </si>
  <si>
    <t>RB84</t>
  </si>
  <si>
    <t>RB85</t>
  </si>
  <si>
    <t>RB86</t>
  </si>
  <si>
    <t>RB87</t>
  </si>
  <si>
    <t>RB88</t>
  </si>
  <si>
    <t>RB89</t>
  </si>
  <si>
    <t>RB90</t>
  </si>
  <si>
    <t>WR102</t>
  </si>
  <si>
    <t>285. Cowboys D/ST</t>
  </si>
  <si>
    <t>DST17</t>
  </si>
  <si>
    <t>286. Packers D/ST</t>
  </si>
  <si>
    <t>DST18</t>
  </si>
  <si>
    <t>287. Dustin Hopkins</t>
  </si>
  <si>
    <t>K17</t>
  </si>
  <si>
    <t>288. Chandler Catanzaro</t>
  </si>
  <si>
    <t>K18</t>
  </si>
  <si>
    <t>TE30</t>
  </si>
  <si>
    <t>TE31</t>
  </si>
  <si>
    <t>291. Vernon Davis</t>
  </si>
  <si>
    <t>TE32</t>
  </si>
  <si>
    <t>TE33</t>
  </si>
  <si>
    <t>TE34</t>
  </si>
  <si>
    <t>WR103</t>
  </si>
  <si>
    <t>WR104</t>
  </si>
  <si>
    <t>QB32</t>
  </si>
  <si>
    <t>297. Lions D/ST</t>
  </si>
  <si>
    <t>DST19</t>
  </si>
  <si>
    <t>298. Bengals D/ST</t>
  </si>
  <si>
    <t>DST20</t>
  </si>
  <si>
    <t>299. Chiefs D/ST</t>
  </si>
  <si>
    <t>DST21</t>
  </si>
  <si>
    <t>300. Seahawks D/ST</t>
  </si>
  <si>
    <t>DST22</t>
  </si>
  <si>
    <t>1.06-14.00</t>
  </si>
  <si>
    <t>0.40-9.92</t>
  </si>
  <si>
    <t>0.32-5.66</t>
  </si>
  <si>
    <t>0.10-5.30</t>
  </si>
  <si>
    <t>Brandon Bolden</t>
  </si>
  <si>
    <t>Markus Wheaton</t>
  </si>
  <si>
    <t>Draft</t>
  </si>
  <si>
    <t>Drafted</t>
  </si>
  <si>
    <t>Keeper</t>
  </si>
  <si>
    <t>Pick#</t>
  </si>
  <si>
    <t>Show</t>
  </si>
  <si>
    <t>WEEK 1</t>
  </si>
  <si>
    <t>AWAY TEAM</t>
  </si>
  <si>
    <t>OWNER(S)</t>
  </si>
  <si>
    <t>HOME TEAM</t>
  </si>
  <si>
    <t>RESULT</t>
  </si>
  <si>
    <t>Team Revnew (0-0)</t>
  </si>
  <si>
    <t>Alex Revnew</t>
  </si>
  <si>
    <t>at </t>
  </si>
  <si>
    <t>Ride the Schied (0-0)</t>
  </si>
  <si>
    <t>Joseph Schied</t>
  </si>
  <si>
    <t>Preview</t>
  </si>
  <si>
    <t>Kiss the Cook (0-0)</t>
  </si>
  <si>
    <t>Breanna Dravis</t>
  </si>
  <si>
    <t>certified beauties (0-0)</t>
  </si>
  <si>
    <t>Jake Bamfield</t>
  </si>
  <si>
    <t>Team Gardner (0-0)</t>
  </si>
  <si>
    <t>Jordan Gardner</t>
  </si>
  <si>
    <t>Saskatoon Senders (0-0)</t>
  </si>
  <si>
    <t>Chris Revnew</t>
  </si>
  <si>
    <t>Lets Get PhyZekiel (0-0)</t>
  </si>
  <si>
    <t>Alyssa Wienclaw</t>
  </si>
  <si>
    <t>Playin with my Peterson (0-0)</t>
  </si>
  <si>
    <t>Andrew Wienclaw</t>
  </si>
  <si>
    <t>Memerhood Boneheads (0-0)</t>
  </si>
  <si>
    <t>Colin Hendrickson</t>
  </si>
  <si>
    <t>Aaron Rodgers Memerhood (0-0)</t>
  </si>
  <si>
    <t>Paul Beier</t>
  </si>
  <si>
    <t>WEEK 2</t>
  </si>
  <si>
    <t>WEEK 3</t>
  </si>
  <si>
    <t>WEEK 4</t>
  </si>
  <si>
    <t>WEEK 5</t>
  </si>
  <si>
    <t>WEEK 6</t>
  </si>
  <si>
    <t>WEEK 7</t>
  </si>
  <si>
    <t>WEEK 8</t>
  </si>
  <si>
    <t>WEEK 9</t>
  </si>
  <si>
    <t>WEEK 10</t>
  </si>
  <si>
    <t>WEEK 11</t>
  </si>
  <si>
    <t>WEEK 12</t>
  </si>
  <si>
    <t>WEEK 13</t>
  </si>
  <si>
    <t>ROUND 1 (WK 14 - WK 15) - PLAYOFFS</t>
  </si>
  <si>
    <t>Matchups To Be Determined</t>
  </si>
  <si>
    <t>ROUND 2 (WK 16 - WK 17) - PLAYOFFS</t>
  </si>
  <si>
    <t>Regular Season Setup</t>
  </si>
  <si>
    <t>Start of Regular Season</t>
  </si>
  <si>
    <t>Week 1 (Start of Season)</t>
  </si>
  <si>
    <t>Weeks per Matchup</t>
  </si>
  <si>
    <t>Regular Season Matchups</t>
  </si>
  <si>
    <t>13 (Playoffs start Week 14)</t>
  </si>
  <si>
    <t>Matchup Tie Breaker</t>
  </si>
  <si>
    <t>None</t>
  </si>
  <si>
    <t>Home Field Advantage</t>
  </si>
  <si>
    <t>Reset Schedule</t>
  </si>
  <si>
    <t>Season View</t>
  </si>
  <si>
    <t>Playoff Bracket Setup</t>
  </si>
  <si>
    <t>Playoff Teams</t>
  </si>
  <si>
    <t>4 (2 rounds)</t>
  </si>
  <si>
    <t>Weeks per Playoff Matchup</t>
  </si>
  <si>
    <t>2 weeks per round</t>
  </si>
  <si>
    <t>Playoff Seeding Tie Breaker</t>
  </si>
  <si>
    <t>Total Points For</t>
  </si>
  <si>
    <t>Playoff Home Field Advantage</t>
  </si>
  <si>
    <t>Playoff Bracket View</t>
  </si>
  <si>
    <t>Need Help?</t>
  </si>
  <si>
    <t>Username and Password Help</t>
  </si>
  <si>
    <t>Login and Account Issues</t>
  </si>
  <si>
    <t>Change Email Address</t>
  </si>
  <si>
    <t>Reset Draft</t>
  </si>
  <si>
    <t>Issues Joining a League</t>
  </si>
  <si>
    <t>Find Your Team</t>
  </si>
  <si>
    <t>Fantasy Football Help</t>
  </si>
  <si>
    <t>SPONSORED HEADLINES</t>
  </si>
  <si>
    <t>Psoriatic Arthritis Treatment Advances | Psoriatic ArthritisPsoriatic Arthritis Treatment Advances | Psoriatic ArthritisHealthgrades</t>
  </si>
  <si>
    <t>80s Fitness Icons: Where Are They Now?80s Fitness Icons: Where Are They Now?Definition</t>
  </si>
  <si>
    <t>Which 6 Credit Cards Give Back the Most Points or Cash?Which 6 Credit Cards Give Back the Most Points or Cash?NerdWallet</t>
  </si>
  <si>
    <t>Two common essential oils contain endocrine-disrupting chemicalsTwo common essential oils contain endocrine-disrupting chemicals18094.0</t>
  </si>
  <si>
    <t>Recommended by</t>
  </si>
  <si>
    <t>ESPN.com | Member Services | Fantasy Games | Help | Interest-Based Ads</t>
  </si>
  <si>
    <t>Copyright ©2018 ESPN Internet Ventures. Terms of Use and Privacy Policy and Safety Information/Your California Privacy Rights are applicable to this site.</t>
  </si>
  <si>
    <t>Officially Licensed Product of NFL PLAYERS. Visit www.nflplayers.com.</t>
  </si>
  <si>
    <t>5</t>
  </si>
  <si>
    <t>2</t>
  </si>
  <si>
    <t>3</t>
  </si>
  <si>
    <t>10</t>
  </si>
  <si>
    <t>4</t>
  </si>
  <si>
    <t>9</t>
  </si>
  <si>
    <t>7</t>
  </si>
  <si>
    <t>8</t>
  </si>
  <si>
    <t>6</t>
  </si>
  <si>
    <t>1</t>
  </si>
  <si>
    <t>Passing</t>
  </si>
  <si>
    <t>Rushing</t>
  </si>
  <si>
    <t>Receiving</t>
  </si>
  <si>
    <t>Fantasy</t>
  </si>
  <si>
    <t>Rk</t>
  </si>
  <si>
    <t>Tm</t>
  </si>
  <si>
    <t>FantPos</t>
  </si>
  <si>
    <t>Age</t>
  </si>
  <si>
    <t>G</t>
  </si>
  <si>
    <t>GS</t>
  </si>
  <si>
    <t>Cmp</t>
  </si>
  <si>
    <t>Att</t>
  </si>
  <si>
    <t>Yds</t>
  </si>
  <si>
    <t>Int</t>
  </si>
  <si>
    <t>Y/A</t>
  </si>
  <si>
    <t>Tgt</t>
  </si>
  <si>
    <t>Rec</t>
  </si>
  <si>
    <t>Y/R</t>
  </si>
  <si>
    <t>2PM</t>
  </si>
  <si>
    <t>2PP</t>
  </si>
  <si>
    <t>FantPt</t>
  </si>
  <si>
    <t>PPR</t>
  </si>
  <si>
    <t>DKPt</t>
  </si>
  <si>
    <t>FDPt</t>
  </si>
  <si>
    <t>VBD</t>
  </si>
  <si>
    <t>OvRank</t>
  </si>
  <si>
    <t>GNB</t>
  </si>
  <si>
    <t>TAM</t>
  </si>
  <si>
    <t>2TM</t>
  </si>
  <si>
    <t>Todd Gurley*+</t>
  </si>
  <si>
    <t>GurlTo01</t>
  </si>
  <si>
    <t>Le'Veon Bell*+</t>
  </si>
  <si>
    <t>BellLe00</t>
  </si>
  <si>
    <t>Kareem Hunt*</t>
  </si>
  <si>
    <t>HuntKa00</t>
  </si>
  <si>
    <t>Alvin Kamara*</t>
  </si>
  <si>
    <t>KamaAl00</t>
  </si>
  <si>
    <t>GordMe00</t>
  </si>
  <si>
    <t>DeAndre Hopkins*+</t>
  </si>
  <si>
    <t>HopkDe00</t>
  </si>
  <si>
    <t>Antonio Brown*+</t>
  </si>
  <si>
    <t>BrowAn04</t>
  </si>
  <si>
    <t>Mark Ingram*</t>
  </si>
  <si>
    <t>IngrMa01</t>
  </si>
  <si>
    <t>Russell Wilson*</t>
  </si>
  <si>
    <t>WilsRu00</t>
  </si>
  <si>
    <t>LeSean McCoy*</t>
  </si>
  <si>
    <t>McCoLe01</t>
  </si>
  <si>
    <t>Rob Gronkowski*+</t>
  </si>
  <si>
    <t>GronRo00</t>
  </si>
  <si>
    <t>Travis Kelce*</t>
  </si>
  <si>
    <t>KelcTr00</t>
  </si>
  <si>
    <t>FourLe00</t>
  </si>
  <si>
    <t>Keenan Allen*</t>
  </si>
  <si>
    <t>AlleKe00</t>
  </si>
  <si>
    <t>Tyreek Hill*</t>
  </si>
  <si>
    <t>HillTy00</t>
  </si>
  <si>
    <t>Marvin Jones</t>
  </si>
  <si>
    <t>JoneMa02</t>
  </si>
  <si>
    <t>Julio Jones*</t>
  </si>
  <si>
    <t>JoneJu02</t>
  </si>
  <si>
    <t>ElliEz00</t>
  </si>
  <si>
    <t>HowaJo00</t>
  </si>
  <si>
    <t>HydeCa00</t>
  </si>
  <si>
    <t>Zach Ertz*</t>
  </si>
  <si>
    <t>ErtzZa00</t>
  </si>
  <si>
    <t>CookBr00</t>
  </si>
  <si>
    <t>NewtCa00</t>
  </si>
  <si>
    <t>Michael Thomas*</t>
  </si>
  <si>
    <t>ThomMi05</t>
  </si>
  <si>
    <t>Larry Fitzgerald*</t>
  </si>
  <si>
    <t>FitzLa00</t>
  </si>
  <si>
    <t>A.J. Green*</t>
  </si>
  <si>
    <t>GreeA.00</t>
  </si>
  <si>
    <t>Tom Brady*+</t>
  </si>
  <si>
    <t>BradTo00</t>
  </si>
  <si>
    <t>Alex Smith*</t>
  </si>
  <si>
    <t>SmitAl03</t>
  </si>
  <si>
    <t>LewiDi00</t>
  </si>
  <si>
    <t>Adam Thielen*</t>
  </si>
  <si>
    <t>ThieAd00</t>
  </si>
  <si>
    <t>Davante Adams*</t>
  </si>
  <si>
    <t>AdamDa01</t>
  </si>
  <si>
    <t>Doug Baldwin*</t>
  </si>
  <si>
    <t>BaldDo00</t>
  </si>
  <si>
    <t>FreeDe00</t>
  </si>
  <si>
    <t>Jarvis Landry*</t>
  </si>
  <si>
    <t>LandJa00</t>
  </si>
  <si>
    <t>Jimmy Graham*</t>
  </si>
  <si>
    <t>GrahJi00</t>
  </si>
  <si>
    <t>MillLa01</t>
  </si>
  <si>
    <t>JeffAl00</t>
  </si>
  <si>
    <t>EngrEv00</t>
  </si>
  <si>
    <t>Carson Wentz*</t>
  </si>
  <si>
    <t>WentCa00</t>
  </si>
  <si>
    <t>AndeRo04</t>
  </si>
  <si>
    <t>DiggSt00</t>
  </si>
  <si>
    <t>SmitJu00</t>
  </si>
  <si>
    <t>CousKi00</t>
  </si>
  <si>
    <t>McCaCh01</t>
  </si>
  <si>
    <t>TateGo00</t>
  </si>
  <si>
    <t>EvanMi00</t>
  </si>
  <si>
    <t>FuncDe00</t>
  </si>
  <si>
    <t>CollAl00</t>
  </si>
  <si>
    <t>AndeC.00</t>
  </si>
  <si>
    <t>Kyle Rudolph*</t>
  </si>
  <si>
    <t>RudoKy00</t>
  </si>
  <si>
    <t>Delanie Walker*</t>
  </si>
  <si>
    <t>WalkHu00</t>
  </si>
  <si>
    <t>StafMa00</t>
  </si>
  <si>
    <t>GoreFr00</t>
  </si>
  <si>
    <t>LyncMa00</t>
  </si>
  <si>
    <t>MurrLa00</t>
  </si>
  <si>
    <t>Philip Rivers*</t>
  </si>
  <si>
    <t>RivePh00</t>
  </si>
  <si>
    <t>Duke Johnson</t>
  </si>
  <si>
    <t>JohnDu00</t>
  </si>
  <si>
    <t>AghoNe00</t>
  </si>
  <si>
    <t>ColeTe01</t>
  </si>
  <si>
    <t>BratCa00</t>
  </si>
  <si>
    <t>ThomDe03</t>
  </si>
  <si>
    <t>T.Y. Hilton*</t>
  </si>
  <si>
    <t>HiltT.00</t>
  </si>
  <si>
    <t>Drew Brees*</t>
  </si>
  <si>
    <t>BreeDr00</t>
  </si>
  <si>
    <t>Jack Doyle*</t>
  </si>
  <si>
    <t>DoylJa00</t>
  </si>
  <si>
    <t>BryaDe01</t>
  </si>
  <si>
    <t>StilKe00</t>
  </si>
  <si>
    <t>Ben Roethlisberger*</t>
  </si>
  <si>
    <t>RoetBe00</t>
  </si>
  <si>
    <t>PresDa01</t>
  </si>
  <si>
    <t>MurrDe00</t>
  </si>
  <si>
    <t>KuppCo00</t>
  </si>
  <si>
    <t>CrabMi00</t>
  </si>
  <si>
    <t>Jason Witten*</t>
  </si>
  <si>
    <t>WittJa00</t>
  </si>
  <si>
    <t>GoodMa00</t>
  </si>
  <si>
    <t>KrofTy00</t>
  </si>
  <si>
    <t>KearJe01</t>
  </si>
  <si>
    <t>Jared Goff*</t>
  </si>
  <si>
    <t>GoffJa00</t>
  </si>
  <si>
    <t>HenrHu00</t>
  </si>
  <si>
    <t>ArmaAl00</t>
  </si>
  <si>
    <t>BortBl00</t>
  </si>
  <si>
    <t>KeenCa00</t>
  </si>
  <si>
    <t>RyanMa00</t>
  </si>
  <si>
    <t>TaylTy00</t>
  </si>
  <si>
    <t>DaltAn00</t>
  </si>
  <si>
    <t>MariMa01</t>
  </si>
  <si>
    <t>BrisJa00</t>
  </si>
  <si>
    <t>Derek Carr*</t>
  </si>
  <si>
    <t>CarrDe02</t>
  </si>
  <si>
    <t>McCoJo01</t>
  </si>
  <si>
    <t>WinsJa00</t>
  </si>
  <si>
    <t>MannEl00</t>
  </si>
  <si>
    <t>FlacJo00</t>
  </si>
  <si>
    <t>KizeDe00</t>
  </si>
  <si>
    <t>WatsDe00</t>
  </si>
  <si>
    <t>Jay Cutler</t>
  </si>
  <si>
    <t>CutlJa00</t>
  </si>
  <si>
    <t>Mitch Trubisky</t>
  </si>
  <si>
    <t>TrubMi00</t>
  </si>
  <si>
    <t>RodgAa00</t>
  </si>
  <si>
    <t>McKiJe00</t>
  </si>
  <si>
    <t>SiemTr00</t>
  </si>
  <si>
    <t>HenrDe00</t>
  </si>
  <si>
    <t>HundBr00</t>
  </si>
  <si>
    <t>PoweBi00</t>
  </si>
  <si>
    <t>AlleJa01</t>
  </si>
  <si>
    <t>DarkOr00</t>
  </si>
  <si>
    <t>WillJa06</t>
  </si>
  <si>
    <t>CrowIs00</t>
  </si>
  <si>
    <t>ThomCh03</t>
  </si>
  <si>
    <t>AjayJa00</t>
  </si>
  <si>
    <t>MixoJo00</t>
  </si>
  <si>
    <t>CoopAm00</t>
  </si>
  <si>
    <t>DrakKe00</t>
  </si>
  <si>
    <t>BernGi00</t>
  </si>
  <si>
    <t>StewJo00</t>
  </si>
  <si>
    <t>Ted Ginn</t>
  </si>
  <si>
    <t>GinnTe00</t>
  </si>
  <si>
    <t>SanuMo00</t>
  </si>
  <si>
    <t>WatkSa00</t>
  </si>
  <si>
    <t>WoodRo02</t>
  </si>
  <si>
    <t>RichPa01</t>
  </si>
  <si>
    <t>MattRi00</t>
  </si>
  <si>
    <t>Carson Palmer</t>
  </si>
  <si>
    <t>PalmCa00</t>
  </si>
  <si>
    <t>RiddTh00</t>
  </si>
  <si>
    <t>BlouLe00</t>
  </si>
  <si>
    <t>BurkRe00</t>
  </si>
  <si>
    <t>AbduAm00</t>
  </si>
  <si>
    <t>WallMi00</t>
  </si>
  <si>
    <t>WillTy00</t>
  </si>
  <si>
    <t>CrowJa00</t>
  </si>
  <si>
    <t>CobbRa00</t>
  </si>
  <si>
    <t>LeexMa00</t>
  </si>
  <si>
    <t>CoheTa00</t>
  </si>
  <si>
    <t>ColeKe00</t>
  </si>
  <si>
    <t>BenjTr00</t>
  </si>
  <si>
    <t>BeatC.00</t>
  </si>
  <si>
    <t>JackDe00</t>
  </si>
  <si>
    <t>BenjKe00</t>
  </si>
  <si>
    <t>GaroJi00</t>
  </si>
  <si>
    <t>PeriSa00</t>
  </si>
  <si>
    <t>ShepSt00</t>
  </si>
  <si>
    <t>DoctJo00</t>
  </si>
  <si>
    <t>Will Fuller</t>
  </si>
  <si>
    <t>FullWi01</t>
  </si>
  <si>
    <t>NelsJo00</t>
  </si>
  <si>
    <t>BreiMa00</t>
  </si>
  <si>
    <t>BryaMa00</t>
  </si>
  <si>
    <t>FortMa00</t>
  </si>
  <si>
    <t>ClemCo00</t>
  </si>
  <si>
    <t>MackMa00</t>
  </si>
  <si>
    <t>GranRy01</t>
  </si>
  <si>
    <t>EkelAu00</t>
  </si>
  <si>
    <t>CookJa02</t>
  </si>
  <si>
    <t>DaviVe00</t>
  </si>
  <si>
    <t>EbroEr00</t>
  </si>
  <si>
    <t>AmenDa00</t>
  </si>
  <si>
    <t>WhitJa02</t>
  </si>
  <si>
    <t>HogaCh00</t>
  </si>
  <si>
    <t>Ben Watson</t>
  </si>
  <si>
    <t>WatsBe00</t>
  </si>
  <si>
    <t>HowaO.00</t>
  </si>
  <si>
    <t>FitzRy00</t>
  </si>
  <si>
    <t>WilsAl02</t>
  </si>
  <si>
    <t>Brandon LaFell</t>
  </si>
  <si>
    <t>LaFeBr00</t>
  </si>
  <si>
    <t>LockTy00</t>
  </si>
  <si>
    <t>ParkDe01</t>
  </si>
  <si>
    <t>SmitRo06</t>
  </si>
  <si>
    <t>BrowJa03</t>
  </si>
  <si>
    <t>GallWa00</t>
  </si>
  <si>
    <t>HoopAu00</t>
  </si>
  <si>
    <t>JoneAa00</t>
  </si>
  <si>
    <t>BarbPe01</t>
  </si>
  <si>
    <t>MontTy01</t>
  </si>
  <si>
    <t>ClayCh00</t>
  </si>
  <si>
    <t>GillMi00</t>
  </si>
  <si>
    <t>HumpAd00</t>
  </si>
  <si>
    <t>OsweBr00</t>
  </si>
  <si>
    <t>PeteAd01</t>
  </si>
  <si>
    <t>SandEm00</t>
  </si>
  <si>
    <t>GollKe00</t>
  </si>
  <si>
    <t>MartDo00</t>
  </si>
  <si>
    <t>ThomDe04</t>
  </si>
  <si>
    <t>Kendall Wright</t>
  </si>
  <si>
    <t>WrigKe01</t>
  </si>
  <si>
    <t>MorrAl00</t>
  </si>
  <si>
    <t>JJ Nelson</t>
  </si>
  <si>
    <t>NelsJJ00</t>
  </si>
  <si>
    <t>HoyeBr00</t>
  </si>
  <si>
    <t>IvorCh00</t>
  </si>
  <si>
    <t>KittGe00</t>
  </si>
  <si>
    <t>LewiMa00</t>
  </si>
  <si>
    <t>McKiJ.00</t>
  </si>
  <si>
    <t>NjokDa00</t>
  </si>
  <si>
    <t>DeckEr00</t>
  </si>
  <si>
    <t>GabbBl00</t>
  </si>
  <si>
    <t>MaclJe00</t>
  </si>
  <si>
    <t>BookDe00</t>
  </si>
  <si>
    <t>HurnAl01</t>
  </si>
  <si>
    <t>GodwCh00</t>
  </si>
  <si>
    <t>McGuEl00</t>
  </si>
  <si>
    <t>RichJa01</t>
  </si>
  <si>
    <t>CeleGa00</t>
  </si>
  <si>
    <t>Kerwynn Williams</t>
  </si>
  <si>
    <t>WillKe05</t>
  </si>
  <si>
    <t>WillTe01</t>
  </si>
  <si>
    <t>YeldT.00</t>
  </si>
  <si>
    <t>BurtTr01</t>
  </si>
  <si>
    <t>Julius Thomas</t>
  </si>
  <si>
    <t>ThomJu00</t>
  </si>
  <si>
    <t>BeasCo00</t>
  </si>
  <si>
    <t>JameJe00</t>
  </si>
  <si>
    <t>PattCo00</t>
  </si>
  <si>
    <t>SmitTo02</t>
  </si>
  <si>
    <t>CookDa01</t>
  </si>
  <si>
    <t>LewiRo03</t>
  </si>
  <si>
    <t>Bennie Fowler</t>
  </si>
  <si>
    <t>FowlBe00</t>
  </si>
  <si>
    <t>TaylTr02</t>
  </si>
  <si>
    <t>SefeAu00</t>
  </si>
  <si>
    <t>ForeDO00</t>
  </si>
  <si>
    <t>MoncDo00</t>
  </si>
  <si>
    <t>Tom Savage</t>
  </si>
  <si>
    <t>SavaTo00</t>
  </si>
  <si>
    <t>WashDe00</t>
  </si>
  <si>
    <t>Brice Butler</t>
  </si>
  <si>
    <t>ButlBr00</t>
  </si>
  <si>
    <t>Brandon Coleman</t>
  </si>
  <si>
    <t>ColeBr00</t>
  </si>
  <si>
    <t>DickEd00</t>
  </si>
  <si>
    <t>GarcPi00</t>
  </si>
  <si>
    <t>Antonio Gates</t>
  </si>
  <si>
    <t>GateAn00</t>
  </si>
  <si>
    <t>StanDr00</t>
  </si>
  <si>
    <t>Odell Beckham</t>
  </si>
  <si>
    <t>BeckOd00</t>
  </si>
  <si>
    <t>BrowJo02</t>
  </si>
  <si>
    <t>GabrTa00</t>
  </si>
  <si>
    <t>Andre Ellington</t>
  </si>
  <si>
    <t>ElliAn00</t>
  </si>
  <si>
    <t>JoneT.00</t>
  </si>
  <si>
    <t>RobeSe00</t>
  </si>
  <si>
    <t>ElliBr00</t>
  </si>
  <si>
    <t>Charcandrick West</t>
  </si>
  <si>
    <t>WestCh01</t>
  </si>
  <si>
    <t>Jamaal Charles</t>
  </si>
  <si>
    <t>CharJa00</t>
  </si>
  <si>
    <t>BellJo02</t>
  </si>
  <si>
    <t>Seth Devalve</t>
  </si>
  <si>
    <t>DevaSe00</t>
  </si>
  <si>
    <t>GresJe00</t>
  </si>
  <si>
    <t>JoneZa00</t>
  </si>
  <si>
    <t>ColeCo00</t>
  </si>
  <si>
    <t>LatiCo00</t>
  </si>
  <si>
    <t>FleeCo00</t>
  </si>
  <si>
    <t>HiggRa00</t>
  </si>
  <si>
    <t>Tavarres King</t>
  </si>
  <si>
    <t>KingTa00</t>
  </si>
  <si>
    <t>MoorCh00</t>
  </si>
  <si>
    <t>Nick O'Leary</t>
  </si>
  <si>
    <t>OLeaNi00</t>
  </si>
  <si>
    <t>Matt Moore</t>
  </si>
  <si>
    <t>MoorMa01</t>
  </si>
  <si>
    <t>Stephen Anderson</t>
  </si>
  <si>
    <t>AndeSt01</t>
  </si>
  <si>
    <t>GordJo02</t>
  </si>
  <si>
    <t>HardJu00</t>
  </si>
  <si>
    <t>Dontrelle Inman</t>
  </si>
  <si>
    <t>InmaDo00</t>
  </si>
  <si>
    <t>Shane Vereen</t>
  </si>
  <si>
    <t>VereSh00</t>
  </si>
  <si>
    <t>WestDe00</t>
  </si>
  <si>
    <t>WillDa05</t>
  </si>
  <si>
    <t>GranCo00</t>
  </si>
  <si>
    <t>Robert Kelley</t>
  </si>
  <si>
    <t>KellRo00</t>
  </si>
  <si>
    <t>WillLu00</t>
  </si>
  <si>
    <t>BlueAl00</t>
  </si>
  <si>
    <t>BritKe00</t>
  </si>
  <si>
    <t>Aldrick Robinson</t>
  </si>
  <si>
    <t>RobiAl00</t>
  </si>
  <si>
    <t>RodgJa00</t>
  </si>
  <si>
    <t>SealRi00</t>
  </si>
  <si>
    <t>Charles Sims</t>
  </si>
  <si>
    <t>SimsCh00</t>
  </si>
  <si>
    <t>CunnBe01</t>
  </si>
  <si>
    <t>DaviMi01</t>
  </si>
  <si>
    <t>Kyle Juszczyk*</t>
  </si>
  <si>
    <t>JuszKy00</t>
  </si>
  <si>
    <t>Mike Tolbert</t>
  </si>
  <si>
    <t>TolbMi00</t>
  </si>
  <si>
    <t>BrowMa03</t>
  </si>
  <si>
    <t>DaviCo03</t>
  </si>
  <si>
    <t>ElliRh00</t>
  </si>
  <si>
    <t>EverGe00</t>
  </si>
  <si>
    <t>FellDa01</t>
  </si>
  <si>
    <t>HigbTy00</t>
  </si>
  <si>
    <t>HoltJo00</t>
  </si>
  <si>
    <t>Ricardo Louis</t>
  </si>
  <si>
    <t>LouiRi00</t>
  </si>
  <si>
    <t>MillZa02</t>
  </si>
  <si>
    <t>BoydTy00</t>
  </si>
  <si>
    <t>RogeCh02</t>
  </si>
  <si>
    <t>DerbA.00</t>
  </si>
  <si>
    <t>FoleNi00</t>
  </si>
  <si>
    <t>GlenMi00</t>
  </si>
  <si>
    <t>HogaKe00</t>
  </si>
  <si>
    <t>SmalWe00</t>
  </si>
  <si>
    <t>T.J. Yates</t>
  </si>
  <si>
    <t>YateT.00</t>
  </si>
  <si>
    <t>CarsCh00</t>
  </si>
  <si>
    <t>ReedJo02</t>
  </si>
  <si>
    <t>TaylTa00</t>
  </si>
  <si>
    <t>GranJa00</t>
  </si>
  <si>
    <t>Jordan Matthews</t>
  </si>
  <si>
    <t>MattJo00</t>
  </si>
  <si>
    <t>WrigJa02</t>
  </si>
  <si>
    <t>ShahAd00</t>
  </si>
  <si>
    <t>AustTa00</t>
  </si>
  <si>
    <t>Tion Green</t>
  </si>
  <si>
    <t>GreeTi00</t>
  </si>
  <si>
    <t>HolmAn00</t>
  </si>
  <si>
    <t>Terrelle Pryor</t>
  </si>
  <si>
    <t>PryoTe00</t>
  </si>
  <si>
    <t>BennMa00</t>
  </si>
  <si>
    <t>HollMa00</t>
  </si>
  <si>
    <t>Michael Campanaro</t>
  </si>
  <si>
    <t>CampMi02</t>
  </si>
  <si>
    <t>HarrDe03</t>
  </si>
  <si>
    <t>Elijhaa Penny</t>
  </si>
  <si>
    <t>PennEl00</t>
  </si>
  <si>
    <t>ShepRu00</t>
  </si>
  <si>
    <t>SmitJo01</t>
  </si>
  <si>
    <t>Kapri Bibbs</t>
  </si>
  <si>
    <t>BibbKa00</t>
  </si>
  <si>
    <t>BradSa00</t>
  </si>
  <si>
    <t>ThomDe05</t>
  </si>
  <si>
    <t>BourKe00</t>
  </si>
  <si>
    <t>HeueJe00</t>
  </si>
  <si>
    <t>KendLa00</t>
  </si>
  <si>
    <t>WestTe00</t>
  </si>
  <si>
    <t>Danny Woodhead</t>
  </si>
  <si>
    <t>WoodDa02</t>
  </si>
  <si>
    <t>GreeVi00</t>
  </si>
  <si>
    <t>McDoVa00</t>
  </si>
  <si>
    <t>OlseGr00</t>
  </si>
  <si>
    <t>Bryce Petty</t>
  </si>
  <si>
    <t>PettBr01</t>
  </si>
  <si>
    <t>ByrdDa00</t>
  </si>
  <si>
    <t>EricAl01</t>
  </si>
  <si>
    <t>GrifRy00</t>
  </si>
  <si>
    <t>KerlJe00</t>
  </si>
  <si>
    <t>SimsDi00</t>
  </si>
  <si>
    <t>AlliGe01</t>
  </si>
  <si>
    <t>BohaTo00</t>
  </si>
  <si>
    <t>LacyEd00</t>
  </si>
  <si>
    <t>Thomas Rawls</t>
  </si>
  <si>
    <t>RawlTh00</t>
  </si>
  <si>
    <t>BoylNi00</t>
  </si>
  <si>
    <t>Travaris Cadet</t>
  </si>
  <si>
    <t>CadeTr00</t>
  </si>
  <si>
    <t>Braxton Miller</t>
  </si>
  <si>
    <t>MillBr03</t>
  </si>
  <si>
    <t>RodgRi00</t>
  </si>
  <si>
    <t>O'ShJa00</t>
  </si>
  <si>
    <t>RobiDe01</t>
  </si>
  <si>
    <t>DorsPh00</t>
  </si>
  <si>
    <t>TreaLa00</t>
  </si>
  <si>
    <t>Brent Celek</t>
  </si>
  <si>
    <t>CeleBr00</t>
  </si>
  <si>
    <t>FaleDa00</t>
  </si>
  <si>
    <t>NiklTr00</t>
  </si>
  <si>
    <t>Eli Rogers</t>
  </si>
  <si>
    <t>RogeEl00</t>
  </si>
  <si>
    <t>ConlCh00</t>
  </si>
  <si>
    <t>Louis Murphy</t>
  </si>
  <si>
    <t>MurpLo00</t>
  </si>
  <si>
    <t>SamuCu00</t>
  </si>
  <si>
    <t>ToilLe00</t>
  </si>
  <si>
    <t>TomlEr01</t>
  </si>
  <si>
    <t>VannNi00</t>
  </si>
  <si>
    <t>Kenjon Barner</t>
  </si>
  <si>
    <t>BarnKe00</t>
  </si>
  <si>
    <t>Anthony Fasano</t>
  </si>
  <si>
    <t>FasaAn00</t>
  </si>
  <si>
    <t>LewiTo00</t>
  </si>
  <si>
    <t>RidlSt00</t>
  </si>
  <si>
    <t>TurbRo00</t>
  </si>
  <si>
    <t>ArtiCa00</t>
  </si>
  <si>
    <t>Chris Johnson</t>
  </si>
  <si>
    <t>JohnCh04</t>
  </si>
  <si>
    <t>MickJa01</t>
  </si>
  <si>
    <t>MorgDa01</t>
  </si>
  <si>
    <t>ReynJo00</t>
  </si>
  <si>
    <t>AlleDw00</t>
  </si>
  <si>
    <t>D.J. Foster</t>
  </si>
  <si>
    <t>FostD.01</t>
  </si>
  <si>
    <t>James Hanna</t>
  </si>
  <si>
    <t>HannJa00</t>
  </si>
  <si>
    <t>Paxton Lynch</t>
  </si>
  <si>
    <t>LyncPa00</t>
  </si>
  <si>
    <t>MarsBr00</t>
  </si>
  <si>
    <t>SherAn00</t>
  </si>
  <si>
    <t>UzomC.00</t>
  </si>
  <si>
    <t>ConnJa00</t>
  </si>
  <si>
    <t>HamxC.00</t>
  </si>
  <si>
    <t>HeywDa00</t>
  </si>
  <si>
    <t>HillJo02</t>
  </si>
  <si>
    <t>EJ Manuel</t>
  </si>
  <si>
    <t>ManuEJ00</t>
  </si>
  <si>
    <t>Tre McBride</t>
  </si>
  <si>
    <t>McBrTr00</t>
  </si>
  <si>
    <t>Jamize Olawale</t>
  </si>
  <si>
    <t>OlawJa00</t>
  </si>
  <si>
    <t>PerkPa00</t>
  </si>
  <si>
    <t>Brandon Tate</t>
  </si>
  <si>
    <t>TateBr00</t>
  </si>
  <si>
    <t>TaylJo01</t>
  </si>
  <si>
    <t>Kamar Aiken</t>
  </si>
  <si>
    <t>AikeKa00</t>
  </si>
  <si>
    <t>Brenton Bersin</t>
  </si>
  <si>
    <t>BersBr00</t>
  </si>
  <si>
    <t>BrowDa04</t>
  </si>
  <si>
    <t>C.J. Fiedorowicz</t>
  </si>
  <si>
    <t>FiedC.00</t>
  </si>
  <si>
    <t>HillJe01</t>
  </si>
  <si>
    <t>MaloJo00</t>
  </si>
  <si>
    <t>Roosevelt Nix*</t>
  </si>
  <si>
    <t>NixxRo01</t>
  </si>
  <si>
    <t>ThomLo00</t>
  </si>
  <si>
    <t>Fozzy Whittaker</t>
  </si>
  <si>
    <t>WhitFo00</t>
  </si>
  <si>
    <t>WillMa04</t>
  </si>
  <si>
    <t>HallMa02</t>
  </si>
  <si>
    <t>HarrMa05</t>
  </si>
  <si>
    <t>Terron Ward</t>
  </si>
  <si>
    <t>WardTe00</t>
  </si>
  <si>
    <t>Brandon Williams</t>
  </si>
  <si>
    <t>WillBr04</t>
  </si>
  <si>
    <t>Lance Dunbar</t>
  </si>
  <si>
    <t>DunbLa00</t>
  </si>
  <si>
    <t>EdmuTr00</t>
  </si>
  <si>
    <t>De'Angelo Henderson</t>
  </si>
  <si>
    <t>HendDe01</t>
  </si>
  <si>
    <t>Michael Hoomanawanui</t>
  </si>
  <si>
    <t>HoomMi00</t>
  </si>
  <si>
    <t>JanoAn00</t>
  </si>
  <si>
    <t>Branden Oliver</t>
  </si>
  <si>
    <t>OlivBr01</t>
  </si>
  <si>
    <t>ProsC.00</t>
  </si>
  <si>
    <t>SharHu01</t>
  </si>
  <si>
    <t>SproDa00</t>
  </si>
  <si>
    <t>StewAr00</t>
  </si>
  <si>
    <t>Zach Line</t>
  </si>
  <si>
    <t>LineZa01</t>
  </si>
  <si>
    <t>MahoPa00</t>
  </si>
  <si>
    <t>Ryan Mallett</t>
  </si>
  <si>
    <t>MallRy00</t>
  </si>
  <si>
    <t>MartFr00</t>
  </si>
  <si>
    <t>PaulNi00</t>
  </si>
  <si>
    <t>PeteNa00</t>
  </si>
  <si>
    <t>Travis Rudolph</t>
  </si>
  <si>
    <t>RudoTr00</t>
  </si>
  <si>
    <t>SmitGe00</t>
  </si>
  <si>
    <t>Jaelen Strong</t>
  </si>
  <si>
    <t>StroJa01</t>
  </si>
  <si>
    <t>Phillip Supernaw</t>
  </si>
  <si>
    <t>SupePh00</t>
  </si>
  <si>
    <t>Austin Traylor</t>
  </si>
  <si>
    <t>TrayAu00</t>
  </si>
  <si>
    <t>WillMi07</t>
  </si>
  <si>
    <t>AdamJe01</t>
  </si>
  <si>
    <t>Kaelin Clay</t>
  </si>
  <si>
    <t>ClayKa00</t>
  </si>
  <si>
    <t>GrimXa00</t>
  </si>
  <si>
    <t>HansCh00</t>
  </si>
  <si>
    <t>Landry Jones</t>
  </si>
  <si>
    <t>JoneLa02</t>
  </si>
  <si>
    <t>StocLu00</t>
  </si>
  <si>
    <t>ThomMi04</t>
  </si>
  <si>
    <t>Jesus Wilson</t>
  </si>
  <si>
    <t>WilsJe00</t>
  </si>
  <si>
    <t>Zach Zenner</t>
  </si>
  <si>
    <t>ZennZa00</t>
  </si>
  <si>
    <t>DaviTr03</t>
  </si>
  <si>
    <t>Michael Floyd</t>
  </si>
  <si>
    <t>FloyMi00</t>
  </si>
  <si>
    <t>HuntJu00</t>
  </si>
  <si>
    <t>Breshad Perriman</t>
  </si>
  <si>
    <t>PerrBr02</t>
  </si>
  <si>
    <t>Brian Quick</t>
  </si>
  <si>
    <t>QuicBr00</t>
  </si>
  <si>
    <t>SmitLe00</t>
  </si>
  <si>
    <t>SterNe00</t>
  </si>
  <si>
    <t>SudfNa00</t>
  </si>
  <si>
    <t>ThomCh05</t>
  </si>
  <si>
    <t>TravRo00</t>
  </si>
  <si>
    <t>Clive Walford</t>
  </si>
  <si>
    <t>WalfCl00</t>
  </si>
  <si>
    <t>Kasen Williams</t>
  </si>
  <si>
    <t>WillKa02</t>
  </si>
  <si>
    <t>BoldBr00</t>
  </si>
  <si>
    <t>CarrDe00</t>
  </si>
  <si>
    <t>Leonte Carroo</t>
  </si>
  <si>
    <t>CarrLe00</t>
  </si>
  <si>
    <t>CoatSa00</t>
  </si>
  <si>
    <t>Pharoh Cooper*+</t>
  </si>
  <si>
    <t>CoopPh00</t>
  </si>
  <si>
    <t>DarbAm00</t>
  </si>
  <si>
    <t>Brittan Golden</t>
  </si>
  <si>
    <t>GoldBr00</t>
  </si>
  <si>
    <t>Brian Hill</t>
  </si>
  <si>
    <t>HillBr02</t>
  </si>
  <si>
    <t>JohnDa08</t>
  </si>
  <si>
    <t>MaddTr01</t>
  </si>
  <si>
    <t>MarsBy01</t>
  </si>
  <si>
    <t>McEvTa01</t>
  </si>
  <si>
    <t>SneaWi00</t>
  </si>
  <si>
    <t>SpriJe00</t>
  </si>
  <si>
    <t>Bryce Treggs</t>
  </si>
  <si>
    <t>TregBr00</t>
  </si>
  <si>
    <t>CrosAl00</t>
  </si>
  <si>
    <t>Jalston Fowler</t>
  </si>
  <si>
    <t>FowlJa00</t>
  </si>
  <si>
    <t>Ben Koyack</t>
  </si>
  <si>
    <t>KoyaBe00</t>
  </si>
  <si>
    <t>Vince Mayle</t>
  </si>
  <si>
    <t>MaylVi00</t>
  </si>
  <si>
    <t>Dwayne Washington</t>
  </si>
  <si>
    <t>WashDw00</t>
  </si>
  <si>
    <t>WattDe00</t>
  </si>
  <si>
    <t>WillCh05</t>
  </si>
  <si>
    <t>Orson Charles</t>
  </si>
  <si>
    <t>CharOr00</t>
  </si>
  <si>
    <t>EifeTy00</t>
  </si>
  <si>
    <t>ErviTy00</t>
  </si>
  <si>
    <t>HollJa03</t>
  </si>
  <si>
    <t>Akeem Hunt</t>
  </si>
  <si>
    <t>HuntAk01</t>
  </si>
  <si>
    <t>MannSe00</t>
  </si>
  <si>
    <t>McGrSe00</t>
  </si>
  <si>
    <t>Ifeanyi Momah</t>
  </si>
  <si>
    <t>MomaIf00</t>
  </si>
  <si>
    <t>MurpMa03</t>
  </si>
  <si>
    <t>Aaron Ripkowski</t>
  </si>
  <si>
    <t>RipkAa00</t>
  </si>
  <si>
    <t>RobeMi01</t>
  </si>
  <si>
    <t>WebbJo00</t>
  </si>
  <si>
    <t>WheaMa00</t>
  </si>
  <si>
    <t>Jared Abbrederis</t>
  </si>
  <si>
    <t>AbbrJa00</t>
  </si>
  <si>
    <t>Blake Bell</t>
  </si>
  <si>
    <t>BellBl00</t>
  </si>
  <si>
    <t>Quan Bray</t>
  </si>
  <si>
    <t>BrayQu00</t>
  </si>
  <si>
    <t>Mack Brown</t>
  </si>
  <si>
    <t>BrowMa02</t>
  </si>
  <si>
    <t>Michael Clark</t>
  </si>
  <si>
    <t>ClarMi00</t>
  </si>
  <si>
    <t>Matthew Dayes</t>
  </si>
  <si>
    <t>DayeMa00</t>
  </si>
  <si>
    <t>James Develin*</t>
  </si>
  <si>
    <t>DeveJa00</t>
  </si>
  <si>
    <t>Tanner Gentry</t>
  </si>
  <si>
    <t>GentTa00</t>
  </si>
  <si>
    <t>Bernard Reedy</t>
  </si>
  <si>
    <t>ReedBe01</t>
  </si>
  <si>
    <t>Randall Telfer</t>
  </si>
  <si>
    <t>TelfRa00</t>
  </si>
  <si>
    <t>Lawrence Thomas</t>
  </si>
  <si>
    <t>ThomLa04</t>
  </si>
  <si>
    <t>Will Tye</t>
  </si>
  <si>
    <t>TyexWi00</t>
  </si>
  <si>
    <t>AuclAn00</t>
  </si>
  <si>
    <t>BrowNo00</t>
  </si>
  <si>
    <t>ByrdEm00</t>
  </si>
  <si>
    <t>Derrick Coleman</t>
  </si>
  <si>
    <t>ColeDe00</t>
  </si>
  <si>
    <t>DaniDa02</t>
  </si>
  <si>
    <t>DiMaPa00</t>
  </si>
  <si>
    <t>JohnMa07</t>
  </si>
  <si>
    <t>KessCo00</t>
  </si>
  <si>
    <t>Jordan Leslie</t>
  </si>
  <si>
    <t>LeslJo00</t>
  </si>
  <si>
    <t>Chris Matthews</t>
  </si>
  <si>
    <t>MattCh00</t>
  </si>
  <si>
    <t>McCaA.00</t>
  </si>
  <si>
    <t>Jojo Natson</t>
  </si>
  <si>
    <t>NatsJo00</t>
  </si>
  <si>
    <t>PerrSe00</t>
  </si>
  <si>
    <t>Jay Prosch</t>
  </si>
  <si>
    <t>ProsJa00</t>
  </si>
  <si>
    <t>De'Veon Smith</t>
  </si>
  <si>
    <t>SmitDe06</t>
  </si>
  <si>
    <t>SmitKe03</t>
  </si>
  <si>
    <t>SwaiGe00</t>
  </si>
  <si>
    <t>SwitRy00</t>
  </si>
  <si>
    <t>Fitzgerald Toussaint</t>
  </si>
  <si>
    <t>TousFi00</t>
  </si>
  <si>
    <t>WillAn00</t>
  </si>
  <si>
    <t>Nick Williams</t>
  </si>
  <si>
    <t>WillNi02</t>
  </si>
  <si>
    <t>BurtMi00</t>
  </si>
  <si>
    <t>CassMa00</t>
  </si>
  <si>
    <t>Jehu Chesson</t>
  </si>
  <si>
    <t>ChesJe00</t>
  </si>
  <si>
    <t>Josh Ferguson</t>
  </si>
  <si>
    <t>FergJo02</t>
  </si>
  <si>
    <t>FlueDa00</t>
  </si>
  <si>
    <t>GrayMa00</t>
  </si>
  <si>
    <t>Ryan Hewitt</t>
  </si>
  <si>
    <t>HewiRy00</t>
  </si>
  <si>
    <t>Cole Hikutini</t>
  </si>
  <si>
    <t>HikuCo00</t>
  </si>
  <si>
    <t>ManhCh00</t>
  </si>
  <si>
    <t>Bobby Rainey</t>
  </si>
  <si>
    <t>RainBo00</t>
  </si>
  <si>
    <t>RobiAl02</t>
  </si>
  <si>
    <t>VitaDa00</t>
  </si>
  <si>
    <t>Griff Whalen</t>
  </si>
  <si>
    <t>WhalGr00</t>
  </si>
  <si>
    <t>DeAndrew White</t>
  </si>
  <si>
    <t>WhitDe01</t>
  </si>
  <si>
    <t>Arrelious Benn</t>
  </si>
  <si>
    <t>BennAr00</t>
  </si>
  <si>
    <t>LeShun Daniels</t>
  </si>
  <si>
    <t>DaniLe00</t>
  </si>
  <si>
    <t>Harry Douglas</t>
  </si>
  <si>
    <t>DougHa00</t>
  </si>
  <si>
    <t>GibsSh00</t>
  </si>
  <si>
    <t>Cobi Hamilton</t>
  </si>
  <si>
    <t>HamiCo00</t>
  </si>
  <si>
    <t>HeinTa00</t>
  </si>
  <si>
    <t>Jeff Janis</t>
  </si>
  <si>
    <t>JaniJe00</t>
  </si>
  <si>
    <t>Matt Jones</t>
  </si>
  <si>
    <t>JoneMa04</t>
  </si>
  <si>
    <t>JoneTa00</t>
  </si>
  <si>
    <t>MostRa00</t>
  </si>
  <si>
    <t>Larry Pinkard</t>
  </si>
  <si>
    <t>PinkLa00</t>
  </si>
  <si>
    <t>Darius Powe</t>
  </si>
  <si>
    <t>PoweDa02</t>
  </si>
  <si>
    <t>RushCo00</t>
  </si>
  <si>
    <t>Scott Tolzien</t>
  </si>
  <si>
    <t>TolzSc00</t>
  </si>
  <si>
    <t>Terrell Watson</t>
  </si>
  <si>
    <t>WatsTe00</t>
  </si>
  <si>
    <t>Eric Weems</t>
  </si>
  <si>
    <t>WeemEr00</t>
  </si>
  <si>
    <t>WhitKe00</t>
  </si>
  <si>
    <t>Derek Anderson</t>
  </si>
  <si>
    <t>AndeDe00</t>
  </si>
  <si>
    <t>Joe Banyard</t>
  </si>
  <si>
    <t>BanyJo00</t>
  </si>
  <si>
    <t>BaylEv00</t>
  </si>
  <si>
    <t>Victor Bolden</t>
  </si>
  <si>
    <t>BoldVi00</t>
  </si>
  <si>
    <t>BrauBe00</t>
  </si>
  <si>
    <t>Joe Callahan</t>
  </si>
  <si>
    <t>CallJo00</t>
  </si>
  <si>
    <t>CartCe00</t>
  </si>
  <si>
    <t>ColeSt00</t>
  </si>
  <si>
    <t>CoreCo00</t>
  </si>
  <si>
    <t>Sean Culkin</t>
  </si>
  <si>
    <t>CulkSe00</t>
  </si>
  <si>
    <t>Jeff Cumberland</t>
  </si>
  <si>
    <t>CumbJe00</t>
  </si>
  <si>
    <t>DaniCh00</t>
  </si>
  <si>
    <t>Austin Davis</t>
  </si>
  <si>
    <t>DaviAu00</t>
  </si>
  <si>
    <t>DaviGe00</t>
  </si>
  <si>
    <t>DaviJu00</t>
  </si>
  <si>
    <t>Jim Dray</t>
  </si>
  <si>
    <t>DrayJi00</t>
  </si>
  <si>
    <t>Gavin Escobar</t>
  </si>
  <si>
    <t>EscoGa00</t>
  </si>
  <si>
    <t>Garrett Griffin</t>
  </si>
  <si>
    <t>GrifGa00</t>
  </si>
  <si>
    <t>Justin Hardee</t>
  </si>
  <si>
    <t>HardJu01</t>
  </si>
  <si>
    <t>Clark Harris*</t>
  </si>
  <si>
    <t>HarrCl20</t>
  </si>
  <si>
    <t>Matt Hazel</t>
  </si>
  <si>
    <t>HazeMa01</t>
  </si>
  <si>
    <t>HillBr01</t>
  </si>
  <si>
    <t>JoneAn01</t>
  </si>
  <si>
    <t>KerrJo00</t>
  </si>
  <si>
    <t>John Kuhn</t>
  </si>
  <si>
    <t>KuhnJo00</t>
  </si>
  <si>
    <t>Matt LaCosse</t>
  </si>
  <si>
    <t>LaCoMa00</t>
  </si>
  <si>
    <t>Daniel Lasco</t>
  </si>
  <si>
    <t>LascDa00</t>
  </si>
  <si>
    <t>LeexKh00</t>
  </si>
  <si>
    <t>Terrence Magee</t>
  </si>
  <si>
    <t>MageTe00</t>
  </si>
  <si>
    <t>Ryan Malleck</t>
  </si>
  <si>
    <t>MallRy02</t>
  </si>
  <si>
    <t>MarqBr00</t>
  </si>
  <si>
    <t>Max McCaffrey</t>
  </si>
  <si>
    <t>McCaMa01</t>
  </si>
  <si>
    <t>McCoCo00</t>
  </si>
  <si>
    <t>Darren McFadden</t>
  </si>
  <si>
    <t>McFaDa00</t>
  </si>
  <si>
    <t>Ryan O'Malley</t>
  </si>
  <si>
    <t>OMalRy00</t>
  </si>
  <si>
    <t>PaulLo00</t>
  </si>
  <si>
    <t>PeakCh00</t>
  </si>
  <si>
    <t>John Phillips</t>
  </si>
  <si>
    <t>PhilJo00</t>
  </si>
  <si>
    <t>PruiMy00</t>
  </si>
  <si>
    <t>SaubEr00</t>
  </si>
  <si>
    <t>Matt Slater*</t>
  </si>
  <si>
    <t>SlatMa00</t>
  </si>
  <si>
    <t>Shane Smith</t>
  </si>
  <si>
    <t>SmitSh02</t>
  </si>
  <si>
    <t>Nate Solder</t>
  </si>
  <si>
    <t>SoldNa00</t>
  </si>
  <si>
    <t>C.J. Spiller</t>
  </si>
  <si>
    <t>SpilC.00</t>
  </si>
  <si>
    <t>Jordan Todman</t>
  </si>
  <si>
    <t>TodmJo00</t>
  </si>
  <si>
    <t>VallHa00</t>
  </si>
  <si>
    <t>Kellen Clemens</t>
  </si>
  <si>
    <t>ClemKe00</t>
  </si>
  <si>
    <t>HennCh01</t>
  </si>
  <si>
    <t>Isaiah McKenzie</t>
  </si>
  <si>
    <t>McKeIs00</t>
  </si>
  <si>
    <t>Kalif Raymond</t>
  </si>
  <si>
    <t>RaymKa00</t>
  </si>
  <si>
    <t>Andre Roberts</t>
  </si>
  <si>
    <t>RobeAn00</t>
  </si>
  <si>
    <t>RossJo00</t>
  </si>
  <si>
    <t>Jake Rudock</t>
  </si>
  <si>
    <t>RudoJa00</t>
  </si>
  <si>
    <t>Tyler Bray</t>
  </si>
  <si>
    <t>BrayTy00</t>
  </si>
  <si>
    <t>BridTe00</t>
  </si>
  <si>
    <t>Matt Haack</t>
  </si>
  <si>
    <t>HaacMa00</t>
  </si>
  <si>
    <t>Devante Mays</t>
  </si>
  <si>
    <t>MaysDe00</t>
  </si>
  <si>
    <t>1.32-9.30</t>
  </si>
  <si>
    <t>3.12-11.68</t>
  </si>
  <si>
    <t>9.62-23.54</t>
  </si>
  <si>
    <t>8.38-21.58</t>
  </si>
  <si>
    <t>4.15-21.87</t>
  </si>
  <si>
    <t>5.55-20.33</t>
  </si>
  <si>
    <t>7.43-18.15</t>
  </si>
  <si>
    <t>2.59-14.39</t>
  </si>
  <si>
    <t>2.07-14.15</t>
  </si>
  <si>
    <t>2.17-13.35</t>
  </si>
  <si>
    <t>3.65-11.01</t>
  </si>
  <si>
    <t>1.64-12.00</t>
  </si>
  <si>
    <t>1.15-8.87</t>
  </si>
  <si>
    <t>0.44-8.36</t>
  </si>
  <si>
    <t>2.61-5.05</t>
  </si>
  <si>
    <t>0.38-7.24</t>
  </si>
  <si>
    <t>0.01-6.35</t>
  </si>
  <si>
    <t>0.00-1.10</t>
  </si>
  <si>
    <t>0.02-0.90</t>
  </si>
  <si>
    <t>Ty Compton</t>
  </si>
  <si>
    <t>Devon Fitzgerald</t>
  </si>
  <si>
    <t>Taylor Compton</t>
  </si>
  <si>
    <t>Anthony Reinhard</t>
  </si>
  <si>
    <t>Franchise</t>
  </si>
  <si>
    <t>Opponent</t>
  </si>
  <si>
    <t>PointsFor</t>
  </si>
  <si>
    <t>PointsAgainst</t>
  </si>
  <si>
    <t>Win</t>
  </si>
  <si>
    <t>Loss</t>
  </si>
  <si>
    <t>Chad/Spence(2013)</t>
  </si>
  <si>
    <t>Scott</t>
  </si>
  <si>
    <t>Spencer Shoemaker</t>
  </si>
  <si>
    <t>Anthony</t>
  </si>
  <si>
    <t>Ty</t>
  </si>
  <si>
    <t>Cory</t>
  </si>
  <si>
    <t>Cory Usher</t>
  </si>
  <si>
    <t>Devon</t>
  </si>
  <si>
    <t>Seth</t>
  </si>
  <si>
    <t>Seth Lloyd</t>
  </si>
  <si>
    <t>Matty</t>
  </si>
  <si>
    <t>Matthew Quinn</t>
  </si>
  <si>
    <t>Perry/Carter/Luke</t>
  </si>
  <si>
    <t>Lucas Rogers</t>
  </si>
  <si>
    <t>Jason/Tay/Austin(2013)</t>
  </si>
  <si>
    <t>Austin Usher</t>
  </si>
  <si>
    <t>Carter Bowman</t>
  </si>
  <si>
    <t>Chad Keith</t>
  </si>
  <si>
    <t>Perry Reynolds</t>
  </si>
  <si>
    <t>Scott Stornes</t>
  </si>
  <si>
    <t>Jason Combs</t>
  </si>
  <si>
    <t>Result</t>
  </si>
  <si>
    <t>W 154-82 vs. Seth</t>
  </si>
  <si>
    <t>W 151-86 vs. Taylor</t>
  </si>
  <si>
    <t>Taylor</t>
  </si>
  <si>
    <t>W 138-107 vs. Devon</t>
  </si>
  <si>
    <t>W 136-87 vs. Devon</t>
  </si>
  <si>
    <t>Perry</t>
  </si>
  <si>
    <t>W 120-100 vs. Scott</t>
  </si>
  <si>
    <t>W 120-83 vs. Cory</t>
  </si>
  <si>
    <t>W 120-71 vs. Anthony</t>
  </si>
  <si>
    <t>Austin</t>
  </si>
  <si>
    <t>W 118-105 vs. Seth</t>
  </si>
  <si>
    <t>W 114-79 vs. Ty</t>
  </si>
  <si>
    <t>W 113-103 vs. Cory</t>
  </si>
  <si>
    <t>W 112-80 vs. Cory</t>
  </si>
  <si>
    <t>Matthew</t>
  </si>
  <si>
    <t>W 112-103 vs. Spencer</t>
  </si>
  <si>
    <t>W 112-103 vs. Chad</t>
  </si>
  <si>
    <t>L 107-138 vs. Taylor</t>
  </si>
  <si>
    <t>L 105-118 vs. Austin</t>
  </si>
  <si>
    <t>Carter</t>
  </si>
  <si>
    <t>W 104-97 vs. Cory</t>
  </si>
  <si>
    <t>Spencer</t>
  </si>
  <si>
    <t>L 103-112 vs. Scott</t>
  </si>
  <si>
    <t>L 103-113 vs. Ty</t>
  </si>
  <si>
    <t>W 103-94 vs. Lucas</t>
  </si>
  <si>
    <t>Chad</t>
  </si>
  <si>
    <t>L 103-112 vs. Matthew</t>
  </si>
  <si>
    <t>L 100-120 vs. Anthony</t>
  </si>
  <si>
    <t>W 100-82 vs. Perry</t>
  </si>
  <si>
    <t>W 97-78 vs. Taylor</t>
  </si>
  <si>
    <t>L 97-104 vs. Carter</t>
  </si>
  <si>
    <t>W 95-87 vs. Chad</t>
  </si>
  <si>
    <t>W 95-76 vs. Matthew</t>
  </si>
  <si>
    <t>W 94-89 vs. Anthony</t>
  </si>
  <si>
    <t>Lucas</t>
  </si>
  <si>
    <t>L 94-103 vs. Matthew</t>
  </si>
  <si>
    <t>W 93-86 vs. Anthony</t>
  </si>
  <si>
    <t>W 91-88 vs. Seth</t>
  </si>
  <si>
    <t>L 89-94 vs. Scott</t>
  </si>
  <si>
    <t>L 88-91 vs. Ty</t>
  </si>
  <si>
    <t>L 87-136 vs. Anthony</t>
  </si>
  <si>
    <t>L 87-95 vs. Matthew</t>
  </si>
  <si>
    <t>L 86-93 vs. Scott</t>
  </si>
  <si>
    <t>L 86-151 vs. Devon</t>
  </si>
  <si>
    <t>W 83-62 vs. Chad</t>
  </si>
  <si>
    <t>L 83-120 vs. Perry</t>
  </si>
  <si>
    <t>L 82-154 vs. Ty</t>
  </si>
  <si>
    <t>L 82-100 vs. Cory</t>
  </si>
  <si>
    <t>L 80-112 vs. Perry</t>
  </si>
  <si>
    <t>L 79-114 vs. Seth</t>
  </si>
  <si>
    <t>L 78-97 vs. Devon</t>
  </si>
  <si>
    <t>W 77-71 vs. Seth</t>
  </si>
  <si>
    <t>L 76-95 vs. Chad</t>
  </si>
  <si>
    <t>W 75-71 vs. Jason</t>
  </si>
  <si>
    <t>Jason</t>
  </si>
  <si>
    <t>L 71-120 vs. Scott</t>
  </si>
  <si>
    <t>L 71-75 vs. Devon</t>
  </si>
  <si>
    <t>L 71-77 vs. Ty</t>
  </si>
  <si>
    <t>L 62-83 vs. Matthew</t>
  </si>
  <si>
    <t>2.99-16.23</t>
  </si>
  <si>
    <t>2.66-15.96</t>
  </si>
  <si>
    <t>1.37-17.85</t>
  </si>
  <si>
    <t>3.61-15.35</t>
  </si>
  <si>
    <t>4.33-14.41</t>
  </si>
  <si>
    <t>0.58-13.82</t>
  </si>
  <si>
    <t>17.59-30.25</t>
  </si>
  <si>
    <t>13.53-26.95</t>
  </si>
  <si>
    <t>12.29-25.61</t>
  </si>
  <si>
    <t>11.72-25.62</t>
  </si>
  <si>
    <t>10.23-27.05</t>
  </si>
  <si>
    <t>11.13-26.05</t>
  </si>
  <si>
    <t>9.14-26.28</t>
  </si>
  <si>
    <t>10.59-23.57</t>
  </si>
  <si>
    <t>9.07-24.87</t>
  </si>
  <si>
    <t>9.90-23.70</t>
  </si>
  <si>
    <t>9.60-23.20</t>
  </si>
  <si>
    <t>7.08-24.68</t>
  </si>
  <si>
    <t>8.32-22.86</t>
  </si>
  <si>
    <t>9.70-21.06</t>
  </si>
  <si>
    <t>6.65-23.43</t>
  </si>
  <si>
    <t>7.82-21.30</t>
  </si>
  <si>
    <t>6.32-20.24</t>
  </si>
  <si>
    <t>7.50-18.38</t>
  </si>
  <si>
    <t>4.73-20.73</t>
  </si>
  <si>
    <t>5.25-18.47</t>
  </si>
  <si>
    <t>4.98-17.60</t>
  </si>
  <si>
    <t>4.16-17.18</t>
  </si>
  <si>
    <t>3.28-17.76</t>
  </si>
  <si>
    <t>4.69-15.67</t>
  </si>
  <si>
    <t>3.69-16.37</t>
  </si>
  <si>
    <t>4.35-15.65</t>
  </si>
  <si>
    <t>3.75-15.81</t>
  </si>
  <si>
    <t>4.28-15.14</t>
  </si>
  <si>
    <t>3.34-15.96</t>
  </si>
  <si>
    <t>2.68-16.42</t>
  </si>
  <si>
    <t>3.22-15.50</t>
  </si>
  <si>
    <t>0.74-17.96</t>
  </si>
  <si>
    <t>4.03-14.29</t>
  </si>
  <si>
    <t>3.55-14.65</t>
  </si>
  <si>
    <t>1.80-15.58</t>
  </si>
  <si>
    <t>2.01-15.19</t>
  </si>
  <si>
    <t>4.10-12.80</t>
  </si>
  <si>
    <t>2.30-13.78</t>
  </si>
  <si>
    <t>1.97-13.89</t>
  </si>
  <si>
    <t>1.77-13.85</t>
  </si>
  <si>
    <t>3.40-12.18</t>
  </si>
  <si>
    <t>0.82-14.14</t>
  </si>
  <si>
    <t>2.90-11.94</t>
  </si>
  <si>
    <t>1.32-13.44</t>
  </si>
  <si>
    <t>4.27-10.47</t>
  </si>
  <si>
    <t>0.53-13.93</t>
  </si>
  <si>
    <t>2.85-11.03</t>
  </si>
  <si>
    <t>1.63-12.03</t>
  </si>
  <si>
    <t>1.63-11.27</t>
  </si>
  <si>
    <t>2.52-10.32</t>
  </si>
  <si>
    <t>1.28-11.54</t>
  </si>
  <si>
    <t>0.98-11.80</t>
  </si>
  <si>
    <t>1.49-10.91</t>
  </si>
  <si>
    <t>0.65-11.25</t>
  </si>
  <si>
    <t>1.34-10.52</t>
  </si>
  <si>
    <t>1.46-10.34</t>
  </si>
  <si>
    <t>1.64-9.92</t>
  </si>
  <si>
    <t>0.64-10.68</t>
  </si>
  <si>
    <t>1.18-10.02</t>
  </si>
  <si>
    <t>0.27-10.65</t>
  </si>
  <si>
    <t>1.01-9.85</t>
  </si>
  <si>
    <t>1.31-9.27</t>
  </si>
  <si>
    <t>1.41-8.75</t>
  </si>
  <si>
    <t>0.03-9.87</t>
  </si>
  <si>
    <t>1.15-8.59</t>
  </si>
  <si>
    <t>1.72-7.82</t>
  </si>
  <si>
    <t>1.32-8.00</t>
  </si>
  <si>
    <t>0.13-9.05</t>
  </si>
  <si>
    <t>0.27-8.85</t>
  </si>
  <si>
    <t>1.00-7.98</t>
  </si>
  <si>
    <t>1.24-7.40</t>
  </si>
  <si>
    <t>0.45-8.17</t>
  </si>
  <si>
    <t>0.14-6.26</t>
  </si>
  <si>
    <t>0.47-5.57</t>
  </si>
  <si>
    <t>0.59-5.17</t>
  </si>
  <si>
    <t>1.54-3.90</t>
  </si>
  <si>
    <t>0.28-4.56</t>
  </si>
  <si>
    <t>0.25-4.09</t>
  </si>
  <si>
    <t>0.56-2.68</t>
  </si>
  <si>
    <t>Patrick Ricard</t>
  </si>
  <si>
    <t>0.03-1.29</t>
  </si>
  <si>
    <t>0.02-1.16</t>
  </si>
  <si>
    <t>1. Todd Gurley II</t>
  </si>
  <si>
    <t>2. David Johnson</t>
  </si>
  <si>
    <t>3. Ezekiel Elliott</t>
  </si>
  <si>
    <t>4. Saquon Barkley</t>
  </si>
  <si>
    <t>6. Alvin Kamara</t>
  </si>
  <si>
    <t>7. Kareem Hunt</t>
  </si>
  <si>
    <t>11. Leonard Fournette</t>
  </si>
  <si>
    <t>12. Dalvin Cook</t>
  </si>
  <si>
    <t>13. Melvin Gordon</t>
  </si>
  <si>
    <t>14. Christian McCaffrey</t>
  </si>
  <si>
    <t>17. Le'Veon Bell</t>
  </si>
  <si>
    <t>34. Demaryius Thomas</t>
  </si>
  <si>
    <t>35. Josh Gordon</t>
  </si>
  <si>
    <t>39. Marvin Jones Jr.</t>
  </si>
  <si>
    <t>40. Brandin Cooks</t>
  </si>
  <si>
    <t>41. Chris Hogan</t>
  </si>
  <si>
    <t>42. Jarvis Landry</t>
  </si>
  <si>
    <t>43. Derrick Henry</t>
  </si>
  <si>
    <t>44. Royce Freeman</t>
  </si>
  <si>
    <t>50. Rex Burkhead</t>
  </si>
  <si>
    <t>55. Carlos Hyde</t>
  </si>
  <si>
    <t>58. Dion Lewis</t>
  </si>
  <si>
    <t>59. Tevin Coleman</t>
  </si>
  <si>
    <t>60. Alfred Morris</t>
  </si>
  <si>
    <t>61. Chris Carson</t>
  </si>
  <si>
    <t>62. Marquise Goodwin</t>
  </si>
  <si>
    <t>63. Devin Funchess</t>
  </si>
  <si>
    <t>64. Michael Crabtree</t>
  </si>
  <si>
    <t>65. Robert Woods</t>
  </si>
  <si>
    <t>70. Robby Anderson</t>
  </si>
  <si>
    <t>72. Will Fuller V</t>
  </si>
  <si>
    <t>73. Alshon Jeffery</t>
  </si>
  <si>
    <t>74. Cooper Kupp</t>
  </si>
  <si>
    <t>75. Josh Doctson</t>
  </si>
  <si>
    <t>76. Pierre Garcon</t>
  </si>
  <si>
    <t>80. Peyton Barber</t>
  </si>
  <si>
    <t>81. Kelvin Benjamin</t>
  </si>
  <si>
    <t>82. Kenny Stills</t>
  </si>
  <si>
    <t>83. Isaiah Crowell</t>
  </si>
  <si>
    <t>85. Duke Johnson Jr.</t>
  </si>
  <si>
    <t>87. Chris Thompson</t>
  </si>
  <si>
    <t>89. Jamison Crowder</t>
  </si>
  <si>
    <t>91. Jordy Nelson</t>
  </si>
  <si>
    <t>92. Keelan Cole</t>
  </si>
  <si>
    <t>93. Julian Edelman</t>
  </si>
  <si>
    <t>94. Jamaal Williams</t>
  </si>
  <si>
    <t>95. Adrian Peterson</t>
  </si>
  <si>
    <t>96. Kerryon Johnson</t>
  </si>
  <si>
    <t>97. Tarik Cohen</t>
  </si>
  <si>
    <t>98. Sony Michel</t>
  </si>
  <si>
    <t>100. James Conner</t>
  </si>
  <si>
    <t>101. Sterling Shepard</t>
  </si>
  <si>
    <t>102. Tyler Lockett</t>
  </si>
  <si>
    <t>103. Allen Hurns</t>
  </si>
  <si>
    <t>104. Kenny Golladay</t>
  </si>
  <si>
    <t>105. Randall Cobb</t>
  </si>
  <si>
    <t>107. Jordan Wilkins</t>
  </si>
  <si>
    <t>112. Giovani Bernard</t>
  </si>
  <si>
    <t>113. Bilal Powell</t>
  </si>
  <si>
    <t>116. Mohamed Sanu</t>
  </si>
  <si>
    <t>121. Chris Godwin</t>
  </si>
  <si>
    <t>122. Michael Gallup</t>
  </si>
  <si>
    <t>123. DJ Moore</t>
  </si>
  <si>
    <t>124. DeVante Parker</t>
  </si>
  <si>
    <t>125. Mike Wallace</t>
  </si>
  <si>
    <t>126. DeSean Jackson</t>
  </si>
  <si>
    <t>130. Rishard Matthews</t>
  </si>
  <si>
    <t>131. Cameron Meredith</t>
  </si>
  <si>
    <t>132. James Washington</t>
  </si>
  <si>
    <t>140. Tyrod Taylor</t>
  </si>
  <si>
    <t>143. Calvin Ridley</t>
  </si>
  <si>
    <t>147. Ty Montgomery</t>
  </si>
  <si>
    <t>148. Theo Riddick</t>
  </si>
  <si>
    <t>149. Jeremy Hill</t>
  </si>
  <si>
    <t>150. Aaron Jones</t>
  </si>
  <si>
    <t>151. Marlon Mack</t>
  </si>
  <si>
    <t>152. Doug Martin</t>
  </si>
  <si>
    <t>153. Latavius Murray</t>
  </si>
  <si>
    <t>154. Corey Clement</t>
  </si>
  <si>
    <t>155. Javorius Allen</t>
  </si>
  <si>
    <t>159. Dede Westbrook</t>
  </si>
  <si>
    <t>160. Quincy Enunwa</t>
  </si>
  <si>
    <t>161. Devontae Booker</t>
  </si>
  <si>
    <t>162. Marcus Mariota</t>
  </si>
  <si>
    <t>163. Dak Prescott</t>
  </si>
  <si>
    <t>165. Christian Kirk</t>
  </si>
  <si>
    <t>167. C.J. Anderson</t>
  </si>
  <si>
    <t>168. Jared Goff</t>
  </si>
  <si>
    <t>169. Taywan Taylor</t>
  </si>
  <si>
    <t>173. Ravens D/ST</t>
  </si>
  <si>
    <t>174. Texans D/ST</t>
  </si>
  <si>
    <t>193. Nyheim Hines</t>
  </si>
  <si>
    <t>194. Darren Sproles</t>
  </si>
  <si>
    <t>195. Austin Ekeler</t>
  </si>
  <si>
    <t>196. Austin Seferian-Jenkins</t>
  </si>
  <si>
    <t>197. Vance McDonald</t>
  </si>
  <si>
    <t>198. Cameron Brate</t>
  </si>
  <si>
    <t>199. Nick Chubb</t>
  </si>
  <si>
    <t>200. LeGarrette Blount</t>
  </si>
  <si>
    <t>201. Chase Edmonds</t>
  </si>
  <si>
    <t>202. Chris Ivory</t>
  </si>
  <si>
    <t>203. Phillip Lindsay</t>
  </si>
  <si>
    <t>204. T.J. Yeldon</t>
  </si>
  <si>
    <t>205. Mike Gillislee</t>
  </si>
  <si>
    <t>206. Kenneth Dixon</t>
  </si>
  <si>
    <t>207. Frank Gore</t>
  </si>
  <si>
    <t>208. Christine Michael</t>
  </si>
  <si>
    <t>209. Alfred Blue</t>
  </si>
  <si>
    <t>211. Jared Cook</t>
  </si>
  <si>
    <t>213. Albert Wilson</t>
  </si>
  <si>
    <t>214. Geronimo Allison</t>
  </si>
  <si>
    <t>215. Cole Beasley</t>
  </si>
  <si>
    <t>216. Ted Ginn Jr.</t>
  </si>
  <si>
    <t>217. Tyler Boyd</t>
  </si>
  <si>
    <t>218. Chad Williams</t>
  </si>
  <si>
    <t>225. Willie Snead</t>
  </si>
  <si>
    <t>226. Tyrell Williams</t>
  </si>
  <si>
    <t>227. Terrance Williams</t>
  </si>
  <si>
    <t>232. Phillip Dorsett</t>
  </si>
  <si>
    <t>233. Cordarrelle Patterson</t>
  </si>
  <si>
    <t>234. Terrelle Pryor Sr.</t>
  </si>
  <si>
    <t>235. D'Onta Foreman</t>
  </si>
  <si>
    <t>236. Rob Kelley</t>
  </si>
  <si>
    <t>237. Samaje Perine</t>
  </si>
  <si>
    <t>238. Spencer Ware</t>
  </si>
  <si>
    <t>239. Elijah McGuire</t>
  </si>
  <si>
    <t>246. O.J. Howard</t>
  </si>
  <si>
    <t>248. Ricky Seals-Jones</t>
  </si>
  <si>
    <t>249. Ryan Griffin</t>
  </si>
  <si>
    <t>250. Jacquizz Rodgers</t>
  </si>
  <si>
    <t>251. Dez Bryant</t>
  </si>
  <si>
    <t>257. Mike Gesicki</t>
  </si>
  <si>
    <t>259. Jake Butt</t>
  </si>
  <si>
    <t>264. Damien Williams</t>
  </si>
  <si>
    <t>265. Jaylen Samuels</t>
  </si>
  <si>
    <t>272. Mack Hollins</t>
  </si>
  <si>
    <t>273. Jermaine Kearse</t>
  </si>
  <si>
    <t>274. Jeremy Kerley</t>
  </si>
  <si>
    <t>275. Taylor Gabriel</t>
  </si>
  <si>
    <t>276. Kyle Juszczyk</t>
  </si>
  <si>
    <t>277. John Kelly</t>
  </si>
  <si>
    <t>278. Corey Grant</t>
  </si>
  <si>
    <t>279. C.J. Prosise</t>
  </si>
  <si>
    <t>280. Mark Walton</t>
  </si>
  <si>
    <t>281. Jalen Richard</t>
  </si>
  <si>
    <t>282. T.J. Logan</t>
  </si>
  <si>
    <t>283. Kalen Ballage</t>
  </si>
  <si>
    <t>284. Curtis Samuel</t>
  </si>
  <si>
    <t>289. Blake Jarwin</t>
  </si>
  <si>
    <t>290. Tyler Kroft</t>
  </si>
  <si>
    <t>292. Gerald Everett</t>
  </si>
  <si>
    <t>293. Tyler Higbee</t>
  </si>
  <si>
    <t>294. Trent Taylor</t>
  </si>
  <si>
    <t>295. Laquon Treadwell</t>
  </si>
  <si>
    <t>296. Nathan Peterman</t>
  </si>
  <si>
    <t>(All)</t>
  </si>
  <si>
    <t>Phillip Lindsay</t>
  </si>
  <si>
    <t>6.11-19.81</t>
  </si>
  <si>
    <t>1.03-9.89</t>
  </si>
  <si>
    <t>0.78-6.94</t>
  </si>
  <si>
    <t>0.00-0.82</t>
  </si>
  <si>
    <t>Return Week</t>
  </si>
  <si>
    <t>Season Avg</t>
  </si>
  <si>
    <t>This Week</t>
  </si>
  <si>
    <t>Comparrison</t>
  </si>
  <si>
    <t>Order</t>
  </si>
  <si>
    <t>Last Name</t>
  </si>
  <si>
    <t>News List</t>
  </si>
  <si>
    <t>5.68-14.42</t>
  </si>
  <si>
    <t>4.01-14.67</t>
  </si>
  <si>
    <t>4.04-11.36</t>
  </si>
  <si>
    <t>3.95-12.61</t>
  </si>
  <si>
    <t>10.73-28.31</t>
  </si>
  <si>
    <t>11.65-26.19</t>
  </si>
  <si>
    <t>11.08-26.22</t>
  </si>
  <si>
    <t>9.46-21.02</t>
  </si>
  <si>
    <t>6.60-22.70</t>
  </si>
  <si>
    <t>5.30-22.08</t>
  </si>
  <si>
    <t>4.61-21.03</t>
  </si>
  <si>
    <t>4.08-21.54</t>
  </si>
  <si>
    <t>1.09-22.69</t>
  </si>
  <si>
    <t>4.80-16.88</t>
  </si>
  <si>
    <t>3.82-17.66</t>
  </si>
  <si>
    <t>3.71-16.77</t>
  </si>
  <si>
    <t>1.60-15.42</t>
  </si>
  <si>
    <t>2.48-14.38</t>
  </si>
  <si>
    <t>0.94-13.52</t>
  </si>
  <si>
    <t>2.23-10.85</t>
  </si>
  <si>
    <t>3.11-8.55</t>
  </si>
  <si>
    <t>0.04-11.42</t>
  </si>
  <si>
    <t>0.83-9.39</t>
  </si>
  <si>
    <t>0.50-2.28</t>
  </si>
  <si>
    <t>Brandon Wilds</t>
  </si>
  <si>
    <t>0.01-1.35</t>
  </si>
  <si>
    <t>0.01-0.97</t>
  </si>
  <si>
    <t>W</t>
  </si>
  <si>
    <t>L</t>
  </si>
  <si>
    <t>T</t>
  </si>
  <si>
    <t>PCT</t>
  </si>
  <si>
    <t>Teams</t>
  </si>
  <si>
    <t>4.93-16.37</t>
  </si>
  <si>
    <t>3.99-15.43</t>
  </si>
  <si>
    <t>5.13-13.31</t>
  </si>
  <si>
    <t>4.70-13.40</t>
  </si>
  <si>
    <t>4.53-13.19</t>
  </si>
  <si>
    <t>5.20-13.44</t>
  </si>
  <si>
    <t>4.40-12.88</t>
  </si>
  <si>
    <t>4.40-13.14</t>
  </si>
  <si>
    <t>5.17-11.59</t>
  </si>
  <si>
    <t>4.96-11.44</t>
  </si>
  <si>
    <t>4.20-11.82</t>
  </si>
  <si>
    <t>4.05-12.05</t>
  </si>
  <si>
    <t>3.62-12.06</t>
  </si>
  <si>
    <t>2.63-13.39</t>
  </si>
  <si>
    <t>4.70-11.88</t>
  </si>
  <si>
    <t>4.49-11.17</t>
  </si>
  <si>
    <t>3.99-10.51</t>
  </si>
  <si>
    <t>3.42-12.30</t>
  </si>
  <si>
    <t>4.01-12.53</t>
  </si>
  <si>
    <t>2.77-12.27</t>
  </si>
  <si>
    <t>3.34-11.92</t>
  </si>
  <si>
    <t>2.91-10.51</t>
  </si>
  <si>
    <t>2.73-11.63</t>
  </si>
  <si>
    <t>13.68-29.02</t>
  </si>
  <si>
    <t>12.76-28.64</t>
  </si>
  <si>
    <t>14.09-26.73</t>
  </si>
  <si>
    <t>14.20-26.24</t>
  </si>
  <si>
    <t>12.08-28.28</t>
  </si>
  <si>
    <t>12.32-27.62</t>
  </si>
  <si>
    <t>11.93-27.95</t>
  </si>
  <si>
    <t>10.68-29.06</t>
  </si>
  <si>
    <t>13.94-25.78</t>
  </si>
  <si>
    <t>12.30-27.02</t>
  </si>
  <si>
    <t>11.37-27.67</t>
  </si>
  <si>
    <t>12.47-26.03</t>
  </si>
  <si>
    <t>12.10-26.20</t>
  </si>
  <si>
    <t>11.87-25.55</t>
  </si>
  <si>
    <t>7.14-28.00</t>
  </si>
  <si>
    <t>10.88-24.20</t>
  </si>
  <si>
    <t>10.25-24.77</t>
  </si>
  <si>
    <t>9.44-24.38</t>
  </si>
  <si>
    <t>9.61-23.99</t>
  </si>
  <si>
    <t>9.21-24.23</t>
  </si>
  <si>
    <t>9.22-23.50</t>
  </si>
  <si>
    <t>7.33-24.79</t>
  </si>
  <si>
    <t>8.74-22.54</t>
  </si>
  <si>
    <t>7.61-23.33</t>
  </si>
  <si>
    <t>6.70-24.00</t>
  </si>
  <si>
    <t>7.29-21.91</t>
  </si>
  <si>
    <t>5.51-23.27</t>
  </si>
  <si>
    <t>6.31-22.23</t>
  </si>
  <si>
    <t>6.71-21.81</t>
  </si>
  <si>
    <t>8.26-20.06</t>
  </si>
  <si>
    <t>7.40-20.86</t>
  </si>
  <si>
    <t>5.45-22.39</t>
  </si>
  <si>
    <t>5.61-22.15</t>
  </si>
  <si>
    <t>6.06-21.56</t>
  </si>
  <si>
    <t>6.21-21.25</t>
  </si>
  <si>
    <t>4.70-22.38</t>
  </si>
  <si>
    <t>6.66-20.00</t>
  </si>
  <si>
    <t>4.61-21.77</t>
  </si>
  <si>
    <t>6.93-19.37</t>
  </si>
  <si>
    <t>6.30-19.92</t>
  </si>
  <si>
    <t>5.01-21.01</t>
  </si>
  <si>
    <t>5.44-20.26</t>
  </si>
  <si>
    <t>6.12-18.92</t>
  </si>
  <si>
    <t>7.49-17.39</t>
  </si>
  <si>
    <t>3.87-20.37</t>
  </si>
  <si>
    <t>5.62-18.44</t>
  </si>
  <si>
    <t>4.37-19.67</t>
  </si>
  <si>
    <t>5.35-18.57</t>
  </si>
  <si>
    <t>3.72-19.42</t>
  </si>
  <si>
    <t>4.57-18.17</t>
  </si>
  <si>
    <t>4.84-17.86</t>
  </si>
  <si>
    <t>4.22-18.48</t>
  </si>
  <si>
    <t>5.52-17.18</t>
  </si>
  <si>
    <t>5.63-16.85</t>
  </si>
  <si>
    <t>3.51-18.39</t>
  </si>
  <si>
    <t>4.75-16.99</t>
  </si>
  <si>
    <t>3.37-18.01</t>
  </si>
  <si>
    <t>4.20-16.40</t>
  </si>
  <si>
    <t>3.53-16.81</t>
  </si>
  <si>
    <t>4.04-16.28</t>
  </si>
  <si>
    <t>3.95-16.29</t>
  </si>
  <si>
    <t>2.31-17.63</t>
  </si>
  <si>
    <t>4.69-15.23</t>
  </si>
  <si>
    <t>3.49-16.37</t>
  </si>
  <si>
    <t>3.97-15.67</t>
  </si>
  <si>
    <t>3.46-16.02</t>
  </si>
  <si>
    <t>4.06-15.20</t>
  </si>
  <si>
    <t>3.71-15.41</t>
  </si>
  <si>
    <t>1.59-17.13</t>
  </si>
  <si>
    <t>3.76-14.54</t>
  </si>
  <si>
    <t>1.16-16.82</t>
  </si>
  <si>
    <t>4.10-13.86</t>
  </si>
  <si>
    <t>4.62-13.16</t>
  </si>
  <si>
    <t>2.87-14.91</t>
  </si>
  <si>
    <t>2.91-14.57</t>
  </si>
  <si>
    <t>2.26-15.08</t>
  </si>
  <si>
    <t>3.44-13.58</t>
  </si>
  <si>
    <t>2.65-14.31</t>
  </si>
  <si>
    <t>3.21-13.69</t>
  </si>
  <si>
    <t>2.50-14.30</t>
  </si>
  <si>
    <t>1.49-15.21</t>
  </si>
  <si>
    <t>3.83-12.69</t>
  </si>
  <si>
    <t>1.01-15.49</t>
  </si>
  <si>
    <t>1.51-14.95</t>
  </si>
  <si>
    <t>3.44-12.96</t>
  </si>
  <si>
    <t>2.75-13.59</t>
  </si>
  <si>
    <t>2.16-14.14</t>
  </si>
  <si>
    <t>2.77-13.39</t>
  </si>
  <si>
    <t>0.40-15.66</t>
  </si>
  <si>
    <t>2.46-13.38</t>
  </si>
  <si>
    <t>1.65-14.03</t>
  </si>
  <si>
    <t>2.22-13.24</t>
  </si>
  <si>
    <t>2.59-12.79</t>
  </si>
  <si>
    <t>1.26-14.10</t>
  </si>
  <si>
    <t>1.81-13.43</t>
  </si>
  <si>
    <t>1.80-13.28</t>
  </si>
  <si>
    <t>0.73-14.23</t>
  </si>
  <si>
    <t>0.20-14.60</t>
  </si>
  <si>
    <t>2.25-12.39</t>
  </si>
  <si>
    <t>1.41-13.21</t>
  </si>
  <si>
    <t>2.71-11.79</t>
  </si>
  <si>
    <t>1.76-12.60</t>
  </si>
  <si>
    <t>3.22-11.06</t>
  </si>
  <si>
    <t>2.77-11.17</t>
  </si>
  <si>
    <t>1.06-12.78</t>
  </si>
  <si>
    <t>2.44-11.16</t>
  </si>
  <si>
    <t>0.06-13.52</t>
  </si>
  <si>
    <t>2.27-11.29</t>
  </si>
  <si>
    <t>1.73-11.79</t>
  </si>
  <si>
    <t>1.62-11.90</t>
  </si>
  <si>
    <t>1.43-11.87</t>
  </si>
  <si>
    <t>1.77-11.01</t>
  </si>
  <si>
    <t>1.60-11.14</t>
  </si>
  <si>
    <t>1.78-10.76</t>
  </si>
  <si>
    <t>1.28-10.80</t>
  </si>
  <si>
    <t>1.39-10.69</t>
  </si>
  <si>
    <t>1.77-10.27</t>
  </si>
  <si>
    <t>1.06-10.94</t>
  </si>
  <si>
    <t>2.53-9.47</t>
  </si>
  <si>
    <t>0.83-11.17</t>
  </si>
  <si>
    <t>1.00-10.98</t>
  </si>
  <si>
    <t>0.57-11.05</t>
  </si>
  <si>
    <t>1.59-9.89</t>
  </si>
  <si>
    <t>1.44-10.02</t>
  </si>
  <si>
    <t>1.02-10.42</t>
  </si>
  <si>
    <t>0.61-10.81</t>
  </si>
  <si>
    <t>0.58-10.62</t>
  </si>
  <si>
    <t>1.51-9.69</t>
  </si>
  <si>
    <t>0.80-10.12</t>
  </si>
  <si>
    <t>1.38-9.48</t>
  </si>
  <si>
    <t>1.39-9.41</t>
  </si>
  <si>
    <t>1.08-9.66</t>
  </si>
  <si>
    <t>0.55-10.13</t>
  </si>
  <si>
    <t>1.25-9.33</t>
  </si>
  <si>
    <t>0.92-9.46</t>
  </si>
  <si>
    <t>1.57-8.59</t>
  </si>
  <si>
    <t>0.34-9.80</t>
  </si>
  <si>
    <t>0.83-9.13</t>
  </si>
  <si>
    <t>0.85-8.99</t>
  </si>
  <si>
    <t>1.33-8.47</t>
  </si>
  <si>
    <t>0.37-9.33</t>
  </si>
  <si>
    <t>0.27-9.41</t>
  </si>
  <si>
    <t>0.43-9.21</t>
  </si>
  <si>
    <t>1.14-8.42</t>
  </si>
  <si>
    <t>0.03-9.43</t>
  </si>
  <si>
    <t>0.79-8.63</t>
  </si>
  <si>
    <t>1.63-7.71</t>
  </si>
  <si>
    <t>0.83-8.49</t>
  </si>
  <si>
    <t>1.69-7.59</t>
  </si>
  <si>
    <t>1.21-8.01</t>
  </si>
  <si>
    <t>1.56-7.52</t>
  </si>
  <si>
    <t>0.27-8.71</t>
  </si>
  <si>
    <t>0.36-8.40</t>
  </si>
  <si>
    <t>0.11-8.25</t>
  </si>
  <si>
    <t>0.97-7.37</t>
  </si>
  <si>
    <t>1.27-6.81</t>
  </si>
  <si>
    <t>0.31-7.73</t>
  </si>
  <si>
    <t>0.71-7.13</t>
  </si>
  <si>
    <t>0.22-7.30</t>
  </si>
  <si>
    <t>0.07-7.31</t>
  </si>
  <si>
    <t>1.22-6.14</t>
  </si>
  <si>
    <t>0.13-7.01</t>
  </si>
  <si>
    <t>0.77-6.35</t>
  </si>
  <si>
    <t>1.17-5.91</t>
  </si>
  <si>
    <t>0.07-6.97</t>
  </si>
  <si>
    <t>0.31-6.53</t>
  </si>
  <si>
    <t>0.30-6.52</t>
  </si>
  <si>
    <t>0.57-6.23</t>
  </si>
  <si>
    <t>2.18-4.38</t>
  </si>
  <si>
    <t>0.20-6.26</t>
  </si>
  <si>
    <t>0.22-6.20</t>
  </si>
  <si>
    <t>0.08-6.32</t>
  </si>
  <si>
    <t>0.27-6.03</t>
  </si>
  <si>
    <t>0.24-5.92</t>
  </si>
  <si>
    <t>0.21-5.81</t>
  </si>
  <si>
    <t>0.70-5.30</t>
  </si>
  <si>
    <t>0.03-5.91</t>
  </si>
  <si>
    <t>0.41-5.41</t>
  </si>
  <si>
    <t>0.56-5.06</t>
  </si>
  <si>
    <t>0.10-5.34</t>
  </si>
  <si>
    <t>0.49-4.89</t>
  </si>
  <si>
    <t>0.31-5.03</t>
  </si>
  <si>
    <t>0.13-5.17</t>
  </si>
  <si>
    <t>0.01-5.27</t>
  </si>
  <si>
    <t>0.24-5.04</t>
  </si>
  <si>
    <t>0.32-4.82</t>
  </si>
  <si>
    <t>0.11-4.93</t>
  </si>
  <si>
    <t>0.44-4.38</t>
  </si>
  <si>
    <t>0.23-4.45</t>
  </si>
  <si>
    <t>0.23-4.37</t>
  </si>
  <si>
    <t>0.34-4.10</t>
  </si>
  <si>
    <t>0.28-4.12</t>
  </si>
  <si>
    <t>0.62-3.78</t>
  </si>
  <si>
    <t>0.10-4.28</t>
  </si>
  <si>
    <t>0.24-4.12</t>
  </si>
  <si>
    <t>0.00-4.34</t>
  </si>
  <si>
    <t>0.00-4.18</t>
  </si>
  <si>
    <t>0.09-3.85</t>
  </si>
  <si>
    <t>0.16-3.70</t>
  </si>
  <si>
    <t>0.66-3.18</t>
  </si>
  <si>
    <t>0.04-3.76</t>
  </si>
  <si>
    <t>0.23-3.53</t>
  </si>
  <si>
    <t>0.25-3.49</t>
  </si>
  <si>
    <t>0.32-3.30</t>
  </si>
  <si>
    <t>0.41-3.21</t>
  </si>
  <si>
    <t>0.22-3.20</t>
  </si>
  <si>
    <t>0.44-2.84</t>
  </si>
  <si>
    <t>0.03-3.07</t>
  </si>
  <si>
    <t>0.04-2.80</t>
  </si>
  <si>
    <t>0.10-2.52</t>
  </si>
  <si>
    <t>0.47-1.63</t>
  </si>
  <si>
    <t>0.35-1.63</t>
  </si>
  <si>
    <t>0.34-1.64</t>
  </si>
  <si>
    <t>0.41-1.49</t>
  </si>
  <si>
    <t>0.42-1.46</t>
  </si>
  <si>
    <t>0.32-1.56</t>
  </si>
  <si>
    <t>0.38-1.48</t>
  </si>
  <si>
    <t>0.06-1.80</t>
  </si>
  <si>
    <t>0.31-1.51</t>
  </si>
  <si>
    <t>0.33-1.49</t>
  </si>
  <si>
    <t>0.23-1.55</t>
  </si>
  <si>
    <t>0.27-1.47</t>
  </si>
  <si>
    <t>0.24-1.48</t>
  </si>
  <si>
    <t>0.26-1.44</t>
  </si>
  <si>
    <t>0.24-1.42</t>
  </si>
  <si>
    <t>0.12-1.50</t>
  </si>
  <si>
    <t>0.23-1.39</t>
  </si>
  <si>
    <t>0.21-1.39</t>
  </si>
  <si>
    <t>0.21-1.37</t>
  </si>
  <si>
    <t>0.21-1.35</t>
  </si>
  <si>
    <t>0.18-1.36</t>
  </si>
  <si>
    <t>0.12-1.42</t>
  </si>
  <si>
    <t>0.07-1.45</t>
  </si>
  <si>
    <t>0.13-1.37</t>
  </si>
  <si>
    <t>0.05-1.45</t>
  </si>
  <si>
    <t>0.25-1.25</t>
  </si>
  <si>
    <t>0.21-1.25</t>
  </si>
  <si>
    <t>0.01-1.45</t>
  </si>
  <si>
    <t>0.10-1.32</t>
  </si>
  <si>
    <t>0.02-1.36</t>
  </si>
  <si>
    <t>0.14-1.20</t>
  </si>
  <si>
    <t>0.02-1.30</t>
  </si>
  <si>
    <t>0.04-1.28</t>
  </si>
  <si>
    <t>0.00-1.30</t>
  </si>
  <si>
    <t>0.14-1.16</t>
  </si>
  <si>
    <t>Rod Streater</t>
  </si>
  <si>
    <t>0.07-1.19</t>
  </si>
  <si>
    <t>0.02-1.22</t>
  </si>
  <si>
    <t>0.05-1.19</t>
  </si>
  <si>
    <t>0.08-1.16</t>
  </si>
  <si>
    <t>0.12-1.10</t>
  </si>
  <si>
    <t>0.01-1.21</t>
  </si>
  <si>
    <t>0.08-1.12</t>
  </si>
  <si>
    <t>0.09-1.11</t>
  </si>
  <si>
    <t>0.04-1.14</t>
  </si>
  <si>
    <t>0.05-1.11</t>
  </si>
  <si>
    <t>0.03-1.11</t>
  </si>
  <si>
    <t>0.06-1.06</t>
  </si>
  <si>
    <t>0.03-1.09</t>
  </si>
  <si>
    <t>0.01-1.11</t>
  </si>
  <si>
    <t>0.04-1.08</t>
  </si>
  <si>
    <t>0.06-1.04</t>
  </si>
  <si>
    <t>0.09-1.01</t>
  </si>
  <si>
    <t>0.05-1.05</t>
  </si>
  <si>
    <t>0.02-1.06</t>
  </si>
  <si>
    <t>0.04-1.02</t>
  </si>
  <si>
    <t>0.06-1.00</t>
  </si>
  <si>
    <t>0.00-1.04</t>
  </si>
  <si>
    <t>0.00-1.00</t>
  </si>
  <si>
    <t>0.01-0.99</t>
  </si>
  <si>
    <t>0.03-0.95</t>
  </si>
  <si>
    <t>0.04-0.94</t>
  </si>
  <si>
    <t>0.00-0.96</t>
  </si>
  <si>
    <t>0.02-0.94</t>
  </si>
  <si>
    <t>0.06-0.90</t>
  </si>
  <si>
    <t>0.01-0.95</t>
  </si>
  <si>
    <t>0.05-0.89</t>
  </si>
  <si>
    <t>0.04-0.88</t>
  </si>
  <si>
    <t>0.05-0.87</t>
  </si>
  <si>
    <t>0.03-0.89</t>
  </si>
  <si>
    <t>0.00-0.90</t>
  </si>
  <si>
    <t>0.01-0.79</t>
  </si>
  <si>
    <t>0.00-0.78</t>
  </si>
  <si>
    <t>0.00-0.72</t>
  </si>
  <si>
    <t>0.02-0.68</t>
  </si>
  <si>
    <t>SOS Matrix - Each cell represents the total expected wins for the team on the left axis if they flipped schedules with the team on the top axis. This includes regular games that have already been played/are in progress and games in the future. The bottom row reflects the average expected wins for all teams in the league with that schedule, harder schedules have lower numbers. The far right column shows the expected wins for each team, irrespective of the schedule they've been given. This is probably a good way to figure out the stronger teams in the league over the full  season.</t>
  </si>
  <si>
    <t>HK Exp</t>
  </si>
  <si>
    <t>HK Now</t>
  </si>
  <si>
    <t>DP Now</t>
  </si>
  <si>
    <t>HK Left</t>
  </si>
  <si>
    <t>HK Pct</t>
  </si>
  <si>
    <t>Tot Left</t>
  </si>
  <si>
    <t>Sam Ficken</t>
  </si>
  <si>
    <t>1.66-13.94</t>
  </si>
  <si>
    <t>2.86-13.58</t>
  </si>
  <si>
    <t>3.81-12.03</t>
  </si>
  <si>
    <t>0.99-25.05</t>
  </si>
  <si>
    <t>3.64-16.34</t>
  </si>
  <si>
    <t>4.93-13.71</t>
  </si>
  <si>
    <t>2.81-15.65</t>
  </si>
  <si>
    <t>4.06-13.40</t>
  </si>
  <si>
    <t>0.85-13.47</t>
  </si>
  <si>
    <t>0.10-10.42</t>
  </si>
  <si>
    <t>Wk1</t>
  </si>
  <si>
    <t>Wk2</t>
  </si>
  <si>
    <t>Wk3</t>
  </si>
  <si>
    <t>Wk4</t>
  </si>
  <si>
    <t>Wk5</t>
  </si>
  <si>
    <t>Wk6</t>
  </si>
  <si>
    <t>Wk7</t>
  </si>
  <si>
    <t>Wk8</t>
  </si>
  <si>
    <t>Wk9</t>
  </si>
  <si>
    <t>Wk10</t>
  </si>
  <si>
    <t>Wk11</t>
  </si>
  <si>
    <t>Wk12</t>
  </si>
  <si>
    <t>Wk13</t>
  </si>
  <si>
    <t>Rep Lvl</t>
  </si>
  <si>
    <t>Med Start</t>
  </si>
  <si>
    <t>Full Szn Avg</t>
  </si>
  <si>
    <t>Streamer</t>
  </si>
  <si>
    <t>Wk14</t>
  </si>
  <si>
    <t>Wk15</t>
  </si>
  <si>
    <t>Wk16</t>
  </si>
  <si>
    <t>Wk17</t>
  </si>
  <si>
    <t>Streamer Repl</t>
  </si>
  <si>
    <t>4. Alvin Kamara</t>
  </si>
  <si>
    <t>6. Saquon Barkley</t>
  </si>
  <si>
    <t>7. Dalvin Cook</t>
  </si>
  <si>
    <t>8. Melvin Gordon</t>
  </si>
  <si>
    <t>9. Julio Jones</t>
  </si>
  <si>
    <t>11. Odell Beckham Jr.</t>
  </si>
  <si>
    <t>12. Keenan Allen</t>
  </si>
  <si>
    <t>13. Michael Thomas</t>
  </si>
  <si>
    <t>15. Kareem Hunt</t>
  </si>
  <si>
    <t>16. Leonard Fournette</t>
  </si>
  <si>
    <t>17. Joe Mixon</t>
  </si>
  <si>
    <t>18. Jordan Howard</t>
  </si>
  <si>
    <t>19. A.J. Green</t>
  </si>
  <si>
    <t>22. Tyreek Hill</t>
  </si>
  <si>
    <t>23. Travis Kelce</t>
  </si>
  <si>
    <t>24. Devonta Freeman</t>
  </si>
  <si>
    <t>25. LeSean McCoy</t>
  </si>
  <si>
    <t>26. Mike Evans</t>
  </si>
  <si>
    <t>27. Kenyan Drake</t>
  </si>
  <si>
    <t>29. T.Y. Hilton</t>
  </si>
  <si>
    <t>30. Adam Thielen</t>
  </si>
  <si>
    <t>31. Alex Collins</t>
  </si>
  <si>
    <t>32. Zach Ertz</t>
  </si>
  <si>
    <t>33. Stefon Diggs</t>
  </si>
  <si>
    <t>35. Emmanuel Sanders</t>
  </si>
  <si>
    <t>36. Allen Robinson</t>
  </si>
  <si>
    <t>37. Amari Cooper</t>
  </si>
  <si>
    <t>38. Jarvis Landry</t>
  </si>
  <si>
    <t>39. Golden Tate</t>
  </si>
  <si>
    <t>40. Marvin Jones Jr.</t>
  </si>
  <si>
    <t>41. Brandin Cooks</t>
  </si>
  <si>
    <t>42. Dion Lewis</t>
  </si>
  <si>
    <t>43. JuJu Smith-Schuster</t>
  </si>
  <si>
    <t>44. Josh Gordon</t>
  </si>
  <si>
    <t>45. Jay Ajayi</t>
  </si>
  <si>
    <t>46. Lamar Miller</t>
  </si>
  <si>
    <t>47. Royce Freeman</t>
  </si>
  <si>
    <t>48. Marshawn Lynch</t>
  </si>
  <si>
    <t>51. Le'Veon Bell</t>
  </si>
  <si>
    <t>52. Carlos Hyde</t>
  </si>
  <si>
    <t>53. Robert Woods</t>
  </si>
  <si>
    <t>54. Chris Hogan</t>
  </si>
  <si>
    <t>55. Michael Crabtree</t>
  </si>
  <si>
    <t>56. Corey Davis</t>
  </si>
  <si>
    <t>57. Devin Funchess</t>
  </si>
  <si>
    <t>58. Aaron Rodgers</t>
  </si>
  <si>
    <t>59. Tom Brady</t>
  </si>
  <si>
    <t>60. Chris Thompson</t>
  </si>
  <si>
    <t>61. Derrick Henry</t>
  </si>
  <si>
    <t>62. Chris Carson</t>
  </si>
  <si>
    <t>63. Peyton Barber</t>
  </si>
  <si>
    <t>64. Jordan Reed</t>
  </si>
  <si>
    <t>65. Jimmy Graham</t>
  </si>
  <si>
    <t>66. Evan Engram</t>
  </si>
  <si>
    <t>67. Cooper Kupp</t>
  </si>
  <si>
    <t>68. Randall Cobb</t>
  </si>
  <si>
    <t>69. Doug Baldwin</t>
  </si>
  <si>
    <t>70. Marquise Goodwin</t>
  </si>
  <si>
    <t>72. Nelson Agholor</t>
  </si>
  <si>
    <t>73. James Conner</t>
  </si>
  <si>
    <t>74. Duke Johnson Jr.</t>
  </si>
  <si>
    <t>75. Kyle Rudolph</t>
  </si>
  <si>
    <t>76. Jamison Crowder</t>
  </si>
  <si>
    <t>77. Julian Edelman</t>
  </si>
  <si>
    <t>78. Cam Newton</t>
  </si>
  <si>
    <t>79. Russell Wilson</t>
  </si>
  <si>
    <t>80. Andrew Luck</t>
  </si>
  <si>
    <t>81. Deshaun Watson</t>
  </si>
  <si>
    <t>82. Sterling Shepard</t>
  </si>
  <si>
    <t>83. Pierre Garcon</t>
  </si>
  <si>
    <t>84. Will Fuller V</t>
  </si>
  <si>
    <t>85. Tevin Coleman</t>
  </si>
  <si>
    <t>86. Isaiah Crowell</t>
  </si>
  <si>
    <t>87. Tarik Cohen</t>
  </si>
  <si>
    <t>88. Adrian Peterson</t>
  </si>
  <si>
    <t>89. Matt Breida</t>
  </si>
  <si>
    <t>90. Jack Doyle</t>
  </si>
  <si>
    <t>91. Carson Wentz</t>
  </si>
  <si>
    <t>92. Kenny Stills</t>
  </si>
  <si>
    <t>93. Jordy Nelson</t>
  </si>
  <si>
    <t>94. Kenny Golladay</t>
  </si>
  <si>
    <t>95. Robby Anderson</t>
  </si>
  <si>
    <t>96. Alfred Morris</t>
  </si>
  <si>
    <t>97. Jamaal Williams</t>
  </si>
  <si>
    <t>98. Kerryon Johnson</t>
  </si>
  <si>
    <t>99. James White</t>
  </si>
  <si>
    <t>100. Trey Burton</t>
  </si>
  <si>
    <t>101. Quincy Enunwa</t>
  </si>
  <si>
    <t>102. Alshon Jeffery</t>
  </si>
  <si>
    <t>103. Kelvin Benjamin</t>
  </si>
  <si>
    <t>104. Tyler Lockett</t>
  </si>
  <si>
    <t>105. Mohamed Sanu</t>
  </si>
  <si>
    <t>106. Danny Amendola</t>
  </si>
  <si>
    <t>107. Chris Godwin</t>
  </si>
  <si>
    <t>108. Geronimo Allison</t>
  </si>
  <si>
    <t>109. Ted Ginn Jr.</t>
  </si>
  <si>
    <t>110. Josh Doctson</t>
  </si>
  <si>
    <t>111. Allen Hurns</t>
  </si>
  <si>
    <t>112. Keelan Cole</t>
  </si>
  <si>
    <t>113. Paul Richardson</t>
  </si>
  <si>
    <t>114. Ryan Grant</t>
  </si>
  <si>
    <t>115. DeVante Parker</t>
  </si>
  <si>
    <t>116. Ben Roethlisberger</t>
  </si>
  <si>
    <t>117. Kirk Cousins</t>
  </si>
  <si>
    <t>118. George Kittle</t>
  </si>
  <si>
    <t>119. David Njoku</t>
  </si>
  <si>
    <t>120. Benjamin Watson</t>
  </si>
  <si>
    <t>121. Bilal Powell</t>
  </si>
  <si>
    <t>122. Phillip Lindsay</t>
  </si>
  <si>
    <t>123. Marlon Mack</t>
  </si>
  <si>
    <t>124. Rashaad Penny</t>
  </si>
  <si>
    <t>125. Sony Michel</t>
  </si>
  <si>
    <t>126. Patrick Mahomes</t>
  </si>
  <si>
    <t>129. John Ross</t>
  </si>
  <si>
    <t>130. DeSean Jackson</t>
  </si>
  <si>
    <t>131. John Brown</t>
  </si>
  <si>
    <t>132. Courtland Sutton</t>
  </si>
  <si>
    <t>133. Philip Rivers</t>
  </si>
  <si>
    <t>134. Alex Smith</t>
  </si>
  <si>
    <t>135. Matt Ryan</t>
  </si>
  <si>
    <t>136. Jimmy Garoppolo</t>
  </si>
  <si>
    <t>137. Donte Moncrief</t>
  </si>
  <si>
    <t>138. Mike Williams</t>
  </si>
  <si>
    <t>139. Michael Gallup</t>
  </si>
  <si>
    <t>140. Rishard Matthews</t>
  </si>
  <si>
    <t>141. Mike Wallace</t>
  </si>
  <si>
    <t>142. Theo Riddick</t>
  </si>
  <si>
    <t>143. Ty Montgomery</t>
  </si>
  <si>
    <t>144. Javorius Allen</t>
  </si>
  <si>
    <t>145. Austin Seferian-Jenkins</t>
  </si>
  <si>
    <t>146. Tyler Eifert</t>
  </si>
  <si>
    <t>147. Aaron Jones</t>
  </si>
  <si>
    <t>148. Darren Sproles</t>
  </si>
  <si>
    <t>149. Austin Ekeler</t>
  </si>
  <si>
    <t>150. Tyrod Taylor</t>
  </si>
  <si>
    <t>151. Jared Goff</t>
  </si>
  <si>
    <t>152. Mitchell Trubisky</t>
  </si>
  <si>
    <t>153. Jaguars D/ST</t>
  </si>
  <si>
    <t>154. Jalen Richard</t>
  </si>
  <si>
    <t>155. Nyheim Hines</t>
  </si>
  <si>
    <t>156. Jordan Wilkins</t>
  </si>
  <si>
    <t>157. T.J. Yeldon</t>
  </si>
  <si>
    <t>158. Dede Westbrook</t>
  </si>
  <si>
    <t>159. Cole Beasley</t>
  </si>
  <si>
    <t>160. Tyler Boyd</t>
  </si>
  <si>
    <t>161. Jared Cook</t>
  </si>
  <si>
    <t>162. Anthony Miller</t>
  </si>
  <si>
    <t>164. Giovani Bernard</t>
  </si>
  <si>
    <t>165. Latavius Murray</t>
  </si>
  <si>
    <t>166. Taylor Gabriel</t>
  </si>
  <si>
    <t>167. Calvin Ridley</t>
  </si>
  <si>
    <t>168. O.J. Howard</t>
  </si>
  <si>
    <t>169. Ricky Seals-Jones</t>
  </si>
  <si>
    <t>193. Ronald Jones II</t>
  </si>
  <si>
    <t>194. Doug Martin</t>
  </si>
  <si>
    <t>195. Corey Clement</t>
  </si>
  <si>
    <t>196. Vance McDonald</t>
  </si>
  <si>
    <t>197. Austin Hooper</t>
  </si>
  <si>
    <t>198. Antonio Gates</t>
  </si>
  <si>
    <t>199. Devontae Booker</t>
  </si>
  <si>
    <t>200. C.J. Anderson</t>
  </si>
  <si>
    <t>202. LeGarrette Blount</t>
  </si>
  <si>
    <t>203. Nick Chubb</t>
  </si>
  <si>
    <t>204. Chris Ivory</t>
  </si>
  <si>
    <t>205. Marcus Murphy</t>
  </si>
  <si>
    <t>206. Frank Gore</t>
  </si>
  <si>
    <t>207. Alfred Blue</t>
  </si>
  <si>
    <t>208. D'Onta Foreman</t>
  </si>
  <si>
    <t>209. Spencer Ware</t>
  </si>
  <si>
    <t>210. Charles Clay</t>
  </si>
  <si>
    <t>211. Cameron Brate</t>
  </si>
  <si>
    <t>212. Marcus Mariota</t>
  </si>
  <si>
    <t>213. Willie Snead</t>
  </si>
  <si>
    <t>214. Tyrell Williams</t>
  </si>
  <si>
    <t>215. Brandon Marshall</t>
  </si>
  <si>
    <t>216. Phillip Dorsett</t>
  </si>
  <si>
    <t>217. Tajae Sharpe</t>
  </si>
  <si>
    <t>218. DJ Moore</t>
  </si>
  <si>
    <t>225. Dante Pettis</t>
  </si>
  <si>
    <t>226. James Washington</t>
  </si>
  <si>
    <t>227. Christian Kirk</t>
  </si>
  <si>
    <t>228. Albert Wilson</t>
  </si>
  <si>
    <t>229. Chad Williams</t>
  </si>
  <si>
    <t>230. Austin Carr</t>
  </si>
  <si>
    <t>231. Travis Benjamin</t>
  </si>
  <si>
    <t>232. D.J. Chark</t>
  </si>
  <si>
    <t>233. Tre'Quan Smith</t>
  </si>
  <si>
    <t>234. Cordarrelle Patterson</t>
  </si>
  <si>
    <t>235. Jacquizz Rodgers</t>
  </si>
  <si>
    <t>236. Kyle Juszczyk</t>
  </si>
  <si>
    <t>237. Wayne Gallman</t>
  </si>
  <si>
    <t>238. Elijah McGuire</t>
  </si>
  <si>
    <t>239. Jonathan Stewart</t>
  </si>
  <si>
    <t>240. Rod Smith</t>
  </si>
  <si>
    <t>241. Damien Williams</t>
  </si>
  <si>
    <t>242. John Kelly</t>
  </si>
  <si>
    <t>243. Case Keenum</t>
  </si>
  <si>
    <t>244. Eli Manning</t>
  </si>
  <si>
    <t>245. Derek Carr</t>
  </si>
  <si>
    <t>246. Eric Ebron</t>
  </si>
  <si>
    <t>247. Ryan Griffin</t>
  </si>
  <si>
    <t>248. Jonnu Smith</t>
  </si>
  <si>
    <t>249. Ian Thomas</t>
  </si>
  <si>
    <t>250. Corey Grant</t>
  </si>
  <si>
    <t>252. Marquez Valdes-Scantling</t>
  </si>
  <si>
    <t>257. Will Dissly</t>
  </si>
  <si>
    <t>259. Greg Olsen</t>
  </si>
  <si>
    <t>260. Justin Hunter</t>
  </si>
  <si>
    <t>261. Deonte Thompson</t>
  </si>
  <si>
    <t>262. Adam Humphries</t>
  </si>
  <si>
    <t>263. Zay Jones</t>
  </si>
  <si>
    <t>264. T.J. Logan</t>
  </si>
  <si>
    <t>265. C.J. Prosise</t>
  </si>
  <si>
    <t>266. Blake Bortles</t>
  </si>
  <si>
    <t>267. Joe Flacco</t>
  </si>
  <si>
    <t>268. Sam Darnold</t>
  </si>
  <si>
    <t>269. Jameis Winston</t>
  </si>
  <si>
    <t>271. Jermaine Kearse</t>
  </si>
  <si>
    <t>272. Jeremy Kerley</t>
  </si>
  <si>
    <t>273. Laquon Treadwell</t>
  </si>
  <si>
    <t>274. Trent Taylor</t>
  </si>
  <si>
    <t>275. Torrey Smith</t>
  </si>
  <si>
    <t>276. Robert Turbin</t>
  </si>
  <si>
    <t>277. Ito Smith</t>
  </si>
  <si>
    <t>278. Kenneth Dixon</t>
  </si>
  <si>
    <t>279. Christine Michael</t>
  </si>
  <si>
    <t>280. Rob Kelley</t>
  </si>
  <si>
    <t>281. Jaylen Samuels</t>
  </si>
  <si>
    <t>282. Malcolm Brown</t>
  </si>
  <si>
    <t>283. Trenton Cannon</t>
  </si>
  <si>
    <t>284. Chester Rogers</t>
  </si>
  <si>
    <t>289. Geoff Swaim</t>
  </si>
  <si>
    <t>290. Mike Gesicki</t>
  </si>
  <si>
    <t>292. Luke Willson</t>
  </si>
  <si>
    <t>293. Dallas Goedert</t>
  </si>
  <si>
    <t>294. Seth Roberts</t>
  </si>
  <si>
    <t>295. Jarius Wright</t>
  </si>
  <si>
    <t>296. Josh Allen</t>
  </si>
  <si>
    <t>5.44-13.94</t>
  </si>
  <si>
    <t>Brett Maher</t>
  </si>
  <si>
    <t>4.65-13.19</t>
  </si>
  <si>
    <t>4.10-12.60</t>
  </si>
  <si>
    <t>Jason Sanders</t>
  </si>
  <si>
    <t>3.78-12.22</t>
  </si>
  <si>
    <t>Greg Joseph</t>
  </si>
  <si>
    <t>3.57-11.47</t>
  </si>
  <si>
    <t>3.73-11.11</t>
  </si>
  <si>
    <t>3.42-11.32</t>
  </si>
  <si>
    <t>2.50-13.26</t>
  </si>
  <si>
    <t>2.65-11.15</t>
  </si>
  <si>
    <t>3.16-10.56</t>
  </si>
  <si>
    <t>4.71-16.87</t>
  </si>
  <si>
    <t>5.28-14.44</t>
  </si>
  <si>
    <t>3.72-14.46</t>
  </si>
  <si>
    <t>2.57-14.63</t>
  </si>
  <si>
    <t>2.08-14.36</t>
  </si>
  <si>
    <t>4.17-13.25</t>
  </si>
  <si>
    <t>2.01-13.89</t>
  </si>
  <si>
    <t>2.66-14.66</t>
  </si>
  <si>
    <t>2.21-13.19</t>
  </si>
  <si>
    <t>0.61-14.99</t>
  </si>
  <si>
    <t>2.89-13.31</t>
  </si>
  <si>
    <t>1.00-14.22</t>
  </si>
  <si>
    <t>2.56-11.80</t>
  </si>
  <si>
    <t>1.18-12.42</t>
  </si>
  <si>
    <t>3.09-11.35</t>
  </si>
  <si>
    <t>2.91-11.63</t>
  </si>
  <si>
    <t>3.10-11.84</t>
  </si>
  <si>
    <t>1.44-12.68</t>
  </si>
  <si>
    <t>0.82-12.06</t>
  </si>
  <si>
    <t>0.74-11.98</t>
  </si>
  <si>
    <t>2.91-20.65</t>
  </si>
  <si>
    <t>2.59-18.21</t>
  </si>
  <si>
    <t>3.91-15.69</t>
  </si>
  <si>
    <t>2.29-17.15</t>
  </si>
  <si>
    <t>0.64-16.12</t>
  </si>
  <si>
    <t>2.61-12.41</t>
  </si>
  <si>
    <t>1.24-12.88</t>
  </si>
  <si>
    <t>0.43-13.19</t>
  </si>
  <si>
    <t>Dante Pettis</t>
  </si>
  <si>
    <t>Will Dissly</t>
  </si>
  <si>
    <t>Ito Smith</t>
  </si>
  <si>
    <t>0.97-9.33</t>
  </si>
  <si>
    <t>Blake Jarwin</t>
  </si>
  <si>
    <t>0.44-8.58</t>
  </si>
  <si>
    <t>Austin Carr</t>
  </si>
  <si>
    <t>0.02-8.58</t>
  </si>
  <si>
    <t>Ian Thomas</t>
  </si>
  <si>
    <t>0.04-8.08</t>
  </si>
  <si>
    <t>0.50-7.06</t>
  </si>
  <si>
    <t>Mark Walton</t>
  </si>
  <si>
    <t>0.69-5.61</t>
  </si>
  <si>
    <t>Tre'Quan Smith</t>
  </si>
  <si>
    <t>0.03-6.17</t>
  </si>
  <si>
    <t>0.05-6.05</t>
  </si>
  <si>
    <t>0.01-5.89</t>
  </si>
  <si>
    <t>Chris Herndon</t>
  </si>
  <si>
    <t>0.53-5.13</t>
  </si>
  <si>
    <t>Trenton Cannon</t>
  </si>
  <si>
    <t>Mark Andrews</t>
  </si>
  <si>
    <t>Jordan Akins</t>
  </si>
  <si>
    <t>Jordan Thomas</t>
  </si>
  <si>
    <t>0.06-5.02</t>
  </si>
  <si>
    <t>0.18-4.86</t>
  </si>
  <si>
    <t>0.24-4.42</t>
  </si>
  <si>
    <t>0.05-4.61</t>
  </si>
  <si>
    <t>0.17-4.09</t>
  </si>
  <si>
    <t>Shaun Wilson</t>
  </si>
  <si>
    <t>0.32-3.92</t>
  </si>
  <si>
    <t>David Moore</t>
  </si>
  <si>
    <t>0.00-3.08</t>
  </si>
  <si>
    <t>Marquez Valdes-Scantling</t>
  </si>
  <si>
    <t>0.47-1.83</t>
  </si>
  <si>
    <t>Marcus Kemp</t>
  </si>
  <si>
    <t>0.02-1.54</t>
  </si>
  <si>
    <t>Zach Pascal</t>
  </si>
  <si>
    <t>0.00-1.44</t>
  </si>
  <si>
    <t>0.02-1.42</t>
  </si>
  <si>
    <t>Trey Quinn</t>
  </si>
  <si>
    <t>J.J. Jones</t>
  </si>
  <si>
    <t>Vyncint Smith</t>
  </si>
  <si>
    <t>Scott Simonson</t>
  </si>
  <si>
    <t>0.00-1.24</t>
  </si>
  <si>
    <t>Nick Bellore</t>
  </si>
  <si>
    <t>0.01-1.19</t>
  </si>
  <si>
    <t>Tyler Conklin</t>
  </si>
  <si>
    <t>Jason Croom</t>
  </si>
  <si>
    <t>Joshua Perkins</t>
  </si>
  <si>
    <t>0.11-1.07</t>
  </si>
  <si>
    <t>T.J. Logan</t>
  </si>
  <si>
    <t>0.02-1.14</t>
  </si>
  <si>
    <t>0.01-1.13</t>
  </si>
  <si>
    <t>0.05-1.03</t>
  </si>
  <si>
    <t>Tim Patrick</t>
  </si>
  <si>
    <t>0.02-1.02</t>
  </si>
  <si>
    <t>Robert Foster</t>
  </si>
  <si>
    <t>0.03-0.99</t>
  </si>
  <si>
    <t>0.01-0.89</t>
  </si>
  <si>
    <t>0.03-0.85</t>
  </si>
  <si>
    <t>JoJo Natson</t>
  </si>
  <si>
    <t>devon-3WR-1</t>
  </si>
  <si>
    <t>cory-3QB-1</t>
  </si>
  <si>
    <t>seth-3WR-2</t>
  </si>
  <si>
    <t>comp-3RB-2</t>
  </si>
  <si>
    <t>seth-3RB-1</t>
  </si>
  <si>
    <t>seth-3WR/RB</t>
  </si>
  <si>
    <t>lucas-3WR-1</t>
  </si>
  <si>
    <t>aj-3RB-1</t>
  </si>
  <si>
    <t>comp-3WR/RB</t>
  </si>
  <si>
    <t>comp-3QB-1</t>
  </si>
  <si>
    <t>comp-3WR-1</t>
  </si>
  <si>
    <t>cory-3WR/RB</t>
  </si>
  <si>
    <t>perry-3WR-2</t>
  </si>
  <si>
    <t>devon-3QB-1</t>
  </si>
  <si>
    <t>cory-3RB-1</t>
  </si>
  <si>
    <t>perry-3QB-1</t>
  </si>
  <si>
    <t>devon-3RB-1</t>
  </si>
  <si>
    <t>lucas-3WR-2</t>
  </si>
  <si>
    <t>matty-3WR-3</t>
  </si>
  <si>
    <t>perry-3WR-1</t>
  </si>
  <si>
    <t>matty-3RB-1</t>
  </si>
  <si>
    <t>chad-3TE-1</t>
  </si>
  <si>
    <t>aj-3WR-1</t>
  </si>
  <si>
    <t>devon-3WR-3</t>
  </si>
  <si>
    <t>chad-3QB-1</t>
  </si>
  <si>
    <t>chad-3WR-2</t>
  </si>
  <si>
    <t>chad-3WR/RB</t>
  </si>
  <si>
    <t>comp-3WR-3</t>
  </si>
  <si>
    <t>devon-3TE-1</t>
  </si>
  <si>
    <t>perry-3RB-2</t>
  </si>
  <si>
    <t>aj-3TE-1</t>
  </si>
  <si>
    <t>matty-3WR/RB</t>
  </si>
  <si>
    <t>aj-3RB-2</t>
  </si>
  <si>
    <t>devon-3WR-2</t>
  </si>
  <si>
    <t>aj-3WR/RB</t>
  </si>
  <si>
    <t>cory-3RB-2</t>
  </si>
  <si>
    <t>cory-3WR-3</t>
  </si>
  <si>
    <t>seth-3TE-1</t>
  </si>
  <si>
    <t>chad-3RB-2</t>
  </si>
  <si>
    <t>matty-3TE-1</t>
  </si>
  <si>
    <t>scott-3WR-1</t>
  </si>
  <si>
    <t>cory-3WR-1</t>
  </si>
  <si>
    <t>scott-3RB-1</t>
  </si>
  <si>
    <t>scott-3WR/RB</t>
  </si>
  <si>
    <t>chad-3WR-1</t>
  </si>
  <si>
    <t>scott-3WR-3</t>
  </si>
  <si>
    <t>lucas-3RB-2</t>
  </si>
  <si>
    <t>aj-3QB-1</t>
  </si>
  <si>
    <t>cory-3TE-1</t>
  </si>
  <si>
    <t>comp-3RB-1</t>
  </si>
  <si>
    <t>seth-3RB-2</t>
  </si>
  <si>
    <t>scott-3RB-2</t>
  </si>
  <si>
    <t>matty-3WR-2</t>
  </si>
  <si>
    <t>perry-3RB-1</t>
  </si>
  <si>
    <t>matty-3RB-2</t>
  </si>
  <si>
    <t>cory-3WR-2</t>
  </si>
  <si>
    <t>aj-3WR-2</t>
  </si>
  <si>
    <t>scott-3WR-2</t>
  </si>
  <si>
    <t>seth-3WR-1</t>
  </si>
  <si>
    <t>matty-3QB-1</t>
  </si>
  <si>
    <t>devon-3RB-2</t>
  </si>
  <si>
    <t>perry-3WR/RB</t>
  </si>
  <si>
    <t>lucas-3WR-3</t>
  </si>
  <si>
    <t>seth-3WR-3</t>
  </si>
  <si>
    <t>lucas-3TE-1</t>
  </si>
  <si>
    <t>seth-3QB-1</t>
  </si>
  <si>
    <t>scott-3QB-1</t>
  </si>
  <si>
    <t>lucas-3RB-1</t>
  </si>
  <si>
    <t>devon-3WR/RB</t>
  </si>
  <si>
    <t>aj-3WR-3</t>
  </si>
  <si>
    <t>comp-3WR-2</t>
  </si>
  <si>
    <t>chad-3WR-3</t>
  </si>
  <si>
    <t>lucas-3WR/RB</t>
  </si>
  <si>
    <t>chad-3RB-1</t>
  </si>
  <si>
    <t>lucas-3QB-1</t>
  </si>
  <si>
    <t>scott-3TE-1</t>
  </si>
  <si>
    <t>comp-3TE-1</t>
  </si>
  <si>
    <t>matty-3WR-1</t>
  </si>
  <si>
    <t>perry-3WR-3</t>
  </si>
  <si>
    <t>perry-3TE-1</t>
  </si>
  <si>
    <t>perry-3K</t>
  </si>
  <si>
    <t>aj-3K</t>
  </si>
  <si>
    <t>seth-3K</t>
  </si>
  <si>
    <t>chad-3K</t>
  </si>
  <si>
    <t>lucas-3K</t>
  </si>
  <si>
    <t>devon-3K</t>
  </si>
  <si>
    <t>matty-3K</t>
  </si>
  <si>
    <t>scott-3K</t>
  </si>
  <si>
    <t>comp-3K</t>
  </si>
  <si>
    <t>cory-3K</t>
  </si>
  <si>
    <t>aj-3D/ST</t>
  </si>
  <si>
    <t>lucas-3D/ST</t>
  </si>
  <si>
    <t>cory-3D/ST</t>
  </si>
  <si>
    <t>chad-3D/ST</t>
  </si>
  <si>
    <t>comp-3D/ST</t>
  </si>
  <si>
    <t>devon-3D/ST</t>
  </si>
  <si>
    <t>scott-3D/ST</t>
  </si>
  <si>
    <t>matty-3D/ST</t>
  </si>
  <si>
    <t>perry-3D/ST</t>
  </si>
  <si>
    <t>seth-3D/ST</t>
  </si>
  <si>
    <t>5.16-14.26</t>
  </si>
  <si>
    <t>5.11-12.95</t>
  </si>
  <si>
    <t>3.96-14.84</t>
  </si>
  <si>
    <t>4.58-13.80</t>
  </si>
  <si>
    <t>4.37-14.39</t>
  </si>
  <si>
    <t>5.45-13.07</t>
  </si>
  <si>
    <t>4.22-12.88</t>
  </si>
  <si>
    <t>3.50-14.04</t>
  </si>
  <si>
    <t>4.11-13.99</t>
  </si>
  <si>
    <t>5.22-12.26</t>
  </si>
  <si>
    <t>4.21-13.13</t>
  </si>
  <si>
    <t>4.34-11.78</t>
  </si>
  <si>
    <t>3.32-13.36</t>
  </si>
  <si>
    <t>3.80-12.56</t>
  </si>
  <si>
    <t>3.86-11.32</t>
  </si>
  <si>
    <t>3.56-11.78</t>
  </si>
  <si>
    <t>3.33-11.57</t>
  </si>
  <si>
    <t>3.51-11.79</t>
  </si>
  <si>
    <t>3.93-10.39</t>
  </si>
  <si>
    <t>3.22-12.16</t>
  </si>
  <si>
    <t>3.60-11.56</t>
  </si>
  <si>
    <t>3.42-11.40</t>
  </si>
  <si>
    <t>2.08-12.12</t>
  </si>
  <si>
    <t>2.09-12.07</t>
  </si>
  <si>
    <t>3.35-10.61</t>
  </si>
  <si>
    <t>2.16-10.16</t>
  </si>
  <si>
    <t>2.05-11.49</t>
  </si>
  <si>
    <t>2.65-10.65</t>
  </si>
  <si>
    <t>0.68-13.10</t>
  </si>
  <si>
    <t>1.21-12.19</t>
  </si>
  <si>
    <t>0.26-10.40</t>
  </si>
  <si>
    <t>15.13-30.23</t>
  </si>
  <si>
    <t>15.51-29.71</t>
  </si>
  <si>
    <t>13.98-30.38</t>
  </si>
  <si>
    <t>13.47-30.33</t>
  </si>
  <si>
    <t>15.00-28.12</t>
  </si>
  <si>
    <t>14.32-28.48</t>
  </si>
  <si>
    <t>11.47-28.25</t>
  </si>
  <si>
    <t>11.80-26.78</t>
  </si>
  <si>
    <t>11.82-26.26</t>
  </si>
  <si>
    <t>10.94-26.36</t>
  </si>
  <si>
    <t>12.14-25.12</t>
  </si>
  <si>
    <t>10.57-26.19</t>
  </si>
  <si>
    <t>11.12-25.60</t>
  </si>
  <si>
    <t>9.81-26.91</t>
  </si>
  <si>
    <t>10.54-25.60</t>
  </si>
  <si>
    <t>9.30-26.56</t>
  </si>
  <si>
    <t>10.87-24.81</t>
  </si>
  <si>
    <t>9.99-25.59</t>
  </si>
  <si>
    <t>9.23-26.33</t>
  </si>
  <si>
    <t>9.36-26.06</t>
  </si>
  <si>
    <t>9.92-25.48</t>
  </si>
  <si>
    <t>9.41-25.45</t>
  </si>
  <si>
    <t>9.79-24.83</t>
  </si>
  <si>
    <t>9.11-24.05</t>
  </si>
  <si>
    <t>9.45-22.95</t>
  </si>
  <si>
    <t>10.73-21.45</t>
  </si>
  <si>
    <t>8.79-23.05</t>
  </si>
  <si>
    <t>7.74-24.00</t>
  </si>
  <si>
    <t>9.48-22.26</t>
  </si>
  <si>
    <t>9.07-22.17</t>
  </si>
  <si>
    <t>7.21-22.99</t>
  </si>
  <si>
    <t>6.82-23.16</t>
  </si>
  <si>
    <t>7.35-21.71</t>
  </si>
  <si>
    <t>5.65-22.79</t>
  </si>
  <si>
    <t>7.14-20.96</t>
  </si>
  <si>
    <t>5.28-22.14</t>
  </si>
  <si>
    <t>7.69-19.71</t>
  </si>
  <si>
    <t>5.83-21.55</t>
  </si>
  <si>
    <t>5.59-20.97</t>
  </si>
  <si>
    <t>5.63-18.49</t>
  </si>
  <si>
    <t>2.94-20.88</t>
  </si>
  <si>
    <t>2.39-21.43</t>
  </si>
  <si>
    <t>4.38-19.32</t>
  </si>
  <si>
    <t>4.36-19.12</t>
  </si>
  <si>
    <t>4.31-19.09</t>
  </si>
  <si>
    <t>4.25-19.11</t>
  </si>
  <si>
    <t>3.80-19.52</t>
  </si>
  <si>
    <t>4.09-19.05</t>
  </si>
  <si>
    <t>3.59-18.23</t>
  </si>
  <si>
    <t>4.33-17.39</t>
  </si>
  <si>
    <t>3.65-18.03</t>
  </si>
  <si>
    <t>5.06-16.50</t>
  </si>
  <si>
    <t>5.00-16.50</t>
  </si>
  <si>
    <t>2.57-18.87</t>
  </si>
  <si>
    <t>3.94-17.06</t>
  </si>
  <si>
    <t>4.52-16.42</t>
  </si>
  <si>
    <t>4.69-16.11</t>
  </si>
  <si>
    <t>2.20-18.50</t>
  </si>
  <si>
    <t>3.51-17.01</t>
  </si>
  <si>
    <t>3.58-16.62</t>
  </si>
  <si>
    <t>3.16-16.78</t>
  </si>
  <si>
    <t>4.49-15.37</t>
  </si>
  <si>
    <t>4.64-14.92</t>
  </si>
  <si>
    <t>3.31-16.17</t>
  </si>
  <si>
    <t>3.90-15.30</t>
  </si>
  <si>
    <t>2.51-16.45</t>
  </si>
  <si>
    <t>4.53-14.25</t>
  </si>
  <si>
    <t>1.97-16.67</t>
  </si>
  <si>
    <t>4.44-14.18</t>
  </si>
  <si>
    <t>1.45-16.87</t>
  </si>
  <si>
    <t>3.07-15.15</t>
  </si>
  <si>
    <t>2.93-15.09</t>
  </si>
  <si>
    <t>4.87-12.69</t>
  </si>
  <si>
    <t>3.32-14.16</t>
  </si>
  <si>
    <t>1.39-15.99</t>
  </si>
  <si>
    <t>2.54-14.78</t>
  </si>
  <si>
    <t>3.92-13.38</t>
  </si>
  <si>
    <t>2.60-14.30</t>
  </si>
  <si>
    <t>2.62-14.28</t>
  </si>
  <si>
    <t>3.81-12.87</t>
  </si>
  <si>
    <t>1.64-14.98</t>
  </si>
  <si>
    <t>3.00-13.46</t>
  </si>
  <si>
    <t>2.63-13.73</t>
  </si>
  <si>
    <t>1.63-14.67</t>
  </si>
  <si>
    <t>3.08-12.96</t>
  </si>
  <si>
    <t>2.23-13.81</t>
  </si>
  <si>
    <t>1.66-14.34</t>
  </si>
  <si>
    <t>2.91-12.63</t>
  </si>
  <si>
    <t>2.60-12.80</t>
  </si>
  <si>
    <t>2.70-12.48</t>
  </si>
  <si>
    <t>1.89-12.91</t>
  </si>
  <si>
    <t>2.77-11.85</t>
  </si>
  <si>
    <t>2.44-12.16</t>
  </si>
  <si>
    <t>2.08-12.28</t>
  </si>
  <si>
    <t>3.41-10.83</t>
  </si>
  <si>
    <t>2.52-11.70</t>
  </si>
  <si>
    <t>2.16-11.92</t>
  </si>
  <si>
    <t>2.01-12.05</t>
  </si>
  <si>
    <t>1.69-12.33</t>
  </si>
  <si>
    <t>1.97-11.95</t>
  </si>
  <si>
    <t>1.07-12.81</t>
  </si>
  <si>
    <t>1.03-12.67</t>
  </si>
  <si>
    <t>1.53-12.17</t>
  </si>
  <si>
    <t>2.26-11.44</t>
  </si>
  <si>
    <t>1.05-12.63</t>
  </si>
  <si>
    <t>2.52-11.14</t>
  </si>
  <si>
    <t>1.92-11.70</t>
  </si>
  <si>
    <t>1.35-11.95</t>
  </si>
  <si>
    <t>0.61-12.45</t>
  </si>
  <si>
    <t>2.41-10.47</t>
  </si>
  <si>
    <t>1.66-11.18</t>
  </si>
  <si>
    <t>1.38-11.40</t>
  </si>
  <si>
    <t>0.96-11.76</t>
  </si>
  <si>
    <t>0.45-11.95</t>
  </si>
  <si>
    <t>0.89-11.45</t>
  </si>
  <si>
    <t>0.78-11.50</t>
  </si>
  <si>
    <t>2.00-10.24</t>
  </si>
  <si>
    <t>0.04-12.14</t>
  </si>
  <si>
    <t>2.31-9.77</t>
  </si>
  <si>
    <t>1.68-10.40</t>
  </si>
  <si>
    <t>1.75-10.11</t>
  </si>
  <si>
    <t>2.30-9.48</t>
  </si>
  <si>
    <t>1.33-10.43</t>
  </si>
  <si>
    <t>1.33-10.17</t>
  </si>
  <si>
    <t>1.48-10.00</t>
  </si>
  <si>
    <t>2.65-8.79</t>
  </si>
  <si>
    <t>1.72-9.70</t>
  </si>
  <si>
    <t>1.33-10.07</t>
  </si>
  <si>
    <t>1.12-10.22</t>
  </si>
  <si>
    <t>1.67-9.53</t>
  </si>
  <si>
    <t>1.60-9.58</t>
  </si>
  <si>
    <t>0.67-10.51</t>
  </si>
  <si>
    <t>1.53-9.63</t>
  </si>
  <si>
    <t>1.04-10.02</t>
  </si>
  <si>
    <t>1.48-9.48</t>
  </si>
  <si>
    <t>1.15-9.75</t>
  </si>
  <si>
    <t>0.29-10.53</t>
  </si>
  <si>
    <t>1.52-9.26</t>
  </si>
  <si>
    <t>0.72-10.04</t>
  </si>
  <si>
    <t>1.02-9.68</t>
  </si>
  <si>
    <t>0.67-9.87</t>
  </si>
  <si>
    <t>1.13-9.37</t>
  </si>
  <si>
    <t>0.46-9.94</t>
  </si>
  <si>
    <t>1.39-8.97</t>
  </si>
  <si>
    <t>1.55-8.81</t>
  </si>
  <si>
    <t>1.03-9.09</t>
  </si>
  <si>
    <t>0.53-9.43</t>
  </si>
  <si>
    <t>0.80-8.92</t>
  </si>
  <si>
    <t>0.76-8.96</t>
  </si>
  <si>
    <t>1.03-8.57</t>
  </si>
  <si>
    <t>1.34-8.22</t>
  </si>
  <si>
    <t>0.89-8.57</t>
  </si>
  <si>
    <t>1.16-8.26</t>
  </si>
  <si>
    <t>0.94-8.38</t>
  </si>
  <si>
    <t>1.22-7.94</t>
  </si>
  <si>
    <t>0.56-8.52</t>
  </si>
  <si>
    <t>0.94-8.06</t>
  </si>
  <si>
    <t>1.16-7.82</t>
  </si>
  <si>
    <t>1.50-7.38</t>
  </si>
  <si>
    <t>1.19-7.61</t>
  </si>
  <si>
    <t>0.47-8.23</t>
  </si>
  <si>
    <t>1.51-7.09</t>
  </si>
  <si>
    <t>0.25-8.29</t>
  </si>
  <si>
    <t>1.25-7.13</t>
  </si>
  <si>
    <t>1.47-6.91</t>
  </si>
  <si>
    <t>0.18-8.18</t>
  </si>
  <si>
    <t>0.15-8.01</t>
  </si>
  <si>
    <t>0.28-7.84</t>
  </si>
  <si>
    <t>1.47-6.61</t>
  </si>
  <si>
    <t>0.75-7.25</t>
  </si>
  <si>
    <t>0.16-7.82</t>
  </si>
  <si>
    <t>0.12-7.84</t>
  </si>
  <si>
    <t>0.77-7.13</t>
  </si>
  <si>
    <t>0.10-7.78</t>
  </si>
  <si>
    <t>0.86-6.98</t>
  </si>
  <si>
    <t>0.69-7.11</t>
  </si>
  <si>
    <t>1.05-6.73</t>
  </si>
  <si>
    <t>0.22-7.46</t>
  </si>
  <si>
    <t>0.82-6.84</t>
  </si>
  <si>
    <t>0.95-6.67</t>
  </si>
  <si>
    <t>1.14-6.44</t>
  </si>
  <si>
    <t>0.52-7.02</t>
  </si>
  <si>
    <t>2.14-5.40</t>
  </si>
  <si>
    <t>0.38-7.16</t>
  </si>
  <si>
    <t>0.32-7.12</t>
  </si>
  <si>
    <t>0.80-6.58</t>
  </si>
  <si>
    <t>0.24-6.94</t>
  </si>
  <si>
    <t>0.71-6.47</t>
  </si>
  <si>
    <t>1.06-6.10</t>
  </si>
  <si>
    <t>0.89-6.21</t>
  </si>
  <si>
    <t>0.01-7.07</t>
  </si>
  <si>
    <t>1.09-5.89</t>
  </si>
  <si>
    <t>0.63-6.35</t>
  </si>
  <si>
    <t>1.30-5.60</t>
  </si>
  <si>
    <t>0.40-6.34</t>
  </si>
  <si>
    <t>1.16-5.52</t>
  </si>
  <si>
    <t>0.17-6.49</t>
  </si>
  <si>
    <t>0.30-6.32</t>
  </si>
  <si>
    <t>0.00-6.50</t>
  </si>
  <si>
    <t>0.66-5.74</t>
  </si>
  <si>
    <t>0.39-5.99</t>
  </si>
  <si>
    <t>0.39-5.97</t>
  </si>
  <si>
    <t>0.42-5.80</t>
  </si>
  <si>
    <t>0.50-5.70</t>
  </si>
  <si>
    <t>0.36-5.82</t>
  </si>
  <si>
    <t>0.46-5.62</t>
  </si>
  <si>
    <t>0.23-5.79</t>
  </si>
  <si>
    <t>0.54-5.44</t>
  </si>
  <si>
    <t>0.30-5.62</t>
  </si>
  <si>
    <t>0.41-5.45</t>
  </si>
  <si>
    <t>0.60-5.24</t>
  </si>
  <si>
    <t>0.44-5.36</t>
  </si>
  <si>
    <t>0.27-5.53</t>
  </si>
  <si>
    <t>0.46-5.32</t>
  </si>
  <si>
    <t>0.26-5.46</t>
  </si>
  <si>
    <t>0.22-5.42</t>
  </si>
  <si>
    <t>Khadarel Hodge</t>
  </si>
  <si>
    <t>0.72-4.84</t>
  </si>
  <si>
    <t>0.18-5.36</t>
  </si>
  <si>
    <t>0.14-5.36</t>
  </si>
  <si>
    <t>0.20-5.28</t>
  </si>
  <si>
    <t>0.10-5.22</t>
  </si>
  <si>
    <t>0.41-4.79</t>
  </si>
  <si>
    <t>0.16-5.04</t>
  </si>
  <si>
    <t>0.30-4.84</t>
  </si>
  <si>
    <t>0.23-4.89</t>
  </si>
  <si>
    <t>0.16-4.88</t>
  </si>
  <si>
    <t>1.33-3.65</t>
  </si>
  <si>
    <t>0.36-4.60</t>
  </si>
  <si>
    <t>0.16-4.52</t>
  </si>
  <si>
    <t>0.02-4.64</t>
  </si>
  <si>
    <t>0.48-4.16</t>
  </si>
  <si>
    <t>0.44-4.16</t>
  </si>
  <si>
    <t>0.13-4.43</t>
  </si>
  <si>
    <t>0.07-4.49</t>
  </si>
  <si>
    <t>0.45-4.05</t>
  </si>
  <si>
    <t>0.30-4.18</t>
  </si>
  <si>
    <t>0.06-4.42</t>
  </si>
  <si>
    <t>0.38-4.08</t>
  </si>
  <si>
    <t>0.03-4.31</t>
  </si>
  <si>
    <t>0.32-3.90</t>
  </si>
  <si>
    <t>0.31-3.89</t>
  </si>
  <si>
    <t>0.18-4.02</t>
  </si>
  <si>
    <t>0.00-4.12</t>
  </si>
  <si>
    <t>0.42-3.62</t>
  </si>
  <si>
    <t>0.23-3.77</t>
  </si>
  <si>
    <t>0.03-3.95</t>
  </si>
  <si>
    <t>0.21-3.69</t>
  </si>
  <si>
    <t>0.02-3.80</t>
  </si>
  <si>
    <t>0.10-3.62</t>
  </si>
  <si>
    <t>0.20-3.42</t>
  </si>
  <si>
    <t>0.11-3.51</t>
  </si>
  <si>
    <t>0.05-3.29</t>
  </si>
  <si>
    <t>0.05-3.25</t>
  </si>
  <si>
    <t>0.28-3.02</t>
  </si>
  <si>
    <t>0.03-3.25</t>
  </si>
  <si>
    <t>0.31-2.89</t>
  </si>
  <si>
    <t>0.16-2.96</t>
  </si>
  <si>
    <t>0.05-3.07</t>
  </si>
  <si>
    <t>0.09-2.97</t>
  </si>
  <si>
    <t>Buddy Howell</t>
  </si>
  <si>
    <t>0.04-2.72</t>
  </si>
  <si>
    <t>0.17-2.33</t>
  </si>
  <si>
    <t>0.46-1.66</t>
  </si>
  <si>
    <t>0.00-2.08</t>
  </si>
  <si>
    <t>0.49-1.57</t>
  </si>
  <si>
    <t>0.36-1.62</t>
  </si>
  <si>
    <t>0.35-1.59</t>
  </si>
  <si>
    <t>0.36-1.56</t>
  </si>
  <si>
    <t>0.16-1.72</t>
  </si>
  <si>
    <t>0.10-1.72</t>
  </si>
  <si>
    <t>0.23-1.57</t>
  </si>
  <si>
    <t>0.28-1.52</t>
  </si>
  <si>
    <t>0.29-1.49</t>
  </si>
  <si>
    <t>0.27-1.51</t>
  </si>
  <si>
    <t>0.41-1.35</t>
  </si>
  <si>
    <t>0.32-1.44</t>
  </si>
  <si>
    <t>0.21-1.51</t>
  </si>
  <si>
    <t>0.29-1.43</t>
  </si>
  <si>
    <t>0.25-1.45</t>
  </si>
  <si>
    <t>0.32-1.34</t>
  </si>
  <si>
    <t>0.15-1.49</t>
  </si>
  <si>
    <t>0.24-1.40</t>
  </si>
  <si>
    <t>0.26-1.36</t>
  </si>
  <si>
    <t>0.02-1.60</t>
  </si>
  <si>
    <t>0.18-1.42</t>
  </si>
  <si>
    <t>0.06-1.54</t>
  </si>
  <si>
    <t>0.03-1.57</t>
  </si>
  <si>
    <t>0.02-1.56</t>
  </si>
  <si>
    <t>0.01-1.57</t>
  </si>
  <si>
    <t>0.23-1.33</t>
  </si>
  <si>
    <t>Josh Adams</t>
  </si>
  <si>
    <t>0.01-1.55</t>
  </si>
  <si>
    <t>0.17-1.39</t>
  </si>
  <si>
    <t>Mike Boone</t>
  </si>
  <si>
    <t>0.00-1.54</t>
  </si>
  <si>
    <t>0.02-1.50</t>
  </si>
  <si>
    <t>0.01-1.49</t>
  </si>
  <si>
    <t>0.03-1.47</t>
  </si>
  <si>
    <t>0.04-1.44</t>
  </si>
  <si>
    <t>0.00-1.48</t>
  </si>
  <si>
    <t>0.06-1.40</t>
  </si>
  <si>
    <t>0.02-1.44</t>
  </si>
  <si>
    <t>0.06-1.38</t>
  </si>
  <si>
    <t>0.01-1.43</t>
  </si>
  <si>
    <t>Ray-Ray McCloud</t>
  </si>
  <si>
    <t>0.02-1.40</t>
  </si>
  <si>
    <t>Tim White</t>
  </si>
  <si>
    <t>0.01-1.39</t>
  </si>
  <si>
    <t>0.04-1.36</t>
  </si>
  <si>
    <t>0.19-1.21</t>
  </si>
  <si>
    <t>0.14-1.26</t>
  </si>
  <si>
    <t>0.04-1.34</t>
  </si>
  <si>
    <t>0.17-1.21</t>
  </si>
  <si>
    <t>0.04-1.32</t>
  </si>
  <si>
    <t>0.02-1.34</t>
  </si>
  <si>
    <t>0.03-1.33</t>
  </si>
  <si>
    <t>0.12-1.24</t>
  </si>
  <si>
    <t>0.07-1.29</t>
  </si>
  <si>
    <t>0.22-1.14</t>
  </si>
  <si>
    <t>0.08-1.22</t>
  </si>
  <si>
    <t>0.11-1.19</t>
  </si>
  <si>
    <t>0.01-1.29</t>
  </si>
  <si>
    <t>0.06-1.22</t>
  </si>
  <si>
    <t>0.07-1.21</t>
  </si>
  <si>
    <t>0.00-1.28</t>
  </si>
  <si>
    <t>0.09-1.19</t>
  </si>
  <si>
    <t>0.10-1.18</t>
  </si>
  <si>
    <t>0.08-1.18</t>
  </si>
  <si>
    <t>0.05-1.21</t>
  </si>
  <si>
    <t>0.01-1.23</t>
  </si>
  <si>
    <t>0.10-1.12</t>
  </si>
  <si>
    <t>0.02-1.20</t>
  </si>
  <si>
    <t>DaeSean Hamilton</t>
  </si>
  <si>
    <t>0.05-1.15</t>
  </si>
  <si>
    <t>0.08-1.10</t>
  </si>
  <si>
    <t>0.05-1.13</t>
  </si>
  <si>
    <t>0.04-0.96</t>
  </si>
  <si>
    <t>0.05-0.91</t>
  </si>
  <si>
    <t>0.02-0.92</t>
  </si>
  <si>
    <t>0.02-0.86</t>
  </si>
  <si>
    <t>0.01-0.85</t>
  </si>
  <si>
    <t>0.06-0.80</t>
  </si>
  <si>
    <t>0.03-0.83</t>
  </si>
  <si>
    <t>0.00-0.84</t>
  </si>
  <si>
    <t>0.03-0.79</t>
  </si>
  <si>
    <t>0.02-0.78</t>
  </si>
  <si>
    <t>0.01-0.73</t>
  </si>
  <si>
    <t>0.00-0.70</t>
  </si>
  <si>
    <t>0.04-0.64</t>
  </si>
  <si>
    <t>0.01-0.65</t>
  </si>
  <si>
    <t>0.00-0.50</t>
  </si>
  <si>
    <t>devon-4WR/RB</t>
  </si>
  <si>
    <t>cory-4QB-1</t>
  </si>
  <si>
    <t>seth-4WR-2</t>
  </si>
  <si>
    <t>comp-4RB-2</t>
  </si>
  <si>
    <t>seth-4RB-1</t>
  </si>
  <si>
    <t>seth-4WR/RB</t>
  </si>
  <si>
    <t>lucas-4WR-1</t>
  </si>
  <si>
    <t>aj-4RB-1</t>
  </si>
  <si>
    <t>comp-4WR/RB</t>
  </si>
  <si>
    <t>comp-4QB-1</t>
  </si>
  <si>
    <t>comp-4WR-1</t>
  </si>
  <si>
    <t>cory-4WR/RB</t>
  </si>
  <si>
    <t>perry-4WR-2</t>
  </si>
  <si>
    <t>cory-4RB-1</t>
  </si>
  <si>
    <t>perry-4QB-1</t>
  </si>
  <si>
    <t>lucas-4WR-2</t>
  </si>
  <si>
    <t>matty-4WR-3</t>
  </si>
  <si>
    <t>devon-4RB-1</t>
  </si>
  <si>
    <t>perry-4WR-1</t>
  </si>
  <si>
    <t>matty-4RB-1</t>
  </si>
  <si>
    <t>chad-4TE-1</t>
  </si>
  <si>
    <t>aj-4WR-1</t>
  </si>
  <si>
    <t>devon-4WR-2</t>
  </si>
  <si>
    <t>chad-4QB-1</t>
  </si>
  <si>
    <t>chad-4WR-2</t>
  </si>
  <si>
    <t>chad-4WR/RB</t>
  </si>
  <si>
    <t>comp-4WR-3</t>
  </si>
  <si>
    <t>perry-4RB-2</t>
  </si>
  <si>
    <t>aj-4TE-1</t>
  </si>
  <si>
    <t>matty-4WR/RB</t>
  </si>
  <si>
    <t>aj-4RB-2</t>
  </si>
  <si>
    <t>devon-4WR-1</t>
  </si>
  <si>
    <t>devon-4WR-3</t>
  </si>
  <si>
    <t>aj-4WR/RB</t>
  </si>
  <si>
    <t>cory-4RB-2</t>
  </si>
  <si>
    <t>cory-4WR-3</t>
  </si>
  <si>
    <t>seth-4TE-1</t>
  </si>
  <si>
    <t>chad-4RB-2</t>
  </si>
  <si>
    <t>matty-4TE-1</t>
  </si>
  <si>
    <t>scott-4WR-1</t>
  </si>
  <si>
    <t>cory-4WR-1</t>
  </si>
  <si>
    <t>scott-4RB-1</t>
  </si>
  <si>
    <t>scott-4WR/RB</t>
  </si>
  <si>
    <t>chad-4WR-1</t>
  </si>
  <si>
    <t>scott-4WR-3</t>
  </si>
  <si>
    <t>lucas-4RB-2</t>
  </si>
  <si>
    <t>aj-4QB-1</t>
  </si>
  <si>
    <t>cory-4TE-1</t>
  </si>
  <si>
    <t>comp-4RB-1</t>
  </si>
  <si>
    <t>seth-4RB-2</t>
  </si>
  <si>
    <t>scott-4RB-2</t>
  </si>
  <si>
    <t>matty-4WR-2</t>
  </si>
  <si>
    <t>perry-4RB-1</t>
  </si>
  <si>
    <t>devon-4TE-1</t>
  </si>
  <si>
    <t>matty-4RB-2</t>
  </si>
  <si>
    <t>cory-4WR-2</t>
  </si>
  <si>
    <t>aj-4WR-2</t>
  </si>
  <si>
    <t>scott-4WR-2</t>
  </si>
  <si>
    <t>seth-4WR-1</t>
  </si>
  <si>
    <t>matty-4QB-1</t>
  </si>
  <si>
    <t>devon-4QB-1</t>
  </si>
  <si>
    <t>perry-4WR/RB</t>
  </si>
  <si>
    <t>lucas-4WR-3</t>
  </si>
  <si>
    <t>seth-4WR-3</t>
  </si>
  <si>
    <t>lucas-4TE-1</t>
  </si>
  <si>
    <t>seth-4QB-1</t>
  </si>
  <si>
    <t>scott-4QB-1</t>
  </si>
  <si>
    <t>lucas-4RB-1</t>
  </si>
  <si>
    <t>devon-4RB-2</t>
  </si>
  <si>
    <t>aj-4WR-3</t>
  </si>
  <si>
    <t>comp-4WR-2</t>
  </si>
  <si>
    <t>chad-4WR-3</t>
  </si>
  <si>
    <t>lucas-4WR/RB</t>
  </si>
  <si>
    <t>chad-4RB-1</t>
  </si>
  <si>
    <t>lucas-4QB-1</t>
  </si>
  <si>
    <t>scott-4TE-1</t>
  </si>
  <si>
    <t>comp-4TE-1</t>
  </si>
  <si>
    <t>matty-4WR-1</t>
  </si>
  <si>
    <t>perry-4WR-3</t>
  </si>
  <si>
    <t>perry-4TE-1</t>
  </si>
  <si>
    <t>perry-4K</t>
  </si>
  <si>
    <t>aj-4K</t>
  </si>
  <si>
    <t>seth-4K</t>
  </si>
  <si>
    <t>chad-4K</t>
  </si>
  <si>
    <t>devon-4K</t>
  </si>
  <si>
    <t>lucas-4K</t>
  </si>
  <si>
    <t>matty-4K</t>
  </si>
  <si>
    <t>scott-4K</t>
  </si>
  <si>
    <t>comp-4K</t>
  </si>
  <si>
    <t>cory-4K</t>
  </si>
  <si>
    <t>aj-4D/ST</t>
  </si>
  <si>
    <t>lucas-4D/ST</t>
  </si>
  <si>
    <t>cory-4D/ST</t>
  </si>
  <si>
    <t>devon-4D/ST</t>
  </si>
  <si>
    <t>chad-4D/ST</t>
  </si>
  <si>
    <t>comp-4D/ST</t>
  </si>
  <si>
    <t>scott-4D/ST</t>
  </si>
  <si>
    <t>matty-4D/ST</t>
  </si>
  <si>
    <t>perry-4D/ST</t>
  </si>
  <si>
    <t>seth-4D/ST</t>
  </si>
  <si>
    <t>1.28-15.34</t>
  </si>
  <si>
    <t>4.29-13.39</t>
  </si>
  <si>
    <t>1.63-13.55</t>
  </si>
  <si>
    <t>0.41-12.57</t>
  </si>
  <si>
    <t>0.83-13.79</t>
  </si>
  <si>
    <t>0.26-11.76</t>
  </si>
  <si>
    <t>1.35-15.35</t>
  </si>
  <si>
    <t>2.53-13.79</t>
  </si>
  <si>
    <t>3.15-12.99</t>
  </si>
  <si>
    <t>1.39-13.33</t>
  </si>
  <si>
    <t>0.83-9.47</t>
  </si>
  <si>
    <t>0.69-6.77</t>
  </si>
  <si>
    <t>0.12-4.90</t>
  </si>
  <si>
    <t>Fantasy Pros</t>
  </si>
  <si>
    <t>Jacksonville (JAC)</t>
  </si>
  <si>
    <t>Minnesota (MIN)</t>
  </si>
  <si>
    <t>Los Angeles (LAR)</t>
  </si>
  <si>
    <t>Chicago (CHI)</t>
  </si>
  <si>
    <t>Philadelphia (PHI)</t>
  </si>
  <si>
    <t>Los Angeles (LAC)</t>
  </si>
  <si>
    <t>Denver (DEN)</t>
  </si>
  <si>
    <t>Houston (HOU)</t>
  </si>
  <si>
    <t>Cleveland (CLE)</t>
  </si>
  <si>
    <t>Baltimore (BAL)</t>
  </si>
  <si>
    <t>Devante Parker</t>
  </si>
  <si>
    <t>Seattle (SEA)</t>
  </si>
  <si>
    <t>Arizona (ARI)</t>
  </si>
  <si>
    <t>Carolina (CAR)</t>
  </si>
  <si>
    <t>Tennessee (TEN)</t>
  </si>
  <si>
    <t>New Orleans (NO)</t>
  </si>
  <si>
    <t>New England (NE)</t>
  </si>
  <si>
    <t>Ronald Jones II</t>
  </si>
  <si>
    <t>Detroit (DET)</t>
  </si>
  <si>
    <t>New York (NYJ)</t>
  </si>
  <si>
    <t>Miami (MIA)</t>
  </si>
  <si>
    <t>Buffalo (BUF)</t>
  </si>
  <si>
    <t>Mike Gesicki</t>
  </si>
  <si>
    <t>New York (NYG)</t>
  </si>
  <si>
    <t>Pittsburgh (PIT)</t>
  </si>
  <si>
    <t>Atlanta (ATL)</t>
  </si>
  <si>
    <t>Washington (WAS)</t>
  </si>
  <si>
    <t>Green Bay (GB)</t>
  </si>
  <si>
    <t>Steven Hauschka</t>
  </si>
  <si>
    <t>Cincinnati (CIN)</t>
  </si>
  <si>
    <t>Tampa Bay (TB)</t>
  </si>
  <si>
    <t>Chad Kelly</t>
  </si>
  <si>
    <t>Dallas (DAL)</t>
  </si>
  <si>
    <t>Oakland (OAK)</t>
  </si>
  <si>
    <t>Kansas City (KC)</t>
  </si>
  <si>
    <t>San Francisco (SF)</t>
  </si>
  <si>
    <t>Indianapolis (IND)</t>
  </si>
  <si>
    <t>Keke Coutee</t>
  </si>
  <si>
    <t>K19</t>
  </si>
  <si>
    <t>QB33</t>
  </si>
  <si>
    <t>QB34</t>
  </si>
  <si>
    <t>K20</t>
  </si>
  <si>
    <t>K21</t>
  </si>
  <si>
    <t>QB35</t>
  </si>
  <si>
    <t>K22</t>
  </si>
  <si>
    <t>DST23</t>
  </si>
  <si>
    <t>K23</t>
  </si>
  <si>
    <t>QB36</t>
  </si>
  <si>
    <t>K24</t>
  </si>
  <si>
    <t>K25</t>
  </si>
  <si>
    <t>DST24</t>
  </si>
  <si>
    <t>QB37</t>
  </si>
  <si>
    <t>DST25</t>
  </si>
  <si>
    <t>K26</t>
  </si>
  <si>
    <t>K27</t>
  </si>
  <si>
    <t>DST26</t>
  </si>
  <si>
    <t>K28</t>
  </si>
  <si>
    <t>DST27</t>
  </si>
  <si>
    <t>QB38</t>
  </si>
  <si>
    <t>QB39</t>
  </si>
  <si>
    <t>QB40</t>
  </si>
  <si>
    <t>DST28</t>
  </si>
  <si>
    <t>QB41</t>
  </si>
  <si>
    <t>DST29</t>
  </si>
  <si>
    <t>QB42</t>
  </si>
  <si>
    <t>K29</t>
  </si>
  <si>
    <t>DST30</t>
  </si>
  <si>
    <t>DST31</t>
  </si>
  <si>
    <t>DST32</t>
  </si>
  <si>
    <t>Non-PPR</t>
  </si>
  <si>
    <t>Matched Names</t>
  </si>
  <si>
    <t>Fantasy Pros Name</t>
  </si>
  <si>
    <t>ESPN Name</t>
  </si>
  <si>
    <t>Found?</t>
  </si>
  <si>
    <t>Arizona Cardinals</t>
  </si>
  <si>
    <t>Atlanta Falcons</t>
  </si>
  <si>
    <t>Baltimore Ravens</t>
  </si>
  <si>
    <t>Buffalo Bills</t>
  </si>
  <si>
    <t>Carolina Panthers</t>
  </si>
  <si>
    <t>Chicago Bears</t>
  </si>
  <si>
    <t>Cincinnati Bengals</t>
  </si>
  <si>
    <t>Cleveland Browns</t>
  </si>
  <si>
    <t>Dallas Cowboys</t>
  </si>
  <si>
    <t>Denver Broncos</t>
  </si>
  <si>
    <t>Detroit Lions</t>
  </si>
  <si>
    <t>Green Bay Packers</t>
  </si>
  <si>
    <t>Houston Texans</t>
  </si>
  <si>
    <t>Indianapolis Colts</t>
  </si>
  <si>
    <t>Jacksonville Jaguars</t>
  </si>
  <si>
    <t>Kansas City Chiefs</t>
  </si>
  <si>
    <t>Miami Dolphins</t>
  </si>
  <si>
    <t>Minnesota Vikings</t>
  </si>
  <si>
    <t>New England Patriots</t>
  </si>
  <si>
    <t>New Orleans Saints</t>
  </si>
  <si>
    <t>New York Giants</t>
  </si>
  <si>
    <t>New York Jets</t>
  </si>
  <si>
    <t>Oakland Raiders</t>
  </si>
  <si>
    <t>Philadelphia Eagles</t>
  </si>
  <si>
    <t>Pittsburgh Steelers</t>
  </si>
  <si>
    <t>San Francisco 49ers</t>
  </si>
  <si>
    <t>Seattle Seahawks</t>
  </si>
  <si>
    <t>Tampa Bay Buccaneers</t>
  </si>
  <si>
    <t>Tennessee Titans</t>
  </si>
  <si>
    <t>Washington Redskins</t>
  </si>
  <si>
    <t>Los Angeles Rams</t>
  </si>
  <si>
    <t>Los Angeles Chargers</t>
  </si>
  <si>
    <t>Arizona</t>
  </si>
  <si>
    <t>Atlanta</t>
  </si>
  <si>
    <t>Baltimore</t>
  </si>
  <si>
    <t>Buffalo</t>
  </si>
  <si>
    <t>Carolina</t>
  </si>
  <si>
    <t>Chicago</t>
  </si>
  <si>
    <t>Cincinnati</t>
  </si>
  <si>
    <t>Cleveland</t>
  </si>
  <si>
    <t>Dallas</t>
  </si>
  <si>
    <t>Denver</t>
  </si>
  <si>
    <t>Detroit</t>
  </si>
  <si>
    <t>Green Bay</t>
  </si>
  <si>
    <t>Houston</t>
  </si>
  <si>
    <t>Indianapolis</t>
  </si>
  <si>
    <t>Jacksonville</t>
  </si>
  <si>
    <t>Miami</t>
  </si>
  <si>
    <t>Minnesota</t>
  </si>
  <si>
    <t>New England</t>
  </si>
  <si>
    <t>New Orleans</t>
  </si>
  <si>
    <t>New York</t>
  </si>
  <si>
    <t>Oakland</t>
  </si>
  <si>
    <t>Philadelphia</t>
  </si>
  <si>
    <t>Pittsburgh</t>
  </si>
  <si>
    <t>Los Angeles</t>
  </si>
  <si>
    <t>San Francisco</t>
  </si>
  <si>
    <t>Seattle</t>
  </si>
  <si>
    <t>Tampa Bay</t>
  </si>
  <si>
    <t>Tennessee</t>
  </si>
  <si>
    <t>Washington</t>
  </si>
  <si>
    <t>City</t>
  </si>
  <si>
    <t>Team Name</t>
  </si>
  <si>
    <t>Kansas City</t>
  </si>
  <si>
    <t>Missing Names FPros</t>
  </si>
  <si>
    <t>Rnk</t>
  </si>
  <si>
    <t>4.44-12.24</t>
  </si>
  <si>
    <t>2.87-10.61</t>
  </si>
  <si>
    <t>1.43-15.97</t>
  </si>
  <si>
    <t>4.01-14.65</t>
  </si>
  <si>
    <t>0.96-16.42</t>
  </si>
  <si>
    <t>1.94-12.68</t>
  </si>
  <si>
    <t>2.11-12.63</t>
  </si>
  <si>
    <t>2.56-11.90</t>
  </si>
  <si>
    <t>1.60-13.56</t>
  </si>
  <si>
    <t>1.90-14.32</t>
  </si>
  <si>
    <t>1.50-12.98</t>
  </si>
  <si>
    <t>0.94-14.94</t>
  </si>
  <si>
    <t>1.37-15.47</t>
  </si>
  <si>
    <t>1.60-13.06</t>
  </si>
  <si>
    <t>2.44-13.34</t>
  </si>
  <si>
    <t>1.31-13.79</t>
  </si>
  <si>
    <t>2.59-10.81</t>
  </si>
  <si>
    <t>0.75-13.45</t>
  </si>
  <si>
    <t>1.23-11.77</t>
  </si>
  <si>
    <t>1.06-12.76</t>
  </si>
  <si>
    <t>1.68-11.06</t>
  </si>
  <si>
    <t>0.85-10.97</t>
  </si>
  <si>
    <t>10.78-25.54</t>
  </si>
  <si>
    <t>2.96-23.02</t>
  </si>
  <si>
    <t>2.05-21.25</t>
  </si>
  <si>
    <t>1.93-15.05</t>
  </si>
  <si>
    <t>1.70-14.24</t>
  </si>
  <si>
    <t>0.11-14.07</t>
  </si>
  <si>
    <t>1.44-9.48</t>
  </si>
  <si>
    <t>1.36-9.48</t>
  </si>
  <si>
    <t>0.96-8.18</t>
  </si>
  <si>
    <t>2.17-5.59</t>
  </si>
  <si>
    <t>1.14-5.64</t>
  </si>
  <si>
    <t>0.35-1.57</t>
  </si>
  <si>
    <t>0.20-1.40</t>
  </si>
  <si>
    <t>0.18-1.26</t>
  </si>
  <si>
    <t>7-0</t>
  </si>
  <si>
    <t>6.64-13.88</t>
  </si>
  <si>
    <t>6.28-13.12</t>
  </si>
  <si>
    <t>5.76-13.78</t>
  </si>
  <si>
    <t>5.40-13.60</t>
  </si>
  <si>
    <t>6.02-13.84</t>
  </si>
  <si>
    <t>5.97-14.29</t>
  </si>
  <si>
    <t>5.27-13.69</t>
  </si>
  <si>
    <t>5.61-13.95</t>
  </si>
  <si>
    <t>5.27-13.21</t>
  </si>
  <si>
    <t>5.50-13.52</t>
  </si>
  <si>
    <t>5.35-13.41</t>
  </si>
  <si>
    <t>5.55-13.83</t>
  </si>
  <si>
    <t>4.93-12.97</t>
  </si>
  <si>
    <t>4.14-14.70</t>
  </si>
  <si>
    <t>5.47-13.31</t>
  </si>
  <si>
    <t>5.60-13.02</t>
  </si>
  <si>
    <t>4.66-14.30</t>
  </si>
  <si>
    <t>5.22-13.68</t>
  </si>
  <si>
    <t>4.94-13.88</t>
  </si>
  <si>
    <t>5.46-13.04</t>
  </si>
  <si>
    <t>5.50-12.70</t>
  </si>
  <si>
    <t>5.84-12.64</t>
  </si>
  <si>
    <t>5.12-13.44</t>
  </si>
  <si>
    <t>4.82-13.82</t>
  </si>
  <si>
    <t>3.22-15.38</t>
  </si>
  <si>
    <t>Matt McCrane</t>
  </si>
  <si>
    <t>6.52-13.90</t>
  </si>
  <si>
    <t>5.27-12.35</t>
  </si>
  <si>
    <t>4.43-14.35</t>
  </si>
  <si>
    <t>4.51-13.79</t>
  </si>
  <si>
    <t>4.79-14.07</t>
  </si>
  <si>
    <t>4.72-13.54</t>
  </si>
  <si>
    <t>4.63-14.27</t>
  </si>
  <si>
    <t>5.09-14.11</t>
  </si>
  <si>
    <t>5.57-12.95</t>
  </si>
  <si>
    <t>5.30-13.20</t>
  </si>
  <si>
    <t>4.86-13.58</t>
  </si>
  <si>
    <t>5.02-12.76</t>
  </si>
  <si>
    <t>5.15-13.21</t>
  </si>
  <si>
    <t>5.41-12.29</t>
  </si>
  <si>
    <t>4.54-13.22</t>
  </si>
  <si>
    <t>5.25-13.07</t>
  </si>
  <si>
    <t>3.91-13.91</t>
  </si>
  <si>
    <t>4.97-12.93</t>
  </si>
  <si>
    <t>4.68-13.10</t>
  </si>
  <si>
    <t>4.66-12.26</t>
  </si>
  <si>
    <t>4.34-13.64</t>
  </si>
  <si>
    <t>5.03-12.95</t>
  </si>
  <si>
    <t>5.01-13.49</t>
  </si>
  <si>
    <t>4.35-13.29</t>
  </si>
  <si>
    <t>4.70-13.54</t>
  </si>
  <si>
    <t>4.93-12.13</t>
  </si>
  <si>
    <t>4.82-13.54</t>
  </si>
  <si>
    <t>5.08-13.24</t>
  </si>
  <si>
    <t>4.82-12.98</t>
  </si>
  <si>
    <t>4.68-13.32</t>
  </si>
  <si>
    <t>4.46-13.44</t>
  </si>
  <si>
    <t>4.98-13.00</t>
  </si>
  <si>
    <t>4.76-12.76</t>
  </si>
  <si>
    <t>4.91-12.79</t>
  </si>
  <si>
    <t>4.94-13.18</t>
  </si>
  <si>
    <t>4.51-12.75</t>
  </si>
  <si>
    <t>4.64-13.44</t>
  </si>
  <si>
    <t>4.75-13.19</t>
  </si>
  <si>
    <t>5.31-12.75</t>
  </si>
  <si>
    <t>6.17-13.15</t>
  </si>
  <si>
    <t>4.65-12.79</t>
  </si>
  <si>
    <t>3.84-13.48</t>
  </si>
  <si>
    <t>4.32-13.96</t>
  </si>
  <si>
    <t>4.79-13.97</t>
  </si>
  <si>
    <t>4.82-13.34</t>
  </si>
  <si>
    <t>4.52-12.14</t>
  </si>
  <si>
    <t>5.26-12.40</t>
  </si>
  <si>
    <t>4.33-13.89</t>
  </si>
  <si>
    <t>4.78-12.48</t>
  </si>
  <si>
    <t>4.01-12.93</t>
  </si>
  <si>
    <t>4.49-13.05</t>
  </si>
  <si>
    <t>5.28-12.40</t>
  </si>
  <si>
    <t>4.33-13.85</t>
  </si>
  <si>
    <t>4.32-13.26</t>
  </si>
  <si>
    <t>4.09-13.17</t>
  </si>
  <si>
    <t>5.55-12.83</t>
  </si>
  <si>
    <t>4.52-12.24</t>
  </si>
  <si>
    <t>5.54-12.56</t>
  </si>
  <si>
    <t>5.29-13.17</t>
  </si>
  <si>
    <t>4.31-13.39</t>
  </si>
  <si>
    <t>4.83-12.67</t>
  </si>
  <si>
    <t>3.77-13.09</t>
  </si>
  <si>
    <t>4.51-12.29</t>
  </si>
  <si>
    <t>4.67-13.49</t>
  </si>
  <si>
    <t>3.93-12.15</t>
  </si>
  <si>
    <t>5.63-12.55</t>
  </si>
  <si>
    <t>4.14-13.44</t>
  </si>
  <si>
    <t>3.74-12.76</t>
  </si>
  <si>
    <t>5.15-11.95</t>
  </si>
  <si>
    <t>4.59-12.99</t>
  </si>
  <si>
    <t>4.18-13.80</t>
  </si>
  <si>
    <t>3.91-12.59</t>
  </si>
  <si>
    <t>4.25-13.45</t>
  </si>
  <si>
    <t>4.27-12.05</t>
  </si>
  <si>
    <t>4.48-12.58</t>
  </si>
  <si>
    <t>4.74-12.88</t>
  </si>
  <si>
    <t>5.41-12.23</t>
  </si>
  <si>
    <t>4.56-12.48</t>
  </si>
  <si>
    <t>4.43-12.87</t>
  </si>
  <si>
    <t>3.39-12.63</t>
  </si>
  <si>
    <t>3.69-12.63</t>
  </si>
  <si>
    <t>4.57-12.45</t>
  </si>
  <si>
    <t>5.02-12.06</t>
  </si>
  <si>
    <t>4.01-12.49</t>
  </si>
  <si>
    <t>4.54-12.76</t>
  </si>
  <si>
    <t>4.18-12.40</t>
  </si>
  <si>
    <t>4.65-11.75</t>
  </si>
  <si>
    <t>3.87-12.81</t>
  </si>
  <si>
    <t>3.70-14.12</t>
  </si>
  <si>
    <t>4.76-11.54</t>
  </si>
  <si>
    <t>4.87-12.21</t>
  </si>
  <si>
    <t>4.01-13.03</t>
  </si>
  <si>
    <t>3.37-13.07</t>
  </si>
  <si>
    <t>4.29-12.13</t>
  </si>
  <si>
    <t>4.34-12.78</t>
  </si>
  <si>
    <t>3.82-11.74</t>
  </si>
  <si>
    <t>4.53-13.21</t>
  </si>
  <si>
    <t>4.52-11.80</t>
  </si>
  <si>
    <t>3.93-13.07</t>
  </si>
  <si>
    <t>4.23-13.13</t>
  </si>
  <si>
    <t>4.88-11.56</t>
  </si>
  <si>
    <t>5.02-12.26</t>
  </si>
  <si>
    <t>4.09-13.13</t>
  </si>
  <si>
    <t>4.26-12.18</t>
  </si>
  <si>
    <t>4.57-12.71</t>
  </si>
  <si>
    <t>3.79-12.23</t>
  </si>
  <si>
    <t>4.84-11.66</t>
  </si>
  <si>
    <t>3.50-12.70</t>
  </si>
  <si>
    <t>3.25-13.05</t>
  </si>
  <si>
    <t>4.19-12.27</t>
  </si>
  <si>
    <t>3.88-13.62</t>
  </si>
  <si>
    <t>3.95-12.27</t>
  </si>
  <si>
    <t>3.04-12.90</t>
  </si>
  <si>
    <t>4.69-11.31</t>
  </si>
  <si>
    <t>2.93-13.25</t>
  </si>
  <si>
    <t>4.55-12.21</t>
  </si>
  <si>
    <t>4.35-12.35</t>
  </si>
  <si>
    <t>3.76-12.50</t>
  </si>
  <si>
    <t>4.14-13.26</t>
  </si>
  <si>
    <t>5.32-11.98</t>
  </si>
  <si>
    <t>4.22-12.60</t>
  </si>
  <si>
    <t>3.68-12.38</t>
  </si>
  <si>
    <t>4.10-12.56</t>
  </si>
  <si>
    <t>3.80-11.72</t>
  </si>
  <si>
    <t>4.42-11.82</t>
  </si>
  <si>
    <t>4.67-11.67</t>
  </si>
  <si>
    <t>4.34-13.16</t>
  </si>
  <si>
    <t>4.26-12.44</t>
  </si>
  <si>
    <t>4.48-11.88</t>
  </si>
  <si>
    <t>3.71-11.49</t>
  </si>
  <si>
    <t>2.60-12.90</t>
  </si>
  <si>
    <t>3.76-13.22</t>
  </si>
  <si>
    <t>3.95-12.47</t>
  </si>
  <si>
    <t>4.48-12.32</t>
  </si>
  <si>
    <t>4.80-12.60</t>
  </si>
  <si>
    <t>4.27-11.65</t>
  </si>
  <si>
    <t>3.95-11.37</t>
  </si>
  <si>
    <t>4.55-12.03</t>
  </si>
  <si>
    <t>4.15-11.97</t>
  </si>
  <si>
    <t>4.40-11.96</t>
  </si>
  <si>
    <t>4.41-11.91</t>
  </si>
  <si>
    <t>4.09-11.95</t>
  </si>
  <si>
    <t>2.50-12.90</t>
  </si>
  <si>
    <t>4.32-11.68</t>
  </si>
  <si>
    <t>4.75-12.57</t>
  </si>
  <si>
    <t>4.29-12.33</t>
  </si>
  <si>
    <t>4.30-12.06</t>
  </si>
  <si>
    <t>4.29-12.79</t>
  </si>
  <si>
    <t>5.20-11.58</t>
  </si>
  <si>
    <t>3.69-12.95</t>
  </si>
  <si>
    <t>4.39-11.11</t>
  </si>
  <si>
    <t>3.18-12.36</t>
  </si>
  <si>
    <t>3.78-12.20</t>
  </si>
  <si>
    <t>3.39-11.89</t>
  </si>
  <si>
    <t>4.07-11.51</t>
  </si>
  <si>
    <t>3.30-12.40</t>
  </si>
  <si>
    <t>3.86-11.74</t>
  </si>
  <si>
    <t>4.50-11.82</t>
  </si>
  <si>
    <t>3.62-12.60</t>
  </si>
  <si>
    <t>3.26-11.98</t>
  </si>
  <si>
    <t>3.76-12.46</t>
  </si>
  <si>
    <t>3.69-12.45</t>
  </si>
  <si>
    <t>4.25-11.91</t>
  </si>
  <si>
    <t>4.36-11.54</t>
  </si>
  <si>
    <t>3.59-12.79</t>
  </si>
  <si>
    <t>3.65-12.29</t>
  </si>
  <si>
    <t>3.72-12.26</t>
  </si>
  <si>
    <t>4.12-12.24</t>
  </si>
  <si>
    <t>4.01-12.15</t>
  </si>
  <si>
    <t>3.31-12.01</t>
  </si>
  <si>
    <t>3.82-12.04</t>
  </si>
  <si>
    <t>3.84-11.88</t>
  </si>
  <si>
    <t>3.83-12.33</t>
  </si>
  <si>
    <t>4.72-11.56</t>
  </si>
  <si>
    <t>3.96-11.60</t>
  </si>
  <si>
    <t>3.07-12.33</t>
  </si>
  <si>
    <t>3.75-11.97</t>
  </si>
  <si>
    <t>4.21-11.71</t>
  </si>
  <si>
    <t>3.96-11.64</t>
  </si>
  <si>
    <t>4.64-12.12</t>
  </si>
  <si>
    <t>3.66-12.34</t>
  </si>
  <si>
    <t>4.46-11.64</t>
  </si>
  <si>
    <t>3.78-11.64</t>
  </si>
  <si>
    <t>3.90-12.36</t>
  </si>
  <si>
    <t>4.24-12.70</t>
  </si>
  <si>
    <t>3.73-11.59</t>
  </si>
  <si>
    <t>3.37-12.19</t>
  </si>
  <si>
    <t>2.77-12.53</t>
  </si>
  <si>
    <t>3.86-11.52</t>
  </si>
  <si>
    <t>4.00-11.78</t>
  </si>
  <si>
    <t>3.18-12.26</t>
  </si>
  <si>
    <t>3.49-11.71</t>
  </si>
  <si>
    <t>3.85-12.47</t>
  </si>
  <si>
    <t>4.20-11.72</t>
  </si>
  <si>
    <t>4.10-12.44</t>
  </si>
  <si>
    <t>4.72-11.66</t>
  </si>
  <si>
    <t>4.34-11.22</t>
  </si>
  <si>
    <t>4.42-11.46</t>
  </si>
  <si>
    <t>4.23-11.99</t>
  </si>
  <si>
    <t>4.10-11.74</t>
  </si>
  <si>
    <t>3.67-12.19</t>
  </si>
  <si>
    <t>4.04-11.74</t>
  </si>
  <si>
    <t>4.03-11.35</t>
  </si>
  <si>
    <t>4.25-10.87</t>
  </si>
  <si>
    <t>4.29-11.55</t>
  </si>
  <si>
    <t>4.39-12.27</t>
  </si>
  <si>
    <t>3.54-12.20</t>
  </si>
  <si>
    <t>3.89-12.11</t>
  </si>
  <si>
    <t>3.54-12.50</t>
  </si>
  <si>
    <t>3.57-13.05</t>
  </si>
  <si>
    <t>4.09-11.49</t>
  </si>
  <si>
    <t>3.74-11.90</t>
  </si>
  <si>
    <t>3.39-12.91</t>
  </si>
  <si>
    <t>3.84-12.08</t>
  </si>
  <si>
    <t>3.26-11.46</t>
  </si>
  <si>
    <t>4.22-11.84</t>
  </si>
  <si>
    <t>4.03-11.01</t>
  </si>
  <si>
    <t>4.79-12.99</t>
  </si>
  <si>
    <t>2.36-12.20</t>
  </si>
  <si>
    <t>3.91-12.13</t>
  </si>
  <si>
    <t>3.93-11.31</t>
  </si>
  <si>
    <t>3.65-10.69</t>
  </si>
  <si>
    <t>3.39-12.29</t>
  </si>
  <si>
    <t>4.32-12.46</t>
  </si>
  <si>
    <t>3.79-12.83</t>
  </si>
  <si>
    <t>3.04-11.96</t>
  </si>
  <si>
    <t>3.87-11.79</t>
  </si>
  <si>
    <t>4.05-10.89</t>
  </si>
  <si>
    <t>4.29-11.25</t>
  </si>
  <si>
    <t>3.83-11.25</t>
  </si>
  <si>
    <t>4.04-10.60</t>
  </si>
  <si>
    <t>4.44-11.80</t>
  </si>
  <si>
    <t>3.42-11.68</t>
  </si>
  <si>
    <t>4.10-11.48</t>
  </si>
  <si>
    <t>3.12-11.72</t>
  </si>
  <si>
    <t>4.34-11.54</t>
  </si>
  <si>
    <t>4.02-11.42</t>
  </si>
  <si>
    <t>2.86-12.44</t>
  </si>
  <si>
    <t>4.00-11.72</t>
  </si>
  <si>
    <t>4.39-11.45</t>
  </si>
  <si>
    <t>3.97-11.83</t>
  </si>
  <si>
    <t>2.57-12.11</t>
  </si>
  <si>
    <t>3.87-11.19</t>
  </si>
  <si>
    <t>2.86-12.20</t>
  </si>
  <si>
    <t>2.42-12.60</t>
  </si>
  <si>
    <t>4.57-10.93</t>
  </si>
  <si>
    <t>3.70-12.40</t>
  </si>
  <si>
    <t>3.20-11.84</t>
  </si>
  <si>
    <t>3.71-12.29</t>
  </si>
  <si>
    <t>3.37-11.57</t>
  </si>
  <si>
    <t>3.63-11.81</t>
  </si>
  <si>
    <t>4.19-11.01</t>
  </si>
  <si>
    <t>3.76-11.66</t>
  </si>
  <si>
    <t>3.02-11.50</t>
  </si>
  <si>
    <t>3.21-12.07</t>
  </si>
  <si>
    <t>4.12-11.40</t>
  </si>
  <si>
    <t>2.98-11.94</t>
  </si>
  <si>
    <t>4.02-10.28</t>
  </si>
  <si>
    <t>4.03-11.97</t>
  </si>
  <si>
    <t>3.62-10.86</t>
  </si>
  <si>
    <t>3.41-11.09</t>
  </si>
  <si>
    <t>3.54-11.26</t>
  </si>
  <si>
    <t>3.34-11.82</t>
  </si>
  <si>
    <t>3.63-12.25</t>
  </si>
  <si>
    <t>2.74-11.98</t>
  </si>
  <si>
    <t>3.99-11.19</t>
  </si>
  <si>
    <t>3.24-11.80</t>
  </si>
  <si>
    <t>4.04-10.68</t>
  </si>
  <si>
    <t>3.33-11.05</t>
  </si>
  <si>
    <t>2.47-12.47</t>
  </si>
  <si>
    <t>3.27-11.47</t>
  </si>
  <si>
    <t>3.35-10.79</t>
  </si>
  <si>
    <t>2.87-11.31</t>
  </si>
  <si>
    <t>3.30-11.20</t>
  </si>
  <si>
    <t>4.05-10.63</t>
  </si>
  <si>
    <t>3.66-11.14</t>
  </si>
  <si>
    <t>3.84-11.06</t>
  </si>
  <si>
    <t>4.05-10.97</t>
  </si>
  <si>
    <t>3.77-11.65</t>
  </si>
  <si>
    <t>3.95-10.87</t>
  </si>
  <si>
    <t>3.76-10.76</t>
  </si>
  <si>
    <t>3.73-10.95</t>
  </si>
  <si>
    <t>4.13-10.89</t>
  </si>
  <si>
    <t>3.60-11.32</t>
  </si>
  <si>
    <t>2.71-11.53</t>
  </si>
  <si>
    <t>2.68-11.32</t>
  </si>
  <si>
    <t>3.11-11.41</t>
  </si>
  <si>
    <t>4.31-10.33</t>
  </si>
  <si>
    <t>3.75-11.59</t>
  </si>
  <si>
    <t>3.41-11.03</t>
  </si>
  <si>
    <t>2.83-11.47</t>
  </si>
  <si>
    <t>2.75-11.61</t>
  </si>
  <si>
    <t>2.46-11.92</t>
  </si>
  <si>
    <t>2.43-12.35</t>
  </si>
  <si>
    <t>3.97-10.31</t>
  </si>
  <si>
    <t>3.16-10.66</t>
  </si>
  <si>
    <t>2.81-11.29</t>
  </si>
  <si>
    <t>2.56-11.46</t>
  </si>
  <si>
    <t>2.72-11.42</t>
  </si>
  <si>
    <t>3.07-10.37</t>
  </si>
  <si>
    <t>3.51-10.73</t>
  </si>
  <si>
    <t>2.90-11.14</t>
  </si>
  <si>
    <t>3.84-11.14</t>
  </si>
  <si>
    <t>3.46-11.16</t>
  </si>
  <si>
    <t>3.59-10.53</t>
  </si>
  <si>
    <t>3.83-10.37</t>
  </si>
  <si>
    <t>3.12-10.38</t>
  </si>
  <si>
    <t>3.14-11.04</t>
  </si>
  <si>
    <t>3.76-10.32</t>
  </si>
  <si>
    <t>2.62-11.06</t>
  </si>
  <si>
    <t>2.62-11.18</t>
  </si>
  <si>
    <t>3.26-10.80</t>
  </si>
  <si>
    <t>2.78-10.84</t>
  </si>
  <si>
    <t>3.40-10.76</t>
  </si>
  <si>
    <t>2.80-10.26</t>
  </si>
  <si>
    <t>2.54-11.74</t>
  </si>
  <si>
    <t>2.86-10.50</t>
  </si>
  <si>
    <t>2.96-10.28</t>
  </si>
  <si>
    <t>3.33-10.45</t>
  </si>
  <si>
    <t>3.43-10.27</t>
  </si>
  <si>
    <t>3.09-10.61</t>
  </si>
  <si>
    <t>2.73-11.51</t>
  </si>
  <si>
    <t>3.78-10.20</t>
  </si>
  <si>
    <t>2.62-11.58</t>
  </si>
  <si>
    <t>2.46-11.00</t>
  </si>
  <si>
    <t>2.37-10.77</t>
  </si>
  <si>
    <t>2.73-11.17</t>
  </si>
  <si>
    <t>2.69-10.39</t>
  </si>
  <si>
    <t>2.80-11.38</t>
  </si>
  <si>
    <t>2.73-11.37</t>
  </si>
  <si>
    <t>3.02-10.76</t>
  </si>
  <si>
    <t>2.75-11.57</t>
  </si>
  <si>
    <t>3.22-10.18</t>
  </si>
  <si>
    <t>2.21-10.75</t>
  </si>
  <si>
    <t>2.58-10.30</t>
  </si>
  <si>
    <t>2.71-10.19</t>
  </si>
  <si>
    <t>2.49-10.19</t>
  </si>
  <si>
    <t>2.71-11.07</t>
  </si>
  <si>
    <t>2.37-10.79</t>
  </si>
  <si>
    <t>2.79-10.81</t>
  </si>
  <si>
    <t>2.08-10.34</t>
  </si>
  <si>
    <t>2.63-10.55</t>
  </si>
  <si>
    <t>2.86-10.18</t>
  </si>
  <si>
    <t>2.64-10.76</t>
  </si>
  <si>
    <t>2.08-10.16</t>
  </si>
  <si>
    <t>2.12-9.72</t>
  </si>
  <si>
    <t>3.20-10.50</t>
  </si>
  <si>
    <t>2.88-9.44</t>
  </si>
  <si>
    <t>2.59-9.61</t>
  </si>
  <si>
    <t>2.35-9.63</t>
  </si>
  <si>
    <t>3.02-10.56</t>
  </si>
  <si>
    <t>2.24-10.50</t>
  </si>
  <si>
    <t>5.65-21.69</t>
  </si>
  <si>
    <t>4.09-20.05</t>
  </si>
  <si>
    <t>5.74-18.50</t>
  </si>
  <si>
    <t>4.48-17.26</t>
  </si>
  <si>
    <t>2.89-16.31</t>
  </si>
  <si>
    <t>3.76-17.64</t>
  </si>
  <si>
    <t>5.00-15.62</t>
  </si>
  <si>
    <t>3.86-15.78</t>
  </si>
  <si>
    <t>3.96-17.12</t>
  </si>
  <si>
    <t>3.62-14.68</t>
  </si>
  <si>
    <t>4.24-15.00</t>
  </si>
  <si>
    <t>3.52-15.72</t>
  </si>
  <si>
    <t>4.31-17.09</t>
  </si>
  <si>
    <t>3.59-16.03</t>
  </si>
  <si>
    <t>4.41-15.33</t>
  </si>
  <si>
    <t>3.27-14.65</t>
  </si>
  <si>
    <t>3.54-16.46</t>
  </si>
  <si>
    <t>3.74-15.38</t>
  </si>
  <si>
    <t>2.78-16.12</t>
  </si>
  <si>
    <t>4.10-15.74</t>
  </si>
  <si>
    <t>3.83-15.89</t>
  </si>
  <si>
    <t>4.16-15.64</t>
  </si>
  <si>
    <t>3.25-15.27</t>
  </si>
  <si>
    <t>1.91-18.21</t>
  </si>
  <si>
    <t>3.76-14.96</t>
  </si>
  <si>
    <t>2.83-15.31</t>
  </si>
  <si>
    <t>3.21-14.39</t>
  </si>
  <si>
    <t>3.94-13.66</t>
  </si>
  <si>
    <t>3.30-15.42</t>
  </si>
  <si>
    <t>4.26-14.98</t>
  </si>
  <si>
    <t>2.46-15.72</t>
  </si>
  <si>
    <t>4.11-15.37</t>
  </si>
  <si>
    <t>2.59-15.89</t>
  </si>
  <si>
    <t>2.33-14.75</t>
  </si>
  <si>
    <t>3.00-14.40</t>
  </si>
  <si>
    <t>2.76-14.86</t>
  </si>
  <si>
    <t>2.69-14.03</t>
  </si>
  <si>
    <t>3.29-14.23</t>
  </si>
  <si>
    <t>2.60-15.16</t>
  </si>
  <si>
    <t>3.02-14.12</t>
  </si>
  <si>
    <t>4.44-14.84</t>
  </si>
  <si>
    <t>3.31-13.19</t>
  </si>
  <si>
    <t>2.34-14.66</t>
  </si>
  <si>
    <t>2.62-13.88</t>
  </si>
  <si>
    <t>2.31-14.99</t>
  </si>
  <si>
    <t>1.95-14.21</t>
  </si>
  <si>
    <t>3.67-13.03</t>
  </si>
  <si>
    <t>0.84-15.58</t>
  </si>
  <si>
    <t>1.77-14.93</t>
  </si>
  <si>
    <t>3.15-14.11</t>
  </si>
  <si>
    <t>2.44-14.62</t>
  </si>
  <si>
    <t>2.57-15.69</t>
  </si>
  <si>
    <t>1.78-15.84</t>
  </si>
  <si>
    <t>3.04-14.54</t>
  </si>
  <si>
    <t>4.15-13.65</t>
  </si>
  <si>
    <t>2.86-14.34</t>
  </si>
  <si>
    <t>2.91-14.45</t>
  </si>
  <si>
    <t>2.21-14.53</t>
  </si>
  <si>
    <t>2.48-13.68</t>
  </si>
  <si>
    <t>2.66-13.86</t>
  </si>
  <si>
    <t>3.64-14.74</t>
  </si>
  <si>
    <t>1.58-14.06</t>
  </si>
  <si>
    <t>2.72-13.60</t>
  </si>
  <si>
    <t>3.03-13.87</t>
  </si>
  <si>
    <t>2.74-14.28</t>
  </si>
  <si>
    <t>2.29-14.29</t>
  </si>
  <si>
    <t>2.43-13.63</t>
  </si>
  <si>
    <t>1.89-13.91</t>
  </si>
  <si>
    <t>2.66-13.90</t>
  </si>
  <si>
    <t>2.51-15.37</t>
  </si>
  <si>
    <t>2.05-14.33</t>
  </si>
  <si>
    <t>3.21-13.33</t>
  </si>
  <si>
    <t>2.91-14.47</t>
  </si>
  <si>
    <t>2.11-13.75</t>
  </si>
  <si>
    <t>2.18-14.08</t>
  </si>
  <si>
    <t>2.67-13.69</t>
  </si>
  <si>
    <t>2.24-14.74</t>
  </si>
  <si>
    <t>2.51-13.51</t>
  </si>
  <si>
    <t>2.87-13.59</t>
  </si>
  <si>
    <t>1.31-13.51</t>
  </si>
  <si>
    <t>2.35-13.53</t>
  </si>
  <si>
    <t>1.88-13.90</t>
  </si>
  <si>
    <t>1.35-14.83</t>
  </si>
  <si>
    <t>3.12-13.34</t>
  </si>
  <si>
    <t>1.07-15.25</t>
  </si>
  <si>
    <t>2.31-13.99</t>
  </si>
  <si>
    <t>3.45-14.67</t>
  </si>
  <si>
    <t>1.02-15.54</t>
  </si>
  <si>
    <t>1.53-13.61</t>
  </si>
  <si>
    <t>2.88-13.24</t>
  </si>
  <si>
    <t>3.05-13.79</t>
  </si>
  <si>
    <t>2.39-13.27</t>
  </si>
  <si>
    <t>2.37-12.65</t>
  </si>
  <si>
    <t>1.81-14.37</t>
  </si>
  <si>
    <t>1.63-14.11</t>
  </si>
  <si>
    <t>3.20-12.10</t>
  </si>
  <si>
    <t>1.81-13.29</t>
  </si>
  <si>
    <t>2.33-12.83</t>
  </si>
  <si>
    <t>2.27-13.49</t>
  </si>
  <si>
    <t>3.10-13.62</t>
  </si>
  <si>
    <t>2.08-13.18</t>
  </si>
  <si>
    <t>1.52-13.42</t>
  </si>
  <si>
    <t>1.80-13.94</t>
  </si>
  <si>
    <t>3.02-12.08</t>
  </si>
  <si>
    <t>1.89-13.11</t>
  </si>
  <si>
    <t>2.93-13.67</t>
  </si>
  <si>
    <t>3.01-14.31</t>
  </si>
  <si>
    <t>2.02-13.06</t>
  </si>
  <si>
    <t>2.57-12.01</t>
  </si>
  <si>
    <t>2.00-13.26</t>
  </si>
  <si>
    <t>1.62-12.98</t>
  </si>
  <si>
    <t>2.42-13.58</t>
  </si>
  <si>
    <t>1.75-12.81</t>
  </si>
  <si>
    <t>2.36-13.42</t>
  </si>
  <si>
    <t>2.68-13.08</t>
  </si>
  <si>
    <t>1.62-12.60</t>
  </si>
  <si>
    <t>2.91-12.95</t>
  </si>
  <si>
    <t>1.61-13.07</t>
  </si>
  <si>
    <t>1.88-13.20</t>
  </si>
  <si>
    <t>2.78-12.76</t>
  </si>
  <si>
    <t>1.83-12.29</t>
  </si>
  <si>
    <t>1.82-14.20</t>
  </si>
  <si>
    <t>1.15-13.61</t>
  </si>
  <si>
    <t>1.34-13.44</t>
  </si>
  <si>
    <t>0.99-12.55</t>
  </si>
  <si>
    <t>1.82-12.78</t>
  </si>
  <si>
    <t>1.85-14.33</t>
  </si>
  <si>
    <t>1.38-13.04</t>
  </si>
  <si>
    <t>2.20-13.14</t>
  </si>
  <si>
    <t>1.55-13.07</t>
  </si>
  <si>
    <t>1.48-12.94</t>
  </si>
  <si>
    <t>1.08-12.90</t>
  </si>
  <si>
    <t>1.33-12.69</t>
  </si>
  <si>
    <t>0.51-13.25</t>
  </si>
  <si>
    <t>1.08-13.20</t>
  </si>
  <si>
    <t>1.82-11.66</t>
  </si>
  <si>
    <t>2.08-11.86</t>
  </si>
  <si>
    <t>2.04-12.16</t>
  </si>
  <si>
    <t>2.10-12.70</t>
  </si>
  <si>
    <t>1.78-13.40</t>
  </si>
  <si>
    <t>2.77-11.83</t>
  </si>
  <si>
    <t>1.34-12.62</t>
  </si>
  <si>
    <t>1.97-12.55</t>
  </si>
  <si>
    <t>1.41-13.11</t>
  </si>
  <si>
    <t>2.02-11.80</t>
  </si>
  <si>
    <t>1.26-13.76</t>
  </si>
  <si>
    <t>0.94-13.06</t>
  </si>
  <si>
    <t>0.94-13.30</t>
  </si>
  <si>
    <t>1.38-13.92</t>
  </si>
  <si>
    <t>0.23-14.23</t>
  </si>
  <si>
    <t>0.33-13.79</t>
  </si>
  <si>
    <t>1.50-11.60</t>
  </si>
  <si>
    <t>1.31-12.19</t>
  </si>
  <si>
    <t>1.88-11.56</t>
  </si>
  <si>
    <t>1.27-12.05</t>
  </si>
  <si>
    <t>2.52-11.72</t>
  </si>
  <si>
    <t>1.94-10.34</t>
  </si>
  <si>
    <t>0.17-12.51</t>
  </si>
  <si>
    <t>0.90-13.50</t>
  </si>
  <si>
    <t>1.45-11.97</t>
  </si>
  <si>
    <t>1.71-12.23</t>
  </si>
  <si>
    <t>0.25-12.97</t>
  </si>
  <si>
    <t>0.86-12.42</t>
  </si>
  <si>
    <t>0.58-12.28</t>
  </si>
  <si>
    <t>1.78-12.06</t>
  </si>
  <si>
    <t>0.99-11.73</t>
  </si>
  <si>
    <t>1.27-12.29</t>
  </si>
  <si>
    <t>2.03-11.93</t>
  </si>
  <si>
    <t>0.27-12.43</t>
  </si>
  <si>
    <t>0.10-12.32</t>
  </si>
  <si>
    <t>1.99-11.55</t>
  </si>
  <si>
    <t>1.06-11.14</t>
  </si>
  <si>
    <t>0.62-11.40</t>
  </si>
  <si>
    <t>1.24-11.90</t>
  </si>
  <si>
    <t>1.27-12.93</t>
  </si>
  <si>
    <t>0.23-12.09</t>
  </si>
  <si>
    <t>0.74-11.64</t>
  </si>
  <si>
    <t>0.00-12.46</t>
  </si>
  <si>
    <t>1.55-11.89</t>
  </si>
  <si>
    <t>0.94-12.36</t>
  </si>
  <si>
    <t>0.34-11.60</t>
  </si>
  <si>
    <t>1.19-11.63</t>
  </si>
  <si>
    <t>0.73-10.95</t>
  </si>
  <si>
    <t>0.56-12.32</t>
  </si>
  <si>
    <t>0.75-12.53</t>
  </si>
  <si>
    <t>0.68-10.96</t>
  </si>
  <si>
    <t>0.83-11.23</t>
  </si>
  <si>
    <t>0.78-11.42</t>
  </si>
  <si>
    <t>1.85-10.93</t>
  </si>
  <si>
    <t>0.98-11.82</t>
  </si>
  <si>
    <t>1.48-9.90</t>
  </si>
  <si>
    <t>0.45-10.99</t>
  </si>
  <si>
    <t>0.11-12.29</t>
  </si>
  <si>
    <t>0.92-11.18</t>
  </si>
  <si>
    <t>0.74-11.14</t>
  </si>
  <si>
    <t>0.48-10.60</t>
  </si>
  <si>
    <t>0.31-10.67</t>
  </si>
  <si>
    <t>0.13-11.01</t>
  </si>
  <si>
    <t>0.18-10.70</t>
  </si>
  <si>
    <t>0.38-10.74</t>
  </si>
  <si>
    <t>0.98-10.14</t>
  </si>
  <si>
    <t>0.82-10.22</t>
  </si>
  <si>
    <t>0.34-10.56</t>
  </si>
  <si>
    <t>0.55-10.61</t>
  </si>
  <si>
    <t>0.87-10.05</t>
  </si>
  <si>
    <t>0.02-11.24</t>
  </si>
  <si>
    <t>0.17-11.43</t>
  </si>
  <si>
    <t>0.35-9.95</t>
  </si>
  <si>
    <t>0.10-10.00</t>
  </si>
  <si>
    <t>1.38-10.14</t>
  </si>
  <si>
    <t>0.52-9.62</t>
  </si>
  <si>
    <t>0.29-11.37</t>
  </si>
  <si>
    <t>0.84-10.94</t>
  </si>
  <si>
    <t>0.95-10.33</t>
  </si>
  <si>
    <t>0.66-10.06</t>
  </si>
  <si>
    <t>0.31-10.15</t>
  </si>
  <si>
    <t>0.30-10.94</t>
  </si>
  <si>
    <t>0.03-11.17</t>
  </si>
  <si>
    <t>0.90-11.08</t>
  </si>
  <si>
    <t>0.30-9.58</t>
  </si>
  <si>
    <t>0.15-8.91</t>
  </si>
  <si>
    <t>0.52-10.56</t>
  </si>
  <si>
    <t>0.32-9.38</t>
  </si>
  <si>
    <t>0.63-10.77</t>
  </si>
  <si>
    <t>0.10-10.52</t>
  </si>
  <si>
    <t>0.45-9.67</t>
  </si>
  <si>
    <t>0.68-9.66</t>
  </si>
  <si>
    <t>0.58-9.38</t>
  </si>
  <si>
    <t>0.58-10.08</t>
  </si>
  <si>
    <t>0.05-9.73</t>
  </si>
  <si>
    <t>0.84-7.58</t>
  </si>
  <si>
    <t>0.83-8.59</t>
  </si>
  <si>
    <t>0.23-7.99</t>
  </si>
  <si>
    <t>0.11-8.77</t>
  </si>
  <si>
    <t>18.30-34.22</t>
  </si>
  <si>
    <t>17.52-34.52</t>
  </si>
  <si>
    <t>16.62-34.56</t>
  </si>
  <si>
    <t>14.96-36.02</t>
  </si>
  <si>
    <t>16.74-32.34</t>
  </si>
  <si>
    <t>16.56-32.48</t>
  </si>
  <si>
    <t>15.01-33.83</t>
  </si>
  <si>
    <t>16.67-31.45</t>
  </si>
  <si>
    <t>15.05-32.81</t>
  </si>
  <si>
    <t>15.38-32.44</t>
  </si>
  <si>
    <t>16.29-31.25</t>
  </si>
  <si>
    <t>14.77-32.71</t>
  </si>
  <si>
    <t>14.69-32.49</t>
  </si>
  <si>
    <t>15.55-31.55</t>
  </si>
  <si>
    <t>16.71-29.99</t>
  </si>
  <si>
    <t>15.24-31.38</t>
  </si>
  <si>
    <t>16.02-30.60</t>
  </si>
  <si>
    <t>15.00-31.50</t>
  </si>
  <si>
    <t>14.72-31.70</t>
  </si>
  <si>
    <t>16.37-29.99</t>
  </si>
  <si>
    <t>16.60-29.60</t>
  </si>
  <si>
    <t>13.91-32.19</t>
  </si>
  <si>
    <t>15.00-31.00</t>
  </si>
  <si>
    <t>14.13-31.69</t>
  </si>
  <si>
    <t>15.18-30.60</t>
  </si>
  <si>
    <t>14.83-30.91</t>
  </si>
  <si>
    <t>14.45-31.19</t>
  </si>
  <si>
    <t>13.60-31.80</t>
  </si>
  <si>
    <t>15.27-30.05</t>
  </si>
  <si>
    <t>15.52-29.68</t>
  </si>
  <si>
    <t>14.73-30.45</t>
  </si>
  <si>
    <t>15.23-29.75</t>
  </si>
  <si>
    <t>14.79-29.73</t>
  </si>
  <si>
    <t>13.48-31.02</t>
  </si>
  <si>
    <t>13.93-30.41</t>
  </si>
  <si>
    <t>11.63-32.61</t>
  </si>
  <si>
    <t>15.35-28.87</t>
  </si>
  <si>
    <t>14.52-29.36</t>
  </si>
  <si>
    <t>15.80-28.04</t>
  </si>
  <si>
    <t>14.56-29.08</t>
  </si>
  <si>
    <t>14.58-29.02</t>
  </si>
  <si>
    <t>14.06-29.52</t>
  </si>
  <si>
    <t>14.76-28.78</t>
  </si>
  <si>
    <t>14.41-29.07</t>
  </si>
  <si>
    <t>13.19-30.19</t>
  </si>
  <si>
    <t>14.27-29.09</t>
  </si>
  <si>
    <t>13.19-29.99</t>
  </si>
  <si>
    <t>14.92-28.26</t>
  </si>
  <si>
    <t>14.18-28.94</t>
  </si>
  <si>
    <t>12.95-30.15</t>
  </si>
  <si>
    <t>10.65-32.45</t>
  </si>
  <si>
    <t>14.19-28.91</t>
  </si>
  <si>
    <t>12.47-30.49</t>
  </si>
  <si>
    <t>13.27-29.57</t>
  </si>
  <si>
    <t>12.89-29.91</t>
  </si>
  <si>
    <t>12.24-30.52</t>
  </si>
  <si>
    <t>14.37-28.25</t>
  </si>
  <si>
    <t>14.79-27.77</t>
  </si>
  <si>
    <t>14.30-28.26</t>
  </si>
  <si>
    <t>14.07-28.45</t>
  </si>
  <si>
    <t>13.22-29.30</t>
  </si>
  <si>
    <t>13.33-29.17</t>
  </si>
  <si>
    <t>12.67-29.83</t>
  </si>
  <si>
    <t>13.53-28.95</t>
  </si>
  <si>
    <t>13.70-28.76</t>
  </si>
  <si>
    <t>13.82-28.60</t>
  </si>
  <si>
    <t>13.09-29.27</t>
  </si>
  <si>
    <t>13.71-28.63</t>
  </si>
  <si>
    <t>13.28-29.00</t>
  </si>
  <si>
    <t>14.81-27.41</t>
  </si>
  <si>
    <t>14.10-28.10</t>
  </si>
  <si>
    <t>14.26-27.92</t>
  </si>
  <si>
    <t>14.60-27.48</t>
  </si>
  <si>
    <t>12.80-29.04</t>
  </si>
  <si>
    <t>14.54-27.24</t>
  </si>
  <si>
    <t>12.33-29.39</t>
  </si>
  <si>
    <t>12.87-28.79</t>
  </si>
  <si>
    <t>12.06-29.60</t>
  </si>
  <si>
    <t>14.06-27.58</t>
  </si>
  <si>
    <t>13.21-28.39</t>
  </si>
  <si>
    <t>14.69-26.87</t>
  </si>
  <si>
    <t>12.70-28.80</t>
  </si>
  <si>
    <t>14.20-27.28</t>
  </si>
  <si>
    <t>13.10-28.32</t>
  </si>
  <si>
    <t>10.47-30.95</t>
  </si>
  <si>
    <t>12.16-29.24</t>
  </si>
  <si>
    <t>12.60-28.78</t>
  </si>
  <si>
    <t>14.57-26.81</t>
  </si>
  <si>
    <t>13.26-28.10</t>
  </si>
  <si>
    <t>12.38-28.94</t>
  </si>
  <si>
    <t>13.99-27.31</t>
  </si>
  <si>
    <t>13.44-27.82</t>
  </si>
  <si>
    <t>12.44-28.78</t>
  </si>
  <si>
    <t>12.01-29.19</t>
  </si>
  <si>
    <t>12.59-28.49</t>
  </si>
  <si>
    <t>13.77-27.19</t>
  </si>
  <si>
    <t>13.10-27.70</t>
  </si>
  <si>
    <t>12.03-28.73</t>
  </si>
  <si>
    <t>12.27-28.49</t>
  </si>
  <si>
    <t>10.39-30.37</t>
  </si>
  <si>
    <t>11.68-29.00</t>
  </si>
  <si>
    <t>12.97-27.63</t>
  </si>
  <si>
    <t>13.12-27.46</t>
  </si>
  <si>
    <t>13.28-27.26</t>
  </si>
  <si>
    <t>13.19-27.31</t>
  </si>
  <si>
    <t>11.00-29.44</t>
  </si>
  <si>
    <t>12.48-27.96</t>
  </si>
  <si>
    <t>12.74-27.64</t>
  </si>
  <si>
    <t>12.83-27.53</t>
  </si>
  <si>
    <t>10.06-30.30</t>
  </si>
  <si>
    <t>11.65-28.65</t>
  </si>
  <si>
    <t>11.49-28.77</t>
  </si>
  <si>
    <t>12.46-27.76</t>
  </si>
  <si>
    <t>9.77-30.37</t>
  </si>
  <si>
    <t>9.55-30.53</t>
  </si>
  <si>
    <t>12.35-27.69</t>
  </si>
  <si>
    <t>13.21-26.83</t>
  </si>
  <si>
    <t>10.59-29.45</t>
  </si>
  <si>
    <t>13.40-26.52</t>
  </si>
  <si>
    <t>11.54-28.38</t>
  </si>
  <si>
    <t>12.18-27.72</t>
  </si>
  <si>
    <t>13.04-26.70</t>
  </si>
  <si>
    <t>11.52-28.10</t>
  </si>
  <si>
    <t>13.37-26.25</t>
  </si>
  <si>
    <t>11.71-27.91</t>
  </si>
  <si>
    <t>11.67-27.95</t>
  </si>
  <si>
    <t>11.03-28.57</t>
  </si>
  <si>
    <t>13.32-26.26</t>
  </si>
  <si>
    <t>11.39-28.19</t>
  </si>
  <si>
    <t>11.29-28.27</t>
  </si>
  <si>
    <t>10.25-29.31</t>
  </si>
  <si>
    <t>14.63-24.91</t>
  </si>
  <si>
    <t>11.27-28.13</t>
  </si>
  <si>
    <t>10.10-29.26</t>
  </si>
  <si>
    <t>9.24-30.10</t>
  </si>
  <si>
    <t>12.09-27.23</t>
  </si>
  <si>
    <t>12.25-27.05</t>
  </si>
  <si>
    <t>12.01-27.19</t>
  </si>
  <si>
    <t>10.99-28.17</t>
  </si>
  <si>
    <t>11.14-28.00</t>
  </si>
  <si>
    <t>11.44-27.68</t>
  </si>
  <si>
    <t>11.51-27.61</t>
  </si>
  <si>
    <t>11.04-28.06</t>
  </si>
  <si>
    <t>12.39-26.67</t>
  </si>
  <si>
    <t>12.36-26.66</t>
  </si>
  <si>
    <t>11.67-27.33</t>
  </si>
  <si>
    <t>12.25-26.75</t>
  </si>
  <si>
    <t>11.90-27.08</t>
  </si>
  <si>
    <t>10.67-28.27</t>
  </si>
  <si>
    <t>12.13-26.79</t>
  </si>
  <si>
    <t>11.35-27.53</t>
  </si>
  <si>
    <t>12.03-26.85</t>
  </si>
  <si>
    <t>12.78-26.10</t>
  </si>
  <si>
    <t>12.51-26.33</t>
  </si>
  <si>
    <t>9.05-29.77</t>
  </si>
  <si>
    <t>12.13-26.67</t>
  </si>
  <si>
    <t>14.45-24.33</t>
  </si>
  <si>
    <t>11.15-27.63</t>
  </si>
  <si>
    <t>10.15-28.59</t>
  </si>
  <si>
    <t>12.91-25.79</t>
  </si>
  <si>
    <t>12.27-26.41</t>
  </si>
  <si>
    <t>10.79-27.87</t>
  </si>
  <si>
    <t>11.57-26.97</t>
  </si>
  <si>
    <t>11.19-27.31</t>
  </si>
  <si>
    <t>10.52-27.84</t>
  </si>
  <si>
    <t>11.90-26.44</t>
  </si>
  <si>
    <t>11.93-26.37</t>
  </si>
  <si>
    <t>12.03-26.25</t>
  </si>
  <si>
    <t>8.03-30.15</t>
  </si>
  <si>
    <t>13.27-24.85</t>
  </si>
  <si>
    <t>10.00-28.04</t>
  </si>
  <si>
    <t>10.49-27.49</t>
  </si>
  <si>
    <t>8.62-29.34</t>
  </si>
  <si>
    <t>10.17-27.55</t>
  </si>
  <si>
    <t>12.27-25.45</t>
  </si>
  <si>
    <t>11.53-26.17</t>
  </si>
  <si>
    <t>11.05-26.65</t>
  </si>
  <si>
    <t>11.64-26.00</t>
  </si>
  <si>
    <t>10.72-26.92</t>
  </si>
  <si>
    <t>8.80-28.84</t>
  </si>
  <si>
    <t>11.06-26.54</t>
  </si>
  <si>
    <t>11.65-25.93</t>
  </si>
  <si>
    <t>11.23-26.23</t>
  </si>
  <si>
    <t>11.15-26.27</t>
  </si>
  <si>
    <t>9.82-27.50</t>
  </si>
  <si>
    <t>10.46-26.82</t>
  </si>
  <si>
    <t>10.35-26.91</t>
  </si>
  <si>
    <t>12.05-25.17</t>
  </si>
  <si>
    <t>12.13-25.09</t>
  </si>
  <si>
    <t>11.39-25.75</t>
  </si>
  <si>
    <t>10.48-26.58</t>
  </si>
  <si>
    <t>11.40-25.66</t>
  </si>
  <si>
    <t>11.23-25.83</t>
  </si>
  <si>
    <t>10.96-26.10</t>
  </si>
  <si>
    <t>10.30-26.72</t>
  </si>
  <si>
    <t>9.23-27.79</t>
  </si>
  <si>
    <t>11.18-25.82</t>
  </si>
  <si>
    <t>10.90-26.10</t>
  </si>
  <si>
    <t>9.23-27.67</t>
  </si>
  <si>
    <t>10.75-26.13</t>
  </si>
  <si>
    <t>10.77-26.11</t>
  </si>
  <si>
    <t>9.94-26.92</t>
  </si>
  <si>
    <t>9.58-27.22</t>
  </si>
  <si>
    <t>11.23-25.53</t>
  </si>
  <si>
    <t>9.41-27.35</t>
  </si>
  <si>
    <t>11.08-25.62</t>
  </si>
  <si>
    <t>10.86-25.76</t>
  </si>
  <si>
    <t>10.62-25.98</t>
  </si>
  <si>
    <t>9.04-27.56</t>
  </si>
  <si>
    <t>8.72-27.78</t>
  </si>
  <si>
    <t>10.69-25.75</t>
  </si>
  <si>
    <t>10.10-26.30</t>
  </si>
  <si>
    <t>11.33-24.89</t>
  </si>
  <si>
    <t>10.48-25.68</t>
  </si>
  <si>
    <t>11.65-24.47</t>
  </si>
  <si>
    <t>10.72-25.26</t>
  </si>
  <si>
    <t>10.80-25.14</t>
  </si>
  <si>
    <t>10.33-25.61</t>
  </si>
  <si>
    <t>10.76-25.14</t>
  </si>
  <si>
    <t>10.37-25.51</t>
  </si>
  <si>
    <t>9.98-25.72</t>
  </si>
  <si>
    <t>11.26-24.28</t>
  </si>
  <si>
    <t>11.34-24.12</t>
  </si>
  <si>
    <t>10.23-25.19</t>
  </si>
  <si>
    <t>8.52-26.90</t>
  </si>
  <si>
    <t>10.19-25.23</t>
  </si>
  <si>
    <t>10.24-25.16</t>
  </si>
  <si>
    <t>10.35-25.03</t>
  </si>
  <si>
    <t>12.09-23.27</t>
  </si>
  <si>
    <t>8.51-26.69</t>
  </si>
  <si>
    <t>10.25-24.89</t>
  </si>
  <si>
    <t>10.81-24.29</t>
  </si>
  <si>
    <t>11.16-23.92</t>
  </si>
  <si>
    <t>8.05-27.03</t>
  </si>
  <si>
    <t>9.35-25.67</t>
  </si>
  <si>
    <t>10.87-24.15</t>
  </si>
  <si>
    <t>9.03-25.87</t>
  </si>
  <si>
    <t>10.28-24.62</t>
  </si>
  <si>
    <t>10.78-24.12</t>
  </si>
  <si>
    <t>9.75-25.09</t>
  </si>
  <si>
    <t>11.33-23.49</t>
  </si>
  <si>
    <t>8.79-26.03</t>
  </si>
  <si>
    <t>11.22-23.54</t>
  </si>
  <si>
    <t>9.74-24.96</t>
  </si>
  <si>
    <t>9.94-24.68</t>
  </si>
  <si>
    <t>5.88-28.68</t>
  </si>
  <si>
    <t>9.74-24.78</t>
  </si>
  <si>
    <t>6.26-28.22</t>
  </si>
  <si>
    <t>5.94-28.50</t>
  </si>
  <si>
    <t>9.22-25.22</t>
  </si>
  <si>
    <t>9.64-24.78</t>
  </si>
  <si>
    <t>9.43-24.99</t>
  </si>
  <si>
    <t>10.16-24.24</t>
  </si>
  <si>
    <t>8.90-25.50</t>
  </si>
  <si>
    <t>10.11-24.25</t>
  </si>
  <si>
    <t>10.82-23.52</t>
  </si>
  <si>
    <t>9.62-24.70</t>
  </si>
  <si>
    <t>10.33-23.99</t>
  </si>
  <si>
    <t>9.63-24.69</t>
  </si>
  <si>
    <t>9.93-24.39</t>
  </si>
  <si>
    <t>10.18-24.02</t>
  </si>
  <si>
    <t>10.35-23.79</t>
  </si>
  <si>
    <t>10.48-23.64</t>
  </si>
  <si>
    <t>6.19-27.89</t>
  </si>
  <si>
    <t>7.76-26.22</t>
  </si>
  <si>
    <t>10.56-23.38</t>
  </si>
  <si>
    <t>6.20-27.64</t>
  </si>
  <si>
    <t>9.73-24.11</t>
  </si>
  <si>
    <t>8.97-24.87</t>
  </si>
  <si>
    <t>9.62-24.06</t>
  </si>
  <si>
    <t>9.94-23.74</t>
  </si>
  <si>
    <t>9.81-23.81</t>
  </si>
  <si>
    <t>10.02-23.54</t>
  </si>
  <si>
    <t>10.32-23.20</t>
  </si>
  <si>
    <t>9.24-24.20</t>
  </si>
  <si>
    <t>8.54-24.90</t>
  </si>
  <si>
    <t>9.56-23.82</t>
  </si>
  <si>
    <t>10.10-23.20</t>
  </si>
  <si>
    <t>9.80-23.50</t>
  </si>
  <si>
    <t>10.11-23.17</t>
  </si>
  <si>
    <t>9.59-23.67</t>
  </si>
  <si>
    <t>8.83-24.23</t>
  </si>
  <si>
    <t>9.89-23.17</t>
  </si>
  <si>
    <t>9.11-23.89</t>
  </si>
  <si>
    <t>11.22-21.70</t>
  </si>
  <si>
    <t>10.08-22.84</t>
  </si>
  <si>
    <t>10.32-22.58</t>
  </si>
  <si>
    <t>9.83-23.01</t>
  </si>
  <si>
    <t>9.78-22.94</t>
  </si>
  <si>
    <t>7.99-24.69</t>
  </si>
  <si>
    <t>8.89-23.77</t>
  </si>
  <si>
    <t>9.98-22.62</t>
  </si>
  <si>
    <t>8.47-24.09</t>
  </si>
  <si>
    <t>8.71-23.77</t>
  </si>
  <si>
    <t>8.52-23.92</t>
  </si>
  <si>
    <t>7.02-25.40</t>
  </si>
  <si>
    <t>8.77-23.63</t>
  </si>
  <si>
    <t>9.03-23.35</t>
  </si>
  <si>
    <t>8.94-23.44</t>
  </si>
  <si>
    <t>8.36-23.92</t>
  </si>
  <si>
    <t>8.49-23.79</t>
  </si>
  <si>
    <t>8.63-23.63</t>
  </si>
  <si>
    <t>9.47-22.63</t>
  </si>
  <si>
    <t>7.49-24.59</t>
  </si>
  <si>
    <t>9.27-22.79</t>
  </si>
  <si>
    <t>7.75-24.29</t>
  </si>
  <si>
    <t>8.40-23.60</t>
  </si>
  <si>
    <t>7.57-24.37</t>
  </si>
  <si>
    <t>9.17-22.75</t>
  </si>
  <si>
    <t>5.13-26.69</t>
  </si>
  <si>
    <t>5.06-26.76</t>
  </si>
  <si>
    <t>9.09-22.69</t>
  </si>
  <si>
    <t>10.15-21.63</t>
  </si>
  <si>
    <t>5.12-26.64</t>
  </si>
  <si>
    <t>9.15-22.61</t>
  </si>
  <si>
    <t>7.83-23.93</t>
  </si>
  <si>
    <t>4.91-26.83</t>
  </si>
  <si>
    <t>4.70-27.02</t>
  </si>
  <si>
    <t>6.36-25.36</t>
  </si>
  <si>
    <t>10.14-21.52</t>
  </si>
  <si>
    <t>4.41-27.21</t>
  </si>
  <si>
    <t>8.75-22.85</t>
  </si>
  <si>
    <t>7.82-23.72</t>
  </si>
  <si>
    <t>10.01-21.51</t>
  </si>
  <si>
    <t>9.12-22.40</t>
  </si>
  <si>
    <t>9.29-22.19</t>
  </si>
  <si>
    <t>7.71-23.73</t>
  </si>
  <si>
    <t>8.80-22.64</t>
  </si>
  <si>
    <t>8.82-22.60</t>
  </si>
  <si>
    <t>8.25-23.07</t>
  </si>
  <si>
    <t>8.98-22.32</t>
  </si>
  <si>
    <t>8.50-22.76</t>
  </si>
  <si>
    <t>8.24-22.98</t>
  </si>
  <si>
    <t>8.78-22.44</t>
  </si>
  <si>
    <t>8.06-23.14</t>
  </si>
  <si>
    <t>9.13-22.07</t>
  </si>
  <si>
    <t>7.81-23.37</t>
  </si>
  <si>
    <t>7.85-23.31</t>
  </si>
  <si>
    <t>6.98-24.16</t>
  </si>
  <si>
    <t>7.28-23.86</t>
  </si>
  <si>
    <t>9.43-21.69</t>
  </si>
  <si>
    <t>8.10-23.02</t>
  </si>
  <si>
    <t>9.56-21.56</t>
  </si>
  <si>
    <t>8.07-23.01</t>
  </si>
  <si>
    <t>8.47-22.61</t>
  </si>
  <si>
    <t>8.73-22.33</t>
  </si>
  <si>
    <t>5.99-25.05</t>
  </si>
  <si>
    <t>9.38-21.64</t>
  </si>
  <si>
    <t>9.84-21.14</t>
  </si>
  <si>
    <t>8.19-22.75</t>
  </si>
  <si>
    <t>6.94-23.96</t>
  </si>
  <si>
    <t>7.69-23.09</t>
  </si>
  <si>
    <t>7.83-22.93</t>
  </si>
  <si>
    <t>8.47-22.23</t>
  </si>
  <si>
    <t>6.42-24.26</t>
  </si>
  <si>
    <t>8.93-21.75</t>
  </si>
  <si>
    <t>7.93-22.69</t>
  </si>
  <si>
    <t>8.33-22.23</t>
  </si>
  <si>
    <t>7.34-23.22</t>
  </si>
  <si>
    <t>8.78-21.76</t>
  </si>
  <si>
    <t>8.53-22.01</t>
  </si>
  <si>
    <t>8.26-22.22</t>
  </si>
  <si>
    <t>8.93-21.55</t>
  </si>
  <si>
    <t>8.20-22.26</t>
  </si>
  <si>
    <t>8.65-21.79</t>
  </si>
  <si>
    <t>8.71-21.67</t>
  </si>
  <si>
    <t>8.34-22.00</t>
  </si>
  <si>
    <t>9.16-21.14</t>
  </si>
  <si>
    <t>8.94-21.32</t>
  </si>
  <si>
    <t>9.39-20.87</t>
  </si>
  <si>
    <t>7.82-22.44</t>
  </si>
  <si>
    <t>3.25-26.97</t>
  </si>
  <si>
    <t>3.80-26.38</t>
  </si>
  <si>
    <t>8.87-21.31</t>
  </si>
  <si>
    <t>6.65-23.49</t>
  </si>
  <si>
    <t>8.91-21.19</t>
  </si>
  <si>
    <t>6.62-23.46</t>
  </si>
  <si>
    <t>7.82-22.22</t>
  </si>
  <si>
    <t>8.20-21.80</t>
  </si>
  <si>
    <t>7.53-22.41</t>
  </si>
  <si>
    <t>3.65-26.27</t>
  </si>
  <si>
    <t>6.68-23.20</t>
  </si>
  <si>
    <t>7.33-22.53</t>
  </si>
  <si>
    <t>7.39-22.43</t>
  </si>
  <si>
    <t>3.31-26.49</t>
  </si>
  <si>
    <t>8.60-21.14</t>
  </si>
  <si>
    <t>8.52-21.20</t>
  </si>
  <si>
    <t>6.44-23.28</t>
  </si>
  <si>
    <t>8.16-21.50</t>
  </si>
  <si>
    <t>7.65-21.97</t>
  </si>
  <si>
    <t>7.61-21.97</t>
  </si>
  <si>
    <t>7.77-21.77</t>
  </si>
  <si>
    <t>6.75-22.79</t>
  </si>
  <si>
    <t>8.39-21.11</t>
  </si>
  <si>
    <t>7.10-22.38</t>
  </si>
  <si>
    <t>5.79-23.63</t>
  </si>
  <si>
    <t>2.98-26.32</t>
  </si>
  <si>
    <t>7.36-21.92</t>
  </si>
  <si>
    <t>7.83-21.43</t>
  </si>
  <si>
    <t>6.48-22.74</t>
  </si>
  <si>
    <t>7.71-21.49</t>
  </si>
  <si>
    <t>5.82-23.38</t>
  </si>
  <si>
    <t>7.96-21.22</t>
  </si>
  <si>
    <t>7.74-21.40</t>
  </si>
  <si>
    <t>6.14-22.98</t>
  </si>
  <si>
    <t>8.65-20.41</t>
  </si>
  <si>
    <t>8.10-20.94</t>
  </si>
  <si>
    <t>5.73-23.29</t>
  </si>
  <si>
    <t>6.26-22.72</t>
  </si>
  <si>
    <t>6.50-22.48</t>
  </si>
  <si>
    <t>8.03-20.85</t>
  </si>
  <si>
    <t>8.12-20.74</t>
  </si>
  <si>
    <t>6.61-22.23</t>
  </si>
  <si>
    <t>7.70-21.14</t>
  </si>
  <si>
    <t>8.66-20.18</t>
  </si>
  <si>
    <t>4.89-23.95</t>
  </si>
  <si>
    <t>7.29-21.53</t>
  </si>
  <si>
    <t>6.56-22.20</t>
  </si>
  <si>
    <t>7.89-20.87</t>
  </si>
  <si>
    <t>7.34-21.38</t>
  </si>
  <si>
    <t>7.87-20.83</t>
  </si>
  <si>
    <t>5.91-22.75</t>
  </si>
  <si>
    <t>7.28-21.34</t>
  </si>
  <si>
    <t>7.45-21.17</t>
  </si>
  <si>
    <t>7.84-20.78</t>
  </si>
  <si>
    <t>8.30-20.28</t>
  </si>
  <si>
    <t>7.07-21.51</t>
  </si>
  <si>
    <t>7.30-21.26</t>
  </si>
  <si>
    <t>6.61-21.91</t>
  </si>
  <si>
    <t>7.81-20.71</t>
  </si>
  <si>
    <t>7.36-21.10</t>
  </si>
  <si>
    <t>7.89-20.49</t>
  </si>
  <si>
    <t>6.68-21.66</t>
  </si>
  <si>
    <t>6.19-22.15</t>
  </si>
  <si>
    <t>2.69-25.63</t>
  </si>
  <si>
    <t>6.87-21.39</t>
  </si>
  <si>
    <t>6.86-21.40</t>
  </si>
  <si>
    <t>7.87-20.39</t>
  </si>
  <si>
    <t>6.97-21.25</t>
  </si>
  <si>
    <t>1.97-26.23</t>
  </si>
  <si>
    <t>6.20-21.98</t>
  </si>
  <si>
    <t>7.99-20.17</t>
  </si>
  <si>
    <t>5.95-22.21</t>
  </si>
  <si>
    <t>7.65-20.51</t>
  </si>
  <si>
    <t>7.73-20.41</t>
  </si>
  <si>
    <t>7.52-20.62</t>
  </si>
  <si>
    <t>7.80-20.32</t>
  </si>
  <si>
    <t>6.86-21.26</t>
  </si>
  <si>
    <t>5.06-23.04</t>
  </si>
  <si>
    <t>5.54-22.50</t>
  </si>
  <si>
    <t>6.94-21.00</t>
  </si>
  <si>
    <t>6.42-21.52</t>
  </si>
  <si>
    <t>6.01-21.91</t>
  </si>
  <si>
    <t>6.80-21.08</t>
  </si>
  <si>
    <t>6.34-21.48</t>
  </si>
  <si>
    <t>6.90-20.90</t>
  </si>
  <si>
    <t>6.20-21.50</t>
  </si>
  <si>
    <t>7.43-20.25</t>
  </si>
  <si>
    <t>6.03-21.55</t>
  </si>
  <si>
    <t>6.40-21.14</t>
  </si>
  <si>
    <t>7.64-19.86</t>
  </si>
  <si>
    <t>7.96-19.54</t>
  </si>
  <si>
    <t>7.06-20.42</t>
  </si>
  <si>
    <t>6.00-21.48</t>
  </si>
  <si>
    <t>8.13-19.33</t>
  </si>
  <si>
    <t>7.40-20.04</t>
  </si>
  <si>
    <t>5.13-22.31</t>
  </si>
  <si>
    <t>6.51-20.91</t>
  </si>
  <si>
    <t>7.93-19.47</t>
  </si>
  <si>
    <t>5.60-21.78</t>
  </si>
  <si>
    <t>7.17-20.19</t>
  </si>
  <si>
    <t>5.37-21.97</t>
  </si>
  <si>
    <t>6.51-20.81</t>
  </si>
  <si>
    <t>6.35-20.93</t>
  </si>
  <si>
    <t>5.34-21.92</t>
  </si>
  <si>
    <t>5.98-21.28</t>
  </si>
  <si>
    <t>6.06-21.20</t>
  </si>
  <si>
    <t>5.52-21.72</t>
  </si>
  <si>
    <t>7.13-20.09</t>
  </si>
  <si>
    <t>6.19-21.03</t>
  </si>
  <si>
    <t>7.65-19.53</t>
  </si>
  <si>
    <t>7.10-20.08</t>
  </si>
  <si>
    <t>7.46-19.70</t>
  </si>
  <si>
    <t>5.73-21.33</t>
  </si>
  <si>
    <t>6.11-20.95</t>
  </si>
  <si>
    <t>5.84-21.20</t>
  </si>
  <si>
    <t>7.21-19.81</t>
  </si>
  <si>
    <t>6.40-20.54</t>
  </si>
  <si>
    <t>6.25-20.65</t>
  </si>
  <si>
    <t>6.34-20.54</t>
  </si>
  <si>
    <t>6.12-20.76</t>
  </si>
  <si>
    <t>6.58-20.30</t>
  </si>
  <si>
    <t>5.77-21.11</t>
  </si>
  <si>
    <t>5.16-21.72</t>
  </si>
  <si>
    <t>5.79-21.07</t>
  </si>
  <si>
    <t>6.61-20.21</t>
  </si>
  <si>
    <t>7.07-19.69</t>
  </si>
  <si>
    <t>5.70-21.06</t>
  </si>
  <si>
    <t>5.10-21.64</t>
  </si>
  <si>
    <t>6.45-20.25</t>
  </si>
  <si>
    <t>6.15-20.53</t>
  </si>
  <si>
    <t>4.67-21.99</t>
  </si>
  <si>
    <t>5.95-20.67</t>
  </si>
  <si>
    <t>5.96-20.62</t>
  </si>
  <si>
    <t>5.76-20.82</t>
  </si>
  <si>
    <t>5.51-21.01</t>
  </si>
  <si>
    <t>4.41-22.09</t>
  </si>
  <si>
    <t>6.31-20.19</t>
  </si>
  <si>
    <t>6.82-19.68</t>
  </si>
  <si>
    <t>5.56-20.92</t>
  </si>
  <si>
    <t>6.80-19.68</t>
  </si>
  <si>
    <t>5.96-20.50</t>
  </si>
  <si>
    <t>6.43-20.01</t>
  </si>
  <si>
    <t>4.90-21.54</t>
  </si>
  <si>
    <t>6.12-20.26</t>
  </si>
  <si>
    <t>5.80-20.56</t>
  </si>
  <si>
    <t>6.88-19.48</t>
  </si>
  <si>
    <t>5.56-20.74</t>
  </si>
  <si>
    <t>7.34-18.94</t>
  </si>
  <si>
    <t>5.57-20.71</t>
  </si>
  <si>
    <t>5.05-21.23</t>
  </si>
  <si>
    <t>7.08-19.18</t>
  </si>
  <si>
    <t>5.67-20.55</t>
  </si>
  <si>
    <t>5.43-20.77</t>
  </si>
  <si>
    <t>6.02-20.16</t>
  </si>
  <si>
    <t>5.80-20.36</t>
  </si>
  <si>
    <t>5.50-20.64</t>
  </si>
  <si>
    <t>6.95-19.11</t>
  </si>
  <si>
    <t>7.04-19.02</t>
  </si>
  <si>
    <t>6.71-19.35</t>
  </si>
  <si>
    <t>5.32-20.74</t>
  </si>
  <si>
    <t>7.42-18.62</t>
  </si>
  <si>
    <t>5.87-20.15</t>
  </si>
  <si>
    <t>6.95-19.05</t>
  </si>
  <si>
    <t>5.67-20.31</t>
  </si>
  <si>
    <t>6.70-19.22</t>
  </si>
  <si>
    <t>5.22-20.68</t>
  </si>
  <si>
    <t>7.21-18.69</t>
  </si>
  <si>
    <t>4.41-21.49</t>
  </si>
  <si>
    <t>6.52-19.36</t>
  </si>
  <si>
    <t>5.96-19.90</t>
  </si>
  <si>
    <t>6.84-19.00</t>
  </si>
  <si>
    <t>5.23-20.61</t>
  </si>
  <si>
    <t>5.56-20.26</t>
  </si>
  <si>
    <t>7.12-18.68</t>
  </si>
  <si>
    <t>5.87-19.93</t>
  </si>
  <si>
    <t>6.11-19.67</t>
  </si>
  <si>
    <t>7.56-18.20</t>
  </si>
  <si>
    <t>5.85-19.91</t>
  </si>
  <si>
    <t>4.95-20.81</t>
  </si>
  <si>
    <t>5.86-19.86</t>
  </si>
  <si>
    <t>6.08-19.62</t>
  </si>
  <si>
    <t>6.85-18.83</t>
  </si>
  <si>
    <t>5.48-20.20</t>
  </si>
  <si>
    <t>5.69-19.97</t>
  </si>
  <si>
    <t>3.93-21.73</t>
  </si>
  <si>
    <t>6.14-19.48</t>
  </si>
  <si>
    <t>5.42-20.18</t>
  </si>
  <si>
    <t>5.57-20.01</t>
  </si>
  <si>
    <t>7.43-18.13</t>
  </si>
  <si>
    <t>5.88-19.68</t>
  </si>
  <si>
    <t>5.53-19.99</t>
  </si>
  <si>
    <t>5.96-19.56</t>
  </si>
  <si>
    <t>7.38-18.12</t>
  </si>
  <si>
    <t>5.70-19.80</t>
  </si>
  <si>
    <t>7.43-18.05</t>
  </si>
  <si>
    <t>7.39-18.05</t>
  </si>
  <si>
    <t>5.90-19.48</t>
  </si>
  <si>
    <t>5.37-20.01</t>
  </si>
  <si>
    <t>4.42-20.94</t>
  </si>
  <si>
    <t>6.95-18.41</t>
  </si>
  <si>
    <t>5.43-19.93</t>
  </si>
  <si>
    <t>6.51-18.83</t>
  </si>
  <si>
    <t>6.00-19.28</t>
  </si>
  <si>
    <t>4.70-20.52</t>
  </si>
  <si>
    <t>4.85-20.37</t>
  </si>
  <si>
    <t>6.14-19.06</t>
  </si>
  <si>
    <t>6.37-18.81</t>
  </si>
  <si>
    <t>7.01-18.15</t>
  </si>
  <si>
    <t>5.31-19.77</t>
  </si>
  <si>
    <t>5.25-19.83</t>
  </si>
  <si>
    <t>5.42-19.58</t>
  </si>
  <si>
    <t>4.96-20.04</t>
  </si>
  <si>
    <t>5.76-19.22</t>
  </si>
  <si>
    <t>5.20-19.76</t>
  </si>
  <si>
    <t>6.05-18.89</t>
  </si>
  <si>
    <t>5.12-19.80</t>
  </si>
  <si>
    <t>5.64-19.24</t>
  </si>
  <si>
    <t>5.39-19.49</t>
  </si>
  <si>
    <t>6.13-18.75</t>
  </si>
  <si>
    <t>5.11-19.75</t>
  </si>
  <si>
    <t>6.46-18.38</t>
  </si>
  <si>
    <t>6.36-18.46</t>
  </si>
  <si>
    <t>5.61-19.21</t>
  </si>
  <si>
    <t>4.65-20.15</t>
  </si>
  <si>
    <t>6.54-18.24</t>
  </si>
  <si>
    <t>4.46-20.32</t>
  </si>
  <si>
    <t>5.21-19.55</t>
  </si>
  <si>
    <t>5.66-19.06</t>
  </si>
  <si>
    <t>3.35-21.31</t>
  </si>
  <si>
    <t>5.66-18.98</t>
  </si>
  <si>
    <t>5.51-19.11</t>
  </si>
  <si>
    <t>6.00-18.60</t>
  </si>
  <si>
    <t>4.99-19.61</t>
  </si>
  <si>
    <t>4.00-20.60</t>
  </si>
  <si>
    <t>5.91-18.67</t>
  </si>
  <si>
    <t>5.64-18.94</t>
  </si>
  <si>
    <t>5.36-19.22</t>
  </si>
  <si>
    <t>5.16-19.38</t>
  </si>
  <si>
    <t>6.90-17.64</t>
  </si>
  <si>
    <t>4.66-19.88</t>
  </si>
  <si>
    <t>4.57-19.95</t>
  </si>
  <si>
    <t>5.04-19.48</t>
  </si>
  <si>
    <t>6.29-18.21</t>
  </si>
  <si>
    <t>6.60-17.86</t>
  </si>
  <si>
    <t>4.65-19.79</t>
  </si>
  <si>
    <t>4.18-20.24</t>
  </si>
  <si>
    <t>5.59-18.83</t>
  </si>
  <si>
    <t>4.69-19.73</t>
  </si>
  <si>
    <t>6.66-17.74</t>
  </si>
  <si>
    <t>6.12-18.28</t>
  </si>
  <si>
    <t>5.71-18.69</t>
  </si>
  <si>
    <t>5.51-18.89</t>
  </si>
  <si>
    <t>4.79-19.57</t>
  </si>
  <si>
    <t>4.80-19.46</t>
  </si>
  <si>
    <t>4.34-19.92</t>
  </si>
  <si>
    <t>6.79-17.43</t>
  </si>
  <si>
    <t>4.07-20.11</t>
  </si>
  <si>
    <t>5.89-18.27</t>
  </si>
  <si>
    <t>3.61-20.55</t>
  </si>
  <si>
    <t>4.08-20.04</t>
  </si>
  <si>
    <t>6.04-18.02</t>
  </si>
  <si>
    <t>3.92-20.12</t>
  </si>
  <si>
    <t>4.41-19.59</t>
  </si>
  <si>
    <t>4.57-19.37</t>
  </si>
  <si>
    <t>3.27-20.67</t>
  </si>
  <si>
    <t>6.03-17.87</t>
  </si>
  <si>
    <t>4.79-19.09</t>
  </si>
  <si>
    <t>5.55-18.23</t>
  </si>
  <si>
    <t>4.32-19.46</t>
  </si>
  <si>
    <t>4.76-19.00</t>
  </si>
  <si>
    <t>4.78-18.92</t>
  </si>
  <si>
    <t>4.49-19.19</t>
  </si>
  <si>
    <t>3.71-19.95</t>
  </si>
  <si>
    <t>5.41-18.23</t>
  </si>
  <si>
    <t>5.60-17.98</t>
  </si>
  <si>
    <t>4.54-19.00</t>
  </si>
  <si>
    <t>5.98-17.54</t>
  </si>
  <si>
    <t>3.97-19.53</t>
  </si>
  <si>
    <t>4.23-19.27</t>
  </si>
  <si>
    <t>4.64-18.86</t>
  </si>
  <si>
    <t>5.84-17.64</t>
  </si>
  <si>
    <t>0.16-23.32</t>
  </si>
  <si>
    <t>4.93-18.53</t>
  </si>
  <si>
    <t>6.41-17.05</t>
  </si>
  <si>
    <t>3.98-19.46</t>
  </si>
  <si>
    <t>5.48-17.94</t>
  </si>
  <si>
    <t>4.62-18.78</t>
  </si>
  <si>
    <t>5.60-17.76</t>
  </si>
  <si>
    <t>5.49-17.87</t>
  </si>
  <si>
    <t>3.94-19.34</t>
  </si>
  <si>
    <t>5.39-17.83</t>
  </si>
  <si>
    <t>5.15-18.07</t>
  </si>
  <si>
    <t>5.67-17.51</t>
  </si>
  <si>
    <t>4.99-18.17</t>
  </si>
  <si>
    <t>4.03-19.13</t>
  </si>
  <si>
    <t>2.85-20.29</t>
  </si>
  <si>
    <t>4.75-18.39</t>
  </si>
  <si>
    <t>5.43-17.67</t>
  </si>
  <si>
    <t>3.68-19.38</t>
  </si>
  <si>
    <t>6.14-16.86</t>
  </si>
  <si>
    <t>3.49-19.45</t>
  </si>
  <si>
    <t>4.84-18.02</t>
  </si>
  <si>
    <t>3.92-18.92</t>
  </si>
  <si>
    <t>5.45-17.39</t>
  </si>
  <si>
    <t>3.66-19.16</t>
  </si>
  <si>
    <t>2.23-20.51</t>
  </si>
  <si>
    <t>5.75-16.95</t>
  </si>
  <si>
    <t>3.99-18.71</t>
  </si>
  <si>
    <t>4.30-18.38</t>
  </si>
  <si>
    <t>4.80-17.86</t>
  </si>
  <si>
    <t>5.03-17.61</t>
  </si>
  <si>
    <t>3.64-19.00</t>
  </si>
  <si>
    <t>4.51-18.09</t>
  </si>
  <si>
    <t>4.93-17.67</t>
  </si>
  <si>
    <t>5.76-16.80</t>
  </si>
  <si>
    <t>3.78-18.74</t>
  </si>
  <si>
    <t>3.46-19.04</t>
  </si>
  <si>
    <t>5.76-16.72</t>
  </si>
  <si>
    <t>5.42-17.06</t>
  </si>
  <si>
    <t>4.16-18.30</t>
  </si>
  <si>
    <t>4.43-18.03</t>
  </si>
  <si>
    <t>4.51-17.91</t>
  </si>
  <si>
    <t>6.26-16.16</t>
  </si>
  <si>
    <t>4.58-17.82</t>
  </si>
  <si>
    <t>3.78-18.58</t>
  </si>
  <si>
    <t>3.84-18.50</t>
  </si>
  <si>
    <t>4.58-17.76</t>
  </si>
  <si>
    <t>4.31-18.03</t>
  </si>
  <si>
    <t>5.36-16.92</t>
  </si>
  <si>
    <t>3.82-18.46</t>
  </si>
  <si>
    <t>4.51-17.77</t>
  </si>
  <si>
    <t>5.50-16.76</t>
  </si>
  <si>
    <t>3.14-19.10</t>
  </si>
  <si>
    <t>5.13-17.11</t>
  </si>
  <si>
    <t>4.97-17.21</t>
  </si>
  <si>
    <t>5.22-16.96</t>
  </si>
  <si>
    <t>4.34-17.80</t>
  </si>
  <si>
    <t>5.84-16.28</t>
  </si>
  <si>
    <t>5.08-17.02</t>
  </si>
  <si>
    <t>4.23-17.75</t>
  </si>
  <si>
    <t>5.29-16.65</t>
  </si>
  <si>
    <t>4.52-17.40</t>
  </si>
  <si>
    <t>3.74-18.18</t>
  </si>
  <si>
    <t>2.25-19.65</t>
  </si>
  <si>
    <t>4.65-17.23</t>
  </si>
  <si>
    <t>4.22-17.66</t>
  </si>
  <si>
    <t>4.14-17.72</t>
  </si>
  <si>
    <t>3.13-18.71</t>
  </si>
  <si>
    <t>3.24-18.58</t>
  </si>
  <si>
    <t>4.80-17.02</t>
  </si>
  <si>
    <t>5.11-16.71</t>
  </si>
  <si>
    <t>4.78-16.98</t>
  </si>
  <si>
    <t>4.84-16.92</t>
  </si>
  <si>
    <t>3.25-18.51</t>
  </si>
  <si>
    <t>4.09-17.63</t>
  </si>
  <si>
    <t>4.12-17.60</t>
  </si>
  <si>
    <t>5.10-16.62</t>
  </si>
  <si>
    <t>5.37-16.25</t>
  </si>
  <si>
    <t>4.10-17.48</t>
  </si>
  <si>
    <t>4.96-16.54</t>
  </si>
  <si>
    <t>3.00-18.50</t>
  </si>
  <si>
    <t>4.61-16.83</t>
  </si>
  <si>
    <t>3.41-18.01</t>
  </si>
  <si>
    <t>2.15-19.23</t>
  </si>
  <si>
    <t>4.88-16.48</t>
  </si>
  <si>
    <t>5.03-16.33</t>
  </si>
  <si>
    <t>4.28-17.04</t>
  </si>
  <si>
    <t>4.23-17.09</t>
  </si>
  <si>
    <t>2.88-18.40</t>
  </si>
  <si>
    <t>3.77-17.51</t>
  </si>
  <si>
    <t>3.87-17.41</t>
  </si>
  <si>
    <t>4.78-16.50</t>
  </si>
  <si>
    <t>4.32-16.94</t>
  </si>
  <si>
    <t>4.70-16.56</t>
  </si>
  <si>
    <t>4.14-17.06</t>
  </si>
  <si>
    <t>4.01-17.17</t>
  </si>
  <si>
    <t>3.87-17.31</t>
  </si>
  <si>
    <t>3.16-18.02</t>
  </si>
  <si>
    <t>4.86-16.32</t>
  </si>
  <si>
    <t>4.14-17.02</t>
  </si>
  <si>
    <t>3.89-17.25</t>
  </si>
  <si>
    <t>3.13-17.99</t>
  </si>
  <si>
    <t>3.57-17.53</t>
  </si>
  <si>
    <t>3.79-17.31</t>
  </si>
  <si>
    <t>3.72-17.32</t>
  </si>
  <si>
    <t>4.17-16.87</t>
  </si>
  <si>
    <t>4.66-16.36</t>
  </si>
  <si>
    <t>4.55-16.47</t>
  </si>
  <si>
    <t>4.47-16.51</t>
  </si>
  <si>
    <t>4.81-16.17</t>
  </si>
  <si>
    <t>4.04-16.90</t>
  </si>
  <si>
    <t>1.42-19.48</t>
  </si>
  <si>
    <t>3.64-17.24</t>
  </si>
  <si>
    <t>3.79-17.07</t>
  </si>
  <si>
    <t>2.92-17.92</t>
  </si>
  <si>
    <t>4.69-16.13</t>
  </si>
  <si>
    <t>3.47-17.33</t>
  </si>
  <si>
    <t>4.72-16.06</t>
  </si>
  <si>
    <t>3.50-17.26</t>
  </si>
  <si>
    <t>3.79-16.97</t>
  </si>
  <si>
    <t>3.26-17.50</t>
  </si>
  <si>
    <t>4.86-15.88</t>
  </si>
  <si>
    <t>2.39-18.35</t>
  </si>
  <si>
    <t>4.76-15.98</t>
  </si>
  <si>
    <t>4.73-15.95</t>
  </si>
  <si>
    <t>4.48-16.20</t>
  </si>
  <si>
    <t>4.87-15.81</t>
  </si>
  <si>
    <t>4.90-15.76</t>
  </si>
  <si>
    <t>1.38-19.26</t>
  </si>
  <si>
    <t>4.22-16.42</t>
  </si>
  <si>
    <t>4.49-16.13</t>
  </si>
  <si>
    <t>4.79-15.83</t>
  </si>
  <si>
    <t>2.94-17.68</t>
  </si>
  <si>
    <t>4.27-16.33</t>
  </si>
  <si>
    <t>3.93-16.65</t>
  </si>
  <si>
    <t>5.26-15.32</t>
  </si>
  <si>
    <t>3.74-16.82</t>
  </si>
  <si>
    <t>3.15-17.37</t>
  </si>
  <si>
    <t>2.27-18.25</t>
  </si>
  <si>
    <t>4.21-16.29</t>
  </si>
  <si>
    <t>3.52-16.96</t>
  </si>
  <si>
    <t>4.52-15.96</t>
  </si>
  <si>
    <t>4.09-16.37</t>
  </si>
  <si>
    <t>4.25-16.15</t>
  </si>
  <si>
    <t>5.13-15.27</t>
  </si>
  <si>
    <t>4.84-15.56</t>
  </si>
  <si>
    <t>4.11-16.25</t>
  </si>
  <si>
    <t>3.72-16.64</t>
  </si>
  <si>
    <t>3.89-16.45</t>
  </si>
  <si>
    <t>4.61-15.73</t>
  </si>
  <si>
    <t>3.98-16.36</t>
  </si>
  <si>
    <t>3.72-16.60</t>
  </si>
  <si>
    <t>1.87-18.37</t>
  </si>
  <si>
    <t>3.39-16.83</t>
  </si>
  <si>
    <t>4.19-15.97</t>
  </si>
  <si>
    <t>3.15-17.01</t>
  </si>
  <si>
    <t>3.98-16.18</t>
  </si>
  <si>
    <t>3.99-16.15</t>
  </si>
  <si>
    <t>3.24-16.86</t>
  </si>
  <si>
    <t>3.21-16.89</t>
  </si>
  <si>
    <t>3.44-16.64</t>
  </si>
  <si>
    <t>3.65-16.43</t>
  </si>
  <si>
    <t>2.26-17.80</t>
  </si>
  <si>
    <t>4.78-15.26</t>
  </si>
  <si>
    <t>2.98-17.06</t>
  </si>
  <si>
    <t>3.91-16.11</t>
  </si>
  <si>
    <t>3.36-16.64</t>
  </si>
  <si>
    <t>4.31-15.69</t>
  </si>
  <si>
    <t>4.11-15.89</t>
  </si>
  <si>
    <t>4.57-15.43</t>
  </si>
  <si>
    <t>3.55-16.43</t>
  </si>
  <si>
    <t>3.71-16.27</t>
  </si>
  <si>
    <t>2.75-17.21</t>
  </si>
  <si>
    <t>2.94-17.00</t>
  </si>
  <si>
    <t>3.87-16.07</t>
  </si>
  <si>
    <t>4.35-15.59</t>
  </si>
  <si>
    <t>4.35-15.57</t>
  </si>
  <si>
    <t>3.99-15.91</t>
  </si>
  <si>
    <t>4.15-15.75</t>
  </si>
  <si>
    <t>4.31-15.59</t>
  </si>
  <si>
    <t>4.50-15.40</t>
  </si>
  <si>
    <t>3.59-16.31</t>
  </si>
  <si>
    <t>4.70-15.16</t>
  </si>
  <si>
    <t>3.18-16.68</t>
  </si>
  <si>
    <t>2.61-17.21</t>
  </si>
  <si>
    <t>4.49-15.33</t>
  </si>
  <si>
    <t>3.45-16.35</t>
  </si>
  <si>
    <t>3.07-16.73</t>
  </si>
  <si>
    <t>3.71-16.07</t>
  </si>
  <si>
    <t>4.39-15.39</t>
  </si>
  <si>
    <t>4.52-15.24</t>
  </si>
  <si>
    <t>4.34-15.42</t>
  </si>
  <si>
    <t>3.30-16.46</t>
  </si>
  <si>
    <t>4.84-14.90</t>
  </si>
  <si>
    <t>4.08-15.64</t>
  </si>
  <si>
    <t>3.22-16.50</t>
  </si>
  <si>
    <t>3.76-15.94</t>
  </si>
  <si>
    <t>3.15-16.53</t>
  </si>
  <si>
    <t>2.98-16.68</t>
  </si>
  <si>
    <t>2.73-16.91</t>
  </si>
  <si>
    <t>4.29-15.35</t>
  </si>
  <si>
    <t>3.15-16.49</t>
  </si>
  <si>
    <t>3.96-15.66</t>
  </si>
  <si>
    <t>3.14-16.48</t>
  </si>
  <si>
    <t>3.61-15.97</t>
  </si>
  <si>
    <t>3.89-15.67</t>
  </si>
  <si>
    <t>3.82-15.74</t>
  </si>
  <si>
    <t>2.84-16.70</t>
  </si>
  <si>
    <t>3.64-15.90</t>
  </si>
  <si>
    <t>4.21-15.33</t>
  </si>
  <si>
    <t>2.38-17.14</t>
  </si>
  <si>
    <t>4.09-15.43</t>
  </si>
  <si>
    <t>2.97-16.53</t>
  </si>
  <si>
    <t>3.25-16.23</t>
  </si>
  <si>
    <t>3.28-16.16</t>
  </si>
  <si>
    <t>1.95-17.47</t>
  </si>
  <si>
    <t>3.49-15.91</t>
  </si>
  <si>
    <t>0.44-18.94</t>
  </si>
  <si>
    <t>4.07-15.31</t>
  </si>
  <si>
    <t>3.18-16.16</t>
  </si>
  <si>
    <t>3.52-15.80</t>
  </si>
  <si>
    <t>4.10-15.22</t>
  </si>
  <si>
    <t>1.66-17.66</t>
  </si>
  <si>
    <t>4.23-15.07</t>
  </si>
  <si>
    <t>3.25-16.05</t>
  </si>
  <si>
    <t>3.55-15.73</t>
  </si>
  <si>
    <t>2.84-16.42</t>
  </si>
  <si>
    <t>4.45-14.79</t>
  </si>
  <si>
    <t>3.26-15.98</t>
  </si>
  <si>
    <t>2.89-16.35</t>
  </si>
  <si>
    <t>3.81-15.43</t>
  </si>
  <si>
    <t>4.25-14.97</t>
  </si>
  <si>
    <t>3.52-15.70</t>
  </si>
  <si>
    <t>4.39-14.83</t>
  </si>
  <si>
    <t>3.75-15.45</t>
  </si>
  <si>
    <t>3.27-15.93</t>
  </si>
  <si>
    <t>3.51-15.67</t>
  </si>
  <si>
    <t>4.97-14.21</t>
  </si>
  <si>
    <t>3.88-15.26</t>
  </si>
  <si>
    <t>3.49-15.65</t>
  </si>
  <si>
    <t>3.66-15.48</t>
  </si>
  <si>
    <t>4.51-14.63</t>
  </si>
  <si>
    <t>3.87-15.25</t>
  </si>
  <si>
    <t>2.65-16.45</t>
  </si>
  <si>
    <t>3.30-15.76</t>
  </si>
  <si>
    <t>3.28-15.78</t>
  </si>
  <si>
    <t>3.85-15.21</t>
  </si>
  <si>
    <t>3.01-16.03</t>
  </si>
  <si>
    <t>2.62-16.42</t>
  </si>
  <si>
    <t>3.08-15.96</t>
  </si>
  <si>
    <t>2.88-16.16</t>
  </si>
  <si>
    <t>3.60-15.44</t>
  </si>
  <si>
    <t>4.05-14.93</t>
  </si>
  <si>
    <t>3.38-15.60</t>
  </si>
  <si>
    <t>4.04-14.92</t>
  </si>
  <si>
    <t>2.70-16.24</t>
  </si>
  <si>
    <t>4.18-14.76</t>
  </si>
  <si>
    <t>2.71-16.21</t>
  </si>
  <si>
    <t>3.62-15.26</t>
  </si>
  <si>
    <t>4.37-14.49</t>
  </si>
  <si>
    <t>3.17-15.67</t>
  </si>
  <si>
    <t>4.11-14.73</t>
  </si>
  <si>
    <t>3.46-15.34</t>
  </si>
  <si>
    <t>3.25-15.53</t>
  </si>
  <si>
    <t>2.88-15.86</t>
  </si>
  <si>
    <t>2.51-16.19</t>
  </si>
  <si>
    <t>2.62-16.08</t>
  </si>
  <si>
    <t>4.55-14.13</t>
  </si>
  <si>
    <t>3.65-15.01</t>
  </si>
  <si>
    <t>3.39-15.27</t>
  </si>
  <si>
    <t>4.34-14.30</t>
  </si>
  <si>
    <t>4.56-14.04</t>
  </si>
  <si>
    <t>3.44-15.14</t>
  </si>
  <si>
    <t>3.21-15.37</t>
  </si>
  <si>
    <t>2.22-16.32</t>
  </si>
  <si>
    <t>2.97-15.57</t>
  </si>
  <si>
    <t>4.09-14.43</t>
  </si>
  <si>
    <t>2.68-15.82</t>
  </si>
  <si>
    <t>3.51-14.99</t>
  </si>
  <si>
    <t>0.94-17.56</t>
  </si>
  <si>
    <t>3.35-15.15</t>
  </si>
  <si>
    <t>3.07-15.41</t>
  </si>
  <si>
    <t>2.84-15.64</t>
  </si>
  <si>
    <t>3.68-14.80</t>
  </si>
  <si>
    <t>3.57-14.89</t>
  </si>
  <si>
    <t>3.98-14.46</t>
  </si>
  <si>
    <t>3.48-14.96</t>
  </si>
  <si>
    <t>1.87-16.55</t>
  </si>
  <si>
    <t>2.87-15.53</t>
  </si>
  <si>
    <t>2.26-16.14</t>
  </si>
  <si>
    <t>1.95-16.43</t>
  </si>
  <si>
    <t>2.40-15.94</t>
  </si>
  <si>
    <t>3.89-14.45</t>
  </si>
  <si>
    <t>3.88-14.46</t>
  </si>
  <si>
    <t>1.53-16.79</t>
  </si>
  <si>
    <t>2.66-15.66</t>
  </si>
  <si>
    <t>3.15-15.17</t>
  </si>
  <si>
    <t>3.27-15.03</t>
  </si>
  <si>
    <t>3.45-14.81</t>
  </si>
  <si>
    <t>3.36-14.88</t>
  </si>
  <si>
    <t>3.44-14.78</t>
  </si>
  <si>
    <t>2.34-15.84</t>
  </si>
  <si>
    <t>2.37-15.81</t>
  </si>
  <si>
    <t>1.49-16.65</t>
  </si>
  <si>
    <t>3.22-14.92</t>
  </si>
  <si>
    <t>3.58-14.56</t>
  </si>
  <si>
    <t>3.47-14.67</t>
  </si>
  <si>
    <t>3.48-14.64</t>
  </si>
  <si>
    <t>1.64-16.48</t>
  </si>
  <si>
    <t>2.32-15.78</t>
  </si>
  <si>
    <t>1.48-16.62</t>
  </si>
  <si>
    <t>2.66-15.42</t>
  </si>
  <si>
    <t>3.05-15.01</t>
  </si>
  <si>
    <t>2.44-15.56</t>
  </si>
  <si>
    <t>2.92-15.08</t>
  </si>
  <si>
    <t>3.79-14.19</t>
  </si>
  <si>
    <t>2.75-15.21</t>
  </si>
  <si>
    <t>2.38-15.54</t>
  </si>
  <si>
    <t>2.52-15.40</t>
  </si>
  <si>
    <t>3.90-14.02</t>
  </si>
  <si>
    <t>3.14-14.78</t>
  </si>
  <si>
    <t>1.85-16.07</t>
  </si>
  <si>
    <t>2.75-15.15</t>
  </si>
  <si>
    <t>0.19-17.71</t>
  </si>
  <si>
    <t>3.51-14.39</t>
  </si>
  <si>
    <t>2.65-15.25</t>
  </si>
  <si>
    <t>3.70-14.20</t>
  </si>
  <si>
    <t>3.11-14.75</t>
  </si>
  <si>
    <t>2.36-15.50</t>
  </si>
  <si>
    <t>2.97-14.89</t>
  </si>
  <si>
    <t>1.05-16.79</t>
  </si>
  <si>
    <t>3.01-14.83</t>
  </si>
  <si>
    <t>3.66-14.16</t>
  </si>
  <si>
    <t>2.89-14.93</t>
  </si>
  <si>
    <t>0.51-17.27</t>
  </si>
  <si>
    <t>3.98-13.80</t>
  </si>
  <si>
    <t>2.19-15.59</t>
  </si>
  <si>
    <t>1.48-16.26</t>
  </si>
  <si>
    <t>3.09-14.65</t>
  </si>
  <si>
    <t>3.60-14.12</t>
  </si>
  <si>
    <t>2.43-15.27</t>
  </si>
  <si>
    <t>0.85-16.85</t>
  </si>
  <si>
    <t>3.58-14.12</t>
  </si>
  <si>
    <t>2.89-14.79</t>
  </si>
  <si>
    <t>3.37-14.31</t>
  </si>
  <si>
    <t>3.22-14.46</t>
  </si>
  <si>
    <t>3.36-14.30</t>
  </si>
  <si>
    <t>2.55-15.11</t>
  </si>
  <si>
    <t>1.93-15.71</t>
  </si>
  <si>
    <t>2.02-15.60</t>
  </si>
  <si>
    <t>1.22-16.38</t>
  </si>
  <si>
    <t>2.83-14.77</t>
  </si>
  <si>
    <t>2.34-15.26</t>
  </si>
  <si>
    <t>3.11-14.47</t>
  </si>
  <si>
    <t>3.80-13.76</t>
  </si>
  <si>
    <t>3.34-14.20</t>
  </si>
  <si>
    <t>1.64-15.90</t>
  </si>
  <si>
    <t>2.14-15.38</t>
  </si>
  <si>
    <t>2.72-14.80</t>
  </si>
  <si>
    <t>2.17-15.33</t>
  </si>
  <si>
    <t>2.60-14.90</t>
  </si>
  <si>
    <t>2.89-14.59</t>
  </si>
  <si>
    <t>3.68-13.72</t>
  </si>
  <si>
    <t>2.66-14.72</t>
  </si>
  <si>
    <t>4.13-13.25</t>
  </si>
  <si>
    <t>1.89-15.49</t>
  </si>
  <si>
    <t>1.93-15.43</t>
  </si>
  <si>
    <t>2.01-15.35</t>
  </si>
  <si>
    <t>2.34-15.02</t>
  </si>
  <si>
    <t>2.27-15.09</t>
  </si>
  <si>
    <t>2.36-14.98</t>
  </si>
  <si>
    <t>2.01-15.33</t>
  </si>
  <si>
    <t>2.34-14.96</t>
  </si>
  <si>
    <t>3.68-13.62</t>
  </si>
  <si>
    <t>0.26-17.02</t>
  </si>
  <si>
    <t>2.95-14.33</t>
  </si>
  <si>
    <t>2.14-15.14</t>
  </si>
  <si>
    <t>2.46-14.80</t>
  </si>
  <si>
    <t>2.72-14.54</t>
  </si>
  <si>
    <t>3.78-13.46</t>
  </si>
  <si>
    <t>3.22-14.00</t>
  </si>
  <si>
    <t>1.72-15.50</t>
  </si>
  <si>
    <t>2.99-14.23</t>
  </si>
  <si>
    <t>1.04-16.18</t>
  </si>
  <si>
    <t>3.96-13.24</t>
  </si>
  <si>
    <t>0.85-16.35</t>
  </si>
  <si>
    <t>3.68-13.50</t>
  </si>
  <si>
    <t>2.23-14.95</t>
  </si>
  <si>
    <t>2.45-14.71</t>
  </si>
  <si>
    <t>3.31-13.85</t>
  </si>
  <si>
    <t>2.00-15.14</t>
  </si>
  <si>
    <t>4.32-12.80</t>
  </si>
  <si>
    <t>3.59-13.51</t>
  </si>
  <si>
    <t>0.75-16.35</t>
  </si>
  <si>
    <t>3.81-13.27</t>
  </si>
  <si>
    <t>3.21-13.87</t>
  </si>
  <si>
    <t>1.78-15.28</t>
  </si>
  <si>
    <t>3.69-13.37</t>
  </si>
  <si>
    <t>2.72-14.34</t>
  </si>
  <si>
    <t>3.73-13.33</t>
  </si>
  <si>
    <t>3.93-13.13</t>
  </si>
  <si>
    <t>2.38-14.66</t>
  </si>
  <si>
    <t>2.47-14.57</t>
  </si>
  <si>
    <t>2.71-14.33</t>
  </si>
  <si>
    <t>2.68-14.34</t>
  </si>
  <si>
    <t>1.29-15.73</t>
  </si>
  <si>
    <t>2.23-14.79</t>
  </si>
  <si>
    <t>1.81-15.19</t>
  </si>
  <si>
    <t>1.52-15.48</t>
  </si>
  <si>
    <t>3.00-13.98</t>
  </si>
  <si>
    <t>3.11-13.87</t>
  </si>
  <si>
    <t>3.55-13.41</t>
  </si>
  <si>
    <t>2.26-14.70</t>
  </si>
  <si>
    <t>3.46-13.48</t>
  </si>
  <si>
    <t>1.66-15.24</t>
  </si>
  <si>
    <t>3.08-13.82</t>
  </si>
  <si>
    <t>2.70-14.18</t>
  </si>
  <si>
    <t>2.74-14.14</t>
  </si>
  <si>
    <t>1.56-15.30</t>
  </si>
  <si>
    <t>2.90-13.96</t>
  </si>
  <si>
    <t>2.17-14.67</t>
  </si>
  <si>
    <t>2.24-14.56</t>
  </si>
  <si>
    <t>2.95-13.85</t>
  </si>
  <si>
    <t>2.24-14.54</t>
  </si>
  <si>
    <t>0.89-15.87</t>
  </si>
  <si>
    <t>2.86-13.90</t>
  </si>
  <si>
    <t>3.61-13.13</t>
  </si>
  <si>
    <t>1.42-15.32</t>
  </si>
  <si>
    <t>2.11-14.63</t>
  </si>
  <si>
    <t>0.58-16.14</t>
  </si>
  <si>
    <t>3.23-13.49</t>
  </si>
  <si>
    <t>4.12-12.54</t>
  </si>
  <si>
    <t>2.31-14.35</t>
  </si>
  <si>
    <t>2.32-14.34</t>
  </si>
  <si>
    <t>1.64-15.00</t>
  </si>
  <si>
    <t>1.68-14.96</t>
  </si>
  <si>
    <t>2.66-13.98</t>
  </si>
  <si>
    <t>0.87-15.75</t>
  </si>
  <si>
    <t>2.70-13.90</t>
  </si>
  <si>
    <t>2.45-14.15</t>
  </si>
  <si>
    <t>3.80-12.78</t>
  </si>
  <si>
    <t>2.71-13.87</t>
  </si>
  <si>
    <t>1.69-14.89</t>
  </si>
  <si>
    <t>1.35-15.21</t>
  </si>
  <si>
    <t>3.13-13.43</t>
  </si>
  <si>
    <t>1.84-14.72</t>
  </si>
  <si>
    <t>2.54-14.02</t>
  </si>
  <si>
    <t>2.55-14.01</t>
  </si>
  <si>
    <t>2.18-14.38</t>
  </si>
  <si>
    <t>2.83-13.67</t>
  </si>
  <si>
    <t>2.88-13.62</t>
  </si>
  <si>
    <t>2.98-13.52</t>
  </si>
  <si>
    <t>1.15-15.35</t>
  </si>
  <si>
    <t>2.52-13.96</t>
  </si>
  <si>
    <t>2.29-14.17</t>
  </si>
  <si>
    <t>0.89-15.57</t>
  </si>
  <si>
    <t>2.51-13.95</t>
  </si>
  <si>
    <t>1.73-14.71</t>
  </si>
  <si>
    <t>2.38-14.04</t>
  </si>
  <si>
    <t>2.58-13.84</t>
  </si>
  <si>
    <t>2.77-13.63</t>
  </si>
  <si>
    <t>4.26-12.14</t>
  </si>
  <si>
    <t>1.53-14.85</t>
  </si>
  <si>
    <t>1.85-14.53</t>
  </si>
  <si>
    <t>2.06-14.30</t>
  </si>
  <si>
    <t>2.55-13.81</t>
  </si>
  <si>
    <t>2.89-13.45</t>
  </si>
  <si>
    <t>1.65-14.69</t>
  </si>
  <si>
    <t>1.91-14.41</t>
  </si>
  <si>
    <t>0.53-15.79</t>
  </si>
  <si>
    <t>3.60-12.72</t>
  </si>
  <si>
    <t>0.23-16.07</t>
  </si>
  <si>
    <t>1.77-14.51</t>
  </si>
  <si>
    <t>2.63-13.65</t>
  </si>
  <si>
    <t>1.94-14.32</t>
  </si>
  <si>
    <t>2.48-13.78</t>
  </si>
  <si>
    <t>2.69-13.57</t>
  </si>
  <si>
    <t>2.23-14.03</t>
  </si>
  <si>
    <t>3.25-13.01</t>
  </si>
  <si>
    <t>2.61-13.63</t>
  </si>
  <si>
    <t>2.51-13.73</t>
  </si>
  <si>
    <t>2.10-14.14</t>
  </si>
  <si>
    <t>0.80-15.42</t>
  </si>
  <si>
    <t>1.77-14.45</t>
  </si>
  <si>
    <t>2.27-13.95</t>
  </si>
  <si>
    <t>2.25-13.97</t>
  </si>
  <si>
    <t>2.48-13.72</t>
  </si>
  <si>
    <t>2.97-13.23</t>
  </si>
  <si>
    <t>1.15-15.05</t>
  </si>
  <si>
    <t>1.73-14.47</t>
  </si>
  <si>
    <t>2.96-13.22</t>
  </si>
  <si>
    <t>1.07-15.09</t>
  </si>
  <si>
    <t>1.93-14.23</t>
  </si>
  <si>
    <t>2.64-13.48</t>
  </si>
  <si>
    <t>2.02-14.10</t>
  </si>
  <si>
    <t>1.32-14.78</t>
  </si>
  <si>
    <t>2.31-13.79</t>
  </si>
  <si>
    <t>1.80-14.30</t>
  </si>
  <si>
    <t>2.05-14.05</t>
  </si>
  <si>
    <t>3.60-12.50</t>
  </si>
  <si>
    <t>0.29-15.79</t>
  </si>
  <si>
    <t>1.70-14.38</t>
  </si>
  <si>
    <t>2.31-13.77</t>
  </si>
  <si>
    <t>3.79-12.27</t>
  </si>
  <si>
    <t>0.99-15.07</t>
  </si>
  <si>
    <t>2.62-13.44</t>
  </si>
  <si>
    <t>2.63-13.41</t>
  </si>
  <si>
    <t>1.36-14.68</t>
  </si>
  <si>
    <t>3.06-12.98</t>
  </si>
  <si>
    <t>2.32-13.70</t>
  </si>
  <si>
    <t>2.73-13.29</t>
  </si>
  <si>
    <t>2.35-13.65</t>
  </si>
  <si>
    <t>3.27-12.71</t>
  </si>
  <si>
    <t>2.02-13.96</t>
  </si>
  <si>
    <t>2.40-13.58</t>
  </si>
  <si>
    <t>1.36-14.62</t>
  </si>
  <si>
    <t>1.49-14.47</t>
  </si>
  <si>
    <t>2.07-13.85</t>
  </si>
  <si>
    <t>2.95-12.97</t>
  </si>
  <si>
    <t>1.71-14.21</t>
  </si>
  <si>
    <t>2.28-13.64</t>
  </si>
  <si>
    <t>2.62-13.30</t>
  </si>
  <si>
    <t>3.88-12.04</t>
  </si>
  <si>
    <t>1.77-14.13</t>
  </si>
  <si>
    <t>0.51-15.39</t>
  </si>
  <si>
    <t>2.37-13.53</t>
  </si>
  <si>
    <t>0.96-14.94</t>
  </si>
  <si>
    <t>1.22-14.66</t>
  </si>
  <si>
    <t>3.06-12.82</t>
  </si>
  <si>
    <t>2.67-13.19</t>
  </si>
  <si>
    <t>1.88-13.98</t>
  </si>
  <si>
    <t>2.24-13.62</t>
  </si>
  <si>
    <t>2.16-13.68</t>
  </si>
  <si>
    <t>3.04-12.80</t>
  </si>
  <si>
    <t>2.08-13.74</t>
  </si>
  <si>
    <t>1.90-13.92</t>
  </si>
  <si>
    <t>2.34-13.46</t>
  </si>
  <si>
    <t>2.75-13.05</t>
  </si>
  <si>
    <t>2.24-13.56</t>
  </si>
  <si>
    <t>2.20-13.60</t>
  </si>
  <si>
    <t>1.40-14.38</t>
  </si>
  <si>
    <t>2.74-13.04</t>
  </si>
  <si>
    <t>2.06-13.72</t>
  </si>
  <si>
    <t>2.71-13.03</t>
  </si>
  <si>
    <t>0.87-14.85</t>
  </si>
  <si>
    <t>2.36-13.36</t>
  </si>
  <si>
    <t>2.09-13.61</t>
  </si>
  <si>
    <t>2.28-13.42</t>
  </si>
  <si>
    <t>1.48-14.22</t>
  </si>
  <si>
    <t>3.90-11.78</t>
  </si>
  <si>
    <t>2.79-12.89</t>
  </si>
  <si>
    <t>1.67-13.99</t>
  </si>
  <si>
    <t>2.22-13.42</t>
  </si>
  <si>
    <t>2.34-13.30</t>
  </si>
  <si>
    <t>2.04-13.60</t>
  </si>
  <si>
    <t>3.23-12.35</t>
  </si>
  <si>
    <t>2.04-13.52</t>
  </si>
  <si>
    <t>1.37-14.17</t>
  </si>
  <si>
    <t>2.01-13.51</t>
  </si>
  <si>
    <t>2.19-13.33</t>
  </si>
  <si>
    <t>2.62-12.90</t>
  </si>
  <si>
    <t>3.33-12.19</t>
  </si>
  <si>
    <t>3.26-12.24</t>
  </si>
  <si>
    <t>2.21-13.29</t>
  </si>
  <si>
    <t>2.15-13.35</t>
  </si>
  <si>
    <t>2.13-13.37</t>
  </si>
  <si>
    <t>1.02-14.46</t>
  </si>
  <si>
    <t>0.97-14.51</t>
  </si>
  <si>
    <t>1.90-13.56</t>
  </si>
  <si>
    <t>2.84-12.62</t>
  </si>
  <si>
    <t>1.10-14.36</t>
  </si>
  <si>
    <t>1.32-14.12</t>
  </si>
  <si>
    <t>1.16-14.22</t>
  </si>
  <si>
    <t>3.26-12.12</t>
  </si>
  <si>
    <t>3.02-12.36</t>
  </si>
  <si>
    <t>1.98-13.40</t>
  </si>
  <si>
    <t>1.59-13.79</t>
  </si>
  <si>
    <t>1.41-13.93</t>
  </si>
  <si>
    <t>2.05-13.29</t>
  </si>
  <si>
    <t>2.22-13.10</t>
  </si>
  <si>
    <t>2.59-12.73</t>
  </si>
  <si>
    <t>1.82-13.48</t>
  </si>
  <si>
    <t>1.70-13.60</t>
  </si>
  <si>
    <t>2.73-12.57</t>
  </si>
  <si>
    <t>1.57-13.71</t>
  </si>
  <si>
    <t>1.80-13.48</t>
  </si>
  <si>
    <t>2.57-12.71</t>
  </si>
  <si>
    <t>2.43-12.85</t>
  </si>
  <si>
    <t>2.45-12.81</t>
  </si>
  <si>
    <t>2.46-12.78</t>
  </si>
  <si>
    <t>2.50-12.72</t>
  </si>
  <si>
    <t>2.54-12.68</t>
  </si>
  <si>
    <t>2.22-13.00</t>
  </si>
  <si>
    <t>2.40-12.80</t>
  </si>
  <si>
    <t>2.11-13.07</t>
  </si>
  <si>
    <t>2.06-13.12</t>
  </si>
  <si>
    <t>2.49-12.67</t>
  </si>
  <si>
    <t>1.23-13.91</t>
  </si>
  <si>
    <t>1.84-13.30</t>
  </si>
  <si>
    <t>2.03-13.09</t>
  </si>
  <si>
    <t>1.87-13.25</t>
  </si>
  <si>
    <t>2.58-12.54</t>
  </si>
  <si>
    <t>1.69-13.41</t>
  </si>
  <si>
    <t>2.77-12.31</t>
  </si>
  <si>
    <t>1.09-13.99</t>
  </si>
  <si>
    <t>2.40-12.66</t>
  </si>
  <si>
    <t>2.48-12.58</t>
  </si>
  <si>
    <t>2.09-12.95</t>
  </si>
  <si>
    <t>2.97-12.07</t>
  </si>
  <si>
    <t>2.41-12.63</t>
  </si>
  <si>
    <t>1.45-13.57</t>
  </si>
  <si>
    <t>1.55-13.47</t>
  </si>
  <si>
    <t>1.27-13.73</t>
  </si>
  <si>
    <t>2.37-12.63</t>
  </si>
  <si>
    <t>1.76-13.24</t>
  </si>
  <si>
    <t>3.71-11.29</t>
  </si>
  <si>
    <t>3.15-11.83</t>
  </si>
  <si>
    <t>1.99-12.99</t>
  </si>
  <si>
    <t>2.65-12.33</t>
  </si>
  <si>
    <t>3.05-11.91</t>
  </si>
  <si>
    <t>2.16-12.80</t>
  </si>
  <si>
    <t>2.12-12.84</t>
  </si>
  <si>
    <t>1.47-13.47</t>
  </si>
  <si>
    <t>3.02-11.92</t>
  </si>
  <si>
    <t>2.18-12.74</t>
  </si>
  <si>
    <t>0.74-14.18</t>
  </si>
  <si>
    <t>2.61-12.31</t>
  </si>
  <si>
    <t>2.42-12.50</t>
  </si>
  <si>
    <t>1.83-13.07</t>
  </si>
  <si>
    <t>1.88-13.02</t>
  </si>
  <si>
    <t>2.23-12.67</t>
  </si>
  <si>
    <t>1.19-13.69</t>
  </si>
  <si>
    <t>1.95-12.93</t>
  </si>
  <si>
    <t>3.14-11.72</t>
  </si>
  <si>
    <t>2.42-12.44</t>
  </si>
  <si>
    <t>2.28-12.58</t>
  </si>
  <si>
    <t>2.26-12.58</t>
  </si>
  <si>
    <t>1.59-13.25</t>
  </si>
  <si>
    <t>2.53-12.31</t>
  </si>
  <si>
    <t>1.16-13.62</t>
  </si>
  <si>
    <t>0.42-14.36</t>
  </si>
  <si>
    <t>2.47-12.29</t>
  </si>
  <si>
    <t>1.70-13.06</t>
  </si>
  <si>
    <t>3.48-11.28</t>
  </si>
  <si>
    <t>1.58-13.16</t>
  </si>
  <si>
    <t>1.56-13.16</t>
  </si>
  <si>
    <t>2.66-12.06</t>
  </si>
  <si>
    <t>0.58-14.14</t>
  </si>
  <si>
    <t>1.89-12.81</t>
  </si>
  <si>
    <t>1.81-12.89</t>
  </si>
  <si>
    <t>2.42-12.28</t>
  </si>
  <si>
    <t>2.58-12.12</t>
  </si>
  <si>
    <t>2.23-12.47</t>
  </si>
  <si>
    <t>3.03-11.67</t>
  </si>
  <si>
    <t>2.58-12.06</t>
  </si>
  <si>
    <t>1.69-12.95</t>
  </si>
  <si>
    <t>1.95-12.65</t>
  </si>
  <si>
    <t>0.47-14.13</t>
  </si>
  <si>
    <t>0.64-13.94</t>
  </si>
  <si>
    <t>1.74-12.82</t>
  </si>
  <si>
    <t>1.62-12.94</t>
  </si>
  <si>
    <t>2.88-11.68</t>
  </si>
  <si>
    <t>1.87-12.69</t>
  </si>
  <si>
    <t>2.60-11.96</t>
  </si>
  <si>
    <t>2.37-12.17</t>
  </si>
  <si>
    <t>1.89-12.65</t>
  </si>
  <si>
    <t>0.30-14.24</t>
  </si>
  <si>
    <t>1.69-12.85</t>
  </si>
  <si>
    <t>1.11-13.41</t>
  </si>
  <si>
    <t>0.36-14.16</t>
  </si>
  <si>
    <t>2.14-12.36</t>
  </si>
  <si>
    <t>2.26-12.22</t>
  </si>
  <si>
    <t>0.69-13.79</t>
  </si>
  <si>
    <t>2.20-12.28</t>
  </si>
  <si>
    <t>1.10-13.36</t>
  </si>
  <si>
    <t>0.62-13.82</t>
  </si>
  <si>
    <t>1.46-12.98</t>
  </si>
  <si>
    <t>2.89-11.55</t>
  </si>
  <si>
    <t>1.64-12.80</t>
  </si>
  <si>
    <t>1.47-12.97</t>
  </si>
  <si>
    <t>1.25-13.15</t>
  </si>
  <si>
    <t>1.70-12.70</t>
  </si>
  <si>
    <t>1.42-12.96</t>
  </si>
  <si>
    <t>2.22-12.16</t>
  </si>
  <si>
    <t>1.87-12.51</t>
  </si>
  <si>
    <t>0.73-13.65</t>
  </si>
  <si>
    <t>2.50-11.86</t>
  </si>
  <si>
    <t>2.71-11.65</t>
  </si>
  <si>
    <t>2.11-12.25</t>
  </si>
  <si>
    <t>2.72-11.64</t>
  </si>
  <si>
    <t>1.78-12.58</t>
  </si>
  <si>
    <t>1.46-12.90</t>
  </si>
  <si>
    <t>1.61-12.75</t>
  </si>
  <si>
    <t>2.23-12.13</t>
  </si>
  <si>
    <t>2.62-11.72</t>
  </si>
  <si>
    <t>1.07-13.25</t>
  </si>
  <si>
    <t>0.31-14.01</t>
  </si>
  <si>
    <t>1.10-13.22</t>
  </si>
  <si>
    <t>1.49-12.83</t>
  </si>
  <si>
    <t>2.19-12.11</t>
  </si>
  <si>
    <t>1.73-12.57</t>
  </si>
  <si>
    <t>2.44-11.86</t>
  </si>
  <si>
    <t>1.99-12.29</t>
  </si>
  <si>
    <t>1.74-12.52</t>
  </si>
  <si>
    <t>1.67-12.59</t>
  </si>
  <si>
    <t>1.82-12.44</t>
  </si>
  <si>
    <t>1.43-12.81</t>
  </si>
  <si>
    <t>2.41-11.83</t>
  </si>
  <si>
    <t>1.80-12.44</t>
  </si>
  <si>
    <t>1.64-12.58</t>
  </si>
  <si>
    <t>1.91-12.31</t>
  </si>
  <si>
    <t>0.93-13.25</t>
  </si>
  <si>
    <t>1.33-12.85</t>
  </si>
  <si>
    <t>1.67-12.51</t>
  </si>
  <si>
    <t>1.12-13.04</t>
  </si>
  <si>
    <t>1.06-13.10</t>
  </si>
  <si>
    <t>0.31-13.85</t>
  </si>
  <si>
    <t>1.13-13.03</t>
  </si>
  <si>
    <t>1.47-12.67</t>
  </si>
  <si>
    <t>1.19-12.95</t>
  </si>
  <si>
    <t>2.08-12.04</t>
  </si>
  <si>
    <t>1.61-12.49</t>
  </si>
  <si>
    <t>0.04-14.06</t>
  </si>
  <si>
    <t>1.33-12.77</t>
  </si>
  <si>
    <t>2.07-12.03</t>
  </si>
  <si>
    <t>1.21-12.87</t>
  </si>
  <si>
    <t>1.30-12.76</t>
  </si>
  <si>
    <t>0.40-13.64</t>
  </si>
  <si>
    <t>2.79-11.25</t>
  </si>
  <si>
    <t>2.19-11.83</t>
  </si>
  <si>
    <t>1.84-12.18</t>
  </si>
  <si>
    <t>1.01-12.99</t>
  </si>
  <si>
    <t>2.23-11.75</t>
  </si>
  <si>
    <t>1.74-12.24</t>
  </si>
  <si>
    <t>1.25-12.73</t>
  </si>
  <si>
    <t>2.54-11.42</t>
  </si>
  <si>
    <t>0.94-13.02</t>
  </si>
  <si>
    <t>1.02-12.94</t>
  </si>
  <si>
    <t>1.93-12.03</t>
  </si>
  <si>
    <t>0.18-13.78</t>
  </si>
  <si>
    <t>1.08-12.86</t>
  </si>
  <si>
    <t>1.21-12.73</t>
  </si>
  <si>
    <t>1.36-12.58</t>
  </si>
  <si>
    <t>2.12-11.82</t>
  </si>
  <si>
    <t>2.44-11.48</t>
  </si>
  <si>
    <t>1.69-12.21</t>
  </si>
  <si>
    <t>0.11-13.79</t>
  </si>
  <si>
    <t>3.20-10.70</t>
  </si>
  <si>
    <t>1.57-12.31</t>
  </si>
  <si>
    <t>0.11-13.77</t>
  </si>
  <si>
    <t>0.77-13.09</t>
  </si>
  <si>
    <t>1.97-11.89</t>
  </si>
  <si>
    <t>0.97-12.89</t>
  </si>
  <si>
    <t>0.81-13.03</t>
  </si>
  <si>
    <t>1.96-11.88</t>
  </si>
  <si>
    <t>2.43-11.41</t>
  </si>
  <si>
    <t>0.61-13.21</t>
  </si>
  <si>
    <t>0.34-13.48</t>
  </si>
  <si>
    <t>2.20-11.62</t>
  </si>
  <si>
    <t>1.73-12.09</t>
  </si>
  <si>
    <t>3.03-10.79</t>
  </si>
  <si>
    <t>2.94-10.86</t>
  </si>
  <si>
    <t>1.72-12.08</t>
  </si>
  <si>
    <t>2.10-11.70</t>
  </si>
  <si>
    <t>1.28-12.52</t>
  </si>
  <si>
    <t>3.08-10.72</t>
  </si>
  <si>
    <t>2.37-11.41</t>
  </si>
  <si>
    <t>1.70-12.08</t>
  </si>
  <si>
    <t>2.13-11.63</t>
  </si>
  <si>
    <t>2.17-11.59</t>
  </si>
  <si>
    <t>1.23-12.53</t>
  </si>
  <si>
    <t>2.44-11.32</t>
  </si>
  <si>
    <t>1.92-11.82</t>
  </si>
  <si>
    <t>1.95-11.79</t>
  </si>
  <si>
    <t>2.33-11.39</t>
  </si>
  <si>
    <t>1.59-12.13</t>
  </si>
  <si>
    <t>2.17-11.53</t>
  </si>
  <si>
    <t>1.91-11.79</t>
  </si>
  <si>
    <t>1.49-12.19</t>
  </si>
  <si>
    <t>1.79-11.87</t>
  </si>
  <si>
    <t>2.32-11.32</t>
  </si>
  <si>
    <t>2.12-11.50</t>
  </si>
  <si>
    <t>1.48-12.12</t>
  </si>
  <si>
    <t>1.92-11.68</t>
  </si>
  <si>
    <t>1.66-11.94</t>
  </si>
  <si>
    <t>1.67-11.93</t>
  </si>
  <si>
    <t>2.95-10.63</t>
  </si>
  <si>
    <t>2.23-11.35</t>
  </si>
  <si>
    <t>1.93-11.63</t>
  </si>
  <si>
    <t>1.23-12.31</t>
  </si>
  <si>
    <t>1.91-11.63</t>
  </si>
  <si>
    <t>1.35-12.19</t>
  </si>
  <si>
    <t>1.39-12.15</t>
  </si>
  <si>
    <t>0.94-12.58</t>
  </si>
  <si>
    <t>1.50-12.00</t>
  </si>
  <si>
    <t>0.65-12.85</t>
  </si>
  <si>
    <t>0.98-12.50</t>
  </si>
  <si>
    <t>0.96-12.52</t>
  </si>
  <si>
    <t>1.85-11.61</t>
  </si>
  <si>
    <t>1.58-11.88</t>
  </si>
  <si>
    <t>2.40-11.04</t>
  </si>
  <si>
    <t>1.66-11.76</t>
  </si>
  <si>
    <t>1.69-11.71</t>
  </si>
  <si>
    <t>1.90-11.50</t>
  </si>
  <si>
    <t>2.16-11.24</t>
  </si>
  <si>
    <t>2.21-11.19</t>
  </si>
  <si>
    <t>1.74-11.64</t>
  </si>
  <si>
    <t>1.16-12.22</t>
  </si>
  <si>
    <t>2.81-10.57</t>
  </si>
  <si>
    <t>1.44-11.92</t>
  </si>
  <si>
    <t>3.03-10.31</t>
  </si>
  <si>
    <t>2.34-11.00</t>
  </si>
  <si>
    <t>2.40-10.92</t>
  </si>
  <si>
    <t>1.81-11.51</t>
  </si>
  <si>
    <t>0.85-12.47</t>
  </si>
  <si>
    <t>2.76-10.56</t>
  </si>
  <si>
    <t>2.31-10.99</t>
  </si>
  <si>
    <t>1.97-11.33</t>
  </si>
  <si>
    <t>1.93-11.37</t>
  </si>
  <si>
    <t>1.22-12.06</t>
  </si>
  <si>
    <t>2.03-11.25</t>
  </si>
  <si>
    <t>2.48-10.80</t>
  </si>
  <si>
    <t>1.54-11.72</t>
  </si>
  <si>
    <t>0.90-12.36</t>
  </si>
  <si>
    <t>1.94-11.32</t>
  </si>
  <si>
    <t>1.28-11.98</t>
  </si>
  <si>
    <t>1.90-11.36</t>
  </si>
  <si>
    <t>0.51-12.73</t>
  </si>
  <si>
    <t>1.81-11.43</t>
  </si>
  <si>
    <t>1.09-12.15</t>
  </si>
  <si>
    <t>0.39-12.85</t>
  </si>
  <si>
    <t>1.56-11.68</t>
  </si>
  <si>
    <t>1.48-11.74</t>
  </si>
  <si>
    <t>0.03-13.17</t>
  </si>
  <si>
    <t>2.37-10.83</t>
  </si>
  <si>
    <t>1.67-11.53</t>
  </si>
  <si>
    <t>2.04-11.14</t>
  </si>
  <si>
    <t>1.14-12.04</t>
  </si>
  <si>
    <t>2.42-10.76</t>
  </si>
  <si>
    <t>2.49-10.69</t>
  </si>
  <si>
    <t>2.76-10.40</t>
  </si>
  <si>
    <t>0.47-12.67</t>
  </si>
  <si>
    <t>3.08-10.06</t>
  </si>
  <si>
    <t>1.73-11.41</t>
  </si>
  <si>
    <t>1.57-11.53</t>
  </si>
  <si>
    <t>0.60-12.50</t>
  </si>
  <si>
    <t>2.77-10.33</t>
  </si>
  <si>
    <t>1.16-11.90</t>
  </si>
  <si>
    <t>2.16-10.90</t>
  </si>
  <si>
    <t>1.26-11.80</t>
  </si>
  <si>
    <t>1.80-11.24</t>
  </si>
  <si>
    <t>2.15-10.89</t>
  </si>
  <si>
    <t>2.81-10.23</t>
  </si>
  <si>
    <t>1.58-11.44</t>
  </si>
  <si>
    <t>1.57-11.45</t>
  </si>
  <si>
    <t>2.87-10.15</t>
  </si>
  <si>
    <t>1.72-11.30</t>
  </si>
  <si>
    <t>1.17-11.85</t>
  </si>
  <si>
    <t>1.67-11.33</t>
  </si>
  <si>
    <t>0.54-12.46</t>
  </si>
  <si>
    <t>2.43-10.57</t>
  </si>
  <si>
    <t>2.19-10.81</t>
  </si>
  <si>
    <t>2.31-10.69</t>
  </si>
  <si>
    <t>0.89-12.11</t>
  </si>
  <si>
    <t>1.66-11.32</t>
  </si>
  <si>
    <t>1.83-11.15</t>
  </si>
  <si>
    <t>2.09-10.87</t>
  </si>
  <si>
    <t>1.80-11.16</t>
  </si>
  <si>
    <t>1.98-10.98</t>
  </si>
  <si>
    <t>1.48-11.46</t>
  </si>
  <si>
    <t>1.08-11.86</t>
  </si>
  <si>
    <t>1.92-11.00</t>
  </si>
  <si>
    <t>0.38-12.54</t>
  </si>
  <si>
    <t>1.34-11.58</t>
  </si>
  <si>
    <t>1.86-11.06</t>
  </si>
  <si>
    <t>1.37-11.53</t>
  </si>
  <si>
    <t>1.34-11.56</t>
  </si>
  <si>
    <t>1.24-11.64</t>
  </si>
  <si>
    <t>1.46-11.42</t>
  </si>
  <si>
    <t>1.95-10.91</t>
  </si>
  <si>
    <t>1.12-11.74</t>
  </si>
  <si>
    <t>1.40-11.46</t>
  </si>
  <si>
    <t>3.13-9.73</t>
  </si>
  <si>
    <t>1.49-11.35</t>
  </si>
  <si>
    <t>1.98-10.84</t>
  </si>
  <si>
    <t>1.35-11.47</t>
  </si>
  <si>
    <t>1.72-11.10</t>
  </si>
  <si>
    <t>0.64-12.18</t>
  </si>
  <si>
    <t>1.74-11.08</t>
  </si>
  <si>
    <t>2.29-10.51</t>
  </si>
  <si>
    <t>1.54-11.26</t>
  </si>
  <si>
    <t>2.34-10.46</t>
  </si>
  <si>
    <t>2.21-10.59</t>
  </si>
  <si>
    <t>1.16-11.64</t>
  </si>
  <si>
    <t>2.67-10.13</t>
  </si>
  <si>
    <t>1.96-10.84</t>
  </si>
  <si>
    <t>1.89-10.91</t>
  </si>
  <si>
    <t>2.11-10.67</t>
  </si>
  <si>
    <t>2.16-10.60</t>
  </si>
  <si>
    <t>2.05-10.71</t>
  </si>
  <si>
    <t>1.08-11.66</t>
  </si>
  <si>
    <t>0.53-12.21</t>
  </si>
  <si>
    <t>2.00-10.72</t>
  </si>
  <si>
    <t>1.36-11.34</t>
  </si>
  <si>
    <t>2.38-10.32</t>
  </si>
  <si>
    <t>2.03-10.63</t>
  </si>
  <si>
    <t>0.97-11.69</t>
  </si>
  <si>
    <t>1.67-10.99</t>
  </si>
  <si>
    <t>0.56-12.08</t>
  </si>
  <si>
    <t>2.13-10.51</t>
  </si>
  <si>
    <t>1.19-11.45</t>
  </si>
  <si>
    <t>1.79-10.85</t>
  </si>
  <si>
    <t>1.01-11.61</t>
  </si>
  <si>
    <t>0.95-11.67</t>
  </si>
  <si>
    <t>1.35-11.27</t>
  </si>
  <si>
    <t>1.46-11.14</t>
  </si>
  <si>
    <t>1.31-11.29</t>
  </si>
  <si>
    <t>1.32-11.28</t>
  </si>
  <si>
    <t>1.91-10.67</t>
  </si>
  <si>
    <t>2.04-10.54</t>
  </si>
  <si>
    <t>0.92-11.66</t>
  </si>
  <si>
    <t>1.60-10.98</t>
  </si>
  <si>
    <t>1.07-11.49</t>
  </si>
  <si>
    <t>0.94-11.62</t>
  </si>
  <si>
    <t>2.94-9.62</t>
  </si>
  <si>
    <t>1.49-11.07</t>
  </si>
  <si>
    <t>1.65-10.89</t>
  </si>
  <si>
    <t>1.51-11.03</t>
  </si>
  <si>
    <t>2.12-10.42</t>
  </si>
  <si>
    <t>1.38-11.16</t>
  </si>
  <si>
    <t>1.17-11.35</t>
  </si>
  <si>
    <t>1.60-10.92</t>
  </si>
  <si>
    <t>0.75-11.77</t>
  </si>
  <si>
    <t>1.81-10.71</t>
  </si>
  <si>
    <t>1.57-10.93</t>
  </si>
  <si>
    <t>1.20-11.30</t>
  </si>
  <si>
    <t>1.36-11.12</t>
  </si>
  <si>
    <t>1.25-11.23</t>
  </si>
  <si>
    <t>2.70-9.78</t>
  </si>
  <si>
    <t>1.47-11.01</t>
  </si>
  <si>
    <t>2.06-10.42</t>
  </si>
  <si>
    <t>1.75-10.71</t>
  </si>
  <si>
    <t>1.20-11.26</t>
  </si>
  <si>
    <t>0.79-11.65</t>
  </si>
  <si>
    <t>1.28-11.16</t>
  </si>
  <si>
    <t>2.20-10.24</t>
  </si>
  <si>
    <t>0.83-11.59</t>
  </si>
  <si>
    <t>1.38-11.04</t>
  </si>
  <si>
    <t>1.20-11.20</t>
  </si>
  <si>
    <t>1.44-10.96</t>
  </si>
  <si>
    <t>1.69-10.71</t>
  </si>
  <si>
    <t>1.96-10.44</t>
  </si>
  <si>
    <t>0.81-11.59</t>
  </si>
  <si>
    <t>1.53-10.85</t>
  </si>
  <si>
    <t>1.08-11.28</t>
  </si>
  <si>
    <t>2.29-10.07</t>
  </si>
  <si>
    <t>2.08-10.26</t>
  </si>
  <si>
    <t>1.56-10.78</t>
  </si>
  <si>
    <t>0.19-12.15</t>
  </si>
  <si>
    <t>0.04-12.28</t>
  </si>
  <si>
    <t>1.77-10.55</t>
  </si>
  <si>
    <t>0.58-11.72</t>
  </si>
  <si>
    <t>1.72-10.58</t>
  </si>
  <si>
    <t>0.38-11.90</t>
  </si>
  <si>
    <t>1.22-11.04</t>
  </si>
  <si>
    <t>0.54-11.72</t>
  </si>
  <si>
    <t>1.34-10.92</t>
  </si>
  <si>
    <t>2.21-10.03</t>
  </si>
  <si>
    <t>1.43-10.81</t>
  </si>
  <si>
    <t>1.69-10.55</t>
  </si>
  <si>
    <t>1.22-11.02</t>
  </si>
  <si>
    <t>2.54-9.68</t>
  </si>
  <si>
    <t>2.23-9.99</t>
  </si>
  <si>
    <t>1.68-10.54</t>
  </si>
  <si>
    <t>1.34-10.88</t>
  </si>
  <si>
    <t>1.43-10.75</t>
  </si>
  <si>
    <t>1.24-10.92</t>
  </si>
  <si>
    <t>2.01-10.13</t>
  </si>
  <si>
    <t>2.16-9.98</t>
  </si>
  <si>
    <t>1.96-10.18</t>
  </si>
  <si>
    <t>1.43-10.71</t>
  </si>
  <si>
    <t>0.97-11.15</t>
  </si>
  <si>
    <t>0.80-11.32</t>
  </si>
  <si>
    <t>1.12-11.00</t>
  </si>
  <si>
    <t>2.11-10.01</t>
  </si>
  <si>
    <t>1.22-10.88</t>
  </si>
  <si>
    <t>0.59-11.51</t>
  </si>
  <si>
    <t>0.23-11.85</t>
  </si>
  <si>
    <t>1.40-10.68</t>
  </si>
  <si>
    <t>1.00-11.06</t>
  </si>
  <si>
    <t>1.20-10.86</t>
  </si>
  <si>
    <t>1.07-10.97</t>
  </si>
  <si>
    <t>1.58-10.46</t>
  </si>
  <si>
    <t>1.44-10.58</t>
  </si>
  <si>
    <t>1.48-10.54</t>
  </si>
  <si>
    <t>1.56-10.44</t>
  </si>
  <si>
    <t>1.58-10.42</t>
  </si>
  <si>
    <t>1.70-10.28</t>
  </si>
  <si>
    <t>1.50-10.48</t>
  </si>
  <si>
    <t>1.81-10.17</t>
  </si>
  <si>
    <t>1.14-10.82</t>
  </si>
  <si>
    <t>1.98-9.98</t>
  </si>
  <si>
    <t>1.55-10.41</t>
  </si>
  <si>
    <t>2.09-9.85</t>
  </si>
  <si>
    <t>1.61-10.33</t>
  </si>
  <si>
    <t>1.60-10.32</t>
  </si>
  <si>
    <t>0.39-11.53</t>
  </si>
  <si>
    <t>1.49-10.43</t>
  </si>
  <si>
    <t>0.23-11.67</t>
  </si>
  <si>
    <t>0.68-11.20</t>
  </si>
  <si>
    <t>0.34-11.54</t>
  </si>
  <si>
    <t>1.00-10.88</t>
  </si>
  <si>
    <t>0.45-11.43</t>
  </si>
  <si>
    <t>1.08-10.78</t>
  </si>
  <si>
    <t>1.33-10.53</t>
  </si>
  <si>
    <t>1.65-10.19</t>
  </si>
  <si>
    <t>1.43-10.41</t>
  </si>
  <si>
    <t>1.60-10.24</t>
  </si>
  <si>
    <t>0.70-11.12</t>
  </si>
  <si>
    <t>1.44-10.38</t>
  </si>
  <si>
    <t>1.35-10.47</t>
  </si>
  <si>
    <t>0.34-11.48</t>
  </si>
  <si>
    <t>1.48-10.34</t>
  </si>
  <si>
    <t>0.33-11.47</t>
  </si>
  <si>
    <t>2.22-9.58</t>
  </si>
  <si>
    <t>1.60-10.20</t>
  </si>
  <si>
    <t>2.04-9.76</t>
  </si>
  <si>
    <t>1.36-10.44</t>
  </si>
  <si>
    <t>2.44-9.34</t>
  </si>
  <si>
    <t>1.66-10.12</t>
  </si>
  <si>
    <t>1.62-10.16</t>
  </si>
  <si>
    <t>1.53-10.25</t>
  </si>
  <si>
    <t>0.13-11.63</t>
  </si>
  <si>
    <t>1.23-10.53</t>
  </si>
  <si>
    <t>0.79-10.97</t>
  </si>
  <si>
    <t>0.85-10.89</t>
  </si>
  <si>
    <t>0.84-10.90</t>
  </si>
  <si>
    <t>2.33-9.41</t>
  </si>
  <si>
    <t>1.73-10.01</t>
  </si>
  <si>
    <t>1.61-10.13</t>
  </si>
  <si>
    <t>1.05-10.67</t>
  </si>
  <si>
    <t>1.22-10.50</t>
  </si>
  <si>
    <t>1.75-9.97</t>
  </si>
  <si>
    <t>0.57-11.11</t>
  </si>
  <si>
    <t>1.48-10.20</t>
  </si>
  <si>
    <t>0.12-11.56</t>
  </si>
  <si>
    <t>2.78-8.90</t>
  </si>
  <si>
    <t>1.73-9.93</t>
  </si>
  <si>
    <t>0.74-10.92</t>
  </si>
  <si>
    <t>0.37-11.29</t>
  </si>
  <si>
    <t>1.23-10.41</t>
  </si>
  <si>
    <t>1.11-10.51</t>
  </si>
  <si>
    <t>1.22-10.40</t>
  </si>
  <si>
    <t>1.52-10.10</t>
  </si>
  <si>
    <t>1.38-10.24</t>
  </si>
  <si>
    <t>2.14-9.48</t>
  </si>
  <si>
    <t>1.66-9.96</t>
  </si>
  <si>
    <t>1.47-10.15</t>
  </si>
  <si>
    <t>0.19-11.41</t>
  </si>
  <si>
    <t>1.71-9.89</t>
  </si>
  <si>
    <t>1.81-9.79</t>
  </si>
  <si>
    <t>1.13-10.45</t>
  </si>
  <si>
    <t>1.62-9.96</t>
  </si>
  <si>
    <t>0.90-10.66</t>
  </si>
  <si>
    <t>1.52-10.02</t>
  </si>
  <si>
    <t>0.48-11.06</t>
  </si>
  <si>
    <t>0.71-10.81</t>
  </si>
  <si>
    <t>1.27-10.25</t>
  </si>
  <si>
    <t>0.90-10.60</t>
  </si>
  <si>
    <t>2.19-9.31</t>
  </si>
  <si>
    <t>1.15-10.35</t>
  </si>
  <si>
    <t>0.57-10.93</t>
  </si>
  <si>
    <t>0.13-11.35</t>
  </si>
  <si>
    <t>0.13-11.33</t>
  </si>
  <si>
    <t>1.79-9.67</t>
  </si>
  <si>
    <t>0.58-10.86</t>
  </si>
  <si>
    <t>0.76-10.68</t>
  </si>
  <si>
    <t>1.38-10.06</t>
  </si>
  <si>
    <t>1.85-9.59</t>
  </si>
  <si>
    <t>0.71-10.71</t>
  </si>
  <si>
    <t>1.40-10.02</t>
  </si>
  <si>
    <t>1.95-9.47</t>
  </si>
  <si>
    <t>0.57-10.83</t>
  </si>
  <si>
    <t>1.43-9.97</t>
  </si>
  <si>
    <t>1.56-9.84</t>
  </si>
  <si>
    <t>2.08-9.32</t>
  </si>
  <si>
    <t>1.44-9.96</t>
  </si>
  <si>
    <t>0.66-10.72</t>
  </si>
  <si>
    <t>0.48-10.90</t>
  </si>
  <si>
    <t>0.95-10.43</t>
  </si>
  <si>
    <t>1.63-9.73</t>
  </si>
  <si>
    <t>1.32-10.04</t>
  </si>
  <si>
    <t>0.72-10.62</t>
  </si>
  <si>
    <t>1.19-10.15</t>
  </si>
  <si>
    <t>1.53-9.81</t>
  </si>
  <si>
    <t>1.62-9.72</t>
  </si>
  <si>
    <t>0.96-10.38</t>
  </si>
  <si>
    <t>1.27-10.05</t>
  </si>
  <si>
    <t>2.11-9.21</t>
  </si>
  <si>
    <t>1.63-9.69</t>
  </si>
  <si>
    <t>1.02-10.30</t>
  </si>
  <si>
    <t>1.47-9.85</t>
  </si>
  <si>
    <t>0.88-10.42</t>
  </si>
  <si>
    <t>1.11-10.19</t>
  </si>
  <si>
    <t>1.63-9.65</t>
  </si>
  <si>
    <t>2.41-8.87</t>
  </si>
  <si>
    <t>2.10-9.18</t>
  </si>
  <si>
    <t>1.21-10.07</t>
  </si>
  <si>
    <t>1.18-10.10</t>
  </si>
  <si>
    <t>1.41-9.87</t>
  </si>
  <si>
    <t>2.02-9.24</t>
  </si>
  <si>
    <t>0.88-10.38</t>
  </si>
  <si>
    <t>1.44-9.82</t>
  </si>
  <si>
    <t>1.15-10.11</t>
  </si>
  <si>
    <t>1.50-9.76</t>
  </si>
  <si>
    <t>1.36-9.90</t>
  </si>
  <si>
    <t>1.13-10.11</t>
  </si>
  <si>
    <t>1.37-9.87</t>
  </si>
  <si>
    <t>1.71-9.53</t>
  </si>
  <si>
    <t>1.80-9.42</t>
  </si>
  <si>
    <t>1.19-10.03</t>
  </si>
  <si>
    <t>0.86-10.34</t>
  </si>
  <si>
    <t>1.20-9.96</t>
  </si>
  <si>
    <t>1.77-9.39</t>
  </si>
  <si>
    <t>1.33-9.79</t>
  </si>
  <si>
    <t>1.03-10.09</t>
  </si>
  <si>
    <t>1.77-9.35</t>
  </si>
  <si>
    <t>0.98-10.12</t>
  </si>
  <si>
    <t>1.93-9.17</t>
  </si>
  <si>
    <t>0.39-10.69</t>
  </si>
  <si>
    <t>0.72-10.36</t>
  </si>
  <si>
    <t>1.83-9.23</t>
  </si>
  <si>
    <t>0.70-10.36</t>
  </si>
  <si>
    <t>2.47-8.59</t>
  </si>
  <si>
    <t>1.11-9.95</t>
  </si>
  <si>
    <t>0.59-10.45</t>
  </si>
  <si>
    <t>1.44-9.60</t>
  </si>
  <si>
    <t>1.08-9.94</t>
  </si>
  <si>
    <t>1.11-9.91</t>
  </si>
  <si>
    <t>1.34-9.68</t>
  </si>
  <si>
    <t>1.03-9.99</t>
  </si>
  <si>
    <t>1.75-9.27</t>
  </si>
  <si>
    <t>1.71-9.31</t>
  </si>
  <si>
    <t>1.54-9.46</t>
  </si>
  <si>
    <t>1.65-9.35</t>
  </si>
  <si>
    <t>0.91-10.09</t>
  </si>
  <si>
    <t>0.01-10.99</t>
  </si>
  <si>
    <t>0.98-10.00</t>
  </si>
  <si>
    <t>1.66-9.32</t>
  </si>
  <si>
    <t>1.10-9.88</t>
  </si>
  <si>
    <t>0.56-10.42</t>
  </si>
  <si>
    <t>0.70-10.26</t>
  </si>
  <si>
    <t>1.43-9.53</t>
  </si>
  <si>
    <t>0.97-9.99</t>
  </si>
  <si>
    <t>1.78-9.18</t>
  </si>
  <si>
    <t>1.86-9.10</t>
  </si>
  <si>
    <t>0.59-10.37</t>
  </si>
  <si>
    <t>1.10-9.84</t>
  </si>
  <si>
    <t>1.38-9.56</t>
  </si>
  <si>
    <t>0.25-10.67</t>
  </si>
  <si>
    <t>0.95-9.97</t>
  </si>
  <si>
    <t>0.54-10.36</t>
  </si>
  <si>
    <t>1.56-9.34</t>
  </si>
  <si>
    <t>2.10-8.78</t>
  </si>
  <si>
    <t>1.78-9.10</t>
  </si>
  <si>
    <t>1.23-9.63</t>
  </si>
  <si>
    <t>1.82-9.04</t>
  </si>
  <si>
    <t>1.42-9.44</t>
  </si>
  <si>
    <t>0.91-9.93</t>
  </si>
  <si>
    <t>1.48-9.36</t>
  </si>
  <si>
    <t>0.61-10.23</t>
  </si>
  <si>
    <t>1.32-9.52</t>
  </si>
  <si>
    <t>1.37-9.47</t>
  </si>
  <si>
    <t>0.38-10.44</t>
  </si>
  <si>
    <t>0.87-9.95</t>
  </si>
  <si>
    <t>0.45-10.37</t>
  </si>
  <si>
    <t>1.14-9.68</t>
  </si>
  <si>
    <t>1.45-9.37</t>
  </si>
  <si>
    <t>1.13-9.69</t>
  </si>
  <si>
    <t>0.93-9.87</t>
  </si>
  <si>
    <t>2.53-8.25</t>
  </si>
  <si>
    <t>0.46-10.32</t>
  </si>
  <si>
    <t>0.85-9.91</t>
  </si>
  <si>
    <t>1.00-9.76</t>
  </si>
  <si>
    <t>1.88-8.88</t>
  </si>
  <si>
    <t>2.12-8.64</t>
  </si>
  <si>
    <t>0.90-9.84</t>
  </si>
  <si>
    <t>1.83-8.91</t>
  </si>
  <si>
    <t>1.75-8.99</t>
  </si>
  <si>
    <t>1.37-9.37</t>
  </si>
  <si>
    <t>0.84-9.90</t>
  </si>
  <si>
    <t>0.40-10.32</t>
  </si>
  <si>
    <t>0.53-10.19</t>
  </si>
  <si>
    <t>0.84-9.88</t>
  </si>
  <si>
    <t>1.56-9.16</t>
  </si>
  <si>
    <t>2.29-8.41</t>
  </si>
  <si>
    <t>0.89-9.81</t>
  </si>
  <si>
    <t>1.13-9.55</t>
  </si>
  <si>
    <t>1.12-9.52</t>
  </si>
  <si>
    <t>1.45-9.19</t>
  </si>
  <si>
    <t>1.81-8.81</t>
  </si>
  <si>
    <t>0.64-9.96</t>
  </si>
  <si>
    <t>1.32-9.28</t>
  </si>
  <si>
    <t>1.22-9.38</t>
  </si>
  <si>
    <t>1.64-8.94</t>
  </si>
  <si>
    <t>0.81-9.77</t>
  </si>
  <si>
    <t>1.15-9.43</t>
  </si>
  <si>
    <t>1.51-9.07</t>
  </si>
  <si>
    <t>1.95-8.61</t>
  </si>
  <si>
    <t>1.10-9.46</t>
  </si>
  <si>
    <t>0.88-9.66</t>
  </si>
  <si>
    <t>1.78-8.76</t>
  </si>
  <si>
    <t>1.42-9.12</t>
  </si>
  <si>
    <t>0.28-10.24</t>
  </si>
  <si>
    <t>0.71-9.81</t>
  </si>
  <si>
    <t>0.23-10.29</t>
  </si>
  <si>
    <t>1.06-9.44</t>
  </si>
  <si>
    <t>0.20-10.30</t>
  </si>
  <si>
    <t>0.88-9.62</t>
  </si>
  <si>
    <t>0.36-10.14</t>
  </si>
  <si>
    <t>1.43-9.05</t>
  </si>
  <si>
    <t>0.82-9.66</t>
  </si>
  <si>
    <t>1.07-9.41</t>
  </si>
  <si>
    <t>2.11-8.37</t>
  </si>
  <si>
    <t>1.30-9.16</t>
  </si>
  <si>
    <t>0.48-9.96</t>
  </si>
  <si>
    <t>1.46-8.96</t>
  </si>
  <si>
    <t>1.11-9.31</t>
  </si>
  <si>
    <t>1.45-8.95</t>
  </si>
  <si>
    <t>1.97-8.43</t>
  </si>
  <si>
    <t>1.99-8.41</t>
  </si>
  <si>
    <t>0.61-9.79</t>
  </si>
  <si>
    <t>1.81-8.57</t>
  </si>
  <si>
    <t>0.40-9.98</t>
  </si>
  <si>
    <t>2.17-8.19</t>
  </si>
  <si>
    <t>2.31-8.03</t>
  </si>
  <si>
    <t>0.74-9.58</t>
  </si>
  <si>
    <t>0.78-9.52</t>
  </si>
  <si>
    <t>0.81-9.49</t>
  </si>
  <si>
    <t>0.73-9.57</t>
  </si>
  <si>
    <t>1.45-8.83</t>
  </si>
  <si>
    <t>1.63-8.65</t>
  </si>
  <si>
    <t>0.83-9.43</t>
  </si>
  <si>
    <t>1.52-8.74</t>
  </si>
  <si>
    <t>1.28-8.98</t>
  </si>
  <si>
    <t>0.94-9.32</t>
  </si>
  <si>
    <t>0.32-9.92</t>
  </si>
  <si>
    <t>0.09-10.15</t>
  </si>
  <si>
    <t>1.19-9.05</t>
  </si>
  <si>
    <t>1.38-8.84</t>
  </si>
  <si>
    <t>1.29-8.91</t>
  </si>
  <si>
    <t>0.77-9.41</t>
  </si>
  <si>
    <t>0.86-9.32</t>
  </si>
  <si>
    <t>0.80-9.38</t>
  </si>
  <si>
    <t>0.58-9.58</t>
  </si>
  <si>
    <t>0.64-9.50</t>
  </si>
  <si>
    <t>0.82-9.32</t>
  </si>
  <si>
    <t>0.27-9.87</t>
  </si>
  <si>
    <t>1.17-8.95</t>
  </si>
  <si>
    <t>1.61-8.51</t>
  </si>
  <si>
    <t>0.81-9.31</t>
  </si>
  <si>
    <t>1.58-8.52</t>
  </si>
  <si>
    <t>0.51-9.59</t>
  </si>
  <si>
    <t>1.07-9.03</t>
  </si>
  <si>
    <t>1.92-8.18</t>
  </si>
  <si>
    <t>1.06-9.02</t>
  </si>
  <si>
    <t>0.42-9.64</t>
  </si>
  <si>
    <t>0.68-9.38</t>
  </si>
  <si>
    <t>1.23-8.83</t>
  </si>
  <si>
    <t>0.42-9.62</t>
  </si>
  <si>
    <t>0.55-9.49</t>
  </si>
  <si>
    <t>1.51-8.47</t>
  </si>
  <si>
    <t>1.23-8.75</t>
  </si>
  <si>
    <t>1.58-8.40</t>
  </si>
  <si>
    <t>0.75-9.21</t>
  </si>
  <si>
    <t>2.06-7.88</t>
  </si>
  <si>
    <t>0.90-9.02</t>
  </si>
  <si>
    <t>1.45-8.47</t>
  </si>
  <si>
    <t>0.44-9.46</t>
  </si>
  <si>
    <t>1.06-8.84</t>
  </si>
  <si>
    <t>0.88-9.02</t>
  </si>
  <si>
    <t>0.15-9.75</t>
  </si>
  <si>
    <t>1.88-8.00</t>
  </si>
  <si>
    <t>1.65-8.23</t>
  </si>
  <si>
    <t>1.89-7.99</t>
  </si>
  <si>
    <t>1.68-8.20</t>
  </si>
  <si>
    <t>1.09-8.79</t>
  </si>
  <si>
    <t>1.01-8.85</t>
  </si>
  <si>
    <t>0.51-9.35</t>
  </si>
  <si>
    <t>0.55-9.31</t>
  </si>
  <si>
    <t>0.71-9.13</t>
  </si>
  <si>
    <t>1.48-8.36</t>
  </si>
  <si>
    <t>0.88-8.94</t>
  </si>
  <si>
    <t>0.39-9.43</t>
  </si>
  <si>
    <t>1.17-8.65</t>
  </si>
  <si>
    <t>1.05-8.77</t>
  </si>
  <si>
    <t>0.57-9.25</t>
  </si>
  <si>
    <t>1.70-8.10</t>
  </si>
  <si>
    <t>0.33-9.47</t>
  </si>
  <si>
    <t>0.74-9.06</t>
  </si>
  <si>
    <t>0.91-8.89</t>
  </si>
  <si>
    <t>0.93-8.85</t>
  </si>
  <si>
    <t>0.66-9.12</t>
  </si>
  <si>
    <t>1.36-8.42</t>
  </si>
  <si>
    <t>1.33-8.43</t>
  </si>
  <si>
    <t>0.70-9.06</t>
  </si>
  <si>
    <t>0.53-9.23</t>
  </si>
  <si>
    <t>1.34-8.40</t>
  </si>
  <si>
    <t>1.36-8.38</t>
  </si>
  <si>
    <t>0.28-9.44</t>
  </si>
  <si>
    <t>0.46-9.26</t>
  </si>
  <si>
    <t>0.20-9.52</t>
  </si>
  <si>
    <t>1.44-8.28</t>
  </si>
  <si>
    <t>1.44-8.26</t>
  </si>
  <si>
    <t>1.39-8.31</t>
  </si>
  <si>
    <t>1.75-7.95</t>
  </si>
  <si>
    <t>1.14-8.56</t>
  </si>
  <si>
    <t>1.44-8.24</t>
  </si>
  <si>
    <t>0.88-8.80</t>
  </si>
  <si>
    <t>1.15-8.53</t>
  </si>
  <si>
    <t>1.51-8.17</t>
  </si>
  <si>
    <t>1.50-8.18</t>
  </si>
  <si>
    <t>0.38-9.30</t>
  </si>
  <si>
    <t>0.81-8.85</t>
  </si>
  <si>
    <t>0.71-8.95</t>
  </si>
  <si>
    <t>0.95-8.71</t>
  </si>
  <si>
    <t>0.22-9.40</t>
  </si>
  <si>
    <t>1.73-7.89</t>
  </si>
  <si>
    <t>0.81-8.79</t>
  </si>
  <si>
    <t>0.66-8.92</t>
  </si>
  <si>
    <t>2.15-7.43</t>
  </si>
  <si>
    <t>0.49-9.09</t>
  </si>
  <si>
    <t>1.07-8.51</t>
  </si>
  <si>
    <t>1.05-8.51</t>
  </si>
  <si>
    <t>1.08-8.48</t>
  </si>
  <si>
    <t>0.60-8.96</t>
  </si>
  <si>
    <t>1.77-7.79</t>
  </si>
  <si>
    <t>1.15-8.41</t>
  </si>
  <si>
    <t>1.01-8.55</t>
  </si>
  <si>
    <t>1.68-7.86</t>
  </si>
  <si>
    <t>1.40-8.14</t>
  </si>
  <si>
    <t>1.51-8.03</t>
  </si>
  <si>
    <t>1.38-8.16</t>
  </si>
  <si>
    <t>1.04-8.50</t>
  </si>
  <si>
    <t>0.82-8.70</t>
  </si>
  <si>
    <t>1.17-8.35</t>
  </si>
  <si>
    <t>0.46-9.04</t>
  </si>
  <si>
    <t>0.13-9.35</t>
  </si>
  <si>
    <t>0.27-9.21</t>
  </si>
  <si>
    <t>0.22-9.26</t>
  </si>
  <si>
    <t>0.77-8.69</t>
  </si>
  <si>
    <t>0.41-9.05</t>
  </si>
  <si>
    <t>1.31-8.15</t>
  </si>
  <si>
    <t>1.71-7.75</t>
  </si>
  <si>
    <t>1.06-8.38</t>
  </si>
  <si>
    <t>0.25-9.19</t>
  </si>
  <si>
    <t>0.27-9.15</t>
  </si>
  <si>
    <t>0.85-8.57</t>
  </si>
  <si>
    <t>1.03-8.39</t>
  </si>
  <si>
    <t>1.30-8.10</t>
  </si>
  <si>
    <t>1.01-8.39</t>
  </si>
  <si>
    <t>1.46-7.94</t>
  </si>
  <si>
    <t>0.79-8.61</t>
  </si>
  <si>
    <t>0.27-9.13</t>
  </si>
  <si>
    <t>1.50-7.88</t>
  </si>
  <si>
    <t>0.94-8.44</t>
  </si>
  <si>
    <t>0.85-8.53</t>
  </si>
  <si>
    <t>0.35-9.03</t>
  </si>
  <si>
    <t>1.34-8.02</t>
  </si>
  <si>
    <t>1.15-8.21</t>
  </si>
  <si>
    <t>0.77-8.59</t>
  </si>
  <si>
    <t>1.08-8.28</t>
  </si>
  <si>
    <t>1.33-8.03</t>
  </si>
  <si>
    <t>0.73-8.61</t>
  </si>
  <si>
    <t>0.84-8.50</t>
  </si>
  <si>
    <t>0.59-8.75</t>
  </si>
  <si>
    <t>1.56-7.78</t>
  </si>
  <si>
    <t>0.68-8.66</t>
  </si>
  <si>
    <t>1.66-7.68</t>
  </si>
  <si>
    <t>1.34-7.98</t>
  </si>
  <si>
    <t>1.07-8.23</t>
  </si>
  <si>
    <t>0.53-8.77</t>
  </si>
  <si>
    <t>0.36-8.94</t>
  </si>
  <si>
    <t>0.29-8.99</t>
  </si>
  <si>
    <t>1.34-7.94</t>
  </si>
  <si>
    <t>0.07-9.19</t>
  </si>
  <si>
    <t>0.76-8.50</t>
  </si>
  <si>
    <t>0.86-8.38</t>
  </si>
  <si>
    <t>1.32-7.92</t>
  </si>
  <si>
    <t>1.13-8.11</t>
  </si>
  <si>
    <t>1.55-7.69</t>
  </si>
  <si>
    <t>0.22-9.00</t>
  </si>
  <si>
    <t>0.98-8.24</t>
  </si>
  <si>
    <t>0.86-8.36</t>
  </si>
  <si>
    <t>0.44-8.76</t>
  </si>
  <si>
    <t>0.00-9.20</t>
  </si>
  <si>
    <t>1.15-8.05</t>
  </si>
  <si>
    <t>1.30-7.88</t>
  </si>
  <si>
    <t>0.46-8.72</t>
  </si>
  <si>
    <t>0.26-8.90</t>
  </si>
  <si>
    <t>1.26-7.90</t>
  </si>
  <si>
    <t>0.72-8.42</t>
  </si>
  <si>
    <t>1.75-7.39</t>
  </si>
  <si>
    <t>0.79-8.35</t>
  </si>
  <si>
    <t>0.87-8.25</t>
  </si>
  <si>
    <t>1.30-7.80</t>
  </si>
  <si>
    <t>0.94-8.16</t>
  </si>
  <si>
    <t>0.66-8.44</t>
  </si>
  <si>
    <t>1.40-7.70</t>
  </si>
  <si>
    <t>0.00-9.10</t>
  </si>
  <si>
    <t>0.09-9.01</t>
  </si>
  <si>
    <t>1.28-7.82</t>
  </si>
  <si>
    <t>1.23-7.87</t>
  </si>
  <si>
    <t>0.02-9.06</t>
  </si>
  <si>
    <t>0.36-8.72</t>
  </si>
  <si>
    <t>0.66-8.42</t>
  </si>
  <si>
    <t>1.36-7.70</t>
  </si>
  <si>
    <t>0.39-8.65</t>
  </si>
  <si>
    <t>0.62-8.42</t>
  </si>
  <si>
    <t>1.07-7.97</t>
  </si>
  <si>
    <t>1.21-7.81</t>
  </si>
  <si>
    <t>0.47-8.55</t>
  </si>
  <si>
    <t>0.57-8.45</t>
  </si>
  <si>
    <t>1.29-7.73</t>
  </si>
  <si>
    <t>0.83-8.17</t>
  </si>
  <si>
    <t>0.85-8.15</t>
  </si>
  <si>
    <t>0.69-8.29</t>
  </si>
  <si>
    <t>0.30-8.68</t>
  </si>
  <si>
    <t>1.35-7.61</t>
  </si>
  <si>
    <t>0.73-8.23</t>
  </si>
  <si>
    <t>0.74-8.18</t>
  </si>
  <si>
    <t>1.43-7.49</t>
  </si>
  <si>
    <t>1.00-7.92</t>
  </si>
  <si>
    <t>1.29-7.63</t>
  </si>
  <si>
    <t>1.74-7.16</t>
  </si>
  <si>
    <t>0.70-8.16</t>
  </si>
  <si>
    <t>0.85-8.01</t>
  </si>
  <si>
    <t>0.63-8.23</t>
  </si>
  <si>
    <t>0.65-8.19</t>
  </si>
  <si>
    <t>0.25-8.57</t>
  </si>
  <si>
    <t>0.49-8.33</t>
  </si>
  <si>
    <t>1.24-7.58</t>
  </si>
  <si>
    <t>0.44-8.38</t>
  </si>
  <si>
    <t>1.34-7.48</t>
  </si>
  <si>
    <t>1.02-7.78</t>
  </si>
  <si>
    <t>0.36-8.44</t>
  </si>
  <si>
    <t>1.04-7.76</t>
  </si>
  <si>
    <t>0.96-7.84</t>
  </si>
  <si>
    <t>0.49-8.29</t>
  </si>
  <si>
    <t>0.09-8.67</t>
  </si>
  <si>
    <t>0.93-7.83</t>
  </si>
  <si>
    <t>0.46-8.30</t>
  </si>
  <si>
    <t>1.53-7.21</t>
  </si>
  <si>
    <t>0.74-8.00</t>
  </si>
  <si>
    <t>0.61-8.11</t>
  </si>
  <si>
    <t>1.02-7.70</t>
  </si>
  <si>
    <t>1.21-7.51</t>
  </si>
  <si>
    <t>0.59-8.13</t>
  </si>
  <si>
    <t>1.49-7.23</t>
  </si>
  <si>
    <t>1.58-7.14</t>
  </si>
  <si>
    <t>1.47-7.25</t>
  </si>
  <si>
    <t>0.92-7.80</t>
  </si>
  <si>
    <t>0.63-8.09</t>
  </si>
  <si>
    <t>1.06-7.64</t>
  </si>
  <si>
    <t>0.56-8.14</t>
  </si>
  <si>
    <t>1.19-7.51</t>
  </si>
  <si>
    <t>0.41-8.27</t>
  </si>
  <si>
    <t>0.48-8.20</t>
  </si>
  <si>
    <t>0.72-7.92</t>
  </si>
  <si>
    <t>0.42-8.22</t>
  </si>
  <si>
    <t>0.85-7.79</t>
  </si>
  <si>
    <t>0.39-8.25</t>
  </si>
  <si>
    <t>0.21-8.43</t>
  </si>
  <si>
    <t>0.06-8.58</t>
  </si>
  <si>
    <t>0.53-8.11</t>
  </si>
  <si>
    <t>1.11-7.51</t>
  </si>
  <si>
    <t>0.69-7.93</t>
  </si>
  <si>
    <t>1.60-7.02</t>
  </si>
  <si>
    <t>0.56-8.04</t>
  </si>
  <si>
    <t>0.96-7.62</t>
  </si>
  <si>
    <t>0.70-7.86</t>
  </si>
  <si>
    <t>0.36-8.20</t>
  </si>
  <si>
    <t>1.20-7.34</t>
  </si>
  <si>
    <t>1.12-7.42</t>
  </si>
  <si>
    <t>0.38-8.16</t>
  </si>
  <si>
    <t>1.34-7.20</t>
  </si>
  <si>
    <t>0.41-8.11</t>
  </si>
  <si>
    <t>1.11-7.41</t>
  </si>
  <si>
    <t>0.66-7.84</t>
  </si>
  <si>
    <t>0.65-7.85</t>
  </si>
  <si>
    <t>0.10-8.40</t>
  </si>
  <si>
    <t>0.95-7.53</t>
  </si>
  <si>
    <t>0.63-7.85</t>
  </si>
  <si>
    <t>1.39-7.09</t>
  </si>
  <si>
    <t>1.30-7.18</t>
  </si>
  <si>
    <t>0.77-7.71</t>
  </si>
  <si>
    <t>0.21-8.25</t>
  </si>
  <si>
    <t>1.13-7.33</t>
  </si>
  <si>
    <t>0.19-8.25</t>
  </si>
  <si>
    <t>0.09-8.35</t>
  </si>
  <si>
    <t>0.32-8.12</t>
  </si>
  <si>
    <t>0.15-8.29</t>
  </si>
  <si>
    <t>0.50-7.92</t>
  </si>
  <si>
    <t>0.91-7.49</t>
  </si>
  <si>
    <t>0.55-7.85</t>
  </si>
  <si>
    <t>0.66-7.74</t>
  </si>
  <si>
    <t>0.33-8.05</t>
  </si>
  <si>
    <t>0.96-7.42</t>
  </si>
  <si>
    <t>0.19-8.17</t>
  </si>
  <si>
    <t>0.14-8.22</t>
  </si>
  <si>
    <t>1.05-7.31</t>
  </si>
  <si>
    <t>0.98-7.38</t>
  </si>
  <si>
    <t>1.26-7.10</t>
  </si>
  <si>
    <t>0.66-7.68</t>
  </si>
  <si>
    <t>1.50-6.84</t>
  </si>
  <si>
    <t>0.70-7.64</t>
  </si>
  <si>
    <t>0.43-7.91</t>
  </si>
  <si>
    <t>0.29-8.01</t>
  </si>
  <si>
    <t>0.06-8.24</t>
  </si>
  <si>
    <t>1.21-7.07</t>
  </si>
  <si>
    <t>0.93-7.33</t>
  </si>
  <si>
    <t>0.71-7.55</t>
  </si>
  <si>
    <t>1.23-7.03</t>
  </si>
  <si>
    <t>1.20-7.06</t>
  </si>
  <si>
    <t>0.00-8.26</t>
  </si>
  <si>
    <t>1.44-6.82</t>
  </si>
  <si>
    <t>0.98-7.26</t>
  </si>
  <si>
    <t>1.16-7.08</t>
  </si>
  <si>
    <t>0.37-7.87</t>
  </si>
  <si>
    <t>0.18-8.06</t>
  </si>
  <si>
    <t>0.56-7.66</t>
  </si>
  <si>
    <t>0.97-7.25</t>
  </si>
  <si>
    <t>1.32-6.90</t>
  </si>
  <si>
    <t>0.21-7.99</t>
  </si>
  <si>
    <t>0.50-7.70</t>
  </si>
  <si>
    <t>0.31-7.89</t>
  </si>
  <si>
    <t>0.75-7.43</t>
  </si>
  <si>
    <t>0.86-7.32</t>
  </si>
  <si>
    <t>1.18-6.98</t>
  </si>
  <si>
    <t>0.25-7.91</t>
  </si>
  <si>
    <t>0.08-8.06</t>
  </si>
  <si>
    <t>1.01-7.13</t>
  </si>
  <si>
    <t>0.95-7.17</t>
  </si>
  <si>
    <t>0.97-7.15</t>
  </si>
  <si>
    <t>1.07-7.03</t>
  </si>
  <si>
    <t>1.37-6.73</t>
  </si>
  <si>
    <t>0.95-7.15</t>
  </si>
  <si>
    <t>1.02-7.06</t>
  </si>
  <si>
    <t>0.49-7.59</t>
  </si>
  <si>
    <t>1.00-7.08</t>
  </si>
  <si>
    <t>0.46-7.62</t>
  </si>
  <si>
    <t>0.88-7.18</t>
  </si>
  <si>
    <t>0.97-7.09</t>
  </si>
  <si>
    <t>1.03-7.03</t>
  </si>
  <si>
    <t>0.59-7.47</t>
  </si>
  <si>
    <t>0.13-7.93</t>
  </si>
  <si>
    <t>1.22-6.84</t>
  </si>
  <si>
    <t>0.22-7.82</t>
  </si>
  <si>
    <t>0.12-7.92</t>
  </si>
  <si>
    <t>0.28-7.76</t>
  </si>
  <si>
    <t>1.10-6.94</t>
  </si>
  <si>
    <t>1.46-6.58</t>
  </si>
  <si>
    <t>0.08-7.94</t>
  </si>
  <si>
    <t>0.89-7.13</t>
  </si>
  <si>
    <t>0.20-7.82</t>
  </si>
  <si>
    <t>0.34-7.66</t>
  </si>
  <si>
    <t>0.67-7.33</t>
  </si>
  <si>
    <t>0.06-7.94</t>
  </si>
  <si>
    <t>1.01-6.97</t>
  </si>
  <si>
    <t>1.08-6.88</t>
  </si>
  <si>
    <t>0.61-7.33</t>
  </si>
  <si>
    <t>0.13-7.81</t>
  </si>
  <si>
    <t>1.53-6.41</t>
  </si>
  <si>
    <t>0.54-7.40</t>
  </si>
  <si>
    <t>0.28-7.66</t>
  </si>
  <si>
    <t>0.30-7.62</t>
  </si>
  <si>
    <t>0.20-7.72</t>
  </si>
  <si>
    <t>0.61-7.29</t>
  </si>
  <si>
    <t>1.05-6.85</t>
  </si>
  <si>
    <t>0.81-7.09</t>
  </si>
  <si>
    <t>0.98-6.90</t>
  </si>
  <si>
    <t>1.23-6.65</t>
  </si>
  <si>
    <t>0.46-7.40</t>
  </si>
  <si>
    <t>0.73-7.13</t>
  </si>
  <si>
    <t>0.07-7.79</t>
  </si>
  <si>
    <t>1.50-6.36</t>
  </si>
  <si>
    <t>1.64-6.22</t>
  </si>
  <si>
    <t>0.56-7.30</t>
  </si>
  <si>
    <t>0.74-7.10</t>
  </si>
  <si>
    <t>0.88-6.96</t>
  </si>
  <si>
    <t>0.47-7.37</t>
  </si>
  <si>
    <t>0.92-6.88</t>
  </si>
  <si>
    <t>0.83-6.97</t>
  </si>
  <si>
    <t>0.75-7.05</t>
  </si>
  <si>
    <t>0.24-7.54</t>
  </si>
  <si>
    <t>1.08-6.70</t>
  </si>
  <si>
    <t>0.23-7.55</t>
  </si>
  <si>
    <t>1.02-6.76</t>
  </si>
  <si>
    <t>0.54-7.22</t>
  </si>
  <si>
    <t>0.33-7.43</t>
  </si>
  <si>
    <t>1.41-6.35</t>
  </si>
  <si>
    <t>1.46-6.30</t>
  </si>
  <si>
    <t>0.95-6.79</t>
  </si>
  <si>
    <t>0.62-7.12</t>
  </si>
  <si>
    <t>0.79-6.95</t>
  </si>
  <si>
    <t>0.54-7.18</t>
  </si>
  <si>
    <t>0.34-7.36</t>
  </si>
  <si>
    <t>0.27-7.43</t>
  </si>
  <si>
    <t>0.61-7.07</t>
  </si>
  <si>
    <t>0.87-6.81</t>
  </si>
  <si>
    <t>0.64-7.02</t>
  </si>
  <si>
    <t>0.22-7.42</t>
  </si>
  <si>
    <t>0.65-6.97</t>
  </si>
  <si>
    <t>0.68-6.94</t>
  </si>
  <si>
    <t>0.42-7.20</t>
  </si>
  <si>
    <t>0.29-7.33</t>
  </si>
  <si>
    <t>0.36-7.24</t>
  </si>
  <si>
    <t>0.66-6.94</t>
  </si>
  <si>
    <t>0.81-6.79</t>
  </si>
  <si>
    <t>1.11-6.47</t>
  </si>
  <si>
    <t>0.67-6.91</t>
  </si>
  <si>
    <t>0.84-6.74</t>
  </si>
  <si>
    <t>0.30-7.26</t>
  </si>
  <si>
    <t>0.60-6.96</t>
  </si>
  <si>
    <t>0.74-6.82</t>
  </si>
  <si>
    <t>0.43-7.13</t>
  </si>
  <si>
    <t>0.65-6.91</t>
  </si>
  <si>
    <t>0.69-6.87</t>
  </si>
  <si>
    <t>0.45-7.11</t>
  </si>
  <si>
    <t>1.07-6.47</t>
  </si>
  <si>
    <t>0.96-6.58</t>
  </si>
  <si>
    <t>0.60-6.92</t>
  </si>
  <si>
    <t>0.69-6.83</t>
  </si>
  <si>
    <t>0.57-6.95</t>
  </si>
  <si>
    <t>0.96-6.56</t>
  </si>
  <si>
    <t>1.05-6.47</t>
  </si>
  <si>
    <t>0.34-7.18</t>
  </si>
  <si>
    <t>0.72-6.80</t>
  </si>
  <si>
    <t>0.78-6.72</t>
  </si>
  <si>
    <t>0.59-6.89</t>
  </si>
  <si>
    <t>0.11-7.37</t>
  </si>
  <si>
    <t>0.41-7.05</t>
  </si>
  <si>
    <t>0.96-6.50</t>
  </si>
  <si>
    <t>1.05-6.41</t>
  </si>
  <si>
    <t>0.52-6.94</t>
  </si>
  <si>
    <t>0.98-6.46</t>
  </si>
  <si>
    <t>0.94-6.50</t>
  </si>
  <si>
    <t>0.05-7.39</t>
  </si>
  <si>
    <t>0.33-7.07</t>
  </si>
  <si>
    <t>0.78-6.62</t>
  </si>
  <si>
    <t>0.05-7.35</t>
  </si>
  <si>
    <t>0.86-6.54</t>
  </si>
  <si>
    <t>1.02-6.38</t>
  </si>
  <si>
    <t>0.62-6.76</t>
  </si>
  <si>
    <t>0.32-7.04</t>
  </si>
  <si>
    <t>0.54-6.82</t>
  </si>
  <si>
    <t>0.49-6.85</t>
  </si>
  <si>
    <t>1.14-6.20</t>
  </si>
  <si>
    <t>0.76-6.58</t>
  </si>
  <si>
    <t>0.10-7.24</t>
  </si>
  <si>
    <t>0.25-7.07</t>
  </si>
  <si>
    <t>0.88-6.44</t>
  </si>
  <si>
    <t>0.85-6.47</t>
  </si>
  <si>
    <t>0.53-6.79</t>
  </si>
  <si>
    <t>0.38-6.94</t>
  </si>
  <si>
    <t>0.79-6.51</t>
  </si>
  <si>
    <t>0.50-6.80</t>
  </si>
  <si>
    <t>1.13-6.17</t>
  </si>
  <si>
    <t>0.41-6.89</t>
  </si>
  <si>
    <t>0.97-6.33</t>
  </si>
  <si>
    <t>0.89-6.41</t>
  </si>
  <si>
    <t>0.53-6.77</t>
  </si>
  <si>
    <t>0.82-6.46</t>
  </si>
  <si>
    <t>0.40-6.88</t>
  </si>
  <si>
    <t>0.84-6.44</t>
  </si>
  <si>
    <t>0.42-6.86</t>
  </si>
  <si>
    <t>0.74-6.52</t>
  </si>
  <si>
    <t>0.47-6.79</t>
  </si>
  <si>
    <t>0.95-6.31</t>
  </si>
  <si>
    <t>0.45-6.79</t>
  </si>
  <si>
    <t>0.27-6.97</t>
  </si>
  <si>
    <t>0.56-6.68</t>
  </si>
  <si>
    <t>0.20-7.04</t>
  </si>
  <si>
    <t>1.29-5.93</t>
  </si>
  <si>
    <t>0.31-6.89</t>
  </si>
  <si>
    <t>0.83-6.37</t>
  </si>
  <si>
    <t>0.03-7.17</t>
  </si>
  <si>
    <t>0.18-7.02</t>
  </si>
  <si>
    <t>0.45-6.73</t>
  </si>
  <si>
    <t>0.28-6.90</t>
  </si>
  <si>
    <t>0.69-6.49</t>
  </si>
  <si>
    <t>0.63-6.55</t>
  </si>
  <si>
    <t>0.15-7.03</t>
  </si>
  <si>
    <t>0.51-6.67</t>
  </si>
  <si>
    <t>0.10-7.06</t>
  </si>
  <si>
    <t>0.31-6.85</t>
  </si>
  <si>
    <t>0.47-6.69</t>
  </si>
  <si>
    <t>0.04-7.10</t>
  </si>
  <si>
    <t>0.97-6.17</t>
  </si>
  <si>
    <t>0.82-6.32</t>
  </si>
  <si>
    <t>0.43-6.69</t>
  </si>
  <si>
    <t>2.95-4.17</t>
  </si>
  <si>
    <t>0.67-6.45</t>
  </si>
  <si>
    <t>0.02-7.10</t>
  </si>
  <si>
    <t>0.11-7.01</t>
  </si>
  <si>
    <t>0.62-6.50</t>
  </si>
  <si>
    <t>0.76-6.34</t>
  </si>
  <si>
    <t>0.44-6.66</t>
  </si>
  <si>
    <t>0.77-6.33</t>
  </si>
  <si>
    <t>0.00-7.08</t>
  </si>
  <si>
    <t>0.09-6.99</t>
  </si>
  <si>
    <t>0.68-6.38</t>
  </si>
  <si>
    <t>0.79-6.27</t>
  </si>
  <si>
    <t>0.18-6.88</t>
  </si>
  <si>
    <t>0.54-6.50</t>
  </si>
  <si>
    <t>0.11-6.93</t>
  </si>
  <si>
    <t>0.34-6.68</t>
  </si>
  <si>
    <t>0.19-6.83</t>
  </si>
  <si>
    <t>0.08-6.92</t>
  </si>
  <si>
    <t>0.24-6.76</t>
  </si>
  <si>
    <t>0.54-6.46</t>
  </si>
  <si>
    <t>0.78-6.20</t>
  </si>
  <si>
    <t>0.03-6.95</t>
  </si>
  <si>
    <t>0.51-6.45</t>
  </si>
  <si>
    <t>0.44-6.52</t>
  </si>
  <si>
    <t>0.81-6.13</t>
  </si>
  <si>
    <t>0.76-6.18</t>
  </si>
  <si>
    <t>0.77-6.17</t>
  </si>
  <si>
    <t>0.92-6.02</t>
  </si>
  <si>
    <t>0.41-6.53</t>
  </si>
  <si>
    <t>0.25-6.67</t>
  </si>
  <si>
    <t>0.19-6.73</t>
  </si>
  <si>
    <t>0.00-6.90</t>
  </si>
  <si>
    <t>0.89-6.01</t>
  </si>
  <si>
    <t>0.00-6.88</t>
  </si>
  <si>
    <t>0.40-6.48</t>
  </si>
  <si>
    <t>0.51-6.37</t>
  </si>
  <si>
    <t>0.06-6.82</t>
  </si>
  <si>
    <t>0.24-6.64</t>
  </si>
  <si>
    <t>0.85-6.01</t>
  </si>
  <si>
    <t>1.02-5.84</t>
  </si>
  <si>
    <t>0.58-6.28</t>
  </si>
  <si>
    <t>0.68-6.16</t>
  </si>
  <si>
    <t>0.01-6.83</t>
  </si>
  <si>
    <t>0.39-6.43</t>
  </si>
  <si>
    <t>0.08-6.74</t>
  </si>
  <si>
    <t>0.51-6.29</t>
  </si>
  <si>
    <t>1.06-5.74</t>
  </si>
  <si>
    <t>1.41-5.39</t>
  </si>
  <si>
    <t>0.39-6.39</t>
  </si>
  <si>
    <t>0.32-6.46</t>
  </si>
  <si>
    <t>0.84-5.94</t>
  </si>
  <si>
    <t>0.72-6.06</t>
  </si>
  <si>
    <t>0.24-6.52</t>
  </si>
  <si>
    <t>0.82-5.94</t>
  </si>
  <si>
    <t>0.07-6.69</t>
  </si>
  <si>
    <t>0.94-5.78</t>
  </si>
  <si>
    <t>0.28-6.42</t>
  </si>
  <si>
    <t>0.85-5.83</t>
  </si>
  <si>
    <t>0.71-5.97</t>
  </si>
  <si>
    <t>0.47-6.21</t>
  </si>
  <si>
    <t>0.27-6.39</t>
  </si>
  <si>
    <t>0.68-5.98</t>
  </si>
  <si>
    <t>0.83-5.83</t>
  </si>
  <si>
    <t>0.33-6.31</t>
  </si>
  <si>
    <t>0.07-6.57</t>
  </si>
  <si>
    <t>0.61-6.03</t>
  </si>
  <si>
    <t>0.58-6.06</t>
  </si>
  <si>
    <t>0.93-5.71</t>
  </si>
  <si>
    <t>0.33-6.29</t>
  </si>
  <si>
    <t>0.27-6.35</t>
  </si>
  <si>
    <t>0.98-5.62</t>
  </si>
  <si>
    <t>0.50-6.10</t>
  </si>
  <si>
    <t>0.14-6.46</t>
  </si>
  <si>
    <t>0.15-6.45</t>
  </si>
  <si>
    <t>0.66-5.92</t>
  </si>
  <si>
    <t>0.64-5.94</t>
  </si>
  <si>
    <t>1.34-5.24</t>
  </si>
  <si>
    <t>0.25-6.31</t>
  </si>
  <si>
    <t>0.97-5.59</t>
  </si>
  <si>
    <t>0.23-6.33</t>
  </si>
  <si>
    <t>0.20-6.34</t>
  </si>
  <si>
    <t>0.78-5.74</t>
  </si>
  <si>
    <t>1.31-5.21</t>
  </si>
  <si>
    <t>0.63-5.89</t>
  </si>
  <si>
    <t>0.90-5.60</t>
  </si>
  <si>
    <t>0.26-6.22</t>
  </si>
  <si>
    <t>0.13-6.35</t>
  </si>
  <si>
    <t>0.18-6.30</t>
  </si>
  <si>
    <t>0.21-6.27</t>
  </si>
  <si>
    <t>0.68-5.80</t>
  </si>
  <si>
    <t>0.65-5.81</t>
  </si>
  <si>
    <t>0.54-5.92</t>
  </si>
  <si>
    <t>2.61-3.85</t>
  </si>
  <si>
    <t>0.29-6.17</t>
  </si>
  <si>
    <t>0.62-5.82</t>
  </si>
  <si>
    <t>0.15-6.29</t>
  </si>
  <si>
    <t>0.43-6.01</t>
  </si>
  <si>
    <t>1.29-5.15</t>
  </si>
  <si>
    <t>0.74-5.70</t>
  </si>
  <si>
    <t>0.48-5.94</t>
  </si>
  <si>
    <t>0.80-5.62</t>
  </si>
  <si>
    <t>0.71-5.71</t>
  </si>
  <si>
    <t>1.02-5.38</t>
  </si>
  <si>
    <t>0.36-6.04</t>
  </si>
  <si>
    <t>0.50-5.88</t>
  </si>
  <si>
    <t>0.67-5.71</t>
  </si>
  <si>
    <t>0.59-5.79</t>
  </si>
  <si>
    <t>0.74-5.62</t>
  </si>
  <si>
    <t>0.41-5.95</t>
  </si>
  <si>
    <t>0.53-5.83</t>
  </si>
  <si>
    <t>0.02-6.34</t>
  </si>
  <si>
    <t>0.12-6.24</t>
  </si>
  <si>
    <t>0.85-5.49</t>
  </si>
  <si>
    <t>0.66-5.68</t>
  </si>
  <si>
    <t>1.20-5.10</t>
  </si>
  <si>
    <t>0.90-5.40</t>
  </si>
  <si>
    <t>2.47-3.83</t>
  </si>
  <si>
    <t>1.38-4.92</t>
  </si>
  <si>
    <t>0.76-5.54</t>
  </si>
  <si>
    <t>0.56-5.72</t>
  </si>
  <si>
    <t>1.33-4.95</t>
  </si>
  <si>
    <t>0.28-5.98</t>
  </si>
  <si>
    <t>0.70-5.56</t>
  </si>
  <si>
    <t>0.52-5.74</t>
  </si>
  <si>
    <t>0.68-5.58</t>
  </si>
  <si>
    <t>0.24-6.02</t>
  </si>
  <si>
    <t>0.81-5.45</t>
  </si>
  <si>
    <t>0.22-6.02</t>
  </si>
  <si>
    <t>0.54-5.70</t>
  </si>
  <si>
    <t>0.60-5.64</t>
  </si>
  <si>
    <t>0.63-5.59</t>
  </si>
  <si>
    <t>0.76-5.46</t>
  </si>
  <si>
    <t>0.52-5.70</t>
  </si>
  <si>
    <t>0.06-6.16</t>
  </si>
  <si>
    <t>0.89-5.31</t>
  </si>
  <si>
    <t>0.44-5.76</t>
  </si>
  <si>
    <t>0.58-5.62</t>
  </si>
  <si>
    <t>0.54-5.66</t>
  </si>
  <si>
    <t>0.62-5.58</t>
  </si>
  <si>
    <t>0.54-5.64</t>
  </si>
  <si>
    <t>0.46-5.72</t>
  </si>
  <si>
    <t>0.11-6.05</t>
  </si>
  <si>
    <t>0.12-6.04</t>
  </si>
  <si>
    <t>0.70-5.46</t>
  </si>
  <si>
    <t>0.56-5.60</t>
  </si>
  <si>
    <t>0.39-5.77</t>
  </si>
  <si>
    <t>0.36-5.78</t>
  </si>
  <si>
    <t>0.30-5.84</t>
  </si>
  <si>
    <t>0.02-6.12</t>
  </si>
  <si>
    <t>0.48-5.64</t>
  </si>
  <si>
    <t>0.43-5.69</t>
  </si>
  <si>
    <t>0.23-5.89</t>
  </si>
  <si>
    <t>0.67-5.43</t>
  </si>
  <si>
    <t>0.01-6.09</t>
  </si>
  <si>
    <t>1.03-5.05</t>
  </si>
  <si>
    <t>0.52-5.56</t>
  </si>
  <si>
    <t>0.71-5.37</t>
  </si>
  <si>
    <t>0.19-5.87</t>
  </si>
  <si>
    <t>0.14-5.92</t>
  </si>
  <si>
    <t>0.51-5.53</t>
  </si>
  <si>
    <t>0.32-5.72</t>
  </si>
  <si>
    <t>0.27-5.75</t>
  </si>
  <si>
    <t>0.25-5.77</t>
  </si>
  <si>
    <t>0.53-5.49</t>
  </si>
  <si>
    <t>0.23-5.77</t>
  </si>
  <si>
    <t>0.17-5.83</t>
  </si>
  <si>
    <t>0.46-5.52</t>
  </si>
  <si>
    <t>0.03-5.95</t>
  </si>
  <si>
    <t>0.53-5.45</t>
  </si>
  <si>
    <t>0.26-5.72</t>
  </si>
  <si>
    <t>2.41-3.57</t>
  </si>
  <si>
    <t>0.96-5.00</t>
  </si>
  <si>
    <t>0.46-5.50</t>
  </si>
  <si>
    <t>0.49-5.47</t>
  </si>
  <si>
    <t>0.54-5.42</t>
  </si>
  <si>
    <t>0.14-5.80</t>
  </si>
  <si>
    <t>0.41-5.51</t>
  </si>
  <si>
    <t>0.28-5.64</t>
  </si>
  <si>
    <t>0.45-5.47</t>
  </si>
  <si>
    <t>0.33-5.59</t>
  </si>
  <si>
    <t>0.46-5.44</t>
  </si>
  <si>
    <t>0.11-5.79</t>
  </si>
  <si>
    <t>0.35-5.55</t>
  </si>
  <si>
    <t>0.48-5.40</t>
  </si>
  <si>
    <t>0.10-5.78</t>
  </si>
  <si>
    <t>0.44-5.44</t>
  </si>
  <si>
    <t>0.54-5.32</t>
  </si>
  <si>
    <t>0.45-5.41</t>
  </si>
  <si>
    <t>0.97-4.89</t>
  </si>
  <si>
    <t>0.06-5.80</t>
  </si>
  <si>
    <t>0.65-5.21</t>
  </si>
  <si>
    <t>0.99-4.85</t>
  </si>
  <si>
    <t>0.08-5.76</t>
  </si>
  <si>
    <t>0.18-5.66</t>
  </si>
  <si>
    <t>0.23-5.61</t>
  </si>
  <si>
    <t>0.03-5.81</t>
  </si>
  <si>
    <t>0.13-5.71</t>
  </si>
  <si>
    <t>0.07-5.75</t>
  </si>
  <si>
    <t>0.13-5.69</t>
  </si>
  <si>
    <t>0.20-5.62</t>
  </si>
  <si>
    <t>0.22-5.60</t>
  </si>
  <si>
    <t>1.23-4.59</t>
  </si>
  <si>
    <t>0.25-5.55</t>
  </si>
  <si>
    <t>0.54-5.26</t>
  </si>
  <si>
    <t>0.00-5.78</t>
  </si>
  <si>
    <t>0.08-5.70</t>
  </si>
  <si>
    <t>0.44-5.34</t>
  </si>
  <si>
    <t>0.31-5.47</t>
  </si>
  <si>
    <t>0.21-5.57</t>
  </si>
  <si>
    <t>0.06-5.72</t>
  </si>
  <si>
    <t>0.23-5.53</t>
  </si>
  <si>
    <t>0.25-5.51</t>
  </si>
  <si>
    <t>0.16-5.60</t>
  </si>
  <si>
    <t>0.18-5.58</t>
  </si>
  <si>
    <t>0.86-4.90</t>
  </si>
  <si>
    <t>0.36-5.40</t>
  </si>
  <si>
    <t>0.26-5.50</t>
  </si>
  <si>
    <t>0.46-5.30</t>
  </si>
  <si>
    <t>0.21-5.55</t>
  </si>
  <si>
    <t>0.92-4.84</t>
  </si>
  <si>
    <t>0.57-5.17</t>
  </si>
  <si>
    <t>0.10-5.64</t>
  </si>
  <si>
    <t>0.26-5.48</t>
  </si>
  <si>
    <t>0.58-5.16</t>
  </si>
  <si>
    <t>0.22-5.50</t>
  </si>
  <si>
    <t>0.17-5.55</t>
  </si>
  <si>
    <t>0.46-5.24</t>
  </si>
  <si>
    <t>0.17-5.53</t>
  </si>
  <si>
    <t>0.13-5.57</t>
  </si>
  <si>
    <t>0.20-5.50</t>
  </si>
  <si>
    <t>0.59-5.11</t>
  </si>
  <si>
    <t>0.16-5.52</t>
  </si>
  <si>
    <t>0.07-5.61</t>
  </si>
  <si>
    <t>0.48-5.20</t>
  </si>
  <si>
    <t>0.34-5.34</t>
  </si>
  <si>
    <t>0.77-4.89</t>
  </si>
  <si>
    <t>0.36-5.30</t>
  </si>
  <si>
    <t>0.51-5.13</t>
  </si>
  <si>
    <t>0.62-5.00</t>
  </si>
  <si>
    <t>0.05-5.57</t>
  </si>
  <si>
    <t>0.16-5.42</t>
  </si>
  <si>
    <t>0.28-5.30</t>
  </si>
  <si>
    <t>0.06-5.52</t>
  </si>
  <si>
    <t>0.30-5.28</t>
  </si>
  <si>
    <t>0.31-5.27</t>
  </si>
  <si>
    <t>0.27-5.31</t>
  </si>
  <si>
    <t>0.36-5.20</t>
  </si>
  <si>
    <t>0.45-5.11</t>
  </si>
  <si>
    <t>0.42-5.12</t>
  </si>
  <si>
    <t>0.16-5.38</t>
  </si>
  <si>
    <t>0.54-5.00</t>
  </si>
  <si>
    <t>0.37-5.15</t>
  </si>
  <si>
    <t>0.70-4.82</t>
  </si>
  <si>
    <t>1.09-4.43</t>
  </si>
  <si>
    <t>0.50-5.00</t>
  </si>
  <si>
    <t>0.69-4.81</t>
  </si>
  <si>
    <t>0.03-5.47</t>
  </si>
  <si>
    <t>0.11-5.39</t>
  </si>
  <si>
    <t>0.55-4.93</t>
  </si>
  <si>
    <t>0.10-5.38</t>
  </si>
  <si>
    <t>0.11-5.37</t>
  </si>
  <si>
    <t>0.31-5.17</t>
  </si>
  <si>
    <t>0.56-4.90</t>
  </si>
  <si>
    <t>0.16-5.30</t>
  </si>
  <si>
    <t>0.05-5.41</t>
  </si>
  <si>
    <t>0.17-5.29</t>
  </si>
  <si>
    <t>0.46-5.00</t>
  </si>
  <si>
    <t>0.09-5.35</t>
  </si>
  <si>
    <t>0.57-4.87</t>
  </si>
  <si>
    <t>0.06-5.38</t>
  </si>
  <si>
    <t>0.23-5.21</t>
  </si>
  <si>
    <t>0.19-5.23</t>
  </si>
  <si>
    <t>0.04-5.38</t>
  </si>
  <si>
    <t>0.71-4.69</t>
  </si>
  <si>
    <t>0.09-5.31</t>
  </si>
  <si>
    <t>0.07-5.33</t>
  </si>
  <si>
    <t>0.41-4.99</t>
  </si>
  <si>
    <t>0.23-5.17</t>
  </si>
  <si>
    <t>0.43-4.97</t>
  </si>
  <si>
    <t>0.54-4.84</t>
  </si>
  <si>
    <t>0.33-5.05</t>
  </si>
  <si>
    <t>0.28-5.10</t>
  </si>
  <si>
    <t>1.03-4.35</t>
  </si>
  <si>
    <t>0.49-4.87</t>
  </si>
  <si>
    <t>0.37-4.99</t>
  </si>
  <si>
    <t>0.42-4.92</t>
  </si>
  <si>
    <t>0.19-5.15</t>
  </si>
  <si>
    <t>0.17-5.17</t>
  </si>
  <si>
    <t>0.09-5.23</t>
  </si>
  <si>
    <t>0.39-4.91</t>
  </si>
  <si>
    <t>2.09-3.21</t>
  </si>
  <si>
    <t>0.58-4.72</t>
  </si>
  <si>
    <t>0.48-4.82</t>
  </si>
  <si>
    <t>0.25-5.03</t>
  </si>
  <si>
    <t>0.42-4.86</t>
  </si>
  <si>
    <t>0.07-5.21</t>
  </si>
  <si>
    <t>0.13-5.15</t>
  </si>
  <si>
    <t>1.05-4.23</t>
  </si>
  <si>
    <t>0.30-4.96</t>
  </si>
  <si>
    <t>0.49-4.77</t>
  </si>
  <si>
    <t>0.16-5.10</t>
  </si>
  <si>
    <t>0.57-4.69</t>
  </si>
  <si>
    <t>0.35-4.89</t>
  </si>
  <si>
    <t>0.11-5.13</t>
  </si>
  <si>
    <t>0.47-4.77</t>
  </si>
  <si>
    <t>0.04-5.18</t>
  </si>
  <si>
    <t>0.00-5.22</t>
  </si>
  <si>
    <t>0.48-4.72</t>
  </si>
  <si>
    <t>0.33-4.87</t>
  </si>
  <si>
    <t>0.61-4.57</t>
  </si>
  <si>
    <t>0.07-5.09</t>
  </si>
  <si>
    <t>0.49-4.67</t>
  </si>
  <si>
    <t>0.27-4.89</t>
  </si>
  <si>
    <t>0.23-4.93</t>
  </si>
  <si>
    <t>0.31-4.85</t>
  </si>
  <si>
    <t>0.23-4.91</t>
  </si>
  <si>
    <t>0.06-5.08</t>
  </si>
  <si>
    <t>0.04-5.10</t>
  </si>
  <si>
    <t>0.05-5.07</t>
  </si>
  <si>
    <t>1.94-3.18</t>
  </si>
  <si>
    <t>0.27-4.85</t>
  </si>
  <si>
    <t>0.04-5.08</t>
  </si>
  <si>
    <t>0.31-4.81</t>
  </si>
  <si>
    <t>0.71-4.39</t>
  </si>
  <si>
    <t>0.34-4.76</t>
  </si>
  <si>
    <t>0.43-4.67</t>
  </si>
  <si>
    <t>0.30-4.80</t>
  </si>
  <si>
    <t>0.38-4.72</t>
  </si>
  <si>
    <t>0.14-4.94</t>
  </si>
  <si>
    <t>0.23-4.85</t>
  </si>
  <si>
    <t>0.47-4.59</t>
  </si>
  <si>
    <t>0.38-4.66</t>
  </si>
  <si>
    <t>0.48-4.56</t>
  </si>
  <si>
    <t>0.21-4.83</t>
  </si>
  <si>
    <t>0.01-5.03</t>
  </si>
  <si>
    <t>0.58-4.46</t>
  </si>
  <si>
    <t>0.90-4.14</t>
  </si>
  <si>
    <t>0.54-4.48</t>
  </si>
  <si>
    <t>0.05-4.97</t>
  </si>
  <si>
    <t>0.43-4.59</t>
  </si>
  <si>
    <t>0.07-4.93</t>
  </si>
  <si>
    <t>0.27-4.73</t>
  </si>
  <si>
    <t>0.23-4.77</t>
  </si>
  <si>
    <t>0.04-4.96</t>
  </si>
  <si>
    <t>0.25-4.75</t>
  </si>
  <si>
    <t>0.31-4.69</t>
  </si>
  <si>
    <t>0.22-4.76</t>
  </si>
  <si>
    <t>0.40-4.58</t>
  </si>
  <si>
    <t>1.95-3.03</t>
  </si>
  <si>
    <t>0.33-4.63</t>
  </si>
  <si>
    <t>0.30-4.64</t>
  </si>
  <si>
    <t>0.77-4.17</t>
  </si>
  <si>
    <t>0.48-4.44</t>
  </si>
  <si>
    <t>0.39-4.53</t>
  </si>
  <si>
    <t>0.12-4.80</t>
  </si>
  <si>
    <t>0.37-4.55</t>
  </si>
  <si>
    <t>0.07-4.85</t>
  </si>
  <si>
    <t>0.69-4.21</t>
  </si>
  <si>
    <t>0.37-4.53</t>
  </si>
  <si>
    <t>0.29-4.61</t>
  </si>
  <si>
    <t>0.43-4.45</t>
  </si>
  <si>
    <t>0.19-4.69</t>
  </si>
  <si>
    <t>0.10-4.78</t>
  </si>
  <si>
    <t>0.51-4.35</t>
  </si>
  <si>
    <t>0.31-4.55</t>
  </si>
  <si>
    <t>0.24-4.62</t>
  </si>
  <si>
    <t>0.03-4.81</t>
  </si>
  <si>
    <t>1.78-3.04</t>
  </si>
  <si>
    <t>0.20-4.62</t>
  </si>
  <si>
    <t>0.02-4.80</t>
  </si>
  <si>
    <t>1.83-2.97</t>
  </si>
  <si>
    <t>0.08-4.70</t>
  </si>
  <si>
    <t>0.46-4.32</t>
  </si>
  <si>
    <t>0.23-4.55</t>
  </si>
  <si>
    <t>0.12-4.66</t>
  </si>
  <si>
    <t>0.06-4.72</t>
  </si>
  <si>
    <t>0.22-4.54</t>
  </si>
  <si>
    <t>0.04-4.72</t>
  </si>
  <si>
    <t>0.13-4.63</t>
  </si>
  <si>
    <t>0.29-4.47</t>
  </si>
  <si>
    <t>0.10-4.64</t>
  </si>
  <si>
    <t>0.41-4.33</t>
  </si>
  <si>
    <t>1.70-3.04</t>
  </si>
  <si>
    <t>0.09-4.63</t>
  </si>
  <si>
    <t>0.15-4.57</t>
  </si>
  <si>
    <t>0.23-4.49</t>
  </si>
  <si>
    <t>0.45-4.27</t>
  </si>
  <si>
    <t>0.09-4.61</t>
  </si>
  <si>
    <t>0.31-4.37</t>
  </si>
  <si>
    <t>0.15-4.53</t>
  </si>
  <si>
    <t>0.20-4.48</t>
  </si>
  <si>
    <t>1.80-2.88</t>
  </si>
  <si>
    <t>0.30-4.38</t>
  </si>
  <si>
    <t>0.36-4.30</t>
  </si>
  <si>
    <t>1.76-2.90</t>
  </si>
  <si>
    <t>0.22-4.44</t>
  </si>
  <si>
    <t>0.38-4.26</t>
  </si>
  <si>
    <t>0.08-4.56</t>
  </si>
  <si>
    <t>1.73-2.91</t>
  </si>
  <si>
    <t>0.01-4.63</t>
  </si>
  <si>
    <t>0.27-4.37</t>
  </si>
  <si>
    <t>0.62-4.00</t>
  </si>
  <si>
    <t>0.46-4.16</t>
  </si>
  <si>
    <t>0.25-4.37</t>
  </si>
  <si>
    <t>0.04-4.58</t>
  </si>
  <si>
    <t>1.73-2.89</t>
  </si>
  <si>
    <t>0.05-4.55</t>
  </si>
  <si>
    <t>0.21-4.39</t>
  </si>
  <si>
    <t>0.09-4.51</t>
  </si>
  <si>
    <t>0.08-4.52</t>
  </si>
  <si>
    <t>0.14-4.46</t>
  </si>
  <si>
    <t>0.63-3.95</t>
  </si>
  <si>
    <t>0.25-4.33</t>
  </si>
  <si>
    <t>0.12-4.46</t>
  </si>
  <si>
    <t>0.41-4.15</t>
  </si>
  <si>
    <t>0.15-4.41</t>
  </si>
  <si>
    <t>0.53-4.01</t>
  </si>
  <si>
    <t>0.15-4.39</t>
  </si>
  <si>
    <t>0.32-4.22</t>
  </si>
  <si>
    <t>1.66-2.88</t>
  </si>
  <si>
    <t>0.02-4.52</t>
  </si>
  <si>
    <t>0.04-4.48</t>
  </si>
  <si>
    <t>0.39-4.13</t>
  </si>
  <si>
    <t>1.71-2.81</t>
  </si>
  <si>
    <t>0.28-4.22</t>
  </si>
  <si>
    <t>0.07-4.43</t>
  </si>
  <si>
    <t>0.49-4.01</t>
  </si>
  <si>
    <t>1.68-2.82</t>
  </si>
  <si>
    <t>0.09-4.41</t>
  </si>
  <si>
    <t>0.24-4.24</t>
  </si>
  <si>
    <t>0.56-3.88</t>
  </si>
  <si>
    <t>1.63-2.81</t>
  </si>
  <si>
    <t>1.60-2.84</t>
  </si>
  <si>
    <t>0.18-4.26</t>
  </si>
  <si>
    <t>0.28-4.16</t>
  </si>
  <si>
    <t>0.40-4.02</t>
  </si>
  <si>
    <t>0.16-4.26</t>
  </si>
  <si>
    <t>1.67-2.75</t>
  </si>
  <si>
    <t>0.09-4.33</t>
  </si>
  <si>
    <t>0.31-4.11</t>
  </si>
  <si>
    <t>0.55-3.85</t>
  </si>
  <si>
    <t>0.15-4.25</t>
  </si>
  <si>
    <t>0.09-4.31</t>
  </si>
  <si>
    <t>1.58-2.82</t>
  </si>
  <si>
    <t>0.16-4.22</t>
  </si>
  <si>
    <t>1.56-2.82</t>
  </si>
  <si>
    <t>1.61-2.77</t>
  </si>
  <si>
    <t>0.03-4.35</t>
  </si>
  <si>
    <t>0.04-4.32</t>
  </si>
  <si>
    <t>0.26-4.10</t>
  </si>
  <si>
    <t>0.31-4.05</t>
  </si>
  <si>
    <t>0.33-4.03</t>
  </si>
  <si>
    <t>0.38-3.96</t>
  </si>
  <si>
    <t>0.40-3.94</t>
  </si>
  <si>
    <t>0.21-4.13</t>
  </si>
  <si>
    <t>0.07-4.27</t>
  </si>
  <si>
    <t>0.13-4.21</t>
  </si>
  <si>
    <t>0.47-3.85</t>
  </si>
  <si>
    <t>0.12-4.20</t>
  </si>
  <si>
    <t>0.57-3.75</t>
  </si>
  <si>
    <t>0.30-4.02</t>
  </si>
  <si>
    <t>1.57-2.75</t>
  </si>
  <si>
    <t>0.40-3.90</t>
  </si>
  <si>
    <t>0.09-4.21</t>
  </si>
  <si>
    <t>0.21-4.09</t>
  </si>
  <si>
    <t>0.14-4.16</t>
  </si>
  <si>
    <t>0.59-3.69</t>
  </si>
  <si>
    <t>0.23-4.05</t>
  </si>
  <si>
    <t>0.01-4.25</t>
  </si>
  <si>
    <t>0.00-4.26</t>
  </si>
  <si>
    <t>0.40-3.84</t>
  </si>
  <si>
    <t>0.07-4.17</t>
  </si>
  <si>
    <t>0.14-4.10</t>
  </si>
  <si>
    <t>0.43-3.79</t>
  </si>
  <si>
    <t>0.52-3.70</t>
  </si>
  <si>
    <t>0.35-3.87</t>
  </si>
  <si>
    <t>0.44-3.78</t>
  </si>
  <si>
    <t>0.10-4.12</t>
  </si>
  <si>
    <t>0.28-3.92</t>
  </si>
  <si>
    <t>0.06-4.14</t>
  </si>
  <si>
    <t>0.08-4.12</t>
  </si>
  <si>
    <t>0.54-3.64</t>
  </si>
  <si>
    <t>0.29-3.89</t>
  </si>
  <si>
    <t>0.06-4.12</t>
  </si>
  <si>
    <t>0.08-4.10</t>
  </si>
  <si>
    <t>0.07-4.07</t>
  </si>
  <si>
    <t>0.18-3.96</t>
  </si>
  <si>
    <t>0.06-4.08</t>
  </si>
  <si>
    <t>0.31-3.81</t>
  </si>
  <si>
    <t>0.49-3.63</t>
  </si>
  <si>
    <t>0.23-3.89</t>
  </si>
  <si>
    <t>0.38-3.72</t>
  </si>
  <si>
    <t>0.04-4.06</t>
  </si>
  <si>
    <t>0.18-3.92</t>
  </si>
  <si>
    <t>0.28-3.80</t>
  </si>
  <si>
    <t>0.26-3.80</t>
  </si>
  <si>
    <t>0.27-3.79</t>
  </si>
  <si>
    <t>0.14-3.90</t>
  </si>
  <si>
    <t>0.07-3.95</t>
  </si>
  <si>
    <t>0.37-3.63</t>
  </si>
  <si>
    <t>0.26-3.74</t>
  </si>
  <si>
    <t>0.15-3.85</t>
  </si>
  <si>
    <t>0.34-3.64</t>
  </si>
  <si>
    <t>0.02-3.96</t>
  </si>
  <si>
    <t>0.18-3.78</t>
  </si>
  <si>
    <t>0.12-3.84</t>
  </si>
  <si>
    <t>0.03-3.91</t>
  </si>
  <si>
    <t>0.41-3.53</t>
  </si>
  <si>
    <t>0.42-3.50</t>
  </si>
  <si>
    <t>0.05-3.87</t>
  </si>
  <si>
    <t>0.15-3.77</t>
  </si>
  <si>
    <t>0.03-3.89</t>
  </si>
  <si>
    <t>0.38-3.52</t>
  </si>
  <si>
    <t>0.10-3.80</t>
  </si>
  <si>
    <t>0.22-3.68</t>
  </si>
  <si>
    <t>0.26-3.64</t>
  </si>
  <si>
    <t>0.38-3.50</t>
  </si>
  <si>
    <t>0.34-3.54</t>
  </si>
  <si>
    <t>0.14-3.72</t>
  </si>
  <si>
    <t>0.15-3.71</t>
  </si>
  <si>
    <t>0.00-3.86</t>
  </si>
  <si>
    <t>0.03-3.83</t>
  </si>
  <si>
    <t>0.06-3.80</t>
  </si>
  <si>
    <t>0.01-3.83</t>
  </si>
  <si>
    <t>0.01-3.81</t>
  </si>
  <si>
    <t>0.04-3.78</t>
  </si>
  <si>
    <t>0.18-3.62</t>
  </si>
  <si>
    <t>0.13-3.67</t>
  </si>
  <si>
    <t>0.01-3.79</t>
  </si>
  <si>
    <t>0.09-3.71</t>
  </si>
  <si>
    <t>0.11-3.69</t>
  </si>
  <si>
    <t>0.00-3.80</t>
  </si>
  <si>
    <t>0.07-3.73</t>
  </si>
  <si>
    <t>0.00-3.78</t>
  </si>
  <si>
    <t>0.03-3.75</t>
  </si>
  <si>
    <t>0.29-3.47</t>
  </si>
  <si>
    <t>0.32-3.44</t>
  </si>
  <si>
    <t>0.19-3.57</t>
  </si>
  <si>
    <t>0.06-3.70</t>
  </si>
  <si>
    <t>0.30-3.44</t>
  </si>
  <si>
    <t>0.15-3.57</t>
  </si>
  <si>
    <t>0.00-3.72</t>
  </si>
  <si>
    <t>0.01-3.71</t>
  </si>
  <si>
    <t>0.07-3.65</t>
  </si>
  <si>
    <t>0.50-3.20</t>
  </si>
  <si>
    <t>0.09-3.61</t>
  </si>
  <si>
    <t>0.09-3.59</t>
  </si>
  <si>
    <t>0.20-3.46</t>
  </si>
  <si>
    <t>0.11-3.55</t>
  </si>
  <si>
    <t>0.18-3.48</t>
  </si>
  <si>
    <t>0.18-3.46</t>
  </si>
  <si>
    <t>0.08-3.56</t>
  </si>
  <si>
    <t>0.01-3.61</t>
  </si>
  <si>
    <t>0.03-3.59</t>
  </si>
  <si>
    <t>0.08-3.54</t>
  </si>
  <si>
    <t>0.06-3.54</t>
  </si>
  <si>
    <t>0.07-3.53</t>
  </si>
  <si>
    <t>0.50-3.06</t>
  </si>
  <si>
    <t>0.18-3.38</t>
  </si>
  <si>
    <t>0.46-3.08</t>
  </si>
  <si>
    <t>0.07-3.45</t>
  </si>
  <si>
    <t>0.21-3.31</t>
  </si>
  <si>
    <t>0.22-3.30</t>
  </si>
  <si>
    <t>0.00-3.50</t>
  </si>
  <si>
    <t>0.11-3.39</t>
  </si>
  <si>
    <t>0.39-3.09</t>
  </si>
  <si>
    <t>0.09-3.37</t>
  </si>
  <si>
    <t>0.17-3.27</t>
  </si>
  <si>
    <t>0.04-3.36</t>
  </si>
  <si>
    <t>0.11-3.27</t>
  </si>
  <si>
    <t>0.37-3.01</t>
  </si>
  <si>
    <t>0.00-3.36</t>
  </si>
  <si>
    <t>0.10-3.24</t>
  </si>
  <si>
    <t>0.06-3.26</t>
  </si>
  <si>
    <t>0.01-3.31</t>
  </si>
  <si>
    <t>0.20-3.06</t>
  </si>
  <si>
    <t>0.17-3.07</t>
  </si>
  <si>
    <t>0.05-3.19</t>
  </si>
  <si>
    <t>0.07-3.15</t>
  </si>
  <si>
    <t>0.08-3.12</t>
  </si>
  <si>
    <t>0.31-2.87</t>
  </si>
  <si>
    <t>De'Lance Turner</t>
  </si>
  <si>
    <t>0.38-2.80</t>
  </si>
  <si>
    <t>0.02-3.16</t>
  </si>
  <si>
    <t>0.15-3.03</t>
  </si>
  <si>
    <t>0.13-3.05</t>
  </si>
  <si>
    <t>0.26-2.90</t>
  </si>
  <si>
    <t>0.17-2.99</t>
  </si>
  <si>
    <t>0.23-2.93</t>
  </si>
  <si>
    <t>0.27-2.89</t>
  </si>
  <si>
    <t>0.11-3.01</t>
  </si>
  <si>
    <t>0.21-2.91</t>
  </si>
  <si>
    <t>0.42-2.66</t>
  </si>
  <si>
    <t>0.41-2.67</t>
  </si>
  <si>
    <t>0.10-2.98</t>
  </si>
  <si>
    <t>0.02-3.04</t>
  </si>
  <si>
    <t>0.04-2.98</t>
  </si>
  <si>
    <t>0.13-2.89</t>
  </si>
  <si>
    <t>0.35-2.67</t>
  </si>
  <si>
    <t>0.17-2.85</t>
  </si>
  <si>
    <t>0.12-2.88</t>
  </si>
  <si>
    <t>0.09-2.91</t>
  </si>
  <si>
    <t>0.01-2.97</t>
  </si>
  <si>
    <t>0.07-2.91</t>
  </si>
  <si>
    <t>0.26-2.70</t>
  </si>
  <si>
    <t>0.05-2.91</t>
  </si>
  <si>
    <t>0.17-2.79</t>
  </si>
  <si>
    <t>0.34-2.60</t>
  </si>
  <si>
    <t>0.00-2.94</t>
  </si>
  <si>
    <t>0.02-2.92</t>
  </si>
  <si>
    <t>0.01-2.87</t>
  </si>
  <si>
    <t>0.06-2.82</t>
  </si>
  <si>
    <t>0.17-2.69</t>
  </si>
  <si>
    <t>0.01-2.85</t>
  </si>
  <si>
    <t>0.07-2.79</t>
  </si>
  <si>
    <t>0.33-2.51</t>
  </si>
  <si>
    <t>0.06-2.78</t>
  </si>
  <si>
    <t>0.03-2.73</t>
  </si>
  <si>
    <t>0.80-1.96</t>
  </si>
  <si>
    <t>0.07-2.67</t>
  </si>
  <si>
    <t>0.14-2.60</t>
  </si>
  <si>
    <t>0.13-2.59</t>
  </si>
  <si>
    <t>0.04-2.68</t>
  </si>
  <si>
    <t>0.13-2.57</t>
  </si>
  <si>
    <t>0.02-2.68</t>
  </si>
  <si>
    <t>0.10-2.56</t>
  </si>
  <si>
    <t>0.13-2.49</t>
  </si>
  <si>
    <t>0.12-2.48</t>
  </si>
  <si>
    <t>0.00-2.60</t>
  </si>
  <si>
    <t>0.09-2.49</t>
  </si>
  <si>
    <t>0.13-2.45</t>
  </si>
  <si>
    <t>0.71-1.87</t>
  </si>
  <si>
    <t>0.68-1.88</t>
  </si>
  <si>
    <t>0.19-2.35</t>
  </si>
  <si>
    <t>0.04-2.50</t>
  </si>
  <si>
    <t>0.08-2.46</t>
  </si>
  <si>
    <t>0.11-2.41</t>
  </si>
  <si>
    <t>Jawill Davis</t>
  </si>
  <si>
    <t>0.06-2.46</t>
  </si>
  <si>
    <t>0.08-2.44</t>
  </si>
  <si>
    <t>0.72-1.80</t>
  </si>
  <si>
    <t>0.51-2.01</t>
  </si>
  <si>
    <t>0.26-2.22</t>
  </si>
  <si>
    <t>0.14-2.34</t>
  </si>
  <si>
    <t>0.55-1.93</t>
  </si>
  <si>
    <t>0.66-1.80</t>
  </si>
  <si>
    <t>0.69-1.77</t>
  </si>
  <si>
    <t>0.68-1.78</t>
  </si>
  <si>
    <t>0.59-1.87</t>
  </si>
  <si>
    <t>0.62-1.84</t>
  </si>
  <si>
    <t>0.53-1.91</t>
  </si>
  <si>
    <t>0.64-1.78</t>
  </si>
  <si>
    <t>0.66-1.76</t>
  </si>
  <si>
    <t>0.14-2.26</t>
  </si>
  <si>
    <t>0.64-1.76</t>
  </si>
  <si>
    <t>0.00-2.40</t>
  </si>
  <si>
    <t>0.58-1.82</t>
  </si>
  <si>
    <t>0.61-1.77</t>
  </si>
  <si>
    <t>0.67-1.71</t>
  </si>
  <si>
    <t>0.19-2.19</t>
  </si>
  <si>
    <t>0.06-2.30</t>
  </si>
  <si>
    <t>0.60-1.76</t>
  </si>
  <si>
    <t>0.00-2.36</t>
  </si>
  <si>
    <t>0.59-1.75</t>
  </si>
  <si>
    <t>0.61-1.73</t>
  </si>
  <si>
    <t>0.59-1.73</t>
  </si>
  <si>
    <t>0.64-1.68</t>
  </si>
  <si>
    <t>0.09-2.23</t>
  </si>
  <si>
    <t>0.48-1.84</t>
  </si>
  <si>
    <t>0.06-2.26</t>
  </si>
  <si>
    <t>0.09-2.21</t>
  </si>
  <si>
    <t>0.57-1.73</t>
  </si>
  <si>
    <t>0.58-1.72</t>
  </si>
  <si>
    <t>0.49-1.81</t>
  </si>
  <si>
    <t>0.45-1.85</t>
  </si>
  <si>
    <t>0.59-1.69</t>
  </si>
  <si>
    <t>0.09-2.19</t>
  </si>
  <si>
    <t>0.58-1.70</t>
  </si>
  <si>
    <t>0.45-1.83</t>
  </si>
  <si>
    <t>0.44-1.84</t>
  </si>
  <si>
    <t>0.42-1.84</t>
  </si>
  <si>
    <t>0.54-1.72</t>
  </si>
  <si>
    <t>0.13-2.13</t>
  </si>
  <si>
    <t>0.45-1.81</t>
  </si>
  <si>
    <t>0.58-1.66</t>
  </si>
  <si>
    <t>0.05-2.19</t>
  </si>
  <si>
    <t>0.04-2.20</t>
  </si>
  <si>
    <t>0.59-1.65</t>
  </si>
  <si>
    <t>0.09-2.15</t>
  </si>
  <si>
    <t>0.51-1.73</t>
  </si>
  <si>
    <t>0.39-1.85</t>
  </si>
  <si>
    <t>0.07-2.15</t>
  </si>
  <si>
    <t>0.52-1.70</t>
  </si>
  <si>
    <t>0.55-1.67</t>
  </si>
  <si>
    <t>0.52-1.68</t>
  </si>
  <si>
    <t>0.14-2.06</t>
  </si>
  <si>
    <t>0.50-1.70</t>
  </si>
  <si>
    <t>0.39-1.79</t>
  </si>
  <si>
    <t>0.38-1.80</t>
  </si>
  <si>
    <t>0.48-1.68</t>
  </si>
  <si>
    <t>0.15-1.99</t>
  </si>
  <si>
    <t>0.47-1.67</t>
  </si>
  <si>
    <t>0.36-1.78</t>
  </si>
  <si>
    <t>0.37-1.77</t>
  </si>
  <si>
    <t>0.38-1.76</t>
  </si>
  <si>
    <t>0.39-1.75</t>
  </si>
  <si>
    <t>0.12-2.00</t>
  </si>
  <si>
    <t>0.36-1.74</t>
  </si>
  <si>
    <t>0.44-1.66</t>
  </si>
  <si>
    <t>0.43-1.65</t>
  </si>
  <si>
    <t>0.16-1.92</t>
  </si>
  <si>
    <t>0.39-1.69</t>
  </si>
  <si>
    <t>0.52-1.56</t>
  </si>
  <si>
    <t>0.51-1.55</t>
  </si>
  <si>
    <t>0.51-1.53</t>
  </si>
  <si>
    <t>0.08-1.96</t>
  </si>
  <si>
    <t>0.47-1.55</t>
  </si>
  <si>
    <t>0.33-1.69</t>
  </si>
  <si>
    <t>0.02-1.98</t>
  </si>
  <si>
    <t>0.29-1.69</t>
  </si>
  <si>
    <t>0.31-1.67</t>
  </si>
  <si>
    <t>0.46-1.52</t>
  </si>
  <si>
    <t>0.00-1.98</t>
  </si>
  <si>
    <t>0.37-1.59</t>
  </si>
  <si>
    <t>0.29-1.67</t>
  </si>
  <si>
    <t>0.33-1.63</t>
  </si>
  <si>
    <t>0.45-1.51</t>
  </si>
  <si>
    <t>0.41-1.55</t>
  </si>
  <si>
    <t>0.46-1.48</t>
  </si>
  <si>
    <t>0.09-1.85</t>
  </si>
  <si>
    <t>DeAndre Carter</t>
  </si>
  <si>
    <t>0.05-1.87</t>
  </si>
  <si>
    <t>0.03-1.89</t>
  </si>
  <si>
    <t>0.12-1.80</t>
  </si>
  <si>
    <t>0.46-1.44</t>
  </si>
  <si>
    <t>0.42-1.48</t>
  </si>
  <si>
    <t>0.09-1.81</t>
  </si>
  <si>
    <t>0.26-1.62</t>
  </si>
  <si>
    <t>0.24-1.64</t>
  </si>
  <si>
    <t>0.45-1.43</t>
  </si>
  <si>
    <t>0.40-1.48</t>
  </si>
  <si>
    <t>0.37-1.51</t>
  </si>
  <si>
    <t>0.34-1.54</t>
  </si>
  <si>
    <t>0.00-1.88</t>
  </si>
  <si>
    <t>0.33-1.53</t>
  </si>
  <si>
    <t>0.02-1.84</t>
  </si>
  <si>
    <t>0.24-1.62</t>
  </si>
  <si>
    <t>0.28-1.58</t>
  </si>
  <si>
    <t>0.04-1.82</t>
  </si>
  <si>
    <t>0.23-1.59</t>
  </si>
  <si>
    <t>0.06-1.76</t>
  </si>
  <si>
    <t>0.05-1.77</t>
  </si>
  <si>
    <t>0.38-1.42</t>
  </si>
  <si>
    <t>0.12-1.68</t>
  </si>
  <si>
    <t>0.36-1.44</t>
  </si>
  <si>
    <t>0.28-1.50</t>
  </si>
  <si>
    <t>0.26-1.52</t>
  </si>
  <si>
    <t>0.04-1.74</t>
  </si>
  <si>
    <t>0.32-1.46</t>
  </si>
  <si>
    <t>0.20-1.56</t>
  </si>
  <si>
    <t>0.23-1.53</t>
  </si>
  <si>
    <t>0.27-1.49</t>
  </si>
  <si>
    <t>0.34-1.42</t>
  </si>
  <si>
    <t>0.03-1.73</t>
  </si>
  <si>
    <t>0.25-1.51</t>
  </si>
  <si>
    <t>0.29-1.47</t>
  </si>
  <si>
    <t>0.39-1.37</t>
  </si>
  <si>
    <t>0.22-1.54</t>
  </si>
  <si>
    <t>0.18-1.56</t>
  </si>
  <si>
    <t>0.20-1.54</t>
  </si>
  <si>
    <t>0.02-1.72</t>
  </si>
  <si>
    <t>0.26-1.48</t>
  </si>
  <si>
    <t>0.36-1.38</t>
  </si>
  <si>
    <t>0.13-1.61</t>
  </si>
  <si>
    <t>0.01-1.73</t>
  </si>
  <si>
    <t>0.08-1.66</t>
  </si>
  <si>
    <t>0.11-1.63</t>
  </si>
  <si>
    <t>0.25-1.47</t>
  </si>
  <si>
    <t>0.30-1.42</t>
  </si>
  <si>
    <t>0.05-1.67</t>
  </si>
  <si>
    <t>0.14-1.58</t>
  </si>
  <si>
    <t>0.19-1.53</t>
  </si>
  <si>
    <t>0.00-1.72</t>
  </si>
  <si>
    <t>Rashad Greene</t>
  </si>
  <si>
    <t>0.11-1.61</t>
  </si>
  <si>
    <t>0.33-1.37</t>
  </si>
  <si>
    <t>0.18-1.52</t>
  </si>
  <si>
    <t>0.23-1.47</t>
  </si>
  <si>
    <t>0.21-1.47</t>
  </si>
  <si>
    <t>0.19-1.49</t>
  </si>
  <si>
    <t>0.17-1.51</t>
  </si>
  <si>
    <t>0.18-1.50</t>
  </si>
  <si>
    <t>0.16-1.50</t>
  </si>
  <si>
    <t>0.03-1.63</t>
  </si>
  <si>
    <t>0.22-1.44</t>
  </si>
  <si>
    <t>0.27-1.39</t>
  </si>
  <si>
    <t>0.11-1.55</t>
  </si>
  <si>
    <t>0.21-1.43</t>
  </si>
  <si>
    <t>0.22-1.42</t>
  </si>
  <si>
    <t>0.01-1.63</t>
  </si>
  <si>
    <t>Roc Thomas</t>
  </si>
  <si>
    <t>0.16-1.48</t>
  </si>
  <si>
    <t>0.29-1.35</t>
  </si>
  <si>
    <t>0.11-1.53</t>
  </si>
  <si>
    <t>0.20-1.42</t>
  </si>
  <si>
    <t>0.21-1.41</t>
  </si>
  <si>
    <t>0.16-1.46</t>
  </si>
  <si>
    <t>0.19-1.43</t>
  </si>
  <si>
    <t>0.13-1.49</t>
  </si>
  <si>
    <t>0.18-1.44</t>
  </si>
  <si>
    <t>0.01-1.61</t>
  </si>
  <si>
    <t>0.16-1.44</t>
  </si>
  <si>
    <t>0.19-1.41</t>
  </si>
  <si>
    <t>0.17-1.43</t>
  </si>
  <si>
    <t>0.31-1.29</t>
  </si>
  <si>
    <t>0.13-1.47</t>
  </si>
  <si>
    <t>0.04-1.56</t>
  </si>
  <si>
    <t>0.28-1.32</t>
  </si>
  <si>
    <t>0.12-1.46</t>
  </si>
  <si>
    <t>0.14-1.44</t>
  </si>
  <si>
    <t>0.09-1.49</t>
  </si>
  <si>
    <t>0.06-1.52</t>
  </si>
  <si>
    <t>0.19-1.39</t>
  </si>
  <si>
    <t>0.11-1.45</t>
  </si>
  <si>
    <t>0.26-1.30</t>
  </si>
  <si>
    <t>0.05-1.51</t>
  </si>
  <si>
    <t>0.10-1.46</t>
  </si>
  <si>
    <t>0.06-1.48</t>
  </si>
  <si>
    <t>0.08-1.44</t>
  </si>
  <si>
    <t>0.04-1.48</t>
  </si>
  <si>
    <t>0.10-1.42</t>
  </si>
  <si>
    <t>Justin Watson</t>
  </si>
  <si>
    <t>0.06-1.46</t>
  </si>
  <si>
    <t>0.17-1.35</t>
  </si>
  <si>
    <t>0.16-1.36</t>
  </si>
  <si>
    <t>0.04-1.46</t>
  </si>
  <si>
    <t>0.15-1.35</t>
  </si>
  <si>
    <t>0.14-1.36</t>
  </si>
  <si>
    <t>0.11-1.39</t>
  </si>
  <si>
    <t>0.09-1.41</t>
  </si>
  <si>
    <t>0.09-1.39</t>
  </si>
  <si>
    <t>0.17-1.31</t>
  </si>
  <si>
    <t>0.07-1.41</t>
  </si>
  <si>
    <t>0.14-1.34</t>
  </si>
  <si>
    <t>0.22-1.24</t>
  </si>
  <si>
    <t>0.00-1.46</t>
  </si>
  <si>
    <t>0.04-1.42</t>
  </si>
  <si>
    <t>0.09-1.37</t>
  </si>
  <si>
    <t>0.17-1.29</t>
  </si>
  <si>
    <t>0.23-1.21</t>
  </si>
  <si>
    <t>0.08-1.36</t>
  </si>
  <si>
    <t>0.12-1.32</t>
  </si>
  <si>
    <t>Mo Alie-Cox</t>
  </si>
  <si>
    <t>0.16-1.28</t>
  </si>
  <si>
    <t>0.08-1.34</t>
  </si>
  <si>
    <t>0.00-1.42</t>
  </si>
  <si>
    <t>0.04-1.38</t>
  </si>
  <si>
    <t>0.07-1.35</t>
  </si>
  <si>
    <t>0.16-1.26</t>
  </si>
  <si>
    <t>0.07-1.33</t>
  </si>
  <si>
    <t>0.18-1.22</t>
  </si>
  <si>
    <t>0.16-1.24</t>
  </si>
  <si>
    <t>0.10-1.30</t>
  </si>
  <si>
    <t>0.06-1.32</t>
  </si>
  <si>
    <t>0.01-1.37</t>
  </si>
  <si>
    <t>0.12-1.26</t>
  </si>
  <si>
    <t>0.03-1.35</t>
  </si>
  <si>
    <t>0.11-1.27</t>
  </si>
  <si>
    <t>0.18-1.18</t>
  </si>
  <si>
    <t>0.05-1.31</t>
  </si>
  <si>
    <t>0.00-1.36</t>
  </si>
  <si>
    <t>0.15-1.19</t>
  </si>
  <si>
    <t>0.21-1.13</t>
  </si>
  <si>
    <t>0.00-1.34</t>
  </si>
  <si>
    <t>0.06-1.28</t>
  </si>
  <si>
    <t>0.12-1.20</t>
  </si>
  <si>
    <t>0.08-1.24</t>
  </si>
  <si>
    <t>0.09-1.23</t>
  </si>
  <si>
    <t>0.06-1.26</t>
  </si>
  <si>
    <t>0.10-1.22</t>
  </si>
  <si>
    <t>0.13-1.19</t>
  </si>
  <si>
    <t>0.03-1.27</t>
  </si>
  <si>
    <t>Javon Wims</t>
  </si>
  <si>
    <t>0.05-1.23</t>
  </si>
  <si>
    <t>0.15-1.13</t>
  </si>
  <si>
    <t>0.03-1.25</t>
  </si>
  <si>
    <t>0.01-1.27</t>
  </si>
  <si>
    <t>0.12-1.14</t>
  </si>
  <si>
    <t>0.00-1.26</t>
  </si>
  <si>
    <t>0.01-1.25</t>
  </si>
  <si>
    <t>0.09-1.17</t>
  </si>
  <si>
    <t>0.17-1.09</t>
  </si>
  <si>
    <t>0.03-1.21</t>
  </si>
  <si>
    <t>0.11-1.13</t>
  </si>
  <si>
    <t>0.09-1.15</t>
  </si>
  <si>
    <t>0.06-1.16</t>
  </si>
  <si>
    <t>0.06-1.14</t>
  </si>
  <si>
    <t>0.07-1.13</t>
  </si>
  <si>
    <t>Brian Parker</t>
  </si>
  <si>
    <t>0.11-1.09</t>
  </si>
  <si>
    <t>0.15-1.05</t>
  </si>
  <si>
    <t>0.06-1.12</t>
  </si>
  <si>
    <t>0.06-1.10</t>
  </si>
  <si>
    <t>0.12-1.04</t>
  </si>
  <si>
    <t>Durham Smythe</t>
  </si>
  <si>
    <t>0.07-1.07</t>
  </si>
  <si>
    <t>0.07-1.05</t>
  </si>
  <si>
    <t>0.08-1.02</t>
  </si>
  <si>
    <t>0.00-1.06</t>
  </si>
  <si>
    <t>0.09-0.97</t>
  </si>
  <si>
    <t>0.12-0.94</t>
  </si>
  <si>
    <t>0.06-0.96</t>
  </si>
  <si>
    <t>0.07-0.95</t>
  </si>
  <si>
    <t>0.08-0.94</t>
  </si>
  <si>
    <t>0.06-0.94</t>
  </si>
  <si>
    <t>0.09-0.91</t>
  </si>
  <si>
    <t>0.07-0.93</t>
  </si>
  <si>
    <t>0.09-0.89</t>
  </si>
  <si>
    <t>0.05-0.93</t>
  </si>
  <si>
    <t>0.04-0.86</t>
  </si>
  <si>
    <t>0.02-0.88</t>
  </si>
  <si>
    <t>0.05-0.81</t>
  </si>
  <si>
    <t>0.00-0.86</t>
  </si>
  <si>
    <t>0.04-0.80</t>
  </si>
  <si>
    <t>0.02-0.80</t>
  </si>
  <si>
    <t>0.06-0.74</t>
  </si>
  <si>
    <t>0.03-0.77</t>
  </si>
  <si>
    <t>0.01-0.77</t>
  </si>
  <si>
    <t>0.02-0.76</t>
  </si>
  <si>
    <t>0.00-0.76</t>
  </si>
  <si>
    <t>0.02-0.74</t>
  </si>
  <si>
    <t>0.03-0.73</t>
  </si>
  <si>
    <t>0.03-0.71</t>
  </si>
  <si>
    <t>0.04-0.70</t>
  </si>
  <si>
    <t>0.09-0.59</t>
  </si>
  <si>
    <t>0.03-0.63</t>
  </si>
  <si>
    <t>0.05-0.59</t>
  </si>
  <si>
    <t>0.02-0.52</t>
  </si>
  <si>
    <t>0.01-0.51</t>
  </si>
  <si>
    <t>0.00-0.48</t>
  </si>
  <si>
    <t>0.01-0.47</t>
  </si>
  <si>
    <t>0.00-0.46</t>
  </si>
  <si>
    <t>0.00-0.44</t>
  </si>
  <si>
    <t>Slot</t>
  </si>
  <si>
    <t>--</t>
  </si>
  <si>
    <t>devon-5WR-1</t>
  </si>
  <si>
    <t>cory-5QB-1</t>
  </si>
  <si>
    <t>seth-5WR-2</t>
  </si>
  <si>
    <t>comp-5RB-2</t>
  </si>
  <si>
    <t>seth-5RB-1</t>
  </si>
  <si>
    <t>lucas-5WR-1</t>
  </si>
  <si>
    <t>devon-5WR-3</t>
  </si>
  <si>
    <t>comp-5WR-2</t>
  </si>
  <si>
    <t>comp-5WR-1</t>
  </si>
  <si>
    <t>perry-5WR-2</t>
  </si>
  <si>
    <t>comp-5WR/RB</t>
  </si>
  <si>
    <t>cory-5RB-1</t>
  </si>
  <si>
    <t>perry-5QB-1</t>
  </si>
  <si>
    <t>devon-5RB-1</t>
  </si>
  <si>
    <t>lucas-5WR-2</t>
  </si>
  <si>
    <t>matty-5WR/RB</t>
  </si>
  <si>
    <t>devon-5WR/RB</t>
  </si>
  <si>
    <t>perry-5WR-1</t>
  </si>
  <si>
    <t>matty-5RB-1</t>
  </si>
  <si>
    <t>aj-5WR-1</t>
  </si>
  <si>
    <t>seth-5WR/RB</t>
  </si>
  <si>
    <t>chad-5QB-1</t>
  </si>
  <si>
    <t>chad-5WR-3</t>
  </si>
  <si>
    <t>chad-5RB-2</t>
  </si>
  <si>
    <t>chad-5WR-2</t>
  </si>
  <si>
    <t>scott-5QB-1</t>
  </si>
  <si>
    <t>comp-5WR-3</t>
  </si>
  <si>
    <t>devon-5TE-1</t>
  </si>
  <si>
    <t>perry-5RB-2</t>
  </si>
  <si>
    <t>aj-5TE-1</t>
  </si>
  <si>
    <t>aj-5WR/RB</t>
  </si>
  <si>
    <t>devon-5WR-2</t>
  </si>
  <si>
    <t>aj-5RB-1</t>
  </si>
  <si>
    <t>cory-5RB-2</t>
  </si>
  <si>
    <t>chad-5TE-1</t>
  </si>
  <si>
    <t>cory-5WR-3</t>
  </si>
  <si>
    <t>seth-5TE-1</t>
  </si>
  <si>
    <t>scott-5WR-3</t>
  </si>
  <si>
    <t>seth-5WR-3</t>
  </si>
  <si>
    <t>scott-5WR-1</t>
  </si>
  <si>
    <t>chad-5WR/RB</t>
  </si>
  <si>
    <t>cory-5WR-1</t>
  </si>
  <si>
    <t>scott-5RB-1</t>
  </si>
  <si>
    <t>chad-5WR-1</t>
  </si>
  <si>
    <t>scott-5WR-2</t>
  </si>
  <si>
    <t>cory-5TE-1</t>
  </si>
  <si>
    <t>comp-5RB-1</t>
  </si>
  <si>
    <t>aj-5RB-2</t>
  </si>
  <si>
    <t>scott-5WR/RB</t>
  </si>
  <si>
    <t>matty-5WR-3</t>
  </si>
  <si>
    <t>perry-5WR/RB</t>
  </si>
  <si>
    <t>devon-5QB-1</t>
  </si>
  <si>
    <t>aj-5QB-1</t>
  </si>
  <si>
    <t>matty-5RB-2</t>
  </si>
  <si>
    <t>aj-5WR-3</t>
  </si>
  <si>
    <t>cory-5WR-2</t>
  </si>
  <si>
    <t>seth-5WR-1</t>
  </si>
  <si>
    <t>OPEN SLOT</t>
  </si>
  <si>
    <t>OPEN</t>
  </si>
  <si>
    <t>scott-5RB-2</t>
  </si>
  <si>
    <t>matty-5QB-1</t>
  </si>
  <si>
    <t>comp-5QB-1</t>
  </si>
  <si>
    <t>perry-5RB-1</t>
  </si>
  <si>
    <t>lucas-5WR-3</t>
  </si>
  <si>
    <t>lucas-5RB-2</t>
  </si>
  <si>
    <t>lucas-5TE-1</t>
  </si>
  <si>
    <t>matty-5WR-2</t>
  </si>
  <si>
    <t>seth-5QB-1</t>
  </si>
  <si>
    <t>lucas-5RB-1</t>
  </si>
  <si>
    <t>devon-5RB-2</t>
  </si>
  <si>
    <t>aj-5WR-2</t>
  </si>
  <si>
    <t>seth-5RB-2</t>
  </si>
  <si>
    <t>lucas-5WR/RB</t>
  </si>
  <si>
    <t>chad-5RB-1</t>
  </si>
  <si>
    <t>lucas-5QB-1</t>
  </si>
  <si>
    <t>comp-5TE-1</t>
  </si>
  <si>
    <t>cory-5WR/RB</t>
  </si>
  <si>
    <t>matty-5TE-1</t>
  </si>
  <si>
    <t>matty-5WR-1</t>
  </si>
  <si>
    <t>scott-5TE-1</t>
  </si>
  <si>
    <t>perry-5WR-3</t>
  </si>
  <si>
    <t>perry-5TE-1</t>
  </si>
  <si>
    <t>seth-5K</t>
  </si>
  <si>
    <t>chad-5K</t>
  </si>
  <si>
    <t>perry-5K</t>
  </si>
  <si>
    <t>lucas-5K</t>
  </si>
  <si>
    <t>devon-5K</t>
  </si>
  <si>
    <t>aj-5K</t>
  </si>
  <si>
    <t>scott-5K</t>
  </si>
  <si>
    <t>matty-5K</t>
  </si>
  <si>
    <t>comp-5K</t>
  </si>
  <si>
    <t>cory-5K</t>
  </si>
  <si>
    <t>lucas-5D/ST</t>
  </si>
  <si>
    <t>chad-5D/ST</t>
  </si>
  <si>
    <t>matty-5D/ST</t>
  </si>
  <si>
    <t>cory-5D/ST</t>
  </si>
  <si>
    <t>comp-5D/ST</t>
  </si>
  <si>
    <t>devon-5D/ST</t>
  </si>
  <si>
    <t>scott-5D/ST</t>
  </si>
  <si>
    <t>perry-5D/ST</t>
  </si>
  <si>
    <t>aj-5D/ST</t>
  </si>
  <si>
    <t>seth-5D/ST</t>
  </si>
  <si>
    <t>3.64-11.12</t>
  </si>
  <si>
    <t>4.17-11.89</t>
  </si>
  <si>
    <t>1.24-14.54</t>
  </si>
  <si>
    <t>0.72-14.48</t>
  </si>
  <si>
    <t>2.87-12.63</t>
  </si>
  <si>
    <t>2.93-12.23</t>
  </si>
  <si>
    <t>1.37-12.57</t>
  </si>
  <si>
    <t>0.09-13.67</t>
  </si>
  <si>
    <t>0.09-13.21</t>
  </si>
  <si>
    <t>0.61-11.31</t>
  </si>
  <si>
    <t>0.74-14.60</t>
  </si>
  <si>
    <t>1.83-13.23</t>
  </si>
  <si>
    <t>2.28-12.54</t>
  </si>
  <si>
    <t>2.21-11.71</t>
  </si>
  <si>
    <t>2.06-10.28</t>
  </si>
  <si>
    <t>0.45-10.43</t>
  </si>
  <si>
    <t>3.64-14.96</t>
  </si>
  <si>
    <t>5.10-11.80</t>
  </si>
  <si>
    <t>5.04-13.86</t>
  </si>
  <si>
    <t>3.92-10.86</t>
  </si>
  <si>
    <t>3.05-14.07</t>
  </si>
  <si>
    <t>3.70-13.72</t>
  </si>
  <si>
    <t>2.11-12.49</t>
  </si>
  <si>
    <t>0.76-13.20</t>
  </si>
  <si>
    <t>0.61-11.55</t>
  </si>
  <si>
    <t>4.25-16.99</t>
  </si>
  <si>
    <t>0.23-17.29</t>
  </si>
  <si>
    <t>2.05-15.25</t>
  </si>
  <si>
    <t>2.32-14.10</t>
  </si>
  <si>
    <t>1.01-13.55</t>
  </si>
  <si>
    <t>3.02-10.04</t>
  </si>
  <si>
    <t>1.49-8.97</t>
  </si>
  <si>
    <t>3.17-6.89</t>
  </si>
  <si>
    <t>1.09-6.37</t>
  </si>
  <si>
    <t>0.34-7.00</t>
  </si>
  <si>
    <t>5.34-15.60</t>
  </si>
  <si>
    <t>5.06-13.84</t>
  </si>
  <si>
    <t>4.46-14.16</t>
  </si>
  <si>
    <t>5.18-13.58</t>
  </si>
  <si>
    <t>5.75-12.23</t>
  </si>
  <si>
    <t>5.58-13.66</t>
  </si>
  <si>
    <t>4.38-13.94</t>
  </si>
  <si>
    <t>3.75-13.53</t>
  </si>
  <si>
    <t>4.48-13.02</t>
  </si>
  <si>
    <t>4.04-13.80</t>
  </si>
  <si>
    <t>3.87-12.37</t>
  </si>
  <si>
    <t>4.27-11.59</t>
  </si>
  <si>
    <t>4.26-12.86</t>
  </si>
  <si>
    <t>3.30-11.86</t>
  </si>
  <si>
    <t>4.18-10.22</t>
  </si>
  <si>
    <t>4.18-10.40</t>
  </si>
  <si>
    <t>3.34-11.18</t>
  </si>
  <si>
    <t>3.15-12.23</t>
  </si>
  <si>
    <t>2.97-11.63</t>
  </si>
  <si>
    <t>2.87-11.65</t>
  </si>
  <si>
    <t>3.03-10.45</t>
  </si>
  <si>
    <t>2.78-11.32</t>
  </si>
  <si>
    <t>2.74-11.92</t>
  </si>
  <si>
    <t>2.82-11.56</t>
  </si>
  <si>
    <t>2.54-13.94</t>
  </si>
  <si>
    <t>1.59-15.93</t>
  </si>
  <si>
    <t>2.57-14.79</t>
  </si>
  <si>
    <t>3.65-12.77</t>
  </si>
  <si>
    <t>2.74-13.18</t>
  </si>
  <si>
    <t>2.41-12.01</t>
  </si>
  <si>
    <t>2.27-11.63</t>
  </si>
  <si>
    <t>0.88-13.58</t>
  </si>
  <si>
    <t>0.31-13.65</t>
  </si>
  <si>
    <t>1.13-11.47</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</si>
</sst>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
    <numFmt numFmtId="165" formatCode="0.0%"/>
    <numFmt numFmtId="166" formatCode="0.0000"/>
    <numFmt numFmtId="167" formatCode="0.0000000000000000%"/>
    <numFmt numFmtId="168" formatCode="0.00000000000000%"/>
    <numFmt numFmtId="169" formatCode="0.000"/>
  </numFmts>
  <fonts count="18" x14ac:knownFonts="1">
    <font>
      <sz val="11"/>
      <color theme="1"/>
      <name val="Calibri"/>
      <family val="2"/>
      <scheme val="minor"/>
    </font>
    <font>
      <sz val="11"/>
      <color theme="1"/>
      <name val="Calibri"/>
      <family val="2"/>
      <scheme val="minor"/>
    </font>
    <font>
      <sz val="11"/>
      <color theme="0" tint="-0.34998626667073579"/>
      <name val="Calibri"/>
      <family val="2"/>
      <scheme val="minor"/>
    </font>
    <font>
      <b/>
      <sz val="11"/>
      <color theme="1"/>
      <name val="Calibri"/>
      <family val="2"/>
      <scheme val="minor"/>
    </font>
    <font>
      <sz val="11"/>
      <color theme="0" tint="-0.249977111117893"/>
      <name val="Calibri"/>
      <family val="2"/>
      <scheme val="minor"/>
    </font>
    <font>
      <u/>
      <sz val="11"/>
      <color theme="1"/>
      <name val="Calibri"/>
      <family val="2"/>
      <scheme val="minor"/>
    </font>
    <font>
      <sz val="11"/>
      <color theme="2" tint="-0.249977111117893"/>
      <name val="Calibri"/>
      <family val="2"/>
      <scheme val="minor"/>
    </font>
    <font>
      <sz val="11"/>
      <color theme="0" tint="-0.499984740745262"/>
      <name val="Calibri"/>
      <family val="2"/>
      <scheme val="minor"/>
    </font>
    <font>
      <i/>
      <sz val="11"/>
      <color theme="1"/>
      <name val="Calibri"/>
      <family val="2"/>
      <scheme val="minor"/>
    </font>
    <font>
      <sz val="8"/>
      <color theme="1"/>
      <name val="Calibri"/>
      <family val="2"/>
      <scheme val="minor"/>
    </font>
    <font>
      <sz val="1"/>
      <color theme="0"/>
      <name val="Calibri"/>
      <family val="2"/>
      <scheme val="minor"/>
    </font>
    <font>
      <b/>
      <sz val="9"/>
      <color theme="1"/>
      <name val="Calibri"/>
      <family val="2"/>
      <scheme val="minor"/>
    </font>
    <font>
      <sz val="8"/>
      <color rgb="FF1D1E1F"/>
      <name val="Arial"/>
      <family val="2"/>
    </font>
    <font>
      <sz val="9"/>
      <color rgb="FF48494A"/>
      <name val="Arial"/>
      <family val="2"/>
    </font>
    <font>
      <u/>
      <sz val="11"/>
      <color theme="10"/>
      <name val="Calibri"/>
      <family val="2"/>
      <scheme val="minor"/>
    </font>
    <font>
      <sz val="8"/>
      <color rgb="FF1D1E1F"/>
      <name val="Arial"/>
      <family val="2"/>
    </font>
    <font>
      <sz val="8"/>
      <color rgb="FF1D1E1F"/>
      <name val="Arial"/>
      <family val="2"/>
    </font>
    <font>
      <sz val="11"/>
      <color rgb="FF00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0" tint="-0.34998626667073579"/>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bgColor indexed="64"/>
      </patternFill>
    </fill>
    <fill>
      <patternFill patternType="solid">
        <fgColor theme="0" tint="-0.14999847407452621"/>
        <bgColor indexed="64"/>
      </patternFill>
    </fill>
  </fills>
  <borders count="34">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medium">
        <color rgb="FFF1F2F3"/>
      </top>
      <bottom style="medium">
        <color rgb="FFDCDDDF"/>
      </bottom>
      <diagonal/>
    </border>
    <border>
      <left/>
      <right/>
      <top style="medium">
        <color rgb="FFF1F2F3"/>
      </top>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0" fontId="14" fillId="0" borderId="0" applyNumberFormat="0" applyFill="0" applyBorder="0" applyAlignment="0" applyProtection="0"/>
  </cellStyleXfs>
  <cellXfs count="172">
    <xf numFmtId="0" fontId="0" fillId="0" borderId="0" xfId="0"/>
    <xf numFmtId="0" fontId="0" fillId="2" borderId="0" xfId="0" applyFill="1"/>
    <xf numFmtId="164" fontId="0" fillId="0" borderId="0" xfId="0" applyNumberFormat="1"/>
    <xf numFmtId="165" fontId="0" fillId="0" borderId="0" xfId="1" applyNumberFormat="1" applyFont="1"/>
    <xf numFmtId="165" fontId="0" fillId="0" borderId="1" xfId="1" applyNumberFormat="1" applyFont="1" applyBorder="1"/>
    <xf numFmtId="165" fontId="0" fillId="0" borderId="2" xfId="1" applyNumberFormat="1" applyFont="1" applyBorder="1"/>
    <xf numFmtId="165" fontId="0" fillId="0" borderId="3" xfId="1" applyNumberFormat="1" applyFont="1" applyBorder="1"/>
    <xf numFmtId="10" fontId="0" fillId="0" borderId="0" xfId="1" applyNumberFormat="1" applyFont="1"/>
    <xf numFmtId="2" fontId="0" fillId="0" borderId="0" xfId="1" applyNumberFormat="1" applyFont="1"/>
    <xf numFmtId="165" fontId="0" fillId="0" borderId="0" xfId="0" applyNumberFormat="1"/>
    <xf numFmtId="166" fontId="0" fillId="0" borderId="0" xfId="1" applyNumberFormat="1" applyFont="1"/>
    <xf numFmtId="164" fontId="0" fillId="0" borderId="0" xfId="1" applyNumberFormat="1" applyFont="1"/>
    <xf numFmtId="0" fontId="2" fillId="0" borderId="0" xfId="0" applyFont="1"/>
    <xf numFmtId="165" fontId="2" fillId="0" borderId="0" xfId="1" applyNumberFormat="1" applyFont="1"/>
    <xf numFmtId="165" fontId="2" fillId="0" borderId="0" xfId="0" applyNumberFormat="1" applyFont="1"/>
    <xf numFmtId="167" fontId="0" fillId="0" borderId="0" xfId="1" applyNumberFormat="1" applyFont="1"/>
    <xf numFmtId="167" fontId="0" fillId="0" borderId="0" xfId="0" applyNumberFormat="1"/>
    <xf numFmtId="0" fontId="0" fillId="0" borderId="0" xfId="1" applyNumberFormat="1" applyFont="1"/>
    <xf numFmtId="0" fontId="0" fillId="0" borderId="0" xfId="0" pivotButton="1"/>
    <xf numFmtId="0" fontId="0" fillId="3" borderId="0" xfId="0" applyFill="1"/>
    <xf numFmtId="0" fontId="0" fillId="4" borderId="0" xfId="0" applyFill="1"/>
    <xf numFmtId="0" fontId="4" fillId="0" borderId="0" xfId="0" applyFont="1"/>
    <xf numFmtId="2" fontId="0" fillId="0" borderId="0" xfId="0" applyNumberFormat="1"/>
    <xf numFmtId="1" fontId="0" fillId="0" borderId="0" xfId="0" applyNumberFormat="1"/>
    <xf numFmtId="1" fontId="0" fillId="5" borderId="0" xfId="0" applyNumberFormat="1" applyFill="1"/>
    <xf numFmtId="164" fontId="0" fillId="6" borderId="0" xfId="0" applyNumberFormat="1" applyFill="1"/>
    <xf numFmtId="0" fontId="0" fillId="0" borderId="4" xfId="0" applyBorder="1"/>
    <xf numFmtId="165" fontId="0" fillId="0" borderId="5" xfId="1" applyNumberFormat="1" applyFont="1" applyBorder="1"/>
    <xf numFmtId="164" fontId="0" fillId="6" borderId="5" xfId="0" applyNumberFormat="1" applyFill="1" applyBorder="1"/>
    <xf numFmtId="0" fontId="0" fillId="0" borderId="5" xfId="0" applyBorder="1"/>
    <xf numFmtId="2" fontId="0" fillId="0" borderId="5" xfId="0" applyNumberFormat="1" applyBorder="1"/>
    <xf numFmtId="0" fontId="0" fillId="0" borderId="6" xfId="0" applyBorder="1"/>
    <xf numFmtId="164" fontId="0" fillId="0" borderId="5" xfId="0" applyNumberFormat="1" applyBorder="1"/>
    <xf numFmtId="0" fontId="3" fillId="0" borderId="0" xfId="0" applyFont="1"/>
    <xf numFmtId="0" fontId="0" fillId="0" borderId="0" xfId="0" applyBorder="1"/>
    <xf numFmtId="165" fontId="3" fillId="0" borderId="0" xfId="1" applyNumberFormat="1" applyFont="1"/>
    <xf numFmtId="165" fontId="3" fillId="0" borderId="5" xfId="1" applyNumberFormat="1" applyFont="1" applyBorder="1"/>
    <xf numFmtId="0" fontId="5" fillId="0" borderId="0" xfId="0" applyFont="1"/>
    <xf numFmtId="0" fontId="5" fillId="0" borderId="0" xfId="0" applyFont="1" applyFill="1"/>
    <xf numFmtId="0" fontId="0" fillId="0" borderId="0" xfId="0" applyFill="1"/>
    <xf numFmtId="0" fontId="0" fillId="0" borderId="7" xfId="0" applyBorder="1"/>
    <xf numFmtId="0" fontId="0" fillId="2" borderId="7" xfId="0" applyFill="1" applyBorder="1"/>
    <xf numFmtId="0" fontId="0" fillId="2" borderId="7" xfId="0" applyFill="1" applyBorder="1" applyAlignment="1">
      <alignment horizontal="center"/>
    </xf>
    <xf numFmtId="0" fontId="0" fillId="7" borderId="7" xfId="0" applyFill="1" applyBorder="1" applyAlignment="1">
      <alignment horizontal="center"/>
    </xf>
    <xf numFmtId="0" fontId="0" fillId="0" borderId="0" xfId="0" applyBorder="1" applyAlignment="1">
      <alignment horizontal="center"/>
    </xf>
    <xf numFmtId="0" fontId="0" fillId="0" borderId="7" xfId="0" applyBorder="1" applyAlignment="1">
      <alignment horizontal="center"/>
    </xf>
    <xf numFmtId="164" fontId="3" fillId="4" borderId="7" xfId="0" applyNumberFormat="1" applyFont="1" applyFill="1" applyBorder="1" applyAlignment="1">
      <alignment horizontal="center"/>
    </xf>
    <xf numFmtId="164" fontId="3" fillId="7" borderId="7" xfId="1" applyNumberFormat="1" applyFont="1" applyFill="1" applyBorder="1" applyAlignment="1">
      <alignment horizontal="center"/>
    </xf>
    <xf numFmtId="164" fontId="3" fillId="2" borderId="7" xfId="0" applyNumberFormat="1" applyFont="1" applyFill="1" applyBorder="1" applyAlignment="1">
      <alignment horizontal="center"/>
    </xf>
    <xf numFmtId="0" fontId="0" fillId="8" borderId="8" xfId="0" applyFill="1" applyBorder="1"/>
    <xf numFmtId="0" fontId="0" fillId="8" borderId="8" xfId="0" applyFill="1" applyBorder="1" applyAlignment="1">
      <alignment horizontal="center"/>
    </xf>
    <xf numFmtId="0" fontId="3" fillId="8" borderId="0" xfId="0" applyFont="1" applyFill="1"/>
    <xf numFmtId="0" fontId="0" fillId="0" borderId="8" xfId="0" applyFill="1" applyBorder="1"/>
    <xf numFmtId="0" fontId="0" fillId="0" borderId="8" xfId="0" applyFill="1" applyBorder="1" applyAlignment="1">
      <alignment horizontal="center"/>
    </xf>
    <xf numFmtId="0" fontId="0" fillId="0" borderId="8" xfId="0" applyFill="1" applyBorder="1" applyAlignment="1">
      <alignment horizontal="center" wrapText="1"/>
    </xf>
    <xf numFmtId="164" fontId="0" fillId="4" borderId="0" xfId="0" applyNumberFormat="1" applyFill="1"/>
    <xf numFmtId="9" fontId="0" fillId="0" borderId="0" xfId="1" applyFont="1"/>
    <xf numFmtId="9" fontId="0" fillId="0" borderId="0" xfId="0" applyNumberFormat="1"/>
    <xf numFmtId="0" fontId="0" fillId="0" borderId="0" xfId="0" applyNumberFormat="1"/>
    <xf numFmtId="165" fontId="0" fillId="4" borderId="0" xfId="1" applyNumberFormat="1" applyFont="1" applyFill="1"/>
    <xf numFmtId="0" fontId="6" fillId="0" borderId="0" xfId="0" applyFont="1"/>
    <xf numFmtId="1" fontId="0" fillId="0" borderId="0" xfId="1" applyNumberFormat="1" applyFont="1"/>
    <xf numFmtId="44" fontId="0" fillId="0" borderId="0" xfId="2" applyFont="1"/>
    <xf numFmtId="0" fontId="7" fillId="0" borderId="0" xfId="0" applyFont="1"/>
    <xf numFmtId="10" fontId="0" fillId="0" borderId="0" xfId="0" applyNumberFormat="1"/>
    <xf numFmtId="16" fontId="0" fillId="0" borderId="0" xfId="0" applyNumberFormat="1"/>
    <xf numFmtId="11" fontId="0" fillId="0" borderId="0" xfId="0" applyNumberFormat="1"/>
    <xf numFmtId="0" fontId="8" fillId="0" borderId="0" xfId="0" applyFont="1"/>
    <xf numFmtId="168" fontId="0" fillId="0" borderId="0" xfId="0" applyNumberFormat="1"/>
    <xf numFmtId="0" fontId="0" fillId="0" borderId="0" xfId="0" applyAlignment="1">
      <alignment horizontal="right"/>
    </xf>
    <xf numFmtId="165" fontId="3" fillId="0" borderId="0" xfId="0" applyNumberFormat="1" applyFont="1"/>
    <xf numFmtId="0" fontId="0" fillId="8" borderId="0" xfId="0" applyFill="1"/>
    <xf numFmtId="165" fontId="11" fillId="8" borderId="0" xfId="0" applyNumberFormat="1" applyFont="1" applyFill="1" applyAlignment="1">
      <alignment horizontal="left"/>
    </xf>
    <xf numFmtId="0" fontId="9" fillId="8" borderId="0" xfId="0" applyFont="1" applyFill="1"/>
    <xf numFmtId="0" fontId="9" fillId="8" borderId="0" xfId="0" applyFont="1" applyFill="1" applyAlignment="1">
      <alignment horizontal="right"/>
    </xf>
    <xf numFmtId="165" fontId="11" fillId="8" borderId="0" xfId="0" applyNumberFormat="1" applyFont="1" applyFill="1" applyAlignment="1">
      <alignment horizontal="right"/>
    </xf>
    <xf numFmtId="0" fontId="0" fillId="8" borderId="12" xfId="0" applyFill="1" applyBorder="1"/>
    <xf numFmtId="0" fontId="0" fillId="8" borderId="13" xfId="0" applyFill="1" applyBorder="1" applyAlignment="1">
      <alignment horizontal="right"/>
    </xf>
    <xf numFmtId="164" fontId="0" fillId="8" borderId="12" xfId="0" applyNumberFormat="1" applyFill="1" applyBorder="1"/>
    <xf numFmtId="164" fontId="0" fillId="8" borderId="13" xfId="0" applyNumberFormat="1" applyFill="1" applyBorder="1" applyAlignment="1">
      <alignment horizontal="left"/>
    </xf>
    <xf numFmtId="165" fontId="11" fillId="8" borderId="12" xfId="0" applyNumberFormat="1" applyFont="1" applyFill="1" applyBorder="1" applyAlignment="1">
      <alignment horizontal="left"/>
    </xf>
    <xf numFmtId="0" fontId="9" fillId="8" borderId="0" xfId="0" applyFont="1" applyFill="1" applyBorder="1"/>
    <xf numFmtId="0" fontId="9" fillId="8" borderId="0" xfId="0" applyFont="1" applyFill="1" applyBorder="1" applyAlignment="1">
      <alignment horizontal="right"/>
    </xf>
    <xf numFmtId="165" fontId="11" fillId="8" borderId="13" xfId="0" applyNumberFormat="1" applyFont="1" applyFill="1" applyBorder="1" applyAlignment="1">
      <alignment horizontal="right"/>
    </xf>
    <xf numFmtId="165" fontId="11" fillId="8" borderId="14" xfId="0" applyNumberFormat="1" applyFont="1" applyFill="1" applyBorder="1" applyAlignment="1">
      <alignment horizontal="left"/>
    </xf>
    <xf numFmtId="0" fontId="9" fillId="8" borderId="15" xfId="0" applyFont="1" applyFill="1" applyBorder="1"/>
    <xf numFmtId="0" fontId="9" fillId="8" borderId="15" xfId="0" applyFont="1" applyFill="1" applyBorder="1" applyAlignment="1">
      <alignment horizontal="right"/>
    </xf>
    <xf numFmtId="165" fontId="11" fillId="8" borderId="16" xfId="0" applyNumberFormat="1" applyFont="1" applyFill="1" applyBorder="1" applyAlignment="1">
      <alignment horizontal="right"/>
    </xf>
    <xf numFmtId="164" fontId="0" fillId="8" borderId="14" xfId="0" applyNumberFormat="1" applyFill="1" applyBorder="1"/>
    <xf numFmtId="164" fontId="0" fillId="8" borderId="16" xfId="0" applyNumberFormat="1" applyFill="1" applyBorder="1" applyAlignment="1">
      <alignment horizontal="left"/>
    </xf>
    <xf numFmtId="165" fontId="0" fillId="8" borderId="0" xfId="0" applyNumberFormat="1" applyFill="1"/>
    <xf numFmtId="0" fontId="0" fillId="8" borderId="17" xfId="0" applyFill="1" applyBorder="1"/>
    <xf numFmtId="165" fontId="3" fillId="8" borderId="17" xfId="0" applyNumberFormat="1" applyFont="1" applyFill="1" applyBorder="1" applyAlignment="1">
      <alignment horizontal="right"/>
    </xf>
    <xf numFmtId="0" fontId="0" fillId="8" borderId="18" xfId="0" applyFill="1" applyBorder="1"/>
    <xf numFmtId="165" fontId="3" fillId="8" borderId="18" xfId="0" applyNumberFormat="1" applyFont="1" applyFill="1" applyBorder="1" applyAlignment="1">
      <alignment horizontal="right"/>
    </xf>
    <xf numFmtId="165" fontId="3" fillId="8" borderId="19" xfId="0" applyNumberFormat="1" applyFont="1" applyFill="1" applyBorder="1" applyAlignment="1">
      <alignment horizontal="right"/>
    </xf>
    <xf numFmtId="165" fontId="3" fillId="8" borderId="20" xfId="0" applyNumberFormat="1" applyFont="1" applyFill="1" applyBorder="1" applyAlignment="1">
      <alignment horizontal="right"/>
    </xf>
    <xf numFmtId="0" fontId="0" fillId="8" borderId="19" xfId="0" applyFill="1" applyBorder="1"/>
    <xf numFmtId="0" fontId="0" fillId="8" borderId="20" xfId="0" applyFill="1" applyBorder="1"/>
    <xf numFmtId="0" fontId="0" fillId="8" borderId="21" xfId="0" applyFill="1" applyBorder="1"/>
    <xf numFmtId="0" fontId="0" fillId="8" borderId="22" xfId="0" applyFill="1" applyBorder="1"/>
    <xf numFmtId="165" fontId="3" fillId="8" borderId="0" xfId="0" applyNumberFormat="1" applyFont="1" applyFill="1" applyBorder="1" applyAlignment="1">
      <alignment horizontal="right"/>
    </xf>
    <xf numFmtId="165" fontId="3" fillId="8" borderId="23" xfId="0" applyNumberFormat="1" applyFont="1" applyFill="1" applyBorder="1" applyAlignment="1">
      <alignment horizontal="right"/>
    </xf>
    <xf numFmtId="165" fontId="3" fillId="8" borderId="24" xfId="0" applyNumberFormat="1" applyFont="1" applyFill="1" applyBorder="1" applyAlignment="1">
      <alignment horizontal="right"/>
    </xf>
    <xf numFmtId="165" fontId="3" fillId="8" borderId="21" xfId="0" applyNumberFormat="1" applyFont="1" applyFill="1" applyBorder="1" applyAlignment="1">
      <alignment horizontal="right"/>
    </xf>
    <xf numFmtId="165" fontId="3" fillId="8" borderId="22" xfId="0" applyNumberFormat="1" applyFont="1" applyFill="1" applyBorder="1" applyAlignment="1">
      <alignment horizontal="right"/>
    </xf>
    <xf numFmtId="0" fontId="3" fillId="6" borderId="19" xfId="0" applyFont="1" applyFill="1" applyBorder="1" applyAlignment="1">
      <alignment horizontal="right"/>
    </xf>
    <xf numFmtId="0" fontId="3" fillId="6" borderId="18" xfId="0" applyFont="1" applyFill="1" applyBorder="1" applyAlignment="1">
      <alignment horizontal="right"/>
    </xf>
    <xf numFmtId="165" fontId="3" fillId="6" borderId="18" xfId="0" applyNumberFormat="1" applyFont="1" applyFill="1" applyBorder="1" applyAlignment="1">
      <alignment horizontal="right"/>
    </xf>
    <xf numFmtId="0" fontId="3" fillId="6" borderId="20" xfId="0" applyFont="1" applyFill="1" applyBorder="1" applyAlignment="1">
      <alignment horizontal="right"/>
    </xf>
    <xf numFmtId="165" fontId="3" fillId="6" borderId="20" xfId="0" applyNumberFormat="1" applyFont="1" applyFill="1" applyBorder="1" applyAlignment="1">
      <alignment horizontal="right"/>
    </xf>
    <xf numFmtId="0" fontId="0" fillId="0" borderId="0" xfId="0" applyAlignment="1">
      <alignment horizontal="left" indent="1"/>
    </xf>
    <xf numFmtId="0" fontId="0" fillId="0" borderId="0" xfId="0" applyAlignment="1">
      <alignment horizontal="left" indent="2"/>
    </xf>
    <xf numFmtId="17" fontId="0" fillId="0" borderId="0" xfId="0" quotePrefix="1" applyNumberFormat="1"/>
    <xf numFmtId="0" fontId="0" fillId="0" borderId="0" xfId="0" applyAlignment="1">
      <alignment horizontal="center"/>
    </xf>
    <xf numFmtId="0" fontId="0" fillId="9" borderId="0" xfId="0" applyFill="1"/>
    <xf numFmtId="164" fontId="3" fillId="0" borderId="25" xfId="0" applyNumberFormat="1" applyFont="1" applyBorder="1" applyAlignment="1">
      <alignment horizontal="center"/>
    </xf>
    <xf numFmtId="164" fontId="0" fillId="0" borderId="22" xfId="0" applyNumberFormat="1" applyBorder="1" applyAlignment="1">
      <alignment horizontal="center"/>
    </xf>
    <xf numFmtId="164" fontId="0" fillId="0" borderId="8" xfId="0" applyNumberFormat="1" applyBorder="1" applyAlignment="1">
      <alignment horizontal="center"/>
    </xf>
    <xf numFmtId="164" fontId="0" fillId="0" borderId="26" xfId="0" applyNumberFormat="1" applyBorder="1" applyAlignment="1">
      <alignment horizontal="center"/>
    </xf>
    <xf numFmtId="164" fontId="0" fillId="0" borderId="27" xfId="0" applyNumberFormat="1" applyBorder="1" applyAlignment="1">
      <alignment horizontal="center"/>
    </xf>
    <xf numFmtId="164" fontId="0" fillId="0" borderId="20" xfId="0" applyNumberFormat="1" applyBorder="1" applyAlignment="1">
      <alignment horizontal="center"/>
    </xf>
    <xf numFmtId="164" fontId="0" fillId="0" borderId="19" xfId="0" applyNumberFormat="1" applyBorder="1" applyAlignment="1">
      <alignment horizontal="center"/>
    </xf>
    <xf numFmtId="164" fontId="0" fillId="0" borderId="28" xfId="0" applyNumberFormat="1" applyFill="1" applyBorder="1" applyAlignment="1">
      <alignment horizontal="center"/>
    </xf>
    <xf numFmtId="164" fontId="0" fillId="0" borderId="29" xfId="0" applyNumberFormat="1" applyFill="1" applyBorder="1" applyAlignment="1">
      <alignment horizontal="center"/>
    </xf>
    <xf numFmtId="164" fontId="0" fillId="0" borderId="30" xfId="0" applyNumberFormat="1" applyFill="1" applyBorder="1" applyAlignment="1">
      <alignment horizontal="center"/>
    </xf>
    <xf numFmtId="164" fontId="0" fillId="0" borderId="31" xfId="0" applyNumberFormat="1" applyBorder="1" applyAlignment="1">
      <alignment horizontal="center"/>
    </xf>
    <xf numFmtId="164" fontId="3" fillId="0" borderId="9" xfId="0" applyNumberFormat="1" applyFont="1" applyBorder="1" applyAlignment="1">
      <alignment horizontal="center"/>
    </xf>
    <xf numFmtId="164" fontId="0" fillId="0" borderId="1" xfId="0" applyNumberFormat="1" applyBorder="1" applyAlignment="1">
      <alignment horizontal="center"/>
    </xf>
    <xf numFmtId="164" fontId="0" fillId="0" borderId="2" xfId="0" applyNumberFormat="1" applyBorder="1" applyAlignment="1">
      <alignment horizontal="center"/>
    </xf>
    <xf numFmtId="164" fontId="0" fillId="0" borderId="3" xfId="0" applyNumberFormat="1" applyBorder="1" applyAlignment="1">
      <alignment horizontal="center"/>
    </xf>
    <xf numFmtId="164" fontId="3" fillId="0" borderId="0" xfId="1" applyNumberFormat="1" applyFont="1"/>
    <xf numFmtId="164" fontId="0" fillId="0" borderId="0" xfId="0" applyNumberFormat="1" applyAlignment="1">
      <alignment horizontal="center"/>
    </xf>
    <xf numFmtId="14" fontId="0" fillId="0" borderId="0" xfId="0" applyNumberFormat="1"/>
    <xf numFmtId="0" fontId="13" fillId="0" borderId="33" xfId="0" applyFont="1" applyBorder="1" applyAlignment="1">
      <alignment horizontal="right" vertical="center"/>
    </xf>
    <xf numFmtId="0" fontId="14" fillId="0" borderId="33" xfId="3" applyBorder="1" applyAlignment="1">
      <alignment horizontal="right" vertical="center"/>
    </xf>
    <xf numFmtId="0" fontId="12" fillId="0" borderId="0" xfId="0" applyFont="1" applyFill="1" applyBorder="1" applyAlignment="1">
      <alignment horizontal="right" vertical="center"/>
    </xf>
    <xf numFmtId="0" fontId="15" fillId="0" borderId="32" xfId="0" applyFont="1" applyBorder="1" applyAlignment="1">
      <alignment horizontal="right" vertical="center"/>
    </xf>
    <xf numFmtId="0" fontId="14" fillId="0" borderId="0" xfId="3"/>
    <xf numFmtId="0" fontId="0" fillId="0" borderId="0" xfId="0" applyAlignment="1">
      <alignment horizontal="center"/>
    </xf>
    <xf numFmtId="165" fontId="0" fillId="0" borderId="0" xfId="1" applyNumberFormat="1" applyFont="1" applyAlignment="1">
      <alignment horizontal="center"/>
    </xf>
    <xf numFmtId="0" fontId="0" fillId="0" borderId="9" xfId="0" applyBorder="1"/>
    <xf numFmtId="164" fontId="0" fillId="0" borderId="11" xfId="0" applyNumberFormat="1" applyBorder="1"/>
    <xf numFmtId="0" fontId="0" fillId="0" borderId="12" xfId="0" applyBorder="1"/>
    <xf numFmtId="169" fontId="0" fillId="0" borderId="13" xfId="0" applyNumberFormat="1" applyBorder="1"/>
    <xf numFmtId="0" fontId="0" fillId="0" borderId="13" xfId="0" applyBorder="1"/>
    <xf numFmtId="164" fontId="0" fillId="0" borderId="13" xfId="0" applyNumberFormat="1" applyBorder="1"/>
    <xf numFmtId="0" fontId="0" fillId="0" borderId="14" xfId="0" applyBorder="1"/>
    <xf numFmtId="169" fontId="0" fillId="0" borderId="16" xfId="0" applyNumberFormat="1" applyBorder="1"/>
    <xf numFmtId="0" fontId="16" fillId="0" borderId="32" xfId="0" applyFont="1" applyBorder="1" applyAlignment="1">
      <alignment horizontal="right" vertical="center"/>
    </xf>
    <xf numFmtId="0" fontId="0" fillId="0" borderId="0" xfId="0" applyAlignment="1">
      <alignment horizontal="center"/>
    </xf>
    <xf numFmtId="0" fontId="12" fillId="4" borderId="0" xfId="0" applyFont="1" applyFill="1" applyBorder="1" applyAlignment="1">
      <alignment horizontal="right" vertical="center"/>
    </xf>
    <xf numFmtId="0" fontId="0" fillId="0" borderId="11" xfId="0" applyBorder="1"/>
    <xf numFmtId="0" fontId="0" fillId="0" borderId="16" xfId="0" applyBorder="1"/>
    <xf numFmtId="1" fontId="0" fillId="0" borderId="0" xfId="0" applyNumberFormat="1" applyAlignment="1">
      <alignment horizontal="center"/>
    </xf>
    <xf numFmtId="0" fontId="0" fillId="0" borderId="0" xfId="0" applyAlignment="1">
      <alignment horizontal="center"/>
    </xf>
    <xf numFmtId="0" fontId="0" fillId="0" borderId="0" xfId="0" applyAlignment="1">
      <alignment horizontal="left"/>
    </xf>
    <xf numFmtId="0" fontId="0" fillId="0" borderId="0" xfId="0" applyAlignment="1">
      <alignment horizontal="center"/>
    </xf>
    <xf numFmtId="9" fontId="10" fillId="8" borderId="0" xfId="0" applyNumberFormat="1" applyFont="1" applyFill="1" applyBorder="1" applyAlignment="1">
      <alignment horizontal="right" vertical="center" textRotation="90"/>
    </xf>
    <xf numFmtId="0" fontId="10" fillId="8" borderId="0" xfId="0" applyFont="1" applyFill="1" applyBorder="1" applyAlignment="1">
      <alignment horizontal="right" vertical="center" textRotation="90"/>
    </xf>
    <xf numFmtId="0" fontId="0" fillId="8" borderId="0" xfId="0" applyFill="1" applyBorder="1" applyAlignment="1">
      <alignment horizontal="center"/>
    </xf>
    <xf numFmtId="0" fontId="0" fillId="8" borderId="15" xfId="0" applyFill="1" applyBorder="1" applyAlignment="1">
      <alignment horizontal="center"/>
    </xf>
    <xf numFmtId="165" fontId="0" fillId="8" borderId="9" xfId="0" applyNumberFormat="1" applyFill="1" applyBorder="1" applyAlignment="1">
      <alignment horizontal="center"/>
    </xf>
    <xf numFmtId="165" fontId="0" fillId="8" borderId="10" xfId="0" applyNumberFormat="1" applyFill="1" applyBorder="1" applyAlignment="1">
      <alignment horizontal="center"/>
    </xf>
    <xf numFmtId="165" fontId="0" fillId="8" borderId="11" xfId="0" applyNumberFormat="1" applyFill="1" applyBorder="1"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Fill="1" applyBorder="1" applyAlignment="1">
      <alignment horizontal="center" wrapText="1"/>
    </xf>
    <xf numFmtId="0" fontId="0" fillId="8" borderId="8" xfId="0" applyFill="1" applyBorder="1" applyAlignment="1">
      <alignment horizontal="center"/>
    </xf>
    <xf numFmtId="0" fontId="0" fillId="8" borderId="8" xfId="0" applyFill="1" applyBorder="1" applyAlignment="1">
      <alignment horizontal="center" wrapText="1"/>
    </xf>
    <xf numFmtId="0" fontId="0" fillId="0" borderId="0" xfId="0" applyFont="1" applyBorder="1" applyAlignment="1">
      <alignment horizontal="left" vertical="top" wrapText="1"/>
    </xf>
    <xf numFmtId="0" fontId="3" fillId="0" borderId="0" xfId="0" applyFont="1" applyBorder="1" applyAlignment="1">
      <alignment horizontal="left" vertical="top" wrapText="1"/>
    </xf>
  </cellXfs>
  <cellStyles count="4">
    <cellStyle name="Currency" xfId="2" builtinId="4"/>
    <cellStyle name="Hyperlink" xfId="3" builtinId="8"/>
    <cellStyle name="Normal" xfId="0" builtinId="0"/>
    <cellStyle name="Percent" xfId="1" builtinId="5"/>
  </cellStyles>
  <dxfs count="43">
    <dxf>
      <fill>
        <patternFill>
          <bgColor rgb="FFFFFF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b/>
        <i val="0"/>
      </font>
      <border>
        <left style="thin">
          <color auto="1"/>
        </left>
        <right style="thin">
          <color auto="1"/>
        </right>
        <top style="thin">
          <color auto="1"/>
        </top>
        <bottom style="thin">
          <color auto="1"/>
        </bottom>
        <vertical/>
        <horizontal/>
      </border>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b/>
        <i val="0"/>
      </font>
      <border>
        <left style="thin">
          <color auto="1"/>
        </left>
        <right style="thin">
          <color auto="1"/>
        </right>
        <top style="thin">
          <color auto="1"/>
        </top>
        <bottom style="thin">
          <color auto="1"/>
        </bottom>
        <vertical/>
        <horizontal/>
      </border>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b/>
        <i val="0"/>
      </font>
      <border>
        <left style="thin">
          <color auto="1"/>
        </left>
        <right style="thin">
          <color auto="1"/>
        </right>
        <top style="thin">
          <color auto="1"/>
        </top>
        <bottom style="thin">
          <color auto="1"/>
        </bottom>
        <vertical/>
        <horizontal/>
      </border>
    </dxf>
    <dxf>
      <fill>
        <patternFill>
          <bgColor rgb="FF92D050"/>
        </patternFill>
      </fill>
    </dxf>
    <dxf>
      <fill>
        <patternFill>
          <bgColor rgb="FFFF0000"/>
        </patternFill>
      </fill>
    </dxf>
    <dxf>
      <numFmt numFmtId="2" formatCode="0.00"/>
    </dxf>
    <dxf>
      <numFmt numFmtId="2" formatCode="0.00"/>
    </dxf>
    <dxf>
      <numFmt numFmtId="164" formatCode="0.0"/>
    </dxf>
    <dxf>
      <numFmt numFmtId="164" formatCode="0.0"/>
    </dxf>
    <dxf>
      <numFmt numFmtId="164" formatCode="0.0"/>
    </dxf>
    <dxf>
      <numFmt numFmtId="2" formatCode="0.00"/>
    </dxf>
    <dxf>
      <numFmt numFmtId="2" formatCode="0.00"/>
    </dxf>
    <dxf>
      <numFmt numFmtId="2" formatCode="0.00"/>
    </dxf>
    <dxf>
      <numFmt numFmtId="164" formatCode="0.0"/>
    </dxf>
    <dxf>
      <numFmt numFmtId="1" formatCode="0"/>
    </dxf>
    <dxf>
      <numFmt numFmtId="164" formatCode="0.0"/>
    </dxf>
    <dxf>
      <numFmt numFmtId="2" formatCode="0.00"/>
    </dxf>
    <dxf>
      <numFmt numFmtId="169" formatCode="0.000"/>
    </dxf>
    <dxf>
      <numFmt numFmtId="166" formatCode="0.0000"/>
    </dxf>
    <dxf>
      <numFmt numFmtId="170" formatCode="0.00000"/>
    </dxf>
    <dxf>
      <numFmt numFmtId="171" formatCode="0.000000"/>
    </dxf>
    <dxf>
      <numFmt numFmtId="172" formatCode="0.0000000"/>
    </dxf>
    <dxf>
      <numFmt numFmtId="173" formatCode="0.00000000"/>
    </dxf>
    <dxf>
      <numFmt numFmtId="164" formatCode="0.0"/>
    </dxf>
    <dxf>
      <numFmt numFmtId="2" formatCode="0.00"/>
    </dxf>
    <dxf>
      <numFmt numFmtId="164" formatCode="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2.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'Team Breakdown'!$A$13</c:f>
              <c:strCache>
                <c:ptCount val="1"/>
                <c:pt idx="0">
                  <c:v>scott</c:v>
                </c:pt>
              </c:strCache>
            </c:strRef>
          </c:tx>
          <c:spPr>
            <a:ln w="28575" cap="rnd">
              <a:solidFill>
                <a:schemeClr val="accent1"/>
              </a:solidFill>
              <a:round/>
            </a:ln>
            <a:effectLst/>
          </c:spPr>
          <c:marker>
            <c:symbol val="none"/>
          </c:marker>
          <c:val>
            <c:numRef>
              <c:f>'Team Breakdown'!$B$13:$Q$13</c:f>
              <c:numCache>
                <c:formatCode>0.0</c:formatCode>
                <c:ptCount val="16"/>
                <c:pt idx="0">
                  <c:v>10.55142857142857</c:v>
                </c:pt>
                <c:pt idx="1">
                  <c:v>10.362857142857141</c:v>
                </c:pt>
                <c:pt idx="2">
                  <c:v>5.7600000000000016</c:v>
                </c:pt>
                <c:pt idx="3">
                  <c:v>4.9585714285714273</c:v>
                </c:pt>
                <c:pt idx="4">
                  <c:v>1.9785714285714295</c:v>
                </c:pt>
                <c:pt idx="5">
                  <c:v>1.7628571428571425</c:v>
                </c:pt>
                <c:pt idx="6">
                  <c:v>1.3800000000000008</c:v>
                </c:pt>
                <c:pt idx="7">
                  <c:v>-0.23285714285714221</c:v>
                </c:pt>
                <c:pt idx="8">
                  <c:v>1.8685714285714283</c:v>
                </c:pt>
                <c:pt idx="9">
                  <c:v>0.69714285714285751</c:v>
                </c:pt>
                <c:pt idx="10">
                  <c:v>0</c:v>
                </c:pt>
                <c:pt idx="11">
                  <c:v>0.64571428571428591</c:v>
                </c:pt>
                <c:pt idx="12">
                  <c:v>0</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0-8961-441F-AA24-AECA066C5619}"/>
            </c:ext>
          </c:extLst>
        </c:ser>
        <c:ser>
          <c:idx val="1"/>
          <c:order val="1"/>
          <c:tx>
            <c:strRef>
              <c:f>'Team Breakdown'!$A$14</c:f>
              <c:strCache>
                <c:ptCount val="1"/>
                <c:pt idx="0">
                  <c:v>cory</c:v>
                </c:pt>
              </c:strCache>
            </c:strRef>
          </c:tx>
          <c:spPr>
            <a:ln w="28575" cap="rnd">
              <a:solidFill>
                <a:schemeClr val="accent2"/>
              </a:solidFill>
              <a:round/>
            </a:ln>
            <a:effectLst/>
          </c:spPr>
          <c:marker>
            <c:symbol val="none"/>
          </c:marker>
          <c:val>
            <c:numRef>
              <c:f>'Team Breakdown'!$B$14:$Q$14</c:f>
              <c:numCache>
                <c:formatCode>0.0</c:formatCode>
                <c:ptCount val="16"/>
                <c:pt idx="0">
                  <c:v>7.8014285714285698</c:v>
                </c:pt>
                <c:pt idx="1">
                  <c:v>7.5071428571428607</c:v>
                </c:pt>
                <c:pt idx="2">
                  <c:v>6.757142857142858</c:v>
                </c:pt>
                <c:pt idx="3">
                  <c:v>4.0928571428571452</c:v>
                </c:pt>
                <c:pt idx="4">
                  <c:v>3.6042857142857132</c:v>
                </c:pt>
                <c:pt idx="5">
                  <c:v>3.032857142857142</c:v>
                </c:pt>
                <c:pt idx="6">
                  <c:v>1.9500000000000011</c:v>
                </c:pt>
                <c:pt idx="7">
                  <c:v>1.6199999999999992</c:v>
                </c:pt>
                <c:pt idx="8">
                  <c:v>1.2719642857142857</c:v>
                </c:pt>
                <c:pt idx="9">
                  <c:v>0.85714285714285676</c:v>
                </c:pt>
                <c:pt idx="10">
                  <c:v>1.297142857142858</c:v>
                </c:pt>
                <c:pt idx="11">
                  <c:v>1.384285714285717</c:v>
                </c:pt>
                <c:pt idx="12">
                  <c:v>1.182857142857145</c:v>
                </c:pt>
                <c:pt idx="13">
                  <c:v>0.39142857142857057</c:v>
                </c:pt>
                <c:pt idx="14">
                  <c:v>-0.52142857142857224</c:v>
                </c:pt>
                <c:pt idx="15">
                  <c:v>#N/A</c:v>
                </c:pt>
              </c:numCache>
            </c:numRef>
          </c:val>
          <c:smooth val="0"/>
          <c:extLst xmlns:c16r2="http://schemas.microsoft.com/office/drawing/2015/06/chart">
            <c:ext xmlns:c16="http://schemas.microsoft.com/office/drawing/2014/chart" uri="{C3380CC4-5D6E-409C-BE32-E72D297353CC}">
              <c16:uniqueId val="{00000001-8961-441F-AA24-AECA066C5619}"/>
            </c:ext>
          </c:extLst>
        </c:ser>
        <c:ser>
          <c:idx val="2"/>
          <c:order val="2"/>
          <c:tx>
            <c:strRef>
              <c:f>'Team Breakdown'!$A$15</c:f>
              <c:strCache>
                <c:ptCount val="1"/>
                <c:pt idx="0">
                  <c:v>aj</c:v>
                </c:pt>
              </c:strCache>
            </c:strRef>
          </c:tx>
          <c:spPr>
            <a:ln w="28575" cap="rnd">
              <a:solidFill>
                <a:schemeClr val="accent3"/>
              </a:solidFill>
              <a:round/>
            </a:ln>
            <a:effectLst/>
          </c:spPr>
          <c:marker>
            <c:symbol val="none"/>
          </c:marker>
          <c:val>
            <c:numRef>
              <c:f>'Team Breakdown'!$B$15:$Q$15</c:f>
              <c:numCache>
                <c:formatCode>0.0</c:formatCode>
                <c:ptCount val="16"/>
                <c:pt idx="0">
                  <c:v>7.2585714285714271</c:v>
                </c:pt>
                <c:pt idx="1">
                  <c:v>5.0333928571428572</c:v>
                </c:pt>
                <c:pt idx="2">
                  <c:v>6.6914285714285695</c:v>
                </c:pt>
                <c:pt idx="3">
                  <c:v>5.89</c:v>
                </c:pt>
                <c:pt idx="4">
                  <c:v>4.9714285714285715</c:v>
                </c:pt>
                <c:pt idx="5">
                  <c:v>4.3671428571428574</c:v>
                </c:pt>
                <c:pt idx="6">
                  <c:v>2.2142857142857135</c:v>
                </c:pt>
                <c:pt idx="7">
                  <c:v>2.4014285714285721</c:v>
                </c:pt>
                <c:pt idx="8">
                  <c:v>2.3257142857142847</c:v>
                </c:pt>
                <c:pt idx="9">
                  <c:v>1.9785714285714295</c:v>
                </c:pt>
                <c:pt idx="10">
                  <c:v>0.85999999999999943</c:v>
                </c:pt>
                <c:pt idx="11">
                  <c:v>1.6200000000000045</c:v>
                </c:pt>
                <c:pt idx="12">
                  <c:v>#N/A</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2-8961-441F-AA24-AECA066C5619}"/>
            </c:ext>
          </c:extLst>
        </c:ser>
        <c:ser>
          <c:idx val="3"/>
          <c:order val="3"/>
          <c:tx>
            <c:strRef>
              <c:f>'Team Breakdown'!$A$16</c:f>
              <c:strCache>
                <c:ptCount val="1"/>
                <c:pt idx="0">
                  <c:v>devon</c:v>
                </c:pt>
              </c:strCache>
            </c:strRef>
          </c:tx>
          <c:spPr>
            <a:ln w="28575" cap="rnd">
              <a:solidFill>
                <a:schemeClr val="accent4"/>
              </a:solidFill>
              <a:round/>
            </a:ln>
            <a:effectLst/>
          </c:spPr>
          <c:marker>
            <c:symbol val="none"/>
          </c:marker>
          <c:val>
            <c:numRef>
              <c:f>'Team Breakdown'!$B$16:$Q$16</c:f>
              <c:numCache>
                <c:formatCode>0.0</c:formatCode>
                <c:ptCount val="16"/>
                <c:pt idx="0">
                  <c:v>7.1089285714285717</c:v>
                </c:pt>
                <c:pt idx="1">
                  <c:v>5.0171428571428569</c:v>
                </c:pt>
                <c:pt idx="2">
                  <c:v>4.7485714285714291</c:v>
                </c:pt>
                <c:pt idx="3">
                  <c:v>4.7700000000000005</c:v>
                </c:pt>
                <c:pt idx="4">
                  <c:v>4.3185714285714276</c:v>
                </c:pt>
                <c:pt idx="5">
                  <c:v>2.8600000000000012</c:v>
                </c:pt>
                <c:pt idx="6">
                  <c:v>1.3650000000000055</c:v>
                </c:pt>
                <c:pt idx="7">
                  <c:v>1.7226785714285704</c:v>
                </c:pt>
                <c:pt idx="8">
                  <c:v>2.5842857142857145</c:v>
                </c:pt>
                <c:pt idx="9">
                  <c:v>1.6857142857142851</c:v>
                </c:pt>
                <c:pt idx="10">
                  <c:v>2.1814285714285724</c:v>
                </c:pt>
                <c:pt idx="11">
                  <c:v>-0.12000000000000011</c:v>
                </c:pt>
                <c:pt idx="12">
                  <c:v>7.0000000000000284E-2</c:v>
                </c:pt>
                <c:pt idx="13">
                  <c:v>-0.27857142857142758</c:v>
                </c:pt>
                <c:pt idx="14">
                  <c:v>#N/A</c:v>
                </c:pt>
                <c:pt idx="15">
                  <c:v>#N/A</c:v>
                </c:pt>
              </c:numCache>
            </c:numRef>
          </c:val>
          <c:smooth val="0"/>
          <c:extLst xmlns:c16r2="http://schemas.microsoft.com/office/drawing/2015/06/chart">
            <c:ext xmlns:c16="http://schemas.microsoft.com/office/drawing/2014/chart" uri="{C3380CC4-5D6E-409C-BE32-E72D297353CC}">
              <c16:uniqueId val="{00000003-8961-441F-AA24-AECA066C5619}"/>
            </c:ext>
          </c:extLst>
        </c:ser>
        <c:ser>
          <c:idx val="4"/>
          <c:order val="4"/>
          <c:tx>
            <c:strRef>
              <c:f>'Team Breakdown'!$A$17</c:f>
              <c:strCache>
                <c:ptCount val="1"/>
                <c:pt idx="0">
                  <c:v>comp</c:v>
                </c:pt>
              </c:strCache>
            </c:strRef>
          </c:tx>
          <c:spPr>
            <a:ln w="28575" cap="rnd">
              <a:solidFill>
                <a:schemeClr val="accent5"/>
              </a:solidFill>
              <a:round/>
            </a:ln>
            <a:effectLst/>
          </c:spPr>
          <c:marker>
            <c:symbol val="none"/>
          </c:marker>
          <c:val>
            <c:numRef>
              <c:f>'Team Breakdown'!$B$17:$Q$17</c:f>
              <c:numCache>
                <c:formatCode>0.0</c:formatCode>
                <c:ptCount val="16"/>
                <c:pt idx="0">
                  <c:v>7.4128571428571437</c:v>
                </c:pt>
                <c:pt idx="1">
                  <c:v>6.7814285714285711</c:v>
                </c:pt>
                <c:pt idx="2">
                  <c:v>4.4701785714285718</c:v>
                </c:pt>
                <c:pt idx="3">
                  <c:v>5.2314285714285713</c:v>
                </c:pt>
                <c:pt idx="4">
                  <c:v>3.2114285714285717</c:v>
                </c:pt>
                <c:pt idx="5">
                  <c:v>2.0514285714285716</c:v>
                </c:pt>
                <c:pt idx="6">
                  <c:v>1.9328571428571433</c:v>
                </c:pt>
                <c:pt idx="7">
                  <c:v>1.6171428571428574</c:v>
                </c:pt>
                <c:pt idx="8">
                  <c:v>1.5885714285714281</c:v>
                </c:pt>
                <c:pt idx="9">
                  <c:v>4.3750000000001066E-2</c:v>
                </c:pt>
                <c:pt idx="10">
                  <c:v>1.2085714285714273</c:v>
                </c:pt>
                <c:pt idx="11">
                  <c:v>0.5600000000000005</c:v>
                </c:pt>
                <c:pt idx="12">
                  <c:v>6.5714285714285836E-2</c:v>
                </c:pt>
                <c:pt idx="13">
                  <c:v>-1.2357142857142849</c:v>
                </c:pt>
                <c:pt idx="14">
                  <c:v>#N/A</c:v>
                </c:pt>
                <c:pt idx="15">
                  <c:v>#N/A</c:v>
                </c:pt>
              </c:numCache>
            </c:numRef>
          </c:val>
          <c:smooth val="0"/>
          <c:extLst xmlns:c16r2="http://schemas.microsoft.com/office/drawing/2015/06/chart">
            <c:ext xmlns:c16="http://schemas.microsoft.com/office/drawing/2014/chart" uri="{C3380CC4-5D6E-409C-BE32-E72D297353CC}">
              <c16:uniqueId val="{00000004-8961-441F-AA24-AECA066C5619}"/>
            </c:ext>
          </c:extLst>
        </c:ser>
        <c:ser>
          <c:idx val="5"/>
          <c:order val="5"/>
          <c:tx>
            <c:strRef>
              <c:f>'Team Breakdown'!$A$18</c:f>
              <c:strCache>
                <c:ptCount val="1"/>
                <c:pt idx="0">
                  <c:v>chad</c:v>
                </c:pt>
              </c:strCache>
            </c:strRef>
          </c:tx>
          <c:spPr>
            <a:ln w="28575" cap="rnd">
              <a:solidFill>
                <a:schemeClr val="accent6"/>
              </a:solidFill>
              <a:round/>
            </a:ln>
            <a:effectLst/>
          </c:spPr>
          <c:marker>
            <c:symbol val="none"/>
          </c:marker>
          <c:val>
            <c:numRef>
              <c:f>'Team Breakdown'!$B$18:$Q$18</c:f>
              <c:numCache>
                <c:formatCode>0.0</c:formatCode>
                <c:ptCount val="16"/>
                <c:pt idx="0">
                  <c:v>14.368571428571428</c:v>
                </c:pt>
                <c:pt idx="1">
                  <c:v>7.4264285714285707</c:v>
                </c:pt>
                <c:pt idx="2">
                  <c:v>7.0028571428571436</c:v>
                </c:pt>
                <c:pt idx="3">
                  <c:v>2.5346428571428579</c:v>
                </c:pt>
                <c:pt idx="4">
                  <c:v>3.3657142857142865</c:v>
                </c:pt>
                <c:pt idx="5">
                  <c:v>2.9442857142857157</c:v>
                </c:pt>
                <c:pt idx="6">
                  <c:v>2.2914285714285718</c:v>
                </c:pt>
                <c:pt idx="7">
                  <c:v>2.3128571428571432</c:v>
                </c:pt>
                <c:pt idx="8">
                  <c:v>2.4457142857142866</c:v>
                </c:pt>
                <c:pt idx="9">
                  <c:v>1.8257142857142856</c:v>
                </c:pt>
                <c:pt idx="10">
                  <c:v>1.1542857142857139</c:v>
                </c:pt>
                <c:pt idx="11">
                  <c:v>0.71571428571428442</c:v>
                </c:pt>
                <c:pt idx="12">
                  <c:v>0.73571428571428488</c:v>
                </c:pt>
                <c:pt idx="13">
                  <c:v>1.0014285714285727</c:v>
                </c:pt>
                <c:pt idx="14">
                  <c:v>#N/A</c:v>
                </c:pt>
                <c:pt idx="15">
                  <c:v>#N/A</c:v>
                </c:pt>
              </c:numCache>
            </c:numRef>
          </c:val>
          <c:smooth val="0"/>
          <c:extLst xmlns:c16r2="http://schemas.microsoft.com/office/drawing/2015/06/chart">
            <c:ext xmlns:c16="http://schemas.microsoft.com/office/drawing/2014/chart" uri="{C3380CC4-5D6E-409C-BE32-E72D297353CC}">
              <c16:uniqueId val="{00000005-8961-441F-AA24-AECA066C5619}"/>
            </c:ext>
          </c:extLst>
        </c:ser>
        <c:ser>
          <c:idx val="6"/>
          <c:order val="6"/>
          <c:tx>
            <c:strRef>
              <c:f>'Team Breakdown'!$A$19</c:f>
              <c:strCache>
                <c:ptCount val="1"/>
                <c:pt idx="0">
                  <c:v>lucas</c:v>
                </c:pt>
              </c:strCache>
            </c:strRef>
          </c:tx>
          <c:spPr>
            <a:ln w="28575" cap="rnd">
              <a:solidFill>
                <a:schemeClr val="accent1">
                  <a:lumMod val="60000"/>
                </a:schemeClr>
              </a:solidFill>
              <a:round/>
            </a:ln>
            <a:effectLst/>
          </c:spPr>
          <c:marker>
            <c:symbol val="none"/>
          </c:marker>
          <c:val>
            <c:numRef>
              <c:f>'Team Breakdown'!$B$19:$Q$19</c:f>
              <c:numCache>
                <c:formatCode>0.0</c:formatCode>
                <c:ptCount val="16"/>
                <c:pt idx="0">
                  <c:v>7.2785714285714276</c:v>
                </c:pt>
                <c:pt idx="1">
                  <c:v>5.0328571428571447</c:v>
                </c:pt>
                <c:pt idx="2">
                  <c:v>3.7914285714285718</c:v>
                </c:pt>
                <c:pt idx="3">
                  <c:v>2.2783928571428582</c:v>
                </c:pt>
                <c:pt idx="4">
                  <c:v>3.0642857142857149</c:v>
                </c:pt>
                <c:pt idx="5">
                  <c:v>2.005178571428571</c:v>
                </c:pt>
                <c:pt idx="6">
                  <c:v>1.92</c:v>
                </c:pt>
                <c:pt idx="7">
                  <c:v>0.57214285714285751</c:v>
                </c:pt>
                <c:pt idx="8">
                  <c:v>1.348571428571427</c:v>
                </c:pt>
                <c:pt idx="9">
                  <c:v>0.78285714285714381</c:v>
                </c:pt>
                <c:pt idx="10">
                  <c:v>0.41446428571428484</c:v>
                </c:pt>
                <c:pt idx="11">
                  <c:v>1.0757142857142847</c:v>
                </c:pt>
                <c:pt idx="12">
                  <c:v>1.5385714285714371</c:v>
                </c:pt>
                <c:pt idx="13">
                  <c:v>0.2328571428571431</c:v>
                </c:pt>
                <c:pt idx="14">
                  <c:v>0.23142857142857665</c:v>
                </c:pt>
                <c:pt idx="15">
                  <c:v>#N/A</c:v>
                </c:pt>
              </c:numCache>
            </c:numRef>
          </c:val>
          <c:smooth val="0"/>
          <c:extLst xmlns:c16r2="http://schemas.microsoft.com/office/drawing/2015/06/chart">
            <c:ext xmlns:c16="http://schemas.microsoft.com/office/drawing/2014/chart" uri="{C3380CC4-5D6E-409C-BE32-E72D297353CC}">
              <c16:uniqueId val="{00000006-8961-441F-AA24-AECA066C5619}"/>
            </c:ext>
          </c:extLst>
        </c:ser>
        <c:ser>
          <c:idx val="7"/>
          <c:order val="7"/>
          <c:tx>
            <c:strRef>
              <c:f>'Team Breakdown'!$A$20</c:f>
              <c:strCache>
                <c:ptCount val="1"/>
                <c:pt idx="0">
                  <c:v>perry</c:v>
                </c:pt>
              </c:strCache>
            </c:strRef>
          </c:tx>
          <c:spPr>
            <a:ln w="28575" cap="rnd">
              <a:solidFill>
                <a:schemeClr val="accent2">
                  <a:lumMod val="60000"/>
                </a:schemeClr>
              </a:solidFill>
              <a:round/>
            </a:ln>
            <a:effectLst/>
          </c:spPr>
          <c:marker>
            <c:symbol val="none"/>
          </c:marker>
          <c:val>
            <c:numRef>
              <c:f>'Team Breakdown'!$B$20:$Q$20</c:f>
              <c:numCache>
                <c:formatCode>0.0</c:formatCode>
                <c:ptCount val="16"/>
                <c:pt idx="0">
                  <c:v>13.55857142857143</c:v>
                </c:pt>
                <c:pt idx="1">
                  <c:v>6.74</c:v>
                </c:pt>
                <c:pt idx="2">
                  <c:v>4.845714285714287</c:v>
                </c:pt>
                <c:pt idx="3">
                  <c:v>3.524285714285714</c:v>
                </c:pt>
                <c:pt idx="4">
                  <c:v>3.0457142857142854</c:v>
                </c:pt>
                <c:pt idx="5">
                  <c:v>2.8942857142857141</c:v>
                </c:pt>
                <c:pt idx="6">
                  <c:v>2.3114285714285732</c:v>
                </c:pt>
                <c:pt idx="7">
                  <c:v>-0.82428571428571384</c:v>
                </c:pt>
                <c:pt idx="8">
                  <c:v>-1.0614285714285723</c:v>
                </c:pt>
                <c:pt idx="9">
                  <c:v>#N/A</c:v>
                </c:pt>
                <c:pt idx="10">
                  <c:v>#N/A</c:v>
                </c:pt>
                <c:pt idx="11">
                  <c:v>#N/A</c:v>
                </c:pt>
                <c:pt idx="12">
                  <c:v>#N/A</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7-8961-441F-AA24-AECA066C5619}"/>
            </c:ext>
          </c:extLst>
        </c:ser>
        <c:ser>
          <c:idx val="8"/>
          <c:order val="8"/>
          <c:tx>
            <c:strRef>
              <c:f>'Team Breakdown'!$A$21</c:f>
              <c:strCache>
                <c:ptCount val="1"/>
                <c:pt idx="0">
                  <c:v>matty</c:v>
                </c:pt>
              </c:strCache>
            </c:strRef>
          </c:tx>
          <c:spPr>
            <a:ln w="28575" cap="rnd">
              <a:solidFill>
                <a:schemeClr val="accent3">
                  <a:lumMod val="60000"/>
                </a:schemeClr>
              </a:solidFill>
              <a:round/>
            </a:ln>
            <a:effectLst/>
          </c:spPr>
          <c:marker>
            <c:symbol val="none"/>
          </c:marker>
          <c:val>
            <c:numRef>
              <c:f>'Team Breakdown'!$B$21:$Q$21</c:f>
              <c:numCache>
                <c:formatCode>0.0</c:formatCode>
                <c:ptCount val="16"/>
                <c:pt idx="0">
                  <c:v>10.115714285714283</c:v>
                </c:pt>
                <c:pt idx="1">
                  <c:v>7.5799999999999974</c:v>
                </c:pt>
                <c:pt idx="2">
                  <c:v>6.9842857142857149</c:v>
                </c:pt>
                <c:pt idx="3">
                  <c:v>4.5685714285714294</c:v>
                </c:pt>
                <c:pt idx="4">
                  <c:v>4.5514285714285707</c:v>
                </c:pt>
                <c:pt idx="5">
                  <c:v>3.6957142857142866</c:v>
                </c:pt>
                <c:pt idx="6">
                  <c:v>2.6242857142857137</c:v>
                </c:pt>
                <c:pt idx="7">
                  <c:v>1.8187499999999996</c:v>
                </c:pt>
                <c:pt idx="8">
                  <c:v>0.40375000000000227</c:v>
                </c:pt>
                <c:pt idx="9">
                  <c:v>1.1128571428571439</c:v>
                </c:pt>
                <c:pt idx="10">
                  <c:v>2.254285714285718</c:v>
                </c:pt>
                <c:pt idx="11">
                  <c:v>0.20428571428571374</c:v>
                </c:pt>
                <c:pt idx="12">
                  <c:v>0.36428571428571388</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8-8961-441F-AA24-AECA066C5619}"/>
            </c:ext>
          </c:extLst>
        </c:ser>
        <c:ser>
          <c:idx val="9"/>
          <c:order val="9"/>
          <c:tx>
            <c:strRef>
              <c:f>'Team Breakdown'!$A$22</c:f>
              <c:strCache>
                <c:ptCount val="1"/>
                <c:pt idx="0">
                  <c:v>seth</c:v>
                </c:pt>
              </c:strCache>
            </c:strRef>
          </c:tx>
          <c:spPr>
            <a:ln w="28575" cap="rnd">
              <a:solidFill>
                <a:schemeClr val="accent4">
                  <a:lumMod val="60000"/>
                </a:schemeClr>
              </a:solidFill>
              <a:round/>
            </a:ln>
            <a:effectLst/>
          </c:spPr>
          <c:marker>
            <c:symbol val="none"/>
          </c:marker>
          <c:val>
            <c:numRef>
              <c:f>'Team Breakdown'!$B$22:$Q$22</c:f>
              <c:numCache>
                <c:formatCode>0.0</c:formatCode>
                <c:ptCount val="16"/>
                <c:pt idx="0">
                  <c:v>6.2314285714285713</c:v>
                </c:pt>
                <c:pt idx="1">
                  <c:v>5.6814285714285724</c:v>
                </c:pt>
                <c:pt idx="2">
                  <c:v>3.121428571428571</c:v>
                </c:pt>
                <c:pt idx="3">
                  <c:v>2.8671428571428548</c:v>
                </c:pt>
                <c:pt idx="4">
                  <c:v>2.3885714285714297</c:v>
                </c:pt>
                <c:pt idx="5">
                  <c:v>1.8585714285714285</c:v>
                </c:pt>
                <c:pt idx="6">
                  <c:v>1.8342857142857136</c:v>
                </c:pt>
                <c:pt idx="7">
                  <c:v>1.6242857142857119</c:v>
                </c:pt>
                <c:pt idx="8">
                  <c:v>1.2171428571428562</c:v>
                </c:pt>
                <c:pt idx="9">
                  <c:v>1.347142857142857</c:v>
                </c:pt>
                <c:pt idx="10">
                  <c:v>0.52571428571428491</c:v>
                </c:pt>
                <c:pt idx="11">
                  <c:v>0.24857142857142822</c:v>
                </c:pt>
                <c:pt idx="12">
                  <c:v>2.7142857142856691E-2</c:v>
                </c:pt>
                <c:pt idx="13">
                  <c:v>#N/A</c:v>
                </c:pt>
                <c:pt idx="14">
                  <c:v>#N/A</c:v>
                </c:pt>
                <c:pt idx="15">
                  <c:v>#N/A</c:v>
                </c:pt>
              </c:numCache>
            </c:numRef>
          </c:val>
          <c:smooth val="0"/>
          <c:extLst xmlns:c16r2="http://schemas.microsoft.com/office/drawing/2015/06/chart">
            <c:ext xmlns:c16="http://schemas.microsoft.com/office/drawing/2014/chart" uri="{C3380CC4-5D6E-409C-BE32-E72D297353CC}">
              <c16:uniqueId val="{00000009-8961-441F-AA24-AECA066C5619}"/>
            </c:ext>
          </c:extLst>
        </c:ser>
        <c:dLbls>
          <c:showLegendKey val="0"/>
          <c:showVal val="0"/>
          <c:showCatName val="0"/>
          <c:showSerName val="0"/>
          <c:showPercent val="0"/>
          <c:showBubbleSize val="0"/>
        </c:dLbls>
        <c:marker val="1"/>
        <c:smooth val="0"/>
        <c:axId val="257585536"/>
        <c:axId val="257587072"/>
      </c:lineChart>
      <c:catAx>
        <c:axId val="2575855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587072"/>
        <c:crosses val="autoZero"/>
        <c:auto val="1"/>
        <c:lblAlgn val="ctr"/>
        <c:lblOffset val="100"/>
        <c:noMultiLvlLbl val="0"/>
      </c:catAx>
      <c:valAx>
        <c:axId val="2575870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585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257612416"/>
        <c:axId val="257847680"/>
      </c:lineChart>
      <c:catAx>
        <c:axId val="25761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847680"/>
        <c:crosses val="autoZero"/>
        <c:auto val="1"/>
        <c:lblAlgn val="ctr"/>
        <c:lblOffset val="100"/>
        <c:noMultiLvlLbl val="0"/>
      </c:catAx>
      <c:valAx>
        <c:axId val="2578476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7612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E$10" lockText="1" noThreeD="1"/>
</file>

<file path=xl/ctrlProps/ctrlProp2.xml><?xml version="1.0" encoding="utf-8"?>
<formControlPr xmlns="http://schemas.microsoft.com/office/spreadsheetml/2009/9/main" objectType="CheckBox" fmlaLink="$E$11" lockText="1" noThreeD="1"/>
</file>

<file path=xl/ctrlProps/ctrlProp3.xml><?xml version="1.0" encoding="utf-8"?>
<formControlPr xmlns="http://schemas.microsoft.com/office/spreadsheetml/2009/9/main" objectType="CheckBox" fmlaLink="$E$12" lockText="1" noThreeD="1"/>
</file>

<file path=xl/ctrlProps/ctrlProp4.xml><?xml version="1.0" encoding="utf-8"?>
<formControlPr xmlns="http://schemas.microsoft.com/office/spreadsheetml/2009/9/main" objectType="CheckBox" fmlaLink="$E$13" lockText="1" noThreeD="1"/>
</file>

<file path=xl/ctrlProps/ctrlProp5.xml><?xml version="1.0" encoding="utf-8"?>
<formControlPr xmlns="http://schemas.microsoft.com/office/spreadsheetml/2009/9/main" objectType="CheckBox" fmlaLink="$E$14" lockText="1" noThreeD="1"/>
</file>

<file path=xl/ctrlProps/ctrlProp6.xml><?xml version="1.0" encoding="utf-8"?>
<formControlPr xmlns="http://schemas.microsoft.com/office/spreadsheetml/2009/9/main" objectType="CheckBox" fmlaLink="$E$15" lockText="1" noThreeD="1"/>
</file>

<file path=xl/ctrlProps/ctrlProp7.xml><?xml version="1.0" encoding="utf-8"?>
<formControlPr xmlns="http://schemas.microsoft.com/office/spreadsheetml/2009/9/main" objectType="CheckBox" fmlaLink="$E$16" lockText="1" noThreeD="1"/>
</file>

<file path=xl/ctrlProps/ctrlProp8.xml><?xml version="1.0" encoding="utf-8"?>
<formControlPr xmlns="http://schemas.microsoft.com/office/spreadsheetml/2009/9/main" objectType="CheckBox" fmlaLink="$E$17" lockText="1" noThreeD="1"/>
</file>

<file path=xl/ctrlProps/ctrlProp9.xml><?xml version="1.0" encoding="utf-8"?>
<formControlPr xmlns="http://schemas.microsoft.com/office/spreadsheetml/2009/9/main" objectType="CheckBox" fmlaLink="$E$18" lockText="1" noThreeD="1"/>
</file>

<file path=xl/ctrlProps/ctrlProp10.xml><?xml version="1.0" encoding="utf-8"?>
<formControlPr xmlns="http://schemas.microsoft.com/office/spreadsheetml/2009/9/main" objectType="CheckBox" fmlaLink="$E$19" lockText="1" noThreeD="1"/>
</file>

<file path=xl/ctrlProps/ctrlProp11.xml><?xml version="1.0" encoding="utf-8"?>
<formControlPr xmlns="http://schemas.microsoft.com/office/spreadsheetml/2009/9/main" objectType="CheckBox" fmlaLink="$E$20" lockText="1" noThreeD="1"/>
</file>

<file path=xl/ctrlProps/ctrlProp12.xml><?xml version="1.0" encoding="utf-8"?>
<formControlPr xmlns="http://schemas.microsoft.com/office/spreadsheetml/2009/9/main" objectType="CheckBox" checked="Checked" fmlaLink="$E$21" lockText="1" noThreeD="1"/>
</file>

<file path=xl/ctrlProps/ctrlProp13.xml><?xml version="1.0" encoding="utf-8"?>
<formControlPr xmlns="http://schemas.microsoft.com/office/spreadsheetml/2009/9/main" objectType="CheckBox" fmlaLink="$E$22" lockText="1" noThreeD="1"/>
</file>

<file path=xl/ctrlProps/ctrlProp14.xml><?xml version="1.0" encoding="utf-8"?>
<formControlPr xmlns="http://schemas.microsoft.com/office/spreadsheetml/2009/9/main" objectType="CheckBox" checked="Checked" fmlaLink="$E$23" lockText="1" noThreeD="1"/>
</file>

<file path=xl/ctrlProps/ctrlProp15.xml><?xml version="1.0" encoding="utf-8"?>
<formControlPr xmlns="http://schemas.microsoft.com/office/spreadsheetml/2009/9/main" objectType="CheckBox" fmlaLink="$E$24" lockText="1" noThreeD="1"/>
</file>

<file path=xl/ctrlProps/ctrlProp16.xml><?xml version="1.0" encoding="utf-8"?>
<formControlPr xmlns="http://schemas.microsoft.com/office/spreadsheetml/2009/9/main" objectType="CheckBox" fmlaLink="$E$25" lockText="1" noThreeD="1"/>
</file>

<file path=xl/ctrlProps/ctrlProp17.xml><?xml version="1.0" encoding="utf-8"?>
<formControlPr xmlns="http://schemas.microsoft.com/office/spreadsheetml/2009/9/main" objectType="CheckBox" fmlaLink="$E$28" lockText="1" noThreeD="1"/>
</file>

<file path=xl/ctrlProps/ctrlProp18.xml><?xml version="1.0" encoding="utf-8"?>
<formControlPr xmlns="http://schemas.microsoft.com/office/spreadsheetml/2009/9/main" objectType="CheckBox" fmlaLink="$E$29" lockText="1" noThreeD="1"/>
</file>

<file path=xl/ctrlProps/ctrlProp19.xml><?xml version="1.0" encoding="utf-8"?>
<formControlPr xmlns="http://schemas.microsoft.com/office/spreadsheetml/2009/9/main" objectType="CheckBox" fmlaLink="$E$30" lockText="1" noThreeD="1"/>
</file>

<file path=xl/ctrlProps/ctrlProp20.xml><?xml version="1.0" encoding="utf-8"?>
<formControlPr xmlns="http://schemas.microsoft.com/office/spreadsheetml/2009/9/main" objectType="CheckBox" checked="Checked" fmlaLink="$E$31" lockText="1" noThreeD="1"/>
</file>

<file path=xl/ctrlProps/ctrlProp21.xml><?xml version="1.0" encoding="utf-8"?>
<formControlPr xmlns="http://schemas.microsoft.com/office/spreadsheetml/2009/9/main" objectType="CheckBox" fmlaLink="$E$32" lockText="1" noThreeD="1"/>
</file>

<file path=xl/ctrlProps/ctrlProp22.xml><?xml version="1.0" encoding="utf-8"?>
<formControlPr xmlns="http://schemas.microsoft.com/office/spreadsheetml/2009/9/main" objectType="CheckBox" fmlaLink="$E$33" lockText="1" noThreeD="1"/>
</file>

<file path=xl/ctrlProps/ctrlProp23.xml><?xml version="1.0" encoding="utf-8"?>
<formControlPr xmlns="http://schemas.microsoft.com/office/spreadsheetml/2009/9/main" objectType="CheckBox" fmlaLink="$E$34" lockText="1" noThreeD="1"/>
</file>

<file path=xl/ctrlProps/ctrlProp24.xml><?xml version="1.0" encoding="utf-8"?>
<formControlPr xmlns="http://schemas.microsoft.com/office/spreadsheetml/2009/9/main" objectType="CheckBox" fmlaLink="$E$35" lockText="1" noThreeD="1"/>
</file>

<file path=xl/ctrlProps/ctrlProp25.xml><?xml version="1.0" encoding="utf-8"?>
<formControlPr xmlns="http://schemas.microsoft.com/office/spreadsheetml/2009/9/main" objectType="CheckBox" fmlaLink="$E$36" lockText="1" noThreeD="1"/>
</file>

<file path=xl/ctrlProps/ctrlProp26.xml><?xml version="1.0" encoding="utf-8"?>
<formControlPr xmlns="http://schemas.microsoft.com/office/spreadsheetml/2009/9/main" objectType="CheckBox" fmlaLink="$E$37" lockText="1" noThreeD="1"/>
</file>

<file path=xl/ctrlProps/ctrlProp27.xml><?xml version="1.0" encoding="utf-8"?>
<formControlPr xmlns="http://schemas.microsoft.com/office/spreadsheetml/2009/9/main" objectType="CheckBox" fmlaLink="$E$38" lockText="1" noThreeD="1"/>
</file>

<file path=xl/ctrlProps/ctrlProp28.xml><?xml version="1.0" encoding="utf-8"?>
<formControlPr xmlns="http://schemas.microsoft.com/office/spreadsheetml/2009/9/main" objectType="CheckBox" fmlaLink="$E$39" lockText="1" noThreeD="1"/>
</file>

<file path=xl/ctrlProps/ctrlProp29.xml><?xml version="1.0" encoding="utf-8"?>
<formControlPr xmlns="http://schemas.microsoft.com/office/spreadsheetml/2009/9/main" objectType="CheckBox" fmlaLink="$E$40" lockText="1" noThreeD="1"/>
</file>

<file path=xl/ctrlProps/ctrlProp30.xml><?xml version="1.0" encoding="utf-8"?>
<formControlPr xmlns="http://schemas.microsoft.com/office/spreadsheetml/2009/9/main" objectType="CheckBox" checked="Checked" fmlaLink="$E$41" lockText="1" noThreeD="1"/>
</file>

<file path=xl/ctrlProps/ctrlProp31.xml><?xml version="1.0" encoding="utf-8"?>
<formControlPr xmlns="http://schemas.microsoft.com/office/spreadsheetml/2009/9/main" objectType="CheckBox" fmlaLink="$E$42" lockText="1" noThreeD="1"/>
</file>

<file path=xl/ctrlProps/ctrlProp32.xml><?xml version="1.0" encoding="utf-8"?>
<formControlPr xmlns="http://schemas.microsoft.com/office/spreadsheetml/2009/9/main" objectType="CheckBox" fmlaLink="$E$43"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fmlaLink="$AD$1" lockText="1" noThreeD="1"/>
</file>

<file path=xl/ctrlProps/ctrlProp3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9</xdr:row>
          <xdr:rowOff>19050</xdr:rowOff>
        </xdr:from>
        <xdr:to>
          <xdr:col>3</xdr:col>
          <xdr:colOff>400050</xdr:colOff>
          <xdr:row>9</xdr:row>
          <xdr:rowOff>180975</xdr:rowOff>
        </xdr:to>
        <xdr:sp macro="" textlink="">
          <xdr:nvSpPr>
            <xdr:cNvPr id="9217" name="Check Box 1" hidden="1">
              <a:extLst>
                <a:ext uri="{63B3BB69-23CF-44E3-9099-C40C66FF867C}">
                  <a14:compatExt spid="_x0000_s9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10</xdr:row>
          <xdr:rowOff>19050</xdr:rowOff>
        </xdr:from>
        <xdr:to>
          <xdr:col>3</xdr:col>
          <xdr:colOff>400050</xdr:colOff>
          <xdr:row>10</xdr:row>
          <xdr:rowOff>180975</xdr:rowOff>
        </xdr:to>
        <xdr:sp macro="" textlink="">
          <xdr:nvSpPr>
            <xdr:cNvPr id="9218" name="Check Box 2" hidden="1">
              <a:extLst>
                <a:ext uri="{63B3BB69-23CF-44E3-9099-C40C66FF867C}">
                  <a14:compatExt spid="_x0000_s92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11</xdr:row>
          <xdr:rowOff>19050</xdr:rowOff>
        </xdr:from>
        <xdr:to>
          <xdr:col>3</xdr:col>
          <xdr:colOff>400050</xdr:colOff>
          <xdr:row>11</xdr:row>
          <xdr:rowOff>180975</xdr:rowOff>
        </xdr:to>
        <xdr:sp macro="" textlink="">
          <xdr:nvSpPr>
            <xdr:cNvPr id="9219" name="Check Box 3" hidden="1">
              <a:extLst>
                <a:ext uri="{63B3BB69-23CF-44E3-9099-C40C66FF867C}">
                  <a14:compatExt spid="_x0000_s9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12</xdr:row>
          <xdr:rowOff>19050</xdr:rowOff>
        </xdr:from>
        <xdr:to>
          <xdr:col>3</xdr:col>
          <xdr:colOff>400050</xdr:colOff>
          <xdr:row>12</xdr:row>
          <xdr:rowOff>180975</xdr:rowOff>
        </xdr:to>
        <xdr:sp macro="" textlink="">
          <xdr:nvSpPr>
            <xdr:cNvPr id="9220" name="Check Box 4" hidden="1">
              <a:extLst>
                <a:ext uri="{63B3BB69-23CF-44E3-9099-C40C66FF867C}">
                  <a14:compatExt spid="_x0000_s9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13</xdr:row>
          <xdr:rowOff>19050</xdr:rowOff>
        </xdr:from>
        <xdr:to>
          <xdr:col>3</xdr:col>
          <xdr:colOff>400050</xdr:colOff>
          <xdr:row>13</xdr:row>
          <xdr:rowOff>180975</xdr:rowOff>
        </xdr:to>
        <xdr:sp macro="" textlink="">
          <xdr:nvSpPr>
            <xdr:cNvPr id="9221" name="Check Box 5" hidden="1">
              <a:extLst>
                <a:ext uri="{63B3BB69-23CF-44E3-9099-C40C66FF867C}">
                  <a14:compatExt spid="_x0000_s92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14</xdr:row>
          <xdr:rowOff>19050</xdr:rowOff>
        </xdr:from>
        <xdr:to>
          <xdr:col>3</xdr:col>
          <xdr:colOff>400050</xdr:colOff>
          <xdr:row>14</xdr:row>
          <xdr:rowOff>180975</xdr:rowOff>
        </xdr:to>
        <xdr:sp macro="" textlink="">
          <xdr:nvSpPr>
            <xdr:cNvPr id="9222" name="Check Box 6" hidden="1">
              <a:extLst>
                <a:ext uri="{63B3BB69-23CF-44E3-9099-C40C66FF867C}">
                  <a14:compatExt spid="_x0000_s92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15</xdr:row>
          <xdr:rowOff>19050</xdr:rowOff>
        </xdr:from>
        <xdr:to>
          <xdr:col>3</xdr:col>
          <xdr:colOff>400050</xdr:colOff>
          <xdr:row>15</xdr:row>
          <xdr:rowOff>180975</xdr:rowOff>
        </xdr:to>
        <xdr:sp macro="" textlink="">
          <xdr:nvSpPr>
            <xdr:cNvPr id="9223" name="Check Box 7" hidden="1">
              <a:extLst>
                <a:ext uri="{63B3BB69-23CF-44E3-9099-C40C66FF867C}">
                  <a14:compatExt spid="_x0000_s92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16</xdr:row>
          <xdr:rowOff>19050</xdr:rowOff>
        </xdr:from>
        <xdr:to>
          <xdr:col>3</xdr:col>
          <xdr:colOff>400050</xdr:colOff>
          <xdr:row>16</xdr:row>
          <xdr:rowOff>180975</xdr:rowOff>
        </xdr:to>
        <xdr:sp macro="" textlink="">
          <xdr:nvSpPr>
            <xdr:cNvPr id="9224" name="Check Box 8" hidden="1">
              <a:extLst>
                <a:ext uri="{63B3BB69-23CF-44E3-9099-C40C66FF867C}">
                  <a14:compatExt spid="_x0000_s92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17</xdr:row>
          <xdr:rowOff>19050</xdr:rowOff>
        </xdr:from>
        <xdr:to>
          <xdr:col>3</xdr:col>
          <xdr:colOff>400050</xdr:colOff>
          <xdr:row>17</xdr:row>
          <xdr:rowOff>180975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18</xdr:row>
          <xdr:rowOff>19050</xdr:rowOff>
        </xdr:from>
        <xdr:to>
          <xdr:col>3</xdr:col>
          <xdr:colOff>400050</xdr:colOff>
          <xdr:row>18</xdr:row>
          <xdr:rowOff>180975</xdr:rowOff>
        </xdr:to>
        <xdr:sp macro="" textlink="">
          <xdr:nvSpPr>
            <xdr:cNvPr id="9226" name="Check Box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19</xdr:row>
          <xdr:rowOff>19050</xdr:rowOff>
        </xdr:from>
        <xdr:to>
          <xdr:col>3</xdr:col>
          <xdr:colOff>400050</xdr:colOff>
          <xdr:row>19</xdr:row>
          <xdr:rowOff>180975</xdr:rowOff>
        </xdr:to>
        <xdr:sp macro="" textlink="">
          <xdr:nvSpPr>
            <xdr:cNvPr id="9227" name="Check Box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20</xdr:row>
          <xdr:rowOff>19050</xdr:rowOff>
        </xdr:from>
        <xdr:to>
          <xdr:col>3</xdr:col>
          <xdr:colOff>400050</xdr:colOff>
          <xdr:row>20</xdr:row>
          <xdr:rowOff>180975</xdr:rowOff>
        </xdr:to>
        <xdr:sp macro="" textlink="">
          <xdr:nvSpPr>
            <xdr:cNvPr id="9228" name="Check Box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21</xdr:row>
          <xdr:rowOff>19050</xdr:rowOff>
        </xdr:from>
        <xdr:to>
          <xdr:col>3</xdr:col>
          <xdr:colOff>400050</xdr:colOff>
          <xdr:row>21</xdr:row>
          <xdr:rowOff>180975</xdr:rowOff>
        </xdr:to>
        <xdr:sp macro="" textlink="">
          <xdr:nvSpPr>
            <xdr:cNvPr id="9229" name="Check Box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22</xdr:row>
          <xdr:rowOff>19050</xdr:rowOff>
        </xdr:from>
        <xdr:to>
          <xdr:col>3</xdr:col>
          <xdr:colOff>400050</xdr:colOff>
          <xdr:row>22</xdr:row>
          <xdr:rowOff>180975</xdr:rowOff>
        </xdr:to>
        <xdr:sp macro="" textlink="">
          <xdr:nvSpPr>
            <xdr:cNvPr id="9230" name="Check Box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23</xdr:row>
          <xdr:rowOff>19050</xdr:rowOff>
        </xdr:from>
        <xdr:to>
          <xdr:col>3</xdr:col>
          <xdr:colOff>400050</xdr:colOff>
          <xdr:row>23</xdr:row>
          <xdr:rowOff>180975</xdr:rowOff>
        </xdr:to>
        <xdr:sp macro="" textlink="">
          <xdr:nvSpPr>
            <xdr:cNvPr id="9231" name="Check Box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24</xdr:row>
          <xdr:rowOff>19050</xdr:rowOff>
        </xdr:from>
        <xdr:to>
          <xdr:col>3</xdr:col>
          <xdr:colOff>400050</xdr:colOff>
          <xdr:row>24</xdr:row>
          <xdr:rowOff>180975</xdr:rowOff>
        </xdr:to>
        <xdr:sp macro="" textlink="">
          <xdr:nvSpPr>
            <xdr:cNvPr id="9232" name="Check Box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27</xdr:row>
          <xdr:rowOff>19050</xdr:rowOff>
        </xdr:from>
        <xdr:to>
          <xdr:col>3</xdr:col>
          <xdr:colOff>400050</xdr:colOff>
          <xdr:row>27</xdr:row>
          <xdr:rowOff>180975</xdr:rowOff>
        </xdr:to>
        <xdr:sp macro="" textlink="">
          <xdr:nvSpPr>
            <xdr:cNvPr id="9233" name="Check Box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28</xdr:row>
          <xdr:rowOff>19050</xdr:rowOff>
        </xdr:from>
        <xdr:to>
          <xdr:col>3</xdr:col>
          <xdr:colOff>400050</xdr:colOff>
          <xdr:row>28</xdr:row>
          <xdr:rowOff>180975</xdr:rowOff>
        </xdr:to>
        <xdr:sp macro="" textlink="">
          <xdr:nvSpPr>
            <xdr:cNvPr id="9234" name="Check Box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29</xdr:row>
          <xdr:rowOff>19050</xdr:rowOff>
        </xdr:from>
        <xdr:to>
          <xdr:col>3</xdr:col>
          <xdr:colOff>400050</xdr:colOff>
          <xdr:row>29</xdr:row>
          <xdr:rowOff>180975</xdr:rowOff>
        </xdr:to>
        <xdr:sp macro="" textlink="">
          <xdr:nvSpPr>
            <xdr:cNvPr id="9235" name="Check Box 19" hidden="1">
              <a:extLst>
                <a:ext uri="{63B3BB69-23CF-44E3-9099-C40C66FF867C}">
                  <a14:compatExt spid="_x0000_s9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30</xdr:row>
          <xdr:rowOff>19050</xdr:rowOff>
        </xdr:from>
        <xdr:to>
          <xdr:col>3</xdr:col>
          <xdr:colOff>400050</xdr:colOff>
          <xdr:row>30</xdr:row>
          <xdr:rowOff>180975</xdr:rowOff>
        </xdr:to>
        <xdr:sp macro="" textlink="">
          <xdr:nvSpPr>
            <xdr:cNvPr id="9236" name="Check Box 20" hidden="1">
              <a:extLst>
                <a:ext uri="{63B3BB69-23CF-44E3-9099-C40C66FF867C}">
                  <a14:compatExt spid="_x0000_s9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31</xdr:row>
          <xdr:rowOff>19050</xdr:rowOff>
        </xdr:from>
        <xdr:to>
          <xdr:col>3</xdr:col>
          <xdr:colOff>400050</xdr:colOff>
          <xdr:row>31</xdr:row>
          <xdr:rowOff>180975</xdr:rowOff>
        </xdr:to>
        <xdr:sp macro="" textlink="">
          <xdr:nvSpPr>
            <xdr:cNvPr id="9237" name="Check Box 21" hidden="1">
              <a:extLst>
                <a:ext uri="{63B3BB69-23CF-44E3-9099-C40C66FF867C}">
                  <a14:compatExt spid="_x0000_s92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32</xdr:row>
          <xdr:rowOff>19050</xdr:rowOff>
        </xdr:from>
        <xdr:to>
          <xdr:col>3</xdr:col>
          <xdr:colOff>400050</xdr:colOff>
          <xdr:row>32</xdr:row>
          <xdr:rowOff>180975</xdr:rowOff>
        </xdr:to>
        <xdr:sp macro="" textlink="">
          <xdr:nvSpPr>
            <xdr:cNvPr id="9238" name="Check Box 22" hidden="1">
              <a:extLst>
                <a:ext uri="{63B3BB69-23CF-44E3-9099-C40C66FF867C}">
                  <a14:compatExt spid="_x0000_s92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33</xdr:row>
          <xdr:rowOff>19050</xdr:rowOff>
        </xdr:from>
        <xdr:to>
          <xdr:col>3</xdr:col>
          <xdr:colOff>400050</xdr:colOff>
          <xdr:row>33</xdr:row>
          <xdr:rowOff>180975</xdr:rowOff>
        </xdr:to>
        <xdr:sp macro="" textlink="">
          <xdr:nvSpPr>
            <xdr:cNvPr id="9239" name="Check Box 23" hidden="1">
              <a:extLst>
                <a:ext uri="{63B3BB69-23CF-44E3-9099-C40C66FF867C}">
                  <a14:compatExt spid="_x0000_s92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34</xdr:row>
          <xdr:rowOff>19050</xdr:rowOff>
        </xdr:from>
        <xdr:to>
          <xdr:col>3</xdr:col>
          <xdr:colOff>400050</xdr:colOff>
          <xdr:row>34</xdr:row>
          <xdr:rowOff>180975</xdr:rowOff>
        </xdr:to>
        <xdr:sp macro="" textlink="">
          <xdr:nvSpPr>
            <xdr:cNvPr id="9240" name="Check Box 24" hidden="1">
              <a:extLst>
                <a:ext uri="{63B3BB69-23CF-44E3-9099-C40C66FF867C}">
                  <a14:compatExt spid="_x0000_s9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35</xdr:row>
          <xdr:rowOff>19050</xdr:rowOff>
        </xdr:from>
        <xdr:to>
          <xdr:col>3</xdr:col>
          <xdr:colOff>400050</xdr:colOff>
          <xdr:row>35</xdr:row>
          <xdr:rowOff>180975</xdr:rowOff>
        </xdr:to>
        <xdr:sp macro="" textlink="">
          <xdr:nvSpPr>
            <xdr:cNvPr id="9241" name="Check Box 25" hidden="1">
              <a:extLst>
                <a:ext uri="{63B3BB69-23CF-44E3-9099-C40C66FF867C}">
                  <a14:compatExt spid="_x0000_s9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36</xdr:row>
          <xdr:rowOff>19050</xdr:rowOff>
        </xdr:from>
        <xdr:to>
          <xdr:col>3</xdr:col>
          <xdr:colOff>400050</xdr:colOff>
          <xdr:row>36</xdr:row>
          <xdr:rowOff>180975</xdr:rowOff>
        </xdr:to>
        <xdr:sp macro="" textlink="">
          <xdr:nvSpPr>
            <xdr:cNvPr id="9242" name="Check Box 26" hidden="1">
              <a:extLst>
                <a:ext uri="{63B3BB69-23CF-44E3-9099-C40C66FF867C}">
                  <a14:compatExt spid="_x0000_s9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37</xdr:row>
          <xdr:rowOff>19050</xdr:rowOff>
        </xdr:from>
        <xdr:to>
          <xdr:col>3</xdr:col>
          <xdr:colOff>400050</xdr:colOff>
          <xdr:row>37</xdr:row>
          <xdr:rowOff>180975</xdr:rowOff>
        </xdr:to>
        <xdr:sp macro="" textlink="">
          <xdr:nvSpPr>
            <xdr:cNvPr id="9243" name="Check Box 27" hidden="1">
              <a:extLst>
                <a:ext uri="{63B3BB69-23CF-44E3-9099-C40C66FF867C}">
                  <a14:compatExt spid="_x0000_s9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38</xdr:row>
          <xdr:rowOff>19050</xdr:rowOff>
        </xdr:from>
        <xdr:to>
          <xdr:col>3</xdr:col>
          <xdr:colOff>400050</xdr:colOff>
          <xdr:row>38</xdr:row>
          <xdr:rowOff>180975</xdr:rowOff>
        </xdr:to>
        <xdr:sp macro="" textlink="">
          <xdr:nvSpPr>
            <xdr:cNvPr id="9244" name="Check Box 28" hidden="1">
              <a:extLst>
                <a:ext uri="{63B3BB69-23CF-44E3-9099-C40C66FF867C}">
                  <a14:compatExt spid="_x0000_s9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39</xdr:row>
          <xdr:rowOff>19050</xdr:rowOff>
        </xdr:from>
        <xdr:to>
          <xdr:col>3</xdr:col>
          <xdr:colOff>400050</xdr:colOff>
          <xdr:row>39</xdr:row>
          <xdr:rowOff>180975</xdr:rowOff>
        </xdr:to>
        <xdr:sp macro="" textlink="">
          <xdr:nvSpPr>
            <xdr:cNvPr id="9245" name="Check Box 29" hidden="1">
              <a:extLst>
                <a:ext uri="{63B3BB69-23CF-44E3-9099-C40C66FF867C}">
                  <a14:compatExt spid="_x0000_s9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40</xdr:row>
          <xdr:rowOff>19050</xdr:rowOff>
        </xdr:from>
        <xdr:to>
          <xdr:col>3</xdr:col>
          <xdr:colOff>400050</xdr:colOff>
          <xdr:row>40</xdr:row>
          <xdr:rowOff>180975</xdr:rowOff>
        </xdr:to>
        <xdr:sp macro="" textlink="">
          <xdr:nvSpPr>
            <xdr:cNvPr id="9246" name="Check Box 30" hidden="1">
              <a:extLst>
                <a:ext uri="{63B3BB69-23CF-44E3-9099-C40C66FF867C}">
                  <a14:compatExt spid="_x0000_s92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41</xdr:row>
          <xdr:rowOff>19050</xdr:rowOff>
        </xdr:from>
        <xdr:to>
          <xdr:col>3</xdr:col>
          <xdr:colOff>400050</xdr:colOff>
          <xdr:row>41</xdr:row>
          <xdr:rowOff>180975</xdr:rowOff>
        </xdr:to>
        <xdr:sp macro="" textlink="">
          <xdr:nvSpPr>
            <xdr:cNvPr id="9247" name="Check Box 31" hidden="1">
              <a:extLst>
                <a:ext uri="{63B3BB69-23CF-44E3-9099-C40C66FF867C}">
                  <a14:compatExt spid="_x0000_s9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42</xdr:row>
          <xdr:rowOff>19050</xdr:rowOff>
        </xdr:from>
        <xdr:to>
          <xdr:col>3</xdr:col>
          <xdr:colOff>400050</xdr:colOff>
          <xdr:row>42</xdr:row>
          <xdr:rowOff>180975</xdr:rowOff>
        </xdr:to>
        <xdr:sp macro="" textlink="">
          <xdr:nvSpPr>
            <xdr:cNvPr id="9248" name="Check Box 32" hidden="1">
              <a:extLst>
                <a:ext uri="{63B3BB69-23CF-44E3-9099-C40C66FF867C}">
                  <a14:compatExt spid="_x0000_s9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45</xdr:row>
          <xdr:rowOff>142875</xdr:rowOff>
        </xdr:from>
        <xdr:to>
          <xdr:col>6</xdr:col>
          <xdr:colOff>266700</xdr:colOff>
          <xdr:row>49</xdr:row>
          <xdr:rowOff>0</xdr:rowOff>
        </xdr:to>
        <xdr:sp macro="" textlink="">
          <xdr:nvSpPr>
            <xdr:cNvPr id="9249" name="Button 33" hidden="1">
              <a:extLst>
                <a:ext uri="{63B3BB69-23CF-44E3-9099-C40C66FF867C}">
                  <a14:compatExt spid="_x0000_s9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Quick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25</xdr:row>
          <xdr:rowOff>38100</xdr:rowOff>
        </xdr:from>
        <xdr:to>
          <xdr:col>3</xdr:col>
          <xdr:colOff>333375</xdr:colOff>
          <xdr:row>28</xdr:row>
          <xdr:rowOff>85725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Quick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552450</xdr:colOff>
          <xdr:row>25</xdr:row>
          <xdr:rowOff>9525</xdr:rowOff>
        </xdr:from>
        <xdr:to>
          <xdr:col>6</xdr:col>
          <xdr:colOff>209550</xdr:colOff>
          <xdr:row>28</xdr:row>
          <xdr:rowOff>57150</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352425</xdr:colOff>
          <xdr:row>25</xdr:row>
          <xdr:rowOff>0</xdr:rowOff>
        </xdr:from>
        <xdr:to>
          <xdr:col>9</xdr:col>
          <xdr:colOff>9525</xdr:colOff>
          <xdr:row>28</xdr:row>
          <xdr:rowOff>47625</xdr:rowOff>
        </xdr:to>
        <xdr:sp macro="" textlink="">
          <xdr:nvSpPr>
            <xdr:cNvPr id="22531" name="Button 3" hidden="1">
              <a:extLst>
                <a:ext uri="{63B3BB69-23CF-44E3-9099-C40C66FF867C}">
                  <a14:compatExt spid="_x0000_s225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Prev_Wk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590550</xdr:colOff>
          <xdr:row>0</xdr:row>
          <xdr:rowOff>9525</xdr:rowOff>
        </xdr:from>
        <xdr:to>
          <xdr:col>2</xdr:col>
          <xdr:colOff>800100</xdr:colOff>
          <xdr:row>1</xdr:row>
          <xdr:rowOff>0</xdr:rowOff>
        </xdr:to>
        <xdr:sp macro="" textlink="">
          <xdr:nvSpPr>
            <xdr:cNvPr id="36865" name="Check Box 1" hidden="1">
              <a:extLst>
                <a:ext uri="{63B3BB69-23CF-44E3-9099-C40C66FF867C}">
                  <a14:compatExt spid="_x0000_s3686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323850</xdr:colOff>
      <xdr:row>0</xdr:row>
      <xdr:rowOff>180975</xdr:rowOff>
    </xdr:from>
    <xdr:to>
      <xdr:col>25</xdr:col>
      <xdr:colOff>19050</xdr:colOff>
      <xdr:row>15</xdr:row>
      <xdr:rowOff>66675</xdr:rowOff>
    </xdr:to>
    <xdr:graphicFrame macro="">
      <xdr:nvGraphicFramePr>
        <xdr:cNvPr id="2" name="Chart 1">
          <a:extLst>
            <a:ext uri="{FF2B5EF4-FFF2-40B4-BE49-F238E27FC236}">
              <a16:creationId xmlns=""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613833</xdr:colOff>
      <xdr:row>20</xdr:row>
      <xdr:rowOff>31750</xdr:rowOff>
    </xdr:from>
    <xdr:to>
      <xdr:col>10</xdr:col>
      <xdr:colOff>21166</xdr:colOff>
      <xdr:row>39</xdr:row>
      <xdr:rowOff>52917</xdr:rowOff>
    </xdr:to>
    <xdr:graphicFrame macro="">
      <xdr:nvGraphicFramePr>
        <xdr:cNvPr id="3" name="Chart 2">
          <a:extLst>
            <a:ext uri="{FF2B5EF4-FFF2-40B4-BE49-F238E27FC236}">
              <a16:creationId xmlns="" xmlns:a16="http://schemas.microsoft.com/office/drawing/2014/main" id="{00000000-0008-0000-1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11</xdr:col>
          <xdr:colOff>180975</xdr:colOff>
          <xdr:row>14</xdr:row>
          <xdr:rowOff>0</xdr:rowOff>
        </xdr:from>
        <xdr:to>
          <xdr:col>14</xdr:col>
          <xdr:colOff>171450</xdr:colOff>
          <xdr:row>17</xdr:row>
          <xdr:rowOff>66675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Feedback Cards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Owner" refreshedDate="43378.430555902778" createdVersion="6" refreshedVersion="4" minRefreshableVersion="3" recordCount="7668">
  <cacheSource type="worksheet">
    <worksheetSource ref="A1:N7669" sheet="F Proj"/>
  </cacheSource>
  <cacheFields count="15">
    <cacheField name="Week" numFmtId="0">
      <sharedItems containsSemiMixedTypes="0" containsString="0" containsNumber="1" containsInteger="1" minValue="1" maxValue="17" count="17">
        <n v="17"/>
        <n v="16"/>
        <n v="9"/>
        <n v="11"/>
        <n v="7"/>
        <n v="13"/>
        <n v="12"/>
        <n v="1"/>
        <n v="6"/>
        <n v="15"/>
        <n v="2"/>
        <n v="14"/>
        <n v="5"/>
        <n v="8"/>
        <n v="4"/>
        <n v="10"/>
        <n v="3"/>
      </sharedItems>
    </cacheField>
    <cacheField name="Player" numFmtId="0">
      <sharedItems count="721">
        <s v="Patrick Mahomes"/>
        <s v="Carson Wentz"/>
        <s v="Cam Newton"/>
        <s v="Todd Gurley II"/>
        <s v="Deshaun Watson"/>
        <s v="Drew Brees"/>
        <s v="Matt Ryan"/>
        <s v="Aaron Rodgers"/>
        <s v="Tom Brady"/>
        <s v="Ben Roethlisberger"/>
        <s v="Blake Bortles"/>
        <s v="Alex Smith"/>
        <s v="Ezekiel Elliott"/>
        <s v="Jared Goff"/>
        <s v="Jameis Winston"/>
        <s v="Philip Rivers"/>
        <s v="Joe Flacco"/>
        <s v="Kirk Cousins"/>
        <s v="Andy Dalton"/>
        <s v="Russell Wilson"/>
        <s v="Derek Carr"/>
        <s v="Matthew Stafford"/>
        <s v="Ryan Fitzpatrick"/>
        <s v="Kareem Hunt"/>
        <s v="Andrew Luck"/>
        <s v="Melvin Gordon"/>
        <s v="Dak Prescott"/>
        <s v="Alvin Kamara"/>
        <s v="Case Keenum"/>
        <s v="Marcus Mariota"/>
        <s v="Eli Manning"/>
        <s v="David Johnson"/>
        <s v="Baker Mayfield"/>
        <s v="Mitchell Trubisky"/>
        <s v="Sam Darnold"/>
        <s v="Nick Foles"/>
        <s v="Tyrod Taylor"/>
        <s v="Josh Rosen"/>
        <s v="Josh Allen"/>
        <s v="Antonio Brown"/>
        <s v="Ryan Tannehill"/>
        <s v="C.J. Beathard"/>
        <s v="Keenan Allen"/>
        <s v="DeAndre Hopkins"/>
        <s v="Christian McCaffrey"/>
        <s v="Saquon Barkley"/>
        <s v="Julio Jones"/>
        <s v="Blaine Gabbert"/>
        <s v="Michael Thomas"/>
        <s v="Odell Beckham Jr."/>
        <s v="Tyreek Hill"/>
        <s v="Carlos Hyde"/>
        <s v="Jordan Howard"/>
        <s v="Lamar Miller"/>
        <s v="Leonard Fournette"/>
        <s v="Dalvin Cook"/>
        <s v="James Conner"/>
        <s v="Brandin Cooks"/>
        <s v="Mike Evans"/>
        <s v="Golden Tate"/>
        <s v="Sam Bradford"/>
        <s v="Joe Mixon"/>
        <s v="Tevin Coleman"/>
        <s v="JuJu Smith-Schuster"/>
        <s v="Devonta Freeman"/>
        <s v="Sony Michel"/>
        <s v="Adam Thielen"/>
        <s v="T.Y. Hilton"/>
        <s v="Marshawn Lynch"/>
        <s v="Robert Woods"/>
        <s v="A.J. Green"/>
        <s v="Davante Adams"/>
        <s v="Rob Gronkowski"/>
        <s v="Jay Ajayi"/>
        <s v="T.J. Yeldon"/>
        <s v="Latavius Murray"/>
        <s v="Giovani Bernard"/>
        <s v="Stefon Diggs"/>
        <s v="Adrian Peterson"/>
        <s v="Travis Kelce"/>
        <s v="Amari Cooper"/>
        <s v="Zach Ertz"/>
        <s v="Derrick Henry"/>
        <s v="Jarvis Landry"/>
        <s v="Marvin Jones Jr."/>
        <s v="James White"/>
        <s v="Jamaal Williams"/>
        <s v="Mark Ingram II"/>
        <s v="Nelson Agholor"/>
        <s v="Chris Hogan"/>
        <s v="LeSean McCoy"/>
        <s v="Matt Breida"/>
        <s v="Cooper Kupp"/>
        <s v="Corey Clement"/>
        <s v="Julian Edelman"/>
        <s v="Alex Collins"/>
        <s v="Doug Baldwin"/>
        <s v="Quincy Enunwa"/>
        <s v="Kenyan Drake"/>
        <s v="Will Fuller V"/>
        <s v="Chris Thompson"/>
        <s v="Emmanuel Sanders"/>
        <s v="Nathan Peterman"/>
        <s v="John Brown"/>
        <s v="Alshon Jeffery"/>
        <s v="Dion Lewis"/>
        <s v="Corey Davis"/>
        <s v="Demaryius Thomas"/>
        <s v="Phillip Lindsay"/>
        <s v="Allen Robinson"/>
        <s v="Kerryon Johnson"/>
        <s v="Jordy Nelson"/>
        <s v="Devin Funchess"/>
        <s v="Greg Olsen"/>
        <s v="Jared Cook"/>
        <s v="Larry Fitzgerald"/>
        <s v="Michael Crabtree"/>
        <s v="Sammy Watkins"/>
        <s v="Tyler Boyd"/>
        <s v="Peyton Barber"/>
        <s v="Kenny Stills"/>
        <s v="Antonio Callaway"/>
        <s v="Aaron Jones"/>
        <s v="Kenny Golladay"/>
        <s v="Calvin Ridley"/>
        <s v="Jimmy Graham"/>
        <s v="Josh Gordon"/>
        <s v="Randall Cobb"/>
        <s v="Pierre Garcon"/>
        <s v="Rashaad Penny"/>
        <s v="Jordan Reed"/>
        <s v="Jordan Wilkins"/>
        <s v="Alfred Morris"/>
        <s v="Royce Freeman"/>
        <s v="Javorius Allen"/>
        <s v="Theo Riddick"/>
        <s v="Bilal Powell"/>
        <s v="Le'Veon Bell"/>
        <s v="Austin Ekeler"/>
        <s v="Chris Carson"/>
        <s v="Tyler Lockett"/>
        <s v="Sterling Shepard"/>
        <s v="Marlon Mack"/>
        <s v="Geronimo Allison"/>
        <s v="Robby Anderson"/>
        <s v="Evan Engram"/>
        <s v="Taywan Taylor"/>
        <s v="Ted Ginn Jr."/>
        <s v="Jamison Crowder"/>
        <s v="Ryan Grant"/>
        <s v="Corey Grant"/>
        <s v="Duke Johnson Jr."/>
        <s v="Isaiah Crowell"/>
        <s v="Nyheim Hines"/>
        <s v="David Njoku"/>
        <s v="Keelan Cole"/>
        <s v="Frank Gore"/>
        <s v="O.J. Howard"/>
        <s v="George Kittle"/>
        <s v="Kyle Rudolph"/>
        <s v="Tarik Cohen"/>
        <s v="C.J. Anderson"/>
        <s v="DeSean Jackson"/>
        <s v="Ty Montgomery"/>
        <s v="Marquise Goodwin"/>
        <s v="Austin Hooper"/>
        <s v="Mike Davis"/>
        <s v="Marquez Valdes-Scantling"/>
        <s v="Wendell Smallwood"/>
        <s v="Chris Ivory"/>
        <s v="Trey Burton"/>
        <s v="Chester Rogers"/>
        <s v="LeGarrette Blount"/>
        <s v="Mike Gillislee"/>
        <s v="Christian Kirk"/>
        <s v="Tyrell Williams"/>
        <s v="Brandon Marshall"/>
        <s v="Donte Moncrief"/>
        <s v="Terrelle Pryor Sr."/>
        <s v="Eric Ebron"/>
        <s v="Josh Doctson"/>
        <s v="Dede Westbrook"/>
        <s v="Jalen Richard"/>
        <s v="Marcus Murphy"/>
        <s v="Courtland Sutton"/>
        <s v="Paul Richardson"/>
        <s v="Dante Pettis"/>
        <s v="Hayden Hurst"/>
        <s v="Spencer Ware"/>
        <s v="Jack Doyle"/>
        <s v="Phillip Dorsett"/>
        <s v="Mohamed Sanu"/>
        <s v="Benjamin Watson"/>
        <s v="Jeff Heuerman"/>
        <s v="D.J. Moore"/>
        <s v="Alfred Blue"/>
        <s v="Vance McDonald"/>
        <s v="Cameron Brate"/>
        <s v="Doug Martin"/>
        <s v="Kelvin Benjamin"/>
        <s v="Devontae Booker"/>
        <s v="Chris Godwin"/>
        <s v="Danny Amendola"/>
        <s v="DeVante Parker"/>
        <s v="D'Onta Foreman"/>
        <s v="Zach Pascal"/>
        <s v="Mike Williams"/>
        <s v="Michael Gallup"/>
        <s v="Taylor Gabriel"/>
        <s v="Willie Snead"/>
        <s v="Nick Chubb"/>
        <s v="Allen Hurns"/>
        <s v="Anthony Miller"/>
        <s v="Ito Smith"/>
        <s v="John Ross"/>
        <s v="Austin Seferian-Jenkins"/>
        <s v="Martavis Bryant"/>
        <s v="Jesse James"/>
        <s v="Chad Williams"/>
        <s v="Albert Wilson"/>
        <s v="Charles Clay"/>
        <s v="Darren Sproles"/>
        <s v="Cole Beasley"/>
        <s v="Jacquizz Rodgers"/>
        <s v="Jonnu Smith"/>
        <s v="Chase Edmonds"/>
        <s v="Zay Jones"/>
        <s v="Jermaine Kearse"/>
        <s v="Ricky Seals-Jones"/>
        <s v="Rhett Ellison"/>
        <s v="Blake Jarwin"/>
        <s v="Jakeem Grant"/>
        <s v="J.J. Nelson"/>
        <s v="Ian Thomas"/>
        <s v="Ryan Griffin"/>
        <s v="Rod Smith"/>
        <s v="Laquon Treadwell"/>
        <s v="Austin Carr"/>
        <s v="Ronald Jones"/>
        <s v="James Washington"/>
        <s v="Tajae Sharpe"/>
        <s v="Jake Butt"/>
        <s v="Ryan Switzer"/>
        <s v="Kenneth Dixon"/>
        <s v="Seth Roberts"/>
        <s v="Torrey Smith"/>
        <s v="J'Mon Moore"/>
        <s v="Chris Conley"/>
        <s v="Garrett Celek"/>
        <s v="Adam Humphries"/>
        <s v="Deonte Thompson"/>
        <s v="Geoff Swaim"/>
        <s v="Lamar Jackson"/>
        <s v="Jarius Wright"/>
        <s v="Rashard Higgins"/>
        <s v="Antonio Gates"/>
        <s v="Tyler Kroft"/>
        <s v="Bruce Ellington"/>
        <s v="Terrance Williams"/>
        <s v="Michael Gesicki"/>
        <s v="Keke Coutee"/>
        <s v="Cody Latimer"/>
        <s v="Jaron Brown"/>
        <s v="Virgil Green"/>
        <s v="Luke Willson"/>
        <s v="Dallas Goedert"/>
        <s v="Josh Adams"/>
        <s v="Cameron Meredith"/>
        <s v="Malcolm Brown"/>
        <s v="Kamar Aiken"/>
        <s v="Jordan Matthews"/>
        <s v="Trent Taylor"/>
        <s v="Vernon Davis"/>
        <s v="Curtis Samuel"/>
        <s v="Mark Andrews"/>
        <s v="Taysom Hill"/>
        <s v="Darren Fells"/>
        <s v="Tavon Austin"/>
        <s v="Tre'Quan Smith"/>
        <s v="Brandon LaFell"/>
        <s v="James O'Shaughnessy"/>
        <s v="C.J. Uzomah"/>
        <s v="Travis Benjamin"/>
        <s v="Demetrius Harris"/>
        <s v="Chris Manhertz"/>
        <s v="Ed Dickson"/>
        <s v="Chris Herndon"/>
        <s v="Tyler Higbee"/>
        <s v="Eric Tomlinson"/>
        <s v="Jordan Thomas"/>
        <s v="Nick Vannett"/>
        <s v="Jordan Akins"/>
        <s v="Pharoh Cooper"/>
        <s v="Khadarel Hodge"/>
        <s v="Seth DeValve"/>
        <s v="Luke Stocker"/>
        <s v="Trenton Cannon"/>
        <s v="Wayne Gallman"/>
        <s v="Josh Hill"/>
        <s v="Justin Hardy"/>
        <s v="A.J. Derby"/>
        <s v="Jordan Leggett"/>
        <s v="Dion Sims"/>
        <s v="Mark Walton"/>
        <s v="Nick Boyle"/>
        <s v="Russell Shepard"/>
        <s v="Jermaine Gresham"/>
        <s v="Aldrick Robinson"/>
        <s v="Tyler Ervin"/>
        <s v="Ameer Abdullah"/>
        <s v="Shaun Wilson"/>
        <s v="Elijah McGuire"/>
        <s v="Gerald Everett"/>
        <s v="Niles Paul"/>
        <s v="T.J. Jones"/>
        <s v="Eric Saubert"/>
        <s v="C.J. Prosise"/>
        <s v="Darrius Heyward-Bey"/>
        <s v="Kevin White"/>
        <s v="Cordarrelle Patterson"/>
        <s v="Neal Sterling"/>
        <s v="Cameron Artis-Payne"/>
        <s v="JoJo Natson"/>
        <s v="Kalen Ballage"/>
        <s v="Dwayne Allen"/>
        <s v="Taiwan Jones"/>
        <s v="Maxx Williams"/>
        <s v="Levine Toilolo"/>
        <s v="Geremy Davis"/>
        <s v="Jacoby Brissett"/>
        <s v="David Morgan"/>
        <s v="Gabe Holmes"/>
        <s v="Vyncint Smith"/>
        <s v="Marcedes Lewis"/>
        <s v="David Moore"/>
        <s v="Jerell Adams"/>
        <s v="Brandon Wilds"/>
        <s v="Lance Kendricks"/>
        <s v="Josh Reynolds"/>
        <s v="Buddy Howell"/>
        <s v="Derek Carrier"/>
        <s v="De'Lance Turner"/>
        <s v="D.J. Chark"/>
        <s v="Justin Hunter"/>
        <s v="Sammie Coates"/>
        <s v="Brian Hill"/>
        <s v="Cody Core"/>
        <s v="Kyle Juszczyk"/>
        <s v="David Fluellen"/>
        <s v="Stevan Ridley"/>
        <s v="DeShone Kizer"/>
        <s v="Jacob Hollister"/>
        <s v="Andy Janovich"/>
        <s v="J.J. Jones"/>
        <s v="Alex Erickson"/>
        <s v="Jawill Davis"/>
        <s v="Mike Glennon"/>
        <s v="Scott Simonson"/>
        <s v="Tre Madden"/>
        <s v="Brett Hundley"/>
        <s v="David Fales"/>
        <s v="De'Anthony Thomas"/>
        <s v="Benny Cunningham"/>
        <s v="Damiere Byrd"/>
        <s v="Dwayne Washington"/>
        <s v="Roosevelt Nix"/>
        <s v="Josh McCown"/>
        <s v="Senorise Perry"/>
        <s v="Victor Bolden Jr."/>
        <s v="Michael Roberts"/>
        <s v="Brian Hoyer"/>
        <s v="Trevor Siemian"/>
        <s v="Rico Gathers"/>
        <s v="Shelton Gibson"/>
        <s v="Derek Watt"/>
        <s v="Geno Smith"/>
        <s v="Demarcus Robinson"/>
        <s v="Kendrick Bourne"/>
        <s v="Josh Malone"/>
        <s v="Brice Butler"/>
        <s v="Matt Slater"/>
        <s v="Andre Holmes"/>
        <s v="DeAndre Carter"/>
        <s v="Drew Stanton"/>
        <s v="Josh Bellamy"/>
        <s v="Brandon Weeden"/>
        <s v="Robert Turbin"/>
        <s v="Cody Kessler"/>
        <s v="Sean Mannion"/>
        <s v="Marcus Kemp"/>
        <s v="Chase Daniel"/>
        <s v="Maurice Harris"/>
        <s v="Colt McCoy"/>
        <s v="Mike Boone"/>
        <s v="Zach Line"/>
        <s v="A.J. McCarron"/>
        <s v="Rashad Greene"/>
        <s v="Cooper Rush"/>
        <s v="Keith Smith"/>
        <s v="Marcus Johnson"/>
        <s v="Brandon Bolden"/>
        <s v="Jaydon Mickens"/>
        <s v="Marvin Hall"/>
        <s v="Roc Thomas"/>
        <s v="Brian Quick"/>
        <s v="J.D. McKissic"/>
        <s v="Trey Quinn"/>
        <s v="Nick Williams"/>
        <s v="Tim White"/>
        <s v="Patrick DiMarco"/>
        <s v="Charone Peake"/>
        <s v="Justin Jackson"/>
        <s v="Matt Schaub"/>
        <s v="Chris Moore"/>
        <s v="DaeSean Hamilton"/>
        <s v="Elijhaa Penny"/>
        <s v="Jeremy Sprinkle"/>
        <s v="Justin Watson"/>
        <s v="Mike Thomas"/>
        <s v="Mo Alie-Cox"/>
        <s v="Kapri Bibbs"/>
        <s v="Robert Foster"/>
        <s v="Darius Jennings"/>
        <s v="Logan Thomas"/>
        <s v="Samaje Perine"/>
        <s v="Alex Armah"/>
        <s v="Andy Jones"/>
        <s v="Antony Auclair"/>
        <s v="DeAndre Washington"/>
        <s v="Patrick Ricard"/>
        <s v="T.J. Logan"/>
        <s v="Alan Cross"/>
        <s v="Jordan Taylor"/>
        <s v="Orson Charles"/>
        <s v="Rod Streater"/>
        <s v="Thomas Rawls"/>
        <s v="Alex Ellis"/>
        <s v="Justin Davis"/>
        <s v="Logan Paulsen"/>
        <s v="Ray-Ray McCloud"/>
        <s v="Dwayne Harris"/>
        <s v="Eli Rogers"/>
        <s v="Jason Croom"/>
        <s v="Javon Wims"/>
        <s v="Michael Burton"/>
        <s v="MyCole Pruitt"/>
        <s v="Noah Brown"/>
        <s v="Nick Bellore"/>
        <s v="Anthony Sherman"/>
        <s v="Brandon Tate"/>
        <s v="Daniel Brown"/>
        <s v="Ben Braunecker"/>
        <s v="C.J. Ham"/>
        <s v="Matt LaCosse"/>
        <s v="Richard Rodgers"/>
        <s v="Teddy Bridgewater"/>
        <s v="Brian Parker"/>
        <s v="Cole Wick"/>
        <s v="Tyler Conklin"/>
        <s v="Adam Shaheen"/>
        <s v="Byron Marshall"/>
        <s v="Chad Henne"/>
        <s v="Jamize Olawale"/>
        <s v="Durham Smythe"/>
        <s v="Khari Lee"/>
        <s v="Lee Smith"/>
        <s v="Hakeem Valles"/>
        <s v="Tim Patrick"/>
        <s v="Joshua Perkins"/>
        <s v="Michael Floyd"/>
        <s v="Tommy Bohanon"/>
        <s v="Andre Roberts"/>
        <s v="Xavier Grimble"/>
        <s v="Damien Williams"/>
        <s v="Raheem Mostert"/>
        <s v="Jehu Chesson"/>
        <s v="Stacy Coley"/>
        <s v="Derrick Coleman"/>
        <s v="Matt Cassel"/>
        <s v="James Develin"/>
        <s v="Kenjon Barner"/>
        <s v="Alex Tanney"/>
        <s v="Austin Davis"/>
        <s v="Brock Osweiler"/>
        <s v="Cethan Carter"/>
        <s v="Emanuel Byrd"/>
        <s v="Hunter Sharp"/>
        <s v="Jace Billingsley"/>
        <s v="Joe Webb"/>
        <s v="Kevin Hogan"/>
        <s v="Marquez Williams"/>
        <s v="Nate Sudfeld"/>
        <s v="Robert Griffin III"/>
        <s v="Taylor Heinicke"/>
        <s v="DeVier Posey" u="1"/>
        <s v="Joe Callahan" u="1"/>
        <s v="Jonathan Stewart" u="1"/>
        <s v="De'Angelo Henderson" u="1"/>
        <s v="Javontee Herndon" u="1"/>
        <s v="Rashad Ross" u="1"/>
        <s v="Bryce Petty" u="1"/>
        <s v="Quan Bray" u="1"/>
        <s v="Erik Swoope" u="1"/>
        <s v="Keith Marshall" u="1"/>
        <s v="Marquess Wilson" u="1"/>
        <s v="Kellen Moore" u="1"/>
        <s v="K.J. Brent" u="1"/>
        <s v="Matt Forte" u="1"/>
        <s v="Josh Ferguson" u="1"/>
        <s v="Eddie Lacy" u="1"/>
        <s v="Ryan Mallett" u="1"/>
        <s v="Sean McGrath" u="1"/>
        <s v="Troymaine Pope" u="1"/>
        <s v="Matt Jones" u="1"/>
        <s v="Bryce Treggs" u="1"/>
        <s v="Daniel Lasco" u="1"/>
        <s v="Austin Traylor" u="1"/>
        <s v="Walt Powell" u="1"/>
        <s v="DeAndrew White" u="1"/>
        <s v="Tavarres King" u="1"/>
        <s v="D.J. Foster" u="1"/>
        <s v="Max McCaffrey" u="1"/>
        <s v="Derek Anderson" u="1"/>
        <s v="Kendall Wright" u="1"/>
        <s v="Will Dissly" u="1"/>
        <s v="Phillip Supernaw" u="1"/>
        <s v="Tanner Gentry" u="1"/>
        <s v="Todd Gurley" u="1"/>
        <s v="Ross Travis" u="1"/>
        <s v="Marquis Bundy" u="1"/>
        <s v="Orleans Darkwa" u="1"/>
        <s v="Chad Hansen" u="1"/>
        <s v="Rishard Matthews" u="1"/>
        <s v="Anthony Fasano" u="1"/>
        <s v="Jeff Janis" u="1"/>
        <s v="Jeremy Langford" u="1"/>
        <s v="Jonathan Williams" u="1"/>
        <s v="Brenton Bersin" u="1"/>
        <s v="Bennie Fowler III" u="1"/>
        <s v="Connor Cook" u="1"/>
        <s v="Terrence Magee" u="1"/>
        <s v="Carson Palmer" u="1"/>
        <s v="Tanner McEvoy" u="1"/>
        <s v="Austin Johnson" u="1"/>
        <s v="Jay Cutler" u="1"/>
        <s v="Dez Bryant" u="1"/>
        <s v="Matt Barkley" u="1"/>
        <s v="Griff Whalen" u="1"/>
        <s v="Matt Moore" u="1"/>
        <s v="Jake Rudock" u="1"/>
        <s v="MarQueis Gray" u="1"/>
        <s v="Jace Amaro" u="1"/>
        <s v="Marqise Lee" u="1"/>
        <s v="Branden Oliver" u="1"/>
        <s v="Devin Smith" u="1"/>
        <s v="Joe Williams" u="1"/>
        <s v="John Phillips" u="1"/>
        <s v="Blake Bell" u="1"/>
        <s v="Jalin Marshall" u="1"/>
        <s v="Dan Vitale" u="1"/>
        <s v="DeAndre Smelter" u="1"/>
        <s v="Brandon Coleman" u="1"/>
        <s v="Terron Ward" u="1"/>
        <s v="Ricardo Louis" u="1"/>
        <s v="Matthew McGloin" u="1"/>
        <s v="Ryan Hewitt" u="1"/>
        <s v="Brittan Golden" u="1"/>
        <s v="Mike Wallace" u="1"/>
        <s v="Malcolm Mitchell" u="1"/>
        <s v="Gavin Escobar" u="1"/>
        <s v="Kerwynn Williams" u="1"/>
        <s v="C.J. Spiller" u="1"/>
        <s v="Nick O'Leary" u="1"/>
        <s v="Andre Williams" u="1"/>
        <s v="Jimmy Garoppolo" u="1"/>
        <s v="Paul Turner" u="1"/>
        <s v="Aaron Ripkowski" u="1"/>
        <s v="Shane Wynn" u="1"/>
        <s v="Zach Miller" u="1"/>
        <s v="Clay Harbor" u="1"/>
        <s v="Rex Burkhead" u="1"/>
        <s v="Dontrelle Inman" u="1"/>
        <s v="Myles White" u="1"/>
        <s v="Cobi Hamilton" u="1"/>
        <s v="Johnny Holton" u="1"/>
        <s v="Janarion Grant" u="1"/>
        <s v="Evan Baylis" u="1"/>
        <s v="Kevin Norwood" u="1"/>
        <s v="Akeem Hunt" u="1"/>
        <s v="Leonte Carroo" u="1"/>
        <s v="Will Tye" u="1"/>
        <s v="Bronson Hill" u="1"/>
        <s v="Fozzy Whittaker" u="1"/>
        <s v="Devante Mays" u="1"/>
        <s v="Daniel Braverman" u="1"/>
        <s v="Andrew Hawkins" u="1"/>
        <s v="Mike Tolbert" u="1"/>
        <s v="ArDarius Stewart" u="1"/>
        <s v="Landry Jones" u="1"/>
        <s v="Markus Wheaton" u="1"/>
        <s v="James Wright" u="1"/>
        <s v="Kenny Britt" u="1"/>
        <s v="Jay Prosch" u="1"/>
        <s v="Braxton Miller" u="1"/>
        <s v="Frankie Hammond" u="1"/>
        <s v="Chris ThompsonWR" u="1"/>
        <s v="Brent Celek" u="1"/>
        <s v="Jason Witten" u="1"/>
        <s v="Andre Ellington" u="1"/>
        <s v="Scott Tolzien" u="1"/>
        <s v="Jaelen Strong" u="1"/>
        <s v="Chris Harper" u="1"/>
        <s v="Mack Brown" u="1"/>
        <s v="Chris Matthews" u="1"/>
        <s v="Kellen Clemens" u="1"/>
        <s v="Shane Vereen" u="1"/>
        <s v="John Kuhn" u="1"/>
        <s v="Kenny Bell" u="1"/>
        <s v="Jake Lampman" u="1"/>
        <s v="Quinton Patton" u="1"/>
        <s v="Randall Telfer" u="1"/>
        <s v="Ifeanyi Momah" u="1"/>
        <s v="Keshawn Martin" u="1"/>
        <s v="Troy Niklas" u="1"/>
        <s v="Jerick McKinnon" u="1"/>
        <s v="Charcandrick West" u="1"/>
        <s v="Paxton Lynch" u="1"/>
        <s v="Hunter Henry" u="1"/>
        <s v="Travaris Cadet" u="1"/>
        <s v="Bennie Fowler" u="1"/>
        <s v="Jeremy Hill" u="1"/>
        <s v="Chris Johnson" u="1"/>
        <s v="Matt Lengel" u="1"/>
        <s v="Shane Smith" u="1"/>
        <s v="Demarcus Ayers" u="1"/>
        <s v="Michael Hoomanawanui" u="1"/>
        <s v="Keith Mumphery" u="1"/>
        <s v="Terrell Watson" u="1"/>
        <s v="Brandon Williams" u="1"/>
        <s v="Kalif Raymond" u="1"/>
        <s v="Mike Campanaro" u="1"/>
        <s v="Joe Kerridge" u="1"/>
        <s v="Henry Krieger-Coble" u="1"/>
        <s v="Ben Koyack" u="1"/>
        <s v="Tommylee Lewis" u="1"/>
        <s v="Eric Weems" u="1"/>
        <s v="Daurice Fountain" u="1"/>
        <s v="Terrance West" u="1"/>
        <s v="Breshad Perriman" u="1"/>
        <s v="Donteea Dye" u="1"/>
        <s v="E.J. Manuel" u="1"/>
        <s v="Eric Decker" u="1"/>
        <s v="Aaron Burbridge" u="1"/>
        <s v="Trey Williams" u="1"/>
        <s v="Paul Perkins" u="1"/>
        <s v="Krishawn Hogan" u="1"/>
        <s v="Tom Savage" u="1"/>
        <s v="Danny Woodhead" u="1"/>
        <s v="Amara Darboh" u="1"/>
        <s v="Tre McBride" u="1"/>
        <s v="Bradley Marquez" u="1"/>
        <s v="Travis Rudolph" u="1"/>
        <s v="Joe Banyard" u="1"/>
        <s v="Isaac Whitney" u="1"/>
        <s v="Corey Coleman" u="1"/>
        <s v="Jeremy McNichols" u="1"/>
        <s v="DeMarco Murray" u="1"/>
        <s v="Darrell Daniels" u="1"/>
        <s v="Trey Edmunds" u="1"/>
        <s v="Garrett Griffin" u="1"/>
        <s v="Marlon Brown" u="1"/>
        <s v="Matt Dayes" u="1"/>
        <s v="Fitzgerald Toussaint" u="1"/>
        <s v="Isaiah Burse" u="1"/>
        <s v="Jared Abbrederis" u="1"/>
        <s v="Coby Fleener" u="1"/>
        <s v="Dorial Green-Beckham" u="1"/>
        <s v="Tim Hightower" u="1"/>
        <s v="Tim Wright" u="1"/>
        <s v="Bobo Wilson" u="1"/>
        <s v="Jeremy Kerley" u="1"/>
        <s v="Tyler Eifert" u="1"/>
        <s v="Martellus Bennett" u="1"/>
        <s v="Knile Davis" u="1"/>
        <s v="Wendall Williams" u="1"/>
        <s v="Harry Douglas" u="1"/>
        <s v="C.J. Fiedorowicz" u="1"/>
        <s v="Darren McFadden" u="1"/>
        <s v="Seantavius Jones" u="1"/>
        <s v="Isaiah McKenzie" u="1"/>
        <s v="Rob Kelley" u="1"/>
        <s v="Charles Sims" u="1"/>
        <s v="Delanie Walker" u="1"/>
        <s v="Mark Ingram" u="1"/>
        <s v="Freddie Martino" u="1"/>
        <s v="Arrelious Benn" u="1"/>
        <s v="Christian Hackenberg" u="1"/>
        <s v="Trevor Davis" u="1"/>
        <s v="Mack Hollins" u="1"/>
        <s v="Julius Thomas" u="1"/>
        <s v="Kaelin Clay" u="1"/>
        <s v="Stephen Anderson" u="1"/>
        <s v="Cardale Jones" u="1"/>
        <s v="Jeremy Maclin" u="1"/>
        <s v="Roger Lewis" u="1"/>
        <s v="Vince Mayle" u="1"/>
        <s v="Temarrick Hemingway" u="1"/>
        <s v="Tyler Bray" u="1"/>
        <s v="Asante Cleveland" u="1"/>
        <s v="Cole Hikutini" u="1"/>
        <s v="Kenneth Farrow" u="1"/>
        <s v="Christine Michael" u="1"/>
        <s v="Clive Walford" u="1"/>
        <s v="Shaun Draughn" u="1"/>
        <s v="Jamaal Charles" u="1"/>
        <s v="Zach Zenner" u="1"/>
        <s v="Jalston Fowler" u="1"/>
        <s v="Detrez Newsome" u="1"/>
        <s v="Kasen Williams" u="1"/>
        <s v="Darren Waller" u="1"/>
        <s v="Jordan Leslie" u="1"/>
      </sharedItems>
    </cacheField>
    <cacheField name="range" numFmtId="0">
      <sharedItems containsMixedTypes="1" containsNumber="1" minValue="-30.94" maxValue="-0.04"/>
    </cacheField>
    <cacheField name="proj" numFmtId="0">
      <sharedItems containsSemiMixedTypes="0" containsString="0" containsNumber="1" minValue="0" maxValue="26.26"/>
    </cacheField>
    <cacheField name="rnk" numFmtId="0">
      <sharedItems/>
    </cacheField>
    <cacheField name="pos" numFmtId="0">
      <sharedItems count="4">
        <s v="QB"/>
        <s v="RB"/>
        <s v="WR"/>
        <s v="TE"/>
      </sharedItems>
    </cacheField>
    <cacheField name="max" numFmtId="0">
      <sharedItems containsSemiMixedTypes="0" containsString="0" containsNumber="1" minValue="0" maxValue="36.020000000000003"/>
    </cacheField>
    <cacheField name="min" numFmtId="0">
      <sharedItems containsSemiMixedTypes="0" containsString="0" containsNumber="1" minValue="-3.86" maxValue="18.3"/>
    </cacheField>
    <cacheField name="std" numFmtId="0">
      <sharedItems containsSemiMixedTypes="0" containsString="0" containsNumber="1" minValue="0" maxValue="15.47"/>
    </cacheField>
    <cacheField name="Var" numFmtId="0">
      <sharedItems containsSemiMixedTypes="0" containsString="0" containsNumber="1" minValue="0" maxValue="239.32089999999999"/>
    </cacheField>
    <cacheField name="Owner" numFmtId="0">
      <sharedItems count="13">
        <s v="matty"/>
        <s v="perry"/>
        <s v="devon"/>
        <s v="chad"/>
        <s v="scott"/>
        <s v="cory"/>
        <s v="lucas"/>
        <s v="NA"/>
        <s v="comp"/>
        <s v="seth"/>
        <s v="aj"/>
        <s v="none" u="1"/>
        <s v="jason" u="1"/>
      </sharedItems>
    </cacheField>
    <cacheField name="OwnerWeekPos" numFmtId="0">
      <sharedItems/>
    </cacheField>
    <cacheField name="TRnk" numFmtId="0">
      <sharedItems containsSemiMixedTypes="0" containsString="0" containsNumber="1" containsInteger="1" minValue="1" maxValue="129"/>
    </cacheField>
    <cacheField name="OwnerWeekPosRnk" numFmtId="0">
      <sharedItems/>
    </cacheField>
    <cacheField name="total STD" numFmtId="0" formula="SQRT(Var)"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wner" refreshedDate="43378.430556250001" createdVersion="6" refreshedVersion="4" minRefreshableVersion="3" recordCount="500">
  <cacheSource type="worksheet">
    <worksheetSource ref="A1:S501" sheet="Finals"/>
  </cacheSource>
  <cacheFields count="21">
    <cacheField name="Player" numFmtId="0">
      <sharedItems count="266">
        <s v="A.J. Green"/>
        <s v="Aaron Rodgers"/>
        <s v="Adam Thielen"/>
        <s v="Adrian Peterson"/>
        <s v="Alex Collins"/>
        <s v="Alex Smith"/>
        <s v="Alfred Morris"/>
        <s v="Allen Hurns"/>
        <s v="Allen Robinson"/>
        <s v="Alshon Jeffery"/>
        <s v="Alvin Kamara"/>
        <s v="Amari Cooper"/>
        <s v="Andrew Luck"/>
        <s v="Antonio Brown"/>
        <s v="Antonio Callaway"/>
        <s v="Austin Hooper"/>
        <s v="Ben Roethlisberger"/>
        <s v="Bilal Powell"/>
        <s v="Brandin Cooks"/>
        <s v="Calvin Ridley"/>
        <s v="Cam Newton"/>
        <s v="Carlos Hyde"/>
        <s v="Carson Wentz"/>
        <s v="Chris Carson"/>
        <s v="Chris Hogan"/>
        <s v="Christian McCaffrey"/>
        <s v="Cooper Kupp"/>
        <s v="Corey Davis"/>
        <s v="Dalvin Cook"/>
        <s v="Davante Adams"/>
        <s v="David Johnson"/>
        <s v="David Njoku"/>
        <s v="DeAndre Hopkins"/>
        <s v="Delanie Walker"/>
        <s v="Demaryius Thomas"/>
        <s v="Derrick Henry"/>
        <s v="Deshaun Watson"/>
        <s v="Devin Funchess"/>
        <s v="Devonta Freeman"/>
        <s v="Dion Lewis"/>
        <s v="Doug Baldwin"/>
        <s v="Drew Brees"/>
        <s v="Emmanuel Sanders"/>
        <s v="Eric Ebron"/>
        <s v="Evan Engram"/>
        <s v="Ezekiel Elliott"/>
        <s v="George Kittle"/>
        <s v="Geronimo Allison"/>
        <s v="Giovani Bernard"/>
        <s v="Golden Tate"/>
        <s v="Greg Olsen"/>
        <s v="Jack Doyle"/>
        <s v="Jamaal Williams"/>
        <s v="James Conner"/>
        <s v="James White"/>
        <s v="Jamison Crowder"/>
        <s v="Jared Cook"/>
        <s v="Jarvis Landry"/>
        <s v="Jay Ajayi"/>
        <s v="Jimmy Garoppolo"/>
        <s v="Jimmy Graham"/>
        <s v="Joe Mixon"/>
        <s v="John Brown"/>
        <s v="Jordan Howard"/>
        <s v="Jordan Reed"/>
        <s v="Jordan Wilkins"/>
        <s v="Jordy Nelson"/>
        <s v="Josh Doctson"/>
        <s v="Josh Gordon"/>
        <s v="JuJu Smith-Schuster"/>
        <s v="Julian Edelman"/>
        <s v="Julio Jones"/>
        <s v="Kareem Hunt"/>
        <s v="Keelan Cole"/>
        <s v="Keenan Allen"/>
        <s v="Kenny Golladay"/>
        <s v="Kenny Stills"/>
        <s v="Kenyan Drake"/>
        <s v="Kirk Cousins"/>
        <s v="Kyle Rudolph"/>
        <s v="Lamar Miller"/>
        <s v="Larry Fitzgerald"/>
        <s v="Latavius Murray"/>
        <s v="Leonard Fournette"/>
        <s v="LeSean McCoy"/>
        <s v="Marquez Valdes-Scantling"/>
        <s v="Marquise Goodwin"/>
        <s v="Marshawn Lynch"/>
        <s v="Marvin Jones Jr."/>
        <s v="Matt Breida"/>
        <s v="Matt Ryan"/>
        <s v="Matthew Stafford"/>
        <s v="Melvin Gordon"/>
        <s v="Michael Thomas"/>
        <s v="Mike Evans"/>
        <s v="Nelson Agholor"/>
        <s v="Odell Beckham Jr."/>
        <s v="Patrick Mahomes"/>
        <s v="Peyton Barber"/>
        <s v="Philip Rivers"/>
        <s v="Phillip Lindsay"/>
        <s v="Quincy Enunwa"/>
        <s v="Randall Cobb"/>
        <s v="Rashaad Penny"/>
        <s v="Rex Burkhead"/>
        <s v="Rob Gronkowski"/>
        <s v="Robby Anderson"/>
        <s v="Robert Woods"/>
        <s v="Royce Freeman"/>
        <s v="Russell Wilson"/>
        <s v="Ryan Fitzpatrick"/>
        <s v="Sammy Watkins"/>
        <s v="Saquon Barkley"/>
        <s v="Sony Michel"/>
        <s v="Stefon Diggs"/>
        <s v="T.J. Yeldon"/>
        <s v="T.Y. Hilton"/>
        <s v="Ted Ginn Jr."/>
        <s v="Tevin Coleman"/>
        <s v="Todd Gurley II"/>
        <s v="Tom Brady"/>
        <s v="Travis Kelce"/>
        <s v="Trey Burton"/>
        <s v="Tyler Boyd"/>
        <s v="Tyler Eifert"/>
        <s v="Tyler Lockett"/>
        <s v="Tyreek Hill"/>
        <s v="Will Fuller V"/>
        <s v="Zach Ertz"/>
        <s v="Cairo Santos"/>
        <s v="Chris Boswell"/>
        <s v="Dan Bailey"/>
        <s v="Graham Gano"/>
        <s v="Greg Zuerlein"/>
        <s v="Harrison Butker"/>
        <s v="Jake Elliott"/>
        <s v="Josh Lambo"/>
        <s v="Justin Tucker"/>
        <s v="Mason Crosby"/>
        <s v="Matt Bryant"/>
        <s v="Matt Prater"/>
        <s v="Robbie Gould"/>
        <s v="Ryan Succop"/>
        <s v="Sam Ficken"/>
        <s v="Stephen Gostkowski"/>
        <s v="Wil Lutz"/>
        <s v="Bears D/ST"/>
        <s v="Broncos D/ST"/>
        <s v="Browns D/ST"/>
        <s v="Cardinals D/ST"/>
        <s v="Chargers D/ST"/>
        <s v="Cowboys D/ST"/>
        <s v="Eagles D/ST"/>
        <s v="Jaguars D/ST"/>
        <s v="Lions D/ST"/>
        <s v="OPEN SLOT"/>
        <s v="Packers D/ST"/>
        <s v="Panthers D/ST"/>
        <s v="Patriots D/ST"/>
        <s v="Rams D/ST"/>
        <s v="Ravens D/ST"/>
        <s v="Saints D/ST"/>
        <s v="Seahawks D/ST"/>
        <s v="Texans D/ST"/>
        <s v="Titans D/ST"/>
        <s v="Vikings D/ST"/>
        <s v="Vance McDonald" u="1"/>
        <s v="Jameis Winston" u="1"/>
        <s v="Dolphins D/ST" u="1"/>
        <s v="Theo Riddick" u="1"/>
        <s v="Rishard Matthews" u="1"/>
        <s v="Adam Vinatieri" u="1"/>
        <s v="Martellus Bennett" u="1"/>
        <s v="DeMarco Murray" u="1"/>
        <s v="Jets D/ST" u="1"/>
        <s v="Danny Amendola" u="1"/>
        <s v="Le'Veon Bell" u="1"/>
        <s v="Brett Hundley" u="1"/>
        <s v="Nick Foles" u="1"/>
        <s v="49ers D/ST" u="1"/>
        <s v="Jermaine Kearse" u="1"/>
        <s v="Isaiah Crowell" u="1"/>
        <s v="Ka'imi Fairbairn" u="1"/>
        <s v="Stephen Hauschka" u="1"/>
        <s v="Tyrell Williams" u="1"/>
        <s v="Marqise Lee" u="1"/>
        <s v="Brandon McManus" u="1"/>
        <s v="Eric Decker" u="1"/>
        <s v="Ameer Abdullah" u="1"/>
        <s v="Pierre Garcon" u="1"/>
        <s v="Bills D/ST" u="1"/>
        <s v="Jason Myers" u="1"/>
        <s v="Mohamed Sanu" u="1"/>
        <s v="Frank Gore" u="1"/>
        <s v="Chris Ivory" u="1"/>
        <s v="Mark Ingram" u="1"/>
        <s v="Tarik Cohen" u="1"/>
        <s v="Jesse James" u="1"/>
        <s v="DeVante Parker" u="1"/>
        <s v="NA" u="1"/>
        <s v="Eddie Lacy" u="1"/>
        <s v="Hunter Henry" u="1"/>
        <s v="Michael Crabtree" u="1"/>
        <s v="Andy Dalton" u="1"/>
        <s v="Doug Martin" u="1"/>
        <s v="Giorgio Tavecchio" u="1"/>
        <s v="Mike Gillislee" u="1"/>
        <s v="Ryan Grant" u="1"/>
        <s v="Jonathan Stewart" u="1"/>
        <s v="Matt Forte" u="1"/>
        <s v="Jaron Brown" u="1"/>
        <s v="Tyrod Taylor" u="1"/>
        <s v="Case Keenum" u="1"/>
        <s v="Roger Lewis" u="1"/>
        <s v="Martavis Bryant" u="1"/>
        <s v="Bengals D/ST" u="1"/>
        <s v="Jared Goff" u="1"/>
        <s v="Kai Forbath" u="1"/>
        <s v="Jacquizz Rodgers" u="1"/>
        <s v="Eli Manning" u="1"/>
        <s v="Charles Clay" u="1"/>
        <s v="Kelvin Benjamin" u="1"/>
        <s v="Javorius Allen" u="1"/>
        <s v="Paul Perkins" u="1"/>
        <s v="Josh McCown" u="1"/>
        <s v="Derek Carr" u="1"/>
        <s v="Jason Witten" u="1"/>
        <s v="Duke Johnson Jr." u="1"/>
        <s v="Mike Wallace" u="1"/>
        <s v="Kerwynn Williams" u="1"/>
        <s v="Zach Miller" u="1"/>
        <s v="Terrance West" u="1"/>
        <s v="Brandon Marshall" u="1"/>
        <s v="Samaje Perine" u="1"/>
        <s v="Austin Seferian-Jenkins" u="1"/>
        <s v="Raiders D/ST" u="1"/>
        <s v="Steelers D/ST" u="1"/>
        <s v="Falcons D/ST" u="1"/>
        <s v="Aaron Jones" u="1"/>
        <s v="Chris Thompson" u="1"/>
        <s v="Cameron Brate" u="1"/>
        <s v="Ty Montgomery" u="1"/>
        <s v="Orleans Darkwa" u="1"/>
        <s v="Chiefs D/ST" u="1"/>
        <s v="LeGarrette Blount" u="1"/>
        <s v="Coby Fleener" u="1"/>
        <s v="Nick Rose" u="1"/>
        <s v="Buccaneers D/ST" u="1"/>
        <s v="C.J. Anderson" u="1"/>
        <s v="Rob Kelley" u="1"/>
        <s v="Kenny Britt" u="1"/>
        <s v="Ryan Griffin" u="1"/>
        <s v="Redskins D/ST" u="1"/>
        <s v="Marcus Mariota" u="1"/>
        <s v="Jerick McKinnon" u="1"/>
        <s v="Elijah McGuire" u="1"/>
        <s v="Vernon Davis" u="1"/>
        <s v="Jeremy Maclin" u="1"/>
        <s v="Sterling Shepard" u="1"/>
        <s v="Dez Bryant" u="1"/>
        <s v="Paul Richardson" u="1"/>
        <s v="J.J. Nelson" u="1"/>
        <s v="Dak Prescott" u="1"/>
        <s v="Terrelle Pryor Sr." u="1"/>
        <s v="Tyler Kroft" u="1"/>
        <s v="DeSean Jackson" u="1"/>
      </sharedItems>
    </cacheField>
    <cacheField name="Week" numFmtId="0">
      <sharedItems containsSemiMixedTypes="0" containsString="0" containsNumber="1" containsInteger="1" minValue="1" maxValue="17" count="17">
        <n v="1"/>
        <n v="2"/>
        <n v="3"/>
        <n v="4"/>
        <n v="5"/>
        <n v="13" u="1"/>
        <n v="14" u="1"/>
        <n v="15" u="1"/>
        <n v="6" u="1"/>
        <n v="16" u="1"/>
        <n v="17" u="1"/>
        <n v="7" u="1"/>
        <n v="8" u="1"/>
        <n v="9" u="1"/>
        <n v="10" u="1"/>
        <n v="11" u="1"/>
        <n v="12" u="1"/>
      </sharedItems>
    </cacheField>
    <cacheField name="OwnerWeek" numFmtId="0">
      <sharedItems/>
    </cacheField>
    <cacheField name="Pos" numFmtId="0">
      <sharedItems/>
    </cacheField>
    <cacheField name="Final" numFmtId="0">
      <sharedItems containsMixedTypes="1" containsNumber="1" minValue="-9" maxValue="39"/>
    </cacheField>
    <cacheField name="Slot" numFmtId="0">
      <sharedItems containsBlank="1"/>
    </cacheField>
    <cacheField name="proj" numFmtId="0">
      <sharedItems containsSemiMixedTypes="0" containsString="0" containsNumber="1" minValue="-9" maxValue="39"/>
    </cacheField>
    <cacheField name="std" numFmtId="0">
      <sharedItems containsSemiMixedTypes="0" containsString="0" containsNumber="1" minValue="0" maxValue="15.47"/>
    </cacheField>
    <cacheField name="Var" numFmtId="0">
      <sharedItems containsSemiMixedTypes="0" containsString="0" containsNumber="1" minValue="0" maxValue="239.32089999999999"/>
    </cacheField>
    <cacheField name="OwnerWeekPos" numFmtId="0">
      <sharedItems/>
    </cacheField>
    <cacheField name="Rev Starting Lookup" numFmtId="0">
      <sharedItems/>
    </cacheField>
    <cacheField name="Tab" numFmtId="0">
      <sharedItems/>
    </cacheField>
    <cacheField name="Index" numFmtId="0">
      <sharedItems containsSemiMixedTypes="0" containsString="0" containsNumber="1" containsInteger="1" minValue="1" maxValue="3"/>
    </cacheField>
    <cacheField name="Row" numFmtId="0">
      <sharedItems containsMixedTypes="1" containsNumber="1" containsInteger="1" minValue="2" maxValue="3192"/>
    </cacheField>
    <cacheField name="Proj2" numFmtId="0">
      <sharedItems containsMixedTypes="1" containsNumber="1" minValue="3.67" maxValue="24.06"/>
    </cacheField>
    <cacheField name="Var2" numFmtId="0">
      <sharedItems containsMixedTypes="1" containsNumber="1" minValue="9.9224999999999994" maxValue="239.32089999999999"/>
    </cacheField>
    <cacheField name="Pos2" numFmtId="0">
      <sharedItems/>
    </cacheField>
    <cacheField name="Real Pos" numFmtId="0">
      <sharedItems count="7">
        <s v="WR"/>
        <s v="QB"/>
        <s v="RB"/>
        <s v="TE"/>
        <s v="K"/>
        <s v="D/ST"/>
        <e v="#N/A" u="1"/>
      </sharedItems>
    </cacheField>
    <cacheField name="Owner" numFmtId="0">
      <sharedItems count="12">
        <s v="devon"/>
        <s v=""/>
        <s v="cory"/>
        <s v="seth"/>
        <s v="comp"/>
        <s v="matty"/>
        <s v="lucas"/>
        <s v="aj"/>
        <s v="chad"/>
        <s v="perry"/>
        <s v="scott"/>
        <s v="jason" u="1"/>
      </sharedItems>
    </cacheField>
    <cacheField name="Beat Proj" numFmtId="0" formula="Final-Proj2" databaseField="0"/>
    <cacheField name="Std tot" numFmtId="0" formula="SQRT(Var2)"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wner" refreshedDate="43378.430556597224" createdVersion="6" refreshedVersion="4" minRefreshableVersion="3" recordCount="1300">
  <cacheSource type="worksheet">
    <worksheetSource ref="A1:W1301" sheet="Single Impact"/>
  </cacheSource>
  <cacheFields count="23">
    <cacheField name="Player" numFmtId="0">
      <sharedItems count="231">
        <s v="Robert Woods"/>
        <s v="Marvin Jones Jr."/>
        <s v="Tyreek Hill"/>
        <s v="Matt Prater"/>
        <s v="Jerick McKinnon"/>
        <s v="Travis Kelce"/>
        <s v="Justin Tucker"/>
        <s v="Deshaun Watson"/>
        <s v="Tyler Lockett"/>
        <s v="Antonio Brown"/>
        <s v="Cowboys D/ST"/>
        <s v="Melvin Gordon"/>
        <s v="Patriots D/ST"/>
        <s v="Davante Adams"/>
        <s v="Marshawn Lynch"/>
        <s v="Larry Fitzgerald"/>
        <s v="Doug Martin"/>
        <s v="Isaiah Crowell"/>
        <s v="Cameron Brate"/>
        <s v="DeMarco Murray"/>
        <s v="Russell Wilson"/>
        <s v="T.Y. Hilton"/>
        <s v="Stephen Gostkowski"/>
        <s v="Tevin Coleman"/>
        <s v="Panthers D/ST"/>
        <s v="Titans D/ST"/>
        <s v="Alshon Jeffery"/>
        <s v="Zach Ertz"/>
        <s v="Aaron Jones"/>
        <s v="Alex Smith"/>
        <s v="Stephen Hauschka"/>
        <s v="Todd Gurley II"/>
        <s v="Chris Thompson"/>
        <s v="Michael Crabtree"/>
        <s v="Ravens D/ST"/>
        <s v="Jarvis Landry"/>
        <s v="Odell Beckham Jr."/>
        <s v="Tarik Cohen"/>
        <s v="Vikings D/ST"/>
        <s v="Julio Jones"/>
        <s v="Seahawks D/ST"/>
        <s v="Alex Collins"/>
        <s v="Carson Wentz"/>
        <s v="Christian McCaffrey"/>
        <s v="Philip Rivers"/>
        <s v="Ezekiel Elliott"/>
        <s v="Wil Lutz"/>
        <s v="Matt Forte"/>
        <s v="DeSean Jackson"/>
        <s v="Emmanuel Sanders"/>
        <s v="Austin Seferian-Jenkins"/>
        <s v="Bills D/ST"/>
        <s v="Jermaine Kearse"/>
        <s v="Derek Carr"/>
        <s v="Chris Hogan"/>
        <s v="Lamar Miller"/>
        <s v="Michael Thomas"/>
        <s v="Texans D/ST"/>
        <s v="Trey Burton"/>
        <s v="Jimmy Graham"/>
        <s v="Alfred Morris"/>
        <s v="C.J. Anderson"/>
        <s v="Chiefs D/ST"/>
        <s v="Jake Elliott"/>
        <s v="Dez Bryant"/>
        <s v="Cardinals D/ST"/>
        <s v="Amari Cooper"/>
        <s v="Graham Gano"/>
        <s v="Kenny Stills"/>
        <s v="Stefon Diggs"/>
        <s v="DeAndre Hopkins"/>
        <s v="Mike Evans"/>
        <s v="Alvin Kamara"/>
        <s v="Jared Goff"/>
        <s v="Evan Engram"/>
        <s v="Latavius Murray"/>
        <s v="Lions D/ST"/>
        <s v="Le'Veon Bell"/>
        <s v="Carlos Hyde"/>
        <s v="Jonathan Stewart"/>
        <s v="Adam Thielen"/>
        <s v="Devin Funchess"/>
        <s v="Rob Gronkowski"/>
        <s v="Adrian Peterson"/>
        <s v="Sterling Shepard"/>
        <s v="Broncos D/ST"/>
        <s v="Jaguars D/ST"/>
        <s v="Derrick Henry"/>
        <s v="Ben Roethlisberger"/>
        <s v="Jameis Winston"/>
        <s v="Andy Dalton"/>
        <s v="Ameer Abdullah"/>
        <s v="Kirk Cousins"/>
        <s v="DeVante Parker"/>
        <s v="Dolphins D/ST"/>
        <s v="Leonard Fournette"/>
        <s v="Frank Gore"/>
        <s v="Doug Baldwin"/>
        <s v="A.J. Green"/>
        <s v="Greg Zuerlein"/>
        <s v="Steelers D/ST"/>
        <s v="Matt Ryan"/>
        <s v="Delanie Walker"/>
        <s v="Tyrod Taylor"/>
        <s v="Jay Ajayi"/>
        <s v="Brandin Cooks"/>
        <s v="Cam Newton"/>
        <s v="Robby Anderson"/>
        <s v="LeSean McCoy"/>
        <s v="Ryan Fitzpatrick"/>
        <s v="Jamaal Williams"/>
        <s v="Dak Prescott"/>
        <s v="Mark Ingram"/>
        <s v="Martavis Bryant"/>
        <s v="Drew Brees"/>
        <s v="Jordy Nelson"/>
        <s v="Jordan Reed"/>
        <s v="Joe Mixon"/>
        <s v="Jamison Crowder"/>
        <s v="Aaron Rodgers"/>
        <s v="Chris Boswell"/>
        <s v="Matt Bryant"/>
        <s v="Kareem Hunt"/>
        <s v="Jesse James"/>
        <s v="Nelson Agholor"/>
        <s v="Eric Ebron"/>
        <s v="Marcus Mariota"/>
        <s v="Javorius Allen"/>
        <s v="Tom Brady"/>
        <s v="Randall Cobb"/>
        <s v="Dalvin Cook"/>
        <s v="Bengals D/ST"/>
        <s v="Samaje Perine"/>
        <s v="Chargers D/ST"/>
        <s v="John Brown"/>
        <s v="Ted Ginn Jr."/>
        <s v="Rob Kelley"/>
        <s v="LeGarrette Blount"/>
        <s v="Will Fuller V"/>
        <s v="Allen Hurns"/>
        <s v="JuJu Smith-Schuster"/>
        <s v="Ka'imi Fairbairn"/>
        <s v="Demaryius Thomas"/>
        <s v="Rishard Matthews"/>
        <s v="Dan Bailey"/>
        <s v="Devonta Freeman"/>
        <s v="Chris Ivory"/>
        <s v="Rex Burkhead"/>
        <s v="Rams D/ST"/>
        <s v="Eagles D/ST"/>
        <s v="Jordan Howard"/>
        <s v="Kelvin Benjamin"/>
        <s v="Brandon Marshall"/>
        <s v="Matthew Stafford"/>
        <s v="Golden Tate"/>
        <s v="Saints D/ST"/>
        <s v="Packers D/ST"/>
        <s v="Hunter Henry"/>
        <s v="49ers D/ST"/>
        <s v="Eddie Lacy"/>
        <s v="Bilal Powell"/>
        <s v="Terrelle Pryor Sr."/>
        <s v="Jared Cook"/>
        <s v="Falcons D/ST"/>
        <s v="Kyle Rudolph"/>
        <s v="Pierre Garcon"/>
        <s v="Buccaneers D/ST"/>
        <s v="Jack Doyle"/>
        <s v="Josh McCown"/>
        <s v="Martellus Bennett"/>
        <s v="Zach Miller"/>
        <s v="Danny Amendola"/>
        <s v="Harrison Butker"/>
        <s v="Ryan Griffin"/>
        <s v="Keenan Allen"/>
        <s v="Robbie Gould"/>
        <s v="Dion Lewis"/>
        <s v="Ty Montgomery"/>
        <s v="Mohamed Sanu"/>
        <s v="Jacquizz Rodgers"/>
        <s v="Jason Witten"/>
        <s v="Marqise Lee"/>
        <s v="Sammy Watkins"/>
        <s v="Browns D/ST"/>
        <s v="Coby Fleener"/>
        <s v="Giorgio Tavecchio"/>
        <s v="Bears D/ST"/>
        <s v="Giovani Bernard"/>
        <s v="Mason Crosby"/>
        <s v="Austin Hooper"/>
        <s v="Eric Decker"/>
        <s v="J.J. Nelson"/>
        <s v="Jeremy Maclin"/>
        <s v="Tyler Eifert"/>
        <s v="Kenyan Drake"/>
        <s v="Cairo Santos"/>
        <s v="Ryan Succop"/>
        <s v="Ty Hilton BYE"/>
        <s v="Charles Clay"/>
        <s v="Duke Johnson Jr."/>
        <s v="Josh Lambo"/>
        <s v="Mike Wallace"/>
        <s v="Kai Forbath"/>
        <s v="James White"/>
        <s v="Paul Richardson"/>
        <s v="Cooper Kupp"/>
        <s v="Nick Rose"/>
        <s v="Kenny Golladay"/>
        <s v="Chris Carson"/>
        <s v="Vernon Davis"/>
        <s v="Allen Robinson"/>
        <s v="Tyler Kroft"/>
        <s v="Raiders D/ST"/>
        <s v="Paul Perkins"/>
        <s v="Greg Olsen"/>
        <s v="Terrance West"/>
        <s v="Theo Riddick"/>
        <s v="Elijah McGuire"/>
        <s v="Orleans Darkwa"/>
        <s v="Mike Gillislee"/>
        <s v="Adam Vinatieri"/>
        <s v="Redskins D/ST"/>
        <s v="Brett Hundley"/>
        <s v="Kenny Britt"/>
        <s v="Jason Myers"/>
        <s v="Roger Lewis"/>
        <s v="Jets D/ST"/>
        <s v="Jaron Brown"/>
        <s v="Eli Manning"/>
        <s v="Tyrell Williams"/>
        <s v="David Johnson"/>
      </sharedItems>
    </cacheField>
    <cacheField name="Week" numFmtId="0">
      <sharedItems containsSemiMixedTypes="0" containsString="0" containsNumber="1" containsInteger="1" minValue="1" maxValue="13" count="13">
        <n v="10"/>
        <n v="12"/>
        <n v="13"/>
        <n v="3"/>
        <n v="8"/>
        <n v="7"/>
        <n v="11"/>
        <n v="5"/>
        <n v="9"/>
        <n v="4"/>
        <n v="2"/>
        <n v="1"/>
        <n v="6"/>
      </sharedItems>
    </cacheField>
    <cacheField name="OwnerWeek" numFmtId="0">
      <sharedItems/>
    </cacheField>
    <cacheField name="Pos" numFmtId="0">
      <sharedItems/>
    </cacheField>
    <cacheField name="Final" numFmtId="0">
      <sharedItems containsSemiMixedTypes="0" containsString="0" containsNumber="1" containsInteger="1" minValue="-6" maxValue="39"/>
    </cacheField>
    <cacheField name="Proj" numFmtId="0">
      <sharedItems containsSemiMixedTypes="0" containsString="0" containsNumber="1" minValue="0" maxValue="24.86"/>
    </cacheField>
    <cacheField name="Var" numFmtId="0">
      <sharedItems containsSemiMixedTypes="0" containsString="0" containsNumber="1" minValue="0" maxValue="163.84"/>
    </cacheField>
    <cacheField name="Pos2" numFmtId="0">
      <sharedItems/>
    </cacheField>
    <cacheField name="Real Pos" numFmtId="0">
      <sharedItems count="6">
        <s v="WR"/>
        <s v="K"/>
        <s v="RB"/>
        <s v="TE"/>
        <s v="QB"/>
        <s v="D/ST"/>
      </sharedItems>
    </cacheField>
    <cacheField name="Owner" numFmtId="0">
      <sharedItems count="10">
        <s v="matty"/>
        <s v="seth"/>
        <s v="comp"/>
        <s v="chad"/>
        <s v="jason"/>
        <s v="cory"/>
        <s v="aj"/>
        <s v="perry"/>
        <s v="devon"/>
        <s v="scott"/>
      </sharedItems>
    </cacheField>
    <cacheField name="My Team Pts" numFmtId="0">
      <sharedItems containsSemiMixedTypes="0" containsString="0" containsNumber="1" minValue="75.67" maxValue="118.09999999999998"/>
    </cacheField>
    <cacheField name="My Team Var" numFmtId="0">
      <sharedItems containsSemiMixedTypes="0" containsString="0" containsNumber="1" minValue="274.11410000000001" maxValue="486.24799999999993"/>
    </cacheField>
    <cacheField name="Opp Wk" numFmtId="0">
      <sharedItems/>
    </cacheField>
    <cacheField name="Opp" numFmtId="0">
      <sharedItems count="12">
        <s v="seth"/>
        <s v="chad"/>
        <s v="aj"/>
        <s v="matty"/>
        <s v="cory"/>
        <s v="scott"/>
        <e v="#N/A"/>
        <s v="devon"/>
        <s v="comp"/>
        <s v="lucas"/>
        <s v="perry"/>
        <s v="jason" u="1"/>
      </sharedItems>
    </cacheField>
    <cacheField name="Opp Pts" numFmtId="0">
      <sharedItems containsSemiMixedTypes="0" containsString="0" containsNumber="1" minValue="0" maxValue="118.09999999999998"/>
    </cacheField>
    <cacheField name="Opp Var" numFmtId="0">
      <sharedItems containsSemiMixedTypes="0" containsString="0" containsNumber="1" minValue="0" maxValue="486.24799999999993"/>
    </cacheField>
    <cacheField name="Prob Before" numFmtId="165">
      <sharedItems containsSemiMixedTypes="0" containsString="0" containsNumber="1" minValue="0.14207393469061222" maxValue="0.99999996936843616"/>
    </cacheField>
    <cacheField name="Prob After" numFmtId="165">
      <sharedItems containsSemiMixedTypes="0" containsString="0" containsNumber="1" minValue="9.2669271161574862E-2" maxValue="0.99999999998915534"/>
    </cacheField>
    <cacheField name="Diff" numFmtId="165">
      <sharedItems containsSemiMixedTypes="0" containsString="0" containsNumber="1" minValue="-0.2540908431861445" maxValue="0.328019826032041"/>
    </cacheField>
    <cacheField name="My Final" numFmtId="0">
      <sharedItems containsSemiMixedTypes="0" containsString="0" containsNumber="1" containsInteger="1" minValue="46" maxValue="155"/>
    </cacheField>
    <cacheField name="Opp Final" numFmtId="0">
      <sharedItems containsSemiMixedTypes="0" containsString="0" containsNumber="1" containsInteger="1" minValue="0" maxValue="140"/>
    </cacheField>
    <cacheField name="As Last" numFmtId="165">
      <sharedItems containsMixedTypes="1" containsNumber="1" minValue="1.5110744324134221E-69" maxValue="1"/>
    </cacheField>
    <cacheField name="Last Diff" numFmtId="165">
      <sharedItems containsSemiMixedTypes="0" containsString="0" containsNumber="1" minValue="-0.9770990558826419" maxValue="0.9997507465161581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668">
  <r>
    <x v="0"/>
    <x v="0"/>
    <s v="18.30-34.22"/>
    <n v="26.26"/>
    <s v="#25"/>
    <x v="0"/>
    <n v="34.22"/>
    <n v="18.3"/>
    <n v="7.96"/>
    <n v="63.361600000000003"/>
    <x v="0"/>
    <s v="matty17QB"/>
    <n v="1"/>
    <s v="matty17QB-1"/>
  </r>
  <r>
    <x v="1"/>
    <x v="1"/>
    <s v="17.52-34.52"/>
    <n v="26.02"/>
    <s v="#27"/>
    <x v="0"/>
    <n v="34.520000000000003"/>
    <n v="17.52"/>
    <n v="8.5"/>
    <n v="72.25"/>
    <x v="1"/>
    <s v="perry16QB"/>
    <n v="1"/>
    <s v="perry16QB-1"/>
  </r>
  <r>
    <x v="2"/>
    <x v="2"/>
    <s v="16.62-34.56"/>
    <n v="25.59"/>
    <s v="#31"/>
    <x v="0"/>
    <n v="34.56"/>
    <n v="16.62"/>
    <n v="8.9700000000000006"/>
    <n v="80.460899999999995"/>
    <x v="2"/>
    <s v="devon9QB"/>
    <n v="1"/>
    <s v="devon9QB-1"/>
  </r>
  <r>
    <x v="3"/>
    <x v="3"/>
    <s v="14.96-36.02"/>
    <n v="25.49"/>
    <s v="#32"/>
    <x v="1"/>
    <n v="36.020000000000003"/>
    <n v="14.96"/>
    <n v="10.53"/>
    <n v="110.8809"/>
    <x v="3"/>
    <s v="chad11RB"/>
    <n v="1"/>
    <s v="chad11RB-1"/>
  </r>
  <r>
    <x v="4"/>
    <x v="0"/>
    <s v="16.74-32.34"/>
    <n v="24.54"/>
    <s v="#19"/>
    <x v="0"/>
    <n v="32.340000000000003"/>
    <n v="16.739999999999998"/>
    <n v="7.8"/>
    <n v="60.84"/>
    <x v="0"/>
    <s v="matty7QB"/>
    <n v="1"/>
    <s v="matty7QB-1"/>
  </r>
  <r>
    <x v="5"/>
    <x v="0"/>
    <s v="16.56-32.48"/>
    <n v="24.52"/>
    <s v="#25"/>
    <x v="0"/>
    <n v="32.479999999999997"/>
    <n v="16.559999999999999"/>
    <n v="7.96"/>
    <n v="63.361600000000003"/>
    <x v="0"/>
    <s v="matty13QB"/>
    <n v="1"/>
    <s v="matty13QB-1"/>
  </r>
  <r>
    <x v="6"/>
    <x v="4"/>
    <s v="15.01-33.83"/>
    <n v="24.42"/>
    <s v="#14"/>
    <x v="0"/>
    <n v="33.83"/>
    <n v="15.01"/>
    <n v="9.41"/>
    <n v="88.548100000000005"/>
    <x v="3"/>
    <s v="chad12QB"/>
    <n v="1"/>
    <s v="chad12QB-1"/>
  </r>
  <r>
    <x v="7"/>
    <x v="5"/>
    <s v="16.53-31.59"/>
    <n v="24.06"/>
    <s v="#31"/>
    <x v="0"/>
    <n v="31.59"/>
    <n v="16.53"/>
    <n v="7.53"/>
    <n v="56.700899999999997"/>
    <x v="4"/>
    <s v="scott1QB"/>
    <n v="1"/>
    <s v="scott1QB-1"/>
  </r>
  <r>
    <x v="8"/>
    <x v="6"/>
    <s v="16.67-31.45"/>
    <n v="24.06"/>
    <s v="#31"/>
    <x v="0"/>
    <n v="31.45"/>
    <n v="16.670000000000002"/>
    <n v="7.39"/>
    <n v="54.612099999999998"/>
    <x v="2"/>
    <s v="devon6QB"/>
    <n v="1"/>
    <s v="devon6QB-1"/>
  </r>
  <r>
    <x v="9"/>
    <x v="0"/>
    <s v="15.05-32.81"/>
    <n v="23.93"/>
    <s v="#20"/>
    <x v="0"/>
    <n v="32.81"/>
    <n v="15.05"/>
    <n v="8.8800000000000008"/>
    <n v="78.854399999999998"/>
    <x v="0"/>
    <s v="matty15QB"/>
    <n v="1"/>
    <s v="matty15QB-1"/>
  </r>
  <r>
    <x v="10"/>
    <x v="5"/>
    <s v="17.59-30.25"/>
    <n v="23.92"/>
    <s v="#2"/>
    <x v="0"/>
    <n v="30.25"/>
    <n v="17.59"/>
    <n v="6.33"/>
    <n v="40.068899999999999"/>
    <x v="4"/>
    <s v="scott2QB"/>
    <n v="1"/>
    <s v="scott2QB-1"/>
  </r>
  <r>
    <x v="11"/>
    <x v="7"/>
    <s v="15.38-32.44"/>
    <n v="23.91"/>
    <s v="#29"/>
    <x v="0"/>
    <n v="32.44"/>
    <n v="15.38"/>
    <n v="8.5299999999999994"/>
    <n v="72.760900000000007"/>
    <x v="5"/>
    <s v="cory14QB"/>
    <n v="1"/>
    <s v="cory14QB-1"/>
  </r>
  <r>
    <x v="11"/>
    <x v="5"/>
    <s v="16.29-31.25"/>
    <n v="23.77"/>
    <s v="#31"/>
    <x v="0"/>
    <n v="31.25"/>
    <n v="16.29"/>
    <n v="7.48"/>
    <n v="55.950400000000002"/>
    <x v="4"/>
    <s v="scott14QB"/>
    <n v="1"/>
    <s v="scott14QB-1"/>
  </r>
  <r>
    <x v="5"/>
    <x v="2"/>
    <s v="14.77-32.71"/>
    <n v="23.74"/>
    <s v="#31"/>
    <x v="0"/>
    <n v="32.71"/>
    <n v="14.77"/>
    <n v="8.9700000000000006"/>
    <n v="80.460899999999995"/>
    <x v="2"/>
    <s v="devon13QB"/>
    <n v="1"/>
    <s v="devon13QB-1"/>
  </r>
  <r>
    <x v="11"/>
    <x v="4"/>
    <s v="14.69-32.49"/>
    <n v="23.59"/>
    <s v="#9"/>
    <x v="0"/>
    <n v="32.49"/>
    <n v="14.69"/>
    <n v="8.9"/>
    <n v="79.209999999999994"/>
    <x v="3"/>
    <s v="chad14QB"/>
    <n v="1"/>
    <s v="chad14QB-1"/>
  </r>
  <r>
    <x v="6"/>
    <x v="5"/>
    <s v="15.55-31.55"/>
    <n v="23.55"/>
    <s v="#29"/>
    <x v="0"/>
    <n v="31.55"/>
    <n v="15.55"/>
    <n v="8"/>
    <n v="64"/>
    <x v="4"/>
    <s v="scott12QB"/>
    <n v="1"/>
    <s v="scott12QB-1"/>
  </r>
  <r>
    <x v="2"/>
    <x v="8"/>
    <s v="16.71-29.99"/>
    <n v="23.35"/>
    <s v="#21"/>
    <x v="0"/>
    <n v="29.99"/>
    <n v="16.71"/>
    <n v="6.64"/>
    <n v="44.089599999999997"/>
    <x v="6"/>
    <s v="lucas9QB"/>
    <n v="1"/>
    <s v="lucas9QB-1"/>
  </r>
  <r>
    <x v="1"/>
    <x v="2"/>
    <s v="15.24-31.38"/>
    <n v="23.31"/>
    <s v="#29"/>
    <x v="0"/>
    <n v="31.38"/>
    <n v="15.24"/>
    <n v="8.07"/>
    <n v="65.124899999999997"/>
    <x v="2"/>
    <s v="devon16QB"/>
    <n v="1"/>
    <s v="devon16QB-1"/>
  </r>
  <r>
    <x v="3"/>
    <x v="6"/>
    <s v="16.02-30.60"/>
    <n v="23.31"/>
    <s v="#23"/>
    <x v="0"/>
    <n v="30.6"/>
    <n v="16.02"/>
    <n v="7.29"/>
    <n v="53.144100000000002"/>
    <x v="2"/>
    <s v="devon11QB"/>
    <n v="1"/>
    <s v="devon11QB-1"/>
  </r>
  <r>
    <x v="12"/>
    <x v="2"/>
    <s v="15.00-31.50"/>
    <n v="23.25"/>
    <s v="#22"/>
    <x v="0"/>
    <n v="31.5"/>
    <n v="15"/>
    <n v="8.25"/>
    <n v="68.0625"/>
    <x v="2"/>
    <s v="devon5QB"/>
    <n v="1"/>
    <s v="devon5QB-1"/>
  </r>
  <r>
    <x v="12"/>
    <x v="4"/>
    <s v="14.72-31.70"/>
    <n v="23.21"/>
    <s v="#23"/>
    <x v="0"/>
    <n v="31.7"/>
    <n v="14.72"/>
    <n v="8.49"/>
    <n v="72.080100000000002"/>
    <x v="3"/>
    <s v="chad5QB"/>
    <n v="1"/>
    <s v="chad5QB-1"/>
  </r>
  <r>
    <x v="9"/>
    <x v="9"/>
    <s v="16.37-29.99"/>
    <n v="23.18"/>
    <s v="#17"/>
    <x v="0"/>
    <n v="29.99"/>
    <n v="16.37"/>
    <n v="6.81"/>
    <n v="46.376100000000001"/>
    <x v="6"/>
    <s v="lucas15QB"/>
    <n v="1"/>
    <s v="lucas15QB-1"/>
  </r>
  <r>
    <x v="7"/>
    <x v="8"/>
    <s v="15.55-30.77"/>
    <n v="23.16"/>
    <s v="#27"/>
    <x v="0"/>
    <n v="30.77"/>
    <n v="15.55"/>
    <n v="7.61"/>
    <n v="57.912100000000002"/>
    <x v="6"/>
    <s v="lucas1QB"/>
    <n v="1"/>
    <s v="lucas1QB-1"/>
  </r>
  <r>
    <x v="8"/>
    <x v="8"/>
    <s v="16.60-29.60"/>
    <n v="23.1"/>
    <s v="#32"/>
    <x v="0"/>
    <n v="29.6"/>
    <n v="16.600000000000001"/>
    <n v="6.5"/>
    <n v="42.25"/>
    <x v="6"/>
    <s v="lucas6QB"/>
    <n v="1"/>
    <s v="lucas6QB-1"/>
  </r>
  <r>
    <x v="9"/>
    <x v="2"/>
    <s v="13.91-32.19"/>
    <n v="23.05"/>
    <s v="#30"/>
    <x v="0"/>
    <n v="32.19"/>
    <n v="13.91"/>
    <n v="9.14"/>
    <n v="83.539599999999993"/>
    <x v="2"/>
    <s v="devon15QB"/>
    <n v="1"/>
    <s v="devon15QB-1"/>
  </r>
  <r>
    <x v="0"/>
    <x v="7"/>
    <s v="15.00-31.00"/>
    <n v="23"/>
    <s v="#28"/>
    <x v="0"/>
    <n v="31"/>
    <n v="15"/>
    <n v="8"/>
    <n v="64"/>
    <x v="5"/>
    <s v="cory17QB"/>
    <n v="1"/>
    <s v="cory17QB-1"/>
  </r>
  <r>
    <x v="13"/>
    <x v="4"/>
    <s v="14.13-31.69"/>
    <n v="22.91"/>
    <s v="#24"/>
    <x v="0"/>
    <n v="31.69"/>
    <n v="14.13"/>
    <n v="8.7799999999999994"/>
    <n v="77.088399999999993"/>
    <x v="3"/>
    <s v="chad8QB"/>
    <n v="1"/>
    <s v="chad8QB-1"/>
  </r>
  <r>
    <x v="5"/>
    <x v="5"/>
    <s v="15.18-30.60"/>
    <n v="22.89"/>
    <s v="#23"/>
    <x v="0"/>
    <n v="30.6"/>
    <n v="15.18"/>
    <n v="7.71"/>
    <n v="59.444099999999999"/>
    <x v="4"/>
    <s v="scott13QB"/>
    <n v="1"/>
    <s v="scott13QB-1"/>
  </r>
  <r>
    <x v="12"/>
    <x v="8"/>
    <s v="14.83-30.91"/>
    <n v="22.87"/>
    <s v="#9"/>
    <x v="0"/>
    <n v="30.91"/>
    <n v="14.83"/>
    <n v="8.0399999999999991"/>
    <n v="64.641599999999997"/>
    <x v="6"/>
    <s v="lucas5QB"/>
    <n v="1"/>
    <s v="lucas5QB-1"/>
  </r>
  <r>
    <x v="12"/>
    <x v="9"/>
    <s v="14.45-31.19"/>
    <n v="22.82"/>
    <s v="#29"/>
    <x v="0"/>
    <n v="31.19"/>
    <n v="14.45"/>
    <n v="8.3699999999999992"/>
    <n v="70.056899999999999"/>
    <x v="6"/>
    <s v="lucas5QB"/>
    <n v="2"/>
    <s v="lucas5QB-2"/>
  </r>
  <r>
    <x v="3"/>
    <x v="2"/>
    <s v="13.60-31.80"/>
    <n v="22.7"/>
    <s v="#28"/>
    <x v="0"/>
    <n v="31.8"/>
    <n v="13.6"/>
    <n v="9.1"/>
    <n v="82.81"/>
    <x v="2"/>
    <s v="devon11QB"/>
    <n v="2"/>
    <s v="devon11QB-2"/>
  </r>
  <r>
    <x v="14"/>
    <x v="5"/>
    <s v="15.13-30.23"/>
    <n v="22.68"/>
    <s v="#22"/>
    <x v="0"/>
    <n v="30.23"/>
    <n v="15.13"/>
    <n v="7.55"/>
    <n v="57.002499999999998"/>
    <x v="4"/>
    <s v="scott4QB"/>
    <n v="1"/>
    <s v="scott4QB-1"/>
  </r>
  <r>
    <x v="0"/>
    <x v="6"/>
    <s v="15.27-30.05"/>
    <n v="22.66"/>
    <s v="#31"/>
    <x v="0"/>
    <n v="30.05"/>
    <n v="15.27"/>
    <n v="7.39"/>
    <n v="54.612099999999998"/>
    <x v="2"/>
    <s v="devon17QB"/>
    <n v="1"/>
    <s v="devon17QB-1"/>
  </r>
  <r>
    <x v="14"/>
    <x v="7"/>
    <s v="15.51-29.71"/>
    <n v="22.61"/>
    <s v="#11"/>
    <x v="0"/>
    <n v="29.71"/>
    <n v="15.51"/>
    <n v="7.1"/>
    <n v="50.41"/>
    <x v="5"/>
    <s v="cory4QB"/>
    <n v="1"/>
    <s v="cory4QB-1"/>
  </r>
  <r>
    <x v="11"/>
    <x v="9"/>
    <s v="15.52-29.68"/>
    <n v="22.6"/>
    <s v="#25"/>
    <x v="0"/>
    <n v="29.68"/>
    <n v="15.52"/>
    <n v="7.08"/>
    <n v="50.126399999999997"/>
    <x v="6"/>
    <s v="lucas14QB"/>
    <n v="1"/>
    <s v="lucas14QB-1"/>
  </r>
  <r>
    <x v="4"/>
    <x v="10"/>
    <s v="14.73-30.45"/>
    <n v="22.59"/>
    <s v="#27"/>
    <x v="0"/>
    <n v="30.45"/>
    <n v="14.73"/>
    <n v="7.86"/>
    <n v="61.779600000000002"/>
    <x v="7"/>
    <s v="NA7QB"/>
    <n v="1"/>
    <s v="NA7QB-1"/>
  </r>
  <r>
    <x v="8"/>
    <x v="0"/>
    <s v="15.23-29.75"/>
    <n v="22.49"/>
    <s v="#17"/>
    <x v="0"/>
    <n v="29.75"/>
    <n v="15.23"/>
    <n v="7.26"/>
    <n v="52.707599999999999"/>
    <x v="0"/>
    <s v="matty6QB"/>
    <n v="1"/>
    <s v="matty6QB-1"/>
  </r>
  <r>
    <x v="7"/>
    <x v="7"/>
    <s v="13.26-31.46"/>
    <n v="22.36"/>
    <s v="#5"/>
    <x v="0"/>
    <n v="31.46"/>
    <n v="13.26"/>
    <n v="9.1"/>
    <n v="82.81"/>
    <x v="5"/>
    <s v="cory1QB"/>
    <n v="1"/>
    <s v="cory1QB-1"/>
  </r>
  <r>
    <x v="6"/>
    <x v="6"/>
    <s v="14.79-29.73"/>
    <n v="22.26"/>
    <s v="#30"/>
    <x v="0"/>
    <n v="29.73"/>
    <n v="14.79"/>
    <n v="7.47"/>
    <n v="55.800899999999999"/>
    <x v="2"/>
    <s v="devon12QB"/>
    <n v="1"/>
    <s v="devon12QB-1"/>
  </r>
  <r>
    <x v="15"/>
    <x v="1"/>
    <s v="13.48-31.02"/>
    <n v="22.25"/>
    <s v="#23"/>
    <x v="0"/>
    <n v="31.02"/>
    <n v="13.48"/>
    <n v="8.77"/>
    <n v="76.912899999999993"/>
    <x v="1"/>
    <s v="perry10QB"/>
    <n v="1"/>
    <s v="perry10QB-1"/>
  </r>
  <r>
    <x v="14"/>
    <x v="4"/>
    <s v="13.98-30.38"/>
    <n v="22.18"/>
    <s v="#9"/>
    <x v="0"/>
    <n v="30.38"/>
    <n v="13.98"/>
    <n v="8.1999999999999993"/>
    <n v="67.239999999999995"/>
    <x v="3"/>
    <s v="chad4QB"/>
    <n v="1"/>
    <s v="chad4QB-1"/>
  </r>
  <r>
    <x v="3"/>
    <x v="11"/>
    <s v="13.93-30.41"/>
    <n v="22.17"/>
    <s v="#27"/>
    <x v="0"/>
    <n v="30.41"/>
    <n v="13.93"/>
    <n v="8.24"/>
    <n v="67.897599999999997"/>
    <x v="0"/>
    <s v="matty11QB"/>
    <n v="1"/>
    <s v="matty11QB-1"/>
  </r>
  <r>
    <x v="6"/>
    <x v="12"/>
    <s v="11.63-32.61"/>
    <n v="22.12"/>
    <s v="#12"/>
    <x v="1"/>
    <n v="32.61"/>
    <n v="11.63"/>
    <n v="10.49"/>
    <n v="110.0401"/>
    <x v="1"/>
    <s v="perry12RB"/>
    <n v="1"/>
    <s v="perry12RB-1"/>
  </r>
  <r>
    <x v="0"/>
    <x v="13"/>
    <s v="15.35-28.87"/>
    <n v="22.11"/>
    <s v="#18"/>
    <x v="0"/>
    <n v="28.87"/>
    <n v="15.35"/>
    <n v="6.76"/>
    <n v="45.697600000000001"/>
    <x v="5"/>
    <s v="cory17QB"/>
    <n v="2"/>
    <s v="cory17QB-2"/>
  </r>
  <r>
    <x v="0"/>
    <x v="9"/>
    <s v="14.52-29.36"/>
    <n v="21.94"/>
    <s v="#19"/>
    <x v="0"/>
    <n v="29.36"/>
    <n v="14.52"/>
    <n v="7.42"/>
    <n v="55.056399999999996"/>
    <x v="6"/>
    <s v="lucas17QB"/>
    <n v="1"/>
    <s v="lucas17QB-1"/>
  </r>
  <r>
    <x v="1"/>
    <x v="8"/>
    <s v="15.80-28.04"/>
    <n v="21.92"/>
    <s v="#11"/>
    <x v="0"/>
    <n v="28.04"/>
    <n v="15.8"/>
    <n v="6.12"/>
    <n v="37.4544"/>
    <x v="6"/>
    <s v="lucas16QB"/>
    <n v="1"/>
    <s v="lucas16QB-1"/>
  </r>
  <r>
    <x v="14"/>
    <x v="0"/>
    <s v="13.47-30.33"/>
    <n v="21.9"/>
    <s v="#16"/>
    <x v="0"/>
    <n v="30.33"/>
    <n v="13.47"/>
    <n v="8.43"/>
    <n v="71.064899999999994"/>
    <x v="0"/>
    <s v="matty4QB"/>
    <n v="1"/>
    <s v="matty4QB-1"/>
  </r>
  <r>
    <x v="13"/>
    <x v="13"/>
    <s v="14.56-29.08"/>
    <n v="21.82"/>
    <s v="#21"/>
    <x v="0"/>
    <n v="29.08"/>
    <n v="14.56"/>
    <n v="7.26"/>
    <n v="52.707599999999999"/>
    <x v="5"/>
    <s v="cory8QB"/>
    <n v="1"/>
    <s v="cory8QB-1"/>
  </r>
  <r>
    <x v="11"/>
    <x v="6"/>
    <s v="14.58-29.02"/>
    <n v="21.8"/>
    <s v="#21"/>
    <x v="0"/>
    <n v="29.02"/>
    <n v="14.58"/>
    <n v="7.22"/>
    <n v="52.128399999999999"/>
    <x v="2"/>
    <s v="devon14QB"/>
    <n v="1"/>
    <s v="devon14QB-1"/>
  </r>
  <r>
    <x v="6"/>
    <x v="14"/>
    <s v="14.06-29.52"/>
    <n v="21.79"/>
    <s v="#18"/>
    <x v="0"/>
    <n v="29.52"/>
    <n v="14.06"/>
    <n v="7.73"/>
    <n v="59.752899999999997"/>
    <x v="7"/>
    <s v="NA12QB"/>
    <n v="1"/>
    <s v="NA12QB-1"/>
  </r>
  <r>
    <x v="3"/>
    <x v="13"/>
    <s v="14.76-28.78"/>
    <n v="21.77"/>
    <s v="#32"/>
    <x v="0"/>
    <n v="28.78"/>
    <n v="14.76"/>
    <n v="7.01"/>
    <n v="49.140099999999997"/>
    <x v="5"/>
    <s v="cory11QB"/>
    <n v="1"/>
    <s v="cory11QB-1"/>
  </r>
  <r>
    <x v="6"/>
    <x v="1"/>
    <s v="14.41-29.07"/>
    <n v="21.74"/>
    <s v="#22"/>
    <x v="0"/>
    <n v="29.07"/>
    <n v="14.41"/>
    <n v="7.33"/>
    <n v="53.728900000000003"/>
    <x v="1"/>
    <s v="perry12QB"/>
    <n v="1"/>
    <s v="perry12QB-1"/>
  </r>
  <r>
    <x v="11"/>
    <x v="0"/>
    <s v="13.19-30.19"/>
    <n v="21.69"/>
    <s v="#1"/>
    <x v="0"/>
    <n v="30.19"/>
    <n v="13.19"/>
    <n v="8.5"/>
    <n v="72.25"/>
    <x v="0"/>
    <s v="matty14QB"/>
    <n v="1"/>
    <s v="matty14QB-1"/>
  </r>
  <r>
    <x v="4"/>
    <x v="6"/>
    <s v="14.27-29.09"/>
    <n v="21.68"/>
    <s v="#22"/>
    <x v="0"/>
    <n v="29.09"/>
    <n v="14.27"/>
    <n v="7.41"/>
    <n v="54.908099999999997"/>
    <x v="2"/>
    <s v="devon7QB"/>
    <n v="1"/>
    <s v="devon7QB-1"/>
  </r>
  <r>
    <x v="12"/>
    <x v="7"/>
    <s v="13.19-29.99"/>
    <n v="21.59"/>
    <s v="#28"/>
    <x v="0"/>
    <n v="29.99"/>
    <n v="13.19"/>
    <n v="8.4"/>
    <n v="70.56"/>
    <x v="5"/>
    <s v="cory5QB"/>
    <n v="1"/>
    <s v="cory5QB-1"/>
  </r>
  <r>
    <x v="11"/>
    <x v="8"/>
    <s v="14.92-28.26"/>
    <n v="21.59"/>
    <s v="#24"/>
    <x v="0"/>
    <n v="28.26"/>
    <n v="14.92"/>
    <n v="6.67"/>
    <n v="44.488900000000001"/>
    <x v="6"/>
    <s v="lucas14QB"/>
    <n v="2"/>
    <s v="lucas14QB-2"/>
  </r>
  <r>
    <x v="2"/>
    <x v="11"/>
    <s v="14.18-28.94"/>
    <n v="21.56"/>
    <s v="#29"/>
    <x v="0"/>
    <n v="28.94"/>
    <n v="14.18"/>
    <n v="7.38"/>
    <n v="54.464399999999998"/>
    <x v="0"/>
    <s v="matty9QB"/>
    <n v="1"/>
    <s v="matty9QB-1"/>
  </r>
  <r>
    <x v="14"/>
    <x v="15"/>
    <s v="15.00-28.12"/>
    <n v="21.56"/>
    <s v="#18"/>
    <x v="0"/>
    <n v="28.12"/>
    <n v="15"/>
    <n v="6.56"/>
    <n v="43.0336"/>
    <x v="8"/>
    <s v="comp4QB"/>
    <n v="1"/>
    <s v="comp4QB-1"/>
  </r>
  <r>
    <x v="4"/>
    <x v="15"/>
    <s v="14.18-28.94"/>
    <n v="21.56"/>
    <s v="#14"/>
    <x v="0"/>
    <n v="28.94"/>
    <n v="14.18"/>
    <n v="7.38"/>
    <n v="54.464399999999998"/>
    <x v="8"/>
    <s v="comp7QB"/>
    <n v="1"/>
    <s v="comp7QB-1"/>
  </r>
  <r>
    <x v="6"/>
    <x v="7"/>
    <s v="12.95-30.15"/>
    <n v="21.55"/>
    <s v="#26"/>
    <x v="0"/>
    <n v="30.15"/>
    <n v="12.95"/>
    <n v="8.6"/>
    <n v="73.959999999999994"/>
    <x v="5"/>
    <s v="cory12QB"/>
    <n v="1"/>
    <s v="cory12QB-1"/>
  </r>
  <r>
    <x v="5"/>
    <x v="12"/>
    <s v="10.65-32.45"/>
    <n v="21.55"/>
    <s v="#30"/>
    <x v="1"/>
    <n v="32.450000000000003"/>
    <n v="10.65"/>
    <n v="10.9"/>
    <n v="118.81"/>
    <x v="1"/>
    <s v="perry13RB"/>
    <n v="1"/>
    <s v="perry13RB-1"/>
  </r>
  <r>
    <x v="11"/>
    <x v="14"/>
    <s v="14.19-28.91"/>
    <n v="21.55"/>
    <s v="#30"/>
    <x v="0"/>
    <n v="28.91"/>
    <n v="14.19"/>
    <n v="7.36"/>
    <n v="54.169600000000003"/>
    <x v="7"/>
    <s v="NA14QB"/>
    <n v="1"/>
    <s v="NA14QB-1"/>
  </r>
  <r>
    <x v="12"/>
    <x v="6"/>
    <s v="12.47-30.49"/>
    <n v="21.48"/>
    <s v="#15"/>
    <x v="0"/>
    <n v="30.49"/>
    <n v="12.47"/>
    <n v="9.01"/>
    <n v="81.180099999999996"/>
    <x v="2"/>
    <s v="devon5QB"/>
    <n v="2"/>
    <s v="devon5QB-2"/>
  </r>
  <r>
    <x v="5"/>
    <x v="4"/>
    <s v="13.27-29.57"/>
    <n v="21.42"/>
    <s v="#2"/>
    <x v="0"/>
    <n v="29.57"/>
    <n v="13.27"/>
    <n v="8.15"/>
    <n v="66.422499999999999"/>
    <x v="3"/>
    <s v="chad13QB"/>
    <n v="1"/>
    <s v="chad13QB-1"/>
  </r>
  <r>
    <x v="12"/>
    <x v="15"/>
    <s v="12.89-29.91"/>
    <n v="21.4"/>
    <s v="#25"/>
    <x v="0"/>
    <n v="29.91"/>
    <n v="12.89"/>
    <n v="8.51"/>
    <n v="72.420100000000005"/>
    <x v="8"/>
    <s v="comp5QB"/>
    <n v="1"/>
    <s v="comp5QB-1"/>
  </r>
  <r>
    <x v="14"/>
    <x v="8"/>
    <s v="14.32-28.48"/>
    <n v="21.4"/>
    <s v="#24"/>
    <x v="0"/>
    <n v="28.48"/>
    <n v="14.32"/>
    <n v="7.08"/>
    <n v="50.126399999999997"/>
    <x v="6"/>
    <s v="lucas4QB"/>
    <n v="1"/>
    <s v="lucas4QB-1"/>
  </r>
  <r>
    <x v="0"/>
    <x v="2"/>
    <s v="12.24-30.52"/>
    <n v="21.38"/>
    <s v="#30"/>
    <x v="0"/>
    <n v="30.52"/>
    <n v="12.24"/>
    <n v="9.14"/>
    <n v="83.539599999999993"/>
    <x v="2"/>
    <s v="devon17QB"/>
    <n v="2"/>
    <s v="devon17QB-2"/>
  </r>
  <r>
    <x v="16"/>
    <x v="9"/>
    <s v="13.68-29.02"/>
    <n v="21.35"/>
    <s v="#31"/>
    <x v="0"/>
    <n v="29.02"/>
    <n v="13.68"/>
    <n v="7.67"/>
    <n v="58.828899999999997"/>
    <x v="6"/>
    <s v="lucas3QB"/>
    <n v="1"/>
    <s v="lucas3QB-1"/>
  </r>
  <r>
    <x v="9"/>
    <x v="16"/>
    <s v="14.37-28.25"/>
    <n v="21.31"/>
    <s v="#31"/>
    <x v="0"/>
    <n v="28.25"/>
    <n v="14.37"/>
    <n v="6.94"/>
    <n v="48.163600000000002"/>
    <x v="7"/>
    <s v="NA15QB"/>
    <n v="1"/>
    <s v="NA15QB-1"/>
  </r>
  <r>
    <x v="5"/>
    <x v="9"/>
    <s v="14.79-27.77"/>
    <n v="21.28"/>
    <s v="#20"/>
    <x v="0"/>
    <n v="27.77"/>
    <n v="14.79"/>
    <n v="6.49"/>
    <n v="42.120100000000001"/>
    <x v="6"/>
    <s v="lucas13QB"/>
    <n v="1"/>
    <s v="lucas13QB-1"/>
  </r>
  <r>
    <x v="1"/>
    <x v="9"/>
    <s v="14.30-28.26"/>
    <n v="21.28"/>
    <s v="#30"/>
    <x v="0"/>
    <n v="28.26"/>
    <n v="14.3"/>
    <n v="6.98"/>
    <n v="48.720399999999998"/>
    <x v="6"/>
    <s v="lucas16QB"/>
    <n v="2"/>
    <s v="lucas16QB-2"/>
  </r>
  <r>
    <x v="13"/>
    <x v="7"/>
    <s v="14.07-28.45"/>
    <n v="21.26"/>
    <s v="#10"/>
    <x v="0"/>
    <n v="28.45"/>
    <n v="14.07"/>
    <n v="7.19"/>
    <n v="51.696100000000001"/>
    <x v="5"/>
    <s v="cory8QB"/>
    <n v="2"/>
    <s v="cory8QB-2"/>
  </r>
  <r>
    <x v="12"/>
    <x v="5"/>
    <s v="13.22-29.30"/>
    <n v="21.26"/>
    <s v="#12"/>
    <x v="0"/>
    <n v="29.3"/>
    <n v="13.22"/>
    <n v="8.0399999999999991"/>
    <n v="64.641599999999997"/>
    <x v="4"/>
    <s v="scott5QB"/>
    <n v="1"/>
    <s v="scott5QB-1"/>
  </r>
  <r>
    <x v="8"/>
    <x v="7"/>
    <s v="13.33-29.17"/>
    <n v="21.25"/>
    <s v="#18"/>
    <x v="0"/>
    <n v="29.17"/>
    <n v="13.33"/>
    <n v="7.92"/>
    <n v="62.726399999999998"/>
    <x v="5"/>
    <s v="cory6QB"/>
    <n v="1"/>
    <s v="cory6QB-1"/>
  </r>
  <r>
    <x v="13"/>
    <x v="0"/>
    <s v="12.67-29.83"/>
    <n v="21.25"/>
    <s v="#16"/>
    <x v="0"/>
    <n v="29.83"/>
    <n v="12.67"/>
    <n v="8.58"/>
    <n v="73.616399999999999"/>
    <x v="0"/>
    <s v="matty8QB"/>
    <n v="1"/>
    <s v="matty8QB-1"/>
  </r>
  <r>
    <x v="15"/>
    <x v="11"/>
    <s v="13.53-28.95"/>
    <n v="21.24"/>
    <s v="#31"/>
    <x v="0"/>
    <n v="28.95"/>
    <n v="13.53"/>
    <n v="7.71"/>
    <n v="59.444099999999999"/>
    <x v="0"/>
    <s v="matty10QB"/>
    <n v="1"/>
    <s v="matty10QB-1"/>
  </r>
  <r>
    <x v="5"/>
    <x v="13"/>
    <s v="13.70-28.76"/>
    <n v="21.23"/>
    <s v="#28"/>
    <x v="0"/>
    <n v="28.76"/>
    <n v="13.7"/>
    <n v="7.53"/>
    <n v="56.700899999999997"/>
    <x v="5"/>
    <s v="cory13QB"/>
    <n v="1"/>
    <s v="cory13QB-1"/>
  </r>
  <r>
    <x v="13"/>
    <x v="17"/>
    <s v="13.82-28.60"/>
    <n v="21.21"/>
    <s v="#30"/>
    <x v="0"/>
    <n v="28.6"/>
    <n v="13.82"/>
    <n v="7.39"/>
    <n v="54.612099999999998"/>
    <x v="7"/>
    <s v="NA8QB"/>
    <n v="1"/>
    <s v="NA8QB-1"/>
  </r>
  <r>
    <x v="2"/>
    <x v="5"/>
    <s v="13.09-29.27"/>
    <n v="21.18"/>
    <s v="#10"/>
    <x v="0"/>
    <n v="29.27"/>
    <n v="13.09"/>
    <n v="8.09"/>
    <n v="65.448099999999997"/>
    <x v="4"/>
    <s v="scott9QB"/>
    <n v="1"/>
    <s v="scott9QB-1"/>
  </r>
  <r>
    <x v="9"/>
    <x v="17"/>
    <s v="13.71-28.63"/>
    <n v="21.17"/>
    <s v="#24"/>
    <x v="0"/>
    <n v="28.63"/>
    <n v="13.71"/>
    <n v="7.46"/>
    <n v="55.651600000000002"/>
    <x v="7"/>
    <s v="NA15QB"/>
    <n v="2"/>
    <s v="NA15QB-2"/>
  </r>
  <r>
    <x v="0"/>
    <x v="10"/>
    <s v="13.28-29.00"/>
    <n v="21.14"/>
    <s v="#27"/>
    <x v="0"/>
    <n v="29"/>
    <n v="13.28"/>
    <n v="7.86"/>
    <n v="61.779600000000002"/>
    <x v="7"/>
    <s v="NA17QB"/>
    <n v="1"/>
    <s v="NA17QB-1"/>
  </r>
  <r>
    <x v="5"/>
    <x v="8"/>
    <s v="14.81-27.41"/>
    <n v="21.11"/>
    <s v="#26"/>
    <x v="0"/>
    <n v="27.41"/>
    <n v="14.81"/>
    <n v="6.3"/>
    <n v="39.69"/>
    <x v="6"/>
    <s v="lucas13QB"/>
    <n v="2"/>
    <s v="lucas13QB-2"/>
  </r>
  <r>
    <x v="13"/>
    <x v="9"/>
    <s v="14.10-28.10"/>
    <n v="21.1"/>
    <s v="#2"/>
    <x v="0"/>
    <n v="28.1"/>
    <n v="14.1"/>
    <n v="7"/>
    <n v="49"/>
    <x v="6"/>
    <s v="lucas8QB"/>
    <n v="1"/>
    <s v="lucas8QB-1"/>
  </r>
  <r>
    <x v="0"/>
    <x v="8"/>
    <s v="14.26-27.92"/>
    <n v="21.09"/>
    <s v="#4"/>
    <x v="0"/>
    <n v="27.92"/>
    <n v="14.26"/>
    <n v="6.83"/>
    <n v="46.648899999999998"/>
    <x v="6"/>
    <s v="lucas17QB"/>
    <n v="2"/>
    <s v="lucas17QB-2"/>
  </r>
  <r>
    <x v="0"/>
    <x v="14"/>
    <s v="14.60-27.48"/>
    <n v="21.04"/>
    <s v="#29"/>
    <x v="0"/>
    <n v="27.48"/>
    <n v="14.6"/>
    <n v="6.44"/>
    <n v="41.473599999999998"/>
    <x v="7"/>
    <s v="NA17QB"/>
    <n v="2"/>
    <s v="NA17QB-2"/>
  </r>
  <r>
    <x v="5"/>
    <x v="10"/>
    <s v="12.80-29.04"/>
    <n v="20.92"/>
    <s v="#9"/>
    <x v="0"/>
    <n v="29.04"/>
    <n v="12.8"/>
    <n v="8.1199999999999992"/>
    <n v="65.934399999999997"/>
    <x v="7"/>
    <s v="NA13QB"/>
    <n v="1"/>
    <s v="NA13QB-1"/>
  </r>
  <r>
    <x v="13"/>
    <x v="18"/>
    <s v="14.54-27.24"/>
    <n v="20.89"/>
    <s v="#31"/>
    <x v="0"/>
    <n v="27.24"/>
    <n v="14.54"/>
    <n v="6.35"/>
    <n v="40.322499999999998"/>
    <x v="4"/>
    <s v="scott8QB"/>
    <n v="1"/>
    <s v="scott8QB-1"/>
  </r>
  <r>
    <x v="15"/>
    <x v="5"/>
    <s v="12.33-29.39"/>
    <n v="20.86"/>
    <s v="#19"/>
    <x v="0"/>
    <n v="29.39"/>
    <n v="12.33"/>
    <n v="8.5299999999999994"/>
    <n v="72.760900000000007"/>
    <x v="4"/>
    <s v="scott10QB"/>
    <n v="1"/>
    <s v="scott10QB-1"/>
  </r>
  <r>
    <x v="15"/>
    <x v="7"/>
    <s v="12.87-28.79"/>
    <n v="20.83"/>
    <s v="#24"/>
    <x v="0"/>
    <n v="28.79"/>
    <n v="12.87"/>
    <n v="7.96"/>
    <n v="63.361600000000003"/>
    <x v="5"/>
    <s v="cory10QB"/>
    <n v="1"/>
    <s v="cory10QB-1"/>
  </r>
  <r>
    <x v="11"/>
    <x v="1"/>
    <s v="12.06-29.60"/>
    <n v="20.83"/>
    <s v="#23"/>
    <x v="0"/>
    <n v="29.6"/>
    <n v="12.06"/>
    <n v="8.77"/>
    <n v="76.912899999999993"/>
    <x v="1"/>
    <s v="perry14QB"/>
    <n v="1"/>
    <s v="perry14QB-1"/>
  </r>
  <r>
    <x v="4"/>
    <x v="13"/>
    <s v="14.06-27.58"/>
    <n v="20.82"/>
    <s v="#18"/>
    <x v="0"/>
    <n v="27.58"/>
    <n v="14.06"/>
    <n v="6.76"/>
    <n v="45.697600000000001"/>
    <x v="5"/>
    <s v="cory7QB"/>
    <n v="1"/>
    <s v="cory7QB-1"/>
  </r>
  <r>
    <x v="6"/>
    <x v="17"/>
    <s v="13.21-28.39"/>
    <n v="20.8"/>
    <s v="#21"/>
    <x v="0"/>
    <n v="28.39"/>
    <n v="13.21"/>
    <n v="7.59"/>
    <n v="57.6081"/>
    <x v="7"/>
    <s v="NA12QB"/>
    <n v="2"/>
    <s v="NA12QB-2"/>
  </r>
  <r>
    <x v="9"/>
    <x v="8"/>
    <s v="14.69-26.87"/>
    <n v="20.78"/>
    <s v="#15"/>
    <x v="0"/>
    <n v="26.87"/>
    <n v="14.69"/>
    <n v="6.09"/>
    <n v="37.088099999999997"/>
    <x v="6"/>
    <s v="lucas15QB"/>
    <n v="2"/>
    <s v="lucas15QB-2"/>
  </r>
  <r>
    <x v="3"/>
    <x v="15"/>
    <s v="12.70-28.80"/>
    <n v="20.75"/>
    <s v="#16"/>
    <x v="0"/>
    <n v="28.8"/>
    <n v="12.7"/>
    <n v="8.0500000000000007"/>
    <n v="64.802499999999995"/>
    <x v="8"/>
    <s v="comp11QB"/>
    <n v="1"/>
    <s v="comp11QB-1"/>
  </r>
  <r>
    <x v="8"/>
    <x v="4"/>
    <s v="14.20-27.28"/>
    <n v="20.74"/>
    <s v="#11"/>
    <x v="0"/>
    <n v="27.28"/>
    <n v="14.2"/>
    <n v="6.54"/>
    <n v="42.771599999999999"/>
    <x v="3"/>
    <s v="chad6QB"/>
    <n v="1"/>
    <s v="chad6QB-1"/>
  </r>
  <r>
    <x v="2"/>
    <x v="7"/>
    <s v="13.10-28.32"/>
    <n v="20.71"/>
    <s v="#17"/>
    <x v="0"/>
    <n v="28.32"/>
    <n v="13.1"/>
    <n v="7.61"/>
    <n v="57.912100000000002"/>
    <x v="5"/>
    <s v="cory9QB"/>
    <n v="1"/>
    <s v="cory9QB-1"/>
  </r>
  <r>
    <x v="5"/>
    <x v="3"/>
    <s v="10.47-30.95"/>
    <n v="20.71"/>
    <s v="#28"/>
    <x v="1"/>
    <n v="30.95"/>
    <n v="10.47"/>
    <n v="10.24"/>
    <n v="104.85760000000001"/>
    <x v="3"/>
    <s v="chad13RB"/>
    <n v="1"/>
    <s v="chad13RB-1"/>
  </r>
  <r>
    <x v="16"/>
    <x v="7"/>
    <s v="12.76-28.64"/>
    <n v="20.7"/>
    <s v="#12"/>
    <x v="0"/>
    <n v="28.64"/>
    <n v="12.76"/>
    <n v="7.94"/>
    <n v="63.043599999999998"/>
    <x v="5"/>
    <s v="cory3QB"/>
    <n v="1"/>
    <s v="cory3QB-1"/>
  </r>
  <r>
    <x v="13"/>
    <x v="5"/>
    <s v="12.16-29.24"/>
    <n v="20.7"/>
    <s v="#26"/>
    <x v="0"/>
    <n v="29.24"/>
    <n v="12.16"/>
    <n v="8.5399999999999991"/>
    <n v="72.931600000000003"/>
    <x v="4"/>
    <s v="scott8QB"/>
    <n v="2"/>
    <s v="scott8QB-2"/>
  </r>
  <r>
    <x v="4"/>
    <x v="11"/>
    <s v="12.60-28.78"/>
    <n v="20.69"/>
    <s v="#23"/>
    <x v="0"/>
    <n v="28.78"/>
    <n v="12.6"/>
    <n v="8.09"/>
    <n v="65.448099999999997"/>
    <x v="0"/>
    <s v="matty7QB"/>
    <n v="2"/>
    <s v="matty7QB-2"/>
  </r>
  <r>
    <x v="13"/>
    <x v="8"/>
    <s v="14.57-26.81"/>
    <n v="20.69"/>
    <s v="#11"/>
    <x v="0"/>
    <n v="26.81"/>
    <n v="14.57"/>
    <n v="6.12"/>
    <n v="37.4544"/>
    <x v="6"/>
    <s v="lucas8QB"/>
    <n v="2"/>
    <s v="lucas8QB-2"/>
  </r>
  <r>
    <x v="8"/>
    <x v="9"/>
    <s v="13.26-28.10"/>
    <n v="20.68"/>
    <s v="#19"/>
    <x v="0"/>
    <n v="28.1"/>
    <n v="13.26"/>
    <n v="7.42"/>
    <n v="55.056399999999996"/>
    <x v="6"/>
    <s v="lucas6QB"/>
    <n v="2"/>
    <s v="lucas6QB-2"/>
  </r>
  <r>
    <x v="1"/>
    <x v="5"/>
    <s v="12.38-28.94"/>
    <n v="20.66"/>
    <s v="#15"/>
    <x v="0"/>
    <n v="28.94"/>
    <n v="12.38"/>
    <n v="8.2799999999999994"/>
    <n v="68.558400000000006"/>
    <x v="4"/>
    <s v="scott16QB"/>
    <n v="1"/>
    <s v="scott16QB-1"/>
  </r>
  <r>
    <x v="2"/>
    <x v="17"/>
    <s v="13.99-27.31"/>
    <n v="20.65"/>
    <s v="#28"/>
    <x v="0"/>
    <n v="27.31"/>
    <n v="13.99"/>
    <n v="6.66"/>
    <n v="44.355600000000003"/>
    <x v="7"/>
    <s v="NA9QB"/>
    <n v="1"/>
    <s v="NA9QB-1"/>
  </r>
  <r>
    <x v="3"/>
    <x v="0"/>
    <s v="13.44-27.82"/>
    <n v="20.63"/>
    <s v="#10"/>
    <x v="0"/>
    <n v="27.82"/>
    <n v="13.44"/>
    <n v="7.19"/>
    <n v="51.696100000000001"/>
    <x v="0"/>
    <s v="matty11QB"/>
    <n v="2"/>
    <s v="matty11QB-2"/>
  </r>
  <r>
    <x v="1"/>
    <x v="11"/>
    <s v="12.44-28.78"/>
    <n v="20.61"/>
    <s v="#14"/>
    <x v="0"/>
    <n v="28.78"/>
    <n v="12.44"/>
    <n v="8.17"/>
    <n v="66.748900000000006"/>
    <x v="0"/>
    <s v="matty16QB"/>
    <n v="1"/>
    <s v="matty16QB-1"/>
  </r>
  <r>
    <x v="1"/>
    <x v="19"/>
    <s v="12.01-29.19"/>
    <n v="20.6"/>
    <s v="#32"/>
    <x v="0"/>
    <n v="29.19"/>
    <n v="12.01"/>
    <n v="8.59"/>
    <n v="73.7881"/>
    <x v="9"/>
    <s v="seth16QB"/>
    <n v="1"/>
    <s v="seth16QB-1"/>
  </r>
  <r>
    <x v="5"/>
    <x v="7"/>
    <s v="12.59-28.49"/>
    <n v="20.54"/>
    <s v="#13"/>
    <x v="0"/>
    <n v="28.49"/>
    <n v="12.59"/>
    <n v="7.95"/>
    <n v="63.202500000000001"/>
    <x v="5"/>
    <s v="cory13QB"/>
    <n v="2"/>
    <s v="cory13QB-2"/>
  </r>
  <r>
    <x v="13"/>
    <x v="14"/>
    <s v="13.77-27.19"/>
    <n v="20.48"/>
    <s v="#19"/>
    <x v="0"/>
    <n v="27.19"/>
    <n v="13.77"/>
    <n v="6.71"/>
    <n v="45.024099999999997"/>
    <x v="7"/>
    <s v="NA8QB"/>
    <n v="2"/>
    <s v="NA8QB-2"/>
  </r>
  <r>
    <x v="16"/>
    <x v="8"/>
    <s v="14.09-26.73"/>
    <n v="20.41"/>
    <s v="#28"/>
    <x v="0"/>
    <n v="26.73"/>
    <n v="14.09"/>
    <n v="6.32"/>
    <n v="39.942399999999999"/>
    <x v="6"/>
    <s v="lucas3QB"/>
    <n v="2"/>
    <s v="lucas3QB-2"/>
  </r>
  <r>
    <x v="15"/>
    <x v="9"/>
    <s v="13.10-27.70"/>
    <n v="20.399999999999999"/>
    <s v="#7"/>
    <x v="0"/>
    <n v="27.7"/>
    <n v="13.1"/>
    <n v="7.3"/>
    <n v="53.29"/>
    <x v="6"/>
    <s v="lucas10QB"/>
    <n v="1"/>
    <s v="lucas10QB-1"/>
  </r>
  <r>
    <x v="3"/>
    <x v="1"/>
    <s v="12.03-28.73"/>
    <n v="20.38"/>
    <s v="#30"/>
    <x v="0"/>
    <n v="28.73"/>
    <n v="12.03"/>
    <n v="8.35"/>
    <n v="69.722499999999997"/>
    <x v="1"/>
    <s v="perry11QB"/>
    <n v="1"/>
    <s v="perry11QB-1"/>
  </r>
  <r>
    <x v="4"/>
    <x v="5"/>
    <s v="12.27-28.49"/>
    <n v="20.38"/>
    <s v="#1"/>
    <x v="0"/>
    <n v="28.49"/>
    <n v="12.27"/>
    <n v="8.11"/>
    <n v="65.772099999999995"/>
    <x v="4"/>
    <s v="scott7QB"/>
    <n v="1"/>
    <s v="scott7QB-1"/>
  </r>
  <r>
    <x v="1"/>
    <x v="12"/>
    <s v="10.39-30.37"/>
    <n v="20.38"/>
    <s v="#31"/>
    <x v="1"/>
    <n v="30.37"/>
    <n v="10.39"/>
    <n v="9.99"/>
    <n v="99.8001"/>
    <x v="1"/>
    <s v="perry16RB"/>
    <n v="1"/>
    <s v="perry16RB-1"/>
  </r>
  <r>
    <x v="15"/>
    <x v="13"/>
    <s v="11.68-29.00"/>
    <n v="20.34"/>
    <s v="#8"/>
    <x v="0"/>
    <n v="29"/>
    <n v="11.68"/>
    <n v="8.66"/>
    <n v="74.995599999999996"/>
    <x v="5"/>
    <s v="cory10QB"/>
    <n v="2"/>
    <s v="cory10QB-2"/>
  </r>
  <r>
    <x v="8"/>
    <x v="1"/>
    <s v="12.97-27.63"/>
    <n v="20.3"/>
    <s v="#22"/>
    <x v="0"/>
    <n v="27.63"/>
    <n v="12.97"/>
    <n v="7.33"/>
    <n v="53.728900000000003"/>
    <x v="1"/>
    <s v="perry6QB"/>
    <n v="1"/>
    <s v="perry6QB-1"/>
  </r>
  <r>
    <x v="15"/>
    <x v="14"/>
    <s v="13.12-27.46"/>
    <n v="20.29"/>
    <s v="#12"/>
    <x v="0"/>
    <n v="27.46"/>
    <n v="13.12"/>
    <n v="7.17"/>
    <n v="51.408900000000003"/>
    <x v="7"/>
    <s v="NA10QB"/>
    <n v="1"/>
    <s v="NA10QB-1"/>
  </r>
  <r>
    <x v="13"/>
    <x v="20"/>
    <s v="13.28-27.26"/>
    <n v="20.27"/>
    <s v="#9"/>
    <x v="0"/>
    <n v="27.26"/>
    <n v="13.28"/>
    <n v="6.99"/>
    <n v="48.860100000000003"/>
    <x v="7"/>
    <s v="NA8QB"/>
    <n v="3"/>
    <s v="NA8QB-3"/>
  </r>
  <r>
    <x v="2"/>
    <x v="13"/>
    <s v="13.19-27.31"/>
    <n v="20.25"/>
    <s v="#30"/>
    <x v="0"/>
    <n v="27.31"/>
    <n v="13.19"/>
    <n v="7.06"/>
    <n v="49.843600000000002"/>
    <x v="5"/>
    <s v="cory9QB"/>
    <n v="2"/>
    <s v="cory9QB-2"/>
  </r>
  <r>
    <x v="10"/>
    <x v="11"/>
    <s v="13.53-26.95"/>
    <n v="20.239999999999998"/>
    <s v="#9"/>
    <x v="0"/>
    <n v="26.95"/>
    <n v="13.53"/>
    <n v="6.71"/>
    <n v="45.024099999999997"/>
    <x v="0"/>
    <s v="matty2QB"/>
    <n v="1"/>
    <s v="matty2QB-1"/>
  </r>
  <r>
    <x v="16"/>
    <x v="0"/>
    <s v="14.20-26.24"/>
    <n v="20.22"/>
    <s v="#18"/>
    <x v="0"/>
    <n v="26.24"/>
    <n v="14.2"/>
    <n v="6.02"/>
    <n v="36.240400000000001"/>
    <x v="0"/>
    <s v="matty3QB"/>
    <n v="1"/>
    <s v="matty3QB-1"/>
  </r>
  <r>
    <x v="2"/>
    <x v="0"/>
    <s v="11.00-29.44"/>
    <n v="20.22"/>
    <s v="#2"/>
    <x v="0"/>
    <n v="29.44"/>
    <n v="11"/>
    <n v="9.2200000000000006"/>
    <n v="85.008399999999995"/>
    <x v="0"/>
    <s v="matty9QB"/>
    <n v="2"/>
    <s v="matty9QB-2"/>
  </r>
  <r>
    <x v="15"/>
    <x v="15"/>
    <s v="12.48-27.96"/>
    <n v="20.22"/>
    <s v="#25"/>
    <x v="0"/>
    <n v="27.96"/>
    <n v="12.48"/>
    <n v="7.74"/>
    <n v="59.907600000000002"/>
    <x v="8"/>
    <s v="comp10QB"/>
    <n v="1"/>
    <s v="comp10QB-1"/>
  </r>
  <r>
    <x v="1"/>
    <x v="7"/>
    <s v="12.74-27.64"/>
    <n v="20.190000000000001"/>
    <s v="#4"/>
    <x v="0"/>
    <n v="27.64"/>
    <n v="12.74"/>
    <n v="7.45"/>
    <n v="55.502499999999998"/>
    <x v="5"/>
    <s v="cory16QB"/>
    <n v="1"/>
    <s v="cory16QB-1"/>
  </r>
  <r>
    <x v="16"/>
    <x v="2"/>
    <s v="12.08-28.28"/>
    <n v="20.18"/>
    <s v="#19"/>
    <x v="0"/>
    <n v="28.28"/>
    <n v="12.08"/>
    <n v="8.1"/>
    <n v="65.61"/>
    <x v="2"/>
    <s v="devon3QB"/>
    <n v="1"/>
    <s v="devon3QB-1"/>
  </r>
  <r>
    <x v="11"/>
    <x v="15"/>
    <s v="12.83-27.53"/>
    <n v="20.18"/>
    <s v="#19"/>
    <x v="0"/>
    <n v="27.53"/>
    <n v="12.83"/>
    <n v="7.35"/>
    <n v="54.022500000000001"/>
    <x v="8"/>
    <s v="comp14QB"/>
    <n v="1"/>
    <s v="comp14QB-1"/>
  </r>
  <r>
    <x v="9"/>
    <x v="3"/>
    <s v="10.06-30.30"/>
    <n v="20.18"/>
    <s v="#6"/>
    <x v="1"/>
    <n v="30.3"/>
    <n v="10.06"/>
    <n v="10.119999999999999"/>
    <n v="102.4144"/>
    <x v="3"/>
    <s v="chad15RB"/>
    <n v="1"/>
    <s v="chad15RB-1"/>
  </r>
  <r>
    <x v="5"/>
    <x v="1"/>
    <s v="11.65-28.65"/>
    <n v="20.149999999999999"/>
    <s v="#12"/>
    <x v="0"/>
    <n v="28.65"/>
    <n v="11.65"/>
    <n v="8.5"/>
    <n v="72.25"/>
    <x v="1"/>
    <s v="perry13QB"/>
    <n v="1"/>
    <s v="perry13QB-1"/>
  </r>
  <r>
    <x v="12"/>
    <x v="0"/>
    <s v="11.49-28.77"/>
    <n v="20.13"/>
    <s v="#3"/>
    <x v="0"/>
    <n v="28.77"/>
    <n v="11.49"/>
    <n v="8.64"/>
    <n v="74.649600000000007"/>
    <x v="0"/>
    <s v="matty5QB"/>
    <n v="1"/>
    <s v="matty5QB-1"/>
  </r>
  <r>
    <x v="11"/>
    <x v="17"/>
    <s v="12.46-27.76"/>
    <n v="20.11"/>
    <s v="#8"/>
    <x v="0"/>
    <n v="27.76"/>
    <n v="12.46"/>
    <n v="7.65"/>
    <n v="58.522500000000001"/>
    <x v="7"/>
    <s v="NA14QB"/>
    <n v="2"/>
    <s v="NA14QB-2"/>
  </r>
  <r>
    <x v="13"/>
    <x v="3"/>
    <s v="9.77-30.37"/>
    <n v="20.07"/>
    <s v="#21"/>
    <x v="1"/>
    <n v="30.37"/>
    <n v="9.77"/>
    <n v="10.3"/>
    <n v="106.09"/>
    <x v="3"/>
    <s v="chad8RB"/>
    <n v="1"/>
    <s v="chad8RB-1"/>
  </r>
  <r>
    <x v="4"/>
    <x v="12"/>
    <s v="9.55-30.53"/>
    <n v="20.04"/>
    <s v="#12"/>
    <x v="1"/>
    <n v="30.53"/>
    <n v="9.5500000000000007"/>
    <n v="10.49"/>
    <n v="110.0401"/>
    <x v="1"/>
    <s v="perry7RB"/>
    <n v="1"/>
    <s v="perry7RB-1"/>
  </r>
  <r>
    <x v="8"/>
    <x v="2"/>
    <s v="12.35-27.69"/>
    <n v="20.02"/>
    <s v="#12"/>
    <x v="0"/>
    <n v="27.69"/>
    <n v="12.35"/>
    <n v="7.67"/>
    <n v="58.828899999999997"/>
    <x v="2"/>
    <s v="devon6QB"/>
    <n v="2"/>
    <s v="devon6QB-2"/>
  </r>
  <r>
    <x v="3"/>
    <x v="5"/>
    <s v="13.21-26.83"/>
    <n v="20.02"/>
    <s v="#6"/>
    <x v="0"/>
    <n v="26.83"/>
    <n v="13.21"/>
    <n v="6.81"/>
    <n v="46.376100000000001"/>
    <x v="4"/>
    <s v="scott11QB"/>
    <n v="1"/>
    <s v="scott11QB-1"/>
  </r>
  <r>
    <x v="15"/>
    <x v="3"/>
    <s v="10.59-29.45"/>
    <n v="20.02"/>
    <s v="#8"/>
    <x v="1"/>
    <n v="29.45"/>
    <n v="10.59"/>
    <n v="9.43"/>
    <n v="88.924899999999994"/>
    <x v="3"/>
    <s v="chad10RB"/>
    <n v="1"/>
    <s v="chad10RB-1"/>
  </r>
  <r>
    <x v="16"/>
    <x v="5"/>
    <s v="12.32-27.62"/>
    <n v="19.97"/>
    <s v="#29"/>
    <x v="0"/>
    <n v="27.62"/>
    <n v="12.32"/>
    <n v="7.65"/>
    <n v="58.522500000000001"/>
    <x v="4"/>
    <s v="scott3QB"/>
    <n v="1"/>
    <s v="scott3QB-1"/>
  </r>
  <r>
    <x v="11"/>
    <x v="11"/>
    <s v="13.40-26.52"/>
    <n v="19.96"/>
    <s v="#22"/>
    <x v="0"/>
    <n v="26.52"/>
    <n v="13.4"/>
    <n v="6.56"/>
    <n v="43.0336"/>
    <x v="0"/>
    <s v="matty14QB"/>
    <n v="2"/>
    <s v="matty14QB-2"/>
  </r>
  <r>
    <x v="8"/>
    <x v="13"/>
    <s v="11.54-28.38"/>
    <n v="19.96"/>
    <s v="#16"/>
    <x v="0"/>
    <n v="28.38"/>
    <n v="11.54"/>
    <n v="8.42"/>
    <n v="70.8964"/>
    <x v="5"/>
    <s v="cory6QB"/>
    <n v="2"/>
    <s v="cory6QB-2"/>
  </r>
  <r>
    <x v="9"/>
    <x v="7"/>
    <s v="12.18-27.72"/>
    <n v="19.95"/>
    <s v="#5"/>
    <x v="0"/>
    <n v="27.72"/>
    <n v="12.18"/>
    <n v="7.77"/>
    <n v="60.372900000000001"/>
    <x v="5"/>
    <s v="cory15QB"/>
    <n v="1"/>
    <s v="cory15QB-1"/>
  </r>
  <r>
    <x v="16"/>
    <x v="21"/>
    <s v="11.93-27.95"/>
    <n v="19.940000000000001"/>
    <s v="#17"/>
    <x v="0"/>
    <n v="27.95"/>
    <n v="11.93"/>
    <n v="8.01"/>
    <n v="64.1601"/>
    <x v="10"/>
    <s v="aj3QB"/>
    <n v="1"/>
    <s v="aj3QB-1"/>
  </r>
  <r>
    <x v="7"/>
    <x v="21"/>
    <s v="12.62-27.16"/>
    <n v="19.89"/>
    <s v="#4"/>
    <x v="0"/>
    <n v="27.16"/>
    <n v="12.62"/>
    <n v="7.27"/>
    <n v="52.852899999999998"/>
    <x v="10"/>
    <s v="aj1QB"/>
    <n v="1"/>
    <s v="aj1QB-1"/>
  </r>
  <r>
    <x v="7"/>
    <x v="2"/>
    <s v="12.92-26.82"/>
    <n v="19.87"/>
    <s v="#23"/>
    <x v="0"/>
    <n v="26.82"/>
    <n v="12.92"/>
    <n v="6.95"/>
    <n v="48.302500000000002"/>
    <x v="2"/>
    <s v="devon1QB"/>
    <n v="1"/>
    <s v="devon1QB-1"/>
  </r>
  <r>
    <x v="16"/>
    <x v="3"/>
    <s v="10.68-29.06"/>
    <n v="19.87"/>
    <s v="#20"/>
    <x v="1"/>
    <n v="29.06"/>
    <n v="10.68"/>
    <n v="9.19"/>
    <n v="84.456100000000006"/>
    <x v="3"/>
    <s v="chad3RB"/>
    <n v="1"/>
    <s v="chad3RB-1"/>
  </r>
  <r>
    <x v="6"/>
    <x v="8"/>
    <s v="13.04-26.70"/>
    <n v="19.87"/>
    <s v="#4"/>
    <x v="0"/>
    <n v="26.7"/>
    <n v="13.04"/>
    <n v="6.83"/>
    <n v="46.648899999999998"/>
    <x v="6"/>
    <s v="lucas12QB"/>
    <n v="1"/>
    <s v="lucas12QB-1"/>
  </r>
  <r>
    <x v="14"/>
    <x v="1"/>
    <s v="11.47-28.25"/>
    <n v="19.86"/>
    <s v="#14"/>
    <x v="0"/>
    <n v="28.25"/>
    <n v="11.47"/>
    <n v="8.39"/>
    <n v="70.392099999999999"/>
    <x v="1"/>
    <s v="perry4QB"/>
    <n v="1"/>
    <s v="perry4QB-1"/>
  </r>
  <r>
    <x v="16"/>
    <x v="22"/>
    <s v="13.94-25.78"/>
    <n v="19.86"/>
    <s v="#15"/>
    <x v="0"/>
    <n v="25.78"/>
    <n v="13.94"/>
    <n v="5.92"/>
    <n v="35.046399999999998"/>
    <x v="7"/>
    <s v="NA3QB"/>
    <n v="1"/>
    <s v="NA3QB-1"/>
  </r>
  <r>
    <x v="15"/>
    <x v="2"/>
    <s v="11.52-28.10"/>
    <n v="19.809999999999999"/>
    <s v="#15"/>
    <x v="0"/>
    <n v="28.1"/>
    <n v="11.52"/>
    <n v="8.2899999999999991"/>
    <n v="68.724100000000007"/>
    <x v="2"/>
    <s v="devon10QB"/>
    <n v="1"/>
    <s v="devon10QB-1"/>
  </r>
  <r>
    <x v="8"/>
    <x v="14"/>
    <s v="13.37-26.25"/>
    <n v="19.809999999999999"/>
    <s v="#29"/>
    <x v="0"/>
    <n v="26.25"/>
    <n v="13.37"/>
    <n v="6.44"/>
    <n v="41.473599999999998"/>
    <x v="7"/>
    <s v="NA6QB"/>
    <n v="1"/>
    <s v="NA6QB-1"/>
  </r>
  <r>
    <x v="0"/>
    <x v="23"/>
    <s v="11.71-27.91"/>
    <n v="19.809999999999999"/>
    <s v="#25"/>
    <x v="1"/>
    <n v="27.91"/>
    <n v="11.71"/>
    <n v="8.1"/>
    <n v="65.61"/>
    <x v="4"/>
    <s v="scott17RB"/>
    <n v="1"/>
    <s v="scott17RB-1"/>
  </r>
  <r>
    <x v="5"/>
    <x v="6"/>
    <s v="11.67-27.95"/>
    <n v="19.809999999999999"/>
    <s v="#1"/>
    <x v="0"/>
    <n v="27.95"/>
    <n v="11.67"/>
    <n v="8.14"/>
    <n v="66.259600000000006"/>
    <x v="2"/>
    <s v="devon13QB"/>
    <n v="2"/>
    <s v="devon13QB-2"/>
  </r>
  <r>
    <x v="11"/>
    <x v="2"/>
    <s v="11.03-28.57"/>
    <n v="19.8"/>
    <s v="#2"/>
    <x v="0"/>
    <n v="28.57"/>
    <n v="11.03"/>
    <n v="8.77"/>
    <n v="76.912899999999993"/>
    <x v="2"/>
    <s v="devon14QB"/>
    <n v="2"/>
    <s v="devon14QB-2"/>
  </r>
  <r>
    <x v="3"/>
    <x v="10"/>
    <s v="13.32-26.26"/>
    <n v="19.79"/>
    <s v="#15"/>
    <x v="0"/>
    <n v="26.26"/>
    <n v="13.32"/>
    <n v="6.47"/>
    <n v="41.860900000000001"/>
    <x v="7"/>
    <s v="NA11QB"/>
    <n v="1"/>
    <s v="NA11QB-1"/>
  </r>
  <r>
    <x v="2"/>
    <x v="4"/>
    <s v="11.39-28.19"/>
    <n v="19.79"/>
    <s v="#16"/>
    <x v="0"/>
    <n v="28.19"/>
    <n v="11.39"/>
    <n v="8.4"/>
    <n v="70.56"/>
    <x v="3"/>
    <s v="chad9QB"/>
    <n v="1"/>
    <s v="chad9QB-1"/>
  </r>
  <r>
    <x v="12"/>
    <x v="10"/>
    <s v="11.29-28.27"/>
    <n v="19.78"/>
    <s v="#32"/>
    <x v="0"/>
    <n v="28.27"/>
    <n v="11.29"/>
    <n v="8.49"/>
    <n v="72.080100000000002"/>
    <x v="7"/>
    <s v="NA5QB"/>
    <n v="1"/>
    <s v="NA5QB-1"/>
  </r>
  <r>
    <x v="0"/>
    <x v="3"/>
    <s v="10.25-29.31"/>
    <n v="19.78"/>
    <s v="#18"/>
    <x v="1"/>
    <n v="29.31"/>
    <n v="10.25"/>
    <n v="9.5299999999999994"/>
    <n v="90.820899999999995"/>
    <x v="3"/>
    <s v="chad17RB"/>
    <n v="1"/>
    <s v="chad17RB-1"/>
  </r>
  <r>
    <x v="11"/>
    <x v="24"/>
    <s v="14.63-24.91"/>
    <n v="19.77"/>
    <s v="#27"/>
    <x v="0"/>
    <n v="24.91"/>
    <n v="14.63"/>
    <n v="5.14"/>
    <n v="26.419599999999999"/>
    <x v="8"/>
    <s v="comp14QB"/>
    <n v="2"/>
    <s v="comp14QB-2"/>
  </r>
  <r>
    <x v="12"/>
    <x v="11"/>
    <s v="11.27-28.13"/>
    <n v="19.7"/>
    <s v="#30"/>
    <x v="0"/>
    <n v="28.13"/>
    <n v="11.27"/>
    <n v="8.43"/>
    <n v="71.064899999999994"/>
    <x v="0"/>
    <s v="matty5QB"/>
    <n v="2"/>
    <s v="matty5QB-2"/>
  </r>
  <r>
    <x v="9"/>
    <x v="25"/>
    <s v="10.10-29.26"/>
    <n v="19.68"/>
    <s v="#32"/>
    <x v="1"/>
    <n v="29.26"/>
    <n v="10.1"/>
    <n v="9.58"/>
    <n v="91.776399999999995"/>
    <x v="0"/>
    <s v="matty15RB"/>
    <n v="1"/>
    <s v="matty15RB-1"/>
  </r>
  <r>
    <x v="2"/>
    <x v="12"/>
    <s v="9.24-30.10"/>
    <n v="19.670000000000002"/>
    <s v="#14"/>
    <x v="1"/>
    <n v="30.1"/>
    <n v="9.24"/>
    <n v="10.43"/>
    <n v="108.78489999999999"/>
    <x v="1"/>
    <s v="perry9RB"/>
    <n v="1"/>
    <s v="perry9RB-1"/>
  </r>
  <r>
    <x v="16"/>
    <x v="4"/>
    <s v="12.30-27.02"/>
    <n v="19.66"/>
    <s v="#22"/>
    <x v="0"/>
    <n v="27.02"/>
    <n v="12.3"/>
    <n v="7.36"/>
    <n v="54.169600000000003"/>
    <x v="3"/>
    <s v="chad3QB"/>
    <n v="1"/>
    <s v="chad3QB-1"/>
  </r>
  <r>
    <x v="0"/>
    <x v="17"/>
    <s v="12.09-27.23"/>
    <n v="19.66"/>
    <s v="#5"/>
    <x v="0"/>
    <n v="27.23"/>
    <n v="12.09"/>
    <n v="7.57"/>
    <n v="57.304900000000004"/>
    <x v="7"/>
    <s v="NA17QB"/>
    <n v="3"/>
    <s v="NA17QB-3"/>
  </r>
  <r>
    <x v="15"/>
    <x v="8"/>
    <s v="12.25-27.05"/>
    <n v="19.649999999999999"/>
    <s v="#14"/>
    <x v="0"/>
    <n v="27.05"/>
    <n v="12.25"/>
    <n v="7.4"/>
    <n v="54.76"/>
    <x v="6"/>
    <s v="lucas10QB"/>
    <n v="2"/>
    <s v="lucas10QB-2"/>
  </r>
  <r>
    <x v="1"/>
    <x v="26"/>
    <s v="12.01-27.19"/>
    <n v="19.600000000000001"/>
    <s v="#31"/>
    <x v="0"/>
    <n v="27.19"/>
    <n v="12.01"/>
    <n v="7.59"/>
    <n v="57.6081"/>
    <x v="7"/>
    <s v="NA16QB"/>
    <n v="1"/>
    <s v="NA16QB-1"/>
  </r>
  <r>
    <x v="3"/>
    <x v="19"/>
    <s v="10.99-28.17"/>
    <n v="19.579999999999998"/>
    <s v="#21"/>
    <x v="0"/>
    <n v="28.17"/>
    <n v="10.99"/>
    <n v="8.59"/>
    <n v="73.7881"/>
    <x v="9"/>
    <s v="seth11QB"/>
    <n v="1"/>
    <s v="seth11QB-1"/>
  </r>
  <r>
    <x v="8"/>
    <x v="19"/>
    <s v="11.14-28.00"/>
    <n v="19.57"/>
    <s v="#25"/>
    <x v="0"/>
    <n v="28"/>
    <n v="11.14"/>
    <n v="8.43"/>
    <n v="71.064899999999994"/>
    <x v="9"/>
    <s v="seth6QB"/>
    <n v="1"/>
    <s v="seth6QB-1"/>
  </r>
  <r>
    <x v="15"/>
    <x v="10"/>
    <s v="11.44-27.68"/>
    <n v="19.559999999999999"/>
    <s v="#9"/>
    <x v="0"/>
    <n v="27.68"/>
    <n v="11.44"/>
    <n v="8.1199999999999992"/>
    <n v="65.934399999999997"/>
    <x v="7"/>
    <s v="NA10QB"/>
    <n v="2"/>
    <s v="NA10QB-2"/>
  </r>
  <r>
    <x v="0"/>
    <x v="15"/>
    <s v="11.51-27.61"/>
    <n v="19.559999999999999"/>
    <s v="#16"/>
    <x v="0"/>
    <n v="27.61"/>
    <n v="11.51"/>
    <n v="8.0500000000000007"/>
    <n v="64.802499999999995"/>
    <x v="8"/>
    <s v="comp17QB"/>
    <n v="1"/>
    <s v="comp17QB-1"/>
  </r>
  <r>
    <x v="9"/>
    <x v="4"/>
    <s v="11.04-28.06"/>
    <n v="19.55"/>
    <s v="#4"/>
    <x v="0"/>
    <n v="28.06"/>
    <n v="11.04"/>
    <n v="8.51"/>
    <n v="72.420100000000005"/>
    <x v="3"/>
    <s v="chad15QB"/>
    <n v="1"/>
    <s v="chad15QB-1"/>
  </r>
  <r>
    <x v="5"/>
    <x v="26"/>
    <s v="12.39-26.67"/>
    <n v="19.53"/>
    <s v="#30"/>
    <x v="0"/>
    <n v="26.67"/>
    <n v="12.39"/>
    <n v="7.14"/>
    <n v="50.979599999999998"/>
    <x v="7"/>
    <s v="NA13QB"/>
    <n v="2"/>
    <s v="NA13QB-2"/>
  </r>
  <r>
    <x v="10"/>
    <x v="7"/>
    <s v="10.73-28.31"/>
    <n v="19.52"/>
    <s v="#26"/>
    <x v="0"/>
    <n v="28.31"/>
    <n v="10.73"/>
    <n v="8.7899999999999991"/>
    <n v="77.264099999999999"/>
    <x v="5"/>
    <s v="cory2QB"/>
    <n v="1"/>
    <s v="cory2QB-1"/>
  </r>
  <r>
    <x v="16"/>
    <x v="1"/>
    <s v="11.37-27.67"/>
    <n v="19.52"/>
    <s v="#9"/>
    <x v="0"/>
    <n v="27.67"/>
    <n v="11.37"/>
    <n v="8.15"/>
    <n v="66.422499999999999"/>
    <x v="1"/>
    <s v="perry3QB"/>
    <n v="1"/>
    <s v="perry3QB-1"/>
  </r>
  <r>
    <x v="0"/>
    <x v="5"/>
    <s v="12.36-26.66"/>
    <n v="19.510000000000002"/>
    <s v="#7"/>
    <x v="0"/>
    <n v="26.66"/>
    <n v="12.36"/>
    <n v="7.15"/>
    <n v="51.122500000000002"/>
    <x v="4"/>
    <s v="scott17QB"/>
    <n v="1"/>
    <s v="scott17QB-1"/>
  </r>
  <r>
    <x v="8"/>
    <x v="10"/>
    <s v="11.67-27.33"/>
    <n v="19.5"/>
    <s v="#23"/>
    <x v="0"/>
    <n v="27.33"/>
    <n v="11.67"/>
    <n v="7.83"/>
    <n v="61.308900000000001"/>
    <x v="7"/>
    <s v="NA6QB"/>
    <n v="2"/>
    <s v="NA6QB-2"/>
  </r>
  <r>
    <x v="4"/>
    <x v="8"/>
    <s v="12.25-26.75"/>
    <n v="19.5"/>
    <s v="#5"/>
    <x v="0"/>
    <n v="26.75"/>
    <n v="12.25"/>
    <n v="7.25"/>
    <n v="52.5625"/>
    <x v="6"/>
    <s v="lucas7QB"/>
    <n v="1"/>
    <s v="lucas7QB-1"/>
  </r>
  <r>
    <x v="8"/>
    <x v="17"/>
    <s v="11.90-27.08"/>
    <n v="19.489999999999998"/>
    <s v="#13"/>
    <x v="0"/>
    <n v="27.08"/>
    <n v="11.9"/>
    <n v="7.59"/>
    <n v="57.6081"/>
    <x v="7"/>
    <s v="NA6QB"/>
    <n v="3"/>
    <s v="NA6QB-3"/>
  </r>
  <r>
    <x v="1"/>
    <x v="0"/>
    <s v="10.67-28.27"/>
    <n v="19.47"/>
    <s v="#8"/>
    <x v="0"/>
    <n v="28.27"/>
    <n v="10.67"/>
    <n v="8.8000000000000007"/>
    <n v="77.44"/>
    <x v="0"/>
    <s v="matty16QB"/>
    <n v="2"/>
    <s v="matty16QB-2"/>
  </r>
  <r>
    <x v="5"/>
    <x v="17"/>
    <s v="12.13-26.79"/>
    <n v="19.46"/>
    <s v="#17"/>
    <x v="0"/>
    <n v="26.79"/>
    <n v="12.13"/>
    <n v="7.33"/>
    <n v="53.728900000000003"/>
    <x v="7"/>
    <s v="NA13QB"/>
    <n v="3"/>
    <s v="NA13QB-3"/>
  </r>
  <r>
    <x v="6"/>
    <x v="11"/>
    <s v="11.35-27.53"/>
    <n v="19.440000000000001"/>
    <s v="#23"/>
    <x v="0"/>
    <n v="27.53"/>
    <n v="11.35"/>
    <n v="8.09"/>
    <n v="65.448099999999997"/>
    <x v="0"/>
    <s v="matty12QB"/>
    <n v="1"/>
    <s v="matty12QB-1"/>
  </r>
  <r>
    <x v="6"/>
    <x v="16"/>
    <s v="12.03-26.85"/>
    <n v="19.440000000000001"/>
    <s v="#25"/>
    <x v="0"/>
    <n v="26.85"/>
    <n v="12.03"/>
    <n v="7.41"/>
    <n v="54.908099999999997"/>
    <x v="7"/>
    <s v="NA12QB"/>
    <n v="3"/>
    <s v="NA12QB-3"/>
  </r>
  <r>
    <x v="1"/>
    <x v="17"/>
    <s v="12.78-26.10"/>
    <n v="19.440000000000001"/>
    <s v="#28"/>
    <x v="0"/>
    <n v="26.1"/>
    <n v="12.78"/>
    <n v="6.66"/>
    <n v="44.355600000000003"/>
    <x v="7"/>
    <s v="NA16QB"/>
    <n v="2"/>
    <s v="NA16QB-2"/>
  </r>
  <r>
    <x v="3"/>
    <x v="14"/>
    <s v="12.51-26.33"/>
    <n v="19.420000000000002"/>
    <s v="#22"/>
    <x v="0"/>
    <n v="26.33"/>
    <n v="12.51"/>
    <n v="6.91"/>
    <n v="47.748100000000001"/>
    <x v="7"/>
    <s v="NA11QB"/>
    <n v="2"/>
    <s v="NA11QB-2"/>
  </r>
  <r>
    <x v="3"/>
    <x v="12"/>
    <s v="9.05-29.77"/>
    <n v="19.41"/>
    <s v="#29"/>
    <x v="1"/>
    <n v="29.77"/>
    <n v="9.0500000000000007"/>
    <n v="10.36"/>
    <n v="107.3296"/>
    <x v="1"/>
    <s v="perry11RB"/>
    <n v="1"/>
    <s v="perry11RB-1"/>
  </r>
  <r>
    <x v="5"/>
    <x v="20"/>
    <s v="12.13-26.67"/>
    <n v="19.399999999999999"/>
    <s v="#32"/>
    <x v="0"/>
    <n v="26.67"/>
    <n v="12.13"/>
    <n v="7.27"/>
    <n v="52.852899999999998"/>
    <x v="7"/>
    <s v="NA13QB"/>
    <n v="4"/>
    <s v="NA13QB-4"/>
  </r>
  <r>
    <x v="13"/>
    <x v="24"/>
    <s v="14.45-24.33"/>
    <n v="19.39"/>
    <s v="#25"/>
    <x v="0"/>
    <n v="24.33"/>
    <n v="14.45"/>
    <n v="4.9400000000000004"/>
    <n v="24.403600000000001"/>
    <x v="8"/>
    <s v="comp8QB"/>
    <n v="1"/>
    <s v="comp8QB-1"/>
  </r>
  <r>
    <x v="12"/>
    <x v="1"/>
    <s v="11.15-27.63"/>
    <n v="19.39"/>
    <s v="#26"/>
    <x v="0"/>
    <n v="27.63"/>
    <n v="11.15"/>
    <n v="8.24"/>
    <n v="67.897599999999997"/>
    <x v="1"/>
    <s v="perry5QB"/>
    <n v="1"/>
    <s v="perry5QB-1"/>
  </r>
  <r>
    <x v="12"/>
    <x v="21"/>
    <s v="10.15-28.59"/>
    <n v="19.37"/>
    <s v="#21"/>
    <x v="0"/>
    <n v="28.59"/>
    <n v="10.15"/>
    <n v="9.2200000000000006"/>
    <n v="85.008399999999995"/>
    <x v="10"/>
    <s v="aj5QB"/>
    <n v="1"/>
    <s v="aj5QB-1"/>
  </r>
  <r>
    <x v="6"/>
    <x v="10"/>
    <s v="12.91-25.79"/>
    <n v="19.350000000000001"/>
    <s v="#11"/>
    <x v="0"/>
    <n v="25.79"/>
    <n v="12.91"/>
    <n v="6.44"/>
    <n v="41.473599999999998"/>
    <x v="7"/>
    <s v="NA12QB"/>
    <n v="4"/>
    <s v="NA12QB-4"/>
  </r>
  <r>
    <x v="1"/>
    <x v="10"/>
    <s v="12.27-26.41"/>
    <n v="19.34"/>
    <s v="#24"/>
    <x v="0"/>
    <n v="26.41"/>
    <n v="12.27"/>
    <n v="7.07"/>
    <n v="49.984900000000003"/>
    <x v="7"/>
    <s v="NA16QB"/>
    <n v="3"/>
    <s v="NA16QB-3"/>
  </r>
  <r>
    <x v="9"/>
    <x v="1"/>
    <s v="10.79-27.87"/>
    <n v="19.329999999999998"/>
    <s v="#10"/>
    <x v="0"/>
    <n v="27.87"/>
    <n v="10.79"/>
    <n v="8.5399999999999991"/>
    <n v="72.931600000000003"/>
    <x v="1"/>
    <s v="perry15QB"/>
    <n v="1"/>
    <s v="perry15QB-1"/>
  </r>
  <r>
    <x v="7"/>
    <x v="27"/>
    <s v="11.15-27.43"/>
    <n v="19.29"/>
    <s v="#31"/>
    <x v="1"/>
    <n v="27.43"/>
    <n v="11.15"/>
    <n v="8.14"/>
    <n v="66.259600000000006"/>
    <x v="4"/>
    <s v="scott1RB"/>
    <n v="1"/>
    <s v="scott1RB-1"/>
  </r>
  <r>
    <x v="14"/>
    <x v="9"/>
    <s v="11.80-26.78"/>
    <n v="19.29"/>
    <s v="#1"/>
    <x v="0"/>
    <n v="26.78"/>
    <n v="11.8"/>
    <n v="7.49"/>
    <n v="56.100099999999998"/>
    <x v="6"/>
    <s v="lucas4QB"/>
    <n v="2"/>
    <s v="lucas4QB-2"/>
  </r>
  <r>
    <x v="8"/>
    <x v="15"/>
    <s v="11.57-26.97"/>
    <n v="19.27"/>
    <s v="#2"/>
    <x v="0"/>
    <n v="26.97"/>
    <n v="11.57"/>
    <n v="7.7"/>
    <n v="59.29"/>
    <x v="8"/>
    <s v="comp6QB"/>
    <n v="1"/>
    <s v="comp6QB-1"/>
  </r>
  <r>
    <x v="16"/>
    <x v="6"/>
    <s v="12.47-26.03"/>
    <n v="19.25"/>
    <s v="#30"/>
    <x v="0"/>
    <n v="26.03"/>
    <n v="12.47"/>
    <n v="6.78"/>
    <n v="45.968400000000003"/>
    <x v="2"/>
    <s v="devon3QB"/>
    <n v="2"/>
    <s v="devon3QB-2"/>
  </r>
  <r>
    <x v="1"/>
    <x v="15"/>
    <s v="11.19-27.31"/>
    <n v="19.25"/>
    <s v="#1"/>
    <x v="0"/>
    <n v="27.31"/>
    <n v="11.19"/>
    <n v="8.06"/>
    <n v="64.9636"/>
    <x v="8"/>
    <s v="comp16QB"/>
    <n v="1"/>
    <s v="comp16QB-1"/>
  </r>
  <r>
    <x v="12"/>
    <x v="13"/>
    <s v="10.52-27.84"/>
    <n v="19.18"/>
    <s v="#8"/>
    <x v="0"/>
    <n v="27.84"/>
    <n v="10.52"/>
    <n v="8.66"/>
    <n v="74.995599999999996"/>
    <x v="5"/>
    <s v="cory5QB"/>
    <n v="2"/>
    <s v="cory5QB-2"/>
  </r>
  <r>
    <x v="15"/>
    <x v="6"/>
    <s v="11.90-26.44"/>
    <n v="19.170000000000002"/>
    <s v="#2"/>
    <x v="0"/>
    <n v="26.44"/>
    <n v="11.9"/>
    <n v="7.27"/>
    <n v="52.852899999999998"/>
    <x v="2"/>
    <s v="devon10QB"/>
    <n v="2"/>
    <s v="devon10QB-2"/>
  </r>
  <r>
    <x v="7"/>
    <x v="4"/>
    <s v="12.15-26.17"/>
    <n v="19.16"/>
    <s v="#17"/>
    <x v="0"/>
    <n v="26.17"/>
    <n v="12.15"/>
    <n v="7.01"/>
    <n v="49.140099999999997"/>
    <x v="3"/>
    <s v="chad1QB"/>
    <n v="1"/>
    <s v="chad1QB-1"/>
  </r>
  <r>
    <x v="9"/>
    <x v="15"/>
    <s v="11.93-26.37"/>
    <n v="19.149999999999999"/>
    <s v="#32"/>
    <x v="0"/>
    <n v="26.37"/>
    <n v="11.93"/>
    <n v="7.22"/>
    <n v="52.128399999999999"/>
    <x v="8"/>
    <s v="comp15QB"/>
    <n v="1"/>
    <s v="comp15QB-1"/>
  </r>
  <r>
    <x v="16"/>
    <x v="19"/>
    <s v="12.10-26.20"/>
    <n v="19.149999999999999"/>
    <s v="#23"/>
    <x v="0"/>
    <n v="26.2"/>
    <n v="12.1"/>
    <n v="7.05"/>
    <n v="49.702500000000001"/>
    <x v="9"/>
    <s v="seth3QB"/>
    <n v="1"/>
    <s v="seth3QB-1"/>
  </r>
  <r>
    <x v="2"/>
    <x v="28"/>
    <s v="12.03-26.25"/>
    <n v="19.14"/>
    <s v="#27"/>
    <x v="0"/>
    <n v="26.25"/>
    <n v="12.03"/>
    <n v="7.11"/>
    <n v="50.552100000000003"/>
    <x v="7"/>
    <s v="NA9QB"/>
    <n v="2"/>
    <s v="NA9QB-2"/>
  </r>
  <r>
    <x v="0"/>
    <x v="12"/>
    <s v="8.03-30.15"/>
    <n v="19.09"/>
    <s v="#22"/>
    <x v="1"/>
    <n v="30.15"/>
    <n v="8.0299999999999994"/>
    <n v="11.06"/>
    <n v="122.3236"/>
    <x v="1"/>
    <s v="perry17RB"/>
    <n v="1"/>
    <s v="perry17RB-1"/>
  </r>
  <r>
    <x v="7"/>
    <x v="13"/>
    <s v="11.61-26.55"/>
    <n v="19.079999999999998"/>
    <s v="#25"/>
    <x v="0"/>
    <n v="26.55"/>
    <n v="11.61"/>
    <n v="7.47"/>
    <n v="55.800899999999999"/>
    <x v="5"/>
    <s v="cory1QB"/>
    <n v="2"/>
    <s v="cory1QB-2"/>
  </r>
  <r>
    <x v="7"/>
    <x v="17"/>
    <s v="13.86-24.28"/>
    <n v="19.07"/>
    <s v="#18"/>
    <x v="0"/>
    <n v="24.28"/>
    <n v="13.86"/>
    <n v="5.21"/>
    <n v="27.144100000000002"/>
    <x v="7"/>
    <s v="NA1QB"/>
    <n v="1"/>
    <s v="NA1QB-1"/>
  </r>
  <r>
    <x v="9"/>
    <x v="18"/>
    <s v="13.27-24.85"/>
    <n v="19.059999999999999"/>
    <s v="#25"/>
    <x v="0"/>
    <n v="24.85"/>
    <n v="13.27"/>
    <n v="5.79"/>
    <n v="33.524099999999997"/>
    <x v="4"/>
    <s v="scott15QB"/>
    <n v="1"/>
    <s v="scott15QB-1"/>
  </r>
  <r>
    <x v="14"/>
    <x v="6"/>
    <s v="11.82-26.26"/>
    <n v="19.04"/>
    <s v="#19"/>
    <x v="0"/>
    <n v="26.26"/>
    <n v="11.82"/>
    <n v="7.22"/>
    <n v="52.128399999999999"/>
    <x v="2"/>
    <s v="devon4QB"/>
    <n v="1"/>
    <s v="devon4QB-1"/>
  </r>
  <r>
    <x v="13"/>
    <x v="19"/>
    <s v="10.00-28.04"/>
    <n v="19.02"/>
    <s v="#28"/>
    <x v="0"/>
    <n v="28.04"/>
    <n v="10"/>
    <n v="9.02"/>
    <n v="81.360399999999998"/>
    <x v="9"/>
    <s v="seth8QB"/>
    <n v="1"/>
    <s v="seth8QB-1"/>
  </r>
  <r>
    <x v="0"/>
    <x v="1"/>
    <s v="10.49-27.49"/>
    <n v="18.989999999999998"/>
    <s v="#12"/>
    <x v="0"/>
    <n v="27.49"/>
    <n v="10.49"/>
    <n v="8.5"/>
    <n v="72.25"/>
    <x v="1"/>
    <s v="perry17QB"/>
    <n v="1"/>
    <s v="perry17QB-1"/>
  </r>
  <r>
    <x v="9"/>
    <x v="12"/>
    <s v="8.62-29.34"/>
    <n v="18.98"/>
    <s v="#9"/>
    <x v="1"/>
    <n v="29.34"/>
    <n v="8.6199999999999992"/>
    <n v="10.36"/>
    <n v="107.3296"/>
    <x v="1"/>
    <s v="perry15RB"/>
    <n v="1"/>
    <s v="perry15RB-1"/>
  </r>
  <r>
    <x v="7"/>
    <x v="3"/>
    <s v="10.49-27.47"/>
    <n v="18.98"/>
    <s v="#25"/>
    <x v="1"/>
    <n v="27.47"/>
    <n v="10.49"/>
    <n v="8.49"/>
    <n v="72.080100000000002"/>
    <x v="3"/>
    <s v="chad1RB"/>
    <n v="1"/>
    <s v="chad1RB-1"/>
  </r>
  <r>
    <x v="7"/>
    <x v="19"/>
    <s v="11.19-26.73"/>
    <n v="18.96"/>
    <s v="#16"/>
    <x v="0"/>
    <n v="26.73"/>
    <n v="11.19"/>
    <n v="7.77"/>
    <n v="60.372900000000001"/>
    <x v="9"/>
    <s v="seth1QB"/>
    <n v="1"/>
    <s v="seth1QB-1"/>
  </r>
  <r>
    <x v="10"/>
    <x v="4"/>
    <s v="12.29-25.61"/>
    <n v="18.95"/>
    <s v="#14"/>
    <x v="0"/>
    <n v="25.61"/>
    <n v="12.29"/>
    <n v="6.66"/>
    <n v="44.355600000000003"/>
    <x v="3"/>
    <s v="chad2QB"/>
    <n v="1"/>
    <s v="chad2QB-1"/>
  </r>
  <r>
    <x v="10"/>
    <x v="9"/>
    <s v="11.65-26.19"/>
    <n v="18.920000000000002"/>
    <s v="#32"/>
    <x v="0"/>
    <n v="26.19"/>
    <n v="11.65"/>
    <n v="7.27"/>
    <n v="52.852899999999998"/>
    <x v="6"/>
    <s v="lucas2QB"/>
    <n v="1"/>
    <s v="lucas2QB-1"/>
  </r>
  <r>
    <x v="12"/>
    <x v="17"/>
    <s v="10.17-27.55"/>
    <n v="18.86"/>
    <s v="#6"/>
    <x v="0"/>
    <n v="27.55"/>
    <n v="10.17"/>
    <n v="8.69"/>
    <n v="75.516099999999994"/>
    <x v="7"/>
    <s v="NA5QB"/>
    <n v="2"/>
    <s v="NA5QB-2"/>
  </r>
  <r>
    <x v="6"/>
    <x v="29"/>
    <s v="12.27-25.45"/>
    <n v="18.86"/>
    <s v="#27"/>
    <x v="0"/>
    <n v="25.45"/>
    <n v="12.27"/>
    <n v="6.59"/>
    <n v="43.428100000000001"/>
    <x v="7"/>
    <s v="NA12QB"/>
    <n v="5"/>
    <s v="NA12QB-5"/>
  </r>
  <r>
    <x v="2"/>
    <x v="20"/>
    <s v="11.53-26.17"/>
    <n v="18.850000000000001"/>
    <s v="#18"/>
    <x v="0"/>
    <n v="26.17"/>
    <n v="11.53"/>
    <n v="7.32"/>
    <n v="53.5824"/>
    <x v="7"/>
    <s v="NA9QB"/>
    <n v="3"/>
    <s v="NA9QB-3"/>
  </r>
  <r>
    <x v="5"/>
    <x v="21"/>
    <s v="11.05-26.65"/>
    <n v="18.850000000000001"/>
    <s v="#10"/>
    <x v="0"/>
    <n v="26.65"/>
    <n v="11.05"/>
    <n v="7.8"/>
    <n v="60.84"/>
    <x v="10"/>
    <s v="aj13QB"/>
    <n v="1"/>
    <s v="aj13QB-1"/>
  </r>
  <r>
    <x v="11"/>
    <x v="10"/>
    <s v="11.64-26.00"/>
    <n v="18.82"/>
    <s v="#14"/>
    <x v="0"/>
    <n v="26"/>
    <n v="11.64"/>
    <n v="7.18"/>
    <n v="51.552399999999999"/>
    <x v="7"/>
    <s v="NA14QB"/>
    <n v="3"/>
    <s v="NA14QB-3"/>
  </r>
  <r>
    <x v="2"/>
    <x v="15"/>
    <s v="10.72-26.92"/>
    <n v="18.82"/>
    <s v="#8"/>
    <x v="0"/>
    <n v="26.92"/>
    <n v="10.72"/>
    <n v="8.1"/>
    <n v="65.61"/>
    <x v="8"/>
    <s v="comp9QB"/>
    <n v="1"/>
    <s v="comp9QB-1"/>
  </r>
  <r>
    <x v="2"/>
    <x v="3"/>
    <s v="8.80-28.84"/>
    <n v="18.82"/>
    <s v="#30"/>
    <x v="1"/>
    <n v="28.84"/>
    <n v="8.8000000000000007"/>
    <n v="10.02"/>
    <n v="100.4004"/>
    <x v="3"/>
    <s v="chad9RB"/>
    <n v="1"/>
    <s v="chad9RB-1"/>
  </r>
  <r>
    <x v="8"/>
    <x v="11"/>
    <s v="11.06-26.54"/>
    <n v="18.8"/>
    <s v="#7"/>
    <x v="0"/>
    <n v="26.54"/>
    <n v="11.06"/>
    <n v="7.74"/>
    <n v="59.907600000000002"/>
    <x v="0"/>
    <s v="matty6QB"/>
    <n v="2"/>
    <s v="matty6QB-2"/>
  </r>
  <r>
    <x v="6"/>
    <x v="2"/>
    <s v="11.65-25.93"/>
    <n v="18.79"/>
    <s v="#8"/>
    <x v="0"/>
    <n v="25.93"/>
    <n v="11.65"/>
    <n v="7.14"/>
    <n v="50.979599999999998"/>
    <x v="2"/>
    <s v="devon12QB"/>
    <n v="2"/>
    <s v="devon12QB-2"/>
  </r>
  <r>
    <x v="1"/>
    <x v="14"/>
    <s v="11.23-26.23"/>
    <n v="18.73"/>
    <s v="#23"/>
    <x v="0"/>
    <n v="26.23"/>
    <n v="11.23"/>
    <n v="7.5"/>
    <n v="56.25"/>
    <x v="7"/>
    <s v="NA16QB"/>
    <n v="4"/>
    <s v="NA16QB-4"/>
  </r>
  <r>
    <x v="16"/>
    <x v="11"/>
    <s v="11.87-25.55"/>
    <n v="18.71"/>
    <s v="#21"/>
    <x v="0"/>
    <n v="25.55"/>
    <n v="11.87"/>
    <n v="6.84"/>
    <n v="46.785600000000002"/>
    <x v="0"/>
    <s v="matty3QB"/>
    <n v="2"/>
    <s v="matty3QB-2"/>
  </r>
  <r>
    <x v="12"/>
    <x v="18"/>
    <s v="11.15-26.27"/>
    <n v="18.71"/>
    <s v="#24"/>
    <x v="0"/>
    <n v="26.27"/>
    <n v="11.15"/>
    <n v="7.56"/>
    <n v="57.153599999999997"/>
    <x v="4"/>
    <s v="scott5QB"/>
    <n v="2"/>
    <s v="scott5QB-2"/>
  </r>
  <r>
    <x v="10"/>
    <x v="21"/>
    <s v="11.36-26.00"/>
    <n v="18.68"/>
    <s v="#18"/>
    <x v="0"/>
    <n v="26"/>
    <n v="11.36"/>
    <n v="7.32"/>
    <n v="53.5824"/>
    <x v="10"/>
    <s v="aj2QB"/>
    <n v="1"/>
    <s v="aj2QB-1"/>
  </r>
  <r>
    <x v="7"/>
    <x v="18"/>
    <s v="11.72-25.62"/>
    <n v="18.670000000000002"/>
    <s v="#9"/>
    <x v="0"/>
    <n v="25.62"/>
    <n v="11.72"/>
    <n v="6.95"/>
    <n v="48.302500000000002"/>
    <x v="4"/>
    <s v="scott1QB"/>
    <n v="2"/>
    <s v="scott1QB-2"/>
  </r>
  <r>
    <x v="4"/>
    <x v="21"/>
    <s v="9.82-27.50"/>
    <n v="18.66"/>
    <s v="#24"/>
    <x v="0"/>
    <n v="27.5"/>
    <n v="9.82"/>
    <n v="8.84"/>
    <n v="78.145600000000002"/>
    <x v="10"/>
    <s v="aj7QB"/>
    <n v="1"/>
    <s v="aj7QB-1"/>
  </r>
  <r>
    <x v="10"/>
    <x v="0"/>
    <s v="11.08-26.22"/>
    <n v="18.649999999999999"/>
    <s v="#15"/>
    <x v="0"/>
    <n v="26.22"/>
    <n v="11.08"/>
    <n v="7.57"/>
    <n v="57.304900000000004"/>
    <x v="0"/>
    <s v="matty2QB"/>
    <n v="2"/>
    <s v="matty2QB-2"/>
  </r>
  <r>
    <x v="14"/>
    <x v="19"/>
    <s v="10.94-26.36"/>
    <n v="18.649999999999999"/>
    <s v="#13"/>
    <x v="0"/>
    <n v="26.36"/>
    <n v="10.94"/>
    <n v="7.71"/>
    <n v="59.444099999999999"/>
    <x v="9"/>
    <s v="seth4QB"/>
    <n v="1"/>
    <s v="seth4QB-1"/>
  </r>
  <r>
    <x v="3"/>
    <x v="7"/>
    <s v="10.46-26.82"/>
    <n v="18.64"/>
    <s v="#8"/>
    <x v="0"/>
    <n v="26.82"/>
    <n v="10.46"/>
    <n v="8.18"/>
    <n v="66.912400000000005"/>
    <x v="5"/>
    <s v="cory11QB"/>
    <n v="2"/>
    <s v="cory11QB-2"/>
  </r>
  <r>
    <x v="10"/>
    <x v="15"/>
    <s v="10.23-27.05"/>
    <n v="18.64"/>
    <s v="#11"/>
    <x v="0"/>
    <n v="27.05"/>
    <n v="10.23"/>
    <n v="8.41"/>
    <n v="70.728099999999998"/>
    <x v="8"/>
    <s v="comp2QB"/>
    <n v="1"/>
    <s v="comp2QB-1"/>
  </r>
  <r>
    <x v="14"/>
    <x v="18"/>
    <s v="12.14-25.12"/>
    <n v="18.63"/>
    <s v="#29"/>
    <x v="0"/>
    <n v="25.12"/>
    <n v="12.14"/>
    <n v="6.49"/>
    <n v="42.120100000000001"/>
    <x v="4"/>
    <s v="scott4QB"/>
    <n v="2"/>
    <s v="scott4QB-2"/>
  </r>
  <r>
    <x v="15"/>
    <x v="0"/>
    <s v="10.35-26.91"/>
    <n v="18.63"/>
    <s v="#13"/>
    <x v="0"/>
    <n v="26.91"/>
    <n v="10.35"/>
    <n v="8.2799999999999994"/>
    <n v="68.558400000000006"/>
    <x v="0"/>
    <s v="matty10QB"/>
    <n v="2"/>
    <s v="matty10QB-2"/>
  </r>
  <r>
    <x v="13"/>
    <x v="11"/>
    <s v="12.05-25.17"/>
    <n v="18.61"/>
    <s v="#22"/>
    <x v="0"/>
    <n v="25.17"/>
    <n v="12.05"/>
    <n v="6.56"/>
    <n v="43.0336"/>
    <x v="0"/>
    <s v="matty8QB"/>
    <n v="2"/>
    <s v="matty8QB-2"/>
  </r>
  <r>
    <x v="9"/>
    <x v="10"/>
    <s v="12.13-25.09"/>
    <n v="18.61"/>
    <s v="#12"/>
    <x v="0"/>
    <n v="25.09"/>
    <n v="12.13"/>
    <n v="6.48"/>
    <n v="41.990400000000001"/>
    <x v="7"/>
    <s v="NA15QB"/>
    <n v="3"/>
    <s v="NA15QB-3"/>
  </r>
  <r>
    <x v="10"/>
    <x v="19"/>
    <s v="11.13-26.05"/>
    <n v="18.59"/>
    <s v="#5"/>
    <x v="0"/>
    <n v="26.05"/>
    <n v="11.13"/>
    <n v="7.46"/>
    <n v="55.651600000000002"/>
    <x v="9"/>
    <s v="seth2QB"/>
    <n v="1"/>
    <s v="seth2QB-1"/>
  </r>
  <r>
    <x v="3"/>
    <x v="30"/>
    <s v="11.39-25.75"/>
    <n v="18.57"/>
    <s v="#31"/>
    <x v="0"/>
    <n v="25.75"/>
    <n v="11.39"/>
    <n v="7.18"/>
    <n v="51.552399999999999"/>
    <x v="7"/>
    <s v="NA11QB"/>
    <n v="3"/>
    <s v="NA11QB-3"/>
  </r>
  <r>
    <x v="2"/>
    <x v="9"/>
    <s v="10.48-26.58"/>
    <n v="18.53"/>
    <s v="#1"/>
    <x v="0"/>
    <n v="26.58"/>
    <n v="10.48"/>
    <n v="8.0500000000000007"/>
    <n v="64.802499999999995"/>
    <x v="6"/>
    <s v="lucas9QB"/>
    <n v="2"/>
    <s v="lucas9QB-2"/>
  </r>
  <r>
    <x v="3"/>
    <x v="26"/>
    <s v="11.40-25.66"/>
    <n v="18.53"/>
    <s v="#29"/>
    <x v="0"/>
    <n v="25.66"/>
    <n v="11.4"/>
    <n v="7.13"/>
    <n v="50.8369"/>
    <x v="7"/>
    <s v="NA11QB"/>
    <n v="4"/>
    <s v="NA11QB-4"/>
  </r>
  <r>
    <x v="0"/>
    <x v="26"/>
    <s v="11.23-25.83"/>
    <n v="18.53"/>
    <s v="#22"/>
    <x v="0"/>
    <n v="25.83"/>
    <n v="11.23"/>
    <n v="7.3"/>
    <n v="53.29"/>
    <x v="7"/>
    <s v="NA17QB"/>
    <n v="4"/>
    <s v="NA17QB-4"/>
  </r>
  <r>
    <x v="3"/>
    <x v="17"/>
    <s v="10.96-26.10"/>
    <n v="18.53"/>
    <s v="#5"/>
    <x v="0"/>
    <n v="26.1"/>
    <n v="10.96"/>
    <n v="7.57"/>
    <n v="57.304900000000004"/>
    <x v="7"/>
    <s v="NA11QB"/>
    <n v="5"/>
    <s v="NA11QB-5"/>
  </r>
  <r>
    <x v="6"/>
    <x v="15"/>
    <s v="10.30-26.72"/>
    <n v="18.510000000000002"/>
    <s v="#13"/>
    <x v="0"/>
    <n v="26.72"/>
    <n v="10.3"/>
    <n v="8.2100000000000009"/>
    <n v="67.4041"/>
    <x v="8"/>
    <s v="comp12QB"/>
    <n v="1"/>
    <s v="comp12QB-1"/>
  </r>
  <r>
    <x v="11"/>
    <x v="3"/>
    <s v="9.23-27.79"/>
    <n v="18.510000000000002"/>
    <s v="#5"/>
    <x v="1"/>
    <n v="27.79"/>
    <n v="9.23"/>
    <n v="9.2799999999999994"/>
    <n v="86.118399999999994"/>
    <x v="3"/>
    <s v="chad14RB"/>
    <n v="1"/>
    <s v="chad14RB-1"/>
  </r>
  <r>
    <x v="1"/>
    <x v="4"/>
    <s v="11.18-25.82"/>
    <n v="18.5"/>
    <s v="#6"/>
    <x v="0"/>
    <n v="25.82"/>
    <n v="11.18"/>
    <n v="7.32"/>
    <n v="53.5824"/>
    <x v="3"/>
    <s v="chad16QB"/>
    <n v="1"/>
    <s v="chad16QB-1"/>
  </r>
  <r>
    <x v="9"/>
    <x v="13"/>
    <s v="10.90-26.10"/>
    <n v="18.5"/>
    <s v="#6"/>
    <x v="0"/>
    <n v="26.1"/>
    <n v="10.9"/>
    <n v="7.6"/>
    <n v="57.76"/>
    <x v="5"/>
    <s v="cory15QB"/>
    <n v="2"/>
    <s v="cory15QB-2"/>
  </r>
  <r>
    <x v="10"/>
    <x v="27"/>
    <s v="9.97-27.01"/>
    <n v="18.489999999999998"/>
    <s v="#2"/>
    <x v="1"/>
    <n v="27.01"/>
    <n v="9.9700000000000006"/>
    <n v="8.52"/>
    <n v="72.590400000000002"/>
    <x v="4"/>
    <s v="scott2RB"/>
    <n v="1"/>
    <s v="scott2RB-1"/>
  </r>
  <r>
    <x v="10"/>
    <x v="8"/>
    <s v="10.99-25.97"/>
    <n v="18.48"/>
    <s v="#3"/>
    <x v="0"/>
    <n v="25.97"/>
    <n v="10.99"/>
    <n v="7.49"/>
    <n v="56.100099999999998"/>
    <x v="6"/>
    <s v="lucas2QB"/>
    <n v="2"/>
    <s v="lucas2QB-2"/>
  </r>
  <r>
    <x v="0"/>
    <x v="21"/>
    <s v="9.23-27.67"/>
    <n v="18.45"/>
    <s v="#21"/>
    <x v="0"/>
    <n v="27.67"/>
    <n v="9.23"/>
    <n v="9.2200000000000006"/>
    <n v="85.008399999999995"/>
    <x v="10"/>
    <s v="aj17QB"/>
    <n v="1"/>
    <s v="aj17QB-1"/>
  </r>
  <r>
    <x v="6"/>
    <x v="9"/>
    <s v="10.75-26.13"/>
    <n v="18.440000000000001"/>
    <s v="#16"/>
    <x v="0"/>
    <n v="26.13"/>
    <n v="10.75"/>
    <n v="7.69"/>
    <n v="59.136099999999999"/>
    <x v="6"/>
    <s v="lucas12QB"/>
    <n v="2"/>
    <s v="lucas12QB-2"/>
  </r>
  <r>
    <x v="7"/>
    <x v="31"/>
    <s v="9.21-27.67"/>
    <n v="18.440000000000001"/>
    <s v="#12"/>
    <x v="1"/>
    <n v="27.67"/>
    <n v="9.2100000000000009"/>
    <n v="9.23"/>
    <n v="85.192899999999995"/>
    <x v="0"/>
    <s v="matty1RB"/>
    <n v="1"/>
    <s v="matty1RB-1"/>
  </r>
  <r>
    <x v="5"/>
    <x v="19"/>
    <s v="10.77-26.11"/>
    <n v="18.440000000000001"/>
    <s v="#18"/>
    <x v="0"/>
    <n v="26.11"/>
    <n v="10.77"/>
    <n v="7.67"/>
    <n v="58.828899999999997"/>
    <x v="9"/>
    <s v="seth13QB"/>
    <n v="1"/>
    <s v="seth13QB-1"/>
  </r>
  <r>
    <x v="12"/>
    <x v="3"/>
    <s v="9.94-26.92"/>
    <n v="18.43"/>
    <s v="#8"/>
    <x v="1"/>
    <n v="26.92"/>
    <n v="9.94"/>
    <n v="8.49"/>
    <n v="72.080100000000002"/>
    <x v="3"/>
    <s v="chad5RB"/>
    <n v="1"/>
    <s v="chad5RB-1"/>
  </r>
  <r>
    <x v="1"/>
    <x v="3"/>
    <s v="9.58-27.22"/>
    <n v="18.399999999999999"/>
    <s v="#13"/>
    <x v="1"/>
    <n v="27.22"/>
    <n v="9.58"/>
    <n v="8.82"/>
    <n v="77.792400000000001"/>
    <x v="3"/>
    <s v="chad16RB"/>
    <n v="1"/>
    <s v="chad16RB-1"/>
  </r>
  <r>
    <x v="14"/>
    <x v="24"/>
    <s v="10.57-26.19"/>
    <n v="18.38"/>
    <s v="#27"/>
    <x v="0"/>
    <n v="26.19"/>
    <n v="10.57"/>
    <n v="7.81"/>
    <n v="60.996099999999998"/>
    <x v="8"/>
    <s v="comp4QB"/>
    <n v="2"/>
    <s v="comp4QB-2"/>
  </r>
  <r>
    <x v="9"/>
    <x v="5"/>
    <s v="11.23-25.53"/>
    <n v="18.38"/>
    <s v="#7"/>
    <x v="0"/>
    <n v="25.53"/>
    <n v="11.23"/>
    <n v="7.15"/>
    <n v="51.122500000000002"/>
    <x v="4"/>
    <s v="scott15QB"/>
    <n v="2"/>
    <s v="scott15QB-2"/>
  </r>
  <r>
    <x v="4"/>
    <x v="14"/>
    <s v="9.41-27.35"/>
    <n v="18.38"/>
    <s v="#2"/>
    <x v="0"/>
    <n v="27.35"/>
    <n v="9.41"/>
    <n v="8.9700000000000006"/>
    <n v="80.460899999999995"/>
    <x v="7"/>
    <s v="NA7QB"/>
    <n v="2"/>
    <s v="NA7QB-2"/>
  </r>
  <r>
    <x v="14"/>
    <x v="32"/>
    <s v="11.12-25.60"/>
    <n v="18.36"/>
    <s v="#25"/>
    <x v="0"/>
    <n v="25.6"/>
    <n v="11.12"/>
    <n v="7.24"/>
    <n v="52.4176"/>
    <x v="1"/>
    <s v="perry4QB"/>
    <n v="2"/>
    <s v="perry4QB-2"/>
  </r>
  <r>
    <x v="14"/>
    <x v="3"/>
    <s v="9.81-26.91"/>
    <n v="18.36"/>
    <s v="#26"/>
    <x v="1"/>
    <n v="26.91"/>
    <n v="9.81"/>
    <n v="8.5500000000000007"/>
    <n v="73.102500000000006"/>
    <x v="3"/>
    <s v="chad4RB"/>
    <n v="1"/>
    <s v="chad4RB-1"/>
  </r>
  <r>
    <x v="0"/>
    <x v="20"/>
    <s v="11.08-25.62"/>
    <n v="18.350000000000001"/>
    <s v="#32"/>
    <x v="0"/>
    <n v="25.62"/>
    <n v="11.08"/>
    <n v="7.27"/>
    <n v="52.852899999999998"/>
    <x v="7"/>
    <s v="NA17QB"/>
    <n v="5"/>
    <s v="NA17QB-5"/>
  </r>
  <r>
    <x v="10"/>
    <x v="17"/>
    <s v="12.02-24.62"/>
    <n v="18.32"/>
    <s v="#21"/>
    <x v="0"/>
    <n v="24.62"/>
    <n v="12.02"/>
    <n v="6.3"/>
    <n v="39.69"/>
    <x v="7"/>
    <s v="NA2QB"/>
    <n v="1"/>
    <s v="NA2QB-1"/>
  </r>
  <r>
    <x v="4"/>
    <x v="17"/>
    <s v="10.86-25.76"/>
    <n v="18.309999999999999"/>
    <s v="#4"/>
    <x v="0"/>
    <n v="25.76"/>
    <n v="10.86"/>
    <n v="7.45"/>
    <n v="55.502499999999998"/>
    <x v="7"/>
    <s v="NA7QB"/>
    <n v="3"/>
    <s v="NA7QB-3"/>
  </r>
  <r>
    <x v="13"/>
    <x v="2"/>
    <s v="10.62-25.98"/>
    <n v="18.3"/>
    <s v="#1"/>
    <x v="0"/>
    <n v="25.98"/>
    <n v="10.62"/>
    <n v="7.68"/>
    <n v="58.982399999999998"/>
    <x v="2"/>
    <s v="devon8QB"/>
    <n v="1"/>
    <s v="devon8QB-1"/>
  </r>
  <r>
    <x v="8"/>
    <x v="3"/>
    <s v="9.04-27.56"/>
    <n v="18.3"/>
    <s v="#16"/>
    <x v="1"/>
    <n v="27.56"/>
    <n v="9.0399999999999991"/>
    <n v="9.26"/>
    <n v="85.747600000000006"/>
    <x v="3"/>
    <s v="chad6RB"/>
    <n v="1"/>
    <s v="chad6RB-1"/>
  </r>
  <r>
    <x v="7"/>
    <x v="15"/>
    <s v="11.22-25.34"/>
    <n v="18.28"/>
    <s v="#32"/>
    <x v="0"/>
    <n v="25.34"/>
    <n v="11.22"/>
    <n v="7.06"/>
    <n v="49.843600000000002"/>
    <x v="8"/>
    <s v="comp1QB"/>
    <n v="1"/>
    <s v="comp1QB-1"/>
  </r>
  <r>
    <x v="4"/>
    <x v="3"/>
    <s v="8.72-27.78"/>
    <n v="18.25"/>
    <s v="#18"/>
    <x v="1"/>
    <n v="27.78"/>
    <n v="8.7200000000000006"/>
    <n v="9.5299999999999994"/>
    <n v="90.820899999999995"/>
    <x v="3"/>
    <s v="chad7RB"/>
    <n v="1"/>
    <s v="chad7RB-1"/>
  </r>
  <r>
    <x v="10"/>
    <x v="2"/>
    <s v="11.15-25.29"/>
    <n v="18.22"/>
    <s v="#29"/>
    <x v="0"/>
    <n v="25.29"/>
    <n v="11.15"/>
    <n v="7.07"/>
    <n v="49.984900000000003"/>
    <x v="2"/>
    <s v="devon2QB"/>
    <n v="1"/>
    <s v="devon2QB-1"/>
  </r>
  <r>
    <x v="0"/>
    <x v="29"/>
    <s v="10.69-25.75"/>
    <n v="18.22"/>
    <s v="#9"/>
    <x v="0"/>
    <n v="25.75"/>
    <n v="10.69"/>
    <n v="7.53"/>
    <n v="56.700899999999997"/>
    <x v="7"/>
    <s v="NA17QB"/>
    <n v="6"/>
    <s v="NA17QB-6"/>
  </r>
  <r>
    <x v="5"/>
    <x v="23"/>
    <s v="10.10-26.30"/>
    <n v="18.2"/>
    <s v="#25"/>
    <x v="1"/>
    <n v="26.3"/>
    <n v="10.1"/>
    <n v="8.1"/>
    <n v="65.61"/>
    <x v="4"/>
    <s v="scott13RB"/>
    <n v="1"/>
    <s v="scott13RB-1"/>
  </r>
  <r>
    <x v="14"/>
    <x v="22"/>
    <s v="10.78-25.54"/>
    <n v="18.16"/>
    <s v="#5"/>
    <x v="0"/>
    <n v="25.54"/>
    <n v="10.78"/>
    <n v="7.38"/>
    <n v="54.464399999999998"/>
    <x v="7"/>
    <s v="NA4QB"/>
    <n v="1"/>
    <s v="NA4QB-1"/>
  </r>
  <r>
    <x v="13"/>
    <x v="28"/>
    <s v="11.33-24.89"/>
    <n v="18.11"/>
    <s v="#32"/>
    <x v="0"/>
    <n v="24.89"/>
    <n v="11.33"/>
    <n v="6.78"/>
    <n v="45.968400000000003"/>
    <x v="7"/>
    <s v="NA8QB"/>
    <n v="4"/>
    <s v="NA8QB-4"/>
  </r>
  <r>
    <x v="2"/>
    <x v="26"/>
    <s v="10.48-25.68"/>
    <n v="18.079999999999998"/>
    <s v="#14"/>
    <x v="0"/>
    <n v="25.68"/>
    <n v="10.48"/>
    <n v="7.6"/>
    <n v="57.76"/>
    <x v="7"/>
    <s v="NA9QB"/>
    <n v="4"/>
    <s v="NA9QB-4"/>
  </r>
  <r>
    <x v="14"/>
    <x v="30"/>
    <s v="10.54-25.60"/>
    <n v="18.07"/>
    <s v="#30"/>
    <x v="0"/>
    <n v="25.6"/>
    <n v="10.54"/>
    <n v="7.53"/>
    <n v="56.700899999999997"/>
    <x v="7"/>
    <s v="NA4QB"/>
    <n v="2"/>
    <s v="NA4QB-2"/>
  </r>
  <r>
    <x v="0"/>
    <x v="4"/>
    <s v="11.65-24.47"/>
    <n v="18.059999999999999"/>
    <s v="#3"/>
    <x v="0"/>
    <n v="24.47"/>
    <n v="11.65"/>
    <n v="6.41"/>
    <n v="41.088099999999997"/>
    <x v="3"/>
    <s v="chad17QB"/>
    <n v="1"/>
    <s v="chad17QB-1"/>
  </r>
  <r>
    <x v="7"/>
    <x v="24"/>
    <s v="10.65-25.45"/>
    <n v="18.05"/>
    <s v="#19"/>
    <x v="0"/>
    <n v="25.45"/>
    <n v="10.65"/>
    <n v="7.4"/>
    <n v="54.76"/>
    <x v="8"/>
    <s v="comp1QB"/>
    <n v="2"/>
    <s v="comp1QB-2"/>
  </r>
  <r>
    <x v="9"/>
    <x v="26"/>
    <s v="10.72-25.26"/>
    <n v="17.989999999999998"/>
    <s v="#9"/>
    <x v="0"/>
    <n v="25.26"/>
    <n v="10.72"/>
    <n v="7.27"/>
    <n v="52.852899999999998"/>
    <x v="7"/>
    <s v="NA15QB"/>
    <n v="4"/>
    <s v="NA15QB-4"/>
  </r>
  <r>
    <x v="13"/>
    <x v="10"/>
    <s v="10.80-25.14"/>
    <n v="17.97"/>
    <s v="#6"/>
    <x v="0"/>
    <n v="25.14"/>
    <n v="10.8"/>
    <n v="7.17"/>
    <n v="51.408900000000003"/>
    <x v="7"/>
    <s v="NA8QB"/>
    <n v="5"/>
    <s v="NA8QB-5"/>
  </r>
  <r>
    <x v="4"/>
    <x v="2"/>
    <s v="10.33-25.61"/>
    <n v="17.97"/>
    <s v="#6"/>
    <x v="0"/>
    <n v="25.61"/>
    <n v="10.33"/>
    <n v="7.64"/>
    <n v="58.369599999999998"/>
    <x v="2"/>
    <s v="devon7QB"/>
    <n v="2"/>
    <s v="devon7QB-2"/>
  </r>
  <r>
    <x v="4"/>
    <x v="32"/>
    <s v="10.76-25.14"/>
    <n v="17.95"/>
    <s v="#31"/>
    <x v="0"/>
    <n v="25.14"/>
    <n v="10.76"/>
    <n v="7.19"/>
    <n v="51.696100000000001"/>
    <x v="1"/>
    <s v="perry7QB"/>
    <n v="1"/>
    <s v="perry7QB-1"/>
  </r>
  <r>
    <x v="15"/>
    <x v="29"/>
    <s v="10.37-25.51"/>
    <n v="17.940000000000001"/>
    <s v="#17"/>
    <x v="0"/>
    <n v="25.51"/>
    <n v="10.37"/>
    <n v="7.57"/>
    <n v="57.304900000000004"/>
    <x v="7"/>
    <s v="NA10QB"/>
    <n v="3"/>
    <s v="NA10QB-3"/>
  </r>
  <r>
    <x v="14"/>
    <x v="12"/>
    <s v="9.30-26.56"/>
    <n v="17.93"/>
    <s v="#28"/>
    <x v="1"/>
    <n v="26.56"/>
    <n v="9.3000000000000007"/>
    <n v="8.6300000000000008"/>
    <n v="74.476900000000001"/>
    <x v="1"/>
    <s v="perry4RB"/>
    <n v="1"/>
    <s v="perry4RB-1"/>
  </r>
  <r>
    <x v="1"/>
    <x v="29"/>
    <s v="9.98-25.72"/>
    <n v="17.850000000000001"/>
    <s v="#12"/>
    <x v="0"/>
    <n v="25.72"/>
    <n v="9.98"/>
    <n v="7.87"/>
    <n v="61.936900000000001"/>
    <x v="7"/>
    <s v="NA16QB"/>
    <n v="5"/>
    <s v="NA16QB-5"/>
  </r>
  <r>
    <x v="14"/>
    <x v="28"/>
    <s v="10.87-24.81"/>
    <n v="17.84"/>
    <s v="#32"/>
    <x v="0"/>
    <n v="24.81"/>
    <n v="10.87"/>
    <n v="6.97"/>
    <n v="48.5809"/>
    <x v="7"/>
    <s v="NA4QB"/>
    <n v="3"/>
    <s v="NA4QB-3"/>
  </r>
  <r>
    <x v="14"/>
    <x v="25"/>
    <s v="9.99-25.59"/>
    <n v="17.79"/>
    <s v="#18"/>
    <x v="1"/>
    <n v="25.59"/>
    <n v="9.99"/>
    <n v="7.8"/>
    <n v="60.84"/>
    <x v="0"/>
    <s v="matty4RB"/>
    <n v="1"/>
    <s v="matty4RB-1"/>
  </r>
  <r>
    <x v="14"/>
    <x v="21"/>
    <s v="9.23-26.33"/>
    <n v="17.78"/>
    <s v="#23"/>
    <x v="0"/>
    <n v="26.33"/>
    <n v="9.23"/>
    <n v="8.5500000000000007"/>
    <n v="73.102500000000006"/>
    <x v="10"/>
    <s v="aj4QB"/>
    <n v="1"/>
    <s v="aj4QB-1"/>
  </r>
  <r>
    <x v="1"/>
    <x v="6"/>
    <s v="11.26-24.28"/>
    <n v="17.77"/>
    <s v="#7"/>
    <x v="0"/>
    <n v="24.28"/>
    <n v="11.26"/>
    <n v="6.51"/>
    <n v="42.380099999999999"/>
    <x v="2"/>
    <s v="devon16QB"/>
    <n v="2"/>
    <s v="devon16QB-2"/>
  </r>
  <r>
    <x v="9"/>
    <x v="6"/>
    <s v="11.34-24.12"/>
    <n v="17.73"/>
    <s v="#13"/>
    <x v="0"/>
    <n v="24.12"/>
    <n v="11.34"/>
    <n v="6.39"/>
    <n v="40.832099999999997"/>
    <x v="2"/>
    <s v="devon15QB"/>
    <n v="2"/>
    <s v="devon15QB-2"/>
  </r>
  <r>
    <x v="0"/>
    <x v="11"/>
    <s v="10.23-25.19"/>
    <n v="17.71"/>
    <s v="#6"/>
    <x v="0"/>
    <n v="25.19"/>
    <n v="10.23"/>
    <n v="7.48"/>
    <n v="55.950400000000002"/>
    <x v="0"/>
    <s v="matty17QB"/>
    <n v="2"/>
    <s v="matty17QB-2"/>
  </r>
  <r>
    <x v="11"/>
    <x v="12"/>
    <s v="8.52-26.90"/>
    <n v="17.71"/>
    <s v="#6"/>
    <x v="1"/>
    <n v="26.9"/>
    <n v="8.52"/>
    <n v="9.19"/>
    <n v="84.456100000000006"/>
    <x v="1"/>
    <s v="perry14RB"/>
    <n v="1"/>
    <s v="perry14RB-1"/>
  </r>
  <r>
    <x v="14"/>
    <x v="13"/>
    <s v="9.36-26.06"/>
    <n v="17.71"/>
    <s v="#26"/>
    <x v="0"/>
    <n v="26.06"/>
    <n v="9.36"/>
    <n v="8.35"/>
    <n v="69.722499999999997"/>
    <x v="5"/>
    <s v="cory4QB"/>
    <n v="2"/>
    <s v="cory4QB-2"/>
  </r>
  <r>
    <x v="12"/>
    <x v="25"/>
    <s v="10.19-25.23"/>
    <n v="17.71"/>
    <s v="#25"/>
    <x v="1"/>
    <n v="25.23"/>
    <n v="10.19"/>
    <n v="7.52"/>
    <n v="56.550400000000003"/>
    <x v="0"/>
    <s v="matty5RB"/>
    <n v="1"/>
    <s v="matty5RB-1"/>
  </r>
  <r>
    <x v="10"/>
    <x v="3"/>
    <s v="9.14-26.28"/>
    <n v="17.71"/>
    <s v="#13"/>
    <x v="1"/>
    <n v="26.28"/>
    <n v="9.14"/>
    <n v="8.57"/>
    <n v="73.444900000000004"/>
    <x v="3"/>
    <s v="chad2RB"/>
    <n v="1"/>
    <s v="chad2RB-1"/>
  </r>
  <r>
    <x v="14"/>
    <x v="27"/>
    <s v="9.92-25.48"/>
    <n v="17.7"/>
    <s v="#22"/>
    <x v="1"/>
    <n v="25.48"/>
    <n v="9.92"/>
    <n v="7.78"/>
    <n v="60.528399999999998"/>
    <x v="4"/>
    <s v="scott4RB"/>
    <n v="1"/>
    <s v="scott4RB-1"/>
  </r>
  <r>
    <x v="5"/>
    <x v="15"/>
    <s v="10.24-25.16"/>
    <n v="17.7"/>
    <s v="#15"/>
    <x v="0"/>
    <n v="25.16"/>
    <n v="10.24"/>
    <n v="7.46"/>
    <n v="55.651600000000002"/>
    <x v="8"/>
    <s v="comp13QB"/>
    <n v="1"/>
    <s v="comp13QB-1"/>
  </r>
  <r>
    <x v="3"/>
    <x v="9"/>
    <s v="10.35-25.03"/>
    <n v="17.690000000000001"/>
    <s v="#3"/>
    <x v="0"/>
    <n v="25.03"/>
    <n v="10.35"/>
    <n v="7.34"/>
    <n v="53.875599999999999"/>
    <x v="6"/>
    <s v="lucas11QB"/>
    <n v="1"/>
    <s v="lucas11QB-1"/>
  </r>
  <r>
    <x v="4"/>
    <x v="18"/>
    <s v="12.09-23.27"/>
    <n v="17.68"/>
    <s v="#32"/>
    <x v="0"/>
    <n v="23.27"/>
    <n v="12.09"/>
    <n v="5.59"/>
    <n v="31.248100000000001"/>
    <x v="4"/>
    <s v="scott7QB"/>
    <n v="2"/>
    <s v="scott7QB-2"/>
  </r>
  <r>
    <x v="15"/>
    <x v="25"/>
    <s v="8.51-26.69"/>
    <n v="17.600000000000001"/>
    <s v="#25"/>
    <x v="1"/>
    <n v="26.69"/>
    <n v="8.51"/>
    <n v="9.09"/>
    <n v="82.628100000000003"/>
    <x v="0"/>
    <s v="matty10RB"/>
    <n v="1"/>
    <s v="matty10RB-1"/>
  </r>
  <r>
    <x v="12"/>
    <x v="26"/>
    <s v="10.25-24.89"/>
    <n v="17.57"/>
    <s v="#27"/>
    <x v="0"/>
    <n v="24.89"/>
    <n v="10.25"/>
    <n v="7.32"/>
    <n v="53.5824"/>
    <x v="7"/>
    <s v="NA5QB"/>
    <n v="3"/>
    <s v="NA5QB-3"/>
  </r>
  <r>
    <x v="16"/>
    <x v="12"/>
    <s v="7.14-28.00"/>
    <n v="17.57"/>
    <s v="#8"/>
    <x v="1"/>
    <n v="28"/>
    <n v="7.14"/>
    <n v="10.43"/>
    <n v="108.78489999999999"/>
    <x v="1"/>
    <s v="perry3RB"/>
    <n v="1"/>
    <s v="perry3RB-1"/>
  </r>
  <r>
    <x v="2"/>
    <x v="6"/>
    <s v="10.81-24.29"/>
    <n v="17.55"/>
    <s v="#12"/>
    <x v="0"/>
    <n v="24.29"/>
    <n v="10.81"/>
    <n v="6.74"/>
    <n v="45.427599999999998"/>
    <x v="2"/>
    <s v="devon9QB"/>
    <n v="2"/>
    <s v="devon9QB-2"/>
  </r>
  <r>
    <x v="0"/>
    <x v="28"/>
    <s v="11.16-23.92"/>
    <n v="17.54"/>
    <s v="#20"/>
    <x v="0"/>
    <n v="23.92"/>
    <n v="11.16"/>
    <n v="6.38"/>
    <n v="40.7044"/>
    <x v="7"/>
    <s v="NA17QB"/>
    <n v="7"/>
    <s v="NA17QB-7"/>
  </r>
  <r>
    <x v="16"/>
    <x v="17"/>
    <s v="10.88-24.20"/>
    <n v="17.54"/>
    <s v="#11"/>
    <x v="0"/>
    <n v="24.2"/>
    <n v="10.88"/>
    <n v="6.66"/>
    <n v="44.355600000000003"/>
    <x v="7"/>
    <s v="NA3QB"/>
    <n v="2"/>
    <s v="NA3QB-2"/>
  </r>
  <r>
    <x v="11"/>
    <x v="25"/>
    <s v="8.05-27.03"/>
    <n v="17.54"/>
    <s v="#19"/>
    <x v="1"/>
    <n v="27.03"/>
    <n v="8.0500000000000007"/>
    <n v="9.49"/>
    <n v="90.060100000000006"/>
    <x v="0"/>
    <s v="matty14RB"/>
    <n v="1"/>
    <s v="matty14RB-1"/>
  </r>
  <r>
    <x v="16"/>
    <x v="10"/>
    <s v="10.25-24.77"/>
    <n v="17.510000000000002"/>
    <s v="#14"/>
    <x v="0"/>
    <n v="24.77"/>
    <n v="10.25"/>
    <n v="7.26"/>
    <n v="52.707599999999999"/>
    <x v="7"/>
    <s v="NA3QB"/>
    <n v="3"/>
    <s v="NA3QB-3"/>
  </r>
  <r>
    <x v="1"/>
    <x v="20"/>
    <s v="9.35-25.67"/>
    <n v="17.510000000000002"/>
    <s v="#16"/>
    <x v="0"/>
    <n v="25.67"/>
    <n v="9.35"/>
    <n v="8.16"/>
    <n v="66.585599999999999"/>
    <x v="7"/>
    <s v="NA16QB"/>
    <n v="6"/>
    <s v="NA16QB-6"/>
  </r>
  <r>
    <x v="5"/>
    <x v="14"/>
    <s v="10.87-24.15"/>
    <n v="17.510000000000002"/>
    <s v="#7"/>
    <x v="0"/>
    <n v="24.15"/>
    <n v="10.87"/>
    <n v="6.64"/>
    <n v="44.089599999999997"/>
    <x v="7"/>
    <s v="NA13QB"/>
    <n v="5"/>
    <s v="NA13QB-5"/>
  </r>
  <r>
    <x v="12"/>
    <x v="27"/>
    <s v="9.03-25.87"/>
    <n v="17.45"/>
    <s v="#12"/>
    <x v="1"/>
    <n v="25.87"/>
    <n v="9.0299999999999994"/>
    <n v="8.42"/>
    <n v="70.8964"/>
    <x v="4"/>
    <s v="scott5RB"/>
    <n v="1"/>
    <s v="scott5RB-1"/>
  </r>
  <r>
    <x v="9"/>
    <x v="28"/>
    <s v="10.28-24.62"/>
    <n v="17.45"/>
    <s v="#2"/>
    <x v="0"/>
    <n v="24.62"/>
    <n v="10.28"/>
    <n v="7.17"/>
    <n v="51.408900000000003"/>
    <x v="7"/>
    <s v="NA15QB"/>
    <n v="5"/>
    <s v="NA15QB-5"/>
  </r>
  <r>
    <x v="1"/>
    <x v="13"/>
    <s v="10.78-24.12"/>
    <n v="17.45"/>
    <s v="#13"/>
    <x v="0"/>
    <n v="24.12"/>
    <n v="10.78"/>
    <n v="6.67"/>
    <n v="44.488900000000001"/>
    <x v="5"/>
    <s v="cory16QB"/>
    <n v="2"/>
    <s v="cory16QB-2"/>
  </r>
  <r>
    <x v="14"/>
    <x v="26"/>
    <s v="9.41-25.45"/>
    <n v="17.43"/>
    <s v="#28"/>
    <x v="0"/>
    <n v="25.45"/>
    <n v="9.41"/>
    <n v="8.02"/>
    <n v="64.320400000000006"/>
    <x v="7"/>
    <s v="NA4QB"/>
    <n v="4"/>
    <s v="NA4QB-4"/>
  </r>
  <r>
    <x v="10"/>
    <x v="13"/>
    <s v="10.43-24.41"/>
    <n v="17.420000000000002"/>
    <s v="#13"/>
    <x v="0"/>
    <n v="24.41"/>
    <n v="10.43"/>
    <n v="6.99"/>
    <n v="48.860100000000003"/>
    <x v="5"/>
    <s v="cory2QB"/>
    <n v="2"/>
    <s v="cory2QB-2"/>
  </r>
  <r>
    <x v="9"/>
    <x v="19"/>
    <s v="9.75-25.09"/>
    <n v="17.420000000000002"/>
    <s v="#18"/>
    <x v="0"/>
    <n v="25.09"/>
    <n v="9.75"/>
    <n v="7.67"/>
    <n v="58.828899999999997"/>
    <x v="9"/>
    <s v="seth15QB"/>
    <n v="1"/>
    <s v="seth15QB-1"/>
  </r>
  <r>
    <x v="9"/>
    <x v="24"/>
    <s v="11.33-23.49"/>
    <n v="17.41"/>
    <s v="#23"/>
    <x v="0"/>
    <n v="23.49"/>
    <n v="11.33"/>
    <n v="6.08"/>
    <n v="36.9664"/>
    <x v="8"/>
    <s v="comp15QB"/>
    <n v="2"/>
    <s v="comp15QB-2"/>
  </r>
  <r>
    <x v="12"/>
    <x v="12"/>
    <s v="8.79-26.03"/>
    <n v="17.41"/>
    <s v="#27"/>
    <x v="1"/>
    <n v="26.03"/>
    <n v="8.7899999999999991"/>
    <n v="8.6199999999999992"/>
    <n v="74.304400000000001"/>
    <x v="1"/>
    <s v="perry5RB"/>
    <n v="1"/>
    <s v="perry5RB-1"/>
  </r>
  <r>
    <x v="6"/>
    <x v="28"/>
    <s v="11.22-23.54"/>
    <n v="17.38"/>
    <s v="#15"/>
    <x v="0"/>
    <n v="23.54"/>
    <n v="11.22"/>
    <n v="6.16"/>
    <n v="37.945599999999999"/>
    <x v="7"/>
    <s v="NA12QB"/>
    <n v="6"/>
    <s v="NA12QB-6"/>
  </r>
  <r>
    <x v="11"/>
    <x v="13"/>
    <s v="9.74-24.96"/>
    <n v="17.350000000000001"/>
    <s v="#5"/>
    <x v="0"/>
    <n v="24.96"/>
    <n v="9.74"/>
    <n v="7.61"/>
    <n v="57.912100000000002"/>
    <x v="5"/>
    <s v="cory14QB"/>
    <n v="2"/>
    <s v="cory14QB-2"/>
  </r>
  <r>
    <x v="14"/>
    <x v="17"/>
    <s v="9.79-24.83"/>
    <n v="17.309999999999999"/>
    <s v="#10"/>
    <x v="0"/>
    <n v="24.83"/>
    <n v="9.7899999999999991"/>
    <n v="7.52"/>
    <n v="56.550400000000003"/>
    <x v="7"/>
    <s v="NA4QB"/>
    <n v="5"/>
    <s v="NA4QB-5"/>
  </r>
  <r>
    <x v="9"/>
    <x v="33"/>
    <s v="9.94-24.68"/>
    <n v="17.309999999999999"/>
    <s v="#21"/>
    <x v="0"/>
    <n v="24.68"/>
    <n v="9.94"/>
    <n v="7.37"/>
    <n v="54.316899999999997"/>
    <x v="7"/>
    <s v="NA15QB"/>
    <n v="6"/>
    <s v="NA15QB-6"/>
  </r>
  <r>
    <x v="2"/>
    <x v="27"/>
    <s v="5.88-28.68"/>
    <n v="17.28"/>
    <s v="#10"/>
    <x v="1"/>
    <n v="28.68"/>
    <n v="5.88"/>
    <n v="11.4"/>
    <n v="129.96"/>
    <x v="4"/>
    <s v="scott9RB"/>
    <n v="1"/>
    <s v="scott9RB-1"/>
  </r>
  <r>
    <x v="3"/>
    <x v="4"/>
    <s v="9.74-24.78"/>
    <n v="17.260000000000002"/>
    <s v="#12"/>
    <x v="0"/>
    <n v="24.78"/>
    <n v="9.74"/>
    <n v="7.52"/>
    <n v="56.550400000000003"/>
    <x v="3"/>
    <s v="chad11QB"/>
    <n v="1"/>
    <s v="chad11QB-1"/>
  </r>
  <r>
    <x v="1"/>
    <x v="27"/>
    <s v="6.26-28.22"/>
    <n v="17.239999999999998"/>
    <s v="#15"/>
    <x v="1"/>
    <n v="28.22"/>
    <n v="6.26"/>
    <n v="10.98"/>
    <n v="120.5604"/>
    <x v="4"/>
    <s v="scott16RB"/>
    <n v="1"/>
    <s v="scott16RB-1"/>
  </r>
  <r>
    <x v="6"/>
    <x v="27"/>
    <s v="5.94-28.50"/>
    <n v="17.22"/>
    <s v="#29"/>
    <x v="1"/>
    <n v="28.5"/>
    <n v="5.94"/>
    <n v="11.28"/>
    <n v="127.2384"/>
    <x v="4"/>
    <s v="scott12RB"/>
    <n v="1"/>
    <s v="scott12RB-1"/>
  </r>
  <r>
    <x v="9"/>
    <x v="29"/>
    <s v="9.22-25.22"/>
    <n v="17.22"/>
    <s v="#22"/>
    <x v="0"/>
    <n v="25.22"/>
    <n v="9.2200000000000006"/>
    <n v="8"/>
    <n v="64"/>
    <x v="7"/>
    <s v="NA15QB"/>
    <n v="7"/>
    <s v="NA15QB-7"/>
  </r>
  <r>
    <x v="2"/>
    <x v="29"/>
    <s v="9.64-24.78"/>
    <n v="17.21"/>
    <s v="#23"/>
    <x v="0"/>
    <n v="24.78"/>
    <n v="9.64"/>
    <n v="7.57"/>
    <n v="57.304900000000004"/>
    <x v="7"/>
    <s v="NA9QB"/>
    <n v="5"/>
    <s v="NA9QB-5"/>
  </r>
  <r>
    <x v="15"/>
    <x v="33"/>
    <s v="9.43-24.99"/>
    <n v="17.21"/>
    <s v="#28"/>
    <x v="0"/>
    <n v="24.99"/>
    <n v="9.43"/>
    <n v="7.78"/>
    <n v="60.528399999999998"/>
    <x v="7"/>
    <s v="NA10QB"/>
    <n v="4"/>
    <s v="NA10QB-4"/>
  </r>
  <r>
    <x v="1"/>
    <x v="28"/>
    <s v="10.16-24.24"/>
    <n v="17.2"/>
    <s v="#25"/>
    <x v="0"/>
    <n v="24.24"/>
    <n v="10.16"/>
    <n v="7.04"/>
    <n v="49.561599999999999"/>
    <x v="7"/>
    <s v="NA16QB"/>
    <n v="7"/>
    <s v="NA16QB-7"/>
  </r>
  <r>
    <x v="4"/>
    <x v="25"/>
    <s v="8.90-25.50"/>
    <n v="17.2"/>
    <s v="#14"/>
    <x v="1"/>
    <n v="25.5"/>
    <n v="8.9"/>
    <n v="8.3000000000000007"/>
    <n v="68.89"/>
    <x v="0"/>
    <s v="matty7RB"/>
    <n v="1"/>
    <s v="matty7RB-1"/>
  </r>
  <r>
    <x v="2"/>
    <x v="32"/>
    <s v="10.11-24.25"/>
    <n v="17.18"/>
    <s v="#32"/>
    <x v="0"/>
    <n v="24.25"/>
    <n v="10.11"/>
    <n v="7.07"/>
    <n v="49.984900000000003"/>
    <x v="1"/>
    <s v="perry9QB"/>
    <n v="1"/>
    <s v="perry9QB-1"/>
  </r>
  <r>
    <x v="9"/>
    <x v="34"/>
    <s v="10.82-23.52"/>
    <n v="17.170000000000002"/>
    <s v="#27"/>
    <x v="0"/>
    <n v="23.52"/>
    <n v="10.82"/>
    <n v="6.35"/>
    <n v="40.322499999999998"/>
    <x v="7"/>
    <s v="NA15QB"/>
    <n v="8"/>
    <s v="NA15QB-8"/>
  </r>
  <r>
    <x v="5"/>
    <x v="32"/>
    <s v="9.62-24.70"/>
    <n v="17.16"/>
    <s v="#27"/>
    <x v="0"/>
    <n v="24.7"/>
    <n v="9.6199999999999992"/>
    <n v="7.54"/>
    <n v="56.851599999999998"/>
    <x v="1"/>
    <s v="perry13QB"/>
    <n v="2"/>
    <s v="perry13QB-2"/>
  </r>
  <r>
    <x v="11"/>
    <x v="16"/>
    <s v="10.33-23.99"/>
    <n v="17.16"/>
    <s v="#32"/>
    <x v="0"/>
    <n v="23.99"/>
    <n v="10.33"/>
    <n v="6.83"/>
    <n v="46.648899999999998"/>
    <x v="7"/>
    <s v="NA14QB"/>
    <n v="4"/>
    <s v="NA14QB-4"/>
  </r>
  <r>
    <x v="3"/>
    <x v="29"/>
    <s v="9.63-24.69"/>
    <n v="17.16"/>
    <s v="#9"/>
    <x v="0"/>
    <n v="24.69"/>
    <n v="9.6300000000000008"/>
    <n v="7.53"/>
    <n v="56.700899999999997"/>
    <x v="7"/>
    <s v="NA11QB"/>
    <n v="6"/>
    <s v="NA11QB-6"/>
  </r>
  <r>
    <x v="4"/>
    <x v="33"/>
    <s v="9.93-24.39"/>
    <n v="17.16"/>
    <s v="#17"/>
    <x v="0"/>
    <n v="24.39"/>
    <n v="9.93"/>
    <n v="7.23"/>
    <n v="52.2729"/>
    <x v="7"/>
    <s v="NA7QB"/>
    <n v="4"/>
    <s v="NA7QB-4"/>
  </r>
  <r>
    <x v="13"/>
    <x v="21"/>
    <s v="10.18-24.02"/>
    <n v="17.100000000000001"/>
    <s v="#8"/>
    <x v="0"/>
    <n v="24.02"/>
    <n v="10.18"/>
    <n v="6.92"/>
    <n v="47.886400000000002"/>
    <x v="10"/>
    <s v="aj8QB"/>
    <n v="1"/>
    <s v="aj8QB-1"/>
  </r>
  <r>
    <x v="10"/>
    <x v="28"/>
    <s v="10.59-23.57"/>
    <n v="17.079999999999998"/>
    <s v="#25"/>
    <x v="0"/>
    <n v="23.57"/>
    <n v="10.59"/>
    <n v="6.49"/>
    <n v="42.120100000000001"/>
    <x v="7"/>
    <s v="NA2QB"/>
    <n v="2"/>
    <s v="NA2QB-2"/>
  </r>
  <r>
    <x v="11"/>
    <x v="28"/>
    <s v="10.35-23.79"/>
    <n v="17.07"/>
    <s v="#18"/>
    <x v="0"/>
    <n v="23.79"/>
    <n v="10.35"/>
    <n v="6.72"/>
    <n v="45.1584"/>
    <x v="7"/>
    <s v="NA14QB"/>
    <n v="5"/>
    <s v="NA14QB-5"/>
  </r>
  <r>
    <x v="3"/>
    <x v="24"/>
    <s v="10.48-23.64"/>
    <n v="17.059999999999999"/>
    <s v="#14"/>
    <x v="0"/>
    <n v="23.64"/>
    <n v="10.48"/>
    <n v="6.58"/>
    <n v="43.296399999999998"/>
    <x v="8"/>
    <s v="comp11QB"/>
    <n v="2"/>
    <s v="comp11QB-2"/>
  </r>
  <r>
    <x v="0"/>
    <x v="27"/>
    <s v="6.19-27.89"/>
    <n v="17.04"/>
    <s v="#7"/>
    <x v="1"/>
    <n v="27.89"/>
    <n v="6.19"/>
    <n v="10.85"/>
    <n v="117.7225"/>
    <x v="4"/>
    <s v="scott17RB"/>
    <n v="2"/>
    <s v="scott17RB-2"/>
  </r>
  <r>
    <x v="8"/>
    <x v="12"/>
    <s v="7.76-26.22"/>
    <n v="16.989999999999998"/>
    <s v="#3"/>
    <x v="1"/>
    <n v="26.22"/>
    <n v="7.76"/>
    <n v="9.23"/>
    <n v="85.192899999999995"/>
    <x v="1"/>
    <s v="perry6RB"/>
    <n v="1"/>
    <s v="perry6RB-1"/>
  </r>
  <r>
    <x v="10"/>
    <x v="10"/>
    <s v="9.69-24.25"/>
    <n v="16.97"/>
    <s v="#17"/>
    <x v="0"/>
    <n v="24.25"/>
    <n v="9.69"/>
    <n v="7.28"/>
    <n v="52.998399999999997"/>
    <x v="7"/>
    <s v="NA2QB"/>
    <n v="3"/>
    <s v="NA2QB-3"/>
  </r>
  <r>
    <x v="4"/>
    <x v="4"/>
    <s v="10.56-23.38"/>
    <n v="16.97"/>
    <s v="#3"/>
    <x v="0"/>
    <n v="23.38"/>
    <n v="10.56"/>
    <n v="6.41"/>
    <n v="41.088099999999997"/>
    <x v="3"/>
    <s v="chad7QB"/>
    <n v="1"/>
    <s v="chad7QB-1"/>
  </r>
  <r>
    <x v="10"/>
    <x v="12"/>
    <s v="9.07-24.87"/>
    <n v="16.97"/>
    <s v="#22"/>
    <x v="1"/>
    <n v="24.87"/>
    <n v="9.07"/>
    <n v="7.9"/>
    <n v="62.41"/>
    <x v="1"/>
    <s v="perry2RB"/>
    <n v="1"/>
    <s v="perry2RB-1"/>
  </r>
  <r>
    <x v="3"/>
    <x v="27"/>
    <s v="6.20-27.64"/>
    <n v="16.920000000000002"/>
    <s v="#6"/>
    <x v="1"/>
    <n v="27.64"/>
    <n v="6.2"/>
    <n v="10.72"/>
    <n v="114.91840000000001"/>
    <x v="4"/>
    <s v="scott11RB"/>
    <n v="1"/>
    <s v="scott11RB-1"/>
  </r>
  <r>
    <x v="12"/>
    <x v="24"/>
    <s v="9.73-24.11"/>
    <n v="16.920000000000002"/>
    <s v="#17"/>
    <x v="0"/>
    <n v="24.11"/>
    <n v="9.73"/>
    <n v="7.19"/>
    <n v="51.696100000000001"/>
    <x v="8"/>
    <s v="comp5QB"/>
    <n v="2"/>
    <s v="comp5QB-2"/>
  </r>
  <r>
    <x v="6"/>
    <x v="26"/>
    <s v="8.97-24.87"/>
    <n v="16.920000000000002"/>
    <s v="#12"/>
    <x v="0"/>
    <n v="24.87"/>
    <n v="8.9700000000000006"/>
    <n v="7.95"/>
    <n v="63.202500000000001"/>
    <x v="7"/>
    <s v="NA12QB"/>
    <n v="7"/>
    <s v="NA12QB-7"/>
  </r>
  <r>
    <x v="16"/>
    <x v="15"/>
    <s v="9.44-24.38"/>
    <n v="16.91"/>
    <s v="#10"/>
    <x v="0"/>
    <n v="24.38"/>
    <n v="9.44"/>
    <n v="7.47"/>
    <n v="55.800899999999999"/>
    <x v="8"/>
    <s v="comp3QB"/>
    <n v="1"/>
    <s v="comp3QB-1"/>
  </r>
  <r>
    <x v="4"/>
    <x v="16"/>
    <s v="9.62-24.06"/>
    <n v="16.84"/>
    <s v="#30"/>
    <x v="0"/>
    <n v="24.06"/>
    <n v="9.6199999999999992"/>
    <n v="7.22"/>
    <n v="52.128399999999999"/>
    <x v="7"/>
    <s v="NA7QB"/>
    <n v="5"/>
    <s v="NA7QB-5"/>
  </r>
  <r>
    <x v="9"/>
    <x v="21"/>
    <s v="9.94-23.74"/>
    <n v="16.84"/>
    <s v="#11"/>
    <x v="0"/>
    <n v="23.74"/>
    <n v="9.94"/>
    <n v="6.9"/>
    <n v="47.61"/>
    <x v="10"/>
    <s v="aj15QB"/>
    <n v="1"/>
    <s v="aj15QB-1"/>
  </r>
  <r>
    <x v="5"/>
    <x v="16"/>
    <s v="9.81-23.81"/>
    <n v="16.809999999999999"/>
    <s v="#29"/>
    <x v="0"/>
    <n v="23.81"/>
    <n v="9.81"/>
    <n v="7"/>
    <n v="49"/>
    <x v="7"/>
    <s v="NA13QB"/>
    <n v="6"/>
    <s v="NA13QB-6"/>
  </r>
  <r>
    <x v="10"/>
    <x v="35"/>
    <s v="9.90-23.70"/>
    <n v="16.8"/>
    <s v="#31"/>
    <x v="0"/>
    <n v="23.7"/>
    <n v="9.9"/>
    <n v="6.9"/>
    <n v="47.61"/>
    <x v="7"/>
    <s v="NA2QB"/>
    <n v="4"/>
    <s v="NA2QB-4"/>
  </r>
  <r>
    <x v="16"/>
    <x v="36"/>
    <s v="9.61-23.99"/>
    <n v="16.8"/>
    <s v="#4"/>
    <x v="0"/>
    <n v="23.99"/>
    <n v="9.61"/>
    <n v="7.19"/>
    <n v="51.696100000000001"/>
    <x v="7"/>
    <s v="NA3QB"/>
    <n v="4"/>
    <s v="NA3QB-4"/>
  </r>
  <r>
    <x v="1"/>
    <x v="21"/>
    <s v="10.02-23.54"/>
    <n v="16.78"/>
    <s v="#26"/>
    <x v="0"/>
    <n v="23.54"/>
    <n v="10.02"/>
    <n v="6.76"/>
    <n v="45.697600000000001"/>
    <x v="10"/>
    <s v="aj16QB"/>
    <n v="1"/>
    <s v="aj16QB-1"/>
  </r>
  <r>
    <x v="3"/>
    <x v="37"/>
    <s v="10.32-23.20"/>
    <n v="16.760000000000002"/>
    <s v="#25"/>
    <x v="0"/>
    <n v="23.2"/>
    <n v="10.32"/>
    <n v="6.44"/>
    <n v="41.473599999999998"/>
    <x v="7"/>
    <s v="NA11QB"/>
    <n v="7"/>
    <s v="NA11QB-7"/>
  </r>
  <r>
    <x v="5"/>
    <x v="11"/>
    <s v="9.24-24.20"/>
    <n v="16.72"/>
    <s v="#6"/>
    <x v="0"/>
    <n v="24.2"/>
    <n v="9.24"/>
    <n v="7.48"/>
    <n v="55.950400000000002"/>
    <x v="0"/>
    <s v="matty13QB"/>
    <n v="2"/>
    <s v="matty13QB-2"/>
  </r>
  <r>
    <x v="16"/>
    <x v="13"/>
    <s v="9.21-24.23"/>
    <n v="16.72"/>
    <s v="#20"/>
    <x v="0"/>
    <n v="24.23"/>
    <n v="9.2100000000000009"/>
    <n v="7.51"/>
    <n v="56.400100000000002"/>
    <x v="5"/>
    <s v="cory3QB"/>
    <n v="2"/>
    <s v="cory3QB-2"/>
  </r>
  <r>
    <x v="13"/>
    <x v="23"/>
    <s v="8.54-24.90"/>
    <n v="16.72"/>
    <s v="#16"/>
    <x v="1"/>
    <n v="24.9"/>
    <n v="8.5399999999999991"/>
    <n v="8.18"/>
    <n v="66.912400000000005"/>
    <x v="4"/>
    <s v="scott8RB"/>
    <n v="1"/>
    <s v="scott8RB-1"/>
  </r>
  <r>
    <x v="12"/>
    <x v="19"/>
    <s v="9.56-23.82"/>
    <n v="16.690000000000001"/>
    <s v="#10"/>
    <x v="0"/>
    <n v="23.82"/>
    <n v="9.56"/>
    <n v="7.13"/>
    <n v="50.8369"/>
    <x v="9"/>
    <s v="seth5QB"/>
    <n v="1"/>
    <s v="seth5QB-1"/>
  </r>
  <r>
    <x v="7"/>
    <x v="29"/>
    <s v="9.18-24.16"/>
    <n v="16.670000000000002"/>
    <s v="#24"/>
    <x v="0"/>
    <n v="24.16"/>
    <n v="9.18"/>
    <n v="7.49"/>
    <n v="56.100099999999998"/>
    <x v="7"/>
    <s v="NA1QB"/>
    <n v="2"/>
    <s v="NA1QB-2"/>
  </r>
  <r>
    <x v="7"/>
    <x v="25"/>
    <s v="7.44-25.88"/>
    <n v="16.66"/>
    <s v="#32"/>
    <x v="1"/>
    <n v="25.88"/>
    <n v="7.44"/>
    <n v="9.2200000000000006"/>
    <n v="85.008399999999995"/>
    <x v="0"/>
    <s v="matty1RB"/>
    <n v="2"/>
    <s v="matty1RB-2"/>
  </r>
  <r>
    <x v="15"/>
    <x v="18"/>
    <s v="10.10-23.20"/>
    <n v="16.649999999999999"/>
    <s v="#30"/>
    <x v="0"/>
    <n v="23.2"/>
    <n v="10.1"/>
    <n v="6.55"/>
    <n v="42.902500000000003"/>
    <x v="4"/>
    <s v="scott10QB"/>
    <n v="2"/>
    <s v="scott10QB-2"/>
  </r>
  <r>
    <x v="8"/>
    <x v="38"/>
    <s v="9.80-23.50"/>
    <n v="16.649999999999999"/>
    <s v="#27"/>
    <x v="0"/>
    <n v="23.5"/>
    <n v="9.8000000000000007"/>
    <n v="6.85"/>
    <n v="46.922499999999999"/>
    <x v="7"/>
    <s v="NA6QB"/>
    <n v="4"/>
    <s v="NA6QB-4"/>
  </r>
  <r>
    <x v="4"/>
    <x v="1"/>
    <s v="10.11-23.17"/>
    <n v="16.64"/>
    <s v="#7"/>
    <x v="0"/>
    <n v="23.17"/>
    <n v="10.11"/>
    <n v="6.53"/>
    <n v="42.640900000000002"/>
    <x v="1"/>
    <s v="perry7QB"/>
    <n v="2"/>
    <s v="perry7QB-2"/>
  </r>
  <r>
    <x v="9"/>
    <x v="30"/>
    <s v="9.59-23.67"/>
    <n v="16.63"/>
    <s v="#14"/>
    <x v="0"/>
    <n v="23.67"/>
    <n v="9.59"/>
    <n v="7.04"/>
    <n v="49.561599999999999"/>
    <x v="7"/>
    <s v="NA15QB"/>
    <n v="9"/>
    <s v="NA15QB-9"/>
  </r>
  <r>
    <x v="7"/>
    <x v="9"/>
    <s v="9.62-23.54"/>
    <n v="16.579999999999998"/>
    <s v="#2"/>
    <x v="0"/>
    <n v="23.54"/>
    <n v="9.6199999999999992"/>
    <n v="6.96"/>
    <n v="48.441600000000001"/>
    <x v="6"/>
    <s v="lucas1QB"/>
    <n v="2"/>
    <s v="lucas1QB-2"/>
  </r>
  <r>
    <x v="14"/>
    <x v="38"/>
    <s v="9.11-24.05"/>
    <n v="16.579999999999998"/>
    <s v="#21"/>
    <x v="0"/>
    <n v="24.05"/>
    <n v="9.11"/>
    <n v="7.47"/>
    <n v="55.800899999999999"/>
    <x v="7"/>
    <s v="NA4QB"/>
    <n v="6"/>
    <s v="NA4QB-6"/>
  </r>
  <r>
    <x v="11"/>
    <x v="39"/>
    <s v="8.83-24.23"/>
    <n v="16.53"/>
    <s v="#25"/>
    <x v="2"/>
    <n v="24.23"/>
    <n v="8.83"/>
    <n v="7.7"/>
    <n v="59.29"/>
    <x v="8"/>
    <s v="comp14WR"/>
    <n v="1"/>
    <s v="comp14WR-1"/>
  </r>
  <r>
    <x v="2"/>
    <x v="14"/>
    <s v="9.89-23.17"/>
    <n v="16.53"/>
    <s v="#7"/>
    <x v="0"/>
    <n v="23.17"/>
    <n v="9.89"/>
    <n v="6.64"/>
    <n v="44.089599999999997"/>
    <x v="7"/>
    <s v="NA9QB"/>
    <n v="6"/>
    <s v="NA9QB-6"/>
  </r>
  <r>
    <x v="1"/>
    <x v="33"/>
    <s v="9.11-23.89"/>
    <n v="16.5"/>
    <s v="#18"/>
    <x v="0"/>
    <n v="23.89"/>
    <n v="9.11"/>
    <n v="7.39"/>
    <n v="54.612099999999998"/>
    <x v="7"/>
    <s v="NA16QB"/>
    <n v="8"/>
    <s v="NA16QB-8"/>
  </r>
  <r>
    <x v="1"/>
    <x v="24"/>
    <s v="11.22-21.70"/>
    <n v="16.46"/>
    <s v="#22"/>
    <x v="0"/>
    <n v="21.7"/>
    <n v="11.22"/>
    <n v="5.24"/>
    <n v="27.457599999999999"/>
    <x v="8"/>
    <s v="comp16QB"/>
    <n v="2"/>
    <s v="comp16QB-2"/>
  </r>
  <r>
    <x v="3"/>
    <x v="28"/>
    <s v="10.08-22.84"/>
    <n v="16.46"/>
    <s v="#20"/>
    <x v="0"/>
    <n v="22.84"/>
    <n v="10.08"/>
    <n v="6.38"/>
    <n v="40.7044"/>
    <x v="7"/>
    <s v="NA11QB"/>
    <n v="8"/>
    <s v="NA11QB-8"/>
  </r>
  <r>
    <x v="3"/>
    <x v="21"/>
    <s v="10.32-22.58"/>
    <n v="16.45"/>
    <s v="#7"/>
    <x v="0"/>
    <n v="22.58"/>
    <n v="10.32"/>
    <n v="6.13"/>
    <n v="37.576900000000002"/>
    <x v="10"/>
    <s v="aj11QB"/>
    <n v="1"/>
    <s v="aj11QB-1"/>
  </r>
  <r>
    <x v="8"/>
    <x v="16"/>
    <s v="9.83-23.01"/>
    <n v="16.420000000000002"/>
    <s v="#14"/>
    <x v="0"/>
    <n v="23.01"/>
    <n v="9.83"/>
    <n v="6.59"/>
    <n v="43.428100000000001"/>
    <x v="7"/>
    <s v="NA6QB"/>
    <n v="5"/>
    <s v="NA6QB-5"/>
  </r>
  <r>
    <x v="10"/>
    <x v="36"/>
    <s v="9.60-23.20"/>
    <n v="16.399999999999999"/>
    <s v="#30"/>
    <x v="0"/>
    <n v="23.2"/>
    <n v="9.6"/>
    <n v="6.8"/>
    <n v="46.24"/>
    <x v="7"/>
    <s v="NA2QB"/>
    <n v="5"/>
    <s v="NA2QB-5"/>
  </r>
  <r>
    <x v="0"/>
    <x v="30"/>
    <s v="9.78-22.94"/>
    <n v="16.36"/>
    <s v="#23"/>
    <x v="0"/>
    <n v="22.94"/>
    <n v="9.7799999999999994"/>
    <n v="6.58"/>
    <n v="43.296399999999998"/>
    <x v="7"/>
    <s v="NA17QB"/>
    <n v="8"/>
    <s v="NA17QB-8"/>
  </r>
  <r>
    <x v="16"/>
    <x v="40"/>
    <s v="9.22-23.50"/>
    <n v="16.36"/>
    <s v="#25"/>
    <x v="0"/>
    <n v="23.5"/>
    <n v="9.2200000000000006"/>
    <n v="7.14"/>
    <n v="50.979599999999998"/>
    <x v="7"/>
    <s v="NA3QB"/>
    <n v="5"/>
    <s v="NA3QB-5"/>
  </r>
  <r>
    <x v="6"/>
    <x v="25"/>
    <s v="7.99-24.69"/>
    <n v="16.34"/>
    <s v="#13"/>
    <x v="1"/>
    <n v="24.69"/>
    <n v="7.99"/>
    <n v="8.35"/>
    <n v="69.722499999999997"/>
    <x v="0"/>
    <s v="matty12RB"/>
    <n v="1"/>
    <s v="matty12RB-1"/>
  </r>
  <r>
    <x v="15"/>
    <x v="23"/>
    <s v="8.89-23.77"/>
    <n v="16.329999999999998"/>
    <s v="#13"/>
    <x v="1"/>
    <n v="23.77"/>
    <n v="8.89"/>
    <n v="7.44"/>
    <n v="55.3536"/>
    <x v="4"/>
    <s v="scott10RB"/>
    <n v="1"/>
    <s v="scott10RB-1"/>
  </r>
  <r>
    <x v="5"/>
    <x v="28"/>
    <s v="9.98-22.62"/>
    <n v="16.3"/>
    <s v="#19"/>
    <x v="0"/>
    <n v="22.62"/>
    <n v="9.98"/>
    <n v="6.32"/>
    <n v="39.942399999999999"/>
    <x v="7"/>
    <s v="NA13QB"/>
    <n v="7"/>
    <s v="NA13QB-7"/>
  </r>
  <r>
    <x v="8"/>
    <x v="20"/>
    <s v="8.47-24.09"/>
    <n v="16.28"/>
    <s v="#8"/>
    <x v="0"/>
    <n v="24.09"/>
    <n v="8.4700000000000006"/>
    <n v="7.81"/>
    <n v="60.996099999999998"/>
    <x v="7"/>
    <s v="NA6QB"/>
    <n v="6"/>
    <s v="NA6QB-6"/>
  </r>
  <r>
    <x v="0"/>
    <x v="19"/>
    <s v="8.71-23.77"/>
    <n v="16.239999999999998"/>
    <s v="#13"/>
    <x v="0"/>
    <n v="23.77"/>
    <n v="8.7100000000000009"/>
    <n v="7.53"/>
    <n v="56.700899999999997"/>
    <x v="9"/>
    <s v="seth17QB"/>
    <n v="1"/>
    <s v="seth17QB-1"/>
  </r>
  <r>
    <x v="1"/>
    <x v="32"/>
    <s v="8.52-23.92"/>
    <n v="16.22"/>
    <s v="#19"/>
    <x v="0"/>
    <n v="23.92"/>
    <n v="8.52"/>
    <n v="7.7"/>
    <n v="59.29"/>
    <x v="1"/>
    <s v="perry16QB"/>
    <n v="2"/>
    <s v="perry16QB-2"/>
  </r>
  <r>
    <x v="15"/>
    <x v="12"/>
    <s v="7.02-25.40"/>
    <n v="16.21"/>
    <s v="#6"/>
    <x v="1"/>
    <n v="25.4"/>
    <n v="7.02"/>
    <n v="9.19"/>
    <n v="84.456100000000006"/>
    <x v="1"/>
    <s v="perry10RB"/>
    <n v="1"/>
    <s v="perry10RB-1"/>
  </r>
  <r>
    <x v="14"/>
    <x v="10"/>
    <s v="9.45-22.95"/>
    <n v="16.2"/>
    <s v="#4"/>
    <x v="0"/>
    <n v="22.95"/>
    <n v="9.4499999999999993"/>
    <n v="6.75"/>
    <n v="45.5625"/>
    <x v="7"/>
    <s v="NA4QB"/>
    <n v="7"/>
    <s v="NA4QB-7"/>
  </r>
  <r>
    <x v="1"/>
    <x v="25"/>
    <s v="8.77-23.63"/>
    <n v="16.2"/>
    <s v="#1"/>
    <x v="1"/>
    <n v="23.63"/>
    <n v="8.77"/>
    <n v="7.43"/>
    <n v="55.204900000000002"/>
    <x v="0"/>
    <s v="matty16RB"/>
    <n v="1"/>
    <s v="matty16RB-1"/>
  </r>
  <r>
    <x v="9"/>
    <x v="20"/>
    <s v="9.03-23.35"/>
    <n v="16.190000000000001"/>
    <s v="#19"/>
    <x v="0"/>
    <n v="23.35"/>
    <n v="9.0299999999999994"/>
    <n v="7.16"/>
    <n v="51.265599999999999"/>
    <x v="7"/>
    <s v="NA15QB"/>
    <n v="10"/>
    <s v="NA15QB-10"/>
  </r>
  <r>
    <x v="2"/>
    <x v="19"/>
    <s v="8.94-23.44"/>
    <n v="16.190000000000001"/>
    <s v="#20"/>
    <x v="0"/>
    <n v="23.44"/>
    <n v="8.94"/>
    <n v="7.25"/>
    <n v="52.5625"/>
    <x v="9"/>
    <s v="seth9QB"/>
    <n v="1"/>
    <s v="seth9QB-1"/>
  </r>
  <r>
    <x v="6"/>
    <x v="33"/>
    <s v="8.36-23.92"/>
    <n v="16.14"/>
    <s v="#28"/>
    <x v="0"/>
    <n v="23.92"/>
    <n v="8.36"/>
    <n v="7.78"/>
    <n v="60.528399999999998"/>
    <x v="7"/>
    <s v="NA12QB"/>
    <n v="8"/>
    <s v="NA12QB-8"/>
  </r>
  <r>
    <x v="11"/>
    <x v="19"/>
    <s v="8.49-23.79"/>
    <n v="16.14"/>
    <s v="#26"/>
    <x v="0"/>
    <n v="23.79"/>
    <n v="8.49"/>
    <n v="7.65"/>
    <n v="58.522500000000001"/>
    <x v="9"/>
    <s v="seth14QB"/>
    <n v="1"/>
    <s v="seth14QB-1"/>
  </r>
  <r>
    <x v="15"/>
    <x v="32"/>
    <s v="8.63-23.63"/>
    <n v="16.13"/>
    <s v="#29"/>
    <x v="0"/>
    <n v="23.63"/>
    <n v="8.6300000000000008"/>
    <n v="7.5"/>
    <n v="56.25"/>
    <x v="1"/>
    <s v="perry10QB"/>
    <n v="2"/>
    <s v="perry10QB-2"/>
  </r>
  <r>
    <x v="14"/>
    <x v="40"/>
    <s v="10.73-21.45"/>
    <n v="16.09"/>
    <s v="#17"/>
    <x v="0"/>
    <n v="21.45"/>
    <n v="10.73"/>
    <n v="5.36"/>
    <n v="28.729600000000001"/>
    <x v="7"/>
    <s v="NA4QB"/>
    <n v="8"/>
    <s v="NA4QB-8"/>
  </r>
  <r>
    <x v="16"/>
    <x v="27"/>
    <s v="7.33-24.79"/>
    <n v="16.059999999999999"/>
    <s v="#29"/>
    <x v="1"/>
    <n v="24.79"/>
    <n v="7.33"/>
    <n v="8.73"/>
    <n v="76.212900000000005"/>
    <x v="4"/>
    <s v="scott3RB"/>
    <n v="1"/>
    <s v="scott3RB-1"/>
  </r>
  <r>
    <x v="0"/>
    <x v="24"/>
    <s v="9.47-22.63"/>
    <n v="16.05"/>
    <s v="#14"/>
    <x v="0"/>
    <n v="22.63"/>
    <n v="9.4700000000000006"/>
    <n v="6.58"/>
    <n v="43.296399999999998"/>
    <x v="8"/>
    <s v="comp17QB"/>
    <n v="2"/>
    <s v="comp17QB-2"/>
  </r>
  <r>
    <x v="9"/>
    <x v="23"/>
    <s v="7.49-24.59"/>
    <n v="16.04"/>
    <s v="#20"/>
    <x v="1"/>
    <n v="24.59"/>
    <n v="7.49"/>
    <n v="8.5500000000000007"/>
    <n v="73.102500000000006"/>
    <x v="4"/>
    <s v="scott15RB"/>
    <n v="1"/>
    <s v="scott15RB-1"/>
  </r>
  <r>
    <x v="2"/>
    <x v="21"/>
    <s v="9.27-22.79"/>
    <n v="16.03"/>
    <s v="#26"/>
    <x v="0"/>
    <n v="22.79"/>
    <n v="9.27"/>
    <n v="6.76"/>
    <n v="45.697600000000001"/>
    <x v="10"/>
    <s v="aj9QB"/>
    <n v="1"/>
    <s v="aj9QB-1"/>
  </r>
  <r>
    <x v="5"/>
    <x v="25"/>
    <s v="7.75-24.29"/>
    <n v="16.02"/>
    <s v="#15"/>
    <x v="1"/>
    <n v="24.29"/>
    <n v="7.75"/>
    <n v="8.27"/>
    <n v="68.392899999999997"/>
    <x v="0"/>
    <s v="matty13RB"/>
    <n v="1"/>
    <s v="matty13RB-1"/>
  </r>
  <r>
    <x v="10"/>
    <x v="25"/>
    <s v="6.82-25.20"/>
    <n v="16.010000000000002"/>
    <s v="#11"/>
    <x v="1"/>
    <n v="25.2"/>
    <n v="6.82"/>
    <n v="9.19"/>
    <n v="84.456100000000006"/>
    <x v="0"/>
    <s v="matty2RB"/>
    <n v="1"/>
    <s v="matty2RB-1"/>
  </r>
  <r>
    <x v="8"/>
    <x v="33"/>
    <s v="8.40-23.60"/>
    <n v="16"/>
    <s v="#24"/>
    <x v="0"/>
    <n v="23.6"/>
    <n v="8.4"/>
    <n v="7.6"/>
    <n v="57.76"/>
    <x v="7"/>
    <s v="NA6QB"/>
    <n v="7"/>
    <s v="NA6QB-7"/>
  </r>
  <r>
    <x v="9"/>
    <x v="11"/>
    <s v="7.57-24.37"/>
    <n v="15.97"/>
    <s v="#3"/>
    <x v="0"/>
    <n v="24.37"/>
    <n v="7.57"/>
    <n v="8.4"/>
    <n v="70.56"/>
    <x v="0"/>
    <s v="matty15QB"/>
    <n v="2"/>
    <s v="matty15QB-2"/>
  </r>
  <r>
    <x v="6"/>
    <x v="40"/>
    <s v="9.17-22.75"/>
    <n v="15.96"/>
    <s v="#9"/>
    <x v="0"/>
    <n v="22.75"/>
    <n v="9.17"/>
    <n v="6.79"/>
    <n v="46.104100000000003"/>
    <x v="7"/>
    <s v="NA12QB"/>
    <n v="9"/>
    <s v="NA12QB-9"/>
  </r>
  <r>
    <x v="14"/>
    <x v="20"/>
    <s v="8.79-23.05"/>
    <n v="15.92"/>
    <s v="#2"/>
    <x v="0"/>
    <n v="23.05"/>
    <n v="8.7899999999999991"/>
    <n v="7.13"/>
    <n v="50.8369"/>
    <x v="7"/>
    <s v="NA4QB"/>
    <n v="9"/>
    <s v="NA4QB-9"/>
  </r>
  <r>
    <x v="4"/>
    <x v="27"/>
    <s v="5.13-26.69"/>
    <n v="15.91"/>
    <s v="#1"/>
    <x v="1"/>
    <n v="26.69"/>
    <n v="5.13"/>
    <n v="10.78"/>
    <n v="116.2084"/>
    <x v="4"/>
    <s v="scott7RB"/>
    <n v="1"/>
    <s v="scott7RB-1"/>
  </r>
  <r>
    <x v="9"/>
    <x v="27"/>
    <s v="5.06-26.76"/>
    <n v="15.91"/>
    <s v="#7"/>
    <x v="1"/>
    <n v="26.76"/>
    <n v="5.0599999999999996"/>
    <n v="10.85"/>
    <n v="117.7225"/>
    <x v="4"/>
    <s v="scott15RB"/>
    <n v="2"/>
    <s v="scott15RB-2"/>
  </r>
  <r>
    <x v="8"/>
    <x v="28"/>
    <s v="9.09-22.69"/>
    <n v="15.89"/>
    <s v="#10"/>
    <x v="0"/>
    <n v="22.69"/>
    <n v="9.09"/>
    <n v="6.8"/>
    <n v="46.24"/>
    <x v="7"/>
    <s v="NA6QB"/>
    <n v="8"/>
    <s v="NA6QB-8"/>
  </r>
  <r>
    <x v="6"/>
    <x v="21"/>
    <s v="10.15-21.63"/>
    <n v="15.89"/>
    <s v="#5"/>
    <x v="0"/>
    <n v="21.63"/>
    <n v="10.15"/>
    <n v="5.74"/>
    <n v="32.947600000000001"/>
    <x v="10"/>
    <s v="aj12QB"/>
    <n v="1"/>
    <s v="aj12QB-1"/>
  </r>
  <r>
    <x v="13"/>
    <x v="27"/>
    <s v="5.12-26.64"/>
    <n v="15.88"/>
    <s v="#26"/>
    <x v="1"/>
    <n v="26.64"/>
    <n v="5.12"/>
    <n v="10.76"/>
    <n v="115.77760000000001"/>
    <x v="4"/>
    <s v="scott8RB"/>
    <n v="2"/>
    <s v="scott8RB-2"/>
  </r>
  <r>
    <x v="10"/>
    <x v="24"/>
    <s v="7.08-24.68"/>
    <n v="15.88"/>
    <s v="#12"/>
    <x v="0"/>
    <n v="24.68"/>
    <n v="7.08"/>
    <n v="8.8000000000000007"/>
    <n v="77.44"/>
    <x v="8"/>
    <s v="comp2QB"/>
    <n v="2"/>
    <s v="comp2QB-2"/>
  </r>
  <r>
    <x v="15"/>
    <x v="41"/>
    <s v="9.15-22.61"/>
    <n v="15.88"/>
    <s v="#22"/>
    <x v="0"/>
    <n v="22.61"/>
    <n v="9.15"/>
    <n v="6.73"/>
    <n v="45.292900000000003"/>
    <x v="7"/>
    <s v="NA10QB"/>
    <n v="5"/>
    <s v="NA10QB-5"/>
  </r>
  <r>
    <x v="4"/>
    <x v="23"/>
    <s v="7.83-23.93"/>
    <n v="15.88"/>
    <s v="#19"/>
    <x v="1"/>
    <n v="23.93"/>
    <n v="7.83"/>
    <n v="8.0500000000000007"/>
    <n v="64.802499999999995"/>
    <x v="4"/>
    <s v="scott7RB"/>
    <n v="2"/>
    <s v="scott7RB-2"/>
  </r>
  <r>
    <x v="15"/>
    <x v="27"/>
    <s v="4.91-26.83"/>
    <n v="15.87"/>
    <s v="#19"/>
    <x v="1"/>
    <n v="26.83"/>
    <n v="4.91"/>
    <n v="10.96"/>
    <n v="120.1216"/>
    <x v="4"/>
    <s v="scott10RB"/>
    <n v="2"/>
    <s v="scott10RB-2"/>
  </r>
  <r>
    <x v="14"/>
    <x v="39"/>
    <s v="7.74-24.00"/>
    <n v="15.87"/>
    <s v="#1"/>
    <x v="2"/>
    <n v="24"/>
    <n v="7.74"/>
    <n v="8.1300000000000008"/>
    <n v="66.096900000000005"/>
    <x v="8"/>
    <s v="comp4WR"/>
    <n v="1"/>
    <s v="comp4WR-1"/>
  </r>
  <r>
    <x v="14"/>
    <x v="33"/>
    <s v="9.48-22.26"/>
    <n v="15.87"/>
    <s v="#31"/>
    <x v="0"/>
    <n v="22.26"/>
    <n v="9.48"/>
    <n v="6.39"/>
    <n v="40.832099999999997"/>
    <x v="7"/>
    <s v="NA4QB"/>
    <n v="10"/>
    <s v="NA4QB-10"/>
  </r>
  <r>
    <x v="5"/>
    <x v="27"/>
    <s v="4.70-27.02"/>
    <n v="15.86"/>
    <s v="#23"/>
    <x v="1"/>
    <n v="27.02"/>
    <n v="4.7"/>
    <n v="11.16"/>
    <n v="124.54559999999999"/>
    <x v="4"/>
    <s v="scott13RB"/>
    <n v="2"/>
    <s v="scott13RB-2"/>
  </r>
  <r>
    <x v="8"/>
    <x v="23"/>
    <s v="6.36-25.36"/>
    <n v="15.86"/>
    <s v="#17"/>
    <x v="1"/>
    <n v="25.36"/>
    <n v="6.36"/>
    <n v="9.5"/>
    <n v="90.25"/>
    <x v="4"/>
    <s v="scott6RB"/>
    <n v="1"/>
    <s v="scott6RB-1"/>
  </r>
  <r>
    <x v="7"/>
    <x v="33"/>
    <s v="9.69-21.99"/>
    <n v="15.84"/>
    <s v="#21"/>
    <x v="0"/>
    <n v="21.99"/>
    <n v="9.69"/>
    <n v="6.15"/>
    <n v="37.822499999999998"/>
    <x v="7"/>
    <s v="NA1QB"/>
    <n v="3"/>
    <s v="NA1QB-3"/>
  </r>
  <r>
    <x v="11"/>
    <x v="21"/>
    <s v="10.14-21.52"/>
    <n v="15.83"/>
    <s v="#13"/>
    <x v="0"/>
    <n v="21.52"/>
    <n v="10.14"/>
    <n v="5.69"/>
    <n v="32.376100000000001"/>
    <x v="10"/>
    <s v="aj14QB"/>
    <n v="1"/>
    <s v="aj14QB-1"/>
  </r>
  <r>
    <x v="11"/>
    <x v="27"/>
    <s v="4.41-27.21"/>
    <n v="15.81"/>
    <s v="#31"/>
    <x v="1"/>
    <n v="27.21"/>
    <n v="4.41"/>
    <n v="11.4"/>
    <n v="129.96"/>
    <x v="4"/>
    <s v="scott14RB"/>
    <n v="1"/>
    <s v="scott14RB-1"/>
  </r>
  <r>
    <x v="5"/>
    <x v="18"/>
    <s v="8.75-22.85"/>
    <n v="15.8"/>
    <s v="#16"/>
    <x v="0"/>
    <n v="22.85"/>
    <n v="8.75"/>
    <n v="7.05"/>
    <n v="49.702500000000001"/>
    <x v="4"/>
    <s v="scott13QB"/>
    <n v="2"/>
    <s v="scott13QB-2"/>
  </r>
  <r>
    <x v="4"/>
    <x v="26"/>
    <s v="7.82-23.72"/>
    <n v="15.77"/>
    <s v="#12"/>
    <x v="0"/>
    <n v="23.72"/>
    <n v="7.82"/>
    <n v="7.95"/>
    <n v="63.202500000000001"/>
    <x v="7"/>
    <s v="NA7QB"/>
    <n v="6"/>
    <s v="NA7QB-6"/>
  </r>
  <r>
    <x v="4"/>
    <x v="24"/>
    <s v="10.01-21.51"/>
    <n v="15.76"/>
    <s v="#11"/>
    <x v="0"/>
    <n v="21.51"/>
    <n v="10.01"/>
    <n v="5.75"/>
    <n v="33.0625"/>
    <x v="8"/>
    <s v="comp7QB"/>
    <n v="2"/>
    <s v="comp7QB-2"/>
  </r>
  <r>
    <x v="9"/>
    <x v="38"/>
    <s v="9.12-22.40"/>
    <n v="15.76"/>
    <s v="#28"/>
    <x v="0"/>
    <n v="22.4"/>
    <n v="9.1199999999999992"/>
    <n v="6.64"/>
    <n v="44.089599999999997"/>
    <x v="7"/>
    <s v="NA15QB"/>
    <n v="11"/>
    <s v="NA15QB-11"/>
  </r>
  <r>
    <x v="1"/>
    <x v="30"/>
    <s v="9.29-22.19"/>
    <n v="15.74"/>
    <s v="#9"/>
    <x v="0"/>
    <n v="22.19"/>
    <n v="9.2899999999999991"/>
    <n v="6.45"/>
    <n v="41.602499999999999"/>
    <x v="7"/>
    <s v="NA16QB"/>
    <n v="9"/>
    <s v="NA16QB-9"/>
  </r>
  <r>
    <x v="9"/>
    <x v="14"/>
    <s v="7.71-23.73"/>
    <n v="15.72"/>
    <s v="#1"/>
    <x v="0"/>
    <n v="23.73"/>
    <n v="7.71"/>
    <n v="8.01"/>
    <n v="64.1601"/>
    <x v="7"/>
    <s v="NA15QB"/>
    <n v="12"/>
    <s v="NA15QB-12"/>
  </r>
  <r>
    <x v="3"/>
    <x v="16"/>
    <s v="8.80-22.64"/>
    <n v="15.72"/>
    <s v="#19"/>
    <x v="0"/>
    <n v="22.64"/>
    <n v="8.8000000000000007"/>
    <n v="6.92"/>
    <n v="47.886400000000002"/>
    <x v="7"/>
    <s v="NA11QB"/>
    <n v="9"/>
    <s v="NA11QB-9"/>
  </r>
  <r>
    <x v="12"/>
    <x v="29"/>
    <s v="8.82-22.60"/>
    <n v="15.71"/>
    <s v="#11"/>
    <x v="0"/>
    <n v="22.6"/>
    <n v="8.82"/>
    <n v="6.89"/>
    <n v="47.472099999999998"/>
    <x v="7"/>
    <s v="NA5QB"/>
    <n v="4"/>
    <s v="NA5QB-4"/>
  </r>
  <r>
    <x v="3"/>
    <x v="23"/>
    <s v="8.25-23.07"/>
    <n v="15.66"/>
    <s v="#10"/>
    <x v="1"/>
    <n v="23.07"/>
    <n v="8.25"/>
    <n v="7.41"/>
    <n v="54.908099999999997"/>
    <x v="4"/>
    <s v="scott11RB"/>
    <n v="2"/>
    <s v="scott11RB-2"/>
  </r>
  <r>
    <x v="15"/>
    <x v="20"/>
    <s v="8.98-22.32"/>
    <n v="15.65"/>
    <s v="#20"/>
    <x v="0"/>
    <n v="22.32"/>
    <n v="8.98"/>
    <n v="6.67"/>
    <n v="44.488900000000001"/>
    <x v="7"/>
    <s v="NA10QB"/>
    <n v="6"/>
    <s v="NA10QB-6"/>
  </r>
  <r>
    <x v="16"/>
    <x v="30"/>
    <s v="8.74-22.54"/>
    <n v="15.64"/>
    <s v="#27"/>
    <x v="0"/>
    <n v="22.54"/>
    <n v="8.74"/>
    <n v="6.9"/>
    <n v="47.61"/>
    <x v="7"/>
    <s v="NA3QB"/>
    <n v="6"/>
    <s v="NA3QB-6"/>
  </r>
  <r>
    <x v="15"/>
    <x v="19"/>
    <s v="8.50-22.76"/>
    <n v="15.63"/>
    <s v="#10"/>
    <x v="0"/>
    <n v="22.76"/>
    <n v="8.5"/>
    <n v="7.13"/>
    <n v="50.8369"/>
    <x v="9"/>
    <s v="seth10QB"/>
    <n v="1"/>
    <s v="seth10QB-1"/>
  </r>
  <r>
    <x v="7"/>
    <x v="22"/>
    <s v="9.31-21.95"/>
    <n v="15.63"/>
    <s v="#30"/>
    <x v="0"/>
    <n v="21.95"/>
    <n v="9.31"/>
    <n v="6.32"/>
    <n v="39.942399999999999"/>
    <x v="7"/>
    <s v="NA1QB"/>
    <n v="4"/>
    <s v="NA1QB-4"/>
  </r>
  <r>
    <x v="14"/>
    <x v="42"/>
    <s v="9.07-22.17"/>
    <n v="15.62"/>
    <s v="#18"/>
    <x v="2"/>
    <n v="22.17"/>
    <n v="9.07"/>
    <n v="6.55"/>
    <n v="42.902500000000003"/>
    <x v="3"/>
    <s v="chad4WR"/>
    <n v="1"/>
    <s v="chad4WR-1"/>
  </r>
  <r>
    <x v="1"/>
    <x v="39"/>
    <s v="8.24-22.98"/>
    <n v="15.61"/>
    <s v="#30"/>
    <x v="2"/>
    <n v="22.98"/>
    <n v="8.24"/>
    <n v="7.37"/>
    <n v="54.316899999999997"/>
    <x v="8"/>
    <s v="comp16WR"/>
    <n v="1"/>
    <s v="comp16WR-1"/>
  </r>
  <r>
    <x v="12"/>
    <x v="28"/>
    <s v="8.78-22.44"/>
    <n v="15.61"/>
    <s v="#4"/>
    <x v="0"/>
    <n v="22.44"/>
    <n v="8.7799999999999994"/>
    <n v="6.83"/>
    <n v="46.648899999999998"/>
    <x v="7"/>
    <s v="NA5QB"/>
    <n v="5"/>
    <s v="NA5QB-5"/>
  </r>
  <r>
    <x v="11"/>
    <x v="43"/>
    <s v="8.06-23.14"/>
    <n v="15.6"/>
    <s v="#9"/>
    <x v="2"/>
    <n v="23.14"/>
    <n v="8.06"/>
    <n v="7.54"/>
    <n v="56.851599999999998"/>
    <x v="10"/>
    <s v="aj14WR"/>
    <n v="1"/>
    <s v="aj14WR-1"/>
  </r>
  <r>
    <x v="15"/>
    <x v="30"/>
    <s v="9.13-22.07"/>
    <n v="15.6"/>
    <s v="#18"/>
    <x v="0"/>
    <n v="22.07"/>
    <n v="9.1300000000000008"/>
    <n v="6.47"/>
    <n v="41.860900000000001"/>
    <x v="7"/>
    <s v="NA10QB"/>
    <n v="7"/>
    <s v="NA10QB-7"/>
  </r>
  <r>
    <x v="12"/>
    <x v="39"/>
    <s v="7.81-23.37"/>
    <n v="15.59"/>
    <s v="#29"/>
    <x v="2"/>
    <n v="23.37"/>
    <n v="7.81"/>
    <n v="7.78"/>
    <n v="60.528399999999998"/>
    <x v="8"/>
    <s v="comp5WR"/>
    <n v="1"/>
    <s v="comp5WR-1"/>
  </r>
  <r>
    <x v="10"/>
    <x v="26"/>
    <s v="8.32-22.86"/>
    <n v="15.59"/>
    <s v="#22"/>
    <x v="0"/>
    <n v="22.86"/>
    <n v="8.32"/>
    <n v="7.27"/>
    <n v="52.852899999999998"/>
    <x v="7"/>
    <s v="NA2QB"/>
    <n v="6"/>
    <s v="NA2QB-6"/>
  </r>
  <r>
    <x v="9"/>
    <x v="39"/>
    <s v="7.85-23.31"/>
    <n v="15.58"/>
    <s v="#17"/>
    <x v="2"/>
    <n v="23.31"/>
    <n v="7.85"/>
    <n v="7.73"/>
    <n v="59.752899999999997"/>
    <x v="8"/>
    <s v="comp15WR"/>
    <n v="1"/>
    <s v="comp15WR-1"/>
  </r>
  <r>
    <x v="11"/>
    <x v="23"/>
    <s v="6.98-24.16"/>
    <n v="15.57"/>
    <s v="#1"/>
    <x v="1"/>
    <n v="24.16"/>
    <n v="6.98"/>
    <n v="8.59"/>
    <n v="73.7881"/>
    <x v="4"/>
    <s v="scott14RB"/>
    <n v="2"/>
    <s v="scott14RB-2"/>
  </r>
  <r>
    <x v="1"/>
    <x v="23"/>
    <s v="7.28-23.86"/>
    <n v="15.57"/>
    <s v="#8"/>
    <x v="1"/>
    <n v="23.86"/>
    <n v="7.28"/>
    <n v="8.2899999999999991"/>
    <n v="68.724100000000007"/>
    <x v="4"/>
    <s v="scott16RB"/>
    <n v="2"/>
    <s v="scott16RB-2"/>
  </r>
  <r>
    <x v="6"/>
    <x v="24"/>
    <s v="9.43-21.69"/>
    <n v="15.56"/>
    <s v="#24"/>
    <x v="0"/>
    <n v="21.69"/>
    <n v="9.43"/>
    <n v="6.13"/>
    <n v="37.576900000000002"/>
    <x v="8"/>
    <s v="comp12QB"/>
    <n v="2"/>
    <s v="comp12QB-2"/>
  </r>
  <r>
    <x v="11"/>
    <x v="20"/>
    <s v="8.10-23.02"/>
    <n v="15.56"/>
    <s v="#15"/>
    <x v="0"/>
    <n v="23.02"/>
    <n v="8.1"/>
    <n v="7.46"/>
    <n v="55.651600000000002"/>
    <x v="7"/>
    <s v="NA14QB"/>
    <n v="6"/>
    <s v="NA14QB-6"/>
  </r>
  <r>
    <x v="11"/>
    <x v="40"/>
    <s v="9.56-21.56"/>
    <n v="15.56"/>
    <s v="#17"/>
    <x v="0"/>
    <n v="21.56"/>
    <n v="9.56"/>
    <n v="6"/>
    <n v="36"/>
    <x v="7"/>
    <s v="NA14QB"/>
    <n v="7"/>
    <s v="NA14QB-7"/>
  </r>
  <r>
    <x v="12"/>
    <x v="44"/>
    <s v="8.07-23.01"/>
    <n v="15.54"/>
    <s v="#22"/>
    <x v="1"/>
    <n v="23.01"/>
    <n v="8.07"/>
    <n v="7.47"/>
    <n v="55.800899999999999"/>
    <x v="2"/>
    <s v="devon5RB"/>
    <n v="1"/>
    <s v="devon5RB-1"/>
  </r>
  <r>
    <x v="4"/>
    <x v="29"/>
    <s v="8.47-22.61"/>
    <n v="15.54"/>
    <s v="#20"/>
    <x v="0"/>
    <n v="22.61"/>
    <n v="8.4700000000000006"/>
    <n v="7.07"/>
    <n v="49.984900000000003"/>
    <x v="7"/>
    <s v="NA7QB"/>
    <n v="7"/>
    <s v="NA7QB-7"/>
  </r>
  <r>
    <x v="6"/>
    <x v="18"/>
    <s v="8.73-22.33"/>
    <n v="15.53"/>
    <s v="#2"/>
    <x v="0"/>
    <n v="22.33"/>
    <n v="8.73"/>
    <n v="6.8"/>
    <n v="46.24"/>
    <x v="4"/>
    <s v="scott12QB"/>
    <n v="2"/>
    <s v="scott12QB-2"/>
  </r>
  <r>
    <x v="13"/>
    <x v="45"/>
    <s v="5.99-25.05"/>
    <n v="15.52"/>
    <s v="#12"/>
    <x v="1"/>
    <n v="25.05"/>
    <n v="5.99"/>
    <n v="9.5299999999999994"/>
    <n v="90.820899999999995"/>
    <x v="6"/>
    <s v="lucas8RB"/>
    <n v="1"/>
    <s v="lucas8RB-1"/>
  </r>
  <r>
    <x v="2"/>
    <x v="16"/>
    <s v="9.38-21.64"/>
    <n v="15.51"/>
    <s v="#15"/>
    <x v="0"/>
    <n v="21.64"/>
    <n v="9.3800000000000008"/>
    <n v="6.13"/>
    <n v="37.576900000000002"/>
    <x v="7"/>
    <s v="NA9QB"/>
    <n v="7"/>
    <s v="NA9QB-7"/>
  </r>
  <r>
    <x v="4"/>
    <x v="30"/>
    <s v="9.84-21.14"/>
    <n v="15.49"/>
    <s v="#29"/>
    <x v="0"/>
    <n v="21.14"/>
    <n v="9.84"/>
    <n v="5.65"/>
    <n v="31.922499999999999"/>
    <x v="7"/>
    <s v="NA7QB"/>
    <n v="8"/>
    <s v="NA7QB-8"/>
  </r>
  <r>
    <x v="8"/>
    <x v="32"/>
    <s v="8.19-22.75"/>
    <n v="15.47"/>
    <s v="#20"/>
    <x v="0"/>
    <n v="22.75"/>
    <n v="8.19"/>
    <n v="7.28"/>
    <n v="52.998399999999997"/>
    <x v="1"/>
    <s v="perry6QB"/>
    <n v="2"/>
    <s v="perry6QB-2"/>
  </r>
  <r>
    <x v="16"/>
    <x v="25"/>
    <s v="7.61-23.33"/>
    <n v="15.47"/>
    <s v="#10"/>
    <x v="1"/>
    <n v="23.33"/>
    <n v="7.61"/>
    <n v="7.86"/>
    <n v="61.779600000000002"/>
    <x v="0"/>
    <s v="matty3RB"/>
    <n v="1"/>
    <s v="matty3RB-1"/>
  </r>
  <r>
    <x v="12"/>
    <x v="23"/>
    <s v="6.94-23.96"/>
    <n v="15.45"/>
    <s v="#3"/>
    <x v="1"/>
    <n v="23.96"/>
    <n v="6.94"/>
    <n v="8.51"/>
    <n v="72.420100000000005"/>
    <x v="4"/>
    <s v="scott5RB"/>
    <n v="2"/>
    <s v="scott5RB-2"/>
  </r>
  <r>
    <x v="10"/>
    <x v="30"/>
    <s v="8.88-21.96"/>
    <n v="15.42"/>
    <s v="#23"/>
    <x v="0"/>
    <n v="21.96"/>
    <n v="8.8800000000000008"/>
    <n v="6.54"/>
    <n v="42.771599999999999"/>
    <x v="7"/>
    <s v="NA2QB"/>
    <n v="7"/>
    <s v="NA2QB-7"/>
  </r>
  <r>
    <x v="6"/>
    <x v="32"/>
    <s v="7.69-23.09"/>
    <n v="15.39"/>
    <s v="#19"/>
    <x v="0"/>
    <n v="23.09"/>
    <n v="7.69"/>
    <n v="7.7"/>
    <n v="59.29"/>
    <x v="1"/>
    <s v="perry12QB"/>
    <n v="2"/>
    <s v="perry12QB-2"/>
  </r>
  <r>
    <x v="10"/>
    <x v="6"/>
    <s v="9.70-21.06"/>
    <n v="15.38"/>
    <s v="#7"/>
    <x v="0"/>
    <n v="21.06"/>
    <n v="9.6999999999999993"/>
    <n v="5.68"/>
    <n v="32.2624"/>
    <x v="2"/>
    <s v="devon2QB"/>
    <n v="2"/>
    <s v="devon2QB-2"/>
  </r>
  <r>
    <x v="6"/>
    <x v="19"/>
    <s v="7.83-22.93"/>
    <n v="15.38"/>
    <s v="#7"/>
    <x v="0"/>
    <n v="22.93"/>
    <n v="7.83"/>
    <n v="7.55"/>
    <n v="57.002499999999998"/>
    <x v="9"/>
    <s v="seth12QB"/>
    <n v="1"/>
    <s v="seth12QB-1"/>
  </r>
  <r>
    <x v="16"/>
    <x v="39"/>
    <s v="6.70-24.00"/>
    <n v="15.35"/>
    <s v="#31"/>
    <x v="2"/>
    <n v="24"/>
    <n v="6.7"/>
    <n v="8.65"/>
    <n v="74.822500000000005"/>
    <x v="8"/>
    <s v="comp3WR"/>
    <n v="1"/>
    <s v="comp3WR-1"/>
  </r>
  <r>
    <x v="12"/>
    <x v="38"/>
    <s v="8.47-22.23"/>
    <n v="15.35"/>
    <s v="#14"/>
    <x v="0"/>
    <n v="22.23"/>
    <n v="8.4700000000000006"/>
    <n v="6.88"/>
    <n v="47.334400000000002"/>
    <x v="7"/>
    <s v="NA5QB"/>
    <n v="6"/>
    <s v="NA5QB-6"/>
  </r>
  <r>
    <x v="8"/>
    <x v="46"/>
    <s v="6.42-24.26"/>
    <n v="15.34"/>
    <s v="#31"/>
    <x v="2"/>
    <n v="24.26"/>
    <n v="6.42"/>
    <n v="8.92"/>
    <n v="79.566400000000002"/>
    <x v="5"/>
    <s v="cory6WR"/>
    <n v="1"/>
    <s v="cory6WR-1"/>
  </r>
  <r>
    <x v="6"/>
    <x v="34"/>
    <s v="8.93-21.75"/>
    <n v="15.34"/>
    <s v="#17"/>
    <x v="0"/>
    <n v="21.75"/>
    <n v="8.93"/>
    <n v="6.41"/>
    <n v="41.088099999999997"/>
    <x v="7"/>
    <s v="NA12QB"/>
    <n v="10"/>
    <s v="NA12QB-10"/>
  </r>
  <r>
    <x v="12"/>
    <x v="43"/>
    <s v="7.93-22.69"/>
    <n v="15.31"/>
    <s v="#23"/>
    <x v="2"/>
    <n v="22.69"/>
    <n v="7.93"/>
    <n v="7.38"/>
    <n v="54.464399999999998"/>
    <x v="10"/>
    <s v="aj5WR"/>
    <n v="1"/>
    <s v="aj5WR-1"/>
  </r>
  <r>
    <x v="8"/>
    <x v="24"/>
    <s v="8.33-22.23"/>
    <n v="15.28"/>
    <s v="#4"/>
    <x v="0"/>
    <n v="22.23"/>
    <n v="8.33"/>
    <n v="6.95"/>
    <n v="48.302500000000002"/>
    <x v="8"/>
    <s v="comp6QB"/>
    <n v="2"/>
    <s v="comp6QB-2"/>
  </r>
  <r>
    <x v="13"/>
    <x v="43"/>
    <s v="7.34-23.22"/>
    <n v="15.28"/>
    <s v="#24"/>
    <x v="2"/>
    <n v="23.22"/>
    <n v="7.34"/>
    <n v="7.94"/>
    <n v="63.043599999999998"/>
    <x v="10"/>
    <s v="aj8WR"/>
    <n v="1"/>
    <s v="aj8WR-1"/>
  </r>
  <r>
    <x v="4"/>
    <x v="28"/>
    <s v="8.78-21.76"/>
    <n v="15.27"/>
    <s v="#13"/>
    <x v="0"/>
    <n v="21.76"/>
    <n v="8.7799999999999994"/>
    <n v="6.49"/>
    <n v="42.120100000000001"/>
    <x v="7"/>
    <s v="NA7QB"/>
    <n v="9"/>
    <s v="NA7QB-9"/>
  </r>
  <r>
    <x v="13"/>
    <x v="40"/>
    <s v="8.53-22.01"/>
    <n v="15.27"/>
    <s v="#27"/>
    <x v="0"/>
    <n v="22.01"/>
    <n v="8.5299999999999994"/>
    <n v="6.74"/>
    <n v="45.427599999999998"/>
    <x v="7"/>
    <s v="NA8QB"/>
    <n v="6"/>
    <s v="NA8QB-6"/>
  </r>
  <r>
    <x v="10"/>
    <x v="47"/>
    <s v="9.46-21.02"/>
    <n v="15.24"/>
    <s v="#27"/>
    <x v="0"/>
    <n v="21.02"/>
    <n v="9.4600000000000009"/>
    <n v="5.78"/>
    <n v="33.4084"/>
    <x v="7"/>
    <s v="NA2QB"/>
    <n v="8"/>
    <s v="NA2QB-8"/>
  </r>
  <r>
    <x v="13"/>
    <x v="38"/>
    <s v="8.26-22.22"/>
    <n v="15.24"/>
    <s v="#17"/>
    <x v="0"/>
    <n v="22.22"/>
    <n v="8.26"/>
    <n v="6.98"/>
    <n v="48.720399999999998"/>
    <x v="7"/>
    <s v="NA8QB"/>
    <n v="7"/>
    <s v="NA8QB-7"/>
  </r>
  <r>
    <x v="13"/>
    <x v="37"/>
    <s v="8.93-21.55"/>
    <n v="15.24"/>
    <s v="#18"/>
    <x v="0"/>
    <n v="21.55"/>
    <n v="8.93"/>
    <n v="6.31"/>
    <n v="39.816099999999999"/>
    <x v="7"/>
    <s v="NA8QB"/>
    <n v="8"/>
    <s v="NA8QB-8"/>
  </r>
  <r>
    <x v="0"/>
    <x v="38"/>
    <s v="8.20-22.26"/>
    <n v="15.23"/>
    <s v="#24"/>
    <x v="0"/>
    <n v="22.26"/>
    <n v="8.1999999999999993"/>
    <n v="7.03"/>
    <n v="49.420900000000003"/>
    <x v="7"/>
    <s v="NA17QB"/>
    <n v="9"/>
    <s v="NA17QB-9"/>
  </r>
  <r>
    <x v="7"/>
    <x v="6"/>
    <s v="8.93-21.53"/>
    <n v="15.23"/>
    <s v="#6"/>
    <x v="0"/>
    <n v="21.53"/>
    <n v="8.93"/>
    <n v="6.3"/>
    <n v="39.69"/>
    <x v="2"/>
    <s v="devon1QB"/>
    <n v="2"/>
    <s v="devon1QB-2"/>
  </r>
  <r>
    <x v="1"/>
    <x v="34"/>
    <s v="8.65-21.79"/>
    <n v="15.22"/>
    <s v="#21"/>
    <x v="0"/>
    <n v="21.79"/>
    <n v="8.65"/>
    <n v="6.57"/>
    <n v="43.164900000000003"/>
    <x v="7"/>
    <s v="NA16QB"/>
    <n v="10"/>
    <s v="NA16QB-10"/>
  </r>
  <r>
    <x v="0"/>
    <x v="16"/>
    <s v="8.71-21.67"/>
    <n v="15.19"/>
    <s v="#2"/>
    <x v="0"/>
    <n v="21.67"/>
    <n v="8.7100000000000009"/>
    <n v="6.48"/>
    <n v="41.990400000000001"/>
    <x v="7"/>
    <s v="NA17QB"/>
    <n v="10"/>
    <s v="NA17QB-10"/>
  </r>
  <r>
    <x v="12"/>
    <x v="42"/>
    <s v="8.34-22.00"/>
    <n v="15.17"/>
    <s v="#25"/>
    <x v="2"/>
    <n v="22"/>
    <n v="8.34"/>
    <n v="6.83"/>
    <n v="46.648899999999998"/>
    <x v="3"/>
    <s v="chad5WR"/>
    <n v="1"/>
    <s v="chad5WR-1"/>
  </r>
  <r>
    <x v="3"/>
    <x v="33"/>
    <s v="9.16-21.14"/>
    <n v="15.15"/>
    <s v="#26"/>
    <x v="0"/>
    <n v="21.14"/>
    <n v="9.16"/>
    <n v="5.99"/>
    <n v="35.880099999999999"/>
    <x v="7"/>
    <s v="NA11QB"/>
    <n v="10"/>
    <s v="NA11QB-10"/>
  </r>
  <r>
    <x v="11"/>
    <x v="37"/>
    <s v="8.94-21.32"/>
    <n v="15.13"/>
    <s v="#28"/>
    <x v="0"/>
    <n v="21.32"/>
    <n v="8.94"/>
    <n v="6.19"/>
    <n v="38.316099999999999"/>
    <x v="7"/>
    <s v="NA14QB"/>
    <n v="8"/>
    <s v="NA14QB-8"/>
  </r>
  <r>
    <x v="15"/>
    <x v="21"/>
    <s v="9.39-20.87"/>
    <n v="15.13"/>
    <s v="#5"/>
    <x v="0"/>
    <n v="20.87"/>
    <n v="9.39"/>
    <n v="5.74"/>
    <n v="32.947600000000001"/>
    <x v="10"/>
    <s v="aj10QB"/>
    <n v="1"/>
    <s v="aj10QB-1"/>
  </r>
  <r>
    <x v="5"/>
    <x v="33"/>
    <s v="7.82-22.44"/>
    <n v="15.13"/>
    <s v="#22"/>
    <x v="0"/>
    <n v="22.44"/>
    <n v="7.82"/>
    <n v="7.31"/>
    <n v="53.436100000000003"/>
    <x v="7"/>
    <s v="NA13QB"/>
    <n v="8"/>
    <s v="NA13QB-8"/>
  </r>
  <r>
    <x v="11"/>
    <x v="31"/>
    <s v="3.25-26.97"/>
    <n v="15.11"/>
    <s v="#28"/>
    <x v="1"/>
    <n v="26.97"/>
    <n v="3.25"/>
    <n v="11.86"/>
    <n v="140.65960000000001"/>
    <x v="0"/>
    <s v="matty14RB"/>
    <n v="2"/>
    <s v="matty14RB-2"/>
  </r>
  <r>
    <x v="14"/>
    <x v="48"/>
    <s v="7.21-22.99"/>
    <n v="15.1"/>
    <s v="#22"/>
    <x v="2"/>
    <n v="22.99"/>
    <n v="7.21"/>
    <n v="7.89"/>
    <n v="62.252099999999999"/>
    <x v="5"/>
    <s v="cory4WR"/>
    <n v="1"/>
    <s v="cory4WR-1"/>
  </r>
  <r>
    <x v="13"/>
    <x v="31"/>
    <s v="3.80-26.38"/>
    <n v="15.09"/>
    <s v="#18"/>
    <x v="1"/>
    <n v="26.38"/>
    <n v="3.8"/>
    <n v="11.29"/>
    <n v="127.4641"/>
    <x v="0"/>
    <s v="matty8RB"/>
    <n v="1"/>
    <s v="matty8RB-1"/>
  </r>
  <r>
    <x v="8"/>
    <x v="34"/>
    <s v="8.87-21.31"/>
    <n v="15.09"/>
    <s v="#9"/>
    <x v="0"/>
    <n v="21.31"/>
    <n v="8.8699999999999992"/>
    <n v="6.22"/>
    <n v="38.688400000000001"/>
    <x v="7"/>
    <s v="NA6QB"/>
    <n v="9"/>
    <s v="NA6QB-9"/>
  </r>
  <r>
    <x v="0"/>
    <x v="39"/>
    <s v="6.65-23.49"/>
    <n v="15.07"/>
    <s v="#19"/>
    <x v="2"/>
    <n v="23.49"/>
    <n v="6.65"/>
    <n v="8.42"/>
    <n v="70.8964"/>
    <x v="8"/>
    <s v="comp17WR"/>
    <n v="1"/>
    <s v="comp17WR-1"/>
  </r>
  <r>
    <x v="4"/>
    <x v="40"/>
    <s v="8.91-21.19"/>
    <n v="15.05"/>
    <s v="#28"/>
    <x v="0"/>
    <n v="21.19"/>
    <n v="8.91"/>
    <n v="6.14"/>
    <n v="37.699599999999997"/>
    <x v="7"/>
    <s v="NA7QB"/>
    <n v="10"/>
    <s v="NA7QB-10"/>
  </r>
  <r>
    <x v="13"/>
    <x v="1"/>
    <s v="6.62-23.46"/>
    <n v="15.04"/>
    <s v="#3"/>
    <x v="0"/>
    <n v="23.46"/>
    <n v="6.62"/>
    <n v="8.42"/>
    <n v="70.8964"/>
    <x v="1"/>
    <s v="perry8QB"/>
    <n v="1"/>
    <s v="perry8QB-1"/>
  </r>
  <r>
    <x v="7"/>
    <x v="26"/>
    <s v="6.65-23.43"/>
    <n v="15.04"/>
    <s v="#7"/>
    <x v="0"/>
    <n v="23.43"/>
    <n v="6.65"/>
    <n v="8.39"/>
    <n v="70.392099999999999"/>
    <x v="7"/>
    <s v="NA1QB"/>
    <n v="5"/>
    <s v="NA1QB-5"/>
  </r>
  <r>
    <x v="3"/>
    <x v="25"/>
    <s v="7.82-22.22"/>
    <n v="15.02"/>
    <s v="#16"/>
    <x v="1"/>
    <n v="22.22"/>
    <n v="7.82"/>
    <n v="7.2"/>
    <n v="51.84"/>
    <x v="0"/>
    <s v="matty11RB"/>
    <n v="1"/>
    <s v="matty11RB-1"/>
  </r>
  <r>
    <x v="4"/>
    <x v="34"/>
    <s v="8.20-21.80"/>
    <n v="15"/>
    <s v="#26"/>
    <x v="0"/>
    <n v="21.8"/>
    <n v="8.1999999999999993"/>
    <n v="6.8"/>
    <n v="46.24"/>
    <x v="7"/>
    <s v="NA7QB"/>
    <n v="11"/>
    <s v="NA7QB-11"/>
  </r>
  <r>
    <x v="14"/>
    <x v="49"/>
    <s v="6.82-23.16"/>
    <n v="14.99"/>
    <s v="#30"/>
    <x v="2"/>
    <n v="23.16"/>
    <n v="6.82"/>
    <n v="8.17"/>
    <n v="66.748900000000006"/>
    <x v="9"/>
    <s v="seth4WR"/>
    <n v="1"/>
    <s v="seth4WR-1"/>
  </r>
  <r>
    <x v="7"/>
    <x v="43"/>
    <s v="8.38-21.58"/>
    <n v="14.98"/>
    <s v="#17"/>
    <x v="2"/>
    <n v="21.58"/>
    <n v="8.3800000000000008"/>
    <n v="6.6"/>
    <n v="43.56"/>
    <x v="10"/>
    <s v="aj1WR"/>
    <n v="1"/>
    <s v="aj1WR-1"/>
  </r>
  <r>
    <x v="7"/>
    <x v="11"/>
    <s v="7.72-22.22"/>
    <n v="14.97"/>
    <s v="#13"/>
    <x v="0"/>
    <n v="22.22"/>
    <n v="7.72"/>
    <n v="7.25"/>
    <n v="52.5625"/>
    <x v="0"/>
    <s v="matty1QB"/>
    <n v="1"/>
    <s v="matty1QB-1"/>
  </r>
  <r>
    <x v="2"/>
    <x v="23"/>
    <s v="7.53-22.41"/>
    <n v="14.97"/>
    <s v="#2"/>
    <x v="1"/>
    <n v="22.41"/>
    <n v="7.53"/>
    <n v="7.44"/>
    <n v="55.3536"/>
    <x v="4"/>
    <s v="scott9RB"/>
    <n v="2"/>
    <s v="scott9RB-2"/>
  </r>
  <r>
    <x v="1"/>
    <x v="31"/>
    <s v="3.65-26.27"/>
    <n v="14.96"/>
    <s v="#10"/>
    <x v="1"/>
    <n v="26.27"/>
    <n v="3.65"/>
    <n v="11.31"/>
    <n v="127.9161"/>
    <x v="0"/>
    <s v="matty16RB"/>
    <n v="2"/>
    <s v="matty16RB-2"/>
  </r>
  <r>
    <x v="8"/>
    <x v="25"/>
    <s v="6.68-23.20"/>
    <n v="14.94"/>
    <s v="#2"/>
    <x v="1"/>
    <n v="23.2"/>
    <n v="6.68"/>
    <n v="8.26"/>
    <n v="68.227599999999995"/>
    <x v="0"/>
    <s v="matty6RB"/>
    <n v="1"/>
    <s v="matty6RB-1"/>
  </r>
  <r>
    <x v="2"/>
    <x v="41"/>
    <s v="7.33-22.53"/>
    <n v="14.93"/>
    <s v="#25"/>
    <x v="0"/>
    <n v="22.53"/>
    <n v="7.33"/>
    <n v="7.6"/>
    <n v="57.76"/>
    <x v="7"/>
    <s v="NA9QB"/>
    <n v="8"/>
    <s v="NA9QB-8"/>
  </r>
  <r>
    <x v="13"/>
    <x v="32"/>
    <s v="7.39-22.43"/>
    <n v="14.91"/>
    <s v="#15"/>
    <x v="0"/>
    <n v="22.43"/>
    <n v="7.39"/>
    <n v="7.52"/>
    <n v="56.550400000000003"/>
    <x v="1"/>
    <s v="perry8QB"/>
    <n v="2"/>
    <s v="perry8QB-2"/>
  </r>
  <r>
    <x v="10"/>
    <x v="31"/>
    <s v="5.17-24.63"/>
    <n v="14.9"/>
    <s v="#10"/>
    <x v="1"/>
    <n v="24.63"/>
    <n v="5.17"/>
    <n v="9.73"/>
    <n v="94.672899999999998"/>
    <x v="0"/>
    <s v="matty2RB"/>
    <n v="2"/>
    <s v="matty2RB-2"/>
  </r>
  <r>
    <x v="3"/>
    <x v="31"/>
    <s v="3.31-26.49"/>
    <n v="14.9"/>
    <s v="#25"/>
    <x v="1"/>
    <n v="26.49"/>
    <n v="3.31"/>
    <n v="11.59"/>
    <n v="134.32810000000001"/>
    <x v="0"/>
    <s v="matty11RB"/>
    <n v="2"/>
    <s v="matty11RB-2"/>
  </r>
  <r>
    <x v="5"/>
    <x v="37"/>
    <s v="8.60-21.14"/>
    <n v="14.87"/>
    <s v="#21"/>
    <x v="0"/>
    <n v="21.14"/>
    <n v="8.6"/>
    <n v="6.27"/>
    <n v="39.312899999999999"/>
    <x v="7"/>
    <s v="NA13QB"/>
    <n v="9"/>
    <s v="NA13QB-9"/>
  </r>
  <r>
    <x v="8"/>
    <x v="18"/>
    <s v="8.52-21.20"/>
    <n v="14.86"/>
    <s v="#15"/>
    <x v="0"/>
    <n v="21.2"/>
    <n v="8.52"/>
    <n v="6.34"/>
    <n v="40.195599999999999"/>
    <x v="4"/>
    <s v="scott6QB"/>
    <n v="1"/>
    <s v="scott6QB-1"/>
  </r>
  <r>
    <x v="0"/>
    <x v="50"/>
    <s v="6.44-23.28"/>
    <n v="14.86"/>
    <s v="#25"/>
    <x v="2"/>
    <n v="23.28"/>
    <n v="6.44"/>
    <n v="8.42"/>
    <n v="70.8964"/>
    <x v="0"/>
    <s v="matty17WR"/>
    <n v="1"/>
    <s v="matty17WR-1"/>
  </r>
  <r>
    <x v="12"/>
    <x v="20"/>
    <s v="8.16-21.50"/>
    <n v="14.83"/>
    <s v="#20"/>
    <x v="0"/>
    <n v="21.5"/>
    <n v="8.16"/>
    <n v="6.67"/>
    <n v="44.488900000000001"/>
    <x v="7"/>
    <s v="NA5QB"/>
    <n v="7"/>
    <s v="NA5QB-7"/>
  </r>
  <r>
    <x v="11"/>
    <x v="33"/>
    <s v="7.65-21.97"/>
    <n v="14.81"/>
    <s v="#10"/>
    <x v="0"/>
    <n v="21.97"/>
    <n v="7.65"/>
    <n v="7.16"/>
    <n v="51.265599999999999"/>
    <x v="7"/>
    <s v="NA14QB"/>
    <n v="9"/>
    <s v="NA14QB-9"/>
  </r>
  <r>
    <x v="11"/>
    <x v="48"/>
    <s v="7.61-21.97"/>
    <n v="14.79"/>
    <s v="#31"/>
    <x v="2"/>
    <n v="21.97"/>
    <n v="7.61"/>
    <n v="7.18"/>
    <n v="51.552399999999999"/>
    <x v="5"/>
    <s v="cory14WR"/>
    <n v="1"/>
    <s v="cory14WR-1"/>
  </r>
  <r>
    <x v="8"/>
    <x v="29"/>
    <s v="7.77-21.77"/>
    <n v="14.77"/>
    <s v="#1"/>
    <x v="0"/>
    <n v="21.77"/>
    <n v="7.77"/>
    <n v="7"/>
    <n v="49"/>
    <x v="7"/>
    <s v="NA6QB"/>
    <n v="10"/>
    <s v="NA6QB-10"/>
  </r>
  <r>
    <x v="2"/>
    <x v="25"/>
    <s v="6.75-22.79"/>
    <n v="14.77"/>
    <s v="#8"/>
    <x v="1"/>
    <n v="22.79"/>
    <n v="6.75"/>
    <n v="8.02"/>
    <n v="64.320400000000006"/>
    <x v="0"/>
    <s v="matty9RB"/>
    <n v="1"/>
    <s v="matty9RB-1"/>
  </r>
  <r>
    <x v="15"/>
    <x v="51"/>
    <s v="8.39-21.11"/>
    <n v="14.75"/>
    <s v="#29"/>
    <x v="1"/>
    <n v="21.11"/>
    <n v="8.39"/>
    <n v="6.36"/>
    <n v="40.449599999999997"/>
    <x v="5"/>
    <s v="cory10RB"/>
    <n v="1"/>
    <s v="cory10RB-1"/>
  </r>
  <r>
    <x v="15"/>
    <x v="52"/>
    <s v="7.10-22.38"/>
    <n v="14.74"/>
    <s v="#28"/>
    <x v="1"/>
    <n v="22.38"/>
    <n v="7.1"/>
    <n v="7.64"/>
    <n v="58.369599999999998"/>
    <x v="3"/>
    <s v="chad10RB"/>
    <n v="2"/>
    <s v="chad10RB-2"/>
  </r>
  <r>
    <x v="0"/>
    <x v="46"/>
    <s v="5.79-23.63"/>
    <n v="14.71"/>
    <s v="#31"/>
    <x v="2"/>
    <n v="23.63"/>
    <n v="5.79"/>
    <n v="8.92"/>
    <n v="79.566400000000002"/>
    <x v="5"/>
    <s v="cory17WR"/>
    <n v="1"/>
    <s v="cory17WR-1"/>
  </r>
  <r>
    <x v="10"/>
    <x v="39"/>
    <s v="6.60-22.70"/>
    <n v="14.65"/>
    <s v="#32"/>
    <x v="2"/>
    <n v="22.7"/>
    <n v="6.6"/>
    <n v="8.0500000000000007"/>
    <n v="64.802499999999995"/>
    <x v="8"/>
    <s v="comp2WR"/>
    <n v="1"/>
    <s v="comp2WR-1"/>
  </r>
  <r>
    <x v="9"/>
    <x v="31"/>
    <s v="2.98-26.32"/>
    <n v="14.65"/>
    <s v="#29"/>
    <x v="1"/>
    <n v="26.32"/>
    <n v="2.98"/>
    <n v="11.67"/>
    <n v="136.18889999999999"/>
    <x v="0"/>
    <s v="matty15RB"/>
    <n v="2"/>
    <s v="matty15RB-2"/>
  </r>
  <r>
    <x v="11"/>
    <x v="29"/>
    <s v="7.36-21.92"/>
    <n v="14.64"/>
    <s v="#3"/>
    <x v="0"/>
    <n v="21.92"/>
    <n v="7.36"/>
    <n v="7.28"/>
    <n v="52.998399999999997"/>
    <x v="7"/>
    <s v="NA14QB"/>
    <n v="10"/>
    <s v="NA14QB-10"/>
  </r>
  <r>
    <x v="1"/>
    <x v="18"/>
    <s v="7.83-21.43"/>
    <n v="14.63"/>
    <s v="#2"/>
    <x v="0"/>
    <n v="21.43"/>
    <n v="7.83"/>
    <n v="6.8"/>
    <n v="46.24"/>
    <x v="4"/>
    <s v="scott16QB"/>
    <n v="2"/>
    <s v="scott16QB-2"/>
  </r>
  <r>
    <x v="9"/>
    <x v="45"/>
    <s v="6.48-22.74"/>
    <n v="14.61"/>
    <s v="#14"/>
    <x v="1"/>
    <n v="22.74"/>
    <n v="6.48"/>
    <n v="8.1300000000000008"/>
    <n v="66.096900000000005"/>
    <x v="6"/>
    <s v="lucas15RB"/>
    <n v="1"/>
    <s v="lucas15RB-1"/>
  </r>
  <r>
    <x v="15"/>
    <x v="37"/>
    <s v="7.71-21.49"/>
    <n v="14.6"/>
    <s v="#32"/>
    <x v="0"/>
    <n v="21.49"/>
    <n v="7.71"/>
    <n v="6.89"/>
    <n v="47.472099999999998"/>
    <x v="7"/>
    <s v="NA10QB"/>
    <n v="8"/>
    <s v="NA10QB-8"/>
  </r>
  <r>
    <x v="3"/>
    <x v="46"/>
    <s v="5.82-23.38"/>
    <n v="14.6"/>
    <s v="#23"/>
    <x v="2"/>
    <n v="23.38"/>
    <n v="5.82"/>
    <n v="8.7799999999999994"/>
    <n v="77.088399999999993"/>
    <x v="5"/>
    <s v="cory11WR"/>
    <n v="1"/>
    <s v="cory11WR-1"/>
  </r>
  <r>
    <x v="16"/>
    <x v="23"/>
    <s v="7.29-21.91"/>
    <n v="14.6"/>
    <s v="#18"/>
    <x v="1"/>
    <n v="21.91"/>
    <n v="7.29"/>
    <n v="7.31"/>
    <n v="53.436100000000003"/>
    <x v="4"/>
    <s v="scott3RB"/>
    <n v="2"/>
    <s v="scott3RB-2"/>
  </r>
  <r>
    <x v="6"/>
    <x v="48"/>
    <s v="7.96-21.22"/>
    <n v="14.59"/>
    <s v="#29"/>
    <x v="2"/>
    <n v="21.22"/>
    <n v="7.96"/>
    <n v="6.63"/>
    <n v="43.956899999999997"/>
    <x v="5"/>
    <s v="cory12WR"/>
    <n v="1"/>
    <s v="cory12WR-1"/>
  </r>
  <r>
    <x v="7"/>
    <x v="10"/>
    <s v="8.48-20.68"/>
    <n v="14.58"/>
    <s v="#22"/>
    <x v="0"/>
    <n v="20.68"/>
    <n v="8.48"/>
    <n v="6.1"/>
    <n v="37.21"/>
    <x v="7"/>
    <s v="NA1QB"/>
    <n v="6"/>
    <s v="NA1QB-6"/>
  </r>
  <r>
    <x v="15"/>
    <x v="42"/>
    <s v="7.74-21.40"/>
    <n v="14.57"/>
    <s v="#25"/>
    <x v="2"/>
    <n v="21.4"/>
    <n v="7.74"/>
    <n v="6.83"/>
    <n v="46.648899999999998"/>
    <x v="3"/>
    <s v="chad10WR"/>
    <n v="1"/>
    <s v="chad10WR-1"/>
  </r>
  <r>
    <x v="8"/>
    <x v="39"/>
    <s v="6.14-22.98"/>
    <n v="14.56"/>
    <s v="#19"/>
    <x v="2"/>
    <n v="22.98"/>
    <n v="6.14"/>
    <n v="8.42"/>
    <n v="70.8964"/>
    <x v="8"/>
    <s v="comp6WR"/>
    <n v="1"/>
    <s v="comp6WR-1"/>
  </r>
  <r>
    <x v="7"/>
    <x v="0"/>
    <s v="7.82-21.30"/>
    <n v="14.56"/>
    <s v="#20"/>
    <x v="0"/>
    <n v="21.3"/>
    <n v="7.82"/>
    <n v="6.74"/>
    <n v="45.427599999999998"/>
    <x v="0"/>
    <s v="matty1QB"/>
    <n v="2"/>
    <s v="matty1QB-2"/>
  </r>
  <r>
    <x v="14"/>
    <x v="43"/>
    <s v="7.35-21.71"/>
    <n v="14.53"/>
    <s v="#9"/>
    <x v="2"/>
    <n v="21.71"/>
    <n v="7.35"/>
    <n v="7.18"/>
    <n v="51.552399999999999"/>
    <x v="10"/>
    <s v="aj4WR"/>
    <n v="1"/>
    <s v="aj4WR-1"/>
  </r>
  <r>
    <x v="13"/>
    <x v="16"/>
    <s v="8.65-20.41"/>
    <n v="14.53"/>
    <s v="#7"/>
    <x v="0"/>
    <n v="20.41"/>
    <n v="8.65"/>
    <n v="5.88"/>
    <n v="34.574399999999997"/>
    <x v="7"/>
    <s v="NA8QB"/>
    <n v="9"/>
    <s v="NA8QB-9"/>
  </r>
  <r>
    <x v="15"/>
    <x v="40"/>
    <s v="8.10-20.94"/>
    <n v="14.52"/>
    <s v="#21"/>
    <x v="0"/>
    <n v="20.94"/>
    <n v="8.1"/>
    <n v="6.42"/>
    <n v="41.2164"/>
    <x v="7"/>
    <s v="NA10QB"/>
    <n v="9"/>
    <s v="NA10QB-9"/>
  </r>
  <r>
    <x v="7"/>
    <x v="12"/>
    <s v="8.06-20.96"/>
    <n v="14.51"/>
    <s v="#7"/>
    <x v="1"/>
    <n v="20.96"/>
    <n v="8.06"/>
    <n v="6.45"/>
    <n v="41.602499999999999"/>
    <x v="1"/>
    <s v="perry1RB"/>
    <n v="1"/>
    <s v="perry1RB-1"/>
  </r>
  <r>
    <x v="3"/>
    <x v="45"/>
    <s v="5.73-23.29"/>
    <n v="14.51"/>
    <s v="#31"/>
    <x v="1"/>
    <n v="23.29"/>
    <n v="5.73"/>
    <n v="8.7799999999999994"/>
    <n v="77.088399999999993"/>
    <x v="6"/>
    <s v="lucas11RB"/>
    <n v="1"/>
    <s v="lucas11RB-1"/>
  </r>
  <r>
    <x v="6"/>
    <x v="43"/>
    <s v="6.26-22.72"/>
    <n v="14.49"/>
    <s v="#14"/>
    <x v="2"/>
    <n v="22.72"/>
    <n v="6.26"/>
    <n v="8.23"/>
    <n v="67.732900000000001"/>
    <x v="10"/>
    <s v="aj12WR"/>
    <n v="1"/>
    <s v="aj12WR-1"/>
  </r>
  <r>
    <x v="11"/>
    <x v="52"/>
    <s v="6.50-22.48"/>
    <n v="14.49"/>
    <s v="#10"/>
    <x v="1"/>
    <n v="22.48"/>
    <n v="6.5"/>
    <n v="7.99"/>
    <n v="63.8401"/>
    <x v="3"/>
    <s v="chad14RB"/>
    <n v="2"/>
    <s v="chad14RB-2"/>
  </r>
  <r>
    <x v="7"/>
    <x v="45"/>
    <s v="6.86-22.10"/>
    <n v="14.48"/>
    <s v="#3"/>
    <x v="1"/>
    <n v="22.1"/>
    <n v="6.86"/>
    <n v="7.62"/>
    <n v="58.064399999999999"/>
    <x v="6"/>
    <s v="lucas1RB"/>
    <n v="1"/>
    <s v="lucas1RB-1"/>
  </r>
  <r>
    <x v="0"/>
    <x v="34"/>
    <s v="8.03-20.85"/>
    <n v="14.44"/>
    <s v="#17"/>
    <x v="0"/>
    <n v="20.85"/>
    <n v="8.0299999999999994"/>
    <n v="6.41"/>
    <n v="41.088099999999997"/>
    <x v="7"/>
    <s v="NA17QB"/>
    <n v="11"/>
    <s v="NA17QB-11"/>
  </r>
  <r>
    <x v="12"/>
    <x v="37"/>
    <s v="8.12-20.74"/>
    <n v="14.43"/>
    <s v="#18"/>
    <x v="0"/>
    <n v="20.74"/>
    <n v="8.1199999999999992"/>
    <n v="6.31"/>
    <n v="39.816099999999999"/>
    <x v="7"/>
    <s v="NA5QB"/>
    <n v="8"/>
    <s v="NA5QB-8"/>
  </r>
  <r>
    <x v="15"/>
    <x v="39"/>
    <s v="6.61-22.23"/>
    <n v="14.42"/>
    <s v="#7"/>
    <x v="2"/>
    <n v="22.23"/>
    <n v="6.61"/>
    <n v="7.81"/>
    <n v="60.996099999999998"/>
    <x v="8"/>
    <s v="comp10WR"/>
    <n v="1"/>
    <s v="comp10WR-1"/>
  </r>
  <r>
    <x v="5"/>
    <x v="30"/>
    <s v="7.70-21.14"/>
    <n v="14.42"/>
    <s v="#5"/>
    <x v="0"/>
    <n v="21.14"/>
    <n v="7.7"/>
    <n v="6.72"/>
    <n v="45.1584"/>
    <x v="7"/>
    <s v="NA13QB"/>
    <n v="10"/>
    <s v="NA13QB-10"/>
  </r>
  <r>
    <x v="1"/>
    <x v="16"/>
    <s v="8.66-20.18"/>
    <n v="14.42"/>
    <s v="#20"/>
    <x v="0"/>
    <n v="20.18"/>
    <n v="8.66"/>
    <n v="5.76"/>
    <n v="33.177599999999998"/>
    <x v="7"/>
    <s v="NA16QB"/>
    <n v="11"/>
    <s v="NA16QB-11"/>
  </r>
  <r>
    <x v="11"/>
    <x v="45"/>
    <s v="4.89-23.95"/>
    <n v="14.42"/>
    <s v="#12"/>
    <x v="1"/>
    <n v="23.95"/>
    <n v="4.8899999999999997"/>
    <n v="9.5299999999999994"/>
    <n v="90.820899999999995"/>
    <x v="6"/>
    <s v="lucas14RB"/>
    <n v="1"/>
    <s v="lucas14RB-1"/>
  </r>
  <r>
    <x v="4"/>
    <x v="38"/>
    <s v="7.29-21.53"/>
    <n v="14.41"/>
    <s v="#9"/>
    <x v="0"/>
    <n v="21.53"/>
    <n v="7.29"/>
    <n v="7.12"/>
    <n v="50.694400000000002"/>
    <x v="7"/>
    <s v="NA7QB"/>
    <n v="12"/>
    <s v="NA7QB-12"/>
  </r>
  <r>
    <x v="16"/>
    <x v="49"/>
    <s v="5.51-23.27"/>
    <n v="14.39"/>
    <s v="#27"/>
    <x v="2"/>
    <n v="23.27"/>
    <n v="5.51"/>
    <n v="8.8800000000000008"/>
    <n v="78.854399999999998"/>
    <x v="9"/>
    <s v="seth3WR"/>
    <n v="1"/>
    <s v="seth3WR-1"/>
  </r>
  <r>
    <x v="3"/>
    <x v="20"/>
    <s v="6.56-22.20"/>
    <n v="14.38"/>
    <s v="#13"/>
    <x v="0"/>
    <n v="22.2"/>
    <n v="6.56"/>
    <n v="7.82"/>
    <n v="61.1524"/>
    <x v="7"/>
    <s v="NA11QB"/>
    <n v="11"/>
    <s v="NA11QB-11"/>
  </r>
  <r>
    <x v="15"/>
    <x v="34"/>
    <s v="7.89-20.87"/>
    <n v="14.38"/>
    <s v="#11"/>
    <x v="0"/>
    <n v="20.87"/>
    <n v="7.89"/>
    <n v="6.49"/>
    <n v="42.120100000000001"/>
    <x v="7"/>
    <s v="NA10QB"/>
    <n v="10"/>
    <s v="NA10QB-10"/>
  </r>
  <r>
    <x v="13"/>
    <x v="39"/>
    <s v="7.34-21.38"/>
    <n v="14.36"/>
    <s v="#2"/>
    <x v="2"/>
    <n v="21.38"/>
    <n v="7.34"/>
    <n v="7.02"/>
    <n v="49.2804"/>
    <x v="8"/>
    <s v="comp8WR"/>
    <n v="1"/>
    <s v="comp8WR-1"/>
  </r>
  <r>
    <x v="7"/>
    <x v="40"/>
    <s v="7.68-21.04"/>
    <n v="14.36"/>
    <s v="#14"/>
    <x v="0"/>
    <n v="21.04"/>
    <n v="7.68"/>
    <n v="6.68"/>
    <n v="44.622399999999999"/>
    <x v="7"/>
    <s v="NA1QB"/>
    <n v="7"/>
    <s v="NA1QB-7"/>
  </r>
  <r>
    <x v="12"/>
    <x v="16"/>
    <s v="7.87-20.83"/>
    <n v="14.35"/>
    <s v="#2"/>
    <x v="0"/>
    <n v="20.83"/>
    <n v="7.87"/>
    <n v="6.48"/>
    <n v="41.990400000000001"/>
    <x v="7"/>
    <s v="NA5QB"/>
    <n v="9"/>
    <s v="NA5QB-9"/>
  </r>
  <r>
    <x v="5"/>
    <x v="50"/>
    <s v="5.91-22.75"/>
    <n v="14.33"/>
    <s v="#25"/>
    <x v="2"/>
    <n v="22.75"/>
    <n v="5.91"/>
    <n v="8.42"/>
    <n v="70.8964"/>
    <x v="0"/>
    <s v="matty13WR"/>
    <n v="1"/>
    <s v="matty13WR-1"/>
  </r>
  <r>
    <x v="5"/>
    <x v="38"/>
    <s v="7.28-21.34"/>
    <n v="14.31"/>
    <s v="#24"/>
    <x v="0"/>
    <n v="21.34"/>
    <n v="7.28"/>
    <n v="7.03"/>
    <n v="49.420900000000003"/>
    <x v="7"/>
    <s v="NA13QB"/>
    <n v="11"/>
    <s v="NA13QB-11"/>
  </r>
  <r>
    <x v="11"/>
    <x v="38"/>
    <s v="7.45-21.17"/>
    <n v="14.31"/>
    <s v="#4"/>
    <x v="0"/>
    <n v="21.17"/>
    <n v="7.45"/>
    <n v="6.86"/>
    <n v="47.059600000000003"/>
    <x v="7"/>
    <s v="NA14QB"/>
    <n v="11"/>
    <s v="NA14QB-11"/>
  </r>
  <r>
    <x v="9"/>
    <x v="37"/>
    <s v="7.84-20.78"/>
    <n v="14.31"/>
    <s v="#29"/>
    <x v="0"/>
    <n v="20.78"/>
    <n v="7.84"/>
    <n v="6.47"/>
    <n v="41.860900000000001"/>
    <x v="7"/>
    <s v="NA15QB"/>
    <n v="13"/>
    <s v="NA15QB-13"/>
  </r>
  <r>
    <x v="0"/>
    <x v="33"/>
    <s v="8.30-20.28"/>
    <n v="14.29"/>
    <s v="#26"/>
    <x v="0"/>
    <n v="20.28"/>
    <n v="8.3000000000000007"/>
    <n v="5.99"/>
    <n v="35.880099999999999"/>
    <x v="7"/>
    <s v="NA17QB"/>
    <n v="12"/>
    <s v="NA17QB-12"/>
  </r>
  <r>
    <x v="5"/>
    <x v="34"/>
    <s v="7.07-21.51"/>
    <n v="14.29"/>
    <s v="#14"/>
    <x v="0"/>
    <n v="21.51"/>
    <n v="7.07"/>
    <n v="7.22"/>
    <n v="52.128399999999999"/>
    <x v="7"/>
    <s v="NA13QB"/>
    <n v="12"/>
    <s v="NA13QB-12"/>
  </r>
  <r>
    <x v="1"/>
    <x v="38"/>
    <s v="7.30-21.26"/>
    <n v="14.28"/>
    <s v="#17"/>
    <x v="0"/>
    <n v="21.26"/>
    <n v="7.3"/>
    <n v="6.98"/>
    <n v="48.720399999999998"/>
    <x v="7"/>
    <s v="NA16QB"/>
    <n v="12"/>
    <s v="NA16QB-12"/>
  </r>
  <r>
    <x v="16"/>
    <x v="46"/>
    <s v="6.31-22.23"/>
    <n v="14.27"/>
    <s v="#30"/>
    <x v="2"/>
    <n v="22.23"/>
    <n v="6.31"/>
    <n v="7.96"/>
    <n v="63.361600000000003"/>
    <x v="5"/>
    <s v="cory3WR"/>
    <n v="1"/>
    <s v="cory3WR-1"/>
  </r>
  <r>
    <x v="16"/>
    <x v="24"/>
    <s v="6.71-21.81"/>
    <n v="14.26"/>
    <s v="#6"/>
    <x v="0"/>
    <n v="21.81"/>
    <n v="6.71"/>
    <n v="7.55"/>
    <n v="57.002499999999998"/>
    <x v="8"/>
    <s v="comp3QB"/>
    <n v="2"/>
    <s v="comp3QB-2"/>
  </r>
  <r>
    <x v="7"/>
    <x v="20"/>
    <s v="8.39-20.13"/>
    <n v="14.26"/>
    <s v="#10"/>
    <x v="0"/>
    <n v="20.13"/>
    <n v="8.39"/>
    <n v="5.87"/>
    <n v="34.456899999999997"/>
    <x v="7"/>
    <s v="NA1QB"/>
    <n v="8"/>
    <s v="NA1QB-8"/>
  </r>
  <r>
    <x v="13"/>
    <x v="53"/>
    <s v="6.61-21.91"/>
    <n v="14.26"/>
    <s v="#24"/>
    <x v="1"/>
    <n v="21.91"/>
    <n v="6.61"/>
    <n v="7.65"/>
    <n v="58.522500000000001"/>
    <x v="8"/>
    <s v="comp8RB"/>
    <n v="1"/>
    <s v="comp8RB-1"/>
  </r>
  <r>
    <x v="2"/>
    <x v="34"/>
    <s v="7.81-20.71"/>
    <n v="14.26"/>
    <s v="#24"/>
    <x v="0"/>
    <n v="20.71"/>
    <n v="7.81"/>
    <n v="6.45"/>
    <n v="41.602499999999999"/>
    <x v="7"/>
    <s v="NA9QB"/>
    <n v="9"/>
    <s v="NA9QB-9"/>
  </r>
  <r>
    <x v="9"/>
    <x v="54"/>
    <s v="7.36-21.10"/>
    <n v="14.23"/>
    <s v="#12"/>
    <x v="1"/>
    <n v="21.1"/>
    <n v="7.36"/>
    <n v="6.87"/>
    <n v="47.196899999999999"/>
    <x v="9"/>
    <s v="seth15RB"/>
    <n v="1"/>
    <s v="seth15RB-1"/>
  </r>
  <r>
    <x v="14"/>
    <x v="45"/>
    <s v="5.65-22.79"/>
    <n v="14.22"/>
    <s v="#30"/>
    <x v="1"/>
    <n v="22.79"/>
    <n v="5.65"/>
    <n v="8.57"/>
    <n v="73.444900000000004"/>
    <x v="6"/>
    <s v="lucas4RB"/>
    <n v="1"/>
    <s v="lucas4RB-1"/>
  </r>
  <r>
    <x v="1"/>
    <x v="37"/>
    <s v="7.89-20.49"/>
    <n v="14.19"/>
    <s v="#10"/>
    <x v="0"/>
    <n v="20.49"/>
    <n v="7.89"/>
    <n v="6.3"/>
    <n v="39.69"/>
    <x v="7"/>
    <s v="NA16QB"/>
    <n v="13"/>
    <s v="NA16QB-13"/>
  </r>
  <r>
    <x v="6"/>
    <x v="41"/>
    <s v="6.68-21.66"/>
    <n v="14.17"/>
    <s v="#31"/>
    <x v="0"/>
    <n v="21.66"/>
    <n v="6.68"/>
    <n v="7.49"/>
    <n v="56.100099999999998"/>
    <x v="7"/>
    <s v="NA12QB"/>
    <n v="11"/>
    <s v="NA12QB-11"/>
  </r>
  <r>
    <x v="12"/>
    <x v="46"/>
    <s v="6.19-22.15"/>
    <n v="14.17"/>
    <s v="#15"/>
    <x v="2"/>
    <n v="22.15"/>
    <n v="6.19"/>
    <n v="7.98"/>
    <n v="63.680399999999999"/>
    <x v="5"/>
    <s v="cory5WR"/>
    <n v="1"/>
    <s v="cory5WR-1"/>
  </r>
  <r>
    <x v="5"/>
    <x v="31"/>
    <s v="2.69-25.63"/>
    <n v="14.16"/>
    <s v="#21"/>
    <x v="1"/>
    <n v="25.63"/>
    <n v="2.69"/>
    <n v="11.47"/>
    <n v="131.5609"/>
    <x v="0"/>
    <s v="matty13RB"/>
    <n v="2"/>
    <s v="matty13RB-2"/>
  </r>
  <r>
    <x v="16"/>
    <x v="16"/>
    <s v="8.26-20.06"/>
    <n v="14.16"/>
    <s v="#16"/>
    <x v="0"/>
    <n v="20.059999999999999"/>
    <n v="8.26"/>
    <n v="5.9"/>
    <n v="34.81"/>
    <x v="7"/>
    <s v="NA3QB"/>
    <n v="7"/>
    <s v="NA3QB-7"/>
  </r>
  <r>
    <x v="7"/>
    <x v="35"/>
    <s v="7.60-20.70"/>
    <n v="14.15"/>
    <s v="#29"/>
    <x v="0"/>
    <n v="20.7"/>
    <n v="7.6"/>
    <n v="6.55"/>
    <n v="42.902500000000003"/>
    <x v="7"/>
    <s v="NA1QB"/>
    <n v="9"/>
    <s v="NA1QB-9"/>
  </r>
  <r>
    <x v="11"/>
    <x v="32"/>
    <s v="6.87-21.39"/>
    <n v="14.13"/>
    <s v="#7"/>
    <x v="0"/>
    <n v="21.39"/>
    <n v="6.87"/>
    <n v="7.26"/>
    <n v="52.707599999999999"/>
    <x v="1"/>
    <s v="perry14QB"/>
    <n v="2"/>
    <s v="perry14QB-2"/>
  </r>
  <r>
    <x v="2"/>
    <x v="44"/>
    <s v="6.86-21.40"/>
    <n v="14.13"/>
    <s v="#31"/>
    <x v="1"/>
    <n v="21.4"/>
    <n v="6.86"/>
    <n v="7.27"/>
    <n v="52.852899999999998"/>
    <x v="2"/>
    <s v="devon9RB"/>
    <n v="1"/>
    <s v="devon9RB-1"/>
  </r>
  <r>
    <x v="9"/>
    <x v="40"/>
    <s v="7.87-20.39"/>
    <n v="14.13"/>
    <s v="#26"/>
    <x v="0"/>
    <n v="20.39"/>
    <n v="7.87"/>
    <n v="6.26"/>
    <n v="39.187600000000003"/>
    <x v="7"/>
    <s v="NA15QB"/>
    <n v="14"/>
    <s v="NA15QB-14"/>
  </r>
  <r>
    <x v="16"/>
    <x v="34"/>
    <s v="7.40-20.86"/>
    <n v="14.13"/>
    <s v="#2"/>
    <x v="0"/>
    <n v="20.86"/>
    <n v="7.4"/>
    <n v="6.73"/>
    <n v="45.292900000000003"/>
    <x v="7"/>
    <s v="NA3QB"/>
    <n v="8"/>
    <s v="NA3QB-8"/>
  </r>
  <r>
    <x v="7"/>
    <x v="44"/>
    <s v="8.22-20.00"/>
    <n v="14.11"/>
    <s v="#23"/>
    <x v="1"/>
    <n v="20"/>
    <n v="8.2200000000000006"/>
    <n v="5.89"/>
    <n v="34.692100000000003"/>
    <x v="2"/>
    <s v="devon1RB"/>
    <n v="1"/>
    <s v="devon1RB-1"/>
  </r>
  <r>
    <x v="11"/>
    <x v="53"/>
    <s v="6.97-21.25"/>
    <n v="14.11"/>
    <s v="#9"/>
    <x v="1"/>
    <n v="21.25"/>
    <n v="6.97"/>
    <n v="7.14"/>
    <n v="50.979599999999998"/>
    <x v="8"/>
    <s v="comp14RB"/>
    <n v="1"/>
    <s v="comp14RB-1"/>
  </r>
  <r>
    <x v="15"/>
    <x v="31"/>
    <s v="1.97-26.23"/>
    <n v="14.1"/>
    <s v="#32"/>
    <x v="1"/>
    <n v="26.23"/>
    <n v="1.97"/>
    <n v="12.13"/>
    <n v="147.1369"/>
    <x v="0"/>
    <s v="matty10RB"/>
    <n v="2"/>
    <s v="matty10RB-2"/>
  </r>
  <r>
    <x v="0"/>
    <x v="45"/>
    <s v="6.20-21.98"/>
    <n v="14.09"/>
    <s v="#23"/>
    <x v="1"/>
    <n v="21.98"/>
    <n v="6.2"/>
    <n v="7.89"/>
    <n v="62.252099999999999"/>
    <x v="6"/>
    <s v="lucas17RB"/>
    <n v="1"/>
    <s v="lucas17RB-1"/>
  </r>
  <r>
    <x v="8"/>
    <x v="51"/>
    <s v="7.99-20.17"/>
    <n v="14.08"/>
    <s v="#20"/>
    <x v="1"/>
    <n v="20.170000000000002"/>
    <n v="7.99"/>
    <n v="6.09"/>
    <n v="37.088099999999997"/>
    <x v="5"/>
    <s v="cory6RB"/>
    <n v="1"/>
    <s v="cory6RB-1"/>
  </r>
  <r>
    <x v="12"/>
    <x v="31"/>
    <s v="5.95-22.21"/>
    <n v="14.08"/>
    <s v="#18"/>
    <x v="1"/>
    <n v="22.21"/>
    <n v="5.95"/>
    <n v="8.1300000000000008"/>
    <n v="66.096900000000005"/>
    <x v="0"/>
    <s v="matty5RB"/>
    <n v="2"/>
    <s v="matty5RB-2"/>
  </r>
  <r>
    <x v="2"/>
    <x v="33"/>
    <s v="7.65-20.51"/>
    <n v="14.08"/>
    <s v="#11"/>
    <x v="0"/>
    <n v="20.51"/>
    <n v="7.65"/>
    <n v="6.43"/>
    <n v="41.344900000000003"/>
    <x v="7"/>
    <s v="NA9QB"/>
    <n v="10"/>
    <s v="NA9QB-10"/>
  </r>
  <r>
    <x v="0"/>
    <x v="18"/>
    <s v="7.73-20.41"/>
    <n v="14.07"/>
    <s v="#15"/>
    <x v="0"/>
    <n v="20.41"/>
    <n v="7.73"/>
    <n v="6.34"/>
    <n v="40.195599999999999"/>
    <x v="4"/>
    <s v="scott17QB"/>
    <n v="2"/>
    <s v="scott17QB-2"/>
  </r>
  <r>
    <x v="2"/>
    <x v="51"/>
    <s v="7.52-20.62"/>
    <n v="14.07"/>
    <s v="#32"/>
    <x v="1"/>
    <n v="20.62"/>
    <n v="7.52"/>
    <n v="6.55"/>
    <n v="42.902500000000003"/>
    <x v="5"/>
    <s v="cory9RB"/>
    <n v="1"/>
    <s v="cory9RB-1"/>
  </r>
  <r>
    <x v="1"/>
    <x v="51"/>
    <s v="7.80-20.32"/>
    <n v="14.06"/>
    <s v="#19"/>
    <x v="1"/>
    <n v="20.32"/>
    <n v="7.8"/>
    <n v="6.26"/>
    <n v="39.187600000000003"/>
    <x v="5"/>
    <s v="cory16RB"/>
    <n v="1"/>
    <s v="cory16RB-1"/>
  </r>
  <r>
    <x v="0"/>
    <x v="25"/>
    <s v="6.86-21.26"/>
    <n v="14.06"/>
    <s v="#16"/>
    <x v="1"/>
    <n v="21.26"/>
    <n v="6.86"/>
    <n v="7.2"/>
    <n v="51.84"/>
    <x v="0"/>
    <s v="matty17RB"/>
    <n v="1"/>
    <s v="matty17RB-1"/>
  </r>
  <r>
    <x v="14"/>
    <x v="41"/>
    <s v="7.14-20.96"/>
    <n v="14.05"/>
    <s v="#20"/>
    <x v="0"/>
    <n v="20.96"/>
    <n v="7.14"/>
    <n v="6.91"/>
    <n v="47.748100000000001"/>
    <x v="7"/>
    <s v="NA4QB"/>
    <n v="11"/>
    <s v="NA4QB-11"/>
  </r>
  <r>
    <x v="4"/>
    <x v="45"/>
    <s v="5.06-23.04"/>
    <n v="14.05"/>
    <s v="#29"/>
    <x v="1"/>
    <n v="23.04"/>
    <n v="5.0599999999999996"/>
    <n v="8.99"/>
    <n v="80.820099999999996"/>
    <x v="6"/>
    <s v="lucas7RB"/>
    <n v="1"/>
    <s v="lucas7RB-1"/>
  </r>
  <r>
    <x v="6"/>
    <x v="46"/>
    <s v="5.54-22.50"/>
    <n v="14.02"/>
    <s v="#30"/>
    <x v="2"/>
    <n v="22.5"/>
    <n v="5.54"/>
    <n v="8.48"/>
    <n v="71.910399999999996"/>
    <x v="5"/>
    <s v="cory12WR"/>
    <n v="2"/>
    <s v="cory12WR-2"/>
  </r>
  <r>
    <x v="2"/>
    <x v="55"/>
    <s v="6.94-21.00"/>
    <n v="13.97"/>
    <s v="#28"/>
    <x v="1"/>
    <n v="21"/>
    <n v="6.94"/>
    <n v="7.03"/>
    <n v="49.420900000000003"/>
    <x v="2"/>
    <s v="devon9RB"/>
    <n v="2"/>
    <s v="devon9RB-2"/>
  </r>
  <r>
    <x v="9"/>
    <x v="52"/>
    <s v="6.42-21.52"/>
    <n v="13.97"/>
    <s v="#21"/>
    <x v="1"/>
    <n v="21.52"/>
    <n v="6.42"/>
    <n v="7.55"/>
    <n v="57.002499999999998"/>
    <x v="3"/>
    <s v="chad15RB"/>
    <n v="2"/>
    <s v="chad15RB-2"/>
  </r>
  <r>
    <x v="4"/>
    <x v="46"/>
    <s v="6.01-21.91"/>
    <n v="13.96"/>
    <s v="#22"/>
    <x v="2"/>
    <n v="21.91"/>
    <n v="6.01"/>
    <n v="7.95"/>
    <n v="63.202500000000001"/>
    <x v="5"/>
    <s v="cory7WR"/>
    <n v="1"/>
    <s v="cory7WR-1"/>
  </r>
  <r>
    <x v="4"/>
    <x v="42"/>
    <s v="6.80-21.08"/>
    <n v="13.94"/>
    <s v="#14"/>
    <x v="2"/>
    <n v="21.08"/>
    <n v="6.8"/>
    <n v="7.14"/>
    <n v="50.979599999999998"/>
    <x v="3"/>
    <s v="chad7WR"/>
    <n v="1"/>
    <s v="chad7WR-1"/>
  </r>
  <r>
    <x v="16"/>
    <x v="45"/>
    <s v="5.45-22.39"/>
    <n v="13.92"/>
    <s v="#27"/>
    <x v="1"/>
    <n v="22.39"/>
    <n v="5.45"/>
    <n v="8.4700000000000006"/>
    <n v="71.740899999999996"/>
    <x v="6"/>
    <s v="lucas3RB"/>
    <n v="1"/>
    <s v="lucas3RB-1"/>
  </r>
  <r>
    <x v="11"/>
    <x v="26"/>
    <s v="6.34-21.48"/>
    <n v="13.91"/>
    <s v="#6"/>
    <x v="0"/>
    <n v="21.48"/>
    <n v="6.34"/>
    <n v="7.57"/>
    <n v="57.304900000000004"/>
    <x v="7"/>
    <s v="NA14QB"/>
    <n v="12"/>
    <s v="NA14QB-12"/>
  </r>
  <r>
    <x v="1"/>
    <x v="44"/>
    <s v="6.90-20.90"/>
    <n v="13.9"/>
    <s v="#29"/>
    <x v="1"/>
    <n v="20.9"/>
    <n v="6.9"/>
    <n v="7"/>
    <n v="49"/>
    <x v="2"/>
    <s v="devon16RB"/>
    <n v="1"/>
    <s v="devon16RB-1"/>
  </r>
  <r>
    <x v="16"/>
    <x v="50"/>
    <s v="5.61-22.15"/>
    <n v="13.88"/>
    <s v="#18"/>
    <x v="2"/>
    <n v="22.15"/>
    <n v="5.61"/>
    <n v="8.27"/>
    <n v="68.392899999999997"/>
    <x v="0"/>
    <s v="matty3WR"/>
    <n v="1"/>
    <s v="matty3WR-1"/>
  </r>
  <r>
    <x v="4"/>
    <x v="52"/>
    <s v="6.20-21.50"/>
    <n v="13.85"/>
    <s v="#17"/>
    <x v="1"/>
    <n v="21.5"/>
    <n v="6.2"/>
    <n v="7.65"/>
    <n v="58.522500000000001"/>
    <x v="3"/>
    <s v="chad7RB"/>
    <n v="2"/>
    <s v="chad7RB-2"/>
  </r>
  <r>
    <x v="13"/>
    <x v="51"/>
    <s v="7.43-20.25"/>
    <n v="13.84"/>
    <s v="#15"/>
    <x v="1"/>
    <n v="20.25"/>
    <n v="7.43"/>
    <n v="6.41"/>
    <n v="41.088099999999997"/>
    <x v="5"/>
    <s v="cory8RB"/>
    <n v="1"/>
    <s v="cory8RB-1"/>
  </r>
  <r>
    <x v="16"/>
    <x v="26"/>
    <s v="6.06-21.56"/>
    <n v="13.81"/>
    <s v="#8"/>
    <x v="0"/>
    <n v="21.56"/>
    <n v="6.06"/>
    <n v="7.75"/>
    <n v="60.0625"/>
    <x v="7"/>
    <s v="NA3QB"/>
    <n v="9"/>
    <s v="NA3QB-9"/>
  </r>
  <r>
    <x v="10"/>
    <x v="34"/>
    <s v="7.11-20.49"/>
    <n v="13.8"/>
    <s v="#24"/>
    <x v="0"/>
    <n v="20.49"/>
    <n v="7.11"/>
    <n v="6.69"/>
    <n v="44.756100000000004"/>
    <x v="7"/>
    <s v="NA2QB"/>
    <n v="9"/>
    <s v="NA2QB-9"/>
  </r>
  <r>
    <x v="3"/>
    <x v="43"/>
    <s v="6.03-21.55"/>
    <n v="13.79"/>
    <s v="#12"/>
    <x v="2"/>
    <n v="21.55"/>
    <n v="6.03"/>
    <n v="7.76"/>
    <n v="60.217599999999997"/>
    <x v="10"/>
    <s v="aj11WR"/>
    <n v="1"/>
    <s v="aj11WR-1"/>
  </r>
  <r>
    <x v="4"/>
    <x v="49"/>
    <s v="6.40-21.14"/>
    <n v="13.77"/>
    <s v="#29"/>
    <x v="2"/>
    <n v="21.14"/>
    <n v="6.4"/>
    <n v="7.37"/>
    <n v="54.316899999999997"/>
    <x v="9"/>
    <s v="seth7WR"/>
    <n v="1"/>
    <s v="seth7WR-1"/>
  </r>
  <r>
    <x v="8"/>
    <x v="41"/>
    <s v="7.64-19.86"/>
    <n v="13.75"/>
    <s v="#21"/>
    <x v="0"/>
    <n v="19.86"/>
    <n v="7.64"/>
    <n v="6.11"/>
    <n v="37.332099999999997"/>
    <x v="7"/>
    <s v="NA6QB"/>
    <n v="11"/>
    <s v="NA6QB-11"/>
  </r>
  <r>
    <x v="4"/>
    <x v="37"/>
    <s v="7.96-19.54"/>
    <n v="13.75"/>
    <s v="#16"/>
    <x v="0"/>
    <n v="19.54"/>
    <n v="7.96"/>
    <n v="5.79"/>
    <n v="33.524099999999997"/>
    <x v="7"/>
    <s v="NA7QB"/>
    <n v="13"/>
    <s v="NA7QB-13"/>
  </r>
  <r>
    <x v="5"/>
    <x v="29"/>
    <s v="7.06-20.42"/>
    <n v="13.74"/>
    <s v="#4"/>
    <x v="0"/>
    <n v="20.420000000000002"/>
    <n v="7.06"/>
    <n v="6.68"/>
    <n v="44.622399999999999"/>
    <x v="7"/>
    <s v="NA13QB"/>
    <n v="13"/>
    <s v="NA13QB-13"/>
  </r>
  <r>
    <x v="4"/>
    <x v="50"/>
    <s v="6.00-21.48"/>
    <n v="13.74"/>
    <s v="#19"/>
    <x v="2"/>
    <n v="21.48"/>
    <n v="6"/>
    <n v="7.74"/>
    <n v="59.907600000000002"/>
    <x v="0"/>
    <s v="matty7WR"/>
    <n v="1"/>
    <s v="matty7WR-1"/>
  </r>
  <r>
    <x v="13"/>
    <x v="30"/>
    <s v="8.13-19.33"/>
    <n v="13.73"/>
    <s v="#12"/>
    <x v="0"/>
    <n v="19.329999999999998"/>
    <n v="8.1300000000000008"/>
    <n v="5.6"/>
    <n v="31.36"/>
    <x v="7"/>
    <s v="NA8QB"/>
    <n v="10"/>
    <s v="NA8QB-10"/>
  </r>
  <r>
    <x v="7"/>
    <x v="23"/>
    <s v="3.91-23.55"/>
    <n v="13.73"/>
    <s v="#20"/>
    <x v="1"/>
    <n v="23.55"/>
    <n v="3.91"/>
    <n v="9.82"/>
    <n v="96.432400000000001"/>
    <x v="4"/>
    <s v="scott1RB"/>
    <n v="2"/>
    <s v="scott1RB-2"/>
  </r>
  <r>
    <x v="16"/>
    <x v="48"/>
    <s v="6.21-21.25"/>
    <n v="13.73"/>
    <s v="#29"/>
    <x v="2"/>
    <n v="21.25"/>
    <n v="6.21"/>
    <n v="7.52"/>
    <n v="56.550400000000003"/>
    <x v="5"/>
    <s v="cory3WR"/>
    <n v="2"/>
    <s v="cory3WR-2"/>
  </r>
  <r>
    <x v="8"/>
    <x v="30"/>
    <s v="7.40-20.04"/>
    <n v="13.72"/>
    <s v="#6"/>
    <x v="0"/>
    <n v="20.04"/>
    <n v="7.4"/>
    <n v="6.32"/>
    <n v="39.942399999999999"/>
    <x v="7"/>
    <s v="NA6QB"/>
    <n v="12"/>
    <s v="NA6QB-12"/>
  </r>
  <r>
    <x v="15"/>
    <x v="46"/>
    <s v="5.13-22.31"/>
    <n v="13.72"/>
    <s v="#2"/>
    <x v="2"/>
    <n v="22.31"/>
    <n v="5.13"/>
    <n v="8.59"/>
    <n v="73.7881"/>
    <x v="5"/>
    <s v="cory10WR"/>
    <n v="1"/>
    <s v="cory10WR-1"/>
  </r>
  <r>
    <x v="14"/>
    <x v="52"/>
    <s v="5.28-22.14"/>
    <n v="13.71"/>
    <s v="#31"/>
    <x v="1"/>
    <n v="22.14"/>
    <n v="5.28"/>
    <n v="8.43"/>
    <n v="71.064899999999994"/>
    <x v="3"/>
    <s v="chad4RB"/>
    <n v="2"/>
    <s v="chad4RB-2"/>
  </r>
  <r>
    <x v="13"/>
    <x v="34"/>
    <s v="6.51-20.91"/>
    <n v="13.71"/>
    <s v="#5"/>
    <x v="0"/>
    <n v="20.91"/>
    <n v="6.51"/>
    <n v="7.2"/>
    <n v="51.84"/>
    <x v="7"/>
    <s v="NA8QB"/>
    <n v="11"/>
    <s v="NA8QB-11"/>
  </r>
  <r>
    <x v="12"/>
    <x v="30"/>
    <s v="7.93-19.47"/>
    <n v="13.7"/>
    <s v="#7"/>
    <x v="0"/>
    <n v="19.47"/>
    <n v="7.93"/>
    <n v="5.77"/>
    <n v="33.292900000000003"/>
    <x v="7"/>
    <s v="NA5QB"/>
    <n v="10"/>
    <s v="NA5QB-10"/>
  </r>
  <r>
    <x v="14"/>
    <x v="16"/>
    <s v="7.69-19.71"/>
    <n v="13.7"/>
    <s v="#15"/>
    <x v="0"/>
    <n v="19.71"/>
    <n v="7.69"/>
    <n v="6.01"/>
    <n v="36.120100000000001"/>
    <x v="7"/>
    <s v="NA4QB"/>
    <n v="12"/>
    <s v="NA4QB-12"/>
  </r>
  <r>
    <x v="10"/>
    <x v="56"/>
    <s v="5.30-22.08"/>
    <n v="13.69"/>
    <s v="#32"/>
    <x v="1"/>
    <n v="22.08"/>
    <n v="5.3"/>
    <n v="8.39"/>
    <n v="70.392099999999999"/>
    <x v="10"/>
    <s v="aj2RB"/>
    <n v="1"/>
    <s v="aj2RB-1"/>
  </r>
  <r>
    <x v="14"/>
    <x v="46"/>
    <s v="5.83-21.55"/>
    <n v="13.69"/>
    <s v="#19"/>
    <x v="2"/>
    <n v="21.55"/>
    <n v="5.83"/>
    <n v="7.86"/>
    <n v="61.779600000000002"/>
    <x v="5"/>
    <s v="cory4WR"/>
    <n v="2"/>
    <s v="cory4WR-2"/>
  </r>
  <r>
    <x v="13"/>
    <x v="49"/>
    <s v="5.60-21.78"/>
    <n v="13.69"/>
    <s v="#12"/>
    <x v="2"/>
    <n v="21.78"/>
    <n v="5.6"/>
    <n v="8.09"/>
    <n v="65.448099999999997"/>
    <x v="9"/>
    <s v="seth8WR"/>
    <n v="1"/>
    <s v="seth8WR-1"/>
  </r>
  <r>
    <x v="3"/>
    <x v="57"/>
    <s v="7.17-20.19"/>
    <n v="13.68"/>
    <s v="#32"/>
    <x v="2"/>
    <n v="20.190000000000001"/>
    <n v="7.17"/>
    <n v="6.51"/>
    <n v="42.380099999999999"/>
    <x v="1"/>
    <s v="perry11WR"/>
    <n v="1"/>
    <s v="perry11WR-1"/>
  </r>
  <r>
    <x v="15"/>
    <x v="45"/>
    <s v="5.37-21.97"/>
    <n v="13.67"/>
    <s v="#18"/>
    <x v="1"/>
    <n v="21.97"/>
    <n v="5.37"/>
    <n v="8.3000000000000007"/>
    <n v="68.89"/>
    <x v="6"/>
    <s v="lucas10RB"/>
    <n v="1"/>
    <s v="lucas10RB-1"/>
  </r>
  <r>
    <x v="12"/>
    <x v="34"/>
    <s v="6.51-20.81"/>
    <n v="13.66"/>
    <s v="#16"/>
    <x v="0"/>
    <n v="20.81"/>
    <n v="6.51"/>
    <n v="7.15"/>
    <n v="51.122500000000002"/>
    <x v="7"/>
    <s v="NA5QB"/>
    <n v="11"/>
    <s v="NA5QB-11"/>
  </r>
  <r>
    <x v="6"/>
    <x v="20"/>
    <s v="6.35-20.93"/>
    <n v="13.64"/>
    <s v="#1"/>
    <x v="0"/>
    <n v="20.93"/>
    <n v="6.35"/>
    <n v="7.29"/>
    <n v="53.144100000000002"/>
    <x v="7"/>
    <s v="NA12QB"/>
    <n v="12"/>
    <s v="NA12QB-12"/>
  </r>
  <r>
    <x v="2"/>
    <x v="46"/>
    <s v="5.34-21.92"/>
    <n v="13.63"/>
    <s v="#12"/>
    <x v="2"/>
    <n v="21.92"/>
    <n v="5.34"/>
    <n v="8.2899999999999991"/>
    <n v="68.724100000000007"/>
    <x v="5"/>
    <s v="cory9WR"/>
    <n v="1"/>
    <s v="cory9WR-1"/>
  </r>
  <r>
    <x v="6"/>
    <x v="53"/>
    <s v="5.98-21.28"/>
    <n v="13.63"/>
    <s v="#14"/>
    <x v="1"/>
    <n v="21.28"/>
    <n v="5.98"/>
    <n v="7.65"/>
    <n v="58.522500000000001"/>
    <x v="8"/>
    <s v="comp12RB"/>
    <n v="1"/>
    <s v="comp12RB-1"/>
  </r>
  <r>
    <x v="0"/>
    <x v="48"/>
    <s v="6.06-21.20"/>
    <n v="13.63"/>
    <s v="#7"/>
    <x v="2"/>
    <n v="21.2"/>
    <n v="6.06"/>
    <n v="7.57"/>
    <n v="57.304900000000004"/>
    <x v="5"/>
    <s v="cory17WR"/>
    <n v="2"/>
    <s v="cory17WR-2"/>
  </r>
  <r>
    <x v="11"/>
    <x v="46"/>
    <s v="5.52-21.72"/>
    <n v="13.62"/>
    <s v="#21"/>
    <x v="2"/>
    <n v="21.72"/>
    <n v="5.52"/>
    <n v="8.1"/>
    <n v="65.61"/>
    <x v="5"/>
    <s v="cory14WR"/>
    <n v="2"/>
    <s v="cory14WR-2"/>
  </r>
  <r>
    <x v="11"/>
    <x v="51"/>
    <s v="7.13-20.09"/>
    <n v="13.61"/>
    <s v="#7"/>
    <x v="1"/>
    <n v="20.09"/>
    <n v="7.13"/>
    <n v="6.48"/>
    <n v="41.990400000000001"/>
    <x v="5"/>
    <s v="cory14RB"/>
    <n v="1"/>
    <s v="cory14RB-1"/>
  </r>
  <r>
    <x v="2"/>
    <x v="48"/>
    <s v="6.19-21.03"/>
    <n v="13.61"/>
    <s v="#10"/>
    <x v="2"/>
    <n v="21.03"/>
    <n v="6.19"/>
    <n v="7.42"/>
    <n v="55.056399999999996"/>
    <x v="5"/>
    <s v="cory9WR"/>
    <n v="2"/>
    <s v="cory9WR-2"/>
  </r>
  <r>
    <x v="6"/>
    <x v="44"/>
    <s v="7.65-19.53"/>
    <n v="13.59"/>
    <s v="#8"/>
    <x v="1"/>
    <n v="19.53"/>
    <n v="7.65"/>
    <n v="5.94"/>
    <n v="35.2836"/>
    <x v="2"/>
    <s v="devon12RB"/>
    <n v="1"/>
    <s v="devon12RB-1"/>
  </r>
  <r>
    <x v="11"/>
    <x v="34"/>
    <s v="7.10-20.08"/>
    <n v="13.59"/>
    <s v="#11"/>
    <x v="0"/>
    <n v="20.079999999999998"/>
    <n v="7.1"/>
    <n v="6.49"/>
    <n v="42.120100000000001"/>
    <x v="7"/>
    <s v="NA14QB"/>
    <n v="13"/>
    <s v="NA14QB-13"/>
  </r>
  <r>
    <x v="2"/>
    <x v="40"/>
    <s v="7.46-19.70"/>
    <n v="13.58"/>
    <s v="#4"/>
    <x v="0"/>
    <n v="19.7"/>
    <n v="7.46"/>
    <n v="6.12"/>
    <n v="37.4544"/>
    <x v="7"/>
    <s v="NA9QB"/>
    <n v="11"/>
    <s v="NA9QB-11"/>
  </r>
  <r>
    <x v="16"/>
    <x v="58"/>
    <s v="4.70-22.38"/>
    <n v="13.54"/>
    <s v="#15"/>
    <x v="2"/>
    <n v="22.38"/>
    <n v="4.7"/>
    <n v="8.84"/>
    <n v="78.145600000000002"/>
    <x v="10"/>
    <s v="aj3WR"/>
    <n v="1"/>
    <s v="aj3WR-1"/>
  </r>
  <r>
    <x v="5"/>
    <x v="39"/>
    <s v="5.73-21.33"/>
    <n v="13.53"/>
    <s v="#20"/>
    <x v="2"/>
    <n v="21.33"/>
    <n v="5.73"/>
    <n v="7.8"/>
    <n v="60.84"/>
    <x v="8"/>
    <s v="comp13WR"/>
    <n v="1"/>
    <s v="comp13WR-1"/>
  </r>
  <r>
    <x v="9"/>
    <x v="50"/>
    <s v="6.11-20.95"/>
    <n v="13.53"/>
    <s v="#20"/>
    <x v="2"/>
    <n v="20.95"/>
    <n v="6.11"/>
    <n v="7.42"/>
    <n v="55.056399999999996"/>
    <x v="0"/>
    <s v="matty15WR"/>
    <n v="1"/>
    <s v="matty15WR-1"/>
  </r>
  <r>
    <x v="9"/>
    <x v="32"/>
    <s v="5.84-21.20"/>
    <n v="13.52"/>
    <s v="#16"/>
    <x v="0"/>
    <n v="21.2"/>
    <n v="5.84"/>
    <n v="7.68"/>
    <n v="58.982399999999998"/>
    <x v="1"/>
    <s v="perry15QB"/>
    <n v="2"/>
    <s v="perry15QB-2"/>
  </r>
  <r>
    <x v="11"/>
    <x v="18"/>
    <s v="7.21-19.81"/>
    <n v="13.51"/>
    <s v="#20"/>
    <x v="0"/>
    <n v="19.809999999999999"/>
    <n v="7.21"/>
    <n v="6.3"/>
    <n v="39.69"/>
    <x v="4"/>
    <s v="scott14QB"/>
    <n v="2"/>
    <s v="scott14QB-2"/>
  </r>
  <r>
    <x v="10"/>
    <x v="40"/>
    <s v="7.04-19.94"/>
    <n v="13.49"/>
    <s v="#4"/>
    <x v="0"/>
    <n v="19.940000000000001"/>
    <n v="7.04"/>
    <n v="6.45"/>
    <n v="41.602499999999999"/>
    <x v="7"/>
    <s v="NA2QB"/>
    <n v="10"/>
    <s v="NA2QB-10"/>
  </r>
  <r>
    <x v="5"/>
    <x v="43"/>
    <s v="6.40-20.54"/>
    <n v="13.47"/>
    <s v="#2"/>
    <x v="2"/>
    <n v="20.54"/>
    <n v="6.4"/>
    <n v="7.07"/>
    <n v="49.984900000000003"/>
    <x v="10"/>
    <s v="aj13WR"/>
    <n v="1"/>
    <s v="aj13WR-1"/>
  </r>
  <r>
    <x v="12"/>
    <x v="48"/>
    <s v="6.25-20.65"/>
    <n v="13.45"/>
    <s v="#12"/>
    <x v="2"/>
    <n v="20.65"/>
    <n v="6.25"/>
    <n v="7.2"/>
    <n v="51.84"/>
    <x v="5"/>
    <s v="cory5WR"/>
    <n v="2"/>
    <s v="cory5WR-2"/>
  </r>
  <r>
    <x v="13"/>
    <x v="55"/>
    <s v="6.34-20.54"/>
    <n v="13.44"/>
    <s v="#30"/>
    <x v="1"/>
    <n v="20.54"/>
    <n v="6.34"/>
    <n v="7.1"/>
    <n v="50.41"/>
    <x v="2"/>
    <s v="devon8RB"/>
    <n v="1"/>
    <s v="devon8RB-1"/>
  </r>
  <r>
    <x v="0"/>
    <x v="59"/>
    <s v="6.12-20.76"/>
    <n v="13.44"/>
    <s v="#21"/>
    <x v="2"/>
    <n v="20.76"/>
    <n v="6.12"/>
    <n v="7.32"/>
    <n v="53.5824"/>
    <x v="2"/>
    <s v="devon17WR"/>
    <n v="1"/>
    <s v="devon17WR-1"/>
  </r>
  <r>
    <x v="15"/>
    <x v="38"/>
    <s v="6.58-20.30"/>
    <n v="13.44"/>
    <s v="#4"/>
    <x v="0"/>
    <n v="20.3"/>
    <n v="6.58"/>
    <n v="6.86"/>
    <n v="47.059600000000003"/>
    <x v="7"/>
    <s v="NA10QB"/>
    <n v="11"/>
    <s v="NA10QB-11"/>
  </r>
  <r>
    <x v="0"/>
    <x v="49"/>
    <s v="5.77-21.11"/>
    <n v="13.44"/>
    <s v="#23"/>
    <x v="2"/>
    <n v="21.11"/>
    <n v="5.77"/>
    <n v="7.67"/>
    <n v="58.828899999999997"/>
    <x v="9"/>
    <s v="seth17WR"/>
    <n v="1"/>
    <s v="seth17WR-1"/>
  </r>
  <r>
    <x v="7"/>
    <x v="60"/>
    <s v="7.58-19.30"/>
    <n v="13.44"/>
    <s v="#12"/>
    <x v="0"/>
    <n v="19.3"/>
    <n v="7.58"/>
    <n v="5.86"/>
    <n v="34.339599999999997"/>
    <x v="7"/>
    <s v="NA1QB"/>
    <n v="10"/>
    <s v="NA1QB-10"/>
  </r>
  <r>
    <x v="1"/>
    <x v="45"/>
    <s v="5.16-21.72"/>
    <n v="13.44"/>
    <s v="#9"/>
    <x v="1"/>
    <n v="21.72"/>
    <n v="5.16"/>
    <n v="8.2799999999999994"/>
    <n v="68.558400000000006"/>
    <x v="6"/>
    <s v="lucas16RB"/>
    <n v="1"/>
    <s v="lucas16RB-1"/>
  </r>
  <r>
    <x v="6"/>
    <x v="52"/>
    <s v="5.79-21.07"/>
    <n v="13.43"/>
    <s v="#28"/>
    <x v="1"/>
    <n v="21.07"/>
    <n v="5.79"/>
    <n v="7.64"/>
    <n v="58.369599999999998"/>
    <x v="3"/>
    <s v="chad12RB"/>
    <n v="1"/>
    <s v="chad12RB-1"/>
  </r>
  <r>
    <x v="7"/>
    <x v="34"/>
    <s v="6.97-19.89"/>
    <n v="13.43"/>
    <s v="#28"/>
    <x v="0"/>
    <n v="19.89"/>
    <n v="6.97"/>
    <n v="6.46"/>
    <n v="41.7316"/>
    <x v="7"/>
    <s v="NA1QB"/>
    <n v="11"/>
    <s v="NA1QB-11"/>
  </r>
  <r>
    <x v="15"/>
    <x v="57"/>
    <s v="6.61-20.21"/>
    <n v="13.41"/>
    <s v="#8"/>
    <x v="2"/>
    <n v="20.21"/>
    <n v="6.61"/>
    <n v="6.8"/>
    <n v="46.24"/>
    <x v="1"/>
    <s v="perry10WR"/>
    <n v="1"/>
    <s v="perry10WR-1"/>
  </r>
  <r>
    <x v="3"/>
    <x v="18"/>
    <s v="7.07-19.69"/>
    <n v="13.38"/>
    <s v="#1"/>
    <x v="0"/>
    <n v="19.690000000000001"/>
    <n v="7.07"/>
    <n v="6.31"/>
    <n v="39.816099999999999"/>
    <x v="4"/>
    <s v="scott11QB"/>
    <n v="2"/>
    <s v="scott11QB-2"/>
  </r>
  <r>
    <x v="7"/>
    <x v="55"/>
    <s v="5.61-21.15"/>
    <n v="13.38"/>
    <s v="#18"/>
    <x v="1"/>
    <n v="21.15"/>
    <n v="5.61"/>
    <n v="7.77"/>
    <n v="60.372900000000001"/>
    <x v="2"/>
    <s v="devon1RB"/>
    <n v="2"/>
    <s v="devon1RB-2"/>
  </r>
  <r>
    <x v="8"/>
    <x v="53"/>
    <s v="5.70-21.06"/>
    <n v="13.38"/>
    <s v="#11"/>
    <x v="1"/>
    <n v="21.06"/>
    <n v="5.7"/>
    <n v="7.68"/>
    <n v="58.982399999999998"/>
    <x v="8"/>
    <s v="comp6RB"/>
    <n v="1"/>
    <s v="comp6RB-1"/>
  </r>
  <r>
    <x v="12"/>
    <x v="45"/>
    <s v="5.10-21.64"/>
    <n v="13.37"/>
    <s v="#7"/>
    <x v="1"/>
    <n v="21.64"/>
    <n v="5.0999999999999996"/>
    <n v="8.27"/>
    <n v="68.392899999999997"/>
    <x v="6"/>
    <s v="lucas5RB"/>
    <n v="1"/>
    <s v="lucas5RB-1"/>
  </r>
  <r>
    <x v="6"/>
    <x v="55"/>
    <s v="6.45-20.25"/>
    <n v="13.35"/>
    <s v="#21"/>
    <x v="1"/>
    <n v="20.25"/>
    <n v="6.45"/>
    <n v="6.9"/>
    <n v="47.61"/>
    <x v="2"/>
    <s v="devon12RB"/>
    <n v="2"/>
    <s v="devon12RB-2"/>
  </r>
  <r>
    <x v="9"/>
    <x v="55"/>
    <s v="6.15-20.53"/>
    <n v="13.34"/>
    <s v="#24"/>
    <x v="1"/>
    <n v="20.53"/>
    <n v="6.15"/>
    <n v="7.19"/>
    <n v="51.696100000000001"/>
    <x v="2"/>
    <s v="devon15RB"/>
    <n v="1"/>
    <s v="devon15RB-1"/>
  </r>
  <r>
    <x v="16"/>
    <x v="20"/>
    <s v="6.66-20.00"/>
    <n v="13.33"/>
    <s v="#24"/>
    <x v="0"/>
    <n v="20"/>
    <n v="6.66"/>
    <n v="6.67"/>
    <n v="44.488900000000001"/>
    <x v="7"/>
    <s v="NA3QB"/>
    <n v="10"/>
    <s v="NA3QB-10"/>
  </r>
  <r>
    <x v="12"/>
    <x v="56"/>
    <s v="4.67-21.99"/>
    <n v="13.33"/>
    <s v="#29"/>
    <x v="1"/>
    <n v="21.99"/>
    <n v="4.67"/>
    <n v="8.66"/>
    <n v="74.995599999999996"/>
    <x v="10"/>
    <s v="aj5RB"/>
    <n v="1"/>
    <s v="aj5RB-1"/>
  </r>
  <r>
    <x v="3"/>
    <x v="42"/>
    <s v="5.95-20.67"/>
    <n v="13.31"/>
    <s v="#16"/>
    <x v="2"/>
    <n v="20.67"/>
    <n v="5.95"/>
    <n v="7.36"/>
    <n v="54.169600000000003"/>
    <x v="3"/>
    <s v="chad11WR"/>
    <n v="1"/>
    <s v="chad11WR-1"/>
  </r>
  <r>
    <x v="3"/>
    <x v="44"/>
    <s v="5.96-20.62"/>
    <n v="13.29"/>
    <s v="#28"/>
    <x v="1"/>
    <n v="20.62"/>
    <n v="5.96"/>
    <n v="7.33"/>
    <n v="53.728900000000003"/>
    <x v="2"/>
    <s v="devon11RB"/>
    <n v="1"/>
    <s v="devon11RB-1"/>
  </r>
  <r>
    <x v="9"/>
    <x v="46"/>
    <s v="5.76-20.82"/>
    <n v="13.29"/>
    <s v="#13"/>
    <x v="2"/>
    <n v="20.82"/>
    <n v="5.76"/>
    <n v="7.53"/>
    <n v="56.700899999999997"/>
    <x v="5"/>
    <s v="cory15WR"/>
    <n v="1"/>
    <s v="cory15WR-1"/>
  </r>
  <r>
    <x v="14"/>
    <x v="29"/>
    <s v="5.59-20.97"/>
    <n v="13.28"/>
    <s v="#6"/>
    <x v="0"/>
    <n v="20.97"/>
    <n v="5.59"/>
    <n v="7.69"/>
    <n v="59.136099999999999"/>
    <x v="7"/>
    <s v="NA4QB"/>
    <n v="13"/>
    <s v="NA4QB-13"/>
  </r>
  <r>
    <x v="10"/>
    <x v="45"/>
    <s v="6.32-20.24"/>
    <n v="13.28"/>
    <s v="#23"/>
    <x v="1"/>
    <n v="20.239999999999998"/>
    <n v="6.32"/>
    <n v="6.96"/>
    <n v="48.441600000000001"/>
    <x v="6"/>
    <s v="lucas2RB"/>
    <n v="1"/>
    <s v="lucas2RB-1"/>
  </r>
  <r>
    <x v="13"/>
    <x v="50"/>
    <s v="5.51-21.01"/>
    <n v="13.26"/>
    <s v="#16"/>
    <x v="2"/>
    <n v="21.01"/>
    <n v="5.51"/>
    <n v="7.75"/>
    <n v="60.0625"/>
    <x v="0"/>
    <s v="matty8WR"/>
    <n v="1"/>
    <s v="matty8WR-1"/>
  </r>
  <r>
    <x v="13"/>
    <x v="61"/>
    <s v="4.41-22.09"/>
    <n v="13.25"/>
    <s v="#31"/>
    <x v="1"/>
    <n v="22.09"/>
    <n v="4.41"/>
    <n v="8.84"/>
    <n v="78.145600000000002"/>
    <x v="10"/>
    <s v="aj8RB"/>
    <n v="1"/>
    <s v="aj8RB-1"/>
  </r>
  <r>
    <x v="1"/>
    <x v="52"/>
    <s v="6.31-20.19"/>
    <n v="13.25"/>
    <s v="#18"/>
    <x v="1"/>
    <n v="20.190000000000001"/>
    <n v="6.31"/>
    <n v="6.94"/>
    <n v="48.163600000000002"/>
    <x v="3"/>
    <s v="chad16RB"/>
    <n v="2"/>
    <s v="chad16RB-2"/>
  </r>
  <r>
    <x v="2"/>
    <x v="38"/>
    <s v="6.82-19.68"/>
    <n v="13.25"/>
    <s v="#5"/>
    <x v="0"/>
    <n v="19.68"/>
    <n v="6.82"/>
    <n v="6.43"/>
    <n v="41.344900000000003"/>
    <x v="7"/>
    <s v="NA9QB"/>
    <n v="12"/>
    <s v="NA9QB-12"/>
  </r>
  <r>
    <x v="8"/>
    <x v="43"/>
    <s v="5.56-20.92"/>
    <n v="13.24"/>
    <s v="#11"/>
    <x v="2"/>
    <n v="20.92"/>
    <n v="5.56"/>
    <n v="7.68"/>
    <n v="58.982399999999998"/>
    <x v="10"/>
    <s v="aj6WR"/>
    <n v="1"/>
    <s v="aj6WR-1"/>
  </r>
  <r>
    <x v="12"/>
    <x v="40"/>
    <s v="6.80-19.68"/>
    <n v="13.24"/>
    <s v="#19"/>
    <x v="0"/>
    <n v="19.68"/>
    <n v="6.8"/>
    <n v="6.44"/>
    <n v="41.473599999999998"/>
    <x v="7"/>
    <s v="NA5QB"/>
    <n v="12"/>
    <s v="NA5QB-12"/>
  </r>
  <r>
    <x v="5"/>
    <x v="44"/>
    <s v="5.96-20.50"/>
    <n v="13.23"/>
    <s v="#31"/>
    <x v="1"/>
    <n v="20.5"/>
    <n v="5.96"/>
    <n v="7.27"/>
    <n v="52.852899999999998"/>
    <x v="2"/>
    <s v="devon13RB"/>
    <n v="1"/>
    <s v="devon13RB-1"/>
  </r>
  <r>
    <x v="12"/>
    <x v="32"/>
    <s v="6.43-20.01"/>
    <n v="13.22"/>
    <s v="#1"/>
    <x v="0"/>
    <n v="20.010000000000002"/>
    <n v="6.43"/>
    <n v="6.79"/>
    <n v="46.104100000000003"/>
    <x v="1"/>
    <s v="perry5QB"/>
    <n v="2"/>
    <s v="perry5QB-2"/>
  </r>
  <r>
    <x v="2"/>
    <x v="52"/>
    <s v="4.90-21.54"/>
    <n v="13.22"/>
    <s v="#11"/>
    <x v="1"/>
    <n v="21.54"/>
    <n v="4.9000000000000004"/>
    <n v="8.32"/>
    <n v="69.222399999999993"/>
    <x v="3"/>
    <s v="chad9RB"/>
    <n v="2"/>
    <s v="chad9RB-2"/>
  </r>
  <r>
    <x v="1"/>
    <x v="48"/>
    <s v="6.12-20.26"/>
    <n v="13.19"/>
    <s v="#15"/>
    <x v="2"/>
    <n v="20.260000000000002"/>
    <n v="6.12"/>
    <n v="7.07"/>
    <n v="49.984900000000003"/>
    <x v="5"/>
    <s v="cory16WR"/>
    <n v="1"/>
    <s v="cory16WR-1"/>
  </r>
  <r>
    <x v="16"/>
    <x v="62"/>
    <s v="4.61-21.77"/>
    <n v="13.19"/>
    <s v="#30"/>
    <x v="1"/>
    <n v="21.77"/>
    <n v="4.6100000000000003"/>
    <n v="8.58"/>
    <n v="73.616399999999999"/>
    <x v="6"/>
    <s v="lucas3RB"/>
    <n v="2"/>
    <s v="lucas3RB-2"/>
  </r>
  <r>
    <x v="8"/>
    <x v="26"/>
    <s v="5.80-20.56"/>
    <n v="13.18"/>
    <s v="#3"/>
    <x v="0"/>
    <n v="20.56"/>
    <n v="5.8"/>
    <n v="7.38"/>
    <n v="54.464399999999998"/>
    <x v="7"/>
    <s v="NA6QB"/>
    <n v="13"/>
    <s v="NA6QB-13"/>
  </r>
  <r>
    <x v="6"/>
    <x v="63"/>
    <s v="6.88-19.48"/>
    <n v="13.18"/>
    <s v="#16"/>
    <x v="2"/>
    <n v="19.48"/>
    <n v="6.88"/>
    <n v="6.3"/>
    <n v="39.69"/>
    <x v="4"/>
    <s v="scott12WR"/>
    <n v="1"/>
    <s v="scott12WR-1"/>
  </r>
  <r>
    <x v="16"/>
    <x v="18"/>
    <s v="6.93-19.37"/>
    <n v="13.15"/>
    <s v="#7"/>
    <x v="0"/>
    <n v="19.37"/>
    <n v="6.93"/>
    <n v="6.22"/>
    <n v="38.688400000000001"/>
    <x v="4"/>
    <s v="scott3QB"/>
    <n v="2"/>
    <s v="scott3QB-2"/>
  </r>
  <r>
    <x v="8"/>
    <x v="64"/>
    <s v="5.56-20.74"/>
    <n v="13.15"/>
    <s v="#31"/>
    <x v="1"/>
    <n v="20.74"/>
    <n v="5.56"/>
    <n v="7.59"/>
    <n v="57.6081"/>
    <x v="10"/>
    <s v="aj6RB"/>
    <n v="1"/>
    <s v="aj6RB-1"/>
  </r>
  <r>
    <x v="8"/>
    <x v="37"/>
    <s v="7.34-18.94"/>
    <n v="13.14"/>
    <s v="#26"/>
    <x v="0"/>
    <n v="18.940000000000001"/>
    <n v="7.34"/>
    <n v="5.8"/>
    <n v="33.64"/>
    <x v="7"/>
    <s v="NA6QB"/>
    <n v="14"/>
    <s v="NA6QB-14"/>
  </r>
  <r>
    <x v="9"/>
    <x v="48"/>
    <s v="5.57-20.71"/>
    <n v="13.14"/>
    <s v="#7"/>
    <x v="2"/>
    <n v="20.71"/>
    <n v="5.57"/>
    <n v="7.57"/>
    <n v="57.304900000000004"/>
    <x v="5"/>
    <s v="cory15WR"/>
    <n v="2"/>
    <s v="cory15WR-2"/>
  </r>
  <r>
    <x v="11"/>
    <x v="49"/>
    <s v="5.05-21.23"/>
    <n v="13.14"/>
    <s v="#12"/>
    <x v="2"/>
    <n v="21.23"/>
    <n v="5.05"/>
    <n v="8.09"/>
    <n v="65.448099999999997"/>
    <x v="9"/>
    <s v="seth14WR"/>
    <n v="1"/>
    <s v="seth14WR-1"/>
  </r>
  <r>
    <x v="5"/>
    <x v="40"/>
    <s v="7.08-19.18"/>
    <n v="13.13"/>
    <s v="#11"/>
    <x v="0"/>
    <n v="19.18"/>
    <n v="7.08"/>
    <n v="6.05"/>
    <n v="36.602499999999999"/>
    <x v="7"/>
    <s v="NA13QB"/>
    <n v="14"/>
    <s v="NA13QB-14"/>
  </r>
  <r>
    <x v="16"/>
    <x v="44"/>
    <s v="6.30-19.92"/>
    <n v="13.11"/>
    <s v="#19"/>
    <x v="1"/>
    <n v="19.920000000000002"/>
    <n v="6.3"/>
    <n v="6.81"/>
    <n v="46.376100000000001"/>
    <x v="2"/>
    <s v="devon3RB"/>
    <n v="1"/>
    <s v="devon3RB-1"/>
  </r>
  <r>
    <x v="5"/>
    <x v="55"/>
    <s v="5.67-20.55"/>
    <n v="13.11"/>
    <s v="#17"/>
    <x v="1"/>
    <n v="20.55"/>
    <n v="5.67"/>
    <n v="7.44"/>
    <n v="55.3536"/>
    <x v="2"/>
    <s v="devon13RB"/>
    <n v="2"/>
    <s v="devon13RB-2"/>
  </r>
  <r>
    <x v="3"/>
    <x v="49"/>
    <s v="5.43-20.77"/>
    <n v="13.1"/>
    <s v="#31"/>
    <x v="2"/>
    <n v="20.77"/>
    <n v="5.43"/>
    <n v="7.67"/>
    <n v="58.828899999999997"/>
    <x v="9"/>
    <s v="seth11WR"/>
    <n v="1"/>
    <s v="seth11WR-1"/>
  </r>
  <r>
    <x v="3"/>
    <x v="52"/>
    <s v="6.02-20.16"/>
    <n v="13.09"/>
    <s v="#26"/>
    <x v="1"/>
    <n v="20.16"/>
    <n v="6.02"/>
    <n v="7.07"/>
    <n v="49.984900000000003"/>
    <x v="3"/>
    <s v="chad11RB"/>
    <n v="2"/>
    <s v="chad11RB-2"/>
  </r>
  <r>
    <x v="0"/>
    <x v="57"/>
    <s v="5.80-20.36"/>
    <n v="13.08"/>
    <s v="#18"/>
    <x v="2"/>
    <n v="20.36"/>
    <n v="5.8"/>
    <n v="7.28"/>
    <n v="52.998399999999997"/>
    <x v="1"/>
    <s v="perry17WR"/>
    <n v="1"/>
    <s v="perry17WR-1"/>
  </r>
  <r>
    <x v="15"/>
    <x v="26"/>
    <s v="5.50-20.64"/>
    <n v="13.07"/>
    <s v="#6"/>
    <x v="0"/>
    <n v="20.64"/>
    <n v="5.5"/>
    <n v="7.57"/>
    <n v="57.304900000000004"/>
    <x v="7"/>
    <s v="NA10QB"/>
    <n v="12"/>
    <s v="NA10QB-12"/>
  </r>
  <r>
    <x v="15"/>
    <x v="24"/>
    <s v="6.95-19.11"/>
    <n v="13.03"/>
    <s v="#3"/>
    <x v="0"/>
    <n v="19.11"/>
    <n v="6.95"/>
    <n v="6.08"/>
    <n v="36.9664"/>
    <x v="8"/>
    <s v="comp10QB"/>
    <n v="2"/>
    <s v="comp10QB-2"/>
  </r>
  <r>
    <x v="1"/>
    <x v="41"/>
    <s v="7.04-19.02"/>
    <n v="13.03"/>
    <s v="#5"/>
    <x v="0"/>
    <n v="19.02"/>
    <n v="7.04"/>
    <n v="5.99"/>
    <n v="35.880099999999999"/>
    <x v="7"/>
    <s v="NA16QB"/>
    <n v="14"/>
    <s v="NA16QB-14"/>
  </r>
  <r>
    <x v="6"/>
    <x v="30"/>
    <s v="6.71-19.35"/>
    <n v="13.03"/>
    <s v="#6"/>
    <x v="0"/>
    <n v="19.350000000000001"/>
    <n v="6.71"/>
    <n v="6.32"/>
    <n v="39.942399999999999"/>
    <x v="7"/>
    <s v="NA12QB"/>
    <n v="13"/>
    <s v="NA12QB-13"/>
  </r>
  <r>
    <x v="8"/>
    <x v="42"/>
    <s v="5.32-20.74"/>
    <n v="13.03"/>
    <s v="#2"/>
    <x v="2"/>
    <n v="20.74"/>
    <n v="5.32"/>
    <n v="7.71"/>
    <n v="59.444099999999999"/>
    <x v="3"/>
    <s v="chad6WR"/>
    <n v="1"/>
    <s v="chad6WR-1"/>
  </r>
  <r>
    <x v="11"/>
    <x v="30"/>
    <s v="7.42-18.62"/>
    <n v="13.02"/>
    <s v="#12"/>
    <x v="0"/>
    <n v="18.62"/>
    <n v="7.42"/>
    <n v="5.6"/>
    <n v="31.36"/>
    <x v="7"/>
    <s v="NA14QB"/>
    <n v="14"/>
    <s v="NA14QB-14"/>
  </r>
  <r>
    <x v="16"/>
    <x v="56"/>
    <s v="0.99-25.05"/>
    <n v="13.02"/>
    <s v="#31"/>
    <x v="1"/>
    <n v="25.05"/>
    <n v="0.99"/>
    <n v="12.03"/>
    <n v="144.7209"/>
    <x v="10"/>
    <s v="aj3RB"/>
    <n v="1"/>
    <s v="aj3RB-1"/>
  </r>
  <r>
    <x v="16"/>
    <x v="43"/>
    <s v="5.01-21.01"/>
    <n v="13.01"/>
    <s v="#22"/>
    <x v="2"/>
    <n v="21.01"/>
    <n v="5.01"/>
    <n v="8"/>
    <n v="64"/>
    <x v="10"/>
    <s v="aj3WR"/>
    <n v="2"/>
    <s v="aj3WR-2"/>
  </r>
  <r>
    <x v="7"/>
    <x v="56"/>
    <s v="4.15-21.87"/>
    <n v="13.01"/>
    <s v="#2"/>
    <x v="1"/>
    <n v="21.87"/>
    <n v="4.1500000000000004"/>
    <n v="8.86"/>
    <n v="78.499600000000001"/>
    <x v="10"/>
    <s v="aj1RB"/>
    <n v="1"/>
    <s v="aj1RB-1"/>
  </r>
  <r>
    <x v="11"/>
    <x v="63"/>
    <s v="5.87-20.15"/>
    <n v="13.01"/>
    <s v="#25"/>
    <x v="2"/>
    <n v="20.149999999999999"/>
    <n v="5.87"/>
    <n v="7.14"/>
    <n v="50.979599999999998"/>
    <x v="4"/>
    <s v="scott14WR"/>
    <n v="1"/>
    <s v="scott14WR-1"/>
  </r>
  <r>
    <x v="8"/>
    <x v="40"/>
    <s v="6.95-19.05"/>
    <n v="13"/>
    <s v="#5"/>
    <x v="0"/>
    <n v="19.05"/>
    <n v="6.95"/>
    <n v="6.05"/>
    <n v="36.602499999999999"/>
    <x v="7"/>
    <s v="NA6QB"/>
    <n v="15"/>
    <s v="NA6QB-15"/>
  </r>
  <r>
    <x v="4"/>
    <x v="59"/>
    <s v="5.67-20.31"/>
    <n v="12.99"/>
    <s v="#24"/>
    <x v="2"/>
    <n v="20.309999999999999"/>
    <n v="5.67"/>
    <n v="7.32"/>
    <n v="53.5824"/>
    <x v="2"/>
    <s v="devon7WR"/>
    <n v="1"/>
    <s v="devon7WR-1"/>
  </r>
  <r>
    <x v="14"/>
    <x v="62"/>
    <s v="2.96-23.02"/>
    <n v="12.99"/>
    <s v="#19"/>
    <x v="1"/>
    <n v="23.02"/>
    <n v="2.96"/>
    <n v="10.029999999999999"/>
    <n v="100.6009"/>
    <x v="6"/>
    <s v="lucas4RB"/>
    <n v="2"/>
    <s v="lucas4RB-2"/>
  </r>
  <r>
    <x v="10"/>
    <x v="48"/>
    <s v="6.79-19.15"/>
    <n v="12.97"/>
    <s v="#2"/>
    <x v="2"/>
    <n v="19.149999999999999"/>
    <n v="6.79"/>
    <n v="6.18"/>
    <n v="38.192399999999999"/>
    <x v="5"/>
    <s v="cory2WR"/>
    <n v="1"/>
    <s v="cory2WR-1"/>
  </r>
  <r>
    <x v="6"/>
    <x v="51"/>
    <s v="6.70-19.22"/>
    <n v="12.96"/>
    <s v="#19"/>
    <x v="1"/>
    <n v="19.22"/>
    <n v="6.7"/>
    <n v="6.26"/>
    <n v="39.187600000000003"/>
    <x v="5"/>
    <s v="cory12RB"/>
    <n v="1"/>
    <s v="cory12RB-1"/>
  </r>
  <r>
    <x v="10"/>
    <x v="38"/>
    <s v="6.11-19.81"/>
    <n v="12.96"/>
    <s v="#20"/>
    <x v="0"/>
    <n v="19.809999999999999"/>
    <n v="6.11"/>
    <n v="6.85"/>
    <n v="46.922499999999999"/>
    <x v="7"/>
    <s v="NA2QB"/>
    <n v="11"/>
    <s v="NA2QB-11"/>
  </r>
  <r>
    <x v="10"/>
    <x v="33"/>
    <s v="6.61-19.31"/>
    <n v="12.96"/>
    <s v="#8"/>
    <x v="0"/>
    <n v="19.309999999999999"/>
    <n v="6.61"/>
    <n v="6.35"/>
    <n v="40.322499999999998"/>
    <x v="7"/>
    <s v="NA2QB"/>
    <n v="12"/>
    <s v="NA2QB-12"/>
  </r>
  <r>
    <x v="5"/>
    <x v="52"/>
    <s v="5.22-20.68"/>
    <n v="12.95"/>
    <s v="#22"/>
    <x v="1"/>
    <n v="20.68"/>
    <n v="5.22"/>
    <n v="7.73"/>
    <n v="59.752899999999997"/>
    <x v="3"/>
    <s v="chad13RB"/>
    <n v="2"/>
    <s v="chad13RB-2"/>
  </r>
  <r>
    <x v="2"/>
    <x v="63"/>
    <s v="7.21-18.69"/>
    <n v="12.95"/>
    <s v="#1"/>
    <x v="2"/>
    <n v="18.690000000000001"/>
    <n v="7.21"/>
    <n v="5.74"/>
    <n v="32.947600000000001"/>
    <x v="4"/>
    <s v="scott9WR"/>
    <n v="1"/>
    <s v="scott9WR-1"/>
  </r>
  <r>
    <x v="8"/>
    <x v="65"/>
    <s v="4.41-21.49"/>
    <n v="12.95"/>
    <s v="#32"/>
    <x v="1"/>
    <n v="21.49"/>
    <n v="4.41"/>
    <n v="8.5399999999999991"/>
    <n v="72.931600000000003"/>
    <x v="2"/>
    <s v="devon6RB"/>
    <n v="1"/>
    <s v="devon6RB-1"/>
  </r>
  <r>
    <x v="7"/>
    <x v="39"/>
    <s v="5.55-20.33"/>
    <n v="12.94"/>
    <s v="#2"/>
    <x v="2"/>
    <n v="20.329999999999998"/>
    <n v="5.55"/>
    <n v="7.39"/>
    <n v="54.612099999999998"/>
    <x v="8"/>
    <s v="comp1WR"/>
    <n v="1"/>
    <s v="comp1WR-1"/>
  </r>
  <r>
    <x v="7"/>
    <x v="61"/>
    <s v="7.50-18.38"/>
    <n v="12.94"/>
    <s v="#9"/>
    <x v="1"/>
    <n v="18.38"/>
    <n v="7.5"/>
    <n v="5.44"/>
    <n v="29.593599999999999"/>
    <x v="10"/>
    <s v="aj1RB"/>
    <n v="2"/>
    <s v="aj1RB-2"/>
  </r>
  <r>
    <x v="15"/>
    <x v="48"/>
    <s v="6.52-19.36"/>
    <n v="12.94"/>
    <s v="#19"/>
    <x v="2"/>
    <n v="19.36"/>
    <n v="6.52"/>
    <n v="6.42"/>
    <n v="41.2164"/>
    <x v="5"/>
    <s v="cory10WR"/>
    <n v="2"/>
    <s v="cory10WR-2"/>
  </r>
  <r>
    <x v="8"/>
    <x v="44"/>
    <s v="5.96-19.90"/>
    <n v="12.93"/>
    <s v="#12"/>
    <x v="1"/>
    <n v="19.899999999999999"/>
    <n v="5.96"/>
    <n v="6.97"/>
    <n v="48.5809"/>
    <x v="2"/>
    <s v="devon6RB"/>
    <n v="2"/>
    <s v="devon6RB-2"/>
  </r>
  <r>
    <x v="12"/>
    <x v="41"/>
    <s v="6.84-19.00"/>
    <n v="12.92"/>
    <s v="#13"/>
    <x v="0"/>
    <n v="19"/>
    <n v="6.84"/>
    <n v="6.08"/>
    <n v="36.9664"/>
    <x v="7"/>
    <s v="NA5QB"/>
    <n v="13"/>
    <s v="NA5QB-13"/>
  </r>
  <r>
    <x v="5"/>
    <x v="53"/>
    <s v="5.23-20.61"/>
    <n v="12.92"/>
    <s v="#2"/>
    <x v="1"/>
    <n v="20.61"/>
    <n v="5.23"/>
    <n v="7.69"/>
    <n v="59.136099999999999"/>
    <x v="8"/>
    <s v="comp13RB"/>
    <n v="1"/>
    <s v="comp13RB-1"/>
  </r>
  <r>
    <x v="5"/>
    <x v="54"/>
    <s v="5.56-20.26"/>
    <n v="12.91"/>
    <s v="#9"/>
    <x v="1"/>
    <n v="20.260000000000002"/>
    <n v="5.56"/>
    <n v="7.35"/>
    <n v="54.022500000000001"/>
    <x v="9"/>
    <s v="seth13RB"/>
    <n v="1"/>
    <s v="seth13RB-1"/>
  </r>
  <r>
    <x v="6"/>
    <x v="37"/>
    <s v="7.12-18.68"/>
    <n v="12.9"/>
    <s v="#20"/>
    <x v="0"/>
    <n v="18.68"/>
    <n v="7.12"/>
    <n v="5.78"/>
    <n v="33.4084"/>
    <x v="7"/>
    <s v="NA12QB"/>
    <n v="14"/>
    <s v="NA12QB-14"/>
  </r>
  <r>
    <x v="9"/>
    <x v="42"/>
    <s v="5.87-19.93"/>
    <n v="12.9"/>
    <s v="#32"/>
    <x v="2"/>
    <n v="19.93"/>
    <n v="5.87"/>
    <n v="7.03"/>
    <n v="49.420900000000003"/>
    <x v="3"/>
    <s v="chad15WR"/>
    <n v="1"/>
    <s v="chad15WR-1"/>
  </r>
  <r>
    <x v="4"/>
    <x v="66"/>
    <s v="6.11-19.67"/>
    <n v="12.89"/>
    <s v="#4"/>
    <x v="2"/>
    <n v="19.670000000000002"/>
    <n v="6.11"/>
    <n v="6.78"/>
    <n v="45.968400000000003"/>
    <x v="9"/>
    <s v="seth7WR"/>
    <n v="2"/>
    <s v="seth7WR-2"/>
  </r>
  <r>
    <x v="6"/>
    <x v="66"/>
    <s v="7.56-18.20"/>
    <n v="12.88"/>
    <s v="#21"/>
    <x v="2"/>
    <n v="18.2"/>
    <n v="7.56"/>
    <n v="5.32"/>
    <n v="28.302399999999999"/>
    <x v="9"/>
    <s v="seth12WR"/>
    <n v="1"/>
    <s v="seth12WR-1"/>
  </r>
  <r>
    <x v="1"/>
    <x v="55"/>
    <s v="5.85-19.91"/>
    <n v="12.88"/>
    <s v="#28"/>
    <x v="1"/>
    <n v="19.91"/>
    <n v="5.85"/>
    <n v="7.03"/>
    <n v="49.420900000000003"/>
    <x v="2"/>
    <s v="devon16RB"/>
    <n v="2"/>
    <s v="devon16RB-2"/>
  </r>
  <r>
    <x v="3"/>
    <x v="67"/>
    <s v="4.95-20.81"/>
    <n v="12.88"/>
    <s v="#14"/>
    <x v="2"/>
    <n v="20.81"/>
    <n v="4.95"/>
    <n v="7.93"/>
    <n v="62.884900000000002"/>
    <x v="8"/>
    <s v="comp11WR"/>
    <n v="1"/>
    <s v="comp11WR-1"/>
  </r>
  <r>
    <x v="6"/>
    <x v="39"/>
    <s v="5.86-19.86"/>
    <n v="12.86"/>
    <s v="#16"/>
    <x v="2"/>
    <n v="19.86"/>
    <n v="5.86"/>
    <n v="7"/>
    <n v="49"/>
    <x v="8"/>
    <s v="comp12WR"/>
    <n v="1"/>
    <s v="comp12WR-1"/>
  </r>
  <r>
    <x v="16"/>
    <x v="28"/>
    <s v="5.44-20.26"/>
    <n v="12.85"/>
    <s v="#1"/>
    <x v="0"/>
    <n v="20.260000000000002"/>
    <n v="5.44"/>
    <n v="7.41"/>
    <n v="54.908099999999997"/>
    <x v="7"/>
    <s v="NA3QB"/>
    <n v="11"/>
    <s v="NA3QB-11"/>
  </r>
  <r>
    <x v="6"/>
    <x v="58"/>
    <s v="6.08-19.62"/>
    <n v="12.85"/>
    <s v="#18"/>
    <x v="2"/>
    <n v="19.62"/>
    <n v="6.08"/>
    <n v="6.77"/>
    <n v="45.832900000000002"/>
    <x v="10"/>
    <s v="aj12WR"/>
    <n v="2"/>
    <s v="aj12WR-2"/>
  </r>
  <r>
    <x v="9"/>
    <x v="44"/>
    <s v="6.85-18.83"/>
    <n v="12.84"/>
    <s v="#30"/>
    <x v="1"/>
    <n v="18.829999999999998"/>
    <n v="6.85"/>
    <n v="5.99"/>
    <n v="35.880099999999999"/>
    <x v="2"/>
    <s v="devon15RB"/>
    <n v="2"/>
    <s v="devon15RB-2"/>
  </r>
  <r>
    <x v="0"/>
    <x v="42"/>
    <s v="5.48-20.20"/>
    <n v="12.84"/>
    <s v="#16"/>
    <x v="2"/>
    <n v="20.2"/>
    <n v="5.48"/>
    <n v="7.36"/>
    <n v="54.169600000000003"/>
    <x v="3"/>
    <s v="chad17WR"/>
    <n v="1"/>
    <s v="chad17WR-1"/>
  </r>
  <r>
    <x v="2"/>
    <x v="42"/>
    <s v="5.69-19.97"/>
    <n v="12.83"/>
    <s v="#8"/>
    <x v="2"/>
    <n v="19.97"/>
    <n v="5.69"/>
    <n v="7.14"/>
    <n v="50.979599999999998"/>
    <x v="3"/>
    <s v="chad9WR"/>
    <n v="1"/>
    <s v="chad9WR-1"/>
  </r>
  <r>
    <x v="8"/>
    <x v="50"/>
    <s v="3.93-21.73"/>
    <n v="12.83"/>
    <s v="#17"/>
    <x v="2"/>
    <n v="21.73"/>
    <n v="3.93"/>
    <n v="8.9"/>
    <n v="79.209999999999994"/>
    <x v="0"/>
    <s v="matty6WR"/>
    <n v="1"/>
    <s v="matty6WR-1"/>
  </r>
  <r>
    <x v="10"/>
    <x v="22"/>
    <s v="6.24-19.40"/>
    <n v="12.82"/>
    <s v="#6"/>
    <x v="0"/>
    <n v="19.399999999999999"/>
    <n v="6.24"/>
    <n v="6.58"/>
    <n v="43.296399999999998"/>
    <x v="7"/>
    <s v="NA2QB"/>
    <n v="13"/>
    <s v="NA2QB-13"/>
  </r>
  <r>
    <x v="10"/>
    <x v="62"/>
    <s v="4.61-21.03"/>
    <n v="12.82"/>
    <s v="#7"/>
    <x v="1"/>
    <n v="21.03"/>
    <n v="4.6100000000000003"/>
    <n v="8.2100000000000009"/>
    <n v="67.4041"/>
    <x v="6"/>
    <s v="lucas2RB"/>
    <n v="2"/>
    <s v="lucas2RB-2"/>
  </r>
  <r>
    <x v="11"/>
    <x v="41"/>
    <s v="6.14-19.48"/>
    <n v="12.81"/>
    <s v="#16"/>
    <x v="0"/>
    <n v="19.48"/>
    <n v="6.14"/>
    <n v="6.67"/>
    <n v="44.488900000000001"/>
    <x v="7"/>
    <s v="NA14QB"/>
    <n v="15"/>
    <s v="NA14QB-15"/>
  </r>
  <r>
    <x v="10"/>
    <x v="23"/>
    <s v="4.08-21.54"/>
    <n v="12.81"/>
    <s v="#15"/>
    <x v="1"/>
    <n v="21.54"/>
    <n v="4.08"/>
    <n v="8.73"/>
    <n v="76.212900000000005"/>
    <x v="4"/>
    <s v="scott2RB"/>
    <n v="2"/>
    <s v="scott2RB-2"/>
  </r>
  <r>
    <x v="0"/>
    <x v="68"/>
    <s v="5.42-20.18"/>
    <n v="12.8"/>
    <s v="#32"/>
    <x v="1"/>
    <n v="20.18"/>
    <n v="5.42"/>
    <n v="7.38"/>
    <n v="54.464399999999998"/>
    <x v="4"/>
    <s v="scott17RB"/>
    <n v="3"/>
    <s v="scott17RB-3"/>
  </r>
  <r>
    <x v="8"/>
    <x v="52"/>
    <s v="5.57-20.01"/>
    <n v="12.79"/>
    <s v="#24"/>
    <x v="1"/>
    <n v="20.010000000000002"/>
    <n v="5.57"/>
    <n v="7.22"/>
    <n v="52.128399999999999"/>
    <x v="3"/>
    <s v="chad6RB"/>
    <n v="2"/>
    <s v="chad6RB-2"/>
  </r>
  <r>
    <x v="7"/>
    <x v="36"/>
    <s v="7.43-18.15"/>
    <n v="12.79"/>
    <s v="#15"/>
    <x v="0"/>
    <n v="18.149999999999999"/>
    <n v="7.43"/>
    <n v="5.36"/>
    <n v="28.729600000000001"/>
    <x v="7"/>
    <s v="NA1QB"/>
    <n v="12"/>
    <s v="NA1QB-12"/>
  </r>
  <r>
    <x v="13"/>
    <x v="66"/>
    <s v="7.43-18.13"/>
    <n v="12.78"/>
    <s v="#30"/>
    <x v="2"/>
    <n v="18.13"/>
    <n v="7.43"/>
    <n v="5.35"/>
    <n v="28.622499999999999"/>
    <x v="9"/>
    <s v="seth8WR"/>
    <n v="2"/>
    <s v="seth8WR-2"/>
  </r>
  <r>
    <x v="13"/>
    <x v="57"/>
    <s v="5.88-19.68"/>
    <n v="12.78"/>
    <s v="#21"/>
    <x v="2"/>
    <n v="19.68"/>
    <n v="5.88"/>
    <n v="6.9"/>
    <n v="47.61"/>
    <x v="1"/>
    <s v="perry8WR"/>
    <n v="1"/>
    <s v="perry8WR-1"/>
  </r>
  <r>
    <x v="7"/>
    <x v="16"/>
    <s v="5.75-19.77"/>
    <n v="12.76"/>
    <s v="#11"/>
    <x v="0"/>
    <n v="19.77"/>
    <n v="5.75"/>
    <n v="7.01"/>
    <n v="49.140099999999997"/>
    <x v="7"/>
    <s v="NA1QB"/>
    <n v="13"/>
    <s v="NA1QB-13"/>
  </r>
  <r>
    <x v="3"/>
    <x v="48"/>
    <s v="5.53-19.99"/>
    <n v="12.76"/>
    <s v="#6"/>
    <x v="2"/>
    <n v="19.989999999999998"/>
    <n v="5.53"/>
    <n v="7.23"/>
    <n v="52.2729"/>
    <x v="5"/>
    <s v="cory11WR"/>
    <n v="2"/>
    <s v="cory11WR-2"/>
  </r>
  <r>
    <x v="5"/>
    <x v="48"/>
    <s v="5.96-19.56"/>
    <n v="12.76"/>
    <s v="#23"/>
    <x v="2"/>
    <n v="19.559999999999999"/>
    <n v="5.96"/>
    <n v="6.8"/>
    <n v="46.24"/>
    <x v="5"/>
    <s v="cory13WR"/>
    <n v="1"/>
    <s v="cory13WR-1"/>
  </r>
  <r>
    <x v="2"/>
    <x v="66"/>
    <s v="7.38-18.12"/>
    <n v="12.75"/>
    <s v="#28"/>
    <x v="2"/>
    <n v="18.12"/>
    <n v="7.38"/>
    <n v="5.37"/>
    <n v="28.8369"/>
    <x v="9"/>
    <s v="seth9WR"/>
    <n v="1"/>
    <s v="seth9WR-1"/>
  </r>
  <r>
    <x v="9"/>
    <x v="67"/>
    <s v="5.70-19.80"/>
    <n v="12.75"/>
    <s v="#23"/>
    <x v="2"/>
    <n v="19.8"/>
    <n v="5.7"/>
    <n v="7.05"/>
    <n v="49.702500000000001"/>
    <x v="8"/>
    <s v="comp15WR"/>
    <n v="2"/>
    <s v="comp15WR-2"/>
  </r>
  <r>
    <x v="9"/>
    <x v="66"/>
    <s v="7.43-18.05"/>
    <n v="12.74"/>
    <s v="#24"/>
    <x v="2"/>
    <n v="18.05"/>
    <n v="7.43"/>
    <n v="5.31"/>
    <n v="28.196100000000001"/>
    <x v="9"/>
    <s v="seth15WR"/>
    <n v="1"/>
    <s v="seth15WR-1"/>
  </r>
  <r>
    <x v="10"/>
    <x v="18"/>
    <s v="4.73-20.73"/>
    <n v="12.73"/>
    <s v="#1"/>
    <x v="0"/>
    <n v="20.73"/>
    <n v="4.7300000000000004"/>
    <n v="8"/>
    <n v="64"/>
    <x v="4"/>
    <s v="scott2QB"/>
    <n v="2"/>
    <s v="scott2QB-2"/>
  </r>
  <r>
    <x v="13"/>
    <x v="44"/>
    <s v="7.39-18.05"/>
    <n v="12.72"/>
    <s v="#1"/>
    <x v="1"/>
    <n v="18.05"/>
    <n v="7.39"/>
    <n v="5.33"/>
    <n v="28.408899999999999"/>
    <x v="2"/>
    <s v="devon8RB"/>
    <n v="2"/>
    <s v="devon8RB-2"/>
  </r>
  <r>
    <x v="10"/>
    <x v="55"/>
    <s v="4.72-20.68"/>
    <n v="12.7"/>
    <s v="#21"/>
    <x v="1"/>
    <n v="20.68"/>
    <n v="4.72"/>
    <n v="7.98"/>
    <n v="63.680399999999999"/>
    <x v="2"/>
    <s v="devon2RB"/>
    <n v="1"/>
    <s v="devon2RB-1"/>
  </r>
  <r>
    <x v="8"/>
    <x v="66"/>
    <s v="5.90-19.48"/>
    <n v="12.69"/>
    <s v="#13"/>
    <x v="2"/>
    <n v="19.48"/>
    <n v="5.9"/>
    <n v="6.79"/>
    <n v="46.104100000000003"/>
    <x v="9"/>
    <s v="seth6WR"/>
    <n v="1"/>
    <s v="seth6WR-1"/>
  </r>
  <r>
    <x v="2"/>
    <x v="57"/>
    <s v="5.37-20.01"/>
    <n v="12.69"/>
    <s v="#30"/>
    <x v="2"/>
    <n v="20.010000000000002"/>
    <n v="5.37"/>
    <n v="7.32"/>
    <n v="53.5824"/>
    <x v="1"/>
    <s v="perry9WR"/>
    <n v="1"/>
    <s v="perry9WR-1"/>
  </r>
  <r>
    <x v="9"/>
    <x v="61"/>
    <s v="4.42-20.94"/>
    <n v="12.68"/>
    <s v="#25"/>
    <x v="1"/>
    <n v="20.94"/>
    <n v="4.42"/>
    <n v="8.26"/>
    <n v="68.227599999999995"/>
    <x v="10"/>
    <s v="aj15RB"/>
    <n v="1"/>
    <s v="aj15RB-1"/>
  </r>
  <r>
    <x v="13"/>
    <x v="33"/>
    <s v="6.95-18.41"/>
    <n v="12.68"/>
    <s v="#4"/>
    <x v="0"/>
    <n v="18.41"/>
    <n v="6.95"/>
    <n v="5.73"/>
    <n v="32.832900000000002"/>
    <x v="7"/>
    <s v="NA8QB"/>
    <n v="12"/>
    <s v="NA8QB-12"/>
  </r>
  <r>
    <x v="3"/>
    <x v="69"/>
    <s v="5.43-19.93"/>
    <n v="12.68"/>
    <s v="#32"/>
    <x v="2"/>
    <n v="19.93"/>
    <n v="5.43"/>
    <n v="7.25"/>
    <n v="52.5625"/>
    <x v="0"/>
    <s v="matty11WR"/>
    <n v="1"/>
    <s v="matty11WR-1"/>
  </r>
  <r>
    <x v="3"/>
    <x v="63"/>
    <s v="6.51-18.83"/>
    <n v="12.67"/>
    <s v="#3"/>
    <x v="2"/>
    <n v="18.829999999999998"/>
    <n v="6.51"/>
    <n v="6.16"/>
    <n v="37.945599999999999"/>
    <x v="4"/>
    <s v="scott11WR"/>
    <n v="1"/>
    <s v="scott11WR-1"/>
  </r>
  <r>
    <x v="7"/>
    <x v="70"/>
    <s v="5.94-19.36"/>
    <n v="12.65"/>
    <s v="#9"/>
    <x v="2"/>
    <n v="19.36"/>
    <n v="5.94"/>
    <n v="6.71"/>
    <n v="45.024099999999997"/>
    <x v="2"/>
    <s v="devon1WR"/>
    <n v="1"/>
    <s v="devon1WR-1"/>
  </r>
  <r>
    <x v="5"/>
    <x v="68"/>
    <s v="6.00-19.28"/>
    <n v="12.64"/>
    <s v="#32"/>
    <x v="1"/>
    <n v="19.28"/>
    <n v="6"/>
    <n v="6.64"/>
    <n v="44.089599999999997"/>
    <x v="4"/>
    <s v="scott13RB"/>
    <n v="3"/>
    <s v="scott13RB-3"/>
  </r>
  <r>
    <x v="5"/>
    <x v="45"/>
    <s v="4.70-20.52"/>
    <n v="12.61"/>
    <s v="#5"/>
    <x v="1"/>
    <n v="20.52"/>
    <n v="4.7"/>
    <n v="7.91"/>
    <n v="62.568100000000001"/>
    <x v="6"/>
    <s v="lucas13RB"/>
    <n v="1"/>
    <s v="lucas13RB-1"/>
  </r>
  <r>
    <x v="2"/>
    <x v="50"/>
    <s v="4.85-20.37"/>
    <n v="12.61"/>
    <s v="#2"/>
    <x v="2"/>
    <n v="20.37"/>
    <n v="4.8499999999999996"/>
    <n v="7.76"/>
    <n v="60.217599999999997"/>
    <x v="0"/>
    <s v="matty9WR"/>
    <n v="1"/>
    <s v="matty9WR-1"/>
  </r>
  <r>
    <x v="3"/>
    <x v="54"/>
    <s v="6.14-19.06"/>
    <n v="12.6"/>
    <s v="#15"/>
    <x v="1"/>
    <n v="19.059999999999999"/>
    <n v="6.14"/>
    <n v="6.46"/>
    <n v="41.7316"/>
    <x v="9"/>
    <s v="seth11RB"/>
    <n v="1"/>
    <s v="seth11RB-1"/>
  </r>
  <r>
    <x v="13"/>
    <x v="70"/>
    <s v="6.37-18.81"/>
    <n v="12.59"/>
    <s v="#31"/>
    <x v="2"/>
    <n v="18.809999999999999"/>
    <n v="6.37"/>
    <n v="6.22"/>
    <n v="38.688400000000001"/>
    <x v="2"/>
    <s v="devon8WR"/>
    <n v="1"/>
    <s v="devon8WR-1"/>
  </r>
  <r>
    <x v="4"/>
    <x v="44"/>
    <s v="7.01-18.15"/>
    <n v="12.58"/>
    <s v="#6"/>
    <x v="1"/>
    <n v="18.149999999999999"/>
    <n v="7.01"/>
    <n v="5.57"/>
    <n v="31.024899999999999"/>
    <x v="2"/>
    <s v="devon7RB"/>
    <n v="1"/>
    <s v="devon7RB-1"/>
  </r>
  <r>
    <x v="11"/>
    <x v="71"/>
    <s v="5.31-19.77"/>
    <n v="12.54"/>
    <s v="#29"/>
    <x v="2"/>
    <n v="19.77"/>
    <n v="5.31"/>
    <n v="7.23"/>
    <n v="52.2729"/>
    <x v="1"/>
    <s v="perry14WR"/>
    <n v="1"/>
    <s v="perry14WR-1"/>
  </r>
  <r>
    <x v="6"/>
    <x v="42"/>
    <s v="5.25-19.83"/>
    <n v="12.54"/>
    <s v="#13"/>
    <x v="2"/>
    <n v="19.829999999999998"/>
    <n v="5.25"/>
    <n v="7.29"/>
    <n v="53.144100000000002"/>
    <x v="3"/>
    <s v="chad12WR"/>
    <n v="1"/>
    <s v="chad12WR-1"/>
  </r>
  <r>
    <x v="7"/>
    <x v="28"/>
    <s v="6.77-18.29"/>
    <n v="12.53"/>
    <s v="#8"/>
    <x v="0"/>
    <n v="18.29"/>
    <n v="6.77"/>
    <n v="5.76"/>
    <n v="33.177599999999998"/>
    <x v="7"/>
    <s v="NA1QB"/>
    <n v="14"/>
    <s v="NA1QB-14"/>
  </r>
  <r>
    <x v="7"/>
    <x v="72"/>
    <s v="6.33-18.73"/>
    <n v="12.53"/>
    <s v="#27"/>
    <x v="3"/>
    <n v="18.73"/>
    <n v="6.33"/>
    <n v="6.2"/>
    <n v="38.44"/>
    <x v="6"/>
    <s v="lucas1TE"/>
    <n v="1"/>
    <s v="lucas1TE-1"/>
  </r>
  <r>
    <x v="16"/>
    <x v="72"/>
    <s v="6.12-18.92"/>
    <n v="12.52"/>
    <s v="#28"/>
    <x v="3"/>
    <n v="18.920000000000002"/>
    <n v="6.12"/>
    <n v="6.4"/>
    <n v="40.96"/>
    <x v="6"/>
    <s v="lucas3TE"/>
    <n v="1"/>
    <s v="lucas3TE-1"/>
  </r>
  <r>
    <x v="15"/>
    <x v="71"/>
    <s v="5.42-19.58"/>
    <n v="12.5"/>
    <s v="#24"/>
    <x v="2"/>
    <n v="19.579999999999998"/>
    <n v="5.42"/>
    <n v="7.08"/>
    <n v="50.126399999999997"/>
    <x v="1"/>
    <s v="perry10WR"/>
    <n v="2"/>
    <s v="perry10WR-2"/>
  </r>
  <r>
    <x v="4"/>
    <x v="31"/>
    <s v="4.96-20.04"/>
    <n v="12.5"/>
    <s v="#16"/>
    <x v="1"/>
    <n v="20.04"/>
    <n v="4.96"/>
    <n v="7.54"/>
    <n v="56.851599999999998"/>
    <x v="0"/>
    <s v="matty7RB"/>
    <n v="2"/>
    <s v="matty7RB-2"/>
  </r>
  <r>
    <x v="1"/>
    <x v="58"/>
    <s v="5.76-19.22"/>
    <n v="12.49"/>
    <s v="#23"/>
    <x v="2"/>
    <n v="19.22"/>
    <n v="5.76"/>
    <n v="6.73"/>
    <n v="45.292900000000003"/>
    <x v="10"/>
    <s v="aj16WR"/>
    <n v="1"/>
    <s v="aj16WR-1"/>
  </r>
  <r>
    <x v="4"/>
    <x v="57"/>
    <s v="5.20-19.76"/>
    <n v="12.48"/>
    <s v="#18"/>
    <x v="2"/>
    <n v="19.760000000000002"/>
    <n v="5.2"/>
    <n v="7.28"/>
    <n v="52.998399999999997"/>
    <x v="1"/>
    <s v="perry7WR"/>
    <n v="1"/>
    <s v="perry7WR-1"/>
  </r>
  <r>
    <x v="9"/>
    <x v="43"/>
    <s v="6.05-18.89"/>
    <n v="12.47"/>
    <s v="#4"/>
    <x v="2"/>
    <n v="18.89"/>
    <n v="6.05"/>
    <n v="6.42"/>
    <n v="41.2164"/>
    <x v="10"/>
    <s v="aj15WR"/>
    <n v="1"/>
    <s v="aj15WR-1"/>
  </r>
  <r>
    <x v="7"/>
    <x v="52"/>
    <s v="4.25-20.69"/>
    <n v="12.47"/>
    <s v="#21"/>
    <x v="1"/>
    <n v="20.69"/>
    <n v="4.25"/>
    <n v="8.2200000000000006"/>
    <n v="67.568399999999997"/>
    <x v="3"/>
    <s v="chad1RB"/>
    <n v="2"/>
    <s v="chad1RB-2"/>
  </r>
  <r>
    <x v="1"/>
    <x v="49"/>
    <s v="5.12-19.80"/>
    <n v="12.46"/>
    <s v="#9"/>
    <x v="2"/>
    <n v="19.8"/>
    <n v="5.12"/>
    <n v="7.34"/>
    <n v="53.875599999999999"/>
    <x v="9"/>
    <s v="seth16WR"/>
    <n v="1"/>
    <s v="seth16WR-1"/>
  </r>
  <r>
    <x v="9"/>
    <x v="41"/>
    <s v="5.64-19.24"/>
    <n v="12.44"/>
    <s v="#8"/>
    <x v="0"/>
    <n v="19.239999999999998"/>
    <n v="5.64"/>
    <n v="6.8"/>
    <n v="46.24"/>
    <x v="7"/>
    <s v="NA15QB"/>
    <n v="15"/>
    <s v="NA15QB-15"/>
  </r>
  <r>
    <x v="13"/>
    <x v="48"/>
    <s v="5.39-19.49"/>
    <n v="12.44"/>
    <s v="#26"/>
    <x v="2"/>
    <n v="19.489999999999998"/>
    <n v="5.39"/>
    <n v="7.05"/>
    <n v="49.702500000000001"/>
    <x v="5"/>
    <s v="cory8WR"/>
    <n v="1"/>
    <s v="cory8WR-1"/>
  </r>
  <r>
    <x v="11"/>
    <x v="58"/>
    <s v="6.13-18.75"/>
    <n v="12.44"/>
    <s v="#30"/>
    <x v="2"/>
    <n v="18.75"/>
    <n v="6.13"/>
    <n v="6.31"/>
    <n v="39.816099999999999"/>
    <x v="10"/>
    <s v="aj14WR"/>
    <n v="2"/>
    <s v="aj14WR-2"/>
  </r>
  <r>
    <x v="16"/>
    <x v="60"/>
    <s v="7.49-17.39"/>
    <n v="12.44"/>
    <s v="#5"/>
    <x v="0"/>
    <n v="17.39"/>
    <n v="7.49"/>
    <n v="4.95"/>
    <n v="24.502500000000001"/>
    <x v="7"/>
    <s v="NA3QB"/>
    <n v="12"/>
    <s v="NA3QB-12"/>
  </r>
  <r>
    <x v="1"/>
    <x v="50"/>
    <s v="5.11-19.75"/>
    <n v="12.43"/>
    <s v="#8"/>
    <x v="2"/>
    <n v="19.75"/>
    <n v="5.1100000000000003"/>
    <n v="7.32"/>
    <n v="53.5824"/>
    <x v="0"/>
    <s v="matty16WR"/>
    <n v="1"/>
    <s v="matty16WR-1"/>
  </r>
  <r>
    <x v="11"/>
    <x v="44"/>
    <s v="6.46-18.38"/>
    <n v="12.42"/>
    <s v="#2"/>
    <x v="1"/>
    <n v="18.38"/>
    <n v="6.46"/>
    <n v="5.96"/>
    <n v="35.521599999999999"/>
    <x v="2"/>
    <s v="devon14RB"/>
    <n v="1"/>
    <s v="devon14RB-1"/>
  </r>
  <r>
    <x v="0"/>
    <x v="40"/>
    <s v="6.36-18.46"/>
    <n v="12.41"/>
    <s v="#11"/>
    <x v="0"/>
    <n v="18.46"/>
    <n v="6.36"/>
    <n v="6.05"/>
    <n v="36.602499999999999"/>
    <x v="7"/>
    <s v="NA17QB"/>
    <n v="13"/>
    <s v="NA17QB-13"/>
  </r>
  <r>
    <x v="6"/>
    <x v="67"/>
    <s v="5.61-19.21"/>
    <n v="12.41"/>
    <s v="#24"/>
    <x v="2"/>
    <n v="19.21"/>
    <n v="5.61"/>
    <n v="6.8"/>
    <n v="46.24"/>
    <x v="8"/>
    <s v="comp12WR"/>
    <n v="2"/>
    <s v="comp12WR-2"/>
  </r>
  <r>
    <x v="2"/>
    <x v="71"/>
    <s v="4.65-20.15"/>
    <n v="12.4"/>
    <s v="#17"/>
    <x v="2"/>
    <n v="20.149999999999999"/>
    <n v="4.6500000000000004"/>
    <n v="7.75"/>
    <n v="60.0625"/>
    <x v="1"/>
    <s v="perry9WR"/>
    <n v="2"/>
    <s v="perry9WR-2"/>
  </r>
  <r>
    <x v="10"/>
    <x v="43"/>
    <s v="5.33-19.47"/>
    <n v="12.4"/>
    <s v="#14"/>
    <x v="2"/>
    <n v="19.47"/>
    <n v="5.33"/>
    <n v="7.07"/>
    <n v="49.984900000000003"/>
    <x v="10"/>
    <s v="aj2WR"/>
    <n v="1"/>
    <s v="aj2WR-1"/>
  </r>
  <r>
    <x v="0"/>
    <x v="37"/>
    <s v="6.54-18.24"/>
    <n v="12.39"/>
    <s v="#8"/>
    <x v="0"/>
    <n v="18.239999999999998"/>
    <n v="6.54"/>
    <n v="5.85"/>
    <n v="34.222499999999997"/>
    <x v="7"/>
    <s v="NA17QB"/>
    <n v="14"/>
    <s v="NA17QB-14"/>
  </r>
  <r>
    <x v="0"/>
    <x v="67"/>
    <s v="4.46-20.32"/>
    <n v="12.39"/>
    <s v="#14"/>
    <x v="2"/>
    <n v="20.32"/>
    <n v="4.46"/>
    <n v="7.93"/>
    <n v="62.884900000000002"/>
    <x v="8"/>
    <s v="comp17WR"/>
    <n v="2"/>
    <s v="comp17WR-2"/>
  </r>
  <r>
    <x v="15"/>
    <x v="49"/>
    <s v="5.21-19.55"/>
    <n v="12.38"/>
    <s v="#18"/>
    <x v="2"/>
    <n v="19.55"/>
    <n v="5.21"/>
    <n v="7.17"/>
    <n v="51.408900000000003"/>
    <x v="9"/>
    <s v="seth10WR"/>
    <n v="1"/>
    <s v="seth10WR-1"/>
  </r>
  <r>
    <x v="3"/>
    <x v="53"/>
    <s v="5.66-19.06"/>
    <n v="12.36"/>
    <s v="#12"/>
    <x v="1"/>
    <n v="19.059999999999999"/>
    <n v="5.66"/>
    <n v="6.7"/>
    <n v="44.89"/>
    <x v="8"/>
    <s v="comp11RB"/>
    <n v="1"/>
    <s v="comp11RB-1"/>
  </r>
  <r>
    <x v="10"/>
    <x v="44"/>
    <s v="6.01-18.69"/>
    <n v="12.35"/>
    <s v="#29"/>
    <x v="1"/>
    <n v="18.690000000000001"/>
    <n v="6.01"/>
    <n v="6.34"/>
    <n v="40.195599999999999"/>
    <x v="2"/>
    <s v="devon2RB"/>
    <n v="2"/>
    <s v="devon2RB-2"/>
  </r>
  <r>
    <x v="7"/>
    <x v="58"/>
    <s v="4.13-20.55"/>
    <n v="12.34"/>
    <s v="#30"/>
    <x v="2"/>
    <n v="20.55"/>
    <n v="4.13"/>
    <n v="8.2100000000000009"/>
    <n v="67.4041"/>
    <x v="10"/>
    <s v="aj1WR"/>
    <n v="2"/>
    <s v="aj1WR-2"/>
  </r>
  <r>
    <x v="8"/>
    <x v="56"/>
    <s v="3.35-21.31"/>
    <n v="12.33"/>
    <s v="#19"/>
    <x v="1"/>
    <n v="21.31"/>
    <n v="3.35"/>
    <n v="8.98"/>
    <n v="80.6404"/>
    <x v="10"/>
    <s v="aj6RB"/>
    <n v="2"/>
    <s v="aj6RB-2"/>
  </r>
  <r>
    <x v="1"/>
    <x v="67"/>
    <s v="5.66-18.98"/>
    <n v="12.32"/>
    <s v="#22"/>
    <x v="2"/>
    <n v="18.98"/>
    <n v="5.66"/>
    <n v="6.66"/>
    <n v="44.355600000000003"/>
    <x v="8"/>
    <s v="comp16WR"/>
    <n v="2"/>
    <s v="comp16WR-2"/>
  </r>
  <r>
    <x v="8"/>
    <x v="57"/>
    <s v="5.51-19.11"/>
    <n v="12.31"/>
    <s v="#16"/>
    <x v="2"/>
    <n v="19.11"/>
    <n v="5.51"/>
    <n v="6.8"/>
    <n v="46.24"/>
    <x v="1"/>
    <s v="perry6WR"/>
    <n v="1"/>
    <s v="perry6WR-1"/>
  </r>
  <r>
    <x v="1"/>
    <x v="57"/>
    <s v="6.00-18.60"/>
    <n v="12.3"/>
    <s v="#13"/>
    <x v="2"/>
    <n v="18.600000000000001"/>
    <n v="6"/>
    <n v="6.3"/>
    <n v="39.69"/>
    <x v="1"/>
    <s v="perry16WR"/>
    <n v="1"/>
    <s v="perry16WR-1"/>
  </r>
  <r>
    <x v="8"/>
    <x v="71"/>
    <s v="4.99-19.61"/>
    <n v="12.3"/>
    <s v="#18"/>
    <x v="2"/>
    <n v="19.61"/>
    <n v="4.99"/>
    <n v="7.31"/>
    <n v="53.436100000000003"/>
    <x v="1"/>
    <s v="perry6WR"/>
    <n v="2"/>
    <s v="perry6WR-2"/>
  </r>
  <r>
    <x v="1"/>
    <x v="73"/>
    <s v="4.00-20.60"/>
    <n v="12.3"/>
    <s v="#27"/>
    <x v="1"/>
    <n v="20.6"/>
    <n v="4"/>
    <n v="8.3000000000000007"/>
    <n v="68.89"/>
    <x v="0"/>
    <s v="matty16RB"/>
    <n v="3"/>
    <s v="matty16RB-3"/>
  </r>
  <r>
    <x v="0"/>
    <x v="71"/>
    <s v="5.91-18.67"/>
    <n v="12.29"/>
    <s v="#28"/>
    <x v="2"/>
    <n v="18.670000000000002"/>
    <n v="5.91"/>
    <n v="6.38"/>
    <n v="40.7044"/>
    <x v="1"/>
    <s v="perry17WR"/>
    <n v="2"/>
    <s v="perry17WR-2"/>
  </r>
  <r>
    <x v="13"/>
    <x v="52"/>
    <s v="5.64-18.94"/>
    <n v="12.29"/>
    <s v="#4"/>
    <x v="1"/>
    <n v="18.940000000000001"/>
    <n v="5.64"/>
    <n v="6.65"/>
    <n v="44.222499999999997"/>
    <x v="3"/>
    <s v="chad8RB"/>
    <n v="2"/>
    <s v="chad8RB-2"/>
  </r>
  <r>
    <x v="10"/>
    <x v="60"/>
    <s v="6.46-18.12"/>
    <n v="12.29"/>
    <s v="#10"/>
    <x v="0"/>
    <n v="18.12"/>
    <n v="6.46"/>
    <n v="5.83"/>
    <n v="33.988900000000001"/>
    <x v="7"/>
    <s v="NA2QB"/>
    <n v="14"/>
    <s v="NA2QB-14"/>
  </r>
  <r>
    <x v="3"/>
    <x v="50"/>
    <s v="5.36-19.22"/>
    <n v="12.29"/>
    <s v="#10"/>
    <x v="2"/>
    <n v="19.22"/>
    <n v="5.36"/>
    <n v="6.93"/>
    <n v="48.024900000000002"/>
    <x v="0"/>
    <s v="matty11WR"/>
    <n v="2"/>
    <s v="matty11WR-2"/>
  </r>
  <r>
    <x v="12"/>
    <x v="66"/>
    <s v="5.16-19.38"/>
    <n v="12.27"/>
    <s v="#6"/>
    <x v="2"/>
    <n v="19.38"/>
    <n v="5.16"/>
    <n v="7.11"/>
    <n v="50.552100000000003"/>
    <x v="9"/>
    <s v="seth5WR"/>
    <n v="1"/>
    <s v="seth5WR-1"/>
  </r>
  <r>
    <x v="1"/>
    <x v="66"/>
    <s v="6.90-17.64"/>
    <n v="12.27"/>
    <s v="#28"/>
    <x v="2"/>
    <n v="17.64"/>
    <n v="6.9"/>
    <n v="5.37"/>
    <n v="28.8369"/>
    <x v="9"/>
    <s v="seth16WR"/>
    <n v="2"/>
    <s v="seth16WR-2"/>
  </r>
  <r>
    <x v="3"/>
    <x v="39"/>
    <s v="4.66-19.88"/>
    <n v="12.27"/>
    <s v="#3"/>
    <x v="2"/>
    <n v="19.88"/>
    <n v="4.66"/>
    <n v="7.61"/>
    <n v="57.912100000000002"/>
    <x v="8"/>
    <s v="comp11WR"/>
    <n v="2"/>
    <s v="comp11WR-2"/>
  </r>
  <r>
    <x v="2"/>
    <x v="39"/>
    <s v="4.57-19.95"/>
    <n v="12.26"/>
    <s v="#1"/>
    <x v="2"/>
    <n v="19.95"/>
    <n v="4.57"/>
    <n v="7.69"/>
    <n v="59.136099999999999"/>
    <x v="8"/>
    <s v="comp9WR"/>
    <n v="1"/>
    <s v="comp9WR-1"/>
  </r>
  <r>
    <x v="13"/>
    <x v="68"/>
    <s v="5.04-19.48"/>
    <n v="12.26"/>
    <s v="#9"/>
    <x v="1"/>
    <n v="19.48"/>
    <n v="5.04"/>
    <n v="7.22"/>
    <n v="52.128399999999999"/>
    <x v="4"/>
    <s v="scott8RB"/>
    <n v="3"/>
    <s v="scott8RB-3"/>
  </r>
  <r>
    <x v="4"/>
    <x v="51"/>
    <s v="6.29-18.21"/>
    <n v="12.25"/>
    <s v="#31"/>
    <x v="1"/>
    <n v="18.21"/>
    <n v="6.29"/>
    <n v="5.96"/>
    <n v="35.521599999999999"/>
    <x v="5"/>
    <s v="cory7RB"/>
    <n v="1"/>
    <s v="cory7RB-1"/>
  </r>
  <r>
    <x v="9"/>
    <x v="57"/>
    <s v="6.60-17.86"/>
    <n v="12.23"/>
    <s v="#6"/>
    <x v="2"/>
    <n v="17.86"/>
    <n v="6.6"/>
    <n v="5.63"/>
    <n v="31.696899999999999"/>
    <x v="1"/>
    <s v="perry15WR"/>
    <n v="1"/>
    <s v="perry15WR-1"/>
  </r>
  <r>
    <x v="12"/>
    <x v="65"/>
    <s v="4.65-19.79"/>
    <n v="12.22"/>
    <s v="#9"/>
    <x v="1"/>
    <n v="19.79"/>
    <n v="4.6500000000000004"/>
    <n v="7.57"/>
    <n v="57.304900000000004"/>
    <x v="2"/>
    <s v="devon5RB"/>
    <n v="2"/>
    <s v="devon5RB-2"/>
  </r>
  <r>
    <x v="6"/>
    <x v="31"/>
    <s v="4.18-20.24"/>
    <n v="12.21"/>
    <s v="#20"/>
    <x v="1"/>
    <n v="20.239999999999998"/>
    <n v="4.18"/>
    <n v="8.0299999999999994"/>
    <n v="64.480900000000005"/>
    <x v="0"/>
    <s v="matty12RB"/>
    <n v="2"/>
    <s v="matty12RB-2"/>
  </r>
  <r>
    <x v="13"/>
    <x v="63"/>
    <s v="5.59-18.83"/>
    <n v="12.21"/>
    <s v="#2"/>
    <x v="2"/>
    <n v="18.829999999999998"/>
    <n v="5.59"/>
    <n v="6.62"/>
    <n v="43.824399999999997"/>
    <x v="4"/>
    <s v="scott8WR"/>
    <n v="1"/>
    <s v="scott8WR-1"/>
  </r>
  <r>
    <x v="12"/>
    <x v="49"/>
    <s v="4.69-19.73"/>
    <n v="12.21"/>
    <s v="#7"/>
    <x v="2"/>
    <n v="19.73"/>
    <n v="4.6900000000000004"/>
    <n v="7.52"/>
    <n v="56.550400000000003"/>
    <x v="9"/>
    <s v="seth5WR"/>
    <n v="2"/>
    <s v="seth5WR-2"/>
  </r>
  <r>
    <x v="9"/>
    <x v="70"/>
    <s v="6.66-17.74"/>
    <n v="12.2"/>
    <s v="#25"/>
    <x v="2"/>
    <n v="17.739999999999998"/>
    <n v="6.66"/>
    <n v="5.54"/>
    <n v="30.691600000000001"/>
    <x v="2"/>
    <s v="devon15WR"/>
    <n v="1"/>
    <s v="devon15WR-1"/>
  </r>
  <r>
    <x v="5"/>
    <x v="24"/>
    <s v="6.12-18.28"/>
    <n v="12.2"/>
    <s v="#3"/>
    <x v="0"/>
    <n v="18.28"/>
    <n v="6.12"/>
    <n v="6.08"/>
    <n v="36.9664"/>
    <x v="8"/>
    <s v="comp13QB"/>
    <n v="2"/>
    <s v="comp13QB-2"/>
  </r>
  <r>
    <x v="5"/>
    <x v="57"/>
    <s v="5.71-18.69"/>
    <n v="12.2"/>
    <s v="#28"/>
    <x v="2"/>
    <n v="18.690000000000001"/>
    <n v="5.71"/>
    <n v="6.49"/>
    <n v="42.120100000000001"/>
    <x v="1"/>
    <s v="perry13WR"/>
    <n v="1"/>
    <s v="perry13WR-1"/>
  </r>
  <r>
    <x v="13"/>
    <x v="41"/>
    <s v="6.12-18.28"/>
    <n v="12.2"/>
    <s v="#13"/>
    <x v="0"/>
    <n v="18.28"/>
    <n v="6.12"/>
    <n v="6.08"/>
    <n v="36.9664"/>
    <x v="7"/>
    <s v="NA8QB"/>
    <n v="13"/>
    <s v="NA8QB-13"/>
  </r>
  <r>
    <x v="15"/>
    <x v="50"/>
    <s v="5.51-18.89"/>
    <n v="12.2"/>
    <s v="#13"/>
    <x v="2"/>
    <n v="18.89"/>
    <n v="5.51"/>
    <n v="6.69"/>
    <n v="44.756100000000004"/>
    <x v="0"/>
    <s v="matty10WR"/>
    <n v="1"/>
    <s v="matty10WR-1"/>
  </r>
  <r>
    <x v="1"/>
    <x v="46"/>
    <s v="4.79-19.57"/>
    <n v="12.18"/>
    <s v="#7"/>
    <x v="2"/>
    <n v="19.57"/>
    <n v="4.79"/>
    <n v="7.39"/>
    <n v="54.612099999999998"/>
    <x v="5"/>
    <s v="cory16WR"/>
    <n v="2"/>
    <s v="cory16WR-2"/>
  </r>
  <r>
    <x v="12"/>
    <x v="57"/>
    <s v="4.80-19.46"/>
    <n v="12.13"/>
    <s v="#8"/>
    <x v="2"/>
    <n v="19.46"/>
    <n v="4.8"/>
    <n v="7.33"/>
    <n v="53.728900000000003"/>
    <x v="1"/>
    <s v="perry5WR"/>
    <n v="1"/>
    <s v="perry5WR-1"/>
  </r>
  <r>
    <x v="0"/>
    <x v="54"/>
    <s v="4.34-19.92"/>
    <n v="12.13"/>
    <s v="#27"/>
    <x v="1"/>
    <n v="19.920000000000002"/>
    <n v="4.34"/>
    <n v="7.79"/>
    <n v="60.684100000000001"/>
    <x v="9"/>
    <s v="seth17RB"/>
    <n v="1"/>
    <s v="seth17RB-1"/>
  </r>
  <r>
    <x v="10"/>
    <x v="16"/>
    <s v="5.99-18.25"/>
    <n v="12.12"/>
    <s v="#19"/>
    <x v="0"/>
    <n v="18.25"/>
    <n v="5.99"/>
    <n v="6.13"/>
    <n v="37.576900000000002"/>
    <x v="7"/>
    <s v="NA2QB"/>
    <n v="15"/>
    <s v="NA2QB-15"/>
  </r>
  <r>
    <x v="16"/>
    <x v="42"/>
    <s v="3.87-20.37"/>
    <n v="12.12"/>
    <s v="#10"/>
    <x v="2"/>
    <n v="20.37"/>
    <n v="3.87"/>
    <n v="8.25"/>
    <n v="68.0625"/>
    <x v="3"/>
    <s v="chad3WR"/>
    <n v="1"/>
    <s v="chad3WR-1"/>
  </r>
  <r>
    <x v="11"/>
    <x v="57"/>
    <s v="6.79-17.43"/>
    <n v="12.11"/>
    <s v="#5"/>
    <x v="2"/>
    <n v="17.43"/>
    <n v="6.79"/>
    <n v="5.32"/>
    <n v="28.302399999999999"/>
    <x v="1"/>
    <s v="perry14WR"/>
    <n v="2"/>
    <s v="perry14WR-2"/>
  </r>
  <r>
    <x v="12"/>
    <x v="74"/>
    <s v="4.07-20.11"/>
    <n v="12.09"/>
    <s v="#32"/>
    <x v="1"/>
    <n v="20.11"/>
    <n v="4.07"/>
    <n v="8.02"/>
    <n v="64.320400000000006"/>
    <x v="9"/>
    <s v="seth5RB"/>
    <n v="1"/>
    <s v="seth5RB-1"/>
  </r>
  <r>
    <x v="0"/>
    <x v="43"/>
    <s v="5.89-18.27"/>
    <n v="12.08"/>
    <s v="#3"/>
    <x v="2"/>
    <n v="18.27"/>
    <n v="5.89"/>
    <n v="6.19"/>
    <n v="38.316099999999999"/>
    <x v="10"/>
    <s v="aj17WR"/>
    <n v="1"/>
    <s v="aj17WR-1"/>
  </r>
  <r>
    <x v="4"/>
    <x v="61"/>
    <s v="3.61-20.55"/>
    <n v="12.08"/>
    <s v="#32"/>
    <x v="1"/>
    <n v="20.55"/>
    <n v="3.61"/>
    <n v="8.4700000000000006"/>
    <n v="71.740899999999996"/>
    <x v="10"/>
    <s v="aj7RB"/>
    <n v="1"/>
    <s v="aj7RB-1"/>
  </r>
  <r>
    <x v="0"/>
    <x v="55"/>
    <s v="4.08-20.04"/>
    <n v="12.06"/>
    <s v="#5"/>
    <x v="1"/>
    <n v="20.04"/>
    <n v="4.08"/>
    <n v="7.98"/>
    <n v="63.680399999999999"/>
    <x v="2"/>
    <s v="devon17RB"/>
    <n v="1"/>
    <s v="devon17RB-1"/>
  </r>
  <r>
    <x v="14"/>
    <x v="37"/>
    <s v="5.63-18.49"/>
    <n v="12.06"/>
    <s v="#8"/>
    <x v="0"/>
    <n v="18.489999999999998"/>
    <n v="5.63"/>
    <n v="6.43"/>
    <n v="41.344900000000003"/>
    <x v="7"/>
    <s v="NA4QB"/>
    <n v="14"/>
    <s v="NA4QB-14"/>
  </r>
  <r>
    <x v="0"/>
    <x v="44"/>
    <s v="6.04-18.02"/>
    <n v="12.03"/>
    <s v="#30"/>
    <x v="1"/>
    <n v="18.02"/>
    <n v="6.04"/>
    <n v="5.99"/>
    <n v="35.880099999999999"/>
    <x v="2"/>
    <s v="devon17RB"/>
    <n v="2"/>
    <s v="devon17RB-2"/>
  </r>
  <r>
    <x v="16"/>
    <x v="52"/>
    <s v="5.62-18.44"/>
    <n v="12.03"/>
    <s v="#13"/>
    <x v="1"/>
    <n v="18.440000000000001"/>
    <n v="5.62"/>
    <n v="6.41"/>
    <n v="41.088099999999997"/>
    <x v="3"/>
    <s v="chad3RB"/>
    <n v="2"/>
    <s v="chad3RB-2"/>
  </r>
  <r>
    <x v="8"/>
    <x v="55"/>
    <s v="3.92-20.12"/>
    <n v="12.02"/>
    <s v="#13"/>
    <x v="1"/>
    <n v="20.12"/>
    <n v="3.92"/>
    <n v="8.1"/>
    <n v="65.61"/>
    <x v="2"/>
    <s v="devon6RB"/>
    <n v="3"/>
    <s v="devon6RB-3"/>
  </r>
  <r>
    <x v="10"/>
    <x v="49"/>
    <s v="4.37-19.67"/>
    <n v="12.02"/>
    <s v="#23"/>
    <x v="2"/>
    <n v="19.670000000000002"/>
    <n v="4.37"/>
    <n v="7.65"/>
    <n v="58.522500000000001"/>
    <x v="9"/>
    <s v="seth2WR"/>
    <n v="1"/>
    <s v="seth2WR-1"/>
  </r>
  <r>
    <x v="0"/>
    <x v="64"/>
    <s v="4.41-19.59"/>
    <n v="12"/>
    <s v="#31"/>
    <x v="1"/>
    <n v="19.59"/>
    <n v="4.41"/>
    <n v="7.59"/>
    <n v="57.6081"/>
    <x v="10"/>
    <s v="aj17RB"/>
    <n v="1"/>
    <s v="aj17RB-1"/>
  </r>
  <r>
    <x v="10"/>
    <x v="20"/>
    <s v="6.15-17.81"/>
    <n v="11.98"/>
    <s v="#16"/>
    <x v="0"/>
    <n v="17.809999999999999"/>
    <n v="6.15"/>
    <n v="5.83"/>
    <n v="33.988900000000001"/>
    <x v="7"/>
    <s v="NA2QB"/>
    <n v="16"/>
    <s v="NA2QB-16"/>
  </r>
  <r>
    <x v="0"/>
    <x v="31"/>
    <s v="4.57-19.37"/>
    <n v="11.97"/>
    <s v="#8"/>
    <x v="1"/>
    <n v="19.37"/>
    <n v="4.57"/>
    <n v="7.4"/>
    <n v="54.76"/>
    <x v="0"/>
    <s v="matty17RB"/>
    <n v="2"/>
    <s v="matty17RB-2"/>
  </r>
  <r>
    <x v="6"/>
    <x v="61"/>
    <s v="3.27-20.67"/>
    <n v="11.97"/>
    <s v="#2"/>
    <x v="1"/>
    <n v="20.67"/>
    <n v="3.27"/>
    <n v="8.6999999999999993"/>
    <n v="75.69"/>
    <x v="10"/>
    <s v="aj12RB"/>
    <n v="1"/>
    <s v="aj12RB-1"/>
  </r>
  <r>
    <x v="16"/>
    <x v="70"/>
    <s v="5.35-18.57"/>
    <n v="11.96"/>
    <s v="#7"/>
    <x v="2"/>
    <n v="18.57"/>
    <n v="5.35"/>
    <n v="6.61"/>
    <n v="43.692100000000003"/>
    <x v="2"/>
    <s v="devon3WR"/>
    <n v="1"/>
    <s v="devon3WR-1"/>
  </r>
  <r>
    <x v="0"/>
    <x v="58"/>
    <s v="6.03-17.87"/>
    <n v="11.95"/>
    <s v="#29"/>
    <x v="2"/>
    <n v="17.87"/>
    <n v="6.03"/>
    <n v="5.92"/>
    <n v="35.046399999999998"/>
    <x v="10"/>
    <s v="aj17WR"/>
    <n v="2"/>
    <s v="aj17WR-2"/>
  </r>
  <r>
    <x v="11"/>
    <x v="72"/>
    <s v="4.79-19.09"/>
    <n v="11.94"/>
    <s v="#24"/>
    <x v="3"/>
    <n v="19.09"/>
    <n v="4.79"/>
    <n v="7.15"/>
    <n v="51.122500000000002"/>
    <x v="6"/>
    <s v="lucas14TE"/>
    <n v="1"/>
    <s v="lucas14TE-1"/>
  </r>
  <r>
    <x v="14"/>
    <x v="56"/>
    <s v="2.94-20.88"/>
    <n v="11.91"/>
    <s v="#1"/>
    <x v="1"/>
    <n v="20.88"/>
    <n v="2.94"/>
    <n v="8.9700000000000006"/>
    <n v="80.460899999999995"/>
    <x v="10"/>
    <s v="aj4RB"/>
    <n v="1"/>
    <s v="aj4RB-1"/>
  </r>
  <r>
    <x v="14"/>
    <x v="23"/>
    <s v="2.39-21.43"/>
    <n v="11.91"/>
    <s v="#16"/>
    <x v="1"/>
    <n v="21.43"/>
    <n v="2.39"/>
    <n v="9.52"/>
    <n v="90.630399999999995"/>
    <x v="4"/>
    <s v="scott4RB"/>
    <n v="2"/>
    <s v="scott4RB-2"/>
  </r>
  <r>
    <x v="11"/>
    <x v="66"/>
    <s v="5.55-18.23"/>
    <n v="11.89"/>
    <s v="#8"/>
    <x v="2"/>
    <n v="18.23"/>
    <n v="5.55"/>
    <n v="6.34"/>
    <n v="40.195599999999999"/>
    <x v="9"/>
    <s v="seth14WR"/>
    <n v="2"/>
    <s v="seth14WR-2"/>
  </r>
  <r>
    <x v="1"/>
    <x v="54"/>
    <s v="4.32-19.46"/>
    <n v="11.89"/>
    <s v="#24"/>
    <x v="1"/>
    <n v="19.46"/>
    <n v="4.32"/>
    <n v="7.57"/>
    <n v="57.304900000000004"/>
    <x v="9"/>
    <s v="seth16RB"/>
    <n v="1"/>
    <s v="seth16RB-1"/>
  </r>
  <r>
    <x v="10"/>
    <x v="74"/>
    <s v="1.09-22.69"/>
    <n v="11.89"/>
    <s v="#17"/>
    <x v="1"/>
    <n v="22.69"/>
    <n v="1.0900000000000001"/>
    <n v="10.8"/>
    <n v="116.64"/>
    <x v="9"/>
    <s v="seth2RB"/>
    <n v="1"/>
    <s v="seth2RB-1"/>
  </r>
  <r>
    <x v="9"/>
    <x v="58"/>
    <s v="4.76-19.00"/>
    <n v="11.88"/>
    <s v="#1"/>
    <x v="2"/>
    <n v="19"/>
    <n v="4.76"/>
    <n v="7.12"/>
    <n v="50.694400000000002"/>
    <x v="10"/>
    <s v="aj15WR"/>
    <n v="2"/>
    <s v="aj15WR-2"/>
  </r>
  <r>
    <x v="10"/>
    <x v="52"/>
    <s v="5.25-18.47"/>
    <n v="11.86"/>
    <s v="#8"/>
    <x v="1"/>
    <n v="18.47"/>
    <n v="5.25"/>
    <n v="6.61"/>
    <n v="43.692100000000003"/>
    <x v="3"/>
    <s v="chad2RB"/>
    <n v="2"/>
    <s v="chad2RB-2"/>
  </r>
  <r>
    <x v="7"/>
    <x v="48"/>
    <s v="5.31-18.41"/>
    <n v="11.86"/>
    <s v="#31"/>
    <x v="2"/>
    <n v="18.41"/>
    <n v="5.31"/>
    <n v="6.55"/>
    <n v="42.902500000000003"/>
    <x v="5"/>
    <s v="cory1WR"/>
    <n v="1"/>
    <s v="cory1WR-1"/>
  </r>
  <r>
    <x v="14"/>
    <x v="71"/>
    <s v="4.38-19.32"/>
    <n v="11.85"/>
    <s v="#11"/>
    <x v="2"/>
    <n v="19.32"/>
    <n v="4.38"/>
    <n v="7.47"/>
    <n v="55.800899999999999"/>
    <x v="1"/>
    <s v="perry4WR"/>
    <n v="1"/>
    <s v="perry4WR-1"/>
  </r>
  <r>
    <x v="0"/>
    <x v="52"/>
    <s v="4.78-18.92"/>
    <n v="11.85"/>
    <s v="#26"/>
    <x v="1"/>
    <n v="18.920000000000002"/>
    <n v="4.78"/>
    <n v="7.07"/>
    <n v="49.984900000000003"/>
    <x v="3"/>
    <s v="chad17RB"/>
    <n v="2"/>
    <s v="chad17RB-2"/>
  </r>
  <r>
    <x v="15"/>
    <x v="54"/>
    <s v="4.49-19.19"/>
    <n v="11.84"/>
    <s v="#9"/>
    <x v="1"/>
    <n v="19.190000000000001"/>
    <n v="4.49"/>
    <n v="7.35"/>
    <n v="54.022500000000001"/>
    <x v="9"/>
    <s v="seth10RB"/>
    <n v="1"/>
    <s v="seth10RB-1"/>
  </r>
  <r>
    <x v="12"/>
    <x v="50"/>
    <s v="3.71-19.95"/>
    <n v="11.83"/>
    <s v="#3"/>
    <x v="2"/>
    <n v="19.95"/>
    <n v="3.71"/>
    <n v="8.1199999999999992"/>
    <n v="65.934399999999997"/>
    <x v="0"/>
    <s v="matty5WR"/>
    <n v="1"/>
    <s v="matty5WR-1"/>
  </r>
  <r>
    <x v="12"/>
    <x v="53"/>
    <s v="5.41-18.23"/>
    <n v="11.82"/>
    <s v="#23"/>
    <x v="1"/>
    <n v="18.23"/>
    <n v="5.41"/>
    <n v="6.41"/>
    <n v="41.088099999999997"/>
    <x v="8"/>
    <s v="comp5RB"/>
    <n v="1"/>
    <s v="comp5RB-1"/>
  </r>
  <r>
    <x v="4"/>
    <x v="43"/>
    <s v="5.60-17.98"/>
    <n v="11.79"/>
    <s v="#3"/>
    <x v="2"/>
    <n v="17.98"/>
    <n v="5.6"/>
    <n v="6.19"/>
    <n v="38.316099999999999"/>
    <x v="10"/>
    <s v="aj7WR"/>
    <n v="1"/>
    <s v="aj7WR-1"/>
  </r>
  <r>
    <x v="12"/>
    <x v="61"/>
    <n v="-30.94"/>
    <n v="11.78"/>
    <s v="#24"/>
    <x v="1"/>
    <n v="27.25"/>
    <n v="-3.69"/>
    <n v="15.47"/>
    <n v="239.32089999999999"/>
    <x v="10"/>
    <s v="aj5RB"/>
    <n v="2"/>
    <s v="aj5RB-2"/>
  </r>
  <r>
    <x v="16"/>
    <x v="75"/>
    <s v="2.91-20.65"/>
    <n v="11.78"/>
    <s v="#11"/>
    <x v="1"/>
    <n v="20.65"/>
    <n v="2.91"/>
    <n v="8.8699999999999992"/>
    <n v="78.676900000000003"/>
    <x v="9"/>
    <s v="seth3RB"/>
    <n v="1"/>
    <s v="seth3RB-1"/>
  </r>
  <r>
    <x v="10"/>
    <x v="46"/>
    <s v="2.93-20.61"/>
    <n v="11.77"/>
    <s v="#7"/>
    <x v="2"/>
    <n v="20.61"/>
    <n v="2.93"/>
    <n v="8.84"/>
    <n v="78.145600000000002"/>
    <x v="5"/>
    <s v="cory2WR"/>
    <n v="2"/>
    <s v="cory2WR-2"/>
  </r>
  <r>
    <x v="1"/>
    <x v="53"/>
    <s v="4.54-19.00"/>
    <n v="11.77"/>
    <s v="#6"/>
    <x v="1"/>
    <n v="19"/>
    <n v="4.54"/>
    <n v="7.23"/>
    <n v="52.2729"/>
    <x v="8"/>
    <s v="comp16RB"/>
    <n v="1"/>
    <s v="comp16RB-1"/>
  </r>
  <r>
    <x v="4"/>
    <x v="41"/>
    <s v="5.98-17.54"/>
    <n v="11.76"/>
    <s v="#10"/>
    <x v="0"/>
    <n v="17.54"/>
    <n v="5.98"/>
    <n v="5.78"/>
    <n v="33.4084"/>
    <x v="7"/>
    <s v="NA7QB"/>
    <n v="14"/>
    <s v="NA7QB-14"/>
  </r>
  <r>
    <x v="5"/>
    <x v="61"/>
    <s v="3.97-19.53"/>
    <n v="11.75"/>
    <s v="#16"/>
    <x v="1"/>
    <n v="19.53"/>
    <n v="3.97"/>
    <n v="7.78"/>
    <n v="60.528399999999998"/>
    <x v="10"/>
    <s v="aj13RB"/>
    <n v="1"/>
    <s v="aj13RB-1"/>
  </r>
  <r>
    <x v="2"/>
    <x v="53"/>
    <s v="4.23-19.27"/>
    <n v="11.75"/>
    <s v="#16"/>
    <x v="1"/>
    <n v="19.27"/>
    <n v="4.2300000000000004"/>
    <n v="7.52"/>
    <n v="56.550400000000003"/>
    <x v="8"/>
    <s v="comp9RB"/>
    <n v="1"/>
    <s v="comp9RB-1"/>
  </r>
  <r>
    <x v="4"/>
    <x v="67"/>
    <s v="4.64-18.86"/>
    <n v="11.75"/>
    <s v="#11"/>
    <x v="2"/>
    <n v="18.86"/>
    <n v="4.6399999999999997"/>
    <n v="7.11"/>
    <n v="50.552100000000003"/>
    <x v="8"/>
    <s v="comp7WR"/>
    <n v="1"/>
    <s v="comp7WR-1"/>
  </r>
  <r>
    <x v="1"/>
    <x v="72"/>
    <s v="5.84-17.64"/>
    <n v="11.74"/>
    <s v="#11"/>
    <x v="3"/>
    <n v="17.64"/>
    <n v="5.84"/>
    <n v="5.9"/>
    <n v="34.81"/>
    <x v="6"/>
    <s v="lucas16TE"/>
    <n v="1"/>
    <s v="lucas16TE-1"/>
  </r>
  <r>
    <x v="8"/>
    <x v="74"/>
    <s v="0.16-23.32"/>
    <n v="11.74"/>
    <s v="#23"/>
    <x v="1"/>
    <n v="23.32"/>
    <n v="0.16"/>
    <n v="11.58"/>
    <n v="134.09639999999999"/>
    <x v="9"/>
    <s v="seth6RB"/>
    <n v="1"/>
    <s v="seth6RB-1"/>
  </r>
  <r>
    <x v="14"/>
    <x v="67"/>
    <s v="4.36-19.12"/>
    <n v="11.74"/>
    <s v="#27"/>
    <x v="2"/>
    <n v="19.12"/>
    <n v="4.3600000000000003"/>
    <n v="7.38"/>
    <n v="54.464399999999998"/>
    <x v="8"/>
    <s v="comp4WR"/>
    <n v="2"/>
    <s v="comp4WR-2"/>
  </r>
  <r>
    <x v="5"/>
    <x v="41"/>
    <s v="4.93-18.53"/>
    <n v="11.73"/>
    <s v="#8"/>
    <x v="0"/>
    <n v="18.53"/>
    <n v="4.93"/>
    <n v="6.8"/>
    <n v="46.24"/>
    <x v="7"/>
    <s v="NA13QB"/>
    <n v="15"/>
    <s v="NA13QB-15"/>
  </r>
  <r>
    <x v="1"/>
    <x v="40"/>
    <s v="6.41-17.05"/>
    <n v="11.73"/>
    <s v="#3"/>
    <x v="0"/>
    <n v="17.05"/>
    <n v="6.41"/>
    <n v="5.32"/>
    <n v="28.302399999999999"/>
    <x v="7"/>
    <s v="NA16QB"/>
    <n v="15"/>
    <s v="NA16QB-15"/>
  </r>
  <r>
    <x v="11"/>
    <x v="67"/>
    <s v="3.98-19.46"/>
    <n v="11.72"/>
    <s v="#27"/>
    <x v="2"/>
    <n v="19.46"/>
    <n v="3.98"/>
    <n v="7.74"/>
    <n v="59.907600000000002"/>
    <x v="8"/>
    <s v="comp14WR"/>
    <n v="2"/>
    <s v="comp14WR-2"/>
  </r>
  <r>
    <x v="5"/>
    <x v="46"/>
    <s v="5.48-17.94"/>
    <n v="11.71"/>
    <s v="#1"/>
    <x v="2"/>
    <n v="17.940000000000001"/>
    <n v="5.48"/>
    <n v="6.23"/>
    <n v="38.812899999999999"/>
    <x v="5"/>
    <s v="cory13WR"/>
    <n v="2"/>
    <s v="cory13WR-2"/>
  </r>
  <r>
    <x v="14"/>
    <x v="51"/>
    <s v="4.31-19.09"/>
    <n v="11.7"/>
    <s v="#25"/>
    <x v="1"/>
    <n v="19.09"/>
    <n v="4.3099999999999996"/>
    <n v="7.39"/>
    <n v="54.612099999999998"/>
    <x v="5"/>
    <s v="cory4RB"/>
    <n v="1"/>
    <s v="cory4RB-1"/>
  </r>
  <r>
    <x v="13"/>
    <x v="67"/>
    <s v="4.62-18.78"/>
    <n v="11.7"/>
    <s v="#25"/>
    <x v="2"/>
    <n v="18.78"/>
    <n v="4.62"/>
    <n v="7.08"/>
    <n v="50.126399999999997"/>
    <x v="8"/>
    <s v="comp8WR"/>
    <n v="2"/>
    <s v="comp8WR-2"/>
  </r>
  <r>
    <x v="7"/>
    <x v="54"/>
    <s v="3.66-19.72"/>
    <n v="11.69"/>
    <s v="#22"/>
    <x v="1"/>
    <n v="19.72"/>
    <n v="3.66"/>
    <n v="8.0299999999999994"/>
    <n v="64.480900000000005"/>
    <x v="9"/>
    <s v="seth1RB"/>
    <n v="1"/>
    <s v="seth1RB-1"/>
  </r>
  <r>
    <x v="5"/>
    <x v="51"/>
    <s v="5.60-17.76"/>
    <n v="11.68"/>
    <s v="#27"/>
    <x v="1"/>
    <n v="17.760000000000002"/>
    <n v="5.6"/>
    <n v="6.08"/>
    <n v="36.9664"/>
    <x v="5"/>
    <s v="cory13RB"/>
    <n v="1"/>
    <s v="cory13RB-1"/>
  </r>
  <r>
    <x v="6"/>
    <x v="38"/>
    <s v="5.49-17.87"/>
    <n v="11.68"/>
    <s v="#3"/>
    <x v="0"/>
    <n v="17.87"/>
    <n v="5.49"/>
    <n v="6.19"/>
    <n v="38.316099999999999"/>
    <x v="7"/>
    <s v="NA12QB"/>
    <n v="15"/>
    <s v="NA12QB-15"/>
  </r>
  <r>
    <x v="14"/>
    <x v="53"/>
    <s v="4.25-19.11"/>
    <n v="11.68"/>
    <s v="#9"/>
    <x v="1"/>
    <n v="19.11"/>
    <n v="4.25"/>
    <n v="7.43"/>
    <n v="55.204900000000002"/>
    <x v="8"/>
    <s v="comp4RB"/>
    <n v="1"/>
    <s v="comp4RB-1"/>
  </r>
  <r>
    <x v="14"/>
    <x v="76"/>
    <s v="3.80-19.52"/>
    <n v="11.66"/>
    <s v="#29"/>
    <x v="1"/>
    <n v="19.52"/>
    <n v="3.8"/>
    <n v="7.86"/>
    <n v="61.779600000000002"/>
    <x v="7"/>
    <s v="NA4RB"/>
    <n v="1"/>
    <s v="NA4RB-1"/>
  </r>
  <r>
    <x v="14"/>
    <x v="54"/>
    <s v="2.05-21.25"/>
    <n v="11.65"/>
    <s v="#4"/>
    <x v="1"/>
    <n v="21.25"/>
    <n v="2.0499999999999998"/>
    <n v="9.6"/>
    <n v="92.16"/>
    <x v="9"/>
    <s v="seth4RB"/>
    <n v="1"/>
    <s v="seth4RB-1"/>
  </r>
  <r>
    <x v="9"/>
    <x v="53"/>
    <s v="3.94-19.34"/>
    <n v="11.64"/>
    <s v="#4"/>
    <x v="1"/>
    <n v="19.34"/>
    <n v="3.94"/>
    <n v="7.7"/>
    <n v="59.29"/>
    <x v="8"/>
    <s v="comp15RB"/>
    <n v="1"/>
    <s v="comp15RB-1"/>
  </r>
  <r>
    <x v="11"/>
    <x v="42"/>
    <s v="5.39-17.83"/>
    <n v="11.61"/>
    <s v="#19"/>
    <x v="2"/>
    <n v="17.829999999999998"/>
    <n v="5.39"/>
    <n v="6.22"/>
    <n v="38.688400000000001"/>
    <x v="3"/>
    <s v="chad14WR"/>
    <n v="1"/>
    <s v="chad14WR-1"/>
  </r>
  <r>
    <x v="6"/>
    <x v="77"/>
    <s v="5.15-18.07"/>
    <n v="11.61"/>
    <s v="#21"/>
    <x v="2"/>
    <n v="18.07"/>
    <n v="5.15"/>
    <n v="6.46"/>
    <n v="41.7316"/>
    <x v="10"/>
    <s v="aj12WR"/>
    <n v="3"/>
    <s v="aj12WR-3"/>
  </r>
  <r>
    <x v="8"/>
    <x v="58"/>
    <s v="5.67-17.51"/>
    <n v="11.59"/>
    <s v="#29"/>
    <x v="2"/>
    <n v="17.510000000000002"/>
    <n v="5.67"/>
    <n v="5.92"/>
    <n v="35.046399999999998"/>
    <x v="10"/>
    <s v="aj6WR"/>
    <n v="2"/>
    <s v="aj6WR-2"/>
  </r>
  <r>
    <x v="12"/>
    <x v="59"/>
    <s v="4.99-18.17"/>
    <n v="11.58"/>
    <s v="#21"/>
    <x v="2"/>
    <n v="18.170000000000002"/>
    <n v="4.99"/>
    <n v="6.59"/>
    <n v="43.428100000000001"/>
    <x v="2"/>
    <s v="devon5WR"/>
    <n v="1"/>
    <s v="devon5WR-1"/>
  </r>
  <r>
    <x v="2"/>
    <x v="65"/>
    <s v="4.03-19.13"/>
    <n v="11.58"/>
    <s v="#21"/>
    <x v="1"/>
    <n v="19.13"/>
    <n v="4.03"/>
    <n v="7.55"/>
    <n v="57.002499999999998"/>
    <x v="2"/>
    <s v="devon9RB"/>
    <n v="3"/>
    <s v="devon9RB-3"/>
  </r>
  <r>
    <x v="8"/>
    <x v="61"/>
    <s v="2.85-20.29"/>
    <n v="11.57"/>
    <s v="#15"/>
    <x v="1"/>
    <n v="20.29"/>
    <n v="2.85"/>
    <n v="8.7200000000000006"/>
    <n v="76.038399999999996"/>
    <x v="10"/>
    <s v="aj6RB"/>
    <n v="3"/>
    <s v="aj6RB-3"/>
  </r>
  <r>
    <x v="14"/>
    <x v="58"/>
    <s v="4.09-19.05"/>
    <n v="11.57"/>
    <s v="#5"/>
    <x v="2"/>
    <n v="19.05"/>
    <n v="4.09"/>
    <n v="7.48"/>
    <n v="55.950400000000002"/>
    <x v="10"/>
    <s v="aj4WR"/>
    <n v="2"/>
    <s v="aj4WR-2"/>
  </r>
  <r>
    <x v="4"/>
    <x v="58"/>
    <s v="4.75-18.39"/>
    <n v="11.57"/>
    <s v="#2"/>
    <x v="2"/>
    <n v="18.39"/>
    <n v="4.75"/>
    <n v="6.82"/>
    <n v="46.5124"/>
    <x v="10"/>
    <s v="aj7WR"/>
    <n v="2"/>
    <s v="aj7WR-2"/>
  </r>
  <r>
    <x v="16"/>
    <x v="33"/>
    <s v="3.72-19.42"/>
    <n v="11.57"/>
    <s v="#13"/>
    <x v="0"/>
    <n v="19.420000000000002"/>
    <n v="3.72"/>
    <n v="7.85"/>
    <n v="61.622500000000002"/>
    <x v="7"/>
    <s v="NA3QB"/>
    <n v="13"/>
    <s v="NA3QB-13"/>
  </r>
  <r>
    <x v="3"/>
    <x v="78"/>
    <s v="5.43-17.67"/>
    <n v="11.55"/>
    <s v="#27"/>
    <x v="1"/>
    <n v="17.670000000000002"/>
    <n v="5.43"/>
    <n v="6.12"/>
    <n v="37.4544"/>
    <x v="8"/>
    <s v="comp11RB"/>
    <n v="2"/>
    <s v="comp11RB-2"/>
  </r>
  <r>
    <x v="11"/>
    <x v="68"/>
    <s v="3.68-19.38"/>
    <n v="11.53"/>
    <s v="#15"/>
    <x v="1"/>
    <n v="19.38"/>
    <n v="3.68"/>
    <n v="7.85"/>
    <n v="61.622500000000002"/>
    <x v="4"/>
    <s v="scott14RB"/>
    <n v="3"/>
    <s v="scott14RB-3"/>
  </r>
  <r>
    <x v="1"/>
    <x v="43"/>
    <s v="6.14-16.86"/>
    <n v="11.5"/>
    <s v="#6"/>
    <x v="2"/>
    <n v="16.86"/>
    <n v="6.14"/>
    <n v="5.36"/>
    <n v="28.729600000000001"/>
    <x v="10"/>
    <s v="aj16WR"/>
    <n v="2"/>
    <s v="aj16WR-2"/>
  </r>
  <r>
    <x v="5"/>
    <x v="73"/>
    <s v="3.49-19.45"/>
    <n v="11.47"/>
    <s v="#12"/>
    <x v="1"/>
    <n v="19.45"/>
    <n v="3.49"/>
    <n v="7.98"/>
    <n v="63.680399999999999"/>
    <x v="0"/>
    <s v="matty13RB"/>
    <n v="3"/>
    <s v="matty13RB-3"/>
  </r>
  <r>
    <x v="1"/>
    <x v="65"/>
    <s v="4.84-18.02"/>
    <n v="11.43"/>
    <s v="#11"/>
    <x v="1"/>
    <n v="18.02"/>
    <n v="4.84"/>
    <n v="6.59"/>
    <n v="43.428100000000001"/>
    <x v="2"/>
    <s v="devon16RB"/>
    <n v="3"/>
    <s v="devon16RB-3"/>
  </r>
  <r>
    <x v="15"/>
    <x v="73"/>
    <s v="3.92-18.92"/>
    <n v="11.42"/>
    <s v="#23"/>
    <x v="1"/>
    <n v="18.920000000000002"/>
    <n v="3.92"/>
    <n v="7.5"/>
    <n v="56.25"/>
    <x v="0"/>
    <s v="matty10RB"/>
    <n v="3"/>
    <s v="matty10RB-3"/>
  </r>
  <r>
    <x v="2"/>
    <x v="77"/>
    <s v="5.45-17.39"/>
    <n v="11.42"/>
    <s v="#28"/>
    <x v="2"/>
    <n v="17.39"/>
    <n v="5.45"/>
    <n v="5.97"/>
    <n v="35.640900000000002"/>
    <x v="10"/>
    <s v="aj9WR"/>
    <n v="1"/>
    <s v="aj9WR-1"/>
  </r>
  <r>
    <x v="11"/>
    <x v="50"/>
    <s v="3.66-19.16"/>
    <n v="11.41"/>
    <s v="#1"/>
    <x v="2"/>
    <n v="19.16"/>
    <n v="3.66"/>
    <n v="7.75"/>
    <n v="60.0625"/>
    <x v="0"/>
    <s v="matty14WR"/>
    <n v="1"/>
    <s v="matty14WR-1"/>
  </r>
  <r>
    <x v="7"/>
    <x v="42"/>
    <s v="5.29-17.51"/>
    <n v="11.4"/>
    <s v="#32"/>
    <x v="2"/>
    <n v="17.510000000000002"/>
    <n v="5.29"/>
    <n v="6.11"/>
    <n v="37.332099999999997"/>
    <x v="3"/>
    <s v="chad1WR"/>
    <n v="1"/>
    <s v="chad1WR-1"/>
  </r>
  <r>
    <x v="15"/>
    <x v="61"/>
    <s v="2.23-20.51"/>
    <n v="11.37"/>
    <s v="#30"/>
    <x v="1"/>
    <n v="20.51"/>
    <n v="2.23"/>
    <n v="9.14"/>
    <n v="83.539599999999993"/>
    <x v="10"/>
    <s v="aj10RB"/>
    <n v="1"/>
    <s v="aj10RB-1"/>
  </r>
  <r>
    <x v="16"/>
    <x v="53"/>
    <s v="4.57-18.17"/>
    <n v="11.37"/>
    <s v="#22"/>
    <x v="1"/>
    <n v="18.170000000000002"/>
    <n v="4.57"/>
    <n v="6.8"/>
    <n v="46.24"/>
    <x v="8"/>
    <s v="comp3RB"/>
    <n v="1"/>
    <s v="comp3RB-1"/>
  </r>
  <r>
    <x v="16"/>
    <x v="66"/>
    <s v="4.84-17.86"/>
    <n v="11.35"/>
    <s v="#11"/>
    <x v="2"/>
    <n v="17.86"/>
    <n v="4.84"/>
    <n v="6.51"/>
    <n v="42.380099999999999"/>
    <x v="9"/>
    <s v="seth3WR"/>
    <n v="2"/>
    <s v="seth3WR-2"/>
  </r>
  <r>
    <x v="15"/>
    <x v="44"/>
    <s v="5.75-16.95"/>
    <n v="11.35"/>
    <s v="#15"/>
    <x v="1"/>
    <n v="16.95"/>
    <n v="5.75"/>
    <n v="5.6"/>
    <n v="31.36"/>
    <x v="2"/>
    <s v="devon10RB"/>
    <n v="1"/>
    <s v="devon10RB-1"/>
  </r>
  <r>
    <x v="16"/>
    <x v="71"/>
    <s v="4.22-18.48"/>
    <n v="11.35"/>
    <s v="#12"/>
    <x v="2"/>
    <n v="18.48"/>
    <n v="4.22"/>
    <n v="7.13"/>
    <n v="50.8369"/>
    <x v="1"/>
    <s v="perry3WR"/>
    <n v="1"/>
    <s v="perry3WR-1"/>
  </r>
  <r>
    <x v="16"/>
    <x v="31"/>
    <s v="5.52-17.18"/>
    <n v="11.35"/>
    <s v="#5"/>
    <x v="1"/>
    <n v="17.18"/>
    <n v="5.52"/>
    <n v="5.83"/>
    <n v="33.988900000000001"/>
    <x v="0"/>
    <s v="matty3RB"/>
    <n v="2"/>
    <s v="matty3RB-2"/>
  </r>
  <r>
    <x v="12"/>
    <x v="63"/>
    <s v="3.99-18.71"/>
    <n v="11.35"/>
    <s v="#29"/>
    <x v="2"/>
    <n v="18.71"/>
    <n v="3.99"/>
    <n v="7.36"/>
    <n v="54.169600000000003"/>
    <x v="4"/>
    <s v="scott5WR"/>
    <n v="1"/>
    <s v="scott5WR-1"/>
  </r>
  <r>
    <x v="9"/>
    <x v="77"/>
    <s v="4.30-18.38"/>
    <n v="11.34"/>
    <s v="#24"/>
    <x v="2"/>
    <n v="18.38"/>
    <n v="4.3"/>
    <n v="7.04"/>
    <n v="49.561599999999999"/>
    <x v="10"/>
    <s v="aj15WR"/>
    <n v="3"/>
    <s v="aj15WR-3"/>
  </r>
  <r>
    <x v="9"/>
    <x v="79"/>
    <s v="4.80-17.86"/>
    <n v="11.33"/>
    <s v="#20"/>
    <x v="3"/>
    <n v="17.86"/>
    <n v="4.8"/>
    <n v="6.53"/>
    <n v="42.640900000000002"/>
    <x v="10"/>
    <s v="aj15TE"/>
    <n v="1"/>
    <s v="aj15TE-1"/>
  </r>
  <r>
    <x v="0"/>
    <x v="66"/>
    <s v="5.03-17.61"/>
    <n v="11.32"/>
    <s v="#5"/>
    <x v="2"/>
    <n v="17.61"/>
    <n v="5.03"/>
    <n v="6.29"/>
    <n v="39.564100000000003"/>
    <x v="9"/>
    <s v="seth17WR"/>
    <n v="2"/>
    <s v="seth17WR-2"/>
  </r>
  <r>
    <x v="11"/>
    <x v="55"/>
    <s v="3.64-19.00"/>
    <n v="11.32"/>
    <s v="#8"/>
    <x v="1"/>
    <n v="19"/>
    <n v="3.64"/>
    <n v="7.68"/>
    <n v="58.982399999999998"/>
    <x v="2"/>
    <s v="devon14RB"/>
    <n v="2"/>
    <s v="devon14RB-2"/>
  </r>
  <r>
    <x v="0"/>
    <x v="32"/>
    <s v="4.51-18.09"/>
    <n v="11.3"/>
    <s v="#1"/>
    <x v="0"/>
    <n v="18.09"/>
    <n v="4.51"/>
    <n v="6.79"/>
    <n v="46.104100000000003"/>
    <x v="1"/>
    <s v="perry17QB"/>
    <n v="2"/>
    <s v="perry17QB-2"/>
  </r>
  <r>
    <x v="6"/>
    <x v="54"/>
    <s v="4.93-17.67"/>
    <n v="11.3"/>
    <s v="#11"/>
    <x v="1"/>
    <n v="17.670000000000002"/>
    <n v="4.93"/>
    <n v="6.37"/>
    <n v="40.576900000000002"/>
    <x v="9"/>
    <s v="seth12RB"/>
    <n v="1"/>
    <s v="seth12RB-1"/>
  </r>
  <r>
    <x v="10"/>
    <x v="53"/>
    <s v="4.98-17.60"/>
    <n v="11.29"/>
    <s v="#14"/>
    <x v="1"/>
    <n v="17.600000000000001"/>
    <n v="4.9800000000000004"/>
    <n v="6.31"/>
    <n v="39.816099999999999"/>
    <x v="8"/>
    <s v="comp2RB"/>
    <n v="1"/>
    <s v="comp2RB-1"/>
  </r>
  <r>
    <x v="4"/>
    <x v="78"/>
    <s v="5.76-16.80"/>
    <n v="11.28"/>
    <s v="#23"/>
    <x v="1"/>
    <n v="16.8"/>
    <n v="5.76"/>
    <n v="5.52"/>
    <n v="30.470400000000001"/>
    <x v="8"/>
    <s v="comp7RB"/>
    <n v="1"/>
    <s v="comp7RB-1"/>
  </r>
  <r>
    <x v="8"/>
    <x v="68"/>
    <s v="3.78-18.74"/>
    <n v="11.26"/>
    <s v="#8"/>
    <x v="1"/>
    <n v="18.739999999999998"/>
    <n v="3.78"/>
    <n v="7.48"/>
    <n v="55.950400000000002"/>
    <x v="4"/>
    <s v="scott6RB"/>
    <n v="2"/>
    <s v="scott6RB-2"/>
  </r>
  <r>
    <x v="5"/>
    <x v="80"/>
    <s v="3.46-19.04"/>
    <n v="11.25"/>
    <s v="#32"/>
    <x v="2"/>
    <n v="19.04"/>
    <n v="3.46"/>
    <n v="7.79"/>
    <n v="60.684100000000001"/>
    <x v="8"/>
    <s v="comp13WR"/>
    <n v="2"/>
    <s v="comp13WR-2"/>
  </r>
  <r>
    <x v="2"/>
    <x v="78"/>
    <s v="5.76-16.72"/>
    <n v="11.24"/>
    <s v="#29"/>
    <x v="1"/>
    <n v="16.72"/>
    <n v="5.76"/>
    <n v="5.48"/>
    <n v="30.0304"/>
    <x v="8"/>
    <s v="comp9RB"/>
    <n v="2"/>
    <s v="comp9RB-2"/>
  </r>
  <r>
    <x v="11"/>
    <x v="78"/>
    <s v="5.42-17.06"/>
    <n v="11.24"/>
    <s v="#22"/>
    <x v="1"/>
    <n v="17.059999999999999"/>
    <n v="5.42"/>
    <n v="5.82"/>
    <n v="33.872399999999999"/>
    <x v="8"/>
    <s v="comp14RB"/>
    <n v="2"/>
    <s v="comp14RB-2"/>
  </r>
  <r>
    <x v="16"/>
    <x v="51"/>
    <s v="5.63-16.85"/>
    <n v="11.24"/>
    <s v="#4"/>
    <x v="1"/>
    <n v="16.850000000000001"/>
    <n v="5.63"/>
    <n v="5.61"/>
    <n v="31.472100000000001"/>
    <x v="5"/>
    <s v="cory3RB"/>
    <n v="1"/>
    <s v="cory3RB-1"/>
  </r>
  <r>
    <x v="4"/>
    <x v="64"/>
    <s v="4.16-18.30"/>
    <n v="11.23"/>
    <s v="#22"/>
    <x v="1"/>
    <n v="18.3"/>
    <n v="4.16"/>
    <n v="7.07"/>
    <n v="49.984900000000003"/>
    <x v="10"/>
    <s v="aj7RB"/>
    <n v="2"/>
    <s v="aj7RB-2"/>
  </r>
  <r>
    <x v="8"/>
    <x v="45"/>
    <s v="4.43-18.03"/>
    <n v="11.23"/>
    <s v="#6"/>
    <x v="1"/>
    <n v="18.03"/>
    <n v="4.43"/>
    <n v="6.8"/>
    <n v="46.24"/>
    <x v="6"/>
    <s v="lucas6RB"/>
    <n v="1"/>
    <s v="lucas6RB-1"/>
  </r>
  <r>
    <x v="13"/>
    <x v="77"/>
    <s v="4.51-17.91"/>
    <n v="11.21"/>
    <s v="#30"/>
    <x v="2"/>
    <n v="17.91"/>
    <n v="4.51"/>
    <n v="6.7"/>
    <n v="44.89"/>
    <x v="10"/>
    <s v="aj8WR"/>
    <n v="2"/>
    <s v="aj8WR-2"/>
  </r>
  <r>
    <x v="1"/>
    <x v="81"/>
    <s v="6.26-16.16"/>
    <n v="11.21"/>
    <s v="#27"/>
    <x v="3"/>
    <n v="16.16"/>
    <n v="6.26"/>
    <n v="4.95"/>
    <n v="24.502500000000001"/>
    <x v="1"/>
    <s v="perry16TE"/>
    <n v="1"/>
    <s v="perry16TE-1"/>
  </r>
  <r>
    <x v="15"/>
    <x v="58"/>
    <s v="4.58-17.82"/>
    <n v="11.2"/>
    <s v="#12"/>
    <x v="2"/>
    <n v="17.82"/>
    <n v="4.58"/>
    <n v="6.62"/>
    <n v="43.824399999999997"/>
    <x v="10"/>
    <s v="aj10WR"/>
    <n v="1"/>
    <s v="aj10WR-1"/>
  </r>
  <r>
    <x v="8"/>
    <x v="31"/>
    <s v="3.78-18.58"/>
    <n v="11.18"/>
    <s v="#26"/>
    <x v="1"/>
    <n v="18.579999999999998"/>
    <n v="3.78"/>
    <n v="7.4"/>
    <n v="54.76"/>
    <x v="0"/>
    <s v="matty6RB"/>
    <n v="2"/>
    <s v="matty6RB-2"/>
  </r>
  <r>
    <x v="12"/>
    <x v="70"/>
    <s v="3.84-18.50"/>
    <n v="11.17"/>
    <s v="#24"/>
    <x v="2"/>
    <n v="18.5"/>
    <n v="3.84"/>
    <n v="7.33"/>
    <n v="53.728900000000003"/>
    <x v="2"/>
    <s v="devon5WR"/>
    <n v="2"/>
    <s v="devon5WR-2"/>
  </r>
  <r>
    <x v="5"/>
    <x v="42"/>
    <s v="4.58-17.76"/>
    <n v="11.17"/>
    <s v="#15"/>
    <x v="2"/>
    <n v="17.760000000000002"/>
    <n v="4.58"/>
    <n v="6.59"/>
    <n v="43.428100000000001"/>
    <x v="3"/>
    <s v="chad13WR"/>
    <n v="1"/>
    <s v="chad13WR-1"/>
  </r>
  <r>
    <x v="2"/>
    <x v="72"/>
    <s v="4.31-18.03"/>
    <n v="11.17"/>
    <s v="#21"/>
    <x v="3"/>
    <n v="18.03"/>
    <n v="4.3099999999999996"/>
    <n v="6.86"/>
    <n v="47.059600000000003"/>
    <x v="6"/>
    <s v="lucas9TE"/>
    <n v="1"/>
    <s v="lucas9TE-1"/>
  </r>
  <r>
    <x v="0"/>
    <x v="41"/>
    <s v="5.36-16.92"/>
    <n v="11.14"/>
    <s v="#10"/>
    <x v="0"/>
    <n v="16.920000000000002"/>
    <n v="5.36"/>
    <n v="5.78"/>
    <n v="33.4084"/>
    <x v="7"/>
    <s v="NA17QB"/>
    <n v="15"/>
    <s v="NA17QB-15"/>
  </r>
  <r>
    <x v="1"/>
    <x v="82"/>
    <s v="3.82-18.46"/>
    <n v="11.14"/>
    <s v="#12"/>
    <x v="1"/>
    <n v="18.46"/>
    <n v="3.82"/>
    <n v="7.32"/>
    <n v="53.5824"/>
    <x v="9"/>
    <s v="seth16RB"/>
    <n v="2"/>
    <s v="seth16RB-2"/>
  </r>
  <r>
    <x v="9"/>
    <x v="72"/>
    <s v="4.51-17.77"/>
    <n v="11.14"/>
    <s v="#15"/>
    <x v="3"/>
    <n v="17.77"/>
    <n v="4.51"/>
    <n v="6.63"/>
    <n v="43.956899999999997"/>
    <x v="6"/>
    <s v="lucas15TE"/>
    <n v="1"/>
    <s v="lucas15TE-1"/>
  </r>
  <r>
    <x v="4"/>
    <x v="70"/>
    <s v="5.50-16.76"/>
    <n v="11.13"/>
    <s v="#32"/>
    <x v="2"/>
    <n v="16.760000000000002"/>
    <n v="5.5"/>
    <n v="5.63"/>
    <n v="31.696899999999999"/>
    <x v="2"/>
    <s v="devon7WR"/>
    <n v="2"/>
    <s v="devon7WR-2"/>
  </r>
  <r>
    <x v="3"/>
    <x v="55"/>
    <s v="3.14-19.10"/>
    <n v="11.12"/>
    <s v="#5"/>
    <x v="1"/>
    <n v="19.100000000000001"/>
    <n v="3.14"/>
    <n v="7.98"/>
    <n v="63.680399999999999"/>
    <x v="2"/>
    <s v="devon11RB"/>
    <n v="2"/>
    <s v="devon11RB-2"/>
  </r>
  <r>
    <x v="2"/>
    <x v="43"/>
    <s v="5.13-17.11"/>
    <n v="11.12"/>
    <s v="#16"/>
    <x v="2"/>
    <n v="17.11"/>
    <n v="5.13"/>
    <n v="5.99"/>
    <n v="35.880099999999999"/>
    <x v="10"/>
    <s v="aj9WR"/>
    <n v="2"/>
    <s v="aj9WR-2"/>
  </r>
  <r>
    <x v="3"/>
    <x v="70"/>
    <s v="4.97-17.21"/>
    <n v="11.09"/>
    <s v="#1"/>
    <x v="2"/>
    <n v="17.21"/>
    <n v="4.97"/>
    <n v="6.12"/>
    <n v="37.4544"/>
    <x v="2"/>
    <s v="devon11WR"/>
    <n v="1"/>
    <s v="devon11WR-1"/>
  </r>
  <r>
    <x v="1"/>
    <x v="63"/>
    <s v="5.22-16.96"/>
    <n v="11.09"/>
    <s v="#30"/>
    <x v="2"/>
    <n v="16.96"/>
    <n v="5.22"/>
    <n v="5.87"/>
    <n v="34.456899999999997"/>
    <x v="4"/>
    <s v="scott16WR"/>
    <n v="1"/>
    <s v="scott16WR-1"/>
  </r>
  <r>
    <x v="2"/>
    <x v="83"/>
    <s v="4.34-17.80"/>
    <n v="11.07"/>
    <s v="#32"/>
    <x v="2"/>
    <n v="17.8"/>
    <n v="4.34"/>
    <n v="6.73"/>
    <n v="45.292900000000003"/>
    <x v="5"/>
    <s v="cory9WR"/>
    <n v="3"/>
    <s v="cory9WR-3"/>
  </r>
  <r>
    <x v="5"/>
    <x v="66"/>
    <s v="5.84-16.28"/>
    <n v="11.06"/>
    <s v="#17"/>
    <x v="2"/>
    <n v="16.28"/>
    <n v="5.84"/>
    <n v="5.22"/>
    <n v="27.2484"/>
    <x v="9"/>
    <s v="seth13WR"/>
    <n v="1"/>
    <s v="seth13WR-1"/>
  </r>
  <r>
    <x v="7"/>
    <x v="66"/>
    <s v="3.28-18.82"/>
    <n v="11.05"/>
    <s v="#18"/>
    <x v="2"/>
    <n v="18.82"/>
    <n v="3.28"/>
    <n v="7.77"/>
    <n v="60.372900000000001"/>
    <x v="9"/>
    <s v="seth1WR"/>
    <n v="1"/>
    <s v="seth1WR-1"/>
  </r>
  <r>
    <x v="1"/>
    <x v="77"/>
    <s v="5.08-17.02"/>
    <n v="11.05"/>
    <s v="#28"/>
    <x v="2"/>
    <n v="17.02"/>
    <n v="5.08"/>
    <n v="5.97"/>
    <n v="35.640900000000002"/>
    <x v="10"/>
    <s v="aj16WR"/>
    <n v="3"/>
    <s v="aj16WR-3"/>
  </r>
  <r>
    <x v="0"/>
    <x v="69"/>
    <s v="4.23-17.75"/>
    <n v="10.99"/>
    <s v="#18"/>
    <x v="2"/>
    <n v="17.75"/>
    <n v="4.2300000000000004"/>
    <n v="6.76"/>
    <n v="45.697600000000001"/>
    <x v="0"/>
    <s v="matty17WR"/>
    <n v="2"/>
    <s v="matty17WR-2"/>
  </r>
  <r>
    <x v="3"/>
    <x v="71"/>
    <s v="5.29-16.65"/>
    <n v="10.97"/>
    <s v="#8"/>
    <x v="2"/>
    <n v="16.649999999999999"/>
    <n v="5.29"/>
    <n v="5.68"/>
    <n v="32.2624"/>
    <x v="1"/>
    <s v="perry11WR"/>
    <n v="2"/>
    <s v="perry11WR-2"/>
  </r>
  <r>
    <x v="5"/>
    <x v="59"/>
    <s v="4.52-17.40"/>
    <n v="10.96"/>
    <s v="#10"/>
    <x v="2"/>
    <n v="17.399999999999999"/>
    <n v="4.5199999999999996"/>
    <n v="6.44"/>
    <n v="41.473599999999998"/>
    <x v="2"/>
    <s v="devon13WR"/>
    <n v="1"/>
    <s v="devon13WR-1"/>
  </r>
  <r>
    <x v="11"/>
    <x v="54"/>
    <s v="3.74-18.18"/>
    <n v="10.96"/>
    <s v="#14"/>
    <x v="1"/>
    <n v="18.18"/>
    <n v="3.74"/>
    <n v="7.22"/>
    <n v="52.128399999999999"/>
    <x v="9"/>
    <s v="seth14RB"/>
    <n v="1"/>
    <s v="seth14RB-1"/>
  </r>
  <r>
    <x v="1"/>
    <x v="61"/>
    <s v="2.25-19.65"/>
    <n v="10.95"/>
    <s v="#2"/>
    <x v="1"/>
    <n v="19.649999999999999"/>
    <n v="2.25"/>
    <n v="8.6999999999999993"/>
    <n v="75.69"/>
    <x v="10"/>
    <s v="aj16RB"/>
    <n v="1"/>
    <s v="aj16RB-1"/>
  </r>
  <r>
    <x v="16"/>
    <x v="77"/>
    <s v="3.51-18.39"/>
    <n v="10.95"/>
    <s v="#11"/>
    <x v="2"/>
    <n v="18.39"/>
    <n v="3.51"/>
    <n v="7.44"/>
    <n v="55.3536"/>
    <x v="10"/>
    <s v="aj3WR"/>
    <n v="3"/>
    <s v="aj3WR-3"/>
  </r>
  <r>
    <x v="3"/>
    <x v="66"/>
    <s v="4.65-17.23"/>
    <n v="10.94"/>
    <s v="#5"/>
    <x v="2"/>
    <n v="17.23"/>
    <n v="4.6500000000000004"/>
    <n v="6.29"/>
    <n v="39.564100000000003"/>
    <x v="9"/>
    <s v="seth11WR"/>
    <n v="2"/>
    <s v="seth11WR-2"/>
  </r>
  <r>
    <x v="5"/>
    <x v="58"/>
    <s v="4.22-17.66"/>
    <n v="10.94"/>
    <s v="#7"/>
    <x v="2"/>
    <n v="17.66"/>
    <n v="4.22"/>
    <n v="6.72"/>
    <n v="45.1584"/>
    <x v="10"/>
    <s v="aj13WR"/>
    <n v="2"/>
    <s v="aj13WR-2"/>
  </r>
  <r>
    <x v="6"/>
    <x v="84"/>
    <s v="4.14-17.72"/>
    <n v="10.93"/>
    <s v="#5"/>
    <x v="2"/>
    <n v="17.72"/>
    <n v="4.1399999999999997"/>
    <n v="6.79"/>
    <n v="46.104100000000003"/>
    <x v="0"/>
    <s v="matty12WR"/>
    <n v="1"/>
    <s v="matty12WR-1"/>
  </r>
  <r>
    <x v="0"/>
    <x v="80"/>
    <s v="3.13-18.71"/>
    <n v="10.92"/>
    <s v="#32"/>
    <x v="2"/>
    <n v="18.71"/>
    <n v="3.13"/>
    <n v="7.79"/>
    <n v="60.684100000000001"/>
    <x v="8"/>
    <s v="comp17WR"/>
    <n v="3"/>
    <s v="comp17WR-3"/>
  </r>
  <r>
    <x v="4"/>
    <x v="55"/>
    <s v="3.24-18.58"/>
    <n v="10.91"/>
    <s v="#4"/>
    <x v="1"/>
    <n v="18.579999999999998"/>
    <n v="3.24"/>
    <n v="7.67"/>
    <n v="58.828899999999997"/>
    <x v="2"/>
    <s v="devon7RB"/>
    <n v="2"/>
    <s v="devon7RB-2"/>
  </r>
  <r>
    <x v="8"/>
    <x v="63"/>
    <s v="4.80-17.02"/>
    <n v="10.91"/>
    <s v="#19"/>
    <x v="2"/>
    <n v="17.02"/>
    <n v="4.8"/>
    <n v="6.11"/>
    <n v="37.332099999999997"/>
    <x v="4"/>
    <s v="scott6WR"/>
    <n v="1"/>
    <s v="scott6WR-1"/>
  </r>
  <r>
    <x v="12"/>
    <x v="79"/>
    <s v="5.11-16.71"/>
    <n v="10.91"/>
    <s v="#3"/>
    <x v="3"/>
    <n v="16.71"/>
    <n v="5.1100000000000003"/>
    <n v="5.8"/>
    <n v="33.64"/>
    <x v="10"/>
    <s v="aj5TE"/>
    <n v="1"/>
    <s v="aj5TE-1"/>
  </r>
  <r>
    <x v="14"/>
    <x v="50"/>
    <s v="3.59-18.23"/>
    <n v="10.91"/>
    <s v="#16"/>
    <x v="2"/>
    <n v="18.23"/>
    <n v="3.59"/>
    <n v="7.32"/>
    <n v="53.5824"/>
    <x v="0"/>
    <s v="matty4WR"/>
    <n v="1"/>
    <s v="matty4WR-1"/>
  </r>
  <r>
    <x v="7"/>
    <x v="30"/>
    <s v="4.44-17.36"/>
    <n v="10.9"/>
    <s v="#3"/>
    <x v="0"/>
    <n v="17.36"/>
    <n v="4.4400000000000004"/>
    <n v="6.46"/>
    <n v="41.7316"/>
    <x v="7"/>
    <s v="NA1QB"/>
    <n v="15"/>
    <s v="NA1QB-15"/>
  </r>
  <r>
    <x v="15"/>
    <x v="63"/>
    <s v="4.78-16.98"/>
    <n v="10.88"/>
    <s v="#7"/>
    <x v="2"/>
    <n v="16.98"/>
    <n v="4.78"/>
    <n v="6.1"/>
    <n v="37.21"/>
    <x v="4"/>
    <s v="scott10WR"/>
    <n v="1"/>
    <s v="scott10WR-1"/>
  </r>
  <r>
    <x v="0"/>
    <x v="53"/>
    <s v="4.84-16.92"/>
    <n v="10.88"/>
    <s v="#3"/>
    <x v="1"/>
    <n v="16.920000000000002"/>
    <n v="4.84"/>
    <n v="6.04"/>
    <n v="36.4816"/>
    <x v="8"/>
    <s v="comp17RB"/>
    <n v="1"/>
    <s v="comp17RB-1"/>
  </r>
  <r>
    <x v="12"/>
    <x v="68"/>
    <s v="3.25-18.51"/>
    <n v="10.88"/>
    <s v="#20"/>
    <x v="1"/>
    <n v="18.510000000000002"/>
    <n v="3.25"/>
    <n v="7.63"/>
    <n v="58.216900000000003"/>
    <x v="4"/>
    <s v="scott5RB"/>
    <n v="3"/>
    <s v="scott5RB-3"/>
  </r>
  <r>
    <x v="16"/>
    <x v="59"/>
    <s v="4.75-16.99"/>
    <n v="10.87"/>
    <s v="#17"/>
    <x v="2"/>
    <n v="16.989999999999998"/>
    <n v="4.75"/>
    <n v="6.12"/>
    <n v="37.4544"/>
    <x v="2"/>
    <s v="devon3WR"/>
    <n v="2"/>
    <s v="devon3WR-2"/>
  </r>
  <r>
    <x v="2"/>
    <x v="69"/>
    <s v="4.09-17.63"/>
    <n v="10.86"/>
    <s v="#30"/>
    <x v="2"/>
    <n v="17.63"/>
    <n v="4.09"/>
    <n v="6.77"/>
    <n v="45.832900000000002"/>
    <x v="0"/>
    <s v="matty9WR"/>
    <n v="2"/>
    <s v="matty9WR-2"/>
  </r>
  <r>
    <x v="5"/>
    <x v="65"/>
    <s v="4.12-17.60"/>
    <n v="10.86"/>
    <s v="#26"/>
    <x v="1"/>
    <n v="17.600000000000001"/>
    <n v="4.12"/>
    <n v="6.74"/>
    <n v="45.427599999999998"/>
    <x v="2"/>
    <s v="devon13RB"/>
    <n v="3"/>
    <s v="devon13RB-3"/>
  </r>
  <r>
    <x v="14"/>
    <x v="77"/>
    <s v="4.33-17.39"/>
    <n v="10.86"/>
    <s v="#10"/>
    <x v="2"/>
    <n v="17.39"/>
    <n v="4.33"/>
    <n v="6.53"/>
    <n v="42.640900000000002"/>
    <x v="10"/>
    <s v="aj4WR"/>
    <n v="3"/>
    <s v="aj4WR-3"/>
  </r>
  <r>
    <x v="11"/>
    <x v="79"/>
    <s v="5.10-16.62"/>
    <n v="10.86"/>
    <s v="#1"/>
    <x v="3"/>
    <n v="16.62"/>
    <n v="5.0999999999999996"/>
    <n v="5.76"/>
    <n v="33.177599999999998"/>
    <x v="10"/>
    <s v="aj14TE"/>
    <n v="1"/>
    <s v="aj14TE-1"/>
  </r>
  <r>
    <x v="14"/>
    <x v="57"/>
    <s v="3.65-18.03"/>
    <n v="10.84"/>
    <s v="#26"/>
    <x v="2"/>
    <n v="18.03"/>
    <n v="3.65"/>
    <n v="7.19"/>
    <n v="51.696100000000001"/>
    <x v="1"/>
    <s v="perry4WR"/>
    <n v="2"/>
    <s v="perry4WR-2"/>
  </r>
  <r>
    <x v="10"/>
    <x v="50"/>
    <s v="4.80-16.88"/>
    <n v="10.84"/>
    <s v="#15"/>
    <x v="2"/>
    <n v="16.88"/>
    <n v="4.8"/>
    <n v="6.04"/>
    <n v="36.4816"/>
    <x v="0"/>
    <s v="matty2WR"/>
    <n v="1"/>
    <s v="matty2WR-1"/>
  </r>
  <r>
    <x v="2"/>
    <x v="85"/>
    <s v="5.37-16.25"/>
    <n v="10.81"/>
    <s v="#21"/>
    <x v="1"/>
    <n v="16.25"/>
    <n v="5.37"/>
    <n v="5.44"/>
    <n v="29.593599999999999"/>
    <x v="5"/>
    <s v="cory9RB"/>
    <n v="2"/>
    <s v="cory9RB-2"/>
  </r>
  <r>
    <x v="7"/>
    <x v="86"/>
    <s v="4.61-16.99"/>
    <n v="10.8"/>
    <s v="#5"/>
    <x v="1"/>
    <n v="16.989999999999998"/>
    <n v="4.6100000000000003"/>
    <n v="6.19"/>
    <n v="38.316099999999999"/>
    <x v="7"/>
    <s v="NA1RB"/>
    <n v="1"/>
    <s v="NA1RB-1"/>
  </r>
  <r>
    <x v="0"/>
    <x v="65"/>
    <s v="4.10-17.48"/>
    <n v="10.79"/>
    <s v="#4"/>
    <x v="1"/>
    <n v="17.48"/>
    <n v="4.0999999999999996"/>
    <n v="6.69"/>
    <n v="44.756100000000004"/>
    <x v="2"/>
    <s v="devon17RB"/>
    <n v="3"/>
    <s v="devon17RB-3"/>
  </r>
  <r>
    <x v="14"/>
    <x v="72"/>
    <s v="5.06-16.50"/>
    <n v="10.78"/>
    <s v="#24"/>
    <x v="3"/>
    <n v="16.5"/>
    <n v="5.0599999999999996"/>
    <n v="5.72"/>
    <n v="32.718400000000003"/>
    <x v="6"/>
    <s v="lucas4TE"/>
    <n v="1"/>
    <s v="lucas4TE-1"/>
  </r>
  <r>
    <x v="9"/>
    <x v="51"/>
    <s v="4.96-16.54"/>
    <n v="10.75"/>
    <s v="#16"/>
    <x v="1"/>
    <n v="16.54"/>
    <n v="4.96"/>
    <n v="5.79"/>
    <n v="33.524099999999997"/>
    <x v="5"/>
    <s v="cory15RB"/>
    <n v="1"/>
    <s v="cory15RB-1"/>
  </r>
  <r>
    <x v="11"/>
    <x v="65"/>
    <s v="3.00-18.50"/>
    <n v="10.75"/>
    <s v="#24"/>
    <x v="1"/>
    <n v="18.5"/>
    <n v="3"/>
    <n v="7.75"/>
    <n v="60.0625"/>
    <x v="2"/>
    <s v="devon14RB"/>
    <n v="3"/>
    <s v="devon14RB-3"/>
  </r>
  <r>
    <x v="14"/>
    <x v="79"/>
    <s v="5.00-16.50"/>
    <n v="10.75"/>
    <s v="#16"/>
    <x v="3"/>
    <n v="16.5"/>
    <n v="5"/>
    <n v="5.75"/>
    <n v="33.0625"/>
    <x v="10"/>
    <s v="aj4TE"/>
    <n v="1"/>
    <s v="aj4TE-1"/>
  </r>
  <r>
    <x v="10"/>
    <x v="83"/>
    <s v="3.82-17.66"/>
    <n v="10.74"/>
    <s v="#30"/>
    <x v="2"/>
    <n v="17.66"/>
    <n v="3.82"/>
    <n v="6.92"/>
    <n v="47.886400000000002"/>
    <x v="5"/>
    <s v="cory2WR"/>
    <n v="3"/>
    <s v="cory2WR-3"/>
  </r>
  <r>
    <x v="14"/>
    <x v="31"/>
    <s v="2.57-18.87"/>
    <n v="10.72"/>
    <s v="#8"/>
    <x v="1"/>
    <n v="18.87"/>
    <n v="2.57"/>
    <n v="8.15"/>
    <n v="66.422499999999999"/>
    <x v="0"/>
    <s v="matty4RB"/>
    <n v="2"/>
    <s v="matty4RB-2"/>
  </r>
  <r>
    <x v="1"/>
    <x v="69"/>
    <s v="4.61-16.83"/>
    <n v="10.72"/>
    <s v="#13"/>
    <x v="2"/>
    <n v="16.829999999999998"/>
    <n v="4.6100000000000003"/>
    <n v="6.11"/>
    <n v="37.332099999999997"/>
    <x v="0"/>
    <s v="matty16WR"/>
    <n v="2"/>
    <s v="matty16WR-2"/>
  </r>
  <r>
    <x v="0"/>
    <x v="82"/>
    <s v="3.41-18.01"/>
    <n v="10.71"/>
    <s v="#9"/>
    <x v="1"/>
    <n v="18.010000000000002"/>
    <n v="3.41"/>
    <n v="7.3"/>
    <n v="53.29"/>
    <x v="9"/>
    <s v="seth17RB"/>
    <n v="2"/>
    <s v="seth17RB-2"/>
  </r>
  <r>
    <x v="10"/>
    <x v="70"/>
    <s v="3.37-18.01"/>
    <n v="10.69"/>
    <s v="#1"/>
    <x v="2"/>
    <n v="18.010000000000002"/>
    <n v="3.37"/>
    <n v="7.32"/>
    <n v="53.5824"/>
    <x v="2"/>
    <s v="devon2WR"/>
    <n v="1"/>
    <s v="devon2WR-1"/>
  </r>
  <r>
    <x v="12"/>
    <x v="87"/>
    <s v="2.15-19.23"/>
    <n v="10.69"/>
    <s v="#12"/>
    <x v="1"/>
    <n v="19.23"/>
    <n v="2.15"/>
    <n v="8.5399999999999991"/>
    <n v="72.931600000000003"/>
    <x v="5"/>
    <s v="cory5RB"/>
    <n v="1"/>
    <s v="cory5RB-1"/>
  </r>
  <r>
    <x v="7"/>
    <x v="77"/>
    <s v="3.33-18.05"/>
    <n v="10.69"/>
    <s v="#18"/>
    <x v="2"/>
    <n v="18.05"/>
    <n v="3.33"/>
    <n v="7.36"/>
    <n v="54.169600000000003"/>
    <x v="10"/>
    <s v="aj1WR"/>
    <n v="3"/>
    <s v="aj1WR-3"/>
  </r>
  <r>
    <x v="0"/>
    <x v="63"/>
    <s v="4.88-16.48"/>
    <n v="10.68"/>
    <s v="#19"/>
    <x v="2"/>
    <n v="16.48"/>
    <n v="4.88"/>
    <n v="5.8"/>
    <n v="33.64"/>
    <x v="4"/>
    <s v="scott17WR"/>
    <n v="1"/>
    <s v="scott17WR-1"/>
  </r>
  <r>
    <x v="6"/>
    <x v="87"/>
    <s v="5.03-16.33"/>
    <n v="10.68"/>
    <s v="#29"/>
    <x v="1"/>
    <n v="16.329999999999998"/>
    <n v="5.03"/>
    <n v="5.65"/>
    <n v="31.922499999999999"/>
    <x v="5"/>
    <s v="cory12RB"/>
    <n v="2"/>
    <s v="cory12RB-2"/>
  </r>
  <r>
    <x v="10"/>
    <x v="58"/>
    <s v="4.16-17.18"/>
    <n v="10.67"/>
    <s v="#6"/>
    <x v="2"/>
    <n v="17.18"/>
    <n v="4.16"/>
    <n v="6.51"/>
    <n v="42.380099999999999"/>
    <x v="10"/>
    <s v="aj2WR"/>
    <n v="2"/>
    <s v="aj2WR-2"/>
  </r>
  <r>
    <x v="1"/>
    <x v="84"/>
    <s v="4.28-17.04"/>
    <n v="10.66"/>
    <s v="#26"/>
    <x v="2"/>
    <n v="17.04"/>
    <n v="4.28"/>
    <n v="6.38"/>
    <n v="40.7044"/>
    <x v="0"/>
    <s v="matty16WR"/>
    <n v="3"/>
    <s v="matty16WR-3"/>
  </r>
  <r>
    <x v="8"/>
    <x v="72"/>
    <s v="4.23-17.09"/>
    <n v="10.66"/>
    <s v="#32"/>
    <x v="3"/>
    <n v="17.09"/>
    <n v="4.2300000000000004"/>
    <n v="6.43"/>
    <n v="41.344900000000003"/>
    <x v="6"/>
    <s v="lucas6TE"/>
    <n v="1"/>
    <s v="lucas6TE-1"/>
  </r>
  <r>
    <x v="6"/>
    <x v="73"/>
    <s v="2.88-18.40"/>
    <n v="10.64"/>
    <s v="#22"/>
    <x v="1"/>
    <n v="18.399999999999999"/>
    <n v="2.88"/>
    <n v="7.76"/>
    <n v="60.217599999999997"/>
    <x v="0"/>
    <s v="matty12RB"/>
    <n v="3"/>
    <s v="matty12RB-3"/>
  </r>
  <r>
    <x v="15"/>
    <x v="68"/>
    <s v="3.77-17.51"/>
    <n v="10.64"/>
    <s v="#20"/>
    <x v="1"/>
    <n v="17.510000000000002"/>
    <n v="3.77"/>
    <n v="6.87"/>
    <n v="47.196899999999999"/>
    <x v="4"/>
    <s v="scott10RB"/>
    <n v="3"/>
    <s v="scott10RB-3"/>
  </r>
  <r>
    <x v="9"/>
    <x v="65"/>
    <s v="3.87-17.41"/>
    <n v="10.64"/>
    <s v="#15"/>
    <x v="1"/>
    <n v="17.41"/>
    <n v="3.87"/>
    <n v="6.77"/>
    <n v="45.832900000000002"/>
    <x v="2"/>
    <s v="devon15RB"/>
    <n v="3"/>
    <s v="devon15RB-3"/>
  </r>
  <r>
    <x v="4"/>
    <x v="79"/>
    <s v="4.78-16.50"/>
    <n v="10.64"/>
    <s v="#19"/>
    <x v="3"/>
    <n v="16.5"/>
    <n v="4.78"/>
    <n v="5.86"/>
    <n v="34.339599999999997"/>
    <x v="10"/>
    <s v="aj7TE"/>
    <n v="1"/>
    <s v="aj7TE-1"/>
  </r>
  <r>
    <x v="1"/>
    <x v="42"/>
    <s v="4.32-16.94"/>
    <n v="10.63"/>
    <s v="#1"/>
    <x v="2"/>
    <n v="16.940000000000001"/>
    <n v="4.32"/>
    <n v="6.31"/>
    <n v="39.816099999999999"/>
    <x v="3"/>
    <s v="chad16WR"/>
    <n v="1"/>
    <s v="chad16WR-1"/>
  </r>
  <r>
    <x v="15"/>
    <x v="72"/>
    <s v="4.70-16.56"/>
    <n v="10.63"/>
    <s v="#14"/>
    <x v="3"/>
    <n v="16.559999999999999"/>
    <n v="4.7"/>
    <n v="5.93"/>
    <n v="35.164900000000003"/>
    <x v="6"/>
    <s v="lucas10TE"/>
    <n v="1"/>
    <s v="lucas10TE-1"/>
  </r>
  <r>
    <x v="12"/>
    <x v="72"/>
    <s v="4.25-16.99"/>
    <n v="10.62"/>
    <s v="#9"/>
    <x v="3"/>
    <n v="16.989999999999998"/>
    <n v="4.25"/>
    <n v="6.37"/>
    <n v="40.576900000000002"/>
    <x v="6"/>
    <s v="lucas5TE"/>
    <n v="1"/>
    <s v="lucas5TE-1"/>
  </r>
  <r>
    <x v="15"/>
    <x v="88"/>
    <s v="4.14-17.06"/>
    <n v="10.6"/>
    <s v="#23"/>
    <x v="2"/>
    <n v="17.059999999999999"/>
    <n v="4.1399999999999997"/>
    <n v="6.46"/>
    <n v="41.7316"/>
    <x v="10"/>
    <s v="aj10WR"/>
    <n v="2"/>
    <s v="aj10WR-2"/>
  </r>
  <r>
    <x v="3"/>
    <x v="64"/>
    <s v="4.01-17.17"/>
    <n v="10.59"/>
    <s v="#23"/>
    <x v="1"/>
    <n v="17.170000000000002"/>
    <n v="4.01"/>
    <n v="6.58"/>
    <n v="43.296399999999998"/>
    <x v="10"/>
    <s v="aj11RB"/>
    <n v="1"/>
    <s v="aj11RB-1"/>
  </r>
  <r>
    <x v="2"/>
    <x v="58"/>
    <s v="3.87-17.31"/>
    <n v="10.59"/>
    <s v="#7"/>
    <x v="2"/>
    <n v="17.309999999999999"/>
    <n v="3.87"/>
    <n v="6.72"/>
    <n v="45.1584"/>
    <x v="10"/>
    <s v="aj9WR"/>
    <n v="3"/>
    <s v="aj9WR-3"/>
  </r>
  <r>
    <x v="8"/>
    <x v="67"/>
    <s v="3.16-18.02"/>
    <n v="10.59"/>
    <s v="#4"/>
    <x v="2"/>
    <n v="18.02"/>
    <n v="3.16"/>
    <n v="7.43"/>
    <n v="55.204900000000002"/>
    <x v="8"/>
    <s v="comp6WR"/>
    <n v="2"/>
    <s v="comp6WR-2"/>
  </r>
  <r>
    <x v="13"/>
    <x v="79"/>
    <s v="4.86-16.32"/>
    <n v="10.59"/>
    <s v="#16"/>
    <x v="3"/>
    <n v="16.32"/>
    <n v="4.8600000000000003"/>
    <n v="5.73"/>
    <n v="32.832900000000002"/>
    <x v="10"/>
    <s v="aj8TE"/>
    <n v="1"/>
    <s v="aj8TE-1"/>
  </r>
  <r>
    <x v="9"/>
    <x v="49"/>
    <s v="4.14-17.02"/>
    <n v="10.58"/>
    <s v="#14"/>
    <x v="2"/>
    <n v="17.02"/>
    <n v="4.1399999999999997"/>
    <n v="6.44"/>
    <n v="41.473599999999998"/>
    <x v="9"/>
    <s v="seth15WR"/>
    <n v="2"/>
    <s v="seth15WR-2"/>
  </r>
  <r>
    <x v="4"/>
    <x v="48"/>
    <s v="3.89-17.25"/>
    <n v="10.57"/>
    <s v="#1"/>
    <x v="2"/>
    <n v="17.25"/>
    <n v="3.89"/>
    <n v="6.68"/>
    <n v="44.622399999999999"/>
    <x v="5"/>
    <s v="cory7WR"/>
    <n v="2"/>
    <s v="cory7WR-2"/>
  </r>
  <r>
    <x v="4"/>
    <x v="73"/>
    <s v="3.13-17.99"/>
    <n v="10.56"/>
    <s v="#7"/>
    <x v="1"/>
    <n v="17.989999999999998"/>
    <n v="3.13"/>
    <n v="7.43"/>
    <n v="55.204900000000002"/>
    <x v="0"/>
    <s v="matty7RB"/>
    <n v="3"/>
    <s v="matty7RB-3"/>
  </r>
  <r>
    <x v="3"/>
    <x v="73"/>
    <s v="3.57-17.53"/>
    <n v="10.55"/>
    <s v="#30"/>
    <x v="1"/>
    <n v="17.53"/>
    <n v="3.57"/>
    <n v="6.98"/>
    <n v="48.720399999999998"/>
    <x v="0"/>
    <s v="matty11RB"/>
    <n v="3"/>
    <s v="matty11RB-3"/>
  </r>
  <r>
    <x v="4"/>
    <x v="69"/>
    <s v="3.79-17.31"/>
    <n v="10.55"/>
    <s v="#18"/>
    <x v="2"/>
    <n v="17.309999999999999"/>
    <n v="3.79"/>
    <n v="6.76"/>
    <n v="45.697600000000001"/>
    <x v="0"/>
    <s v="matty7WR"/>
    <n v="2"/>
    <s v="matty7WR-2"/>
  </r>
  <r>
    <x v="7"/>
    <x v="89"/>
    <s v="4.10-16.94"/>
    <n v="10.52"/>
    <s v="#27"/>
    <x v="2"/>
    <n v="16.940000000000001"/>
    <n v="4.0999999999999996"/>
    <n v="6.42"/>
    <n v="41.2164"/>
    <x v="1"/>
    <s v="perry1WR"/>
    <n v="1"/>
    <s v="perry1WR-1"/>
  </r>
  <r>
    <x v="10"/>
    <x v="90"/>
    <s v="3.28-17.76"/>
    <n v="10.52"/>
    <s v="#20"/>
    <x v="1"/>
    <n v="17.760000000000002"/>
    <n v="3.28"/>
    <n v="7.24"/>
    <n v="52.4176"/>
    <x v="10"/>
    <s v="aj2RB"/>
    <n v="2"/>
    <s v="aj2RB-2"/>
  </r>
  <r>
    <x v="2"/>
    <x v="68"/>
    <s v="3.72-17.32"/>
    <n v="10.52"/>
    <s v="#18"/>
    <x v="1"/>
    <n v="17.32"/>
    <n v="3.72"/>
    <n v="6.8"/>
    <n v="46.24"/>
    <x v="4"/>
    <s v="scott9RB"/>
    <n v="3"/>
    <s v="scott9RB-3"/>
  </r>
  <r>
    <x v="13"/>
    <x v="69"/>
    <s v="4.17-16.87"/>
    <n v="10.52"/>
    <s v="#21"/>
    <x v="2"/>
    <n v="16.87"/>
    <n v="4.17"/>
    <n v="6.35"/>
    <n v="40.322499999999998"/>
    <x v="0"/>
    <s v="matty8WR"/>
    <n v="2"/>
    <s v="matty8WR-2"/>
  </r>
  <r>
    <x v="1"/>
    <x v="87"/>
    <s v="4.66-16.36"/>
    <n v="10.51"/>
    <s v="#15"/>
    <x v="1"/>
    <n v="16.36"/>
    <n v="4.66"/>
    <n v="5.85"/>
    <n v="34.222499999999997"/>
    <x v="5"/>
    <s v="cory16RB"/>
    <n v="2"/>
    <s v="cory16RB-2"/>
  </r>
  <r>
    <x v="4"/>
    <x v="91"/>
    <s v="4.55-16.47"/>
    <n v="10.51"/>
    <s v="#10"/>
    <x v="1"/>
    <n v="16.47"/>
    <n v="4.55"/>
    <n v="5.96"/>
    <n v="35.521599999999999"/>
    <x v="1"/>
    <s v="perry7RB"/>
    <n v="2"/>
    <s v="perry7RB-2"/>
  </r>
  <r>
    <x v="14"/>
    <x v="59"/>
    <s v="3.94-17.06"/>
    <n v="10.5"/>
    <s v="#23"/>
    <x v="2"/>
    <n v="17.059999999999999"/>
    <n v="3.94"/>
    <n v="6.56"/>
    <n v="43.0336"/>
    <x v="2"/>
    <s v="devon4WR"/>
    <n v="1"/>
    <s v="devon4WR-1"/>
  </r>
  <r>
    <x v="5"/>
    <x v="70"/>
    <s v="4.47-16.51"/>
    <n v="10.49"/>
    <s v="#16"/>
    <x v="2"/>
    <n v="16.510000000000002"/>
    <n v="4.47"/>
    <n v="6.02"/>
    <n v="36.240400000000001"/>
    <x v="2"/>
    <s v="devon13WR"/>
    <n v="2"/>
    <s v="devon13WR-2"/>
  </r>
  <r>
    <x v="9"/>
    <x v="63"/>
    <s v="4.81-16.17"/>
    <n v="10.49"/>
    <s v="#17"/>
    <x v="2"/>
    <n v="16.170000000000002"/>
    <n v="4.8099999999999996"/>
    <n v="5.68"/>
    <n v="32.2624"/>
    <x v="4"/>
    <s v="scott15WR"/>
    <n v="1"/>
    <s v="scott15WR-1"/>
  </r>
  <r>
    <x v="7"/>
    <x v="90"/>
    <s v="2.88-18.10"/>
    <n v="10.49"/>
    <s v="#1"/>
    <x v="1"/>
    <n v="18.100000000000001"/>
    <n v="2.88"/>
    <n v="7.61"/>
    <n v="57.912100000000002"/>
    <x v="10"/>
    <s v="aj1RB"/>
    <n v="3"/>
    <s v="aj1RB-3"/>
  </r>
  <r>
    <x v="13"/>
    <x v="84"/>
    <s v="4.04-16.90"/>
    <n v="10.47"/>
    <s v="#8"/>
    <x v="2"/>
    <n v="16.899999999999999"/>
    <n v="4.04"/>
    <n v="6.43"/>
    <n v="41.344900000000003"/>
    <x v="0"/>
    <s v="matty8WR"/>
    <n v="3"/>
    <s v="matty8WR-3"/>
  </r>
  <r>
    <x v="14"/>
    <x v="34"/>
    <s v="4.52-16.42"/>
    <n v="10.47"/>
    <s v="#3"/>
    <x v="0"/>
    <n v="16.420000000000002"/>
    <n v="4.5199999999999996"/>
    <n v="5.95"/>
    <n v="35.402500000000003"/>
    <x v="7"/>
    <s v="NA4QB"/>
    <n v="15"/>
    <s v="NA4QB-15"/>
  </r>
  <r>
    <x v="11"/>
    <x v="61"/>
    <s v="1.42-19.48"/>
    <n v="10.45"/>
    <s v="#20"/>
    <x v="1"/>
    <n v="19.48"/>
    <n v="1.42"/>
    <n v="9.0299999999999994"/>
    <n v="81.540899999999993"/>
    <x v="10"/>
    <s v="aj14RB"/>
    <n v="1"/>
    <s v="aj14RB-1"/>
  </r>
  <r>
    <x v="6"/>
    <x v="45"/>
    <s v="3.64-17.24"/>
    <n v="10.44"/>
    <s v="#6"/>
    <x v="1"/>
    <n v="17.239999999999998"/>
    <n v="3.64"/>
    <n v="6.8"/>
    <n v="46.24"/>
    <x v="6"/>
    <s v="lucas12RB"/>
    <n v="1"/>
    <s v="lucas12RB-1"/>
  </r>
  <r>
    <x v="0"/>
    <x v="92"/>
    <s v="3.79-17.07"/>
    <n v="10.43"/>
    <s v="#18"/>
    <x v="2"/>
    <n v="17.07"/>
    <n v="3.79"/>
    <n v="6.64"/>
    <n v="44.089599999999997"/>
    <x v="6"/>
    <s v="lucas17WR"/>
    <n v="1"/>
    <s v="lucas17WR-1"/>
  </r>
  <r>
    <x v="11"/>
    <x v="73"/>
    <s v="2.92-17.92"/>
    <n v="10.42"/>
    <s v="#23"/>
    <x v="1"/>
    <n v="17.920000000000002"/>
    <n v="2.92"/>
    <n v="7.5"/>
    <n v="56.25"/>
    <x v="0"/>
    <s v="matty14RB"/>
    <n v="3"/>
    <s v="matty14RB-3"/>
  </r>
  <r>
    <x v="10"/>
    <x v="42"/>
    <s v="4.22-16.62"/>
    <n v="10.42"/>
    <s v="#11"/>
    <x v="2"/>
    <n v="16.62"/>
    <n v="4.22"/>
    <n v="6.2"/>
    <n v="38.44"/>
    <x v="3"/>
    <s v="chad2WR"/>
    <n v="1"/>
    <s v="chad2WR-1"/>
  </r>
  <r>
    <x v="11"/>
    <x v="69"/>
    <s v="4.69-16.13"/>
    <n v="10.41"/>
    <s v="#5"/>
    <x v="2"/>
    <n v="16.13"/>
    <n v="4.6900000000000004"/>
    <n v="5.72"/>
    <n v="32.718400000000003"/>
    <x v="0"/>
    <s v="matty14WR"/>
    <n v="2"/>
    <s v="matty14WR-2"/>
  </r>
  <r>
    <x v="16"/>
    <x v="93"/>
    <s v="2.59-18.21"/>
    <n v="10.4"/>
    <s v="#9"/>
    <x v="1"/>
    <n v="18.21"/>
    <n v="2.59"/>
    <n v="7.81"/>
    <n v="60.996099999999998"/>
    <x v="7"/>
    <s v="NA3RB"/>
    <n v="1"/>
    <s v="NA3RB-1"/>
  </r>
  <r>
    <x v="14"/>
    <x v="63"/>
    <s v="4.69-16.11"/>
    <n v="10.4"/>
    <s v="#1"/>
    <x v="2"/>
    <n v="16.11"/>
    <n v="4.6900000000000004"/>
    <n v="5.71"/>
    <n v="32.604100000000003"/>
    <x v="4"/>
    <s v="scott4WR"/>
    <n v="1"/>
    <s v="scott4WR-1"/>
  </r>
  <r>
    <x v="9"/>
    <x v="68"/>
    <s v="3.47-17.33"/>
    <n v="10.4"/>
    <s v="#19"/>
    <x v="1"/>
    <n v="17.329999999999998"/>
    <n v="3.47"/>
    <n v="6.93"/>
    <n v="48.024900000000002"/>
    <x v="4"/>
    <s v="scott15RB"/>
    <n v="3"/>
    <s v="scott15RB-3"/>
  </r>
  <r>
    <x v="12"/>
    <x v="51"/>
    <s v="4.72-16.06"/>
    <n v="10.39"/>
    <s v="#1"/>
    <x v="1"/>
    <n v="16.059999999999999"/>
    <n v="4.72"/>
    <n v="5.67"/>
    <n v="32.148899999999998"/>
    <x v="5"/>
    <s v="cory5RB"/>
    <n v="2"/>
    <s v="cory5RB-2"/>
  </r>
  <r>
    <x v="7"/>
    <x v="64"/>
    <s v="4.32-16.44"/>
    <n v="10.38"/>
    <s v="#6"/>
    <x v="1"/>
    <n v="16.440000000000001"/>
    <n v="4.32"/>
    <n v="6.06"/>
    <n v="36.723599999999998"/>
    <x v="10"/>
    <s v="aj1RB"/>
    <n v="4"/>
    <s v="aj1RB-4"/>
  </r>
  <r>
    <x v="15"/>
    <x v="83"/>
    <s v="3.50-17.26"/>
    <n v="10.38"/>
    <s v="#29"/>
    <x v="2"/>
    <n v="17.260000000000002"/>
    <n v="3.5"/>
    <n v="6.88"/>
    <n v="47.334400000000002"/>
    <x v="5"/>
    <s v="cory10WR"/>
    <n v="3"/>
    <s v="cory10WR-3"/>
  </r>
  <r>
    <x v="13"/>
    <x v="65"/>
    <s v="3.79-16.97"/>
    <n v="10.38"/>
    <s v="#11"/>
    <x v="1"/>
    <n v="16.97"/>
    <n v="3.79"/>
    <n v="6.59"/>
    <n v="43.428100000000001"/>
    <x v="2"/>
    <s v="devon8RB"/>
    <n v="3"/>
    <s v="devon8RB-3"/>
  </r>
  <r>
    <x v="12"/>
    <x v="77"/>
    <s v="3.26-17.50"/>
    <n v="10.38"/>
    <s v="#6"/>
    <x v="2"/>
    <n v="17.5"/>
    <n v="3.26"/>
    <n v="7.12"/>
    <n v="50.694400000000002"/>
    <x v="10"/>
    <s v="aj5WR"/>
    <n v="2"/>
    <s v="aj5WR-2"/>
  </r>
  <r>
    <x v="15"/>
    <x v="70"/>
    <s v="4.86-15.88"/>
    <n v="10.37"/>
    <s v="#30"/>
    <x v="2"/>
    <n v="15.88"/>
    <n v="4.8600000000000003"/>
    <n v="5.51"/>
    <n v="30.360099999999999"/>
    <x v="2"/>
    <s v="devon10WR"/>
    <n v="1"/>
    <s v="devon10WR-1"/>
  </r>
  <r>
    <x v="0"/>
    <x v="73"/>
    <s v="2.39-18.35"/>
    <n v="10.37"/>
    <s v="#12"/>
    <x v="1"/>
    <n v="18.350000000000001"/>
    <n v="2.39"/>
    <n v="7.98"/>
    <n v="63.680399999999999"/>
    <x v="0"/>
    <s v="matty17RB"/>
    <n v="3"/>
    <s v="matty17RB-3"/>
  </r>
  <r>
    <x v="15"/>
    <x v="79"/>
    <s v="4.76-15.98"/>
    <n v="10.37"/>
    <s v="#13"/>
    <x v="3"/>
    <n v="15.98"/>
    <n v="4.76"/>
    <n v="5.61"/>
    <n v="31.472100000000001"/>
    <x v="10"/>
    <s v="aj10TE"/>
    <n v="1"/>
    <s v="aj10TE-1"/>
  </r>
  <r>
    <x v="14"/>
    <x v="68"/>
    <s v="2.20-18.50"/>
    <n v="10.35"/>
    <s v="#2"/>
    <x v="1"/>
    <n v="18.5"/>
    <n v="2.2000000000000002"/>
    <n v="8.15"/>
    <n v="66.422499999999999"/>
    <x v="4"/>
    <s v="scott4RB"/>
    <n v="3"/>
    <s v="scott4RB-3"/>
  </r>
  <r>
    <x v="6"/>
    <x v="70"/>
    <s v="4.73-15.95"/>
    <n v="10.34"/>
    <s v="#2"/>
    <x v="2"/>
    <n v="15.95"/>
    <n v="4.7300000000000004"/>
    <n v="5.61"/>
    <n v="31.472100000000001"/>
    <x v="2"/>
    <s v="devon12WR"/>
    <n v="1"/>
    <s v="devon12WR-1"/>
  </r>
  <r>
    <x v="15"/>
    <x v="78"/>
    <s v="4.48-16.20"/>
    <n v="10.34"/>
    <s v="#31"/>
    <x v="1"/>
    <n v="16.2"/>
    <n v="4.4800000000000004"/>
    <n v="5.86"/>
    <n v="34.339599999999997"/>
    <x v="8"/>
    <s v="comp10RB"/>
    <n v="1"/>
    <s v="comp10RB-1"/>
  </r>
  <r>
    <x v="13"/>
    <x v="59"/>
    <s v="4.87-15.81"/>
    <n v="10.34"/>
    <s v="#8"/>
    <x v="2"/>
    <n v="15.81"/>
    <n v="4.87"/>
    <n v="5.47"/>
    <n v="29.9209"/>
    <x v="2"/>
    <s v="devon8WR"/>
    <n v="2"/>
    <s v="devon8WR-2"/>
  </r>
  <r>
    <x v="12"/>
    <x v="85"/>
    <s v="4.90-15.76"/>
    <n v="10.33"/>
    <s v="#9"/>
    <x v="1"/>
    <n v="15.76"/>
    <n v="4.9000000000000004"/>
    <n v="5.43"/>
    <n v="29.4849"/>
    <x v="5"/>
    <s v="cory5RB"/>
    <n v="3"/>
    <s v="cory5RB-3"/>
  </r>
  <r>
    <x v="3"/>
    <x v="61"/>
    <s v="1.38-19.26"/>
    <n v="10.32"/>
    <s v="#1"/>
    <x v="1"/>
    <n v="19.260000000000002"/>
    <n v="1.38"/>
    <n v="8.94"/>
    <n v="79.923599999999993"/>
    <x v="10"/>
    <s v="aj11RB"/>
    <n v="2"/>
    <s v="aj11RB-2"/>
  </r>
  <r>
    <x v="8"/>
    <x v="94"/>
    <s v="4.22-16.42"/>
    <n v="10.32"/>
    <s v="#32"/>
    <x v="2"/>
    <n v="16.420000000000002"/>
    <n v="4.22"/>
    <n v="6.1"/>
    <n v="37.21"/>
    <x v="3"/>
    <s v="chad6WR"/>
    <n v="2"/>
    <s v="chad6WR-2"/>
  </r>
  <r>
    <x v="13"/>
    <x v="78"/>
    <s v="4.49-16.13"/>
    <n v="10.31"/>
    <s v="#22"/>
    <x v="1"/>
    <n v="16.13"/>
    <n v="4.49"/>
    <n v="5.82"/>
    <n v="33.872399999999999"/>
    <x v="8"/>
    <s v="comp8RB"/>
    <n v="2"/>
    <s v="comp8RB-2"/>
  </r>
  <r>
    <x v="6"/>
    <x v="78"/>
    <s v="4.79-15.83"/>
    <n v="10.31"/>
    <s v="#23"/>
    <x v="1"/>
    <n v="15.83"/>
    <n v="4.79"/>
    <n v="5.52"/>
    <n v="30.470400000000001"/>
    <x v="8"/>
    <s v="comp12RB"/>
    <n v="2"/>
    <s v="comp12RB-2"/>
  </r>
  <r>
    <x v="15"/>
    <x v="65"/>
    <s v="2.94-17.68"/>
    <n v="10.31"/>
    <s v="#14"/>
    <x v="1"/>
    <n v="17.68"/>
    <n v="2.94"/>
    <n v="7.37"/>
    <n v="54.316899999999997"/>
    <x v="2"/>
    <s v="devon10RB"/>
    <n v="2"/>
    <s v="devon10RB-2"/>
  </r>
  <r>
    <x v="4"/>
    <x v="83"/>
    <s v="4.27-16.33"/>
    <n v="10.3"/>
    <s v="#31"/>
    <x v="2"/>
    <n v="16.329999999999998"/>
    <n v="4.2699999999999996"/>
    <n v="6.03"/>
    <n v="36.360900000000001"/>
    <x v="5"/>
    <s v="cory7WR"/>
    <n v="3"/>
    <s v="cory7WR-3"/>
  </r>
  <r>
    <x v="16"/>
    <x v="63"/>
    <s v="4.20-16.40"/>
    <n v="10.3"/>
    <s v="#31"/>
    <x v="2"/>
    <n v="16.399999999999999"/>
    <n v="4.2"/>
    <n v="6.1"/>
    <n v="37.21"/>
    <x v="4"/>
    <s v="scott3WR"/>
    <n v="1"/>
    <s v="scott3WR-1"/>
  </r>
  <r>
    <x v="0"/>
    <x v="77"/>
    <s v="3.93-16.65"/>
    <n v="10.29"/>
    <s v="#5"/>
    <x v="2"/>
    <n v="16.649999999999999"/>
    <n v="3.93"/>
    <n v="6.36"/>
    <n v="40.449599999999997"/>
    <x v="10"/>
    <s v="aj17WR"/>
    <n v="3"/>
    <s v="aj17WR-3"/>
  </r>
  <r>
    <x v="0"/>
    <x v="79"/>
    <s v="5.26-15.32"/>
    <n v="10.29"/>
    <s v="#25"/>
    <x v="3"/>
    <n v="15.32"/>
    <n v="5.26"/>
    <n v="5.03"/>
    <n v="25.300899999999999"/>
    <x v="10"/>
    <s v="aj17TE"/>
    <n v="1"/>
    <s v="aj17TE-1"/>
  </r>
  <r>
    <x v="7"/>
    <x v="95"/>
    <s v="1.30-19.26"/>
    <n v="10.28"/>
    <s v="#11"/>
    <x v="1"/>
    <n v="19.260000000000002"/>
    <n v="1.3"/>
    <n v="8.98"/>
    <n v="80.6404"/>
    <x v="9"/>
    <s v="seth1RB"/>
    <n v="2"/>
    <s v="seth1RB-2"/>
  </r>
  <r>
    <x v="4"/>
    <x v="65"/>
    <s v="3.74-16.82"/>
    <n v="10.28"/>
    <s v="#5"/>
    <x v="1"/>
    <n v="16.82"/>
    <n v="3.74"/>
    <n v="6.54"/>
    <n v="42.771599999999999"/>
    <x v="2"/>
    <s v="devon7RB"/>
    <n v="3"/>
    <s v="devon7RB-3"/>
  </r>
  <r>
    <x v="3"/>
    <x v="96"/>
    <s v="3.15-17.37"/>
    <n v="10.26"/>
    <s v="#21"/>
    <x v="2"/>
    <n v="17.37"/>
    <n v="3.15"/>
    <n v="7.11"/>
    <n v="50.552100000000003"/>
    <x v="3"/>
    <s v="chad11WR"/>
    <n v="2"/>
    <s v="chad11WR-2"/>
  </r>
  <r>
    <x v="9"/>
    <x v="73"/>
    <s v="2.27-18.25"/>
    <n v="10.26"/>
    <s v="#10"/>
    <x v="1"/>
    <n v="18.25"/>
    <n v="2.27"/>
    <n v="7.99"/>
    <n v="63.8401"/>
    <x v="0"/>
    <s v="matty15RB"/>
    <n v="3"/>
    <s v="matty15RB-3"/>
  </r>
  <r>
    <x v="14"/>
    <x v="90"/>
    <s v="3.51-17.01"/>
    <n v="10.26"/>
    <s v="#21"/>
    <x v="1"/>
    <n v="17.010000000000002"/>
    <n v="3.51"/>
    <n v="6.75"/>
    <n v="45.5625"/>
    <x v="10"/>
    <s v="aj4RB"/>
    <n v="2"/>
    <s v="aj4RB-2"/>
  </r>
  <r>
    <x v="4"/>
    <x v="53"/>
    <s v="4.21-16.29"/>
    <n v="10.25"/>
    <s v="#3"/>
    <x v="1"/>
    <n v="16.29"/>
    <n v="4.21"/>
    <n v="6.04"/>
    <n v="36.4816"/>
    <x v="8"/>
    <s v="comp7RB"/>
    <n v="2"/>
    <s v="comp7RB-2"/>
  </r>
  <r>
    <x v="9"/>
    <x v="59"/>
    <s v="3.52-16.96"/>
    <n v="10.24"/>
    <s v="#11"/>
    <x v="2"/>
    <n v="16.96"/>
    <n v="3.52"/>
    <n v="6.72"/>
    <n v="45.1584"/>
    <x v="2"/>
    <s v="devon15WR"/>
    <n v="2"/>
    <s v="devon15WR-2"/>
  </r>
  <r>
    <x v="10"/>
    <x v="73"/>
    <s v="3.71-16.77"/>
    <n v="10.24"/>
    <s v="#31"/>
    <x v="1"/>
    <n v="16.77"/>
    <n v="3.71"/>
    <n v="6.53"/>
    <n v="42.640900000000002"/>
    <x v="0"/>
    <s v="matty2RB"/>
    <n v="3"/>
    <s v="matty2RB-3"/>
  </r>
  <r>
    <x v="15"/>
    <x v="91"/>
    <s v="4.52-15.96"/>
    <n v="10.24"/>
    <s v="#22"/>
    <x v="1"/>
    <n v="15.96"/>
    <n v="4.5199999999999996"/>
    <n v="5.72"/>
    <n v="32.718400000000003"/>
    <x v="1"/>
    <s v="perry10RB"/>
    <n v="2"/>
    <s v="perry10RB-2"/>
  </r>
  <r>
    <x v="9"/>
    <x v="64"/>
    <s v="4.09-16.37"/>
    <n v="10.23"/>
    <s v="#13"/>
    <x v="1"/>
    <n v="16.37"/>
    <n v="4.09"/>
    <n v="6.14"/>
    <n v="37.699599999999997"/>
    <x v="10"/>
    <s v="aj15RB"/>
    <n v="2"/>
    <s v="aj15RB-2"/>
  </r>
  <r>
    <x v="7"/>
    <x v="53"/>
    <s v="4.54-15.92"/>
    <n v="10.23"/>
    <s v="#17"/>
    <x v="1"/>
    <n v="15.92"/>
    <n v="4.54"/>
    <n v="5.69"/>
    <n v="32.376100000000001"/>
    <x v="8"/>
    <s v="comp1RB"/>
    <n v="1"/>
    <s v="comp1RB-1"/>
  </r>
  <r>
    <x v="6"/>
    <x v="82"/>
    <s v="4.25-16.15"/>
    <n v="10.199999999999999"/>
    <s v="#27"/>
    <x v="1"/>
    <n v="16.149999999999999"/>
    <n v="4.25"/>
    <n v="5.95"/>
    <n v="35.402500000000003"/>
    <x v="9"/>
    <s v="seth12RB"/>
    <n v="2"/>
    <s v="seth12RB-2"/>
  </r>
  <r>
    <x v="8"/>
    <x v="85"/>
    <s v="5.13-15.27"/>
    <n v="10.199999999999999"/>
    <s v="#32"/>
    <x v="1"/>
    <n v="15.27"/>
    <n v="5.13"/>
    <n v="5.07"/>
    <n v="25.704899999999999"/>
    <x v="5"/>
    <s v="cory6RB"/>
    <n v="2"/>
    <s v="cory6RB-2"/>
  </r>
  <r>
    <x v="13"/>
    <x v="72"/>
    <s v="4.84-15.56"/>
    <n v="10.199999999999999"/>
    <s v="#11"/>
    <x v="3"/>
    <n v="15.56"/>
    <n v="4.84"/>
    <n v="5.36"/>
    <n v="28.729600000000001"/>
    <x v="6"/>
    <s v="lucas8TE"/>
    <n v="1"/>
    <s v="lucas8TE-1"/>
  </r>
  <r>
    <x v="10"/>
    <x v="61"/>
    <s v="4.69-15.67"/>
    <n v="10.18"/>
    <s v="#1"/>
    <x v="1"/>
    <n v="15.67"/>
    <n v="4.6900000000000004"/>
    <n v="5.49"/>
    <n v="30.1401"/>
    <x v="10"/>
    <s v="aj2RB"/>
    <n v="3"/>
    <s v="aj2RB-3"/>
  </r>
  <r>
    <x v="3"/>
    <x v="58"/>
    <s v="4.11-16.25"/>
    <n v="10.18"/>
    <s v="#22"/>
    <x v="2"/>
    <n v="16.25"/>
    <n v="4.1100000000000003"/>
    <n v="6.07"/>
    <n v="36.844900000000003"/>
    <x v="10"/>
    <s v="aj11WR"/>
    <n v="2"/>
    <s v="aj11WR-2"/>
  </r>
  <r>
    <x v="11"/>
    <x v="88"/>
    <s v="3.72-16.64"/>
    <n v="10.18"/>
    <s v="#23"/>
    <x v="2"/>
    <n v="16.64"/>
    <n v="3.72"/>
    <n v="6.46"/>
    <n v="41.7316"/>
    <x v="10"/>
    <s v="aj14WR"/>
    <n v="3"/>
    <s v="aj14WR-3"/>
  </r>
  <r>
    <x v="2"/>
    <x v="64"/>
    <s v="3.89-16.45"/>
    <n v="10.17"/>
    <s v="#12"/>
    <x v="1"/>
    <n v="16.45"/>
    <n v="3.89"/>
    <n v="6.28"/>
    <n v="39.438400000000001"/>
    <x v="10"/>
    <s v="aj9RB"/>
    <n v="1"/>
    <s v="aj9RB-1"/>
  </r>
  <r>
    <x v="6"/>
    <x v="97"/>
    <s v="4.61-15.73"/>
    <n v="10.17"/>
    <s v="#17"/>
    <x v="2"/>
    <n v="15.73"/>
    <n v="4.6100000000000003"/>
    <n v="5.56"/>
    <n v="30.913599999999999"/>
    <x v="6"/>
    <s v="lucas12WR"/>
    <n v="1"/>
    <s v="lucas12WR-1"/>
  </r>
  <r>
    <x v="16"/>
    <x v="79"/>
    <s v="3.53-16.81"/>
    <n v="10.17"/>
    <s v="#18"/>
    <x v="3"/>
    <n v="16.809999999999999"/>
    <n v="3.53"/>
    <n v="6.64"/>
    <n v="44.089599999999997"/>
    <x v="10"/>
    <s v="aj3TE"/>
    <n v="1"/>
    <s v="aj3TE-1"/>
  </r>
  <r>
    <x v="3"/>
    <x v="79"/>
    <s v="3.98-16.36"/>
    <n v="10.17"/>
    <s v="#10"/>
    <x v="3"/>
    <n v="16.36"/>
    <n v="3.98"/>
    <n v="6.19"/>
    <n v="38.316099999999999"/>
    <x v="10"/>
    <s v="aj11TE"/>
    <n v="1"/>
    <s v="aj11TE-1"/>
  </r>
  <r>
    <x v="7"/>
    <x v="81"/>
    <s v="3.95-16.39"/>
    <n v="10.17"/>
    <s v="#29"/>
    <x v="3"/>
    <n v="16.39"/>
    <n v="3.95"/>
    <n v="6.22"/>
    <n v="38.688400000000001"/>
    <x v="1"/>
    <s v="perry1TE"/>
    <n v="1"/>
    <s v="perry1TE-1"/>
  </r>
  <r>
    <x v="16"/>
    <x v="98"/>
    <s v="4.04-16.28"/>
    <n v="10.16"/>
    <s v="#25"/>
    <x v="1"/>
    <n v="16.28"/>
    <n v="4.04"/>
    <n v="6.12"/>
    <n v="37.4544"/>
    <x v="6"/>
    <s v="lucas3RB"/>
    <n v="3"/>
    <s v="lucas3RB-3"/>
  </r>
  <r>
    <x v="12"/>
    <x v="69"/>
    <s v="3.72-16.60"/>
    <n v="10.16"/>
    <s v="#8"/>
    <x v="2"/>
    <n v="16.600000000000001"/>
    <n v="3.72"/>
    <n v="6.44"/>
    <n v="41.473599999999998"/>
    <x v="0"/>
    <s v="matty5WR"/>
    <n v="2"/>
    <s v="matty5WR-2"/>
  </r>
  <r>
    <x v="0"/>
    <x v="61"/>
    <s v="1.87-18.37"/>
    <n v="10.119999999999999"/>
    <s v="#15"/>
    <x v="1"/>
    <n v="18.37"/>
    <n v="1.87"/>
    <n v="8.25"/>
    <n v="68.0625"/>
    <x v="10"/>
    <s v="aj17RB"/>
    <n v="2"/>
    <s v="aj17RB-2"/>
  </r>
  <r>
    <x v="16"/>
    <x v="38"/>
    <s v="3.95-16.29"/>
    <n v="10.119999999999999"/>
    <s v="#26"/>
    <x v="0"/>
    <n v="16.29"/>
    <n v="3.95"/>
    <n v="6.17"/>
    <n v="38.068899999999999"/>
    <x v="7"/>
    <s v="NA3QB"/>
    <n v="14"/>
    <s v="NA3QB-14"/>
  </r>
  <r>
    <x v="1"/>
    <x v="68"/>
    <s v="3.39-16.83"/>
    <n v="10.11"/>
    <s v="#16"/>
    <x v="1"/>
    <n v="16.829999999999998"/>
    <n v="3.39"/>
    <n v="6.72"/>
    <n v="45.1584"/>
    <x v="4"/>
    <s v="scott16RB"/>
    <n v="3"/>
    <s v="scott16RB-3"/>
  </r>
  <r>
    <x v="14"/>
    <x v="80"/>
    <s v="3.58-16.62"/>
    <n v="10.1"/>
    <s v="#2"/>
    <x v="2"/>
    <n v="16.62"/>
    <n v="3.58"/>
    <n v="6.52"/>
    <n v="42.510399999999997"/>
    <x v="8"/>
    <s v="comp4WR"/>
    <n v="3"/>
    <s v="comp4WR-3"/>
  </r>
  <r>
    <x v="3"/>
    <x v="92"/>
    <s v="4.19-15.97"/>
    <n v="10.08"/>
    <s v="#32"/>
    <x v="2"/>
    <n v="15.97"/>
    <n v="4.1900000000000004"/>
    <n v="5.89"/>
    <n v="34.692100000000003"/>
    <x v="6"/>
    <s v="lucas11WR"/>
    <n v="1"/>
    <s v="lucas11WR-1"/>
  </r>
  <r>
    <x v="6"/>
    <x v="64"/>
    <s v="3.15-17.01"/>
    <n v="10.08"/>
    <s v="#30"/>
    <x v="1"/>
    <n v="17.010000000000002"/>
    <n v="3.15"/>
    <n v="6.93"/>
    <n v="48.024900000000002"/>
    <x v="10"/>
    <s v="aj12RB"/>
    <n v="2"/>
    <s v="aj12RB-2"/>
  </r>
  <r>
    <x v="5"/>
    <x v="94"/>
    <s v="3.98-16.18"/>
    <n v="10.08"/>
    <s v="#26"/>
    <x v="2"/>
    <n v="16.18"/>
    <n v="3.98"/>
    <n v="6.1"/>
    <n v="37.21"/>
    <x v="3"/>
    <s v="chad13WR"/>
    <n v="2"/>
    <s v="chad13WR-2"/>
  </r>
  <r>
    <x v="2"/>
    <x v="87"/>
    <s v="3.99-16.15"/>
    <n v="10.07"/>
    <s v="#10"/>
    <x v="1"/>
    <n v="16.149999999999999"/>
    <n v="3.99"/>
    <n v="6.08"/>
    <n v="36.9664"/>
    <x v="5"/>
    <s v="cory9RB"/>
    <n v="3"/>
    <s v="cory9RB-3"/>
  </r>
  <r>
    <x v="11"/>
    <x v="87"/>
    <s v="3.24-16.86"/>
    <n v="10.050000000000001"/>
    <s v="#31"/>
    <x v="1"/>
    <n v="16.86"/>
    <n v="3.24"/>
    <n v="6.81"/>
    <n v="46.376100000000001"/>
    <x v="5"/>
    <s v="cory14RB"/>
    <n v="2"/>
    <s v="cory14RB-2"/>
  </r>
  <r>
    <x v="5"/>
    <x v="84"/>
    <s v="3.21-16.89"/>
    <n v="10.050000000000001"/>
    <s v="#10"/>
    <x v="2"/>
    <n v="16.89"/>
    <n v="3.21"/>
    <n v="6.84"/>
    <n v="46.785600000000002"/>
    <x v="0"/>
    <s v="matty13WR"/>
    <n v="2"/>
    <s v="matty13WR-2"/>
  </r>
  <r>
    <x v="13"/>
    <x v="83"/>
    <s v="3.44-16.64"/>
    <n v="10.039999999999999"/>
    <s v="#15"/>
    <x v="2"/>
    <n v="16.64"/>
    <n v="3.44"/>
    <n v="6.6"/>
    <n v="43.56"/>
    <x v="5"/>
    <s v="cory8WR"/>
    <n v="2"/>
    <s v="cory8WR-2"/>
  </r>
  <r>
    <x v="4"/>
    <x v="94"/>
    <s v="3.65-16.43"/>
    <n v="10.039999999999999"/>
    <s v="#5"/>
    <x v="2"/>
    <n v="16.43"/>
    <n v="3.65"/>
    <n v="6.39"/>
    <n v="40.832099999999997"/>
    <x v="3"/>
    <s v="chad7WR"/>
    <n v="2"/>
    <s v="chad7WR-2"/>
  </r>
  <r>
    <x v="10"/>
    <x v="66"/>
    <s v="2.48-17.58"/>
    <n v="10.029999999999999"/>
    <s v="#21"/>
    <x v="2"/>
    <n v="17.579999999999998"/>
    <n v="2.48"/>
    <n v="7.55"/>
    <n v="57.002499999999998"/>
    <x v="9"/>
    <s v="seth2WR"/>
    <n v="2"/>
    <s v="seth2WR-2"/>
  </r>
  <r>
    <x v="10"/>
    <x v="51"/>
    <s v="3.69-16.37"/>
    <n v="10.029999999999999"/>
    <s v="#30"/>
    <x v="1"/>
    <n v="16.37"/>
    <n v="3.69"/>
    <n v="6.34"/>
    <n v="40.195599999999999"/>
    <x v="5"/>
    <s v="cory2RB"/>
    <n v="1"/>
    <s v="cory2RB-1"/>
  </r>
  <r>
    <x v="12"/>
    <x v="82"/>
    <s v="2.26-17.80"/>
    <n v="10.029999999999999"/>
    <s v="#11"/>
    <x v="1"/>
    <n v="17.8"/>
    <n v="2.2599999999999998"/>
    <n v="7.77"/>
    <n v="60.372900000000001"/>
    <x v="9"/>
    <s v="seth5RB"/>
    <n v="2"/>
    <s v="seth5RB-2"/>
  </r>
  <r>
    <x v="8"/>
    <x v="97"/>
    <s v="4.78-15.26"/>
    <n v="10.02"/>
    <s v="#9"/>
    <x v="2"/>
    <n v="15.26"/>
    <n v="4.78"/>
    <n v="5.24"/>
    <n v="27.457599999999999"/>
    <x v="6"/>
    <s v="lucas6WR"/>
    <n v="1"/>
    <s v="lucas6WR-1"/>
  </r>
  <r>
    <x v="11"/>
    <x v="99"/>
    <s v="2.98-17.06"/>
    <n v="10.02"/>
    <s v="#9"/>
    <x v="2"/>
    <n v="17.059999999999999"/>
    <n v="2.98"/>
    <n v="7.04"/>
    <n v="49.561599999999999"/>
    <x v="1"/>
    <s v="perry14WR"/>
    <n v="3"/>
    <s v="perry14WR-3"/>
  </r>
  <r>
    <x v="15"/>
    <x v="69"/>
    <s v="3.91-16.11"/>
    <n v="10.01"/>
    <s v="#8"/>
    <x v="2"/>
    <n v="16.11"/>
    <n v="3.91"/>
    <n v="6.1"/>
    <n v="37.21"/>
    <x v="0"/>
    <s v="matty10WR"/>
    <n v="2"/>
    <s v="matty10WR-2"/>
  </r>
  <r>
    <x v="4"/>
    <x v="92"/>
    <s v="3.36-16.64"/>
    <n v="10"/>
    <s v="#18"/>
    <x v="2"/>
    <n v="16.64"/>
    <n v="3.36"/>
    <n v="6.64"/>
    <n v="44.089599999999997"/>
    <x v="6"/>
    <s v="lucas7WR"/>
    <n v="1"/>
    <s v="lucas7WR-1"/>
  </r>
  <r>
    <x v="15"/>
    <x v="92"/>
    <s v="4.31-15.69"/>
    <n v="10"/>
    <s v="#8"/>
    <x v="2"/>
    <n v="15.69"/>
    <n v="4.3099999999999996"/>
    <n v="5.69"/>
    <n v="32.376100000000001"/>
    <x v="6"/>
    <s v="lucas10WR"/>
    <n v="1"/>
    <s v="lucas10WR-1"/>
  </r>
  <r>
    <x v="10"/>
    <x v="86"/>
    <s v="4.35-15.65"/>
    <n v="10"/>
    <s v="#26"/>
    <x v="1"/>
    <n v="15.65"/>
    <n v="4.3499999999999996"/>
    <n v="5.65"/>
    <n v="31.922499999999999"/>
    <x v="7"/>
    <s v="NA2RB"/>
    <n v="1"/>
    <s v="NA2RB-1"/>
  </r>
  <r>
    <x v="5"/>
    <x v="77"/>
    <s v="4.11-15.89"/>
    <n v="10"/>
    <s v="#17"/>
    <x v="2"/>
    <n v="15.89"/>
    <n v="4.1100000000000003"/>
    <n v="5.89"/>
    <n v="34.692100000000003"/>
    <x v="10"/>
    <s v="aj13WR"/>
    <n v="3"/>
    <s v="aj13WR-3"/>
  </r>
  <r>
    <x v="2"/>
    <x v="79"/>
    <s v="4.57-15.43"/>
    <n v="10"/>
    <s v="#2"/>
    <x v="3"/>
    <n v="15.43"/>
    <n v="4.57"/>
    <n v="5.43"/>
    <n v="29.4849"/>
    <x v="10"/>
    <s v="aj9TE"/>
    <n v="1"/>
    <s v="aj9TE-1"/>
  </r>
  <r>
    <x v="11"/>
    <x v="70"/>
    <s v="3.55-16.43"/>
    <n v="9.99"/>
    <s v="#20"/>
    <x v="2"/>
    <n v="16.43"/>
    <n v="3.55"/>
    <n v="6.44"/>
    <n v="41.473599999999998"/>
    <x v="2"/>
    <s v="devon14WR"/>
    <n v="1"/>
    <s v="devon14WR-1"/>
  </r>
  <r>
    <x v="13"/>
    <x v="92"/>
    <s v="3.71-16.27"/>
    <n v="9.99"/>
    <s v="#21"/>
    <x v="2"/>
    <n v="16.27"/>
    <n v="3.71"/>
    <n v="6.28"/>
    <n v="39.438400000000001"/>
    <x v="6"/>
    <s v="lucas8WR"/>
    <n v="1"/>
    <s v="lucas8WR-1"/>
  </r>
  <r>
    <x v="7"/>
    <x v="71"/>
    <s v="3.69-16.29"/>
    <n v="9.99"/>
    <s v="#5"/>
    <x v="2"/>
    <n v="16.29"/>
    <n v="3.69"/>
    <n v="6.3"/>
    <n v="39.69"/>
    <x v="1"/>
    <s v="perry1WR"/>
    <n v="2"/>
    <s v="perry1WR-2"/>
  </r>
  <r>
    <x v="16"/>
    <x v="76"/>
    <s v="3.64-16.34"/>
    <n v="9.99"/>
    <s v="#7"/>
    <x v="1"/>
    <n v="16.34"/>
    <n v="3.64"/>
    <n v="6.35"/>
    <n v="40.322499999999998"/>
    <x v="7"/>
    <s v="NA3RB"/>
    <n v="2"/>
    <s v="NA3RB-2"/>
  </r>
  <r>
    <x v="6"/>
    <x v="80"/>
    <s v="2.75-17.21"/>
    <n v="9.98"/>
    <s v="#1"/>
    <x v="2"/>
    <n v="17.21"/>
    <n v="2.75"/>
    <n v="7.23"/>
    <n v="52.2729"/>
    <x v="8"/>
    <s v="comp12WR"/>
    <n v="3"/>
    <s v="comp12WR-3"/>
  </r>
  <r>
    <x v="14"/>
    <x v="95"/>
    <s v="3.16-16.78"/>
    <n v="9.9700000000000006"/>
    <s v="#15"/>
    <x v="1"/>
    <n v="16.78"/>
    <n v="3.16"/>
    <n v="6.81"/>
    <n v="46.376100000000001"/>
    <x v="9"/>
    <s v="seth4RB"/>
    <n v="2"/>
    <s v="seth4RB-2"/>
  </r>
  <r>
    <x v="15"/>
    <x v="82"/>
    <s v="2.94-17.00"/>
    <n v="9.9700000000000006"/>
    <s v="#17"/>
    <x v="1"/>
    <n v="17"/>
    <n v="2.94"/>
    <n v="7.03"/>
    <n v="49.420900000000003"/>
    <x v="9"/>
    <s v="seth10RB"/>
    <n v="2"/>
    <s v="seth10RB-2"/>
  </r>
  <r>
    <x v="8"/>
    <x v="69"/>
    <s v="3.87-16.07"/>
    <n v="9.9700000000000006"/>
    <s v="#16"/>
    <x v="2"/>
    <n v="16.07"/>
    <n v="3.87"/>
    <n v="6.1"/>
    <n v="37.21"/>
    <x v="0"/>
    <s v="matty6WR"/>
    <n v="2"/>
    <s v="matty6WR-2"/>
  </r>
  <r>
    <x v="16"/>
    <x v="67"/>
    <s v="2.31-17.63"/>
    <n v="9.9700000000000006"/>
    <s v="#6"/>
    <x v="2"/>
    <n v="17.63"/>
    <n v="2.31"/>
    <n v="7.66"/>
    <n v="58.675600000000003"/>
    <x v="8"/>
    <s v="comp3WR"/>
    <n v="2"/>
    <s v="comp3WR-2"/>
  </r>
  <r>
    <x v="15"/>
    <x v="67"/>
    <s v="4.35-15.59"/>
    <n v="9.9700000000000006"/>
    <s v="#3"/>
    <x v="2"/>
    <n v="15.59"/>
    <n v="4.3499999999999996"/>
    <n v="5.62"/>
    <n v="31.584399999999999"/>
    <x v="8"/>
    <s v="comp10WR"/>
    <n v="2"/>
    <s v="comp10WR-2"/>
  </r>
  <r>
    <x v="1"/>
    <x v="70"/>
    <s v="4.35-15.57"/>
    <n v="9.9600000000000009"/>
    <s v="#2"/>
    <x v="2"/>
    <n v="15.57"/>
    <n v="4.3499999999999996"/>
    <n v="5.61"/>
    <n v="31.472100000000001"/>
    <x v="2"/>
    <s v="devon16WR"/>
    <n v="1"/>
    <s v="devon16WR-1"/>
  </r>
  <r>
    <x v="16"/>
    <x v="57"/>
    <s v="4.69-15.23"/>
    <n v="9.9600000000000009"/>
    <s v="#20"/>
    <x v="2"/>
    <n v="15.23"/>
    <n v="4.6900000000000004"/>
    <n v="5.27"/>
    <n v="27.7729"/>
    <x v="1"/>
    <s v="perry3WR"/>
    <n v="2"/>
    <s v="perry3WR-2"/>
  </r>
  <r>
    <x v="10"/>
    <x v="100"/>
    <s v="3.50-16.40"/>
    <n v="9.9499999999999993"/>
    <s v="#9"/>
    <x v="1"/>
    <n v="16.399999999999999"/>
    <n v="3.5"/>
    <n v="6.45"/>
    <n v="41.602499999999999"/>
    <x v="6"/>
    <s v="lucas2RB"/>
    <n v="3"/>
    <s v="lucas2RB-3"/>
  </r>
  <r>
    <x v="9"/>
    <x v="85"/>
    <s v="3.99-15.91"/>
    <n v="9.9499999999999993"/>
    <s v="#15"/>
    <x v="1"/>
    <n v="15.91"/>
    <n v="3.99"/>
    <n v="5.96"/>
    <n v="35.521599999999999"/>
    <x v="5"/>
    <s v="cory15RB"/>
    <n v="2"/>
    <s v="cory15RB-2"/>
  </r>
  <r>
    <x v="5"/>
    <x v="83"/>
    <s v="4.15-15.75"/>
    <n v="9.9499999999999993"/>
    <s v="#27"/>
    <x v="2"/>
    <n v="15.75"/>
    <n v="4.1500000000000004"/>
    <n v="5.8"/>
    <n v="33.64"/>
    <x v="5"/>
    <s v="cory13WR"/>
    <n v="3"/>
    <s v="cory13WR-3"/>
  </r>
  <r>
    <x v="1"/>
    <x v="97"/>
    <s v="4.31-15.59"/>
    <n v="9.9499999999999993"/>
    <s v="#21"/>
    <x v="2"/>
    <n v="15.59"/>
    <n v="4.3099999999999996"/>
    <n v="5.64"/>
    <n v="31.8096"/>
    <x v="6"/>
    <s v="lucas16WR"/>
    <n v="1"/>
    <s v="lucas16WR-1"/>
  </r>
  <r>
    <x v="9"/>
    <x v="69"/>
    <s v="4.50-15.40"/>
    <n v="9.9499999999999993"/>
    <s v="#6"/>
    <x v="2"/>
    <n v="15.4"/>
    <n v="4.5"/>
    <n v="5.45"/>
    <n v="29.702500000000001"/>
    <x v="0"/>
    <s v="matty15WR"/>
    <n v="2"/>
    <s v="matty15WR-2"/>
  </r>
  <r>
    <x v="3"/>
    <x v="77"/>
    <s v="3.59-16.31"/>
    <n v="9.9499999999999993"/>
    <s v="#5"/>
    <x v="2"/>
    <n v="16.309999999999999"/>
    <n v="3.59"/>
    <n v="6.36"/>
    <n v="40.449599999999997"/>
    <x v="10"/>
    <s v="aj11WR"/>
    <n v="3"/>
    <s v="aj11WR-3"/>
  </r>
  <r>
    <x v="8"/>
    <x v="78"/>
    <s v="4.70-15.16"/>
    <n v="9.93"/>
    <s v="#7"/>
    <x v="1"/>
    <n v="15.16"/>
    <n v="4.7"/>
    <n v="5.23"/>
    <n v="27.352900000000002"/>
    <x v="8"/>
    <s v="comp6RB"/>
    <n v="2"/>
    <s v="comp6RB-2"/>
  </r>
  <r>
    <x v="16"/>
    <x v="95"/>
    <s v="3.49-16.37"/>
    <n v="9.93"/>
    <s v="#16"/>
    <x v="1"/>
    <n v="16.37"/>
    <n v="3.49"/>
    <n v="6.44"/>
    <n v="41.473599999999998"/>
    <x v="9"/>
    <s v="seth3RB"/>
    <n v="2"/>
    <s v="seth3RB-2"/>
  </r>
  <r>
    <x v="14"/>
    <x v="101"/>
    <s v="4.49-15.37"/>
    <n v="9.93"/>
    <s v="#32"/>
    <x v="2"/>
    <n v="15.37"/>
    <n v="4.49"/>
    <n v="5.44"/>
    <n v="29.593599999999999"/>
    <x v="8"/>
    <s v="comp4WR"/>
    <n v="4"/>
    <s v="comp4WR-4"/>
  </r>
  <r>
    <x v="8"/>
    <x v="83"/>
    <s v="3.18-16.68"/>
    <n v="9.93"/>
    <s v="#20"/>
    <x v="2"/>
    <n v="16.68"/>
    <n v="3.18"/>
    <n v="6.75"/>
    <n v="45.5625"/>
    <x v="5"/>
    <s v="cory6WR"/>
    <n v="2"/>
    <s v="cory6WR-2"/>
  </r>
  <r>
    <x v="3"/>
    <x v="82"/>
    <s v="2.61-17.21"/>
    <n v="9.91"/>
    <s v="#9"/>
    <x v="1"/>
    <n v="17.21"/>
    <n v="2.61"/>
    <n v="7.3"/>
    <n v="53.29"/>
    <x v="9"/>
    <s v="seth11RB"/>
    <n v="2"/>
    <s v="seth11RB-2"/>
  </r>
  <r>
    <x v="1"/>
    <x v="59"/>
    <s v="4.49-15.33"/>
    <n v="9.91"/>
    <s v="#26"/>
    <x v="2"/>
    <n v="15.33"/>
    <n v="4.49"/>
    <n v="5.42"/>
    <n v="29.3764"/>
    <x v="2"/>
    <s v="devon16WR"/>
    <n v="2"/>
    <s v="devon16WR-2"/>
  </r>
  <r>
    <x v="5"/>
    <x v="64"/>
    <s v="3.45-16.35"/>
    <n v="9.9"/>
    <s v="#1"/>
    <x v="1"/>
    <n v="16.350000000000001"/>
    <n v="3.45"/>
    <n v="6.45"/>
    <n v="41.602499999999999"/>
    <x v="10"/>
    <s v="aj13RB"/>
    <n v="2"/>
    <s v="aj13RB-2"/>
  </r>
  <r>
    <x v="11"/>
    <x v="64"/>
    <s v="3.07-16.73"/>
    <n v="9.9"/>
    <s v="#21"/>
    <x v="1"/>
    <n v="16.73"/>
    <n v="3.07"/>
    <n v="6.83"/>
    <n v="46.648899999999998"/>
    <x v="10"/>
    <s v="aj14RB"/>
    <n v="2"/>
    <s v="aj14RB-2"/>
  </r>
  <r>
    <x v="2"/>
    <x v="101"/>
    <s v="3.71-16.07"/>
    <n v="9.89"/>
    <s v="#27"/>
    <x v="2"/>
    <n v="16.07"/>
    <n v="3.71"/>
    <n v="6.18"/>
    <n v="38.192399999999999"/>
    <x v="8"/>
    <s v="comp9WR"/>
    <n v="2"/>
    <s v="comp9WR-2"/>
  </r>
  <r>
    <x v="5"/>
    <x v="63"/>
    <s v="4.39-15.39"/>
    <n v="9.89"/>
    <s v="#20"/>
    <x v="2"/>
    <n v="15.39"/>
    <n v="4.3899999999999997"/>
    <n v="5.5"/>
    <n v="30.25"/>
    <x v="4"/>
    <s v="scott13WR"/>
    <n v="1"/>
    <s v="scott13WR-1"/>
  </r>
  <r>
    <x v="7"/>
    <x v="102"/>
    <s v="3.56-16.22"/>
    <n v="9.89"/>
    <s v="#1"/>
    <x v="0"/>
    <n v="16.22"/>
    <n v="3.56"/>
    <n v="6.33"/>
    <n v="40.068899999999999"/>
    <x v="7"/>
    <s v="NA1QB"/>
    <n v="16"/>
    <s v="NA1QB-16"/>
  </r>
  <r>
    <x v="6"/>
    <x v="59"/>
    <s v="4.52-15.24"/>
    <n v="9.8800000000000008"/>
    <s v="#5"/>
    <x v="2"/>
    <n v="15.24"/>
    <n v="4.5199999999999996"/>
    <n v="5.36"/>
    <n v="28.729600000000001"/>
    <x v="2"/>
    <s v="devon12WR"/>
    <n v="2"/>
    <s v="devon12WR-2"/>
  </r>
  <r>
    <x v="9"/>
    <x v="103"/>
    <s v="4.34-15.42"/>
    <n v="9.8800000000000008"/>
    <s v="#31"/>
    <x v="2"/>
    <n v="15.42"/>
    <n v="4.34"/>
    <n v="5.54"/>
    <n v="30.691600000000001"/>
    <x v="4"/>
    <s v="scott15WR"/>
    <n v="2"/>
    <s v="scott15WR-2"/>
  </r>
  <r>
    <x v="11"/>
    <x v="84"/>
    <s v="3.30-16.46"/>
    <n v="9.8800000000000008"/>
    <s v="#13"/>
    <x v="2"/>
    <n v="16.46"/>
    <n v="3.3"/>
    <n v="6.58"/>
    <n v="43.296399999999998"/>
    <x v="0"/>
    <s v="matty14WR"/>
    <n v="3"/>
    <s v="matty14WR-3"/>
  </r>
  <r>
    <x v="7"/>
    <x v="46"/>
    <s v="1.74-18.00"/>
    <n v="9.8699999999999992"/>
    <s v="#6"/>
    <x v="2"/>
    <n v="18"/>
    <n v="1.74"/>
    <n v="8.1300000000000008"/>
    <n v="66.096900000000005"/>
    <x v="5"/>
    <s v="cory1WR"/>
    <n v="2"/>
    <s v="cory1WR-2"/>
  </r>
  <r>
    <x v="5"/>
    <x v="79"/>
    <s v="4.84-14.90"/>
    <n v="9.8699999999999992"/>
    <s v="#25"/>
    <x v="3"/>
    <n v="14.9"/>
    <n v="4.84"/>
    <n v="5.03"/>
    <n v="25.300899999999999"/>
    <x v="10"/>
    <s v="aj13TE"/>
    <n v="1"/>
    <s v="aj13TE-1"/>
  </r>
  <r>
    <x v="5"/>
    <x v="49"/>
    <s v="4.08-15.64"/>
    <n v="9.86"/>
    <s v="#5"/>
    <x v="2"/>
    <n v="15.64"/>
    <n v="4.08"/>
    <n v="5.78"/>
    <n v="33.4084"/>
    <x v="9"/>
    <s v="seth13WR"/>
    <n v="2"/>
    <s v="seth13WR-2"/>
  </r>
  <r>
    <x v="8"/>
    <x v="77"/>
    <s v="3.22-16.50"/>
    <n v="9.86"/>
    <s v="#13"/>
    <x v="2"/>
    <n v="16.5"/>
    <n v="3.22"/>
    <n v="6.64"/>
    <n v="44.089599999999997"/>
    <x v="10"/>
    <s v="aj6WR"/>
    <n v="3"/>
    <s v="aj6WR-3"/>
  </r>
  <r>
    <x v="0"/>
    <x v="94"/>
    <s v="3.76-15.94"/>
    <n v="9.85"/>
    <s v="#4"/>
    <x v="2"/>
    <n v="15.94"/>
    <n v="3.76"/>
    <n v="6.09"/>
    <n v="37.088099999999997"/>
    <x v="3"/>
    <s v="chad17WR"/>
    <n v="2"/>
    <s v="chad17WR-2"/>
  </r>
  <r>
    <x v="6"/>
    <x v="65"/>
    <s v="3.15-16.53"/>
    <n v="9.84"/>
    <s v="#4"/>
    <x v="1"/>
    <n v="16.53"/>
    <n v="3.15"/>
    <n v="6.69"/>
    <n v="44.756100000000004"/>
    <x v="2"/>
    <s v="devon12RB"/>
    <n v="3"/>
    <s v="devon12RB-3"/>
  </r>
  <r>
    <x v="1"/>
    <x v="104"/>
    <s v="2.98-16.68"/>
    <n v="9.83"/>
    <s v="#27"/>
    <x v="2"/>
    <n v="16.68"/>
    <n v="2.98"/>
    <n v="6.85"/>
    <n v="46.922499999999999"/>
    <x v="2"/>
    <s v="devon16WR"/>
    <n v="3"/>
    <s v="devon16WR-3"/>
  </r>
  <r>
    <x v="2"/>
    <x v="82"/>
    <s v="2.73-16.91"/>
    <n v="9.82"/>
    <s v="#23"/>
    <x v="1"/>
    <n v="16.91"/>
    <n v="2.73"/>
    <n v="7.09"/>
    <n v="50.268099999999997"/>
    <x v="9"/>
    <s v="seth9RB"/>
    <n v="1"/>
    <s v="seth9RB-1"/>
  </r>
  <r>
    <x v="7"/>
    <x v="59"/>
    <s v="2.78-16.86"/>
    <n v="9.82"/>
    <s v="#4"/>
    <x v="2"/>
    <n v="16.86"/>
    <n v="2.78"/>
    <n v="7.04"/>
    <n v="49.561599999999999"/>
    <x v="2"/>
    <s v="devon1WR"/>
    <n v="2"/>
    <s v="devon1WR-2"/>
  </r>
  <r>
    <x v="11"/>
    <x v="85"/>
    <s v="4.29-15.35"/>
    <n v="9.82"/>
    <s v="#24"/>
    <x v="1"/>
    <n v="15.35"/>
    <n v="4.29"/>
    <n v="5.53"/>
    <n v="30.5809"/>
    <x v="5"/>
    <s v="cory14RB"/>
    <n v="3"/>
    <s v="cory14RB-3"/>
  </r>
  <r>
    <x v="3"/>
    <x v="68"/>
    <s v="3.15-16.49"/>
    <n v="9.82"/>
    <s v="#13"/>
    <x v="1"/>
    <n v="16.489999999999998"/>
    <n v="3.15"/>
    <n v="6.67"/>
    <n v="44.488900000000001"/>
    <x v="4"/>
    <s v="scott11RB"/>
    <n v="3"/>
    <s v="scott11RB-3"/>
  </r>
  <r>
    <x v="0"/>
    <x v="91"/>
    <s v="3.86-15.78"/>
    <n v="9.82"/>
    <s v="#10"/>
    <x v="1"/>
    <n v="15.78"/>
    <n v="3.86"/>
    <n v="5.96"/>
    <n v="35.521599999999999"/>
    <x v="1"/>
    <s v="perry17RB"/>
    <n v="2"/>
    <s v="perry17RB-2"/>
  </r>
  <r>
    <x v="16"/>
    <x v="97"/>
    <s v="3.97-15.67"/>
    <n v="9.82"/>
    <s v="#2"/>
    <x v="2"/>
    <n v="15.67"/>
    <n v="3.97"/>
    <n v="5.85"/>
    <n v="34.222499999999997"/>
    <x v="6"/>
    <s v="lucas3WR"/>
    <n v="1"/>
    <s v="lucas3WR-1"/>
  </r>
  <r>
    <x v="8"/>
    <x v="92"/>
    <s v="3.96-15.66"/>
    <n v="9.81"/>
    <s v="#16"/>
    <x v="2"/>
    <n v="15.66"/>
    <n v="3.96"/>
    <n v="5.85"/>
    <n v="34.222499999999997"/>
    <x v="6"/>
    <s v="lucas6WR"/>
    <n v="2"/>
    <s v="lucas6WR-2"/>
  </r>
  <r>
    <x v="12"/>
    <x v="94"/>
    <s v="3.14-16.48"/>
    <n v="9.81"/>
    <s v="#9"/>
    <x v="2"/>
    <n v="16.48"/>
    <n v="3.14"/>
    <n v="6.67"/>
    <n v="44.488900000000001"/>
    <x v="3"/>
    <s v="chad5WR"/>
    <n v="2"/>
    <s v="chad5WR-2"/>
  </r>
  <r>
    <x v="16"/>
    <x v="74"/>
    <s v="3.91-15.69"/>
    <n v="9.8000000000000007"/>
    <s v="#14"/>
    <x v="1"/>
    <n v="15.69"/>
    <n v="3.91"/>
    <n v="5.89"/>
    <n v="34.692100000000003"/>
    <x v="9"/>
    <s v="seth3RB"/>
    <n v="3"/>
    <s v="seth3RB-3"/>
  </r>
  <r>
    <x v="2"/>
    <x v="92"/>
    <s v="3.61-15.97"/>
    <n v="9.7899999999999991"/>
    <s v="#30"/>
    <x v="2"/>
    <n v="15.97"/>
    <n v="3.61"/>
    <n v="6.18"/>
    <n v="38.192399999999999"/>
    <x v="6"/>
    <s v="lucas9WR"/>
    <n v="1"/>
    <s v="lucas9WR-1"/>
  </r>
  <r>
    <x v="14"/>
    <x v="66"/>
    <s v="4.64-14.92"/>
    <n v="9.7799999999999994"/>
    <s v="#10"/>
    <x v="2"/>
    <n v="14.92"/>
    <n v="4.6399999999999997"/>
    <n v="5.14"/>
    <n v="26.419599999999999"/>
    <x v="9"/>
    <s v="seth4WR"/>
    <n v="2"/>
    <s v="seth4WR-2"/>
  </r>
  <r>
    <x v="2"/>
    <x v="94"/>
    <s v="3.89-15.67"/>
    <n v="9.7799999999999994"/>
    <s v="#21"/>
    <x v="2"/>
    <n v="15.67"/>
    <n v="3.89"/>
    <n v="5.89"/>
    <n v="34.692100000000003"/>
    <x v="3"/>
    <s v="chad9WR"/>
    <n v="2"/>
    <s v="chad9WR-2"/>
  </r>
  <r>
    <x v="0"/>
    <x v="87"/>
    <s v="3.82-15.74"/>
    <n v="9.7799999999999994"/>
    <s v="#7"/>
    <x v="1"/>
    <n v="15.74"/>
    <n v="3.82"/>
    <n v="5.96"/>
    <n v="35.521599999999999"/>
    <x v="5"/>
    <s v="cory17RB"/>
    <n v="1"/>
    <s v="cory17RB-1"/>
  </r>
  <r>
    <x v="10"/>
    <x v="67"/>
    <s v="3.75-15.81"/>
    <n v="9.7799999999999994"/>
    <s v="#12"/>
    <x v="2"/>
    <n v="15.81"/>
    <n v="3.75"/>
    <n v="6.03"/>
    <n v="36.360900000000001"/>
    <x v="8"/>
    <s v="comp2WR"/>
    <n v="2"/>
    <s v="comp2WR-2"/>
  </r>
  <r>
    <x v="10"/>
    <x v="57"/>
    <s v="2.95-16.59"/>
    <n v="9.77"/>
    <s v="#13"/>
    <x v="2"/>
    <n v="16.59"/>
    <n v="2.95"/>
    <n v="6.82"/>
    <n v="46.5124"/>
    <x v="1"/>
    <s v="perry2WR"/>
    <n v="1"/>
    <s v="perry2WR-1"/>
  </r>
  <r>
    <x v="13"/>
    <x v="58"/>
    <s v="2.84-16.70"/>
    <n v="9.77"/>
    <s v="#19"/>
    <x v="2"/>
    <n v="16.7"/>
    <n v="2.84"/>
    <n v="6.93"/>
    <n v="48.024900000000002"/>
    <x v="10"/>
    <s v="aj8WR"/>
    <n v="3"/>
    <s v="aj8WR-3"/>
  </r>
  <r>
    <x v="8"/>
    <x v="49"/>
    <s v="3.64-15.90"/>
    <n v="9.77"/>
    <s v="#6"/>
    <x v="2"/>
    <n v="15.9"/>
    <n v="3.64"/>
    <n v="6.13"/>
    <n v="37.576900000000002"/>
    <x v="9"/>
    <s v="seth6WR"/>
    <n v="2"/>
    <s v="seth6WR-2"/>
  </r>
  <r>
    <x v="0"/>
    <x v="97"/>
    <s v="4.21-15.33"/>
    <n v="9.77"/>
    <s v="#17"/>
    <x v="2"/>
    <n v="15.33"/>
    <n v="4.21"/>
    <n v="5.56"/>
    <n v="30.913599999999999"/>
    <x v="6"/>
    <s v="lucas17WR"/>
    <n v="2"/>
    <s v="lucas17WR-2"/>
  </r>
  <r>
    <x v="1"/>
    <x v="105"/>
    <s v="2.38-17.14"/>
    <n v="9.76"/>
    <s v="#12"/>
    <x v="1"/>
    <n v="17.14"/>
    <n v="2.38"/>
    <n v="7.38"/>
    <n v="54.464399999999998"/>
    <x v="3"/>
    <s v="chad16RB"/>
    <n v="3"/>
    <s v="chad16RB-3"/>
  </r>
  <r>
    <x v="5"/>
    <x v="69"/>
    <s v="4.09-15.43"/>
    <n v="9.76"/>
    <s v="#28"/>
    <x v="2"/>
    <n v="15.43"/>
    <n v="4.09"/>
    <n v="5.67"/>
    <n v="32.148899999999998"/>
    <x v="0"/>
    <s v="matty13WR"/>
    <n v="3"/>
    <s v="matty13WR-3"/>
  </r>
  <r>
    <x v="5"/>
    <x v="106"/>
    <s v="2.97-16.53"/>
    <n v="9.75"/>
    <s v="#4"/>
    <x v="2"/>
    <n v="16.53"/>
    <n v="2.97"/>
    <n v="6.78"/>
    <n v="45.968400000000003"/>
    <x v="0"/>
    <s v="matty13WR"/>
    <n v="4"/>
    <s v="matty13WR-4"/>
  </r>
  <r>
    <x v="7"/>
    <x v="67"/>
    <s v="4.14-15.36"/>
    <n v="9.75"/>
    <s v="#19"/>
    <x v="2"/>
    <n v="15.36"/>
    <n v="4.1399999999999997"/>
    <n v="5.61"/>
    <n v="31.472100000000001"/>
    <x v="8"/>
    <s v="comp1WR"/>
    <n v="2"/>
    <s v="comp1WR-2"/>
  </r>
  <r>
    <x v="10"/>
    <x v="107"/>
    <s v="5.10-14.38"/>
    <n v="9.74"/>
    <s v="#25"/>
    <x v="2"/>
    <n v="14.38"/>
    <n v="5.0999999999999996"/>
    <n v="4.6399999999999997"/>
    <n v="21.529599999999999"/>
    <x v="2"/>
    <s v="devon2WR"/>
    <n v="2"/>
    <s v="devon2WR-2"/>
  </r>
  <r>
    <x v="14"/>
    <x v="83"/>
    <s v="3.31-16.17"/>
    <n v="9.74"/>
    <s v="#25"/>
    <x v="2"/>
    <n v="16.170000000000002"/>
    <n v="3.31"/>
    <n v="6.43"/>
    <n v="41.344900000000003"/>
    <x v="5"/>
    <s v="cory4WR"/>
    <n v="3"/>
    <s v="cory4WR-3"/>
  </r>
  <r>
    <x v="16"/>
    <x v="88"/>
    <s v="3.46-16.02"/>
    <n v="9.74"/>
    <s v="#9"/>
    <x v="2"/>
    <n v="16.02"/>
    <n v="3.46"/>
    <n v="6.28"/>
    <n v="39.438400000000001"/>
    <x v="10"/>
    <s v="aj3WR"/>
    <n v="4"/>
    <s v="aj3WR-4"/>
  </r>
  <r>
    <x v="6"/>
    <x v="72"/>
    <s v="3.25-16.23"/>
    <n v="9.74"/>
    <s v="#4"/>
    <x v="3"/>
    <n v="16.23"/>
    <n v="3.25"/>
    <n v="6.49"/>
    <n v="42.120100000000001"/>
    <x v="6"/>
    <s v="lucas12TE"/>
    <n v="1"/>
    <s v="lucas12TE-1"/>
  </r>
  <r>
    <x v="13"/>
    <x v="80"/>
    <s v="3.28-16.16"/>
    <n v="9.7200000000000006"/>
    <s v="#9"/>
    <x v="2"/>
    <n v="16.16"/>
    <n v="3.28"/>
    <n v="6.44"/>
    <n v="41.473599999999998"/>
    <x v="8"/>
    <s v="comp8WR"/>
    <n v="3"/>
    <s v="comp8WR-3"/>
  </r>
  <r>
    <x v="16"/>
    <x v="47"/>
    <s v="2.29-17.15"/>
    <n v="9.7200000000000006"/>
    <s v="#3"/>
    <x v="0"/>
    <n v="17.149999999999999"/>
    <n v="2.29"/>
    <n v="7.43"/>
    <n v="55.204900000000002"/>
    <x v="7"/>
    <s v="NA3QB"/>
    <n v="15"/>
    <s v="NA3QB-15"/>
  </r>
  <r>
    <x v="10"/>
    <x v="71"/>
    <s v="4.28-15.14"/>
    <n v="9.7100000000000009"/>
    <s v="#26"/>
    <x v="2"/>
    <n v="15.14"/>
    <n v="4.28"/>
    <n v="5.43"/>
    <n v="29.4849"/>
    <x v="1"/>
    <s v="perry2WR"/>
    <n v="2"/>
    <s v="perry2WR-2"/>
  </r>
  <r>
    <x v="8"/>
    <x v="73"/>
    <s v="1.95-17.47"/>
    <n v="9.7100000000000009"/>
    <s v="#22"/>
    <x v="1"/>
    <n v="17.47"/>
    <n v="1.95"/>
    <n v="7.76"/>
    <n v="60.217599999999997"/>
    <x v="0"/>
    <s v="matty6RB"/>
    <n v="3"/>
    <s v="matty6RB-3"/>
  </r>
  <r>
    <x v="2"/>
    <x v="107"/>
    <s v="3.49-15.91"/>
    <n v="9.6999999999999993"/>
    <s v="#27"/>
    <x v="2"/>
    <n v="15.91"/>
    <n v="3.49"/>
    <n v="6.21"/>
    <n v="38.564100000000003"/>
    <x v="2"/>
    <s v="devon9WR"/>
    <n v="1"/>
    <s v="devon9WR-1"/>
  </r>
  <r>
    <x v="12"/>
    <x v="78"/>
    <s v="0.44-18.94"/>
    <n v="9.69"/>
    <s v="#30"/>
    <x v="1"/>
    <n v="18.940000000000001"/>
    <n v="0.44"/>
    <n v="9.25"/>
    <n v="85.5625"/>
    <x v="8"/>
    <s v="comp5RB"/>
    <n v="2"/>
    <s v="comp5RB-2"/>
  </r>
  <r>
    <x v="5"/>
    <x v="67"/>
    <s v="4.07-15.31"/>
    <n v="9.69"/>
    <s v="#3"/>
    <x v="2"/>
    <n v="15.31"/>
    <n v="4.07"/>
    <n v="5.62"/>
    <n v="31.584399999999999"/>
    <x v="8"/>
    <s v="comp13WR"/>
    <n v="3"/>
    <s v="comp13WR-3"/>
  </r>
  <r>
    <x v="8"/>
    <x v="108"/>
    <s v="3.18-16.16"/>
    <n v="9.67"/>
    <s v="#10"/>
    <x v="1"/>
    <n v="16.16"/>
    <n v="3.18"/>
    <n v="6.49"/>
    <n v="42.120100000000001"/>
    <x v="1"/>
    <s v="perry6RB"/>
    <n v="2"/>
    <s v="perry6RB-2"/>
  </r>
  <r>
    <x v="15"/>
    <x v="109"/>
    <s v="3.52-15.80"/>
    <n v="9.66"/>
    <s v="#28"/>
    <x v="2"/>
    <n v="15.8"/>
    <n v="3.52"/>
    <n v="6.14"/>
    <n v="37.699599999999997"/>
    <x v="6"/>
    <s v="lucas10WR"/>
    <n v="2"/>
    <s v="lucas10WR-2"/>
  </r>
  <r>
    <x v="6"/>
    <x v="71"/>
    <s v="4.10-15.22"/>
    <n v="9.66"/>
    <s v="#26"/>
    <x v="2"/>
    <n v="15.22"/>
    <n v="4.0999999999999996"/>
    <n v="5.56"/>
    <n v="30.913599999999999"/>
    <x v="1"/>
    <s v="perry12WR"/>
    <n v="1"/>
    <s v="perry12WR-1"/>
  </r>
  <r>
    <x v="0"/>
    <x v="108"/>
    <s v="1.66-17.66"/>
    <n v="9.66"/>
    <s v="#20"/>
    <x v="1"/>
    <n v="17.66"/>
    <n v="1.66"/>
    <n v="8"/>
    <n v="64"/>
    <x v="1"/>
    <s v="perry17RB"/>
    <n v="3"/>
    <s v="perry17RB-3"/>
  </r>
  <r>
    <x v="2"/>
    <x v="59"/>
    <s v="4.23-15.07"/>
    <n v="9.65"/>
    <s v="#26"/>
    <x v="2"/>
    <n v="15.07"/>
    <n v="4.2300000000000004"/>
    <n v="5.42"/>
    <n v="29.3764"/>
    <x v="2"/>
    <s v="devon9WR"/>
    <n v="2"/>
    <s v="devon9WR-2"/>
  </r>
  <r>
    <x v="4"/>
    <x v="72"/>
    <s v="3.25-16.05"/>
    <n v="9.65"/>
    <s v="#5"/>
    <x v="3"/>
    <n v="16.05"/>
    <n v="3.25"/>
    <n v="6.4"/>
    <n v="40.96"/>
    <x v="6"/>
    <s v="lucas7TE"/>
    <n v="1"/>
    <s v="lucas7TE-1"/>
  </r>
  <r>
    <x v="10"/>
    <x v="77"/>
    <s v="3.34-15.96"/>
    <n v="9.65"/>
    <s v="#21"/>
    <x v="2"/>
    <n v="15.96"/>
    <n v="3.34"/>
    <n v="6.31"/>
    <n v="39.816099999999999"/>
    <x v="10"/>
    <s v="aj2WR"/>
    <n v="3"/>
    <s v="aj2WR-3"/>
  </r>
  <r>
    <x v="3"/>
    <x v="84"/>
    <s v="3.55-15.73"/>
    <n v="9.64"/>
    <s v="#7"/>
    <x v="2"/>
    <n v="15.73"/>
    <n v="3.55"/>
    <n v="6.09"/>
    <n v="37.088099999999997"/>
    <x v="0"/>
    <s v="matty11WR"/>
    <n v="3"/>
    <s v="matty11WR-3"/>
  </r>
  <r>
    <x v="5"/>
    <x v="110"/>
    <s v="2.84-16.42"/>
    <n v="9.6300000000000008"/>
    <s v="#10"/>
    <x v="1"/>
    <n v="16.420000000000002"/>
    <n v="2.84"/>
    <n v="6.79"/>
    <n v="46.104100000000003"/>
    <x v="10"/>
    <s v="aj13RB"/>
    <n v="3"/>
    <s v="aj13RB-3"/>
  </r>
  <r>
    <x v="16"/>
    <x v="84"/>
    <s v="4.06-15.20"/>
    <n v="9.6300000000000008"/>
    <s v="#17"/>
    <x v="2"/>
    <n v="15.2"/>
    <n v="4.0599999999999996"/>
    <n v="5.57"/>
    <n v="31.024899999999999"/>
    <x v="0"/>
    <s v="matty3WR"/>
    <n v="2"/>
    <s v="matty3WR-2"/>
  </r>
  <r>
    <x v="1"/>
    <x v="107"/>
    <s v="4.45-14.79"/>
    <n v="9.6199999999999992"/>
    <s v="#25"/>
    <x v="2"/>
    <n v="14.79"/>
    <n v="4.45"/>
    <n v="5.17"/>
    <n v="26.728899999999999"/>
    <x v="2"/>
    <s v="devon16WR"/>
    <n v="4"/>
    <s v="devon16WR-4"/>
  </r>
  <r>
    <x v="0"/>
    <x v="56"/>
    <s v="3.26-15.98"/>
    <n v="9.6199999999999992"/>
    <s v="#19"/>
    <x v="1"/>
    <n v="15.98"/>
    <n v="3.26"/>
    <n v="6.36"/>
    <n v="40.449599999999997"/>
    <x v="10"/>
    <s v="aj17RB"/>
    <n v="3"/>
    <s v="aj17RB-3"/>
  </r>
  <r>
    <x v="12"/>
    <x v="83"/>
    <s v="4.26-14.98"/>
    <n v="9.6199999999999992"/>
    <s v="#1"/>
    <x v="2"/>
    <n v="14.98"/>
    <n v="4.26"/>
    <n v="5.36"/>
    <n v="28.729600000000001"/>
    <x v="5"/>
    <s v="cory5WR"/>
    <n v="3"/>
    <s v="cory5WR-3"/>
  </r>
  <r>
    <x v="1"/>
    <x v="83"/>
    <s v="2.89-16.35"/>
    <n v="9.6199999999999992"/>
    <s v="#19"/>
    <x v="2"/>
    <n v="16.350000000000001"/>
    <n v="2.89"/>
    <n v="6.73"/>
    <n v="45.292900000000003"/>
    <x v="5"/>
    <s v="cory16WR"/>
    <n v="3"/>
    <s v="cory16WR-3"/>
  </r>
  <r>
    <x v="15"/>
    <x v="87"/>
    <s v="3.81-15.43"/>
    <n v="9.6199999999999992"/>
    <s v="#19"/>
    <x v="1"/>
    <n v="15.43"/>
    <n v="3.81"/>
    <n v="5.81"/>
    <n v="33.756100000000004"/>
    <x v="5"/>
    <s v="cory10RB"/>
    <n v="2"/>
    <s v="cory10RB-2"/>
  </r>
  <r>
    <x v="15"/>
    <x v="59"/>
    <s v="4.25-14.97"/>
    <n v="9.61"/>
    <s v="#5"/>
    <x v="2"/>
    <n v="14.97"/>
    <n v="4.25"/>
    <n v="5.36"/>
    <n v="28.729600000000001"/>
    <x v="2"/>
    <s v="devon10WR"/>
    <n v="2"/>
    <s v="devon10WR-2"/>
  </r>
  <r>
    <x v="6"/>
    <x v="94"/>
    <s v="3.52-15.70"/>
    <n v="9.61"/>
    <s v="#4"/>
    <x v="2"/>
    <n v="15.7"/>
    <n v="3.52"/>
    <n v="6.09"/>
    <n v="37.088099999999997"/>
    <x v="3"/>
    <s v="chad12WR"/>
    <n v="2"/>
    <s v="chad12WR-2"/>
  </r>
  <r>
    <x v="12"/>
    <x v="81"/>
    <s v="4.39-14.83"/>
    <n v="9.61"/>
    <s v="#26"/>
    <x v="3"/>
    <n v="14.83"/>
    <n v="4.3899999999999997"/>
    <n v="5.22"/>
    <n v="27.2484"/>
    <x v="1"/>
    <s v="perry5TE"/>
    <n v="1"/>
    <s v="perry5TE-1"/>
  </r>
  <r>
    <x v="14"/>
    <x v="70"/>
    <s v="3.90-15.30"/>
    <n v="9.6"/>
    <s v="#29"/>
    <x v="2"/>
    <n v="15.3"/>
    <n v="3.9"/>
    <n v="5.7"/>
    <n v="32.49"/>
    <x v="2"/>
    <s v="devon4WR"/>
    <n v="2"/>
    <s v="devon4WR-2"/>
  </r>
  <r>
    <x v="8"/>
    <x v="70"/>
    <s v="3.75-15.45"/>
    <n v="9.6"/>
    <s v="#15"/>
    <x v="2"/>
    <n v="15.45"/>
    <n v="3.75"/>
    <n v="5.85"/>
    <n v="34.222499999999997"/>
    <x v="2"/>
    <s v="devon6WR"/>
    <n v="1"/>
    <s v="devon6WR-1"/>
  </r>
  <r>
    <x v="12"/>
    <x v="73"/>
    <s v="3.27-15.93"/>
    <n v="9.6"/>
    <s v="#26"/>
    <x v="1"/>
    <n v="15.93"/>
    <n v="3.27"/>
    <n v="6.33"/>
    <n v="40.068899999999999"/>
    <x v="0"/>
    <s v="matty5RB"/>
    <n v="3"/>
    <s v="matty5RB-3"/>
  </r>
  <r>
    <x v="0"/>
    <x v="111"/>
    <s v="3.51-15.67"/>
    <n v="9.59"/>
    <s v="#32"/>
    <x v="2"/>
    <n v="15.67"/>
    <n v="3.51"/>
    <n v="6.08"/>
    <n v="36.9664"/>
    <x v="9"/>
    <s v="seth17WR"/>
    <n v="3"/>
    <s v="seth17WR-3"/>
  </r>
  <r>
    <x v="2"/>
    <x v="91"/>
    <s v="4.97-14.21"/>
    <n v="9.59"/>
    <s v="#25"/>
    <x v="1"/>
    <n v="14.21"/>
    <n v="4.97"/>
    <n v="4.62"/>
    <n v="21.3444"/>
    <x v="1"/>
    <s v="perry9RB"/>
    <n v="2"/>
    <s v="perry9RB-2"/>
  </r>
  <r>
    <x v="12"/>
    <x v="92"/>
    <s v="3.88-15.26"/>
    <n v="9.57"/>
    <s v="#8"/>
    <x v="2"/>
    <n v="15.26"/>
    <n v="3.88"/>
    <n v="5.69"/>
    <n v="32.376100000000001"/>
    <x v="6"/>
    <s v="lucas5WR"/>
    <n v="1"/>
    <s v="lucas5WR-1"/>
  </r>
  <r>
    <x v="6"/>
    <x v="49"/>
    <s v="3.49-15.65"/>
    <n v="9.57"/>
    <s v="#6"/>
    <x v="2"/>
    <n v="15.65"/>
    <n v="3.49"/>
    <n v="6.08"/>
    <n v="36.9664"/>
    <x v="9"/>
    <s v="seth12WR"/>
    <n v="2"/>
    <s v="seth12WR-2"/>
  </r>
  <r>
    <x v="9"/>
    <x v="97"/>
    <s v="3.66-15.48"/>
    <n v="9.57"/>
    <s v="#27"/>
    <x v="2"/>
    <n v="15.48"/>
    <n v="3.66"/>
    <n v="5.91"/>
    <n v="34.928100000000001"/>
    <x v="6"/>
    <s v="lucas15WR"/>
    <n v="1"/>
    <s v="lucas15WR-1"/>
  </r>
  <r>
    <x v="4"/>
    <x v="81"/>
    <s v="4.51-14.63"/>
    <n v="9.57"/>
    <s v="#7"/>
    <x v="3"/>
    <n v="14.63"/>
    <n v="4.51"/>
    <n v="5.0599999999999996"/>
    <n v="25.6036"/>
    <x v="1"/>
    <s v="perry7TE"/>
    <n v="1"/>
    <s v="perry7TE-1"/>
  </r>
  <r>
    <x v="1"/>
    <x v="101"/>
    <s v="3.87-15.25"/>
    <n v="9.56"/>
    <s v="#25"/>
    <x v="2"/>
    <n v="15.25"/>
    <n v="3.87"/>
    <n v="5.69"/>
    <n v="32.376100000000001"/>
    <x v="8"/>
    <s v="comp16WR"/>
    <n v="3"/>
    <s v="comp16WR-3"/>
  </r>
  <r>
    <x v="16"/>
    <x v="83"/>
    <s v="3.71-15.41"/>
    <n v="9.56"/>
    <s v="#4"/>
    <x v="2"/>
    <n v="15.41"/>
    <n v="3.71"/>
    <n v="5.85"/>
    <n v="34.222499999999997"/>
    <x v="5"/>
    <s v="cory3WR"/>
    <n v="3"/>
    <s v="cory3WR-3"/>
  </r>
  <r>
    <x v="10"/>
    <x v="89"/>
    <s v="2.68-16.42"/>
    <n v="9.5500000000000007"/>
    <s v="#3"/>
    <x v="2"/>
    <n v="16.420000000000002"/>
    <n v="2.68"/>
    <n v="6.87"/>
    <n v="47.196899999999999"/>
    <x v="1"/>
    <s v="perry2WR"/>
    <n v="3"/>
    <s v="perry2WR-3"/>
  </r>
  <r>
    <x v="13"/>
    <x v="99"/>
    <s v="2.65-16.45"/>
    <n v="9.5500000000000007"/>
    <s v="#24"/>
    <x v="2"/>
    <n v="16.45"/>
    <n v="2.65"/>
    <n v="6.9"/>
    <n v="47.61"/>
    <x v="1"/>
    <s v="perry8WR"/>
    <n v="2"/>
    <s v="perry8WR-2"/>
  </r>
  <r>
    <x v="11"/>
    <x v="80"/>
    <s v="3.30-15.76"/>
    <n v="9.5299999999999994"/>
    <s v="#15"/>
    <x v="2"/>
    <n v="15.76"/>
    <n v="3.3"/>
    <n v="6.23"/>
    <n v="38.812899999999999"/>
    <x v="8"/>
    <s v="comp14WR"/>
    <n v="3"/>
    <s v="comp14WR-3"/>
  </r>
  <r>
    <x v="12"/>
    <x v="112"/>
    <s v="3.28-15.78"/>
    <n v="9.5299999999999994"/>
    <s v="#22"/>
    <x v="2"/>
    <n v="15.78"/>
    <n v="3.28"/>
    <n v="6.25"/>
    <n v="39.0625"/>
    <x v="3"/>
    <s v="chad5WR"/>
    <n v="3"/>
    <s v="chad5WR-3"/>
  </r>
  <r>
    <x v="6"/>
    <x v="103"/>
    <s v="3.85-15.21"/>
    <n v="9.5299999999999994"/>
    <s v="#25"/>
    <x v="2"/>
    <n v="15.21"/>
    <n v="3.85"/>
    <n v="5.68"/>
    <n v="32.2624"/>
    <x v="4"/>
    <s v="scott12WR"/>
    <n v="2"/>
    <s v="scott12WR-2"/>
  </r>
  <r>
    <x v="11"/>
    <x v="106"/>
    <s v="3.01-16.03"/>
    <n v="9.52"/>
    <s v="#3"/>
    <x v="2"/>
    <n v="16.03"/>
    <n v="3.01"/>
    <n v="6.51"/>
    <n v="42.380099999999999"/>
    <x v="0"/>
    <s v="matty14WR"/>
    <n v="4"/>
    <s v="matty14WR-4"/>
  </r>
  <r>
    <x v="9"/>
    <x v="82"/>
    <s v="2.62-16.42"/>
    <n v="9.52"/>
    <s v="#22"/>
    <x v="1"/>
    <n v="16.420000000000002"/>
    <n v="2.62"/>
    <n v="6.9"/>
    <n v="47.61"/>
    <x v="9"/>
    <s v="seth15RB"/>
    <n v="2"/>
    <s v="seth15RB-2"/>
  </r>
  <r>
    <x v="13"/>
    <x v="111"/>
    <s v="3.08-15.96"/>
    <n v="9.52"/>
    <s v="#9"/>
    <x v="2"/>
    <n v="15.96"/>
    <n v="3.08"/>
    <n v="6.44"/>
    <n v="41.473599999999998"/>
    <x v="9"/>
    <s v="seth8WR"/>
    <n v="3"/>
    <s v="seth8WR-3"/>
  </r>
  <r>
    <x v="13"/>
    <x v="87"/>
    <s v="2.88-16.16"/>
    <n v="9.52"/>
    <s v="#26"/>
    <x v="1"/>
    <n v="16.16"/>
    <n v="2.88"/>
    <n v="6.64"/>
    <n v="44.089599999999997"/>
    <x v="5"/>
    <s v="cory8RB"/>
    <n v="2"/>
    <s v="cory8RB-2"/>
  </r>
  <r>
    <x v="3"/>
    <x v="87"/>
    <s v="3.60-15.44"/>
    <n v="9.52"/>
    <s v="#6"/>
    <x v="1"/>
    <n v="15.44"/>
    <n v="3.6"/>
    <n v="5.92"/>
    <n v="35.046399999999998"/>
    <x v="5"/>
    <s v="cory11RB"/>
    <n v="1"/>
    <s v="cory11RB-1"/>
  </r>
  <r>
    <x v="7"/>
    <x v="113"/>
    <s v="2.76-16.26"/>
    <n v="9.51"/>
    <s v="#23"/>
    <x v="3"/>
    <n v="16.260000000000002"/>
    <n v="2.76"/>
    <n v="6.75"/>
    <n v="45.5625"/>
    <x v="10"/>
    <s v="aj1TE"/>
    <n v="1"/>
    <s v="aj1TE-1"/>
  </r>
  <r>
    <x v="1"/>
    <x v="85"/>
    <s v="4.05-14.93"/>
    <n v="9.49"/>
    <s v="#11"/>
    <x v="1"/>
    <n v="14.93"/>
    <n v="4.05"/>
    <n v="5.44"/>
    <n v="29.593599999999999"/>
    <x v="5"/>
    <s v="cory16RB"/>
    <n v="3"/>
    <s v="cory16RB-3"/>
  </r>
  <r>
    <x v="15"/>
    <x v="84"/>
    <s v="3.38-15.60"/>
    <n v="9.49"/>
    <s v="#5"/>
    <x v="2"/>
    <n v="15.6"/>
    <n v="3.38"/>
    <n v="6.11"/>
    <n v="37.332099999999997"/>
    <x v="0"/>
    <s v="matty10WR"/>
    <n v="3"/>
    <s v="matty10WR-3"/>
  </r>
  <r>
    <x v="1"/>
    <x v="71"/>
    <s v="4.04-14.92"/>
    <n v="9.48"/>
    <s v="#4"/>
    <x v="2"/>
    <n v="14.92"/>
    <n v="4.04"/>
    <n v="5.44"/>
    <n v="29.593599999999999"/>
    <x v="1"/>
    <s v="perry16WR"/>
    <n v="2"/>
    <s v="perry16WR-2"/>
  </r>
  <r>
    <x v="14"/>
    <x v="99"/>
    <s v="2.51-16.45"/>
    <n v="9.48"/>
    <s v="#9"/>
    <x v="2"/>
    <n v="16.45"/>
    <n v="2.5099999999999998"/>
    <n v="6.97"/>
    <n v="48.5809"/>
    <x v="1"/>
    <s v="perry4WR"/>
    <n v="3"/>
    <s v="perry4WR-3"/>
  </r>
  <r>
    <x v="2"/>
    <x v="112"/>
    <s v="2.70-16.24"/>
    <n v="9.4700000000000006"/>
    <s v="#31"/>
    <x v="2"/>
    <n v="16.239999999999998"/>
    <n v="2.7"/>
    <n v="6.77"/>
    <n v="45.832900000000002"/>
    <x v="3"/>
    <s v="chad9WR"/>
    <n v="3"/>
    <s v="chad9WR-3"/>
  </r>
  <r>
    <x v="15"/>
    <x v="81"/>
    <s v="4.18-14.76"/>
    <n v="9.4700000000000006"/>
    <s v="#23"/>
    <x v="3"/>
    <n v="14.76"/>
    <n v="4.18"/>
    <n v="5.29"/>
    <n v="27.984100000000002"/>
    <x v="1"/>
    <s v="perry10TE"/>
    <n v="1"/>
    <s v="perry10TE-1"/>
  </r>
  <r>
    <x v="5"/>
    <x v="114"/>
    <s v="2.71-16.21"/>
    <n v="9.4600000000000009"/>
    <s v="#32"/>
    <x v="3"/>
    <n v="16.21"/>
    <n v="2.71"/>
    <n v="6.75"/>
    <n v="45.5625"/>
    <x v="3"/>
    <s v="chad13TE"/>
    <n v="1"/>
    <s v="chad13TE-1"/>
  </r>
  <r>
    <x v="5"/>
    <x v="72"/>
    <s v="3.62-15.26"/>
    <n v="9.44"/>
    <s v="#26"/>
    <x v="3"/>
    <n v="15.26"/>
    <n v="3.62"/>
    <n v="5.82"/>
    <n v="33.872399999999999"/>
    <x v="6"/>
    <s v="lucas13TE"/>
    <n v="1"/>
    <s v="lucas13TE-1"/>
  </r>
  <r>
    <x v="13"/>
    <x v="107"/>
    <s v="4.37-14.49"/>
    <n v="9.43"/>
    <s v="#32"/>
    <x v="2"/>
    <n v="14.49"/>
    <n v="4.37"/>
    <n v="5.0599999999999996"/>
    <n v="25.6036"/>
    <x v="2"/>
    <s v="devon8WR"/>
    <n v="3"/>
    <s v="devon8WR-3"/>
  </r>
  <r>
    <x v="13"/>
    <x v="115"/>
    <s v="3.17-15.67"/>
    <n v="9.42"/>
    <s v="#18"/>
    <x v="2"/>
    <n v="15.67"/>
    <n v="3.17"/>
    <n v="6.25"/>
    <n v="39.0625"/>
    <x v="9"/>
    <s v="seth8WR"/>
    <n v="4"/>
    <s v="seth8WR-4"/>
  </r>
  <r>
    <x v="8"/>
    <x v="79"/>
    <s v="4.11-14.73"/>
    <n v="9.42"/>
    <s v="#17"/>
    <x v="3"/>
    <n v="14.73"/>
    <n v="4.1100000000000003"/>
    <n v="5.31"/>
    <n v="28.196100000000001"/>
    <x v="10"/>
    <s v="aj6TE"/>
    <n v="1"/>
    <s v="aj6TE-1"/>
  </r>
  <r>
    <x v="7"/>
    <x v="82"/>
    <s v="3.74-15.06"/>
    <n v="9.4"/>
    <s v="#24"/>
    <x v="1"/>
    <n v="15.06"/>
    <n v="3.74"/>
    <n v="5.66"/>
    <n v="32.035600000000002"/>
    <x v="9"/>
    <s v="seth1RB"/>
    <n v="3"/>
    <s v="seth1RB-3"/>
  </r>
  <r>
    <x v="9"/>
    <x v="84"/>
    <s v="3.46-15.34"/>
    <n v="9.4"/>
    <s v="#11"/>
    <x v="2"/>
    <n v="15.34"/>
    <n v="3.46"/>
    <n v="5.94"/>
    <n v="35.2836"/>
    <x v="0"/>
    <s v="matty15WR"/>
    <n v="3"/>
    <s v="matty15WR-3"/>
  </r>
  <r>
    <x v="6"/>
    <x v="109"/>
    <s v="3.25-15.53"/>
    <n v="9.39"/>
    <s v="#28"/>
    <x v="2"/>
    <n v="15.53"/>
    <n v="3.25"/>
    <n v="6.14"/>
    <n v="37.699599999999997"/>
    <x v="6"/>
    <s v="lucas12WR"/>
    <n v="2"/>
    <s v="lucas12WR-2"/>
  </r>
  <r>
    <x v="14"/>
    <x v="81"/>
    <s v="4.53-14.25"/>
    <n v="9.39"/>
    <s v="#14"/>
    <x v="3"/>
    <n v="14.25"/>
    <n v="4.53"/>
    <n v="4.8600000000000003"/>
    <n v="23.619599999999998"/>
    <x v="1"/>
    <s v="perry4TE"/>
    <n v="1"/>
    <s v="perry4TE-1"/>
  </r>
  <r>
    <x v="7"/>
    <x v="98"/>
    <s v="3.63-15.13"/>
    <n v="9.3800000000000008"/>
    <s v="#14"/>
    <x v="1"/>
    <n v="15.13"/>
    <n v="3.63"/>
    <n v="5.75"/>
    <n v="33.0625"/>
    <x v="6"/>
    <s v="lucas1RB"/>
    <n v="2"/>
    <s v="lucas1RB-2"/>
  </r>
  <r>
    <x v="11"/>
    <x v="77"/>
    <s v="2.88-15.86"/>
    <n v="9.3699999999999992"/>
    <s v="#8"/>
    <x v="2"/>
    <n v="15.86"/>
    <n v="2.88"/>
    <n v="6.49"/>
    <n v="42.120100000000001"/>
    <x v="10"/>
    <s v="aj14WR"/>
    <n v="4"/>
    <s v="aj14WR-4"/>
  </r>
  <r>
    <x v="10"/>
    <x v="59"/>
    <s v="3.22-15.50"/>
    <n v="9.36"/>
    <s v="#18"/>
    <x v="2"/>
    <n v="15.5"/>
    <n v="3.22"/>
    <n v="6.14"/>
    <n v="37.699599999999997"/>
    <x v="2"/>
    <s v="devon2WR"/>
    <n v="3"/>
    <s v="devon2WR-3"/>
  </r>
  <r>
    <x v="16"/>
    <x v="68"/>
    <s v="1.59-17.13"/>
    <n v="9.36"/>
    <s v="#24"/>
    <x v="1"/>
    <n v="17.13"/>
    <n v="1.59"/>
    <n v="7.77"/>
    <n v="60.372900000000001"/>
    <x v="4"/>
    <s v="scott3RB"/>
    <n v="3"/>
    <s v="scott3RB-3"/>
  </r>
  <r>
    <x v="10"/>
    <x v="78"/>
    <s v="0.74-17.96"/>
    <n v="9.35"/>
    <s v="#9"/>
    <x v="1"/>
    <n v="17.96"/>
    <n v="0.74"/>
    <n v="8.61"/>
    <n v="74.132099999999994"/>
    <x v="8"/>
    <s v="comp2RB"/>
    <n v="2"/>
    <s v="comp2RB-2"/>
  </r>
  <r>
    <x v="15"/>
    <x v="64"/>
    <s v="2.51-16.19"/>
    <n v="9.35"/>
    <s v="#2"/>
    <x v="1"/>
    <n v="16.190000000000001"/>
    <n v="2.5099999999999998"/>
    <n v="6.84"/>
    <n v="46.785600000000002"/>
    <x v="10"/>
    <s v="aj10RB"/>
    <n v="2"/>
    <s v="aj10RB-2"/>
  </r>
  <r>
    <x v="6"/>
    <x v="83"/>
    <s v="2.62-16.08"/>
    <n v="9.35"/>
    <s v="#19"/>
    <x v="2"/>
    <n v="16.079999999999998"/>
    <n v="2.62"/>
    <n v="6.73"/>
    <n v="45.292900000000003"/>
    <x v="5"/>
    <s v="cory12WR"/>
    <n v="3"/>
    <s v="cory12WR-3"/>
  </r>
  <r>
    <x v="7"/>
    <x v="84"/>
    <s v="3.11-15.59"/>
    <n v="9.35"/>
    <s v="#4"/>
    <x v="2"/>
    <n v="15.59"/>
    <n v="3.11"/>
    <n v="6.24"/>
    <n v="38.937600000000003"/>
    <x v="0"/>
    <s v="matty1WR"/>
    <n v="1"/>
    <s v="matty1WR-1"/>
  </r>
  <r>
    <x v="5"/>
    <x v="71"/>
    <s v="4.55-14.13"/>
    <n v="9.34"/>
    <s v="#13"/>
    <x v="2"/>
    <n v="14.13"/>
    <n v="4.55"/>
    <n v="4.79"/>
    <n v="22.944099999999999"/>
    <x v="1"/>
    <s v="perry13WR"/>
    <n v="2"/>
    <s v="perry13WR-2"/>
  </r>
  <r>
    <x v="11"/>
    <x v="103"/>
    <s v="3.65-15.01"/>
    <n v="9.33"/>
    <s v="#32"/>
    <x v="2"/>
    <n v="15.01"/>
    <n v="3.65"/>
    <n v="5.68"/>
    <n v="32.2624"/>
    <x v="4"/>
    <s v="scott14WR"/>
    <n v="2"/>
    <s v="scott14WR-2"/>
  </r>
  <r>
    <x v="6"/>
    <x v="116"/>
    <s v="3.39-15.27"/>
    <n v="9.33"/>
    <s v="#25"/>
    <x v="2"/>
    <n v="15.27"/>
    <n v="3.39"/>
    <n v="5.94"/>
    <n v="35.2836"/>
    <x v="10"/>
    <s v="aj12WR"/>
    <n v="4"/>
    <s v="aj12WR-4"/>
  </r>
  <r>
    <x v="16"/>
    <x v="78"/>
    <s v="4.93-13.71"/>
    <n v="9.32"/>
    <s v="#21"/>
    <x v="1"/>
    <n v="13.71"/>
    <n v="4.93"/>
    <n v="4.3899999999999997"/>
    <n v="19.272099999999998"/>
    <x v="8"/>
    <s v="comp3RB"/>
    <n v="2"/>
    <s v="comp3RB-2"/>
  </r>
  <r>
    <x v="9"/>
    <x v="71"/>
    <s v="4.34-14.30"/>
    <n v="9.32"/>
    <s v="#5"/>
    <x v="2"/>
    <n v="14.3"/>
    <n v="4.34"/>
    <n v="4.9800000000000004"/>
    <n v="24.8004"/>
    <x v="1"/>
    <s v="perry15WR"/>
    <n v="2"/>
    <s v="perry15WR-2"/>
  </r>
  <r>
    <x v="14"/>
    <x v="73"/>
    <s v="1.97-16.67"/>
    <n v="9.32"/>
    <s v="#14"/>
    <x v="1"/>
    <n v="16.670000000000002"/>
    <n v="1.97"/>
    <n v="7.35"/>
    <n v="54.022500000000001"/>
    <x v="0"/>
    <s v="matty4RB"/>
    <n v="3"/>
    <s v="matty4RB-3"/>
  </r>
  <r>
    <x v="14"/>
    <x v="91"/>
    <s v="4.44-14.18"/>
    <n v="9.31"/>
    <s v="#20"/>
    <x v="1"/>
    <n v="14.18"/>
    <n v="4.4400000000000004"/>
    <n v="4.87"/>
    <n v="23.716899999999999"/>
    <x v="1"/>
    <s v="perry4RB"/>
    <n v="2"/>
    <s v="perry4RB-2"/>
  </r>
  <r>
    <x v="1"/>
    <x v="79"/>
    <s v="4.56-14.04"/>
    <n v="9.3000000000000007"/>
    <s v="#8"/>
    <x v="3"/>
    <n v="14.04"/>
    <n v="4.5599999999999996"/>
    <n v="4.74"/>
    <n v="22.467600000000001"/>
    <x v="10"/>
    <s v="aj16TE"/>
    <n v="1"/>
    <s v="aj16TE-1"/>
  </r>
  <r>
    <x v="0"/>
    <x v="70"/>
    <s v="3.44-15.14"/>
    <n v="9.2899999999999991"/>
    <s v="#15"/>
    <x v="2"/>
    <n v="15.14"/>
    <n v="3.44"/>
    <n v="5.85"/>
    <n v="34.222499999999997"/>
    <x v="2"/>
    <s v="devon17WR"/>
    <n v="2"/>
    <s v="devon17WR-2"/>
  </r>
  <r>
    <x v="11"/>
    <x v="115"/>
    <s v="3.21-15.37"/>
    <n v="9.2899999999999991"/>
    <s v="#28"/>
    <x v="2"/>
    <n v="15.37"/>
    <n v="3.21"/>
    <n v="6.08"/>
    <n v="36.9664"/>
    <x v="9"/>
    <s v="seth14WR"/>
    <n v="3"/>
    <s v="seth14WR-3"/>
  </r>
  <r>
    <x v="3"/>
    <x v="104"/>
    <s v="2.22-16.32"/>
    <n v="9.27"/>
    <s v="#30"/>
    <x v="2"/>
    <n v="16.32"/>
    <n v="2.2200000000000002"/>
    <n v="7.05"/>
    <n v="49.702500000000001"/>
    <x v="2"/>
    <s v="devon11WR"/>
    <n v="2"/>
    <s v="devon11WR-2"/>
  </r>
  <r>
    <x v="7"/>
    <x v="96"/>
    <s v="3.80-14.74"/>
    <n v="9.27"/>
    <s v="#16"/>
    <x v="2"/>
    <n v="14.74"/>
    <n v="3.8"/>
    <n v="5.47"/>
    <n v="29.9209"/>
    <x v="3"/>
    <s v="chad1WR"/>
    <n v="2"/>
    <s v="chad1WR-2"/>
  </r>
  <r>
    <x v="6"/>
    <x v="88"/>
    <s v="2.97-15.57"/>
    <n v="9.27"/>
    <s v="#22"/>
    <x v="2"/>
    <n v="15.57"/>
    <n v="2.97"/>
    <n v="6.3"/>
    <n v="39.69"/>
    <x v="10"/>
    <s v="aj12WR"/>
    <n v="5"/>
    <s v="aj12WR-5"/>
  </r>
  <r>
    <x v="4"/>
    <x v="97"/>
    <s v="4.09-14.43"/>
    <n v="9.26"/>
    <s v="#26"/>
    <x v="2"/>
    <n v="14.43"/>
    <n v="4.09"/>
    <n v="5.17"/>
    <n v="26.728899999999999"/>
    <x v="6"/>
    <s v="lucas7WR"/>
    <n v="2"/>
    <s v="lucas7WR-2"/>
  </r>
  <r>
    <x v="5"/>
    <x v="96"/>
    <s v="2.68-15.82"/>
    <n v="9.25"/>
    <s v="#18"/>
    <x v="2"/>
    <n v="15.82"/>
    <n v="2.68"/>
    <n v="6.57"/>
    <n v="43.164900000000003"/>
    <x v="3"/>
    <s v="chad13WR"/>
    <n v="3"/>
    <s v="chad13WR-3"/>
  </r>
  <r>
    <x v="11"/>
    <x v="116"/>
    <s v="3.51-14.99"/>
    <n v="9.25"/>
    <s v="#32"/>
    <x v="2"/>
    <n v="14.99"/>
    <n v="3.51"/>
    <n v="5.74"/>
    <n v="32.947600000000001"/>
    <x v="10"/>
    <s v="aj14WR"/>
    <n v="5"/>
    <s v="aj14WR-5"/>
  </r>
  <r>
    <x v="13"/>
    <x v="108"/>
    <s v="0.94-17.56"/>
    <n v="9.25"/>
    <s v="#32"/>
    <x v="1"/>
    <n v="17.559999999999999"/>
    <n v="0.94"/>
    <n v="8.31"/>
    <n v="69.056100000000001"/>
    <x v="1"/>
    <s v="perry8RB"/>
    <n v="1"/>
    <s v="perry8RB-1"/>
  </r>
  <r>
    <x v="0"/>
    <x v="72"/>
    <s v="3.35-15.15"/>
    <n v="9.25"/>
    <s v="#4"/>
    <x v="3"/>
    <n v="15.15"/>
    <n v="3.35"/>
    <n v="5.9"/>
    <n v="34.81"/>
    <x v="6"/>
    <s v="lucas17TE"/>
    <n v="1"/>
    <s v="lucas17TE-1"/>
  </r>
  <r>
    <x v="5"/>
    <x v="92"/>
    <s v="3.07-15.41"/>
    <n v="9.24"/>
    <s v="#28"/>
    <x v="2"/>
    <n v="15.41"/>
    <n v="3.07"/>
    <n v="6.17"/>
    <n v="38.068899999999999"/>
    <x v="6"/>
    <s v="lucas13WR"/>
    <n v="1"/>
    <s v="lucas13WR-1"/>
  </r>
  <r>
    <x v="9"/>
    <x v="56"/>
    <s v="2.84-15.64"/>
    <n v="9.24"/>
    <s v="#17"/>
    <x v="1"/>
    <n v="15.64"/>
    <n v="2.84"/>
    <n v="6.4"/>
    <n v="40.96"/>
    <x v="10"/>
    <s v="aj15RB"/>
    <n v="3"/>
    <s v="aj15RB-3"/>
  </r>
  <r>
    <x v="12"/>
    <x v="90"/>
    <s v="3.68-14.80"/>
    <n v="9.24"/>
    <s v="#14"/>
    <x v="1"/>
    <n v="14.8"/>
    <n v="3.68"/>
    <n v="5.56"/>
    <n v="30.913599999999999"/>
    <x v="10"/>
    <s v="aj5RB"/>
    <n v="3"/>
    <s v="aj5RB-3"/>
  </r>
  <r>
    <x v="16"/>
    <x v="91"/>
    <s v="2.81-15.65"/>
    <n v="9.23"/>
    <s v="#32"/>
    <x v="1"/>
    <n v="15.65"/>
    <n v="2.81"/>
    <n v="6.42"/>
    <n v="41.2164"/>
    <x v="1"/>
    <s v="perry3RB"/>
    <n v="2"/>
    <s v="perry3RB-2"/>
  </r>
  <r>
    <x v="13"/>
    <x v="117"/>
    <s v="3.57-14.89"/>
    <n v="9.23"/>
    <s v="#16"/>
    <x v="2"/>
    <n v="14.89"/>
    <n v="3.57"/>
    <n v="5.66"/>
    <n v="32.035600000000002"/>
    <x v="4"/>
    <s v="scott8WR"/>
    <n v="2"/>
    <s v="scott8WR-2"/>
  </r>
  <r>
    <x v="6"/>
    <x v="107"/>
    <s v="3.98-14.46"/>
    <n v="9.2200000000000006"/>
    <s v="#15"/>
    <x v="2"/>
    <n v="14.46"/>
    <n v="3.98"/>
    <n v="5.24"/>
    <n v="27.457599999999999"/>
    <x v="2"/>
    <s v="devon12WR"/>
    <n v="3"/>
    <s v="devon12WR-3"/>
  </r>
  <r>
    <x v="2"/>
    <x v="84"/>
    <s v="3.48-14.96"/>
    <n v="9.2200000000000006"/>
    <s v="#26"/>
    <x v="2"/>
    <n v="14.96"/>
    <n v="3.48"/>
    <n v="5.74"/>
    <n v="32.947600000000001"/>
    <x v="0"/>
    <s v="matty9WR"/>
    <n v="3"/>
    <s v="matty9WR-3"/>
  </r>
  <r>
    <x v="15"/>
    <x v="96"/>
    <s v="1.87-16.55"/>
    <n v="9.2100000000000009"/>
    <s v="#10"/>
    <x v="2"/>
    <n v="16.55"/>
    <n v="1.87"/>
    <n v="7.34"/>
    <n v="53.875599999999999"/>
    <x v="3"/>
    <s v="chad10WR"/>
    <n v="2"/>
    <s v="chad10WR-2"/>
  </r>
  <r>
    <x v="7"/>
    <x v="79"/>
    <s v="3.19-15.23"/>
    <n v="9.2100000000000009"/>
    <s v="#20"/>
    <x v="3"/>
    <n v="15.23"/>
    <n v="3.19"/>
    <n v="6.02"/>
    <n v="36.240400000000001"/>
    <x v="10"/>
    <s v="aj1TE"/>
    <n v="2"/>
    <s v="aj1TE-2"/>
  </r>
  <r>
    <x v="1"/>
    <x v="112"/>
    <s v="2.87-15.53"/>
    <n v="9.1999999999999993"/>
    <s v="#29"/>
    <x v="2"/>
    <n v="15.53"/>
    <n v="2.87"/>
    <n v="6.33"/>
    <n v="40.068899999999999"/>
    <x v="3"/>
    <s v="chad16WR"/>
    <n v="2"/>
    <s v="chad16WR-2"/>
  </r>
  <r>
    <x v="6"/>
    <x v="108"/>
    <s v="2.26-16.14"/>
    <n v="9.1999999999999993"/>
    <s v="#15"/>
    <x v="1"/>
    <n v="16.14"/>
    <n v="2.2599999999999998"/>
    <n v="6.94"/>
    <n v="48.163600000000002"/>
    <x v="1"/>
    <s v="perry12RB"/>
    <n v="2"/>
    <s v="perry12RB-2"/>
  </r>
  <r>
    <x v="12"/>
    <x v="104"/>
    <s v="1.95-16.43"/>
    <n v="9.19"/>
    <s v="#26"/>
    <x v="2"/>
    <n v="16.43"/>
    <n v="1.95"/>
    <n v="7.24"/>
    <n v="52.4176"/>
    <x v="2"/>
    <s v="devon5WR"/>
    <n v="3"/>
    <s v="devon5WR-3"/>
  </r>
  <r>
    <x v="10"/>
    <x v="98"/>
    <s v="2.37-16.01"/>
    <n v="9.19"/>
    <s v="#4"/>
    <x v="1"/>
    <n v="16.010000000000002"/>
    <n v="2.37"/>
    <n v="6.82"/>
    <n v="46.5124"/>
    <x v="6"/>
    <s v="lucas2RB"/>
    <n v="4"/>
    <s v="lucas2RB-4"/>
  </r>
  <r>
    <x v="7"/>
    <x v="115"/>
    <s v="4.33-14.03"/>
    <n v="9.18"/>
    <s v="#12"/>
    <x v="2"/>
    <n v="14.03"/>
    <n v="4.33"/>
    <n v="4.8499999999999996"/>
    <n v="23.522500000000001"/>
    <x v="9"/>
    <s v="seth1WR"/>
    <n v="2"/>
    <s v="seth1WR-2"/>
  </r>
  <r>
    <x v="5"/>
    <x v="112"/>
    <s v="2.40-15.94"/>
    <n v="9.17"/>
    <s v="#31"/>
    <x v="2"/>
    <n v="15.94"/>
    <n v="2.4"/>
    <n v="6.77"/>
    <n v="45.832900000000002"/>
    <x v="3"/>
    <s v="chad13WR"/>
    <n v="4"/>
    <s v="chad13WR-4"/>
  </r>
  <r>
    <x v="3"/>
    <x v="59"/>
    <s v="3.89-14.45"/>
    <n v="9.17"/>
    <s v="#7"/>
    <x v="2"/>
    <n v="14.45"/>
    <n v="3.89"/>
    <n v="5.28"/>
    <n v="27.878399999999999"/>
    <x v="2"/>
    <s v="devon11WR"/>
    <n v="3"/>
    <s v="devon11WR-3"/>
  </r>
  <r>
    <x v="11"/>
    <x v="81"/>
    <s v="3.88-14.46"/>
    <n v="9.17"/>
    <s v="#23"/>
    <x v="3"/>
    <n v="14.46"/>
    <n v="3.88"/>
    <n v="5.29"/>
    <n v="27.984100000000002"/>
    <x v="1"/>
    <s v="perry14TE"/>
    <n v="1"/>
    <s v="perry14TE-1"/>
  </r>
  <r>
    <x v="12"/>
    <x v="106"/>
    <s v="1.53-16.79"/>
    <n v="9.16"/>
    <s v="#11"/>
    <x v="2"/>
    <n v="16.79"/>
    <n v="1.53"/>
    <n v="7.63"/>
    <n v="58.216900000000003"/>
    <x v="0"/>
    <s v="matty5WR"/>
    <n v="3"/>
    <s v="matty5WR-3"/>
  </r>
  <r>
    <x v="8"/>
    <x v="106"/>
    <s v="2.66-15.66"/>
    <n v="9.16"/>
    <s v="#1"/>
    <x v="2"/>
    <n v="15.66"/>
    <n v="2.66"/>
    <n v="6.5"/>
    <n v="42.25"/>
    <x v="0"/>
    <s v="matty6WR"/>
    <n v="3"/>
    <s v="matty6WR-3"/>
  </r>
  <r>
    <x v="10"/>
    <x v="82"/>
    <s v="4.03-14.29"/>
    <n v="9.16"/>
    <s v="#27"/>
    <x v="1"/>
    <n v="14.29"/>
    <n v="4.03"/>
    <n v="5.13"/>
    <n v="26.3169"/>
    <x v="9"/>
    <s v="seth2RB"/>
    <n v="2"/>
    <s v="seth2RB-2"/>
  </r>
  <r>
    <x v="14"/>
    <x v="98"/>
    <s v="1.45-16.87"/>
    <n v="9.16"/>
    <s v="#17"/>
    <x v="1"/>
    <n v="16.87"/>
    <n v="1.45"/>
    <n v="7.71"/>
    <n v="59.444099999999999"/>
    <x v="6"/>
    <s v="lucas4RB"/>
    <n v="3"/>
    <s v="lucas4RB-3"/>
  </r>
  <r>
    <x v="5"/>
    <x v="115"/>
    <s v="3.15-15.17"/>
    <n v="9.16"/>
    <s v="#21"/>
    <x v="2"/>
    <n v="15.17"/>
    <n v="3.15"/>
    <n v="6.01"/>
    <n v="36.120100000000001"/>
    <x v="9"/>
    <s v="seth13WR"/>
    <n v="3"/>
    <s v="seth13WR-3"/>
  </r>
  <r>
    <x v="7"/>
    <x v="49"/>
    <s v="3.01-15.31"/>
    <n v="9.16"/>
    <s v="#3"/>
    <x v="2"/>
    <n v="15.31"/>
    <n v="3.01"/>
    <n v="6.15"/>
    <n v="37.822499999999998"/>
    <x v="9"/>
    <s v="seth1WR"/>
    <n v="3"/>
    <s v="seth1WR-3"/>
  </r>
  <r>
    <x v="1"/>
    <x v="64"/>
    <s v="3.27-15.03"/>
    <n v="9.15"/>
    <s v="#7"/>
    <x v="1"/>
    <n v="15.03"/>
    <n v="3.27"/>
    <n v="5.88"/>
    <n v="34.574399999999997"/>
    <x v="10"/>
    <s v="aj16RB"/>
    <n v="2"/>
    <s v="aj16RB-2"/>
  </r>
  <r>
    <x v="16"/>
    <x v="81"/>
    <s v="3.76-14.54"/>
    <n v="9.15"/>
    <s v="#9"/>
    <x v="3"/>
    <n v="14.54"/>
    <n v="3.76"/>
    <n v="5.39"/>
    <n v="29.052099999999999"/>
    <x v="1"/>
    <s v="perry3TE"/>
    <n v="1"/>
    <s v="perry3TE-1"/>
  </r>
  <r>
    <x v="13"/>
    <x v="118"/>
    <s v="3.45-14.81"/>
    <n v="9.1300000000000008"/>
    <s v="#31"/>
    <x v="2"/>
    <n v="14.81"/>
    <n v="3.45"/>
    <n v="5.68"/>
    <n v="32.2624"/>
    <x v="5"/>
    <s v="cory8WR"/>
    <n v="3"/>
    <s v="cory8WR-3"/>
  </r>
  <r>
    <x v="13"/>
    <x v="71"/>
    <s v="3.36-14.88"/>
    <n v="9.1199999999999992"/>
    <s v="#10"/>
    <x v="2"/>
    <n v="14.88"/>
    <n v="3.36"/>
    <n v="5.76"/>
    <n v="33.177599999999998"/>
    <x v="1"/>
    <s v="perry8WR"/>
    <n v="3"/>
    <s v="perry8WR-3"/>
  </r>
  <r>
    <x v="0"/>
    <x v="51"/>
    <s v="3.44-14.78"/>
    <n v="9.11"/>
    <s v="#1"/>
    <x v="1"/>
    <n v="14.78"/>
    <n v="3.44"/>
    <n v="5.67"/>
    <n v="32.148899999999998"/>
    <x v="5"/>
    <s v="cory17RB"/>
    <n v="2"/>
    <s v="cory17RB-2"/>
  </r>
  <r>
    <x v="14"/>
    <x v="88"/>
    <s v="3.07-15.15"/>
    <n v="9.11"/>
    <s v="#14"/>
    <x v="2"/>
    <n v="15.15"/>
    <n v="3.07"/>
    <n v="6.04"/>
    <n v="36.4816"/>
    <x v="10"/>
    <s v="aj4WR"/>
    <n v="4"/>
    <s v="aj4WR-4"/>
  </r>
  <r>
    <x v="10"/>
    <x v="63"/>
    <s v="3.55-14.65"/>
    <n v="9.1"/>
    <s v="#32"/>
    <x v="2"/>
    <n v="14.65"/>
    <n v="3.55"/>
    <n v="5.55"/>
    <n v="30.802499999999998"/>
    <x v="4"/>
    <s v="scott2WR"/>
    <n v="1"/>
    <s v="scott2WR-1"/>
  </r>
  <r>
    <x v="0"/>
    <x v="114"/>
    <s v="2.34-15.84"/>
    <n v="9.09"/>
    <s v="#32"/>
    <x v="3"/>
    <n v="15.84"/>
    <n v="2.34"/>
    <n v="6.75"/>
    <n v="45.5625"/>
    <x v="3"/>
    <s v="chad17TE"/>
    <n v="1"/>
    <s v="chad17TE-1"/>
  </r>
  <r>
    <x v="7"/>
    <x v="73"/>
    <s v="3.43-14.75"/>
    <n v="9.09"/>
    <s v="#29"/>
    <x v="1"/>
    <n v="14.75"/>
    <n v="3.43"/>
    <n v="5.66"/>
    <n v="32.035600000000002"/>
    <x v="0"/>
    <s v="matty1RB"/>
    <n v="3"/>
    <s v="matty1RB-3"/>
  </r>
  <r>
    <x v="4"/>
    <x v="74"/>
    <s v="2.37-15.81"/>
    <n v="9.09"/>
    <s v="#27"/>
    <x v="1"/>
    <n v="15.81"/>
    <n v="2.37"/>
    <n v="6.72"/>
    <n v="45.1584"/>
    <x v="9"/>
    <s v="seth7RB"/>
    <n v="1"/>
    <s v="seth7RB-1"/>
  </r>
  <r>
    <x v="15"/>
    <x v="104"/>
    <s v="1.49-16.65"/>
    <n v="9.07"/>
    <s v="#23"/>
    <x v="2"/>
    <n v="16.649999999999999"/>
    <n v="1.49"/>
    <n v="7.58"/>
    <n v="57.456400000000002"/>
    <x v="2"/>
    <s v="devon10WR"/>
    <n v="3"/>
    <s v="devon10WR-3"/>
  </r>
  <r>
    <x v="5"/>
    <x v="104"/>
    <s v="3.22-14.92"/>
    <n v="9.07"/>
    <s v="#12"/>
    <x v="2"/>
    <n v="14.92"/>
    <n v="3.22"/>
    <n v="5.85"/>
    <n v="34.222499999999997"/>
    <x v="2"/>
    <s v="devon13WR"/>
    <n v="3"/>
    <s v="devon13WR-3"/>
  </r>
  <r>
    <x v="0"/>
    <x v="105"/>
    <s v="3.58-14.56"/>
    <n v="9.07"/>
    <s v="#9"/>
    <x v="1"/>
    <n v="14.56"/>
    <n v="3.58"/>
    <n v="5.49"/>
    <n v="30.1401"/>
    <x v="3"/>
    <s v="chad17RB"/>
    <n v="3"/>
    <s v="chad17RB-3"/>
  </r>
  <r>
    <x v="0"/>
    <x v="119"/>
    <s v="3.47-14.67"/>
    <n v="9.07"/>
    <s v="#29"/>
    <x v="1"/>
    <n v="14.67"/>
    <n v="3.47"/>
    <n v="5.6"/>
    <n v="31.36"/>
    <x v="2"/>
    <s v="devon17RB"/>
    <n v="4"/>
    <s v="devon17RB-4"/>
  </r>
  <r>
    <x v="9"/>
    <x v="92"/>
    <s v="3.48-14.64"/>
    <n v="9.06"/>
    <s v="#6"/>
    <x v="2"/>
    <n v="14.64"/>
    <n v="3.48"/>
    <n v="5.58"/>
    <n v="31.136399999999998"/>
    <x v="6"/>
    <s v="lucas15WR"/>
    <n v="2"/>
    <s v="lucas15WR-2"/>
  </r>
  <r>
    <x v="12"/>
    <x v="96"/>
    <s v="1.64-16.48"/>
    <n v="9.06"/>
    <s v="#10"/>
    <x v="2"/>
    <n v="16.48"/>
    <n v="1.64"/>
    <n v="7.42"/>
    <n v="55.056399999999996"/>
    <x v="3"/>
    <s v="chad5WR"/>
    <n v="4"/>
    <s v="chad5WR-4"/>
  </r>
  <r>
    <x v="13"/>
    <x v="96"/>
    <s v="2.32-15.78"/>
    <n v="9.0500000000000007"/>
    <s v="#28"/>
    <x v="2"/>
    <n v="15.78"/>
    <n v="2.3199999999999998"/>
    <n v="6.73"/>
    <n v="45.292900000000003"/>
    <x v="3"/>
    <s v="chad8WR"/>
    <n v="1"/>
    <s v="chad8WR-1"/>
  </r>
  <r>
    <x v="13"/>
    <x v="120"/>
    <s v="1.48-16.62"/>
    <n v="9.0500000000000007"/>
    <s v="#27"/>
    <x v="2"/>
    <n v="16.62"/>
    <n v="1.48"/>
    <n v="7.57"/>
    <n v="57.304900000000004"/>
    <x v="8"/>
    <s v="comp8WR"/>
    <n v="4"/>
    <s v="comp8WR-4"/>
  </r>
  <r>
    <x v="6"/>
    <x v="112"/>
    <s v="2.66-15.42"/>
    <n v="9.0399999999999991"/>
    <s v="#8"/>
    <x v="2"/>
    <n v="15.42"/>
    <n v="2.66"/>
    <n v="6.38"/>
    <n v="40.7044"/>
    <x v="3"/>
    <s v="chad12WR"/>
    <n v="3"/>
    <s v="chad12WR-3"/>
  </r>
  <r>
    <x v="9"/>
    <x v="115"/>
    <s v="3.05-15.01"/>
    <n v="9.0299999999999994"/>
    <s v="#29"/>
    <x v="2"/>
    <n v="15.01"/>
    <n v="3.05"/>
    <n v="5.98"/>
    <n v="35.760399999999997"/>
    <x v="9"/>
    <s v="seth15WR"/>
    <n v="3"/>
    <s v="seth15WR-3"/>
  </r>
  <r>
    <x v="12"/>
    <x v="80"/>
    <s v="2.93-15.09"/>
    <n v="9.01"/>
    <s v="#20"/>
    <x v="2"/>
    <n v="15.09"/>
    <n v="2.93"/>
    <n v="6.08"/>
    <n v="36.9664"/>
    <x v="8"/>
    <s v="comp5WR"/>
    <n v="2"/>
    <s v="comp5WR-2"/>
  </r>
  <r>
    <x v="15"/>
    <x v="121"/>
    <s v="2.44-15.56"/>
    <n v="9"/>
    <s v="#29"/>
    <x v="2"/>
    <n v="15.56"/>
    <n v="2.44"/>
    <n v="6.56"/>
    <n v="43.0336"/>
    <x v="3"/>
    <s v="chad10WR"/>
    <n v="3"/>
    <s v="chad10WR-3"/>
  </r>
  <r>
    <x v="11"/>
    <x v="112"/>
    <s v="2.92-15.08"/>
    <n v="9"/>
    <s v="#2"/>
    <x v="2"/>
    <n v="15.08"/>
    <n v="2.92"/>
    <n v="6.08"/>
    <n v="36.9664"/>
    <x v="3"/>
    <s v="chad14WR"/>
    <n v="2"/>
    <s v="chad14WR-2"/>
  </r>
  <r>
    <x v="8"/>
    <x v="107"/>
    <s v="3.79-14.19"/>
    <n v="8.99"/>
    <s v="#10"/>
    <x v="2"/>
    <n v="14.19"/>
    <n v="3.79"/>
    <n v="5.2"/>
    <n v="27.04"/>
    <x v="2"/>
    <s v="devon6WR"/>
    <n v="2"/>
    <s v="devon6WR-2"/>
  </r>
  <r>
    <x v="16"/>
    <x v="82"/>
    <s v="1.16-16.82"/>
    <n v="8.99"/>
    <s v="#3"/>
    <x v="1"/>
    <n v="16.82"/>
    <n v="1.1599999999999999"/>
    <n v="7.83"/>
    <n v="61.308900000000001"/>
    <x v="9"/>
    <s v="seth3RB"/>
    <n v="4"/>
    <s v="seth3RB-4"/>
  </r>
  <r>
    <x v="16"/>
    <x v="100"/>
    <s v="4.10-13.86"/>
    <n v="8.98"/>
    <s v="#21"/>
    <x v="1"/>
    <n v="13.86"/>
    <n v="4.0999999999999996"/>
    <n v="4.88"/>
    <n v="23.814399999999999"/>
    <x v="6"/>
    <s v="lucas3RB"/>
    <n v="4"/>
    <s v="lucas3RB-4"/>
  </r>
  <r>
    <x v="11"/>
    <x v="120"/>
    <s v="2.75-15.21"/>
    <n v="8.98"/>
    <s v="#17"/>
    <x v="2"/>
    <n v="15.21"/>
    <n v="2.75"/>
    <n v="6.23"/>
    <n v="38.812899999999999"/>
    <x v="8"/>
    <s v="comp14WR"/>
    <n v="4"/>
    <s v="comp14WR-4"/>
  </r>
  <r>
    <x v="10"/>
    <x v="72"/>
    <s v="3.00-14.94"/>
    <n v="8.9700000000000006"/>
    <s v="#3"/>
    <x v="3"/>
    <n v="14.94"/>
    <n v="3"/>
    <n v="5.97"/>
    <n v="35.640900000000002"/>
    <x v="6"/>
    <s v="lucas2TE"/>
    <n v="1"/>
    <s v="lucas2TE-1"/>
  </r>
  <r>
    <x v="15"/>
    <x v="105"/>
    <s v="2.38-15.54"/>
    <n v="8.9600000000000009"/>
    <s v="#17"/>
    <x v="1"/>
    <n v="15.54"/>
    <n v="2.38"/>
    <n v="6.58"/>
    <n v="43.296399999999998"/>
    <x v="3"/>
    <s v="chad10RB"/>
    <n v="3"/>
    <s v="chad10RB-3"/>
  </r>
  <r>
    <x v="2"/>
    <x v="96"/>
    <s v="2.52-15.40"/>
    <n v="8.9600000000000009"/>
    <s v="#20"/>
    <x v="2"/>
    <n v="15.4"/>
    <n v="2.52"/>
    <n v="6.44"/>
    <n v="41.473599999999998"/>
    <x v="3"/>
    <s v="chad9WR"/>
    <n v="4"/>
    <s v="chad9WR-4"/>
  </r>
  <r>
    <x v="5"/>
    <x v="56"/>
    <s v="3.90-14.02"/>
    <n v="8.9600000000000009"/>
    <s v="#20"/>
    <x v="1"/>
    <n v="14.02"/>
    <n v="3.9"/>
    <n v="5.0599999999999996"/>
    <n v="25.6036"/>
    <x v="10"/>
    <s v="aj13RB"/>
    <n v="4"/>
    <s v="aj13RB-4"/>
  </r>
  <r>
    <x v="11"/>
    <x v="94"/>
    <s v="3.14-14.78"/>
    <n v="8.9600000000000009"/>
    <s v="#24"/>
    <x v="2"/>
    <n v="14.78"/>
    <n v="3.14"/>
    <n v="5.82"/>
    <n v="33.872399999999999"/>
    <x v="3"/>
    <s v="chad14WR"/>
    <n v="3"/>
    <s v="chad14WR-3"/>
  </r>
  <r>
    <x v="0"/>
    <x v="62"/>
    <s v="1.85-16.07"/>
    <n v="8.9600000000000009"/>
    <s v="#31"/>
    <x v="1"/>
    <n v="16.07"/>
    <n v="1.85"/>
    <n v="7.11"/>
    <n v="50.552100000000003"/>
    <x v="6"/>
    <s v="lucas17RB"/>
    <n v="2"/>
    <s v="lucas17RB-2"/>
  </r>
  <r>
    <x v="2"/>
    <x v="121"/>
    <s v="2.75-15.15"/>
    <n v="8.9499999999999993"/>
    <s v="#32"/>
    <x v="2"/>
    <n v="15.15"/>
    <n v="2.75"/>
    <n v="6.2"/>
    <n v="38.44"/>
    <x v="3"/>
    <s v="chad9WR"/>
    <n v="5"/>
    <s v="chad9WR-5"/>
  </r>
  <r>
    <x v="12"/>
    <x v="64"/>
    <s v="0.19-17.71"/>
    <n v="8.9499999999999993"/>
    <s v="#15"/>
    <x v="1"/>
    <n v="17.71"/>
    <n v="0.19"/>
    <n v="8.76"/>
    <n v="76.7376"/>
    <x v="10"/>
    <s v="aj5RB"/>
    <n v="4"/>
    <s v="aj5RB-4"/>
  </r>
  <r>
    <x v="13"/>
    <x v="85"/>
    <s v="3.51-14.39"/>
    <n v="8.9499999999999993"/>
    <s v="#11"/>
    <x v="1"/>
    <n v="14.39"/>
    <n v="3.51"/>
    <n v="5.44"/>
    <n v="29.593599999999999"/>
    <x v="5"/>
    <s v="cory8RB"/>
    <n v="3"/>
    <s v="cory8RB-3"/>
  </r>
  <r>
    <x v="8"/>
    <x v="88"/>
    <s v="2.65-15.25"/>
    <n v="8.9499999999999993"/>
    <s v="#22"/>
    <x v="2"/>
    <n v="15.25"/>
    <n v="2.65"/>
    <n v="6.3"/>
    <n v="39.69"/>
    <x v="10"/>
    <s v="aj6WR"/>
    <n v="4"/>
    <s v="aj6WR-4"/>
  </r>
  <r>
    <x v="2"/>
    <x v="97"/>
    <s v="3.70-14.20"/>
    <n v="8.9499999999999993"/>
    <s v="#24"/>
    <x v="2"/>
    <n v="14.2"/>
    <n v="3.7"/>
    <n v="5.25"/>
    <n v="27.5625"/>
    <x v="6"/>
    <s v="lucas9WR"/>
    <n v="2"/>
    <s v="lucas9WR-2"/>
  </r>
  <r>
    <x v="2"/>
    <x v="100"/>
    <s v="3.11-14.75"/>
    <n v="8.93"/>
    <s v="#29"/>
    <x v="1"/>
    <n v="14.75"/>
    <n v="3.11"/>
    <n v="5.82"/>
    <n v="33.872399999999999"/>
    <x v="6"/>
    <s v="lucas9RB"/>
    <n v="1"/>
    <s v="lucas9RB-1"/>
  </r>
  <r>
    <x v="9"/>
    <x v="96"/>
    <s v="2.36-15.50"/>
    <n v="8.93"/>
    <s v="#18"/>
    <x v="2"/>
    <n v="15.5"/>
    <n v="2.36"/>
    <n v="6.57"/>
    <n v="43.164900000000003"/>
    <x v="3"/>
    <s v="chad15WR"/>
    <n v="2"/>
    <s v="chad15WR-2"/>
  </r>
  <r>
    <x v="9"/>
    <x v="87"/>
    <s v="2.97-14.89"/>
    <n v="8.93"/>
    <s v="#7"/>
    <x v="1"/>
    <n v="14.89"/>
    <n v="2.97"/>
    <n v="5.96"/>
    <n v="35.521599999999999"/>
    <x v="5"/>
    <s v="cory15RB"/>
    <n v="3"/>
    <s v="cory15RB-3"/>
  </r>
  <r>
    <x v="1"/>
    <x v="88"/>
    <s v="2.97-14.89"/>
    <n v="8.93"/>
    <s v="#27"/>
    <x v="2"/>
    <n v="14.89"/>
    <n v="2.97"/>
    <n v="5.96"/>
    <n v="35.521599999999999"/>
    <x v="10"/>
    <s v="aj16WR"/>
    <n v="4"/>
    <s v="aj16WR-4"/>
  </r>
  <r>
    <x v="5"/>
    <x v="108"/>
    <s v="1.05-16.79"/>
    <n v="8.92"/>
    <s v="#19"/>
    <x v="1"/>
    <n v="16.79"/>
    <n v="1.05"/>
    <n v="7.87"/>
    <n v="61.936900000000001"/>
    <x v="1"/>
    <s v="perry13RB"/>
    <n v="2"/>
    <s v="perry13RB-2"/>
  </r>
  <r>
    <x v="15"/>
    <x v="97"/>
    <s v="3.01-14.83"/>
    <n v="8.92"/>
    <s v="#11"/>
    <x v="2"/>
    <n v="14.83"/>
    <n v="3.01"/>
    <n v="5.91"/>
    <n v="34.928100000000001"/>
    <x v="6"/>
    <s v="lucas10WR"/>
    <n v="3"/>
    <s v="lucas10WR-3"/>
  </r>
  <r>
    <x v="11"/>
    <x v="59"/>
    <s v="3.66-14.16"/>
    <n v="8.91"/>
    <s v="#13"/>
    <x v="2"/>
    <n v="14.16"/>
    <n v="3.66"/>
    <n v="5.25"/>
    <n v="27.5625"/>
    <x v="2"/>
    <s v="devon14WR"/>
    <n v="2"/>
    <s v="devon14WR-2"/>
  </r>
  <r>
    <x v="13"/>
    <x v="90"/>
    <s v="2.89-14.93"/>
    <n v="8.91"/>
    <s v="#17"/>
    <x v="1"/>
    <n v="14.93"/>
    <n v="2.89"/>
    <n v="6.02"/>
    <n v="36.240400000000001"/>
    <x v="10"/>
    <s v="aj8RB"/>
    <n v="2"/>
    <s v="aj8RB-2"/>
  </r>
  <r>
    <x v="0"/>
    <x v="106"/>
    <s v="0.51-17.27"/>
    <n v="8.89"/>
    <s v="#9"/>
    <x v="2"/>
    <n v="17.27"/>
    <n v="0.51"/>
    <n v="8.3800000000000008"/>
    <n v="70.224400000000003"/>
    <x v="0"/>
    <s v="matty17WR"/>
    <n v="3"/>
    <s v="matty17WR-3"/>
  </r>
  <r>
    <x v="0"/>
    <x v="107"/>
    <s v="3.98-13.80"/>
    <n v="8.89"/>
    <s v="#20"/>
    <x v="2"/>
    <n v="13.8"/>
    <n v="3.98"/>
    <n v="4.91"/>
    <n v="24.1081"/>
    <x v="2"/>
    <s v="devon17WR"/>
    <n v="3"/>
    <s v="devon17WR-3"/>
  </r>
  <r>
    <x v="16"/>
    <x v="105"/>
    <s v="4.62-13.16"/>
    <n v="8.89"/>
    <s v="#3"/>
    <x v="1"/>
    <n v="13.16"/>
    <n v="4.62"/>
    <n v="4.2699999999999996"/>
    <n v="18.232900000000001"/>
    <x v="3"/>
    <s v="chad3RB"/>
    <n v="3"/>
    <s v="chad3RB-3"/>
  </r>
  <r>
    <x v="10"/>
    <x v="101"/>
    <s v="2.87-14.91"/>
    <n v="8.89"/>
    <s v="#25"/>
    <x v="2"/>
    <n v="14.91"/>
    <n v="2.87"/>
    <n v="6.02"/>
    <n v="36.240400000000001"/>
    <x v="8"/>
    <s v="comp2WR"/>
    <n v="3"/>
    <s v="comp2WR-3"/>
  </r>
  <r>
    <x v="4"/>
    <x v="77"/>
    <s v="2.19-15.59"/>
    <n v="8.89"/>
    <s v="#4"/>
    <x v="2"/>
    <n v="15.59"/>
    <n v="2.19"/>
    <n v="6.7"/>
    <n v="44.89"/>
    <x v="10"/>
    <s v="aj7WR"/>
    <n v="3"/>
    <s v="aj7WR-3"/>
  </r>
  <r>
    <x v="10"/>
    <x v="81"/>
    <s v="3.72-14.06"/>
    <n v="8.89"/>
    <s v="#31"/>
    <x v="3"/>
    <n v="14.06"/>
    <n v="3.72"/>
    <n v="5.17"/>
    <n v="26.728899999999999"/>
    <x v="1"/>
    <s v="perry2TE"/>
    <n v="1"/>
    <s v="perry2TE-1"/>
  </r>
  <r>
    <x v="15"/>
    <x v="106"/>
    <s v="1.48-16.26"/>
    <n v="8.8699999999999992"/>
    <s v="#17"/>
    <x v="2"/>
    <n v="16.260000000000002"/>
    <n v="1.48"/>
    <n v="7.39"/>
    <n v="54.612099999999998"/>
    <x v="0"/>
    <s v="matty10WR"/>
    <n v="4"/>
    <s v="matty10WR-4"/>
  </r>
  <r>
    <x v="2"/>
    <x v="90"/>
    <s v="3.09-14.65"/>
    <n v="8.8699999999999992"/>
    <s v="#5"/>
    <x v="1"/>
    <n v="14.65"/>
    <n v="3.09"/>
    <n v="5.78"/>
    <n v="33.4084"/>
    <x v="10"/>
    <s v="aj9RB"/>
    <n v="2"/>
    <s v="aj9RB-2"/>
  </r>
  <r>
    <x v="3"/>
    <x v="81"/>
    <s v="3.60-14.12"/>
    <n v="8.86"/>
    <s v="#30"/>
    <x v="3"/>
    <n v="14.12"/>
    <n v="3.6"/>
    <n v="5.26"/>
    <n v="27.6676"/>
    <x v="1"/>
    <s v="perry11TE"/>
    <n v="1"/>
    <s v="perry11TE-1"/>
  </r>
  <r>
    <x v="2"/>
    <x v="80"/>
    <s v="2.43-15.27"/>
    <n v="8.85"/>
    <s v="#18"/>
    <x v="2"/>
    <n v="15.27"/>
    <n v="2.4300000000000002"/>
    <n v="6.42"/>
    <n v="41.2164"/>
    <x v="8"/>
    <s v="comp9WR"/>
    <n v="3"/>
    <s v="comp9WR-3"/>
  </r>
  <r>
    <x v="3"/>
    <x v="108"/>
    <s v="0.85-16.85"/>
    <n v="8.85"/>
    <s v="#20"/>
    <x v="1"/>
    <n v="16.850000000000001"/>
    <n v="0.85"/>
    <n v="8"/>
    <n v="64"/>
    <x v="1"/>
    <s v="perry11RB"/>
    <n v="2"/>
    <s v="perry11RB-2"/>
  </r>
  <r>
    <x v="6"/>
    <x v="81"/>
    <s v="3.58-14.12"/>
    <n v="8.85"/>
    <s v="#22"/>
    <x v="3"/>
    <n v="14.12"/>
    <n v="3.58"/>
    <n v="5.27"/>
    <n v="27.7729"/>
    <x v="1"/>
    <s v="perry12TE"/>
    <n v="1"/>
    <s v="perry12TE-1"/>
  </r>
  <r>
    <x v="1"/>
    <x v="78"/>
    <s v="2.89-14.79"/>
    <n v="8.84"/>
    <s v="#14"/>
    <x v="1"/>
    <n v="14.79"/>
    <n v="2.89"/>
    <n v="5.95"/>
    <n v="35.402500000000003"/>
    <x v="8"/>
    <s v="comp16RB"/>
    <n v="2"/>
    <s v="comp16RB-2"/>
  </r>
  <r>
    <x v="5"/>
    <x v="111"/>
    <s v="3.37-14.31"/>
    <n v="8.84"/>
    <s v="#32"/>
    <x v="2"/>
    <n v="14.31"/>
    <n v="3.37"/>
    <n v="5.47"/>
    <n v="29.9209"/>
    <x v="9"/>
    <s v="seth13WR"/>
    <n v="4"/>
    <s v="seth13WR-4"/>
  </r>
  <r>
    <x v="1"/>
    <x v="117"/>
    <s v="3.22-14.46"/>
    <n v="8.84"/>
    <s v="#8"/>
    <x v="2"/>
    <n v="14.46"/>
    <n v="3.22"/>
    <n v="5.62"/>
    <n v="31.584399999999999"/>
    <x v="4"/>
    <s v="scott16WR"/>
    <n v="2"/>
    <s v="scott16WR-2"/>
  </r>
  <r>
    <x v="13"/>
    <x v="101"/>
    <s v="3.36-14.30"/>
    <n v="8.83"/>
    <s v="#32"/>
    <x v="2"/>
    <n v="14.3"/>
    <n v="3.36"/>
    <n v="5.47"/>
    <n v="29.9209"/>
    <x v="8"/>
    <s v="comp8WR"/>
    <n v="5"/>
    <s v="comp8WR-5"/>
  </r>
  <r>
    <x v="5"/>
    <x v="99"/>
    <s v="2.55-15.11"/>
    <n v="8.83"/>
    <s v="#2"/>
    <x v="2"/>
    <n v="15.11"/>
    <n v="2.5499999999999998"/>
    <n v="6.28"/>
    <n v="39.438400000000001"/>
    <x v="1"/>
    <s v="perry13WR"/>
    <n v="3"/>
    <s v="perry13WR-3"/>
  </r>
  <r>
    <x v="1"/>
    <x v="121"/>
    <s v="1.93-15.71"/>
    <n v="8.82"/>
    <s v="#19"/>
    <x v="2"/>
    <n v="15.71"/>
    <n v="1.93"/>
    <n v="6.89"/>
    <n v="47.472099999999998"/>
    <x v="3"/>
    <s v="chad16WR"/>
    <n v="3"/>
    <s v="chad16WR-3"/>
  </r>
  <r>
    <x v="0"/>
    <x v="103"/>
    <s v="2.02-15.60"/>
    <n v="8.81"/>
    <s v="#2"/>
    <x v="2"/>
    <n v="15.6"/>
    <n v="2.02"/>
    <n v="6.79"/>
    <n v="46.104100000000003"/>
    <x v="4"/>
    <s v="scott17WR"/>
    <n v="2"/>
    <s v="scott17WR-2"/>
  </r>
  <r>
    <x v="11"/>
    <x v="104"/>
    <s v="1.22-16.38"/>
    <n v="8.8000000000000007"/>
    <s v="#23"/>
    <x v="2"/>
    <n v="16.38"/>
    <n v="1.22"/>
    <n v="7.58"/>
    <n v="57.456400000000002"/>
    <x v="2"/>
    <s v="devon14WR"/>
    <n v="3"/>
    <s v="devon14WR-3"/>
  </r>
  <r>
    <x v="12"/>
    <x v="100"/>
    <s v="2.83-14.77"/>
    <n v="8.8000000000000007"/>
    <s v="#30"/>
    <x v="1"/>
    <n v="14.77"/>
    <n v="2.83"/>
    <n v="5.97"/>
    <n v="35.640900000000002"/>
    <x v="6"/>
    <s v="lucas5RB"/>
    <n v="2"/>
    <s v="lucas5RB-2"/>
  </r>
  <r>
    <x v="3"/>
    <x v="62"/>
    <s v="2.34-15.26"/>
    <n v="8.8000000000000007"/>
    <s v="#23"/>
    <x v="1"/>
    <n v="15.26"/>
    <n v="2.34"/>
    <n v="6.46"/>
    <n v="41.7316"/>
    <x v="6"/>
    <s v="lucas11RB"/>
    <n v="2"/>
    <s v="lucas11RB-2"/>
  </r>
  <r>
    <x v="6"/>
    <x v="115"/>
    <s v="3.11-14.47"/>
    <n v="8.7899999999999991"/>
    <s v="#20"/>
    <x v="2"/>
    <n v="14.47"/>
    <n v="3.11"/>
    <n v="5.68"/>
    <n v="32.2624"/>
    <x v="9"/>
    <s v="seth12WR"/>
    <n v="3"/>
    <s v="seth12WR-3"/>
  </r>
  <r>
    <x v="14"/>
    <x v="107"/>
    <s v="4.87-12.69"/>
    <n v="8.7799999999999994"/>
    <s v="#32"/>
    <x v="2"/>
    <n v="12.69"/>
    <n v="4.87"/>
    <n v="3.91"/>
    <n v="15.2881"/>
    <x v="2"/>
    <s v="devon4WR"/>
    <n v="3"/>
    <s v="devon4WR-3"/>
  </r>
  <r>
    <x v="9"/>
    <x v="83"/>
    <s v="3.80-13.76"/>
    <n v="8.7799999999999994"/>
    <s v="#16"/>
    <x v="2"/>
    <n v="13.76"/>
    <n v="3.8"/>
    <n v="4.9800000000000004"/>
    <n v="24.8004"/>
    <x v="5"/>
    <s v="cory15WR"/>
    <n v="3"/>
    <s v="cory15WR-3"/>
  </r>
  <r>
    <x v="4"/>
    <x v="100"/>
    <s v="3.34-14.20"/>
    <n v="8.77"/>
    <s v="#23"/>
    <x v="1"/>
    <n v="14.2"/>
    <n v="3.34"/>
    <n v="5.43"/>
    <n v="29.4849"/>
    <x v="6"/>
    <s v="lucas7RB"/>
    <n v="2"/>
    <s v="lucas7RB-2"/>
  </r>
  <r>
    <x v="4"/>
    <x v="106"/>
    <s v="1.64-15.90"/>
    <n v="8.77"/>
    <s v="#20"/>
    <x v="2"/>
    <n v="15.9"/>
    <n v="1.64"/>
    <n v="7.13"/>
    <n v="50.8369"/>
    <x v="0"/>
    <s v="matty7WR"/>
    <n v="3"/>
    <s v="matty7WR-3"/>
  </r>
  <r>
    <x v="12"/>
    <x v="122"/>
    <s v="0.23-17.29"/>
    <n v="8.76"/>
    <s v="#28"/>
    <x v="1"/>
    <n v="17.29"/>
    <n v="0.23"/>
    <n v="8.5299999999999994"/>
    <n v="72.760900000000007"/>
    <x v="2"/>
    <s v="devon5RB"/>
    <n v="3"/>
    <s v="devon5RB-3"/>
  </r>
  <r>
    <x v="3"/>
    <x v="112"/>
    <s v="2.14-15.38"/>
    <n v="8.76"/>
    <s v="#28"/>
    <x v="2"/>
    <n v="15.38"/>
    <n v="2.14"/>
    <n v="6.62"/>
    <n v="43.824399999999997"/>
    <x v="3"/>
    <s v="chad11WR"/>
    <n v="3"/>
    <s v="chad11WR-3"/>
  </r>
  <r>
    <x v="9"/>
    <x v="94"/>
    <s v="2.72-14.80"/>
    <n v="8.76"/>
    <s v="#15"/>
    <x v="2"/>
    <n v="14.8"/>
    <n v="2.72"/>
    <n v="6.04"/>
    <n v="36.4816"/>
    <x v="3"/>
    <s v="chad15WR"/>
    <n v="3"/>
    <s v="chad15WR-3"/>
  </r>
  <r>
    <x v="1"/>
    <x v="96"/>
    <s v="2.17-15.33"/>
    <n v="8.75"/>
    <s v="#32"/>
    <x v="2"/>
    <n v="15.33"/>
    <n v="2.17"/>
    <n v="6.58"/>
    <n v="43.296399999999998"/>
    <x v="3"/>
    <s v="chad16WR"/>
    <n v="4"/>
    <s v="chad16WR-4"/>
  </r>
  <r>
    <x v="11"/>
    <x v="90"/>
    <s v="2.60-14.90"/>
    <n v="8.75"/>
    <s v="#4"/>
    <x v="1"/>
    <n v="14.9"/>
    <n v="2.6"/>
    <n v="6.15"/>
    <n v="37.822499999999998"/>
    <x v="10"/>
    <s v="aj14RB"/>
    <n v="3"/>
    <s v="aj14RB-3"/>
  </r>
  <r>
    <x v="0"/>
    <x v="104"/>
    <s v="2.89-14.59"/>
    <n v="8.74"/>
    <s v="#12"/>
    <x v="2"/>
    <n v="14.59"/>
    <n v="2.89"/>
    <n v="5.85"/>
    <n v="34.222499999999997"/>
    <x v="2"/>
    <s v="devon17WR"/>
    <n v="4"/>
    <s v="devon17WR-4"/>
  </r>
  <r>
    <x v="14"/>
    <x v="82"/>
    <s v="3.32-14.16"/>
    <n v="8.74"/>
    <s v="#6"/>
    <x v="1"/>
    <n v="14.16"/>
    <n v="3.32"/>
    <n v="5.42"/>
    <n v="29.3764"/>
    <x v="9"/>
    <s v="seth4RB"/>
    <n v="3"/>
    <s v="seth4RB-3"/>
  </r>
  <r>
    <x v="10"/>
    <x v="84"/>
    <s v="2.91-14.57"/>
    <n v="8.74"/>
    <s v="#18"/>
    <x v="2"/>
    <n v="14.57"/>
    <n v="2.91"/>
    <n v="5.83"/>
    <n v="33.988900000000001"/>
    <x v="0"/>
    <s v="matty2WR"/>
    <n v="2"/>
    <s v="matty2WR-2"/>
  </r>
  <r>
    <x v="7"/>
    <x v="107"/>
    <s v="4.01-13.45"/>
    <n v="8.73"/>
    <s v="#8"/>
    <x v="2"/>
    <n v="13.45"/>
    <n v="4.01"/>
    <n v="4.72"/>
    <n v="22.278400000000001"/>
    <x v="2"/>
    <s v="devon1WR"/>
    <n v="3"/>
    <s v="devon1WR-3"/>
  </r>
  <r>
    <x v="16"/>
    <x v="115"/>
    <s v="4.06-13.40"/>
    <n v="8.73"/>
    <s v="#5"/>
    <x v="2"/>
    <n v="13.4"/>
    <n v="4.0599999999999996"/>
    <n v="4.67"/>
    <n v="21.808900000000001"/>
    <x v="9"/>
    <s v="seth3WR"/>
    <n v="3"/>
    <s v="seth3WR-3"/>
  </r>
  <r>
    <x v="7"/>
    <x v="50"/>
    <s v="2.72-14.70"/>
    <n v="8.7100000000000009"/>
    <s v="#20"/>
    <x v="2"/>
    <n v="14.7"/>
    <n v="2.72"/>
    <n v="5.99"/>
    <n v="35.880099999999999"/>
    <x v="0"/>
    <s v="matty1WR"/>
    <n v="2"/>
    <s v="matty1WR-2"/>
  </r>
  <r>
    <x v="1"/>
    <x v="92"/>
    <s v="3.68-13.72"/>
    <n v="8.6999999999999993"/>
    <s v="#13"/>
    <x v="2"/>
    <n v="13.72"/>
    <n v="3.68"/>
    <n v="5.0199999999999996"/>
    <n v="25.200399999999998"/>
    <x v="6"/>
    <s v="lucas16WR"/>
    <n v="2"/>
    <s v="lucas16WR-2"/>
  </r>
  <r>
    <x v="14"/>
    <x v="123"/>
    <s v="1.39-15.99"/>
    <n v="8.69"/>
    <s v="#23"/>
    <x v="2"/>
    <n v="15.99"/>
    <n v="1.39"/>
    <n v="7.3"/>
    <n v="53.29"/>
    <x v="4"/>
    <s v="scott4WR"/>
    <n v="2"/>
    <s v="scott4WR-2"/>
  </r>
  <r>
    <x v="9"/>
    <x v="116"/>
    <s v="2.66-14.72"/>
    <n v="8.69"/>
    <s v="#31"/>
    <x v="2"/>
    <n v="14.72"/>
    <n v="2.66"/>
    <n v="6.03"/>
    <n v="36.360900000000001"/>
    <x v="10"/>
    <s v="aj15WR"/>
    <n v="4"/>
    <s v="aj15WR-4"/>
  </r>
  <r>
    <x v="10"/>
    <x v="88"/>
    <s v="1.80-15.58"/>
    <n v="8.69"/>
    <s v="#31"/>
    <x v="2"/>
    <n v="15.58"/>
    <n v="1.8"/>
    <n v="6.89"/>
    <n v="47.472099999999998"/>
    <x v="10"/>
    <s v="aj2WR"/>
    <n v="4"/>
    <s v="aj2WR-4"/>
  </r>
  <r>
    <x v="4"/>
    <x v="118"/>
    <s v="4.13-13.25"/>
    <n v="8.69"/>
    <s v="#32"/>
    <x v="2"/>
    <n v="13.25"/>
    <n v="4.13"/>
    <n v="4.5599999999999996"/>
    <n v="20.793600000000001"/>
    <x v="5"/>
    <s v="cory7WR"/>
    <n v="4"/>
    <s v="cory7WR-4"/>
  </r>
  <r>
    <x v="12"/>
    <x v="99"/>
    <s v="1.89-15.49"/>
    <n v="8.69"/>
    <s v="#23"/>
    <x v="2"/>
    <n v="15.49"/>
    <n v="1.89"/>
    <n v="6.8"/>
    <n v="46.24"/>
    <x v="1"/>
    <s v="perry5WR"/>
    <n v="2"/>
    <s v="perry5WR-2"/>
  </r>
  <r>
    <x v="9"/>
    <x v="105"/>
    <s v="1.93-15.43"/>
    <n v="8.68"/>
    <s v="#22"/>
    <x v="1"/>
    <n v="15.43"/>
    <n v="1.93"/>
    <n v="6.75"/>
    <n v="45.5625"/>
    <x v="3"/>
    <s v="chad15RB"/>
    <n v="3"/>
    <s v="chad15RB-3"/>
  </r>
  <r>
    <x v="3"/>
    <x v="123"/>
    <s v="2.01-15.35"/>
    <n v="8.68"/>
    <s v="#7"/>
    <x v="2"/>
    <n v="15.35"/>
    <n v="2.0099999999999998"/>
    <n v="6.67"/>
    <n v="44.488900000000001"/>
    <x v="4"/>
    <s v="scott11WR"/>
    <n v="2"/>
    <s v="scott11WR-2"/>
  </r>
  <r>
    <x v="0"/>
    <x v="90"/>
    <s v="2.34-15.02"/>
    <n v="8.68"/>
    <s v="#24"/>
    <x v="1"/>
    <n v="15.02"/>
    <n v="2.34"/>
    <n v="6.34"/>
    <n v="40.195599999999999"/>
    <x v="10"/>
    <s v="aj17RB"/>
    <n v="4"/>
    <s v="aj17RB-4"/>
  </r>
  <r>
    <x v="8"/>
    <x v="62"/>
    <s v="2.27-15.09"/>
    <n v="8.68"/>
    <s v="#31"/>
    <x v="1"/>
    <n v="15.09"/>
    <n v="2.27"/>
    <n v="6.41"/>
    <n v="41.088099999999997"/>
    <x v="6"/>
    <s v="lucas6RB"/>
    <n v="2"/>
    <s v="lucas6RB-2"/>
  </r>
  <r>
    <x v="16"/>
    <x v="101"/>
    <s v="2.26-15.08"/>
    <n v="8.67"/>
    <s v="#1"/>
    <x v="2"/>
    <n v="15.08"/>
    <n v="2.2599999999999998"/>
    <n v="6.41"/>
    <n v="41.088099999999997"/>
    <x v="8"/>
    <s v="comp3WR"/>
    <n v="3"/>
    <s v="comp3WR-3"/>
  </r>
  <r>
    <x v="15"/>
    <x v="120"/>
    <s v="2.36-14.98"/>
    <n v="8.67"/>
    <s v="#21"/>
    <x v="2"/>
    <n v="14.98"/>
    <n v="2.36"/>
    <n v="6.31"/>
    <n v="39.816099999999999"/>
    <x v="8"/>
    <s v="comp10WR"/>
    <n v="3"/>
    <s v="comp10WR-3"/>
  </r>
  <r>
    <x v="12"/>
    <x v="110"/>
    <s v="2.01-15.33"/>
    <n v="8.67"/>
    <s v="#21"/>
    <x v="1"/>
    <n v="15.33"/>
    <n v="2.0099999999999998"/>
    <n v="6.66"/>
    <n v="44.355600000000003"/>
    <x v="10"/>
    <s v="aj5RB"/>
    <n v="5"/>
    <s v="aj5RB-5"/>
  </r>
  <r>
    <x v="15"/>
    <x v="124"/>
    <s v="2.54-14.78"/>
    <n v="8.66"/>
    <s v="#2"/>
    <x v="2"/>
    <n v="14.78"/>
    <n v="2.54"/>
    <n v="6.12"/>
    <n v="37.4544"/>
    <x v="8"/>
    <s v="comp10WR"/>
    <n v="4"/>
    <s v="comp10WR-4"/>
  </r>
  <r>
    <x v="7"/>
    <x v="68"/>
    <s v="1.97-15.35"/>
    <n v="8.66"/>
    <s v="#10"/>
    <x v="1"/>
    <n v="15.35"/>
    <n v="1.97"/>
    <n v="6.69"/>
    <n v="44.756100000000004"/>
    <x v="4"/>
    <s v="scott1RB"/>
    <n v="3"/>
    <s v="scott1RB-3"/>
  </r>
  <r>
    <x v="12"/>
    <x v="125"/>
    <s v="2.05-15.25"/>
    <n v="8.65"/>
    <s v="#28"/>
    <x v="3"/>
    <n v="15.25"/>
    <n v="2.0499999999999998"/>
    <n v="6.6"/>
    <n v="43.56"/>
    <x v="9"/>
    <s v="seth5TE"/>
    <n v="1"/>
    <s v="seth5TE-1"/>
  </r>
  <r>
    <x v="6"/>
    <x v="68"/>
    <s v="2.34-14.96"/>
    <n v="8.65"/>
    <s v="#1"/>
    <x v="1"/>
    <n v="14.96"/>
    <n v="2.34"/>
    <n v="6.31"/>
    <n v="39.816099999999999"/>
    <x v="4"/>
    <s v="scott12RB"/>
    <n v="2"/>
    <s v="scott12RB-2"/>
  </r>
  <r>
    <x v="12"/>
    <x v="97"/>
    <s v="3.68-13.62"/>
    <n v="8.65"/>
    <s v="#16"/>
    <x v="2"/>
    <n v="13.62"/>
    <n v="3.68"/>
    <n v="4.97"/>
    <n v="24.700900000000001"/>
    <x v="6"/>
    <s v="lucas5WR"/>
    <n v="2"/>
    <s v="lucas5WR-2"/>
  </r>
  <r>
    <x v="14"/>
    <x v="69"/>
    <s v="3.92-13.38"/>
    <n v="8.65"/>
    <s v="#26"/>
    <x v="2"/>
    <n v="13.38"/>
    <n v="3.92"/>
    <n v="4.7300000000000004"/>
    <n v="22.372900000000001"/>
    <x v="0"/>
    <s v="matty4WR"/>
    <n v="2"/>
    <s v="matty4WR-2"/>
  </r>
  <r>
    <x v="7"/>
    <x v="57"/>
    <s v="3.48-13.80"/>
    <n v="8.64"/>
    <s v="#25"/>
    <x v="2"/>
    <n v="13.8"/>
    <n v="3.48"/>
    <n v="5.16"/>
    <n v="26.625599999999999"/>
    <x v="1"/>
    <s v="perry1WR"/>
    <n v="3"/>
    <s v="perry1WR-3"/>
  </r>
  <r>
    <x v="3"/>
    <x v="106"/>
    <s v="0.26-17.02"/>
    <n v="8.64"/>
    <s v="#9"/>
    <x v="2"/>
    <n v="17.02"/>
    <n v="0.26"/>
    <n v="8.3800000000000008"/>
    <n v="70.224400000000003"/>
    <x v="0"/>
    <s v="matty11WR"/>
    <n v="4"/>
    <s v="matty11WR-4"/>
  </r>
  <r>
    <x v="15"/>
    <x v="119"/>
    <s v="2.95-14.33"/>
    <n v="8.64"/>
    <s v="#12"/>
    <x v="1"/>
    <n v="14.33"/>
    <n v="2.95"/>
    <n v="5.69"/>
    <n v="32.376100000000001"/>
    <x v="2"/>
    <s v="devon10RB"/>
    <n v="3"/>
    <s v="devon10RB-3"/>
  </r>
  <r>
    <x v="6"/>
    <x v="62"/>
    <s v="2.14-15.14"/>
    <n v="8.64"/>
    <s v="#30"/>
    <x v="1"/>
    <n v="15.14"/>
    <n v="2.14"/>
    <n v="6.5"/>
    <n v="42.25"/>
    <x v="6"/>
    <s v="lucas12RB"/>
    <n v="2"/>
    <s v="lucas12RB-2"/>
  </r>
  <r>
    <x v="4"/>
    <x v="109"/>
    <s v="2.46-14.80"/>
    <n v="8.6300000000000008"/>
    <s v="#17"/>
    <x v="2"/>
    <n v="14.8"/>
    <n v="2.46"/>
    <n v="6.17"/>
    <n v="38.068899999999999"/>
    <x v="6"/>
    <s v="lucas7WR"/>
    <n v="3"/>
    <s v="lucas7WR-3"/>
  </r>
  <r>
    <x v="10"/>
    <x v="115"/>
    <s v="3.83-13.43"/>
    <n v="8.6300000000000008"/>
    <s v="#10"/>
    <x v="2"/>
    <n v="13.43"/>
    <n v="3.83"/>
    <n v="4.8"/>
    <n v="23.04"/>
    <x v="9"/>
    <s v="seth2WR"/>
    <n v="3"/>
    <s v="seth2WR-3"/>
  </r>
  <r>
    <x v="11"/>
    <x v="97"/>
    <s v="2.72-14.54"/>
    <n v="8.6300000000000008"/>
    <s v="#11"/>
    <x v="2"/>
    <n v="14.54"/>
    <n v="2.72"/>
    <n v="5.91"/>
    <n v="34.928100000000001"/>
    <x v="6"/>
    <s v="lucas14WR"/>
    <n v="1"/>
    <s v="lucas14WR-1"/>
  </r>
  <r>
    <x v="15"/>
    <x v="85"/>
    <s v="3.78-13.46"/>
    <n v="8.6199999999999992"/>
    <s v="#14"/>
    <x v="1"/>
    <n v="13.46"/>
    <n v="3.78"/>
    <n v="4.84"/>
    <n v="23.425599999999999"/>
    <x v="5"/>
    <s v="cory10RB"/>
    <n v="3"/>
    <s v="cory10RB-3"/>
  </r>
  <r>
    <x v="9"/>
    <x v="95"/>
    <s v="3.22-14.00"/>
    <n v="8.61"/>
    <s v="#31"/>
    <x v="1"/>
    <n v="14"/>
    <n v="3.22"/>
    <n v="5.39"/>
    <n v="29.052099999999999"/>
    <x v="9"/>
    <s v="seth15RB"/>
    <n v="3"/>
    <s v="seth15RB-3"/>
  </r>
  <r>
    <x v="6"/>
    <x v="121"/>
    <s v="1.72-15.50"/>
    <n v="8.61"/>
    <s v="#19"/>
    <x v="2"/>
    <n v="15.5"/>
    <n v="1.72"/>
    <n v="6.89"/>
    <n v="47.472099999999998"/>
    <x v="3"/>
    <s v="chad12WR"/>
    <n v="4"/>
    <s v="chad12WR-4"/>
  </r>
  <r>
    <x v="11"/>
    <x v="56"/>
    <s v="2.99-14.23"/>
    <n v="8.61"/>
    <s v="#25"/>
    <x v="1"/>
    <n v="14.23"/>
    <n v="2.99"/>
    <n v="5.62"/>
    <n v="31.584399999999999"/>
    <x v="10"/>
    <s v="aj14RB"/>
    <n v="4"/>
    <s v="aj14RB-4"/>
  </r>
  <r>
    <x v="8"/>
    <x v="126"/>
    <s v="1.04-16.18"/>
    <n v="8.61"/>
    <s v="#32"/>
    <x v="2"/>
    <n v="16.18"/>
    <n v="1.04"/>
    <n v="7.57"/>
    <n v="57.304900000000004"/>
    <x v="3"/>
    <s v="chad6WR"/>
    <n v="3"/>
    <s v="chad6WR-3"/>
  </r>
  <r>
    <x v="11"/>
    <x v="83"/>
    <s v="3.96-13.24"/>
    <n v="8.6"/>
    <s v="#7"/>
    <x v="2"/>
    <n v="13.24"/>
    <n v="3.96"/>
    <n v="4.6399999999999997"/>
    <n v="21.529599999999999"/>
    <x v="5"/>
    <s v="cory14WR"/>
    <n v="3"/>
    <s v="cory14WR-3"/>
  </r>
  <r>
    <x v="10"/>
    <x v="120"/>
    <s v="2.01-15.19"/>
    <n v="8.6"/>
    <s v="#4"/>
    <x v="2"/>
    <n v="15.19"/>
    <n v="2.0099999999999998"/>
    <n v="6.59"/>
    <n v="43.428100000000001"/>
    <x v="8"/>
    <s v="comp2WR"/>
    <n v="4"/>
    <s v="comp2WR-4"/>
  </r>
  <r>
    <x v="11"/>
    <x v="108"/>
    <s v="0.85-16.35"/>
    <n v="8.6"/>
    <s v="#18"/>
    <x v="1"/>
    <n v="16.350000000000001"/>
    <n v="0.85"/>
    <n v="7.75"/>
    <n v="60.0625"/>
    <x v="1"/>
    <s v="perry14RB"/>
    <n v="2"/>
    <s v="perry14RB-2"/>
  </r>
  <r>
    <x v="7"/>
    <x v="51"/>
    <s v="3.78-13.40"/>
    <n v="8.59"/>
    <s v="#15"/>
    <x v="1"/>
    <n v="13.4"/>
    <n v="3.78"/>
    <n v="4.8099999999999996"/>
    <n v="23.136099999999999"/>
    <x v="5"/>
    <s v="cory1RB"/>
    <n v="1"/>
    <s v="cory1RB-1"/>
  </r>
  <r>
    <x v="3"/>
    <x v="107"/>
    <s v="3.68-13.50"/>
    <n v="8.59"/>
    <s v="#20"/>
    <x v="2"/>
    <n v="13.5"/>
    <n v="3.68"/>
    <n v="4.91"/>
    <n v="24.1081"/>
    <x v="2"/>
    <s v="devon11WR"/>
    <n v="4"/>
    <s v="devon11WR-4"/>
  </r>
  <r>
    <x v="13"/>
    <x v="73"/>
    <s v="2.23-14.95"/>
    <n v="8.59"/>
    <s v="#3"/>
    <x v="1"/>
    <n v="14.95"/>
    <n v="2.23"/>
    <n v="6.36"/>
    <n v="40.449599999999997"/>
    <x v="0"/>
    <s v="matty8RB"/>
    <n v="2"/>
    <s v="matty8RB-2"/>
  </r>
  <r>
    <x v="5"/>
    <x v="123"/>
    <s v="2.45-14.71"/>
    <n v="8.58"/>
    <s v="#10"/>
    <x v="2"/>
    <n v="14.71"/>
    <n v="2.4500000000000002"/>
    <n v="6.13"/>
    <n v="37.576900000000002"/>
    <x v="4"/>
    <s v="scott13WR"/>
    <n v="2"/>
    <s v="scott13WR-2"/>
  </r>
  <r>
    <x v="8"/>
    <x v="81"/>
    <s v="3.31-13.85"/>
    <n v="8.58"/>
    <s v="#22"/>
    <x v="3"/>
    <n v="13.85"/>
    <n v="3.31"/>
    <n v="5.27"/>
    <n v="27.7729"/>
    <x v="1"/>
    <s v="perry6TE"/>
    <n v="1"/>
    <s v="perry6TE-1"/>
  </r>
  <r>
    <x v="11"/>
    <x v="62"/>
    <s v="2.00-15.14"/>
    <n v="8.57"/>
    <s v="#21"/>
    <x v="1"/>
    <n v="15.14"/>
    <n v="2"/>
    <n v="6.57"/>
    <n v="43.164900000000003"/>
    <x v="6"/>
    <s v="lucas14RB"/>
    <n v="2"/>
    <s v="lucas14RB-2"/>
  </r>
  <r>
    <x v="7"/>
    <x v="109"/>
    <s v="2.73-14.39"/>
    <n v="8.56"/>
    <s v="#21"/>
    <x v="2"/>
    <n v="14.39"/>
    <n v="2.73"/>
    <n v="5.83"/>
    <n v="33.988900000000001"/>
    <x v="6"/>
    <s v="lucas1WR"/>
    <n v="1"/>
    <s v="lucas1WR-1"/>
  </r>
  <r>
    <x v="0"/>
    <x v="85"/>
    <s v="4.32-12.80"/>
    <n v="8.56"/>
    <s v="#4"/>
    <x v="1"/>
    <n v="12.8"/>
    <n v="4.32"/>
    <n v="4.24"/>
    <n v="17.977599999999999"/>
    <x v="5"/>
    <s v="cory17RB"/>
    <n v="3"/>
    <s v="cory17RB-3"/>
  </r>
  <r>
    <x v="11"/>
    <x v="92"/>
    <s v="3.59-13.51"/>
    <n v="8.5500000000000007"/>
    <s v="#5"/>
    <x v="2"/>
    <n v="13.51"/>
    <n v="3.59"/>
    <n v="4.96"/>
    <n v="24.601600000000001"/>
    <x v="6"/>
    <s v="lucas14WR"/>
    <n v="2"/>
    <s v="lucas14WR-2"/>
  </r>
  <r>
    <x v="2"/>
    <x v="108"/>
    <s v="0.75-16.35"/>
    <n v="8.5500000000000007"/>
    <s v="#27"/>
    <x v="1"/>
    <n v="16.350000000000001"/>
    <n v="0.75"/>
    <n v="7.8"/>
    <n v="60.84"/>
    <x v="1"/>
    <s v="perry9RB"/>
    <n v="3"/>
    <s v="perry9RB-3"/>
  </r>
  <r>
    <x v="9"/>
    <x v="107"/>
    <s v="3.81-13.27"/>
    <n v="8.5399999999999991"/>
    <s v="#2"/>
    <x v="2"/>
    <n v="13.27"/>
    <n v="3.81"/>
    <n v="4.7300000000000004"/>
    <n v="22.372900000000001"/>
    <x v="2"/>
    <s v="devon15WR"/>
    <n v="3"/>
    <s v="devon15WR-3"/>
  </r>
  <r>
    <x v="9"/>
    <x v="90"/>
    <s v="3.21-13.87"/>
    <n v="8.5399999999999991"/>
    <s v="#28"/>
    <x v="1"/>
    <n v="13.87"/>
    <n v="3.21"/>
    <n v="5.33"/>
    <n v="28.408899999999999"/>
    <x v="10"/>
    <s v="aj15RB"/>
    <n v="4"/>
    <s v="aj15RB-4"/>
  </r>
  <r>
    <x v="4"/>
    <x v="95"/>
    <s v="1.78-15.28"/>
    <n v="8.5299999999999994"/>
    <s v="#30"/>
    <x v="1"/>
    <n v="15.28"/>
    <n v="1.78"/>
    <n v="6.75"/>
    <n v="45.5625"/>
    <x v="9"/>
    <s v="seth7RB"/>
    <n v="2"/>
    <s v="seth7RB-2"/>
  </r>
  <r>
    <x v="5"/>
    <x v="107"/>
    <s v="3.69-13.37"/>
    <n v="8.5299999999999994"/>
    <s v="#19"/>
    <x v="2"/>
    <n v="13.37"/>
    <n v="3.69"/>
    <n v="4.84"/>
    <n v="23.425599999999999"/>
    <x v="2"/>
    <s v="devon13WR"/>
    <n v="4"/>
    <s v="devon13WR-4"/>
  </r>
  <r>
    <x v="6"/>
    <x v="105"/>
    <s v="2.72-14.34"/>
    <n v="8.5299999999999994"/>
    <s v="#27"/>
    <x v="1"/>
    <n v="14.34"/>
    <n v="2.72"/>
    <n v="5.81"/>
    <n v="33.756100000000004"/>
    <x v="3"/>
    <s v="chad12RB"/>
    <n v="2"/>
    <s v="chad12RB-2"/>
  </r>
  <r>
    <x v="10"/>
    <x v="91"/>
    <s v="1.65-15.41"/>
    <n v="8.5299999999999994"/>
    <s v="#28"/>
    <x v="1"/>
    <n v="15.41"/>
    <n v="1.65"/>
    <n v="6.88"/>
    <n v="47.334400000000002"/>
    <x v="1"/>
    <s v="perry2RB"/>
    <n v="2"/>
    <s v="perry2RB-2"/>
  </r>
  <r>
    <x v="6"/>
    <x v="91"/>
    <s v="3.73-13.33"/>
    <n v="8.5299999999999994"/>
    <s v="#31"/>
    <x v="1"/>
    <n v="13.33"/>
    <n v="3.73"/>
    <n v="4.8"/>
    <n v="23.04"/>
    <x v="1"/>
    <s v="perry12RB"/>
    <n v="3"/>
    <s v="perry12RB-3"/>
  </r>
  <r>
    <x v="1"/>
    <x v="108"/>
    <n v="-17.16"/>
    <n v="8.5299999999999994"/>
    <s v="#25"/>
    <x v="1"/>
    <n v="17.11"/>
    <n v="-0.05"/>
    <n v="8.58"/>
    <n v="73.616399999999999"/>
    <x v="1"/>
    <s v="perry16RB"/>
    <n v="2"/>
    <s v="perry16RB-2"/>
  </r>
  <r>
    <x v="9"/>
    <x v="118"/>
    <s v="3.93-13.13"/>
    <n v="8.5299999999999994"/>
    <s v="#25"/>
    <x v="2"/>
    <n v="13.13"/>
    <n v="3.93"/>
    <n v="4.5999999999999996"/>
    <n v="21.16"/>
    <x v="5"/>
    <s v="cory15WR"/>
    <n v="4"/>
    <s v="cory15WR-4"/>
  </r>
  <r>
    <x v="9"/>
    <x v="109"/>
    <s v="2.38-14.66"/>
    <n v="8.52"/>
    <s v="#21"/>
    <x v="2"/>
    <n v="14.66"/>
    <n v="2.38"/>
    <n v="6.14"/>
    <n v="37.699599999999997"/>
    <x v="6"/>
    <s v="lucas15WR"/>
    <n v="3"/>
    <s v="lucas15WR-3"/>
  </r>
  <r>
    <x v="2"/>
    <x v="111"/>
    <s v="2.47-14.57"/>
    <n v="8.52"/>
    <s v="#18"/>
    <x v="2"/>
    <n v="14.57"/>
    <n v="2.4700000000000002"/>
    <n v="6.05"/>
    <n v="36.602499999999999"/>
    <x v="9"/>
    <s v="seth9WR"/>
    <n v="2"/>
    <s v="seth9WR-2"/>
  </r>
  <r>
    <x v="2"/>
    <x v="127"/>
    <s v="2.71-14.33"/>
    <n v="8.52"/>
    <s v="#17"/>
    <x v="2"/>
    <n v="14.33"/>
    <n v="2.71"/>
    <n v="5.81"/>
    <n v="33.756100000000004"/>
    <x v="9"/>
    <s v="seth9WR"/>
    <n v="3"/>
    <s v="seth9WR-3"/>
  </r>
  <r>
    <x v="8"/>
    <x v="80"/>
    <s v="2.68-14.34"/>
    <n v="8.51"/>
    <s v="#8"/>
    <x v="2"/>
    <n v="14.34"/>
    <n v="2.68"/>
    <n v="5.83"/>
    <n v="33.988900000000001"/>
    <x v="8"/>
    <s v="comp6WR"/>
    <n v="3"/>
    <s v="comp6WR-3"/>
  </r>
  <r>
    <x v="4"/>
    <x v="121"/>
    <s v="1.29-15.73"/>
    <n v="8.51"/>
    <s v="#31"/>
    <x v="2"/>
    <n v="15.73"/>
    <n v="1.29"/>
    <n v="7.22"/>
    <n v="52.128399999999999"/>
    <x v="3"/>
    <s v="chad7WR"/>
    <n v="3"/>
    <s v="chad7WR-3"/>
  </r>
  <r>
    <x v="16"/>
    <x v="107"/>
    <s v="3.44-13.58"/>
    <n v="8.51"/>
    <s v="#1"/>
    <x v="2"/>
    <n v="13.58"/>
    <n v="3.44"/>
    <n v="5.07"/>
    <n v="25.704899999999999"/>
    <x v="2"/>
    <s v="devon3WR"/>
    <n v="3"/>
    <s v="devon3WR-3"/>
  </r>
  <r>
    <x v="3"/>
    <x v="88"/>
    <s v="2.23-14.79"/>
    <n v="8.51"/>
    <s v="#30"/>
    <x v="2"/>
    <n v="14.79"/>
    <n v="2.23"/>
    <n v="6.28"/>
    <n v="39.438400000000001"/>
    <x v="10"/>
    <s v="aj11WR"/>
    <n v="4"/>
    <s v="aj11WR-4"/>
  </r>
  <r>
    <x v="10"/>
    <x v="128"/>
    <s v="1.60-15.42"/>
    <n v="8.51"/>
    <s v="#28"/>
    <x v="2"/>
    <n v="15.42"/>
    <n v="1.6"/>
    <n v="6.91"/>
    <n v="47.748100000000001"/>
    <x v="7"/>
    <s v="NA2WR"/>
    <n v="1"/>
    <s v="NA2WR-1"/>
  </r>
  <r>
    <x v="4"/>
    <x v="87"/>
    <s v="1.81-15.19"/>
    <n v="8.5"/>
    <s v="#1"/>
    <x v="1"/>
    <n v="15.19"/>
    <n v="1.81"/>
    <n v="6.69"/>
    <n v="44.756100000000004"/>
    <x v="5"/>
    <s v="cory7RB"/>
    <n v="2"/>
    <s v="cory7RB-2"/>
  </r>
  <r>
    <x v="4"/>
    <x v="116"/>
    <s v="1.52-15.48"/>
    <n v="8.5"/>
    <s v="#30"/>
    <x v="2"/>
    <n v="15.48"/>
    <n v="1.52"/>
    <n v="6.98"/>
    <n v="48.720399999999998"/>
    <x v="10"/>
    <s v="aj7WR"/>
    <n v="4"/>
    <s v="aj7WR-4"/>
  </r>
  <r>
    <x v="7"/>
    <x v="88"/>
    <s v="1.45-15.55"/>
    <n v="8.5"/>
    <s v="#29"/>
    <x v="2"/>
    <n v="15.55"/>
    <n v="1.45"/>
    <n v="7.05"/>
    <n v="49.702500000000001"/>
    <x v="10"/>
    <s v="aj1WR"/>
    <n v="4"/>
    <s v="aj1WR-4"/>
  </r>
  <r>
    <x v="3"/>
    <x v="105"/>
    <s v="3.00-13.98"/>
    <n v="8.49"/>
    <s v="#9"/>
    <x v="1"/>
    <n v="13.98"/>
    <n v="3"/>
    <n v="5.49"/>
    <n v="30.1401"/>
    <x v="3"/>
    <s v="chad11RB"/>
    <n v="3"/>
    <s v="chad11RB-3"/>
  </r>
  <r>
    <x v="11"/>
    <x v="101"/>
    <s v="3.11-13.87"/>
    <n v="8.49"/>
    <s v="#18"/>
    <x v="2"/>
    <n v="13.87"/>
    <n v="3.11"/>
    <n v="5.38"/>
    <n v="28.944400000000002"/>
    <x v="8"/>
    <s v="comp14WR"/>
    <n v="5"/>
    <s v="comp14WR-5"/>
  </r>
  <r>
    <x v="7"/>
    <x v="83"/>
    <s v="2.59-14.39"/>
    <n v="8.49"/>
    <s v="#15"/>
    <x v="2"/>
    <n v="14.39"/>
    <n v="2.59"/>
    <n v="5.9"/>
    <n v="34.81"/>
    <x v="5"/>
    <s v="cory1WR"/>
    <n v="3"/>
    <s v="cory1WR-3"/>
  </r>
  <r>
    <x v="14"/>
    <x v="129"/>
    <s v="1.93-15.05"/>
    <n v="8.49"/>
    <s v="#13"/>
    <x v="1"/>
    <n v="15.05"/>
    <n v="1.93"/>
    <n v="6.56"/>
    <n v="43.0336"/>
    <x v="7"/>
    <s v="NA4RB"/>
    <n v="2"/>
    <s v="NA4RB-2"/>
  </r>
  <r>
    <x v="16"/>
    <x v="89"/>
    <s v="2.65-14.31"/>
    <n v="8.48"/>
    <s v="#28"/>
    <x v="2"/>
    <n v="14.31"/>
    <n v="2.65"/>
    <n v="5.83"/>
    <n v="33.988900000000001"/>
    <x v="1"/>
    <s v="perry3WR"/>
    <n v="3"/>
    <s v="perry3WR-3"/>
  </r>
  <r>
    <x v="11"/>
    <x v="107"/>
    <s v="3.55-13.41"/>
    <n v="8.48"/>
    <s v="#18"/>
    <x v="2"/>
    <n v="13.41"/>
    <n v="3.55"/>
    <n v="4.93"/>
    <n v="24.3049"/>
    <x v="2"/>
    <s v="devon14WR"/>
    <n v="4"/>
    <s v="devon14WR-4"/>
  </r>
  <r>
    <x v="6"/>
    <x v="120"/>
    <s v="2.26-14.70"/>
    <n v="8.48"/>
    <s v="#9"/>
    <x v="2"/>
    <n v="14.7"/>
    <n v="2.2599999999999998"/>
    <n v="6.22"/>
    <n v="38.688400000000001"/>
    <x v="8"/>
    <s v="comp12WR"/>
    <n v="4"/>
    <s v="comp12WR-4"/>
  </r>
  <r>
    <x v="5"/>
    <x v="97"/>
    <s v="3.46-13.48"/>
    <n v="8.4700000000000006"/>
    <s v="#14"/>
    <x v="2"/>
    <n v="13.48"/>
    <n v="3.46"/>
    <n v="5.01"/>
    <n v="25.100100000000001"/>
    <x v="6"/>
    <s v="lucas13WR"/>
    <n v="2"/>
    <s v="lucas13WR-2"/>
  </r>
  <r>
    <x v="10"/>
    <x v="109"/>
    <s v="2.89-14.03"/>
    <n v="8.4600000000000009"/>
    <s v="#8"/>
    <x v="2"/>
    <n v="14.03"/>
    <n v="2.89"/>
    <n v="5.57"/>
    <n v="31.024899999999999"/>
    <x v="6"/>
    <s v="lucas2WR"/>
    <n v="1"/>
    <s v="lucas2WR-1"/>
  </r>
  <r>
    <x v="10"/>
    <x v="80"/>
    <s v="3.21-13.69"/>
    <n v="8.4499999999999993"/>
    <s v="#16"/>
    <x v="2"/>
    <n v="13.69"/>
    <n v="3.21"/>
    <n v="5.24"/>
    <n v="27.457599999999999"/>
    <x v="8"/>
    <s v="comp2WR"/>
    <n v="5"/>
    <s v="comp2WR-5"/>
  </r>
  <r>
    <x v="14"/>
    <x v="105"/>
    <s v="2.60-14.30"/>
    <n v="8.4499999999999993"/>
    <s v="#6"/>
    <x v="1"/>
    <n v="14.3"/>
    <n v="2.6"/>
    <n v="5.85"/>
    <n v="34.222499999999997"/>
    <x v="3"/>
    <s v="chad4RB"/>
    <n v="3"/>
    <s v="chad4RB-3"/>
  </r>
  <r>
    <x v="12"/>
    <x v="103"/>
    <s v="1.66-15.24"/>
    <n v="8.4499999999999993"/>
    <s v="#2"/>
    <x v="2"/>
    <n v="15.24"/>
    <n v="1.66"/>
    <n v="6.79"/>
    <n v="46.104100000000003"/>
    <x v="4"/>
    <s v="scott5WR"/>
    <n v="2"/>
    <s v="scott5WR-2"/>
  </r>
  <r>
    <x v="12"/>
    <x v="84"/>
    <s v="3.08-13.82"/>
    <n v="8.4499999999999993"/>
    <s v="#21"/>
    <x v="2"/>
    <n v="13.82"/>
    <n v="3.08"/>
    <n v="5.37"/>
    <n v="28.8369"/>
    <x v="0"/>
    <s v="matty5WR"/>
    <n v="4"/>
    <s v="matty5WR-4"/>
  </r>
  <r>
    <x v="10"/>
    <x v="116"/>
    <s v="4.10-12.80"/>
    <n v="8.4499999999999993"/>
    <s v="#19"/>
    <x v="2"/>
    <n v="12.8"/>
    <n v="4.0999999999999996"/>
    <n v="4.3499999999999996"/>
    <n v="18.922499999999999"/>
    <x v="10"/>
    <s v="aj2WR"/>
    <n v="5"/>
    <s v="aj2WR-5"/>
  </r>
  <r>
    <x v="14"/>
    <x v="119"/>
    <s v="2.62-14.28"/>
    <n v="8.4499999999999993"/>
    <s v="#5"/>
    <x v="1"/>
    <n v="14.28"/>
    <n v="2.62"/>
    <n v="5.83"/>
    <n v="33.988900000000001"/>
    <x v="2"/>
    <s v="devon4RB"/>
    <n v="1"/>
    <s v="devon4RB-1"/>
  </r>
  <r>
    <x v="15"/>
    <x v="80"/>
    <s v="2.70-14.18"/>
    <n v="8.44"/>
    <s v="#20"/>
    <x v="2"/>
    <n v="14.18"/>
    <n v="2.7"/>
    <n v="5.74"/>
    <n v="32.947600000000001"/>
    <x v="8"/>
    <s v="comp10WR"/>
    <n v="5"/>
    <s v="comp10WR-5"/>
  </r>
  <r>
    <x v="4"/>
    <x v="84"/>
    <s v="2.74-14.14"/>
    <n v="8.44"/>
    <s v="#24"/>
    <x v="2"/>
    <n v="14.14"/>
    <n v="2.74"/>
    <n v="5.7"/>
    <n v="32.49"/>
    <x v="0"/>
    <s v="matty7WR"/>
    <n v="4"/>
    <s v="matty7WR-4"/>
  </r>
  <r>
    <x v="4"/>
    <x v="103"/>
    <s v="1.56-15.30"/>
    <n v="8.43"/>
    <s v="#30"/>
    <x v="2"/>
    <n v="15.3"/>
    <n v="1.56"/>
    <n v="6.87"/>
    <n v="47.196899999999999"/>
    <x v="4"/>
    <s v="scott7WR"/>
    <n v="1"/>
    <s v="scott7WR-1"/>
  </r>
  <r>
    <x v="4"/>
    <x v="62"/>
    <s v="2.90-13.96"/>
    <n v="8.43"/>
    <s v="#22"/>
    <x v="1"/>
    <n v="13.96"/>
    <n v="2.9"/>
    <n v="5.53"/>
    <n v="30.5809"/>
    <x v="6"/>
    <s v="lucas7RB"/>
    <n v="3"/>
    <s v="lucas7RB-3"/>
  </r>
  <r>
    <x v="10"/>
    <x v="79"/>
    <s v="2.48-14.38"/>
    <n v="8.43"/>
    <s v="#15"/>
    <x v="3"/>
    <n v="14.38"/>
    <n v="2.48"/>
    <n v="5.95"/>
    <n v="35.402500000000003"/>
    <x v="10"/>
    <s v="aj2TE"/>
    <n v="1"/>
    <s v="aj2TE-1"/>
  </r>
  <r>
    <x v="6"/>
    <x v="104"/>
    <s v="2.17-14.67"/>
    <n v="8.42"/>
    <s v="#22"/>
    <x v="2"/>
    <n v="14.67"/>
    <n v="2.17"/>
    <n v="6.25"/>
    <n v="39.0625"/>
    <x v="2"/>
    <s v="devon12WR"/>
    <n v="4"/>
    <s v="devon12WR-4"/>
  </r>
  <r>
    <x v="16"/>
    <x v="109"/>
    <s v="2.50-14.30"/>
    <n v="8.4"/>
    <s v="#13"/>
    <x v="2"/>
    <n v="14.3"/>
    <n v="2.5"/>
    <n v="5.9"/>
    <n v="34.81"/>
    <x v="6"/>
    <s v="lucas3WR"/>
    <n v="2"/>
    <s v="lucas3WR-2"/>
  </r>
  <r>
    <x v="1"/>
    <x v="106"/>
    <s v="2.24-14.56"/>
    <n v="8.4"/>
    <s v="#12"/>
    <x v="2"/>
    <n v="14.56"/>
    <n v="2.2400000000000002"/>
    <n v="6.16"/>
    <n v="37.945599999999999"/>
    <x v="0"/>
    <s v="matty16WR"/>
    <n v="4"/>
    <s v="matty16WR-4"/>
  </r>
  <r>
    <x v="5"/>
    <x v="87"/>
    <s v="2.95-13.85"/>
    <n v="8.4"/>
    <s v="#23"/>
    <x v="1"/>
    <n v="13.85"/>
    <n v="2.95"/>
    <n v="5.45"/>
    <n v="29.702500000000001"/>
    <x v="5"/>
    <s v="cory13RB"/>
    <n v="2"/>
    <s v="cory13RB-2"/>
  </r>
  <r>
    <x v="1"/>
    <x v="56"/>
    <s v="2.24-14.54"/>
    <n v="8.39"/>
    <s v="#30"/>
    <x v="1"/>
    <n v="14.54"/>
    <n v="2.2400000000000002"/>
    <n v="6.15"/>
    <n v="37.822499999999998"/>
    <x v="10"/>
    <s v="aj16RB"/>
    <n v="3"/>
    <s v="aj16RB-3"/>
  </r>
  <r>
    <x v="8"/>
    <x v="130"/>
    <s v="0.89-15.87"/>
    <n v="8.3800000000000008"/>
    <s v="#7"/>
    <x v="3"/>
    <n v="15.87"/>
    <n v="0.89"/>
    <n v="7.49"/>
    <n v="56.100099999999998"/>
    <x v="0"/>
    <s v="matty6TE"/>
    <n v="1"/>
    <s v="matty6TE-1"/>
  </r>
  <r>
    <x v="16"/>
    <x v="131"/>
    <s v="0.64-16.12"/>
    <n v="8.3800000000000008"/>
    <s v="#6"/>
    <x v="1"/>
    <n v="16.12"/>
    <n v="0.64"/>
    <n v="7.74"/>
    <n v="59.907600000000002"/>
    <x v="7"/>
    <s v="NA3RB"/>
    <n v="3"/>
    <s v="NA3RB-3"/>
  </r>
  <r>
    <x v="11"/>
    <x v="127"/>
    <s v="2.86-13.90"/>
    <n v="8.3800000000000008"/>
    <s v="#29"/>
    <x v="2"/>
    <n v="13.9"/>
    <n v="2.86"/>
    <n v="5.52"/>
    <n v="30.470400000000001"/>
    <x v="9"/>
    <s v="seth14WR"/>
    <n v="4"/>
    <s v="seth14WR-4"/>
  </r>
  <r>
    <x v="15"/>
    <x v="56"/>
    <s v="3.61-13.13"/>
    <n v="8.3699999999999992"/>
    <s v="#7"/>
    <x v="1"/>
    <n v="13.13"/>
    <n v="3.61"/>
    <n v="4.76"/>
    <n v="22.657599999999999"/>
    <x v="10"/>
    <s v="aj10RB"/>
    <n v="3"/>
    <s v="aj10RB-3"/>
  </r>
  <r>
    <x v="0"/>
    <x v="126"/>
    <s v="1.42-15.32"/>
    <n v="8.3699999999999992"/>
    <s v="#4"/>
    <x v="2"/>
    <n v="15.32"/>
    <n v="1.42"/>
    <n v="6.95"/>
    <n v="48.302500000000002"/>
    <x v="3"/>
    <s v="chad17WR"/>
    <n v="3"/>
    <s v="chad17WR-3"/>
  </r>
  <r>
    <x v="4"/>
    <x v="120"/>
    <s v="2.11-14.63"/>
    <n v="8.3699999999999992"/>
    <s v="#28"/>
    <x v="2"/>
    <n v="14.63"/>
    <n v="2.11"/>
    <n v="6.26"/>
    <n v="39.187600000000003"/>
    <x v="8"/>
    <s v="comp7WR"/>
    <n v="2"/>
    <s v="comp7WR-2"/>
  </r>
  <r>
    <x v="11"/>
    <x v="122"/>
    <s v="0.58-16.14"/>
    <n v="8.36"/>
    <s v="#29"/>
    <x v="1"/>
    <n v="16.14"/>
    <n v="0.57999999999999996"/>
    <n v="7.78"/>
    <n v="60.528399999999998"/>
    <x v="2"/>
    <s v="devon14RB"/>
    <n v="4"/>
    <s v="devon14RB-4"/>
  </r>
  <r>
    <x v="2"/>
    <x v="105"/>
    <s v="3.23-13.49"/>
    <n v="8.36"/>
    <s v="#23"/>
    <x v="1"/>
    <n v="13.49"/>
    <n v="3.23"/>
    <n v="5.13"/>
    <n v="26.3169"/>
    <x v="3"/>
    <s v="chad9RB"/>
    <n v="3"/>
    <s v="chad9RB-3"/>
  </r>
  <r>
    <x v="16"/>
    <x v="132"/>
    <s v="1.49-15.21"/>
    <n v="8.35"/>
    <s v="#32"/>
    <x v="1"/>
    <n v="15.21"/>
    <n v="1.49"/>
    <n v="6.86"/>
    <n v="47.059600000000003"/>
    <x v="9"/>
    <s v="seth3RB"/>
    <n v="5"/>
    <s v="seth3RB-5"/>
  </r>
  <r>
    <x v="7"/>
    <x v="80"/>
    <s v="0.57-16.13"/>
    <n v="8.35"/>
    <s v="#10"/>
    <x v="2"/>
    <n v="16.13"/>
    <n v="0.56999999999999995"/>
    <n v="7.78"/>
    <n v="60.528399999999998"/>
    <x v="8"/>
    <s v="comp1WR"/>
    <n v="3"/>
    <s v="comp1WR-3"/>
  </r>
  <r>
    <x v="14"/>
    <x v="106"/>
    <s v="1.35-15.35"/>
    <n v="8.35"/>
    <s v="#6"/>
    <x v="2"/>
    <n v="15.35"/>
    <n v="1.35"/>
    <n v="7"/>
    <n v="49"/>
    <x v="0"/>
    <s v="matty4WR"/>
    <n v="3"/>
    <s v="matty4WR-3"/>
  </r>
  <r>
    <x v="12"/>
    <x v="101"/>
    <s v="4.12-12.54"/>
    <n v="8.33"/>
    <s v="#4"/>
    <x v="2"/>
    <n v="12.54"/>
    <n v="4.12"/>
    <n v="4.21"/>
    <n v="17.7241"/>
    <x v="8"/>
    <s v="comp5WR"/>
    <n v="3"/>
    <s v="comp5WR-3"/>
  </r>
  <r>
    <x v="1"/>
    <x v="90"/>
    <s v="2.31-14.35"/>
    <n v="8.33"/>
    <s v="#17"/>
    <x v="1"/>
    <n v="14.35"/>
    <n v="2.31"/>
    <n v="6.02"/>
    <n v="36.240400000000001"/>
    <x v="10"/>
    <s v="aj16RB"/>
    <n v="4"/>
    <s v="aj16RB-4"/>
  </r>
  <r>
    <x v="15"/>
    <x v="127"/>
    <s v="2.32-14.34"/>
    <n v="8.33"/>
    <s v="#24"/>
    <x v="2"/>
    <n v="14.34"/>
    <n v="2.3199999999999998"/>
    <n v="6.01"/>
    <n v="36.120100000000001"/>
    <x v="9"/>
    <s v="seth10WR"/>
    <n v="2"/>
    <s v="seth10WR-2"/>
  </r>
  <r>
    <x v="4"/>
    <x v="104"/>
    <s v="1.64-15.00"/>
    <n v="8.32"/>
    <s v="#7"/>
    <x v="2"/>
    <n v="15"/>
    <n v="1.64"/>
    <n v="6.68"/>
    <n v="44.622399999999999"/>
    <x v="2"/>
    <s v="devon7WR"/>
    <n v="3"/>
    <s v="devon7WR-3"/>
  </r>
  <r>
    <x v="8"/>
    <x v="96"/>
    <s v="1.68-14.96"/>
    <n v="8.32"/>
    <s v="#25"/>
    <x v="2"/>
    <n v="14.96"/>
    <n v="1.68"/>
    <n v="6.64"/>
    <n v="44.089599999999997"/>
    <x v="3"/>
    <s v="chad6WR"/>
    <n v="4"/>
    <s v="chad6WR-4"/>
  </r>
  <r>
    <x v="8"/>
    <x v="133"/>
    <s v="2.66-13.98"/>
    <n v="8.32"/>
    <s v="#10"/>
    <x v="1"/>
    <n v="13.98"/>
    <n v="2.66"/>
    <n v="5.66"/>
    <n v="32.035600000000002"/>
    <x v="8"/>
    <s v="comp6RB"/>
    <n v="3"/>
    <s v="comp6RB-3"/>
  </r>
  <r>
    <x v="11"/>
    <x v="130"/>
    <s v="0.87-15.75"/>
    <n v="8.31"/>
    <s v="#22"/>
    <x v="3"/>
    <n v="15.75"/>
    <n v="0.87"/>
    <n v="7.44"/>
    <n v="55.3536"/>
    <x v="0"/>
    <s v="matty14TE"/>
    <n v="1"/>
    <s v="matty14TE-1"/>
  </r>
  <r>
    <x v="14"/>
    <x v="117"/>
    <s v="1.64-14.98"/>
    <n v="8.31"/>
    <s v="#16"/>
    <x v="2"/>
    <n v="14.98"/>
    <n v="1.64"/>
    <n v="6.67"/>
    <n v="44.488900000000001"/>
    <x v="4"/>
    <s v="scott4WR"/>
    <n v="3"/>
    <s v="scott4WR-3"/>
  </r>
  <r>
    <x v="11"/>
    <x v="100"/>
    <s v="2.70-13.90"/>
    <n v="8.3000000000000007"/>
    <s v="#22"/>
    <x v="1"/>
    <n v="13.9"/>
    <n v="2.7"/>
    <n v="5.6"/>
    <n v="31.36"/>
    <x v="6"/>
    <s v="lucas14RB"/>
    <n v="3"/>
    <s v="lucas14RB-3"/>
  </r>
  <r>
    <x v="3"/>
    <x v="115"/>
    <s v="2.45-14.15"/>
    <n v="8.3000000000000007"/>
    <s v="#25"/>
    <x v="2"/>
    <n v="14.15"/>
    <n v="2.4500000000000002"/>
    <n v="5.85"/>
    <n v="34.222499999999997"/>
    <x v="9"/>
    <s v="seth11WR"/>
    <n v="3"/>
    <s v="seth11WR-3"/>
  </r>
  <r>
    <x v="0"/>
    <x v="78"/>
    <s v="3.80-12.78"/>
    <n v="8.2899999999999991"/>
    <s v="#6"/>
    <x v="1"/>
    <n v="12.78"/>
    <n v="3.8"/>
    <n v="4.49"/>
    <n v="20.1601"/>
    <x v="8"/>
    <s v="comp17RB"/>
    <n v="2"/>
    <s v="comp17RB-2"/>
  </r>
  <r>
    <x v="1"/>
    <x v="124"/>
    <s v="2.71-13.87"/>
    <n v="8.2899999999999991"/>
    <s v="#7"/>
    <x v="2"/>
    <n v="13.87"/>
    <n v="2.71"/>
    <n v="5.58"/>
    <n v="31.136399999999998"/>
    <x v="8"/>
    <s v="comp16WR"/>
    <n v="4"/>
    <s v="comp16WR-4"/>
  </r>
  <r>
    <x v="9"/>
    <x v="120"/>
    <s v="1.69-14.89"/>
    <n v="8.2899999999999991"/>
    <s v="#26"/>
    <x v="2"/>
    <n v="14.89"/>
    <n v="1.69"/>
    <n v="6.6"/>
    <n v="43.56"/>
    <x v="8"/>
    <s v="comp15WR"/>
    <n v="3"/>
    <s v="comp15WR-3"/>
  </r>
  <r>
    <x v="8"/>
    <x v="122"/>
    <s v="1.35-15.21"/>
    <n v="8.2799999999999994"/>
    <s v="#18"/>
    <x v="1"/>
    <n v="15.21"/>
    <n v="1.35"/>
    <n v="6.93"/>
    <n v="48.024900000000002"/>
    <x v="2"/>
    <s v="devon6RB"/>
    <n v="4"/>
    <s v="devon6RB-4"/>
  </r>
  <r>
    <x v="15"/>
    <x v="112"/>
    <s v="3.13-13.43"/>
    <n v="8.2799999999999994"/>
    <s v="#15"/>
    <x v="2"/>
    <n v="13.43"/>
    <n v="3.13"/>
    <n v="5.15"/>
    <n v="26.522500000000001"/>
    <x v="3"/>
    <s v="chad10WR"/>
    <n v="4"/>
    <s v="chad10WR-4"/>
  </r>
  <r>
    <x v="12"/>
    <x v="105"/>
    <s v="1.84-14.72"/>
    <n v="8.2799999999999994"/>
    <s v="#11"/>
    <x v="1"/>
    <n v="14.72"/>
    <n v="1.84"/>
    <n v="6.44"/>
    <n v="41.473599999999998"/>
    <x v="3"/>
    <s v="chad5RB"/>
    <n v="2"/>
    <s v="chad5RB-2"/>
  </r>
  <r>
    <x v="11"/>
    <x v="96"/>
    <s v="2.54-14.02"/>
    <n v="8.2799999999999994"/>
    <s v="#26"/>
    <x v="2"/>
    <n v="14.02"/>
    <n v="2.54"/>
    <n v="5.74"/>
    <n v="32.947600000000001"/>
    <x v="3"/>
    <s v="chad14WR"/>
    <n v="4"/>
    <s v="chad14WR-4"/>
  </r>
  <r>
    <x v="1"/>
    <x v="94"/>
    <s v="2.55-14.01"/>
    <n v="8.2799999999999994"/>
    <s v="#11"/>
    <x v="2"/>
    <n v="14.01"/>
    <n v="2.5499999999999998"/>
    <n v="5.73"/>
    <n v="32.832900000000002"/>
    <x v="3"/>
    <s v="chad16WR"/>
    <n v="5"/>
    <s v="chad16WR-5"/>
  </r>
  <r>
    <x v="8"/>
    <x v="115"/>
    <s v="2.18-14.38"/>
    <n v="8.2799999999999994"/>
    <s v="#26"/>
    <x v="2"/>
    <n v="14.38"/>
    <n v="2.1800000000000002"/>
    <n v="6.1"/>
    <n v="37.21"/>
    <x v="9"/>
    <s v="seth6WR"/>
    <n v="3"/>
    <s v="seth6WR-3"/>
  </r>
  <r>
    <x v="16"/>
    <x v="112"/>
    <s v="3.83-12.69"/>
    <n v="8.26"/>
    <s v="#19"/>
    <x v="2"/>
    <n v="12.69"/>
    <n v="3.83"/>
    <n v="4.43"/>
    <n v="19.6249"/>
    <x v="3"/>
    <s v="chad3WR"/>
    <n v="2"/>
    <s v="chad3WR-2"/>
  </r>
  <r>
    <x v="8"/>
    <x v="119"/>
    <s v="2.66-13.86"/>
    <n v="8.26"/>
    <s v="#29"/>
    <x v="1"/>
    <n v="13.86"/>
    <n v="2.66"/>
    <n v="5.6"/>
    <n v="31.36"/>
    <x v="2"/>
    <s v="devon6RB"/>
    <n v="5"/>
    <s v="devon6RB-5"/>
  </r>
  <r>
    <x v="16"/>
    <x v="80"/>
    <s v="1.01-15.49"/>
    <n v="8.25"/>
    <s v="#24"/>
    <x v="2"/>
    <n v="15.49"/>
    <n v="1.01"/>
    <n v="7.24"/>
    <n v="52.4176"/>
    <x v="8"/>
    <s v="comp3WR"/>
    <n v="4"/>
    <s v="comp3WR-4"/>
  </r>
  <r>
    <x v="10"/>
    <x v="106"/>
    <s v="1.05-15.45"/>
    <n v="8.25"/>
    <s v="#27"/>
    <x v="2"/>
    <n v="15.45"/>
    <n v="1.05"/>
    <n v="7.2"/>
    <n v="51.84"/>
    <x v="0"/>
    <s v="matty2WR"/>
    <n v="3"/>
    <s v="matty2WR-3"/>
  </r>
  <r>
    <x v="4"/>
    <x v="90"/>
    <s v="2.83-13.67"/>
    <n v="8.25"/>
    <s v="#9"/>
    <x v="1"/>
    <n v="13.67"/>
    <n v="2.83"/>
    <n v="5.42"/>
    <n v="29.3764"/>
    <x v="10"/>
    <s v="aj7RB"/>
    <n v="3"/>
    <s v="aj7RB-3"/>
  </r>
  <r>
    <x v="0"/>
    <x v="84"/>
    <s v="2.88-13.62"/>
    <n v="8.25"/>
    <s v="#21"/>
    <x v="2"/>
    <n v="13.62"/>
    <n v="2.88"/>
    <n v="5.37"/>
    <n v="28.8369"/>
    <x v="0"/>
    <s v="matty17WR"/>
    <n v="4"/>
    <s v="matty17WR-4"/>
  </r>
  <r>
    <x v="3"/>
    <x v="118"/>
    <s v="2.98-13.52"/>
    <n v="8.25"/>
    <s v="#1"/>
    <x v="2"/>
    <n v="13.52"/>
    <n v="2.98"/>
    <n v="5.27"/>
    <n v="27.7729"/>
    <x v="5"/>
    <s v="cory11WR"/>
    <n v="3"/>
    <s v="cory11WR-3"/>
  </r>
  <r>
    <x v="3"/>
    <x v="99"/>
    <s v="1.15-15.35"/>
    <n v="8.25"/>
    <s v="#12"/>
    <x v="2"/>
    <n v="15.35"/>
    <n v="1.1499999999999999"/>
    <n v="7.1"/>
    <n v="50.41"/>
    <x v="1"/>
    <s v="perry11WR"/>
    <n v="3"/>
    <s v="perry11WR-3"/>
  </r>
  <r>
    <x v="9"/>
    <x v="80"/>
    <s v="2.52-13.96"/>
    <n v="8.24"/>
    <s v="#19"/>
    <x v="2"/>
    <n v="13.96"/>
    <n v="2.52"/>
    <n v="5.72"/>
    <n v="32.718400000000003"/>
    <x v="8"/>
    <s v="comp15WR"/>
    <n v="4"/>
    <s v="comp15WR-4"/>
  </r>
  <r>
    <x v="1"/>
    <x v="80"/>
    <s v="2.29-14.17"/>
    <n v="8.23"/>
    <s v="#16"/>
    <x v="2"/>
    <n v="14.17"/>
    <n v="2.29"/>
    <n v="5.94"/>
    <n v="35.2836"/>
    <x v="8"/>
    <s v="comp16WR"/>
    <n v="5"/>
    <s v="comp16WR-5"/>
  </r>
  <r>
    <x v="15"/>
    <x v="126"/>
    <s v="0.89-15.57"/>
    <n v="8.23"/>
    <s v="#14"/>
    <x v="2"/>
    <n v="15.57"/>
    <n v="0.89"/>
    <n v="7.34"/>
    <n v="53.875599999999999"/>
    <x v="3"/>
    <s v="chad10WR"/>
    <n v="5"/>
    <s v="chad10WR-5"/>
  </r>
  <r>
    <x v="14"/>
    <x v="84"/>
    <s v="3.00-13.46"/>
    <n v="8.23"/>
    <s v="#23"/>
    <x v="2"/>
    <n v="13.46"/>
    <n v="3"/>
    <n v="5.23"/>
    <n v="27.352900000000002"/>
    <x v="0"/>
    <s v="matty4WR"/>
    <n v="4"/>
    <s v="matty4WR-4"/>
  </r>
  <r>
    <x v="1"/>
    <x v="127"/>
    <s v="2.51-13.95"/>
    <n v="8.23"/>
    <s v="#4"/>
    <x v="2"/>
    <n v="13.95"/>
    <n v="2.5099999999999998"/>
    <n v="5.72"/>
    <n v="32.718400000000003"/>
    <x v="9"/>
    <s v="seth16WR"/>
    <n v="3"/>
    <s v="seth16WR-3"/>
  </r>
  <r>
    <x v="16"/>
    <x v="117"/>
    <s v="1.51-14.95"/>
    <n v="8.23"/>
    <s v="#18"/>
    <x v="2"/>
    <n v="14.95"/>
    <n v="1.51"/>
    <n v="6.72"/>
    <n v="45.1584"/>
    <x v="4"/>
    <s v="scott3WR"/>
    <n v="2"/>
    <s v="scott3WR-2"/>
  </r>
  <r>
    <x v="5"/>
    <x v="103"/>
    <s v="1.73-14.71"/>
    <n v="8.2200000000000006"/>
    <s v="#29"/>
    <x v="2"/>
    <n v="14.71"/>
    <n v="1.73"/>
    <n v="6.49"/>
    <n v="42.120100000000001"/>
    <x v="4"/>
    <s v="scott13WR"/>
    <n v="3"/>
    <s v="scott13WR-3"/>
  </r>
  <r>
    <x v="11"/>
    <x v="109"/>
    <s v="2.38-14.04"/>
    <n v="8.2100000000000009"/>
    <s v="#10"/>
    <x v="2"/>
    <n v="14.04"/>
    <n v="2.38"/>
    <n v="5.83"/>
    <n v="33.988900000000001"/>
    <x v="6"/>
    <s v="lucas14WR"/>
    <n v="3"/>
    <s v="lucas14WR-3"/>
  </r>
  <r>
    <x v="12"/>
    <x v="134"/>
    <s v="2.32-14.10"/>
    <n v="8.2100000000000009"/>
    <s v="#2"/>
    <x v="1"/>
    <n v="14.1"/>
    <n v="2.3199999999999998"/>
    <n v="5.89"/>
    <n v="34.692100000000003"/>
    <x v="3"/>
    <s v="chad5RB"/>
    <n v="3"/>
    <s v="chad5RB-3"/>
  </r>
  <r>
    <x v="12"/>
    <x v="115"/>
    <s v="2.58-13.84"/>
    <n v="8.2100000000000009"/>
    <s v="#18"/>
    <x v="2"/>
    <n v="13.84"/>
    <n v="2.58"/>
    <n v="5.63"/>
    <n v="31.696899999999999"/>
    <x v="9"/>
    <s v="seth5WR"/>
    <n v="3"/>
    <s v="seth5WR-3"/>
  </r>
  <r>
    <x v="6"/>
    <x v="100"/>
    <s v="2.77-13.63"/>
    <n v="8.1999999999999993"/>
    <s v="#23"/>
    <x v="1"/>
    <n v="13.63"/>
    <n v="2.77"/>
    <n v="5.43"/>
    <n v="29.4849"/>
    <x v="6"/>
    <s v="lucas12RB"/>
    <n v="3"/>
    <s v="lucas12RB-3"/>
  </r>
  <r>
    <x v="4"/>
    <x v="85"/>
    <s v="4.26-12.14"/>
    <n v="8.1999999999999993"/>
    <s v="#5"/>
    <x v="1"/>
    <n v="12.14"/>
    <n v="4.26"/>
    <n v="3.94"/>
    <n v="15.5236"/>
    <x v="5"/>
    <s v="cory7RB"/>
    <n v="3"/>
    <s v="cory7RB-3"/>
  </r>
  <r>
    <x v="16"/>
    <x v="135"/>
    <s v="3.44-12.96"/>
    <n v="8.1999999999999993"/>
    <s v="#17"/>
    <x v="1"/>
    <n v="12.96"/>
    <n v="3.44"/>
    <n v="4.76"/>
    <n v="22.657599999999999"/>
    <x v="7"/>
    <s v="NA3RB"/>
    <n v="4"/>
    <s v="NA3RB-4"/>
  </r>
  <r>
    <x v="4"/>
    <x v="112"/>
    <s v="1.53-14.85"/>
    <n v="8.19"/>
    <s v="#6"/>
    <x v="2"/>
    <n v="14.85"/>
    <n v="1.53"/>
    <n v="6.66"/>
    <n v="44.355600000000003"/>
    <x v="3"/>
    <s v="chad7WR"/>
    <n v="4"/>
    <s v="chad7WR-4"/>
  </r>
  <r>
    <x v="7"/>
    <x v="127"/>
    <s v="3.38-13.00"/>
    <n v="8.19"/>
    <s v="#5"/>
    <x v="2"/>
    <n v="13"/>
    <n v="3.38"/>
    <n v="4.8099999999999996"/>
    <n v="23.136099999999999"/>
    <x v="9"/>
    <s v="seth1WR"/>
    <n v="4"/>
    <s v="seth1WR-4"/>
  </r>
  <r>
    <x v="6"/>
    <x v="133"/>
    <s v="1.85-14.53"/>
    <n v="8.19"/>
    <s v="#15"/>
    <x v="1"/>
    <n v="14.53"/>
    <n v="1.85"/>
    <n v="6.34"/>
    <n v="40.195599999999999"/>
    <x v="8"/>
    <s v="comp12RB"/>
    <n v="3"/>
    <s v="comp12RB-3"/>
  </r>
  <r>
    <x v="13"/>
    <x v="123"/>
    <s v="2.06-14.30"/>
    <n v="8.18"/>
    <s v="#8"/>
    <x v="2"/>
    <n v="14.3"/>
    <n v="2.06"/>
    <n v="6.12"/>
    <n v="37.4544"/>
    <x v="4"/>
    <s v="scott8WR"/>
    <n v="3"/>
    <s v="scott8WR-3"/>
  </r>
  <r>
    <x v="14"/>
    <x v="116"/>
    <s v="2.63-13.73"/>
    <n v="8.18"/>
    <s v="#15"/>
    <x v="2"/>
    <n v="13.73"/>
    <n v="2.63"/>
    <n v="5.55"/>
    <n v="30.802499999999998"/>
    <x v="10"/>
    <s v="aj4WR"/>
    <n v="5"/>
    <s v="aj4WR-5"/>
  </r>
  <r>
    <x v="9"/>
    <x v="81"/>
    <s v="2.55-13.81"/>
    <n v="8.18"/>
    <s v="#10"/>
    <x v="3"/>
    <n v="13.81"/>
    <n v="2.5499999999999998"/>
    <n v="5.63"/>
    <n v="31.696899999999999"/>
    <x v="1"/>
    <s v="perry15TE"/>
    <n v="1"/>
    <s v="perry15TE-1"/>
  </r>
  <r>
    <x v="9"/>
    <x v="136"/>
    <s v="2.89-13.45"/>
    <n v="8.17"/>
    <s v="#27"/>
    <x v="1"/>
    <n v="13.45"/>
    <n v="2.89"/>
    <n v="5.28"/>
    <n v="27.878399999999999"/>
    <x v="5"/>
    <s v="cory15RB"/>
    <n v="4"/>
    <s v="cory15RB-4"/>
  </r>
  <r>
    <x v="7"/>
    <x v="101"/>
    <s v="2.10-14.24"/>
    <n v="8.17"/>
    <s v="#8"/>
    <x v="2"/>
    <n v="14.24"/>
    <n v="2.1"/>
    <n v="6.07"/>
    <n v="36.844900000000003"/>
    <x v="8"/>
    <s v="comp1WR"/>
    <n v="4"/>
    <s v="comp1WR-4"/>
  </r>
  <r>
    <x v="16"/>
    <x v="116"/>
    <s v="2.75-13.59"/>
    <n v="8.17"/>
    <s v="#16"/>
    <x v="2"/>
    <n v="13.59"/>
    <n v="2.75"/>
    <n v="5.42"/>
    <n v="29.3764"/>
    <x v="10"/>
    <s v="aj3WR"/>
    <n v="5"/>
    <s v="aj3WR-5"/>
  </r>
  <r>
    <x v="2"/>
    <x v="99"/>
    <s v="1.65-14.69"/>
    <n v="8.17"/>
    <s v="#16"/>
    <x v="2"/>
    <n v="14.69"/>
    <n v="1.65"/>
    <n v="6.52"/>
    <n v="42.510399999999997"/>
    <x v="1"/>
    <s v="perry9WR"/>
    <n v="3"/>
    <s v="perry9WR-3"/>
  </r>
  <r>
    <x v="8"/>
    <x v="104"/>
    <s v="1.91-14.41"/>
    <n v="8.16"/>
    <s v="#22"/>
    <x v="2"/>
    <n v="14.41"/>
    <n v="1.91"/>
    <n v="6.25"/>
    <n v="39.0625"/>
    <x v="2"/>
    <s v="devon6WR"/>
    <n v="3"/>
    <s v="devon6WR-3"/>
  </r>
  <r>
    <x v="12"/>
    <x v="123"/>
    <s v="0.53-15.79"/>
    <n v="8.16"/>
    <s v="#21"/>
    <x v="2"/>
    <n v="15.79"/>
    <n v="0.53"/>
    <n v="7.63"/>
    <n v="58.216900000000003"/>
    <x v="4"/>
    <s v="scott5WR"/>
    <n v="3"/>
    <s v="scott5WR-3"/>
  </r>
  <r>
    <x v="14"/>
    <x v="108"/>
    <s v="2.53-13.79"/>
    <n v="8.16"/>
    <s v="#32"/>
    <x v="1"/>
    <n v="13.79"/>
    <n v="2.5299999999999998"/>
    <n v="5.63"/>
    <n v="31.696899999999999"/>
    <x v="1"/>
    <s v="perry4RB"/>
    <n v="3"/>
    <s v="perry4RB-3"/>
  </r>
  <r>
    <x v="2"/>
    <x v="117"/>
    <s v="3.60-12.72"/>
    <n v="8.16"/>
    <s v="#2"/>
    <x v="2"/>
    <n v="12.72"/>
    <n v="3.6"/>
    <n v="4.5599999999999996"/>
    <n v="20.793600000000001"/>
    <x v="4"/>
    <s v="scott9WR"/>
    <n v="2"/>
    <s v="scott9WR-2"/>
  </r>
  <r>
    <x v="13"/>
    <x v="104"/>
    <s v="0.23-16.07"/>
    <n v="8.15"/>
    <s v="#3"/>
    <x v="2"/>
    <n v="16.07"/>
    <n v="0.23"/>
    <n v="7.92"/>
    <n v="62.726399999999998"/>
    <x v="2"/>
    <s v="devon8WR"/>
    <n v="4"/>
    <s v="devon8WR-4"/>
  </r>
  <r>
    <x v="16"/>
    <x v="125"/>
    <s v="2.16-14.14"/>
    <n v="8.15"/>
    <s v="#12"/>
    <x v="3"/>
    <n v="14.14"/>
    <n v="2.16"/>
    <n v="5.99"/>
    <n v="35.880099999999999"/>
    <x v="9"/>
    <s v="seth3TE"/>
    <n v="1"/>
    <s v="seth3TE-1"/>
  </r>
  <r>
    <x v="14"/>
    <x v="97"/>
    <s v="1.63-14.67"/>
    <n v="8.15"/>
    <s v="#3"/>
    <x v="2"/>
    <n v="14.67"/>
    <n v="1.63"/>
    <n v="6.52"/>
    <n v="42.510399999999997"/>
    <x v="6"/>
    <s v="lucas4WR"/>
    <n v="1"/>
    <s v="lucas4WR-1"/>
  </r>
  <r>
    <x v="8"/>
    <x v="103"/>
    <s v="1.77-14.51"/>
    <n v="8.14"/>
    <s v="#14"/>
    <x v="2"/>
    <n v="14.51"/>
    <n v="1.77"/>
    <n v="6.37"/>
    <n v="40.576900000000002"/>
    <x v="4"/>
    <s v="scott6WR"/>
    <n v="2"/>
    <s v="scott6WR-2"/>
  </r>
  <r>
    <x v="9"/>
    <x v="137"/>
    <s v="2.63-13.65"/>
    <n v="8.14"/>
    <s v="#17"/>
    <x v="1"/>
    <n v="13.65"/>
    <n v="2.63"/>
    <n v="5.51"/>
    <n v="30.360099999999999"/>
    <x v="2"/>
    <s v="devon15RB"/>
    <n v="4"/>
    <s v="devon15RB-4"/>
  </r>
  <r>
    <x v="7"/>
    <x v="69"/>
    <s v="2.66-13.62"/>
    <n v="8.14"/>
    <s v="#25"/>
    <x v="2"/>
    <n v="13.62"/>
    <n v="2.66"/>
    <n v="5.48"/>
    <n v="30.0304"/>
    <x v="0"/>
    <s v="matty1WR"/>
    <n v="3"/>
    <s v="matty1WR-3"/>
  </r>
  <r>
    <x v="11"/>
    <x v="138"/>
    <s v="1.94-14.32"/>
    <n v="8.1300000000000008"/>
    <s v="#19"/>
    <x v="1"/>
    <n v="14.32"/>
    <n v="1.94"/>
    <n v="6.19"/>
    <n v="38.316099999999999"/>
    <x v="0"/>
    <s v="matty14RB"/>
    <n v="4"/>
    <s v="matty14RB-4"/>
  </r>
  <r>
    <x v="3"/>
    <x v="100"/>
    <s v="2.48-13.78"/>
    <n v="8.1300000000000008"/>
    <s v="#27"/>
    <x v="1"/>
    <n v="13.78"/>
    <n v="2.48"/>
    <n v="5.65"/>
    <n v="31.922499999999999"/>
    <x v="6"/>
    <s v="lucas11RB"/>
    <n v="3"/>
    <s v="lucas11RB-3"/>
  </r>
  <r>
    <x v="8"/>
    <x v="90"/>
    <s v="2.69-13.57"/>
    <n v="8.1300000000000008"/>
    <s v="#27"/>
    <x v="1"/>
    <n v="13.57"/>
    <n v="2.69"/>
    <n v="5.44"/>
    <n v="29.593599999999999"/>
    <x v="10"/>
    <s v="aj6RB"/>
    <n v="4"/>
    <s v="aj6RB-4"/>
  </r>
  <r>
    <x v="6"/>
    <x v="99"/>
    <s v="2.23-14.03"/>
    <n v="8.1300000000000008"/>
    <s v="#14"/>
    <x v="2"/>
    <n v="14.03"/>
    <n v="2.23"/>
    <n v="5.9"/>
    <n v="34.81"/>
    <x v="1"/>
    <s v="perry12WR"/>
    <n v="2"/>
    <s v="perry12WR-2"/>
  </r>
  <r>
    <x v="5"/>
    <x v="81"/>
    <s v="3.25-13.01"/>
    <n v="8.1300000000000008"/>
    <s v="#12"/>
    <x v="3"/>
    <n v="13.01"/>
    <n v="3.25"/>
    <n v="4.88"/>
    <n v="23.814399999999999"/>
    <x v="1"/>
    <s v="perry13TE"/>
    <n v="1"/>
    <s v="perry13TE-1"/>
  </r>
  <r>
    <x v="6"/>
    <x v="95"/>
    <s v="2.61-13.63"/>
    <n v="8.1199999999999992"/>
    <s v="#25"/>
    <x v="1"/>
    <n v="13.63"/>
    <n v="2.61"/>
    <n v="5.51"/>
    <n v="30.360099999999999"/>
    <x v="9"/>
    <s v="seth12RB"/>
    <n v="3"/>
    <s v="seth12RB-3"/>
  </r>
  <r>
    <x v="9"/>
    <x v="124"/>
    <s v="2.51-13.73"/>
    <n v="8.1199999999999992"/>
    <s v="#13"/>
    <x v="2"/>
    <n v="13.73"/>
    <n v="2.5099999999999998"/>
    <n v="5.61"/>
    <n v="31.472100000000001"/>
    <x v="8"/>
    <s v="comp15WR"/>
    <n v="5"/>
    <s v="comp15WR-5"/>
  </r>
  <r>
    <x v="6"/>
    <x v="127"/>
    <s v="2.10-14.14"/>
    <n v="8.1199999999999992"/>
    <s v="#26"/>
    <x v="2"/>
    <n v="14.14"/>
    <n v="2.1"/>
    <n v="6.02"/>
    <n v="36.240400000000001"/>
    <x v="9"/>
    <s v="seth12WR"/>
    <n v="4"/>
    <s v="seth12WR-4"/>
  </r>
  <r>
    <x v="2"/>
    <x v="106"/>
    <s v="0.80-15.42"/>
    <n v="8.11"/>
    <s v="#23"/>
    <x v="2"/>
    <n v="15.42"/>
    <n v="0.8"/>
    <n v="7.31"/>
    <n v="53.436100000000003"/>
    <x v="0"/>
    <s v="matty9WR"/>
    <n v="4"/>
    <s v="matty9WR-4"/>
  </r>
  <r>
    <x v="7"/>
    <x v="131"/>
    <s v="2.07-14.15"/>
    <n v="8.11"/>
    <s v="#19"/>
    <x v="1"/>
    <n v="14.15"/>
    <n v="2.0699999999999998"/>
    <n v="6.04"/>
    <n v="36.4816"/>
    <x v="7"/>
    <s v="NA1RB"/>
    <n v="2"/>
    <s v="NA1RB-2"/>
  </r>
  <r>
    <x v="5"/>
    <x v="90"/>
    <s v="1.77-14.45"/>
    <n v="8.11"/>
    <s v="#24"/>
    <x v="1"/>
    <n v="14.45"/>
    <n v="1.77"/>
    <n v="6.34"/>
    <n v="40.195599999999999"/>
    <x v="10"/>
    <s v="aj13RB"/>
    <n v="5"/>
    <s v="aj13RB-5"/>
  </r>
  <r>
    <x v="5"/>
    <x v="116"/>
    <s v="2.27-13.95"/>
    <n v="8.11"/>
    <s v="#29"/>
    <x v="2"/>
    <n v="13.95"/>
    <n v="2.27"/>
    <n v="5.84"/>
    <n v="34.105600000000003"/>
    <x v="10"/>
    <s v="aj13WR"/>
    <n v="4"/>
    <s v="aj13WR-4"/>
  </r>
  <r>
    <x v="13"/>
    <x v="133"/>
    <s v="2.25-13.97"/>
    <n v="8.11"/>
    <s v="#32"/>
    <x v="1"/>
    <n v="13.97"/>
    <n v="2.25"/>
    <n v="5.86"/>
    <n v="34.339599999999997"/>
    <x v="8"/>
    <s v="comp8RB"/>
    <n v="3"/>
    <s v="comp8RB-3"/>
  </r>
  <r>
    <x v="10"/>
    <x v="95"/>
    <s v="1.16-15.04"/>
    <n v="8.1"/>
    <s v="#19"/>
    <x v="1"/>
    <n v="15.04"/>
    <n v="1.1599999999999999"/>
    <n v="6.94"/>
    <n v="48.163600000000002"/>
    <x v="9"/>
    <s v="seth2RB"/>
    <n v="3"/>
    <s v="seth2RB-3"/>
  </r>
  <r>
    <x v="3"/>
    <x v="80"/>
    <s v="2.48-13.72"/>
    <n v="8.1"/>
    <s v="#13"/>
    <x v="2"/>
    <n v="13.72"/>
    <n v="2.48"/>
    <n v="5.62"/>
    <n v="31.584399999999999"/>
    <x v="8"/>
    <s v="comp11WR"/>
    <n v="3"/>
    <s v="comp11WR-3"/>
  </r>
  <r>
    <x v="6"/>
    <x v="136"/>
    <s v="2.97-13.23"/>
    <n v="8.1"/>
    <s v="#17"/>
    <x v="1"/>
    <n v="13.23"/>
    <n v="2.97"/>
    <n v="5.13"/>
    <n v="26.3169"/>
    <x v="5"/>
    <s v="cory12RB"/>
    <n v="3"/>
    <s v="cory12RB-3"/>
  </r>
  <r>
    <x v="6"/>
    <x v="126"/>
    <s v="1.15-15.05"/>
    <n v="8.1"/>
    <s v="#4"/>
    <x v="2"/>
    <n v="15.05"/>
    <n v="1.1499999999999999"/>
    <n v="6.95"/>
    <n v="48.302500000000002"/>
    <x v="3"/>
    <s v="chad12WR"/>
    <n v="5"/>
    <s v="chad12WR-5"/>
  </r>
  <r>
    <x v="9"/>
    <x v="99"/>
    <s v="1.73-14.47"/>
    <n v="8.1"/>
    <s v="#4"/>
    <x v="2"/>
    <n v="14.47"/>
    <n v="1.73"/>
    <n v="6.37"/>
    <n v="40.576900000000002"/>
    <x v="1"/>
    <s v="perry15WR"/>
    <n v="3"/>
    <s v="perry15WR-3"/>
  </r>
  <r>
    <x v="8"/>
    <x v="136"/>
    <s v="2.96-13.22"/>
    <n v="8.09"/>
    <s v="#9"/>
    <x v="1"/>
    <n v="13.22"/>
    <n v="2.96"/>
    <n v="5.13"/>
    <n v="26.3169"/>
    <x v="5"/>
    <s v="cory6RB"/>
    <n v="3"/>
    <s v="cory6RB-3"/>
  </r>
  <r>
    <x v="5"/>
    <x v="126"/>
    <s v="1.07-15.09"/>
    <n v="8.08"/>
    <s v="#26"/>
    <x v="2"/>
    <n v="15.09"/>
    <n v="1.07"/>
    <n v="7.01"/>
    <n v="49.140099999999997"/>
    <x v="3"/>
    <s v="chad13WR"/>
    <n v="5"/>
    <s v="chad13WR-5"/>
  </r>
  <r>
    <x v="15"/>
    <x v="90"/>
    <s v="1.93-14.23"/>
    <n v="8.08"/>
    <s v="#4"/>
    <x v="1"/>
    <n v="14.23"/>
    <n v="1.93"/>
    <n v="6.15"/>
    <n v="37.822499999999998"/>
    <x v="10"/>
    <s v="aj10RB"/>
    <n v="4"/>
    <s v="aj10RB-4"/>
  </r>
  <r>
    <x v="16"/>
    <x v="119"/>
    <s v="2.77-13.39"/>
    <n v="8.08"/>
    <s v="#15"/>
    <x v="1"/>
    <n v="13.39"/>
    <n v="2.77"/>
    <n v="5.31"/>
    <n v="28.196100000000001"/>
    <x v="2"/>
    <s v="devon3RB"/>
    <n v="2"/>
    <s v="devon3RB-2"/>
  </r>
  <r>
    <x v="14"/>
    <x v="55"/>
    <s v="3.15-12.99"/>
    <n v="8.07"/>
    <s v="#10"/>
    <x v="1"/>
    <n v="12.99"/>
    <n v="3.15"/>
    <n v="4.92"/>
    <n v="24.206399999999999"/>
    <x v="2"/>
    <s v="devon4RB"/>
    <n v="2"/>
    <s v="devon4RB-2"/>
  </r>
  <r>
    <x v="15"/>
    <x v="94"/>
    <s v="2.64-13.48"/>
    <n v="8.06"/>
    <s v="#14"/>
    <x v="2"/>
    <n v="13.48"/>
    <n v="2.64"/>
    <n v="5.42"/>
    <n v="29.3764"/>
    <x v="3"/>
    <s v="chad10WR"/>
    <n v="6"/>
    <s v="chad10WR-6"/>
  </r>
  <r>
    <x v="0"/>
    <x v="116"/>
    <s v="2.02-14.10"/>
    <n v="8.06"/>
    <s v="#2"/>
    <x v="2"/>
    <n v="14.1"/>
    <n v="2.02"/>
    <n v="6.04"/>
    <n v="36.4816"/>
    <x v="10"/>
    <s v="aj17WR"/>
    <n v="4"/>
    <s v="aj17WR-4"/>
  </r>
  <r>
    <x v="15"/>
    <x v="122"/>
    <s v="1.32-14.78"/>
    <n v="8.0500000000000007"/>
    <s v="#24"/>
    <x v="1"/>
    <n v="14.78"/>
    <n v="1.32"/>
    <n v="6.73"/>
    <n v="45.292900000000003"/>
    <x v="2"/>
    <s v="devon10RB"/>
    <n v="4"/>
    <s v="devon10RB-4"/>
  </r>
  <r>
    <x v="12"/>
    <x v="136"/>
    <s v="2.31-13.79"/>
    <n v="8.0500000000000007"/>
    <s v="#16"/>
    <x v="1"/>
    <n v="13.79"/>
    <n v="2.31"/>
    <n v="5.74"/>
    <n v="32.947600000000001"/>
    <x v="5"/>
    <s v="cory5RB"/>
    <n v="4"/>
    <s v="cory5RB-4"/>
  </r>
  <r>
    <x v="0"/>
    <x v="96"/>
    <s v="1.80-14.30"/>
    <n v="8.0500000000000007"/>
    <s v="#13"/>
    <x v="2"/>
    <n v="14.3"/>
    <n v="1.8"/>
    <n v="6.25"/>
    <n v="39.0625"/>
    <x v="3"/>
    <s v="chad17WR"/>
    <n v="4"/>
    <s v="chad17WR-4"/>
  </r>
  <r>
    <x v="12"/>
    <x v="91"/>
    <s v="2.05-14.05"/>
    <n v="8.0500000000000007"/>
    <s v="#13"/>
    <x v="1"/>
    <n v="14.05"/>
    <n v="2.0499999999999998"/>
    <n v="6"/>
    <n v="36"/>
    <x v="1"/>
    <s v="perry5RB"/>
    <n v="2"/>
    <s v="perry5RB-2"/>
  </r>
  <r>
    <x v="10"/>
    <x v="127"/>
    <s v="2.81-13.29"/>
    <n v="8.0500000000000007"/>
    <s v="#26"/>
    <x v="2"/>
    <n v="13.29"/>
    <n v="2.81"/>
    <n v="5.24"/>
    <n v="27.457599999999999"/>
    <x v="9"/>
    <s v="seth2WR"/>
    <n v="4"/>
    <s v="seth2WR-4"/>
  </r>
  <r>
    <x v="12"/>
    <x v="118"/>
    <s v="3.60-12.50"/>
    <n v="8.0500000000000007"/>
    <s v="#24"/>
    <x v="2"/>
    <n v="12.5"/>
    <n v="3.6"/>
    <n v="4.45"/>
    <n v="19.802499999999998"/>
    <x v="5"/>
    <s v="cory5WR"/>
    <n v="4"/>
    <s v="cory5WR-4"/>
  </r>
  <r>
    <x v="0"/>
    <x v="122"/>
    <s v="0.29-15.79"/>
    <n v="8.0399999999999991"/>
    <s v="#28"/>
    <x v="1"/>
    <n v="15.79"/>
    <n v="0.28999999999999998"/>
    <n v="7.75"/>
    <n v="60.0625"/>
    <x v="2"/>
    <s v="devon17RB"/>
    <n v="5"/>
    <s v="devon17RB-5"/>
  </r>
  <r>
    <x v="1"/>
    <x v="139"/>
    <s v="1.70-14.38"/>
    <n v="8.0399999999999991"/>
    <s v="#32"/>
    <x v="1"/>
    <n v="14.38"/>
    <n v="1.7"/>
    <n v="6.34"/>
    <n v="40.195599999999999"/>
    <x v="6"/>
    <s v="lucas16RB"/>
    <n v="2"/>
    <s v="lucas16RB-2"/>
  </r>
  <r>
    <x v="10"/>
    <x v="105"/>
    <s v="2.30-13.78"/>
    <n v="8.0399999999999991"/>
    <s v="#27"/>
    <x v="1"/>
    <n v="13.78"/>
    <n v="2.2999999999999998"/>
    <n v="5.74"/>
    <n v="32.947600000000001"/>
    <x v="3"/>
    <s v="chad2RB"/>
    <n v="3"/>
    <s v="chad2RB-3"/>
  </r>
  <r>
    <x v="13"/>
    <x v="94"/>
    <s v="2.31-13.77"/>
    <n v="8.0399999999999991"/>
    <s v="#11"/>
    <x v="2"/>
    <n v="13.77"/>
    <n v="2.31"/>
    <n v="5.73"/>
    <n v="32.832900000000002"/>
    <x v="3"/>
    <s v="chad8WR"/>
    <n v="2"/>
    <s v="chad8WR-2"/>
  </r>
  <r>
    <x v="16"/>
    <x v="106"/>
    <s v="0.40-15.66"/>
    <n v="8.0299999999999994"/>
    <s v="#3"/>
    <x v="2"/>
    <n v="15.66"/>
    <n v="0.4"/>
    <n v="7.63"/>
    <n v="58.216900000000003"/>
    <x v="0"/>
    <s v="matty3WR"/>
    <n v="3"/>
    <s v="matty3WR-3"/>
  </r>
  <r>
    <x v="6"/>
    <x v="85"/>
    <s v="3.79-12.27"/>
    <n v="8.0299999999999994"/>
    <s v="#4"/>
    <x v="1"/>
    <n v="12.27"/>
    <n v="3.79"/>
    <n v="4.24"/>
    <n v="17.977599999999999"/>
    <x v="5"/>
    <s v="cory12RB"/>
    <n v="4"/>
    <s v="cory12RB-4"/>
  </r>
  <r>
    <x v="4"/>
    <x v="126"/>
    <s v="0.99-15.07"/>
    <n v="8.0299999999999994"/>
    <s v="#5"/>
    <x v="2"/>
    <n v="15.07"/>
    <n v="0.99"/>
    <n v="7.04"/>
    <n v="49.561599999999999"/>
    <x v="3"/>
    <s v="chad7WR"/>
    <n v="5"/>
    <s v="chad7WR-5"/>
  </r>
  <r>
    <x v="13"/>
    <x v="97"/>
    <s v="2.62-13.44"/>
    <n v="8.0299999999999994"/>
    <s v="#5"/>
    <x v="2"/>
    <n v="13.44"/>
    <n v="2.62"/>
    <n v="5.41"/>
    <n v="29.2681"/>
    <x v="6"/>
    <s v="lucas8WR"/>
    <n v="2"/>
    <s v="lucas8WR-2"/>
  </r>
  <r>
    <x v="14"/>
    <x v="92"/>
    <s v="3.08-12.96"/>
    <n v="8.02"/>
    <s v="#26"/>
    <x v="2"/>
    <n v="12.96"/>
    <n v="3.08"/>
    <n v="4.9400000000000004"/>
    <n v="24.403600000000001"/>
    <x v="6"/>
    <s v="lucas4WR"/>
    <n v="2"/>
    <s v="lucas4WR-2"/>
  </r>
  <r>
    <x v="8"/>
    <x v="101"/>
    <s v="2.63-13.41"/>
    <n v="8.02"/>
    <s v="#10"/>
    <x v="2"/>
    <n v="13.41"/>
    <n v="2.63"/>
    <n v="5.39"/>
    <n v="29.052099999999999"/>
    <x v="8"/>
    <s v="comp6WR"/>
    <n v="4"/>
    <s v="comp6WR-4"/>
  </r>
  <r>
    <x v="0"/>
    <x v="110"/>
    <s v="1.36-14.68"/>
    <n v="8.02"/>
    <s v="#21"/>
    <x v="1"/>
    <n v="14.68"/>
    <n v="1.36"/>
    <n v="6.66"/>
    <n v="44.355600000000003"/>
    <x v="10"/>
    <s v="aj17RB"/>
    <n v="5"/>
    <s v="aj17RB-5"/>
  </r>
  <r>
    <x v="9"/>
    <x v="117"/>
    <s v="3.06-12.98"/>
    <n v="8.02"/>
    <s v="#20"/>
    <x v="2"/>
    <n v="12.98"/>
    <n v="3.06"/>
    <n v="4.96"/>
    <n v="24.601600000000001"/>
    <x v="4"/>
    <s v="scott15WR"/>
    <n v="3"/>
    <s v="scott15WR-3"/>
  </r>
  <r>
    <x v="14"/>
    <x v="140"/>
    <s v="2.23-13.81"/>
    <n v="8.02"/>
    <s v="#13"/>
    <x v="2"/>
    <n v="13.81"/>
    <n v="2.23"/>
    <n v="5.79"/>
    <n v="33.524099999999997"/>
    <x v="7"/>
    <s v="NA4WR"/>
    <n v="1"/>
    <s v="NA4WR-1"/>
  </r>
  <r>
    <x v="9"/>
    <x v="104"/>
    <s v="2.32-13.70"/>
    <n v="8.01"/>
    <s v="#10"/>
    <x v="2"/>
    <n v="13.7"/>
    <n v="2.3199999999999998"/>
    <n v="5.69"/>
    <n v="32.376100000000001"/>
    <x v="2"/>
    <s v="devon15WR"/>
    <n v="4"/>
    <s v="devon15WR-4"/>
  </r>
  <r>
    <x v="15"/>
    <x v="136"/>
    <s v="2.73-13.29"/>
    <n v="8.01"/>
    <s v="#11"/>
    <x v="1"/>
    <n v="13.29"/>
    <n v="2.73"/>
    <n v="5.28"/>
    <n v="27.878399999999999"/>
    <x v="5"/>
    <s v="cory10RB"/>
    <n v="4"/>
    <s v="cory10RB-4"/>
  </r>
  <r>
    <x v="8"/>
    <x v="111"/>
    <s v="2.35-13.65"/>
    <n v="8"/>
    <s v="#8"/>
    <x v="2"/>
    <n v="13.65"/>
    <n v="2.35"/>
    <n v="5.65"/>
    <n v="31.922499999999999"/>
    <x v="9"/>
    <s v="seth6WR"/>
    <n v="4"/>
    <s v="seth6WR-4"/>
  </r>
  <r>
    <x v="14"/>
    <x v="110"/>
    <s v="1.66-14.34"/>
    <n v="8"/>
    <s v="#23"/>
    <x v="1"/>
    <n v="14.34"/>
    <n v="1.66"/>
    <n v="6.34"/>
    <n v="40.195599999999999"/>
    <x v="10"/>
    <s v="aj4RB"/>
    <n v="3"/>
    <s v="aj4RB-3"/>
  </r>
  <r>
    <x v="5"/>
    <x v="105"/>
    <s v="3.27-12.71"/>
    <n v="7.99"/>
    <s v="#4"/>
    <x v="1"/>
    <n v="12.71"/>
    <n v="3.27"/>
    <n v="4.72"/>
    <n v="22.278400000000001"/>
    <x v="3"/>
    <s v="chad13RB"/>
    <n v="3"/>
    <s v="chad13RB-3"/>
  </r>
  <r>
    <x v="9"/>
    <x v="110"/>
    <s v="2.02-13.96"/>
    <n v="7.99"/>
    <s v="#11"/>
    <x v="1"/>
    <n v="13.96"/>
    <n v="2.02"/>
    <n v="5.97"/>
    <n v="35.640900000000002"/>
    <x v="10"/>
    <s v="aj15RB"/>
    <n v="5"/>
    <s v="aj15RB-5"/>
  </r>
  <r>
    <x v="11"/>
    <x v="91"/>
    <s v="2.40-13.58"/>
    <n v="7.99"/>
    <s v="#16"/>
    <x v="1"/>
    <n v="13.58"/>
    <n v="2.4"/>
    <n v="5.59"/>
    <n v="31.248100000000001"/>
    <x v="1"/>
    <s v="perry14RB"/>
    <n v="3"/>
    <s v="perry14RB-3"/>
  </r>
  <r>
    <x v="0"/>
    <x v="99"/>
    <s v="1.36-14.62"/>
    <n v="7.99"/>
    <s v="#3"/>
    <x v="2"/>
    <n v="14.62"/>
    <n v="1.36"/>
    <n v="6.63"/>
    <n v="43.956899999999997"/>
    <x v="1"/>
    <s v="perry17WR"/>
    <n v="3"/>
    <s v="perry17WR-3"/>
  </r>
  <r>
    <x v="13"/>
    <x v="121"/>
    <s v="1.49-14.47"/>
    <n v="7.98"/>
    <s v="#15"/>
    <x v="2"/>
    <n v="14.47"/>
    <n v="1.49"/>
    <n v="6.49"/>
    <n v="42.120100000000001"/>
    <x v="3"/>
    <s v="chad8WR"/>
    <n v="3"/>
    <s v="chad8WR-3"/>
  </r>
  <r>
    <x v="10"/>
    <x v="139"/>
    <s v="0.53-15.43"/>
    <n v="7.98"/>
    <s v="#5"/>
    <x v="1"/>
    <n v="15.43"/>
    <n v="0.53"/>
    <n v="7.45"/>
    <n v="55.502499999999998"/>
    <x v="6"/>
    <s v="lucas2RB"/>
    <n v="5"/>
    <s v="lucas2RB-5"/>
  </r>
  <r>
    <x v="14"/>
    <x v="125"/>
    <s v="1.70-14.24"/>
    <n v="7.97"/>
    <s v="#11"/>
    <x v="3"/>
    <n v="14.24"/>
    <n v="1.7"/>
    <n v="6.27"/>
    <n v="39.312899999999999"/>
    <x v="9"/>
    <s v="seth4TE"/>
    <n v="1"/>
    <s v="seth4TE-1"/>
  </r>
  <r>
    <x v="1"/>
    <x v="109"/>
    <s v="2.07-13.85"/>
    <n v="7.96"/>
    <s v="#18"/>
    <x v="2"/>
    <n v="13.85"/>
    <n v="2.0699999999999998"/>
    <n v="5.89"/>
    <n v="34.692100000000003"/>
    <x v="6"/>
    <s v="lucas16WR"/>
    <n v="3"/>
    <s v="lucas16WR-3"/>
  </r>
  <r>
    <x v="1"/>
    <x v="136"/>
    <s v="2.95-12.97"/>
    <n v="7.96"/>
    <s v="#21"/>
    <x v="1"/>
    <n v="12.97"/>
    <n v="2.95"/>
    <n v="5.01"/>
    <n v="25.100100000000001"/>
    <x v="5"/>
    <s v="cory16RB"/>
    <n v="4"/>
    <s v="cory16RB-4"/>
  </r>
  <r>
    <x v="4"/>
    <x v="108"/>
    <s v="1.71-14.21"/>
    <n v="7.96"/>
    <s v="#13"/>
    <x v="1"/>
    <n v="14.21"/>
    <n v="1.71"/>
    <n v="6.25"/>
    <n v="39.0625"/>
    <x v="1"/>
    <s v="perry7RB"/>
    <n v="3"/>
    <s v="perry7RB-3"/>
  </r>
  <r>
    <x v="15"/>
    <x v="117"/>
    <s v="2.28-13.64"/>
    <n v="7.96"/>
    <s v="#13"/>
    <x v="2"/>
    <n v="13.64"/>
    <n v="2.2799999999999998"/>
    <n v="5.68"/>
    <n v="32.2624"/>
    <x v="4"/>
    <s v="scott10WR"/>
    <n v="2"/>
    <s v="scott10WR-2"/>
  </r>
  <r>
    <x v="3"/>
    <x v="141"/>
    <s v="2.62-13.30"/>
    <n v="7.96"/>
    <s v="#31"/>
    <x v="2"/>
    <n v="13.3"/>
    <n v="2.62"/>
    <n v="5.34"/>
    <n v="28.515599999999999"/>
    <x v="5"/>
    <s v="cory11WR"/>
    <n v="4"/>
    <s v="cory11WR-4"/>
  </r>
  <r>
    <x v="5"/>
    <x v="118"/>
    <s v="3.88-12.04"/>
    <n v="7.96"/>
    <s v="#16"/>
    <x v="2"/>
    <n v="12.04"/>
    <n v="3.88"/>
    <n v="4.08"/>
    <n v="16.6464"/>
    <x v="5"/>
    <s v="cory13WR"/>
    <n v="4"/>
    <s v="cory13WR-4"/>
  </r>
  <r>
    <x v="13"/>
    <x v="112"/>
    <s v="1.77-14.13"/>
    <n v="7.95"/>
    <s v="#1"/>
    <x v="2"/>
    <n v="14.13"/>
    <n v="1.77"/>
    <n v="6.18"/>
    <n v="38.192399999999999"/>
    <x v="3"/>
    <s v="chad8WR"/>
    <n v="4"/>
    <s v="chad8WR-4"/>
  </r>
  <r>
    <x v="13"/>
    <x v="130"/>
    <s v="0.51-15.39"/>
    <n v="7.95"/>
    <s v="#22"/>
    <x v="3"/>
    <n v="15.39"/>
    <n v="0.51"/>
    <n v="7.44"/>
    <n v="55.3536"/>
    <x v="0"/>
    <s v="matty8TE"/>
    <n v="1"/>
    <s v="matty8TE-1"/>
  </r>
  <r>
    <x v="5"/>
    <x v="119"/>
    <s v="2.37-13.53"/>
    <n v="7.95"/>
    <s v="#7"/>
    <x v="1"/>
    <n v="13.53"/>
    <n v="2.37"/>
    <n v="5.58"/>
    <n v="31.136399999999998"/>
    <x v="2"/>
    <s v="devon13RB"/>
    <n v="4"/>
    <s v="devon13RB-4"/>
  </r>
  <r>
    <x v="12"/>
    <x v="108"/>
    <s v="0.96-14.94"/>
    <n v="7.95"/>
    <s v="#4"/>
    <x v="1"/>
    <n v="14.94"/>
    <n v="0.96"/>
    <n v="6.99"/>
    <n v="48.860100000000003"/>
    <x v="1"/>
    <s v="perry5RB"/>
    <n v="3"/>
    <s v="perry5RB-3"/>
  </r>
  <r>
    <x v="1"/>
    <x v="123"/>
    <s v="1.22-14.66"/>
    <n v="7.94"/>
    <s v="#26"/>
    <x v="2"/>
    <n v="14.66"/>
    <n v="1.22"/>
    <n v="6.72"/>
    <n v="45.1584"/>
    <x v="4"/>
    <s v="scott16WR"/>
    <n v="3"/>
    <s v="scott16WR-3"/>
  </r>
  <r>
    <x v="0"/>
    <x v="81"/>
    <s v="3.06-12.82"/>
    <n v="7.94"/>
    <s v="#12"/>
    <x v="3"/>
    <n v="12.82"/>
    <n v="3.06"/>
    <n v="4.88"/>
    <n v="23.814399999999999"/>
    <x v="1"/>
    <s v="perry17TE"/>
    <n v="1"/>
    <s v="perry17TE-1"/>
  </r>
  <r>
    <x v="4"/>
    <x v="107"/>
    <s v="2.67-13.19"/>
    <n v="7.93"/>
    <s v="#13"/>
    <x v="2"/>
    <n v="13.19"/>
    <n v="2.67"/>
    <n v="5.26"/>
    <n v="27.6676"/>
    <x v="2"/>
    <s v="devon7WR"/>
    <n v="4"/>
    <s v="devon7WR-4"/>
  </r>
  <r>
    <x v="5"/>
    <x v="82"/>
    <s v="1.88-13.98"/>
    <n v="7.93"/>
    <s v="#4"/>
    <x v="1"/>
    <n v="13.98"/>
    <n v="1.88"/>
    <n v="6.05"/>
    <n v="36.602499999999999"/>
    <x v="9"/>
    <s v="seth13RB"/>
    <n v="2"/>
    <s v="seth13RB-2"/>
  </r>
  <r>
    <x v="6"/>
    <x v="96"/>
    <s v="2.24-13.62"/>
    <n v="7.93"/>
    <s v="#7"/>
    <x v="2"/>
    <n v="13.62"/>
    <n v="2.2400000000000002"/>
    <n v="5.69"/>
    <n v="32.376100000000001"/>
    <x v="3"/>
    <s v="chad12WR"/>
    <n v="6"/>
    <s v="chad12WR-6"/>
  </r>
  <r>
    <x v="10"/>
    <x v="142"/>
    <s v="1.97-13.89"/>
    <n v="7.93"/>
    <s v="#12"/>
    <x v="1"/>
    <n v="13.89"/>
    <n v="1.97"/>
    <n v="5.96"/>
    <n v="35.521599999999999"/>
    <x v="7"/>
    <s v="NA2RB"/>
    <n v="2"/>
    <s v="NA2RB-2"/>
  </r>
  <r>
    <x v="2"/>
    <x v="109"/>
    <s v="2.16-13.68"/>
    <n v="7.92"/>
    <s v="#11"/>
    <x v="2"/>
    <n v="13.68"/>
    <n v="2.16"/>
    <n v="5.76"/>
    <n v="33.177599999999998"/>
    <x v="6"/>
    <s v="lucas9WR"/>
    <n v="3"/>
    <s v="lucas9WR-3"/>
  </r>
  <r>
    <x v="12"/>
    <x v="107"/>
    <s v="3.04-12.80"/>
    <n v="7.92"/>
    <s v="#4"/>
    <x v="2"/>
    <n v="12.8"/>
    <n v="3.04"/>
    <n v="4.88"/>
    <n v="23.814399999999999"/>
    <x v="2"/>
    <s v="devon5WR"/>
    <n v="4"/>
    <s v="devon5WR-4"/>
  </r>
  <r>
    <x v="16"/>
    <x v="127"/>
    <s v="2.46-13.38"/>
    <n v="7.92"/>
    <s v="#12"/>
    <x v="2"/>
    <n v="13.38"/>
    <n v="2.46"/>
    <n v="5.46"/>
    <n v="29.811599999999999"/>
    <x v="9"/>
    <s v="seth3WR"/>
    <n v="4"/>
    <s v="seth3WR-4"/>
  </r>
  <r>
    <x v="3"/>
    <x v="109"/>
    <s v="2.08-13.74"/>
    <n v="7.91"/>
    <s v="#26"/>
    <x v="2"/>
    <n v="13.74"/>
    <n v="2.08"/>
    <n v="5.83"/>
    <n v="33.988900000000001"/>
    <x v="6"/>
    <s v="lucas11WR"/>
    <n v="2"/>
    <s v="lucas11WR-2"/>
  </r>
  <r>
    <x v="13"/>
    <x v="143"/>
    <s v="1.90-13.92"/>
    <n v="7.91"/>
    <s v="#10"/>
    <x v="2"/>
    <n v="13.92"/>
    <n v="1.9"/>
    <n v="6.01"/>
    <n v="36.120100000000001"/>
    <x v="0"/>
    <s v="matty8WR"/>
    <n v="4"/>
    <s v="matty8WR-4"/>
  </r>
  <r>
    <x v="7"/>
    <x v="112"/>
    <s v="2.40-13.40"/>
    <n v="7.9"/>
    <s v="#23"/>
    <x v="2"/>
    <n v="13.4"/>
    <n v="2.4"/>
    <n v="5.5"/>
    <n v="30.25"/>
    <x v="3"/>
    <s v="chad1WR"/>
    <n v="3"/>
    <s v="chad1WR-3"/>
  </r>
  <r>
    <x v="13"/>
    <x v="56"/>
    <s v="2.34-13.46"/>
    <n v="7.9"/>
    <s v="#2"/>
    <x v="1"/>
    <n v="13.46"/>
    <n v="2.34"/>
    <n v="5.56"/>
    <n v="30.913599999999999"/>
    <x v="10"/>
    <s v="aj8RB"/>
    <n v="3"/>
    <s v="aj8RB-3"/>
  </r>
  <r>
    <x v="11"/>
    <x v="114"/>
    <s v="2.75-13.05"/>
    <n v="7.9"/>
    <s v="#15"/>
    <x v="3"/>
    <n v="13.05"/>
    <n v="2.75"/>
    <n v="5.15"/>
    <n v="26.522500000000001"/>
    <x v="3"/>
    <s v="chad14TE"/>
    <n v="1"/>
    <s v="chad14TE-1"/>
  </r>
  <r>
    <x v="1"/>
    <x v="111"/>
    <s v="2.24-13.56"/>
    <n v="7.9"/>
    <s v="#16"/>
    <x v="2"/>
    <n v="13.56"/>
    <n v="2.2400000000000002"/>
    <n v="5.66"/>
    <n v="32.035600000000002"/>
    <x v="9"/>
    <s v="seth16WR"/>
    <n v="4"/>
    <s v="seth16WR-4"/>
  </r>
  <r>
    <x v="1"/>
    <x v="91"/>
    <s v="2.20-13.60"/>
    <n v="7.9"/>
    <s v="#5"/>
    <x v="1"/>
    <n v="13.6"/>
    <n v="2.2000000000000002"/>
    <n v="5.7"/>
    <n v="32.49"/>
    <x v="1"/>
    <s v="perry16RB"/>
    <n v="3"/>
    <s v="perry16RB-3"/>
  </r>
  <r>
    <x v="2"/>
    <x v="95"/>
    <s v="1.40-14.38"/>
    <n v="7.89"/>
    <s v="#15"/>
    <x v="1"/>
    <n v="14.38"/>
    <n v="1.4"/>
    <n v="6.49"/>
    <n v="42.120100000000001"/>
    <x v="9"/>
    <s v="seth9RB"/>
    <n v="2"/>
    <s v="seth9RB-2"/>
  </r>
  <r>
    <x v="11"/>
    <x v="105"/>
    <s v="2.40-13.38"/>
    <n v="7.89"/>
    <s v="#3"/>
    <x v="1"/>
    <n v="13.38"/>
    <n v="2.4"/>
    <n v="5.49"/>
    <n v="30.1401"/>
    <x v="3"/>
    <s v="chad14RB"/>
    <n v="3"/>
    <s v="chad14RB-3"/>
  </r>
  <r>
    <x v="13"/>
    <x v="114"/>
    <s v="2.74-13.04"/>
    <n v="7.89"/>
    <s v="#9"/>
    <x v="3"/>
    <n v="13.04"/>
    <n v="2.74"/>
    <n v="5.15"/>
    <n v="26.522500000000001"/>
    <x v="3"/>
    <s v="chad8TE"/>
    <n v="1"/>
    <s v="chad8TE-1"/>
  </r>
  <r>
    <x v="7"/>
    <x v="125"/>
    <s v="2.40-13.38"/>
    <n v="7.89"/>
    <s v="#5"/>
    <x v="3"/>
    <n v="13.38"/>
    <n v="2.4"/>
    <n v="5.49"/>
    <n v="30.1401"/>
    <x v="9"/>
    <s v="seth1TE"/>
    <n v="1"/>
    <s v="seth1TE-1"/>
  </r>
  <r>
    <x v="8"/>
    <x v="99"/>
    <s v="2.06-13.72"/>
    <n v="7.89"/>
    <s v="#11"/>
    <x v="2"/>
    <n v="13.72"/>
    <n v="2.06"/>
    <n v="5.83"/>
    <n v="33.988900000000001"/>
    <x v="1"/>
    <s v="perry6WR"/>
    <n v="3"/>
    <s v="perry6WR-3"/>
  </r>
  <r>
    <x v="9"/>
    <x v="112"/>
    <s v="2.71-13.03"/>
    <n v="7.87"/>
    <s v="#30"/>
    <x v="2"/>
    <n v="13.03"/>
    <n v="2.71"/>
    <n v="5.16"/>
    <n v="26.625599999999999"/>
    <x v="3"/>
    <s v="chad15WR"/>
    <n v="4"/>
    <s v="chad15WR-4"/>
  </r>
  <r>
    <x v="5"/>
    <x v="121"/>
    <s v="0.87-14.85"/>
    <n v="7.86"/>
    <s v="#27"/>
    <x v="2"/>
    <n v="14.85"/>
    <n v="0.87"/>
    <n v="6.99"/>
    <n v="48.860100000000003"/>
    <x v="3"/>
    <s v="chad13WR"/>
    <n v="6"/>
    <s v="chad13WR-6"/>
  </r>
  <r>
    <x v="8"/>
    <x v="82"/>
    <s v="2.36-13.36"/>
    <n v="7.86"/>
    <s v="#1"/>
    <x v="1"/>
    <n v="13.36"/>
    <n v="2.36"/>
    <n v="5.5"/>
    <n v="30.25"/>
    <x v="9"/>
    <s v="seth6RB"/>
    <n v="2"/>
    <s v="seth6RB-2"/>
  </r>
  <r>
    <x v="3"/>
    <x v="124"/>
    <s v="2.09-13.61"/>
    <n v="7.85"/>
    <s v="#23"/>
    <x v="2"/>
    <n v="13.61"/>
    <n v="2.09"/>
    <n v="5.76"/>
    <n v="33.177599999999998"/>
    <x v="8"/>
    <s v="comp11WR"/>
    <n v="4"/>
    <s v="comp11WR-4"/>
  </r>
  <r>
    <x v="9"/>
    <x v="91"/>
    <s v="2.28-13.42"/>
    <n v="7.85"/>
    <s v="#8"/>
    <x v="1"/>
    <n v="13.42"/>
    <n v="2.2799999999999998"/>
    <n v="5.57"/>
    <n v="31.024899999999999"/>
    <x v="1"/>
    <s v="perry15RB"/>
    <n v="2"/>
    <s v="perry15RB-2"/>
  </r>
  <r>
    <x v="8"/>
    <x v="116"/>
    <s v="1.48-14.22"/>
    <n v="7.85"/>
    <s v="#14"/>
    <x v="2"/>
    <n v="14.22"/>
    <n v="1.48"/>
    <n v="6.37"/>
    <n v="40.576900000000002"/>
    <x v="10"/>
    <s v="aj6WR"/>
    <n v="5"/>
    <s v="aj6WR-5"/>
  </r>
  <r>
    <x v="8"/>
    <x v="112"/>
    <s v="3.90-11.78"/>
    <n v="7.84"/>
    <s v="#12"/>
    <x v="2"/>
    <n v="11.78"/>
    <n v="3.9"/>
    <n v="3.94"/>
    <n v="15.5236"/>
    <x v="3"/>
    <s v="chad6WR"/>
    <n v="5"/>
    <s v="chad6WR-5"/>
  </r>
  <r>
    <x v="16"/>
    <x v="120"/>
    <s v="1.65-14.03"/>
    <n v="7.84"/>
    <s v="#25"/>
    <x v="2"/>
    <n v="14.03"/>
    <n v="1.65"/>
    <n v="6.19"/>
    <n v="38.316099999999999"/>
    <x v="8"/>
    <s v="comp3WR"/>
    <n v="5"/>
    <s v="comp3WR-5"/>
  </r>
  <r>
    <x v="6"/>
    <x v="144"/>
    <s v="2.79-12.89"/>
    <n v="7.84"/>
    <s v="#17"/>
    <x v="2"/>
    <n v="12.89"/>
    <n v="2.79"/>
    <n v="5.05"/>
    <n v="25.502500000000001"/>
    <x v="7"/>
    <s v="NA12WR"/>
    <n v="1"/>
    <s v="NA12WR-1"/>
  </r>
  <r>
    <x v="14"/>
    <x v="96"/>
    <n v="-17.84"/>
    <n v="7.83"/>
    <s v="#13"/>
    <x v="2"/>
    <n v="16.75"/>
    <n v="-1.0900000000000001"/>
    <n v="8.92"/>
    <n v="79.566400000000002"/>
    <x v="3"/>
    <s v="chad4WR"/>
    <n v="2"/>
    <s v="chad4WR-2"/>
  </r>
  <r>
    <x v="7"/>
    <x v="116"/>
    <s v="2.77-12.89"/>
    <n v="7.83"/>
    <s v="#11"/>
    <x v="2"/>
    <n v="12.89"/>
    <n v="2.77"/>
    <n v="5.0599999999999996"/>
    <n v="25.6036"/>
    <x v="10"/>
    <s v="aj1WR"/>
    <n v="5"/>
    <s v="aj1WR-5"/>
  </r>
  <r>
    <x v="1"/>
    <x v="99"/>
    <s v="1.67-13.99"/>
    <n v="7.83"/>
    <s v="#6"/>
    <x v="2"/>
    <n v="13.99"/>
    <n v="1.67"/>
    <n v="6.16"/>
    <n v="37.945599999999999"/>
    <x v="1"/>
    <s v="perry16WR"/>
    <n v="3"/>
    <s v="perry16WR-3"/>
  </r>
  <r>
    <x v="8"/>
    <x v="109"/>
    <s v="2.22-13.42"/>
    <n v="7.82"/>
    <s v="#24"/>
    <x v="2"/>
    <n v="13.42"/>
    <n v="2.2200000000000002"/>
    <n v="5.6"/>
    <n v="31.36"/>
    <x v="6"/>
    <s v="lucas6WR"/>
    <n v="3"/>
    <s v="lucas6WR-3"/>
  </r>
  <r>
    <x v="4"/>
    <x v="115"/>
    <s v="2.34-13.30"/>
    <n v="7.82"/>
    <s v="#16"/>
    <x v="2"/>
    <n v="13.3"/>
    <n v="2.34"/>
    <n v="5.48"/>
    <n v="30.0304"/>
    <x v="9"/>
    <s v="seth7WR"/>
    <n v="3"/>
    <s v="seth7WR-3"/>
  </r>
  <r>
    <x v="8"/>
    <x v="91"/>
    <s v="2.04-13.60"/>
    <n v="7.82"/>
    <s v="#21"/>
    <x v="1"/>
    <n v="13.6"/>
    <n v="2.04"/>
    <n v="5.78"/>
    <n v="33.4084"/>
    <x v="1"/>
    <s v="perry6RB"/>
    <n v="3"/>
    <s v="perry6RB-3"/>
  </r>
  <r>
    <x v="12"/>
    <x v="116"/>
    <s v="1.77-13.85"/>
    <n v="7.81"/>
    <s v="#2"/>
    <x v="2"/>
    <n v="13.85"/>
    <n v="1.77"/>
    <n v="6.04"/>
    <n v="36.4816"/>
    <x v="10"/>
    <s v="aj5WR"/>
    <n v="3"/>
    <s v="aj5WR-3"/>
  </r>
  <r>
    <x v="10"/>
    <x v="97"/>
    <s v="1.77-13.85"/>
    <n v="7.81"/>
    <s v="#24"/>
    <x v="2"/>
    <n v="13.85"/>
    <n v="1.77"/>
    <n v="6.04"/>
    <n v="36.4816"/>
    <x v="6"/>
    <s v="lucas2WR"/>
    <n v="2"/>
    <s v="lucas2WR-2"/>
  </r>
  <r>
    <x v="7"/>
    <x v="139"/>
    <s v="2.63-12.95"/>
    <n v="7.79"/>
    <s v="#16"/>
    <x v="1"/>
    <n v="12.95"/>
    <n v="2.63"/>
    <n v="5.16"/>
    <n v="26.625599999999999"/>
    <x v="6"/>
    <s v="lucas1RB"/>
    <n v="3"/>
    <s v="lucas1RB-3"/>
  </r>
  <r>
    <x v="2"/>
    <x v="134"/>
    <s v="3.23-12.35"/>
    <n v="7.79"/>
    <s v="#15"/>
    <x v="1"/>
    <n v="12.35"/>
    <n v="3.23"/>
    <n v="4.5599999999999996"/>
    <n v="20.793600000000001"/>
    <x v="3"/>
    <s v="chad9RB"/>
    <n v="4"/>
    <s v="chad9RB-4"/>
  </r>
  <r>
    <x v="10"/>
    <x v="133"/>
    <s v="3.40-12.18"/>
    <n v="7.79"/>
    <s v="#25"/>
    <x v="1"/>
    <n v="12.18"/>
    <n v="3.4"/>
    <n v="4.3899999999999997"/>
    <n v="19.272099999999998"/>
    <x v="8"/>
    <s v="comp2RB"/>
    <n v="3"/>
    <s v="comp2RB-3"/>
  </r>
  <r>
    <x v="8"/>
    <x v="124"/>
    <s v="2.04-13.52"/>
    <n v="7.78"/>
    <s v="#31"/>
    <x v="2"/>
    <n v="13.52"/>
    <n v="2.04"/>
    <n v="5.74"/>
    <n v="32.947600000000001"/>
    <x v="8"/>
    <s v="comp6WR"/>
    <n v="5"/>
    <s v="comp6WR-5"/>
  </r>
  <r>
    <x v="4"/>
    <x v="101"/>
    <s v="2.91-12.63"/>
    <n v="7.77"/>
    <s v="#13"/>
    <x v="2"/>
    <n v="12.63"/>
    <n v="2.91"/>
    <n v="4.8600000000000003"/>
    <n v="23.619599999999998"/>
    <x v="8"/>
    <s v="comp7WR"/>
    <n v="3"/>
    <s v="comp7WR-3"/>
  </r>
  <r>
    <x v="5"/>
    <x v="133"/>
    <s v="1.37-14.17"/>
    <n v="7.77"/>
    <s v="#19"/>
    <x v="1"/>
    <n v="14.17"/>
    <n v="1.37"/>
    <n v="6.4"/>
    <n v="40.96"/>
    <x v="8"/>
    <s v="comp13RB"/>
    <n v="2"/>
    <s v="comp13RB-2"/>
  </r>
  <r>
    <x v="13"/>
    <x v="109"/>
    <s v="2.01-13.51"/>
    <n v="7.76"/>
    <s v="#4"/>
    <x v="2"/>
    <n v="13.51"/>
    <n v="2.0099999999999998"/>
    <n v="5.75"/>
    <n v="33.0625"/>
    <x v="6"/>
    <s v="lucas8WR"/>
    <n v="3"/>
    <s v="lucas8WR-3"/>
  </r>
  <r>
    <x v="8"/>
    <x v="105"/>
    <s v="2.19-13.33"/>
    <n v="7.76"/>
    <s v="#1"/>
    <x v="1"/>
    <n v="13.33"/>
    <n v="2.19"/>
    <n v="5.57"/>
    <n v="31.024899999999999"/>
    <x v="3"/>
    <s v="chad6RB"/>
    <n v="3"/>
    <s v="chad6RB-3"/>
  </r>
  <r>
    <x v="7"/>
    <x v="85"/>
    <s v="2.17-13.35"/>
    <n v="7.76"/>
    <s v="#27"/>
    <x v="1"/>
    <n v="13.35"/>
    <n v="2.17"/>
    <n v="5.59"/>
    <n v="31.248100000000001"/>
    <x v="5"/>
    <s v="cory1RB"/>
    <n v="2"/>
    <s v="cory1RB-2"/>
  </r>
  <r>
    <x v="2"/>
    <x v="114"/>
    <s v="2.62-12.90"/>
    <n v="7.76"/>
    <s v="#18"/>
    <x v="3"/>
    <n v="12.9"/>
    <n v="2.62"/>
    <n v="5.14"/>
    <n v="26.419599999999999"/>
    <x v="3"/>
    <s v="chad9TE"/>
    <n v="1"/>
    <s v="chad9TE-1"/>
  </r>
  <r>
    <x v="0"/>
    <x v="83"/>
    <s v="3.33-12.19"/>
    <n v="7.76"/>
    <s v="#1"/>
    <x v="2"/>
    <n v="12.19"/>
    <n v="3.33"/>
    <n v="4.43"/>
    <n v="19.6249"/>
    <x v="5"/>
    <s v="cory17WR"/>
    <n v="3"/>
    <s v="cory17WR-3"/>
  </r>
  <r>
    <x v="5"/>
    <x v="78"/>
    <s v="3.26-12.24"/>
    <n v="7.75"/>
    <s v="#6"/>
    <x v="1"/>
    <n v="12.24"/>
    <n v="3.26"/>
    <n v="4.49"/>
    <n v="20.1601"/>
    <x v="8"/>
    <s v="comp13RB"/>
    <n v="3"/>
    <s v="comp13RB-3"/>
  </r>
  <r>
    <x v="12"/>
    <x v="124"/>
    <s v="2.21-13.29"/>
    <n v="7.75"/>
    <s v="#15"/>
    <x v="2"/>
    <n v="13.29"/>
    <n v="2.21"/>
    <n v="5.54"/>
    <n v="30.691600000000001"/>
    <x v="8"/>
    <s v="comp5WR"/>
    <n v="4"/>
    <s v="comp5WR-4"/>
  </r>
  <r>
    <x v="13"/>
    <x v="100"/>
    <s v="2.15-13.35"/>
    <n v="7.75"/>
    <s v="#22"/>
    <x v="1"/>
    <n v="13.35"/>
    <n v="2.15"/>
    <n v="5.6"/>
    <n v="31.36"/>
    <x v="6"/>
    <s v="lucas8RB"/>
    <n v="2"/>
    <s v="lucas8RB-2"/>
  </r>
  <r>
    <x v="11"/>
    <x v="143"/>
    <s v="2.13-13.37"/>
    <n v="7.75"/>
    <s v="#29"/>
    <x v="2"/>
    <n v="13.37"/>
    <n v="2.13"/>
    <n v="5.62"/>
    <n v="31.584399999999999"/>
    <x v="0"/>
    <s v="matty14WR"/>
    <n v="5"/>
    <s v="matty14WR-5"/>
  </r>
  <r>
    <x v="2"/>
    <x v="123"/>
    <s v="1.02-14.46"/>
    <n v="7.74"/>
    <s v="#26"/>
    <x v="2"/>
    <n v="14.46"/>
    <n v="1.02"/>
    <n v="6.72"/>
    <n v="45.1584"/>
    <x v="4"/>
    <s v="scott9WR"/>
    <n v="3"/>
    <s v="scott9WR-3"/>
  </r>
  <r>
    <x v="4"/>
    <x v="110"/>
    <s v="0.97-14.51"/>
    <n v="7.74"/>
    <s v="#24"/>
    <x v="1"/>
    <n v="14.51"/>
    <n v="0.97"/>
    <n v="6.77"/>
    <n v="45.832900000000002"/>
    <x v="10"/>
    <s v="aj7RB"/>
    <n v="4"/>
    <s v="aj7RB-4"/>
  </r>
  <r>
    <x v="10"/>
    <x v="112"/>
    <s v="2.22-13.24"/>
    <n v="7.73"/>
    <s v="#29"/>
    <x v="2"/>
    <n v="13.24"/>
    <n v="2.2200000000000002"/>
    <n v="5.51"/>
    <n v="30.360099999999999"/>
    <x v="3"/>
    <s v="chad2WR"/>
    <n v="2"/>
    <s v="chad2WR-2"/>
  </r>
  <r>
    <x v="3"/>
    <x v="127"/>
    <s v="1.90-13.56"/>
    <n v="7.73"/>
    <s v="#8"/>
    <x v="2"/>
    <n v="13.56"/>
    <n v="1.9"/>
    <n v="5.83"/>
    <n v="33.988900000000001"/>
    <x v="9"/>
    <s v="seth11WR"/>
    <n v="4"/>
    <s v="seth11WR-4"/>
  </r>
  <r>
    <x v="6"/>
    <x v="118"/>
    <s v="2.84-12.62"/>
    <n v="7.73"/>
    <s v="#2"/>
    <x v="2"/>
    <n v="12.62"/>
    <n v="2.84"/>
    <n v="4.8899999999999997"/>
    <n v="23.912099999999999"/>
    <x v="5"/>
    <s v="cory12WR"/>
    <n v="4"/>
    <s v="cory12WR-4"/>
  </r>
  <r>
    <x v="4"/>
    <x v="99"/>
    <s v="1.10-14.36"/>
    <n v="7.73"/>
    <s v="#3"/>
    <x v="2"/>
    <n v="14.36"/>
    <n v="1.1000000000000001"/>
    <n v="6.63"/>
    <n v="43.956899999999997"/>
    <x v="1"/>
    <s v="perry7WR"/>
    <n v="2"/>
    <s v="perry7WR-2"/>
  </r>
  <r>
    <x v="2"/>
    <x v="120"/>
    <s v="1.32-14.12"/>
    <n v="7.72"/>
    <s v="#4"/>
    <x v="2"/>
    <n v="14.12"/>
    <n v="1.32"/>
    <n v="6.4"/>
    <n v="40.96"/>
    <x v="8"/>
    <s v="comp9WR"/>
    <n v="4"/>
    <s v="comp9WR-4"/>
  </r>
  <r>
    <x v="14"/>
    <x v="109"/>
    <s v="2.60-12.80"/>
    <n v="7.7"/>
    <s v="#31"/>
    <x v="2"/>
    <n v="12.8"/>
    <n v="2.6"/>
    <n v="5.0999999999999996"/>
    <n v="26.01"/>
    <x v="6"/>
    <s v="lucas4WR"/>
    <n v="3"/>
    <s v="lucas4WR-3"/>
  </r>
  <r>
    <x v="5"/>
    <x v="143"/>
    <s v="1.16-14.22"/>
    <n v="7.69"/>
    <s v="#13"/>
    <x v="2"/>
    <n v="14.22"/>
    <n v="1.1599999999999999"/>
    <n v="6.53"/>
    <n v="42.640900000000002"/>
    <x v="0"/>
    <s v="matty13WR"/>
    <n v="5"/>
    <s v="matty13WR-5"/>
  </r>
  <r>
    <x v="15"/>
    <x v="114"/>
    <s v="3.26-12.12"/>
    <n v="7.69"/>
    <s v="#20"/>
    <x v="3"/>
    <n v="12.12"/>
    <n v="3.26"/>
    <n v="4.43"/>
    <n v="19.6249"/>
    <x v="3"/>
    <s v="chad10TE"/>
    <n v="1"/>
    <s v="chad10TE-1"/>
  </r>
  <r>
    <x v="3"/>
    <x v="134"/>
    <s v="3.02-12.36"/>
    <n v="7.69"/>
    <s v="#19"/>
    <x v="1"/>
    <n v="12.36"/>
    <n v="3.02"/>
    <n v="4.67"/>
    <n v="21.808900000000001"/>
    <x v="3"/>
    <s v="chad11RB"/>
    <n v="4"/>
    <s v="chad11RB-4"/>
  </r>
  <r>
    <x v="3"/>
    <x v="110"/>
    <s v="1.98-13.40"/>
    <n v="7.69"/>
    <s v="#7"/>
    <x v="1"/>
    <n v="13.4"/>
    <n v="1.98"/>
    <n v="5.71"/>
    <n v="32.604100000000003"/>
    <x v="10"/>
    <s v="aj11RB"/>
    <n v="3"/>
    <s v="aj11RB-3"/>
  </r>
  <r>
    <x v="10"/>
    <x v="69"/>
    <s v="2.59-12.79"/>
    <n v="7.69"/>
    <s v="#13"/>
    <x v="2"/>
    <n v="12.79"/>
    <n v="2.59"/>
    <n v="5.0999999999999996"/>
    <n v="26.01"/>
    <x v="0"/>
    <s v="matty2WR"/>
    <n v="4"/>
    <s v="matty2WR-4"/>
  </r>
  <r>
    <x v="9"/>
    <x v="74"/>
    <s v="1.59-13.79"/>
    <n v="7.69"/>
    <s v="#12"/>
    <x v="1"/>
    <n v="13.79"/>
    <n v="1.59"/>
    <n v="6.1"/>
    <n v="37.21"/>
    <x v="9"/>
    <s v="seth15RB"/>
    <n v="4"/>
    <s v="seth15RB-4"/>
  </r>
  <r>
    <x v="16"/>
    <x v="86"/>
    <s v="1.26-14.10"/>
    <n v="7.68"/>
    <s v="#12"/>
    <x v="1"/>
    <n v="14.1"/>
    <n v="1.26"/>
    <n v="6.42"/>
    <n v="41.2164"/>
    <x v="7"/>
    <s v="NA3RB"/>
    <n v="5"/>
    <s v="NA3RB-5"/>
  </r>
  <r>
    <x v="8"/>
    <x v="95"/>
    <s v="1.41-13.93"/>
    <n v="7.67"/>
    <s v="#14"/>
    <x v="1"/>
    <n v="13.93"/>
    <n v="1.41"/>
    <n v="6.26"/>
    <n v="39.187600000000003"/>
    <x v="9"/>
    <s v="seth6RB"/>
    <n v="3"/>
    <s v="seth6RB-3"/>
  </r>
  <r>
    <x v="11"/>
    <x v="82"/>
    <s v="2.05-13.29"/>
    <n v="7.67"/>
    <s v="#3"/>
    <x v="1"/>
    <n v="13.29"/>
    <n v="2.0499999999999998"/>
    <n v="5.62"/>
    <n v="31.584399999999999"/>
    <x v="9"/>
    <s v="seth14RB"/>
    <n v="2"/>
    <s v="seth14RB-2"/>
  </r>
  <r>
    <x v="14"/>
    <x v="131"/>
    <s v="0.74-14.60"/>
    <n v="7.67"/>
    <s v="#27"/>
    <x v="1"/>
    <n v="14.6"/>
    <n v="0.74"/>
    <n v="6.93"/>
    <n v="48.024900000000002"/>
    <x v="7"/>
    <s v="NA4RB"/>
    <n v="3"/>
    <s v="NA4RB-3"/>
  </r>
  <r>
    <x v="4"/>
    <x v="132"/>
    <s v="2.22-13.10"/>
    <n v="7.66"/>
    <s v="#10"/>
    <x v="1"/>
    <n v="13.1"/>
    <n v="2.2200000000000002"/>
    <n v="5.44"/>
    <n v="29.593599999999999"/>
    <x v="9"/>
    <s v="seth7RB"/>
    <n v="3"/>
    <s v="seth7RB-3"/>
  </r>
  <r>
    <x v="3"/>
    <x v="145"/>
    <s v="2.59-12.73"/>
    <n v="7.66"/>
    <s v="#31"/>
    <x v="3"/>
    <n v="12.73"/>
    <n v="2.59"/>
    <n v="5.07"/>
    <n v="25.704899999999999"/>
    <x v="2"/>
    <s v="devon11TE"/>
    <n v="1"/>
    <s v="devon11TE-1"/>
  </r>
  <r>
    <x v="0"/>
    <x v="109"/>
    <s v="1.82-13.48"/>
    <n v="7.65"/>
    <s v="#26"/>
    <x v="2"/>
    <n v="13.48"/>
    <n v="1.82"/>
    <n v="5.83"/>
    <n v="33.988900000000001"/>
    <x v="6"/>
    <s v="lucas17WR"/>
    <n v="3"/>
    <s v="lucas17WR-3"/>
  </r>
  <r>
    <x v="1"/>
    <x v="137"/>
    <s v="1.70-13.60"/>
    <n v="7.65"/>
    <s v="#30"/>
    <x v="1"/>
    <n v="13.6"/>
    <n v="1.7"/>
    <n v="5.95"/>
    <n v="35.402500000000003"/>
    <x v="2"/>
    <s v="devon16RB"/>
    <n v="4"/>
    <s v="devon16RB-4"/>
  </r>
  <r>
    <x v="13"/>
    <x v="116"/>
    <s v="2.73-12.57"/>
    <n v="7.65"/>
    <s v="#7"/>
    <x v="2"/>
    <n v="12.57"/>
    <n v="2.73"/>
    <n v="4.92"/>
    <n v="24.206399999999999"/>
    <x v="10"/>
    <s v="aj8WR"/>
    <n v="4"/>
    <s v="aj8WR-4"/>
  </r>
  <r>
    <x v="6"/>
    <x v="146"/>
    <s v="1.82-13.48"/>
    <n v="7.65"/>
    <s v="#27"/>
    <x v="2"/>
    <n v="13.48"/>
    <n v="1.82"/>
    <n v="5.83"/>
    <n v="33.988900000000001"/>
    <x v="7"/>
    <s v="NA12WR"/>
    <n v="2"/>
    <s v="NA12WR-2"/>
  </r>
  <r>
    <x v="6"/>
    <x v="124"/>
    <s v="1.57-13.71"/>
    <n v="7.64"/>
    <s v="#30"/>
    <x v="2"/>
    <n v="13.71"/>
    <n v="1.57"/>
    <n v="6.07"/>
    <n v="36.844900000000003"/>
    <x v="8"/>
    <s v="comp12WR"/>
    <n v="5"/>
    <s v="comp12WR-5"/>
  </r>
  <r>
    <x v="2"/>
    <x v="139"/>
    <s v="1.80-13.48"/>
    <n v="7.64"/>
    <s v="#20"/>
    <x v="1"/>
    <n v="13.48"/>
    <n v="1.8"/>
    <n v="5.84"/>
    <n v="34.105600000000003"/>
    <x v="6"/>
    <s v="lucas9RB"/>
    <n v="2"/>
    <s v="lucas9RB-2"/>
  </r>
  <r>
    <x v="6"/>
    <x v="101"/>
    <s v="2.57-12.71"/>
    <n v="7.64"/>
    <s v="#15"/>
    <x v="2"/>
    <n v="12.71"/>
    <n v="2.57"/>
    <n v="5.07"/>
    <n v="25.704899999999999"/>
    <x v="8"/>
    <s v="comp12WR"/>
    <n v="6"/>
    <s v="comp12WR-6"/>
  </r>
  <r>
    <x v="13"/>
    <x v="127"/>
    <s v="2.43-12.85"/>
    <n v="7.64"/>
    <s v="#10"/>
    <x v="2"/>
    <n v="12.85"/>
    <n v="2.4300000000000002"/>
    <n v="5.21"/>
    <n v="27.144100000000002"/>
    <x v="9"/>
    <s v="seth8WR"/>
    <n v="5"/>
    <s v="seth8WR-5"/>
  </r>
  <r>
    <x v="0"/>
    <x v="137"/>
    <s v="2.45-12.81"/>
    <n v="7.63"/>
    <s v="#19"/>
    <x v="1"/>
    <n v="12.81"/>
    <n v="2.4500000000000002"/>
    <n v="5.18"/>
    <n v="26.8324"/>
    <x v="2"/>
    <s v="devon17RB"/>
    <n v="6"/>
    <s v="devon17RB-6"/>
  </r>
  <r>
    <x v="0"/>
    <x v="112"/>
    <s v="2.46-12.78"/>
    <n v="7.62"/>
    <s v="#30"/>
    <x v="2"/>
    <n v="12.78"/>
    <n v="2.46"/>
    <n v="5.16"/>
    <n v="26.625599999999999"/>
    <x v="3"/>
    <s v="chad17WR"/>
    <n v="5"/>
    <s v="chad17WR-5"/>
  </r>
  <r>
    <x v="16"/>
    <x v="123"/>
    <s v="1.81-13.43"/>
    <n v="7.62"/>
    <s v="#17"/>
    <x v="2"/>
    <n v="13.43"/>
    <n v="1.81"/>
    <n v="5.81"/>
    <n v="33.756100000000004"/>
    <x v="4"/>
    <s v="scott3WR"/>
    <n v="3"/>
    <s v="scott3WR-3"/>
  </r>
  <r>
    <x v="5"/>
    <x v="136"/>
    <s v="2.50-12.72"/>
    <n v="7.61"/>
    <s v="#14"/>
    <x v="1"/>
    <n v="12.72"/>
    <n v="2.5"/>
    <n v="5.1100000000000003"/>
    <n v="26.112100000000002"/>
    <x v="5"/>
    <s v="cory13RB"/>
    <n v="3"/>
    <s v="cory13RB-3"/>
  </r>
  <r>
    <x v="7"/>
    <x v="106"/>
    <s v="0.65-14.57"/>
    <n v="7.61"/>
    <s v="#24"/>
    <x v="2"/>
    <n v="14.57"/>
    <n v="0.65"/>
    <n v="6.96"/>
    <n v="48.441600000000001"/>
    <x v="0"/>
    <s v="matty1WR"/>
    <n v="4"/>
    <s v="matty1WR-4"/>
  </r>
  <r>
    <x v="8"/>
    <x v="114"/>
    <s v="2.54-12.68"/>
    <n v="7.61"/>
    <s v="#8"/>
    <x v="3"/>
    <n v="12.68"/>
    <n v="2.54"/>
    <n v="5.07"/>
    <n v="25.704899999999999"/>
    <x v="3"/>
    <s v="chad6TE"/>
    <n v="1"/>
    <s v="chad6TE-1"/>
  </r>
  <r>
    <x v="11"/>
    <x v="137"/>
    <s v="2.22-13.00"/>
    <n v="7.61"/>
    <s v="#25"/>
    <x v="1"/>
    <n v="13"/>
    <n v="2.2200000000000002"/>
    <n v="5.39"/>
    <n v="29.052099999999999"/>
    <x v="2"/>
    <s v="devon14RB"/>
    <n v="5"/>
    <s v="devon14RB-5"/>
  </r>
  <r>
    <x v="1"/>
    <x v="141"/>
    <s v="2.40-12.80"/>
    <n v="7.6"/>
    <s v="#9"/>
    <x v="2"/>
    <n v="12.8"/>
    <n v="2.4"/>
    <n v="5.2"/>
    <n v="27.04"/>
    <x v="5"/>
    <s v="cory16WR"/>
    <n v="4"/>
    <s v="cory16WR-4"/>
  </r>
  <r>
    <x v="7"/>
    <x v="92"/>
    <s v="1.97-13.21"/>
    <n v="7.59"/>
    <s v="#25"/>
    <x v="2"/>
    <n v="13.21"/>
    <n v="1.97"/>
    <n v="5.62"/>
    <n v="31.584399999999999"/>
    <x v="6"/>
    <s v="lucas1WR"/>
    <n v="2"/>
    <s v="lucas1WR-2"/>
  </r>
  <r>
    <x v="11"/>
    <x v="86"/>
    <s v="2.11-13.07"/>
    <n v="7.59"/>
    <s v="#29"/>
    <x v="1"/>
    <n v="13.07"/>
    <n v="2.11"/>
    <n v="5.48"/>
    <n v="30.0304"/>
    <x v="7"/>
    <s v="NA14RB"/>
    <n v="1"/>
    <s v="NA14RB-1"/>
  </r>
  <r>
    <x v="14"/>
    <x v="120"/>
    <s v="2.70-12.48"/>
    <n v="7.59"/>
    <s v="#17"/>
    <x v="2"/>
    <n v="12.48"/>
    <n v="2.7"/>
    <n v="4.8899999999999997"/>
    <n v="23.912099999999999"/>
    <x v="8"/>
    <s v="comp4WR"/>
    <n v="5"/>
    <s v="comp4WR-5"/>
  </r>
  <r>
    <x v="3"/>
    <x v="116"/>
    <s v="2.06-13.12"/>
    <n v="7.59"/>
    <s v="#19"/>
    <x v="2"/>
    <n v="13.12"/>
    <n v="2.06"/>
    <n v="5.53"/>
    <n v="30.5809"/>
    <x v="10"/>
    <s v="aj11WR"/>
    <n v="5"/>
    <s v="aj11WR-5"/>
  </r>
  <r>
    <x v="9"/>
    <x v="141"/>
    <s v="2.49-12.67"/>
    <n v="7.58"/>
    <s v="#14"/>
    <x v="2"/>
    <n v="12.67"/>
    <n v="2.4900000000000002"/>
    <n v="5.09"/>
    <n v="25.908100000000001"/>
    <x v="5"/>
    <s v="cory15WR"/>
    <n v="5"/>
    <s v="cory15WR-5"/>
  </r>
  <r>
    <x v="4"/>
    <x v="76"/>
    <s v="1.23-13.91"/>
    <n v="7.57"/>
    <s v="#32"/>
    <x v="1"/>
    <n v="13.91"/>
    <n v="1.23"/>
    <n v="6.34"/>
    <n v="40.195599999999999"/>
    <x v="7"/>
    <s v="NA7RB"/>
    <n v="1"/>
    <s v="NA7RB-1"/>
  </r>
  <r>
    <x v="12"/>
    <x v="130"/>
    <s v="1.84-13.30"/>
    <n v="7.57"/>
    <s v="#30"/>
    <x v="3"/>
    <n v="13.3"/>
    <n v="1.84"/>
    <n v="5.73"/>
    <n v="32.832900000000002"/>
    <x v="0"/>
    <s v="matty5TE"/>
    <n v="1"/>
    <s v="matty5TE-1"/>
  </r>
  <r>
    <x v="5"/>
    <x v="109"/>
    <s v="2.03-13.09"/>
    <n v="7.56"/>
    <s v="#22"/>
    <x v="2"/>
    <n v="13.09"/>
    <n v="2.0299999999999998"/>
    <n v="5.53"/>
    <n v="30.5809"/>
    <x v="6"/>
    <s v="lucas13WR"/>
    <n v="3"/>
    <s v="lucas13WR-3"/>
  </r>
  <r>
    <x v="12"/>
    <x v="120"/>
    <s v="1.87-13.25"/>
    <n v="7.56"/>
    <s v="#19"/>
    <x v="2"/>
    <n v="13.25"/>
    <n v="1.87"/>
    <n v="5.69"/>
    <n v="32.376100000000001"/>
    <x v="8"/>
    <s v="comp5WR"/>
    <n v="5"/>
    <s v="comp5WR-5"/>
  </r>
  <r>
    <x v="5"/>
    <x v="147"/>
    <s v="2.58-12.54"/>
    <n v="7.56"/>
    <s v="#23"/>
    <x v="2"/>
    <n v="12.54"/>
    <n v="2.58"/>
    <n v="4.9800000000000004"/>
    <n v="24.8004"/>
    <x v="7"/>
    <s v="NA13WR"/>
    <n v="1"/>
    <s v="NA13WR-1"/>
  </r>
  <r>
    <x v="12"/>
    <x v="62"/>
    <s v="1.69-13.41"/>
    <n v="7.55"/>
    <s v="#15"/>
    <x v="1"/>
    <n v="13.41"/>
    <n v="1.69"/>
    <n v="5.86"/>
    <n v="34.339599999999997"/>
    <x v="6"/>
    <s v="lucas5RB"/>
    <n v="3"/>
    <s v="lucas5RB-3"/>
  </r>
  <r>
    <x v="8"/>
    <x v="148"/>
    <s v="2.77-12.31"/>
    <n v="7.54"/>
    <s v="#7"/>
    <x v="2"/>
    <n v="12.31"/>
    <n v="2.77"/>
    <n v="4.7699999999999996"/>
    <n v="22.7529"/>
    <x v="6"/>
    <s v="lucas6WR"/>
    <n v="4"/>
    <s v="lucas6WR-4"/>
  </r>
  <r>
    <x v="3"/>
    <x v="103"/>
    <s v="1.09-13.99"/>
    <n v="7.54"/>
    <s v="#19"/>
    <x v="2"/>
    <n v="13.99"/>
    <n v="1.0900000000000001"/>
    <n v="6.45"/>
    <n v="41.602499999999999"/>
    <x v="4"/>
    <s v="scott11WR"/>
    <n v="3"/>
    <s v="scott11WR-3"/>
  </r>
  <r>
    <x v="16"/>
    <x v="69"/>
    <s v="1.80-13.28"/>
    <n v="7.54"/>
    <s v="#20"/>
    <x v="2"/>
    <n v="13.28"/>
    <n v="1.8"/>
    <n v="5.74"/>
    <n v="32.947600000000001"/>
    <x v="0"/>
    <s v="matty3WR"/>
    <n v="4"/>
    <s v="matty3WR-4"/>
  </r>
  <r>
    <x v="2"/>
    <x v="136"/>
    <s v="2.40-12.66"/>
    <n v="7.53"/>
    <s v="#24"/>
    <x v="1"/>
    <n v="12.66"/>
    <n v="2.4"/>
    <n v="5.13"/>
    <n v="26.3169"/>
    <x v="5"/>
    <s v="cory9RB"/>
    <n v="4"/>
    <s v="cory9RB-4"/>
  </r>
  <r>
    <x v="7"/>
    <x v="120"/>
    <s v="1.06-14.00"/>
    <n v="7.53"/>
    <s v="#14"/>
    <x v="2"/>
    <n v="14"/>
    <n v="1.06"/>
    <n v="6.47"/>
    <n v="41.860900000000001"/>
    <x v="8"/>
    <s v="comp1WR"/>
    <n v="5"/>
    <s v="comp1WR-5"/>
  </r>
  <r>
    <x v="0"/>
    <x v="144"/>
    <s v="2.48-12.58"/>
    <n v="7.53"/>
    <s v="#17"/>
    <x v="2"/>
    <n v="12.58"/>
    <n v="2.48"/>
    <n v="5.05"/>
    <n v="25.502500000000001"/>
    <x v="7"/>
    <s v="NA17WR"/>
    <n v="1"/>
    <s v="NA17WR-1"/>
  </r>
  <r>
    <x v="12"/>
    <x v="149"/>
    <s v="1.83-13.23"/>
    <n v="7.53"/>
    <s v="#17"/>
    <x v="2"/>
    <n v="13.23"/>
    <n v="1.83"/>
    <n v="5.7"/>
    <n v="32.49"/>
    <x v="1"/>
    <s v="perry5WR"/>
    <n v="3"/>
    <s v="perry5WR-3"/>
  </r>
  <r>
    <x v="5"/>
    <x v="95"/>
    <s v="2.09-12.95"/>
    <n v="7.52"/>
    <s v="#29"/>
    <x v="1"/>
    <n v="12.95"/>
    <n v="2.09"/>
    <n v="5.43"/>
    <n v="29.4849"/>
    <x v="9"/>
    <s v="seth13RB"/>
    <n v="3"/>
    <s v="seth13RB-3"/>
  </r>
  <r>
    <x v="0"/>
    <x v="145"/>
    <s v="2.77-12.27"/>
    <n v="7.52"/>
    <s v="#23"/>
    <x v="3"/>
    <n v="12.27"/>
    <n v="2.77"/>
    <n v="4.75"/>
    <n v="22.5625"/>
    <x v="2"/>
    <s v="devon17TE"/>
    <n v="1"/>
    <s v="devon17TE-1"/>
  </r>
  <r>
    <x v="1"/>
    <x v="134"/>
    <s v="2.97-12.07"/>
    <n v="7.52"/>
    <s v="#20"/>
    <x v="1"/>
    <n v="12.07"/>
    <n v="2.97"/>
    <n v="4.55"/>
    <n v="20.702500000000001"/>
    <x v="3"/>
    <s v="chad16RB"/>
    <n v="4"/>
    <s v="chad16RB-4"/>
  </r>
  <r>
    <x v="0"/>
    <x v="146"/>
    <s v="2.41-12.63"/>
    <n v="7.52"/>
    <s v="#9"/>
    <x v="2"/>
    <n v="12.63"/>
    <n v="2.41"/>
    <n v="5.1100000000000003"/>
    <n v="26.112100000000002"/>
    <x v="7"/>
    <s v="NA17WR"/>
    <n v="2"/>
    <s v="NA17WR-2"/>
  </r>
  <r>
    <x v="9"/>
    <x v="138"/>
    <s v="1.45-13.57"/>
    <n v="7.51"/>
    <s v="#32"/>
    <x v="1"/>
    <n v="13.57"/>
    <n v="1.45"/>
    <n v="6.06"/>
    <n v="36.723599999999998"/>
    <x v="0"/>
    <s v="matty15RB"/>
    <n v="4"/>
    <s v="matty15RB-4"/>
  </r>
  <r>
    <x v="16"/>
    <x v="150"/>
    <s v="2.61-12.41"/>
    <n v="7.51"/>
    <s v="#14"/>
    <x v="1"/>
    <n v="12.41"/>
    <n v="2.61"/>
    <n v="4.9000000000000004"/>
    <n v="24.01"/>
    <x v="7"/>
    <s v="NA3RB"/>
    <n v="6"/>
    <s v="NA3RB-6"/>
  </r>
  <r>
    <x v="1"/>
    <x v="110"/>
    <s v="1.55-13.47"/>
    <n v="7.51"/>
    <s v="#26"/>
    <x v="1"/>
    <n v="13.47"/>
    <n v="1.55"/>
    <n v="5.96"/>
    <n v="35.521599999999999"/>
    <x v="10"/>
    <s v="aj16RB"/>
    <n v="5"/>
    <s v="aj16RB-5"/>
  </r>
  <r>
    <x v="8"/>
    <x v="121"/>
    <s v="1.27-13.73"/>
    <n v="7.5"/>
    <s v="#20"/>
    <x v="2"/>
    <n v="13.73"/>
    <n v="1.27"/>
    <n v="6.23"/>
    <n v="38.812899999999999"/>
    <x v="3"/>
    <s v="chad6WR"/>
    <n v="6"/>
    <s v="chad6WR-6"/>
  </r>
  <r>
    <x v="0"/>
    <x v="136"/>
    <s v="2.37-12.63"/>
    <n v="7.5"/>
    <s v="#17"/>
    <x v="1"/>
    <n v="12.63"/>
    <n v="2.37"/>
    <n v="5.13"/>
    <n v="26.3169"/>
    <x v="5"/>
    <s v="cory17RB"/>
    <n v="4"/>
    <s v="cory17RB-4"/>
  </r>
  <r>
    <x v="0"/>
    <x v="124"/>
    <s v="1.76-13.24"/>
    <n v="7.5"/>
    <s v="#31"/>
    <x v="2"/>
    <n v="13.24"/>
    <n v="1.76"/>
    <n v="5.74"/>
    <n v="32.947600000000001"/>
    <x v="8"/>
    <s v="comp17WR"/>
    <n v="4"/>
    <s v="comp17WR-4"/>
  </r>
  <r>
    <x v="7"/>
    <x v="151"/>
    <s v="3.05-11.95"/>
    <n v="7.5"/>
    <s v="#15"/>
    <x v="1"/>
    <n v="11.95"/>
    <n v="3.05"/>
    <n v="4.45"/>
    <n v="19.802499999999998"/>
    <x v="7"/>
    <s v="NA1RB"/>
    <n v="3"/>
    <s v="NA1RB-3"/>
  </r>
  <r>
    <x v="5"/>
    <x v="85"/>
    <s v="3.71-11.29"/>
    <n v="7.5"/>
    <s v="#26"/>
    <x v="1"/>
    <n v="11.29"/>
    <n v="3.71"/>
    <n v="3.79"/>
    <n v="14.364100000000001"/>
    <x v="5"/>
    <s v="cory13RB"/>
    <n v="4"/>
    <s v="cory13RB-4"/>
  </r>
  <r>
    <x v="9"/>
    <x v="78"/>
    <s v="3.15-11.83"/>
    <n v="7.49"/>
    <s v="#3"/>
    <x v="1"/>
    <n v="11.83"/>
    <n v="3.15"/>
    <n v="4.34"/>
    <n v="18.835599999999999"/>
    <x v="8"/>
    <s v="comp15RB"/>
    <n v="2"/>
    <s v="comp15RB-2"/>
  </r>
  <r>
    <x v="4"/>
    <x v="119"/>
    <s v="1.99-12.99"/>
    <n v="7.49"/>
    <s v="#2"/>
    <x v="1"/>
    <n v="12.99"/>
    <n v="1.99"/>
    <n v="5.5"/>
    <n v="30.25"/>
    <x v="2"/>
    <s v="devon7RB"/>
    <n v="4"/>
    <s v="devon7RB-4"/>
  </r>
  <r>
    <x v="4"/>
    <x v="117"/>
    <s v="2.65-12.33"/>
    <n v="7.49"/>
    <s v="#19"/>
    <x v="2"/>
    <n v="12.33"/>
    <n v="2.65"/>
    <n v="4.84"/>
    <n v="23.425599999999999"/>
    <x v="4"/>
    <s v="scott7WR"/>
    <n v="2"/>
    <s v="scott7WR-2"/>
  </r>
  <r>
    <x v="10"/>
    <x v="132"/>
    <s v="0.82-14.14"/>
    <n v="7.48"/>
    <s v="#28"/>
    <x v="1"/>
    <n v="14.14"/>
    <n v="0.82"/>
    <n v="6.66"/>
    <n v="44.355600000000003"/>
    <x v="9"/>
    <s v="seth2RB"/>
    <n v="4"/>
    <s v="seth2RB-4"/>
  </r>
  <r>
    <x v="16"/>
    <x v="152"/>
    <s v="0.73-14.23"/>
    <n v="7.48"/>
    <s v="#2"/>
    <x v="1"/>
    <n v="14.23"/>
    <n v="0.73"/>
    <n v="6.75"/>
    <n v="45.5625"/>
    <x v="3"/>
    <s v="chad3RB"/>
    <n v="4"/>
    <s v="chad3RB-4"/>
  </r>
  <r>
    <x v="12"/>
    <x v="114"/>
    <s v="3.05-11.91"/>
    <n v="7.48"/>
    <s v="#20"/>
    <x v="3"/>
    <n v="11.91"/>
    <n v="3.05"/>
    <n v="4.43"/>
    <n v="19.6249"/>
    <x v="3"/>
    <s v="chad5TE"/>
    <n v="1"/>
    <s v="chad5TE-1"/>
  </r>
  <r>
    <x v="0"/>
    <x v="115"/>
    <s v="2.16-12.80"/>
    <n v="7.48"/>
    <s v="#8"/>
    <x v="2"/>
    <n v="12.8"/>
    <n v="2.16"/>
    <n v="5.32"/>
    <n v="28.302399999999999"/>
    <x v="9"/>
    <s v="seth17WR"/>
    <n v="4"/>
    <s v="seth17WR-4"/>
  </r>
  <r>
    <x v="0"/>
    <x v="127"/>
    <s v="2.12-12.84"/>
    <n v="7.48"/>
    <s v="#28"/>
    <x v="2"/>
    <n v="12.84"/>
    <n v="2.12"/>
    <n v="5.36"/>
    <n v="28.729600000000001"/>
    <x v="9"/>
    <s v="seth17WR"/>
    <n v="5"/>
    <s v="seth17WR-5"/>
  </r>
  <r>
    <x v="13"/>
    <x v="91"/>
    <s v="1.47-13.47"/>
    <n v="7.47"/>
    <s v="#13"/>
    <x v="1"/>
    <n v="13.47"/>
    <n v="1.47"/>
    <n v="6"/>
    <n v="36"/>
    <x v="1"/>
    <s v="perry8RB"/>
    <n v="2"/>
    <s v="perry8RB-2"/>
  </r>
  <r>
    <x v="13"/>
    <x v="81"/>
    <s v="3.02-11.92"/>
    <n v="7.47"/>
    <s v="#3"/>
    <x v="3"/>
    <n v="11.92"/>
    <n v="3.02"/>
    <n v="4.45"/>
    <n v="19.802499999999998"/>
    <x v="1"/>
    <s v="perry8TE"/>
    <n v="1"/>
    <s v="perry8TE-1"/>
  </r>
  <r>
    <x v="11"/>
    <x v="136"/>
    <s v="2.18-12.74"/>
    <n v="7.46"/>
    <s v="#11"/>
    <x v="1"/>
    <n v="12.74"/>
    <n v="2.1800000000000002"/>
    <n v="5.28"/>
    <n v="27.878399999999999"/>
    <x v="5"/>
    <s v="cory14RB"/>
    <n v="4"/>
    <s v="cory14RB-4"/>
  </r>
  <r>
    <x v="12"/>
    <x v="111"/>
    <s v="0.74-14.18"/>
    <n v="7.46"/>
    <s v="#20"/>
    <x v="2"/>
    <n v="14.18"/>
    <n v="0.74"/>
    <n v="6.72"/>
    <n v="45.1584"/>
    <x v="9"/>
    <s v="seth5WR"/>
    <n v="4"/>
    <s v="seth5WR-4"/>
  </r>
  <r>
    <x v="15"/>
    <x v="141"/>
    <s v="2.61-12.31"/>
    <n v="7.46"/>
    <s v="#18"/>
    <x v="2"/>
    <n v="12.31"/>
    <n v="2.61"/>
    <n v="4.8499999999999996"/>
    <n v="23.522500000000001"/>
    <x v="5"/>
    <s v="cory10WR"/>
    <n v="4"/>
    <s v="cory10WR-4"/>
  </r>
  <r>
    <x v="2"/>
    <x v="146"/>
    <s v="2.42-12.50"/>
    <n v="7.46"/>
    <s v="#23"/>
    <x v="2"/>
    <n v="12.5"/>
    <n v="2.42"/>
    <n v="5.04"/>
    <n v="25.401599999999998"/>
    <x v="7"/>
    <s v="NA9WR"/>
    <n v="1"/>
    <s v="NA9WR-1"/>
  </r>
  <r>
    <x v="5"/>
    <x v="98"/>
    <s v="1.83-13.07"/>
    <n v="7.45"/>
    <s v="#11"/>
    <x v="1"/>
    <n v="13.07"/>
    <n v="1.83"/>
    <n v="5.62"/>
    <n v="31.584399999999999"/>
    <x v="6"/>
    <s v="lucas13RB"/>
    <n v="2"/>
    <s v="lucas13RB-2"/>
  </r>
  <r>
    <x v="12"/>
    <x v="88"/>
    <s v="1.88-13.02"/>
    <n v="7.45"/>
    <s v="#26"/>
    <x v="2"/>
    <n v="13.02"/>
    <n v="1.88"/>
    <n v="5.57"/>
    <n v="31.024899999999999"/>
    <x v="10"/>
    <s v="aj5WR"/>
    <n v="4"/>
    <s v="aj5WR-4"/>
  </r>
  <r>
    <x v="9"/>
    <x v="127"/>
    <s v="2.23-12.67"/>
    <n v="7.45"/>
    <s v="#5"/>
    <x v="2"/>
    <n v="12.67"/>
    <n v="2.23"/>
    <n v="5.22"/>
    <n v="27.2484"/>
    <x v="9"/>
    <s v="seth15WR"/>
    <n v="4"/>
    <s v="seth15WR-4"/>
  </r>
  <r>
    <x v="6"/>
    <x v="106"/>
    <s v="1.19-13.69"/>
    <n v="7.44"/>
    <s v="#27"/>
    <x v="2"/>
    <n v="13.69"/>
    <n v="1.19"/>
    <n v="6.25"/>
    <n v="39.0625"/>
    <x v="0"/>
    <s v="matty12WR"/>
    <n v="2"/>
    <s v="matty12WR-2"/>
  </r>
  <r>
    <x v="15"/>
    <x v="148"/>
    <s v="1.95-12.93"/>
    <n v="7.44"/>
    <s v="#31"/>
    <x v="2"/>
    <n v="12.93"/>
    <n v="1.95"/>
    <n v="5.49"/>
    <n v="30.1401"/>
    <x v="6"/>
    <s v="lucas10WR"/>
    <n v="4"/>
    <s v="lucas10WR-4"/>
  </r>
  <r>
    <x v="5"/>
    <x v="86"/>
    <s v="3.14-11.72"/>
    <n v="7.43"/>
    <s v="#13"/>
    <x v="1"/>
    <n v="11.72"/>
    <n v="3.14"/>
    <n v="4.29"/>
    <n v="18.4041"/>
    <x v="7"/>
    <s v="NA13RB"/>
    <n v="1"/>
    <s v="NA13RB-1"/>
  </r>
  <r>
    <x v="9"/>
    <x v="114"/>
    <s v="2.42-12.44"/>
    <n v="7.43"/>
    <s v="#19"/>
    <x v="3"/>
    <n v="12.44"/>
    <n v="2.42"/>
    <n v="5.01"/>
    <n v="25.100100000000001"/>
    <x v="3"/>
    <s v="chad15TE"/>
    <n v="1"/>
    <s v="chad15TE-1"/>
  </r>
  <r>
    <x v="0"/>
    <x v="141"/>
    <s v="2.28-12.58"/>
    <n v="7.43"/>
    <s v="#23"/>
    <x v="2"/>
    <n v="12.58"/>
    <n v="2.2799999999999998"/>
    <n v="5.15"/>
    <n v="26.522500000000001"/>
    <x v="5"/>
    <s v="cory17WR"/>
    <n v="4"/>
    <s v="cory17WR-4"/>
  </r>
  <r>
    <x v="12"/>
    <x v="138"/>
    <s v="2.26-12.58"/>
    <n v="7.42"/>
    <s v="#25"/>
    <x v="1"/>
    <n v="12.58"/>
    <n v="2.2599999999999998"/>
    <n v="5.16"/>
    <n v="26.625599999999999"/>
    <x v="0"/>
    <s v="matty5RB"/>
    <n v="4"/>
    <s v="matty5RB-4"/>
  </r>
  <r>
    <x v="3"/>
    <x v="139"/>
    <s v="1.59-13.25"/>
    <n v="7.42"/>
    <s v="#21"/>
    <x v="1"/>
    <n v="13.25"/>
    <n v="1.59"/>
    <n v="5.83"/>
    <n v="33.988900000000001"/>
    <x v="6"/>
    <s v="lucas11RB"/>
    <n v="4"/>
    <s v="lucas11RB-4"/>
  </r>
  <r>
    <x v="10"/>
    <x v="152"/>
    <s v="2.90-11.94"/>
    <n v="7.42"/>
    <s v="#24"/>
    <x v="1"/>
    <n v="11.94"/>
    <n v="2.9"/>
    <n v="4.5199999999999996"/>
    <n v="20.430399999999999"/>
    <x v="3"/>
    <s v="chad2RB"/>
    <n v="4"/>
    <s v="chad2RB-4"/>
  </r>
  <r>
    <x v="1"/>
    <x v="118"/>
    <s v="2.53-12.31"/>
    <n v="7.42"/>
    <s v="#2"/>
    <x v="2"/>
    <n v="12.31"/>
    <n v="2.5299999999999998"/>
    <n v="4.8899999999999997"/>
    <n v="23.912099999999999"/>
    <x v="5"/>
    <s v="cory16WR"/>
    <n v="5"/>
    <s v="cory16WR-5"/>
  </r>
  <r>
    <x v="12"/>
    <x v="153"/>
    <s v="2.28-12.54"/>
    <n v="7.41"/>
    <s v="#17"/>
    <x v="1"/>
    <n v="12.54"/>
    <n v="2.2799999999999998"/>
    <n v="5.13"/>
    <n v="26.3169"/>
    <x v="5"/>
    <s v="cory5RB"/>
    <n v="5"/>
    <s v="cory5RB-5"/>
  </r>
  <r>
    <x v="5"/>
    <x v="154"/>
    <s v="1.89-12.91"/>
    <n v="7.4"/>
    <s v="#27"/>
    <x v="3"/>
    <n v="12.91"/>
    <n v="1.89"/>
    <n v="5.51"/>
    <n v="30.360099999999999"/>
    <x v="7"/>
    <s v="NA13TE"/>
    <n v="1"/>
    <s v="NA13TE-1"/>
  </r>
  <r>
    <x v="16"/>
    <x v="129"/>
    <s v="0.20-14.60"/>
    <n v="7.4"/>
    <s v="#23"/>
    <x v="1"/>
    <n v="14.6"/>
    <n v="0.2"/>
    <n v="7.2"/>
    <n v="51.84"/>
    <x v="7"/>
    <s v="NA3RB"/>
    <n v="7"/>
    <s v="NA3RB-7"/>
  </r>
  <r>
    <x v="1"/>
    <x v="143"/>
    <s v="1.16-13.62"/>
    <n v="7.39"/>
    <s v="#4"/>
    <x v="2"/>
    <n v="13.62"/>
    <n v="1.1599999999999999"/>
    <n v="6.23"/>
    <n v="38.812899999999999"/>
    <x v="0"/>
    <s v="matty16WR"/>
    <n v="5"/>
    <s v="matty16WR-5"/>
  </r>
  <r>
    <x v="9"/>
    <x v="123"/>
    <s v="0.42-14.36"/>
    <n v="7.39"/>
    <s v="#11"/>
    <x v="2"/>
    <n v="14.36"/>
    <n v="0.42"/>
    <n v="6.97"/>
    <n v="48.5809"/>
    <x v="4"/>
    <s v="scott15WR"/>
    <n v="4"/>
    <s v="scott15WR-4"/>
  </r>
  <r>
    <x v="1"/>
    <x v="145"/>
    <s v="2.47-12.29"/>
    <n v="7.38"/>
    <s v="#9"/>
    <x v="3"/>
    <n v="12.29"/>
    <n v="2.4700000000000002"/>
    <n v="4.91"/>
    <n v="24.1081"/>
    <x v="2"/>
    <s v="devon16TE"/>
    <n v="1"/>
    <s v="devon16TE-1"/>
  </r>
  <r>
    <x v="13"/>
    <x v="76"/>
    <s v="1.70-13.06"/>
    <n v="7.38"/>
    <s v="#31"/>
    <x v="1"/>
    <n v="13.06"/>
    <n v="1.7"/>
    <n v="5.68"/>
    <n v="32.2624"/>
    <x v="7"/>
    <s v="NA8RB"/>
    <n v="1"/>
    <s v="NA8RB-1"/>
  </r>
  <r>
    <x v="13"/>
    <x v="134"/>
    <s v="3.48-11.28"/>
    <n v="7.38"/>
    <s v="#7"/>
    <x v="1"/>
    <n v="11.28"/>
    <n v="3.48"/>
    <n v="3.9"/>
    <n v="15.21"/>
    <x v="3"/>
    <s v="chad8RB"/>
    <n v="3"/>
    <s v="chad8RB-3"/>
  </r>
  <r>
    <x v="10"/>
    <x v="68"/>
    <s v="1.32-13.44"/>
    <n v="7.38"/>
    <s v="#16"/>
    <x v="1"/>
    <n v="13.44"/>
    <n v="1.32"/>
    <n v="6.06"/>
    <n v="36.723599999999998"/>
    <x v="4"/>
    <s v="scott2RB"/>
    <n v="3"/>
    <s v="scott2RB-3"/>
  </r>
  <r>
    <x v="0"/>
    <x v="143"/>
    <s v="1.58-13.16"/>
    <n v="7.37"/>
    <s v="#28"/>
    <x v="2"/>
    <n v="13.16"/>
    <n v="1.58"/>
    <n v="5.79"/>
    <n v="33.524099999999997"/>
    <x v="0"/>
    <s v="matty17WR"/>
    <n v="5"/>
    <s v="matty17WR-5"/>
  </r>
  <r>
    <x v="10"/>
    <x v="119"/>
    <s v="4.27-10.47"/>
    <n v="7.37"/>
    <s v="#6"/>
    <x v="1"/>
    <n v="10.47"/>
    <n v="4.2699999999999996"/>
    <n v="3.1"/>
    <n v="9.61"/>
    <x v="2"/>
    <s v="devon2RB"/>
    <n v="3"/>
    <s v="devon2RB-3"/>
  </r>
  <r>
    <x v="11"/>
    <x v="124"/>
    <s v="1.56-13.16"/>
    <n v="7.36"/>
    <s v="#21"/>
    <x v="2"/>
    <n v="13.16"/>
    <n v="1.56"/>
    <n v="5.8"/>
    <n v="33.64"/>
    <x v="8"/>
    <s v="comp14WR"/>
    <n v="6"/>
    <s v="comp14WR-6"/>
  </r>
  <r>
    <x v="8"/>
    <x v="100"/>
    <s v="2.66-12.06"/>
    <n v="7.36"/>
    <s v="#7"/>
    <x v="1"/>
    <n v="12.06"/>
    <n v="2.66"/>
    <n v="4.7"/>
    <n v="22.09"/>
    <x v="6"/>
    <s v="lucas6RB"/>
    <n v="3"/>
    <s v="lucas6RB-3"/>
  </r>
  <r>
    <x v="0"/>
    <x v="123"/>
    <s v="0.58-14.14"/>
    <n v="7.36"/>
    <s v="#21"/>
    <x v="2"/>
    <n v="14.14"/>
    <n v="0.57999999999999996"/>
    <n v="6.78"/>
    <n v="45.968400000000003"/>
    <x v="4"/>
    <s v="scott17WR"/>
    <n v="3"/>
    <s v="scott17WR-3"/>
  </r>
  <r>
    <x v="14"/>
    <x v="118"/>
    <s v="1.39-13.33"/>
    <n v="7.36"/>
    <s v="#29"/>
    <x v="2"/>
    <n v="13.33"/>
    <n v="1.39"/>
    <n v="5.97"/>
    <n v="35.640900000000002"/>
    <x v="5"/>
    <s v="cory4WR"/>
    <n v="4"/>
    <s v="cory4WR-4"/>
  </r>
  <r>
    <x v="4"/>
    <x v="124"/>
    <s v="1.89-12.81"/>
    <n v="7.35"/>
    <s v="#22"/>
    <x v="2"/>
    <n v="12.81"/>
    <n v="1.89"/>
    <n v="5.46"/>
    <n v="29.811599999999999"/>
    <x v="8"/>
    <s v="comp7WR"/>
    <n v="4"/>
    <s v="comp7WR-4"/>
  </r>
  <r>
    <x v="12"/>
    <x v="139"/>
    <s v="1.81-12.89"/>
    <n v="7.35"/>
    <s v="#10"/>
    <x v="1"/>
    <n v="12.89"/>
    <n v="1.81"/>
    <n v="5.54"/>
    <n v="30.691600000000001"/>
    <x v="6"/>
    <s v="lucas5RB"/>
    <n v="4"/>
    <s v="lucas5RB-4"/>
  </r>
  <r>
    <x v="9"/>
    <x v="101"/>
    <s v="2.42-12.28"/>
    <n v="7.35"/>
    <s v="#2"/>
    <x v="2"/>
    <n v="12.28"/>
    <n v="2.42"/>
    <n v="4.93"/>
    <n v="24.3049"/>
    <x v="8"/>
    <s v="comp15WR"/>
    <n v="6"/>
    <s v="comp15WR-6"/>
  </r>
  <r>
    <x v="1"/>
    <x v="116"/>
    <s v="2.58-12.12"/>
    <n v="7.35"/>
    <s v="#20"/>
    <x v="2"/>
    <n v="12.12"/>
    <n v="2.58"/>
    <n v="4.7699999999999996"/>
    <n v="22.7529"/>
    <x v="10"/>
    <s v="aj16WR"/>
    <n v="5"/>
    <s v="aj16WR-5"/>
  </r>
  <r>
    <x v="2"/>
    <x v="144"/>
    <s v="2.23-12.47"/>
    <n v="7.35"/>
    <s v="#24"/>
    <x v="2"/>
    <n v="12.47"/>
    <n v="2.23"/>
    <n v="5.12"/>
    <n v="26.214400000000001"/>
    <x v="7"/>
    <s v="NA9WR"/>
    <n v="2"/>
    <s v="NA9WR-2"/>
  </r>
  <r>
    <x v="15"/>
    <x v="118"/>
    <s v="3.03-11.67"/>
    <n v="7.35"/>
    <s v="#30"/>
    <x v="2"/>
    <n v="11.67"/>
    <n v="3.03"/>
    <n v="4.32"/>
    <n v="18.662400000000002"/>
    <x v="5"/>
    <s v="cory10WR"/>
    <n v="5"/>
    <s v="cory10WR-5"/>
  </r>
  <r>
    <x v="16"/>
    <x v="65"/>
    <n v="-15.84"/>
    <n v="7.34"/>
    <s v="#28"/>
    <x v="1"/>
    <n v="15.26"/>
    <n v="-0.57999999999999996"/>
    <n v="7.92"/>
    <n v="62.726399999999998"/>
    <x v="2"/>
    <s v="devon3RB"/>
    <n v="3"/>
    <s v="devon3RB-3"/>
  </r>
  <r>
    <x v="7"/>
    <x v="119"/>
    <s v="3.65-11.01"/>
    <n v="7.33"/>
    <s v="#30"/>
    <x v="1"/>
    <n v="11.01"/>
    <n v="3.65"/>
    <n v="3.68"/>
    <n v="13.542400000000001"/>
    <x v="2"/>
    <s v="devon1RB"/>
    <n v="3"/>
    <s v="devon1RB-3"/>
  </r>
  <r>
    <x v="4"/>
    <x v="136"/>
    <s v="2.58-12.06"/>
    <n v="7.32"/>
    <s v="#26"/>
    <x v="1"/>
    <n v="12.06"/>
    <n v="2.58"/>
    <n v="4.74"/>
    <n v="22.467600000000001"/>
    <x v="5"/>
    <s v="cory7RB"/>
    <n v="4"/>
    <s v="cory7RB-4"/>
  </r>
  <r>
    <x v="16"/>
    <x v="155"/>
    <s v="2.25-12.39"/>
    <n v="7.32"/>
    <s v="#14"/>
    <x v="2"/>
    <n v="12.39"/>
    <n v="2.25"/>
    <n v="5.07"/>
    <n v="25.704899999999999"/>
    <x v="4"/>
    <s v="scott3WR"/>
    <n v="4"/>
    <s v="scott3WR-4"/>
  </r>
  <r>
    <x v="15"/>
    <x v="115"/>
    <s v="1.69-12.95"/>
    <n v="7.32"/>
    <s v="#32"/>
    <x v="2"/>
    <n v="12.95"/>
    <n v="1.69"/>
    <n v="5.63"/>
    <n v="31.696899999999999"/>
    <x v="9"/>
    <s v="seth10WR"/>
    <n v="3"/>
    <s v="seth10WR-3"/>
  </r>
  <r>
    <x v="14"/>
    <x v="155"/>
    <s v="2.77-11.85"/>
    <n v="7.31"/>
    <s v="#4"/>
    <x v="2"/>
    <n v="11.85"/>
    <n v="2.77"/>
    <n v="4.54"/>
    <n v="20.611599999999999"/>
    <x v="4"/>
    <s v="scott4WR"/>
    <n v="4"/>
    <s v="scott4WR-4"/>
  </r>
  <r>
    <x v="16"/>
    <x v="108"/>
    <s v="1.41-13.21"/>
    <n v="7.31"/>
    <s v="#1"/>
    <x v="1"/>
    <n v="13.21"/>
    <n v="1.41"/>
    <n v="5.9"/>
    <n v="34.81"/>
    <x v="1"/>
    <s v="perry3RB"/>
    <n v="3"/>
    <s v="perry3RB-3"/>
  </r>
  <r>
    <x v="3"/>
    <x v="101"/>
    <s v="1.95-12.65"/>
    <n v="7.3"/>
    <s v="#20"/>
    <x v="2"/>
    <n v="12.65"/>
    <n v="1.95"/>
    <n v="5.35"/>
    <n v="28.622499999999999"/>
    <x v="8"/>
    <s v="comp11WR"/>
    <n v="5"/>
    <s v="comp11WR-5"/>
  </r>
  <r>
    <x v="0"/>
    <x v="130"/>
    <s v="0.47-14.13"/>
    <n v="7.3"/>
    <s v="#6"/>
    <x v="3"/>
    <n v="14.13"/>
    <n v="0.47"/>
    <n v="6.83"/>
    <n v="46.648899999999998"/>
    <x v="0"/>
    <s v="matty17TE"/>
    <n v="1"/>
    <s v="matty17TE-1"/>
  </r>
  <r>
    <x v="14"/>
    <x v="141"/>
    <s v="2.44-12.16"/>
    <n v="7.3"/>
    <s v="#30"/>
    <x v="2"/>
    <n v="12.16"/>
    <n v="2.44"/>
    <n v="4.8600000000000003"/>
    <n v="23.619599999999998"/>
    <x v="5"/>
    <s v="cory4WR"/>
    <n v="5"/>
    <s v="cory4WR-5"/>
  </r>
  <r>
    <x v="9"/>
    <x v="106"/>
    <s v="0.64-13.94"/>
    <n v="7.29"/>
    <s v="#22"/>
    <x v="2"/>
    <n v="13.94"/>
    <n v="0.64"/>
    <n v="6.65"/>
    <n v="44.222499999999997"/>
    <x v="0"/>
    <s v="matty15WR"/>
    <n v="4"/>
    <s v="matty15WR-4"/>
  </r>
  <r>
    <x v="5"/>
    <x v="139"/>
    <s v="1.74-12.82"/>
    <n v="7.28"/>
    <s v="#18"/>
    <x v="1"/>
    <n v="12.82"/>
    <n v="1.74"/>
    <n v="5.54"/>
    <n v="30.691600000000001"/>
    <x v="6"/>
    <s v="lucas13RB"/>
    <n v="3"/>
    <s v="lucas13RB-3"/>
  </r>
  <r>
    <x v="4"/>
    <x v="154"/>
    <s v="1.62-12.94"/>
    <n v="7.28"/>
    <s v="#31"/>
    <x v="3"/>
    <n v="12.94"/>
    <n v="1.62"/>
    <n v="5.66"/>
    <n v="32.035600000000002"/>
    <x v="7"/>
    <s v="NA7TE"/>
    <n v="1"/>
    <s v="NA7TE-1"/>
  </r>
  <r>
    <x v="5"/>
    <x v="101"/>
    <s v="2.88-11.68"/>
    <n v="7.28"/>
    <s v="#19"/>
    <x v="2"/>
    <n v="11.68"/>
    <n v="2.88"/>
    <n v="4.4000000000000004"/>
    <n v="19.36"/>
    <x v="8"/>
    <s v="comp13WR"/>
    <n v="4"/>
    <s v="comp13WR-4"/>
  </r>
  <r>
    <x v="6"/>
    <x v="56"/>
    <s v="1.87-12.69"/>
    <n v="7.28"/>
    <s v="#16"/>
    <x v="1"/>
    <n v="12.69"/>
    <n v="1.87"/>
    <n v="5.41"/>
    <n v="29.2681"/>
    <x v="10"/>
    <s v="aj12RB"/>
    <n v="3"/>
    <s v="aj12RB-3"/>
  </r>
  <r>
    <x v="12"/>
    <x v="75"/>
    <s v="1.01-13.55"/>
    <n v="7.28"/>
    <s v="#6"/>
    <x v="1"/>
    <n v="13.55"/>
    <n v="1.01"/>
    <n v="6.27"/>
    <n v="39.312899999999999"/>
    <x v="9"/>
    <s v="seth5RB"/>
    <n v="3"/>
    <s v="seth5RB-3"/>
  </r>
  <r>
    <x v="5"/>
    <x v="127"/>
    <s v="2.60-11.96"/>
    <n v="7.28"/>
    <s v="#13"/>
    <x v="2"/>
    <n v="11.96"/>
    <n v="2.6"/>
    <n v="4.68"/>
    <n v="21.9024"/>
    <x v="9"/>
    <s v="seth13WR"/>
    <n v="5"/>
    <s v="seth13WR-5"/>
  </r>
  <r>
    <x v="11"/>
    <x v="156"/>
    <s v="2.37-12.17"/>
    <n v="7.27"/>
    <s v="#17"/>
    <x v="1"/>
    <n v="12.17"/>
    <n v="2.37"/>
    <n v="4.9000000000000004"/>
    <n v="24.01"/>
    <x v="7"/>
    <s v="NA14RB"/>
    <n v="2"/>
    <s v="NA14RB-2"/>
  </r>
  <r>
    <x v="1"/>
    <x v="125"/>
    <s v="1.89-12.65"/>
    <n v="7.27"/>
    <s v="#4"/>
    <x v="3"/>
    <n v="12.65"/>
    <n v="1.89"/>
    <n v="5.38"/>
    <n v="28.944400000000002"/>
    <x v="9"/>
    <s v="seth16TE"/>
    <n v="1"/>
    <s v="seth16TE-1"/>
  </r>
  <r>
    <x v="13"/>
    <x v="103"/>
    <s v="0.30-14.24"/>
    <n v="7.27"/>
    <s v="#7"/>
    <x v="2"/>
    <n v="14.24"/>
    <n v="0.3"/>
    <n v="6.97"/>
    <n v="48.5809"/>
    <x v="4"/>
    <s v="scott8WR"/>
    <n v="4"/>
    <s v="scott8WR-4"/>
  </r>
  <r>
    <x v="11"/>
    <x v="157"/>
    <s v="1.69-12.85"/>
    <n v="7.27"/>
    <s v="#30"/>
    <x v="3"/>
    <n v="12.85"/>
    <n v="1.69"/>
    <n v="5.58"/>
    <n v="31.136399999999998"/>
    <x v="7"/>
    <s v="NA14TE"/>
    <n v="1"/>
    <s v="NA14TE-1"/>
  </r>
  <r>
    <x v="3"/>
    <x v="95"/>
    <s v="1.11-13.41"/>
    <n v="7.26"/>
    <s v="#19"/>
    <x v="1"/>
    <n v="13.41"/>
    <n v="1.1100000000000001"/>
    <n v="6.15"/>
    <n v="37.822499999999998"/>
    <x v="9"/>
    <s v="seth11RB"/>
    <n v="3"/>
    <s v="seth11RB-3"/>
  </r>
  <r>
    <x v="8"/>
    <x v="139"/>
    <s v="0.36-14.16"/>
    <n v="7.26"/>
    <s v="#25"/>
    <x v="1"/>
    <n v="14.16"/>
    <n v="0.36"/>
    <n v="6.9"/>
    <n v="47.61"/>
    <x v="6"/>
    <s v="lucas6RB"/>
    <n v="4"/>
    <s v="lucas6RB-4"/>
  </r>
  <r>
    <x v="16"/>
    <x v="145"/>
    <s v="2.71-11.79"/>
    <n v="7.25"/>
    <s v="#27"/>
    <x v="3"/>
    <n v="11.79"/>
    <n v="2.71"/>
    <n v="4.54"/>
    <n v="20.611599999999999"/>
    <x v="2"/>
    <s v="devon3TE"/>
    <n v="1"/>
    <s v="devon3TE-1"/>
  </r>
  <r>
    <x v="3"/>
    <x v="146"/>
    <s v="2.14-12.36"/>
    <n v="7.25"/>
    <s v="#9"/>
    <x v="2"/>
    <n v="12.36"/>
    <n v="2.14"/>
    <n v="5.1100000000000003"/>
    <n v="26.112100000000002"/>
    <x v="7"/>
    <s v="NA11WR"/>
    <n v="1"/>
    <s v="NA11WR-1"/>
  </r>
  <r>
    <x v="15"/>
    <x v="132"/>
    <s v="2.26-12.22"/>
    <n v="7.24"/>
    <s v="#22"/>
    <x v="1"/>
    <n v="12.22"/>
    <n v="2.2599999999999998"/>
    <n v="4.9800000000000004"/>
    <n v="24.8004"/>
    <x v="9"/>
    <s v="seth10RB"/>
    <n v="3"/>
    <s v="seth10RB-3"/>
  </r>
  <r>
    <x v="4"/>
    <x v="82"/>
    <s v="0.69-13.79"/>
    <n v="7.24"/>
    <s v="#20"/>
    <x v="1"/>
    <n v="13.79"/>
    <n v="0.69"/>
    <n v="6.55"/>
    <n v="42.902500000000003"/>
    <x v="9"/>
    <s v="seth7RB"/>
    <n v="4"/>
    <s v="seth7RB-4"/>
  </r>
  <r>
    <x v="13"/>
    <x v="86"/>
    <s v="2.20-12.28"/>
    <n v="7.24"/>
    <s v="#10"/>
    <x v="1"/>
    <n v="12.28"/>
    <n v="2.2000000000000002"/>
    <n v="5.04"/>
    <n v="25.401599999999998"/>
    <x v="7"/>
    <s v="NA8RB"/>
    <n v="2"/>
    <s v="NA8RB-2"/>
  </r>
  <r>
    <x v="5"/>
    <x v="124"/>
    <s v="2.56-11.90"/>
    <n v="7.23"/>
    <s v="#1"/>
    <x v="2"/>
    <n v="11.9"/>
    <n v="2.56"/>
    <n v="4.67"/>
    <n v="21.808900000000001"/>
    <x v="8"/>
    <s v="comp13WR"/>
    <n v="5"/>
    <s v="comp13WR-5"/>
  </r>
  <r>
    <x v="10"/>
    <x v="158"/>
    <s v="0.94-13.52"/>
    <n v="7.23"/>
    <s v="#28"/>
    <x v="3"/>
    <n v="13.52"/>
    <n v="0.94"/>
    <n v="6.29"/>
    <n v="39.564100000000003"/>
    <x v="4"/>
    <s v="scott2TE"/>
    <n v="1"/>
    <s v="scott2TE-1"/>
  </r>
  <r>
    <x v="9"/>
    <x v="143"/>
    <s v="1.10-13.36"/>
    <n v="7.23"/>
    <s v="#5"/>
    <x v="2"/>
    <n v="13.36"/>
    <n v="1.1000000000000001"/>
    <n v="6.13"/>
    <n v="37.576900000000002"/>
    <x v="0"/>
    <s v="matty15WR"/>
    <n v="5"/>
    <s v="matty15WR-5"/>
  </r>
  <r>
    <x v="10"/>
    <x v="99"/>
    <s v="0.53-13.93"/>
    <n v="7.23"/>
    <s v="#14"/>
    <x v="2"/>
    <n v="13.93"/>
    <n v="0.53"/>
    <n v="6.7"/>
    <n v="44.89"/>
    <x v="1"/>
    <s v="perry2WR"/>
    <n v="4"/>
    <s v="perry2WR-4"/>
  </r>
  <r>
    <x v="7"/>
    <x v="152"/>
    <s v="2.37-12.07"/>
    <n v="7.22"/>
    <s v="#28"/>
    <x v="1"/>
    <n v="12.07"/>
    <n v="2.37"/>
    <n v="4.8499999999999996"/>
    <n v="23.522500000000001"/>
    <x v="3"/>
    <s v="chad1RB"/>
    <n v="3"/>
    <s v="chad1RB-3"/>
  </r>
  <r>
    <x v="4"/>
    <x v="123"/>
    <s v="0.62-13.82"/>
    <n v="7.22"/>
    <s v="#24"/>
    <x v="2"/>
    <n v="13.82"/>
    <n v="0.62"/>
    <n v="6.6"/>
    <n v="43.56"/>
    <x v="4"/>
    <s v="scott7WR"/>
    <n v="3"/>
    <s v="scott7WR-3"/>
  </r>
  <r>
    <x v="6"/>
    <x v="123"/>
    <s v="1.46-12.98"/>
    <n v="7.22"/>
    <s v="#5"/>
    <x v="2"/>
    <n v="12.98"/>
    <n v="1.46"/>
    <n v="5.76"/>
    <n v="33.177599999999998"/>
    <x v="4"/>
    <s v="scott12WR"/>
    <n v="3"/>
    <s v="scott12WR-3"/>
  </r>
  <r>
    <x v="2"/>
    <x v="75"/>
    <s v="2.89-11.55"/>
    <n v="7.22"/>
    <s v="#28"/>
    <x v="1"/>
    <n v="11.55"/>
    <n v="2.89"/>
    <n v="4.33"/>
    <n v="18.748899999999999"/>
    <x v="9"/>
    <s v="seth9RB"/>
    <n v="3"/>
    <s v="seth9RB-3"/>
  </r>
  <r>
    <x v="2"/>
    <x v="119"/>
    <s v="1.64-12.80"/>
    <n v="7.22"/>
    <s v="#7"/>
    <x v="1"/>
    <n v="12.8"/>
    <n v="1.64"/>
    <n v="5.58"/>
    <n v="31.136399999999998"/>
    <x v="2"/>
    <s v="devon9RB"/>
    <n v="4"/>
    <s v="devon9RB-4"/>
  </r>
  <r>
    <x v="11"/>
    <x v="119"/>
    <s v="1.47-12.97"/>
    <n v="7.22"/>
    <s v="#30"/>
    <x v="1"/>
    <n v="12.97"/>
    <n v="1.47"/>
    <n v="5.75"/>
    <n v="33.0625"/>
    <x v="2"/>
    <s v="devon14RB"/>
    <n v="6"/>
    <s v="devon14RB-6"/>
  </r>
  <r>
    <x v="7"/>
    <x v="133"/>
    <s v="2.50-11.94"/>
    <n v="7.22"/>
    <s v="#8"/>
    <x v="1"/>
    <n v="11.94"/>
    <n v="2.5"/>
    <n v="4.72"/>
    <n v="22.278400000000001"/>
    <x v="8"/>
    <s v="comp1RB"/>
    <n v="2"/>
    <s v="comp1RB-2"/>
  </r>
  <r>
    <x v="11"/>
    <x v="123"/>
    <s v="1.25-13.15"/>
    <n v="7.2"/>
    <s v="#13"/>
    <x v="2"/>
    <n v="13.15"/>
    <n v="1.25"/>
    <n v="5.95"/>
    <n v="35.402500000000003"/>
    <x v="4"/>
    <s v="scott14WR"/>
    <n v="3"/>
    <s v="scott14WR-3"/>
  </r>
  <r>
    <x v="7"/>
    <x v="159"/>
    <s v="2.20-12.20"/>
    <n v="7.2"/>
    <s v="#18"/>
    <x v="3"/>
    <n v="12.2"/>
    <n v="2.2000000000000002"/>
    <n v="5"/>
    <n v="25"/>
    <x v="5"/>
    <s v="cory1TE"/>
    <n v="1"/>
    <s v="cory1TE-1"/>
  </r>
  <r>
    <x v="4"/>
    <x v="160"/>
    <s v="1.70-12.70"/>
    <n v="7.2"/>
    <s v="#17"/>
    <x v="1"/>
    <n v="12.7"/>
    <n v="1.7"/>
    <n v="5.5"/>
    <n v="30.25"/>
    <x v="7"/>
    <s v="NA7RB"/>
    <n v="2"/>
    <s v="NA7RB-2"/>
  </r>
  <r>
    <x v="3"/>
    <x v="111"/>
    <s v="1.42-12.96"/>
    <n v="7.19"/>
    <s v="#13"/>
    <x v="2"/>
    <n v="12.96"/>
    <n v="1.42"/>
    <n v="5.77"/>
    <n v="33.292900000000003"/>
    <x v="9"/>
    <s v="seth11WR"/>
    <n v="5"/>
    <s v="seth11WR-5"/>
  </r>
  <r>
    <x v="2"/>
    <x v="116"/>
    <s v="2.22-12.16"/>
    <n v="7.19"/>
    <s v="#15"/>
    <x v="2"/>
    <n v="12.16"/>
    <n v="2.2200000000000002"/>
    <n v="4.97"/>
    <n v="24.700900000000001"/>
    <x v="10"/>
    <s v="aj9WR"/>
    <n v="4"/>
    <s v="aj9WR-4"/>
  </r>
  <r>
    <x v="3"/>
    <x v="119"/>
    <s v="1.87-12.51"/>
    <n v="7.19"/>
    <s v="#22"/>
    <x v="1"/>
    <n v="12.51"/>
    <n v="1.87"/>
    <n v="5.32"/>
    <n v="28.302399999999999"/>
    <x v="2"/>
    <s v="devon11RB"/>
    <n v="3"/>
    <s v="devon11RB-3"/>
  </r>
  <r>
    <x v="11"/>
    <x v="133"/>
    <s v="0.73-13.65"/>
    <n v="7.19"/>
    <s v="#18"/>
    <x v="1"/>
    <n v="13.65"/>
    <n v="0.73"/>
    <n v="6.46"/>
    <n v="41.7316"/>
    <x v="8"/>
    <s v="comp14RB"/>
    <n v="3"/>
    <s v="comp14RB-3"/>
  </r>
  <r>
    <x v="11"/>
    <x v="95"/>
    <s v="2.50-11.86"/>
    <n v="7.18"/>
    <s v="#32"/>
    <x v="1"/>
    <n v="11.86"/>
    <n v="2.5"/>
    <n v="4.68"/>
    <n v="21.9024"/>
    <x v="9"/>
    <s v="seth14RB"/>
    <n v="3"/>
    <s v="seth14RB-3"/>
  </r>
  <r>
    <x v="2"/>
    <x v="124"/>
    <s v="2.71-11.65"/>
    <n v="7.18"/>
    <s v="#12"/>
    <x v="2"/>
    <n v="11.65"/>
    <n v="2.71"/>
    <n v="4.47"/>
    <n v="19.980899999999998"/>
    <x v="8"/>
    <s v="comp9WR"/>
    <n v="5"/>
    <s v="comp9WR-5"/>
  </r>
  <r>
    <x v="4"/>
    <x v="105"/>
    <s v="2.08-12.28"/>
    <n v="7.18"/>
    <s v="#20"/>
    <x v="1"/>
    <n v="12.28"/>
    <n v="2.08"/>
    <n v="5.0999999999999996"/>
    <n v="26.01"/>
    <x v="3"/>
    <s v="chad7RB"/>
    <n v="3"/>
    <s v="chad7RB-3"/>
  </r>
  <r>
    <x v="16"/>
    <x v="156"/>
    <s v="1.76-12.60"/>
    <n v="7.18"/>
    <s v="#25"/>
    <x v="1"/>
    <n v="12.6"/>
    <n v="1.76"/>
    <n v="5.42"/>
    <n v="29.3764"/>
    <x v="7"/>
    <s v="NA3RB"/>
    <n v="8"/>
    <s v="NA3RB-8"/>
  </r>
  <r>
    <x v="4"/>
    <x v="134"/>
    <s v="2.11-12.25"/>
    <n v="7.18"/>
    <s v="#30"/>
    <x v="1"/>
    <n v="12.25"/>
    <n v="2.11"/>
    <n v="5.07"/>
    <n v="25.704899999999999"/>
    <x v="3"/>
    <s v="chad7RB"/>
    <n v="4"/>
    <s v="chad7RB-4"/>
  </r>
  <r>
    <x v="0"/>
    <x v="134"/>
    <s v="2.72-11.64"/>
    <n v="7.18"/>
    <s v="#2"/>
    <x v="1"/>
    <n v="11.64"/>
    <n v="2.72"/>
    <n v="4.46"/>
    <n v="19.8916"/>
    <x v="3"/>
    <s v="chad17RB"/>
    <n v="4"/>
    <s v="chad17RB-4"/>
  </r>
  <r>
    <x v="6"/>
    <x v="125"/>
    <s v="1.78-12.58"/>
    <n v="7.18"/>
    <s v="#26"/>
    <x v="3"/>
    <n v="12.58"/>
    <n v="1.78"/>
    <n v="5.4"/>
    <n v="29.16"/>
    <x v="9"/>
    <s v="seth12TE"/>
    <n v="1"/>
    <s v="seth12TE-1"/>
  </r>
  <r>
    <x v="13"/>
    <x v="110"/>
    <s v="1.46-12.90"/>
    <n v="7.18"/>
    <s v="#8"/>
    <x v="1"/>
    <n v="12.9"/>
    <n v="1.46"/>
    <n v="5.72"/>
    <n v="32.718400000000003"/>
    <x v="10"/>
    <s v="aj8RB"/>
    <n v="4"/>
    <s v="aj8RB-4"/>
  </r>
  <r>
    <x v="6"/>
    <x v="137"/>
    <s v="2.75-11.61"/>
    <n v="7.18"/>
    <s v="#16"/>
    <x v="1"/>
    <n v="11.61"/>
    <n v="2.75"/>
    <n v="4.43"/>
    <n v="19.6249"/>
    <x v="2"/>
    <s v="devon12RB"/>
    <n v="4"/>
    <s v="devon12RB-4"/>
  </r>
  <r>
    <x v="5"/>
    <x v="91"/>
    <s v="1.61-12.75"/>
    <n v="7.18"/>
    <s v="#8"/>
    <x v="1"/>
    <n v="12.75"/>
    <n v="1.61"/>
    <n v="5.57"/>
    <n v="31.024899999999999"/>
    <x v="1"/>
    <s v="perry13RB"/>
    <n v="3"/>
    <s v="perry13RB-3"/>
  </r>
  <r>
    <x v="1"/>
    <x v="144"/>
    <s v="2.23-12.13"/>
    <n v="7.18"/>
    <s v="#21"/>
    <x v="2"/>
    <n v="12.13"/>
    <n v="2.23"/>
    <n v="4.95"/>
    <n v="24.502500000000001"/>
    <x v="7"/>
    <s v="NA16WR"/>
    <n v="1"/>
    <s v="NA16WR-1"/>
  </r>
  <r>
    <x v="2"/>
    <x v="161"/>
    <s v="2.62-11.72"/>
    <n v="7.17"/>
    <s v="#31"/>
    <x v="1"/>
    <n v="11.72"/>
    <n v="2.62"/>
    <n v="4.55"/>
    <n v="20.702500000000001"/>
    <x v="7"/>
    <s v="NA9RB"/>
    <n v="1"/>
    <s v="NA9RB-1"/>
  </r>
  <r>
    <x v="3"/>
    <x v="143"/>
    <s v="1.07-13.25"/>
    <n v="7.16"/>
    <s v="#8"/>
    <x v="2"/>
    <n v="13.25"/>
    <n v="1.07"/>
    <n v="6.09"/>
    <n v="37.088099999999997"/>
    <x v="0"/>
    <s v="matty11WR"/>
    <n v="5"/>
    <s v="matty11WR-5"/>
  </r>
  <r>
    <x v="12"/>
    <x v="126"/>
    <s v="0.31-14.01"/>
    <n v="7.16"/>
    <s v="#9"/>
    <x v="2"/>
    <n v="14.01"/>
    <n v="0.31"/>
    <n v="6.85"/>
    <n v="46.922499999999999"/>
    <x v="3"/>
    <s v="chad5WR"/>
    <n v="5"/>
    <s v="chad5WR-5"/>
  </r>
  <r>
    <x v="15"/>
    <x v="128"/>
    <s v="1.10-13.22"/>
    <n v="7.16"/>
    <s v="#22"/>
    <x v="2"/>
    <n v="13.22"/>
    <n v="1.1000000000000001"/>
    <n v="6.06"/>
    <n v="36.723599999999998"/>
    <x v="7"/>
    <s v="NA10WR"/>
    <n v="1"/>
    <s v="NA10WR-1"/>
  </r>
  <r>
    <x v="1"/>
    <x v="133"/>
    <s v="1.49-12.83"/>
    <n v="7.16"/>
    <s v="#25"/>
    <x v="1"/>
    <n v="12.83"/>
    <n v="1.49"/>
    <n v="5.67"/>
    <n v="32.148899999999998"/>
    <x v="8"/>
    <s v="comp16RB"/>
    <n v="3"/>
    <s v="comp16RB-3"/>
  </r>
  <r>
    <x v="16"/>
    <x v="99"/>
    <s v="0.85-13.47"/>
    <n v="7.16"/>
    <s v="#22"/>
    <x v="2"/>
    <n v="13.47"/>
    <n v="0.85"/>
    <n v="6.31"/>
    <n v="39.816099999999999"/>
    <x v="1"/>
    <s v="perry3WR"/>
    <n v="4"/>
    <s v="perry3WR-4"/>
  </r>
  <r>
    <x v="0"/>
    <x v="162"/>
    <s v="2.19-12.11"/>
    <n v="7.15"/>
    <s v="#29"/>
    <x v="2"/>
    <n v="12.11"/>
    <n v="2.19"/>
    <n v="4.96"/>
    <n v="24.601600000000001"/>
    <x v="4"/>
    <s v="scott17WR"/>
    <n v="4"/>
    <s v="scott17WR-4"/>
  </r>
  <r>
    <x v="15"/>
    <x v="152"/>
    <s v="1.73-12.57"/>
    <n v="7.15"/>
    <s v="#11"/>
    <x v="1"/>
    <n v="12.57"/>
    <n v="1.73"/>
    <n v="5.42"/>
    <n v="29.3764"/>
    <x v="3"/>
    <s v="chad10RB"/>
    <n v="4"/>
    <s v="chad10RB-4"/>
  </r>
  <r>
    <x v="4"/>
    <x v="155"/>
    <s v="2.44-11.86"/>
    <n v="7.15"/>
    <s v="#27"/>
    <x v="2"/>
    <n v="11.86"/>
    <n v="2.44"/>
    <n v="4.71"/>
    <n v="22.184100000000001"/>
    <x v="4"/>
    <s v="scott7WR"/>
    <n v="4"/>
    <s v="scott7WR-4"/>
  </r>
  <r>
    <x v="16"/>
    <x v="159"/>
    <s v="3.22-11.06"/>
    <n v="7.14"/>
    <s v="#11"/>
    <x v="3"/>
    <n v="11.06"/>
    <n v="3.22"/>
    <n v="3.92"/>
    <n v="15.366400000000001"/>
    <x v="5"/>
    <s v="cory3TE"/>
    <n v="1"/>
    <s v="cory3TE-1"/>
  </r>
  <r>
    <x v="12"/>
    <x v="135"/>
    <s v="1.99-12.29"/>
    <n v="7.14"/>
    <s v="#21"/>
    <x v="1"/>
    <n v="12.29"/>
    <n v="1.99"/>
    <n v="5.15"/>
    <n v="26.522500000000001"/>
    <x v="7"/>
    <s v="NA5RB"/>
    <n v="1"/>
    <s v="NA5RB-1"/>
  </r>
  <r>
    <x v="1"/>
    <x v="100"/>
    <s v="1.74-12.52"/>
    <n v="7.13"/>
    <s v="#14"/>
    <x v="1"/>
    <n v="12.52"/>
    <n v="1.74"/>
    <n v="5.39"/>
    <n v="29.052099999999999"/>
    <x v="6"/>
    <s v="lucas16RB"/>
    <n v="3"/>
    <s v="lucas16RB-3"/>
  </r>
  <r>
    <x v="15"/>
    <x v="125"/>
    <s v="1.67-12.59"/>
    <n v="7.13"/>
    <s v="#24"/>
    <x v="3"/>
    <n v="12.59"/>
    <n v="1.67"/>
    <n v="5.46"/>
    <n v="29.811599999999999"/>
    <x v="9"/>
    <s v="seth10TE"/>
    <n v="1"/>
    <s v="seth10TE-1"/>
  </r>
  <r>
    <x v="11"/>
    <x v="147"/>
    <s v="1.82-12.44"/>
    <n v="7.13"/>
    <s v="#31"/>
    <x v="2"/>
    <n v="12.44"/>
    <n v="1.82"/>
    <n v="5.31"/>
    <n v="28.196100000000001"/>
    <x v="7"/>
    <s v="NA14WR"/>
    <n v="1"/>
    <s v="NA14WR-1"/>
  </r>
  <r>
    <x v="14"/>
    <x v="115"/>
    <s v="3.41-10.83"/>
    <n v="7.12"/>
    <s v="#8"/>
    <x v="2"/>
    <n v="10.83"/>
    <n v="3.41"/>
    <n v="3.71"/>
    <n v="13.764099999999999"/>
    <x v="9"/>
    <s v="seth4WR"/>
    <n v="3"/>
    <s v="seth4WR-3"/>
  </r>
  <r>
    <x v="13"/>
    <x v="88"/>
    <s v="1.43-12.81"/>
    <n v="7.12"/>
    <s v="#3"/>
    <x v="2"/>
    <n v="12.81"/>
    <n v="1.43"/>
    <n v="5.69"/>
    <n v="32.376100000000001"/>
    <x v="10"/>
    <s v="aj8WR"/>
    <n v="5"/>
    <s v="aj8WR-5"/>
  </r>
  <r>
    <x v="6"/>
    <x v="147"/>
    <s v="2.41-11.83"/>
    <n v="7.12"/>
    <s v="#29"/>
    <x v="2"/>
    <n v="11.83"/>
    <n v="2.41"/>
    <n v="4.71"/>
    <n v="22.184100000000001"/>
    <x v="7"/>
    <s v="NA12WR"/>
    <n v="3"/>
    <s v="NA12WR-3"/>
  </r>
  <r>
    <x v="0"/>
    <x v="140"/>
    <s v="1.80-12.44"/>
    <n v="7.12"/>
    <s v="#13"/>
    <x v="2"/>
    <n v="12.44"/>
    <n v="1.8"/>
    <n v="5.32"/>
    <n v="28.302399999999999"/>
    <x v="7"/>
    <s v="NA17WR"/>
    <n v="3"/>
    <s v="NA17WR-3"/>
  </r>
  <r>
    <x v="15"/>
    <x v="139"/>
    <s v="1.64-12.58"/>
    <n v="7.11"/>
    <s v="#10"/>
    <x v="1"/>
    <n v="12.58"/>
    <n v="1.64"/>
    <n v="5.47"/>
    <n v="29.9209"/>
    <x v="6"/>
    <s v="lucas10RB"/>
    <n v="2"/>
    <s v="lucas10RB-2"/>
  </r>
  <r>
    <x v="14"/>
    <x v="114"/>
    <s v="2.52-11.70"/>
    <n v="7.11"/>
    <s v="#2"/>
    <x v="3"/>
    <n v="11.7"/>
    <n v="2.52"/>
    <n v="4.59"/>
    <n v="21.068100000000001"/>
    <x v="3"/>
    <s v="chad4TE"/>
    <n v="1"/>
    <s v="chad4TE-1"/>
  </r>
  <r>
    <x v="9"/>
    <x v="134"/>
    <s v="1.91-12.31"/>
    <n v="7.11"/>
    <s v="#31"/>
    <x v="1"/>
    <n v="12.31"/>
    <n v="1.91"/>
    <n v="5.2"/>
    <n v="27.04"/>
    <x v="3"/>
    <s v="chad15RB"/>
    <n v="4"/>
    <s v="chad15RB-4"/>
  </r>
  <r>
    <x v="10"/>
    <x v="130"/>
    <s v="1.13-13.07"/>
    <n v="7.1"/>
    <s v="#9"/>
    <x v="3"/>
    <n v="13.07"/>
    <n v="1.1299999999999999"/>
    <n v="5.97"/>
    <n v="35.640900000000002"/>
    <x v="0"/>
    <s v="matty2TE"/>
    <n v="1"/>
    <s v="matty2TE-1"/>
  </r>
  <r>
    <x v="2"/>
    <x v="103"/>
    <s v="0.93-13.25"/>
    <n v="7.09"/>
    <s v="#15"/>
    <x v="2"/>
    <n v="13.25"/>
    <n v="0.93"/>
    <n v="6.16"/>
    <n v="37.945599999999999"/>
    <x v="4"/>
    <s v="scott9WR"/>
    <n v="4"/>
    <s v="scott9WR-4"/>
  </r>
  <r>
    <x v="14"/>
    <x v="126"/>
    <s v="0.11-14.07"/>
    <n v="7.09"/>
    <s v="#24"/>
    <x v="2"/>
    <n v="14.07"/>
    <n v="0.11"/>
    <n v="6.98"/>
    <n v="48.720399999999998"/>
    <x v="3"/>
    <s v="chad4WR"/>
    <n v="3"/>
    <s v="chad4WR-3"/>
  </r>
  <r>
    <x v="15"/>
    <x v="123"/>
    <s v="1.33-12.85"/>
    <n v="7.09"/>
    <s v="#5"/>
    <x v="2"/>
    <n v="12.85"/>
    <n v="1.33"/>
    <n v="5.76"/>
    <n v="33.177599999999998"/>
    <x v="4"/>
    <s v="scott10WR"/>
    <n v="3"/>
    <s v="scott10WR-3"/>
  </r>
  <r>
    <x v="2"/>
    <x v="133"/>
    <s v="1.67-12.51"/>
    <n v="7.09"/>
    <s v="#27"/>
    <x v="1"/>
    <n v="12.51"/>
    <n v="1.67"/>
    <n v="5.42"/>
    <n v="29.3764"/>
    <x v="8"/>
    <s v="comp9RB"/>
    <n v="3"/>
    <s v="comp9RB-3"/>
  </r>
  <r>
    <x v="7"/>
    <x v="163"/>
    <s v="1.22-12.96"/>
    <n v="7.09"/>
    <s v="#5"/>
    <x v="1"/>
    <n v="12.96"/>
    <n v="1.22"/>
    <n v="5.87"/>
    <n v="34.456899999999997"/>
    <x v="9"/>
    <s v="seth1RB"/>
    <n v="4"/>
    <s v="seth1RB-4"/>
  </r>
  <r>
    <x v="11"/>
    <x v="121"/>
    <s v="1.12-13.04"/>
    <n v="7.08"/>
    <s v="#7"/>
    <x v="2"/>
    <n v="13.04"/>
    <n v="1.1200000000000001"/>
    <n v="5.96"/>
    <n v="35.521599999999999"/>
    <x v="3"/>
    <s v="chad14WR"/>
    <n v="5"/>
    <s v="chad14WR-5"/>
  </r>
  <r>
    <x v="13"/>
    <x v="139"/>
    <s v="1.06-13.10"/>
    <n v="7.08"/>
    <s v="#28"/>
    <x v="1"/>
    <n v="13.1"/>
    <n v="1.06"/>
    <n v="6.02"/>
    <n v="36.240400000000001"/>
    <x v="6"/>
    <s v="lucas8RB"/>
    <n v="3"/>
    <s v="lucas8RB-3"/>
  </r>
  <r>
    <x v="2"/>
    <x v="126"/>
    <s v="0.31-13.85"/>
    <n v="7.08"/>
    <s v="#21"/>
    <x v="2"/>
    <n v="13.85"/>
    <n v="0.31"/>
    <n v="6.77"/>
    <n v="45.832900000000002"/>
    <x v="3"/>
    <s v="chad9WR"/>
    <n v="6"/>
    <s v="chad9WR-6"/>
  </r>
  <r>
    <x v="0"/>
    <x v="133"/>
    <s v="1.13-13.03"/>
    <n v="7.08"/>
    <s v="#20"/>
    <x v="1"/>
    <n v="13.03"/>
    <n v="1.1299999999999999"/>
    <n v="5.95"/>
    <n v="35.402500000000003"/>
    <x v="8"/>
    <s v="comp17RB"/>
    <n v="3"/>
    <s v="comp17RB-3"/>
  </r>
  <r>
    <x v="0"/>
    <x v="74"/>
    <s v="1.47-12.67"/>
    <n v="7.07"/>
    <s v="#27"/>
    <x v="1"/>
    <n v="12.67"/>
    <n v="1.47"/>
    <n v="5.6"/>
    <n v="31.36"/>
    <x v="9"/>
    <s v="seth17RB"/>
    <n v="3"/>
    <s v="seth17RB-3"/>
  </r>
  <r>
    <x v="6"/>
    <x v="140"/>
    <s v="1.19-12.95"/>
    <n v="7.07"/>
    <s v="#7"/>
    <x v="2"/>
    <n v="12.95"/>
    <n v="1.19"/>
    <n v="5.88"/>
    <n v="34.574399999999997"/>
    <x v="7"/>
    <s v="NA12WR"/>
    <n v="4"/>
    <s v="NA12WR-4"/>
  </r>
  <r>
    <x v="16"/>
    <x v="164"/>
    <s v="1.24-12.88"/>
    <n v="7.06"/>
    <s v="#32"/>
    <x v="2"/>
    <n v="12.88"/>
    <n v="1.24"/>
    <n v="5.82"/>
    <n v="33.872399999999999"/>
    <x v="7"/>
    <s v="NA3WR"/>
    <n v="1"/>
    <s v="NA3WR-1"/>
  </r>
  <r>
    <x v="12"/>
    <x v="144"/>
    <s v="2.08-12.04"/>
    <n v="7.06"/>
    <s v="#16"/>
    <x v="2"/>
    <n v="12.04"/>
    <n v="2.08"/>
    <n v="4.9800000000000004"/>
    <n v="24.8004"/>
    <x v="7"/>
    <s v="NA5WR"/>
    <n v="1"/>
    <s v="NA5WR-1"/>
  </r>
  <r>
    <x v="0"/>
    <x v="132"/>
    <s v="1.61-12.49"/>
    <n v="7.05"/>
    <s v="#10"/>
    <x v="1"/>
    <n v="12.49"/>
    <n v="1.61"/>
    <n v="5.44"/>
    <n v="29.593599999999999"/>
    <x v="9"/>
    <s v="seth17RB"/>
    <n v="4"/>
    <s v="seth17RB-4"/>
  </r>
  <r>
    <x v="1"/>
    <x v="130"/>
    <s v="0.04-14.06"/>
    <n v="7.05"/>
    <s v="#14"/>
    <x v="3"/>
    <n v="14.06"/>
    <n v="0.04"/>
    <n v="7.01"/>
    <n v="49.140099999999997"/>
    <x v="0"/>
    <s v="matty16TE"/>
    <n v="1"/>
    <s v="matty16TE-1"/>
  </r>
  <r>
    <x v="6"/>
    <x v="111"/>
    <s v="1.33-12.77"/>
    <n v="7.05"/>
    <s v="#1"/>
    <x v="2"/>
    <n v="12.77"/>
    <n v="1.33"/>
    <n v="5.72"/>
    <n v="32.718400000000003"/>
    <x v="9"/>
    <s v="seth12WR"/>
    <n v="5"/>
    <s v="seth12WR-5"/>
  </r>
  <r>
    <x v="8"/>
    <x v="144"/>
    <s v="2.07-12.03"/>
    <n v="7.05"/>
    <s v="#9"/>
    <x v="2"/>
    <n v="12.03"/>
    <n v="2.0699999999999998"/>
    <n v="4.9800000000000004"/>
    <n v="24.8004"/>
    <x v="7"/>
    <s v="NA6WR"/>
    <n v="1"/>
    <s v="NA6WR-1"/>
  </r>
  <r>
    <x v="5"/>
    <x v="138"/>
    <s v="1.21-12.87"/>
    <n v="7.04"/>
    <s v="#15"/>
    <x v="1"/>
    <n v="12.87"/>
    <n v="1.21"/>
    <n v="5.83"/>
    <n v="33.988900000000001"/>
    <x v="0"/>
    <s v="matty13RB"/>
    <n v="4"/>
    <s v="matty13RB-4"/>
  </r>
  <r>
    <x v="14"/>
    <x v="156"/>
    <s v="2.16-11.92"/>
    <n v="7.04"/>
    <s v="#17"/>
    <x v="1"/>
    <n v="11.92"/>
    <n v="2.16"/>
    <n v="4.88"/>
    <n v="23.814399999999999"/>
    <x v="7"/>
    <s v="NA4RB"/>
    <n v="4"/>
    <s v="NA4RB-4"/>
  </r>
  <r>
    <x v="14"/>
    <x v="111"/>
    <s v="2.01-12.05"/>
    <n v="7.03"/>
    <s v="#2"/>
    <x v="2"/>
    <n v="12.05"/>
    <n v="2.0099999999999998"/>
    <n v="5.0199999999999996"/>
    <n v="25.200399999999998"/>
    <x v="9"/>
    <s v="seth4WR"/>
    <n v="4"/>
    <s v="seth4WR-4"/>
  </r>
  <r>
    <x v="6"/>
    <x v="110"/>
    <s v="1.30-12.76"/>
    <n v="7.03"/>
    <s v="#5"/>
    <x v="1"/>
    <n v="12.76"/>
    <n v="1.3"/>
    <n v="5.73"/>
    <n v="32.832900000000002"/>
    <x v="10"/>
    <s v="aj12RB"/>
    <n v="4"/>
    <s v="aj12RB-4"/>
  </r>
  <r>
    <x v="13"/>
    <x v="126"/>
    <s v="0.40-13.64"/>
    <n v="7.02"/>
    <s v="#11"/>
    <x v="2"/>
    <n v="13.64"/>
    <n v="0.4"/>
    <n v="6.62"/>
    <n v="43.824399999999997"/>
    <x v="3"/>
    <s v="chad8WR"/>
    <n v="5"/>
    <s v="chad8WR-5"/>
  </r>
  <r>
    <x v="3"/>
    <x v="160"/>
    <s v="2.79-11.25"/>
    <n v="7.02"/>
    <s v="#26"/>
    <x v="1"/>
    <n v="11.25"/>
    <n v="2.79"/>
    <n v="4.2300000000000004"/>
    <n v="17.892900000000001"/>
    <x v="7"/>
    <s v="NA11RB"/>
    <n v="1"/>
    <s v="NA11RB-1"/>
  </r>
  <r>
    <x v="15"/>
    <x v="138"/>
    <s v="1.69-12.33"/>
    <n v="7.01"/>
    <s v="#25"/>
    <x v="1"/>
    <n v="12.33"/>
    <n v="1.69"/>
    <n v="5.32"/>
    <n v="28.302399999999999"/>
    <x v="0"/>
    <s v="matty10RB"/>
    <n v="4"/>
    <s v="matty10RB-4"/>
  </r>
  <r>
    <x v="6"/>
    <x v="90"/>
    <s v="2.19-11.83"/>
    <n v="7.01"/>
    <s v="#3"/>
    <x v="1"/>
    <n v="11.83"/>
    <n v="2.19"/>
    <n v="4.82"/>
    <n v="23.232399999999998"/>
    <x v="10"/>
    <s v="aj12RB"/>
    <n v="5"/>
    <s v="aj12RB-5"/>
  </r>
  <r>
    <x v="13"/>
    <x v="119"/>
    <s v="1.84-12.18"/>
    <n v="7.01"/>
    <s v="#19"/>
    <x v="1"/>
    <n v="12.18"/>
    <n v="1.84"/>
    <n v="5.17"/>
    <n v="26.728899999999999"/>
    <x v="2"/>
    <s v="devon8RB"/>
    <n v="4"/>
    <s v="devon8RB-4"/>
  </r>
  <r>
    <x v="11"/>
    <x v="117"/>
    <s v="1.01-12.99"/>
    <n v="7"/>
    <s v="#1"/>
    <x v="2"/>
    <n v="12.99"/>
    <n v="1.01"/>
    <n v="5.99"/>
    <n v="35.880099999999999"/>
    <x v="4"/>
    <s v="scott14WR"/>
    <n v="4"/>
    <s v="scott14WR-4"/>
  </r>
  <r>
    <x v="1"/>
    <x v="114"/>
    <s v="2.23-11.75"/>
    <n v="6.99"/>
    <s v="#16"/>
    <x v="3"/>
    <n v="11.75"/>
    <n v="2.23"/>
    <n v="4.76"/>
    <n v="22.657599999999999"/>
    <x v="3"/>
    <s v="chad16TE"/>
    <n v="1"/>
    <s v="chad16TE-1"/>
  </r>
  <r>
    <x v="5"/>
    <x v="120"/>
    <s v="1.74-12.24"/>
    <n v="6.99"/>
    <s v="#11"/>
    <x v="2"/>
    <n v="12.24"/>
    <n v="1.74"/>
    <n v="5.25"/>
    <n v="27.5625"/>
    <x v="8"/>
    <s v="comp13WR"/>
    <n v="6"/>
    <s v="comp13WR-6"/>
  </r>
  <r>
    <x v="1"/>
    <x v="119"/>
    <s v="1.25-12.73"/>
    <n v="6.99"/>
    <s v="#23"/>
    <x v="1"/>
    <n v="12.73"/>
    <n v="1.25"/>
    <n v="5.74"/>
    <n v="32.947600000000001"/>
    <x v="2"/>
    <s v="devon16RB"/>
    <n v="5"/>
    <s v="devon16RB-5"/>
  </r>
  <r>
    <x v="3"/>
    <x v="148"/>
    <s v="2.54-11.42"/>
    <n v="6.98"/>
    <s v="#27"/>
    <x v="2"/>
    <n v="11.42"/>
    <n v="2.54"/>
    <n v="4.4400000000000004"/>
    <n v="19.7136"/>
    <x v="6"/>
    <s v="lucas11WR"/>
    <n v="3"/>
    <s v="lucas11WR-3"/>
  </r>
  <r>
    <x v="1"/>
    <x v="148"/>
    <s v="0.94-13.02"/>
    <n v="6.98"/>
    <s v="#14"/>
    <x v="2"/>
    <n v="13.02"/>
    <n v="0.94"/>
    <n v="6.04"/>
    <n v="36.4816"/>
    <x v="6"/>
    <s v="lucas16WR"/>
    <n v="4"/>
    <s v="lucas16WR-4"/>
  </r>
  <r>
    <x v="2"/>
    <x v="110"/>
    <s v="1.02-12.94"/>
    <n v="6.98"/>
    <s v="#26"/>
    <x v="1"/>
    <n v="12.94"/>
    <n v="1.02"/>
    <n v="5.96"/>
    <n v="35.521599999999999"/>
    <x v="10"/>
    <s v="aj9RB"/>
    <n v="3"/>
    <s v="aj9RB-3"/>
  </r>
  <r>
    <x v="15"/>
    <x v="144"/>
    <s v="1.93-12.03"/>
    <n v="6.98"/>
    <s v="#11"/>
    <x v="2"/>
    <n v="12.03"/>
    <n v="1.93"/>
    <n v="5.05"/>
    <n v="25.502500000000001"/>
    <x v="7"/>
    <s v="NA10WR"/>
    <n v="2"/>
    <s v="NA10WR-2"/>
  </r>
  <r>
    <x v="12"/>
    <x v="133"/>
    <s v="0.18-13.78"/>
    <n v="6.98"/>
    <s v="#4"/>
    <x v="1"/>
    <n v="13.78"/>
    <n v="0.18"/>
    <n v="6.8"/>
    <n v="46.24"/>
    <x v="8"/>
    <s v="comp5RB"/>
    <n v="3"/>
    <s v="comp5RB-3"/>
  </r>
  <r>
    <x v="16"/>
    <x v="162"/>
    <s v="2.77-11.17"/>
    <n v="6.97"/>
    <s v="#15"/>
    <x v="2"/>
    <n v="11.17"/>
    <n v="2.77"/>
    <n v="4.2"/>
    <n v="17.64"/>
    <x v="4"/>
    <s v="scott3WR"/>
    <n v="5"/>
    <s v="scott3WR-5"/>
  </r>
  <r>
    <x v="2"/>
    <x v="143"/>
    <s v="1.08-12.86"/>
    <n v="6.97"/>
    <s v="#17"/>
    <x v="2"/>
    <n v="12.86"/>
    <n v="1.08"/>
    <n v="5.89"/>
    <n v="34.692100000000003"/>
    <x v="0"/>
    <s v="matty9WR"/>
    <n v="5"/>
    <s v="matty9WR-5"/>
  </r>
  <r>
    <x v="6"/>
    <x v="119"/>
    <s v="1.21-12.73"/>
    <n v="6.97"/>
    <s v="#18"/>
    <x v="1"/>
    <n v="12.73"/>
    <n v="1.21"/>
    <n v="5.76"/>
    <n v="33.177599999999998"/>
    <x v="2"/>
    <s v="devon12RB"/>
    <n v="5"/>
    <s v="devon12RB-5"/>
  </r>
  <r>
    <x v="5"/>
    <x v="74"/>
    <s v="1.36-12.58"/>
    <n v="6.97"/>
    <s v="#9"/>
    <x v="1"/>
    <n v="12.58"/>
    <n v="1.36"/>
    <n v="5.61"/>
    <n v="31.472100000000001"/>
    <x v="9"/>
    <s v="seth13RB"/>
    <n v="4"/>
    <s v="seth13RB-4"/>
  </r>
  <r>
    <x v="12"/>
    <x v="140"/>
    <s v="2.12-11.82"/>
    <n v="6.97"/>
    <s v="#10"/>
    <x v="2"/>
    <n v="11.82"/>
    <n v="2.12"/>
    <n v="4.8499999999999996"/>
    <n v="23.522500000000001"/>
    <x v="7"/>
    <s v="NA5WR"/>
    <n v="2"/>
    <s v="NA5WR-2"/>
  </r>
  <r>
    <x v="14"/>
    <x v="132"/>
    <s v="1.97-11.95"/>
    <n v="6.96"/>
    <s v="#20"/>
    <x v="1"/>
    <n v="11.95"/>
    <n v="1.97"/>
    <n v="4.99"/>
    <n v="24.900099999999998"/>
    <x v="9"/>
    <s v="seth4RB"/>
    <n v="4"/>
    <s v="seth4RB-4"/>
  </r>
  <r>
    <x v="12"/>
    <x v="131"/>
    <s v="2.21-11.71"/>
    <n v="6.96"/>
    <s v="#17"/>
    <x v="1"/>
    <n v="11.71"/>
    <n v="2.21"/>
    <n v="4.75"/>
    <n v="22.5625"/>
    <x v="7"/>
    <s v="NA5RB"/>
    <n v="2"/>
    <s v="NA5RB-2"/>
  </r>
  <r>
    <x v="7"/>
    <x v="123"/>
    <s v="0.99-12.93"/>
    <n v="6.96"/>
    <s v="#4"/>
    <x v="2"/>
    <n v="12.93"/>
    <n v="0.99"/>
    <n v="5.97"/>
    <n v="35.640900000000002"/>
    <x v="4"/>
    <s v="scott1WR"/>
    <n v="1"/>
    <s v="scott1WR-1"/>
  </r>
  <r>
    <x v="5"/>
    <x v="137"/>
    <s v="2.44-11.48"/>
    <n v="6.96"/>
    <s v="#20"/>
    <x v="1"/>
    <n v="11.48"/>
    <n v="2.44"/>
    <n v="4.5199999999999996"/>
    <n v="20.430399999999999"/>
    <x v="2"/>
    <s v="devon13RB"/>
    <n v="5"/>
    <s v="devon13RB-5"/>
  </r>
  <r>
    <x v="10"/>
    <x v="141"/>
    <s v="1.86-12.06"/>
    <n v="6.96"/>
    <s v="#23"/>
    <x v="2"/>
    <n v="12.06"/>
    <n v="1.86"/>
    <n v="5.0999999999999996"/>
    <n v="26.01"/>
    <x v="5"/>
    <s v="cory2WR"/>
    <n v="4"/>
    <s v="cory2WR-4"/>
  </r>
  <r>
    <x v="15"/>
    <x v="100"/>
    <s v="1.69-12.21"/>
    <n v="6.95"/>
    <s v="#31"/>
    <x v="1"/>
    <n v="12.21"/>
    <n v="1.69"/>
    <n v="5.26"/>
    <n v="27.6676"/>
    <x v="6"/>
    <s v="lucas10RB"/>
    <n v="3"/>
    <s v="lucas10RB-3"/>
  </r>
  <r>
    <x v="4"/>
    <x v="130"/>
    <s v="0.11-13.79"/>
    <n v="6.95"/>
    <s v="#23"/>
    <x v="3"/>
    <n v="13.79"/>
    <n v="0.11"/>
    <n v="6.84"/>
    <n v="46.785600000000002"/>
    <x v="0"/>
    <s v="matty7TE"/>
    <n v="1"/>
    <s v="matty7TE-1"/>
  </r>
  <r>
    <x v="6"/>
    <x v="159"/>
    <s v="3.20-10.70"/>
    <n v="6.95"/>
    <s v="#21"/>
    <x v="3"/>
    <n v="10.7"/>
    <n v="3.2"/>
    <n v="3.75"/>
    <n v="14.0625"/>
    <x v="5"/>
    <s v="cory12TE"/>
    <n v="1"/>
    <s v="cory12TE-1"/>
  </r>
  <r>
    <x v="0"/>
    <x v="86"/>
    <s v="1.57-12.31"/>
    <n v="6.94"/>
    <s v="#28"/>
    <x v="1"/>
    <n v="12.31"/>
    <n v="1.57"/>
    <n v="5.37"/>
    <n v="28.8369"/>
    <x v="7"/>
    <s v="NA17RB"/>
    <n v="1"/>
    <s v="NA17RB-1"/>
  </r>
  <r>
    <x v="5"/>
    <x v="130"/>
    <s v="0.11-13.77"/>
    <n v="6.94"/>
    <s v="#6"/>
    <x v="3"/>
    <n v="13.77"/>
    <n v="0.11"/>
    <n v="6.83"/>
    <n v="46.648899999999998"/>
    <x v="0"/>
    <s v="matty13TE"/>
    <n v="1"/>
    <s v="matty13TE-1"/>
  </r>
  <r>
    <x v="10"/>
    <x v="111"/>
    <s v="2.85-11.03"/>
    <n v="6.94"/>
    <s v="#16"/>
    <x v="2"/>
    <n v="11.03"/>
    <n v="2.85"/>
    <n v="4.09"/>
    <n v="16.728100000000001"/>
    <x v="9"/>
    <s v="seth2WR"/>
    <n v="5"/>
    <s v="seth2WR-5"/>
  </r>
  <r>
    <x v="14"/>
    <x v="65"/>
    <s v="1.07-12.81"/>
    <n v="6.94"/>
    <s v="#24"/>
    <x v="1"/>
    <n v="12.81"/>
    <n v="1.07"/>
    <n v="5.87"/>
    <n v="34.456899999999997"/>
    <x v="2"/>
    <s v="devon4RB"/>
    <n v="3"/>
    <s v="devon4RB-3"/>
  </r>
  <r>
    <x v="13"/>
    <x v="95"/>
    <s v="0.77-13.09"/>
    <n v="6.93"/>
    <s v="#7"/>
    <x v="1"/>
    <n v="13.09"/>
    <n v="0.77"/>
    <n v="6.16"/>
    <n v="37.945599999999999"/>
    <x v="9"/>
    <s v="seth8RB"/>
    <n v="1"/>
    <s v="seth8RB-1"/>
  </r>
  <r>
    <x v="8"/>
    <x v="162"/>
    <s v="1.97-11.89"/>
    <n v="6.93"/>
    <s v="#29"/>
    <x v="2"/>
    <n v="11.89"/>
    <n v="1.97"/>
    <n v="4.96"/>
    <n v="24.601600000000001"/>
    <x v="4"/>
    <s v="scott6WR"/>
    <n v="3"/>
    <s v="scott6WR-3"/>
  </r>
  <r>
    <x v="6"/>
    <x v="143"/>
    <s v="0.97-12.89"/>
    <n v="6.93"/>
    <s v="#26"/>
    <x v="2"/>
    <n v="12.89"/>
    <n v="0.97"/>
    <n v="5.96"/>
    <n v="35.521599999999999"/>
    <x v="0"/>
    <s v="matty12WR"/>
    <n v="3"/>
    <s v="matty12WR-3"/>
  </r>
  <r>
    <x v="8"/>
    <x v="165"/>
    <s v="0.81-13.03"/>
    <n v="6.92"/>
    <s v="#31"/>
    <x v="3"/>
    <n v="13.03"/>
    <n v="0.81"/>
    <n v="6.11"/>
    <n v="37.332099999999997"/>
    <x v="8"/>
    <s v="comp6TE"/>
    <n v="1"/>
    <s v="comp6TE-1"/>
  </r>
  <r>
    <x v="16"/>
    <x v="136"/>
    <s v="1.06-12.78"/>
    <n v="6.92"/>
    <s v="#2"/>
    <x v="1"/>
    <n v="12.78"/>
    <n v="1.06"/>
    <n v="5.86"/>
    <n v="34.339599999999997"/>
    <x v="5"/>
    <s v="cory3RB"/>
    <n v="2"/>
    <s v="cory3RB-2"/>
  </r>
  <r>
    <x v="11"/>
    <x v="98"/>
    <s v="1.96-11.88"/>
    <n v="6.92"/>
    <s v="#17"/>
    <x v="1"/>
    <n v="11.88"/>
    <n v="1.96"/>
    <n v="4.96"/>
    <n v="24.601600000000001"/>
    <x v="6"/>
    <s v="lucas14RB"/>
    <n v="4"/>
    <s v="lucas14RB-4"/>
  </r>
  <r>
    <x v="0"/>
    <x v="117"/>
    <s v="2.43-11.41"/>
    <n v="6.92"/>
    <s v="#25"/>
    <x v="2"/>
    <n v="11.41"/>
    <n v="2.4300000000000002"/>
    <n v="4.49"/>
    <n v="20.1601"/>
    <x v="4"/>
    <s v="scott17WR"/>
    <n v="5"/>
    <s v="scott17WR-5"/>
  </r>
  <r>
    <x v="2"/>
    <x v="122"/>
    <s v="0.61-13.21"/>
    <n v="6.91"/>
    <s v="#17"/>
    <x v="1"/>
    <n v="13.21"/>
    <n v="0.61"/>
    <n v="6.3"/>
    <n v="39.69"/>
    <x v="2"/>
    <s v="devon9RB"/>
    <n v="5"/>
    <s v="devon9RB-5"/>
  </r>
  <r>
    <x v="1"/>
    <x v="95"/>
    <s v="0.34-13.48"/>
    <n v="6.91"/>
    <s v="#20"/>
    <x v="1"/>
    <n v="13.48"/>
    <n v="0.34"/>
    <n v="6.57"/>
    <n v="43.164900000000003"/>
    <x v="9"/>
    <s v="seth16RB"/>
    <n v="3"/>
    <s v="seth16RB-3"/>
  </r>
  <r>
    <x v="1"/>
    <x v="115"/>
    <s v="2.20-11.62"/>
    <n v="6.91"/>
    <s v="#10"/>
    <x v="2"/>
    <n v="11.62"/>
    <n v="2.2000000000000002"/>
    <n v="4.71"/>
    <n v="22.184100000000001"/>
    <x v="9"/>
    <s v="seth16WR"/>
    <n v="5"/>
    <s v="seth16WR-5"/>
  </r>
  <r>
    <x v="10"/>
    <x v="144"/>
    <s v="1.65-12.17"/>
    <n v="6.91"/>
    <s v="#24"/>
    <x v="2"/>
    <n v="12.17"/>
    <n v="1.65"/>
    <n v="5.26"/>
    <n v="27.6676"/>
    <x v="7"/>
    <s v="NA2WR"/>
    <n v="2"/>
    <s v="NA2WR-2"/>
  </r>
  <r>
    <x v="4"/>
    <x v="141"/>
    <s v="1.73-12.09"/>
    <n v="6.91"/>
    <s v="#29"/>
    <x v="2"/>
    <n v="12.09"/>
    <n v="1.73"/>
    <n v="5.18"/>
    <n v="26.8324"/>
    <x v="5"/>
    <s v="cory7WR"/>
    <n v="5"/>
    <s v="cory7WR-5"/>
  </r>
  <r>
    <x v="8"/>
    <x v="118"/>
    <s v="3.03-10.79"/>
    <n v="6.91"/>
    <s v="#15"/>
    <x v="2"/>
    <n v="10.79"/>
    <n v="3.03"/>
    <n v="3.88"/>
    <n v="15.054399999999999"/>
    <x v="5"/>
    <s v="cory6WR"/>
    <n v="3"/>
    <s v="cory6WR-3"/>
  </r>
  <r>
    <x v="5"/>
    <x v="100"/>
    <s v="2.94-10.86"/>
    <n v="6.9"/>
    <s v="#6"/>
    <x v="1"/>
    <n v="10.86"/>
    <n v="2.94"/>
    <n v="3.96"/>
    <n v="15.6816"/>
    <x v="6"/>
    <s v="lucas13RB"/>
    <n v="4"/>
    <s v="lucas13RB-4"/>
  </r>
  <r>
    <x v="2"/>
    <x v="86"/>
    <s v="1.72-12.08"/>
    <n v="6.9"/>
    <s v="#17"/>
    <x v="1"/>
    <n v="12.08"/>
    <n v="1.72"/>
    <n v="5.18"/>
    <n v="26.8324"/>
    <x v="7"/>
    <s v="NA9RB"/>
    <n v="2"/>
    <s v="NA9RB-2"/>
  </r>
  <r>
    <x v="2"/>
    <x v="148"/>
    <s v="2.10-11.70"/>
    <n v="6.9"/>
    <s v="#29"/>
    <x v="2"/>
    <n v="11.7"/>
    <n v="2.1"/>
    <n v="4.8"/>
    <n v="23.04"/>
    <x v="6"/>
    <s v="lucas9WR"/>
    <n v="4"/>
    <s v="lucas9WR-4"/>
  </r>
  <r>
    <x v="0"/>
    <x v="98"/>
    <s v="1.28-12.52"/>
    <n v="6.9"/>
    <s v="#11"/>
    <x v="1"/>
    <n v="12.52"/>
    <n v="1.28"/>
    <n v="5.62"/>
    <n v="31.584399999999999"/>
    <x v="6"/>
    <s v="lucas17RB"/>
    <n v="3"/>
    <s v="lucas17RB-3"/>
  </r>
  <r>
    <x v="13"/>
    <x v="159"/>
    <s v="3.08-10.72"/>
    <n v="6.9"/>
    <s v="#30"/>
    <x v="3"/>
    <n v="10.72"/>
    <n v="3.08"/>
    <n v="3.82"/>
    <n v="14.5924"/>
    <x v="5"/>
    <s v="cory8TE"/>
    <n v="1"/>
    <s v="cory8TE-1"/>
  </r>
  <r>
    <x v="6"/>
    <x v="158"/>
    <s v="2.37-11.41"/>
    <n v="6.89"/>
    <s v="#31"/>
    <x v="3"/>
    <n v="11.41"/>
    <n v="2.37"/>
    <n v="4.5199999999999996"/>
    <n v="20.430399999999999"/>
    <x v="4"/>
    <s v="scott12TE"/>
    <n v="1"/>
    <s v="scott12TE-1"/>
  </r>
  <r>
    <x v="0"/>
    <x v="157"/>
    <s v="1.70-12.08"/>
    <n v="6.89"/>
    <s v="#29"/>
    <x v="3"/>
    <n v="12.08"/>
    <n v="1.7"/>
    <n v="5.19"/>
    <n v="26.9361"/>
    <x v="7"/>
    <s v="NA17TE"/>
    <n v="1"/>
    <s v="NA17TE-1"/>
  </r>
  <r>
    <x v="8"/>
    <x v="152"/>
    <s v="2.13-11.63"/>
    <n v="6.88"/>
    <s v="#9"/>
    <x v="1"/>
    <n v="11.63"/>
    <n v="2.13"/>
    <n v="4.75"/>
    <n v="22.5625"/>
    <x v="3"/>
    <s v="chad6RB"/>
    <n v="4"/>
    <s v="chad6RB-4"/>
  </r>
  <r>
    <x v="0"/>
    <x v="155"/>
    <s v="2.17-11.59"/>
    <n v="6.88"/>
    <s v="#27"/>
    <x v="2"/>
    <n v="11.59"/>
    <n v="2.17"/>
    <n v="4.71"/>
    <n v="22.184100000000001"/>
    <x v="4"/>
    <s v="scott17WR"/>
    <n v="6"/>
    <s v="scott17WR-6"/>
  </r>
  <r>
    <x v="6"/>
    <x v="157"/>
    <s v="1.23-12.53"/>
    <n v="6.88"/>
    <s v="#18"/>
    <x v="3"/>
    <n v="12.53"/>
    <n v="1.23"/>
    <n v="5.65"/>
    <n v="31.922499999999999"/>
    <x v="7"/>
    <s v="NA12TE"/>
    <n v="1"/>
    <s v="NA12TE-1"/>
  </r>
  <r>
    <x v="11"/>
    <x v="146"/>
    <s v="2.44-11.32"/>
    <n v="6.88"/>
    <s v="#3"/>
    <x v="2"/>
    <n v="11.32"/>
    <n v="2.44"/>
    <n v="4.4400000000000004"/>
    <n v="19.7136"/>
    <x v="7"/>
    <s v="NA14WR"/>
    <n v="2"/>
    <s v="NA14WR-2"/>
  </r>
  <r>
    <x v="5"/>
    <x v="88"/>
    <s v="1.92-11.82"/>
    <n v="6.87"/>
    <s v="#12"/>
    <x v="2"/>
    <n v="11.82"/>
    <n v="1.92"/>
    <n v="4.95"/>
    <n v="24.502500000000001"/>
    <x v="10"/>
    <s v="aj13WR"/>
    <n v="5"/>
    <s v="aj13WR-5"/>
  </r>
  <r>
    <x v="9"/>
    <x v="160"/>
    <s v="1.95-11.79"/>
    <n v="6.87"/>
    <s v="#21"/>
    <x v="1"/>
    <n v="11.79"/>
    <n v="1.95"/>
    <n v="4.92"/>
    <n v="24.206399999999999"/>
    <x v="7"/>
    <s v="NA15RB"/>
    <n v="1"/>
    <s v="NA15RB-1"/>
  </r>
  <r>
    <x v="1"/>
    <x v="162"/>
    <s v="2.33-11.39"/>
    <n v="6.86"/>
    <s v="#23"/>
    <x v="2"/>
    <n v="11.39"/>
    <n v="2.33"/>
    <n v="4.53"/>
    <n v="20.520900000000001"/>
    <x v="4"/>
    <s v="scott16WR"/>
    <n v="4"/>
    <s v="scott16WR-4"/>
  </r>
  <r>
    <x v="12"/>
    <x v="141"/>
    <s v="1.59-12.13"/>
    <n v="6.86"/>
    <s v="#7"/>
    <x v="2"/>
    <n v="12.13"/>
    <n v="1.59"/>
    <n v="5.27"/>
    <n v="27.7729"/>
    <x v="5"/>
    <s v="cory5WR"/>
    <n v="5"/>
    <s v="cory5WR-5"/>
  </r>
  <r>
    <x v="7"/>
    <x v="105"/>
    <s v="1.50-12.20"/>
    <n v="6.85"/>
    <s v="#24"/>
    <x v="1"/>
    <n v="12.2"/>
    <n v="1.5"/>
    <n v="5.35"/>
    <n v="28.622499999999999"/>
    <x v="3"/>
    <s v="chad1RB"/>
    <n v="4"/>
    <s v="chad1RB-4"/>
  </r>
  <r>
    <x v="14"/>
    <x v="86"/>
    <s v="1.03-12.67"/>
    <n v="6.85"/>
    <s v="#11"/>
    <x v="1"/>
    <n v="12.67"/>
    <n v="1.03"/>
    <n v="5.82"/>
    <n v="33.872399999999999"/>
    <x v="7"/>
    <s v="NA4RB"/>
    <n v="5"/>
    <s v="NA4RB-5"/>
  </r>
  <r>
    <x v="14"/>
    <x v="103"/>
    <s v="1.53-12.17"/>
    <n v="6.85"/>
    <s v="#15"/>
    <x v="2"/>
    <n v="12.17"/>
    <n v="1.53"/>
    <n v="5.32"/>
    <n v="28.302399999999999"/>
    <x v="4"/>
    <s v="scott4WR"/>
    <n v="5"/>
    <s v="scott4WR-5"/>
  </r>
  <r>
    <x v="4"/>
    <x v="98"/>
    <s v="2.17-11.53"/>
    <n v="6.85"/>
    <s v="#28"/>
    <x v="1"/>
    <n v="11.53"/>
    <n v="2.17"/>
    <n v="4.68"/>
    <n v="21.9024"/>
    <x v="6"/>
    <s v="lucas7RB"/>
    <n v="4"/>
    <s v="lucas7RB-4"/>
  </r>
  <r>
    <x v="2"/>
    <x v="98"/>
    <s v="1.91-11.79"/>
    <n v="6.85"/>
    <s v="#4"/>
    <x v="1"/>
    <n v="11.79"/>
    <n v="1.91"/>
    <n v="4.9400000000000004"/>
    <n v="24.403600000000001"/>
    <x v="6"/>
    <s v="lucas9RB"/>
    <n v="3"/>
    <s v="lucas9RB-3"/>
  </r>
  <r>
    <x v="14"/>
    <x v="135"/>
    <s v="2.26-11.44"/>
    <n v="6.85"/>
    <s v="#23"/>
    <x v="1"/>
    <n v="11.44"/>
    <n v="2.2599999999999998"/>
    <n v="4.59"/>
    <n v="21.068100000000001"/>
    <x v="7"/>
    <s v="NA4RB"/>
    <n v="6"/>
    <s v="NA4RB-6"/>
  </r>
  <r>
    <x v="14"/>
    <x v="133"/>
    <s v="1.05-12.63"/>
    <n v="6.84"/>
    <s v="#32"/>
    <x v="1"/>
    <n v="12.63"/>
    <n v="1.05"/>
    <n v="5.79"/>
    <n v="33.524099999999997"/>
    <x v="8"/>
    <s v="comp4RB"/>
    <n v="2"/>
    <s v="comp4RB-2"/>
  </r>
  <r>
    <x v="13"/>
    <x v="141"/>
    <s v="1.49-12.19"/>
    <n v="6.84"/>
    <s v="#12"/>
    <x v="2"/>
    <n v="12.19"/>
    <n v="1.49"/>
    <n v="5.35"/>
    <n v="28.622499999999999"/>
    <x v="5"/>
    <s v="cory8WR"/>
    <n v="4"/>
    <s v="cory8WR-4"/>
  </r>
  <r>
    <x v="10"/>
    <x v="147"/>
    <s v="2.46-11.22"/>
    <n v="6.84"/>
    <s v="#2"/>
    <x v="2"/>
    <n v="11.22"/>
    <n v="2.46"/>
    <n v="4.38"/>
    <n v="19.1844"/>
    <x v="7"/>
    <s v="NA2WR"/>
    <n v="3"/>
    <s v="NA2WR-3"/>
  </r>
  <r>
    <x v="14"/>
    <x v="124"/>
    <s v="2.52-11.14"/>
    <n v="6.83"/>
    <s v="#19"/>
    <x v="2"/>
    <n v="11.14"/>
    <n v="2.52"/>
    <n v="4.3099999999999996"/>
    <n v="18.5761"/>
    <x v="8"/>
    <s v="comp4WR"/>
    <n v="6"/>
    <s v="comp4WR-6"/>
  </r>
  <r>
    <x v="10"/>
    <x v="125"/>
    <s v="1.63-12.03"/>
    <n v="6.83"/>
    <s v="#26"/>
    <x v="3"/>
    <n v="12.03"/>
    <n v="1.63"/>
    <n v="5.2"/>
    <n v="27.04"/>
    <x v="9"/>
    <s v="seth2TE"/>
    <n v="1"/>
    <s v="seth2TE-1"/>
  </r>
  <r>
    <x v="12"/>
    <x v="166"/>
    <s v="1.79-11.87"/>
    <n v="6.83"/>
    <s v="#10"/>
    <x v="1"/>
    <n v="11.87"/>
    <n v="1.79"/>
    <n v="5.04"/>
    <n v="25.401599999999998"/>
    <x v="7"/>
    <s v="NA5RB"/>
    <n v="3"/>
    <s v="NA5RB-3"/>
  </r>
  <r>
    <x v="2"/>
    <x v="151"/>
    <s v="2.32-11.32"/>
    <n v="6.82"/>
    <s v="#32"/>
    <x v="1"/>
    <n v="11.32"/>
    <n v="2.3199999999999998"/>
    <n v="4.5"/>
    <n v="20.25"/>
    <x v="7"/>
    <s v="NA9RB"/>
    <n v="3"/>
    <s v="NA9RB-3"/>
  </r>
  <r>
    <x v="7"/>
    <x v="63"/>
    <s v="1.64-12.00"/>
    <n v="6.82"/>
    <s v="#2"/>
    <x v="2"/>
    <n v="12"/>
    <n v="1.64"/>
    <n v="5.18"/>
    <n v="26.8324"/>
    <x v="4"/>
    <s v="scott1WR"/>
    <n v="2"/>
    <s v="scott1WR-2"/>
  </r>
  <r>
    <x v="12"/>
    <x v="167"/>
    <n v="-18.72"/>
    <n v="6.82"/>
    <s v="#28"/>
    <x v="2"/>
    <n v="16.18"/>
    <n v="-2.54"/>
    <n v="9.36"/>
    <n v="87.6096"/>
    <x v="10"/>
    <s v="aj5WR"/>
    <n v="5"/>
    <s v="aj5WR-5"/>
  </r>
  <r>
    <x v="1"/>
    <x v="152"/>
    <s v="2.12-11.50"/>
    <n v="6.81"/>
    <s v="#21"/>
    <x v="1"/>
    <n v="11.5"/>
    <n v="2.12"/>
    <n v="4.6900000000000004"/>
    <n v="21.996099999999998"/>
    <x v="3"/>
    <s v="chad16RB"/>
    <n v="5"/>
    <s v="chad16RB-5"/>
  </r>
  <r>
    <x v="16"/>
    <x v="168"/>
    <s v="0.43-13.19"/>
    <n v="6.81"/>
    <s v="#9"/>
    <x v="1"/>
    <n v="13.19"/>
    <n v="0.43"/>
    <n v="6.38"/>
    <n v="40.7044"/>
    <x v="7"/>
    <s v="NA3RB"/>
    <n v="9"/>
    <s v="NA3RB-9"/>
  </r>
  <r>
    <x v="12"/>
    <x v="121"/>
    <s v="1.48-12.12"/>
    <n v="6.8"/>
    <s v="#1"/>
    <x v="2"/>
    <n v="12.12"/>
    <n v="1.48"/>
    <n v="5.32"/>
    <n v="28.302399999999999"/>
    <x v="3"/>
    <s v="chad5WR"/>
    <n v="6"/>
    <s v="chad5WR-6"/>
  </r>
  <r>
    <x v="16"/>
    <x v="85"/>
    <s v="2.44-11.16"/>
    <n v="6.8"/>
    <s v="#28"/>
    <x v="1"/>
    <n v="11.16"/>
    <n v="2.44"/>
    <n v="4.3600000000000003"/>
    <n v="19.009599999999999"/>
    <x v="5"/>
    <s v="cory3RB"/>
    <n v="3"/>
    <s v="cory3RB-3"/>
  </r>
  <r>
    <x v="9"/>
    <x v="62"/>
    <s v="1.92-11.68"/>
    <n v="6.8"/>
    <s v="#13"/>
    <x v="1"/>
    <n v="11.68"/>
    <n v="1.92"/>
    <n v="4.88"/>
    <n v="23.814399999999999"/>
    <x v="6"/>
    <s v="lucas15RB"/>
    <n v="2"/>
    <s v="lucas15RB-2"/>
  </r>
  <r>
    <x v="4"/>
    <x v="135"/>
    <s v="1.66-11.94"/>
    <n v="6.8"/>
    <s v="#24"/>
    <x v="1"/>
    <n v="11.94"/>
    <n v="1.66"/>
    <n v="5.14"/>
    <n v="26.419599999999999"/>
    <x v="7"/>
    <s v="NA7RB"/>
    <n v="3"/>
    <s v="NA7RB-3"/>
  </r>
  <r>
    <x v="5"/>
    <x v="140"/>
    <s v="1.67-11.93"/>
    <n v="6.8"/>
    <s v="#18"/>
    <x v="2"/>
    <n v="11.93"/>
    <n v="1.67"/>
    <n v="5.13"/>
    <n v="26.3169"/>
    <x v="7"/>
    <s v="NA13WR"/>
    <n v="2"/>
    <s v="NA13WR-2"/>
  </r>
  <r>
    <x v="16"/>
    <x v="169"/>
    <s v="0.06-13.52"/>
    <n v="6.79"/>
    <s v="#26"/>
    <x v="1"/>
    <n v="13.52"/>
    <n v="0.06"/>
    <n v="6.73"/>
    <n v="45.292900000000003"/>
    <x v="7"/>
    <s v="NA3RB"/>
    <n v="10"/>
    <s v="NA3RB-10"/>
  </r>
  <r>
    <x v="4"/>
    <x v="159"/>
    <s v="2.95-10.63"/>
    <n v="6.79"/>
    <s v="#4"/>
    <x v="3"/>
    <n v="10.63"/>
    <n v="2.95"/>
    <n v="3.84"/>
    <n v="14.7456"/>
    <x v="5"/>
    <s v="cory7TE"/>
    <n v="1"/>
    <s v="cory7TE-1"/>
  </r>
  <r>
    <x v="1"/>
    <x v="166"/>
    <s v="2.23-11.35"/>
    <n v="6.79"/>
    <s v="#32"/>
    <x v="1"/>
    <n v="11.35"/>
    <n v="2.23"/>
    <n v="4.5599999999999996"/>
    <n v="20.793600000000001"/>
    <x v="7"/>
    <s v="NA16RB"/>
    <n v="1"/>
    <s v="NA16RB-1"/>
  </r>
  <r>
    <x v="16"/>
    <x v="158"/>
    <s v="2.27-11.29"/>
    <n v="6.78"/>
    <s v="#32"/>
    <x v="3"/>
    <n v="11.29"/>
    <n v="2.27"/>
    <n v="4.51"/>
    <n v="20.3401"/>
    <x v="4"/>
    <s v="scott3TE"/>
    <n v="1"/>
    <s v="scott3TE-1"/>
  </r>
  <r>
    <x v="15"/>
    <x v="140"/>
    <s v="1.93-11.63"/>
    <n v="6.78"/>
    <s v="#10"/>
    <x v="2"/>
    <n v="11.63"/>
    <n v="1.93"/>
    <n v="4.8499999999999996"/>
    <n v="23.522500000000001"/>
    <x v="7"/>
    <s v="NA10WR"/>
    <n v="3"/>
    <s v="NA10WR-3"/>
  </r>
  <r>
    <x v="9"/>
    <x v="139"/>
    <s v="1.23-12.31"/>
    <n v="6.77"/>
    <s v="#18"/>
    <x v="1"/>
    <n v="12.31"/>
    <n v="1.23"/>
    <n v="5.54"/>
    <n v="30.691600000000001"/>
    <x v="6"/>
    <s v="lucas15RB"/>
    <n v="3"/>
    <s v="lucas15RB-3"/>
  </r>
  <r>
    <x v="0"/>
    <x v="101"/>
    <s v="1.91-11.63"/>
    <n v="6.77"/>
    <s v="#20"/>
    <x v="2"/>
    <n v="11.63"/>
    <n v="1.91"/>
    <n v="4.8600000000000003"/>
    <n v="23.619599999999998"/>
    <x v="8"/>
    <s v="comp17WR"/>
    <n v="5"/>
    <s v="comp17WR-5"/>
  </r>
  <r>
    <x v="4"/>
    <x v="152"/>
    <s v="1.35-12.19"/>
    <n v="6.77"/>
    <s v="#26"/>
    <x v="1"/>
    <n v="12.19"/>
    <n v="1.35"/>
    <n v="5.42"/>
    <n v="29.3764"/>
    <x v="3"/>
    <s v="chad7RB"/>
    <n v="5"/>
    <s v="chad7RB-5"/>
  </r>
  <r>
    <x v="2"/>
    <x v="62"/>
    <s v="1.39-12.15"/>
    <n v="6.77"/>
    <s v="#12"/>
    <x v="1"/>
    <n v="12.15"/>
    <n v="1.39"/>
    <n v="5.38"/>
    <n v="28.944400000000002"/>
    <x v="6"/>
    <s v="lucas9RB"/>
    <n v="4"/>
    <s v="lucas9RB-4"/>
  </r>
  <r>
    <x v="15"/>
    <x v="143"/>
    <s v="0.94-12.58"/>
    <n v="6.76"/>
    <s v="#24"/>
    <x v="2"/>
    <n v="12.58"/>
    <n v="0.94"/>
    <n v="5.82"/>
    <n v="33.872399999999999"/>
    <x v="0"/>
    <s v="matty10WR"/>
    <n v="5"/>
    <s v="matty10WR-5"/>
  </r>
  <r>
    <x v="16"/>
    <x v="114"/>
    <s v="1.73-11.79"/>
    <n v="6.76"/>
    <s v="#24"/>
    <x v="3"/>
    <n v="11.79"/>
    <n v="1.73"/>
    <n v="5.03"/>
    <n v="25.300899999999999"/>
    <x v="3"/>
    <s v="chad3TE"/>
    <n v="1"/>
    <s v="chad3TE-1"/>
  </r>
  <r>
    <x v="7"/>
    <x v="170"/>
    <s v="1.13-12.39"/>
    <n v="6.76"/>
    <s v="#21"/>
    <x v="3"/>
    <n v="12.39"/>
    <n v="1.1299999999999999"/>
    <n v="5.63"/>
    <n v="31.696899999999999"/>
    <x v="8"/>
    <s v="comp1TE"/>
    <n v="1"/>
    <s v="comp1TE-1"/>
  </r>
  <r>
    <x v="16"/>
    <x v="140"/>
    <s v="1.62-11.90"/>
    <n v="6.76"/>
    <s v="#23"/>
    <x v="2"/>
    <n v="11.9"/>
    <n v="1.62"/>
    <n v="5.14"/>
    <n v="26.419599999999999"/>
    <x v="7"/>
    <s v="NA3WR"/>
    <n v="2"/>
    <s v="NA3WR-2"/>
  </r>
  <r>
    <x v="0"/>
    <x v="120"/>
    <s v="1.50-12.00"/>
    <n v="6.75"/>
    <s v="#11"/>
    <x v="2"/>
    <n v="12"/>
    <n v="1.5"/>
    <n v="5.25"/>
    <n v="27.5625"/>
    <x v="8"/>
    <s v="comp17WR"/>
    <n v="6"/>
    <s v="comp17WR-6"/>
  </r>
  <r>
    <x v="1"/>
    <x v="74"/>
    <s v="0.65-12.85"/>
    <n v="6.75"/>
    <s v="#24"/>
    <x v="1"/>
    <n v="12.85"/>
    <n v="0.65"/>
    <n v="6.1"/>
    <n v="37.21"/>
    <x v="9"/>
    <s v="seth16RB"/>
    <n v="4"/>
    <s v="seth16RB-4"/>
  </r>
  <r>
    <x v="8"/>
    <x v="143"/>
    <s v="0.98-12.50"/>
    <n v="6.74"/>
    <s v="#18"/>
    <x v="2"/>
    <n v="12.5"/>
    <n v="0.98"/>
    <n v="5.76"/>
    <n v="33.177599999999998"/>
    <x v="0"/>
    <s v="matty6WR"/>
    <n v="4"/>
    <s v="matty6WR-4"/>
  </r>
  <r>
    <x v="5"/>
    <x v="134"/>
    <s v="0.96-12.52"/>
    <n v="6.74"/>
    <s v="#29"/>
    <x v="1"/>
    <n v="12.52"/>
    <n v="0.96"/>
    <n v="5.78"/>
    <n v="33.4084"/>
    <x v="3"/>
    <s v="chad13RB"/>
    <n v="4"/>
    <s v="chad13RB-4"/>
  </r>
  <r>
    <x v="12"/>
    <x v="171"/>
    <n v="-13.6"/>
    <n v="6.73"/>
    <s v="#17"/>
    <x v="2"/>
    <n v="13.53"/>
    <n v="-7.0000000000000007E-2"/>
    <n v="6.8"/>
    <n v="46.24"/>
    <x v="7"/>
    <s v="NA5WR"/>
    <n v="3"/>
    <s v="NA5WR-3"/>
  </r>
  <r>
    <x v="6"/>
    <x v="139"/>
    <s v="1.85-11.61"/>
    <n v="6.73"/>
    <s v="#7"/>
    <x v="1"/>
    <n v="11.61"/>
    <n v="1.85"/>
    <n v="4.88"/>
    <n v="23.814399999999999"/>
    <x v="6"/>
    <s v="lucas12RB"/>
    <n v="4"/>
    <s v="lucas12RB-4"/>
  </r>
  <r>
    <x v="7"/>
    <x v="144"/>
    <s v="1.55-11.91"/>
    <n v="6.73"/>
    <s v="#28"/>
    <x v="2"/>
    <n v="11.91"/>
    <n v="1.55"/>
    <n v="5.18"/>
    <n v="26.8324"/>
    <x v="7"/>
    <s v="NA1WR"/>
    <n v="1"/>
    <s v="NA1WR-1"/>
  </r>
  <r>
    <x v="7"/>
    <x v="147"/>
    <s v="1.93-11.53"/>
    <n v="6.73"/>
    <s v="#31"/>
    <x v="2"/>
    <n v="11.53"/>
    <n v="1.93"/>
    <n v="4.8"/>
    <n v="23.04"/>
    <x v="7"/>
    <s v="NA1WR"/>
    <n v="2"/>
    <s v="NA1WR-2"/>
  </r>
  <r>
    <x v="0"/>
    <x v="135"/>
    <s v="1.58-11.88"/>
    <n v="6.73"/>
    <s v="#21"/>
    <x v="1"/>
    <n v="11.88"/>
    <n v="1.58"/>
    <n v="5.15"/>
    <n v="26.522500000000001"/>
    <x v="7"/>
    <s v="NA17RB"/>
    <n v="2"/>
    <s v="NA17RB-2"/>
  </r>
  <r>
    <x v="11"/>
    <x v="139"/>
    <s v="2.40-11.04"/>
    <n v="6.72"/>
    <s v="#26"/>
    <x v="1"/>
    <n v="11.04"/>
    <n v="2.4"/>
    <n v="4.32"/>
    <n v="18.662400000000002"/>
    <x v="6"/>
    <s v="lucas14RB"/>
    <n v="5"/>
    <s v="lucas14RB-5"/>
  </r>
  <r>
    <x v="7"/>
    <x v="76"/>
    <s v="2.52-10.92"/>
    <n v="6.72"/>
    <s v="#9"/>
    <x v="1"/>
    <n v="10.92"/>
    <n v="2.52"/>
    <n v="4.2"/>
    <n v="17.64"/>
    <x v="7"/>
    <s v="NA1RB"/>
    <n v="4"/>
    <s v="NA1RB-4"/>
  </r>
  <r>
    <x v="11"/>
    <x v="144"/>
    <s v="1.66-11.76"/>
    <n v="6.71"/>
    <s v="#11"/>
    <x v="2"/>
    <n v="11.76"/>
    <n v="1.66"/>
    <n v="5.05"/>
    <n v="25.502500000000001"/>
    <x v="7"/>
    <s v="NA14WR"/>
    <n v="3"/>
    <s v="NA14WR-3"/>
  </r>
  <r>
    <x v="9"/>
    <x v="121"/>
    <s v="1.69-11.71"/>
    <n v="6.7"/>
    <s v="#16"/>
    <x v="2"/>
    <n v="11.71"/>
    <n v="1.69"/>
    <n v="5.01"/>
    <n v="25.100100000000001"/>
    <x v="3"/>
    <s v="chad15WR"/>
    <n v="5"/>
    <s v="chad15WR-5"/>
  </r>
  <r>
    <x v="6"/>
    <x v="114"/>
    <s v="1.90-11.50"/>
    <n v="6.7"/>
    <s v="#1"/>
    <x v="3"/>
    <n v="11.5"/>
    <n v="1.9"/>
    <n v="4.8"/>
    <n v="23.04"/>
    <x v="3"/>
    <s v="chad12TE"/>
    <n v="1"/>
    <s v="chad12TE-1"/>
  </r>
  <r>
    <x v="2"/>
    <x v="137"/>
    <s v="2.16-11.24"/>
    <n v="6.7"/>
    <s v="#1"/>
    <x v="1"/>
    <n v="11.24"/>
    <n v="2.16"/>
    <n v="4.54"/>
    <n v="20.611599999999999"/>
    <x v="2"/>
    <s v="devon9RB"/>
    <n v="6"/>
    <s v="devon9RB-6"/>
  </r>
  <r>
    <x v="5"/>
    <x v="117"/>
    <s v="2.21-11.19"/>
    <n v="6.7"/>
    <s v="#25"/>
    <x v="2"/>
    <n v="11.19"/>
    <n v="2.21"/>
    <n v="4.49"/>
    <n v="20.1601"/>
    <x v="4"/>
    <s v="scott13WR"/>
    <n v="4"/>
    <s v="scott13WR-4"/>
  </r>
  <r>
    <x v="7"/>
    <x v="164"/>
    <s v="0.88-12.50"/>
    <n v="6.69"/>
    <s v="#26"/>
    <x v="2"/>
    <n v="12.5"/>
    <n v="0.88"/>
    <n v="5.81"/>
    <n v="33.756100000000004"/>
    <x v="7"/>
    <s v="NA1WR"/>
    <n v="3"/>
    <s v="NA1WR-3"/>
  </r>
  <r>
    <x v="0"/>
    <x v="88"/>
    <s v="1.74-11.64"/>
    <n v="6.69"/>
    <s v="#12"/>
    <x v="2"/>
    <n v="11.64"/>
    <n v="1.74"/>
    <n v="4.95"/>
    <n v="24.502500000000001"/>
    <x v="10"/>
    <s v="aj17WR"/>
    <n v="5"/>
    <s v="aj17WR-5"/>
  </r>
  <r>
    <x v="3"/>
    <x v="74"/>
    <s v="1.16-12.22"/>
    <n v="6.69"/>
    <s v="#15"/>
    <x v="1"/>
    <n v="12.22"/>
    <n v="1.1599999999999999"/>
    <n v="5.53"/>
    <n v="30.5809"/>
    <x v="9"/>
    <s v="seth11RB"/>
    <n v="4"/>
    <s v="seth11RB-4"/>
  </r>
  <r>
    <x v="0"/>
    <x v="118"/>
    <s v="2.81-10.57"/>
    <n v="6.69"/>
    <s v="#15"/>
    <x v="2"/>
    <n v="10.57"/>
    <n v="2.81"/>
    <n v="3.88"/>
    <n v="15.054399999999999"/>
    <x v="5"/>
    <s v="cory17WR"/>
    <n v="5"/>
    <s v="cory17WR-5"/>
  </r>
  <r>
    <x v="1"/>
    <x v="161"/>
    <s v="1.44-11.92"/>
    <n v="6.68"/>
    <s v="#29"/>
    <x v="1"/>
    <n v="11.92"/>
    <n v="1.44"/>
    <n v="5.24"/>
    <n v="27.457599999999999"/>
    <x v="7"/>
    <s v="NA16RB"/>
    <n v="2"/>
    <s v="NA16RB-2"/>
  </r>
  <r>
    <x v="6"/>
    <x v="130"/>
    <n v="-13.68"/>
    <n v="6.68"/>
    <s v="#23"/>
    <x v="3"/>
    <n v="13.52"/>
    <n v="-0.16"/>
    <n v="6.84"/>
    <n v="46.785600000000002"/>
    <x v="0"/>
    <s v="matty12TE"/>
    <n v="1"/>
    <s v="matty12TE-1"/>
  </r>
  <r>
    <x v="2"/>
    <x v="159"/>
    <s v="3.03-10.31"/>
    <n v="6.67"/>
    <s v="#28"/>
    <x v="3"/>
    <n v="10.31"/>
    <n v="3.03"/>
    <n v="3.64"/>
    <n v="13.249599999999999"/>
    <x v="5"/>
    <s v="cory9TE"/>
    <n v="1"/>
    <s v="cory9TE-1"/>
  </r>
  <r>
    <x v="1"/>
    <x v="75"/>
    <s v="2.34-11.00"/>
    <n v="6.67"/>
    <s v="#28"/>
    <x v="1"/>
    <n v="11"/>
    <n v="2.34"/>
    <n v="4.33"/>
    <n v="18.748899999999999"/>
    <x v="9"/>
    <s v="seth16RB"/>
    <n v="5"/>
    <s v="seth16RB-5"/>
  </r>
  <r>
    <x v="9"/>
    <x v="86"/>
    <s v="2.40-10.92"/>
    <n v="6.66"/>
    <s v="#5"/>
    <x v="1"/>
    <n v="10.92"/>
    <n v="2.4"/>
    <n v="4.26"/>
    <n v="18.147600000000001"/>
    <x v="7"/>
    <s v="NA15RB"/>
    <n v="2"/>
    <s v="NA15RB-2"/>
  </r>
  <r>
    <x v="11"/>
    <x v="125"/>
    <s v="1.81-11.51"/>
    <n v="6.66"/>
    <s v="#29"/>
    <x v="3"/>
    <n v="11.51"/>
    <n v="1.81"/>
    <n v="4.8499999999999996"/>
    <n v="23.522500000000001"/>
    <x v="9"/>
    <s v="seth14TE"/>
    <n v="1"/>
    <s v="seth14TE-1"/>
  </r>
  <r>
    <x v="11"/>
    <x v="110"/>
    <s v="0.85-12.47"/>
    <n v="6.66"/>
    <s v="#13"/>
    <x v="1"/>
    <n v="12.47"/>
    <n v="0.85"/>
    <n v="5.81"/>
    <n v="33.756100000000004"/>
    <x v="10"/>
    <s v="aj14RB"/>
    <n v="5"/>
    <s v="aj14RB-5"/>
  </r>
  <r>
    <x v="4"/>
    <x v="54"/>
    <s v="2.76-10.56"/>
    <n v="6.66"/>
    <s v="#27"/>
    <x v="1"/>
    <n v="10.56"/>
    <n v="2.76"/>
    <n v="3.9"/>
    <n v="15.21"/>
    <x v="9"/>
    <s v="seth7RB"/>
    <n v="5"/>
    <s v="seth7RB-5"/>
  </r>
  <r>
    <x v="8"/>
    <x v="76"/>
    <s v="2.31-10.99"/>
    <n v="6.65"/>
    <s v="#15"/>
    <x v="1"/>
    <n v="10.99"/>
    <n v="2.31"/>
    <n v="4.34"/>
    <n v="18.835599999999999"/>
    <x v="7"/>
    <s v="NA6RB"/>
    <n v="1"/>
    <s v="NA6RB-1"/>
  </r>
  <r>
    <x v="6"/>
    <x v="152"/>
    <s v="1.97-11.33"/>
    <n v="6.65"/>
    <s v="#17"/>
    <x v="1"/>
    <n v="11.33"/>
    <n v="1.97"/>
    <n v="4.68"/>
    <n v="21.9024"/>
    <x v="3"/>
    <s v="chad12RB"/>
    <n v="3"/>
    <s v="chad12RB-3"/>
  </r>
  <r>
    <x v="0"/>
    <x v="125"/>
    <s v="1.93-11.37"/>
    <n v="6.65"/>
    <s v="#28"/>
    <x v="3"/>
    <n v="11.37"/>
    <n v="1.93"/>
    <n v="4.72"/>
    <n v="22.278400000000001"/>
    <x v="9"/>
    <s v="seth17TE"/>
    <n v="1"/>
    <s v="seth17TE-1"/>
  </r>
  <r>
    <x v="16"/>
    <x v="128"/>
    <s v="1.43-11.87"/>
    <n v="6.65"/>
    <s v="#32"/>
    <x v="2"/>
    <n v="11.87"/>
    <n v="1.43"/>
    <n v="5.22"/>
    <n v="27.2484"/>
    <x v="7"/>
    <s v="NA3WR"/>
    <n v="3"/>
    <s v="NA3WR-3"/>
  </r>
  <r>
    <x v="11"/>
    <x v="152"/>
    <s v="1.22-12.06"/>
    <n v="6.64"/>
    <s v="#11"/>
    <x v="1"/>
    <n v="12.06"/>
    <n v="1.22"/>
    <n v="5.42"/>
    <n v="29.3764"/>
    <x v="3"/>
    <s v="chad14RB"/>
    <n v="4"/>
    <s v="chad14RB-4"/>
  </r>
  <r>
    <x v="5"/>
    <x v="75"/>
    <s v="2.03-11.25"/>
    <n v="6.64"/>
    <s v="#17"/>
    <x v="1"/>
    <n v="11.25"/>
    <n v="2.0299999999999998"/>
    <n v="4.6100000000000003"/>
    <n v="21.252099999999999"/>
    <x v="9"/>
    <s v="seth13RB"/>
    <n v="5"/>
    <s v="seth13RB-5"/>
  </r>
  <r>
    <x v="5"/>
    <x v="172"/>
    <s v="2.48-10.80"/>
    <n v="6.64"/>
    <s v="#10"/>
    <x v="1"/>
    <n v="10.8"/>
    <n v="2.48"/>
    <n v="4.16"/>
    <n v="17.305599999999998"/>
    <x v="7"/>
    <s v="NA13RB"/>
    <n v="2"/>
    <s v="NA13RB-2"/>
  </r>
  <r>
    <x v="9"/>
    <x v="76"/>
    <s v="1.54-11.72"/>
    <n v="6.63"/>
    <s v="#25"/>
    <x v="1"/>
    <n v="11.72"/>
    <n v="1.54"/>
    <n v="5.09"/>
    <n v="25.908100000000001"/>
    <x v="7"/>
    <s v="NA15RB"/>
    <n v="3"/>
    <s v="NA15RB-3"/>
  </r>
  <r>
    <x v="15"/>
    <x v="110"/>
    <s v="0.90-12.36"/>
    <n v="6.63"/>
    <s v="#5"/>
    <x v="1"/>
    <n v="12.36"/>
    <n v="0.9"/>
    <n v="5.73"/>
    <n v="32.832900000000002"/>
    <x v="10"/>
    <s v="aj10RB"/>
    <n v="5"/>
    <s v="aj10RB-5"/>
  </r>
  <r>
    <x v="9"/>
    <x v="164"/>
    <s v="1.94-11.32"/>
    <n v="6.63"/>
    <s v="#8"/>
    <x v="2"/>
    <n v="11.32"/>
    <n v="1.94"/>
    <n v="4.6900000000000004"/>
    <n v="21.996099999999998"/>
    <x v="7"/>
    <s v="NA15WR"/>
    <n v="1"/>
    <s v="NA15WR-1"/>
  </r>
  <r>
    <x v="11"/>
    <x v="141"/>
    <s v="1.28-11.98"/>
    <n v="6.63"/>
    <s v="#12"/>
    <x v="2"/>
    <n v="11.98"/>
    <n v="1.28"/>
    <n v="5.35"/>
    <n v="28.622499999999999"/>
    <x v="5"/>
    <s v="cory14WR"/>
    <n v="4"/>
    <s v="cory14WR-4"/>
  </r>
  <r>
    <x v="15"/>
    <x v="62"/>
    <s v="1.90-11.36"/>
    <n v="6.63"/>
    <s v="#2"/>
    <x v="1"/>
    <n v="11.36"/>
    <n v="1.9"/>
    <n v="4.7300000000000004"/>
    <n v="22.372900000000001"/>
    <x v="6"/>
    <s v="lucas10RB"/>
    <n v="4"/>
    <s v="lucas10RB-4"/>
  </r>
  <r>
    <x v="0"/>
    <x v="165"/>
    <s v="0.51-12.73"/>
    <n v="6.62"/>
    <s v="#31"/>
    <x v="3"/>
    <n v="12.73"/>
    <n v="0.51"/>
    <n v="6.11"/>
    <n v="37.332099999999997"/>
    <x v="8"/>
    <s v="comp17TE"/>
    <n v="1"/>
    <s v="comp17TE-1"/>
  </r>
  <r>
    <x v="4"/>
    <x v="156"/>
    <s v="1.81-11.43"/>
    <n v="6.62"/>
    <s v="#28"/>
    <x v="1"/>
    <n v="11.43"/>
    <n v="1.81"/>
    <n v="4.8099999999999996"/>
    <n v="23.136099999999999"/>
    <x v="7"/>
    <s v="NA7RB"/>
    <n v="4"/>
    <s v="NA7RB-4"/>
  </r>
  <r>
    <x v="8"/>
    <x v="120"/>
    <s v="1.09-12.15"/>
    <n v="6.62"/>
    <s v="#5"/>
    <x v="2"/>
    <n v="12.15"/>
    <n v="1.0900000000000001"/>
    <n v="5.53"/>
    <n v="30.5809"/>
    <x v="8"/>
    <s v="comp6WR"/>
    <n v="6"/>
    <s v="comp6WR-6"/>
  </r>
  <r>
    <x v="9"/>
    <x v="142"/>
    <s v="0.39-12.85"/>
    <n v="6.62"/>
    <s v="#23"/>
    <x v="1"/>
    <n v="12.85"/>
    <n v="0.39"/>
    <n v="6.23"/>
    <n v="38.812899999999999"/>
    <x v="7"/>
    <s v="NA15RB"/>
    <n v="4"/>
    <s v="NA15RB-4"/>
  </r>
  <r>
    <x v="3"/>
    <x v="140"/>
    <s v="1.56-11.68"/>
    <n v="6.62"/>
    <s v="#21"/>
    <x v="2"/>
    <n v="11.68"/>
    <n v="1.56"/>
    <n v="5.0599999999999996"/>
    <n v="25.6036"/>
    <x v="7"/>
    <s v="NA11WR"/>
    <n v="2"/>
    <s v="NA11WR-2"/>
  </r>
  <r>
    <x v="9"/>
    <x v="140"/>
    <s v="1.48-11.74"/>
    <n v="6.61"/>
    <s v="#18"/>
    <x v="2"/>
    <n v="11.74"/>
    <n v="1.48"/>
    <n v="5.13"/>
    <n v="26.3169"/>
    <x v="7"/>
    <s v="NA15WR"/>
    <n v="2"/>
    <s v="NA15WR-2"/>
  </r>
  <r>
    <x v="1"/>
    <x v="103"/>
    <s v="0.03-13.17"/>
    <n v="6.6"/>
    <s v="#20"/>
    <x v="2"/>
    <n v="13.17"/>
    <n v="0.03"/>
    <n v="6.57"/>
    <n v="43.164900000000003"/>
    <x v="4"/>
    <s v="scott16WR"/>
    <n v="5"/>
    <s v="scott16WR-5"/>
  </r>
  <r>
    <x v="0"/>
    <x v="160"/>
    <s v="2.37-10.83"/>
    <n v="6.6"/>
    <s v="#26"/>
    <x v="1"/>
    <n v="10.83"/>
    <n v="2.37"/>
    <n v="4.2300000000000004"/>
    <n v="17.892900000000001"/>
    <x v="7"/>
    <s v="NA17RB"/>
    <n v="3"/>
    <s v="NA17RB-3"/>
  </r>
  <r>
    <x v="11"/>
    <x v="140"/>
    <s v="1.67-11.53"/>
    <n v="6.6"/>
    <s v="#26"/>
    <x v="2"/>
    <n v="11.53"/>
    <n v="1.67"/>
    <n v="4.93"/>
    <n v="24.3049"/>
    <x v="7"/>
    <s v="NA14WR"/>
    <n v="4"/>
    <s v="NA14WR-4"/>
  </r>
  <r>
    <x v="5"/>
    <x v="161"/>
    <s v="2.04-11.14"/>
    <n v="6.59"/>
    <s v="#31"/>
    <x v="1"/>
    <n v="11.14"/>
    <n v="2.04"/>
    <n v="4.55"/>
    <n v="20.702500000000001"/>
    <x v="7"/>
    <s v="NA13RB"/>
    <n v="3"/>
    <s v="NA13RB-3"/>
  </r>
  <r>
    <x v="15"/>
    <x v="154"/>
    <s v="1.14-12.04"/>
    <n v="6.59"/>
    <s v="#29"/>
    <x v="3"/>
    <n v="12.04"/>
    <n v="1.1399999999999999"/>
    <n v="5.45"/>
    <n v="29.702500000000001"/>
    <x v="7"/>
    <s v="NA10TE"/>
    <n v="1"/>
    <s v="NA10TE-1"/>
  </r>
  <r>
    <x v="12"/>
    <x v="155"/>
    <s v="2.42-10.76"/>
    <n v="6.59"/>
    <s v="#32"/>
    <x v="2"/>
    <n v="10.76"/>
    <n v="2.42"/>
    <n v="4.17"/>
    <n v="17.3889"/>
    <x v="4"/>
    <s v="scott5WR"/>
    <n v="4"/>
    <s v="scott5WR-4"/>
  </r>
  <r>
    <x v="6"/>
    <x v="155"/>
    <s v="2.49-10.69"/>
    <n v="6.59"/>
    <s v="#11"/>
    <x v="2"/>
    <n v="10.69"/>
    <n v="2.4900000000000002"/>
    <n v="4.0999999999999996"/>
    <n v="16.809999999999999"/>
    <x v="4"/>
    <s v="scott12WR"/>
    <n v="4"/>
    <s v="scott12WR-4"/>
  </r>
  <r>
    <x v="5"/>
    <x v="159"/>
    <s v="2.76-10.40"/>
    <n v="6.58"/>
    <s v="#17"/>
    <x v="3"/>
    <n v="10.4"/>
    <n v="2.76"/>
    <n v="3.82"/>
    <n v="14.5924"/>
    <x v="5"/>
    <s v="cory13TE"/>
    <n v="1"/>
    <s v="cory13TE-1"/>
  </r>
  <r>
    <x v="11"/>
    <x v="126"/>
    <s v="0.47-12.67"/>
    <n v="6.57"/>
    <s v="#24"/>
    <x v="2"/>
    <n v="12.67"/>
    <n v="0.47"/>
    <n v="6.1"/>
    <n v="37.21"/>
    <x v="3"/>
    <s v="chad14WR"/>
    <n v="6"/>
    <s v="chad14WR-6"/>
  </r>
  <r>
    <x v="9"/>
    <x v="159"/>
    <s v="3.08-10.06"/>
    <n v="6.57"/>
    <s v="#24"/>
    <x v="3"/>
    <n v="10.06"/>
    <n v="3.08"/>
    <n v="3.49"/>
    <n v="12.180099999999999"/>
    <x v="5"/>
    <s v="cory15TE"/>
    <n v="1"/>
    <s v="cory15TE-1"/>
  </r>
  <r>
    <x v="5"/>
    <x v="62"/>
    <s v="1.73-11.41"/>
    <n v="6.57"/>
    <s v="#1"/>
    <x v="1"/>
    <n v="11.41"/>
    <n v="1.73"/>
    <n v="4.84"/>
    <n v="23.425599999999999"/>
    <x v="6"/>
    <s v="lucas13RB"/>
    <n v="5"/>
    <s v="lucas13RB-5"/>
  </r>
  <r>
    <x v="10"/>
    <x v="145"/>
    <s v="1.25-11.87"/>
    <n v="6.56"/>
    <s v="#23"/>
    <x v="3"/>
    <n v="11.87"/>
    <n v="1.25"/>
    <n v="5.31"/>
    <n v="28.196100000000001"/>
    <x v="2"/>
    <s v="devon2TE"/>
    <n v="1"/>
    <s v="devon2TE-1"/>
  </r>
  <r>
    <x v="4"/>
    <x v="88"/>
    <s v="1.57-11.53"/>
    <n v="6.55"/>
    <s v="#7"/>
    <x v="2"/>
    <n v="11.53"/>
    <n v="1.57"/>
    <n v="4.9800000000000004"/>
    <n v="24.8004"/>
    <x v="10"/>
    <s v="aj7WR"/>
    <n v="5"/>
    <s v="aj7WR-5"/>
  </r>
  <r>
    <x v="3"/>
    <x v="133"/>
    <s v="0.60-12.50"/>
    <n v="6.55"/>
    <s v="#20"/>
    <x v="1"/>
    <n v="12.5"/>
    <n v="0.6"/>
    <n v="5.95"/>
    <n v="35.402500000000003"/>
    <x v="8"/>
    <s v="comp11RB"/>
    <n v="3"/>
    <s v="comp11RB-3"/>
  </r>
  <r>
    <x v="13"/>
    <x v="160"/>
    <s v="2.77-10.33"/>
    <n v="6.55"/>
    <s v="#4"/>
    <x v="1"/>
    <n v="10.33"/>
    <n v="2.77"/>
    <n v="3.78"/>
    <n v="14.288399999999999"/>
    <x v="7"/>
    <s v="NA8RB"/>
    <n v="3"/>
    <s v="NA8RB-3"/>
  </r>
  <r>
    <x v="10"/>
    <x v="162"/>
    <s v="2.23-10.85"/>
    <n v="6.54"/>
    <s v="#6"/>
    <x v="2"/>
    <n v="10.85"/>
    <n v="2.23"/>
    <n v="4.3099999999999996"/>
    <n v="18.5761"/>
    <x v="4"/>
    <s v="scott2WR"/>
    <n v="2"/>
    <s v="scott2WR-2"/>
  </r>
  <r>
    <x v="16"/>
    <x v="173"/>
    <n v="-13.479999999999999"/>
    <n v="6.54"/>
    <s v="#29"/>
    <x v="1"/>
    <n v="13.28"/>
    <n v="-0.2"/>
    <n v="6.74"/>
    <n v="45.427599999999998"/>
    <x v="7"/>
    <s v="NA3RB"/>
    <n v="11"/>
    <s v="NA3RB-11"/>
  </r>
  <r>
    <x v="14"/>
    <x v="138"/>
    <s v="0.61-12.45"/>
    <n v="6.53"/>
    <s v="#18"/>
    <x v="1"/>
    <n v="12.45"/>
    <n v="0.61"/>
    <n v="5.92"/>
    <n v="35.046399999999998"/>
    <x v="0"/>
    <s v="matty4RB"/>
    <n v="4"/>
    <s v="matty4RB-4"/>
  </r>
  <r>
    <x v="12"/>
    <x v="71"/>
    <s v="3.02-10.04"/>
    <n v="6.53"/>
    <s v="#28"/>
    <x v="2"/>
    <n v="10.039999999999999"/>
    <n v="3.02"/>
    <n v="3.51"/>
    <n v="12.3201"/>
    <x v="1"/>
    <s v="perry5WR"/>
    <n v="4"/>
    <s v="perry5WR-4"/>
  </r>
  <r>
    <x v="12"/>
    <x v="86"/>
    <s v="1.16-11.90"/>
    <n v="6.53"/>
    <s v="#28"/>
    <x v="1"/>
    <n v="11.9"/>
    <n v="1.1599999999999999"/>
    <n v="5.37"/>
    <n v="28.8369"/>
    <x v="7"/>
    <s v="NA5RB"/>
    <n v="4"/>
    <s v="NA5RB-4"/>
  </r>
  <r>
    <x v="2"/>
    <x v="56"/>
    <s v="2.16-10.90"/>
    <n v="6.53"/>
    <s v="#1"/>
    <x v="1"/>
    <n v="10.9"/>
    <n v="2.16"/>
    <n v="4.37"/>
    <n v="19.096900000000002"/>
    <x v="10"/>
    <s v="aj9RB"/>
    <n v="4"/>
    <s v="aj9RB-4"/>
  </r>
  <r>
    <x v="2"/>
    <x v="125"/>
    <s v="1.26-11.80"/>
    <n v="6.53"/>
    <s v="#17"/>
    <x v="3"/>
    <n v="11.8"/>
    <n v="1.26"/>
    <n v="5.27"/>
    <n v="27.7729"/>
    <x v="9"/>
    <s v="seth9TE"/>
    <n v="1"/>
    <s v="seth9TE-1"/>
  </r>
  <r>
    <x v="15"/>
    <x v="156"/>
    <s v="1.80-11.24"/>
    <n v="6.52"/>
    <s v="#21"/>
    <x v="1"/>
    <n v="11.24"/>
    <n v="1.8"/>
    <n v="4.72"/>
    <n v="22.278400000000001"/>
    <x v="7"/>
    <s v="NA10RB"/>
    <n v="1"/>
    <s v="NA10RB-1"/>
  </r>
  <r>
    <x v="3"/>
    <x v="56"/>
    <s v="2.15-10.89"/>
    <n v="6.52"/>
    <s v="#3"/>
    <x v="1"/>
    <n v="10.89"/>
    <n v="2.15"/>
    <n v="4.37"/>
    <n v="19.096900000000002"/>
    <x v="10"/>
    <s v="aj11RB"/>
    <n v="4"/>
    <s v="aj11RB-4"/>
  </r>
  <r>
    <x v="7"/>
    <x v="155"/>
    <s v="1.40-11.64"/>
    <n v="6.52"/>
    <s v="#22"/>
    <x v="2"/>
    <n v="11.64"/>
    <n v="1.4"/>
    <n v="5.12"/>
    <n v="26.214400000000001"/>
    <x v="4"/>
    <s v="scott1WR"/>
    <n v="3"/>
    <s v="scott1WR-3"/>
  </r>
  <r>
    <x v="13"/>
    <x v="137"/>
    <s v="2.81-10.23"/>
    <n v="6.52"/>
    <s v="#2"/>
    <x v="1"/>
    <n v="10.23"/>
    <n v="2.81"/>
    <n v="3.71"/>
    <n v="13.764099999999999"/>
    <x v="2"/>
    <s v="devon8RB"/>
    <n v="5"/>
    <s v="devon8RB-5"/>
  </r>
  <r>
    <x v="8"/>
    <x v="86"/>
    <s v="1.58-11.44"/>
    <n v="6.51"/>
    <s v="#18"/>
    <x v="1"/>
    <n v="11.44"/>
    <n v="1.58"/>
    <n v="4.93"/>
    <n v="24.3049"/>
    <x v="7"/>
    <s v="NA6RB"/>
    <n v="2"/>
    <s v="NA6RB-2"/>
  </r>
  <r>
    <x v="10"/>
    <x v="148"/>
    <s v="1.40-11.62"/>
    <n v="6.51"/>
    <s v="#9"/>
    <x v="2"/>
    <n v="11.62"/>
    <n v="1.4"/>
    <n v="5.1100000000000003"/>
    <n v="26.112100000000002"/>
    <x v="6"/>
    <s v="lucas2WR"/>
    <n v="3"/>
    <s v="lucas2WR-3"/>
  </r>
  <r>
    <x v="13"/>
    <x v="131"/>
    <s v="1.57-11.45"/>
    <n v="6.51"/>
    <s v="#25"/>
    <x v="1"/>
    <n v="11.45"/>
    <n v="1.57"/>
    <n v="4.9400000000000004"/>
    <n v="24.403600000000001"/>
    <x v="7"/>
    <s v="NA8RB"/>
    <n v="4"/>
    <s v="NA8RB-4"/>
  </r>
  <r>
    <x v="1"/>
    <x v="159"/>
    <s v="2.87-10.15"/>
    <n v="6.51"/>
    <s v="#28"/>
    <x v="3"/>
    <n v="10.15"/>
    <n v="2.87"/>
    <n v="3.64"/>
    <n v="13.249599999999999"/>
    <x v="5"/>
    <s v="cory16TE"/>
    <n v="1"/>
    <s v="cory16TE-1"/>
  </r>
  <r>
    <x v="13"/>
    <x v="144"/>
    <s v="1.72-11.30"/>
    <n v="6.51"/>
    <s v="#5"/>
    <x v="2"/>
    <n v="11.3"/>
    <n v="1.72"/>
    <n v="4.79"/>
    <n v="22.944099999999999"/>
    <x v="7"/>
    <s v="NA8WR"/>
    <n v="1"/>
    <s v="NA8WR-1"/>
  </r>
  <r>
    <x v="5"/>
    <x v="160"/>
    <s v="1.17-11.85"/>
    <n v="6.51"/>
    <s v="#22"/>
    <x v="1"/>
    <n v="11.85"/>
    <n v="1.17"/>
    <n v="5.34"/>
    <n v="28.515599999999999"/>
    <x v="7"/>
    <s v="NA13RB"/>
    <n v="4"/>
    <s v="NA13RB-4"/>
  </r>
  <r>
    <x v="6"/>
    <x v="156"/>
    <s v="1.67-11.33"/>
    <n v="6.5"/>
    <s v="#9"/>
    <x v="1"/>
    <n v="11.33"/>
    <n v="1.67"/>
    <n v="4.83"/>
    <n v="23.328900000000001"/>
    <x v="7"/>
    <s v="NA12RB"/>
    <n v="1"/>
    <s v="NA12RB-1"/>
  </r>
  <r>
    <x v="1"/>
    <x v="126"/>
    <s v="0.54-12.46"/>
    <n v="6.5"/>
    <s v="#11"/>
    <x v="2"/>
    <n v="12.46"/>
    <n v="0.54"/>
    <n v="5.96"/>
    <n v="35.521599999999999"/>
    <x v="3"/>
    <s v="chad16WR"/>
    <n v="6"/>
    <s v="chad16WR-6"/>
  </r>
  <r>
    <x v="11"/>
    <x v="155"/>
    <s v="2.43-10.57"/>
    <n v="6.5"/>
    <s v="#14"/>
    <x v="2"/>
    <n v="10.57"/>
    <n v="2.4300000000000002"/>
    <n v="4.07"/>
    <n v="16.564900000000002"/>
    <x v="4"/>
    <s v="scott14WR"/>
    <n v="5"/>
    <s v="scott14WR-5"/>
  </r>
  <r>
    <x v="8"/>
    <x v="75"/>
    <s v="2.19-10.81"/>
    <n v="6.5"/>
    <s v="#13"/>
    <x v="1"/>
    <n v="10.81"/>
    <n v="2.19"/>
    <n v="4.3099999999999996"/>
    <n v="18.5761"/>
    <x v="9"/>
    <s v="seth6RB"/>
    <n v="4"/>
    <s v="seth6RB-4"/>
  </r>
  <r>
    <x v="13"/>
    <x v="75"/>
    <s v="2.31-10.69"/>
    <n v="6.5"/>
    <s v="#30"/>
    <x v="1"/>
    <n v="10.69"/>
    <n v="2.31"/>
    <n v="4.1900000000000004"/>
    <n v="17.556100000000001"/>
    <x v="9"/>
    <s v="seth8RB"/>
    <n v="2"/>
    <s v="seth8RB-2"/>
  </r>
  <r>
    <x v="15"/>
    <x v="74"/>
    <s v="0.89-12.11"/>
    <n v="6.5"/>
    <s v="#9"/>
    <x v="1"/>
    <n v="12.11"/>
    <n v="0.89"/>
    <n v="5.61"/>
    <n v="31.472100000000001"/>
    <x v="9"/>
    <s v="seth10RB"/>
    <n v="4"/>
    <s v="seth10RB-4"/>
  </r>
  <r>
    <x v="8"/>
    <x v="125"/>
    <s v="1.66-11.32"/>
    <n v="6.49"/>
    <s v="#18"/>
    <x v="3"/>
    <n v="11.32"/>
    <n v="1.66"/>
    <n v="4.83"/>
    <n v="23.328900000000001"/>
    <x v="9"/>
    <s v="seth6TE"/>
    <n v="1"/>
    <s v="seth6TE-1"/>
  </r>
  <r>
    <x v="10"/>
    <x v="170"/>
    <s v="1.03-11.95"/>
    <n v="6.49"/>
    <s v="#8"/>
    <x v="3"/>
    <n v="11.95"/>
    <n v="1.03"/>
    <n v="5.46"/>
    <n v="29.811599999999999"/>
    <x v="8"/>
    <s v="comp2TE"/>
    <n v="1"/>
    <s v="comp2TE-1"/>
  </r>
  <r>
    <x v="8"/>
    <x v="140"/>
    <s v="1.83-11.15"/>
    <n v="6.49"/>
    <s v="#25"/>
    <x v="2"/>
    <n v="11.15"/>
    <n v="1.83"/>
    <n v="4.66"/>
    <n v="21.715599999999998"/>
    <x v="7"/>
    <s v="NA6WR"/>
    <n v="2"/>
    <s v="NA6WR-2"/>
  </r>
  <r>
    <x v="7"/>
    <x v="148"/>
    <s v="2.18-10.78"/>
    <n v="6.48"/>
    <s v="#13"/>
    <x v="2"/>
    <n v="10.78"/>
    <n v="2.1800000000000002"/>
    <n v="4.3"/>
    <n v="18.489999999999998"/>
    <x v="6"/>
    <s v="lucas1WR"/>
    <n v="3"/>
    <s v="lucas1WR-3"/>
  </r>
  <r>
    <x v="12"/>
    <x v="148"/>
    <s v="2.09-10.87"/>
    <n v="6.48"/>
    <s v="#30"/>
    <x v="2"/>
    <n v="10.87"/>
    <n v="2.09"/>
    <n v="4.3899999999999997"/>
    <n v="19.272099999999998"/>
    <x v="6"/>
    <s v="lucas5WR"/>
    <n v="3"/>
    <s v="lucas5WR-3"/>
  </r>
  <r>
    <x v="13"/>
    <x v="98"/>
    <s v="1.80-11.16"/>
    <n v="6.48"/>
    <s v="#27"/>
    <x v="1"/>
    <n v="11.16"/>
    <n v="1.8"/>
    <n v="4.68"/>
    <n v="21.9024"/>
    <x v="6"/>
    <s v="lucas8RB"/>
    <n v="4"/>
    <s v="lucas8RB-4"/>
  </r>
  <r>
    <x v="3"/>
    <x v="137"/>
    <s v="1.98-10.98"/>
    <n v="6.48"/>
    <s v="#3"/>
    <x v="1"/>
    <n v="10.98"/>
    <n v="1.98"/>
    <n v="4.5"/>
    <n v="20.25"/>
    <x v="2"/>
    <s v="devon11RB"/>
    <n v="4"/>
    <s v="devon11RB-4"/>
  </r>
  <r>
    <x v="13"/>
    <x v="145"/>
    <s v="1.48-11.46"/>
    <n v="6.47"/>
    <s v="#12"/>
    <x v="3"/>
    <n v="11.46"/>
    <n v="1.48"/>
    <n v="4.99"/>
    <n v="24.900099999999998"/>
    <x v="2"/>
    <s v="devon8TE"/>
    <n v="1"/>
    <s v="devon8TE-1"/>
  </r>
  <r>
    <x v="3"/>
    <x v="130"/>
    <s v="1.08-11.86"/>
    <n v="6.47"/>
    <s v="#27"/>
    <x v="3"/>
    <n v="11.86"/>
    <n v="1.08"/>
    <n v="5.39"/>
    <n v="29.052099999999999"/>
    <x v="0"/>
    <s v="matty11TE"/>
    <n v="1"/>
    <s v="matty11TE-1"/>
  </r>
  <r>
    <x v="15"/>
    <x v="145"/>
    <s v="1.92-11.00"/>
    <n v="6.46"/>
    <s v="#18"/>
    <x v="3"/>
    <n v="11"/>
    <n v="1.92"/>
    <n v="4.54"/>
    <n v="20.611599999999999"/>
    <x v="2"/>
    <s v="devon10TE"/>
    <n v="1"/>
    <s v="devon10TE-1"/>
  </r>
  <r>
    <x v="13"/>
    <x v="142"/>
    <s v="0.38-12.54"/>
    <n v="6.46"/>
    <s v="#25"/>
    <x v="1"/>
    <n v="12.54"/>
    <n v="0.38"/>
    <n v="6.08"/>
    <n v="36.9664"/>
    <x v="7"/>
    <s v="NA8RB"/>
    <n v="5"/>
    <s v="NA8RB-5"/>
  </r>
  <r>
    <x v="1"/>
    <x v="157"/>
    <s v="1.34-11.58"/>
    <n v="6.46"/>
    <s v="#23"/>
    <x v="3"/>
    <n v="11.58"/>
    <n v="1.34"/>
    <n v="5.12"/>
    <n v="26.214400000000001"/>
    <x v="7"/>
    <s v="NA16TE"/>
    <n v="1"/>
    <s v="NA16TE-1"/>
  </r>
  <r>
    <x v="5"/>
    <x v="141"/>
    <s v="1.86-11.06"/>
    <n v="6.46"/>
    <s v="#5"/>
    <x v="2"/>
    <n v="11.06"/>
    <n v="1.86"/>
    <n v="4.5999999999999996"/>
    <n v="21.16"/>
    <x v="5"/>
    <s v="cory13WR"/>
    <n v="5"/>
    <s v="cory13WR-5"/>
  </r>
  <r>
    <x v="15"/>
    <x v="174"/>
    <s v="1.37-11.53"/>
    <n v="6.45"/>
    <s v="#32"/>
    <x v="2"/>
    <n v="11.53"/>
    <n v="1.37"/>
    <n v="5.08"/>
    <n v="25.8064"/>
    <x v="7"/>
    <s v="NA10WR"/>
    <n v="4"/>
    <s v="NA10WR-4"/>
  </r>
  <r>
    <x v="13"/>
    <x v="156"/>
    <s v="1.34-11.56"/>
    <n v="6.45"/>
    <s v="#27"/>
    <x v="1"/>
    <n v="11.56"/>
    <n v="1.34"/>
    <n v="5.1100000000000003"/>
    <n v="26.112100000000002"/>
    <x v="7"/>
    <s v="NA8RB"/>
    <n v="6"/>
    <s v="NA8RB-6"/>
  </r>
  <r>
    <x v="10"/>
    <x v="175"/>
    <s v="1.63-11.27"/>
    <n v="6.45"/>
    <s v="#11"/>
    <x v="2"/>
    <n v="11.27"/>
    <n v="1.63"/>
    <n v="4.82"/>
    <n v="23.232399999999998"/>
    <x v="7"/>
    <s v="NA2WR"/>
    <n v="4"/>
    <s v="NA2WR-4"/>
  </r>
  <r>
    <x v="7"/>
    <x v="100"/>
    <s v="1.44-11.44"/>
    <n v="6.44"/>
    <s v="#13"/>
    <x v="1"/>
    <n v="11.44"/>
    <n v="1.44"/>
    <n v="5"/>
    <n v="25"/>
    <x v="6"/>
    <s v="lucas1RB"/>
    <n v="4"/>
    <s v="lucas1RB-4"/>
  </r>
  <r>
    <x v="14"/>
    <x v="159"/>
    <s v="2.41-10.47"/>
    <n v="6.44"/>
    <s v="#10"/>
    <x v="3"/>
    <n v="10.47"/>
    <n v="2.41"/>
    <n v="4.03"/>
    <n v="16.2409"/>
    <x v="5"/>
    <s v="cory4TE"/>
    <n v="1"/>
    <s v="cory4TE-1"/>
  </r>
  <r>
    <x v="9"/>
    <x v="88"/>
    <s v="1.24-11.64"/>
    <n v="6.44"/>
    <s v="#10"/>
    <x v="2"/>
    <n v="11.64"/>
    <n v="1.24"/>
    <n v="5.2"/>
    <n v="27.04"/>
    <x v="10"/>
    <s v="aj15WR"/>
    <n v="5"/>
    <s v="aj15WR-5"/>
  </r>
  <r>
    <x v="8"/>
    <x v="141"/>
    <s v="1.46-11.42"/>
    <n v="6.44"/>
    <s v="#6"/>
    <x v="2"/>
    <n v="11.42"/>
    <n v="1.46"/>
    <n v="4.9800000000000004"/>
    <n v="24.8004"/>
    <x v="5"/>
    <s v="cory6WR"/>
    <n v="4"/>
    <s v="cory6WR-4"/>
  </r>
  <r>
    <x v="0"/>
    <x v="148"/>
    <s v="1.95-10.91"/>
    <n v="6.43"/>
    <s v="#6"/>
    <x v="2"/>
    <n v="10.91"/>
    <n v="1.95"/>
    <n v="4.4800000000000004"/>
    <n v="20.070399999999999"/>
    <x v="6"/>
    <s v="lucas17WR"/>
    <n v="4"/>
    <s v="lucas17WR-4"/>
  </r>
  <r>
    <x v="3"/>
    <x v="125"/>
    <s v="1.12-11.74"/>
    <n v="6.43"/>
    <s v="#8"/>
    <x v="3"/>
    <n v="11.74"/>
    <n v="1.1200000000000001"/>
    <n v="5.31"/>
    <n v="28.196100000000001"/>
    <x v="9"/>
    <s v="seth11TE"/>
    <n v="1"/>
    <s v="seth11TE-1"/>
  </r>
  <r>
    <x v="2"/>
    <x v="128"/>
    <s v="1.40-11.46"/>
    <n v="6.43"/>
    <s v="#25"/>
    <x v="2"/>
    <n v="11.46"/>
    <n v="1.4"/>
    <n v="5.03"/>
    <n v="25.300899999999999"/>
    <x v="7"/>
    <s v="NA9WR"/>
    <n v="3"/>
    <s v="NA9WR-3"/>
  </r>
  <r>
    <x v="5"/>
    <x v="135"/>
    <s v="3.13-9.73"/>
    <n v="6.43"/>
    <s v="#10"/>
    <x v="1"/>
    <n v="9.73"/>
    <n v="3.13"/>
    <n v="3.3"/>
    <n v="10.89"/>
    <x v="7"/>
    <s v="NA13RB"/>
    <n v="5"/>
    <s v="NA13RB-5"/>
  </r>
  <r>
    <x v="14"/>
    <x v="121"/>
    <s v="1.66-11.18"/>
    <n v="6.42"/>
    <s v="#25"/>
    <x v="2"/>
    <n v="11.18"/>
    <n v="1.66"/>
    <n v="4.76"/>
    <n v="22.657599999999999"/>
    <x v="3"/>
    <s v="chad4WR"/>
    <n v="4"/>
    <s v="chad4WR-4"/>
  </r>
  <r>
    <x v="10"/>
    <x v="151"/>
    <s v="2.52-10.32"/>
    <n v="6.42"/>
    <s v="#30"/>
    <x v="1"/>
    <n v="10.32"/>
    <n v="2.52"/>
    <n v="3.9"/>
    <n v="15.21"/>
    <x v="7"/>
    <s v="NA2RB"/>
    <n v="3"/>
    <s v="NA2RB-3"/>
  </r>
  <r>
    <x v="15"/>
    <x v="98"/>
    <s v="1.49-11.35"/>
    <n v="6.42"/>
    <s v="#21"/>
    <x v="1"/>
    <n v="11.35"/>
    <n v="1.49"/>
    <n v="4.93"/>
    <n v="24.3049"/>
    <x v="6"/>
    <s v="lucas10RB"/>
    <n v="5"/>
    <s v="lucas10RB-5"/>
  </r>
  <r>
    <x v="10"/>
    <x v="176"/>
    <s v="1.28-11.54"/>
    <n v="6.41"/>
    <s v="#5"/>
    <x v="2"/>
    <n v="11.54"/>
    <n v="1.28"/>
    <n v="5.13"/>
    <n v="26.3169"/>
    <x v="7"/>
    <s v="NA2WR"/>
    <n v="5"/>
    <s v="NA2WR-5"/>
  </r>
  <r>
    <x v="0"/>
    <x v="139"/>
    <s v="1.98-10.84"/>
    <n v="6.41"/>
    <s v="#13"/>
    <x v="1"/>
    <n v="10.84"/>
    <n v="1.98"/>
    <n v="4.43"/>
    <n v="19.6249"/>
    <x v="6"/>
    <s v="lucas17RB"/>
    <n v="4"/>
    <s v="lucas17RB-4"/>
  </r>
  <r>
    <x v="3"/>
    <x v="174"/>
    <s v="1.35-11.47"/>
    <n v="6.41"/>
    <s v="#25"/>
    <x v="2"/>
    <n v="11.47"/>
    <n v="1.35"/>
    <n v="5.0599999999999996"/>
    <n v="25.6036"/>
    <x v="7"/>
    <s v="NA11WR"/>
    <n v="3"/>
    <s v="NA11WR-3"/>
  </r>
  <r>
    <x v="5"/>
    <x v="164"/>
    <s v="1.72-11.10"/>
    <n v="6.41"/>
    <s v="#8"/>
    <x v="2"/>
    <n v="11.1"/>
    <n v="1.72"/>
    <n v="4.6900000000000004"/>
    <n v="21.996099999999998"/>
    <x v="7"/>
    <s v="NA13WR"/>
    <n v="3"/>
    <s v="NA13WR-3"/>
  </r>
  <r>
    <x v="9"/>
    <x v="108"/>
    <s v="0.64-12.18"/>
    <n v="6.41"/>
    <s v="#2"/>
    <x v="1"/>
    <n v="12.18"/>
    <n v="0.64"/>
    <n v="5.77"/>
    <n v="33.292900000000003"/>
    <x v="1"/>
    <s v="perry15RB"/>
    <n v="3"/>
    <s v="perry15RB-3"/>
  </r>
  <r>
    <x v="11"/>
    <x v="160"/>
    <s v="1.74-11.08"/>
    <n v="6.41"/>
    <s v="#10"/>
    <x v="1"/>
    <n v="11.08"/>
    <n v="1.74"/>
    <n v="4.67"/>
    <n v="21.808900000000001"/>
    <x v="7"/>
    <s v="NA14RB"/>
    <n v="3"/>
    <s v="NA14RB-3"/>
  </r>
  <r>
    <x v="9"/>
    <x v="100"/>
    <s v="2.29-10.51"/>
    <n v="6.4"/>
    <s v="#3"/>
    <x v="1"/>
    <n v="10.51"/>
    <n v="2.29"/>
    <n v="4.1100000000000003"/>
    <n v="16.892099999999999"/>
    <x v="6"/>
    <s v="lucas15RB"/>
    <n v="4"/>
    <s v="lucas15RB-4"/>
  </r>
  <r>
    <x v="13"/>
    <x v="177"/>
    <s v="1.54-11.26"/>
    <n v="6.4"/>
    <s v="#6"/>
    <x v="2"/>
    <n v="11.26"/>
    <n v="1.54"/>
    <n v="4.8600000000000003"/>
    <n v="23.619599999999998"/>
    <x v="7"/>
    <s v="NA8WR"/>
    <n v="2"/>
    <s v="NA8WR-2"/>
  </r>
  <r>
    <x v="5"/>
    <x v="156"/>
    <s v="2.34-10.46"/>
    <n v="6.4"/>
    <s v="#11"/>
    <x v="1"/>
    <n v="10.46"/>
    <n v="2.34"/>
    <n v="4.0599999999999996"/>
    <n v="16.483599999999999"/>
    <x v="7"/>
    <s v="NA13RB"/>
    <n v="6"/>
    <s v="NA13RB-6"/>
  </r>
  <r>
    <x v="15"/>
    <x v="76"/>
    <s v="2.21-10.59"/>
    <n v="6.4"/>
    <s v="#30"/>
    <x v="1"/>
    <n v="10.59"/>
    <n v="2.21"/>
    <n v="4.1900000000000004"/>
    <n v="17.556100000000001"/>
    <x v="7"/>
    <s v="NA10RB"/>
    <n v="2"/>
    <s v="NA10RB-2"/>
  </r>
  <r>
    <x v="2"/>
    <x v="130"/>
    <s v="1.16-11.64"/>
    <n v="6.4"/>
    <s v="#29"/>
    <x v="3"/>
    <n v="11.64"/>
    <n v="1.1599999999999999"/>
    <n v="5.24"/>
    <n v="27.457599999999999"/>
    <x v="0"/>
    <s v="matty9TE"/>
    <n v="1"/>
    <s v="matty9TE-1"/>
  </r>
  <r>
    <x v="15"/>
    <x v="137"/>
    <s v="2.67-10.13"/>
    <n v="6.4"/>
    <s v="#7"/>
    <x v="1"/>
    <n v="10.130000000000001"/>
    <n v="2.67"/>
    <n v="3.73"/>
    <n v="13.9129"/>
    <x v="2"/>
    <s v="devon10RB"/>
    <n v="5"/>
    <s v="devon10RB-5"/>
  </r>
  <r>
    <x v="15"/>
    <x v="160"/>
    <s v="1.96-10.84"/>
    <n v="6.4"/>
    <s v="#28"/>
    <x v="1"/>
    <n v="10.84"/>
    <n v="1.96"/>
    <n v="4.4400000000000004"/>
    <n v="19.7136"/>
    <x v="7"/>
    <s v="NA10RB"/>
    <n v="3"/>
    <s v="NA10RB-3"/>
  </r>
  <r>
    <x v="5"/>
    <x v="146"/>
    <s v="1.89-10.91"/>
    <n v="6.4"/>
    <s v="#4"/>
    <x v="2"/>
    <n v="10.91"/>
    <n v="1.89"/>
    <n v="4.51"/>
    <n v="20.3401"/>
    <x v="7"/>
    <s v="NA13WR"/>
    <n v="4"/>
    <s v="NA13WR-4"/>
  </r>
  <r>
    <x v="14"/>
    <x v="134"/>
    <s v="1.38-11.40"/>
    <n v="6.39"/>
    <s v="#15"/>
    <x v="1"/>
    <n v="11.4"/>
    <n v="1.38"/>
    <n v="5.01"/>
    <n v="25.100100000000001"/>
    <x v="3"/>
    <s v="chad4RB"/>
    <n v="4"/>
    <s v="chad4RB-4"/>
  </r>
  <r>
    <x v="8"/>
    <x v="134"/>
    <s v="2.11-10.67"/>
    <n v="6.39"/>
    <s v="#14"/>
    <x v="1"/>
    <n v="10.67"/>
    <n v="2.11"/>
    <n v="4.28"/>
    <n v="18.3184"/>
    <x v="3"/>
    <s v="chad6RB"/>
    <n v="5"/>
    <s v="chad6RB-5"/>
  </r>
  <r>
    <x v="16"/>
    <x v="130"/>
    <s v="1.77-11.01"/>
    <n v="6.39"/>
    <s v="#21"/>
    <x v="3"/>
    <n v="11.01"/>
    <n v="1.77"/>
    <n v="4.62"/>
    <n v="21.3444"/>
    <x v="0"/>
    <s v="matty3TE"/>
    <n v="1"/>
    <s v="matty3TE-1"/>
  </r>
  <r>
    <x v="10"/>
    <x v="131"/>
    <s v="0.98-11.80"/>
    <n v="6.39"/>
    <s v="#12"/>
    <x v="1"/>
    <n v="11.8"/>
    <n v="0.98"/>
    <n v="5.41"/>
    <n v="29.2681"/>
    <x v="7"/>
    <s v="NA2RB"/>
    <n v="4"/>
    <s v="NA2RB-4"/>
  </r>
  <r>
    <x v="5"/>
    <x v="178"/>
    <n v="-12.82"/>
    <n v="6.39"/>
    <s v="#14"/>
    <x v="2"/>
    <n v="12.8"/>
    <n v="-0.02"/>
    <n v="6.41"/>
    <n v="41.088099999999997"/>
    <x v="7"/>
    <s v="NA13WR"/>
    <n v="5"/>
    <s v="NA13WR-5"/>
  </r>
  <r>
    <x v="2"/>
    <x v="158"/>
    <s v="2.16-10.60"/>
    <n v="6.38"/>
    <s v="#25"/>
    <x v="3"/>
    <n v="10.6"/>
    <n v="2.16"/>
    <n v="4.22"/>
    <n v="17.808399999999999"/>
    <x v="4"/>
    <s v="scott9TE"/>
    <n v="1"/>
    <s v="scott9TE-1"/>
  </r>
  <r>
    <x v="4"/>
    <x v="144"/>
    <s v="2.05-10.71"/>
    <n v="6.38"/>
    <s v="#26"/>
    <x v="2"/>
    <n v="10.71"/>
    <n v="2.0499999999999998"/>
    <n v="4.33"/>
    <n v="18.748899999999999"/>
    <x v="7"/>
    <s v="NA7WR"/>
    <n v="1"/>
    <s v="NA7WR-1"/>
  </r>
  <r>
    <x v="16"/>
    <x v="148"/>
    <s v="1.60-11.14"/>
    <n v="6.37"/>
    <s v="#21"/>
    <x v="2"/>
    <n v="11.14"/>
    <n v="1.6"/>
    <n v="4.7699999999999996"/>
    <n v="22.7529"/>
    <x v="6"/>
    <s v="lucas3WR"/>
    <n v="3"/>
    <s v="lucas3WR-3"/>
  </r>
  <r>
    <x v="12"/>
    <x v="159"/>
    <s v="2.24-10.50"/>
    <n v="6.37"/>
    <s v="#6"/>
    <x v="3"/>
    <n v="10.5"/>
    <n v="2.2400000000000002"/>
    <n v="4.13"/>
    <n v="17.056899999999999"/>
    <x v="5"/>
    <s v="cory5TE"/>
    <n v="1"/>
    <s v="cory5TE-1"/>
  </r>
  <r>
    <x v="4"/>
    <x v="142"/>
    <s v="1.08-11.66"/>
    <n v="6.37"/>
    <s v="#11"/>
    <x v="1"/>
    <n v="11.66"/>
    <n v="1.08"/>
    <n v="5.29"/>
    <n v="27.984100000000002"/>
    <x v="7"/>
    <s v="NA7RB"/>
    <n v="5"/>
    <s v="NA7RB-5"/>
  </r>
  <r>
    <x v="11"/>
    <x v="142"/>
    <s v="0.53-12.21"/>
    <n v="6.37"/>
    <s v="#27"/>
    <x v="1"/>
    <n v="12.21"/>
    <n v="0.53"/>
    <n v="5.84"/>
    <n v="34.105600000000003"/>
    <x v="7"/>
    <s v="NA14RB"/>
    <n v="4"/>
    <s v="NA14RB-4"/>
  </r>
  <r>
    <x v="7"/>
    <x v="128"/>
    <s v="0.00-12.74"/>
    <n v="6.37"/>
    <s v="#26"/>
    <x v="2"/>
    <n v="12.74"/>
    <n v="0"/>
    <n v="6.37"/>
    <n v="40.576900000000002"/>
    <x v="7"/>
    <s v="NA1WR"/>
    <n v="4"/>
    <s v="NA1WR-4"/>
  </r>
  <r>
    <x v="7"/>
    <x v="117"/>
    <s v="0.94-11.80"/>
    <n v="6.37"/>
    <s v="#20"/>
    <x v="2"/>
    <n v="11.8"/>
    <n v="0.94"/>
    <n v="5.43"/>
    <n v="29.4849"/>
    <x v="4"/>
    <s v="scott1WR"/>
    <n v="4"/>
    <s v="scott1WR-4"/>
  </r>
  <r>
    <x v="1"/>
    <x v="160"/>
    <s v="1.60-11.14"/>
    <n v="6.37"/>
    <s v="#18"/>
    <x v="1"/>
    <n v="11.14"/>
    <n v="1.6"/>
    <n v="4.7699999999999996"/>
    <n v="22.7529"/>
    <x v="7"/>
    <s v="NA16RB"/>
    <n v="3"/>
    <s v="NA16RB-3"/>
  </r>
  <r>
    <x v="3"/>
    <x v="155"/>
    <s v="2.00-10.72"/>
    <n v="6.36"/>
    <s v="#15"/>
    <x v="2"/>
    <n v="10.72"/>
    <n v="2"/>
    <n v="4.3600000000000003"/>
    <n v="19.009599999999999"/>
    <x v="4"/>
    <s v="scott11WR"/>
    <n v="4"/>
    <s v="scott11WR-4"/>
  </r>
  <r>
    <x v="14"/>
    <x v="147"/>
    <s v="0.96-11.76"/>
    <n v="6.36"/>
    <s v="#22"/>
    <x v="2"/>
    <n v="11.76"/>
    <n v="0.96"/>
    <n v="5.4"/>
    <n v="29.16"/>
    <x v="7"/>
    <s v="NA4WR"/>
    <n v="2"/>
    <s v="NA4WR-2"/>
  </r>
  <r>
    <x v="3"/>
    <x v="162"/>
    <s v="1.36-11.34"/>
    <n v="6.35"/>
    <s v="#22"/>
    <x v="2"/>
    <n v="11.34"/>
    <n v="1.36"/>
    <n v="4.99"/>
    <n v="24.900099999999998"/>
    <x v="4"/>
    <s v="scott11WR"/>
    <n v="5"/>
    <s v="scott11WR-5"/>
  </r>
  <r>
    <x v="11"/>
    <x v="118"/>
    <s v="2.38-10.32"/>
    <n v="6.35"/>
    <s v="#20"/>
    <x v="2"/>
    <n v="10.32"/>
    <n v="2.38"/>
    <n v="3.97"/>
    <n v="15.760899999999999"/>
    <x v="5"/>
    <s v="cory14WR"/>
    <n v="5"/>
    <s v="cory14WR-5"/>
  </r>
  <r>
    <x v="12"/>
    <x v="152"/>
    <s v="2.03-10.63"/>
    <n v="6.33"/>
    <s v="#16"/>
    <x v="1"/>
    <n v="10.63"/>
    <n v="2.0299999999999998"/>
    <n v="4.3"/>
    <n v="18.489999999999998"/>
    <x v="3"/>
    <s v="chad5RB"/>
    <n v="4"/>
    <s v="chad5RB-4"/>
  </r>
  <r>
    <x v="11"/>
    <x v="111"/>
    <s v="0.97-11.69"/>
    <n v="6.33"/>
    <s v="#15"/>
    <x v="2"/>
    <n v="11.69"/>
    <n v="0.97"/>
    <n v="5.36"/>
    <n v="28.729600000000001"/>
    <x v="9"/>
    <s v="seth14WR"/>
    <n v="5"/>
    <s v="seth14WR-5"/>
  </r>
  <r>
    <x v="9"/>
    <x v="128"/>
    <s v="1.67-10.99"/>
    <n v="6.33"/>
    <s v="#8"/>
    <x v="2"/>
    <n v="10.99"/>
    <n v="1.67"/>
    <n v="4.66"/>
    <n v="21.715599999999998"/>
    <x v="7"/>
    <s v="NA15WR"/>
    <n v="3"/>
    <s v="NA15WR-3"/>
  </r>
  <r>
    <x v="1"/>
    <x v="154"/>
    <s v="0.56-12.08"/>
    <n v="6.32"/>
    <s v="#19"/>
    <x v="3"/>
    <n v="12.08"/>
    <n v="0.56000000000000005"/>
    <n v="5.76"/>
    <n v="33.177599999999998"/>
    <x v="7"/>
    <s v="NA16TE"/>
    <n v="2"/>
    <s v="NA16TE-2"/>
  </r>
  <r>
    <x v="11"/>
    <x v="162"/>
    <s v="2.13-10.51"/>
    <n v="6.32"/>
    <s v="#30"/>
    <x v="2"/>
    <n v="10.51"/>
    <n v="2.13"/>
    <n v="4.1900000000000004"/>
    <n v="17.556100000000001"/>
    <x v="4"/>
    <s v="scott14WR"/>
    <n v="6"/>
    <s v="scott14WR-6"/>
  </r>
  <r>
    <x v="13"/>
    <x v="152"/>
    <s v="1.19-11.45"/>
    <n v="6.32"/>
    <s v="#5"/>
    <x v="1"/>
    <n v="11.45"/>
    <n v="1.19"/>
    <n v="5.13"/>
    <n v="26.3169"/>
    <x v="3"/>
    <s v="chad8RB"/>
    <n v="4"/>
    <s v="chad8RB-4"/>
  </r>
  <r>
    <x v="6"/>
    <x v="86"/>
    <s v="1.79-10.85"/>
    <n v="6.32"/>
    <s v="#26"/>
    <x v="1"/>
    <n v="10.85"/>
    <n v="1.79"/>
    <n v="4.53"/>
    <n v="20.520900000000001"/>
    <x v="7"/>
    <s v="NA12RB"/>
    <n v="2"/>
    <s v="NA12RB-2"/>
  </r>
  <r>
    <x v="9"/>
    <x v="111"/>
    <s v="1.01-11.61"/>
    <n v="6.31"/>
    <s v="#19"/>
    <x v="2"/>
    <n v="11.61"/>
    <n v="1.01"/>
    <n v="5.3"/>
    <n v="28.09"/>
    <x v="9"/>
    <s v="seth15WR"/>
    <n v="5"/>
    <s v="seth15WR-5"/>
  </r>
  <r>
    <x v="6"/>
    <x v="98"/>
    <s v="0.95-11.67"/>
    <n v="6.31"/>
    <s v="#9"/>
    <x v="1"/>
    <n v="11.67"/>
    <n v="0.95"/>
    <n v="5.36"/>
    <n v="28.729600000000001"/>
    <x v="6"/>
    <s v="lucas12RB"/>
    <n v="5"/>
    <s v="lucas12RB-5"/>
  </r>
  <r>
    <x v="3"/>
    <x v="117"/>
    <s v="1.35-11.27"/>
    <n v="6.31"/>
    <s v="#10"/>
    <x v="2"/>
    <n v="11.27"/>
    <n v="1.35"/>
    <n v="4.96"/>
    <n v="24.601600000000001"/>
    <x v="4"/>
    <s v="scott11WR"/>
    <n v="6"/>
    <s v="scott11WR-6"/>
  </r>
  <r>
    <x v="5"/>
    <x v="125"/>
    <s v="1.46-11.14"/>
    <n v="6.3"/>
    <s v="#13"/>
    <x v="3"/>
    <n v="11.14"/>
    <n v="1.46"/>
    <n v="4.84"/>
    <n v="23.425599999999999"/>
    <x v="9"/>
    <s v="seth13TE"/>
    <n v="1"/>
    <s v="seth13TE-1"/>
  </r>
  <r>
    <x v="1"/>
    <x v="128"/>
    <s v="1.31-11.29"/>
    <n v="6.3"/>
    <s v="#5"/>
    <x v="2"/>
    <n v="11.29"/>
    <n v="1.31"/>
    <n v="4.99"/>
    <n v="24.900099999999998"/>
    <x v="7"/>
    <s v="NA16WR"/>
    <n v="2"/>
    <s v="NA16WR-2"/>
  </r>
  <r>
    <x v="6"/>
    <x v="141"/>
    <s v="1.32-11.28"/>
    <n v="6.3"/>
    <s v="#6"/>
    <x v="2"/>
    <n v="11.28"/>
    <n v="1.32"/>
    <n v="4.9800000000000004"/>
    <n v="24.8004"/>
    <x v="5"/>
    <s v="cory12WR"/>
    <n v="5"/>
    <s v="cory12WR-5"/>
  </r>
  <r>
    <x v="1"/>
    <x v="86"/>
    <s v="1.91-10.67"/>
    <n v="6.29"/>
    <s v="#4"/>
    <x v="1"/>
    <n v="10.67"/>
    <n v="1.91"/>
    <n v="4.38"/>
    <n v="19.1844"/>
    <x v="7"/>
    <s v="NA16RB"/>
    <n v="4"/>
    <s v="NA16RB-4"/>
  </r>
  <r>
    <x v="10"/>
    <x v="159"/>
    <s v="1.68-10.90"/>
    <n v="6.29"/>
    <s v="#21"/>
    <x v="3"/>
    <n v="10.9"/>
    <n v="1.68"/>
    <n v="4.6100000000000003"/>
    <n v="21.252099999999999"/>
    <x v="5"/>
    <s v="cory2TE"/>
    <n v="1"/>
    <s v="cory2TE-1"/>
  </r>
  <r>
    <x v="0"/>
    <x v="75"/>
    <s v="2.04-10.54"/>
    <n v="6.29"/>
    <s v="#5"/>
    <x v="1"/>
    <n v="10.54"/>
    <n v="2.04"/>
    <n v="4.25"/>
    <n v="18.0625"/>
    <x v="9"/>
    <s v="seth17RB"/>
    <n v="5"/>
    <s v="seth17RB-5"/>
  </r>
  <r>
    <x v="8"/>
    <x v="128"/>
    <s v="0.92-11.66"/>
    <n v="6.29"/>
    <s v="#21"/>
    <x v="2"/>
    <n v="11.66"/>
    <n v="0.92"/>
    <n v="5.37"/>
    <n v="28.8369"/>
    <x v="7"/>
    <s v="NA6WR"/>
    <n v="3"/>
    <s v="NA6WR-3"/>
  </r>
  <r>
    <x v="11"/>
    <x v="128"/>
    <s v="1.60-10.98"/>
    <n v="6.29"/>
    <s v="#16"/>
    <x v="2"/>
    <n v="10.98"/>
    <n v="1.6"/>
    <n v="4.6900000000000004"/>
    <n v="21.996099999999998"/>
    <x v="7"/>
    <s v="NA14WR"/>
    <n v="5"/>
    <s v="NA14WR-5"/>
  </r>
  <r>
    <x v="11"/>
    <x v="174"/>
    <s v="1.07-11.49"/>
    <n v="6.28"/>
    <s v="#28"/>
    <x v="2"/>
    <n v="11.49"/>
    <n v="1.07"/>
    <n v="5.21"/>
    <n v="27.144100000000002"/>
    <x v="7"/>
    <s v="NA14WR"/>
    <n v="6"/>
    <s v="NA14WR-6"/>
  </r>
  <r>
    <x v="12"/>
    <x v="98"/>
    <s v="0.94-11.62"/>
    <n v="6.28"/>
    <s v="#19"/>
    <x v="1"/>
    <n v="11.62"/>
    <n v="0.94"/>
    <n v="5.34"/>
    <n v="28.515599999999999"/>
    <x v="6"/>
    <s v="lucas5RB"/>
    <n v="5"/>
    <s v="lucas5RB-5"/>
  </r>
  <r>
    <x v="8"/>
    <x v="159"/>
    <s v="2.94-9.62"/>
    <n v="6.28"/>
    <s v="#13"/>
    <x v="3"/>
    <n v="9.6199999999999992"/>
    <n v="2.94"/>
    <n v="3.34"/>
    <n v="11.1556"/>
    <x v="5"/>
    <s v="cory6TE"/>
    <n v="1"/>
    <s v="cory6TE-1"/>
  </r>
  <r>
    <x v="8"/>
    <x v="160"/>
    <s v="1.49-11.07"/>
    <n v="6.28"/>
    <s v="#24"/>
    <x v="1"/>
    <n v="11.07"/>
    <n v="1.49"/>
    <n v="4.79"/>
    <n v="22.944099999999999"/>
    <x v="7"/>
    <s v="NA6RB"/>
    <n v="3"/>
    <s v="NA6RB-3"/>
  </r>
  <r>
    <x v="16"/>
    <x v="121"/>
    <s v="1.78-10.76"/>
    <n v="6.27"/>
    <s v="#4"/>
    <x v="2"/>
    <n v="10.76"/>
    <n v="1.78"/>
    <n v="4.49"/>
    <n v="20.1601"/>
    <x v="3"/>
    <s v="chad3WR"/>
    <n v="3"/>
    <s v="chad3WR-3"/>
  </r>
  <r>
    <x v="2"/>
    <x v="154"/>
    <s v="1.65-10.89"/>
    <n v="6.27"/>
    <s v="#32"/>
    <x v="3"/>
    <n v="10.89"/>
    <n v="1.65"/>
    <n v="4.62"/>
    <n v="21.3444"/>
    <x v="7"/>
    <s v="NA9TE"/>
    <n v="1"/>
    <s v="NA9TE-1"/>
  </r>
  <r>
    <x v="12"/>
    <x v="156"/>
    <s v="1.51-11.03"/>
    <n v="6.27"/>
    <s v="#19"/>
    <x v="1"/>
    <n v="11.03"/>
    <n v="1.51"/>
    <n v="4.76"/>
    <n v="22.657599999999999"/>
    <x v="7"/>
    <s v="NA5RB"/>
    <n v="5"/>
    <s v="NA5RB-5"/>
  </r>
  <r>
    <x v="3"/>
    <x v="114"/>
    <s v="2.12-10.42"/>
    <n v="6.27"/>
    <s v="#13"/>
    <x v="3"/>
    <n v="10.42"/>
    <n v="2.12"/>
    <n v="4.1500000000000004"/>
    <n v="17.2225"/>
    <x v="3"/>
    <s v="chad11TE"/>
    <n v="1"/>
    <s v="chad11TE-1"/>
  </r>
  <r>
    <x v="13"/>
    <x v="147"/>
    <s v="1.38-11.16"/>
    <n v="6.27"/>
    <s v="#26"/>
    <x v="2"/>
    <n v="11.16"/>
    <n v="1.38"/>
    <n v="4.8899999999999997"/>
    <n v="23.912099999999999"/>
    <x v="7"/>
    <s v="NA8WR"/>
    <n v="3"/>
    <s v="NA8WR-3"/>
  </r>
  <r>
    <x v="5"/>
    <x v="174"/>
    <s v="1.17-11.35"/>
    <n v="6.26"/>
    <s v="#21"/>
    <x v="2"/>
    <n v="11.35"/>
    <n v="1.17"/>
    <n v="5.09"/>
    <n v="25.908100000000001"/>
    <x v="7"/>
    <s v="NA13WR"/>
    <n v="6"/>
    <s v="NA13WR-6"/>
  </r>
  <r>
    <x v="5"/>
    <x v="93"/>
    <s v="1.60-10.92"/>
    <n v="6.26"/>
    <s v="#12"/>
    <x v="1"/>
    <n v="10.92"/>
    <n v="1.6"/>
    <n v="4.66"/>
    <n v="21.715599999999998"/>
    <x v="7"/>
    <s v="NA13RB"/>
    <n v="7"/>
    <s v="NA13RB-7"/>
  </r>
  <r>
    <x v="15"/>
    <x v="111"/>
    <s v="0.75-11.77"/>
    <n v="6.26"/>
    <s v="#20"/>
    <x v="2"/>
    <n v="11.77"/>
    <n v="0.75"/>
    <n v="5.51"/>
    <n v="30.360099999999999"/>
    <x v="9"/>
    <s v="seth10WR"/>
    <n v="4"/>
    <s v="seth10WR-4"/>
  </r>
  <r>
    <x v="9"/>
    <x v="144"/>
    <s v="1.81-10.71"/>
    <n v="6.26"/>
    <s v="#27"/>
    <x v="2"/>
    <n v="10.71"/>
    <n v="1.81"/>
    <n v="4.45"/>
    <n v="19.802499999999998"/>
    <x v="7"/>
    <s v="NA15WR"/>
    <n v="4"/>
    <s v="NA15WR-4"/>
  </r>
  <r>
    <x v="0"/>
    <x v="152"/>
    <s v="1.57-10.93"/>
    <n v="6.25"/>
    <s v="#17"/>
    <x v="1"/>
    <n v="10.93"/>
    <n v="1.57"/>
    <n v="4.68"/>
    <n v="21.9024"/>
    <x v="3"/>
    <s v="chad17RB"/>
    <n v="5"/>
    <s v="chad17RB-5"/>
  </r>
  <r>
    <x v="9"/>
    <x v="98"/>
    <s v="1.20-11.30"/>
    <n v="6.25"/>
    <s v="#26"/>
    <x v="1"/>
    <n v="11.3"/>
    <n v="1.2"/>
    <n v="5.05"/>
    <n v="25.502500000000001"/>
    <x v="6"/>
    <s v="lucas15RB"/>
    <n v="5"/>
    <s v="lucas15RB-5"/>
  </r>
  <r>
    <x v="5"/>
    <x v="122"/>
    <s v="1.36-11.12"/>
    <n v="6.24"/>
    <s v="#13"/>
    <x v="1"/>
    <n v="11.12"/>
    <n v="1.36"/>
    <n v="4.88"/>
    <n v="23.814399999999999"/>
    <x v="2"/>
    <s v="devon13RB"/>
    <n v="6"/>
    <s v="devon13RB-6"/>
  </r>
  <r>
    <x v="11"/>
    <x v="145"/>
    <s v="1.25-11.23"/>
    <n v="6.24"/>
    <s v="#12"/>
    <x v="3"/>
    <n v="11.23"/>
    <n v="1.25"/>
    <n v="4.99"/>
    <n v="24.900099999999998"/>
    <x v="2"/>
    <s v="devon14TE"/>
    <n v="1"/>
    <s v="devon14TE-1"/>
  </r>
  <r>
    <x v="6"/>
    <x v="76"/>
    <s v="2.70-9.78"/>
    <n v="6.24"/>
    <s v="#2"/>
    <x v="1"/>
    <n v="9.7799999999999994"/>
    <n v="2.7"/>
    <n v="3.54"/>
    <n v="12.531599999999999"/>
    <x v="7"/>
    <s v="NA12RB"/>
    <n v="3"/>
    <s v="NA12RB-3"/>
  </r>
  <r>
    <x v="9"/>
    <x v="125"/>
    <s v="1.47-11.01"/>
    <n v="6.24"/>
    <s v="#5"/>
    <x v="3"/>
    <n v="11.01"/>
    <n v="1.47"/>
    <n v="4.7699999999999996"/>
    <n v="22.7529"/>
    <x v="9"/>
    <s v="seth15TE"/>
    <n v="1"/>
    <s v="seth15TE-1"/>
  </r>
  <r>
    <x v="6"/>
    <x v="75"/>
    <s v="2.06-10.42"/>
    <n v="6.24"/>
    <s v="#21"/>
    <x v="1"/>
    <n v="10.42"/>
    <n v="2.06"/>
    <n v="4.18"/>
    <n v="17.4724"/>
    <x v="9"/>
    <s v="seth12RB"/>
    <n v="4"/>
    <s v="seth12RB-4"/>
  </r>
  <r>
    <x v="5"/>
    <x v="148"/>
    <s v="1.75-10.71"/>
    <n v="6.23"/>
    <s v="#6"/>
    <x v="2"/>
    <n v="10.71"/>
    <n v="1.75"/>
    <n v="4.4800000000000004"/>
    <n v="20.070399999999999"/>
    <x v="6"/>
    <s v="lucas13WR"/>
    <n v="4"/>
    <s v="lucas13WR-4"/>
  </r>
  <r>
    <x v="12"/>
    <x v="128"/>
    <s v="1.20-11.26"/>
    <n v="6.23"/>
    <s v="#13"/>
    <x v="2"/>
    <n v="11.26"/>
    <n v="1.2"/>
    <n v="5.03"/>
    <n v="25.300899999999999"/>
    <x v="7"/>
    <s v="NA5WR"/>
    <n v="4"/>
    <s v="NA5WR-4"/>
  </r>
  <r>
    <x v="15"/>
    <x v="130"/>
    <s v="0.79-11.65"/>
    <n v="6.22"/>
    <s v="#31"/>
    <x v="3"/>
    <n v="11.65"/>
    <n v="0.79"/>
    <n v="5.43"/>
    <n v="29.4849"/>
    <x v="0"/>
    <s v="matty10TE"/>
    <n v="1"/>
    <s v="matty10TE-1"/>
  </r>
  <r>
    <x v="1"/>
    <x v="62"/>
    <s v="1.28-11.16"/>
    <n v="6.22"/>
    <s v="#7"/>
    <x v="1"/>
    <n v="11.16"/>
    <n v="1.28"/>
    <n v="4.9400000000000004"/>
    <n v="24.403600000000001"/>
    <x v="6"/>
    <s v="lucas16RB"/>
    <n v="4"/>
    <s v="lucas16RB-4"/>
  </r>
  <r>
    <x v="1"/>
    <x v="140"/>
    <s v="2.20-10.24"/>
    <n v="6.22"/>
    <s v="#32"/>
    <x v="2"/>
    <n v="10.24"/>
    <n v="2.2000000000000002"/>
    <n v="4.0199999999999996"/>
    <n v="16.160399999999999"/>
    <x v="7"/>
    <s v="NA16WR"/>
    <n v="3"/>
    <s v="NA16WR-3"/>
  </r>
  <r>
    <x v="6"/>
    <x v="138"/>
    <s v="0.83-11.59"/>
    <n v="6.21"/>
    <s v="#13"/>
    <x v="1"/>
    <n v="11.59"/>
    <n v="0.83"/>
    <n v="5.38"/>
    <n v="28.944400000000002"/>
    <x v="0"/>
    <s v="matty12RB"/>
    <n v="4"/>
    <s v="matty12RB-4"/>
  </r>
  <r>
    <x v="16"/>
    <x v="179"/>
    <n v="-12.520000000000001"/>
    <n v="6.21"/>
    <s v="#6"/>
    <x v="3"/>
    <n v="12.47"/>
    <n v="-0.05"/>
    <n v="6.26"/>
    <n v="39.187600000000003"/>
    <x v="2"/>
    <s v="devon3TE"/>
    <n v="2"/>
    <s v="devon3TE-2"/>
  </r>
  <r>
    <x v="3"/>
    <x v="172"/>
    <s v="1.38-11.04"/>
    <n v="6.21"/>
    <s v="#7"/>
    <x v="1"/>
    <n v="11.04"/>
    <n v="1.38"/>
    <n v="4.83"/>
    <n v="23.328900000000001"/>
    <x v="7"/>
    <s v="NA11RB"/>
    <n v="2"/>
    <s v="NA11RB-2"/>
  </r>
  <r>
    <x v="12"/>
    <x v="132"/>
    <s v="1.20-11.20"/>
    <n v="6.2"/>
    <s v="#13"/>
    <x v="1"/>
    <n v="11.2"/>
    <n v="1.2"/>
    <n v="5"/>
    <n v="25"/>
    <x v="9"/>
    <s v="seth5RB"/>
    <n v="4"/>
    <s v="seth5RB-4"/>
  </r>
  <r>
    <x v="2"/>
    <x v="152"/>
    <s v="1.44-10.96"/>
    <n v="6.2"/>
    <s v="#24"/>
    <x v="1"/>
    <n v="10.96"/>
    <n v="1.44"/>
    <n v="4.76"/>
    <n v="22.657599999999999"/>
    <x v="3"/>
    <s v="chad9RB"/>
    <n v="5"/>
    <s v="chad9RB-5"/>
  </r>
  <r>
    <x v="10"/>
    <x v="85"/>
    <s v="1.49-10.91"/>
    <n v="6.2"/>
    <s v="#3"/>
    <x v="1"/>
    <n v="10.91"/>
    <n v="1.49"/>
    <n v="4.71"/>
    <n v="22.184100000000001"/>
    <x v="5"/>
    <s v="cory2RB"/>
    <n v="2"/>
    <s v="cory2RB-2"/>
  </r>
  <r>
    <x v="11"/>
    <x v="131"/>
    <s v="1.69-10.71"/>
    <n v="6.2"/>
    <s v="#27"/>
    <x v="1"/>
    <n v="10.71"/>
    <n v="1.69"/>
    <n v="4.51"/>
    <n v="20.3401"/>
    <x v="7"/>
    <s v="NA14RB"/>
    <n v="5"/>
    <s v="NA14RB-5"/>
  </r>
  <r>
    <x v="8"/>
    <x v="98"/>
    <s v="1.96-10.44"/>
    <n v="6.2"/>
    <s v="#5"/>
    <x v="1"/>
    <n v="10.44"/>
    <n v="1.96"/>
    <n v="4.24"/>
    <n v="17.977599999999999"/>
    <x v="6"/>
    <s v="lucas6RB"/>
    <n v="5"/>
    <s v="lucas6RB-5"/>
  </r>
  <r>
    <x v="14"/>
    <x v="157"/>
    <s v="0.45-11.95"/>
    <n v="6.2"/>
    <s v="#5"/>
    <x v="3"/>
    <n v="11.95"/>
    <n v="0.45"/>
    <n v="5.75"/>
    <n v="33.0625"/>
    <x v="7"/>
    <s v="NA4TE"/>
    <n v="1"/>
    <s v="NA4TE-1"/>
  </r>
  <r>
    <x v="11"/>
    <x v="74"/>
    <s v="0.81-11.59"/>
    <n v="6.2"/>
    <s v="#14"/>
    <x v="1"/>
    <n v="11.59"/>
    <n v="0.81"/>
    <n v="5.39"/>
    <n v="29.052099999999999"/>
    <x v="9"/>
    <s v="seth14RB"/>
    <n v="4"/>
    <s v="seth14RB-4"/>
  </r>
  <r>
    <x v="5"/>
    <x v="128"/>
    <s v="1.53-10.85"/>
    <n v="6.19"/>
    <s v="#8"/>
    <x v="2"/>
    <n v="10.85"/>
    <n v="1.53"/>
    <n v="4.66"/>
    <n v="21.715599999999998"/>
    <x v="7"/>
    <s v="NA13WR"/>
    <n v="7"/>
    <s v="NA13WR-7"/>
  </r>
  <r>
    <x v="12"/>
    <x v="161"/>
    <s v="1.08-11.28"/>
    <n v="6.18"/>
    <s v="#22"/>
    <x v="1"/>
    <n v="11.28"/>
    <n v="1.08"/>
    <n v="5.0999999999999996"/>
    <n v="26.01"/>
    <x v="7"/>
    <s v="NA5RB"/>
    <n v="6"/>
    <s v="NA5RB-6"/>
  </r>
  <r>
    <x v="8"/>
    <x v="117"/>
    <s v="2.29-10.07"/>
    <n v="6.18"/>
    <s v="#17"/>
    <x v="2"/>
    <n v="10.07"/>
    <n v="2.29"/>
    <n v="3.89"/>
    <n v="15.132099999999999"/>
    <x v="4"/>
    <s v="scott6WR"/>
    <n v="4"/>
    <s v="scott6WR-4"/>
  </r>
  <r>
    <x v="12"/>
    <x v="179"/>
    <s v="2.06-10.28"/>
    <n v="6.17"/>
    <s v="#17"/>
    <x v="3"/>
    <n v="10.28"/>
    <n v="2.06"/>
    <n v="4.1100000000000003"/>
    <n v="16.892099999999999"/>
    <x v="2"/>
    <s v="devon5TE"/>
    <n v="1"/>
    <s v="devon5TE-1"/>
  </r>
  <r>
    <x v="14"/>
    <x v="143"/>
    <s v="0.89-11.45"/>
    <n v="6.17"/>
    <s v="#11"/>
    <x v="2"/>
    <n v="11.45"/>
    <n v="0.89"/>
    <n v="5.28"/>
    <n v="27.878399999999999"/>
    <x v="0"/>
    <s v="matty4WR"/>
    <n v="5"/>
    <s v="matty4WR-5"/>
  </r>
  <r>
    <x v="10"/>
    <x v="180"/>
    <s v="1.25-11.09"/>
    <n v="6.17"/>
    <s v="#9"/>
    <x v="2"/>
    <n v="11.09"/>
    <n v="1.25"/>
    <n v="4.92"/>
    <n v="24.206399999999999"/>
    <x v="7"/>
    <s v="NA2WR"/>
    <n v="6"/>
    <s v="NA2WR-6"/>
  </r>
  <r>
    <x v="1"/>
    <x v="155"/>
    <s v="2.08-10.26"/>
    <n v="6.17"/>
    <s v="#24"/>
    <x v="2"/>
    <n v="10.26"/>
    <n v="2.08"/>
    <n v="4.09"/>
    <n v="16.728100000000001"/>
    <x v="4"/>
    <s v="scott16WR"/>
    <n v="6"/>
    <s v="scott16WR-6"/>
  </r>
  <r>
    <x v="11"/>
    <x v="164"/>
    <s v="1.56-10.78"/>
    <n v="6.17"/>
    <s v="#16"/>
    <x v="2"/>
    <n v="10.78"/>
    <n v="1.56"/>
    <n v="4.6100000000000003"/>
    <n v="21.252099999999999"/>
    <x v="7"/>
    <s v="NA14WR"/>
    <n v="7"/>
    <s v="NA14WR-7"/>
  </r>
  <r>
    <x v="4"/>
    <x v="133"/>
    <s v="0.19-12.15"/>
    <n v="6.17"/>
    <s v="#13"/>
    <x v="1"/>
    <n v="12.15"/>
    <n v="0.19"/>
    <n v="5.98"/>
    <n v="35.760399999999997"/>
    <x v="8"/>
    <s v="comp7RB"/>
    <n v="3"/>
    <s v="comp7RB-3"/>
  </r>
  <r>
    <x v="12"/>
    <x v="181"/>
    <s v="0.04-12.28"/>
    <n v="6.16"/>
    <s v="#32"/>
    <x v="2"/>
    <n v="12.28"/>
    <n v="0.04"/>
    <n v="6.12"/>
    <n v="37.4544"/>
    <x v="7"/>
    <s v="NA5WR"/>
    <n v="5"/>
    <s v="NA5WR-5"/>
  </r>
  <r>
    <x v="13"/>
    <x v="182"/>
    <s v="1.77-10.55"/>
    <n v="6.16"/>
    <s v="#9"/>
    <x v="1"/>
    <n v="10.55"/>
    <n v="1.77"/>
    <n v="4.3899999999999997"/>
    <n v="19.272099999999998"/>
    <x v="7"/>
    <s v="NA8RB"/>
    <n v="7"/>
    <s v="NA8RB-7"/>
  </r>
  <r>
    <x v="14"/>
    <x v="85"/>
    <s v="2.16-10.16"/>
    <n v="6.16"/>
    <s v="#24"/>
    <x v="1"/>
    <n v="10.16"/>
    <n v="2.16"/>
    <n v="4"/>
    <n v="16"/>
    <x v="5"/>
    <s v="cory4RB"/>
    <n v="2"/>
    <s v="cory4RB-2"/>
  </r>
  <r>
    <x v="4"/>
    <x v="177"/>
    <s v="0.58-11.72"/>
    <n v="6.15"/>
    <s v="#27"/>
    <x v="2"/>
    <n v="11.72"/>
    <n v="0.57999999999999996"/>
    <n v="5.57"/>
    <n v="31.024899999999999"/>
    <x v="7"/>
    <s v="NA7WR"/>
    <n v="2"/>
    <s v="NA7WR-2"/>
  </r>
  <r>
    <x v="12"/>
    <x v="158"/>
    <s v="1.72-10.58"/>
    <n v="6.15"/>
    <s v="#13"/>
    <x v="3"/>
    <n v="10.58"/>
    <n v="1.72"/>
    <n v="4.43"/>
    <n v="19.6249"/>
    <x v="4"/>
    <s v="scott5TE"/>
    <n v="1"/>
    <s v="scott5TE-1"/>
  </r>
  <r>
    <x v="3"/>
    <x v="165"/>
    <s v="0.78-11.50"/>
    <n v="6.14"/>
    <s v="#23"/>
    <x v="3"/>
    <n v="11.5"/>
    <n v="0.78"/>
    <n v="5.36"/>
    <n v="28.729600000000001"/>
    <x v="8"/>
    <s v="comp11TE"/>
    <n v="1"/>
    <s v="comp11TE-1"/>
  </r>
  <r>
    <x v="6"/>
    <x v="154"/>
    <s v="0.38-11.90"/>
    <n v="6.14"/>
    <s v="#19"/>
    <x v="3"/>
    <n v="11.9"/>
    <n v="0.38"/>
    <n v="5.76"/>
    <n v="33.177599999999998"/>
    <x v="7"/>
    <s v="NA12TE"/>
    <n v="2"/>
    <s v="NA12TE-2"/>
  </r>
  <r>
    <x v="14"/>
    <x v="152"/>
    <s v="0.78-11.50"/>
    <n v="6.14"/>
    <s v="#3"/>
    <x v="1"/>
    <n v="11.5"/>
    <n v="0.78"/>
    <n v="5.36"/>
    <n v="28.729600000000001"/>
    <x v="3"/>
    <s v="chad4RB"/>
    <n v="5"/>
    <s v="chad4RB-5"/>
  </r>
  <r>
    <x v="15"/>
    <x v="86"/>
    <s v="1.22-11.04"/>
    <n v="6.13"/>
    <s v="#24"/>
    <x v="1"/>
    <n v="11.04"/>
    <n v="1.22"/>
    <n v="4.91"/>
    <n v="24.1081"/>
    <x v="7"/>
    <s v="NA10RB"/>
    <n v="4"/>
    <s v="NA10RB-4"/>
  </r>
  <r>
    <x v="6"/>
    <x v="142"/>
    <s v="0.54-11.72"/>
    <n v="6.13"/>
    <s v="#24"/>
    <x v="1"/>
    <n v="11.72"/>
    <n v="0.54"/>
    <n v="5.59"/>
    <n v="31.248100000000001"/>
    <x v="7"/>
    <s v="NA12RB"/>
    <n v="4"/>
    <s v="NA12RB-4"/>
  </r>
  <r>
    <x v="2"/>
    <x v="160"/>
    <s v="1.34-10.92"/>
    <n v="6.13"/>
    <s v="#11"/>
    <x v="1"/>
    <n v="10.92"/>
    <n v="1.34"/>
    <n v="4.79"/>
    <n v="22.944099999999999"/>
    <x v="7"/>
    <s v="NA9RB"/>
    <n v="4"/>
    <s v="NA9RB-4"/>
  </r>
  <r>
    <x v="6"/>
    <x v="162"/>
    <s v="2.21-10.03"/>
    <n v="6.12"/>
    <s v="#18"/>
    <x v="2"/>
    <n v="10.029999999999999"/>
    <n v="2.21"/>
    <n v="3.91"/>
    <n v="15.2881"/>
    <x v="4"/>
    <s v="scott12WR"/>
    <n v="5"/>
    <s v="scott12WR-5"/>
  </r>
  <r>
    <x v="14"/>
    <x v="151"/>
    <s v="2.00-10.24"/>
    <n v="6.12"/>
    <s v="#25"/>
    <x v="1"/>
    <n v="10.24"/>
    <n v="2"/>
    <n v="4.12"/>
    <n v="16.974399999999999"/>
    <x v="7"/>
    <s v="NA4RB"/>
    <n v="7"/>
    <s v="NA4RB-7"/>
  </r>
  <r>
    <x v="5"/>
    <x v="152"/>
    <s v="1.43-10.81"/>
    <n v="6.12"/>
    <s v="#14"/>
    <x v="1"/>
    <n v="10.81"/>
    <n v="1.43"/>
    <n v="4.6900000000000004"/>
    <n v="21.996099999999998"/>
    <x v="3"/>
    <s v="chad13RB"/>
    <n v="5"/>
    <s v="chad13RB-5"/>
  </r>
  <r>
    <x v="11"/>
    <x v="148"/>
    <s v="1.69-10.55"/>
    <n v="6.12"/>
    <s v="#22"/>
    <x v="2"/>
    <n v="10.55"/>
    <n v="1.69"/>
    <n v="4.43"/>
    <n v="19.6249"/>
    <x v="6"/>
    <s v="lucas14WR"/>
    <n v="4"/>
    <s v="lucas14WR-4"/>
  </r>
  <r>
    <x v="2"/>
    <x v="140"/>
    <s v="1.22-11.02"/>
    <n v="6.12"/>
    <s v="#20"/>
    <x v="2"/>
    <n v="11.02"/>
    <n v="1.22"/>
    <n v="4.9000000000000004"/>
    <n v="24.01"/>
    <x v="7"/>
    <s v="NA9WR"/>
    <n v="4"/>
    <s v="NA9WR-4"/>
  </r>
  <r>
    <x v="8"/>
    <x v="156"/>
    <s v="2.54-9.68"/>
    <n v="6.11"/>
    <s v="#5"/>
    <x v="1"/>
    <n v="9.68"/>
    <n v="2.54"/>
    <n v="3.57"/>
    <n v="12.744899999999999"/>
    <x v="7"/>
    <s v="NA6RB"/>
    <n v="4"/>
    <s v="NA6RB-4"/>
  </r>
  <r>
    <x v="9"/>
    <x v="75"/>
    <s v="2.23-9.99"/>
    <n v="6.11"/>
    <s v="#24"/>
    <x v="1"/>
    <n v="9.99"/>
    <n v="2.23"/>
    <n v="3.88"/>
    <n v="15.054399999999999"/>
    <x v="9"/>
    <s v="seth15RB"/>
    <n v="5"/>
    <s v="seth15RB-5"/>
  </r>
  <r>
    <x v="6"/>
    <x v="172"/>
    <s v="1.68-10.54"/>
    <n v="6.11"/>
    <s v="#5"/>
    <x v="1"/>
    <n v="10.54"/>
    <n v="1.68"/>
    <n v="4.43"/>
    <n v="19.6249"/>
    <x v="7"/>
    <s v="NA12RB"/>
    <n v="5"/>
    <s v="NA12RB-5"/>
  </r>
  <r>
    <x v="5"/>
    <x v="144"/>
    <s v="1.34-10.88"/>
    <n v="6.11"/>
    <s v="#14"/>
    <x v="2"/>
    <n v="10.88"/>
    <n v="1.34"/>
    <n v="4.7699999999999996"/>
    <n v="22.7529"/>
    <x v="7"/>
    <s v="NA13WR"/>
    <n v="8"/>
    <s v="NA13WR-8"/>
  </r>
  <r>
    <x v="10"/>
    <x v="160"/>
    <s v="2.30-9.92"/>
    <n v="6.11"/>
    <s v="#8"/>
    <x v="1"/>
    <n v="9.92"/>
    <n v="2.2999999999999998"/>
    <n v="3.81"/>
    <n v="14.5161"/>
    <x v="7"/>
    <s v="NA2RB"/>
    <n v="5"/>
    <s v="NA2RB-5"/>
  </r>
  <r>
    <x v="9"/>
    <x v="178"/>
    <n v="-12.959999999999999"/>
    <n v="6.11"/>
    <s v="#27"/>
    <x v="2"/>
    <n v="12.59"/>
    <n v="-0.37"/>
    <n v="6.48"/>
    <n v="41.990400000000001"/>
    <x v="7"/>
    <s v="NA15WR"/>
    <n v="5"/>
    <s v="NA15WR-5"/>
  </r>
  <r>
    <x v="7"/>
    <x v="62"/>
    <s v="1.78-10.42"/>
    <n v="6.1"/>
    <s v="#6"/>
    <x v="1"/>
    <n v="10.42"/>
    <n v="1.78"/>
    <n v="4.32"/>
    <n v="18.662400000000002"/>
    <x v="6"/>
    <s v="lucas1RB"/>
    <n v="5"/>
    <s v="lucas1RB-5"/>
  </r>
  <r>
    <x v="4"/>
    <x v="138"/>
    <s v="1.43-10.75"/>
    <n v="6.09"/>
    <s v="#14"/>
    <x v="1"/>
    <n v="10.75"/>
    <n v="1.43"/>
    <n v="4.66"/>
    <n v="21.715599999999998"/>
    <x v="0"/>
    <s v="matty7RB"/>
    <n v="4"/>
    <s v="matty7RB-4"/>
  </r>
  <r>
    <x v="14"/>
    <x v="136"/>
    <s v="0.04-12.14"/>
    <n v="6.09"/>
    <s v="#3"/>
    <x v="1"/>
    <n v="12.14"/>
    <n v="0.04"/>
    <n v="6.05"/>
    <n v="36.602499999999999"/>
    <x v="5"/>
    <s v="cory4RB"/>
    <n v="3"/>
    <s v="cory4RB-3"/>
  </r>
  <r>
    <x v="0"/>
    <x v="121"/>
    <s v="1.24-10.92"/>
    <n v="6.08"/>
    <s v="#1"/>
    <x v="2"/>
    <n v="10.92"/>
    <n v="1.24"/>
    <n v="4.84"/>
    <n v="23.425599999999999"/>
    <x v="3"/>
    <s v="chad17WR"/>
    <n v="6"/>
    <s v="chad17WR-6"/>
  </r>
  <r>
    <x v="0"/>
    <x v="156"/>
    <s v="2.01-10.13"/>
    <n v="6.07"/>
    <s v="#11"/>
    <x v="1"/>
    <n v="10.130000000000001"/>
    <n v="2.0099999999999998"/>
    <n v="4.0599999999999996"/>
    <n v="16.483599999999999"/>
    <x v="7"/>
    <s v="NA17RB"/>
    <n v="4"/>
    <s v="NA17RB-4"/>
  </r>
  <r>
    <x v="11"/>
    <x v="76"/>
    <s v="2.16-9.98"/>
    <n v="6.07"/>
    <s v="#20"/>
    <x v="1"/>
    <n v="9.98"/>
    <n v="2.16"/>
    <n v="3.91"/>
    <n v="15.2881"/>
    <x v="7"/>
    <s v="NA14RB"/>
    <n v="6"/>
    <s v="NA14RB-6"/>
  </r>
  <r>
    <x v="4"/>
    <x v="148"/>
    <s v="1.96-10.18"/>
    <n v="6.07"/>
    <s v="#23"/>
    <x v="2"/>
    <n v="10.18"/>
    <n v="1.96"/>
    <n v="4.1100000000000003"/>
    <n v="16.892099999999999"/>
    <x v="6"/>
    <s v="lucas7WR"/>
    <n v="4"/>
    <s v="lucas7WR-4"/>
  </r>
  <r>
    <x v="10"/>
    <x v="123"/>
    <n v="-13.42"/>
    <n v="6.07"/>
    <s v="#18"/>
    <x v="2"/>
    <n v="12.78"/>
    <n v="-0.64"/>
    <n v="6.71"/>
    <n v="45.024099999999997"/>
    <x v="4"/>
    <s v="scott2WR"/>
    <n v="3"/>
    <s v="scott2WR-3"/>
  </r>
  <r>
    <x v="3"/>
    <x v="153"/>
    <s v="1.43-10.71"/>
    <n v="6.07"/>
    <s v="#14"/>
    <x v="1"/>
    <n v="10.71"/>
    <n v="1.43"/>
    <n v="4.6399999999999997"/>
    <n v="21.529599999999999"/>
    <x v="5"/>
    <s v="cory11RB"/>
    <n v="2"/>
    <s v="cory11RB-2"/>
  </r>
  <r>
    <x v="0"/>
    <x v="95"/>
    <s v="0.97-11.15"/>
    <n v="6.06"/>
    <s v="#2"/>
    <x v="1"/>
    <n v="11.15"/>
    <n v="0.97"/>
    <n v="5.09"/>
    <n v="25.908100000000001"/>
    <x v="9"/>
    <s v="seth17RB"/>
    <n v="6"/>
    <s v="seth17RB-6"/>
  </r>
  <r>
    <x v="8"/>
    <x v="138"/>
    <s v="0.80-11.32"/>
    <n v="6.06"/>
    <s v="#2"/>
    <x v="1"/>
    <n v="11.32"/>
    <n v="0.8"/>
    <n v="5.26"/>
    <n v="27.6676"/>
    <x v="0"/>
    <s v="matty6RB"/>
    <n v="4"/>
    <s v="matty6RB-4"/>
  </r>
  <r>
    <x v="11"/>
    <x v="177"/>
    <s v="1.12-11.00"/>
    <n v="6.06"/>
    <s v="#14"/>
    <x v="2"/>
    <n v="11"/>
    <n v="1.1200000000000001"/>
    <n v="4.9400000000000004"/>
    <n v="24.403600000000001"/>
    <x v="7"/>
    <s v="NA14WR"/>
    <n v="8"/>
    <s v="NA14WR-8"/>
  </r>
  <r>
    <x v="7"/>
    <x v="145"/>
    <s v="0.81-11.31"/>
    <n v="6.06"/>
    <s v="#3"/>
    <x v="3"/>
    <n v="11.31"/>
    <n v="0.81"/>
    <n v="5.25"/>
    <n v="27.5625"/>
    <x v="2"/>
    <s v="devon1TE"/>
    <n v="1"/>
    <s v="devon1TE-1"/>
  </r>
  <r>
    <x v="9"/>
    <x v="135"/>
    <s v="2.11-10.01"/>
    <n v="6.06"/>
    <s v="#11"/>
    <x v="1"/>
    <n v="10.01"/>
    <n v="2.11"/>
    <n v="3.95"/>
    <n v="15.602499999999999"/>
    <x v="7"/>
    <s v="NA15RB"/>
    <n v="5"/>
    <s v="NA15RB-5"/>
  </r>
  <r>
    <x v="9"/>
    <x v="152"/>
    <s v="1.22-10.88"/>
    <n v="6.05"/>
    <s v="#27"/>
    <x v="1"/>
    <n v="10.88"/>
    <n v="1.22"/>
    <n v="4.83"/>
    <n v="23.328900000000001"/>
    <x v="3"/>
    <s v="chad15RB"/>
    <n v="5"/>
    <s v="chad15RB-5"/>
  </r>
  <r>
    <x v="16"/>
    <x v="183"/>
    <n v="-13.020000000000001"/>
    <n v="6.05"/>
    <s v="#26"/>
    <x v="1"/>
    <n v="12.56"/>
    <n v="-0.46"/>
    <n v="6.51"/>
    <n v="42.380099999999999"/>
    <x v="7"/>
    <s v="NA3RB"/>
    <n v="12"/>
    <s v="NA3RB-12"/>
  </r>
  <r>
    <x v="6"/>
    <x v="74"/>
    <s v="0.59-11.51"/>
    <n v="6.05"/>
    <s v="#11"/>
    <x v="1"/>
    <n v="11.51"/>
    <n v="0.59"/>
    <n v="5.46"/>
    <n v="29.811599999999999"/>
    <x v="9"/>
    <s v="seth12RB"/>
    <n v="5"/>
    <s v="seth12RB-5"/>
  </r>
  <r>
    <x v="13"/>
    <x v="122"/>
    <s v="0.23-11.85"/>
    <n v="6.04"/>
    <s v="#10"/>
    <x v="1"/>
    <n v="11.85"/>
    <n v="0.23"/>
    <n v="5.81"/>
    <n v="33.756100000000004"/>
    <x v="2"/>
    <s v="devon8RB"/>
    <n v="6"/>
    <s v="devon8RB-6"/>
  </r>
  <r>
    <x v="14"/>
    <x v="162"/>
    <s v="2.31-9.77"/>
    <n v="6.04"/>
    <s v="#5"/>
    <x v="2"/>
    <n v="9.77"/>
    <n v="2.31"/>
    <n v="3.73"/>
    <n v="13.9129"/>
    <x v="4"/>
    <s v="scott4WR"/>
    <n v="6"/>
    <s v="scott4WR-6"/>
  </r>
  <r>
    <x v="16"/>
    <x v="177"/>
    <s v="1.28-10.80"/>
    <n v="6.04"/>
    <s v="#14"/>
    <x v="2"/>
    <n v="10.8"/>
    <n v="1.28"/>
    <n v="4.76"/>
    <n v="22.657599999999999"/>
    <x v="7"/>
    <s v="NA3WR"/>
    <n v="4"/>
    <s v="NA3WR-4"/>
  </r>
  <r>
    <x v="14"/>
    <x v="172"/>
    <s v="1.68-10.40"/>
    <n v="6.04"/>
    <s v="#23"/>
    <x v="1"/>
    <n v="10.4"/>
    <n v="1.68"/>
    <n v="4.3600000000000003"/>
    <n v="19.009599999999999"/>
    <x v="7"/>
    <s v="NA4RB"/>
    <n v="8"/>
    <s v="NA4RB-8"/>
  </r>
  <r>
    <x v="9"/>
    <x v="172"/>
    <s v="1.40-10.68"/>
    <n v="6.04"/>
    <s v="#11"/>
    <x v="1"/>
    <n v="10.68"/>
    <n v="1.4"/>
    <n v="4.6399999999999997"/>
    <n v="21.529599999999999"/>
    <x v="7"/>
    <s v="NA15RB"/>
    <n v="6"/>
    <s v="NA15RB-6"/>
  </r>
  <r>
    <x v="16"/>
    <x v="141"/>
    <s v="1.39-10.69"/>
    <n v="6.04"/>
    <s v="#27"/>
    <x v="2"/>
    <n v="10.69"/>
    <n v="1.39"/>
    <n v="4.6500000000000004"/>
    <n v="21.622499999999999"/>
    <x v="5"/>
    <s v="cory3WR"/>
    <n v="4"/>
    <s v="cory3WR-4"/>
  </r>
  <r>
    <x v="13"/>
    <x v="128"/>
    <s v="1.00-11.06"/>
    <n v="6.03"/>
    <s v="#13"/>
    <x v="2"/>
    <n v="11.06"/>
    <n v="1"/>
    <n v="5.03"/>
    <n v="25.300899999999999"/>
    <x v="7"/>
    <s v="NA8WR"/>
    <n v="4"/>
    <s v="NA8WR-4"/>
  </r>
  <r>
    <x v="13"/>
    <x v="140"/>
    <s v="1.20-10.86"/>
    <n v="6.03"/>
    <s v="#28"/>
    <x v="2"/>
    <n v="10.86"/>
    <n v="1.2"/>
    <n v="4.83"/>
    <n v="23.328900000000001"/>
    <x v="7"/>
    <s v="NA8WR"/>
    <n v="5"/>
    <s v="NA8WR-5"/>
  </r>
  <r>
    <x v="6"/>
    <x v="174"/>
    <s v="1.07-10.97"/>
    <n v="6.02"/>
    <s v="#20"/>
    <x v="2"/>
    <n v="10.97"/>
    <n v="1.07"/>
    <n v="4.95"/>
    <n v="24.502500000000001"/>
    <x v="7"/>
    <s v="NA12WR"/>
    <n v="5"/>
    <s v="NA12WR-5"/>
  </r>
  <r>
    <x v="1"/>
    <x v="184"/>
    <s v="1.58-10.46"/>
    <n v="6.02"/>
    <s v="#25"/>
    <x v="2"/>
    <n v="10.46"/>
    <n v="1.58"/>
    <n v="4.4400000000000004"/>
    <n v="19.7136"/>
    <x v="7"/>
    <s v="NA16WR"/>
    <n v="4"/>
    <s v="NA16WR-4"/>
  </r>
  <r>
    <x v="16"/>
    <x v="185"/>
    <s v="1.77-10.27"/>
    <n v="6.02"/>
    <s v="#21"/>
    <x v="2"/>
    <n v="10.27"/>
    <n v="1.77"/>
    <n v="4.25"/>
    <n v="18.0625"/>
    <x v="7"/>
    <s v="NA3WR"/>
    <n v="5"/>
    <s v="NA3WR-5"/>
  </r>
  <r>
    <x v="1"/>
    <x v="172"/>
    <s v="1.44-10.58"/>
    <n v="6.01"/>
    <s v="#26"/>
    <x v="1"/>
    <n v="10.58"/>
    <n v="1.44"/>
    <n v="4.57"/>
    <n v="20.884899999999998"/>
    <x v="7"/>
    <s v="NA16RB"/>
    <n v="5"/>
    <s v="NA16RB-5"/>
  </r>
  <r>
    <x v="8"/>
    <x v="166"/>
    <s v="1.48-10.54"/>
    <n v="6.01"/>
    <s v="#25"/>
    <x v="1"/>
    <n v="10.54"/>
    <n v="1.48"/>
    <n v="4.53"/>
    <n v="20.520900000000001"/>
    <x v="7"/>
    <s v="NA6RB"/>
    <n v="5"/>
    <s v="NA6RB-5"/>
  </r>
  <r>
    <x v="16"/>
    <x v="139"/>
    <s v="1.06-10.94"/>
    <n v="6"/>
    <s v="#23"/>
    <x v="1"/>
    <n v="10.94"/>
    <n v="1.06"/>
    <n v="4.9400000000000004"/>
    <n v="24.403600000000001"/>
    <x v="6"/>
    <s v="lucas3RB"/>
    <n v="5"/>
    <s v="lucas3RB-5"/>
  </r>
  <r>
    <x v="16"/>
    <x v="92"/>
    <s v="2.53-9.47"/>
    <n v="6"/>
    <s v="#20"/>
    <x v="2"/>
    <n v="9.4700000000000006"/>
    <n v="2.5299999999999998"/>
    <n v="3.47"/>
    <n v="12.040900000000001"/>
    <x v="6"/>
    <s v="lucas3WR"/>
    <n v="4"/>
    <s v="lucas3WR-4"/>
  </r>
  <r>
    <x v="6"/>
    <x v="160"/>
    <s v="1.56-10.44"/>
    <n v="6"/>
    <s v="#28"/>
    <x v="1"/>
    <n v="10.44"/>
    <n v="1.56"/>
    <n v="4.4400000000000004"/>
    <n v="19.7136"/>
    <x v="7"/>
    <s v="NA12RB"/>
    <n v="6"/>
    <s v="NA12RB-6"/>
  </r>
  <r>
    <x v="12"/>
    <x v="146"/>
    <s v="1.58-10.42"/>
    <n v="6"/>
    <s v="#11"/>
    <x v="2"/>
    <n v="10.42"/>
    <n v="1.58"/>
    <n v="4.42"/>
    <n v="19.5364"/>
    <x v="7"/>
    <s v="NA5WR"/>
    <n v="6"/>
    <s v="NA5WR-6"/>
  </r>
  <r>
    <x v="16"/>
    <x v="147"/>
    <s v="0.83-11.17"/>
    <n v="6"/>
    <s v="#29"/>
    <x v="2"/>
    <n v="11.17"/>
    <n v="0.83"/>
    <n v="5.17"/>
    <n v="26.728899999999999"/>
    <x v="7"/>
    <s v="NA3WR"/>
    <n v="6"/>
    <s v="NA3WR-6"/>
  </r>
  <r>
    <x v="10"/>
    <x v="186"/>
    <n v="-12.04"/>
    <n v="5.99"/>
    <s v="#28"/>
    <x v="2"/>
    <n v="12.01"/>
    <n v="-0.03"/>
    <n v="6.02"/>
    <n v="36.240400000000001"/>
    <x v="7"/>
    <s v="NA2WR"/>
    <n v="7"/>
    <s v="NA2WR-7"/>
  </r>
  <r>
    <x v="9"/>
    <x v="187"/>
    <s v="1.70-10.28"/>
    <n v="5.99"/>
    <s v="#31"/>
    <x v="3"/>
    <n v="10.28"/>
    <n v="1.7"/>
    <n v="4.29"/>
    <n v="18.4041"/>
    <x v="7"/>
    <s v="NA15TE"/>
    <n v="1"/>
    <s v="NA15TE-1"/>
  </r>
  <r>
    <x v="9"/>
    <x v="148"/>
    <s v="1.50-10.48"/>
    <n v="5.99"/>
    <s v="#3"/>
    <x v="2"/>
    <n v="10.48"/>
    <n v="1.5"/>
    <n v="4.49"/>
    <n v="20.1601"/>
    <x v="6"/>
    <s v="lucas15WR"/>
    <n v="4"/>
    <s v="lucas15WR-4"/>
  </r>
  <r>
    <x v="6"/>
    <x v="134"/>
    <s v="1.81-10.17"/>
    <n v="5.99"/>
    <s v="#25"/>
    <x v="1"/>
    <n v="10.17"/>
    <n v="1.81"/>
    <n v="4.18"/>
    <n v="17.4724"/>
    <x v="3"/>
    <s v="chad12RB"/>
    <n v="4"/>
    <s v="chad12RB-4"/>
  </r>
  <r>
    <x v="16"/>
    <x v="157"/>
    <s v="1.00-10.98"/>
    <n v="5.99"/>
    <s v="#15"/>
    <x v="3"/>
    <n v="10.98"/>
    <n v="1"/>
    <n v="4.99"/>
    <n v="24.900099999999998"/>
    <x v="7"/>
    <s v="NA3TE"/>
    <n v="1"/>
    <s v="NA3TE-1"/>
  </r>
  <r>
    <x v="1"/>
    <x v="132"/>
    <s v="1.14-10.82"/>
    <n v="5.98"/>
    <s v="#5"/>
    <x v="1"/>
    <n v="10.82"/>
    <n v="1.1399999999999999"/>
    <n v="4.84"/>
    <n v="23.425599999999999"/>
    <x v="9"/>
    <s v="seth16RB"/>
    <n v="6"/>
    <s v="seth16RB-6"/>
  </r>
  <r>
    <x v="4"/>
    <x v="151"/>
    <s v="1.98-9.98"/>
    <n v="5.98"/>
    <s v="#31"/>
    <x v="1"/>
    <n v="9.98"/>
    <n v="1.98"/>
    <n v="4"/>
    <n v="16"/>
    <x v="7"/>
    <s v="NA7RB"/>
    <n v="6"/>
    <s v="NA7RB-6"/>
  </r>
  <r>
    <x v="13"/>
    <x v="148"/>
    <s v="1.55-10.41"/>
    <n v="5.98"/>
    <s v="#22"/>
    <x v="2"/>
    <n v="10.41"/>
    <n v="1.55"/>
    <n v="4.43"/>
    <n v="19.6249"/>
    <x v="6"/>
    <s v="lucas8WR"/>
    <n v="4"/>
    <s v="lucas8WR-4"/>
  </r>
  <r>
    <x v="10"/>
    <x v="163"/>
    <s v="0.44-11.52"/>
    <n v="5.98"/>
    <s v="#26"/>
    <x v="1"/>
    <n v="11.52"/>
    <n v="0.44"/>
    <n v="5.54"/>
    <n v="30.691600000000001"/>
    <x v="9"/>
    <s v="seth2RB"/>
    <n v="5"/>
    <s v="seth2RB-5"/>
  </r>
  <r>
    <x v="2"/>
    <x v="156"/>
    <s v="2.09-9.85"/>
    <n v="5.97"/>
    <s v="#4"/>
    <x v="1"/>
    <n v="9.85"/>
    <n v="2.09"/>
    <n v="3.88"/>
    <n v="15.054399999999999"/>
    <x v="7"/>
    <s v="NA9RB"/>
    <n v="5"/>
    <s v="NA9RB-5"/>
  </r>
  <r>
    <x v="4"/>
    <x v="158"/>
    <s v="1.61-10.33"/>
    <n v="5.97"/>
    <s v="#10"/>
    <x v="3"/>
    <n v="10.33"/>
    <n v="1.61"/>
    <n v="4.3600000000000003"/>
    <n v="19.009599999999999"/>
    <x v="4"/>
    <s v="scott7TE"/>
    <n v="1"/>
    <s v="scott7TE-1"/>
  </r>
  <r>
    <x v="7"/>
    <x v="91"/>
    <s v="0.65-11.29"/>
    <n v="5.97"/>
    <s v="#26"/>
    <x v="1"/>
    <n v="11.29"/>
    <n v="0.65"/>
    <n v="5.32"/>
    <n v="28.302399999999999"/>
    <x v="1"/>
    <s v="perry1RB"/>
    <n v="2"/>
    <s v="perry1RB-2"/>
  </r>
  <r>
    <x v="1"/>
    <x v="138"/>
    <s v="1.60-10.32"/>
    <n v="5.96"/>
    <s v="#1"/>
    <x v="1"/>
    <n v="10.32"/>
    <n v="1.6"/>
    <n v="4.3600000000000003"/>
    <n v="19.009599999999999"/>
    <x v="0"/>
    <s v="matty16RB"/>
    <n v="4"/>
    <s v="matty16RB-4"/>
  </r>
  <r>
    <x v="0"/>
    <x v="177"/>
    <s v="0.39-11.53"/>
    <n v="5.96"/>
    <s v="#27"/>
    <x v="2"/>
    <n v="11.53"/>
    <n v="0.39"/>
    <n v="5.57"/>
    <n v="31.024899999999999"/>
    <x v="7"/>
    <s v="NA17WR"/>
    <n v="4"/>
    <s v="NA17WR-4"/>
  </r>
  <r>
    <x v="1"/>
    <x v="153"/>
    <s v="1.49-10.43"/>
    <n v="5.96"/>
    <s v="#22"/>
    <x v="1"/>
    <n v="10.43"/>
    <n v="1.49"/>
    <n v="4.47"/>
    <n v="19.980899999999998"/>
    <x v="5"/>
    <s v="cory16RB"/>
    <n v="5"/>
    <s v="cory16RB-5"/>
  </r>
  <r>
    <x v="10"/>
    <x v="136"/>
    <s v="1.43-10.47"/>
    <n v="5.95"/>
    <s v="#24"/>
    <x v="1"/>
    <n v="10.47"/>
    <n v="1.43"/>
    <n v="4.5199999999999996"/>
    <n v="20.430399999999999"/>
    <x v="5"/>
    <s v="cory2RB"/>
    <n v="3"/>
    <s v="cory2RB-3"/>
  </r>
  <r>
    <x v="13"/>
    <x v="187"/>
    <s v="0.23-11.67"/>
    <n v="5.95"/>
    <s v="#7"/>
    <x v="3"/>
    <n v="11.67"/>
    <n v="0.23"/>
    <n v="5.72"/>
    <n v="32.718400000000003"/>
    <x v="7"/>
    <s v="NA8TE"/>
    <n v="1"/>
    <s v="NA8TE-1"/>
  </r>
  <r>
    <x v="10"/>
    <x v="110"/>
    <s v="0.65-11.25"/>
    <n v="5.95"/>
    <s v="#18"/>
    <x v="1"/>
    <n v="11.25"/>
    <n v="0.65"/>
    <n v="5.3"/>
    <n v="28.09"/>
    <x v="10"/>
    <s v="aj2RB"/>
    <n v="4"/>
    <s v="aj2RB-4"/>
  </r>
  <r>
    <x v="9"/>
    <x v="174"/>
    <s v="0.68-11.20"/>
    <n v="5.94"/>
    <s v="#29"/>
    <x v="2"/>
    <n v="11.2"/>
    <n v="0.68"/>
    <n v="5.26"/>
    <n v="27.6676"/>
    <x v="7"/>
    <s v="NA15WR"/>
    <n v="6"/>
    <s v="NA15WR-6"/>
  </r>
  <r>
    <x v="4"/>
    <x v="181"/>
    <s v="0.34-11.54"/>
    <n v="5.94"/>
    <s v="#27"/>
    <x v="2"/>
    <n v="11.54"/>
    <n v="0.34"/>
    <n v="5.6"/>
    <n v="31.36"/>
    <x v="7"/>
    <s v="NA7WR"/>
    <n v="3"/>
    <s v="NA7WR-3"/>
  </r>
  <r>
    <x v="3"/>
    <x v="185"/>
    <s v="1.00-10.88"/>
    <n v="5.94"/>
    <s v="#27"/>
    <x v="2"/>
    <n v="10.88"/>
    <n v="1"/>
    <n v="4.9400000000000004"/>
    <n v="24.403600000000001"/>
    <x v="7"/>
    <s v="NA11WR"/>
    <n v="4"/>
    <s v="NA11WR-4"/>
  </r>
  <r>
    <x v="0"/>
    <x v="188"/>
    <s v="0.45-11.43"/>
    <n v="5.94"/>
    <s v="#25"/>
    <x v="1"/>
    <n v="11.43"/>
    <n v="0.45"/>
    <n v="5.49"/>
    <n v="30.1401"/>
    <x v="7"/>
    <s v="NA17RB"/>
    <n v="5"/>
    <s v="NA17RB-5"/>
  </r>
  <r>
    <x v="7"/>
    <x v="138"/>
    <s v="1.34-10.52"/>
    <n v="5.93"/>
    <s v="#32"/>
    <x v="1"/>
    <n v="10.52"/>
    <n v="1.34"/>
    <n v="4.59"/>
    <n v="21.068100000000001"/>
    <x v="0"/>
    <s v="matty1RB"/>
    <n v="4"/>
    <s v="matty1RB-4"/>
  </r>
  <r>
    <x v="14"/>
    <x v="89"/>
    <s v="1.75-10.11"/>
    <n v="5.93"/>
    <s v="#24"/>
    <x v="2"/>
    <n v="10.11"/>
    <n v="1.75"/>
    <n v="4.18"/>
    <n v="17.4724"/>
    <x v="1"/>
    <s v="perry4WR"/>
    <n v="4"/>
    <s v="perry4WR-4"/>
  </r>
  <r>
    <x v="13"/>
    <x v="174"/>
    <s v="1.08-10.78"/>
    <n v="5.93"/>
    <s v="#18"/>
    <x v="2"/>
    <n v="10.78"/>
    <n v="1.08"/>
    <n v="4.8499999999999996"/>
    <n v="23.522500000000001"/>
    <x v="7"/>
    <s v="NA8WR"/>
    <n v="6"/>
    <s v="NA8WR-6"/>
  </r>
  <r>
    <x v="12"/>
    <x v="164"/>
    <s v="1.33-10.53"/>
    <n v="5.93"/>
    <s v="#13"/>
    <x v="2"/>
    <n v="10.53"/>
    <n v="1.33"/>
    <n v="4.5999999999999996"/>
    <n v="21.16"/>
    <x v="7"/>
    <s v="NA5WR"/>
    <n v="7"/>
    <s v="NA5WR-7"/>
  </r>
  <r>
    <x v="13"/>
    <x v="162"/>
    <s v="1.65-10.19"/>
    <n v="5.92"/>
    <s v="#19"/>
    <x v="2"/>
    <n v="10.19"/>
    <n v="1.65"/>
    <n v="4.2699999999999996"/>
    <n v="18.232900000000001"/>
    <x v="4"/>
    <s v="scott8WR"/>
    <n v="5"/>
    <s v="scott8WR-5"/>
  </r>
  <r>
    <x v="12"/>
    <x v="147"/>
    <s v="1.43-10.41"/>
    <n v="5.92"/>
    <s v="#12"/>
    <x v="2"/>
    <n v="10.41"/>
    <n v="1.43"/>
    <n v="4.49"/>
    <n v="20.1601"/>
    <x v="7"/>
    <s v="NA5WR"/>
    <n v="8"/>
    <s v="NA5WR-8"/>
  </r>
  <r>
    <x v="15"/>
    <x v="147"/>
    <s v="1.60-10.24"/>
    <n v="5.92"/>
    <s v="#19"/>
    <x v="2"/>
    <n v="10.24"/>
    <n v="1.6"/>
    <n v="4.32"/>
    <n v="18.662400000000002"/>
    <x v="7"/>
    <s v="NA10WR"/>
    <n v="5"/>
    <s v="NA10WR-5"/>
  </r>
  <r>
    <x v="3"/>
    <x v="189"/>
    <s v="0.70-11.12"/>
    <n v="5.91"/>
    <s v="#14"/>
    <x v="3"/>
    <n v="11.12"/>
    <n v="0.7"/>
    <n v="5.21"/>
    <n v="27.144100000000002"/>
    <x v="7"/>
    <s v="NA11TE"/>
    <n v="1"/>
    <s v="NA11TE-1"/>
  </r>
  <r>
    <x v="7"/>
    <x v="111"/>
    <s v="1.50-10.32"/>
    <n v="5.91"/>
    <s v="#10"/>
    <x v="2"/>
    <n v="10.32"/>
    <n v="1.5"/>
    <n v="4.41"/>
    <n v="19.4481"/>
    <x v="9"/>
    <s v="seth1WR"/>
    <n v="5"/>
    <s v="seth1WR-5"/>
  </r>
  <r>
    <x v="1"/>
    <x v="120"/>
    <s v="1.44-10.38"/>
    <n v="5.91"/>
    <s v="#3"/>
    <x v="2"/>
    <n v="10.38"/>
    <n v="1.44"/>
    <n v="4.47"/>
    <n v="19.980899999999998"/>
    <x v="8"/>
    <s v="comp16WR"/>
    <n v="6"/>
    <s v="comp16WR-6"/>
  </r>
  <r>
    <x v="1"/>
    <x v="164"/>
    <s v="1.35-10.47"/>
    <n v="5.91"/>
    <s v="#5"/>
    <x v="2"/>
    <n v="10.47"/>
    <n v="1.35"/>
    <n v="4.5599999999999996"/>
    <n v="20.793600000000001"/>
    <x v="7"/>
    <s v="NA16WR"/>
    <n v="5"/>
    <s v="NA16WR-5"/>
  </r>
  <r>
    <x v="1"/>
    <x v="146"/>
    <s v="0.34-11.48"/>
    <n v="5.91"/>
    <s v="#12"/>
    <x v="2"/>
    <n v="11.48"/>
    <n v="0.34"/>
    <n v="5.57"/>
    <n v="31.024899999999999"/>
    <x v="7"/>
    <s v="NA16WR"/>
    <n v="6"/>
    <s v="NA16WR-6"/>
  </r>
  <r>
    <x v="2"/>
    <x v="147"/>
    <s v="1.48-10.34"/>
    <n v="5.91"/>
    <s v="#10"/>
    <x v="2"/>
    <n v="10.34"/>
    <n v="1.48"/>
    <n v="4.43"/>
    <n v="19.6249"/>
    <x v="7"/>
    <s v="NA9WR"/>
    <n v="5"/>
    <s v="NA9WR-5"/>
  </r>
  <r>
    <x v="8"/>
    <x v="154"/>
    <s v="0.33-11.47"/>
    <n v="5.9"/>
    <s v="#20"/>
    <x v="3"/>
    <n v="11.47"/>
    <n v="0.33"/>
    <n v="5.57"/>
    <n v="31.024899999999999"/>
    <x v="7"/>
    <s v="NA6TE"/>
    <n v="1"/>
    <s v="NA6TE-1"/>
  </r>
  <r>
    <x v="13"/>
    <x v="179"/>
    <s v="2.22-9.58"/>
    <n v="5.9"/>
    <s v="#25"/>
    <x v="3"/>
    <n v="9.58"/>
    <n v="2.2200000000000002"/>
    <n v="3.68"/>
    <n v="13.542400000000001"/>
    <x v="2"/>
    <s v="devon8TE"/>
    <n v="2"/>
    <s v="devon8TE-2"/>
  </r>
  <r>
    <x v="10"/>
    <x v="190"/>
    <s v="1.46-10.34"/>
    <n v="5.9"/>
    <s v="#3"/>
    <x v="2"/>
    <n v="10.34"/>
    <n v="1.46"/>
    <n v="4.4400000000000004"/>
    <n v="19.7136"/>
    <x v="7"/>
    <s v="NA2WR"/>
    <n v="8"/>
    <s v="NA2WR-8"/>
  </r>
  <r>
    <x v="6"/>
    <x v="149"/>
    <s v="1.60-10.20"/>
    <n v="5.9"/>
    <s v="#24"/>
    <x v="2"/>
    <n v="10.199999999999999"/>
    <n v="1.6"/>
    <n v="4.3"/>
    <n v="18.489999999999998"/>
    <x v="1"/>
    <s v="perry12WR"/>
    <n v="3"/>
    <s v="perry12WR-3"/>
  </r>
  <r>
    <x v="8"/>
    <x v="146"/>
    <s v="2.04-9.76"/>
    <n v="5.9"/>
    <s v="#1"/>
    <x v="2"/>
    <n v="9.76"/>
    <n v="2.04"/>
    <n v="3.86"/>
    <n v="14.8996"/>
    <x v="7"/>
    <s v="NA6WR"/>
    <n v="4"/>
    <s v="NA6WR-4"/>
  </r>
  <r>
    <x v="13"/>
    <x v="170"/>
    <s v="1.36-10.44"/>
    <n v="5.9"/>
    <s v="#4"/>
    <x v="3"/>
    <n v="10.44"/>
    <n v="1.36"/>
    <n v="4.54"/>
    <n v="20.611599999999999"/>
    <x v="8"/>
    <s v="comp8TE"/>
    <n v="1"/>
    <s v="comp8TE-1"/>
  </r>
  <r>
    <x v="14"/>
    <x v="154"/>
    <s v="2.30-9.48"/>
    <n v="5.89"/>
    <s v="#25"/>
    <x v="3"/>
    <n v="9.48"/>
    <n v="2.2999999999999998"/>
    <n v="3.59"/>
    <n v="12.8881"/>
    <x v="7"/>
    <s v="NA4TE"/>
    <n v="2"/>
    <s v="NA4TE-2"/>
  </r>
  <r>
    <x v="5"/>
    <x v="76"/>
    <s v="2.44-9.34"/>
    <n v="5.89"/>
    <s v="#16"/>
    <x v="1"/>
    <n v="9.34"/>
    <n v="2.44"/>
    <n v="3.45"/>
    <n v="11.9025"/>
    <x v="7"/>
    <s v="NA13RB"/>
    <n v="8"/>
    <s v="NA13RB-8"/>
  </r>
  <r>
    <x v="7"/>
    <x v="189"/>
    <s v="1.68-10.10"/>
    <n v="5.89"/>
    <s v="#19"/>
    <x v="3"/>
    <n v="10.1"/>
    <n v="1.68"/>
    <n v="4.21"/>
    <n v="17.7241"/>
    <x v="7"/>
    <s v="NA1TE"/>
    <n v="1"/>
    <s v="NA1TE-1"/>
  </r>
  <r>
    <x v="15"/>
    <x v="182"/>
    <s v="1.66-10.12"/>
    <n v="5.89"/>
    <s v="#20"/>
    <x v="1"/>
    <n v="10.119999999999999"/>
    <n v="1.66"/>
    <n v="4.2300000000000004"/>
    <n v="17.892900000000001"/>
    <x v="7"/>
    <s v="NA10RB"/>
    <n v="5"/>
    <s v="NA10RB-5"/>
  </r>
  <r>
    <x v="4"/>
    <x v="75"/>
    <s v="1.62-10.16"/>
    <n v="5.89"/>
    <s v="#4"/>
    <x v="1"/>
    <n v="10.16"/>
    <n v="1.62"/>
    <n v="4.2699999999999996"/>
    <n v="18.232900000000001"/>
    <x v="9"/>
    <s v="seth7RB"/>
    <n v="6"/>
    <s v="seth7RB-6"/>
  </r>
  <r>
    <x v="8"/>
    <x v="191"/>
    <s v="1.53-10.25"/>
    <n v="5.89"/>
    <s v="#31"/>
    <x v="2"/>
    <n v="10.25"/>
    <n v="1.53"/>
    <n v="4.3600000000000003"/>
    <n v="19.009599999999999"/>
    <x v="7"/>
    <s v="NA6WR"/>
    <n v="5"/>
    <s v="NA6WR-5"/>
  </r>
  <r>
    <x v="14"/>
    <x v="192"/>
    <s v="1.33-10.43"/>
    <n v="5.88"/>
    <s v="#22"/>
    <x v="3"/>
    <n v="10.43"/>
    <n v="1.33"/>
    <n v="4.55"/>
    <n v="20.702500000000001"/>
    <x v="7"/>
    <s v="NA4TE"/>
    <n v="3"/>
    <s v="NA4TE-3"/>
  </r>
  <r>
    <x v="13"/>
    <x v="154"/>
    <s v="0.13-11.63"/>
    <n v="5.88"/>
    <s v="#15"/>
    <x v="3"/>
    <n v="11.63"/>
    <n v="0.13"/>
    <n v="5.75"/>
    <n v="33.0625"/>
    <x v="7"/>
    <s v="NA8TE"/>
    <n v="2"/>
    <s v="NA8TE-2"/>
  </r>
  <r>
    <x v="3"/>
    <x v="166"/>
    <s v="1.23-10.53"/>
    <n v="5.88"/>
    <s v="#21"/>
    <x v="1"/>
    <n v="10.53"/>
    <n v="1.23"/>
    <n v="4.6500000000000004"/>
    <n v="21.622499999999999"/>
    <x v="7"/>
    <s v="NA11RB"/>
    <n v="3"/>
    <s v="NA11RB-3"/>
  </r>
  <r>
    <x v="9"/>
    <x v="119"/>
    <s v="0.79-10.97"/>
    <n v="5.88"/>
    <s v="#1"/>
    <x v="1"/>
    <n v="10.97"/>
    <n v="0.79"/>
    <n v="5.09"/>
    <n v="25.908100000000001"/>
    <x v="2"/>
    <s v="devon15RB"/>
    <n v="5"/>
    <s v="devon15RB-5"/>
  </r>
  <r>
    <x v="11"/>
    <x v="192"/>
    <s v="0.85-10.89"/>
    <n v="5.87"/>
    <s v="#31"/>
    <x v="3"/>
    <n v="10.89"/>
    <n v="0.85"/>
    <n v="5.0199999999999996"/>
    <n v="25.200399999999998"/>
    <x v="7"/>
    <s v="NA14TE"/>
    <n v="2"/>
    <s v="NA14TE-2"/>
  </r>
  <r>
    <x v="9"/>
    <x v="161"/>
    <s v="0.84-10.90"/>
    <n v="5.87"/>
    <s v="#30"/>
    <x v="1"/>
    <n v="10.9"/>
    <n v="0.84"/>
    <n v="5.03"/>
    <n v="25.300899999999999"/>
    <x v="7"/>
    <s v="NA15RB"/>
    <n v="7"/>
    <s v="NA15RB-7"/>
  </r>
  <r>
    <x v="7"/>
    <x v="162"/>
    <s v="2.39-9.35"/>
    <n v="5.87"/>
    <s v="#30"/>
    <x v="2"/>
    <n v="9.35"/>
    <n v="2.39"/>
    <n v="3.48"/>
    <n v="12.1104"/>
    <x v="4"/>
    <s v="scott1WR"/>
    <n v="5"/>
    <s v="scott1WR-5"/>
  </r>
  <r>
    <x v="1"/>
    <x v="76"/>
    <s v="2.33-9.41"/>
    <n v="5.87"/>
    <s v="#2"/>
    <x v="1"/>
    <n v="9.41"/>
    <n v="2.33"/>
    <n v="3.54"/>
    <n v="12.531599999999999"/>
    <x v="7"/>
    <s v="NA16RB"/>
    <n v="6"/>
    <s v="NA16RB-6"/>
  </r>
  <r>
    <x v="1"/>
    <x v="185"/>
    <s v="1.73-10.01"/>
    <n v="5.87"/>
    <s v="#14"/>
    <x v="2"/>
    <n v="10.01"/>
    <n v="1.73"/>
    <n v="4.1399999999999997"/>
    <n v="17.139600000000002"/>
    <x v="7"/>
    <s v="NA16WR"/>
    <n v="7"/>
    <s v="NA16WR-7"/>
  </r>
  <r>
    <x v="3"/>
    <x v="149"/>
    <s v="1.61-10.13"/>
    <n v="5.87"/>
    <s v="#14"/>
    <x v="2"/>
    <n v="10.130000000000001"/>
    <n v="1.61"/>
    <n v="4.26"/>
    <n v="18.147600000000001"/>
    <x v="1"/>
    <s v="perry11WR"/>
    <n v="4"/>
    <s v="perry11WR-4"/>
  </r>
  <r>
    <x v="8"/>
    <x v="132"/>
    <s v="1.05-10.67"/>
    <n v="5.86"/>
    <s v="#21"/>
    <x v="1"/>
    <n v="10.67"/>
    <n v="1.05"/>
    <n v="4.8099999999999996"/>
    <n v="23.136099999999999"/>
    <x v="9"/>
    <s v="seth6RB"/>
    <n v="5"/>
    <s v="seth6RB-5"/>
  </r>
  <r>
    <x v="13"/>
    <x v="184"/>
    <s v="1.22-10.50"/>
    <n v="5.86"/>
    <s v="#32"/>
    <x v="2"/>
    <n v="10.5"/>
    <n v="1.22"/>
    <n v="4.6399999999999997"/>
    <n v="21.529599999999999"/>
    <x v="7"/>
    <s v="NA8WR"/>
    <n v="7"/>
    <s v="NA8WR-7"/>
  </r>
  <r>
    <x v="6"/>
    <x v="148"/>
    <s v="1.75-9.97"/>
    <n v="5.86"/>
    <s v="#23"/>
    <x v="2"/>
    <n v="9.9700000000000006"/>
    <n v="1.75"/>
    <n v="4.1100000000000003"/>
    <n v="16.892099999999999"/>
    <x v="6"/>
    <s v="lucas12WR"/>
    <n v="3"/>
    <s v="lucas12WR-3"/>
  </r>
  <r>
    <x v="6"/>
    <x v="122"/>
    <s v="0.57-11.11"/>
    <n v="5.84"/>
    <s v="#26"/>
    <x v="1"/>
    <n v="11.11"/>
    <n v="0.56999999999999995"/>
    <n v="5.27"/>
    <n v="27.7729"/>
    <x v="2"/>
    <s v="devon12RB"/>
    <n v="6"/>
    <s v="devon12RB-6"/>
  </r>
  <r>
    <x v="0"/>
    <x v="158"/>
    <s v="1.48-10.20"/>
    <n v="5.84"/>
    <s v="#10"/>
    <x v="3"/>
    <n v="10.199999999999999"/>
    <n v="1.48"/>
    <n v="4.3600000000000003"/>
    <n v="19.009599999999999"/>
    <x v="4"/>
    <s v="scott17TE"/>
    <n v="1"/>
    <s v="scott17TE-1"/>
  </r>
  <r>
    <x v="9"/>
    <x v="126"/>
    <s v="0.12-11.56"/>
    <n v="5.84"/>
    <s v="#15"/>
    <x v="2"/>
    <n v="11.56"/>
    <n v="0.12"/>
    <n v="5.72"/>
    <n v="32.718400000000003"/>
    <x v="3"/>
    <s v="chad15WR"/>
    <n v="6"/>
    <s v="chad15WR-6"/>
  </r>
  <r>
    <x v="13"/>
    <x v="54"/>
    <s v="2.78-8.90"/>
    <n v="5.84"/>
    <s v="#6"/>
    <x v="1"/>
    <n v="8.9"/>
    <n v="2.78"/>
    <n v="3.06"/>
    <n v="9.3635999999999999"/>
    <x v="9"/>
    <s v="seth8RB"/>
    <n v="3"/>
    <s v="seth8RB-3"/>
  </r>
  <r>
    <x v="5"/>
    <x v="192"/>
    <s v="1.73-9.93"/>
    <n v="5.83"/>
    <s v="#23"/>
    <x v="3"/>
    <n v="9.93"/>
    <n v="1.73"/>
    <n v="4.0999999999999996"/>
    <n v="16.809999999999999"/>
    <x v="7"/>
    <s v="NA13TE"/>
    <n v="2"/>
    <s v="NA13TE-2"/>
  </r>
  <r>
    <x v="8"/>
    <x v="161"/>
    <s v="0.74-10.92"/>
    <n v="5.83"/>
    <s v="#12"/>
    <x v="1"/>
    <n v="10.92"/>
    <n v="0.74"/>
    <n v="5.09"/>
    <n v="25.908100000000001"/>
    <x v="7"/>
    <s v="NA6RB"/>
    <n v="6"/>
    <s v="NA6RB-6"/>
  </r>
  <r>
    <x v="10"/>
    <x v="150"/>
    <s v="3.11-8.55"/>
    <n v="5.83"/>
    <s v="#17"/>
    <x v="1"/>
    <n v="8.5500000000000007"/>
    <n v="3.11"/>
    <n v="2.72"/>
    <n v="7.3983999999999996"/>
    <x v="7"/>
    <s v="NA2RB"/>
    <n v="6"/>
    <s v="NA2RB-6"/>
  </r>
  <r>
    <x v="1"/>
    <x v="193"/>
    <s v="0.37-11.29"/>
    <n v="5.83"/>
    <s v="#25"/>
    <x v="3"/>
    <n v="11.29"/>
    <n v="0.37"/>
    <n v="5.46"/>
    <n v="29.811599999999999"/>
    <x v="7"/>
    <s v="NA16TE"/>
    <n v="3"/>
    <s v="NA16TE-3"/>
  </r>
  <r>
    <x v="3"/>
    <x v="142"/>
    <s v="1.23-10.41"/>
    <n v="5.82"/>
    <s v="#14"/>
    <x v="1"/>
    <n v="10.41"/>
    <n v="1.23"/>
    <n v="4.59"/>
    <n v="21.068100000000001"/>
    <x v="7"/>
    <s v="NA11RB"/>
    <n v="4"/>
    <s v="NA11RB-4"/>
  </r>
  <r>
    <x v="3"/>
    <x v="161"/>
    <s v="1.11-10.51"/>
    <n v="5.81"/>
    <s v="#28"/>
    <x v="1"/>
    <n v="10.51"/>
    <n v="1.1100000000000001"/>
    <n v="4.7"/>
    <n v="22.09"/>
    <x v="7"/>
    <s v="NA11RB"/>
    <n v="5"/>
    <s v="NA11RB-5"/>
  </r>
  <r>
    <x v="9"/>
    <x v="93"/>
    <s v="1.22-10.40"/>
    <n v="5.81"/>
    <s v="#10"/>
    <x v="1"/>
    <n v="10.4"/>
    <n v="1.22"/>
    <n v="4.59"/>
    <n v="21.068100000000001"/>
    <x v="7"/>
    <s v="NA15RB"/>
    <n v="8"/>
    <s v="NA15RB-8"/>
  </r>
  <r>
    <x v="12"/>
    <x v="154"/>
    <s v="1.52-10.10"/>
    <n v="5.81"/>
    <s v="#1"/>
    <x v="3"/>
    <n v="10.1"/>
    <n v="1.52"/>
    <n v="4.29"/>
    <n v="18.4041"/>
    <x v="7"/>
    <s v="NA5TE"/>
    <n v="1"/>
    <s v="NA5TE-1"/>
  </r>
  <r>
    <x v="9"/>
    <x v="145"/>
    <s v="1.38-10.24"/>
    <n v="5.81"/>
    <s v="#14"/>
    <x v="3"/>
    <n v="10.24"/>
    <n v="1.38"/>
    <n v="4.43"/>
    <n v="19.6249"/>
    <x v="2"/>
    <s v="devon15TE"/>
    <n v="1"/>
    <s v="devon15TE-1"/>
  </r>
  <r>
    <x v="15"/>
    <x v="158"/>
    <s v="2.14-9.48"/>
    <n v="5.81"/>
    <s v="#22"/>
    <x v="3"/>
    <n v="9.48"/>
    <n v="2.14"/>
    <n v="3.67"/>
    <n v="13.4689"/>
    <x v="4"/>
    <s v="scott10TE"/>
    <n v="1"/>
    <s v="scott10TE-1"/>
  </r>
  <r>
    <x v="3"/>
    <x v="86"/>
    <s v="1.66-9.96"/>
    <n v="5.81"/>
    <s v="#8"/>
    <x v="1"/>
    <n v="9.9600000000000009"/>
    <n v="1.66"/>
    <n v="4.1500000000000004"/>
    <n v="17.2225"/>
    <x v="7"/>
    <s v="NA11RB"/>
    <n v="6"/>
    <s v="NA11RB-6"/>
  </r>
  <r>
    <x v="16"/>
    <x v="190"/>
    <s v="0.57-11.05"/>
    <n v="5.81"/>
    <s v="#28"/>
    <x v="2"/>
    <n v="11.05"/>
    <n v="0.56999999999999995"/>
    <n v="5.24"/>
    <n v="27.457599999999999"/>
    <x v="7"/>
    <s v="NA3WR"/>
    <n v="7"/>
    <s v="NA3WR-7"/>
  </r>
  <r>
    <x v="15"/>
    <x v="146"/>
    <s v="1.47-10.15"/>
    <n v="5.81"/>
    <s v="#17"/>
    <x v="2"/>
    <n v="10.15"/>
    <n v="1.47"/>
    <n v="4.34"/>
    <n v="18.835599999999999"/>
    <x v="7"/>
    <s v="NA10WR"/>
    <n v="6"/>
    <s v="NA10WR-6"/>
  </r>
  <r>
    <x v="12"/>
    <x v="150"/>
    <s v="0.19-11.41"/>
    <n v="5.8"/>
    <s v="#32"/>
    <x v="1"/>
    <n v="11.41"/>
    <n v="0.19"/>
    <n v="5.61"/>
    <n v="31.472100000000001"/>
    <x v="7"/>
    <s v="NA5RB"/>
    <n v="7"/>
    <s v="NA5RB-7"/>
  </r>
  <r>
    <x v="5"/>
    <x v="182"/>
    <s v="1.71-9.89"/>
    <n v="5.8"/>
    <s v="#32"/>
    <x v="1"/>
    <n v="9.89"/>
    <n v="1.71"/>
    <n v="4.09"/>
    <n v="16.728100000000001"/>
    <x v="7"/>
    <s v="NA13RB"/>
    <n v="9"/>
    <s v="NA13RB-9"/>
  </r>
  <r>
    <x v="5"/>
    <x v="155"/>
    <s v="1.81-9.79"/>
    <n v="5.8"/>
    <s v="#9"/>
    <x v="2"/>
    <n v="9.7899999999999991"/>
    <n v="1.81"/>
    <n v="3.99"/>
    <n v="15.9201"/>
    <x v="4"/>
    <s v="scott13WR"/>
    <n v="5"/>
    <s v="scott13WR-5"/>
  </r>
  <r>
    <x v="7"/>
    <x v="97"/>
    <s v="1.18-10.42"/>
    <n v="5.8"/>
    <s v="#28"/>
    <x v="2"/>
    <n v="10.42"/>
    <n v="1.18"/>
    <n v="4.62"/>
    <n v="21.3444"/>
    <x v="6"/>
    <s v="lucas1WR"/>
    <n v="4"/>
    <s v="lucas1WR-4"/>
  </r>
  <r>
    <x v="0"/>
    <x v="93"/>
    <s v="1.13-10.45"/>
    <n v="5.79"/>
    <s v="#12"/>
    <x v="1"/>
    <n v="10.45"/>
    <n v="1.1299999999999999"/>
    <n v="4.66"/>
    <n v="21.715599999999998"/>
    <x v="7"/>
    <s v="NA17RB"/>
    <n v="6"/>
    <s v="NA17RB-6"/>
  </r>
  <r>
    <x v="13"/>
    <x v="194"/>
    <n v="-12.1"/>
    <n v="5.79"/>
    <s v="#1"/>
    <x v="2"/>
    <n v="11.84"/>
    <n v="-0.26"/>
    <n v="6.05"/>
    <n v="36.602499999999999"/>
    <x v="7"/>
    <s v="NA8WR"/>
    <n v="8"/>
    <s v="NA8WR-8"/>
  </r>
  <r>
    <x v="6"/>
    <x v="128"/>
    <s v="1.62-9.96"/>
    <n v="5.79"/>
    <s v="#31"/>
    <x v="2"/>
    <n v="9.9600000000000009"/>
    <n v="1.62"/>
    <n v="4.17"/>
    <n v="17.3889"/>
    <x v="7"/>
    <s v="NA12WR"/>
    <n v="6"/>
    <s v="NA12WR-6"/>
  </r>
  <r>
    <x v="7"/>
    <x v="175"/>
    <s v="0.58-11.00"/>
    <n v="5.79"/>
    <s v="#32"/>
    <x v="2"/>
    <n v="11"/>
    <n v="0.57999999999999996"/>
    <n v="5.21"/>
    <n v="27.144100000000002"/>
    <x v="7"/>
    <s v="NA1WR"/>
    <n v="5"/>
    <s v="NA1WR-5"/>
  </r>
  <r>
    <x v="12"/>
    <x v="195"/>
    <s v="0.90-10.66"/>
    <n v="5.78"/>
    <s v="#23"/>
    <x v="1"/>
    <n v="10.66"/>
    <n v="0.9"/>
    <n v="4.88"/>
    <n v="23.814399999999999"/>
    <x v="1"/>
    <s v="perry5RB"/>
    <n v="4"/>
    <s v="perry5RB-4"/>
  </r>
  <r>
    <x v="10"/>
    <x v="135"/>
    <s v="1.64-9.92"/>
    <n v="5.78"/>
    <s v="#18"/>
    <x v="1"/>
    <n v="9.92"/>
    <n v="1.64"/>
    <n v="4.1399999999999997"/>
    <n v="17.139600000000002"/>
    <x v="7"/>
    <s v="NA2RB"/>
    <n v="7"/>
    <s v="NA2RB-7"/>
  </r>
  <r>
    <x v="3"/>
    <x v="75"/>
    <s v="1.52-10.02"/>
    <n v="5.77"/>
    <s v="#5"/>
    <x v="1"/>
    <n v="10.02"/>
    <n v="1.52"/>
    <n v="4.25"/>
    <n v="18.0625"/>
    <x v="9"/>
    <s v="seth11RB"/>
    <n v="5"/>
    <s v="seth11RB-5"/>
  </r>
  <r>
    <x v="12"/>
    <x v="196"/>
    <s v="0.48-11.06"/>
    <n v="5.77"/>
    <s v="#29"/>
    <x v="3"/>
    <n v="11.06"/>
    <n v="0.48"/>
    <n v="5.29"/>
    <n v="27.984100000000002"/>
    <x v="4"/>
    <s v="scott5TE"/>
    <n v="2"/>
    <s v="scott5TE-2"/>
  </r>
  <r>
    <x v="13"/>
    <x v="136"/>
    <s v="0.71-10.81"/>
    <n v="5.76"/>
    <s v="#5"/>
    <x v="1"/>
    <n v="10.81"/>
    <n v="0.71"/>
    <n v="5.05"/>
    <n v="25.502500000000001"/>
    <x v="5"/>
    <s v="cory8RB"/>
    <n v="4"/>
    <s v="cory8RB-4"/>
  </r>
  <r>
    <x v="4"/>
    <x v="197"/>
    <s v="1.27-10.25"/>
    <n v="5.76"/>
    <s v="#2"/>
    <x v="3"/>
    <n v="10.25"/>
    <n v="1.27"/>
    <n v="4.49"/>
    <n v="20.1601"/>
    <x v="7"/>
    <s v="NA7TE"/>
    <n v="2"/>
    <s v="NA7TE-2"/>
  </r>
  <r>
    <x v="12"/>
    <x v="174"/>
    <s v="0.90-10.60"/>
    <n v="5.75"/>
    <s v="#18"/>
    <x v="2"/>
    <n v="10.6"/>
    <n v="0.9"/>
    <n v="4.8499999999999996"/>
    <n v="23.522500000000001"/>
    <x v="7"/>
    <s v="NA5WR"/>
    <n v="9"/>
    <s v="NA5WR-9"/>
  </r>
  <r>
    <x v="8"/>
    <x v="174"/>
    <s v="1.33-10.17"/>
    <n v="5.75"/>
    <s v="#26"/>
    <x v="2"/>
    <n v="10.17"/>
    <n v="1.33"/>
    <n v="4.42"/>
    <n v="19.5364"/>
    <x v="7"/>
    <s v="NA6WR"/>
    <n v="6"/>
    <s v="NA6WR-6"/>
  </r>
  <r>
    <x v="9"/>
    <x v="179"/>
    <s v="2.19-9.31"/>
    <n v="5.75"/>
    <s v="#23"/>
    <x v="3"/>
    <n v="9.31"/>
    <n v="2.19"/>
    <n v="3.56"/>
    <n v="12.6736"/>
    <x v="2"/>
    <s v="devon15TE"/>
    <n v="2"/>
    <s v="devon15TE-2"/>
  </r>
  <r>
    <x v="13"/>
    <x v="164"/>
    <s v="1.15-10.35"/>
    <n v="5.75"/>
    <s v="#13"/>
    <x v="2"/>
    <n v="10.35"/>
    <n v="1.1499999999999999"/>
    <n v="4.5999999999999996"/>
    <n v="21.16"/>
    <x v="7"/>
    <s v="NA8WR"/>
    <n v="9"/>
    <s v="NA8WR-9"/>
  </r>
  <r>
    <x v="15"/>
    <x v="185"/>
    <s v="0.57-10.93"/>
    <n v="5.75"/>
    <s v="#31"/>
    <x v="2"/>
    <n v="10.93"/>
    <n v="0.56999999999999995"/>
    <n v="5.18"/>
    <n v="26.8324"/>
    <x v="7"/>
    <s v="NA10WR"/>
    <n v="7"/>
    <s v="NA10WR-7"/>
  </r>
  <r>
    <x v="3"/>
    <x v="122"/>
    <s v="0.13-11.35"/>
    <n v="5.74"/>
    <s v="#8"/>
    <x v="1"/>
    <n v="11.35"/>
    <n v="0.13"/>
    <n v="5.61"/>
    <n v="31.472100000000001"/>
    <x v="2"/>
    <s v="devon11RB"/>
    <n v="5"/>
    <s v="devon11RB-5"/>
  </r>
  <r>
    <x v="10"/>
    <x v="161"/>
    <s v="0.87-10.61"/>
    <n v="5.74"/>
    <s v="#29"/>
    <x v="1"/>
    <n v="10.61"/>
    <n v="0.87"/>
    <n v="4.87"/>
    <n v="23.716899999999999"/>
    <x v="7"/>
    <s v="NA2RB"/>
    <n v="8"/>
    <s v="NA2RB-8"/>
  </r>
  <r>
    <x v="16"/>
    <x v="103"/>
    <s v="1.59-9.89"/>
    <n v="5.74"/>
    <s v="#16"/>
    <x v="2"/>
    <n v="9.89"/>
    <n v="1.59"/>
    <n v="4.1500000000000004"/>
    <n v="17.2225"/>
    <x v="4"/>
    <s v="scott3WR"/>
    <n v="6"/>
    <s v="scott3WR-6"/>
  </r>
  <r>
    <x v="6"/>
    <x v="153"/>
    <s v="1.48-10.00"/>
    <n v="5.74"/>
    <s v="#24"/>
    <x v="1"/>
    <n v="10"/>
    <n v="1.48"/>
    <n v="4.26"/>
    <n v="18.147600000000001"/>
    <x v="5"/>
    <s v="cory12RB"/>
    <n v="5"/>
    <s v="cory12RB-5"/>
  </r>
  <r>
    <x v="10"/>
    <x v="93"/>
    <s v="0.04-11.42"/>
    <n v="5.73"/>
    <s v="#31"/>
    <x v="1"/>
    <n v="11.42"/>
    <n v="0.04"/>
    <n v="5.69"/>
    <n v="32.376100000000001"/>
    <x v="7"/>
    <s v="NA2RB"/>
    <n v="9"/>
    <s v="NA2RB-9"/>
  </r>
  <r>
    <x v="0"/>
    <x v="181"/>
    <s v="0.13-11.33"/>
    <n v="5.73"/>
    <s v="#27"/>
    <x v="2"/>
    <n v="11.33"/>
    <n v="0.13"/>
    <n v="5.6"/>
    <n v="31.36"/>
    <x v="7"/>
    <s v="NA17WR"/>
    <n v="5"/>
    <s v="NA17WR-5"/>
  </r>
  <r>
    <x v="11"/>
    <x v="151"/>
    <s v="1.79-9.67"/>
    <n v="5.73"/>
    <s v="#7"/>
    <x v="1"/>
    <n v="9.67"/>
    <n v="1.79"/>
    <n v="3.94"/>
    <n v="15.5236"/>
    <x v="7"/>
    <s v="NA14RB"/>
    <n v="7"/>
    <s v="NA14RB-7"/>
  </r>
  <r>
    <x v="16"/>
    <x v="172"/>
    <s v="1.44-10.02"/>
    <n v="5.73"/>
    <s v="#17"/>
    <x v="1"/>
    <n v="10.02"/>
    <n v="1.44"/>
    <n v="4.29"/>
    <n v="18.4041"/>
    <x v="7"/>
    <s v="NA3RB"/>
    <n v="13"/>
    <s v="NA3RB-13"/>
  </r>
  <r>
    <x v="11"/>
    <x v="165"/>
    <s v="0.58-10.86"/>
    <n v="5.72"/>
    <s v="#21"/>
    <x v="3"/>
    <n v="10.86"/>
    <n v="0.57999999999999996"/>
    <n v="5.14"/>
    <n v="26.419599999999999"/>
    <x v="8"/>
    <s v="comp14TE"/>
    <n v="1"/>
    <s v="comp14TE-1"/>
  </r>
  <r>
    <x v="10"/>
    <x v="92"/>
    <s v="1.02-10.42"/>
    <n v="5.72"/>
    <s v="#13"/>
    <x v="2"/>
    <n v="10.42"/>
    <n v="1.02"/>
    <n v="4.7"/>
    <n v="22.09"/>
    <x v="6"/>
    <s v="lucas2WR"/>
    <n v="4"/>
    <s v="lucas2WR-4"/>
  </r>
  <r>
    <x v="11"/>
    <x v="184"/>
    <s v="0.76-10.68"/>
    <n v="5.72"/>
    <s v="#18"/>
    <x v="2"/>
    <n v="10.68"/>
    <n v="0.76"/>
    <n v="4.96"/>
    <n v="24.601600000000001"/>
    <x v="7"/>
    <s v="NA14WR"/>
    <n v="9"/>
    <s v="NA14WR-9"/>
  </r>
  <r>
    <x v="3"/>
    <x v="181"/>
    <s v="1.38-10.06"/>
    <n v="5.72"/>
    <s v="#15"/>
    <x v="2"/>
    <n v="10.06"/>
    <n v="1.38"/>
    <n v="4.34"/>
    <n v="18.835599999999999"/>
    <x v="7"/>
    <s v="NA11WR"/>
    <n v="5"/>
    <s v="NA11WR-5"/>
  </r>
  <r>
    <x v="11"/>
    <x v="198"/>
    <s v="2.65-8.79"/>
    <n v="5.72"/>
    <s v="#15"/>
    <x v="1"/>
    <n v="8.7899999999999991"/>
    <n v="2.65"/>
    <n v="3.07"/>
    <n v="9.4248999999999992"/>
    <x v="7"/>
    <s v="NA14RB"/>
    <n v="8"/>
    <s v="NA14RB-8"/>
  </r>
  <r>
    <x v="12"/>
    <x v="172"/>
    <s v="1.85-9.59"/>
    <n v="5.72"/>
    <s v="#21"/>
    <x v="1"/>
    <n v="9.59"/>
    <n v="1.85"/>
    <n v="3.87"/>
    <n v="14.976900000000001"/>
    <x v="7"/>
    <s v="NA5RB"/>
    <n v="8"/>
    <s v="NA5RB-8"/>
  </r>
  <r>
    <x v="13"/>
    <x v="132"/>
    <s v="0.71-10.71"/>
    <n v="5.71"/>
    <s v="#13"/>
    <x v="1"/>
    <n v="10.71"/>
    <n v="0.71"/>
    <n v="5"/>
    <n v="25"/>
    <x v="9"/>
    <s v="seth8RB"/>
    <n v="4"/>
    <s v="seth8RB-4"/>
  </r>
  <r>
    <x v="14"/>
    <x v="177"/>
    <s v="1.72-9.70"/>
    <n v="5.71"/>
    <s v="#4"/>
    <x v="2"/>
    <n v="9.6999999999999993"/>
    <n v="1.72"/>
    <n v="3.99"/>
    <n v="15.9201"/>
    <x v="7"/>
    <s v="NA4WR"/>
    <n v="3"/>
    <s v="NA4WR-3"/>
  </r>
  <r>
    <x v="16"/>
    <x v="143"/>
    <s v="0.61-10.81"/>
    <n v="5.71"/>
    <s v="#12"/>
    <x v="2"/>
    <n v="10.81"/>
    <n v="0.61"/>
    <n v="5.0999999999999996"/>
    <n v="26.01"/>
    <x v="0"/>
    <s v="matty3WR"/>
    <n v="5"/>
    <s v="matty3WR-5"/>
  </r>
  <r>
    <x v="6"/>
    <x v="164"/>
    <s v="1.40-10.02"/>
    <n v="5.71"/>
    <s v="#31"/>
    <x v="2"/>
    <n v="10.02"/>
    <n v="1.4"/>
    <n v="4.3099999999999996"/>
    <n v="18.5761"/>
    <x v="7"/>
    <s v="NA12WR"/>
    <n v="7"/>
    <s v="NA12WR-7"/>
  </r>
  <r>
    <x v="4"/>
    <x v="175"/>
    <s v="1.95-9.47"/>
    <n v="5.71"/>
    <s v="#14"/>
    <x v="2"/>
    <n v="9.4700000000000006"/>
    <n v="1.95"/>
    <n v="3.76"/>
    <n v="14.137600000000001"/>
    <x v="7"/>
    <s v="NA7WR"/>
    <n v="4"/>
    <s v="NA7WR-4"/>
  </r>
  <r>
    <x v="13"/>
    <x v="181"/>
    <s v="0.57-10.83"/>
    <n v="5.7"/>
    <s v="#6"/>
    <x v="2"/>
    <n v="10.83"/>
    <n v="0.56999999999999995"/>
    <n v="5.13"/>
    <n v="26.3169"/>
    <x v="7"/>
    <s v="NA8WR"/>
    <n v="10"/>
    <s v="NA8WR-10"/>
  </r>
  <r>
    <x v="9"/>
    <x v="182"/>
    <s v="1.43-9.97"/>
    <n v="5.7"/>
    <s v="#19"/>
    <x v="1"/>
    <n v="9.9700000000000006"/>
    <n v="1.43"/>
    <n v="4.2699999999999996"/>
    <n v="18.232900000000001"/>
    <x v="7"/>
    <s v="NA15RB"/>
    <n v="9"/>
    <s v="NA15RB-9"/>
  </r>
  <r>
    <x v="9"/>
    <x v="155"/>
    <s v="1.56-9.84"/>
    <n v="5.7"/>
    <s v="#12"/>
    <x v="2"/>
    <n v="9.84"/>
    <n v="1.56"/>
    <n v="4.1399999999999997"/>
    <n v="17.139600000000002"/>
    <x v="4"/>
    <s v="scott15WR"/>
    <n v="5"/>
    <s v="scott15WR-5"/>
  </r>
  <r>
    <x v="0"/>
    <x v="185"/>
    <s v="2.08-9.32"/>
    <n v="5.7"/>
    <s v="#6"/>
    <x v="2"/>
    <n v="9.32"/>
    <n v="2.08"/>
    <n v="3.62"/>
    <n v="13.1044"/>
    <x v="7"/>
    <s v="NA17WR"/>
    <n v="6"/>
    <s v="NA17WR-6"/>
  </r>
  <r>
    <x v="9"/>
    <x v="149"/>
    <s v="1.33-10.07"/>
    <n v="5.7"/>
    <s v="#23"/>
    <x v="2"/>
    <n v="10.07"/>
    <n v="1.33"/>
    <n v="4.37"/>
    <n v="19.096900000000002"/>
    <x v="1"/>
    <s v="perry15WR"/>
    <n v="4"/>
    <s v="perry15WR-4"/>
  </r>
  <r>
    <x v="0"/>
    <x v="149"/>
    <s v="1.44-9.96"/>
    <n v="5.7"/>
    <s v="#14"/>
    <x v="2"/>
    <n v="9.9600000000000009"/>
    <n v="1.44"/>
    <n v="4.26"/>
    <n v="18.147600000000001"/>
    <x v="1"/>
    <s v="perry17WR"/>
    <n v="4"/>
    <s v="perry17WR-4"/>
  </r>
  <r>
    <x v="12"/>
    <x v="177"/>
    <s v="0.66-10.72"/>
    <n v="5.69"/>
    <s v="#32"/>
    <x v="2"/>
    <n v="10.72"/>
    <n v="0.66"/>
    <n v="5.03"/>
    <n v="25.300899999999999"/>
    <x v="7"/>
    <s v="NA5WR"/>
    <n v="10"/>
    <s v="NA5WR-10"/>
  </r>
  <r>
    <x v="0"/>
    <x v="189"/>
    <s v="0.48-10.90"/>
    <n v="5.69"/>
    <s v="#14"/>
    <x v="3"/>
    <n v="10.9"/>
    <n v="0.48"/>
    <n v="5.21"/>
    <n v="27.144100000000002"/>
    <x v="7"/>
    <s v="NA17TE"/>
    <n v="2"/>
    <s v="NA17TE-2"/>
  </r>
  <r>
    <x v="13"/>
    <x v="153"/>
    <s v="0.95-10.43"/>
    <n v="5.69"/>
    <s v="#25"/>
    <x v="1"/>
    <n v="10.43"/>
    <n v="0.95"/>
    <n v="4.74"/>
    <n v="22.467600000000001"/>
    <x v="5"/>
    <s v="cory8RB"/>
    <n v="5"/>
    <s v="cory8RB-5"/>
  </r>
  <r>
    <x v="9"/>
    <x v="156"/>
    <s v="1.63-9.73"/>
    <n v="5.68"/>
    <s v="#26"/>
    <x v="1"/>
    <n v="9.73"/>
    <n v="1.63"/>
    <n v="4.05"/>
    <n v="16.4025"/>
    <x v="7"/>
    <s v="NA15RB"/>
    <n v="10"/>
    <s v="NA15RB-10"/>
  </r>
  <r>
    <x v="0"/>
    <x v="191"/>
    <s v="1.32-10.04"/>
    <n v="5.68"/>
    <s v="#31"/>
    <x v="2"/>
    <n v="10.039999999999999"/>
    <n v="1.32"/>
    <n v="4.3600000000000003"/>
    <n v="19.009599999999999"/>
    <x v="7"/>
    <s v="NA17WR"/>
    <n v="7"/>
    <s v="NA17WR-7"/>
  </r>
  <r>
    <x v="1"/>
    <x v="122"/>
    <s v="0.72-10.62"/>
    <n v="5.67"/>
    <s v="#4"/>
    <x v="1"/>
    <n v="10.62"/>
    <n v="0.72"/>
    <n v="4.95"/>
    <n v="24.502500000000001"/>
    <x v="2"/>
    <s v="devon16RB"/>
    <n v="6"/>
    <s v="devon16RB-6"/>
  </r>
  <r>
    <x v="6"/>
    <x v="132"/>
    <s v="1.19-10.15"/>
    <n v="5.67"/>
    <s v="#31"/>
    <x v="1"/>
    <n v="10.15"/>
    <n v="1.19"/>
    <n v="4.4800000000000004"/>
    <n v="20.070399999999999"/>
    <x v="9"/>
    <s v="seth12RB"/>
    <n v="6"/>
    <s v="seth12RB-6"/>
  </r>
  <r>
    <x v="13"/>
    <x v="192"/>
    <s v="1.12-10.22"/>
    <n v="5.67"/>
    <s v="#26"/>
    <x v="3"/>
    <n v="10.220000000000001"/>
    <n v="1.1200000000000001"/>
    <n v="4.55"/>
    <n v="20.702500000000001"/>
    <x v="7"/>
    <s v="NA8TE"/>
    <n v="3"/>
    <s v="NA8TE-3"/>
  </r>
  <r>
    <x v="13"/>
    <x v="151"/>
    <s v="1.53-9.81"/>
    <n v="5.67"/>
    <s v="#15"/>
    <x v="1"/>
    <n v="9.81"/>
    <n v="1.53"/>
    <n v="4.1399999999999997"/>
    <n v="17.139600000000002"/>
    <x v="7"/>
    <s v="NA8RB"/>
    <n v="8"/>
    <s v="NA8RB-8"/>
  </r>
  <r>
    <x v="11"/>
    <x v="182"/>
    <s v="1.62-9.72"/>
    <n v="5.67"/>
    <s v="#15"/>
    <x v="1"/>
    <n v="9.7200000000000006"/>
    <n v="1.62"/>
    <n v="4.05"/>
    <n v="16.4025"/>
    <x v="7"/>
    <s v="NA14RB"/>
    <n v="9"/>
    <s v="NA14RB-9"/>
  </r>
  <r>
    <x v="1"/>
    <x v="131"/>
    <s v="0.96-10.38"/>
    <n v="5.67"/>
    <s v="#22"/>
    <x v="1"/>
    <n v="10.38"/>
    <n v="0.96"/>
    <n v="4.71"/>
    <n v="22.184100000000001"/>
    <x v="7"/>
    <s v="NA16RB"/>
    <n v="7"/>
    <s v="NA16RB-7"/>
  </r>
  <r>
    <x v="8"/>
    <x v="178"/>
    <n v="-12.760000000000002"/>
    <n v="5.67"/>
    <s v="#9"/>
    <x v="2"/>
    <n v="12.05"/>
    <n v="-0.71"/>
    <n v="6.38"/>
    <n v="40.7044"/>
    <x v="7"/>
    <s v="NA6WR"/>
    <n v="7"/>
    <s v="NA6WR-7"/>
  </r>
  <r>
    <x v="3"/>
    <x v="170"/>
    <s v="1.62-9.72"/>
    <n v="5.67"/>
    <s v="#26"/>
    <x v="3"/>
    <n v="9.7200000000000006"/>
    <n v="1.62"/>
    <n v="4.05"/>
    <n v="16.4025"/>
    <x v="8"/>
    <s v="comp11TE"/>
    <n v="2"/>
    <s v="comp11TE-2"/>
  </r>
  <r>
    <x v="13"/>
    <x v="197"/>
    <s v="1.27-10.05"/>
    <n v="5.66"/>
    <s v="#19"/>
    <x v="3"/>
    <n v="10.050000000000001"/>
    <n v="1.27"/>
    <n v="4.3899999999999997"/>
    <n v="19.272099999999998"/>
    <x v="7"/>
    <s v="NA8TE"/>
    <n v="4"/>
    <s v="NA8TE-4"/>
  </r>
  <r>
    <x v="9"/>
    <x v="181"/>
    <s v="2.11-9.21"/>
    <n v="5.66"/>
    <s v="#12"/>
    <x v="2"/>
    <n v="9.2100000000000009"/>
    <n v="2.11"/>
    <n v="3.55"/>
    <n v="12.602499999999999"/>
    <x v="7"/>
    <s v="NA15WR"/>
    <n v="7"/>
    <s v="NA15WR-7"/>
  </r>
  <r>
    <x v="11"/>
    <x v="134"/>
    <s v="1.63-9.69"/>
    <n v="5.66"/>
    <s v="#32"/>
    <x v="1"/>
    <n v="9.69"/>
    <n v="1.63"/>
    <n v="4.03"/>
    <n v="16.2409"/>
    <x v="3"/>
    <s v="chad14RB"/>
    <n v="5"/>
    <s v="chad14RB-5"/>
  </r>
  <r>
    <x v="0"/>
    <x v="153"/>
    <s v="1.02-10.30"/>
    <n v="5.66"/>
    <s v="#14"/>
    <x v="1"/>
    <n v="10.3"/>
    <n v="1.02"/>
    <n v="4.6399999999999997"/>
    <n v="21.529599999999999"/>
    <x v="5"/>
    <s v="cory17RB"/>
    <n v="5"/>
    <s v="cory17RB-5"/>
  </r>
  <r>
    <x v="10"/>
    <x v="117"/>
    <s v="0.64-10.68"/>
    <n v="5.66"/>
    <s v="#15"/>
    <x v="2"/>
    <n v="10.68"/>
    <n v="0.64"/>
    <n v="5.0199999999999996"/>
    <n v="25.200399999999998"/>
    <x v="4"/>
    <s v="scott2WR"/>
    <n v="4"/>
    <s v="scott2WR-4"/>
  </r>
  <r>
    <x v="9"/>
    <x v="170"/>
    <s v="1.47-9.85"/>
    <n v="5.66"/>
    <s v="#21"/>
    <x v="3"/>
    <n v="9.85"/>
    <n v="1.47"/>
    <n v="4.1900000000000004"/>
    <n v="17.556100000000001"/>
    <x v="8"/>
    <s v="comp15TE"/>
    <n v="1"/>
    <s v="comp15TE-1"/>
  </r>
  <r>
    <x v="1"/>
    <x v="93"/>
    <s v="0.88-10.42"/>
    <n v="5.65"/>
    <s v="#27"/>
    <x v="1"/>
    <n v="10.42"/>
    <n v="0.88"/>
    <n v="4.7699999999999996"/>
    <n v="22.7529"/>
    <x v="7"/>
    <s v="NA16RB"/>
    <n v="8"/>
    <s v="NA16RB-8"/>
  </r>
  <r>
    <x v="15"/>
    <x v="166"/>
    <s v="1.11-10.19"/>
    <n v="5.65"/>
    <s v="#10"/>
    <x v="1"/>
    <n v="10.19"/>
    <n v="1.1100000000000001"/>
    <n v="4.54"/>
    <n v="20.611599999999999"/>
    <x v="7"/>
    <s v="NA10RB"/>
    <n v="6"/>
    <s v="NA10RB-6"/>
  </r>
  <r>
    <x v="3"/>
    <x v="179"/>
    <s v="1.63-9.65"/>
    <n v="5.64"/>
    <s v="#14"/>
    <x v="3"/>
    <n v="9.65"/>
    <n v="1.63"/>
    <n v="4.01"/>
    <n v="16.080100000000002"/>
    <x v="2"/>
    <s v="devon11TE"/>
    <n v="2"/>
    <s v="devon11TE-2"/>
  </r>
  <r>
    <x v="11"/>
    <x v="179"/>
    <s v="2.41-8.87"/>
    <n v="5.64"/>
    <s v="#27"/>
    <x v="3"/>
    <n v="8.8699999999999992"/>
    <n v="2.41"/>
    <n v="3.23"/>
    <n v="10.4329"/>
    <x v="2"/>
    <s v="devon14TE"/>
    <n v="2"/>
    <s v="devon14TE-2"/>
  </r>
  <r>
    <x v="8"/>
    <x v="158"/>
    <s v="2.10-9.18"/>
    <n v="5.64"/>
    <s v="#21"/>
    <x v="3"/>
    <n v="9.18"/>
    <n v="2.1"/>
    <n v="3.54"/>
    <n v="12.531599999999999"/>
    <x v="4"/>
    <s v="scott6TE"/>
    <n v="1"/>
    <s v="scott6TE-1"/>
  </r>
  <r>
    <x v="15"/>
    <x v="172"/>
    <s v="1.21-10.07"/>
    <n v="5.64"/>
    <s v="#5"/>
    <x v="1"/>
    <n v="10.07"/>
    <n v="1.21"/>
    <n v="4.43"/>
    <n v="19.6249"/>
    <x v="7"/>
    <s v="NA10RB"/>
    <n v="7"/>
    <s v="NA10RB-7"/>
  </r>
  <r>
    <x v="13"/>
    <x v="166"/>
    <s v="1.18-10.10"/>
    <n v="5.64"/>
    <s v="#28"/>
    <x v="1"/>
    <n v="10.1"/>
    <n v="1.18"/>
    <n v="4.46"/>
    <n v="19.8916"/>
    <x v="7"/>
    <s v="NA8RB"/>
    <n v="9"/>
    <s v="NA8RB-9"/>
  </r>
  <r>
    <x v="1"/>
    <x v="170"/>
    <s v="1.41-9.87"/>
    <n v="5.64"/>
    <s v="#18"/>
    <x v="3"/>
    <n v="9.8699999999999992"/>
    <n v="1.41"/>
    <n v="4.2300000000000004"/>
    <n v="17.892900000000001"/>
    <x v="8"/>
    <s v="comp16TE"/>
    <n v="1"/>
    <s v="comp16TE-1"/>
  </r>
  <r>
    <x v="15"/>
    <x v="151"/>
    <s v="2.02-9.24"/>
    <n v="5.63"/>
    <s v="#29"/>
    <x v="1"/>
    <n v="9.24"/>
    <n v="2.02"/>
    <n v="3.61"/>
    <n v="13.0321"/>
    <x v="7"/>
    <s v="NA10RB"/>
    <n v="8"/>
    <s v="NA10RB-8"/>
  </r>
  <r>
    <x v="13"/>
    <x v="125"/>
    <s v="0.88-10.38"/>
    <n v="5.63"/>
    <s v="#10"/>
    <x v="3"/>
    <n v="10.38"/>
    <n v="0.88"/>
    <n v="4.75"/>
    <n v="22.5625"/>
    <x v="9"/>
    <s v="seth8TE"/>
    <n v="1"/>
    <s v="seth8TE-1"/>
  </r>
  <r>
    <x v="9"/>
    <x v="131"/>
    <s v="1.44-9.82"/>
    <n v="5.63"/>
    <s v="#23"/>
    <x v="1"/>
    <n v="9.82"/>
    <n v="1.44"/>
    <n v="4.1900000000000004"/>
    <n v="17.556100000000001"/>
    <x v="7"/>
    <s v="NA15RB"/>
    <n v="11"/>
    <s v="NA15RB-11"/>
  </r>
  <r>
    <x v="13"/>
    <x v="172"/>
    <s v="1.50-9.76"/>
    <n v="5.63"/>
    <s v="#8"/>
    <x v="1"/>
    <n v="9.76"/>
    <n v="1.5"/>
    <n v="4.13"/>
    <n v="17.056899999999999"/>
    <x v="7"/>
    <s v="NA8RB"/>
    <n v="10"/>
    <s v="NA8RB-10"/>
  </r>
  <r>
    <x v="11"/>
    <x v="172"/>
    <s v="1.15-10.11"/>
    <n v="5.63"/>
    <s v="#13"/>
    <x v="1"/>
    <n v="10.11"/>
    <n v="1.1499999999999999"/>
    <n v="4.4800000000000004"/>
    <n v="20.070399999999999"/>
    <x v="7"/>
    <s v="NA14RB"/>
    <n v="10"/>
    <s v="NA14RB-10"/>
  </r>
  <r>
    <x v="9"/>
    <x v="146"/>
    <s v="1.36-9.90"/>
    <n v="5.63"/>
    <s v="#22"/>
    <x v="2"/>
    <n v="9.9"/>
    <n v="1.36"/>
    <n v="4.2699999999999996"/>
    <n v="18.232900000000001"/>
    <x v="7"/>
    <s v="NA15WR"/>
    <n v="8"/>
    <s v="NA15WR-8"/>
  </r>
  <r>
    <x v="8"/>
    <x v="197"/>
    <s v="1.13-10.11"/>
    <n v="5.62"/>
    <s v="#29"/>
    <x v="3"/>
    <n v="10.11"/>
    <n v="1.1299999999999999"/>
    <n v="4.49"/>
    <n v="20.1601"/>
    <x v="7"/>
    <s v="NA6TE"/>
    <n v="2"/>
    <s v="NA6TE-2"/>
  </r>
  <r>
    <x v="8"/>
    <x v="179"/>
    <s v="1.37-9.87"/>
    <n v="5.62"/>
    <s v="#4"/>
    <x v="3"/>
    <n v="9.8699999999999992"/>
    <n v="1.37"/>
    <n v="4.25"/>
    <n v="18.0625"/>
    <x v="2"/>
    <s v="devon6TE"/>
    <n v="1"/>
    <s v="devon6TE-1"/>
  </r>
  <r>
    <x v="0"/>
    <x v="76"/>
    <s v="1.71-9.53"/>
    <n v="5.62"/>
    <s v="#15"/>
    <x v="1"/>
    <n v="9.5299999999999994"/>
    <n v="1.71"/>
    <n v="3.91"/>
    <n v="15.2881"/>
    <x v="7"/>
    <s v="NA17RB"/>
    <n v="7"/>
    <s v="NA17RB-7"/>
  </r>
  <r>
    <x v="7"/>
    <x v="141"/>
    <s v="1.67-9.57"/>
    <n v="5.62"/>
    <s v="#3"/>
    <x v="2"/>
    <n v="9.57"/>
    <n v="1.67"/>
    <n v="3.95"/>
    <n v="15.602499999999999"/>
    <x v="5"/>
    <s v="cory1WR"/>
    <n v="4"/>
    <s v="cory1WR-4"/>
  </r>
  <r>
    <x v="2"/>
    <x v="132"/>
    <s v="1.80-9.42"/>
    <n v="5.61"/>
    <s v="#25"/>
    <x v="1"/>
    <n v="9.42"/>
    <n v="1.8"/>
    <n v="3.81"/>
    <n v="14.5161"/>
    <x v="9"/>
    <s v="seth9RB"/>
    <n v="4"/>
    <s v="seth9RB-4"/>
  </r>
  <r>
    <x v="12"/>
    <x v="169"/>
    <s v="1.19-10.03"/>
    <n v="5.61"/>
    <s v="#14"/>
    <x v="1"/>
    <n v="10.029999999999999"/>
    <n v="1.19"/>
    <n v="4.42"/>
    <n v="19.5364"/>
    <x v="7"/>
    <s v="NA5RB"/>
    <n v="9"/>
    <s v="NA5RB-9"/>
  </r>
  <r>
    <x v="7"/>
    <x v="199"/>
    <s v="1.24-9.98"/>
    <n v="5.61"/>
    <s v="#1"/>
    <x v="2"/>
    <n v="9.98"/>
    <n v="1.24"/>
    <n v="4.37"/>
    <n v="19.096900000000002"/>
    <x v="7"/>
    <s v="NA1WR"/>
    <n v="6"/>
    <s v="NA1WR-6"/>
  </r>
  <r>
    <x v="14"/>
    <x v="169"/>
    <s v="1.67-9.53"/>
    <n v="5.6"/>
    <s v="#21"/>
    <x v="1"/>
    <n v="9.5299999999999994"/>
    <n v="1.67"/>
    <n v="3.93"/>
    <n v="15.444900000000001"/>
    <x v="7"/>
    <s v="NA4RB"/>
    <n v="9"/>
    <s v="NA4RB-9"/>
  </r>
  <r>
    <x v="10"/>
    <x v="200"/>
    <s v="1.89-9.31"/>
    <n v="5.6"/>
    <s v="#25"/>
    <x v="1"/>
    <n v="9.31"/>
    <n v="1.89"/>
    <n v="3.71"/>
    <n v="13.764099999999999"/>
    <x v="7"/>
    <s v="NA2RB"/>
    <n v="10"/>
    <s v="NA2RB-10"/>
  </r>
  <r>
    <x v="10"/>
    <x v="156"/>
    <s v="1.18-10.02"/>
    <n v="5.6"/>
    <s v="#4"/>
    <x v="1"/>
    <n v="10.02"/>
    <n v="1.18"/>
    <n v="4.42"/>
    <n v="19.5364"/>
    <x v="7"/>
    <s v="NA2RB"/>
    <n v="11"/>
    <s v="NA2RB-11"/>
  </r>
  <r>
    <x v="13"/>
    <x v="189"/>
    <s v="0.86-10.34"/>
    <n v="5.6"/>
    <s v="#25"/>
    <x v="3"/>
    <n v="10.34"/>
    <n v="0.86"/>
    <n v="4.74"/>
    <n v="22.467600000000001"/>
    <x v="7"/>
    <s v="NA8TE"/>
    <n v="5"/>
    <s v="NA8TE-5"/>
  </r>
  <r>
    <x v="16"/>
    <x v="170"/>
    <s v="0.58-10.62"/>
    <n v="5.6"/>
    <s v="#13"/>
    <x v="3"/>
    <n v="10.62"/>
    <n v="0.57999999999999996"/>
    <n v="5.0199999999999996"/>
    <n v="25.200399999999998"/>
    <x v="8"/>
    <s v="comp3TE"/>
    <n v="1"/>
    <s v="comp3TE-1"/>
  </r>
  <r>
    <x v="16"/>
    <x v="175"/>
    <s v="1.51-9.69"/>
    <n v="5.6"/>
    <s v="#10"/>
    <x v="2"/>
    <n v="9.69"/>
    <n v="1.51"/>
    <n v="4.09"/>
    <n v="16.728100000000001"/>
    <x v="7"/>
    <s v="NA3WR"/>
    <n v="8"/>
    <s v="NA3WR-8"/>
  </r>
  <r>
    <x v="6"/>
    <x v="189"/>
    <s v="0.67-10.51"/>
    <n v="5.59"/>
    <s v="#24"/>
    <x v="3"/>
    <n v="10.51"/>
    <n v="0.67"/>
    <n v="4.92"/>
    <n v="24.206399999999999"/>
    <x v="7"/>
    <s v="NA12TE"/>
    <n v="3"/>
    <s v="NA12TE-3"/>
  </r>
  <r>
    <x v="15"/>
    <x v="155"/>
    <s v="1.60-9.58"/>
    <n v="5.59"/>
    <s v="#9"/>
    <x v="2"/>
    <n v="9.58"/>
    <n v="1.6"/>
    <n v="3.99"/>
    <n v="15.9201"/>
    <x v="4"/>
    <s v="scott10WR"/>
    <n v="4"/>
    <s v="scott10WR-4"/>
  </r>
  <r>
    <x v="7"/>
    <x v="135"/>
    <s v="1.86-9.32"/>
    <n v="5.59"/>
    <s v="#4"/>
    <x v="1"/>
    <n v="9.32"/>
    <n v="1.86"/>
    <n v="3.73"/>
    <n v="13.9129"/>
    <x v="7"/>
    <s v="NA1RB"/>
    <n v="5"/>
    <s v="NA1RB-5"/>
  </r>
  <r>
    <x v="14"/>
    <x v="122"/>
    <n v="-16.2"/>
    <n v="5.58"/>
    <s v="#11"/>
    <x v="1"/>
    <n v="13.68"/>
    <n v="-2.52"/>
    <n v="8.1"/>
    <n v="65.61"/>
    <x v="2"/>
    <s v="devon4RB"/>
    <n v="4"/>
    <s v="devon4RB-4"/>
  </r>
  <r>
    <x v="14"/>
    <x v="201"/>
    <s v="1.53-9.63"/>
    <n v="5.58"/>
    <s v="#5"/>
    <x v="2"/>
    <n v="9.6300000000000008"/>
    <n v="1.53"/>
    <n v="4.05"/>
    <n v="16.4025"/>
    <x v="7"/>
    <s v="NA4WR"/>
    <n v="4"/>
    <s v="NA4WR-4"/>
  </r>
  <r>
    <x v="5"/>
    <x v="181"/>
    <s v="1.20-9.96"/>
    <n v="5.58"/>
    <s v="#9"/>
    <x v="2"/>
    <n v="9.9600000000000009"/>
    <n v="1.2"/>
    <n v="4.38"/>
    <n v="19.1844"/>
    <x v="7"/>
    <s v="NA13WR"/>
    <n v="9"/>
    <s v="NA13WR-9"/>
  </r>
  <r>
    <x v="1"/>
    <x v="98"/>
    <s v="1.77-9.39"/>
    <n v="5.58"/>
    <s v="#3"/>
    <x v="1"/>
    <n v="9.39"/>
    <n v="1.77"/>
    <n v="3.81"/>
    <n v="14.5161"/>
    <x v="6"/>
    <s v="lucas16RB"/>
    <n v="5"/>
    <s v="lucas16RB-5"/>
  </r>
  <r>
    <x v="12"/>
    <x v="182"/>
    <s v="1.33-9.79"/>
    <n v="5.56"/>
    <s v="#20"/>
    <x v="1"/>
    <n v="9.7899999999999991"/>
    <n v="1.33"/>
    <n v="4.2300000000000004"/>
    <n v="17.892900000000001"/>
    <x v="7"/>
    <s v="NA5RB"/>
    <n v="10"/>
    <s v="NA5RB-10"/>
  </r>
  <r>
    <x v="11"/>
    <x v="185"/>
    <s v="1.03-10.09"/>
    <n v="5.56"/>
    <s v="#22"/>
    <x v="2"/>
    <n v="10.09"/>
    <n v="1.03"/>
    <n v="4.53"/>
    <n v="20.520900000000001"/>
    <x v="7"/>
    <s v="NA14WR"/>
    <n v="10"/>
    <s v="NA14WR-10"/>
  </r>
  <r>
    <x v="1"/>
    <x v="147"/>
    <s v="1.77-9.35"/>
    <n v="5.56"/>
    <s v="#15"/>
    <x v="2"/>
    <n v="9.35"/>
    <n v="1.77"/>
    <n v="3.79"/>
    <n v="14.364100000000001"/>
    <x v="7"/>
    <s v="NA16WR"/>
    <n v="8"/>
    <s v="NA16WR-8"/>
  </r>
  <r>
    <x v="7"/>
    <x v="136"/>
    <s v="0.96-10.14"/>
    <n v="5.55"/>
    <s v="#28"/>
    <x v="1"/>
    <n v="10.14"/>
    <n v="0.96"/>
    <n v="4.59"/>
    <n v="21.068100000000001"/>
    <x v="5"/>
    <s v="cory1RB"/>
    <n v="3"/>
    <s v="cory1RB-3"/>
  </r>
  <r>
    <x v="2"/>
    <x v="172"/>
    <s v="0.98-10.12"/>
    <n v="5.55"/>
    <s v="#26"/>
    <x v="1"/>
    <n v="10.119999999999999"/>
    <n v="0.98"/>
    <n v="4.57"/>
    <n v="20.884899999999998"/>
    <x v="7"/>
    <s v="NA9RB"/>
    <n v="6"/>
    <s v="NA9RB-6"/>
  </r>
  <r>
    <x v="5"/>
    <x v="185"/>
    <s v="1.93-9.17"/>
    <n v="5.55"/>
    <s v="#6"/>
    <x v="2"/>
    <n v="9.17"/>
    <n v="1.93"/>
    <n v="3.62"/>
    <n v="13.1044"/>
    <x v="7"/>
    <s v="NA13WR"/>
    <n v="10"/>
    <s v="NA13WR-10"/>
  </r>
  <r>
    <x v="9"/>
    <x v="122"/>
    <s v="0.39-10.69"/>
    <n v="5.54"/>
    <s v="#5"/>
    <x v="1"/>
    <n v="10.69"/>
    <n v="0.39"/>
    <n v="5.15"/>
    <n v="26.522500000000001"/>
    <x v="2"/>
    <s v="devon15RB"/>
    <n v="6"/>
    <s v="devon15RB-6"/>
  </r>
  <r>
    <x v="13"/>
    <x v="195"/>
    <s v="0.72-10.36"/>
    <n v="5.54"/>
    <s v="#24"/>
    <x v="1"/>
    <n v="10.36"/>
    <n v="0.72"/>
    <n v="4.82"/>
    <n v="23.232399999999998"/>
    <x v="1"/>
    <s v="perry8RB"/>
    <n v="3"/>
    <s v="perry8RB-3"/>
  </r>
  <r>
    <x v="13"/>
    <x v="202"/>
    <s v="1.83-9.23"/>
    <n v="5.53"/>
    <s v="#27"/>
    <x v="2"/>
    <n v="9.23"/>
    <n v="1.83"/>
    <n v="3.7"/>
    <n v="13.69"/>
    <x v="7"/>
    <s v="NA8WR"/>
    <n v="11"/>
    <s v="NA8WR-11"/>
  </r>
  <r>
    <x v="5"/>
    <x v="203"/>
    <s v="0.70-10.36"/>
    <n v="5.53"/>
    <s v="#11"/>
    <x v="2"/>
    <n v="10.36"/>
    <n v="0.7"/>
    <n v="4.83"/>
    <n v="23.328900000000001"/>
    <x v="7"/>
    <s v="NA13WR"/>
    <n v="11"/>
    <s v="NA13WR-11"/>
  </r>
  <r>
    <x v="11"/>
    <x v="159"/>
    <s v="2.47-8.59"/>
    <n v="5.53"/>
    <s v="#8"/>
    <x v="3"/>
    <n v="8.59"/>
    <n v="2.4700000000000002"/>
    <n v="3.06"/>
    <n v="9.3635999999999999"/>
    <x v="5"/>
    <s v="cory14TE"/>
    <n v="1"/>
    <s v="cory14TE-1"/>
  </r>
  <r>
    <x v="14"/>
    <x v="75"/>
    <s v="1.04-10.02"/>
    <n v="5.53"/>
    <s v="#10"/>
    <x v="1"/>
    <n v="10.02"/>
    <n v="1.04"/>
    <n v="4.49"/>
    <n v="20.1601"/>
    <x v="9"/>
    <s v="seth4RB"/>
    <n v="5"/>
    <s v="seth4RB-5"/>
  </r>
  <r>
    <x v="1"/>
    <x v="135"/>
    <s v="1.11-9.95"/>
    <n v="5.53"/>
    <s v="#26"/>
    <x v="1"/>
    <n v="9.9499999999999993"/>
    <n v="1.1100000000000001"/>
    <n v="4.42"/>
    <n v="19.5364"/>
    <x v="7"/>
    <s v="NA16RB"/>
    <n v="9"/>
    <s v="NA16RB-9"/>
  </r>
  <r>
    <x v="2"/>
    <x v="185"/>
    <s v="0.59-10.45"/>
    <n v="5.52"/>
    <s v="#29"/>
    <x v="2"/>
    <n v="10.45"/>
    <n v="0.59"/>
    <n v="4.93"/>
    <n v="24.3049"/>
    <x v="7"/>
    <s v="NA9WR"/>
    <n v="6"/>
    <s v="NA9WR-6"/>
  </r>
  <r>
    <x v="8"/>
    <x v="170"/>
    <s v="1.44-9.60"/>
    <n v="5.52"/>
    <s v="#24"/>
    <x v="3"/>
    <n v="9.6"/>
    <n v="1.44"/>
    <n v="4.08"/>
    <n v="16.6464"/>
    <x v="8"/>
    <s v="comp6TE"/>
    <n v="2"/>
    <s v="comp6TE-2"/>
  </r>
  <r>
    <x v="9"/>
    <x v="132"/>
    <s v="1.08-9.94"/>
    <n v="5.51"/>
    <s v="#8"/>
    <x v="1"/>
    <n v="9.94"/>
    <n v="1.08"/>
    <n v="4.43"/>
    <n v="19.6249"/>
    <x v="9"/>
    <s v="seth15RB"/>
    <n v="6"/>
    <s v="seth15RB-6"/>
  </r>
  <r>
    <x v="6"/>
    <x v="177"/>
    <s v="1.11-9.91"/>
    <n v="5.51"/>
    <s v="#11"/>
    <x v="2"/>
    <n v="9.91"/>
    <n v="1.1100000000000001"/>
    <n v="4.4000000000000004"/>
    <n v="19.36"/>
    <x v="7"/>
    <s v="NA12WR"/>
    <n v="8"/>
    <s v="NA12WR-8"/>
  </r>
  <r>
    <x v="13"/>
    <x v="155"/>
    <s v="1.34-9.68"/>
    <n v="5.51"/>
    <s v="#6"/>
    <x v="2"/>
    <n v="9.68"/>
    <n v="1.34"/>
    <n v="4.17"/>
    <n v="17.3889"/>
    <x v="4"/>
    <s v="scott8WR"/>
    <n v="6"/>
    <s v="scott8WR-6"/>
  </r>
  <r>
    <x v="13"/>
    <x v="199"/>
    <s v="1.03-9.99"/>
    <n v="5.51"/>
    <s v="#17"/>
    <x v="2"/>
    <n v="9.99"/>
    <n v="1.03"/>
    <n v="4.4800000000000004"/>
    <n v="20.070399999999999"/>
    <x v="7"/>
    <s v="NA8WR"/>
    <n v="12"/>
    <s v="NA8WR-12"/>
  </r>
  <r>
    <x v="10"/>
    <x v="191"/>
    <s v="1.38-9.64"/>
    <n v="5.51"/>
    <s v="#7"/>
    <x v="2"/>
    <n v="9.64"/>
    <n v="1.38"/>
    <n v="4.13"/>
    <n v="17.056899999999999"/>
    <x v="7"/>
    <s v="NA2WR"/>
    <n v="9"/>
    <s v="NA2WR-9"/>
  </r>
  <r>
    <x v="3"/>
    <x v="147"/>
    <s v="1.75-9.27"/>
    <n v="5.51"/>
    <s v="#6"/>
    <x v="2"/>
    <n v="9.27"/>
    <n v="1.75"/>
    <n v="3.76"/>
    <n v="14.137600000000001"/>
    <x v="7"/>
    <s v="NA11WR"/>
    <n v="6"/>
    <s v="NA11WR-6"/>
  </r>
  <r>
    <x v="0"/>
    <x v="147"/>
    <s v="1.71-9.31"/>
    <n v="5.51"/>
    <s v="#7"/>
    <x v="2"/>
    <n v="9.31"/>
    <n v="1.71"/>
    <n v="3.8"/>
    <n v="14.44"/>
    <x v="7"/>
    <s v="NA17WR"/>
    <n v="8"/>
    <s v="NA17WR-8"/>
  </r>
  <r>
    <x v="8"/>
    <x v="204"/>
    <s v="1.54-9.46"/>
    <n v="5.5"/>
    <s v="#11"/>
    <x v="1"/>
    <n v="9.4600000000000009"/>
    <n v="1.54"/>
    <n v="3.96"/>
    <n v="15.6816"/>
    <x v="7"/>
    <s v="NA6RB"/>
    <n v="7"/>
    <s v="NA6RB-7"/>
  </r>
  <r>
    <x v="11"/>
    <x v="75"/>
    <s v="1.65-9.35"/>
    <n v="5.5"/>
    <s v="#8"/>
    <x v="1"/>
    <n v="9.35"/>
    <n v="1.65"/>
    <n v="3.85"/>
    <n v="14.8225"/>
    <x v="9"/>
    <s v="seth14RB"/>
    <n v="5"/>
    <s v="seth14RB-5"/>
  </r>
  <r>
    <x v="0"/>
    <x v="142"/>
    <s v="0.91-10.09"/>
    <n v="5.5"/>
    <s v="#14"/>
    <x v="1"/>
    <n v="10.09"/>
    <n v="0.91"/>
    <n v="4.59"/>
    <n v="21.068100000000001"/>
    <x v="7"/>
    <s v="NA17RB"/>
    <n v="8"/>
    <s v="NA17RB-8"/>
  </r>
  <r>
    <x v="5"/>
    <x v="188"/>
    <s v="0.01-10.99"/>
    <n v="5.5"/>
    <s v="#25"/>
    <x v="1"/>
    <n v="10.99"/>
    <n v="0.01"/>
    <n v="5.49"/>
    <n v="30.1401"/>
    <x v="7"/>
    <s v="NA13RB"/>
    <n v="10"/>
    <s v="NA13RB-10"/>
  </r>
  <r>
    <x v="1"/>
    <x v="158"/>
    <s v="0.98-10.00"/>
    <n v="5.49"/>
    <s v="#5"/>
    <x v="3"/>
    <n v="10"/>
    <n v="0.98"/>
    <n v="4.51"/>
    <n v="20.3401"/>
    <x v="4"/>
    <s v="scott16TE"/>
    <n v="1"/>
    <s v="scott16TE-1"/>
  </r>
  <r>
    <x v="6"/>
    <x v="187"/>
    <s v="1.66-9.32"/>
    <n v="5.49"/>
    <s v="#25"/>
    <x v="3"/>
    <n v="9.32"/>
    <n v="1.66"/>
    <n v="3.83"/>
    <n v="14.668900000000001"/>
    <x v="7"/>
    <s v="NA12TE"/>
    <n v="4"/>
    <s v="NA12TE-4"/>
  </r>
  <r>
    <x v="2"/>
    <x v="182"/>
    <s v="1.10-9.88"/>
    <n v="5.49"/>
    <s v="#18"/>
    <x v="1"/>
    <n v="9.8800000000000008"/>
    <n v="1.1000000000000001"/>
    <n v="4.3899999999999997"/>
    <n v="19.272099999999998"/>
    <x v="7"/>
    <s v="NA9RB"/>
    <n v="7"/>
    <s v="NA9RB-7"/>
  </r>
  <r>
    <x v="3"/>
    <x v="157"/>
    <s v="0.56-10.42"/>
    <n v="5.49"/>
    <s v="#22"/>
    <x v="3"/>
    <n v="10.42"/>
    <n v="0.56000000000000005"/>
    <n v="4.93"/>
    <n v="24.3049"/>
    <x v="7"/>
    <s v="NA11TE"/>
    <n v="2"/>
    <s v="NA11TE-2"/>
  </r>
  <r>
    <x v="3"/>
    <x v="195"/>
    <s v="0.70-10.26"/>
    <n v="5.48"/>
    <s v="#12"/>
    <x v="1"/>
    <n v="10.26"/>
    <n v="0.7"/>
    <n v="4.78"/>
    <n v="22.848400000000002"/>
    <x v="1"/>
    <s v="perry11RB"/>
    <n v="3"/>
    <s v="perry11RB-3"/>
  </r>
  <r>
    <x v="2"/>
    <x v="184"/>
    <s v="1.43-9.53"/>
    <n v="5.48"/>
    <s v="#27"/>
    <x v="2"/>
    <n v="9.5299999999999994"/>
    <n v="1.43"/>
    <n v="4.05"/>
    <n v="16.4025"/>
    <x v="7"/>
    <s v="NA9WR"/>
    <n v="7"/>
    <s v="NA9WR-7"/>
  </r>
  <r>
    <x v="1"/>
    <x v="181"/>
    <s v="0.97-9.99"/>
    <n v="5.48"/>
    <s v="#24"/>
    <x v="2"/>
    <n v="9.99"/>
    <n v="0.97"/>
    <n v="4.51"/>
    <n v="20.3401"/>
    <x v="7"/>
    <s v="NA16WR"/>
    <n v="9"/>
    <s v="NA16WR-9"/>
  </r>
  <r>
    <x v="4"/>
    <x v="162"/>
    <s v="1.78-9.18"/>
    <n v="5.48"/>
    <s v="#2"/>
    <x v="2"/>
    <n v="9.18"/>
    <n v="1.78"/>
    <n v="3.7"/>
    <n v="13.69"/>
    <x v="4"/>
    <s v="scott7WR"/>
    <n v="5"/>
    <s v="scott7WR-5"/>
  </r>
  <r>
    <x v="5"/>
    <x v="151"/>
    <s v="1.86-9.10"/>
    <n v="5.48"/>
    <s v="#27"/>
    <x v="1"/>
    <n v="9.1"/>
    <n v="1.86"/>
    <n v="3.62"/>
    <n v="13.1044"/>
    <x v="7"/>
    <s v="NA13RB"/>
    <n v="11"/>
    <s v="NA13RB-11"/>
  </r>
  <r>
    <x v="10"/>
    <x v="155"/>
    <s v="0.66-10.30"/>
    <n v="5.48"/>
    <s v="#17"/>
    <x v="2"/>
    <n v="10.3"/>
    <n v="0.66"/>
    <n v="4.82"/>
    <n v="23.232399999999998"/>
    <x v="4"/>
    <s v="scott2WR"/>
    <n v="5"/>
    <s v="scott2WR-5"/>
  </r>
  <r>
    <x v="15"/>
    <x v="142"/>
    <s v="0.59-10.37"/>
    <n v="5.48"/>
    <s v="#3"/>
    <x v="1"/>
    <n v="10.37"/>
    <n v="0.59"/>
    <n v="4.8899999999999997"/>
    <n v="23.912099999999999"/>
    <x v="7"/>
    <s v="NA10RB"/>
    <n v="9"/>
    <s v="NA10RB-9"/>
  </r>
  <r>
    <x v="2"/>
    <x v="164"/>
    <s v="1.48-9.48"/>
    <n v="5.48"/>
    <s v="#25"/>
    <x v="2"/>
    <n v="9.48"/>
    <n v="1.48"/>
    <n v="4"/>
    <n v="16"/>
    <x v="7"/>
    <s v="NA9WR"/>
    <n v="8"/>
    <s v="NA9WR-8"/>
  </r>
  <r>
    <x v="13"/>
    <x v="169"/>
    <s v="1.10-9.84"/>
    <n v="5.47"/>
    <s v="#17"/>
    <x v="1"/>
    <n v="9.84"/>
    <n v="1.1000000000000001"/>
    <n v="4.37"/>
    <n v="19.096900000000002"/>
    <x v="7"/>
    <s v="NA8RB"/>
    <n v="11"/>
    <s v="NA8RB-11"/>
  </r>
  <r>
    <x v="0"/>
    <x v="182"/>
    <s v="1.38-9.56"/>
    <n v="5.47"/>
    <s v="#32"/>
    <x v="1"/>
    <n v="9.56"/>
    <n v="1.38"/>
    <n v="4.09"/>
    <n v="16.728100000000001"/>
    <x v="7"/>
    <s v="NA17RB"/>
    <n v="9"/>
    <s v="NA17RB-9"/>
  </r>
  <r>
    <x v="0"/>
    <x v="199"/>
    <s v="1.10-9.84"/>
    <n v="5.47"/>
    <s v="#24"/>
    <x v="2"/>
    <n v="9.84"/>
    <n v="1.1000000000000001"/>
    <n v="4.37"/>
    <n v="19.096900000000002"/>
    <x v="7"/>
    <s v="NA17WR"/>
    <n v="9"/>
    <s v="NA17WR-9"/>
  </r>
  <r>
    <x v="16"/>
    <x v="176"/>
    <s v="0.80-10.12"/>
    <n v="5.46"/>
    <s v="#23"/>
    <x v="2"/>
    <n v="10.119999999999999"/>
    <n v="0.8"/>
    <n v="4.66"/>
    <n v="21.715599999999998"/>
    <x v="7"/>
    <s v="NA3WR"/>
    <n v="9"/>
    <s v="NA3WR-9"/>
  </r>
  <r>
    <x v="14"/>
    <x v="179"/>
    <s v="1.44-9.48"/>
    <n v="5.46"/>
    <s v="#27"/>
    <x v="3"/>
    <n v="9.48"/>
    <n v="1.44"/>
    <n v="4.0199999999999996"/>
    <n v="16.160399999999999"/>
    <x v="2"/>
    <s v="devon4TE"/>
    <n v="1"/>
    <s v="devon4TE-1"/>
  </r>
  <r>
    <x v="10"/>
    <x v="114"/>
    <s v="0.27-10.65"/>
    <n v="5.46"/>
    <s v="#16"/>
    <x v="3"/>
    <n v="10.65"/>
    <n v="0.27"/>
    <n v="5.19"/>
    <n v="26.9361"/>
    <x v="3"/>
    <s v="chad2TE"/>
    <n v="1"/>
    <s v="chad2TE-1"/>
  </r>
  <r>
    <x v="1"/>
    <x v="142"/>
    <s v="0.25-10.67"/>
    <n v="5.46"/>
    <s v="#22"/>
    <x v="1"/>
    <n v="10.67"/>
    <n v="0.25"/>
    <n v="5.21"/>
    <n v="27.144100000000002"/>
    <x v="7"/>
    <s v="NA16RB"/>
    <n v="10"/>
    <s v="NA16RB-10"/>
  </r>
  <r>
    <x v="9"/>
    <x v="153"/>
    <s v="0.95-9.97"/>
    <n v="5.46"/>
    <s v="#23"/>
    <x v="1"/>
    <n v="9.9700000000000006"/>
    <n v="0.95"/>
    <n v="4.51"/>
    <n v="20.3401"/>
    <x v="5"/>
    <s v="cory15RB"/>
    <n v="5"/>
    <s v="cory15RB-5"/>
  </r>
  <r>
    <x v="10"/>
    <x v="185"/>
    <s v="0.50-10.42"/>
    <n v="5.46"/>
    <s v="#9"/>
    <x v="2"/>
    <n v="10.42"/>
    <n v="0.5"/>
    <n v="4.96"/>
    <n v="24.601600000000001"/>
    <x v="7"/>
    <s v="NA2WR"/>
    <n v="10"/>
    <s v="NA2WR-10"/>
  </r>
  <r>
    <x v="10"/>
    <x v="108"/>
    <s v="1.03-9.89"/>
    <n v="5.46"/>
    <s v="#25"/>
    <x v="1"/>
    <n v="9.89"/>
    <n v="1.03"/>
    <n v="4.43"/>
    <n v="19.6249"/>
    <x v="1"/>
    <s v="perry2RB"/>
    <n v="3"/>
    <s v="perry2RB-3"/>
  </r>
  <r>
    <x v="11"/>
    <x v="195"/>
    <s v="0.54-10.36"/>
    <n v="5.45"/>
    <s v="#9"/>
    <x v="1"/>
    <n v="10.36"/>
    <n v="0.54"/>
    <n v="4.91"/>
    <n v="24.1081"/>
    <x v="1"/>
    <s v="perry14RB"/>
    <n v="4"/>
    <s v="perry14RB-4"/>
  </r>
  <r>
    <x v="13"/>
    <x v="193"/>
    <n v="-11.16"/>
    <n v="5.45"/>
    <s v="#32"/>
    <x v="3"/>
    <n v="11.03"/>
    <n v="-0.13"/>
    <n v="5.58"/>
    <n v="31.136399999999998"/>
    <x v="7"/>
    <s v="NA8TE"/>
    <n v="6"/>
    <s v="NA8TE-6"/>
  </r>
  <r>
    <x v="8"/>
    <x v="185"/>
    <s v="1.56-9.34"/>
    <n v="5.45"/>
    <s v="#7"/>
    <x v="2"/>
    <n v="9.34"/>
    <n v="1.56"/>
    <n v="3.89"/>
    <n v="15.132099999999999"/>
    <x v="7"/>
    <s v="NA6WR"/>
    <n v="8"/>
    <s v="NA6WR-8"/>
  </r>
  <r>
    <x v="14"/>
    <x v="144"/>
    <s v="1.15-9.75"/>
    <n v="5.45"/>
    <s v="#3"/>
    <x v="2"/>
    <n v="9.75"/>
    <n v="1.1499999999999999"/>
    <n v="4.3"/>
    <n v="18.489999999999998"/>
    <x v="7"/>
    <s v="NA4WR"/>
    <n v="5"/>
    <s v="NA4WR-5"/>
  </r>
  <r>
    <x v="4"/>
    <x v="174"/>
    <s v="2.10-8.78"/>
    <n v="5.44"/>
    <s v="#16"/>
    <x v="2"/>
    <n v="8.7799999999999994"/>
    <n v="2.1"/>
    <n v="3.34"/>
    <n v="11.1556"/>
    <x v="7"/>
    <s v="NA7WR"/>
    <n v="5"/>
    <s v="NA7WR-5"/>
  </r>
  <r>
    <x v="6"/>
    <x v="179"/>
    <s v="1.78-9.10"/>
    <n v="5.44"/>
    <s v="#24"/>
    <x v="3"/>
    <n v="9.1"/>
    <n v="1.78"/>
    <n v="3.66"/>
    <n v="13.3956"/>
    <x v="2"/>
    <s v="devon12TE"/>
    <n v="1"/>
    <s v="devon12TE-1"/>
  </r>
  <r>
    <x v="12"/>
    <x v="205"/>
    <s v="0.45-10.43"/>
    <n v="5.44"/>
    <s v="#17"/>
    <x v="2"/>
    <n v="10.43"/>
    <n v="0.45"/>
    <n v="4.99"/>
    <n v="24.900099999999998"/>
    <x v="7"/>
    <s v="NA5WR"/>
    <n v="11"/>
    <s v="NA5WR-11"/>
  </r>
  <r>
    <x v="10"/>
    <x v="138"/>
    <s v="1.01-9.85"/>
    <n v="5.43"/>
    <s v="#11"/>
    <x v="1"/>
    <n v="9.85"/>
    <n v="1.01"/>
    <n v="4.42"/>
    <n v="19.5364"/>
    <x v="0"/>
    <s v="matty2RB"/>
    <n v="4"/>
    <s v="matty2RB-4"/>
  </r>
  <r>
    <x v="6"/>
    <x v="192"/>
    <s v="1.23-9.63"/>
    <n v="5.43"/>
    <s v="#29"/>
    <x v="3"/>
    <n v="9.6300000000000008"/>
    <n v="1.23"/>
    <n v="4.2"/>
    <n v="17.64"/>
    <x v="7"/>
    <s v="NA12TE"/>
    <n v="5"/>
    <s v="NA12TE-5"/>
  </r>
  <r>
    <x v="16"/>
    <x v="198"/>
    <s v="1.38-9.48"/>
    <n v="5.43"/>
    <s v="#24"/>
    <x v="1"/>
    <n v="9.48"/>
    <n v="1.38"/>
    <n v="4.05"/>
    <n v="16.4025"/>
    <x v="7"/>
    <s v="NA3RB"/>
    <n v="14"/>
    <s v="NA3RB-14"/>
  </r>
  <r>
    <x v="1"/>
    <x v="151"/>
    <s v="1.82-9.04"/>
    <n v="5.43"/>
    <s v="#19"/>
    <x v="1"/>
    <n v="9.0399999999999991"/>
    <n v="1.82"/>
    <n v="3.61"/>
    <n v="13.0321"/>
    <x v="7"/>
    <s v="NA16RB"/>
    <n v="11"/>
    <s v="NA16RB-11"/>
  </r>
  <r>
    <x v="0"/>
    <x v="179"/>
    <s v="1.42-9.44"/>
    <n v="5.43"/>
    <s v="#14"/>
    <x v="3"/>
    <n v="9.44"/>
    <n v="1.42"/>
    <n v="4.01"/>
    <n v="16.080100000000002"/>
    <x v="2"/>
    <s v="devon17TE"/>
    <n v="2"/>
    <s v="devon17TE-2"/>
  </r>
  <r>
    <x v="16"/>
    <x v="122"/>
    <n v="-11.08"/>
    <n v="5.42"/>
    <s v="#12"/>
    <x v="1"/>
    <n v="10.96"/>
    <n v="-0.12"/>
    <n v="5.54"/>
    <n v="30.691600000000001"/>
    <x v="2"/>
    <s v="devon3RB"/>
    <n v="4"/>
    <s v="devon3RB-4"/>
  </r>
  <r>
    <x v="8"/>
    <x v="195"/>
    <s v="0.91-9.93"/>
    <n v="5.42"/>
    <s v="#11"/>
    <x v="1"/>
    <n v="9.93"/>
    <n v="0.91"/>
    <n v="4.51"/>
    <n v="20.3401"/>
    <x v="1"/>
    <s v="perry6RB"/>
    <n v="4"/>
    <s v="perry6RB-4"/>
  </r>
  <r>
    <x v="15"/>
    <x v="162"/>
    <s v="1.48-9.36"/>
    <n v="5.42"/>
    <s v="#12"/>
    <x v="2"/>
    <n v="9.36"/>
    <n v="1.48"/>
    <n v="3.94"/>
    <n v="15.5236"/>
    <x v="4"/>
    <s v="scott10WR"/>
    <n v="5"/>
    <s v="scott10WR-5"/>
  </r>
  <r>
    <x v="8"/>
    <x v="199"/>
    <s v="0.61-10.23"/>
    <n v="5.42"/>
    <s v="#27"/>
    <x v="2"/>
    <n v="10.23"/>
    <n v="0.61"/>
    <n v="4.8099999999999996"/>
    <n v="23.136099999999999"/>
    <x v="7"/>
    <s v="NA6WR"/>
    <n v="9"/>
    <s v="NA6WR-9"/>
  </r>
  <r>
    <x v="14"/>
    <x v="206"/>
    <s v="1.36-9.48"/>
    <n v="5.42"/>
    <s v="#18"/>
    <x v="2"/>
    <n v="9.48"/>
    <n v="1.36"/>
    <n v="4.0599999999999996"/>
    <n v="16.483599999999999"/>
    <x v="8"/>
    <s v="comp4WR"/>
    <n v="7"/>
    <s v="comp4WR-7"/>
  </r>
  <r>
    <x v="3"/>
    <x v="206"/>
    <s v="1.32-9.52"/>
    <n v="5.42"/>
    <s v="#16"/>
    <x v="2"/>
    <n v="9.52"/>
    <n v="1.32"/>
    <n v="4.0999999999999996"/>
    <n v="16.809999999999999"/>
    <x v="8"/>
    <s v="comp11WR"/>
    <n v="6"/>
    <s v="comp11WR-6"/>
  </r>
  <r>
    <x v="0"/>
    <x v="170"/>
    <s v="1.37-9.47"/>
    <n v="5.42"/>
    <s v="#26"/>
    <x v="3"/>
    <n v="9.4700000000000006"/>
    <n v="1.37"/>
    <n v="4.05"/>
    <n v="16.4025"/>
    <x v="8"/>
    <s v="comp17TE"/>
    <n v="2"/>
    <s v="comp17TE-2"/>
  </r>
  <r>
    <x v="0"/>
    <x v="161"/>
    <s v="0.38-10.44"/>
    <n v="5.41"/>
    <s v="#30"/>
    <x v="1"/>
    <n v="10.44"/>
    <n v="0.38"/>
    <n v="5.03"/>
    <n v="25.300899999999999"/>
    <x v="7"/>
    <s v="NA17RB"/>
    <n v="10"/>
    <s v="NA17RB-10"/>
  </r>
  <r>
    <x v="5"/>
    <x v="145"/>
    <n v="-10.899999999999999"/>
    <n v="5.41"/>
    <s v="#5"/>
    <x v="3"/>
    <n v="10.86"/>
    <n v="-0.04"/>
    <n v="5.45"/>
    <n v="29.702500000000001"/>
    <x v="2"/>
    <s v="devon13TE"/>
    <n v="1"/>
    <s v="devon13TE-1"/>
  </r>
  <r>
    <x v="7"/>
    <x v="130"/>
    <s v="0.79-10.03"/>
    <n v="5.41"/>
    <s v="#13"/>
    <x v="3"/>
    <n v="10.029999999999999"/>
    <n v="0.79"/>
    <n v="4.62"/>
    <n v="21.3444"/>
    <x v="0"/>
    <s v="matty1TE"/>
    <n v="1"/>
    <s v="matty1TE-1"/>
  </r>
  <r>
    <x v="14"/>
    <x v="199"/>
    <s v="0.29-10.53"/>
    <n v="5.41"/>
    <s v="#21"/>
    <x v="2"/>
    <n v="10.53"/>
    <n v="0.28999999999999998"/>
    <n v="5.12"/>
    <n v="26.214400000000001"/>
    <x v="7"/>
    <s v="NA4WR"/>
    <n v="6"/>
    <s v="NA4WR-6"/>
  </r>
  <r>
    <x v="4"/>
    <x v="199"/>
    <s v="0.87-9.95"/>
    <n v="5.41"/>
    <s v="#9"/>
    <x v="2"/>
    <n v="9.9499999999999993"/>
    <n v="0.87"/>
    <n v="4.54"/>
    <n v="20.611599999999999"/>
    <x v="7"/>
    <s v="NA7WR"/>
    <n v="6"/>
    <s v="NA7WR-6"/>
  </r>
  <r>
    <x v="12"/>
    <x v="207"/>
    <s v="0.45-10.37"/>
    <n v="5.41"/>
    <s v="#27"/>
    <x v="2"/>
    <n v="10.37"/>
    <n v="0.45"/>
    <n v="4.96"/>
    <n v="24.601600000000001"/>
    <x v="7"/>
    <s v="NA5WR"/>
    <n v="12"/>
    <s v="NA5WR-12"/>
  </r>
  <r>
    <x v="13"/>
    <x v="74"/>
    <s v="1.14-9.68"/>
    <n v="5.41"/>
    <s v="#6"/>
    <x v="1"/>
    <n v="9.68"/>
    <n v="1.1399999999999999"/>
    <n v="4.2699999999999996"/>
    <n v="18.232900000000001"/>
    <x v="9"/>
    <s v="seth8RB"/>
    <n v="5"/>
    <s v="seth8RB-5"/>
  </r>
  <r>
    <x v="13"/>
    <x v="208"/>
    <s v="1.45-9.37"/>
    <n v="5.41"/>
    <s v="#4"/>
    <x v="2"/>
    <n v="9.3699999999999992"/>
    <n v="1.45"/>
    <n v="3.96"/>
    <n v="15.6816"/>
    <x v="7"/>
    <s v="NA8WR"/>
    <n v="13"/>
    <s v="NA8WR-13"/>
  </r>
  <r>
    <x v="12"/>
    <x v="209"/>
    <s v="1.13-9.69"/>
    <n v="5.41"/>
    <s v="#2"/>
    <x v="2"/>
    <n v="9.69"/>
    <n v="1.1299999999999999"/>
    <n v="4.28"/>
    <n v="18.3184"/>
    <x v="7"/>
    <s v="NA5WR"/>
    <n v="13"/>
    <s v="NA5WR-13"/>
  </r>
  <r>
    <x v="9"/>
    <x v="130"/>
    <s v="0.93-9.87"/>
    <n v="5.4"/>
    <s v="#3"/>
    <x v="3"/>
    <n v="9.8699999999999992"/>
    <n v="0.93"/>
    <n v="4.47"/>
    <n v="19.980899999999998"/>
    <x v="0"/>
    <s v="matty15TE"/>
    <n v="1"/>
    <s v="matty15TE-1"/>
  </r>
  <r>
    <x v="7"/>
    <x v="210"/>
    <s v="2.04-8.76"/>
    <n v="5.4"/>
    <s v="#15"/>
    <x v="1"/>
    <n v="8.76"/>
    <n v="2.04"/>
    <n v="3.36"/>
    <n v="11.2896"/>
    <x v="7"/>
    <s v="NA1RB"/>
    <n v="6"/>
    <s v="NA1RB-6"/>
  </r>
  <r>
    <x v="16"/>
    <x v="144"/>
    <s v="1.39-9.41"/>
    <n v="5.4"/>
    <s v="#2"/>
    <x v="2"/>
    <n v="9.41"/>
    <n v="1.39"/>
    <n v="4.01"/>
    <n v="16.080100000000002"/>
    <x v="7"/>
    <s v="NA3WR"/>
    <n v="10"/>
    <s v="NA3WR-10"/>
  </r>
  <r>
    <x v="14"/>
    <x v="202"/>
    <s v="1.52-9.26"/>
    <n v="5.39"/>
    <s v="#17"/>
    <x v="2"/>
    <n v="9.26"/>
    <n v="1.52"/>
    <n v="3.87"/>
    <n v="14.976900000000001"/>
    <x v="7"/>
    <s v="NA4WR"/>
    <n v="7"/>
    <s v="NA4WR-7"/>
  </r>
  <r>
    <x v="6"/>
    <x v="145"/>
    <n v="-11"/>
    <n v="5.39"/>
    <s v="#6"/>
    <x v="3"/>
    <n v="10.89"/>
    <n v="-0.11"/>
    <n v="5.5"/>
    <n v="30.25"/>
    <x v="2"/>
    <s v="devon12TE"/>
    <n v="2"/>
    <s v="devon12TE-2"/>
  </r>
  <r>
    <x v="0"/>
    <x v="159"/>
    <s v="2.53-8.25"/>
    <n v="5.39"/>
    <s v="#5"/>
    <x v="3"/>
    <n v="8.25"/>
    <n v="2.5299999999999998"/>
    <n v="2.86"/>
    <n v="8.1796000000000006"/>
    <x v="5"/>
    <s v="cory17TE"/>
    <n v="1"/>
    <s v="cory17TE-1"/>
  </r>
  <r>
    <x v="8"/>
    <x v="142"/>
    <s v="0.46-10.32"/>
    <n v="5.39"/>
    <s v="#4"/>
    <x v="1"/>
    <n v="10.32"/>
    <n v="0.46"/>
    <n v="4.93"/>
    <n v="24.3049"/>
    <x v="7"/>
    <s v="NA6RB"/>
    <n v="8"/>
    <s v="NA6RB-8"/>
  </r>
  <r>
    <x v="13"/>
    <x v="161"/>
    <s v="0.85-9.91"/>
    <n v="5.38"/>
    <s v="#1"/>
    <x v="1"/>
    <n v="9.91"/>
    <n v="0.85"/>
    <n v="4.53"/>
    <n v="20.520900000000001"/>
    <x v="7"/>
    <s v="NA8RB"/>
    <n v="12"/>
    <s v="NA8RB-12"/>
  </r>
  <r>
    <x v="4"/>
    <x v="194"/>
    <n v="-11.020000000000001"/>
    <n v="5.38"/>
    <s v="#6"/>
    <x v="2"/>
    <n v="10.89"/>
    <n v="-0.13"/>
    <n v="5.51"/>
    <n v="30.360099999999999"/>
    <x v="7"/>
    <s v="NA7WR"/>
    <n v="7"/>
    <s v="NA7WR-7"/>
  </r>
  <r>
    <x v="15"/>
    <x v="181"/>
    <s v="1.00-9.76"/>
    <n v="5.38"/>
    <s v="#9"/>
    <x v="2"/>
    <n v="9.76"/>
    <n v="1"/>
    <n v="4.38"/>
    <n v="19.1844"/>
    <x v="7"/>
    <s v="NA10WR"/>
    <n v="8"/>
    <s v="NA10WR-8"/>
  </r>
  <r>
    <x v="9"/>
    <x v="158"/>
    <s v="1.88-8.88"/>
    <n v="5.38"/>
    <s v="#8"/>
    <x v="3"/>
    <n v="8.8800000000000008"/>
    <n v="1.88"/>
    <n v="3.5"/>
    <n v="12.25"/>
    <x v="4"/>
    <s v="scott15TE"/>
    <n v="1"/>
    <s v="scott15TE-1"/>
  </r>
  <r>
    <x v="14"/>
    <x v="74"/>
    <s v="0.72-10.04"/>
    <n v="5.38"/>
    <s v="#4"/>
    <x v="1"/>
    <n v="10.039999999999999"/>
    <n v="0.72"/>
    <n v="4.66"/>
    <n v="21.715599999999998"/>
    <x v="9"/>
    <s v="seth4RB"/>
    <n v="6"/>
    <s v="seth4RB-6"/>
  </r>
  <r>
    <x v="3"/>
    <x v="135"/>
    <s v="2.12-8.64"/>
    <n v="5.38"/>
    <s v="#7"/>
    <x v="1"/>
    <n v="8.64"/>
    <n v="2.12"/>
    <n v="3.26"/>
    <n v="10.627599999999999"/>
    <x v="7"/>
    <s v="NA11RB"/>
    <n v="7"/>
    <s v="NA11RB-7"/>
  </r>
  <r>
    <x v="16"/>
    <x v="161"/>
    <s v="1.08-9.66"/>
    <n v="5.37"/>
    <s v="#19"/>
    <x v="1"/>
    <n v="9.66"/>
    <n v="1.08"/>
    <n v="4.29"/>
    <n v="18.4041"/>
    <x v="7"/>
    <s v="NA3RB"/>
    <n v="15"/>
    <s v="NA3RB-15"/>
  </r>
  <r>
    <x v="6"/>
    <x v="184"/>
    <s v="0.90-9.84"/>
    <n v="5.37"/>
    <s v="#15"/>
    <x v="2"/>
    <n v="9.84"/>
    <n v="0.9"/>
    <n v="4.47"/>
    <n v="19.980899999999998"/>
    <x v="7"/>
    <s v="NA12WR"/>
    <n v="9"/>
    <s v="NA12WR-9"/>
  </r>
  <r>
    <x v="8"/>
    <x v="151"/>
    <s v="1.83-8.91"/>
    <n v="5.37"/>
    <s v="#20"/>
    <x v="1"/>
    <n v="8.91"/>
    <n v="1.83"/>
    <n v="3.54"/>
    <n v="12.531599999999999"/>
    <x v="7"/>
    <s v="NA6RB"/>
    <n v="9"/>
    <s v="NA6RB-9"/>
  </r>
  <r>
    <x v="4"/>
    <x v="179"/>
    <s v="1.75-8.99"/>
    <n v="5.37"/>
    <s v="#11"/>
    <x v="3"/>
    <n v="8.99"/>
    <n v="1.75"/>
    <n v="3.62"/>
    <n v="13.1044"/>
    <x v="2"/>
    <s v="devon7TE"/>
    <n v="1"/>
    <s v="devon7TE-1"/>
  </r>
  <r>
    <x v="8"/>
    <x v="155"/>
    <s v="1.37-9.37"/>
    <n v="5.37"/>
    <s v="#23"/>
    <x v="2"/>
    <n v="9.3699999999999992"/>
    <n v="1.37"/>
    <n v="4"/>
    <n v="16"/>
    <x v="4"/>
    <s v="scott6WR"/>
    <n v="5"/>
    <s v="scott6WR-5"/>
  </r>
  <r>
    <x v="13"/>
    <x v="185"/>
    <s v="0.84-9.90"/>
    <n v="5.37"/>
    <s v="#22"/>
    <x v="2"/>
    <n v="9.9"/>
    <n v="0.84"/>
    <n v="4.53"/>
    <n v="20.520900000000001"/>
    <x v="7"/>
    <s v="NA8WR"/>
    <n v="14"/>
    <s v="NA8WR-14"/>
  </r>
  <r>
    <x v="6"/>
    <x v="165"/>
    <s v="0.40-10.32"/>
    <n v="5.36"/>
    <s v="#30"/>
    <x v="3"/>
    <n v="10.32"/>
    <n v="0.4"/>
    <n v="4.96"/>
    <n v="24.601600000000001"/>
    <x v="8"/>
    <s v="comp12TE"/>
    <n v="1"/>
    <s v="comp12TE-1"/>
  </r>
  <r>
    <x v="0"/>
    <x v="203"/>
    <s v="0.53-10.19"/>
    <n v="5.36"/>
    <s v="#11"/>
    <x v="2"/>
    <n v="10.19"/>
    <n v="0.53"/>
    <n v="4.83"/>
    <n v="23.328900000000001"/>
    <x v="7"/>
    <s v="NA17WR"/>
    <n v="10"/>
    <s v="NA17WR-10"/>
  </r>
  <r>
    <x v="12"/>
    <x v="199"/>
    <s v="0.84-9.88"/>
    <n v="5.36"/>
    <s v="#14"/>
    <x v="2"/>
    <n v="9.8800000000000008"/>
    <n v="0.84"/>
    <n v="4.5199999999999996"/>
    <n v="20.430399999999999"/>
    <x v="7"/>
    <s v="NA5WR"/>
    <n v="14"/>
    <s v="NA5WR-14"/>
  </r>
  <r>
    <x v="9"/>
    <x v="147"/>
    <s v="1.56-9.16"/>
    <n v="5.36"/>
    <s v="#7"/>
    <x v="2"/>
    <n v="9.16"/>
    <n v="1.56"/>
    <n v="3.8"/>
    <n v="14.44"/>
    <x v="7"/>
    <s v="NA15WR"/>
    <n v="9"/>
    <s v="NA15WR-9"/>
  </r>
  <r>
    <x v="7"/>
    <x v="200"/>
    <s v="1.54-9.16"/>
    <n v="5.35"/>
    <s v="#8"/>
    <x v="1"/>
    <n v="9.16"/>
    <n v="1.54"/>
    <n v="3.81"/>
    <n v="14.5161"/>
    <x v="7"/>
    <s v="NA1RB"/>
    <n v="7"/>
    <s v="NA1RB-7"/>
  </r>
  <r>
    <x v="15"/>
    <x v="198"/>
    <s v="2.29-8.41"/>
    <n v="5.35"/>
    <s v="#20"/>
    <x v="1"/>
    <n v="8.41"/>
    <n v="2.29"/>
    <n v="3.06"/>
    <n v="9.3635999999999999"/>
    <x v="7"/>
    <s v="NA10RB"/>
    <n v="10"/>
    <s v="NA10RB-10"/>
  </r>
  <r>
    <x v="14"/>
    <x v="164"/>
    <s v="1.02-9.68"/>
    <n v="5.35"/>
    <s v="#20"/>
    <x v="2"/>
    <n v="9.68"/>
    <n v="1.02"/>
    <n v="4.33"/>
    <n v="18.748899999999999"/>
    <x v="7"/>
    <s v="NA4WR"/>
    <n v="8"/>
    <s v="NA4WR-8"/>
  </r>
  <r>
    <x v="13"/>
    <x v="149"/>
    <s v="0.89-9.81"/>
    <n v="5.35"/>
    <s v="#25"/>
    <x v="2"/>
    <n v="9.81"/>
    <n v="0.89"/>
    <n v="4.46"/>
    <n v="19.8916"/>
    <x v="1"/>
    <s v="perry8WR"/>
    <n v="4"/>
    <s v="perry8WR-4"/>
  </r>
  <r>
    <x v="16"/>
    <x v="203"/>
    <n v="-18.399999999999999"/>
    <n v="5.34"/>
    <s v="#25"/>
    <x v="2"/>
    <n v="14.54"/>
    <n v="-3.86"/>
    <n v="9.1999999999999993"/>
    <n v="84.64"/>
    <x v="7"/>
    <s v="NA3WR"/>
    <n v="11"/>
    <s v="NA3WR-11"/>
  </r>
  <r>
    <x v="3"/>
    <x v="187"/>
    <n v="-11.8"/>
    <n v="5.34"/>
    <s v="#19"/>
    <x v="3"/>
    <n v="11.24"/>
    <n v="-0.56000000000000005"/>
    <n v="5.9"/>
    <n v="34.81"/>
    <x v="7"/>
    <s v="NA11TE"/>
    <n v="3"/>
    <s v="NA11TE-3"/>
  </r>
  <r>
    <x v="9"/>
    <x v="199"/>
    <s v="1.13-9.55"/>
    <n v="5.34"/>
    <s v="#28"/>
    <x v="2"/>
    <n v="9.5500000000000007"/>
    <n v="1.1299999999999999"/>
    <n v="4.21"/>
    <n v="17.7241"/>
    <x v="7"/>
    <s v="NA15WR"/>
    <n v="10"/>
    <s v="NA15WR-10"/>
  </r>
  <r>
    <x v="16"/>
    <x v="133"/>
    <s v="0.55-10.13"/>
    <n v="5.34"/>
    <s v="#1"/>
    <x v="1"/>
    <n v="10.130000000000001"/>
    <n v="0.55000000000000004"/>
    <n v="4.79"/>
    <n v="22.944099999999999"/>
    <x v="8"/>
    <s v="comp3RB"/>
    <n v="3"/>
    <s v="comp3RB-3"/>
  </r>
  <r>
    <x v="15"/>
    <x v="165"/>
    <s v="0.26-10.40"/>
    <n v="5.33"/>
    <s v="#2"/>
    <x v="3"/>
    <n v="10.4"/>
    <n v="0.26"/>
    <n v="5.07"/>
    <n v="25.704899999999999"/>
    <x v="8"/>
    <s v="comp10TE"/>
    <n v="1"/>
    <s v="comp10TE-1"/>
  </r>
  <r>
    <x v="11"/>
    <x v="132"/>
    <s v="1.12-9.52"/>
    <n v="5.32"/>
    <s v="#16"/>
    <x v="1"/>
    <n v="9.52"/>
    <n v="1.1200000000000001"/>
    <n v="4.2"/>
    <n v="17.64"/>
    <x v="9"/>
    <s v="seth14RB"/>
    <n v="6"/>
    <s v="seth14RB-6"/>
  </r>
  <r>
    <x v="0"/>
    <x v="172"/>
    <s v="1.45-9.19"/>
    <n v="5.32"/>
    <s v="#21"/>
    <x v="1"/>
    <n v="9.19"/>
    <n v="1.45"/>
    <n v="3.87"/>
    <n v="14.976900000000001"/>
    <x v="7"/>
    <s v="NA17RB"/>
    <n v="11"/>
    <s v="NA17RB-11"/>
  </r>
  <r>
    <x v="1"/>
    <x v="178"/>
    <n v="-12.16"/>
    <n v="5.32"/>
    <s v="#21"/>
    <x v="2"/>
    <n v="11.4"/>
    <n v="-0.76"/>
    <n v="6.08"/>
    <n v="36.9664"/>
    <x v="7"/>
    <s v="NA16WR"/>
    <n v="10"/>
    <s v="NA16WR-10"/>
  </r>
  <r>
    <x v="5"/>
    <x v="158"/>
    <s v="1.81-8.81"/>
    <n v="5.31"/>
    <s v="#8"/>
    <x v="3"/>
    <n v="8.81"/>
    <n v="1.81"/>
    <n v="3.5"/>
    <n v="12.25"/>
    <x v="4"/>
    <s v="scott13TE"/>
    <n v="1"/>
    <s v="scott13TE-1"/>
  </r>
  <r>
    <x v="7"/>
    <x v="103"/>
    <s v="0.30-10.32"/>
    <n v="5.31"/>
    <s v="#11"/>
    <x v="2"/>
    <n v="10.32"/>
    <n v="0.3"/>
    <n v="5.01"/>
    <n v="25.100100000000001"/>
    <x v="4"/>
    <s v="scott1WR"/>
    <n v="6"/>
    <s v="scott1WR-6"/>
  </r>
  <r>
    <x v="7"/>
    <x v="146"/>
    <s v="1.32-9.30"/>
    <n v="5.31"/>
    <s v="#24"/>
    <x v="2"/>
    <n v="9.3000000000000007"/>
    <n v="1.32"/>
    <n v="3.99"/>
    <n v="15.9201"/>
    <x v="7"/>
    <s v="NA1WR"/>
    <n v="7"/>
    <s v="NA1WR-7"/>
  </r>
  <r>
    <x v="4"/>
    <x v="131"/>
    <s v="0.64-9.96"/>
    <n v="5.3"/>
    <s v="#11"/>
    <x v="1"/>
    <n v="9.9600000000000009"/>
    <n v="0.64"/>
    <n v="4.66"/>
    <n v="21.715599999999998"/>
    <x v="7"/>
    <s v="NA7RB"/>
    <n v="7"/>
    <s v="NA7RB-7"/>
  </r>
  <r>
    <x v="4"/>
    <x v="172"/>
    <s v="1.32-9.28"/>
    <n v="5.3"/>
    <s v="#24"/>
    <x v="1"/>
    <n v="9.2799999999999994"/>
    <n v="1.32"/>
    <n v="3.98"/>
    <n v="15.840400000000001"/>
    <x v="7"/>
    <s v="NA7RB"/>
    <n v="8"/>
    <s v="NA7RB-8"/>
  </r>
  <r>
    <x v="7"/>
    <x v="191"/>
    <s v="1.06-9.54"/>
    <n v="5.3"/>
    <s v="#6"/>
    <x v="2"/>
    <n v="9.5399999999999991"/>
    <n v="1.06"/>
    <n v="4.24"/>
    <n v="17.977599999999999"/>
    <x v="7"/>
    <s v="NA1WR"/>
    <n v="8"/>
    <s v="NA1WR-8"/>
  </r>
  <r>
    <x v="2"/>
    <x v="208"/>
    <s v="1.22-9.38"/>
    <n v="5.3"/>
    <s v="#11"/>
    <x v="2"/>
    <n v="9.3800000000000008"/>
    <n v="1.22"/>
    <n v="4.08"/>
    <n v="16.6464"/>
    <x v="7"/>
    <s v="NA9WR"/>
    <n v="9"/>
    <s v="NA9WR-9"/>
  </r>
  <r>
    <x v="1"/>
    <x v="156"/>
    <s v="1.64-8.94"/>
    <n v="5.29"/>
    <s v="#3"/>
    <x v="1"/>
    <n v="8.94"/>
    <n v="1.64"/>
    <n v="3.65"/>
    <n v="13.3225"/>
    <x v="7"/>
    <s v="NA16RB"/>
    <n v="12"/>
    <s v="NA16RB-12"/>
  </r>
  <r>
    <x v="16"/>
    <x v="111"/>
    <s v="1.25-9.33"/>
    <n v="5.29"/>
    <s v="#24"/>
    <x v="2"/>
    <n v="9.33"/>
    <n v="1.25"/>
    <n v="4.04"/>
    <n v="16.3216"/>
    <x v="9"/>
    <s v="seth3WR"/>
    <n v="5"/>
    <s v="seth3WR-5"/>
  </r>
  <r>
    <x v="1"/>
    <x v="199"/>
    <s v="0.81-9.77"/>
    <n v="5.29"/>
    <s v="#17"/>
    <x v="2"/>
    <n v="9.77"/>
    <n v="0.81"/>
    <n v="4.4800000000000004"/>
    <n v="20.070399999999999"/>
    <x v="7"/>
    <s v="NA16WR"/>
    <n v="11"/>
    <s v="NA16WR-11"/>
  </r>
  <r>
    <x v="10"/>
    <x v="75"/>
    <s v="1.31-9.27"/>
    <n v="5.29"/>
    <s v="#21"/>
    <x v="1"/>
    <n v="9.27"/>
    <n v="1.31"/>
    <n v="3.98"/>
    <n v="15.840400000000001"/>
    <x v="9"/>
    <s v="seth2RB"/>
    <n v="6"/>
    <s v="seth2RB-6"/>
  </r>
  <r>
    <x v="4"/>
    <x v="153"/>
    <s v="1.15-9.43"/>
    <n v="5.29"/>
    <s v="#11"/>
    <x v="1"/>
    <n v="9.43"/>
    <n v="1.1499999999999999"/>
    <n v="4.1399999999999997"/>
    <n v="17.139600000000002"/>
    <x v="5"/>
    <s v="cory7RB"/>
    <n v="5"/>
    <s v="cory7RB-5"/>
  </r>
  <r>
    <x v="4"/>
    <x v="147"/>
    <s v="1.51-9.07"/>
    <n v="5.29"/>
    <s v="#1"/>
    <x v="2"/>
    <n v="9.07"/>
    <n v="1.51"/>
    <n v="3.78"/>
    <n v="14.288399999999999"/>
    <x v="7"/>
    <s v="NA7WR"/>
    <n v="8"/>
    <s v="NA7WR-8"/>
  </r>
  <r>
    <x v="1"/>
    <x v="211"/>
    <s v="1.95-8.61"/>
    <n v="5.28"/>
    <s v="#31"/>
    <x v="2"/>
    <n v="8.61"/>
    <n v="1.95"/>
    <n v="3.33"/>
    <n v="11.088900000000001"/>
    <x v="7"/>
    <s v="NA16WR"/>
    <n v="12"/>
    <s v="NA16WR-12"/>
  </r>
  <r>
    <x v="8"/>
    <x v="169"/>
    <s v="1.10-9.46"/>
    <n v="5.28"/>
    <s v="#27"/>
    <x v="1"/>
    <n v="9.4600000000000009"/>
    <n v="1.1000000000000001"/>
    <n v="4.18"/>
    <n v="17.4724"/>
    <x v="7"/>
    <s v="NA6RB"/>
    <n v="10"/>
    <s v="NA6RB-10"/>
  </r>
  <r>
    <x v="2"/>
    <x v="192"/>
    <s v="0.88-9.66"/>
    <n v="5.27"/>
    <s v="#10"/>
    <x v="3"/>
    <n v="9.66"/>
    <n v="0.88"/>
    <n v="4.3899999999999997"/>
    <n v="19.272099999999998"/>
    <x v="7"/>
    <s v="NA9TE"/>
    <n v="2"/>
    <s v="NA9TE-2"/>
  </r>
  <r>
    <x v="15"/>
    <x v="191"/>
    <s v="1.78-8.76"/>
    <n v="5.27"/>
    <s v="#2"/>
    <x v="2"/>
    <n v="8.76"/>
    <n v="1.78"/>
    <n v="3.49"/>
    <n v="12.180099999999999"/>
    <x v="7"/>
    <s v="NA10WR"/>
    <n v="9"/>
    <s v="NA10WR-9"/>
  </r>
  <r>
    <x v="8"/>
    <x v="153"/>
    <s v="1.42-9.12"/>
    <n v="5.27"/>
    <s v="#4"/>
    <x v="1"/>
    <n v="9.1199999999999992"/>
    <n v="1.42"/>
    <n v="3.85"/>
    <n v="14.8225"/>
    <x v="5"/>
    <s v="cory6RB"/>
    <n v="4"/>
    <s v="cory6RB-4"/>
  </r>
  <r>
    <x v="14"/>
    <x v="128"/>
    <s v="0.67-9.87"/>
    <n v="5.27"/>
    <s v="#20"/>
    <x v="2"/>
    <n v="9.8699999999999992"/>
    <n v="0.67"/>
    <n v="4.5999999999999996"/>
    <n v="21.16"/>
    <x v="7"/>
    <s v="NA4WR"/>
    <n v="9"/>
    <s v="NA4WR-9"/>
  </r>
  <r>
    <x v="16"/>
    <x v="138"/>
    <s v="0.10-10.42"/>
    <n v="5.26"/>
    <s v="#10"/>
    <x v="1"/>
    <n v="10.42"/>
    <n v="0.1"/>
    <n v="5.16"/>
    <n v="26.625599999999999"/>
    <x v="0"/>
    <s v="matty3RB"/>
    <n v="3"/>
    <s v="matty3RB-3"/>
  </r>
  <r>
    <x v="1"/>
    <x v="177"/>
    <s v="0.28-10.24"/>
    <n v="5.26"/>
    <s v="#24"/>
    <x v="2"/>
    <n v="10.24"/>
    <n v="0.28000000000000003"/>
    <n v="4.9800000000000004"/>
    <n v="24.8004"/>
    <x v="7"/>
    <s v="NA16WR"/>
    <n v="13"/>
    <s v="NA16WR-13"/>
  </r>
  <r>
    <x v="12"/>
    <x v="185"/>
    <s v="0.71-9.81"/>
    <n v="5.26"/>
    <s v="#30"/>
    <x v="2"/>
    <n v="9.81"/>
    <n v="0.71"/>
    <n v="4.55"/>
    <n v="20.702500000000001"/>
    <x v="7"/>
    <s v="NA5WR"/>
    <n v="15"/>
    <s v="NA5WR-15"/>
  </r>
  <r>
    <x v="4"/>
    <x v="188"/>
    <s v="0.23-10.29"/>
    <n v="5.26"/>
    <s v="#19"/>
    <x v="1"/>
    <n v="10.29"/>
    <n v="0.23"/>
    <n v="5.03"/>
    <n v="25.300899999999999"/>
    <x v="7"/>
    <s v="NA7RB"/>
    <n v="9"/>
    <s v="NA7RB-9"/>
  </r>
  <r>
    <x v="1"/>
    <x v="192"/>
    <s v="1.06-9.44"/>
    <n v="5.25"/>
    <s v="#15"/>
    <x v="3"/>
    <n v="9.44"/>
    <n v="1.06"/>
    <n v="4.1900000000000004"/>
    <n v="17.556100000000001"/>
    <x v="7"/>
    <s v="NA16TE"/>
    <n v="4"/>
    <s v="NA16TE-4"/>
  </r>
  <r>
    <x v="1"/>
    <x v="189"/>
    <s v="0.20-10.30"/>
    <n v="5.25"/>
    <s v="#22"/>
    <x v="3"/>
    <n v="10.3"/>
    <n v="0.2"/>
    <n v="5.05"/>
    <n v="25.502500000000001"/>
    <x v="7"/>
    <s v="NA16TE"/>
    <n v="5"/>
    <s v="NA16TE-5"/>
  </r>
  <r>
    <x v="5"/>
    <x v="199"/>
    <s v="0.88-9.62"/>
    <n v="5.25"/>
    <s v="#24"/>
    <x v="2"/>
    <n v="9.6199999999999992"/>
    <n v="0.88"/>
    <n v="4.37"/>
    <n v="19.096900000000002"/>
    <x v="7"/>
    <s v="NA13WR"/>
    <n v="12"/>
    <s v="NA13WR-12"/>
  </r>
  <r>
    <x v="5"/>
    <x v="142"/>
    <s v="0.36-10.14"/>
    <n v="5.25"/>
    <s v="#3"/>
    <x v="1"/>
    <n v="10.14"/>
    <n v="0.36"/>
    <n v="4.8899999999999997"/>
    <n v="23.912099999999999"/>
    <x v="7"/>
    <s v="NA13RB"/>
    <n v="12"/>
    <s v="NA13RB-12"/>
  </r>
  <r>
    <x v="11"/>
    <x v="149"/>
    <s v="1.13-9.37"/>
    <n v="5.25"/>
    <s v="#27"/>
    <x v="2"/>
    <n v="9.3699999999999992"/>
    <n v="1.1299999999999999"/>
    <n v="4.12"/>
    <n v="16.974399999999999"/>
    <x v="1"/>
    <s v="perry14WR"/>
    <n v="4"/>
    <s v="perry14WR-4"/>
  </r>
  <r>
    <x v="5"/>
    <x v="162"/>
    <s v="1.43-9.05"/>
    <n v="5.24"/>
    <s v="#7"/>
    <x v="2"/>
    <n v="9.0500000000000007"/>
    <n v="1.43"/>
    <n v="3.81"/>
    <n v="14.5161"/>
    <x v="4"/>
    <s v="scott13WR"/>
    <n v="6"/>
    <s v="scott13WR-6"/>
  </r>
  <r>
    <x v="2"/>
    <x v="135"/>
    <s v="0.82-9.66"/>
    <n v="5.24"/>
    <s v="#26"/>
    <x v="1"/>
    <n v="9.66"/>
    <n v="0.82"/>
    <n v="4.42"/>
    <n v="19.5364"/>
    <x v="7"/>
    <s v="NA9RB"/>
    <n v="8"/>
    <s v="NA9RB-8"/>
  </r>
  <r>
    <x v="4"/>
    <x v="170"/>
    <s v="1.07-9.41"/>
    <n v="5.24"/>
    <s v="#17"/>
    <x v="3"/>
    <n v="9.41"/>
    <n v="1.07"/>
    <n v="4.17"/>
    <n v="17.3889"/>
    <x v="8"/>
    <s v="comp7TE"/>
    <n v="1"/>
    <s v="comp7TE-1"/>
  </r>
  <r>
    <x v="3"/>
    <x v="175"/>
    <s v="2.11-8.37"/>
    <n v="5.24"/>
    <s v="#16"/>
    <x v="2"/>
    <n v="8.3699999999999992"/>
    <n v="2.11"/>
    <n v="3.13"/>
    <n v="9.7969000000000008"/>
    <x v="7"/>
    <s v="NA11WR"/>
    <n v="7"/>
    <s v="NA11WR-7"/>
  </r>
  <r>
    <x v="7"/>
    <x v="132"/>
    <n v="-12.58"/>
    <n v="5.23"/>
    <s v="#26"/>
    <x v="1"/>
    <n v="11.52"/>
    <n v="-1.06"/>
    <n v="6.29"/>
    <n v="39.564100000000003"/>
    <x v="9"/>
    <s v="seth1RB"/>
    <n v="5"/>
    <s v="seth1RB-5"/>
  </r>
  <r>
    <x v="12"/>
    <x v="55"/>
    <s v="1.49-8.97"/>
    <n v="5.23"/>
    <s v="#6"/>
    <x v="1"/>
    <n v="8.9700000000000006"/>
    <n v="1.49"/>
    <n v="3.74"/>
    <n v="13.9876"/>
    <x v="2"/>
    <s v="devon5RB"/>
    <n v="4"/>
    <s v="devon5RB-4"/>
  </r>
  <r>
    <x v="3"/>
    <x v="208"/>
    <s v="1.30-9.16"/>
    <n v="5.23"/>
    <s v="#26"/>
    <x v="2"/>
    <n v="9.16"/>
    <n v="1.3"/>
    <n v="3.93"/>
    <n v="15.444900000000001"/>
    <x v="7"/>
    <s v="NA11WR"/>
    <n v="8"/>
    <s v="NA11WR-8"/>
  </r>
  <r>
    <x v="9"/>
    <x v="184"/>
    <s v="0.48-9.96"/>
    <n v="5.22"/>
    <s v="#2"/>
    <x v="2"/>
    <n v="9.9600000000000009"/>
    <n v="0.48"/>
    <n v="4.74"/>
    <n v="22.467600000000001"/>
    <x v="7"/>
    <s v="NA15WR"/>
    <n v="11"/>
    <s v="NA15WR-11"/>
  </r>
  <r>
    <x v="16"/>
    <x v="153"/>
    <n v="-10.459999999999999"/>
    <n v="5.22"/>
    <s v="#6"/>
    <x v="1"/>
    <n v="10.45"/>
    <n v="-0.01"/>
    <n v="5.23"/>
    <n v="27.352900000000002"/>
    <x v="5"/>
    <s v="cory3RB"/>
    <n v="4"/>
    <s v="cory3RB-4"/>
  </r>
  <r>
    <x v="6"/>
    <x v="206"/>
    <s v="1.46-8.96"/>
    <n v="5.21"/>
    <s v="#13"/>
    <x v="2"/>
    <n v="8.9600000000000009"/>
    <n v="1.46"/>
    <n v="3.75"/>
    <n v="14.0625"/>
    <x v="8"/>
    <s v="comp12WR"/>
    <n v="7"/>
    <s v="comp12WR-7"/>
  </r>
  <r>
    <x v="0"/>
    <x v="206"/>
    <s v="1.11-9.31"/>
    <n v="5.21"/>
    <s v="#16"/>
    <x v="2"/>
    <n v="9.31"/>
    <n v="1.1100000000000001"/>
    <n v="4.0999999999999996"/>
    <n v="16.809999999999999"/>
    <x v="8"/>
    <s v="comp17WR"/>
    <n v="7"/>
    <s v="comp17WR-7"/>
  </r>
  <r>
    <x v="13"/>
    <x v="203"/>
    <s v="1.45-8.95"/>
    <n v="5.2"/>
    <s v="#27"/>
    <x v="2"/>
    <n v="8.9499999999999993"/>
    <n v="1.45"/>
    <n v="3.75"/>
    <n v="14.0625"/>
    <x v="7"/>
    <s v="NA8WR"/>
    <n v="15"/>
    <s v="NA8WR-15"/>
  </r>
  <r>
    <x v="13"/>
    <x v="198"/>
    <s v="1.97-8.43"/>
    <n v="5.2"/>
    <s v="#9"/>
    <x v="1"/>
    <n v="8.43"/>
    <n v="1.97"/>
    <n v="3.23"/>
    <n v="10.4329"/>
    <x v="7"/>
    <s v="NA8RB"/>
    <n v="13"/>
    <s v="NA8RB-13"/>
  </r>
  <r>
    <x v="11"/>
    <x v="158"/>
    <s v="1.99-8.41"/>
    <n v="5.2"/>
    <s v="#16"/>
    <x v="3"/>
    <n v="8.41"/>
    <n v="1.99"/>
    <n v="3.21"/>
    <n v="10.3041"/>
    <x v="4"/>
    <s v="scott14TE"/>
    <n v="1"/>
    <s v="scott14TE-1"/>
  </r>
  <r>
    <x v="5"/>
    <x v="166"/>
    <s v="0.61-9.79"/>
    <n v="5.2"/>
    <s v="#18"/>
    <x v="1"/>
    <n v="9.7899999999999991"/>
    <n v="0.61"/>
    <n v="4.59"/>
    <n v="21.068100000000001"/>
    <x v="7"/>
    <s v="NA13RB"/>
    <n v="13"/>
    <s v="NA13RB-13"/>
  </r>
  <r>
    <x v="14"/>
    <x v="149"/>
    <s v="0.46-9.94"/>
    <n v="5.2"/>
    <s v="#27"/>
    <x v="2"/>
    <n v="9.94"/>
    <n v="0.46"/>
    <n v="4.74"/>
    <n v="22.467600000000001"/>
    <x v="1"/>
    <s v="perry4WR"/>
    <n v="5"/>
    <s v="perry4WR-5"/>
  </r>
  <r>
    <x v="7"/>
    <x v="194"/>
    <s v="0.84-9.54"/>
    <n v="5.19"/>
    <s v="#23"/>
    <x v="2"/>
    <n v="9.5399999999999991"/>
    <n v="0.84"/>
    <n v="4.3499999999999996"/>
    <n v="18.922499999999999"/>
    <x v="7"/>
    <s v="NA1WR"/>
    <n v="9"/>
    <s v="NA1WR-9"/>
  </r>
  <r>
    <x v="1"/>
    <x v="179"/>
    <s v="1.81-8.57"/>
    <n v="5.19"/>
    <s v="#22"/>
    <x v="3"/>
    <n v="8.57"/>
    <n v="1.81"/>
    <n v="3.38"/>
    <n v="11.4244"/>
    <x v="2"/>
    <s v="devon16TE"/>
    <n v="2"/>
    <s v="devon16TE-2"/>
  </r>
  <r>
    <x v="11"/>
    <x v="189"/>
    <s v="0.40-9.98"/>
    <n v="5.19"/>
    <s v="#27"/>
    <x v="3"/>
    <n v="9.98"/>
    <n v="0.4"/>
    <n v="4.79"/>
    <n v="22.944099999999999"/>
    <x v="7"/>
    <s v="NA14TE"/>
    <n v="3"/>
    <s v="NA14TE-3"/>
  </r>
  <r>
    <x v="16"/>
    <x v="110"/>
    <s v="0.92-9.46"/>
    <n v="5.19"/>
    <s v="#17"/>
    <x v="1"/>
    <n v="9.4600000000000009"/>
    <n v="0.92"/>
    <n v="4.2699999999999996"/>
    <n v="18.232900000000001"/>
    <x v="10"/>
    <s v="aj3RB"/>
    <n v="2"/>
    <s v="aj3RB-2"/>
  </r>
  <r>
    <x v="10"/>
    <x v="192"/>
    <n v="-10.719999999999999"/>
    <n v="5.18"/>
    <s v="#2"/>
    <x v="3"/>
    <n v="10.54"/>
    <n v="-0.18"/>
    <n v="5.36"/>
    <n v="28.729600000000001"/>
    <x v="7"/>
    <s v="NA2TE"/>
    <n v="1"/>
    <s v="NA2TE-1"/>
  </r>
  <r>
    <x v="5"/>
    <x v="198"/>
    <s v="2.17-8.19"/>
    <n v="5.18"/>
    <s v="#32"/>
    <x v="1"/>
    <n v="8.19"/>
    <n v="2.17"/>
    <n v="3.01"/>
    <n v="9.0601000000000003"/>
    <x v="7"/>
    <s v="NA13RB"/>
    <n v="14"/>
    <s v="NA13RB-14"/>
  </r>
  <r>
    <x v="14"/>
    <x v="158"/>
    <s v="1.39-8.97"/>
    <n v="5.18"/>
    <s v="#20"/>
    <x v="3"/>
    <n v="8.9700000000000006"/>
    <n v="1.39"/>
    <n v="3.79"/>
    <n v="14.364100000000001"/>
    <x v="4"/>
    <s v="scott4TE"/>
    <n v="1"/>
    <s v="scott4TE-1"/>
  </r>
  <r>
    <x v="14"/>
    <x v="153"/>
    <s v="1.55-8.81"/>
    <n v="5.18"/>
    <s v="#27"/>
    <x v="1"/>
    <n v="8.81"/>
    <n v="1.55"/>
    <n v="3.63"/>
    <n v="13.1769"/>
    <x v="5"/>
    <s v="cory4RB"/>
    <n v="4"/>
    <s v="cory4RB-4"/>
  </r>
  <r>
    <x v="3"/>
    <x v="159"/>
    <s v="2.31-8.03"/>
    <n v="5.17"/>
    <s v="#5"/>
    <x v="3"/>
    <n v="8.0299999999999994"/>
    <n v="2.31"/>
    <n v="2.86"/>
    <n v="8.1796000000000006"/>
    <x v="5"/>
    <s v="cory11TE"/>
    <n v="1"/>
    <s v="cory11TE-1"/>
  </r>
  <r>
    <x v="2"/>
    <x v="178"/>
    <n v="-12.18"/>
    <n v="5.17"/>
    <s v="#24"/>
    <x v="2"/>
    <n v="11.26"/>
    <n v="-0.92"/>
    <n v="6.09"/>
    <n v="37.088099999999997"/>
    <x v="7"/>
    <s v="NA9WR"/>
    <n v="10"/>
    <s v="NA9WR-10"/>
  </r>
  <r>
    <x v="12"/>
    <x v="192"/>
    <s v="0.74-9.58"/>
    <n v="5.16"/>
    <s v="#12"/>
    <x v="3"/>
    <n v="9.58"/>
    <n v="0.74"/>
    <n v="4.42"/>
    <n v="19.5364"/>
    <x v="7"/>
    <s v="NA5TE"/>
    <n v="2"/>
    <s v="NA5TE-2"/>
  </r>
  <r>
    <x v="7"/>
    <x v="202"/>
    <s v="0.40-9.92"/>
    <n v="5.16"/>
    <s v="#14"/>
    <x v="2"/>
    <n v="9.92"/>
    <n v="0.4"/>
    <n v="4.76"/>
    <n v="22.657599999999999"/>
    <x v="7"/>
    <s v="NA1WR"/>
    <n v="10"/>
    <s v="NA1WR-10"/>
  </r>
  <r>
    <x v="7"/>
    <x v="110"/>
    <s v="2.60-7.72"/>
    <n v="5.16"/>
    <s v="#4"/>
    <x v="1"/>
    <n v="7.72"/>
    <n v="2.6"/>
    <n v="2.56"/>
    <n v="6.5536000000000003"/>
    <x v="10"/>
    <s v="aj1RB"/>
    <n v="5"/>
    <s v="aj1RB-5"/>
  </r>
  <r>
    <x v="3"/>
    <x v="188"/>
    <n v="-10.440000000000001"/>
    <n v="5.16"/>
    <s v="#10"/>
    <x v="1"/>
    <n v="10.38"/>
    <n v="-0.06"/>
    <n v="5.22"/>
    <n v="27.2484"/>
    <x v="7"/>
    <s v="NA11RB"/>
    <n v="8"/>
    <s v="NA11RB-8"/>
  </r>
  <r>
    <x v="7"/>
    <x v="212"/>
    <s v="1.04-9.26"/>
    <n v="5.15"/>
    <s v="#21"/>
    <x v="2"/>
    <n v="9.26"/>
    <n v="1.04"/>
    <n v="4.1100000000000003"/>
    <n v="16.892099999999999"/>
    <x v="7"/>
    <s v="NA1WR"/>
    <n v="11"/>
    <s v="NA1WR-11"/>
  </r>
  <r>
    <x v="1"/>
    <x v="169"/>
    <s v="0.78-9.52"/>
    <n v="5.15"/>
    <s v="#17"/>
    <x v="1"/>
    <n v="9.52"/>
    <n v="0.78"/>
    <n v="4.37"/>
    <n v="19.096900000000002"/>
    <x v="7"/>
    <s v="NA16RB"/>
    <n v="13"/>
    <s v="NA16RB-13"/>
  </r>
  <r>
    <x v="8"/>
    <x v="184"/>
    <s v="0.81-9.49"/>
    <n v="5.15"/>
    <s v="#10"/>
    <x v="2"/>
    <n v="9.49"/>
    <n v="0.81"/>
    <n v="4.34"/>
    <n v="18.835599999999999"/>
    <x v="7"/>
    <s v="NA6WR"/>
    <n v="10"/>
    <s v="NA6WR-10"/>
  </r>
  <r>
    <x v="0"/>
    <x v="187"/>
    <s v="0.73-9.57"/>
    <n v="5.15"/>
    <s v="#2"/>
    <x v="3"/>
    <n v="9.57"/>
    <n v="0.73"/>
    <n v="4.42"/>
    <n v="19.5364"/>
    <x v="7"/>
    <s v="NA17TE"/>
    <n v="3"/>
    <s v="NA17TE-3"/>
  </r>
  <r>
    <x v="16"/>
    <x v="213"/>
    <s v="0.97-9.33"/>
    <n v="5.15"/>
    <s v="#30"/>
    <x v="1"/>
    <n v="9.33"/>
    <n v="0.97"/>
    <n v="4.18"/>
    <n v="17.4724"/>
    <x v="7"/>
    <s v="NA3RB"/>
    <n v="16"/>
    <s v="NA3RB-16"/>
  </r>
  <r>
    <x v="7"/>
    <x v="185"/>
    <s v="0.14-10.16"/>
    <n v="5.15"/>
    <s v="#13"/>
    <x v="2"/>
    <n v="10.16"/>
    <n v="0.14000000000000001"/>
    <n v="5.01"/>
    <n v="25.100100000000001"/>
    <x v="7"/>
    <s v="NA1WR"/>
    <n v="12"/>
    <s v="NA1WR-12"/>
  </r>
  <r>
    <x v="14"/>
    <x v="146"/>
    <s v="0.83-9.47"/>
    <n v="5.15"/>
    <s v="#6"/>
    <x v="2"/>
    <n v="9.4700000000000006"/>
    <n v="0.83"/>
    <n v="4.32"/>
    <n v="18.662400000000002"/>
    <x v="7"/>
    <s v="NA4WR"/>
    <n v="10"/>
    <s v="NA4WR-10"/>
  </r>
  <r>
    <x v="10"/>
    <x v="154"/>
    <n v="-10.52"/>
    <n v="5.14"/>
    <s v="#30"/>
    <x v="3"/>
    <n v="10.4"/>
    <n v="-0.12"/>
    <n v="5.26"/>
    <n v="27.6676"/>
    <x v="7"/>
    <s v="NA2TE"/>
    <n v="2"/>
    <s v="NA2TE-2"/>
  </r>
  <r>
    <x v="13"/>
    <x v="158"/>
    <s v="1.45-8.83"/>
    <n v="5.14"/>
    <s v="#13"/>
    <x v="3"/>
    <n v="8.83"/>
    <n v="1.45"/>
    <n v="3.69"/>
    <n v="13.616099999999999"/>
    <x v="4"/>
    <s v="scott8TE"/>
    <n v="1"/>
    <s v="scott8TE-1"/>
  </r>
  <r>
    <x v="8"/>
    <x v="182"/>
    <s v="1.63-8.65"/>
    <n v="5.14"/>
    <s v="#8"/>
    <x v="1"/>
    <n v="8.65"/>
    <n v="1.63"/>
    <n v="3.51"/>
    <n v="12.3201"/>
    <x v="7"/>
    <s v="NA6RB"/>
    <n v="11"/>
    <s v="NA6RB-11"/>
  </r>
  <r>
    <x v="9"/>
    <x v="201"/>
    <s v="0.83-9.43"/>
    <n v="5.13"/>
    <s v="#1"/>
    <x v="2"/>
    <n v="9.43"/>
    <n v="0.83"/>
    <n v="4.3"/>
    <n v="18.489999999999998"/>
    <x v="7"/>
    <s v="NA15WR"/>
    <n v="12"/>
    <s v="NA15WR-12"/>
  </r>
  <r>
    <x v="6"/>
    <x v="151"/>
    <s v="1.52-8.74"/>
    <n v="5.13"/>
    <s v="#19"/>
    <x v="1"/>
    <n v="8.74"/>
    <n v="1.52"/>
    <n v="3.61"/>
    <n v="13.0321"/>
    <x v="7"/>
    <s v="NA12RB"/>
    <n v="7"/>
    <s v="NA12RB-7"/>
  </r>
  <r>
    <x v="2"/>
    <x v="187"/>
    <n v="-11.700000000000001"/>
    <n v="5.13"/>
    <s v="#15"/>
    <x v="3"/>
    <n v="10.98"/>
    <n v="-0.72"/>
    <n v="5.85"/>
    <n v="34.222499999999997"/>
    <x v="7"/>
    <s v="NA9TE"/>
    <n v="3"/>
    <s v="NA9TE-3"/>
  </r>
  <r>
    <x v="15"/>
    <x v="149"/>
    <s v="1.28-8.98"/>
    <n v="5.13"/>
    <s v="#3"/>
    <x v="2"/>
    <n v="8.98"/>
    <n v="1.28"/>
    <n v="3.85"/>
    <n v="14.8225"/>
    <x v="1"/>
    <s v="perry10WR"/>
    <n v="3"/>
    <s v="perry10WR-3"/>
  </r>
  <r>
    <x v="8"/>
    <x v="208"/>
    <s v="0.94-9.32"/>
    <n v="5.13"/>
    <s v="#24"/>
    <x v="2"/>
    <n v="9.32"/>
    <n v="0.94"/>
    <n v="4.1900000000000004"/>
    <n v="17.556100000000001"/>
    <x v="7"/>
    <s v="NA6WR"/>
    <n v="11"/>
    <s v="NA6WR-11"/>
  </r>
  <r>
    <x v="5"/>
    <x v="177"/>
    <s v="0.32-9.92"/>
    <n v="5.12"/>
    <s v="#9"/>
    <x v="2"/>
    <n v="9.92"/>
    <n v="0.32"/>
    <n v="4.8"/>
    <n v="23.04"/>
    <x v="7"/>
    <s v="NA13WR"/>
    <n v="13"/>
    <s v="NA13WR-13"/>
  </r>
  <r>
    <x v="10"/>
    <x v="189"/>
    <s v="1.33-8.91"/>
    <n v="5.12"/>
    <s v="#12"/>
    <x v="3"/>
    <n v="8.91"/>
    <n v="1.33"/>
    <n v="3.79"/>
    <n v="14.364100000000001"/>
    <x v="7"/>
    <s v="NA2TE"/>
    <n v="3"/>
    <s v="NA2TE-3"/>
  </r>
  <r>
    <x v="9"/>
    <x v="214"/>
    <n v="-10.299999999999999"/>
    <n v="5.12"/>
    <s v="#25"/>
    <x v="2"/>
    <n v="10.27"/>
    <n v="-0.03"/>
    <n v="5.15"/>
    <n v="26.522500000000001"/>
    <x v="7"/>
    <s v="NA15WR"/>
    <n v="13"/>
    <s v="NA15WR-13"/>
  </r>
  <r>
    <x v="9"/>
    <x v="133"/>
    <s v="0.09-10.15"/>
    <n v="5.12"/>
    <s v="#2"/>
    <x v="1"/>
    <n v="10.15"/>
    <n v="0.09"/>
    <n v="5.03"/>
    <n v="25.300899999999999"/>
    <x v="8"/>
    <s v="comp15RB"/>
    <n v="3"/>
    <s v="comp15RB-3"/>
  </r>
  <r>
    <x v="0"/>
    <x v="208"/>
    <s v="1.19-9.05"/>
    <n v="5.12"/>
    <s v="#26"/>
    <x v="2"/>
    <n v="9.0500000000000007"/>
    <n v="1.19"/>
    <n v="3.93"/>
    <n v="15.444900000000001"/>
    <x v="7"/>
    <s v="NA17WR"/>
    <n v="11"/>
    <s v="NA17WR-11"/>
  </r>
  <r>
    <x v="3"/>
    <x v="138"/>
    <s v="1.38-8.84"/>
    <n v="5.1100000000000003"/>
    <s v="#16"/>
    <x v="1"/>
    <n v="8.84"/>
    <n v="1.38"/>
    <n v="3.73"/>
    <n v="13.9129"/>
    <x v="0"/>
    <s v="matty11RB"/>
    <n v="4"/>
    <s v="matty11RB-4"/>
  </r>
  <r>
    <x v="10"/>
    <x v="201"/>
    <s v="0.83-9.39"/>
    <n v="5.1100000000000003"/>
    <s v="#6"/>
    <x v="2"/>
    <n v="9.39"/>
    <n v="0.83"/>
    <n v="4.28"/>
    <n v="18.3184"/>
    <x v="7"/>
    <s v="NA2WR"/>
    <n v="11"/>
    <s v="NA2WR-11"/>
  </r>
  <r>
    <x v="7"/>
    <x v="156"/>
    <s v="1.24-8.98"/>
    <n v="5.1100000000000003"/>
    <s v="#14"/>
    <x v="1"/>
    <n v="8.98"/>
    <n v="1.24"/>
    <n v="3.87"/>
    <n v="14.976900000000001"/>
    <x v="7"/>
    <s v="NA1RB"/>
    <n v="8"/>
    <s v="NA1RB-8"/>
  </r>
  <r>
    <x v="7"/>
    <x v="161"/>
    <s v="1.30-8.90"/>
    <n v="5.0999999999999996"/>
    <s v="#23"/>
    <x v="1"/>
    <n v="8.9"/>
    <n v="1.3"/>
    <n v="3.8"/>
    <n v="14.44"/>
    <x v="7"/>
    <s v="NA1RB"/>
    <n v="9"/>
    <s v="NA1RB-9"/>
  </r>
  <r>
    <x v="2"/>
    <x v="162"/>
    <s v="1.29-8.91"/>
    <n v="5.0999999999999996"/>
    <s v="#7"/>
    <x v="2"/>
    <n v="8.91"/>
    <n v="1.29"/>
    <n v="3.81"/>
    <n v="14.5161"/>
    <x v="4"/>
    <s v="scott9WR"/>
    <n v="5"/>
    <s v="scott9WR-5"/>
  </r>
  <r>
    <x v="4"/>
    <x v="128"/>
    <n v="-10.72"/>
    <n v="5.0999999999999996"/>
    <s v="#10"/>
    <x v="2"/>
    <n v="10.46"/>
    <n v="-0.26"/>
    <n v="5.36"/>
    <n v="28.729600000000001"/>
    <x v="7"/>
    <s v="NA7WR"/>
    <n v="9"/>
    <s v="NA7WR-9"/>
  </r>
  <r>
    <x v="11"/>
    <x v="169"/>
    <s v="0.77-9.41"/>
    <n v="5.09"/>
    <s v="#4"/>
    <x v="1"/>
    <n v="9.41"/>
    <n v="0.77"/>
    <n v="4.32"/>
    <n v="18.662400000000002"/>
    <x v="7"/>
    <s v="NA14RB"/>
    <n v="11"/>
    <s v="NA14RB-11"/>
  </r>
  <r>
    <x v="0"/>
    <x v="184"/>
    <s v="0.86-9.32"/>
    <n v="5.09"/>
    <s v="#20"/>
    <x v="2"/>
    <n v="9.32"/>
    <n v="0.86"/>
    <n v="4.2300000000000004"/>
    <n v="17.892900000000001"/>
    <x v="7"/>
    <s v="NA17WR"/>
    <n v="12"/>
    <s v="NA17WR-12"/>
  </r>
  <r>
    <x v="9"/>
    <x v="196"/>
    <s v="0.80-9.38"/>
    <n v="5.09"/>
    <s v="#17"/>
    <x v="3"/>
    <n v="9.3800000000000008"/>
    <n v="0.8"/>
    <n v="4.29"/>
    <n v="18.4041"/>
    <x v="4"/>
    <s v="scott15TE"/>
    <n v="2"/>
    <s v="scott15TE-2"/>
  </r>
  <r>
    <x v="10"/>
    <x v="199"/>
    <s v="1.41-8.75"/>
    <n v="5.08"/>
    <s v="#20"/>
    <x v="2"/>
    <n v="8.75"/>
    <n v="1.41"/>
    <n v="3.67"/>
    <n v="13.4689"/>
    <x v="7"/>
    <s v="NA2WR"/>
    <n v="12"/>
    <s v="NA2WR-12"/>
  </r>
  <r>
    <x v="16"/>
    <x v="149"/>
    <s v="1.57-8.59"/>
    <n v="5.08"/>
    <s v="#6"/>
    <x v="2"/>
    <n v="8.59"/>
    <n v="1.57"/>
    <n v="3.51"/>
    <n v="12.3201"/>
    <x v="1"/>
    <s v="perry3WR"/>
    <n v="5"/>
    <s v="perry3WR-5"/>
  </r>
  <r>
    <x v="11"/>
    <x v="196"/>
    <s v="0.58-9.58"/>
    <n v="5.08"/>
    <s v="#25"/>
    <x v="3"/>
    <n v="9.58"/>
    <n v="0.57999999999999996"/>
    <n v="4.5"/>
    <n v="20.25"/>
    <x v="4"/>
    <s v="scott14TE"/>
    <n v="2"/>
    <s v="scott14TE-2"/>
  </r>
  <r>
    <x v="5"/>
    <x v="132"/>
    <s v="0.64-9.50"/>
    <n v="5.07"/>
    <s v="#8"/>
    <x v="1"/>
    <n v="9.5"/>
    <n v="0.64"/>
    <n v="4.43"/>
    <n v="19.6249"/>
    <x v="9"/>
    <s v="seth13RB"/>
    <n v="6"/>
    <s v="seth13RB-6"/>
  </r>
  <r>
    <x v="15"/>
    <x v="192"/>
    <s v="0.82-9.32"/>
    <n v="5.07"/>
    <s v="#19"/>
    <x v="3"/>
    <n v="9.32"/>
    <n v="0.82"/>
    <n v="4.25"/>
    <n v="18.0625"/>
    <x v="7"/>
    <s v="NA10TE"/>
    <n v="2"/>
    <s v="NA10TE-2"/>
  </r>
  <r>
    <x v="8"/>
    <x v="177"/>
    <s v="0.27-9.87"/>
    <n v="5.07"/>
    <s v="#23"/>
    <x v="2"/>
    <n v="9.8699999999999992"/>
    <n v="0.27"/>
    <n v="4.8"/>
    <n v="23.04"/>
    <x v="7"/>
    <s v="NA6WR"/>
    <n v="12"/>
    <s v="NA6WR-12"/>
  </r>
  <r>
    <x v="16"/>
    <x v="160"/>
    <s v="0.34-9.80"/>
    <n v="5.07"/>
    <s v="#13"/>
    <x v="1"/>
    <n v="9.8000000000000007"/>
    <n v="0.34"/>
    <n v="4.7300000000000004"/>
    <n v="22.372900000000001"/>
    <x v="7"/>
    <s v="NA3RB"/>
    <n v="17"/>
    <s v="NA3RB-17"/>
  </r>
  <r>
    <x v="6"/>
    <x v="195"/>
    <s v="1.17-8.95"/>
    <n v="5.0599999999999996"/>
    <s v="#14"/>
    <x v="1"/>
    <n v="8.9499999999999993"/>
    <n v="1.17"/>
    <n v="3.89"/>
    <n v="15.132099999999999"/>
    <x v="1"/>
    <s v="perry12RB"/>
    <n v="4"/>
    <s v="perry12RB-4"/>
  </r>
  <r>
    <x v="0"/>
    <x v="174"/>
    <s v="1.61-8.51"/>
    <n v="5.0599999999999996"/>
    <s v="#8"/>
    <x v="2"/>
    <n v="8.51"/>
    <n v="1.61"/>
    <n v="3.45"/>
    <n v="11.9025"/>
    <x v="7"/>
    <s v="NA17WR"/>
    <n v="13"/>
    <s v="NA17WR-13"/>
  </r>
  <r>
    <x v="7"/>
    <x v="206"/>
    <n v="-10.4"/>
    <n v="5.0599999999999996"/>
    <s v="#32"/>
    <x v="2"/>
    <n v="10.26"/>
    <n v="-0.14000000000000001"/>
    <n v="5.2"/>
    <n v="27.04"/>
    <x v="8"/>
    <s v="comp1WR"/>
    <n v="6"/>
    <s v="comp1WR-6"/>
  </r>
  <r>
    <x v="11"/>
    <x v="153"/>
    <s v="0.81-9.31"/>
    <n v="5.0599999999999996"/>
    <s v="#27"/>
    <x v="1"/>
    <n v="9.31"/>
    <n v="0.81"/>
    <n v="4.25"/>
    <n v="18.0625"/>
    <x v="5"/>
    <s v="cory14RB"/>
    <n v="5"/>
    <s v="cory14RB-5"/>
  </r>
  <r>
    <x v="14"/>
    <x v="170"/>
    <s v="1.03-9.09"/>
    <n v="5.0599999999999996"/>
    <s v="#31"/>
    <x v="3"/>
    <n v="9.09"/>
    <n v="1.03"/>
    <n v="4.03"/>
    <n v="16.2409"/>
    <x v="8"/>
    <s v="comp4TE"/>
    <n v="1"/>
    <s v="comp4TE-1"/>
  </r>
  <r>
    <x v="6"/>
    <x v="161"/>
    <s v="1.58-8.52"/>
    <n v="5.05"/>
    <s v="#8"/>
    <x v="1"/>
    <n v="8.52"/>
    <n v="1.58"/>
    <n v="3.47"/>
    <n v="12.040900000000001"/>
    <x v="7"/>
    <s v="NA12RB"/>
    <n v="8"/>
    <s v="NA12RB-8"/>
  </r>
  <r>
    <x v="15"/>
    <x v="203"/>
    <s v="0.51-9.59"/>
    <n v="5.05"/>
    <s v="#21"/>
    <x v="2"/>
    <n v="9.59"/>
    <n v="0.51"/>
    <n v="4.54"/>
    <n v="20.611599999999999"/>
    <x v="7"/>
    <s v="NA10WR"/>
    <n v="10"/>
    <s v="NA10WR-10"/>
  </r>
  <r>
    <x v="7"/>
    <x v="75"/>
    <s v="1.88-8.22"/>
    <n v="5.05"/>
    <s v="#18"/>
    <x v="1"/>
    <n v="8.2200000000000006"/>
    <n v="1.88"/>
    <n v="3.17"/>
    <n v="10.0489"/>
    <x v="9"/>
    <s v="seth1RB"/>
    <n v="6"/>
    <s v="seth1RB-6"/>
  </r>
  <r>
    <x v="4"/>
    <x v="146"/>
    <s v="1.07-9.03"/>
    <n v="5.05"/>
    <s v="#20"/>
    <x v="2"/>
    <n v="9.0299999999999994"/>
    <n v="1.07"/>
    <n v="3.98"/>
    <n v="15.840400000000001"/>
    <x v="7"/>
    <s v="NA7WR"/>
    <n v="10"/>
    <s v="NA7WR-10"/>
  </r>
  <r>
    <x v="0"/>
    <x v="175"/>
    <s v="1.92-8.18"/>
    <n v="5.05"/>
    <s v="#16"/>
    <x v="2"/>
    <n v="8.18"/>
    <n v="1.92"/>
    <n v="3.13"/>
    <n v="9.7969000000000008"/>
    <x v="7"/>
    <s v="NA17WR"/>
    <n v="14"/>
    <s v="NA17WR-14"/>
  </r>
  <r>
    <x v="8"/>
    <x v="149"/>
    <s v="1.06-9.02"/>
    <n v="5.04"/>
    <s v="#4"/>
    <x v="2"/>
    <n v="9.02"/>
    <n v="1.06"/>
    <n v="3.98"/>
    <n v="15.840400000000001"/>
    <x v="1"/>
    <s v="perry6WR"/>
    <n v="4"/>
    <s v="perry6WR-4"/>
  </r>
  <r>
    <x v="9"/>
    <x v="206"/>
    <s v="0.42-9.64"/>
    <n v="5.03"/>
    <s v="#32"/>
    <x v="2"/>
    <n v="9.64"/>
    <n v="0.42"/>
    <n v="4.6100000000000003"/>
    <n v="21.252099999999999"/>
    <x v="8"/>
    <s v="comp15WR"/>
    <n v="7"/>
    <s v="comp15WR-7"/>
  </r>
  <r>
    <x v="4"/>
    <x v="185"/>
    <s v="0.68-9.38"/>
    <n v="5.03"/>
    <s v="#23"/>
    <x v="2"/>
    <n v="9.3800000000000008"/>
    <n v="0.68"/>
    <n v="4.3499999999999996"/>
    <n v="18.922499999999999"/>
    <x v="7"/>
    <s v="NA7WR"/>
    <n v="11"/>
    <s v="NA7WR-11"/>
  </r>
  <r>
    <x v="1"/>
    <x v="149"/>
    <s v="1.23-8.83"/>
    <n v="5.03"/>
    <s v="#22"/>
    <x v="2"/>
    <n v="8.83"/>
    <n v="1.23"/>
    <n v="3.8"/>
    <n v="14.44"/>
    <x v="1"/>
    <s v="perry16WR"/>
    <n v="4"/>
    <s v="perry16WR-4"/>
  </r>
  <r>
    <x v="10"/>
    <x v="65"/>
    <n v="-10.42"/>
    <n v="5.03"/>
    <s v="#3"/>
    <x v="1"/>
    <n v="10.24"/>
    <n v="-0.18"/>
    <n v="5.21"/>
    <n v="27.144100000000002"/>
    <x v="2"/>
    <s v="devon2RB"/>
    <n v="4"/>
    <s v="devon2RB-4"/>
  </r>
  <r>
    <x v="12"/>
    <x v="163"/>
    <s v="3.17-6.89"/>
    <n v="5.03"/>
    <s v="#28"/>
    <x v="1"/>
    <n v="6.89"/>
    <n v="3.17"/>
    <n v="1.86"/>
    <n v="3.4596"/>
    <x v="9"/>
    <s v="seth5RB"/>
    <n v="5"/>
    <s v="seth5RB-5"/>
  </r>
  <r>
    <x v="15"/>
    <x v="161"/>
    <s v="0.42-9.62"/>
    <n v="5.0199999999999996"/>
    <s v="#15"/>
    <x v="1"/>
    <n v="9.6199999999999992"/>
    <n v="0.42"/>
    <n v="4.5999999999999996"/>
    <n v="21.16"/>
    <x v="7"/>
    <s v="NA10RB"/>
    <n v="11"/>
    <s v="NA10RB-11"/>
  </r>
  <r>
    <x v="6"/>
    <x v="181"/>
    <s v="0.55-9.49"/>
    <n v="5.0199999999999996"/>
    <s v="#11"/>
    <x v="2"/>
    <n v="9.49"/>
    <n v="0.55000000000000004"/>
    <n v="4.47"/>
    <n v="19.980899999999998"/>
    <x v="7"/>
    <s v="NA12WR"/>
    <n v="10"/>
    <s v="NA12WR-10"/>
  </r>
  <r>
    <x v="7"/>
    <x v="153"/>
    <s v="1.15-8.87"/>
    <n v="5.01"/>
    <s v="#19"/>
    <x v="1"/>
    <n v="8.8699999999999992"/>
    <n v="1.1499999999999999"/>
    <n v="3.86"/>
    <n v="14.8996"/>
    <x v="5"/>
    <s v="cory1RB"/>
    <n v="4"/>
    <s v="cory1RB-4"/>
  </r>
  <r>
    <x v="5"/>
    <x v="157"/>
    <n v="-10.3"/>
    <n v="5"/>
    <s v="#7"/>
    <x v="3"/>
    <n v="10.15"/>
    <n v="-0.15"/>
    <n v="5.15"/>
    <n v="26.522500000000001"/>
    <x v="7"/>
    <s v="NA13TE"/>
    <n v="3"/>
    <s v="NA13TE-3"/>
  </r>
  <r>
    <x v="2"/>
    <x v="211"/>
    <s v="1.51-8.47"/>
    <n v="4.99"/>
    <s v="#14"/>
    <x v="2"/>
    <n v="8.4700000000000006"/>
    <n v="1.51"/>
    <n v="3.48"/>
    <n v="12.1104"/>
    <x v="7"/>
    <s v="NA9WR"/>
    <n v="11"/>
    <s v="NA9WR-11"/>
  </r>
  <r>
    <x v="2"/>
    <x v="138"/>
    <s v="1.23-8.75"/>
    <n v="4.99"/>
    <s v="#8"/>
    <x v="1"/>
    <n v="8.75"/>
    <n v="1.23"/>
    <n v="3.76"/>
    <n v="14.137600000000001"/>
    <x v="0"/>
    <s v="matty9RB"/>
    <n v="2"/>
    <s v="matty9RB-2"/>
  </r>
  <r>
    <x v="12"/>
    <x v="184"/>
    <n v="-10"/>
    <n v="4.99"/>
    <s v="#4"/>
    <x v="2"/>
    <n v="9.99"/>
    <n v="-0.01"/>
    <n v="5"/>
    <n v="25"/>
    <x v="7"/>
    <s v="NA5WR"/>
    <n v="16"/>
    <s v="NA5WR-16"/>
  </r>
  <r>
    <x v="7"/>
    <x v="157"/>
    <s v="1.33-8.65"/>
    <n v="4.99"/>
    <s v="#30"/>
    <x v="3"/>
    <n v="8.65"/>
    <n v="1.33"/>
    <n v="3.66"/>
    <n v="13.3956"/>
    <x v="7"/>
    <s v="NA1TE"/>
    <n v="2"/>
    <s v="NA1TE-2"/>
  </r>
  <r>
    <x v="5"/>
    <x v="208"/>
    <s v="1.58-8.40"/>
    <n v="4.99"/>
    <s v="#22"/>
    <x v="2"/>
    <n v="8.4"/>
    <n v="1.58"/>
    <n v="3.41"/>
    <n v="11.6281"/>
    <x v="7"/>
    <s v="NA13WR"/>
    <n v="14"/>
    <s v="NA13WR-14"/>
  </r>
  <r>
    <x v="14"/>
    <x v="195"/>
    <s v="0.53-9.43"/>
    <n v="4.9800000000000004"/>
    <s v="#9"/>
    <x v="1"/>
    <n v="9.43"/>
    <n v="0.53"/>
    <n v="4.45"/>
    <n v="19.802499999999998"/>
    <x v="1"/>
    <s v="perry4RB"/>
    <n v="4"/>
    <s v="perry4RB-4"/>
  </r>
  <r>
    <x v="16"/>
    <x v="215"/>
    <s v="0.83-9.13"/>
    <n v="4.9800000000000004"/>
    <s v="#14"/>
    <x v="3"/>
    <n v="9.1300000000000008"/>
    <n v="0.83"/>
    <n v="4.1500000000000004"/>
    <n v="17.2225"/>
    <x v="7"/>
    <s v="NA3TE"/>
    <n v="2"/>
    <s v="NA3TE-2"/>
  </r>
  <r>
    <x v="5"/>
    <x v="170"/>
    <s v="0.75-9.21"/>
    <n v="4.9800000000000004"/>
    <s v="#22"/>
    <x v="3"/>
    <n v="9.2100000000000009"/>
    <n v="0.75"/>
    <n v="4.2300000000000004"/>
    <n v="17.892900000000001"/>
    <x v="8"/>
    <s v="comp13TE"/>
    <n v="1"/>
    <s v="comp13TE-1"/>
  </r>
  <r>
    <x v="1"/>
    <x v="187"/>
    <n v="-11.82"/>
    <n v="4.97"/>
    <s v="#20"/>
    <x v="3"/>
    <n v="10.88"/>
    <n v="-0.94"/>
    <n v="5.91"/>
    <n v="34.928100000000001"/>
    <x v="7"/>
    <s v="NA16TE"/>
    <n v="6"/>
    <s v="NA16TE-6"/>
  </r>
  <r>
    <x v="0"/>
    <x v="128"/>
    <n v="-10.72"/>
    <n v="4.97"/>
    <s v="#10"/>
    <x v="2"/>
    <n v="10.33"/>
    <n v="-0.39"/>
    <n v="5.36"/>
    <n v="28.729600000000001"/>
    <x v="7"/>
    <s v="NA17WR"/>
    <n v="15"/>
    <s v="NA17WR-15"/>
  </r>
  <r>
    <x v="8"/>
    <x v="188"/>
    <n v="-10.360000000000001"/>
    <n v="4.97"/>
    <s v="#17"/>
    <x v="1"/>
    <n v="10.15"/>
    <n v="-0.21"/>
    <n v="5.18"/>
    <n v="26.8324"/>
    <x v="7"/>
    <s v="NA6RB"/>
    <n v="12"/>
    <s v="NA6RB-12"/>
  </r>
  <r>
    <x v="6"/>
    <x v="175"/>
    <s v="2.06-7.88"/>
    <n v="4.97"/>
    <s v="#13"/>
    <x v="2"/>
    <n v="7.88"/>
    <n v="2.06"/>
    <n v="2.91"/>
    <n v="8.4680999999999997"/>
    <x v="7"/>
    <s v="NA12WR"/>
    <n v="11"/>
    <s v="NA12WR-11"/>
  </r>
  <r>
    <x v="15"/>
    <x v="201"/>
    <s v="0.90-9.02"/>
    <n v="4.96"/>
    <s v="#12"/>
    <x v="2"/>
    <n v="9.02"/>
    <n v="0.9"/>
    <n v="4.0599999999999996"/>
    <n v="16.483599999999999"/>
    <x v="7"/>
    <s v="NA10WR"/>
    <n v="11"/>
    <s v="NA10WR-11"/>
  </r>
  <r>
    <x v="5"/>
    <x v="89"/>
    <s v="1.45-8.47"/>
    <n v="4.96"/>
    <s v="#26"/>
    <x v="2"/>
    <n v="8.4700000000000006"/>
    <n v="1.45"/>
    <n v="3.51"/>
    <n v="12.3201"/>
    <x v="1"/>
    <s v="perry13WR"/>
    <n v="4"/>
    <s v="perry13WR-4"/>
  </r>
  <r>
    <x v="10"/>
    <x v="129"/>
    <s v="0.93-8.99"/>
    <n v="4.96"/>
    <s v="#5"/>
    <x v="1"/>
    <n v="8.99"/>
    <n v="0.93"/>
    <n v="4.03"/>
    <n v="16.2409"/>
    <x v="7"/>
    <s v="NA2RB"/>
    <n v="12"/>
    <s v="NA2RB-12"/>
  </r>
  <r>
    <x v="4"/>
    <x v="212"/>
    <s v="0.44-9.46"/>
    <n v="4.95"/>
    <s v="#17"/>
    <x v="2"/>
    <n v="9.4600000000000009"/>
    <n v="0.44"/>
    <n v="4.51"/>
    <n v="20.3401"/>
    <x v="7"/>
    <s v="NA7WR"/>
    <n v="12"/>
    <s v="NA7WR-12"/>
  </r>
  <r>
    <x v="4"/>
    <x v="184"/>
    <n v="-9.92"/>
    <n v="4.95"/>
    <s v="#13"/>
    <x v="2"/>
    <n v="9.91"/>
    <n v="-0.01"/>
    <n v="4.96"/>
    <n v="24.601600000000001"/>
    <x v="7"/>
    <s v="NA7WR"/>
    <n v="13"/>
    <s v="NA7WR-13"/>
  </r>
  <r>
    <x v="12"/>
    <x v="202"/>
    <s v="1.06-8.84"/>
    <n v="4.95"/>
    <s v="#19"/>
    <x v="2"/>
    <n v="8.84"/>
    <n v="1.06"/>
    <n v="3.89"/>
    <n v="15.132099999999999"/>
    <x v="7"/>
    <s v="NA5WR"/>
    <n v="17"/>
    <s v="NA5WR-17"/>
  </r>
  <r>
    <x v="11"/>
    <x v="181"/>
    <s v="0.88-9.02"/>
    <n v="4.95"/>
    <s v="#14"/>
    <x v="2"/>
    <n v="9.02"/>
    <n v="0.88"/>
    <n v="4.07"/>
    <n v="16.564900000000002"/>
    <x v="7"/>
    <s v="NA14WR"/>
    <n v="11"/>
    <s v="NA14WR-11"/>
  </r>
  <r>
    <x v="15"/>
    <x v="177"/>
    <s v="0.15-9.75"/>
    <n v="4.95"/>
    <s v="#9"/>
    <x v="2"/>
    <n v="9.75"/>
    <n v="0.15"/>
    <n v="4.8"/>
    <n v="23.04"/>
    <x v="7"/>
    <s v="NA10WR"/>
    <n v="12"/>
    <s v="NA10WR-12"/>
  </r>
  <r>
    <x v="10"/>
    <x v="143"/>
    <s v="0.03-9.87"/>
    <n v="4.95"/>
    <s v="#26"/>
    <x v="2"/>
    <n v="9.8699999999999992"/>
    <n v="0.03"/>
    <n v="4.92"/>
    <n v="24.206399999999999"/>
    <x v="0"/>
    <s v="matty2WR"/>
    <n v="5"/>
    <s v="matty2WR-5"/>
  </r>
  <r>
    <x v="7"/>
    <x v="198"/>
    <s v="0.66-9.22"/>
    <n v="4.9400000000000004"/>
    <s v="#10"/>
    <x v="1"/>
    <n v="9.2200000000000006"/>
    <n v="0.66"/>
    <n v="4.28"/>
    <n v="18.3184"/>
    <x v="7"/>
    <s v="NA1RB"/>
    <n v="10"/>
    <s v="NA1RB-10"/>
  </r>
  <r>
    <x v="12"/>
    <x v="198"/>
    <s v="1.88-8.00"/>
    <n v="4.9400000000000004"/>
    <s v="#20"/>
    <x v="1"/>
    <n v="8"/>
    <n v="1.88"/>
    <n v="3.06"/>
    <n v="9.3635999999999999"/>
    <x v="7"/>
    <s v="NA5RB"/>
    <n v="11"/>
    <s v="NA5RB-11"/>
  </r>
  <r>
    <x v="2"/>
    <x v="198"/>
    <s v="1.65-8.23"/>
    <n v="4.9400000000000004"/>
    <s v="#18"/>
    <x v="1"/>
    <n v="8.23"/>
    <n v="1.65"/>
    <n v="3.29"/>
    <n v="10.8241"/>
    <x v="7"/>
    <s v="NA9RB"/>
    <n v="9"/>
    <s v="NA9RB-9"/>
  </r>
  <r>
    <x v="9"/>
    <x v="198"/>
    <s v="1.89-7.99"/>
    <n v="4.9400000000000004"/>
    <s v="#19"/>
    <x v="1"/>
    <n v="7.99"/>
    <n v="1.89"/>
    <n v="3.05"/>
    <n v="9.3025000000000002"/>
    <x v="7"/>
    <s v="NA15RB"/>
    <n v="12"/>
    <s v="NA15RB-12"/>
  </r>
  <r>
    <x v="5"/>
    <x v="216"/>
    <s v="1.68-8.20"/>
    <n v="4.9400000000000004"/>
    <s v="#32"/>
    <x v="2"/>
    <n v="8.1999999999999993"/>
    <n v="1.68"/>
    <n v="3.26"/>
    <n v="10.627599999999999"/>
    <x v="7"/>
    <s v="NA13WR"/>
    <n v="15"/>
    <s v="NA13WR-15"/>
  </r>
  <r>
    <x v="5"/>
    <x v="149"/>
    <s v="1.09-8.79"/>
    <n v="4.9400000000000004"/>
    <s v="#3"/>
    <x v="2"/>
    <n v="8.7899999999999991"/>
    <n v="1.0900000000000001"/>
    <n v="3.85"/>
    <n v="14.8225"/>
    <x v="1"/>
    <s v="perry13WR"/>
    <n v="5"/>
    <s v="perry13WR-5"/>
  </r>
  <r>
    <x v="3"/>
    <x v="192"/>
    <s v="1.01-8.85"/>
    <n v="4.93"/>
    <s v="#6"/>
    <x v="3"/>
    <n v="8.85"/>
    <n v="1.01"/>
    <n v="3.92"/>
    <n v="15.366400000000001"/>
    <x v="7"/>
    <s v="NA11TE"/>
    <n v="4"/>
    <s v="NA11TE-4"/>
  </r>
  <r>
    <x v="4"/>
    <x v="189"/>
    <s v="0.51-9.35"/>
    <n v="4.93"/>
    <s v="#11"/>
    <x v="3"/>
    <n v="9.35"/>
    <n v="0.51"/>
    <n v="4.42"/>
    <n v="19.5364"/>
    <x v="7"/>
    <s v="NA7TE"/>
    <n v="3"/>
    <s v="NA7TE-3"/>
  </r>
  <r>
    <x v="9"/>
    <x v="189"/>
    <s v="0.55-9.31"/>
    <n v="4.93"/>
    <s v="#23"/>
    <x v="3"/>
    <n v="9.31"/>
    <n v="0.55000000000000004"/>
    <n v="4.38"/>
    <n v="19.1844"/>
    <x v="7"/>
    <s v="NA15TE"/>
    <n v="2"/>
    <s v="NA15TE-2"/>
  </r>
  <r>
    <x v="15"/>
    <x v="214"/>
    <n v="-10.219999999999999"/>
    <n v="4.93"/>
    <s v="#30"/>
    <x v="2"/>
    <n v="10.039999999999999"/>
    <n v="-0.18"/>
    <n v="5.1100000000000003"/>
    <n v="26.112100000000002"/>
    <x v="7"/>
    <s v="NA10WR"/>
    <n v="13"/>
    <s v="NA10WR-13"/>
  </r>
  <r>
    <x v="10"/>
    <x v="149"/>
    <n v="-10.08"/>
    <n v="4.93"/>
    <s v="#12"/>
    <x v="2"/>
    <n v="9.9700000000000006"/>
    <n v="-0.11"/>
    <n v="5.04"/>
    <n v="25.401599999999998"/>
    <x v="1"/>
    <s v="perry2WR"/>
    <n v="5"/>
    <s v="perry2WR-5"/>
  </r>
  <r>
    <x v="10"/>
    <x v="211"/>
    <s v="0.88-8.96"/>
    <n v="4.92"/>
    <s v="#22"/>
    <x v="2"/>
    <n v="8.9600000000000009"/>
    <n v="0.88"/>
    <n v="4.04"/>
    <n v="16.3216"/>
    <x v="7"/>
    <s v="NA2WR"/>
    <n v="13"/>
    <s v="NA2WR-13"/>
  </r>
  <r>
    <x v="8"/>
    <x v="164"/>
    <s v="0.71-9.13"/>
    <n v="4.92"/>
    <s v="#21"/>
    <x v="2"/>
    <n v="9.1300000000000008"/>
    <n v="0.71"/>
    <n v="4.21"/>
    <n v="17.7241"/>
    <x v="7"/>
    <s v="NA6WR"/>
    <n v="13"/>
    <s v="NA6WR-13"/>
  </r>
  <r>
    <x v="3"/>
    <x v="191"/>
    <s v="1.48-8.36"/>
    <n v="4.92"/>
    <s v="#23"/>
    <x v="2"/>
    <n v="8.36"/>
    <n v="1.48"/>
    <n v="3.44"/>
    <n v="11.833600000000001"/>
    <x v="7"/>
    <s v="NA11WR"/>
    <n v="9"/>
    <s v="NA11WR-9"/>
  </r>
  <r>
    <x v="16"/>
    <x v="188"/>
    <s v="0.85-8.99"/>
    <n v="4.92"/>
    <s v="#18"/>
    <x v="1"/>
    <n v="8.99"/>
    <n v="0.85"/>
    <n v="4.07"/>
    <n v="16.564900000000002"/>
    <x v="7"/>
    <s v="NA3RB"/>
    <n v="18"/>
    <s v="NA3RB-18"/>
  </r>
  <r>
    <x v="5"/>
    <x v="184"/>
    <s v="0.88-8.94"/>
    <n v="4.91"/>
    <s v="#19"/>
    <x v="2"/>
    <n v="8.94"/>
    <n v="0.88"/>
    <n v="4.03"/>
    <n v="16.2409"/>
    <x v="7"/>
    <s v="NA13WR"/>
    <n v="16"/>
    <s v="NA13WR-16"/>
  </r>
  <r>
    <x v="12"/>
    <x v="206"/>
    <s v="0.39-9.43"/>
    <n v="4.91"/>
    <s v="#25"/>
    <x v="2"/>
    <n v="9.43"/>
    <n v="0.39"/>
    <n v="4.5199999999999996"/>
    <n v="20.430399999999999"/>
    <x v="8"/>
    <s v="comp5WR"/>
    <n v="6"/>
    <s v="comp5WR-6"/>
  </r>
  <r>
    <x v="2"/>
    <x v="170"/>
    <s v="1.17-8.65"/>
    <n v="4.91"/>
    <s v="#11"/>
    <x v="3"/>
    <n v="8.65"/>
    <n v="1.17"/>
    <n v="3.74"/>
    <n v="13.9876"/>
    <x v="8"/>
    <s v="comp9TE"/>
    <n v="1"/>
    <s v="comp9TE-1"/>
  </r>
  <r>
    <x v="11"/>
    <x v="170"/>
    <s v="1.05-8.77"/>
    <n v="4.91"/>
    <s v="#10"/>
    <x v="3"/>
    <n v="8.77"/>
    <n v="1.05"/>
    <n v="3.86"/>
    <n v="14.8996"/>
    <x v="8"/>
    <s v="comp14TE"/>
    <n v="2"/>
    <s v="comp14TE-2"/>
  </r>
  <r>
    <x v="0"/>
    <x v="196"/>
    <s v="0.57-9.25"/>
    <n v="4.91"/>
    <s v="#19"/>
    <x v="3"/>
    <n v="9.25"/>
    <n v="0.56999999999999995"/>
    <n v="4.34"/>
    <n v="18.835599999999999"/>
    <x v="4"/>
    <s v="scott17TE"/>
    <n v="2"/>
    <s v="scott17TE-2"/>
  </r>
  <r>
    <x v="12"/>
    <x v="211"/>
    <s v="1.70-8.10"/>
    <n v="4.9000000000000004"/>
    <s v="#27"/>
    <x v="2"/>
    <n v="8.1"/>
    <n v="1.7"/>
    <n v="3.2"/>
    <n v="10.24"/>
    <x v="7"/>
    <s v="NA5WR"/>
    <n v="18"/>
    <s v="NA5WR-18"/>
  </r>
  <r>
    <x v="4"/>
    <x v="203"/>
    <s v="0.33-9.47"/>
    <n v="4.9000000000000004"/>
    <s v="#28"/>
    <x v="2"/>
    <n v="9.4700000000000006"/>
    <n v="0.33"/>
    <n v="4.57"/>
    <n v="20.884899999999998"/>
    <x v="7"/>
    <s v="NA7WR"/>
    <n v="14"/>
    <s v="NA7WR-14"/>
  </r>
  <r>
    <x v="16"/>
    <x v="217"/>
    <s v="1.33-8.47"/>
    <n v="4.9000000000000004"/>
    <s v="#31"/>
    <x v="3"/>
    <n v="8.4700000000000006"/>
    <n v="1.33"/>
    <n v="3.57"/>
    <n v="12.744899999999999"/>
    <x v="7"/>
    <s v="NA3TE"/>
    <n v="3"/>
    <s v="NA3TE-3"/>
  </r>
  <r>
    <x v="7"/>
    <x v="190"/>
    <s v="0.46-9.34"/>
    <n v="4.9000000000000004"/>
    <s v="#27"/>
    <x v="2"/>
    <n v="9.34"/>
    <n v="0.46"/>
    <n v="4.4400000000000004"/>
    <n v="19.7136"/>
    <x v="7"/>
    <s v="NA1WR"/>
    <n v="13"/>
    <s v="NA1WR-13"/>
  </r>
  <r>
    <x v="1"/>
    <x v="208"/>
    <s v="0.74-9.06"/>
    <n v="4.9000000000000004"/>
    <s v="#18"/>
    <x v="2"/>
    <n v="9.06"/>
    <n v="0.74"/>
    <n v="4.16"/>
    <n v="17.305599999999998"/>
    <x v="7"/>
    <s v="NA16WR"/>
    <n v="14"/>
    <s v="NA16WR-14"/>
  </r>
  <r>
    <x v="15"/>
    <x v="170"/>
    <s v="0.91-8.89"/>
    <n v="4.9000000000000004"/>
    <s v="#28"/>
    <x v="3"/>
    <n v="8.89"/>
    <n v="0.91"/>
    <n v="3.99"/>
    <n v="15.9201"/>
    <x v="8"/>
    <s v="comp10TE"/>
    <n v="2"/>
    <s v="comp10TE-2"/>
  </r>
  <r>
    <x v="0"/>
    <x v="192"/>
    <s v="0.93-8.85"/>
    <n v="4.8899999999999997"/>
    <s v="#7"/>
    <x v="3"/>
    <n v="8.85"/>
    <n v="0.93"/>
    <n v="3.96"/>
    <n v="15.6816"/>
    <x v="7"/>
    <s v="NA17TE"/>
    <n v="4"/>
    <s v="NA17TE-4"/>
  </r>
  <r>
    <x v="3"/>
    <x v="184"/>
    <s v="0.66-9.12"/>
    <n v="4.8899999999999997"/>
    <s v="#20"/>
    <x v="2"/>
    <n v="9.1199999999999992"/>
    <n v="0.66"/>
    <n v="4.2300000000000004"/>
    <n v="17.892900000000001"/>
    <x v="7"/>
    <s v="NA11WR"/>
    <n v="10"/>
    <s v="NA11WR-10"/>
  </r>
  <r>
    <x v="8"/>
    <x v="131"/>
    <n v="-10.34"/>
    <n v="4.8899999999999997"/>
    <s v="#4"/>
    <x v="1"/>
    <n v="10.06"/>
    <n v="-0.28000000000000003"/>
    <n v="5.17"/>
    <n v="26.728899999999999"/>
    <x v="7"/>
    <s v="NA6RB"/>
    <n v="13"/>
    <s v="NA6RB-13"/>
  </r>
  <r>
    <x v="12"/>
    <x v="191"/>
    <s v="1.36-8.42"/>
    <n v="4.8899999999999997"/>
    <s v="#15"/>
    <x v="2"/>
    <n v="8.42"/>
    <n v="1.36"/>
    <n v="3.53"/>
    <n v="12.460900000000001"/>
    <x v="7"/>
    <s v="NA5WR"/>
    <n v="19"/>
    <s v="NA5WR-19"/>
  </r>
  <r>
    <x v="11"/>
    <x v="218"/>
    <n v="-12.72"/>
    <n v="4.88"/>
    <s v="#28"/>
    <x v="2"/>
    <n v="11.24"/>
    <n v="-1.48"/>
    <n v="6.36"/>
    <n v="40.449599999999997"/>
    <x v="7"/>
    <s v="NA14WR"/>
    <n v="12"/>
    <s v="NA14WR-12"/>
  </r>
  <r>
    <x v="9"/>
    <x v="204"/>
    <s v="1.33-8.43"/>
    <n v="4.88"/>
    <s v="#4"/>
    <x v="1"/>
    <n v="8.43"/>
    <n v="1.33"/>
    <n v="3.55"/>
    <n v="12.602499999999999"/>
    <x v="7"/>
    <s v="NA15RB"/>
    <n v="13"/>
    <s v="NA15RB-13"/>
  </r>
  <r>
    <x v="2"/>
    <x v="166"/>
    <s v="0.70-9.06"/>
    <n v="4.88"/>
    <s v="#20"/>
    <x v="1"/>
    <n v="9.06"/>
    <n v="0.7"/>
    <n v="4.18"/>
    <n v="17.4724"/>
    <x v="7"/>
    <s v="NA9RB"/>
    <n v="10"/>
    <s v="NA9RB-10"/>
  </r>
  <r>
    <x v="6"/>
    <x v="185"/>
    <s v="0.53-9.23"/>
    <n v="4.88"/>
    <s v="#23"/>
    <x v="2"/>
    <n v="9.23"/>
    <n v="0.53"/>
    <n v="4.3499999999999996"/>
    <n v="18.922499999999999"/>
    <x v="7"/>
    <s v="NA12WR"/>
    <n v="12"/>
    <s v="NA12WR-12"/>
  </r>
  <r>
    <x v="0"/>
    <x v="89"/>
    <s v="1.34-8.40"/>
    <n v="4.87"/>
    <s v="#4"/>
    <x v="2"/>
    <n v="8.4"/>
    <n v="1.34"/>
    <n v="3.53"/>
    <n v="12.460900000000001"/>
    <x v="1"/>
    <s v="perry17WR"/>
    <n v="5"/>
    <s v="perry17WR-5"/>
  </r>
  <r>
    <x v="10"/>
    <x v="172"/>
    <s v="1.22-8.52"/>
    <n v="4.87"/>
    <s v="#18"/>
    <x v="1"/>
    <n v="8.52"/>
    <n v="1.22"/>
    <n v="3.65"/>
    <n v="13.3225"/>
    <x v="7"/>
    <s v="NA2RB"/>
    <n v="13"/>
    <s v="NA2RB-13"/>
  </r>
  <r>
    <x v="10"/>
    <x v="206"/>
    <n v="-11.28"/>
    <n v="4.87"/>
    <s v="#11"/>
    <x v="2"/>
    <n v="10.51"/>
    <n v="-0.77"/>
    <n v="5.64"/>
    <n v="31.8096"/>
    <x v="8"/>
    <s v="comp2WR"/>
    <n v="6"/>
    <s v="comp2WR-6"/>
  </r>
  <r>
    <x v="11"/>
    <x v="191"/>
    <s v="1.36-8.38"/>
    <n v="4.87"/>
    <s v="#21"/>
    <x v="2"/>
    <n v="8.3800000000000008"/>
    <n v="1.36"/>
    <n v="3.51"/>
    <n v="12.3201"/>
    <x v="7"/>
    <s v="NA14WR"/>
    <n v="13"/>
    <s v="NA14WR-13"/>
  </r>
  <r>
    <x v="10"/>
    <x v="140"/>
    <s v="1.15-8.59"/>
    <n v="4.87"/>
    <s v="#5"/>
    <x v="2"/>
    <n v="8.59"/>
    <n v="1.1499999999999999"/>
    <n v="3.72"/>
    <n v="13.8384"/>
    <x v="7"/>
    <s v="NA2WR"/>
    <n v="14"/>
    <s v="NA2WR-14"/>
  </r>
  <r>
    <x v="4"/>
    <x v="169"/>
    <s v="0.80-8.92"/>
    <n v="4.8600000000000003"/>
    <s v="#9"/>
    <x v="1"/>
    <n v="8.92"/>
    <n v="0.8"/>
    <n v="4.0599999999999996"/>
    <n v="16.483599999999999"/>
    <x v="7"/>
    <s v="NA7RB"/>
    <n v="10"/>
    <s v="NA7RB-10"/>
  </r>
  <r>
    <x v="9"/>
    <x v="154"/>
    <s v="0.28-9.44"/>
    <n v="4.8600000000000003"/>
    <s v="#16"/>
    <x v="3"/>
    <n v="9.44"/>
    <n v="0.28000000000000003"/>
    <n v="4.58"/>
    <n v="20.976400000000002"/>
    <x v="7"/>
    <s v="NA15TE"/>
    <n v="3"/>
    <s v="NA15TE-3"/>
  </r>
  <r>
    <x v="6"/>
    <x v="203"/>
    <s v="0.46-9.26"/>
    <n v="4.8600000000000003"/>
    <s v="#9"/>
    <x v="2"/>
    <n v="9.26"/>
    <n v="0.46"/>
    <n v="4.4000000000000004"/>
    <n v="19.36"/>
    <x v="7"/>
    <s v="NA12WR"/>
    <n v="13"/>
    <s v="NA12WR-13"/>
  </r>
  <r>
    <x v="0"/>
    <x v="207"/>
    <s v="0.20-9.52"/>
    <n v="4.8600000000000003"/>
    <s v="#22"/>
    <x v="2"/>
    <n v="9.52"/>
    <n v="0.2"/>
    <n v="4.66"/>
    <n v="21.715599999999998"/>
    <x v="7"/>
    <s v="NA17WR"/>
    <n v="16"/>
    <s v="NA17WR-16"/>
  </r>
  <r>
    <x v="15"/>
    <x v="157"/>
    <s v="0.76-8.96"/>
    <n v="4.8600000000000003"/>
    <s v="#12"/>
    <x v="3"/>
    <n v="8.9600000000000009"/>
    <n v="0.76"/>
    <n v="4.0999999999999996"/>
    <n v="16.809999999999999"/>
    <x v="7"/>
    <s v="NA10TE"/>
    <n v="3"/>
    <s v="NA10TE-3"/>
  </r>
  <r>
    <x v="4"/>
    <x v="208"/>
    <s v="1.44-8.28"/>
    <n v="4.8600000000000003"/>
    <s v="#17"/>
    <x v="2"/>
    <n v="8.2799999999999994"/>
    <n v="1.44"/>
    <n v="3.42"/>
    <n v="11.696400000000001"/>
    <x v="7"/>
    <s v="NA7WR"/>
    <n v="15"/>
    <s v="NA7WR-15"/>
  </r>
  <r>
    <x v="4"/>
    <x v="219"/>
    <s v="1.44-8.26"/>
    <n v="4.8499999999999996"/>
    <s v="#28"/>
    <x v="2"/>
    <n v="8.26"/>
    <n v="1.44"/>
    <n v="3.41"/>
    <n v="11.6281"/>
    <x v="7"/>
    <s v="NA7WR"/>
    <n v="16"/>
    <s v="NA7WR-16"/>
  </r>
  <r>
    <x v="11"/>
    <x v="203"/>
    <s v="0.37-9.33"/>
    <n v="4.8499999999999996"/>
    <s v="#17"/>
    <x v="2"/>
    <n v="9.33"/>
    <n v="0.37"/>
    <n v="4.4800000000000004"/>
    <n v="20.070399999999999"/>
    <x v="7"/>
    <s v="NA14WR"/>
    <n v="14"/>
    <s v="NA14WR-14"/>
  </r>
  <r>
    <x v="1"/>
    <x v="182"/>
    <s v="1.39-8.31"/>
    <n v="4.8499999999999996"/>
    <s v="#16"/>
    <x v="1"/>
    <n v="8.31"/>
    <n v="1.39"/>
    <n v="3.46"/>
    <n v="11.9716"/>
    <x v="7"/>
    <s v="NA16RB"/>
    <n v="14"/>
    <s v="NA16RB-14"/>
  </r>
  <r>
    <x v="7"/>
    <x v="172"/>
    <s v="1.05-8.65"/>
    <n v="4.8499999999999996"/>
    <s v="#4"/>
    <x v="1"/>
    <n v="8.65"/>
    <n v="1.05"/>
    <n v="3.8"/>
    <n v="14.44"/>
    <x v="7"/>
    <s v="NA1RB"/>
    <n v="11"/>
    <s v="NA1RB-11"/>
  </r>
  <r>
    <x v="2"/>
    <x v="206"/>
    <s v="1.05-8.65"/>
    <n v="4.8499999999999996"/>
    <s v="#8"/>
    <x v="2"/>
    <n v="8.65"/>
    <n v="1.05"/>
    <n v="3.8"/>
    <n v="14.44"/>
    <x v="8"/>
    <s v="comp9WR"/>
    <n v="6"/>
    <s v="comp9WR-6"/>
  </r>
  <r>
    <x v="2"/>
    <x v="175"/>
    <s v="1.75-7.95"/>
    <n v="4.8499999999999996"/>
    <s v="#8"/>
    <x v="2"/>
    <n v="7.95"/>
    <n v="1.75"/>
    <n v="3.1"/>
    <n v="9.61"/>
    <x v="7"/>
    <s v="NA9WR"/>
    <n v="12"/>
    <s v="NA9WR-12"/>
  </r>
  <r>
    <x v="16"/>
    <x v="209"/>
    <s v="0.37-9.33"/>
    <n v="4.8499999999999996"/>
    <s v="#16"/>
    <x v="2"/>
    <n v="9.33"/>
    <n v="0.37"/>
    <n v="4.4800000000000004"/>
    <n v="20.070399999999999"/>
    <x v="7"/>
    <s v="NA3WR"/>
    <n v="12"/>
    <s v="NA3WR-12"/>
  </r>
  <r>
    <x v="0"/>
    <x v="209"/>
    <s v="1.14-8.56"/>
    <n v="4.8499999999999996"/>
    <s v="#2"/>
    <x v="2"/>
    <n v="8.56"/>
    <n v="1.1399999999999999"/>
    <n v="3.71"/>
    <n v="13.764099999999999"/>
    <x v="7"/>
    <s v="NA17WR"/>
    <n v="17"/>
    <s v="NA17WR-17"/>
  </r>
  <r>
    <x v="3"/>
    <x v="215"/>
    <s v="1.44-8.24"/>
    <n v="4.84"/>
    <s v="#15"/>
    <x v="3"/>
    <n v="8.24"/>
    <n v="1.44"/>
    <n v="3.4"/>
    <n v="11.56"/>
    <x v="7"/>
    <s v="NA11TE"/>
    <n v="5"/>
    <s v="NA11TE-5"/>
  </r>
  <r>
    <x v="16"/>
    <x v="192"/>
    <s v="0.27-9.41"/>
    <n v="4.84"/>
    <s v="#29"/>
    <x v="3"/>
    <n v="9.41"/>
    <n v="0.27"/>
    <n v="4.57"/>
    <n v="20.884899999999998"/>
    <x v="7"/>
    <s v="NA3TE"/>
    <n v="4"/>
    <s v="NA3TE-4"/>
  </r>
  <r>
    <x v="9"/>
    <x v="169"/>
    <s v="0.88-8.80"/>
    <n v="4.84"/>
    <s v="#28"/>
    <x v="1"/>
    <n v="8.8000000000000007"/>
    <n v="0.88"/>
    <n v="3.96"/>
    <n v="15.6816"/>
    <x v="7"/>
    <s v="NA15RB"/>
    <n v="14"/>
    <s v="NA15RB-14"/>
  </r>
  <r>
    <x v="0"/>
    <x v="169"/>
    <s v="1.15-8.53"/>
    <n v="4.84"/>
    <s v="#24"/>
    <x v="1"/>
    <n v="8.5299999999999994"/>
    <n v="1.1499999999999999"/>
    <n v="3.69"/>
    <n v="13.616099999999999"/>
    <x v="7"/>
    <s v="NA17RB"/>
    <n v="12"/>
    <s v="NA17RB-12"/>
  </r>
  <r>
    <x v="15"/>
    <x v="202"/>
    <s v="1.51-8.17"/>
    <n v="4.84"/>
    <s v="#21"/>
    <x v="2"/>
    <n v="8.17"/>
    <n v="1.51"/>
    <n v="3.33"/>
    <n v="11.088900000000001"/>
    <x v="7"/>
    <s v="NA10WR"/>
    <n v="14"/>
    <s v="NA10WR-14"/>
  </r>
  <r>
    <x v="11"/>
    <x v="202"/>
    <s v="1.50-8.18"/>
    <n v="4.84"/>
    <s v="#17"/>
    <x v="2"/>
    <n v="8.18"/>
    <n v="1.5"/>
    <n v="3.34"/>
    <n v="11.1556"/>
    <x v="7"/>
    <s v="NA14WR"/>
    <n v="15"/>
    <s v="NA14WR-15"/>
  </r>
  <r>
    <x v="3"/>
    <x v="131"/>
    <s v="0.38-9.30"/>
    <n v="4.84"/>
    <s v="#14"/>
    <x v="1"/>
    <n v="9.3000000000000007"/>
    <n v="0.38"/>
    <n v="4.46"/>
    <n v="19.8916"/>
    <x v="7"/>
    <s v="NA11RB"/>
    <n v="9"/>
    <s v="NA11RB-9"/>
  </r>
  <r>
    <x v="9"/>
    <x v="212"/>
    <s v="0.81-8.85"/>
    <n v="4.83"/>
    <s v="#21"/>
    <x v="2"/>
    <n v="8.85"/>
    <n v="0.81"/>
    <n v="4.0199999999999996"/>
    <n v="16.160399999999999"/>
    <x v="7"/>
    <s v="NA15WR"/>
    <n v="14"/>
    <s v="NA15WR-14"/>
  </r>
  <r>
    <x v="10"/>
    <x v="76"/>
    <s v="1.42-8.24"/>
    <n v="4.83"/>
    <s v="#1"/>
    <x v="1"/>
    <n v="8.24"/>
    <n v="1.42"/>
    <n v="3.41"/>
    <n v="11.6281"/>
    <x v="7"/>
    <s v="NA2RB"/>
    <n v="14"/>
    <s v="NA2RB-14"/>
  </r>
  <r>
    <x v="10"/>
    <x v="214"/>
    <n v="-12.16"/>
    <n v="4.83"/>
    <s v="#1"/>
    <x v="2"/>
    <n v="10.91"/>
    <n v="-1.25"/>
    <n v="6.08"/>
    <n v="36.9664"/>
    <x v="7"/>
    <s v="NA2WR"/>
    <n v="15"/>
    <s v="NA2WR-15"/>
  </r>
  <r>
    <x v="15"/>
    <x v="164"/>
    <s v="0.71-8.95"/>
    <n v="4.83"/>
    <s v="#22"/>
    <x v="2"/>
    <n v="8.9499999999999993"/>
    <n v="0.71"/>
    <n v="4.12"/>
    <n v="16.974399999999999"/>
    <x v="7"/>
    <s v="NA10WR"/>
    <n v="15"/>
    <s v="NA10WR-15"/>
  </r>
  <r>
    <x v="9"/>
    <x v="207"/>
    <n v="-10.52"/>
    <n v="4.83"/>
    <s v="#9"/>
    <x v="2"/>
    <n v="10.09"/>
    <n v="-0.43"/>
    <n v="5.26"/>
    <n v="27.6676"/>
    <x v="7"/>
    <s v="NA15WR"/>
    <n v="15"/>
    <s v="NA15WR-15"/>
  </r>
  <r>
    <x v="15"/>
    <x v="153"/>
    <s v="0.95-8.71"/>
    <n v="4.83"/>
    <s v="#3"/>
    <x v="1"/>
    <n v="8.7100000000000009"/>
    <n v="0.95"/>
    <n v="3.88"/>
    <n v="15.054399999999999"/>
    <x v="5"/>
    <s v="cory10RB"/>
    <n v="5"/>
    <s v="cory10RB-5"/>
  </r>
  <r>
    <x v="16"/>
    <x v="181"/>
    <s v="0.43-9.21"/>
    <n v="4.82"/>
    <s v="#14"/>
    <x v="2"/>
    <n v="9.2100000000000009"/>
    <n v="0.43"/>
    <n v="4.3899999999999997"/>
    <n v="19.272099999999998"/>
    <x v="7"/>
    <s v="NA3WR"/>
    <n v="13"/>
    <s v="NA3WR-13"/>
  </r>
  <r>
    <x v="7"/>
    <x v="197"/>
    <s v="0.78-8.84"/>
    <n v="4.8099999999999996"/>
    <s v="#30"/>
    <x v="3"/>
    <n v="8.84"/>
    <n v="0.78"/>
    <n v="4.03"/>
    <n v="16.2409"/>
    <x v="7"/>
    <s v="NA1TE"/>
    <n v="3"/>
    <s v="NA1TE-3"/>
  </r>
  <r>
    <x v="4"/>
    <x v="214"/>
    <n v="-10.220000000000001"/>
    <n v="4.8099999999999996"/>
    <s v="#32"/>
    <x v="2"/>
    <n v="9.92"/>
    <n v="-0.3"/>
    <n v="5.1100000000000003"/>
    <n v="26.112100000000002"/>
    <x v="7"/>
    <s v="NA7WR"/>
    <n v="17"/>
    <s v="NA7WR-17"/>
  </r>
  <r>
    <x v="9"/>
    <x v="166"/>
    <s v="0.22-9.40"/>
    <n v="4.8099999999999996"/>
    <s v="#18"/>
    <x v="1"/>
    <n v="9.4"/>
    <n v="0.22"/>
    <n v="4.59"/>
    <n v="21.068100000000001"/>
    <x v="7"/>
    <s v="NA15RB"/>
    <n v="15"/>
    <s v="NA15RB-15"/>
  </r>
  <r>
    <x v="8"/>
    <x v="175"/>
    <s v="1.73-7.89"/>
    <n v="4.8099999999999996"/>
    <s v="#2"/>
    <x v="2"/>
    <n v="7.89"/>
    <n v="1.73"/>
    <n v="3.08"/>
    <n v="9.4863999999999997"/>
    <x v="7"/>
    <s v="NA6WR"/>
    <n v="14"/>
    <s v="NA6WR-14"/>
  </r>
  <r>
    <x v="7"/>
    <x v="93"/>
    <s v="0.13-9.47"/>
    <n v="4.8"/>
    <s v="#29"/>
    <x v="1"/>
    <n v="9.4700000000000006"/>
    <n v="0.13"/>
    <n v="4.67"/>
    <n v="21.808900000000001"/>
    <x v="7"/>
    <s v="NA1RB"/>
    <n v="12"/>
    <s v="NA1RB-12"/>
  </r>
  <r>
    <x v="14"/>
    <x v="173"/>
    <s v="1.03-8.57"/>
    <n v="4.8"/>
    <s v="#22"/>
    <x v="1"/>
    <n v="8.57"/>
    <n v="1.03"/>
    <n v="3.77"/>
    <n v="14.212899999999999"/>
    <x v="7"/>
    <s v="NA4RB"/>
    <n v="10"/>
    <s v="NA4RB-10"/>
  </r>
  <r>
    <x v="11"/>
    <x v="206"/>
    <s v="0.81-8.79"/>
    <n v="4.8"/>
    <s v="#19"/>
    <x v="2"/>
    <n v="8.7899999999999991"/>
    <n v="0.81"/>
    <n v="3.99"/>
    <n v="15.9201"/>
    <x v="8"/>
    <s v="comp14WR"/>
    <n v="7"/>
    <s v="comp14WR-7"/>
  </r>
  <r>
    <x v="11"/>
    <x v="220"/>
    <s v="0.66-8.92"/>
    <n v="4.79"/>
    <s v="#4"/>
    <x v="3"/>
    <n v="8.92"/>
    <n v="0.66"/>
    <n v="4.13"/>
    <n v="17.056899999999999"/>
    <x v="7"/>
    <s v="NA14TE"/>
    <n v="4"/>
    <s v="NA14TE-4"/>
  </r>
  <r>
    <x v="0"/>
    <x v="100"/>
    <s v="2.15-7.43"/>
    <n v="4.79"/>
    <s v="#6"/>
    <x v="1"/>
    <n v="7.43"/>
    <n v="2.15"/>
    <n v="2.64"/>
    <n v="6.9695999999999998"/>
    <x v="6"/>
    <s v="lucas17RB"/>
    <n v="5"/>
    <s v="lucas17RB-5"/>
  </r>
  <r>
    <x v="7"/>
    <x v="181"/>
    <s v="0.48-9.10"/>
    <n v="4.79"/>
    <s v="#22"/>
    <x v="2"/>
    <n v="9.1"/>
    <n v="0.48"/>
    <n v="4.3099999999999996"/>
    <n v="18.5761"/>
    <x v="7"/>
    <s v="NA1WR"/>
    <n v="14"/>
    <s v="NA1WR-14"/>
  </r>
  <r>
    <x v="9"/>
    <x v="203"/>
    <s v="0.49-9.09"/>
    <n v="4.79"/>
    <s v="#26"/>
    <x v="2"/>
    <n v="9.09"/>
    <n v="0.49"/>
    <n v="4.3"/>
    <n v="18.489999999999998"/>
    <x v="7"/>
    <s v="NA15WR"/>
    <n v="16"/>
    <s v="NA15WR-16"/>
  </r>
  <r>
    <x v="4"/>
    <x v="164"/>
    <s v="1.07-8.51"/>
    <n v="4.79"/>
    <s v="#10"/>
    <x v="2"/>
    <n v="8.51"/>
    <n v="1.07"/>
    <n v="3.72"/>
    <n v="13.8384"/>
    <x v="7"/>
    <s v="NA7WR"/>
    <n v="18"/>
    <s v="NA7WR-18"/>
  </r>
  <r>
    <x v="2"/>
    <x v="157"/>
    <n v="-10.299999999999999"/>
    <n v="4.79"/>
    <s v="#7"/>
    <x v="3"/>
    <n v="9.94"/>
    <n v="-0.36"/>
    <n v="5.15"/>
    <n v="26.522500000000001"/>
    <x v="7"/>
    <s v="NA9TE"/>
    <n v="4"/>
    <s v="NA9TE-4"/>
  </r>
  <r>
    <x v="9"/>
    <x v="157"/>
    <n v="-10.479999999999999"/>
    <n v="4.79"/>
    <s v="#1"/>
    <x v="3"/>
    <n v="10.029999999999999"/>
    <n v="-0.45"/>
    <n v="5.24"/>
    <n v="27.457599999999999"/>
    <x v="7"/>
    <s v="NA15TE"/>
    <n v="4"/>
    <s v="NA15TE-4"/>
  </r>
  <r>
    <x v="16"/>
    <x v="219"/>
    <s v="1.14-8.42"/>
    <n v="4.78"/>
    <s v="#25"/>
    <x v="2"/>
    <n v="8.42"/>
    <n v="1.1399999999999999"/>
    <n v="3.64"/>
    <n v="13.249599999999999"/>
    <x v="7"/>
    <s v="NA3WR"/>
    <n v="14"/>
    <s v="NA3WR-14"/>
  </r>
  <r>
    <x v="0"/>
    <x v="138"/>
    <s v="1.05-8.51"/>
    <n v="4.78"/>
    <s v="#16"/>
    <x v="1"/>
    <n v="8.51"/>
    <n v="1.05"/>
    <n v="3.73"/>
    <n v="13.9129"/>
    <x v="0"/>
    <s v="matty17RB"/>
    <n v="4"/>
    <s v="matty17RB-4"/>
  </r>
  <r>
    <x v="6"/>
    <x v="204"/>
    <s v="1.08-8.48"/>
    <n v="4.78"/>
    <s v="#14"/>
    <x v="1"/>
    <n v="8.48"/>
    <n v="1.08"/>
    <n v="3.7"/>
    <n v="13.69"/>
    <x v="7"/>
    <s v="NA12RB"/>
    <n v="9"/>
    <s v="NA12RB-9"/>
  </r>
  <r>
    <x v="6"/>
    <x v="221"/>
    <s v="0.60-8.96"/>
    <n v="4.78"/>
    <s v="#22"/>
    <x v="1"/>
    <n v="8.9600000000000009"/>
    <n v="0.6"/>
    <n v="4.18"/>
    <n v="17.4724"/>
    <x v="7"/>
    <s v="NA12RB"/>
    <n v="10"/>
    <s v="NA12RB-10"/>
  </r>
  <r>
    <x v="0"/>
    <x v="198"/>
    <s v="1.77-7.79"/>
    <n v="4.78"/>
    <s v="#32"/>
    <x v="1"/>
    <n v="7.79"/>
    <n v="1.77"/>
    <n v="3.01"/>
    <n v="9.0601000000000003"/>
    <x v="7"/>
    <s v="NA17RB"/>
    <n v="13"/>
    <s v="NA17RB-13"/>
  </r>
  <r>
    <x v="9"/>
    <x v="208"/>
    <s v="1.15-8.41"/>
    <n v="4.78"/>
    <s v="#21"/>
    <x v="2"/>
    <n v="8.41"/>
    <n v="1.1499999999999999"/>
    <n v="3.63"/>
    <n v="13.1769"/>
    <x v="7"/>
    <s v="NA15WR"/>
    <n v="17"/>
    <s v="NA15WR-17"/>
  </r>
  <r>
    <x v="8"/>
    <x v="209"/>
    <s v="1.01-8.55"/>
    <n v="4.78"/>
    <s v="#14"/>
    <x v="2"/>
    <n v="8.5500000000000007"/>
    <n v="1.01"/>
    <n v="3.77"/>
    <n v="14.212899999999999"/>
    <x v="7"/>
    <s v="NA6WR"/>
    <n v="15"/>
    <s v="NA6WR-15"/>
  </r>
  <r>
    <x v="6"/>
    <x v="202"/>
    <s v="1.68-7.86"/>
    <n v="4.7699999999999996"/>
    <s v="#9"/>
    <x v="2"/>
    <n v="7.86"/>
    <n v="1.68"/>
    <n v="3.09"/>
    <n v="9.5480999999999998"/>
    <x v="7"/>
    <s v="NA12WR"/>
    <n v="14"/>
    <s v="NA12WR-14"/>
  </r>
  <r>
    <x v="3"/>
    <x v="76"/>
    <s v="1.40-8.14"/>
    <n v="4.7699999999999996"/>
    <s v="#1"/>
    <x v="1"/>
    <n v="8.14"/>
    <n v="1.4"/>
    <n v="3.37"/>
    <n v="11.3569"/>
    <x v="7"/>
    <s v="NA11RB"/>
    <n v="10"/>
    <s v="NA11RB-10"/>
  </r>
  <r>
    <x v="0"/>
    <x v="216"/>
    <s v="1.51-8.03"/>
    <n v="4.7699999999999996"/>
    <s v="#32"/>
    <x v="2"/>
    <n v="8.0299999999999994"/>
    <n v="1.51"/>
    <n v="3.26"/>
    <n v="10.627599999999999"/>
    <x v="7"/>
    <s v="NA17WR"/>
    <n v="18"/>
    <s v="NA17WR-18"/>
  </r>
  <r>
    <x v="4"/>
    <x v="191"/>
    <s v="1.38-8.16"/>
    <n v="4.7699999999999996"/>
    <s v="#22"/>
    <x v="2"/>
    <n v="8.16"/>
    <n v="1.38"/>
    <n v="3.39"/>
    <n v="11.492100000000001"/>
    <x v="7"/>
    <s v="NA7WR"/>
    <n v="19"/>
    <s v="NA7WR-19"/>
  </r>
  <r>
    <x v="10"/>
    <x v="210"/>
    <s v="1.72-7.82"/>
    <n v="4.7699999999999996"/>
    <s v="#30"/>
    <x v="1"/>
    <n v="7.82"/>
    <n v="1.72"/>
    <n v="3.05"/>
    <n v="9.3025000000000002"/>
    <x v="7"/>
    <s v="NA2RB"/>
    <n v="15"/>
    <s v="NA2RB-15"/>
  </r>
  <r>
    <x v="8"/>
    <x v="190"/>
    <s v="1.04-8.50"/>
    <n v="4.7699999999999996"/>
    <s v="#32"/>
    <x v="2"/>
    <n v="8.5"/>
    <n v="1.04"/>
    <n v="3.73"/>
    <n v="13.9129"/>
    <x v="7"/>
    <s v="NA6WR"/>
    <n v="16"/>
    <s v="NA6WR-16"/>
  </r>
  <r>
    <x v="0"/>
    <x v="222"/>
    <s v="0.82-8.70"/>
    <n v="4.76"/>
    <s v="#22"/>
    <x v="2"/>
    <n v="8.6999999999999993"/>
    <n v="0.82"/>
    <n v="3.94"/>
    <n v="15.5236"/>
    <x v="7"/>
    <s v="NA17WR"/>
    <n v="19"/>
    <s v="NA17WR-19"/>
  </r>
  <r>
    <x v="3"/>
    <x v="182"/>
    <s v="1.17-8.35"/>
    <n v="4.76"/>
    <s v="#13"/>
    <x v="1"/>
    <n v="8.35"/>
    <n v="1.17"/>
    <n v="3.59"/>
    <n v="12.8881"/>
    <x v="7"/>
    <s v="NA11RB"/>
    <n v="11"/>
    <s v="NA11RB-11"/>
  </r>
  <r>
    <x v="6"/>
    <x v="207"/>
    <s v="0.46-9.04"/>
    <n v="4.75"/>
    <s v="#12"/>
    <x v="2"/>
    <n v="9.0399999999999991"/>
    <n v="0.46"/>
    <n v="4.29"/>
    <n v="18.4041"/>
    <x v="7"/>
    <s v="NA12WR"/>
    <n v="15"/>
    <s v="NA12WR-15"/>
  </r>
  <r>
    <x v="4"/>
    <x v="165"/>
    <s v="0.13-9.35"/>
    <n v="4.74"/>
    <s v="#22"/>
    <x v="3"/>
    <n v="9.35"/>
    <n v="0.13"/>
    <n v="4.6100000000000003"/>
    <n v="21.252099999999999"/>
    <x v="8"/>
    <s v="comp7TE"/>
    <n v="2"/>
    <s v="comp7TE-2"/>
  </r>
  <r>
    <x v="16"/>
    <x v="186"/>
    <n v="-10.039999999999999"/>
    <n v="4.74"/>
    <s v="#32"/>
    <x v="2"/>
    <n v="9.76"/>
    <n v="-0.28000000000000003"/>
    <n v="5.0199999999999996"/>
    <n v="25.200399999999998"/>
    <x v="7"/>
    <s v="NA3WR"/>
    <n v="15"/>
    <s v="NA3WR-15"/>
  </r>
  <r>
    <x v="3"/>
    <x v="177"/>
    <s v="0.27-9.21"/>
    <n v="4.74"/>
    <s v="#15"/>
    <x v="2"/>
    <n v="9.2100000000000009"/>
    <n v="0.27"/>
    <n v="4.47"/>
    <n v="19.980899999999998"/>
    <x v="7"/>
    <s v="NA11WR"/>
    <n v="11"/>
    <s v="NA11WR-11"/>
  </r>
  <r>
    <x v="15"/>
    <x v="131"/>
    <n v="-9.66"/>
    <n v="4.74"/>
    <s v="#3"/>
    <x v="1"/>
    <n v="9.57"/>
    <n v="-0.09"/>
    <n v="4.83"/>
    <n v="23.328900000000001"/>
    <x v="7"/>
    <s v="NA10RB"/>
    <n v="12"/>
    <s v="NA10RB-12"/>
  </r>
  <r>
    <x v="1"/>
    <x v="207"/>
    <n v="-9.5"/>
    <n v="4.74"/>
    <s v="#31"/>
    <x v="2"/>
    <n v="9.49"/>
    <n v="-0.01"/>
    <n v="4.75"/>
    <n v="22.5625"/>
    <x v="7"/>
    <s v="NA16WR"/>
    <n v="15"/>
    <s v="NA16WR-15"/>
  </r>
  <r>
    <x v="15"/>
    <x v="206"/>
    <s v="0.22-9.26"/>
    <n v="4.74"/>
    <s v="#25"/>
    <x v="2"/>
    <n v="9.26"/>
    <n v="0.22"/>
    <n v="4.5199999999999996"/>
    <n v="20.430399999999999"/>
    <x v="8"/>
    <s v="comp10WR"/>
    <n v="6"/>
    <s v="comp10WR-6"/>
  </r>
  <r>
    <x v="14"/>
    <x v="211"/>
    <s v="0.89-8.57"/>
    <n v="4.7300000000000004"/>
    <s v="#28"/>
    <x v="2"/>
    <n v="8.57"/>
    <n v="0.89"/>
    <n v="3.84"/>
    <n v="14.7456"/>
    <x v="7"/>
    <s v="NA4WR"/>
    <n v="11"/>
    <s v="NA4WR-11"/>
  </r>
  <r>
    <x v="9"/>
    <x v="192"/>
    <s v="0.77-8.69"/>
    <n v="4.7300000000000004"/>
    <s v="#7"/>
    <x v="3"/>
    <n v="8.69"/>
    <n v="0.77"/>
    <n v="3.96"/>
    <n v="15.6816"/>
    <x v="7"/>
    <s v="NA15TE"/>
    <n v="5"/>
    <s v="NA15TE-5"/>
  </r>
  <r>
    <x v="15"/>
    <x v="169"/>
    <s v="0.41-9.05"/>
    <n v="4.7300000000000004"/>
    <s v="#4"/>
    <x v="1"/>
    <n v="9.0500000000000007"/>
    <n v="0.41"/>
    <n v="4.32"/>
    <n v="18.662400000000002"/>
    <x v="7"/>
    <s v="NA10RB"/>
    <n v="13"/>
    <s v="NA10RB-13"/>
  </r>
  <r>
    <x v="5"/>
    <x v="204"/>
    <s v="1.31-8.15"/>
    <n v="4.7300000000000004"/>
    <s v="#2"/>
    <x v="1"/>
    <n v="8.15"/>
    <n v="1.31"/>
    <n v="3.42"/>
    <n v="11.696400000000001"/>
    <x v="7"/>
    <s v="NA13RB"/>
    <n v="15"/>
    <s v="NA13RB-15"/>
  </r>
  <r>
    <x v="4"/>
    <x v="202"/>
    <s v="1.71-7.75"/>
    <n v="4.7300000000000004"/>
    <s v="#28"/>
    <x v="2"/>
    <n v="7.75"/>
    <n v="1.71"/>
    <n v="3.02"/>
    <n v="9.1204000000000001"/>
    <x v="7"/>
    <s v="NA7WR"/>
    <n v="20"/>
    <s v="NA7WR-20"/>
  </r>
  <r>
    <x v="16"/>
    <x v="223"/>
    <s v="0.03-9.43"/>
    <n v="4.7300000000000004"/>
    <s v="#15"/>
    <x v="1"/>
    <n v="9.43"/>
    <n v="0.03"/>
    <n v="4.7"/>
    <n v="22.09"/>
    <x v="7"/>
    <s v="NA3RB"/>
    <n v="19"/>
    <s v="NA3RB-19"/>
  </r>
  <r>
    <x v="10"/>
    <x v="224"/>
    <n v="-10.14"/>
    <n v="4.7300000000000004"/>
    <s v="#27"/>
    <x v="3"/>
    <n v="9.8000000000000007"/>
    <n v="-0.34"/>
    <n v="5.07"/>
    <n v="25.704899999999999"/>
    <x v="7"/>
    <s v="NA2TE"/>
    <n v="4"/>
    <s v="NA2TE-4"/>
  </r>
  <r>
    <x v="8"/>
    <x v="220"/>
    <s v="1.06-8.38"/>
    <n v="4.72"/>
    <s v="#27"/>
    <x v="3"/>
    <n v="8.3800000000000008"/>
    <n v="1.06"/>
    <n v="3.66"/>
    <n v="13.3956"/>
    <x v="7"/>
    <s v="NA6TE"/>
    <n v="3"/>
    <s v="NA6TE-3"/>
  </r>
  <r>
    <x v="13"/>
    <x v="93"/>
    <s v="0.25-9.19"/>
    <n v="4.72"/>
    <s v="#3"/>
    <x v="1"/>
    <n v="9.19"/>
    <n v="0.25"/>
    <n v="4.47"/>
    <n v="19.980899999999998"/>
    <x v="7"/>
    <s v="NA8RB"/>
    <n v="14"/>
    <s v="NA8RB-14"/>
  </r>
  <r>
    <x v="10"/>
    <x v="215"/>
    <s v="0.53-8.89"/>
    <n v="4.71"/>
    <s v="#17"/>
    <x v="3"/>
    <n v="8.89"/>
    <n v="0.53"/>
    <n v="4.18"/>
    <n v="17.4724"/>
    <x v="7"/>
    <s v="NA2TE"/>
    <n v="5"/>
    <s v="NA2TE-5"/>
  </r>
  <r>
    <x v="1"/>
    <x v="174"/>
    <s v="0.27-9.15"/>
    <n v="4.71"/>
    <s v="#10"/>
    <x v="2"/>
    <n v="9.15"/>
    <n v="0.27"/>
    <n v="4.4400000000000004"/>
    <n v="19.7136"/>
    <x v="7"/>
    <s v="NA16WR"/>
    <n v="16"/>
    <s v="NA16WR-16"/>
  </r>
  <r>
    <x v="5"/>
    <x v="222"/>
    <s v="0.85-8.57"/>
    <n v="4.71"/>
    <s v="#30"/>
    <x v="2"/>
    <n v="8.57"/>
    <n v="0.85"/>
    <n v="3.86"/>
    <n v="14.8996"/>
    <x v="7"/>
    <s v="NA13WR"/>
    <n v="17"/>
    <s v="NA13WR-17"/>
  </r>
  <r>
    <x v="11"/>
    <x v="204"/>
    <s v="1.03-8.39"/>
    <n v="4.71"/>
    <s v="#9"/>
    <x v="1"/>
    <n v="8.39"/>
    <n v="1.03"/>
    <n v="3.68"/>
    <n v="13.542400000000001"/>
    <x v="7"/>
    <s v="NA14RB"/>
    <n v="12"/>
    <s v="NA14RB-12"/>
  </r>
  <r>
    <x v="16"/>
    <x v="118"/>
    <s v="0.79-8.63"/>
    <n v="4.71"/>
    <s v="#7"/>
    <x v="2"/>
    <n v="8.6300000000000008"/>
    <n v="0.79"/>
    <n v="3.92"/>
    <n v="15.366400000000001"/>
    <x v="5"/>
    <s v="cory3WR"/>
    <n v="5"/>
    <s v="cory3WR-5"/>
  </r>
  <r>
    <x v="14"/>
    <x v="175"/>
    <s v="1.16-8.26"/>
    <n v="4.71"/>
    <s v="#18"/>
    <x v="2"/>
    <n v="8.26"/>
    <n v="1.1599999999999999"/>
    <n v="3.55"/>
    <n v="12.602499999999999"/>
    <x v="7"/>
    <s v="NA4WR"/>
    <n v="12"/>
    <s v="NA4WR-12"/>
  </r>
  <r>
    <x v="15"/>
    <x v="219"/>
    <s v="1.30-8.10"/>
    <n v="4.7"/>
    <s v="#21"/>
    <x v="2"/>
    <n v="8.1"/>
    <n v="1.3"/>
    <n v="3.4"/>
    <n v="11.56"/>
    <x v="7"/>
    <s v="NA10WR"/>
    <n v="16"/>
    <s v="NA10WR-16"/>
  </r>
  <r>
    <x v="11"/>
    <x v="211"/>
    <s v="1.01-8.39"/>
    <n v="4.7"/>
    <s v="#6"/>
    <x v="2"/>
    <n v="8.39"/>
    <n v="1.01"/>
    <n v="3.69"/>
    <n v="13.616099999999999"/>
    <x v="7"/>
    <s v="NA14WR"/>
    <n v="16"/>
    <s v="NA14WR-16"/>
  </r>
  <r>
    <x v="3"/>
    <x v="225"/>
    <s v="1.46-7.94"/>
    <n v="4.7"/>
    <s v="#25"/>
    <x v="1"/>
    <n v="7.94"/>
    <n v="1.46"/>
    <n v="3.24"/>
    <n v="10.4976"/>
    <x v="7"/>
    <s v="NA11RB"/>
    <n v="12"/>
    <s v="NA11RB-12"/>
  </r>
  <r>
    <x v="8"/>
    <x v="202"/>
    <s v="0.79-8.61"/>
    <n v="4.7"/>
    <s v="#5"/>
    <x v="2"/>
    <n v="8.61"/>
    <n v="0.79"/>
    <n v="3.91"/>
    <n v="15.2881"/>
    <x v="7"/>
    <s v="NA6WR"/>
    <n v="17"/>
    <s v="NA6WR-17"/>
  </r>
  <r>
    <x v="12"/>
    <x v="187"/>
    <s v="0.27-9.13"/>
    <n v="4.7"/>
    <s v="#2"/>
    <x v="3"/>
    <n v="9.1300000000000008"/>
    <n v="0.27"/>
    <n v="4.43"/>
    <n v="19.6249"/>
    <x v="7"/>
    <s v="NA5TE"/>
    <n v="3"/>
    <s v="NA5TE-3"/>
  </r>
  <r>
    <x v="5"/>
    <x v="206"/>
    <s v="0.79-8.61"/>
    <n v="4.7"/>
    <s v="#15"/>
    <x v="2"/>
    <n v="8.61"/>
    <n v="0.79"/>
    <n v="3.91"/>
    <n v="15.2881"/>
    <x v="8"/>
    <s v="comp13WR"/>
    <n v="7"/>
    <s v="comp13WR-7"/>
  </r>
  <r>
    <x v="15"/>
    <x v="89"/>
    <s v="1.50-7.88"/>
    <n v="4.6900000000000004"/>
    <s v="#14"/>
    <x v="2"/>
    <n v="7.88"/>
    <n v="1.5"/>
    <n v="3.19"/>
    <n v="10.1761"/>
    <x v="1"/>
    <s v="perry10WR"/>
    <n v="4"/>
    <s v="perry10WR-4"/>
  </r>
  <r>
    <x v="10"/>
    <x v="169"/>
    <s v="0.69-8.69"/>
    <n v="4.6900000000000004"/>
    <s v="#20"/>
    <x v="1"/>
    <n v="8.69"/>
    <n v="0.69"/>
    <n v="4"/>
    <n v="16"/>
    <x v="7"/>
    <s v="NA2RB"/>
    <n v="16"/>
    <s v="NA2RB-16"/>
  </r>
  <r>
    <x v="5"/>
    <x v="202"/>
    <s v="0.94-8.44"/>
    <n v="4.6900000000000004"/>
    <s v="#11"/>
    <x v="2"/>
    <n v="8.44"/>
    <n v="0.94"/>
    <n v="3.75"/>
    <n v="14.0625"/>
    <x v="7"/>
    <s v="NA13WR"/>
    <n v="18"/>
    <s v="NA13WR-18"/>
  </r>
  <r>
    <x v="8"/>
    <x v="181"/>
    <s v="0.85-8.53"/>
    <n v="4.6900000000000004"/>
    <s v="#23"/>
    <x v="2"/>
    <n v="8.5299999999999994"/>
    <n v="0.85"/>
    <n v="3.84"/>
    <n v="14.7456"/>
    <x v="7"/>
    <s v="NA6WR"/>
    <n v="18"/>
    <s v="NA6WR-18"/>
  </r>
  <r>
    <x v="8"/>
    <x v="196"/>
    <s v="0.35-9.03"/>
    <n v="4.6900000000000004"/>
    <s v="#19"/>
    <x v="3"/>
    <n v="9.0299999999999994"/>
    <n v="0.35"/>
    <n v="4.34"/>
    <n v="18.835599999999999"/>
    <x v="4"/>
    <s v="scott6TE"/>
    <n v="2"/>
    <s v="scott6TE-2"/>
  </r>
  <r>
    <x v="6"/>
    <x v="219"/>
    <s v="1.34-8.02"/>
    <n v="4.68"/>
    <s v="#9"/>
    <x v="2"/>
    <n v="8.02"/>
    <n v="1.34"/>
    <n v="3.34"/>
    <n v="11.1556"/>
    <x v="7"/>
    <s v="NA12WR"/>
    <n v="16"/>
    <s v="NA12WR-16"/>
  </r>
  <r>
    <x v="6"/>
    <x v="89"/>
    <s v="1.15-8.21"/>
    <n v="4.68"/>
    <s v="#4"/>
    <x v="2"/>
    <n v="8.2100000000000009"/>
    <n v="1.1499999999999999"/>
    <n v="3.53"/>
    <n v="12.460900000000001"/>
    <x v="1"/>
    <s v="perry12WR"/>
    <n v="4"/>
    <s v="perry12WR-4"/>
  </r>
  <r>
    <x v="8"/>
    <x v="150"/>
    <s v="0.77-8.59"/>
    <n v="4.68"/>
    <s v="#23"/>
    <x v="1"/>
    <n v="8.59"/>
    <n v="0.77"/>
    <n v="3.91"/>
    <n v="15.2881"/>
    <x v="7"/>
    <s v="NA6RB"/>
    <n v="14"/>
    <s v="NA6RB-14"/>
  </r>
  <r>
    <x v="8"/>
    <x v="206"/>
    <s v="1.08-8.28"/>
    <n v="4.68"/>
    <s v="#2"/>
    <x v="2"/>
    <n v="8.2799999999999994"/>
    <n v="1.08"/>
    <n v="3.6"/>
    <n v="12.96"/>
    <x v="8"/>
    <s v="comp6WR"/>
    <n v="7"/>
    <s v="comp6WR-7"/>
  </r>
  <r>
    <x v="6"/>
    <x v="191"/>
    <s v="1.33-8.03"/>
    <n v="4.68"/>
    <s v="#30"/>
    <x v="2"/>
    <n v="8.0299999999999994"/>
    <n v="1.33"/>
    <n v="3.35"/>
    <n v="11.2225"/>
    <x v="7"/>
    <s v="NA12WR"/>
    <n v="17"/>
    <s v="NA12WR-17"/>
  </r>
  <r>
    <x v="16"/>
    <x v="151"/>
    <s v="1.63-7.71"/>
    <n v="4.67"/>
    <s v="#4"/>
    <x v="1"/>
    <n v="7.71"/>
    <n v="1.63"/>
    <n v="3.04"/>
    <n v="9.2416"/>
    <x v="7"/>
    <s v="NA3RB"/>
    <n v="20"/>
    <s v="NA3RB-20"/>
  </r>
  <r>
    <x v="15"/>
    <x v="179"/>
    <s v="0.73-8.61"/>
    <n v="4.67"/>
    <s v="#3"/>
    <x v="3"/>
    <n v="8.61"/>
    <n v="0.73"/>
    <n v="3.94"/>
    <n v="15.5236"/>
    <x v="2"/>
    <s v="devon10TE"/>
    <n v="2"/>
    <s v="devon10TE-2"/>
  </r>
  <r>
    <x v="6"/>
    <x v="131"/>
    <s v="0.84-8.50"/>
    <n v="4.67"/>
    <s v="#24"/>
    <x v="1"/>
    <n v="8.5"/>
    <n v="0.84"/>
    <n v="3.83"/>
    <n v="14.668900000000001"/>
    <x v="7"/>
    <s v="NA12RB"/>
    <n v="11"/>
    <s v="NA12RB-11"/>
  </r>
  <r>
    <x v="2"/>
    <x v="207"/>
    <n v="-9.379999999999999"/>
    <n v="4.67"/>
    <s v="#14"/>
    <x v="2"/>
    <n v="9.36"/>
    <n v="-0.02"/>
    <n v="4.6900000000000004"/>
    <n v="21.996099999999998"/>
    <x v="7"/>
    <s v="NA9WR"/>
    <n v="13"/>
    <s v="NA9WR-13"/>
  </r>
  <r>
    <x v="12"/>
    <x v="178"/>
    <s v="0.59-8.75"/>
    <n v="4.67"/>
    <s v="#16"/>
    <x v="2"/>
    <n v="8.75"/>
    <n v="0.59"/>
    <n v="4.08"/>
    <n v="16.6464"/>
    <x v="7"/>
    <s v="NA5WR"/>
    <n v="20"/>
    <s v="NA5WR-20"/>
  </r>
  <r>
    <x v="11"/>
    <x v="135"/>
    <s v="1.56-7.78"/>
    <n v="4.67"/>
    <s v="#13"/>
    <x v="1"/>
    <n v="7.78"/>
    <n v="1.56"/>
    <n v="3.11"/>
    <n v="9.6721000000000004"/>
    <x v="7"/>
    <s v="NA14RB"/>
    <n v="13"/>
    <s v="NA14RB-13"/>
  </r>
  <r>
    <x v="6"/>
    <x v="170"/>
    <s v="0.68-8.66"/>
    <n v="4.67"/>
    <s v="#28"/>
    <x v="3"/>
    <n v="8.66"/>
    <n v="0.68"/>
    <n v="3.99"/>
    <n v="15.9201"/>
    <x v="8"/>
    <s v="comp12TE"/>
    <n v="2"/>
    <s v="comp12TE-2"/>
  </r>
  <r>
    <x v="11"/>
    <x v="175"/>
    <s v="1.66-7.68"/>
    <n v="4.67"/>
    <s v="#19"/>
    <x v="2"/>
    <n v="7.68"/>
    <n v="1.66"/>
    <n v="3.01"/>
    <n v="9.0601000000000003"/>
    <x v="7"/>
    <s v="NA14WR"/>
    <n v="17"/>
    <s v="NA14WR-17"/>
  </r>
  <r>
    <x v="16"/>
    <x v="211"/>
    <s v="0.83-8.49"/>
    <n v="4.66"/>
    <s v="#8"/>
    <x v="2"/>
    <n v="8.49"/>
    <n v="0.83"/>
    <n v="3.83"/>
    <n v="14.668900000000001"/>
    <x v="7"/>
    <s v="NA3WR"/>
    <n v="16"/>
    <s v="NA3WR-16"/>
  </r>
  <r>
    <x v="10"/>
    <x v="134"/>
    <s v="1.32-8.00"/>
    <n v="4.66"/>
    <s v="#19"/>
    <x v="1"/>
    <n v="8"/>
    <n v="1.32"/>
    <n v="3.34"/>
    <n v="11.1556"/>
    <x v="3"/>
    <s v="chad2RB"/>
    <n v="5"/>
    <s v="chad2RB-5"/>
  </r>
  <r>
    <x v="0"/>
    <x v="164"/>
    <s v="0.94-8.38"/>
    <n v="4.66"/>
    <s v="#10"/>
    <x v="2"/>
    <n v="8.3800000000000008"/>
    <n v="0.94"/>
    <n v="3.72"/>
    <n v="13.8384"/>
    <x v="7"/>
    <s v="NA17WR"/>
    <n v="20"/>
    <s v="NA17WR-20"/>
  </r>
  <r>
    <x v="15"/>
    <x v="208"/>
    <s v="1.34-7.98"/>
    <n v="4.66"/>
    <s v="#28"/>
    <x v="2"/>
    <n v="7.98"/>
    <n v="1.34"/>
    <n v="3.32"/>
    <n v="11.022399999999999"/>
    <x v="7"/>
    <s v="NA10WR"/>
    <n v="17"/>
    <s v="NA10WR-17"/>
  </r>
  <r>
    <x v="12"/>
    <x v="219"/>
    <s v="1.07-8.23"/>
    <n v="4.6500000000000004"/>
    <s v="#19"/>
    <x v="2"/>
    <n v="8.23"/>
    <n v="1.07"/>
    <n v="3.58"/>
    <n v="12.8164"/>
    <x v="7"/>
    <s v="NA5WR"/>
    <n v="21"/>
    <s v="NA5WR-21"/>
  </r>
  <r>
    <x v="3"/>
    <x v="176"/>
    <s v="0.53-8.77"/>
    <n v="4.6500000000000004"/>
    <s v="#21"/>
    <x v="2"/>
    <n v="8.77"/>
    <n v="0.53"/>
    <n v="4.12"/>
    <n v="16.974399999999999"/>
    <x v="7"/>
    <s v="NA11WR"/>
    <n v="12"/>
    <s v="NA11WR-12"/>
  </r>
  <r>
    <x v="7"/>
    <x v="134"/>
    <s v="0.94-8.36"/>
    <n v="4.6500000000000004"/>
    <s v="#11"/>
    <x v="1"/>
    <n v="8.36"/>
    <n v="0.94"/>
    <n v="3.71"/>
    <n v="13.764099999999999"/>
    <x v="3"/>
    <s v="chad1RB"/>
    <n v="5"/>
    <s v="chad1RB-5"/>
  </r>
  <r>
    <x v="7"/>
    <x v="207"/>
    <s v="0.89-8.41"/>
    <n v="4.6500000000000004"/>
    <s v="#7"/>
    <x v="2"/>
    <n v="8.41"/>
    <n v="0.89"/>
    <n v="3.76"/>
    <n v="14.137600000000001"/>
    <x v="7"/>
    <s v="NA1WR"/>
    <n v="15"/>
    <s v="NA1WR-15"/>
  </r>
  <r>
    <x v="4"/>
    <x v="207"/>
    <s v="0.36-8.94"/>
    <n v="4.6500000000000004"/>
    <s v="#12"/>
    <x v="2"/>
    <n v="8.94"/>
    <n v="0.36"/>
    <n v="4.29"/>
    <n v="18.4041"/>
    <x v="7"/>
    <s v="NA7WR"/>
    <n v="21"/>
    <s v="NA7WR-21"/>
  </r>
  <r>
    <x v="1"/>
    <x v="212"/>
    <s v="0.29-8.99"/>
    <n v="4.6399999999999997"/>
    <s v="#18"/>
    <x v="2"/>
    <n v="8.99"/>
    <n v="0.28999999999999998"/>
    <n v="4.3499999999999996"/>
    <n v="18.922499999999999"/>
    <x v="7"/>
    <s v="NA16WR"/>
    <n v="17"/>
    <s v="NA16WR-17"/>
  </r>
  <r>
    <x v="12"/>
    <x v="89"/>
    <s v="1.34-7.94"/>
    <n v="4.6399999999999997"/>
    <s v="#9"/>
    <x v="2"/>
    <n v="7.94"/>
    <n v="1.34"/>
    <n v="3.3"/>
    <n v="10.89"/>
    <x v="1"/>
    <s v="perry5WR"/>
    <n v="5"/>
    <s v="perry5WR-5"/>
  </r>
  <r>
    <x v="16"/>
    <x v="202"/>
    <s v="1.69-7.59"/>
    <n v="4.6399999999999997"/>
    <s v="#25"/>
    <x v="2"/>
    <n v="7.59"/>
    <n v="1.69"/>
    <n v="2.95"/>
    <n v="8.7025000000000006"/>
    <x v="7"/>
    <s v="NA3WR"/>
    <n v="17"/>
    <s v="NA3WR-17"/>
  </r>
  <r>
    <x v="2"/>
    <x v="193"/>
    <n v="-9.44"/>
    <n v="4.6399999999999997"/>
    <s v="#27"/>
    <x v="3"/>
    <n v="9.36"/>
    <n v="-0.08"/>
    <n v="4.72"/>
    <n v="22.278400000000001"/>
    <x v="7"/>
    <s v="NA9TE"/>
    <n v="5"/>
    <s v="NA9TE-5"/>
  </r>
  <r>
    <x v="5"/>
    <x v="207"/>
    <n v="-9.48"/>
    <n v="4.6399999999999997"/>
    <s v="#30"/>
    <x v="2"/>
    <n v="9.3800000000000008"/>
    <n v="-0.1"/>
    <n v="4.74"/>
    <n v="22.467600000000001"/>
    <x v="7"/>
    <s v="NA13WR"/>
    <n v="19"/>
    <s v="NA13WR-19"/>
  </r>
  <r>
    <x v="5"/>
    <x v="212"/>
    <s v="0.07-9.19"/>
    <n v="4.63"/>
    <s v="#22"/>
    <x v="2"/>
    <n v="9.19"/>
    <n v="7.0000000000000007E-2"/>
    <n v="4.5599999999999996"/>
    <n v="20.793600000000001"/>
    <x v="7"/>
    <s v="NA13WR"/>
    <n v="20"/>
    <s v="NA13WR-20"/>
  </r>
  <r>
    <x v="11"/>
    <x v="187"/>
    <s v="0.76-8.50"/>
    <n v="4.63"/>
    <s v="#32"/>
    <x v="3"/>
    <n v="8.5"/>
    <n v="0.76"/>
    <n v="3.87"/>
    <n v="14.976900000000001"/>
    <x v="7"/>
    <s v="NA14TE"/>
    <n v="5"/>
    <s v="NA14TE-5"/>
  </r>
  <r>
    <x v="11"/>
    <x v="214"/>
    <n v="-9.6399999999999988"/>
    <n v="4.63"/>
    <s v="#20"/>
    <x v="2"/>
    <n v="9.4499999999999993"/>
    <n v="-0.19"/>
    <n v="4.82"/>
    <n v="23.232399999999998"/>
    <x v="7"/>
    <s v="NA14WR"/>
    <n v="18"/>
    <s v="NA14WR-18"/>
  </r>
  <r>
    <x v="1"/>
    <x v="176"/>
    <s v="0.86-8.38"/>
    <n v="4.62"/>
    <s v="#32"/>
    <x v="2"/>
    <n v="8.3800000000000008"/>
    <n v="0.86"/>
    <n v="3.76"/>
    <n v="14.137600000000001"/>
    <x v="7"/>
    <s v="NA16WR"/>
    <n v="18"/>
    <s v="NA16WR-18"/>
  </r>
  <r>
    <x v="11"/>
    <x v="161"/>
    <s v="1.32-7.92"/>
    <n v="4.62"/>
    <s v="#2"/>
    <x v="1"/>
    <n v="7.92"/>
    <n v="1.32"/>
    <n v="3.3"/>
    <n v="10.89"/>
    <x v="7"/>
    <s v="NA14RB"/>
    <n v="14"/>
    <s v="NA14RB-14"/>
  </r>
  <r>
    <x v="13"/>
    <x v="204"/>
    <s v="1.13-8.11"/>
    <n v="4.62"/>
    <s v="#24"/>
    <x v="1"/>
    <n v="8.11"/>
    <n v="1.1299999999999999"/>
    <n v="3.49"/>
    <n v="12.180099999999999"/>
    <x v="7"/>
    <s v="NA8RB"/>
    <n v="15"/>
    <s v="NA8RB-15"/>
  </r>
  <r>
    <x v="6"/>
    <x v="135"/>
    <s v="1.55-7.69"/>
    <n v="4.62"/>
    <s v="#5"/>
    <x v="1"/>
    <n v="7.69"/>
    <n v="1.55"/>
    <n v="3.07"/>
    <n v="9.4248999999999992"/>
    <x v="7"/>
    <s v="NA12RB"/>
    <n v="12"/>
    <s v="NA12RB-12"/>
  </r>
  <r>
    <x v="8"/>
    <x v="212"/>
    <s v="0.22-9.00"/>
    <n v="4.6100000000000003"/>
    <s v="#24"/>
    <x v="2"/>
    <n v="9"/>
    <n v="0.22"/>
    <n v="4.3899999999999997"/>
    <n v="19.272099999999998"/>
    <x v="7"/>
    <s v="NA6WR"/>
    <n v="19"/>
    <s v="NA6WR-19"/>
  </r>
  <r>
    <x v="10"/>
    <x v="165"/>
    <s v="0.51-8.71"/>
    <n v="4.6100000000000003"/>
    <s v="#7"/>
    <x v="3"/>
    <n v="8.7100000000000009"/>
    <n v="0.51"/>
    <n v="4.0999999999999996"/>
    <n v="16.809999999999999"/>
    <x v="8"/>
    <s v="comp2TE"/>
    <n v="2"/>
    <s v="comp2TE-2"/>
  </r>
  <r>
    <x v="9"/>
    <x v="215"/>
    <s v="0.98-8.24"/>
    <n v="4.6100000000000003"/>
    <s v="#12"/>
    <x v="3"/>
    <n v="8.24"/>
    <n v="0.98"/>
    <n v="3.63"/>
    <n v="13.1769"/>
    <x v="7"/>
    <s v="NA15TE"/>
    <n v="6"/>
    <s v="NA15TE-6"/>
  </r>
  <r>
    <x v="0"/>
    <x v="202"/>
    <s v="0.86-8.36"/>
    <n v="4.6100000000000003"/>
    <s v="#11"/>
    <x v="2"/>
    <n v="8.36"/>
    <n v="0.86"/>
    <n v="3.75"/>
    <n v="14.0625"/>
    <x v="7"/>
    <s v="NA17WR"/>
    <n v="21"/>
    <s v="NA17WR-21"/>
  </r>
  <r>
    <x v="16"/>
    <x v="134"/>
    <s v="1.21-8.01"/>
    <n v="4.6100000000000003"/>
    <s v="#16"/>
    <x v="1"/>
    <n v="8.01"/>
    <n v="1.21"/>
    <n v="3.4"/>
    <n v="11.56"/>
    <x v="3"/>
    <s v="chad3RB"/>
    <n v="5"/>
    <s v="chad3RB-5"/>
  </r>
  <r>
    <x v="5"/>
    <x v="176"/>
    <s v="0.44-8.76"/>
    <n v="4.5999999999999996"/>
    <s v="#18"/>
    <x v="2"/>
    <n v="8.76"/>
    <n v="0.44"/>
    <n v="4.16"/>
    <n v="17.305599999999998"/>
    <x v="7"/>
    <s v="NA13WR"/>
    <n v="21"/>
    <s v="NA13WR-21"/>
  </r>
  <r>
    <x v="4"/>
    <x v="161"/>
    <s v="0.00-9.20"/>
    <n v="4.5999999999999996"/>
    <s v="#6"/>
    <x v="1"/>
    <n v="9.1999999999999993"/>
    <n v="0"/>
    <n v="4.5999999999999996"/>
    <n v="21.16"/>
    <x v="7"/>
    <s v="NA7RB"/>
    <n v="11"/>
    <s v="NA7RB-11"/>
  </r>
  <r>
    <x v="6"/>
    <x v="216"/>
    <s v="1.15-8.05"/>
    <n v="4.5999999999999996"/>
    <s v="#1"/>
    <x v="2"/>
    <n v="8.0500000000000007"/>
    <n v="1.1499999999999999"/>
    <n v="3.45"/>
    <n v="11.9025"/>
    <x v="7"/>
    <s v="NA12WR"/>
    <n v="18"/>
    <s v="NA12WR-18"/>
  </r>
  <r>
    <x v="7"/>
    <x v="176"/>
    <s v="1.39-7.79"/>
    <n v="4.59"/>
    <s v="#16"/>
    <x v="2"/>
    <n v="7.79"/>
    <n v="1.39"/>
    <n v="3.2"/>
    <n v="10.24"/>
    <x v="7"/>
    <s v="NA1WR"/>
    <n v="16"/>
    <s v="NA1WR-16"/>
  </r>
  <r>
    <x v="9"/>
    <x v="218"/>
    <n v="-12.96"/>
    <n v="4.59"/>
    <s v="#29"/>
    <x v="2"/>
    <n v="11.07"/>
    <n v="-1.89"/>
    <n v="6.48"/>
    <n v="41.990400000000001"/>
    <x v="7"/>
    <s v="NA15WR"/>
    <n v="18"/>
    <s v="NA15WR-18"/>
  </r>
  <r>
    <x v="16"/>
    <x v="174"/>
    <n v="-9.92"/>
    <n v="4.59"/>
    <s v="#5"/>
    <x v="2"/>
    <n v="9.5500000000000007"/>
    <n v="-0.37"/>
    <n v="4.96"/>
    <n v="24.601600000000001"/>
    <x v="7"/>
    <s v="NA3WR"/>
    <n v="18"/>
    <s v="NA3WR-18"/>
  </r>
  <r>
    <x v="7"/>
    <x v="114"/>
    <s v="0.13-9.05"/>
    <n v="4.59"/>
    <s v="#10"/>
    <x v="3"/>
    <n v="9.0500000000000007"/>
    <n v="0.13"/>
    <n v="4.46"/>
    <n v="19.8916"/>
    <x v="3"/>
    <s v="chad1TE"/>
    <n v="1"/>
    <s v="chad1TE-1"/>
  </r>
  <r>
    <x v="9"/>
    <x v="191"/>
    <s v="1.30-7.88"/>
    <n v="4.59"/>
    <s v="#13"/>
    <x v="2"/>
    <n v="7.88"/>
    <n v="1.3"/>
    <n v="3.29"/>
    <n v="10.8241"/>
    <x v="7"/>
    <s v="NA15WR"/>
    <n v="19"/>
    <s v="NA15WR-19"/>
  </r>
  <r>
    <x v="1"/>
    <x v="196"/>
    <s v="0.46-8.72"/>
    <n v="4.59"/>
    <s v="#30"/>
    <x v="3"/>
    <n v="8.7200000000000006"/>
    <n v="0.46"/>
    <n v="4.13"/>
    <n v="17.056899999999999"/>
    <x v="4"/>
    <s v="scott16TE"/>
    <n v="2"/>
    <s v="scott16TE-2"/>
  </r>
  <r>
    <x v="2"/>
    <x v="222"/>
    <s v="1.22-7.94"/>
    <n v="4.58"/>
    <s v="#14"/>
    <x v="2"/>
    <n v="7.94"/>
    <n v="1.22"/>
    <n v="3.36"/>
    <n v="11.2896"/>
    <x v="7"/>
    <s v="NA9WR"/>
    <n v="14"/>
    <s v="NA9WR-14"/>
  </r>
  <r>
    <x v="9"/>
    <x v="193"/>
    <s v="0.26-8.90"/>
    <n v="4.58"/>
    <s v="#2"/>
    <x v="3"/>
    <n v="8.9"/>
    <n v="0.26"/>
    <n v="4.32"/>
    <n v="18.662400000000002"/>
    <x v="7"/>
    <s v="NA15TE"/>
    <n v="7"/>
    <s v="NA15TE-7"/>
  </r>
  <r>
    <x v="11"/>
    <x v="208"/>
    <s v="1.26-7.90"/>
    <n v="4.58"/>
    <s v="#10"/>
    <x v="2"/>
    <n v="7.9"/>
    <n v="1.26"/>
    <n v="3.32"/>
    <n v="11.022399999999999"/>
    <x v="7"/>
    <s v="NA14WR"/>
    <n v="19"/>
    <s v="NA14WR-19"/>
  </r>
  <r>
    <x v="14"/>
    <x v="219"/>
    <s v="0.96-8.18"/>
    <n v="4.57"/>
    <s v="#17"/>
    <x v="2"/>
    <n v="8.18"/>
    <n v="0.96"/>
    <n v="3.61"/>
    <n v="13.0321"/>
    <x v="7"/>
    <s v="NA4WR"/>
    <n v="13"/>
    <s v="NA4WR-13"/>
  </r>
  <r>
    <x v="15"/>
    <x v="93"/>
    <s v="0.72-8.42"/>
    <n v="4.57"/>
    <s v="#23"/>
    <x v="1"/>
    <n v="8.42"/>
    <n v="0.72"/>
    <n v="3.85"/>
    <n v="14.8225"/>
    <x v="7"/>
    <s v="NA10RB"/>
    <n v="14"/>
    <s v="NA10RB-14"/>
  </r>
  <r>
    <x v="13"/>
    <x v="216"/>
    <s v="1.75-7.39"/>
    <n v="4.57"/>
    <s v="#9"/>
    <x v="2"/>
    <n v="7.39"/>
    <n v="1.75"/>
    <n v="2.82"/>
    <n v="7.9523999999999999"/>
    <x v="7"/>
    <s v="NA8WR"/>
    <n v="16"/>
    <s v="NA8WR-16"/>
  </r>
  <r>
    <x v="1"/>
    <x v="206"/>
    <s v="0.79-8.35"/>
    <n v="4.57"/>
    <s v="#1"/>
    <x v="2"/>
    <n v="8.35"/>
    <n v="0.79"/>
    <n v="3.78"/>
    <n v="14.288399999999999"/>
    <x v="8"/>
    <s v="comp16WR"/>
    <n v="7"/>
    <s v="comp16WR-7"/>
  </r>
  <r>
    <x v="15"/>
    <x v="211"/>
    <s v="0.87-8.25"/>
    <n v="4.5599999999999996"/>
    <s v="#6"/>
    <x v="2"/>
    <n v="8.25"/>
    <n v="0.87"/>
    <n v="3.69"/>
    <n v="13.616099999999999"/>
    <x v="7"/>
    <s v="NA10WR"/>
    <n v="18"/>
    <s v="NA10WR-18"/>
  </r>
  <r>
    <x v="5"/>
    <x v="169"/>
    <s v="0.87-8.25"/>
    <n v="4.5599999999999996"/>
    <s v="#24"/>
    <x v="1"/>
    <n v="8.25"/>
    <n v="0.87"/>
    <n v="3.69"/>
    <n v="13.616099999999999"/>
    <x v="7"/>
    <s v="NA13RB"/>
    <n v="16"/>
    <s v="NA13RB-16"/>
  </r>
  <r>
    <x v="10"/>
    <x v="174"/>
    <s v="0.27-8.85"/>
    <n v="4.5599999999999996"/>
    <s v="#10"/>
    <x v="2"/>
    <n v="8.85"/>
    <n v="0.27"/>
    <n v="4.29"/>
    <n v="18.4041"/>
    <x v="7"/>
    <s v="NA2WR"/>
    <n v="16"/>
    <s v="NA2WR-16"/>
  </r>
  <r>
    <x v="2"/>
    <x v="89"/>
    <s v="1.30-7.80"/>
    <n v="4.55"/>
    <s v="#21"/>
    <x v="2"/>
    <n v="7.8"/>
    <n v="1.3"/>
    <n v="3.25"/>
    <n v="10.5625"/>
    <x v="1"/>
    <s v="perry9WR"/>
    <n v="4"/>
    <s v="perry9WR-4"/>
  </r>
  <r>
    <x v="9"/>
    <x v="222"/>
    <s v="0.94-8.16"/>
    <n v="4.55"/>
    <s v="#9"/>
    <x v="2"/>
    <n v="8.16"/>
    <n v="0.94"/>
    <n v="3.61"/>
    <n v="13.0321"/>
    <x v="7"/>
    <s v="NA15WR"/>
    <n v="20"/>
    <s v="NA15WR-20"/>
  </r>
  <r>
    <x v="5"/>
    <x v="221"/>
    <s v="0.66-8.44"/>
    <n v="4.55"/>
    <s v="#12"/>
    <x v="1"/>
    <n v="8.44"/>
    <n v="0.66"/>
    <n v="3.89"/>
    <n v="15.132099999999999"/>
    <x v="7"/>
    <s v="NA13RB"/>
    <n v="17"/>
    <s v="NA13RB-17"/>
  </r>
  <r>
    <x v="12"/>
    <x v="151"/>
    <s v="1.40-7.70"/>
    <n v="4.55"/>
    <s v="#1"/>
    <x v="1"/>
    <n v="7.7"/>
    <n v="1.4"/>
    <n v="3.15"/>
    <n v="9.9224999999999994"/>
    <x v="7"/>
    <s v="NA5RB"/>
    <n v="12"/>
    <s v="NA5RB-12"/>
  </r>
  <r>
    <x v="7"/>
    <x v="214"/>
    <n v="-10.959999999999999"/>
    <n v="4.55"/>
    <s v="#9"/>
    <x v="2"/>
    <n v="10.029999999999999"/>
    <n v="-0.93"/>
    <n v="5.48"/>
    <n v="30.0304"/>
    <x v="7"/>
    <s v="NA1WR"/>
    <n v="17"/>
    <s v="NA1WR-17"/>
  </r>
  <r>
    <x v="8"/>
    <x v="214"/>
    <s v="0.00-9.10"/>
    <n v="4.55"/>
    <s v="#15"/>
    <x v="2"/>
    <n v="9.1"/>
    <n v="0"/>
    <n v="4.55"/>
    <n v="20.702500000000001"/>
    <x v="7"/>
    <s v="NA6WR"/>
    <n v="20"/>
    <s v="NA6WR-20"/>
  </r>
  <r>
    <x v="0"/>
    <x v="131"/>
    <s v="0.09-9.01"/>
    <n v="4.55"/>
    <s v="#14"/>
    <x v="1"/>
    <n v="9.01"/>
    <n v="0.09"/>
    <n v="4.46"/>
    <n v="19.8916"/>
    <x v="7"/>
    <s v="NA17RB"/>
    <n v="14"/>
    <s v="NA17RB-14"/>
  </r>
  <r>
    <x v="1"/>
    <x v="191"/>
    <s v="1.28-7.82"/>
    <n v="4.55"/>
    <s v="#7"/>
    <x v="2"/>
    <n v="7.82"/>
    <n v="1.28"/>
    <n v="3.27"/>
    <n v="10.6929"/>
    <x v="7"/>
    <s v="NA16WR"/>
    <n v="19"/>
    <s v="NA16WR-19"/>
  </r>
  <r>
    <x v="6"/>
    <x v="208"/>
    <s v="1.23-7.87"/>
    <n v="4.55"/>
    <s v="#28"/>
    <x v="2"/>
    <n v="7.87"/>
    <n v="1.23"/>
    <n v="3.32"/>
    <n v="11.022399999999999"/>
    <x v="7"/>
    <s v="NA12WR"/>
    <n v="19"/>
    <s v="NA12WR-19"/>
  </r>
  <r>
    <x v="16"/>
    <x v="195"/>
    <s v="1.56-7.52"/>
    <n v="4.54"/>
    <s v="#22"/>
    <x v="1"/>
    <n v="7.52"/>
    <n v="1.56"/>
    <n v="2.98"/>
    <n v="8.8803999999999998"/>
    <x v="1"/>
    <s v="perry3RB"/>
    <n v="4"/>
    <s v="perry3RB-4"/>
  </r>
  <r>
    <x v="2"/>
    <x v="169"/>
    <s v="0.02-9.06"/>
    <n v="4.54"/>
    <s v="#5"/>
    <x v="1"/>
    <n v="9.06"/>
    <n v="0.02"/>
    <n v="4.5199999999999996"/>
    <n v="20.430399999999999"/>
    <x v="7"/>
    <s v="NA9RB"/>
    <n v="11"/>
    <s v="NA9RB-11"/>
  </r>
  <r>
    <x v="5"/>
    <x v="187"/>
    <s v="0.36-8.72"/>
    <n v="4.54"/>
    <s v="#29"/>
    <x v="3"/>
    <n v="8.7200000000000006"/>
    <n v="0.36"/>
    <n v="4.18"/>
    <n v="17.4724"/>
    <x v="7"/>
    <s v="NA13TE"/>
    <n v="4"/>
    <s v="NA13TE-4"/>
  </r>
  <r>
    <x v="13"/>
    <x v="214"/>
    <n v="-10.340000000000002"/>
    <n v="4.54"/>
    <s v="#31"/>
    <x v="2"/>
    <n v="9.7100000000000009"/>
    <n v="-0.63"/>
    <n v="5.17"/>
    <n v="26.728899999999999"/>
    <x v="7"/>
    <s v="NA8WR"/>
    <n v="17"/>
    <s v="NA8WR-17"/>
  </r>
  <r>
    <x v="5"/>
    <x v="153"/>
    <s v="0.66-8.42"/>
    <n v="4.54"/>
    <s v="#3"/>
    <x v="1"/>
    <n v="8.42"/>
    <n v="0.66"/>
    <n v="3.88"/>
    <n v="15.054399999999999"/>
    <x v="5"/>
    <s v="cory13RB"/>
    <n v="5"/>
    <s v="cory13RB-5"/>
  </r>
  <r>
    <x v="14"/>
    <x v="196"/>
    <s v="0.56-8.52"/>
    <n v="4.54"/>
    <s v="#1"/>
    <x v="3"/>
    <n v="8.52"/>
    <n v="0.56000000000000005"/>
    <n v="3.98"/>
    <n v="15.840400000000001"/>
    <x v="4"/>
    <s v="scott4TE"/>
    <n v="2"/>
    <s v="scott4TE-2"/>
  </r>
  <r>
    <x v="0"/>
    <x v="226"/>
    <n v="-9.1399999999999988"/>
    <n v="4.54"/>
    <s v="#24"/>
    <x v="2"/>
    <n v="9.11"/>
    <n v="-0.03"/>
    <n v="4.57"/>
    <n v="20.884899999999998"/>
    <x v="7"/>
    <s v="NA17WR"/>
    <n v="22"/>
    <s v="NA17WR-22"/>
  </r>
  <r>
    <x v="4"/>
    <x v="227"/>
    <s v="1.36-7.70"/>
    <n v="4.53"/>
    <s v="#26"/>
    <x v="2"/>
    <n v="7.7"/>
    <n v="1.36"/>
    <n v="3.17"/>
    <n v="10.0489"/>
    <x v="7"/>
    <s v="NA7WR"/>
    <n v="22"/>
    <s v="NA7WR-22"/>
  </r>
  <r>
    <x v="10"/>
    <x v="103"/>
    <n v="-9.92"/>
    <n v="4.53"/>
    <s v="#19"/>
    <x v="2"/>
    <n v="9.49"/>
    <n v="-0.43"/>
    <n v="4.96"/>
    <n v="24.601600000000001"/>
    <x v="4"/>
    <s v="scott2WR"/>
    <n v="6"/>
    <s v="scott2WR-6"/>
  </r>
  <r>
    <x v="7"/>
    <x v="228"/>
    <n v="-9.92"/>
    <n v="4.53"/>
    <s v="#12"/>
    <x v="3"/>
    <n v="9.49"/>
    <n v="-0.43"/>
    <n v="4.96"/>
    <n v="24.601600000000001"/>
    <x v="7"/>
    <s v="NA1TE"/>
    <n v="4"/>
    <s v="NA1TE-4"/>
  </r>
  <r>
    <x v="7"/>
    <x v="160"/>
    <s v="0.88-8.18"/>
    <n v="4.53"/>
    <s v="#21"/>
    <x v="1"/>
    <n v="8.18"/>
    <n v="0.88"/>
    <n v="3.65"/>
    <n v="13.3225"/>
    <x v="7"/>
    <s v="NA1RB"/>
    <n v="13"/>
    <s v="NA1RB-13"/>
  </r>
  <r>
    <x v="15"/>
    <x v="220"/>
    <s v="0.39-8.65"/>
    <n v="4.5199999999999996"/>
    <s v="#4"/>
    <x v="3"/>
    <n v="8.65"/>
    <n v="0.39"/>
    <n v="4.13"/>
    <n v="17.056899999999999"/>
    <x v="7"/>
    <s v="NA10TE"/>
    <n v="4"/>
    <s v="NA10TE-4"/>
  </r>
  <r>
    <x v="0"/>
    <x v="154"/>
    <s v="0.62-8.42"/>
    <n v="4.5199999999999996"/>
    <s v="#1"/>
    <x v="3"/>
    <n v="8.42"/>
    <n v="0.62"/>
    <n v="3.9"/>
    <n v="15.21"/>
    <x v="7"/>
    <s v="NA17TE"/>
    <n v="5"/>
    <s v="NA17TE-5"/>
  </r>
  <r>
    <x v="15"/>
    <x v="227"/>
    <s v="1.07-7.97"/>
    <n v="4.5199999999999996"/>
    <s v="#11"/>
    <x v="2"/>
    <n v="7.97"/>
    <n v="1.07"/>
    <n v="3.45"/>
    <n v="11.9025"/>
    <x v="7"/>
    <s v="NA10WR"/>
    <n v="19"/>
    <s v="NA10WR-19"/>
  </r>
  <r>
    <x v="4"/>
    <x v="229"/>
    <n v="-11.04"/>
    <n v="4.5199999999999996"/>
    <s v="#29"/>
    <x v="3"/>
    <n v="10.039999999999999"/>
    <n v="-1"/>
    <n v="5.52"/>
    <n v="30.470400000000001"/>
    <x v="7"/>
    <s v="NA7TE"/>
    <n v="4"/>
    <s v="NA7TE-4"/>
  </r>
  <r>
    <x v="10"/>
    <x v="188"/>
    <s v="0.77-8.27"/>
    <n v="4.5199999999999996"/>
    <s v="#15"/>
    <x v="1"/>
    <n v="8.27"/>
    <n v="0.77"/>
    <n v="3.75"/>
    <n v="14.0625"/>
    <x v="7"/>
    <s v="NA2RB"/>
    <n v="17"/>
    <s v="NA2RB-17"/>
  </r>
  <r>
    <x v="11"/>
    <x v="219"/>
    <s v="1.21-7.81"/>
    <n v="4.51"/>
    <s v="#17"/>
    <x v="2"/>
    <n v="7.81"/>
    <n v="1.21"/>
    <n v="3.3"/>
    <n v="10.89"/>
    <x v="7"/>
    <s v="NA14WR"/>
    <n v="20"/>
    <s v="NA14WR-20"/>
  </r>
  <r>
    <x v="7"/>
    <x v="230"/>
    <s v="0.44-8.58"/>
    <n v="4.51"/>
    <s v="#7"/>
    <x v="3"/>
    <n v="8.58"/>
    <n v="0.44"/>
    <n v="4.07"/>
    <n v="16.564900000000002"/>
    <x v="7"/>
    <s v="NA1TE"/>
    <n v="5"/>
    <s v="NA1TE-5"/>
  </r>
  <r>
    <x v="13"/>
    <x v="176"/>
    <s v="0.47-8.55"/>
    <n v="4.51"/>
    <s v="#28"/>
    <x v="2"/>
    <n v="8.5500000000000007"/>
    <n v="0.47"/>
    <n v="4.04"/>
    <n v="16.3216"/>
    <x v="7"/>
    <s v="NA8WR"/>
    <n v="18"/>
    <s v="NA8WR-18"/>
  </r>
  <r>
    <x v="12"/>
    <x v="220"/>
    <s v="0.57-8.45"/>
    <n v="4.51"/>
    <s v="#14"/>
    <x v="3"/>
    <n v="8.4499999999999993"/>
    <n v="0.56999999999999995"/>
    <n v="3.94"/>
    <n v="15.5236"/>
    <x v="7"/>
    <s v="NA5TE"/>
    <n v="4"/>
    <s v="NA5TE-4"/>
  </r>
  <r>
    <x v="2"/>
    <x v="191"/>
    <s v="1.29-7.73"/>
    <n v="4.51"/>
    <s v="#12"/>
    <x v="2"/>
    <n v="7.73"/>
    <n v="1.29"/>
    <n v="3.22"/>
    <n v="10.368399999999999"/>
    <x v="7"/>
    <s v="NA9WR"/>
    <n v="15"/>
    <s v="NA9WR-15"/>
  </r>
  <r>
    <x v="7"/>
    <x v="211"/>
    <s v="1.35-7.65"/>
    <n v="4.5"/>
    <s v="#7"/>
    <x v="2"/>
    <n v="7.65"/>
    <n v="1.35"/>
    <n v="3.15"/>
    <n v="9.9224999999999994"/>
    <x v="7"/>
    <s v="NA1WR"/>
    <n v="18"/>
    <s v="NA1WR-18"/>
  </r>
  <r>
    <x v="12"/>
    <x v="222"/>
    <s v="0.83-8.17"/>
    <n v="4.5"/>
    <s v="#27"/>
    <x v="2"/>
    <n v="8.17"/>
    <n v="0.83"/>
    <n v="3.67"/>
    <n v="13.4689"/>
    <x v="7"/>
    <s v="NA5WR"/>
    <n v="22"/>
    <s v="NA5WR-22"/>
  </r>
  <r>
    <x v="3"/>
    <x v="204"/>
    <s v="0.85-8.15"/>
    <n v="4.5"/>
    <s v="#12"/>
    <x v="1"/>
    <n v="8.15"/>
    <n v="0.85"/>
    <n v="3.65"/>
    <n v="13.3225"/>
    <x v="7"/>
    <s v="NA11RB"/>
    <n v="13"/>
    <s v="NA11RB-13"/>
  </r>
  <r>
    <x v="14"/>
    <x v="181"/>
    <s v="0.94-8.06"/>
    <n v="4.5"/>
    <s v="#4"/>
    <x v="2"/>
    <n v="8.06"/>
    <n v="0.94"/>
    <n v="3.56"/>
    <n v="12.6736"/>
    <x v="7"/>
    <s v="NA4WR"/>
    <n v="14"/>
    <s v="NA4WR-14"/>
  </r>
  <r>
    <x v="12"/>
    <x v="231"/>
    <n v="-9.1000000000000014"/>
    <n v="4.5"/>
    <s v="#19"/>
    <x v="2"/>
    <n v="9.0500000000000007"/>
    <n v="-0.05"/>
    <n v="4.55"/>
    <n v="20.702500000000001"/>
    <x v="7"/>
    <s v="NA5WR"/>
    <n v="23"/>
    <s v="NA5WR-23"/>
  </r>
  <r>
    <x v="16"/>
    <x v="201"/>
    <s v="0.27-8.71"/>
    <n v="4.49"/>
    <s v="#15"/>
    <x v="2"/>
    <n v="8.7100000000000009"/>
    <n v="0.27"/>
    <n v="4.22"/>
    <n v="17.808399999999999"/>
    <x v="7"/>
    <s v="NA3WR"/>
    <n v="19"/>
    <s v="NA3WR-19"/>
  </r>
  <r>
    <x v="10"/>
    <x v="222"/>
    <s v="1.00-7.98"/>
    <n v="4.49"/>
    <s v="#22"/>
    <x v="2"/>
    <n v="7.98"/>
    <n v="1"/>
    <n v="3.49"/>
    <n v="12.180099999999999"/>
    <x v="7"/>
    <s v="NA2WR"/>
    <n v="17"/>
    <s v="NA2WR-17"/>
  </r>
  <r>
    <x v="14"/>
    <x v="198"/>
    <s v="1.16-7.82"/>
    <n v="4.49"/>
    <s v="#2"/>
    <x v="1"/>
    <n v="7.82"/>
    <n v="1.1599999999999999"/>
    <n v="3.33"/>
    <n v="11.088900000000001"/>
    <x v="7"/>
    <s v="NA4RB"/>
    <n v="11"/>
    <s v="NA4RB-11"/>
  </r>
  <r>
    <x v="8"/>
    <x v="187"/>
    <s v="0.69-8.29"/>
    <n v="4.49"/>
    <s v="#14"/>
    <x v="3"/>
    <n v="8.2899999999999991"/>
    <n v="0.69"/>
    <n v="3.8"/>
    <n v="14.44"/>
    <x v="7"/>
    <s v="NA6TE"/>
    <n v="4"/>
    <s v="NA6TE-4"/>
  </r>
  <r>
    <x v="8"/>
    <x v="207"/>
    <s v="0.30-8.68"/>
    <n v="4.49"/>
    <s v="#3"/>
    <x v="2"/>
    <n v="8.68"/>
    <n v="0.3"/>
    <n v="4.1900000000000004"/>
    <n v="17.556100000000001"/>
    <x v="7"/>
    <s v="NA6WR"/>
    <n v="21"/>
    <s v="NA6WR-21"/>
  </r>
  <r>
    <x v="4"/>
    <x v="178"/>
    <s v="0.30-8.68"/>
    <n v="4.49"/>
    <s v="#26"/>
    <x v="2"/>
    <n v="8.68"/>
    <n v="0.3"/>
    <n v="4.1900000000000004"/>
    <n v="17.556100000000001"/>
    <x v="7"/>
    <s v="NA7WR"/>
    <n v="23"/>
    <s v="NA7WR-23"/>
  </r>
  <r>
    <x v="5"/>
    <x v="211"/>
    <s v="1.35-7.61"/>
    <n v="4.4800000000000004"/>
    <s v="#30"/>
    <x v="2"/>
    <n v="7.61"/>
    <n v="1.35"/>
    <n v="3.13"/>
    <n v="9.7969000000000008"/>
    <x v="7"/>
    <s v="NA13WR"/>
    <n v="22"/>
    <s v="NA13WR-22"/>
  </r>
  <r>
    <x v="10"/>
    <x v="184"/>
    <s v="0.11-8.85"/>
    <n v="4.4800000000000004"/>
    <s v="#25"/>
    <x v="2"/>
    <n v="8.85"/>
    <n v="0.11"/>
    <n v="4.37"/>
    <n v="19.096900000000002"/>
    <x v="7"/>
    <s v="NA2WR"/>
    <n v="18"/>
    <s v="NA2WR-18"/>
  </r>
  <r>
    <x v="1"/>
    <x v="221"/>
    <s v="0.73-8.23"/>
    <n v="4.4800000000000004"/>
    <s v="#27"/>
    <x v="1"/>
    <n v="8.23"/>
    <n v="0.73"/>
    <n v="3.75"/>
    <n v="14.0625"/>
    <x v="7"/>
    <s v="NA16RB"/>
    <n v="15"/>
    <s v="NA16RB-15"/>
  </r>
  <r>
    <x v="7"/>
    <x v="225"/>
    <s v="0.34-8.60"/>
    <n v="4.47"/>
    <s v="#12"/>
    <x v="1"/>
    <n v="8.6"/>
    <n v="0.34"/>
    <n v="4.13"/>
    <n v="17.056899999999999"/>
    <x v="7"/>
    <s v="NA1RB"/>
    <n v="14"/>
    <s v="NA1RB-14"/>
  </r>
  <r>
    <x v="5"/>
    <x v="131"/>
    <n v="-9.66"/>
    <n v="4.47"/>
    <s v="#3"/>
    <x v="1"/>
    <n v="9.3000000000000007"/>
    <n v="-0.36"/>
    <n v="4.83"/>
    <n v="23.328900000000001"/>
    <x v="7"/>
    <s v="NA13RB"/>
    <n v="18"/>
    <s v="NA13RB-18"/>
  </r>
  <r>
    <x v="5"/>
    <x v="195"/>
    <s v="0.74-8.18"/>
    <n v="4.46"/>
    <s v="#2"/>
    <x v="1"/>
    <n v="8.18"/>
    <n v="0.74"/>
    <n v="3.72"/>
    <n v="13.8384"/>
    <x v="1"/>
    <s v="perry13RB"/>
    <n v="4"/>
    <s v="perry13RB-4"/>
  </r>
  <r>
    <x v="8"/>
    <x v="89"/>
    <s v="1.43-7.49"/>
    <n v="4.46"/>
    <s v="#32"/>
    <x v="2"/>
    <n v="7.49"/>
    <n v="1.43"/>
    <n v="3.03"/>
    <n v="9.1808999999999994"/>
    <x v="1"/>
    <s v="perry6WR"/>
    <n v="5"/>
    <s v="perry6WR-5"/>
  </r>
  <r>
    <x v="4"/>
    <x v="89"/>
    <s v="1.00-7.92"/>
    <n v="4.46"/>
    <s v="#5"/>
    <x v="2"/>
    <n v="7.92"/>
    <n v="1"/>
    <n v="3.46"/>
    <n v="11.9716"/>
    <x v="1"/>
    <s v="perry7WR"/>
    <n v="3"/>
    <s v="perry7WR-3"/>
  </r>
  <r>
    <x v="9"/>
    <x v="202"/>
    <s v="1.29-7.63"/>
    <n v="4.46"/>
    <s v="#26"/>
    <x v="2"/>
    <n v="7.63"/>
    <n v="1.29"/>
    <n v="3.17"/>
    <n v="10.0489"/>
    <x v="7"/>
    <s v="NA15WR"/>
    <n v="21"/>
    <s v="NA15WR-21"/>
  </r>
  <r>
    <x v="7"/>
    <x v="232"/>
    <s v="0.61-8.31"/>
    <n v="4.46"/>
    <s v="#12"/>
    <x v="2"/>
    <n v="8.31"/>
    <n v="0.61"/>
    <n v="3.85"/>
    <n v="14.8225"/>
    <x v="7"/>
    <s v="NA1WR"/>
    <n v="19"/>
    <s v="NA1WR-19"/>
  </r>
  <r>
    <x v="7"/>
    <x v="177"/>
    <s v="0.20-8.70"/>
    <n v="4.45"/>
    <s v="#22"/>
    <x v="2"/>
    <n v="8.6999999999999993"/>
    <n v="0.2"/>
    <n v="4.25"/>
    <n v="18.0625"/>
    <x v="7"/>
    <s v="NA1WR"/>
    <n v="20"/>
    <s v="NA1WR-20"/>
  </r>
  <r>
    <x v="12"/>
    <x v="175"/>
    <s v="1.74-7.16"/>
    <n v="4.45"/>
    <s v="#25"/>
    <x v="2"/>
    <n v="7.16"/>
    <n v="1.74"/>
    <n v="2.71"/>
    <n v="7.3441000000000001"/>
    <x v="7"/>
    <s v="NA5WR"/>
    <n v="24"/>
    <s v="NA5WR-24"/>
  </r>
  <r>
    <x v="14"/>
    <x v="222"/>
    <s v="1.50-7.38"/>
    <n v="4.4400000000000004"/>
    <s v="#28"/>
    <x v="2"/>
    <n v="7.38"/>
    <n v="1.5"/>
    <n v="2.94"/>
    <n v="8.6435999999999993"/>
    <x v="7"/>
    <s v="NA4WR"/>
    <n v="15"/>
    <s v="NA4WR-15"/>
  </r>
  <r>
    <x v="5"/>
    <x v="165"/>
    <s v="0.70-8.16"/>
    <n v="4.43"/>
    <s v="#1"/>
    <x v="3"/>
    <n v="8.16"/>
    <n v="0.7"/>
    <n v="3.73"/>
    <n v="13.9129"/>
    <x v="8"/>
    <s v="comp13TE"/>
    <n v="2"/>
    <s v="comp13TE-2"/>
  </r>
  <r>
    <x v="7"/>
    <x v="192"/>
    <n v="-10.16"/>
    <n v="4.43"/>
    <s v="#31"/>
    <x v="3"/>
    <n v="9.51"/>
    <n v="-0.65"/>
    <n v="5.08"/>
    <n v="25.8064"/>
    <x v="7"/>
    <s v="NA1TE"/>
    <n v="6"/>
    <s v="NA1TE-6"/>
  </r>
  <r>
    <x v="6"/>
    <x v="222"/>
    <s v="0.85-8.01"/>
    <n v="4.43"/>
    <s v="#12"/>
    <x v="2"/>
    <n v="8.01"/>
    <n v="0.85"/>
    <n v="3.58"/>
    <n v="12.8164"/>
    <x v="7"/>
    <s v="NA12WR"/>
    <n v="20"/>
    <s v="NA12WR-20"/>
  </r>
  <r>
    <x v="9"/>
    <x v="221"/>
    <s v="0.63-8.23"/>
    <n v="4.43"/>
    <s v="#10"/>
    <x v="1"/>
    <n v="8.23"/>
    <n v="0.63"/>
    <n v="3.8"/>
    <n v="14.44"/>
    <x v="7"/>
    <s v="NA15RB"/>
    <n v="16"/>
    <s v="NA15RB-16"/>
  </r>
  <r>
    <x v="16"/>
    <x v="154"/>
    <n v="-9.4600000000000009"/>
    <n v="4.43"/>
    <s v="#4"/>
    <x v="3"/>
    <n v="9.16"/>
    <n v="-0.3"/>
    <n v="4.7300000000000004"/>
    <n v="22.372900000000001"/>
    <x v="7"/>
    <s v="NA3TE"/>
    <n v="5"/>
    <s v="NA3TE-5"/>
  </r>
  <r>
    <x v="12"/>
    <x v="190"/>
    <s v="0.65-8.19"/>
    <n v="4.42"/>
    <s v="#9"/>
    <x v="2"/>
    <n v="8.19"/>
    <n v="0.65"/>
    <n v="3.77"/>
    <n v="14.212899999999999"/>
    <x v="7"/>
    <s v="NA5WR"/>
    <n v="25"/>
    <s v="NA5WR-25"/>
  </r>
  <r>
    <x v="9"/>
    <x v="176"/>
    <s v="0.25-8.57"/>
    <n v="4.41"/>
    <s v="#18"/>
    <x v="2"/>
    <n v="8.57"/>
    <n v="0.25"/>
    <n v="4.16"/>
    <n v="17.305599999999998"/>
    <x v="7"/>
    <s v="NA15WR"/>
    <n v="22"/>
    <s v="NA15WR-22"/>
  </r>
  <r>
    <x v="6"/>
    <x v="194"/>
    <n v="-9.8000000000000007"/>
    <n v="4.41"/>
    <s v="#8"/>
    <x v="2"/>
    <n v="9.31"/>
    <n v="-0.49"/>
    <n v="4.9000000000000004"/>
    <n v="24.01"/>
    <x v="7"/>
    <s v="NA12WR"/>
    <n v="21"/>
    <s v="NA12WR-21"/>
  </r>
  <r>
    <x v="4"/>
    <x v="187"/>
    <s v="0.49-8.33"/>
    <n v="4.41"/>
    <s v="#30"/>
    <x v="3"/>
    <n v="8.33"/>
    <n v="0.49"/>
    <n v="3.92"/>
    <n v="15.366400000000001"/>
    <x v="7"/>
    <s v="NA7TE"/>
    <n v="5"/>
    <s v="NA7TE-5"/>
  </r>
  <r>
    <x v="9"/>
    <x v="216"/>
    <s v="1.24-7.58"/>
    <n v="4.41"/>
    <s v="#19"/>
    <x v="2"/>
    <n v="7.58"/>
    <n v="1.24"/>
    <n v="3.17"/>
    <n v="10.0489"/>
    <x v="7"/>
    <s v="NA15WR"/>
    <n v="23"/>
    <s v="NA15WR-23"/>
  </r>
  <r>
    <x v="9"/>
    <x v="188"/>
    <s v="0.44-8.38"/>
    <n v="4.41"/>
    <s v="#20"/>
    <x v="1"/>
    <n v="8.3800000000000008"/>
    <n v="0.44"/>
    <n v="3.97"/>
    <n v="15.760899999999999"/>
    <x v="7"/>
    <s v="NA15RB"/>
    <n v="17"/>
    <s v="NA15RB-17"/>
  </r>
  <r>
    <x v="15"/>
    <x v="135"/>
    <s v="1.34-7.48"/>
    <n v="4.41"/>
    <s v="#5"/>
    <x v="1"/>
    <n v="7.48"/>
    <n v="1.34"/>
    <n v="3.07"/>
    <n v="9.4248999999999992"/>
    <x v="7"/>
    <s v="NA10RB"/>
    <n v="15"/>
    <s v="NA10RB-15"/>
  </r>
  <r>
    <x v="13"/>
    <x v="212"/>
    <s v="1.02-7.78"/>
    <n v="4.4000000000000004"/>
    <s v="#4"/>
    <x v="2"/>
    <n v="7.78"/>
    <n v="1.02"/>
    <n v="3.38"/>
    <n v="11.4244"/>
    <x v="7"/>
    <s v="NA8WR"/>
    <n v="19"/>
    <s v="NA8WR-19"/>
  </r>
  <r>
    <x v="4"/>
    <x v="215"/>
    <s v="0.36-8.44"/>
    <n v="4.4000000000000004"/>
    <s v="#27"/>
    <x v="3"/>
    <n v="8.44"/>
    <n v="0.36"/>
    <n v="4.04"/>
    <n v="16.3216"/>
    <x v="7"/>
    <s v="NA7TE"/>
    <n v="6"/>
    <s v="NA7TE-6"/>
  </r>
  <r>
    <x v="15"/>
    <x v="225"/>
    <s v="1.04-7.76"/>
    <n v="4.4000000000000004"/>
    <s v="#32"/>
    <x v="1"/>
    <n v="7.76"/>
    <n v="1.04"/>
    <n v="3.36"/>
    <n v="11.2896"/>
    <x v="7"/>
    <s v="NA10RB"/>
    <n v="16"/>
    <s v="NA10RB-16"/>
  </r>
  <r>
    <x v="11"/>
    <x v="89"/>
    <s v="1.19-7.61"/>
    <n v="4.4000000000000004"/>
    <s v="#24"/>
    <x v="2"/>
    <n v="7.61"/>
    <n v="1.19"/>
    <n v="3.21"/>
    <n v="10.3041"/>
    <x v="1"/>
    <s v="perry14WR"/>
    <n v="5"/>
    <s v="perry14WR-5"/>
  </r>
  <r>
    <x v="6"/>
    <x v="169"/>
    <n v="-8.98"/>
    <n v="4.4000000000000004"/>
    <s v="#3"/>
    <x v="1"/>
    <n v="8.89"/>
    <n v="-0.09"/>
    <n v="4.49"/>
    <n v="20.1601"/>
    <x v="7"/>
    <s v="NA12RB"/>
    <n v="13"/>
    <s v="NA12RB-13"/>
  </r>
  <r>
    <x v="11"/>
    <x v="154"/>
    <s v="0.44-8.36"/>
    <n v="4.4000000000000004"/>
    <s v="#7"/>
    <x v="3"/>
    <n v="8.36"/>
    <n v="0.44"/>
    <n v="3.96"/>
    <n v="15.6816"/>
    <x v="7"/>
    <s v="NA14TE"/>
    <n v="6"/>
    <s v="NA14TE-6"/>
  </r>
  <r>
    <x v="6"/>
    <x v="233"/>
    <s v="0.96-7.84"/>
    <n v="4.4000000000000004"/>
    <s v="#8"/>
    <x v="3"/>
    <n v="7.84"/>
    <n v="0.96"/>
    <n v="3.44"/>
    <n v="11.833600000000001"/>
    <x v="7"/>
    <s v="NA12TE"/>
    <n v="6"/>
    <s v="NA12TE-6"/>
  </r>
  <r>
    <x v="7"/>
    <x v="126"/>
    <s v="0.44-8.36"/>
    <n v="4.4000000000000004"/>
    <s v="#15"/>
    <x v="2"/>
    <n v="8.36"/>
    <n v="0.44"/>
    <n v="3.96"/>
    <n v="15.6816"/>
    <x v="3"/>
    <s v="chad1WR"/>
    <n v="4"/>
    <s v="chad1WR-4"/>
  </r>
  <r>
    <x v="7"/>
    <x v="149"/>
    <s v="0.09-8.71"/>
    <n v="4.4000000000000004"/>
    <s v="#19"/>
    <x v="2"/>
    <n v="8.7100000000000009"/>
    <n v="0.09"/>
    <n v="4.3099999999999996"/>
    <n v="18.5761"/>
    <x v="1"/>
    <s v="perry1WR"/>
    <n v="4"/>
    <s v="perry1WR-4"/>
  </r>
  <r>
    <x v="7"/>
    <x v="121"/>
    <n v="-8.86"/>
    <n v="4.3899999999999997"/>
    <s v="#15"/>
    <x v="2"/>
    <n v="8.82"/>
    <n v="-0.04"/>
    <n v="4.43"/>
    <n v="19.6249"/>
    <x v="3"/>
    <s v="chad1WR"/>
    <n v="5"/>
    <s v="chad1WR-5"/>
  </r>
  <r>
    <x v="3"/>
    <x v="222"/>
    <s v="0.49-8.29"/>
    <n v="4.3899999999999997"/>
    <s v="#29"/>
    <x v="2"/>
    <n v="8.2899999999999991"/>
    <n v="0.49"/>
    <n v="3.9"/>
    <n v="15.21"/>
    <x v="7"/>
    <s v="NA11WR"/>
    <n v="13"/>
    <s v="NA11WR-13"/>
  </r>
  <r>
    <x v="5"/>
    <x v="226"/>
    <n v="-9.14"/>
    <n v="4.3899999999999997"/>
    <s v="#24"/>
    <x v="2"/>
    <n v="8.9600000000000009"/>
    <n v="-0.18"/>
    <n v="4.57"/>
    <n v="20.884899999999998"/>
    <x v="7"/>
    <s v="NA13WR"/>
    <n v="23"/>
    <s v="NA13WR-23"/>
  </r>
  <r>
    <x v="1"/>
    <x v="165"/>
    <s v="0.09-8.67"/>
    <n v="4.38"/>
    <s v="#7"/>
    <x v="3"/>
    <n v="8.67"/>
    <n v="0.09"/>
    <n v="4.29"/>
    <n v="18.4041"/>
    <x v="8"/>
    <s v="comp16TE"/>
    <n v="2"/>
    <s v="comp16TE-2"/>
  </r>
  <r>
    <x v="16"/>
    <x v="222"/>
    <s v="0.36-8.40"/>
    <n v="4.38"/>
    <s v="#8"/>
    <x v="2"/>
    <n v="8.4"/>
    <n v="0.36"/>
    <n v="4.0199999999999996"/>
    <n v="16.160399999999999"/>
    <x v="7"/>
    <s v="NA3WR"/>
    <n v="20"/>
    <s v="NA3WR-20"/>
  </r>
  <r>
    <x v="11"/>
    <x v="227"/>
    <s v="0.93-7.83"/>
    <n v="4.38"/>
    <s v="#11"/>
    <x v="2"/>
    <n v="7.83"/>
    <n v="0.93"/>
    <n v="3.45"/>
    <n v="11.9025"/>
    <x v="7"/>
    <s v="NA14WR"/>
    <n v="21"/>
    <s v="NA14WR-21"/>
  </r>
  <r>
    <x v="11"/>
    <x v="207"/>
    <s v="0.46-8.30"/>
    <n v="4.38"/>
    <s v="#6"/>
    <x v="2"/>
    <n v="8.3000000000000007"/>
    <n v="0.46"/>
    <n v="3.92"/>
    <n v="15.366400000000001"/>
    <x v="7"/>
    <s v="NA14WR"/>
    <n v="22"/>
    <s v="NA14WR-22"/>
  </r>
  <r>
    <x v="7"/>
    <x v="140"/>
    <s v="0.73-8.03"/>
    <n v="4.38"/>
    <s v="#16"/>
    <x v="2"/>
    <n v="8.0299999999999994"/>
    <n v="0.73"/>
    <n v="3.65"/>
    <n v="13.3225"/>
    <x v="7"/>
    <s v="NA1WR"/>
    <n v="21"/>
    <s v="NA1WR-21"/>
  </r>
  <r>
    <x v="3"/>
    <x v="198"/>
    <s v="1.53-7.21"/>
    <n v="4.37"/>
    <s v="#13"/>
    <x v="1"/>
    <n v="7.21"/>
    <n v="1.53"/>
    <n v="2.84"/>
    <n v="8.0655999999999999"/>
    <x v="7"/>
    <s v="NA11RB"/>
    <n v="14"/>
    <s v="NA11RB-14"/>
  </r>
  <r>
    <x v="8"/>
    <x v="189"/>
    <n v="-8.8800000000000008"/>
    <n v="4.37"/>
    <s v="#4"/>
    <x v="3"/>
    <n v="8.81"/>
    <n v="-7.0000000000000007E-2"/>
    <n v="4.4400000000000004"/>
    <n v="19.7136"/>
    <x v="7"/>
    <s v="NA6TE"/>
    <n v="5"/>
    <s v="NA6TE-5"/>
  </r>
  <r>
    <x v="7"/>
    <x v="180"/>
    <s v="0.60-8.14"/>
    <n v="4.37"/>
    <s v="#13"/>
    <x v="2"/>
    <n v="8.14"/>
    <n v="0.6"/>
    <n v="3.77"/>
    <n v="14.212899999999999"/>
    <x v="7"/>
    <s v="NA1WR"/>
    <n v="22"/>
    <s v="NA1WR-22"/>
  </r>
  <r>
    <x v="4"/>
    <x v="149"/>
    <s v="0.74-8.00"/>
    <n v="4.37"/>
    <s v="#11"/>
    <x v="2"/>
    <n v="8"/>
    <n v="0.74"/>
    <n v="3.63"/>
    <n v="13.1769"/>
    <x v="1"/>
    <s v="perry7WR"/>
    <n v="4"/>
    <s v="perry7WR-4"/>
  </r>
  <r>
    <x v="9"/>
    <x v="165"/>
    <s v="0.61-8.11"/>
    <n v="4.3600000000000003"/>
    <s v="#13"/>
    <x v="3"/>
    <n v="8.11"/>
    <n v="0.61"/>
    <n v="3.75"/>
    <n v="14.0625"/>
    <x v="8"/>
    <s v="comp15TE"/>
    <n v="2"/>
    <s v="comp15TE-2"/>
  </r>
  <r>
    <x v="6"/>
    <x v="197"/>
    <s v="1.02-7.70"/>
    <n v="4.3600000000000003"/>
    <s v="#18"/>
    <x v="3"/>
    <n v="7.7"/>
    <n v="1.02"/>
    <n v="3.34"/>
    <n v="11.1556"/>
    <x v="7"/>
    <s v="NA12TE"/>
    <n v="7"/>
    <s v="NA12TE-7"/>
  </r>
  <r>
    <x v="11"/>
    <x v="197"/>
    <s v="1.21-7.51"/>
    <n v="4.3600000000000003"/>
    <s v="#30"/>
    <x v="3"/>
    <n v="7.51"/>
    <n v="1.21"/>
    <n v="3.15"/>
    <n v="9.9224999999999994"/>
    <x v="7"/>
    <s v="NA14TE"/>
    <n v="7"/>
    <s v="NA14TE-7"/>
  </r>
  <r>
    <x v="2"/>
    <x v="220"/>
    <s v="0.59-8.13"/>
    <n v="4.3600000000000003"/>
    <s v="#5"/>
    <x v="3"/>
    <n v="8.1300000000000008"/>
    <n v="0.59"/>
    <n v="3.77"/>
    <n v="14.212899999999999"/>
    <x v="7"/>
    <s v="NA9TE"/>
    <n v="6"/>
    <s v="NA9TE-6"/>
  </r>
  <r>
    <x v="7"/>
    <x v="201"/>
    <n v="-9.4"/>
    <n v="4.3600000000000003"/>
    <s v="#30"/>
    <x v="2"/>
    <n v="9.06"/>
    <n v="-0.34"/>
    <n v="4.7"/>
    <n v="22.09"/>
    <x v="7"/>
    <s v="NA1WR"/>
    <n v="23"/>
    <s v="NA1WR-23"/>
  </r>
  <r>
    <x v="8"/>
    <x v="198"/>
    <s v="1.49-7.23"/>
    <n v="4.3600000000000003"/>
    <s v="#8"/>
    <x v="1"/>
    <n v="7.23"/>
    <n v="1.49"/>
    <n v="2.87"/>
    <n v="8.2369000000000003"/>
    <x v="7"/>
    <s v="NA6RB"/>
    <n v="15"/>
    <s v="NA6RB-15"/>
  </r>
  <r>
    <x v="1"/>
    <x v="198"/>
    <s v="1.58-7.14"/>
    <n v="4.3600000000000003"/>
    <s v="#16"/>
    <x v="1"/>
    <n v="7.14"/>
    <n v="1.58"/>
    <n v="2.78"/>
    <n v="7.7283999999999997"/>
    <x v="7"/>
    <s v="NA16RB"/>
    <n v="16"/>
    <s v="NA16RB-16"/>
  </r>
  <r>
    <x v="9"/>
    <x v="151"/>
    <s v="1.47-7.25"/>
    <n v="4.3600000000000003"/>
    <s v="#16"/>
    <x v="1"/>
    <n v="7.25"/>
    <n v="1.47"/>
    <n v="2.89"/>
    <n v="8.3521000000000001"/>
    <x v="7"/>
    <s v="NA15RB"/>
    <n v="18"/>
    <s v="NA15RB-18"/>
  </r>
  <r>
    <x v="11"/>
    <x v="233"/>
    <s v="0.92-7.80"/>
    <n v="4.3600000000000003"/>
    <s v="#2"/>
    <x v="3"/>
    <n v="7.8"/>
    <n v="0.92"/>
    <n v="3.44"/>
    <n v="11.833600000000001"/>
    <x v="7"/>
    <s v="NA14TE"/>
    <n v="8"/>
    <s v="NA14TE-8"/>
  </r>
  <r>
    <x v="2"/>
    <x v="190"/>
    <s v="0.63-8.09"/>
    <n v="4.3600000000000003"/>
    <s v="#21"/>
    <x v="2"/>
    <n v="8.09"/>
    <n v="0.63"/>
    <n v="3.73"/>
    <n v="13.9129"/>
    <x v="7"/>
    <s v="NA9WR"/>
    <n v="16"/>
    <s v="NA9WR-16"/>
  </r>
  <r>
    <x v="3"/>
    <x v="212"/>
    <s v="1.06-7.64"/>
    <n v="4.3499999999999996"/>
    <s v="#26"/>
    <x v="2"/>
    <n v="7.64"/>
    <n v="1.06"/>
    <n v="3.29"/>
    <n v="10.8241"/>
    <x v="7"/>
    <s v="NA11WR"/>
    <n v="14"/>
    <s v="NA11WR-14"/>
  </r>
  <r>
    <x v="4"/>
    <x v="93"/>
    <s v="0.56-8.14"/>
    <n v="4.3499999999999996"/>
    <s v="#7"/>
    <x v="1"/>
    <n v="8.14"/>
    <n v="0.56000000000000005"/>
    <n v="3.79"/>
    <n v="14.364100000000001"/>
    <x v="7"/>
    <s v="NA7RB"/>
    <n v="12"/>
    <s v="NA7RB-12"/>
  </r>
  <r>
    <x v="14"/>
    <x v="228"/>
    <s v="0.47-8.23"/>
    <n v="4.3499999999999996"/>
    <s v="#8"/>
    <x v="3"/>
    <n v="8.23"/>
    <n v="0.47"/>
    <n v="3.88"/>
    <n v="15.054399999999999"/>
    <x v="7"/>
    <s v="NA4TE"/>
    <n v="4"/>
    <s v="NA4TE-4"/>
  </r>
  <r>
    <x v="6"/>
    <x v="178"/>
    <n v="-8.74"/>
    <n v="4.3499999999999996"/>
    <s v="#17"/>
    <x v="2"/>
    <n v="8.7200000000000006"/>
    <n v="-0.02"/>
    <n v="4.37"/>
    <n v="19.096900000000002"/>
    <x v="7"/>
    <s v="NA12WR"/>
    <n v="22"/>
    <s v="NA12WR-22"/>
  </r>
  <r>
    <x v="13"/>
    <x v="196"/>
    <s v="1.19-7.51"/>
    <n v="4.3499999999999996"/>
    <s v="#2"/>
    <x v="3"/>
    <n v="7.51"/>
    <n v="1.19"/>
    <n v="3.16"/>
    <n v="9.9855999999999998"/>
    <x v="4"/>
    <s v="scott8TE"/>
    <n v="2"/>
    <s v="scott8TE-2"/>
  </r>
  <r>
    <x v="11"/>
    <x v="212"/>
    <s v="0.41-8.27"/>
    <n v="4.34"/>
    <s v="#10"/>
    <x v="2"/>
    <n v="8.27"/>
    <n v="0.41"/>
    <n v="3.93"/>
    <n v="15.444900000000001"/>
    <x v="7"/>
    <s v="NA14WR"/>
    <n v="23"/>
    <s v="NA14WR-23"/>
  </r>
  <r>
    <x v="4"/>
    <x v="220"/>
    <s v="0.48-8.20"/>
    <n v="4.34"/>
    <s v="#9"/>
    <x v="3"/>
    <n v="8.1999999999999993"/>
    <n v="0.48"/>
    <n v="3.86"/>
    <n v="14.8996"/>
    <x v="7"/>
    <s v="NA7TE"/>
    <n v="7"/>
    <s v="NA7TE-7"/>
  </r>
  <r>
    <x v="10"/>
    <x v="181"/>
    <n v="-8.9400000000000013"/>
    <n v="4.34"/>
    <s v="#17"/>
    <x v="2"/>
    <n v="8.81"/>
    <n v="-0.13"/>
    <n v="4.47"/>
    <n v="19.980899999999998"/>
    <x v="7"/>
    <s v="NA2WR"/>
    <n v="19"/>
    <s v="NA2WR-19"/>
  </r>
  <r>
    <x v="10"/>
    <x v="153"/>
    <s v="0.26-8.42"/>
    <n v="4.34"/>
    <s v="#12"/>
    <x v="1"/>
    <n v="8.42"/>
    <n v="0.26"/>
    <n v="4.08"/>
    <n v="16.6464"/>
    <x v="5"/>
    <s v="cory2RB"/>
    <n v="4"/>
    <s v="cory2RB-4"/>
  </r>
  <r>
    <x v="10"/>
    <x v="157"/>
    <n v="-9.120000000000001"/>
    <n v="4.34"/>
    <s v="#6"/>
    <x v="3"/>
    <n v="8.9"/>
    <n v="-0.22"/>
    <n v="4.5599999999999996"/>
    <n v="20.793600000000001"/>
    <x v="7"/>
    <s v="NA2TE"/>
    <n v="6"/>
    <s v="NA2TE-6"/>
  </r>
  <r>
    <x v="7"/>
    <x v="234"/>
    <n v="-8.86"/>
    <n v="4.34"/>
    <s v="#17"/>
    <x v="3"/>
    <n v="8.77"/>
    <n v="-0.09"/>
    <n v="4.43"/>
    <n v="19.6249"/>
    <x v="7"/>
    <s v="NA1TE"/>
    <n v="7"/>
    <s v="NA1TE-7"/>
  </r>
  <r>
    <x v="7"/>
    <x v="215"/>
    <s v="0.28-8.38"/>
    <n v="4.33"/>
    <s v="#22"/>
    <x v="3"/>
    <n v="8.3800000000000008"/>
    <n v="0.28000000000000003"/>
    <n v="4.05"/>
    <n v="16.4025"/>
    <x v="7"/>
    <s v="NA1TE"/>
    <n v="8"/>
    <s v="NA1TE-8"/>
  </r>
  <r>
    <x v="0"/>
    <x v="214"/>
    <n v="-9.1000000000000014"/>
    <n v="4.33"/>
    <s v="#15"/>
    <x v="2"/>
    <n v="8.8800000000000008"/>
    <n v="-0.22"/>
    <n v="4.55"/>
    <n v="20.702500000000001"/>
    <x v="7"/>
    <s v="NA17WR"/>
    <n v="23"/>
    <s v="NA17WR-23"/>
  </r>
  <r>
    <x v="8"/>
    <x v="211"/>
    <s v="0.72-7.92"/>
    <n v="4.32"/>
    <s v="#3"/>
    <x v="2"/>
    <n v="7.92"/>
    <n v="0.72"/>
    <n v="3.6"/>
    <n v="12.96"/>
    <x v="7"/>
    <s v="NA6WR"/>
    <n v="22"/>
    <s v="NA6WR-22"/>
  </r>
  <r>
    <x v="2"/>
    <x v="212"/>
    <s v="0.42-8.22"/>
    <n v="4.32"/>
    <s v="#11"/>
    <x v="2"/>
    <n v="8.2200000000000006"/>
    <n v="0.42"/>
    <n v="3.9"/>
    <n v="15.21"/>
    <x v="7"/>
    <s v="NA9WR"/>
    <n v="17"/>
    <s v="NA9WR-17"/>
  </r>
  <r>
    <x v="10"/>
    <x v="121"/>
    <n v="-9.5"/>
    <n v="4.32"/>
    <s v="#30"/>
    <x v="2"/>
    <n v="9.07"/>
    <n v="-0.43"/>
    <n v="4.75"/>
    <n v="22.5625"/>
    <x v="3"/>
    <s v="chad2WR"/>
    <n v="3"/>
    <s v="chad2WR-3"/>
  </r>
  <r>
    <x v="10"/>
    <x v="220"/>
    <s v="1.24-7.40"/>
    <n v="4.32"/>
    <s v="#20"/>
    <x v="3"/>
    <n v="7.4"/>
    <n v="1.24"/>
    <n v="3.08"/>
    <n v="9.4863999999999997"/>
    <x v="7"/>
    <s v="NA2TE"/>
    <n v="7"/>
    <s v="NA2TE-7"/>
  </r>
  <r>
    <x v="2"/>
    <x v="204"/>
    <s v="0.85-7.79"/>
    <n v="4.32"/>
    <s v="#16"/>
    <x v="1"/>
    <n v="7.79"/>
    <n v="0.85"/>
    <n v="3.47"/>
    <n v="12.040900000000001"/>
    <x v="7"/>
    <s v="NA9RB"/>
    <n v="12"/>
    <s v="NA9RB-12"/>
  </r>
  <r>
    <x v="15"/>
    <x v="221"/>
    <s v="0.39-8.25"/>
    <n v="4.32"/>
    <s v="#23"/>
    <x v="1"/>
    <n v="8.25"/>
    <n v="0.39"/>
    <n v="3.93"/>
    <n v="15.444900000000001"/>
    <x v="7"/>
    <s v="NA10RB"/>
    <n v="17"/>
    <s v="NA10RB-17"/>
  </r>
  <r>
    <x v="8"/>
    <x v="210"/>
    <s v="0.21-8.43"/>
    <n v="4.32"/>
    <s v="#20"/>
    <x v="1"/>
    <n v="8.43"/>
    <n v="0.21"/>
    <n v="4.1100000000000003"/>
    <n v="16.892099999999999"/>
    <x v="7"/>
    <s v="NA6RB"/>
    <n v="16"/>
    <s v="NA6RB-16"/>
  </r>
  <r>
    <x v="3"/>
    <x v="235"/>
    <s v="0.06-8.58"/>
    <n v="4.32"/>
    <s v="#29"/>
    <x v="1"/>
    <n v="8.58"/>
    <n v="0.06"/>
    <n v="4.26"/>
    <n v="18.147600000000001"/>
    <x v="7"/>
    <s v="NA11RB"/>
    <n v="15"/>
    <s v="NA11RB-15"/>
  </r>
  <r>
    <x v="5"/>
    <x v="196"/>
    <s v="0.53-8.11"/>
    <n v="4.32"/>
    <s v="#20"/>
    <x v="3"/>
    <n v="8.11"/>
    <n v="0.53"/>
    <n v="3.79"/>
    <n v="14.364100000000001"/>
    <x v="4"/>
    <s v="scott13TE"/>
    <n v="2"/>
    <s v="scott13TE-2"/>
  </r>
  <r>
    <x v="5"/>
    <x v="201"/>
    <s v="1.11-7.51"/>
    <n v="4.3099999999999996"/>
    <s v="#7"/>
    <x v="2"/>
    <n v="7.51"/>
    <n v="1.1100000000000001"/>
    <n v="3.2"/>
    <n v="10.24"/>
    <x v="7"/>
    <s v="NA13WR"/>
    <n v="24"/>
    <s v="NA13WR-24"/>
  </r>
  <r>
    <x v="10"/>
    <x v="194"/>
    <s v="0.45-8.17"/>
    <n v="4.3099999999999996"/>
    <s v="#29"/>
    <x v="2"/>
    <n v="8.17"/>
    <n v="0.45"/>
    <n v="3.86"/>
    <n v="14.8996"/>
    <x v="7"/>
    <s v="NA2WR"/>
    <n v="20"/>
    <s v="NA2WR-20"/>
  </r>
  <r>
    <x v="9"/>
    <x v="236"/>
    <s v="0.69-7.93"/>
    <n v="4.3099999999999996"/>
    <s v="#24"/>
    <x v="2"/>
    <n v="7.93"/>
    <n v="0.69"/>
    <n v="3.62"/>
    <n v="13.1044"/>
    <x v="7"/>
    <s v="NA15WR"/>
    <n v="24"/>
    <s v="NA15WR-24"/>
  </r>
  <r>
    <x v="15"/>
    <x v="175"/>
    <s v="1.60-7.02"/>
    <n v="4.3099999999999996"/>
    <s v="#25"/>
    <x v="2"/>
    <n v="7.02"/>
    <n v="1.6"/>
    <n v="2.71"/>
    <n v="7.3441000000000001"/>
    <x v="7"/>
    <s v="NA10WR"/>
    <n v="20"/>
    <s v="NA10WR-20"/>
  </r>
  <r>
    <x v="12"/>
    <x v="226"/>
    <n v="-8.7200000000000006"/>
    <n v="4.3099999999999996"/>
    <s v="#14"/>
    <x v="2"/>
    <n v="8.67"/>
    <n v="-0.05"/>
    <n v="4.3600000000000003"/>
    <n v="19.009599999999999"/>
    <x v="7"/>
    <s v="NA5WR"/>
    <n v="26"/>
    <s v="NA5WR-26"/>
  </r>
  <r>
    <x v="7"/>
    <x v="237"/>
    <s v="0.02-8.58"/>
    <n v="4.3"/>
    <s v="#31"/>
    <x v="2"/>
    <n v="8.58"/>
    <n v="0.02"/>
    <n v="4.28"/>
    <n v="18.3184"/>
    <x v="7"/>
    <s v="NA1WR"/>
    <n v="24"/>
    <s v="NA1WR-24"/>
  </r>
  <r>
    <x v="14"/>
    <x v="191"/>
    <s v="1.51-7.09"/>
    <n v="4.3"/>
    <s v="#19"/>
    <x v="2"/>
    <n v="7.09"/>
    <n v="1.51"/>
    <n v="2.79"/>
    <n v="7.7840999999999996"/>
    <x v="7"/>
    <s v="NA4WR"/>
    <n v="16"/>
    <s v="NA4WR-16"/>
  </r>
  <r>
    <x v="0"/>
    <x v="238"/>
    <s v="0.56-8.04"/>
    <n v="4.3"/>
    <s v="#29"/>
    <x v="1"/>
    <n v="8.0399999999999991"/>
    <n v="0.56000000000000005"/>
    <n v="3.74"/>
    <n v="13.9876"/>
    <x v="7"/>
    <s v="NA17RB"/>
    <n v="15"/>
    <s v="NA17RB-15"/>
  </r>
  <r>
    <x v="9"/>
    <x v="185"/>
    <s v="0.96-7.62"/>
    <n v="4.29"/>
    <s v="#3"/>
    <x v="2"/>
    <n v="7.62"/>
    <n v="0.96"/>
    <n v="3.33"/>
    <n v="11.088900000000001"/>
    <x v="7"/>
    <s v="NA15WR"/>
    <n v="25"/>
    <s v="NA15WR-25"/>
  </r>
  <r>
    <x v="4"/>
    <x v="222"/>
    <s v="0.70-7.86"/>
    <n v="4.28"/>
    <s v="#12"/>
    <x v="2"/>
    <n v="7.86"/>
    <n v="0.7"/>
    <n v="3.58"/>
    <n v="12.8164"/>
    <x v="7"/>
    <s v="NA7WR"/>
    <n v="24"/>
    <s v="NA7WR-24"/>
  </r>
  <r>
    <x v="15"/>
    <x v="207"/>
    <s v="0.36-8.20"/>
    <n v="4.28"/>
    <s v="#6"/>
    <x v="2"/>
    <n v="8.1999999999999993"/>
    <n v="0.36"/>
    <n v="3.92"/>
    <n v="15.366400000000001"/>
    <x v="7"/>
    <s v="NA10WR"/>
    <n v="21"/>
    <s v="NA10WR-21"/>
  </r>
  <r>
    <x v="13"/>
    <x v="219"/>
    <s v="1.20-7.34"/>
    <n v="4.2699999999999996"/>
    <s v="#27"/>
    <x v="2"/>
    <n v="7.34"/>
    <n v="1.2"/>
    <n v="3.07"/>
    <n v="9.4248999999999992"/>
    <x v="7"/>
    <s v="NA8WR"/>
    <n v="20"/>
    <s v="NA8WR-20"/>
  </r>
  <r>
    <x v="13"/>
    <x v="225"/>
    <s v="1.12-7.42"/>
    <n v="4.2699999999999996"/>
    <s v="#18"/>
    <x v="1"/>
    <n v="7.42"/>
    <n v="1.1200000000000001"/>
    <n v="3.15"/>
    <n v="9.9224999999999994"/>
    <x v="7"/>
    <s v="NA8RB"/>
    <n v="16"/>
    <s v="NA8RB-16"/>
  </r>
  <r>
    <x v="3"/>
    <x v="201"/>
    <s v="0.25-8.29"/>
    <n v="4.2699999999999996"/>
    <s v="#22"/>
    <x v="2"/>
    <n v="8.2899999999999991"/>
    <n v="0.25"/>
    <n v="4.0199999999999996"/>
    <n v="16.160399999999999"/>
    <x v="7"/>
    <s v="NA11WR"/>
    <n v="15"/>
    <s v="NA11WR-15"/>
  </r>
  <r>
    <x v="10"/>
    <x v="202"/>
    <s v="0.21-8.33"/>
    <n v="4.2699999999999996"/>
    <s v="#4"/>
    <x v="2"/>
    <n v="8.33"/>
    <n v="0.21"/>
    <n v="4.0599999999999996"/>
    <n v="16.483599999999999"/>
    <x v="7"/>
    <s v="NA2WR"/>
    <n v="21"/>
    <s v="NA2WR-21"/>
  </r>
  <r>
    <x v="0"/>
    <x v="221"/>
    <s v="0.38-8.16"/>
    <n v="4.2699999999999996"/>
    <s v="#12"/>
    <x v="1"/>
    <n v="8.16"/>
    <n v="0.38"/>
    <n v="3.89"/>
    <n v="15.132099999999999"/>
    <x v="7"/>
    <s v="NA17RB"/>
    <n v="16"/>
    <s v="NA17RB-16"/>
  </r>
  <r>
    <x v="10"/>
    <x v="239"/>
    <n v="-9.2200000000000006"/>
    <n v="4.2699999999999996"/>
    <s v="#32"/>
    <x v="2"/>
    <n v="8.8800000000000008"/>
    <n v="-0.34"/>
    <n v="4.6100000000000003"/>
    <n v="21.252099999999999"/>
    <x v="7"/>
    <s v="NA2WR"/>
    <n v="22"/>
    <s v="NA2WR-22"/>
  </r>
  <r>
    <x v="15"/>
    <x v="216"/>
    <s v="1.34-7.20"/>
    <n v="4.2699999999999996"/>
    <s v="#20"/>
    <x v="2"/>
    <n v="7.2"/>
    <n v="1.34"/>
    <n v="2.93"/>
    <n v="8.5848999999999993"/>
    <x v="7"/>
    <s v="NA10WR"/>
    <n v="22"/>
    <s v="NA10WR-22"/>
  </r>
  <r>
    <x v="16"/>
    <x v="178"/>
    <n v="-10.120000000000001"/>
    <n v="4.2699999999999996"/>
    <s v="#2"/>
    <x v="2"/>
    <n v="9.33"/>
    <n v="-0.79"/>
    <n v="5.0599999999999996"/>
    <n v="25.6036"/>
    <x v="7"/>
    <s v="NA3WR"/>
    <n v="21"/>
    <s v="NA3WR-21"/>
  </r>
  <r>
    <x v="3"/>
    <x v="218"/>
    <n v="-12.18"/>
    <n v="4.26"/>
    <s v="#25"/>
    <x v="2"/>
    <n v="10.35"/>
    <n v="-1.83"/>
    <n v="6.09"/>
    <n v="37.088099999999997"/>
    <x v="7"/>
    <s v="NA11WR"/>
    <n v="16"/>
    <s v="NA11WR-16"/>
  </r>
  <r>
    <x v="11"/>
    <x v="93"/>
    <s v="0.41-8.11"/>
    <n v="4.26"/>
    <s v="#23"/>
    <x v="1"/>
    <n v="8.11"/>
    <n v="0.41"/>
    <n v="3.85"/>
    <n v="14.8225"/>
    <x v="7"/>
    <s v="NA14RB"/>
    <n v="15"/>
    <s v="NA14RB-15"/>
  </r>
  <r>
    <x v="0"/>
    <x v="151"/>
    <s v="1.11-7.41"/>
    <n v="4.26"/>
    <s v="#1"/>
    <x v="1"/>
    <n v="7.41"/>
    <n v="1.1100000000000001"/>
    <n v="3.15"/>
    <n v="9.9224999999999994"/>
    <x v="7"/>
    <s v="NA17RB"/>
    <n v="17"/>
    <s v="NA17RB-17"/>
  </r>
  <r>
    <x v="0"/>
    <x v="178"/>
    <n v="-8.74"/>
    <n v="4.26"/>
    <s v="#17"/>
    <x v="2"/>
    <n v="8.6300000000000008"/>
    <n v="-0.11"/>
    <n v="4.37"/>
    <n v="19.096900000000002"/>
    <x v="7"/>
    <s v="NA17WR"/>
    <n v="24"/>
    <s v="NA17WR-24"/>
  </r>
  <r>
    <x v="8"/>
    <x v="176"/>
    <s v="0.66-7.84"/>
    <n v="4.25"/>
    <s v="#25"/>
    <x v="2"/>
    <n v="7.84"/>
    <n v="0.66"/>
    <n v="3.59"/>
    <n v="12.8881"/>
    <x v="7"/>
    <s v="NA6WR"/>
    <n v="23"/>
    <s v="NA6WR-23"/>
  </r>
  <r>
    <x v="7"/>
    <x v="220"/>
    <s v="0.73-7.77"/>
    <n v="4.25"/>
    <s v="#1"/>
    <x v="3"/>
    <n v="7.77"/>
    <n v="0.73"/>
    <n v="3.52"/>
    <n v="12.3904"/>
    <x v="7"/>
    <s v="NA1TE"/>
    <n v="9"/>
    <s v="NA1TE-9"/>
  </r>
  <r>
    <x v="9"/>
    <x v="162"/>
    <s v="0.65-7.85"/>
    <n v="4.25"/>
    <s v="#1"/>
    <x v="2"/>
    <n v="7.85"/>
    <n v="0.65"/>
    <n v="3.6"/>
    <n v="12.96"/>
    <x v="4"/>
    <s v="scott15WR"/>
    <n v="6"/>
    <s v="scott15WR-6"/>
  </r>
  <r>
    <x v="1"/>
    <x v="210"/>
    <s v="0.10-8.40"/>
    <n v="4.25"/>
    <s v="#19"/>
    <x v="1"/>
    <n v="8.4"/>
    <n v="0.1"/>
    <n v="4.1500000000000004"/>
    <n v="17.2225"/>
    <x v="7"/>
    <s v="NA16RB"/>
    <n v="17"/>
    <s v="NA16RB-17"/>
  </r>
  <r>
    <x v="7"/>
    <x v="188"/>
    <s v="0.43-8.07"/>
    <n v="4.25"/>
    <s v="#20"/>
    <x v="1"/>
    <n v="8.07"/>
    <n v="0.43"/>
    <n v="3.82"/>
    <n v="14.5924"/>
    <x v="7"/>
    <s v="NA1RB"/>
    <n v="15"/>
    <s v="NA1RB-15"/>
  </r>
  <r>
    <x v="0"/>
    <x v="212"/>
    <s v="0.95-7.53"/>
    <n v="4.24"/>
    <s v="#26"/>
    <x v="2"/>
    <n v="7.53"/>
    <n v="0.95"/>
    <n v="3.29"/>
    <n v="10.8241"/>
    <x v="7"/>
    <s v="NA17WR"/>
    <n v="25"/>
    <s v="NA17WR-25"/>
  </r>
  <r>
    <x v="6"/>
    <x v="220"/>
    <s v="0.63-7.85"/>
    <n v="4.24"/>
    <s v="#3"/>
    <x v="3"/>
    <n v="7.85"/>
    <n v="0.63"/>
    <n v="3.61"/>
    <n v="13.0321"/>
    <x v="7"/>
    <s v="NA12TE"/>
    <n v="8"/>
    <s v="NA12TE-8"/>
  </r>
  <r>
    <x v="10"/>
    <x v="179"/>
    <s v="0.09-8.39"/>
    <n v="4.24"/>
    <s v="#12"/>
    <x v="3"/>
    <n v="8.39"/>
    <n v="0.09"/>
    <n v="4.1500000000000004"/>
    <n v="17.2225"/>
    <x v="2"/>
    <s v="devon2TE"/>
    <n v="2"/>
    <s v="devon2TE-2"/>
  </r>
  <r>
    <x v="2"/>
    <x v="216"/>
    <s v="1.39-7.09"/>
    <n v="4.24"/>
    <s v="#18"/>
    <x v="2"/>
    <n v="7.09"/>
    <n v="1.39"/>
    <n v="2.85"/>
    <n v="8.1225000000000005"/>
    <x v="7"/>
    <s v="NA9WR"/>
    <n v="18"/>
    <s v="NA9WR-18"/>
  </r>
  <r>
    <x v="3"/>
    <x v="216"/>
    <s v="1.30-7.18"/>
    <n v="4.24"/>
    <s v="#13"/>
    <x v="2"/>
    <n v="7.18"/>
    <n v="1.3"/>
    <n v="2.94"/>
    <n v="8.6435999999999993"/>
    <x v="7"/>
    <s v="NA11WR"/>
    <n v="17"/>
    <s v="NA11WR-17"/>
  </r>
  <r>
    <x v="6"/>
    <x v="240"/>
    <s v="0.77-7.71"/>
    <n v="4.24"/>
    <s v="#27"/>
    <x v="2"/>
    <n v="7.71"/>
    <n v="0.77"/>
    <n v="3.47"/>
    <n v="12.040900000000001"/>
    <x v="7"/>
    <s v="NA12WR"/>
    <n v="23"/>
    <s v="NA12WR-23"/>
  </r>
  <r>
    <x v="10"/>
    <x v="124"/>
    <s v="0.63-7.83"/>
    <n v="4.2300000000000004"/>
    <s v="#7"/>
    <x v="2"/>
    <n v="7.83"/>
    <n v="0.63"/>
    <n v="3.6"/>
    <n v="12.96"/>
    <x v="8"/>
    <s v="comp2WR"/>
    <n v="7"/>
    <s v="comp2WR-7"/>
  </r>
  <r>
    <x v="16"/>
    <x v="241"/>
    <n v="-9.08"/>
    <n v="4.2300000000000004"/>
    <s v="#1"/>
    <x v="3"/>
    <n v="8.77"/>
    <n v="-0.31"/>
    <n v="4.54"/>
    <n v="20.611599999999999"/>
    <x v="7"/>
    <s v="NA3TE"/>
    <n v="6"/>
    <s v="NA3TE-6"/>
  </r>
  <r>
    <x v="3"/>
    <x v="207"/>
    <s v="0.21-8.25"/>
    <n v="4.2300000000000004"/>
    <s v="#29"/>
    <x v="2"/>
    <n v="8.25"/>
    <n v="0.21"/>
    <n v="4.0199999999999996"/>
    <n v="16.160399999999999"/>
    <x v="7"/>
    <s v="NA11WR"/>
    <n v="18"/>
    <s v="NA11WR-18"/>
  </r>
  <r>
    <x v="5"/>
    <x v="175"/>
    <s v="1.13-7.33"/>
    <n v="4.2300000000000004"/>
    <s v="#15"/>
    <x v="2"/>
    <n v="7.33"/>
    <n v="1.1299999999999999"/>
    <n v="3.1"/>
    <n v="9.61"/>
    <x v="7"/>
    <s v="NA13WR"/>
    <n v="25"/>
    <s v="NA13WR-25"/>
  </r>
  <r>
    <x v="3"/>
    <x v="221"/>
    <s v="0.19-8.25"/>
    <n v="4.22"/>
    <s v="#30"/>
    <x v="1"/>
    <n v="8.25"/>
    <n v="0.19"/>
    <n v="4.03"/>
    <n v="16.2409"/>
    <x v="7"/>
    <s v="NA11RB"/>
    <n v="16"/>
    <s v="NA11RB-16"/>
  </r>
  <r>
    <x v="11"/>
    <x v="193"/>
    <s v="0.09-8.35"/>
    <n v="4.22"/>
    <s v="#18"/>
    <x v="3"/>
    <n v="8.35"/>
    <n v="0.09"/>
    <n v="4.13"/>
    <n v="17.056899999999999"/>
    <x v="7"/>
    <s v="NA14TE"/>
    <n v="9"/>
    <s v="NA14TE-9"/>
  </r>
  <r>
    <x v="0"/>
    <x v="242"/>
    <s v="0.32-8.12"/>
    <n v="4.22"/>
    <s v="#19"/>
    <x v="2"/>
    <n v="8.1199999999999992"/>
    <n v="0.32"/>
    <n v="3.9"/>
    <n v="15.21"/>
    <x v="7"/>
    <s v="NA17WR"/>
    <n v="26"/>
    <s v="NA17WR-26"/>
  </r>
  <r>
    <x v="12"/>
    <x v="168"/>
    <s v="0.15-8.29"/>
    <n v="4.22"/>
    <s v="#26"/>
    <x v="1"/>
    <n v="8.2899999999999991"/>
    <n v="0.15"/>
    <n v="4.07"/>
    <n v="16.564900000000002"/>
    <x v="7"/>
    <s v="NA5RB"/>
    <n v="13"/>
    <s v="NA5RB-13"/>
  </r>
  <r>
    <x v="12"/>
    <x v="165"/>
    <n v="-9.3199999999999985"/>
    <n v="4.21"/>
    <s v="#15"/>
    <x v="3"/>
    <n v="8.8699999999999992"/>
    <n v="-0.45"/>
    <n v="4.66"/>
    <n v="21.715599999999998"/>
    <x v="8"/>
    <s v="comp5TE"/>
    <n v="1"/>
    <s v="comp5TE-1"/>
  </r>
  <r>
    <x v="9"/>
    <x v="220"/>
    <s v="0.50-7.92"/>
    <n v="4.21"/>
    <s v="#28"/>
    <x v="3"/>
    <n v="7.92"/>
    <n v="0.5"/>
    <n v="3.71"/>
    <n v="13.764099999999999"/>
    <x v="7"/>
    <s v="NA15TE"/>
    <n v="8"/>
    <s v="NA15TE-8"/>
  </r>
  <r>
    <x v="10"/>
    <x v="227"/>
    <s v="0.72-7.70"/>
    <n v="4.21"/>
    <s v="#24"/>
    <x v="2"/>
    <n v="7.7"/>
    <n v="0.72"/>
    <n v="3.49"/>
    <n v="12.180099999999999"/>
    <x v="7"/>
    <s v="NA2WR"/>
    <n v="23"/>
    <s v="NA2WR-23"/>
  </r>
  <r>
    <x v="7"/>
    <x v="74"/>
    <n v="-10.1"/>
    <n v="4.21"/>
    <s v="#22"/>
    <x v="1"/>
    <n v="9.26"/>
    <n v="-0.84"/>
    <n v="5.05"/>
    <n v="25.502500000000001"/>
    <x v="9"/>
    <s v="seth1RB"/>
    <n v="7"/>
    <s v="seth1RB-7"/>
  </r>
  <r>
    <x v="6"/>
    <x v="215"/>
    <s v="0.91-7.49"/>
    <n v="4.2"/>
    <s v="#11"/>
    <x v="3"/>
    <n v="7.49"/>
    <n v="0.91"/>
    <n v="3.29"/>
    <n v="10.8241"/>
    <x v="7"/>
    <s v="NA12TE"/>
    <n v="9"/>
    <s v="NA12TE-9"/>
  </r>
  <r>
    <x v="13"/>
    <x v="233"/>
    <s v="0.55-7.85"/>
    <n v="4.2"/>
    <s v="#1"/>
    <x v="3"/>
    <n v="7.85"/>
    <n v="0.55000000000000004"/>
    <n v="3.65"/>
    <n v="13.3225"/>
    <x v="7"/>
    <s v="NA8TE"/>
    <n v="7"/>
    <s v="NA8TE-7"/>
  </r>
  <r>
    <x v="15"/>
    <x v="196"/>
    <s v="0.66-7.74"/>
    <n v="4.2"/>
    <s v="#7"/>
    <x v="3"/>
    <n v="7.74"/>
    <n v="0.66"/>
    <n v="3.54"/>
    <n v="12.531599999999999"/>
    <x v="4"/>
    <s v="scott10TE"/>
    <n v="2"/>
    <s v="scott10TE-2"/>
  </r>
  <r>
    <x v="14"/>
    <x v="176"/>
    <s v="1.25-7.13"/>
    <n v="4.1900000000000004"/>
    <s v="#13"/>
    <x v="2"/>
    <n v="7.13"/>
    <n v="1.25"/>
    <n v="2.94"/>
    <n v="8.6435999999999993"/>
    <x v="7"/>
    <s v="NA4WR"/>
    <n v="17"/>
    <s v="NA4WR-17"/>
  </r>
  <r>
    <x v="4"/>
    <x v="218"/>
    <n v="-10.8"/>
    <n v="4.1900000000000004"/>
    <s v="#16"/>
    <x v="2"/>
    <n v="9.59"/>
    <n v="-1.21"/>
    <n v="5.4"/>
    <n v="29.16"/>
    <x v="7"/>
    <s v="NA7WR"/>
    <n v="25"/>
    <s v="NA7WR-25"/>
  </r>
  <r>
    <x v="0"/>
    <x v="220"/>
    <s v="0.33-8.05"/>
    <n v="4.1900000000000004"/>
    <s v="#24"/>
    <x v="3"/>
    <n v="8.0500000000000007"/>
    <n v="0.33"/>
    <n v="3.86"/>
    <n v="14.8996"/>
    <x v="7"/>
    <s v="NA17TE"/>
    <n v="6"/>
    <s v="NA17TE-6"/>
  </r>
  <r>
    <x v="14"/>
    <x v="217"/>
    <s v="1.47-6.91"/>
    <n v="4.1900000000000004"/>
    <s v="#1"/>
    <x v="3"/>
    <n v="6.91"/>
    <n v="1.47"/>
    <n v="2.72"/>
    <n v="7.3983999999999996"/>
    <x v="7"/>
    <s v="NA4TE"/>
    <n v="5"/>
    <s v="NA4TE-5"/>
  </r>
  <r>
    <x v="11"/>
    <x v="199"/>
    <s v="0.96-7.42"/>
    <n v="4.1900000000000004"/>
    <s v="#4"/>
    <x v="2"/>
    <n v="7.42"/>
    <n v="0.96"/>
    <n v="3.23"/>
    <n v="10.4329"/>
    <x v="7"/>
    <s v="NA14WR"/>
    <n v="24"/>
    <s v="NA14WR-24"/>
  </r>
  <r>
    <x v="7"/>
    <x v="243"/>
    <s v="0.62-7.76"/>
    <n v="4.1900000000000004"/>
    <s v="#11"/>
    <x v="1"/>
    <n v="7.76"/>
    <n v="0.62"/>
    <n v="3.57"/>
    <n v="12.744899999999999"/>
    <x v="7"/>
    <s v="NA1RB"/>
    <n v="16"/>
    <s v="NA1RB-16"/>
  </r>
  <r>
    <x v="15"/>
    <x v="212"/>
    <s v="0.19-8.17"/>
    <n v="4.18"/>
    <s v="#28"/>
    <x v="2"/>
    <n v="8.17"/>
    <n v="0.19"/>
    <n v="3.99"/>
    <n v="15.9201"/>
    <x v="7"/>
    <s v="NA10WR"/>
    <n v="23"/>
    <s v="NA10WR-23"/>
  </r>
  <r>
    <x v="0"/>
    <x v="215"/>
    <s v="0.14-8.22"/>
    <n v="4.18"/>
    <s v="#27"/>
    <x v="3"/>
    <n v="8.2200000000000006"/>
    <n v="0.14000000000000001"/>
    <n v="4.04"/>
    <n v="16.3216"/>
    <x v="7"/>
    <s v="NA17TE"/>
    <n v="7"/>
    <s v="NA17TE-7"/>
  </r>
  <r>
    <x v="14"/>
    <x v="220"/>
    <s v="0.18-8.18"/>
    <n v="4.18"/>
    <s v="#21"/>
    <x v="3"/>
    <n v="8.18"/>
    <n v="0.18"/>
    <n v="4"/>
    <n v="16"/>
    <x v="7"/>
    <s v="NA4TE"/>
    <n v="6"/>
    <s v="NA4TE-6"/>
  </r>
  <r>
    <x v="11"/>
    <x v="225"/>
    <s v="1.05-7.31"/>
    <n v="4.18"/>
    <s v="#28"/>
    <x v="1"/>
    <n v="7.31"/>
    <n v="1.05"/>
    <n v="3.13"/>
    <n v="9.7969000000000008"/>
    <x v="7"/>
    <s v="NA14RB"/>
    <n v="16"/>
    <s v="NA14RB-16"/>
  </r>
  <r>
    <x v="2"/>
    <x v="201"/>
    <s v="0.98-7.38"/>
    <n v="4.18"/>
    <s v="#7"/>
    <x v="2"/>
    <n v="7.38"/>
    <n v="0.98"/>
    <n v="3.2"/>
    <n v="10.24"/>
    <x v="7"/>
    <s v="NA9WR"/>
    <n v="19"/>
    <s v="NA9WR-19"/>
  </r>
  <r>
    <x v="16"/>
    <x v="199"/>
    <s v="0.11-8.25"/>
    <n v="4.18"/>
    <s v="#26"/>
    <x v="2"/>
    <n v="8.25"/>
    <n v="0.11"/>
    <n v="4.07"/>
    <n v="16.564900000000002"/>
    <x v="7"/>
    <s v="NA3WR"/>
    <n v="22"/>
    <s v="NA3WR-22"/>
  </r>
  <r>
    <x v="5"/>
    <x v="244"/>
    <s v="1.26-7.10"/>
    <n v="4.18"/>
    <s v="#32"/>
    <x v="2"/>
    <n v="7.1"/>
    <n v="1.26"/>
    <n v="2.92"/>
    <n v="8.5264000000000006"/>
    <x v="7"/>
    <s v="NA13WR"/>
    <n v="26"/>
    <s v="NA13WR-26"/>
  </r>
  <r>
    <x v="0"/>
    <x v="195"/>
    <s v="0.66-7.68"/>
    <n v="4.17"/>
    <s v="#3"/>
    <x v="1"/>
    <n v="7.68"/>
    <n v="0.66"/>
    <n v="3.51"/>
    <n v="12.3201"/>
    <x v="1"/>
    <s v="perry17RB"/>
    <n v="4"/>
    <s v="perry17RB-4"/>
  </r>
  <r>
    <x v="8"/>
    <x v="194"/>
    <n v="-9.9200000000000017"/>
    <n v="4.17"/>
    <s v="#12"/>
    <x v="2"/>
    <n v="9.1300000000000008"/>
    <n v="-0.79"/>
    <n v="4.96"/>
    <n v="24.601600000000001"/>
    <x v="7"/>
    <s v="NA6WR"/>
    <n v="24"/>
    <s v="NA6WR-24"/>
  </r>
  <r>
    <x v="2"/>
    <x v="202"/>
    <s v="1.50-6.84"/>
    <n v="4.17"/>
    <s v="#4"/>
    <x v="2"/>
    <n v="6.84"/>
    <n v="1.5"/>
    <n v="2.67"/>
    <n v="7.1288999999999998"/>
    <x v="7"/>
    <s v="NA9WR"/>
    <n v="20"/>
    <s v="NA9WR-20"/>
  </r>
  <r>
    <x v="10"/>
    <x v="177"/>
    <n v="-9.14"/>
    <n v="4.17"/>
    <s v="#17"/>
    <x v="2"/>
    <n v="8.74"/>
    <n v="-0.4"/>
    <n v="4.57"/>
    <n v="20.884899999999998"/>
    <x v="7"/>
    <s v="NA2WR"/>
    <n v="24"/>
    <s v="NA2WR-24"/>
  </r>
  <r>
    <x v="16"/>
    <x v="180"/>
    <s v="0.97-7.37"/>
    <n v="4.17"/>
    <s v="#21"/>
    <x v="2"/>
    <n v="7.37"/>
    <n v="0.97"/>
    <n v="3.2"/>
    <n v="10.24"/>
    <x v="7"/>
    <s v="NA3WR"/>
    <n v="23"/>
    <s v="NA3WR-23"/>
  </r>
  <r>
    <x v="0"/>
    <x v="166"/>
    <s v="0.70-7.64"/>
    <n v="4.17"/>
    <s v="#13"/>
    <x v="1"/>
    <n v="7.64"/>
    <n v="0.7"/>
    <n v="3.47"/>
    <n v="12.040900000000001"/>
    <x v="7"/>
    <s v="NA17RB"/>
    <n v="18"/>
    <s v="NA17RB-18"/>
  </r>
  <r>
    <x v="16"/>
    <x v="206"/>
    <n v="-9.48"/>
    <n v="4.17"/>
    <s v="#10"/>
    <x v="2"/>
    <n v="8.91"/>
    <n v="-0.56999999999999995"/>
    <n v="4.74"/>
    <n v="22.467600000000001"/>
    <x v="8"/>
    <s v="comp3WR"/>
    <n v="6"/>
    <s v="comp3WR-6"/>
  </r>
  <r>
    <x v="9"/>
    <x v="245"/>
    <s v="0.43-7.91"/>
    <n v="4.17"/>
    <s v="#30"/>
    <x v="2"/>
    <n v="7.91"/>
    <n v="0.43"/>
    <n v="3.74"/>
    <n v="13.9876"/>
    <x v="7"/>
    <s v="NA15WR"/>
    <n v="26"/>
    <s v="NA15WR-26"/>
  </r>
  <r>
    <x v="13"/>
    <x v="210"/>
    <n v="-8.379999999999999"/>
    <n v="4.16"/>
    <s v="#15"/>
    <x v="1"/>
    <n v="8.35"/>
    <n v="-0.03"/>
    <n v="4.1900000000000004"/>
    <n v="17.556100000000001"/>
    <x v="7"/>
    <s v="NA8RB"/>
    <n v="17"/>
    <s v="NA8RB-17"/>
  </r>
  <r>
    <x v="7"/>
    <x v="124"/>
    <s v="0.78-7.52"/>
    <n v="4.1500000000000004"/>
    <s v="#6"/>
    <x v="2"/>
    <n v="7.52"/>
    <n v="0.78"/>
    <n v="3.37"/>
    <n v="11.3569"/>
    <x v="8"/>
    <s v="comp1WR"/>
    <n v="7"/>
    <s v="comp1WR-7"/>
  </r>
  <r>
    <x v="13"/>
    <x v="220"/>
    <s v="0.29-8.01"/>
    <n v="4.1500000000000004"/>
    <s v="#17"/>
    <x v="3"/>
    <n v="8.01"/>
    <n v="0.28999999999999998"/>
    <n v="3.86"/>
    <n v="14.8996"/>
    <x v="7"/>
    <s v="NA8TE"/>
    <n v="8"/>
    <s v="NA8TE-8"/>
  </r>
  <r>
    <x v="12"/>
    <x v="229"/>
    <s v="0.06-8.24"/>
    <n v="4.1500000000000004"/>
    <s v="#7"/>
    <x v="3"/>
    <n v="8.24"/>
    <n v="0.06"/>
    <n v="4.09"/>
    <n v="16.728100000000001"/>
    <x v="7"/>
    <s v="NA5TE"/>
    <n v="5"/>
    <s v="NA5TE-5"/>
  </r>
  <r>
    <x v="9"/>
    <x v="211"/>
    <s v="1.21-7.07"/>
    <n v="4.1399999999999997"/>
    <s v="#9"/>
    <x v="2"/>
    <n v="7.07"/>
    <n v="1.21"/>
    <n v="2.93"/>
    <n v="8.5848999999999993"/>
    <x v="7"/>
    <s v="NA15WR"/>
    <n v="27"/>
    <s v="NA15WR-27"/>
  </r>
  <r>
    <x v="5"/>
    <x v="197"/>
    <s v="0.93-7.33"/>
    <n v="4.13"/>
    <s v="#7"/>
    <x v="3"/>
    <n v="7.33"/>
    <n v="0.93"/>
    <n v="3.2"/>
    <n v="10.24"/>
    <x v="7"/>
    <s v="NA13TE"/>
    <n v="5"/>
    <s v="NA13TE-5"/>
  </r>
  <r>
    <x v="1"/>
    <x v="201"/>
    <s v="0.71-7.55"/>
    <n v="4.13"/>
    <s v="#23"/>
    <x v="2"/>
    <n v="7.55"/>
    <n v="0.71"/>
    <n v="3.42"/>
    <n v="11.696400000000001"/>
    <x v="7"/>
    <s v="NA16WR"/>
    <n v="20"/>
    <s v="NA16WR-20"/>
  </r>
  <r>
    <x v="9"/>
    <x v="113"/>
    <s v="1.23-7.03"/>
    <n v="4.13"/>
    <s v="#30"/>
    <x v="3"/>
    <n v="7.03"/>
    <n v="1.23"/>
    <n v="2.9"/>
    <n v="8.41"/>
    <x v="10"/>
    <s v="aj15TE"/>
    <n v="2"/>
    <s v="aj15TE-2"/>
  </r>
  <r>
    <x v="8"/>
    <x v="193"/>
    <n v="-8.6399999999999988"/>
    <n v="4.13"/>
    <s v="#10"/>
    <x v="3"/>
    <n v="8.4499999999999993"/>
    <n v="-0.19"/>
    <n v="4.32"/>
    <n v="18.662400000000002"/>
    <x v="7"/>
    <s v="NA6TE"/>
    <n v="6"/>
    <s v="NA6TE-6"/>
  </r>
  <r>
    <x v="12"/>
    <x v="216"/>
    <s v="1.20-7.06"/>
    <n v="4.13"/>
    <s v="#20"/>
    <x v="2"/>
    <n v="7.06"/>
    <n v="1.2"/>
    <n v="2.93"/>
    <n v="8.5848999999999993"/>
    <x v="7"/>
    <s v="NA5WR"/>
    <n v="27"/>
    <s v="NA5WR-27"/>
  </r>
  <r>
    <x v="1"/>
    <x v="235"/>
    <s v="0.00-8.26"/>
    <n v="4.13"/>
    <s v="#31"/>
    <x v="1"/>
    <n v="8.26"/>
    <n v="0"/>
    <n v="4.13"/>
    <n v="17.056899999999999"/>
    <x v="7"/>
    <s v="NA16RB"/>
    <n v="18"/>
    <s v="NA16RB-18"/>
  </r>
  <r>
    <x v="13"/>
    <x v="135"/>
    <s v="1.44-6.82"/>
    <n v="4.13"/>
    <s v="#8"/>
    <x v="1"/>
    <n v="6.82"/>
    <n v="1.44"/>
    <n v="2.69"/>
    <n v="7.2361000000000004"/>
    <x v="7"/>
    <s v="NA8RB"/>
    <n v="18"/>
    <s v="NA8RB-18"/>
  </r>
  <r>
    <x v="0"/>
    <x v="197"/>
    <s v="0.98-7.26"/>
    <n v="4.12"/>
    <s v="#29"/>
    <x v="3"/>
    <n v="7.26"/>
    <n v="0.98"/>
    <n v="3.14"/>
    <n v="9.8596000000000004"/>
    <x v="7"/>
    <s v="NA17TE"/>
    <n v="8"/>
    <s v="NA17TE-8"/>
  </r>
  <r>
    <x v="5"/>
    <x v="218"/>
    <n v="-12.360000000000001"/>
    <n v="4.12"/>
    <s v="#21"/>
    <x v="2"/>
    <n v="10.3"/>
    <n v="-2.06"/>
    <n v="6.18"/>
    <n v="38.192399999999999"/>
    <x v="7"/>
    <s v="NA13WR"/>
    <n v="27"/>
    <s v="NA13WR-27"/>
  </r>
  <r>
    <x v="7"/>
    <x v="154"/>
    <n v="-8.44"/>
    <n v="4.12"/>
    <s v="#15"/>
    <x v="3"/>
    <n v="8.34"/>
    <n v="-0.1"/>
    <n v="4.22"/>
    <n v="17.808399999999999"/>
    <x v="7"/>
    <s v="NA1TE"/>
    <n v="10"/>
    <s v="NA1TE-10"/>
  </r>
  <r>
    <x v="2"/>
    <x v="113"/>
    <s v="1.16-7.08"/>
    <n v="4.12"/>
    <s v="#31"/>
    <x v="3"/>
    <n v="7.08"/>
    <n v="1.1599999999999999"/>
    <n v="2.96"/>
    <n v="8.7615999999999996"/>
    <x v="10"/>
    <s v="aj9TE"/>
    <n v="2"/>
    <s v="aj9TE-2"/>
  </r>
  <r>
    <x v="4"/>
    <x v="206"/>
    <s v="0.37-7.87"/>
    <n v="4.12"/>
    <s v="#14"/>
    <x v="2"/>
    <n v="7.87"/>
    <n v="0.37"/>
    <n v="3.75"/>
    <n v="14.0625"/>
    <x v="8"/>
    <s v="comp7WR"/>
    <n v="5"/>
    <s v="comp7WR-5"/>
  </r>
  <r>
    <x v="5"/>
    <x v="235"/>
    <s v="0.18-8.06"/>
    <n v="4.12"/>
    <s v="#30"/>
    <x v="1"/>
    <n v="8.06"/>
    <n v="0.18"/>
    <n v="3.94"/>
    <n v="15.5236"/>
    <x v="7"/>
    <s v="NA13RB"/>
    <n v="19"/>
    <s v="NA13RB-19"/>
  </r>
  <r>
    <x v="5"/>
    <x v="179"/>
    <s v="0.56-7.66"/>
    <n v="4.1100000000000003"/>
    <s v="#3"/>
    <x v="3"/>
    <n v="7.66"/>
    <n v="0.56000000000000005"/>
    <n v="3.55"/>
    <n v="12.602499999999999"/>
    <x v="2"/>
    <s v="devon13TE"/>
    <n v="2"/>
    <s v="devon13TE-2"/>
  </r>
  <r>
    <x v="12"/>
    <x v="246"/>
    <n v="-8.84"/>
    <n v="4.1100000000000003"/>
    <s v="#28"/>
    <x v="2"/>
    <n v="8.5299999999999994"/>
    <n v="-0.31"/>
    <n v="4.42"/>
    <n v="19.5364"/>
    <x v="7"/>
    <s v="NA5WR"/>
    <n v="28"/>
    <s v="NA5WR-28"/>
  </r>
  <r>
    <x v="13"/>
    <x v="227"/>
    <s v="0.97-7.25"/>
    <n v="4.1100000000000003"/>
    <s v="#5"/>
    <x v="2"/>
    <n v="7.25"/>
    <n v="0.97"/>
    <n v="3.14"/>
    <n v="9.8596000000000004"/>
    <x v="7"/>
    <s v="NA8WR"/>
    <n v="21"/>
    <s v="NA8WR-21"/>
  </r>
  <r>
    <x v="8"/>
    <x v="216"/>
    <s v="1.32-6.90"/>
    <n v="4.1100000000000003"/>
    <s v="#8"/>
    <x v="2"/>
    <n v="6.9"/>
    <n v="1.32"/>
    <n v="2.79"/>
    <n v="7.7840999999999996"/>
    <x v="7"/>
    <s v="NA6WR"/>
    <n v="25"/>
    <s v="NA6WR-25"/>
  </r>
  <r>
    <x v="13"/>
    <x v="201"/>
    <s v="0.21-7.99"/>
    <n v="4.0999999999999996"/>
    <s v="#19"/>
    <x v="2"/>
    <n v="7.99"/>
    <n v="0.21"/>
    <n v="3.89"/>
    <n v="15.132099999999999"/>
    <x v="7"/>
    <s v="NA8WR"/>
    <n v="22"/>
    <s v="NA8WR-22"/>
  </r>
  <r>
    <x v="6"/>
    <x v="93"/>
    <s v="0.50-7.70"/>
    <n v="4.0999999999999996"/>
    <s v="#22"/>
    <x v="1"/>
    <n v="7.7"/>
    <n v="0.5"/>
    <n v="3.6"/>
    <n v="12.96"/>
    <x v="7"/>
    <s v="NA12RB"/>
    <n v="14"/>
    <s v="NA12RB-14"/>
  </r>
  <r>
    <x v="11"/>
    <x v="190"/>
    <s v="0.31-7.89"/>
    <n v="4.0999999999999996"/>
    <s v="#24"/>
    <x v="2"/>
    <n v="7.89"/>
    <n v="0.31"/>
    <n v="3.79"/>
    <n v="14.364100000000001"/>
    <x v="7"/>
    <s v="NA14WR"/>
    <n v="25"/>
    <s v="NA14WR-25"/>
  </r>
  <r>
    <x v="6"/>
    <x v="211"/>
    <s v="0.75-7.43"/>
    <n v="4.09"/>
    <s v="#12"/>
    <x v="2"/>
    <n v="7.43"/>
    <n v="0.75"/>
    <n v="3.34"/>
    <n v="11.1556"/>
    <x v="7"/>
    <s v="NA12WR"/>
    <n v="24"/>
    <s v="NA12WR-24"/>
  </r>
  <r>
    <x v="15"/>
    <x v="199"/>
    <s v="0.86-7.32"/>
    <n v="4.09"/>
    <s v="#4"/>
    <x v="2"/>
    <n v="7.32"/>
    <n v="0.86"/>
    <n v="3.23"/>
    <n v="10.4329"/>
    <x v="7"/>
    <s v="NA10WR"/>
    <n v="24"/>
    <s v="NA10WR-24"/>
  </r>
  <r>
    <x v="11"/>
    <x v="216"/>
    <s v="1.18-6.98"/>
    <n v="4.08"/>
    <s v="#15"/>
    <x v="2"/>
    <n v="6.98"/>
    <n v="1.18"/>
    <n v="2.9"/>
    <n v="8.41"/>
    <x v="7"/>
    <s v="NA14WR"/>
    <n v="26"/>
    <s v="NA14WR-26"/>
  </r>
  <r>
    <x v="10"/>
    <x v="228"/>
    <n v="-8.620000000000001"/>
    <n v="4.08"/>
    <s v="#10"/>
    <x v="3"/>
    <n v="8.39"/>
    <n v="-0.23"/>
    <n v="4.3099999999999996"/>
    <n v="18.5761"/>
    <x v="7"/>
    <s v="NA2TE"/>
    <n v="8"/>
    <s v="NA2TE-8"/>
  </r>
  <r>
    <x v="12"/>
    <x v="242"/>
    <s v="0.25-7.91"/>
    <n v="4.08"/>
    <s v="#29"/>
    <x v="2"/>
    <n v="7.91"/>
    <n v="0.25"/>
    <n v="3.83"/>
    <n v="14.668900000000001"/>
    <x v="7"/>
    <s v="NA5WR"/>
    <n v="29"/>
    <s v="NA5WR-29"/>
  </r>
  <r>
    <x v="14"/>
    <x v="209"/>
    <s v="0.15-8.01"/>
    <n v="4.08"/>
    <s v="#15"/>
    <x v="2"/>
    <n v="8.01"/>
    <n v="0.15"/>
    <n v="3.93"/>
    <n v="15.444900000000001"/>
    <x v="7"/>
    <s v="NA4WR"/>
    <n v="18"/>
    <s v="NA4WR-18"/>
  </r>
  <r>
    <x v="10"/>
    <x v="212"/>
    <s v="0.16-7.98"/>
    <n v="4.07"/>
    <s v="#8"/>
    <x v="2"/>
    <n v="7.98"/>
    <n v="0.16"/>
    <n v="3.91"/>
    <n v="15.2881"/>
    <x v="7"/>
    <s v="NA2WR"/>
    <n v="25"/>
    <s v="NA2WR-25"/>
  </r>
  <r>
    <x v="6"/>
    <x v="212"/>
    <s v="0.08-8.06"/>
    <n v="4.07"/>
    <s v="#28"/>
    <x v="2"/>
    <n v="8.06"/>
    <n v="0.08"/>
    <n v="3.99"/>
    <n v="15.9201"/>
    <x v="7"/>
    <s v="NA12WR"/>
    <n v="25"/>
    <s v="NA12WR-25"/>
  </r>
  <r>
    <x v="6"/>
    <x v="196"/>
    <s v="1.01-7.13"/>
    <n v="4.07"/>
    <s v="#16"/>
    <x v="3"/>
    <n v="7.13"/>
    <n v="1.01"/>
    <n v="3.06"/>
    <n v="9.3635999999999999"/>
    <x v="4"/>
    <s v="scott12TE"/>
    <n v="2"/>
    <s v="scott12TE-2"/>
  </r>
  <r>
    <x v="10"/>
    <x v="237"/>
    <s v="0.04-8.08"/>
    <n v="4.0599999999999996"/>
    <s v="#2"/>
    <x v="2"/>
    <n v="8.08"/>
    <n v="0.04"/>
    <n v="4.0199999999999996"/>
    <n v="16.160399999999999"/>
    <x v="7"/>
    <s v="NA2WR"/>
    <n v="26"/>
    <s v="NA2WR-26"/>
  </r>
  <r>
    <x v="4"/>
    <x v="192"/>
    <s v="0.95-7.17"/>
    <n v="4.0599999999999996"/>
    <s v="#1"/>
    <x v="3"/>
    <n v="7.17"/>
    <n v="0.95"/>
    <n v="3.11"/>
    <n v="9.6721000000000004"/>
    <x v="7"/>
    <s v="NA7TE"/>
    <n v="8"/>
    <s v="NA7TE-8"/>
  </r>
  <r>
    <x v="13"/>
    <x v="218"/>
    <n v="-10.92"/>
    <n v="4.0599999999999996"/>
    <s v="#18"/>
    <x v="2"/>
    <n v="9.52"/>
    <n v="-1.4"/>
    <n v="5.46"/>
    <n v="29.811599999999999"/>
    <x v="7"/>
    <s v="NA8WR"/>
    <n v="23"/>
    <s v="NA8WR-23"/>
  </r>
  <r>
    <x v="14"/>
    <x v="184"/>
    <s v="0.28-7.84"/>
    <n v="4.0599999999999996"/>
    <s v="#32"/>
    <x v="2"/>
    <n v="7.84"/>
    <n v="0.28000000000000003"/>
    <n v="3.78"/>
    <n v="14.288399999999999"/>
    <x v="7"/>
    <s v="NA4WR"/>
    <n v="19"/>
    <s v="NA4WR-19"/>
  </r>
  <r>
    <x v="11"/>
    <x v="194"/>
    <n v="-10.1"/>
    <n v="4.0599999999999996"/>
    <s v="#2"/>
    <x v="2"/>
    <n v="9.11"/>
    <n v="-0.99"/>
    <n v="5.05"/>
    <n v="25.502500000000001"/>
    <x v="7"/>
    <s v="NA14WR"/>
    <n v="27"/>
    <s v="NA14WR-27"/>
  </r>
  <r>
    <x v="6"/>
    <x v="210"/>
    <n v="-8.3000000000000007"/>
    <n v="4.0599999999999996"/>
    <s v="#19"/>
    <x v="1"/>
    <n v="8.2100000000000009"/>
    <n v="-0.09"/>
    <n v="4.1500000000000004"/>
    <n v="17.2225"/>
    <x v="7"/>
    <s v="NA12RB"/>
    <n v="15"/>
    <s v="NA12RB-15"/>
  </r>
  <r>
    <x v="13"/>
    <x v="244"/>
    <s v="0.97-7.15"/>
    <n v="4.0599999999999996"/>
    <s v="#9"/>
    <x v="2"/>
    <n v="7.15"/>
    <n v="0.97"/>
    <n v="3.09"/>
    <n v="9.5480999999999998"/>
    <x v="7"/>
    <s v="NA8WR"/>
    <n v="24"/>
    <s v="NA8WR-24"/>
  </r>
  <r>
    <x v="1"/>
    <x v="89"/>
    <s v="1.07-7.03"/>
    <n v="4.05"/>
    <s v="#11"/>
    <x v="2"/>
    <n v="7.03"/>
    <n v="1.07"/>
    <n v="2.98"/>
    <n v="8.8803999999999998"/>
    <x v="1"/>
    <s v="perry16WR"/>
    <n v="5"/>
    <s v="perry16WR-5"/>
  </r>
  <r>
    <x v="1"/>
    <x v="216"/>
    <s v="1.37-6.73"/>
    <n v="4.05"/>
    <s v="#16"/>
    <x v="2"/>
    <n v="6.73"/>
    <n v="1.37"/>
    <n v="2.68"/>
    <n v="7.1824000000000003"/>
    <x v="7"/>
    <s v="NA16WR"/>
    <n v="21"/>
    <s v="NA16WR-21"/>
  </r>
  <r>
    <x v="4"/>
    <x v="209"/>
    <s v="0.95-7.15"/>
    <n v="4.05"/>
    <s v="#30"/>
    <x v="2"/>
    <n v="7.15"/>
    <n v="0.95"/>
    <n v="3.1"/>
    <n v="9.61"/>
    <x v="7"/>
    <s v="NA7WR"/>
    <n v="26"/>
    <s v="NA7WR-26"/>
  </r>
  <r>
    <x v="3"/>
    <x v="197"/>
    <s v="1.02-7.06"/>
    <n v="4.04"/>
    <s v="#22"/>
    <x v="3"/>
    <n v="7.06"/>
    <n v="1.02"/>
    <n v="3.02"/>
    <n v="9.1204000000000001"/>
    <x v="7"/>
    <s v="NA11TE"/>
    <n v="6"/>
    <s v="NA11TE-6"/>
  </r>
  <r>
    <x v="16"/>
    <x v="225"/>
    <s v="1.27-6.81"/>
    <n v="4.04"/>
    <s v="#5"/>
    <x v="1"/>
    <n v="6.81"/>
    <n v="1.27"/>
    <n v="2.77"/>
    <n v="7.6729000000000003"/>
    <x v="7"/>
    <s v="NA3RB"/>
    <n v="21"/>
    <s v="NA3RB-21"/>
  </r>
  <r>
    <x v="3"/>
    <x v="171"/>
    <s v="0.49-7.59"/>
    <n v="4.04"/>
    <s v="#14"/>
    <x v="2"/>
    <n v="7.59"/>
    <n v="0.49"/>
    <n v="3.55"/>
    <n v="12.602499999999999"/>
    <x v="7"/>
    <s v="NA11WR"/>
    <n v="19"/>
    <s v="NA11WR-19"/>
  </r>
  <r>
    <x v="2"/>
    <x v="199"/>
    <s v="1.00-7.08"/>
    <n v="4.04"/>
    <s v="#5"/>
    <x v="2"/>
    <n v="7.08"/>
    <n v="1"/>
    <n v="3.04"/>
    <n v="9.2416"/>
    <x v="7"/>
    <s v="NA9WR"/>
    <n v="21"/>
    <s v="NA9WR-21"/>
  </r>
  <r>
    <x v="11"/>
    <x v="166"/>
    <s v="0.46-7.62"/>
    <n v="4.04"/>
    <s v="#26"/>
    <x v="1"/>
    <n v="7.62"/>
    <n v="0.46"/>
    <n v="3.58"/>
    <n v="12.8164"/>
    <x v="7"/>
    <s v="NA14RB"/>
    <n v="17"/>
    <s v="NA14RB-17"/>
  </r>
  <r>
    <x v="14"/>
    <x v="190"/>
    <s v="1.47-6.61"/>
    <n v="4.04"/>
    <s v="#24"/>
    <x v="2"/>
    <n v="6.61"/>
    <n v="1.47"/>
    <n v="2.57"/>
    <n v="6.6048999999999998"/>
    <x v="7"/>
    <s v="NA4WR"/>
    <n v="20"/>
    <s v="NA4WR-20"/>
  </r>
  <r>
    <x v="12"/>
    <x v="225"/>
    <s v="0.88-7.18"/>
    <n v="4.03"/>
    <s v="#18"/>
    <x v="1"/>
    <n v="7.18"/>
    <n v="0.88"/>
    <n v="3.15"/>
    <n v="9.9224999999999994"/>
    <x v="7"/>
    <s v="NA5RB"/>
    <n v="14"/>
    <s v="NA5RB-14"/>
  </r>
  <r>
    <x v="12"/>
    <x v="247"/>
    <s v="0.97-7.09"/>
    <n v="4.03"/>
    <s v="#3"/>
    <x v="2"/>
    <n v="7.09"/>
    <n v="0.97"/>
    <n v="3.06"/>
    <n v="9.3635999999999999"/>
    <x v="7"/>
    <s v="NA5WR"/>
    <n v="30"/>
    <s v="NA5WR-30"/>
  </r>
  <r>
    <x v="7"/>
    <x v="169"/>
    <s v="0.16-7.90"/>
    <n v="4.03"/>
    <s v="#1"/>
    <x v="1"/>
    <n v="7.9"/>
    <n v="0.16"/>
    <n v="3.87"/>
    <n v="14.976900000000001"/>
    <x v="7"/>
    <s v="NA1RB"/>
    <n v="17"/>
    <s v="NA1RB-17"/>
  </r>
  <r>
    <x v="12"/>
    <x v="227"/>
    <s v="1.03-7.03"/>
    <n v="4.03"/>
    <s v="#16"/>
    <x v="2"/>
    <n v="7.03"/>
    <n v="1.03"/>
    <n v="3"/>
    <n v="9"/>
    <x v="7"/>
    <s v="NA5WR"/>
    <n v="31"/>
    <s v="NA5WR-31"/>
  </r>
  <r>
    <x v="15"/>
    <x v="210"/>
    <s v="0.88-7.18"/>
    <n v="4.03"/>
    <s v="#29"/>
    <x v="1"/>
    <n v="7.18"/>
    <n v="0.88"/>
    <n v="3.15"/>
    <n v="9.9224999999999994"/>
    <x v="7"/>
    <s v="NA10RB"/>
    <n v="18"/>
    <s v="NA10RB-18"/>
  </r>
  <r>
    <x v="11"/>
    <x v="238"/>
    <s v="0.59-7.47"/>
    <n v="4.03"/>
    <s v="#30"/>
    <x v="1"/>
    <n v="7.47"/>
    <n v="0.59"/>
    <n v="3.44"/>
    <n v="11.833600000000001"/>
    <x v="7"/>
    <s v="NA14RB"/>
    <n v="18"/>
    <s v="NA14RB-18"/>
  </r>
  <r>
    <x v="8"/>
    <x v="242"/>
    <s v="0.13-7.93"/>
    <n v="4.03"/>
    <s v="#19"/>
    <x v="2"/>
    <n v="7.93"/>
    <n v="0.13"/>
    <n v="3.9"/>
    <n v="15.21"/>
    <x v="7"/>
    <s v="NA6WR"/>
    <n v="26"/>
    <s v="NA6WR-26"/>
  </r>
  <r>
    <x v="1"/>
    <x v="242"/>
    <n v="-8.2000000000000011"/>
    <n v="4.03"/>
    <s v="#30"/>
    <x v="2"/>
    <n v="8.1300000000000008"/>
    <n v="-7.0000000000000007E-2"/>
    <n v="4.0999999999999996"/>
    <n v="16.809999999999999"/>
    <x v="7"/>
    <s v="NA16WR"/>
    <n v="22"/>
    <s v="NA16WR-22"/>
  </r>
  <r>
    <x v="14"/>
    <x v="178"/>
    <n v="-9"/>
    <n v="4.03"/>
    <s v="#3"/>
    <x v="2"/>
    <n v="8.5299999999999994"/>
    <n v="-0.47"/>
    <n v="4.5"/>
    <n v="20.25"/>
    <x v="7"/>
    <s v="NA4WR"/>
    <n v="21"/>
    <s v="NA4WR-21"/>
  </r>
  <r>
    <x v="9"/>
    <x v="209"/>
    <s v="1.22-6.84"/>
    <n v="4.03"/>
    <s v="#31"/>
    <x v="2"/>
    <n v="6.84"/>
    <n v="1.22"/>
    <n v="2.81"/>
    <n v="7.8960999999999997"/>
    <x v="7"/>
    <s v="NA15WR"/>
    <n v="28"/>
    <s v="NA15WR-28"/>
  </r>
  <r>
    <x v="16"/>
    <x v="220"/>
    <s v="0.31-7.73"/>
    <n v="4.0199999999999996"/>
    <s v="#26"/>
    <x v="3"/>
    <n v="7.73"/>
    <n v="0.31"/>
    <n v="3.71"/>
    <n v="13.764099999999999"/>
    <x v="7"/>
    <s v="NA3TE"/>
    <n v="7"/>
    <s v="NA3TE-7"/>
  </r>
  <r>
    <x v="8"/>
    <x v="221"/>
    <s v="0.22-7.82"/>
    <n v="4.0199999999999996"/>
    <s v="#22"/>
    <x v="1"/>
    <n v="7.82"/>
    <n v="0.22"/>
    <n v="3.8"/>
    <n v="14.44"/>
    <x v="7"/>
    <s v="NA6RB"/>
    <n v="17"/>
    <s v="NA6RB-17"/>
  </r>
  <r>
    <x v="6"/>
    <x v="214"/>
    <n v="-8.5399999999999991"/>
    <n v="4.0199999999999996"/>
    <s v="#2"/>
    <x v="2"/>
    <n v="8.2899999999999991"/>
    <n v="-0.25"/>
    <n v="4.2699999999999996"/>
    <n v="18.232900000000001"/>
    <x v="7"/>
    <s v="NA12WR"/>
    <n v="26"/>
    <s v="NA12WR-26"/>
  </r>
  <r>
    <x v="0"/>
    <x v="235"/>
    <s v="0.12-7.92"/>
    <n v="4.0199999999999996"/>
    <s v="#22"/>
    <x v="1"/>
    <n v="7.92"/>
    <n v="0.12"/>
    <n v="3.9"/>
    <n v="15.21"/>
    <x v="7"/>
    <s v="NA17RB"/>
    <n v="19"/>
    <s v="NA17RB-19"/>
  </r>
  <r>
    <x v="8"/>
    <x v="238"/>
    <s v="0.28-7.76"/>
    <n v="4.0199999999999996"/>
    <s v="#29"/>
    <x v="1"/>
    <n v="7.76"/>
    <n v="0.28000000000000003"/>
    <n v="3.74"/>
    <n v="13.9876"/>
    <x v="7"/>
    <s v="NA6RB"/>
    <n v="18"/>
    <s v="NA6RB-18"/>
  </r>
  <r>
    <x v="0"/>
    <x v="244"/>
    <s v="1.10-6.94"/>
    <n v="4.0199999999999996"/>
    <s v="#32"/>
    <x v="2"/>
    <n v="6.94"/>
    <n v="1.1000000000000001"/>
    <n v="2.92"/>
    <n v="8.5264000000000006"/>
    <x v="7"/>
    <s v="NA17WR"/>
    <n v="27"/>
    <s v="NA17WR-27"/>
  </r>
  <r>
    <x v="0"/>
    <x v="245"/>
    <s v="0.28-7.76"/>
    <n v="4.0199999999999996"/>
    <s v="#30"/>
    <x v="2"/>
    <n v="7.76"/>
    <n v="0.28000000000000003"/>
    <n v="3.74"/>
    <n v="13.9876"/>
    <x v="7"/>
    <s v="NA17WR"/>
    <n v="28"/>
    <s v="NA17WR-28"/>
  </r>
  <r>
    <x v="9"/>
    <x v="175"/>
    <s v="1.46-6.58"/>
    <n v="4.0199999999999996"/>
    <s v="#32"/>
    <x v="2"/>
    <n v="6.58"/>
    <n v="1.46"/>
    <n v="2.56"/>
    <n v="6.5536000000000003"/>
    <x v="7"/>
    <s v="NA15WR"/>
    <n v="29"/>
    <s v="NA15WR-29"/>
  </r>
  <r>
    <x v="7"/>
    <x v="219"/>
    <s v="0.63-7.39"/>
    <n v="4.01"/>
    <s v="#14"/>
    <x v="2"/>
    <n v="7.39"/>
    <n v="0.63"/>
    <n v="3.38"/>
    <n v="11.4244"/>
    <x v="7"/>
    <s v="NA1WR"/>
    <n v="25"/>
    <s v="NA1WR-25"/>
  </r>
  <r>
    <x v="11"/>
    <x v="221"/>
    <s v="0.08-7.94"/>
    <n v="4.01"/>
    <s v="#23"/>
    <x v="1"/>
    <n v="7.94"/>
    <n v="0.08"/>
    <n v="3.93"/>
    <n v="15.444900000000001"/>
    <x v="7"/>
    <s v="NA14RB"/>
    <n v="19"/>
    <s v="NA14RB-19"/>
  </r>
  <r>
    <x v="11"/>
    <x v="113"/>
    <s v="0.89-7.13"/>
    <n v="4.01"/>
    <s v="#2"/>
    <x v="3"/>
    <n v="7.13"/>
    <n v="0.89"/>
    <n v="3.12"/>
    <n v="9.7344000000000008"/>
    <x v="10"/>
    <s v="aj14TE"/>
    <n v="2"/>
    <s v="aj14TE-2"/>
  </r>
  <r>
    <x v="12"/>
    <x v="193"/>
    <n v="-8.82"/>
    <n v="4.01"/>
    <s v="#4"/>
    <x v="3"/>
    <n v="8.42"/>
    <n v="-0.4"/>
    <n v="4.41"/>
    <n v="19.4481"/>
    <x v="7"/>
    <s v="NA5TE"/>
    <n v="6"/>
    <s v="NA5TE-6"/>
  </r>
  <r>
    <x v="12"/>
    <x v="245"/>
    <s v="0.20-7.82"/>
    <n v="4.01"/>
    <s v="#22"/>
    <x v="2"/>
    <n v="7.82"/>
    <n v="0.2"/>
    <n v="3.81"/>
    <n v="14.5161"/>
    <x v="7"/>
    <s v="NA5WR"/>
    <n v="32"/>
    <s v="NA5WR-32"/>
  </r>
  <r>
    <x v="2"/>
    <x v="203"/>
    <s v="0.34-7.66"/>
    <n v="4"/>
    <s v="#4"/>
    <x v="2"/>
    <n v="7.66"/>
    <n v="0.34"/>
    <n v="3.66"/>
    <n v="13.3956"/>
    <x v="7"/>
    <s v="NA9WR"/>
    <n v="22"/>
    <s v="NA9WR-22"/>
  </r>
  <r>
    <x v="14"/>
    <x v="248"/>
    <s v="0.75-7.25"/>
    <n v="4"/>
    <s v="#20"/>
    <x v="3"/>
    <n v="7.25"/>
    <n v="0.75"/>
    <n v="3.25"/>
    <n v="10.5625"/>
    <x v="7"/>
    <s v="NA4TE"/>
    <n v="7"/>
    <s v="NA4TE-7"/>
  </r>
  <r>
    <x v="13"/>
    <x v="236"/>
    <s v="0.67-7.33"/>
    <n v="4"/>
    <s v="#30"/>
    <x v="2"/>
    <n v="7.33"/>
    <n v="0.67"/>
    <n v="3.33"/>
    <n v="11.088900000000001"/>
    <x v="7"/>
    <s v="NA8WR"/>
    <n v="25"/>
    <s v="NA8WR-25"/>
  </r>
  <r>
    <x v="15"/>
    <x v="190"/>
    <s v="0.06-7.94"/>
    <n v="4"/>
    <s v="#14"/>
    <x v="2"/>
    <n v="7.94"/>
    <n v="0.06"/>
    <n v="3.94"/>
    <n v="15.5236"/>
    <x v="7"/>
    <s v="NA10WR"/>
    <n v="25"/>
    <s v="NA10WR-25"/>
  </r>
  <r>
    <x v="14"/>
    <x v="174"/>
    <s v="0.16-7.82"/>
    <n v="3.99"/>
    <s v="#8"/>
    <x v="2"/>
    <n v="7.82"/>
    <n v="0.16"/>
    <n v="3.83"/>
    <n v="14.668900000000001"/>
    <x v="7"/>
    <s v="NA4WR"/>
    <n v="22"/>
    <s v="NA4WR-22"/>
  </r>
  <r>
    <x v="1"/>
    <x v="222"/>
    <s v="1.01-6.97"/>
    <n v="3.99"/>
    <s v="#31"/>
    <x v="2"/>
    <n v="6.97"/>
    <n v="1.01"/>
    <n v="2.98"/>
    <n v="8.8803999999999998"/>
    <x v="7"/>
    <s v="NA16WR"/>
    <n v="23"/>
    <s v="NA16WR-23"/>
  </r>
  <r>
    <x v="5"/>
    <x v="220"/>
    <s v="0.12-7.84"/>
    <n v="3.98"/>
    <s v="#24"/>
    <x v="3"/>
    <n v="7.84"/>
    <n v="0.12"/>
    <n v="3.86"/>
    <n v="14.8996"/>
    <x v="7"/>
    <s v="NA13TE"/>
    <n v="6"/>
    <s v="NA13TE-6"/>
  </r>
  <r>
    <x v="0"/>
    <x v="113"/>
    <s v="1.08-6.88"/>
    <n v="3.98"/>
    <s v="#30"/>
    <x v="3"/>
    <n v="6.88"/>
    <n v="1.08"/>
    <n v="2.9"/>
    <n v="8.41"/>
    <x v="10"/>
    <s v="aj17TE"/>
    <n v="2"/>
    <s v="aj17TE-2"/>
  </r>
  <r>
    <x v="6"/>
    <x v="249"/>
    <s v="0.61-7.33"/>
    <n v="3.97"/>
    <s v="#18"/>
    <x v="2"/>
    <n v="7.33"/>
    <n v="0.61"/>
    <n v="3.36"/>
    <n v="11.2896"/>
    <x v="7"/>
    <s v="NA12WR"/>
    <n v="27"/>
    <s v="NA12WR-27"/>
  </r>
  <r>
    <x v="11"/>
    <x v="245"/>
    <s v="0.13-7.81"/>
    <n v="3.97"/>
    <s v="#2"/>
    <x v="2"/>
    <n v="7.81"/>
    <n v="0.13"/>
    <n v="3.84"/>
    <n v="14.7456"/>
    <x v="7"/>
    <s v="NA14WR"/>
    <n v="28"/>
    <s v="NA14WR-28"/>
  </r>
  <r>
    <x v="1"/>
    <x v="175"/>
    <s v="1.53-6.41"/>
    <n v="3.97"/>
    <s v="#1"/>
    <x v="2"/>
    <n v="6.41"/>
    <n v="1.53"/>
    <n v="2.44"/>
    <n v="5.9535999999999998"/>
    <x v="7"/>
    <s v="NA16WR"/>
    <n v="24"/>
    <s v="NA16WR-24"/>
  </r>
  <r>
    <x v="13"/>
    <x v="209"/>
    <s v="0.54-7.40"/>
    <n v="3.97"/>
    <s v="#7"/>
    <x v="2"/>
    <n v="7.4"/>
    <n v="0.54"/>
    <n v="3.43"/>
    <n v="11.764900000000001"/>
    <x v="7"/>
    <s v="NA8WR"/>
    <n v="26"/>
    <s v="NA8WR-26"/>
  </r>
  <r>
    <x v="6"/>
    <x v="226"/>
    <s v="0.28-7.66"/>
    <n v="3.97"/>
    <s v="#3"/>
    <x v="2"/>
    <n v="7.66"/>
    <n v="0.28000000000000003"/>
    <n v="3.69"/>
    <n v="13.616099999999999"/>
    <x v="7"/>
    <s v="NA12WR"/>
    <n v="28"/>
    <s v="NA12WR-28"/>
  </r>
  <r>
    <x v="4"/>
    <x v="233"/>
    <s v="0.30-7.62"/>
    <n v="3.96"/>
    <s v="#6"/>
    <x v="3"/>
    <n v="7.62"/>
    <n v="0.3"/>
    <n v="3.66"/>
    <n v="13.3956"/>
    <x v="7"/>
    <s v="NA7TE"/>
    <n v="9"/>
    <s v="NA7TE-9"/>
  </r>
  <r>
    <x v="8"/>
    <x v="229"/>
    <s v="0.20-7.72"/>
    <n v="3.96"/>
    <s v="#6"/>
    <x v="3"/>
    <n v="7.72"/>
    <n v="0.2"/>
    <n v="3.76"/>
    <n v="14.137600000000001"/>
    <x v="7"/>
    <s v="NA6TE"/>
    <n v="7"/>
    <s v="NA6TE-7"/>
  </r>
  <r>
    <x v="4"/>
    <x v="211"/>
    <s v="0.61-7.29"/>
    <n v="3.95"/>
    <s v="#12"/>
    <x v="2"/>
    <n v="7.29"/>
    <n v="0.61"/>
    <n v="3.34"/>
    <n v="11.1556"/>
    <x v="7"/>
    <s v="NA7WR"/>
    <n v="27"/>
    <s v="NA7WR-27"/>
  </r>
  <r>
    <x v="0"/>
    <x v="211"/>
    <s v="1.05-6.85"/>
    <n v="3.95"/>
    <s v="#22"/>
    <x v="2"/>
    <n v="6.85"/>
    <n v="1.05"/>
    <n v="2.9"/>
    <n v="8.41"/>
    <x v="7"/>
    <s v="NA17WR"/>
    <n v="29"/>
    <s v="NA17WR-29"/>
  </r>
  <r>
    <x v="14"/>
    <x v="216"/>
    <s v="0.77-7.13"/>
    <n v="3.95"/>
    <s v="#2"/>
    <x v="2"/>
    <n v="7.13"/>
    <n v="0.77"/>
    <n v="3.18"/>
    <n v="10.112399999999999"/>
    <x v="7"/>
    <s v="NA4WR"/>
    <n v="23"/>
    <s v="NA4WR-23"/>
  </r>
  <r>
    <x v="2"/>
    <x v="209"/>
    <s v="0.81-7.09"/>
    <n v="3.95"/>
    <s v="#15"/>
    <x v="2"/>
    <n v="7.09"/>
    <n v="0.81"/>
    <n v="3.14"/>
    <n v="9.8596000000000004"/>
    <x v="7"/>
    <s v="NA9WR"/>
    <n v="23"/>
    <s v="NA9WR-23"/>
  </r>
  <r>
    <x v="14"/>
    <x v="165"/>
    <s v="0.10-7.78"/>
    <n v="3.94"/>
    <s v="#19"/>
    <x v="3"/>
    <n v="7.78"/>
    <n v="0.1"/>
    <n v="3.84"/>
    <n v="14.7456"/>
    <x v="8"/>
    <s v="comp4TE"/>
    <n v="2"/>
    <s v="comp4TE-2"/>
  </r>
  <r>
    <x v="7"/>
    <x v="174"/>
    <s v="0.12-7.76"/>
    <n v="3.94"/>
    <s v="#12"/>
    <x v="2"/>
    <n v="7.76"/>
    <n v="0.12"/>
    <n v="3.82"/>
    <n v="14.5924"/>
    <x v="7"/>
    <s v="NA1WR"/>
    <n v="26"/>
    <s v="NA1WR-26"/>
  </r>
  <r>
    <x v="5"/>
    <x v="113"/>
    <s v="0.98-6.90"/>
    <n v="3.94"/>
    <s v="#31"/>
    <x v="3"/>
    <n v="6.9"/>
    <n v="0.98"/>
    <n v="2.96"/>
    <n v="8.7615999999999996"/>
    <x v="10"/>
    <s v="aj13TE"/>
    <n v="2"/>
    <s v="aj13TE-2"/>
  </r>
  <r>
    <x v="0"/>
    <x v="217"/>
    <s v="1.23-6.65"/>
    <n v="3.94"/>
    <s v="#19"/>
    <x v="3"/>
    <n v="6.65"/>
    <n v="1.23"/>
    <n v="2.71"/>
    <n v="7.3441000000000001"/>
    <x v="7"/>
    <s v="NA17TE"/>
    <n v="9"/>
    <s v="NA17TE-9"/>
  </r>
  <r>
    <x v="1"/>
    <x v="195"/>
    <s v="0.46-7.40"/>
    <n v="3.93"/>
    <s v="#6"/>
    <x v="1"/>
    <n v="7.4"/>
    <n v="0.46"/>
    <n v="3.47"/>
    <n v="12.040900000000001"/>
    <x v="1"/>
    <s v="perry16RB"/>
    <n v="4"/>
    <s v="perry16RB-4"/>
  </r>
  <r>
    <x v="2"/>
    <x v="197"/>
    <s v="0.73-7.13"/>
    <n v="3.93"/>
    <s v="#7"/>
    <x v="3"/>
    <n v="7.13"/>
    <n v="0.73"/>
    <n v="3.2"/>
    <n v="10.24"/>
    <x v="7"/>
    <s v="NA9TE"/>
    <n v="7"/>
    <s v="NA9TE-7"/>
  </r>
  <r>
    <x v="1"/>
    <x v="220"/>
    <s v="0.07-7.79"/>
    <n v="3.93"/>
    <s v="#17"/>
    <x v="3"/>
    <n v="7.79"/>
    <n v="7.0000000000000007E-2"/>
    <n v="3.86"/>
    <n v="14.8996"/>
    <x v="7"/>
    <s v="NA16TE"/>
    <n v="7"/>
    <s v="NA16TE-7"/>
  </r>
  <r>
    <x v="10"/>
    <x v="225"/>
    <s v="0.02-7.84"/>
    <n v="3.93"/>
    <s v="#10"/>
    <x v="1"/>
    <n v="7.84"/>
    <n v="0.02"/>
    <n v="3.91"/>
    <n v="15.2881"/>
    <x v="7"/>
    <s v="NA2RB"/>
    <n v="18"/>
    <s v="NA2RB-18"/>
  </r>
  <r>
    <x v="12"/>
    <x v="233"/>
    <n v="-8.16"/>
    <n v="3.93"/>
    <s v="#22"/>
    <x v="3"/>
    <n v="8.01"/>
    <n v="-0.15"/>
    <n v="4.08"/>
    <n v="16.6464"/>
    <x v="7"/>
    <s v="NA5TE"/>
    <n v="7"/>
    <s v="NA5TE-7"/>
  </r>
  <r>
    <x v="6"/>
    <x v="182"/>
    <s v="1.50-6.36"/>
    <n v="3.93"/>
    <s v="#1"/>
    <x v="1"/>
    <n v="6.36"/>
    <n v="1.5"/>
    <n v="2.4300000000000002"/>
    <n v="5.9048999999999996"/>
    <x v="7"/>
    <s v="NA12RB"/>
    <n v="16"/>
    <s v="NA12RB-16"/>
  </r>
  <r>
    <x v="11"/>
    <x v="217"/>
    <s v="1.64-6.22"/>
    <n v="3.93"/>
    <s v="#25"/>
    <x v="3"/>
    <n v="6.22"/>
    <n v="1.64"/>
    <n v="2.29"/>
    <n v="5.2441000000000004"/>
    <x v="7"/>
    <s v="NA14TE"/>
    <n v="10"/>
    <s v="NA14TE-10"/>
  </r>
  <r>
    <x v="2"/>
    <x v="242"/>
    <s v="0.56-7.30"/>
    <n v="3.93"/>
    <s v="#1"/>
    <x v="2"/>
    <n v="7.3"/>
    <n v="0.56000000000000005"/>
    <n v="3.37"/>
    <n v="11.3569"/>
    <x v="7"/>
    <s v="NA9WR"/>
    <n v="24"/>
    <s v="NA9WR-24"/>
  </r>
  <r>
    <x v="14"/>
    <x v="249"/>
    <s v="0.71-7.13"/>
    <n v="3.92"/>
    <s v="#5"/>
    <x v="2"/>
    <n v="7.13"/>
    <n v="0.71"/>
    <n v="3.21"/>
    <n v="10.3041"/>
    <x v="7"/>
    <s v="NA4WR"/>
    <n v="24"/>
    <s v="NA4WR-24"/>
  </r>
  <r>
    <x v="5"/>
    <x v="215"/>
    <s v="0.74-7.10"/>
    <n v="3.92"/>
    <s v="#9"/>
    <x v="3"/>
    <n v="7.1"/>
    <n v="0.74"/>
    <n v="3.18"/>
    <n v="10.112399999999999"/>
    <x v="7"/>
    <s v="NA13TE"/>
    <n v="7"/>
    <s v="NA13TE-7"/>
  </r>
  <r>
    <x v="1"/>
    <x v="215"/>
    <s v="0.88-6.96"/>
    <n v="3.92"/>
    <s v="#24"/>
    <x v="3"/>
    <n v="6.96"/>
    <n v="0.88"/>
    <n v="3.04"/>
    <n v="9.2416"/>
    <x v="7"/>
    <s v="NA16TE"/>
    <n v="8"/>
    <s v="NA16TE-8"/>
  </r>
  <r>
    <x v="6"/>
    <x v="166"/>
    <s v="0.47-7.37"/>
    <n v="3.92"/>
    <s v="#7"/>
    <x v="1"/>
    <n v="7.37"/>
    <n v="0.47"/>
    <n v="3.45"/>
    <n v="11.9025"/>
    <x v="7"/>
    <s v="NA12RB"/>
    <n v="17"/>
    <s v="NA12RB-17"/>
  </r>
  <r>
    <x v="2"/>
    <x v="244"/>
    <s v="0.86-6.98"/>
    <n v="3.92"/>
    <s v="#18"/>
    <x v="2"/>
    <n v="6.98"/>
    <n v="0.86"/>
    <n v="3.06"/>
    <n v="9.3635999999999999"/>
    <x v="7"/>
    <s v="NA9WR"/>
    <n v="25"/>
    <s v="NA9WR-25"/>
  </r>
  <r>
    <x v="13"/>
    <x v="178"/>
    <n v="-8.68"/>
    <n v="3.92"/>
    <s v="#5"/>
    <x v="2"/>
    <n v="8.26"/>
    <n v="-0.42"/>
    <n v="4.34"/>
    <n v="18.835599999999999"/>
    <x v="7"/>
    <s v="NA8WR"/>
    <n v="27"/>
    <s v="NA8WR-27"/>
  </r>
  <r>
    <x v="13"/>
    <x v="89"/>
    <s v="0.92-6.88"/>
    <n v="3.9"/>
    <s v="#11"/>
    <x v="2"/>
    <n v="6.88"/>
    <n v="0.92"/>
    <n v="2.98"/>
    <n v="8.8803999999999998"/>
    <x v="1"/>
    <s v="perry8WR"/>
    <n v="5"/>
    <s v="perry8WR-5"/>
  </r>
  <r>
    <x v="8"/>
    <x v="222"/>
    <s v="0.83-6.97"/>
    <n v="3.9"/>
    <s v="#3"/>
    <x v="2"/>
    <n v="6.97"/>
    <n v="0.83"/>
    <n v="3.07"/>
    <n v="9.4248999999999992"/>
    <x v="7"/>
    <s v="NA6WR"/>
    <n v="27"/>
    <s v="NA6WR-27"/>
  </r>
  <r>
    <x v="14"/>
    <x v="150"/>
    <s v="0.69-7.11"/>
    <n v="3.9"/>
    <s v="#4"/>
    <x v="1"/>
    <n v="7.11"/>
    <n v="0.69"/>
    <n v="3.21"/>
    <n v="10.3041"/>
    <x v="7"/>
    <s v="NA4RB"/>
    <n v="12"/>
    <s v="NA4RB-12"/>
  </r>
  <r>
    <x v="2"/>
    <x v="236"/>
    <s v="0.75-7.05"/>
    <n v="3.9"/>
    <s v="#28"/>
    <x v="2"/>
    <n v="7.05"/>
    <n v="0.75"/>
    <n v="3.15"/>
    <n v="9.9224999999999994"/>
    <x v="7"/>
    <s v="NA9WR"/>
    <n v="26"/>
    <s v="NA9WR-26"/>
  </r>
  <r>
    <x v="13"/>
    <x v="215"/>
    <s v="0.24-7.54"/>
    <n v="3.89"/>
    <s v="#6"/>
    <x v="3"/>
    <n v="7.54"/>
    <n v="0.24"/>
    <n v="3.65"/>
    <n v="13.3225"/>
    <x v="7"/>
    <s v="NA8TE"/>
    <n v="9"/>
    <s v="NA8TE-9"/>
  </r>
  <r>
    <x v="14"/>
    <x v="197"/>
    <s v="1.05-6.73"/>
    <n v="3.89"/>
    <s v="#5"/>
    <x v="3"/>
    <n v="6.73"/>
    <n v="1.05"/>
    <n v="2.84"/>
    <n v="8.0655999999999999"/>
    <x v="7"/>
    <s v="NA4TE"/>
    <n v="8"/>
    <s v="NA4TE-8"/>
  </r>
  <r>
    <x v="4"/>
    <x v="190"/>
    <s v="1.08-6.70"/>
    <n v="3.89"/>
    <s v="#5"/>
    <x v="2"/>
    <n v="6.7"/>
    <n v="1.08"/>
    <n v="2.81"/>
    <n v="7.8960999999999997"/>
    <x v="7"/>
    <s v="NA7WR"/>
    <n v="28"/>
    <s v="NA7WR-28"/>
  </r>
  <r>
    <x v="15"/>
    <x v="238"/>
    <s v="0.23-7.55"/>
    <n v="3.89"/>
    <s v="#12"/>
    <x v="1"/>
    <n v="7.55"/>
    <n v="0.23"/>
    <n v="3.66"/>
    <n v="13.3956"/>
    <x v="7"/>
    <s v="NA10RB"/>
    <n v="19"/>
    <s v="NA10RB-19"/>
  </r>
  <r>
    <x v="3"/>
    <x v="209"/>
    <s v="1.02-6.76"/>
    <n v="3.89"/>
    <s v="#19"/>
    <x v="2"/>
    <n v="6.76"/>
    <n v="1.02"/>
    <n v="2.87"/>
    <n v="8.2369000000000003"/>
    <x v="7"/>
    <s v="NA11WR"/>
    <n v="20"/>
    <s v="NA11WR-20"/>
  </r>
  <r>
    <x v="4"/>
    <x v="249"/>
    <s v="0.54-7.22"/>
    <n v="3.88"/>
    <s v="#2"/>
    <x v="2"/>
    <n v="7.22"/>
    <n v="0.54"/>
    <n v="3.34"/>
    <n v="11.1556"/>
    <x v="7"/>
    <s v="NA7WR"/>
    <n v="29"/>
    <s v="NA7WR-29"/>
  </r>
  <r>
    <x v="0"/>
    <x v="171"/>
    <s v="0.33-7.43"/>
    <n v="3.88"/>
    <s v="#14"/>
    <x v="2"/>
    <n v="7.43"/>
    <n v="0.33"/>
    <n v="3.55"/>
    <n v="12.602499999999999"/>
    <x v="7"/>
    <s v="NA17WR"/>
    <n v="30"/>
    <s v="NA17WR-30"/>
  </r>
  <r>
    <x v="1"/>
    <x v="250"/>
    <s v="1.41-6.35"/>
    <n v="3.88"/>
    <s v="#31"/>
    <x v="2"/>
    <n v="6.35"/>
    <n v="1.41"/>
    <n v="2.4700000000000002"/>
    <n v="6.1009000000000002"/>
    <x v="7"/>
    <s v="NA16WR"/>
    <n v="25"/>
    <s v="NA16WR-25"/>
  </r>
  <r>
    <x v="14"/>
    <x v="251"/>
    <n v="-8.08"/>
    <n v="3.88"/>
    <s v="#28"/>
    <x v="3"/>
    <n v="7.92"/>
    <n v="-0.16"/>
    <n v="4.04"/>
    <n v="16.3216"/>
    <x v="7"/>
    <s v="NA4TE"/>
    <n v="9"/>
    <s v="NA4TE-9"/>
  </r>
  <r>
    <x v="5"/>
    <x v="217"/>
    <s v="1.46-6.30"/>
    <n v="3.88"/>
    <s v="#20"/>
    <x v="3"/>
    <n v="6.3"/>
    <n v="1.46"/>
    <n v="2.42"/>
    <n v="5.8563999999999998"/>
    <x v="7"/>
    <s v="NA13TE"/>
    <n v="8"/>
    <s v="NA13TE-8"/>
  </r>
  <r>
    <x v="14"/>
    <x v="163"/>
    <s v="2.17-5.59"/>
    <n v="3.88"/>
    <s v="#11"/>
    <x v="1"/>
    <n v="5.59"/>
    <n v="2.17"/>
    <n v="1.71"/>
    <n v="2.9241000000000001"/>
    <x v="9"/>
    <s v="seth4RB"/>
    <n v="7"/>
    <s v="seth4RB-7"/>
  </r>
  <r>
    <x v="3"/>
    <x v="211"/>
    <s v="0.95-6.79"/>
    <n v="3.87"/>
    <s v="#29"/>
    <x v="2"/>
    <n v="6.79"/>
    <n v="0.95"/>
    <n v="2.92"/>
    <n v="8.5264000000000006"/>
    <x v="7"/>
    <s v="NA11WR"/>
    <n v="21"/>
    <s v="NA11WR-21"/>
  </r>
  <r>
    <x v="1"/>
    <x v="197"/>
    <s v="0.62-7.12"/>
    <n v="3.87"/>
    <s v="#23"/>
    <x v="3"/>
    <n v="7.12"/>
    <n v="0.62"/>
    <n v="3.25"/>
    <n v="10.5625"/>
    <x v="7"/>
    <s v="NA16TE"/>
    <n v="9"/>
    <s v="NA16TE-9"/>
  </r>
  <r>
    <x v="15"/>
    <x v="113"/>
    <s v="0.79-6.95"/>
    <n v="3.87"/>
    <s v="#15"/>
    <x v="3"/>
    <n v="6.95"/>
    <n v="0.79"/>
    <n v="3.08"/>
    <n v="9.4863999999999997"/>
    <x v="10"/>
    <s v="aj10TE"/>
    <n v="2"/>
    <s v="aj10TE-2"/>
  </r>
  <r>
    <x v="12"/>
    <x v="218"/>
    <n v="-10.92"/>
    <n v="3.86"/>
    <s v="#18"/>
    <x v="2"/>
    <n v="9.32"/>
    <n v="-1.6"/>
    <n v="5.46"/>
    <n v="29.811599999999999"/>
    <x v="7"/>
    <s v="NA5WR"/>
    <n v="33"/>
    <s v="NA5WR-33"/>
  </r>
  <r>
    <x v="0"/>
    <x v="218"/>
    <n v="-10.26"/>
    <n v="3.86"/>
    <s v="#8"/>
    <x v="2"/>
    <n v="8.99"/>
    <n v="-1.27"/>
    <n v="5.13"/>
    <n v="26.3169"/>
    <x v="7"/>
    <s v="NA17WR"/>
    <n v="31"/>
    <s v="NA17WR-31"/>
  </r>
  <r>
    <x v="0"/>
    <x v="201"/>
    <s v="0.54-7.18"/>
    <n v="3.86"/>
    <s v="#29"/>
    <x v="2"/>
    <n v="7.18"/>
    <n v="0.54"/>
    <n v="3.32"/>
    <n v="11.022399999999999"/>
    <x v="7"/>
    <s v="NA17WR"/>
    <n v="32"/>
    <s v="NA17WR-32"/>
  </r>
  <r>
    <x v="6"/>
    <x v="251"/>
    <n v="-8.4599999999999991"/>
    <n v="3.86"/>
    <s v="#12"/>
    <x v="3"/>
    <n v="8.09"/>
    <n v="-0.37"/>
    <n v="4.2300000000000004"/>
    <n v="17.892900000000001"/>
    <x v="7"/>
    <s v="NA12TE"/>
    <n v="10"/>
    <s v="NA12TE-10"/>
  </r>
  <r>
    <x v="10"/>
    <x v="216"/>
    <s v="0.78-6.94"/>
    <n v="3.86"/>
    <s v="#16"/>
    <x v="2"/>
    <n v="6.94"/>
    <n v="0.78"/>
    <n v="3.08"/>
    <n v="9.4863999999999997"/>
    <x v="7"/>
    <s v="NA2WR"/>
    <n v="27"/>
    <s v="NA2WR-27"/>
  </r>
  <r>
    <x v="4"/>
    <x v="195"/>
    <s v="0.34-7.36"/>
    <n v="3.85"/>
    <s v="#3"/>
    <x v="1"/>
    <n v="7.36"/>
    <n v="0.34"/>
    <n v="3.51"/>
    <n v="12.3201"/>
    <x v="1"/>
    <s v="perry7RB"/>
    <n v="4"/>
    <s v="perry7RB-4"/>
  </r>
  <r>
    <x v="14"/>
    <x v="104"/>
    <n v="-9.4"/>
    <n v="3.85"/>
    <s v="#14"/>
    <x v="2"/>
    <n v="8.5500000000000007"/>
    <n v="-0.85"/>
    <n v="4.7"/>
    <n v="22.09"/>
    <x v="2"/>
    <s v="devon4WR"/>
    <n v="4"/>
    <s v="devon4WR-4"/>
  </r>
  <r>
    <x v="6"/>
    <x v="113"/>
    <s v="0.27-7.43"/>
    <n v="3.85"/>
    <s v="#8"/>
    <x v="3"/>
    <n v="7.43"/>
    <n v="0.27"/>
    <n v="3.58"/>
    <n v="12.8164"/>
    <x v="10"/>
    <s v="aj12TE"/>
    <n v="1"/>
    <s v="aj12TE-1"/>
  </r>
  <r>
    <x v="15"/>
    <x v="233"/>
    <n v="-8.02"/>
    <n v="3.85"/>
    <s v="#15"/>
    <x v="3"/>
    <n v="7.86"/>
    <n v="-0.16"/>
    <n v="4.01"/>
    <n v="16.080100000000002"/>
    <x v="7"/>
    <s v="NA10TE"/>
    <n v="5"/>
    <s v="NA10TE-5"/>
  </r>
  <r>
    <x v="2"/>
    <x v="195"/>
    <s v="0.22-7.46"/>
    <n v="3.84"/>
    <s v="#16"/>
    <x v="1"/>
    <n v="7.46"/>
    <n v="0.22"/>
    <n v="3.62"/>
    <n v="13.1044"/>
    <x v="1"/>
    <s v="perry9RB"/>
    <n v="4"/>
    <s v="perry9RB-4"/>
  </r>
  <r>
    <x v="8"/>
    <x v="215"/>
    <s v="0.61-7.07"/>
    <n v="3.84"/>
    <s v="#23"/>
    <x v="3"/>
    <n v="7.07"/>
    <n v="0.61"/>
    <n v="3.23"/>
    <n v="10.4329"/>
    <x v="7"/>
    <s v="NA6TE"/>
    <n v="8"/>
    <s v="NA6TE-8"/>
  </r>
  <r>
    <x v="11"/>
    <x v="222"/>
    <s v="0.87-6.81"/>
    <n v="3.84"/>
    <s v="#6"/>
    <x v="2"/>
    <n v="6.81"/>
    <n v="0.87"/>
    <n v="2.97"/>
    <n v="8.8209"/>
    <x v="7"/>
    <s v="NA14WR"/>
    <n v="29"/>
    <s v="NA14WR-29"/>
  </r>
  <r>
    <x v="14"/>
    <x v="215"/>
    <s v="0.82-6.84"/>
    <n v="3.83"/>
    <s v="#4"/>
    <x v="3"/>
    <n v="6.84"/>
    <n v="0.82"/>
    <n v="3.01"/>
    <n v="9.0601000000000003"/>
    <x v="7"/>
    <s v="NA4TE"/>
    <n v="10"/>
    <s v="NA4TE-10"/>
  </r>
  <r>
    <x v="15"/>
    <x v="189"/>
    <s v="0.64-7.02"/>
    <n v="3.83"/>
    <s v="#3"/>
    <x v="3"/>
    <n v="7.02"/>
    <n v="0.64"/>
    <n v="3.19"/>
    <n v="10.1761"/>
    <x v="7"/>
    <s v="NA10TE"/>
    <n v="6"/>
    <s v="NA10TE-6"/>
  </r>
  <r>
    <x v="1"/>
    <x v="214"/>
    <n v="-8.5399999999999991"/>
    <n v="3.83"/>
    <s v="#2"/>
    <x v="2"/>
    <n v="8.1"/>
    <n v="-0.44"/>
    <n v="4.2699999999999996"/>
    <n v="18.232900000000001"/>
    <x v="7"/>
    <s v="NA16WR"/>
    <n v="26"/>
    <s v="NA16WR-26"/>
  </r>
  <r>
    <x v="7"/>
    <x v="252"/>
    <s v="2.61-5.05"/>
    <n v="3.83"/>
    <s v="#11"/>
    <x v="0"/>
    <n v="5.05"/>
    <n v="2.61"/>
    <n v="1.22"/>
    <n v="1.4883999999999999"/>
    <x v="7"/>
    <s v="NA1QB"/>
    <n v="17"/>
    <s v="NA1QB-17"/>
  </r>
  <r>
    <x v="8"/>
    <x v="93"/>
    <s v="0.22-7.42"/>
    <n v="3.82"/>
    <s v="#22"/>
    <x v="1"/>
    <n v="7.42"/>
    <n v="0.22"/>
    <n v="3.6"/>
    <n v="12.96"/>
    <x v="7"/>
    <s v="NA6RB"/>
    <n v="19"/>
    <s v="NA6RB-19"/>
  </r>
  <r>
    <x v="9"/>
    <x v="197"/>
    <s v="0.65-6.97"/>
    <n v="3.81"/>
    <s v="#1"/>
    <x v="3"/>
    <n v="6.97"/>
    <n v="0.65"/>
    <n v="3.16"/>
    <n v="9.9855999999999998"/>
    <x v="7"/>
    <s v="NA15TE"/>
    <n v="9"/>
    <s v="NA15TE-9"/>
  </r>
  <r>
    <x v="14"/>
    <x v="225"/>
    <s v="0.95-6.67"/>
    <n v="3.81"/>
    <s v="#8"/>
    <x v="1"/>
    <n v="6.67"/>
    <n v="0.95"/>
    <n v="2.86"/>
    <n v="8.1796000000000006"/>
    <x v="7"/>
    <s v="NA4RB"/>
    <n v="13"/>
    <s v="NA4RB-13"/>
  </r>
  <r>
    <x v="10"/>
    <x v="198"/>
    <s v="0.74-6.88"/>
    <n v="3.81"/>
    <s v="#16"/>
    <x v="1"/>
    <n v="6.88"/>
    <n v="0.74"/>
    <n v="3.07"/>
    <n v="9.4248999999999992"/>
    <x v="7"/>
    <s v="NA2RB"/>
    <n v="19"/>
    <s v="NA2RB-19"/>
  </r>
  <r>
    <x v="4"/>
    <x v="193"/>
    <n v="-8.6199999999999992"/>
    <n v="3.81"/>
    <s v="#13"/>
    <x v="3"/>
    <n v="8.1199999999999992"/>
    <n v="-0.5"/>
    <n v="4.3099999999999996"/>
    <n v="18.5761"/>
    <x v="7"/>
    <s v="NA7TE"/>
    <n v="10"/>
    <s v="NA7TE-10"/>
  </r>
  <r>
    <x v="7"/>
    <x v="217"/>
    <s v="0.38-7.24"/>
    <n v="3.81"/>
    <s v="#2"/>
    <x v="3"/>
    <n v="7.24"/>
    <n v="0.38"/>
    <n v="3.43"/>
    <n v="11.764900000000001"/>
    <x v="7"/>
    <s v="NA1TE"/>
    <n v="11"/>
    <s v="NA1TE-11"/>
  </r>
  <r>
    <x v="5"/>
    <x v="190"/>
    <s v="0.68-6.94"/>
    <n v="3.81"/>
    <s v="#26"/>
    <x v="2"/>
    <n v="6.94"/>
    <n v="0.68"/>
    <n v="3.13"/>
    <n v="9.7969000000000008"/>
    <x v="7"/>
    <s v="NA13WR"/>
    <n v="28"/>
    <s v="NA13WR-28"/>
  </r>
  <r>
    <x v="3"/>
    <x v="242"/>
    <s v="0.42-7.20"/>
    <n v="3.81"/>
    <s v="#3"/>
    <x v="2"/>
    <n v="7.2"/>
    <n v="0.42"/>
    <n v="3.39"/>
    <n v="11.492100000000001"/>
    <x v="7"/>
    <s v="NA11WR"/>
    <n v="22"/>
    <s v="NA11WR-22"/>
  </r>
  <r>
    <x v="9"/>
    <x v="242"/>
    <s v="0.29-7.33"/>
    <n v="3.81"/>
    <s v="#17"/>
    <x v="2"/>
    <n v="7.33"/>
    <n v="0.28999999999999998"/>
    <n v="3.52"/>
    <n v="12.3904"/>
    <x v="7"/>
    <s v="NA15WR"/>
    <n v="30"/>
    <s v="NA15WR-30"/>
  </r>
  <r>
    <x v="9"/>
    <x v="195"/>
    <s v="0.36-7.24"/>
    <n v="3.8"/>
    <s v="#4"/>
    <x v="1"/>
    <n v="7.24"/>
    <n v="0.36"/>
    <n v="3.44"/>
    <n v="11.833600000000001"/>
    <x v="1"/>
    <s v="perry15RB"/>
    <n v="4"/>
    <s v="perry15RB-4"/>
  </r>
  <r>
    <x v="2"/>
    <x v="165"/>
    <n v="-7.7"/>
    <n v="3.8"/>
    <s v="#12"/>
    <x v="3"/>
    <n v="7.65"/>
    <n v="-0.05"/>
    <n v="3.85"/>
    <n v="14.8225"/>
    <x v="8"/>
    <s v="comp9TE"/>
    <n v="2"/>
    <s v="comp9TE-2"/>
  </r>
  <r>
    <x v="13"/>
    <x v="226"/>
    <s v="0.66-6.94"/>
    <n v="3.8"/>
    <s v="#17"/>
    <x v="2"/>
    <n v="6.94"/>
    <n v="0.66"/>
    <n v="3.14"/>
    <n v="9.8596000000000004"/>
    <x v="7"/>
    <s v="NA8WR"/>
    <n v="28"/>
    <s v="NA8WR-28"/>
  </r>
  <r>
    <x v="9"/>
    <x v="226"/>
    <s v="0.81-6.79"/>
    <n v="3.8"/>
    <s v="#28"/>
    <x v="2"/>
    <n v="6.79"/>
    <n v="0.81"/>
    <n v="2.99"/>
    <n v="8.9400999999999993"/>
    <x v="7"/>
    <s v="NA15WR"/>
    <n v="31"/>
    <s v="NA15WR-31"/>
  </r>
  <r>
    <x v="2"/>
    <x v="253"/>
    <s v="1.11-6.47"/>
    <n v="3.79"/>
    <s v="#31"/>
    <x v="2"/>
    <n v="6.47"/>
    <n v="1.1100000000000001"/>
    <n v="2.68"/>
    <n v="7.1824000000000003"/>
    <x v="7"/>
    <s v="NA9WR"/>
    <n v="27"/>
    <s v="NA9WR-27"/>
  </r>
  <r>
    <x v="14"/>
    <x v="254"/>
    <s v="1.14-6.44"/>
    <n v="3.79"/>
    <s v="#25"/>
    <x v="2"/>
    <n v="6.44"/>
    <n v="1.1399999999999999"/>
    <n v="2.65"/>
    <n v="7.0225"/>
    <x v="7"/>
    <s v="NA4WR"/>
    <n v="25"/>
    <s v="NA4WR-25"/>
  </r>
  <r>
    <x v="0"/>
    <x v="240"/>
    <s v="0.67-6.91"/>
    <n v="3.79"/>
    <s v="#9"/>
    <x v="2"/>
    <n v="6.91"/>
    <n v="0.67"/>
    <n v="3.12"/>
    <n v="9.7344000000000008"/>
    <x v="7"/>
    <s v="NA17WR"/>
    <n v="33"/>
    <s v="NA17WR-33"/>
  </r>
  <r>
    <x v="5"/>
    <x v="209"/>
    <s v="0.84-6.74"/>
    <n v="3.79"/>
    <s v="#29"/>
    <x v="2"/>
    <n v="6.74"/>
    <n v="0.84"/>
    <n v="2.95"/>
    <n v="8.7025000000000006"/>
    <x v="7"/>
    <s v="NA13WR"/>
    <n v="29"/>
    <s v="NA13WR-29"/>
  </r>
  <r>
    <x v="12"/>
    <x v="255"/>
    <s v="0.30-7.26"/>
    <n v="3.78"/>
    <s v="#25"/>
    <x v="3"/>
    <n v="7.26"/>
    <n v="0.3"/>
    <n v="3.48"/>
    <n v="12.1104"/>
    <x v="7"/>
    <s v="NA5TE"/>
    <n v="8"/>
    <s v="NA5TE-8"/>
  </r>
  <r>
    <x v="15"/>
    <x v="215"/>
    <s v="0.60-6.96"/>
    <n v="3.78"/>
    <s v="#9"/>
    <x v="3"/>
    <n v="6.96"/>
    <n v="0.6"/>
    <n v="3.18"/>
    <n v="10.112399999999999"/>
    <x v="7"/>
    <s v="NA10TE"/>
    <n v="7"/>
    <s v="NA10TE-7"/>
  </r>
  <r>
    <x v="6"/>
    <x v="186"/>
    <s v="0.74-6.82"/>
    <n v="3.78"/>
    <s v="#31"/>
    <x v="2"/>
    <n v="6.82"/>
    <n v="0.74"/>
    <n v="3.04"/>
    <n v="9.2416"/>
    <x v="7"/>
    <s v="NA12WR"/>
    <n v="29"/>
    <s v="NA12WR-29"/>
  </r>
  <r>
    <x v="16"/>
    <x v="233"/>
    <s v="0.50-7.06"/>
    <n v="3.78"/>
    <s v="#19"/>
    <x v="3"/>
    <n v="7.06"/>
    <n v="0.5"/>
    <n v="3.28"/>
    <n v="10.7584"/>
    <x v="7"/>
    <s v="NA3TE"/>
    <n v="8"/>
    <s v="NA3TE-8"/>
  </r>
  <r>
    <x v="8"/>
    <x v="233"/>
    <n v="-7.66"/>
    <n v="3.78"/>
    <s v="#12"/>
    <x v="3"/>
    <n v="7.61"/>
    <n v="-0.05"/>
    <n v="3.83"/>
    <n v="14.668900000000001"/>
    <x v="7"/>
    <s v="NA6TE"/>
    <n v="9"/>
    <s v="NA6TE-9"/>
  </r>
  <r>
    <x v="0"/>
    <x v="223"/>
    <s v="0.43-7.13"/>
    <n v="3.78"/>
    <s v="#29"/>
    <x v="1"/>
    <n v="7.13"/>
    <n v="0.43"/>
    <n v="3.35"/>
    <n v="11.2225"/>
    <x v="7"/>
    <s v="NA17RB"/>
    <n v="20"/>
    <s v="NA17RB-20"/>
  </r>
  <r>
    <x v="0"/>
    <x v="190"/>
    <s v="0.65-6.91"/>
    <n v="3.78"/>
    <s v="#4"/>
    <x v="2"/>
    <n v="6.91"/>
    <n v="0.65"/>
    <n v="3.13"/>
    <n v="9.7969000000000008"/>
    <x v="7"/>
    <s v="NA17WR"/>
    <n v="34"/>
    <s v="NA17WR-34"/>
  </r>
  <r>
    <x v="3"/>
    <x v="238"/>
    <n v="-7.64"/>
    <n v="3.78"/>
    <s v="#22"/>
    <x v="1"/>
    <n v="7.6"/>
    <n v="-0.04"/>
    <n v="3.82"/>
    <n v="14.5924"/>
    <x v="7"/>
    <s v="NA11RB"/>
    <n v="17"/>
    <s v="NA11RB-17"/>
  </r>
  <r>
    <x v="1"/>
    <x v="209"/>
    <s v="0.69-6.87"/>
    <n v="3.78"/>
    <s v="#20"/>
    <x v="2"/>
    <n v="6.87"/>
    <n v="0.69"/>
    <n v="3.09"/>
    <n v="9.5480999999999998"/>
    <x v="7"/>
    <s v="NA16WR"/>
    <n v="27"/>
    <s v="NA16WR-27"/>
  </r>
  <r>
    <x v="2"/>
    <x v="226"/>
    <s v="0.45-7.11"/>
    <n v="3.78"/>
    <s v="#5"/>
    <x v="2"/>
    <n v="7.11"/>
    <n v="0.45"/>
    <n v="3.33"/>
    <n v="11.088900000000001"/>
    <x v="7"/>
    <s v="NA9WR"/>
    <n v="28"/>
    <s v="NA9WR-28"/>
  </r>
  <r>
    <x v="1"/>
    <x v="225"/>
    <s v="0.38-7.16"/>
    <n v="3.77"/>
    <s v="#10"/>
    <x v="1"/>
    <n v="7.16"/>
    <n v="0.38"/>
    <n v="3.39"/>
    <n v="11.492100000000001"/>
    <x v="7"/>
    <s v="NA16RB"/>
    <n v="19"/>
    <s v="NA16RB-19"/>
  </r>
  <r>
    <x v="14"/>
    <x v="182"/>
    <s v="2.14-5.40"/>
    <n v="3.77"/>
    <s v="#2"/>
    <x v="1"/>
    <n v="5.4"/>
    <n v="2.14"/>
    <n v="1.63"/>
    <n v="2.6568999999999998"/>
    <x v="7"/>
    <s v="NA4RB"/>
    <n v="14"/>
    <s v="NA4RB-14"/>
  </r>
  <r>
    <x v="9"/>
    <x v="217"/>
    <s v="1.07-6.47"/>
    <n v="3.77"/>
    <s v="#17"/>
    <x v="3"/>
    <n v="6.47"/>
    <n v="1.07"/>
    <n v="2.7"/>
    <n v="7.29"/>
    <x v="7"/>
    <s v="NA15TE"/>
    <n v="10"/>
    <s v="NA15TE-10"/>
  </r>
  <r>
    <x v="6"/>
    <x v="199"/>
    <s v="0.96-6.58"/>
    <n v="3.77"/>
    <s v="#3"/>
    <x v="2"/>
    <n v="6.58"/>
    <n v="0.96"/>
    <n v="2.81"/>
    <n v="7.8960999999999997"/>
    <x v="7"/>
    <s v="NA12WR"/>
    <n v="30"/>
    <s v="NA12WR-30"/>
  </r>
  <r>
    <x v="10"/>
    <x v="207"/>
    <s v="0.26-7.28"/>
    <n v="3.77"/>
    <s v="#22"/>
    <x v="2"/>
    <n v="7.28"/>
    <n v="0.26"/>
    <n v="3.51"/>
    <n v="12.3201"/>
    <x v="7"/>
    <s v="NA2WR"/>
    <n v="28"/>
    <s v="NA2WR-28"/>
  </r>
  <r>
    <x v="14"/>
    <x v="235"/>
    <n v="-7.9799999999999995"/>
    <n v="3.77"/>
    <s v="#28"/>
    <x v="1"/>
    <n v="7.76"/>
    <n v="-0.22"/>
    <n v="3.99"/>
    <n v="15.9201"/>
    <x v="7"/>
    <s v="NA4RB"/>
    <n v="15"/>
    <s v="NA4RB-15"/>
  </r>
  <r>
    <x v="13"/>
    <x v="242"/>
    <s v="0.52-7.02"/>
    <n v="3.77"/>
    <s v="#2"/>
    <x v="2"/>
    <n v="7.02"/>
    <n v="0.52"/>
    <n v="3.25"/>
    <n v="10.5625"/>
    <x v="7"/>
    <s v="NA8WR"/>
    <n v="29"/>
    <s v="NA8WR-29"/>
  </r>
  <r>
    <x v="13"/>
    <x v="249"/>
    <s v="0.60-6.92"/>
    <n v="3.76"/>
    <s v="#19"/>
    <x v="2"/>
    <n v="6.92"/>
    <n v="0.6"/>
    <n v="3.16"/>
    <n v="9.9855999999999998"/>
    <x v="7"/>
    <s v="NA8WR"/>
    <n v="30"/>
    <s v="NA8WR-30"/>
  </r>
  <r>
    <x v="5"/>
    <x v="225"/>
    <s v="0.69-6.83"/>
    <n v="3.76"/>
    <s v="#21"/>
    <x v="1"/>
    <n v="6.83"/>
    <n v="0.69"/>
    <n v="3.07"/>
    <n v="9.4248999999999992"/>
    <x v="7"/>
    <s v="NA13RB"/>
    <n v="20"/>
    <s v="NA13RB-20"/>
  </r>
  <r>
    <x v="5"/>
    <x v="189"/>
    <s v="0.57-6.95"/>
    <n v="3.76"/>
    <s v="#3"/>
    <x v="3"/>
    <n v="6.95"/>
    <n v="0.56999999999999995"/>
    <n v="3.19"/>
    <n v="10.1761"/>
    <x v="7"/>
    <s v="NA13TE"/>
    <n v="9"/>
    <s v="NA13TE-9"/>
  </r>
  <r>
    <x v="6"/>
    <x v="227"/>
    <s v="0.96-6.56"/>
    <n v="3.76"/>
    <s v="#17"/>
    <x v="2"/>
    <n v="6.56"/>
    <n v="0.96"/>
    <n v="2.8"/>
    <n v="7.84"/>
    <x v="7"/>
    <s v="NA12WR"/>
    <n v="31"/>
    <s v="NA12WR-31"/>
  </r>
  <r>
    <x v="8"/>
    <x v="217"/>
    <s v="1.05-6.47"/>
    <n v="3.76"/>
    <s v="#19"/>
    <x v="3"/>
    <n v="6.47"/>
    <n v="1.05"/>
    <n v="2.71"/>
    <n v="7.3441000000000001"/>
    <x v="7"/>
    <s v="NA6TE"/>
    <n v="10"/>
    <s v="NA6TE-10"/>
  </r>
  <r>
    <x v="15"/>
    <x v="188"/>
    <s v="0.34-7.18"/>
    <n v="3.76"/>
    <s v="#13"/>
    <x v="1"/>
    <n v="7.18"/>
    <n v="0.34"/>
    <n v="3.42"/>
    <n v="11.696400000000001"/>
    <x v="7"/>
    <s v="NA10RB"/>
    <n v="20"/>
    <s v="NA10RB-20"/>
  </r>
  <r>
    <x v="13"/>
    <x v="245"/>
    <n v="-8.34"/>
    <n v="3.76"/>
    <s v="#1"/>
    <x v="2"/>
    <n v="7.93"/>
    <n v="-0.41"/>
    <n v="4.17"/>
    <n v="17.3889"/>
    <x v="7"/>
    <s v="NA8WR"/>
    <n v="31"/>
    <s v="NA8WR-31"/>
  </r>
  <r>
    <x v="16"/>
    <x v="163"/>
    <s v="0.22-7.30"/>
    <n v="3.76"/>
    <s v="#12"/>
    <x v="1"/>
    <n v="7.3"/>
    <n v="0.22"/>
    <n v="3.54"/>
    <n v="12.531599999999999"/>
    <x v="9"/>
    <s v="seth3RB"/>
    <n v="6"/>
    <s v="seth3RB-6"/>
  </r>
  <r>
    <x v="6"/>
    <x v="209"/>
    <s v="0.72-6.80"/>
    <n v="3.76"/>
    <s v="#25"/>
    <x v="2"/>
    <n v="6.8"/>
    <n v="0.72"/>
    <n v="3.04"/>
    <n v="9.2416"/>
    <x v="7"/>
    <s v="NA12WR"/>
    <n v="32"/>
    <s v="NA12WR-32"/>
  </r>
  <r>
    <x v="15"/>
    <x v="222"/>
    <s v="0.78-6.72"/>
    <n v="3.75"/>
    <s v="#6"/>
    <x v="2"/>
    <n v="6.72"/>
    <n v="0.78"/>
    <n v="2.97"/>
    <n v="8.8209"/>
    <x v="7"/>
    <s v="NA10WR"/>
    <n v="26"/>
    <s v="NA10WR-26"/>
  </r>
  <r>
    <x v="1"/>
    <x v="236"/>
    <s v="0.59-6.89"/>
    <n v="3.74"/>
    <s v="#28"/>
    <x v="2"/>
    <n v="6.89"/>
    <n v="0.59"/>
    <n v="3.15"/>
    <n v="9.9224999999999994"/>
    <x v="7"/>
    <s v="NA16WR"/>
    <n v="28"/>
    <s v="NA16WR-28"/>
  </r>
  <r>
    <x v="15"/>
    <x v="228"/>
    <n v="-7.9"/>
    <n v="3.74"/>
    <s v="#32"/>
    <x v="3"/>
    <n v="7.69"/>
    <n v="-0.21"/>
    <n v="3.95"/>
    <n v="15.602499999999999"/>
    <x v="7"/>
    <s v="NA10TE"/>
    <n v="8"/>
    <s v="NA10TE-8"/>
  </r>
  <r>
    <x v="6"/>
    <x v="242"/>
    <s v="0.11-7.37"/>
    <n v="3.74"/>
    <s v="#16"/>
    <x v="2"/>
    <n v="7.37"/>
    <n v="0.11"/>
    <n v="3.63"/>
    <n v="13.1769"/>
    <x v="7"/>
    <s v="NA12WR"/>
    <n v="33"/>
    <s v="NA12WR-33"/>
  </r>
  <r>
    <x v="10"/>
    <x v="219"/>
    <s v="0.47-6.99"/>
    <n v="3.73"/>
    <s v="#4"/>
    <x v="2"/>
    <n v="6.99"/>
    <n v="0.47"/>
    <n v="3.26"/>
    <n v="10.627599999999999"/>
    <x v="7"/>
    <s v="NA2WR"/>
    <n v="29"/>
    <s v="NA2WR-29"/>
  </r>
  <r>
    <x v="8"/>
    <x v="201"/>
    <s v="0.41-7.05"/>
    <n v="3.73"/>
    <s v="#29"/>
    <x v="2"/>
    <n v="7.05"/>
    <n v="0.41"/>
    <n v="3.32"/>
    <n v="11.022399999999999"/>
    <x v="7"/>
    <s v="NA6WR"/>
    <n v="28"/>
    <s v="NA6WR-28"/>
  </r>
  <r>
    <x v="1"/>
    <x v="202"/>
    <s v="0.96-6.50"/>
    <n v="3.73"/>
    <s v="#3"/>
    <x v="2"/>
    <n v="6.5"/>
    <n v="0.96"/>
    <n v="2.77"/>
    <n v="7.6729000000000003"/>
    <x v="7"/>
    <s v="NA16WR"/>
    <n v="29"/>
    <s v="NA16WR-29"/>
  </r>
  <r>
    <x v="6"/>
    <x v="250"/>
    <s v="1.05-6.41"/>
    <n v="3.73"/>
    <s v="#12"/>
    <x v="2"/>
    <n v="6.41"/>
    <n v="1.05"/>
    <n v="2.68"/>
    <n v="7.1824000000000003"/>
    <x v="7"/>
    <s v="NA12WR"/>
    <n v="34"/>
    <s v="NA12WR-34"/>
  </r>
  <r>
    <x v="12"/>
    <x v="76"/>
    <s v="1.09-6.37"/>
    <n v="3.73"/>
    <s v="#24"/>
    <x v="1"/>
    <n v="6.37"/>
    <n v="1.0900000000000001"/>
    <n v="2.64"/>
    <n v="6.9695999999999998"/>
    <x v="7"/>
    <s v="NA5RB"/>
    <n v="15"/>
    <s v="NA5RB-15"/>
  </r>
  <r>
    <x v="6"/>
    <x v="236"/>
    <s v="0.52-6.94"/>
    <n v="3.73"/>
    <s v="#21"/>
    <x v="2"/>
    <n v="6.94"/>
    <n v="0.52"/>
    <n v="3.21"/>
    <n v="10.3041"/>
    <x v="7"/>
    <s v="NA12WR"/>
    <n v="35"/>
    <s v="NA12WR-35"/>
  </r>
  <r>
    <x v="14"/>
    <x v="240"/>
    <s v="0.69-6.77"/>
    <n v="3.73"/>
    <s v="#6"/>
    <x v="2"/>
    <n v="6.77"/>
    <n v="0.69"/>
    <n v="3.04"/>
    <n v="9.2416"/>
    <x v="7"/>
    <s v="NA4WR"/>
    <n v="26"/>
    <s v="NA4WR-26"/>
  </r>
  <r>
    <x v="7"/>
    <x v="221"/>
    <s v="1.15-6.29"/>
    <n v="3.72"/>
    <s v="#29"/>
    <x v="1"/>
    <n v="6.29"/>
    <n v="1.1499999999999999"/>
    <n v="2.57"/>
    <n v="6.6048999999999998"/>
    <x v="7"/>
    <s v="NA1RB"/>
    <n v="18"/>
    <s v="NA1RB-18"/>
  </r>
  <r>
    <x v="8"/>
    <x v="213"/>
    <s v="0.98-6.46"/>
    <n v="3.72"/>
    <s v="#31"/>
    <x v="1"/>
    <n v="6.46"/>
    <n v="0.98"/>
    <n v="2.74"/>
    <n v="7.5076000000000001"/>
    <x v="7"/>
    <s v="NA6RB"/>
    <n v="20"/>
    <s v="NA6RB-20"/>
  </r>
  <r>
    <x v="5"/>
    <x v="191"/>
    <s v="0.94-6.50"/>
    <n v="3.72"/>
    <s v="#1"/>
    <x v="2"/>
    <n v="6.5"/>
    <n v="0.94"/>
    <n v="2.78"/>
    <n v="7.7283999999999997"/>
    <x v="7"/>
    <s v="NA13WR"/>
    <n v="30"/>
    <s v="NA13WR-30"/>
  </r>
  <r>
    <x v="11"/>
    <x v="210"/>
    <s v="0.05-7.39"/>
    <n v="3.72"/>
    <s v="#7"/>
    <x v="1"/>
    <n v="7.39"/>
    <n v="0.05"/>
    <n v="3.67"/>
    <n v="13.4689"/>
    <x v="7"/>
    <s v="NA14RB"/>
    <n v="20"/>
    <s v="NA14RB-20"/>
  </r>
  <r>
    <x v="14"/>
    <x v="188"/>
    <s v="0.32-7.12"/>
    <n v="3.72"/>
    <s v="#16"/>
    <x v="1"/>
    <n v="7.12"/>
    <n v="0.32"/>
    <n v="3.4"/>
    <n v="11.56"/>
    <x v="7"/>
    <s v="NA4RB"/>
    <n v="16"/>
    <s v="NA4RB-16"/>
  </r>
  <r>
    <x v="2"/>
    <x v="188"/>
    <s v="0.05-7.39"/>
    <n v="3.72"/>
    <s v="#2"/>
    <x v="1"/>
    <n v="7.39"/>
    <n v="0.05"/>
    <n v="3.67"/>
    <n v="13.4689"/>
    <x v="7"/>
    <s v="NA9RB"/>
    <n v="13"/>
    <s v="NA9RB-13"/>
  </r>
  <r>
    <x v="7"/>
    <x v="78"/>
    <s v="0.22-7.20"/>
    <n v="3.71"/>
    <s v="#13"/>
    <x v="1"/>
    <n v="7.2"/>
    <n v="0.22"/>
    <n v="3.49"/>
    <n v="12.180099999999999"/>
    <x v="8"/>
    <s v="comp1RB"/>
    <n v="3"/>
    <s v="comp1RB-3"/>
  </r>
  <r>
    <x v="13"/>
    <x v="171"/>
    <s v="0.33-7.07"/>
    <n v="3.7"/>
    <s v="#25"/>
    <x v="2"/>
    <n v="7.07"/>
    <n v="0.33"/>
    <n v="3.37"/>
    <n v="11.3569"/>
    <x v="7"/>
    <s v="NA8WR"/>
    <n v="32"/>
    <s v="NA8WR-32"/>
  </r>
  <r>
    <x v="11"/>
    <x v="201"/>
    <s v="0.78-6.62"/>
    <n v="3.7"/>
    <s v="#30"/>
    <x v="2"/>
    <n v="6.62"/>
    <n v="0.78"/>
    <n v="2.92"/>
    <n v="8.5264000000000006"/>
    <x v="7"/>
    <s v="NA14WR"/>
    <n v="30"/>
    <s v="NA14WR-30"/>
  </r>
  <r>
    <x v="6"/>
    <x v="193"/>
    <s v="0.05-7.35"/>
    <n v="3.7"/>
    <s v="#15"/>
    <x v="3"/>
    <n v="7.35"/>
    <n v="0.05"/>
    <n v="3.65"/>
    <n v="13.3225"/>
    <x v="7"/>
    <s v="NA12TE"/>
    <n v="11"/>
    <s v="NA12TE-11"/>
  </r>
  <r>
    <x v="5"/>
    <x v="227"/>
    <s v="0.86-6.54"/>
    <n v="3.7"/>
    <s v="#14"/>
    <x v="2"/>
    <n v="6.54"/>
    <n v="0.86"/>
    <n v="2.84"/>
    <n v="8.0655999999999999"/>
    <x v="7"/>
    <s v="NA13WR"/>
    <n v="31"/>
    <s v="NA13WR-31"/>
  </r>
  <r>
    <x v="1"/>
    <x v="217"/>
    <s v="1.02-6.38"/>
    <n v="3.7"/>
    <s v="#30"/>
    <x v="3"/>
    <n v="6.38"/>
    <n v="1.02"/>
    <n v="2.68"/>
    <n v="7.1824000000000003"/>
    <x v="7"/>
    <s v="NA16TE"/>
    <n v="10"/>
    <s v="NA16TE-10"/>
  </r>
  <r>
    <x v="5"/>
    <x v="219"/>
    <s v="0.80-6.58"/>
    <n v="3.69"/>
    <s v="#11"/>
    <x v="2"/>
    <n v="6.58"/>
    <n v="0.8"/>
    <n v="2.89"/>
    <n v="8.3521000000000001"/>
    <x v="7"/>
    <s v="NA13WR"/>
    <n v="32"/>
    <s v="NA13WR-32"/>
  </r>
  <r>
    <x v="16"/>
    <x v="228"/>
    <s v="0.07-7.31"/>
    <n v="3.69"/>
    <s v="#5"/>
    <x v="3"/>
    <n v="7.31"/>
    <n v="7.0000000000000007E-2"/>
    <n v="3.62"/>
    <n v="13.1044"/>
    <x v="7"/>
    <s v="NA3TE"/>
    <n v="9"/>
    <s v="NA3TE-9"/>
  </r>
  <r>
    <x v="12"/>
    <x v="256"/>
    <s v="0.62-6.76"/>
    <n v="3.69"/>
    <s v="#24"/>
    <x v="3"/>
    <n v="6.76"/>
    <n v="0.62"/>
    <n v="3.07"/>
    <n v="9.4248999999999992"/>
    <x v="7"/>
    <s v="NA5TE"/>
    <n v="9"/>
    <s v="NA5TE-9"/>
  </r>
  <r>
    <x v="16"/>
    <x v="250"/>
    <s v="1.22-6.14"/>
    <n v="3.68"/>
    <s v="#8"/>
    <x v="2"/>
    <n v="6.14"/>
    <n v="1.22"/>
    <n v="2.46"/>
    <n v="6.0515999999999996"/>
    <x v="7"/>
    <s v="NA3WR"/>
    <n v="24"/>
    <s v="NA3WR-24"/>
  </r>
  <r>
    <x v="9"/>
    <x v="177"/>
    <s v="0.32-7.04"/>
    <n v="3.68"/>
    <s v="#12"/>
    <x v="2"/>
    <n v="7.04"/>
    <n v="0.32"/>
    <n v="3.36"/>
    <n v="11.2896"/>
    <x v="7"/>
    <s v="NA15WR"/>
    <n v="32"/>
    <s v="NA15WR-32"/>
  </r>
  <r>
    <x v="7"/>
    <x v="158"/>
    <n v="-8.74"/>
    <n v="3.68"/>
    <s v="#26"/>
    <x v="3"/>
    <n v="8.0500000000000007"/>
    <n v="-0.69"/>
    <n v="4.37"/>
    <n v="19.096900000000002"/>
    <x v="4"/>
    <s v="scott1TE"/>
    <n v="1"/>
    <s v="scott1TE-1"/>
  </r>
  <r>
    <x v="1"/>
    <x v="226"/>
    <s v="0.54-6.82"/>
    <n v="3.68"/>
    <s v="#17"/>
    <x v="2"/>
    <n v="6.82"/>
    <n v="0.54"/>
    <n v="3.14"/>
    <n v="9.8596000000000004"/>
    <x v="7"/>
    <s v="NA16WR"/>
    <n v="30"/>
    <s v="NA16WR-30"/>
  </r>
  <r>
    <x v="12"/>
    <x v="95"/>
    <s v="0.34-7.00"/>
    <n v="3.67"/>
    <s v="#2"/>
    <x v="1"/>
    <n v="7"/>
    <n v="0.34"/>
    <n v="3.33"/>
    <n v="11.088900000000001"/>
    <x v="9"/>
    <s v="seth5RB"/>
    <n v="6"/>
    <s v="seth5RB-6"/>
  </r>
  <r>
    <x v="5"/>
    <x v="257"/>
    <s v="0.49-6.85"/>
    <n v="3.67"/>
    <s v="#2"/>
    <x v="2"/>
    <n v="6.85"/>
    <n v="0.49"/>
    <n v="3.18"/>
    <n v="10.112399999999999"/>
    <x v="7"/>
    <s v="NA13WR"/>
    <n v="33"/>
    <s v="NA13WR-33"/>
  </r>
  <r>
    <x v="9"/>
    <x v="227"/>
    <s v="1.14-6.20"/>
    <n v="3.67"/>
    <s v="#27"/>
    <x v="2"/>
    <n v="6.2"/>
    <n v="1.1399999999999999"/>
    <n v="2.5299999999999998"/>
    <n v="6.4009"/>
    <x v="7"/>
    <s v="NA15WR"/>
    <n v="33"/>
    <s v="NA15WR-33"/>
  </r>
  <r>
    <x v="2"/>
    <x v="210"/>
    <s v="0.76-6.58"/>
    <n v="3.67"/>
    <s v="#32"/>
    <x v="1"/>
    <n v="6.58"/>
    <n v="0.76"/>
    <n v="2.91"/>
    <n v="8.4680999999999997"/>
    <x v="7"/>
    <s v="NA9RB"/>
    <n v="14"/>
    <s v="NA9RB-14"/>
  </r>
  <r>
    <x v="10"/>
    <x v="178"/>
    <s v="0.08-7.26"/>
    <n v="3.67"/>
    <s v="#24"/>
    <x v="2"/>
    <n v="7.26"/>
    <n v="0.08"/>
    <n v="3.59"/>
    <n v="12.8881"/>
    <x v="7"/>
    <s v="NA2WR"/>
    <n v="30"/>
    <s v="NA2WR-30"/>
  </r>
  <r>
    <x v="2"/>
    <x v="245"/>
    <s v="0.10-7.24"/>
    <n v="3.67"/>
    <s v="#31"/>
    <x v="2"/>
    <n v="7.24"/>
    <n v="0.1"/>
    <n v="3.57"/>
    <n v="12.744899999999999"/>
    <x v="7"/>
    <s v="NA9WR"/>
    <n v="29"/>
    <s v="NA9WR-29"/>
  </r>
  <r>
    <x v="1"/>
    <x v="223"/>
    <s v="0.25-7.07"/>
    <n v="3.66"/>
    <s v="#23"/>
    <x v="1"/>
    <n v="7.07"/>
    <n v="0.25"/>
    <n v="3.41"/>
    <n v="11.6281"/>
    <x v="7"/>
    <s v="NA16RB"/>
    <n v="20"/>
    <s v="NA16RB-20"/>
  </r>
  <r>
    <x v="9"/>
    <x v="253"/>
    <s v="0.88-6.44"/>
    <n v="3.66"/>
    <s v="#30"/>
    <x v="2"/>
    <n v="6.44"/>
    <n v="0.88"/>
    <n v="2.78"/>
    <n v="7.7283999999999997"/>
    <x v="7"/>
    <s v="NA15WR"/>
    <n v="34"/>
    <s v="NA15WR-34"/>
  </r>
  <r>
    <x v="8"/>
    <x v="227"/>
    <s v="0.85-6.47"/>
    <n v="3.66"/>
    <s v="#9"/>
    <x v="2"/>
    <n v="6.47"/>
    <n v="0.85"/>
    <n v="2.81"/>
    <n v="7.8960999999999997"/>
    <x v="7"/>
    <s v="NA6WR"/>
    <n v="29"/>
    <s v="NA6WR-29"/>
  </r>
  <r>
    <x v="6"/>
    <x v="190"/>
    <s v="0.53-6.79"/>
    <n v="3.66"/>
    <s v="#4"/>
    <x v="2"/>
    <n v="6.79"/>
    <n v="0.53"/>
    <n v="3.13"/>
    <n v="9.7969000000000008"/>
    <x v="7"/>
    <s v="NA12WR"/>
    <n v="36"/>
    <s v="NA12WR-36"/>
  </r>
  <r>
    <x v="7"/>
    <x v="258"/>
    <s v="0.24-7.08"/>
    <n v="3.66"/>
    <s v="#7"/>
    <x v="2"/>
    <n v="7.08"/>
    <n v="0.24"/>
    <n v="3.42"/>
    <n v="11.696400000000001"/>
    <x v="7"/>
    <s v="NA1WR"/>
    <n v="27"/>
    <s v="NA1WR-27"/>
  </r>
  <r>
    <x v="2"/>
    <x v="196"/>
    <s v="0.38-6.94"/>
    <n v="3.66"/>
    <s v="#1"/>
    <x v="3"/>
    <n v="6.94"/>
    <n v="0.38"/>
    <n v="3.28"/>
    <n v="10.7584"/>
    <x v="4"/>
    <s v="scott9TE"/>
    <n v="2"/>
    <s v="scott9TE-2"/>
  </r>
  <r>
    <x v="9"/>
    <x v="249"/>
    <s v="0.79-6.51"/>
    <n v="3.65"/>
    <s v="#1"/>
    <x v="2"/>
    <n v="6.51"/>
    <n v="0.79"/>
    <n v="2.86"/>
    <n v="8.1796000000000006"/>
    <x v="7"/>
    <s v="NA15WR"/>
    <n v="35"/>
    <s v="NA15WR-35"/>
  </r>
  <r>
    <x v="9"/>
    <x v="225"/>
    <s v="0.50-6.80"/>
    <n v="3.65"/>
    <s v="#29"/>
    <x v="1"/>
    <n v="6.8"/>
    <n v="0.5"/>
    <n v="3.15"/>
    <n v="9.9224999999999994"/>
    <x v="7"/>
    <s v="NA15RB"/>
    <n v="19"/>
    <s v="NA15RB-19"/>
  </r>
  <r>
    <x v="12"/>
    <x v="143"/>
    <n v="-8.94"/>
    <n v="3.65"/>
    <s v="#28"/>
    <x v="2"/>
    <n v="8.1199999999999992"/>
    <n v="-0.82"/>
    <n v="4.47"/>
    <n v="19.980899999999998"/>
    <x v="0"/>
    <s v="matty5WR"/>
    <n v="5"/>
    <s v="matty5WR-5"/>
  </r>
  <r>
    <x v="3"/>
    <x v="213"/>
    <s v="1.13-6.17"/>
    <n v="3.65"/>
    <s v="#23"/>
    <x v="1"/>
    <n v="6.17"/>
    <n v="1.1299999999999999"/>
    <n v="2.52"/>
    <n v="6.3503999999999996"/>
    <x v="7"/>
    <s v="NA11RB"/>
    <n v="18"/>
    <s v="NA11RB-18"/>
  </r>
  <r>
    <x v="6"/>
    <x v="223"/>
    <s v="0.41-6.89"/>
    <n v="3.65"/>
    <s v="#18"/>
    <x v="1"/>
    <n v="6.89"/>
    <n v="0.41"/>
    <n v="3.24"/>
    <n v="10.4976"/>
    <x v="7"/>
    <s v="NA12RB"/>
    <n v="18"/>
    <s v="NA12RB-18"/>
  </r>
  <r>
    <x v="5"/>
    <x v="253"/>
    <s v="0.97-6.33"/>
    <n v="3.65"/>
    <s v="#31"/>
    <x v="2"/>
    <n v="6.33"/>
    <n v="0.97"/>
    <n v="2.68"/>
    <n v="7.1824000000000003"/>
    <x v="7"/>
    <s v="NA13WR"/>
    <n v="34"/>
    <s v="NA13WR-34"/>
  </r>
  <r>
    <x v="1"/>
    <x v="227"/>
    <s v="0.89-6.41"/>
    <n v="3.65"/>
    <s v="#21"/>
    <x v="2"/>
    <n v="6.41"/>
    <n v="0.89"/>
    <n v="2.76"/>
    <n v="7.6176000000000004"/>
    <x v="7"/>
    <s v="NA16WR"/>
    <n v="31"/>
    <s v="NA16WR-31"/>
  </r>
  <r>
    <x v="3"/>
    <x v="240"/>
    <s v="0.53-6.77"/>
    <n v="3.65"/>
    <s v="#9"/>
    <x v="2"/>
    <n v="6.77"/>
    <n v="0.53"/>
    <n v="3.12"/>
    <n v="9.7344000000000008"/>
    <x v="7"/>
    <s v="NA11WR"/>
    <n v="23"/>
    <s v="NA11WR-23"/>
  </r>
  <r>
    <x v="6"/>
    <x v="201"/>
    <s v="0.82-6.46"/>
    <n v="3.64"/>
    <s v="#18"/>
    <x v="2"/>
    <n v="6.46"/>
    <n v="0.82"/>
    <n v="2.82"/>
    <n v="7.9523999999999999"/>
    <x v="7"/>
    <s v="NA12WR"/>
    <n v="37"/>
    <s v="NA12WR-37"/>
  </r>
  <r>
    <x v="11"/>
    <x v="223"/>
    <s v="0.40-6.88"/>
    <n v="3.64"/>
    <s v="#30"/>
    <x v="1"/>
    <n v="6.88"/>
    <n v="0.4"/>
    <n v="3.24"/>
    <n v="10.4976"/>
    <x v="7"/>
    <s v="NA14RB"/>
    <n v="21"/>
    <s v="NA14RB-21"/>
  </r>
  <r>
    <x v="0"/>
    <x v="227"/>
    <s v="0.84-6.44"/>
    <n v="3.64"/>
    <s v="#17"/>
    <x v="2"/>
    <n v="6.44"/>
    <n v="0.84"/>
    <n v="2.8"/>
    <n v="7.84"/>
    <x v="7"/>
    <s v="NA17WR"/>
    <n v="35"/>
    <s v="NA17WR-35"/>
  </r>
  <r>
    <x v="11"/>
    <x v="242"/>
    <s v="0.42-6.86"/>
    <n v="3.64"/>
    <s v="#25"/>
    <x v="2"/>
    <n v="6.86"/>
    <n v="0.42"/>
    <n v="3.22"/>
    <n v="10.368399999999999"/>
    <x v="7"/>
    <s v="NA14WR"/>
    <n v="31"/>
    <s v="NA14WR-31"/>
  </r>
  <r>
    <x v="0"/>
    <x v="219"/>
    <s v="0.74-6.52"/>
    <n v="3.63"/>
    <s v="#11"/>
    <x v="2"/>
    <n v="6.52"/>
    <n v="0.74"/>
    <n v="2.89"/>
    <n v="8.3521000000000001"/>
    <x v="7"/>
    <s v="NA17WR"/>
    <n v="36"/>
    <s v="NA17WR-36"/>
  </r>
  <r>
    <x v="8"/>
    <x v="218"/>
    <n v="-10.62"/>
    <n v="3.63"/>
    <s v="#26"/>
    <x v="2"/>
    <n v="8.94"/>
    <n v="-1.68"/>
    <n v="5.31"/>
    <n v="28.196100000000001"/>
    <x v="7"/>
    <s v="NA6WR"/>
    <n v="30"/>
    <s v="NA6WR-30"/>
  </r>
  <r>
    <x v="6"/>
    <x v="225"/>
    <s v="0.47-6.79"/>
    <n v="3.63"/>
    <s v="#20"/>
    <x v="1"/>
    <n v="6.79"/>
    <n v="0.47"/>
    <n v="3.16"/>
    <n v="9.9855999999999998"/>
    <x v="7"/>
    <s v="NA12RB"/>
    <n v="19"/>
    <s v="NA12RB-19"/>
  </r>
  <r>
    <x v="4"/>
    <x v="250"/>
    <s v="0.95-6.31"/>
    <n v="3.63"/>
    <s v="#12"/>
    <x v="2"/>
    <n v="6.31"/>
    <n v="0.95"/>
    <n v="2.68"/>
    <n v="7.1824000000000003"/>
    <x v="7"/>
    <s v="NA7WR"/>
    <n v="30"/>
    <s v="NA7WR-30"/>
  </r>
  <r>
    <x v="4"/>
    <x v="251"/>
    <n v="-8.4600000000000009"/>
    <n v="3.63"/>
    <s v="#12"/>
    <x v="3"/>
    <n v="7.86"/>
    <n v="-0.6"/>
    <n v="4.2300000000000004"/>
    <n v="17.892900000000001"/>
    <x v="7"/>
    <s v="NA7TE"/>
    <n v="11"/>
    <s v="NA7TE-11"/>
  </r>
  <r>
    <x v="7"/>
    <x v="259"/>
    <s v="0.31-6.95"/>
    <n v="3.63"/>
    <s v="#14"/>
    <x v="3"/>
    <n v="6.95"/>
    <n v="0.31"/>
    <n v="3.32"/>
    <n v="11.022399999999999"/>
    <x v="7"/>
    <s v="NA1TE"/>
    <n v="12"/>
    <s v="NA1TE-12"/>
  </r>
  <r>
    <x v="5"/>
    <x v="249"/>
    <s v="0.45-6.79"/>
    <n v="3.62"/>
    <s v="#7"/>
    <x v="2"/>
    <n v="6.79"/>
    <n v="0.45"/>
    <n v="3.17"/>
    <n v="10.0489"/>
    <x v="7"/>
    <s v="NA13WR"/>
    <n v="35"/>
    <s v="NA13WR-35"/>
  </r>
  <r>
    <x v="15"/>
    <x v="218"/>
    <n v="-11.34"/>
    <n v="3.62"/>
    <s v="#32"/>
    <x v="2"/>
    <n v="9.2899999999999991"/>
    <n v="-2.0499999999999998"/>
    <n v="5.67"/>
    <n v="32.148899999999998"/>
    <x v="7"/>
    <s v="NA10WR"/>
    <n v="27"/>
    <s v="NA10WR-27"/>
  </r>
  <r>
    <x v="3"/>
    <x v="93"/>
    <s v="0.27-6.97"/>
    <n v="3.62"/>
    <s v="#30"/>
    <x v="1"/>
    <n v="6.97"/>
    <n v="0.27"/>
    <n v="3.35"/>
    <n v="11.2225"/>
    <x v="7"/>
    <s v="NA11RB"/>
    <n v="19"/>
    <s v="NA11RB-19"/>
  </r>
  <r>
    <x v="1"/>
    <x v="204"/>
    <s v="0.56-6.68"/>
    <n v="3.62"/>
    <s v="#6"/>
    <x v="1"/>
    <n v="6.68"/>
    <n v="0.56000000000000005"/>
    <n v="3.06"/>
    <n v="9.3635999999999999"/>
    <x v="7"/>
    <s v="NA16RB"/>
    <n v="21"/>
    <s v="NA16RB-21"/>
  </r>
  <r>
    <x v="5"/>
    <x v="231"/>
    <s v="0.20-7.04"/>
    <n v="3.62"/>
    <s v="#11"/>
    <x v="2"/>
    <n v="7.04"/>
    <n v="0.2"/>
    <n v="3.42"/>
    <n v="11.696400000000001"/>
    <x v="7"/>
    <s v="NA13WR"/>
    <n v="36"/>
    <s v="NA13WR-36"/>
  </r>
  <r>
    <x v="13"/>
    <x v="217"/>
    <s v="1.29-5.93"/>
    <n v="3.61"/>
    <s v="#2"/>
    <x v="3"/>
    <n v="5.93"/>
    <n v="1.29"/>
    <n v="2.3199999999999998"/>
    <n v="5.3823999999999996"/>
    <x v="7"/>
    <s v="NA8TE"/>
    <n v="10"/>
    <s v="NA8TE-10"/>
  </r>
  <r>
    <x v="5"/>
    <x v="251"/>
    <s v="0.31-6.89"/>
    <n v="3.6"/>
    <s v="#30"/>
    <x v="3"/>
    <n v="6.89"/>
    <n v="0.31"/>
    <n v="3.29"/>
    <n v="10.8241"/>
    <x v="7"/>
    <s v="NA13TE"/>
    <n v="10"/>
    <s v="NA13TE-10"/>
  </r>
  <r>
    <x v="11"/>
    <x v="260"/>
    <s v="0.83-6.37"/>
    <n v="3.6"/>
    <s v="#9"/>
    <x v="2"/>
    <n v="6.37"/>
    <n v="0.83"/>
    <n v="2.77"/>
    <n v="7.6729000000000003"/>
    <x v="1"/>
    <s v="perry14WR"/>
    <n v="6"/>
    <s v="perry14WR-6"/>
  </r>
  <r>
    <x v="13"/>
    <x v="188"/>
    <s v="0.03-7.17"/>
    <n v="3.6"/>
    <s v="#16"/>
    <x v="1"/>
    <n v="7.17"/>
    <n v="0.03"/>
    <n v="3.57"/>
    <n v="12.744899999999999"/>
    <x v="7"/>
    <s v="NA8RB"/>
    <n v="19"/>
    <s v="NA8RB-19"/>
  </r>
  <r>
    <x v="15"/>
    <x v="245"/>
    <s v="0.18-7.02"/>
    <n v="3.6"/>
    <s v="#15"/>
    <x v="2"/>
    <n v="7.02"/>
    <n v="0.18"/>
    <n v="3.42"/>
    <n v="11.696400000000001"/>
    <x v="7"/>
    <s v="NA10WR"/>
    <n v="28"/>
    <s v="NA10WR-28"/>
  </r>
  <r>
    <x v="9"/>
    <x v="261"/>
    <s v="0.45-6.73"/>
    <n v="3.59"/>
    <s v="#14"/>
    <x v="2"/>
    <n v="6.73"/>
    <n v="0.45"/>
    <n v="3.14"/>
    <n v="9.8596000000000004"/>
    <x v="7"/>
    <s v="NA15WR"/>
    <n v="36"/>
    <s v="NA15WR-36"/>
  </r>
  <r>
    <x v="3"/>
    <x v="194"/>
    <n v="-8.5"/>
    <n v="3.59"/>
    <s v="#28"/>
    <x v="2"/>
    <n v="7.84"/>
    <n v="-0.66"/>
    <n v="4.25"/>
    <n v="18.0625"/>
    <x v="7"/>
    <s v="NA11WR"/>
    <n v="24"/>
    <s v="NA11WR-24"/>
  </r>
  <r>
    <x v="1"/>
    <x v="203"/>
    <s v="0.28-6.90"/>
    <n v="3.59"/>
    <s v="#3"/>
    <x v="2"/>
    <n v="6.9"/>
    <n v="0.28000000000000003"/>
    <n v="3.31"/>
    <n v="10.956099999999999"/>
    <x v="7"/>
    <s v="NA16WR"/>
    <n v="32"/>
    <s v="NA16WR-32"/>
  </r>
  <r>
    <x v="13"/>
    <x v="239"/>
    <s v="0.69-6.49"/>
    <n v="3.59"/>
    <s v="#2"/>
    <x v="2"/>
    <n v="6.49"/>
    <n v="0.69"/>
    <n v="2.9"/>
    <n v="8.41"/>
    <x v="7"/>
    <s v="NA8WR"/>
    <n v="33"/>
    <s v="NA8WR-33"/>
  </r>
  <r>
    <x v="14"/>
    <x v="262"/>
    <s v="0.24-6.94"/>
    <n v="3.59"/>
    <s v="#13"/>
    <x v="2"/>
    <n v="6.94"/>
    <n v="0.24"/>
    <n v="3.35"/>
    <n v="11.2225"/>
    <x v="7"/>
    <s v="NA4WR"/>
    <n v="27"/>
    <s v="NA4WR-27"/>
  </r>
  <r>
    <x v="1"/>
    <x v="190"/>
    <s v="0.63-6.55"/>
    <n v="3.59"/>
    <s v="#11"/>
    <x v="2"/>
    <n v="6.55"/>
    <n v="0.63"/>
    <n v="2.96"/>
    <n v="8.7615999999999996"/>
    <x v="7"/>
    <s v="NA16WR"/>
    <n v="33"/>
    <s v="NA16WR-33"/>
  </r>
  <r>
    <x v="9"/>
    <x v="235"/>
    <n v="-7.38"/>
    <n v="3.59"/>
    <s v="#9"/>
    <x v="1"/>
    <n v="7.28"/>
    <n v="-0.1"/>
    <n v="3.69"/>
    <n v="13.616099999999999"/>
    <x v="7"/>
    <s v="NA15RB"/>
    <n v="20"/>
    <s v="NA15RB-20"/>
  </r>
  <r>
    <x v="6"/>
    <x v="238"/>
    <s v="0.15-7.03"/>
    <n v="3.59"/>
    <s v="#18"/>
    <x v="1"/>
    <n v="7.03"/>
    <n v="0.15"/>
    <n v="3.44"/>
    <n v="11.833600000000001"/>
    <x v="7"/>
    <s v="NA12RB"/>
    <n v="20"/>
    <s v="NA12RB-20"/>
  </r>
  <r>
    <x v="2"/>
    <x v="240"/>
    <s v="0.51-6.67"/>
    <n v="3.59"/>
    <s v="#23"/>
    <x v="2"/>
    <n v="6.67"/>
    <n v="0.51"/>
    <n v="3.08"/>
    <n v="9.4863999999999997"/>
    <x v="7"/>
    <s v="NA9WR"/>
    <n v="30"/>
    <s v="NA9WR-30"/>
  </r>
  <r>
    <x v="14"/>
    <x v="263"/>
    <s v="0.71-6.47"/>
    <n v="3.59"/>
    <s v="#18"/>
    <x v="3"/>
    <n v="6.47"/>
    <n v="0.71"/>
    <n v="2.88"/>
    <n v="8.2943999999999996"/>
    <x v="7"/>
    <s v="NA4TE"/>
    <n v="11"/>
    <s v="NA4TE-11"/>
  </r>
  <r>
    <x v="15"/>
    <x v="255"/>
    <s v="0.10-7.06"/>
    <n v="3.58"/>
    <s v="#25"/>
    <x v="3"/>
    <n v="7.06"/>
    <n v="0.1"/>
    <n v="3.48"/>
    <n v="12.1104"/>
    <x v="7"/>
    <s v="NA10TE"/>
    <n v="9"/>
    <s v="NA10TE-9"/>
  </r>
  <r>
    <x v="11"/>
    <x v="171"/>
    <s v="0.31-6.85"/>
    <n v="3.58"/>
    <s v="#27"/>
    <x v="2"/>
    <n v="6.85"/>
    <n v="0.31"/>
    <n v="3.27"/>
    <n v="10.6929"/>
    <x v="7"/>
    <s v="NA14WR"/>
    <n v="32"/>
    <s v="NA14WR-32"/>
  </r>
  <r>
    <x v="14"/>
    <x v="213"/>
    <s v="1.06-6.10"/>
    <n v="3.58"/>
    <s v="#19"/>
    <x v="1"/>
    <n v="6.1"/>
    <n v="1.06"/>
    <n v="2.52"/>
    <n v="6.3503999999999996"/>
    <x v="7"/>
    <s v="NA4RB"/>
    <n v="17"/>
    <s v="NA4RB-17"/>
  </r>
  <r>
    <x v="8"/>
    <x v="226"/>
    <s v="0.47-6.69"/>
    <n v="3.58"/>
    <s v="#27"/>
    <x v="2"/>
    <n v="6.69"/>
    <n v="0.47"/>
    <n v="3.11"/>
    <n v="9.6721000000000004"/>
    <x v="7"/>
    <s v="NA6WR"/>
    <n v="31"/>
    <s v="NA6WR-31"/>
  </r>
  <r>
    <x v="1"/>
    <x v="171"/>
    <s v="0.04-7.10"/>
    <n v="3.57"/>
    <s v="#22"/>
    <x v="2"/>
    <n v="7.1"/>
    <n v="0.04"/>
    <n v="3.53"/>
    <n v="12.460900000000001"/>
    <x v="7"/>
    <s v="NA16WR"/>
    <n v="34"/>
    <s v="NA16WR-34"/>
  </r>
  <r>
    <x v="1"/>
    <x v="113"/>
    <s v="0.97-6.17"/>
    <n v="3.57"/>
    <s v="#29"/>
    <x v="3"/>
    <n v="6.17"/>
    <n v="0.97"/>
    <n v="2.6"/>
    <n v="6.76"/>
    <x v="10"/>
    <s v="aj16TE"/>
    <n v="2"/>
    <s v="aj16TE-2"/>
  </r>
  <r>
    <x v="12"/>
    <x v="235"/>
    <n v="-7.8999999999999995"/>
    <n v="3.57"/>
    <s v="#27"/>
    <x v="1"/>
    <n v="7.52"/>
    <n v="-0.38"/>
    <n v="3.95"/>
    <n v="15.602499999999999"/>
    <x v="7"/>
    <s v="NA5RB"/>
    <n v="16"/>
    <s v="NA5RB-16"/>
  </r>
  <r>
    <x v="1"/>
    <x v="244"/>
    <s v="0.82-6.32"/>
    <n v="3.57"/>
    <s v="#16"/>
    <x v="2"/>
    <n v="6.32"/>
    <n v="0.82"/>
    <n v="2.75"/>
    <n v="7.5625"/>
    <x v="7"/>
    <s v="NA16WR"/>
    <n v="35"/>
    <s v="NA16WR-35"/>
  </r>
  <r>
    <x v="16"/>
    <x v="245"/>
    <s v="0.13-7.01"/>
    <n v="3.57"/>
    <s v="#19"/>
    <x v="2"/>
    <n v="7.01"/>
    <n v="0.13"/>
    <n v="3.44"/>
    <n v="11.833600000000001"/>
    <x v="7"/>
    <s v="NA3WR"/>
    <n v="25"/>
    <s v="NA3WR-25"/>
  </r>
  <r>
    <x v="12"/>
    <x v="215"/>
    <s v="0.43-6.69"/>
    <n v="3.56"/>
    <s v="#32"/>
    <x v="3"/>
    <n v="6.69"/>
    <n v="0.43"/>
    <n v="3.13"/>
    <n v="9.7969000000000008"/>
    <x v="7"/>
    <s v="NA5TE"/>
    <n v="10"/>
    <s v="NA5TE-10"/>
  </r>
  <r>
    <x v="12"/>
    <x v="260"/>
    <s v="0.77-6.35"/>
    <n v="3.56"/>
    <s v="#23"/>
    <x v="2"/>
    <n v="6.35"/>
    <n v="0.77"/>
    <n v="2.79"/>
    <n v="7.7840999999999996"/>
    <x v="1"/>
    <s v="perry5WR"/>
    <n v="6"/>
    <s v="perry5WR-6"/>
  </r>
  <r>
    <x v="3"/>
    <x v="252"/>
    <s v="2.95-4.17"/>
    <n v="3.56"/>
    <s v="#19"/>
    <x v="0"/>
    <n v="4.17"/>
    <n v="2.95"/>
    <n v="0.61"/>
    <n v="0.37209999999999999"/>
    <x v="7"/>
    <s v="NA11QB"/>
    <n v="12"/>
    <s v="NA11QB-12"/>
  </r>
  <r>
    <x v="12"/>
    <x v="264"/>
    <s v="0.67-6.45"/>
    <n v="3.56"/>
    <s v="#21"/>
    <x v="3"/>
    <n v="6.45"/>
    <n v="0.67"/>
    <n v="2.89"/>
    <n v="8.3521000000000001"/>
    <x v="7"/>
    <s v="NA5TE"/>
    <n v="11"/>
    <s v="NA5TE-11"/>
  </r>
  <r>
    <x v="1"/>
    <x v="238"/>
    <s v="0.02-7.10"/>
    <n v="3.56"/>
    <s v="#23"/>
    <x v="1"/>
    <n v="7.1"/>
    <n v="0.02"/>
    <n v="3.54"/>
    <n v="12.531599999999999"/>
    <x v="7"/>
    <s v="NA16RB"/>
    <n v="22"/>
    <s v="NA16RB-22"/>
  </r>
  <r>
    <x v="5"/>
    <x v="242"/>
    <s v="0.11-7.01"/>
    <n v="3.56"/>
    <s v="#20"/>
    <x v="2"/>
    <n v="7.01"/>
    <n v="0.11"/>
    <n v="3.45"/>
    <n v="11.9025"/>
    <x v="7"/>
    <s v="NA13WR"/>
    <n v="37"/>
    <s v="NA13WR-37"/>
  </r>
  <r>
    <x v="11"/>
    <x v="209"/>
    <s v="0.62-6.50"/>
    <n v="3.56"/>
    <s v="#32"/>
    <x v="2"/>
    <n v="6.5"/>
    <n v="0.62"/>
    <n v="2.94"/>
    <n v="8.6435999999999993"/>
    <x v="7"/>
    <s v="NA14WR"/>
    <n v="33"/>
    <s v="NA14WR-33"/>
  </r>
  <r>
    <x v="0"/>
    <x v="249"/>
    <s v="0.89-6.21"/>
    <n v="3.55"/>
    <s v="#29"/>
    <x v="2"/>
    <n v="6.21"/>
    <n v="0.89"/>
    <n v="2.66"/>
    <n v="7.0755999999999997"/>
    <x v="7"/>
    <s v="NA17WR"/>
    <n v="37"/>
    <s v="NA17WR-37"/>
  </r>
  <r>
    <x v="2"/>
    <x v="219"/>
    <s v="0.76-6.34"/>
    <n v="3.55"/>
    <s v="#4"/>
    <x v="2"/>
    <n v="6.34"/>
    <n v="0.76"/>
    <n v="2.79"/>
    <n v="7.7840999999999996"/>
    <x v="7"/>
    <s v="NA9WR"/>
    <n v="31"/>
    <s v="NA9WR-31"/>
  </r>
  <r>
    <x v="13"/>
    <x v="261"/>
    <s v="0.44-6.66"/>
    <n v="3.55"/>
    <s v="#12"/>
    <x v="2"/>
    <n v="6.66"/>
    <n v="0.44"/>
    <n v="3.11"/>
    <n v="9.6721000000000004"/>
    <x v="7"/>
    <s v="NA8WR"/>
    <n v="34"/>
    <s v="NA8WR-34"/>
  </r>
  <r>
    <x v="1"/>
    <x v="194"/>
    <n v="-7.78"/>
    <n v="3.55"/>
    <s v="#29"/>
    <x v="2"/>
    <n v="7.44"/>
    <n v="-0.34"/>
    <n v="3.89"/>
    <n v="15.132099999999999"/>
    <x v="7"/>
    <s v="NA16WR"/>
    <n v="36"/>
    <s v="NA16WR-36"/>
  </r>
  <r>
    <x v="0"/>
    <x v="253"/>
    <s v="0.77-6.33"/>
    <n v="3.55"/>
    <s v="#30"/>
    <x v="2"/>
    <n v="6.33"/>
    <n v="0.77"/>
    <n v="2.78"/>
    <n v="7.7283999999999997"/>
    <x v="7"/>
    <s v="NA17WR"/>
    <n v="38"/>
    <s v="NA17WR-38"/>
  </r>
  <r>
    <x v="11"/>
    <x v="228"/>
    <n v="-7.6"/>
    <n v="3.55"/>
    <s v="#28"/>
    <x v="3"/>
    <n v="7.35"/>
    <n v="-0.25"/>
    <n v="3.8"/>
    <n v="14.44"/>
    <x v="7"/>
    <s v="NA14TE"/>
    <n v="11"/>
    <s v="NA14TE-11"/>
  </r>
  <r>
    <x v="6"/>
    <x v="171"/>
    <s v="0.00-7.08"/>
    <n v="3.54"/>
    <s v="#24"/>
    <x v="2"/>
    <n v="7.08"/>
    <n v="0"/>
    <n v="3.54"/>
    <n v="12.531599999999999"/>
    <x v="7"/>
    <s v="NA12WR"/>
    <n v="38"/>
    <s v="NA12WR-38"/>
  </r>
  <r>
    <x v="14"/>
    <x v="247"/>
    <s v="0.01-7.07"/>
    <n v="3.54"/>
    <s v="#16"/>
    <x v="2"/>
    <n v="7.07"/>
    <n v="0.01"/>
    <n v="3.53"/>
    <n v="12.460900000000001"/>
    <x v="7"/>
    <s v="NA4WR"/>
    <n v="28"/>
    <s v="NA4WR-28"/>
  </r>
  <r>
    <x v="5"/>
    <x v="265"/>
    <s v="0.09-6.99"/>
    <n v="3.54"/>
    <s v="#12"/>
    <x v="3"/>
    <n v="6.99"/>
    <n v="0.09"/>
    <n v="3.45"/>
    <n v="11.9025"/>
    <x v="7"/>
    <s v="NA13TE"/>
    <n v="11"/>
    <s v="NA13TE-11"/>
  </r>
  <r>
    <x v="16"/>
    <x v="191"/>
    <s v="1.17-5.91"/>
    <n v="3.54"/>
    <s v="#30"/>
    <x v="2"/>
    <n v="5.91"/>
    <n v="1.17"/>
    <n v="2.37"/>
    <n v="5.6169000000000002"/>
    <x v="7"/>
    <s v="NA3WR"/>
    <n v="26"/>
    <s v="NA3WR-26"/>
  </r>
  <r>
    <x v="11"/>
    <x v="215"/>
    <s v="0.68-6.38"/>
    <n v="3.53"/>
    <s v="#14"/>
    <x v="3"/>
    <n v="6.38"/>
    <n v="0.68"/>
    <n v="2.85"/>
    <n v="8.1225000000000005"/>
    <x v="7"/>
    <s v="NA14TE"/>
    <n v="12"/>
    <s v="NA14TE-12"/>
  </r>
  <r>
    <x v="4"/>
    <x v="201"/>
    <s v="0.79-6.27"/>
    <n v="3.53"/>
    <s v="#2"/>
    <x v="2"/>
    <n v="6.27"/>
    <n v="0.79"/>
    <n v="2.74"/>
    <n v="7.5076000000000001"/>
    <x v="7"/>
    <s v="NA7WR"/>
    <n v="31"/>
    <s v="NA7WR-31"/>
  </r>
  <r>
    <x v="8"/>
    <x v="223"/>
    <s v="0.18-6.88"/>
    <n v="3.53"/>
    <s v="#29"/>
    <x v="1"/>
    <n v="6.88"/>
    <n v="0.18"/>
    <n v="3.35"/>
    <n v="11.2225"/>
    <x v="7"/>
    <s v="NA6RB"/>
    <n v="21"/>
    <s v="NA6RB-21"/>
  </r>
  <r>
    <x v="10"/>
    <x v="209"/>
    <s v="0.09-6.97"/>
    <n v="3.53"/>
    <s v="#19"/>
    <x v="2"/>
    <n v="6.97"/>
    <n v="0.09"/>
    <n v="3.44"/>
    <n v="11.833600000000001"/>
    <x v="7"/>
    <s v="NA2WR"/>
    <n v="31"/>
    <s v="NA2WR-31"/>
  </r>
  <r>
    <x v="9"/>
    <x v="89"/>
    <s v="0.54-6.50"/>
    <n v="3.52"/>
    <s v="#15"/>
    <x v="2"/>
    <n v="6.5"/>
    <n v="0.54"/>
    <n v="2.98"/>
    <n v="8.8803999999999998"/>
    <x v="1"/>
    <s v="perry15WR"/>
    <n v="5"/>
    <s v="perry15WR-5"/>
  </r>
  <r>
    <x v="16"/>
    <x v="261"/>
    <s v="0.07-6.97"/>
    <n v="3.52"/>
    <s v="#27"/>
    <x v="2"/>
    <n v="6.97"/>
    <n v="7.0000000000000007E-2"/>
    <n v="3.45"/>
    <n v="11.9025"/>
    <x v="7"/>
    <s v="NA3WR"/>
    <n v="27"/>
    <s v="NA3WR-27"/>
  </r>
  <r>
    <x v="9"/>
    <x v="251"/>
    <s v="0.11-6.93"/>
    <n v="3.52"/>
    <s v="#9"/>
    <x v="3"/>
    <n v="6.93"/>
    <n v="0.11"/>
    <n v="3.41"/>
    <n v="11.6281"/>
    <x v="7"/>
    <s v="NA15TE"/>
    <n v="11"/>
    <s v="NA15TE-11"/>
  </r>
  <r>
    <x v="7"/>
    <x v="239"/>
    <n v="-7.4799999999999995"/>
    <n v="3.52"/>
    <s v="#2"/>
    <x v="2"/>
    <n v="7.26"/>
    <n v="-0.22"/>
    <n v="3.74"/>
    <n v="13.9876"/>
    <x v="7"/>
    <s v="NA1WR"/>
    <n v="28"/>
    <s v="NA1WR-28"/>
  </r>
  <r>
    <x v="3"/>
    <x v="245"/>
    <n v="-7.1599999999999993"/>
    <n v="3.52"/>
    <s v="#28"/>
    <x v="2"/>
    <n v="7.1"/>
    <n v="-0.06"/>
    <n v="3.58"/>
    <n v="12.8164"/>
    <x v="7"/>
    <s v="NA11WR"/>
    <n v="25"/>
    <s v="NA11WR-25"/>
  </r>
  <r>
    <x v="2"/>
    <x v="249"/>
    <s v="0.34-6.68"/>
    <n v="3.51"/>
    <s v="#7"/>
    <x v="2"/>
    <n v="6.68"/>
    <n v="0.34"/>
    <n v="3.17"/>
    <n v="10.0489"/>
    <x v="7"/>
    <s v="NA9WR"/>
    <n v="32"/>
    <s v="NA9WR-32"/>
  </r>
  <r>
    <x v="7"/>
    <x v="179"/>
    <s v="0.03-6.99"/>
    <n v="3.51"/>
    <s v="#19"/>
    <x v="3"/>
    <n v="6.99"/>
    <n v="0.03"/>
    <n v="3.48"/>
    <n v="12.1104"/>
    <x v="2"/>
    <s v="devon1TE"/>
    <n v="2"/>
    <s v="devon1TE-2"/>
  </r>
  <r>
    <x v="6"/>
    <x v="235"/>
    <s v="0.19-6.83"/>
    <n v="3.51"/>
    <s v="#12"/>
    <x v="1"/>
    <n v="6.83"/>
    <n v="0.19"/>
    <n v="3.32"/>
    <n v="11.022399999999999"/>
    <x v="7"/>
    <s v="NA12RB"/>
    <n v="21"/>
    <s v="NA12RB-21"/>
  </r>
  <r>
    <x v="5"/>
    <x v="245"/>
    <n v="-7.14"/>
    <n v="3.51"/>
    <s v="#31"/>
    <x v="2"/>
    <n v="7.08"/>
    <n v="-0.06"/>
    <n v="3.57"/>
    <n v="12.744899999999999"/>
    <x v="7"/>
    <s v="NA13WR"/>
    <n v="38"/>
    <s v="NA13WR-38"/>
  </r>
  <r>
    <x v="13"/>
    <x v="221"/>
    <n v="-8.08"/>
    <n v="3.5"/>
    <s v="#3"/>
    <x v="1"/>
    <n v="7.54"/>
    <n v="-0.54"/>
    <n v="4.04"/>
    <n v="16.3216"/>
    <x v="7"/>
    <s v="NA8RB"/>
    <n v="20"/>
    <s v="NA8RB-20"/>
  </r>
  <r>
    <x v="0"/>
    <x v="231"/>
    <s v="0.08-6.92"/>
    <n v="3.5"/>
    <s v="#11"/>
    <x v="2"/>
    <n v="6.92"/>
    <n v="0.08"/>
    <n v="3.42"/>
    <n v="11.696400000000001"/>
    <x v="7"/>
    <s v="NA17WR"/>
    <n v="39"/>
    <s v="NA17WR-39"/>
  </r>
  <r>
    <x v="2"/>
    <x v="227"/>
    <s v="0.24-6.76"/>
    <n v="3.5"/>
    <s v="#24"/>
    <x v="2"/>
    <n v="6.76"/>
    <n v="0.24"/>
    <n v="3.26"/>
    <n v="10.627599999999999"/>
    <x v="7"/>
    <s v="NA9WR"/>
    <n v="33"/>
    <s v="NA9WR-33"/>
  </r>
  <r>
    <x v="14"/>
    <x v="266"/>
    <n v="-8.4"/>
    <n v="3.5"/>
    <s v="#14"/>
    <x v="1"/>
    <n v="7.7"/>
    <n v="-0.7"/>
    <n v="4.2"/>
    <n v="17.64"/>
    <x v="7"/>
    <s v="NA4RB"/>
    <n v="18"/>
    <s v="NA4RB-18"/>
  </r>
  <r>
    <x v="13"/>
    <x v="190"/>
    <s v="0.54-6.46"/>
    <n v="3.5"/>
    <s v="#11"/>
    <x v="2"/>
    <n v="6.46"/>
    <n v="0.54"/>
    <n v="2.96"/>
    <n v="8.7615999999999996"/>
    <x v="7"/>
    <s v="NA8WR"/>
    <n v="35"/>
    <s v="NA8WR-35"/>
  </r>
  <r>
    <x v="1"/>
    <x v="188"/>
    <n v="-7.1400000000000006"/>
    <n v="3.5"/>
    <s v="#8"/>
    <x v="1"/>
    <n v="7.07"/>
    <n v="-7.0000000000000007E-2"/>
    <n v="3.57"/>
    <n v="12.744899999999999"/>
    <x v="7"/>
    <s v="NA16RB"/>
    <n v="23"/>
    <s v="NA16RB-23"/>
  </r>
  <r>
    <x v="0"/>
    <x v="204"/>
    <s v="0.78-6.20"/>
    <n v="3.49"/>
    <s v="#3"/>
    <x v="1"/>
    <n v="6.2"/>
    <n v="0.78"/>
    <n v="2.71"/>
    <n v="7.3441000000000001"/>
    <x v="7"/>
    <s v="NA17RB"/>
    <n v="21"/>
    <s v="NA17RB-21"/>
  </r>
  <r>
    <x v="14"/>
    <x v="250"/>
    <s v="1.09-5.89"/>
    <n v="3.49"/>
    <s v="#28"/>
    <x v="2"/>
    <n v="5.89"/>
    <n v="1.0900000000000001"/>
    <n v="2.4"/>
    <n v="5.76"/>
    <x v="7"/>
    <s v="NA4WR"/>
    <n v="29"/>
    <s v="NA4WR-29"/>
  </r>
  <r>
    <x v="13"/>
    <x v="228"/>
    <n v="-7.8"/>
    <n v="3.49"/>
    <s v="#18"/>
    <x v="3"/>
    <n v="7.39"/>
    <n v="-0.41"/>
    <n v="3.9"/>
    <n v="15.21"/>
    <x v="7"/>
    <s v="NA8TE"/>
    <n v="11"/>
    <s v="NA8TE-11"/>
  </r>
  <r>
    <x v="1"/>
    <x v="245"/>
    <s v="0.03-6.95"/>
    <n v="3.49"/>
    <s v="#29"/>
    <x v="2"/>
    <n v="6.95"/>
    <n v="0.03"/>
    <n v="3.46"/>
    <n v="11.9716"/>
    <x v="7"/>
    <s v="NA16WR"/>
    <n v="37"/>
    <s v="NA16WR-37"/>
  </r>
  <r>
    <x v="14"/>
    <x v="226"/>
    <s v="0.63-6.35"/>
    <n v="3.49"/>
    <s v="#21"/>
    <x v="2"/>
    <n v="6.35"/>
    <n v="0.63"/>
    <n v="2.86"/>
    <n v="8.1796000000000006"/>
    <x v="7"/>
    <s v="NA4WR"/>
    <n v="30"/>
    <s v="NA4WR-30"/>
  </r>
  <r>
    <x v="2"/>
    <x v="186"/>
    <s v="0.51-6.45"/>
    <n v="3.48"/>
    <s v="#25"/>
    <x v="2"/>
    <n v="6.45"/>
    <n v="0.51"/>
    <n v="2.97"/>
    <n v="8.8209"/>
    <x v="7"/>
    <s v="NA9WR"/>
    <n v="34"/>
    <s v="NA9WR-34"/>
  </r>
  <r>
    <x v="4"/>
    <x v="221"/>
    <n v="-8.0399999999999991"/>
    <n v="3.48"/>
    <s v="#7"/>
    <x v="1"/>
    <n v="7.5"/>
    <n v="-0.54"/>
    <n v="4.0199999999999996"/>
    <n v="16.160399999999999"/>
    <x v="7"/>
    <s v="NA7RB"/>
    <n v="13"/>
    <s v="NA7RB-13"/>
  </r>
  <r>
    <x v="3"/>
    <x v="263"/>
    <s v="0.44-6.52"/>
    <n v="3.48"/>
    <s v="#16"/>
    <x v="3"/>
    <n v="6.52"/>
    <n v="0.44"/>
    <n v="3.04"/>
    <n v="9.2416"/>
    <x v="7"/>
    <s v="NA11TE"/>
    <n v="7"/>
    <s v="NA11TE-7"/>
  </r>
  <r>
    <x v="8"/>
    <x v="249"/>
    <s v="0.81-6.13"/>
    <n v="3.47"/>
    <s v="#29"/>
    <x v="2"/>
    <n v="6.13"/>
    <n v="0.81"/>
    <n v="2.66"/>
    <n v="7.0755999999999997"/>
    <x v="7"/>
    <s v="NA6WR"/>
    <n v="32"/>
    <s v="NA6WR-32"/>
  </r>
  <r>
    <x v="1"/>
    <x v="249"/>
    <s v="0.76-6.18"/>
    <n v="3.47"/>
    <s v="#23"/>
    <x v="2"/>
    <n v="6.18"/>
    <n v="0.76"/>
    <n v="2.71"/>
    <n v="7.3441000000000001"/>
    <x v="7"/>
    <s v="NA16WR"/>
    <n v="38"/>
    <s v="NA16WR-38"/>
  </r>
  <r>
    <x v="7"/>
    <x v="171"/>
    <s v="0.05-6.89"/>
    <n v="3.47"/>
    <s v="#19"/>
    <x v="2"/>
    <n v="6.89"/>
    <n v="0.05"/>
    <n v="3.42"/>
    <n v="11.696400000000001"/>
    <x v="7"/>
    <s v="NA1WR"/>
    <n v="29"/>
    <s v="NA1WR-29"/>
  </r>
  <r>
    <x v="6"/>
    <x v="198"/>
    <s v="0.77-6.17"/>
    <n v="3.47"/>
    <s v="#1"/>
    <x v="1"/>
    <n v="6.17"/>
    <n v="0.77"/>
    <n v="2.7"/>
    <n v="7.29"/>
    <x v="7"/>
    <s v="NA12RB"/>
    <n v="22"/>
    <s v="NA12RB-22"/>
  </r>
  <r>
    <x v="12"/>
    <x v="217"/>
    <s v="0.92-6.02"/>
    <n v="3.47"/>
    <s v="#29"/>
    <x v="3"/>
    <n v="6.02"/>
    <n v="0.92"/>
    <n v="2.5499999999999998"/>
    <n v="6.5025000000000004"/>
    <x v="7"/>
    <s v="NA5TE"/>
    <n v="12"/>
    <s v="NA5TE-12"/>
  </r>
  <r>
    <x v="9"/>
    <x v="228"/>
    <n v="-7.78"/>
    <n v="3.47"/>
    <s v="#29"/>
    <x v="3"/>
    <n v="7.36"/>
    <n v="-0.42"/>
    <n v="3.89"/>
    <n v="15.132099999999999"/>
    <x v="7"/>
    <s v="NA15TE"/>
    <n v="12"/>
    <s v="NA15TE-12"/>
  </r>
  <r>
    <x v="4"/>
    <x v="226"/>
    <s v="0.41-6.53"/>
    <n v="3.47"/>
    <s v="#9"/>
    <x v="2"/>
    <n v="6.53"/>
    <n v="0.41"/>
    <n v="3.06"/>
    <n v="9.3635999999999999"/>
    <x v="7"/>
    <s v="NA7WR"/>
    <n v="32"/>
    <s v="NA7WR-32"/>
  </r>
  <r>
    <x v="2"/>
    <x v="231"/>
    <s v="0.25-6.67"/>
    <n v="3.46"/>
    <s v="#4"/>
    <x v="2"/>
    <n v="6.67"/>
    <n v="0.25"/>
    <n v="3.21"/>
    <n v="10.3041"/>
    <x v="7"/>
    <s v="NA9WR"/>
    <n v="35"/>
    <s v="NA9WR-35"/>
  </r>
  <r>
    <x v="9"/>
    <x v="231"/>
    <s v="0.19-6.73"/>
    <n v="3.46"/>
    <s v="#26"/>
    <x v="2"/>
    <n v="6.73"/>
    <n v="0.19"/>
    <n v="3.27"/>
    <n v="10.6929"/>
    <x v="7"/>
    <s v="NA15WR"/>
    <n v="37"/>
    <s v="NA15WR-37"/>
  </r>
  <r>
    <x v="2"/>
    <x v="194"/>
    <n v="-8.1"/>
    <n v="3.45"/>
    <s v="#31"/>
    <x v="2"/>
    <n v="7.5"/>
    <n v="-0.6"/>
    <n v="4.05"/>
    <n v="16.4025"/>
    <x v="7"/>
    <s v="NA9WR"/>
    <n v="36"/>
    <s v="NA9WR-36"/>
  </r>
  <r>
    <x v="15"/>
    <x v="194"/>
    <n v="-8.98"/>
    <n v="3.45"/>
    <s v="#15"/>
    <x v="2"/>
    <n v="7.94"/>
    <n v="-1.04"/>
    <n v="4.49"/>
    <n v="20.1601"/>
    <x v="7"/>
    <s v="NA10WR"/>
    <n v="29"/>
    <s v="NA10WR-29"/>
  </r>
  <r>
    <x v="14"/>
    <x v="265"/>
    <s v="1.30-5.60"/>
    <n v="3.45"/>
    <s v="#14"/>
    <x v="3"/>
    <n v="5.6"/>
    <n v="1.3"/>
    <n v="2.15"/>
    <n v="4.6224999999999996"/>
    <x v="7"/>
    <s v="NA4TE"/>
    <n v="12"/>
    <s v="NA4TE-12"/>
  </r>
  <r>
    <x v="0"/>
    <x v="265"/>
    <s v="0.00-6.90"/>
    <n v="3.45"/>
    <s v="#12"/>
    <x v="3"/>
    <n v="6.9"/>
    <n v="0"/>
    <n v="3.45"/>
    <n v="11.9025"/>
    <x v="7"/>
    <s v="NA17TE"/>
    <n v="10"/>
    <s v="NA17TE-10"/>
  </r>
  <r>
    <x v="8"/>
    <x v="244"/>
    <s v="0.89-6.01"/>
    <n v="3.45"/>
    <s v="#8"/>
    <x v="2"/>
    <n v="6.01"/>
    <n v="0.89"/>
    <n v="2.56"/>
    <n v="6.5536000000000003"/>
    <x v="7"/>
    <s v="NA6WR"/>
    <n v="33"/>
    <s v="NA6WR-33"/>
  </r>
  <r>
    <x v="9"/>
    <x v="255"/>
    <s v="0.00-6.88"/>
    <n v="3.44"/>
    <s v="#32"/>
    <x v="3"/>
    <n v="6.88"/>
    <n v="0"/>
    <n v="3.44"/>
    <n v="11.833600000000001"/>
    <x v="7"/>
    <s v="NA15TE"/>
    <n v="13"/>
    <s v="NA15TE-13"/>
  </r>
  <r>
    <x v="6"/>
    <x v="257"/>
    <s v="0.40-6.48"/>
    <n v="3.44"/>
    <s v="#14"/>
    <x v="2"/>
    <n v="6.48"/>
    <n v="0.4"/>
    <n v="3.04"/>
    <n v="9.2416"/>
    <x v="7"/>
    <s v="NA12WR"/>
    <n v="39"/>
    <s v="NA12WR-39"/>
  </r>
  <r>
    <x v="6"/>
    <x v="239"/>
    <s v="0.51-6.37"/>
    <n v="3.44"/>
    <s v="#16"/>
    <x v="2"/>
    <n v="6.37"/>
    <n v="0.51"/>
    <n v="2.93"/>
    <n v="8.5848999999999993"/>
    <x v="7"/>
    <s v="NA12WR"/>
    <n v="40"/>
    <s v="NA12WR-40"/>
  </r>
  <r>
    <x v="8"/>
    <x v="235"/>
    <s v="0.06-6.82"/>
    <n v="3.44"/>
    <s v="#3"/>
    <x v="1"/>
    <n v="6.82"/>
    <n v="0.06"/>
    <n v="3.38"/>
    <n v="11.4244"/>
    <x v="7"/>
    <s v="NA6RB"/>
    <n v="22"/>
    <s v="NA6RB-22"/>
  </r>
  <r>
    <x v="3"/>
    <x v="196"/>
    <s v="0.24-6.64"/>
    <n v="3.44"/>
    <s v="#3"/>
    <x v="3"/>
    <n v="6.64"/>
    <n v="0.24"/>
    <n v="3.2"/>
    <n v="10.24"/>
    <x v="4"/>
    <s v="scott11TE"/>
    <n v="1"/>
    <s v="scott11TE-1"/>
  </r>
  <r>
    <x v="1"/>
    <x v="219"/>
    <s v="0.85-6.01"/>
    <n v="3.43"/>
    <s v="#3"/>
    <x v="2"/>
    <n v="6.01"/>
    <n v="0.85"/>
    <n v="2.58"/>
    <n v="6.6563999999999997"/>
    <x v="7"/>
    <s v="NA16WR"/>
    <n v="39"/>
    <s v="NA16WR-39"/>
  </r>
  <r>
    <x v="2"/>
    <x v="267"/>
    <s v="1.02-5.84"/>
    <n v="3.43"/>
    <s v="#10"/>
    <x v="2"/>
    <n v="5.84"/>
    <n v="1.02"/>
    <n v="2.41"/>
    <n v="5.8080999999999996"/>
    <x v="7"/>
    <s v="NA9WR"/>
    <n v="37"/>
    <s v="NA9WR-37"/>
  </r>
  <r>
    <x v="1"/>
    <x v="251"/>
    <s v="0.58-6.28"/>
    <n v="3.43"/>
    <s v="#31"/>
    <x v="3"/>
    <n v="6.28"/>
    <n v="0.57999999999999996"/>
    <n v="2.85"/>
    <n v="8.1225000000000005"/>
    <x v="7"/>
    <s v="NA16TE"/>
    <n v="11"/>
    <s v="NA16TE-11"/>
  </r>
  <r>
    <x v="11"/>
    <x v="261"/>
    <s v="0.31-6.53"/>
    <n v="3.42"/>
    <s v="#12"/>
    <x v="2"/>
    <n v="6.53"/>
    <n v="0.31"/>
    <n v="3.11"/>
    <n v="9.6721000000000004"/>
    <x v="7"/>
    <s v="NA14WR"/>
    <n v="34"/>
    <s v="NA14WR-34"/>
  </r>
  <r>
    <x v="0"/>
    <x v="213"/>
    <s v="0.68-6.16"/>
    <n v="3.42"/>
    <s v="#31"/>
    <x v="1"/>
    <n v="6.16"/>
    <n v="0.68"/>
    <n v="2.74"/>
    <n v="7.5076000000000001"/>
    <x v="7"/>
    <s v="NA17RB"/>
    <n v="22"/>
    <s v="NA17RB-22"/>
  </r>
  <r>
    <x v="16"/>
    <x v="254"/>
    <s v="0.31-6.53"/>
    <n v="3.42"/>
    <s v="#4"/>
    <x v="2"/>
    <n v="6.53"/>
    <n v="0.31"/>
    <n v="3.11"/>
    <n v="9.6721000000000004"/>
    <x v="7"/>
    <s v="NA3WR"/>
    <n v="28"/>
    <s v="NA3WR-28"/>
  </r>
  <r>
    <x v="15"/>
    <x v="242"/>
    <s v="0.01-6.83"/>
    <n v="3.42"/>
    <s v="#7"/>
    <x v="2"/>
    <n v="6.83"/>
    <n v="0.01"/>
    <n v="3.41"/>
    <n v="11.6281"/>
    <x v="7"/>
    <s v="NA10WR"/>
    <n v="30"/>
    <s v="NA10WR-30"/>
  </r>
  <r>
    <x v="8"/>
    <x v="225"/>
    <s v="0.39-6.43"/>
    <n v="3.41"/>
    <s v="#26"/>
    <x v="1"/>
    <n v="6.43"/>
    <n v="0.39"/>
    <n v="3.02"/>
    <n v="9.1204000000000001"/>
    <x v="7"/>
    <s v="NA6RB"/>
    <n v="23"/>
    <s v="NA6RB-23"/>
  </r>
  <r>
    <x v="16"/>
    <x v="194"/>
    <s v="0.30-6.52"/>
    <n v="3.41"/>
    <s v="#19"/>
    <x v="2"/>
    <n v="6.52"/>
    <n v="0.3"/>
    <n v="3.11"/>
    <n v="9.6721000000000004"/>
    <x v="7"/>
    <s v="NA3WR"/>
    <n v="29"/>
    <s v="NA3WR-29"/>
  </r>
  <r>
    <x v="12"/>
    <x v="251"/>
    <s v="0.08-6.74"/>
    <n v="3.41"/>
    <s v="#27"/>
    <x v="3"/>
    <n v="6.74"/>
    <n v="0.08"/>
    <n v="3.33"/>
    <n v="11.088900000000001"/>
    <x v="7"/>
    <s v="NA5TE"/>
    <n v="13"/>
    <s v="NA5TE-13"/>
  </r>
  <r>
    <x v="16"/>
    <x v="212"/>
    <s v="0.57-6.23"/>
    <n v="3.4"/>
    <s v="#13"/>
    <x v="2"/>
    <n v="6.23"/>
    <n v="0.56999999999999995"/>
    <n v="2.83"/>
    <n v="8.0089000000000006"/>
    <x v="7"/>
    <s v="NA3WR"/>
    <n v="30"/>
    <s v="NA3WR-30"/>
  </r>
  <r>
    <x v="0"/>
    <x v="264"/>
    <s v="0.51-6.29"/>
    <n v="3.4"/>
    <s v="#21"/>
    <x v="3"/>
    <n v="6.29"/>
    <n v="0.51"/>
    <n v="2.89"/>
    <n v="8.3521000000000001"/>
    <x v="7"/>
    <s v="NA17TE"/>
    <n v="11"/>
    <s v="NA17TE-11"/>
  </r>
  <r>
    <x v="9"/>
    <x v="190"/>
    <s v="1.06-5.74"/>
    <n v="3.4"/>
    <s v="#15"/>
    <x v="2"/>
    <n v="5.74"/>
    <n v="1.06"/>
    <n v="2.34"/>
    <n v="5.4756"/>
    <x v="7"/>
    <s v="NA15WR"/>
    <n v="38"/>
    <s v="NA15WR-38"/>
  </r>
  <r>
    <x v="15"/>
    <x v="163"/>
    <s v="1.41-5.39"/>
    <n v="3.4"/>
    <s v="#24"/>
    <x v="1"/>
    <n v="5.39"/>
    <n v="1.41"/>
    <n v="1.99"/>
    <n v="3.9601000000000002"/>
    <x v="9"/>
    <s v="seth10RB"/>
    <n v="5"/>
    <s v="seth10RB-5"/>
  </r>
  <r>
    <x v="11"/>
    <x v="249"/>
    <s v="0.39-6.39"/>
    <n v="3.39"/>
    <s v="#30"/>
    <x v="2"/>
    <n v="6.39"/>
    <n v="0.39"/>
    <n v="3"/>
    <n v="9"/>
    <x v="7"/>
    <s v="NA14WR"/>
    <n v="35"/>
    <s v="NA14WR-35"/>
  </r>
  <r>
    <x v="16"/>
    <x v="165"/>
    <n v="-7.1800000000000006"/>
    <n v="3.39"/>
    <s v="#30"/>
    <x v="3"/>
    <n v="6.98"/>
    <n v="-0.2"/>
    <n v="3.59"/>
    <n v="12.8881"/>
    <x v="8"/>
    <s v="comp3TE"/>
    <n v="2"/>
    <s v="comp3TE-2"/>
  </r>
  <r>
    <x v="6"/>
    <x v="267"/>
    <s v="0.32-6.46"/>
    <n v="3.39"/>
    <s v="#29"/>
    <x v="2"/>
    <n v="6.46"/>
    <n v="0.32"/>
    <n v="3.07"/>
    <n v="9.4248999999999992"/>
    <x v="7"/>
    <s v="NA12WR"/>
    <n v="41"/>
    <s v="NA12WR-41"/>
  </r>
  <r>
    <x v="3"/>
    <x v="268"/>
    <s v="0.84-5.94"/>
    <n v="3.39"/>
    <s v="#32"/>
    <x v="1"/>
    <n v="5.94"/>
    <n v="0.84"/>
    <n v="2.5499999999999998"/>
    <n v="6.5025000000000004"/>
    <x v="7"/>
    <s v="NA11RB"/>
    <n v="20"/>
    <s v="NA11RB-20"/>
  </r>
  <r>
    <x v="15"/>
    <x v="256"/>
    <s v="0.72-6.06"/>
    <n v="3.39"/>
    <s v="#30"/>
    <x v="3"/>
    <n v="6.06"/>
    <n v="0.72"/>
    <n v="2.67"/>
    <n v="7.1288999999999998"/>
    <x v="7"/>
    <s v="NA10TE"/>
    <n v="10"/>
    <s v="NA10TE-10"/>
  </r>
  <r>
    <x v="14"/>
    <x v="168"/>
    <s v="1.14-5.64"/>
    <n v="3.39"/>
    <s v="#14"/>
    <x v="1"/>
    <n v="5.64"/>
    <n v="1.1399999999999999"/>
    <n v="2.25"/>
    <n v="5.0625"/>
    <x v="7"/>
    <s v="NA4RB"/>
    <n v="19"/>
    <s v="NA4RB-19"/>
  </r>
  <r>
    <x v="7"/>
    <x v="195"/>
    <s v="0.62-6.14"/>
    <n v="3.38"/>
    <s v="#17"/>
    <x v="1"/>
    <n v="6.14"/>
    <n v="0.62"/>
    <n v="2.76"/>
    <n v="7.6176000000000004"/>
    <x v="1"/>
    <s v="perry1RB"/>
    <n v="3"/>
    <s v="perry1RB-3"/>
  </r>
  <r>
    <x v="9"/>
    <x v="257"/>
    <s v="0.24-6.52"/>
    <n v="3.38"/>
    <s v="#4"/>
    <x v="2"/>
    <n v="6.52"/>
    <n v="0.24"/>
    <n v="3.14"/>
    <n v="9.8596000000000004"/>
    <x v="7"/>
    <s v="NA15WR"/>
    <n v="39"/>
    <s v="NA15WR-39"/>
  </r>
  <r>
    <x v="15"/>
    <x v="197"/>
    <s v="0.82-5.94"/>
    <n v="3.38"/>
    <s v="#12"/>
    <x v="3"/>
    <n v="5.94"/>
    <n v="0.82"/>
    <n v="2.56"/>
    <n v="6.5536000000000003"/>
    <x v="7"/>
    <s v="NA10TE"/>
    <n v="11"/>
    <s v="NA10TE-11"/>
  </r>
  <r>
    <x v="11"/>
    <x v="253"/>
    <s v="0.07-6.69"/>
    <n v="3.38"/>
    <s v="#2"/>
    <x v="2"/>
    <n v="6.69"/>
    <n v="7.0000000000000007E-2"/>
    <n v="3.31"/>
    <n v="10.956099999999999"/>
    <x v="7"/>
    <s v="NA14WR"/>
    <n v="36"/>
    <s v="NA14WR-36"/>
  </r>
  <r>
    <x v="7"/>
    <x v="129"/>
    <s v="0.57-6.19"/>
    <n v="3.38"/>
    <s v="#16"/>
    <x v="1"/>
    <n v="6.19"/>
    <n v="0.56999999999999995"/>
    <n v="2.81"/>
    <n v="7.8960999999999997"/>
    <x v="7"/>
    <s v="NA1RB"/>
    <n v="19"/>
    <s v="NA1RB-19"/>
  </r>
  <r>
    <x v="7"/>
    <x v="165"/>
    <s v="0.01-6.73"/>
    <n v="3.37"/>
    <s v="#6"/>
    <x v="3"/>
    <n v="6.73"/>
    <n v="0.01"/>
    <n v="3.36"/>
    <n v="11.2896"/>
    <x v="8"/>
    <s v="comp1TE"/>
    <n v="2"/>
    <s v="comp1TE-2"/>
  </r>
  <r>
    <x v="4"/>
    <x v="171"/>
    <n v="-7.12"/>
    <n v="3.37"/>
    <s v="#11"/>
    <x v="2"/>
    <n v="6.93"/>
    <n v="-0.19"/>
    <n v="3.56"/>
    <n v="12.6736"/>
    <x v="7"/>
    <s v="NA7WR"/>
    <n v="33"/>
    <s v="NA7WR-33"/>
  </r>
  <r>
    <x v="7"/>
    <x v="143"/>
    <s v="0.39-6.35"/>
    <n v="3.37"/>
    <s v="#5"/>
    <x v="2"/>
    <n v="6.35"/>
    <n v="0.39"/>
    <n v="2.98"/>
    <n v="8.8803999999999998"/>
    <x v="0"/>
    <s v="matty1WR"/>
    <n v="5"/>
    <s v="matty1WR-5"/>
  </r>
  <r>
    <x v="14"/>
    <x v="239"/>
    <s v="0.40-6.34"/>
    <n v="3.37"/>
    <s v="#1"/>
    <x v="2"/>
    <n v="6.34"/>
    <n v="0.4"/>
    <n v="2.97"/>
    <n v="8.8209"/>
    <x v="7"/>
    <s v="NA4WR"/>
    <n v="31"/>
    <s v="NA4WR-31"/>
  </r>
  <r>
    <x v="3"/>
    <x v="228"/>
    <n v="-7.18"/>
    <n v="3.37"/>
    <s v="#25"/>
    <x v="3"/>
    <n v="6.96"/>
    <n v="-0.22"/>
    <n v="3.59"/>
    <n v="12.8881"/>
    <x v="7"/>
    <s v="NA11TE"/>
    <n v="8"/>
    <s v="NA11TE-8"/>
  </r>
  <r>
    <x v="6"/>
    <x v="245"/>
    <n v="-7.12"/>
    <n v="3.37"/>
    <s v="#8"/>
    <x v="2"/>
    <n v="6.93"/>
    <n v="-0.19"/>
    <n v="3.56"/>
    <n v="12.6736"/>
    <x v="7"/>
    <s v="NA12WR"/>
    <n v="42"/>
    <s v="NA12WR-42"/>
  </r>
  <r>
    <x v="12"/>
    <x v="250"/>
    <s v="0.94-5.78"/>
    <n v="3.36"/>
    <s v="#27"/>
    <x v="2"/>
    <n v="5.78"/>
    <n v="0.94"/>
    <n v="2.42"/>
    <n v="5.8563999999999998"/>
    <x v="7"/>
    <s v="NA5WR"/>
    <n v="34"/>
    <s v="NA5WR-34"/>
  </r>
  <r>
    <x v="12"/>
    <x v="228"/>
    <n v="-7.8"/>
    <n v="3.36"/>
    <s v="#18"/>
    <x v="3"/>
    <n v="7.26"/>
    <n v="-0.54"/>
    <n v="3.9"/>
    <n v="15.21"/>
    <x v="7"/>
    <s v="NA5TE"/>
    <n v="14"/>
    <s v="NA5TE-14"/>
  </r>
  <r>
    <x v="0"/>
    <x v="261"/>
    <s v="0.28-6.42"/>
    <n v="3.35"/>
    <s v="#23"/>
    <x v="2"/>
    <n v="6.42"/>
    <n v="0.28000000000000003"/>
    <n v="3.07"/>
    <n v="9.4248999999999992"/>
    <x v="7"/>
    <s v="NA17WR"/>
    <n v="40"/>
    <s v="NA17WR-40"/>
  </r>
  <r>
    <x v="5"/>
    <x v="194"/>
    <n v="-8.1"/>
    <n v="3.35"/>
    <s v="#31"/>
    <x v="2"/>
    <n v="7.4"/>
    <n v="-0.7"/>
    <n v="4.05"/>
    <n v="16.4025"/>
    <x v="7"/>
    <s v="NA13WR"/>
    <n v="39"/>
    <s v="NA13WR-39"/>
  </r>
  <r>
    <x v="5"/>
    <x v="214"/>
    <n v="-7.56"/>
    <n v="3.35"/>
    <s v="#16"/>
    <x v="2"/>
    <n v="7.13"/>
    <n v="-0.43"/>
    <n v="3.78"/>
    <n v="14.288399999999999"/>
    <x v="7"/>
    <s v="NA13WR"/>
    <n v="40"/>
    <s v="NA13WR-40"/>
  </r>
  <r>
    <x v="16"/>
    <x v="269"/>
    <n v="-9.379999999999999"/>
    <n v="3.35"/>
    <s v="#9"/>
    <x v="2"/>
    <n v="8.0399999999999991"/>
    <n v="-1.34"/>
    <n v="4.6900000000000004"/>
    <n v="21.996099999999998"/>
    <x v="7"/>
    <s v="NA3WR"/>
    <n v="31"/>
    <s v="NA3WR-31"/>
  </r>
  <r>
    <x v="12"/>
    <x v="188"/>
    <n v="-6.86"/>
    <n v="3.35"/>
    <s v="#3"/>
    <x v="1"/>
    <n v="6.78"/>
    <n v="-0.08"/>
    <n v="3.43"/>
    <n v="11.764900000000001"/>
    <x v="7"/>
    <s v="NA5RB"/>
    <n v="17"/>
    <s v="NA5RB-17"/>
  </r>
  <r>
    <x v="12"/>
    <x v="267"/>
    <s v="0.85-5.83"/>
    <n v="3.34"/>
    <s v="#12"/>
    <x v="2"/>
    <n v="5.83"/>
    <n v="0.85"/>
    <n v="2.4900000000000002"/>
    <n v="6.2000999999999999"/>
    <x v="7"/>
    <s v="NA5WR"/>
    <n v="35"/>
    <s v="NA5WR-35"/>
  </r>
  <r>
    <x v="4"/>
    <x v="225"/>
    <s v="1.16-5.52"/>
    <n v="3.34"/>
    <s v="#16"/>
    <x v="1"/>
    <n v="5.52"/>
    <n v="1.1599999999999999"/>
    <n v="2.1800000000000002"/>
    <n v="4.7523999999999997"/>
    <x v="7"/>
    <s v="NA7RB"/>
    <n v="14"/>
    <s v="NA7RB-14"/>
  </r>
  <r>
    <x v="3"/>
    <x v="113"/>
    <s v="0.71-5.97"/>
    <n v="3.34"/>
    <s v="#28"/>
    <x v="3"/>
    <n v="5.97"/>
    <n v="0.71"/>
    <n v="2.63"/>
    <n v="6.9169"/>
    <x v="10"/>
    <s v="aj11TE"/>
    <n v="2"/>
    <s v="aj11TE-2"/>
  </r>
  <r>
    <x v="9"/>
    <x v="239"/>
    <s v="0.47-6.21"/>
    <n v="3.34"/>
    <s v="#17"/>
    <x v="2"/>
    <n v="6.21"/>
    <n v="0.47"/>
    <n v="2.87"/>
    <n v="8.2369000000000003"/>
    <x v="7"/>
    <s v="NA15WR"/>
    <n v="40"/>
    <s v="NA15WR-40"/>
  </r>
  <r>
    <x v="10"/>
    <x v="264"/>
    <s v="0.33-6.35"/>
    <n v="3.34"/>
    <s v="#18"/>
    <x v="3"/>
    <n v="6.35"/>
    <n v="0.33"/>
    <n v="3.01"/>
    <n v="9.0601000000000003"/>
    <x v="7"/>
    <s v="NA2TE"/>
    <n v="9"/>
    <s v="NA2TE-9"/>
  </r>
  <r>
    <x v="13"/>
    <x v="238"/>
    <n v="-7.3599999999999994"/>
    <n v="3.34"/>
    <s v="#19"/>
    <x v="1"/>
    <n v="7.02"/>
    <n v="-0.34"/>
    <n v="3.68"/>
    <n v="13.542400000000001"/>
    <x v="7"/>
    <s v="NA8RB"/>
    <n v="21"/>
    <s v="NA8RB-21"/>
  </r>
  <r>
    <x v="11"/>
    <x v="226"/>
    <n v="-6.78"/>
    <n v="3.34"/>
    <s v="#4"/>
    <x v="2"/>
    <n v="6.73"/>
    <n v="-0.05"/>
    <n v="3.39"/>
    <n v="11.492100000000001"/>
    <x v="7"/>
    <s v="NA14WR"/>
    <n v="37"/>
    <s v="NA14WR-37"/>
  </r>
  <r>
    <x v="6"/>
    <x v="265"/>
    <s v="0.27-6.39"/>
    <n v="3.33"/>
    <s v="#22"/>
    <x v="3"/>
    <n v="6.39"/>
    <n v="0.27"/>
    <n v="3.06"/>
    <n v="9.3635999999999999"/>
    <x v="7"/>
    <s v="NA12TE"/>
    <n v="12"/>
    <s v="NA12TE-12"/>
  </r>
  <r>
    <x v="16"/>
    <x v="239"/>
    <n v="-6.9399999999999995"/>
    <n v="3.33"/>
    <s v="#31"/>
    <x v="2"/>
    <n v="6.8"/>
    <n v="-0.14000000000000001"/>
    <n v="3.47"/>
    <n v="12.040900000000001"/>
    <x v="7"/>
    <s v="NA3WR"/>
    <n v="32"/>
    <s v="NA3WR-32"/>
  </r>
  <r>
    <x v="3"/>
    <x v="253"/>
    <s v="0.68-5.98"/>
    <n v="3.33"/>
    <s v="#28"/>
    <x v="2"/>
    <n v="5.98"/>
    <n v="0.68"/>
    <n v="2.65"/>
    <n v="7.0225"/>
    <x v="7"/>
    <s v="NA11WR"/>
    <n v="26"/>
    <s v="NA11WR-26"/>
  </r>
  <r>
    <x v="5"/>
    <x v="264"/>
    <s v="0.83-5.83"/>
    <n v="3.33"/>
    <s v="#10"/>
    <x v="3"/>
    <n v="5.83"/>
    <n v="0.83"/>
    <n v="2.5"/>
    <n v="6.25"/>
    <x v="7"/>
    <s v="NA13TE"/>
    <n v="12"/>
    <s v="NA13TE-12"/>
  </r>
  <r>
    <x v="14"/>
    <x v="160"/>
    <s v="0.17-6.49"/>
    <n v="3.33"/>
    <s v="#31"/>
    <x v="1"/>
    <n v="6.49"/>
    <n v="0.17"/>
    <n v="3.16"/>
    <n v="9.9855999999999998"/>
    <x v="7"/>
    <s v="NA4RB"/>
    <n v="20"/>
    <s v="NA4RB-20"/>
  </r>
  <r>
    <x v="11"/>
    <x v="267"/>
    <s v="0.33-6.31"/>
    <n v="3.32"/>
    <s v="#31"/>
    <x v="2"/>
    <n v="6.31"/>
    <n v="0.33"/>
    <n v="2.99"/>
    <n v="8.9400999999999993"/>
    <x v="7"/>
    <s v="NA14WR"/>
    <n v="38"/>
    <s v="NA14WR-38"/>
  </r>
  <r>
    <x v="9"/>
    <x v="171"/>
    <s v="0.07-6.57"/>
    <n v="3.32"/>
    <s v="#23"/>
    <x v="2"/>
    <n v="6.57"/>
    <n v="7.0000000000000007E-2"/>
    <n v="3.25"/>
    <n v="10.5625"/>
    <x v="7"/>
    <s v="NA15WR"/>
    <n v="41"/>
    <s v="NA15WR-41"/>
  </r>
  <r>
    <x v="4"/>
    <x v="204"/>
    <s v="0.61-6.03"/>
    <n v="3.32"/>
    <s v="#3"/>
    <x v="1"/>
    <n v="6.03"/>
    <n v="0.61"/>
    <n v="2.71"/>
    <n v="7.3441000000000001"/>
    <x v="7"/>
    <s v="NA7RB"/>
    <n v="15"/>
    <s v="NA7RB-15"/>
  </r>
  <r>
    <x v="15"/>
    <x v="240"/>
    <s v="0.58-6.06"/>
    <n v="3.32"/>
    <s v="#17"/>
    <x v="2"/>
    <n v="6.06"/>
    <n v="0.57999999999999996"/>
    <n v="2.74"/>
    <n v="7.5076000000000001"/>
    <x v="7"/>
    <s v="NA10WR"/>
    <n v="31"/>
    <s v="NA10WR-31"/>
  </r>
  <r>
    <x v="12"/>
    <x v="263"/>
    <s v="0.93-5.71"/>
    <n v="3.32"/>
    <s v="#25"/>
    <x v="3"/>
    <n v="5.71"/>
    <n v="0.93"/>
    <n v="2.39"/>
    <n v="5.7121000000000004"/>
    <x v="7"/>
    <s v="NA5TE"/>
    <n v="15"/>
    <s v="NA5TE-15"/>
  </r>
  <r>
    <x v="5"/>
    <x v="267"/>
    <s v="0.33-6.29"/>
    <n v="3.31"/>
    <s v="#23"/>
    <x v="2"/>
    <n v="6.29"/>
    <n v="0.33"/>
    <n v="2.98"/>
    <n v="8.8803999999999998"/>
    <x v="7"/>
    <s v="NA13WR"/>
    <n v="41"/>
    <s v="NA13WR-41"/>
  </r>
  <r>
    <x v="15"/>
    <x v="253"/>
    <n v="-6.6800000000000006"/>
    <n v="3.31"/>
    <s v="#15"/>
    <x v="2"/>
    <n v="6.65"/>
    <n v="-0.03"/>
    <n v="3.34"/>
    <n v="11.1556"/>
    <x v="7"/>
    <s v="NA10WR"/>
    <n v="32"/>
    <s v="NA10WR-32"/>
  </r>
  <r>
    <x v="10"/>
    <x v="234"/>
    <s v="0.03-6.59"/>
    <n v="3.31"/>
    <s v="#14"/>
    <x v="3"/>
    <n v="6.59"/>
    <n v="0.03"/>
    <n v="3.28"/>
    <n v="10.7584"/>
    <x v="7"/>
    <s v="NA2TE"/>
    <n v="10"/>
    <s v="NA2TE-10"/>
  </r>
  <r>
    <x v="14"/>
    <x v="208"/>
    <s v="0.30-6.32"/>
    <n v="3.31"/>
    <s v="#31"/>
    <x v="2"/>
    <n v="6.32"/>
    <n v="0.3"/>
    <n v="3.01"/>
    <n v="9.0601000000000003"/>
    <x v="7"/>
    <s v="NA4WR"/>
    <n v="32"/>
    <s v="NA4WR-32"/>
  </r>
  <r>
    <x v="15"/>
    <x v="178"/>
    <n v="-7.08"/>
    <n v="3.31"/>
    <s v="#11"/>
    <x v="2"/>
    <n v="6.85"/>
    <n v="-0.23"/>
    <n v="3.54"/>
    <n v="12.531599999999999"/>
    <x v="7"/>
    <s v="NA10WR"/>
    <n v="33"/>
    <s v="NA10WR-33"/>
  </r>
  <r>
    <x v="11"/>
    <x v="178"/>
    <n v="-7.08"/>
    <n v="3.31"/>
    <s v="#11"/>
    <x v="2"/>
    <n v="6.85"/>
    <n v="-0.23"/>
    <n v="3.54"/>
    <n v="12.531599999999999"/>
    <x v="7"/>
    <s v="NA14WR"/>
    <n v="39"/>
    <s v="NA14WR-39"/>
  </r>
  <r>
    <x v="0"/>
    <x v="263"/>
    <s v="0.27-6.35"/>
    <n v="3.31"/>
    <s v="#16"/>
    <x v="3"/>
    <n v="6.35"/>
    <n v="0.27"/>
    <n v="3.04"/>
    <n v="9.2416"/>
    <x v="7"/>
    <s v="NA17TE"/>
    <n v="12"/>
    <s v="NA17TE-12"/>
  </r>
  <r>
    <x v="0"/>
    <x v="247"/>
    <s v="0.98-5.62"/>
    <n v="3.3"/>
    <s v="#25"/>
    <x v="2"/>
    <n v="5.62"/>
    <n v="0.98"/>
    <n v="2.3199999999999998"/>
    <n v="5.3823999999999996"/>
    <x v="7"/>
    <s v="NA17WR"/>
    <n v="41"/>
    <s v="NA17WR-41"/>
  </r>
  <r>
    <x v="9"/>
    <x v="194"/>
    <n v="-7.32"/>
    <n v="3.3"/>
    <s v="#30"/>
    <x v="2"/>
    <n v="6.96"/>
    <n v="-0.36"/>
    <n v="3.66"/>
    <n v="13.3956"/>
    <x v="7"/>
    <s v="NA15WR"/>
    <n v="42"/>
    <s v="NA15WR-42"/>
  </r>
  <r>
    <x v="6"/>
    <x v="253"/>
    <n v="-6.78"/>
    <n v="3.3"/>
    <s v="#8"/>
    <x v="2"/>
    <n v="6.69"/>
    <n v="-0.09"/>
    <n v="3.39"/>
    <n v="11.492100000000001"/>
    <x v="7"/>
    <s v="NA12WR"/>
    <n v="43"/>
    <s v="NA12WR-43"/>
  </r>
  <r>
    <x v="5"/>
    <x v="270"/>
    <s v="0.50-6.10"/>
    <n v="3.3"/>
    <s v="#12"/>
    <x v="2"/>
    <n v="6.1"/>
    <n v="0.5"/>
    <n v="2.8"/>
    <n v="7.84"/>
    <x v="7"/>
    <s v="NA13WR"/>
    <n v="42"/>
    <s v="NA13WR-42"/>
  </r>
  <r>
    <x v="5"/>
    <x v="236"/>
    <s v="0.14-6.46"/>
    <n v="3.3"/>
    <s v="#17"/>
    <x v="2"/>
    <n v="6.46"/>
    <n v="0.14000000000000001"/>
    <n v="3.16"/>
    <n v="9.9855999999999998"/>
    <x v="7"/>
    <s v="NA13WR"/>
    <n v="43"/>
    <s v="NA13WR-43"/>
  </r>
  <r>
    <x v="15"/>
    <x v="254"/>
    <s v="0.15-6.45"/>
    <n v="3.3"/>
    <s v="#29"/>
    <x v="2"/>
    <n v="6.45"/>
    <n v="0.15"/>
    <n v="3.15"/>
    <n v="9.9224999999999994"/>
    <x v="7"/>
    <s v="NA10WR"/>
    <n v="34"/>
    <s v="NA10WR-34"/>
  </r>
  <r>
    <x v="8"/>
    <x v="219"/>
    <s v="0.66-5.92"/>
    <n v="3.29"/>
    <s v="#5"/>
    <x v="2"/>
    <n v="5.92"/>
    <n v="0.66"/>
    <n v="2.63"/>
    <n v="6.9169"/>
    <x v="7"/>
    <s v="NA6WR"/>
    <n v="34"/>
    <s v="NA6WR-34"/>
  </r>
  <r>
    <x v="5"/>
    <x v="193"/>
    <n v="-7.1400000000000006"/>
    <n v="3.29"/>
    <s v="#19"/>
    <x v="3"/>
    <n v="6.86"/>
    <n v="-0.28000000000000003"/>
    <n v="3.57"/>
    <n v="12.744899999999999"/>
    <x v="7"/>
    <s v="NA13TE"/>
    <n v="13"/>
    <s v="NA13TE-13"/>
  </r>
  <r>
    <x v="12"/>
    <x v="210"/>
    <s v="0.64-5.94"/>
    <n v="3.29"/>
    <s v="#1"/>
    <x v="1"/>
    <n v="5.94"/>
    <n v="0.64"/>
    <n v="2.65"/>
    <n v="7.0225"/>
    <x v="7"/>
    <s v="NA5RB"/>
    <n v="18"/>
    <s v="NA5RB-18"/>
  </r>
  <r>
    <x v="8"/>
    <x v="163"/>
    <s v="1.34-5.24"/>
    <n v="3.29"/>
    <s v="#18"/>
    <x v="1"/>
    <n v="5.24"/>
    <n v="1.34"/>
    <n v="1.95"/>
    <n v="3.8025000000000002"/>
    <x v="9"/>
    <s v="seth6RB"/>
    <n v="6"/>
    <s v="seth6RB-6"/>
  </r>
  <r>
    <x v="8"/>
    <x v="256"/>
    <n v="-6.6199999999999992"/>
    <n v="3.29"/>
    <s v="#15"/>
    <x v="3"/>
    <n v="6.6"/>
    <n v="-0.02"/>
    <n v="3.31"/>
    <n v="10.956099999999999"/>
    <x v="7"/>
    <s v="NA6TE"/>
    <n v="11"/>
    <s v="NA6TE-11"/>
  </r>
  <r>
    <x v="3"/>
    <x v="261"/>
    <s v="0.25-6.31"/>
    <n v="3.28"/>
    <s v="#31"/>
    <x v="2"/>
    <n v="6.31"/>
    <n v="0.25"/>
    <n v="3.03"/>
    <n v="9.1808999999999994"/>
    <x v="7"/>
    <s v="NA11WR"/>
    <n v="27"/>
    <s v="NA11WR-27"/>
  </r>
  <r>
    <x v="3"/>
    <x v="251"/>
    <n v="-6.64"/>
    <n v="3.28"/>
    <s v="#29"/>
    <x v="3"/>
    <n v="6.6"/>
    <n v="-0.04"/>
    <n v="3.32"/>
    <n v="11.022399999999999"/>
    <x v="7"/>
    <s v="NA11TE"/>
    <n v="9"/>
    <s v="NA11TE-9"/>
  </r>
  <r>
    <x v="15"/>
    <x v="217"/>
    <s v="0.97-5.59"/>
    <n v="3.28"/>
    <s v="#7"/>
    <x v="3"/>
    <n v="5.59"/>
    <n v="0.97"/>
    <n v="2.31"/>
    <n v="5.3361000000000001"/>
    <x v="7"/>
    <s v="NA10TE"/>
    <n v="12"/>
    <s v="NA10TE-12"/>
  </r>
  <r>
    <x v="16"/>
    <x v="252"/>
    <s v="2.18-4.38"/>
    <n v="3.28"/>
    <s v="#16"/>
    <x v="0"/>
    <n v="4.38"/>
    <n v="2.1800000000000002"/>
    <n v="1.1000000000000001"/>
    <n v="1.21"/>
    <x v="7"/>
    <s v="NA3QB"/>
    <n v="16"/>
    <s v="NA3QB-16"/>
  </r>
  <r>
    <x v="11"/>
    <x v="235"/>
    <s v="0.23-6.33"/>
    <n v="3.28"/>
    <s v="#6"/>
    <x v="1"/>
    <n v="6.33"/>
    <n v="0.23"/>
    <n v="3.05"/>
    <n v="9.3025000000000002"/>
    <x v="7"/>
    <s v="NA14RB"/>
    <n v="22"/>
    <s v="NA14RB-22"/>
  </r>
  <r>
    <x v="15"/>
    <x v="261"/>
    <s v="0.20-6.34"/>
    <n v="3.27"/>
    <s v="#18"/>
    <x v="2"/>
    <n v="6.34"/>
    <n v="0.2"/>
    <n v="3.07"/>
    <n v="9.4248999999999992"/>
    <x v="7"/>
    <s v="NA10WR"/>
    <n v="35"/>
    <s v="NA10WR-35"/>
  </r>
  <r>
    <x v="8"/>
    <x v="127"/>
    <n v="-7.54"/>
    <n v="3.27"/>
    <s v="#18"/>
    <x v="2"/>
    <n v="7.04"/>
    <n v="-0.5"/>
    <n v="3.77"/>
    <n v="14.212899999999999"/>
    <x v="9"/>
    <s v="seth6WR"/>
    <n v="5"/>
    <s v="seth6WR-5"/>
  </r>
  <r>
    <x v="3"/>
    <x v="249"/>
    <s v="0.78-5.74"/>
    <n v="3.26"/>
    <s v="#22"/>
    <x v="2"/>
    <n v="5.74"/>
    <n v="0.78"/>
    <n v="2.48"/>
    <n v="6.1504000000000003"/>
    <x v="7"/>
    <s v="NA11WR"/>
    <n v="28"/>
    <s v="NA11WR-28"/>
  </r>
  <r>
    <x v="0"/>
    <x v="267"/>
    <s v="1.31-5.21"/>
    <n v="3.26"/>
    <s v="#7"/>
    <x v="2"/>
    <n v="5.21"/>
    <n v="1.31"/>
    <n v="1.95"/>
    <n v="3.8025000000000002"/>
    <x v="7"/>
    <s v="NA17WR"/>
    <n v="42"/>
    <s v="NA17WR-42"/>
  </r>
  <r>
    <x v="9"/>
    <x v="210"/>
    <s v="0.63-5.89"/>
    <n v="3.26"/>
    <s v="#16"/>
    <x v="1"/>
    <n v="5.89"/>
    <n v="0.63"/>
    <n v="2.63"/>
    <n v="6.9169"/>
    <x v="7"/>
    <s v="NA15RB"/>
    <n v="21"/>
    <s v="NA15RB-21"/>
  </r>
  <r>
    <x v="4"/>
    <x v="235"/>
    <n v="-6.64"/>
    <n v="3.26"/>
    <s v="#12"/>
    <x v="1"/>
    <n v="6.58"/>
    <n v="-0.06"/>
    <n v="3.32"/>
    <n v="11.022399999999999"/>
    <x v="7"/>
    <s v="NA7RB"/>
    <n v="16"/>
    <s v="NA7RB-16"/>
  </r>
  <r>
    <x v="12"/>
    <x v="194"/>
    <n v="-7.4399999999999995"/>
    <n v="3.25"/>
    <s v="#22"/>
    <x v="2"/>
    <n v="6.97"/>
    <n v="-0.47"/>
    <n v="3.72"/>
    <n v="13.8384"/>
    <x v="7"/>
    <s v="NA5WR"/>
    <n v="36"/>
    <s v="NA5WR-36"/>
  </r>
  <r>
    <x v="5"/>
    <x v="250"/>
    <s v="0.90-5.60"/>
    <n v="3.25"/>
    <s v="#30"/>
    <x v="2"/>
    <n v="5.6"/>
    <n v="0.9"/>
    <n v="2.35"/>
    <n v="5.5225"/>
    <x v="7"/>
    <s v="NA13WR"/>
    <n v="44"/>
    <s v="NA13WR-44"/>
  </r>
  <r>
    <x v="14"/>
    <x v="271"/>
    <s v="0.00-6.50"/>
    <n v="3.25"/>
    <s v="#20"/>
    <x v="2"/>
    <n v="6.5"/>
    <n v="0"/>
    <n v="3.25"/>
    <n v="10.5625"/>
    <x v="7"/>
    <s v="NA4WR"/>
    <n v="33"/>
    <s v="NA4WR-33"/>
  </r>
  <r>
    <x v="4"/>
    <x v="255"/>
    <s v="0.26-6.22"/>
    <n v="3.24"/>
    <s v="#14"/>
    <x v="3"/>
    <n v="6.22"/>
    <n v="0.26"/>
    <n v="2.98"/>
    <n v="8.8803999999999998"/>
    <x v="7"/>
    <s v="NA7TE"/>
    <n v="12"/>
    <s v="NA7TE-12"/>
  </r>
  <r>
    <x v="1"/>
    <x v="261"/>
    <s v="0.13-6.35"/>
    <n v="3.24"/>
    <s v="#9"/>
    <x v="2"/>
    <n v="6.35"/>
    <n v="0.13"/>
    <n v="3.11"/>
    <n v="9.6721000000000004"/>
    <x v="7"/>
    <s v="NA16WR"/>
    <n v="40"/>
    <s v="NA16WR-40"/>
  </r>
  <r>
    <x v="8"/>
    <x v="265"/>
    <s v="0.18-6.30"/>
    <n v="3.24"/>
    <s v="#22"/>
    <x v="3"/>
    <n v="6.3"/>
    <n v="0.18"/>
    <n v="3.06"/>
    <n v="9.3635999999999999"/>
    <x v="7"/>
    <s v="NA6TE"/>
    <n v="12"/>
    <s v="NA6TE-12"/>
  </r>
  <r>
    <x v="0"/>
    <x v="251"/>
    <s v="0.21-6.27"/>
    <n v="3.24"/>
    <s v="#22"/>
    <x v="3"/>
    <n v="6.27"/>
    <n v="0.21"/>
    <n v="3.03"/>
    <n v="9.1808999999999994"/>
    <x v="7"/>
    <s v="NA17TE"/>
    <n v="13"/>
    <s v="NA17TE-13"/>
  </r>
  <r>
    <x v="1"/>
    <x v="253"/>
    <s v="0.68-5.80"/>
    <n v="3.24"/>
    <s v="#29"/>
    <x v="2"/>
    <n v="5.8"/>
    <n v="0.68"/>
    <n v="2.56"/>
    <n v="6.5536000000000003"/>
    <x v="7"/>
    <s v="NA16WR"/>
    <n v="41"/>
    <s v="NA16WR-41"/>
  </r>
  <r>
    <x v="10"/>
    <x v="259"/>
    <n v="-6.54"/>
    <n v="3.24"/>
    <s v="#4"/>
    <x v="3"/>
    <n v="6.51"/>
    <n v="-0.03"/>
    <n v="3.27"/>
    <n v="10.6929"/>
    <x v="7"/>
    <s v="NA2TE"/>
    <n v="11"/>
    <s v="NA2TE-11"/>
  </r>
  <r>
    <x v="16"/>
    <x v="235"/>
    <n v="-8.879999999999999"/>
    <n v="3.24"/>
    <s v="#8"/>
    <x v="1"/>
    <n v="7.68"/>
    <n v="-1.2"/>
    <n v="4.4400000000000004"/>
    <n v="19.7136"/>
    <x v="7"/>
    <s v="NA3RB"/>
    <n v="22"/>
    <s v="NA3RB-22"/>
  </r>
  <r>
    <x v="7"/>
    <x v="118"/>
    <s v="0.20-6.28"/>
    <n v="3.24"/>
    <s v="#9"/>
    <x v="2"/>
    <n v="6.28"/>
    <n v="0.2"/>
    <n v="3.04"/>
    <n v="9.2416"/>
    <x v="5"/>
    <s v="cory1WR"/>
    <n v="5"/>
    <s v="cory1WR-5"/>
  </r>
  <r>
    <x v="15"/>
    <x v="226"/>
    <n v="-6.78"/>
    <n v="3.24"/>
    <s v="#4"/>
    <x v="2"/>
    <n v="6.63"/>
    <n v="-0.15"/>
    <n v="3.39"/>
    <n v="11.492100000000001"/>
    <x v="7"/>
    <s v="NA10WR"/>
    <n v="36"/>
    <s v="NA10WR-36"/>
  </r>
  <r>
    <x v="15"/>
    <x v="171"/>
    <s v="0.65-5.81"/>
    <n v="3.23"/>
    <s v="#3"/>
    <x v="2"/>
    <n v="5.81"/>
    <n v="0.65"/>
    <n v="2.58"/>
    <n v="6.6563999999999997"/>
    <x v="7"/>
    <s v="NA10WR"/>
    <n v="37"/>
    <s v="NA10WR-37"/>
  </r>
  <r>
    <x v="6"/>
    <x v="213"/>
    <s v="0.54-5.92"/>
    <n v="3.23"/>
    <s v="#30"/>
    <x v="1"/>
    <n v="5.92"/>
    <n v="0.54"/>
    <n v="2.69"/>
    <n v="7.2361000000000004"/>
    <x v="7"/>
    <s v="NA12RB"/>
    <n v="23"/>
    <s v="NA12RB-23"/>
  </r>
  <r>
    <x v="16"/>
    <x v="227"/>
    <s v="0.20-6.26"/>
    <n v="3.23"/>
    <s v="#2"/>
    <x v="2"/>
    <n v="6.26"/>
    <n v="0.2"/>
    <n v="3.03"/>
    <n v="9.1808999999999994"/>
    <x v="7"/>
    <s v="NA3WR"/>
    <n v="33"/>
    <s v="NA3WR-33"/>
  </r>
  <r>
    <x v="9"/>
    <x v="252"/>
    <s v="2.61-3.85"/>
    <n v="3.23"/>
    <s v="#31"/>
    <x v="0"/>
    <n v="3.85"/>
    <n v="2.61"/>
    <n v="0.62"/>
    <n v="0.38440000000000002"/>
    <x v="7"/>
    <s v="NA15QB"/>
    <n v="16"/>
    <s v="NA15QB-16"/>
  </r>
  <r>
    <x v="0"/>
    <x v="256"/>
    <n v="-6.62"/>
    <n v="3.23"/>
    <s v="#15"/>
    <x v="3"/>
    <n v="6.54"/>
    <n v="-0.08"/>
    <n v="3.31"/>
    <n v="10.956099999999999"/>
    <x v="7"/>
    <s v="NA17TE"/>
    <n v="14"/>
    <s v="NA17TE-14"/>
  </r>
  <r>
    <x v="2"/>
    <x v="263"/>
    <s v="0.29-6.17"/>
    <n v="3.23"/>
    <s v="#8"/>
    <x v="3"/>
    <n v="6.17"/>
    <n v="0.28999999999999998"/>
    <n v="2.94"/>
    <n v="8.6435999999999993"/>
    <x v="7"/>
    <s v="NA9TE"/>
    <n v="8"/>
    <s v="NA9TE-8"/>
  </r>
  <r>
    <x v="7"/>
    <x v="150"/>
    <s v="1.31-5.13"/>
    <n v="3.22"/>
    <s v="#22"/>
    <x v="1"/>
    <n v="5.13"/>
    <n v="1.31"/>
    <n v="1.91"/>
    <n v="3.6480999999999999"/>
    <x v="7"/>
    <s v="NA1RB"/>
    <n v="20"/>
    <s v="NA1RB-20"/>
  </r>
  <r>
    <x v="13"/>
    <x v="260"/>
    <s v="0.62-5.82"/>
    <n v="3.22"/>
    <s v="#24"/>
    <x v="2"/>
    <n v="5.82"/>
    <n v="0.62"/>
    <n v="2.6"/>
    <n v="6.76"/>
    <x v="1"/>
    <s v="perry8WR"/>
    <n v="6"/>
    <s v="perry8WR-6"/>
  </r>
  <r>
    <x v="8"/>
    <x v="254"/>
    <s v="0.15-6.29"/>
    <n v="3.22"/>
    <s v="#20"/>
    <x v="2"/>
    <n v="6.29"/>
    <n v="0.15"/>
    <n v="3.07"/>
    <n v="9.4248999999999992"/>
    <x v="7"/>
    <s v="NA6WR"/>
    <n v="35"/>
    <s v="NA6WR-35"/>
  </r>
  <r>
    <x v="5"/>
    <x v="228"/>
    <n v="-7.12"/>
    <n v="3.22"/>
    <s v="#21"/>
    <x v="3"/>
    <n v="6.78"/>
    <n v="-0.34"/>
    <n v="3.56"/>
    <n v="12.6736"/>
    <x v="7"/>
    <s v="NA13TE"/>
    <n v="14"/>
    <s v="NA13TE-14"/>
  </r>
  <r>
    <x v="12"/>
    <x v="117"/>
    <n v="-8.7200000000000006"/>
    <n v="3.22"/>
    <s v="#3"/>
    <x v="2"/>
    <n v="7.58"/>
    <n v="-1.1399999999999999"/>
    <n v="4.3600000000000003"/>
    <n v="19.009599999999999"/>
    <x v="4"/>
    <s v="scott5WR"/>
    <n v="5"/>
    <s v="scott5WR-5"/>
  </r>
  <r>
    <x v="6"/>
    <x v="271"/>
    <s v="0.43-6.01"/>
    <n v="3.22"/>
    <s v="#31"/>
    <x v="2"/>
    <n v="6.01"/>
    <n v="0.43"/>
    <n v="2.79"/>
    <n v="7.7840999999999996"/>
    <x v="7"/>
    <s v="NA12WR"/>
    <n v="44"/>
    <s v="NA12WR-44"/>
  </r>
  <r>
    <x v="2"/>
    <x v="163"/>
    <s v="1.29-5.15"/>
    <n v="3.22"/>
    <s v="#17"/>
    <x v="1"/>
    <n v="5.15"/>
    <n v="1.29"/>
    <n v="1.93"/>
    <n v="3.7248999999999999"/>
    <x v="9"/>
    <s v="seth9RB"/>
    <n v="5"/>
    <s v="seth9RB-5"/>
  </r>
  <r>
    <x v="3"/>
    <x v="272"/>
    <s v="0.74-5.70"/>
    <n v="3.22"/>
    <s v="#27"/>
    <x v="3"/>
    <n v="5.7"/>
    <n v="0.74"/>
    <n v="2.48"/>
    <n v="6.1504000000000003"/>
    <x v="7"/>
    <s v="NA11TE"/>
    <n v="10"/>
    <s v="NA11TE-10"/>
  </r>
  <r>
    <x v="16"/>
    <x v="247"/>
    <s v="0.22-6.20"/>
    <n v="3.21"/>
    <s v="#18"/>
    <x v="2"/>
    <n v="6.2"/>
    <n v="0.22"/>
    <n v="2.99"/>
    <n v="8.9400999999999993"/>
    <x v="7"/>
    <s v="NA3WR"/>
    <n v="34"/>
    <s v="NA3WR-34"/>
  </r>
  <r>
    <x v="1"/>
    <x v="273"/>
    <s v="0.48-5.94"/>
    <n v="3.21"/>
    <s v="#29"/>
    <x v="2"/>
    <n v="5.94"/>
    <n v="0.48"/>
    <n v="2.73"/>
    <n v="7.4528999999999996"/>
    <x v="7"/>
    <s v="NA16WR"/>
    <n v="42"/>
    <s v="NA16WR-42"/>
  </r>
  <r>
    <x v="2"/>
    <x v="250"/>
    <s v="0.80-5.62"/>
    <n v="3.21"/>
    <s v="#14"/>
    <x v="2"/>
    <n v="5.62"/>
    <n v="0.8"/>
    <n v="2.41"/>
    <n v="5.8080999999999996"/>
    <x v="7"/>
    <s v="NA9WR"/>
    <n v="38"/>
    <s v="NA9WR-38"/>
  </r>
  <r>
    <x v="13"/>
    <x v="256"/>
    <s v="0.71-5.71"/>
    <n v="3.21"/>
    <s v="#31"/>
    <x v="3"/>
    <n v="5.71"/>
    <n v="0.71"/>
    <n v="2.5"/>
    <n v="6.25"/>
    <x v="7"/>
    <s v="NA8TE"/>
    <n v="12"/>
    <s v="NA8TE-12"/>
  </r>
  <r>
    <x v="9"/>
    <x v="265"/>
    <n v="-6.76"/>
    <n v="3.2"/>
    <s v="#10"/>
    <x v="3"/>
    <n v="6.58"/>
    <n v="-0.18"/>
    <n v="3.38"/>
    <n v="11.4244"/>
    <x v="7"/>
    <s v="NA15TE"/>
    <n v="14"/>
    <s v="NA15TE-14"/>
  </r>
  <r>
    <x v="14"/>
    <x v="223"/>
    <s v="0.66-5.74"/>
    <n v="3.2"/>
    <s v="#5"/>
    <x v="1"/>
    <n v="5.74"/>
    <n v="0.66"/>
    <n v="2.54"/>
    <n v="6.4516"/>
    <x v="7"/>
    <s v="NA4RB"/>
    <n v="21"/>
    <s v="NA4RB-21"/>
  </r>
  <r>
    <x v="0"/>
    <x v="193"/>
    <n v="-7.38"/>
    <n v="3.2"/>
    <s v="#20"/>
    <x v="3"/>
    <n v="6.89"/>
    <n v="-0.49"/>
    <n v="3.69"/>
    <n v="13.616099999999999"/>
    <x v="7"/>
    <s v="NA17TE"/>
    <n v="15"/>
    <s v="NA17TE-15"/>
  </r>
  <r>
    <x v="11"/>
    <x v="244"/>
    <s v="1.02-5.38"/>
    <n v="3.2"/>
    <s v="#15"/>
    <x v="2"/>
    <n v="5.38"/>
    <n v="1.02"/>
    <n v="2.1800000000000002"/>
    <n v="4.7523999999999997"/>
    <x v="7"/>
    <s v="NA14WR"/>
    <n v="40"/>
    <s v="NA14WR-40"/>
  </r>
  <r>
    <x v="7"/>
    <x v="208"/>
    <s v="0.45-5.95"/>
    <n v="3.2"/>
    <s v="#21"/>
    <x v="2"/>
    <n v="5.95"/>
    <n v="0.45"/>
    <n v="2.75"/>
    <n v="7.5625"/>
    <x v="7"/>
    <s v="NA1WR"/>
    <n v="30"/>
    <s v="NA1WR-30"/>
  </r>
  <r>
    <x v="4"/>
    <x v="263"/>
    <s v="0.36-6.04"/>
    <n v="3.2"/>
    <s v="#14"/>
    <x v="3"/>
    <n v="6.04"/>
    <n v="0.36"/>
    <n v="2.84"/>
    <n v="8.0655999999999999"/>
    <x v="7"/>
    <s v="NA7TE"/>
    <n v="13"/>
    <s v="NA7TE-13"/>
  </r>
  <r>
    <x v="10"/>
    <x v="226"/>
    <s v="0.14-6.26"/>
    <n v="3.2"/>
    <s v="#20"/>
    <x v="2"/>
    <n v="6.26"/>
    <n v="0.14000000000000001"/>
    <n v="3.06"/>
    <n v="9.3635999999999999"/>
    <x v="7"/>
    <s v="NA2WR"/>
    <n v="32"/>
    <s v="NA2WR-32"/>
  </r>
  <r>
    <x v="16"/>
    <x v="226"/>
    <s v="0.08-6.32"/>
    <n v="3.2"/>
    <s v="#26"/>
    <x v="2"/>
    <n v="6.32"/>
    <n v="0.08"/>
    <n v="3.12"/>
    <n v="9.7344000000000008"/>
    <x v="7"/>
    <s v="NA3WR"/>
    <n v="35"/>
    <s v="NA3WR-35"/>
  </r>
  <r>
    <x v="0"/>
    <x v="194"/>
    <n v="-7.3199999999999994"/>
    <n v="3.19"/>
    <s v="#30"/>
    <x v="2"/>
    <n v="6.85"/>
    <n v="-0.47"/>
    <n v="3.66"/>
    <n v="13.3956"/>
    <x v="7"/>
    <s v="NA17WR"/>
    <n v="43"/>
    <s v="NA17WR-43"/>
  </r>
  <r>
    <x v="11"/>
    <x v="213"/>
    <s v="0.50-5.88"/>
    <n v="3.19"/>
    <s v="#21"/>
    <x v="1"/>
    <n v="5.88"/>
    <n v="0.5"/>
    <n v="2.69"/>
    <n v="7.2361000000000004"/>
    <x v="7"/>
    <s v="NA14RB"/>
    <n v="23"/>
    <s v="NA14RB-23"/>
  </r>
  <r>
    <x v="0"/>
    <x v="270"/>
    <s v="0.39-5.99"/>
    <n v="3.19"/>
    <s v="#12"/>
    <x v="2"/>
    <n v="5.99"/>
    <n v="0.39"/>
    <n v="2.8"/>
    <n v="7.84"/>
    <x v="7"/>
    <s v="NA17WR"/>
    <n v="44"/>
    <s v="NA17WR-44"/>
  </r>
  <r>
    <x v="5"/>
    <x v="260"/>
    <s v="0.67-5.71"/>
    <n v="3.19"/>
    <s v="#2"/>
    <x v="2"/>
    <n v="5.71"/>
    <n v="0.67"/>
    <n v="2.52"/>
    <n v="6.3503999999999996"/>
    <x v="1"/>
    <s v="perry13WR"/>
    <n v="6"/>
    <s v="perry13WR-6"/>
  </r>
  <r>
    <x v="9"/>
    <x v="260"/>
    <s v="0.59-5.79"/>
    <n v="3.19"/>
    <s v="#4"/>
    <x v="2"/>
    <n v="5.79"/>
    <n v="0.59"/>
    <n v="2.6"/>
    <n v="6.76"/>
    <x v="1"/>
    <s v="perry15WR"/>
    <n v="6"/>
    <s v="perry15WR-6"/>
  </r>
  <r>
    <x v="2"/>
    <x v="176"/>
    <s v="0.74-5.62"/>
    <n v="3.18"/>
    <s v="#20"/>
    <x v="2"/>
    <n v="5.62"/>
    <n v="0.74"/>
    <n v="2.44"/>
    <n v="5.9535999999999998"/>
    <x v="7"/>
    <s v="NA9WR"/>
    <n v="39"/>
    <s v="NA9WR-39"/>
  </r>
  <r>
    <x v="7"/>
    <x v="257"/>
    <s v="0.01-6.35"/>
    <n v="3.18"/>
    <s v="#17"/>
    <x v="2"/>
    <n v="6.35"/>
    <n v="0.01"/>
    <n v="3.17"/>
    <n v="10.0489"/>
    <x v="7"/>
    <s v="NA1WR"/>
    <n v="31"/>
    <s v="NA1WR-31"/>
  </r>
  <r>
    <x v="15"/>
    <x v="267"/>
    <s v="0.39-5.97"/>
    <n v="3.18"/>
    <s v="#19"/>
    <x v="2"/>
    <n v="5.97"/>
    <n v="0.39"/>
    <n v="2.79"/>
    <n v="7.7840999999999996"/>
    <x v="7"/>
    <s v="NA10WR"/>
    <n v="38"/>
    <s v="NA10WR-38"/>
  </r>
  <r>
    <x v="8"/>
    <x v="251"/>
    <n v="-8.06"/>
    <n v="3.18"/>
    <s v="#3"/>
    <x v="3"/>
    <n v="7.21"/>
    <n v="-0.85"/>
    <n v="4.03"/>
    <n v="16.2409"/>
    <x v="7"/>
    <s v="NA6TE"/>
    <n v="13"/>
    <s v="NA6TE-13"/>
  </r>
  <r>
    <x v="10"/>
    <x v="217"/>
    <s v="0.49-5.87"/>
    <n v="3.18"/>
    <s v="#32"/>
    <x v="3"/>
    <n v="5.87"/>
    <n v="0.49"/>
    <n v="2.69"/>
    <n v="7.2361000000000004"/>
    <x v="7"/>
    <s v="NA2TE"/>
    <n v="12"/>
    <s v="NA2TE-12"/>
  </r>
  <r>
    <x v="8"/>
    <x v="274"/>
    <s v="0.41-5.95"/>
    <n v="3.18"/>
    <s v="#14"/>
    <x v="3"/>
    <n v="5.95"/>
    <n v="0.41"/>
    <n v="2.77"/>
    <n v="7.6729000000000003"/>
    <x v="7"/>
    <s v="NA6TE"/>
    <n v="14"/>
    <s v="NA6TE-14"/>
  </r>
  <r>
    <x v="0"/>
    <x v="210"/>
    <s v="0.53-5.83"/>
    <n v="3.18"/>
    <s v="#1"/>
    <x v="1"/>
    <n v="5.83"/>
    <n v="0.53"/>
    <n v="2.65"/>
    <n v="7.0225"/>
    <x v="7"/>
    <s v="NA17RB"/>
    <n v="23"/>
    <s v="NA17RB-23"/>
  </r>
  <r>
    <x v="6"/>
    <x v="256"/>
    <s v="0.02-6.34"/>
    <n v="3.18"/>
    <s v="#2"/>
    <x v="3"/>
    <n v="6.34"/>
    <n v="0.02"/>
    <n v="3.16"/>
    <n v="9.9855999999999998"/>
    <x v="7"/>
    <s v="NA12TE"/>
    <n v="13"/>
    <s v="NA12TE-13"/>
  </r>
  <r>
    <x v="8"/>
    <x v="263"/>
    <s v="0.12-6.24"/>
    <n v="3.18"/>
    <s v="#2"/>
    <x v="3"/>
    <n v="6.24"/>
    <n v="0.12"/>
    <n v="3.06"/>
    <n v="9.3635999999999999"/>
    <x v="7"/>
    <s v="NA6TE"/>
    <n v="15"/>
    <s v="NA6TE-15"/>
  </r>
  <r>
    <x v="5"/>
    <x v="247"/>
    <s v="0.85-5.49"/>
    <n v="3.17"/>
    <s v="#25"/>
    <x v="2"/>
    <n v="5.49"/>
    <n v="0.85"/>
    <n v="2.3199999999999998"/>
    <n v="5.3823999999999996"/>
    <x v="7"/>
    <s v="NA13WR"/>
    <n v="45"/>
    <s v="NA13WR-45"/>
  </r>
  <r>
    <x v="7"/>
    <x v="178"/>
    <n v="-6.6400000000000006"/>
    <n v="3.17"/>
    <s v="#28"/>
    <x v="2"/>
    <n v="6.49"/>
    <n v="-0.15"/>
    <n v="3.32"/>
    <n v="11.022399999999999"/>
    <x v="7"/>
    <s v="NA1WR"/>
    <n v="32"/>
    <s v="NA1WR-32"/>
  </r>
  <r>
    <x v="15"/>
    <x v="272"/>
    <s v="0.66-5.68"/>
    <n v="3.17"/>
    <s v="#31"/>
    <x v="3"/>
    <n v="5.68"/>
    <n v="0.66"/>
    <n v="2.5099999999999998"/>
    <n v="6.3000999999999996"/>
    <x v="7"/>
    <s v="NA10TE"/>
    <n v="13"/>
    <s v="NA10TE-13"/>
  </r>
  <r>
    <x v="10"/>
    <x v="230"/>
    <s v="0.69-5.61"/>
    <n v="3.15"/>
    <s v="#22"/>
    <x v="3"/>
    <n v="5.61"/>
    <n v="0.69"/>
    <n v="2.46"/>
    <n v="6.0515999999999996"/>
    <x v="7"/>
    <s v="NA2TE"/>
    <n v="13"/>
    <s v="NA2TE-13"/>
  </r>
  <r>
    <x v="9"/>
    <x v="267"/>
    <s v="1.20-5.10"/>
    <n v="3.15"/>
    <s v="#7"/>
    <x v="2"/>
    <n v="5.0999999999999996"/>
    <n v="1.2"/>
    <n v="1.95"/>
    <n v="3.8025000000000002"/>
    <x v="7"/>
    <s v="NA15WR"/>
    <n v="43"/>
    <s v="NA15WR-43"/>
  </r>
  <r>
    <x v="1"/>
    <x v="267"/>
    <s v="0.90-5.40"/>
    <n v="3.15"/>
    <s v="#15"/>
    <x v="2"/>
    <n v="5.4"/>
    <n v="0.9"/>
    <n v="2.25"/>
    <n v="5.0625"/>
    <x v="7"/>
    <s v="NA16WR"/>
    <n v="43"/>
    <s v="NA16WR-43"/>
  </r>
  <r>
    <x v="16"/>
    <x v="265"/>
    <s v="0.27-6.03"/>
    <n v="3.15"/>
    <s v="#9"/>
    <x v="3"/>
    <n v="6.03"/>
    <n v="0.27"/>
    <n v="2.88"/>
    <n v="8.2943999999999996"/>
    <x v="7"/>
    <s v="NA3TE"/>
    <n v="10"/>
    <s v="NA3TE-10"/>
  </r>
  <r>
    <x v="10"/>
    <x v="233"/>
    <n v="-7.3999999999999995"/>
    <n v="3.15"/>
    <s v="#29"/>
    <x v="3"/>
    <n v="6.85"/>
    <n v="-0.55000000000000004"/>
    <n v="3.7"/>
    <n v="13.69"/>
    <x v="7"/>
    <s v="NA2TE"/>
    <n v="14"/>
    <s v="NA2TE-14"/>
  </r>
  <r>
    <x v="6"/>
    <x v="275"/>
    <s v="2.47-3.83"/>
    <n v="3.15"/>
    <s v="#29"/>
    <x v="0"/>
    <n v="3.83"/>
    <n v="2.4700000000000002"/>
    <n v="0.68"/>
    <n v="0.46239999999999998"/>
    <x v="7"/>
    <s v="NA12QB"/>
    <n v="16"/>
    <s v="NA12QB-16"/>
  </r>
  <r>
    <x v="11"/>
    <x v="163"/>
    <s v="1.38-4.92"/>
    <n v="3.15"/>
    <s v="#29"/>
    <x v="1"/>
    <n v="4.92"/>
    <n v="1.38"/>
    <n v="1.77"/>
    <n v="3.1328999999999998"/>
    <x v="9"/>
    <s v="seth14RB"/>
    <n v="7"/>
    <s v="seth14RB-7"/>
  </r>
  <r>
    <x v="15"/>
    <x v="263"/>
    <s v="0.76-5.54"/>
    <n v="3.15"/>
    <s v="#25"/>
    <x v="3"/>
    <n v="5.54"/>
    <n v="0.76"/>
    <n v="2.39"/>
    <n v="5.7121000000000004"/>
    <x v="7"/>
    <s v="NA10TE"/>
    <n v="14"/>
    <s v="NA10TE-14"/>
  </r>
  <r>
    <x v="5"/>
    <x v="171"/>
    <s v="0.56-5.72"/>
    <n v="3.14"/>
    <s v="#3"/>
    <x v="2"/>
    <n v="5.72"/>
    <n v="0.56000000000000005"/>
    <n v="2.58"/>
    <n v="6.6563999999999997"/>
    <x v="7"/>
    <s v="NA13WR"/>
    <n v="46"/>
    <s v="NA13WR-46"/>
  </r>
  <r>
    <x v="4"/>
    <x v="261"/>
    <n v="-6.3199999999999994"/>
    <n v="3.14"/>
    <s v="#29"/>
    <x v="2"/>
    <n v="6.3"/>
    <n v="-0.02"/>
    <n v="3.16"/>
    <n v="9.9855999999999998"/>
    <x v="7"/>
    <s v="NA7WR"/>
    <n v="34"/>
    <s v="NA7WR-34"/>
  </r>
  <r>
    <x v="2"/>
    <x v="251"/>
    <n v="-6.58"/>
    <n v="3.14"/>
    <s v="#14"/>
    <x v="3"/>
    <n v="6.43"/>
    <n v="-0.15"/>
    <n v="3.29"/>
    <n v="10.8241"/>
    <x v="7"/>
    <s v="NA9TE"/>
    <n v="9"/>
    <s v="NA9TE-9"/>
  </r>
  <r>
    <x v="3"/>
    <x v="167"/>
    <n v="-6.78"/>
    <n v="3.14"/>
    <s v="#8"/>
    <x v="2"/>
    <n v="6.53"/>
    <n v="-0.25"/>
    <n v="3.39"/>
    <n v="11.492100000000001"/>
    <x v="10"/>
    <s v="aj11WR"/>
    <n v="6"/>
    <s v="aj11WR-6"/>
  </r>
  <r>
    <x v="13"/>
    <x v="163"/>
    <s v="1.33-4.95"/>
    <n v="3.14"/>
    <s v="#10"/>
    <x v="1"/>
    <n v="4.95"/>
    <n v="1.33"/>
    <n v="1.81"/>
    <n v="3.2761"/>
    <x v="9"/>
    <s v="seth8RB"/>
    <n v="6"/>
    <s v="seth8RB-6"/>
  </r>
  <r>
    <x v="4"/>
    <x v="276"/>
    <s v="0.28-5.98"/>
    <n v="3.13"/>
    <s v="#31"/>
    <x v="3"/>
    <n v="5.98"/>
    <n v="0.28000000000000003"/>
    <n v="2.85"/>
    <n v="8.1225000000000005"/>
    <x v="7"/>
    <s v="NA7TE"/>
    <n v="14"/>
    <s v="NA7TE-14"/>
  </r>
  <r>
    <x v="0"/>
    <x v="250"/>
    <s v="0.70-5.56"/>
    <n v="3.13"/>
    <s v="#22"/>
    <x v="2"/>
    <n v="5.56"/>
    <n v="0.7"/>
    <n v="2.4300000000000002"/>
    <n v="5.9048999999999996"/>
    <x v="7"/>
    <s v="NA17WR"/>
    <n v="45"/>
    <s v="NA17WR-45"/>
  </r>
  <r>
    <x v="8"/>
    <x v="203"/>
    <s v="0.52-5.74"/>
    <n v="3.13"/>
    <s v="#5"/>
    <x v="2"/>
    <n v="5.74"/>
    <n v="0.52"/>
    <n v="2.61"/>
    <n v="6.8121"/>
    <x v="7"/>
    <s v="NA6WR"/>
    <n v="36"/>
    <s v="NA6WR-36"/>
  </r>
  <r>
    <x v="0"/>
    <x v="268"/>
    <s v="0.68-5.58"/>
    <n v="3.13"/>
    <s v="#18"/>
    <x v="1"/>
    <n v="5.58"/>
    <n v="0.68"/>
    <n v="2.4500000000000002"/>
    <n v="6.0025000000000004"/>
    <x v="7"/>
    <s v="NA17RB"/>
    <n v="24"/>
    <s v="NA17RB-24"/>
  </r>
  <r>
    <x v="1"/>
    <x v="254"/>
    <s v="0.24-6.02"/>
    <n v="3.13"/>
    <s v="#19"/>
    <x v="2"/>
    <n v="6.02"/>
    <n v="0.24"/>
    <n v="2.89"/>
    <n v="8.3521000000000001"/>
    <x v="7"/>
    <s v="NA16WR"/>
    <n v="44"/>
    <s v="NA16WR-44"/>
  </r>
  <r>
    <x v="9"/>
    <x v="244"/>
    <s v="0.81-5.45"/>
    <n v="3.13"/>
    <s v="#19"/>
    <x v="2"/>
    <n v="5.45"/>
    <n v="0.81"/>
    <n v="2.3199999999999998"/>
    <n v="5.3823999999999996"/>
    <x v="7"/>
    <s v="NA15WR"/>
    <n v="44"/>
    <s v="NA15WR-44"/>
  </r>
  <r>
    <x v="11"/>
    <x v="176"/>
    <s v="0.22-6.02"/>
    <n v="3.12"/>
    <s v="#26"/>
    <x v="2"/>
    <n v="6.02"/>
    <n v="0.22"/>
    <n v="2.9"/>
    <n v="8.41"/>
    <x v="7"/>
    <s v="NA14WR"/>
    <n v="41"/>
    <s v="NA14WR-41"/>
  </r>
  <r>
    <x v="15"/>
    <x v="239"/>
    <s v="0.54-5.70"/>
    <n v="3.12"/>
    <s v="#7"/>
    <x v="2"/>
    <n v="5.7"/>
    <n v="0.54"/>
    <n v="2.58"/>
    <n v="6.6563999999999997"/>
    <x v="7"/>
    <s v="NA10WR"/>
    <n v="39"/>
    <s v="NA10WR-39"/>
  </r>
  <r>
    <x v="3"/>
    <x v="180"/>
    <s v="0.60-5.64"/>
    <n v="3.12"/>
    <s v="#27"/>
    <x v="2"/>
    <n v="5.64"/>
    <n v="0.6"/>
    <n v="2.52"/>
    <n v="6.3503999999999996"/>
    <x v="7"/>
    <s v="NA11WR"/>
    <n v="29"/>
    <s v="NA11WR-29"/>
  </r>
  <r>
    <x v="1"/>
    <x v="265"/>
    <s v="0.63-5.59"/>
    <n v="3.11"/>
    <s v="#27"/>
    <x v="3"/>
    <n v="5.59"/>
    <n v="0.63"/>
    <n v="2.48"/>
    <n v="6.1504000000000003"/>
    <x v="7"/>
    <s v="NA16TE"/>
    <n v="12"/>
    <s v="NA16TE-12"/>
  </r>
  <r>
    <x v="3"/>
    <x v="250"/>
    <s v="0.76-5.46"/>
    <n v="3.11"/>
    <s v="#29"/>
    <x v="2"/>
    <n v="5.46"/>
    <n v="0.76"/>
    <n v="2.35"/>
    <n v="5.5225"/>
    <x v="7"/>
    <s v="NA11WR"/>
    <n v="30"/>
    <s v="NA11WR-30"/>
  </r>
  <r>
    <x v="13"/>
    <x v="231"/>
    <s v="0.42-5.80"/>
    <n v="3.11"/>
    <s v="#27"/>
    <x v="2"/>
    <n v="5.8"/>
    <n v="0.42"/>
    <n v="2.69"/>
    <n v="7.2361000000000004"/>
    <x v="7"/>
    <s v="NA8WR"/>
    <n v="36"/>
    <s v="NA8WR-36"/>
  </r>
  <r>
    <x v="12"/>
    <x v="253"/>
    <s v="0.52-5.70"/>
    <n v="3.11"/>
    <s v="#22"/>
    <x v="2"/>
    <n v="5.7"/>
    <n v="0.52"/>
    <n v="2.59"/>
    <n v="6.7081"/>
    <x v="7"/>
    <s v="NA5WR"/>
    <n v="37"/>
    <s v="NA5WR-37"/>
  </r>
  <r>
    <x v="3"/>
    <x v="193"/>
    <n v="-7.38"/>
    <n v="3.11"/>
    <s v="#20"/>
    <x v="3"/>
    <n v="6.8"/>
    <n v="-0.57999999999999996"/>
    <n v="3.69"/>
    <n v="13.616099999999999"/>
    <x v="7"/>
    <s v="NA11TE"/>
    <n v="11"/>
    <s v="NA11TE-11"/>
  </r>
  <r>
    <x v="8"/>
    <x v="271"/>
    <s v="0.06-6.16"/>
    <n v="3.11"/>
    <s v="#21"/>
    <x v="2"/>
    <n v="6.16"/>
    <n v="0.06"/>
    <n v="3.05"/>
    <n v="9.3025000000000002"/>
    <x v="7"/>
    <s v="NA6WR"/>
    <n v="37"/>
    <s v="NA6WR-37"/>
  </r>
  <r>
    <x v="16"/>
    <x v="257"/>
    <n v="-6.8"/>
    <n v="3.1"/>
    <s v="#22"/>
    <x v="2"/>
    <n v="6.5"/>
    <n v="-0.3"/>
    <n v="3.4"/>
    <n v="11.56"/>
    <x v="7"/>
    <s v="NA3WR"/>
    <n v="36"/>
    <s v="NA3WR-36"/>
  </r>
  <r>
    <x v="0"/>
    <x v="225"/>
    <s v="0.89-5.31"/>
    <n v="3.1"/>
    <s v="#8"/>
    <x v="1"/>
    <n v="5.31"/>
    <n v="0.89"/>
    <n v="2.21"/>
    <n v="4.8841000000000001"/>
    <x v="7"/>
    <s v="NA17RB"/>
    <n v="25"/>
    <s v="NA17RB-25"/>
  </r>
  <r>
    <x v="3"/>
    <x v="273"/>
    <s v="0.44-5.76"/>
    <n v="3.1"/>
    <s v="#28"/>
    <x v="2"/>
    <n v="5.76"/>
    <n v="0.44"/>
    <n v="2.66"/>
    <n v="7.0755999999999997"/>
    <x v="7"/>
    <s v="NA11WR"/>
    <n v="31"/>
    <s v="NA11WR-31"/>
  </r>
  <r>
    <x v="4"/>
    <x v="213"/>
    <s v="0.58-5.62"/>
    <n v="3.1"/>
    <s v="#22"/>
    <x v="1"/>
    <n v="5.62"/>
    <n v="0.57999999999999996"/>
    <n v="2.52"/>
    <n v="6.3503999999999996"/>
    <x v="7"/>
    <s v="NA7RB"/>
    <n v="17"/>
    <s v="NA7RB-17"/>
  </r>
  <r>
    <x v="5"/>
    <x v="239"/>
    <s v="0.54-5.66"/>
    <n v="3.1"/>
    <s v="#20"/>
    <x v="2"/>
    <n v="5.66"/>
    <n v="0.54"/>
    <n v="2.56"/>
    <n v="6.5536000000000003"/>
    <x v="7"/>
    <s v="NA13WR"/>
    <n v="47"/>
    <s v="NA13WR-47"/>
  </r>
  <r>
    <x v="13"/>
    <x v="268"/>
    <s v="0.62-5.58"/>
    <n v="3.1"/>
    <s v="#21"/>
    <x v="1"/>
    <n v="5.58"/>
    <n v="0.62"/>
    <n v="2.48"/>
    <n v="6.1504000000000003"/>
    <x v="7"/>
    <s v="NA8RB"/>
    <n v="22"/>
    <s v="NA8RB-22"/>
  </r>
  <r>
    <x v="14"/>
    <x v="277"/>
    <s v="0.50-5.70"/>
    <n v="3.1"/>
    <s v="#28"/>
    <x v="2"/>
    <n v="5.7"/>
    <n v="0.5"/>
    <n v="2.6"/>
    <n v="6.76"/>
    <x v="7"/>
    <s v="NA4WR"/>
    <n v="34"/>
    <s v="NA4WR-34"/>
  </r>
  <r>
    <x v="10"/>
    <x v="278"/>
    <s v="0.03-6.17"/>
    <n v="3.1"/>
    <s v="#2"/>
    <x v="2"/>
    <n v="6.17"/>
    <n v="0.03"/>
    <n v="3.07"/>
    <n v="9.4248999999999992"/>
    <x v="7"/>
    <s v="NA2WR"/>
    <n v="33"/>
    <s v="NA2WR-33"/>
  </r>
  <r>
    <x v="14"/>
    <x v="255"/>
    <s v="0.36-5.82"/>
    <n v="3.09"/>
    <s v="#18"/>
    <x v="3"/>
    <n v="5.82"/>
    <n v="0.36"/>
    <n v="2.73"/>
    <n v="7.4528999999999996"/>
    <x v="7"/>
    <s v="NA4TE"/>
    <n v="13"/>
    <s v="NA4TE-13"/>
  </r>
  <r>
    <x v="16"/>
    <x v="124"/>
    <n v="-6.82"/>
    <n v="3.09"/>
    <s v="#30"/>
    <x v="2"/>
    <n v="6.5"/>
    <n v="-0.32"/>
    <n v="3.41"/>
    <n v="11.6281"/>
    <x v="8"/>
    <s v="comp3WR"/>
    <n v="7"/>
    <s v="comp3WR-7"/>
  </r>
  <r>
    <x v="9"/>
    <x v="273"/>
    <s v="0.54-5.64"/>
    <n v="3.09"/>
    <s v="#30"/>
    <x v="2"/>
    <n v="5.64"/>
    <n v="0.54"/>
    <n v="2.5499999999999998"/>
    <n v="6.5025000000000004"/>
    <x v="7"/>
    <s v="NA15WR"/>
    <n v="45"/>
    <s v="NA15WR-45"/>
  </r>
  <r>
    <x v="0"/>
    <x v="274"/>
    <s v="0.46-5.72"/>
    <n v="3.09"/>
    <s v="#2"/>
    <x v="3"/>
    <n v="5.72"/>
    <n v="0.46"/>
    <n v="2.63"/>
    <n v="6.9169"/>
    <x v="7"/>
    <s v="NA17TE"/>
    <n v="16"/>
    <s v="NA17TE-16"/>
  </r>
  <r>
    <x v="7"/>
    <x v="256"/>
    <s v="0.07-6.11"/>
    <n v="3.09"/>
    <s v="#9"/>
    <x v="3"/>
    <n v="6.11"/>
    <n v="7.0000000000000007E-2"/>
    <n v="3.02"/>
    <n v="9.1204000000000001"/>
    <x v="7"/>
    <s v="NA1TE"/>
    <n v="13"/>
    <s v="NA1TE-13"/>
  </r>
  <r>
    <x v="13"/>
    <x v="279"/>
    <s v="0.11-6.05"/>
    <n v="3.08"/>
    <s v="#9"/>
    <x v="2"/>
    <n v="6.05"/>
    <n v="0.11"/>
    <n v="2.97"/>
    <n v="8.8209"/>
    <x v="7"/>
    <s v="NA8WR"/>
    <n v="37"/>
    <s v="NA8WR-37"/>
  </r>
  <r>
    <x v="12"/>
    <x v="176"/>
    <s v="0.12-6.04"/>
    <n v="3.08"/>
    <s v="#10"/>
    <x v="2"/>
    <n v="6.04"/>
    <n v="0.12"/>
    <n v="2.96"/>
    <n v="8.7615999999999996"/>
    <x v="7"/>
    <s v="NA5WR"/>
    <n v="38"/>
    <s v="NA5WR-38"/>
  </r>
  <r>
    <x v="7"/>
    <x v="184"/>
    <n v="-6.74"/>
    <n v="3.08"/>
    <s v="#8"/>
    <x v="2"/>
    <n v="6.45"/>
    <n v="-0.28999999999999998"/>
    <n v="3.37"/>
    <n v="11.3569"/>
    <x v="7"/>
    <s v="NA1WR"/>
    <n v="33"/>
    <s v="NA1WR-33"/>
  </r>
  <r>
    <x v="9"/>
    <x v="250"/>
    <s v="0.70-5.46"/>
    <n v="3.08"/>
    <s v="#9"/>
    <x v="2"/>
    <n v="5.46"/>
    <n v="0.7"/>
    <n v="2.38"/>
    <n v="5.6643999999999997"/>
    <x v="7"/>
    <s v="NA15WR"/>
    <n v="46"/>
    <s v="NA15WR-46"/>
  </r>
  <r>
    <x v="5"/>
    <x v="280"/>
    <s v="0.24-5.92"/>
    <n v="3.08"/>
    <s v="#9"/>
    <x v="3"/>
    <n v="5.92"/>
    <n v="0.24"/>
    <n v="2.84"/>
    <n v="8.0655999999999999"/>
    <x v="7"/>
    <s v="NA13TE"/>
    <n v="15"/>
    <s v="NA13TE-15"/>
  </r>
  <r>
    <x v="16"/>
    <x v="262"/>
    <s v="0.24-5.92"/>
    <n v="3.08"/>
    <s v="#23"/>
    <x v="2"/>
    <n v="5.92"/>
    <n v="0.24"/>
    <n v="2.84"/>
    <n v="8.0655999999999999"/>
    <x v="7"/>
    <s v="NA3WR"/>
    <n v="37"/>
    <s v="NA3WR-37"/>
  </r>
  <r>
    <x v="4"/>
    <x v="180"/>
    <s v="0.56-5.60"/>
    <n v="3.08"/>
    <s v="#23"/>
    <x v="2"/>
    <n v="5.6"/>
    <n v="0.56000000000000005"/>
    <n v="2.52"/>
    <n v="6.3503999999999996"/>
    <x v="7"/>
    <s v="NA7WR"/>
    <n v="35"/>
    <s v="NA7WR-35"/>
  </r>
  <r>
    <x v="3"/>
    <x v="264"/>
    <s v="0.39-5.77"/>
    <n v="3.08"/>
    <s v="#7"/>
    <x v="3"/>
    <n v="5.77"/>
    <n v="0.39"/>
    <n v="2.69"/>
    <n v="7.2361000000000004"/>
    <x v="7"/>
    <s v="NA11TE"/>
    <n v="12"/>
    <s v="NA11TE-12"/>
  </r>
  <r>
    <x v="9"/>
    <x v="219"/>
    <s v="0.36-5.78"/>
    <n v="3.07"/>
    <s v="#26"/>
    <x v="2"/>
    <n v="5.78"/>
    <n v="0.36"/>
    <n v="2.71"/>
    <n v="7.3441000000000001"/>
    <x v="7"/>
    <s v="NA15WR"/>
    <n v="47"/>
    <s v="NA15WR-47"/>
  </r>
  <r>
    <x v="11"/>
    <x v="251"/>
    <n v="-7.9799999999999995"/>
    <n v="3.07"/>
    <s v="#6"/>
    <x v="3"/>
    <n v="7.06"/>
    <n v="-0.92"/>
    <n v="3.99"/>
    <n v="15.9201"/>
    <x v="7"/>
    <s v="NA14TE"/>
    <n v="13"/>
    <s v="NA14TE-13"/>
  </r>
  <r>
    <x v="6"/>
    <x v="231"/>
    <s v="0.30-5.84"/>
    <n v="3.07"/>
    <s v="#9"/>
    <x v="2"/>
    <n v="5.84"/>
    <n v="0.3"/>
    <n v="2.77"/>
    <n v="7.6729000000000003"/>
    <x v="7"/>
    <s v="NA12WR"/>
    <n v="45"/>
    <s v="NA12WR-45"/>
  </r>
  <r>
    <x v="15"/>
    <x v="235"/>
    <s v="0.02-6.12"/>
    <n v="3.07"/>
    <s v="#6"/>
    <x v="1"/>
    <n v="6.12"/>
    <n v="0.02"/>
    <n v="3.05"/>
    <n v="9.3025000000000002"/>
    <x v="7"/>
    <s v="NA10RB"/>
    <n v="21"/>
    <s v="NA10RB-21"/>
  </r>
  <r>
    <x v="11"/>
    <x v="257"/>
    <s v="0.48-5.64"/>
    <n v="3.06"/>
    <s v="#9"/>
    <x v="2"/>
    <n v="5.64"/>
    <n v="0.48"/>
    <n v="2.58"/>
    <n v="6.6563999999999997"/>
    <x v="7"/>
    <s v="NA14WR"/>
    <n v="42"/>
    <s v="NA14WR-42"/>
  </r>
  <r>
    <x v="8"/>
    <x v="171"/>
    <s v="0.43-5.69"/>
    <n v="3.06"/>
    <s v="#4"/>
    <x v="2"/>
    <n v="5.69"/>
    <n v="0.43"/>
    <n v="2.63"/>
    <n v="6.9169"/>
    <x v="7"/>
    <s v="NA6WR"/>
    <n v="38"/>
    <s v="NA6WR-38"/>
  </r>
  <r>
    <x v="5"/>
    <x v="210"/>
    <s v="0.23-5.89"/>
    <n v="3.06"/>
    <s v="#27"/>
    <x v="1"/>
    <n v="5.89"/>
    <n v="0.23"/>
    <n v="2.83"/>
    <n v="8.0089000000000006"/>
    <x v="7"/>
    <s v="NA13RB"/>
    <n v="21"/>
    <s v="NA13RB-21"/>
  </r>
  <r>
    <x v="16"/>
    <x v="277"/>
    <n v="-7.36"/>
    <n v="3.06"/>
    <s v="#8"/>
    <x v="2"/>
    <n v="6.74"/>
    <n v="-0.62"/>
    <n v="3.68"/>
    <n v="13.542400000000001"/>
    <x v="7"/>
    <s v="NA3WR"/>
    <n v="38"/>
    <s v="NA3WR-38"/>
  </r>
  <r>
    <x v="7"/>
    <x v="209"/>
    <s v="0.27-5.85"/>
    <n v="3.06"/>
    <s v="#11"/>
    <x v="2"/>
    <n v="5.85"/>
    <n v="0.27"/>
    <n v="2.79"/>
    <n v="7.7840999999999996"/>
    <x v="7"/>
    <s v="NA1WR"/>
    <n v="34"/>
    <s v="NA1WR-34"/>
  </r>
  <r>
    <x v="7"/>
    <x v="255"/>
    <s v="0.05-6.05"/>
    <n v="3.05"/>
    <s v="#32"/>
    <x v="3"/>
    <n v="6.05"/>
    <n v="0.05"/>
    <n v="3"/>
    <n v="9"/>
    <x v="7"/>
    <s v="NA1TE"/>
    <n v="14"/>
    <s v="NA1TE-14"/>
  </r>
  <r>
    <x v="8"/>
    <x v="255"/>
    <s v="0.67-5.43"/>
    <n v="3.05"/>
    <s v="#2"/>
    <x v="3"/>
    <n v="5.43"/>
    <n v="0.67"/>
    <n v="2.38"/>
    <n v="5.6643999999999997"/>
    <x v="7"/>
    <s v="NA6TE"/>
    <n v="16"/>
    <s v="NA6TE-16"/>
  </r>
  <r>
    <x v="8"/>
    <x v="231"/>
    <s v="0.01-6.09"/>
    <n v="3.05"/>
    <s v="#5"/>
    <x v="2"/>
    <n v="6.09"/>
    <n v="0.01"/>
    <n v="3.04"/>
    <n v="9.2416"/>
    <x v="7"/>
    <s v="NA6WR"/>
    <n v="39"/>
    <s v="NA6WR-39"/>
  </r>
  <r>
    <x v="3"/>
    <x v="267"/>
    <s v="1.03-5.05"/>
    <n v="3.04"/>
    <s v="#6"/>
    <x v="2"/>
    <n v="5.05"/>
    <n v="1.03"/>
    <n v="2.0099999999999998"/>
    <n v="4.0400999999999998"/>
    <x v="7"/>
    <s v="NA11WR"/>
    <n v="32"/>
    <s v="NA11WR-32"/>
  </r>
  <r>
    <x v="3"/>
    <x v="233"/>
    <n v="-6.26"/>
    <n v="3.04"/>
    <s v="#28"/>
    <x v="3"/>
    <n v="6.17"/>
    <n v="-0.09"/>
    <n v="3.13"/>
    <n v="9.7969000000000008"/>
    <x v="7"/>
    <s v="NA11TE"/>
    <n v="13"/>
    <s v="NA11TE-13"/>
  </r>
  <r>
    <x v="14"/>
    <x v="193"/>
    <s v="0.46-5.62"/>
    <n v="3.04"/>
    <s v="#32"/>
    <x v="3"/>
    <n v="5.62"/>
    <n v="0.46"/>
    <n v="2.58"/>
    <n v="6.6563999999999997"/>
    <x v="7"/>
    <s v="NA4TE"/>
    <n v="14"/>
    <s v="NA4TE-14"/>
  </r>
  <r>
    <x v="2"/>
    <x v="260"/>
    <s v="0.52-5.56"/>
    <n v="3.04"/>
    <s v="#16"/>
    <x v="2"/>
    <n v="5.56"/>
    <n v="0.52"/>
    <n v="2.52"/>
    <n v="6.3503999999999996"/>
    <x v="1"/>
    <s v="perry9WR"/>
    <n v="5"/>
    <s v="perry9WR-5"/>
  </r>
  <r>
    <x v="10"/>
    <x v="118"/>
    <n v="-6.54"/>
    <n v="3.04"/>
    <s v="#1"/>
    <x v="2"/>
    <n v="6.31"/>
    <n v="-0.23"/>
    <n v="3.27"/>
    <n v="10.6929"/>
    <x v="5"/>
    <s v="cory2WR"/>
    <n v="5"/>
    <s v="cory2WR-5"/>
  </r>
  <r>
    <x v="4"/>
    <x v="256"/>
    <s v="0.71-5.37"/>
    <n v="3.04"/>
    <s v="#32"/>
    <x v="3"/>
    <n v="5.37"/>
    <n v="0.71"/>
    <n v="2.33"/>
    <n v="5.4288999999999996"/>
    <x v="7"/>
    <s v="NA7TE"/>
    <n v="15"/>
    <s v="NA7TE-15"/>
  </r>
  <r>
    <x v="1"/>
    <x v="256"/>
    <n v="-6.32"/>
    <n v="3.04"/>
    <s v="#2"/>
    <x v="3"/>
    <n v="6.2"/>
    <n v="-0.12"/>
    <n v="3.16"/>
    <n v="9.9855999999999998"/>
    <x v="7"/>
    <s v="NA16TE"/>
    <n v="13"/>
    <s v="NA16TE-13"/>
  </r>
  <r>
    <x v="4"/>
    <x v="281"/>
    <n v="-6.82"/>
    <n v="3.03"/>
    <s v="#32"/>
    <x v="3"/>
    <n v="6.44"/>
    <n v="-0.38"/>
    <n v="3.41"/>
    <n v="11.6281"/>
    <x v="7"/>
    <s v="NA7TE"/>
    <n v="16"/>
    <s v="NA7TE-16"/>
  </r>
  <r>
    <x v="15"/>
    <x v="231"/>
    <n v="-6.26"/>
    <n v="3.03"/>
    <s v="#21"/>
    <x v="2"/>
    <n v="6.16"/>
    <n v="-0.1"/>
    <n v="3.13"/>
    <n v="9.7969000000000008"/>
    <x v="7"/>
    <s v="NA10WR"/>
    <n v="40"/>
    <s v="NA10WR-40"/>
  </r>
  <r>
    <x v="0"/>
    <x v="239"/>
    <s v="0.19-5.87"/>
    <n v="3.03"/>
    <s v="#19"/>
    <x v="2"/>
    <n v="5.87"/>
    <n v="0.19"/>
    <n v="2.84"/>
    <n v="8.0655999999999999"/>
    <x v="7"/>
    <s v="NA17WR"/>
    <n v="46"/>
    <s v="NA17WR-46"/>
  </r>
  <r>
    <x v="16"/>
    <x v="210"/>
    <n v="-6.6"/>
    <n v="3.03"/>
    <s v="#4"/>
    <x v="1"/>
    <n v="6.33"/>
    <n v="-0.27"/>
    <n v="3.3"/>
    <n v="10.89"/>
    <x v="7"/>
    <s v="NA3RB"/>
    <n v="23"/>
    <s v="NA3RB-23"/>
  </r>
  <r>
    <x v="6"/>
    <x v="254"/>
    <s v="0.14-5.92"/>
    <n v="3.03"/>
    <s v="#19"/>
    <x v="2"/>
    <n v="5.92"/>
    <n v="0.14000000000000001"/>
    <n v="2.89"/>
    <n v="8.3521000000000001"/>
    <x v="7"/>
    <s v="NA12WR"/>
    <n v="46"/>
    <s v="NA12WR-46"/>
  </r>
  <r>
    <x v="11"/>
    <x v="188"/>
    <n v="-6.26"/>
    <n v="3.03"/>
    <s v="#1"/>
    <x v="1"/>
    <n v="6.16"/>
    <n v="-0.1"/>
    <n v="3.13"/>
    <n v="9.7969000000000008"/>
    <x v="7"/>
    <s v="NA14RB"/>
    <n v="24"/>
    <s v="NA14RB-24"/>
  </r>
  <r>
    <x v="10"/>
    <x v="265"/>
    <s v="0.47-5.57"/>
    <n v="3.02"/>
    <s v="#31"/>
    <x v="3"/>
    <n v="5.57"/>
    <n v="0.47"/>
    <n v="2.5499999999999998"/>
    <n v="6.5025000000000004"/>
    <x v="7"/>
    <s v="NA2TE"/>
    <n v="15"/>
    <s v="NA2TE-15"/>
  </r>
  <r>
    <x v="1"/>
    <x v="260"/>
    <s v="0.51-5.53"/>
    <n v="3.02"/>
    <s v="#6"/>
    <x v="2"/>
    <n v="5.53"/>
    <n v="0.51"/>
    <n v="2.5099999999999998"/>
    <n v="6.3000999999999996"/>
    <x v="1"/>
    <s v="perry16WR"/>
    <n v="6"/>
    <s v="perry16WR-6"/>
  </r>
  <r>
    <x v="4"/>
    <x v="210"/>
    <s v="0.32-5.72"/>
    <n v="3.02"/>
    <s v="#31"/>
    <x v="1"/>
    <n v="5.72"/>
    <n v="0.32"/>
    <n v="2.7"/>
    <n v="7.29"/>
    <x v="7"/>
    <s v="NA7RB"/>
    <n v="18"/>
    <s v="NA7RB-18"/>
  </r>
  <r>
    <x v="12"/>
    <x v="127"/>
    <n v="-7"/>
    <n v="3.02"/>
    <s v="#28"/>
    <x v="2"/>
    <n v="6.52"/>
    <n v="-0.48"/>
    <n v="3.5"/>
    <n v="12.25"/>
    <x v="9"/>
    <s v="seth5WR"/>
    <n v="5"/>
    <s v="seth5WR-5"/>
  </r>
  <r>
    <x v="7"/>
    <x v="282"/>
    <n v="-6.12"/>
    <n v="3.02"/>
    <s v="#32"/>
    <x v="2"/>
    <n v="6.08"/>
    <n v="-0.04"/>
    <n v="3.06"/>
    <n v="9.3635999999999999"/>
    <x v="7"/>
    <s v="NA1WR"/>
    <n v="35"/>
    <s v="NA1WR-35"/>
  </r>
  <r>
    <x v="11"/>
    <x v="256"/>
    <n v="-6.4799999999999995"/>
    <n v="3.02"/>
    <s v="#20"/>
    <x v="3"/>
    <n v="6.26"/>
    <n v="-0.22"/>
    <n v="3.24"/>
    <n v="10.4976"/>
    <x v="7"/>
    <s v="NA14TE"/>
    <n v="14"/>
    <s v="NA14TE-14"/>
  </r>
  <r>
    <x v="14"/>
    <x v="231"/>
    <n v="-6.52"/>
    <n v="3.01"/>
    <s v="#17"/>
    <x v="2"/>
    <n v="6.27"/>
    <n v="-0.25"/>
    <n v="3.26"/>
    <n v="10.627599999999999"/>
    <x v="7"/>
    <s v="NA4WR"/>
    <n v="35"/>
    <s v="NA4WR-35"/>
  </r>
  <r>
    <x v="2"/>
    <x v="239"/>
    <s v="0.27-5.75"/>
    <n v="3.01"/>
    <s v="#1"/>
    <x v="2"/>
    <n v="5.75"/>
    <n v="0.27"/>
    <n v="2.74"/>
    <n v="7.5076000000000001"/>
    <x v="7"/>
    <s v="NA9WR"/>
    <n v="40"/>
    <s v="NA9WR-40"/>
  </r>
  <r>
    <x v="16"/>
    <x v="253"/>
    <s v="0.21-5.81"/>
    <n v="3.01"/>
    <s v="#19"/>
    <x v="2"/>
    <n v="5.81"/>
    <n v="0.21"/>
    <n v="2.8"/>
    <n v="7.84"/>
    <x v="7"/>
    <s v="NA3WR"/>
    <n v="39"/>
    <s v="NA3WR-39"/>
  </r>
  <r>
    <x v="11"/>
    <x v="259"/>
    <n v="-6.28"/>
    <n v="3.01"/>
    <s v="#17"/>
    <x v="3"/>
    <n v="6.15"/>
    <n v="-0.13"/>
    <n v="3.14"/>
    <n v="9.8596000000000004"/>
    <x v="7"/>
    <s v="NA14TE"/>
    <n v="15"/>
    <s v="NA14TE-15"/>
  </r>
  <r>
    <x v="14"/>
    <x v="244"/>
    <s v="0.23-5.79"/>
    <n v="3.01"/>
    <s v="#2"/>
    <x v="2"/>
    <n v="5.79"/>
    <n v="0.23"/>
    <n v="2.78"/>
    <n v="7.7283999999999997"/>
    <x v="7"/>
    <s v="NA4WR"/>
    <n v="36"/>
    <s v="NA4WR-36"/>
  </r>
  <r>
    <x v="15"/>
    <x v="271"/>
    <s v="0.25-5.77"/>
    <n v="3.01"/>
    <s v="#22"/>
    <x v="2"/>
    <n v="5.77"/>
    <n v="0.25"/>
    <n v="2.76"/>
    <n v="7.6176000000000004"/>
    <x v="7"/>
    <s v="NA10WR"/>
    <n v="41"/>
    <s v="NA10WR-41"/>
  </r>
  <r>
    <x v="2"/>
    <x v="272"/>
    <s v="0.53-5.49"/>
    <n v="3.01"/>
    <s v="#29"/>
    <x v="3"/>
    <n v="5.49"/>
    <n v="0.53"/>
    <n v="2.48"/>
    <n v="6.1504000000000003"/>
    <x v="7"/>
    <s v="NA9TE"/>
    <n v="10"/>
    <s v="NA9TE-10"/>
  </r>
  <r>
    <x v="1"/>
    <x v="276"/>
    <s v="0.23-5.77"/>
    <n v="3"/>
    <s v="#19"/>
    <x v="3"/>
    <n v="5.77"/>
    <n v="0.23"/>
    <n v="2.77"/>
    <n v="7.6729000000000003"/>
    <x v="7"/>
    <s v="NA16TE"/>
    <n v="14"/>
    <s v="NA16TE-14"/>
  </r>
  <r>
    <x v="8"/>
    <x v="280"/>
    <s v="0.17-5.83"/>
    <n v="3"/>
    <s v="#23"/>
    <x v="3"/>
    <n v="5.83"/>
    <n v="0.17"/>
    <n v="2.83"/>
    <n v="8.0089000000000006"/>
    <x v="7"/>
    <s v="NA6TE"/>
    <n v="17"/>
    <s v="NA6TE-17"/>
  </r>
  <r>
    <x v="0"/>
    <x v="167"/>
    <n v="-7.18"/>
    <n v="3"/>
    <s v="#28"/>
    <x v="2"/>
    <n v="6.59"/>
    <n v="-0.59"/>
    <n v="3.59"/>
    <n v="12.8881"/>
    <x v="10"/>
    <s v="aj17WR"/>
    <n v="6"/>
    <s v="aj17WR-6"/>
  </r>
  <r>
    <x v="16"/>
    <x v="216"/>
    <s v="0.70-5.30"/>
    <n v="3"/>
    <s v="#24"/>
    <x v="2"/>
    <n v="5.3"/>
    <n v="0.7"/>
    <n v="2.2999999999999998"/>
    <n v="5.29"/>
    <x v="7"/>
    <s v="NA3WR"/>
    <n v="40"/>
    <s v="NA3WR-40"/>
  </r>
  <r>
    <x v="5"/>
    <x v="238"/>
    <n v="-6.3599999999999994"/>
    <n v="3"/>
    <s v="#7"/>
    <x v="1"/>
    <n v="6.18"/>
    <n v="-0.18"/>
    <n v="3.18"/>
    <n v="10.112399999999999"/>
    <x v="7"/>
    <s v="NA13RB"/>
    <n v="22"/>
    <s v="NA13RB-22"/>
  </r>
  <r>
    <x v="15"/>
    <x v="249"/>
    <s v="0.46-5.52"/>
    <n v="2.99"/>
    <s v="#12"/>
    <x v="2"/>
    <n v="5.52"/>
    <n v="0.46"/>
    <n v="2.5299999999999998"/>
    <n v="6.4009"/>
    <x v="7"/>
    <s v="NA10WR"/>
    <n v="42"/>
    <s v="NA10WR-42"/>
  </r>
  <r>
    <x v="15"/>
    <x v="176"/>
    <s v="0.03-5.95"/>
    <n v="2.99"/>
    <s v="#10"/>
    <x v="2"/>
    <n v="5.95"/>
    <n v="0.03"/>
    <n v="2.96"/>
    <n v="8.7615999999999996"/>
    <x v="7"/>
    <s v="NA10WR"/>
    <n v="43"/>
    <s v="NA10WR-43"/>
  </r>
  <r>
    <x v="14"/>
    <x v="276"/>
    <s v="0.54-5.44"/>
    <n v="2.99"/>
    <s v="#25"/>
    <x v="3"/>
    <n v="5.44"/>
    <n v="0.54"/>
    <n v="2.4500000000000002"/>
    <n v="6.0025000000000004"/>
    <x v="7"/>
    <s v="NA4TE"/>
    <n v="15"/>
    <s v="NA4TE-15"/>
  </r>
  <r>
    <x v="11"/>
    <x v="250"/>
    <s v="0.53-5.45"/>
    <n v="2.99"/>
    <s v="#6"/>
    <x v="2"/>
    <n v="5.45"/>
    <n v="0.53"/>
    <n v="2.46"/>
    <n v="6.0515999999999996"/>
    <x v="7"/>
    <s v="NA14WR"/>
    <n v="43"/>
    <s v="NA14WR-43"/>
  </r>
  <r>
    <x v="3"/>
    <x v="239"/>
    <s v="0.26-5.72"/>
    <n v="2.99"/>
    <s v="#3"/>
    <x v="2"/>
    <n v="5.72"/>
    <n v="0.26"/>
    <n v="2.73"/>
    <n v="7.4528999999999996"/>
    <x v="7"/>
    <s v="NA11WR"/>
    <n v="33"/>
    <s v="NA11WR-33"/>
  </r>
  <r>
    <x v="7"/>
    <x v="173"/>
    <s v="0.32-5.66"/>
    <n v="2.99"/>
    <s v="#31"/>
    <x v="1"/>
    <n v="5.66"/>
    <n v="0.32"/>
    <n v="2.67"/>
    <n v="7.1288999999999998"/>
    <x v="7"/>
    <s v="NA1RB"/>
    <n v="21"/>
    <s v="NA1RB-21"/>
  </r>
  <r>
    <x v="0"/>
    <x v="275"/>
    <s v="2.41-3.57"/>
    <n v="2.99"/>
    <s v="#7"/>
    <x v="0"/>
    <n v="3.57"/>
    <n v="2.41"/>
    <n v="0.57999999999999996"/>
    <n v="0.33639999999999998"/>
    <x v="7"/>
    <s v="NA17QB"/>
    <n v="16"/>
    <s v="NA17QB-16"/>
  </r>
  <r>
    <x v="4"/>
    <x v="245"/>
    <n v="-7.4"/>
    <n v="2.99"/>
    <s v="#6"/>
    <x v="2"/>
    <n v="6.69"/>
    <n v="-0.71"/>
    <n v="3.7"/>
    <n v="13.69"/>
    <x v="7"/>
    <s v="NA7WR"/>
    <n v="36"/>
    <s v="NA7WR-36"/>
  </r>
  <r>
    <x v="6"/>
    <x v="217"/>
    <s v="0.96-5.00"/>
    <n v="2.98"/>
    <s v="#16"/>
    <x v="3"/>
    <n v="5"/>
    <n v="0.96"/>
    <n v="2.02"/>
    <n v="4.0804"/>
    <x v="7"/>
    <s v="NA12TE"/>
    <n v="14"/>
    <s v="NA12TE-14"/>
  </r>
  <r>
    <x v="6"/>
    <x v="180"/>
    <s v="0.46-5.50"/>
    <n v="2.98"/>
    <s v="#23"/>
    <x v="2"/>
    <n v="5.5"/>
    <n v="0.46"/>
    <n v="2.52"/>
    <n v="6.3503999999999996"/>
    <x v="7"/>
    <s v="NA12WR"/>
    <n v="47"/>
    <s v="NA12WR-47"/>
  </r>
  <r>
    <x v="6"/>
    <x v="260"/>
    <s v="0.49-5.47"/>
    <n v="2.98"/>
    <s v="#14"/>
    <x v="2"/>
    <n v="5.47"/>
    <n v="0.49"/>
    <n v="2.4900000000000002"/>
    <n v="6.2000999999999999"/>
    <x v="1"/>
    <s v="perry12WR"/>
    <n v="5"/>
    <s v="perry12WR-5"/>
  </r>
  <r>
    <x v="9"/>
    <x v="240"/>
    <s v="0.54-5.42"/>
    <n v="2.98"/>
    <s v="#22"/>
    <x v="2"/>
    <n v="5.42"/>
    <n v="0.54"/>
    <n v="2.44"/>
    <n v="5.9535999999999998"/>
    <x v="7"/>
    <s v="NA15WR"/>
    <n v="48"/>
    <s v="NA15WR-48"/>
  </r>
  <r>
    <x v="1"/>
    <x v="218"/>
    <n v="-8.4600000000000009"/>
    <n v="2.97"/>
    <s v="#10"/>
    <x v="2"/>
    <n v="7.2"/>
    <n v="-1.26"/>
    <n v="4.2300000000000004"/>
    <n v="17.892900000000001"/>
    <x v="7"/>
    <s v="NA16WR"/>
    <n v="45"/>
    <s v="NA16WR-45"/>
  </r>
  <r>
    <x v="16"/>
    <x v="283"/>
    <s v="0.03-5.91"/>
    <n v="2.97"/>
    <s v="#18"/>
    <x v="3"/>
    <n v="5.91"/>
    <n v="0.03"/>
    <n v="2.94"/>
    <n v="8.6435999999999993"/>
    <x v="7"/>
    <s v="NA3TE"/>
    <n v="11"/>
    <s v="NA3TE-11"/>
  </r>
  <r>
    <x v="9"/>
    <x v="223"/>
    <s v="0.14-5.80"/>
    <n v="2.97"/>
    <s v="#1"/>
    <x v="1"/>
    <n v="5.8"/>
    <n v="0.14000000000000001"/>
    <n v="2.83"/>
    <n v="8.0089000000000006"/>
    <x v="7"/>
    <s v="NA15RB"/>
    <n v="22"/>
    <s v="NA15RB-22"/>
  </r>
  <r>
    <x v="11"/>
    <x v="231"/>
    <n v="-6.18"/>
    <n v="2.97"/>
    <s v="#17"/>
    <x v="2"/>
    <n v="6.06"/>
    <n v="-0.12"/>
    <n v="3.09"/>
    <n v="9.5480999999999998"/>
    <x v="7"/>
    <s v="NA14WR"/>
    <n v="44"/>
    <s v="NA14WR-44"/>
  </r>
  <r>
    <x v="11"/>
    <x v="167"/>
    <n v="-7.26"/>
    <n v="2.97"/>
    <s v="#29"/>
    <x v="2"/>
    <n v="6.6"/>
    <n v="-0.66"/>
    <n v="3.63"/>
    <n v="13.1769"/>
    <x v="10"/>
    <s v="aj14WR"/>
    <n v="6"/>
    <s v="aj14WR-6"/>
  </r>
  <r>
    <x v="16"/>
    <x v="284"/>
    <n v="-7.9399999999999995"/>
    <n v="2.96"/>
    <s v="#19"/>
    <x v="3"/>
    <n v="6.93"/>
    <n v="-1.01"/>
    <n v="3.97"/>
    <n v="15.760899999999999"/>
    <x v="7"/>
    <s v="NA3TE"/>
    <n v="12"/>
    <s v="NA3TE-12"/>
  </r>
  <r>
    <x v="0"/>
    <x v="273"/>
    <s v="0.41-5.51"/>
    <n v="2.96"/>
    <s v="#30"/>
    <x v="2"/>
    <n v="5.51"/>
    <n v="0.41"/>
    <n v="2.5499999999999998"/>
    <n v="6.5025000000000004"/>
    <x v="7"/>
    <s v="NA17WR"/>
    <n v="47"/>
    <s v="NA17WR-47"/>
  </r>
  <r>
    <x v="5"/>
    <x v="285"/>
    <s v="0.28-5.64"/>
    <n v="2.96"/>
    <s v="#18"/>
    <x v="3"/>
    <n v="5.64"/>
    <n v="0.28000000000000003"/>
    <n v="2.68"/>
    <n v="7.1824000000000003"/>
    <x v="7"/>
    <s v="NA13TE"/>
    <n v="16"/>
    <s v="NA13TE-16"/>
  </r>
  <r>
    <x v="1"/>
    <x v="233"/>
    <n v="-6.1999999999999993"/>
    <n v="2.96"/>
    <s v="#29"/>
    <x v="3"/>
    <n v="6.06"/>
    <n v="-0.14000000000000001"/>
    <n v="3.1"/>
    <n v="9.61"/>
    <x v="7"/>
    <s v="NA16TE"/>
    <n v="15"/>
    <s v="NA16TE-15"/>
  </r>
  <r>
    <x v="14"/>
    <x v="270"/>
    <s v="0.30-5.62"/>
    <n v="2.96"/>
    <s v="#14"/>
    <x v="2"/>
    <n v="5.62"/>
    <n v="0.3"/>
    <n v="2.66"/>
    <n v="7.0755999999999997"/>
    <x v="7"/>
    <s v="NA4WR"/>
    <n v="37"/>
    <s v="NA4WR-37"/>
  </r>
  <r>
    <x v="8"/>
    <x v="260"/>
    <s v="0.45-5.47"/>
    <n v="2.96"/>
    <s v="#11"/>
    <x v="2"/>
    <n v="5.47"/>
    <n v="0.45"/>
    <n v="2.5099999999999998"/>
    <n v="6.3000999999999996"/>
    <x v="1"/>
    <s v="perry6WR"/>
    <n v="6"/>
    <s v="perry6WR-6"/>
  </r>
  <r>
    <x v="12"/>
    <x v="274"/>
    <s v="0.33-5.59"/>
    <n v="2.96"/>
    <s v="#2"/>
    <x v="3"/>
    <n v="5.59"/>
    <n v="0.33"/>
    <n v="2.63"/>
    <n v="6.9169"/>
    <x v="7"/>
    <s v="NA5TE"/>
    <n v="16"/>
    <s v="NA5TE-16"/>
  </r>
  <r>
    <x v="6"/>
    <x v="281"/>
    <n v="-7.34"/>
    <n v="2.95"/>
    <s v="#2"/>
    <x v="3"/>
    <n v="6.62"/>
    <n v="-0.72"/>
    <n v="3.67"/>
    <n v="13.4689"/>
    <x v="7"/>
    <s v="NA12TE"/>
    <n v="15"/>
    <s v="NA12TE-15"/>
  </r>
  <r>
    <x v="4"/>
    <x v="223"/>
    <s v="0.46-5.44"/>
    <n v="2.95"/>
    <s v="#2"/>
    <x v="1"/>
    <n v="5.44"/>
    <n v="0.46"/>
    <n v="2.4900000000000002"/>
    <n v="6.2000999999999999"/>
    <x v="7"/>
    <s v="NA7RB"/>
    <n v="19"/>
    <s v="NA7RB-19"/>
  </r>
  <r>
    <x v="8"/>
    <x v="239"/>
    <s v="0.11-5.79"/>
    <n v="2.95"/>
    <s v="#19"/>
    <x v="2"/>
    <n v="5.79"/>
    <n v="0.11"/>
    <n v="2.84"/>
    <n v="8.0655999999999999"/>
    <x v="7"/>
    <s v="NA6WR"/>
    <n v="40"/>
    <s v="NA6WR-40"/>
  </r>
  <r>
    <x v="9"/>
    <x v="167"/>
    <n v="-6.58"/>
    <n v="2.95"/>
    <s v="#5"/>
    <x v="2"/>
    <n v="6.24"/>
    <n v="-0.34"/>
    <n v="3.29"/>
    <n v="10.8241"/>
    <x v="10"/>
    <s v="aj15WR"/>
    <n v="6"/>
    <s v="aj15WR-6"/>
  </r>
  <r>
    <x v="4"/>
    <x v="254"/>
    <s v="0.35-5.55"/>
    <n v="2.95"/>
    <s v="#31"/>
    <x v="2"/>
    <n v="5.55"/>
    <n v="0.35"/>
    <n v="2.6"/>
    <n v="6.76"/>
    <x v="7"/>
    <s v="NA7WR"/>
    <n v="37"/>
    <s v="NA7WR-37"/>
  </r>
  <r>
    <x v="7"/>
    <x v="278"/>
    <s v="0.01-5.89"/>
    <n v="2.95"/>
    <s v="#31"/>
    <x v="2"/>
    <n v="5.89"/>
    <n v="0.01"/>
    <n v="2.94"/>
    <n v="8.6435999999999993"/>
    <x v="7"/>
    <s v="NA1WR"/>
    <n v="36"/>
    <s v="NA1WR-36"/>
  </r>
  <r>
    <x v="10"/>
    <x v="271"/>
    <n v="-6.48"/>
    <n v="2.95"/>
    <s v="#28"/>
    <x v="2"/>
    <n v="6.19"/>
    <n v="-0.28999999999999998"/>
    <n v="3.24"/>
    <n v="10.4976"/>
    <x v="7"/>
    <s v="NA2WR"/>
    <n v="34"/>
    <s v="NA2WR-34"/>
  </r>
  <r>
    <x v="2"/>
    <x v="279"/>
    <n v="-5.9799999999999995"/>
    <n v="2.94"/>
    <s v="#18"/>
    <x v="2"/>
    <n v="5.93"/>
    <n v="-0.05"/>
    <n v="2.99"/>
    <n v="8.9400999999999993"/>
    <x v="7"/>
    <s v="NA9WR"/>
    <n v="41"/>
    <s v="NA9WR-41"/>
  </r>
  <r>
    <x v="15"/>
    <x v="250"/>
    <s v="0.48-5.40"/>
    <n v="2.94"/>
    <s v="#6"/>
    <x v="2"/>
    <n v="5.4"/>
    <n v="0.48"/>
    <n v="2.46"/>
    <n v="6.0515999999999996"/>
    <x v="7"/>
    <s v="NA10WR"/>
    <n v="44"/>
    <s v="NA10WR-44"/>
  </r>
  <r>
    <x v="15"/>
    <x v="280"/>
    <s v="0.10-5.78"/>
    <n v="2.94"/>
    <s v="#9"/>
    <x v="3"/>
    <n v="5.78"/>
    <n v="0.1"/>
    <n v="2.84"/>
    <n v="8.0655999999999999"/>
    <x v="7"/>
    <s v="NA10TE"/>
    <n v="15"/>
    <s v="NA10TE-15"/>
  </r>
  <r>
    <x v="12"/>
    <x v="180"/>
    <s v="0.44-5.44"/>
    <n v="2.94"/>
    <s v="#30"/>
    <x v="2"/>
    <n v="5.44"/>
    <n v="0.44"/>
    <n v="2.5"/>
    <n v="6.25"/>
    <x v="7"/>
    <s v="NA5WR"/>
    <n v="39"/>
    <s v="NA5WR-39"/>
  </r>
  <r>
    <x v="3"/>
    <x v="265"/>
    <s v="0.54-5.32"/>
    <n v="2.93"/>
    <s v="#30"/>
    <x v="3"/>
    <n v="5.32"/>
    <n v="0.54"/>
    <n v="2.39"/>
    <n v="5.7121000000000004"/>
    <x v="7"/>
    <s v="NA11TE"/>
    <n v="14"/>
    <s v="NA11TE-14"/>
  </r>
  <r>
    <x v="14"/>
    <x v="227"/>
    <s v="0.41-5.45"/>
    <n v="2.93"/>
    <s v="#3"/>
    <x v="2"/>
    <n v="5.45"/>
    <n v="0.41"/>
    <n v="2.52"/>
    <n v="6.3503999999999996"/>
    <x v="7"/>
    <s v="NA4WR"/>
    <n v="38"/>
    <s v="NA4WR-38"/>
  </r>
  <r>
    <x v="5"/>
    <x v="268"/>
    <s v="0.45-5.41"/>
    <n v="2.93"/>
    <s v="#28"/>
    <x v="1"/>
    <n v="5.41"/>
    <n v="0.45"/>
    <n v="2.48"/>
    <n v="6.1504000000000003"/>
    <x v="7"/>
    <s v="NA13RB"/>
    <n v="23"/>
    <s v="NA13RB-23"/>
  </r>
  <r>
    <x v="15"/>
    <x v="244"/>
    <s v="0.97-4.89"/>
    <n v="2.93"/>
    <s v="#20"/>
    <x v="2"/>
    <n v="4.8899999999999997"/>
    <n v="0.97"/>
    <n v="1.96"/>
    <n v="3.8416000000000001"/>
    <x v="7"/>
    <s v="NA10WR"/>
    <n v="45"/>
    <s v="NA10WR-45"/>
  </r>
  <r>
    <x v="10"/>
    <x v="240"/>
    <n v="-5.92"/>
    <n v="2.93"/>
    <s v="#27"/>
    <x v="2"/>
    <n v="5.89"/>
    <n v="-0.03"/>
    <n v="2.96"/>
    <n v="8.7615999999999996"/>
    <x v="7"/>
    <s v="NA2WR"/>
    <n v="35"/>
    <s v="NA2WR-35"/>
  </r>
  <r>
    <x v="8"/>
    <x v="245"/>
    <s v="0.06-5.80"/>
    <n v="2.93"/>
    <s v="#12"/>
    <x v="2"/>
    <n v="5.8"/>
    <n v="0.06"/>
    <n v="2.87"/>
    <n v="8.2369000000000003"/>
    <x v="7"/>
    <s v="NA6WR"/>
    <n v="41"/>
    <s v="NA6WR-41"/>
  </r>
  <r>
    <x v="9"/>
    <x v="256"/>
    <s v="0.65-5.21"/>
    <n v="2.93"/>
    <s v="#25"/>
    <x v="3"/>
    <n v="5.21"/>
    <n v="0.65"/>
    <n v="2.2799999999999998"/>
    <n v="5.1984000000000004"/>
    <x v="7"/>
    <s v="NA15TE"/>
    <n v="15"/>
    <s v="NA15TE-15"/>
  </r>
  <r>
    <x v="4"/>
    <x v="145"/>
    <s v="0.99-4.85"/>
    <n v="2.92"/>
    <s v="#29"/>
    <x v="3"/>
    <n v="4.8499999999999996"/>
    <n v="0.99"/>
    <n v="1.93"/>
    <n v="3.7248999999999999"/>
    <x v="2"/>
    <s v="devon7TE"/>
    <n v="2"/>
    <s v="devon7TE-2"/>
  </r>
  <r>
    <x v="15"/>
    <x v="251"/>
    <n v="-7.98"/>
    <n v="2.92"/>
    <s v="#6"/>
    <x v="3"/>
    <n v="6.91"/>
    <n v="-1.07"/>
    <n v="3.99"/>
    <n v="15.9201"/>
    <x v="7"/>
    <s v="NA10TE"/>
    <n v="16"/>
    <s v="NA10TE-16"/>
  </r>
  <r>
    <x v="15"/>
    <x v="223"/>
    <s v="0.08-5.76"/>
    <n v="2.92"/>
    <s v="#12"/>
    <x v="1"/>
    <n v="5.76"/>
    <n v="0.08"/>
    <n v="2.84"/>
    <n v="8.0655999999999999"/>
    <x v="7"/>
    <s v="NA10RB"/>
    <n v="22"/>
    <s v="NA10RB-22"/>
  </r>
  <r>
    <x v="12"/>
    <x v="239"/>
    <s v="0.18-5.66"/>
    <n v="2.92"/>
    <s v="#29"/>
    <x v="2"/>
    <n v="5.66"/>
    <n v="0.18"/>
    <n v="2.74"/>
    <n v="7.5076000000000001"/>
    <x v="7"/>
    <s v="NA5WR"/>
    <n v="40"/>
    <s v="NA5WR-40"/>
  </r>
  <r>
    <x v="1"/>
    <x v="239"/>
    <s v="0.23-5.61"/>
    <n v="2.92"/>
    <s v="#30"/>
    <x v="2"/>
    <n v="5.61"/>
    <n v="0.23"/>
    <n v="2.69"/>
    <n v="7.2361000000000004"/>
    <x v="7"/>
    <s v="NA16WR"/>
    <n v="46"/>
    <s v="NA16WR-46"/>
  </r>
  <r>
    <x v="9"/>
    <x v="274"/>
    <s v="0.60-5.24"/>
    <n v="2.92"/>
    <s v="#31"/>
    <x v="3"/>
    <n v="5.24"/>
    <n v="0.6"/>
    <n v="2.3199999999999998"/>
    <n v="5.3823999999999996"/>
    <x v="7"/>
    <s v="NA15TE"/>
    <n v="16"/>
    <s v="NA15TE-16"/>
  </r>
  <r>
    <x v="14"/>
    <x v="167"/>
    <n v="-7.32"/>
    <n v="2.92"/>
    <s v="#11"/>
    <x v="2"/>
    <n v="6.58"/>
    <n v="-0.74"/>
    <n v="3.66"/>
    <n v="13.3956"/>
    <x v="10"/>
    <s v="aj4WR"/>
    <n v="6"/>
    <s v="aj4WR-6"/>
  </r>
  <r>
    <x v="11"/>
    <x v="277"/>
    <s v="0.03-5.81"/>
    <n v="2.92"/>
    <s v="#6"/>
    <x v="2"/>
    <n v="5.81"/>
    <n v="0.03"/>
    <n v="2.89"/>
    <n v="8.3521000000000001"/>
    <x v="7"/>
    <s v="NA14WR"/>
    <n v="45"/>
    <s v="NA14WR-45"/>
  </r>
  <r>
    <x v="11"/>
    <x v="271"/>
    <s v="0.13-5.71"/>
    <n v="2.92"/>
    <s v="#16"/>
    <x v="2"/>
    <n v="5.71"/>
    <n v="0.13"/>
    <n v="2.79"/>
    <n v="7.7840999999999996"/>
    <x v="7"/>
    <s v="NA14WR"/>
    <n v="46"/>
    <s v="NA14WR-46"/>
  </r>
  <r>
    <x v="11"/>
    <x v="255"/>
    <s v="0.07-5.75"/>
    <n v="2.91"/>
    <s v="#19"/>
    <x v="3"/>
    <n v="5.75"/>
    <n v="7.0000000000000007E-2"/>
    <n v="2.84"/>
    <n v="8.0655999999999999"/>
    <x v="7"/>
    <s v="NA14TE"/>
    <n v="16"/>
    <s v="NA14TE-16"/>
  </r>
  <r>
    <x v="16"/>
    <x v="286"/>
    <n v="-6.58"/>
    <n v="2.91"/>
    <s v="#2"/>
    <x v="3"/>
    <n v="6.2"/>
    <n v="-0.38"/>
    <n v="3.29"/>
    <n v="10.8241"/>
    <x v="7"/>
    <s v="NA3TE"/>
    <n v="13"/>
    <s v="NA3TE-13"/>
  </r>
  <r>
    <x v="1"/>
    <x v="280"/>
    <s v="0.13-5.69"/>
    <n v="2.91"/>
    <s v="#24"/>
    <x v="3"/>
    <n v="5.69"/>
    <n v="0.13"/>
    <n v="2.78"/>
    <n v="7.7283999999999997"/>
    <x v="7"/>
    <s v="NA16TE"/>
    <n v="16"/>
    <s v="NA16TE-16"/>
  </r>
  <r>
    <x v="1"/>
    <x v="270"/>
    <s v="0.20-5.62"/>
    <n v="2.91"/>
    <s v="#27"/>
    <x v="2"/>
    <n v="5.62"/>
    <n v="0.2"/>
    <n v="2.71"/>
    <n v="7.3441000000000001"/>
    <x v="7"/>
    <s v="NA16WR"/>
    <n v="47"/>
    <s v="NA16WR-47"/>
  </r>
  <r>
    <x v="13"/>
    <x v="254"/>
    <n v="-6.12"/>
    <n v="2.91"/>
    <s v="#15"/>
    <x v="2"/>
    <n v="5.97"/>
    <n v="-0.15"/>
    <n v="3.06"/>
    <n v="9.3635999999999999"/>
    <x v="7"/>
    <s v="NA8WR"/>
    <n v="38"/>
    <s v="NA8WR-38"/>
  </r>
  <r>
    <x v="2"/>
    <x v="254"/>
    <s v="0.22-5.60"/>
    <n v="2.91"/>
    <s v="#32"/>
    <x v="2"/>
    <n v="5.6"/>
    <n v="0.22"/>
    <n v="2.69"/>
    <n v="7.2361000000000004"/>
    <x v="7"/>
    <s v="NA9WR"/>
    <n v="42"/>
    <s v="NA9WR-42"/>
  </r>
  <r>
    <x v="0"/>
    <x v="163"/>
    <s v="1.23-4.59"/>
    <n v="2.91"/>
    <s v="#28"/>
    <x v="1"/>
    <n v="4.59"/>
    <n v="1.23"/>
    <n v="1.68"/>
    <n v="2.8224"/>
    <x v="9"/>
    <s v="seth17RB"/>
    <n v="7"/>
    <s v="seth17RB-7"/>
  </r>
  <r>
    <x v="10"/>
    <x v="196"/>
    <n v="-6.22"/>
    <n v="2.91"/>
    <s v="#32"/>
    <x v="3"/>
    <n v="6.02"/>
    <n v="-0.2"/>
    <n v="3.11"/>
    <n v="9.6721000000000004"/>
    <x v="4"/>
    <s v="scott2TE"/>
    <n v="2"/>
    <s v="scott2TE-2"/>
  </r>
  <r>
    <x v="16"/>
    <x v="263"/>
    <s v="0.41-5.41"/>
    <n v="2.91"/>
    <s v="#10"/>
    <x v="3"/>
    <n v="5.41"/>
    <n v="0.41"/>
    <n v="2.5"/>
    <n v="6.25"/>
    <x v="7"/>
    <s v="NA3TE"/>
    <n v="14"/>
    <s v="NA3TE-14"/>
  </r>
  <r>
    <x v="9"/>
    <x v="150"/>
    <s v="0.27-5.53"/>
    <n v="2.9"/>
    <s v="#12"/>
    <x v="1"/>
    <n v="5.53"/>
    <n v="0.27"/>
    <n v="2.63"/>
    <n v="6.9169"/>
    <x v="7"/>
    <s v="NA15RB"/>
    <n v="23"/>
    <s v="NA15RB-23"/>
  </r>
  <r>
    <x v="14"/>
    <x v="268"/>
    <s v="0.44-5.36"/>
    <n v="2.9"/>
    <s v="#26"/>
    <x v="1"/>
    <n v="5.36"/>
    <n v="0.44"/>
    <n v="2.46"/>
    <n v="6.0515999999999996"/>
    <x v="7"/>
    <s v="NA4RB"/>
    <n v="22"/>
    <s v="NA4RB-22"/>
  </r>
  <r>
    <x v="3"/>
    <x v="256"/>
    <s v="0.25-5.55"/>
    <n v="2.9"/>
    <s v="#1"/>
    <x v="3"/>
    <n v="5.55"/>
    <n v="0.25"/>
    <n v="2.65"/>
    <n v="7.0225"/>
    <x v="7"/>
    <s v="NA11TE"/>
    <n v="15"/>
    <s v="NA11TE-15"/>
  </r>
  <r>
    <x v="1"/>
    <x v="272"/>
    <s v="0.54-5.26"/>
    <n v="2.9"/>
    <s v="#14"/>
    <x v="3"/>
    <n v="5.26"/>
    <n v="0.54"/>
    <n v="2.36"/>
    <n v="5.5696000000000003"/>
    <x v="7"/>
    <s v="NA16TE"/>
    <n v="17"/>
    <s v="NA16TE-17"/>
  </r>
  <r>
    <x v="5"/>
    <x v="255"/>
    <s v="0.00-5.78"/>
    <n v="2.89"/>
    <s v="#15"/>
    <x v="3"/>
    <n v="5.78"/>
    <n v="0"/>
    <n v="2.89"/>
    <n v="8.3521000000000001"/>
    <x v="7"/>
    <s v="NA13TE"/>
    <n v="17"/>
    <s v="NA13TE-17"/>
  </r>
  <r>
    <x v="8"/>
    <x v="262"/>
    <s v="0.08-5.70"/>
    <n v="2.89"/>
    <s v="#25"/>
    <x v="2"/>
    <n v="5.7"/>
    <n v="0.08"/>
    <n v="2.81"/>
    <n v="7.8960999999999997"/>
    <x v="7"/>
    <s v="NA6WR"/>
    <n v="42"/>
    <s v="NA6WR-42"/>
  </r>
  <r>
    <x v="4"/>
    <x v="268"/>
    <s v="0.44-5.34"/>
    <n v="2.89"/>
    <s v="#18"/>
    <x v="1"/>
    <n v="5.34"/>
    <n v="0.44"/>
    <n v="2.4500000000000002"/>
    <n v="6.0025000000000004"/>
    <x v="7"/>
    <s v="NA7RB"/>
    <n v="20"/>
    <s v="NA7RB-20"/>
  </r>
  <r>
    <x v="4"/>
    <x v="274"/>
    <s v="0.31-5.47"/>
    <n v="2.89"/>
    <s v="#30"/>
    <x v="3"/>
    <n v="5.47"/>
    <n v="0.31"/>
    <n v="2.58"/>
    <n v="6.6563999999999997"/>
    <x v="7"/>
    <s v="NA7TE"/>
    <n v="17"/>
    <s v="NA7TE-17"/>
  </r>
  <r>
    <x v="13"/>
    <x v="157"/>
    <s v="0.21-5.57"/>
    <n v="2.89"/>
    <s v="#19"/>
    <x v="3"/>
    <n v="5.57"/>
    <n v="0.21"/>
    <n v="2.68"/>
    <n v="7.1824000000000003"/>
    <x v="7"/>
    <s v="NA8TE"/>
    <n v="13"/>
    <s v="NA8TE-13"/>
  </r>
  <r>
    <x v="4"/>
    <x v="240"/>
    <s v="0.44-5.34"/>
    <n v="2.89"/>
    <s v="#20"/>
    <x v="2"/>
    <n v="5.34"/>
    <n v="0.44"/>
    <n v="2.4500000000000002"/>
    <n v="6.0025000000000004"/>
    <x v="7"/>
    <s v="NA7WR"/>
    <n v="38"/>
    <s v="NA7WR-38"/>
  </r>
  <r>
    <x v="9"/>
    <x v="271"/>
    <s v="0.06-5.72"/>
    <n v="2.89"/>
    <s v="#8"/>
    <x v="2"/>
    <n v="5.72"/>
    <n v="0.06"/>
    <n v="2.83"/>
    <n v="8.0089000000000006"/>
    <x v="7"/>
    <s v="NA15WR"/>
    <n v="49"/>
    <s v="NA15WR-49"/>
  </r>
  <r>
    <x v="14"/>
    <x v="287"/>
    <s v="0.46-5.32"/>
    <n v="2.89"/>
    <s v="#26"/>
    <x v="3"/>
    <n v="5.32"/>
    <n v="0.46"/>
    <n v="2.4300000000000002"/>
    <n v="5.9048999999999996"/>
    <x v="7"/>
    <s v="NA4TE"/>
    <n v="16"/>
    <s v="NA4TE-16"/>
  </r>
  <r>
    <x v="11"/>
    <x v="283"/>
    <n v="-6.62"/>
    <n v="2.88"/>
    <s v="#1"/>
    <x v="3"/>
    <n v="6.19"/>
    <n v="-0.43"/>
    <n v="3.31"/>
    <n v="10.956099999999999"/>
    <x v="7"/>
    <s v="NA14TE"/>
    <n v="17"/>
    <s v="NA14TE-17"/>
  </r>
  <r>
    <x v="5"/>
    <x v="288"/>
    <s v="0.23-5.53"/>
    <n v="2.88"/>
    <s v="#14"/>
    <x v="3"/>
    <n v="5.53"/>
    <n v="0.23"/>
    <n v="2.65"/>
    <n v="7.0225"/>
    <x v="7"/>
    <s v="NA13TE"/>
    <n v="18"/>
    <s v="NA13TE-18"/>
  </r>
  <r>
    <x v="12"/>
    <x v="213"/>
    <s v="0.25-5.51"/>
    <n v="2.88"/>
    <s v="#15"/>
    <x v="1"/>
    <n v="5.51"/>
    <n v="0.25"/>
    <n v="2.63"/>
    <n v="6.9169"/>
    <x v="7"/>
    <s v="NA5RB"/>
    <n v="19"/>
    <s v="NA5RB-19"/>
  </r>
  <r>
    <x v="4"/>
    <x v="280"/>
    <s v="0.16-5.60"/>
    <n v="2.88"/>
    <s v="#27"/>
    <x v="3"/>
    <n v="5.6"/>
    <n v="0.16"/>
    <n v="2.72"/>
    <n v="7.3983999999999996"/>
    <x v="7"/>
    <s v="NA7TE"/>
    <n v="18"/>
    <s v="NA7TE-18"/>
  </r>
  <r>
    <x v="11"/>
    <x v="280"/>
    <s v="0.18-5.58"/>
    <n v="2.88"/>
    <s v="#14"/>
    <x v="3"/>
    <n v="5.58"/>
    <n v="0.18"/>
    <n v="2.7"/>
    <n v="7.29"/>
    <x v="7"/>
    <s v="NA14TE"/>
    <n v="18"/>
    <s v="NA14TE-18"/>
  </r>
  <r>
    <x v="3"/>
    <x v="217"/>
    <s v="0.86-4.90"/>
    <n v="2.88"/>
    <s v="#3"/>
    <x v="3"/>
    <n v="4.9000000000000004"/>
    <n v="0.86"/>
    <n v="2.02"/>
    <n v="4.0804"/>
    <x v="7"/>
    <s v="NA11TE"/>
    <n v="16"/>
    <s v="NA11TE-16"/>
  </r>
  <r>
    <x v="11"/>
    <x v="289"/>
    <s v="0.36-5.40"/>
    <n v="2.88"/>
    <s v="#9"/>
    <x v="3"/>
    <n v="5.4"/>
    <n v="0.36"/>
    <n v="2.52"/>
    <n v="6.3503999999999996"/>
    <x v="7"/>
    <s v="NA14TE"/>
    <n v="19"/>
    <s v="NA14TE-19"/>
  </r>
  <r>
    <x v="7"/>
    <x v="264"/>
    <n v="-6.2200000000000006"/>
    <n v="2.88"/>
    <s v="#4"/>
    <x v="3"/>
    <n v="5.99"/>
    <n v="-0.23"/>
    <n v="3.11"/>
    <n v="9.6721000000000004"/>
    <x v="7"/>
    <s v="NA1TE"/>
    <n v="15"/>
    <s v="NA1TE-15"/>
  </r>
  <r>
    <x v="9"/>
    <x v="264"/>
    <s v="0.26-5.50"/>
    <n v="2.88"/>
    <s v="#11"/>
    <x v="3"/>
    <n v="5.5"/>
    <n v="0.26"/>
    <n v="2.62"/>
    <n v="6.8643999999999998"/>
    <x v="7"/>
    <s v="NA15TE"/>
    <n v="17"/>
    <s v="NA15TE-17"/>
  </r>
  <r>
    <x v="1"/>
    <x v="264"/>
    <s v="0.46-5.30"/>
    <n v="2.88"/>
    <s v="#26"/>
    <x v="3"/>
    <n v="5.3"/>
    <n v="0.46"/>
    <n v="2.42"/>
    <n v="5.8563999999999998"/>
    <x v="7"/>
    <s v="NA16TE"/>
    <n v="18"/>
    <s v="NA16TE-18"/>
  </r>
  <r>
    <x v="3"/>
    <x v="274"/>
    <s v="0.21-5.55"/>
    <n v="2.88"/>
    <s v="#19"/>
    <x v="3"/>
    <n v="5.55"/>
    <n v="0.21"/>
    <n v="2.67"/>
    <n v="7.1288999999999998"/>
    <x v="7"/>
    <s v="NA11TE"/>
    <n v="17"/>
    <s v="NA11TE-17"/>
  </r>
  <r>
    <x v="12"/>
    <x v="290"/>
    <n v="-6.08"/>
    <n v="2.88"/>
    <s v="#10"/>
    <x v="3"/>
    <n v="5.92"/>
    <n v="-0.16"/>
    <n v="3.04"/>
    <n v="9.2416"/>
    <x v="7"/>
    <s v="NA5TE"/>
    <n v="17"/>
    <s v="NA5TE-17"/>
  </r>
  <r>
    <x v="12"/>
    <x v="244"/>
    <s v="0.92-4.84"/>
    <n v="2.88"/>
    <s v="#20"/>
    <x v="2"/>
    <n v="4.84"/>
    <n v="0.92"/>
    <n v="1.96"/>
    <n v="3.8416000000000001"/>
    <x v="7"/>
    <s v="NA5WR"/>
    <n v="41"/>
    <s v="NA5WR-41"/>
  </r>
  <r>
    <x v="10"/>
    <x v="258"/>
    <s v="0.59-5.17"/>
    <n v="2.88"/>
    <s v="#22"/>
    <x v="2"/>
    <n v="5.17"/>
    <n v="0.59"/>
    <n v="2.29"/>
    <n v="5.2441000000000004"/>
    <x v="7"/>
    <s v="NA2WR"/>
    <n v="36"/>
    <s v="NA2WR-36"/>
  </r>
  <r>
    <x v="15"/>
    <x v="247"/>
    <s v="0.57-5.17"/>
    <n v="2.87"/>
    <s v="#13"/>
    <x v="2"/>
    <n v="5.17"/>
    <n v="0.56999999999999995"/>
    <n v="2.2999999999999998"/>
    <n v="5.29"/>
    <x v="7"/>
    <s v="NA10WR"/>
    <n v="46"/>
    <s v="NA10WR-46"/>
  </r>
  <r>
    <x v="6"/>
    <x v="276"/>
    <s v="0.10-5.64"/>
    <n v="2.87"/>
    <s v="#19"/>
    <x v="3"/>
    <n v="5.64"/>
    <n v="0.1"/>
    <n v="2.77"/>
    <n v="7.6729000000000003"/>
    <x v="7"/>
    <s v="NA12TE"/>
    <n v="16"/>
    <s v="NA12TE-16"/>
  </r>
  <r>
    <x v="2"/>
    <x v="233"/>
    <s v="0.26-5.48"/>
    <n v="2.87"/>
    <s v="#31"/>
    <x v="3"/>
    <n v="5.48"/>
    <n v="0.26"/>
    <n v="2.61"/>
    <n v="6.8121"/>
    <x v="7"/>
    <s v="NA9TE"/>
    <n v="11"/>
    <s v="NA9TE-11"/>
  </r>
  <r>
    <x v="5"/>
    <x v="167"/>
    <n v="-6.1"/>
    <n v="2.87"/>
    <s v="#13"/>
    <x v="2"/>
    <n v="5.92"/>
    <n v="-0.18"/>
    <n v="3.05"/>
    <n v="9.3025000000000002"/>
    <x v="10"/>
    <s v="aj13WR"/>
    <n v="6"/>
    <s v="aj13WR-6"/>
  </r>
  <r>
    <x v="5"/>
    <x v="240"/>
    <s v="0.58-5.16"/>
    <n v="2.87"/>
    <s v="#4"/>
    <x v="2"/>
    <n v="5.16"/>
    <n v="0.57999999999999996"/>
    <n v="2.29"/>
    <n v="5.2441000000000004"/>
    <x v="7"/>
    <s v="NA13WR"/>
    <n v="48"/>
    <s v="NA13WR-48"/>
  </r>
  <r>
    <x v="8"/>
    <x v="288"/>
    <s v="0.22-5.50"/>
    <n v="2.86"/>
    <s v="#9"/>
    <x v="3"/>
    <n v="5.5"/>
    <n v="0.22"/>
    <n v="2.64"/>
    <n v="6.9695999999999998"/>
    <x v="7"/>
    <s v="NA6TE"/>
    <n v="18"/>
    <s v="NA6TE-18"/>
  </r>
  <r>
    <x v="3"/>
    <x v="223"/>
    <s v="0.26-5.46"/>
    <n v="2.86"/>
    <s v="#22"/>
    <x v="1"/>
    <n v="5.46"/>
    <n v="0.26"/>
    <n v="2.6"/>
    <n v="6.76"/>
    <x v="7"/>
    <s v="NA11RB"/>
    <n v="21"/>
    <s v="NA11RB-21"/>
  </r>
  <r>
    <x v="8"/>
    <x v="253"/>
    <s v="0.17-5.55"/>
    <n v="2.86"/>
    <s v="#12"/>
    <x v="2"/>
    <n v="5.55"/>
    <n v="0.17"/>
    <n v="2.69"/>
    <n v="7.2361000000000004"/>
    <x v="7"/>
    <s v="NA6WR"/>
    <n v="43"/>
    <s v="NA6WR-43"/>
  </r>
  <r>
    <x v="15"/>
    <x v="265"/>
    <s v="0.46-5.24"/>
    <n v="2.85"/>
    <s v="#23"/>
    <x v="3"/>
    <n v="5.24"/>
    <n v="0.46"/>
    <n v="2.39"/>
    <n v="5.7121000000000004"/>
    <x v="7"/>
    <s v="NA10TE"/>
    <n v="17"/>
    <s v="NA10TE-17"/>
  </r>
  <r>
    <x v="9"/>
    <x v="285"/>
    <s v="0.17-5.53"/>
    <n v="2.85"/>
    <s v="#18"/>
    <x v="3"/>
    <n v="5.53"/>
    <n v="0.17"/>
    <n v="2.68"/>
    <n v="7.1824000000000003"/>
    <x v="7"/>
    <s v="NA15TE"/>
    <n v="18"/>
    <s v="NA15TE-18"/>
  </r>
  <r>
    <x v="11"/>
    <x v="239"/>
    <s v="0.13-5.57"/>
    <n v="2.85"/>
    <s v="#25"/>
    <x v="2"/>
    <n v="5.57"/>
    <n v="0.13"/>
    <n v="2.72"/>
    <n v="7.3983999999999996"/>
    <x v="7"/>
    <s v="NA14WR"/>
    <n v="47"/>
    <s v="NA14WR-47"/>
  </r>
  <r>
    <x v="6"/>
    <x v="167"/>
    <n v="-6.2"/>
    <n v="2.85"/>
    <s v="#26"/>
    <x v="2"/>
    <n v="5.95"/>
    <n v="-0.25"/>
    <n v="3.1"/>
    <n v="9.61"/>
    <x v="10"/>
    <s v="aj12WR"/>
    <n v="6"/>
    <s v="aj12WR-6"/>
  </r>
  <r>
    <x v="11"/>
    <x v="254"/>
    <s v="0.20-5.50"/>
    <n v="2.85"/>
    <s v="#7"/>
    <x v="2"/>
    <n v="5.5"/>
    <n v="0.2"/>
    <n v="2.65"/>
    <n v="7.0225"/>
    <x v="7"/>
    <s v="NA14WR"/>
    <n v="48"/>
    <s v="NA14WR-48"/>
  </r>
  <r>
    <x v="2"/>
    <x v="235"/>
    <n v="-6.08"/>
    <n v="2.85"/>
    <s v="#14"/>
    <x v="1"/>
    <n v="5.89"/>
    <n v="-0.19"/>
    <n v="3.04"/>
    <n v="9.2416"/>
    <x v="7"/>
    <s v="NA9RB"/>
    <n v="15"/>
    <s v="NA9RB-15"/>
  </r>
  <r>
    <x v="3"/>
    <x v="244"/>
    <s v="0.59-5.11"/>
    <n v="2.85"/>
    <s v="#13"/>
    <x v="2"/>
    <n v="5.1100000000000003"/>
    <n v="0.59"/>
    <n v="2.2599999999999998"/>
    <n v="5.1075999999999997"/>
    <x v="7"/>
    <s v="NA11WR"/>
    <n v="34"/>
    <s v="NA11WR-34"/>
  </r>
  <r>
    <x v="13"/>
    <x v="223"/>
    <s v="0.16-5.52"/>
    <n v="2.84"/>
    <s v="#19"/>
    <x v="1"/>
    <n v="5.52"/>
    <n v="0.16"/>
    <n v="2.68"/>
    <n v="7.1824000000000003"/>
    <x v="7"/>
    <s v="NA8RB"/>
    <n v="23"/>
    <s v="NA8RB-23"/>
  </r>
  <r>
    <x v="3"/>
    <x v="291"/>
    <n v="-6.5"/>
    <n v="2.84"/>
    <s v="#12"/>
    <x v="3"/>
    <n v="6.09"/>
    <n v="-0.41"/>
    <n v="3.25"/>
    <n v="10.5625"/>
    <x v="7"/>
    <s v="NA11TE"/>
    <n v="18"/>
    <s v="NA11TE-18"/>
  </r>
  <r>
    <x v="14"/>
    <x v="260"/>
    <s v="0.07-5.61"/>
    <n v="2.84"/>
    <s v="#9"/>
    <x v="2"/>
    <n v="5.61"/>
    <n v="7.0000000000000007E-2"/>
    <n v="2.77"/>
    <n v="7.6729000000000003"/>
    <x v="1"/>
    <s v="perry4WR"/>
    <n v="6"/>
    <s v="perry4WR-6"/>
  </r>
  <r>
    <x v="5"/>
    <x v="292"/>
    <s v="0.48-5.20"/>
    <n v="2.84"/>
    <s v="#28"/>
    <x v="2"/>
    <n v="5.2"/>
    <n v="0.48"/>
    <n v="2.36"/>
    <n v="5.5696000000000003"/>
    <x v="7"/>
    <s v="NA13WR"/>
    <n v="49"/>
    <s v="NA13WR-49"/>
  </r>
  <r>
    <x v="4"/>
    <x v="238"/>
    <s v="0.34-5.34"/>
    <n v="2.84"/>
    <s v="#2"/>
    <x v="1"/>
    <n v="5.34"/>
    <n v="0.34"/>
    <n v="2.5"/>
    <n v="6.25"/>
    <x v="7"/>
    <s v="NA7RB"/>
    <n v="21"/>
    <s v="NA7RB-21"/>
  </r>
  <r>
    <x v="2"/>
    <x v="217"/>
    <s v="0.77-4.89"/>
    <n v="2.83"/>
    <s v="#1"/>
    <x v="3"/>
    <n v="4.8899999999999997"/>
    <n v="0.77"/>
    <n v="2.06"/>
    <n v="4.2435999999999998"/>
    <x v="7"/>
    <s v="NA9TE"/>
    <n v="12"/>
    <s v="NA9TE-12"/>
  </r>
  <r>
    <x v="16"/>
    <x v="270"/>
    <s v="0.53-5.13"/>
    <n v="2.83"/>
    <s v="#9"/>
    <x v="2"/>
    <n v="5.13"/>
    <n v="0.53"/>
    <n v="2.2999999999999998"/>
    <n v="5.29"/>
    <x v="7"/>
    <s v="NA3WR"/>
    <n v="41"/>
    <s v="NA3WR-41"/>
  </r>
  <r>
    <x v="5"/>
    <x v="256"/>
    <s v="0.36-5.30"/>
    <n v="2.83"/>
    <s v="#16"/>
    <x v="3"/>
    <n v="5.3"/>
    <n v="0.36"/>
    <n v="2.4700000000000002"/>
    <n v="6.1009000000000002"/>
    <x v="7"/>
    <s v="NA13TE"/>
    <n v="19"/>
    <s v="NA13TE-19"/>
  </r>
  <r>
    <x v="8"/>
    <x v="281"/>
    <n v="-6.88"/>
    <n v="2.82"/>
    <s v="#15"/>
    <x v="3"/>
    <n v="6.26"/>
    <n v="-0.62"/>
    <n v="3.44"/>
    <n v="11.833600000000001"/>
    <x v="7"/>
    <s v="NA6TE"/>
    <n v="19"/>
    <s v="NA6TE-19"/>
  </r>
  <r>
    <x v="8"/>
    <x v="276"/>
    <s v="0.51-5.13"/>
    <n v="2.82"/>
    <s v="#20"/>
    <x v="3"/>
    <n v="5.13"/>
    <n v="0.51"/>
    <n v="2.31"/>
    <n v="5.3361000000000001"/>
    <x v="7"/>
    <s v="NA6TE"/>
    <n v="20"/>
    <s v="NA6TE-20"/>
  </r>
  <r>
    <x v="14"/>
    <x v="274"/>
    <s v="0.22-5.42"/>
    <n v="2.82"/>
    <s v="#15"/>
    <x v="3"/>
    <n v="5.42"/>
    <n v="0.22"/>
    <n v="2.6"/>
    <n v="6.76"/>
    <x v="7"/>
    <s v="NA4TE"/>
    <n v="17"/>
    <s v="NA4TE-17"/>
  </r>
  <r>
    <x v="3"/>
    <x v="247"/>
    <s v="0.62-5.00"/>
    <n v="2.81"/>
    <s v="#10"/>
    <x v="2"/>
    <n v="5"/>
    <n v="0.62"/>
    <n v="2.19"/>
    <n v="4.7961"/>
    <x v="7"/>
    <s v="NA11WR"/>
    <n v="35"/>
    <s v="NA11WR-35"/>
  </r>
  <r>
    <x v="5"/>
    <x v="276"/>
    <s v="0.05-5.57"/>
    <n v="2.81"/>
    <s v="#27"/>
    <x v="3"/>
    <n v="5.57"/>
    <n v="0.05"/>
    <n v="2.76"/>
    <n v="7.6176000000000004"/>
    <x v="7"/>
    <s v="NA13TE"/>
    <n v="20"/>
    <s v="NA13TE-20"/>
  </r>
  <r>
    <x v="12"/>
    <x v="283"/>
    <n v="-6.64"/>
    <n v="2.81"/>
    <s v="#3"/>
    <x v="3"/>
    <n v="6.13"/>
    <n v="-0.51"/>
    <n v="3.32"/>
    <n v="11.022399999999999"/>
    <x v="7"/>
    <s v="NA5TE"/>
    <n v="18"/>
    <s v="NA5TE-18"/>
  </r>
  <r>
    <x v="16"/>
    <x v="224"/>
    <s v="0.56-5.06"/>
    <n v="2.81"/>
    <s v="#3"/>
    <x v="3"/>
    <n v="5.0599999999999996"/>
    <n v="0.56000000000000005"/>
    <n v="2.25"/>
    <n v="5.0625"/>
    <x v="7"/>
    <s v="NA3TE"/>
    <n v="15"/>
    <s v="NA3TE-15"/>
  </r>
  <r>
    <x v="1"/>
    <x v="281"/>
    <n v="-7.34"/>
    <n v="2.8"/>
    <s v="#2"/>
    <x v="3"/>
    <n v="6.47"/>
    <n v="-0.87"/>
    <n v="3.67"/>
    <n v="13.4689"/>
    <x v="7"/>
    <s v="NA16TE"/>
    <n v="19"/>
    <s v="NA16TE-19"/>
  </r>
  <r>
    <x v="5"/>
    <x v="271"/>
    <n v="-5.66"/>
    <n v="2.8"/>
    <s v="#8"/>
    <x v="2"/>
    <n v="5.63"/>
    <n v="-0.03"/>
    <n v="2.83"/>
    <n v="8.0089000000000006"/>
    <x v="7"/>
    <s v="NA13WR"/>
    <n v="50"/>
    <s v="NA13WR-50"/>
  </r>
  <r>
    <x v="9"/>
    <x v="233"/>
    <s v="0.16-5.42"/>
    <n v="2.79"/>
    <s v="#30"/>
    <x v="3"/>
    <n v="5.42"/>
    <n v="0.16"/>
    <n v="2.63"/>
    <n v="6.9169"/>
    <x v="7"/>
    <s v="NA15TE"/>
    <n v="19"/>
    <s v="NA15TE-19"/>
  </r>
  <r>
    <x v="2"/>
    <x v="213"/>
    <s v="0.28-5.30"/>
    <n v="2.79"/>
    <s v="#12"/>
    <x v="1"/>
    <n v="5.3"/>
    <n v="0.28000000000000003"/>
    <n v="2.5099999999999998"/>
    <n v="6.3000999999999996"/>
    <x v="7"/>
    <s v="NA9RB"/>
    <n v="16"/>
    <s v="NA9RB-16"/>
  </r>
  <r>
    <x v="9"/>
    <x v="270"/>
    <s v="0.06-5.52"/>
    <n v="2.79"/>
    <s v="#10"/>
    <x v="2"/>
    <n v="5.52"/>
    <n v="0.06"/>
    <n v="2.73"/>
    <n v="7.4528999999999996"/>
    <x v="7"/>
    <s v="NA15WR"/>
    <n v="50"/>
    <s v="NA15WR-50"/>
  </r>
  <r>
    <x v="6"/>
    <x v="289"/>
    <s v="0.30-5.28"/>
    <n v="2.79"/>
    <s v="#14"/>
    <x v="3"/>
    <n v="5.28"/>
    <n v="0.3"/>
    <n v="2.4900000000000002"/>
    <n v="6.2000999999999999"/>
    <x v="7"/>
    <s v="NA12TE"/>
    <n v="17"/>
    <s v="NA12TE-17"/>
  </r>
  <r>
    <x v="13"/>
    <x v="293"/>
    <n v="-5.8000000000000007"/>
    <n v="2.79"/>
    <s v="#21"/>
    <x v="2"/>
    <n v="5.69"/>
    <n v="-0.11"/>
    <n v="2.9"/>
    <n v="8.41"/>
    <x v="7"/>
    <s v="NA8WR"/>
    <n v="39"/>
    <s v="NA8WR-39"/>
  </r>
  <r>
    <x v="2"/>
    <x v="268"/>
    <s v="0.31-5.27"/>
    <n v="2.79"/>
    <s v="#30"/>
    <x v="1"/>
    <n v="5.27"/>
    <n v="0.31"/>
    <n v="2.48"/>
    <n v="6.1504000000000003"/>
    <x v="7"/>
    <s v="NA9RB"/>
    <n v="17"/>
    <s v="NA9RB-17"/>
  </r>
  <r>
    <x v="2"/>
    <x v="274"/>
    <s v="0.27-5.31"/>
    <n v="2.79"/>
    <s v="#15"/>
    <x v="3"/>
    <n v="5.31"/>
    <n v="0.27"/>
    <n v="2.52"/>
    <n v="6.3503999999999996"/>
    <x v="7"/>
    <s v="NA9TE"/>
    <n v="13"/>
    <s v="NA9TE-13"/>
  </r>
  <r>
    <x v="10"/>
    <x v="171"/>
    <s v="0.28-5.28"/>
    <n v="2.78"/>
    <s v="#12"/>
    <x v="2"/>
    <n v="5.28"/>
    <n v="0.28000000000000003"/>
    <n v="2.5"/>
    <n v="6.25"/>
    <x v="7"/>
    <s v="NA2WR"/>
    <n v="37"/>
    <s v="NA2WR-37"/>
  </r>
  <r>
    <x v="14"/>
    <x v="171"/>
    <s v="0.72-4.84"/>
    <n v="2.78"/>
    <s v="#27"/>
    <x v="2"/>
    <n v="4.84"/>
    <n v="0.72"/>
    <n v="2.06"/>
    <n v="4.2435999999999998"/>
    <x v="7"/>
    <s v="NA4WR"/>
    <n v="39"/>
    <s v="NA4WR-39"/>
  </r>
  <r>
    <x v="15"/>
    <x v="180"/>
    <s v="0.36-5.20"/>
    <n v="2.78"/>
    <s v="#31"/>
    <x v="2"/>
    <n v="5.2"/>
    <n v="0.36"/>
    <n v="2.42"/>
    <n v="5.8563999999999998"/>
    <x v="7"/>
    <s v="NA10WR"/>
    <n v="47"/>
    <s v="NA10WR-47"/>
  </r>
  <r>
    <x v="2"/>
    <x v="264"/>
    <s v="0.36-5.20"/>
    <n v="2.78"/>
    <s v="#26"/>
    <x v="3"/>
    <n v="5.2"/>
    <n v="0.36"/>
    <n v="2.42"/>
    <n v="5.8563999999999998"/>
    <x v="7"/>
    <s v="NA9TE"/>
    <n v="14"/>
    <s v="NA9TE-14"/>
  </r>
  <r>
    <x v="12"/>
    <x v="240"/>
    <s v="0.45-5.11"/>
    <n v="2.78"/>
    <s v="#11"/>
    <x v="2"/>
    <n v="5.1100000000000003"/>
    <n v="0.45"/>
    <n v="2.33"/>
    <n v="5.4288999999999996"/>
    <x v="7"/>
    <s v="NA5WR"/>
    <n v="42"/>
    <s v="NA5WR-42"/>
  </r>
  <r>
    <x v="1"/>
    <x v="240"/>
    <s v="0.45-5.11"/>
    <n v="2.78"/>
    <s v="#12"/>
    <x v="2"/>
    <n v="5.1100000000000003"/>
    <n v="0.45"/>
    <n v="2.33"/>
    <n v="5.4288999999999996"/>
    <x v="7"/>
    <s v="NA16WR"/>
    <n v="48"/>
    <s v="NA16WR-48"/>
  </r>
  <r>
    <x v="6"/>
    <x v="255"/>
    <s v="0.42-5.12"/>
    <n v="2.77"/>
    <s v="#13"/>
    <x v="3"/>
    <n v="5.12"/>
    <n v="0.42"/>
    <n v="2.35"/>
    <n v="5.5225"/>
    <x v="7"/>
    <s v="NA12TE"/>
    <n v="18"/>
    <s v="NA12TE-18"/>
  </r>
  <r>
    <x v="5"/>
    <x v="233"/>
    <s v="0.16-5.38"/>
    <n v="2.77"/>
    <s v="#31"/>
    <x v="3"/>
    <n v="5.38"/>
    <n v="0.16"/>
    <n v="2.61"/>
    <n v="6.8121"/>
    <x v="7"/>
    <s v="NA13TE"/>
    <n v="21"/>
    <s v="NA13TE-21"/>
  </r>
  <r>
    <x v="4"/>
    <x v="253"/>
    <n v="-6.58"/>
    <n v="2.77"/>
    <s v="#6"/>
    <x v="2"/>
    <n v="6.06"/>
    <n v="-0.52"/>
    <n v="3.29"/>
    <n v="10.8241"/>
    <x v="7"/>
    <s v="NA7WR"/>
    <n v="39"/>
    <s v="NA7WR-39"/>
  </r>
  <r>
    <x v="15"/>
    <x v="259"/>
    <n v="-5.9799999999999995"/>
    <n v="2.77"/>
    <s v="#21"/>
    <x v="3"/>
    <n v="5.76"/>
    <n v="-0.22"/>
    <n v="2.99"/>
    <n v="8.9400999999999993"/>
    <x v="7"/>
    <s v="NA10TE"/>
    <n v="18"/>
    <s v="NA10TE-18"/>
  </r>
  <r>
    <x v="3"/>
    <x v="290"/>
    <s v="0.54-5.00"/>
    <n v="2.77"/>
    <s v="#21"/>
    <x v="3"/>
    <n v="5"/>
    <n v="0.54"/>
    <n v="2.23"/>
    <n v="4.9729000000000001"/>
    <x v="7"/>
    <s v="NA11TE"/>
    <n v="19"/>
    <s v="NA11TE-19"/>
  </r>
  <r>
    <x v="2"/>
    <x v="294"/>
    <s v="0.18-5.36"/>
    <n v="2.77"/>
    <s v="#32"/>
    <x v="3"/>
    <n v="5.36"/>
    <n v="0.18"/>
    <n v="2.59"/>
    <n v="6.7081"/>
    <x v="7"/>
    <s v="NA9TE"/>
    <n v="15"/>
    <s v="NA9TE-15"/>
  </r>
  <r>
    <x v="11"/>
    <x v="265"/>
    <s v="0.37-5.15"/>
    <n v="2.76"/>
    <s v="#23"/>
    <x v="3"/>
    <n v="5.15"/>
    <n v="0.37"/>
    <n v="2.39"/>
    <n v="5.7121000000000004"/>
    <x v="7"/>
    <s v="NA14TE"/>
    <n v="20"/>
    <s v="NA14TE-20"/>
  </r>
  <r>
    <x v="13"/>
    <x v="253"/>
    <n v="-6.2"/>
    <n v="2.76"/>
    <s v="#1"/>
    <x v="2"/>
    <n v="5.86"/>
    <n v="-0.34"/>
    <n v="3.1"/>
    <n v="9.61"/>
    <x v="7"/>
    <s v="NA8WR"/>
    <n v="40"/>
    <s v="NA8WR-40"/>
  </r>
  <r>
    <x v="8"/>
    <x v="228"/>
    <n v="-6.22"/>
    <n v="2.76"/>
    <s v="#26"/>
    <x v="3"/>
    <n v="5.87"/>
    <n v="-0.35"/>
    <n v="3.11"/>
    <n v="9.6721000000000004"/>
    <x v="7"/>
    <s v="NA6TE"/>
    <n v="21"/>
    <s v="NA6TE-21"/>
  </r>
  <r>
    <x v="15"/>
    <x v="277"/>
    <n v="-5.78"/>
    <n v="2.76"/>
    <s v="#6"/>
    <x v="2"/>
    <n v="5.65"/>
    <n v="-0.13"/>
    <n v="2.89"/>
    <n v="8.3521000000000001"/>
    <x v="7"/>
    <s v="NA10WR"/>
    <n v="48"/>
    <s v="NA10WR-48"/>
  </r>
  <r>
    <x v="2"/>
    <x v="271"/>
    <s v="0.70-4.82"/>
    <n v="2.76"/>
    <s v="#25"/>
    <x v="2"/>
    <n v="4.82"/>
    <n v="0.7"/>
    <n v="2.06"/>
    <n v="4.2435999999999998"/>
    <x v="7"/>
    <s v="NA9WR"/>
    <n v="43"/>
    <s v="NA9WR-43"/>
  </r>
  <r>
    <x v="5"/>
    <x v="163"/>
    <s v="1.09-4.43"/>
    <n v="2.76"/>
    <s v="#13"/>
    <x v="1"/>
    <n v="4.43"/>
    <n v="1.0900000000000001"/>
    <n v="1.67"/>
    <n v="2.7888999999999999"/>
    <x v="9"/>
    <s v="seth13RB"/>
    <n v="7"/>
    <s v="seth13RB-7"/>
  </r>
  <r>
    <x v="10"/>
    <x v="256"/>
    <n v="-5.54"/>
    <n v="2.76"/>
    <s v="#1"/>
    <x v="3"/>
    <n v="5.53"/>
    <n v="-0.01"/>
    <n v="2.77"/>
    <n v="7.6729000000000003"/>
    <x v="7"/>
    <s v="NA2TE"/>
    <n v="16"/>
    <s v="NA2TE-16"/>
  </r>
  <r>
    <x v="3"/>
    <x v="255"/>
    <s v="0.50-5.00"/>
    <n v="2.75"/>
    <s v="#16"/>
    <x v="3"/>
    <n v="5"/>
    <n v="0.5"/>
    <n v="2.25"/>
    <n v="5.0625"/>
    <x v="7"/>
    <s v="NA11TE"/>
    <n v="20"/>
    <s v="NA11TE-20"/>
  </r>
  <r>
    <x v="14"/>
    <x v="267"/>
    <s v="0.14-5.36"/>
    <n v="2.75"/>
    <s v="#22"/>
    <x v="2"/>
    <n v="5.36"/>
    <n v="0.14000000000000001"/>
    <n v="2.61"/>
    <n v="6.8121"/>
    <x v="7"/>
    <s v="NA4WR"/>
    <n v="40"/>
    <s v="NA4WR-40"/>
  </r>
  <r>
    <x v="13"/>
    <x v="267"/>
    <s v="0.69-4.81"/>
    <n v="2.75"/>
    <s v="#26"/>
    <x v="2"/>
    <n v="4.8099999999999996"/>
    <n v="0.69"/>
    <n v="2.06"/>
    <n v="4.2435999999999998"/>
    <x v="7"/>
    <s v="NA8WR"/>
    <n v="41"/>
    <s v="NA8WR-41"/>
  </r>
  <r>
    <x v="0"/>
    <x v="280"/>
    <s v="0.03-5.47"/>
    <n v="2.75"/>
    <s v="#27"/>
    <x v="3"/>
    <n v="5.47"/>
    <n v="0.03"/>
    <n v="2.72"/>
    <n v="7.3983999999999996"/>
    <x v="7"/>
    <s v="NA17TE"/>
    <n v="17"/>
    <s v="NA17TE-17"/>
  </r>
  <r>
    <x v="14"/>
    <x v="264"/>
    <n v="-5.66"/>
    <n v="2.75"/>
    <s v="#23"/>
    <x v="3"/>
    <n v="5.58"/>
    <n v="-0.08"/>
    <n v="2.83"/>
    <n v="8.0089000000000006"/>
    <x v="7"/>
    <s v="NA4TE"/>
    <n v="18"/>
    <s v="NA4TE-18"/>
  </r>
  <r>
    <x v="0"/>
    <x v="228"/>
    <s v="0.11-5.39"/>
    <n v="2.75"/>
    <s v="#8"/>
    <x v="3"/>
    <n v="5.39"/>
    <n v="0.11"/>
    <n v="2.64"/>
    <n v="6.9695999999999998"/>
    <x v="7"/>
    <s v="NA17TE"/>
    <n v="18"/>
    <s v="NA17TE-18"/>
  </r>
  <r>
    <x v="7"/>
    <x v="244"/>
    <s v="0.76-4.74"/>
    <n v="2.75"/>
    <s v="#10"/>
    <x v="2"/>
    <n v="4.74"/>
    <n v="0.76"/>
    <n v="1.99"/>
    <n v="3.9601000000000002"/>
    <x v="7"/>
    <s v="NA1WR"/>
    <n v="37"/>
    <s v="NA1WR-37"/>
  </r>
  <r>
    <x v="11"/>
    <x v="247"/>
    <s v="0.55-4.93"/>
    <n v="2.74"/>
    <s v="#1"/>
    <x v="2"/>
    <n v="4.93"/>
    <n v="0.55000000000000004"/>
    <n v="2.19"/>
    <n v="4.7961"/>
    <x v="7"/>
    <s v="NA14WR"/>
    <n v="49"/>
    <s v="NA14WR-49"/>
  </r>
  <r>
    <x v="5"/>
    <x v="295"/>
    <s v="0.10-5.38"/>
    <n v="2.74"/>
    <s v="#4"/>
    <x v="3"/>
    <n v="5.38"/>
    <n v="0.1"/>
    <n v="2.64"/>
    <n v="6.9695999999999998"/>
    <x v="7"/>
    <s v="NA13TE"/>
    <n v="22"/>
    <s v="NA13TE-22"/>
  </r>
  <r>
    <x v="4"/>
    <x v="264"/>
    <s v="0.11-5.37"/>
    <n v="2.74"/>
    <s v="#24"/>
    <x v="3"/>
    <n v="5.37"/>
    <n v="0.11"/>
    <n v="2.63"/>
    <n v="6.9169"/>
    <x v="7"/>
    <s v="NA7TE"/>
    <n v="19"/>
    <s v="NA7TE-19"/>
  </r>
  <r>
    <x v="14"/>
    <x v="256"/>
    <s v="0.20-5.28"/>
    <n v="2.74"/>
    <s v="#29"/>
    <x v="3"/>
    <n v="5.28"/>
    <n v="0.2"/>
    <n v="2.54"/>
    <n v="6.4516"/>
    <x v="7"/>
    <s v="NA4TE"/>
    <n v="19"/>
    <s v="NA4TE-19"/>
  </r>
  <r>
    <x v="6"/>
    <x v="263"/>
    <s v="0.31-5.17"/>
    <n v="2.74"/>
    <s v="#13"/>
    <x v="3"/>
    <n v="5.17"/>
    <n v="0.31"/>
    <n v="2.4300000000000002"/>
    <n v="5.9048999999999996"/>
    <x v="7"/>
    <s v="NA12TE"/>
    <n v="19"/>
    <s v="NA12TE-19"/>
  </r>
  <r>
    <x v="1"/>
    <x v="257"/>
    <n v="-6.04"/>
    <n v="2.73"/>
    <s v="#6"/>
    <x v="2"/>
    <n v="5.75"/>
    <n v="-0.28999999999999998"/>
    <n v="3.02"/>
    <n v="9.1204000000000001"/>
    <x v="7"/>
    <s v="NA16WR"/>
    <n v="49"/>
    <s v="NA16WR-49"/>
  </r>
  <r>
    <x v="4"/>
    <x v="247"/>
    <s v="0.56-4.90"/>
    <n v="2.73"/>
    <s v="#19"/>
    <x v="2"/>
    <n v="4.9000000000000004"/>
    <n v="0.56000000000000005"/>
    <n v="2.17"/>
    <n v="4.7088999999999999"/>
    <x v="7"/>
    <s v="NA7WR"/>
    <n v="40"/>
    <s v="NA7WR-40"/>
  </r>
  <r>
    <x v="2"/>
    <x v="273"/>
    <s v="0.16-5.30"/>
    <n v="2.73"/>
    <s v="#31"/>
    <x v="2"/>
    <n v="5.3"/>
    <n v="0.16"/>
    <n v="2.57"/>
    <n v="6.6048999999999998"/>
    <x v="7"/>
    <s v="NA9WR"/>
    <n v="44"/>
    <s v="NA9WR-44"/>
  </r>
  <r>
    <x v="5"/>
    <x v="223"/>
    <s v="0.05-5.41"/>
    <n v="2.73"/>
    <s v="#7"/>
    <x v="1"/>
    <n v="5.41"/>
    <n v="0.05"/>
    <n v="2.68"/>
    <n v="7.1824000000000003"/>
    <x v="7"/>
    <s v="NA13RB"/>
    <n v="24"/>
    <s v="NA13RB-24"/>
  </r>
  <r>
    <x v="4"/>
    <x v="259"/>
    <n v="-5.96"/>
    <n v="2.73"/>
    <s v="#28"/>
    <x v="3"/>
    <n v="5.71"/>
    <n v="-0.25"/>
    <n v="2.98"/>
    <n v="8.8803999999999998"/>
    <x v="7"/>
    <s v="NA7TE"/>
    <n v="20"/>
    <s v="NA7TE-20"/>
  </r>
  <r>
    <x v="4"/>
    <x v="228"/>
    <s v="0.17-5.29"/>
    <n v="2.73"/>
    <s v="#16"/>
    <x v="3"/>
    <n v="5.29"/>
    <n v="0.17"/>
    <n v="2.56"/>
    <n v="6.5536000000000003"/>
    <x v="7"/>
    <s v="NA7TE"/>
    <n v="21"/>
    <s v="NA7TE-21"/>
  </r>
  <r>
    <x v="9"/>
    <x v="263"/>
    <s v="0.46-5.00"/>
    <n v="2.73"/>
    <s v="#32"/>
    <x v="3"/>
    <n v="5"/>
    <n v="0.46"/>
    <n v="2.27"/>
    <n v="5.1528999999999998"/>
    <x v="7"/>
    <s v="NA15TE"/>
    <n v="20"/>
    <s v="NA15TE-20"/>
  </r>
  <r>
    <x v="6"/>
    <x v="218"/>
    <n v="-8.8800000000000008"/>
    <n v="2.72"/>
    <s v="#20"/>
    <x v="2"/>
    <n v="7.16"/>
    <n v="-1.72"/>
    <n v="4.4400000000000004"/>
    <n v="19.7136"/>
    <x v="7"/>
    <s v="NA12WR"/>
    <n v="48"/>
    <s v="NA12WR-48"/>
  </r>
  <r>
    <x v="15"/>
    <x v="273"/>
    <s v="0.09-5.35"/>
    <n v="2.72"/>
    <s v="#15"/>
    <x v="2"/>
    <n v="5.35"/>
    <n v="0.09"/>
    <n v="2.63"/>
    <n v="6.9169"/>
    <x v="7"/>
    <s v="NA10WR"/>
    <n v="49"/>
    <s v="NA10WR-49"/>
  </r>
  <r>
    <x v="3"/>
    <x v="214"/>
    <n v="-7.1"/>
    <n v="2.72"/>
    <s v="#1"/>
    <x v="2"/>
    <n v="6.27"/>
    <n v="-0.83"/>
    <n v="3.55"/>
    <n v="12.602499999999999"/>
    <x v="7"/>
    <s v="NA11WR"/>
    <n v="36"/>
    <s v="NA11WR-36"/>
  </r>
  <r>
    <x v="10"/>
    <x v="252"/>
    <s v="1.54-3.90"/>
    <n v="2.72"/>
    <s v="#19"/>
    <x v="0"/>
    <n v="3.9"/>
    <n v="1.54"/>
    <n v="1.18"/>
    <n v="1.3924000000000001"/>
    <x v="7"/>
    <s v="NA2QB"/>
    <n v="17"/>
    <s v="NA2QB-17"/>
  </r>
  <r>
    <x v="6"/>
    <x v="274"/>
    <s v="0.57-4.87"/>
    <n v="2.72"/>
    <s v="#25"/>
    <x v="3"/>
    <n v="4.87"/>
    <n v="0.56999999999999995"/>
    <n v="2.15"/>
    <n v="4.6224999999999996"/>
    <x v="7"/>
    <s v="NA12TE"/>
    <n v="20"/>
    <s v="NA12TE-20"/>
  </r>
  <r>
    <x v="15"/>
    <x v="290"/>
    <n v="-6.08"/>
    <n v="2.72"/>
    <s v="#10"/>
    <x v="3"/>
    <n v="5.76"/>
    <n v="-0.32"/>
    <n v="3.04"/>
    <n v="9.2416"/>
    <x v="7"/>
    <s v="NA10TE"/>
    <n v="19"/>
    <s v="NA10TE-19"/>
  </r>
  <r>
    <x v="3"/>
    <x v="229"/>
    <s v="0.06-5.38"/>
    <n v="2.72"/>
    <s v="#31"/>
    <x v="3"/>
    <n v="5.38"/>
    <n v="0.06"/>
    <n v="2.66"/>
    <n v="7.0755999999999997"/>
    <x v="7"/>
    <s v="NA11TE"/>
    <n v="21"/>
    <s v="NA11TE-21"/>
  </r>
  <r>
    <x v="16"/>
    <x v="296"/>
    <s v="0.10-5.34"/>
    <n v="2.72"/>
    <s v="#2"/>
    <x v="1"/>
    <n v="5.34"/>
    <n v="0.1"/>
    <n v="2.62"/>
    <n v="6.8643999999999998"/>
    <x v="7"/>
    <s v="NA3RB"/>
    <n v="24"/>
    <s v="NA3RB-24"/>
  </r>
  <r>
    <x v="1"/>
    <x v="263"/>
    <s v="0.23-5.21"/>
    <n v="2.72"/>
    <s v="#1"/>
    <x v="3"/>
    <n v="5.21"/>
    <n v="0.23"/>
    <n v="2.4900000000000002"/>
    <n v="6.2000999999999999"/>
    <x v="7"/>
    <s v="NA16TE"/>
    <n v="20"/>
    <s v="NA16TE-20"/>
  </r>
  <r>
    <x v="10"/>
    <x v="195"/>
    <s v="0.76-4.66"/>
    <n v="2.71"/>
    <s v="#14"/>
    <x v="1"/>
    <n v="4.66"/>
    <n v="0.76"/>
    <n v="1.95"/>
    <n v="3.8025000000000002"/>
    <x v="1"/>
    <s v="perry2RB"/>
    <n v="4"/>
    <s v="perry2RB-4"/>
  </r>
  <r>
    <x v="10"/>
    <x v="257"/>
    <s v="0.01-5.41"/>
    <n v="2.71"/>
    <s v="#14"/>
    <x v="2"/>
    <n v="5.41"/>
    <n v="0.01"/>
    <n v="2.7"/>
    <n v="7.29"/>
    <x v="7"/>
    <s v="NA2WR"/>
    <n v="38"/>
    <s v="NA2WR-38"/>
  </r>
  <r>
    <x v="0"/>
    <x v="257"/>
    <s v="0.19-5.23"/>
    <n v="2.71"/>
    <s v="#3"/>
    <x v="2"/>
    <n v="5.23"/>
    <n v="0.19"/>
    <n v="2.52"/>
    <n v="6.3503999999999996"/>
    <x v="7"/>
    <s v="NA17WR"/>
    <n v="48"/>
    <s v="NA17WR-48"/>
  </r>
  <r>
    <x v="2"/>
    <x v="276"/>
    <s v="0.04-5.38"/>
    <n v="2.71"/>
    <s v="#32"/>
    <x v="3"/>
    <n v="5.38"/>
    <n v="0.04"/>
    <n v="2.67"/>
    <n v="7.1288999999999998"/>
    <x v="7"/>
    <s v="NA9TE"/>
    <n v="16"/>
    <s v="NA9TE-16"/>
  </r>
  <r>
    <x v="13"/>
    <x v="283"/>
    <n v="-5.5"/>
    <n v="2.71"/>
    <s v="#16"/>
    <x v="3"/>
    <n v="5.46"/>
    <n v="-0.04"/>
    <n v="2.75"/>
    <n v="7.5625"/>
    <x v="7"/>
    <s v="NA8TE"/>
    <n v="14"/>
    <s v="NA8TE-14"/>
  </r>
  <r>
    <x v="14"/>
    <x v="207"/>
    <n v="-5.48"/>
    <n v="2.71"/>
    <s v="#28"/>
    <x v="2"/>
    <n v="5.45"/>
    <n v="-0.03"/>
    <n v="2.74"/>
    <n v="7.5076000000000001"/>
    <x v="7"/>
    <s v="NA4WR"/>
    <n v="41"/>
    <s v="NA4WR-41"/>
  </r>
  <r>
    <x v="4"/>
    <x v="267"/>
    <s v="0.71-4.69"/>
    <n v="2.7"/>
    <s v="#1"/>
    <x v="2"/>
    <n v="4.6900000000000004"/>
    <n v="0.71"/>
    <n v="1.99"/>
    <n v="3.9601000000000002"/>
    <x v="7"/>
    <s v="NA7WR"/>
    <n v="41"/>
    <s v="NA7WR-41"/>
  </r>
  <r>
    <x v="3"/>
    <x v="285"/>
    <s v="0.09-5.31"/>
    <n v="2.7"/>
    <s v="#21"/>
    <x v="3"/>
    <n v="5.31"/>
    <n v="0.09"/>
    <n v="2.61"/>
    <n v="6.8121"/>
    <x v="7"/>
    <s v="NA11TE"/>
    <n v="22"/>
    <s v="NA11TE-22"/>
  </r>
  <r>
    <x v="0"/>
    <x v="233"/>
    <s v="0.07-5.33"/>
    <n v="2.7"/>
    <s v="#30"/>
    <x v="3"/>
    <n v="5.33"/>
    <n v="7.0000000000000007E-2"/>
    <n v="2.63"/>
    <n v="6.9169"/>
    <x v="7"/>
    <s v="NA17TE"/>
    <n v="19"/>
    <s v="NA17TE-19"/>
  </r>
  <r>
    <x v="4"/>
    <x v="260"/>
    <s v="0.41-4.99"/>
    <n v="2.7"/>
    <s v="#3"/>
    <x v="2"/>
    <n v="4.99"/>
    <n v="0.41"/>
    <n v="2.29"/>
    <n v="5.2441000000000004"/>
    <x v="1"/>
    <s v="perry7WR"/>
    <n v="5"/>
    <s v="perry7WR-5"/>
  </r>
  <r>
    <x v="0"/>
    <x v="260"/>
    <s v="0.41-4.99"/>
    <n v="2.7"/>
    <s v="#3"/>
    <x v="2"/>
    <n v="4.99"/>
    <n v="0.41"/>
    <n v="2.29"/>
    <n v="5.2441000000000004"/>
    <x v="1"/>
    <s v="perry17WR"/>
    <n v="6"/>
    <s v="perry17WR-6"/>
  </r>
  <r>
    <x v="11"/>
    <x v="264"/>
    <s v="0.23-5.17"/>
    <n v="2.7"/>
    <s v="#13"/>
    <x v="3"/>
    <n v="5.17"/>
    <n v="0.23"/>
    <n v="2.4700000000000002"/>
    <n v="6.1009000000000002"/>
    <x v="7"/>
    <s v="NA14TE"/>
    <n v="21"/>
    <s v="NA14TE-21"/>
  </r>
  <r>
    <x v="1"/>
    <x v="167"/>
    <n v="-6"/>
    <n v="2.7"/>
    <s v="#4"/>
    <x v="2"/>
    <n v="5.7"/>
    <n v="-0.3"/>
    <n v="3"/>
    <n v="9"/>
    <x v="10"/>
    <s v="aj16WR"/>
    <n v="6"/>
    <s v="aj16WR-6"/>
  </r>
  <r>
    <x v="10"/>
    <x v="173"/>
    <s v="0.10-5.30"/>
    <n v="2.7"/>
    <s v="#2"/>
    <x v="1"/>
    <n v="5.3"/>
    <n v="0.1"/>
    <n v="2.6"/>
    <n v="6.76"/>
    <x v="7"/>
    <s v="NA2RB"/>
    <n v="20"/>
    <s v="NA2RB-20"/>
  </r>
  <r>
    <x v="5"/>
    <x v="290"/>
    <s v="0.43-4.97"/>
    <n v="2.7"/>
    <s v="#18"/>
    <x v="3"/>
    <n v="4.97"/>
    <n v="0.43"/>
    <n v="2.27"/>
    <n v="5.1528999999999998"/>
    <x v="7"/>
    <s v="NA13TE"/>
    <n v="23"/>
    <s v="NA13TE-23"/>
  </r>
  <r>
    <x v="7"/>
    <x v="263"/>
    <s v="0.52-4.88"/>
    <n v="2.7"/>
    <s v="#32"/>
    <x v="3"/>
    <n v="4.88"/>
    <n v="0.52"/>
    <n v="2.1800000000000002"/>
    <n v="4.7523999999999997"/>
    <x v="7"/>
    <s v="NA1TE"/>
    <n v="16"/>
    <s v="NA1TE-16"/>
  </r>
  <r>
    <x v="9"/>
    <x v="247"/>
    <s v="0.54-4.84"/>
    <n v="2.69"/>
    <s v="#20"/>
    <x v="2"/>
    <n v="4.84"/>
    <n v="0.54"/>
    <n v="2.15"/>
    <n v="4.6224999999999996"/>
    <x v="7"/>
    <s v="NA15WR"/>
    <n v="51"/>
    <s v="NA15WR-51"/>
  </r>
  <r>
    <x v="4"/>
    <x v="265"/>
    <n v="-6.12"/>
    <n v="2.69"/>
    <s v="#7"/>
    <x v="3"/>
    <n v="5.75"/>
    <n v="-0.37"/>
    <n v="3.06"/>
    <n v="9.3635999999999999"/>
    <x v="7"/>
    <s v="NA7TE"/>
    <n v="22"/>
    <s v="NA7TE-22"/>
  </r>
  <r>
    <x v="2"/>
    <x v="285"/>
    <s v="0.33-5.05"/>
    <n v="2.69"/>
    <s v="#20"/>
    <x v="3"/>
    <n v="5.05"/>
    <n v="0.33"/>
    <n v="2.36"/>
    <n v="5.5696000000000003"/>
    <x v="7"/>
    <s v="NA9TE"/>
    <n v="17"/>
    <s v="NA9TE-17"/>
  </r>
  <r>
    <x v="13"/>
    <x v="270"/>
    <n v="-5.8"/>
    <n v="2.69"/>
    <s v="#3"/>
    <x v="2"/>
    <n v="5.59"/>
    <n v="-0.21"/>
    <n v="2.9"/>
    <n v="8.41"/>
    <x v="7"/>
    <s v="NA8WR"/>
    <n v="42"/>
    <s v="NA8WR-42"/>
  </r>
  <r>
    <x v="2"/>
    <x v="180"/>
    <s v="0.28-5.10"/>
    <n v="2.69"/>
    <s v="#29"/>
    <x v="2"/>
    <n v="5.0999999999999996"/>
    <n v="0.28000000000000003"/>
    <n v="2.41"/>
    <n v="5.8080999999999996"/>
    <x v="7"/>
    <s v="NA9WR"/>
    <n v="45"/>
    <s v="NA9WR-45"/>
  </r>
  <r>
    <x v="16"/>
    <x v="290"/>
    <s v="0.49-4.89"/>
    <n v="2.69"/>
    <s v="#23"/>
    <x v="3"/>
    <n v="4.8899999999999997"/>
    <n v="0.49"/>
    <n v="2.2000000000000002"/>
    <n v="4.84"/>
    <x v="7"/>
    <s v="NA3TE"/>
    <n v="16"/>
    <s v="NA3TE-16"/>
  </r>
  <r>
    <x v="1"/>
    <x v="228"/>
    <n v="-6.2600000000000007"/>
    <n v="2.69"/>
    <s v="#10"/>
    <x v="3"/>
    <n v="5.82"/>
    <n v="-0.44"/>
    <n v="3.13"/>
    <n v="9.7969000000000008"/>
    <x v="7"/>
    <s v="NA16TE"/>
    <n v="21"/>
    <s v="NA16TE-21"/>
  </r>
  <r>
    <x v="6"/>
    <x v="163"/>
    <s v="1.03-4.35"/>
    <n v="2.69"/>
    <s v="#26"/>
    <x v="1"/>
    <n v="4.3499999999999996"/>
    <n v="1.03"/>
    <n v="1.66"/>
    <n v="2.7555999999999998"/>
    <x v="9"/>
    <s v="seth12RB"/>
    <n v="7"/>
    <s v="seth12RB-7"/>
  </r>
  <r>
    <x v="10"/>
    <x v="297"/>
    <n v="-6.1000000000000005"/>
    <n v="2.69"/>
    <s v="#23"/>
    <x v="1"/>
    <n v="5.74"/>
    <n v="-0.36"/>
    <n v="3.05"/>
    <n v="9.3025000000000002"/>
    <x v="7"/>
    <s v="NA2RB"/>
    <n v="21"/>
    <s v="NA2RB-21"/>
  </r>
  <r>
    <x v="10"/>
    <x v="261"/>
    <n v="-5.74"/>
    <n v="2.68"/>
    <s v="#23"/>
    <x v="2"/>
    <n v="5.55"/>
    <n v="-0.19"/>
    <n v="2.87"/>
    <n v="8.2369000000000003"/>
    <x v="7"/>
    <s v="NA2WR"/>
    <n v="39"/>
    <s v="NA2WR-39"/>
  </r>
  <r>
    <x v="1"/>
    <x v="180"/>
    <s v="0.49-4.87"/>
    <n v="2.68"/>
    <s v="#14"/>
    <x v="2"/>
    <n v="4.87"/>
    <n v="0.49"/>
    <n v="2.19"/>
    <n v="4.7961"/>
    <x v="7"/>
    <s v="NA16WR"/>
    <n v="50"/>
    <s v="NA16WR-50"/>
  </r>
  <r>
    <x v="14"/>
    <x v="298"/>
    <n v="-5.46"/>
    <n v="2.68"/>
    <s v="#22"/>
    <x v="3"/>
    <n v="5.41"/>
    <n v="-0.05"/>
    <n v="2.73"/>
    <n v="7.4528999999999996"/>
    <x v="7"/>
    <s v="NA4TE"/>
    <n v="20"/>
    <s v="NA4TE-20"/>
  </r>
  <r>
    <x v="5"/>
    <x v="259"/>
    <n v="-6.5"/>
    <n v="2.68"/>
    <s v="#11"/>
    <x v="3"/>
    <n v="5.93"/>
    <n v="-0.56999999999999995"/>
    <n v="3.25"/>
    <n v="10.5625"/>
    <x v="7"/>
    <s v="NA13TE"/>
    <n v="24"/>
    <s v="NA13TE-24"/>
  </r>
  <r>
    <x v="13"/>
    <x v="287"/>
    <s v="0.37-4.99"/>
    <n v="2.68"/>
    <s v="#21"/>
    <x v="3"/>
    <n v="4.99"/>
    <n v="0.37"/>
    <n v="2.31"/>
    <n v="5.3361000000000001"/>
    <x v="7"/>
    <s v="NA8TE"/>
    <n v="15"/>
    <s v="NA8TE-15"/>
  </r>
  <r>
    <x v="0"/>
    <x v="255"/>
    <s v="0.42-4.92"/>
    <n v="2.67"/>
    <s v="#16"/>
    <x v="3"/>
    <n v="4.92"/>
    <n v="0.42"/>
    <n v="2.25"/>
    <n v="5.0625"/>
    <x v="7"/>
    <s v="NA17TE"/>
    <n v="20"/>
    <s v="NA17TE-20"/>
  </r>
  <r>
    <x v="0"/>
    <x v="281"/>
    <n v="-6.8800000000000008"/>
    <n v="2.67"/>
    <s v="#15"/>
    <x v="3"/>
    <n v="6.11"/>
    <n v="-0.77"/>
    <n v="3.44"/>
    <n v="11.833600000000001"/>
    <x v="7"/>
    <s v="NA17TE"/>
    <n v="21"/>
    <s v="NA17TE-21"/>
  </r>
  <r>
    <x v="3"/>
    <x v="283"/>
    <n v="-6.2200000000000006"/>
    <n v="2.67"/>
    <s v="#10"/>
    <x v="3"/>
    <n v="5.78"/>
    <n v="-0.44"/>
    <n v="3.11"/>
    <n v="9.6721000000000004"/>
    <x v="7"/>
    <s v="NA11TE"/>
    <n v="23"/>
    <s v="NA11TE-23"/>
  </r>
  <r>
    <x v="16"/>
    <x v="251"/>
    <s v="0.31-5.03"/>
    <n v="2.67"/>
    <s v="#8"/>
    <x v="3"/>
    <n v="5.03"/>
    <n v="0.31"/>
    <n v="2.36"/>
    <n v="5.5696000000000003"/>
    <x v="7"/>
    <s v="NA3TE"/>
    <n v="17"/>
    <s v="NA3TE-17"/>
  </r>
  <r>
    <x v="10"/>
    <x v="236"/>
    <s v="0.08-5.26"/>
    <n v="2.67"/>
    <s v="#21"/>
    <x v="2"/>
    <n v="5.26"/>
    <n v="0.08"/>
    <n v="2.59"/>
    <n v="6.7081"/>
    <x v="7"/>
    <s v="NA2WR"/>
    <n v="40"/>
    <s v="NA2WR-40"/>
  </r>
  <r>
    <x v="6"/>
    <x v="259"/>
    <n v="-5.9399999999999995"/>
    <n v="2.67"/>
    <s v="#9"/>
    <x v="3"/>
    <n v="5.64"/>
    <n v="-0.3"/>
    <n v="2.97"/>
    <n v="8.8209"/>
    <x v="7"/>
    <s v="NA12TE"/>
    <n v="21"/>
    <s v="NA12TE-21"/>
  </r>
  <r>
    <x v="5"/>
    <x v="254"/>
    <s v="0.19-5.15"/>
    <n v="2.67"/>
    <s v="#27"/>
    <x v="2"/>
    <n v="5.15"/>
    <n v="0.19"/>
    <n v="2.48"/>
    <n v="6.1504000000000003"/>
    <x v="7"/>
    <s v="NA13WR"/>
    <n v="51"/>
    <s v="NA13WR-51"/>
  </r>
  <r>
    <x v="9"/>
    <x v="229"/>
    <n v="-5.66"/>
    <n v="2.67"/>
    <s v="#14"/>
    <x v="3"/>
    <n v="5.5"/>
    <n v="-0.16"/>
    <n v="2.83"/>
    <n v="8.0089000000000006"/>
    <x v="7"/>
    <s v="NA15TE"/>
    <n v="21"/>
    <s v="NA15TE-21"/>
  </r>
  <r>
    <x v="1"/>
    <x v="229"/>
    <n v="-5.66"/>
    <n v="2.67"/>
    <s v="#9"/>
    <x v="3"/>
    <n v="5.5"/>
    <n v="-0.16"/>
    <n v="2.83"/>
    <n v="8.0089000000000006"/>
    <x v="7"/>
    <s v="NA16TE"/>
    <n v="22"/>
    <s v="NA16TE-22"/>
  </r>
  <r>
    <x v="15"/>
    <x v="294"/>
    <s v="0.17-5.17"/>
    <n v="2.67"/>
    <s v="#29"/>
    <x v="3"/>
    <n v="5.17"/>
    <n v="0.17"/>
    <n v="2.5"/>
    <n v="6.25"/>
    <x v="7"/>
    <s v="NA10TE"/>
    <n v="20"/>
    <s v="NA10TE-20"/>
  </r>
  <r>
    <x v="16"/>
    <x v="146"/>
    <n v="-7.18"/>
    <n v="2.67"/>
    <s v="#3"/>
    <x v="2"/>
    <n v="6.26"/>
    <n v="-0.92"/>
    <n v="3.59"/>
    <n v="12.8881"/>
    <x v="7"/>
    <s v="NA3WR"/>
    <n v="42"/>
    <s v="NA3WR-42"/>
  </r>
  <r>
    <x v="5"/>
    <x v="273"/>
    <s v="0.09-5.23"/>
    <n v="2.66"/>
    <s v="#31"/>
    <x v="2"/>
    <n v="5.23"/>
    <n v="0.09"/>
    <n v="2.57"/>
    <n v="6.6048999999999998"/>
    <x v="7"/>
    <s v="NA13WR"/>
    <n v="52"/>
    <s v="NA13WR-52"/>
  </r>
  <r>
    <x v="1"/>
    <x v="231"/>
    <s v="0.10-5.22"/>
    <n v="2.66"/>
    <s v="#3"/>
    <x v="2"/>
    <n v="5.22"/>
    <n v="0.1"/>
    <n v="2.56"/>
    <n v="6.5536000000000003"/>
    <x v="7"/>
    <s v="NA16WR"/>
    <n v="51"/>
    <s v="NA16WR-51"/>
  </r>
  <r>
    <x v="7"/>
    <x v="299"/>
    <n v="-5.84"/>
    <n v="2.66"/>
    <s v="#6"/>
    <x v="2"/>
    <n v="5.58"/>
    <n v="-0.26"/>
    <n v="2.92"/>
    <n v="8.5264000000000006"/>
    <x v="7"/>
    <s v="NA1WR"/>
    <n v="38"/>
    <s v="NA1WR-38"/>
  </r>
  <r>
    <x v="16"/>
    <x v="300"/>
    <s v="0.13-5.17"/>
    <n v="2.65"/>
    <s v="#25"/>
    <x v="3"/>
    <n v="5.17"/>
    <n v="0.13"/>
    <n v="2.52"/>
    <n v="6.3503999999999996"/>
    <x v="7"/>
    <s v="NA3TE"/>
    <n v="18"/>
    <s v="NA3TE-18"/>
  </r>
  <r>
    <x v="13"/>
    <x v="289"/>
    <s v="0.39-4.91"/>
    <n v="2.65"/>
    <s v="#24"/>
    <x v="3"/>
    <n v="4.91"/>
    <n v="0.39"/>
    <n v="2.2599999999999998"/>
    <n v="5.1075999999999997"/>
    <x v="7"/>
    <s v="NA8TE"/>
    <n v="16"/>
    <s v="NA8TE-16"/>
  </r>
  <r>
    <x v="4"/>
    <x v="252"/>
    <s v="2.09-3.21"/>
    <n v="2.65"/>
    <s v="#30"/>
    <x v="0"/>
    <n v="3.21"/>
    <n v="2.09"/>
    <n v="0.56000000000000005"/>
    <n v="0.31359999999999999"/>
    <x v="7"/>
    <s v="NA7QB"/>
    <n v="15"/>
    <s v="NA7QB-15"/>
  </r>
  <r>
    <x v="9"/>
    <x v="254"/>
    <s v="0.58-4.72"/>
    <n v="2.65"/>
    <s v="#16"/>
    <x v="2"/>
    <n v="4.72"/>
    <n v="0.57999999999999996"/>
    <n v="2.0699999999999998"/>
    <n v="4.2849000000000004"/>
    <x v="7"/>
    <s v="NA15WR"/>
    <n v="52"/>
    <s v="NA15WR-52"/>
  </r>
  <r>
    <x v="10"/>
    <x v="235"/>
    <n v="-7.16"/>
    <n v="2.65"/>
    <s v="#22"/>
    <x v="1"/>
    <n v="6.23"/>
    <n v="-0.93"/>
    <n v="3.58"/>
    <n v="12.8164"/>
    <x v="7"/>
    <s v="NA2RB"/>
    <n v="22"/>
    <s v="NA2RB-22"/>
  </r>
  <r>
    <x v="2"/>
    <x v="238"/>
    <n v="-6.36"/>
    <n v="2.65"/>
    <s v="#7"/>
    <x v="1"/>
    <n v="5.83"/>
    <n v="-0.53"/>
    <n v="3.18"/>
    <n v="10.112399999999999"/>
    <x v="7"/>
    <s v="NA9RB"/>
    <n v="18"/>
    <s v="NA9RB-18"/>
  </r>
  <r>
    <x v="12"/>
    <x v="271"/>
    <n v="-5.56"/>
    <n v="2.65"/>
    <s v="#13"/>
    <x v="2"/>
    <n v="5.43"/>
    <n v="-0.13"/>
    <n v="2.78"/>
    <n v="7.7283999999999997"/>
    <x v="7"/>
    <s v="NA5WR"/>
    <n v="43"/>
    <s v="NA5WR-43"/>
  </r>
  <r>
    <x v="0"/>
    <x v="287"/>
    <n v="-5.4799999999999995"/>
    <n v="2.65"/>
    <s v="#18"/>
    <x v="3"/>
    <n v="5.39"/>
    <n v="-0.09"/>
    <n v="2.74"/>
    <n v="7.5076000000000001"/>
    <x v="7"/>
    <s v="NA17TE"/>
    <n v="22"/>
    <s v="NA17TE-22"/>
  </r>
  <r>
    <x v="0"/>
    <x v="272"/>
    <s v="0.48-4.82"/>
    <n v="2.65"/>
    <s v="#6"/>
    <x v="3"/>
    <n v="4.82"/>
    <n v="0.48"/>
    <n v="2.17"/>
    <n v="4.7088999999999999"/>
    <x v="7"/>
    <s v="NA17TE"/>
    <n v="23"/>
    <s v="NA17TE-23"/>
  </r>
  <r>
    <x v="1"/>
    <x v="279"/>
    <s v="0.25-5.03"/>
    <n v="2.64"/>
    <s v="#16"/>
    <x v="2"/>
    <n v="5.03"/>
    <n v="0.25"/>
    <n v="2.39"/>
    <n v="5.7121000000000004"/>
    <x v="7"/>
    <s v="NA16WR"/>
    <n v="52"/>
    <s v="NA16WR-52"/>
  </r>
  <r>
    <x v="13"/>
    <x v="247"/>
    <s v="0.42-4.86"/>
    <n v="2.64"/>
    <s v="#16"/>
    <x v="2"/>
    <n v="4.8600000000000003"/>
    <n v="0.42"/>
    <n v="2.2200000000000002"/>
    <n v="4.9283999999999999"/>
    <x v="7"/>
    <s v="NA8WR"/>
    <n v="43"/>
    <s v="NA8WR-43"/>
  </r>
  <r>
    <x v="12"/>
    <x v="265"/>
    <n v="-5.76"/>
    <n v="2.64"/>
    <s v="#26"/>
    <x v="3"/>
    <n v="5.52"/>
    <n v="-0.24"/>
    <n v="2.88"/>
    <n v="8.2943999999999996"/>
    <x v="7"/>
    <s v="NA5TE"/>
    <n v="19"/>
    <s v="NA5TE-19"/>
  </r>
  <r>
    <x v="8"/>
    <x v="186"/>
    <n v="-5.3199999999999994"/>
    <n v="2.64"/>
    <s v="#21"/>
    <x v="2"/>
    <n v="5.3"/>
    <n v="-0.02"/>
    <n v="2.66"/>
    <n v="7.0755999999999997"/>
    <x v="7"/>
    <s v="NA6WR"/>
    <n v="44"/>
    <s v="NA6WR-44"/>
  </r>
  <r>
    <x v="15"/>
    <x v="276"/>
    <n v="-5.38"/>
    <n v="2.64"/>
    <s v="#29"/>
    <x v="3"/>
    <n v="5.33"/>
    <n v="-0.05"/>
    <n v="2.69"/>
    <n v="7.2361000000000004"/>
    <x v="7"/>
    <s v="NA10TE"/>
    <n v="21"/>
    <s v="NA10TE-21"/>
  </r>
  <r>
    <x v="15"/>
    <x v="283"/>
    <n v="-6.44"/>
    <n v="2.64"/>
    <s v="#13"/>
    <x v="3"/>
    <n v="5.86"/>
    <n v="-0.57999999999999996"/>
    <n v="3.22"/>
    <n v="10.368399999999999"/>
    <x v="7"/>
    <s v="NA10TE"/>
    <n v="22"/>
    <s v="NA10TE-22"/>
  </r>
  <r>
    <x v="2"/>
    <x v="288"/>
    <s v="0.07-5.21"/>
    <n v="2.64"/>
    <s v="#24"/>
    <x v="3"/>
    <n v="5.21"/>
    <n v="7.0000000000000007E-2"/>
    <n v="2.57"/>
    <n v="6.6048999999999998"/>
    <x v="7"/>
    <s v="NA9TE"/>
    <n v="18"/>
    <s v="NA9TE-18"/>
  </r>
  <r>
    <x v="6"/>
    <x v="301"/>
    <s v="0.13-5.15"/>
    <n v="2.64"/>
    <s v="#17"/>
    <x v="3"/>
    <n v="5.15"/>
    <n v="0.13"/>
    <n v="2.5099999999999998"/>
    <n v="6.3000999999999996"/>
    <x v="7"/>
    <s v="NA12TE"/>
    <n v="22"/>
    <s v="NA12TE-22"/>
  </r>
  <r>
    <x v="16"/>
    <x v="236"/>
    <s v="0.01-5.27"/>
    <n v="2.64"/>
    <s v="#11"/>
    <x v="2"/>
    <n v="5.27"/>
    <n v="0.01"/>
    <n v="2.63"/>
    <n v="6.9169"/>
    <x v="7"/>
    <s v="NA3WR"/>
    <n v="43"/>
    <s v="NA3WR-43"/>
  </r>
  <r>
    <x v="12"/>
    <x v="259"/>
    <n v="-6.34"/>
    <n v="2.64"/>
    <s v="#19"/>
    <x v="3"/>
    <n v="5.81"/>
    <n v="-0.53"/>
    <n v="3.17"/>
    <n v="10.0489"/>
    <x v="7"/>
    <s v="NA5TE"/>
    <n v="20"/>
    <s v="NA5TE-20"/>
  </r>
  <r>
    <x v="1"/>
    <x v="163"/>
    <s v="1.05-4.23"/>
    <n v="2.64"/>
    <s v="#4"/>
    <x v="1"/>
    <n v="4.2300000000000004"/>
    <n v="1.05"/>
    <n v="1.59"/>
    <n v="2.5280999999999998"/>
    <x v="9"/>
    <s v="seth16RB"/>
    <n v="7"/>
    <s v="seth16RB-7"/>
  </r>
  <r>
    <x v="16"/>
    <x v="287"/>
    <s v="0.24-5.04"/>
    <n v="2.64"/>
    <s v="#20"/>
    <x v="3"/>
    <n v="5.04"/>
    <n v="0.24"/>
    <n v="2.4"/>
    <n v="5.76"/>
    <x v="7"/>
    <s v="NA3TE"/>
    <n v="19"/>
    <s v="NA3TE-19"/>
  </r>
  <r>
    <x v="5"/>
    <x v="261"/>
    <n v="-5.3599999999999994"/>
    <n v="2.63"/>
    <s v="#5"/>
    <x v="2"/>
    <n v="5.31"/>
    <n v="-0.05"/>
    <n v="2.68"/>
    <n v="7.1824000000000003"/>
    <x v="7"/>
    <s v="NA13WR"/>
    <n v="53"/>
    <s v="NA13WR-53"/>
  </r>
  <r>
    <x v="9"/>
    <x v="213"/>
    <s v="0.30-4.96"/>
    <n v="2.63"/>
    <s v="#13"/>
    <x v="1"/>
    <n v="4.96"/>
    <n v="0.3"/>
    <n v="2.33"/>
    <n v="5.4288999999999996"/>
    <x v="7"/>
    <s v="NA15RB"/>
    <n v="24"/>
    <s v="NA15RB-24"/>
  </r>
  <r>
    <x v="7"/>
    <x v="235"/>
    <n v="-7.1400000000000006"/>
    <n v="2.63"/>
    <s v="#7"/>
    <x v="1"/>
    <n v="6.2"/>
    <n v="-0.94"/>
    <n v="3.57"/>
    <n v="12.744899999999999"/>
    <x v="7"/>
    <s v="NA1RB"/>
    <n v="22"/>
    <s v="NA1RB-22"/>
  </r>
  <r>
    <x v="1"/>
    <x v="282"/>
    <s v="0.49-4.77"/>
    <n v="2.63"/>
    <s v="#1"/>
    <x v="2"/>
    <n v="4.7699999999999996"/>
    <n v="0.49"/>
    <n v="2.14"/>
    <n v="4.5796000000000001"/>
    <x v="7"/>
    <s v="NA16WR"/>
    <n v="53"/>
    <s v="NA16WR-53"/>
  </r>
  <r>
    <x v="2"/>
    <x v="287"/>
    <s v="0.16-5.10"/>
    <n v="2.63"/>
    <s v="#30"/>
    <x v="3"/>
    <n v="5.0999999999999996"/>
    <n v="0.16"/>
    <n v="2.4700000000000002"/>
    <n v="6.1009000000000002"/>
    <x v="7"/>
    <s v="NA9TE"/>
    <n v="19"/>
    <s v="NA9TE-19"/>
  </r>
  <r>
    <x v="4"/>
    <x v="272"/>
    <s v="0.57-4.69"/>
    <n v="2.63"/>
    <s v="#23"/>
    <x v="3"/>
    <n v="4.6900000000000004"/>
    <n v="0.56999999999999995"/>
    <n v="2.06"/>
    <n v="4.2435999999999998"/>
    <x v="7"/>
    <s v="NA7TE"/>
    <n v="23"/>
    <s v="NA7TE-23"/>
  </r>
  <r>
    <x v="2"/>
    <x v="255"/>
    <s v="0.35-4.89"/>
    <n v="2.62"/>
    <s v="#8"/>
    <x v="3"/>
    <n v="4.8899999999999997"/>
    <n v="0.35"/>
    <n v="2.27"/>
    <n v="5.1528999999999998"/>
    <x v="7"/>
    <s v="NA9TE"/>
    <n v="20"/>
    <s v="NA9TE-20"/>
  </r>
  <r>
    <x v="5"/>
    <x v="279"/>
    <s v="0.11-5.13"/>
    <n v="2.62"/>
    <s v="#32"/>
    <x v="2"/>
    <n v="5.13"/>
    <n v="0.11"/>
    <n v="2.5099999999999998"/>
    <n v="6.3000999999999996"/>
    <x v="7"/>
    <s v="NA13WR"/>
    <n v="54"/>
    <s v="NA13WR-54"/>
  </r>
  <r>
    <x v="11"/>
    <x v="274"/>
    <s v="0.47-4.77"/>
    <n v="2.62"/>
    <s v="#32"/>
    <x v="3"/>
    <n v="4.7699999999999996"/>
    <n v="0.47"/>
    <n v="2.15"/>
    <n v="4.6224999999999996"/>
    <x v="7"/>
    <s v="NA14TE"/>
    <n v="22"/>
    <s v="NA14TE-22"/>
  </r>
  <r>
    <x v="12"/>
    <x v="203"/>
    <n v="-7.16"/>
    <n v="2.61"/>
    <s v="#19"/>
    <x v="2"/>
    <n v="6.19"/>
    <n v="-0.97"/>
    <n v="3.58"/>
    <n v="12.8164"/>
    <x v="7"/>
    <s v="NA5WR"/>
    <n v="44"/>
    <s v="NA5WR-44"/>
  </r>
  <r>
    <x v="3"/>
    <x v="260"/>
    <s v="0.04-5.18"/>
    <n v="2.61"/>
    <s v="#12"/>
    <x v="2"/>
    <n v="5.18"/>
    <n v="0.04"/>
    <n v="2.57"/>
    <n v="6.6048999999999998"/>
    <x v="1"/>
    <s v="perry11WR"/>
    <n v="5"/>
    <s v="perry11WR-5"/>
  </r>
  <r>
    <x v="4"/>
    <x v="294"/>
    <s v="0.00-5.22"/>
    <n v="2.61"/>
    <s v="#31"/>
    <x v="3"/>
    <n v="5.22"/>
    <n v="0"/>
    <n v="2.61"/>
    <n v="6.8121"/>
    <x v="7"/>
    <s v="NA7TE"/>
    <n v="24"/>
    <s v="NA7TE-24"/>
  </r>
  <r>
    <x v="16"/>
    <x v="171"/>
    <s v="0.18-5.02"/>
    <n v="2.6"/>
    <s v="#6"/>
    <x v="2"/>
    <n v="5.0199999999999996"/>
    <n v="0.18"/>
    <n v="2.42"/>
    <n v="5.8563999999999998"/>
    <x v="7"/>
    <s v="NA3WR"/>
    <n v="44"/>
    <s v="NA3WR-44"/>
  </r>
  <r>
    <x v="7"/>
    <x v="222"/>
    <s v="0.14-5.06"/>
    <n v="2.6"/>
    <s v="#7"/>
    <x v="2"/>
    <n v="5.0599999999999996"/>
    <n v="0.14000000000000001"/>
    <n v="2.46"/>
    <n v="6.0515999999999996"/>
    <x v="7"/>
    <s v="NA1WR"/>
    <n v="39"/>
    <s v="NA1WR-39"/>
  </r>
  <r>
    <x v="14"/>
    <x v="289"/>
    <s v="0.41-4.79"/>
    <n v="2.6"/>
    <s v="#9"/>
    <x v="3"/>
    <n v="4.79"/>
    <n v="0.41"/>
    <n v="2.19"/>
    <n v="4.7961"/>
    <x v="7"/>
    <s v="NA4TE"/>
    <n v="21"/>
    <s v="NA4TE-21"/>
  </r>
  <r>
    <x v="14"/>
    <x v="295"/>
    <s v="0.16-5.04"/>
    <n v="2.6"/>
    <s v="#6"/>
    <x v="3"/>
    <n v="5.04"/>
    <n v="0.16"/>
    <n v="2.44"/>
    <n v="5.9535999999999998"/>
    <x v="7"/>
    <s v="NA4TE"/>
    <n v="22"/>
    <s v="NA4TE-22"/>
  </r>
  <r>
    <x v="1"/>
    <x v="129"/>
    <s v="0.48-4.72"/>
    <n v="2.6"/>
    <s v="#32"/>
    <x v="1"/>
    <n v="4.72"/>
    <n v="0.48"/>
    <n v="2.12"/>
    <n v="4.4943999999999997"/>
    <x v="7"/>
    <s v="NA16RB"/>
    <n v="24"/>
    <s v="NA16RB-24"/>
  </r>
  <r>
    <x v="9"/>
    <x v="272"/>
    <s v="0.33-4.87"/>
    <n v="2.6"/>
    <s v="#3"/>
    <x v="3"/>
    <n v="4.87"/>
    <n v="0.33"/>
    <n v="2.27"/>
    <n v="5.1528999999999998"/>
    <x v="7"/>
    <s v="NA15TE"/>
    <n v="22"/>
    <s v="NA15TE-22"/>
  </r>
  <r>
    <x v="1"/>
    <x v="283"/>
    <n v="-5.48"/>
    <n v="2.59"/>
    <s v="#8"/>
    <x v="3"/>
    <n v="5.33"/>
    <n v="-0.15"/>
    <n v="2.74"/>
    <n v="7.5076000000000001"/>
    <x v="7"/>
    <s v="NA16TE"/>
    <n v="23"/>
    <s v="NA16TE-23"/>
  </r>
  <r>
    <x v="8"/>
    <x v="248"/>
    <s v="0.61-4.57"/>
    <n v="2.59"/>
    <s v="#21"/>
    <x v="3"/>
    <n v="4.57"/>
    <n v="0.61"/>
    <n v="1.98"/>
    <n v="3.9203999999999999"/>
    <x v="7"/>
    <s v="NA6TE"/>
    <n v="22"/>
    <s v="NA6TE-22"/>
  </r>
  <r>
    <x v="1"/>
    <x v="271"/>
    <n v="-5.6"/>
    <n v="2.59"/>
    <s v="#5"/>
    <x v="2"/>
    <n v="5.39"/>
    <n v="-0.21"/>
    <n v="2.8"/>
    <n v="7.84"/>
    <x v="7"/>
    <s v="NA16WR"/>
    <n v="54"/>
    <s v="NA16WR-54"/>
  </r>
  <r>
    <x v="15"/>
    <x v="279"/>
    <n v="-5.4"/>
    <n v="2.58"/>
    <s v="#20"/>
    <x v="2"/>
    <n v="5.28"/>
    <n v="-0.12"/>
    <n v="2.7"/>
    <n v="7.29"/>
    <x v="7"/>
    <s v="NA10WR"/>
    <n v="50"/>
    <s v="NA10WR-50"/>
  </r>
  <r>
    <x v="8"/>
    <x v="250"/>
    <s v="0.07-5.09"/>
    <n v="2.58"/>
    <s v="#3"/>
    <x v="2"/>
    <n v="5.09"/>
    <n v="7.0000000000000007E-2"/>
    <n v="2.5099999999999998"/>
    <n v="6.3000999999999996"/>
    <x v="7"/>
    <s v="NA6WR"/>
    <n v="45"/>
    <s v="NA6WR-45"/>
  </r>
  <r>
    <x v="2"/>
    <x v="223"/>
    <n v="-5.3599999999999994"/>
    <n v="2.58"/>
    <s v="#7"/>
    <x v="1"/>
    <n v="5.26"/>
    <n v="-0.1"/>
    <n v="2.68"/>
    <n v="7.1824000000000003"/>
    <x v="7"/>
    <s v="NA9RB"/>
    <n v="19"/>
    <s v="NA9RB-19"/>
  </r>
  <r>
    <x v="4"/>
    <x v="270"/>
    <s v="0.49-4.67"/>
    <n v="2.58"/>
    <s v="#7"/>
    <x v="2"/>
    <n v="4.67"/>
    <n v="0.49"/>
    <n v="2.09"/>
    <n v="4.3681000000000001"/>
    <x v="7"/>
    <s v="NA7WR"/>
    <n v="42"/>
    <s v="NA7WR-42"/>
  </r>
  <r>
    <x v="0"/>
    <x v="180"/>
    <s v="0.27-4.89"/>
    <n v="2.58"/>
    <s v="#6"/>
    <x v="2"/>
    <n v="4.8899999999999997"/>
    <n v="0.27"/>
    <n v="2.31"/>
    <n v="5.3361000000000001"/>
    <x v="7"/>
    <s v="NA17WR"/>
    <n v="49"/>
    <s v="NA17WR-49"/>
  </r>
  <r>
    <x v="8"/>
    <x v="295"/>
    <s v="0.23-4.93"/>
    <n v="2.58"/>
    <s v="#1"/>
    <x v="3"/>
    <n v="4.93"/>
    <n v="0.23"/>
    <n v="2.35"/>
    <n v="5.5225"/>
    <x v="7"/>
    <s v="NA6TE"/>
    <n v="23"/>
    <s v="NA6TE-23"/>
  </r>
  <r>
    <x v="9"/>
    <x v="290"/>
    <s v="0.31-4.85"/>
    <n v="2.58"/>
    <s v="#18"/>
    <x v="3"/>
    <n v="4.8499999999999996"/>
    <n v="0.31"/>
    <n v="2.27"/>
    <n v="5.1528999999999998"/>
    <x v="7"/>
    <s v="NA15TE"/>
    <n v="23"/>
    <s v="NA15TE-23"/>
  </r>
  <r>
    <x v="13"/>
    <x v="271"/>
    <n v="-5.5600000000000005"/>
    <n v="2.58"/>
    <s v="#13"/>
    <x v="2"/>
    <n v="5.36"/>
    <n v="-0.2"/>
    <n v="2.78"/>
    <n v="7.7283999999999997"/>
    <x v="7"/>
    <s v="NA8WR"/>
    <n v="44"/>
    <s v="NA8WR-44"/>
  </r>
  <r>
    <x v="11"/>
    <x v="186"/>
    <s v="0.23-4.91"/>
    <n v="2.57"/>
    <s v="#16"/>
    <x v="2"/>
    <n v="4.91"/>
    <n v="0.23"/>
    <n v="2.34"/>
    <n v="5.4756"/>
    <x v="7"/>
    <s v="NA14WR"/>
    <n v="50"/>
    <s v="NA14WR-50"/>
  </r>
  <r>
    <x v="13"/>
    <x v="276"/>
    <s v="0.06-5.08"/>
    <n v="2.57"/>
    <s v="#15"/>
    <x v="3"/>
    <n v="5.08"/>
    <n v="0.06"/>
    <n v="2.5099999999999998"/>
    <n v="6.3000999999999996"/>
    <x v="7"/>
    <s v="NA8TE"/>
    <n v="17"/>
    <s v="NA8TE-17"/>
  </r>
  <r>
    <x v="13"/>
    <x v="285"/>
    <s v="0.36-4.78"/>
    <n v="2.57"/>
    <s v="#28"/>
    <x v="3"/>
    <n v="4.78"/>
    <n v="0.36"/>
    <n v="2.21"/>
    <n v="4.8841000000000001"/>
    <x v="7"/>
    <s v="NA8TE"/>
    <n v="18"/>
    <s v="NA8TE-18"/>
  </r>
  <r>
    <x v="10"/>
    <x v="248"/>
    <s v="0.36-4.78"/>
    <n v="2.57"/>
    <s v="#28"/>
    <x v="3"/>
    <n v="4.78"/>
    <n v="0.36"/>
    <n v="2.21"/>
    <n v="4.8841000000000001"/>
    <x v="7"/>
    <s v="NA2TE"/>
    <n v="17"/>
    <s v="NA2TE-17"/>
  </r>
  <r>
    <x v="1"/>
    <x v="301"/>
    <s v="0.04-5.10"/>
    <n v="2.57"/>
    <s v="#21"/>
    <x v="3"/>
    <n v="5.0999999999999996"/>
    <n v="0.04"/>
    <n v="2.5299999999999998"/>
    <n v="6.4009"/>
    <x v="7"/>
    <s v="NA16TE"/>
    <n v="24"/>
    <s v="NA16TE-24"/>
  </r>
  <r>
    <x v="10"/>
    <x v="295"/>
    <n v="-5.3"/>
    <n v="2.57"/>
    <s v="#27"/>
    <x v="3"/>
    <n v="5.22"/>
    <n v="-0.08"/>
    <n v="2.65"/>
    <n v="7.0225"/>
    <x v="7"/>
    <s v="NA2TE"/>
    <n v="18"/>
    <s v="NA2TE-18"/>
  </r>
  <r>
    <x v="6"/>
    <x v="264"/>
    <s v="0.30-4.84"/>
    <n v="2.57"/>
    <s v="#5"/>
    <x v="3"/>
    <n v="4.84"/>
    <n v="0.3"/>
    <n v="2.27"/>
    <n v="5.1528999999999998"/>
    <x v="7"/>
    <s v="NA12TE"/>
    <n v="23"/>
    <s v="NA12TE-23"/>
  </r>
  <r>
    <x v="8"/>
    <x v="167"/>
    <n v="-6"/>
    <n v="2.57"/>
    <s v="#18"/>
    <x v="2"/>
    <n v="5.57"/>
    <n v="-0.43"/>
    <n v="3"/>
    <n v="9"/>
    <x v="10"/>
    <s v="aj6WR"/>
    <n v="6"/>
    <s v="aj6WR-6"/>
  </r>
  <r>
    <x v="16"/>
    <x v="272"/>
    <s v="0.32-4.82"/>
    <n v="2.57"/>
    <s v="#21"/>
    <x v="3"/>
    <n v="4.82"/>
    <n v="0.32"/>
    <n v="2.25"/>
    <n v="5.0625"/>
    <x v="7"/>
    <s v="NA3TE"/>
    <n v="20"/>
    <s v="NA3TE-20"/>
  </r>
  <r>
    <x v="0"/>
    <x v="279"/>
    <s v="0.05-5.07"/>
    <n v="2.56"/>
    <s v="#32"/>
    <x v="2"/>
    <n v="5.07"/>
    <n v="0.05"/>
    <n v="2.5099999999999998"/>
    <n v="6.3000999999999996"/>
    <x v="7"/>
    <s v="NA17WR"/>
    <n v="50"/>
    <s v="NA17WR-50"/>
  </r>
  <r>
    <x v="11"/>
    <x v="285"/>
    <s v="0.23-4.89"/>
    <n v="2.56"/>
    <s v="#26"/>
    <x v="3"/>
    <n v="4.8899999999999997"/>
    <n v="0.23"/>
    <n v="2.33"/>
    <n v="5.4288999999999996"/>
    <x v="7"/>
    <s v="NA14TE"/>
    <n v="23"/>
    <s v="NA14TE-23"/>
  </r>
  <r>
    <x v="2"/>
    <x v="252"/>
    <s v="1.94-3.18"/>
    <n v="2.56"/>
    <s v="#15"/>
    <x v="0"/>
    <n v="3.18"/>
    <n v="1.94"/>
    <n v="0.62"/>
    <n v="0.38440000000000002"/>
    <x v="7"/>
    <s v="NA9QB"/>
    <n v="13"/>
    <s v="NA9QB-13"/>
  </r>
  <r>
    <x v="11"/>
    <x v="236"/>
    <n v="-5.6000000000000005"/>
    <n v="2.56"/>
    <s v="#8"/>
    <x v="2"/>
    <n v="5.36"/>
    <n v="-0.24"/>
    <n v="2.8"/>
    <n v="7.84"/>
    <x v="7"/>
    <s v="NA14WR"/>
    <n v="51"/>
    <s v="NA14WR-51"/>
  </r>
  <r>
    <x v="11"/>
    <x v="295"/>
    <s v="0.27-4.85"/>
    <n v="2.56"/>
    <s v="#3"/>
    <x v="3"/>
    <n v="4.8499999999999996"/>
    <n v="0.27"/>
    <n v="2.29"/>
    <n v="5.2441000000000004"/>
    <x v="7"/>
    <s v="NA14TE"/>
    <n v="24"/>
    <s v="NA14TE-24"/>
  </r>
  <r>
    <x v="1"/>
    <x v="274"/>
    <s v="0.04-5.08"/>
    <n v="2.56"/>
    <s v="#20"/>
    <x v="3"/>
    <n v="5.08"/>
    <n v="0.04"/>
    <n v="2.52"/>
    <n v="6.3503999999999996"/>
    <x v="7"/>
    <s v="NA16TE"/>
    <n v="25"/>
    <s v="NA16TE-25"/>
  </r>
  <r>
    <x v="0"/>
    <x v="259"/>
    <n v="-6.5"/>
    <n v="2.56"/>
    <s v="#11"/>
    <x v="3"/>
    <n v="5.81"/>
    <n v="-0.69"/>
    <n v="3.25"/>
    <n v="10.5625"/>
    <x v="7"/>
    <s v="NA17TE"/>
    <n v="24"/>
    <s v="NA17TE-24"/>
  </r>
  <r>
    <x v="12"/>
    <x v="254"/>
    <s v="0.31-4.81"/>
    <n v="2.56"/>
    <s v="#1"/>
    <x v="2"/>
    <n v="4.8099999999999996"/>
    <n v="0.31"/>
    <n v="2.25"/>
    <n v="5.0625"/>
    <x v="7"/>
    <s v="NA5WR"/>
    <n v="45"/>
    <s v="NA5WR-45"/>
  </r>
  <r>
    <x v="0"/>
    <x v="229"/>
    <n v="-5.3400000000000007"/>
    <n v="2.56"/>
    <s v="#23"/>
    <x v="3"/>
    <n v="5.23"/>
    <n v="-0.11"/>
    <n v="2.67"/>
    <n v="7.1288999999999998"/>
    <x v="7"/>
    <s v="NA17TE"/>
    <n v="25"/>
    <s v="NA17TE-25"/>
  </r>
  <r>
    <x v="10"/>
    <x v="208"/>
    <s v="0.35-4.77"/>
    <n v="2.56"/>
    <s v="#8"/>
    <x v="2"/>
    <n v="4.7699999999999996"/>
    <n v="0.35"/>
    <n v="2.21"/>
    <n v="4.8841000000000001"/>
    <x v="7"/>
    <s v="NA2WR"/>
    <n v="41"/>
    <s v="NA2WR-41"/>
  </r>
  <r>
    <x v="0"/>
    <x v="176"/>
    <s v="0.71-4.39"/>
    <n v="2.5499999999999998"/>
    <s v="#13"/>
    <x v="2"/>
    <n v="4.3899999999999997"/>
    <n v="0.71"/>
    <n v="1.84"/>
    <n v="3.3856000000000002"/>
    <x v="7"/>
    <s v="NA17WR"/>
    <n v="51"/>
    <s v="NA17WR-51"/>
  </r>
  <r>
    <x v="1"/>
    <x v="247"/>
    <s v="0.34-4.76"/>
    <n v="2.5499999999999998"/>
    <s v="#8"/>
    <x v="2"/>
    <n v="4.76"/>
    <n v="0.34"/>
    <n v="2.21"/>
    <n v="4.8841000000000001"/>
    <x v="7"/>
    <s v="NA16WR"/>
    <n v="55"/>
    <s v="NA16WR-55"/>
  </r>
  <r>
    <x v="0"/>
    <x v="285"/>
    <s v="0.43-4.67"/>
    <n v="2.5499999999999998"/>
    <s v="#13"/>
    <x v="3"/>
    <n v="4.67"/>
    <n v="0.43"/>
    <n v="2.12"/>
    <n v="4.4943999999999997"/>
    <x v="7"/>
    <s v="NA17TE"/>
    <n v="26"/>
    <s v="NA17TE-26"/>
  </r>
  <r>
    <x v="6"/>
    <x v="270"/>
    <s v="0.30-4.80"/>
    <n v="2.5499999999999998"/>
    <s v="#22"/>
    <x v="2"/>
    <n v="4.8"/>
    <n v="0.3"/>
    <n v="2.25"/>
    <n v="5.0625"/>
    <x v="7"/>
    <s v="NA12WR"/>
    <n v="49"/>
    <s v="NA12WR-49"/>
  </r>
  <r>
    <x v="6"/>
    <x v="228"/>
    <n v="-6.08"/>
    <n v="2.5499999999999998"/>
    <s v="#20"/>
    <x v="3"/>
    <n v="5.59"/>
    <n v="-0.49"/>
    <n v="3.04"/>
    <n v="9.2416"/>
    <x v="7"/>
    <s v="NA12TE"/>
    <n v="24"/>
    <s v="NA12TE-24"/>
  </r>
  <r>
    <x v="8"/>
    <x v="277"/>
    <n v="-5.3"/>
    <n v="2.5499999999999998"/>
    <s v="#3"/>
    <x v="2"/>
    <n v="5.2"/>
    <n v="-0.1"/>
    <n v="2.65"/>
    <n v="7.0225"/>
    <x v="7"/>
    <s v="NA6WR"/>
    <n v="46"/>
    <s v="NA6WR-46"/>
  </r>
  <r>
    <x v="5"/>
    <x v="272"/>
    <s v="0.38-4.72"/>
    <n v="2.5499999999999998"/>
    <s v="#6"/>
    <x v="3"/>
    <n v="4.72"/>
    <n v="0.38"/>
    <n v="2.17"/>
    <n v="4.7088999999999999"/>
    <x v="7"/>
    <s v="NA13TE"/>
    <n v="25"/>
    <s v="NA13TE-25"/>
  </r>
  <r>
    <x v="16"/>
    <x v="255"/>
    <s v="0.06-5.02"/>
    <n v="2.54"/>
    <s v="#10"/>
    <x v="3"/>
    <n v="5.0199999999999996"/>
    <n v="0.06"/>
    <n v="2.48"/>
    <n v="6.1504000000000003"/>
    <x v="7"/>
    <s v="NA3TE"/>
    <n v="21"/>
    <s v="NA3TE-21"/>
  </r>
  <r>
    <x v="12"/>
    <x v="279"/>
    <n v="-5.4"/>
    <n v="2.54"/>
    <s v="#20"/>
    <x v="2"/>
    <n v="5.24"/>
    <n v="-0.16"/>
    <n v="2.7"/>
    <n v="7.29"/>
    <x v="7"/>
    <s v="NA5WR"/>
    <n v="46"/>
    <s v="NA5WR-46"/>
  </r>
  <r>
    <x v="3"/>
    <x v="150"/>
    <s v="0.14-4.94"/>
    <n v="2.54"/>
    <s v="#15"/>
    <x v="1"/>
    <n v="4.9400000000000004"/>
    <n v="0.14000000000000001"/>
    <n v="2.4"/>
    <n v="5.76"/>
    <x v="7"/>
    <s v="NA11RB"/>
    <n v="22"/>
    <s v="NA11RB-22"/>
  </r>
  <r>
    <x v="5"/>
    <x v="180"/>
    <s v="0.23-4.85"/>
    <n v="2.54"/>
    <s v="#6"/>
    <x v="2"/>
    <n v="4.8499999999999996"/>
    <n v="0.23"/>
    <n v="2.31"/>
    <n v="5.3361000000000001"/>
    <x v="7"/>
    <s v="NA13WR"/>
    <n v="55"/>
    <s v="NA13WR-55"/>
  </r>
  <r>
    <x v="15"/>
    <x v="167"/>
    <n v="-6"/>
    <n v="2.54"/>
    <s v="#24"/>
    <x v="2"/>
    <n v="5.54"/>
    <n v="-0.46"/>
    <n v="3"/>
    <n v="9"/>
    <x v="10"/>
    <s v="aj10WR"/>
    <n v="3"/>
    <s v="aj10WR-3"/>
  </r>
  <r>
    <x v="13"/>
    <x v="291"/>
    <n v="-5.46"/>
    <n v="2.5299999999999998"/>
    <s v="#24"/>
    <x v="3"/>
    <n v="5.26"/>
    <n v="-0.2"/>
    <n v="2.73"/>
    <n v="7.4528999999999996"/>
    <x v="7"/>
    <s v="NA8TE"/>
    <n v="19"/>
    <s v="NA8TE-19"/>
  </r>
  <r>
    <x v="4"/>
    <x v="287"/>
    <n v="-5.4799999999999995"/>
    <n v="2.5299999999999998"/>
    <s v="#18"/>
    <x v="3"/>
    <n v="5.27"/>
    <n v="-0.21"/>
    <n v="2.74"/>
    <n v="7.5076000000000001"/>
    <x v="7"/>
    <s v="NA7TE"/>
    <n v="25"/>
    <s v="NA7TE-25"/>
  </r>
  <r>
    <x v="6"/>
    <x v="272"/>
    <s v="0.47-4.59"/>
    <n v="2.5299999999999998"/>
    <s v="#23"/>
    <x v="3"/>
    <n v="4.59"/>
    <n v="0.47"/>
    <n v="2.06"/>
    <n v="4.2435999999999998"/>
    <x v="7"/>
    <s v="NA12TE"/>
    <n v="25"/>
    <s v="NA12TE-25"/>
  </r>
  <r>
    <x v="11"/>
    <x v="281"/>
    <n v="-6.64"/>
    <n v="2.52"/>
    <s v="#20"/>
    <x v="3"/>
    <n v="5.84"/>
    <n v="-0.8"/>
    <n v="3.32"/>
    <n v="11.022399999999999"/>
    <x v="7"/>
    <s v="NA14TE"/>
    <n v="25"/>
    <s v="NA14TE-25"/>
  </r>
  <r>
    <x v="11"/>
    <x v="302"/>
    <s v="0.38-4.66"/>
    <n v="2.52"/>
    <s v="#10"/>
    <x v="3"/>
    <n v="4.66"/>
    <n v="0.38"/>
    <n v="2.14"/>
    <n v="4.5796000000000001"/>
    <x v="7"/>
    <s v="NA14TE"/>
    <n v="26"/>
    <s v="NA14TE-26"/>
  </r>
  <r>
    <x v="16"/>
    <x v="289"/>
    <n v="-5.0599999999999996"/>
    <n v="2.52"/>
    <s v="#22"/>
    <x v="3"/>
    <n v="5.05"/>
    <n v="-0.01"/>
    <n v="2.5299999999999998"/>
    <n v="6.4009"/>
    <x v="7"/>
    <s v="NA3TE"/>
    <n v="22"/>
    <s v="NA3TE-22"/>
  </r>
  <r>
    <x v="13"/>
    <x v="264"/>
    <s v="0.48-4.56"/>
    <n v="2.52"/>
    <s v="#8"/>
    <x v="3"/>
    <n v="4.5599999999999996"/>
    <n v="0.48"/>
    <n v="2.04"/>
    <n v="4.1616"/>
    <x v="7"/>
    <s v="NA8TE"/>
    <n v="20"/>
    <s v="NA8TE-20"/>
  </r>
  <r>
    <x v="15"/>
    <x v="268"/>
    <s v="0.21-4.83"/>
    <n v="2.52"/>
    <s v="#8"/>
    <x v="1"/>
    <n v="4.83"/>
    <n v="0.21"/>
    <n v="2.31"/>
    <n v="5.3361000000000001"/>
    <x v="7"/>
    <s v="NA10RB"/>
    <n v="23"/>
    <s v="NA10RB-23"/>
  </r>
  <r>
    <x v="13"/>
    <x v="274"/>
    <s v="0.01-5.03"/>
    <n v="2.52"/>
    <s v="#7"/>
    <x v="3"/>
    <n v="5.03"/>
    <n v="0.01"/>
    <n v="2.5099999999999998"/>
    <n v="6.3000999999999996"/>
    <x v="7"/>
    <s v="NA8TE"/>
    <n v="21"/>
    <s v="NA8TE-21"/>
  </r>
  <r>
    <x v="16"/>
    <x v="303"/>
    <s v="0.18-4.86"/>
    <n v="2.52"/>
    <s v="#7"/>
    <x v="1"/>
    <n v="4.8600000000000003"/>
    <n v="0.18"/>
    <n v="2.34"/>
    <n v="5.4756"/>
    <x v="7"/>
    <s v="NA3RB"/>
    <n v="25"/>
    <s v="NA3RB-25"/>
  </r>
  <r>
    <x v="8"/>
    <x v="304"/>
    <s v="0.58-4.46"/>
    <n v="2.52"/>
    <s v="#14"/>
    <x v="3"/>
    <n v="4.46"/>
    <n v="0.57999999999999996"/>
    <n v="1.94"/>
    <n v="3.7635999999999998"/>
    <x v="7"/>
    <s v="NA6TE"/>
    <n v="24"/>
    <s v="NA6TE-24"/>
  </r>
  <r>
    <x v="16"/>
    <x v="305"/>
    <s v="0.11-4.93"/>
    <n v="2.52"/>
    <s v="#27"/>
    <x v="2"/>
    <n v="4.93"/>
    <n v="0.11"/>
    <n v="2.41"/>
    <n v="5.8080999999999996"/>
    <x v="7"/>
    <s v="NA3WR"/>
    <n v="45"/>
    <s v="NA3WR-45"/>
  </r>
  <r>
    <x v="14"/>
    <x v="282"/>
    <s v="0.16-4.88"/>
    <n v="2.52"/>
    <s v="#18"/>
    <x v="2"/>
    <n v="4.88"/>
    <n v="0.16"/>
    <n v="2.36"/>
    <n v="5.5696000000000003"/>
    <x v="7"/>
    <s v="NA4WR"/>
    <n v="42"/>
    <s v="NA4WR-42"/>
  </r>
  <r>
    <x v="9"/>
    <x v="163"/>
    <s v="0.90-4.14"/>
    <n v="2.52"/>
    <s v="#5"/>
    <x v="1"/>
    <n v="4.1399999999999997"/>
    <n v="0.9"/>
    <n v="1.62"/>
    <n v="2.6244000000000001"/>
    <x v="9"/>
    <s v="seth15RB"/>
    <n v="7"/>
    <s v="seth15RB-7"/>
  </r>
  <r>
    <x v="10"/>
    <x v="247"/>
    <n v="-5.2"/>
    <n v="2.5099999999999998"/>
    <s v="#15"/>
    <x v="2"/>
    <n v="5.1100000000000003"/>
    <n v="-0.09"/>
    <n v="2.6"/>
    <n v="6.76"/>
    <x v="7"/>
    <s v="NA2WR"/>
    <n v="42"/>
    <s v="NA2WR-42"/>
  </r>
  <r>
    <x v="5"/>
    <x v="150"/>
    <s v="0.54-4.48"/>
    <n v="2.5099999999999998"/>
    <s v="#9"/>
    <x v="1"/>
    <n v="4.4800000000000004"/>
    <n v="0.54"/>
    <n v="1.97"/>
    <n v="3.8809"/>
    <x v="7"/>
    <s v="NA13RB"/>
    <n v="25"/>
    <s v="NA13RB-25"/>
  </r>
  <r>
    <x v="11"/>
    <x v="276"/>
    <s v="0.54-4.48"/>
    <n v="2.5099999999999998"/>
    <s v="#7"/>
    <x v="3"/>
    <n v="4.4800000000000004"/>
    <n v="0.54"/>
    <n v="1.97"/>
    <n v="3.8809"/>
    <x v="7"/>
    <s v="NA14TE"/>
    <n v="27"/>
    <s v="NA14TE-27"/>
  </r>
  <r>
    <x v="4"/>
    <x v="231"/>
    <s v="0.05-4.97"/>
    <n v="2.5099999999999998"/>
    <s v="#28"/>
    <x v="2"/>
    <n v="4.97"/>
    <n v="0.05"/>
    <n v="2.46"/>
    <n v="6.0515999999999996"/>
    <x v="7"/>
    <s v="NA7WR"/>
    <n v="43"/>
    <s v="NA7WR-43"/>
  </r>
  <r>
    <x v="14"/>
    <x v="229"/>
    <s v="0.12-4.90"/>
    <n v="2.5099999999999998"/>
    <s v="#30"/>
    <x v="3"/>
    <n v="4.9000000000000004"/>
    <n v="0.12"/>
    <n v="2.39"/>
    <n v="5.7121000000000004"/>
    <x v="7"/>
    <s v="NA4TE"/>
    <n v="23"/>
    <s v="NA4TE-23"/>
  </r>
  <r>
    <x v="5"/>
    <x v="294"/>
    <n v="-5.16"/>
    <n v="2.5099999999999998"/>
    <s v="#27"/>
    <x v="3"/>
    <n v="5.09"/>
    <n v="-7.0000000000000007E-2"/>
    <n v="2.58"/>
    <n v="6.6563999999999997"/>
    <x v="7"/>
    <s v="NA13TE"/>
    <n v="26"/>
    <s v="NA13TE-26"/>
  </r>
  <r>
    <x v="12"/>
    <x v="272"/>
    <s v="0.43-4.59"/>
    <n v="2.5099999999999998"/>
    <s v="#30"/>
    <x v="3"/>
    <n v="4.59"/>
    <n v="0.43"/>
    <n v="2.08"/>
    <n v="4.3263999999999996"/>
    <x v="7"/>
    <s v="NA5TE"/>
    <n v="21"/>
    <s v="NA5TE-21"/>
  </r>
  <r>
    <x v="11"/>
    <x v="300"/>
    <s v="0.07-4.93"/>
    <n v="2.5"/>
    <s v="#17"/>
    <x v="3"/>
    <n v="4.93"/>
    <n v="7.0000000000000007E-2"/>
    <n v="2.4300000000000002"/>
    <n v="5.9048999999999996"/>
    <x v="7"/>
    <s v="NA14TE"/>
    <n v="28"/>
    <s v="NA14TE-28"/>
  </r>
  <r>
    <x v="13"/>
    <x v="265"/>
    <n v="-5.92"/>
    <n v="2.5"/>
    <s v="#3"/>
    <x v="3"/>
    <n v="5.46"/>
    <n v="-0.46"/>
    <n v="2.96"/>
    <n v="8.7615999999999996"/>
    <x v="7"/>
    <s v="NA8TE"/>
    <n v="22"/>
    <s v="NA8TE-22"/>
  </r>
  <r>
    <x v="11"/>
    <x v="262"/>
    <s v="0.27-4.73"/>
    <n v="2.5"/>
    <s v="#26"/>
    <x v="2"/>
    <n v="4.7300000000000004"/>
    <n v="0.27"/>
    <n v="2.23"/>
    <n v="4.9729000000000001"/>
    <x v="7"/>
    <s v="NA14WR"/>
    <n v="52"/>
    <s v="NA14WR-52"/>
  </r>
  <r>
    <x v="15"/>
    <x v="264"/>
    <s v="0.23-4.77"/>
    <n v="2.5"/>
    <s v="#5"/>
    <x v="3"/>
    <n v="4.7699999999999996"/>
    <n v="0.23"/>
    <n v="2.27"/>
    <n v="5.1528999999999998"/>
    <x v="7"/>
    <s v="NA10TE"/>
    <n v="23"/>
    <s v="NA10TE-23"/>
  </r>
  <r>
    <x v="2"/>
    <x v="290"/>
    <s v="0.04-4.96"/>
    <n v="2.5"/>
    <s v="#20"/>
    <x v="3"/>
    <n v="4.96"/>
    <n v="0.04"/>
    <n v="2.46"/>
    <n v="6.0515999999999996"/>
    <x v="7"/>
    <s v="NA9TE"/>
    <n v="21"/>
    <s v="NA9TE-21"/>
  </r>
  <r>
    <x v="0"/>
    <x v="254"/>
    <s v="0.25-4.75"/>
    <n v="2.5"/>
    <s v="#1"/>
    <x v="2"/>
    <n v="4.75"/>
    <n v="0.25"/>
    <n v="2.25"/>
    <n v="5.0625"/>
    <x v="7"/>
    <s v="NA17WR"/>
    <n v="52"/>
    <s v="NA17WR-52"/>
  </r>
  <r>
    <x v="16"/>
    <x v="256"/>
    <n v="-6.16"/>
    <n v="2.5"/>
    <s v="#7"/>
    <x v="3"/>
    <n v="5.58"/>
    <n v="-0.57999999999999996"/>
    <n v="3.08"/>
    <n v="9.4863999999999997"/>
    <x v="7"/>
    <s v="NA3TE"/>
    <n v="23"/>
    <s v="NA3TE-23"/>
  </r>
  <r>
    <x v="11"/>
    <x v="272"/>
    <s v="0.31-4.69"/>
    <n v="2.5"/>
    <s v="#22"/>
    <x v="3"/>
    <n v="4.6900000000000004"/>
    <n v="0.31"/>
    <n v="2.19"/>
    <n v="4.7961"/>
    <x v="7"/>
    <s v="NA14TE"/>
    <n v="29"/>
    <s v="NA14TE-29"/>
  </r>
  <r>
    <x v="15"/>
    <x v="213"/>
    <s v="0.22-4.76"/>
    <n v="2.4900000000000002"/>
    <s v="#2"/>
    <x v="1"/>
    <n v="4.76"/>
    <n v="0.22"/>
    <n v="2.27"/>
    <n v="5.1528999999999998"/>
    <x v="7"/>
    <s v="NA10RB"/>
    <n v="24"/>
    <s v="NA10RB-24"/>
  </r>
  <r>
    <x v="0"/>
    <x v="301"/>
    <n v="-5.0199999999999996"/>
    <n v="2.4900000000000002"/>
    <s v="#17"/>
    <x v="3"/>
    <n v="5"/>
    <n v="-0.02"/>
    <n v="2.5099999999999998"/>
    <n v="6.3000999999999996"/>
    <x v="7"/>
    <s v="NA17TE"/>
    <n v="27"/>
    <s v="NA17TE-27"/>
  </r>
  <r>
    <x v="5"/>
    <x v="289"/>
    <s v="0.40-4.58"/>
    <n v="2.4900000000000002"/>
    <s v="#2"/>
    <x v="3"/>
    <n v="4.58"/>
    <n v="0.4"/>
    <n v="2.09"/>
    <n v="4.3681000000000001"/>
    <x v="7"/>
    <s v="NA13TE"/>
    <n v="27"/>
    <s v="NA13TE-27"/>
  </r>
  <r>
    <x v="14"/>
    <x v="252"/>
    <s v="1.33-3.65"/>
    <n v="2.4900000000000002"/>
    <s v="#15"/>
    <x v="0"/>
    <n v="3.65"/>
    <n v="1.33"/>
    <n v="1.1599999999999999"/>
    <n v="1.3455999999999999"/>
    <x v="7"/>
    <s v="NA4QB"/>
    <n v="16"/>
    <s v="NA4QB-16"/>
  </r>
  <r>
    <x v="8"/>
    <x v="252"/>
    <s v="1.95-3.03"/>
    <n v="2.4900000000000002"/>
    <s v="#14"/>
    <x v="0"/>
    <n v="3.03"/>
    <n v="1.95"/>
    <n v="0.54"/>
    <n v="0.29160000000000003"/>
    <x v="7"/>
    <s v="NA6QB"/>
    <n v="16"/>
    <s v="NA6QB-16"/>
  </r>
  <r>
    <x v="13"/>
    <x v="167"/>
    <n v="-6.58"/>
    <n v="2.4900000000000002"/>
    <s v="#10"/>
    <x v="2"/>
    <n v="5.78"/>
    <n v="-0.8"/>
    <n v="3.29"/>
    <n v="10.8241"/>
    <x v="10"/>
    <s v="aj8WR"/>
    <n v="6"/>
    <s v="aj8WR-6"/>
  </r>
  <r>
    <x v="2"/>
    <x v="247"/>
    <s v="0.36-4.60"/>
    <n v="2.48"/>
    <s v="#2"/>
    <x v="2"/>
    <n v="4.5999999999999996"/>
    <n v="0.36"/>
    <n v="2.12"/>
    <n v="4.4943999999999997"/>
    <x v="7"/>
    <s v="NA9WR"/>
    <n v="46"/>
    <s v="NA9WR-46"/>
  </r>
  <r>
    <x v="10"/>
    <x v="302"/>
    <s v="0.27-4.69"/>
    <n v="2.48"/>
    <s v="#8"/>
    <x v="3"/>
    <n v="4.6900000000000004"/>
    <n v="0.27"/>
    <n v="2.21"/>
    <n v="4.8841000000000001"/>
    <x v="7"/>
    <s v="NA2TE"/>
    <n v="19"/>
    <s v="NA2TE-19"/>
  </r>
  <r>
    <x v="5"/>
    <x v="274"/>
    <s v="0.33-4.63"/>
    <n v="2.48"/>
    <s v="#29"/>
    <x v="3"/>
    <n v="4.63"/>
    <n v="0.33"/>
    <n v="2.15"/>
    <n v="4.6224999999999996"/>
    <x v="7"/>
    <s v="NA13TE"/>
    <n v="28"/>
    <s v="NA13TE-28"/>
  </r>
  <r>
    <x v="7"/>
    <x v="265"/>
    <n v="-5.38"/>
    <n v="2.4700000000000002"/>
    <s v="#29"/>
    <x v="3"/>
    <n v="5.16"/>
    <n v="-0.22"/>
    <n v="2.69"/>
    <n v="7.2361000000000004"/>
    <x v="7"/>
    <s v="NA1TE"/>
    <n v="17"/>
    <s v="NA1TE-17"/>
  </r>
  <r>
    <x v="15"/>
    <x v="295"/>
    <s v="0.30-4.64"/>
    <n v="2.4700000000000002"/>
    <s v="#17"/>
    <x v="3"/>
    <n v="4.6399999999999997"/>
    <n v="0.3"/>
    <n v="2.17"/>
    <n v="4.7088999999999999"/>
    <x v="7"/>
    <s v="NA10TE"/>
    <n v="24"/>
    <s v="NA10TE-24"/>
  </r>
  <r>
    <x v="3"/>
    <x v="163"/>
    <s v="0.77-4.17"/>
    <n v="2.4700000000000002"/>
    <s v="#8"/>
    <x v="1"/>
    <n v="4.17"/>
    <n v="0.77"/>
    <n v="1.7"/>
    <n v="2.89"/>
    <x v="9"/>
    <s v="seth11RB"/>
    <n v="6"/>
    <s v="seth11RB-6"/>
  </r>
  <r>
    <x v="6"/>
    <x v="176"/>
    <s v="0.48-4.44"/>
    <n v="2.46"/>
    <s v="#7"/>
    <x v="2"/>
    <n v="4.4400000000000004"/>
    <n v="0.48"/>
    <n v="1.98"/>
    <n v="3.9203999999999999"/>
    <x v="7"/>
    <s v="NA12WR"/>
    <n v="50"/>
    <s v="NA12WR-50"/>
  </r>
  <r>
    <x v="6"/>
    <x v="285"/>
    <s v="0.39-4.53"/>
    <n v="2.46"/>
    <s v="#7"/>
    <x v="3"/>
    <n v="4.53"/>
    <n v="0.39"/>
    <n v="2.0699999999999998"/>
    <n v="4.2849000000000004"/>
    <x v="7"/>
    <s v="NA12TE"/>
    <n v="26"/>
    <s v="NA12TE-26"/>
  </r>
  <r>
    <x v="15"/>
    <x v="288"/>
    <s v="0.12-4.80"/>
    <n v="2.46"/>
    <s v="#11"/>
    <x v="3"/>
    <n v="4.8"/>
    <n v="0.12"/>
    <n v="2.34"/>
    <n v="5.4756"/>
    <x v="7"/>
    <s v="NA10TE"/>
    <n v="25"/>
    <s v="NA10TE-25"/>
  </r>
  <r>
    <x v="1"/>
    <x v="306"/>
    <s v="0.39-4.53"/>
    <n v="2.46"/>
    <s v="#10"/>
    <x v="3"/>
    <n v="4.53"/>
    <n v="0.39"/>
    <n v="2.0699999999999998"/>
    <n v="4.2849000000000004"/>
    <x v="7"/>
    <s v="NA16TE"/>
    <n v="26"/>
    <s v="NA16TE-26"/>
  </r>
  <r>
    <x v="3"/>
    <x v="270"/>
    <s v="0.37-4.55"/>
    <n v="2.46"/>
    <s v="#30"/>
    <x v="2"/>
    <n v="4.55"/>
    <n v="0.37"/>
    <n v="2.09"/>
    <n v="4.3681000000000001"/>
    <x v="7"/>
    <s v="NA11WR"/>
    <n v="37"/>
    <s v="NA11WR-37"/>
  </r>
  <r>
    <x v="7"/>
    <x v="236"/>
    <s v="0.02-4.90"/>
    <n v="2.46"/>
    <s v="#18"/>
    <x v="2"/>
    <n v="4.9000000000000004"/>
    <n v="0.02"/>
    <n v="2.44"/>
    <n v="5.9535999999999998"/>
    <x v="7"/>
    <s v="NA1WR"/>
    <n v="40"/>
    <s v="NA1WR-40"/>
  </r>
  <r>
    <x v="13"/>
    <x v="278"/>
    <s v="0.07-4.85"/>
    <n v="2.46"/>
    <s v="#26"/>
    <x v="2"/>
    <n v="4.8499999999999996"/>
    <n v="7.0000000000000007E-2"/>
    <n v="2.39"/>
    <n v="5.7121000000000004"/>
    <x v="7"/>
    <s v="NA8WR"/>
    <n v="45"/>
    <s v="NA8WR-45"/>
  </r>
  <r>
    <x v="9"/>
    <x v="279"/>
    <n v="-5.48"/>
    <n v="2.4500000000000002"/>
    <s v="#19"/>
    <x v="2"/>
    <n v="5.19"/>
    <n v="-0.28999999999999998"/>
    <n v="2.74"/>
    <n v="7.5076000000000001"/>
    <x v="7"/>
    <s v="NA15WR"/>
    <n v="53"/>
    <s v="NA15WR-53"/>
  </r>
  <r>
    <x v="1"/>
    <x v="285"/>
    <s v="0.69-4.21"/>
    <n v="2.4500000000000002"/>
    <s v="#32"/>
    <x v="3"/>
    <n v="4.21"/>
    <n v="0.69"/>
    <n v="1.76"/>
    <n v="3.0975999999999999"/>
    <x v="7"/>
    <s v="NA16TE"/>
    <n v="27"/>
    <s v="NA16TE-27"/>
  </r>
  <r>
    <x v="4"/>
    <x v="304"/>
    <s v="0.37-4.53"/>
    <n v="2.4500000000000002"/>
    <s v="#30"/>
    <x v="3"/>
    <n v="4.53"/>
    <n v="0.37"/>
    <n v="2.08"/>
    <n v="4.3263999999999996"/>
    <x v="7"/>
    <s v="NA7TE"/>
    <n v="26"/>
    <s v="NA7TE-26"/>
  </r>
  <r>
    <x v="9"/>
    <x v="238"/>
    <s v="0.29-4.61"/>
    <n v="2.4500000000000002"/>
    <s v="#1"/>
    <x v="1"/>
    <n v="4.6100000000000003"/>
    <n v="0.28999999999999998"/>
    <n v="2.16"/>
    <n v="4.6656000000000004"/>
    <x v="7"/>
    <s v="NA15RB"/>
    <n v="25"/>
    <s v="NA15RB-25"/>
  </r>
  <r>
    <x v="4"/>
    <x v="307"/>
    <n v="-6.0200000000000005"/>
    <n v="2.44"/>
    <s v="#4"/>
    <x v="2"/>
    <n v="5.45"/>
    <n v="-0.56999999999999995"/>
    <n v="3.01"/>
    <n v="9.0601000000000003"/>
    <x v="7"/>
    <s v="NA7WR"/>
    <n v="44"/>
    <s v="NA7WR-44"/>
  </r>
  <r>
    <x v="11"/>
    <x v="307"/>
    <n v="-6.14"/>
    <n v="2.44"/>
    <s v="#8"/>
    <x v="2"/>
    <n v="5.51"/>
    <n v="-0.63"/>
    <n v="3.07"/>
    <n v="9.4248999999999992"/>
    <x v="7"/>
    <s v="NA14WR"/>
    <n v="53"/>
    <s v="NA14WR-53"/>
  </r>
  <r>
    <x v="10"/>
    <x v="255"/>
    <n v="-5.3999999999999995"/>
    <n v="2.44"/>
    <s v="#11"/>
    <x v="3"/>
    <n v="5.14"/>
    <n v="-0.26"/>
    <n v="2.7"/>
    <n v="7.29"/>
    <x v="7"/>
    <s v="NA2TE"/>
    <n v="20"/>
    <s v="NA2TE-20"/>
  </r>
  <r>
    <x v="12"/>
    <x v="281"/>
    <s v="0.43-4.45"/>
    <n v="2.44"/>
    <s v="#24"/>
    <x v="3"/>
    <n v="4.45"/>
    <n v="0.43"/>
    <n v="2.0099999999999998"/>
    <n v="4.0400999999999998"/>
    <x v="7"/>
    <s v="NA5TE"/>
    <n v="22"/>
    <s v="NA5TE-22"/>
  </r>
  <r>
    <x v="12"/>
    <x v="214"/>
    <n v="-6.96"/>
    <n v="2.44"/>
    <s v="#24"/>
    <x v="2"/>
    <n v="5.92"/>
    <n v="-1.04"/>
    <n v="3.48"/>
    <n v="12.1104"/>
    <x v="7"/>
    <s v="NA5WR"/>
    <n v="47"/>
    <s v="NA5WR-47"/>
  </r>
  <r>
    <x v="8"/>
    <x v="270"/>
    <s v="0.19-4.69"/>
    <n v="2.44"/>
    <s v="#22"/>
    <x v="2"/>
    <n v="4.6900000000000004"/>
    <n v="0.19"/>
    <n v="2.25"/>
    <n v="5.0625"/>
    <x v="7"/>
    <s v="NA6WR"/>
    <n v="47"/>
    <s v="NA6WR-47"/>
  </r>
  <r>
    <x v="8"/>
    <x v="240"/>
    <s v="0.10-4.78"/>
    <n v="2.44"/>
    <s v="#1"/>
    <x v="2"/>
    <n v="4.78"/>
    <n v="0.1"/>
    <n v="2.34"/>
    <n v="5.4756"/>
    <x v="7"/>
    <s v="NA6WR"/>
    <n v="48"/>
    <s v="NA6WR-48"/>
  </r>
  <r>
    <x v="12"/>
    <x v="308"/>
    <n v="-6.1800000000000006"/>
    <n v="2.44"/>
    <s v="#23"/>
    <x v="1"/>
    <n v="5.53"/>
    <n v="-0.65"/>
    <n v="3.09"/>
    <n v="9.5480999999999998"/>
    <x v="7"/>
    <s v="NA5RB"/>
    <n v="20"/>
    <s v="NA5RB-20"/>
  </r>
  <r>
    <x v="16"/>
    <x v="197"/>
    <n v="-4.8999999999999995"/>
    <n v="2.4300000000000002"/>
    <s v="#15"/>
    <x v="3"/>
    <n v="4.88"/>
    <n v="-0.02"/>
    <n v="2.4500000000000002"/>
    <n v="6.0025000000000004"/>
    <x v="7"/>
    <s v="NA3TE"/>
    <n v="24"/>
    <s v="NA3TE-24"/>
  </r>
  <r>
    <x v="4"/>
    <x v="150"/>
    <s v="0.51-4.35"/>
    <n v="2.4300000000000002"/>
    <s v="#27"/>
    <x v="1"/>
    <n v="4.3499999999999996"/>
    <n v="0.51"/>
    <n v="1.92"/>
    <n v="3.6863999999999999"/>
    <x v="7"/>
    <s v="NA7RB"/>
    <n v="22"/>
    <s v="NA7RB-22"/>
  </r>
  <r>
    <x v="9"/>
    <x v="276"/>
    <s v="0.31-4.55"/>
    <n v="2.4300000000000002"/>
    <s v="#16"/>
    <x v="3"/>
    <n v="4.55"/>
    <n v="0.31"/>
    <n v="2.12"/>
    <n v="4.4943999999999997"/>
    <x v="7"/>
    <s v="NA15TE"/>
    <n v="24"/>
    <s v="NA15TE-24"/>
  </r>
  <r>
    <x v="15"/>
    <x v="301"/>
    <n v="-4.88"/>
    <n v="2.4300000000000002"/>
    <s v="#11"/>
    <x v="3"/>
    <n v="4.87"/>
    <n v="-0.01"/>
    <n v="2.44"/>
    <n v="5.9535999999999998"/>
    <x v="7"/>
    <s v="NA10TE"/>
    <n v="26"/>
    <s v="NA10TE-26"/>
  </r>
  <r>
    <x v="13"/>
    <x v="272"/>
    <s v="0.24-4.62"/>
    <n v="2.4300000000000002"/>
    <s v="#22"/>
    <x v="3"/>
    <n v="4.62"/>
    <n v="0.24"/>
    <n v="2.19"/>
    <n v="4.7961"/>
    <x v="7"/>
    <s v="NA8TE"/>
    <n v="23"/>
    <s v="NA8TE-23"/>
  </r>
  <r>
    <x v="10"/>
    <x v="197"/>
    <s v="0.28-4.56"/>
    <n v="2.42"/>
    <s v="#6"/>
    <x v="3"/>
    <n v="4.5599999999999996"/>
    <n v="0.28000000000000003"/>
    <n v="2.14"/>
    <n v="4.5796000000000001"/>
    <x v="7"/>
    <s v="NA2TE"/>
    <n v="21"/>
    <s v="NA2TE-21"/>
  </r>
  <r>
    <x v="1"/>
    <x v="288"/>
    <s v="0.03-4.81"/>
    <n v="2.42"/>
    <s v="#21"/>
    <x v="3"/>
    <n v="4.8099999999999996"/>
    <n v="0.03"/>
    <n v="2.39"/>
    <n v="5.7121000000000004"/>
    <x v="7"/>
    <s v="NA16TE"/>
    <n v="28"/>
    <s v="NA16TE-28"/>
  </r>
  <r>
    <x v="1"/>
    <x v="295"/>
    <s v="0.03-4.81"/>
    <n v="2.42"/>
    <s v="#12"/>
    <x v="3"/>
    <n v="4.8099999999999996"/>
    <n v="0.03"/>
    <n v="2.39"/>
    <n v="5.7121000000000004"/>
    <x v="7"/>
    <s v="NA16TE"/>
    <n v="29"/>
    <s v="NA16TE-29"/>
  </r>
  <r>
    <x v="10"/>
    <x v="244"/>
    <s v="0.21-4.63"/>
    <n v="2.42"/>
    <s v="#16"/>
    <x v="2"/>
    <n v="4.63"/>
    <n v="0.21"/>
    <n v="2.21"/>
    <n v="4.8841000000000001"/>
    <x v="7"/>
    <s v="NA2WR"/>
    <n v="43"/>
    <s v="NA2WR-43"/>
  </r>
  <r>
    <x v="16"/>
    <x v="184"/>
    <s v="0.44-4.38"/>
    <n v="2.41"/>
    <s v="#1"/>
    <x v="2"/>
    <n v="4.38"/>
    <n v="0.44"/>
    <n v="1.97"/>
    <n v="3.8809"/>
    <x v="7"/>
    <s v="NA3WR"/>
    <n v="46"/>
    <s v="NA3WR-46"/>
  </r>
  <r>
    <x v="11"/>
    <x v="252"/>
    <s v="1.78-3.04"/>
    <n v="2.41"/>
    <s v="#32"/>
    <x v="0"/>
    <n v="3.04"/>
    <n v="1.78"/>
    <n v="0.63"/>
    <n v="0.39689999999999998"/>
    <x v="7"/>
    <s v="NA14QB"/>
    <n v="16"/>
    <s v="NA14QB-16"/>
  </r>
  <r>
    <x v="13"/>
    <x v="259"/>
    <s v="0.20-4.62"/>
    <n v="2.41"/>
    <s v="#27"/>
    <x v="3"/>
    <n v="4.62"/>
    <n v="0.2"/>
    <n v="2.21"/>
    <n v="4.8841000000000001"/>
    <x v="7"/>
    <s v="NA8TE"/>
    <n v="24"/>
    <s v="NA8TE-24"/>
  </r>
  <r>
    <x v="1"/>
    <x v="294"/>
    <s v="0.02-4.80"/>
    <n v="2.41"/>
    <s v="#19"/>
    <x v="3"/>
    <n v="4.8"/>
    <n v="0.02"/>
    <n v="2.39"/>
    <n v="5.7121000000000004"/>
    <x v="7"/>
    <s v="NA16TE"/>
    <n v="30"/>
    <s v="NA16TE-30"/>
  </r>
  <r>
    <x v="10"/>
    <x v="263"/>
    <s v="0.45-4.37"/>
    <n v="2.41"/>
    <s v="#11"/>
    <x v="3"/>
    <n v="4.37"/>
    <n v="0.45"/>
    <n v="1.96"/>
    <n v="3.8416000000000001"/>
    <x v="7"/>
    <s v="NA2TE"/>
    <n v="22"/>
    <s v="NA2TE-22"/>
  </r>
  <r>
    <x v="5"/>
    <x v="281"/>
    <n v="-5.28"/>
    <n v="2.4"/>
    <s v="#16"/>
    <x v="3"/>
    <n v="5.04"/>
    <n v="-0.24"/>
    <n v="2.64"/>
    <n v="6.9695999999999998"/>
    <x v="7"/>
    <s v="NA13TE"/>
    <n v="29"/>
    <s v="NA13TE-29"/>
  </r>
  <r>
    <x v="1"/>
    <x v="298"/>
    <n v="-5.42"/>
    <n v="2.4"/>
    <s v="#15"/>
    <x v="3"/>
    <n v="5.1100000000000003"/>
    <n v="-0.31"/>
    <n v="2.71"/>
    <n v="7.3441000000000001"/>
    <x v="7"/>
    <s v="NA16TE"/>
    <n v="31"/>
    <s v="NA16TE-31"/>
  </r>
  <r>
    <x v="3"/>
    <x v="275"/>
    <s v="1.83-2.97"/>
    <n v="2.4"/>
    <s v="#6"/>
    <x v="0"/>
    <n v="2.97"/>
    <n v="1.83"/>
    <n v="0.56999999999999995"/>
    <n v="0.32490000000000002"/>
    <x v="7"/>
    <s v="NA11QB"/>
    <n v="13"/>
    <s v="NA11QB-13"/>
  </r>
  <r>
    <x v="14"/>
    <x v="186"/>
    <n v="-5.44"/>
    <n v="2.39"/>
    <s v="#20"/>
    <x v="2"/>
    <n v="5.1100000000000003"/>
    <n v="-0.33"/>
    <n v="2.72"/>
    <n v="7.3983999999999996"/>
    <x v="7"/>
    <s v="NA4WR"/>
    <n v="43"/>
    <s v="NA4WR-43"/>
  </r>
  <r>
    <x v="9"/>
    <x v="186"/>
    <s v="0.08-4.70"/>
    <n v="2.39"/>
    <s v="#8"/>
    <x v="2"/>
    <n v="4.7"/>
    <n v="0.08"/>
    <n v="2.31"/>
    <n v="5.3361000000000001"/>
    <x v="7"/>
    <s v="NA15WR"/>
    <n v="54"/>
    <s v="NA15WR-54"/>
  </r>
  <r>
    <x v="3"/>
    <x v="306"/>
    <s v="0.46-4.32"/>
    <n v="2.39"/>
    <s v="#25"/>
    <x v="3"/>
    <n v="4.32"/>
    <n v="0.46"/>
    <n v="1.93"/>
    <n v="3.7248999999999999"/>
    <x v="7"/>
    <s v="NA11TE"/>
    <n v="24"/>
    <s v="NA11TE-24"/>
  </r>
  <r>
    <x v="12"/>
    <x v="270"/>
    <s v="0.23-4.55"/>
    <n v="2.39"/>
    <s v="#26"/>
    <x v="2"/>
    <n v="4.55"/>
    <n v="0.23"/>
    <n v="2.16"/>
    <n v="4.6656000000000004"/>
    <x v="7"/>
    <s v="NA5WR"/>
    <n v="48"/>
    <s v="NA5WR-48"/>
  </r>
  <r>
    <x v="3"/>
    <x v="292"/>
    <s v="0.46-4.32"/>
    <n v="2.39"/>
    <s v="#32"/>
    <x v="2"/>
    <n v="4.32"/>
    <n v="0.46"/>
    <n v="1.93"/>
    <n v="3.7248999999999999"/>
    <x v="7"/>
    <s v="NA11WR"/>
    <n v="38"/>
    <s v="NA11WR-38"/>
  </r>
  <r>
    <x v="13"/>
    <x v="294"/>
    <n v="-5"/>
    <n v="2.39"/>
    <s v="#15"/>
    <x v="3"/>
    <n v="4.8899999999999997"/>
    <n v="-0.11"/>
    <n v="2.5"/>
    <n v="6.25"/>
    <x v="7"/>
    <s v="NA8TE"/>
    <n v="25"/>
    <s v="NA8TE-25"/>
  </r>
  <r>
    <x v="11"/>
    <x v="240"/>
    <s v="0.12-4.66"/>
    <n v="2.39"/>
    <s v="#3"/>
    <x v="2"/>
    <n v="4.66"/>
    <n v="0.12"/>
    <n v="2.27"/>
    <n v="5.1528999999999998"/>
    <x v="7"/>
    <s v="NA14WR"/>
    <n v="54"/>
    <s v="NA14WR-54"/>
  </r>
  <r>
    <x v="7"/>
    <x v="245"/>
    <n v="-5.3999999999999995"/>
    <n v="2.39"/>
    <s v="#23"/>
    <x v="2"/>
    <n v="5.09"/>
    <n v="-0.31"/>
    <n v="2.7"/>
    <n v="7.29"/>
    <x v="7"/>
    <s v="NA1WR"/>
    <n v="41"/>
    <s v="NA1WR-41"/>
  </r>
  <r>
    <x v="5"/>
    <x v="278"/>
    <s v="0.06-4.72"/>
    <n v="2.39"/>
    <s v="#23"/>
    <x v="2"/>
    <n v="4.72"/>
    <n v="0.06"/>
    <n v="2.33"/>
    <n v="5.4288999999999996"/>
    <x v="7"/>
    <s v="NA13WR"/>
    <n v="56"/>
    <s v="NA13WR-56"/>
  </r>
  <r>
    <x v="1"/>
    <x v="287"/>
    <n v="-5.1000000000000005"/>
    <n v="2.39"/>
    <s v="#13"/>
    <x v="3"/>
    <n v="4.9400000000000004"/>
    <n v="-0.16"/>
    <n v="2.5499999999999998"/>
    <n v="6.5025000000000004"/>
    <x v="7"/>
    <s v="NA16TE"/>
    <n v="32"/>
    <s v="NA16TE-32"/>
  </r>
  <r>
    <x v="8"/>
    <x v="279"/>
    <s v="0.22-4.54"/>
    <n v="2.38"/>
    <s v="#8"/>
    <x v="2"/>
    <n v="4.54"/>
    <n v="0.22"/>
    <n v="2.16"/>
    <n v="4.6656000000000004"/>
    <x v="7"/>
    <s v="NA6WR"/>
    <n v="49"/>
    <s v="NA6WR-49"/>
  </r>
  <r>
    <x v="11"/>
    <x v="288"/>
    <s v="0.04-4.72"/>
    <n v="2.38"/>
    <s v="#11"/>
    <x v="3"/>
    <n v="4.72"/>
    <n v="0.04"/>
    <n v="2.34"/>
    <n v="5.4756"/>
    <x v="7"/>
    <s v="NA14TE"/>
    <n v="30"/>
    <s v="NA14TE-30"/>
  </r>
  <r>
    <x v="5"/>
    <x v="262"/>
    <s v="0.13-4.63"/>
    <n v="2.38"/>
    <s v="#18"/>
    <x v="2"/>
    <n v="4.63"/>
    <n v="0.13"/>
    <n v="2.25"/>
    <n v="5.0625"/>
    <x v="7"/>
    <s v="NA13WR"/>
    <n v="57"/>
    <s v="NA13WR-57"/>
  </r>
  <r>
    <x v="15"/>
    <x v="270"/>
    <s v="0.29-4.47"/>
    <n v="2.38"/>
    <s v="#23"/>
    <x v="2"/>
    <n v="4.47"/>
    <n v="0.28999999999999998"/>
    <n v="2.09"/>
    <n v="4.3681000000000001"/>
    <x v="7"/>
    <s v="NA10WR"/>
    <n v="51"/>
    <s v="NA10WR-51"/>
  </r>
  <r>
    <x v="3"/>
    <x v="278"/>
    <n v="-4.84"/>
    <n v="2.38"/>
    <s v="#6"/>
    <x v="2"/>
    <n v="4.8"/>
    <n v="-0.04"/>
    <n v="2.42"/>
    <n v="5.8563999999999998"/>
    <x v="7"/>
    <s v="NA11WR"/>
    <n v="39"/>
    <s v="NA11WR-39"/>
  </r>
  <r>
    <x v="5"/>
    <x v="300"/>
    <s v="0.10-4.64"/>
    <n v="2.37"/>
    <s v="#11"/>
    <x v="3"/>
    <n v="4.6399999999999997"/>
    <n v="0.1"/>
    <n v="2.27"/>
    <n v="5.1528999999999998"/>
    <x v="7"/>
    <s v="NA13TE"/>
    <n v="30"/>
    <s v="NA13TE-30"/>
  </r>
  <r>
    <x v="1"/>
    <x v="186"/>
    <n v="-4.8599999999999994"/>
    <n v="2.37"/>
    <s v="#5"/>
    <x v="2"/>
    <n v="4.8"/>
    <n v="-0.06"/>
    <n v="2.4300000000000002"/>
    <n v="5.9048999999999996"/>
    <x v="7"/>
    <s v="NA16WR"/>
    <n v="56"/>
    <s v="NA16WR-56"/>
  </r>
  <r>
    <x v="12"/>
    <x v="289"/>
    <s v="0.41-4.33"/>
    <n v="2.37"/>
    <s v="#23"/>
    <x v="3"/>
    <n v="4.33"/>
    <n v="0.41"/>
    <n v="1.96"/>
    <n v="3.8416000000000001"/>
    <x v="7"/>
    <s v="NA5TE"/>
    <n v="23"/>
    <s v="NA5TE-23"/>
  </r>
  <r>
    <x v="15"/>
    <x v="229"/>
    <n v="-5.16"/>
    <n v="2.37"/>
    <s v="#18"/>
    <x v="3"/>
    <n v="4.95"/>
    <n v="-0.21"/>
    <n v="2.58"/>
    <n v="6.6563999999999997"/>
    <x v="7"/>
    <s v="NA10TE"/>
    <n v="27"/>
    <s v="NA10TE-27"/>
  </r>
  <r>
    <x v="11"/>
    <x v="275"/>
    <s v="1.70-3.04"/>
    <n v="2.37"/>
    <s v="#31"/>
    <x v="0"/>
    <n v="3.04"/>
    <n v="1.7"/>
    <n v="0.67"/>
    <n v="0.44890000000000002"/>
    <x v="7"/>
    <s v="NA14QB"/>
    <n v="17"/>
    <s v="NA14QB-17"/>
  </r>
  <r>
    <x v="11"/>
    <x v="180"/>
    <s v="0.09-4.63"/>
    <n v="2.36"/>
    <s v="#22"/>
    <x v="2"/>
    <n v="4.63"/>
    <n v="0.09"/>
    <n v="2.27"/>
    <n v="5.1528999999999998"/>
    <x v="7"/>
    <s v="NA14WR"/>
    <n v="55"/>
    <s v="NA14WR-55"/>
  </r>
  <r>
    <x v="6"/>
    <x v="295"/>
    <s v="0.15-4.57"/>
    <n v="2.36"/>
    <s v="#27"/>
    <x v="3"/>
    <n v="4.57"/>
    <n v="0.15"/>
    <n v="2.21"/>
    <n v="4.8841000000000001"/>
    <x v="7"/>
    <s v="NA12TE"/>
    <n v="27"/>
    <s v="NA12TE-27"/>
  </r>
  <r>
    <x v="1"/>
    <x v="304"/>
    <s v="0.23-4.49"/>
    <n v="2.36"/>
    <s v="#20"/>
    <x v="3"/>
    <n v="4.49"/>
    <n v="0.23"/>
    <n v="2.13"/>
    <n v="4.5369000000000002"/>
    <x v="7"/>
    <s v="NA16TE"/>
    <n v="33"/>
    <s v="NA16TE-33"/>
  </r>
  <r>
    <x v="11"/>
    <x v="290"/>
    <s v="0.09-4.63"/>
    <n v="2.36"/>
    <s v="#26"/>
    <x v="3"/>
    <n v="4.63"/>
    <n v="0.09"/>
    <n v="2.27"/>
    <n v="5.1528999999999998"/>
    <x v="7"/>
    <s v="NA14TE"/>
    <n v="31"/>
    <s v="NA14TE-31"/>
  </r>
  <r>
    <x v="0"/>
    <x v="292"/>
    <s v="0.45-4.27"/>
    <n v="2.36"/>
    <s v="#18"/>
    <x v="2"/>
    <n v="4.2699999999999996"/>
    <n v="0.45"/>
    <n v="1.91"/>
    <n v="3.6480999999999999"/>
    <x v="7"/>
    <s v="NA17WR"/>
    <n v="53"/>
    <s v="NA17WR-53"/>
  </r>
  <r>
    <x v="1"/>
    <x v="255"/>
    <s v="0.09-4.61"/>
    <n v="2.35"/>
    <s v="#1"/>
    <x v="3"/>
    <n v="4.6100000000000003"/>
    <n v="0.09"/>
    <n v="2.2599999999999998"/>
    <n v="5.1075999999999997"/>
    <x v="7"/>
    <s v="NA16TE"/>
    <n v="34"/>
    <s v="NA16TE-34"/>
  </r>
  <r>
    <x v="13"/>
    <x v="281"/>
    <s v="0.09-4.61"/>
    <n v="2.35"/>
    <s v="#31"/>
    <x v="3"/>
    <n v="4.6100000000000003"/>
    <n v="0.09"/>
    <n v="2.2599999999999998"/>
    <n v="5.1075999999999997"/>
    <x v="7"/>
    <s v="NA8TE"/>
    <n v="26"/>
    <s v="NA8TE-26"/>
  </r>
  <r>
    <x v="2"/>
    <x v="167"/>
    <n v="-6.38"/>
    <n v="2.35"/>
    <s v="#17"/>
    <x v="2"/>
    <n v="5.54"/>
    <n v="-0.84"/>
    <n v="3.19"/>
    <n v="10.1761"/>
    <x v="10"/>
    <s v="aj9WR"/>
    <n v="5"/>
    <s v="aj9WR-5"/>
  </r>
  <r>
    <x v="12"/>
    <x v="294"/>
    <n v="-5.2600000000000007"/>
    <n v="2.35"/>
    <s v="#1"/>
    <x v="3"/>
    <n v="4.9800000000000004"/>
    <n v="-0.28000000000000003"/>
    <n v="2.63"/>
    <n v="6.9169"/>
    <x v="7"/>
    <s v="NA5TE"/>
    <n v="24"/>
    <s v="NA5TE-24"/>
  </r>
  <r>
    <x v="15"/>
    <x v="281"/>
    <s v="0.31-4.37"/>
    <n v="2.34"/>
    <s v="#30"/>
    <x v="3"/>
    <n v="4.37"/>
    <n v="0.31"/>
    <n v="2.0299999999999998"/>
    <n v="4.1208999999999998"/>
    <x v="7"/>
    <s v="NA10TE"/>
    <n v="28"/>
    <s v="NA10TE-28"/>
  </r>
  <r>
    <x v="15"/>
    <x v="285"/>
    <s v="0.15-4.53"/>
    <n v="2.34"/>
    <s v="#10"/>
    <x v="3"/>
    <n v="4.53"/>
    <n v="0.15"/>
    <n v="2.19"/>
    <n v="4.7961"/>
    <x v="7"/>
    <s v="NA10TE"/>
    <n v="29"/>
    <s v="NA10TE-29"/>
  </r>
  <r>
    <x v="2"/>
    <x v="248"/>
    <s v="0.20-4.48"/>
    <n v="2.34"/>
    <s v="#25"/>
    <x v="3"/>
    <n v="4.4800000000000004"/>
    <n v="0.2"/>
    <n v="2.14"/>
    <n v="4.5796000000000001"/>
    <x v="7"/>
    <s v="NA9TE"/>
    <n v="22"/>
    <s v="NA9TE-22"/>
  </r>
  <r>
    <x v="6"/>
    <x v="291"/>
    <n v="-5.68"/>
    <n v="2.34"/>
    <s v="#14"/>
    <x v="3"/>
    <n v="5.18"/>
    <n v="-0.5"/>
    <n v="2.84"/>
    <n v="8.0655999999999999"/>
    <x v="7"/>
    <s v="NA12TE"/>
    <n v="28"/>
    <s v="NA12TE-28"/>
  </r>
  <r>
    <x v="0"/>
    <x v="252"/>
    <s v="1.80-2.88"/>
    <n v="2.34"/>
    <s v="#2"/>
    <x v="0"/>
    <n v="2.88"/>
    <n v="1.8"/>
    <n v="0.54"/>
    <n v="0.29160000000000003"/>
    <x v="7"/>
    <s v="NA17QB"/>
    <n v="17"/>
    <s v="NA17QB-17"/>
  </r>
  <r>
    <x v="16"/>
    <x v="268"/>
    <s v="0.23-4.45"/>
    <n v="2.34"/>
    <s v="#20"/>
    <x v="1"/>
    <n v="4.45"/>
    <n v="0.23"/>
    <n v="2.11"/>
    <n v="4.4520999999999997"/>
    <x v="7"/>
    <s v="NA3RB"/>
    <n v="26"/>
    <s v="NA3RB-26"/>
  </r>
  <r>
    <x v="9"/>
    <x v="268"/>
    <s v="0.30-4.38"/>
    <n v="2.34"/>
    <s v="#6"/>
    <x v="1"/>
    <n v="4.38"/>
    <n v="0.3"/>
    <n v="2.04"/>
    <n v="4.1616"/>
    <x v="7"/>
    <s v="NA15RB"/>
    <n v="26"/>
    <s v="NA15RB-26"/>
  </r>
  <r>
    <x v="14"/>
    <x v="278"/>
    <s v="0.16-4.52"/>
    <n v="2.34"/>
    <s v="#22"/>
    <x v="2"/>
    <n v="4.5199999999999996"/>
    <n v="0.16"/>
    <n v="2.1800000000000002"/>
    <n v="4.7523999999999997"/>
    <x v="7"/>
    <s v="NA4WR"/>
    <n v="44"/>
    <s v="NA4WR-44"/>
  </r>
  <r>
    <x v="6"/>
    <x v="278"/>
    <s v="0.15-4.53"/>
    <n v="2.34"/>
    <s v="#29"/>
    <x v="2"/>
    <n v="4.53"/>
    <n v="0.15"/>
    <n v="2.19"/>
    <n v="4.7961"/>
    <x v="7"/>
    <s v="NA12WR"/>
    <n v="51"/>
    <s v="NA12WR-51"/>
  </r>
  <r>
    <x v="10"/>
    <x v="279"/>
    <s v="0.24-4.42"/>
    <n v="2.33"/>
    <s v="#16"/>
    <x v="2"/>
    <n v="4.42"/>
    <n v="0.24"/>
    <n v="2.09"/>
    <n v="4.3681000000000001"/>
    <x v="7"/>
    <s v="NA2WR"/>
    <n v="44"/>
    <s v="NA2WR-44"/>
  </r>
  <r>
    <x v="11"/>
    <x v="279"/>
    <n v="-5.48"/>
    <n v="2.33"/>
    <s v="#15"/>
    <x v="2"/>
    <n v="5.07"/>
    <n v="-0.41"/>
    <n v="2.74"/>
    <n v="7.5076000000000001"/>
    <x v="7"/>
    <s v="NA14WR"/>
    <n v="56"/>
    <s v="NA14WR-56"/>
  </r>
  <r>
    <x v="5"/>
    <x v="186"/>
    <s v="0.02-4.64"/>
    <n v="2.33"/>
    <s v="#8"/>
    <x v="2"/>
    <n v="4.6399999999999997"/>
    <n v="0.02"/>
    <n v="2.31"/>
    <n v="5.3361000000000001"/>
    <x v="7"/>
    <s v="NA13WR"/>
    <n v="58"/>
    <s v="NA13WR-58"/>
  </r>
  <r>
    <x v="12"/>
    <x v="268"/>
    <s v="0.02-4.64"/>
    <n v="2.33"/>
    <s v="#8"/>
    <x v="1"/>
    <n v="4.6399999999999997"/>
    <n v="0.02"/>
    <n v="2.31"/>
    <n v="5.3361000000000001"/>
    <x v="7"/>
    <s v="NA5RB"/>
    <n v="21"/>
    <s v="NA5RB-21"/>
  </r>
  <r>
    <x v="3"/>
    <x v="304"/>
    <s v="0.36-4.30"/>
    <n v="2.33"/>
    <s v="#19"/>
    <x v="3"/>
    <n v="4.3"/>
    <n v="0.36"/>
    <n v="1.97"/>
    <n v="3.8809"/>
    <x v="7"/>
    <s v="NA11TE"/>
    <n v="25"/>
    <s v="NA11TE-25"/>
  </r>
  <r>
    <x v="4"/>
    <x v="275"/>
    <s v="1.76-2.90"/>
    <n v="2.33"/>
    <s v="#1"/>
    <x v="0"/>
    <n v="2.9"/>
    <n v="1.76"/>
    <n v="0.56999999999999995"/>
    <n v="0.32490000000000002"/>
    <x v="7"/>
    <s v="NA7QB"/>
    <n v="16"/>
    <s v="NA7QB-16"/>
  </r>
  <r>
    <x v="2"/>
    <x v="282"/>
    <s v="0.22-4.44"/>
    <n v="2.33"/>
    <s v="#8"/>
    <x v="2"/>
    <n v="4.4400000000000004"/>
    <n v="0.22"/>
    <n v="2.11"/>
    <n v="4.4520999999999997"/>
    <x v="7"/>
    <s v="NA9WR"/>
    <n v="47"/>
    <s v="NA9WR-47"/>
  </r>
  <r>
    <x v="16"/>
    <x v="278"/>
    <s v="0.05-4.61"/>
    <n v="2.33"/>
    <s v="#29"/>
    <x v="2"/>
    <n v="4.6100000000000003"/>
    <n v="0.05"/>
    <n v="2.2799999999999998"/>
    <n v="5.1984000000000004"/>
    <x v="7"/>
    <s v="NA3WR"/>
    <n v="47"/>
    <s v="NA3WR-47"/>
  </r>
  <r>
    <x v="10"/>
    <x v="249"/>
    <s v="0.56-4.08"/>
    <n v="2.3199999999999998"/>
    <s v="#6"/>
    <x v="2"/>
    <n v="4.08"/>
    <n v="0.56000000000000005"/>
    <n v="1.76"/>
    <n v="3.0975999999999999"/>
    <x v="7"/>
    <s v="NA2WR"/>
    <n v="45"/>
    <s v="NA2WR-45"/>
  </r>
  <r>
    <x v="8"/>
    <x v="247"/>
    <s v="0.38-4.26"/>
    <n v="2.3199999999999998"/>
    <s v="#17"/>
    <x v="2"/>
    <n v="4.26"/>
    <n v="0.38"/>
    <n v="1.94"/>
    <n v="3.7635999999999998"/>
    <x v="7"/>
    <s v="NA6WR"/>
    <n v="50"/>
    <s v="NA6WR-50"/>
  </r>
  <r>
    <x v="12"/>
    <x v="288"/>
    <s v="0.08-4.56"/>
    <n v="2.3199999999999998"/>
    <s v="#16"/>
    <x v="3"/>
    <n v="4.5599999999999996"/>
    <n v="0.08"/>
    <n v="2.2400000000000002"/>
    <n v="5.0175999999999998"/>
    <x v="7"/>
    <s v="NA5TE"/>
    <n v="25"/>
    <s v="NA5TE-25"/>
  </r>
  <r>
    <x v="11"/>
    <x v="301"/>
    <n v="-4.88"/>
    <n v="2.3199999999999998"/>
    <s v="#11"/>
    <x v="3"/>
    <n v="4.76"/>
    <n v="-0.12"/>
    <n v="2.44"/>
    <n v="5.9535999999999998"/>
    <x v="7"/>
    <s v="NA14TE"/>
    <n v="32"/>
    <s v="NA14TE-32"/>
  </r>
  <r>
    <x v="2"/>
    <x v="293"/>
    <n v="-5.68"/>
    <n v="2.3199999999999998"/>
    <s v="#30"/>
    <x v="2"/>
    <n v="5.16"/>
    <n v="-0.52"/>
    <n v="2.84"/>
    <n v="8.0655999999999999"/>
    <x v="7"/>
    <s v="NA9WR"/>
    <n v="48"/>
    <s v="NA9WR-48"/>
  </r>
  <r>
    <x v="1"/>
    <x v="252"/>
    <s v="1.73-2.91"/>
    <n v="2.3199999999999998"/>
    <s v="#20"/>
    <x v="0"/>
    <n v="2.91"/>
    <n v="1.73"/>
    <n v="0.59"/>
    <n v="0.34810000000000002"/>
    <x v="7"/>
    <s v="NA16QB"/>
    <n v="16"/>
    <s v="NA16QB-16"/>
  </r>
  <r>
    <x v="14"/>
    <x v="210"/>
    <s v="0.48-4.16"/>
    <n v="2.3199999999999998"/>
    <s v="#25"/>
    <x v="1"/>
    <n v="4.16"/>
    <n v="0.48"/>
    <n v="1.84"/>
    <n v="3.3856000000000002"/>
    <x v="7"/>
    <s v="NA4RB"/>
    <n v="23"/>
    <s v="NA4RB-23"/>
  </r>
  <r>
    <x v="8"/>
    <x v="294"/>
    <s v="0.01-4.63"/>
    <n v="2.3199999999999998"/>
    <s v="#20"/>
    <x v="3"/>
    <n v="4.63"/>
    <n v="0.01"/>
    <n v="2.31"/>
    <n v="5.3361000000000001"/>
    <x v="7"/>
    <s v="NA6TE"/>
    <n v="25"/>
    <s v="NA6TE-25"/>
  </r>
  <r>
    <x v="6"/>
    <x v="244"/>
    <s v="0.48-4.16"/>
    <n v="2.3199999999999998"/>
    <s v="#1"/>
    <x v="2"/>
    <n v="4.16"/>
    <n v="0.48"/>
    <n v="1.84"/>
    <n v="3.3856000000000002"/>
    <x v="7"/>
    <s v="NA12WR"/>
    <n v="52"/>
    <s v="NA12WR-52"/>
  </r>
  <r>
    <x v="7"/>
    <x v="271"/>
    <n v="-5.3"/>
    <n v="2.3199999999999998"/>
    <s v="#26"/>
    <x v="2"/>
    <n v="4.97"/>
    <n v="-0.33"/>
    <n v="2.65"/>
    <n v="7.0225"/>
    <x v="7"/>
    <s v="NA1WR"/>
    <n v="42"/>
    <s v="NA1WR-42"/>
  </r>
  <r>
    <x v="3"/>
    <x v="287"/>
    <s v="0.27-4.37"/>
    <n v="2.3199999999999998"/>
    <s v="#32"/>
    <x v="3"/>
    <n v="4.37"/>
    <n v="0.27"/>
    <n v="2.0499999999999998"/>
    <n v="4.2024999999999997"/>
    <x v="7"/>
    <s v="NA11TE"/>
    <n v="26"/>
    <s v="NA11TE-26"/>
  </r>
  <r>
    <x v="12"/>
    <x v="309"/>
    <s v="0.62-4.00"/>
    <n v="2.31"/>
    <s v="#21"/>
    <x v="1"/>
    <n v="4"/>
    <n v="0.62"/>
    <n v="1.69"/>
    <n v="2.8561000000000001"/>
    <x v="7"/>
    <s v="NA5RB"/>
    <n v="22"/>
    <s v="NA5RB-22"/>
  </r>
  <r>
    <x v="1"/>
    <x v="262"/>
    <s v="0.46-4.16"/>
    <n v="2.31"/>
    <s v="#32"/>
    <x v="2"/>
    <n v="4.16"/>
    <n v="0.46"/>
    <n v="1.85"/>
    <n v="3.4224999999999999"/>
    <x v="7"/>
    <s v="NA16WR"/>
    <n v="57"/>
    <s v="NA16WR-57"/>
  </r>
  <r>
    <x v="8"/>
    <x v="180"/>
    <s v="0.25-4.37"/>
    <n v="2.31"/>
    <s v="#7"/>
    <x v="2"/>
    <n v="4.37"/>
    <n v="0.25"/>
    <n v="2.06"/>
    <n v="4.2435999999999998"/>
    <x v="7"/>
    <s v="NA6WR"/>
    <n v="51"/>
    <s v="NA6WR-51"/>
  </r>
  <r>
    <x v="13"/>
    <x v="180"/>
    <s v="0.04-4.58"/>
    <n v="2.31"/>
    <s v="#22"/>
    <x v="2"/>
    <n v="4.58"/>
    <n v="0.04"/>
    <n v="2.27"/>
    <n v="5.1528999999999998"/>
    <x v="7"/>
    <s v="NA8WR"/>
    <n v="46"/>
    <s v="NA8WR-46"/>
  </r>
  <r>
    <x v="10"/>
    <x v="290"/>
    <n v="-4.72"/>
    <n v="2.31"/>
    <s v="#5"/>
    <x v="3"/>
    <n v="4.67"/>
    <n v="-0.05"/>
    <n v="2.36"/>
    <n v="5.5696000000000003"/>
    <x v="7"/>
    <s v="NA2TE"/>
    <n v="23"/>
    <s v="NA2TE-23"/>
  </r>
  <r>
    <x v="6"/>
    <x v="294"/>
    <n v="-4.78"/>
    <n v="2.31"/>
    <s v="#19"/>
    <x v="3"/>
    <n v="4.7"/>
    <n v="-0.08"/>
    <n v="2.39"/>
    <n v="5.7121000000000004"/>
    <x v="7"/>
    <s v="NA12TE"/>
    <n v="29"/>
    <s v="NA12TE-29"/>
  </r>
  <r>
    <x v="1"/>
    <x v="275"/>
    <s v="1.73-2.89"/>
    <n v="2.31"/>
    <s v="#15"/>
    <x v="0"/>
    <n v="2.89"/>
    <n v="1.73"/>
    <n v="0.57999999999999996"/>
    <n v="0.33639999999999998"/>
    <x v="7"/>
    <s v="NA16QB"/>
    <n v="17"/>
    <s v="NA16QB-17"/>
  </r>
  <r>
    <x v="7"/>
    <x v="226"/>
    <s v="0.24-4.38"/>
    <n v="2.31"/>
    <s v="#1"/>
    <x v="2"/>
    <n v="4.38"/>
    <n v="0.24"/>
    <n v="2.0699999999999998"/>
    <n v="4.2849000000000004"/>
    <x v="7"/>
    <s v="NA1WR"/>
    <n v="43"/>
    <s v="NA1WR-43"/>
  </r>
  <r>
    <x v="9"/>
    <x v="262"/>
    <s v="0.05-4.55"/>
    <n v="2.2999999999999998"/>
    <s v="#18"/>
    <x v="2"/>
    <n v="4.55"/>
    <n v="0.05"/>
    <n v="2.25"/>
    <n v="5.0625"/>
    <x v="7"/>
    <s v="NA15WR"/>
    <n v="55"/>
    <s v="NA15WR-55"/>
  </r>
  <r>
    <x v="8"/>
    <x v="301"/>
    <n v="-4.84"/>
    <n v="2.2999999999999998"/>
    <s v="#9"/>
    <x v="3"/>
    <n v="4.72"/>
    <n v="-0.12"/>
    <n v="2.42"/>
    <n v="5.8563999999999998"/>
    <x v="7"/>
    <s v="NA6TE"/>
    <n v="26"/>
    <s v="NA6TE-26"/>
  </r>
  <r>
    <x v="11"/>
    <x v="270"/>
    <s v="0.21-4.39"/>
    <n v="2.2999999999999998"/>
    <s v="#23"/>
    <x v="2"/>
    <n v="4.3899999999999997"/>
    <n v="0.21"/>
    <n v="2.09"/>
    <n v="4.3681000000000001"/>
    <x v="7"/>
    <s v="NA14WR"/>
    <n v="57"/>
    <s v="NA14WR-57"/>
  </r>
  <r>
    <x v="9"/>
    <x v="180"/>
    <s v="0.09-4.51"/>
    <n v="2.2999999999999998"/>
    <s v="#3"/>
    <x v="2"/>
    <n v="4.51"/>
    <n v="0.09"/>
    <n v="2.21"/>
    <n v="4.8841000000000001"/>
    <x v="7"/>
    <s v="NA15WR"/>
    <n v="56"/>
    <s v="NA15WR-56"/>
  </r>
  <r>
    <x v="4"/>
    <x v="293"/>
    <n v="-5.74"/>
    <n v="2.2999999999999998"/>
    <s v="#18"/>
    <x v="2"/>
    <n v="5.17"/>
    <n v="-0.56999999999999995"/>
    <n v="2.87"/>
    <n v="8.2369000000000003"/>
    <x v="7"/>
    <s v="NA7WR"/>
    <n v="45"/>
    <s v="NA7WR-45"/>
  </r>
  <r>
    <x v="8"/>
    <x v="268"/>
    <s v="0.08-4.52"/>
    <n v="2.2999999999999998"/>
    <s v="#16"/>
    <x v="1"/>
    <n v="4.5199999999999996"/>
    <n v="0.08"/>
    <n v="2.2200000000000002"/>
    <n v="4.9283999999999999"/>
    <x v="7"/>
    <s v="NA6RB"/>
    <n v="24"/>
    <s v="NA6RB-24"/>
  </r>
  <r>
    <x v="16"/>
    <x v="207"/>
    <s v="0.23-4.37"/>
    <n v="2.2999999999999998"/>
    <s v="#8"/>
    <x v="2"/>
    <n v="4.37"/>
    <n v="0.23"/>
    <n v="2.0699999999999998"/>
    <n v="4.2849000000000004"/>
    <x v="7"/>
    <s v="NA3WR"/>
    <n v="48"/>
    <s v="NA3WR-48"/>
  </r>
  <r>
    <x v="13"/>
    <x v="304"/>
    <s v="0.44-4.16"/>
    <n v="2.2999999999999998"/>
    <s v="#7"/>
    <x v="3"/>
    <n v="4.16"/>
    <n v="0.44"/>
    <n v="1.86"/>
    <n v="3.4596"/>
    <x v="7"/>
    <s v="NA8TE"/>
    <n v="27"/>
    <s v="NA8TE-27"/>
  </r>
  <r>
    <x v="6"/>
    <x v="277"/>
    <n v="-5.36"/>
    <n v="2.2999999999999998"/>
    <s v="#12"/>
    <x v="2"/>
    <n v="4.9800000000000004"/>
    <n v="-0.38"/>
    <n v="2.68"/>
    <n v="7.1824000000000003"/>
    <x v="7"/>
    <s v="NA12WR"/>
    <n v="53"/>
    <s v="NA12WR-53"/>
  </r>
  <r>
    <x v="10"/>
    <x v="245"/>
    <n v="-4.96"/>
    <n v="2.2999999999999998"/>
    <s v="#29"/>
    <x v="2"/>
    <n v="4.78"/>
    <n v="-0.18"/>
    <n v="2.48"/>
    <n v="6.1504000000000003"/>
    <x v="7"/>
    <s v="NA2WR"/>
    <n v="46"/>
    <s v="NA2WR-46"/>
  </r>
  <r>
    <x v="0"/>
    <x v="278"/>
    <s v="0.14-4.46"/>
    <n v="2.2999999999999998"/>
    <s v="#7"/>
    <x v="2"/>
    <n v="4.46"/>
    <n v="0.14000000000000001"/>
    <n v="2.16"/>
    <n v="4.6656000000000004"/>
    <x v="7"/>
    <s v="NA17WR"/>
    <n v="54"/>
    <s v="NA17WR-54"/>
  </r>
  <r>
    <x v="2"/>
    <x v="307"/>
    <n v="-4.84"/>
    <n v="2.29"/>
    <s v="#28"/>
    <x v="2"/>
    <n v="4.71"/>
    <n v="-0.13"/>
    <n v="2.42"/>
    <n v="5.8563999999999998"/>
    <x v="7"/>
    <s v="NA9WR"/>
    <n v="49"/>
    <s v="NA9WR-49"/>
  </r>
  <r>
    <x v="1"/>
    <x v="307"/>
    <n v="-4.84"/>
    <n v="2.29"/>
    <s v="#28"/>
    <x v="2"/>
    <n v="4.71"/>
    <n v="-0.13"/>
    <n v="2.42"/>
    <n v="5.8563999999999998"/>
    <x v="7"/>
    <s v="NA16WR"/>
    <n v="58"/>
    <s v="NA16WR-58"/>
  </r>
  <r>
    <x v="12"/>
    <x v="276"/>
    <s v="0.63-3.95"/>
    <n v="2.29"/>
    <s v="#1"/>
    <x v="3"/>
    <n v="3.95"/>
    <n v="0.63"/>
    <n v="1.66"/>
    <n v="2.7555999999999998"/>
    <x v="7"/>
    <s v="NA5TE"/>
    <n v="26"/>
    <s v="NA5TE-26"/>
  </r>
  <r>
    <x v="13"/>
    <x v="280"/>
    <s v="0.25-4.33"/>
    <n v="2.29"/>
    <s v="#6"/>
    <x v="3"/>
    <n v="4.33"/>
    <n v="0.25"/>
    <n v="2.04"/>
    <n v="4.1616"/>
    <x v="7"/>
    <s v="NA8TE"/>
    <n v="28"/>
    <s v="NA8TE-28"/>
  </r>
  <r>
    <x v="5"/>
    <x v="291"/>
    <n v="-5.68"/>
    <n v="2.29"/>
    <s v="#2"/>
    <x v="3"/>
    <n v="5.13"/>
    <n v="-0.55000000000000004"/>
    <n v="2.84"/>
    <n v="8.0655999999999999"/>
    <x v="7"/>
    <s v="NA13TE"/>
    <n v="31"/>
    <s v="NA13TE-31"/>
  </r>
  <r>
    <x v="2"/>
    <x v="301"/>
    <n v="-4.7200000000000006"/>
    <n v="2.29"/>
    <s v="#24"/>
    <x v="3"/>
    <n v="4.6500000000000004"/>
    <n v="-7.0000000000000007E-2"/>
    <n v="2.36"/>
    <n v="5.5696000000000003"/>
    <x v="7"/>
    <s v="NA9TE"/>
    <n v="23"/>
    <s v="NA9TE-23"/>
  </r>
  <r>
    <x v="2"/>
    <x v="298"/>
    <n v="-5.46"/>
    <n v="2.29"/>
    <s v="#10"/>
    <x v="3"/>
    <n v="5.0199999999999996"/>
    <n v="-0.44"/>
    <n v="2.73"/>
    <n v="7.4528999999999996"/>
    <x v="7"/>
    <s v="NA9TE"/>
    <n v="24"/>
    <s v="NA9TE-24"/>
  </r>
  <r>
    <x v="8"/>
    <x v="287"/>
    <s v="0.12-4.46"/>
    <n v="2.29"/>
    <s v="#16"/>
    <x v="3"/>
    <n v="4.46"/>
    <n v="0.12"/>
    <n v="2.17"/>
    <n v="4.7088999999999999"/>
    <x v="7"/>
    <s v="NA6TE"/>
    <n v="27"/>
    <s v="NA6TE-27"/>
  </r>
  <r>
    <x v="10"/>
    <x v="272"/>
    <s v="0.32-4.26"/>
    <n v="2.29"/>
    <s v="#9"/>
    <x v="3"/>
    <n v="4.26"/>
    <n v="0.32"/>
    <n v="1.97"/>
    <n v="3.8809"/>
    <x v="7"/>
    <s v="NA2TE"/>
    <n v="24"/>
    <s v="NA2TE-24"/>
  </r>
  <r>
    <x v="10"/>
    <x v="250"/>
    <s v="0.27-4.29"/>
    <n v="2.2799999999999998"/>
    <s v="#22"/>
    <x v="2"/>
    <n v="4.29"/>
    <n v="0.27"/>
    <n v="2.0099999999999998"/>
    <n v="4.0400999999999998"/>
    <x v="7"/>
    <s v="NA2WR"/>
    <n v="47"/>
    <s v="NA2WR-47"/>
  </r>
  <r>
    <x v="14"/>
    <x v="306"/>
    <s v="0.13-4.43"/>
    <n v="2.2799999999999998"/>
    <s v="#8"/>
    <x v="3"/>
    <n v="4.43"/>
    <n v="0.13"/>
    <n v="2.15"/>
    <n v="4.6224999999999996"/>
    <x v="7"/>
    <s v="NA4TE"/>
    <n v="24"/>
    <s v="NA4TE-24"/>
  </r>
  <r>
    <x v="0"/>
    <x v="304"/>
    <s v="0.41-4.15"/>
    <n v="2.2799999999999998"/>
    <s v="#2"/>
    <x v="3"/>
    <n v="4.1500000000000004"/>
    <n v="0.41"/>
    <n v="1.87"/>
    <n v="3.4969000000000001"/>
    <x v="7"/>
    <s v="NA17TE"/>
    <n v="28"/>
    <s v="NA17TE-28"/>
  </r>
  <r>
    <x v="5"/>
    <x v="287"/>
    <s v="0.07-4.49"/>
    <n v="2.2799999999999998"/>
    <s v="#28"/>
    <x v="3"/>
    <n v="4.49"/>
    <n v="7.0000000000000007E-2"/>
    <n v="2.21"/>
    <n v="4.8841000000000001"/>
    <x v="7"/>
    <s v="NA13TE"/>
    <n v="32"/>
    <s v="NA13TE-32"/>
  </r>
  <r>
    <x v="6"/>
    <x v="168"/>
    <s v="0.15-4.41"/>
    <n v="2.2799999999999998"/>
    <s v="#22"/>
    <x v="1"/>
    <n v="4.41"/>
    <n v="0.15"/>
    <n v="2.13"/>
    <n v="4.5369000000000002"/>
    <x v="7"/>
    <s v="NA12RB"/>
    <n v="24"/>
    <s v="NA12RB-24"/>
  </r>
  <r>
    <x v="15"/>
    <x v="248"/>
    <s v="0.53-4.01"/>
    <n v="2.27"/>
    <s v="#22"/>
    <x v="3"/>
    <n v="4.01"/>
    <n v="0.53"/>
    <n v="1.74"/>
    <n v="3.0276000000000001"/>
    <x v="7"/>
    <s v="NA10TE"/>
    <n v="30"/>
    <s v="NA10TE-30"/>
  </r>
  <r>
    <x v="6"/>
    <x v="248"/>
    <s v="0.15-4.39"/>
    <n v="2.27"/>
    <s v="#31"/>
    <x v="3"/>
    <n v="4.3899999999999997"/>
    <n v="0.15"/>
    <n v="2.12"/>
    <n v="4.4943999999999997"/>
    <x v="7"/>
    <s v="NA12TE"/>
    <n v="30"/>
    <s v="NA12TE-30"/>
  </r>
  <r>
    <x v="11"/>
    <x v="294"/>
    <n v="-4.72"/>
    <n v="2.27"/>
    <s v="#7"/>
    <x v="3"/>
    <n v="4.63"/>
    <n v="-0.09"/>
    <n v="2.36"/>
    <n v="5.5696000000000003"/>
    <x v="7"/>
    <s v="NA14TE"/>
    <n v="33"/>
    <s v="NA14TE-33"/>
  </r>
  <r>
    <x v="11"/>
    <x v="310"/>
    <s v="0.32-4.22"/>
    <n v="2.27"/>
    <s v="#30"/>
    <x v="1"/>
    <n v="4.22"/>
    <n v="0.32"/>
    <n v="1.95"/>
    <n v="3.8025000000000002"/>
    <x v="7"/>
    <s v="NA14RB"/>
    <n v="25"/>
    <s v="NA14RB-25"/>
  </r>
  <r>
    <x v="15"/>
    <x v="275"/>
    <s v="1.66-2.88"/>
    <n v="2.27"/>
    <s v="#19"/>
    <x v="0"/>
    <n v="2.88"/>
    <n v="1.66"/>
    <n v="0.61"/>
    <n v="0.37209999999999999"/>
    <x v="7"/>
    <s v="NA10QB"/>
    <n v="13"/>
    <s v="NA10QB-13"/>
  </r>
  <r>
    <x v="4"/>
    <x v="282"/>
    <s v="0.02-4.52"/>
    <n v="2.27"/>
    <s v="#14"/>
    <x v="2"/>
    <n v="4.5199999999999996"/>
    <n v="0.02"/>
    <n v="2.25"/>
    <n v="5.0625"/>
    <x v="7"/>
    <s v="NA7WR"/>
    <n v="46"/>
    <s v="NA7WR-46"/>
  </r>
  <r>
    <x v="15"/>
    <x v="186"/>
    <s v="0.04-4.48"/>
    <n v="2.2599999999999998"/>
    <s v="#22"/>
    <x v="2"/>
    <n v="4.4800000000000004"/>
    <n v="0.04"/>
    <n v="2.2200000000000002"/>
    <n v="4.9283999999999999"/>
    <x v="7"/>
    <s v="NA10WR"/>
    <n v="52"/>
    <s v="NA10WR-52"/>
  </r>
  <r>
    <x v="13"/>
    <x v="262"/>
    <s v="0.39-4.13"/>
    <n v="2.2599999999999998"/>
    <s v="#28"/>
    <x v="2"/>
    <n v="4.13"/>
    <n v="0.39"/>
    <n v="1.87"/>
    <n v="3.4969000000000001"/>
    <x v="7"/>
    <s v="NA8WR"/>
    <n v="47"/>
    <s v="NA8WR-47"/>
  </r>
  <r>
    <x v="5"/>
    <x v="252"/>
    <s v="1.71-2.81"/>
    <n v="2.2599999999999998"/>
    <s v="#29"/>
    <x v="0"/>
    <n v="2.81"/>
    <n v="1.71"/>
    <n v="0.55000000000000004"/>
    <n v="0.30249999999999999"/>
    <x v="7"/>
    <s v="NA13QB"/>
    <n v="16"/>
    <s v="NA13QB-16"/>
  </r>
  <r>
    <x v="14"/>
    <x v="259"/>
    <n v="-6.02"/>
    <n v="2.2599999999999998"/>
    <s v="#17"/>
    <x v="3"/>
    <n v="5.27"/>
    <n v="-0.75"/>
    <n v="3.01"/>
    <n v="9.0601000000000003"/>
    <x v="7"/>
    <s v="NA4TE"/>
    <n v="25"/>
    <s v="NA4TE-25"/>
  </r>
  <r>
    <x v="6"/>
    <x v="290"/>
    <n v="-5.04"/>
    <n v="2.2599999999999998"/>
    <s v="#7"/>
    <x v="3"/>
    <n v="4.78"/>
    <n v="-0.26"/>
    <n v="2.52"/>
    <n v="6.3503999999999996"/>
    <x v="7"/>
    <s v="NA12TE"/>
    <n v="31"/>
    <s v="NA12TE-31"/>
  </r>
  <r>
    <x v="9"/>
    <x v="305"/>
    <s v="0.04-4.48"/>
    <n v="2.2599999999999998"/>
    <s v="#14"/>
    <x v="2"/>
    <n v="4.4800000000000004"/>
    <n v="0.04"/>
    <n v="2.2200000000000002"/>
    <n v="4.9283999999999999"/>
    <x v="7"/>
    <s v="NA15WR"/>
    <n v="57"/>
    <s v="NA15WR-57"/>
  </r>
  <r>
    <x v="5"/>
    <x v="277"/>
    <n v="-5.2"/>
    <n v="2.2599999999999998"/>
    <s v="#30"/>
    <x v="2"/>
    <n v="4.8600000000000003"/>
    <n v="-0.34"/>
    <n v="2.6"/>
    <n v="6.76"/>
    <x v="7"/>
    <s v="NA13WR"/>
    <n v="59"/>
    <s v="NA13WR-59"/>
  </r>
  <r>
    <x v="0"/>
    <x v="300"/>
    <n v="-4.5399999999999991"/>
    <n v="2.25"/>
    <s v="#11"/>
    <x v="3"/>
    <n v="4.5199999999999996"/>
    <n v="-0.02"/>
    <n v="2.27"/>
    <n v="5.1528999999999998"/>
    <x v="7"/>
    <s v="NA17TE"/>
    <n v="29"/>
    <s v="NA17TE-29"/>
  </r>
  <r>
    <x v="8"/>
    <x v="261"/>
    <n v="-5.18"/>
    <n v="2.25"/>
    <s v="#6"/>
    <x v="2"/>
    <n v="4.84"/>
    <n v="-0.34"/>
    <n v="2.59"/>
    <n v="6.7081"/>
    <x v="7"/>
    <s v="NA6WR"/>
    <n v="52"/>
    <s v="NA6WR-52"/>
  </r>
  <r>
    <x v="15"/>
    <x v="150"/>
    <s v="0.28-4.22"/>
    <n v="2.25"/>
    <s v="#9"/>
    <x v="1"/>
    <n v="4.22"/>
    <n v="0.28000000000000003"/>
    <n v="1.97"/>
    <n v="3.8809"/>
    <x v="7"/>
    <s v="NA10RB"/>
    <n v="25"/>
    <s v="NA10RB-25"/>
  </r>
  <r>
    <x v="6"/>
    <x v="150"/>
    <s v="0.07-4.43"/>
    <n v="2.25"/>
    <s v="#11"/>
    <x v="1"/>
    <n v="4.43"/>
    <n v="7.0000000000000007E-2"/>
    <n v="2.1800000000000002"/>
    <n v="4.7523999999999997"/>
    <x v="7"/>
    <s v="NA12RB"/>
    <n v="25"/>
    <s v="NA12RB-25"/>
  </r>
  <r>
    <x v="14"/>
    <x v="200"/>
    <s v="0.45-4.05"/>
    <n v="2.25"/>
    <s v="#32"/>
    <x v="1"/>
    <n v="4.05"/>
    <n v="0.45"/>
    <n v="1.8"/>
    <n v="3.24"/>
    <x v="7"/>
    <s v="NA4RB"/>
    <n v="24"/>
    <s v="NA4RB-24"/>
  </r>
  <r>
    <x v="6"/>
    <x v="311"/>
    <s v="0.49-4.01"/>
    <n v="2.25"/>
    <s v="#17"/>
    <x v="1"/>
    <n v="4.01"/>
    <n v="0.49"/>
    <n v="1.76"/>
    <n v="3.0975999999999999"/>
    <x v="7"/>
    <s v="NA12RB"/>
    <n v="26"/>
    <s v="NA12RB-26"/>
  </r>
  <r>
    <x v="16"/>
    <x v="312"/>
    <n v="-5.2799999999999994"/>
    <n v="2.25"/>
    <s v="#20"/>
    <x v="3"/>
    <n v="4.8899999999999997"/>
    <n v="-0.39"/>
    <n v="2.64"/>
    <n v="6.9695999999999998"/>
    <x v="7"/>
    <s v="NA3TE"/>
    <n v="25"/>
    <s v="NA3TE-25"/>
  </r>
  <r>
    <x v="2"/>
    <x v="259"/>
    <n v="-5.7200000000000006"/>
    <n v="2.25"/>
    <s v="#4"/>
    <x v="3"/>
    <n v="5.1100000000000003"/>
    <n v="-0.61"/>
    <n v="2.86"/>
    <n v="8.1796000000000006"/>
    <x v="7"/>
    <s v="NA9TE"/>
    <n v="25"/>
    <s v="NA9TE-25"/>
  </r>
  <r>
    <x v="0"/>
    <x v="294"/>
    <n v="-5.26"/>
    <n v="2.25"/>
    <s v="#1"/>
    <x v="3"/>
    <n v="4.88"/>
    <n v="-0.38"/>
    <n v="2.63"/>
    <n v="6.9169"/>
    <x v="7"/>
    <s v="NA17TE"/>
    <n v="30"/>
    <s v="NA17TE-30"/>
  </r>
  <r>
    <x v="13"/>
    <x v="275"/>
    <s v="1.68-2.82"/>
    <n v="2.25"/>
    <s v="#26"/>
    <x v="0"/>
    <n v="2.82"/>
    <n v="1.68"/>
    <n v="0.56999999999999995"/>
    <n v="0.32490000000000002"/>
    <x v="7"/>
    <s v="NA8QB"/>
    <n v="14"/>
    <s v="NA8QB-14"/>
  </r>
  <r>
    <x v="9"/>
    <x v="278"/>
    <s v="0.09-4.41"/>
    <n v="2.25"/>
    <s v="#7"/>
    <x v="2"/>
    <n v="4.41"/>
    <n v="0.09"/>
    <n v="2.16"/>
    <n v="4.6656000000000004"/>
    <x v="7"/>
    <s v="NA15WR"/>
    <n v="58"/>
    <s v="NA15WR-58"/>
  </r>
  <r>
    <x v="9"/>
    <x v="281"/>
    <n v="-4.5999999999999996"/>
    <n v="2.2400000000000002"/>
    <s v="#25"/>
    <x v="3"/>
    <n v="4.54"/>
    <n v="-0.06"/>
    <n v="2.2999999999999998"/>
    <n v="5.29"/>
    <x v="7"/>
    <s v="NA15TE"/>
    <n v="25"/>
    <s v="NA15TE-25"/>
  </r>
  <r>
    <x v="9"/>
    <x v="288"/>
    <s v="0.30-4.18"/>
    <n v="2.2400000000000002"/>
    <s v="#27"/>
    <x v="3"/>
    <n v="4.18"/>
    <n v="0.3"/>
    <n v="1.94"/>
    <n v="3.7635999999999998"/>
    <x v="7"/>
    <s v="NA15TE"/>
    <n v="26"/>
    <s v="NA15TE-26"/>
  </r>
  <r>
    <x v="15"/>
    <x v="306"/>
    <s v="0.30-4.18"/>
    <n v="2.2400000000000002"/>
    <s v="#32"/>
    <x v="3"/>
    <n v="4.18"/>
    <n v="0.3"/>
    <n v="1.94"/>
    <n v="3.7635999999999998"/>
    <x v="7"/>
    <s v="NA10TE"/>
    <n v="31"/>
    <s v="NA10TE-31"/>
  </r>
  <r>
    <x v="16"/>
    <x v="301"/>
    <n v="-5.66"/>
    <n v="2.2400000000000002"/>
    <s v="#2"/>
    <x v="3"/>
    <n v="5.07"/>
    <n v="-0.59"/>
    <n v="2.83"/>
    <n v="8.0089000000000006"/>
    <x v="7"/>
    <s v="NA3TE"/>
    <n v="26"/>
    <s v="NA3TE-26"/>
  </r>
  <r>
    <x v="5"/>
    <x v="301"/>
    <s v="0.06-4.42"/>
    <n v="2.2400000000000002"/>
    <s v="#14"/>
    <x v="3"/>
    <n v="4.42"/>
    <n v="0.06"/>
    <n v="2.1800000000000002"/>
    <n v="4.7523999999999997"/>
    <x v="7"/>
    <s v="NA13TE"/>
    <n v="33"/>
    <s v="NA13TE-33"/>
  </r>
  <r>
    <x v="2"/>
    <x v="295"/>
    <s v="0.06-4.42"/>
    <n v="2.2400000000000002"/>
    <s v="#23"/>
    <x v="3"/>
    <n v="4.42"/>
    <n v="0.06"/>
    <n v="2.1800000000000002"/>
    <n v="4.7523999999999997"/>
    <x v="7"/>
    <s v="NA9TE"/>
    <n v="26"/>
    <s v="NA9TE-26"/>
  </r>
  <r>
    <x v="14"/>
    <x v="290"/>
    <s v="0.30-4.18"/>
    <n v="2.2400000000000002"/>
    <s v="#13"/>
    <x v="3"/>
    <n v="4.18"/>
    <n v="0.3"/>
    <n v="1.94"/>
    <n v="3.7635999999999998"/>
    <x v="7"/>
    <s v="NA4TE"/>
    <n v="26"/>
    <s v="NA4TE-26"/>
  </r>
  <r>
    <x v="11"/>
    <x v="278"/>
    <s v="0.24-4.24"/>
    <n v="2.2400000000000002"/>
    <s v="#31"/>
    <x v="2"/>
    <n v="4.24"/>
    <n v="0.24"/>
    <n v="2"/>
    <n v="4"/>
    <x v="7"/>
    <s v="NA14WR"/>
    <n v="58"/>
    <s v="NA14WR-58"/>
  </r>
  <r>
    <x v="8"/>
    <x v="272"/>
    <s v="0.30-4.18"/>
    <n v="2.2400000000000002"/>
    <s v="#7"/>
    <x v="3"/>
    <n v="4.18"/>
    <n v="0.3"/>
    <n v="1.94"/>
    <n v="3.7635999999999998"/>
    <x v="7"/>
    <s v="NA6TE"/>
    <n v="28"/>
    <s v="NA6TE-28"/>
  </r>
  <r>
    <x v="7"/>
    <x v="312"/>
    <s v="0.01-4.45"/>
    <n v="2.23"/>
    <s v="#25"/>
    <x v="3"/>
    <n v="4.45"/>
    <n v="0.01"/>
    <n v="2.2200000000000002"/>
    <n v="4.9283999999999999"/>
    <x v="7"/>
    <s v="NA1TE"/>
    <n v="18"/>
    <s v="NA1TE-18"/>
  </r>
  <r>
    <x v="4"/>
    <x v="271"/>
    <s v="0.38-4.08"/>
    <n v="2.23"/>
    <s v="#10"/>
    <x v="2"/>
    <n v="4.08"/>
    <n v="0.38"/>
    <n v="1.85"/>
    <n v="3.4224999999999999"/>
    <x v="7"/>
    <s v="NA7WR"/>
    <n v="47"/>
    <s v="NA7WR-47"/>
  </r>
  <r>
    <x v="7"/>
    <x v="287"/>
    <n v="-5.28"/>
    <n v="2.23"/>
    <s v="#25"/>
    <x v="3"/>
    <n v="4.87"/>
    <n v="-0.41"/>
    <n v="2.64"/>
    <n v="6.9695999999999998"/>
    <x v="7"/>
    <s v="NA1TE"/>
    <n v="19"/>
    <s v="NA1TE-19"/>
  </r>
  <r>
    <x v="0"/>
    <x v="276"/>
    <s v="0.56-3.88"/>
    <n v="2.2200000000000002"/>
    <s v="#1"/>
    <x v="3"/>
    <n v="3.88"/>
    <n v="0.56000000000000005"/>
    <n v="1.66"/>
    <n v="2.7555999999999998"/>
    <x v="7"/>
    <s v="NA17TE"/>
    <n v="31"/>
    <s v="NA17TE-31"/>
  </r>
  <r>
    <x v="13"/>
    <x v="252"/>
    <s v="1.63-2.81"/>
    <n v="2.2200000000000002"/>
    <s v="#7"/>
    <x v="0"/>
    <n v="2.81"/>
    <n v="1.63"/>
    <n v="0.59"/>
    <n v="0.34810000000000002"/>
    <x v="7"/>
    <s v="NA8QB"/>
    <n v="15"/>
    <s v="NA8QB-15"/>
  </r>
  <r>
    <x v="6"/>
    <x v="252"/>
    <s v="1.60-2.84"/>
    <n v="2.2200000000000002"/>
    <s v="#25"/>
    <x v="0"/>
    <n v="2.84"/>
    <n v="1.6"/>
    <n v="0.62"/>
    <n v="0.38440000000000002"/>
    <x v="7"/>
    <s v="NA12QB"/>
    <n v="17"/>
    <s v="NA12QB-17"/>
  </r>
  <r>
    <x v="11"/>
    <x v="268"/>
    <s v="0.18-4.26"/>
    <n v="2.2200000000000002"/>
    <s v="#5"/>
    <x v="1"/>
    <n v="4.26"/>
    <n v="0.18"/>
    <n v="2.04"/>
    <n v="4.1616"/>
    <x v="7"/>
    <s v="NA14RB"/>
    <n v="26"/>
    <s v="NA14RB-26"/>
  </r>
  <r>
    <x v="16"/>
    <x v="313"/>
    <s v="0.34-4.10"/>
    <n v="2.2200000000000002"/>
    <s v="#14"/>
    <x v="3"/>
    <n v="4.0999999999999996"/>
    <n v="0.34"/>
    <n v="1.88"/>
    <n v="3.5344000000000002"/>
    <x v="7"/>
    <s v="NA3TE"/>
    <n v="27"/>
    <s v="NA3TE-27"/>
  </r>
  <r>
    <x v="4"/>
    <x v="277"/>
    <n v="-5.36"/>
    <n v="2.2200000000000002"/>
    <s v="#12"/>
    <x v="2"/>
    <n v="4.9000000000000004"/>
    <n v="-0.46"/>
    <n v="2.68"/>
    <n v="7.1824000000000003"/>
    <x v="7"/>
    <s v="NA7WR"/>
    <n v="48"/>
    <s v="NA7WR-48"/>
  </r>
  <r>
    <x v="0"/>
    <x v="277"/>
    <n v="-4.6399999999999997"/>
    <n v="2.2200000000000002"/>
    <s v="#22"/>
    <x v="2"/>
    <n v="4.54"/>
    <n v="-0.1"/>
    <n v="2.3199999999999998"/>
    <n v="5.3823999999999996"/>
    <x v="7"/>
    <s v="NA17WR"/>
    <n v="55"/>
    <s v="NA17WR-55"/>
  </r>
  <r>
    <x v="3"/>
    <x v="282"/>
    <s v="0.28-4.16"/>
    <n v="2.2200000000000002"/>
    <s v="#16"/>
    <x v="2"/>
    <n v="4.16"/>
    <n v="0.28000000000000003"/>
    <n v="1.94"/>
    <n v="3.7635999999999998"/>
    <x v="7"/>
    <s v="NA11WR"/>
    <n v="40"/>
    <s v="NA11WR-40"/>
  </r>
  <r>
    <x v="8"/>
    <x v="307"/>
    <n v="-5.4600000000000009"/>
    <n v="2.21"/>
    <s v="#13"/>
    <x v="2"/>
    <n v="4.9400000000000004"/>
    <n v="-0.52"/>
    <n v="2.73"/>
    <n v="7.4528999999999996"/>
    <x v="7"/>
    <s v="NA6WR"/>
    <n v="53"/>
    <s v="NA6WR-53"/>
  </r>
  <r>
    <x v="1"/>
    <x v="200"/>
    <s v="0.40-4.02"/>
    <n v="2.21"/>
    <s v="#25"/>
    <x v="1"/>
    <n v="4.0199999999999996"/>
    <n v="0.4"/>
    <n v="1.81"/>
    <n v="3.2761"/>
    <x v="7"/>
    <s v="NA16RB"/>
    <n v="25"/>
    <s v="NA16RB-25"/>
  </r>
  <r>
    <x v="4"/>
    <x v="288"/>
    <n v="-4.54"/>
    <n v="2.21"/>
    <s v="#26"/>
    <x v="3"/>
    <n v="4.4800000000000004"/>
    <n v="-0.06"/>
    <n v="2.27"/>
    <n v="5.1528999999999998"/>
    <x v="7"/>
    <s v="NA7TE"/>
    <n v="27"/>
    <s v="NA7TE-27"/>
  </r>
  <r>
    <x v="0"/>
    <x v="291"/>
    <s v="0.16-4.26"/>
    <n v="2.21"/>
    <s v="#3"/>
    <x v="3"/>
    <n v="4.26"/>
    <n v="0.16"/>
    <n v="2.0499999999999998"/>
    <n v="4.2024999999999997"/>
    <x v="7"/>
    <s v="NA17TE"/>
    <n v="32"/>
    <s v="NA17TE-32"/>
  </r>
  <r>
    <x v="12"/>
    <x v="252"/>
    <s v="1.67-2.75"/>
    <n v="2.21"/>
    <s v="#2"/>
    <x v="0"/>
    <n v="2.75"/>
    <n v="1.67"/>
    <n v="0.54"/>
    <n v="0.29160000000000003"/>
    <x v="7"/>
    <s v="NA5QB"/>
    <n v="14"/>
    <s v="NA5QB-14"/>
  </r>
  <r>
    <x v="0"/>
    <x v="295"/>
    <s v="0.09-4.33"/>
    <n v="2.21"/>
    <s v="#9"/>
    <x v="3"/>
    <n v="4.33"/>
    <n v="0.09"/>
    <n v="2.12"/>
    <n v="4.4943999999999997"/>
    <x v="7"/>
    <s v="NA17TE"/>
    <n v="33"/>
    <s v="NA17TE-33"/>
  </r>
  <r>
    <x v="13"/>
    <x v="290"/>
    <s v="0.31-4.11"/>
    <n v="2.21"/>
    <s v="#28"/>
    <x v="3"/>
    <n v="4.1100000000000003"/>
    <n v="0.31"/>
    <n v="1.9"/>
    <n v="3.61"/>
    <x v="7"/>
    <s v="NA8TE"/>
    <n v="29"/>
    <s v="NA8TE-29"/>
  </r>
  <r>
    <x v="16"/>
    <x v="314"/>
    <n v="-5.0199999999999996"/>
    <n v="2.21"/>
    <s v="#17"/>
    <x v="2"/>
    <n v="4.72"/>
    <n v="-0.3"/>
    <n v="2.5099999999999998"/>
    <n v="6.3000999999999996"/>
    <x v="7"/>
    <s v="NA3WR"/>
    <n v="49"/>
    <s v="NA3WR-49"/>
  </r>
  <r>
    <x v="2"/>
    <x v="277"/>
    <n v="-4.76"/>
    <n v="2.21"/>
    <s v="#14"/>
    <x v="2"/>
    <n v="4.59"/>
    <n v="-0.17"/>
    <n v="2.38"/>
    <n v="5.6643999999999997"/>
    <x v="7"/>
    <s v="NA9WR"/>
    <n v="50"/>
    <s v="NA9WR-50"/>
  </r>
  <r>
    <x v="2"/>
    <x v="278"/>
    <n v="-4.5199999999999996"/>
    <n v="2.21"/>
    <s v="#10"/>
    <x v="2"/>
    <n v="4.47"/>
    <n v="-0.05"/>
    <n v="2.2599999999999998"/>
    <n v="5.1075999999999997"/>
    <x v="7"/>
    <s v="NA9WR"/>
    <n v="51"/>
    <s v="NA9WR-51"/>
  </r>
  <r>
    <x v="16"/>
    <x v="249"/>
    <s v="0.28-4.12"/>
    <n v="2.2000000000000002"/>
    <s v="#15"/>
    <x v="2"/>
    <n v="4.12"/>
    <n v="0.28000000000000003"/>
    <n v="1.92"/>
    <n v="3.6863999999999999"/>
    <x v="7"/>
    <s v="NA3WR"/>
    <n v="50"/>
    <s v="NA3WR-50"/>
  </r>
  <r>
    <x v="6"/>
    <x v="261"/>
    <n v="-5.18"/>
    <n v="2.2000000000000002"/>
    <s v="#6"/>
    <x v="2"/>
    <n v="4.79"/>
    <n v="-0.39"/>
    <n v="2.59"/>
    <n v="6.7081"/>
    <x v="7"/>
    <s v="NA12WR"/>
    <n v="54"/>
    <s v="NA12WR-54"/>
  </r>
  <r>
    <x v="2"/>
    <x v="283"/>
    <n v="-4.78"/>
    <n v="2.2000000000000002"/>
    <s v="#2"/>
    <x v="3"/>
    <n v="4.59"/>
    <n v="-0.19"/>
    <n v="2.39"/>
    <n v="5.7121000000000004"/>
    <x v="7"/>
    <s v="NA9TE"/>
    <n v="27"/>
    <s v="NA9TE-27"/>
  </r>
  <r>
    <x v="9"/>
    <x v="311"/>
    <s v="0.55-3.85"/>
    <n v="2.2000000000000002"/>
    <s v="#27"/>
    <x v="1"/>
    <n v="3.85"/>
    <n v="0.55000000000000004"/>
    <n v="1.65"/>
    <n v="2.7225000000000001"/>
    <x v="7"/>
    <s v="NA15RB"/>
    <n v="27"/>
    <s v="NA15RB-27"/>
  </r>
  <r>
    <x v="1"/>
    <x v="213"/>
    <s v="0.15-4.25"/>
    <n v="2.2000000000000002"/>
    <s v="#7"/>
    <x v="1"/>
    <n v="4.25"/>
    <n v="0.15"/>
    <n v="2.0499999999999998"/>
    <n v="4.2024999999999997"/>
    <x v="7"/>
    <s v="NA16RB"/>
    <n v="26"/>
    <s v="NA16RB-26"/>
  </r>
  <r>
    <x v="16"/>
    <x v="274"/>
    <n v="-4.62"/>
    <n v="2.2000000000000002"/>
    <s v="#16"/>
    <x v="3"/>
    <n v="4.51"/>
    <n v="-0.11"/>
    <n v="2.31"/>
    <n v="5.3361000000000001"/>
    <x v="7"/>
    <s v="NA3TE"/>
    <n v="28"/>
    <s v="NA3TE-28"/>
  </r>
  <r>
    <x v="14"/>
    <x v="313"/>
    <n v="-5.22"/>
    <n v="2.2000000000000002"/>
    <s v="#4"/>
    <x v="3"/>
    <n v="4.8099999999999996"/>
    <n v="-0.41"/>
    <n v="2.61"/>
    <n v="6.8121"/>
    <x v="7"/>
    <s v="NA4TE"/>
    <n v="27"/>
    <s v="NA4TE-27"/>
  </r>
  <r>
    <x v="15"/>
    <x v="310"/>
    <s v="0.09-4.31"/>
    <n v="2.2000000000000002"/>
    <s v="#12"/>
    <x v="1"/>
    <n v="4.3099999999999996"/>
    <n v="0.09"/>
    <n v="2.11"/>
    <n v="4.4520999999999997"/>
    <x v="7"/>
    <s v="NA10RB"/>
    <n v="26"/>
    <s v="NA10RB-26"/>
  </r>
  <r>
    <x v="16"/>
    <x v="208"/>
    <s v="0.62-3.78"/>
    <n v="2.2000000000000002"/>
    <s v="#13"/>
    <x v="2"/>
    <n v="3.78"/>
    <n v="0.62"/>
    <n v="1.58"/>
    <n v="2.4964"/>
    <x v="7"/>
    <s v="NA3WR"/>
    <n v="51"/>
    <s v="NA3WR-51"/>
  </r>
  <r>
    <x v="12"/>
    <x v="275"/>
    <s v="1.58-2.82"/>
    <n v="2.2000000000000002"/>
    <s v="#12"/>
    <x v="0"/>
    <n v="2.82"/>
    <n v="1.58"/>
    <n v="0.62"/>
    <n v="0.38440000000000002"/>
    <x v="7"/>
    <s v="NA5QB"/>
    <n v="15"/>
    <s v="NA5QB-15"/>
  </r>
  <r>
    <x v="7"/>
    <x v="32"/>
    <s v="1.03-3.35"/>
    <n v="2.19"/>
    <s v="#15"/>
    <x v="0"/>
    <n v="3.35"/>
    <n v="1.03"/>
    <n v="1.1599999999999999"/>
    <n v="1.3455999999999999"/>
    <x v="1"/>
    <s v="perry1QB"/>
    <n v="1"/>
    <s v="perry1QB-1"/>
  </r>
  <r>
    <x v="2"/>
    <x v="304"/>
    <s v="0.16-4.22"/>
    <n v="2.19"/>
    <s v="#15"/>
    <x v="3"/>
    <n v="4.22"/>
    <n v="0.16"/>
    <n v="2.0299999999999998"/>
    <n v="4.1208999999999998"/>
    <x v="7"/>
    <s v="NA9TE"/>
    <n v="28"/>
    <s v="NA9TE-28"/>
  </r>
  <r>
    <x v="7"/>
    <x v="294"/>
    <n v="-4.6000000000000005"/>
    <n v="2.19"/>
    <s v="#15"/>
    <x v="3"/>
    <n v="4.49"/>
    <n v="-0.11"/>
    <n v="2.2999999999999998"/>
    <n v="5.29"/>
    <x v="7"/>
    <s v="NA1TE"/>
    <n v="20"/>
    <s v="NA1TE-20"/>
  </r>
  <r>
    <x v="5"/>
    <x v="275"/>
    <s v="1.56-2.82"/>
    <n v="2.19"/>
    <s v="#23"/>
    <x v="0"/>
    <n v="2.82"/>
    <n v="1.56"/>
    <n v="0.63"/>
    <n v="0.39689999999999998"/>
    <x v="7"/>
    <s v="NA13QB"/>
    <n v="17"/>
    <s v="NA13QB-17"/>
  </r>
  <r>
    <x v="9"/>
    <x v="275"/>
    <s v="1.61-2.77"/>
    <n v="2.19"/>
    <s v="#7"/>
    <x v="0"/>
    <n v="2.77"/>
    <n v="1.61"/>
    <n v="0.57999999999999996"/>
    <n v="0.33639999999999998"/>
    <x v="7"/>
    <s v="NA15QB"/>
    <n v="17"/>
    <s v="NA15QB-17"/>
  </r>
  <r>
    <x v="12"/>
    <x v="278"/>
    <n v="-4.54"/>
    <n v="2.19"/>
    <s v="#12"/>
    <x v="2"/>
    <n v="4.46"/>
    <n v="-0.08"/>
    <n v="2.27"/>
    <n v="5.1528999999999998"/>
    <x v="7"/>
    <s v="NA5WR"/>
    <n v="49"/>
    <s v="NA5WR-49"/>
  </r>
  <r>
    <x v="15"/>
    <x v="278"/>
    <s v="0.03-4.35"/>
    <n v="2.19"/>
    <s v="#19"/>
    <x v="2"/>
    <n v="4.3499999999999996"/>
    <n v="0.03"/>
    <n v="2.16"/>
    <n v="4.6656000000000004"/>
    <x v="7"/>
    <s v="NA10WR"/>
    <n v="53"/>
    <s v="NA10WR-53"/>
  </r>
  <r>
    <x v="16"/>
    <x v="271"/>
    <s v="0.10-4.28"/>
    <n v="2.19"/>
    <s v="#32"/>
    <x v="2"/>
    <n v="4.28"/>
    <n v="0.1"/>
    <n v="2.09"/>
    <n v="4.3681000000000001"/>
    <x v="7"/>
    <s v="NA3WR"/>
    <n v="52"/>
    <s v="NA3WR-52"/>
  </r>
  <r>
    <x v="14"/>
    <x v="237"/>
    <s v="0.24-4.12"/>
    <n v="2.1800000000000002"/>
    <s v="#22"/>
    <x v="2"/>
    <n v="4.12"/>
    <n v="0.24"/>
    <n v="1.94"/>
    <n v="3.7635999999999998"/>
    <x v="7"/>
    <s v="NA4WR"/>
    <n v="45"/>
    <s v="NA4WR-45"/>
  </r>
  <r>
    <x v="3"/>
    <x v="279"/>
    <s v="0.04-4.32"/>
    <n v="2.1800000000000002"/>
    <s v="#13"/>
    <x v="2"/>
    <n v="4.32"/>
    <n v="0.04"/>
    <n v="2.14"/>
    <n v="4.5796000000000001"/>
    <x v="7"/>
    <s v="NA11WR"/>
    <n v="41"/>
    <s v="NA11WR-41"/>
  </r>
  <r>
    <x v="0"/>
    <x v="150"/>
    <s v="0.26-4.10"/>
    <n v="2.1800000000000002"/>
    <s v="#27"/>
    <x v="1"/>
    <n v="4.0999999999999996"/>
    <n v="0.26"/>
    <n v="1.92"/>
    <n v="3.6863999999999999"/>
    <x v="7"/>
    <s v="NA17RB"/>
    <n v="26"/>
    <s v="NA17RB-26"/>
  </r>
  <r>
    <x v="16"/>
    <x v="295"/>
    <n v="-4.78"/>
    <n v="2.1800000000000002"/>
    <s v="#3"/>
    <x v="3"/>
    <n v="4.57"/>
    <n v="-0.21"/>
    <n v="2.39"/>
    <n v="5.7121000000000004"/>
    <x v="7"/>
    <s v="NA3TE"/>
    <n v="29"/>
    <s v="NA3TE-29"/>
  </r>
  <r>
    <x v="12"/>
    <x v="304"/>
    <s v="0.31-4.05"/>
    <n v="2.1800000000000002"/>
    <s v="#2"/>
    <x v="3"/>
    <n v="4.05"/>
    <n v="0.31"/>
    <n v="1.87"/>
    <n v="3.4969000000000001"/>
    <x v="7"/>
    <s v="NA5TE"/>
    <n v="27"/>
    <s v="NA5TE-27"/>
  </r>
  <r>
    <x v="0"/>
    <x v="271"/>
    <s v="0.33-4.03"/>
    <n v="2.1800000000000002"/>
    <s v="#10"/>
    <x v="2"/>
    <n v="4.03"/>
    <n v="0.33"/>
    <n v="1.85"/>
    <n v="3.4224999999999999"/>
    <x v="7"/>
    <s v="NA17WR"/>
    <n v="56"/>
    <s v="NA17WR-56"/>
  </r>
  <r>
    <x v="1"/>
    <x v="150"/>
    <s v="0.38-3.96"/>
    <n v="2.17"/>
    <s v="#24"/>
    <x v="1"/>
    <n v="3.96"/>
    <n v="0.38"/>
    <n v="1.79"/>
    <n v="3.2040999999999999"/>
    <x v="7"/>
    <s v="NA16RB"/>
    <n v="27"/>
    <s v="NA16RB-27"/>
  </r>
  <r>
    <x v="15"/>
    <x v="311"/>
    <s v="0.40-3.94"/>
    <n v="2.17"/>
    <s v="#11"/>
    <x v="1"/>
    <n v="3.94"/>
    <n v="0.4"/>
    <n v="1.77"/>
    <n v="3.1328999999999998"/>
    <x v="7"/>
    <s v="NA10RB"/>
    <n v="27"/>
    <s v="NA10RB-27"/>
  </r>
  <r>
    <x v="16"/>
    <x v="315"/>
    <s v="0.00-4.34"/>
    <n v="2.17"/>
    <s v="#30"/>
    <x v="3"/>
    <n v="4.34"/>
    <n v="0"/>
    <n v="2.17"/>
    <n v="4.7088999999999999"/>
    <x v="7"/>
    <s v="NA3TE"/>
    <n v="30"/>
    <s v="NA3TE-30"/>
  </r>
  <r>
    <x v="3"/>
    <x v="280"/>
    <n v="-4.9000000000000004"/>
    <n v="2.17"/>
    <s v="#15"/>
    <x v="3"/>
    <n v="4.62"/>
    <n v="-0.28000000000000003"/>
    <n v="2.4500000000000002"/>
    <n v="6.0025000000000004"/>
    <x v="7"/>
    <s v="NA11TE"/>
    <n v="27"/>
    <s v="NA11TE-27"/>
  </r>
  <r>
    <x v="16"/>
    <x v="214"/>
    <n v="-6.7799999999999994"/>
    <n v="2.17"/>
    <s v="#7"/>
    <x v="2"/>
    <n v="5.56"/>
    <n v="-1.22"/>
    <n v="3.39"/>
    <n v="11.492100000000001"/>
    <x v="7"/>
    <s v="NA3WR"/>
    <n v="53"/>
    <s v="NA3WR-53"/>
  </r>
  <r>
    <x v="7"/>
    <x v="224"/>
    <s v="0.25-4.09"/>
    <n v="2.17"/>
    <s v="#24"/>
    <x v="3"/>
    <n v="4.09"/>
    <n v="0.25"/>
    <n v="1.92"/>
    <n v="3.6863999999999999"/>
    <x v="7"/>
    <s v="NA1TE"/>
    <n v="21"/>
    <s v="NA1TE-21"/>
  </r>
  <r>
    <x v="8"/>
    <x v="289"/>
    <n v="-4.5600000000000005"/>
    <n v="2.17"/>
    <s v="#11"/>
    <x v="3"/>
    <n v="4.45"/>
    <n v="-0.11"/>
    <n v="2.2799999999999998"/>
    <n v="5.1984000000000004"/>
    <x v="7"/>
    <s v="NA6TE"/>
    <n v="29"/>
    <s v="NA6TE-29"/>
  </r>
  <r>
    <x v="12"/>
    <x v="129"/>
    <s v="0.21-4.13"/>
    <n v="2.17"/>
    <s v="#10"/>
    <x v="1"/>
    <n v="4.13"/>
    <n v="0.21"/>
    <n v="1.96"/>
    <n v="3.8416000000000001"/>
    <x v="7"/>
    <s v="NA5RB"/>
    <n v="23"/>
    <s v="NA5RB-23"/>
  </r>
  <r>
    <x v="13"/>
    <x v="229"/>
    <s v="0.00-4.34"/>
    <n v="2.17"/>
    <s v="#12"/>
    <x v="3"/>
    <n v="4.34"/>
    <n v="0"/>
    <n v="2.17"/>
    <n v="4.7088999999999999"/>
    <x v="7"/>
    <s v="NA8TE"/>
    <n v="30"/>
    <s v="NA8TE-30"/>
  </r>
  <r>
    <x v="14"/>
    <x v="305"/>
    <s v="0.03-4.31"/>
    <n v="2.17"/>
    <s v="#30"/>
    <x v="2"/>
    <n v="4.3099999999999996"/>
    <n v="0.03"/>
    <n v="2.14"/>
    <n v="4.5796000000000001"/>
    <x v="7"/>
    <s v="NA4WR"/>
    <n v="46"/>
    <s v="NA4WR-46"/>
  </r>
  <r>
    <x v="9"/>
    <x v="294"/>
    <n v="-4.6400000000000006"/>
    <n v="2.17"/>
    <s v="#16"/>
    <x v="3"/>
    <n v="4.49"/>
    <n v="-0.15"/>
    <n v="2.3199999999999998"/>
    <n v="5.3823999999999996"/>
    <x v="7"/>
    <s v="NA15TE"/>
    <n v="27"/>
    <s v="NA15TE-27"/>
  </r>
  <r>
    <x v="8"/>
    <x v="282"/>
    <s v="0.07-4.27"/>
    <n v="2.17"/>
    <s v="#2"/>
    <x v="2"/>
    <n v="4.2699999999999996"/>
    <n v="7.0000000000000007E-2"/>
    <n v="2.1"/>
    <n v="4.41"/>
    <x v="7"/>
    <s v="NA6WR"/>
    <n v="54"/>
    <s v="NA6WR-54"/>
  </r>
  <r>
    <x v="6"/>
    <x v="282"/>
    <s v="0.13-4.21"/>
    <n v="2.17"/>
    <s v="#13"/>
    <x v="2"/>
    <n v="4.21"/>
    <n v="0.13"/>
    <n v="2.04"/>
    <n v="4.1616"/>
    <x v="7"/>
    <s v="NA12WR"/>
    <n v="55"/>
    <s v="NA12WR-55"/>
  </r>
  <r>
    <x v="0"/>
    <x v="309"/>
    <s v="0.47-3.85"/>
    <n v="2.16"/>
    <s v="#21"/>
    <x v="1"/>
    <n v="3.85"/>
    <n v="0.47"/>
    <n v="1.69"/>
    <n v="2.8561000000000001"/>
    <x v="7"/>
    <s v="NA17RB"/>
    <n v="27"/>
    <s v="NA17RB-27"/>
  </r>
  <r>
    <x v="6"/>
    <x v="279"/>
    <s v="0.12-4.20"/>
    <n v="2.16"/>
    <s v="#1"/>
    <x v="2"/>
    <n v="4.2"/>
    <n v="0.12"/>
    <n v="2.04"/>
    <n v="4.1616"/>
    <x v="7"/>
    <s v="NA12WR"/>
    <n v="56"/>
    <s v="NA12WR-56"/>
  </r>
  <r>
    <x v="10"/>
    <x v="316"/>
    <s v="0.16-4.16"/>
    <n v="2.16"/>
    <s v="#5"/>
    <x v="1"/>
    <n v="4.16"/>
    <n v="0.16"/>
    <n v="2"/>
    <n v="4"/>
    <x v="7"/>
    <s v="NA2RB"/>
    <n v="23"/>
    <s v="NA2RB-23"/>
  </r>
  <r>
    <x v="1"/>
    <x v="248"/>
    <s v="0.57-3.75"/>
    <n v="2.16"/>
    <s v="#5"/>
    <x v="3"/>
    <n v="3.75"/>
    <n v="0.56999999999999995"/>
    <n v="1.59"/>
    <n v="2.5280999999999998"/>
    <x v="7"/>
    <s v="NA16TE"/>
    <n v="35"/>
    <s v="NA16TE-35"/>
  </r>
  <r>
    <x v="3"/>
    <x v="262"/>
    <s v="0.30-4.02"/>
    <n v="2.16"/>
    <s v="#21"/>
    <x v="2"/>
    <n v="4.0199999999999996"/>
    <n v="0.3"/>
    <n v="1.86"/>
    <n v="3.4596"/>
    <x v="7"/>
    <s v="NA11WR"/>
    <n v="42"/>
    <s v="NA11WR-42"/>
  </r>
  <r>
    <x v="6"/>
    <x v="306"/>
    <n v="-5.5"/>
    <n v="2.16"/>
    <s v="#20"/>
    <x v="3"/>
    <n v="4.91"/>
    <n v="-0.59"/>
    <n v="2.75"/>
    <n v="7.5625"/>
    <x v="7"/>
    <s v="NA12TE"/>
    <n v="32"/>
    <s v="NA12TE-32"/>
  </r>
  <r>
    <x v="14"/>
    <x v="234"/>
    <n v="-4.84"/>
    <n v="2.16"/>
    <s v="#9"/>
    <x v="3"/>
    <n v="4.58"/>
    <n v="-0.26"/>
    <n v="2.42"/>
    <n v="5.8563999999999998"/>
    <x v="7"/>
    <s v="NA4TE"/>
    <n v="28"/>
    <s v="NA4TE-28"/>
  </r>
  <r>
    <x v="2"/>
    <x v="275"/>
    <s v="1.57-2.75"/>
    <n v="2.16"/>
    <s v="#10"/>
    <x v="0"/>
    <n v="2.75"/>
    <n v="1.57"/>
    <n v="0.59"/>
    <n v="0.34810000000000002"/>
    <x v="7"/>
    <s v="NA9QB"/>
    <n v="14"/>
    <s v="NA9QB-14"/>
  </r>
  <r>
    <x v="13"/>
    <x v="300"/>
    <n v="-4.5"/>
    <n v="2.15"/>
    <s v="#27"/>
    <x v="3"/>
    <n v="4.4000000000000004"/>
    <n v="-0.1"/>
    <n v="2.25"/>
    <n v="5.0625"/>
    <x v="7"/>
    <s v="NA8TE"/>
    <n v="31"/>
    <s v="NA8TE-31"/>
  </r>
  <r>
    <x v="7"/>
    <x v="247"/>
    <n v="-5.0200000000000005"/>
    <n v="2.15"/>
    <s v="#20"/>
    <x v="2"/>
    <n v="4.66"/>
    <n v="-0.36"/>
    <n v="2.5099999999999998"/>
    <n v="6.3000999999999996"/>
    <x v="7"/>
    <s v="NA1WR"/>
    <n v="44"/>
    <s v="NA1WR-44"/>
  </r>
  <r>
    <x v="0"/>
    <x v="283"/>
    <s v="0.40-3.90"/>
    <n v="2.15"/>
    <s v="#25"/>
    <x v="3"/>
    <n v="3.9"/>
    <n v="0.4"/>
    <n v="1.75"/>
    <n v="3.0625"/>
    <x v="7"/>
    <s v="NA17TE"/>
    <n v="34"/>
    <s v="NA17TE-34"/>
  </r>
  <r>
    <x v="7"/>
    <x v="302"/>
    <n v="-4.46"/>
    <n v="2.15"/>
    <s v="#21"/>
    <x v="3"/>
    <n v="4.38"/>
    <n v="-0.08"/>
    <n v="2.23"/>
    <n v="4.9729000000000001"/>
    <x v="7"/>
    <s v="NA1TE"/>
    <n v="22"/>
    <s v="NA1TE-22"/>
  </r>
  <r>
    <x v="6"/>
    <x v="280"/>
    <n v="-4.46"/>
    <n v="2.15"/>
    <s v="#11"/>
    <x v="3"/>
    <n v="4.38"/>
    <n v="-0.08"/>
    <n v="2.23"/>
    <n v="4.9729000000000001"/>
    <x v="7"/>
    <s v="NA12TE"/>
    <n v="33"/>
    <s v="NA12TE-33"/>
  </r>
  <r>
    <x v="8"/>
    <x v="129"/>
    <s v="0.09-4.21"/>
    <n v="2.15"/>
    <s v="#25"/>
    <x v="1"/>
    <n v="4.21"/>
    <n v="0.09"/>
    <n v="2.06"/>
    <n v="4.2435999999999998"/>
    <x v="7"/>
    <s v="NA6RB"/>
    <n v="25"/>
    <s v="NA6RB-25"/>
  </r>
  <r>
    <x v="0"/>
    <x v="282"/>
    <s v="0.21-4.09"/>
    <n v="2.15"/>
    <s v="#16"/>
    <x v="2"/>
    <n v="4.09"/>
    <n v="0.21"/>
    <n v="1.94"/>
    <n v="3.7635999999999998"/>
    <x v="7"/>
    <s v="NA17WR"/>
    <n v="57"/>
    <s v="NA17WR-57"/>
  </r>
  <r>
    <x v="15"/>
    <x v="287"/>
    <s v="0.14-4.16"/>
    <n v="2.15"/>
    <s v="#8"/>
    <x v="3"/>
    <n v="4.16"/>
    <n v="0.14000000000000001"/>
    <n v="2.0099999999999998"/>
    <n v="4.0400999999999998"/>
    <x v="7"/>
    <s v="NA10TE"/>
    <n v="32"/>
    <s v="NA10TE-32"/>
  </r>
  <r>
    <x v="5"/>
    <x v="168"/>
    <n v="-4.34"/>
    <n v="2.15"/>
    <s v="#12"/>
    <x v="1"/>
    <n v="4.32"/>
    <n v="-0.02"/>
    <n v="2.17"/>
    <n v="4.7088999999999999"/>
    <x v="7"/>
    <s v="NA13RB"/>
    <n v="26"/>
    <s v="NA13RB-26"/>
  </r>
  <r>
    <x v="7"/>
    <x v="249"/>
    <s v="0.56-3.72"/>
    <n v="2.14"/>
    <s v="#30"/>
    <x v="2"/>
    <n v="3.72"/>
    <n v="0.56000000000000005"/>
    <n v="1.58"/>
    <n v="2.4964"/>
    <x v="7"/>
    <s v="NA1WR"/>
    <n v="45"/>
    <s v="NA1WR-45"/>
  </r>
  <r>
    <x v="16"/>
    <x v="276"/>
    <n v="-4.66"/>
    <n v="2.14"/>
    <s v="#4"/>
    <x v="3"/>
    <n v="4.47"/>
    <n v="-0.19"/>
    <n v="2.33"/>
    <n v="5.4288999999999996"/>
    <x v="7"/>
    <s v="NA3TE"/>
    <n v="31"/>
    <s v="NA3TE-31"/>
  </r>
  <r>
    <x v="12"/>
    <x v="248"/>
    <s v="0.59-3.69"/>
    <n v="2.14"/>
    <s v="#13"/>
    <x v="3"/>
    <n v="3.69"/>
    <n v="0.59"/>
    <n v="1.55"/>
    <n v="2.4024999999999999"/>
    <x v="7"/>
    <s v="NA5TE"/>
    <n v="28"/>
    <s v="NA5TE-28"/>
  </r>
  <r>
    <x v="6"/>
    <x v="298"/>
    <n v="-4.42"/>
    <n v="2.14"/>
    <s v="#29"/>
    <x v="3"/>
    <n v="4.3499999999999996"/>
    <n v="-7.0000000000000007E-2"/>
    <n v="2.21"/>
    <n v="4.8841000000000001"/>
    <x v="7"/>
    <s v="NA12TE"/>
    <n v="34"/>
    <s v="NA12TE-34"/>
  </r>
  <r>
    <x v="1"/>
    <x v="268"/>
    <s v="0.23-4.05"/>
    <n v="2.14"/>
    <s v="#13"/>
    <x v="1"/>
    <n v="4.05"/>
    <n v="0.23"/>
    <n v="1.91"/>
    <n v="3.6480999999999999"/>
    <x v="7"/>
    <s v="NA16RB"/>
    <n v="28"/>
    <s v="NA16RB-28"/>
  </r>
  <r>
    <x v="12"/>
    <x v="307"/>
    <n v="-5.58"/>
    <n v="2.13"/>
    <s v="#6"/>
    <x v="2"/>
    <n v="4.92"/>
    <n v="-0.66"/>
    <n v="2.79"/>
    <n v="7.7840999999999996"/>
    <x v="7"/>
    <s v="NA5WR"/>
    <n v="50"/>
    <s v="NA5WR-50"/>
  </r>
  <r>
    <x v="9"/>
    <x v="307"/>
    <n v="-4.7799999999999994"/>
    <n v="2.13"/>
    <s v="#24"/>
    <x v="2"/>
    <n v="4.5199999999999996"/>
    <n v="-0.26"/>
    <n v="2.39"/>
    <n v="5.7121000000000004"/>
    <x v="7"/>
    <s v="NA15WR"/>
    <n v="59"/>
    <s v="NA15WR-59"/>
  </r>
  <r>
    <x v="0"/>
    <x v="307"/>
    <n v="-5.52"/>
    <n v="2.13"/>
    <s v="#5"/>
    <x v="2"/>
    <n v="4.8899999999999997"/>
    <n v="-0.63"/>
    <n v="2.76"/>
    <n v="7.6176000000000004"/>
    <x v="7"/>
    <s v="NA17WR"/>
    <n v="58"/>
    <s v="NA17WR-58"/>
  </r>
  <r>
    <x v="16"/>
    <x v="237"/>
    <s v="0.17-4.09"/>
    <n v="2.13"/>
    <s v="#29"/>
    <x v="2"/>
    <n v="4.09"/>
    <n v="0.17"/>
    <n v="1.96"/>
    <n v="3.8416000000000001"/>
    <x v="7"/>
    <s v="NA3WR"/>
    <n v="54"/>
    <s v="NA3WR-54"/>
  </r>
  <r>
    <x v="9"/>
    <x v="283"/>
    <n v="-5.0199999999999996"/>
    <n v="2.13"/>
    <s v="#20"/>
    <x v="3"/>
    <n v="4.6399999999999997"/>
    <n v="-0.38"/>
    <n v="2.5099999999999998"/>
    <n v="6.3000999999999996"/>
    <x v="7"/>
    <s v="NA15TE"/>
    <n v="28"/>
    <s v="NA15TE-28"/>
  </r>
  <r>
    <x v="8"/>
    <x v="293"/>
    <n v="-4.66"/>
    <n v="2.13"/>
    <s v="#16"/>
    <x v="2"/>
    <n v="4.46"/>
    <n v="-0.2"/>
    <n v="2.33"/>
    <n v="5.4288999999999996"/>
    <x v="7"/>
    <s v="NA6WR"/>
    <n v="55"/>
    <s v="NA6WR-55"/>
  </r>
  <r>
    <x v="3"/>
    <x v="295"/>
    <s v="0.01-4.25"/>
    <n v="2.13"/>
    <s v="#9"/>
    <x v="3"/>
    <n v="4.25"/>
    <n v="0.01"/>
    <n v="2.12"/>
    <n v="4.4943999999999997"/>
    <x v="7"/>
    <s v="NA11TE"/>
    <n v="28"/>
    <s v="NA11TE-28"/>
  </r>
  <r>
    <x v="16"/>
    <x v="229"/>
    <n v="-5.24"/>
    <n v="2.13"/>
    <s v="#27"/>
    <x v="3"/>
    <n v="4.75"/>
    <n v="-0.49"/>
    <n v="2.62"/>
    <n v="6.8643999999999998"/>
    <x v="7"/>
    <s v="NA3TE"/>
    <n v="32"/>
    <s v="NA3TE-32"/>
  </r>
  <r>
    <x v="8"/>
    <x v="168"/>
    <s v="0.00-4.26"/>
    <n v="2.13"/>
    <s v="#22"/>
    <x v="1"/>
    <n v="4.26"/>
    <n v="0"/>
    <n v="2.13"/>
    <n v="4.5369000000000002"/>
    <x v="7"/>
    <s v="NA6RB"/>
    <n v="26"/>
    <s v="NA6RB-26"/>
  </r>
  <r>
    <x v="5"/>
    <x v="309"/>
    <s v="0.40-3.84"/>
    <n v="2.12"/>
    <s v="#10"/>
    <x v="1"/>
    <n v="3.84"/>
    <n v="0.4"/>
    <n v="1.72"/>
    <n v="2.9584000000000001"/>
    <x v="7"/>
    <s v="NA13RB"/>
    <n v="27"/>
    <s v="NA13RB-27"/>
  </r>
  <r>
    <x v="6"/>
    <x v="273"/>
    <n v="-4.88"/>
    <n v="2.12"/>
    <s v="#8"/>
    <x v="2"/>
    <n v="4.5599999999999996"/>
    <n v="-0.32"/>
    <n v="2.44"/>
    <n v="5.9535999999999998"/>
    <x v="7"/>
    <s v="NA12WR"/>
    <n v="57"/>
    <s v="NA12WR-57"/>
  </r>
  <r>
    <x v="14"/>
    <x v="317"/>
    <n v="-4.34"/>
    <n v="2.12"/>
    <s v="#1"/>
    <x v="2"/>
    <n v="4.29"/>
    <n v="-0.05"/>
    <n v="2.17"/>
    <n v="4.7088999999999999"/>
    <x v="7"/>
    <s v="NA4WR"/>
    <n v="47"/>
    <s v="NA4WR-47"/>
  </r>
  <r>
    <x v="0"/>
    <x v="262"/>
    <n v="-4.46"/>
    <n v="2.12"/>
    <s v="#13"/>
    <x v="2"/>
    <n v="4.3499999999999996"/>
    <n v="-0.11"/>
    <n v="2.23"/>
    <n v="4.9729000000000001"/>
    <x v="7"/>
    <s v="NA17WR"/>
    <n v="59"/>
    <s v="NA17WR-59"/>
  </r>
  <r>
    <x v="4"/>
    <x v="291"/>
    <s v="0.07-4.17"/>
    <n v="2.12"/>
    <s v="#3"/>
    <x v="3"/>
    <n v="4.17"/>
    <n v="7.0000000000000007E-2"/>
    <n v="2.0499999999999998"/>
    <n v="4.2024999999999997"/>
    <x v="7"/>
    <s v="NA7TE"/>
    <n v="28"/>
    <s v="NA7TE-28"/>
  </r>
  <r>
    <x v="12"/>
    <x v="295"/>
    <n v="-4.34"/>
    <n v="2.12"/>
    <s v="#11"/>
    <x v="3"/>
    <n v="4.29"/>
    <n v="-0.05"/>
    <n v="2.17"/>
    <n v="4.7088999999999999"/>
    <x v="7"/>
    <s v="NA5TE"/>
    <n v="29"/>
    <s v="NA5TE-29"/>
  </r>
  <r>
    <x v="4"/>
    <x v="295"/>
    <n v="-4.34"/>
    <n v="2.12"/>
    <s v="#20"/>
    <x v="3"/>
    <n v="4.29"/>
    <n v="-0.05"/>
    <n v="2.17"/>
    <n v="4.7088999999999999"/>
    <x v="7"/>
    <s v="NA7TE"/>
    <n v="29"/>
    <s v="NA7TE-29"/>
  </r>
  <r>
    <x v="12"/>
    <x v="313"/>
    <n v="-4.34"/>
    <n v="2.12"/>
    <s v="#32"/>
    <x v="3"/>
    <n v="4.29"/>
    <n v="-0.05"/>
    <n v="2.17"/>
    <n v="4.7088999999999999"/>
    <x v="7"/>
    <s v="NA5TE"/>
    <n v="30"/>
    <s v="NA5TE-30"/>
  </r>
  <r>
    <x v="16"/>
    <x v="310"/>
    <s v="0.32-3.92"/>
    <n v="2.12"/>
    <s v="#15"/>
    <x v="1"/>
    <n v="3.92"/>
    <n v="0.32"/>
    <n v="1.8"/>
    <n v="3.24"/>
    <x v="7"/>
    <s v="NA3RB"/>
    <n v="27"/>
    <s v="NA3RB-27"/>
  </r>
  <r>
    <x v="6"/>
    <x v="310"/>
    <s v="0.14-4.10"/>
    <n v="2.12"/>
    <s v="#18"/>
    <x v="1"/>
    <n v="4.0999999999999996"/>
    <n v="0.14000000000000001"/>
    <n v="1.98"/>
    <n v="3.9203999999999999"/>
    <x v="7"/>
    <s v="NA12RB"/>
    <n v="27"/>
    <s v="NA12RB-27"/>
  </r>
  <r>
    <x v="9"/>
    <x v="287"/>
    <n v="-4.82"/>
    <n v="2.12"/>
    <s v="#6"/>
    <x v="3"/>
    <n v="4.53"/>
    <n v="-0.28999999999999998"/>
    <n v="2.41"/>
    <n v="5.8080999999999996"/>
    <x v="7"/>
    <s v="NA15TE"/>
    <n v="29"/>
    <s v="NA15TE-29"/>
  </r>
  <r>
    <x v="11"/>
    <x v="150"/>
    <s v="0.43-3.79"/>
    <n v="2.11"/>
    <s v="#14"/>
    <x v="1"/>
    <n v="3.79"/>
    <n v="0.43"/>
    <n v="1.68"/>
    <n v="2.8224"/>
    <x v="7"/>
    <s v="NA14RB"/>
    <n v="27"/>
    <s v="NA14RB-27"/>
  </r>
  <r>
    <x v="1"/>
    <x v="311"/>
    <s v="0.52-3.70"/>
    <n v="2.11"/>
    <s v="#21"/>
    <x v="1"/>
    <n v="3.7"/>
    <n v="0.52"/>
    <n v="1.59"/>
    <n v="2.5280999999999998"/>
    <x v="7"/>
    <s v="NA16RB"/>
    <n v="29"/>
    <s v="NA16RB-29"/>
  </r>
  <r>
    <x v="0"/>
    <x v="311"/>
    <s v="0.35-3.87"/>
    <n v="2.11"/>
    <s v="#17"/>
    <x v="1"/>
    <n v="3.87"/>
    <n v="0.35"/>
    <n v="1.76"/>
    <n v="3.0975999999999999"/>
    <x v="7"/>
    <s v="NA17RB"/>
    <n v="28"/>
    <s v="NA17RB-28"/>
  </r>
  <r>
    <x v="6"/>
    <x v="288"/>
    <n v="-4.26"/>
    <n v="2.11"/>
    <s v="#17"/>
    <x v="3"/>
    <n v="4.24"/>
    <n v="-0.02"/>
    <n v="2.13"/>
    <n v="4.5369000000000002"/>
    <x v="7"/>
    <s v="NA12TE"/>
    <n v="35"/>
    <s v="NA12TE-35"/>
  </r>
  <r>
    <x v="9"/>
    <x v="248"/>
    <s v="0.44-3.78"/>
    <n v="2.11"/>
    <s v="#8"/>
    <x v="3"/>
    <n v="3.78"/>
    <n v="0.44"/>
    <n v="1.67"/>
    <n v="2.7888999999999999"/>
    <x v="7"/>
    <s v="NA15TE"/>
    <n v="30"/>
    <s v="NA15TE-30"/>
  </r>
  <r>
    <x v="14"/>
    <x v="280"/>
    <s v="0.32-3.90"/>
    <n v="2.11"/>
    <s v="#4"/>
    <x v="3"/>
    <n v="3.9"/>
    <n v="0.32"/>
    <n v="1.79"/>
    <n v="3.2040999999999999"/>
    <x v="7"/>
    <s v="NA4TE"/>
    <n v="29"/>
    <s v="NA4TE-29"/>
  </r>
  <r>
    <x v="1"/>
    <x v="278"/>
    <s v="0.10-4.12"/>
    <n v="2.11"/>
    <s v="#15"/>
    <x v="2"/>
    <n v="4.12"/>
    <n v="0.1"/>
    <n v="2.0099999999999998"/>
    <n v="4.0400999999999998"/>
    <x v="7"/>
    <s v="NA16WR"/>
    <n v="59"/>
    <s v="NA16WR-59"/>
  </r>
  <r>
    <x v="15"/>
    <x v="300"/>
    <n v="-4.46"/>
    <n v="2.1"/>
    <s v="#21"/>
    <x v="3"/>
    <n v="4.33"/>
    <n v="-0.13"/>
    <n v="2.23"/>
    <n v="4.9729000000000001"/>
    <x v="7"/>
    <s v="NA10TE"/>
    <n v="33"/>
    <s v="NA10TE-33"/>
  </r>
  <r>
    <x v="13"/>
    <x v="307"/>
    <n v="-4.84"/>
    <n v="2.1"/>
    <s v="#30"/>
    <x v="2"/>
    <n v="4.5199999999999996"/>
    <n v="-0.32"/>
    <n v="2.42"/>
    <n v="5.8563999999999998"/>
    <x v="7"/>
    <s v="NA8WR"/>
    <n v="48"/>
    <s v="NA8WR-48"/>
  </r>
  <r>
    <x v="6"/>
    <x v="307"/>
    <n v="-4.72"/>
    <n v="2.1"/>
    <s v="#21"/>
    <x v="2"/>
    <n v="4.46"/>
    <n v="-0.26"/>
    <n v="2.36"/>
    <n v="5.5696000000000003"/>
    <x v="7"/>
    <s v="NA12WR"/>
    <n v="58"/>
    <s v="NA12WR-58"/>
  </r>
  <r>
    <x v="13"/>
    <x v="200"/>
    <s v="0.28-3.92"/>
    <n v="2.1"/>
    <s v="#32"/>
    <x v="1"/>
    <n v="3.92"/>
    <n v="0.28000000000000003"/>
    <n v="1.82"/>
    <n v="3.3123999999999998"/>
    <x v="7"/>
    <s v="NA8RB"/>
    <n v="24"/>
    <s v="NA8RB-24"/>
  </r>
  <r>
    <x v="14"/>
    <x v="291"/>
    <n v="-5.1800000000000006"/>
    <n v="2.1"/>
    <s v="#9"/>
    <x v="3"/>
    <n v="4.6900000000000004"/>
    <n v="-0.49"/>
    <n v="2.59"/>
    <n v="6.7081"/>
    <x v="7"/>
    <s v="NA4TE"/>
    <n v="30"/>
    <s v="NA4TE-30"/>
  </r>
  <r>
    <x v="12"/>
    <x v="291"/>
    <s v="0.31-3.89"/>
    <n v="2.1"/>
    <s v="#23"/>
    <x v="3"/>
    <n v="3.89"/>
    <n v="0.31"/>
    <n v="1.79"/>
    <n v="3.2040999999999999"/>
    <x v="7"/>
    <s v="NA5TE"/>
    <n v="31"/>
    <s v="NA5TE-31"/>
  </r>
  <r>
    <x v="8"/>
    <x v="236"/>
    <s v="0.06-4.14"/>
    <n v="2.1"/>
    <s v="#13"/>
    <x v="2"/>
    <n v="4.1399999999999997"/>
    <n v="0.06"/>
    <n v="2.04"/>
    <n v="4.1616"/>
    <x v="7"/>
    <s v="NA6WR"/>
    <n v="56"/>
    <s v="NA6WR-56"/>
  </r>
  <r>
    <x v="4"/>
    <x v="236"/>
    <s v="0.08-4.12"/>
    <n v="2.1"/>
    <s v="#4"/>
    <x v="2"/>
    <n v="4.12"/>
    <n v="0.08"/>
    <n v="2.02"/>
    <n v="4.0804"/>
    <x v="7"/>
    <s v="NA7WR"/>
    <n v="49"/>
    <s v="NA7WR-49"/>
  </r>
  <r>
    <x v="5"/>
    <x v="229"/>
    <s v="0.18-4.02"/>
    <n v="2.1"/>
    <s v="#5"/>
    <x v="3"/>
    <n v="4.0199999999999996"/>
    <n v="0.18"/>
    <n v="1.92"/>
    <n v="3.6863999999999999"/>
    <x v="7"/>
    <s v="NA13TE"/>
    <n v="34"/>
    <s v="NA13TE-34"/>
  </r>
  <r>
    <x v="11"/>
    <x v="229"/>
    <n v="-4.34"/>
    <n v="2.1"/>
    <s v="#12"/>
    <x v="3"/>
    <n v="4.2699999999999996"/>
    <n v="-7.0000000000000007E-2"/>
    <n v="2.17"/>
    <n v="4.7088999999999999"/>
    <x v="7"/>
    <s v="NA14TE"/>
    <n v="34"/>
    <s v="NA14TE-34"/>
  </r>
  <r>
    <x v="1"/>
    <x v="277"/>
    <n v="-4.84"/>
    <n v="2.1"/>
    <s v="#31"/>
    <x v="2"/>
    <n v="4.5199999999999996"/>
    <n v="-0.32"/>
    <n v="2.42"/>
    <n v="5.8563999999999998"/>
    <x v="7"/>
    <s v="NA16WR"/>
    <n v="60"/>
    <s v="NA16WR-60"/>
  </r>
  <r>
    <x v="7"/>
    <x v="297"/>
    <n v="-4.6399999999999997"/>
    <n v="2.1"/>
    <s v="#3"/>
    <x v="1"/>
    <n v="4.42"/>
    <n v="-0.22"/>
    <n v="2.3199999999999998"/>
    <n v="5.3823999999999996"/>
    <x v="7"/>
    <s v="NA1RB"/>
    <n v="23"/>
    <s v="NA1RB-23"/>
  </r>
  <r>
    <x v="13"/>
    <x v="248"/>
    <s v="0.54-3.64"/>
    <n v="2.09"/>
    <s v="#13"/>
    <x v="3"/>
    <n v="3.64"/>
    <n v="0.54"/>
    <n v="1.55"/>
    <n v="2.4024999999999999"/>
    <x v="7"/>
    <s v="NA8TE"/>
    <n v="32"/>
    <s v="NA8TE-32"/>
  </r>
  <r>
    <x v="10"/>
    <x v="241"/>
    <s v="0.07-4.11"/>
    <n v="2.09"/>
    <s v="#25"/>
    <x v="3"/>
    <n v="4.1100000000000003"/>
    <n v="7.0000000000000007E-2"/>
    <n v="2.02"/>
    <n v="4.0804"/>
    <x v="7"/>
    <s v="NA2TE"/>
    <n v="25"/>
    <s v="NA2TE-25"/>
  </r>
  <r>
    <x v="9"/>
    <x v="280"/>
    <n v="-4.68"/>
    <n v="2.09"/>
    <s v="#12"/>
    <x v="3"/>
    <n v="4.43"/>
    <n v="-0.25"/>
    <n v="2.34"/>
    <n v="5.4756"/>
    <x v="7"/>
    <s v="NA15TE"/>
    <n v="31"/>
    <s v="NA15TE-31"/>
  </r>
  <r>
    <x v="11"/>
    <x v="291"/>
    <s v="0.29-3.89"/>
    <n v="2.09"/>
    <s v="#9"/>
    <x v="3"/>
    <n v="3.89"/>
    <n v="0.28999999999999998"/>
    <n v="1.8"/>
    <n v="3.24"/>
    <x v="7"/>
    <s v="NA14TE"/>
    <n v="35"/>
    <s v="NA14TE-35"/>
  </r>
  <r>
    <x v="5"/>
    <x v="298"/>
    <s v="0.06-4.12"/>
    <n v="2.09"/>
    <s v="#23"/>
    <x v="3"/>
    <n v="4.12"/>
    <n v="0.06"/>
    <n v="2.0299999999999998"/>
    <n v="4.1208999999999998"/>
    <x v="7"/>
    <s v="NA13TE"/>
    <n v="35"/>
    <s v="NA13TE-35"/>
  </r>
  <r>
    <x v="12"/>
    <x v="293"/>
    <n v="-4.78"/>
    <n v="2.09"/>
    <s v="#8"/>
    <x v="2"/>
    <n v="4.4800000000000004"/>
    <n v="-0.3"/>
    <n v="2.39"/>
    <n v="5.7121000000000004"/>
    <x v="7"/>
    <s v="NA5WR"/>
    <n v="51"/>
    <s v="NA5WR-51"/>
  </r>
  <r>
    <x v="16"/>
    <x v="166"/>
    <s v="0.00-4.18"/>
    <n v="2.09"/>
    <s v="#23"/>
    <x v="1"/>
    <n v="4.18"/>
    <n v="0"/>
    <n v="2.09"/>
    <n v="4.3681000000000001"/>
    <x v="7"/>
    <s v="NA3RB"/>
    <n v="28"/>
    <s v="NA3RB-28"/>
  </r>
  <r>
    <x v="12"/>
    <x v="287"/>
    <s v="0.08-4.10"/>
    <n v="2.09"/>
    <s v="#8"/>
    <x v="3"/>
    <n v="4.0999999999999996"/>
    <n v="0.08"/>
    <n v="2.0099999999999998"/>
    <n v="4.0400999999999998"/>
    <x v="7"/>
    <s v="NA5TE"/>
    <n v="32"/>
    <s v="NA5TE-32"/>
  </r>
  <r>
    <x v="3"/>
    <x v="281"/>
    <n v="-4.9399999999999995"/>
    <n v="2.08"/>
    <s v="#1"/>
    <x v="3"/>
    <n v="4.55"/>
    <n v="-0.39"/>
    <n v="2.4700000000000002"/>
    <n v="6.1009000000000002"/>
    <x v="7"/>
    <s v="NA11TE"/>
    <n v="29"/>
    <s v="NA11TE-29"/>
  </r>
  <r>
    <x v="13"/>
    <x v="186"/>
    <n v="-4.5"/>
    <n v="2.08"/>
    <s v="#13"/>
    <x v="2"/>
    <n v="4.33"/>
    <n v="-0.17"/>
    <n v="2.25"/>
    <n v="5.0625"/>
    <x v="7"/>
    <s v="NA8WR"/>
    <n v="49"/>
    <s v="NA8WR-49"/>
  </r>
  <r>
    <x v="13"/>
    <x v="288"/>
    <n v="-4.38"/>
    <n v="2.08"/>
    <s v="#5"/>
    <x v="3"/>
    <n v="4.2699999999999996"/>
    <n v="-0.11"/>
    <n v="2.19"/>
    <n v="4.7961"/>
    <x v="7"/>
    <s v="NA8TE"/>
    <n v="33"/>
    <s v="NA8TE-33"/>
  </r>
  <r>
    <x v="7"/>
    <x v="318"/>
    <n v="-6.24"/>
    <n v="2.08"/>
    <s v="#21"/>
    <x v="2"/>
    <n v="5.2"/>
    <n v="-1.04"/>
    <n v="3.12"/>
    <n v="9.7344000000000008"/>
    <x v="7"/>
    <s v="NA1WR"/>
    <n v="46"/>
    <s v="NA1WR-46"/>
  </r>
  <r>
    <x v="1"/>
    <x v="290"/>
    <n v="-4.68"/>
    <n v="2.08"/>
    <s v="#32"/>
    <x v="3"/>
    <n v="4.42"/>
    <n v="-0.26"/>
    <n v="2.34"/>
    <n v="5.4756"/>
    <x v="7"/>
    <s v="NA16TE"/>
    <n v="36"/>
    <s v="NA16TE-36"/>
  </r>
  <r>
    <x v="13"/>
    <x v="310"/>
    <n v="-4.4000000000000004"/>
    <n v="2.08"/>
    <s v="#19"/>
    <x v="1"/>
    <n v="4.28"/>
    <n v="-0.12"/>
    <n v="2.2000000000000002"/>
    <n v="4.84"/>
    <x v="7"/>
    <s v="NA8RB"/>
    <n v="25"/>
    <s v="NA8RB-25"/>
  </r>
  <r>
    <x v="13"/>
    <x v="129"/>
    <s v="0.07-4.07"/>
    <n v="2.0699999999999998"/>
    <s v="#28"/>
    <x v="1"/>
    <n v="4.07"/>
    <n v="7.0000000000000007E-2"/>
    <n v="2"/>
    <n v="4"/>
    <x v="7"/>
    <s v="NA8RB"/>
    <n v="26"/>
    <s v="NA8RB-26"/>
  </r>
  <r>
    <x v="2"/>
    <x v="129"/>
    <s v="0.18-3.96"/>
    <n v="2.0699999999999998"/>
    <s v="#20"/>
    <x v="1"/>
    <n v="3.96"/>
    <n v="0.18"/>
    <n v="1.89"/>
    <n v="3.5720999999999998"/>
    <x v="7"/>
    <s v="NA9RB"/>
    <n v="20"/>
    <s v="NA9RB-20"/>
  </r>
  <r>
    <x v="1"/>
    <x v="310"/>
    <s v="0.06-4.08"/>
    <n v="2.0699999999999998"/>
    <s v="#23"/>
    <x v="1"/>
    <n v="4.08"/>
    <n v="0.06"/>
    <n v="2.0099999999999998"/>
    <n v="4.0400999999999998"/>
    <x v="7"/>
    <s v="NA16RB"/>
    <n v="30"/>
    <s v="NA16RB-30"/>
  </r>
  <r>
    <x v="4"/>
    <x v="278"/>
    <n v="-4.5599999999999996"/>
    <n v="2.0699999999999998"/>
    <s v="#1"/>
    <x v="2"/>
    <n v="4.3499999999999996"/>
    <n v="-0.21"/>
    <n v="2.2799999999999998"/>
    <n v="5.1984000000000004"/>
    <x v="7"/>
    <s v="NA7WR"/>
    <n v="50"/>
    <s v="NA7WR-50"/>
  </r>
  <r>
    <x v="5"/>
    <x v="283"/>
    <s v="0.31-3.81"/>
    <n v="2.06"/>
    <s v="#25"/>
    <x v="3"/>
    <n v="3.81"/>
    <n v="0.31"/>
    <n v="1.75"/>
    <n v="3.0625"/>
    <x v="7"/>
    <s v="NA13TE"/>
    <n v="36"/>
    <s v="NA13TE-36"/>
  </r>
  <r>
    <x v="14"/>
    <x v="302"/>
    <s v="0.00-4.12"/>
    <n v="2.06"/>
    <s v="#31"/>
    <x v="3"/>
    <n v="4.12"/>
    <n v="0"/>
    <n v="2.06"/>
    <n v="4.2435999999999998"/>
    <x v="7"/>
    <s v="NA4TE"/>
    <n v="31"/>
    <s v="NA4TE-31"/>
  </r>
  <r>
    <x v="4"/>
    <x v="248"/>
    <s v="0.49-3.63"/>
    <n v="2.06"/>
    <s v="#10"/>
    <x v="3"/>
    <n v="3.63"/>
    <n v="0.49"/>
    <n v="1.57"/>
    <n v="2.4649000000000001"/>
    <x v="7"/>
    <s v="NA7TE"/>
    <n v="30"/>
    <s v="NA7TE-30"/>
  </r>
  <r>
    <x v="11"/>
    <x v="306"/>
    <s v="0.23-3.89"/>
    <n v="2.06"/>
    <s v="#28"/>
    <x v="3"/>
    <n v="3.89"/>
    <n v="0.23"/>
    <n v="1.83"/>
    <n v="3.3489"/>
    <x v="7"/>
    <s v="NA14TE"/>
    <n v="36"/>
    <s v="NA14TE-36"/>
  </r>
  <r>
    <x v="9"/>
    <x v="291"/>
    <n v="-5.64"/>
    <n v="2.06"/>
    <s v="#4"/>
    <x v="3"/>
    <n v="4.88"/>
    <n v="-0.76"/>
    <n v="2.82"/>
    <n v="7.9523999999999999"/>
    <x v="7"/>
    <s v="NA15TE"/>
    <n v="32"/>
    <s v="NA15TE-32"/>
  </r>
  <r>
    <x v="15"/>
    <x v="298"/>
    <n v="-4.3400000000000007"/>
    <n v="2.06"/>
    <s v="#19"/>
    <x v="3"/>
    <n v="4.2300000000000004"/>
    <n v="-0.11"/>
    <n v="2.17"/>
    <n v="4.7088999999999999"/>
    <x v="7"/>
    <s v="NA10TE"/>
    <n v="34"/>
    <s v="NA10TE-34"/>
  </r>
  <r>
    <x v="11"/>
    <x v="234"/>
    <n v="-5.04"/>
    <n v="2.06"/>
    <s v="#9"/>
    <x v="3"/>
    <n v="4.58"/>
    <n v="-0.46"/>
    <n v="2.52"/>
    <n v="6.3503999999999996"/>
    <x v="7"/>
    <s v="NA14TE"/>
    <n v="37"/>
    <s v="NA14TE-37"/>
  </r>
  <r>
    <x v="7"/>
    <x v="272"/>
    <n v="-4.42"/>
    <n v="2.06"/>
    <s v="#13"/>
    <x v="3"/>
    <n v="4.2699999999999996"/>
    <n v="-0.15"/>
    <n v="2.21"/>
    <n v="4.8841000000000001"/>
    <x v="7"/>
    <s v="NA1TE"/>
    <n v="23"/>
    <s v="NA1TE-23"/>
  </r>
  <r>
    <x v="5"/>
    <x v="248"/>
    <s v="0.38-3.72"/>
    <n v="2.0499999999999998"/>
    <s v="#8"/>
    <x v="3"/>
    <n v="3.72"/>
    <n v="0.38"/>
    <n v="1.67"/>
    <n v="2.7888999999999999"/>
    <x v="7"/>
    <s v="NA13TE"/>
    <n v="37"/>
    <s v="NA13TE-37"/>
  </r>
  <r>
    <x v="9"/>
    <x v="301"/>
    <n v="-4.54"/>
    <n v="2.0499999999999998"/>
    <s v="#27"/>
    <x v="3"/>
    <n v="4.32"/>
    <n v="-0.22"/>
    <n v="2.27"/>
    <n v="5.1528999999999998"/>
    <x v="7"/>
    <s v="NA15TE"/>
    <n v="33"/>
    <s v="NA15TE-33"/>
  </r>
  <r>
    <x v="12"/>
    <x v="298"/>
    <n v="-4.78"/>
    <n v="2.0499999999999998"/>
    <s v="#12"/>
    <x v="3"/>
    <n v="4.4400000000000004"/>
    <n v="-0.34"/>
    <n v="2.39"/>
    <n v="5.7121000000000004"/>
    <x v="7"/>
    <s v="NA5TE"/>
    <n v="33"/>
    <s v="NA5TE-33"/>
  </r>
  <r>
    <x v="11"/>
    <x v="298"/>
    <s v="0.04-4.06"/>
    <n v="2.0499999999999998"/>
    <s v="#31"/>
    <x v="3"/>
    <n v="4.0599999999999996"/>
    <n v="0.04"/>
    <n v="2.0099999999999998"/>
    <n v="4.0400999999999998"/>
    <x v="7"/>
    <s v="NA14TE"/>
    <n v="38"/>
    <s v="NA14TE-38"/>
  </r>
  <r>
    <x v="12"/>
    <x v="234"/>
    <n v="-5.08"/>
    <n v="2.0499999999999998"/>
    <s v="#23"/>
    <x v="3"/>
    <n v="4.59"/>
    <n v="-0.49"/>
    <n v="2.54"/>
    <n v="6.4516"/>
    <x v="7"/>
    <s v="NA5TE"/>
    <n v="34"/>
    <s v="NA5TE-34"/>
  </r>
  <r>
    <x v="12"/>
    <x v="277"/>
    <n v="-4.58"/>
    <n v="2.0499999999999998"/>
    <s v="#27"/>
    <x v="2"/>
    <n v="4.34"/>
    <n v="-0.24"/>
    <n v="2.29"/>
    <n v="5.2441000000000004"/>
    <x v="7"/>
    <s v="NA5WR"/>
    <n v="52"/>
    <s v="NA5WR-52"/>
  </r>
  <r>
    <x v="15"/>
    <x v="168"/>
    <s v="0.18-3.92"/>
    <n v="2.0499999999999998"/>
    <s v="#23"/>
    <x v="1"/>
    <n v="3.92"/>
    <n v="0.18"/>
    <n v="1.87"/>
    <n v="3.4969000000000001"/>
    <x v="7"/>
    <s v="NA10RB"/>
    <n v="28"/>
    <s v="NA10RB-28"/>
  </r>
  <r>
    <x v="12"/>
    <x v="93"/>
    <n v="-4.92"/>
    <n v="2.04"/>
    <s v="#26"/>
    <x v="1"/>
    <n v="4.5"/>
    <n v="-0.42"/>
    <n v="2.46"/>
    <n v="6.0515999999999996"/>
    <x v="7"/>
    <s v="NA5RB"/>
    <n v="24"/>
    <s v="NA5RB-24"/>
  </r>
  <r>
    <x v="10"/>
    <x v="312"/>
    <s v="0.16-3.92"/>
    <n v="2.04"/>
    <s v="#13"/>
    <x v="3"/>
    <n v="3.92"/>
    <n v="0.16"/>
    <n v="1.88"/>
    <n v="3.5344000000000002"/>
    <x v="7"/>
    <s v="NA2TE"/>
    <n v="26"/>
    <s v="NA2TE-26"/>
  </r>
  <r>
    <x v="12"/>
    <x v="224"/>
    <n v="-4.18"/>
    <n v="2.04"/>
    <s v="#11"/>
    <x v="3"/>
    <n v="4.13"/>
    <n v="-0.05"/>
    <n v="2.09"/>
    <n v="4.3681000000000001"/>
    <x v="7"/>
    <s v="NA5TE"/>
    <n v="35"/>
    <s v="NA5TE-35"/>
  </r>
  <r>
    <x v="5"/>
    <x v="297"/>
    <s v="0.28-3.80"/>
    <n v="2.04"/>
    <s v="#5"/>
    <x v="1"/>
    <n v="3.8"/>
    <n v="0.28000000000000003"/>
    <n v="1.76"/>
    <n v="3.0975999999999999"/>
    <x v="7"/>
    <s v="NA13RB"/>
    <n v="28"/>
    <s v="NA13RB-28"/>
  </r>
  <r>
    <x v="8"/>
    <x v="319"/>
    <n v="-6.24"/>
    <n v="2.0299999999999998"/>
    <s v="#32"/>
    <x v="2"/>
    <n v="5.15"/>
    <n v="-1.0900000000000001"/>
    <n v="3.12"/>
    <n v="9.7344000000000008"/>
    <x v="7"/>
    <s v="NA6WR"/>
    <n v="57"/>
    <s v="NA6WR-57"/>
  </r>
  <r>
    <x v="11"/>
    <x v="311"/>
    <s v="0.26-3.80"/>
    <n v="2.0299999999999998"/>
    <s v="#11"/>
    <x v="1"/>
    <n v="3.8"/>
    <n v="0.26"/>
    <n v="1.77"/>
    <n v="3.1328999999999998"/>
    <x v="7"/>
    <s v="NA14RB"/>
    <n v="28"/>
    <s v="NA14RB-28"/>
  </r>
  <r>
    <x v="0"/>
    <x v="288"/>
    <n v="-4.26"/>
    <n v="2.0299999999999998"/>
    <s v="#17"/>
    <x v="3"/>
    <n v="4.16"/>
    <n v="-0.1"/>
    <n v="2.13"/>
    <n v="4.5369000000000002"/>
    <x v="7"/>
    <s v="NA17TE"/>
    <n v="35"/>
    <s v="NA17TE-35"/>
  </r>
  <r>
    <x v="16"/>
    <x v="291"/>
    <n v="-5.78"/>
    <n v="2.0299999999999998"/>
    <s v="#22"/>
    <x v="3"/>
    <n v="4.92"/>
    <n v="-0.86"/>
    <n v="2.89"/>
    <n v="8.3521000000000001"/>
    <x v="7"/>
    <s v="NA3TE"/>
    <n v="33"/>
    <s v="NA3TE-33"/>
  </r>
  <r>
    <x v="8"/>
    <x v="291"/>
    <n v="-5.54"/>
    <n v="2.0299999999999998"/>
    <s v="#11"/>
    <x v="3"/>
    <n v="4.8"/>
    <n v="-0.74"/>
    <n v="2.77"/>
    <n v="7.6729000000000003"/>
    <x v="7"/>
    <s v="NA6TE"/>
    <n v="30"/>
    <s v="NA6TE-30"/>
  </r>
  <r>
    <x v="9"/>
    <x v="320"/>
    <s v="0.27-3.79"/>
    <n v="2.0299999999999998"/>
    <s v="#27"/>
    <x v="3"/>
    <n v="3.79"/>
    <n v="0.27"/>
    <n v="1.76"/>
    <n v="3.0975999999999999"/>
    <x v="7"/>
    <s v="NA15TE"/>
    <n v="34"/>
    <s v="NA15TE-34"/>
  </r>
  <r>
    <x v="3"/>
    <x v="277"/>
    <n v="-4.4000000000000004"/>
    <n v="2.0299999999999998"/>
    <s v="#29"/>
    <x v="2"/>
    <n v="4.2300000000000004"/>
    <n v="-0.17"/>
    <n v="2.2000000000000002"/>
    <n v="4.84"/>
    <x v="7"/>
    <s v="NA11WR"/>
    <n v="43"/>
    <s v="NA11WR-43"/>
  </r>
  <r>
    <x v="1"/>
    <x v="300"/>
    <n v="-4.28"/>
    <n v="2.02"/>
    <s v="#3"/>
    <x v="3"/>
    <n v="4.16"/>
    <n v="-0.12"/>
    <n v="2.14"/>
    <n v="4.5796000000000001"/>
    <x v="7"/>
    <s v="NA16TE"/>
    <n v="37"/>
    <s v="NA16TE-37"/>
  </r>
  <r>
    <x v="4"/>
    <x v="309"/>
    <s v="0.42-3.62"/>
    <n v="2.02"/>
    <s v="#24"/>
    <x v="1"/>
    <n v="3.62"/>
    <n v="0.42"/>
    <n v="1.6"/>
    <n v="2.56"/>
    <x v="7"/>
    <s v="NA7RB"/>
    <n v="23"/>
    <s v="NA7RB-23"/>
  </r>
  <r>
    <x v="7"/>
    <x v="290"/>
    <n v="-4.54"/>
    <n v="2.02"/>
    <s v="#16"/>
    <x v="3"/>
    <n v="4.29"/>
    <n v="-0.25"/>
    <n v="2.27"/>
    <n v="5.1528999999999998"/>
    <x v="7"/>
    <s v="NA1TE"/>
    <n v="24"/>
    <s v="NA1TE-24"/>
  </r>
  <r>
    <x v="5"/>
    <x v="314"/>
    <s v="0.14-3.90"/>
    <n v="2.02"/>
    <s v="#10"/>
    <x v="2"/>
    <n v="3.9"/>
    <n v="0.14000000000000001"/>
    <n v="1.88"/>
    <n v="3.5344000000000002"/>
    <x v="7"/>
    <s v="NA13WR"/>
    <n v="60"/>
    <s v="NA13WR-60"/>
  </r>
  <r>
    <x v="12"/>
    <x v="300"/>
    <n v="-4.3600000000000003"/>
    <n v="2.0099999999999998"/>
    <s v="#19"/>
    <x v="3"/>
    <n v="4.1900000000000004"/>
    <n v="-0.17"/>
    <n v="2.1800000000000002"/>
    <n v="4.7523999999999997"/>
    <x v="7"/>
    <s v="NA5TE"/>
    <n v="36"/>
    <s v="NA5TE-36"/>
  </r>
  <r>
    <x v="16"/>
    <x v="259"/>
    <n v="-4.12"/>
    <n v="2.0099999999999998"/>
    <s v="#25"/>
    <x v="3"/>
    <n v="4.07"/>
    <n v="-0.05"/>
    <n v="2.06"/>
    <n v="4.2435999999999998"/>
    <x v="7"/>
    <s v="NA3TE"/>
    <n v="34"/>
    <s v="NA3TE-34"/>
  </r>
  <r>
    <x v="9"/>
    <x v="259"/>
    <n v="-5.42"/>
    <n v="2.0099999999999998"/>
    <s v="#26"/>
    <x v="3"/>
    <n v="4.72"/>
    <n v="-0.7"/>
    <n v="2.71"/>
    <n v="7.3441000000000001"/>
    <x v="7"/>
    <s v="NA15TE"/>
    <n v="35"/>
    <s v="NA15TE-35"/>
  </r>
  <r>
    <x v="5"/>
    <x v="263"/>
    <s v="0.07-3.95"/>
    <n v="2.0099999999999998"/>
    <s v="#15"/>
    <x v="3"/>
    <n v="3.95"/>
    <n v="7.0000000000000007E-2"/>
    <n v="1.94"/>
    <n v="3.7635999999999998"/>
    <x v="7"/>
    <s v="NA13TE"/>
    <n v="38"/>
    <s v="NA13TE-38"/>
  </r>
  <r>
    <x v="10"/>
    <x v="321"/>
    <n v="-4.3000000000000007"/>
    <n v="2"/>
    <s v="#29"/>
    <x v="1"/>
    <n v="4.1500000000000004"/>
    <n v="-0.15"/>
    <n v="2.15"/>
    <n v="4.6224999999999996"/>
    <x v="7"/>
    <s v="NA2RB"/>
    <n v="24"/>
    <s v="NA2RB-24"/>
  </r>
  <r>
    <x v="11"/>
    <x v="248"/>
    <s v="0.37-3.63"/>
    <n v="2"/>
    <s v="#16"/>
    <x v="3"/>
    <n v="3.63"/>
    <n v="0.37"/>
    <n v="1.63"/>
    <n v="2.6568999999999998"/>
    <x v="7"/>
    <s v="NA14TE"/>
    <n v="39"/>
    <s v="NA14TE-39"/>
  </r>
  <r>
    <x v="2"/>
    <x v="322"/>
    <n v="-4.92"/>
    <n v="2"/>
    <s v="#30"/>
    <x v="2"/>
    <n v="4.46"/>
    <n v="-0.46"/>
    <n v="2.46"/>
    <n v="6.0515999999999996"/>
    <x v="7"/>
    <s v="NA9WR"/>
    <n v="52"/>
    <s v="NA9WR-52"/>
  </r>
  <r>
    <x v="14"/>
    <x v="323"/>
    <s v="0.23-3.77"/>
    <n v="2"/>
    <s v="#17"/>
    <x v="1"/>
    <n v="3.77"/>
    <n v="0.23"/>
    <n v="1.77"/>
    <n v="3.1328999999999998"/>
    <x v="7"/>
    <s v="NA4RB"/>
    <n v="25"/>
    <s v="NA4RB-25"/>
  </r>
  <r>
    <x v="9"/>
    <x v="295"/>
    <s v="0.26-3.74"/>
    <n v="2"/>
    <s v="#22"/>
    <x v="3"/>
    <n v="3.74"/>
    <n v="0.26"/>
    <n v="1.74"/>
    <n v="3.0276000000000001"/>
    <x v="7"/>
    <s v="NA15TE"/>
    <n v="36"/>
    <s v="NA15TE-36"/>
  </r>
  <r>
    <x v="8"/>
    <x v="290"/>
    <s v="0.15-3.85"/>
    <n v="2"/>
    <s v="#25"/>
    <x v="3"/>
    <n v="3.85"/>
    <n v="0.15"/>
    <n v="1.85"/>
    <n v="3.4224999999999999"/>
    <x v="7"/>
    <s v="NA6TE"/>
    <n v="31"/>
    <s v="NA6TE-31"/>
  </r>
  <r>
    <x v="15"/>
    <x v="282"/>
    <n v="-5.16"/>
    <n v="2"/>
    <s v="#25"/>
    <x v="2"/>
    <n v="4.58"/>
    <n v="-0.57999999999999996"/>
    <n v="2.58"/>
    <n v="6.6563999999999997"/>
    <x v="7"/>
    <s v="NA10WR"/>
    <n v="54"/>
    <s v="NA10WR-54"/>
  </r>
  <r>
    <x v="4"/>
    <x v="186"/>
    <n v="-4"/>
    <n v="1.99"/>
    <s v="#10"/>
    <x v="2"/>
    <n v="3.99"/>
    <n v="-0.01"/>
    <n v="2"/>
    <n v="4"/>
    <x v="7"/>
    <s v="NA7WR"/>
    <n v="51"/>
    <s v="NA7WR-51"/>
  </r>
  <r>
    <x v="2"/>
    <x v="200"/>
    <s v="0.34-3.64"/>
    <n v="1.99"/>
    <s v="#27"/>
    <x v="1"/>
    <n v="3.64"/>
    <n v="0.34"/>
    <n v="1.65"/>
    <n v="2.7225000000000001"/>
    <x v="7"/>
    <s v="NA9RB"/>
    <n v="21"/>
    <s v="NA9RB-21"/>
  </r>
  <r>
    <x v="7"/>
    <x v="324"/>
    <n v="-4.38"/>
    <n v="1.99"/>
    <s v="#27"/>
    <x v="3"/>
    <n v="4.18"/>
    <n v="-0.2"/>
    <n v="2.19"/>
    <n v="4.7961"/>
    <x v="7"/>
    <s v="NA1TE"/>
    <n v="25"/>
    <s v="NA1TE-25"/>
  </r>
  <r>
    <x v="16"/>
    <x v="280"/>
    <n v="-4.16"/>
    <n v="1.99"/>
    <s v="#14"/>
    <x v="3"/>
    <n v="4.07"/>
    <n v="-0.09"/>
    <n v="2.08"/>
    <n v="4.3263999999999996"/>
    <x v="7"/>
    <s v="NA3TE"/>
    <n v="35"/>
    <s v="NA3TE-35"/>
  </r>
  <r>
    <x v="13"/>
    <x v="322"/>
    <n v="-4.78"/>
    <n v="1.99"/>
    <s v="#21"/>
    <x v="2"/>
    <n v="4.38"/>
    <n v="-0.4"/>
    <n v="2.39"/>
    <n v="5.7121000000000004"/>
    <x v="7"/>
    <s v="NA8WR"/>
    <n v="50"/>
    <s v="NA8WR-50"/>
  </r>
  <r>
    <x v="2"/>
    <x v="289"/>
    <s v="0.02-3.96"/>
    <n v="1.99"/>
    <s v="#16"/>
    <x v="3"/>
    <n v="3.96"/>
    <n v="0.02"/>
    <n v="1.97"/>
    <n v="3.8809"/>
    <x v="7"/>
    <s v="NA9TE"/>
    <n v="29"/>
    <s v="NA9TE-29"/>
  </r>
  <r>
    <x v="11"/>
    <x v="243"/>
    <s v="0.34-3.64"/>
    <n v="1.99"/>
    <s v="#32"/>
    <x v="1"/>
    <n v="3.64"/>
    <n v="0.34"/>
    <n v="1.65"/>
    <n v="2.7225000000000001"/>
    <x v="7"/>
    <s v="NA14RB"/>
    <n v="29"/>
    <s v="NA14RB-29"/>
  </r>
  <r>
    <x v="15"/>
    <x v="129"/>
    <s v="0.03-3.95"/>
    <n v="1.99"/>
    <s v="#10"/>
    <x v="1"/>
    <n v="3.95"/>
    <n v="0.03"/>
    <n v="1.96"/>
    <n v="3.8416000000000001"/>
    <x v="7"/>
    <s v="NA10RB"/>
    <n v="29"/>
    <s v="NA10RB-29"/>
  </r>
  <r>
    <x v="16"/>
    <x v="325"/>
    <n v="-6.68"/>
    <n v="1.99"/>
    <s v="#26"/>
    <x v="1"/>
    <n v="5.33"/>
    <n v="-1.35"/>
    <n v="3.34"/>
    <n v="11.1556"/>
    <x v="7"/>
    <s v="NA3RB"/>
    <n v="29"/>
    <s v="NA3RB-29"/>
  </r>
  <r>
    <x v="11"/>
    <x v="282"/>
    <n v="-4.62"/>
    <n v="1.99"/>
    <s v="#19"/>
    <x v="2"/>
    <n v="4.3"/>
    <n v="-0.32"/>
    <n v="2.31"/>
    <n v="5.3361000000000001"/>
    <x v="7"/>
    <s v="NA14WR"/>
    <n v="59"/>
    <s v="NA14WR-59"/>
  </r>
  <r>
    <x v="0"/>
    <x v="168"/>
    <n v="-4.34"/>
    <n v="1.99"/>
    <s v="#12"/>
    <x v="1"/>
    <n v="4.16"/>
    <n v="-0.18"/>
    <n v="2.17"/>
    <n v="4.7088999999999999"/>
    <x v="7"/>
    <s v="NA17RB"/>
    <n v="29"/>
    <s v="NA17RB-29"/>
  </r>
  <r>
    <x v="5"/>
    <x v="306"/>
    <s v="0.18-3.78"/>
    <n v="1.98"/>
    <s v="#21"/>
    <x v="3"/>
    <n v="3.78"/>
    <n v="0.18"/>
    <n v="1.8"/>
    <n v="3.24"/>
    <x v="7"/>
    <s v="NA13TE"/>
    <n v="39"/>
    <s v="NA13TE-39"/>
  </r>
  <r>
    <x v="4"/>
    <x v="322"/>
    <n v="-4.92"/>
    <n v="1.98"/>
    <s v="#18"/>
    <x v="2"/>
    <n v="4.4400000000000004"/>
    <n v="-0.48"/>
    <n v="2.46"/>
    <n v="6.0515999999999996"/>
    <x v="7"/>
    <s v="NA7WR"/>
    <n v="52"/>
    <s v="NA7WR-52"/>
  </r>
  <r>
    <x v="15"/>
    <x v="305"/>
    <n v="-4.4200000000000008"/>
    <n v="1.98"/>
    <s v="#18"/>
    <x v="2"/>
    <n v="4.1900000000000004"/>
    <n v="-0.23"/>
    <n v="2.21"/>
    <n v="4.8841000000000001"/>
    <x v="7"/>
    <s v="NA10WR"/>
    <n v="55"/>
    <s v="NA10WR-55"/>
  </r>
  <r>
    <x v="9"/>
    <x v="277"/>
    <n v="-4.8"/>
    <n v="1.98"/>
    <s v="#9"/>
    <x v="2"/>
    <n v="4.38"/>
    <n v="-0.42"/>
    <n v="2.4"/>
    <n v="5.76"/>
    <x v="7"/>
    <s v="NA15WR"/>
    <n v="60"/>
    <s v="NA15WR-60"/>
  </r>
  <r>
    <x v="5"/>
    <x v="282"/>
    <n v="-4.5"/>
    <n v="1.98"/>
    <s v="#15"/>
    <x v="2"/>
    <n v="4.2300000000000004"/>
    <n v="-0.27"/>
    <n v="2.25"/>
    <n v="5.0625"/>
    <x v="7"/>
    <s v="NA13WR"/>
    <n v="61"/>
    <s v="NA13WR-61"/>
  </r>
  <r>
    <x v="11"/>
    <x v="287"/>
    <s v="0.12-3.84"/>
    <n v="1.98"/>
    <s v="#5"/>
    <x v="3"/>
    <n v="3.84"/>
    <n v="0.12"/>
    <n v="1.86"/>
    <n v="3.4596"/>
    <x v="7"/>
    <s v="NA14TE"/>
    <n v="40"/>
    <s v="NA14TE-40"/>
  </r>
  <r>
    <x v="12"/>
    <x v="319"/>
    <n v="-5.58"/>
    <n v="1.97"/>
    <s v="#9"/>
    <x v="2"/>
    <n v="4.76"/>
    <n v="-0.82"/>
    <n v="2.79"/>
    <n v="7.7840999999999996"/>
    <x v="7"/>
    <s v="NA5WR"/>
    <n v="53"/>
    <s v="NA5WR-53"/>
  </r>
  <r>
    <x v="11"/>
    <x v="273"/>
    <s v="0.03-3.91"/>
    <n v="1.97"/>
    <s v="#2"/>
    <x v="2"/>
    <n v="3.91"/>
    <n v="0.03"/>
    <n v="1.94"/>
    <n v="3.7635999999999998"/>
    <x v="7"/>
    <s v="NA14WR"/>
    <n v="60"/>
    <s v="NA14WR-60"/>
  </r>
  <r>
    <x v="16"/>
    <x v="248"/>
    <s v="0.09-3.85"/>
    <n v="1.97"/>
    <s v="#32"/>
    <x v="3"/>
    <n v="3.85"/>
    <n v="0.09"/>
    <n v="1.88"/>
    <n v="3.5344000000000002"/>
    <x v="7"/>
    <s v="NA3TE"/>
    <n v="36"/>
    <s v="NA3TE-36"/>
  </r>
  <r>
    <x v="6"/>
    <x v="262"/>
    <n v="-4.42"/>
    <n v="1.97"/>
    <s v="#7"/>
    <x v="2"/>
    <n v="4.18"/>
    <n v="-0.24"/>
    <n v="2.21"/>
    <n v="4.8841000000000001"/>
    <x v="7"/>
    <s v="NA12WR"/>
    <n v="59"/>
    <s v="NA12WR-59"/>
  </r>
  <r>
    <x v="3"/>
    <x v="289"/>
    <n v="-4.66"/>
    <n v="1.97"/>
    <s v="#12"/>
    <x v="3"/>
    <n v="4.3"/>
    <n v="-0.36"/>
    <n v="2.33"/>
    <n v="5.4288999999999996"/>
    <x v="7"/>
    <s v="NA11TE"/>
    <n v="30"/>
    <s v="NA11TE-30"/>
  </r>
  <r>
    <x v="3"/>
    <x v="243"/>
    <s v="0.41-3.53"/>
    <n v="1.97"/>
    <s v="#19"/>
    <x v="1"/>
    <n v="3.53"/>
    <n v="0.41"/>
    <n v="1.56"/>
    <n v="2.4336000000000002"/>
    <x v="7"/>
    <s v="NA11RB"/>
    <n v="23"/>
    <s v="NA11RB-23"/>
  </r>
  <r>
    <x v="0"/>
    <x v="290"/>
    <n v="-4.16"/>
    <n v="1.97"/>
    <s v="#13"/>
    <x v="3"/>
    <n v="4.05"/>
    <n v="-0.11"/>
    <n v="2.08"/>
    <n v="4.3263999999999996"/>
    <x v="7"/>
    <s v="NA17TE"/>
    <n v="36"/>
    <s v="NA17TE-36"/>
  </r>
  <r>
    <x v="13"/>
    <x v="234"/>
    <n v="-4.78"/>
    <n v="1.97"/>
    <s v="#24"/>
    <x v="3"/>
    <n v="4.3600000000000003"/>
    <n v="-0.42"/>
    <n v="2.39"/>
    <n v="5.7121000000000004"/>
    <x v="7"/>
    <s v="NA8TE"/>
    <n v="34"/>
    <s v="NA8TE-34"/>
  </r>
  <r>
    <x v="6"/>
    <x v="200"/>
    <s v="0.42-3.50"/>
    <n v="1.96"/>
    <s v="#15"/>
    <x v="1"/>
    <n v="3.5"/>
    <n v="0.42"/>
    <n v="1.54"/>
    <n v="2.3715999999999999"/>
    <x v="7"/>
    <s v="NA12RB"/>
    <n v="28"/>
    <s v="NA12RB-28"/>
  </r>
  <r>
    <x v="2"/>
    <x v="302"/>
    <s v="0.05-3.87"/>
    <n v="1.96"/>
    <s v="#11"/>
    <x v="3"/>
    <n v="3.87"/>
    <n v="0.05"/>
    <n v="1.91"/>
    <n v="3.6480999999999999"/>
    <x v="7"/>
    <s v="NA9TE"/>
    <n v="30"/>
    <s v="NA9TE-30"/>
  </r>
  <r>
    <x v="0"/>
    <x v="236"/>
    <s v="0.15-3.77"/>
    <n v="1.96"/>
    <s v="#5"/>
    <x v="2"/>
    <n v="3.77"/>
    <n v="0.15"/>
    <n v="1.81"/>
    <n v="3.2761"/>
    <x v="7"/>
    <s v="NA17WR"/>
    <n v="60"/>
    <s v="NA17WR-60"/>
  </r>
  <r>
    <x v="6"/>
    <x v="326"/>
    <s v="0.03-3.89"/>
    <n v="1.96"/>
    <s v="#25"/>
    <x v="3"/>
    <n v="3.89"/>
    <n v="0.03"/>
    <n v="1.93"/>
    <n v="3.7248999999999999"/>
    <x v="7"/>
    <s v="NA12TE"/>
    <n v="36"/>
    <s v="NA12TE-36"/>
  </r>
  <r>
    <x v="6"/>
    <x v="230"/>
    <s v="0.24-3.66"/>
    <n v="1.95"/>
    <s v="#12"/>
    <x v="3"/>
    <n v="3.66"/>
    <n v="0.24"/>
    <n v="1.71"/>
    <n v="2.9241000000000001"/>
    <x v="7"/>
    <s v="NA12TE"/>
    <n v="37"/>
    <s v="NA12TE-37"/>
  </r>
  <r>
    <x v="7"/>
    <x v="319"/>
    <n v="-6.46"/>
    <n v="1.95"/>
    <s v="#27"/>
    <x v="2"/>
    <n v="5.18"/>
    <n v="-1.28"/>
    <n v="3.23"/>
    <n v="10.4329"/>
    <x v="7"/>
    <s v="NA1WR"/>
    <n v="47"/>
    <s v="NA1WR-47"/>
  </r>
  <r>
    <x v="14"/>
    <x v="283"/>
    <n v="-3.92"/>
    <n v="1.95"/>
    <s v="#16"/>
    <x v="3"/>
    <n v="3.91"/>
    <n v="-0.01"/>
    <n v="1.96"/>
    <n v="3.8416000000000001"/>
    <x v="7"/>
    <s v="NA4TE"/>
    <n v="32"/>
    <s v="NA4TE-32"/>
  </r>
  <r>
    <x v="0"/>
    <x v="248"/>
    <s v="0.38-3.52"/>
    <n v="1.95"/>
    <s v="#10"/>
    <x v="3"/>
    <n v="3.52"/>
    <n v="0.38"/>
    <n v="1.57"/>
    <n v="2.4649000000000001"/>
    <x v="7"/>
    <s v="NA17TE"/>
    <n v="37"/>
    <s v="NA17TE-37"/>
  </r>
  <r>
    <x v="7"/>
    <x v="182"/>
    <s v="0.24-3.66"/>
    <n v="1.95"/>
    <s v="#10"/>
    <x v="1"/>
    <n v="3.66"/>
    <n v="0.24"/>
    <n v="1.71"/>
    <n v="2.9241000000000001"/>
    <x v="7"/>
    <s v="NA1RB"/>
    <n v="24"/>
    <s v="NA1RB-24"/>
  </r>
  <r>
    <x v="5"/>
    <x v="304"/>
    <s v="0.10-3.80"/>
    <n v="1.95"/>
    <s v="#29"/>
    <x v="3"/>
    <n v="3.8"/>
    <n v="0.1"/>
    <n v="1.85"/>
    <n v="3.4224999999999999"/>
    <x v="7"/>
    <s v="NA13TE"/>
    <n v="40"/>
    <s v="NA13TE-40"/>
  </r>
  <r>
    <x v="0"/>
    <x v="310"/>
    <s v="0.21-3.69"/>
    <n v="1.95"/>
    <s v="#29"/>
    <x v="1"/>
    <n v="3.69"/>
    <n v="0.21"/>
    <n v="1.74"/>
    <n v="3.0276000000000001"/>
    <x v="7"/>
    <s v="NA17RB"/>
    <n v="30"/>
    <s v="NA17RB-30"/>
  </r>
  <r>
    <x v="8"/>
    <x v="297"/>
    <s v="0.22-3.68"/>
    <n v="1.95"/>
    <s v="#6"/>
    <x v="1"/>
    <n v="3.68"/>
    <n v="0.22"/>
    <n v="1.73"/>
    <n v="2.9929000000000001"/>
    <x v="7"/>
    <s v="NA6RB"/>
    <n v="27"/>
    <s v="NA6RB-27"/>
  </r>
  <r>
    <x v="1"/>
    <x v="168"/>
    <s v="0.26-3.64"/>
    <n v="1.95"/>
    <s v="#27"/>
    <x v="1"/>
    <n v="3.64"/>
    <n v="0.26"/>
    <n v="1.69"/>
    <n v="2.8561000000000001"/>
    <x v="7"/>
    <s v="NA16RB"/>
    <n v="31"/>
    <s v="NA16RB-31"/>
  </r>
  <r>
    <x v="3"/>
    <x v="307"/>
    <n v="-5.5200000000000005"/>
    <n v="1.94"/>
    <s v="#5"/>
    <x v="2"/>
    <n v="4.7"/>
    <n v="-0.82"/>
    <n v="2.76"/>
    <n v="7.6176000000000004"/>
    <x v="7"/>
    <s v="NA11WR"/>
    <n v="44"/>
    <s v="NA11WR-44"/>
  </r>
  <r>
    <x v="16"/>
    <x v="218"/>
    <n v="-3.96"/>
    <n v="1.94"/>
    <s v="#5"/>
    <x v="2"/>
    <n v="3.92"/>
    <n v="-0.04"/>
    <n v="1.98"/>
    <n v="3.9203999999999999"/>
    <x v="7"/>
    <s v="NA3WR"/>
    <n v="55"/>
    <s v="NA3WR-55"/>
  </r>
  <r>
    <x v="12"/>
    <x v="221"/>
    <n v="-5.96"/>
    <n v="1.94"/>
    <s v="#26"/>
    <x v="1"/>
    <n v="4.92"/>
    <n v="-1.04"/>
    <n v="2.98"/>
    <n v="8.8803999999999998"/>
    <x v="7"/>
    <s v="NA5RB"/>
    <n v="25"/>
    <s v="NA5RB-25"/>
  </r>
  <r>
    <x v="2"/>
    <x v="311"/>
    <s v="0.38-3.50"/>
    <n v="1.94"/>
    <s v="#24"/>
    <x v="1"/>
    <n v="3.5"/>
    <n v="0.38"/>
    <n v="1.56"/>
    <n v="2.4336000000000002"/>
    <x v="7"/>
    <s v="NA9RB"/>
    <n v="22"/>
    <s v="NA9RB-22"/>
  </r>
  <r>
    <x v="9"/>
    <x v="289"/>
    <s v="0.34-3.54"/>
    <n v="1.94"/>
    <s v="#4"/>
    <x v="3"/>
    <n v="3.54"/>
    <n v="0.34"/>
    <n v="1.6"/>
    <n v="2.56"/>
    <x v="7"/>
    <s v="NA15TE"/>
    <n v="37"/>
    <s v="NA15TE-37"/>
  </r>
  <r>
    <x v="14"/>
    <x v="236"/>
    <n v="-4.2"/>
    <n v="1.94"/>
    <s v="#10"/>
    <x v="2"/>
    <n v="4.04"/>
    <n v="-0.16"/>
    <n v="2.1"/>
    <n v="4.41"/>
    <x v="7"/>
    <s v="NA4WR"/>
    <n v="48"/>
    <s v="NA4WR-48"/>
  </r>
  <r>
    <x v="16"/>
    <x v="240"/>
    <n v="-4.04"/>
    <n v="1.94"/>
    <s v="#3"/>
    <x v="2"/>
    <n v="3.96"/>
    <n v="-0.08"/>
    <n v="2.02"/>
    <n v="4.0804"/>
    <x v="7"/>
    <s v="NA3WR"/>
    <n v="56"/>
    <s v="NA3WR-56"/>
  </r>
  <r>
    <x v="16"/>
    <x v="196"/>
    <n v="-4.12"/>
    <n v="1.94"/>
    <s v="#31"/>
    <x v="3"/>
    <n v="4"/>
    <n v="-0.12"/>
    <n v="2.06"/>
    <n v="4.2435999999999998"/>
    <x v="4"/>
    <s v="scott3TE"/>
    <n v="2"/>
    <s v="scott3TE-2"/>
  </r>
  <r>
    <x v="11"/>
    <x v="263"/>
    <n v="-4.1000000000000005"/>
    <n v="1.94"/>
    <s v="#19"/>
    <x v="3"/>
    <n v="3.99"/>
    <n v="-0.11"/>
    <n v="2.0499999999999998"/>
    <n v="4.2024999999999997"/>
    <x v="7"/>
    <s v="NA14TE"/>
    <n v="41"/>
    <s v="NA14TE-41"/>
  </r>
  <r>
    <x v="0"/>
    <x v="186"/>
    <n v="-4"/>
    <n v="1.93"/>
    <s v="#10"/>
    <x v="2"/>
    <n v="3.93"/>
    <n v="-7.0000000000000007E-2"/>
    <n v="2"/>
    <n v="4"/>
    <x v="7"/>
    <s v="NA17WR"/>
    <n v="61"/>
    <s v="NA17WR-61"/>
  </r>
  <r>
    <x v="12"/>
    <x v="280"/>
    <s v="0.14-3.72"/>
    <n v="1.93"/>
    <s v="#32"/>
    <x v="3"/>
    <n v="3.72"/>
    <n v="0.14000000000000001"/>
    <n v="1.79"/>
    <n v="3.2040999999999999"/>
    <x v="7"/>
    <s v="NA5TE"/>
    <n v="37"/>
    <s v="NA5TE-37"/>
  </r>
  <r>
    <x v="4"/>
    <x v="301"/>
    <n v="-4.24"/>
    <n v="1.93"/>
    <s v="#26"/>
    <x v="3"/>
    <n v="4.05"/>
    <n v="-0.19"/>
    <n v="2.12"/>
    <n v="4.4943999999999997"/>
    <x v="7"/>
    <s v="NA7TE"/>
    <n v="31"/>
    <s v="NA7TE-31"/>
  </r>
  <r>
    <x v="1"/>
    <x v="289"/>
    <s v="0.15-3.71"/>
    <n v="1.93"/>
    <s v="#6"/>
    <x v="3"/>
    <n v="3.71"/>
    <n v="0.15"/>
    <n v="1.78"/>
    <n v="3.1684000000000001"/>
    <x v="7"/>
    <s v="NA16TE"/>
    <n v="38"/>
    <s v="NA16TE-38"/>
  </r>
  <r>
    <x v="16"/>
    <x v="264"/>
    <s v="0.16-3.70"/>
    <n v="1.93"/>
    <s v="#17"/>
    <x v="3"/>
    <n v="3.7"/>
    <n v="0.16"/>
    <n v="1.77"/>
    <n v="3.1328999999999998"/>
    <x v="7"/>
    <s v="NA3TE"/>
    <n v="37"/>
    <s v="NA3TE-37"/>
  </r>
  <r>
    <x v="6"/>
    <x v="304"/>
    <s v="0.00-3.86"/>
    <n v="1.93"/>
    <s v="#25"/>
    <x v="3"/>
    <n v="3.86"/>
    <n v="0"/>
    <n v="1.93"/>
    <n v="3.7248999999999999"/>
    <x v="7"/>
    <s v="NA12TE"/>
    <n v="38"/>
    <s v="NA12TE-38"/>
  </r>
  <r>
    <x v="1"/>
    <x v="292"/>
    <s v="0.03-3.83"/>
    <n v="1.93"/>
    <s v="#13"/>
    <x v="2"/>
    <n v="3.83"/>
    <n v="0.03"/>
    <n v="1.9"/>
    <n v="3.61"/>
    <x v="7"/>
    <s v="NA16WR"/>
    <n v="61"/>
    <s v="NA16WR-61"/>
  </r>
  <r>
    <x v="6"/>
    <x v="229"/>
    <s v="0.03-3.83"/>
    <n v="1.93"/>
    <s v="#6"/>
    <x v="3"/>
    <n v="3.83"/>
    <n v="0.03"/>
    <n v="1.9"/>
    <n v="3.61"/>
    <x v="7"/>
    <s v="NA12TE"/>
    <n v="39"/>
    <s v="NA12TE-39"/>
  </r>
  <r>
    <x v="7"/>
    <x v="277"/>
    <n v="-5.2"/>
    <n v="1.93"/>
    <s v="#7"/>
    <x v="2"/>
    <n v="4.53"/>
    <n v="-0.67"/>
    <n v="2.6"/>
    <n v="6.76"/>
    <x v="7"/>
    <s v="NA1WR"/>
    <n v="48"/>
    <s v="NA1WR-48"/>
  </r>
  <r>
    <x v="10"/>
    <x v="277"/>
    <n v="-4.9000000000000004"/>
    <n v="1.93"/>
    <s v="#22"/>
    <x v="2"/>
    <n v="4.38"/>
    <n v="-0.52"/>
    <n v="2.4500000000000002"/>
    <n v="6.0025000000000004"/>
    <x v="7"/>
    <s v="NA2WR"/>
    <n v="48"/>
    <s v="NA2WR-48"/>
  </r>
  <r>
    <x v="11"/>
    <x v="168"/>
    <s v="0.06-3.80"/>
    <n v="1.93"/>
    <s v="#23"/>
    <x v="1"/>
    <n v="3.8"/>
    <n v="0.06"/>
    <n v="1.87"/>
    <n v="3.4969000000000001"/>
    <x v="7"/>
    <s v="NA14RB"/>
    <n v="30"/>
    <s v="NA14RB-30"/>
  </r>
  <r>
    <x v="16"/>
    <x v="200"/>
    <s v="0.66-3.18"/>
    <n v="1.92"/>
    <s v="#1"/>
    <x v="1"/>
    <n v="3.18"/>
    <n v="0.66"/>
    <n v="1.26"/>
    <n v="1.5875999999999999"/>
    <x v="7"/>
    <s v="NA3RB"/>
    <n v="30"/>
    <s v="NA3RB-30"/>
  </r>
  <r>
    <x v="13"/>
    <x v="301"/>
    <n v="-4.66"/>
    <n v="1.92"/>
    <s v="#5"/>
    <x v="3"/>
    <n v="4.25"/>
    <n v="-0.41"/>
    <n v="2.33"/>
    <n v="5.4288999999999996"/>
    <x v="7"/>
    <s v="NA8TE"/>
    <n v="35"/>
    <s v="NA8TE-35"/>
  </r>
  <r>
    <x v="6"/>
    <x v="320"/>
    <s v="0.01-3.83"/>
    <n v="1.92"/>
    <s v="#17"/>
    <x v="3"/>
    <n v="3.83"/>
    <n v="0.01"/>
    <n v="1.91"/>
    <n v="3.6480999999999999"/>
    <x v="7"/>
    <s v="NA12TE"/>
    <n v="40"/>
    <s v="NA12TE-40"/>
  </r>
  <r>
    <x v="9"/>
    <x v="282"/>
    <n v="-5.04"/>
    <n v="1.92"/>
    <s v="#32"/>
    <x v="2"/>
    <n v="4.4400000000000004"/>
    <n v="-0.6"/>
    <n v="2.52"/>
    <n v="6.3503999999999996"/>
    <x v="7"/>
    <s v="NA15WR"/>
    <n v="61"/>
    <s v="NA15WR-61"/>
  </r>
  <r>
    <x v="14"/>
    <x v="315"/>
    <s v="0.02-3.80"/>
    <n v="1.91"/>
    <s v="#19"/>
    <x v="3"/>
    <n v="3.8"/>
    <n v="0.02"/>
    <n v="1.89"/>
    <n v="3.5720999999999998"/>
    <x v="7"/>
    <s v="NA4TE"/>
    <n v="33"/>
    <s v="NA4TE-33"/>
  </r>
  <r>
    <x v="4"/>
    <x v="315"/>
    <n v="-4.0199999999999996"/>
    <n v="1.91"/>
    <s v="#22"/>
    <x v="3"/>
    <n v="3.92"/>
    <n v="-0.1"/>
    <n v="2.0099999999999998"/>
    <n v="4.0400999999999998"/>
    <x v="7"/>
    <s v="NA7TE"/>
    <n v="32"/>
    <s v="NA7TE-32"/>
  </r>
  <r>
    <x v="2"/>
    <x v="262"/>
    <s v="0.01-3.81"/>
    <n v="1.91"/>
    <s v="#20"/>
    <x v="2"/>
    <n v="3.81"/>
    <n v="0.01"/>
    <n v="1.9"/>
    <n v="3.61"/>
    <x v="7"/>
    <s v="NA9WR"/>
    <n v="53"/>
    <s v="NA9WR-53"/>
  </r>
  <r>
    <x v="8"/>
    <x v="306"/>
    <n v="-5.04"/>
    <n v="1.91"/>
    <s v="#26"/>
    <x v="3"/>
    <n v="4.43"/>
    <n v="-0.61"/>
    <n v="2.52"/>
    <n v="6.3503999999999996"/>
    <x v="7"/>
    <s v="NA6TE"/>
    <n v="32"/>
    <s v="NA6TE-32"/>
  </r>
  <r>
    <x v="5"/>
    <x v="327"/>
    <n v="-4.04"/>
    <n v="1.91"/>
    <s v="#10"/>
    <x v="3"/>
    <n v="3.93"/>
    <n v="-0.11"/>
    <n v="2.02"/>
    <n v="4.0804"/>
    <x v="7"/>
    <s v="NA13TE"/>
    <n v="41"/>
    <s v="NA13TE-41"/>
  </r>
  <r>
    <x v="9"/>
    <x v="168"/>
    <s v="0.04-3.78"/>
    <n v="1.91"/>
    <s v="#10"/>
    <x v="1"/>
    <n v="3.78"/>
    <n v="0.04"/>
    <n v="1.87"/>
    <n v="3.4969000000000001"/>
    <x v="7"/>
    <s v="NA15RB"/>
    <n v="28"/>
    <s v="NA15RB-28"/>
  </r>
  <r>
    <x v="4"/>
    <x v="300"/>
    <s v="0.18-3.62"/>
    <n v="1.9"/>
    <s v="#28"/>
    <x v="3"/>
    <n v="3.62"/>
    <n v="0.18"/>
    <n v="1.72"/>
    <n v="2.9584000000000001"/>
    <x v="7"/>
    <s v="NA7TE"/>
    <n v="33"/>
    <s v="NA7TE-33"/>
  </r>
  <r>
    <x v="16"/>
    <x v="193"/>
    <s v="0.04-3.76"/>
    <n v="1.9"/>
    <s v="#1"/>
    <x v="3"/>
    <n v="3.76"/>
    <n v="0.04"/>
    <n v="1.86"/>
    <n v="3.4596"/>
    <x v="7"/>
    <s v="NA3TE"/>
    <n v="38"/>
    <s v="NA3TE-38"/>
  </r>
  <r>
    <x v="9"/>
    <x v="306"/>
    <s v="0.13-3.67"/>
    <n v="1.9"/>
    <s v="#29"/>
    <x v="3"/>
    <n v="3.67"/>
    <n v="0.13"/>
    <n v="1.77"/>
    <n v="3.1328999999999998"/>
    <x v="7"/>
    <s v="NA15TE"/>
    <n v="38"/>
    <s v="NA15TE-38"/>
  </r>
  <r>
    <x v="0"/>
    <x v="289"/>
    <s v="0.01-3.79"/>
    <n v="1.9"/>
    <s v="#3"/>
    <x v="3"/>
    <n v="3.79"/>
    <n v="0.01"/>
    <n v="1.89"/>
    <n v="3.5720999999999998"/>
    <x v="7"/>
    <s v="NA17TE"/>
    <n v="38"/>
    <s v="NA17TE-38"/>
  </r>
  <r>
    <x v="3"/>
    <x v="236"/>
    <s v="0.09-3.71"/>
    <n v="1.9"/>
    <s v="#5"/>
    <x v="2"/>
    <n v="3.71"/>
    <n v="0.09"/>
    <n v="1.81"/>
    <n v="3.2761"/>
    <x v="7"/>
    <s v="NA11WR"/>
    <n v="45"/>
    <s v="NA11WR-45"/>
  </r>
  <r>
    <x v="8"/>
    <x v="320"/>
    <s v="0.11-3.69"/>
    <n v="1.9"/>
    <s v="#9"/>
    <x v="3"/>
    <n v="3.69"/>
    <n v="0.11"/>
    <n v="1.79"/>
    <n v="3.2040999999999999"/>
    <x v="7"/>
    <s v="NA6TE"/>
    <n v="33"/>
    <s v="NA6TE-33"/>
  </r>
  <r>
    <x v="1"/>
    <x v="320"/>
    <s v="0.00-3.80"/>
    <n v="1.9"/>
    <s v="#21"/>
    <x v="3"/>
    <n v="3.8"/>
    <n v="0"/>
    <n v="1.9"/>
    <n v="3.61"/>
    <x v="7"/>
    <s v="NA16TE"/>
    <n v="39"/>
    <s v="NA16TE-39"/>
  </r>
  <r>
    <x v="3"/>
    <x v="168"/>
    <s v="0.07-3.73"/>
    <n v="1.9"/>
    <s v="#30"/>
    <x v="1"/>
    <n v="3.73"/>
    <n v="7.0000000000000007E-2"/>
    <n v="1.83"/>
    <n v="3.3489"/>
    <x v="7"/>
    <s v="NA11RB"/>
    <n v="24"/>
    <s v="NA11RB-24"/>
  </r>
  <r>
    <x v="10"/>
    <x v="299"/>
    <n v="-3.96"/>
    <n v="1.89"/>
    <s v="#7"/>
    <x v="2"/>
    <n v="3.87"/>
    <n v="-0.09"/>
    <n v="1.98"/>
    <n v="3.9203999999999999"/>
    <x v="7"/>
    <s v="NA2WR"/>
    <n v="49"/>
    <s v="NA2WR-49"/>
  </r>
  <r>
    <x v="9"/>
    <x v="326"/>
    <s v="0.00-3.78"/>
    <n v="1.89"/>
    <s v="#31"/>
    <x v="3"/>
    <n v="3.78"/>
    <n v="0"/>
    <n v="1.89"/>
    <n v="3.5720999999999998"/>
    <x v="7"/>
    <s v="NA15TE"/>
    <n v="39"/>
    <s v="NA15TE-39"/>
  </r>
  <r>
    <x v="9"/>
    <x v="304"/>
    <s v="0.03-3.75"/>
    <n v="1.89"/>
    <s v="#31"/>
    <x v="3"/>
    <n v="3.75"/>
    <n v="0.03"/>
    <n v="1.86"/>
    <n v="3.4596"/>
    <x v="7"/>
    <s v="NA15TE"/>
    <n v="40"/>
    <s v="NA15TE-40"/>
  </r>
  <r>
    <x v="6"/>
    <x v="234"/>
    <n v="-4.4799999999999995"/>
    <n v="1.89"/>
    <s v="#14"/>
    <x v="3"/>
    <n v="4.13"/>
    <n v="-0.35"/>
    <n v="2.2400000000000002"/>
    <n v="5.0175999999999998"/>
    <x v="7"/>
    <s v="NA12TE"/>
    <n v="41"/>
    <s v="NA12TE-41"/>
  </r>
  <r>
    <x v="10"/>
    <x v="218"/>
    <n v="-3.86"/>
    <n v="1.88"/>
    <s v="#10"/>
    <x v="2"/>
    <n v="3.81"/>
    <n v="-0.05"/>
    <n v="1.93"/>
    <n v="3.7248999999999999"/>
    <x v="7"/>
    <s v="NA2WR"/>
    <n v="50"/>
    <s v="NA2WR-50"/>
  </r>
  <r>
    <x v="11"/>
    <x v="200"/>
    <s v="0.29-3.47"/>
    <n v="1.88"/>
    <s v="#18"/>
    <x v="1"/>
    <n v="3.47"/>
    <n v="0.28999999999999998"/>
    <n v="1.59"/>
    <n v="2.5280999999999998"/>
    <x v="7"/>
    <s v="NA14RB"/>
    <n v="31"/>
    <s v="NA14RB-31"/>
  </r>
  <r>
    <x v="12"/>
    <x v="328"/>
    <n v="-3.9"/>
    <n v="1.88"/>
    <s v="#25"/>
    <x v="2"/>
    <n v="3.83"/>
    <n v="-7.0000000000000007E-2"/>
    <n v="1.95"/>
    <n v="3.8025000000000002"/>
    <x v="7"/>
    <s v="NA5WR"/>
    <n v="54"/>
    <s v="NA5WR-54"/>
  </r>
  <r>
    <x v="7"/>
    <x v="329"/>
    <s v="0.74-3.02"/>
    <n v="1.88"/>
    <s v="#19"/>
    <x v="0"/>
    <n v="3.02"/>
    <n v="0.74"/>
    <n v="1.1399999999999999"/>
    <n v="1.2996000000000001"/>
    <x v="7"/>
    <s v="NA1QB"/>
    <n v="18"/>
    <s v="NA1QB-18"/>
  </r>
  <r>
    <x v="6"/>
    <x v="243"/>
    <s v="0.32-3.44"/>
    <n v="1.88"/>
    <s v="#25"/>
    <x v="1"/>
    <n v="3.44"/>
    <n v="0.32"/>
    <n v="1.56"/>
    <n v="2.4336000000000002"/>
    <x v="7"/>
    <s v="NA12RB"/>
    <n v="29"/>
    <s v="NA12RB-29"/>
  </r>
  <r>
    <x v="9"/>
    <x v="243"/>
    <s v="0.19-3.57"/>
    <n v="1.88"/>
    <s v="#31"/>
    <x v="1"/>
    <n v="3.57"/>
    <n v="0.19"/>
    <n v="1.69"/>
    <n v="2.8561000000000001"/>
    <x v="7"/>
    <s v="NA15RB"/>
    <n v="29"/>
    <s v="NA15RB-29"/>
  </r>
  <r>
    <x v="11"/>
    <x v="326"/>
    <s v="0.06-3.70"/>
    <n v="1.88"/>
    <s v="#32"/>
    <x v="3"/>
    <n v="3.7"/>
    <n v="0.06"/>
    <n v="1.82"/>
    <n v="3.3123999999999998"/>
    <x v="7"/>
    <s v="NA14TE"/>
    <n v="42"/>
    <s v="NA14TE-42"/>
  </r>
  <r>
    <x v="16"/>
    <x v="297"/>
    <s v="0.23-3.53"/>
    <n v="1.88"/>
    <s v="#27"/>
    <x v="1"/>
    <n v="3.53"/>
    <n v="0.23"/>
    <n v="1.65"/>
    <n v="2.7225000000000001"/>
    <x v="7"/>
    <s v="NA3RB"/>
    <n v="31"/>
    <s v="NA3RB-31"/>
  </r>
  <r>
    <x v="7"/>
    <x v="250"/>
    <s v="0.14-3.60"/>
    <n v="1.87"/>
    <s v="#7"/>
    <x v="2"/>
    <n v="3.6"/>
    <n v="0.14000000000000001"/>
    <n v="1.73"/>
    <n v="2.9929000000000001"/>
    <x v="7"/>
    <s v="NA1WR"/>
    <n v="49"/>
    <s v="NA1WR-49"/>
  </r>
  <r>
    <x v="5"/>
    <x v="200"/>
    <s v="0.30-3.44"/>
    <n v="1.87"/>
    <s v="#19"/>
    <x v="1"/>
    <n v="3.44"/>
    <n v="0.3"/>
    <n v="1.57"/>
    <n v="2.4649000000000001"/>
    <x v="7"/>
    <s v="NA13RB"/>
    <n v="29"/>
    <s v="NA13RB-29"/>
  </r>
  <r>
    <x v="8"/>
    <x v="315"/>
    <n v="-3.98"/>
    <n v="1.87"/>
    <s v="#31"/>
    <x v="3"/>
    <n v="3.86"/>
    <n v="-0.12"/>
    <n v="1.99"/>
    <n v="3.9601000000000002"/>
    <x v="7"/>
    <s v="NA6TE"/>
    <n v="34"/>
    <s v="NA6TE-34"/>
  </r>
  <r>
    <x v="13"/>
    <x v="306"/>
    <s v="0.14-3.60"/>
    <n v="1.87"/>
    <s v="#18"/>
    <x v="3"/>
    <n v="3.6"/>
    <n v="0.14000000000000001"/>
    <n v="1.73"/>
    <n v="2.9929000000000001"/>
    <x v="7"/>
    <s v="NA8TE"/>
    <n v="36"/>
    <s v="NA8TE-36"/>
  </r>
  <r>
    <x v="16"/>
    <x v="304"/>
    <s v="0.25-3.49"/>
    <n v="1.87"/>
    <s v="#16"/>
    <x v="3"/>
    <n v="3.49"/>
    <n v="0.25"/>
    <n v="1.62"/>
    <n v="2.6244000000000001"/>
    <x v="7"/>
    <s v="NA3TE"/>
    <n v="39"/>
    <s v="NA3TE-39"/>
  </r>
  <r>
    <x v="4"/>
    <x v="230"/>
    <s v="0.15-3.57"/>
    <n v="1.86"/>
    <s v="#12"/>
    <x v="3"/>
    <n v="3.57"/>
    <n v="0.15"/>
    <n v="1.71"/>
    <n v="2.9241000000000001"/>
    <x v="7"/>
    <s v="NA7TE"/>
    <n v="34"/>
    <s v="NA7TE-34"/>
  </r>
  <r>
    <x v="7"/>
    <x v="261"/>
    <n v="-4.8"/>
    <n v="1.86"/>
    <s v="#3"/>
    <x v="2"/>
    <n v="4.26"/>
    <n v="-0.54"/>
    <n v="2.4"/>
    <n v="5.76"/>
    <x v="7"/>
    <s v="NA1WR"/>
    <n v="50"/>
    <s v="NA1WR-50"/>
  </r>
  <r>
    <x v="8"/>
    <x v="273"/>
    <n v="-3.82"/>
    <n v="1.86"/>
    <s v="#12"/>
    <x v="2"/>
    <n v="3.77"/>
    <n v="-0.05"/>
    <n v="1.91"/>
    <n v="3.6480999999999999"/>
    <x v="7"/>
    <s v="NA6WR"/>
    <n v="58"/>
    <s v="NA6WR-58"/>
  </r>
  <r>
    <x v="10"/>
    <x v="283"/>
    <n v="-4.5200000000000005"/>
    <n v="1.86"/>
    <s v="#15"/>
    <x v="3"/>
    <n v="4.12"/>
    <n v="-0.4"/>
    <n v="2.2599999999999998"/>
    <n v="5.1075999999999997"/>
    <x v="7"/>
    <s v="NA2TE"/>
    <n v="27"/>
    <s v="NA2TE-27"/>
  </r>
  <r>
    <x v="1"/>
    <x v="302"/>
    <s v="0.00-3.72"/>
    <n v="1.86"/>
    <s v="#18"/>
    <x v="3"/>
    <n v="3.72"/>
    <n v="0"/>
    <n v="1.86"/>
    <n v="3.4596"/>
    <x v="7"/>
    <s v="NA16TE"/>
    <n v="40"/>
    <s v="NA16TE-40"/>
  </r>
  <r>
    <x v="11"/>
    <x v="292"/>
    <n v="-3.78"/>
    <n v="1.86"/>
    <s v="#5"/>
    <x v="2"/>
    <n v="3.75"/>
    <n v="-0.03"/>
    <n v="1.89"/>
    <n v="3.5720999999999998"/>
    <x v="7"/>
    <s v="NA14WR"/>
    <n v="61"/>
    <s v="NA14WR-61"/>
  </r>
  <r>
    <x v="5"/>
    <x v="305"/>
    <s v="0.10-3.62"/>
    <n v="1.86"/>
    <s v="#5"/>
    <x v="2"/>
    <n v="3.62"/>
    <n v="0.1"/>
    <n v="1.76"/>
    <n v="3.0975999999999999"/>
    <x v="7"/>
    <s v="NA13WR"/>
    <n v="62"/>
    <s v="NA13WR-62"/>
  </r>
  <r>
    <x v="2"/>
    <x v="234"/>
    <s v="0.01-3.71"/>
    <n v="1.86"/>
    <s v="#16"/>
    <x v="3"/>
    <n v="3.71"/>
    <n v="0.01"/>
    <n v="1.85"/>
    <n v="3.4224999999999999"/>
    <x v="7"/>
    <s v="NA9TE"/>
    <n v="31"/>
    <s v="NA9TE-31"/>
  </r>
  <r>
    <x v="12"/>
    <x v="297"/>
    <s v="0.07-3.65"/>
    <n v="1.86"/>
    <s v="#7"/>
    <x v="1"/>
    <n v="3.65"/>
    <n v="7.0000000000000007E-2"/>
    <n v="1.79"/>
    <n v="3.2040999999999999"/>
    <x v="7"/>
    <s v="NA5RB"/>
    <n v="26"/>
    <s v="NA5RB-26"/>
  </r>
  <r>
    <x v="6"/>
    <x v="300"/>
    <n v="-4.34"/>
    <n v="1.85"/>
    <s v="#9"/>
    <x v="3"/>
    <n v="4.0199999999999996"/>
    <n v="-0.32"/>
    <n v="2.17"/>
    <n v="4.7088999999999999"/>
    <x v="7"/>
    <s v="NA12TE"/>
    <n v="42"/>
    <s v="NA12TE-42"/>
  </r>
  <r>
    <x v="5"/>
    <x v="307"/>
    <n v="-4.5200000000000005"/>
    <n v="1.85"/>
    <s v="#17"/>
    <x v="2"/>
    <n v="4.1100000000000003"/>
    <n v="-0.41"/>
    <n v="2.2599999999999998"/>
    <n v="5.1075999999999997"/>
    <x v="7"/>
    <s v="NA13WR"/>
    <n v="63"/>
    <s v="NA13WR-63"/>
  </r>
  <r>
    <x v="1"/>
    <x v="309"/>
    <s v="0.50-3.20"/>
    <n v="1.85"/>
    <s v="#26"/>
    <x v="1"/>
    <n v="3.2"/>
    <n v="0.5"/>
    <n v="1.35"/>
    <n v="1.8225"/>
    <x v="7"/>
    <s v="NA16RB"/>
    <n v="32"/>
    <s v="NA16RB-32"/>
  </r>
  <r>
    <x v="13"/>
    <x v="150"/>
    <s v="0.09-3.61"/>
    <n v="1.85"/>
    <s v="#6"/>
    <x v="1"/>
    <n v="3.61"/>
    <n v="0.09"/>
    <n v="1.76"/>
    <n v="3.0975999999999999"/>
    <x v="7"/>
    <s v="NA8RB"/>
    <n v="27"/>
    <s v="NA8RB-27"/>
  </r>
  <r>
    <x v="7"/>
    <x v="268"/>
    <n v="-3.74"/>
    <n v="1.85"/>
    <s v="#25"/>
    <x v="1"/>
    <n v="3.72"/>
    <n v="-0.02"/>
    <n v="1.87"/>
    <n v="3.4969000000000001"/>
    <x v="7"/>
    <s v="NA1RB"/>
    <n v="25"/>
    <s v="NA1RB-25"/>
  </r>
  <r>
    <x v="2"/>
    <x v="320"/>
    <n v="-3.74"/>
    <n v="1.85"/>
    <s v="#24"/>
    <x v="3"/>
    <n v="3.72"/>
    <n v="-0.02"/>
    <n v="1.87"/>
    <n v="3.4969000000000001"/>
    <x v="7"/>
    <s v="NA9TE"/>
    <n v="32"/>
    <s v="NA9TE-32"/>
  </r>
  <r>
    <x v="0"/>
    <x v="320"/>
    <n v="-3.82"/>
    <n v="1.85"/>
    <s v="#17"/>
    <x v="3"/>
    <n v="3.76"/>
    <n v="-0.06"/>
    <n v="1.91"/>
    <n v="3.6480999999999999"/>
    <x v="7"/>
    <s v="NA17TE"/>
    <n v="39"/>
    <s v="NA17TE-39"/>
  </r>
  <r>
    <x v="12"/>
    <x v="236"/>
    <s v="0.09-3.59"/>
    <n v="1.84"/>
    <s v="#6"/>
    <x v="2"/>
    <n v="3.59"/>
    <n v="0.09"/>
    <n v="1.75"/>
    <n v="3.0625"/>
    <x v="7"/>
    <s v="NA5WR"/>
    <n v="55"/>
    <s v="NA5WR-55"/>
  </r>
  <r>
    <x v="0"/>
    <x v="305"/>
    <n v="-4.24"/>
    <n v="1.84"/>
    <s v="#23"/>
    <x v="2"/>
    <n v="3.96"/>
    <n v="-0.28000000000000003"/>
    <n v="2.12"/>
    <n v="4.4943999999999997"/>
    <x v="7"/>
    <s v="NA17WR"/>
    <n v="62"/>
    <s v="NA17WR-62"/>
  </r>
  <r>
    <x v="8"/>
    <x v="200"/>
    <s v="0.20-3.46"/>
    <n v="1.83"/>
    <s v="#10"/>
    <x v="1"/>
    <n v="3.46"/>
    <n v="0.2"/>
    <n v="1.63"/>
    <n v="2.6568999999999998"/>
    <x v="7"/>
    <s v="NA6RB"/>
    <n v="28"/>
    <s v="NA6RB-28"/>
  </r>
  <r>
    <x v="4"/>
    <x v="289"/>
    <n v="-3.7800000000000002"/>
    <n v="1.83"/>
    <s v="#3"/>
    <x v="3"/>
    <n v="3.72"/>
    <n v="-0.06"/>
    <n v="1.89"/>
    <n v="3.5720999999999998"/>
    <x v="7"/>
    <s v="NA7TE"/>
    <n v="35"/>
    <s v="NA7TE-35"/>
  </r>
  <r>
    <x v="5"/>
    <x v="243"/>
    <s v="0.11-3.55"/>
    <n v="1.83"/>
    <s v="#29"/>
    <x v="1"/>
    <n v="3.55"/>
    <n v="0.11"/>
    <n v="1.72"/>
    <n v="2.9584000000000001"/>
    <x v="7"/>
    <s v="NA13RB"/>
    <n v="30"/>
    <s v="NA13RB-30"/>
  </r>
  <r>
    <x v="1"/>
    <x v="234"/>
    <s v="0.18-3.48"/>
    <n v="1.83"/>
    <s v="#6"/>
    <x v="3"/>
    <n v="3.48"/>
    <n v="0.18"/>
    <n v="1.65"/>
    <n v="2.7225000000000001"/>
    <x v="7"/>
    <s v="NA16TE"/>
    <n v="41"/>
    <s v="NA16TE-41"/>
  </r>
  <r>
    <x v="4"/>
    <x v="283"/>
    <n v="-4.32"/>
    <n v="1.82"/>
    <s v="#19"/>
    <x v="3"/>
    <n v="3.98"/>
    <n v="-0.34"/>
    <n v="2.16"/>
    <n v="4.6656000000000004"/>
    <x v="7"/>
    <s v="NA7TE"/>
    <n v="36"/>
    <s v="NA7TE-36"/>
  </r>
  <r>
    <x v="8"/>
    <x v="259"/>
    <n v="-5.32"/>
    <n v="1.82"/>
    <s v="#5"/>
    <x v="3"/>
    <n v="4.4800000000000004"/>
    <n v="-0.84"/>
    <n v="2.66"/>
    <n v="7.0755999999999997"/>
    <x v="7"/>
    <s v="NA6TE"/>
    <n v="35"/>
    <s v="NA6TE-35"/>
  </r>
  <r>
    <x v="4"/>
    <x v="313"/>
    <s v="0.18-3.46"/>
    <n v="1.82"/>
    <s v="#27"/>
    <x v="3"/>
    <n v="3.46"/>
    <n v="0.18"/>
    <n v="1.64"/>
    <n v="2.6896"/>
    <x v="7"/>
    <s v="NA7TE"/>
    <n v="37"/>
    <s v="NA7TE-37"/>
  </r>
  <r>
    <x v="12"/>
    <x v="305"/>
    <n v="-3.98"/>
    <n v="1.82"/>
    <s v="#7"/>
    <x v="2"/>
    <n v="3.81"/>
    <n v="-0.17"/>
    <n v="1.99"/>
    <n v="3.9601000000000002"/>
    <x v="7"/>
    <s v="NA5WR"/>
    <n v="56"/>
    <s v="NA5WR-56"/>
  </r>
  <r>
    <x v="8"/>
    <x v="310"/>
    <s v="0.08-3.56"/>
    <n v="1.82"/>
    <s v="#29"/>
    <x v="1"/>
    <n v="3.56"/>
    <n v="0.08"/>
    <n v="1.74"/>
    <n v="3.0276000000000001"/>
    <x v="7"/>
    <s v="NA6RB"/>
    <n v="29"/>
    <s v="NA6RB-29"/>
  </r>
  <r>
    <x v="2"/>
    <x v="230"/>
    <s v="0.01-3.61"/>
    <n v="1.81"/>
    <s v="#14"/>
    <x v="3"/>
    <n v="3.61"/>
    <n v="0.01"/>
    <n v="1.8"/>
    <n v="3.24"/>
    <x v="7"/>
    <s v="NA9TE"/>
    <n v="33"/>
    <s v="NA9TE-33"/>
  </r>
  <r>
    <x v="8"/>
    <x v="330"/>
    <s v="0.03-3.59"/>
    <n v="1.81"/>
    <s v="#13"/>
    <x v="3"/>
    <n v="3.59"/>
    <n v="0.03"/>
    <n v="1.78"/>
    <n v="3.1684000000000001"/>
    <x v="7"/>
    <s v="NA6TE"/>
    <n v="36"/>
    <s v="NA6TE-36"/>
  </r>
  <r>
    <x v="12"/>
    <x v="315"/>
    <n v="-3.8600000000000003"/>
    <n v="1.81"/>
    <s v="#15"/>
    <x v="3"/>
    <n v="3.74"/>
    <n v="-0.12"/>
    <n v="1.93"/>
    <n v="3.7248999999999999"/>
    <x v="7"/>
    <s v="NA5TE"/>
    <n v="38"/>
    <s v="NA5TE-38"/>
  </r>
  <r>
    <x v="16"/>
    <x v="288"/>
    <s v="0.32-3.30"/>
    <n v="1.81"/>
    <s v="#2"/>
    <x v="3"/>
    <n v="3.3"/>
    <n v="0.32"/>
    <n v="1.49"/>
    <n v="2.2201"/>
    <x v="7"/>
    <s v="NA3TE"/>
    <n v="40"/>
    <s v="NA3TE-40"/>
  </r>
  <r>
    <x v="16"/>
    <x v="331"/>
    <n v="-4.24"/>
    <n v="1.81"/>
    <s v="#5"/>
    <x v="3"/>
    <n v="3.93"/>
    <n v="-0.31"/>
    <n v="2.12"/>
    <n v="4.4943999999999997"/>
    <x v="7"/>
    <s v="NA3TE"/>
    <n v="41"/>
    <s v="NA3TE-41"/>
  </r>
  <r>
    <x v="16"/>
    <x v="182"/>
    <s v="0.41-3.21"/>
    <n v="1.81"/>
    <s v="#24"/>
    <x v="1"/>
    <n v="3.21"/>
    <n v="0.41"/>
    <n v="1.4"/>
    <n v="1.96"/>
    <x v="7"/>
    <s v="NA3RB"/>
    <n v="32"/>
    <s v="NA3RB-32"/>
  </r>
  <r>
    <x v="12"/>
    <x v="306"/>
    <s v="0.08-3.54"/>
    <n v="1.81"/>
    <s v="#18"/>
    <x v="3"/>
    <n v="3.54"/>
    <n v="0.08"/>
    <n v="1.73"/>
    <n v="2.9929000000000001"/>
    <x v="7"/>
    <s v="NA5TE"/>
    <n v="39"/>
    <s v="NA5TE-39"/>
  </r>
  <r>
    <x v="4"/>
    <x v="326"/>
    <n v="-3.84"/>
    <n v="1.81"/>
    <s v="#30"/>
    <x v="3"/>
    <n v="3.73"/>
    <n v="-0.11"/>
    <n v="1.92"/>
    <n v="3.6863999999999999"/>
    <x v="7"/>
    <s v="NA7TE"/>
    <n v="38"/>
    <s v="NA7TE-38"/>
  </r>
  <r>
    <x v="14"/>
    <x v="304"/>
    <n v="-3.74"/>
    <n v="1.81"/>
    <s v="#15"/>
    <x v="3"/>
    <n v="3.68"/>
    <n v="-0.06"/>
    <n v="1.87"/>
    <n v="3.4969000000000001"/>
    <x v="7"/>
    <s v="NA4TE"/>
    <n v="34"/>
    <s v="NA4TE-34"/>
  </r>
  <r>
    <x v="8"/>
    <x v="313"/>
    <s v="0.20-3.42"/>
    <n v="1.81"/>
    <s v="#23"/>
    <x v="3"/>
    <n v="3.42"/>
    <n v="0.2"/>
    <n v="1.61"/>
    <n v="2.5920999999999998"/>
    <x v="7"/>
    <s v="NA6TE"/>
    <n v="37"/>
    <s v="NA6TE-37"/>
  </r>
  <r>
    <x v="3"/>
    <x v="129"/>
    <s v="0.11-3.51"/>
    <n v="1.81"/>
    <s v="#21"/>
    <x v="1"/>
    <n v="3.51"/>
    <n v="0.11"/>
    <n v="1.7"/>
    <n v="2.89"/>
    <x v="7"/>
    <s v="NA11RB"/>
    <n v="25"/>
    <s v="NA11RB-25"/>
  </r>
  <r>
    <x v="9"/>
    <x v="302"/>
    <n v="-3.6199999999999997"/>
    <n v="1.8"/>
    <s v="#21"/>
    <x v="3"/>
    <n v="3.61"/>
    <n v="-0.01"/>
    <n v="1.81"/>
    <n v="3.2761"/>
    <x v="7"/>
    <s v="NA15TE"/>
    <n v="41"/>
    <s v="NA15TE-41"/>
  </r>
  <r>
    <x v="7"/>
    <x v="241"/>
    <n v="-4.22"/>
    <n v="1.8"/>
    <s v="#8"/>
    <x v="3"/>
    <n v="3.91"/>
    <n v="-0.31"/>
    <n v="2.11"/>
    <n v="4.4520999999999997"/>
    <x v="7"/>
    <s v="NA1TE"/>
    <n v="26"/>
    <s v="NA1TE-26"/>
  </r>
  <r>
    <x v="7"/>
    <x v="262"/>
    <n v="-4.0600000000000005"/>
    <n v="1.8"/>
    <s v="#16"/>
    <x v="2"/>
    <n v="3.83"/>
    <n v="-0.23"/>
    <n v="2.0299999999999998"/>
    <n v="4.1208999999999998"/>
    <x v="7"/>
    <s v="NA1WR"/>
    <n v="51"/>
    <s v="NA1WR-51"/>
  </r>
  <r>
    <x v="1"/>
    <x v="259"/>
    <n v="-5.1400000000000006"/>
    <n v="1.8"/>
    <s v="#3"/>
    <x v="3"/>
    <n v="4.37"/>
    <n v="-0.77"/>
    <n v="2.57"/>
    <n v="6.6048999999999998"/>
    <x v="7"/>
    <s v="NA16TE"/>
    <n v="42"/>
    <s v="NA16TE-42"/>
  </r>
  <r>
    <x v="15"/>
    <x v="292"/>
    <s v="0.06-3.54"/>
    <n v="1.8"/>
    <s v="#8"/>
    <x v="2"/>
    <n v="3.54"/>
    <n v="0.06"/>
    <n v="1.74"/>
    <n v="3.0276000000000001"/>
    <x v="7"/>
    <s v="NA10WR"/>
    <n v="56"/>
    <s v="NA10WR-56"/>
  </r>
  <r>
    <x v="6"/>
    <x v="297"/>
    <s v="0.07-3.53"/>
    <n v="1.8"/>
    <s v="#6"/>
    <x v="1"/>
    <n v="3.53"/>
    <n v="7.0000000000000007E-2"/>
    <n v="1.73"/>
    <n v="2.9929000000000001"/>
    <x v="7"/>
    <s v="NA12RB"/>
    <n v="30"/>
    <s v="NA12RB-30"/>
  </r>
  <r>
    <x v="0"/>
    <x v="224"/>
    <n v="-3.8600000000000003"/>
    <n v="1.79"/>
    <s v="#9"/>
    <x v="3"/>
    <n v="3.72"/>
    <n v="-0.14000000000000001"/>
    <n v="1.93"/>
    <n v="3.7248999999999999"/>
    <x v="7"/>
    <s v="NA17TE"/>
    <n v="40"/>
    <s v="NA17TE-40"/>
  </r>
  <r>
    <x v="12"/>
    <x v="301"/>
    <n v="-4.04"/>
    <n v="1.79"/>
    <s v="#16"/>
    <x v="3"/>
    <n v="3.81"/>
    <n v="-0.23"/>
    <n v="2.02"/>
    <n v="4.0804"/>
    <x v="7"/>
    <s v="NA5TE"/>
    <n v="40"/>
    <s v="NA5TE-40"/>
  </r>
  <r>
    <x v="9"/>
    <x v="313"/>
    <n v="-4.08"/>
    <n v="1.79"/>
    <s v="#12"/>
    <x v="3"/>
    <n v="3.83"/>
    <n v="-0.25"/>
    <n v="2.04"/>
    <n v="4.1616"/>
    <x v="7"/>
    <s v="NA15TE"/>
    <n v="42"/>
    <s v="NA15TE-42"/>
  </r>
  <r>
    <x v="4"/>
    <x v="305"/>
    <n v="-4.4800000000000004"/>
    <n v="1.79"/>
    <s v="#29"/>
    <x v="2"/>
    <n v="4.03"/>
    <n v="-0.45"/>
    <n v="2.2400000000000002"/>
    <n v="5.0175999999999998"/>
    <x v="7"/>
    <s v="NA7WR"/>
    <n v="53"/>
    <s v="NA7WR-53"/>
  </r>
  <r>
    <x v="13"/>
    <x v="297"/>
    <n v="-3.84"/>
    <n v="1.79"/>
    <s v="#12"/>
    <x v="1"/>
    <n v="3.71"/>
    <n v="-0.13"/>
    <n v="1.92"/>
    <n v="3.6863999999999999"/>
    <x v="7"/>
    <s v="NA8RB"/>
    <n v="28"/>
    <s v="NA8RB-28"/>
  </r>
  <r>
    <x v="10"/>
    <x v="32"/>
    <s v="0.56-3.00"/>
    <n v="1.78"/>
    <s v="#30"/>
    <x v="0"/>
    <n v="3"/>
    <n v="0.56000000000000005"/>
    <n v="1.22"/>
    <n v="1.4883999999999999"/>
    <x v="1"/>
    <s v="perry2QB"/>
    <n v="1"/>
    <s v="perry2QB-1"/>
  </r>
  <r>
    <x v="5"/>
    <x v="311"/>
    <s v="0.50-3.06"/>
    <n v="1.78"/>
    <s v="#14"/>
    <x v="1"/>
    <n v="3.06"/>
    <n v="0.5"/>
    <n v="1.28"/>
    <n v="1.6384000000000001"/>
    <x v="7"/>
    <s v="NA13RB"/>
    <n v="31"/>
    <s v="NA13RB-31"/>
  </r>
  <r>
    <x v="5"/>
    <x v="213"/>
    <s v="0.18-3.38"/>
    <n v="1.78"/>
    <s v="#1"/>
    <x v="1"/>
    <n v="3.38"/>
    <n v="0.18"/>
    <n v="1.6"/>
    <n v="2.56"/>
    <x v="7"/>
    <s v="NA13RB"/>
    <n v="32"/>
    <s v="NA13RB-32"/>
  </r>
  <r>
    <x v="4"/>
    <x v="224"/>
    <n v="-3.8400000000000003"/>
    <n v="1.78"/>
    <s v="#20"/>
    <x v="3"/>
    <n v="3.7"/>
    <n v="-0.14000000000000001"/>
    <n v="1.92"/>
    <n v="3.6863999999999999"/>
    <x v="7"/>
    <s v="NA7TE"/>
    <n v="39"/>
    <s v="NA7TE-39"/>
  </r>
  <r>
    <x v="1"/>
    <x v="291"/>
    <n v="-3.6999999999999997"/>
    <n v="1.78"/>
    <s v="#6"/>
    <x v="3"/>
    <n v="3.63"/>
    <n v="-7.0000000000000007E-2"/>
    <n v="1.85"/>
    <n v="3.4224999999999999"/>
    <x v="7"/>
    <s v="NA16TE"/>
    <n v="43"/>
    <s v="NA16TE-43"/>
  </r>
  <r>
    <x v="12"/>
    <x v="327"/>
    <n v="-3.86"/>
    <n v="1.78"/>
    <s v="#21"/>
    <x v="3"/>
    <n v="3.71"/>
    <n v="-0.15"/>
    <n v="1.93"/>
    <n v="3.7248999999999999"/>
    <x v="7"/>
    <s v="NA5TE"/>
    <n v="41"/>
    <s v="NA5TE-41"/>
  </r>
  <r>
    <x v="4"/>
    <x v="332"/>
    <n v="-4.34"/>
    <n v="1.78"/>
    <s v="#3"/>
    <x v="2"/>
    <n v="3.95"/>
    <n v="-0.39"/>
    <n v="2.17"/>
    <n v="4.7088999999999999"/>
    <x v="7"/>
    <s v="NA7WR"/>
    <n v="54"/>
    <s v="NA7WR-54"/>
  </r>
  <r>
    <x v="14"/>
    <x v="330"/>
    <n v="-3.84"/>
    <n v="1.77"/>
    <s v="#10"/>
    <x v="3"/>
    <n v="3.69"/>
    <n v="-0.15"/>
    <n v="1.92"/>
    <n v="3.6863999999999999"/>
    <x v="7"/>
    <s v="NA4TE"/>
    <n v="35"/>
    <s v="NA4TE-35"/>
  </r>
  <r>
    <x v="8"/>
    <x v="283"/>
    <n v="-3.76"/>
    <n v="1.77"/>
    <s v="#17"/>
    <x v="3"/>
    <n v="3.65"/>
    <n v="-0.11"/>
    <n v="1.88"/>
    <n v="3.5344000000000002"/>
    <x v="7"/>
    <s v="NA6TE"/>
    <n v="38"/>
    <s v="NA6TE-38"/>
  </r>
  <r>
    <x v="9"/>
    <x v="200"/>
    <s v="0.46-3.08"/>
    <n v="1.77"/>
    <s v="#2"/>
    <x v="1"/>
    <n v="3.08"/>
    <n v="0.46"/>
    <n v="1.31"/>
    <n v="1.7161"/>
    <x v="7"/>
    <s v="NA15RB"/>
    <n v="30"/>
    <s v="NA15RB-30"/>
  </r>
  <r>
    <x v="7"/>
    <x v="248"/>
    <n v="-3.74"/>
    <n v="1.77"/>
    <s v="#26"/>
    <x v="3"/>
    <n v="3.64"/>
    <n v="-0.1"/>
    <n v="1.87"/>
    <n v="3.4969000000000001"/>
    <x v="7"/>
    <s v="NA1TE"/>
    <n v="27"/>
    <s v="NA1TE-27"/>
  </r>
  <r>
    <x v="6"/>
    <x v="327"/>
    <n v="-3.9400000000000004"/>
    <n v="1.77"/>
    <s v="#5"/>
    <x v="3"/>
    <n v="3.74"/>
    <n v="-0.2"/>
    <n v="1.97"/>
    <n v="3.8809"/>
    <x v="7"/>
    <s v="NA12TE"/>
    <n v="43"/>
    <s v="NA12TE-43"/>
  </r>
  <r>
    <x v="1"/>
    <x v="305"/>
    <n v="-4.18"/>
    <n v="1.77"/>
    <s v="#9"/>
    <x v="2"/>
    <n v="3.86"/>
    <n v="-0.32"/>
    <n v="2.09"/>
    <n v="4.3681000000000001"/>
    <x v="7"/>
    <s v="NA16WR"/>
    <n v="62"/>
    <s v="NA16WR-62"/>
  </r>
  <r>
    <x v="9"/>
    <x v="300"/>
    <n v="-4.16"/>
    <n v="1.76"/>
    <s v="#26"/>
    <x v="3"/>
    <n v="3.84"/>
    <n v="-0.32"/>
    <n v="2.08"/>
    <n v="4.3263999999999996"/>
    <x v="7"/>
    <s v="NA15TE"/>
    <n v="43"/>
    <s v="NA15TE-43"/>
  </r>
  <r>
    <x v="4"/>
    <x v="302"/>
    <s v="0.07-3.45"/>
    <n v="1.76"/>
    <s v="#17"/>
    <x v="3"/>
    <n v="3.45"/>
    <n v="7.0000000000000007E-2"/>
    <n v="1.69"/>
    <n v="2.8561000000000001"/>
    <x v="7"/>
    <s v="NA7TE"/>
    <n v="40"/>
    <s v="NA7TE-40"/>
  </r>
  <r>
    <x v="0"/>
    <x v="315"/>
    <n v="-3.98"/>
    <n v="1.76"/>
    <s v="#31"/>
    <x v="3"/>
    <n v="3.75"/>
    <n v="-0.23"/>
    <n v="1.99"/>
    <n v="3.9601000000000002"/>
    <x v="7"/>
    <s v="NA17TE"/>
    <n v="41"/>
    <s v="NA17TE-41"/>
  </r>
  <r>
    <x v="12"/>
    <x v="314"/>
    <s v="0.21-3.31"/>
    <n v="1.76"/>
    <s v="#21"/>
    <x v="2"/>
    <n v="3.31"/>
    <n v="0.21"/>
    <n v="1.55"/>
    <n v="2.4024999999999999"/>
    <x v="7"/>
    <s v="NA5WR"/>
    <n v="57"/>
    <s v="NA5WR-57"/>
  </r>
  <r>
    <x v="10"/>
    <x v="146"/>
    <n v="-3.6"/>
    <n v="1.76"/>
    <s v="#27"/>
    <x v="2"/>
    <n v="3.56"/>
    <n v="-0.04"/>
    <n v="1.8"/>
    <n v="3.24"/>
    <x v="7"/>
    <s v="NA2WR"/>
    <n v="51"/>
    <s v="NA2WR-51"/>
  </r>
  <r>
    <x v="10"/>
    <x v="287"/>
    <n v="-4.5199999999999996"/>
    <n v="1.76"/>
    <s v="#13"/>
    <x v="3"/>
    <n v="4.0199999999999996"/>
    <n v="-0.5"/>
    <n v="2.2599999999999998"/>
    <n v="5.1075999999999997"/>
    <x v="7"/>
    <s v="NA2TE"/>
    <n v="28"/>
    <s v="NA2TE-28"/>
  </r>
  <r>
    <x v="12"/>
    <x v="332"/>
    <s v="0.22-3.30"/>
    <n v="1.76"/>
    <s v="#23"/>
    <x v="2"/>
    <n v="3.3"/>
    <n v="0.22"/>
    <n v="1.54"/>
    <n v="2.3715999999999999"/>
    <x v="7"/>
    <s v="NA5WR"/>
    <n v="58"/>
    <s v="NA5WR-58"/>
  </r>
  <r>
    <x v="1"/>
    <x v="230"/>
    <n v="-3.7199999999999998"/>
    <n v="1.75"/>
    <s v="#31"/>
    <x v="3"/>
    <n v="3.61"/>
    <n v="-0.11"/>
    <n v="1.86"/>
    <n v="3.4596"/>
    <x v="7"/>
    <s v="NA16TE"/>
    <n v="44"/>
    <s v="NA16TE-44"/>
  </r>
  <r>
    <x v="2"/>
    <x v="315"/>
    <n v="-3.8600000000000003"/>
    <n v="1.75"/>
    <s v="#12"/>
    <x v="3"/>
    <n v="3.68"/>
    <n v="-0.18"/>
    <n v="1.93"/>
    <n v="3.7248999999999999"/>
    <x v="7"/>
    <s v="NA9TE"/>
    <n v="34"/>
    <s v="NA9TE-34"/>
  </r>
  <r>
    <x v="3"/>
    <x v="315"/>
    <s v="0.00-3.50"/>
    <n v="1.75"/>
    <s v="#23"/>
    <x v="3"/>
    <n v="3.5"/>
    <n v="0"/>
    <n v="1.75"/>
    <n v="3.0625"/>
    <x v="7"/>
    <s v="NA11TE"/>
    <n v="31"/>
    <s v="NA11TE-31"/>
  </r>
  <r>
    <x v="10"/>
    <x v="232"/>
    <n v="-3.8200000000000003"/>
    <n v="1.75"/>
    <s v="#10"/>
    <x v="2"/>
    <n v="3.66"/>
    <n v="-0.16"/>
    <n v="1.91"/>
    <n v="3.6480999999999999"/>
    <x v="7"/>
    <s v="NA2WR"/>
    <n v="52"/>
    <s v="NA2WR-52"/>
  </r>
  <r>
    <x v="0"/>
    <x v="313"/>
    <s v="0.11-3.39"/>
    <n v="1.75"/>
    <s v="#27"/>
    <x v="3"/>
    <n v="3.39"/>
    <n v="0.11"/>
    <n v="1.64"/>
    <n v="2.6896"/>
    <x v="7"/>
    <s v="NA17TE"/>
    <n v="42"/>
    <s v="NA17TE-42"/>
  </r>
  <r>
    <x v="5"/>
    <x v="234"/>
    <n v="-3.54"/>
    <n v="1.75"/>
    <s v="#2"/>
    <x v="3"/>
    <n v="3.52"/>
    <n v="-0.02"/>
    <n v="1.77"/>
    <n v="3.1328999999999998"/>
    <x v="7"/>
    <s v="NA13TE"/>
    <n v="42"/>
    <s v="NA13TE-42"/>
  </r>
  <r>
    <x v="2"/>
    <x v="309"/>
    <s v="0.39-3.09"/>
    <n v="1.74"/>
    <s v="#26"/>
    <x v="1"/>
    <n v="3.09"/>
    <n v="0.39"/>
    <n v="1.35"/>
    <n v="1.8225"/>
    <x v="7"/>
    <s v="NA9RB"/>
    <n v="23"/>
    <s v="NA9RB-23"/>
  </r>
  <r>
    <x v="14"/>
    <x v="230"/>
    <n v="-4.24"/>
    <n v="1.74"/>
    <s v="#28"/>
    <x v="3"/>
    <n v="3.86"/>
    <n v="-0.38"/>
    <n v="2.12"/>
    <n v="4.4943999999999997"/>
    <x v="7"/>
    <s v="NA4TE"/>
    <n v="36"/>
    <s v="NA4TE-36"/>
  </r>
  <r>
    <x v="12"/>
    <x v="330"/>
    <n v="-3.6199999999999997"/>
    <n v="1.74"/>
    <s v="#6"/>
    <x v="3"/>
    <n v="3.55"/>
    <n v="-7.0000000000000007E-2"/>
    <n v="1.81"/>
    <n v="3.2761"/>
    <x v="7"/>
    <s v="NA5TE"/>
    <n v="42"/>
    <s v="NA5TE-42"/>
  </r>
  <r>
    <x v="5"/>
    <x v="326"/>
    <n v="-3.5399999999999996"/>
    <n v="1.74"/>
    <s v="#29"/>
    <x v="3"/>
    <n v="3.51"/>
    <n v="-0.03"/>
    <n v="1.77"/>
    <n v="3.1328999999999998"/>
    <x v="7"/>
    <s v="NA13TE"/>
    <n v="43"/>
    <s v="NA13TE-43"/>
  </r>
  <r>
    <x v="7"/>
    <x v="300"/>
    <n v="-3.84"/>
    <n v="1.73"/>
    <s v="#14"/>
    <x v="3"/>
    <n v="3.65"/>
    <n v="-0.19"/>
    <n v="1.92"/>
    <n v="3.6863999999999999"/>
    <x v="7"/>
    <s v="NA1TE"/>
    <n v="28"/>
    <s v="NA1TE-28"/>
  </r>
  <r>
    <x v="10"/>
    <x v="300"/>
    <n v="-3.8200000000000003"/>
    <n v="1.73"/>
    <s v="#4"/>
    <x v="3"/>
    <n v="3.64"/>
    <n v="-0.18"/>
    <n v="1.91"/>
    <n v="3.6480999999999999"/>
    <x v="7"/>
    <s v="NA2TE"/>
    <n v="29"/>
    <s v="NA2TE-29"/>
  </r>
  <r>
    <x v="7"/>
    <x v="218"/>
    <n v="-3.6399999999999997"/>
    <n v="1.73"/>
    <s v="#12"/>
    <x v="2"/>
    <n v="3.55"/>
    <n v="-0.09"/>
    <n v="1.82"/>
    <n v="3.3123999999999998"/>
    <x v="7"/>
    <s v="NA1WR"/>
    <n v="52"/>
    <s v="NA1WR-52"/>
  </r>
  <r>
    <x v="10"/>
    <x v="251"/>
    <s v="0.53-2.93"/>
    <n v="1.73"/>
    <s v="#22"/>
    <x v="3"/>
    <n v="2.93"/>
    <n v="0.53"/>
    <n v="1.2"/>
    <n v="1.44"/>
    <x v="7"/>
    <s v="NA2TE"/>
    <n v="30"/>
    <s v="NA2TE-30"/>
  </r>
  <r>
    <x v="10"/>
    <x v="291"/>
    <n v="-4.16"/>
    <n v="1.73"/>
    <s v="#14"/>
    <x v="3"/>
    <n v="3.81"/>
    <n v="-0.35"/>
    <n v="2.08"/>
    <n v="4.3263999999999996"/>
    <x v="7"/>
    <s v="NA2TE"/>
    <n v="31"/>
    <s v="NA2TE-31"/>
  </r>
  <r>
    <x v="9"/>
    <x v="234"/>
    <n v="-3.54"/>
    <n v="1.73"/>
    <s v="#4"/>
    <x v="3"/>
    <n v="3.5"/>
    <n v="-0.04"/>
    <n v="1.77"/>
    <n v="3.1328999999999998"/>
    <x v="7"/>
    <s v="NA15TE"/>
    <n v="44"/>
    <s v="NA15TE-44"/>
  </r>
  <r>
    <x v="3"/>
    <x v="310"/>
    <s v="0.09-3.37"/>
    <n v="1.73"/>
    <s v="#22"/>
    <x v="1"/>
    <n v="3.37"/>
    <n v="0.09"/>
    <n v="1.64"/>
    <n v="2.6896"/>
    <x v="7"/>
    <s v="NA11RB"/>
    <n v="26"/>
    <s v="NA11RB-26"/>
  </r>
  <r>
    <x v="11"/>
    <x v="297"/>
    <n v="-3.84"/>
    <n v="1.73"/>
    <s v="#12"/>
    <x v="1"/>
    <n v="3.65"/>
    <n v="-0.19"/>
    <n v="1.92"/>
    <n v="3.6863999999999999"/>
    <x v="7"/>
    <s v="NA14RB"/>
    <n v="32"/>
    <s v="NA14RB-32"/>
  </r>
  <r>
    <x v="4"/>
    <x v="273"/>
    <n v="-3.8800000000000003"/>
    <n v="1.72"/>
    <s v="#6"/>
    <x v="2"/>
    <n v="3.66"/>
    <n v="-0.22"/>
    <n v="1.94"/>
    <n v="3.7635999999999998"/>
    <x v="7"/>
    <s v="NA7WR"/>
    <n v="55"/>
    <s v="NA7WR-55"/>
  </r>
  <r>
    <x v="14"/>
    <x v="312"/>
    <n v="-4.2"/>
    <n v="1.72"/>
    <s v="#26"/>
    <x v="3"/>
    <n v="3.82"/>
    <n v="-0.38"/>
    <n v="2.1"/>
    <n v="4.41"/>
    <x v="7"/>
    <s v="NA4TE"/>
    <n v="37"/>
    <s v="NA4TE-37"/>
  </r>
  <r>
    <x v="3"/>
    <x v="298"/>
    <n v="-3.94"/>
    <n v="1.72"/>
    <s v="#6"/>
    <x v="3"/>
    <n v="3.69"/>
    <n v="-0.25"/>
    <n v="1.97"/>
    <n v="3.8809"/>
    <x v="7"/>
    <s v="NA11TE"/>
    <n v="32"/>
    <s v="NA11TE-32"/>
  </r>
  <r>
    <x v="0"/>
    <x v="298"/>
    <n v="-3.86"/>
    <n v="1.72"/>
    <s v="#7"/>
    <x v="3"/>
    <n v="3.65"/>
    <n v="-0.21"/>
    <n v="1.93"/>
    <n v="3.7248999999999999"/>
    <x v="7"/>
    <s v="NA17TE"/>
    <n v="43"/>
    <s v="NA17TE-43"/>
  </r>
  <r>
    <x v="7"/>
    <x v="37"/>
    <s v="0.52-2.92"/>
    <n v="1.72"/>
    <s v="#12"/>
    <x v="0"/>
    <n v="2.92"/>
    <n v="0.52"/>
    <n v="1.2"/>
    <n v="1.44"/>
    <x v="7"/>
    <s v="NA1QB"/>
    <n v="19"/>
    <s v="NA1QB-19"/>
  </r>
  <r>
    <x v="3"/>
    <x v="327"/>
    <n v="-3.8800000000000003"/>
    <n v="1.72"/>
    <s v="#7"/>
    <x v="3"/>
    <n v="3.66"/>
    <n v="-0.22"/>
    <n v="1.94"/>
    <n v="3.7635999999999998"/>
    <x v="7"/>
    <s v="NA11TE"/>
    <n v="33"/>
    <s v="NA11TE-33"/>
  </r>
  <r>
    <x v="11"/>
    <x v="327"/>
    <n v="-3.94"/>
    <n v="1.72"/>
    <s v="#13"/>
    <x v="3"/>
    <n v="3.69"/>
    <n v="-0.25"/>
    <n v="1.97"/>
    <n v="3.8809"/>
    <x v="7"/>
    <s v="NA14TE"/>
    <n v="43"/>
    <s v="NA14TE-43"/>
  </r>
  <r>
    <x v="0"/>
    <x v="314"/>
    <s v="0.17-3.27"/>
    <n v="1.72"/>
    <s v="#21"/>
    <x v="2"/>
    <n v="3.27"/>
    <n v="0.17"/>
    <n v="1.55"/>
    <n v="2.4024999999999999"/>
    <x v="7"/>
    <s v="NA17WR"/>
    <n v="63"/>
    <s v="NA17WR-63"/>
  </r>
  <r>
    <x v="16"/>
    <x v="309"/>
    <s v="0.22-3.20"/>
    <n v="1.71"/>
    <s v="#17"/>
    <x v="1"/>
    <n v="3.2"/>
    <n v="0.22"/>
    <n v="1.49"/>
    <n v="2.2201"/>
    <x v="7"/>
    <s v="NA3RB"/>
    <n v="33"/>
    <s v="NA3RB-33"/>
  </r>
  <r>
    <x v="10"/>
    <x v="262"/>
    <s v="0.05-3.37"/>
    <n v="1.71"/>
    <s v="#5"/>
    <x v="2"/>
    <n v="3.37"/>
    <n v="0.05"/>
    <n v="1.66"/>
    <n v="2.7555999999999998"/>
    <x v="7"/>
    <s v="NA2WR"/>
    <n v="53"/>
    <s v="NA2WR-53"/>
  </r>
  <r>
    <x v="3"/>
    <x v="224"/>
    <n v="-3.8600000000000003"/>
    <n v="1.71"/>
    <s v="#9"/>
    <x v="3"/>
    <n v="3.64"/>
    <n v="-0.22"/>
    <n v="1.93"/>
    <n v="3.7248999999999999"/>
    <x v="7"/>
    <s v="NA11TE"/>
    <n v="34"/>
    <s v="NA11TE-34"/>
  </r>
  <r>
    <x v="4"/>
    <x v="327"/>
    <n v="-3.7800000000000002"/>
    <n v="1.71"/>
    <s v="#24"/>
    <x v="3"/>
    <n v="3.6"/>
    <n v="-0.18"/>
    <n v="1.89"/>
    <n v="3.5720999999999998"/>
    <x v="7"/>
    <s v="NA7TE"/>
    <n v="41"/>
    <s v="NA7TE-41"/>
  </r>
  <r>
    <x v="0"/>
    <x v="327"/>
    <n v="-3.8600000000000003"/>
    <n v="1.71"/>
    <s v="#21"/>
    <x v="3"/>
    <n v="3.64"/>
    <n v="-0.22"/>
    <n v="1.93"/>
    <n v="3.7248999999999999"/>
    <x v="7"/>
    <s v="NA17TE"/>
    <n v="44"/>
    <s v="NA17TE-44"/>
  </r>
  <r>
    <x v="10"/>
    <x v="274"/>
    <n v="-3.6799999999999997"/>
    <n v="1.71"/>
    <s v="#19"/>
    <x v="3"/>
    <n v="3.55"/>
    <n v="-0.13"/>
    <n v="1.84"/>
    <n v="3.3856000000000002"/>
    <x v="7"/>
    <s v="NA2TE"/>
    <n v="32"/>
    <s v="NA2TE-32"/>
  </r>
  <r>
    <x v="2"/>
    <x v="319"/>
    <n v="-5.5"/>
    <n v="1.7"/>
    <s v="#21"/>
    <x v="2"/>
    <n v="4.45"/>
    <n v="-1.05"/>
    <n v="2.75"/>
    <n v="7.5625"/>
    <x v="7"/>
    <s v="NA9WR"/>
    <n v="54"/>
    <s v="NA9WR-54"/>
  </r>
  <r>
    <x v="15"/>
    <x v="327"/>
    <n v="-3.94"/>
    <n v="1.7"/>
    <s v="#5"/>
    <x v="3"/>
    <n v="3.67"/>
    <n v="-0.27"/>
    <n v="1.97"/>
    <n v="3.8809"/>
    <x v="7"/>
    <s v="NA10TE"/>
    <n v="35"/>
    <s v="NA10TE-35"/>
  </r>
  <r>
    <x v="7"/>
    <x v="333"/>
    <s v="0.37-3.03"/>
    <n v="1.7"/>
    <s v="#5"/>
    <x v="3"/>
    <n v="3.03"/>
    <n v="0.37"/>
    <n v="1.33"/>
    <n v="1.7688999999999999"/>
    <x v="7"/>
    <s v="NA1TE"/>
    <n v="29"/>
    <s v="NA1TE-29"/>
  </r>
  <r>
    <x v="16"/>
    <x v="326"/>
    <n v="-3.78"/>
    <n v="1.7"/>
    <s v="#16"/>
    <x v="3"/>
    <n v="3.59"/>
    <n v="-0.19"/>
    <n v="1.89"/>
    <n v="3.5720999999999998"/>
    <x v="7"/>
    <s v="NA3TE"/>
    <n v="42"/>
    <s v="NA3TE-42"/>
  </r>
  <r>
    <x v="5"/>
    <x v="129"/>
    <s v="0.04-3.36"/>
    <n v="1.7"/>
    <s v="#18"/>
    <x v="1"/>
    <n v="3.36"/>
    <n v="0.04"/>
    <n v="1.66"/>
    <n v="2.7555999999999998"/>
    <x v="7"/>
    <s v="NA13RB"/>
    <n v="33"/>
    <s v="NA13RB-33"/>
  </r>
  <r>
    <x v="0"/>
    <x v="234"/>
    <s v="0.04-3.36"/>
    <n v="1.7"/>
    <s v="#3"/>
    <x v="3"/>
    <n v="3.36"/>
    <n v="0.04"/>
    <n v="1.66"/>
    <n v="2.7555999999999998"/>
    <x v="7"/>
    <s v="NA17TE"/>
    <n v="45"/>
    <s v="NA17TE-45"/>
  </r>
  <r>
    <x v="2"/>
    <x v="321"/>
    <s v="0.11-3.27"/>
    <n v="1.69"/>
    <s v="#31"/>
    <x v="1"/>
    <n v="3.27"/>
    <n v="0.11"/>
    <n v="1.58"/>
    <n v="2.4964"/>
    <x v="7"/>
    <s v="NA9RB"/>
    <n v="24"/>
    <s v="NA9RB-24"/>
  </r>
  <r>
    <x v="0"/>
    <x v="200"/>
    <s v="0.37-3.01"/>
    <n v="1.69"/>
    <s v="#20"/>
    <x v="1"/>
    <n v="3.01"/>
    <n v="0.37"/>
    <n v="1.32"/>
    <n v="1.7423999999999999"/>
    <x v="7"/>
    <s v="NA17RB"/>
    <n v="31"/>
    <s v="NA17RB-31"/>
  </r>
  <r>
    <x v="5"/>
    <x v="302"/>
    <n v="-3.58"/>
    <n v="1.69"/>
    <s v="#22"/>
    <x v="3"/>
    <n v="3.48"/>
    <n v="-0.1"/>
    <n v="1.79"/>
    <n v="3.2040999999999999"/>
    <x v="7"/>
    <s v="NA13TE"/>
    <n v="44"/>
    <s v="NA13TE-44"/>
  </r>
  <r>
    <x v="7"/>
    <x v="326"/>
    <n v="-4.26"/>
    <n v="1.69"/>
    <s v="#11"/>
    <x v="3"/>
    <n v="3.82"/>
    <n v="-0.44"/>
    <n v="2.13"/>
    <n v="4.5369000000000002"/>
    <x v="7"/>
    <s v="NA1TE"/>
    <n v="30"/>
    <s v="NA1TE-30"/>
  </r>
  <r>
    <x v="8"/>
    <x v="326"/>
    <n v="-3.7199999999999998"/>
    <n v="1.69"/>
    <s v="#14"/>
    <x v="3"/>
    <n v="3.55"/>
    <n v="-0.17"/>
    <n v="1.86"/>
    <n v="3.4596"/>
    <x v="7"/>
    <s v="NA6TE"/>
    <n v="39"/>
    <s v="NA6TE-39"/>
  </r>
  <r>
    <x v="3"/>
    <x v="326"/>
    <n v="-3.56"/>
    <n v="1.69"/>
    <s v="#19"/>
    <x v="3"/>
    <n v="3.47"/>
    <n v="-0.09"/>
    <n v="1.78"/>
    <n v="3.1684000000000001"/>
    <x v="7"/>
    <s v="NA11TE"/>
    <n v="35"/>
    <s v="NA11TE-35"/>
  </r>
  <r>
    <x v="10"/>
    <x v="314"/>
    <s v="0.12-3.26"/>
    <n v="1.69"/>
    <s v="#18"/>
    <x v="2"/>
    <n v="3.26"/>
    <n v="0.12"/>
    <n v="1.57"/>
    <n v="2.4649000000000001"/>
    <x v="7"/>
    <s v="NA2WR"/>
    <n v="54"/>
    <s v="NA2WR-54"/>
  </r>
  <r>
    <x v="15"/>
    <x v="297"/>
    <n v="-4.12"/>
    <n v="1.69"/>
    <s v="#18"/>
    <x v="1"/>
    <n v="3.75"/>
    <n v="-0.37"/>
    <n v="2.06"/>
    <n v="4.2435999999999998"/>
    <x v="7"/>
    <s v="NA10RB"/>
    <n v="30"/>
    <s v="NA10RB-30"/>
  </r>
  <r>
    <x v="8"/>
    <x v="230"/>
    <n v="-3.4"/>
    <n v="1.68"/>
    <s v="#3"/>
    <x v="3"/>
    <n v="3.38"/>
    <n v="-0.02"/>
    <n v="1.7"/>
    <n v="2.89"/>
    <x v="7"/>
    <s v="NA6TE"/>
    <n v="40"/>
    <s v="NA6TE-40"/>
  </r>
  <r>
    <x v="12"/>
    <x v="273"/>
    <n v="-4.38"/>
    <n v="1.68"/>
    <s v="#22"/>
    <x v="2"/>
    <n v="3.87"/>
    <n v="-0.51"/>
    <n v="2.19"/>
    <n v="4.7961"/>
    <x v="7"/>
    <s v="NA5WR"/>
    <n v="59"/>
    <s v="NA5WR-59"/>
  </r>
  <r>
    <x v="0"/>
    <x v="330"/>
    <n v="-3.54"/>
    <n v="1.68"/>
    <s v="#5"/>
    <x v="3"/>
    <n v="3.45"/>
    <n v="-0.09"/>
    <n v="1.77"/>
    <n v="3.1328999999999998"/>
    <x v="7"/>
    <s v="NA17TE"/>
    <n v="46"/>
    <s v="NA17TE-46"/>
  </r>
  <r>
    <x v="8"/>
    <x v="302"/>
    <n v="-3.56"/>
    <n v="1.68"/>
    <s v="#24"/>
    <x v="3"/>
    <n v="3.46"/>
    <n v="-0.1"/>
    <n v="1.78"/>
    <n v="3.1684000000000001"/>
    <x v="7"/>
    <s v="NA6TE"/>
    <n v="41"/>
    <s v="NA6TE-41"/>
  </r>
  <r>
    <x v="1"/>
    <x v="327"/>
    <n v="-3.94"/>
    <n v="1.68"/>
    <s v="#26"/>
    <x v="3"/>
    <n v="3.65"/>
    <n v="-0.28999999999999998"/>
    <n v="1.97"/>
    <n v="3.8809"/>
    <x v="7"/>
    <s v="NA16TE"/>
    <n v="45"/>
    <s v="NA16TE-45"/>
  </r>
  <r>
    <x v="9"/>
    <x v="292"/>
    <s v="0.00-3.36"/>
    <n v="1.68"/>
    <s v="#6"/>
    <x v="2"/>
    <n v="3.36"/>
    <n v="0"/>
    <n v="1.68"/>
    <n v="2.8224"/>
    <x v="7"/>
    <s v="NA15WR"/>
    <n v="62"/>
    <s v="NA15WR-62"/>
  </r>
  <r>
    <x v="15"/>
    <x v="319"/>
    <n v="-4.84"/>
    <n v="1.67"/>
    <s v="#14"/>
    <x v="2"/>
    <n v="4.09"/>
    <n v="-0.75"/>
    <n v="2.42"/>
    <n v="5.8563999999999998"/>
    <x v="7"/>
    <s v="NA10WR"/>
    <n v="57"/>
    <s v="NA10WR-57"/>
  </r>
  <r>
    <x v="16"/>
    <x v="334"/>
    <n v="-4.0600000000000005"/>
    <n v="1.67"/>
    <s v="#23"/>
    <x v="2"/>
    <n v="3.7"/>
    <n v="-0.36"/>
    <n v="2.0299999999999998"/>
    <n v="4.1208999999999998"/>
    <x v="7"/>
    <s v="NA3WR"/>
    <n v="57"/>
    <s v="NA3WR-57"/>
  </r>
  <r>
    <x v="12"/>
    <x v="262"/>
    <n v="-3.62"/>
    <n v="1.67"/>
    <s v="#10"/>
    <x v="2"/>
    <n v="3.48"/>
    <n v="-0.14000000000000001"/>
    <n v="1.81"/>
    <n v="3.2761"/>
    <x v="7"/>
    <s v="NA5WR"/>
    <n v="60"/>
    <s v="NA5WR-60"/>
  </r>
  <r>
    <x v="7"/>
    <x v="298"/>
    <n v="-4.54"/>
    <n v="1.67"/>
    <s v="#31"/>
    <x v="3"/>
    <n v="3.94"/>
    <n v="-0.6"/>
    <n v="2.27"/>
    <n v="5.1528999999999998"/>
    <x v="7"/>
    <s v="NA1TE"/>
    <n v="31"/>
    <s v="NA1TE-31"/>
  </r>
  <r>
    <x v="1"/>
    <x v="243"/>
    <s v="0.05-3.29"/>
    <n v="1.67"/>
    <s v="#20"/>
    <x v="1"/>
    <n v="3.29"/>
    <n v="0.05"/>
    <n v="1.62"/>
    <n v="2.6244000000000001"/>
    <x v="7"/>
    <s v="NA16RB"/>
    <n v="33"/>
    <s v="NA16RB-33"/>
  </r>
  <r>
    <x v="7"/>
    <x v="313"/>
    <n v="-3.66"/>
    <n v="1.67"/>
    <s v="#22"/>
    <x v="3"/>
    <n v="3.5"/>
    <n v="-0.16"/>
    <n v="1.83"/>
    <n v="3.3489"/>
    <x v="7"/>
    <s v="NA1TE"/>
    <n v="32"/>
    <s v="NA1TE-32"/>
  </r>
  <r>
    <x v="5"/>
    <x v="313"/>
    <s v="0.10-3.24"/>
    <n v="1.67"/>
    <s v="#9"/>
    <x v="3"/>
    <n v="3.24"/>
    <n v="0.1"/>
    <n v="1.57"/>
    <n v="2.4649000000000001"/>
    <x v="7"/>
    <s v="NA13TE"/>
    <n v="45"/>
    <s v="NA13TE-45"/>
  </r>
  <r>
    <x v="14"/>
    <x v="297"/>
    <n v="-3.48"/>
    <n v="1.67"/>
    <s v="#30"/>
    <x v="1"/>
    <n v="3.41"/>
    <n v="-7.0000000000000007E-2"/>
    <n v="1.74"/>
    <n v="3.0276000000000001"/>
    <x v="7"/>
    <s v="NA4RB"/>
    <n v="26"/>
    <s v="NA4RB-26"/>
  </r>
  <r>
    <x v="1"/>
    <x v="297"/>
    <n v="-4.1400000000000006"/>
    <n v="1.67"/>
    <s v="#9"/>
    <x v="1"/>
    <n v="3.74"/>
    <n v="-0.4"/>
    <n v="2.0699999999999998"/>
    <n v="4.2849000000000004"/>
    <x v="7"/>
    <s v="NA16RB"/>
    <n v="34"/>
    <s v="NA16RB-34"/>
  </r>
  <r>
    <x v="9"/>
    <x v="315"/>
    <n v="-3.7600000000000002"/>
    <n v="1.66"/>
    <s v="#13"/>
    <x v="3"/>
    <n v="3.54"/>
    <n v="-0.22"/>
    <n v="1.88"/>
    <n v="3.5344000000000002"/>
    <x v="7"/>
    <s v="NA15TE"/>
    <n v="45"/>
    <s v="NA15TE-45"/>
  </r>
  <r>
    <x v="4"/>
    <x v="306"/>
    <s v="0.06-3.26"/>
    <n v="1.66"/>
    <s v="#16"/>
    <x v="3"/>
    <n v="3.26"/>
    <n v="0.06"/>
    <n v="1.6"/>
    <n v="2.56"/>
    <x v="7"/>
    <s v="NA7TE"/>
    <n v="42"/>
    <s v="NA7TE-42"/>
  </r>
  <r>
    <x v="3"/>
    <x v="314"/>
    <s v="0.01-3.31"/>
    <n v="1.66"/>
    <s v="#7"/>
    <x v="2"/>
    <n v="3.31"/>
    <n v="0.01"/>
    <n v="1.65"/>
    <n v="2.7225000000000001"/>
    <x v="7"/>
    <s v="NA11WR"/>
    <n v="46"/>
    <s v="NA11WR-46"/>
  </r>
  <r>
    <x v="2"/>
    <x v="332"/>
    <n v="-4.22"/>
    <n v="1.66"/>
    <s v="#16"/>
    <x v="2"/>
    <n v="3.77"/>
    <n v="-0.45"/>
    <n v="2.11"/>
    <n v="4.4520999999999997"/>
    <x v="7"/>
    <s v="NA9WR"/>
    <n v="55"/>
    <s v="NA9WR-55"/>
  </r>
  <r>
    <x v="14"/>
    <x v="335"/>
    <s v="0.28-3.02"/>
    <n v="1.65"/>
    <s v="#30"/>
    <x v="3"/>
    <n v="3.02"/>
    <n v="0.28000000000000003"/>
    <n v="1.37"/>
    <n v="1.8769"/>
    <x v="7"/>
    <s v="NA4TE"/>
    <n v="38"/>
    <s v="NA4TE-38"/>
  </r>
  <r>
    <x v="0"/>
    <x v="306"/>
    <s v="0.05-3.25"/>
    <n v="1.65"/>
    <s v="#8"/>
    <x v="3"/>
    <n v="3.25"/>
    <n v="0.05"/>
    <n v="1.6"/>
    <n v="2.56"/>
    <x v="7"/>
    <s v="NA17TE"/>
    <n v="47"/>
    <s v="NA17TE-47"/>
  </r>
  <r>
    <x v="7"/>
    <x v="301"/>
    <n v="-3.6"/>
    <n v="1.65"/>
    <s v="#28"/>
    <x v="3"/>
    <n v="3.45"/>
    <n v="-0.15"/>
    <n v="1.8"/>
    <n v="3.24"/>
    <x v="7"/>
    <s v="NA1TE"/>
    <n v="33"/>
    <s v="NA1TE-33"/>
  </r>
  <r>
    <x v="0"/>
    <x v="183"/>
    <n v="-3.48"/>
    <n v="1.65"/>
    <s v="#24"/>
    <x v="1"/>
    <n v="3.39"/>
    <n v="-0.09"/>
    <n v="1.74"/>
    <n v="3.0276000000000001"/>
    <x v="7"/>
    <s v="NA17RB"/>
    <n v="32"/>
    <s v="NA17RB-32"/>
  </r>
  <r>
    <x v="11"/>
    <x v="304"/>
    <n v="-3.48"/>
    <n v="1.65"/>
    <s v="#32"/>
    <x v="3"/>
    <n v="3.39"/>
    <n v="-0.09"/>
    <n v="1.74"/>
    <n v="3.0276000000000001"/>
    <x v="7"/>
    <s v="NA14TE"/>
    <n v="44"/>
    <s v="NA14TE-44"/>
  </r>
  <r>
    <x v="3"/>
    <x v="313"/>
    <n v="-3.8"/>
    <n v="1.65"/>
    <s v="#15"/>
    <x v="3"/>
    <n v="3.55"/>
    <n v="-0.25"/>
    <n v="1.9"/>
    <n v="3.61"/>
    <x v="7"/>
    <s v="NA11TE"/>
    <n v="36"/>
    <s v="NA11TE-36"/>
  </r>
  <r>
    <x v="11"/>
    <x v="313"/>
    <n v="-3.8600000000000003"/>
    <n v="1.65"/>
    <s v="#14"/>
    <x v="3"/>
    <n v="3.58"/>
    <n v="-0.28000000000000003"/>
    <n v="1.93"/>
    <n v="3.7248999999999999"/>
    <x v="7"/>
    <s v="NA14TE"/>
    <n v="45"/>
    <s v="NA14TE-45"/>
  </r>
  <r>
    <x v="8"/>
    <x v="234"/>
    <n v="-3.88"/>
    <n v="1.65"/>
    <s v="#11"/>
    <x v="3"/>
    <n v="3.59"/>
    <n v="-0.28999999999999998"/>
    <n v="1.94"/>
    <n v="3.7635999999999998"/>
    <x v="7"/>
    <s v="NA6TE"/>
    <n v="42"/>
    <s v="NA6TE-42"/>
  </r>
  <r>
    <x v="16"/>
    <x v="336"/>
    <s v="0.44-2.84"/>
    <n v="1.64"/>
    <s v="#14"/>
    <x v="1"/>
    <n v="2.84"/>
    <n v="0.44"/>
    <n v="1.2"/>
    <n v="1.44"/>
    <x v="7"/>
    <s v="NA3RB"/>
    <n v="34"/>
    <s v="NA3RB-34"/>
  </r>
  <r>
    <x v="11"/>
    <x v="330"/>
    <n v="-3.5"/>
    <n v="1.64"/>
    <s v="#8"/>
    <x v="3"/>
    <n v="3.39"/>
    <n v="-0.11"/>
    <n v="1.75"/>
    <n v="3.0625"/>
    <x v="7"/>
    <s v="NA14TE"/>
    <n v="46"/>
    <s v="NA14TE-46"/>
  </r>
  <r>
    <x v="9"/>
    <x v="298"/>
    <n v="-3.86"/>
    <n v="1.64"/>
    <s v="#7"/>
    <x v="3"/>
    <n v="3.57"/>
    <n v="-0.28999999999999998"/>
    <n v="1.93"/>
    <n v="3.7248999999999999"/>
    <x v="7"/>
    <s v="NA15TE"/>
    <n v="46"/>
    <s v="NA15TE-46"/>
  </r>
  <r>
    <x v="14"/>
    <x v="337"/>
    <s v="0.03-3.25"/>
    <n v="1.64"/>
    <s v="#11"/>
    <x v="3"/>
    <n v="3.25"/>
    <n v="0.03"/>
    <n v="1.61"/>
    <n v="2.5920999999999998"/>
    <x v="7"/>
    <s v="NA4TE"/>
    <n v="39"/>
    <s v="NA4TE-39"/>
  </r>
  <r>
    <x v="13"/>
    <x v="327"/>
    <n v="-3.9"/>
    <n v="1.64"/>
    <s v="#8"/>
    <x v="3"/>
    <n v="3.59"/>
    <n v="-0.31"/>
    <n v="1.95"/>
    <n v="3.8025000000000002"/>
    <x v="7"/>
    <s v="NA8TE"/>
    <n v="37"/>
    <s v="NA8TE-37"/>
  </r>
  <r>
    <x v="4"/>
    <x v="234"/>
    <n v="-3.32"/>
    <n v="1.64"/>
    <s v="#3"/>
    <x v="3"/>
    <n v="3.3"/>
    <n v="-0.02"/>
    <n v="1.66"/>
    <n v="2.7555999999999998"/>
    <x v="7"/>
    <s v="NA7TE"/>
    <n v="43"/>
    <s v="NA7TE-43"/>
  </r>
  <r>
    <x v="15"/>
    <x v="262"/>
    <n v="-3.62"/>
    <n v="1.63"/>
    <s v="#10"/>
    <x v="2"/>
    <n v="3.44"/>
    <n v="-0.18"/>
    <n v="1.81"/>
    <n v="3.2761"/>
    <x v="7"/>
    <s v="NA10WR"/>
    <n v="58"/>
    <s v="NA10WR-58"/>
  </r>
  <r>
    <x v="2"/>
    <x v="224"/>
    <n v="-3.76"/>
    <n v="1.63"/>
    <s v="#23"/>
    <x v="3"/>
    <n v="3.51"/>
    <n v="-0.25"/>
    <n v="1.88"/>
    <n v="3.5344000000000002"/>
    <x v="7"/>
    <s v="NA9TE"/>
    <n v="35"/>
    <s v="NA9TE-35"/>
  </r>
  <r>
    <x v="13"/>
    <x v="338"/>
    <n v="-3.96"/>
    <n v="1.63"/>
    <s v="#21"/>
    <x v="2"/>
    <n v="3.61"/>
    <n v="-0.35"/>
    <n v="1.98"/>
    <n v="3.9203999999999999"/>
    <x v="7"/>
    <s v="NA8WR"/>
    <n v="51"/>
    <s v="NA8WR-51"/>
  </r>
  <r>
    <x v="0"/>
    <x v="129"/>
    <s v="0.20-3.06"/>
    <n v="1.63"/>
    <s v="#13"/>
    <x v="1"/>
    <n v="3.06"/>
    <n v="0.2"/>
    <n v="1.43"/>
    <n v="2.0449000000000002"/>
    <x v="7"/>
    <s v="NA17RB"/>
    <n v="33"/>
    <s v="NA17RB-33"/>
  </r>
  <r>
    <x v="3"/>
    <x v="305"/>
    <n v="-4.08"/>
    <n v="1.63"/>
    <s v="#31"/>
    <x v="2"/>
    <n v="3.67"/>
    <n v="-0.41"/>
    <n v="2.04"/>
    <n v="4.1616"/>
    <x v="7"/>
    <s v="NA11WR"/>
    <n v="47"/>
    <s v="NA11WR-47"/>
  </r>
  <r>
    <x v="1"/>
    <x v="314"/>
    <n v="-3.5"/>
    <n v="1.63"/>
    <s v="#26"/>
    <x v="2"/>
    <n v="3.38"/>
    <n v="-0.12"/>
    <n v="1.75"/>
    <n v="3.0625"/>
    <x v="7"/>
    <s v="NA16WR"/>
    <n v="63"/>
    <s v="NA16WR-63"/>
  </r>
  <r>
    <x v="12"/>
    <x v="339"/>
    <s v="0.17-3.07"/>
    <n v="1.62"/>
    <s v="#23"/>
    <x v="1"/>
    <n v="3.07"/>
    <n v="0.17"/>
    <n v="1.45"/>
    <n v="2.1025"/>
    <x v="7"/>
    <s v="NA5RB"/>
    <n v="27"/>
    <s v="NA5RB-27"/>
  </r>
  <r>
    <x v="7"/>
    <x v="317"/>
    <s v="0.08-3.16"/>
    <n v="1.62"/>
    <s v="#2"/>
    <x v="2"/>
    <n v="3.16"/>
    <n v="0.08"/>
    <n v="1.54"/>
    <n v="2.3715999999999999"/>
    <x v="7"/>
    <s v="NA1WR"/>
    <n v="53"/>
    <s v="NA1WR-53"/>
  </r>
  <r>
    <x v="11"/>
    <x v="315"/>
    <n v="-3.5"/>
    <n v="1.62"/>
    <s v="#21"/>
    <x v="3"/>
    <n v="3.37"/>
    <n v="-0.13"/>
    <n v="1.75"/>
    <n v="3.0625"/>
    <x v="7"/>
    <s v="NA14TE"/>
    <n v="47"/>
    <s v="NA14TE-47"/>
  </r>
  <r>
    <x v="10"/>
    <x v="223"/>
    <s v="0.56-2.68"/>
    <n v="1.62"/>
    <s v="#6"/>
    <x v="1"/>
    <n v="2.68"/>
    <n v="0.56000000000000005"/>
    <n v="1.06"/>
    <n v="1.1235999999999999"/>
    <x v="7"/>
    <s v="NA2RB"/>
    <n v="25"/>
    <s v="NA2RB-25"/>
  </r>
  <r>
    <x v="5"/>
    <x v="224"/>
    <n v="-3.4"/>
    <n v="1.62"/>
    <s v="#4"/>
    <x v="3"/>
    <n v="3.32"/>
    <n v="-0.08"/>
    <n v="1.7"/>
    <n v="2.89"/>
    <x v="7"/>
    <s v="NA13TE"/>
    <n v="46"/>
    <s v="NA13TE-46"/>
  </r>
  <r>
    <x v="15"/>
    <x v="320"/>
    <n v="-3.44"/>
    <n v="1.62"/>
    <s v="#11"/>
    <x v="3"/>
    <n v="3.34"/>
    <n v="-0.1"/>
    <n v="1.72"/>
    <n v="2.9584000000000001"/>
    <x v="7"/>
    <s v="NA10TE"/>
    <n v="36"/>
    <s v="NA10TE-36"/>
  </r>
  <r>
    <x v="15"/>
    <x v="313"/>
    <s v="0.05-3.19"/>
    <n v="1.62"/>
    <s v="#9"/>
    <x v="3"/>
    <n v="3.19"/>
    <n v="0.05"/>
    <n v="1.57"/>
    <n v="2.4649000000000001"/>
    <x v="7"/>
    <s v="NA10TE"/>
    <n v="37"/>
    <s v="NA10TE-37"/>
  </r>
  <r>
    <x v="7"/>
    <x v="316"/>
    <n v="-3.44"/>
    <n v="1.61"/>
    <s v="#16"/>
    <x v="1"/>
    <n v="3.33"/>
    <n v="-0.11"/>
    <n v="1.72"/>
    <n v="2.9584000000000001"/>
    <x v="7"/>
    <s v="NA1RB"/>
    <n v="26"/>
    <s v="NA1RB-26"/>
  </r>
  <r>
    <x v="4"/>
    <x v="323"/>
    <s v="0.07-3.15"/>
    <n v="1.61"/>
    <s v="#28"/>
    <x v="1"/>
    <n v="3.15"/>
    <n v="7.0000000000000007E-2"/>
    <n v="1.54"/>
    <n v="2.3715999999999999"/>
    <x v="7"/>
    <s v="NA7RB"/>
    <n v="24"/>
    <s v="NA7RB-24"/>
  </r>
  <r>
    <x v="2"/>
    <x v="327"/>
    <n v="-3.94"/>
    <n v="1.61"/>
    <s v="#26"/>
    <x v="3"/>
    <n v="3.58"/>
    <n v="-0.36"/>
    <n v="1.97"/>
    <n v="3.8809"/>
    <x v="7"/>
    <s v="NA9TE"/>
    <n v="36"/>
    <s v="NA9TE-36"/>
  </r>
  <r>
    <x v="9"/>
    <x v="327"/>
    <n v="-3.84"/>
    <n v="1.61"/>
    <s v="#11"/>
    <x v="3"/>
    <n v="3.53"/>
    <n v="-0.31"/>
    <n v="1.92"/>
    <n v="3.6863999999999999"/>
    <x v="7"/>
    <s v="NA15TE"/>
    <n v="47"/>
    <s v="NA15TE-47"/>
  </r>
  <r>
    <x v="3"/>
    <x v="330"/>
    <n v="-3.54"/>
    <n v="1.6"/>
    <s v="#5"/>
    <x v="3"/>
    <n v="3.37"/>
    <n v="-0.17"/>
    <n v="1.77"/>
    <n v="3.1328999999999998"/>
    <x v="7"/>
    <s v="NA11TE"/>
    <n v="37"/>
    <s v="NA11TE-37"/>
  </r>
  <r>
    <x v="14"/>
    <x v="340"/>
    <n v="-3.82"/>
    <n v="1.6"/>
    <s v="#2"/>
    <x v="3"/>
    <n v="3.51"/>
    <n v="-0.31"/>
    <n v="1.91"/>
    <n v="3.6480999999999999"/>
    <x v="7"/>
    <s v="NA4TE"/>
    <n v="40"/>
    <s v="NA4TE-40"/>
  </r>
  <r>
    <x v="3"/>
    <x v="200"/>
    <s v="0.28-2.92"/>
    <n v="1.6"/>
    <s v="#20"/>
    <x v="1"/>
    <n v="2.92"/>
    <n v="0.28000000000000003"/>
    <n v="1.32"/>
    <n v="1.7423999999999999"/>
    <x v="7"/>
    <s v="NA11RB"/>
    <n v="27"/>
    <s v="NA11RB-27"/>
  </r>
  <r>
    <x v="15"/>
    <x v="302"/>
    <n v="-3.44"/>
    <n v="1.6"/>
    <s v="#28"/>
    <x v="3"/>
    <n v="3.32"/>
    <n v="-0.12"/>
    <n v="1.72"/>
    <n v="2.9584000000000001"/>
    <x v="7"/>
    <s v="NA10TE"/>
    <n v="38"/>
    <s v="NA10TE-38"/>
  </r>
  <r>
    <x v="6"/>
    <x v="224"/>
    <n v="-3.56"/>
    <n v="1.6"/>
    <s v="#27"/>
    <x v="3"/>
    <n v="3.38"/>
    <n v="-0.18"/>
    <n v="1.78"/>
    <n v="3.1684000000000001"/>
    <x v="7"/>
    <s v="NA12TE"/>
    <n v="44"/>
    <s v="NA12TE-44"/>
  </r>
  <r>
    <x v="1"/>
    <x v="224"/>
    <s v="0.08-3.12"/>
    <n v="1.6"/>
    <s v="#12"/>
    <x v="3"/>
    <n v="3.12"/>
    <n v="0.08"/>
    <n v="1.52"/>
    <n v="2.3104"/>
    <x v="7"/>
    <s v="NA16TE"/>
    <n v="46"/>
    <s v="NA16TE-46"/>
  </r>
  <r>
    <x v="10"/>
    <x v="333"/>
    <s v="0.28-2.92"/>
    <n v="1.6"/>
    <s v="#26"/>
    <x v="3"/>
    <n v="2.92"/>
    <n v="0.28000000000000003"/>
    <n v="1.32"/>
    <n v="1.7423999999999999"/>
    <x v="7"/>
    <s v="NA2TE"/>
    <n v="33"/>
    <s v="NA2TE-33"/>
  </r>
  <r>
    <x v="14"/>
    <x v="242"/>
    <s v="0.31-2.89"/>
    <n v="1.6"/>
    <s v="#1"/>
    <x v="2"/>
    <n v="2.89"/>
    <n v="0.31"/>
    <n v="1.29"/>
    <n v="1.6640999999999999"/>
    <x v="7"/>
    <s v="NA4WR"/>
    <n v="49"/>
    <s v="NA4WR-49"/>
  </r>
  <r>
    <x v="3"/>
    <x v="309"/>
    <s v="0.31-2.87"/>
    <n v="1.59"/>
    <s v="#7"/>
    <x v="1"/>
    <n v="2.87"/>
    <n v="0.31"/>
    <n v="1.28"/>
    <n v="1.6384000000000001"/>
    <x v="7"/>
    <s v="NA11RB"/>
    <n v="28"/>
    <s v="NA11RB-28"/>
  </r>
  <r>
    <x v="12"/>
    <x v="230"/>
    <n v="-3.74"/>
    <n v="1.59"/>
    <s v="#27"/>
    <x v="3"/>
    <n v="3.46"/>
    <n v="-0.28000000000000003"/>
    <n v="1.87"/>
    <n v="3.4969000000000001"/>
    <x v="7"/>
    <s v="NA5TE"/>
    <n v="43"/>
    <s v="NA5TE-43"/>
  </r>
  <r>
    <x v="4"/>
    <x v="341"/>
    <s v="0.38-2.80"/>
    <n v="1.59"/>
    <s v="#30"/>
    <x v="1"/>
    <n v="2.8"/>
    <n v="0.38"/>
    <n v="1.21"/>
    <n v="1.4641"/>
    <x v="7"/>
    <s v="NA7RB"/>
    <n v="25"/>
    <s v="NA7RB-25"/>
  </r>
  <r>
    <x v="13"/>
    <x v="311"/>
    <s v="0.02-3.16"/>
    <n v="1.59"/>
    <s v="#5"/>
    <x v="1"/>
    <n v="3.16"/>
    <n v="0.02"/>
    <n v="1.57"/>
    <n v="2.4649000000000001"/>
    <x v="7"/>
    <s v="NA8RB"/>
    <n v="29"/>
    <s v="NA8RB-29"/>
  </r>
  <r>
    <x v="14"/>
    <x v="224"/>
    <n v="-3.62"/>
    <n v="1.59"/>
    <s v="#6"/>
    <x v="3"/>
    <n v="3.4"/>
    <n v="-0.22"/>
    <n v="1.81"/>
    <n v="3.2761"/>
    <x v="7"/>
    <s v="NA4TE"/>
    <n v="41"/>
    <s v="NA4TE-41"/>
  </r>
  <r>
    <x v="10"/>
    <x v="298"/>
    <n v="-4.5200000000000005"/>
    <n v="1.59"/>
    <s v="#2"/>
    <x v="3"/>
    <n v="3.85"/>
    <n v="-0.67"/>
    <n v="2.2599999999999998"/>
    <n v="5.1075999999999997"/>
    <x v="7"/>
    <s v="NA2TE"/>
    <n v="34"/>
    <s v="NA2TE-34"/>
  </r>
  <r>
    <x v="11"/>
    <x v="323"/>
    <s v="0.15-3.03"/>
    <n v="1.59"/>
    <s v="#17"/>
    <x v="1"/>
    <n v="3.03"/>
    <n v="0.15"/>
    <n v="1.44"/>
    <n v="2.0735999999999999"/>
    <x v="7"/>
    <s v="NA14RB"/>
    <n v="33"/>
    <s v="NA14RB-33"/>
  </r>
  <r>
    <x v="4"/>
    <x v="314"/>
    <s v="0.13-3.05"/>
    <n v="1.59"/>
    <s v="#24"/>
    <x v="2"/>
    <n v="3.05"/>
    <n v="0.13"/>
    <n v="1.46"/>
    <n v="2.1316000000000002"/>
    <x v="7"/>
    <s v="NA7WR"/>
    <n v="56"/>
    <s v="NA7WR-56"/>
  </r>
  <r>
    <x v="13"/>
    <x v="314"/>
    <n v="-3.64"/>
    <n v="1.59"/>
    <s v="#8"/>
    <x v="2"/>
    <n v="3.41"/>
    <n v="-0.23"/>
    <n v="1.82"/>
    <n v="3.3123999999999998"/>
    <x v="7"/>
    <s v="NA8WR"/>
    <n v="52"/>
    <s v="NA8WR-52"/>
  </r>
  <r>
    <x v="0"/>
    <x v="297"/>
    <n v="-3.2399999999999998"/>
    <n v="1.59"/>
    <s v="#23"/>
    <x v="1"/>
    <n v="3.21"/>
    <n v="-0.03"/>
    <n v="1.62"/>
    <n v="2.6244000000000001"/>
    <x v="7"/>
    <s v="NA17RB"/>
    <n v="34"/>
    <s v="NA17RB-34"/>
  </r>
  <r>
    <x v="5"/>
    <x v="319"/>
    <n v="-4.68"/>
    <n v="1.58"/>
    <s v="#26"/>
    <x v="2"/>
    <n v="3.92"/>
    <n v="-0.76"/>
    <n v="2.34"/>
    <n v="5.4756"/>
    <x v="7"/>
    <s v="NA13WR"/>
    <n v="64"/>
    <s v="NA13WR-64"/>
  </r>
  <r>
    <x v="7"/>
    <x v="342"/>
    <n v="-3.34"/>
    <n v="1.58"/>
    <s v="#22"/>
    <x v="2"/>
    <n v="3.25"/>
    <n v="-0.09"/>
    <n v="1.67"/>
    <n v="2.7888999999999999"/>
    <x v="7"/>
    <s v="NA1WR"/>
    <n v="54"/>
    <s v="NA1WR-54"/>
  </r>
  <r>
    <x v="12"/>
    <x v="200"/>
    <s v="0.26-2.90"/>
    <n v="1.58"/>
    <s v="#4"/>
    <x v="1"/>
    <n v="2.9"/>
    <n v="0.26"/>
    <n v="1.32"/>
    <n v="1.7423999999999999"/>
    <x v="7"/>
    <s v="NA5RB"/>
    <n v="28"/>
    <s v="NA5RB-28"/>
  </r>
  <r>
    <x v="4"/>
    <x v="200"/>
    <s v="0.17-2.99"/>
    <n v="1.58"/>
    <s v="#13"/>
    <x v="1"/>
    <n v="2.99"/>
    <n v="0.17"/>
    <n v="1.41"/>
    <n v="1.9881"/>
    <x v="7"/>
    <s v="NA7RB"/>
    <n v="26"/>
    <s v="NA7RB-26"/>
  </r>
  <r>
    <x v="10"/>
    <x v="193"/>
    <n v="-4.66"/>
    <n v="1.58"/>
    <s v="#25"/>
    <x v="3"/>
    <n v="3.91"/>
    <n v="-0.75"/>
    <n v="2.33"/>
    <n v="5.4288999999999996"/>
    <x v="7"/>
    <s v="NA2TE"/>
    <n v="35"/>
    <s v="NA2TE-35"/>
  </r>
  <r>
    <x v="12"/>
    <x v="343"/>
    <n v="-4.04"/>
    <n v="1.58"/>
    <s v="#29"/>
    <x v="2"/>
    <n v="3.6"/>
    <n v="-0.44"/>
    <n v="2.02"/>
    <n v="4.0804"/>
    <x v="7"/>
    <s v="NA5WR"/>
    <n v="61"/>
    <s v="NA5WR-61"/>
  </r>
  <r>
    <x v="11"/>
    <x v="320"/>
    <n v="-3.44"/>
    <n v="1.58"/>
    <s v="#11"/>
    <x v="3"/>
    <n v="3.3"/>
    <n v="-0.14000000000000001"/>
    <n v="1.72"/>
    <n v="2.9584000000000001"/>
    <x v="7"/>
    <s v="NA14TE"/>
    <n v="48"/>
    <s v="NA14TE-48"/>
  </r>
  <r>
    <x v="9"/>
    <x v="129"/>
    <n v="-3.3200000000000003"/>
    <n v="1.58"/>
    <s v="#18"/>
    <x v="1"/>
    <n v="3.24"/>
    <n v="-0.08"/>
    <n v="1.66"/>
    <n v="2.7555999999999998"/>
    <x v="7"/>
    <s v="NA15RB"/>
    <n v="31"/>
    <s v="NA15RB-31"/>
  </r>
  <r>
    <x v="8"/>
    <x v="305"/>
    <s v="0.23-2.93"/>
    <n v="1.58"/>
    <s v="#6"/>
    <x v="2"/>
    <n v="2.93"/>
    <n v="0.23"/>
    <n v="1.35"/>
    <n v="1.8225"/>
    <x v="7"/>
    <s v="NA6WR"/>
    <n v="59"/>
    <s v="NA6WR-59"/>
  </r>
  <r>
    <x v="4"/>
    <x v="297"/>
    <n v="-4.24"/>
    <n v="1.58"/>
    <s v="#29"/>
    <x v="1"/>
    <n v="3.7"/>
    <n v="-0.54"/>
    <n v="2.12"/>
    <n v="4.4943999999999997"/>
    <x v="7"/>
    <s v="NA7RB"/>
    <n v="27"/>
    <s v="NA7RB-27"/>
  </r>
  <r>
    <x v="9"/>
    <x v="297"/>
    <s v="0.27-2.89"/>
    <n v="1.58"/>
    <s v="#14"/>
    <x v="1"/>
    <n v="2.89"/>
    <n v="0.27"/>
    <n v="1.31"/>
    <n v="1.7161"/>
    <x v="7"/>
    <s v="NA15RB"/>
    <n v="32"/>
    <s v="NA15RB-32"/>
  </r>
  <r>
    <x v="13"/>
    <x v="168"/>
    <n v="-3.74"/>
    <n v="1.58"/>
    <s v="#3"/>
    <x v="1"/>
    <n v="3.45"/>
    <n v="-0.28999999999999998"/>
    <n v="1.87"/>
    <n v="3.4969000000000001"/>
    <x v="7"/>
    <s v="NA8RB"/>
    <n v="30"/>
    <s v="NA8RB-30"/>
  </r>
  <r>
    <x v="5"/>
    <x v="321"/>
    <n v="-3.1599999999999997"/>
    <n v="1.57"/>
    <s v="#31"/>
    <x v="1"/>
    <n v="3.15"/>
    <n v="-0.01"/>
    <n v="1.58"/>
    <n v="2.4964"/>
    <x v="7"/>
    <s v="NA13RB"/>
    <n v="34"/>
    <s v="NA13RB-34"/>
  </r>
  <r>
    <x v="0"/>
    <x v="337"/>
    <n v="-3.8400000000000003"/>
    <n v="1.57"/>
    <s v="#28"/>
    <x v="3"/>
    <n v="3.49"/>
    <n v="-0.35"/>
    <n v="1.92"/>
    <n v="3.6863999999999999"/>
    <x v="7"/>
    <s v="NA17TE"/>
    <n v="48"/>
    <s v="NA17TE-48"/>
  </r>
  <r>
    <x v="7"/>
    <x v="314"/>
    <n v="-3.78"/>
    <n v="1.57"/>
    <s v="#4"/>
    <x v="2"/>
    <n v="3.46"/>
    <n v="-0.32"/>
    <n v="1.89"/>
    <n v="3.5720999999999998"/>
    <x v="7"/>
    <s v="NA1WR"/>
    <n v="55"/>
    <s v="NA1WR-55"/>
  </r>
  <r>
    <x v="2"/>
    <x v="314"/>
    <n v="-3.5"/>
    <n v="1.57"/>
    <s v="#26"/>
    <x v="2"/>
    <n v="3.32"/>
    <n v="-0.18"/>
    <n v="1.75"/>
    <n v="3.0625"/>
    <x v="7"/>
    <s v="NA9WR"/>
    <n v="56"/>
    <s v="NA9WR-56"/>
  </r>
  <r>
    <x v="16"/>
    <x v="230"/>
    <n v="-3.74"/>
    <n v="1.56"/>
    <s v="#8"/>
    <x v="3"/>
    <n v="3.43"/>
    <n v="-0.31"/>
    <n v="1.87"/>
    <n v="3.4969000000000001"/>
    <x v="7"/>
    <s v="NA3TE"/>
    <n v="43"/>
    <s v="NA3TE-43"/>
  </r>
  <r>
    <x v="16"/>
    <x v="232"/>
    <n v="-3.6399999999999997"/>
    <n v="1.56"/>
    <s v="#5"/>
    <x v="2"/>
    <n v="3.38"/>
    <n v="-0.26"/>
    <n v="1.82"/>
    <n v="3.3123999999999998"/>
    <x v="7"/>
    <s v="NA3WR"/>
    <n v="58"/>
    <s v="NA3WR-58"/>
  </r>
  <r>
    <x v="2"/>
    <x v="291"/>
    <n v="-3.48"/>
    <n v="1.56"/>
    <s v="#16"/>
    <x v="3"/>
    <n v="3.3"/>
    <n v="-0.18"/>
    <n v="1.74"/>
    <n v="3.0276000000000001"/>
    <x v="7"/>
    <s v="NA9TE"/>
    <n v="37"/>
    <s v="NA9TE-37"/>
  </r>
  <r>
    <x v="13"/>
    <x v="323"/>
    <s v="0.11-3.01"/>
    <n v="1.56"/>
    <s v="#27"/>
    <x v="1"/>
    <n v="3.01"/>
    <n v="0.11"/>
    <n v="1.45"/>
    <n v="2.1025"/>
    <x v="7"/>
    <s v="NA8RB"/>
    <n v="31"/>
    <s v="NA8RB-31"/>
  </r>
  <r>
    <x v="14"/>
    <x v="327"/>
    <s v="0.16-2.96"/>
    <n v="1.56"/>
    <s v="#23"/>
    <x v="3"/>
    <n v="2.96"/>
    <n v="0.16"/>
    <n v="1.4"/>
    <n v="1.96"/>
    <x v="7"/>
    <s v="NA4TE"/>
    <n v="42"/>
    <s v="NA4TE-42"/>
  </r>
  <r>
    <x v="5"/>
    <x v="183"/>
    <n v="-3.48"/>
    <n v="1.56"/>
    <s v="#24"/>
    <x v="1"/>
    <n v="3.3"/>
    <n v="-0.18"/>
    <n v="1.74"/>
    <n v="3.0276000000000001"/>
    <x v="7"/>
    <s v="NA13RB"/>
    <n v="35"/>
    <s v="NA13RB-35"/>
  </r>
  <r>
    <x v="11"/>
    <x v="173"/>
    <n v="-3.48"/>
    <n v="1.56"/>
    <s v="#31"/>
    <x v="1"/>
    <n v="3.3"/>
    <n v="-0.18"/>
    <n v="1.74"/>
    <n v="3.0276000000000001"/>
    <x v="7"/>
    <s v="NA14RB"/>
    <n v="34"/>
    <s v="NA14RB-34"/>
  </r>
  <r>
    <x v="6"/>
    <x v="305"/>
    <s v="0.21-2.91"/>
    <n v="1.56"/>
    <s v="#6"/>
    <x v="2"/>
    <n v="2.91"/>
    <n v="0.21"/>
    <n v="1.35"/>
    <n v="1.8225"/>
    <x v="7"/>
    <s v="NA12WR"/>
    <n v="60"/>
    <s v="NA12WR-60"/>
  </r>
  <r>
    <x v="13"/>
    <x v="332"/>
    <s v="0.05-3.07"/>
    <n v="1.56"/>
    <s v="#24"/>
    <x v="2"/>
    <n v="3.07"/>
    <n v="0.05"/>
    <n v="1.51"/>
    <n v="2.2801"/>
    <x v="7"/>
    <s v="NA8WR"/>
    <n v="53"/>
    <s v="NA8WR-53"/>
  </r>
  <r>
    <x v="6"/>
    <x v="315"/>
    <n v="-3.4"/>
    <n v="1.55"/>
    <s v="#30"/>
    <x v="3"/>
    <n v="3.25"/>
    <n v="-0.15"/>
    <n v="1.7"/>
    <n v="2.89"/>
    <x v="7"/>
    <s v="NA12TE"/>
    <n v="45"/>
    <s v="NA12TE-45"/>
  </r>
  <r>
    <x v="7"/>
    <x v="223"/>
    <s v="0.51-2.59"/>
    <n v="1.55"/>
    <s v="#30"/>
    <x v="1"/>
    <n v="2.59"/>
    <n v="0.51"/>
    <n v="1.04"/>
    <n v="1.0815999999999999"/>
    <x v="7"/>
    <s v="NA1RB"/>
    <n v="27"/>
    <s v="NA1RB-27"/>
  </r>
  <r>
    <x v="11"/>
    <x v="343"/>
    <n v="-4"/>
    <n v="1.55"/>
    <s v="#25"/>
    <x v="2"/>
    <n v="3.55"/>
    <n v="-0.45"/>
    <n v="2"/>
    <n v="4"/>
    <x v="7"/>
    <s v="NA14WR"/>
    <n v="62"/>
    <s v="NA14WR-62"/>
  </r>
  <r>
    <x v="10"/>
    <x v="313"/>
    <n v="-3.56"/>
    <n v="1.55"/>
    <s v="#17"/>
    <x v="3"/>
    <n v="3.33"/>
    <n v="-0.23"/>
    <n v="1.78"/>
    <n v="3.1684000000000001"/>
    <x v="7"/>
    <s v="NA2TE"/>
    <n v="36"/>
    <s v="NA2TE-36"/>
  </r>
  <r>
    <x v="10"/>
    <x v="305"/>
    <s v="0.06-3.04"/>
    <n v="1.55"/>
    <s v="#23"/>
    <x v="2"/>
    <n v="3.04"/>
    <n v="0.06"/>
    <n v="1.49"/>
    <n v="2.2201"/>
    <x v="7"/>
    <s v="NA2WR"/>
    <n v="55"/>
    <s v="NA2WR-55"/>
  </r>
  <r>
    <x v="16"/>
    <x v="234"/>
    <s v="0.03-3.07"/>
    <n v="1.55"/>
    <s v="#22"/>
    <x v="3"/>
    <n v="3.07"/>
    <n v="0.03"/>
    <n v="1.52"/>
    <n v="2.3104"/>
    <x v="7"/>
    <s v="NA3TE"/>
    <n v="44"/>
    <s v="NA3TE-44"/>
  </r>
  <r>
    <x v="12"/>
    <x v="344"/>
    <n v="-3.6"/>
    <n v="1.55"/>
    <s v="#23"/>
    <x v="2"/>
    <n v="3.35"/>
    <n v="-0.25"/>
    <n v="1.8"/>
    <n v="3.24"/>
    <x v="7"/>
    <s v="NA5WR"/>
    <n v="62"/>
    <s v="NA5WR-62"/>
  </r>
  <r>
    <x v="13"/>
    <x v="344"/>
    <n v="-3.28"/>
    <n v="1.55"/>
    <s v="#24"/>
    <x v="2"/>
    <n v="3.19"/>
    <n v="-0.09"/>
    <n v="1.64"/>
    <n v="2.6896"/>
    <x v="7"/>
    <s v="NA8WR"/>
    <n v="54"/>
    <s v="NA8WR-54"/>
  </r>
  <r>
    <x v="14"/>
    <x v="314"/>
    <n v="-3.18"/>
    <n v="1.55"/>
    <s v="#23"/>
    <x v="2"/>
    <n v="3.14"/>
    <n v="-0.04"/>
    <n v="1.59"/>
    <n v="2.5280999999999998"/>
    <x v="7"/>
    <s v="NA4WR"/>
    <n v="50"/>
    <s v="NA4WR-50"/>
  </r>
  <r>
    <x v="13"/>
    <x v="309"/>
    <s v="0.42-2.66"/>
    <n v="1.54"/>
    <s v="#8"/>
    <x v="1"/>
    <n v="2.66"/>
    <n v="0.42"/>
    <n v="1.1200000000000001"/>
    <n v="1.2544"/>
    <x v="7"/>
    <s v="NA8RB"/>
    <n v="32"/>
    <s v="NA8RB-32"/>
  </r>
  <r>
    <x v="6"/>
    <x v="309"/>
    <s v="0.41-2.67"/>
    <n v="1.54"/>
    <s v="#5"/>
    <x v="1"/>
    <n v="2.67"/>
    <n v="0.41"/>
    <n v="1.1299999999999999"/>
    <n v="1.2768999999999999"/>
    <x v="7"/>
    <s v="NA12RB"/>
    <n v="31"/>
    <s v="NA12RB-31"/>
  </r>
  <r>
    <x v="10"/>
    <x v="213"/>
    <s v="0.00-3.08"/>
    <n v="1.54"/>
    <s v="#7"/>
    <x v="1"/>
    <n v="3.08"/>
    <n v="0"/>
    <n v="1.54"/>
    <n v="2.3715999999999999"/>
    <x v="7"/>
    <s v="NA2RB"/>
    <n v="26"/>
    <s v="NA2RB-26"/>
  </r>
  <r>
    <x v="4"/>
    <x v="298"/>
    <n v="-3.9000000000000004"/>
    <n v="1.54"/>
    <s v="#1"/>
    <x v="3"/>
    <n v="3.49"/>
    <n v="-0.41"/>
    <n v="1.95"/>
    <n v="3.8025000000000002"/>
    <x v="7"/>
    <s v="NA7TE"/>
    <n v="44"/>
    <s v="NA7TE-44"/>
  </r>
  <r>
    <x v="10"/>
    <x v="37"/>
    <s v="0.36-2.72"/>
    <n v="1.54"/>
    <s v="#10"/>
    <x v="0"/>
    <n v="2.72"/>
    <n v="0.36"/>
    <n v="1.18"/>
    <n v="1.3924000000000001"/>
    <x v="7"/>
    <s v="NA2QB"/>
    <n v="18"/>
    <s v="NA2QB-18"/>
  </r>
  <r>
    <x v="13"/>
    <x v="337"/>
    <n v="-3.66"/>
    <n v="1.54"/>
    <s v="#10"/>
    <x v="3"/>
    <n v="3.37"/>
    <n v="-0.28999999999999998"/>
    <n v="1.83"/>
    <n v="3.3489"/>
    <x v="7"/>
    <s v="NA8TE"/>
    <n v="38"/>
    <s v="NA8TE-38"/>
  </r>
  <r>
    <x v="6"/>
    <x v="313"/>
    <n v="-3.8600000000000003"/>
    <n v="1.54"/>
    <s v="#11"/>
    <x v="3"/>
    <n v="3.47"/>
    <n v="-0.39"/>
    <n v="1.93"/>
    <n v="3.7248999999999999"/>
    <x v="7"/>
    <s v="NA12TE"/>
    <n v="46"/>
    <s v="NA12TE-46"/>
  </r>
  <r>
    <x v="6"/>
    <x v="129"/>
    <s v="0.10-2.98"/>
    <n v="1.54"/>
    <s v="#7"/>
    <x v="1"/>
    <n v="2.98"/>
    <n v="0.1"/>
    <n v="1.44"/>
    <n v="2.0735999999999999"/>
    <x v="7"/>
    <s v="NA12RB"/>
    <n v="32"/>
    <s v="NA12RB-32"/>
  </r>
  <r>
    <x v="6"/>
    <x v="314"/>
    <n v="-3.46"/>
    <n v="1.54"/>
    <s v="#5"/>
    <x v="2"/>
    <n v="3.27"/>
    <n v="-0.19"/>
    <n v="1.73"/>
    <n v="2.9929000000000001"/>
    <x v="7"/>
    <s v="NA12WR"/>
    <n v="61"/>
    <s v="NA12WR-61"/>
  </r>
  <r>
    <x v="8"/>
    <x v="332"/>
    <s v="0.00-3.08"/>
    <n v="1.54"/>
    <s v="#11"/>
    <x v="2"/>
    <n v="3.08"/>
    <n v="0"/>
    <n v="1.54"/>
    <n v="2.3715999999999999"/>
    <x v="7"/>
    <s v="NA6WR"/>
    <n v="60"/>
    <s v="NA6WR-60"/>
  </r>
  <r>
    <x v="4"/>
    <x v="168"/>
    <n v="-3.44"/>
    <n v="1.54"/>
    <s v="#7"/>
    <x v="1"/>
    <n v="3.26"/>
    <n v="-0.18"/>
    <n v="1.72"/>
    <n v="2.9584000000000001"/>
    <x v="7"/>
    <s v="NA7RB"/>
    <n v="28"/>
    <s v="NA7RB-28"/>
  </r>
  <r>
    <x v="2"/>
    <x v="300"/>
    <s v="0.09-2.97"/>
    <n v="1.53"/>
    <s v="#4"/>
    <x v="3"/>
    <n v="2.97"/>
    <n v="0.09"/>
    <n v="1.44"/>
    <n v="2.0735999999999999"/>
    <x v="7"/>
    <s v="NA9TE"/>
    <n v="38"/>
    <s v="NA9TE-38"/>
  </r>
  <r>
    <x v="11"/>
    <x v="230"/>
    <s v="0.02-3.04"/>
    <n v="1.53"/>
    <s v="#6"/>
    <x v="3"/>
    <n v="3.04"/>
    <n v="0.02"/>
    <n v="1.51"/>
    <n v="2.2801"/>
    <x v="7"/>
    <s v="NA14TE"/>
    <n v="49"/>
    <s v="NA14TE-49"/>
  </r>
  <r>
    <x v="6"/>
    <x v="302"/>
    <n v="-3.44"/>
    <n v="1.53"/>
    <s v="#28"/>
    <x v="3"/>
    <n v="3.25"/>
    <n v="-0.19"/>
    <n v="1.72"/>
    <n v="2.9584000000000001"/>
    <x v="7"/>
    <s v="NA12TE"/>
    <n v="47"/>
    <s v="NA12TE-47"/>
  </r>
  <r>
    <x v="12"/>
    <x v="266"/>
    <n v="-3.0799999999999996"/>
    <n v="1.53"/>
    <s v="#26"/>
    <x v="1"/>
    <n v="3.07"/>
    <n v="-0.01"/>
    <n v="1.54"/>
    <n v="2.3715999999999999"/>
    <x v="7"/>
    <s v="NA5RB"/>
    <n v="29"/>
    <s v="NA5RB-29"/>
  </r>
  <r>
    <x v="11"/>
    <x v="314"/>
    <n v="-3.44"/>
    <n v="1.53"/>
    <s v="#13"/>
    <x v="2"/>
    <n v="3.25"/>
    <n v="-0.19"/>
    <n v="1.72"/>
    <n v="2.9584000000000001"/>
    <x v="7"/>
    <s v="NA14WR"/>
    <n v="63"/>
    <s v="NA14WR-63"/>
  </r>
  <r>
    <x v="0"/>
    <x v="230"/>
    <n v="-3.16"/>
    <n v="1.52"/>
    <s v="#22"/>
    <x v="3"/>
    <n v="3.1"/>
    <n v="-0.06"/>
    <n v="1.58"/>
    <n v="2.4964"/>
    <x v="7"/>
    <s v="NA17TE"/>
    <n v="49"/>
    <s v="NA17TE-49"/>
  </r>
  <r>
    <x v="4"/>
    <x v="330"/>
    <n v="-3.66"/>
    <n v="1.52"/>
    <s v="#4"/>
    <x v="3"/>
    <n v="3.35"/>
    <n v="-0.31"/>
    <n v="1.83"/>
    <n v="3.3489"/>
    <x v="7"/>
    <s v="NA7TE"/>
    <n v="45"/>
    <s v="NA7TE-45"/>
  </r>
  <r>
    <x v="2"/>
    <x v="330"/>
    <n v="-3.24"/>
    <n v="1.52"/>
    <s v="#28"/>
    <x v="3"/>
    <n v="3.14"/>
    <n v="-0.1"/>
    <n v="1.62"/>
    <n v="2.6244000000000001"/>
    <x v="7"/>
    <s v="NA9TE"/>
    <n v="39"/>
    <s v="NA9TE-39"/>
  </r>
  <r>
    <x v="14"/>
    <x v="301"/>
    <n v="-3.54"/>
    <n v="1.52"/>
    <s v="#3"/>
    <x v="3"/>
    <n v="3.29"/>
    <n v="-0.25"/>
    <n v="1.77"/>
    <n v="3.1328999999999998"/>
    <x v="7"/>
    <s v="NA4TE"/>
    <n v="43"/>
    <s v="NA4TE-43"/>
  </r>
  <r>
    <x v="12"/>
    <x v="337"/>
    <n v="-3.84"/>
    <n v="1.52"/>
    <s v="#28"/>
    <x v="3"/>
    <n v="3.44"/>
    <n v="-0.4"/>
    <n v="1.92"/>
    <n v="3.6863999999999999"/>
    <x v="7"/>
    <s v="NA5TE"/>
    <n v="44"/>
    <s v="NA5TE-44"/>
  </r>
  <r>
    <x v="15"/>
    <x v="337"/>
    <n v="-3.7"/>
    <n v="1.52"/>
    <s v="#24"/>
    <x v="3"/>
    <n v="3.37"/>
    <n v="-0.33"/>
    <n v="1.85"/>
    <n v="3.4224999999999999"/>
    <x v="7"/>
    <s v="NA10TE"/>
    <n v="39"/>
    <s v="NA10TE-39"/>
  </r>
  <r>
    <x v="9"/>
    <x v="230"/>
    <n v="-3.4"/>
    <n v="1.51"/>
    <s v="#9"/>
    <x v="3"/>
    <n v="3.21"/>
    <n v="-0.19"/>
    <n v="1.7"/>
    <n v="2.89"/>
    <x v="7"/>
    <s v="NA15TE"/>
    <n v="48"/>
    <s v="NA15TE-48"/>
  </r>
  <r>
    <x v="16"/>
    <x v="345"/>
    <n v="-3.0799999999999996"/>
    <n v="1.51"/>
    <s v="#30"/>
    <x v="1"/>
    <n v="3.05"/>
    <n v="-0.03"/>
    <n v="1.54"/>
    <n v="2.3715999999999999"/>
    <x v="7"/>
    <s v="NA3RB"/>
    <n v="35"/>
    <s v="NA3RB-35"/>
  </r>
  <r>
    <x v="12"/>
    <x v="346"/>
    <s v="0.04-2.98"/>
    <n v="1.51"/>
    <s v="#24"/>
    <x v="2"/>
    <n v="2.98"/>
    <n v="0.04"/>
    <n v="1.47"/>
    <n v="2.1608999999999998"/>
    <x v="7"/>
    <s v="NA5WR"/>
    <n v="63"/>
    <s v="NA5WR-63"/>
  </r>
  <r>
    <x v="10"/>
    <x v="317"/>
    <n v="-3.52"/>
    <n v="1.51"/>
    <s v="#32"/>
    <x v="2"/>
    <n v="3.27"/>
    <n v="-0.25"/>
    <n v="1.76"/>
    <n v="3.0975999999999999"/>
    <x v="7"/>
    <s v="NA2WR"/>
    <n v="56"/>
    <s v="NA2WR-56"/>
  </r>
  <r>
    <x v="2"/>
    <x v="347"/>
    <s v="0.13-2.89"/>
    <n v="1.51"/>
    <s v="#25"/>
    <x v="1"/>
    <n v="2.89"/>
    <n v="0.13"/>
    <n v="1.38"/>
    <n v="1.9044000000000001"/>
    <x v="7"/>
    <s v="NA9RB"/>
    <n v="25"/>
    <s v="NA9RB-25"/>
  </r>
  <r>
    <x v="11"/>
    <x v="337"/>
    <n v="-3.86"/>
    <n v="1.51"/>
    <s v="#29"/>
    <x v="3"/>
    <n v="3.44"/>
    <n v="-0.42"/>
    <n v="1.93"/>
    <n v="3.7248999999999999"/>
    <x v="7"/>
    <s v="NA14TE"/>
    <n v="50"/>
    <s v="NA14TE-50"/>
  </r>
  <r>
    <x v="11"/>
    <x v="129"/>
    <s v="0.35-2.67"/>
    <n v="1.51"/>
    <s v="#26"/>
    <x v="1"/>
    <n v="2.67"/>
    <n v="0.35"/>
    <n v="1.1599999999999999"/>
    <n v="1.3455999999999999"/>
    <x v="7"/>
    <s v="NA14RB"/>
    <n v="35"/>
    <s v="NA14RB-35"/>
  </r>
  <r>
    <x v="9"/>
    <x v="314"/>
    <s v="0.17-2.85"/>
    <n v="1.51"/>
    <s v="#11"/>
    <x v="2"/>
    <n v="2.85"/>
    <n v="0.17"/>
    <n v="1.34"/>
    <n v="1.7956000000000001"/>
    <x v="7"/>
    <s v="NA15WR"/>
    <n v="63"/>
    <s v="NA15WR-63"/>
  </r>
  <r>
    <x v="6"/>
    <x v="347"/>
    <s v="0.12-2.88"/>
    <n v="1.5"/>
    <s v="#31"/>
    <x v="1"/>
    <n v="2.88"/>
    <n v="0.12"/>
    <n v="1.38"/>
    <n v="1.9044000000000001"/>
    <x v="7"/>
    <s v="NA12RB"/>
    <n v="33"/>
    <s v="NA12RB-33"/>
  </r>
  <r>
    <x v="9"/>
    <x v="183"/>
    <n v="-3.34"/>
    <n v="1.5"/>
    <s v="#28"/>
    <x v="1"/>
    <n v="3.17"/>
    <n v="-0.17"/>
    <n v="1.67"/>
    <n v="2.7888999999999999"/>
    <x v="7"/>
    <s v="NA15RB"/>
    <n v="33"/>
    <s v="NA15RB-33"/>
  </r>
  <r>
    <x v="14"/>
    <x v="326"/>
    <n v="-3.42"/>
    <n v="1.5"/>
    <s v="#15"/>
    <x v="3"/>
    <n v="3.21"/>
    <n v="-0.21"/>
    <n v="1.71"/>
    <n v="2.9241000000000001"/>
    <x v="7"/>
    <s v="NA4TE"/>
    <n v="44"/>
    <s v="NA4TE-44"/>
  </r>
  <r>
    <x v="2"/>
    <x v="326"/>
    <n v="-3.3"/>
    <n v="1.5"/>
    <s v="#15"/>
    <x v="3"/>
    <n v="3.15"/>
    <n v="-0.15"/>
    <n v="1.65"/>
    <n v="2.7225000000000001"/>
    <x v="7"/>
    <s v="NA9TE"/>
    <n v="40"/>
    <s v="NA9TE-40"/>
  </r>
  <r>
    <x v="15"/>
    <x v="314"/>
    <n v="-3.46"/>
    <n v="1.5"/>
    <s v="#5"/>
    <x v="2"/>
    <n v="3.23"/>
    <n v="-0.23"/>
    <n v="1.73"/>
    <n v="2.9929000000000001"/>
    <x v="7"/>
    <s v="NA10WR"/>
    <n v="59"/>
    <s v="NA10WR-59"/>
  </r>
  <r>
    <x v="3"/>
    <x v="297"/>
    <s v="0.09-2.91"/>
    <n v="1.5"/>
    <s v="#31"/>
    <x v="1"/>
    <n v="2.91"/>
    <n v="0.09"/>
    <n v="1.41"/>
    <n v="1.9881"/>
    <x v="7"/>
    <s v="NA11RB"/>
    <n v="29"/>
    <s v="NA11RB-29"/>
  </r>
  <r>
    <x v="13"/>
    <x v="273"/>
    <s v="0.01-2.97"/>
    <n v="1.49"/>
    <s v="#1"/>
    <x v="2"/>
    <n v="2.97"/>
    <n v="0.01"/>
    <n v="1.48"/>
    <n v="2.1903999999999999"/>
    <x v="7"/>
    <s v="NA8WR"/>
    <n v="55"/>
    <s v="NA8WR-55"/>
  </r>
  <r>
    <x v="14"/>
    <x v="324"/>
    <n v="-3.02"/>
    <n v="1.49"/>
    <s v="#24"/>
    <x v="3"/>
    <n v="3"/>
    <n v="-0.02"/>
    <n v="1.51"/>
    <n v="2.2801"/>
    <x v="7"/>
    <s v="NA4TE"/>
    <n v="45"/>
    <s v="NA4TE-45"/>
  </r>
  <r>
    <x v="1"/>
    <x v="315"/>
    <n v="-3.54"/>
    <n v="1.49"/>
    <s v="#7"/>
    <x v="3"/>
    <n v="3.26"/>
    <n v="-0.28000000000000003"/>
    <n v="1.77"/>
    <n v="3.1328999999999998"/>
    <x v="7"/>
    <s v="NA16TE"/>
    <n v="47"/>
    <s v="NA16TE-47"/>
  </r>
  <r>
    <x v="8"/>
    <x v="323"/>
    <s v="0.07-2.91"/>
    <n v="1.49"/>
    <s v="#5"/>
    <x v="1"/>
    <n v="2.91"/>
    <n v="7.0000000000000007E-2"/>
    <n v="1.42"/>
    <n v="2.0164"/>
    <x v="7"/>
    <s v="NA6RB"/>
    <n v="30"/>
    <s v="NA6RB-30"/>
  </r>
  <r>
    <x v="8"/>
    <x v="337"/>
    <n v="-3.6999999999999997"/>
    <n v="1.49"/>
    <s v="#18"/>
    <x v="3"/>
    <n v="3.34"/>
    <n v="-0.36"/>
    <n v="1.85"/>
    <n v="3.4224999999999999"/>
    <x v="7"/>
    <s v="NA6TE"/>
    <n v="43"/>
    <s v="NA6TE-43"/>
  </r>
  <r>
    <x v="6"/>
    <x v="173"/>
    <n v="-3.2600000000000002"/>
    <n v="1.49"/>
    <s v="#29"/>
    <x v="1"/>
    <n v="3.12"/>
    <n v="-0.14000000000000001"/>
    <n v="1.63"/>
    <n v="2.6568999999999998"/>
    <x v="7"/>
    <s v="NA12RB"/>
    <n v="34"/>
    <s v="NA12RB-34"/>
  </r>
  <r>
    <x v="11"/>
    <x v="309"/>
    <s v="0.26-2.70"/>
    <n v="1.48"/>
    <s v="#13"/>
    <x v="1"/>
    <n v="2.7"/>
    <n v="0.26"/>
    <n v="1.22"/>
    <n v="1.4883999999999999"/>
    <x v="7"/>
    <s v="NA14RB"/>
    <n v="36"/>
    <s v="NA14RB-36"/>
  </r>
  <r>
    <x v="15"/>
    <x v="230"/>
    <n v="-3.02"/>
    <n v="1.48"/>
    <s v="#6"/>
    <x v="3"/>
    <n v="2.99"/>
    <n v="-0.03"/>
    <n v="1.51"/>
    <n v="2.2801"/>
    <x v="7"/>
    <s v="NA10TE"/>
    <n v="40"/>
    <s v="NA10TE-40"/>
  </r>
  <r>
    <x v="11"/>
    <x v="319"/>
    <n v="-4.68"/>
    <n v="1.48"/>
    <s v="#24"/>
    <x v="2"/>
    <n v="3.82"/>
    <n v="-0.86"/>
    <n v="2.34"/>
    <n v="5.4756"/>
    <x v="7"/>
    <s v="NA14WR"/>
    <n v="64"/>
    <s v="NA14WR-64"/>
  </r>
  <r>
    <x v="7"/>
    <x v="276"/>
    <s v="0.21-2.75"/>
    <n v="1.48"/>
    <s v="#15"/>
    <x v="3"/>
    <n v="2.75"/>
    <n v="0.21"/>
    <n v="1.27"/>
    <n v="1.6129"/>
    <x v="7"/>
    <s v="NA1TE"/>
    <n v="34"/>
    <s v="NA1TE-34"/>
  </r>
  <r>
    <x v="0"/>
    <x v="312"/>
    <n v="-3.5"/>
    <n v="1.48"/>
    <s v="#18"/>
    <x v="3"/>
    <n v="3.23"/>
    <n v="-0.27"/>
    <n v="1.75"/>
    <n v="3.0625"/>
    <x v="7"/>
    <s v="NA17TE"/>
    <n v="50"/>
    <s v="NA17TE-50"/>
  </r>
  <r>
    <x v="15"/>
    <x v="323"/>
    <s v="0.05-2.91"/>
    <n v="1.48"/>
    <s v="#21"/>
    <x v="1"/>
    <n v="2.91"/>
    <n v="0.05"/>
    <n v="1.43"/>
    <n v="2.0449000000000002"/>
    <x v="7"/>
    <s v="NA10RB"/>
    <n v="31"/>
    <s v="NA10RB-31"/>
  </r>
  <r>
    <x v="1"/>
    <x v="323"/>
    <s v="0.17-2.79"/>
    <n v="1.48"/>
    <s v="#3"/>
    <x v="1"/>
    <n v="2.79"/>
    <n v="0.17"/>
    <n v="1.31"/>
    <n v="1.7161"/>
    <x v="7"/>
    <s v="NA16RB"/>
    <n v="35"/>
    <s v="NA16RB-35"/>
  </r>
  <r>
    <x v="15"/>
    <x v="309"/>
    <s v="0.34-2.60"/>
    <n v="1.47"/>
    <s v="#5"/>
    <x v="1"/>
    <n v="2.6"/>
    <n v="0.34"/>
    <n v="1.1299999999999999"/>
    <n v="1.2768999999999999"/>
    <x v="7"/>
    <s v="NA10RB"/>
    <n v="32"/>
    <s v="NA10RB-32"/>
  </r>
  <r>
    <x v="13"/>
    <x v="302"/>
    <n v="-3.06"/>
    <n v="1.47"/>
    <s v="#4"/>
    <x v="3"/>
    <n v="3"/>
    <n v="-0.06"/>
    <n v="1.53"/>
    <n v="2.3409"/>
    <x v="7"/>
    <s v="NA8TE"/>
    <n v="39"/>
    <s v="NA8TE-39"/>
  </r>
  <r>
    <x v="7"/>
    <x v="193"/>
    <n v="-4.5199999999999996"/>
    <n v="1.47"/>
    <s v="#8"/>
    <x v="3"/>
    <n v="3.73"/>
    <n v="-0.79"/>
    <n v="2.2599999999999998"/>
    <n v="5.1075999999999997"/>
    <x v="7"/>
    <s v="NA1TE"/>
    <n v="35"/>
    <s v="NA1TE-35"/>
  </r>
  <r>
    <x v="6"/>
    <x v="337"/>
    <s v="0.00-2.94"/>
    <n v="1.47"/>
    <s v="#26"/>
    <x v="3"/>
    <n v="2.94"/>
    <n v="0"/>
    <n v="1.47"/>
    <n v="2.1608999999999998"/>
    <x v="7"/>
    <s v="NA12TE"/>
    <n v="48"/>
    <s v="NA12TE-48"/>
  </r>
  <r>
    <x v="13"/>
    <x v="183"/>
    <n v="-3.4"/>
    <n v="1.47"/>
    <s v="#17"/>
    <x v="1"/>
    <n v="3.17"/>
    <n v="-0.23"/>
    <n v="1.7"/>
    <n v="2.89"/>
    <x v="7"/>
    <s v="NA8RB"/>
    <n v="33"/>
    <s v="NA8RB-33"/>
  </r>
  <r>
    <x v="11"/>
    <x v="183"/>
    <s v="0.02-2.92"/>
    <n v="1.47"/>
    <s v="#4"/>
    <x v="1"/>
    <n v="2.92"/>
    <n v="0.02"/>
    <n v="1.45"/>
    <n v="2.1025"/>
    <x v="7"/>
    <s v="NA14RB"/>
    <n v="37"/>
    <s v="NA14RB-37"/>
  </r>
  <r>
    <x v="3"/>
    <x v="234"/>
    <n v="-3.22"/>
    <n v="1.47"/>
    <s v="#12"/>
    <x v="3"/>
    <n v="3.08"/>
    <n v="-0.14000000000000001"/>
    <n v="1.61"/>
    <n v="2.5920999999999998"/>
    <x v="7"/>
    <s v="NA11TE"/>
    <n v="38"/>
    <s v="NA11TE-38"/>
  </r>
  <r>
    <x v="8"/>
    <x v="300"/>
    <n v="-3.1399999999999997"/>
    <n v="1.46"/>
    <s v="#5"/>
    <x v="3"/>
    <n v="3.03"/>
    <n v="-0.11"/>
    <n v="1.57"/>
    <n v="2.4649000000000001"/>
    <x v="7"/>
    <s v="NA6TE"/>
    <n v="44"/>
    <s v="NA6TE-44"/>
  </r>
  <r>
    <x v="0"/>
    <x v="348"/>
    <n v="-3.3"/>
    <n v="1.46"/>
    <s v="#9"/>
    <x v="1"/>
    <n v="3.11"/>
    <n v="-0.19"/>
    <n v="1.65"/>
    <n v="2.7225000000000001"/>
    <x v="7"/>
    <s v="NA17RB"/>
    <n v="35"/>
    <s v="NA17RB-35"/>
  </r>
  <r>
    <x v="9"/>
    <x v="224"/>
    <n v="-2.94"/>
    <n v="1.46"/>
    <s v="#22"/>
    <x v="3"/>
    <n v="2.93"/>
    <n v="-0.01"/>
    <n v="1.47"/>
    <n v="2.1608999999999998"/>
    <x v="7"/>
    <s v="NA15TE"/>
    <n v="49"/>
    <s v="NA15TE-49"/>
  </r>
  <r>
    <x v="10"/>
    <x v="268"/>
    <n v="-3.4800000000000004"/>
    <n v="1.46"/>
    <s v="#13"/>
    <x v="1"/>
    <n v="3.2"/>
    <n v="-0.28000000000000003"/>
    <n v="1.74"/>
    <n v="3.0276000000000001"/>
    <x v="7"/>
    <s v="NA2RB"/>
    <n v="27"/>
    <s v="NA2RB-27"/>
  </r>
  <r>
    <x v="13"/>
    <x v="305"/>
    <n v="-2.98"/>
    <n v="1.46"/>
    <s v="#12"/>
    <x v="2"/>
    <n v="2.95"/>
    <n v="-0.03"/>
    <n v="1.49"/>
    <n v="2.2201"/>
    <x v="7"/>
    <s v="NA8WR"/>
    <n v="56"/>
    <s v="NA8WR-56"/>
  </r>
  <r>
    <x v="1"/>
    <x v="330"/>
    <n v="-3.2399999999999998"/>
    <n v="1.45"/>
    <s v="#28"/>
    <x v="3"/>
    <n v="3.07"/>
    <n v="-0.17"/>
    <n v="1.62"/>
    <n v="2.6244000000000001"/>
    <x v="7"/>
    <s v="NA16TE"/>
    <n v="48"/>
    <s v="NA16TE-48"/>
  </r>
  <r>
    <x v="0"/>
    <x v="326"/>
    <n v="-3.08"/>
    <n v="1.45"/>
    <s v="#2"/>
    <x v="3"/>
    <n v="2.99"/>
    <n v="-0.09"/>
    <n v="1.54"/>
    <n v="2.3715999999999999"/>
    <x v="7"/>
    <s v="NA17TE"/>
    <n v="51"/>
    <s v="NA17TE-51"/>
  </r>
  <r>
    <x v="10"/>
    <x v="342"/>
    <n v="-3.5"/>
    <n v="1.44"/>
    <s v="#17"/>
    <x v="2"/>
    <n v="3.19"/>
    <n v="-0.31"/>
    <n v="1.75"/>
    <n v="3.0625"/>
    <x v="7"/>
    <s v="NA2WR"/>
    <n v="57"/>
    <s v="NA2WR-57"/>
  </r>
  <r>
    <x v="1"/>
    <x v="348"/>
    <n v="-3.26"/>
    <n v="1.44"/>
    <s v="#12"/>
    <x v="1"/>
    <n v="3.07"/>
    <n v="-0.19"/>
    <n v="1.63"/>
    <n v="2.6568999999999998"/>
    <x v="7"/>
    <s v="NA16RB"/>
    <n v="36"/>
    <s v="NA16RB-36"/>
  </r>
  <r>
    <x v="3"/>
    <x v="337"/>
    <s v="0.01-2.87"/>
    <n v="1.44"/>
    <s v="#8"/>
    <x v="3"/>
    <n v="2.87"/>
    <n v="0.01"/>
    <n v="1.43"/>
    <n v="2.0449000000000002"/>
    <x v="7"/>
    <s v="NA11TE"/>
    <n v="39"/>
    <s v="NA11TE-39"/>
  </r>
  <r>
    <x v="5"/>
    <x v="173"/>
    <n v="-3.3"/>
    <n v="1.44"/>
    <s v="#23"/>
    <x v="1"/>
    <n v="3.09"/>
    <n v="-0.21"/>
    <n v="1.65"/>
    <n v="2.7225000000000001"/>
    <x v="7"/>
    <s v="NA13RB"/>
    <n v="36"/>
    <s v="NA13RB-36"/>
  </r>
  <r>
    <x v="13"/>
    <x v="320"/>
    <n v="-2.92"/>
    <n v="1.44"/>
    <s v="#5"/>
    <x v="3"/>
    <n v="2.9"/>
    <n v="-0.02"/>
    <n v="1.46"/>
    <n v="2.1316000000000002"/>
    <x v="7"/>
    <s v="NA8TE"/>
    <n v="40"/>
    <s v="NA8TE-40"/>
  </r>
  <r>
    <x v="4"/>
    <x v="310"/>
    <s v="0.06-2.82"/>
    <n v="1.44"/>
    <s v="#2"/>
    <x v="1"/>
    <n v="2.82"/>
    <n v="0.06"/>
    <n v="1.38"/>
    <n v="1.9044000000000001"/>
    <x v="7"/>
    <s v="NA7RB"/>
    <n v="29"/>
    <s v="NA7RB-29"/>
  </r>
  <r>
    <x v="9"/>
    <x v="309"/>
    <s v="0.17-2.69"/>
    <n v="1.43"/>
    <s v="#11"/>
    <x v="1"/>
    <n v="2.69"/>
    <n v="0.17"/>
    <n v="1.26"/>
    <n v="1.5875999999999999"/>
    <x v="7"/>
    <s v="NA15RB"/>
    <n v="34"/>
    <s v="NA15RB-34"/>
  </r>
  <r>
    <x v="15"/>
    <x v="315"/>
    <n v="-2.94"/>
    <n v="1.43"/>
    <s v="#2"/>
    <x v="3"/>
    <n v="2.9"/>
    <n v="-0.04"/>
    <n v="1.47"/>
    <n v="2.1608999999999998"/>
    <x v="7"/>
    <s v="NA10TE"/>
    <n v="41"/>
    <s v="NA10TE-41"/>
  </r>
  <r>
    <x v="4"/>
    <x v="338"/>
    <n v="-3.96"/>
    <n v="1.43"/>
    <s v="#18"/>
    <x v="2"/>
    <n v="3.41"/>
    <n v="-0.55000000000000004"/>
    <n v="1.98"/>
    <n v="3.9203999999999999"/>
    <x v="7"/>
    <s v="NA7WR"/>
    <n v="57"/>
    <s v="NA7WR-57"/>
  </r>
  <r>
    <x v="1"/>
    <x v="337"/>
    <s v="0.01-2.85"/>
    <n v="1.43"/>
    <s v="#4"/>
    <x v="3"/>
    <n v="2.85"/>
    <n v="0.01"/>
    <n v="1.42"/>
    <n v="2.0164"/>
    <x v="7"/>
    <s v="NA16TE"/>
    <n v="49"/>
    <s v="NA16TE-49"/>
  </r>
  <r>
    <x v="11"/>
    <x v="305"/>
    <n v="-2.98"/>
    <n v="1.43"/>
    <s v="#12"/>
    <x v="2"/>
    <n v="2.92"/>
    <n v="-0.06"/>
    <n v="1.49"/>
    <n v="2.2201"/>
    <x v="7"/>
    <s v="NA14WR"/>
    <n v="65"/>
    <s v="NA14WR-65"/>
  </r>
  <r>
    <x v="5"/>
    <x v="310"/>
    <s v="0.07-2.79"/>
    <n v="1.43"/>
    <s v="#7"/>
    <x v="1"/>
    <n v="2.79"/>
    <n v="7.0000000000000007E-2"/>
    <n v="1.36"/>
    <n v="1.8495999999999999"/>
    <x v="7"/>
    <s v="NA13RB"/>
    <n v="37"/>
    <s v="NA13RB-37"/>
  </r>
  <r>
    <x v="14"/>
    <x v="349"/>
    <n v="-3.1599999999999997"/>
    <n v="1.43"/>
    <s v="#1"/>
    <x v="1"/>
    <n v="3.01"/>
    <n v="-0.15"/>
    <n v="1.58"/>
    <n v="2.4964"/>
    <x v="7"/>
    <s v="NA4RB"/>
    <n v="27"/>
    <s v="NA4RB-27"/>
  </r>
  <r>
    <x v="6"/>
    <x v="237"/>
    <s v="0.33-2.51"/>
    <n v="1.42"/>
    <s v="#29"/>
    <x v="2"/>
    <n v="2.5099999999999998"/>
    <n v="0.33"/>
    <n v="1.0900000000000001"/>
    <n v="1.1880999999999999"/>
    <x v="7"/>
    <s v="NA12WR"/>
    <n v="62"/>
    <s v="NA12WR-62"/>
  </r>
  <r>
    <x v="8"/>
    <x v="321"/>
    <s v="0.06-2.78"/>
    <n v="1.42"/>
    <s v="#12"/>
    <x v="1"/>
    <n v="2.78"/>
    <n v="0.06"/>
    <n v="1.36"/>
    <n v="1.8495999999999999"/>
    <x v="7"/>
    <s v="NA6RB"/>
    <n v="31"/>
    <s v="NA6RB-31"/>
  </r>
  <r>
    <x v="3"/>
    <x v="302"/>
    <n v="-3.2"/>
    <n v="1.42"/>
    <s v="#26"/>
    <x v="3"/>
    <n v="3.02"/>
    <n v="-0.18"/>
    <n v="1.6"/>
    <n v="2.56"/>
    <x v="7"/>
    <s v="NA11TE"/>
    <n v="40"/>
    <s v="NA11TE-40"/>
  </r>
  <r>
    <x v="16"/>
    <x v="327"/>
    <s v="0.04-2.80"/>
    <n v="1.42"/>
    <s v="#17"/>
    <x v="3"/>
    <n v="2.8"/>
    <n v="0.04"/>
    <n v="1.38"/>
    <n v="1.9044000000000001"/>
    <x v="7"/>
    <s v="NA3TE"/>
    <n v="45"/>
    <s v="NA3TE-45"/>
  </r>
  <r>
    <x v="10"/>
    <x v="326"/>
    <n v="-3.98"/>
    <n v="1.42"/>
    <s v="#19"/>
    <x v="3"/>
    <n v="3.41"/>
    <n v="-0.56999999999999995"/>
    <n v="1.99"/>
    <n v="3.9601000000000002"/>
    <x v="7"/>
    <s v="NA2TE"/>
    <n v="37"/>
    <s v="NA2TE-37"/>
  </r>
  <r>
    <x v="12"/>
    <x v="261"/>
    <n v="-4.2799999999999994"/>
    <n v="1.41"/>
    <s v="#7"/>
    <x v="2"/>
    <n v="3.55"/>
    <n v="-0.73"/>
    <n v="2.14"/>
    <n v="4.5796000000000001"/>
    <x v="7"/>
    <s v="NA5WR"/>
    <n v="64"/>
    <s v="NA5WR-64"/>
  </r>
  <r>
    <x v="4"/>
    <x v="312"/>
    <n v="-3.5"/>
    <n v="1.41"/>
    <s v="#18"/>
    <x v="3"/>
    <n v="3.16"/>
    <n v="-0.34"/>
    <n v="1.75"/>
    <n v="3.0625"/>
    <x v="7"/>
    <s v="NA7TE"/>
    <n v="46"/>
    <s v="NA7TE-46"/>
  </r>
  <r>
    <x v="8"/>
    <x v="322"/>
    <n v="-3.72"/>
    <n v="1.41"/>
    <s v="#16"/>
    <x v="2"/>
    <n v="3.27"/>
    <n v="-0.45"/>
    <n v="1.86"/>
    <n v="3.4596"/>
    <x v="7"/>
    <s v="NA6WR"/>
    <n v="61"/>
    <s v="NA6WR-61"/>
  </r>
  <r>
    <x v="15"/>
    <x v="224"/>
    <n v="-2.98"/>
    <n v="1.41"/>
    <s v="#17"/>
    <x v="3"/>
    <n v="2.9"/>
    <n v="-0.08"/>
    <n v="1.49"/>
    <n v="2.2201"/>
    <x v="7"/>
    <s v="NA10TE"/>
    <n v="42"/>
    <s v="NA10TE-42"/>
  </r>
  <r>
    <x v="2"/>
    <x v="338"/>
    <n v="-3.96"/>
    <n v="1.41"/>
    <s v="#30"/>
    <x v="2"/>
    <n v="3.39"/>
    <n v="-0.56999999999999995"/>
    <n v="1.98"/>
    <n v="3.9203999999999999"/>
    <x v="7"/>
    <s v="NA9WR"/>
    <n v="57"/>
    <s v="NA9WR-57"/>
  </r>
  <r>
    <x v="6"/>
    <x v="323"/>
    <n v="-2.82"/>
    <n v="1.4"/>
    <s v="#9"/>
    <x v="1"/>
    <n v="2.81"/>
    <n v="-0.01"/>
    <n v="1.41"/>
    <n v="1.9881"/>
    <x v="7"/>
    <s v="NA12RB"/>
    <n v="35"/>
    <s v="NA12RB-35"/>
  </r>
  <r>
    <x v="4"/>
    <x v="183"/>
    <n v="-3.52"/>
    <n v="1.4"/>
    <s v="#9"/>
    <x v="1"/>
    <n v="3.16"/>
    <n v="-0.36"/>
    <n v="1.76"/>
    <n v="3.0975999999999999"/>
    <x v="7"/>
    <s v="NA7RB"/>
    <n v="30"/>
    <s v="NA7RB-30"/>
  </r>
  <r>
    <x v="12"/>
    <x v="326"/>
    <n v="-3.08"/>
    <n v="1.4"/>
    <s v="#2"/>
    <x v="3"/>
    <n v="2.94"/>
    <n v="-0.14000000000000001"/>
    <n v="1.54"/>
    <n v="2.3715999999999999"/>
    <x v="7"/>
    <s v="NA5TE"/>
    <n v="45"/>
    <s v="NA5TE-45"/>
  </r>
  <r>
    <x v="11"/>
    <x v="349"/>
    <n v="-3.24"/>
    <n v="1.4"/>
    <s v="#25"/>
    <x v="1"/>
    <n v="3.02"/>
    <n v="-0.22"/>
    <n v="1.62"/>
    <n v="2.6244000000000001"/>
    <x v="7"/>
    <s v="NA14RB"/>
    <n v="38"/>
    <s v="NA14RB-38"/>
  </r>
  <r>
    <x v="5"/>
    <x v="230"/>
    <n v="-3.12"/>
    <n v="1.39"/>
    <s v="#30"/>
    <x v="3"/>
    <n v="2.95"/>
    <n v="-0.17"/>
    <n v="1.56"/>
    <n v="2.4336000000000002"/>
    <x v="7"/>
    <s v="NA13TE"/>
    <n v="47"/>
    <s v="NA13TE-47"/>
  </r>
  <r>
    <x v="14"/>
    <x v="339"/>
    <n v="-2.86"/>
    <n v="1.39"/>
    <s v="#9"/>
    <x v="1"/>
    <n v="2.82"/>
    <n v="-0.04"/>
    <n v="1.43"/>
    <n v="2.0449000000000002"/>
    <x v="7"/>
    <s v="NA4RB"/>
    <n v="28"/>
    <s v="NA4RB-28"/>
  </r>
  <r>
    <x v="10"/>
    <x v="350"/>
    <s v="0.50-2.28"/>
    <n v="1.39"/>
    <s v="#26"/>
    <x v="0"/>
    <n v="2.2799999999999998"/>
    <n v="0.5"/>
    <n v="0.89"/>
    <n v="0.79210000000000003"/>
    <x v="7"/>
    <s v="NA2QB"/>
    <n v="19"/>
    <s v="NA2QB-19"/>
  </r>
  <r>
    <x v="12"/>
    <x v="335"/>
    <n v="-3.2399999999999998"/>
    <n v="1.39"/>
    <s v="#7"/>
    <x v="3"/>
    <n v="3.01"/>
    <n v="-0.23"/>
    <n v="1.62"/>
    <n v="2.6244000000000001"/>
    <x v="7"/>
    <s v="NA5TE"/>
    <n v="46"/>
    <s v="NA5TE-46"/>
  </r>
  <r>
    <x v="16"/>
    <x v="298"/>
    <n v="-2.84"/>
    <n v="1.39"/>
    <s v="#29"/>
    <x v="3"/>
    <n v="2.81"/>
    <n v="-0.03"/>
    <n v="1.42"/>
    <n v="2.0164"/>
    <x v="7"/>
    <s v="NA3TE"/>
    <n v="46"/>
    <s v="NA3TE-46"/>
  </r>
  <r>
    <x v="1"/>
    <x v="183"/>
    <n v="-3.4"/>
    <n v="1.39"/>
    <s v="#17"/>
    <x v="1"/>
    <n v="3.09"/>
    <n v="-0.31"/>
    <n v="1.7"/>
    <n v="2.89"/>
    <x v="7"/>
    <s v="NA16RB"/>
    <n v="37"/>
    <s v="NA16RB-37"/>
  </r>
  <r>
    <x v="1"/>
    <x v="321"/>
    <s v="0.03-2.73"/>
    <n v="1.38"/>
    <s v="#29"/>
    <x v="1"/>
    <n v="2.73"/>
    <n v="0.03"/>
    <n v="1.35"/>
    <n v="1.8225"/>
    <x v="7"/>
    <s v="NA16RB"/>
    <n v="38"/>
    <s v="NA16RB-38"/>
  </r>
  <r>
    <x v="8"/>
    <x v="340"/>
    <n v="-3"/>
    <n v="1.38"/>
    <s v="#8"/>
    <x v="3"/>
    <n v="2.88"/>
    <n v="-0.12"/>
    <n v="1.5"/>
    <n v="2.25"/>
    <x v="7"/>
    <s v="NA6TE"/>
    <n v="45"/>
    <s v="NA6TE-45"/>
  </r>
  <r>
    <x v="1"/>
    <x v="340"/>
    <n v="-3"/>
    <n v="1.38"/>
    <s v="#16"/>
    <x v="3"/>
    <n v="2.88"/>
    <n v="-0.12"/>
    <n v="1.5"/>
    <n v="2.25"/>
    <x v="7"/>
    <s v="NA16TE"/>
    <n v="50"/>
    <s v="NA16TE-50"/>
  </r>
  <r>
    <x v="5"/>
    <x v="315"/>
    <n v="-3.1"/>
    <n v="1.38"/>
    <s v="#1"/>
    <x v="3"/>
    <n v="2.93"/>
    <n v="-0.17"/>
    <n v="1.55"/>
    <n v="2.4024999999999999"/>
    <x v="7"/>
    <s v="NA13TE"/>
    <n v="48"/>
    <s v="NA13TE-48"/>
  </r>
  <r>
    <x v="14"/>
    <x v="288"/>
    <s v="0.04-2.72"/>
    <n v="1.38"/>
    <s v="#3"/>
    <x v="3"/>
    <n v="2.72"/>
    <n v="0.04"/>
    <n v="1.34"/>
    <n v="1.7956000000000001"/>
    <x v="7"/>
    <s v="NA4TE"/>
    <n v="46"/>
    <s v="NA4TE-46"/>
  </r>
  <r>
    <x v="15"/>
    <x v="312"/>
    <n v="-2.86"/>
    <n v="1.38"/>
    <s v="#8"/>
    <x v="3"/>
    <n v="2.81"/>
    <n v="-0.05"/>
    <n v="1.43"/>
    <n v="2.0449000000000002"/>
    <x v="7"/>
    <s v="NA10TE"/>
    <n v="43"/>
    <s v="NA10TE-43"/>
  </r>
  <r>
    <x v="9"/>
    <x v="312"/>
    <s v="0.03-2.73"/>
    <n v="1.38"/>
    <s v="#6"/>
    <x v="3"/>
    <n v="2.73"/>
    <n v="0.03"/>
    <n v="1.35"/>
    <n v="1.8225"/>
    <x v="7"/>
    <s v="NA15TE"/>
    <n v="50"/>
    <s v="NA15TE-50"/>
  </r>
  <r>
    <x v="15"/>
    <x v="183"/>
    <n v="-2.9"/>
    <n v="1.38"/>
    <s v="#4"/>
    <x v="1"/>
    <n v="2.83"/>
    <n v="-7.0000000000000007E-2"/>
    <n v="1.45"/>
    <n v="2.1025"/>
    <x v="7"/>
    <s v="NA10RB"/>
    <n v="33"/>
    <s v="NA10RB-33"/>
  </r>
  <r>
    <x v="13"/>
    <x v="326"/>
    <n v="-3.44"/>
    <n v="1.38"/>
    <s v="#7"/>
    <x v="3"/>
    <n v="3.1"/>
    <n v="-0.34"/>
    <n v="1.72"/>
    <n v="2.9584000000000001"/>
    <x v="7"/>
    <s v="NA8TE"/>
    <n v="41"/>
    <s v="NA8TE-41"/>
  </r>
  <r>
    <x v="10"/>
    <x v="304"/>
    <n v="-3.18"/>
    <n v="1.38"/>
    <s v="#19"/>
    <x v="3"/>
    <n v="2.97"/>
    <n v="-0.21"/>
    <n v="1.59"/>
    <n v="2.5280999999999998"/>
    <x v="7"/>
    <s v="NA2TE"/>
    <n v="38"/>
    <s v="NA2TE-38"/>
  </r>
  <r>
    <x v="13"/>
    <x v="313"/>
    <n v="-3.8200000000000003"/>
    <n v="1.38"/>
    <s v="#6"/>
    <x v="3"/>
    <n v="3.29"/>
    <n v="-0.53"/>
    <n v="1.91"/>
    <n v="3.6480999999999999"/>
    <x v="7"/>
    <s v="NA8TE"/>
    <n v="42"/>
    <s v="NA8TE-42"/>
  </r>
  <r>
    <x v="10"/>
    <x v="229"/>
    <n v="-3.16"/>
    <n v="1.38"/>
    <s v="#23"/>
    <x v="3"/>
    <n v="2.96"/>
    <n v="-0.2"/>
    <n v="1.58"/>
    <n v="2.4964"/>
    <x v="7"/>
    <s v="NA2TE"/>
    <n v="39"/>
    <s v="NA2TE-39"/>
  </r>
  <r>
    <x v="0"/>
    <x v="22"/>
    <s v="0.80-1.96"/>
    <n v="1.38"/>
    <s v="#29"/>
    <x v="0"/>
    <n v="1.96"/>
    <n v="0.8"/>
    <n v="0.57999999999999996"/>
    <n v="0.33639999999999998"/>
    <x v="7"/>
    <s v="NA17QB"/>
    <n v="18"/>
    <s v="NA17QB-18"/>
  </r>
  <r>
    <x v="13"/>
    <x v="237"/>
    <s v="0.07-2.67"/>
    <n v="1.37"/>
    <s v="#26"/>
    <x v="2"/>
    <n v="2.67"/>
    <n v="7.0000000000000007E-2"/>
    <n v="1.3"/>
    <n v="1.69"/>
    <x v="7"/>
    <s v="NA8WR"/>
    <n v="57"/>
    <s v="NA8WR-57"/>
  </r>
  <r>
    <x v="0"/>
    <x v="319"/>
    <n v="-4.42"/>
    <n v="1.37"/>
    <s v="#4"/>
    <x v="2"/>
    <n v="3.58"/>
    <n v="-0.84"/>
    <n v="2.21"/>
    <n v="4.8841000000000001"/>
    <x v="7"/>
    <s v="NA17WR"/>
    <n v="64"/>
    <s v="NA17WR-64"/>
  </r>
  <r>
    <x v="3"/>
    <x v="348"/>
    <n v="-3.3"/>
    <n v="1.37"/>
    <s v="#9"/>
    <x v="1"/>
    <n v="3.02"/>
    <n v="-0.28000000000000003"/>
    <n v="1.65"/>
    <n v="2.7225000000000001"/>
    <x v="7"/>
    <s v="NA11RB"/>
    <n v="30"/>
    <s v="NA11RB-30"/>
  </r>
  <r>
    <x v="16"/>
    <x v="340"/>
    <n v="-3.12"/>
    <n v="1.37"/>
    <s v="#24"/>
    <x v="3"/>
    <n v="2.93"/>
    <n v="-0.19"/>
    <n v="1.56"/>
    <n v="2.4336000000000002"/>
    <x v="7"/>
    <s v="NA3TE"/>
    <n v="47"/>
    <s v="NA3TE-47"/>
  </r>
  <r>
    <x v="15"/>
    <x v="343"/>
    <n v="-3.56"/>
    <n v="1.37"/>
    <s v="#7"/>
    <x v="2"/>
    <n v="3.15"/>
    <n v="-0.41"/>
    <n v="1.78"/>
    <n v="3.1684000000000001"/>
    <x v="7"/>
    <s v="NA10WR"/>
    <n v="60"/>
    <s v="NA10WR-60"/>
  </r>
  <r>
    <x v="4"/>
    <x v="344"/>
    <s v="0.14-2.60"/>
    <n v="1.37"/>
    <s v="#3"/>
    <x v="2"/>
    <n v="2.6"/>
    <n v="0.14000000000000001"/>
    <n v="1.23"/>
    <n v="1.5128999999999999"/>
    <x v="7"/>
    <s v="NA7WR"/>
    <n v="58"/>
    <s v="NA7WR-58"/>
  </r>
  <r>
    <x v="3"/>
    <x v="332"/>
    <n v="-3.02"/>
    <n v="1.37"/>
    <s v="#12"/>
    <x v="2"/>
    <n v="2.88"/>
    <n v="-0.14000000000000001"/>
    <n v="1.51"/>
    <n v="2.2801"/>
    <x v="7"/>
    <s v="NA11WR"/>
    <n v="48"/>
    <s v="NA11WR-48"/>
  </r>
  <r>
    <x v="0"/>
    <x v="237"/>
    <s v="0.13-2.59"/>
    <n v="1.36"/>
    <s v="#7"/>
    <x v="2"/>
    <n v="2.59"/>
    <n v="0.13"/>
    <n v="1.23"/>
    <n v="1.5128999999999999"/>
    <x v="7"/>
    <s v="NA17WR"/>
    <n v="65"/>
    <s v="NA17WR-65"/>
  </r>
  <r>
    <x v="10"/>
    <x v="319"/>
    <n v="-6.46"/>
    <n v="1.36"/>
    <s v="#3"/>
    <x v="2"/>
    <n v="4.59"/>
    <n v="-1.87"/>
    <n v="3.23"/>
    <n v="10.4329"/>
    <x v="7"/>
    <s v="NA2WR"/>
    <n v="58"/>
    <s v="NA2WR-58"/>
  </r>
  <r>
    <x v="6"/>
    <x v="319"/>
    <n v="-4.42"/>
    <n v="1.36"/>
    <s v="#4"/>
    <x v="2"/>
    <n v="3.57"/>
    <n v="-0.85"/>
    <n v="2.21"/>
    <n v="4.8841000000000001"/>
    <x v="7"/>
    <s v="NA12WR"/>
    <n v="63"/>
    <s v="NA12WR-63"/>
  </r>
  <r>
    <x v="7"/>
    <x v="330"/>
    <s v="0.05-2.67"/>
    <n v="1.36"/>
    <s v="#18"/>
    <x v="3"/>
    <n v="2.67"/>
    <n v="0.05"/>
    <n v="1.31"/>
    <n v="1.7161"/>
    <x v="7"/>
    <s v="NA1TE"/>
    <n v="36"/>
    <s v="NA1TE-36"/>
  </r>
  <r>
    <x v="2"/>
    <x v="341"/>
    <s v="0.04-2.68"/>
    <n v="1.36"/>
    <s v="#15"/>
    <x v="1"/>
    <n v="2.68"/>
    <n v="0.04"/>
    <n v="1.32"/>
    <n v="1.7423999999999999"/>
    <x v="7"/>
    <s v="NA9RB"/>
    <n v="26"/>
    <s v="NA9RB-26"/>
  </r>
  <r>
    <x v="0"/>
    <x v="302"/>
    <n v="-3.2"/>
    <n v="1.36"/>
    <s v="#26"/>
    <x v="3"/>
    <n v="2.96"/>
    <n v="-0.24"/>
    <n v="1.6"/>
    <n v="2.56"/>
    <x v="7"/>
    <s v="NA17TE"/>
    <n v="52"/>
    <s v="NA17TE-52"/>
  </r>
  <r>
    <x v="7"/>
    <x v="251"/>
    <s v="0.30-2.42"/>
    <n v="1.36"/>
    <s v="#7"/>
    <x v="3"/>
    <n v="2.42"/>
    <n v="0.3"/>
    <n v="1.06"/>
    <n v="1.1235999999999999"/>
    <x v="7"/>
    <s v="NA1TE"/>
    <n v="37"/>
    <s v="NA1TE-37"/>
  </r>
  <r>
    <x v="1"/>
    <x v="312"/>
    <n v="-2.9"/>
    <n v="1.36"/>
    <s v="#13"/>
    <x v="3"/>
    <n v="2.81"/>
    <n v="-0.09"/>
    <n v="1.45"/>
    <n v="2.1025"/>
    <x v="7"/>
    <s v="NA16TE"/>
    <n v="51"/>
    <s v="NA16TE-51"/>
  </r>
  <r>
    <x v="10"/>
    <x v="329"/>
    <s v="0.14-2.58"/>
    <n v="1.36"/>
    <s v="#12"/>
    <x v="0"/>
    <n v="2.58"/>
    <n v="0.14000000000000001"/>
    <n v="1.22"/>
    <n v="1.4883999999999999"/>
    <x v="7"/>
    <s v="NA2QB"/>
    <n v="20"/>
    <s v="NA2QB-20"/>
  </r>
  <r>
    <x v="9"/>
    <x v="343"/>
    <n v="-3.72"/>
    <n v="1.36"/>
    <s v="#17"/>
    <x v="2"/>
    <n v="3.22"/>
    <n v="-0.5"/>
    <n v="1.86"/>
    <n v="3.4596"/>
    <x v="7"/>
    <s v="NA15WR"/>
    <n v="64"/>
    <s v="NA15WR-64"/>
  </r>
  <r>
    <x v="0"/>
    <x v="243"/>
    <n v="-2.92"/>
    <n v="1.36"/>
    <s v="#2"/>
    <x v="1"/>
    <n v="2.82"/>
    <n v="-0.1"/>
    <n v="1.46"/>
    <n v="2.1316000000000002"/>
    <x v="7"/>
    <s v="NA17RB"/>
    <n v="36"/>
    <s v="NA17RB-36"/>
  </r>
  <r>
    <x v="2"/>
    <x v="183"/>
    <n v="-2.96"/>
    <n v="1.36"/>
    <s v="#5"/>
    <x v="1"/>
    <n v="2.84"/>
    <n v="-0.12"/>
    <n v="1.48"/>
    <n v="2.1903999999999999"/>
    <x v="7"/>
    <s v="NA9RB"/>
    <n v="27"/>
    <s v="NA9RB-27"/>
  </r>
  <r>
    <x v="10"/>
    <x v="254"/>
    <n v="-4.0200000000000005"/>
    <n v="1.36"/>
    <s v="#30"/>
    <x v="2"/>
    <n v="3.37"/>
    <n v="-0.65"/>
    <n v="2.0099999999999998"/>
    <n v="4.0400999999999998"/>
    <x v="7"/>
    <s v="NA2WR"/>
    <n v="59"/>
    <s v="NA2WR-59"/>
  </r>
  <r>
    <x v="3"/>
    <x v="230"/>
    <n v="-3.14"/>
    <n v="1.35"/>
    <s v="#29"/>
    <x v="3"/>
    <n v="2.92"/>
    <n v="-0.22"/>
    <n v="1.57"/>
    <n v="2.4649000000000001"/>
    <x v="7"/>
    <s v="NA11TE"/>
    <n v="41"/>
    <s v="NA11TE-41"/>
  </r>
  <r>
    <x v="12"/>
    <x v="312"/>
    <n v="-2.86"/>
    <n v="1.35"/>
    <s v="#8"/>
    <x v="3"/>
    <n v="2.78"/>
    <n v="-0.08"/>
    <n v="1.43"/>
    <n v="2.0449000000000002"/>
    <x v="7"/>
    <s v="NA5TE"/>
    <n v="47"/>
    <s v="NA5TE-47"/>
  </r>
  <r>
    <x v="12"/>
    <x v="351"/>
    <s v="0.13-2.57"/>
    <n v="1.35"/>
    <s v="#9"/>
    <x v="3"/>
    <n v="2.57"/>
    <n v="0.13"/>
    <n v="1.22"/>
    <n v="1.4883999999999999"/>
    <x v="7"/>
    <s v="NA5TE"/>
    <n v="48"/>
    <s v="NA5TE-48"/>
  </r>
  <r>
    <x v="12"/>
    <x v="323"/>
    <n v="-2.94"/>
    <n v="1.35"/>
    <s v="#19"/>
    <x v="1"/>
    <n v="2.82"/>
    <n v="-0.12"/>
    <n v="1.47"/>
    <n v="2.1608999999999998"/>
    <x v="7"/>
    <s v="NA5RB"/>
    <n v="30"/>
    <s v="NA5RB-30"/>
  </r>
  <r>
    <x v="2"/>
    <x v="337"/>
    <n v="-3.38"/>
    <n v="1.35"/>
    <s v="#17"/>
    <x v="3"/>
    <n v="3.04"/>
    <n v="-0.34"/>
    <n v="1.69"/>
    <n v="2.8561000000000001"/>
    <x v="7"/>
    <s v="NA9TE"/>
    <n v="41"/>
    <s v="NA9TE-41"/>
  </r>
  <r>
    <x v="6"/>
    <x v="183"/>
    <s v="0.02-2.68"/>
    <n v="1.35"/>
    <s v="#3"/>
    <x v="1"/>
    <n v="2.68"/>
    <n v="0.02"/>
    <n v="1.33"/>
    <n v="1.7688999999999999"/>
    <x v="7"/>
    <s v="NA12RB"/>
    <n v="36"/>
    <s v="NA12RB-36"/>
  </r>
  <r>
    <x v="12"/>
    <x v="352"/>
    <n v="-3.16"/>
    <n v="1.34"/>
    <s v="#4"/>
    <x v="1"/>
    <n v="2.92"/>
    <n v="-0.24"/>
    <n v="1.58"/>
    <n v="2.4964"/>
    <x v="7"/>
    <s v="NA5RB"/>
    <n v="31"/>
    <s v="NA5RB-31"/>
  </r>
  <r>
    <x v="11"/>
    <x v="224"/>
    <n v="-2.88"/>
    <n v="1.34"/>
    <s v="#3"/>
    <x v="3"/>
    <n v="2.78"/>
    <n v="-0.1"/>
    <n v="1.44"/>
    <n v="2.0735999999999999"/>
    <x v="7"/>
    <s v="NA14TE"/>
    <n v="51"/>
    <s v="NA14TE-51"/>
  </r>
  <r>
    <x v="2"/>
    <x v="344"/>
    <n v="-3.22"/>
    <n v="1.34"/>
    <s v="#16"/>
    <x v="2"/>
    <n v="2.95"/>
    <n v="-0.27"/>
    <n v="1.61"/>
    <n v="2.5920999999999998"/>
    <x v="7"/>
    <s v="NA9WR"/>
    <n v="58"/>
    <s v="NA9WR-58"/>
  </r>
  <r>
    <x v="7"/>
    <x v="240"/>
    <n v="-2.98"/>
    <n v="1.34"/>
    <s v="#24"/>
    <x v="2"/>
    <n v="2.83"/>
    <n v="-0.15"/>
    <n v="1.49"/>
    <n v="2.2201"/>
    <x v="7"/>
    <s v="NA1WR"/>
    <n v="56"/>
    <s v="NA1WR-56"/>
  </r>
  <r>
    <x v="9"/>
    <x v="237"/>
    <s v="0.10-2.56"/>
    <n v="1.33"/>
    <s v="#7"/>
    <x v="2"/>
    <n v="2.56"/>
    <n v="0.1"/>
    <n v="1.23"/>
    <n v="1.5128999999999999"/>
    <x v="7"/>
    <s v="NA15WR"/>
    <n v="65"/>
    <s v="NA15WR-65"/>
  </r>
  <r>
    <x v="10"/>
    <x v="276"/>
    <s v="0.35-2.31"/>
    <n v="1.33"/>
    <s v="#30"/>
    <x v="3"/>
    <n v="2.31"/>
    <n v="0.35"/>
    <n v="0.98"/>
    <n v="0.96040000000000003"/>
    <x v="7"/>
    <s v="NA2TE"/>
    <n v="40"/>
    <s v="NA2TE-40"/>
  </r>
  <r>
    <x v="13"/>
    <x v="330"/>
    <n v="-2.84"/>
    <n v="1.33"/>
    <s v="#30"/>
    <x v="3"/>
    <n v="2.75"/>
    <n v="-0.09"/>
    <n v="1.42"/>
    <n v="2.0164"/>
    <x v="7"/>
    <s v="NA8TE"/>
    <n v="43"/>
    <s v="NA8TE-43"/>
  </r>
  <r>
    <x v="6"/>
    <x v="330"/>
    <n v="-2.84"/>
    <n v="1.33"/>
    <s v="#21"/>
    <x v="3"/>
    <n v="2.75"/>
    <n v="-0.09"/>
    <n v="1.42"/>
    <n v="2.0164"/>
    <x v="7"/>
    <s v="NA12TE"/>
    <n v="49"/>
    <s v="NA12TE-49"/>
  </r>
  <r>
    <x v="11"/>
    <x v="340"/>
    <n v="-3.08"/>
    <n v="1.33"/>
    <s v="#15"/>
    <x v="3"/>
    <n v="2.87"/>
    <n v="-0.21"/>
    <n v="1.54"/>
    <n v="2.3715999999999999"/>
    <x v="7"/>
    <s v="NA14TE"/>
    <n v="52"/>
    <s v="NA14TE-52"/>
  </r>
  <r>
    <x v="0"/>
    <x v="343"/>
    <n v="-3.4"/>
    <n v="1.33"/>
    <s v="#19"/>
    <x v="2"/>
    <n v="3.03"/>
    <n v="-0.37"/>
    <n v="1.7"/>
    <n v="2.89"/>
    <x v="7"/>
    <s v="NA17WR"/>
    <n v="66"/>
    <s v="NA17WR-66"/>
  </r>
  <r>
    <x v="9"/>
    <x v="330"/>
    <n v="-2.82"/>
    <n v="1.32"/>
    <s v="#24"/>
    <x v="3"/>
    <n v="2.73"/>
    <n v="-0.09"/>
    <n v="1.41"/>
    <n v="1.9881"/>
    <x v="7"/>
    <s v="NA15TE"/>
    <n v="51"/>
    <s v="NA15TE-51"/>
  </r>
  <r>
    <x v="12"/>
    <x v="353"/>
    <n v="-3.52"/>
    <n v="1.32"/>
    <s v="#25"/>
    <x v="2"/>
    <n v="3.08"/>
    <n v="-0.44"/>
    <n v="1.76"/>
    <n v="3.0975999999999999"/>
    <x v="7"/>
    <s v="NA5WR"/>
    <n v="65"/>
    <s v="NA5WR-65"/>
  </r>
  <r>
    <x v="12"/>
    <x v="183"/>
    <n v="-3.3400000000000003"/>
    <n v="1.32"/>
    <s v="#14"/>
    <x v="1"/>
    <n v="2.99"/>
    <n v="-0.35"/>
    <n v="1.67"/>
    <n v="2.7888999999999999"/>
    <x v="7"/>
    <s v="NA5RB"/>
    <n v="32"/>
    <s v="NA5RB-32"/>
  </r>
  <r>
    <x v="1"/>
    <x v="313"/>
    <n v="-2.94"/>
    <n v="1.32"/>
    <s v="#24"/>
    <x v="3"/>
    <n v="2.79"/>
    <n v="-0.15"/>
    <n v="1.47"/>
    <n v="2.1608999999999998"/>
    <x v="7"/>
    <s v="NA16TE"/>
    <n v="52"/>
    <s v="NA16TE-52"/>
  </r>
  <r>
    <x v="2"/>
    <x v="348"/>
    <n v="-3.3"/>
    <n v="1.31"/>
    <s v="#23"/>
    <x v="1"/>
    <n v="2.96"/>
    <n v="-0.34"/>
    <n v="1.65"/>
    <n v="2.7225000000000001"/>
    <x v="7"/>
    <s v="NA9RB"/>
    <n v="28"/>
    <s v="NA9RB-28"/>
  </r>
  <r>
    <x v="14"/>
    <x v="334"/>
    <n v="-2.7"/>
    <n v="1.31"/>
    <s v="#13"/>
    <x v="2"/>
    <n v="2.66"/>
    <n v="-0.04"/>
    <n v="1.35"/>
    <n v="1.8225"/>
    <x v="7"/>
    <s v="NA4WR"/>
    <n v="51"/>
    <s v="NA4WR-51"/>
  </r>
  <r>
    <x v="8"/>
    <x v="312"/>
    <n v="-2.88"/>
    <n v="1.31"/>
    <s v="#16"/>
    <x v="3"/>
    <n v="2.75"/>
    <n v="-0.13"/>
    <n v="1.44"/>
    <n v="2.0735999999999999"/>
    <x v="7"/>
    <s v="NA6TE"/>
    <n v="46"/>
    <s v="NA6TE-46"/>
  </r>
  <r>
    <x v="8"/>
    <x v="343"/>
    <n v="-3.4"/>
    <n v="1.31"/>
    <s v="#19"/>
    <x v="2"/>
    <n v="3.01"/>
    <n v="-0.39"/>
    <n v="1.7"/>
    <n v="2.89"/>
    <x v="7"/>
    <s v="NA6WR"/>
    <n v="62"/>
    <s v="NA6WR-62"/>
  </r>
  <r>
    <x v="16"/>
    <x v="347"/>
    <s v="0.10-2.52"/>
    <n v="1.31"/>
    <s v="#32"/>
    <x v="1"/>
    <n v="2.52"/>
    <n v="0.1"/>
    <n v="1.21"/>
    <n v="1.4641"/>
    <x v="7"/>
    <s v="NA3RB"/>
    <n v="36"/>
    <s v="NA3RB-36"/>
  </r>
  <r>
    <x v="9"/>
    <x v="347"/>
    <s v="0.13-2.49"/>
    <n v="1.31"/>
    <s v="#8"/>
    <x v="1"/>
    <n v="2.4900000000000002"/>
    <n v="0.13"/>
    <n v="1.18"/>
    <n v="1.3924000000000001"/>
    <x v="7"/>
    <s v="NA15RB"/>
    <n v="35"/>
    <s v="NA15RB-35"/>
  </r>
  <r>
    <x v="2"/>
    <x v="310"/>
    <n v="-2.7199999999999998"/>
    <n v="1.31"/>
    <s v="#7"/>
    <x v="1"/>
    <n v="2.67"/>
    <n v="-0.05"/>
    <n v="1.36"/>
    <n v="1.8495999999999999"/>
    <x v="7"/>
    <s v="NA9RB"/>
    <n v="29"/>
    <s v="NA9RB-29"/>
  </r>
  <r>
    <x v="1"/>
    <x v="237"/>
    <s v="0.12-2.48"/>
    <n v="1.3"/>
    <s v="#15"/>
    <x v="2"/>
    <n v="2.48"/>
    <n v="0.12"/>
    <n v="1.18"/>
    <n v="1.3924000000000001"/>
    <x v="7"/>
    <s v="NA16WR"/>
    <n v="64"/>
    <s v="NA16WR-64"/>
  </r>
  <r>
    <x v="13"/>
    <x v="298"/>
    <n v="-2.96"/>
    <n v="1.3"/>
    <s v="#26"/>
    <x v="3"/>
    <n v="2.78"/>
    <n v="-0.18"/>
    <n v="1.48"/>
    <n v="2.1903999999999999"/>
    <x v="7"/>
    <s v="NA8TE"/>
    <n v="44"/>
    <s v="NA8TE-44"/>
  </r>
  <r>
    <x v="5"/>
    <x v="323"/>
    <n v="-2.7399999999999998"/>
    <n v="1.3"/>
    <s v="#11"/>
    <x v="1"/>
    <n v="2.67"/>
    <n v="-7.0000000000000007E-2"/>
    <n v="1.37"/>
    <n v="1.8769"/>
    <x v="7"/>
    <s v="NA13RB"/>
    <n v="38"/>
    <s v="NA13RB-38"/>
  </r>
  <r>
    <x v="5"/>
    <x v="337"/>
    <s v="0.00-2.60"/>
    <n v="1.3"/>
    <s v="#13"/>
    <x v="3"/>
    <n v="2.6"/>
    <n v="0"/>
    <n v="1.3"/>
    <n v="1.69"/>
    <x v="7"/>
    <s v="NA13TE"/>
    <n v="49"/>
    <s v="NA13TE-49"/>
  </r>
  <r>
    <x v="8"/>
    <x v="183"/>
    <n v="-3.22"/>
    <n v="1.3"/>
    <s v="#27"/>
    <x v="1"/>
    <n v="2.91"/>
    <n v="-0.31"/>
    <n v="1.61"/>
    <n v="2.5920999999999998"/>
    <x v="7"/>
    <s v="NA6RB"/>
    <n v="32"/>
    <s v="NA6RB-32"/>
  </r>
  <r>
    <x v="4"/>
    <x v="296"/>
    <n v="-2.82"/>
    <n v="1.3"/>
    <s v="#26"/>
    <x v="1"/>
    <n v="2.71"/>
    <n v="-0.11"/>
    <n v="1.41"/>
    <n v="1.9881"/>
    <x v="7"/>
    <s v="NA7RB"/>
    <n v="31"/>
    <s v="NA7RB-31"/>
  </r>
  <r>
    <x v="15"/>
    <x v="340"/>
    <n v="-3.12"/>
    <n v="1.29"/>
    <s v="#20"/>
    <x v="3"/>
    <n v="2.85"/>
    <n v="-0.27"/>
    <n v="1.56"/>
    <n v="2.4336000000000002"/>
    <x v="7"/>
    <s v="NA10TE"/>
    <n v="44"/>
    <s v="NA10TE-44"/>
  </r>
  <r>
    <x v="11"/>
    <x v="312"/>
    <n v="-2.7199999999999998"/>
    <n v="1.29"/>
    <s v="#5"/>
    <x v="3"/>
    <n v="2.65"/>
    <n v="-7.0000000000000007E-2"/>
    <n v="1.36"/>
    <n v="1.8495999999999999"/>
    <x v="7"/>
    <s v="NA14TE"/>
    <n v="53"/>
    <s v="NA14TE-53"/>
  </r>
  <r>
    <x v="5"/>
    <x v="343"/>
    <n v="-3.6399999999999997"/>
    <n v="1.29"/>
    <s v="#20"/>
    <x v="2"/>
    <n v="3.11"/>
    <n v="-0.53"/>
    <n v="1.82"/>
    <n v="3.3123999999999998"/>
    <x v="7"/>
    <s v="NA13WR"/>
    <n v="65"/>
    <s v="NA13WR-65"/>
  </r>
  <r>
    <x v="2"/>
    <x v="323"/>
    <s v="0.09-2.49"/>
    <n v="1.29"/>
    <s v="#4"/>
    <x v="1"/>
    <n v="2.4900000000000002"/>
    <n v="0.09"/>
    <n v="1.2"/>
    <n v="1.44"/>
    <x v="7"/>
    <s v="NA9RB"/>
    <n v="30"/>
    <s v="NA9RB-30"/>
  </r>
  <r>
    <x v="11"/>
    <x v="347"/>
    <s v="0.13-2.45"/>
    <n v="1.29"/>
    <s v="#16"/>
    <x v="1"/>
    <n v="2.4500000000000002"/>
    <n v="0.13"/>
    <n v="1.1599999999999999"/>
    <n v="1.3455999999999999"/>
    <x v="7"/>
    <s v="NA14RB"/>
    <n v="39"/>
    <s v="NA14RB-39"/>
  </r>
  <r>
    <x v="1"/>
    <x v="326"/>
    <n v="-3.12"/>
    <n v="1.29"/>
    <s v="#20"/>
    <x v="3"/>
    <n v="2.85"/>
    <n v="-0.27"/>
    <n v="1.56"/>
    <n v="2.4336000000000002"/>
    <x v="7"/>
    <s v="NA16TE"/>
    <n v="53"/>
    <s v="NA16TE-53"/>
  </r>
  <r>
    <x v="8"/>
    <x v="22"/>
    <s v="0.71-1.87"/>
    <n v="1.29"/>
    <s v="#29"/>
    <x v="0"/>
    <n v="1.87"/>
    <n v="0.71"/>
    <n v="0.57999999999999996"/>
    <n v="0.33639999999999998"/>
    <x v="7"/>
    <s v="NA6QB"/>
    <n v="17"/>
    <s v="NA6QB-17"/>
  </r>
  <r>
    <x v="9"/>
    <x v="319"/>
    <n v="-4.34"/>
    <n v="1.28"/>
    <s v="#15"/>
    <x v="2"/>
    <n v="3.45"/>
    <n v="-0.89"/>
    <n v="2.17"/>
    <n v="4.7088999999999999"/>
    <x v="7"/>
    <s v="NA15WR"/>
    <n v="66"/>
    <s v="NA15WR-66"/>
  </r>
  <r>
    <x v="2"/>
    <x v="173"/>
    <n v="-3.18"/>
    <n v="1.28"/>
    <s v="#10"/>
    <x v="1"/>
    <n v="2.87"/>
    <n v="-0.31"/>
    <n v="1.59"/>
    <n v="2.5280999999999998"/>
    <x v="7"/>
    <s v="NA9RB"/>
    <n v="31"/>
    <s v="NA9RB-31"/>
  </r>
  <r>
    <x v="4"/>
    <x v="320"/>
    <n v="-2.6199999999999997"/>
    <n v="1.28"/>
    <s v="#26"/>
    <x v="3"/>
    <n v="2.59"/>
    <n v="-0.03"/>
    <n v="1.31"/>
    <n v="1.7161"/>
    <x v="7"/>
    <s v="NA7TE"/>
    <n v="47"/>
    <s v="NA7TE-47"/>
  </r>
  <r>
    <x v="11"/>
    <x v="22"/>
    <s v="0.68-1.88"/>
    <n v="1.28"/>
    <s v="#30"/>
    <x v="0"/>
    <n v="1.88"/>
    <n v="0.68"/>
    <n v="0.6"/>
    <n v="0.36"/>
    <x v="7"/>
    <s v="NA14QB"/>
    <n v="18"/>
    <s v="NA14QB-18"/>
  </r>
  <r>
    <x v="9"/>
    <x v="352"/>
    <n v="-2.9000000000000004"/>
    <n v="1.27"/>
    <s v="#2"/>
    <x v="1"/>
    <n v="2.72"/>
    <n v="-0.18"/>
    <n v="1.45"/>
    <n v="2.1025"/>
    <x v="7"/>
    <s v="NA15RB"/>
    <n v="36"/>
    <s v="NA15RB-36"/>
  </r>
  <r>
    <x v="11"/>
    <x v="237"/>
    <s v="0.19-2.35"/>
    <n v="1.27"/>
    <s v="#31"/>
    <x v="2"/>
    <n v="2.35"/>
    <n v="0.19"/>
    <n v="1.08"/>
    <n v="1.1664000000000001"/>
    <x v="7"/>
    <s v="NA14WR"/>
    <n v="66"/>
    <s v="NA14WR-66"/>
  </r>
  <r>
    <x v="10"/>
    <x v="330"/>
    <s v="0.02-2.52"/>
    <n v="1.27"/>
    <s v="#21"/>
    <x v="3"/>
    <n v="2.52"/>
    <n v="0.02"/>
    <n v="1.25"/>
    <n v="1.5625"/>
    <x v="7"/>
    <s v="NA2TE"/>
    <n v="41"/>
    <s v="NA2TE-41"/>
  </r>
  <r>
    <x v="3"/>
    <x v="340"/>
    <n v="-2.92"/>
    <n v="1.27"/>
    <s v="#13"/>
    <x v="3"/>
    <n v="2.73"/>
    <n v="-0.19"/>
    <n v="1.46"/>
    <n v="2.1316000000000002"/>
    <x v="7"/>
    <s v="NA11TE"/>
    <n v="42"/>
    <s v="NA11TE-42"/>
  </r>
  <r>
    <x v="1"/>
    <x v="347"/>
    <n v="-2.62"/>
    <n v="1.27"/>
    <s v="#5"/>
    <x v="1"/>
    <n v="2.58"/>
    <n v="-0.04"/>
    <n v="1.31"/>
    <n v="1.7161"/>
    <x v="7"/>
    <s v="NA16RB"/>
    <n v="39"/>
    <s v="NA16RB-39"/>
  </r>
  <r>
    <x v="5"/>
    <x v="320"/>
    <s v="0.04-2.50"/>
    <n v="1.27"/>
    <s v="#14"/>
    <x v="3"/>
    <n v="2.5"/>
    <n v="0.04"/>
    <n v="1.23"/>
    <n v="1.5128999999999999"/>
    <x v="7"/>
    <s v="NA13TE"/>
    <n v="50"/>
    <s v="NA13TE-50"/>
  </r>
  <r>
    <x v="5"/>
    <x v="349"/>
    <n v="-3.34"/>
    <n v="1.27"/>
    <s v="#20"/>
    <x v="1"/>
    <n v="2.94"/>
    <n v="-0.4"/>
    <n v="1.67"/>
    <n v="2.7888999999999999"/>
    <x v="7"/>
    <s v="NA13RB"/>
    <n v="39"/>
    <s v="NA13RB-39"/>
  </r>
  <r>
    <x v="0"/>
    <x v="349"/>
    <s v="0.08-2.46"/>
    <n v="1.27"/>
    <s v="#19"/>
    <x v="1"/>
    <n v="2.46"/>
    <n v="0.08"/>
    <n v="1.19"/>
    <n v="1.4160999999999999"/>
    <x v="7"/>
    <s v="NA17RB"/>
    <n v="37"/>
    <s v="NA17RB-37"/>
  </r>
  <r>
    <x v="12"/>
    <x v="354"/>
    <n v="-2.78"/>
    <n v="1.26"/>
    <s v="#24"/>
    <x v="2"/>
    <n v="2.65"/>
    <n v="-0.13"/>
    <n v="1.39"/>
    <n v="1.9320999999999999"/>
    <x v="7"/>
    <s v="NA5WR"/>
    <n v="66"/>
    <s v="NA5WR-66"/>
  </r>
  <r>
    <x v="5"/>
    <x v="237"/>
    <s v="0.11-2.41"/>
    <n v="1.26"/>
    <s v="#23"/>
    <x v="2"/>
    <n v="2.41"/>
    <n v="0.11"/>
    <n v="1.1499999999999999"/>
    <n v="1.3225"/>
    <x v="7"/>
    <s v="NA13WR"/>
    <n v="66"/>
    <s v="NA13WR-66"/>
  </r>
  <r>
    <x v="15"/>
    <x v="348"/>
    <n v="-2.7399999999999998"/>
    <n v="1.26"/>
    <s v="#17"/>
    <x v="1"/>
    <n v="2.63"/>
    <n v="-0.11"/>
    <n v="1.37"/>
    <n v="1.8769"/>
    <x v="7"/>
    <s v="NA10RB"/>
    <n v="34"/>
    <s v="NA10RB-34"/>
  </r>
  <r>
    <x v="7"/>
    <x v="280"/>
    <s v="0.01-2.51"/>
    <n v="1.26"/>
    <s v="#22"/>
    <x v="3"/>
    <n v="2.5099999999999998"/>
    <n v="0.01"/>
    <n v="1.25"/>
    <n v="1.5625"/>
    <x v="7"/>
    <s v="NA1TE"/>
    <n v="38"/>
    <s v="NA1TE-38"/>
  </r>
  <r>
    <x v="12"/>
    <x v="355"/>
    <s v="0.06-2.46"/>
    <n v="1.26"/>
    <s v="#7"/>
    <x v="2"/>
    <n v="2.46"/>
    <n v="0.06"/>
    <n v="1.2"/>
    <n v="1.44"/>
    <x v="7"/>
    <s v="NA5WR"/>
    <n v="67"/>
    <s v="NA5WR-67"/>
  </r>
  <r>
    <x v="14"/>
    <x v="338"/>
    <n v="-2.9600000000000004"/>
    <n v="1.26"/>
    <s v="#26"/>
    <x v="2"/>
    <n v="2.74"/>
    <n v="-0.22"/>
    <n v="1.48"/>
    <n v="2.1903999999999999"/>
    <x v="7"/>
    <s v="NA4WR"/>
    <n v="52"/>
    <s v="NA4WR-52"/>
  </r>
  <r>
    <x v="15"/>
    <x v="347"/>
    <n v="-2.6599999999999997"/>
    <n v="1.26"/>
    <s v="#22"/>
    <x v="1"/>
    <n v="2.59"/>
    <n v="-7.0000000000000007E-2"/>
    <n v="1.33"/>
    <n v="1.7688999999999999"/>
    <x v="7"/>
    <s v="NA10RB"/>
    <n v="35"/>
    <s v="NA10RB-35"/>
  </r>
  <r>
    <x v="5"/>
    <x v="347"/>
    <s v="0.08-2.44"/>
    <n v="1.26"/>
    <s v="#8"/>
    <x v="1"/>
    <n v="2.44"/>
    <n v="0.08"/>
    <n v="1.18"/>
    <n v="1.3924000000000001"/>
    <x v="7"/>
    <s v="NA13RB"/>
    <n v="40"/>
    <s v="NA13RB-40"/>
  </r>
  <r>
    <x v="9"/>
    <x v="337"/>
    <n v="-2.6"/>
    <n v="1.26"/>
    <s v="#5"/>
    <x v="3"/>
    <n v="2.56"/>
    <n v="-0.04"/>
    <n v="1.3"/>
    <n v="1.69"/>
    <x v="7"/>
    <s v="NA15TE"/>
    <n v="52"/>
    <s v="NA15TE-52"/>
  </r>
  <r>
    <x v="12"/>
    <x v="173"/>
    <n v="-3.06"/>
    <n v="1.26"/>
    <s v="#12"/>
    <x v="1"/>
    <n v="2.79"/>
    <n v="-0.27"/>
    <n v="1.53"/>
    <n v="2.3409"/>
    <x v="7"/>
    <s v="NA5RB"/>
    <n v="33"/>
    <s v="NA5RB-33"/>
  </r>
  <r>
    <x v="3"/>
    <x v="356"/>
    <s v="0.72-1.80"/>
    <n v="1.26"/>
    <s v="#25"/>
    <x v="0"/>
    <n v="1.8"/>
    <n v="0.72"/>
    <n v="0.54"/>
    <n v="0.29160000000000003"/>
    <x v="7"/>
    <s v="NA11QB"/>
    <n v="14"/>
    <s v="NA11QB-14"/>
  </r>
  <r>
    <x v="15"/>
    <x v="22"/>
    <s v="0.51-2.01"/>
    <n v="1.26"/>
    <s v="#12"/>
    <x v="0"/>
    <n v="2.0099999999999998"/>
    <n v="0.51"/>
    <n v="0.75"/>
    <n v="0.5625"/>
    <x v="7"/>
    <s v="NA10QB"/>
    <n v="14"/>
    <s v="NA10QB-14"/>
  </r>
  <r>
    <x v="14"/>
    <x v="308"/>
    <n v="-3.3000000000000003"/>
    <n v="1.26"/>
    <s v="#9"/>
    <x v="1"/>
    <n v="2.91"/>
    <n v="-0.39"/>
    <n v="1.65"/>
    <n v="2.7225000000000001"/>
    <x v="7"/>
    <s v="NA4RB"/>
    <n v="29"/>
    <s v="NA4RB-29"/>
  </r>
  <r>
    <x v="16"/>
    <x v="352"/>
    <n v="-2.76"/>
    <n v="1.25"/>
    <s v="#1"/>
    <x v="1"/>
    <n v="2.63"/>
    <n v="-0.13"/>
    <n v="1.38"/>
    <n v="1.9044000000000001"/>
    <x v="7"/>
    <s v="NA3RB"/>
    <n v="37"/>
    <s v="NA3RB-37"/>
  </r>
  <r>
    <x v="16"/>
    <x v="321"/>
    <n v="-3.04"/>
    <n v="1.25"/>
    <s v="#19"/>
    <x v="1"/>
    <n v="2.77"/>
    <n v="-0.27"/>
    <n v="1.52"/>
    <n v="2.3104"/>
    <x v="7"/>
    <s v="NA3RB"/>
    <n v="38"/>
    <s v="NA3RB-38"/>
  </r>
  <r>
    <x v="12"/>
    <x v="284"/>
    <n v="-3.16"/>
    <n v="1.25"/>
    <s v="#22"/>
    <x v="3"/>
    <n v="2.83"/>
    <n v="-0.33"/>
    <n v="1.58"/>
    <n v="2.4964"/>
    <x v="7"/>
    <s v="NA5TE"/>
    <n v="49"/>
    <s v="NA5TE-49"/>
  </r>
  <r>
    <x v="5"/>
    <x v="330"/>
    <n v="-2.8"/>
    <n v="1.25"/>
    <s v="#17"/>
    <x v="3"/>
    <n v="2.65"/>
    <n v="-0.15"/>
    <n v="1.4"/>
    <n v="1.96"/>
    <x v="7"/>
    <s v="NA13TE"/>
    <n v="51"/>
    <s v="NA13TE-51"/>
  </r>
  <r>
    <x v="12"/>
    <x v="347"/>
    <n v="-2.58"/>
    <n v="1.25"/>
    <s v="#13"/>
    <x v="1"/>
    <n v="2.54"/>
    <n v="-0.04"/>
    <n v="1.29"/>
    <n v="1.6640999999999999"/>
    <x v="7"/>
    <s v="NA5RB"/>
    <n v="34"/>
    <s v="NA5RB-34"/>
  </r>
  <r>
    <x v="12"/>
    <x v="357"/>
    <n v="-2.9400000000000004"/>
    <n v="1.25"/>
    <s v="#7"/>
    <x v="3"/>
    <n v="2.72"/>
    <n v="-0.22"/>
    <n v="1.47"/>
    <n v="2.1608999999999998"/>
    <x v="7"/>
    <s v="NA5TE"/>
    <n v="50"/>
    <s v="NA5TE-50"/>
  </r>
  <r>
    <x v="12"/>
    <x v="349"/>
    <n v="-2.8200000000000003"/>
    <n v="1.25"/>
    <s v="#29"/>
    <x v="1"/>
    <n v="2.66"/>
    <n v="-0.16"/>
    <n v="1.41"/>
    <n v="1.9881"/>
    <x v="7"/>
    <s v="NA5RB"/>
    <n v="35"/>
    <s v="NA5RB-35"/>
  </r>
  <r>
    <x v="14"/>
    <x v="358"/>
    <s v="0.17-2.33"/>
    <n v="1.25"/>
    <s v="#13"/>
    <x v="1"/>
    <n v="2.33"/>
    <n v="0.17"/>
    <n v="1.08"/>
    <n v="1.1664000000000001"/>
    <x v="7"/>
    <s v="NA4RB"/>
    <n v="30"/>
    <s v="NA4RB-30"/>
  </r>
  <r>
    <x v="4"/>
    <x v="352"/>
    <n v="-2.98"/>
    <n v="1.24"/>
    <s v="#13"/>
    <x v="1"/>
    <n v="2.73"/>
    <n v="-0.25"/>
    <n v="1.49"/>
    <n v="2.2201"/>
    <x v="7"/>
    <s v="NA7RB"/>
    <n v="32"/>
    <s v="NA7RB-32"/>
  </r>
  <r>
    <x v="2"/>
    <x v="352"/>
    <n v="-2.5799999999999996"/>
    <n v="1.24"/>
    <s v="#27"/>
    <x v="1"/>
    <n v="2.5299999999999998"/>
    <n v="-0.05"/>
    <n v="1.29"/>
    <n v="1.6640999999999999"/>
    <x v="7"/>
    <s v="NA9RB"/>
    <n v="32"/>
    <s v="NA9RB-32"/>
  </r>
  <r>
    <x v="12"/>
    <x v="237"/>
    <s v="0.26-2.22"/>
    <n v="1.24"/>
    <s v="#12"/>
    <x v="2"/>
    <n v="2.2200000000000002"/>
    <n v="0.26"/>
    <n v="0.98"/>
    <n v="0.96040000000000003"/>
    <x v="7"/>
    <s v="NA5WR"/>
    <n v="68"/>
    <s v="NA5WR-68"/>
  </r>
  <r>
    <x v="12"/>
    <x v="321"/>
    <n v="-2.64"/>
    <n v="1.24"/>
    <s v="#22"/>
    <x v="1"/>
    <n v="2.56"/>
    <n v="-0.08"/>
    <n v="1.32"/>
    <n v="1.7423999999999999"/>
    <x v="7"/>
    <s v="NA5RB"/>
    <n v="36"/>
    <s v="NA5RB-36"/>
  </r>
  <r>
    <x v="13"/>
    <x v="321"/>
    <s v="0.14-2.34"/>
    <n v="1.24"/>
    <s v="#1"/>
    <x v="1"/>
    <n v="2.34"/>
    <n v="0.14000000000000001"/>
    <n v="1.1000000000000001"/>
    <n v="1.21"/>
    <x v="7"/>
    <s v="NA8RB"/>
    <n v="34"/>
    <s v="NA8RB-34"/>
  </r>
  <r>
    <x v="12"/>
    <x v="340"/>
    <n v="-3.1199999999999997"/>
    <n v="1.24"/>
    <s v="#20"/>
    <x v="3"/>
    <n v="2.8"/>
    <n v="-0.32"/>
    <n v="1.56"/>
    <n v="2.4336000000000002"/>
    <x v="7"/>
    <s v="NA5TE"/>
    <n v="51"/>
    <s v="NA5TE-51"/>
  </r>
  <r>
    <x v="0"/>
    <x v="323"/>
    <n v="-2.7399999999999998"/>
    <n v="1.24"/>
    <s v="#11"/>
    <x v="1"/>
    <n v="2.61"/>
    <n v="-0.13"/>
    <n v="1.37"/>
    <n v="1.8769"/>
    <x v="7"/>
    <s v="NA17RB"/>
    <n v="38"/>
    <s v="NA17RB-38"/>
  </r>
  <r>
    <x v="4"/>
    <x v="22"/>
    <s v="0.55-1.93"/>
    <n v="1.24"/>
    <s v="#2"/>
    <x v="0"/>
    <n v="1.93"/>
    <n v="0.55000000000000004"/>
    <n v="0.69"/>
    <n v="0.47610000000000002"/>
    <x v="7"/>
    <s v="NA7QB"/>
    <n v="17"/>
    <s v="NA7QB-17"/>
  </r>
  <r>
    <x v="14"/>
    <x v="296"/>
    <n v="-2.6"/>
    <n v="1.24"/>
    <s v="#3"/>
    <x v="1"/>
    <n v="2.54"/>
    <n v="-0.06"/>
    <n v="1.3"/>
    <n v="1.69"/>
    <x v="7"/>
    <s v="NA4RB"/>
    <n v="31"/>
    <s v="NA4RB-31"/>
  </r>
  <r>
    <x v="5"/>
    <x v="359"/>
    <s v="0.66-1.80"/>
    <n v="1.23"/>
    <s v="#18"/>
    <x v="0"/>
    <n v="1.8"/>
    <n v="0.66"/>
    <n v="0.56999999999999995"/>
    <n v="0.32490000000000002"/>
    <x v="7"/>
    <s v="NA13QB"/>
    <n v="18"/>
    <s v="NA13QB-18"/>
  </r>
  <r>
    <x v="13"/>
    <x v="360"/>
    <s v="0.69-1.77"/>
    <n v="1.23"/>
    <s v="#27"/>
    <x v="0"/>
    <n v="1.77"/>
    <n v="0.69"/>
    <n v="0.54"/>
    <n v="0.29160000000000003"/>
    <x v="7"/>
    <s v="NA8QB"/>
    <n v="16"/>
    <s v="NA8QB-16"/>
  </r>
  <r>
    <x v="10"/>
    <x v="280"/>
    <s v="0.03-2.43"/>
    <n v="1.23"/>
    <s v="#17"/>
    <x v="3"/>
    <n v="2.4300000000000002"/>
    <n v="0.03"/>
    <n v="1.2"/>
    <n v="1.44"/>
    <x v="7"/>
    <s v="NA2TE"/>
    <n v="42"/>
    <s v="NA2TE-42"/>
  </r>
  <r>
    <x v="1"/>
    <x v="173"/>
    <n v="-3.2"/>
    <n v="1.23"/>
    <s v="#15"/>
    <x v="1"/>
    <n v="2.83"/>
    <n v="-0.37"/>
    <n v="1.6"/>
    <n v="2.56"/>
    <x v="7"/>
    <s v="NA16RB"/>
    <n v="40"/>
    <s v="NA16RB-40"/>
  </r>
  <r>
    <x v="11"/>
    <x v="356"/>
    <s v="0.68-1.78"/>
    <n v="1.23"/>
    <s v="#28"/>
    <x v="0"/>
    <n v="1.78"/>
    <n v="0.68"/>
    <n v="0.55000000000000004"/>
    <n v="0.30249999999999999"/>
    <x v="7"/>
    <s v="NA14QB"/>
    <n v="19"/>
    <s v="NA14QB-19"/>
  </r>
  <r>
    <x v="3"/>
    <x v="22"/>
    <s v="0.59-1.87"/>
    <n v="1.23"/>
    <s v="#22"/>
    <x v="0"/>
    <n v="1.87"/>
    <n v="0.59"/>
    <n v="0.64"/>
    <n v="0.40960000000000002"/>
    <x v="7"/>
    <s v="NA11QB"/>
    <n v="15"/>
    <s v="NA11QB-15"/>
  </r>
  <r>
    <x v="6"/>
    <x v="22"/>
    <s v="0.62-1.84"/>
    <n v="1.23"/>
    <s v="#18"/>
    <x v="0"/>
    <n v="1.84"/>
    <n v="0.62"/>
    <n v="0.61"/>
    <n v="0.37209999999999999"/>
    <x v="7"/>
    <s v="NA12QB"/>
    <n v="18"/>
    <s v="NA12QB-18"/>
  </r>
  <r>
    <x v="3"/>
    <x v="344"/>
    <n v="-2.96"/>
    <n v="1.23"/>
    <s v="#12"/>
    <x v="2"/>
    <n v="2.71"/>
    <n v="-0.25"/>
    <n v="1.48"/>
    <n v="2.1903999999999999"/>
    <x v="7"/>
    <s v="NA11WR"/>
    <n v="49"/>
    <s v="NA11WR-49"/>
  </r>
  <r>
    <x v="3"/>
    <x v="237"/>
    <n v="-2.46"/>
    <n v="1.22"/>
    <s v="#6"/>
    <x v="2"/>
    <n v="2.4500000000000002"/>
    <n v="-0.01"/>
    <n v="1.23"/>
    <n v="1.5128999999999999"/>
    <x v="7"/>
    <s v="NA11WR"/>
    <n v="50"/>
    <s v="NA11WR-50"/>
  </r>
  <r>
    <x v="12"/>
    <x v="361"/>
    <n v="-2.6199999999999997"/>
    <n v="1.22"/>
    <s v="#3"/>
    <x v="2"/>
    <n v="2.5299999999999998"/>
    <n v="-0.09"/>
    <n v="1.31"/>
    <n v="1.7161"/>
    <x v="7"/>
    <s v="NA5WR"/>
    <n v="69"/>
    <s v="NA5WR-69"/>
  </r>
  <r>
    <x v="2"/>
    <x v="340"/>
    <n v="-3.0799999999999996"/>
    <n v="1.22"/>
    <s v="#18"/>
    <x v="3"/>
    <n v="2.76"/>
    <n v="-0.32"/>
    <n v="1.54"/>
    <n v="2.3715999999999999"/>
    <x v="7"/>
    <s v="NA9TE"/>
    <n v="42"/>
    <s v="NA9TE-42"/>
  </r>
  <r>
    <x v="8"/>
    <x v="224"/>
    <n v="-2.82"/>
    <n v="1.22"/>
    <s v="#1"/>
    <x v="3"/>
    <n v="2.63"/>
    <n v="-0.19"/>
    <n v="1.41"/>
    <n v="1.9881"/>
    <x v="7"/>
    <s v="NA6TE"/>
    <n v="47"/>
    <s v="NA6TE-47"/>
  </r>
  <r>
    <x v="5"/>
    <x v="22"/>
    <s v="0.53-1.91"/>
    <n v="1.22"/>
    <s v="#7"/>
    <x v="0"/>
    <n v="1.91"/>
    <n v="0.53"/>
    <n v="0.69"/>
    <n v="0.47610000000000002"/>
    <x v="7"/>
    <s v="NA13QB"/>
    <n v="19"/>
    <s v="NA13QB-19"/>
  </r>
  <r>
    <x v="13"/>
    <x v="349"/>
    <n v="-2.48"/>
    <n v="1.22"/>
    <s v="#2"/>
    <x v="1"/>
    <n v="2.46"/>
    <n v="-0.02"/>
    <n v="1.24"/>
    <n v="1.5376000000000001"/>
    <x v="7"/>
    <s v="NA8RB"/>
    <n v="35"/>
    <s v="NA8RB-35"/>
  </r>
  <r>
    <x v="3"/>
    <x v="359"/>
    <s v="0.64-1.78"/>
    <n v="1.21"/>
    <s v="#21"/>
    <x v="0"/>
    <n v="1.78"/>
    <n v="0.64"/>
    <n v="0.56999999999999995"/>
    <n v="0.32490000000000002"/>
    <x v="7"/>
    <s v="NA11QB"/>
    <n v="16"/>
    <s v="NA11QB-16"/>
  </r>
  <r>
    <x v="4"/>
    <x v="360"/>
    <s v="0.66-1.76"/>
    <n v="1.21"/>
    <s v="#28"/>
    <x v="0"/>
    <n v="1.76"/>
    <n v="0.66"/>
    <n v="0.55000000000000004"/>
    <n v="0.30249999999999999"/>
    <x v="7"/>
    <s v="NA7QB"/>
    <n v="18"/>
    <s v="NA7QB-18"/>
  </r>
  <r>
    <x v="13"/>
    <x v="340"/>
    <n v="-3"/>
    <n v="1.21"/>
    <s v="#9"/>
    <x v="3"/>
    <n v="2.71"/>
    <n v="-0.28999999999999998"/>
    <n v="1.5"/>
    <n v="2.25"/>
    <x v="7"/>
    <s v="NA8TE"/>
    <n v="45"/>
    <s v="NA8TE-45"/>
  </r>
  <r>
    <x v="13"/>
    <x v="343"/>
    <n v="-3.3"/>
    <n v="1.21"/>
    <s v="#2"/>
    <x v="2"/>
    <n v="2.86"/>
    <n v="-0.44"/>
    <n v="1.65"/>
    <n v="2.7225000000000001"/>
    <x v="7"/>
    <s v="NA8WR"/>
    <n v="58"/>
    <s v="NA8WR-58"/>
  </r>
  <r>
    <x v="7"/>
    <x v="327"/>
    <s v="0.01-2.41"/>
    <n v="1.21"/>
    <s v="#4"/>
    <x v="3"/>
    <n v="2.41"/>
    <n v="0.01"/>
    <n v="1.2"/>
    <n v="1.44"/>
    <x v="7"/>
    <s v="NA1TE"/>
    <n v="39"/>
    <s v="NA1TE-39"/>
  </r>
  <r>
    <x v="8"/>
    <x v="344"/>
    <n v="-2.52"/>
    <n v="1.21"/>
    <s v="#11"/>
    <x v="2"/>
    <n v="2.4700000000000002"/>
    <n v="-0.05"/>
    <n v="1.26"/>
    <n v="1.5875999999999999"/>
    <x v="7"/>
    <s v="NA6WR"/>
    <n v="63"/>
    <s v="NA6WR-63"/>
  </r>
  <r>
    <x v="7"/>
    <x v="168"/>
    <n v="-2.66"/>
    <n v="1.21"/>
    <s v="#29"/>
    <x v="1"/>
    <n v="2.54"/>
    <n v="-0.12"/>
    <n v="1.33"/>
    <n v="1.7688999999999999"/>
    <x v="7"/>
    <s v="NA1RB"/>
    <n v="28"/>
    <s v="NA1RB-28"/>
  </r>
  <r>
    <x v="2"/>
    <x v="237"/>
    <s v="0.14-2.26"/>
    <n v="1.2"/>
    <s v="#10"/>
    <x v="2"/>
    <n v="2.2599999999999998"/>
    <n v="0.14000000000000001"/>
    <n v="1.06"/>
    <n v="1.1235999999999999"/>
    <x v="7"/>
    <s v="NA9WR"/>
    <n v="59"/>
    <s v="NA9WR-59"/>
  </r>
  <r>
    <x v="16"/>
    <x v="362"/>
    <n v="-2.92"/>
    <n v="1.2"/>
    <s v="#13"/>
    <x v="1"/>
    <n v="2.66"/>
    <n v="-0.26"/>
    <n v="1.46"/>
    <n v="2.1316000000000002"/>
    <x v="7"/>
    <s v="NA3RB"/>
    <n v="39"/>
    <s v="NA3RB-39"/>
  </r>
  <r>
    <x v="8"/>
    <x v="359"/>
    <s v="0.64-1.76"/>
    <n v="1.2"/>
    <s v="#25"/>
    <x v="0"/>
    <n v="1.76"/>
    <n v="0.64"/>
    <n v="0.56000000000000005"/>
    <n v="0.31359999999999999"/>
    <x v="7"/>
    <s v="NA6QB"/>
    <n v="18"/>
    <s v="NA6QB-18"/>
  </r>
  <r>
    <x v="12"/>
    <x v="363"/>
    <n v="-2.86"/>
    <n v="1.2"/>
    <s v="#22"/>
    <x v="2"/>
    <n v="2.63"/>
    <n v="-0.23"/>
    <n v="1.43"/>
    <n v="2.0449000000000002"/>
    <x v="7"/>
    <s v="NA5WR"/>
    <n v="70"/>
    <s v="NA5WR-70"/>
  </r>
  <r>
    <x v="6"/>
    <x v="340"/>
    <n v="-2.52"/>
    <n v="1.2"/>
    <s v="#1"/>
    <x v="3"/>
    <n v="2.46"/>
    <n v="-0.06"/>
    <n v="1.26"/>
    <n v="1.5875999999999999"/>
    <x v="7"/>
    <s v="NA12TE"/>
    <n v="50"/>
    <s v="NA12TE-50"/>
  </r>
  <r>
    <x v="14"/>
    <x v="364"/>
    <n v="-2.52"/>
    <n v="1.2"/>
    <s v="#22"/>
    <x v="1"/>
    <n v="2.46"/>
    <n v="-0.06"/>
    <n v="1.26"/>
    <n v="1.5875999999999999"/>
    <x v="7"/>
    <s v="NA4RB"/>
    <n v="32"/>
    <s v="NA4RB-32"/>
  </r>
  <r>
    <x v="12"/>
    <x v="322"/>
    <n v="-2.8400000000000003"/>
    <n v="1.2"/>
    <s v="#8"/>
    <x v="2"/>
    <n v="2.62"/>
    <n v="-0.22"/>
    <n v="1.42"/>
    <n v="2.0164"/>
    <x v="7"/>
    <s v="NA5WR"/>
    <n v="71"/>
    <s v="NA5WR-71"/>
  </r>
  <r>
    <x v="12"/>
    <x v="338"/>
    <n v="-3.72"/>
    <n v="1.2"/>
    <s v="#8"/>
    <x v="2"/>
    <n v="3.06"/>
    <n v="-0.66"/>
    <n v="1.86"/>
    <n v="3.4596"/>
    <x v="7"/>
    <s v="NA5WR"/>
    <n v="72"/>
    <s v="NA5WR-72"/>
  </r>
  <r>
    <x v="3"/>
    <x v="343"/>
    <n v="-5.22"/>
    <n v="1.2"/>
    <s v="#3"/>
    <x v="2"/>
    <n v="3.81"/>
    <n v="-1.41"/>
    <n v="2.61"/>
    <n v="6.8121"/>
    <x v="7"/>
    <s v="NA11WR"/>
    <n v="51"/>
    <s v="NA11WR-51"/>
  </r>
  <r>
    <x v="9"/>
    <x v="323"/>
    <s v="0.00-2.40"/>
    <n v="1.2"/>
    <s v="#26"/>
    <x v="1"/>
    <n v="2.4"/>
    <n v="0"/>
    <n v="1.2"/>
    <n v="1.44"/>
    <x v="7"/>
    <s v="NA15RB"/>
    <n v="37"/>
    <s v="NA15RB-37"/>
  </r>
  <r>
    <x v="10"/>
    <x v="327"/>
    <n v="-2.6199999999999997"/>
    <n v="1.2"/>
    <s v="#18"/>
    <x v="3"/>
    <n v="2.5099999999999998"/>
    <n v="-0.11"/>
    <n v="1.31"/>
    <n v="1.7161"/>
    <x v="7"/>
    <s v="NA2TE"/>
    <n v="43"/>
    <s v="NA2TE-43"/>
  </r>
  <r>
    <x v="1"/>
    <x v="22"/>
    <s v="0.58-1.82"/>
    <n v="1.2"/>
    <s v="#23"/>
    <x v="0"/>
    <n v="1.82"/>
    <n v="0.57999999999999996"/>
    <n v="0.62"/>
    <n v="0.38440000000000002"/>
    <x v="7"/>
    <s v="NA16QB"/>
    <n v="18"/>
    <s v="NA16QB-18"/>
  </r>
  <r>
    <x v="8"/>
    <x v="352"/>
    <n v="-2.8600000000000003"/>
    <n v="1.19"/>
    <s v="#10"/>
    <x v="1"/>
    <n v="2.62"/>
    <n v="-0.24"/>
    <n v="1.43"/>
    <n v="2.0449000000000002"/>
    <x v="7"/>
    <s v="NA6RB"/>
    <n v="33"/>
    <s v="NA6RB-33"/>
  </r>
  <r>
    <x v="1"/>
    <x v="359"/>
    <s v="0.61-1.77"/>
    <n v="1.19"/>
    <s v="#32"/>
    <x v="0"/>
    <n v="1.77"/>
    <n v="0.61"/>
    <n v="0.57999999999999996"/>
    <n v="0.33639999999999998"/>
    <x v="7"/>
    <s v="NA16QB"/>
    <n v="19"/>
    <s v="NA16QB-19"/>
  </r>
  <r>
    <x v="4"/>
    <x v="284"/>
    <n v="-2.84"/>
    <n v="1.19"/>
    <s v="#6"/>
    <x v="3"/>
    <n v="2.61"/>
    <n v="-0.23"/>
    <n v="1.42"/>
    <n v="2.0164"/>
    <x v="7"/>
    <s v="NA7TE"/>
    <n v="48"/>
    <s v="NA7TE-48"/>
  </r>
  <r>
    <x v="6"/>
    <x v="360"/>
    <s v="0.67-1.71"/>
    <n v="1.19"/>
    <s v="#9"/>
    <x v="0"/>
    <n v="1.71"/>
    <n v="0.67"/>
    <n v="0.52"/>
    <n v="0.27039999999999997"/>
    <x v="7"/>
    <s v="NA12QB"/>
    <n v="19"/>
    <s v="NA12QB-19"/>
  </r>
  <r>
    <x v="16"/>
    <x v="324"/>
    <n v="-2.88"/>
    <n v="1.19"/>
    <s v="#28"/>
    <x v="3"/>
    <n v="2.63"/>
    <n v="-0.25"/>
    <n v="1.44"/>
    <n v="2.0735999999999999"/>
    <x v="7"/>
    <s v="NA3TE"/>
    <n v="48"/>
    <s v="NA3TE-48"/>
  </r>
  <r>
    <x v="8"/>
    <x v="338"/>
    <n v="-3.7199999999999998"/>
    <n v="1.19"/>
    <s v="#16"/>
    <x v="2"/>
    <n v="3.05"/>
    <n v="-0.67"/>
    <n v="1.86"/>
    <n v="3.4596"/>
    <x v="7"/>
    <s v="NA6WR"/>
    <n v="64"/>
    <s v="NA6WR-64"/>
  </r>
  <r>
    <x v="16"/>
    <x v="337"/>
    <n v="-2.4"/>
    <n v="1.19"/>
    <s v="#12"/>
    <x v="3"/>
    <n v="2.39"/>
    <n v="-0.01"/>
    <n v="1.2"/>
    <n v="1.44"/>
    <x v="7"/>
    <s v="NA3TE"/>
    <n v="49"/>
    <s v="NA3TE-49"/>
  </r>
  <r>
    <x v="0"/>
    <x v="365"/>
    <s v="0.19-2.19"/>
    <n v="1.19"/>
    <s v="#19"/>
    <x v="1"/>
    <n v="2.19"/>
    <n v="0.19"/>
    <n v="1"/>
    <n v="1"/>
    <x v="7"/>
    <s v="NA17RB"/>
    <n v="39"/>
    <s v="NA17RB-39"/>
  </r>
  <r>
    <x v="6"/>
    <x v="349"/>
    <n v="-2.6"/>
    <n v="1.19"/>
    <s v="#16"/>
    <x v="1"/>
    <n v="2.4900000000000002"/>
    <n v="-0.11"/>
    <n v="1.3"/>
    <n v="1.69"/>
    <x v="7"/>
    <s v="NA12RB"/>
    <n v="37"/>
    <s v="NA12RB-37"/>
  </r>
  <r>
    <x v="11"/>
    <x v="308"/>
    <n v="-2.8200000000000003"/>
    <n v="1.19"/>
    <s v="#9"/>
    <x v="1"/>
    <n v="2.6"/>
    <n v="-0.22"/>
    <n v="1.41"/>
    <n v="1.9881"/>
    <x v="7"/>
    <s v="NA14RB"/>
    <n v="40"/>
    <s v="NA14RB-40"/>
  </r>
  <r>
    <x v="13"/>
    <x v="341"/>
    <s v="0.06-2.30"/>
    <n v="1.18"/>
    <s v="#7"/>
    <x v="1"/>
    <n v="2.2999999999999998"/>
    <n v="0.06"/>
    <n v="1.1200000000000001"/>
    <n v="1.2544"/>
    <x v="7"/>
    <s v="NA8RB"/>
    <n v="36"/>
    <s v="NA8RB-36"/>
  </r>
  <r>
    <x v="10"/>
    <x v="340"/>
    <n v="-2.54"/>
    <n v="1.18"/>
    <s v="#16"/>
    <x v="3"/>
    <n v="2.4500000000000002"/>
    <n v="-0.09"/>
    <n v="1.27"/>
    <n v="1.6129"/>
    <x v="7"/>
    <s v="NA2TE"/>
    <n v="44"/>
    <s v="NA2TE-44"/>
  </r>
  <r>
    <x v="1"/>
    <x v="366"/>
    <s v="0.60-1.76"/>
    <n v="1.18"/>
    <s v="#21"/>
    <x v="0"/>
    <n v="1.76"/>
    <n v="0.6"/>
    <n v="0.57999999999999996"/>
    <n v="0.33639999999999998"/>
    <x v="7"/>
    <s v="NA16QB"/>
    <n v="20"/>
    <s v="NA16QB-20"/>
  </r>
  <r>
    <x v="13"/>
    <x v="347"/>
    <n v="-2.58"/>
    <n v="1.18"/>
    <s v="#13"/>
    <x v="1"/>
    <n v="2.4700000000000002"/>
    <n v="-0.11"/>
    <n v="1.29"/>
    <n v="1.6640999999999999"/>
    <x v="7"/>
    <s v="NA8RB"/>
    <n v="37"/>
    <s v="NA8RB-37"/>
  </r>
  <r>
    <x v="15"/>
    <x v="173"/>
    <n v="-3.1599999999999997"/>
    <n v="1.18"/>
    <s v="#19"/>
    <x v="1"/>
    <n v="2.76"/>
    <n v="-0.4"/>
    <n v="1.58"/>
    <n v="2.4964"/>
    <x v="7"/>
    <s v="NA10RB"/>
    <n v="36"/>
    <s v="NA10RB-36"/>
  </r>
  <r>
    <x v="9"/>
    <x v="349"/>
    <s v="0.00-2.36"/>
    <n v="1.18"/>
    <s v="#17"/>
    <x v="1"/>
    <n v="2.36"/>
    <n v="0"/>
    <n v="1.18"/>
    <n v="1.3924000000000001"/>
    <x v="7"/>
    <s v="NA15RB"/>
    <n v="38"/>
    <s v="NA15RB-38"/>
  </r>
  <r>
    <x v="9"/>
    <x v="348"/>
    <n v="-2.92"/>
    <n v="1.17"/>
    <s v="#22"/>
    <x v="1"/>
    <n v="2.63"/>
    <n v="-0.28999999999999998"/>
    <n v="1.46"/>
    <n v="2.1316000000000002"/>
    <x v="7"/>
    <s v="NA15RB"/>
    <n v="39"/>
    <s v="NA15RB-39"/>
  </r>
  <r>
    <x v="12"/>
    <x v="324"/>
    <n v="-3.3200000000000003"/>
    <n v="1.17"/>
    <s v="#9"/>
    <x v="3"/>
    <n v="2.83"/>
    <n v="-0.49"/>
    <n v="1.66"/>
    <n v="2.7555999999999998"/>
    <x v="7"/>
    <s v="NA5TE"/>
    <n v="52"/>
    <s v="NA5TE-52"/>
  </r>
  <r>
    <x v="2"/>
    <x v="312"/>
    <n v="-2.9000000000000004"/>
    <n v="1.17"/>
    <s v="#30"/>
    <x v="3"/>
    <n v="2.62"/>
    <n v="-0.28000000000000003"/>
    <n v="1.45"/>
    <n v="2.1025"/>
    <x v="7"/>
    <s v="NA9TE"/>
    <n v="43"/>
    <s v="NA9TE-43"/>
  </r>
  <r>
    <x v="6"/>
    <x v="366"/>
    <s v="0.59-1.75"/>
    <n v="1.17"/>
    <s v="#17"/>
    <x v="0"/>
    <n v="1.75"/>
    <n v="0.59"/>
    <n v="0.57999999999999996"/>
    <n v="0.33639999999999998"/>
    <x v="7"/>
    <s v="NA12QB"/>
    <n v="20"/>
    <s v="NA12QB-20"/>
  </r>
  <r>
    <x v="2"/>
    <x v="343"/>
    <n v="-5.2"/>
    <n v="1.17"/>
    <s v="#1"/>
    <x v="2"/>
    <n v="3.77"/>
    <n v="-1.43"/>
    <n v="2.6"/>
    <n v="6.76"/>
    <x v="7"/>
    <s v="NA9WR"/>
    <n v="60"/>
    <s v="NA9WR-60"/>
  </r>
  <r>
    <x v="13"/>
    <x v="356"/>
    <s v="0.61-1.73"/>
    <n v="1.17"/>
    <s v="#18"/>
    <x v="0"/>
    <n v="1.73"/>
    <n v="0.61"/>
    <n v="0.56000000000000005"/>
    <n v="0.31359999999999999"/>
    <x v="7"/>
    <s v="NA8QB"/>
    <n v="17"/>
    <s v="NA8QB-17"/>
  </r>
  <r>
    <x v="7"/>
    <x v="367"/>
    <n v="-2.96"/>
    <n v="1.17"/>
    <s v="#14"/>
    <x v="1"/>
    <n v="2.65"/>
    <n v="-0.31"/>
    <n v="1.48"/>
    <n v="2.1903999999999999"/>
    <x v="7"/>
    <s v="NA1RB"/>
    <n v="29"/>
    <s v="NA1RB-29"/>
  </r>
  <r>
    <x v="8"/>
    <x v="349"/>
    <n v="-2.38"/>
    <n v="1.17"/>
    <s v="#19"/>
    <x v="1"/>
    <n v="2.36"/>
    <n v="-0.02"/>
    <n v="1.19"/>
    <n v="1.4160999999999999"/>
    <x v="7"/>
    <s v="NA6RB"/>
    <n v="34"/>
    <s v="NA6RB-34"/>
  </r>
  <r>
    <x v="1"/>
    <x v="349"/>
    <n v="-2.48"/>
    <n v="1.17"/>
    <s v="#30"/>
    <x v="1"/>
    <n v="2.41"/>
    <n v="-7.0000000000000007E-2"/>
    <n v="1.24"/>
    <n v="1.5376000000000001"/>
    <x v="7"/>
    <s v="NA16RB"/>
    <n v="41"/>
    <s v="NA16RB-41"/>
  </r>
  <r>
    <x v="5"/>
    <x v="352"/>
    <n v="-2.9"/>
    <n v="1.1599999999999999"/>
    <s v="#19"/>
    <x v="1"/>
    <n v="2.61"/>
    <n v="-0.28999999999999998"/>
    <n v="1.45"/>
    <n v="2.1025"/>
    <x v="7"/>
    <s v="NA13RB"/>
    <n v="41"/>
    <s v="NA13RB-41"/>
  </r>
  <r>
    <x v="4"/>
    <x v="319"/>
    <n v="-4.26"/>
    <n v="1.1599999999999999"/>
    <s v="#5"/>
    <x v="2"/>
    <n v="3.29"/>
    <n v="-0.97"/>
    <n v="2.13"/>
    <n v="4.5369000000000002"/>
    <x v="7"/>
    <s v="NA7WR"/>
    <n v="59"/>
    <s v="NA7WR-59"/>
  </r>
  <r>
    <x v="13"/>
    <x v="319"/>
    <n v="-4.42"/>
    <n v="1.1599999999999999"/>
    <s v="#11"/>
    <x v="2"/>
    <n v="3.37"/>
    <n v="-1.05"/>
    <n v="2.21"/>
    <n v="4.8841000000000001"/>
    <x v="7"/>
    <s v="NA8WR"/>
    <n v="59"/>
    <s v="NA8WR-59"/>
  </r>
  <r>
    <x v="1"/>
    <x v="319"/>
    <n v="-4.42"/>
    <n v="1.1599999999999999"/>
    <s v="#11"/>
    <x v="2"/>
    <n v="3.37"/>
    <n v="-1.05"/>
    <n v="2.21"/>
    <n v="4.8841000000000001"/>
    <x v="7"/>
    <s v="NA16WR"/>
    <n v="65"/>
    <s v="NA16WR-65"/>
  </r>
  <r>
    <x v="8"/>
    <x v="366"/>
    <s v="0.59-1.73"/>
    <n v="1.1599999999999999"/>
    <s v="#9"/>
    <x v="0"/>
    <n v="1.73"/>
    <n v="0.59"/>
    <n v="0.56999999999999995"/>
    <n v="0.32490000000000002"/>
    <x v="7"/>
    <s v="NA6QB"/>
    <n v="19"/>
    <s v="NA6QB-19"/>
  </r>
  <r>
    <x v="1"/>
    <x v="343"/>
    <n v="-3.36"/>
    <n v="1.1599999999999999"/>
    <s v="#30"/>
    <x v="2"/>
    <n v="2.84"/>
    <n v="-0.52"/>
    <n v="1.68"/>
    <n v="2.8224"/>
    <x v="7"/>
    <s v="NA16WR"/>
    <n v="66"/>
    <s v="NA16WR-66"/>
  </r>
  <r>
    <x v="5"/>
    <x v="356"/>
    <s v="0.64-1.68"/>
    <n v="1.1599999999999999"/>
    <s v="#21"/>
    <x v="0"/>
    <n v="1.68"/>
    <n v="0.64"/>
    <n v="0.52"/>
    <n v="0.27039999999999997"/>
    <x v="7"/>
    <s v="NA13QB"/>
    <n v="20"/>
    <s v="NA13QB-20"/>
  </r>
  <r>
    <x v="12"/>
    <x v="365"/>
    <s v="0.09-2.23"/>
    <n v="1.1599999999999999"/>
    <s v="#29"/>
    <x v="1"/>
    <n v="2.23"/>
    <n v="0.09"/>
    <n v="1.07"/>
    <n v="1.1449"/>
    <x v="7"/>
    <s v="NA5RB"/>
    <n v="37"/>
    <s v="NA5RB-37"/>
  </r>
  <r>
    <x v="8"/>
    <x v="36"/>
    <s v="0.48-1.84"/>
    <n v="1.1599999999999999"/>
    <s v="#20"/>
    <x v="0"/>
    <n v="1.84"/>
    <n v="0.48"/>
    <n v="0.68"/>
    <n v="0.46239999999999998"/>
    <x v="7"/>
    <s v="NA6QB"/>
    <n v="20"/>
    <s v="NA6QB-20"/>
  </r>
  <r>
    <x v="12"/>
    <x v="368"/>
    <s v="0.06-2.26"/>
    <n v="1.1599999999999999"/>
    <s v="#13"/>
    <x v="2"/>
    <n v="2.2599999999999998"/>
    <n v="0.06"/>
    <n v="1.1000000000000001"/>
    <n v="1.21"/>
    <x v="7"/>
    <s v="NA5WR"/>
    <n v="73"/>
    <s v="NA5WR-73"/>
  </r>
  <r>
    <x v="15"/>
    <x v="237"/>
    <s v="0.09-2.21"/>
    <n v="1.1499999999999999"/>
    <s v="#19"/>
    <x v="2"/>
    <n v="2.21"/>
    <n v="0.09"/>
    <n v="1.06"/>
    <n v="1.1235999999999999"/>
    <x v="7"/>
    <s v="NA10WR"/>
    <n v="61"/>
    <s v="NA10WR-61"/>
  </r>
  <r>
    <x v="13"/>
    <x v="359"/>
    <s v="0.57-1.73"/>
    <n v="1.1499999999999999"/>
    <s v="#28"/>
    <x v="0"/>
    <n v="1.73"/>
    <n v="0.56999999999999995"/>
    <n v="0.57999999999999996"/>
    <n v="0.33639999999999998"/>
    <x v="7"/>
    <s v="NA8QB"/>
    <n v="18"/>
    <s v="NA8QB-18"/>
  </r>
  <r>
    <x v="9"/>
    <x v="359"/>
    <s v="0.58-1.72"/>
    <n v="1.1499999999999999"/>
    <s v="#18"/>
    <x v="0"/>
    <n v="1.72"/>
    <n v="0.57999999999999996"/>
    <n v="0.56999999999999995"/>
    <n v="0.32490000000000002"/>
    <x v="7"/>
    <s v="NA15QB"/>
    <n v="18"/>
    <s v="NA15QB-18"/>
  </r>
  <r>
    <x v="9"/>
    <x v="321"/>
    <n v="-2.62"/>
    <n v="1.1499999999999999"/>
    <s v="#30"/>
    <x v="1"/>
    <n v="2.46"/>
    <n v="-0.16"/>
    <n v="1.31"/>
    <n v="1.7161"/>
    <x v="7"/>
    <s v="NA15RB"/>
    <n v="40"/>
    <s v="NA15RB-40"/>
  </r>
  <r>
    <x v="16"/>
    <x v="29"/>
    <s v="0.47-1.83"/>
    <n v="1.1499999999999999"/>
    <s v="#3"/>
    <x v="0"/>
    <n v="1.83"/>
    <n v="0.47"/>
    <n v="0.68"/>
    <n v="0.46239999999999998"/>
    <x v="7"/>
    <s v="NA3QB"/>
    <n v="17"/>
    <s v="NA3QB-17"/>
  </r>
  <r>
    <x v="7"/>
    <x v="304"/>
    <n v="-2.8"/>
    <n v="1.1499999999999999"/>
    <s v="#11"/>
    <x v="3"/>
    <n v="2.5499999999999998"/>
    <n v="-0.25"/>
    <n v="1.4"/>
    <n v="1.96"/>
    <x v="7"/>
    <s v="NA1TE"/>
    <n v="40"/>
    <s v="NA1TE-40"/>
  </r>
  <r>
    <x v="13"/>
    <x v="22"/>
    <s v="0.49-1.81"/>
    <n v="1.1499999999999999"/>
    <s v="#19"/>
    <x v="0"/>
    <n v="1.81"/>
    <n v="0.49"/>
    <n v="0.66"/>
    <n v="0.43559999999999999"/>
    <x v="7"/>
    <s v="NA8QB"/>
    <n v="19"/>
    <s v="NA8QB-19"/>
  </r>
  <r>
    <x v="1"/>
    <x v="36"/>
    <s v="0.45-1.85"/>
    <n v="1.1499999999999999"/>
    <s v="#19"/>
    <x v="0"/>
    <n v="1.85"/>
    <n v="0.45"/>
    <n v="0.7"/>
    <n v="0.49"/>
    <x v="7"/>
    <s v="NA16QB"/>
    <n v="21"/>
    <s v="NA16QB-21"/>
  </r>
  <r>
    <x v="10"/>
    <x v="168"/>
    <n v="-2.4"/>
    <n v="1.1499999999999999"/>
    <s v="#31"/>
    <x v="1"/>
    <n v="2.35"/>
    <n v="-0.05"/>
    <n v="1.2"/>
    <n v="1.44"/>
    <x v="7"/>
    <s v="NA2RB"/>
    <n v="28"/>
    <s v="NA2RB-28"/>
  </r>
  <r>
    <x v="8"/>
    <x v="284"/>
    <n v="-3.4"/>
    <n v="1.1399999999999999"/>
    <s v="#12"/>
    <x v="3"/>
    <n v="2.84"/>
    <n v="-0.56000000000000005"/>
    <n v="1.7"/>
    <n v="2.89"/>
    <x v="7"/>
    <s v="NA6TE"/>
    <n v="48"/>
    <s v="NA6TE-48"/>
  </r>
  <r>
    <x v="11"/>
    <x v="360"/>
    <s v="0.59-1.69"/>
    <n v="1.1399999999999999"/>
    <s v="#17"/>
    <x v="0"/>
    <n v="1.69"/>
    <n v="0.59"/>
    <n v="0.55000000000000004"/>
    <n v="0.30249999999999999"/>
    <x v="7"/>
    <s v="NA14QB"/>
    <n v="20"/>
    <s v="NA14QB-20"/>
  </r>
  <r>
    <x v="5"/>
    <x v="340"/>
    <n v="-3.08"/>
    <n v="1.1399999999999999"/>
    <s v="#32"/>
    <x v="3"/>
    <n v="2.68"/>
    <n v="-0.4"/>
    <n v="1.54"/>
    <n v="2.3715999999999999"/>
    <x v="7"/>
    <s v="NA13TE"/>
    <n v="52"/>
    <s v="NA13TE-52"/>
  </r>
  <r>
    <x v="9"/>
    <x v="340"/>
    <n v="-2.9"/>
    <n v="1.1399999999999999"/>
    <s v="#19"/>
    <x v="3"/>
    <n v="2.59"/>
    <n v="-0.31"/>
    <n v="1.45"/>
    <n v="2.1025"/>
    <x v="7"/>
    <s v="NA15TE"/>
    <n v="53"/>
    <s v="NA15TE-53"/>
  </r>
  <r>
    <x v="8"/>
    <x v="347"/>
    <s v="0.09-2.19"/>
    <n v="1.1399999999999999"/>
    <s v="#21"/>
    <x v="1"/>
    <n v="2.19"/>
    <n v="0.09"/>
    <n v="1.05"/>
    <n v="1.1025"/>
    <x v="7"/>
    <s v="NA6RB"/>
    <n v="35"/>
    <s v="NA6RB-35"/>
  </r>
  <r>
    <x v="10"/>
    <x v="369"/>
    <n v="-2.88"/>
    <n v="1.1399999999999999"/>
    <s v="#18"/>
    <x v="3"/>
    <n v="2.58"/>
    <n v="-0.3"/>
    <n v="1.44"/>
    <n v="2.0735999999999999"/>
    <x v="7"/>
    <s v="NA2TE"/>
    <n v="45"/>
    <s v="NA2TE-45"/>
  </r>
  <r>
    <x v="15"/>
    <x v="356"/>
    <s v="0.58-1.70"/>
    <n v="1.1399999999999999"/>
    <s v="#32"/>
    <x v="0"/>
    <n v="1.7"/>
    <n v="0.57999999999999996"/>
    <n v="0.56000000000000005"/>
    <n v="0.31359999999999999"/>
    <x v="7"/>
    <s v="NA10QB"/>
    <n v="15"/>
    <s v="NA10QB-15"/>
  </r>
  <r>
    <x v="2"/>
    <x v="22"/>
    <s v="0.45-1.83"/>
    <n v="1.1399999999999999"/>
    <s v="#7"/>
    <x v="0"/>
    <n v="1.83"/>
    <n v="0.45"/>
    <n v="0.69"/>
    <n v="0.47610000000000002"/>
    <x v="7"/>
    <s v="NA9QB"/>
    <n v="15"/>
    <s v="NA9QB-15"/>
  </r>
  <r>
    <x v="14"/>
    <x v="357"/>
    <n v="-2.5"/>
    <n v="1.1399999999999999"/>
    <s v="#30"/>
    <x v="3"/>
    <n v="2.39"/>
    <n v="-0.11"/>
    <n v="1.25"/>
    <n v="1.5625"/>
    <x v="7"/>
    <s v="NA4TE"/>
    <n v="47"/>
    <s v="NA4TE-47"/>
  </r>
  <r>
    <x v="12"/>
    <x v="296"/>
    <n v="-2.56"/>
    <n v="1.1399999999999999"/>
    <s v="#16"/>
    <x v="1"/>
    <n v="2.42"/>
    <n v="-0.14000000000000001"/>
    <n v="1.28"/>
    <n v="1.6384000000000001"/>
    <x v="7"/>
    <s v="NA5RB"/>
    <n v="38"/>
    <s v="NA5RB-38"/>
  </r>
  <r>
    <x v="13"/>
    <x v="308"/>
    <n v="-2.7"/>
    <n v="1.1399999999999999"/>
    <s v="#24"/>
    <x v="1"/>
    <n v="2.4900000000000002"/>
    <n v="-0.21"/>
    <n v="1.35"/>
    <n v="1.8225"/>
    <x v="7"/>
    <s v="NA8RB"/>
    <n v="38"/>
    <s v="NA8RB-38"/>
  </r>
  <r>
    <x v="2"/>
    <x v="36"/>
    <s v="0.44-1.84"/>
    <n v="1.1399999999999999"/>
    <s v="#32"/>
    <x v="0"/>
    <n v="1.84"/>
    <n v="0.44"/>
    <n v="0.7"/>
    <n v="0.49"/>
    <x v="7"/>
    <s v="NA9QB"/>
    <n v="16"/>
    <s v="NA9QB-16"/>
  </r>
  <r>
    <x v="15"/>
    <x v="36"/>
    <s v="0.44-1.84"/>
    <n v="1.1399999999999999"/>
    <s v="#29"/>
    <x v="0"/>
    <n v="1.84"/>
    <n v="0.44"/>
    <n v="0.7"/>
    <n v="0.49"/>
    <x v="7"/>
    <s v="NA10QB"/>
    <n v="16"/>
    <s v="NA10QB-16"/>
  </r>
  <r>
    <x v="8"/>
    <x v="370"/>
    <s v="0.42-1.84"/>
    <n v="1.1299999999999999"/>
    <s v="#32"/>
    <x v="0"/>
    <n v="1.84"/>
    <n v="0.42"/>
    <n v="0.71"/>
    <n v="0.50409999999999999"/>
    <x v="7"/>
    <s v="NA6QB"/>
    <n v="21"/>
    <s v="NA6QB-21"/>
  </r>
  <r>
    <x v="16"/>
    <x v="267"/>
    <n v="-2.2799999999999998"/>
    <n v="1.1299999999999999"/>
    <s v="#29"/>
    <x v="2"/>
    <n v="2.27"/>
    <n v="-0.01"/>
    <n v="1.1399999999999999"/>
    <n v="1.2996000000000001"/>
    <x v="7"/>
    <s v="NA3WR"/>
    <n v="59"/>
    <s v="NA3WR-59"/>
  </r>
  <r>
    <x v="10"/>
    <x v="182"/>
    <n v="-2.3199999999999998"/>
    <n v="1.1299999999999999"/>
    <s v="#16"/>
    <x v="1"/>
    <n v="2.29"/>
    <n v="-0.03"/>
    <n v="1.1599999999999999"/>
    <n v="1.3455999999999999"/>
    <x v="7"/>
    <s v="NA2RB"/>
    <n v="29"/>
    <s v="NA2RB-29"/>
  </r>
  <r>
    <x v="9"/>
    <x v="366"/>
    <s v="0.54-1.72"/>
    <n v="1.1299999999999999"/>
    <s v="#27"/>
    <x v="0"/>
    <n v="1.72"/>
    <n v="0.54"/>
    <n v="0.59"/>
    <n v="0.34810000000000002"/>
    <x v="7"/>
    <s v="NA15QB"/>
    <n v="19"/>
    <s v="NA15QB-19"/>
  </r>
  <r>
    <x v="8"/>
    <x v="365"/>
    <s v="0.13-2.13"/>
    <n v="1.1299999999999999"/>
    <s v="#19"/>
    <x v="1"/>
    <n v="2.13"/>
    <n v="0.13"/>
    <n v="1"/>
    <n v="1"/>
    <x v="7"/>
    <s v="NA6RB"/>
    <n v="36"/>
    <s v="NA6RB-36"/>
  </r>
  <r>
    <x v="7"/>
    <x v="305"/>
    <n v="-2.86"/>
    <n v="1.1299999999999999"/>
    <s v="#3"/>
    <x v="2"/>
    <n v="2.56"/>
    <n v="-0.3"/>
    <n v="1.43"/>
    <n v="2.0449000000000002"/>
    <x v="7"/>
    <s v="NA1WR"/>
    <n v="57"/>
    <s v="NA1WR-57"/>
  </r>
  <r>
    <x v="10"/>
    <x v="367"/>
    <n v="-3.02"/>
    <n v="1.1299999999999999"/>
    <s v="#4"/>
    <x v="1"/>
    <n v="2.64"/>
    <n v="-0.38"/>
    <n v="1.51"/>
    <n v="2.2801"/>
    <x v="7"/>
    <s v="NA2RB"/>
    <n v="30"/>
    <s v="NA2RB-30"/>
  </r>
  <r>
    <x v="11"/>
    <x v="36"/>
    <s v="0.45-1.81"/>
    <n v="1.1299999999999999"/>
    <s v="#7"/>
    <x v="0"/>
    <n v="1.81"/>
    <n v="0.45"/>
    <n v="0.68"/>
    <n v="0.46239999999999998"/>
    <x v="7"/>
    <s v="NA14QB"/>
    <n v="21"/>
    <s v="NA14QB-21"/>
  </r>
  <r>
    <x v="0"/>
    <x v="352"/>
    <n v="-2.74"/>
    <n v="1.1200000000000001"/>
    <s v="#20"/>
    <x v="1"/>
    <n v="2.4900000000000002"/>
    <n v="-0.25"/>
    <n v="1.37"/>
    <n v="1.8769"/>
    <x v="7"/>
    <s v="NA17RB"/>
    <n v="40"/>
    <s v="NA17RB-40"/>
  </r>
  <r>
    <x v="15"/>
    <x v="360"/>
    <s v="0.58-1.66"/>
    <n v="1.1200000000000001"/>
    <s v="#21"/>
    <x v="0"/>
    <n v="1.66"/>
    <n v="0.57999999999999996"/>
    <n v="0.54"/>
    <n v="0.29160000000000003"/>
    <x v="7"/>
    <s v="NA10QB"/>
    <n v="17"/>
    <s v="NA10QB-17"/>
  </r>
  <r>
    <x v="8"/>
    <x v="348"/>
    <s v="0.05-2.19"/>
    <n v="1.1200000000000001"/>
    <s v="#1"/>
    <x v="1"/>
    <n v="2.19"/>
    <n v="0.05"/>
    <n v="1.07"/>
    <n v="1.1449"/>
    <x v="7"/>
    <s v="NA6RB"/>
    <n v="37"/>
    <s v="NA6RB-37"/>
  </r>
  <r>
    <x v="11"/>
    <x v="348"/>
    <s v="0.04-2.20"/>
    <n v="1.1200000000000001"/>
    <s v="#3"/>
    <x v="1"/>
    <n v="2.2000000000000002"/>
    <n v="0.04"/>
    <n v="1.08"/>
    <n v="1.1664000000000001"/>
    <x v="7"/>
    <s v="NA14RB"/>
    <n v="41"/>
    <s v="NA14RB-41"/>
  </r>
  <r>
    <x v="8"/>
    <x v="341"/>
    <n v="-2.2799999999999998"/>
    <n v="1.1200000000000001"/>
    <s v="#14"/>
    <x v="1"/>
    <n v="2.2599999999999998"/>
    <n v="-0.02"/>
    <n v="1.1399999999999999"/>
    <n v="1.2996000000000001"/>
    <x v="7"/>
    <s v="NA6RB"/>
    <n v="38"/>
    <s v="NA6RB-38"/>
  </r>
  <r>
    <x v="10"/>
    <x v="288"/>
    <n v="-2.3199999999999998"/>
    <n v="1.1200000000000001"/>
    <s v="#24"/>
    <x v="3"/>
    <n v="2.2799999999999998"/>
    <n v="-0.04"/>
    <n v="1.1599999999999999"/>
    <n v="1.3455999999999999"/>
    <x v="7"/>
    <s v="NA2TE"/>
    <n v="46"/>
    <s v="NA2TE-46"/>
  </r>
  <r>
    <x v="13"/>
    <x v="312"/>
    <n v="-2.58"/>
    <n v="1.1200000000000001"/>
    <s v="#21"/>
    <x v="3"/>
    <n v="2.41"/>
    <n v="-0.17"/>
    <n v="1.29"/>
    <n v="1.6640999999999999"/>
    <x v="7"/>
    <s v="NA8TE"/>
    <n v="46"/>
    <s v="NA8TE-46"/>
  </r>
  <r>
    <x v="9"/>
    <x v="356"/>
    <s v="0.59-1.65"/>
    <n v="1.1200000000000001"/>
    <s v="#29"/>
    <x v="0"/>
    <n v="1.65"/>
    <n v="0.59"/>
    <n v="0.53"/>
    <n v="0.28089999999999998"/>
    <x v="7"/>
    <s v="NA15QB"/>
    <n v="20"/>
    <s v="NA15QB-20"/>
  </r>
  <r>
    <x v="9"/>
    <x v="365"/>
    <s v="0.09-2.15"/>
    <n v="1.1200000000000001"/>
    <s v="#17"/>
    <x v="1"/>
    <n v="2.15"/>
    <n v="0.09"/>
    <n v="1.03"/>
    <n v="1.0609"/>
    <x v="7"/>
    <s v="NA15RB"/>
    <n v="41"/>
    <s v="NA15RB-41"/>
  </r>
  <r>
    <x v="2"/>
    <x v="371"/>
    <s v="0.51-1.73"/>
    <n v="1.1200000000000001"/>
    <s v="#28"/>
    <x v="0"/>
    <n v="1.73"/>
    <n v="0.51"/>
    <n v="0.61"/>
    <n v="0.37209999999999999"/>
    <x v="7"/>
    <s v="NA9QB"/>
    <n v="17"/>
    <s v="NA9QB-17"/>
  </r>
  <r>
    <x v="13"/>
    <x v="36"/>
    <s v="0.39-1.85"/>
    <n v="1.1200000000000001"/>
    <s v="#15"/>
    <x v="0"/>
    <n v="1.85"/>
    <n v="0.39"/>
    <n v="0.73"/>
    <n v="0.53290000000000004"/>
    <x v="7"/>
    <s v="NA8QB"/>
    <n v="20"/>
    <s v="NA8QB-20"/>
  </r>
  <r>
    <x v="3"/>
    <x v="321"/>
    <s v="0.07-2.15"/>
    <n v="1.1100000000000001"/>
    <s v="#28"/>
    <x v="1"/>
    <n v="2.15"/>
    <n v="7.0000000000000007E-2"/>
    <n v="1.04"/>
    <n v="1.0815999999999999"/>
    <x v="7"/>
    <s v="NA11RB"/>
    <n v="31"/>
    <s v="NA11RB-31"/>
  </r>
  <r>
    <x v="2"/>
    <x v="366"/>
    <s v="0.52-1.70"/>
    <n v="1.1100000000000001"/>
    <s v="#24"/>
    <x v="0"/>
    <n v="1.7"/>
    <n v="0.52"/>
    <n v="0.59"/>
    <n v="0.34810000000000002"/>
    <x v="7"/>
    <s v="NA9QB"/>
    <n v="18"/>
    <s v="NA9QB-18"/>
  </r>
  <r>
    <x v="12"/>
    <x v="356"/>
    <s v="0.55-1.67"/>
    <n v="1.1100000000000001"/>
    <s v="#18"/>
    <x v="0"/>
    <n v="1.67"/>
    <n v="0.55000000000000004"/>
    <n v="0.56000000000000005"/>
    <n v="0.31359999999999999"/>
    <x v="7"/>
    <s v="NA5QB"/>
    <n v="16"/>
    <s v="NA5QB-16"/>
  </r>
  <r>
    <x v="7"/>
    <x v="229"/>
    <n v="-2.56"/>
    <n v="1.1100000000000001"/>
    <s v="#3"/>
    <x v="3"/>
    <n v="2.39"/>
    <n v="-0.17"/>
    <n v="1.28"/>
    <n v="1.6384000000000001"/>
    <x v="7"/>
    <s v="NA1TE"/>
    <n v="41"/>
    <s v="NA1TE-41"/>
  </r>
  <r>
    <x v="6"/>
    <x v="352"/>
    <n v="-2.7"/>
    <n v="1.1000000000000001"/>
    <s v="#15"/>
    <x v="1"/>
    <n v="2.4500000000000002"/>
    <n v="-0.25"/>
    <n v="1.35"/>
    <n v="1.8225"/>
    <x v="7"/>
    <s v="NA12RB"/>
    <n v="38"/>
    <s v="NA12RB-38"/>
  </r>
  <r>
    <x v="0"/>
    <x v="340"/>
    <n v="-3.08"/>
    <n v="1.1000000000000001"/>
    <s v="#32"/>
    <x v="3"/>
    <n v="2.64"/>
    <n v="-0.44"/>
    <n v="1.54"/>
    <n v="2.3715999999999999"/>
    <x v="7"/>
    <s v="NA17TE"/>
    <n v="53"/>
    <s v="NA17TE-53"/>
  </r>
  <r>
    <x v="0"/>
    <x v="366"/>
    <s v="0.52-1.68"/>
    <n v="1.1000000000000001"/>
    <s v="#17"/>
    <x v="0"/>
    <n v="1.68"/>
    <n v="0.52"/>
    <n v="0.57999999999999996"/>
    <n v="0.33639999999999998"/>
    <x v="7"/>
    <s v="NA17QB"/>
    <n v="19"/>
    <s v="NA17QB-19"/>
  </r>
  <r>
    <x v="16"/>
    <x v="167"/>
    <n v="-2.48"/>
    <n v="1.1000000000000001"/>
    <s v="#12"/>
    <x v="2"/>
    <n v="2.34"/>
    <n v="-0.14000000000000001"/>
    <n v="1.24"/>
    <n v="1.5376000000000001"/>
    <x v="10"/>
    <s v="aj3WR"/>
    <n v="6"/>
    <s v="aj3WR-6"/>
  </r>
  <r>
    <x v="15"/>
    <x v="365"/>
    <s v="0.14-2.06"/>
    <n v="1.1000000000000001"/>
    <s v="#7"/>
    <x v="1"/>
    <n v="2.06"/>
    <n v="0.14000000000000001"/>
    <n v="0.96"/>
    <n v="0.92159999999999997"/>
    <x v="7"/>
    <s v="NA10RB"/>
    <n v="37"/>
    <s v="NA10RB-37"/>
  </r>
  <r>
    <x v="11"/>
    <x v="365"/>
    <n v="-2.48"/>
    <n v="1.1000000000000001"/>
    <s v="#25"/>
    <x v="1"/>
    <n v="2.34"/>
    <n v="-0.14000000000000001"/>
    <n v="1.24"/>
    <n v="1.5376000000000001"/>
    <x v="7"/>
    <s v="NA14RB"/>
    <n v="42"/>
    <s v="NA14RB-42"/>
  </r>
  <r>
    <x v="13"/>
    <x v="371"/>
    <s v="0.50-1.70"/>
    <n v="1.1000000000000001"/>
    <s v="#30"/>
    <x v="0"/>
    <n v="1.7"/>
    <n v="0.5"/>
    <n v="0.6"/>
    <n v="0.36"/>
    <x v="7"/>
    <s v="NA8QB"/>
    <n v="21"/>
    <s v="NA8QB-21"/>
  </r>
  <r>
    <x v="6"/>
    <x v="371"/>
    <s v="0.50-1.70"/>
    <n v="1.1000000000000001"/>
    <s v="#21"/>
    <x v="0"/>
    <n v="1.7"/>
    <n v="0.5"/>
    <n v="0.6"/>
    <n v="0.36"/>
    <x v="7"/>
    <s v="NA12QB"/>
    <n v="21"/>
    <s v="NA12QB-21"/>
  </r>
  <r>
    <x v="0"/>
    <x v="321"/>
    <n v="-2.62"/>
    <n v="1.0900000000000001"/>
    <s v="#30"/>
    <x v="1"/>
    <n v="2.4"/>
    <n v="-0.22"/>
    <n v="1.31"/>
    <n v="1.7161"/>
    <x v="7"/>
    <s v="NA17RB"/>
    <n v="41"/>
    <s v="NA17RB-41"/>
  </r>
  <r>
    <x v="12"/>
    <x v="36"/>
    <s v="0.39-1.79"/>
    <n v="1.0900000000000001"/>
    <s v="#1"/>
    <x v="0"/>
    <n v="1.79"/>
    <n v="0.39"/>
    <n v="0.7"/>
    <n v="0.49"/>
    <x v="7"/>
    <s v="NA5QB"/>
    <n v="17"/>
    <s v="NA5QB-17"/>
  </r>
  <r>
    <x v="5"/>
    <x v="36"/>
    <s v="0.38-1.80"/>
    <n v="1.0900000000000001"/>
    <s v="#27"/>
    <x v="0"/>
    <n v="1.8"/>
    <n v="0.38"/>
    <n v="0.71"/>
    <n v="0.50409999999999999"/>
    <x v="7"/>
    <s v="NA13QB"/>
    <n v="21"/>
    <s v="NA13QB-21"/>
  </r>
  <r>
    <x v="3"/>
    <x v="312"/>
    <n v="-2.84"/>
    <n v="1.08"/>
    <s v="#32"/>
    <x v="3"/>
    <n v="2.5"/>
    <n v="-0.34"/>
    <n v="1.42"/>
    <n v="2.0164"/>
    <x v="7"/>
    <s v="NA11TE"/>
    <n v="43"/>
    <s v="NA11TE-43"/>
  </r>
  <r>
    <x v="9"/>
    <x v="371"/>
    <s v="0.48-1.68"/>
    <n v="1.08"/>
    <s v="#24"/>
    <x v="0"/>
    <n v="1.68"/>
    <n v="0.48"/>
    <n v="0.6"/>
    <n v="0.36"/>
    <x v="7"/>
    <s v="NA15QB"/>
    <n v="21"/>
    <s v="NA15QB-21"/>
  </r>
  <r>
    <x v="3"/>
    <x v="308"/>
    <n v="-2.86"/>
    <n v="1.08"/>
    <s v="#12"/>
    <x v="1"/>
    <n v="2.5099999999999998"/>
    <n v="-0.35"/>
    <n v="1.43"/>
    <n v="2.0449000000000002"/>
    <x v="7"/>
    <s v="NA11RB"/>
    <n v="32"/>
    <s v="NA11RB-32"/>
  </r>
  <r>
    <x v="5"/>
    <x v="365"/>
    <s v="0.15-1.99"/>
    <n v="1.07"/>
    <s v="#20"/>
    <x v="1"/>
    <n v="1.99"/>
    <n v="0.15"/>
    <n v="0.92"/>
    <n v="0.84640000000000004"/>
    <x v="7"/>
    <s v="NA13RB"/>
    <n v="42"/>
    <s v="NA13RB-42"/>
  </r>
  <r>
    <x v="8"/>
    <x v="296"/>
    <n v="-2.3400000000000003"/>
    <n v="1.07"/>
    <s v="#9"/>
    <x v="1"/>
    <n v="2.2400000000000002"/>
    <n v="-0.1"/>
    <n v="1.17"/>
    <n v="1.3689"/>
    <x v="7"/>
    <s v="NA6RB"/>
    <n v="39"/>
    <s v="NA6RB-39"/>
  </r>
  <r>
    <x v="5"/>
    <x v="371"/>
    <s v="0.47-1.67"/>
    <n v="1.07"/>
    <s v="#17"/>
    <x v="0"/>
    <n v="1.67"/>
    <n v="0.47"/>
    <n v="0.6"/>
    <n v="0.36"/>
    <x v="7"/>
    <s v="NA13QB"/>
    <n v="22"/>
    <s v="NA13QB-22"/>
  </r>
  <r>
    <x v="4"/>
    <x v="36"/>
    <s v="0.36-1.78"/>
    <n v="1.07"/>
    <s v="#31"/>
    <x v="0"/>
    <n v="1.78"/>
    <n v="0.36"/>
    <n v="0.71"/>
    <n v="0.50409999999999999"/>
    <x v="7"/>
    <s v="NA7QB"/>
    <n v="19"/>
    <s v="NA7QB-19"/>
  </r>
  <r>
    <x v="6"/>
    <x v="36"/>
    <s v="0.37-1.77"/>
    <n v="1.07"/>
    <s v="#19"/>
    <x v="0"/>
    <n v="1.77"/>
    <n v="0.37"/>
    <n v="0.7"/>
    <n v="0.49"/>
    <x v="7"/>
    <s v="NA12QB"/>
    <n v="22"/>
    <s v="NA12QB-22"/>
  </r>
  <r>
    <x v="9"/>
    <x v="36"/>
    <s v="0.38-1.76"/>
    <n v="1.07"/>
    <s v="#16"/>
    <x v="0"/>
    <n v="1.76"/>
    <n v="0.38"/>
    <n v="0.69"/>
    <n v="0.47610000000000002"/>
    <x v="7"/>
    <s v="NA15QB"/>
    <n v="22"/>
    <s v="NA15QB-22"/>
  </r>
  <r>
    <x v="0"/>
    <x v="36"/>
    <s v="0.39-1.75"/>
    <n v="1.07"/>
    <s v="#1"/>
    <x v="0"/>
    <n v="1.75"/>
    <n v="0.39"/>
    <n v="0.68"/>
    <n v="0.46239999999999998"/>
    <x v="7"/>
    <s v="NA17QB"/>
    <n v="20"/>
    <s v="NA17QB-20"/>
  </r>
  <r>
    <x v="7"/>
    <x v="362"/>
    <s v="0.02-2.10"/>
    <n v="1.06"/>
    <s v="#21"/>
    <x v="1"/>
    <n v="2.1"/>
    <n v="0.02"/>
    <n v="1.04"/>
    <n v="1.0815999999999999"/>
    <x v="7"/>
    <s v="NA1RB"/>
    <n v="30"/>
    <s v="NA1RB-30"/>
  </r>
  <r>
    <x v="16"/>
    <x v="302"/>
    <n v="-2.42"/>
    <n v="1.06"/>
    <s v="#13"/>
    <x v="3"/>
    <n v="2.27"/>
    <n v="-0.15"/>
    <n v="1.21"/>
    <n v="1.4641"/>
    <x v="7"/>
    <s v="NA3TE"/>
    <n v="50"/>
    <s v="NA3TE-50"/>
  </r>
  <r>
    <x v="14"/>
    <x v="329"/>
    <s v="0.46-1.66"/>
    <n v="1.06"/>
    <s v="#27"/>
    <x v="0"/>
    <n v="1.66"/>
    <n v="0.46"/>
    <n v="0.6"/>
    <n v="0.36"/>
    <x v="7"/>
    <s v="NA4QB"/>
    <n v="17"/>
    <s v="NA4QB-17"/>
  </r>
  <r>
    <x v="2"/>
    <x v="365"/>
    <s v="0.12-2.00"/>
    <n v="1.06"/>
    <s v="#1"/>
    <x v="1"/>
    <n v="2"/>
    <n v="0.12"/>
    <n v="0.94"/>
    <n v="0.88360000000000005"/>
    <x v="7"/>
    <s v="NA9RB"/>
    <n v="33"/>
    <s v="NA9RB-33"/>
  </r>
  <r>
    <x v="3"/>
    <x v="352"/>
    <n v="-2.7399999999999998"/>
    <n v="1.05"/>
    <s v="#20"/>
    <x v="1"/>
    <n v="2.42"/>
    <n v="-0.32"/>
    <n v="1.37"/>
    <n v="1.8769"/>
    <x v="7"/>
    <s v="NA11RB"/>
    <n v="33"/>
    <s v="NA11RB-33"/>
  </r>
  <r>
    <x v="1"/>
    <x v="370"/>
    <s v="0.36-1.74"/>
    <n v="1.05"/>
    <s v="#11"/>
    <x v="0"/>
    <n v="1.74"/>
    <n v="0.36"/>
    <n v="0.69"/>
    <n v="0.47610000000000002"/>
    <x v="7"/>
    <s v="NA16QB"/>
    <n v="22"/>
    <s v="NA16QB-22"/>
  </r>
  <r>
    <x v="16"/>
    <x v="366"/>
    <s v="0.47-1.63"/>
    <n v="1.05"/>
    <s v="#2"/>
    <x v="0"/>
    <n v="1.63"/>
    <n v="0.47"/>
    <n v="0.57999999999999996"/>
    <n v="0.33639999999999998"/>
    <x v="7"/>
    <s v="NA3QB"/>
    <n v="18"/>
    <s v="NA3QB-18"/>
  </r>
  <r>
    <x v="5"/>
    <x v="366"/>
    <s v="0.44-1.66"/>
    <n v="1.05"/>
    <s v="#14"/>
    <x v="0"/>
    <n v="1.66"/>
    <n v="0.44"/>
    <n v="0.61"/>
    <n v="0.37209999999999999"/>
    <x v="7"/>
    <s v="NA13QB"/>
    <n v="23"/>
    <s v="NA13QB-23"/>
  </r>
  <r>
    <x v="10"/>
    <x v="347"/>
    <s v="0.13-1.97"/>
    <n v="1.05"/>
    <s v="#28"/>
    <x v="1"/>
    <n v="1.97"/>
    <n v="0.13"/>
    <n v="0.92"/>
    <n v="0.84640000000000004"/>
    <x v="7"/>
    <s v="NA2RB"/>
    <n v="31"/>
    <s v="NA2RB-31"/>
  </r>
  <r>
    <x v="13"/>
    <x v="173"/>
    <n v="-2.82"/>
    <n v="1.05"/>
    <s v="#26"/>
    <x v="1"/>
    <n v="2.46"/>
    <n v="-0.36"/>
    <n v="1.41"/>
    <n v="1.9881"/>
    <x v="7"/>
    <s v="NA8RB"/>
    <n v="39"/>
    <s v="NA8RB-39"/>
  </r>
  <r>
    <x v="2"/>
    <x v="372"/>
    <n v="-2.2399999999999998"/>
    <n v="1.05"/>
    <s v="#14"/>
    <x v="3"/>
    <n v="2.17"/>
    <n v="-7.0000000000000007E-2"/>
    <n v="1.1200000000000001"/>
    <n v="1.2544"/>
    <x v="7"/>
    <s v="NA9TE"/>
    <n v="44"/>
    <s v="NA9TE-44"/>
  </r>
  <r>
    <x v="9"/>
    <x v="22"/>
    <s v="0.36-1.74"/>
    <n v="1.05"/>
    <s v="#1"/>
    <x v="0"/>
    <n v="1.74"/>
    <n v="0.36"/>
    <n v="0.69"/>
    <n v="0.47610000000000002"/>
    <x v="7"/>
    <s v="NA15QB"/>
    <n v="23"/>
    <s v="NA15QB-23"/>
  </r>
  <r>
    <x v="16"/>
    <x v="373"/>
    <n v="-3.42"/>
    <n v="1.05"/>
    <s v="#9"/>
    <x v="2"/>
    <n v="2.76"/>
    <n v="-0.66"/>
    <n v="1.71"/>
    <n v="2.9241000000000001"/>
    <x v="7"/>
    <s v="NA3WR"/>
    <n v="60"/>
    <s v="NA3WR-60"/>
  </r>
  <r>
    <x v="15"/>
    <x v="349"/>
    <n v="-2.1599999999999997"/>
    <n v="1.05"/>
    <s v="#7"/>
    <x v="1"/>
    <n v="2.13"/>
    <n v="-0.03"/>
    <n v="1.08"/>
    <n v="1.1664000000000001"/>
    <x v="7"/>
    <s v="NA10RB"/>
    <n v="38"/>
    <s v="NA10RB-38"/>
  </r>
  <r>
    <x v="1"/>
    <x v="371"/>
    <s v="0.44-1.66"/>
    <n v="1.05"/>
    <s v="#28"/>
    <x v="0"/>
    <n v="1.66"/>
    <n v="0.44"/>
    <n v="0.61"/>
    <n v="0.37209999999999999"/>
    <x v="7"/>
    <s v="NA16QB"/>
    <n v="23"/>
    <s v="NA16QB-23"/>
  </r>
  <r>
    <x v="12"/>
    <x v="359"/>
    <s v="0.43-1.65"/>
    <n v="1.04"/>
    <s v="#10"/>
    <x v="0"/>
    <n v="1.65"/>
    <n v="0.43"/>
    <n v="0.61"/>
    <n v="0.37209999999999999"/>
    <x v="7"/>
    <s v="NA5QB"/>
    <n v="18"/>
    <s v="NA5QB-18"/>
  </r>
  <r>
    <x v="6"/>
    <x v="348"/>
    <n v="-2.8200000000000003"/>
    <n v="1.04"/>
    <s v="#27"/>
    <x v="1"/>
    <n v="2.4500000000000002"/>
    <n v="-0.37"/>
    <n v="1.41"/>
    <n v="1.9881"/>
    <x v="7"/>
    <s v="NA12RB"/>
    <n v="39"/>
    <s v="NA12RB-39"/>
  </r>
  <r>
    <x v="12"/>
    <x v="374"/>
    <s v="0.16-1.92"/>
    <n v="1.04"/>
    <s v="#25"/>
    <x v="1"/>
    <n v="1.92"/>
    <n v="0.16"/>
    <n v="0.88"/>
    <n v="0.77439999999999998"/>
    <x v="7"/>
    <s v="NA5RB"/>
    <n v="39"/>
    <s v="NA5RB-39"/>
  </r>
  <r>
    <x v="12"/>
    <x v="375"/>
    <s v="0.39-1.69"/>
    <n v="1.04"/>
    <s v="#25"/>
    <x v="0"/>
    <n v="1.69"/>
    <n v="0.39"/>
    <n v="0.65"/>
    <n v="0.42249999999999999"/>
    <x v="7"/>
    <s v="NA5QB"/>
    <n v="19"/>
    <s v="NA5QB-19"/>
  </r>
  <r>
    <x v="14"/>
    <x v="293"/>
    <s v="0.00-2.08"/>
    <n v="1.04"/>
    <s v="#26"/>
    <x v="2"/>
    <n v="2.08"/>
    <n v="0"/>
    <n v="1.04"/>
    <n v="1.0815999999999999"/>
    <x v="7"/>
    <s v="NA4WR"/>
    <n v="53"/>
    <s v="NA4WR-53"/>
  </r>
  <r>
    <x v="14"/>
    <x v="347"/>
    <n v="-2.3200000000000003"/>
    <n v="1.04"/>
    <s v="#20"/>
    <x v="1"/>
    <n v="2.2000000000000002"/>
    <n v="-0.12"/>
    <n v="1.1599999999999999"/>
    <n v="1.3455999999999999"/>
    <x v="7"/>
    <s v="NA4RB"/>
    <n v="33"/>
    <s v="NA4RB-33"/>
  </r>
  <r>
    <x v="6"/>
    <x v="356"/>
    <s v="0.52-1.56"/>
    <n v="1.04"/>
    <s v="#20"/>
    <x v="0"/>
    <n v="1.56"/>
    <n v="0.52"/>
    <n v="0.52"/>
    <n v="0.27039999999999997"/>
    <x v="7"/>
    <s v="NA12QB"/>
    <n v="23"/>
    <s v="NA12QB-23"/>
  </r>
  <r>
    <x v="10"/>
    <x v="362"/>
    <s v="0.07-1.99"/>
    <n v="1.03"/>
    <s v="#8"/>
    <x v="1"/>
    <n v="1.99"/>
    <n v="7.0000000000000007E-2"/>
    <n v="0.96"/>
    <n v="0.92159999999999997"/>
    <x v="7"/>
    <s v="NA2RB"/>
    <n v="32"/>
    <s v="NA2RB-32"/>
  </r>
  <r>
    <x v="11"/>
    <x v="359"/>
    <s v="0.49-1.57"/>
    <n v="1.03"/>
    <s v="#26"/>
    <x v="0"/>
    <n v="1.57"/>
    <n v="0.49"/>
    <n v="0.54"/>
    <n v="0.29160000000000003"/>
    <x v="7"/>
    <s v="NA14QB"/>
    <n v="22"/>
    <s v="NA14QB-22"/>
  </r>
  <r>
    <x v="12"/>
    <x v="360"/>
    <s v="0.51-1.55"/>
    <n v="1.03"/>
    <s v="#19"/>
    <x v="0"/>
    <n v="1.55"/>
    <n v="0.51"/>
    <n v="0.52"/>
    <n v="0.27039999999999997"/>
    <x v="7"/>
    <s v="NA5QB"/>
    <n v="20"/>
    <s v="NA5QB-20"/>
  </r>
  <r>
    <x v="12"/>
    <x v="376"/>
    <n v="-2.1199999999999997"/>
    <n v="1.03"/>
    <s v="#3"/>
    <x v="2"/>
    <n v="2.09"/>
    <n v="-0.03"/>
    <n v="1.06"/>
    <n v="1.1235999999999999"/>
    <x v="7"/>
    <s v="NA5WR"/>
    <n v="74"/>
    <s v="NA5WR-74"/>
  </r>
  <r>
    <x v="12"/>
    <x v="372"/>
    <n v="-2.1999999999999997"/>
    <n v="1.03"/>
    <s v="#27"/>
    <x v="3"/>
    <n v="2.13"/>
    <n v="-7.0000000000000007E-2"/>
    <n v="1.1000000000000001"/>
    <n v="1.21"/>
    <x v="7"/>
    <s v="NA5TE"/>
    <n v="53"/>
    <s v="NA5TE-53"/>
  </r>
  <r>
    <x v="6"/>
    <x v="372"/>
    <n v="-2.2399999999999998"/>
    <n v="1.03"/>
    <s v="#12"/>
    <x v="3"/>
    <n v="2.15"/>
    <n v="-0.09"/>
    <n v="1.1200000000000001"/>
    <n v="1.2544"/>
    <x v="7"/>
    <s v="NA12TE"/>
    <n v="51"/>
    <s v="NA12TE-51"/>
  </r>
  <r>
    <x v="13"/>
    <x v="352"/>
    <n v="-3.2"/>
    <n v="1.02"/>
    <s v="#32"/>
    <x v="1"/>
    <n v="2.62"/>
    <n v="-0.57999999999999996"/>
    <n v="1.6"/>
    <n v="2.56"/>
    <x v="7"/>
    <s v="NA8RB"/>
    <n v="40"/>
    <s v="NA8RB-40"/>
  </r>
  <r>
    <x v="11"/>
    <x v="352"/>
    <n v="-2.5"/>
    <n v="1.02"/>
    <s v="#18"/>
    <x v="1"/>
    <n v="2.27"/>
    <n v="-0.23"/>
    <n v="1.25"/>
    <n v="1.5625"/>
    <x v="7"/>
    <s v="NA14RB"/>
    <n v="43"/>
    <s v="NA14RB-43"/>
  </r>
  <r>
    <x v="5"/>
    <x v="360"/>
    <s v="0.51-1.53"/>
    <n v="1.02"/>
    <s v="#11"/>
    <x v="0"/>
    <n v="1.53"/>
    <n v="0.51"/>
    <n v="0.51"/>
    <n v="0.2601"/>
    <x v="7"/>
    <s v="NA13QB"/>
    <n v="24"/>
    <s v="NA13QB-24"/>
  </r>
  <r>
    <x v="12"/>
    <x v="377"/>
    <n v="-2.12"/>
    <n v="1.02"/>
    <s v="#13"/>
    <x v="2"/>
    <n v="2.08"/>
    <n v="-0.04"/>
    <n v="1.06"/>
    <n v="1.1235999999999999"/>
    <x v="7"/>
    <s v="NA5WR"/>
    <n v="75"/>
    <s v="NA5WR-75"/>
  </r>
  <r>
    <x v="3"/>
    <x v="365"/>
    <s v="0.08-1.96"/>
    <n v="1.02"/>
    <s v="#3"/>
    <x v="1"/>
    <n v="1.96"/>
    <n v="0.08"/>
    <n v="0.94"/>
    <n v="0.88360000000000005"/>
    <x v="7"/>
    <s v="NA11RB"/>
    <n v="34"/>
    <s v="NA11RB-34"/>
  </r>
  <r>
    <x v="14"/>
    <x v="352"/>
    <n v="-2.58"/>
    <n v="1.01"/>
    <s v="#32"/>
    <x v="1"/>
    <n v="2.2999999999999998"/>
    <n v="-0.28000000000000003"/>
    <n v="1.29"/>
    <n v="1.6640999999999999"/>
    <x v="7"/>
    <s v="NA4RB"/>
    <n v="34"/>
    <s v="NA4RB-34"/>
  </r>
  <r>
    <x v="16"/>
    <x v="359"/>
    <s v="0.36-1.66"/>
    <n v="1.01"/>
    <s v="#23"/>
    <x v="0"/>
    <n v="1.66"/>
    <n v="0.36"/>
    <n v="0.65"/>
    <n v="0.42249999999999999"/>
    <x v="7"/>
    <s v="NA3QB"/>
    <n v="19"/>
    <s v="NA3QB-19"/>
  </r>
  <r>
    <x v="2"/>
    <x v="359"/>
    <s v="0.47-1.55"/>
    <n v="1.01"/>
    <s v="#20"/>
    <x v="0"/>
    <n v="1.55"/>
    <n v="0.47"/>
    <n v="0.54"/>
    <n v="0.29160000000000003"/>
    <x v="7"/>
    <s v="NA9QB"/>
    <n v="19"/>
    <s v="NA9QB-19"/>
  </r>
  <r>
    <x v="2"/>
    <x v="370"/>
    <s v="0.33-1.69"/>
    <n v="1.01"/>
    <s v="#21"/>
    <x v="0"/>
    <n v="1.69"/>
    <n v="0.33"/>
    <n v="0.68"/>
    <n v="0.46239999999999998"/>
    <x v="7"/>
    <s v="NA9QB"/>
    <n v="20"/>
    <s v="NA9QB-20"/>
  </r>
  <r>
    <x v="4"/>
    <x v="321"/>
    <n v="-2.1800000000000002"/>
    <n v="1.01"/>
    <s v="#6"/>
    <x v="1"/>
    <n v="2.1"/>
    <n v="-0.08"/>
    <n v="1.0900000000000001"/>
    <n v="1.1880999999999999"/>
    <x v="7"/>
    <s v="NA7RB"/>
    <n v="33"/>
    <s v="NA7RB-33"/>
  </r>
  <r>
    <x v="6"/>
    <x v="321"/>
    <n v="-2.06"/>
    <n v="1.01"/>
    <s v="#8"/>
    <x v="1"/>
    <n v="2.04"/>
    <n v="-0.02"/>
    <n v="1.03"/>
    <n v="1.0609"/>
    <x v="7"/>
    <s v="NA12RB"/>
    <n v="40"/>
    <s v="NA12RB-40"/>
  </r>
  <r>
    <x v="12"/>
    <x v="348"/>
    <n v="-2.4600000000000004"/>
    <n v="1.01"/>
    <s v="#11"/>
    <x v="1"/>
    <n v="2.2400000000000002"/>
    <n v="-0.22"/>
    <n v="1.23"/>
    <n v="1.5128999999999999"/>
    <x v="7"/>
    <s v="NA5RB"/>
    <n v="40"/>
    <s v="NA5RB-40"/>
  </r>
  <r>
    <x v="4"/>
    <x v="348"/>
    <n v="-2.48"/>
    <n v="1.01"/>
    <s v="#20"/>
    <x v="1"/>
    <n v="2.25"/>
    <n v="-0.23"/>
    <n v="1.24"/>
    <n v="1.5376000000000001"/>
    <x v="7"/>
    <s v="NA7RB"/>
    <n v="34"/>
    <s v="NA7RB-34"/>
  </r>
  <r>
    <x v="7"/>
    <x v="340"/>
    <n v="-2.4200000000000004"/>
    <n v="1.01"/>
    <s v="#10"/>
    <x v="3"/>
    <n v="2.2200000000000002"/>
    <n v="-0.2"/>
    <n v="1.21"/>
    <n v="1.4641"/>
    <x v="7"/>
    <s v="NA1TE"/>
    <n v="42"/>
    <s v="NA1TE-42"/>
  </r>
  <r>
    <x v="12"/>
    <x v="378"/>
    <n v="-2.6999999999999997"/>
    <n v="1.01"/>
    <s v="#24"/>
    <x v="2"/>
    <n v="2.36"/>
    <n v="-0.34"/>
    <n v="1.35"/>
    <n v="1.8225"/>
    <x v="7"/>
    <s v="NA5WR"/>
    <n v="76"/>
    <s v="NA5WR-76"/>
  </r>
  <r>
    <x v="0"/>
    <x v="173"/>
    <n v="-2.4"/>
    <n v="1.01"/>
    <s v="#7"/>
    <x v="1"/>
    <n v="2.21"/>
    <n v="-0.19"/>
    <n v="1.2"/>
    <n v="1.44"/>
    <x v="7"/>
    <s v="NA17RB"/>
    <n v="42"/>
    <s v="NA17RB-42"/>
  </r>
  <r>
    <x v="14"/>
    <x v="365"/>
    <n v="-2.2600000000000002"/>
    <n v="1.01"/>
    <s v="#1"/>
    <x v="1"/>
    <n v="2.14"/>
    <n v="-0.12"/>
    <n v="1.1299999999999999"/>
    <n v="1.2768999999999999"/>
    <x v="7"/>
    <s v="NA4RB"/>
    <n v="35"/>
    <s v="NA4RB-35"/>
  </r>
  <r>
    <x v="16"/>
    <x v="367"/>
    <n v="-2.7600000000000002"/>
    <n v="1.01"/>
    <s v="#25"/>
    <x v="1"/>
    <n v="2.39"/>
    <n v="-0.37"/>
    <n v="1.38"/>
    <n v="1.9044000000000001"/>
    <x v="7"/>
    <s v="NA3RB"/>
    <n v="40"/>
    <s v="NA3RB-40"/>
  </r>
  <r>
    <x v="9"/>
    <x v="310"/>
    <n v="-2.0799999999999996"/>
    <n v="1.01"/>
    <s v="#1"/>
    <x v="1"/>
    <n v="2.0499999999999998"/>
    <n v="-0.03"/>
    <n v="1.04"/>
    <n v="1.0815999999999999"/>
    <x v="7"/>
    <s v="NA15RB"/>
    <n v="42"/>
    <s v="NA15RB-42"/>
  </r>
  <r>
    <x v="1"/>
    <x v="379"/>
    <s v="0.02-1.98"/>
    <n v="1"/>
    <s v="#31"/>
    <x v="2"/>
    <n v="1.98"/>
    <n v="0.02"/>
    <n v="0.98"/>
    <n v="0.96040000000000003"/>
    <x v="7"/>
    <s v="NA16WR"/>
    <n v="67"/>
    <s v="NA16WR-67"/>
  </r>
  <r>
    <x v="13"/>
    <x v="284"/>
    <n v="-2.6399999999999997"/>
    <n v="1"/>
    <s v="#1"/>
    <x v="3"/>
    <n v="2.3199999999999998"/>
    <n v="-0.32"/>
    <n v="1.32"/>
    <n v="1.7423999999999999"/>
    <x v="7"/>
    <s v="NA8TE"/>
    <n v="47"/>
    <s v="NA8TE-47"/>
  </r>
  <r>
    <x v="10"/>
    <x v="315"/>
    <s v="0.16-1.84"/>
    <n v="1"/>
    <s v="#7"/>
    <x v="3"/>
    <n v="1.84"/>
    <n v="0.16"/>
    <n v="0.84"/>
    <n v="0.7056"/>
    <x v="7"/>
    <s v="NA2TE"/>
    <n v="47"/>
    <s v="NA2TE-47"/>
  </r>
  <r>
    <x v="1"/>
    <x v="365"/>
    <n v="-2.08"/>
    <n v="1"/>
    <s v="#30"/>
    <x v="1"/>
    <n v="2.04"/>
    <n v="-0.04"/>
    <n v="1.04"/>
    <n v="1.0815999999999999"/>
    <x v="7"/>
    <s v="NA16RB"/>
    <n v="42"/>
    <s v="NA16RB-42"/>
  </r>
  <r>
    <x v="4"/>
    <x v="237"/>
    <n v="-2.1999999999999997"/>
    <n v="0.99"/>
    <s v="#1"/>
    <x v="2"/>
    <n v="2.09"/>
    <n v="-0.11"/>
    <n v="1.1000000000000001"/>
    <n v="1.21"/>
    <x v="7"/>
    <s v="NA7WR"/>
    <n v="60"/>
    <s v="NA7WR-60"/>
  </r>
  <r>
    <x v="14"/>
    <x v="370"/>
    <s v="0.36-1.62"/>
    <n v="0.99"/>
    <s v="#24"/>
    <x v="0"/>
    <n v="1.62"/>
    <n v="0.36"/>
    <n v="0.63"/>
    <n v="0.39689999999999998"/>
    <x v="7"/>
    <s v="NA4QB"/>
    <n v="18"/>
    <s v="NA4QB-18"/>
  </r>
  <r>
    <x v="12"/>
    <x v="370"/>
    <s v="0.29-1.69"/>
    <n v="0.99"/>
    <s v="#9"/>
    <x v="0"/>
    <n v="1.69"/>
    <n v="0.28999999999999998"/>
    <n v="0.7"/>
    <n v="0.49"/>
    <x v="7"/>
    <s v="NA5QB"/>
    <n v="21"/>
    <s v="NA5QB-21"/>
  </r>
  <r>
    <x v="9"/>
    <x v="370"/>
    <s v="0.31-1.67"/>
    <n v="0.99"/>
    <s v="#15"/>
    <x v="0"/>
    <n v="1.67"/>
    <n v="0.31"/>
    <n v="0.68"/>
    <n v="0.46239999999999998"/>
    <x v="7"/>
    <s v="NA15QB"/>
    <n v="24"/>
    <s v="NA15QB-24"/>
  </r>
  <r>
    <x v="11"/>
    <x v="321"/>
    <n v="-2.1800000000000002"/>
    <n v="0.99"/>
    <s v="#2"/>
    <x v="1"/>
    <n v="2.08"/>
    <n v="-0.1"/>
    <n v="1.0900000000000001"/>
    <n v="1.1880999999999999"/>
    <x v="7"/>
    <s v="NA14RB"/>
    <n v="44"/>
    <s v="NA14RB-44"/>
  </r>
  <r>
    <x v="9"/>
    <x v="375"/>
    <s v="0.35-1.63"/>
    <n v="0.99"/>
    <s v="#32"/>
    <x v="0"/>
    <n v="1.63"/>
    <n v="0.35"/>
    <n v="0.64"/>
    <n v="0.40960000000000002"/>
    <x v="7"/>
    <s v="NA15QB"/>
    <n v="25"/>
    <s v="NA15QB-25"/>
  </r>
  <r>
    <x v="9"/>
    <x v="329"/>
    <s v="0.46-1.52"/>
    <n v="0.99"/>
    <s v="#23"/>
    <x v="0"/>
    <n v="1.52"/>
    <n v="0.46"/>
    <n v="0.53"/>
    <n v="0.28089999999999998"/>
    <x v="7"/>
    <s v="NA15QB"/>
    <n v="26"/>
    <s v="NA15QB-26"/>
  </r>
  <r>
    <x v="10"/>
    <x v="366"/>
    <s v="0.40-1.58"/>
    <n v="0.99"/>
    <s v="#24"/>
    <x v="0"/>
    <n v="1.58"/>
    <n v="0.4"/>
    <n v="0.59"/>
    <n v="0.34810000000000002"/>
    <x v="7"/>
    <s v="NA2QB"/>
    <n v="21"/>
    <s v="NA2QB-21"/>
  </r>
  <r>
    <x v="8"/>
    <x v="380"/>
    <s v="0.00-1.98"/>
    <n v="0.99"/>
    <s v="#32"/>
    <x v="2"/>
    <n v="1.98"/>
    <n v="0"/>
    <n v="0.99"/>
    <n v="0.98009999999999997"/>
    <x v="7"/>
    <s v="NA6WR"/>
    <n v="65"/>
    <s v="NA6WR-65"/>
  </r>
  <r>
    <x v="4"/>
    <x v="356"/>
    <s v="0.40-1.58"/>
    <n v="0.99"/>
    <s v="#16"/>
    <x v="0"/>
    <n v="1.58"/>
    <n v="0.4"/>
    <n v="0.59"/>
    <n v="0.34810000000000002"/>
    <x v="7"/>
    <s v="NA7QB"/>
    <n v="20"/>
    <s v="NA7QB-20"/>
  </r>
  <r>
    <x v="5"/>
    <x v="372"/>
    <n v="-2.1599999999999997"/>
    <n v="0.99"/>
    <s v="#30"/>
    <x v="3"/>
    <n v="2.0699999999999998"/>
    <n v="-0.09"/>
    <n v="1.08"/>
    <n v="1.1664000000000001"/>
    <x v="7"/>
    <s v="NA13TE"/>
    <n v="53"/>
    <s v="NA13TE-53"/>
  </r>
  <r>
    <x v="16"/>
    <x v="371"/>
    <s v="0.34-1.64"/>
    <n v="0.99"/>
    <s v="#11"/>
    <x v="0"/>
    <n v="1.64"/>
    <n v="0.34"/>
    <n v="0.65"/>
    <n v="0.42249999999999999"/>
    <x v="7"/>
    <s v="NA3QB"/>
    <n v="20"/>
    <s v="NA3QB-20"/>
  </r>
  <r>
    <x v="15"/>
    <x v="359"/>
    <s v="0.37-1.59"/>
    <n v="0.98"/>
    <s v="#10"/>
    <x v="0"/>
    <n v="1.59"/>
    <n v="0.37"/>
    <n v="0.61"/>
    <n v="0.37209999999999999"/>
    <x v="7"/>
    <s v="NA10QB"/>
    <n v="18"/>
    <s v="NA10QB-18"/>
  </r>
  <r>
    <x v="13"/>
    <x v="370"/>
    <s v="0.29-1.67"/>
    <n v="0.98"/>
    <s v="#11"/>
    <x v="0"/>
    <n v="1.67"/>
    <n v="0.28999999999999998"/>
    <n v="0.69"/>
    <n v="0.47610000000000002"/>
    <x v="7"/>
    <s v="NA8QB"/>
    <n v="22"/>
    <s v="NA8QB-22"/>
  </r>
  <r>
    <x v="15"/>
    <x v="321"/>
    <n v="-1.98"/>
    <n v="0.98"/>
    <s v="#15"/>
    <x v="1"/>
    <n v="1.97"/>
    <n v="-0.01"/>
    <n v="0.99"/>
    <n v="0.98009999999999997"/>
    <x v="7"/>
    <s v="NA10RB"/>
    <n v="39"/>
    <s v="NA10RB-39"/>
  </r>
  <r>
    <x v="7"/>
    <x v="350"/>
    <s v="0.34-1.62"/>
    <n v="0.98"/>
    <s v="#5"/>
    <x v="0"/>
    <n v="1.62"/>
    <n v="0.34"/>
    <n v="0.64"/>
    <n v="0.40960000000000002"/>
    <x v="7"/>
    <s v="NA1QB"/>
    <n v="20"/>
    <s v="NA1QB-20"/>
  </r>
  <r>
    <x v="15"/>
    <x v="375"/>
    <s v="0.33-1.63"/>
    <n v="0.98"/>
    <s v="#25"/>
    <x v="0"/>
    <n v="1.63"/>
    <n v="0.33"/>
    <n v="0.65"/>
    <n v="0.42249999999999999"/>
    <x v="7"/>
    <s v="NA10QB"/>
    <n v="19"/>
    <s v="NA10QB-19"/>
  </r>
  <r>
    <x v="11"/>
    <x v="329"/>
    <s v="0.45-1.51"/>
    <n v="0.98"/>
    <s v="#27"/>
    <x v="0"/>
    <n v="1.51"/>
    <n v="0.45"/>
    <n v="0.53"/>
    <n v="0.28089999999999998"/>
    <x v="7"/>
    <s v="NA14QB"/>
    <n v="23"/>
    <s v="NA14QB-23"/>
  </r>
  <r>
    <x v="4"/>
    <x v="366"/>
    <s v="0.37-1.59"/>
    <n v="0.98"/>
    <s v="#26"/>
    <x v="0"/>
    <n v="1.59"/>
    <n v="0.37"/>
    <n v="0.61"/>
    <n v="0.37209999999999999"/>
    <x v="7"/>
    <s v="NA7QB"/>
    <n v="21"/>
    <s v="NA7QB-21"/>
  </r>
  <r>
    <x v="15"/>
    <x v="366"/>
    <s v="0.41-1.55"/>
    <n v="0.98"/>
    <s v="#11"/>
    <x v="0"/>
    <n v="1.55"/>
    <n v="0.41"/>
    <n v="0.56999999999999995"/>
    <n v="0.32490000000000002"/>
    <x v="7"/>
    <s v="NA10QB"/>
    <n v="20"/>
    <s v="NA10QB-20"/>
  </r>
  <r>
    <x v="4"/>
    <x v="347"/>
    <n v="-2.46"/>
    <n v="0.98"/>
    <s v="#10"/>
    <x v="1"/>
    <n v="2.21"/>
    <n v="-0.25"/>
    <n v="1.23"/>
    <n v="1.5128999999999999"/>
    <x v="7"/>
    <s v="NA7RB"/>
    <n v="35"/>
    <s v="NA7RB-35"/>
  </r>
  <r>
    <x v="16"/>
    <x v="365"/>
    <n v="-2.34"/>
    <n v="0.98"/>
    <s v="#31"/>
    <x v="1"/>
    <n v="2.15"/>
    <n v="-0.19"/>
    <n v="1.17"/>
    <n v="1.3689"/>
    <x v="7"/>
    <s v="NA3RB"/>
    <n v="41"/>
    <s v="NA3RB-41"/>
  </r>
  <r>
    <x v="7"/>
    <x v="381"/>
    <s v="0.06-1.88"/>
    <n v="0.97"/>
    <s v="#1"/>
    <x v="2"/>
    <n v="1.88"/>
    <n v="0.06"/>
    <n v="0.91"/>
    <n v="0.82809999999999995"/>
    <x v="7"/>
    <s v="NA1WR"/>
    <n v="58"/>
    <s v="NA1WR-58"/>
  </r>
  <r>
    <x v="5"/>
    <x v="370"/>
    <s v="0.35-1.59"/>
    <n v="0.97"/>
    <s v="#26"/>
    <x v="0"/>
    <n v="1.59"/>
    <n v="0.35"/>
    <n v="0.62"/>
    <n v="0.38440000000000002"/>
    <x v="7"/>
    <s v="NA13QB"/>
    <n v="25"/>
    <s v="NA13QB-25"/>
  </r>
  <r>
    <x v="9"/>
    <x v="360"/>
    <s v="0.46-1.48"/>
    <n v="0.97"/>
    <s v="#26"/>
    <x v="0"/>
    <n v="1.48"/>
    <n v="0.46"/>
    <n v="0.51"/>
    <n v="0.2601"/>
    <x v="7"/>
    <s v="NA15QB"/>
    <n v="27"/>
    <s v="NA15QB-27"/>
  </r>
  <r>
    <x v="0"/>
    <x v="360"/>
    <s v="0.46-1.48"/>
    <n v="0.97"/>
    <s v="#11"/>
    <x v="0"/>
    <n v="1.48"/>
    <n v="0.46"/>
    <n v="0.51"/>
    <n v="0.2601"/>
    <x v="7"/>
    <s v="NA17QB"/>
    <n v="21"/>
    <s v="NA17QB-21"/>
  </r>
  <r>
    <x v="7"/>
    <x v="348"/>
    <n v="-3.22"/>
    <n v="0.97"/>
    <s v="#24"/>
    <x v="1"/>
    <n v="2.58"/>
    <n v="-0.64"/>
    <n v="1.61"/>
    <n v="2.5920999999999998"/>
    <x v="7"/>
    <s v="NA1RB"/>
    <n v="31"/>
    <s v="NA1RB-31"/>
  </r>
  <r>
    <x v="5"/>
    <x v="348"/>
    <n v="-2.04"/>
    <n v="0.97"/>
    <s v="#4"/>
    <x v="1"/>
    <n v="1.99"/>
    <n v="-0.05"/>
    <n v="1.02"/>
    <n v="1.0404"/>
    <x v="7"/>
    <s v="NA13RB"/>
    <n v="43"/>
    <s v="NA13RB-43"/>
  </r>
  <r>
    <x v="15"/>
    <x v="374"/>
    <s v="0.09-1.85"/>
    <n v="0.97"/>
    <s v="#25"/>
    <x v="1"/>
    <n v="1.85"/>
    <n v="0.09"/>
    <n v="0.88"/>
    <n v="0.77439999999999998"/>
    <x v="7"/>
    <s v="NA10RB"/>
    <n v="40"/>
    <s v="NA10RB-40"/>
  </r>
  <r>
    <x v="7"/>
    <x v="315"/>
    <s v="0.13-1.81"/>
    <n v="0.97"/>
    <s v="#6"/>
    <x v="3"/>
    <n v="1.81"/>
    <n v="0.13"/>
    <n v="0.84"/>
    <n v="0.7056"/>
    <x v="7"/>
    <s v="NA1TE"/>
    <n v="43"/>
    <s v="NA1TE-43"/>
  </r>
  <r>
    <x v="7"/>
    <x v="366"/>
    <s v="0.39-1.55"/>
    <n v="0.97"/>
    <s v="#28"/>
    <x v="0"/>
    <n v="1.55"/>
    <n v="0.39"/>
    <n v="0.57999999999999996"/>
    <n v="0.33639999999999998"/>
    <x v="7"/>
    <s v="NA1QB"/>
    <n v="21"/>
    <s v="NA1QB-21"/>
  </r>
  <r>
    <x v="6"/>
    <x v="343"/>
    <n v="-2.6999999999999997"/>
    <n v="0.97"/>
    <s v="#16"/>
    <x v="2"/>
    <n v="2.3199999999999998"/>
    <n v="-0.38"/>
    <n v="1.35"/>
    <n v="1.8225"/>
    <x v="7"/>
    <s v="NA12WR"/>
    <n v="64"/>
    <s v="NA12WR-64"/>
  </r>
  <r>
    <x v="7"/>
    <x v="371"/>
    <s v="0.37-1.57"/>
    <n v="0.97"/>
    <s v="#18"/>
    <x v="0"/>
    <n v="1.57"/>
    <n v="0.37"/>
    <n v="0.6"/>
    <n v="0.36"/>
    <x v="7"/>
    <s v="NA1QB"/>
    <n v="22"/>
    <s v="NA1QB-22"/>
  </r>
  <r>
    <x v="1"/>
    <x v="382"/>
    <s v="0.05-1.87"/>
    <n v="0.96"/>
    <s v="#27"/>
    <x v="2"/>
    <n v="1.87"/>
    <n v="0.05"/>
    <n v="0.91"/>
    <n v="0.82809999999999995"/>
    <x v="7"/>
    <s v="NA16WR"/>
    <n v="68"/>
    <s v="NA16WR-68"/>
  </r>
  <r>
    <x v="9"/>
    <x v="374"/>
    <s v="0.03-1.89"/>
    <n v="0.96"/>
    <s v="#32"/>
    <x v="1"/>
    <n v="1.89"/>
    <n v="0.03"/>
    <n v="0.93"/>
    <n v="0.8649"/>
    <x v="7"/>
    <s v="NA15RB"/>
    <n v="43"/>
    <s v="NA15RB-43"/>
  </r>
  <r>
    <x v="14"/>
    <x v="350"/>
    <s v="0.36-1.56"/>
    <n v="0.96"/>
    <s v="#11"/>
    <x v="0"/>
    <n v="1.56"/>
    <n v="0.36"/>
    <n v="0.6"/>
    <n v="0.36"/>
    <x v="7"/>
    <s v="NA4QB"/>
    <n v="19"/>
    <s v="NA4QB-19"/>
  </r>
  <r>
    <x v="14"/>
    <x v="383"/>
    <s v="0.35-1.57"/>
    <n v="0.96"/>
    <s v="#25"/>
    <x v="0"/>
    <n v="1.57"/>
    <n v="0.35"/>
    <n v="0.61"/>
    <n v="0.37209999999999999"/>
    <x v="7"/>
    <s v="NA4QB"/>
    <n v="20"/>
    <s v="NA4QB-20"/>
  </r>
  <r>
    <x v="1"/>
    <x v="358"/>
    <s v="0.12-1.80"/>
    <n v="0.96"/>
    <s v="#32"/>
    <x v="1"/>
    <n v="1.8"/>
    <n v="0.12"/>
    <n v="0.84"/>
    <n v="0.7056"/>
    <x v="7"/>
    <s v="NA16RB"/>
    <n v="43"/>
    <s v="NA16RB-43"/>
  </r>
  <r>
    <x v="14"/>
    <x v="286"/>
    <n v="-2.2799999999999998"/>
    <n v="0.95"/>
    <s v="#3"/>
    <x v="3"/>
    <n v="2.09"/>
    <n v="-0.19"/>
    <n v="1.1399999999999999"/>
    <n v="1.2996000000000001"/>
    <x v="7"/>
    <s v="NA4TE"/>
    <n v="48"/>
    <s v="NA4TE-48"/>
  </r>
  <r>
    <x v="2"/>
    <x v="360"/>
    <s v="0.46-1.44"/>
    <n v="0.95"/>
    <s v="#4"/>
    <x v="0"/>
    <n v="1.44"/>
    <n v="0.46"/>
    <n v="0.49"/>
    <n v="0.24010000000000001"/>
    <x v="7"/>
    <s v="NA9QB"/>
    <n v="21"/>
    <s v="NA9QB-21"/>
  </r>
  <r>
    <x v="5"/>
    <x v="312"/>
    <n v="-2.4"/>
    <n v="0.95"/>
    <s v="#28"/>
    <x v="3"/>
    <n v="2.15"/>
    <n v="-0.25"/>
    <n v="1.2"/>
    <n v="1.44"/>
    <x v="7"/>
    <s v="NA13TE"/>
    <n v="54"/>
    <s v="NA13TE-54"/>
  </r>
  <r>
    <x v="13"/>
    <x v="329"/>
    <s v="0.41-1.49"/>
    <n v="0.95"/>
    <s v="#25"/>
    <x v="0"/>
    <n v="1.49"/>
    <n v="0.41"/>
    <n v="0.54"/>
    <n v="0.29160000000000003"/>
    <x v="7"/>
    <s v="NA8QB"/>
    <n v="23"/>
    <s v="NA8QB-23"/>
  </r>
  <r>
    <x v="6"/>
    <x v="329"/>
    <s v="0.42-1.48"/>
    <n v="0.95"/>
    <s v="#24"/>
    <x v="0"/>
    <n v="1.48"/>
    <n v="0.42"/>
    <n v="0.53"/>
    <n v="0.28089999999999998"/>
    <x v="7"/>
    <s v="NA12QB"/>
    <n v="24"/>
    <s v="NA12QB-24"/>
  </r>
  <r>
    <x v="3"/>
    <x v="384"/>
    <s v="0.09-1.81"/>
    <n v="0.95"/>
    <s v="#26"/>
    <x v="2"/>
    <n v="1.81"/>
    <n v="0.09"/>
    <n v="0.86"/>
    <n v="0.73960000000000004"/>
    <x v="7"/>
    <s v="NA11WR"/>
    <n v="52"/>
    <s v="NA11WR-52"/>
  </r>
  <r>
    <x v="16"/>
    <x v="258"/>
    <n v="-2.64"/>
    <n v="0.95"/>
    <s v="#8"/>
    <x v="2"/>
    <n v="2.27"/>
    <n v="-0.37"/>
    <n v="1.32"/>
    <n v="1.7423999999999999"/>
    <x v="7"/>
    <s v="NA3WR"/>
    <n v="61"/>
    <s v="NA3WR-61"/>
  </r>
  <r>
    <x v="0"/>
    <x v="47"/>
    <s v="0.26-1.62"/>
    <n v="0.94"/>
    <s v="#9"/>
    <x v="0"/>
    <n v="1.62"/>
    <n v="0.26"/>
    <n v="0.68"/>
    <n v="0.46239999999999998"/>
    <x v="7"/>
    <s v="NA17QB"/>
    <n v="22"/>
    <s v="NA17QB-22"/>
  </r>
  <r>
    <x v="16"/>
    <x v="385"/>
    <s v="0.42-1.46"/>
    <n v="0.94"/>
    <s v="#22"/>
    <x v="0"/>
    <n v="1.46"/>
    <n v="0.42"/>
    <n v="0.52"/>
    <n v="0.27039999999999997"/>
    <x v="7"/>
    <s v="NA3QB"/>
    <n v="21"/>
    <s v="NA3QB-21"/>
  </r>
  <r>
    <x v="14"/>
    <x v="345"/>
    <s v="0.16-1.72"/>
    <n v="0.94"/>
    <s v="#19"/>
    <x v="1"/>
    <n v="1.72"/>
    <n v="0.16"/>
    <n v="0.78"/>
    <n v="0.60840000000000005"/>
    <x v="7"/>
    <s v="NA4RB"/>
    <n v="36"/>
    <s v="NA4RB-36"/>
  </r>
  <r>
    <x v="11"/>
    <x v="370"/>
    <s v="0.24-1.64"/>
    <n v="0.94"/>
    <s v="#24"/>
    <x v="0"/>
    <n v="1.64"/>
    <n v="0.24"/>
    <n v="0.7"/>
    <n v="0.49"/>
    <x v="7"/>
    <s v="NA14QB"/>
    <n v="24"/>
    <s v="NA14QB-24"/>
  </r>
  <r>
    <x v="8"/>
    <x v="360"/>
    <s v="0.45-1.43"/>
    <n v="0.94"/>
    <s v="#5"/>
    <x v="0"/>
    <n v="1.43"/>
    <n v="0.45"/>
    <n v="0.49"/>
    <n v="0.24010000000000001"/>
    <x v="7"/>
    <s v="NA6QB"/>
    <n v="22"/>
    <s v="NA6QB-22"/>
  </r>
  <r>
    <x v="12"/>
    <x v="341"/>
    <n v="-2.2000000000000002"/>
    <n v="0.94"/>
    <s v="#2"/>
    <x v="1"/>
    <n v="2.04"/>
    <n v="-0.16"/>
    <n v="1.1000000000000001"/>
    <n v="1.21"/>
    <x v="7"/>
    <s v="NA5RB"/>
    <n v="41"/>
    <s v="NA5RB-41"/>
  </r>
  <r>
    <x v="3"/>
    <x v="375"/>
    <s v="0.32-1.56"/>
    <n v="0.94"/>
    <s v="#16"/>
    <x v="0"/>
    <n v="1.56"/>
    <n v="0.32"/>
    <n v="0.62"/>
    <n v="0.38440000000000002"/>
    <x v="7"/>
    <s v="NA11QB"/>
    <n v="17"/>
    <s v="NA11QB-17"/>
  </r>
  <r>
    <x v="3"/>
    <x v="329"/>
    <s v="0.40-1.48"/>
    <n v="0.94"/>
    <s v="#14"/>
    <x v="0"/>
    <n v="1.48"/>
    <n v="0.4"/>
    <n v="0.54"/>
    <n v="0.29160000000000003"/>
    <x v="7"/>
    <s v="NA11QB"/>
    <n v="18"/>
    <s v="NA11QB-18"/>
  </r>
  <r>
    <x v="11"/>
    <x v="366"/>
    <s v="0.37-1.51"/>
    <n v="0.94"/>
    <s v="#11"/>
    <x v="0"/>
    <n v="1.51"/>
    <n v="0.37"/>
    <n v="0.56999999999999995"/>
    <n v="0.32490000000000002"/>
    <x v="7"/>
    <s v="NA14QB"/>
    <n v="25"/>
    <s v="NA14QB-25"/>
  </r>
  <r>
    <x v="9"/>
    <x v="173"/>
    <n v="-2.4000000000000004"/>
    <n v="0.94"/>
    <s v="#7"/>
    <x v="1"/>
    <n v="2.14"/>
    <n v="-0.26"/>
    <n v="1.2"/>
    <n v="1.44"/>
    <x v="7"/>
    <s v="NA15RB"/>
    <n v="44"/>
    <s v="NA15RB-44"/>
  </r>
  <r>
    <x v="0"/>
    <x v="356"/>
    <s v="0.34-1.54"/>
    <n v="0.94"/>
    <s v="#8"/>
    <x v="0"/>
    <n v="1.54"/>
    <n v="0.34"/>
    <n v="0.6"/>
    <n v="0.36"/>
    <x v="7"/>
    <s v="NA17QB"/>
    <n v="23"/>
    <s v="NA17QB-23"/>
  </r>
  <r>
    <x v="7"/>
    <x v="292"/>
    <n v="-3.9400000000000004"/>
    <n v="0.94"/>
    <s v="#25"/>
    <x v="2"/>
    <n v="2.91"/>
    <n v="-1.03"/>
    <n v="1.97"/>
    <n v="3.8809"/>
    <x v="7"/>
    <s v="NA1WR"/>
    <n v="59"/>
    <s v="NA1WR-59"/>
  </r>
  <r>
    <x v="15"/>
    <x v="372"/>
    <n v="-2.12"/>
    <n v="0.94"/>
    <s v="#6"/>
    <x v="3"/>
    <n v="2"/>
    <n v="-0.12"/>
    <n v="1.06"/>
    <n v="1.1235999999999999"/>
    <x v="7"/>
    <s v="NA10TE"/>
    <n v="45"/>
    <s v="NA10TE-45"/>
  </r>
  <r>
    <x v="11"/>
    <x v="372"/>
    <n v="-2.12"/>
    <n v="0.94"/>
    <s v="#6"/>
    <x v="3"/>
    <n v="2"/>
    <n v="-0.12"/>
    <n v="1.06"/>
    <n v="1.1235999999999999"/>
    <x v="7"/>
    <s v="NA14TE"/>
    <n v="54"/>
    <s v="NA14TE-54"/>
  </r>
  <r>
    <x v="12"/>
    <x v="386"/>
    <s v="0.00-1.88"/>
    <n v="0.94"/>
    <s v="#17"/>
    <x v="1"/>
    <n v="1.88"/>
    <n v="0"/>
    <n v="0.94"/>
    <n v="0.88360000000000005"/>
    <x v="7"/>
    <s v="NA5RB"/>
    <n v="42"/>
    <s v="NA5RB-42"/>
  </r>
  <r>
    <x v="12"/>
    <x v="286"/>
    <n v="-2.1599999999999997"/>
    <n v="0.93"/>
    <s v="#16"/>
    <x v="3"/>
    <n v="2.0099999999999998"/>
    <n v="-0.15"/>
    <n v="1.08"/>
    <n v="1.1664000000000001"/>
    <x v="7"/>
    <s v="NA5TE"/>
    <n v="54"/>
    <s v="NA5TE-54"/>
  </r>
  <r>
    <x v="4"/>
    <x v="387"/>
    <s v="0.33-1.53"/>
    <n v="0.93"/>
    <s v="#27"/>
    <x v="0"/>
    <n v="1.53"/>
    <n v="0.33"/>
    <n v="0.6"/>
    <n v="0.36"/>
    <x v="7"/>
    <s v="NA7QB"/>
    <n v="22"/>
    <s v="NA7QB-22"/>
  </r>
  <r>
    <x v="0"/>
    <x v="347"/>
    <n v="-2.46"/>
    <n v="0.93"/>
    <s v="#10"/>
    <x v="1"/>
    <n v="2.16"/>
    <n v="-0.3"/>
    <n v="1.23"/>
    <n v="1.5128999999999999"/>
    <x v="7"/>
    <s v="NA17RB"/>
    <n v="43"/>
    <s v="NA17RB-43"/>
  </r>
  <r>
    <x v="2"/>
    <x v="380"/>
    <s v="0.02-1.84"/>
    <n v="0.93"/>
    <s v="#21"/>
    <x v="2"/>
    <n v="1.84"/>
    <n v="0.02"/>
    <n v="0.91"/>
    <n v="0.82809999999999995"/>
    <x v="7"/>
    <s v="NA9WR"/>
    <n v="61"/>
    <s v="NA9WR-61"/>
  </r>
  <r>
    <x v="8"/>
    <x v="356"/>
    <s v="0.33-1.53"/>
    <n v="0.93"/>
    <s v="#26"/>
    <x v="0"/>
    <n v="1.53"/>
    <n v="0.33"/>
    <n v="0.6"/>
    <n v="0.36"/>
    <x v="7"/>
    <s v="NA6QB"/>
    <n v="23"/>
    <s v="NA6QB-23"/>
  </r>
  <r>
    <x v="1"/>
    <x v="356"/>
    <s v="0.38-1.48"/>
    <n v="0.93"/>
    <s v="#10"/>
    <x v="0"/>
    <n v="1.48"/>
    <n v="0.38"/>
    <n v="0.55000000000000004"/>
    <n v="0.30249999999999999"/>
    <x v="7"/>
    <s v="NA16QB"/>
    <n v="24"/>
    <s v="NA16QB-24"/>
  </r>
  <r>
    <x v="16"/>
    <x v="242"/>
    <s v="0.06-1.80"/>
    <n v="0.93"/>
    <s v="#31"/>
    <x v="2"/>
    <n v="1.8"/>
    <n v="0.06"/>
    <n v="0.87"/>
    <n v="0.75690000000000002"/>
    <x v="7"/>
    <s v="NA3WR"/>
    <n v="62"/>
    <s v="NA3WR-62"/>
  </r>
  <r>
    <x v="3"/>
    <x v="388"/>
    <s v="0.24-1.62"/>
    <n v="0.93"/>
    <s v="#32"/>
    <x v="0"/>
    <n v="1.62"/>
    <n v="0.24"/>
    <n v="0.69"/>
    <n v="0.47610000000000002"/>
    <x v="7"/>
    <s v="NA11QB"/>
    <n v="19"/>
    <s v="NA11QB-19"/>
  </r>
  <r>
    <x v="0"/>
    <x v="388"/>
    <s v="0.28-1.58"/>
    <n v="0.93"/>
    <s v="#18"/>
    <x v="0"/>
    <n v="1.58"/>
    <n v="0.28000000000000003"/>
    <n v="0.65"/>
    <n v="0.42249999999999999"/>
    <x v="7"/>
    <s v="NA17QB"/>
    <n v="24"/>
    <s v="NA17QB-24"/>
  </r>
  <r>
    <x v="8"/>
    <x v="358"/>
    <s v="0.04-1.82"/>
    <n v="0.93"/>
    <s v="#25"/>
    <x v="1"/>
    <n v="1.82"/>
    <n v="0.04"/>
    <n v="0.89"/>
    <n v="0.79210000000000003"/>
    <x v="7"/>
    <s v="NA6RB"/>
    <n v="40"/>
    <s v="NA6RB-40"/>
  </r>
  <r>
    <x v="14"/>
    <x v="214"/>
    <n v="-2.62"/>
    <n v="0.92"/>
    <s v="#29"/>
    <x v="2"/>
    <n v="2.23"/>
    <n v="-0.39"/>
    <n v="1.31"/>
    <n v="1.7161"/>
    <x v="7"/>
    <s v="NA4WR"/>
    <n v="54"/>
    <s v="NA4WR-54"/>
  </r>
  <r>
    <x v="3"/>
    <x v="293"/>
    <n v="-1.96"/>
    <n v="0.92"/>
    <s v="#32"/>
    <x v="2"/>
    <n v="1.9"/>
    <n v="-0.06"/>
    <n v="0.98"/>
    <n v="0.96040000000000003"/>
    <x v="7"/>
    <s v="NA11WR"/>
    <n v="53"/>
    <s v="NA11WR-53"/>
  </r>
  <r>
    <x v="4"/>
    <x v="389"/>
    <n v="-2.14"/>
    <n v="0.92"/>
    <s v="#19"/>
    <x v="2"/>
    <n v="1.99"/>
    <n v="-0.15"/>
    <n v="1.07"/>
    <n v="1.1449"/>
    <x v="7"/>
    <s v="NA7WR"/>
    <n v="61"/>
    <s v="NA7WR-61"/>
  </r>
  <r>
    <x v="1"/>
    <x v="372"/>
    <n v="-1.94"/>
    <n v="0.92"/>
    <s v="#31"/>
    <x v="3"/>
    <n v="1.89"/>
    <n v="-0.05"/>
    <n v="0.97"/>
    <n v="0.94089999999999996"/>
    <x v="7"/>
    <s v="NA16TE"/>
    <n v="54"/>
    <s v="NA16TE-54"/>
  </r>
  <r>
    <x v="10"/>
    <x v="365"/>
    <n v="-2.7"/>
    <n v="0.92"/>
    <s v="#32"/>
    <x v="1"/>
    <n v="2.27"/>
    <n v="-0.43"/>
    <n v="1.35"/>
    <n v="1.8225"/>
    <x v="7"/>
    <s v="NA2RB"/>
    <n v="33"/>
    <s v="NA2RB-33"/>
  </r>
  <r>
    <x v="7"/>
    <x v="308"/>
    <n v="-3.04"/>
    <n v="0.92"/>
    <s v="#17"/>
    <x v="1"/>
    <n v="2.44"/>
    <n v="-0.6"/>
    <n v="1.52"/>
    <n v="2.3104"/>
    <x v="7"/>
    <s v="NA1RB"/>
    <n v="32"/>
    <s v="NA1RB-32"/>
  </r>
  <r>
    <x v="15"/>
    <x v="370"/>
    <s v="0.23-1.59"/>
    <n v="0.91"/>
    <s v="#14"/>
    <x v="0"/>
    <n v="1.59"/>
    <n v="0.23"/>
    <n v="0.68"/>
    <n v="0.46239999999999998"/>
    <x v="7"/>
    <s v="NA10QB"/>
    <n v="21"/>
    <s v="NA10QB-21"/>
  </r>
  <r>
    <x v="6"/>
    <x v="379"/>
    <s v="0.06-1.76"/>
    <n v="0.91"/>
    <s v="#12"/>
    <x v="2"/>
    <n v="1.76"/>
    <n v="0.06"/>
    <n v="0.85"/>
    <n v="0.72250000000000003"/>
    <x v="7"/>
    <s v="NA12WR"/>
    <n v="65"/>
    <s v="NA12WR-65"/>
  </r>
  <r>
    <x v="14"/>
    <x v="390"/>
    <s v="0.31-1.51"/>
    <n v="0.91"/>
    <s v="#31"/>
    <x v="0"/>
    <n v="1.51"/>
    <n v="0.31"/>
    <n v="0.6"/>
    <n v="0.36"/>
    <x v="7"/>
    <s v="NA4QB"/>
    <n v="21"/>
    <s v="NA4QB-21"/>
  </r>
  <r>
    <x v="16"/>
    <x v="319"/>
    <n v="-2.2200000000000002"/>
    <n v="0.91"/>
    <s v="#28"/>
    <x v="2"/>
    <n v="2.02"/>
    <n v="-0.2"/>
    <n v="1.1100000000000001"/>
    <n v="1.2321"/>
    <x v="7"/>
    <s v="NA3WR"/>
    <n v="63"/>
    <s v="NA3WR-63"/>
  </r>
  <r>
    <x v="10"/>
    <x v="348"/>
    <n v="-2.76"/>
    <n v="0.91"/>
    <s v="#27"/>
    <x v="1"/>
    <n v="2.29"/>
    <n v="-0.47"/>
    <n v="1.38"/>
    <n v="1.9044000000000001"/>
    <x v="7"/>
    <s v="NA2RB"/>
    <n v="34"/>
    <s v="NA2RB-34"/>
  </r>
  <r>
    <x v="14"/>
    <x v="374"/>
    <s v="0.10-1.72"/>
    <n v="0.91"/>
    <s v="#18"/>
    <x v="1"/>
    <n v="1.72"/>
    <n v="0.1"/>
    <n v="0.81"/>
    <n v="0.65610000000000002"/>
    <x v="7"/>
    <s v="NA4RB"/>
    <n v="37"/>
    <s v="NA4RB-37"/>
  </r>
  <r>
    <x v="0"/>
    <x v="384"/>
    <s v="0.05-1.77"/>
    <n v="0.91"/>
    <s v="#26"/>
    <x v="2"/>
    <n v="1.77"/>
    <n v="0.05"/>
    <n v="0.86"/>
    <n v="0.73960000000000004"/>
    <x v="7"/>
    <s v="NA17WR"/>
    <n v="67"/>
    <s v="NA17WR-67"/>
  </r>
  <r>
    <x v="12"/>
    <x v="366"/>
    <s v="0.33-1.49"/>
    <n v="0.91"/>
    <s v="#16"/>
    <x v="0"/>
    <n v="1.49"/>
    <n v="0.33"/>
    <n v="0.57999999999999996"/>
    <n v="0.33639999999999998"/>
    <x v="7"/>
    <s v="NA5QB"/>
    <n v="22"/>
    <s v="NA5QB-22"/>
  </r>
  <r>
    <x v="11"/>
    <x v="391"/>
    <s v="0.05-1.77"/>
    <n v="0.91"/>
    <s v="#22"/>
    <x v="2"/>
    <n v="1.77"/>
    <n v="0.05"/>
    <n v="0.86"/>
    <n v="0.73960000000000004"/>
    <x v="7"/>
    <s v="NA14WR"/>
    <n v="67"/>
    <s v="NA14WR-67"/>
  </r>
  <r>
    <x v="14"/>
    <x v="166"/>
    <n v="-1.94"/>
    <n v="0.91"/>
    <s v="#13"/>
    <x v="1"/>
    <n v="1.88"/>
    <n v="-0.06"/>
    <n v="0.97"/>
    <n v="0.94089999999999996"/>
    <x v="7"/>
    <s v="NA4RB"/>
    <n v="38"/>
    <s v="NA4RB-38"/>
  </r>
  <r>
    <x v="4"/>
    <x v="35"/>
    <s v="0.33-1.49"/>
    <n v="0.91"/>
    <s v="#7"/>
    <x v="0"/>
    <n v="1.49"/>
    <n v="0.33"/>
    <n v="0.57999999999999996"/>
    <n v="0.33639999999999998"/>
    <x v="7"/>
    <s v="NA7QB"/>
    <n v="23"/>
    <s v="NA7QB-23"/>
  </r>
  <r>
    <x v="1"/>
    <x v="35"/>
    <s v="0.29-1.53"/>
    <n v="0.91"/>
    <s v="#27"/>
    <x v="0"/>
    <n v="1.53"/>
    <n v="0.28999999999999998"/>
    <n v="0.62"/>
    <n v="0.38440000000000002"/>
    <x v="7"/>
    <s v="NA16QB"/>
    <n v="25"/>
    <s v="NA16QB-25"/>
  </r>
  <r>
    <x v="10"/>
    <x v="371"/>
    <s v="0.29-1.53"/>
    <n v="0.91"/>
    <s v="#21"/>
    <x v="0"/>
    <n v="1.53"/>
    <n v="0.28999999999999998"/>
    <n v="0.62"/>
    <n v="0.38440000000000002"/>
    <x v="7"/>
    <s v="NA2QB"/>
    <n v="22"/>
    <s v="NA2QB-22"/>
  </r>
  <r>
    <x v="0"/>
    <x v="359"/>
    <s v="0.38-1.42"/>
    <n v="0.9"/>
    <s v="#13"/>
    <x v="0"/>
    <n v="1.42"/>
    <n v="0.38"/>
    <n v="0.52"/>
    <n v="0.27039999999999997"/>
    <x v="7"/>
    <s v="NA17QB"/>
    <n v="25"/>
    <s v="NA17QB-25"/>
  </r>
  <r>
    <x v="10"/>
    <x v="41"/>
    <s v="0.29-1.51"/>
    <n v="0.9"/>
    <s v="#28"/>
    <x v="0"/>
    <n v="1.51"/>
    <n v="0.28999999999999998"/>
    <n v="0.61"/>
    <n v="0.37209999999999999"/>
    <x v="7"/>
    <s v="NA2QB"/>
    <n v="23"/>
    <s v="NA2QB-23"/>
  </r>
  <r>
    <x v="4"/>
    <x v="390"/>
    <s v="0.28-1.52"/>
    <n v="0.9"/>
    <s v="#17"/>
    <x v="0"/>
    <n v="1.52"/>
    <n v="0.28000000000000003"/>
    <n v="0.62"/>
    <n v="0.38440000000000002"/>
    <x v="7"/>
    <s v="NA7QB"/>
    <n v="24"/>
    <s v="NA7QB-24"/>
  </r>
  <r>
    <x v="4"/>
    <x v="374"/>
    <s v="0.12-1.68"/>
    <n v="0.9"/>
    <s v="#14"/>
    <x v="1"/>
    <n v="1.68"/>
    <n v="0.12"/>
    <n v="0.78"/>
    <n v="0.60840000000000005"/>
    <x v="7"/>
    <s v="NA7RB"/>
    <n v="36"/>
    <s v="NA7RB-36"/>
  </r>
  <r>
    <x v="0"/>
    <x v="329"/>
    <s v="0.36-1.44"/>
    <n v="0.9"/>
    <s v="#14"/>
    <x v="0"/>
    <n v="1.44"/>
    <n v="0.36"/>
    <n v="0.54"/>
    <n v="0.29160000000000003"/>
    <x v="7"/>
    <s v="NA17QB"/>
    <n v="26"/>
    <s v="NA17QB-26"/>
  </r>
  <r>
    <x v="10"/>
    <x v="318"/>
    <n v="-1.96"/>
    <n v="0.9"/>
    <s v="#8"/>
    <x v="2"/>
    <n v="1.88"/>
    <n v="-0.08"/>
    <n v="0.98"/>
    <n v="0.96040000000000003"/>
    <x v="7"/>
    <s v="NA2WR"/>
    <n v="60"/>
    <s v="NA2WR-60"/>
  </r>
  <r>
    <x v="4"/>
    <x v="372"/>
    <n v="-2.2400000000000002"/>
    <n v="0.9"/>
    <s v="#12"/>
    <x v="3"/>
    <n v="2.02"/>
    <n v="-0.22"/>
    <n v="1.1200000000000001"/>
    <n v="1.2544"/>
    <x v="7"/>
    <s v="NA7TE"/>
    <n v="49"/>
    <s v="NA7TE-49"/>
  </r>
  <r>
    <x v="10"/>
    <x v="242"/>
    <s v="0.00-1.80"/>
    <n v="0.9"/>
    <s v="#32"/>
    <x v="2"/>
    <n v="1.8"/>
    <n v="0"/>
    <n v="0.9"/>
    <n v="0.81"/>
    <x v="7"/>
    <s v="NA2WR"/>
    <n v="61"/>
    <s v="NA2WR-61"/>
  </r>
  <r>
    <x v="13"/>
    <x v="388"/>
    <s v="0.23-1.57"/>
    <n v="0.9"/>
    <s v="#21"/>
    <x v="0"/>
    <n v="1.57"/>
    <n v="0.23"/>
    <n v="0.67"/>
    <n v="0.44890000000000002"/>
    <x v="7"/>
    <s v="NA8QB"/>
    <n v="24"/>
    <s v="NA8QB-24"/>
  </r>
  <r>
    <x v="11"/>
    <x v="385"/>
    <s v="0.28-1.50"/>
    <n v="0.89"/>
    <s v="#9"/>
    <x v="0"/>
    <n v="1.5"/>
    <n v="0.28000000000000003"/>
    <n v="0.61"/>
    <n v="0.37209999999999999"/>
    <x v="7"/>
    <s v="NA14QB"/>
    <n v="26"/>
    <s v="NA14QB-26"/>
  </r>
  <r>
    <x v="15"/>
    <x v="390"/>
    <s v="0.26-1.52"/>
    <n v="0.89"/>
    <s v="#28"/>
    <x v="0"/>
    <n v="1.52"/>
    <n v="0.26"/>
    <n v="0.63"/>
    <n v="0.39689999999999998"/>
    <x v="7"/>
    <s v="NA10QB"/>
    <n v="22"/>
    <s v="NA10QB-22"/>
  </r>
  <r>
    <x v="2"/>
    <x v="392"/>
    <s v="0.27-1.51"/>
    <n v="0.89"/>
    <s v="#29"/>
    <x v="0"/>
    <n v="1.51"/>
    <n v="0.27"/>
    <n v="0.62"/>
    <n v="0.38440000000000002"/>
    <x v="7"/>
    <s v="NA9QB"/>
    <n v="22"/>
    <s v="NA9QB-22"/>
  </r>
  <r>
    <x v="9"/>
    <x v="328"/>
    <n v="-1.9000000000000001"/>
    <n v="0.89"/>
    <s v="#32"/>
    <x v="2"/>
    <n v="1.84"/>
    <n v="-0.06"/>
    <n v="0.95"/>
    <n v="0.90249999999999997"/>
    <x v="7"/>
    <s v="NA15WR"/>
    <n v="67"/>
    <s v="NA15WR-67"/>
  </r>
  <r>
    <x v="6"/>
    <x v="393"/>
    <s v="0.04-1.74"/>
    <n v="0.89"/>
    <s v="#21"/>
    <x v="1"/>
    <n v="1.74"/>
    <n v="0.04"/>
    <n v="0.85"/>
    <n v="0.72250000000000003"/>
    <x v="7"/>
    <s v="NA12RB"/>
    <n v="41"/>
    <s v="NA12RB-41"/>
  </r>
  <r>
    <x v="16"/>
    <x v="35"/>
    <s v="0.23-1.55"/>
    <n v="0.89"/>
    <s v="#9"/>
    <x v="0"/>
    <n v="1.55"/>
    <n v="0.23"/>
    <n v="0.66"/>
    <n v="0.43559999999999999"/>
    <x v="7"/>
    <s v="NA3QB"/>
    <n v="22"/>
    <s v="NA3QB-22"/>
  </r>
  <r>
    <x v="15"/>
    <x v="35"/>
    <s v="0.26-1.52"/>
    <n v="0.89"/>
    <s v="#23"/>
    <x v="0"/>
    <n v="1.52"/>
    <n v="0.26"/>
    <n v="0.63"/>
    <n v="0.39689999999999998"/>
    <x v="7"/>
    <s v="NA10QB"/>
    <n v="23"/>
    <s v="NA10QB-23"/>
  </r>
  <r>
    <x v="6"/>
    <x v="35"/>
    <s v="0.29-1.49"/>
    <n v="0.89"/>
    <s v="#22"/>
    <x v="0"/>
    <n v="1.49"/>
    <n v="0.28999999999999998"/>
    <n v="0.6"/>
    <n v="0.36"/>
    <x v="7"/>
    <s v="NA12QB"/>
    <n v="25"/>
    <s v="NA12QB-25"/>
  </r>
  <r>
    <x v="8"/>
    <x v="372"/>
    <n v="-2.02"/>
    <n v="0.89"/>
    <s v="#3"/>
    <x v="3"/>
    <n v="1.9"/>
    <n v="-0.12"/>
    <n v="1.01"/>
    <n v="1.0201"/>
    <x v="7"/>
    <s v="NA6TE"/>
    <n v="49"/>
    <s v="NA6TE-49"/>
  </r>
  <r>
    <x v="3"/>
    <x v="372"/>
    <n v="-2.12"/>
    <n v="0.89"/>
    <s v="#29"/>
    <x v="3"/>
    <n v="1.95"/>
    <n v="-0.17"/>
    <n v="1.06"/>
    <n v="1.1235999999999999"/>
    <x v="7"/>
    <s v="NA11TE"/>
    <n v="44"/>
    <s v="NA11TE-44"/>
  </r>
  <r>
    <x v="4"/>
    <x v="371"/>
    <s v="0.32-1.46"/>
    <n v="0.89"/>
    <s v="#4"/>
    <x v="0"/>
    <n v="1.46"/>
    <n v="0.32"/>
    <n v="0.56999999999999995"/>
    <n v="0.32490000000000002"/>
    <x v="7"/>
    <s v="NA7QB"/>
    <n v="25"/>
    <s v="NA7QB-25"/>
  </r>
  <r>
    <x v="11"/>
    <x v="371"/>
    <s v="0.32-1.46"/>
    <n v="0.89"/>
    <s v="#8"/>
    <x v="0"/>
    <n v="1.46"/>
    <n v="0.32"/>
    <n v="0.56999999999999995"/>
    <n v="0.32490000000000002"/>
    <x v="7"/>
    <s v="NA14QB"/>
    <n v="27"/>
    <s v="NA14QB-27"/>
  </r>
  <r>
    <x v="1"/>
    <x v="352"/>
    <n v="-2.4"/>
    <n v="0.88"/>
    <s v="#25"/>
    <x v="1"/>
    <n v="2.08"/>
    <n v="-0.32"/>
    <n v="1.2"/>
    <n v="1.44"/>
    <x v="7"/>
    <s v="NA16RB"/>
    <n v="44"/>
    <s v="NA16RB-44"/>
  </r>
  <r>
    <x v="16"/>
    <x v="32"/>
    <s v="0.28-1.48"/>
    <n v="0.88"/>
    <s v="#4"/>
    <x v="0"/>
    <n v="1.48"/>
    <n v="0.28000000000000003"/>
    <n v="0.6"/>
    <n v="0.36"/>
    <x v="1"/>
    <s v="perry3QB"/>
    <n v="2"/>
    <s v="perry3QB-2"/>
  </r>
  <r>
    <x v="3"/>
    <x v="47"/>
    <s v="0.20-1.56"/>
    <n v="0.88"/>
    <s v="#9"/>
    <x v="0"/>
    <n v="1.56"/>
    <n v="0.2"/>
    <n v="0.68"/>
    <n v="0.46239999999999998"/>
    <x v="7"/>
    <s v="NA11QB"/>
    <n v="20"/>
    <s v="NA11QB-20"/>
  </r>
  <r>
    <x v="6"/>
    <x v="47"/>
    <s v="0.23-1.53"/>
    <n v="0.88"/>
    <s v="#27"/>
    <x v="0"/>
    <n v="1.53"/>
    <n v="0.23"/>
    <n v="0.65"/>
    <n v="0.42249999999999999"/>
    <x v="7"/>
    <s v="NA12QB"/>
    <n v="26"/>
    <s v="NA12QB-26"/>
  </r>
  <r>
    <x v="12"/>
    <x v="385"/>
    <s v="0.27-1.49"/>
    <n v="0.88"/>
    <s v="#23"/>
    <x v="0"/>
    <n v="1.49"/>
    <n v="0.27"/>
    <n v="0.61"/>
    <n v="0.37209999999999999"/>
    <x v="7"/>
    <s v="NA5QB"/>
    <n v="23"/>
    <s v="NA5QB-23"/>
  </r>
  <r>
    <x v="8"/>
    <x v="385"/>
    <s v="0.34-1.42"/>
    <n v="0.88"/>
    <s v="#11"/>
    <x v="0"/>
    <n v="1.42"/>
    <n v="0.34"/>
    <n v="0.54"/>
    <n v="0.29160000000000003"/>
    <x v="7"/>
    <s v="NA6QB"/>
    <n v="24"/>
    <s v="NA6QB-24"/>
  </r>
  <r>
    <x v="14"/>
    <x v="359"/>
    <s v="0.41-1.35"/>
    <n v="0.88"/>
    <s v="#13"/>
    <x v="0"/>
    <n v="1.35"/>
    <n v="0.41"/>
    <n v="0.47"/>
    <n v="0.22090000000000001"/>
    <x v="7"/>
    <s v="NA4QB"/>
    <n v="22"/>
    <s v="NA4QB-22"/>
  </r>
  <r>
    <x v="4"/>
    <x v="379"/>
    <s v="0.03-1.73"/>
    <n v="0.88"/>
    <s v="#12"/>
    <x v="2"/>
    <n v="1.73"/>
    <n v="0.03"/>
    <n v="0.85"/>
    <n v="0.72250000000000003"/>
    <x v="7"/>
    <s v="NA7WR"/>
    <n v="62"/>
    <s v="NA7WR-62"/>
  </r>
  <r>
    <x v="9"/>
    <x v="390"/>
    <s v="0.27-1.49"/>
    <n v="0.88"/>
    <s v="#21"/>
    <x v="0"/>
    <n v="1.49"/>
    <n v="0.27"/>
    <n v="0.61"/>
    <n v="0.37209999999999999"/>
    <x v="7"/>
    <s v="NA15QB"/>
    <n v="28"/>
    <s v="NA15QB-28"/>
  </r>
  <r>
    <x v="12"/>
    <x v="387"/>
    <s v="0.28-1.48"/>
    <n v="0.88"/>
    <s v="#32"/>
    <x v="0"/>
    <n v="1.48"/>
    <n v="0.28000000000000003"/>
    <n v="0.6"/>
    <n v="0.36"/>
    <x v="7"/>
    <s v="NA5QB"/>
    <n v="24"/>
    <s v="NA5QB-24"/>
  </r>
  <r>
    <x v="5"/>
    <x v="387"/>
    <s v="0.32-1.44"/>
    <n v="0.88"/>
    <s v="#9"/>
    <x v="0"/>
    <n v="1.44"/>
    <n v="0.32"/>
    <n v="0.56000000000000005"/>
    <n v="0.31359999999999999"/>
    <x v="7"/>
    <s v="NA13QB"/>
    <n v="26"/>
    <s v="NA13QB-26"/>
  </r>
  <r>
    <x v="3"/>
    <x v="392"/>
    <s v="0.25-1.51"/>
    <n v="0.88"/>
    <s v="#27"/>
    <x v="0"/>
    <n v="1.51"/>
    <n v="0.25"/>
    <n v="0.63"/>
    <n v="0.39689999999999998"/>
    <x v="7"/>
    <s v="NA11QB"/>
    <n v="21"/>
    <s v="NA11QB-21"/>
  </r>
  <r>
    <x v="11"/>
    <x v="392"/>
    <s v="0.29-1.47"/>
    <n v="0.88"/>
    <s v="#22"/>
    <x v="0"/>
    <n v="1.47"/>
    <n v="0.28999999999999998"/>
    <n v="0.59"/>
    <n v="0.34810000000000002"/>
    <x v="7"/>
    <s v="NA14QB"/>
    <n v="28"/>
    <s v="NA14QB-28"/>
  </r>
  <r>
    <x v="4"/>
    <x v="375"/>
    <s v="0.27-1.49"/>
    <n v="0.88"/>
    <s v="#14"/>
    <x v="0"/>
    <n v="1.49"/>
    <n v="0.27"/>
    <n v="0.61"/>
    <n v="0.37209999999999999"/>
    <x v="7"/>
    <s v="NA7QB"/>
    <n v="26"/>
    <s v="NA7QB-26"/>
  </r>
  <r>
    <x v="6"/>
    <x v="375"/>
    <s v="0.26-1.50"/>
    <n v="0.88"/>
    <s v="#13"/>
    <x v="0"/>
    <n v="1.5"/>
    <n v="0.26"/>
    <n v="0.62"/>
    <n v="0.38440000000000002"/>
    <x v="7"/>
    <s v="NA12QB"/>
    <n v="27"/>
    <s v="NA12QB-27"/>
  </r>
  <r>
    <x v="11"/>
    <x v="375"/>
    <s v="0.26-1.50"/>
    <n v="0.88"/>
    <s v="#19"/>
    <x v="0"/>
    <n v="1.5"/>
    <n v="0.26"/>
    <n v="0.62"/>
    <n v="0.38440000000000002"/>
    <x v="7"/>
    <s v="NA14QB"/>
    <n v="29"/>
    <s v="NA14QB-29"/>
  </r>
  <r>
    <x v="0"/>
    <x v="375"/>
    <s v="0.26-1.50"/>
    <n v="0.88"/>
    <s v="#16"/>
    <x v="0"/>
    <n v="1.5"/>
    <n v="0.26"/>
    <n v="0.62"/>
    <n v="0.38440000000000002"/>
    <x v="7"/>
    <s v="NA17QB"/>
    <n v="27"/>
    <s v="NA17QB-27"/>
  </r>
  <r>
    <x v="1"/>
    <x v="329"/>
    <s v="0.39-1.37"/>
    <n v="0.88"/>
    <s v="#22"/>
    <x v="0"/>
    <n v="1.37"/>
    <n v="0.39"/>
    <n v="0.49"/>
    <n v="0.24010000000000001"/>
    <x v="7"/>
    <s v="NA16QB"/>
    <n v="26"/>
    <s v="NA16QB-26"/>
  </r>
  <r>
    <x v="12"/>
    <x v="380"/>
    <n v="-1.86"/>
    <n v="0.88"/>
    <s v="#9"/>
    <x v="2"/>
    <n v="1.81"/>
    <n v="-0.05"/>
    <n v="0.93"/>
    <n v="0.8649"/>
    <x v="7"/>
    <s v="NA5WR"/>
    <n v="77"/>
    <s v="NA5WR-77"/>
  </r>
  <r>
    <x v="9"/>
    <x v="372"/>
    <n v="-2.2400000000000002"/>
    <n v="0.88"/>
    <s v="#9"/>
    <x v="3"/>
    <n v="2"/>
    <n v="-0.24"/>
    <n v="1.1200000000000001"/>
    <n v="1.2544"/>
    <x v="7"/>
    <s v="NA15TE"/>
    <n v="54"/>
    <s v="NA15TE-54"/>
  </r>
  <r>
    <x v="4"/>
    <x v="388"/>
    <s v="0.23-1.53"/>
    <n v="0.88"/>
    <s v="#18"/>
    <x v="0"/>
    <n v="1.53"/>
    <n v="0.23"/>
    <n v="0.65"/>
    <n v="0.42249999999999999"/>
    <x v="7"/>
    <s v="NA7QB"/>
    <n v="27"/>
    <s v="NA7QB-27"/>
  </r>
  <r>
    <x v="2"/>
    <x v="388"/>
    <s v="0.22-1.54"/>
    <n v="0.88"/>
    <s v="#30"/>
    <x v="0"/>
    <n v="1.54"/>
    <n v="0.22"/>
    <n v="0.66"/>
    <n v="0.43559999999999999"/>
    <x v="7"/>
    <s v="NA9QB"/>
    <n v="23"/>
    <s v="NA9QB-23"/>
  </r>
  <r>
    <x v="5"/>
    <x v="388"/>
    <s v="0.20-1.56"/>
    <n v="0.88"/>
    <s v="#28"/>
    <x v="0"/>
    <n v="1.56"/>
    <n v="0.2"/>
    <n v="0.68"/>
    <n v="0.46239999999999998"/>
    <x v="7"/>
    <s v="NA13QB"/>
    <n v="27"/>
    <s v="NA13QB-27"/>
  </r>
  <r>
    <x v="2"/>
    <x v="47"/>
    <s v="0.18-1.56"/>
    <n v="0.87"/>
    <s v="#23"/>
    <x v="0"/>
    <n v="1.56"/>
    <n v="0.18"/>
    <n v="0.69"/>
    <n v="0.47610000000000002"/>
    <x v="7"/>
    <s v="NA9QB"/>
    <n v="24"/>
    <s v="NA9QB-24"/>
  </r>
  <r>
    <x v="15"/>
    <x v="47"/>
    <s v="0.20-1.54"/>
    <n v="0.87"/>
    <s v="#17"/>
    <x v="0"/>
    <n v="1.54"/>
    <n v="0.2"/>
    <n v="0.67"/>
    <n v="0.44890000000000002"/>
    <x v="7"/>
    <s v="NA10QB"/>
    <n v="24"/>
    <s v="NA10QB-24"/>
  </r>
  <r>
    <x v="12"/>
    <x v="336"/>
    <s v="0.02-1.72"/>
    <n v="0.87"/>
    <s v="#32"/>
    <x v="1"/>
    <n v="1.72"/>
    <n v="0.02"/>
    <n v="0.85"/>
    <n v="0.72250000000000003"/>
    <x v="7"/>
    <s v="NA5RB"/>
    <n v="43"/>
    <s v="NA5RB-43"/>
  </r>
  <r>
    <x v="12"/>
    <x v="379"/>
    <n v="-2"/>
    <n v="0.87"/>
    <s v="#27"/>
    <x v="2"/>
    <n v="1.87"/>
    <n v="-0.13"/>
    <n v="1"/>
    <n v="1"/>
    <x v="7"/>
    <s v="NA5WR"/>
    <n v="78"/>
    <s v="NA5WR-78"/>
  </r>
  <r>
    <x v="5"/>
    <x v="390"/>
    <s v="0.26-1.48"/>
    <n v="0.87"/>
    <s v="#22"/>
    <x v="0"/>
    <n v="1.48"/>
    <n v="0.26"/>
    <n v="0.61"/>
    <n v="0.37209999999999999"/>
    <x v="7"/>
    <s v="NA13QB"/>
    <n v="28"/>
    <s v="NA13QB-28"/>
  </r>
  <r>
    <x v="0"/>
    <x v="387"/>
    <s v="0.27-1.47"/>
    <n v="0.87"/>
    <s v="#27"/>
    <x v="0"/>
    <n v="1.47"/>
    <n v="0.27"/>
    <n v="0.6"/>
    <n v="0.36"/>
    <x v="7"/>
    <s v="NA17QB"/>
    <n v="28"/>
    <s v="NA17QB-28"/>
  </r>
  <r>
    <x v="4"/>
    <x v="392"/>
    <s v="0.26-1.48"/>
    <n v="0.87"/>
    <s v="#23"/>
    <x v="0"/>
    <n v="1.48"/>
    <n v="0.26"/>
    <n v="0.61"/>
    <n v="0.37209999999999999"/>
    <x v="7"/>
    <s v="NA7QB"/>
    <n v="28"/>
    <s v="NA7QB-28"/>
  </r>
  <r>
    <x v="12"/>
    <x v="329"/>
    <s v="0.36-1.38"/>
    <n v="0.87"/>
    <s v="#17"/>
    <x v="0"/>
    <n v="1.38"/>
    <n v="0.36"/>
    <n v="0.51"/>
    <n v="0.2601"/>
    <x v="7"/>
    <s v="NA5QB"/>
    <n v="25"/>
    <s v="NA5QB-25"/>
  </r>
  <r>
    <x v="9"/>
    <x v="335"/>
    <s v="0.13-1.61"/>
    <n v="0.87"/>
    <s v="#14"/>
    <x v="3"/>
    <n v="1.61"/>
    <n v="0.13"/>
    <n v="0.74"/>
    <n v="0.54759999999999998"/>
    <x v="7"/>
    <s v="NA15TE"/>
    <n v="55"/>
    <s v="NA15TE-55"/>
  </r>
  <r>
    <x v="5"/>
    <x v="293"/>
    <n v="-1.9000000000000001"/>
    <n v="0.87"/>
    <s v="#28"/>
    <x v="2"/>
    <n v="1.82"/>
    <n v="-0.08"/>
    <n v="0.95"/>
    <n v="0.90249999999999997"/>
    <x v="7"/>
    <s v="NA13WR"/>
    <n v="67"/>
    <s v="NA13WR-67"/>
  </r>
  <r>
    <x v="13"/>
    <x v="391"/>
    <s v="0.01-1.73"/>
    <n v="0.87"/>
    <s v="#22"/>
    <x v="2"/>
    <n v="1.73"/>
    <n v="0.01"/>
    <n v="0.86"/>
    <n v="0.73960000000000004"/>
    <x v="7"/>
    <s v="NA8WR"/>
    <n v="60"/>
    <s v="NA8WR-60"/>
  </r>
  <r>
    <x v="2"/>
    <x v="391"/>
    <n v="-1.82"/>
    <n v="0.87"/>
    <s v="#29"/>
    <x v="2"/>
    <n v="1.78"/>
    <n v="-0.04"/>
    <n v="0.91"/>
    <n v="0.82809999999999995"/>
    <x v="7"/>
    <s v="NA9WR"/>
    <n v="62"/>
    <s v="NA9WR-62"/>
  </r>
  <r>
    <x v="6"/>
    <x v="394"/>
    <s v="0.08-1.66"/>
    <n v="0.87"/>
    <s v="#29"/>
    <x v="1"/>
    <n v="1.66"/>
    <n v="0.08"/>
    <n v="0.79"/>
    <n v="0.62409999999999999"/>
    <x v="7"/>
    <s v="NA12RB"/>
    <n v="42"/>
    <s v="NA12RB-42"/>
  </r>
  <r>
    <x v="11"/>
    <x v="394"/>
    <s v="0.11-1.63"/>
    <n v="0.87"/>
    <s v="#31"/>
    <x v="1"/>
    <n v="1.63"/>
    <n v="0.11"/>
    <n v="0.76"/>
    <n v="0.5776"/>
    <x v="7"/>
    <s v="NA14RB"/>
    <n v="45"/>
    <s v="NA14RB-45"/>
  </r>
  <r>
    <x v="5"/>
    <x v="395"/>
    <s v="0.25-1.47"/>
    <n v="0.86"/>
    <s v="#32"/>
    <x v="0"/>
    <n v="1.47"/>
    <n v="0.25"/>
    <n v="0.61"/>
    <n v="0.37209999999999999"/>
    <x v="7"/>
    <s v="NA13QB"/>
    <n v="29"/>
    <s v="NA13QB-29"/>
  </r>
  <r>
    <x v="13"/>
    <x v="385"/>
    <s v="0.29-1.43"/>
    <n v="0.86"/>
    <s v="#24"/>
    <x v="0"/>
    <n v="1.43"/>
    <n v="0.28999999999999998"/>
    <n v="0.56999999999999995"/>
    <n v="0.32490000000000002"/>
    <x v="7"/>
    <s v="NA8QB"/>
    <n v="25"/>
    <s v="NA8QB-25"/>
  </r>
  <r>
    <x v="6"/>
    <x v="385"/>
    <s v="0.30-1.42"/>
    <n v="0.86"/>
    <s v="#14"/>
    <x v="0"/>
    <n v="1.42"/>
    <n v="0.3"/>
    <n v="0.56000000000000005"/>
    <n v="0.31359999999999999"/>
    <x v="7"/>
    <s v="NA12QB"/>
    <n v="28"/>
    <s v="NA12QB-28"/>
  </r>
  <r>
    <x v="0"/>
    <x v="370"/>
    <s v="0.21-1.51"/>
    <n v="0.86"/>
    <s v="#4"/>
    <x v="0"/>
    <n v="1.51"/>
    <n v="0.21"/>
    <n v="0.65"/>
    <n v="0.42249999999999999"/>
    <x v="7"/>
    <s v="NA17QB"/>
    <n v="29"/>
    <s v="NA17QB-29"/>
  </r>
  <r>
    <x v="16"/>
    <x v="41"/>
    <s v="0.24-1.48"/>
    <n v="0.86"/>
    <s v="#32"/>
    <x v="0"/>
    <n v="1.48"/>
    <n v="0.24"/>
    <n v="0.62"/>
    <n v="0.38440000000000002"/>
    <x v="7"/>
    <s v="NA3QB"/>
    <n v="23"/>
    <s v="NA3QB-23"/>
  </r>
  <r>
    <x v="8"/>
    <x v="387"/>
    <s v="0.30-1.42"/>
    <n v="0.86"/>
    <s v="#23"/>
    <x v="0"/>
    <n v="1.42"/>
    <n v="0.3"/>
    <n v="0.56000000000000005"/>
    <n v="0.31359999999999999"/>
    <x v="7"/>
    <s v="NA6QB"/>
    <n v="25"/>
    <s v="NA6QB-25"/>
  </r>
  <r>
    <x v="15"/>
    <x v="382"/>
    <s v="0.05-1.67"/>
    <n v="0.86"/>
    <s v="#23"/>
    <x v="2"/>
    <n v="1.67"/>
    <n v="0.05"/>
    <n v="0.81"/>
    <n v="0.65610000000000002"/>
    <x v="7"/>
    <s v="NA10WR"/>
    <n v="62"/>
    <s v="NA10WR-62"/>
  </r>
  <r>
    <x v="11"/>
    <x v="374"/>
    <s v="0.14-1.58"/>
    <n v="0.86"/>
    <s v="#19"/>
    <x v="1"/>
    <n v="1.58"/>
    <n v="0.14000000000000001"/>
    <n v="0.72"/>
    <n v="0.51839999999999997"/>
    <x v="7"/>
    <s v="NA14RB"/>
    <n v="46"/>
    <s v="NA14RB-46"/>
  </r>
  <r>
    <x v="8"/>
    <x v="375"/>
    <s v="0.25-1.47"/>
    <n v="0.86"/>
    <s v="#2"/>
    <x v="0"/>
    <n v="1.47"/>
    <n v="0.25"/>
    <n v="0.61"/>
    <n v="0.37209999999999999"/>
    <x v="7"/>
    <s v="NA6QB"/>
    <n v="26"/>
    <s v="NA6QB-26"/>
  </r>
  <r>
    <x v="15"/>
    <x v="328"/>
    <n v="-1.8800000000000001"/>
    <n v="0.86"/>
    <s v="#25"/>
    <x v="2"/>
    <n v="1.8"/>
    <n v="-0.08"/>
    <n v="0.94"/>
    <n v="0.88360000000000005"/>
    <x v="7"/>
    <s v="NA10WR"/>
    <n v="63"/>
    <s v="NA10WR-63"/>
  </r>
  <r>
    <x v="0"/>
    <x v="335"/>
    <s v="0.19-1.53"/>
    <n v="0.86"/>
    <s v="#23"/>
    <x v="3"/>
    <n v="1.53"/>
    <n v="0.19"/>
    <n v="0.67"/>
    <n v="0.44890000000000002"/>
    <x v="7"/>
    <s v="NA17TE"/>
    <n v="54"/>
    <s v="NA17TE-54"/>
  </r>
  <r>
    <x v="8"/>
    <x v="384"/>
    <n v="-1.82"/>
    <n v="0.86"/>
    <s v="#24"/>
    <x v="2"/>
    <n v="1.77"/>
    <n v="-0.05"/>
    <n v="0.91"/>
    <n v="0.82809999999999995"/>
    <x v="7"/>
    <s v="NA6WR"/>
    <n v="66"/>
    <s v="NA6WR-66"/>
  </r>
  <r>
    <x v="15"/>
    <x v="384"/>
    <n v="-1.78"/>
    <n v="0.86"/>
    <s v="#28"/>
    <x v="2"/>
    <n v="1.75"/>
    <n v="-0.03"/>
    <n v="0.89"/>
    <n v="0.79210000000000003"/>
    <x v="7"/>
    <s v="NA10WR"/>
    <n v="64"/>
    <s v="NA10WR-64"/>
  </r>
  <r>
    <x v="11"/>
    <x v="384"/>
    <s v="0.00-1.72"/>
    <n v="0.86"/>
    <s v="#10"/>
    <x v="2"/>
    <n v="1.72"/>
    <n v="0"/>
    <n v="0.86"/>
    <n v="0.73960000000000004"/>
    <x v="7"/>
    <s v="NA14WR"/>
    <n v="68"/>
    <s v="NA14WR-68"/>
  </r>
  <r>
    <x v="9"/>
    <x v="384"/>
    <n v="-1.82"/>
    <n v="0.86"/>
    <s v="#21"/>
    <x v="2"/>
    <n v="1.77"/>
    <n v="-0.05"/>
    <n v="0.91"/>
    <n v="0.82809999999999995"/>
    <x v="7"/>
    <s v="NA15WR"/>
    <n v="68"/>
    <s v="NA15WR-68"/>
  </r>
  <r>
    <x v="7"/>
    <x v="337"/>
    <n v="-1.98"/>
    <n v="0.86"/>
    <s v="#5"/>
    <x v="3"/>
    <n v="1.85"/>
    <n v="-0.13"/>
    <n v="0.99"/>
    <n v="0.98009999999999997"/>
    <x v="7"/>
    <s v="NA1TE"/>
    <n v="44"/>
    <s v="NA1TE-44"/>
  </r>
  <r>
    <x v="12"/>
    <x v="396"/>
    <n v="-1.9200000000000002"/>
    <n v="0.86"/>
    <s v="#32"/>
    <x v="2"/>
    <n v="1.82"/>
    <n v="-0.1"/>
    <n v="0.96"/>
    <n v="0.92159999999999997"/>
    <x v="7"/>
    <s v="NA5WR"/>
    <n v="79"/>
    <s v="NA5WR-79"/>
  </r>
  <r>
    <x v="7"/>
    <x v="365"/>
    <n v="-2.86"/>
    <n v="0.86"/>
    <s v="#2"/>
    <x v="1"/>
    <n v="2.29"/>
    <n v="-0.56999999999999995"/>
    <n v="1.43"/>
    <n v="2.0449000000000002"/>
    <x v="7"/>
    <s v="NA1RB"/>
    <n v="33"/>
    <s v="NA1RB-33"/>
  </r>
  <r>
    <x v="6"/>
    <x v="308"/>
    <s v="0.11-1.61"/>
    <n v="0.86"/>
    <s v="#14"/>
    <x v="1"/>
    <n v="1.61"/>
    <n v="0.11"/>
    <n v="0.75"/>
    <n v="0.5625"/>
    <x v="7"/>
    <s v="NA12RB"/>
    <n v="43"/>
    <s v="NA12RB-43"/>
  </r>
  <r>
    <x v="12"/>
    <x v="394"/>
    <s v="0.14-1.58"/>
    <n v="0.86"/>
    <s v="#12"/>
    <x v="1"/>
    <n v="1.58"/>
    <n v="0.14000000000000001"/>
    <n v="0.72"/>
    <n v="0.51839999999999997"/>
    <x v="7"/>
    <s v="NA5RB"/>
    <n v="44"/>
    <s v="NA5RB-44"/>
  </r>
  <r>
    <x v="10"/>
    <x v="352"/>
    <n v="-2.12"/>
    <n v="0.85"/>
    <s v="#25"/>
    <x v="1"/>
    <n v="1.91"/>
    <n v="-0.21"/>
    <n v="1.06"/>
    <n v="1.1235999999999999"/>
    <x v="7"/>
    <s v="NA2RB"/>
    <n v="35"/>
    <s v="NA2RB-35"/>
  </r>
  <r>
    <x v="6"/>
    <x v="359"/>
    <s v="0.33-1.37"/>
    <n v="0.85"/>
    <s v="#7"/>
    <x v="0"/>
    <n v="1.37"/>
    <n v="0.33"/>
    <n v="0.52"/>
    <n v="0.27039999999999997"/>
    <x v="7"/>
    <s v="NA12QB"/>
    <n v="29"/>
    <s v="NA12QB-29"/>
  </r>
  <r>
    <x v="5"/>
    <x v="397"/>
    <s v="0.18-1.52"/>
    <n v="0.85"/>
    <s v="#30"/>
    <x v="0"/>
    <n v="1.52"/>
    <n v="0.18"/>
    <n v="0.67"/>
    <n v="0.44890000000000002"/>
    <x v="7"/>
    <s v="NA13QB"/>
    <n v="30"/>
    <s v="NA13QB-30"/>
  </r>
  <r>
    <x v="8"/>
    <x v="324"/>
    <n v="-2.2999999999999998"/>
    <n v="0.85"/>
    <s v="#32"/>
    <x v="3"/>
    <n v="2"/>
    <n v="-0.3"/>
    <n v="1.1499999999999999"/>
    <n v="1.3225"/>
    <x v="7"/>
    <s v="NA6TE"/>
    <n v="50"/>
    <s v="NA6TE-50"/>
  </r>
  <r>
    <x v="2"/>
    <x v="375"/>
    <s v="0.23-1.47"/>
    <n v="0.85"/>
    <s v="#8"/>
    <x v="0"/>
    <n v="1.47"/>
    <n v="0.23"/>
    <n v="0.62"/>
    <n v="0.38440000000000002"/>
    <x v="7"/>
    <s v="NA9QB"/>
    <n v="25"/>
    <s v="NA9QB-25"/>
  </r>
  <r>
    <x v="14"/>
    <x v="328"/>
    <n v="-1.8800000000000001"/>
    <n v="0.85"/>
    <s v="#18"/>
    <x v="2"/>
    <n v="1.79"/>
    <n v="-0.09"/>
    <n v="0.94"/>
    <n v="0.88360000000000005"/>
    <x v="7"/>
    <s v="NA4WR"/>
    <n v="55"/>
    <s v="NA4WR-55"/>
  </r>
  <r>
    <x v="16"/>
    <x v="398"/>
    <n v="-2.2599999999999998"/>
    <n v="0.85"/>
    <s v="#24"/>
    <x v="1"/>
    <n v="1.98"/>
    <n v="-0.28000000000000003"/>
    <n v="1.1299999999999999"/>
    <n v="1.2768999999999999"/>
    <x v="7"/>
    <s v="NA3RB"/>
    <n v="42"/>
    <s v="NA3RB-42"/>
  </r>
  <r>
    <x v="12"/>
    <x v="35"/>
    <s v="0.26-1.44"/>
    <n v="0.85"/>
    <s v="#26"/>
    <x v="0"/>
    <n v="1.44"/>
    <n v="0.26"/>
    <n v="0.59"/>
    <n v="0.34810000000000002"/>
    <x v="7"/>
    <s v="NA5QB"/>
    <n v="26"/>
    <s v="NA5QB-26"/>
  </r>
  <r>
    <x v="8"/>
    <x v="35"/>
    <s v="0.25-1.45"/>
    <n v="0.85"/>
    <s v="#22"/>
    <x v="0"/>
    <n v="1.45"/>
    <n v="0.25"/>
    <n v="0.6"/>
    <n v="0.36"/>
    <x v="7"/>
    <s v="NA6QB"/>
    <n v="27"/>
    <s v="NA6QB-27"/>
  </r>
  <r>
    <x v="2"/>
    <x v="349"/>
    <n v="-1.98"/>
    <n v="0.85"/>
    <s v="#1"/>
    <x v="1"/>
    <n v="1.84"/>
    <n v="-0.14000000000000001"/>
    <n v="0.99"/>
    <n v="0.98009999999999997"/>
    <x v="7"/>
    <s v="NA9RB"/>
    <n v="34"/>
    <s v="NA9RB-34"/>
  </r>
  <r>
    <x v="3"/>
    <x v="349"/>
    <n v="-1.9000000000000001"/>
    <n v="0.85"/>
    <s v="#3"/>
    <x v="1"/>
    <n v="1.8"/>
    <n v="-0.1"/>
    <n v="0.95"/>
    <n v="0.90249999999999997"/>
    <x v="7"/>
    <s v="NA11RB"/>
    <n v="35"/>
    <s v="NA11RB-35"/>
  </r>
  <r>
    <x v="0"/>
    <x v="371"/>
    <s v="0.33-1.37"/>
    <n v="0.85"/>
    <s v="#5"/>
    <x v="0"/>
    <n v="1.37"/>
    <n v="0.33"/>
    <n v="0.52"/>
    <n v="0.27039999999999997"/>
    <x v="7"/>
    <s v="NA17QB"/>
    <n v="30"/>
    <s v="NA17QB-30"/>
  </r>
  <r>
    <x v="7"/>
    <x v="352"/>
    <s v="0.02-1.66"/>
    <n v="0.84"/>
    <s v="#8"/>
    <x v="1"/>
    <n v="1.66"/>
    <n v="0.02"/>
    <n v="0.82"/>
    <n v="0.6724"/>
    <x v="7"/>
    <s v="NA1RB"/>
    <n v="34"/>
    <s v="NA1RB-34"/>
  </r>
  <r>
    <x v="6"/>
    <x v="390"/>
    <s v="0.21-1.47"/>
    <n v="0.84"/>
    <s v="#28"/>
    <x v="0"/>
    <n v="1.47"/>
    <n v="0.21"/>
    <n v="0.63"/>
    <n v="0.39689999999999998"/>
    <x v="7"/>
    <s v="NA12QB"/>
    <n v="30"/>
    <s v="NA12QB-30"/>
  </r>
  <r>
    <x v="6"/>
    <x v="397"/>
    <s v="0.19-1.49"/>
    <n v="0.84"/>
    <s v="#12"/>
    <x v="0"/>
    <n v="1.49"/>
    <n v="0.19"/>
    <n v="0.65"/>
    <n v="0.42249999999999999"/>
    <x v="7"/>
    <s v="NA12QB"/>
    <n v="31"/>
    <s v="NA12QB-31"/>
  </r>
  <r>
    <x v="1"/>
    <x v="397"/>
    <s v="0.17-1.51"/>
    <n v="0.84"/>
    <s v="#31"/>
    <x v="0"/>
    <n v="1.51"/>
    <n v="0.17"/>
    <n v="0.67"/>
    <n v="0.44890000000000002"/>
    <x v="7"/>
    <s v="NA16QB"/>
    <n v="27"/>
    <s v="NA16QB-27"/>
  </r>
  <r>
    <x v="0"/>
    <x v="397"/>
    <s v="0.18-1.50"/>
    <n v="0.84"/>
    <s v="#22"/>
    <x v="0"/>
    <n v="1.5"/>
    <n v="0.18"/>
    <n v="0.66"/>
    <n v="0.43559999999999999"/>
    <x v="7"/>
    <s v="NA17QB"/>
    <n v="31"/>
    <s v="NA17QB-31"/>
  </r>
  <r>
    <x v="15"/>
    <x v="317"/>
    <s v="0.02-1.66"/>
    <n v="0.84"/>
    <s v="#7"/>
    <x v="2"/>
    <n v="1.66"/>
    <n v="0.02"/>
    <n v="0.82"/>
    <n v="0.6724"/>
    <x v="7"/>
    <s v="NA10WR"/>
    <n v="65"/>
    <s v="NA10WR-65"/>
  </r>
  <r>
    <x v="12"/>
    <x v="399"/>
    <n v="-2.04"/>
    <n v="0.84"/>
    <s v="#17"/>
    <x v="2"/>
    <n v="1.86"/>
    <n v="-0.18"/>
    <n v="1.02"/>
    <n v="1.0404"/>
    <x v="7"/>
    <s v="NA5WR"/>
    <n v="80"/>
    <s v="NA5WR-80"/>
  </r>
  <r>
    <x v="5"/>
    <x v="380"/>
    <n v="-1.72"/>
    <n v="0.84"/>
    <s v="#26"/>
    <x v="2"/>
    <n v="1.7"/>
    <n v="-0.02"/>
    <n v="0.86"/>
    <n v="0.73960000000000004"/>
    <x v="7"/>
    <s v="NA13WR"/>
    <n v="68"/>
    <s v="NA13WR-68"/>
  </r>
  <r>
    <x v="11"/>
    <x v="35"/>
    <s v="0.21-1.47"/>
    <n v="0.84"/>
    <s v="#23"/>
    <x v="0"/>
    <n v="1.47"/>
    <n v="0.21"/>
    <n v="0.63"/>
    <n v="0.39689999999999998"/>
    <x v="7"/>
    <s v="NA14QB"/>
    <n v="30"/>
    <s v="NA14QB-30"/>
  </r>
  <r>
    <x v="1"/>
    <x v="47"/>
    <s v="0.16-1.50"/>
    <n v="0.83"/>
    <s v="#12"/>
    <x v="0"/>
    <n v="1.5"/>
    <n v="0.16"/>
    <n v="0.67"/>
    <n v="0.44890000000000002"/>
    <x v="7"/>
    <s v="NA16QB"/>
    <n v="28"/>
    <s v="NA16QB-28"/>
  </r>
  <r>
    <x v="4"/>
    <x v="400"/>
    <s v="0.03-1.63"/>
    <n v="0.83"/>
    <s v="#28"/>
    <x v="1"/>
    <n v="1.63"/>
    <n v="0.03"/>
    <n v="0.8"/>
    <n v="0.64"/>
    <x v="7"/>
    <s v="NA7RB"/>
    <n v="37"/>
    <s v="NA7RB-37"/>
  </r>
  <r>
    <x v="3"/>
    <x v="379"/>
    <n v="-1.7"/>
    <n v="0.83"/>
    <s v="#29"/>
    <x v="2"/>
    <n v="1.68"/>
    <n v="-0.02"/>
    <n v="0.85"/>
    <n v="0.72250000000000003"/>
    <x v="7"/>
    <s v="NA11WR"/>
    <n v="54"/>
    <s v="NA11WR-54"/>
  </r>
  <r>
    <x v="0"/>
    <x v="379"/>
    <n v="-1.7"/>
    <n v="0.83"/>
    <s v="#22"/>
    <x v="2"/>
    <n v="1.68"/>
    <n v="-0.02"/>
    <n v="0.85"/>
    <n v="0.72250000000000003"/>
    <x v="7"/>
    <s v="NA17WR"/>
    <n v="68"/>
    <s v="NA17WR-68"/>
  </r>
  <r>
    <x v="8"/>
    <x v="390"/>
    <s v="0.22-1.44"/>
    <n v="0.83"/>
    <s v="#24"/>
    <x v="0"/>
    <n v="1.44"/>
    <n v="0.22"/>
    <n v="0.61"/>
    <n v="0.37209999999999999"/>
    <x v="7"/>
    <s v="NA6QB"/>
    <n v="28"/>
    <s v="NA6QB-28"/>
  </r>
  <r>
    <x v="15"/>
    <x v="387"/>
    <s v="0.27-1.39"/>
    <n v="0.83"/>
    <s v="#9"/>
    <x v="0"/>
    <n v="1.39"/>
    <n v="0.27"/>
    <n v="0.56000000000000005"/>
    <n v="0.31359999999999999"/>
    <x v="7"/>
    <s v="NA10QB"/>
    <n v="25"/>
    <s v="NA10QB-25"/>
  </r>
  <r>
    <x v="16"/>
    <x v="392"/>
    <s v="0.24-1.42"/>
    <n v="0.83"/>
    <s v="#21"/>
    <x v="0"/>
    <n v="1.42"/>
    <n v="0.24"/>
    <n v="0.59"/>
    <n v="0.34810000000000002"/>
    <x v="7"/>
    <s v="NA3QB"/>
    <n v="24"/>
    <s v="NA3QB-24"/>
  </r>
  <r>
    <x v="13"/>
    <x v="392"/>
    <s v="0.24-1.42"/>
    <n v="0.83"/>
    <s v="#22"/>
    <x v="0"/>
    <n v="1.42"/>
    <n v="0.24"/>
    <n v="0.59"/>
    <n v="0.34810000000000002"/>
    <x v="7"/>
    <s v="NA8QB"/>
    <n v="26"/>
    <s v="NA8QB-26"/>
  </r>
  <r>
    <x v="4"/>
    <x v="329"/>
    <s v="0.32-1.34"/>
    <n v="0.83"/>
    <s v="#11"/>
    <x v="0"/>
    <n v="1.34"/>
    <n v="0.32"/>
    <n v="0.51"/>
    <n v="0.2601"/>
    <x v="7"/>
    <s v="NA7QB"/>
    <n v="29"/>
    <s v="NA7QB-29"/>
  </r>
  <r>
    <x v="3"/>
    <x v="335"/>
    <s v="0.11-1.55"/>
    <n v="0.83"/>
    <s v="#31"/>
    <x v="3"/>
    <n v="1.55"/>
    <n v="0.11"/>
    <n v="0.72"/>
    <n v="0.51839999999999997"/>
    <x v="7"/>
    <s v="NA11TE"/>
    <n v="45"/>
    <s v="NA11TE-45"/>
  </r>
  <r>
    <x v="6"/>
    <x v="384"/>
    <n v="-1.78"/>
    <n v="0.83"/>
    <s v="#28"/>
    <x v="2"/>
    <n v="1.72"/>
    <n v="-0.06"/>
    <n v="0.89"/>
    <n v="0.79210000000000003"/>
    <x v="7"/>
    <s v="NA12WR"/>
    <n v="66"/>
    <s v="NA12WR-66"/>
  </r>
  <r>
    <x v="13"/>
    <x v="365"/>
    <n v="-1.78"/>
    <n v="0.83"/>
    <s v="#2"/>
    <x v="1"/>
    <n v="1.72"/>
    <n v="-0.06"/>
    <n v="0.89"/>
    <n v="0.79210000000000003"/>
    <x v="7"/>
    <s v="NA8RB"/>
    <n v="41"/>
    <s v="NA8RB-41"/>
  </r>
  <r>
    <x v="6"/>
    <x v="365"/>
    <n v="-1.92"/>
    <n v="0.83"/>
    <s v="#16"/>
    <x v="1"/>
    <n v="1.79"/>
    <n v="-0.13"/>
    <n v="0.96"/>
    <n v="0.92159999999999997"/>
    <x v="7"/>
    <s v="NA12RB"/>
    <n v="44"/>
    <s v="NA12RB-44"/>
  </r>
  <r>
    <x v="16"/>
    <x v="358"/>
    <n v="-2.3199999999999998"/>
    <n v="0.83"/>
    <s v="#23"/>
    <x v="1"/>
    <n v="1.99"/>
    <n v="-0.33"/>
    <n v="1.1599999999999999"/>
    <n v="1.3455999999999999"/>
    <x v="7"/>
    <s v="NA3RB"/>
    <n v="43"/>
    <s v="NA3RB-43"/>
  </r>
  <r>
    <x v="14"/>
    <x v="354"/>
    <n v="-1.82"/>
    <n v="0.82"/>
    <s v="#29"/>
    <x v="2"/>
    <n v="1.73"/>
    <n v="-0.09"/>
    <n v="0.91"/>
    <n v="0.82809999999999995"/>
    <x v="7"/>
    <s v="NA4WR"/>
    <n v="56"/>
    <s v="NA4WR-56"/>
  </r>
  <r>
    <x v="14"/>
    <x v="385"/>
    <s v="0.24-1.40"/>
    <n v="0.82"/>
    <s v="#9"/>
    <x v="0"/>
    <n v="1.4"/>
    <n v="0.24"/>
    <n v="0.57999999999999996"/>
    <n v="0.33639999999999998"/>
    <x v="7"/>
    <s v="NA4QB"/>
    <n v="23"/>
    <s v="NA4QB-23"/>
  </r>
  <r>
    <x v="2"/>
    <x v="379"/>
    <n v="-1.8"/>
    <n v="0.82"/>
    <s v="#14"/>
    <x v="2"/>
    <n v="1.72"/>
    <n v="-0.08"/>
    <n v="0.9"/>
    <n v="0.81"/>
    <x v="7"/>
    <s v="NA9WR"/>
    <n v="63"/>
    <s v="NA9WR-63"/>
  </r>
  <r>
    <x v="12"/>
    <x v="392"/>
    <s v="0.21-1.43"/>
    <n v="0.82"/>
    <s v="#30"/>
    <x v="0"/>
    <n v="1.43"/>
    <n v="0.21"/>
    <n v="0.61"/>
    <n v="0.37209999999999999"/>
    <x v="7"/>
    <s v="NA5QB"/>
    <n v="27"/>
    <s v="NA5QB-27"/>
  </r>
  <r>
    <x v="6"/>
    <x v="392"/>
    <s v="0.21-1.43"/>
    <n v="0.82"/>
    <s v="#23"/>
    <x v="0"/>
    <n v="1.43"/>
    <n v="0.21"/>
    <n v="0.61"/>
    <n v="0.37209999999999999"/>
    <x v="7"/>
    <s v="NA12QB"/>
    <n v="32"/>
    <s v="NA12QB-32"/>
  </r>
  <r>
    <x v="14"/>
    <x v="397"/>
    <s v="0.26-1.38"/>
    <n v="0.82"/>
    <s v="#28"/>
    <x v="0"/>
    <n v="1.38"/>
    <n v="0.26"/>
    <n v="0.56000000000000005"/>
    <n v="0.31359999999999999"/>
    <x v="7"/>
    <s v="NA4QB"/>
    <n v="24"/>
    <s v="NA4QB-24"/>
  </r>
  <r>
    <x v="8"/>
    <x v="397"/>
    <s v="0.22-1.42"/>
    <n v="0.82"/>
    <s v="#3"/>
    <x v="0"/>
    <n v="1.42"/>
    <n v="0.22"/>
    <n v="0.6"/>
    <n v="0.36"/>
    <x v="7"/>
    <s v="NA6QB"/>
    <n v="29"/>
    <s v="NA6QB-29"/>
  </r>
  <r>
    <x v="3"/>
    <x v="397"/>
    <s v="0.15-1.49"/>
    <n v="0.82"/>
    <s v="#29"/>
    <x v="0"/>
    <n v="1.49"/>
    <n v="0.15"/>
    <n v="0.67"/>
    <n v="0.44890000000000002"/>
    <x v="7"/>
    <s v="NA11QB"/>
    <n v="22"/>
    <s v="NA11QB-22"/>
  </r>
  <r>
    <x v="11"/>
    <x v="382"/>
    <s v="0.01-1.63"/>
    <n v="0.82"/>
    <s v="#23"/>
    <x v="2"/>
    <n v="1.63"/>
    <n v="0.01"/>
    <n v="0.81"/>
    <n v="0.65610000000000002"/>
    <x v="7"/>
    <s v="NA14WR"/>
    <n v="69"/>
    <s v="NA14WR-69"/>
  </r>
  <r>
    <x v="12"/>
    <x v="401"/>
    <n v="-2"/>
    <n v="0.82"/>
    <s v="#32"/>
    <x v="2"/>
    <n v="1.82"/>
    <n v="-0.18"/>
    <n v="1"/>
    <n v="1"/>
    <x v="7"/>
    <s v="NA5WR"/>
    <n v="81"/>
    <s v="NA5WR-81"/>
  </r>
  <r>
    <x v="1"/>
    <x v="401"/>
    <n v="-1.94"/>
    <n v="0.82"/>
    <s v="#24"/>
    <x v="2"/>
    <n v="1.79"/>
    <n v="-0.15"/>
    <n v="0.97"/>
    <n v="0.94089999999999996"/>
    <x v="7"/>
    <s v="NA16WR"/>
    <n v="69"/>
    <s v="NA16WR-69"/>
  </r>
  <r>
    <x v="2"/>
    <x v="384"/>
    <n v="-1.76"/>
    <n v="0.82"/>
    <s v="#11"/>
    <x v="2"/>
    <n v="1.7"/>
    <n v="-0.06"/>
    <n v="0.88"/>
    <n v="0.77439999999999998"/>
    <x v="7"/>
    <s v="NA9WR"/>
    <n v="64"/>
    <s v="NA9WR-64"/>
  </r>
  <r>
    <x v="1"/>
    <x v="384"/>
    <n v="-1.82"/>
    <n v="0.82"/>
    <s v="#18"/>
    <x v="2"/>
    <n v="1.73"/>
    <n v="-0.09"/>
    <n v="0.91"/>
    <n v="0.82809999999999995"/>
    <x v="7"/>
    <s v="NA16WR"/>
    <n v="70"/>
    <s v="NA16WR-70"/>
  </r>
  <r>
    <x v="13"/>
    <x v="366"/>
    <s v="0.26-1.38"/>
    <n v="0.82"/>
    <s v="#5"/>
    <x v="0"/>
    <n v="1.38"/>
    <n v="0.26"/>
    <n v="0.56000000000000005"/>
    <n v="0.31359999999999999"/>
    <x v="7"/>
    <s v="NA8QB"/>
    <n v="27"/>
    <s v="NA8QB-27"/>
  </r>
  <r>
    <x v="9"/>
    <x v="389"/>
    <n v="-2.1"/>
    <n v="0.82"/>
    <s v="#20"/>
    <x v="2"/>
    <n v="1.87"/>
    <n v="-0.23"/>
    <n v="1.05"/>
    <n v="1.1025"/>
    <x v="7"/>
    <s v="NA15WR"/>
    <n v="69"/>
    <s v="NA15WR-69"/>
  </r>
  <r>
    <x v="8"/>
    <x v="402"/>
    <n v="-1.66"/>
    <n v="0.82"/>
    <s v="#31"/>
    <x v="2"/>
    <n v="1.65"/>
    <n v="-0.01"/>
    <n v="0.83"/>
    <n v="0.68889999999999996"/>
    <x v="7"/>
    <s v="NA6WR"/>
    <n v="67"/>
    <s v="NA6WR-67"/>
  </r>
  <r>
    <x v="7"/>
    <x v="369"/>
    <n v="-2"/>
    <n v="0.82"/>
    <s v="#4"/>
    <x v="3"/>
    <n v="1.82"/>
    <n v="-0.18"/>
    <n v="1"/>
    <n v="1"/>
    <x v="7"/>
    <s v="NA1TE"/>
    <n v="45"/>
    <s v="NA1TE-45"/>
  </r>
  <r>
    <x v="13"/>
    <x v="393"/>
    <n v="-1.66"/>
    <n v="0.82"/>
    <s v="#30"/>
    <x v="1"/>
    <n v="1.65"/>
    <n v="-0.01"/>
    <n v="0.83"/>
    <n v="0.68889999999999996"/>
    <x v="7"/>
    <s v="NA8RB"/>
    <n v="42"/>
    <s v="NA8RB-42"/>
  </r>
  <r>
    <x v="6"/>
    <x v="403"/>
    <s v="0.01-1.63"/>
    <n v="0.82"/>
    <s v="#21"/>
    <x v="1"/>
    <n v="1.63"/>
    <n v="0.01"/>
    <n v="0.81"/>
    <n v="0.65610000000000002"/>
    <x v="7"/>
    <s v="NA12RB"/>
    <n v="45"/>
    <s v="NA12RB-45"/>
  </r>
  <r>
    <x v="1"/>
    <x v="357"/>
    <s v="0.16-1.48"/>
    <n v="0.82"/>
    <s v="#9"/>
    <x v="3"/>
    <n v="1.48"/>
    <n v="0.16"/>
    <n v="0.66"/>
    <n v="0.43559999999999999"/>
    <x v="7"/>
    <s v="NA16TE"/>
    <n v="55"/>
    <s v="NA16TE-55"/>
  </r>
  <r>
    <x v="8"/>
    <x v="371"/>
    <s v="0.29-1.35"/>
    <n v="0.82"/>
    <s v="#13"/>
    <x v="0"/>
    <n v="1.35"/>
    <n v="0.28999999999999998"/>
    <n v="0.53"/>
    <n v="0.28089999999999998"/>
    <x v="7"/>
    <s v="NA6QB"/>
    <n v="30"/>
    <s v="NA6QB-30"/>
  </r>
  <r>
    <x v="2"/>
    <x v="394"/>
    <s v="0.11-1.53"/>
    <n v="0.82"/>
    <s v="#10"/>
    <x v="1"/>
    <n v="1.53"/>
    <n v="0.11"/>
    <n v="0.71"/>
    <n v="0.50409999999999999"/>
    <x v="7"/>
    <s v="NA9RB"/>
    <n v="35"/>
    <s v="NA9RB-35"/>
  </r>
  <r>
    <x v="0"/>
    <x v="395"/>
    <s v="0.20-1.42"/>
    <n v="0.81"/>
    <s v="#32"/>
    <x v="0"/>
    <n v="1.42"/>
    <n v="0.2"/>
    <n v="0.61"/>
    <n v="0.37209999999999999"/>
    <x v="7"/>
    <s v="NA17QB"/>
    <n v="32"/>
    <s v="NA17QB-32"/>
  </r>
  <r>
    <x v="3"/>
    <x v="385"/>
    <s v="0.21-1.41"/>
    <n v="0.81"/>
    <s v="#12"/>
    <x v="0"/>
    <n v="1.41"/>
    <n v="0.21"/>
    <n v="0.6"/>
    <n v="0.36"/>
    <x v="7"/>
    <s v="NA11QB"/>
    <n v="23"/>
    <s v="NA11QB-23"/>
  </r>
  <r>
    <x v="6"/>
    <x v="370"/>
    <s v="0.16-1.46"/>
    <n v="0.81"/>
    <s v="#4"/>
    <x v="0"/>
    <n v="1.46"/>
    <n v="0.16"/>
    <n v="0.65"/>
    <n v="0.42249999999999999"/>
    <x v="7"/>
    <s v="NA12QB"/>
    <n v="33"/>
    <s v="NA12QB-33"/>
  </r>
  <r>
    <x v="10"/>
    <x v="404"/>
    <n v="-1.88"/>
    <n v="0.81"/>
    <s v="#9"/>
    <x v="2"/>
    <n v="1.75"/>
    <n v="-0.13"/>
    <n v="0.94"/>
    <n v="0.88360000000000005"/>
    <x v="7"/>
    <s v="NA2WR"/>
    <n v="62"/>
    <s v="NA2WR-62"/>
  </r>
  <r>
    <x v="14"/>
    <x v="379"/>
    <n v="-1.68"/>
    <n v="0.81"/>
    <s v="#28"/>
    <x v="2"/>
    <n v="1.65"/>
    <n v="-0.03"/>
    <n v="0.84"/>
    <n v="0.7056"/>
    <x v="7"/>
    <s v="NA4WR"/>
    <n v="57"/>
    <s v="NA4WR-57"/>
  </r>
  <r>
    <x v="2"/>
    <x v="390"/>
    <s v="0.25-1.37"/>
    <n v="0.81"/>
    <s v="#11"/>
    <x v="0"/>
    <n v="1.37"/>
    <n v="0.25"/>
    <n v="0.56000000000000005"/>
    <n v="0.31359999999999999"/>
    <x v="7"/>
    <s v="NA9QB"/>
    <n v="26"/>
    <s v="NA9QB-26"/>
  </r>
  <r>
    <x v="2"/>
    <x v="397"/>
    <s v="0.19-1.43"/>
    <n v="0.81"/>
    <s v="#14"/>
    <x v="0"/>
    <n v="1.43"/>
    <n v="0.19"/>
    <n v="0.62"/>
    <n v="0.38440000000000002"/>
    <x v="7"/>
    <s v="NA9QB"/>
    <n v="27"/>
    <s v="NA9QB-27"/>
  </r>
  <r>
    <x v="5"/>
    <x v="317"/>
    <n v="-1.7"/>
    <n v="0.81"/>
    <s v="#20"/>
    <x v="2"/>
    <n v="1.66"/>
    <n v="-0.04"/>
    <n v="0.85"/>
    <n v="0.72250000000000003"/>
    <x v="7"/>
    <s v="NA13WR"/>
    <n v="69"/>
    <s v="NA13WR-69"/>
  </r>
  <r>
    <x v="10"/>
    <x v="382"/>
    <n v="-1.94"/>
    <n v="0.81"/>
    <s v="#31"/>
    <x v="2"/>
    <n v="1.78"/>
    <n v="-0.16"/>
    <n v="0.97"/>
    <n v="0.94089999999999996"/>
    <x v="7"/>
    <s v="NA2WR"/>
    <n v="63"/>
    <s v="NA2WR-63"/>
  </r>
  <r>
    <x v="3"/>
    <x v="382"/>
    <s v="0.02-1.60"/>
    <n v="0.81"/>
    <s v="#30"/>
    <x v="2"/>
    <n v="1.6"/>
    <n v="0.02"/>
    <n v="0.79"/>
    <n v="0.62409999999999999"/>
    <x v="7"/>
    <s v="NA11WR"/>
    <n v="55"/>
    <s v="NA11WR-55"/>
  </r>
  <r>
    <x v="2"/>
    <x v="324"/>
    <n v="-2.2199999999999998"/>
    <n v="0.81"/>
    <s v="#21"/>
    <x v="3"/>
    <n v="1.92"/>
    <n v="-0.3"/>
    <n v="1.1100000000000001"/>
    <n v="1.2321"/>
    <x v="7"/>
    <s v="NA9TE"/>
    <n v="45"/>
    <s v="NA9TE-45"/>
  </r>
  <r>
    <x v="14"/>
    <x v="375"/>
    <s v="0.26-1.36"/>
    <n v="0.81"/>
    <s v="#18"/>
    <x v="0"/>
    <n v="1.36"/>
    <n v="0.26"/>
    <n v="0.55000000000000004"/>
    <n v="0.30249999999999999"/>
    <x v="7"/>
    <s v="NA4QB"/>
    <n v="25"/>
    <s v="NA4QB-25"/>
  </r>
  <r>
    <x v="0"/>
    <x v="246"/>
    <s v="0.02-1.60"/>
    <n v="0.81"/>
    <s v="#28"/>
    <x v="2"/>
    <n v="1.6"/>
    <n v="0.02"/>
    <n v="0.79"/>
    <n v="0.62409999999999999"/>
    <x v="7"/>
    <s v="NA17WR"/>
    <n v="69"/>
    <s v="NA17WR-69"/>
  </r>
  <r>
    <x v="15"/>
    <x v="405"/>
    <n v="-1.66"/>
    <n v="0.81"/>
    <s v="#10"/>
    <x v="1"/>
    <n v="1.64"/>
    <n v="-0.02"/>
    <n v="0.83"/>
    <n v="0.68889999999999996"/>
    <x v="7"/>
    <s v="NA10RB"/>
    <n v="41"/>
    <s v="NA10RB-41"/>
  </r>
  <r>
    <x v="15"/>
    <x v="335"/>
    <s v="0.13-1.49"/>
    <n v="0.81"/>
    <s v="#18"/>
    <x v="3"/>
    <n v="1.49"/>
    <n v="0.13"/>
    <n v="0.68"/>
    <n v="0.46239999999999998"/>
    <x v="7"/>
    <s v="NA10TE"/>
    <n v="46"/>
    <s v="NA10TE-46"/>
  </r>
  <r>
    <x v="5"/>
    <x v="384"/>
    <n v="-1.76"/>
    <n v="0.81"/>
    <s v="#22"/>
    <x v="2"/>
    <n v="1.69"/>
    <n v="-7.0000000000000007E-2"/>
    <n v="0.88"/>
    <n v="0.77439999999999998"/>
    <x v="7"/>
    <s v="NA13WR"/>
    <n v="70"/>
    <s v="NA13WR-70"/>
  </r>
  <r>
    <x v="16"/>
    <x v="37"/>
    <s v="0.23-1.39"/>
    <n v="0.81"/>
    <s v="#5"/>
    <x v="0"/>
    <n v="1.39"/>
    <n v="0.23"/>
    <n v="0.57999999999999996"/>
    <n v="0.33639999999999998"/>
    <x v="7"/>
    <s v="NA3QB"/>
    <n v="25"/>
    <s v="NA3QB-25"/>
  </r>
  <r>
    <x v="16"/>
    <x v="389"/>
    <n v="-1.88"/>
    <n v="0.81"/>
    <s v="#18"/>
    <x v="2"/>
    <n v="1.75"/>
    <n v="-0.13"/>
    <n v="0.94"/>
    <n v="0.88360000000000005"/>
    <x v="7"/>
    <s v="NA3WR"/>
    <n v="64"/>
    <s v="NA3WR-64"/>
  </r>
  <r>
    <x v="15"/>
    <x v="391"/>
    <n v="-1.74"/>
    <n v="0.81"/>
    <s v="#31"/>
    <x v="2"/>
    <n v="1.68"/>
    <n v="-0.06"/>
    <n v="0.87"/>
    <n v="0.75690000000000002"/>
    <x v="7"/>
    <s v="NA10WR"/>
    <n v="66"/>
    <s v="NA10WR-66"/>
  </r>
  <r>
    <x v="9"/>
    <x v="393"/>
    <n v="-1.66"/>
    <n v="0.81"/>
    <s v="#24"/>
    <x v="1"/>
    <n v="1.64"/>
    <n v="-0.02"/>
    <n v="0.83"/>
    <n v="0.68889999999999996"/>
    <x v="7"/>
    <s v="NA15RB"/>
    <n v="45"/>
    <s v="NA15RB-45"/>
  </r>
  <r>
    <x v="3"/>
    <x v="173"/>
    <n v="-1.76"/>
    <n v="0.81"/>
    <s v="#6"/>
    <x v="1"/>
    <n v="1.69"/>
    <n v="-7.0000000000000007E-2"/>
    <n v="0.88"/>
    <n v="0.77439999999999998"/>
    <x v="7"/>
    <s v="NA11RB"/>
    <n v="36"/>
    <s v="NA11RB-36"/>
  </r>
  <r>
    <x v="13"/>
    <x v="403"/>
    <n v="-1.68"/>
    <n v="0.81"/>
    <s v="#30"/>
    <x v="1"/>
    <n v="1.65"/>
    <n v="-0.03"/>
    <n v="0.84"/>
    <n v="0.7056"/>
    <x v="7"/>
    <s v="NA8RB"/>
    <n v="43"/>
    <s v="NA8RB-43"/>
  </r>
  <r>
    <x v="15"/>
    <x v="357"/>
    <s v="0.18-1.44"/>
    <n v="0.81"/>
    <s v="#18"/>
    <x v="3"/>
    <n v="1.44"/>
    <n v="0.18"/>
    <n v="0.63"/>
    <n v="0.39689999999999998"/>
    <x v="7"/>
    <s v="NA10TE"/>
    <n v="47"/>
    <s v="NA10TE-47"/>
  </r>
  <r>
    <x v="15"/>
    <x v="406"/>
    <n v="-1.92"/>
    <n v="0.81"/>
    <s v="#31"/>
    <x v="2"/>
    <n v="1.77"/>
    <n v="-0.15"/>
    <n v="0.96"/>
    <n v="0.92159999999999997"/>
    <x v="7"/>
    <s v="NA10WR"/>
    <n v="67"/>
    <s v="NA10WR-67"/>
  </r>
  <r>
    <x v="11"/>
    <x v="406"/>
    <s v="0.01-1.61"/>
    <n v="0.81"/>
    <s v="#22"/>
    <x v="2"/>
    <n v="1.61"/>
    <n v="0.01"/>
    <n v="0.8"/>
    <n v="0.64"/>
    <x v="7"/>
    <s v="NA14WR"/>
    <n v="70"/>
    <s v="NA14WR-70"/>
  </r>
  <r>
    <x v="8"/>
    <x v="308"/>
    <s v="0.12-1.50"/>
    <n v="0.81"/>
    <s v="#11"/>
    <x v="1"/>
    <n v="1.5"/>
    <n v="0.12"/>
    <n v="0.69"/>
    <n v="0.47610000000000002"/>
    <x v="7"/>
    <s v="NA6RB"/>
    <n v="41"/>
    <s v="NA6RB-41"/>
  </r>
  <r>
    <x v="0"/>
    <x v="308"/>
    <n v="-2.04"/>
    <n v="0.81"/>
    <s v="#3"/>
    <x v="1"/>
    <n v="1.83"/>
    <n v="-0.21"/>
    <n v="1.02"/>
    <n v="1.0404"/>
    <x v="7"/>
    <s v="NA17RB"/>
    <n v="44"/>
    <s v="NA17RB-44"/>
  </r>
  <r>
    <x v="5"/>
    <x v="47"/>
    <s v="0.16-1.44"/>
    <n v="0.8"/>
    <s v="#4"/>
    <x v="0"/>
    <n v="1.44"/>
    <n v="0.16"/>
    <n v="0.64"/>
    <n v="0.40960000000000002"/>
    <x v="7"/>
    <s v="NA13QB"/>
    <n v="31"/>
    <s v="NA13QB-31"/>
  </r>
  <r>
    <x v="11"/>
    <x v="390"/>
    <s v="0.19-1.41"/>
    <n v="0.8"/>
    <s v="#10"/>
    <x v="0"/>
    <n v="1.41"/>
    <n v="0.19"/>
    <n v="0.61"/>
    <n v="0.37209999999999999"/>
    <x v="7"/>
    <s v="NA14QB"/>
    <n v="31"/>
    <s v="NA14QB-31"/>
  </r>
  <r>
    <x v="1"/>
    <x v="390"/>
    <s v="0.17-1.43"/>
    <n v="0.8"/>
    <s v="#18"/>
    <x v="0"/>
    <n v="1.43"/>
    <n v="0.17"/>
    <n v="0.63"/>
    <n v="0.39689999999999998"/>
    <x v="7"/>
    <s v="NA16QB"/>
    <n v="29"/>
    <s v="NA16QB-29"/>
  </r>
  <r>
    <x v="15"/>
    <x v="392"/>
    <s v="0.17-1.43"/>
    <n v="0.8"/>
    <s v="#31"/>
    <x v="0"/>
    <n v="1.43"/>
    <n v="0.17"/>
    <n v="0.63"/>
    <n v="0.39689999999999998"/>
    <x v="7"/>
    <s v="NA10QB"/>
    <n v="26"/>
    <s v="NA10QB-26"/>
  </r>
  <r>
    <x v="11"/>
    <x v="397"/>
    <s v="0.19-1.41"/>
    <n v="0.8"/>
    <s v="#6"/>
    <x v="0"/>
    <n v="1.41"/>
    <n v="0.19"/>
    <n v="0.61"/>
    <n v="0.37209999999999999"/>
    <x v="7"/>
    <s v="NA14QB"/>
    <n v="32"/>
    <s v="NA14QB-32"/>
  </r>
  <r>
    <x v="1"/>
    <x v="360"/>
    <s v="0.31-1.29"/>
    <n v="0.8"/>
    <s v="#3"/>
    <x v="0"/>
    <n v="1.29"/>
    <n v="0.31"/>
    <n v="0.49"/>
    <n v="0.24010000000000001"/>
    <x v="7"/>
    <s v="NA16QB"/>
    <n v="30"/>
    <s v="NA16QB-30"/>
  </r>
  <r>
    <x v="5"/>
    <x v="334"/>
    <s v="0.03-1.57"/>
    <n v="0.8"/>
    <s v="#18"/>
    <x v="2"/>
    <n v="1.57"/>
    <n v="0.03"/>
    <n v="0.77"/>
    <n v="0.59289999999999998"/>
    <x v="7"/>
    <s v="NA13WR"/>
    <n v="71"/>
    <s v="NA13WR-71"/>
  </r>
  <r>
    <x v="6"/>
    <x v="246"/>
    <s v="0.06-1.54"/>
    <n v="0.8"/>
    <s v="#26"/>
    <x v="2"/>
    <n v="1.54"/>
    <n v="0.06"/>
    <n v="0.74"/>
    <n v="0.54759999999999998"/>
    <x v="7"/>
    <s v="NA12WR"/>
    <n v="67"/>
    <s v="NA12WR-67"/>
  </r>
  <r>
    <x v="8"/>
    <x v="401"/>
    <n v="-1.9"/>
    <n v="0.8"/>
    <s v="#23"/>
    <x v="2"/>
    <n v="1.75"/>
    <n v="-0.15"/>
    <n v="0.95"/>
    <n v="0.90249999999999997"/>
    <x v="7"/>
    <s v="NA6WR"/>
    <n v="68"/>
    <s v="NA6WR-68"/>
  </r>
  <r>
    <x v="4"/>
    <x v="401"/>
    <n v="-1.88"/>
    <n v="0.8"/>
    <s v="#27"/>
    <x v="2"/>
    <n v="1.74"/>
    <n v="-0.14000000000000001"/>
    <n v="0.94"/>
    <n v="0.88360000000000005"/>
    <x v="7"/>
    <s v="NA7WR"/>
    <n v="63"/>
    <s v="NA7WR-63"/>
  </r>
  <r>
    <x v="5"/>
    <x v="401"/>
    <n v="-1.8399999999999999"/>
    <n v="0.8"/>
    <s v="#9"/>
    <x v="2"/>
    <n v="1.72"/>
    <n v="-0.12"/>
    <n v="0.92"/>
    <n v="0.84640000000000004"/>
    <x v="7"/>
    <s v="NA13WR"/>
    <n v="72"/>
    <s v="NA13WR-72"/>
  </r>
  <r>
    <x v="11"/>
    <x v="401"/>
    <n v="-1.8399999999999999"/>
    <n v="0.8"/>
    <s v="#14"/>
    <x v="2"/>
    <n v="1.72"/>
    <n v="-0.12"/>
    <n v="0.92"/>
    <n v="0.84640000000000004"/>
    <x v="7"/>
    <s v="NA14WR"/>
    <n v="71"/>
    <s v="NA14WR-71"/>
  </r>
  <r>
    <x v="4"/>
    <x v="335"/>
    <s v="0.13-1.47"/>
    <n v="0.8"/>
    <s v="#29"/>
    <x v="3"/>
    <n v="1.47"/>
    <n v="0.13"/>
    <n v="0.67"/>
    <n v="0.44890000000000002"/>
    <x v="7"/>
    <s v="NA7TE"/>
    <n v="50"/>
    <s v="NA7TE-50"/>
  </r>
  <r>
    <x v="1"/>
    <x v="335"/>
    <s v="0.13-1.47"/>
    <n v="0.8"/>
    <s v="#9"/>
    <x v="3"/>
    <n v="1.47"/>
    <n v="0.13"/>
    <n v="0.67"/>
    <n v="0.44890000000000002"/>
    <x v="7"/>
    <s v="NA16TE"/>
    <n v="56"/>
    <s v="NA16TE-56"/>
  </r>
  <r>
    <x v="3"/>
    <x v="389"/>
    <n v="-1.7"/>
    <n v="0.8"/>
    <s v="#10"/>
    <x v="2"/>
    <n v="1.65"/>
    <n v="-0.05"/>
    <n v="0.85"/>
    <n v="0.72250000000000003"/>
    <x v="7"/>
    <s v="NA11WR"/>
    <n v="56"/>
    <s v="NA11WR-56"/>
  </r>
  <r>
    <x v="8"/>
    <x v="391"/>
    <s v="0.03-1.57"/>
    <n v="0.8"/>
    <s v="#7"/>
    <x v="2"/>
    <n v="1.57"/>
    <n v="0.03"/>
    <n v="0.77"/>
    <n v="0.59289999999999998"/>
    <x v="7"/>
    <s v="NA6WR"/>
    <n v="69"/>
    <s v="NA6WR-69"/>
  </r>
  <r>
    <x v="5"/>
    <x v="393"/>
    <n v="-1.66"/>
    <n v="0.8"/>
    <s v="#17"/>
    <x v="1"/>
    <n v="1.63"/>
    <n v="-0.03"/>
    <n v="0.83"/>
    <n v="0.68889999999999996"/>
    <x v="7"/>
    <s v="NA13RB"/>
    <n v="44"/>
    <s v="NA13RB-44"/>
  </r>
  <r>
    <x v="14"/>
    <x v="356"/>
    <s v="0.20-1.40"/>
    <n v="0.8"/>
    <s v="#8"/>
    <x v="0"/>
    <n v="1.4"/>
    <n v="0.2"/>
    <n v="0.6"/>
    <n v="0.36"/>
    <x v="7"/>
    <s v="NA4QB"/>
    <n v="26"/>
    <s v="NA4QB-26"/>
  </r>
  <r>
    <x v="3"/>
    <x v="35"/>
    <s v="0.18-1.42"/>
    <n v="0.8"/>
    <s v="#30"/>
    <x v="0"/>
    <n v="1.42"/>
    <n v="0.18"/>
    <n v="0.62"/>
    <n v="0.38440000000000002"/>
    <x v="7"/>
    <s v="NA11QB"/>
    <n v="24"/>
    <s v="NA11QB-24"/>
  </r>
  <r>
    <x v="15"/>
    <x v="407"/>
    <s v="0.04-1.56"/>
    <n v="0.8"/>
    <s v="#17"/>
    <x v="2"/>
    <n v="1.56"/>
    <n v="0.04"/>
    <n v="0.76"/>
    <n v="0.5776"/>
    <x v="7"/>
    <s v="NA10WR"/>
    <n v="68"/>
    <s v="NA10WR-68"/>
  </r>
  <r>
    <x v="0"/>
    <x v="357"/>
    <s v="0.16-1.44"/>
    <n v="0.8"/>
    <s v="#23"/>
    <x v="3"/>
    <n v="1.44"/>
    <n v="0.16"/>
    <n v="0.64"/>
    <n v="0.40960000000000002"/>
    <x v="7"/>
    <s v="NA17TE"/>
    <n v="55"/>
    <s v="NA17TE-55"/>
  </r>
  <r>
    <x v="8"/>
    <x v="388"/>
    <s v="0.21-1.39"/>
    <n v="0.8"/>
    <s v="#16"/>
    <x v="0"/>
    <n v="1.39"/>
    <n v="0.21"/>
    <n v="0.59"/>
    <n v="0.34810000000000002"/>
    <x v="7"/>
    <s v="NA6QB"/>
    <n v="31"/>
    <s v="NA6QB-31"/>
  </r>
  <r>
    <x v="15"/>
    <x v="388"/>
    <s v="0.21-1.39"/>
    <n v="0.8"/>
    <s v="#8"/>
    <x v="0"/>
    <n v="1.39"/>
    <n v="0.21"/>
    <n v="0.59"/>
    <n v="0.34810000000000002"/>
    <x v="7"/>
    <s v="NA10QB"/>
    <n v="27"/>
    <s v="NA10QB-27"/>
  </r>
  <r>
    <x v="0"/>
    <x v="408"/>
    <n v="-1.82"/>
    <n v="0.8"/>
    <s v="#2"/>
    <x v="2"/>
    <n v="1.71"/>
    <n v="-0.11"/>
    <n v="0.91"/>
    <n v="0.82809999999999995"/>
    <x v="7"/>
    <s v="NA17WR"/>
    <n v="70"/>
    <s v="NA17WR-70"/>
  </r>
  <r>
    <x v="3"/>
    <x v="371"/>
    <s v="0.28-1.32"/>
    <n v="0.8"/>
    <s v="#5"/>
    <x v="0"/>
    <n v="1.32"/>
    <n v="0.28000000000000003"/>
    <n v="0.52"/>
    <n v="0.27039999999999997"/>
    <x v="7"/>
    <s v="NA11QB"/>
    <n v="25"/>
    <s v="NA11QB-25"/>
  </r>
  <r>
    <x v="10"/>
    <x v="308"/>
    <n v="-3.02"/>
    <n v="0.8"/>
    <s v="#14"/>
    <x v="1"/>
    <n v="2.31"/>
    <n v="-0.71"/>
    <n v="1.51"/>
    <n v="2.2801"/>
    <x v="7"/>
    <s v="NA2RB"/>
    <n v="36"/>
    <s v="NA2RB-36"/>
  </r>
  <r>
    <x v="16"/>
    <x v="354"/>
    <n v="-2"/>
    <n v="0.79"/>
    <s v="#7"/>
    <x v="2"/>
    <n v="1.79"/>
    <n v="-0.21"/>
    <n v="1"/>
    <n v="1"/>
    <x v="7"/>
    <s v="NA3WR"/>
    <n v="65"/>
    <s v="NA3WR-65"/>
  </r>
  <r>
    <x v="5"/>
    <x v="385"/>
    <s v="0.24-1.34"/>
    <n v="0.79"/>
    <s v="#2"/>
    <x v="0"/>
    <n v="1.34"/>
    <n v="0.24"/>
    <n v="0.55000000000000004"/>
    <n v="0.30249999999999999"/>
    <x v="7"/>
    <s v="NA13QB"/>
    <n v="32"/>
    <s v="NA13QB-32"/>
  </r>
  <r>
    <x v="16"/>
    <x v="390"/>
    <s v="0.21-1.37"/>
    <n v="0.79"/>
    <s v="#13"/>
    <x v="0"/>
    <n v="1.37"/>
    <n v="0.21"/>
    <n v="0.57999999999999996"/>
    <n v="0.33639999999999998"/>
    <x v="7"/>
    <s v="NA3QB"/>
    <n v="26"/>
    <s v="NA3QB-26"/>
  </r>
  <r>
    <x v="12"/>
    <x v="397"/>
    <s v="0.12-1.46"/>
    <n v="0.79"/>
    <s v="#27"/>
    <x v="0"/>
    <n v="1.46"/>
    <n v="0.12"/>
    <n v="0.67"/>
    <n v="0.44890000000000002"/>
    <x v="7"/>
    <s v="NA5QB"/>
    <n v="28"/>
    <s v="NA5QB-28"/>
  </r>
  <r>
    <x v="4"/>
    <x v="397"/>
    <s v="0.14-1.44"/>
    <n v="0.79"/>
    <s v="#12"/>
    <x v="0"/>
    <n v="1.44"/>
    <n v="0.14000000000000001"/>
    <n v="0.65"/>
    <n v="0.42249999999999999"/>
    <x v="7"/>
    <s v="NA7QB"/>
    <n v="30"/>
    <s v="NA7QB-30"/>
  </r>
  <r>
    <x v="13"/>
    <x v="317"/>
    <s v="0.09-1.49"/>
    <n v="0.79"/>
    <s v="#2"/>
    <x v="2"/>
    <n v="1.49"/>
    <n v="0.09"/>
    <n v="0.7"/>
    <n v="0.49"/>
    <x v="7"/>
    <s v="NA8WR"/>
    <n v="61"/>
    <s v="NA8WR-61"/>
  </r>
  <r>
    <x v="0"/>
    <x v="317"/>
    <n v="-1.6400000000000001"/>
    <n v="0.79"/>
    <s v="#19"/>
    <x v="2"/>
    <n v="1.61"/>
    <n v="-0.03"/>
    <n v="0.82"/>
    <n v="0.6724"/>
    <x v="7"/>
    <s v="NA17WR"/>
    <n v="71"/>
    <s v="NA17WR-71"/>
  </r>
  <r>
    <x v="5"/>
    <x v="374"/>
    <s v="0.01-1.57"/>
    <n v="0.79"/>
    <s v="#15"/>
    <x v="1"/>
    <n v="1.57"/>
    <n v="0.01"/>
    <n v="0.78"/>
    <n v="0.60840000000000005"/>
    <x v="7"/>
    <s v="NA13RB"/>
    <n v="45"/>
    <s v="NA13RB-45"/>
  </r>
  <r>
    <x v="5"/>
    <x v="375"/>
    <s v="0.22-1.36"/>
    <n v="0.79"/>
    <s v="#15"/>
    <x v="0"/>
    <n v="1.36"/>
    <n v="0.22"/>
    <n v="0.56999999999999995"/>
    <n v="0.32490000000000002"/>
    <x v="7"/>
    <s v="NA13QB"/>
    <n v="33"/>
    <s v="NA13QB-33"/>
  </r>
  <r>
    <x v="1"/>
    <x v="375"/>
    <s v="0.21-1.37"/>
    <n v="0.79"/>
    <s v="#1"/>
    <x v="0"/>
    <n v="1.37"/>
    <n v="0.21"/>
    <n v="0.57999999999999996"/>
    <n v="0.33639999999999998"/>
    <x v="7"/>
    <s v="NA16QB"/>
    <n v="31"/>
    <s v="NA16QB-31"/>
  </r>
  <r>
    <x v="14"/>
    <x v="246"/>
    <s v="0.02-1.56"/>
    <n v="0.79"/>
    <s v="#11"/>
    <x v="2"/>
    <n v="1.56"/>
    <n v="0.02"/>
    <n v="0.77"/>
    <n v="0.59289999999999998"/>
    <x v="7"/>
    <s v="NA4WR"/>
    <n v="58"/>
    <s v="NA4WR-58"/>
  </r>
  <r>
    <x v="8"/>
    <x v="246"/>
    <s v="0.06-1.52"/>
    <n v="0.79"/>
    <s v="#18"/>
    <x v="2"/>
    <n v="1.52"/>
    <n v="0.06"/>
    <n v="0.73"/>
    <n v="0.53290000000000004"/>
    <x v="7"/>
    <s v="NA6WR"/>
    <n v="70"/>
    <s v="NA6WR-70"/>
  </r>
  <r>
    <x v="4"/>
    <x v="384"/>
    <n v="-1.6400000000000001"/>
    <n v="0.79"/>
    <s v="#17"/>
    <x v="2"/>
    <n v="1.61"/>
    <n v="-0.03"/>
    <n v="0.82"/>
    <n v="0.6724"/>
    <x v="7"/>
    <s v="NA7WR"/>
    <n v="64"/>
    <s v="NA7WR-64"/>
  </r>
  <r>
    <x v="0"/>
    <x v="293"/>
    <n v="-1.8199999999999998"/>
    <n v="0.79"/>
    <s v="#18"/>
    <x v="2"/>
    <n v="1.7"/>
    <n v="-0.12"/>
    <n v="0.91"/>
    <n v="0.82809999999999995"/>
    <x v="7"/>
    <s v="NA17WR"/>
    <n v="72"/>
    <s v="NA17WR-72"/>
  </r>
  <r>
    <x v="0"/>
    <x v="402"/>
    <n v="-1.6600000000000001"/>
    <n v="0.79"/>
    <s v="#31"/>
    <x v="2"/>
    <n v="1.62"/>
    <n v="-0.04"/>
    <n v="0.83"/>
    <n v="0.68889999999999996"/>
    <x v="7"/>
    <s v="NA17WR"/>
    <n v="73"/>
    <s v="NA17WR-73"/>
  </r>
  <r>
    <x v="11"/>
    <x v="380"/>
    <n v="-1.72"/>
    <n v="0.79"/>
    <s v="#24"/>
    <x v="2"/>
    <n v="1.65"/>
    <n v="-7.0000000000000007E-2"/>
    <n v="0.86"/>
    <n v="0.73960000000000004"/>
    <x v="7"/>
    <s v="NA14WR"/>
    <n v="72"/>
    <s v="NA14WR-72"/>
  </r>
  <r>
    <x v="9"/>
    <x v="35"/>
    <s v="0.19-1.39"/>
    <n v="0.79"/>
    <s v="#10"/>
    <x v="0"/>
    <n v="1.39"/>
    <n v="0.19"/>
    <n v="0.6"/>
    <n v="0.36"/>
    <x v="7"/>
    <s v="NA15QB"/>
    <n v="29"/>
    <s v="NA15QB-29"/>
  </r>
  <r>
    <x v="14"/>
    <x v="409"/>
    <n v="-1.9"/>
    <n v="0.79"/>
    <s v="#21"/>
    <x v="1"/>
    <n v="1.74"/>
    <n v="-0.16"/>
    <n v="0.95"/>
    <n v="0.90249999999999997"/>
    <x v="7"/>
    <s v="NA4RB"/>
    <n v="39"/>
    <s v="NA4RB-39"/>
  </r>
  <r>
    <x v="4"/>
    <x v="396"/>
    <n v="-1.94"/>
    <n v="0.79"/>
    <s v="#27"/>
    <x v="2"/>
    <n v="1.76"/>
    <n v="-0.18"/>
    <n v="0.97"/>
    <n v="0.94089999999999996"/>
    <x v="7"/>
    <s v="NA7WR"/>
    <n v="65"/>
    <s v="NA7WR-65"/>
  </r>
  <r>
    <x v="2"/>
    <x v="308"/>
    <n v="-1.92"/>
    <n v="0.79"/>
    <s v="#16"/>
    <x v="1"/>
    <n v="1.75"/>
    <n v="-0.17"/>
    <n v="0.96"/>
    <n v="0.92159999999999997"/>
    <x v="7"/>
    <s v="NA9RB"/>
    <n v="36"/>
    <s v="NA9RB-36"/>
  </r>
  <r>
    <x v="5"/>
    <x v="308"/>
    <s v="0.06-1.52"/>
    <n v="0.79"/>
    <s v="#2"/>
    <x v="1"/>
    <n v="1.52"/>
    <n v="0.06"/>
    <n v="0.73"/>
    <n v="0.53290000000000004"/>
    <x v="7"/>
    <s v="NA13RB"/>
    <n v="46"/>
    <s v="NA13RB-46"/>
  </r>
  <r>
    <x v="9"/>
    <x v="47"/>
    <s v="0.11-1.45"/>
    <n v="0.78"/>
    <s v="#22"/>
    <x v="0"/>
    <n v="1.45"/>
    <n v="0.11"/>
    <n v="0.67"/>
    <n v="0.44890000000000002"/>
    <x v="7"/>
    <s v="NA15QB"/>
    <n v="30"/>
    <s v="NA15QB-30"/>
  </r>
  <r>
    <x v="12"/>
    <x v="345"/>
    <n v="-1.6"/>
    <n v="0.78"/>
    <s v="#15"/>
    <x v="1"/>
    <n v="1.58"/>
    <n v="-0.02"/>
    <n v="0.8"/>
    <n v="0.64"/>
    <x v="7"/>
    <s v="NA5RB"/>
    <n v="45"/>
    <s v="NA5RB-45"/>
  </r>
  <r>
    <x v="7"/>
    <x v="370"/>
    <s v="0.12-1.44"/>
    <n v="0.78"/>
    <s v="#27"/>
    <x v="0"/>
    <n v="1.44"/>
    <n v="0.12"/>
    <n v="0.66"/>
    <n v="0.43559999999999999"/>
    <x v="7"/>
    <s v="NA1QB"/>
    <n v="23"/>
    <s v="NA1QB-23"/>
  </r>
  <r>
    <x v="4"/>
    <x v="370"/>
    <s v="0.17-1.39"/>
    <n v="0.78"/>
    <s v="#5"/>
    <x v="0"/>
    <n v="1.39"/>
    <n v="0.17"/>
    <n v="0.61"/>
    <n v="0.37209999999999999"/>
    <x v="7"/>
    <s v="NA7QB"/>
    <n v="31"/>
    <s v="NA7QB-31"/>
  </r>
  <r>
    <x v="1"/>
    <x v="404"/>
    <n v="-1.76"/>
    <n v="0.78"/>
    <s v="#14"/>
    <x v="2"/>
    <n v="1.66"/>
    <n v="-0.1"/>
    <n v="0.88"/>
    <n v="0.77439999999999998"/>
    <x v="7"/>
    <s v="NA16WR"/>
    <n v="71"/>
    <s v="NA16WR-71"/>
  </r>
  <r>
    <x v="14"/>
    <x v="218"/>
    <n v="-2.72"/>
    <n v="0.78"/>
    <s v="#8"/>
    <x v="2"/>
    <n v="2.14"/>
    <n v="-0.57999999999999996"/>
    <n v="1.36"/>
    <n v="1.8495999999999999"/>
    <x v="7"/>
    <s v="NA4WR"/>
    <n v="59"/>
    <s v="NA4WR-59"/>
  </r>
  <r>
    <x v="5"/>
    <x v="410"/>
    <n v="-1.8399999999999999"/>
    <n v="0.78"/>
    <s v="#14"/>
    <x v="2"/>
    <n v="1.7"/>
    <n v="-0.14000000000000001"/>
    <n v="0.92"/>
    <n v="0.84640000000000004"/>
    <x v="7"/>
    <s v="NA13WR"/>
    <n v="73"/>
    <s v="NA13WR-73"/>
  </r>
  <r>
    <x v="13"/>
    <x v="390"/>
    <s v="0.23-1.33"/>
    <n v="0.78"/>
    <s v="#4"/>
    <x v="0"/>
    <n v="1.33"/>
    <n v="0.23"/>
    <n v="0.55000000000000004"/>
    <n v="0.30249999999999999"/>
    <x v="7"/>
    <s v="NA8QB"/>
    <n v="28"/>
    <s v="NA8QB-28"/>
  </r>
  <r>
    <x v="3"/>
    <x v="390"/>
    <s v="0.23-1.33"/>
    <n v="0.78"/>
    <s v="#26"/>
    <x v="0"/>
    <n v="1.33"/>
    <n v="0.23"/>
    <n v="0.55000000000000004"/>
    <n v="0.30249999999999999"/>
    <x v="7"/>
    <s v="NA11QB"/>
    <n v="26"/>
    <s v="NA11QB-26"/>
  </r>
  <r>
    <x v="10"/>
    <x v="392"/>
    <s v="0.16-1.40"/>
    <n v="0.78"/>
    <s v="#9"/>
    <x v="0"/>
    <n v="1.4"/>
    <n v="0.16"/>
    <n v="0.62"/>
    <n v="0.38440000000000002"/>
    <x v="7"/>
    <s v="NA2QB"/>
    <n v="24"/>
    <s v="NA2QB-24"/>
  </r>
  <r>
    <x v="1"/>
    <x v="392"/>
    <s v="0.26-1.30"/>
    <n v="0.78"/>
    <s v="#14"/>
    <x v="0"/>
    <n v="1.3"/>
    <n v="0.26"/>
    <n v="0.52"/>
    <n v="0.27039999999999997"/>
    <x v="7"/>
    <s v="NA16QB"/>
    <n v="32"/>
    <s v="NA16QB-32"/>
  </r>
  <r>
    <x v="9"/>
    <x v="397"/>
    <s v="0.11-1.45"/>
    <n v="0.78"/>
    <s v="#9"/>
    <x v="0"/>
    <n v="1.45"/>
    <n v="0.11"/>
    <n v="0.67"/>
    <n v="0.44890000000000002"/>
    <x v="7"/>
    <s v="NA15QB"/>
    <n v="31"/>
    <s v="NA15QB-31"/>
  </r>
  <r>
    <x v="12"/>
    <x v="382"/>
    <n v="-1.72"/>
    <n v="0.78"/>
    <s v="#26"/>
    <x v="2"/>
    <n v="1.64"/>
    <n v="-0.08"/>
    <n v="0.86"/>
    <n v="0.73960000000000004"/>
    <x v="7"/>
    <s v="NA5WR"/>
    <n v="82"/>
    <s v="NA5WR-82"/>
  </r>
  <r>
    <x v="15"/>
    <x v="246"/>
    <s v="0.05-1.51"/>
    <n v="0.78"/>
    <s v="#24"/>
    <x v="2"/>
    <n v="1.51"/>
    <n v="0.05"/>
    <n v="0.73"/>
    <n v="0.53290000000000004"/>
    <x v="7"/>
    <s v="NA10WR"/>
    <n v="69"/>
    <s v="NA10WR-69"/>
  </r>
  <r>
    <x v="5"/>
    <x v="246"/>
    <s v="0.11-1.45"/>
    <n v="0.78"/>
    <s v="#13"/>
    <x v="2"/>
    <n v="1.45"/>
    <n v="0.11"/>
    <n v="0.67"/>
    <n v="0.44890000000000002"/>
    <x v="7"/>
    <s v="NA13WR"/>
    <n v="74"/>
    <s v="NA13WR-74"/>
  </r>
  <r>
    <x v="14"/>
    <x v="401"/>
    <n v="-1.6600000000000001"/>
    <n v="0.78"/>
    <s v="#4"/>
    <x v="2"/>
    <n v="1.61"/>
    <n v="-0.05"/>
    <n v="0.83"/>
    <n v="0.68889999999999996"/>
    <x v="7"/>
    <s v="NA4WR"/>
    <n v="60"/>
    <s v="NA4WR-60"/>
  </r>
  <r>
    <x v="8"/>
    <x v="299"/>
    <n v="-2.08"/>
    <n v="0.78"/>
    <s v="#31"/>
    <x v="2"/>
    <n v="1.82"/>
    <n v="-0.26"/>
    <n v="1.04"/>
    <n v="1.0815999999999999"/>
    <x v="7"/>
    <s v="NA6WR"/>
    <n v="71"/>
    <s v="NA6WR-71"/>
  </r>
  <r>
    <x v="14"/>
    <x v="411"/>
    <s v="0.01-1.55"/>
    <n v="0.78"/>
    <s v="#18"/>
    <x v="1"/>
    <n v="1.55"/>
    <n v="0.01"/>
    <n v="0.77"/>
    <n v="0.59289999999999998"/>
    <x v="7"/>
    <s v="NA4RB"/>
    <n v="40"/>
    <s v="NA4RB-40"/>
  </r>
  <r>
    <x v="10"/>
    <x v="389"/>
    <s v="0.02-1.54"/>
    <n v="0.78"/>
    <s v="#15"/>
    <x v="2"/>
    <n v="1.54"/>
    <n v="0.02"/>
    <n v="0.76"/>
    <n v="0.5776"/>
    <x v="7"/>
    <s v="NA2WR"/>
    <n v="64"/>
    <s v="NA2WR-64"/>
  </r>
  <r>
    <x v="0"/>
    <x v="389"/>
    <n v="-1.6600000000000001"/>
    <n v="0.78"/>
    <s v="#25"/>
    <x v="2"/>
    <n v="1.61"/>
    <n v="-0.05"/>
    <n v="0.83"/>
    <n v="0.68889999999999996"/>
    <x v="7"/>
    <s v="NA17WR"/>
    <n v="74"/>
    <s v="NA17WR-74"/>
  </r>
  <r>
    <x v="14"/>
    <x v="35"/>
    <s v="0.17-1.39"/>
    <n v="0.78"/>
    <s v="#14"/>
    <x v="0"/>
    <n v="1.39"/>
    <n v="0.17"/>
    <n v="0.61"/>
    <n v="0.37209999999999999"/>
    <x v="7"/>
    <s v="NA4QB"/>
    <n v="27"/>
    <s v="NA4QB-27"/>
  </r>
  <r>
    <x v="0"/>
    <x v="372"/>
    <n v="-1.9"/>
    <n v="0.78"/>
    <s v="#22"/>
    <x v="3"/>
    <n v="1.73"/>
    <n v="-0.17"/>
    <n v="0.95"/>
    <n v="0.90249999999999997"/>
    <x v="7"/>
    <s v="NA17TE"/>
    <n v="56"/>
    <s v="NA17TE-56"/>
  </r>
  <r>
    <x v="3"/>
    <x v="357"/>
    <s v="0.12-1.44"/>
    <n v="0.78"/>
    <s v="#31"/>
    <x v="3"/>
    <n v="1.44"/>
    <n v="0.12"/>
    <n v="0.66"/>
    <n v="0.43559999999999999"/>
    <x v="7"/>
    <s v="NA11TE"/>
    <n v="46"/>
    <s v="NA11TE-46"/>
  </r>
  <r>
    <x v="12"/>
    <x v="408"/>
    <n v="-1.8199999999999998"/>
    <n v="0.78"/>
    <s v="#2"/>
    <x v="2"/>
    <n v="1.69"/>
    <n v="-0.13"/>
    <n v="0.91"/>
    <n v="0.82809999999999995"/>
    <x v="7"/>
    <s v="NA5WR"/>
    <n v="83"/>
    <s v="NA5WR-83"/>
  </r>
  <r>
    <x v="1"/>
    <x v="408"/>
    <s v="0.01-1.55"/>
    <n v="0.78"/>
    <s v="#20"/>
    <x v="2"/>
    <n v="1.55"/>
    <n v="0.01"/>
    <n v="0.77"/>
    <n v="0.59289999999999998"/>
    <x v="7"/>
    <s v="NA16WR"/>
    <n v="72"/>
    <s v="NA16WR-72"/>
  </r>
  <r>
    <x v="14"/>
    <x v="371"/>
    <s v="0.21-1.35"/>
    <n v="0.78"/>
    <s v="#10"/>
    <x v="0"/>
    <n v="1.35"/>
    <n v="0.21"/>
    <n v="0.56999999999999995"/>
    <n v="0.32490000000000002"/>
    <x v="7"/>
    <s v="NA4QB"/>
    <n v="28"/>
    <s v="NA4QB-28"/>
  </r>
  <r>
    <x v="5"/>
    <x v="394"/>
    <s v="0.10-1.46"/>
    <n v="0.78"/>
    <s v="#23"/>
    <x v="1"/>
    <n v="1.46"/>
    <n v="0.1"/>
    <n v="0.68"/>
    <n v="0.46239999999999998"/>
    <x v="7"/>
    <s v="NA13RB"/>
    <n v="47"/>
    <s v="NA13RB-47"/>
  </r>
  <r>
    <x v="7"/>
    <x v="385"/>
    <s v="0.17-1.37"/>
    <n v="0.77"/>
    <s v="#17"/>
    <x v="0"/>
    <n v="1.37"/>
    <n v="0.17"/>
    <n v="0.6"/>
    <n v="0.36"/>
    <x v="7"/>
    <s v="NA1QB"/>
    <n v="24"/>
    <s v="NA1QB-24"/>
  </r>
  <r>
    <x v="16"/>
    <x v="404"/>
    <n v="-1.8599999999999999"/>
    <n v="0.77"/>
    <s v="#21"/>
    <x v="2"/>
    <n v="1.7"/>
    <n v="-0.16"/>
    <n v="0.93"/>
    <n v="0.8649"/>
    <x v="7"/>
    <s v="NA3WR"/>
    <n v="66"/>
    <s v="NA3WR-66"/>
  </r>
  <r>
    <x v="16"/>
    <x v="317"/>
    <n v="-1.56"/>
    <n v="0.77"/>
    <s v="#31"/>
    <x v="2"/>
    <n v="1.55"/>
    <n v="-0.01"/>
    <n v="0.78"/>
    <n v="0.60840000000000005"/>
    <x v="7"/>
    <s v="NA3WR"/>
    <n v="67"/>
    <s v="NA3WR-67"/>
  </r>
  <r>
    <x v="9"/>
    <x v="334"/>
    <s v="0.00-1.54"/>
    <n v="0.77"/>
    <s v="#18"/>
    <x v="2"/>
    <n v="1.54"/>
    <n v="0"/>
    <n v="0.77"/>
    <n v="0.59289999999999998"/>
    <x v="7"/>
    <s v="NA15WR"/>
    <n v="70"/>
    <s v="NA15WR-70"/>
  </r>
  <r>
    <x v="16"/>
    <x v="350"/>
    <s v="0.18-1.36"/>
    <n v="0.77"/>
    <s v="#12"/>
    <x v="0"/>
    <n v="1.36"/>
    <n v="0.18"/>
    <n v="0.59"/>
    <n v="0.34810000000000002"/>
    <x v="7"/>
    <s v="NA3QB"/>
    <n v="27"/>
    <s v="NA3QB-27"/>
  </r>
  <r>
    <x v="13"/>
    <x v="401"/>
    <s v="0.06-1.48"/>
    <n v="0.77"/>
    <s v="#6"/>
    <x v="2"/>
    <n v="1.48"/>
    <n v="0.06"/>
    <n v="0.71"/>
    <n v="0.50409999999999999"/>
    <x v="7"/>
    <s v="NA8WR"/>
    <n v="62"/>
    <s v="NA8WR-62"/>
  </r>
  <r>
    <x v="15"/>
    <x v="401"/>
    <n v="-1.8399999999999999"/>
    <n v="0.77"/>
    <s v="#9"/>
    <x v="2"/>
    <n v="1.69"/>
    <n v="-0.15"/>
    <n v="0.92"/>
    <n v="0.84640000000000004"/>
    <x v="7"/>
    <s v="NA10WR"/>
    <n v="70"/>
    <s v="NA10WR-70"/>
  </r>
  <r>
    <x v="0"/>
    <x v="401"/>
    <n v="-1.88"/>
    <n v="0.77"/>
    <s v="#27"/>
    <x v="2"/>
    <n v="1.71"/>
    <n v="-0.17"/>
    <n v="0.94"/>
    <n v="0.88360000000000005"/>
    <x v="7"/>
    <s v="NA17WR"/>
    <n v="75"/>
    <s v="NA17WR-75"/>
  </r>
  <r>
    <x v="16"/>
    <x v="412"/>
    <s v="0.12-1.42"/>
    <n v="0.77"/>
    <s v="#30"/>
    <x v="0"/>
    <n v="1.42"/>
    <n v="0.12"/>
    <n v="0.65"/>
    <n v="0.42249999999999999"/>
    <x v="7"/>
    <s v="NA3QB"/>
    <n v="28"/>
    <s v="NA3QB-28"/>
  </r>
  <r>
    <x v="3"/>
    <x v="391"/>
    <n v="-1.6400000000000001"/>
    <n v="0.77"/>
    <s v="#27"/>
    <x v="2"/>
    <n v="1.59"/>
    <n v="-0.05"/>
    <n v="0.82"/>
    <n v="0.6724"/>
    <x v="7"/>
    <s v="NA11WR"/>
    <n v="57"/>
    <s v="NA11WR-57"/>
  </r>
  <r>
    <x v="2"/>
    <x v="403"/>
    <n v="-1.56"/>
    <n v="0.77"/>
    <s v="#28"/>
    <x v="1"/>
    <n v="1.55"/>
    <n v="-0.01"/>
    <n v="0.78"/>
    <n v="0.60840000000000005"/>
    <x v="7"/>
    <s v="NA9RB"/>
    <n v="37"/>
    <s v="NA9RB-37"/>
  </r>
  <r>
    <x v="11"/>
    <x v="339"/>
    <s v="0.08-1.44"/>
    <n v="0.76"/>
    <s v="#9"/>
    <x v="1"/>
    <n v="1.44"/>
    <n v="0.08"/>
    <n v="0.68"/>
    <n v="0.46239999999999998"/>
    <x v="7"/>
    <s v="NA14RB"/>
    <n v="47"/>
    <s v="NA14RB-47"/>
  </r>
  <r>
    <x v="10"/>
    <x v="390"/>
    <s v="0.21-1.31"/>
    <n v="0.76"/>
    <s v="#8"/>
    <x v="0"/>
    <n v="1.31"/>
    <n v="0.21"/>
    <n v="0.55000000000000004"/>
    <n v="0.30249999999999999"/>
    <x v="7"/>
    <s v="NA2QB"/>
    <n v="25"/>
    <s v="NA2QB-25"/>
  </r>
  <r>
    <x v="3"/>
    <x v="413"/>
    <n v="-1.58"/>
    <n v="0.76"/>
    <s v="#19"/>
    <x v="2"/>
    <n v="1.55"/>
    <n v="-0.03"/>
    <n v="0.79"/>
    <n v="0.62409999999999999"/>
    <x v="7"/>
    <s v="NA11WR"/>
    <n v="58"/>
    <s v="NA11WR-58"/>
  </r>
  <r>
    <x v="8"/>
    <x v="392"/>
    <s v="0.22-1.30"/>
    <n v="0.76"/>
    <s v="#7"/>
    <x v="0"/>
    <n v="1.3"/>
    <n v="0.22"/>
    <n v="0.54"/>
    <n v="0.29160000000000003"/>
    <x v="7"/>
    <s v="NA6QB"/>
    <n v="32"/>
    <s v="NA6QB-32"/>
  </r>
  <r>
    <x v="13"/>
    <x v="414"/>
    <n v="-1.6400000000000001"/>
    <n v="0.76"/>
    <s v="#32"/>
    <x v="2"/>
    <n v="1.58"/>
    <n v="-0.06"/>
    <n v="0.82"/>
    <n v="0.6724"/>
    <x v="7"/>
    <s v="NA8WR"/>
    <n v="63"/>
    <s v="NA8WR-63"/>
  </r>
  <r>
    <x v="8"/>
    <x v="317"/>
    <n v="-1.6400000000000001"/>
    <n v="0.76"/>
    <s v="#19"/>
    <x v="2"/>
    <n v="1.58"/>
    <n v="-0.06"/>
    <n v="0.82"/>
    <n v="0.6724"/>
    <x v="7"/>
    <s v="NA6WR"/>
    <n v="72"/>
    <s v="NA6WR-72"/>
  </r>
  <r>
    <x v="14"/>
    <x v="382"/>
    <s v="0.04-1.48"/>
    <n v="0.76"/>
    <s v="#14"/>
    <x v="2"/>
    <n v="1.48"/>
    <n v="0.04"/>
    <n v="0.72"/>
    <n v="0.51839999999999997"/>
    <x v="7"/>
    <s v="NA4WR"/>
    <n v="61"/>
    <s v="NA4WR-61"/>
  </r>
  <r>
    <x v="0"/>
    <x v="350"/>
    <s v="0.10-1.42"/>
    <n v="0.76"/>
    <s v="#28"/>
    <x v="0"/>
    <n v="1.42"/>
    <n v="0.1"/>
    <n v="0.66"/>
    <n v="0.43559999999999999"/>
    <x v="7"/>
    <s v="NA17QB"/>
    <n v="33"/>
    <s v="NA17QB-33"/>
  </r>
  <r>
    <x v="4"/>
    <x v="415"/>
    <n v="-1.58"/>
    <n v="0.76"/>
    <s v="#29"/>
    <x v="1"/>
    <n v="1.55"/>
    <n v="-0.03"/>
    <n v="0.79"/>
    <n v="0.62409999999999999"/>
    <x v="7"/>
    <s v="NA7RB"/>
    <n v="38"/>
    <s v="NA7RB-38"/>
  </r>
  <r>
    <x v="4"/>
    <x v="328"/>
    <n v="-1.6400000000000001"/>
    <n v="0.76"/>
    <s v="#14"/>
    <x v="2"/>
    <n v="1.58"/>
    <n v="-0.06"/>
    <n v="0.82"/>
    <n v="0.6724"/>
    <x v="7"/>
    <s v="NA7WR"/>
    <n v="66"/>
    <s v="NA7WR-66"/>
  </r>
  <r>
    <x v="10"/>
    <x v="416"/>
    <s v="0.22-1.30"/>
    <n v="0.76"/>
    <s v="#9"/>
    <x v="3"/>
    <n v="1.3"/>
    <n v="0.22"/>
    <n v="0.54"/>
    <n v="0.29160000000000003"/>
    <x v="7"/>
    <s v="NA2TE"/>
    <n v="48"/>
    <s v="NA2TE-48"/>
  </r>
  <r>
    <x v="6"/>
    <x v="266"/>
    <s v="0.10-1.42"/>
    <n v="0.76"/>
    <s v="#22"/>
    <x v="1"/>
    <n v="1.42"/>
    <n v="0.1"/>
    <n v="0.66"/>
    <n v="0.43559999999999999"/>
    <x v="7"/>
    <s v="NA12RB"/>
    <n v="46"/>
    <s v="NA12RB-46"/>
  </r>
  <r>
    <x v="0"/>
    <x v="299"/>
    <n v="-2.08"/>
    <n v="0.76"/>
    <s v="#31"/>
    <x v="2"/>
    <n v="1.8"/>
    <n v="-0.28000000000000003"/>
    <n v="1.04"/>
    <n v="1.0815999999999999"/>
    <x v="7"/>
    <s v="NA17WR"/>
    <n v="76"/>
    <s v="NA17WR-76"/>
  </r>
  <r>
    <x v="0"/>
    <x v="417"/>
    <s v="0.02-1.50"/>
    <n v="0.76"/>
    <s v="#29"/>
    <x v="2"/>
    <n v="1.5"/>
    <n v="0.02"/>
    <n v="0.74"/>
    <n v="0.54759999999999998"/>
    <x v="7"/>
    <s v="NA17WR"/>
    <n v="77"/>
    <s v="NA17WR-77"/>
  </r>
  <r>
    <x v="14"/>
    <x v="303"/>
    <n v="-1.62"/>
    <n v="0.76"/>
    <s v="#29"/>
    <x v="1"/>
    <n v="1.57"/>
    <n v="-0.05"/>
    <n v="0.81"/>
    <n v="0.65610000000000002"/>
    <x v="7"/>
    <s v="NA4RB"/>
    <n v="41"/>
    <s v="NA4RB-41"/>
  </r>
  <r>
    <x v="9"/>
    <x v="369"/>
    <s v="0.08-1.44"/>
    <n v="0.76"/>
    <s v="#11"/>
    <x v="3"/>
    <n v="1.44"/>
    <n v="0.08"/>
    <n v="0.68"/>
    <n v="0.46239999999999998"/>
    <x v="7"/>
    <s v="NA15TE"/>
    <n v="56"/>
    <s v="NA15TE-56"/>
  </r>
  <r>
    <x v="1"/>
    <x v="369"/>
    <s v="0.06-1.46"/>
    <n v="0.76"/>
    <s v="#26"/>
    <x v="3"/>
    <n v="1.46"/>
    <n v="0.06"/>
    <n v="0.7"/>
    <n v="0.49"/>
    <x v="7"/>
    <s v="NA16TE"/>
    <n v="57"/>
    <s v="NA16TE-57"/>
  </r>
  <r>
    <x v="2"/>
    <x v="393"/>
    <s v="0.02-1.50"/>
    <n v="0.76"/>
    <s v="#28"/>
    <x v="1"/>
    <n v="1.5"/>
    <n v="0.02"/>
    <n v="0.74"/>
    <n v="0.54759999999999998"/>
    <x v="7"/>
    <s v="NA9RB"/>
    <n v="38"/>
    <s v="NA9RB-38"/>
  </r>
  <r>
    <x v="0"/>
    <x v="396"/>
    <n v="-1.94"/>
    <n v="0.76"/>
    <s v="#27"/>
    <x v="2"/>
    <n v="1.73"/>
    <n v="-0.21"/>
    <n v="0.97"/>
    <n v="0.94089999999999996"/>
    <x v="7"/>
    <s v="NA17WR"/>
    <n v="78"/>
    <s v="NA17WR-78"/>
  </r>
  <r>
    <x v="12"/>
    <x v="388"/>
    <s v="0.17-1.35"/>
    <n v="0.76"/>
    <s v="#8"/>
    <x v="0"/>
    <n v="1.35"/>
    <n v="0.17"/>
    <n v="0.59"/>
    <n v="0.34810000000000002"/>
    <x v="7"/>
    <s v="NA5QB"/>
    <n v="29"/>
    <s v="NA5QB-29"/>
  </r>
  <r>
    <x v="14"/>
    <x v="367"/>
    <n v="-1.9"/>
    <n v="0.76"/>
    <s v="#17"/>
    <x v="1"/>
    <n v="1.71"/>
    <n v="-0.19"/>
    <n v="0.95"/>
    <n v="0.90249999999999997"/>
    <x v="7"/>
    <s v="NA4RB"/>
    <n v="42"/>
    <s v="NA4RB-42"/>
  </r>
  <r>
    <x v="8"/>
    <x v="408"/>
    <n v="-1.7799999999999998"/>
    <n v="0.76"/>
    <s v="#14"/>
    <x v="2"/>
    <n v="1.65"/>
    <n v="-0.13"/>
    <n v="0.89"/>
    <n v="0.79210000000000003"/>
    <x v="7"/>
    <s v="NA6WR"/>
    <n v="73"/>
    <s v="NA6WR-73"/>
  </r>
  <r>
    <x v="13"/>
    <x v="358"/>
    <s v="0.07-1.45"/>
    <n v="0.76"/>
    <s v="#28"/>
    <x v="1"/>
    <n v="1.45"/>
    <n v="7.0000000000000007E-2"/>
    <n v="0.69"/>
    <n v="0.47610000000000002"/>
    <x v="7"/>
    <s v="NA8RB"/>
    <n v="44"/>
    <s v="NA8RB-44"/>
  </r>
  <r>
    <x v="5"/>
    <x v="358"/>
    <s v="0.16-1.36"/>
    <n v="0.76"/>
    <s v="#18"/>
    <x v="1"/>
    <n v="1.36"/>
    <n v="0.16"/>
    <n v="0.6"/>
    <n v="0.36"/>
    <x v="7"/>
    <s v="NA13RB"/>
    <n v="48"/>
    <s v="NA13RB-48"/>
  </r>
  <r>
    <x v="16"/>
    <x v="308"/>
    <n v="-1.74"/>
    <n v="0.76"/>
    <s v="#22"/>
    <x v="1"/>
    <n v="1.63"/>
    <n v="-0.11"/>
    <n v="0.87"/>
    <n v="0.75690000000000002"/>
    <x v="7"/>
    <s v="NA3RB"/>
    <n v="44"/>
    <s v="NA3RB-44"/>
  </r>
  <r>
    <x v="4"/>
    <x v="308"/>
    <n v="-2.04"/>
    <n v="0.76"/>
    <s v="#3"/>
    <x v="1"/>
    <n v="1.78"/>
    <n v="-0.26"/>
    <n v="1.02"/>
    <n v="1.0404"/>
    <x v="7"/>
    <s v="NA7RB"/>
    <n v="39"/>
    <s v="NA7RB-39"/>
  </r>
  <r>
    <x v="5"/>
    <x v="379"/>
    <n v="-1.7599999999999998"/>
    <n v="0.75"/>
    <s v="#30"/>
    <x v="2"/>
    <n v="1.63"/>
    <n v="-0.13"/>
    <n v="0.88"/>
    <n v="0.77439999999999998"/>
    <x v="7"/>
    <s v="NA13WR"/>
    <n v="75"/>
    <s v="NA13WR-75"/>
  </r>
  <r>
    <x v="8"/>
    <x v="410"/>
    <s v="0.03-1.47"/>
    <n v="0.75"/>
    <s v="#9"/>
    <x v="2"/>
    <n v="1.47"/>
    <n v="0.03"/>
    <n v="0.72"/>
    <n v="0.51839999999999997"/>
    <x v="7"/>
    <s v="NA6WR"/>
    <n v="74"/>
    <s v="NA6WR-74"/>
  </r>
  <r>
    <x v="1"/>
    <x v="410"/>
    <s v="0.04-1.46"/>
    <n v="0.75"/>
    <s v="#21"/>
    <x v="2"/>
    <n v="1.46"/>
    <n v="0.04"/>
    <n v="0.71"/>
    <n v="0.50409999999999999"/>
    <x v="7"/>
    <s v="NA16WR"/>
    <n v="73"/>
    <s v="NA16WR-73"/>
  </r>
  <r>
    <x v="7"/>
    <x v="390"/>
    <s v="0.16-1.34"/>
    <n v="0.75"/>
    <s v="#21"/>
    <x v="0"/>
    <n v="1.34"/>
    <n v="0.16"/>
    <n v="0.59"/>
    <n v="0.34810000000000002"/>
    <x v="7"/>
    <s v="NA1QB"/>
    <n v="25"/>
    <s v="NA1QB-25"/>
  </r>
  <r>
    <x v="9"/>
    <x v="387"/>
    <s v="0.15-1.35"/>
    <n v="0.75"/>
    <s v="#12"/>
    <x v="0"/>
    <n v="1.35"/>
    <n v="0.15"/>
    <n v="0.6"/>
    <n v="0.36"/>
    <x v="7"/>
    <s v="NA15QB"/>
    <n v="32"/>
    <s v="NA15QB-32"/>
  </r>
  <r>
    <x v="15"/>
    <x v="397"/>
    <s v="0.14-1.36"/>
    <n v="0.75"/>
    <s v="#6"/>
    <x v="0"/>
    <n v="1.36"/>
    <n v="0.14000000000000001"/>
    <n v="0.61"/>
    <n v="0.37209999999999999"/>
    <x v="7"/>
    <s v="NA10QB"/>
    <n v="28"/>
    <s v="NA10QB-28"/>
  </r>
  <r>
    <x v="16"/>
    <x v="361"/>
    <n v="-1.96"/>
    <n v="0.75"/>
    <s v="#18"/>
    <x v="2"/>
    <n v="1.73"/>
    <n v="-0.23"/>
    <n v="0.98"/>
    <n v="0.96040000000000003"/>
    <x v="7"/>
    <s v="NA3WR"/>
    <n v="68"/>
    <s v="NA3WR-68"/>
  </r>
  <r>
    <x v="7"/>
    <x v="374"/>
    <n v="-1.6600000000000001"/>
    <n v="0.75"/>
    <s v="#32"/>
    <x v="1"/>
    <n v="1.58"/>
    <n v="-0.08"/>
    <n v="0.83"/>
    <n v="0.68889999999999996"/>
    <x v="7"/>
    <s v="NA1RB"/>
    <n v="35"/>
    <s v="NA1RB-35"/>
  </r>
  <r>
    <x v="8"/>
    <x v="350"/>
    <s v="0.11-1.39"/>
    <n v="0.75"/>
    <s v="#18"/>
    <x v="0"/>
    <n v="1.39"/>
    <n v="0.11"/>
    <n v="0.64"/>
    <n v="0.40960000000000002"/>
    <x v="7"/>
    <s v="NA6QB"/>
    <n v="33"/>
    <s v="NA6QB-33"/>
  </r>
  <r>
    <x v="11"/>
    <x v="246"/>
    <s v="0.01-1.49"/>
    <n v="0.75"/>
    <s v="#29"/>
    <x v="2"/>
    <n v="1.49"/>
    <n v="0.01"/>
    <n v="0.74"/>
    <n v="0.54759999999999998"/>
    <x v="7"/>
    <s v="NA14WR"/>
    <n v="73"/>
    <s v="NA14WR-73"/>
  </r>
  <r>
    <x v="1"/>
    <x v="246"/>
    <s v="0.09-1.41"/>
    <n v="0.75"/>
    <s v="#4"/>
    <x v="2"/>
    <n v="1.41"/>
    <n v="0.09"/>
    <n v="0.66"/>
    <n v="0.43559999999999999"/>
    <x v="7"/>
    <s v="NA16WR"/>
    <n v="74"/>
    <s v="NA16WR-74"/>
  </r>
  <r>
    <x v="3"/>
    <x v="266"/>
    <n v="-1.6"/>
    <n v="0.75"/>
    <s v="#30"/>
    <x v="1"/>
    <n v="1.55"/>
    <n v="-0.05"/>
    <n v="0.8"/>
    <n v="0.64"/>
    <x v="7"/>
    <s v="NA11RB"/>
    <n v="37"/>
    <s v="NA11RB-37"/>
  </r>
  <r>
    <x v="13"/>
    <x v="384"/>
    <n v="-1.52"/>
    <n v="0.75"/>
    <s v="#4"/>
    <x v="2"/>
    <n v="1.51"/>
    <n v="-0.01"/>
    <n v="0.76"/>
    <n v="0.5776"/>
    <x v="7"/>
    <s v="NA8WR"/>
    <n v="64"/>
    <s v="NA8WR-64"/>
  </r>
  <r>
    <x v="4"/>
    <x v="299"/>
    <n v="-2.12"/>
    <n v="0.75"/>
    <s v="#22"/>
    <x v="2"/>
    <n v="1.81"/>
    <n v="-0.31"/>
    <n v="1.06"/>
    <n v="1.1235999999999999"/>
    <x v="7"/>
    <s v="NA7WR"/>
    <n v="67"/>
    <s v="NA7WR-67"/>
  </r>
  <r>
    <x v="5"/>
    <x v="389"/>
    <n v="-1.6600000000000001"/>
    <n v="0.75"/>
    <s v="#25"/>
    <x v="2"/>
    <n v="1.58"/>
    <n v="-0.08"/>
    <n v="0.83"/>
    <n v="0.68889999999999996"/>
    <x v="7"/>
    <s v="NA13WR"/>
    <n v="76"/>
    <s v="NA13WR-76"/>
  </r>
  <r>
    <x v="4"/>
    <x v="369"/>
    <s v="0.13-1.37"/>
    <n v="0.75"/>
    <s v="#24"/>
    <x v="3"/>
    <n v="1.37"/>
    <n v="0.13"/>
    <n v="0.62"/>
    <n v="0.38440000000000002"/>
    <x v="7"/>
    <s v="NA7TE"/>
    <n v="51"/>
    <s v="NA7TE-51"/>
  </r>
  <r>
    <x v="9"/>
    <x v="403"/>
    <n v="-1.56"/>
    <n v="0.75"/>
    <s v="#24"/>
    <x v="1"/>
    <n v="1.53"/>
    <n v="-0.03"/>
    <n v="0.78"/>
    <n v="0.60840000000000005"/>
    <x v="7"/>
    <s v="NA15RB"/>
    <n v="46"/>
    <s v="NA15RB-46"/>
  </r>
  <r>
    <x v="16"/>
    <x v="388"/>
    <s v="0.25-1.25"/>
    <n v="0.75"/>
    <s v="#20"/>
    <x v="0"/>
    <n v="1.25"/>
    <n v="0.25"/>
    <n v="0.5"/>
    <n v="0.25"/>
    <x v="7"/>
    <s v="NA3QB"/>
    <n v="29"/>
    <s v="NA3QB-29"/>
  </r>
  <r>
    <x v="9"/>
    <x v="408"/>
    <s v="0.05-1.45"/>
    <n v="0.75"/>
    <s v="#31"/>
    <x v="2"/>
    <n v="1.45"/>
    <n v="0.05"/>
    <n v="0.7"/>
    <n v="0.49"/>
    <x v="7"/>
    <s v="NA15WR"/>
    <n v="71"/>
    <s v="NA15WR-71"/>
  </r>
  <r>
    <x v="3"/>
    <x v="406"/>
    <n v="-1.88"/>
    <n v="0.75"/>
    <s v="#27"/>
    <x v="2"/>
    <n v="1.69"/>
    <n v="-0.19"/>
    <n v="0.94"/>
    <n v="0.88360000000000005"/>
    <x v="7"/>
    <s v="NA11WR"/>
    <n v="59"/>
    <s v="NA11WR-59"/>
  </r>
  <r>
    <x v="4"/>
    <x v="47"/>
    <s v="0.09-1.39"/>
    <n v="0.74"/>
    <s v="#20"/>
    <x v="0"/>
    <n v="1.39"/>
    <n v="0.09"/>
    <n v="0.65"/>
    <n v="0.42249999999999999"/>
    <x v="7"/>
    <s v="NA7QB"/>
    <n v="32"/>
    <s v="NA7QB-32"/>
  </r>
  <r>
    <x v="9"/>
    <x v="379"/>
    <n v="-1.7799999999999998"/>
    <n v="0.74"/>
    <s v="#9"/>
    <x v="2"/>
    <n v="1.63"/>
    <n v="-0.15"/>
    <n v="0.89"/>
    <n v="0.79210000000000003"/>
    <x v="7"/>
    <s v="NA15WR"/>
    <n v="72"/>
    <s v="NA15WR-72"/>
  </r>
  <r>
    <x v="2"/>
    <x v="413"/>
    <n v="-1.58"/>
    <n v="0.74"/>
    <s v="#15"/>
    <x v="2"/>
    <n v="1.53"/>
    <n v="-0.05"/>
    <n v="0.79"/>
    <n v="0.62409999999999999"/>
    <x v="7"/>
    <s v="NA9WR"/>
    <n v="65"/>
    <s v="NA9WR-65"/>
  </r>
  <r>
    <x v="1"/>
    <x v="413"/>
    <n v="-1.6400000000000001"/>
    <n v="0.74"/>
    <s v="#20"/>
    <x v="2"/>
    <n v="1.56"/>
    <n v="-0.08"/>
    <n v="0.82"/>
    <n v="0.6724"/>
    <x v="7"/>
    <s v="NA16WR"/>
    <n v="75"/>
    <s v="NA16WR-75"/>
  </r>
  <r>
    <x v="0"/>
    <x v="414"/>
    <n v="-1.56"/>
    <n v="0.74"/>
    <s v="#20"/>
    <x v="2"/>
    <n v="1.52"/>
    <n v="-0.04"/>
    <n v="0.78"/>
    <n v="0.60840000000000005"/>
    <x v="7"/>
    <s v="NA17WR"/>
    <n v="79"/>
    <s v="NA17WR-79"/>
  </r>
  <r>
    <x v="13"/>
    <x v="334"/>
    <s v="0.05-1.43"/>
    <n v="0.74"/>
    <s v="#28"/>
    <x v="2"/>
    <n v="1.43"/>
    <n v="0.05"/>
    <n v="0.69"/>
    <n v="0.47610000000000002"/>
    <x v="7"/>
    <s v="NA8WR"/>
    <n v="65"/>
    <s v="NA8WR-65"/>
  </r>
  <r>
    <x v="11"/>
    <x v="334"/>
    <s v="0.17-1.31"/>
    <n v="0.74"/>
    <s v="#26"/>
    <x v="2"/>
    <n v="1.31"/>
    <n v="0.17"/>
    <n v="0.56999999999999995"/>
    <n v="0.32490000000000002"/>
    <x v="7"/>
    <s v="NA14WR"/>
    <n v="74"/>
    <s v="NA14WR-74"/>
  </r>
  <r>
    <x v="1"/>
    <x v="334"/>
    <n v="-1.52"/>
    <n v="0.74"/>
    <s v="#32"/>
    <x v="2"/>
    <n v="1.5"/>
    <n v="-0.02"/>
    <n v="0.76"/>
    <n v="0.5776"/>
    <x v="7"/>
    <s v="NA16WR"/>
    <n v="76"/>
    <s v="NA16WR-76"/>
  </r>
  <r>
    <x v="16"/>
    <x v="374"/>
    <n v="-1.7200000000000002"/>
    <n v="0.74"/>
    <s v="#10"/>
    <x v="1"/>
    <n v="1.6"/>
    <n v="-0.12"/>
    <n v="0.86"/>
    <n v="0.73960000000000004"/>
    <x v="7"/>
    <s v="NA3RB"/>
    <n v="45"/>
    <s v="NA3RB-45"/>
  </r>
  <r>
    <x v="2"/>
    <x v="350"/>
    <s v="0.12-1.36"/>
    <n v="0.74"/>
    <s v="#17"/>
    <x v="0"/>
    <n v="1.36"/>
    <n v="0.12"/>
    <n v="0.62"/>
    <n v="0.38440000000000002"/>
    <x v="7"/>
    <s v="NA9QB"/>
    <n v="28"/>
    <s v="NA9QB-28"/>
  </r>
  <r>
    <x v="3"/>
    <x v="299"/>
    <n v="-2.12"/>
    <n v="0.74"/>
    <s v="#23"/>
    <x v="2"/>
    <n v="1.8"/>
    <n v="-0.32"/>
    <n v="1.06"/>
    <n v="1.1235999999999999"/>
    <x v="7"/>
    <s v="NA11WR"/>
    <n v="60"/>
    <s v="NA11WR-60"/>
  </r>
  <r>
    <x v="10"/>
    <x v="183"/>
    <s v="0.05-1.43"/>
    <n v="0.74"/>
    <s v="#20"/>
    <x v="1"/>
    <n v="1.43"/>
    <n v="0.05"/>
    <n v="0.69"/>
    <n v="0.47610000000000002"/>
    <x v="7"/>
    <s v="NA2RB"/>
    <n v="37"/>
    <s v="NA2RB-37"/>
  </r>
  <r>
    <x v="1"/>
    <x v="380"/>
    <s v="0.00-1.48"/>
    <n v="0.74"/>
    <s v="#11"/>
    <x v="2"/>
    <n v="1.48"/>
    <n v="0"/>
    <n v="0.74"/>
    <n v="0.54759999999999998"/>
    <x v="7"/>
    <s v="NA16WR"/>
    <n v="77"/>
    <s v="NA16WR-77"/>
  </r>
  <r>
    <x v="4"/>
    <x v="391"/>
    <n v="-1.62"/>
    <n v="0.74"/>
    <s v="#23"/>
    <x v="2"/>
    <n v="1.55"/>
    <n v="-7.0000000000000007E-2"/>
    <n v="0.81"/>
    <n v="0.65610000000000002"/>
    <x v="7"/>
    <s v="NA7WR"/>
    <n v="68"/>
    <s v="NA7WR-68"/>
  </r>
  <r>
    <x v="13"/>
    <x v="369"/>
    <s v="0.04-1.44"/>
    <n v="0.74"/>
    <s v="#8"/>
    <x v="3"/>
    <n v="1.44"/>
    <n v="0.04"/>
    <n v="0.7"/>
    <n v="0.49"/>
    <x v="7"/>
    <s v="NA8TE"/>
    <n v="48"/>
    <s v="NA8TE-48"/>
  </r>
  <r>
    <x v="1"/>
    <x v="396"/>
    <n v="-1.7200000000000002"/>
    <n v="0.74"/>
    <s v="#24"/>
    <x v="2"/>
    <n v="1.6"/>
    <n v="-0.12"/>
    <n v="0.86"/>
    <n v="0.73960000000000004"/>
    <x v="7"/>
    <s v="NA16WR"/>
    <n v="78"/>
    <s v="NA16WR-78"/>
  </r>
  <r>
    <x v="4"/>
    <x v="408"/>
    <s v="0.07-1.41"/>
    <n v="0.74"/>
    <s v="#30"/>
    <x v="2"/>
    <n v="1.41"/>
    <n v="7.0000000000000007E-2"/>
    <n v="0.67"/>
    <n v="0.44890000000000002"/>
    <x v="7"/>
    <s v="NA7WR"/>
    <n v="69"/>
    <s v="NA7WR-69"/>
  </r>
  <r>
    <x v="3"/>
    <x v="358"/>
    <s v="0.14-1.34"/>
    <n v="0.74"/>
    <s v="#21"/>
    <x v="1"/>
    <n v="1.34"/>
    <n v="0.14000000000000001"/>
    <n v="0.6"/>
    <n v="0.36"/>
    <x v="7"/>
    <s v="NA11RB"/>
    <n v="38"/>
    <s v="NA11RB-38"/>
  </r>
  <r>
    <x v="13"/>
    <x v="395"/>
    <s v="0.22-1.24"/>
    <n v="0.73"/>
    <s v="#9"/>
    <x v="0"/>
    <n v="1.24"/>
    <n v="0.22"/>
    <n v="0.51"/>
    <n v="0.2601"/>
    <x v="7"/>
    <s v="NA8QB"/>
    <n v="29"/>
    <s v="NA8QB-29"/>
  </r>
  <r>
    <x v="10"/>
    <x v="385"/>
    <s v="0.15-1.31"/>
    <n v="0.73"/>
    <s v="#14"/>
    <x v="0"/>
    <n v="1.31"/>
    <n v="0.15"/>
    <n v="0.57999999999999996"/>
    <n v="0.33639999999999998"/>
    <x v="7"/>
    <s v="NA2QB"/>
    <n v="26"/>
    <s v="NA2QB-26"/>
  </r>
  <r>
    <x v="0"/>
    <x v="385"/>
    <s v="0.21-1.25"/>
    <n v="0.73"/>
    <s v="#3"/>
    <x v="0"/>
    <n v="1.25"/>
    <n v="0.21"/>
    <n v="0.52"/>
    <n v="0.27039999999999997"/>
    <x v="7"/>
    <s v="NA17QB"/>
    <n v="34"/>
    <s v="NA17QB-34"/>
  </r>
  <r>
    <x v="16"/>
    <x v="370"/>
    <s v="0.15-1.31"/>
    <n v="0.73"/>
    <s v="#28"/>
    <x v="0"/>
    <n v="1.31"/>
    <n v="0.15"/>
    <n v="0.57999999999999996"/>
    <n v="0.33639999999999998"/>
    <x v="7"/>
    <s v="NA3QB"/>
    <n v="30"/>
    <s v="NA3QB-30"/>
  </r>
  <r>
    <x v="4"/>
    <x v="404"/>
    <s v="0.00-1.46"/>
    <n v="0.73"/>
    <s v="#23"/>
    <x v="2"/>
    <n v="1.46"/>
    <n v="0"/>
    <n v="0.73"/>
    <n v="0.53290000000000004"/>
    <x v="7"/>
    <s v="NA7WR"/>
    <n v="70"/>
    <s v="NA7WR-70"/>
  </r>
  <r>
    <x v="15"/>
    <x v="404"/>
    <s v="0.04-1.42"/>
    <n v="0.73"/>
    <s v="#31"/>
    <x v="2"/>
    <n v="1.42"/>
    <n v="0.04"/>
    <n v="0.69"/>
    <n v="0.47610000000000002"/>
    <x v="7"/>
    <s v="NA10WR"/>
    <n v="71"/>
    <s v="NA10WR-71"/>
  </r>
  <r>
    <x v="3"/>
    <x v="404"/>
    <s v="0.09-1.37"/>
    <n v="0.73"/>
    <s v="#27"/>
    <x v="2"/>
    <n v="1.37"/>
    <n v="0.09"/>
    <n v="0.64"/>
    <n v="0.40960000000000002"/>
    <x v="7"/>
    <s v="NA11WR"/>
    <n v="61"/>
    <s v="NA11WR-61"/>
  </r>
  <r>
    <x v="9"/>
    <x v="404"/>
    <n v="-1.48"/>
    <n v="0.73"/>
    <s v="#3"/>
    <x v="2"/>
    <n v="1.47"/>
    <n v="-0.01"/>
    <n v="0.74"/>
    <n v="0.54759999999999998"/>
    <x v="7"/>
    <s v="NA15WR"/>
    <n v="73"/>
    <s v="NA15WR-73"/>
  </r>
  <r>
    <x v="16"/>
    <x v="410"/>
    <n v="-1.7200000000000002"/>
    <n v="0.73"/>
    <s v="#2"/>
    <x v="2"/>
    <n v="1.59"/>
    <n v="-0.13"/>
    <n v="0.86"/>
    <n v="0.73960000000000004"/>
    <x v="7"/>
    <s v="NA3WR"/>
    <n v="69"/>
    <s v="NA3WR-69"/>
  </r>
  <r>
    <x v="0"/>
    <x v="390"/>
    <s v="0.18-1.28"/>
    <n v="0.73"/>
    <s v="#26"/>
    <x v="0"/>
    <n v="1.28"/>
    <n v="0.18"/>
    <n v="0.55000000000000004"/>
    <n v="0.30249999999999999"/>
    <x v="7"/>
    <s v="NA17QB"/>
    <n v="35"/>
    <s v="NA17QB-35"/>
  </r>
  <r>
    <x v="9"/>
    <x v="413"/>
    <n v="-1.6800000000000002"/>
    <n v="0.73"/>
    <s v="#31"/>
    <x v="2"/>
    <n v="1.57"/>
    <n v="-0.11"/>
    <n v="0.84"/>
    <n v="0.7056"/>
    <x v="7"/>
    <s v="NA15WR"/>
    <n v="74"/>
    <s v="NA15WR-74"/>
  </r>
  <r>
    <x v="15"/>
    <x v="346"/>
    <s v="0.02-1.44"/>
    <n v="0.73"/>
    <s v="#30"/>
    <x v="2"/>
    <n v="1.44"/>
    <n v="0.02"/>
    <n v="0.71"/>
    <n v="0.50409999999999999"/>
    <x v="7"/>
    <s v="NA10WR"/>
    <n v="72"/>
    <s v="NA10WR-72"/>
  </r>
  <r>
    <x v="3"/>
    <x v="387"/>
    <s v="0.17-1.29"/>
    <n v="0.73"/>
    <s v="#15"/>
    <x v="0"/>
    <n v="1.29"/>
    <n v="0.17"/>
    <n v="0.56000000000000005"/>
    <n v="0.31359999999999999"/>
    <x v="7"/>
    <s v="NA11QB"/>
    <n v="27"/>
    <s v="NA11QB-27"/>
  </r>
  <r>
    <x v="10"/>
    <x v="397"/>
    <s v="0.18-1.28"/>
    <n v="0.73"/>
    <s v="#22"/>
    <x v="0"/>
    <n v="1.28"/>
    <n v="0.18"/>
    <n v="0.55000000000000004"/>
    <n v="0.30249999999999999"/>
    <x v="7"/>
    <s v="NA2QB"/>
    <n v="27"/>
    <s v="NA2QB-27"/>
  </r>
  <r>
    <x v="4"/>
    <x v="342"/>
    <n v="-1.62"/>
    <n v="0.73"/>
    <s v="#27"/>
    <x v="2"/>
    <n v="1.54"/>
    <n v="-0.08"/>
    <n v="0.81"/>
    <n v="0.65610000000000002"/>
    <x v="7"/>
    <s v="NA7WR"/>
    <n v="71"/>
    <s v="NA7WR-71"/>
  </r>
  <r>
    <x v="3"/>
    <x v="334"/>
    <s v="0.06-1.40"/>
    <n v="0.73"/>
    <s v="#21"/>
    <x v="2"/>
    <n v="1.4"/>
    <n v="0.06"/>
    <n v="0.67"/>
    <n v="0.44890000000000002"/>
    <x v="7"/>
    <s v="NA11WR"/>
    <n v="62"/>
    <s v="NA11WR-62"/>
  </r>
  <r>
    <x v="11"/>
    <x v="341"/>
    <s v="0.06-1.40"/>
    <n v="0.73"/>
    <s v="#32"/>
    <x v="1"/>
    <n v="1.4"/>
    <n v="0.06"/>
    <n v="0.67"/>
    <n v="0.44890000000000002"/>
    <x v="7"/>
    <s v="NA14RB"/>
    <n v="48"/>
    <s v="NA14RB-48"/>
  </r>
  <r>
    <x v="15"/>
    <x v="350"/>
    <s v="0.09-1.37"/>
    <n v="0.73"/>
    <s v="#24"/>
    <x v="0"/>
    <n v="1.37"/>
    <n v="0.09"/>
    <n v="0.64"/>
    <n v="0.40960000000000002"/>
    <x v="7"/>
    <s v="NA10QB"/>
    <n v="29"/>
    <s v="NA10QB-29"/>
  </r>
  <r>
    <x v="2"/>
    <x v="246"/>
    <s v="0.02-1.44"/>
    <n v="0.73"/>
    <s v="#17"/>
    <x v="2"/>
    <n v="1.44"/>
    <n v="0.02"/>
    <n v="0.71"/>
    <n v="0.50409999999999999"/>
    <x v="7"/>
    <s v="NA9WR"/>
    <n v="66"/>
    <s v="NA9WR-66"/>
  </r>
  <r>
    <x v="8"/>
    <x v="329"/>
    <s v="0.19-1.27"/>
    <n v="0.73"/>
    <s v="#4"/>
    <x v="0"/>
    <n v="1.27"/>
    <n v="0.19"/>
    <n v="0.54"/>
    <n v="0.29160000000000003"/>
    <x v="7"/>
    <s v="NA6QB"/>
    <n v="34"/>
    <s v="NA6QB-34"/>
  </r>
  <r>
    <x v="16"/>
    <x v="401"/>
    <n v="-1.78"/>
    <n v="0.73"/>
    <s v="#14"/>
    <x v="2"/>
    <n v="1.62"/>
    <n v="-0.16"/>
    <n v="0.89"/>
    <n v="0.79210000000000003"/>
    <x v="7"/>
    <s v="NA3WR"/>
    <n v="70"/>
    <s v="NA3WR-70"/>
  </r>
  <r>
    <x v="15"/>
    <x v="266"/>
    <n v="-1.56"/>
    <n v="0.73"/>
    <s v="#23"/>
    <x v="1"/>
    <n v="1.51"/>
    <n v="-0.05"/>
    <n v="0.78"/>
    <n v="0.60840000000000005"/>
    <x v="7"/>
    <s v="NA10RB"/>
    <n v="42"/>
    <s v="NA10RB-42"/>
  </r>
  <r>
    <x v="1"/>
    <x v="266"/>
    <n v="-1.54"/>
    <n v="0.73"/>
    <s v="#27"/>
    <x v="1"/>
    <n v="1.5"/>
    <n v="-0.04"/>
    <n v="0.77"/>
    <n v="0.59289999999999998"/>
    <x v="7"/>
    <s v="NA16RB"/>
    <n v="45"/>
    <s v="NA16RB-45"/>
  </r>
  <r>
    <x v="8"/>
    <x v="417"/>
    <n v="-1.48"/>
    <n v="0.73"/>
    <s v="#29"/>
    <x v="2"/>
    <n v="1.47"/>
    <n v="-0.01"/>
    <n v="0.74"/>
    <n v="0.54759999999999998"/>
    <x v="7"/>
    <s v="NA6WR"/>
    <n v="75"/>
    <s v="NA6WR-75"/>
  </r>
  <r>
    <x v="15"/>
    <x v="318"/>
    <n v="-1.6800000000000002"/>
    <n v="0.73"/>
    <s v="#28"/>
    <x v="2"/>
    <n v="1.57"/>
    <n v="-0.11"/>
    <n v="0.84"/>
    <n v="0.7056"/>
    <x v="7"/>
    <s v="NA10WR"/>
    <n v="73"/>
    <s v="NA10WR-73"/>
  </r>
  <r>
    <x v="2"/>
    <x v="389"/>
    <n v="-2.04"/>
    <n v="0.73"/>
    <s v="#2"/>
    <x v="2"/>
    <n v="1.75"/>
    <n v="-0.28999999999999998"/>
    <n v="1.02"/>
    <n v="1.0404"/>
    <x v="7"/>
    <s v="NA9WR"/>
    <n v="67"/>
    <s v="NA9WR-67"/>
  </r>
  <r>
    <x v="15"/>
    <x v="380"/>
    <n v="-1.6800000000000002"/>
    <n v="0.73"/>
    <s v="#14"/>
    <x v="2"/>
    <n v="1.57"/>
    <n v="-0.11"/>
    <n v="0.84"/>
    <n v="0.7056"/>
    <x v="7"/>
    <s v="NA10WR"/>
    <n v="74"/>
    <s v="NA10WR-74"/>
  </r>
  <r>
    <x v="9"/>
    <x v="380"/>
    <s v="0.00-1.46"/>
    <n v="0.73"/>
    <s v="#15"/>
    <x v="2"/>
    <n v="1.46"/>
    <n v="0"/>
    <n v="0.73"/>
    <n v="0.53290000000000004"/>
    <x v="7"/>
    <s v="NA15WR"/>
    <n v="75"/>
    <s v="NA15WR-75"/>
  </r>
  <r>
    <x v="0"/>
    <x v="418"/>
    <s v="0.01-1.45"/>
    <n v="0.73"/>
    <s v="#18"/>
    <x v="2"/>
    <n v="1.45"/>
    <n v="0.01"/>
    <n v="0.72"/>
    <n v="0.51839999999999997"/>
    <x v="7"/>
    <s v="NA17WR"/>
    <n v="80"/>
    <s v="NA17WR-80"/>
  </r>
  <r>
    <x v="6"/>
    <x v="407"/>
    <n v="-1.52"/>
    <n v="0.73"/>
    <s v="#27"/>
    <x v="2"/>
    <n v="1.49"/>
    <n v="-0.03"/>
    <n v="0.76"/>
    <n v="0.5776"/>
    <x v="7"/>
    <s v="NA12WR"/>
    <n v="68"/>
    <s v="NA12WR-68"/>
  </r>
  <r>
    <x v="8"/>
    <x v="396"/>
    <n v="-1.78"/>
    <n v="0.73"/>
    <s v="#23"/>
    <x v="2"/>
    <n v="1.62"/>
    <n v="-0.16"/>
    <n v="0.89"/>
    <n v="0.79210000000000003"/>
    <x v="7"/>
    <s v="NA6WR"/>
    <n v="76"/>
    <s v="NA6WR-76"/>
  </r>
  <r>
    <x v="13"/>
    <x v="357"/>
    <s v="0.00-1.46"/>
    <n v="0.73"/>
    <s v="#12"/>
    <x v="3"/>
    <n v="1.46"/>
    <n v="0"/>
    <n v="0.73"/>
    <n v="0.53290000000000004"/>
    <x v="7"/>
    <s v="NA8TE"/>
    <n v="49"/>
    <s v="NA8TE-49"/>
  </r>
  <r>
    <x v="5"/>
    <x v="408"/>
    <s v="0.01-1.45"/>
    <n v="0.73"/>
    <s v="#29"/>
    <x v="2"/>
    <n v="1.45"/>
    <n v="0.01"/>
    <n v="0.72"/>
    <n v="0.51839999999999997"/>
    <x v="7"/>
    <s v="NA13WR"/>
    <n v="77"/>
    <s v="NA13WR-77"/>
  </r>
  <r>
    <x v="14"/>
    <x v="368"/>
    <n v="-1.62"/>
    <n v="0.73"/>
    <s v="#20"/>
    <x v="2"/>
    <n v="1.54"/>
    <n v="-0.08"/>
    <n v="0.81"/>
    <n v="0.65610000000000002"/>
    <x v="7"/>
    <s v="NA4WR"/>
    <n v="62"/>
    <s v="NA4WR-62"/>
  </r>
  <r>
    <x v="16"/>
    <x v="279"/>
    <s v="0.00-1.44"/>
    <n v="0.72"/>
    <s v="#24"/>
    <x v="2"/>
    <n v="1.44"/>
    <n v="0"/>
    <n v="0.72"/>
    <n v="0.51839999999999997"/>
    <x v="7"/>
    <s v="NA3WR"/>
    <n v="71"/>
    <s v="NA3WR-71"/>
  </r>
  <r>
    <x v="5"/>
    <x v="316"/>
    <n v="-1.6"/>
    <n v="0.72"/>
    <s v="#18"/>
    <x v="1"/>
    <n v="1.52"/>
    <n v="-0.08"/>
    <n v="0.8"/>
    <n v="0.64"/>
    <x v="7"/>
    <s v="NA13RB"/>
    <n v="49"/>
    <s v="NA13RB-49"/>
  </r>
  <r>
    <x v="4"/>
    <x v="410"/>
    <s v="0.01-1.43"/>
    <n v="0.72"/>
    <s v="#26"/>
    <x v="2"/>
    <n v="1.43"/>
    <n v="0.01"/>
    <n v="0.71"/>
    <n v="0.50409999999999999"/>
    <x v="7"/>
    <s v="NA7WR"/>
    <n v="72"/>
    <s v="NA7WR-72"/>
  </r>
  <r>
    <x v="9"/>
    <x v="410"/>
    <s v="0.00-1.44"/>
    <n v="0.72"/>
    <s v="#27"/>
    <x v="2"/>
    <n v="1.44"/>
    <n v="0"/>
    <n v="0.72"/>
    <n v="0.51839999999999997"/>
    <x v="7"/>
    <s v="NA15WR"/>
    <n v="76"/>
    <s v="NA15WR-76"/>
  </r>
  <r>
    <x v="1"/>
    <x v="387"/>
    <s v="0.23-1.21"/>
    <n v="0.72"/>
    <s v="#24"/>
    <x v="0"/>
    <n v="1.21"/>
    <n v="0.23"/>
    <n v="0.49"/>
    <n v="0.24010000000000001"/>
    <x v="7"/>
    <s v="NA16QB"/>
    <n v="33"/>
    <s v="NA16QB-33"/>
  </r>
  <r>
    <x v="9"/>
    <x v="317"/>
    <n v="-1.6800000000000002"/>
    <n v="0.72"/>
    <s v="#17"/>
    <x v="2"/>
    <n v="1.56"/>
    <n v="-0.12"/>
    <n v="0.84"/>
    <n v="0.7056"/>
    <x v="7"/>
    <s v="NA15WR"/>
    <n v="77"/>
    <s v="NA15WR-77"/>
  </r>
  <r>
    <x v="8"/>
    <x v="334"/>
    <n v="-1.46"/>
    <n v="0.72"/>
    <s v="#25"/>
    <x v="2"/>
    <n v="1.45"/>
    <n v="-0.01"/>
    <n v="0.73"/>
    <n v="0.53290000000000004"/>
    <x v="7"/>
    <s v="NA6WR"/>
    <n v="77"/>
    <s v="NA6WR-77"/>
  </r>
  <r>
    <x v="0"/>
    <x v="334"/>
    <s v="0.02-1.42"/>
    <n v="0.72"/>
    <s v="#13"/>
    <x v="2"/>
    <n v="1.42"/>
    <n v="0.02"/>
    <n v="0.7"/>
    <n v="0.49"/>
    <x v="7"/>
    <s v="NA17WR"/>
    <n v="81"/>
    <s v="NA17WR-81"/>
  </r>
  <r>
    <x v="5"/>
    <x v="341"/>
    <s v="0.08-1.36"/>
    <n v="0.72"/>
    <s v="#29"/>
    <x v="1"/>
    <n v="1.36"/>
    <n v="0.08"/>
    <n v="0.64"/>
    <n v="0.40960000000000002"/>
    <x v="7"/>
    <s v="NA13RB"/>
    <n v="50"/>
    <s v="NA13RB-50"/>
  </r>
  <r>
    <x v="10"/>
    <x v="374"/>
    <n v="-1.54"/>
    <n v="0.72"/>
    <s v="#11"/>
    <x v="1"/>
    <n v="1.49"/>
    <n v="-0.05"/>
    <n v="0.77"/>
    <n v="0.59289999999999998"/>
    <x v="7"/>
    <s v="NA2RB"/>
    <n v="38"/>
    <s v="NA2RB-38"/>
  </r>
  <r>
    <x v="12"/>
    <x v="350"/>
    <s v="0.06-1.38"/>
    <n v="0.72"/>
    <s v="#28"/>
    <x v="0"/>
    <n v="1.38"/>
    <n v="0.06"/>
    <n v="0.66"/>
    <n v="0.43559999999999999"/>
    <x v="7"/>
    <s v="NA5QB"/>
    <n v="30"/>
    <s v="NA5QB-30"/>
  </r>
  <r>
    <x v="6"/>
    <x v="350"/>
    <s v="0.12-1.32"/>
    <n v="0.72"/>
    <s v="#26"/>
    <x v="0"/>
    <n v="1.32"/>
    <n v="0.12"/>
    <n v="0.6"/>
    <n v="0.36"/>
    <x v="7"/>
    <s v="NA12QB"/>
    <n v="34"/>
    <s v="NA12QB-34"/>
  </r>
  <r>
    <x v="10"/>
    <x v="324"/>
    <n v="-1.8"/>
    <n v="0.72"/>
    <s v="#3"/>
    <x v="3"/>
    <n v="1.62"/>
    <n v="-0.18"/>
    <n v="0.9"/>
    <n v="0.81"/>
    <x v="7"/>
    <s v="NA2TE"/>
    <n v="49"/>
    <s v="NA2TE-49"/>
  </r>
  <r>
    <x v="14"/>
    <x v="14"/>
    <s v="0.18-1.26"/>
    <n v="0.72"/>
    <s v="#5"/>
    <x v="0"/>
    <n v="1.26"/>
    <n v="0.18"/>
    <n v="0.54"/>
    <n v="0.29160000000000003"/>
    <x v="7"/>
    <s v="NA4QB"/>
    <n v="29"/>
    <s v="NA4QB-29"/>
  </r>
  <r>
    <x v="13"/>
    <x v="335"/>
    <n v="-1.46"/>
    <n v="0.72"/>
    <s v="#12"/>
    <x v="3"/>
    <n v="1.45"/>
    <n v="-0.01"/>
    <n v="0.73"/>
    <n v="0.53290000000000004"/>
    <x v="7"/>
    <s v="NA8TE"/>
    <n v="50"/>
    <s v="NA8TE-50"/>
  </r>
  <r>
    <x v="16"/>
    <x v="416"/>
    <s v="0.14-1.30"/>
    <n v="0.72"/>
    <s v="#21"/>
    <x v="3"/>
    <n v="1.3"/>
    <n v="0.14000000000000001"/>
    <n v="0.57999999999999996"/>
    <n v="0.33639999999999998"/>
    <x v="7"/>
    <s v="NA3TE"/>
    <n v="51"/>
    <s v="NA3TE-51"/>
  </r>
  <r>
    <x v="7"/>
    <x v="38"/>
    <s v="0.14-1.30"/>
    <n v="0.72"/>
    <s v="#1"/>
    <x v="0"/>
    <n v="1.3"/>
    <n v="0.14000000000000001"/>
    <n v="0.57999999999999996"/>
    <n v="0.33639999999999998"/>
    <x v="7"/>
    <s v="NA1QB"/>
    <n v="26"/>
    <s v="NA1QB-26"/>
  </r>
  <r>
    <x v="16"/>
    <x v="299"/>
    <s v="0.15-1.29"/>
    <n v="0.72"/>
    <s v="#30"/>
    <x v="2"/>
    <n v="1.29"/>
    <n v="0.15"/>
    <n v="0.56999999999999995"/>
    <n v="0.32490000000000002"/>
    <x v="7"/>
    <s v="NA3WR"/>
    <n v="72"/>
    <s v="NA3WR-72"/>
  </r>
  <r>
    <x v="8"/>
    <x v="389"/>
    <n v="-1.6400000000000001"/>
    <n v="0.72"/>
    <s v="#17"/>
    <x v="2"/>
    <n v="1.54"/>
    <n v="-0.1"/>
    <n v="0.82"/>
    <n v="0.6724"/>
    <x v="7"/>
    <s v="NA6WR"/>
    <n v="78"/>
    <s v="NA6WR-78"/>
  </r>
  <r>
    <x v="7"/>
    <x v="380"/>
    <n v="-1.46"/>
    <n v="0.72"/>
    <s v="#27"/>
    <x v="2"/>
    <n v="1.45"/>
    <n v="-0.01"/>
    <n v="0.73"/>
    <n v="0.53290000000000004"/>
    <x v="7"/>
    <s v="NA1WR"/>
    <n v="60"/>
    <s v="NA1WR-60"/>
  </r>
  <r>
    <x v="6"/>
    <x v="391"/>
    <n v="-1.62"/>
    <n v="0.72"/>
    <s v="#23"/>
    <x v="2"/>
    <n v="1.53"/>
    <n v="-0.09"/>
    <n v="0.81"/>
    <n v="0.65610000000000002"/>
    <x v="7"/>
    <s v="NA12WR"/>
    <n v="69"/>
    <s v="NA12WR-69"/>
  </r>
  <r>
    <x v="12"/>
    <x v="369"/>
    <s v="0.18-1.26"/>
    <n v="0.72"/>
    <s v="#21"/>
    <x v="3"/>
    <n v="1.26"/>
    <n v="0.18"/>
    <n v="0.54"/>
    <n v="0.29160000000000003"/>
    <x v="7"/>
    <s v="NA5TE"/>
    <n v="55"/>
    <s v="NA5TE-55"/>
  </r>
  <r>
    <x v="2"/>
    <x v="369"/>
    <s v="0.02-1.42"/>
    <n v="0.72"/>
    <s v="#26"/>
    <x v="3"/>
    <n v="1.42"/>
    <n v="0.02"/>
    <n v="0.7"/>
    <n v="0.49"/>
    <x v="7"/>
    <s v="NA9TE"/>
    <n v="46"/>
    <s v="NA9TE-46"/>
  </r>
  <r>
    <x v="5"/>
    <x v="369"/>
    <s v="0.07-1.37"/>
    <n v="0.72"/>
    <s v="#10"/>
    <x v="3"/>
    <n v="1.37"/>
    <n v="7.0000000000000007E-2"/>
    <n v="0.65"/>
    <n v="0.42249999999999999"/>
    <x v="7"/>
    <s v="NA13TE"/>
    <n v="55"/>
    <s v="NA13TE-55"/>
  </r>
  <r>
    <x v="12"/>
    <x v="419"/>
    <n v="-1.6600000000000001"/>
    <n v="0.72"/>
    <s v="#17"/>
    <x v="3"/>
    <n v="1.55"/>
    <n v="-0.11"/>
    <n v="0.83"/>
    <n v="0.68889999999999996"/>
    <x v="7"/>
    <s v="NA5TE"/>
    <n v="56"/>
    <s v="NA5TE-56"/>
  </r>
  <r>
    <x v="5"/>
    <x v="35"/>
    <s v="0.14-1.30"/>
    <n v="0.72"/>
    <s v="#12"/>
    <x v="0"/>
    <n v="1.3"/>
    <n v="0.14000000000000001"/>
    <n v="0.57999999999999996"/>
    <n v="0.33639999999999998"/>
    <x v="7"/>
    <s v="NA13QB"/>
    <n v="34"/>
    <s v="NA13QB-34"/>
  </r>
  <r>
    <x v="2"/>
    <x v="407"/>
    <n v="-1.52"/>
    <n v="0.72"/>
    <s v="#23"/>
    <x v="2"/>
    <n v="1.48"/>
    <n v="-0.04"/>
    <n v="0.76"/>
    <n v="0.5776"/>
    <x v="7"/>
    <s v="NA9WR"/>
    <n v="68"/>
    <s v="NA9WR-68"/>
  </r>
  <r>
    <x v="9"/>
    <x v="396"/>
    <n v="-1.48"/>
    <n v="0.72"/>
    <s v="#12"/>
    <x v="2"/>
    <n v="1.46"/>
    <n v="-0.02"/>
    <n v="0.74"/>
    <n v="0.54759999999999998"/>
    <x v="7"/>
    <s v="NA15WR"/>
    <n v="78"/>
    <s v="NA15WR-78"/>
  </r>
  <r>
    <x v="11"/>
    <x v="388"/>
    <s v="0.14-1.30"/>
    <n v="0.72"/>
    <s v="#5"/>
    <x v="0"/>
    <n v="1.3"/>
    <n v="0.14000000000000001"/>
    <n v="0.57999999999999996"/>
    <n v="0.33639999999999998"/>
    <x v="7"/>
    <s v="NA14QB"/>
    <n v="33"/>
    <s v="NA14QB-33"/>
  </r>
  <r>
    <x v="9"/>
    <x v="388"/>
    <s v="0.16-1.28"/>
    <n v="0.72"/>
    <s v="#6"/>
    <x v="0"/>
    <n v="1.28"/>
    <n v="0.16"/>
    <n v="0.56000000000000005"/>
    <n v="0.31359999999999999"/>
    <x v="7"/>
    <s v="NA15QB"/>
    <n v="33"/>
    <s v="NA15QB-33"/>
  </r>
  <r>
    <x v="1"/>
    <x v="388"/>
    <s v="0.15-1.29"/>
    <n v="0.72"/>
    <s v="#13"/>
    <x v="0"/>
    <n v="1.29"/>
    <n v="0.15"/>
    <n v="0.56999999999999995"/>
    <n v="0.32490000000000002"/>
    <x v="7"/>
    <s v="NA16QB"/>
    <n v="34"/>
    <s v="NA16QB-34"/>
  </r>
  <r>
    <x v="13"/>
    <x v="408"/>
    <n v="-1.52"/>
    <n v="0.72"/>
    <s v="#7"/>
    <x v="2"/>
    <n v="1.48"/>
    <n v="-0.04"/>
    <n v="0.76"/>
    <n v="0.5776"/>
    <x v="7"/>
    <s v="NA8WR"/>
    <n v="66"/>
    <s v="NA8WR-66"/>
  </r>
  <r>
    <x v="1"/>
    <x v="308"/>
    <n v="-1.9"/>
    <n v="0.72"/>
    <s v="#6"/>
    <x v="1"/>
    <n v="1.67"/>
    <n v="-0.23"/>
    <n v="0.95"/>
    <n v="0.90249999999999997"/>
    <x v="7"/>
    <s v="NA16RB"/>
    <n v="46"/>
    <s v="NA16RB-46"/>
  </r>
  <r>
    <x v="1"/>
    <x v="205"/>
    <n v="-1.58"/>
    <n v="0.72"/>
    <s v="#22"/>
    <x v="2"/>
    <n v="1.51"/>
    <n v="-7.0000000000000007E-2"/>
    <n v="0.79"/>
    <n v="0.62409999999999999"/>
    <x v="7"/>
    <s v="NA16WR"/>
    <n v="79"/>
    <s v="NA16WR-79"/>
  </r>
  <r>
    <x v="11"/>
    <x v="400"/>
    <n v="-1.58"/>
    <n v="0.71"/>
    <s v="#17"/>
    <x v="1"/>
    <n v="1.5"/>
    <n v="-0.08"/>
    <n v="0.79"/>
    <n v="0.62409999999999999"/>
    <x v="7"/>
    <s v="NA14RB"/>
    <n v="49"/>
    <s v="NA14RB-49"/>
  </r>
  <r>
    <x v="9"/>
    <x v="385"/>
    <s v="0.17-1.25"/>
    <n v="0.71"/>
    <s v="#4"/>
    <x v="0"/>
    <n v="1.25"/>
    <n v="0.17"/>
    <n v="0.54"/>
    <n v="0.29160000000000003"/>
    <x v="7"/>
    <s v="NA15QB"/>
    <n v="34"/>
    <s v="NA15QB-34"/>
  </r>
  <r>
    <x v="6"/>
    <x v="413"/>
    <n v="-1.56"/>
    <n v="0.71"/>
    <s v="#25"/>
    <x v="2"/>
    <n v="1.49"/>
    <n v="-7.0000000000000007E-2"/>
    <n v="0.78"/>
    <n v="0.60840000000000005"/>
    <x v="7"/>
    <s v="NA12WR"/>
    <n v="70"/>
    <s v="NA12WR-70"/>
  </r>
  <r>
    <x v="11"/>
    <x v="413"/>
    <n v="-1.6800000000000002"/>
    <n v="0.71"/>
    <s v="#32"/>
    <x v="2"/>
    <n v="1.55"/>
    <n v="-0.13"/>
    <n v="0.84"/>
    <n v="0.7056"/>
    <x v="7"/>
    <s v="NA14WR"/>
    <n v="75"/>
    <s v="NA14WR-75"/>
  </r>
  <r>
    <x v="3"/>
    <x v="414"/>
    <n v="-1.56"/>
    <n v="0.71"/>
    <s v="#20"/>
    <x v="2"/>
    <n v="1.49"/>
    <n v="-7.0000000000000007E-2"/>
    <n v="0.78"/>
    <n v="0.60840000000000005"/>
    <x v="7"/>
    <s v="NA11WR"/>
    <n v="63"/>
    <s v="NA11WR-63"/>
  </r>
  <r>
    <x v="5"/>
    <x v="414"/>
    <n v="-1.5"/>
    <n v="0.71"/>
    <s v="#19"/>
    <x v="2"/>
    <n v="1.46"/>
    <n v="-0.04"/>
    <n v="0.75"/>
    <n v="0.5625"/>
    <x v="7"/>
    <s v="NA13WR"/>
    <n v="78"/>
    <s v="NA13WR-78"/>
  </r>
  <r>
    <x v="9"/>
    <x v="361"/>
    <n v="-1.5"/>
    <n v="0.71"/>
    <s v="#20"/>
    <x v="2"/>
    <n v="1.46"/>
    <n v="-0.04"/>
    <n v="0.75"/>
    <n v="0.5625"/>
    <x v="7"/>
    <s v="NA15WR"/>
    <n v="79"/>
    <s v="NA15WR-79"/>
  </r>
  <r>
    <x v="3"/>
    <x v="341"/>
    <s v="0.08-1.34"/>
    <n v="0.71"/>
    <s v="#19"/>
    <x v="1"/>
    <n v="1.34"/>
    <n v="0.08"/>
    <n v="0.63"/>
    <n v="0.39689999999999998"/>
    <x v="7"/>
    <s v="NA11RB"/>
    <n v="39"/>
    <s v="NA11RB-39"/>
  </r>
  <r>
    <x v="11"/>
    <x v="350"/>
    <s v="0.10-1.32"/>
    <n v="0.71"/>
    <s v="#29"/>
    <x v="0"/>
    <n v="1.32"/>
    <n v="0.1"/>
    <n v="0.61"/>
    <n v="0.37209999999999999"/>
    <x v="7"/>
    <s v="NA14QB"/>
    <n v="34"/>
    <s v="NA14QB-34"/>
  </r>
  <r>
    <x v="5"/>
    <x v="328"/>
    <s v="0.00-1.42"/>
    <n v="0.71"/>
    <s v="#15"/>
    <x v="2"/>
    <n v="1.42"/>
    <n v="0"/>
    <n v="0.71"/>
    <n v="0.50409999999999999"/>
    <x v="7"/>
    <s v="NA13WR"/>
    <n v="79"/>
    <s v="NA13WR-79"/>
  </r>
  <r>
    <x v="1"/>
    <x v="405"/>
    <s v="0.04-1.38"/>
    <n v="0.71"/>
    <s v="#32"/>
    <x v="1"/>
    <n v="1.38"/>
    <n v="0.04"/>
    <n v="0.67"/>
    <n v="0.44890000000000002"/>
    <x v="7"/>
    <s v="NA16RB"/>
    <n v="47"/>
    <s v="NA16RB-47"/>
  </r>
  <r>
    <x v="3"/>
    <x v="401"/>
    <n v="-1.7000000000000002"/>
    <n v="0.71"/>
    <s v="#15"/>
    <x v="2"/>
    <n v="1.56"/>
    <n v="-0.14000000000000001"/>
    <n v="0.85"/>
    <n v="0.72250000000000003"/>
    <x v="7"/>
    <s v="NA11WR"/>
    <n v="64"/>
    <s v="NA11WR-64"/>
  </r>
  <r>
    <x v="9"/>
    <x v="401"/>
    <n v="-1.72"/>
    <n v="0.71"/>
    <s v="#12"/>
    <x v="2"/>
    <n v="1.57"/>
    <n v="-0.15"/>
    <n v="0.86"/>
    <n v="0.73960000000000004"/>
    <x v="7"/>
    <s v="NA15WR"/>
    <n v="80"/>
    <s v="NA15WR-80"/>
  </r>
  <r>
    <x v="5"/>
    <x v="335"/>
    <n v="-1.6400000000000001"/>
    <n v="0.71"/>
    <s v="#5"/>
    <x v="3"/>
    <n v="1.53"/>
    <n v="-0.11"/>
    <n v="0.82"/>
    <n v="0.6724"/>
    <x v="7"/>
    <s v="NA13TE"/>
    <n v="56"/>
    <s v="NA13TE-56"/>
  </r>
  <r>
    <x v="5"/>
    <x v="417"/>
    <s v="0.07-1.35"/>
    <n v="0.71"/>
    <s v="#7"/>
    <x v="2"/>
    <n v="1.35"/>
    <n v="7.0000000000000007E-2"/>
    <n v="0.64"/>
    <n v="0.40960000000000002"/>
    <x v="7"/>
    <s v="NA13WR"/>
    <n v="80"/>
    <s v="NA13WR-80"/>
  </r>
  <r>
    <x v="1"/>
    <x v="417"/>
    <n v="-1.56"/>
    <n v="0.71"/>
    <s v="#23"/>
    <x v="2"/>
    <n v="1.49"/>
    <n v="-7.0000000000000007E-2"/>
    <n v="0.78"/>
    <n v="0.60840000000000005"/>
    <x v="7"/>
    <s v="NA16WR"/>
    <n v="80"/>
    <s v="NA16WR-80"/>
  </r>
  <r>
    <x v="12"/>
    <x v="420"/>
    <n v="-1.8599999999999999"/>
    <n v="0.71"/>
    <s v="#30"/>
    <x v="1"/>
    <n v="1.64"/>
    <n v="-0.22"/>
    <n v="0.93"/>
    <n v="0.8649"/>
    <x v="7"/>
    <s v="NA5RB"/>
    <n v="46"/>
    <s v="NA5RB-46"/>
  </r>
  <r>
    <x v="10"/>
    <x v="337"/>
    <n v="-1.8"/>
    <n v="0.71"/>
    <s v="#26"/>
    <x v="3"/>
    <n v="1.61"/>
    <n v="-0.19"/>
    <n v="0.9"/>
    <n v="0.81"/>
    <x v="7"/>
    <s v="NA2TE"/>
    <n v="50"/>
    <s v="NA2TE-50"/>
  </r>
  <r>
    <x v="14"/>
    <x v="380"/>
    <n v="-1.56"/>
    <n v="0.71"/>
    <s v="#24"/>
    <x v="2"/>
    <n v="1.49"/>
    <n v="-7.0000000000000007E-2"/>
    <n v="0.78"/>
    <n v="0.60840000000000005"/>
    <x v="7"/>
    <s v="NA4WR"/>
    <n v="63"/>
    <s v="NA4WR-63"/>
  </r>
  <r>
    <x v="13"/>
    <x v="380"/>
    <n v="-1.48"/>
    <n v="0.71"/>
    <s v="#11"/>
    <x v="2"/>
    <n v="1.45"/>
    <n v="-0.03"/>
    <n v="0.74"/>
    <n v="0.54759999999999998"/>
    <x v="7"/>
    <s v="NA8WR"/>
    <n v="67"/>
    <s v="NA8WR-67"/>
  </r>
  <r>
    <x v="16"/>
    <x v="391"/>
    <n v="-1.8"/>
    <n v="0.71"/>
    <s v="#21"/>
    <x v="2"/>
    <n v="1.61"/>
    <n v="-0.19"/>
    <n v="0.9"/>
    <n v="0.81"/>
    <x v="7"/>
    <s v="NA3WR"/>
    <n v="73"/>
    <s v="NA3WR-73"/>
  </r>
  <r>
    <x v="6"/>
    <x v="396"/>
    <n v="-1.48"/>
    <n v="0.71"/>
    <s v="#11"/>
    <x v="2"/>
    <n v="1.45"/>
    <n v="-0.03"/>
    <n v="0.74"/>
    <n v="0.54759999999999998"/>
    <x v="7"/>
    <s v="NA12WR"/>
    <n v="71"/>
    <s v="NA12WR-71"/>
  </r>
  <r>
    <x v="2"/>
    <x v="421"/>
    <n v="-1.62"/>
    <n v="0.71"/>
    <s v="#5"/>
    <x v="2"/>
    <n v="1.52"/>
    <n v="-0.1"/>
    <n v="0.81"/>
    <n v="0.65610000000000002"/>
    <x v="7"/>
    <s v="NA9WR"/>
    <n v="69"/>
    <s v="NA9WR-69"/>
  </r>
  <r>
    <x v="5"/>
    <x v="403"/>
    <n v="-1.56"/>
    <n v="0.71"/>
    <s v="#17"/>
    <x v="1"/>
    <n v="1.49"/>
    <n v="-7.0000000000000007E-2"/>
    <n v="0.78"/>
    <n v="0.60840000000000005"/>
    <x v="7"/>
    <s v="NA13RB"/>
    <n v="51"/>
    <s v="NA13RB-51"/>
  </r>
  <r>
    <x v="7"/>
    <x v="242"/>
    <n v="-1.56"/>
    <n v="0.71"/>
    <s v="#2"/>
    <x v="2"/>
    <n v="1.49"/>
    <n v="-7.0000000000000007E-2"/>
    <n v="0.78"/>
    <n v="0.60840000000000005"/>
    <x v="7"/>
    <s v="NA1WR"/>
    <n v="61"/>
    <s v="NA1WR-61"/>
  </r>
  <r>
    <x v="11"/>
    <x v="357"/>
    <n v="-1.46"/>
    <n v="0.71"/>
    <s v="#12"/>
    <x v="3"/>
    <n v="1.44"/>
    <n v="-0.02"/>
    <n v="0.73"/>
    <n v="0.53290000000000004"/>
    <x v="7"/>
    <s v="NA14TE"/>
    <n v="55"/>
    <s v="NA14TE-55"/>
  </r>
  <r>
    <x v="9"/>
    <x v="357"/>
    <s v="0.08-1.34"/>
    <n v="0.71"/>
    <s v="#14"/>
    <x v="3"/>
    <n v="1.34"/>
    <n v="0.08"/>
    <n v="0.63"/>
    <n v="0.39689999999999998"/>
    <x v="7"/>
    <s v="NA15TE"/>
    <n v="57"/>
    <s v="NA15TE-57"/>
  </r>
  <r>
    <x v="2"/>
    <x v="408"/>
    <n v="-1.5"/>
    <n v="0.71"/>
    <s v="#15"/>
    <x v="2"/>
    <n v="1.46"/>
    <n v="-0.04"/>
    <n v="0.75"/>
    <n v="0.5625"/>
    <x v="7"/>
    <s v="NA9WR"/>
    <n v="70"/>
    <s v="NA9WR-70"/>
  </r>
  <r>
    <x v="6"/>
    <x v="408"/>
    <s v="0.02-1.40"/>
    <n v="0.71"/>
    <s v="#25"/>
    <x v="2"/>
    <n v="1.4"/>
    <n v="0.02"/>
    <n v="0.69"/>
    <n v="0.47610000000000002"/>
    <x v="7"/>
    <s v="NA12WR"/>
    <n v="72"/>
    <s v="NA12WR-72"/>
  </r>
  <r>
    <x v="11"/>
    <x v="408"/>
    <n v="-1.48"/>
    <n v="0.71"/>
    <s v="#32"/>
    <x v="2"/>
    <n v="1.45"/>
    <n v="-0.03"/>
    <n v="0.74"/>
    <n v="0.54759999999999998"/>
    <x v="7"/>
    <s v="NA14WR"/>
    <n v="76"/>
    <s v="NA14WR-76"/>
  </r>
  <r>
    <x v="12"/>
    <x v="371"/>
    <s v="0.16-1.26"/>
    <n v="0.71"/>
    <s v="#6"/>
    <x v="0"/>
    <n v="1.26"/>
    <n v="0.16"/>
    <n v="0.55000000000000004"/>
    <n v="0.30249999999999999"/>
    <x v="7"/>
    <s v="NA5QB"/>
    <n v="31"/>
    <s v="NA5QB-31"/>
  </r>
  <r>
    <x v="6"/>
    <x v="404"/>
    <n v="-1.46"/>
    <n v="0.7"/>
    <s v="#23"/>
    <x v="2"/>
    <n v="1.43"/>
    <n v="-0.03"/>
    <n v="0.73"/>
    <n v="0.53290000000000004"/>
    <x v="7"/>
    <s v="NA12WR"/>
    <n v="73"/>
    <s v="NA12WR-73"/>
  </r>
  <r>
    <x v="11"/>
    <x v="404"/>
    <s v="0.07-1.33"/>
    <n v="0.7"/>
    <s v="#22"/>
    <x v="2"/>
    <n v="1.33"/>
    <n v="7.0000000000000007E-2"/>
    <n v="0.63"/>
    <n v="0.39689999999999998"/>
    <x v="7"/>
    <s v="NA14WR"/>
    <n v="77"/>
    <s v="NA14WR-77"/>
  </r>
  <r>
    <x v="6"/>
    <x v="387"/>
    <s v="0.14-1.26"/>
    <n v="0.7"/>
    <s v="#11"/>
    <x v="0"/>
    <n v="1.26"/>
    <n v="0.14000000000000001"/>
    <n v="0.56000000000000005"/>
    <n v="0.31359999999999999"/>
    <x v="7"/>
    <s v="NA12QB"/>
    <n v="35"/>
    <s v="NA12QB-35"/>
  </r>
  <r>
    <x v="11"/>
    <x v="387"/>
    <s v="0.18-1.22"/>
    <n v="0.7"/>
    <s v="#14"/>
    <x v="0"/>
    <n v="1.22"/>
    <n v="0.18"/>
    <n v="0.52"/>
    <n v="0.27039999999999997"/>
    <x v="7"/>
    <s v="NA14QB"/>
    <n v="35"/>
    <s v="NA14QB-35"/>
  </r>
  <r>
    <x v="0"/>
    <x v="342"/>
    <n v="-1.62"/>
    <n v="0.7"/>
    <s v="#27"/>
    <x v="2"/>
    <n v="1.51"/>
    <n v="-0.11"/>
    <n v="0.81"/>
    <n v="0.65610000000000002"/>
    <x v="7"/>
    <s v="NA17WR"/>
    <n v="82"/>
    <s v="NA17WR-82"/>
  </r>
  <r>
    <x v="10"/>
    <x v="422"/>
    <n v="-1.42"/>
    <n v="0.7"/>
    <s v="#27"/>
    <x v="2"/>
    <n v="1.41"/>
    <n v="-0.01"/>
    <n v="0.71"/>
    <n v="0.50409999999999999"/>
    <x v="7"/>
    <s v="NA2WR"/>
    <n v="65"/>
    <s v="NA2WR-65"/>
  </r>
  <r>
    <x v="11"/>
    <x v="324"/>
    <n v="-2.1800000000000002"/>
    <n v="0.7"/>
    <s v="#24"/>
    <x v="3"/>
    <n v="1.79"/>
    <n v="-0.39"/>
    <n v="1.0900000000000001"/>
    <n v="1.1880999999999999"/>
    <x v="7"/>
    <s v="NA14TE"/>
    <n v="56"/>
    <s v="NA14TE-56"/>
  </r>
  <r>
    <x v="14"/>
    <x v="415"/>
    <s v="0.02-1.38"/>
    <n v="0.7"/>
    <s v="#30"/>
    <x v="1"/>
    <n v="1.38"/>
    <n v="0.02"/>
    <n v="0.68"/>
    <n v="0.46239999999999998"/>
    <x v="7"/>
    <s v="NA4RB"/>
    <n v="43"/>
    <s v="NA4RB-43"/>
  </r>
  <r>
    <x v="8"/>
    <x v="266"/>
    <s v="0.04-1.36"/>
    <n v="0.7"/>
    <s v="#22"/>
    <x v="1"/>
    <n v="1.36"/>
    <n v="0.04"/>
    <n v="0.66"/>
    <n v="0.43559999999999999"/>
    <x v="7"/>
    <s v="NA6RB"/>
    <n v="42"/>
    <s v="NA6RB-42"/>
  </r>
  <r>
    <x v="14"/>
    <x v="366"/>
    <s v="0.19-1.21"/>
    <n v="0.7"/>
    <s v="#3"/>
    <x v="0"/>
    <n v="1.21"/>
    <n v="0.19"/>
    <n v="0.51"/>
    <n v="0.2601"/>
    <x v="7"/>
    <s v="NA4QB"/>
    <n v="30"/>
    <s v="NA4QB-30"/>
  </r>
  <r>
    <x v="6"/>
    <x v="299"/>
    <n v="-2.14"/>
    <n v="0.7"/>
    <s v="#30"/>
    <x v="2"/>
    <n v="1.77"/>
    <n v="-0.37"/>
    <n v="1.07"/>
    <n v="1.1449"/>
    <x v="7"/>
    <s v="NA12WR"/>
    <n v="74"/>
    <s v="NA12WR-74"/>
  </r>
  <r>
    <x v="11"/>
    <x v="299"/>
    <n v="-2.14"/>
    <n v="0.7"/>
    <s v="#21"/>
    <x v="2"/>
    <n v="1.77"/>
    <n v="-0.37"/>
    <n v="1.07"/>
    <n v="1.1449"/>
    <x v="7"/>
    <s v="NA14WR"/>
    <n v="78"/>
    <s v="NA14WR-78"/>
  </r>
  <r>
    <x v="13"/>
    <x v="417"/>
    <s v="0.02-1.38"/>
    <n v="0.7"/>
    <s v="#19"/>
    <x v="2"/>
    <n v="1.38"/>
    <n v="0.02"/>
    <n v="0.68"/>
    <n v="0.46239999999999998"/>
    <x v="7"/>
    <s v="NA8WR"/>
    <n v="68"/>
    <s v="NA8WR-68"/>
  </r>
  <r>
    <x v="3"/>
    <x v="417"/>
    <s v="0.01-1.39"/>
    <n v="0.7"/>
    <s v="#22"/>
    <x v="2"/>
    <n v="1.39"/>
    <n v="0.01"/>
    <n v="0.69"/>
    <n v="0.47610000000000002"/>
    <x v="7"/>
    <s v="NA11WR"/>
    <n v="65"/>
    <s v="NA11WR-65"/>
  </r>
  <r>
    <x v="9"/>
    <x v="318"/>
    <n v="-1.6600000000000001"/>
    <n v="0.7"/>
    <s v="#21"/>
    <x v="2"/>
    <n v="1.53"/>
    <n v="-0.13"/>
    <n v="0.83"/>
    <n v="0.68889999999999996"/>
    <x v="7"/>
    <s v="NA15WR"/>
    <n v="81"/>
    <s v="NA15WR-81"/>
  </r>
  <r>
    <x v="11"/>
    <x v="423"/>
    <n v="-1.46"/>
    <n v="0.7"/>
    <s v="#4"/>
    <x v="3"/>
    <n v="1.43"/>
    <n v="-0.03"/>
    <n v="0.73"/>
    <n v="0.53290000000000004"/>
    <x v="7"/>
    <s v="NA14TE"/>
    <n v="57"/>
    <s v="NA14TE-57"/>
  </r>
  <r>
    <x v="0"/>
    <x v="369"/>
    <s v="0.16-1.24"/>
    <n v="0.7"/>
    <s v="#21"/>
    <x v="3"/>
    <n v="1.24"/>
    <n v="0.16"/>
    <n v="0.54"/>
    <n v="0.29160000000000003"/>
    <x v="7"/>
    <s v="NA17TE"/>
    <n v="57"/>
    <s v="NA17TE-57"/>
  </r>
  <r>
    <x v="5"/>
    <x v="407"/>
    <n v="-1.5"/>
    <n v="0.7"/>
    <s v="#4"/>
    <x v="2"/>
    <n v="1.45"/>
    <n v="-0.05"/>
    <n v="0.75"/>
    <n v="0.5625"/>
    <x v="7"/>
    <s v="NA13WR"/>
    <n v="81"/>
    <s v="NA13WR-81"/>
  </r>
  <r>
    <x v="11"/>
    <x v="407"/>
    <n v="-1.58"/>
    <n v="0.7"/>
    <s v="#3"/>
    <x v="2"/>
    <n v="1.49"/>
    <n v="-0.09"/>
    <n v="0.79"/>
    <n v="0.62409999999999999"/>
    <x v="7"/>
    <s v="NA14WR"/>
    <n v="79"/>
    <s v="NA14WR-79"/>
  </r>
  <r>
    <x v="0"/>
    <x v="407"/>
    <n v="-1.5"/>
    <n v="0.7"/>
    <s v="#9"/>
    <x v="2"/>
    <n v="1.45"/>
    <n v="-0.05"/>
    <n v="0.75"/>
    <n v="0.5625"/>
    <x v="7"/>
    <s v="NA17WR"/>
    <n v="83"/>
    <s v="NA17WR-83"/>
  </r>
  <r>
    <x v="1"/>
    <x v="403"/>
    <n v="-1.56"/>
    <n v="0.7"/>
    <s v="#28"/>
    <x v="1"/>
    <n v="1.48"/>
    <n v="-0.08"/>
    <n v="0.78"/>
    <n v="0.60840000000000005"/>
    <x v="7"/>
    <s v="NA16RB"/>
    <n v="48"/>
    <s v="NA16RB-48"/>
  </r>
  <r>
    <x v="12"/>
    <x v="424"/>
    <n v="-1.6"/>
    <n v="0.7"/>
    <s v="#30"/>
    <x v="1"/>
    <n v="1.5"/>
    <n v="-0.1"/>
    <n v="0.8"/>
    <n v="0.64"/>
    <x v="7"/>
    <s v="NA5RB"/>
    <n v="47"/>
    <s v="NA5RB-47"/>
  </r>
  <r>
    <x v="9"/>
    <x v="358"/>
    <s v="0.10-1.30"/>
    <n v="0.7"/>
    <s v="#18"/>
    <x v="1"/>
    <n v="1.3"/>
    <n v="0.1"/>
    <n v="0.6"/>
    <n v="0.36"/>
    <x v="7"/>
    <s v="NA15RB"/>
    <n v="47"/>
    <s v="NA15RB-47"/>
  </r>
  <r>
    <x v="9"/>
    <x v="308"/>
    <n v="-1.48"/>
    <n v="0.7"/>
    <s v="#4"/>
    <x v="1"/>
    <n v="1.44"/>
    <n v="-0.04"/>
    <n v="0.74"/>
    <n v="0.54759999999999998"/>
    <x v="7"/>
    <s v="NA15RB"/>
    <n v="48"/>
    <s v="NA15RB-48"/>
  </r>
  <r>
    <x v="7"/>
    <x v="425"/>
    <s v="0.10-1.28"/>
    <n v="0.69"/>
    <s v="#23"/>
    <x v="1"/>
    <n v="1.28"/>
    <n v="0.1"/>
    <n v="0.59"/>
    <n v="0.34810000000000002"/>
    <x v="7"/>
    <s v="NA1RB"/>
    <n v="36"/>
    <s v="NA1RB-36"/>
  </r>
  <r>
    <x v="9"/>
    <x v="426"/>
    <s v="0.00-1.38"/>
    <n v="0.69"/>
    <s v="#11"/>
    <x v="2"/>
    <n v="1.38"/>
    <n v="0"/>
    <n v="0.69"/>
    <n v="0.47610000000000002"/>
    <x v="7"/>
    <s v="NA15WR"/>
    <n v="82"/>
    <s v="NA15WR-82"/>
  </r>
  <r>
    <x v="14"/>
    <x v="427"/>
    <s v="0.10-1.28"/>
    <n v="0.69"/>
    <s v="#5"/>
    <x v="3"/>
    <n v="1.28"/>
    <n v="0.1"/>
    <n v="0.59"/>
    <n v="0.34810000000000002"/>
    <x v="7"/>
    <s v="NA4TE"/>
    <n v="49"/>
    <s v="NA4TE-49"/>
  </r>
  <r>
    <x v="4"/>
    <x v="385"/>
    <s v="0.17-1.21"/>
    <n v="0.69"/>
    <s v="#3"/>
    <x v="0"/>
    <n v="1.21"/>
    <n v="0.17"/>
    <n v="0.52"/>
    <n v="0.27039999999999997"/>
    <x v="7"/>
    <s v="NA7QB"/>
    <n v="33"/>
    <s v="NA7QB-33"/>
  </r>
  <r>
    <x v="1"/>
    <x v="385"/>
    <s v="0.17-1.21"/>
    <n v="0.69"/>
    <s v="#6"/>
    <x v="0"/>
    <n v="1.21"/>
    <n v="0.17"/>
    <n v="0.52"/>
    <n v="0.27039999999999997"/>
    <x v="7"/>
    <s v="NA16QB"/>
    <n v="35"/>
    <s v="NA16QB-35"/>
  </r>
  <r>
    <x v="8"/>
    <x v="404"/>
    <s v="0.06-1.32"/>
    <n v="0.69"/>
    <s v="#7"/>
    <x v="2"/>
    <n v="1.32"/>
    <n v="0.06"/>
    <n v="0.63"/>
    <n v="0.39689999999999998"/>
    <x v="7"/>
    <s v="NA6WR"/>
    <n v="79"/>
    <s v="NA6WR-79"/>
  </r>
  <r>
    <x v="13"/>
    <x v="339"/>
    <n v="-1.42"/>
    <n v="0.69"/>
    <s v="#24"/>
    <x v="1"/>
    <n v="1.4"/>
    <n v="-0.02"/>
    <n v="0.71"/>
    <n v="0.50409999999999999"/>
    <x v="7"/>
    <s v="NA8RB"/>
    <n v="45"/>
    <s v="NA8RB-45"/>
  </r>
  <r>
    <x v="13"/>
    <x v="316"/>
    <n v="-1.56"/>
    <n v="0.69"/>
    <s v="#28"/>
    <x v="1"/>
    <n v="1.47"/>
    <n v="-0.09"/>
    <n v="0.78"/>
    <n v="0.60840000000000005"/>
    <x v="7"/>
    <s v="NA8RB"/>
    <n v="46"/>
    <s v="NA8RB-46"/>
  </r>
  <r>
    <x v="3"/>
    <x v="316"/>
    <n v="-1.54"/>
    <n v="0.69"/>
    <s v="#21"/>
    <x v="1"/>
    <n v="1.46"/>
    <n v="-0.08"/>
    <n v="0.77"/>
    <n v="0.59289999999999998"/>
    <x v="7"/>
    <s v="NA11RB"/>
    <n v="40"/>
    <s v="NA11RB-40"/>
  </r>
  <r>
    <x v="2"/>
    <x v="410"/>
    <s v="0.01-1.37"/>
    <n v="0.69"/>
    <s v="#24"/>
    <x v="2"/>
    <n v="1.37"/>
    <n v="0.01"/>
    <n v="0.68"/>
    <n v="0.46239999999999998"/>
    <x v="7"/>
    <s v="NA9WR"/>
    <n v="71"/>
    <s v="NA9WR-71"/>
  </r>
  <r>
    <x v="6"/>
    <x v="410"/>
    <s v="0.02-1.36"/>
    <n v="0.69"/>
    <s v="#17"/>
    <x v="2"/>
    <n v="1.36"/>
    <n v="0.02"/>
    <n v="0.67"/>
    <n v="0.44890000000000002"/>
    <x v="7"/>
    <s v="NA12WR"/>
    <n v="75"/>
    <s v="NA12WR-75"/>
  </r>
  <r>
    <x v="13"/>
    <x v="346"/>
    <n v="-1.5"/>
    <n v="0.69"/>
    <s v="#31"/>
    <x v="2"/>
    <n v="1.44"/>
    <n v="-0.06"/>
    <n v="0.75"/>
    <n v="0.5625"/>
    <x v="7"/>
    <s v="NA8WR"/>
    <n v="69"/>
    <s v="NA8WR-69"/>
  </r>
  <r>
    <x v="11"/>
    <x v="414"/>
    <n v="-1.46"/>
    <n v="0.69"/>
    <s v="#18"/>
    <x v="2"/>
    <n v="1.42"/>
    <n v="-0.04"/>
    <n v="0.73"/>
    <n v="0.53290000000000004"/>
    <x v="7"/>
    <s v="NA14WR"/>
    <n v="80"/>
    <s v="NA14WR-80"/>
  </r>
  <r>
    <x v="6"/>
    <x v="341"/>
    <s v="0.06-1.32"/>
    <n v="0.69"/>
    <s v="#25"/>
    <x v="1"/>
    <n v="1.32"/>
    <n v="0.06"/>
    <n v="0.63"/>
    <n v="0.39689999999999998"/>
    <x v="7"/>
    <s v="NA12RB"/>
    <n v="47"/>
    <s v="NA12RB-47"/>
  </r>
  <r>
    <x v="6"/>
    <x v="382"/>
    <s v="0.12-1.26"/>
    <n v="0.69"/>
    <s v="#22"/>
    <x v="2"/>
    <n v="1.26"/>
    <n v="0.12"/>
    <n v="0.56999999999999995"/>
    <n v="0.32490000000000002"/>
    <x v="7"/>
    <s v="NA12WR"/>
    <n v="76"/>
    <s v="NA12WR-76"/>
  </r>
  <r>
    <x v="5"/>
    <x v="428"/>
    <s v="0.12-1.26"/>
    <n v="0.69"/>
    <s v="#32"/>
    <x v="1"/>
    <n v="1.26"/>
    <n v="0.12"/>
    <n v="0.56999999999999995"/>
    <n v="0.32490000000000002"/>
    <x v="7"/>
    <s v="NA13RB"/>
    <n v="52"/>
    <s v="NA13RB-52"/>
  </r>
  <r>
    <x v="13"/>
    <x v="246"/>
    <s v="0.02-1.36"/>
    <n v="0.69"/>
    <s v="#10"/>
    <x v="2"/>
    <n v="1.36"/>
    <n v="0.02"/>
    <n v="0.67"/>
    <n v="0.44890000000000002"/>
    <x v="7"/>
    <s v="NA8WR"/>
    <n v="70"/>
    <s v="NA8WR-70"/>
  </r>
  <r>
    <x v="6"/>
    <x v="401"/>
    <n v="-1.7"/>
    <n v="0.69"/>
    <s v="#11"/>
    <x v="2"/>
    <n v="1.54"/>
    <n v="-0.16"/>
    <n v="0.85"/>
    <n v="0.72250000000000003"/>
    <x v="7"/>
    <s v="NA12WR"/>
    <n v="77"/>
    <s v="NA12WR-77"/>
  </r>
  <r>
    <x v="11"/>
    <x v="335"/>
    <n v="-1.46"/>
    <n v="0.69"/>
    <s v="#12"/>
    <x v="3"/>
    <n v="1.42"/>
    <n v="-0.04"/>
    <n v="0.73"/>
    <n v="0.53290000000000004"/>
    <x v="7"/>
    <s v="NA14TE"/>
    <n v="58"/>
    <s v="NA14TE-58"/>
  </r>
  <r>
    <x v="2"/>
    <x v="299"/>
    <n v="-2.08"/>
    <n v="0.69"/>
    <s v="#12"/>
    <x v="2"/>
    <n v="1.73"/>
    <n v="-0.35"/>
    <n v="1.04"/>
    <n v="1.0815999999999999"/>
    <x v="7"/>
    <s v="NA9WR"/>
    <n v="72"/>
    <s v="NA9WR-72"/>
  </r>
  <r>
    <x v="15"/>
    <x v="299"/>
    <n v="-2.1"/>
    <n v="0.69"/>
    <s v="#2"/>
    <x v="2"/>
    <n v="1.74"/>
    <n v="-0.36"/>
    <n v="1.05"/>
    <n v="1.1025"/>
    <x v="7"/>
    <s v="NA10WR"/>
    <n v="75"/>
    <s v="NA10WR-75"/>
  </r>
  <r>
    <x v="9"/>
    <x v="299"/>
    <n v="-2.02"/>
    <n v="0.69"/>
    <s v="#13"/>
    <x v="2"/>
    <n v="1.7"/>
    <n v="-0.32"/>
    <n v="1.01"/>
    <n v="1.0201"/>
    <x v="7"/>
    <s v="NA15WR"/>
    <n v="83"/>
    <s v="NA15WR-83"/>
  </r>
  <r>
    <x v="2"/>
    <x v="417"/>
    <s v="0.05-1.33"/>
    <n v="0.69"/>
    <s v="#7"/>
    <x v="2"/>
    <n v="1.33"/>
    <n v="0.05"/>
    <n v="0.64"/>
    <n v="0.40960000000000002"/>
    <x v="7"/>
    <s v="NA9WR"/>
    <n v="73"/>
    <s v="NA9WR-73"/>
  </r>
  <r>
    <x v="6"/>
    <x v="318"/>
    <n v="-1.68"/>
    <n v="0.69"/>
    <s v="#28"/>
    <x v="2"/>
    <n v="1.53"/>
    <n v="-0.15"/>
    <n v="0.84"/>
    <n v="0.7056"/>
    <x v="7"/>
    <s v="NA12WR"/>
    <n v="78"/>
    <s v="NA12WR-78"/>
  </r>
  <r>
    <x v="9"/>
    <x v="423"/>
    <s v="0.03-1.35"/>
    <n v="0.69"/>
    <s v="#28"/>
    <x v="3"/>
    <n v="1.35"/>
    <n v="0.03"/>
    <n v="0.66"/>
    <n v="0.43559999999999999"/>
    <x v="7"/>
    <s v="NA15TE"/>
    <n v="58"/>
    <s v="NA15TE-58"/>
  </r>
  <r>
    <x v="15"/>
    <x v="303"/>
    <s v="0.05-1.33"/>
    <n v="0.69"/>
    <s v="#30"/>
    <x v="1"/>
    <n v="1.33"/>
    <n v="0.05"/>
    <n v="0.64"/>
    <n v="0.40960000000000002"/>
    <x v="7"/>
    <s v="NA10RB"/>
    <n v="43"/>
    <s v="NA10RB-43"/>
  </r>
  <r>
    <x v="4"/>
    <x v="402"/>
    <s v="0.00-1.38"/>
    <n v="0.69"/>
    <s v="#22"/>
    <x v="2"/>
    <n v="1.38"/>
    <n v="0"/>
    <n v="0.69"/>
    <n v="0.47610000000000002"/>
    <x v="7"/>
    <s v="NA7WR"/>
    <n v="73"/>
    <s v="NA7WR-73"/>
  </r>
  <r>
    <x v="6"/>
    <x v="369"/>
    <n v="-1.4"/>
    <n v="0.69"/>
    <s v="#5"/>
    <x v="3"/>
    <n v="1.39"/>
    <n v="-0.01"/>
    <n v="0.7"/>
    <n v="0.49"/>
    <x v="7"/>
    <s v="NA12TE"/>
    <n v="52"/>
    <s v="NA12TE-52"/>
  </r>
  <r>
    <x v="1"/>
    <x v="393"/>
    <n v="-1.48"/>
    <n v="0.69"/>
    <s v="#28"/>
    <x v="1"/>
    <n v="1.43"/>
    <n v="-0.05"/>
    <n v="0.74"/>
    <n v="0.54759999999999998"/>
    <x v="7"/>
    <s v="NA16RB"/>
    <n v="49"/>
    <s v="NA16RB-49"/>
  </r>
  <r>
    <x v="0"/>
    <x v="35"/>
    <s v="0.11-1.27"/>
    <n v="0.69"/>
    <s v="#12"/>
    <x v="0"/>
    <n v="1.27"/>
    <n v="0.11"/>
    <n v="0.57999999999999996"/>
    <n v="0.33639999999999998"/>
    <x v="7"/>
    <s v="NA17QB"/>
    <n v="36"/>
    <s v="NA17QB-36"/>
  </r>
  <r>
    <x v="14"/>
    <x v="429"/>
    <n v="-1.42"/>
    <n v="0.69"/>
    <s v="#15"/>
    <x v="1"/>
    <n v="1.4"/>
    <n v="-0.02"/>
    <n v="0.71"/>
    <n v="0.50409999999999999"/>
    <x v="7"/>
    <s v="NA4RB"/>
    <n v="44"/>
    <s v="NA4RB-44"/>
  </r>
  <r>
    <x v="2"/>
    <x v="429"/>
    <s v="0.01-1.37"/>
    <n v="0.69"/>
    <s v="#15"/>
    <x v="1"/>
    <n v="1.37"/>
    <n v="0.01"/>
    <n v="0.68"/>
    <n v="0.46239999999999998"/>
    <x v="7"/>
    <s v="NA9RB"/>
    <n v="39"/>
    <s v="NA9RB-39"/>
  </r>
  <r>
    <x v="3"/>
    <x v="396"/>
    <n v="-1.46"/>
    <n v="0.69"/>
    <s v="#15"/>
    <x v="2"/>
    <n v="1.42"/>
    <n v="-0.04"/>
    <n v="0.73"/>
    <n v="0.53290000000000004"/>
    <x v="7"/>
    <s v="NA11WR"/>
    <n v="66"/>
    <s v="NA11WR-66"/>
  </r>
  <r>
    <x v="5"/>
    <x v="396"/>
    <n v="-1.68"/>
    <n v="0.69"/>
    <s v="#9"/>
    <x v="2"/>
    <n v="1.53"/>
    <n v="-0.15"/>
    <n v="0.84"/>
    <n v="0.7056"/>
    <x v="7"/>
    <s v="NA13WR"/>
    <n v="82"/>
    <s v="NA13WR-82"/>
  </r>
  <r>
    <x v="14"/>
    <x v="344"/>
    <n v="-1.42"/>
    <n v="0.69"/>
    <s v="#9"/>
    <x v="2"/>
    <n v="1.4"/>
    <n v="-0.02"/>
    <n v="0.71"/>
    <n v="0.50409999999999999"/>
    <x v="7"/>
    <s v="NA4WR"/>
    <n v="64"/>
    <s v="NA4WR-64"/>
  </r>
  <r>
    <x v="11"/>
    <x v="367"/>
    <n v="-1.78"/>
    <n v="0.69"/>
    <s v="#17"/>
    <x v="1"/>
    <n v="1.58"/>
    <n v="-0.2"/>
    <n v="0.89"/>
    <n v="0.79210000000000003"/>
    <x v="7"/>
    <s v="NA14RB"/>
    <n v="50"/>
    <s v="NA14RB-50"/>
  </r>
  <r>
    <x v="15"/>
    <x v="296"/>
    <s v="0.04-1.34"/>
    <n v="0.69"/>
    <s v="#11"/>
    <x v="1"/>
    <n v="1.34"/>
    <n v="0.04"/>
    <n v="0.65"/>
    <n v="0.42249999999999999"/>
    <x v="7"/>
    <s v="NA10RB"/>
    <n v="44"/>
    <s v="NA10RB-44"/>
  </r>
  <r>
    <x v="6"/>
    <x v="406"/>
    <n v="-1.7"/>
    <n v="0.69"/>
    <s v="#23"/>
    <x v="2"/>
    <n v="1.54"/>
    <n v="-0.16"/>
    <n v="0.85"/>
    <n v="0.72250000000000003"/>
    <x v="7"/>
    <s v="NA12WR"/>
    <n v="79"/>
    <s v="NA12WR-79"/>
  </r>
  <r>
    <x v="9"/>
    <x v="425"/>
    <s v="0.07-1.29"/>
    <n v="0.68"/>
    <s v="#30"/>
    <x v="1"/>
    <n v="1.29"/>
    <n v="7.0000000000000007E-2"/>
    <n v="0.61"/>
    <n v="0.37209999999999999"/>
    <x v="7"/>
    <s v="NA15RB"/>
    <n v="49"/>
    <s v="NA15RB-49"/>
  </r>
  <r>
    <x v="2"/>
    <x v="385"/>
    <s v="0.18-1.18"/>
    <n v="0.68"/>
    <s v="#16"/>
    <x v="0"/>
    <n v="1.18"/>
    <n v="0.18"/>
    <n v="0.5"/>
    <n v="0.25"/>
    <x v="7"/>
    <s v="NA9QB"/>
    <n v="29"/>
    <s v="NA9QB-29"/>
  </r>
  <r>
    <x v="13"/>
    <x v="404"/>
    <s v="0.05-1.31"/>
    <n v="0.68"/>
    <s v="#22"/>
    <x v="2"/>
    <n v="1.31"/>
    <n v="0.05"/>
    <n v="0.63"/>
    <n v="0.39689999999999998"/>
    <x v="7"/>
    <s v="NA8WR"/>
    <n v="71"/>
    <s v="NA8WR-71"/>
  </r>
  <r>
    <x v="2"/>
    <x v="404"/>
    <s v="0.02-1.34"/>
    <n v="0.68"/>
    <s v="#29"/>
    <x v="2"/>
    <n v="1.34"/>
    <n v="0.02"/>
    <n v="0.66"/>
    <n v="0.43559999999999999"/>
    <x v="7"/>
    <s v="NA9WR"/>
    <n v="74"/>
    <s v="NA9WR-74"/>
  </r>
  <r>
    <x v="9"/>
    <x v="316"/>
    <n v="-1.6"/>
    <n v="0.68"/>
    <s v="#18"/>
    <x v="1"/>
    <n v="1.48"/>
    <n v="-0.12"/>
    <n v="0.8"/>
    <n v="0.64"/>
    <x v="7"/>
    <s v="NA15RB"/>
    <n v="50"/>
    <s v="NA15RB-50"/>
  </r>
  <r>
    <x v="0"/>
    <x v="413"/>
    <n v="-1.52"/>
    <n v="0.68"/>
    <s v="#2"/>
    <x v="2"/>
    <n v="1.44"/>
    <n v="-0.08"/>
    <n v="0.76"/>
    <n v="0.5776"/>
    <x v="7"/>
    <s v="NA17WR"/>
    <n v="84"/>
    <s v="NA17WR-84"/>
  </r>
  <r>
    <x v="6"/>
    <x v="346"/>
    <s v="0.02-1.34"/>
    <n v="0.68"/>
    <s v="#2"/>
    <x v="2"/>
    <n v="1.34"/>
    <n v="0.02"/>
    <n v="0.66"/>
    <n v="0.43559999999999999"/>
    <x v="7"/>
    <s v="NA12WR"/>
    <n v="80"/>
    <s v="NA12WR-80"/>
  </r>
  <r>
    <x v="7"/>
    <x v="392"/>
    <s v="0.13-1.23"/>
    <n v="0.68"/>
    <s v="#13"/>
    <x v="0"/>
    <n v="1.23"/>
    <n v="0.13"/>
    <n v="0.55000000000000004"/>
    <n v="0.30249999999999999"/>
    <x v="7"/>
    <s v="NA1QB"/>
    <n v="27"/>
    <s v="NA1QB-27"/>
  </r>
  <r>
    <x v="9"/>
    <x v="392"/>
    <s v="0.18-1.18"/>
    <n v="0.68"/>
    <s v="#3"/>
    <x v="0"/>
    <n v="1.18"/>
    <n v="0.18"/>
    <n v="0.5"/>
    <n v="0.25"/>
    <x v="7"/>
    <s v="NA15QB"/>
    <n v="35"/>
    <s v="NA15QB-35"/>
  </r>
  <r>
    <x v="7"/>
    <x v="397"/>
    <s v="0.15-1.21"/>
    <n v="0.68"/>
    <s v="#7"/>
    <x v="0"/>
    <n v="1.21"/>
    <n v="0.15"/>
    <n v="0.53"/>
    <n v="0.28089999999999998"/>
    <x v="7"/>
    <s v="NA1QB"/>
    <n v="28"/>
    <s v="NA1QB-28"/>
  </r>
  <r>
    <x v="5"/>
    <x v="342"/>
    <n v="-1.6"/>
    <n v="0.68"/>
    <s v="#9"/>
    <x v="2"/>
    <n v="1.48"/>
    <n v="-0.12"/>
    <n v="0.8"/>
    <n v="0.64"/>
    <x v="7"/>
    <s v="NA13WR"/>
    <n v="83"/>
    <s v="NA13WR-83"/>
  </r>
  <r>
    <x v="9"/>
    <x v="341"/>
    <s v="0.07-1.29"/>
    <n v="0.68"/>
    <s v="#31"/>
    <x v="1"/>
    <n v="1.29"/>
    <n v="7.0000000000000007E-2"/>
    <n v="0.61"/>
    <n v="0.37209999999999999"/>
    <x v="7"/>
    <s v="NA15RB"/>
    <n v="51"/>
    <s v="NA15RB-51"/>
  </r>
  <r>
    <x v="13"/>
    <x v="382"/>
    <n v="-1.4"/>
    <n v="0.68"/>
    <s v="#3"/>
    <x v="2"/>
    <n v="1.38"/>
    <n v="-0.02"/>
    <n v="0.7"/>
    <n v="0.49"/>
    <x v="7"/>
    <s v="NA8WR"/>
    <n v="72"/>
    <s v="NA8WR-72"/>
  </r>
  <r>
    <x v="9"/>
    <x v="324"/>
    <n v="-2.14"/>
    <n v="0.68"/>
    <s v="#15"/>
    <x v="3"/>
    <n v="1.75"/>
    <n v="-0.39"/>
    <n v="1.07"/>
    <n v="1.1449"/>
    <x v="7"/>
    <s v="NA15TE"/>
    <n v="59"/>
    <s v="NA15TE-59"/>
  </r>
  <r>
    <x v="13"/>
    <x v="415"/>
    <s v="0.02-1.34"/>
    <n v="0.68"/>
    <s v="#12"/>
    <x v="1"/>
    <n v="1.34"/>
    <n v="0.02"/>
    <n v="0.66"/>
    <n v="0.43559999999999999"/>
    <x v="7"/>
    <s v="NA8RB"/>
    <n v="47"/>
    <s v="NA8RB-47"/>
  </r>
  <r>
    <x v="15"/>
    <x v="415"/>
    <s v="0.03-1.33"/>
    <n v="0.68"/>
    <s v="#18"/>
    <x v="1"/>
    <n v="1.33"/>
    <n v="0.03"/>
    <n v="0.65"/>
    <n v="0.42249999999999999"/>
    <x v="7"/>
    <s v="NA10RB"/>
    <n v="45"/>
    <s v="NA10RB-45"/>
  </r>
  <r>
    <x v="0"/>
    <x v="415"/>
    <s v="0.03-1.33"/>
    <n v="0.68"/>
    <s v="#23"/>
    <x v="1"/>
    <n v="1.33"/>
    <n v="0.03"/>
    <n v="0.65"/>
    <n v="0.42249999999999999"/>
    <x v="7"/>
    <s v="NA17RB"/>
    <n v="45"/>
    <s v="NA17RB-45"/>
  </r>
  <r>
    <x v="11"/>
    <x v="328"/>
    <n v="-1.4"/>
    <n v="0.68"/>
    <s v="#19"/>
    <x v="2"/>
    <n v="1.38"/>
    <n v="-0.02"/>
    <n v="0.7"/>
    <n v="0.49"/>
    <x v="7"/>
    <s v="NA14WR"/>
    <n v="81"/>
    <s v="NA14WR-81"/>
  </r>
  <r>
    <x v="9"/>
    <x v="246"/>
    <s v="0.03-1.33"/>
    <n v="0.68"/>
    <s v="#5"/>
    <x v="2"/>
    <n v="1.33"/>
    <n v="0.03"/>
    <n v="0.65"/>
    <n v="0.42249999999999999"/>
    <x v="7"/>
    <s v="NA15WR"/>
    <n v="84"/>
    <s v="NA15WR-84"/>
  </r>
  <r>
    <x v="10"/>
    <x v="353"/>
    <n v="-1.4"/>
    <n v="0.68"/>
    <s v="#11"/>
    <x v="2"/>
    <n v="1.38"/>
    <n v="-0.02"/>
    <n v="0.7"/>
    <n v="0.49"/>
    <x v="7"/>
    <s v="NA2WR"/>
    <n v="66"/>
    <s v="NA2WR-66"/>
  </r>
  <r>
    <x v="5"/>
    <x v="266"/>
    <s v="0.04-1.32"/>
    <n v="0.68"/>
    <s v="#12"/>
    <x v="1"/>
    <n v="1.32"/>
    <n v="0.04"/>
    <n v="0.64"/>
    <n v="0.40960000000000002"/>
    <x v="7"/>
    <s v="NA13RB"/>
    <n v="53"/>
    <s v="NA13RB-53"/>
  </r>
  <r>
    <x v="11"/>
    <x v="411"/>
    <s v="0.00-1.36"/>
    <n v="0.68"/>
    <s v="#19"/>
    <x v="1"/>
    <n v="1.36"/>
    <n v="0"/>
    <n v="0.68"/>
    <n v="0.46239999999999998"/>
    <x v="7"/>
    <s v="NA14RB"/>
    <n v="51"/>
    <s v="NA14RB-51"/>
  </r>
  <r>
    <x v="4"/>
    <x v="318"/>
    <n v="-1.6"/>
    <n v="0.68"/>
    <s v="#17"/>
    <x v="2"/>
    <n v="1.48"/>
    <n v="-0.12"/>
    <n v="0.8"/>
    <n v="0.64"/>
    <x v="7"/>
    <s v="NA7WR"/>
    <n v="74"/>
    <s v="NA7WR-74"/>
  </r>
  <r>
    <x v="15"/>
    <x v="293"/>
    <n v="-1.52"/>
    <n v="0.68"/>
    <s v="#8"/>
    <x v="2"/>
    <n v="1.44"/>
    <n v="-0.08"/>
    <n v="0.76"/>
    <n v="0.5776"/>
    <x v="7"/>
    <s v="NA10WR"/>
    <n v="76"/>
    <s v="NA10WR-76"/>
  </r>
  <r>
    <x v="16"/>
    <x v="380"/>
    <n v="-1.48"/>
    <n v="0.68"/>
    <s v="#28"/>
    <x v="2"/>
    <n v="1.42"/>
    <n v="-0.06"/>
    <n v="0.74"/>
    <n v="0.54759999999999998"/>
    <x v="7"/>
    <s v="NA3WR"/>
    <n v="74"/>
    <s v="NA3WR-74"/>
  </r>
  <r>
    <x v="4"/>
    <x v="357"/>
    <s v="0.12-1.24"/>
    <n v="0.68"/>
    <s v="#29"/>
    <x v="3"/>
    <n v="1.24"/>
    <n v="0.12"/>
    <n v="0.56000000000000005"/>
    <n v="0.31359999999999999"/>
    <x v="7"/>
    <s v="NA7TE"/>
    <n v="52"/>
    <s v="NA7TE-52"/>
  </r>
  <r>
    <x v="14"/>
    <x v="388"/>
    <s v="0.22-1.14"/>
    <n v="0.68"/>
    <s v="#26"/>
    <x v="0"/>
    <n v="1.1399999999999999"/>
    <n v="0.22"/>
    <n v="0.46"/>
    <n v="0.21160000000000001"/>
    <x v="7"/>
    <s v="NA4QB"/>
    <n v="31"/>
    <s v="NA4QB-31"/>
  </r>
  <r>
    <x v="3"/>
    <x v="430"/>
    <s v="0.00-1.36"/>
    <n v="0.68"/>
    <s v="#25"/>
    <x v="1"/>
    <n v="1.36"/>
    <n v="0"/>
    <n v="0.68"/>
    <n v="0.46239999999999998"/>
    <x v="7"/>
    <s v="NA11RB"/>
    <n v="41"/>
    <s v="NA11RB-41"/>
  </r>
  <r>
    <x v="11"/>
    <x v="430"/>
    <s v="0.01-1.35"/>
    <n v="0.68"/>
    <s v="#28"/>
    <x v="1"/>
    <n v="1.35"/>
    <n v="0.01"/>
    <n v="0.67"/>
    <n v="0.44890000000000002"/>
    <x v="7"/>
    <s v="NA14RB"/>
    <n v="52"/>
    <s v="NA14RB-52"/>
  </r>
  <r>
    <x v="9"/>
    <x v="205"/>
    <n v="-1.52"/>
    <n v="0.68"/>
    <s v="#23"/>
    <x v="2"/>
    <n v="1.44"/>
    <n v="-0.08"/>
    <n v="0.76"/>
    <n v="0.5776"/>
    <x v="7"/>
    <s v="NA15WR"/>
    <n v="85"/>
    <s v="NA15WR-85"/>
  </r>
  <r>
    <x v="2"/>
    <x v="395"/>
    <s v="0.15-1.19"/>
    <n v="0.67"/>
    <s v="#18"/>
    <x v="0"/>
    <n v="1.19"/>
    <n v="0.15"/>
    <n v="0.52"/>
    <n v="0.27039999999999997"/>
    <x v="7"/>
    <s v="NA9QB"/>
    <n v="30"/>
    <s v="NA9QB-30"/>
  </r>
  <r>
    <x v="7"/>
    <x v="431"/>
    <n v="-1.52"/>
    <n v="0.67"/>
    <s v="#30"/>
    <x v="3"/>
    <n v="1.43"/>
    <n v="-0.09"/>
    <n v="0.76"/>
    <n v="0.5776"/>
    <x v="7"/>
    <s v="NA1TE"/>
    <n v="46"/>
    <s v="NA1TE-46"/>
  </r>
  <r>
    <x v="1"/>
    <x v="425"/>
    <s v="0.14-1.20"/>
    <n v="0.67"/>
    <s v="#29"/>
    <x v="1"/>
    <n v="1.2"/>
    <n v="0.14000000000000001"/>
    <n v="0.53"/>
    <n v="0.28089999999999998"/>
    <x v="7"/>
    <s v="NA16RB"/>
    <n v="50"/>
    <s v="NA16RB-50"/>
  </r>
  <r>
    <x v="12"/>
    <x v="404"/>
    <s v="0.01-1.33"/>
    <n v="0.67"/>
    <s v="#30"/>
    <x v="2"/>
    <n v="1.33"/>
    <n v="0.01"/>
    <n v="0.66"/>
    <n v="0.43559999999999999"/>
    <x v="7"/>
    <s v="NA5WR"/>
    <n v="84"/>
    <s v="NA5WR-84"/>
  </r>
  <r>
    <x v="7"/>
    <x v="41"/>
    <s v="0.22-1.12"/>
    <n v="0.67"/>
    <s v="#26"/>
    <x v="0"/>
    <n v="1.1200000000000001"/>
    <n v="0.22"/>
    <n v="0.45"/>
    <n v="0.20250000000000001"/>
    <x v="7"/>
    <s v="NA1QB"/>
    <n v="29"/>
    <s v="NA1QB-29"/>
  </r>
  <r>
    <x v="10"/>
    <x v="410"/>
    <s v="0.10-1.24"/>
    <n v="0.67"/>
    <s v="#24"/>
    <x v="2"/>
    <n v="1.24"/>
    <n v="0.1"/>
    <n v="0.56999999999999995"/>
    <n v="0.32490000000000002"/>
    <x v="7"/>
    <s v="NA2WR"/>
    <n v="67"/>
    <s v="NA2WR-67"/>
  </r>
  <r>
    <x v="1"/>
    <x v="346"/>
    <s v="0.01-1.33"/>
    <n v="0.67"/>
    <s v="#2"/>
    <x v="2"/>
    <n v="1.33"/>
    <n v="0.01"/>
    <n v="0.66"/>
    <n v="0.43559999999999999"/>
    <x v="7"/>
    <s v="NA16WR"/>
    <n v="81"/>
    <s v="NA16WR-81"/>
  </r>
  <r>
    <x v="0"/>
    <x v="392"/>
    <s v="0.21-1.13"/>
    <n v="0.67"/>
    <s v="#6"/>
    <x v="0"/>
    <n v="1.1299999999999999"/>
    <n v="0.21"/>
    <n v="0.46"/>
    <n v="0.21160000000000001"/>
    <x v="7"/>
    <s v="NA17QB"/>
    <n v="37"/>
    <s v="NA17QB-37"/>
  </r>
  <r>
    <x v="11"/>
    <x v="317"/>
    <n v="-1.58"/>
    <n v="0.67"/>
    <s v="#25"/>
    <x v="2"/>
    <n v="1.46"/>
    <n v="-0.12"/>
    <n v="0.79"/>
    <n v="0.62409999999999999"/>
    <x v="7"/>
    <s v="NA14WR"/>
    <n v="82"/>
    <s v="NA14WR-82"/>
  </r>
  <r>
    <x v="8"/>
    <x v="382"/>
    <s v="0.10-1.24"/>
    <n v="0.67"/>
    <s v="#22"/>
    <x v="2"/>
    <n v="1.24"/>
    <n v="0.1"/>
    <n v="0.56999999999999995"/>
    <n v="0.32490000000000002"/>
    <x v="7"/>
    <s v="NA6WR"/>
    <n v="80"/>
    <s v="NA6WR-80"/>
  </r>
  <r>
    <x v="5"/>
    <x v="350"/>
    <s v="0.10-1.24"/>
    <n v="0.67"/>
    <s v="#13"/>
    <x v="0"/>
    <n v="1.24"/>
    <n v="0.1"/>
    <n v="0.56999999999999995"/>
    <n v="0.32490000000000002"/>
    <x v="7"/>
    <s v="NA13QB"/>
    <n v="35"/>
    <s v="NA13QB-35"/>
  </r>
  <r>
    <x v="1"/>
    <x v="350"/>
    <s v="0.08-1.26"/>
    <n v="0.67"/>
    <s v="#4"/>
    <x v="0"/>
    <n v="1.26"/>
    <n v="0.08"/>
    <n v="0.59"/>
    <n v="0.34810000000000002"/>
    <x v="7"/>
    <s v="NA16QB"/>
    <n v="36"/>
    <s v="NA16QB-36"/>
  </r>
  <r>
    <x v="3"/>
    <x v="405"/>
    <s v="0.00-1.34"/>
    <n v="0.67"/>
    <s v="#21"/>
    <x v="1"/>
    <n v="1.34"/>
    <n v="0"/>
    <n v="0.67"/>
    <n v="0.44890000000000002"/>
    <x v="7"/>
    <s v="NA11RB"/>
    <n v="42"/>
    <s v="NA11RB-42"/>
  </r>
  <r>
    <x v="11"/>
    <x v="416"/>
    <s v="0.06-1.28"/>
    <n v="0.67"/>
    <s v="#22"/>
    <x v="3"/>
    <n v="1.28"/>
    <n v="0.06"/>
    <n v="0.61"/>
    <n v="0.37209999999999999"/>
    <x v="7"/>
    <s v="NA14TE"/>
    <n v="59"/>
    <s v="NA14TE-59"/>
  </r>
  <r>
    <x v="9"/>
    <x v="432"/>
    <s v="0.07-1.27"/>
    <n v="0.67"/>
    <s v="#2"/>
    <x v="2"/>
    <n v="1.27"/>
    <n v="7.0000000000000007E-2"/>
    <n v="0.6"/>
    <n v="0.36"/>
    <x v="7"/>
    <s v="NA15WR"/>
    <n v="86"/>
    <s v="NA15WR-86"/>
  </r>
  <r>
    <x v="11"/>
    <x v="266"/>
    <n v="-1.56"/>
    <n v="0.67"/>
    <s v="#23"/>
    <x v="1"/>
    <n v="1.45"/>
    <n v="-0.11"/>
    <n v="0.78"/>
    <n v="0.60840000000000005"/>
    <x v="7"/>
    <s v="NA14RB"/>
    <n v="53"/>
    <s v="NA14RB-53"/>
  </r>
  <r>
    <x v="14"/>
    <x v="299"/>
    <s v="0.07-1.27"/>
    <n v="0.67"/>
    <s v="#19"/>
    <x v="2"/>
    <n v="1.27"/>
    <n v="7.0000000000000007E-2"/>
    <n v="0.6"/>
    <n v="0.36"/>
    <x v="7"/>
    <s v="NA4WR"/>
    <n v="65"/>
    <s v="NA4WR-65"/>
  </r>
  <r>
    <x v="12"/>
    <x v="299"/>
    <n v="-2.1"/>
    <n v="0.67"/>
    <s v="#15"/>
    <x v="2"/>
    <n v="1.72"/>
    <n v="-0.38"/>
    <n v="1.05"/>
    <n v="1.1025"/>
    <x v="7"/>
    <s v="NA5WR"/>
    <n v="85"/>
    <s v="NA5WR-85"/>
  </r>
  <r>
    <x v="12"/>
    <x v="411"/>
    <s v="0.00-1.34"/>
    <n v="0.67"/>
    <s v="#25"/>
    <x v="1"/>
    <n v="1.34"/>
    <n v="0"/>
    <n v="0.67"/>
    <n v="0.44890000000000002"/>
    <x v="7"/>
    <s v="NA5RB"/>
    <n v="48"/>
    <s v="NA5RB-48"/>
  </r>
  <r>
    <x v="8"/>
    <x v="318"/>
    <n v="-1.64"/>
    <n v="0.67"/>
    <s v="#24"/>
    <x v="2"/>
    <n v="1.49"/>
    <n v="-0.15"/>
    <n v="0.82"/>
    <n v="0.6724"/>
    <x v="7"/>
    <s v="NA6WR"/>
    <n v="81"/>
    <s v="NA6WR-81"/>
  </r>
  <r>
    <x v="15"/>
    <x v="423"/>
    <n v="-1.46"/>
    <n v="0.67"/>
    <s v="#4"/>
    <x v="3"/>
    <n v="1.4"/>
    <n v="-0.06"/>
    <n v="0.73"/>
    <n v="0.53290000000000004"/>
    <x v="7"/>
    <s v="NA10TE"/>
    <n v="48"/>
    <s v="NA10TE-48"/>
  </r>
  <r>
    <x v="11"/>
    <x v="369"/>
    <n v="-1.4000000000000001"/>
    <n v="0.67"/>
    <s v="#13"/>
    <x v="3"/>
    <n v="1.37"/>
    <n v="-0.03"/>
    <n v="0.7"/>
    <n v="0.49"/>
    <x v="7"/>
    <s v="NA14TE"/>
    <n v="60"/>
    <s v="NA14TE-60"/>
  </r>
  <r>
    <x v="3"/>
    <x v="407"/>
    <n v="-1.5"/>
    <n v="0.67"/>
    <s v="#9"/>
    <x v="2"/>
    <n v="1.42"/>
    <n v="-0.08"/>
    <n v="0.75"/>
    <n v="0.5625"/>
    <x v="7"/>
    <s v="NA11WR"/>
    <n v="67"/>
    <s v="NA11WR-67"/>
  </r>
  <r>
    <x v="9"/>
    <x v="407"/>
    <n v="-1.48"/>
    <n v="0.67"/>
    <s v="#22"/>
    <x v="2"/>
    <n v="1.41"/>
    <n v="-7.0000000000000007E-2"/>
    <n v="0.74"/>
    <n v="0.54759999999999998"/>
    <x v="7"/>
    <s v="NA15WR"/>
    <n v="87"/>
    <s v="NA15WR-87"/>
  </r>
  <r>
    <x v="16"/>
    <x v="433"/>
    <s v="0.14-1.20"/>
    <n v="0.67"/>
    <s v="#4"/>
    <x v="3"/>
    <n v="1.2"/>
    <n v="0.14000000000000001"/>
    <n v="0.53"/>
    <n v="0.28089999999999998"/>
    <x v="7"/>
    <s v="NA3TE"/>
    <n v="52"/>
    <s v="NA3TE-52"/>
  </r>
  <r>
    <x v="8"/>
    <x v="409"/>
    <n v="-1.84"/>
    <n v="0.67"/>
    <s v="#27"/>
    <x v="1"/>
    <n v="1.59"/>
    <n v="-0.25"/>
    <n v="0.92"/>
    <n v="0.84640000000000004"/>
    <x v="7"/>
    <s v="NA6RB"/>
    <n v="43"/>
    <s v="NA6RB-43"/>
  </r>
  <r>
    <x v="15"/>
    <x v="396"/>
    <n v="-1.68"/>
    <n v="0.67"/>
    <s v="#9"/>
    <x v="2"/>
    <n v="1.51"/>
    <n v="-0.17"/>
    <n v="0.84"/>
    <n v="0.7056"/>
    <x v="7"/>
    <s v="NA10WR"/>
    <n v="77"/>
    <s v="NA10WR-77"/>
  </r>
  <r>
    <x v="11"/>
    <x v="396"/>
    <n v="-1.68"/>
    <n v="0.67"/>
    <s v="#14"/>
    <x v="2"/>
    <n v="1.51"/>
    <n v="-0.17"/>
    <n v="0.84"/>
    <n v="0.7056"/>
    <x v="7"/>
    <s v="NA14WR"/>
    <n v="83"/>
    <s v="NA14WR-83"/>
  </r>
  <r>
    <x v="2"/>
    <x v="434"/>
    <s v="0.01-1.33"/>
    <n v="0.67"/>
    <s v="#32"/>
    <x v="2"/>
    <n v="1.33"/>
    <n v="0.01"/>
    <n v="0.66"/>
    <n v="0.43559999999999999"/>
    <x v="7"/>
    <s v="NA9WR"/>
    <n v="75"/>
    <s v="NA9WR-75"/>
  </r>
  <r>
    <x v="12"/>
    <x v="367"/>
    <n v="-1.78"/>
    <n v="0.67"/>
    <s v="#19"/>
    <x v="1"/>
    <n v="1.56"/>
    <n v="-0.22"/>
    <n v="0.89"/>
    <n v="0.79210000000000003"/>
    <x v="7"/>
    <s v="NA5RB"/>
    <n v="49"/>
    <s v="NA5RB-49"/>
  </r>
  <r>
    <x v="12"/>
    <x v="435"/>
    <n v="-1.66"/>
    <n v="0.67"/>
    <s v="#24"/>
    <x v="1"/>
    <n v="1.5"/>
    <n v="-0.16"/>
    <n v="0.83"/>
    <n v="0.68889999999999996"/>
    <x v="7"/>
    <s v="NA5RB"/>
    <n v="50"/>
    <s v="NA5RB-50"/>
  </r>
  <r>
    <x v="11"/>
    <x v="395"/>
    <s v="0.12-1.20"/>
    <n v="0.66"/>
    <s v="#15"/>
    <x v="0"/>
    <n v="1.2"/>
    <n v="0.12"/>
    <n v="0.54"/>
    <n v="0.29160000000000003"/>
    <x v="7"/>
    <s v="NA14QB"/>
    <n v="36"/>
    <s v="NA14QB-36"/>
  </r>
  <r>
    <x v="13"/>
    <x v="436"/>
    <s v="0.04-1.28"/>
    <n v="0.66"/>
    <s v="#16"/>
    <x v="3"/>
    <n v="1.28"/>
    <n v="0.04"/>
    <n v="0.62"/>
    <n v="0.38440000000000002"/>
    <x v="7"/>
    <s v="NA8TE"/>
    <n v="51"/>
    <s v="NA8TE-51"/>
  </r>
  <r>
    <x v="1"/>
    <x v="426"/>
    <s v="0.08-1.24"/>
    <n v="0.66"/>
    <s v="#26"/>
    <x v="2"/>
    <n v="1.24"/>
    <n v="0.08"/>
    <n v="0.57999999999999996"/>
    <n v="0.33639999999999998"/>
    <x v="7"/>
    <s v="NA16WR"/>
    <n v="82"/>
    <s v="NA16WR-82"/>
  </r>
  <r>
    <x v="16"/>
    <x v="427"/>
    <s v="0.02-1.30"/>
    <n v="0.66"/>
    <s v="#15"/>
    <x v="3"/>
    <n v="1.3"/>
    <n v="0.02"/>
    <n v="0.64"/>
    <n v="0.40960000000000002"/>
    <x v="7"/>
    <s v="NA3TE"/>
    <n v="53"/>
    <s v="NA3TE-53"/>
  </r>
  <r>
    <x v="10"/>
    <x v="336"/>
    <n v="-1.34"/>
    <n v="0.66"/>
    <s v="#17"/>
    <x v="1"/>
    <n v="1.33"/>
    <n v="-0.01"/>
    <n v="0.67"/>
    <n v="0.44890000000000002"/>
    <x v="7"/>
    <s v="NA2RB"/>
    <n v="39"/>
    <s v="NA2RB-39"/>
  </r>
  <r>
    <x v="0"/>
    <x v="410"/>
    <n v="-1.34"/>
    <n v="0.66"/>
    <s v="#17"/>
    <x v="2"/>
    <n v="1.33"/>
    <n v="-0.01"/>
    <n v="0.67"/>
    <n v="0.44890000000000002"/>
    <x v="7"/>
    <s v="NA17WR"/>
    <n v="85"/>
    <s v="NA17WR-85"/>
  </r>
  <r>
    <x v="12"/>
    <x v="413"/>
    <n v="-1.52"/>
    <n v="0.66"/>
    <s v="#2"/>
    <x v="2"/>
    <n v="1.42"/>
    <n v="-0.1"/>
    <n v="0.76"/>
    <n v="0.5776"/>
    <x v="7"/>
    <s v="NA5WR"/>
    <n v="86"/>
    <s v="NA5WR-86"/>
  </r>
  <r>
    <x v="8"/>
    <x v="413"/>
    <n v="-1.6"/>
    <n v="0.66"/>
    <s v="#14"/>
    <x v="2"/>
    <n v="1.46"/>
    <n v="-0.14000000000000001"/>
    <n v="0.8"/>
    <n v="0.64"/>
    <x v="7"/>
    <s v="NA6WR"/>
    <n v="82"/>
    <s v="NA6WR-82"/>
  </r>
  <r>
    <x v="8"/>
    <x v="342"/>
    <n v="-1.6199999999999999"/>
    <n v="0.66"/>
    <s v="#23"/>
    <x v="2"/>
    <n v="1.47"/>
    <n v="-0.15"/>
    <n v="0.81"/>
    <n v="0.65610000000000002"/>
    <x v="7"/>
    <s v="NA6WR"/>
    <n v="83"/>
    <s v="NA6WR-83"/>
  </r>
  <r>
    <x v="1"/>
    <x v="414"/>
    <n v="-1.6"/>
    <n v="0.66"/>
    <s v="#25"/>
    <x v="2"/>
    <n v="1.46"/>
    <n v="-0.14000000000000001"/>
    <n v="0.8"/>
    <n v="0.64"/>
    <x v="7"/>
    <s v="NA16WR"/>
    <n v="83"/>
    <s v="NA16WR-83"/>
  </r>
  <r>
    <x v="2"/>
    <x v="361"/>
    <n v="-1.46"/>
    <n v="0.66"/>
    <s v="#2"/>
    <x v="2"/>
    <n v="1.39"/>
    <n v="-7.0000000000000007E-2"/>
    <n v="0.73"/>
    <n v="0.53290000000000004"/>
    <x v="7"/>
    <s v="NA9WR"/>
    <n v="76"/>
    <s v="NA9WR-76"/>
  </r>
  <r>
    <x v="13"/>
    <x v="428"/>
    <s v="0.08-1.24"/>
    <n v="0.66"/>
    <s v="#9"/>
    <x v="1"/>
    <n v="1.24"/>
    <n v="0.08"/>
    <n v="0.57999999999999996"/>
    <n v="0.33639999999999998"/>
    <x v="7"/>
    <s v="NA8RB"/>
    <n v="48"/>
    <s v="NA8RB-48"/>
  </r>
  <r>
    <x v="12"/>
    <x v="415"/>
    <n v="-1.34"/>
    <n v="0.66"/>
    <s v="#7"/>
    <x v="1"/>
    <n v="1.33"/>
    <n v="-0.01"/>
    <n v="0.67"/>
    <n v="0.44890000000000002"/>
    <x v="7"/>
    <s v="NA5RB"/>
    <n v="51"/>
    <s v="NA5RB-51"/>
  </r>
  <r>
    <x v="3"/>
    <x v="415"/>
    <s v="0.09-1.23"/>
    <n v="0.66"/>
    <s v="#31"/>
    <x v="1"/>
    <n v="1.23"/>
    <n v="0.09"/>
    <n v="0.56999999999999995"/>
    <n v="0.32490000000000002"/>
    <x v="7"/>
    <s v="NA11RB"/>
    <n v="43"/>
    <s v="NA11RB-43"/>
  </r>
  <r>
    <x v="9"/>
    <x v="415"/>
    <s v="0.06-1.26"/>
    <n v="0.66"/>
    <s v="#14"/>
    <x v="1"/>
    <n v="1.26"/>
    <n v="0.06"/>
    <n v="0.6"/>
    <n v="0.36"/>
    <x v="7"/>
    <s v="NA15RB"/>
    <n v="52"/>
    <s v="NA15RB-52"/>
  </r>
  <r>
    <x v="1"/>
    <x v="415"/>
    <s v="0.01-1.31"/>
    <n v="0.66"/>
    <s v="#9"/>
    <x v="1"/>
    <n v="1.31"/>
    <n v="0.01"/>
    <n v="0.65"/>
    <n v="0.42249999999999999"/>
    <x v="7"/>
    <s v="NA16RB"/>
    <n v="51"/>
    <s v="NA16RB-51"/>
  </r>
  <r>
    <x v="3"/>
    <x v="246"/>
    <s v="0.03-1.29"/>
    <n v="0.66"/>
    <s v="#8"/>
    <x v="2"/>
    <n v="1.29"/>
    <n v="0.03"/>
    <n v="0.63"/>
    <n v="0.39689999999999998"/>
    <x v="7"/>
    <s v="NA11WR"/>
    <n v="68"/>
    <s v="NA11WR-68"/>
  </r>
  <r>
    <x v="3"/>
    <x v="437"/>
    <s v="0.10-1.22"/>
    <n v="0.66"/>
    <s v="#32"/>
    <x v="1"/>
    <n v="1.22"/>
    <n v="0.1"/>
    <n v="0.56000000000000005"/>
    <n v="0.31359999999999999"/>
    <x v="7"/>
    <s v="NA11RB"/>
    <n v="44"/>
    <s v="NA11RB-44"/>
  </r>
  <r>
    <x v="6"/>
    <x v="417"/>
    <n v="-1.5"/>
    <n v="0.66"/>
    <s v="#18"/>
    <x v="2"/>
    <n v="1.41"/>
    <n v="-0.09"/>
    <n v="0.75"/>
    <n v="0.5625"/>
    <x v="7"/>
    <s v="NA12WR"/>
    <n v="81"/>
    <s v="NA12WR-81"/>
  </r>
  <r>
    <x v="9"/>
    <x v="293"/>
    <n v="-1.36"/>
    <n v="0.66"/>
    <s v="#6"/>
    <x v="2"/>
    <n v="1.34"/>
    <n v="-0.02"/>
    <n v="0.68"/>
    <n v="0.46239999999999998"/>
    <x v="7"/>
    <s v="NA15WR"/>
    <n v="88"/>
    <s v="NA15WR-88"/>
  </r>
  <r>
    <x v="12"/>
    <x v="438"/>
    <s v="0.10-1.22"/>
    <n v="0.66"/>
    <s v="#15"/>
    <x v="3"/>
    <n v="1.22"/>
    <n v="0.1"/>
    <n v="0.56000000000000005"/>
    <n v="0.31359999999999999"/>
    <x v="7"/>
    <s v="NA5TE"/>
    <n v="57"/>
    <s v="NA5TE-57"/>
  </r>
  <r>
    <x v="3"/>
    <x v="402"/>
    <n v="-1.3800000000000001"/>
    <n v="0.66"/>
    <s v="#23"/>
    <x v="2"/>
    <n v="1.35"/>
    <n v="-0.03"/>
    <n v="0.69"/>
    <n v="0.47610000000000002"/>
    <x v="7"/>
    <s v="NA11WR"/>
    <n v="69"/>
    <s v="NA11WR-69"/>
  </r>
  <r>
    <x v="15"/>
    <x v="369"/>
    <n v="-1.4000000000000001"/>
    <n v="0.66"/>
    <s v="#5"/>
    <x v="3"/>
    <n v="1.36"/>
    <n v="-0.04"/>
    <n v="0.7"/>
    <n v="0.49"/>
    <x v="7"/>
    <s v="NA10TE"/>
    <n v="49"/>
    <s v="NA10TE-49"/>
  </r>
  <r>
    <x v="8"/>
    <x v="393"/>
    <s v="0.00-1.32"/>
    <n v="0.66"/>
    <s v="#13"/>
    <x v="1"/>
    <n v="1.32"/>
    <n v="0"/>
    <n v="0.66"/>
    <n v="0.43559999999999999"/>
    <x v="7"/>
    <s v="NA6RB"/>
    <n v="44"/>
    <s v="NA6RB-44"/>
  </r>
  <r>
    <x v="13"/>
    <x v="35"/>
    <s v="0.13-1.19"/>
    <n v="0.66"/>
    <s v="#3"/>
    <x v="0"/>
    <n v="1.19"/>
    <n v="0.13"/>
    <n v="0.53"/>
    <n v="0.28089999999999998"/>
    <x v="7"/>
    <s v="NA8QB"/>
    <n v="30"/>
    <s v="NA8QB-30"/>
  </r>
  <r>
    <x v="14"/>
    <x v="433"/>
    <n v="-1.34"/>
    <n v="0.66"/>
    <s v="#25"/>
    <x v="3"/>
    <n v="1.33"/>
    <n v="-0.01"/>
    <n v="0.67"/>
    <n v="0.44890000000000002"/>
    <x v="7"/>
    <s v="NA4TE"/>
    <n v="50"/>
    <s v="NA4TE-50"/>
  </r>
  <r>
    <x v="5"/>
    <x v="429"/>
    <n v="-1.3800000000000001"/>
    <n v="0.66"/>
    <s v="#29"/>
    <x v="1"/>
    <n v="1.35"/>
    <n v="-0.03"/>
    <n v="0.69"/>
    <n v="0.47610000000000002"/>
    <x v="7"/>
    <s v="NA13RB"/>
    <n v="54"/>
    <s v="NA13RB-54"/>
  </r>
  <r>
    <x v="8"/>
    <x v="439"/>
    <n v="-1.52"/>
    <n v="0.66"/>
    <s v="#27"/>
    <x v="2"/>
    <n v="1.42"/>
    <n v="-0.1"/>
    <n v="0.76"/>
    <n v="0.5776"/>
    <x v="7"/>
    <s v="NA6WR"/>
    <n v="84"/>
    <s v="NA6WR-84"/>
  </r>
  <r>
    <x v="12"/>
    <x v="421"/>
    <n v="-1.48"/>
    <n v="0.66"/>
    <s v="#14"/>
    <x v="2"/>
    <n v="1.4"/>
    <n v="-0.08"/>
    <n v="0.74"/>
    <n v="0.54759999999999998"/>
    <x v="7"/>
    <s v="NA5WR"/>
    <n v="87"/>
    <s v="NA5WR-87"/>
  </r>
  <r>
    <x v="15"/>
    <x v="367"/>
    <n v="-1.76"/>
    <n v="0.66"/>
    <s v="#21"/>
    <x v="1"/>
    <n v="1.54"/>
    <n v="-0.22"/>
    <n v="0.88"/>
    <n v="0.77439999999999998"/>
    <x v="7"/>
    <s v="NA10RB"/>
    <n v="46"/>
    <s v="NA10RB-46"/>
  </r>
  <r>
    <x v="10"/>
    <x v="310"/>
    <n v="-1.6199999999999999"/>
    <n v="0.66"/>
    <s v="#6"/>
    <x v="1"/>
    <n v="1.47"/>
    <n v="-0.15"/>
    <n v="0.81"/>
    <n v="0.65610000000000002"/>
    <x v="7"/>
    <s v="NA2RB"/>
    <n v="40"/>
    <s v="NA2RB-40"/>
  </r>
  <r>
    <x v="11"/>
    <x v="296"/>
    <s v="0.01-1.31"/>
    <n v="0.66"/>
    <s v="#11"/>
    <x v="1"/>
    <n v="1.31"/>
    <n v="0.01"/>
    <n v="0.65"/>
    <n v="0.42249999999999999"/>
    <x v="7"/>
    <s v="NA14RB"/>
    <n v="54"/>
    <s v="NA14RB-54"/>
  </r>
  <r>
    <x v="4"/>
    <x v="436"/>
    <s v="0.08-1.22"/>
    <n v="0.65"/>
    <s v="#19"/>
    <x v="3"/>
    <n v="1.22"/>
    <n v="0.08"/>
    <n v="0.56999999999999995"/>
    <n v="0.32490000000000002"/>
    <x v="7"/>
    <s v="NA7TE"/>
    <n v="53"/>
    <s v="NA7TE-53"/>
  </r>
  <r>
    <x v="13"/>
    <x v="354"/>
    <n v="-1.32"/>
    <n v="0.65"/>
    <s v="#31"/>
    <x v="2"/>
    <n v="1.31"/>
    <n v="-0.01"/>
    <n v="0.66"/>
    <n v="0.43559999999999999"/>
    <x v="7"/>
    <s v="NA8WR"/>
    <n v="73"/>
    <s v="NA8WR-73"/>
  </r>
  <r>
    <x v="3"/>
    <x v="426"/>
    <s v="0.03-1.27"/>
    <n v="0.65"/>
    <s v="#7"/>
    <x v="2"/>
    <n v="1.27"/>
    <n v="0.03"/>
    <n v="0.62"/>
    <n v="0.38440000000000002"/>
    <x v="7"/>
    <s v="NA11WR"/>
    <n v="70"/>
    <s v="NA11WR-70"/>
  </r>
  <r>
    <x v="2"/>
    <x v="316"/>
    <n v="-1.46"/>
    <n v="0.65"/>
    <s v="#20"/>
    <x v="1"/>
    <n v="1.38"/>
    <n v="-0.08"/>
    <n v="0.73"/>
    <n v="0.53290000000000004"/>
    <x v="7"/>
    <s v="NA9RB"/>
    <n v="40"/>
    <s v="NA9RB-40"/>
  </r>
  <r>
    <x v="12"/>
    <x v="410"/>
    <n v="-1.36"/>
    <n v="0.65"/>
    <s v="#16"/>
    <x v="2"/>
    <n v="1.33"/>
    <n v="-0.03"/>
    <n v="0.68"/>
    <n v="0.46239999999999998"/>
    <x v="7"/>
    <s v="NA5WR"/>
    <n v="88"/>
    <s v="NA5WR-88"/>
  </r>
  <r>
    <x v="4"/>
    <x v="413"/>
    <n v="-1.46"/>
    <n v="0.65"/>
    <s v="#30"/>
    <x v="2"/>
    <n v="1.38"/>
    <n v="-0.08"/>
    <n v="0.73"/>
    <n v="0.53290000000000004"/>
    <x v="7"/>
    <s v="NA7WR"/>
    <n v="75"/>
    <s v="NA7WR-75"/>
  </r>
  <r>
    <x v="16"/>
    <x v="397"/>
    <s v="0.14-1.16"/>
    <n v="0.65"/>
    <s v="#8"/>
    <x v="0"/>
    <n v="1.1599999999999999"/>
    <n v="0.14000000000000001"/>
    <n v="0.51"/>
    <n v="0.2601"/>
    <x v="7"/>
    <s v="NA3QB"/>
    <n v="31"/>
    <s v="NA3QB-31"/>
  </r>
  <r>
    <x v="15"/>
    <x v="342"/>
    <n v="-1.5999999999999999"/>
    <n v="0.65"/>
    <s v="#9"/>
    <x v="2"/>
    <n v="1.45"/>
    <n v="-0.15"/>
    <n v="0.8"/>
    <n v="0.64"/>
    <x v="7"/>
    <s v="NA10WR"/>
    <n v="78"/>
    <s v="NA10WR-78"/>
  </r>
  <r>
    <x v="2"/>
    <x v="414"/>
    <n v="-1.46"/>
    <n v="0.65"/>
    <s v="#27"/>
    <x v="2"/>
    <n v="1.38"/>
    <n v="-0.08"/>
    <n v="0.73"/>
    <n v="0.53290000000000004"/>
    <x v="7"/>
    <s v="NA9WR"/>
    <n v="77"/>
    <s v="NA9WR-77"/>
  </r>
  <r>
    <x v="7"/>
    <x v="422"/>
    <n v="-1.4000000000000001"/>
    <n v="0.65"/>
    <s v="#24"/>
    <x v="2"/>
    <n v="1.35"/>
    <n v="-0.05"/>
    <n v="0.7"/>
    <n v="0.49"/>
    <x v="7"/>
    <s v="NA1WR"/>
    <n v="62"/>
    <s v="NA1WR-62"/>
  </r>
  <r>
    <x v="0"/>
    <x v="428"/>
    <s v="0.08-1.22"/>
    <n v="0.65"/>
    <s v="#32"/>
    <x v="1"/>
    <n v="1.22"/>
    <n v="0.08"/>
    <n v="0.56999999999999995"/>
    <n v="0.32490000000000002"/>
    <x v="7"/>
    <s v="NA17RB"/>
    <n v="46"/>
    <s v="NA17RB-46"/>
  </r>
  <r>
    <x v="15"/>
    <x v="324"/>
    <n v="-2.1800000000000002"/>
    <n v="0.65"/>
    <s v="#14"/>
    <x v="3"/>
    <n v="1.74"/>
    <n v="-0.44"/>
    <n v="1.0900000000000001"/>
    <n v="1.1880999999999999"/>
    <x v="7"/>
    <s v="NA10TE"/>
    <n v="50"/>
    <s v="NA10TE-50"/>
  </r>
  <r>
    <x v="16"/>
    <x v="440"/>
    <n v="-1.4000000000000001"/>
    <n v="0.65"/>
    <s v="#24"/>
    <x v="2"/>
    <n v="1.35"/>
    <n v="-0.05"/>
    <n v="0.7"/>
    <n v="0.49"/>
    <x v="7"/>
    <s v="NA3WR"/>
    <n v="75"/>
    <s v="NA3WR-75"/>
  </r>
  <r>
    <x v="13"/>
    <x v="441"/>
    <s v="0.02-1.28"/>
    <n v="0.65"/>
    <s v="#2"/>
    <x v="2"/>
    <n v="1.28"/>
    <n v="0.02"/>
    <n v="0.63"/>
    <n v="0.39689999999999998"/>
    <x v="7"/>
    <s v="NA8WR"/>
    <n v="74"/>
    <s v="NA8WR-74"/>
  </r>
  <r>
    <x v="11"/>
    <x v="415"/>
    <n v="-1.32"/>
    <n v="0.65"/>
    <s v="#12"/>
    <x v="1"/>
    <n v="1.31"/>
    <n v="-0.01"/>
    <n v="0.66"/>
    <n v="0.43559999999999999"/>
    <x v="7"/>
    <s v="NA14RB"/>
    <n v="55"/>
    <s v="NA14RB-55"/>
  </r>
  <r>
    <x v="8"/>
    <x v="442"/>
    <s v="0.01-1.29"/>
    <n v="0.65"/>
    <s v="#27"/>
    <x v="3"/>
    <n v="1.29"/>
    <n v="0.01"/>
    <n v="0.64"/>
    <n v="0.40960000000000002"/>
    <x v="7"/>
    <s v="NA6TE"/>
    <n v="51"/>
    <s v="NA6TE-51"/>
  </r>
  <r>
    <x v="0"/>
    <x v="442"/>
    <s v="0.00-1.30"/>
    <n v="0.65"/>
    <s v="#24"/>
    <x v="3"/>
    <n v="1.3"/>
    <n v="0"/>
    <n v="0.65"/>
    <n v="0.42249999999999999"/>
    <x v="7"/>
    <s v="NA17TE"/>
    <n v="58"/>
    <s v="NA17TE-58"/>
  </r>
  <r>
    <x v="15"/>
    <x v="443"/>
    <n v="-1.58"/>
    <n v="0.65"/>
    <s v="#28"/>
    <x v="2"/>
    <n v="1.44"/>
    <n v="-0.14000000000000001"/>
    <n v="0.79"/>
    <n v="0.62409999999999999"/>
    <x v="7"/>
    <s v="NA10WR"/>
    <n v="79"/>
    <s v="NA10WR-79"/>
  </r>
  <r>
    <x v="9"/>
    <x v="355"/>
    <n v="-1.34"/>
    <n v="0.65"/>
    <s v="#14"/>
    <x v="2"/>
    <n v="1.32"/>
    <n v="-0.02"/>
    <n v="0.67"/>
    <n v="0.44890000000000002"/>
    <x v="7"/>
    <s v="NA15WR"/>
    <n v="89"/>
    <s v="NA15WR-89"/>
  </r>
  <r>
    <x v="9"/>
    <x v="411"/>
    <n v="-1.4000000000000001"/>
    <n v="0.65"/>
    <s v="#32"/>
    <x v="1"/>
    <n v="1.35"/>
    <n v="-0.05"/>
    <n v="0.7"/>
    <n v="0.49"/>
    <x v="7"/>
    <s v="NA15RB"/>
    <n v="53"/>
    <s v="NA15RB-53"/>
  </r>
  <r>
    <x v="2"/>
    <x v="377"/>
    <n v="-1.4000000000000001"/>
    <n v="0.65"/>
    <s v="#25"/>
    <x v="2"/>
    <n v="1.35"/>
    <n v="-0.05"/>
    <n v="0.7"/>
    <n v="0.49"/>
    <x v="7"/>
    <s v="NA9WR"/>
    <n v="78"/>
    <s v="NA9WR-78"/>
  </r>
  <r>
    <x v="1"/>
    <x v="318"/>
    <n v="-1.5999999999999999"/>
    <n v="0.65"/>
    <s v="#18"/>
    <x v="2"/>
    <n v="1.45"/>
    <n v="-0.15"/>
    <n v="0.8"/>
    <n v="0.64"/>
    <x v="7"/>
    <s v="NA16WR"/>
    <n v="84"/>
    <s v="NA16WR-84"/>
  </r>
  <r>
    <x v="13"/>
    <x v="423"/>
    <n v="-1.32"/>
    <n v="0.65"/>
    <s v="#17"/>
    <x v="3"/>
    <n v="1.31"/>
    <n v="-0.01"/>
    <n v="0.66"/>
    <n v="0.43559999999999999"/>
    <x v="7"/>
    <s v="NA8TE"/>
    <n v="52"/>
    <s v="NA8TE-52"/>
  </r>
  <r>
    <x v="2"/>
    <x v="423"/>
    <n v="-1.36"/>
    <n v="0.65"/>
    <s v="#5"/>
    <x v="3"/>
    <n v="1.33"/>
    <n v="-0.03"/>
    <n v="0.68"/>
    <n v="0.46239999999999998"/>
    <x v="7"/>
    <s v="NA9TE"/>
    <n v="47"/>
    <s v="NA9TE-47"/>
  </r>
  <r>
    <x v="0"/>
    <x v="380"/>
    <n v="-1.32"/>
    <n v="0.65"/>
    <s v="#4"/>
    <x v="2"/>
    <n v="1.31"/>
    <n v="-0.01"/>
    <n v="0.66"/>
    <n v="0.43559999999999999"/>
    <x v="7"/>
    <s v="NA17WR"/>
    <n v="86"/>
    <s v="NA17WR-86"/>
  </r>
  <r>
    <x v="1"/>
    <x v="391"/>
    <n v="-1.6199999999999999"/>
    <n v="0.65"/>
    <s v="#14"/>
    <x v="2"/>
    <n v="1.46"/>
    <n v="-0.16"/>
    <n v="0.81"/>
    <n v="0.65610000000000002"/>
    <x v="7"/>
    <s v="NA16WR"/>
    <n v="85"/>
    <s v="NA16WR-85"/>
  </r>
  <r>
    <x v="9"/>
    <x v="444"/>
    <s v="0.11-1.19"/>
    <n v="0.65"/>
    <s v="#21"/>
    <x v="1"/>
    <n v="1.19"/>
    <n v="0.11"/>
    <n v="0.54"/>
    <n v="0.29160000000000003"/>
    <x v="7"/>
    <s v="NA15RB"/>
    <n v="54"/>
    <s v="NA15RB-54"/>
  </r>
  <r>
    <x v="1"/>
    <x v="445"/>
    <s v="0.02-1.28"/>
    <n v="0.65"/>
    <s v="#12"/>
    <x v="3"/>
    <n v="1.28"/>
    <n v="0.02"/>
    <n v="0.63"/>
    <n v="0.39689999999999998"/>
    <x v="7"/>
    <s v="NA16TE"/>
    <n v="58"/>
    <s v="NA16TE-58"/>
  </r>
  <r>
    <x v="1"/>
    <x v="446"/>
    <n v="-1.48"/>
    <n v="0.65"/>
    <s v="#31"/>
    <x v="2"/>
    <n v="1.39"/>
    <n v="-0.09"/>
    <n v="0.74"/>
    <n v="0.54759999999999998"/>
    <x v="7"/>
    <s v="NA16WR"/>
    <n v="86"/>
    <s v="NA16WR-86"/>
  </r>
  <r>
    <x v="4"/>
    <x v="429"/>
    <s v="0.07-1.23"/>
    <n v="0.65"/>
    <s v="#30"/>
    <x v="1"/>
    <n v="1.23"/>
    <n v="7.0000000000000007E-2"/>
    <n v="0.57999999999999996"/>
    <n v="0.33639999999999998"/>
    <x v="7"/>
    <s v="NA7RB"/>
    <n v="40"/>
    <s v="NA7RB-40"/>
  </r>
  <r>
    <x v="7"/>
    <x v="108"/>
    <s v="0.07-1.23"/>
    <n v="0.65"/>
    <s v="#8"/>
    <x v="1"/>
    <n v="1.23"/>
    <n v="7.0000000000000007E-2"/>
    <n v="0.57999999999999996"/>
    <n v="0.33639999999999998"/>
    <x v="1"/>
    <s v="perry1RB"/>
    <n v="4"/>
    <s v="perry1RB-4"/>
  </r>
  <r>
    <x v="11"/>
    <x v="421"/>
    <n v="-1.52"/>
    <n v="0.65"/>
    <s v="#4"/>
    <x v="2"/>
    <n v="1.41"/>
    <n v="-0.11"/>
    <n v="0.76"/>
    <n v="0.5776"/>
    <x v="7"/>
    <s v="NA14WR"/>
    <n v="84"/>
    <s v="NA14WR-84"/>
  </r>
  <r>
    <x v="3"/>
    <x v="408"/>
    <s v="0.02-1.28"/>
    <n v="0.65"/>
    <s v="#19"/>
    <x v="2"/>
    <n v="1.28"/>
    <n v="0.02"/>
    <n v="0.63"/>
    <n v="0.39689999999999998"/>
    <x v="7"/>
    <s v="NA11WR"/>
    <n v="71"/>
    <s v="NA11WR-71"/>
  </r>
  <r>
    <x v="3"/>
    <x v="394"/>
    <s v="0.05-1.25"/>
    <n v="0.65"/>
    <s v="#6"/>
    <x v="1"/>
    <n v="1.25"/>
    <n v="0.05"/>
    <n v="0.6"/>
    <n v="0.36"/>
    <x v="7"/>
    <s v="NA11RB"/>
    <n v="45"/>
    <s v="NA11RB-45"/>
  </r>
  <r>
    <x v="13"/>
    <x v="205"/>
    <n v="-1.58"/>
    <n v="0.65"/>
    <s v="#25"/>
    <x v="2"/>
    <n v="1.44"/>
    <n v="-0.14000000000000001"/>
    <n v="0.79"/>
    <n v="0.62409999999999999"/>
    <x v="7"/>
    <s v="NA8WR"/>
    <n v="75"/>
    <s v="NA8WR-75"/>
  </r>
  <r>
    <x v="8"/>
    <x v="395"/>
    <s v="0.09-1.19"/>
    <n v="0.64"/>
    <s v="#8"/>
    <x v="0"/>
    <n v="1.19"/>
    <n v="0.09"/>
    <n v="0.55000000000000004"/>
    <n v="0.30249999999999999"/>
    <x v="7"/>
    <s v="NA6QB"/>
    <n v="35"/>
    <s v="NA6QB-35"/>
  </r>
  <r>
    <x v="2"/>
    <x v="426"/>
    <s v="0.06-1.22"/>
    <n v="0.64"/>
    <s v="#26"/>
    <x v="2"/>
    <n v="1.22"/>
    <n v="0.06"/>
    <n v="0.57999999999999996"/>
    <n v="0.33639999999999998"/>
    <x v="7"/>
    <s v="NA9WR"/>
    <n v="79"/>
    <s v="NA9WR-79"/>
  </r>
  <r>
    <x v="7"/>
    <x v="359"/>
    <s v="0.02-1.26"/>
    <n v="0.64"/>
    <s v="#5"/>
    <x v="0"/>
    <n v="1.26"/>
    <n v="0.02"/>
    <n v="0.62"/>
    <n v="0.38440000000000002"/>
    <x v="7"/>
    <s v="NA1QB"/>
    <n v="30"/>
    <s v="NA1QB-30"/>
  </r>
  <r>
    <x v="8"/>
    <x v="379"/>
    <s v="0.05-1.23"/>
    <n v="0.64"/>
    <s v="#3"/>
    <x v="2"/>
    <n v="1.23"/>
    <n v="0.05"/>
    <n v="0.59"/>
    <n v="0.34810000000000002"/>
    <x v="7"/>
    <s v="NA6WR"/>
    <n v="85"/>
    <s v="NA6WR-85"/>
  </r>
  <r>
    <x v="1"/>
    <x v="316"/>
    <n v="-1.32"/>
    <n v="0.64"/>
    <s v="#32"/>
    <x v="1"/>
    <n v="1.3"/>
    <n v="-0.02"/>
    <n v="0.66"/>
    <n v="0.43559999999999999"/>
    <x v="7"/>
    <s v="NA16RB"/>
    <n v="52"/>
    <s v="NA16RB-52"/>
  </r>
  <r>
    <x v="13"/>
    <x v="413"/>
    <n v="-1.34"/>
    <n v="0.64"/>
    <s v="#7"/>
    <x v="2"/>
    <n v="1.31"/>
    <n v="-0.03"/>
    <n v="0.67"/>
    <n v="0.44890000000000002"/>
    <x v="7"/>
    <s v="NA8WR"/>
    <n v="76"/>
    <s v="NA8WR-76"/>
  </r>
  <r>
    <x v="13"/>
    <x v="387"/>
    <s v="0.15-1.13"/>
    <n v="0.64"/>
    <s v="#6"/>
    <x v="0"/>
    <n v="1.1299999999999999"/>
    <n v="0.15"/>
    <n v="0.49"/>
    <n v="0.24010000000000001"/>
    <x v="7"/>
    <s v="NA8QB"/>
    <n v="31"/>
    <s v="NA8QB-31"/>
  </r>
  <r>
    <x v="8"/>
    <x v="374"/>
    <s v="0.10-1.18"/>
    <n v="0.64"/>
    <s v="#2"/>
    <x v="1"/>
    <n v="1.18"/>
    <n v="0.1"/>
    <n v="0.54"/>
    <n v="0.29160000000000003"/>
    <x v="7"/>
    <s v="NA6RB"/>
    <n v="45"/>
    <s v="NA6RB-45"/>
  </r>
  <r>
    <x v="9"/>
    <x v="350"/>
    <s v="0.07-1.21"/>
    <n v="0.64"/>
    <s v="#5"/>
    <x v="0"/>
    <n v="1.21"/>
    <n v="7.0000000000000007E-2"/>
    <n v="0.56999999999999995"/>
    <n v="0.32490000000000002"/>
    <x v="7"/>
    <s v="NA15QB"/>
    <n v="36"/>
    <s v="NA15QB-36"/>
  </r>
  <r>
    <x v="6"/>
    <x v="328"/>
    <s v="0.00-1.28"/>
    <n v="0.64"/>
    <s v="#13"/>
    <x v="2"/>
    <n v="1.28"/>
    <n v="0"/>
    <n v="0.64"/>
    <n v="0.40960000000000002"/>
    <x v="7"/>
    <s v="NA12WR"/>
    <n v="82"/>
    <s v="NA12WR-82"/>
  </r>
  <r>
    <x v="2"/>
    <x v="405"/>
    <n v="-1.3800000000000001"/>
    <n v="0.64"/>
    <s v="#20"/>
    <x v="1"/>
    <n v="1.33"/>
    <n v="-0.05"/>
    <n v="0.69"/>
    <n v="0.47610000000000002"/>
    <x v="7"/>
    <s v="NA9RB"/>
    <n v="41"/>
    <s v="NA9RB-41"/>
  </r>
  <r>
    <x v="15"/>
    <x v="329"/>
    <s v="0.10-1.18"/>
    <n v="0.64"/>
    <s v="#3"/>
    <x v="0"/>
    <n v="1.18"/>
    <n v="0.1"/>
    <n v="0.54"/>
    <n v="0.29160000000000003"/>
    <x v="7"/>
    <s v="NA10QB"/>
    <n v="30"/>
    <s v="NA10QB-30"/>
  </r>
  <r>
    <x v="12"/>
    <x v="442"/>
    <s v="0.00-1.28"/>
    <n v="0.64"/>
    <s v="#14"/>
    <x v="3"/>
    <n v="1.28"/>
    <n v="0"/>
    <n v="0.64"/>
    <n v="0.40960000000000002"/>
    <x v="7"/>
    <s v="NA5TE"/>
    <n v="58"/>
    <s v="NA5TE-58"/>
  </r>
  <r>
    <x v="1"/>
    <x v="443"/>
    <n v="-1.48"/>
    <n v="0.64"/>
    <s v="#18"/>
    <x v="2"/>
    <n v="1.38"/>
    <n v="-0.1"/>
    <n v="0.74"/>
    <n v="0.54759999999999998"/>
    <x v="7"/>
    <s v="NA16WR"/>
    <n v="87"/>
    <s v="NA16WR-87"/>
  </r>
  <r>
    <x v="1"/>
    <x v="355"/>
    <n v="-1.3800000000000001"/>
    <n v="0.64"/>
    <s v="#9"/>
    <x v="2"/>
    <n v="1.33"/>
    <n v="-0.05"/>
    <n v="0.69"/>
    <n v="0.47610000000000002"/>
    <x v="7"/>
    <s v="NA16WR"/>
    <n v="88"/>
    <s v="NA16WR-88"/>
  </r>
  <r>
    <x v="13"/>
    <x v="416"/>
    <s v="0.03-1.25"/>
    <n v="0.64"/>
    <s v="#22"/>
    <x v="3"/>
    <n v="1.25"/>
    <n v="0.03"/>
    <n v="0.61"/>
    <n v="0.37209999999999999"/>
    <x v="7"/>
    <s v="NA8TE"/>
    <n v="53"/>
    <s v="NA8TE-53"/>
  </r>
  <r>
    <x v="3"/>
    <x v="322"/>
    <n v="-1.5799999999999998"/>
    <n v="0.64"/>
    <s v="#32"/>
    <x v="2"/>
    <n v="1.43"/>
    <n v="-0.15"/>
    <n v="0.79"/>
    <n v="0.62409999999999999"/>
    <x v="7"/>
    <s v="NA11WR"/>
    <n v="72"/>
    <s v="NA11WR-72"/>
  </r>
  <r>
    <x v="0"/>
    <x v="322"/>
    <n v="-1.56"/>
    <n v="0.64"/>
    <s v="#18"/>
    <x v="2"/>
    <n v="1.42"/>
    <n v="-0.14000000000000001"/>
    <n v="0.78"/>
    <n v="0.60840000000000005"/>
    <x v="7"/>
    <s v="NA17WR"/>
    <n v="87"/>
    <s v="NA17WR-87"/>
  </r>
  <r>
    <x v="0"/>
    <x v="432"/>
    <s v="0.05-1.23"/>
    <n v="0.64"/>
    <s v="#20"/>
    <x v="2"/>
    <n v="1.23"/>
    <n v="0.05"/>
    <n v="0.59"/>
    <n v="0.34810000000000002"/>
    <x v="7"/>
    <s v="NA17WR"/>
    <n v="88"/>
    <s v="NA17WR-88"/>
  </r>
  <r>
    <x v="13"/>
    <x v="389"/>
    <n v="-1.8"/>
    <n v="0.64"/>
    <s v="#16"/>
    <x v="2"/>
    <n v="1.54"/>
    <n v="-0.26"/>
    <n v="0.9"/>
    <n v="0.81"/>
    <x v="7"/>
    <s v="NA8WR"/>
    <n v="77"/>
    <s v="NA8WR-77"/>
  </r>
  <r>
    <x v="1"/>
    <x v="389"/>
    <n v="-1.8"/>
    <n v="0.64"/>
    <s v="#8"/>
    <x v="2"/>
    <n v="1.54"/>
    <n v="-0.26"/>
    <n v="0.9"/>
    <n v="0.81"/>
    <x v="7"/>
    <s v="NA16WR"/>
    <n v="89"/>
    <s v="NA16WR-89"/>
  </r>
  <r>
    <x v="5"/>
    <x v="412"/>
    <s v="0.09-1.19"/>
    <n v="0.64"/>
    <s v="#1"/>
    <x v="0"/>
    <n v="1.19"/>
    <n v="0.09"/>
    <n v="0.55000000000000004"/>
    <n v="0.30249999999999999"/>
    <x v="7"/>
    <s v="NA13QB"/>
    <n v="36"/>
    <s v="NA13QB-36"/>
  </r>
  <r>
    <x v="4"/>
    <x v="380"/>
    <n v="-1.3"/>
    <n v="0.64"/>
    <s v="#5"/>
    <x v="2"/>
    <n v="1.29"/>
    <n v="-0.01"/>
    <n v="0.65"/>
    <n v="0.42249999999999999"/>
    <x v="7"/>
    <s v="NA7WR"/>
    <n v="76"/>
    <s v="NA7WR-76"/>
  </r>
  <r>
    <x v="12"/>
    <x v="391"/>
    <n v="-1.54"/>
    <n v="0.64"/>
    <s v="#30"/>
    <x v="2"/>
    <n v="1.41"/>
    <n v="-0.13"/>
    <n v="0.77"/>
    <n v="0.59289999999999998"/>
    <x v="7"/>
    <s v="NA5WR"/>
    <n v="89"/>
    <s v="NA5WR-89"/>
  </r>
  <r>
    <x v="0"/>
    <x v="391"/>
    <s v="0.01-1.27"/>
    <n v="0.64"/>
    <s v="#6"/>
    <x v="2"/>
    <n v="1.27"/>
    <n v="0.01"/>
    <n v="0.63"/>
    <n v="0.39689999999999998"/>
    <x v="7"/>
    <s v="NA17WR"/>
    <n v="89"/>
    <s v="NA17WR-89"/>
  </r>
  <r>
    <x v="14"/>
    <x v="447"/>
    <s v="0.10-1.18"/>
    <n v="0.64"/>
    <s v="#23"/>
    <x v="1"/>
    <n v="1.18"/>
    <n v="0.1"/>
    <n v="0.54"/>
    <n v="0.29160000000000003"/>
    <x v="7"/>
    <s v="NA4RB"/>
    <n v="45"/>
    <s v="NA4RB-45"/>
  </r>
  <r>
    <x v="12"/>
    <x v="407"/>
    <n v="-1.4200000000000002"/>
    <n v="0.64"/>
    <s v="#11"/>
    <x v="2"/>
    <n v="1.35"/>
    <n v="-7.0000000000000007E-2"/>
    <n v="0.71"/>
    <n v="0.50409999999999999"/>
    <x v="7"/>
    <s v="NA5WR"/>
    <n v="90"/>
    <s v="NA5WR-90"/>
  </r>
  <r>
    <x v="12"/>
    <x v="358"/>
    <n v="-1.5"/>
    <n v="0.64"/>
    <s v="#10"/>
    <x v="1"/>
    <n v="1.39"/>
    <n v="-0.11"/>
    <n v="0.75"/>
    <n v="0.5625"/>
    <x v="7"/>
    <s v="NA5RB"/>
    <n v="52"/>
    <s v="NA5RB-52"/>
  </r>
  <r>
    <x v="2"/>
    <x v="358"/>
    <s v="0.10-1.18"/>
    <n v="0.64"/>
    <s v="#20"/>
    <x v="1"/>
    <n v="1.18"/>
    <n v="0.1"/>
    <n v="0.54"/>
    <n v="0.29160000000000003"/>
    <x v="7"/>
    <s v="NA9RB"/>
    <n v="42"/>
    <s v="NA9RB-42"/>
  </r>
  <r>
    <x v="16"/>
    <x v="395"/>
    <s v="0.10-1.16"/>
    <n v="0.63"/>
    <s v="#24"/>
    <x v="0"/>
    <n v="1.1599999999999999"/>
    <n v="0.1"/>
    <n v="0.53"/>
    <n v="0.28089999999999998"/>
    <x v="7"/>
    <s v="NA3QB"/>
    <n v="32"/>
    <s v="NA3QB-32"/>
  </r>
  <r>
    <x v="16"/>
    <x v="425"/>
    <n v="-1.4000000000000001"/>
    <n v="0.63"/>
    <s v="#19"/>
    <x v="1"/>
    <n v="1.33"/>
    <n v="-7.0000000000000007E-2"/>
    <n v="0.7"/>
    <n v="0.49"/>
    <x v="7"/>
    <s v="NA3RB"/>
    <n v="46"/>
    <s v="NA3RB-46"/>
  </r>
  <r>
    <x v="2"/>
    <x v="425"/>
    <s v="0.12-1.14"/>
    <n v="0.63"/>
    <s v="#31"/>
    <x v="1"/>
    <n v="1.1399999999999999"/>
    <n v="0.12"/>
    <n v="0.51"/>
    <n v="0.2601"/>
    <x v="7"/>
    <s v="NA9RB"/>
    <n v="43"/>
    <s v="NA9RB-43"/>
  </r>
  <r>
    <x v="12"/>
    <x v="436"/>
    <s v="0.00-1.26"/>
    <n v="0.63"/>
    <s v="#3"/>
    <x v="3"/>
    <n v="1.26"/>
    <n v="0"/>
    <n v="0.63"/>
    <n v="0.39689999999999998"/>
    <x v="7"/>
    <s v="NA5TE"/>
    <n v="59"/>
    <s v="NA5TE-59"/>
  </r>
  <r>
    <x v="6"/>
    <x v="426"/>
    <s v="0.01-1.25"/>
    <n v="0.63"/>
    <s v="#5"/>
    <x v="2"/>
    <n v="1.25"/>
    <n v="0.01"/>
    <n v="0.62"/>
    <n v="0.38440000000000002"/>
    <x v="7"/>
    <s v="NA12WR"/>
    <n v="83"/>
    <s v="NA12WR-83"/>
  </r>
  <r>
    <x v="11"/>
    <x v="426"/>
    <s v="0.02-1.24"/>
    <n v="0.63"/>
    <s v="#13"/>
    <x v="2"/>
    <n v="1.24"/>
    <n v="0.02"/>
    <n v="0.61"/>
    <n v="0.37209999999999999"/>
    <x v="7"/>
    <s v="NA14WR"/>
    <n v="85"/>
    <s v="NA14WR-85"/>
  </r>
  <r>
    <x v="14"/>
    <x v="448"/>
    <n v="-1.28"/>
    <n v="0.63"/>
    <s v="#16"/>
    <x v="1"/>
    <n v="1.27"/>
    <n v="-0.01"/>
    <n v="0.64"/>
    <n v="0.40960000000000002"/>
    <x v="7"/>
    <s v="NA4RB"/>
    <n v="46"/>
    <s v="NA4RB-46"/>
  </r>
  <r>
    <x v="15"/>
    <x v="400"/>
    <n v="-1.4600000000000002"/>
    <n v="0.63"/>
    <s v="#21"/>
    <x v="1"/>
    <n v="1.36"/>
    <n v="-0.1"/>
    <n v="0.73"/>
    <n v="0.53290000000000004"/>
    <x v="7"/>
    <s v="NA10RB"/>
    <n v="47"/>
    <s v="NA10RB-47"/>
  </r>
  <r>
    <x v="6"/>
    <x v="449"/>
    <n v="-1.52"/>
    <n v="0.63"/>
    <s v="#29"/>
    <x v="2"/>
    <n v="1.39"/>
    <n v="-0.13"/>
    <n v="0.76"/>
    <n v="0.5776"/>
    <x v="7"/>
    <s v="NA12WR"/>
    <n v="84"/>
    <s v="NA12WR-84"/>
  </r>
  <r>
    <x v="4"/>
    <x v="336"/>
    <s v="0.09-1.17"/>
    <n v="0.63"/>
    <s v="#27"/>
    <x v="1"/>
    <n v="1.17"/>
    <n v="0.09"/>
    <n v="0.54"/>
    <n v="0.29160000000000003"/>
    <x v="7"/>
    <s v="NA7RB"/>
    <n v="41"/>
    <s v="NA7RB-41"/>
  </r>
  <r>
    <x v="5"/>
    <x v="392"/>
    <s v="0.17-1.09"/>
    <n v="0.63"/>
    <s v="#6"/>
    <x v="0"/>
    <n v="1.0900000000000001"/>
    <n v="0.17"/>
    <n v="0.46"/>
    <n v="0.21160000000000001"/>
    <x v="7"/>
    <s v="NA13QB"/>
    <n v="37"/>
    <s v="NA13QB-37"/>
  </r>
  <r>
    <x v="14"/>
    <x v="450"/>
    <s v="0.07-1.19"/>
    <n v="0.63"/>
    <s v="#31"/>
    <x v="3"/>
    <n v="1.19"/>
    <n v="7.0000000000000007E-2"/>
    <n v="0.56000000000000005"/>
    <n v="0.31359999999999999"/>
    <x v="7"/>
    <s v="NA4TE"/>
    <n v="51"/>
    <s v="NA4TE-51"/>
  </r>
  <r>
    <x v="6"/>
    <x v="317"/>
    <n v="-1.36"/>
    <n v="0.63"/>
    <s v="#16"/>
    <x v="2"/>
    <n v="1.31"/>
    <n v="-0.05"/>
    <n v="0.68"/>
    <n v="0.46239999999999998"/>
    <x v="7"/>
    <s v="NA12WR"/>
    <n v="85"/>
    <s v="NA12WR-85"/>
  </r>
  <r>
    <x v="10"/>
    <x v="334"/>
    <n v="-1.36"/>
    <n v="0.63"/>
    <s v="#5"/>
    <x v="2"/>
    <n v="1.31"/>
    <n v="-0.05"/>
    <n v="0.68"/>
    <n v="0.46239999999999998"/>
    <x v="7"/>
    <s v="NA2WR"/>
    <n v="68"/>
    <s v="NA2WR-68"/>
  </r>
  <r>
    <x v="0"/>
    <x v="324"/>
    <n v="-1.8800000000000001"/>
    <n v="0.63"/>
    <s v="#4"/>
    <x v="3"/>
    <n v="1.57"/>
    <n v="-0.31"/>
    <n v="0.94"/>
    <n v="0.88360000000000005"/>
    <x v="7"/>
    <s v="NA17TE"/>
    <n v="59"/>
    <s v="NA17TE-59"/>
  </r>
  <r>
    <x v="0"/>
    <x v="266"/>
    <n v="-1.28"/>
    <n v="0.63"/>
    <s v="#12"/>
    <x v="1"/>
    <n v="1.27"/>
    <n v="-0.01"/>
    <n v="0.64"/>
    <n v="0.40960000000000002"/>
    <x v="7"/>
    <s v="NA17RB"/>
    <n v="47"/>
    <s v="NA17RB-47"/>
  </r>
  <r>
    <x v="4"/>
    <x v="411"/>
    <s v="0.01-1.25"/>
    <n v="0.63"/>
    <s v="#14"/>
    <x v="1"/>
    <n v="1.25"/>
    <n v="0.01"/>
    <n v="0.62"/>
    <n v="0.38440000000000002"/>
    <x v="7"/>
    <s v="NA7RB"/>
    <n v="42"/>
    <s v="NA7RB-42"/>
  </r>
  <r>
    <x v="15"/>
    <x v="411"/>
    <n v="-1.34"/>
    <n v="0.63"/>
    <s v="#25"/>
    <x v="1"/>
    <n v="1.3"/>
    <n v="-0.04"/>
    <n v="0.67"/>
    <n v="0.44890000000000002"/>
    <x v="7"/>
    <s v="NA10RB"/>
    <n v="48"/>
    <s v="NA10RB-48"/>
  </r>
  <r>
    <x v="5"/>
    <x v="411"/>
    <n v="-1.4000000000000001"/>
    <n v="0.63"/>
    <s v="#15"/>
    <x v="1"/>
    <n v="1.33"/>
    <n v="-7.0000000000000007E-2"/>
    <n v="0.7"/>
    <n v="0.49"/>
    <x v="7"/>
    <s v="NA13RB"/>
    <n v="55"/>
    <s v="NA13RB-55"/>
  </r>
  <r>
    <x v="4"/>
    <x v="417"/>
    <s v="0.05-1.21"/>
    <n v="0.63"/>
    <s v="#2"/>
    <x v="2"/>
    <n v="1.21"/>
    <n v="0.05"/>
    <n v="0.57999999999999996"/>
    <n v="0.33639999999999998"/>
    <x v="7"/>
    <s v="NA7WR"/>
    <n v="77"/>
    <s v="NA7WR-77"/>
  </r>
  <r>
    <x v="14"/>
    <x v="269"/>
    <n v="-1.86"/>
    <n v="0.63"/>
    <s v="#14"/>
    <x v="2"/>
    <n v="1.56"/>
    <n v="-0.3"/>
    <n v="0.93"/>
    <n v="0.8649"/>
    <x v="7"/>
    <s v="NA4WR"/>
    <n v="66"/>
    <s v="NA4WR-66"/>
  </r>
  <r>
    <x v="0"/>
    <x v="420"/>
    <n v="-1.52"/>
    <n v="0.63"/>
    <s v="#6"/>
    <x v="1"/>
    <n v="1.39"/>
    <n v="-0.13"/>
    <n v="0.76"/>
    <n v="0.5776"/>
    <x v="7"/>
    <s v="NA17RB"/>
    <n v="48"/>
    <s v="NA17RB-48"/>
  </r>
  <r>
    <x v="1"/>
    <x v="293"/>
    <n v="-1.3"/>
    <n v="0.63"/>
    <s v="#13"/>
    <x v="2"/>
    <n v="1.28"/>
    <n v="-0.02"/>
    <n v="0.65"/>
    <n v="0.42249999999999999"/>
    <x v="7"/>
    <s v="NA16WR"/>
    <n v="90"/>
    <s v="NA16WR-90"/>
  </r>
  <r>
    <x v="7"/>
    <x v="347"/>
    <n v="-1.4200000000000002"/>
    <n v="0.63"/>
    <s v="#26"/>
    <x v="1"/>
    <n v="1.34"/>
    <n v="-0.08"/>
    <n v="0.71"/>
    <n v="0.50409999999999999"/>
    <x v="7"/>
    <s v="NA1RB"/>
    <n v="37"/>
    <s v="NA1RB-37"/>
  </r>
  <r>
    <x v="15"/>
    <x v="438"/>
    <s v="0.01-1.25"/>
    <n v="0.63"/>
    <s v="#2"/>
    <x v="3"/>
    <n v="1.25"/>
    <n v="0.01"/>
    <n v="0.62"/>
    <n v="0.38440000000000002"/>
    <x v="7"/>
    <s v="NA10TE"/>
    <n v="51"/>
    <s v="NA10TE-51"/>
  </r>
  <r>
    <x v="12"/>
    <x v="423"/>
    <n v="-1.36"/>
    <n v="0.63"/>
    <s v="#14"/>
    <x v="3"/>
    <n v="1.31"/>
    <n v="-0.05"/>
    <n v="0.68"/>
    <n v="0.46239999999999998"/>
    <x v="7"/>
    <s v="NA5TE"/>
    <n v="60"/>
    <s v="NA5TE-60"/>
  </r>
  <r>
    <x v="4"/>
    <x v="423"/>
    <n v="-1.34"/>
    <n v="0.63"/>
    <s v="#9"/>
    <x v="3"/>
    <n v="1.3"/>
    <n v="-0.04"/>
    <n v="0.67"/>
    <n v="0.44890000000000002"/>
    <x v="7"/>
    <s v="NA7TE"/>
    <n v="54"/>
    <s v="NA7TE-54"/>
  </r>
  <r>
    <x v="6"/>
    <x v="380"/>
    <n v="-1.32"/>
    <n v="0.63"/>
    <s v="#4"/>
    <x v="2"/>
    <n v="1.29"/>
    <n v="-0.03"/>
    <n v="0.66"/>
    <n v="0.43559999999999999"/>
    <x v="7"/>
    <s v="NA12WR"/>
    <n v="86"/>
    <s v="NA12WR-86"/>
  </r>
  <r>
    <x v="15"/>
    <x v="444"/>
    <s v="0.08-1.18"/>
    <n v="0.63"/>
    <s v="#28"/>
    <x v="1"/>
    <n v="1.18"/>
    <n v="0.08"/>
    <n v="0.55000000000000004"/>
    <n v="0.30249999999999999"/>
    <x v="7"/>
    <s v="NA10RB"/>
    <n v="49"/>
    <s v="NA10RB-49"/>
  </r>
  <r>
    <x v="3"/>
    <x v="369"/>
    <n v="-1.34"/>
    <n v="0.63"/>
    <s v="#7"/>
    <x v="3"/>
    <n v="1.3"/>
    <n v="-0.04"/>
    <n v="0.67"/>
    <n v="0.44890000000000002"/>
    <x v="7"/>
    <s v="NA11TE"/>
    <n v="47"/>
    <s v="NA11TE-47"/>
  </r>
  <r>
    <x v="12"/>
    <x v="320"/>
    <n v="-2.02"/>
    <n v="0.63"/>
    <s v="#16"/>
    <x v="3"/>
    <n v="1.64"/>
    <n v="-0.38"/>
    <n v="1.01"/>
    <n v="1.0201"/>
    <x v="7"/>
    <s v="NA5TE"/>
    <n v="61"/>
    <s v="NA5TE-61"/>
  </r>
  <r>
    <x v="14"/>
    <x v="407"/>
    <n v="-1.5"/>
    <n v="0.63"/>
    <s v="#6"/>
    <x v="2"/>
    <n v="1.38"/>
    <n v="-0.12"/>
    <n v="0.75"/>
    <n v="0.5625"/>
    <x v="7"/>
    <s v="NA4WR"/>
    <n v="67"/>
    <s v="NA4WR-67"/>
  </r>
  <r>
    <x v="4"/>
    <x v="407"/>
    <n v="-1.4200000000000002"/>
    <n v="0.63"/>
    <s v="#20"/>
    <x v="2"/>
    <n v="1.34"/>
    <n v="-0.08"/>
    <n v="0.71"/>
    <n v="0.50409999999999999"/>
    <x v="7"/>
    <s v="NA7WR"/>
    <n v="78"/>
    <s v="NA7WR-78"/>
  </r>
  <r>
    <x v="13"/>
    <x v="396"/>
    <n v="-1.34"/>
    <n v="0.63"/>
    <s v="#6"/>
    <x v="2"/>
    <n v="1.3"/>
    <n v="-0.04"/>
    <n v="0.67"/>
    <n v="0.44890000000000002"/>
    <x v="7"/>
    <s v="NA8WR"/>
    <n v="78"/>
    <s v="NA8WR-78"/>
  </r>
  <r>
    <x v="5"/>
    <x v="367"/>
    <n v="-1.68"/>
    <n v="0.63"/>
    <s v="#11"/>
    <x v="1"/>
    <n v="1.47"/>
    <n v="-0.21"/>
    <n v="0.84"/>
    <n v="0.7056"/>
    <x v="7"/>
    <s v="NA13RB"/>
    <n v="56"/>
    <s v="NA13RB-56"/>
  </r>
  <r>
    <x v="15"/>
    <x v="430"/>
    <n v="-1.32"/>
    <n v="0.63"/>
    <s v="#32"/>
    <x v="1"/>
    <n v="1.29"/>
    <n v="-0.03"/>
    <n v="0.66"/>
    <n v="0.43559999999999999"/>
    <x v="7"/>
    <s v="NA10RB"/>
    <n v="50"/>
    <s v="NA10RB-50"/>
  </r>
  <r>
    <x v="5"/>
    <x v="332"/>
    <n v="-1.32"/>
    <n v="0.63"/>
    <s v="#2"/>
    <x v="2"/>
    <n v="1.29"/>
    <n v="-0.03"/>
    <n v="0.66"/>
    <n v="0.43559999999999999"/>
    <x v="7"/>
    <s v="NA13WR"/>
    <n v="84"/>
    <s v="NA13WR-84"/>
  </r>
  <r>
    <x v="16"/>
    <x v="394"/>
    <n v="-1.54"/>
    <n v="0.63"/>
    <s v="#29"/>
    <x v="1"/>
    <n v="1.4"/>
    <n v="-0.14000000000000001"/>
    <n v="0.77"/>
    <n v="0.59289999999999998"/>
    <x v="7"/>
    <s v="NA3RB"/>
    <n v="47"/>
    <s v="NA3RB-47"/>
  </r>
  <r>
    <x v="1"/>
    <x v="394"/>
    <s v="0.00-1.26"/>
    <n v="0.63"/>
    <s v="#15"/>
    <x v="1"/>
    <n v="1.26"/>
    <n v="0"/>
    <n v="0.63"/>
    <n v="0.39689999999999998"/>
    <x v="7"/>
    <s v="NA16RB"/>
    <n v="53"/>
    <s v="NA16RB-53"/>
  </r>
  <r>
    <x v="0"/>
    <x v="394"/>
    <s v="0.02-1.24"/>
    <n v="0.63"/>
    <s v="#7"/>
    <x v="1"/>
    <n v="1.24"/>
    <n v="0.02"/>
    <n v="0.61"/>
    <n v="0.37209999999999999"/>
    <x v="7"/>
    <s v="NA17RB"/>
    <n v="49"/>
    <s v="NA17RB-49"/>
  </r>
  <r>
    <x v="9"/>
    <x v="395"/>
    <s v="0.08-1.16"/>
    <n v="0.62"/>
    <s v="#19"/>
    <x v="0"/>
    <n v="1.1599999999999999"/>
    <n v="0.08"/>
    <n v="0.54"/>
    <n v="0.29160000000000003"/>
    <x v="7"/>
    <s v="NA15QB"/>
    <n v="37"/>
    <s v="NA15QB-37"/>
  </r>
  <r>
    <x v="1"/>
    <x v="395"/>
    <s v="0.06-1.18"/>
    <n v="0.62"/>
    <s v="#16"/>
    <x v="0"/>
    <n v="1.18"/>
    <n v="0.06"/>
    <n v="0.56000000000000005"/>
    <n v="0.31359999999999999"/>
    <x v="7"/>
    <s v="NA16QB"/>
    <n v="37"/>
    <s v="NA16QB-37"/>
  </r>
  <r>
    <x v="0"/>
    <x v="425"/>
    <s v="0.01-1.23"/>
    <n v="0.62"/>
    <s v="#30"/>
    <x v="1"/>
    <n v="1.23"/>
    <n v="0.01"/>
    <n v="0.61"/>
    <n v="0.37209999999999999"/>
    <x v="7"/>
    <s v="NA17RB"/>
    <n v="50"/>
    <s v="NA17RB-50"/>
  </r>
  <r>
    <x v="9"/>
    <x v="436"/>
    <s v="0.08-1.16"/>
    <n v="0.62"/>
    <s v="#20"/>
    <x v="3"/>
    <n v="1.1599999999999999"/>
    <n v="0.08"/>
    <n v="0.54"/>
    <n v="0.29160000000000003"/>
    <x v="7"/>
    <s v="NA15TE"/>
    <n v="60"/>
    <s v="NA15TE-60"/>
  </r>
  <r>
    <x v="1"/>
    <x v="436"/>
    <n v="-1.26"/>
    <n v="0.62"/>
    <s v="#8"/>
    <x v="3"/>
    <n v="1.25"/>
    <n v="-0.01"/>
    <n v="0.63"/>
    <n v="0.39689999999999998"/>
    <x v="7"/>
    <s v="NA16TE"/>
    <n v="59"/>
    <s v="NA16TE-59"/>
  </r>
  <r>
    <x v="13"/>
    <x v="426"/>
    <s v="0.03-1.21"/>
    <n v="0.62"/>
    <s v="#8"/>
    <x v="2"/>
    <n v="1.21"/>
    <n v="0.03"/>
    <n v="0.59"/>
    <n v="0.34810000000000002"/>
    <x v="7"/>
    <s v="NA8WR"/>
    <n v="79"/>
    <s v="NA8WR-79"/>
  </r>
  <r>
    <x v="7"/>
    <x v="427"/>
    <s v="0.07-1.17"/>
    <n v="0.62"/>
    <s v="#30"/>
    <x v="3"/>
    <n v="1.17"/>
    <n v="7.0000000000000007E-2"/>
    <n v="0.55000000000000004"/>
    <n v="0.30249999999999999"/>
    <x v="7"/>
    <s v="NA1TE"/>
    <n v="47"/>
    <s v="NA1TE-47"/>
  </r>
  <r>
    <x v="10"/>
    <x v="359"/>
    <s v="0.06-1.18"/>
    <n v="0.62"/>
    <s v="#26"/>
    <x v="0"/>
    <n v="1.18"/>
    <n v="0.06"/>
    <n v="0.56000000000000005"/>
    <n v="0.31359999999999999"/>
    <x v="7"/>
    <s v="NA2QB"/>
    <n v="28"/>
    <s v="NA2QB-28"/>
  </r>
  <r>
    <x v="0"/>
    <x v="404"/>
    <n v="-1.28"/>
    <n v="0.62"/>
    <s v="#6"/>
    <x v="2"/>
    <n v="1.26"/>
    <n v="-0.02"/>
    <n v="0.64"/>
    <n v="0.40960000000000002"/>
    <x v="7"/>
    <s v="NA17WR"/>
    <n v="90"/>
    <s v="NA17WR-90"/>
  </r>
  <r>
    <x v="5"/>
    <x v="413"/>
    <n v="-1.5"/>
    <n v="0.62"/>
    <s v="#29"/>
    <x v="2"/>
    <n v="1.37"/>
    <n v="-0.13"/>
    <n v="0.75"/>
    <n v="0.5625"/>
    <x v="7"/>
    <s v="NA13WR"/>
    <n v="85"/>
    <s v="NA13WR-85"/>
  </r>
  <r>
    <x v="5"/>
    <x v="346"/>
    <s v="0.11-1.13"/>
    <n v="0.62"/>
    <s v="#16"/>
    <x v="2"/>
    <n v="1.1299999999999999"/>
    <n v="0.11"/>
    <n v="0.51"/>
    <n v="0.2601"/>
    <x v="7"/>
    <s v="NA13WR"/>
    <n v="86"/>
    <s v="NA13WR-86"/>
  </r>
  <r>
    <x v="16"/>
    <x v="342"/>
    <n v="-1.34"/>
    <n v="0.62"/>
    <s v="#14"/>
    <x v="2"/>
    <n v="1.29"/>
    <n v="-0.05"/>
    <n v="0.67"/>
    <n v="0.44890000000000002"/>
    <x v="7"/>
    <s v="NA3WR"/>
    <n v="76"/>
    <s v="NA3WR-76"/>
  </r>
  <r>
    <x v="4"/>
    <x v="414"/>
    <n v="-1.3"/>
    <n v="0.62"/>
    <s v="#13"/>
    <x v="2"/>
    <n v="1.27"/>
    <n v="-0.03"/>
    <n v="0.65"/>
    <n v="0.42249999999999999"/>
    <x v="7"/>
    <s v="NA7WR"/>
    <n v="79"/>
    <s v="NA7WR-79"/>
  </r>
  <r>
    <x v="9"/>
    <x v="414"/>
    <s v="0.05-1.19"/>
    <n v="0.62"/>
    <s v="#2"/>
    <x v="2"/>
    <n v="1.19"/>
    <n v="0.05"/>
    <n v="0.56999999999999995"/>
    <n v="0.32490000000000002"/>
    <x v="7"/>
    <s v="NA15WR"/>
    <n v="90"/>
    <s v="NA15WR-90"/>
  </r>
  <r>
    <x v="1"/>
    <x v="317"/>
    <n v="-1.4400000000000002"/>
    <n v="0.62"/>
    <s v="#30"/>
    <x v="2"/>
    <n v="1.34"/>
    <n v="-0.1"/>
    <n v="0.72"/>
    <n v="0.51839999999999997"/>
    <x v="7"/>
    <s v="NA16WR"/>
    <n v="91"/>
    <s v="NA16WR-91"/>
  </r>
  <r>
    <x v="8"/>
    <x v="361"/>
    <n v="-1.4200000000000002"/>
    <n v="0.62"/>
    <s v="#17"/>
    <x v="2"/>
    <n v="1.33"/>
    <n v="-0.09"/>
    <n v="0.71"/>
    <n v="0.50409999999999999"/>
    <x v="7"/>
    <s v="NA6WR"/>
    <n v="86"/>
    <s v="NA6WR-86"/>
  </r>
  <r>
    <x v="4"/>
    <x v="361"/>
    <n v="-1.4000000000000001"/>
    <n v="0.62"/>
    <s v="#19"/>
    <x v="2"/>
    <n v="1.32"/>
    <n v="-0.08"/>
    <n v="0.7"/>
    <n v="0.49"/>
    <x v="7"/>
    <s v="NA7WR"/>
    <n v="80"/>
    <s v="NA7WR-80"/>
  </r>
  <r>
    <x v="4"/>
    <x v="382"/>
    <s v="0.05-1.19"/>
    <n v="0.62"/>
    <s v="#7"/>
    <x v="2"/>
    <n v="1.19"/>
    <n v="0.05"/>
    <n v="0.56999999999999995"/>
    <n v="0.32490000000000002"/>
    <x v="7"/>
    <s v="NA7WR"/>
    <n v="81"/>
    <s v="NA7WR-81"/>
  </r>
  <r>
    <x v="7"/>
    <x v="440"/>
    <n v="-1.28"/>
    <n v="0.62"/>
    <s v="#10"/>
    <x v="2"/>
    <n v="1.26"/>
    <n v="-0.02"/>
    <n v="0.64"/>
    <n v="0.40960000000000002"/>
    <x v="7"/>
    <s v="NA1WR"/>
    <n v="63"/>
    <s v="NA1WR-63"/>
  </r>
  <r>
    <x v="8"/>
    <x v="328"/>
    <s v="0.03-1.21"/>
    <n v="0.62"/>
    <s v="#2"/>
    <x v="2"/>
    <n v="1.21"/>
    <n v="0.03"/>
    <n v="0.59"/>
    <n v="0.34810000000000002"/>
    <x v="7"/>
    <s v="NA6WR"/>
    <n v="87"/>
    <s v="NA6WR-87"/>
  </r>
  <r>
    <x v="13"/>
    <x v="405"/>
    <n v="-1.26"/>
    <n v="0.62"/>
    <s v="#28"/>
    <x v="1"/>
    <n v="1.25"/>
    <n v="-0.01"/>
    <n v="0.63"/>
    <n v="0.39689999999999998"/>
    <x v="7"/>
    <s v="NA8RB"/>
    <n v="49"/>
    <s v="NA8RB-49"/>
  </r>
  <r>
    <x v="8"/>
    <x v="443"/>
    <n v="-1.48"/>
    <n v="0.62"/>
    <s v="#24"/>
    <x v="2"/>
    <n v="1.36"/>
    <n v="-0.12"/>
    <n v="0.74"/>
    <n v="0.54759999999999998"/>
    <x v="7"/>
    <s v="NA6WR"/>
    <n v="88"/>
    <s v="NA6WR-88"/>
  </r>
  <r>
    <x v="6"/>
    <x v="443"/>
    <n v="-1.5799999999999998"/>
    <n v="0.62"/>
    <s v="#28"/>
    <x v="2"/>
    <n v="1.41"/>
    <n v="-0.17"/>
    <n v="0.79"/>
    <n v="0.62409999999999999"/>
    <x v="7"/>
    <s v="NA12WR"/>
    <n v="87"/>
    <s v="NA12WR-87"/>
  </r>
  <r>
    <x v="15"/>
    <x v="355"/>
    <n v="-1.36"/>
    <n v="0.62"/>
    <s v="#18"/>
    <x v="2"/>
    <n v="1.3"/>
    <n v="-0.06"/>
    <n v="0.68"/>
    <n v="0.46239999999999998"/>
    <x v="7"/>
    <s v="NA10WR"/>
    <n v="80"/>
    <s v="NA10WR-80"/>
  </r>
  <r>
    <x v="10"/>
    <x v="401"/>
    <n v="-1.6199999999999999"/>
    <n v="0.62"/>
    <s v="#17"/>
    <x v="2"/>
    <n v="1.43"/>
    <n v="-0.19"/>
    <n v="0.81"/>
    <n v="0.65610000000000002"/>
    <x v="7"/>
    <s v="NA2WR"/>
    <n v="69"/>
    <s v="NA2WR-69"/>
  </r>
  <r>
    <x v="12"/>
    <x v="416"/>
    <n v="-1.28"/>
    <n v="0.62"/>
    <s v="#30"/>
    <x v="3"/>
    <n v="1.26"/>
    <n v="-0.02"/>
    <n v="0.64"/>
    <n v="0.40960000000000002"/>
    <x v="7"/>
    <s v="NA5TE"/>
    <n v="62"/>
    <s v="NA5TE-62"/>
  </r>
  <r>
    <x v="3"/>
    <x v="432"/>
    <s v="0.03-1.21"/>
    <n v="0.62"/>
    <s v="#20"/>
    <x v="2"/>
    <n v="1.21"/>
    <n v="0.03"/>
    <n v="0.59"/>
    <n v="0.34810000000000002"/>
    <x v="7"/>
    <s v="NA11WR"/>
    <n v="73"/>
    <s v="NA11WR-73"/>
  </r>
  <r>
    <x v="10"/>
    <x v="289"/>
    <n v="-1.3800000000000001"/>
    <n v="0.62"/>
    <s v="#14"/>
    <x v="3"/>
    <n v="1.31"/>
    <n v="-7.0000000000000007E-2"/>
    <n v="0.69"/>
    <n v="0.47610000000000002"/>
    <x v="7"/>
    <s v="NA2TE"/>
    <n v="51"/>
    <s v="NA2TE-51"/>
  </r>
  <r>
    <x v="1"/>
    <x v="299"/>
    <n v="-1.98"/>
    <n v="0.62"/>
    <s v="#7"/>
    <x v="2"/>
    <n v="1.61"/>
    <n v="-0.37"/>
    <n v="0.99"/>
    <n v="0.98009999999999997"/>
    <x v="7"/>
    <s v="NA16WR"/>
    <n v="92"/>
    <s v="NA16WR-92"/>
  </r>
  <r>
    <x v="11"/>
    <x v="293"/>
    <n v="-1.3"/>
    <n v="0.62"/>
    <s v="#5"/>
    <x v="2"/>
    <n v="1.27"/>
    <n v="-0.03"/>
    <n v="0.65"/>
    <n v="0.42249999999999999"/>
    <x v="7"/>
    <s v="NA14WR"/>
    <n v="86"/>
    <s v="NA14WR-86"/>
  </r>
  <r>
    <x v="1"/>
    <x v="423"/>
    <n v="-1.32"/>
    <n v="0.62"/>
    <s v="#17"/>
    <x v="3"/>
    <n v="1.28"/>
    <n v="-0.04"/>
    <n v="0.66"/>
    <n v="0.43559999999999999"/>
    <x v="7"/>
    <s v="NA16TE"/>
    <n v="60"/>
    <s v="NA16TE-60"/>
  </r>
  <r>
    <x v="0"/>
    <x v="423"/>
    <n v="-1.3"/>
    <n v="0.62"/>
    <s v="#24"/>
    <x v="3"/>
    <n v="1.27"/>
    <n v="-0.03"/>
    <n v="0.65"/>
    <n v="0.42249999999999999"/>
    <x v="7"/>
    <s v="NA17TE"/>
    <n v="60"/>
    <s v="NA17TE-60"/>
  </r>
  <r>
    <x v="11"/>
    <x v="389"/>
    <n v="-1.72"/>
    <n v="0.62"/>
    <s v="#1"/>
    <x v="2"/>
    <n v="1.48"/>
    <n v="-0.24"/>
    <n v="0.86"/>
    <n v="0.73960000000000004"/>
    <x v="7"/>
    <s v="NA14WR"/>
    <n v="87"/>
    <s v="NA14WR-87"/>
  </r>
  <r>
    <x v="11"/>
    <x v="402"/>
    <n v="-1.36"/>
    <n v="0.62"/>
    <s v="#21"/>
    <x v="2"/>
    <n v="1.3"/>
    <n v="-0.06"/>
    <n v="0.68"/>
    <n v="0.46239999999999998"/>
    <x v="7"/>
    <s v="NA14WR"/>
    <n v="88"/>
    <s v="NA14WR-88"/>
  </r>
  <r>
    <x v="5"/>
    <x v="391"/>
    <n v="-1.26"/>
    <n v="0.62"/>
    <s v="#6"/>
    <x v="2"/>
    <n v="1.25"/>
    <n v="-0.01"/>
    <n v="0.63"/>
    <n v="0.39689999999999998"/>
    <x v="7"/>
    <s v="NA13WR"/>
    <n v="87"/>
    <s v="NA13WR-87"/>
  </r>
  <r>
    <x v="4"/>
    <x v="444"/>
    <s v="0.09-1.15"/>
    <n v="0.62"/>
    <s v="#17"/>
    <x v="1"/>
    <n v="1.1499999999999999"/>
    <n v="0.09"/>
    <n v="0.53"/>
    <n v="0.28089999999999998"/>
    <x v="7"/>
    <s v="NA7RB"/>
    <n v="43"/>
    <s v="NA7RB-43"/>
  </r>
  <r>
    <x v="1"/>
    <x v="444"/>
    <s v="0.09-1.15"/>
    <n v="0.62"/>
    <s v="#18"/>
    <x v="1"/>
    <n v="1.1499999999999999"/>
    <n v="0.09"/>
    <n v="0.53"/>
    <n v="0.28089999999999998"/>
    <x v="7"/>
    <s v="NA16RB"/>
    <n v="54"/>
    <s v="NA16RB-54"/>
  </r>
  <r>
    <x v="3"/>
    <x v="429"/>
    <n v="-1.34"/>
    <n v="0.62"/>
    <s v="#19"/>
    <x v="1"/>
    <n v="1.29"/>
    <n v="-0.05"/>
    <n v="0.67"/>
    <n v="0.44890000000000002"/>
    <x v="7"/>
    <s v="NA11RB"/>
    <n v="46"/>
    <s v="NA11RB-46"/>
  </r>
  <r>
    <x v="9"/>
    <x v="429"/>
    <s v="0.00-1.24"/>
    <n v="0.62"/>
    <s v="#31"/>
    <x v="1"/>
    <n v="1.24"/>
    <n v="0"/>
    <n v="0.62"/>
    <n v="0.38440000000000002"/>
    <x v="7"/>
    <s v="NA15RB"/>
    <n v="55"/>
    <s v="NA15RB-55"/>
  </r>
  <r>
    <x v="1"/>
    <x v="429"/>
    <n v="-1.34"/>
    <n v="0.62"/>
    <s v="#20"/>
    <x v="1"/>
    <n v="1.29"/>
    <n v="-0.05"/>
    <n v="0.67"/>
    <n v="0.44890000000000002"/>
    <x v="7"/>
    <s v="NA16RB"/>
    <n v="55"/>
    <s v="NA16RB-55"/>
  </r>
  <r>
    <x v="12"/>
    <x v="439"/>
    <n v="-1.52"/>
    <n v="0.62"/>
    <s v="#14"/>
    <x v="2"/>
    <n v="1.38"/>
    <n v="-0.14000000000000001"/>
    <n v="0.76"/>
    <n v="0.5776"/>
    <x v="7"/>
    <s v="NA5WR"/>
    <n v="91"/>
    <s v="NA5WR-91"/>
  </r>
  <r>
    <x v="15"/>
    <x v="421"/>
    <n v="-1.52"/>
    <n v="0.62"/>
    <s v="#4"/>
    <x v="2"/>
    <n v="1.38"/>
    <n v="-0.14000000000000001"/>
    <n v="0.76"/>
    <n v="0.5776"/>
    <x v="7"/>
    <s v="NA10WR"/>
    <n v="81"/>
    <s v="NA10WR-81"/>
  </r>
  <r>
    <x v="0"/>
    <x v="421"/>
    <n v="-1.4400000000000002"/>
    <n v="0.62"/>
    <s v="#24"/>
    <x v="2"/>
    <n v="1.34"/>
    <n v="-0.1"/>
    <n v="0.72"/>
    <n v="0.51839999999999997"/>
    <x v="7"/>
    <s v="NA17WR"/>
    <n v="91"/>
    <s v="NA17WR-91"/>
  </r>
  <r>
    <x v="4"/>
    <x v="434"/>
    <n v="-1.52"/>
    <n v="0.62"/>
    <s v="#31"/>
    <x v="2"/>
    <n v="1.38"/>
    <n v="-0.14000000000000001"/>
    <n v="0.76"/>
    <n v="0.5776"/>
    <x v="7"/>
    <s v="NA7WR"/>
    <n v="82"/>
    <s v="NA7WR-82"/>
  </r>
  <r>
    <x v="11"/>
    <x v="434"/>
    <s v="0.02-1.22"/>
    <n v="0.62"/>
    <s v="#7"/>
    <x v="2"/>
    <n v="1.22"/>
    <n v="0.02"/>
    <n v="0.6"/>
    <n v="0.36"/>
    <x v="7"/>
    <s v="NA14WR"/>
    <n v="89"/>
    <s v="NA14WR-89"/>
  </r>
  <r>
    <x v="10"/>
    <x v="349"/>
    <n v="-2.5"/>
    <n v="0.62"/>
    <s v="#32"/>
    <x v="1"/>
    <n v="1.87"/>
    <n v="-0.63"/>
    <n v="1.25"/>
    <n v="1.5625"/>
    <x v="7"/>
    <s v="NA2RB"/>
    <n v="41"/>
    <s v="NA2RB-41"/>
  </r>
  <r>
    <x v="14"/>
    <x v="408"/>
    <n v="-1.5"/>
    <n v="0.62"/>
    <s v="#15"/>
    <x v="2"/>
    <n v="1.37"/>
    <n v="-0.13"/>
    <n v="0.75"/>
    <n v="0.5625"/>
    <x v="7"/>
    <s v="NA4WR"/>
    <n v="68"/>
    <s v="NA4WR-68"/>
  </r>
  <r>
    <x v="16"/>
    <x v="368"/>
    <n v="-1.48"/>
    <n v="0.62"/>
    <s v="#32"/>
    <x v="2"/>
    <n v="1.36"/>
    <n v="-0.12"/>
    <n v="0.74"/>
    <n v="0.54759999999999998"/>
    <x v="7"/>
    <s v="NA3WR"/>
    <n v="77"/>
    <s v="NA3WR-77"/>
  </r>
  <r>
    <x v="14"/>
    <x v="394"/>
    <n v="-1.32"/>
    <n v="0.62"/>
    <s v="#22"/>
    <x v="1"/>
    <n v="1.28"/>
    <n v="-0.04"/>
    <n v="0.66"/>
    <n v="0.43559999999999999"/>
    <x v="7"/>
    <s v="NA4RB"/>
    <n v="47"/>
    <s v="NA4RB-47"/>
  </r>
  <r>
    <x v="15"/>
    <x v="205"/>
    <s v="0.00-1.24"/>
    <n v="0.62"/>
    <s v="#3"/>
    <x v="2"/>
    <n v="1.24"/>
    <n v="0"/>
    <n v="0.62"/>
    <n v="0.38440000000000002"/>
    <x v="7"/>
    <s v="NA10WR"/>
    <n v="82"/>
    <s v="NA10WR-82"/>
  </r>
  <r>
    <x v="14"/>
    <x v="395"/>
    <s v="0.10-1.12"/>
    <n v="0.61"/>
    <s v="#2"/>
    <x v="0"/>
    <n v="1.1200000000000001"/>
    <n v="0.1"/>
    <n v="0.51"/>
    <n v="0.2601"/>
    <x v="7"/>
    <s v="NA4QB"/>
    <n v="32"/>
    <s v="NA4QB-32"/>
  </r>
  <r>
    <x v="15"/>
    <x v="395"/>
    <s v="0.12-1.10"/>
    <n v="0.61"/>
    <s v="#20"/>
    <x v="0"/>
    <n v="1.1000000000000001"/>
    <n v="0.12"/>
    <n v="0.49"/>
    <n v="0.24010000000000001"/>
    <x v="7"/>
    <s v="NA10QB"/>
    <n v="31"/>
    <s v="NA10QB-31"/>
  </r>
  <r>
    <x v="10"/>
    <x v="425"/>
    <s v="0.03-1.19"/>
    <n v="0.61"/>
    <s v="#29"/>
    <x v="1"/>
    <n v="1.19"/>
    <n v="0.03"/>
    <n v="0.57999999999999996"/>
    <n v="0.33639999999999998"/>
    <x v="7"/>
    <s v="NA2RB"/>
    <n v="42"/>
    <s v="NA2RB-42"/>
  </r>
  <r>
    <x v="15"/>
    <x v="436"/>
    <s v="0.03-1.19"/>
    <n v="0.61"/>
    <s v="#13"/>
    <x v="3"/>
    <n v="1.19"/>
    <n v="0.03"/>
    <n v="0.57999999999999996"/>
    <n v="0.33639999999999998"/>
    <x v="7"/>
    <s v="NA10TE"/>
    <n v="52"/>
    <s v="NA10TE-52"/>
  </r>
  <r>
    <x v="11"/>
    <x v="436"/>
    <n v="-1.26"/>
    <n v="0.61"/>
    <s v="#1"/>
    <x v="3"/>
    <n v="1.24"/>
    <n v="-0.02"/>
    <n v="0.63"/>
    <n v="0.39689999999999998"/>
    <x v="7"/>
    <s v="NA14TE"/>
    <n v="61"/>
    <s v="NA14TE-61"/>
  </r>
  <r>
    <x v="15"/>
    <x v="426"/>
    <n v="-1.24"/>
    <n v="0.61"/>
    <s v="#5"/>
    <x v="2"/>
    <n v="1.23"/>
    <n v="-0.01"/>
    <n v="0.62"/>
    <n v="0.38440000000000002"/>
    <x v="7"/>
    <s v="NA10WR"/>
    <n v="83"/>
    <s v="NA10WR-83"/>
  </r>
  <r>
    <x v="5"/>
    <x v="426"/>
    <s v="0.07-1.15"/>
    <n v="0.61"/>
    <s v="#10"/>
    <x v="2"/>
    <n v="1.1499999999999999"/>
    <n v="7.0000000000000007E-2"/>
    <n v="0.54"/>
    <n v="0.29160000000000003"/>
    <x v="7"/>
    <s v="NA13WR"/>
    <n v="88"/>
    <s v="NA13WR-88"/>
  </r>
  <r>
    <x v="14"/>
    <x v="451"/>
    <n v="-1.32"/>
    <n v="0.61"/>
    <s v="#31"/>
    <x v="3"/>
    <n v="1.27"/>
    <n v="-0.05"/>
    <n v="0.66"/>
    <n v="0.43559999999999999"/>
    <x v="7"/>
    <s v="NA4TE"/>
    <n v="52"/>
    <s v="NA4TE-52"/>
  </r>
  <r>
    <x v="11"/>
    <x v="449"/>
    <n v="-1.64"/>
    <n v="0.61"/>
    <s v="#31"/>
    <x v="2"/>
    <n v="1.43"/>
    <n v="-0.21"/>
    <n v="0.82"/>
    <n v="0.6724"/>
    <x v="7"/>
    <s v="NA14WR"/>
    <n v="90"/>
    <s v="NA14WR-90"/>
  </r>
  <r>
    <x v="8"/>
    <x v="336"/>
    <s v="0.06-1.16"/>
    <n v="0.61"/>
    <s v="#23"/>
    <x v="1"/>
    <n v="1.1599999999999999"/>
    <n v="0.06"/>
    <n v="0.55000000000000004"/>
    <n v="0.30249999999999999"/>
    <x v="7"/>
    <s v="NA6RB"/>
    <n v="46"/>
    <s v="NA6RB-46"/>
  </r>
  <r>
    <x v="8"/>
    <x v="345"/>
    <n v="-1.26"/>
    <n v="0.61"/>
    <s v="#31"/>
    <x v="1"/>
    <n v="1.24"/>
    <n v="-0.02"/>
    <n v="0.63"/>
    <n v="0.39689999999999998"/>
    <x v="7"/>
    <s v="NA6RB"/>
    <n v="47"/>
    <s v="NA6RB-47"/>
  </r>
  <r>
    <x v="5"/>
    <x v="404"/>
    <n v="-1.28"/>
    <n v="0.61"/>
    <s v="#6"/>
    <x v="2"/>
    <n v="1.25"/>
    <n v="-0.03"/>
    <n v="0.64"/>
    <n v="0.40960000000000002"/>
    <x v="7"/>
    <s v="NA13WR"/>
    <n v="89"/>
    <s v="NA13WR-89"/>
  </r>
  <r>
    <x v="2"/>
    <x v="452"/>
    <n v="-1.48"/>
    <n v="0.61"/>
    <s v="#28"/>
    <x v="1"/>
    <n v="1.35"/>
    <n v="-0.13"/>
    <n v="0.74"/>
    <n v="0.54759999999999998"/>
    <x v="7"/>
    <s v="NA9RB"/>
    <n v="44"/>
    <s v="NA9RB-44"/>
  </r>
  <r>
    <x v="12"/>
    <x v="342"/>
    <n v="-1.5999999999999999"/>
    <n v="0.61"/>
    <s v="#32"/>
    <x v="2"/>
    <n v="1.41"/>
    <n v="-0.19"/>
    <n v="0.8"/>
    <n v="0.64"/>
    <x v="7"/>
    <s v="NA5WR"/>
    <n v="92"/>
    <s v="NA5WR-92"/>
  </r>
  <r>
    <x v="7"/>
    <x v="363"/>
    <n v="-1.28"/>
    <n v="0.61"/>
    <s v="#23"/>
    <x v="2"/>
    <n v="1.25"/>
    <n v="-0.03"/>
    <n v="0.64"/>
    <n v="0.40960000000000002"/>
    <x v="7"/>
    <s v="NA1WR"/>
    <n v="64"/>
    <s v="NA1WR-64"/>
  </r>
  <r>
    <x v="4"/>
    <x v="450"/>
    <n v="-1.28"/>
    <n v="0.61"/>
    <s v="#17"/>
    <x v="3"/>
    <n v="1.25"/>
    <n v="-0.03"/>
    <n v="0.64"/>
    <n v="0.40960000000000002"/>
    <x v="7"/>
    <s v="NA7TE"/>
    <n v="55"/>
    <s v="NA7TE-55"/>
  </r>
  <r>
    <x v="5"/>
    <x v="382"/>
    <s v="0.13-1.09"/>
    <n v="0.61"/>
    <s v="#12"/>
    <x v="2"/>
    <n v="1.0900000000000001"/>
    <n v="0.13"/>
    <n v="0.48"/>
    <n v="0.23039999999999999"/>
    <x v="7"/>
    <s v="NA13WR"/>
    <n v="90"/>
    <s v="NA13WR-90"/>
  </r>
  <r>
    <x v="1"/>
    <x v="428"/>
    <n v="-1.28"/>
    <n v="0.61"/>
    <s v="#16"/>
    <x v="1"/>
    <n v="1.25"/>
    <n v="-0.03"/>
    <n v="0.64"/>
    <n v="0.40960000000000002"/>
    <x v="7"/>
    <s v="NA16RB"/>
    <n v="56"/>
    <s v="NA16RB-56"/>
  </r>
  <r>
    <x v="13"/>
    <x v="350"/>
    <s v="0.05-1.17"/>
    <n v="0.61"/>
    <s v="#10"/>
    <x v="0"/>
    <n v="1.17"/>
    <n v="0.05"/>
    <n v="0.56000000000000005"/>
    <n v="0.31359999999999999"/>
    <x v="7"/>
    <s v="NA8QB"/>
    <n v="32"/>
    <s v="NA8QB-32"/>
  </r>
  <r>
    <x v="3"/>
    <x v="350"/>
    <s v="0.02-1.20"/>
    <n v="0.61"/>
    <s v="#8"/>
    <x v="0"/>
    <n v="1.2"/>
    <n v="0.02"/>
    <n v="0.59"/>
    <n v="0.34810000000000002"/>
    <x v="7"/>
    <s v="NA11QB"/>
    <n v="28"/>
    <s v="NA11QB-28"/>
  </r>
  <r>
    <x v="6"/>
    <x v="324"/>
    <n v="-1.8800000000000001"/>
    <n v="0.61"/>
    <s v="#4"/>
    <x v="3"/>
    <n v="1.55"/>
    <n v="-0.33"/>
    <n v="0.94"/>
    <n v="0.88360000000000005"/>
    <x v="7"/>
    <s v="NA12TE"/>
    <n v="53"/>
    <s v="NA12TE-53"/>
  </r>
  <r>
    <x v="1"/>
    <x v="328"/>
    <n v="-1.24"/>
    <n v="0.61"/>
    <s v="#1"/>
    <x v="2"/>
    <n v="1.23"/>
    <n v="-0.01"/>
    <n v="0.62"/>
    <n v="0.38440000000000002"/>
    <x v="7"/>
    <s v="NA16WR"/>
    <n v="93"/>
    <s v="NA16WR-93"/>
  </r>
  <r>
    <x v="4"/>
    <x v="353"/>
    <n v="-1.5"/>
    <n v="0.61"/>
    <s v="#14"/>
    <x v="2"/>
    <n v="1.36"/>
    <n v="-0.14000000000000001"/>
    <n v="0.75"/>
    <n v="0.5625"/>
    <x v="7"/>
    <s v="NA7WR"/>
    <n v="83"/>
    <s v="NA7WR-83"/>
  </r>
  <r>
    <x v="5"/>
    <x v="329"/>
    <s v="0.07-1.15"/>
    <n v="0.61"/>
    <s v="#3"/>
    <x v="0"/>
    <n v="1.1499999999999999"/>
    <n v="7.0000000000000007E-2"/>
    <n v="0.54"/>
    <n v="0.29160000000000003"/>
    <x v="7"/>
    <s v="NA13QB"/>
    <n v="38"/>
    <s v="NA13QB-38"/>
  </r>
  <r>
    <x v="5"/>
    <x v="442"/>
    <n v="-1.3"/>
    <n v="0.61"/>
    <s v="#24"/>
    <x v="3"/>
    <n v="1.26"/>
    <n v="-0.04"/>
    <n v="0.65"/>
    <n v="0.42249999999999999"/>
    <x v="7"/>
    <s v="NA13TE"/>
    <n v="57"/>
    <s v="NA13TE-57"/>
  </r>
  <r>
    <x v="5"/>
    <x v="355"/>
    <s v="0.02-1.20"/>
    <n v="0.61"/>
    <s v="#5"/>
    <x v="2"/>
    <n v="1.2"/>
    <n v="0.02"/>
    <n v="0.59"/>
    <n v="0.34810000000000002"/>
    <x v="7"/>
    <s v="NA13WR"/>
    <n v="91"/>
    <s v="NA13WR-91"/>
  </r>
  <r>
    <x v="0"/>
    <x v="355"/>
    <n v="-1.34"/>
    <n v="0.61"/>
    <s v="#23"/>
    <x v="2"/>
    <n v="1.28"/>
    <n v="-0.06"/>
    <n v="0.67"/>
    <n v="0.44890000000000002"/>
    <x v="7"/>
    <s v="NA17WR"/>
    <n v="92"/>
    <s v="NA17WR-92"/>
  </r>
  <r>
    <x v="7"/>
    <x v="416"/>
    <s v="0.13-1.09"/>
    <n v="0.61"/>
    <s v="#13"/>
    <x v="3"/>
    <n v="1.0900000000000001"/>
    <n v="0.13"/>
    <n v="0.48"/>
    <n v="0.23039999999999999"/>
    <x v="7"/>
    <s v="NA1TE"/>
    <n v="48"/>
    <s v="NA1TE-48"/>
  </r>
  <r>
    <x v="9"/>
    <x v="266"/>
    <s v="0.03-1.19"/>
    <n v="0.61"/>
    <s v="#10"/>
    <x v="1"/>
    <n v="1.19"/>
    <n v="0.03"/>
    <n v="0.57999999999999996"/>
    <n v="0.33639999999999998"/>
    <x v="7"/>
    <s v="NA15RB"/>
    <n v="56"/>
    <s v="NA15RB-56"/>
  </r>
  <r>
    <x v="6"/>
    <x v="377"/>
    <n v="-1.4200000000000002"/>
    <n v="0.61"/>
    <s v="#31"/>
    <x v="2"/>
    <n v="1.32"/>
    <n v="-0.1"/>
    <n v="0.71"/>
    <n v="0.50409999999999999"/>
    <x v="7"/>
    <s v="NA12WR"/>
    <n v="88"/>
    <s v="NA12WR-88"/>
  </r>
  <r>
    <x v="5"/>
    <x v="318"/>
    <n v="-1.5599999999999998"/>
    <n v="0.61"/>
    <s v="#22"/>
    <x v="2"/>
    <n v="1.39"/>
    <n v="-0.17"/>
    <n v="0.78"/>
    <n v="0.60840000000000005"/>
    <x v="7"/>
    <s v="NA13WR"/>
    <n v="92"/>
    <s v="NA13WR-92"/>
  </r>
  <r>
    <x v="4"/>
    <x v="438"/>
    <s v="0.07-1.15"/>
    <n v="0.61"/>
    <s v="#22"/>
    <x v="3"/>
    <n v="1.1499999999999999"/>
    <n v="7.0000000000000007E-2"/>
    <n v="0.54"/>
    <n v="0.29160000000000003"/>
    <x v="7"/>
    <s v="NA7TE"/>
    <n v="56"/>
    <s v="NA7TE-56"/>
  </r>
  <r>
    <x v="9"/>
    <x v="438"/>
    <s v="0.05-1.17"/>
    <n v="0.61"/>
    <s v="#13"/>
    <x v="3"/>
    <n v="1.17"/>
    <n v="0.05"/>
    <n v="0.56000000000000005"/>
    <n v="0.31359999999999999"/>
    <x v="7"/>
    <s v="NA15TE"/>
    <n v="61"/>
    <s v="NA15TE-61"/>
  </r>
  <r>
    <x v="8"/>
    <x v="423"/>
    <n v="-1.4000000000000001"/>
    <n v="0.61"/>
    <s v="#27"/>
    <x v="3"/>
    <n v="1.31"/>
    <n v="-0.09"/>
    <n v="0.7"/>
    <n v="0.49"/>
    <x v="7"/>
    <s v="NA6TE"/>
    <n v="52"/>
    <s v="NA6TE-52"/>
  </r>
  <r>
    <x v="7"/>
    <x v="183"/>
    <s v="0.03-1.19"/>
    <n v="0.61"/>
    <s v="#1"/>
    <x v="1"/>
    <n v="1.19"/>
    <n v="0.03"/>
    <n v="0.57999999999999996"/>
    <n v="0.33639999999999998"/>
    <x v="7"/>
    <s v="NA1RB"/>
    <n v="38"/>
    <s v="NA1RB-38"/>
  </r>
  <r>
    <x v="6"/>
    <x v="303"/>
    <s v="0.05-1.17"/>
    <n v="0.61"/>
    <s v="#2"/>
    <x v="1"/>
    <n v="1.17"/>
    <n v="0.05"/>
    <n v="0.56000000000000005"/>
    <n v="0.31359999999999999"/>
    <x v="7"/>
    <s v="NA12RB"/>
    <n v="48"/>
    <s v="NA12RB-48"/>
  </r>
  <r>
    <x v="2"/>
    <x v="402"/>
    <s v="0.00-1.22"/>
    <n v="0.61"/>
    <s v="#12"/>
    <x v="2"/>
    <n v="1.22"/>
    <n v="0"/>
    <n v="0.61"/>
    <n v="0.37209999999999999"/>
    <x v="7"/>
    <s v="NA9WR"/>
    <n v="80"/>
    <s v="NA9WR-80"/>
  </r>
  <r>
    <x v="6"/>
    <x v="402"/>
    <n v="-1.36"/>
    <n v="0.61"/>
    <s v="#30"/>
    <x v="2"/>
    <n v="1.29"/>
    <n v="-7.0000000000000007E-2"/>
    <n v="0.68"/>
    <n v="0.46239999999999998"/>
    <x v="7"/>
    <s v="NA12WR"/>
    <n v="89"/>
    <s v="NA12WR-89"/>
  </r>
  <r>
    <x v="6"/>
    <x v="453"/>
    <s v="0.00-1.22"/>
    <n v="0.61"/>
    <s v="#15"/>
    <x v="3"/>
    <n v="1.22"/>
    <n v="0"/>
    <n v="0.61"/>
    <n v="0.37209999999999999"/>
    <x v="7"/>
    <s v="NA12TE"/>
    <n v="54"/>
    <s v="NA12TE-54"/>
  </r>
  <r>
    <x v="0"/>
    <x v="453"/>
    <n v="-1.24"/>
    <n v="0.61"/>
    <s v="#20"/>
    <x v="3"/>
    <n v="1.23"/>
    <n v="-0.01"/>
    <n v="0.62"/>
    <n v="0.38440000000000002"/>
    <x v="7"/>
    <s v="NA17TE"/>
    <n v="61"/>
    <s v="NA17TE-61"/>
  </r>
  <r>
    <x v="8"/>
    <x v="444"/>
    <s v="0.09-1.13"/>
    <n v="0.61"/>
    <s v="#24"/>
    <x v="1"/>
    <n v="1.1299999999999999"/>
    <n v="0.09"/>
    <n v="0.52"/>
    <n v="0.27039999999999997"/>
    <x v="7"/>
    <s v="NA6RB"/>
    <n v="48"/>
    <s v="NA6RB-48"/>
  </r>
  <r>
    <x v="16"/>
    <x v="447"/>
    <n v="-1.28"/>
    <n v="0.61"/>
    <s v="#17"/>
    <x v="1"/>
    <n v="1.25"/>
    <n v="-0.03"/>
    <n v="0.64"/>
    <n v="0.40960000000000002"/>
    <x v="7"/>
    <s v="NA3RB"/>
    <n v="48"/>
    <s v="NA3RB-48"/>
  </r>
  <r>
    <x v="8"/>
    <x v="407"/>
    <n v="-1.4400000000000002"/>
    <n v="0.61"/>
    <s v="#1"/>
    <x v="2"/>
    <n v="1.33"/>
    <n v="-0.11"/>
    <n v="0.72"/>
    <n v="0.51839999999999997"/>
    <x v="7"/>
    <s v="NA6WR"/>
    <n v="89"/>
    <s v="NA6WR-89"/>
  </r>
  <r>
    <x v="15"/>
    <x v="433"/>
    <s v="0.00-1.22"/>
    <n v="0.61"/>
    <s v="#29"/>
    <x v="3"/>
    <n v="1.22"/>
    <n v="0"/>
    <n v="0.61"/>
    <n v="0.37209999999999999"/>
    <x v="7"/>
    <s v="NA10TE"/>
    <n v="53"/>
    <s v="NA10TE-53"/>
  </r>
  <r>
    <x v="9"/>
    <x v="409"/>
    <n v="-1.78"/>
    <n v="0.61"/>
    <s v="#28"/>
    <x v="1"/>
    <n v="1.5"/>
    <n v="-0.28000000000000003"/>
    <n v="0.89"/>
    <n v="0.79210000000000003"/>
    <x v="7"/>
    <s v="NA15RB"/>
    <n v="57"/>
    <s v="NA15RB-57"/>
  </r>
  <r>
    <x v="10"/>
    <x v="429"/>
    <s v="0.05-1.17"/>
    <n v="0.61"/>
    <s v="#19"/>
    <x v="1"/>
    <n v="1.17"/>
    <n v="0.05"/>
    <n v="0.56000000000000005"/>
    <n v="0.31359999999999999"/>
    <x v="7"/>
    <s v="NA2RB"/>
    <n v="43"/>
    <s v="NA2RB-43"/>
  </r>
  <r>
    <x v="15"/>
    <x v="454"/>
    <s v="0.01-1.21"/>
    <n v="0.61"/>
    <s v="#23"/>
    <x v="3"/>
    <n v="1.21"/>
    <n v="0.01"/>
    <n v="0.6"/>
    <n v="0.36"/>
    <x v="7"/>
    <s v="NA10TE"/>
    <n v="54"/>
    <s v="NA10TE-54"/>
  </r>
  <r>
    <x v="14"/>
    <x v="434"/>
    <n v="-1.3"/>
    <n v="0.61"/>
    <s v="#25"/>
    <x v="2"/>
    <n v="1.26"/>
    <n v="-0.04"/>
    <n v="0.65"/>
    <n v="0.42249999999999999"/>
    <x v="7"/>
    <s v="NA4WR"/>
    <n v="69"/>
    <s v="NA4WR-69"/>
  </r>
  <r>
    <x v="15"/>
    <x v="434"/>
    <n v="-1.4200000000000002"/>
    <n v="0.61"/>
    <s v="#29"/>
    <x v="2"/>
    <n v="1.32"/>
    <n v="-0.1"/>
    <n v="0.71"/>
    <n v="0.50409999999999999"/>
    <x v="7"/>
    <s v="NA10WR"/>
    <n v="84"/>
    <s v="NA10WR-84"/>
  </r>
  <r>
    <x v="12"/>
    <x v="455"/>
    <n v="-1.28"/>
    <n v="0.61"/>
    <s v="#12"/>
    <x v="0"/>
    <n v="1.25"/>
    <n v="-0.03"/>
    <n v="0.64"/>
    <n v="0.40960000000000002"/>
    <x v="7"/>
    <s v="NA5QB"/>
    <n v="32"/>
    <s v="NA5QB-32"/>
  </r>
  <r>
    <x v="8"/>
    <x v="368"/>
    <n v="-1.4200000000000002"/>
    <n v="0.61"/>
    <s v="#21"/>
    <x v="2"/>
    <n v="1.32"/>
    <n v="-0.1"/>
    <n v="0.71"/>
    <n v="0.50409999999999999"/>
    <x v="7"/>
    <s v="NA6WR"/>
    <n v="90"/>
    <s v="NA6WR-90"/>
  </r>
  <r>
    <x v="6"/>
    <x v="368"/>
    <n v="-1.5"/>
    <n v="0.61"/>
    <s v="#31"/>
    <x v="2"/>
    <n v="1.36"/>
    <n v="-0.14000000000000001"/>
    <n v="0.75"/>
    <n v="0.5625"/>
    <x v="7"/>
    <s v="NA12WR"/>
    <n v="90"/>
    <s v="NA12WR-90"/>
  </r>
  <r>
    <x v="15"/>
    <x v="394"/>
    <n v="-1.34"/>
    <n v="0.61"/>
    <s v="#19"/>
    <x v="1"/>
    <n v="1.28"/>
    <n v="-0.06"/>
    <n v="0.67"/>
    <n v="0.44890000000000002"/>
    <x v="7"/>
    <s v="NA10RB"/>
    <n v="51"/>
    <s v="NA10RB-51"/>
  </r>
  <r>
    <x v="6"/>
    <x v="205"/>
    <n v="-1.48"/>
    <n v="0.61"/>
    <s v="#24"/>
    <x v="2"/>
    <n v="1.35"/>
    <n v="-0.13"/>
    <n v="0.74"/>
    <n v="0.54759999999999998"/>
    <x v="7"/>
    <s v="NA12WR"/>
    <n v="91"/>
    <s v="NA12WR-91"/>
  </r>
  <r>
    <x v="8"/>
    <x v="436"/>
    <s v="0.06-1.14"/>
    <n v="0.6"/>
    <s v="#17"/>
    <x v="3"/>
    <n v="1.1399999999999999"/>
    <n v="0.06"/>
    <n v="0.54"/>
    <n v="0.29160000000000003"/>
    <x v="7"/>
    <s v="NA6TE"/>
    <n v="53"/>
    <s v="NA6TE-53"/>
  </r>
  <r>
    <x v="12"/>
    <x v="426"/>
    <s v="0.00-1.20"/>
    <n v="0.6"/>
    <s v="#21"/>
    <x v="2"/>
    <n v="1.2"/>
    <n v="0"/>
    <n v="0.6"/>
    <n v="0.36"/>
    <x v="7"/>
    <s v="NA5WR"/>
    <n v="93"/>
    <s v="NA5WR-93"/>
  </r>
  <r>
    <x v="16"/>
    <x v="448"/>
    <n v="-1.26"/>
    <n v="0.6"/>
    <s v="#18"/>
    <x v="1"/>
    <n v="1.23"/>
    <n v="-0.03"/>
    <n v="0.63"/>
    <n v="0.39689999999999998"/>
    <x v="7"/>
    <s v="NA3RB"/>
    <n v="49"/>
    <s v="NA3RB-49"/>
  </r>
  <r>
    <x v="4"/>
    <x v="448"/>
    <n v="-1.22"/>
    <n v="0.6"/>
    <s v="#19"/>
    <x v="1"/>
    <n v="1.21"/>
    <n v="-0.01"/>
    <n v="0.61"/>
    <n v="0.37209999999999999"/>
    <x v="7"/>
    <s v="NA7RB"/>
    <n v="44"/>
    <s v="NA7RB-44"/>
  </r>
  <r>
    <x v="11"/>
    <x v="47"/>
    <s v="0.07-1.13"/>
    <n v="0.6"/>
    <s v="#3"/>
    <x v="0"/>
    <n v="1.1299999999999999"/>
    <n v="7.0000000000000007E-2"/>
    <n v="0.53"/>
    <n v="0.28089999999999998"/>
    <x v="7"/>
    <s v="NA14QB"/>
    <n v="37"/>
    <s v="NA14QB-37"/>
  </r>
  <r>
    <x v="3"/>
    <x v="449"/>
    <n v="-1.3"/>
    <n v="0.6"/>
    <s v="#6"/>
    <x v="2"/>
    <n v="1.25"/>
    <n v="-0.05"/>
    <n v="0.65"/>
    <n v="0.42249999999999999"/>
    <x v="7"/>
    <s v="NA11WR"/>
    <n v="74"/>
    <s v="NA11WR-74"/>
  </r>
  <r>
    <x v="5"/>
    <x v="336"/>
    <s v="0.08-1.12"/>
    <n v="0.6"/>
    <s v="#9"/>
    <x v="1"/>
    <n v="1.1200000000000001"/>
    <n v="0.08"/>
    <n v="0.52"/>
    <n v="0.27039999999999997"/>
    <x v="7"/>
    <s v="NA13RB"/>
    <n v="57"/>
    <s v="NA13RB-57"/>
  </r>
  <r>
    <x v="4"/>
    <x v="345"/>
    <s v="0.06-1.14"/>
    <n v="0.6"/>
    <s v="#22"/>
    <x v="1"/>
    <n v="1.1399999999999999"/>
    <n v="0.06"/>
    <n v="0.54"/>
    <n v="0.29160000000000003"/>
    <x v="7"/>
    <s v="NA7RB"/>
    <n v="45"/>
    <s v="NA7RB-45"/>
  </r>
  <r>
    <x v="11"/>
    <x v="456"/>
    <n v="-1.26"/>
    <n v="0.6"/>
    <s v="#18"/>
    <x v="3"/>
    <n v="1.23"/>
    <n v="-0.03"/>
    <n v="0.63"/>
    <n v="0.39689999999999998"/>
    <x v="7"/>
    <s v="NA14TE"/>
    <n v="62"/>
    <s v="NA14TE-62"/>
  </r>
  <r>
    <x v="11"/>
    <x v="379"/>
    <s v="0.01-1.19"/>
    <n v="0.6"/>
    <s v="#6"/>
    <x v="2"/>
    <n v="1.19"/>
    <n v="0.01"/>
    <n v="0.59"/>
    <n v="0.34810000000000002"/>
    <x v="7"/>
    <s v="NA14WR"/>
    <n v="91"/>
    <s v="NA14WR-91"/>
  </r>
  <r>
    <x v="10"/>
    <x v="452"/>
    <n v="-1.26"/>
    <n v="0.6"/>
    <s v="#21"/>
    <x v="1"/>
    <n v="1.23"/>
    <n v="-0.03"/>
    <n v="0.63"/>
    <n v="0.39689999999999998"/>
    <x v="7"/>
    <s v="NA2RB"/>
    <n v="44"/>
    <s v="NA2RB-44"/>
  </r>
  <r>
    <x v="7"/>
    <x v="410"/>
    <s v="0.03-1.17"/>
    <n v="0.6"/>
    <s v="#28"/>
    <x v="2"/>
    <n v="1.17"/>
    <n v="0.03"/>
    <n v="0.56999999999999995"/>
    <n v="0.32490000000000002"/>
    <x v="7"/>
    <s v="NA1WR"/>
    <n v="65"/>
    <s v="NA1WR-65"/>
  </r>
  <r>
    <x v="13"/>
    <x v="410"/>
    <n v="-1.34"/>
    <n v="0.6"/>
    <s v="#5"/>
    <x v="2"/>
    <n v="1.27"/>
    <n v="-7.0000000000000007E-2"/>
    <n v="0.67"/>
    <n v="0.44890000000000002"/>
    <x v="7"/>
    <s v="NA8WR"/>
    <n v="80"/>
    <s v="NA8WR-80"/>
  </r>
  <r>
    <x v="11"/>
    <x v="457"/>
    <n v="-1.26"/>
    <n v="0.6"/>
    <s v="#16"/>
    <x v="3"/>
    <n v="1.23"/>
    <n v="-0.03"/>
    <n v="0.63"/>
    <n v="0.39689999999999998"/>
    <x v="7"/>
    <s v="NA14TE"/>
    <n v="63"/>
    <s v="NA14TE-63"/>
  </r>
  <r>
    <x v="3"/>
    <x v="363"/>
    <n v="-1.46"/>
    <n v="0.6"/>
    <s v="#28"/>
    <x v="2"/>
    <n v="1.33"/>
    <n v="-0.13"/>
    <n v="0.73"/>
    <n v="0.53290000000000004"/>
    <x v="7"/>
    <s v="NA11WR"/>
    <n v="75"/>
    <s v="NA11WR-75"/>
  </r>
  <r>
    <x v="6"/>
    <x v="422"/>
    <s v="0.09-1.11"/>
    <n v="0.6"/>
    <s v="#27"/>
    <x v="2"/>
    <n v="1.1100000000000001"/>
    <n v="0.09"/>
    <n v="0.51"/>
    <n v="0.2601"/>
    <x v="7"/>
    <s v="NA12WR"/>
    <n v="92"/>
    <s v="NA12WR-92"/>
  </r>
  <r>
    <x v="3"/>
    <x v="317"/>
    <n v="-1.34"/>
    <n v="0.6"/>
    <s v="#3"/>
    <x v="2"/>
    <n v="1.27"/>
    <n v="-7.0000000000000007E-2"/>
    <n v="0.67"/>
    <n v="0.44890000000000002"/>
    <x v="7"/>
    <s v="NA11WR"/>
    <n v="76"/>
    <s v="NA11WR-76"/>
  </r>
  <r>
    <x v="6"/>
    <x v="334"/>
    <n v="-1.32"/>
    <n v="0.6"/>
    <s v="#7"/>
    <x v="2"/>
    <n v="1.26"/>
    <n v="-0.06"/>
    <n v="0.66"/>
    <n v="0.43559999999999999"/>
    <x v="7"/>
    <s v="NA12WR"/>
    <n v="93"/>
    <s v="NA12WR-93"/>
  </r>
  <r>
    <x v="13"/>
    <x v="361"/>
    <s v="0.00-1.20"/>
    <n v="0.6"/>
    <s v="#16"/>
    <x v="2"/>
    <n v="1.2"/>
    <n v="0"/>
    <n v="0.6"/>
    <n v="0.36"/>
    <x v="7"/>
    <s v="NA8WR"/>
    <n v="81"/>
    <s v="NA8WR-81"/>
  </r>
  <r>
    <x v="1"/>
    <x v="374"/>
    <s v="0.11-1.09"/>
    <n v="0.6"/>
    <s v="#1"/>
    <x v="1"/>
    <n v="1.0900000000000001"/>
    <n v="0.11"/>
    <n v="0.49"/>
    <n v="0.24010000000000001"/>
    <x v="7"/>
    <s v="NA16RB"/>
    <n v="57"/>
    <s v="NA16RB-57"/>
  </r>
  <r>
    <x v="1"/>
    <x v="324"/>
    <n v="-1.86"/>
    <n v="0.6"/>
    <s v="#11"/>
    <x v="3"/>
    <n v="1.53"/>
    <n v="-0.33"/>
    <n v="0.93"/>
    <n v="0.8649"/>
    <x v="7"/>
    <s v="NA16TE"/>
    <n v="61"/>
    <s v="NA16TE-61"/>
  </r>
  <r>
    <x v="9"/>
    <x v="441"/>
    <s v="0.04-1.16"/>
    <n v="0.6"/>
    <s v="#17"/>
    <x v="2"/>
    <n v="1.1599999999999999"/>
    <n v="0.04"/>
    <n v="0.56000000000000005"/>
    <n v="0.31359999999999999"/>
    <x v="7"/>
    <s v="NA15WR"/>
    <n v="91"/>
    <s v="NA15WR-91"/>
  </r>
  <r>
    <x v="5"/>
    <x v="405"/>
    <s v="0.06-1.14"/>
    <n v="0.6"/>
    <s v="#18"/>
    <x v="1"/>
    <n v="1.1399999999999999"/>
    <n v="0.06"/>
    <n v="0.54"/>
    <n v="0.29160000000000003"/>
    <x v="7"/>
    <s v="NA13RB"/>
    <n v="58"/>
    <s v="NA13RB-58"/>
  </r>
  <r>
    <x v="0"/>
    <x v="405"/>
    <s v="0.15-1.05"/>
    <n v="0.6"/>
    <s v="#13"/>
    <x v="1"/>
    <n v="1.05"/>
    <n v="0.15"/>
    <n v="0.45"/>
    <n v="0.20250000000000001"/>
    <x v="7"/>
    <s v="NA17RB"/>
    <n v="51"/>
    <s v="NA17RB-51"/>
  </r>
  <r>
    <x v="8"/>
    <x v="353"/>
    <n v="-1.4000000000000001"/>
    <n v="0.6"/>
    <s v="#2"/>
    <x v="2"/>
    <n v="1.3"/>
    <n v="-0.1"/>
    <n v="0.7"/>
    <n v="0.49"/>
    <x v="7"/>
    <s v="NA6WR"/>
    <n v="91"/>
    <s v="NA6WR-91"/>
  </r>
  <r>
    <x v="15"/>
    <x v="353"/>
    <n v="-1.7"/>
    <n v="0.6"/>
    <s v="#25"/>
    <x v="2"/>
    <n v="1.45"/>
    <n v="-0.25"/>
    <n v="0.85"/>
    <n v="0.72250000000000003"/>
    <x v="7"/>
    <s v="NA10WR"/>
    <n v="85"/>
    <s v="NA10WR-85"/>
  </r>
  <r>
    <x v="10"/>
    <x v="253"/>
    <s v="0.04-1.16"/>
    <n v="0.6"/>
    <s v="#29"/>
    <x v="2"/>
    <n v="1.1599999999999999"/>
    <n v="0.04"/>
    <n v="0.56000000000000005"/>
    <n v="0.31359999999999999"/>
    <x v="7"/>
    <s v="NA2WR"/>
    <n v="70"/>
    <s v="NA2WR-70"/>
  </r>
  <r>
    <x v="9"/>
    <x v="443"/>
    <n v="-1.5"/>
    <n v="0.6"/>
    <s v="#21"/>
    <x v="2"/>
    <n v="1.35"/>
    <n v="-0.15"/>
    <n v="0.75"/>
    <n v="0.5625"/>
    <x v="7"/>
    <s v="NA15WR"/>
    <n v="92"/>
    <s v="NA15WR-92"/>
  </r>
  <r>
    <x v="3"/>
    <x v="355"/>
    <n v="-1.44"/>
    <n v="0.6"/>
    <s v="#31"/>
    <x v="2"/>
    <n v="1.32"/>
    <n v="-0.12"/>
    <n v="0.72"/>
    <n v="0.51839999999999997"/>
    <x v="7"/>
    <s v="NA11WR"/>
    <n v="77"/>
    <s v="NA11WR-77"/>
  </r>
  <r>
    <x v="8"/>
    <x v="335"/>
    <n v="-1.5"/>
    <n v="0.6"/>
    <s v="#6"/>
    <x v="3"/>
    <n v="1.35"/>
    <n v="-0.15"/>
    <n v="0.75"/>
    <n v="0.5625"/>
    <x v="7"/>
    <s v="NA6TE"/>
    <n v="54"/>
    <s v="NA6TE-54"/>
  </r>
  <r>
    <x v="5"/>
    <x v="299"/>
    <n v="-1.76"/>
    <n v="0.6"/>
    <s v="#1"/>
    <x v="2"/>
    <n v="1.48"/>
    <n v="-0.28000000000000003"/>
    <n v="0.88"/>
    <n v="0.77439999999999998"/>
    <x v="7"/>
    <s v="NA13WR"/>
    <n v="93"/>
    <s v="NA13WR-93"/>
  </r>
  <r>
    <x v="5"/>
    <x v="423"/>
    <n v="-1.3"/>
    <n v="0.6"/>
    <s v="#24"/>
    <x v="3"/>
    <n v="1.25"/>
    <n v="-0.05"/>
    <n v="0.65"/>
    <n v="0.42249999999999999"/>
    <x v="7"/>
    <s v="NA13TE"/>
    <n v="58"/>
    <s v="NA13TE-58"/>
  </r>
  <r>
    <x v="15"/>
    <x v="399"/>
    <n v="-1.5999999999999999"/>
    <n v="0.6"/>
    <s v="#3"/>
    <x v="2"/>
    <n v="1.4"/>
    <n v="-0.2"/>
    <n v="0.8"/>
    <n v="0.64"/>
    <x v="7"/>
    <s v="NA10WR"/>
    <n v="86"/>
    <s v="NA10WR-86"/>
  </r>
  <r>
    <x v="12"/>
    <x v="389"/>
    <n v="-1.72"/>
    <n v="0.6"/>
    <s v="#3"/>
    <x v="2"/>
    <n v="1.46"/>
    <n v="-0.26"/>
    <n v="0.86"/>
    <n v="0.73960000000000004"/>
    <x v="7"/>
    <s v="NA5WR"/>
    <n v="94"/>
    <s v="NA5WR-94"/>
  </r>
  <r>
    <x v="15"/>
    <x v="389"/>
    <n v="-1.72"/>
    <n v="0.6"/>
    <s v="#13"/>
    <x v="2"/>
    <n v="1.46"/>
    <n v="-0.26"/>
    <n v="0.86"/>
    <n v="0.73960000000000004"/>
    <x v="7"/>
    <s v="NA10WR"/>
    <n v="87"/>
    <s v="NA10WR-87"/>
  </r>
  <r>
    <x v="10"/>
    <x v="402"/>
    <n v="-1.6199999999999999"/>
    <n v="0.6"/>
    <s v="#7"/>
    <x v="2"/>
    <n v="1.41"/>
    <n v="-0.21"/>
    <n v="0.81"/>
    <n v="0.65610000000000002"/>
    <x v="7"/>
    <s v="NA2WR"/>
    <n v="71"/>
    <s v="NA2WR-71"/>
  </r>
  <r>
    <x v="3"/>
    <x v="412"/>
    <s v="0.01-1.19"/>
    <n v="0.6"/>
    <s v="#23"/>
    <x v="0"/>
    <n v="1.19"/>
    <n v="0.01"/>
    <n v="0.59"/>
    <n v="0.34810000000000002"/>
    <x v="7"/>
    <s v="NA11QB"/>
    <n v="29"/>
    <s v="NA11QB-29"/>
  </r>
  <r>
    <x v="6"/>
    <x v="444"/>
    <s v="0.05-1.15"/>
    <n v="0.6"/>
    <s v="#28"/>
    <x v="1"/>
    <n v="1.1499999999999999"/>
    <n v="0.05"/>
    <n v="0.55000000000000004"/>
    <n v="0.30249999999999999"/>
    <x v="7"/>
    <s v="NA12RB"/>
    <n v="49"/>
    <s v="NA12RB-49"/>
  </r>
  <r>
    <x v="14"/>
    <x v="393"/>
    <s v="0.00-1.20"/>
    <n v="0.6"/>
    <s v="#10"/>
    <x v="1"/>
    <n v="1.2"/>
    <n v="0"/>
    <n v="0.6"/>
    <n v="0.36"/>
    <x v="7"/>
    <s v="NA4RB"/>
    <n v="48"/>
    <s v="NA4RB-48"/>
  </r>
  <r>
    <x v="10"/>
    <x v="445"/>
    <n v="-1.34"/>
    <n v="0.6"/>
    <s v="#27"/>
    <x v="3"/>
    <n v="1.27"/>
    <n v="-7.0000000000000007E-2"/>
    <n v="0.67"/>
    <n v="0.44890000000000002"/>
    <x v="7"/>
    <s v="NA2TE"/>
    <n v="52"/>
    <s v="NA2TE-52"/>
  </r>
  <r>
    <x v="5"/>
    <x v="433"/>
    <n v="-1.32"/>
    <n v="0.6"/>
    <s v="#27"/>
    <x v="3"/>
    <n v="1.26"/>
    <n v="-0.06"/>
    <n v="0.66"/>
    <n v="0.43559999999999999"/>
    <x v="7"/>
    <s v="NA13TE"/>
    <n v="59"/>
    <s v="NA13TE-59"/>
  </r>
  <r>
    <x v="6"/>
    <x v="429"/>
    <s v="0.00-1.20"/>
    <n v="0.6"/>
    <s v="#25"/>
    <x v="1"/>
    <n v="1.2"/>
    <n v="0"/>
    <n v="0.6"/>
    <n v="0.36"/>
    <x v="7"/>
    <s v="NA12RB"/>
    <n v="50"/>
    <s v="NA12RB-50"/>
  </r>
  <r>
    <x v="4"/>
    <x v="421"/>
    <n v="-1.4200000000000002"/>
    <n v="0.6"/>
    <s v="#9"/>
    <x v="2"/>
    <n v="1.31"/>
    <n v="-0.11"/>
    <n v="0.71"/>
    <n v="0.50409999999999999"/>
    <x v="7"/>
    <s v="NA7WR"/>
    <n v="84"/>
    <s v="NA7WR-84"/>
  </r>
  <r>
    <x v="5"/>
    <x v="421"/>
    <n v="-1.44"/>
    <n v="0.6"/>
    <s v="#24"/>
    <x v="2"/>
    <n v="1.32"/>
    <n v="-0.12"/>
    <n v="0.72"/>
    <n v="0.51839999999999997"/>
    <x v="7"/>
    <s v="NA13WR"/>
    <n v="94"/>
    <s v="NA13WR-94"/>
  </r>
  <r>
    <x v="6"/>
    <x v="455"/>
    <n v="-1.3"/>
    <n v="0.6"/>
    <s v="#29"/>
    <x v="0"/>
    <n v="1.25"/>
    <n v="-0.05"/>
    <n v="0.65"/>
    <n v="0.42249999999999999"/>
    <x v="7"/>
    <s v="NA12QB"/>
    <n v="36"/>
    <s v="NA12QB-36"/>
  </r>
  <r>
    <x v="16"/>
    <x v="458"/>
    <s v="0.09-1.11"/>
    <n v="0.6"/>
    <s v="#11"/>
    <x v="3"/>
    <n v="1.1100000000000001"/>
    <n v="0.09"/>
    <n v="0.51"/>
    <n v="0.2601"/>
    <x v="7"/>
    <s v="NA3TE"/>
    <n v="54"/>
    <s v="NA3TE-54"/>
  </r>
  <r>
    <x v="9"/>
    <x v="458"/>
    <s v="0.07-1.13"/>
    <n v="0.6"/>
    <s v="#24"/>
    <x v="3"/>
    <n v="1.1299999999999999"/>
    <n v="7.0000000000000007E-2"/>
    <n v="0.53"/>
    <n v="0.28089999999999998"/>
    <x v="7"/>
    <s v="NA15TE"/>
    <n v="62"/>
    <s v="NA15TE-62"/>
  </r>
  <r>
    <x v="9"/>
    <x v="332"/>
    <n v="-1.32"/>
    <n v="0.6"/>
    <s v="#4"/>
    <x v="2"/>
    <n v="1.26"/>
    <n v="-0.06"/>
    <n v="0.66"/>
    <n v="0.43559999999999999"/>
    <x v="7"/>
    <s v="NA15WR"/>
    <n v="93"/>
    <s v="NA15WR-93"/>
  </r>
  <r>
    <x v="16"/>
    <x v="205"/>
    <s v="0.01-1.19"/>
    <n v="0.6"/>
    <s v="#6"/>
    <x v="2"/>
    <n v="1.19"/>
    <n v="0.01"/>
    <n v="0.59"/>
    <n v="0.34810000000000002"/>
    <x v="7"/>
    <s v="NA3WR"/>
    <n v="78"/>
    <s v="NA3WR-78"/>
  </r>
  <r>
    <x v="5"/>
    <x v="205"/>
    <n v="-1.24"/>
    <n v="0.6"/>
    <s v="#3"/>
    <x v="2"/>
    <n v="1.22"/>
    <n v="-0.02"/>
    <n v="0.62"/>
    <n v="0.38440000000000002"/>
    <x v="7"/>
    <s v="NA13WR"/>
    <n v="95"/>
    <s v="NA13WR-95"/>
  </r>
  <r>
    <x v="3"/>
    <x v="459"/>
    <n v="-1.4000000000000001"/>
    <n v="0.59"/>
    <s v="#26"/>
    <x v="3"/>
    <n v="1.29"/>
    <n v="-0.11"/>
    <n v="0.7"/>
    <n v="0.49"/>
    <x v="7"/>
    <s v="NA11TE"/>
    <n v="48"/>
    <s v="NA11TE-48"/>
  </r>
  <r>
    <x v="9"/>
    <x v="459"/>
    <s v="0.00-1.18"/>
    <n v="0.59"/>
    <s v="#21"/>
    <x v="3"/>
    <n v="1.18"/>
    <n v="0"/>
    <n v="0.59"/>
    <n v="0.34810000000000002"/>
    <x v="7"/>
    <s v="NA15TE"/>
    <n v="63"/>
    <s v="NA15TE-63"/>
  </r>
  <r>
    <x v="12"/>
    <x v="425"/>
    <s v="0.08-1.10"/>
    <n v="0.59"/>
    <s v="#22"/>
    <x v="1"/>
    <n v="1.1000000000000001"/>
    <n v="0.08"/>
    <n v="0.51"/>
    <n v="0.2601"/>
    <x v="7"/>
    <s v="NA5RB"/>
    <n v="53"/>
    <s v="NA5RB-53"/>
  </r>
  <r>
    <x v="5"/>
    <x v="425"/>
    <s v="0.08-1.10"/>
    <n v="0.59"/>
    <s v="#31"/>
    <x v="1"/>
    <n v="1.1000000000000001"/>
    <n v="0.08"/>
    <n v="0.51"/>
    <n v="0.2601"/>
    <x v="7"/>
    <s v="NA13RB"/>
    <n v="59"/>
    <s v="NA13RB-59"/>
  </r>
  <r>
    <x v="4"/>
    <x v="426"/>
    <n v="-1.2"/>
    <n v="0.59"/>
    <s v="#24"/>
    <x v="2"/>
    <n v="1.19"/>
    <n v="-0.01"/>
    <n v="0.6"/>
    <n v="0.36"/>
    <x v="7"/>
    <s v="NA7WR"/>
    <n v="85"/>
    <s v="NA7WR-85"/>
  </r>
  <r>
    <x v="0"/>
    <x v="426"/>
    <n v="-1.2"/>
    <n v="0.59"/>
    <s v="#21"/>
    <x v="2"/>
    <n v="1.19"/>
    <n v="-0.01"/>
    <n v="0.6"/>
    <n v="0.36"/>
    <x v="7"/>
    <s v="NA17WR"/>
    <n v="93"/>
    <s v="NA17WR-93"/>
  </r>
  <r>
    <x v="7"/>
    <x v="451"/>
    <s v="0.03-1.15"/>
    <n v="0.59"/>
    <s v="#21"/>
    <x v="3"/>
    <n v="1.1499999999999999"/>
    <n v="0.03"/>
    <n v="0.56000000000000005"/>
    <n v="0.31359999999999999"/>
    <x v="7"/>
    <s v="NA1TE"/>
    <n v="49"/>
    <s v="NA1TE-49"/>
  </r>
  <r>
    <x v="10"/>
    <x v="451"/>
    <n v="-1.34"/>
    <n v="0.59"/>
    <s v="#8"/>
    <x v="3"/>
    <n v="1.26"/>
    <n v="-0.08"/>
    <n v="0.67"/>
    <n v="0.44890000000000002"/>
    <x v="7"/>
    <s v="NA2TE"/>
    <n v="53"/>
    <s v="NA2TE-53"/>
  </r>
  <r>
    <x v="4"/>
    <x v="451"/>
    <s v="0.00-1.18"/>
    <n v="0.59"/>
    <s v="#17"/>
    <x v="3"/>
    <n v="1.18"/>
    <n v="0"/>
    <n v="0.59"/>
    <n v="0.34810000000000002"/>
    <x v="7"/>
    <s v="NA7TE"/>
    <n v="57"/>
    <s v="NA7TE-57"/>
  </r>
  <r>
    <x v="8"/>
    <x v="47"/>
    <s v="0.06-1.12"/>
    <n v="0.59"/>
    <s v="#1"/>
    <x v="0"/>
    <n v="1.1200000000000001"/>
    <n v="0.06"/>
    <n v="0.53"/>
    <n v="0.28089999999999998"/>
    <x v="7"/>
    <s v="NA6QB"/>
    <n v="36"/>
    <s v="NA6QB-36"/>
  </r>
  <r>
    <x v="13"/>
    <x v="449"/>
    <n v="-1.46"/>
    <n v="0.59"/>
    <s v="#26"/>
    <x v="2"/>
    <n v="1.32"/>
    <n v="-0.14000000000000001"/>
    <n v="0.73"/>
    <n v="0.53290000000000004"/>
    <x v="7"/>
    <s v="NA8WR"/>
    <n v="82"/>
    <s v="NA8WR-82"/>
  </r>
  <r>
    <x v="0"/>
    <x v="460"/>
    <n v="-1.2"/>
    <n v="0.59"/>
    <s v="#6"/>
    <x v="2"/>
    <n v="1.19"/>
    <n v="-0.01"/>
    <n v="0.6"/>
    <n v="0.36"/>
    <x v="7"/>
    <s v="NA17WR"/>
    <n v="94"/>
    <s v="NA17WR-94"/>
  </r>
  <r>
    <x v="9"/>
    <x v="461"/>
    <n v="-1.24"/>
    <n v="0.59"/>
    <s v="#20"/>
    <x v="0"/>
    <n v="1.21"/>
    <n v="-0.03"/>
    <n v="0.62"/>
    <n v="0.38440000000000002"/>
    <x v="7"/>
    <s v="NA15QB"/>
    <n v="38"/>
    <s v="NA15QB-38"/>
  </r>
  <r>
    <x v="15"/>
    <x v="410"/>
    <n v="-1.28"/>
    <n v="0.59"/>
    <s v="#11"/>
    <x v="2"/>
    <n v="1.23"/>
    <n v="-0.05"/>
    <n v="0.64"/>
    <n v="0.40960000000000002"/>
    <x v="7"/>
    <s v="NA10WR"/>
    <n v="88"/>
    <s v="NA10WR-88"/>
  </r>
  <r>
    <x v="10"/>
    <x v="387"/>
    <s v="0.09-1.09"/>
    <n v="0.59"/>
    <s v="#17"/>
    <x v="0"/>
    <n v="1.0900000000000001"/>
    <n v="0.09"/>
    <n v="0.5"/>
    <n v="0.25"/>
    <x v="7"/>
    <s v="NA2QB"/>
    <n v="29"/>
    <s v="NA2QB-29"/>
  </r>
  <r>
    <x v="10"/>
    <x v="457"/>
    <n v="-1.3"/>
    <n v="0.59"/>
    <s v="#28"/>
    <x v="3"/>
    <n v="1.24"/>
    <n v="-0.06"/>
    <n v="0.65"/>
    <n v="0.42249999999999999"/>
    <x v="7"/>
    <s v="NA2TE"/>
    <n v="54"/>
    <s v="NA2TE-54"/>
  </r>
  <r>
    <x v="9"/>
    <x v="457"/>
    <n v="-1.26"/>
    <n v="0.59"/>
    <s v="#8"/>
    <x v="3"/>
    <n v="1.22"/>
    <n v="-0.04"/>
    <n v="0.63"/>
    <n v="0.39689999999999998"/>
    <x v="7"/>
    <s v="NA15TE"/>
    <n v="64"/>
    <s v="NA15TE-64"/>
  </r>
  <r>
    <x v="8"/>
    <x v="414"/>
    <n v="-1.3"/>
    <n v="0.59"/>
    <s v="#10"/>
    <x v="2"/>
    <n v="1.24"/>
    <n v="-0.06"/>
    <n v="0.65"/>
    <n v="0.42249999999999999"/>
    <x v="7"/>
    <s v="NA6WR"/>
    <n v="92"/>
    <s v="NA6WR-92"/>
  </r>
  <r>
    <x v="6"/>
    <x v="414"/>
    <n v="-1.24"/>
    <n v="0.59"/>
    <s v="#15"/>
    <x v="2"/>
    <n v="1.21"/>
    <n v="-0.03"/>
    <n v="0.62"/>
    <n v="0.38440000000000002"/>
    <x v="7"/>
    <s v="NA12WR"/>
    <n v="94"/>
    <s v="NA12WR-94"/>
  </r>
  <r>
    <x v="11"/>
    <x v="450"/>
    <n v="-1.3"/>
    <n v="0.59"/>
    <s v="#10"/>
    <x v="3"/>
    <n v="1.24"/>
    <n v="-0.06"/>
    <n v="0.65"/>
    <n v="0.42249999999999999"/>
    <x v="7"/>
    <s v="NA14TE"/>
    <n v="64"/>
    <s v="NA14TE-64"/>
  </r>
  <r>
    <x v="11"/>
    <x v="361"/>
    <n v="-1.26"/>
    <n v="0.59"/>
    <s v="#1"/>
    <x v="2"/>
    <n v="1.22"/>
    <n v="-0.04"/>
    <n v="0.63"/>
    <n v="0.39689999999999998"/>
    <x v="7"/>
    <s v="NA14WR"/>
    <n v="92"/>
    <s v="NA14WR-92"/>
  </r>
  <r>
    <x v="9"/>
    <x v="382"/>
    <s v="0.11-1.07"/>
    <n v="0.59"/>
    <s v="#10"/>
    <x v="2"/>
    <n v="1.07"/>
    <n v="0.11"/>
    <n v="0.48"/>
    <n v="0.23039999999999999"/>
    <x v="7"/>
    <s v="NA15WR"/>
    <n v="94"/>
    <s v="NA15WR-94"/>
  </r>
  <r>
    <x v="0"/>
    <x v="382"/>
    <s v="0.11-1.07"/>
    <n v="0.59"/>
    <s v="#12"/>
    <x v="2"/>
    <n v="1.07"/>
    <n v="0.11"/>
    <n v="0.48"/>
    <n v="0.23039999999999999"/>
    <x v="7"/>
    <s v="NA17WR"/>
    <n v="95"/>
    <s v="NA17WR-95"/>
  </r>
  <r>
    <x v="8"/>
    <x v="428"/>
    <n v="-1.22"/>
    <n v="0.59"/>
    <s v="#8"/>
    <x v="1"/>
    <n v="1.2"/>
    <n v="-0.02"/>
    <n v="0.61"/>
    <n v="0.37209999999999999"/>
    <x v="7"/>
    <s v="NA6RB"/>
    <n v="49"/>
    <s v="NA6RB-49"/>
  </r>
  <r>
    <x v="2"/>
    <x v="428"/>
    <s v="0.03-1.15"/>
    <n v="0.59"/>
    <s v="#18"/>
    <x v="1"/>
    <n v="1.1499999999999999"/>
    <n v="0.03"/>
    <n v="0.56000000000000005"/>
    <n v="0.31359999999999999"/>
    <x v="7"/>
    <s v="NA9RB"/>
    <n v="45"/>
    <s v="NA9RB-45"/>
  </r>
  <r>
    <x v="6"/>
    <x v="441"/>
    <n v="-1.22"/>
    <n v="0.59"/>
    <s v="#16"/>
    <x v="2"/>
    <n v="1.2"/>
    <n v="-0.02"/>
    <n v="0.61"/>
    <n v="0.37209999999999999"/>
    <x v="7"/>
    <s v="NA12WR"/>
    <n v="95"/>
    <s v="NA12WR-95"/>
  </r>
  <r>
    <x v="5"/>
    <x v="415"/>
    <n v="-1.2"/>
    <n v="0.59"/>
    <s v="#5"/>
    <x v="1"/>
    <n v="1.19"/>
    <n v="-0.01"/>
    <n v="0.6"/>
    <n v="0.36"/>
    <x v="7"/>
    <s v="NA13RB"/>
    <n v="60"/>
    <s v="NA13RB-60"/>
  </r>
  <r>
    <x v="3"/>
    <x v="331"/>
    <n v="-1.22"/>
    <n v="0.59"/>
    <s v="#25"/>
    <x v="3"/>
    <n v="1.2"/>
    <n v="-0.02"/>
    <n v="0.61"/>
    <n v="0.37209999999999999"/>
    <x v="7"/>
    <s v="NA11TE"/>
    <n v="49"/>
    <s v="NA11TE-49"/>
  </r>
  <r>
    <x v="1"/>
    <x v="331"/>
    <n v="-1.3"/>
    <n v="0.59"/>
    <s v="#10"/>
    <x v="3"/>
    <n v="1.24"/>
    <n v="-0.06"/>
    <n v="0.65"/>
    <n v="0.42249999999999999"/>
    <x v="7"/>
    <s v="NA16TE"/>
    <n v="62"/>
    <s v="NA16TE-62"/>
  </r>
  <r>
    <x v="1"/>
    <x v="462"/>
    <n v="-1.3"/>
    <n v="0.59"/>
    <s v="#31"/>
    <x v="1"/>
    <n v="1.24"/>
    <n v="-0.06"/>
    <n v="0.65"/>
    <n v="0.42249999999999999"/>
    <x v="7"/>
    <s v="NA16RB"/>
    <n v="58"/>
    <s v="NA16RB-58"/>
  </r>
  <r>
    <x v="7"/>
    <x v="253"/>
    <s v="0.00-1.18"/>
    <n v="0.59"/>
    <s v="#23"/>
    <x v="2"/>
    <n v="1.18"/>
    <n v="0"/>
    <n v="0.59"/>
    <n v="0.34810000000000002"/>
    <x v="7"/>
    <s v="NA1WR"/>
    <n v="66"/>
    <s v="NA1WR-66"/>
  </r>
  <r>
    <x v="4"/>
    <x v="443"/>
    <n v="-1.5"/>
    <n v="0.59"/>
    <s v="#17"/>
    <x v="2"/>
    <n v="1.34"/>
    <n v="-0.16"/>
    <n v="0.75"/>
    <n v="0.5625"/>
    <x v="7"/>
    <s v="NA7WR"/>
    <n v="86"/>
    <s v="NA7WR-86"/>
  </r>
  <r>
    <x v="2"/>
    <x v="432"/>
    <s v="0.00-1.18"/>
    <n v="0.59"/>
    <s v="#27"/>
    <x v="2"/>
    <n v="1.18"/>
    <n v="0"/>
    <n v="0.59"/>
    <n v="0.34810000000000002"/>
    <x v="7"/>
    <s v="NA9WR"/>
    <n v="81"/>
    <s v="NA9WR-81"/>
  </r>
  <r>
    <x v="11"/>
    <x v="432"/>
    <n v="-1.24"/>
    <n v="0.59"/>
    <s v="#18"/>
    <x v="2"/>
    <n v="1.21"/>
    <n v="-0.03"/>
    <n v="0.62"/>
    <n v="0.38440000000000002"/>
    <x v="7"/>
    <s v="NA14WR"/>
    <n v="93"/>
    <s v="NA14WR-93"/>
  </r>
  <r>
    <x v="8"/>
    <x v="420"/>
    <n v="-1.26"/>
    <n v="0.59"/>
    <s v="#7"/>
    <x v="1"/>
    <n v="1.22"/>
    <n v="-0.04"/>
    <n v="0.63"/>
    <n v="0.39689999999999998"/>
    <x v="7"/>
    <s v="NA6RB"/>
    <n v="50"/>
    <s v="NA6RB-50"/>
  </r>
  <r>
    <x v="15"/>
    <x v="377"/>
    <s v="0.00-1.18"/>
    <n v="0.59"/>
    <s v="#22"/>
    <x v="2"/>
    <n v="1.18"/>
    <n v="0"/>
    <n v="0.59"/>
    <n v="0.34810000000000002"/>
    <x v="7"/>
    <s v="NA10WR"/>
    <n v="89"/>
    <s v="NA10WR-89"/>
  </r>
  <r>
    <x v="11"/>
    <x v="318"/>
    <n v="-1.44"/>
    <n v="0.59"/>
    <s v="#10"/>
    <x v="2"/>
    <n v="1.31"/>
    <n v="-0.13"/>
    <n v="0.72"/>
    <n v="0.51839999999999997"/>
    <x v="7"/>
    <s v="NA14WR"/>
    <n v="94"/>
    <s v="NA14WR-94"/>
  </r>
  <r>
    <x v="3"/>
    <x v="399"/>
    <n v="-1.4000000000000001"/>
    <n v="0.59"/>
    <s v="#14"/>
    <x v="2"/>
    <n v="1.29"/>
    <n v="-0.11"/>
    <n v="0.7"/>
    <n v="0.49"/>
    <x v="7"/>
    <s v="NA11WR"/>
    <n v="78"/>
    <s v="NA11WR-78"/>
  </r>
  <r>
    <x v="9"/>
    <x v="399"/>
    <n v="-1.32"/>
    <n v="0.59"/>
    <s v="#23"/>
    <x v="2"/>
    <n v="1.25"/>
    <n v="-7.0000000000000007E-2"/>
    <n v="0.66"/>
    <n v="0.43559999999999999"/>
    <x v="7"/>
    <s v="NA15WR"/>
    <n v="95"/>
    <s v="NA15WR-95"/>
  </r>
  <r>
    <x v="8"/>
    <x v="453"/>
    <s v="0.01-1.17"/>
    <n v="0.59"/>
    <s v="#10"/>
    <x v="3"/>
    <n v="1.17"/>
    <n v="0.01"/>
    <n v="0.57999999999999996"/>
    <n v="0.33639999999999998"/>
    <x v="7"/>
    <s v="NA6TE"/>
    <n v="55"/>
    <s v="NA6TE-55"/>
  </r>
  <r>
    <x v="14"/>
    <x v="412"/>
    <s v="0.05-1.13"/>
    <n v="0.59"/>
    <s v="#19"/>
    <x v="0"/>
    <n v="1.1299999999999999"/>
    <n v="0.05"/>
    <n v="0.54"/>
    <n v="0.29160000000000003"/>
    <x v="7"/>
    <s v="NA4QB"/>
    <n v="33"/>
    <s v="NA4QB-33"/>
  </r>
  <r>
    <x v="9"/>
    <x v="412"/>
    <s v="0.03-1.15"/>
    <n v="0.59"/>
    <s v="#13"/>
    <x v="0"/>
    <n v="1.1499999999999999"/>
    <n v="0.03"/>
    <n v="0.56000000000000005"/>
    <n v="0.31359999999999999"/>
    <x v="7"/>
    <s v="NA15QB"/>
    <n v="39"/>
    <s v="NA15QB-39"/>
  </r>
  <r>
    <x v="4"/>
    <x v="173"/>
    <n v="-1.5999999999999999"/>
    <n v="0.59"/>
    <s v="#1"/>
    <x v="1"/>
    <n v="1.39"/>
    <n v="-0.21"/>
    <n v="0.8"/>
    <n v="0.64"/>
    <x v="7"/>
    <s v="NA7RB"/>
    <n v="46"/>
    <s v="NA7RB-46"/>
  </r>
  <r>
    <x v="1"/>
    <x v="407"/>
    <n v="-1.44"/>
    <n v="0.59"/>
    <s v="#12"/>
    <x v="2"/>
    <n v="1.31"/>
    <n v="-0.13"/>
    <n v="0.72"/>
    <n v="0.51839999999999997"/>
    <x v="7"/>
    <s v="NA16WR"/>
    <n v="94"/>
    <s v="NA16WR-94"/>
  </r>
  <r>
    <x v="11"/>
    <x v="446"/>
    <n v="-1.28"/>
    <n v="0.59"/>
    <s v="#6"/>
    <x v="2"/>
    <n v="1.23"/>
    <n v="-0.05"/>
    <n v="0.64"/>
    <n v="0.40960000000000002"/>
    <x v="7"/>
    <s v="NA14WR"/>
    <n v="95"/>
    <s v="NA14WR-95"/>
  </r>
  <r>
    <x v="5"/>
    <x v="357"/>
    <n v="-1.34"/>
    <n v="0.59"/>
    <s v="#5"/>
    <x v="3"/>
    <n v="1.26"/>
    <n v="-0.08"/>
    <n v="0.67"/>
    <n v="0.44890000000000002"/>
    <x v="7"/>
    <s v="NA13TE"/>
    <n v="60"/>
    <s v="NA13TE-60"/>
  </r>
  <r>
    <x v="6"/>
    <x v="367"/>
    <n v="-1.32"/>
    <n v="0.59"/>
    <s v="#9"/>
    <x v="1"/>
    <n v="1.25"/>
    <n v="-7.0000000000000007E-2"/>
    <n v="0.66"/>
    <n v="0.43559999999999999"/>
    <x v="7"/>
    <s v="NA12RB"/>
    <n v="51"/>
    <s v="NA12RB-51"/>
  </r>
  <r>
    <x v="9"/>
    <x v="430"/>
    <n v="-1.2"/>
    <n v="0.59"/>
    <s v="#29"/>
    <x v="1"/>
    <n v="1.19"/>
    <n v="-0.01"/>
    <n v="0.6"/>
    <n v="0.36"/>
    <x v="7"/>
    <s v="NA15RB"/>
    <n v="58"/>
    <s v="NA15RB-58"/>
  </r>
  <r>
    <x v="1"/>
    <x v="430"/>
    <s v="0.04-1.14"/>
    <n v="0.59"/>
    <s v="#10"/>
    <x v="1"/>
    <n v="1.1399999999999999"/>
    <n v="0.04"/>
    <n v="0.55000000000000004"/>
    <n v="0.30249999999999999"/>
    <x v="7"/>
    <s v="NA16RB"/>
    <n v="59"/>
    <s v="NA16RB-59"/>
  </r>
  <r>
    <x v="10"/>
    <x v="455"/>
    <s v="0.01-1.17"/>
    <n v="0.59"/>
    <s v="#2"/>
    <x v="0"/>
    <n v="1.17"/>
    <n v="0.01"/>
    <n v="0.57999999999999996"/>
    <n v="0.33639999999999998"/>
    <x v="7"/>
    <s v="NA2QB"/>
    <n v="30"/>
    <s v="NA2QB-30"/>
  </r>
  <r>
    <x v="15"/>
    <x v="358"/>
    <n v="-1.5"/>
    <n v="0.59"/>
    <s v="#10"/>
    <x v="1"/>
    <n v="1.34"/>
    <n v="-0.16"/>
    <n v="0.75"/>
    <n v="0.5625"/>
    <x v="7"/>
    <s v="NA10RB"/>
    <n v="52"/>
    <s v="NA10RB-52"/>
  </r>
  <r>
    <x v="10"/>
    <x v="296"/>
    <n v="-1.26"/>
    <n v="0.59"/>
    <s v="#24"/>
    <x v="1"/>
    <n v="1.22"/>
    <n v="-0.04"/>
    <n v="0.63"/>
    <n v="0.39689999999999998"/>
    <x v="7"/>
    <s v="NA2RB"/>
    <n v="45"/>
    <s v="NA2RB-45"/>
  </r>
  <r>
    <x v="13"/>
    <x v="296"/>
    <s v="0.02-1.16"/>
    <n v="0.59"/>
    <s v="#5"/>
    <x v="1"/>
    <n v="1.1599999999999999"/>
    <n v="0.02"/>
    <n v="0.56999999999999995"/>
    <n v="0.32490000000000002"/>
    <x v="7"/>
    <s v="NA8RB"/>
    <n v="50"/>
    <s v="NA8RB-50"/>
  </r>
  <r>
    <x v="1"/>
    <x v="406"/>
    <n v="-1.6199999999999999"/>
    <n v="0.59"/>
    <s v="#14"/>
    <x v="2"/>
    <n v="1.4"/>
    <n v="-0.22"/>
    <n v="0.81"/>
    <n v="0.65610000000000002"/>
    <x v="7"/>
    <s v="NA16WR"/>
    <n v="95"/>
    <s v="NA16WR-95"/>
  </r>
  <r>
    <x v="0"/>
    <x v="406"/>
    <n v="-1.2"/>
    <n v="0.59"/>
    <s v="#6"/>
    <x v="2"/>
    <n v="1.19"/>
    <n v="-0.01"/>
    <n v="0.6"/>
    <n v="0.36"/>
    <x v="7"/>
    <s v="NA17WR"/>
    <n v="96"/>
    <s v="NA17WR-96"/>
  </r>
  <r>
    <x v="0"/>
    <x v="332"/>
    <n v="-1.3800000000000001"/>
    <n v="0.59"/>
    <s v="#3"/>
    <x v="2"/>
    <n v="1.28"/>
    <n v="-0.1"/>
    <n v="0.69"/>
    <n v="0.47610000000000002"/>
    <x v="7"/>
    <s v="NA17WR"/>
    <n v="97"/>
    <s v="NA17WR-97"/>
  </r>
  <r>
    <x v="13"/>
    <x v="394"/>
    <n v="-1.26"/>
    <n v="0.59"/>
    <s v="#26"/>
    <x v="1"/>
    <n v="1.22"/>
    <n v="-0.04"/>
    <n v="0.63"/>
    <n v="0.39689999999999998"/>
    <x v="7"/>
    <s v="NA8RB"/>
    <n v="51"/>
    <s v="NA8RB-51"/>
  </r>
  <r>
    <x v="9"/>
    <x v="394"/>
    <n v="-1.22"/>
    <n v="0.59"/>
    <s v="#7"/>
    <x v="1"/>
    <n v="1.2"/>
    <n v="-0.02"/>
    <n v="0.61"/>
    <n v="0.37209999999999999"/>
    <x v="7"/>
    <s v="NA15RB"/>
    <n v="59"/>
    <s v="NA15RB-59"/>
  </r>
  <r>
    <x v="2"/>
    <x v="436"/>
    <n v="-1.18"/>
    <n v="0.57999999999999996"/>
    <s v="#2"/>
    <x v="3"/>
    <n v="1.17"/>
    <n v="-0.01"/>
    <n v="0.59"/>
    <n v="0.34810000000000002"/>
    <x v="7"/>
    <s v="NA9TE"/>
    <n v="48"/>
    <s v="NA9TE-48"/>
  </r>
  <r>
    <x v="15"/>
    <x v="354"/>
    <n v="-1.32"/>
    <n v="0.57999999999999996"/>
    <s v="#30"/>
    <x v="2"/>
    <n v="1.24"/>
    <n v="-0.08"/>
    <n v="0.66"/>
    <n v="0.43559999999999999"/>
    <x v="7"/>
    <s v="NA10WR"/>
    <n v="90"/>
    <s v="NA10WR-90"/>
  </r>
  <r>
    <x v="9"/>
    <x v="448"/>
    <n v="-1.2"/>
    <n v="0.57999999999999996"/>
    <s v="#20"/>
    <x v="1"/>
    <n v="1.18"/>
    <n v="-0.02"/>
    <n v="0.6"/>
    <n v="0.36"/>
    <x v="7"/>
    <s v="NA15RB"/>
    <n v="60"/>
    <s v="NA15RB-60"/>
  </r>
  <r>
    <x v="12"/>
    <x v="400"/>
    <n v="-1.5"/>
    <n v="0.57999999999999996"/>
    <s v="#19"/>
    <x v="1"/>
    <n v="1.33"/>
    <n v="-0.17"/>
    <n v="0.75"/>
    <n v="0.5625"/>
    <x v="7"/>
    <s v="NA5RB"/>
    <n v="54"/>
    <s v="NA5RB-54"/>
  </r>
  <r>
    <x v="0"/>
    <x v="449"/>
    <n v="-1.4"/>
    <n v="0.57999999999999996"/>
    <s v="#7"/>
    <x v="2"/>
    <n v="1.28"/>
    <n v="-0.12"/>
    <n v="0.7"/>
    <n v="0.49"/>
    <x v="7"/>
    <s v="NA17WR"/>
    <n v="98"/>
    <s v="NA17WR-98"/>
  </r>
  <r>
    <x v="0"/>
    <x v="336"/>
    <s v="0.04-1.12"/>
    <n v="0.57999999999999996"/>
    <s v="#27"/>
    <x v="1"/>
    <n v="1.1200000000000001"/>
    <n v="0.04"/>
    <n v="0.54"/>
    <n v="0.29160000000000003"/>
    <x v="7"/>
    <s v="NA17RB"/>
    <n v="52"/>
    <s v="NA17RB-52"/>
  </r>
  <r>
    <x v="10"/>
    <x v="370"/>
    <s v="0.03-1.13"/>
    <n v="0.57999999999999996"/>
    <s v="#3"/>
    <x v="0"/>
    <n v="1.1299999999999999"/>
    <n v="0.03"/>
    <n v="0.55000000000000004"/>
    <n v="0.30249999999999999"/>
    <x v="7"/>
    <s v="NA2QB"/>
    <n v="31"/>
    <s v="NA2QB-31"/>
  </r>
  <r>
    <x v="2"/>
    <x v="456"/>
    <n v="-1.3"/>
    <n v="0.57999999999999996"/>
    <s v="#27"/>
    <x v="3"/>
    <n v="1.23"/>
    <n v="-7.0000000000000007E-2"/>
    <n v="0.65"/>
    <n v="0.42249999999999999"/>
    <x v="7"/>
    <s v="NA9TE"/>
    <n v="49"/>
    <s v="NA9TE-49"/>
  </r>
  <r>
    <x v="15"/>
    <x v="379"/>
    <n v="-1.18"/>
    <n v="0.57999999999999996"/>
    <s v="#6"/>
    <x v="2"/>
    <n v="1.17"/>
    <n v="-0.01"/>
    <n v="0.59"/>
    <n v="0.34810000000000002"/>
    <x v="7"/>
    <s v="NA10WR"/>
    <n v="91"/>
    <s v="NA10WR-91"/>
  </r>
  <r>
    <x v="8"/>
    <x v="339"/>
    <n v="-1.26"/>
    <n v="0.57999999999999996"/>
    <s v="#11"/>
    <x v="1"/>
    <n v="1.21"/>
    <n v="-0.05"/>
    <n v="0.63"/>
    <n v="0.39689999999999998"/>
    <x v="7"/>
    <s v="NA6RB"/>
    <n v="51"/>
    <s v="NA6RB-51"/>
  </r>
  <r>
    <x v="3"/>
    <x v="339"/>
    <n v="-1.32"/>
    <n v="0.57999999999999996"/>
    <s v="#12"/>
    <x v="1"/>
    <n v="1.24"/>
    <n v="-0.08"/>
    <n v="0.66"/>
    <n v="0.43559999999999999"/>
    <x v="7"/>
    <s v="NA11RB"/>
    <n v="47"/>
    <s v="NA11RB-47"/>
  </r>
  <r>
    <x v="8"/>
    <x v="316"/>
    <n v="-1.28"/>
    <n v="0.57999999999999996"/>
    <s v="#25"/>
    <x v="1"/>
    <n v="1.22"/>
    <n v="-0.06"/>
    <n v="0.64"/>
    <n v="0.40960000000000002"/>
    <x v="7"/>
    <s v="NA6RB"/>
    <n v="52"/>
    <s v="NA6RB-52"/>
  </r>
  <r>
    <x v="16"/>
    <x v="461"/>
    <n v="-1.18"/>
    <n v="0.57999999999999996"/>
    <s v="#18"/>
    <x v="0"/>
    <n v="1.17"/>
    <n v="-0.01"/>
    <n v="0.59"/>
    <n v="0.34810000000000002"/>
    <x v="7"/>
    <s v="NA3QB"/>
    <n v="33"/>
    <s v="NA3QB-33"/>
  </r>
  <r>
    <x v="14"/>
    <x v="346"/>
    <n v="-1.36"/>
    <n v="0.57999999999999996"/>
    <s v="#29"/>
    <x v="2"/>
    <n v="1.26"/>
    <n v="-0.1"/>
    <n v="0.68"/>
    <n v="0.46239999999999998"/>
    <x v="7"/>
    <s v="NA4WR"/>
    <n v="70"/>
    <s v="NA4WR-70"/>
  </r>
  <r>
    <x v="8"/>
    <x v="346"/>
    <s v="0.00-1.16"/>
    <n v="0.57999999999999996"/>
    <s v="#15"/>
    <x v="2"/>
    <n v="1.1599999999999999"/>
    <n v="0"/>
    <n v="0.57999999999999996"/>
    <n v="0.33639999999999998"/>
    <x v="7"/>
    <s v="NA6WR"/>
    <n v="93"/>
    <s v="NA6WR-93"/>
  </r>
  <r>
    <x v="9"/>
    <x v="346"/>
    <n v="-1.4"/>
    <n v="0.57999999999999996"/>
    <s v="#25"/>
    <x v="2"/>
    <n v="1.28"/>
    <n v="-0.12"/>
    <n v="0.7"/>
    <n v="0.49"/>
    <x v="7"/>
    <s v="NA15WR"/>
    <n v="96"/>
    <s v="NA15WR-96"/>
  </r>
  <r>
    <x v="8"/>
    <x v="457"/>
    <n v="-1.26"/>
    <n v="0.57999999999999996"/>
    <s v="#21"/>
    <x v="3"/>
    <n v="1.21"/>
    <n v="-0.05"/>
    <n v="0.63"/>
    <n v="0.39689999999999998"/>
    <x v="7"/>
    <s v="NA6TE"/>
    <n v="56"/>
    <s v="NA6TE-56"/>
  </r>
  <r>
    <x v="10"/>
    <x v="450"/>
    <n v="-1.26"/>
    <n v="0.57999999999999996"/>
    <s v="#8"/>
    <x v="3"/>
    <n v="1.21"/>
    <n v="-0.05"/>
    <n v="0.63"/>
    <n v="0.39689999999999998"/>
    <x v="7"/>
    <s v="NA2TE"/>
    <n v="55"/>
    <s v="NA2TE-55"/>
  </r>
  <r>
    <x v="13"/>
    <x v="450"/>
    <n v="-1.28"/>
    <n v="0.57999999999999996"/>
    <s v="#4"/>
    <x v="3"/>
    <n v="1.22"/>
    <n v="-0.06"/>
    <n v="0.64"/>
    <n v="0.40960000000000002"/>
    <x v="7"/>
    <s v="NA8TE"/>
    <n v="54"/>
    <s v="NA8TE-54"/>
  </r>
  <r>
    <x v="15"/>
    <x v="450"/>
    <s v="0.03-1.13"/>
    <n v="0.57999999999999996"/>
    <s v="#28"/>
    <x v="3"/>
    <n v="1.1299999999999999"/>
    <n v="0.03"/>
    <n v="0.55000000000000004"/>
    <n v="0.30249999999999999"/>
    <x v="7"/>
    <s v="NA10TE"/>
    <n v="55"/>
    <s v="NA10TE-55"/>
  </r>
  <r>
    <x v="0"/>
    <x v="422"/>
    <s v="0.06-1.10"/>
    <n v="0.57999999999999996"/>
    <s v="#9"/>
    <x v="2"/>
    <n v="1.1000000000000001"/>
    <n v="0.06"/>
    <n v="0.52"/>
    <n v="0.27039999999999997"/>
    <x v="7"/>
    <s v="NA17WR"/>
    <n v="99"/>
    <s v="NA17WR-99"/>
  </r>
  <r>
    <x v="6"/>
    <x v="374"/>
    <s v="0.12-1.04"/>
    <n v="0.57999999999999996"/>
    <s v="#13"/>
    <x v="1"/>
    <n v="1.04"/>
    <n v="0.12"/>
    <n v="0.46"/>
    <n v="0.21160000000000001"/>
    <x v="7"/>
    <s v="NA12RB"/>
    <n v="52"/>
    <s v="NA12RB-52"/>
  </r>
  <r>
    <x v="4"/>
    <x v="463"/>
    <n v="-1.2"/>
    <n v="0.57999999999999996"/>
    <s v="#28"/>
    <x v="3"/>
    <n v="1.18"/>
    <n v="-0.02"/>
    <n v="0.6"/>
    <n v="0.36"/>
    <x v="7"/>
    <s v="NA7TE"/>
    <n v="58"/>
    <s v="NA7TE-58"/>
  </r>
  <r>
    <x v="13"/>
    <x v="324"/>
    <n v="-1.8599999999999999"/>
    <n v="0.57999999999999996"/>
    <s v="#11"/>
    <x v="3"/>
    <n v="1.51"/>
    <n v="-0.35"/>
    <n v="0.93"/>
    <n v="0.8649"/>
    <x v="7"/>
    <s v="NA8TE"/>
    <n v="55"/>
    <s v="NA8TE-55"/>
  </r>
  <r>
    <x v="2"/>
    <x v="441"/>
    <n v="-1.22"/>
    <n v="0.57999999999999996"/>
    <s v="#1"/>
    <x v="2"/>
    <n v="1.19"/>
    <n v="-0.03"/>
    <n v="0.61"/>
    <n v="0.37209999999999999"/>
    <x v="7"/>
    <s v="NA9WR"/>
    <n v="82"/>
    <s v="NA9WR-82"/>
  </r>
  <r>
    <x v="11"/>
    <x v="441"/>
    <s v="0.02-1.14"/>
    <n v="0.57999999999999996"/>
    <s v="#25"/>
    <x v="2"/>
    <n v="1.1399999999999999"/>
    <n v="0.02"/>
    <n v="0.56000000000000005"/>
    <n v="0.31359999999999999"/>
    <x v="7"/>
    <s v="NA14WR"/>
    <n v="96"/>
    <s v="NA14WR-96"/>
  </r>
  <r>
    <x v="16"/>
    <x v="328"/>
    <s v="0.00-1.16"/>
    <n v="0.57999999999999996"/>
    <s v="#10"/>
    <x v="2"/>
    <n v="1.1599999999999999"/>
    <n v="0"/>
    <n v="0.57999999999999996"/>
    <n v="0.33639999999999998"/>
    <x v="7"/>
    <s v="NA3WR"/>
    <n v="79"/>
    <s v="NA3WR-79"/>
  </r>
  <r>
    <x v="3"/>
    <x v="328"/>
    <s v="0.00-1.16"/>
    <n v="0.57999999999999996"/>
    <s v="#16"/>
    <x v="2"/>
    <n v="1.1599999999999999"/>
    <n v="0"/>
    <n v="0.57999999999999996"/>
    <n v="0.33639999999999998"/>
    <x v="7"/>
    <s v="NA11WR"/>
    <n v="79"/>
    <s v="NA11WR-79"/>
  </r>
  <r>
    <x v="11"/>
    <x v="405"/>
    <s v="0.06-1.10"/>
    <n v="0.57999999999999996"/>
    <s v="#26"/>
    <x v="1"/>
    <n v="1.1000000000000001"/>
    <n v="0.06"/>
    <n v="0.52"/>
    <n v="0.27039999999999997"/>
    <x v="7"/>
    <s v="NA14RB"/>
    <n v="56"/>
    <s v="NA14RB-56"/>
  </r>
  <r>
    <x v="3"/>
    <x v="462"/>
    <n v="-1.32"/>
    <n v="0.57999999999999996"/>
    <s v="#29"/>
    <x v="1"/>
    <n v="1.24"/>
    <n v="-0.08"/>
    <n v="0.66"/>
    <n v="0.43559999999999999"/>
    <x v="7"/>
    <s v="NA11RB"/>
    <n v="48"/>
    <s v="NA11RB-48"/>
  </r>
  <r>
    <x v="4"/>
    <x v="416"/>
    <n v="-1.22"/>
    <n v="0.57999999999999996"/>
    <s v="#23"/>
    <x v="3"/>
    <n v="1.19"/>
    <n v="-0.03"/>
    <n v="0.61"/>
    <n v="0.37209999999999999"/>
    <x v="7"/>
    <s v="NA7TE"/>
    <n v="59"/>
    <s v="NA7TE-59"/>
  </r>
  <r>
    <x v="13"/>
    <x v="437"/>
    <s v="0.05-1.11"/>
    <n v="0.57999999999999996"/>
    <s v="#21"/>
    <x v="1"/>
    <n v="1.1100000000000001"/>
    <n v="0.05"/>
    <n v="0.53"/>
    <n v="0.28089999999999998"/>
    <x v="7"/>
    <s v="NA8RB"/>
    <n v="52"/>
    <s v="NA8RB-52"/>
  </r>
  <r>
    <x v="15"/>
    <x v="437"/>
    <s v="0.02-1.14"/>
    <n v="0.57999999999999996"/>
    <s v="#8"/>
    <x v="1"/>
    <n v="1.1399999999999999"/>
    <n v="0.02"/>
    <n v="0.56000000000000005"/>
    <n v="0.31359999999999999"/>
    <x v="7"/>
    <s v="NA10RB"/>
    <n v="53"/>
    <s v="NA10RB-53"/>
  </r>
  <r>
    <x v="5"/>
    <x v="420"/>
    <n v="-1.52"/>
    <n v="0.57999999999999996"/>
    <s v="#6"/>
    <x v="1"/>
    <n v="1.34"/>
    <n v="-0.18"/>
    <n v="0.76"/>
    <n v="0.5776"/>
    <x v="7"/>
    <s v="NA13RB"/>
    <n v="61"/>
    <s v="NA13RB-61"/>
  </r>
  <r>
    <x v="9"/>
    <x v="420"/>
    <n v="-1.48"/>
    <n v="0.57999999999999996"/>
    <s v="#3"/>
    <x v="1"/>
    <n v="1.32"/>
    <n v="-0.16"/>
    <n v="0.74"/>
    <n v="0.54759999999999998"/>
    <x v="7"/>
    <s v="NA15RB"/>
    <n v="61"/>
    <s v="NA15RB-61"/>
  </r>
  <r>
    <x v="2"/>
    <x v="318"/>
    <n v="-1.5"/>
    <n v="0.57999999999999996"/>
    <s v="#11"/>
    <x v="2"/>
    <n v="1.33"/>
    <n v="-0.17"/>
    <n v="0.75"/>
    <n v="0.5625"/>
    <x v="7"/>
    <s v="NA9WR"/>
    <n v="83"/>
    <s v="NA9WR-83"/>
  </r>
  <r>
    <x v="1"/>
    <x v="438"/>
    <s v="0.01-1.15"/>
    <n v="0.57999999999999996"/>
    <s v="#7"/>
    <x v="3"/>
    <n v="1.1499999999999999"/>
    <n v="0.01"/>
    <n v="0.56999999999999995"/>
    <n v="0.32490000000000002"/>
    <x v="7"/>
    <s v="NA16TE"/>
    <n v="63"/>
    <s v="NA16TE-63"/>
  </r>
  <r>
    <x v="8"/>
    <x v="333"/>
    <n v="-1.18"/>
    <n v="0.57999999999999996"/>
    <s v="#18"/>
    <x v="3"/>
    <n v="1.17"/>
    <n v="-0.01"/>
    <n v="0.59"/>
    <n v="0.34810000000000002"/>
    <x v="7"/>
    <s v="NA6TE"/>
    <n v="57"/>
    <s v="NA6TE-57"/>
  </r>
  <r>
    <x v="5"/>
    <x v="399"/>
    <n v="-1.5999999999999999"/>
    <n v="0.57999999999999996"/>
    <s v="#3"/>
    <x v="2"/>
    <n v="1.38"/>
    <n v="-0.22"/>
    <n v="0.8"/>
    <n v="0.64"/>
    <x v="7"/>
    <s v="NA13WR"/>
    <n v="96"/>
    <s v="NA13WR-96"/>
  </r>
  <r>
    <x v="0"/>
    <x v="399"/>
    <n v="-1.4"/>
    <n v="0.57999999999999996"/>
    <s v="#14"/>
    <x v="2"/>
    <n v="1.28"/>
    <n v="-0.12"/>
    <n v="0.7"/>
    <n v="0.49"/>
    <x v="7"/>
    <s v="NA17WR"/>
    <n v="100"/>
    <s v="NA17WR-100"/>
  </r>
  <r>
    <x v="3"/>
    <x v="453"/>
    <n v="-1.24"/>
    <n v="0.57999999999999996"/>
    <s v="#20"/>
    <x v="3"/>
    <n v="1.2"/>
    <n v="-0.04"/>
    <n v="0.62"/>
    <n v="0.38440000000000002"/>
    <x v="7"/>
    <s v="NA11TE"/>
    <n v="50"/>
    <s v="NA11TE-50"/>
  </r>
  <r>
    <x v="8"/>
    <x v="412"/>
    <n v="-1.18"/>
    <n v="0.57999999999999996"/>
    <s v="#31"/>
    <x v="0"/>
    <n v="1.17"/>
    <n v="-0.01"/>
    <n v="0.59"/>
    <n v="0.34810000000000002"/>
    <x v="7"/>
    <s v="NA6QB"/>
    <n v="37"/>
    <s v="NA6QB-37"/>
  </r>
  <r>
    <x v="1"/>
    <x v="412"/>
    <s v="0.04-1.12"/>
    <n v="0.57999999999999996"/>
    <s v="#7"/>
    <x v="0"/>
    <n v="1.1200000000000001"/>
    <n v="0.04"/>
    <n v="0.54"/>
    <n v="0.29160000000000003"/>
    <x v="7"/>
    <s v="NA16QB"/>
    <n v="38"/>
    <s v="NA16QB-38"/>
  </r>
  <r>
    <x v="9"/>
    <x v="391"/>
    <n v="-1.22"/>
    <n v="0.57999999999999996"/>
    <s v="#3"/>
    <x v="2"/>
    <n v="1.19"/>
    <n v="-0.03"/>
    <n v="0.61"/>
    <n v="0.37209999999999999"/>
    <x v="7"/>
    <s v="NA15WR"/>
    <n v="97"/>
    <s v="NA15WR-97"/>
  </r>
  <r>
    <x v="7"/>
    <x v="418"/>
    <n v="-1.34"/>
    <n v="0.57999999999999996"/>
    <s v="#25"/>
    <x v="2"/>
    <n v="1.25"/>
    <n v="-0.09"/>
    <n v="0.67"/>
    <n v="0.44890000000000002"/>
    <x v="7"/>
    <s v="NA1WR"/>
    <n v="67"/>
    <s v="NA1WR-67"/>
  </r>
  <r>
    <x v="4"/>
    <x v="433"/>
    <n v="-1.34"/>
    <n v="0.57999999999999996"/>
    <s v="#31"/>
    <x v="3"/>
    <n v="1.25"/>
    <n v="-0.09"/>
    <n v="0.67"/>
    <n v="0.44890000000000002"/>
    <x v="7"/>
    <s v="NA7TE"/>
    <n v="60"/>
    <s v="NA7TE-60"/>
  </r>
  <r>
    <x v="12"/>
    <x v="409"/>
    <n v="-1.56"/>
    <n v="0.57999999999999996"/>
    <s v="#14"/>
    <x v="1"/>
    <n v="1.36"/>
    <n v="-0.2"/>
    <n v="0.78"/>
    <n v="0.60840000000000005"/>
    <x v="7"/>
    <s v="NA5RB"/>
    <n v="55"/>
    <s v="NA5RB-55"/>
  </r>
  <r>
    <x v="2"/>
    <x v="439"/>
    <s v="0.06-1.10"/>
    <n v="0.57999999999999996"/>
    <s v="#5"/>
    <x v="2"/>
    <n v="1.1000000000000001"/>
    <n v="0.06"/>
    <n v="0.52"/>
    <n v="0.27039999999999997"/>
    <x v="7"/>
    <s v="NA9WR"/>
    <n v="84"/>
    <s v="NA9WR-84"/>
  </r>
  <r>
    <x v="6"/>
    <x v="454"/>
    <s v="0.05-1.11"/>
    <n v="0.57999999999999996"/>
    <s v="#22"/>
    <x v="3"/>
    <n v="1.1100000000000001"/>
    <n v="0.05"/>
    <n v="0.53"/>
    <n v="0.28089999999999998"/>
    <x v="7"/>
    <s v="NA12TE"/>
    <n v="55"/>
    <s v="NA12TE-55"/>
  </r>
  <r>
    <x v="11"/>
    <x v="454"/>
    <n v="-1.2"/>
    <n v="0.57999999999999996"/>
    <s v="#23"/>
    <x v="3"/>
    <n v="1.18"/>
    <n v="-0.02"/>
    <n v="0.6"/>
    <n v="0.36"/>
    <x v="7"/>
    <s v="NA14TE"/>
    <n v="65"/>
    <s v="NA14TE-65"/>
  </r>
  <r>
    <x v="9"/>
    <x v="386"/>
    <s v="0.00-1.16"/>
    <n v="0.57999999999999996"/>
    <s v="#23"/>
    <x v="1"/>
    <n v="1.1599999999999999"/>
    <n v="0"/>
    <n v="0.57999999999999996"/>
    <n v="0.33639999999999998"/>
    <x v="7"/>
    <s v="NA15RB"/>
    <n v="62"/>
    <s v="NA15RB-62"/>
  </r>
  <r>
    <x v="1"/>
    <x v="386"/>
    <n v="-1.2"/>
    <n v="0.57999999999999996"/>
    <s v="#22"/>
    <x v="1"/>
    <n v="1.18"/>
    <n v="-0.02"/>
    <n v="0.6"/>
    <n v="0.36"/>
    <x v="7"/>
    <s v="NA16RB"/>
    <n v="60"/>
    <s v="NA16RB-60"/>
  </r>
  <r>
    <x v="9"/>
    <x v="434"/>
    <s v="0.04-1.12"/>
    <n v="0.57999999999999996"/>
    <s v="#16"/>
    <x v="2"/>
    <n v="1.1200000000000001"/>
    <n v="0.04"/>
    <n v="0.54"/>
    <n v="0.29160000000000003"/>
    <x v="7"/>
    <s v="NA15WR"/>
    <n v="98"/>
    <s v="NA15WR-98"/>
  </r>
  <r>
    <x v="0"/>
    <x v="424"/>
    <s v="0.06-1.10"/>
    <n v="0.57999999999999996"/>
    <s v="#6"/>
    <x v="1"/>
    <n v="1.1000000000000001"/>
    <n v="0.06"/>
    <n v="0.52"/>
    <n v="0.27039999999999997"/>
    <x v="7"/>
    <s v="NA17RB"/>
    <n v="53"/>
    <s v="NA17RB-53"/>
  </r>
  <r>
    <x v="8"/>
    <x v="357"/>
    <n v="-1.34"/>
    <n v="0.57999999999999996"/>
    <s v="#6"/>
    <x v="3"/>
    <n v="1.25"/>
    <n v="-0.09"/>
    <n v="0.67"/>
    <n v="0.44890000000000002"/>
    <x v="7"/>
    <s v="NA6TE"/>
    <n v="58"/>
    <s v="NA6TE-58"/>
  </r>
  <r>
    <x v="0"/>
    <x v="367"/>
    <n v="-1.68"/>
    <n v="0.57999999999999996"/>
    <s v="#11"/>
    <x v="1"/>
    <n v="1.42"/>
    <n v="-0.26"/>
    <n v="0.84"/>
    <n v="0.7056"/>
    <x v="7"/>
    <s v="NA17RB"/>
    <n v="54"/>
    <s v="NA17RB-54"/>
  </r>
  <r>
    <x v="7"/>
    <x v="349"/>
    <n v="-2.54"/>
    <n v="0.57999999999999996"/>
    <s v="#2"/>
    <x v="1"/>
    <n v="1.85"/>
    <n v="-0.69"/>
    <n v="1.27"/>
    <n v="1.6129"/>
    <x v="7"/>
    <s v="NA1RB"/>
    <n v="39"/>
    <s v="NA1RB-39"/>
  </r>
  <r>
    <x v="2"/>
    <x v="455"/>
    <n v="-1.26"/>
    <n v="0.57999999999999996"/>
    <s v="#10"/>
    <x v="0"/>
    <n v="1.21"/>
    <n v="-0.05"/>
    <n v="0.63"/>
    <n v="0.39689999999999998"/>
    <x v="7"/>
    <s v="NA9QB"/>
    <n v="31"/>
    <s v="NA9QB-31"/>
  </r>
  <r>
    <x v="11"/>
    <x v="455"/>
    <n v="-1.32"/>
    <n v="0.57999999999999996"/>
    <s v="#31"/>
    <x v="0"/>
    <n v="1.24"/>
    <n v="-0.08"/>
    <n v="0.66"/>
    <n v="0.43559999999999999"/>
    <x v="7"/>
    <s v="NA14QB"/>
    <n v="38"/>
    <s v="NA14QB-38"/>
  </r>
  <r>
    <x v="11"/>
    <x v="368"/>
    <s v="0.07-1.09"/>
    <n v="0.57999999999999996"/>
    <s v="#16"/>
    <x v="2"/>
    <n v="1.0900000000000001"/>
    <n v="7.0000000000000007E-2"/>
    <n v="0.51"/>
    <n v="0.2601"/>
    <x v="7"/>
    <s v="NA14WR"/>
    <n v="97"/>
    <s v="NA14WR-97"/>
  </r>
  <r>
    <x v="1"/>
    <x v="332"/>
    <n v="-1.4"/>
    <n v="0.57999999999999996"/>
    <s v="#6"/>
    <x v="2"/>
    <n v="1.28"/>
    <n v="-0.12"/>
    <n v="0.7"/>
    <n v="0.49"/>
    <x v="7"/>
    <s v="NA16WR"/>
    <n v="96"/>
    <s v="NA16WR-96"/>
  </r>
  <r>
    <x v="12"/>
    <x v="395"/>
    <s v="0.08-1.06"/>
    <n v="0.56999999999999995"/>
    <s v="#20"/>
    <x v="0"/>
    <n v="1.06"/>
    <n v="0.08"/>
    <n v="0.49"/>
    <n v="0.24010000000000001"/>
    <x v="7"/>
    <s v="NA5QB"/>
    <n v="33"/>
    <s v="NA5QB-33"/>
  </r>
  <r>
    <x v="13"/>
    <x v="459"/>
    <n v="-1.38"/>
    <n v="0.56999999999999995"/>
    <s v="#4"/>
    <x v="3"/>
    <n v="1.26"/>
    <n v="-0.12"/>
    <n v="0.69"/>
    <n v="0.47610000000000002"/>
    <x v="7"/>
    <s v="NA8TE"/>
    <n v="56"/>
    <s v="NA8TE-56"/>
  </r>
  <r>
    <x v="10"/>
    <x v="431"/>
    <n v="-1.4"/>
    <n v="0.56999999999999995"/>
    <s v="#6"/>
    <x v="3"/>
    <n v="1.27"/>
    <n v="-0.13"/>
    <n v="0.7"/>
    <n v="0.49"/>
    <x v="7"/>
    <s v="NA2TE"/>
    <n v="56"/>
    <s v="NA2TE-56"/>
  </r>
  <r>
    <x v="3"/>
    <x v="436"/>
    <s v="0.05-1.09"/>
    <n v="0.56999999999999995"/>
    <s v="#10"/>
    <x v="3"/>
    <n v="1.0900000000000001"/>
    <n v="0.05"/>
    <n v="0.52"/>
    <n v="0.27039999999999997"/>
    <x v="7"/>
    <s v="NA11TE"/>
    <n v="51"/>
    <s v="NA11TE-51"/>
  </r>
  <r>
    <x v="15"/>
    <x v="427"/>
    <s v="0.07-1.07"/>
    <n v="0.56999999999999995"/>
    <s v="#12"/>
    <x v="3"/>
    <n v="1.07"/>
    <n v="7.0000000000000007E-2"/>
    <n v="0.5"/>
    <n v="0.25"/>
    <x v="7"/>
    <s v="NA10TE"/>
    <n v="56"/>
    <s v="NA10TE-56"/>
  </r>
  <r>
    <x v="9"/>
    <x v="451"/>
    <n v="-1.1599999999999999"/>
    <n v="0.56999999999999995"/>
    <s v="#21"/>
    <x v="3"/>
    <n v="1.1499999999999999"/>
    <n v="-0.01"/>
    <n v="0.57999999999999996"/>
    <n v="0.33639999999999998"/>
    <x v="7"/>
    <s v="NA15TE"/>
    <n v="65"/>
    <s v="NA15TE-65"/>
  </r>
  <r>
    <x v="13"/>
    <x v="400"/>
    <n v="-1.34"/>
    <n v="0.56999999999999995"/>
    <s v="#27"/>
    <x v="1"/>
    <n v="1.24"/>
    <n v="-0.1"/>
    <n v="0.67"/>
    <n v="0.44890000000000002"/>
    <x v="7"/>
    <s v="NA8RB"/>
    <n v="53"/>
    <s v="NA8RB-53"/>
  </r>
  <r>
    <x v="14"/>
    <x v="449"/>
    <n v="-1.34"/>
    <n v="0.56999999999999995"/>
    <s v="#22"/>
    <x v="2"/>
    <n v="1.24"/>
    <n v="-0.1"/>
    <n v="0.67"/>
    <n v="0.44890000000000002"/>
    <x v="7"/>
    <s v="NA4WR"/>
    <n v="71"/>
    <s v="NA4WR-71"/>
  </r>
  <r>
    <x v="0"/>
    <x v="345"/>
    <n v="-1.26"/>
    <n v="0.56999999999999995"/>
    <s v="#31"/>
    <x v="1"/>
    <n v="1.2"/>
    <n v="-0.06"/>
    <n v="0.63"/>
    <n v="0.39689999999999998"/>
    <x v="7"/>
    <s v="NA17RB"/>
    <n v="55"/>
    <s v="NA17RB-55"/>
  </r>
  <r>
    <x v="8"/>
    <x v="456"/>
    <n v="-1.24"/>
    <n v="0.56999999999999995"/>
    <s v="#10"/>
    <x v="3"/>
    <n v="1.19"/>
    <n v="-0.05"/>
    <n v="0.62"/>
    <n v="0.38440000000000002"/>
    <x v="7"/>
    <s v="NA6TE"/>
    <n v="59"/>
    <s v="NA6TE-59"/>
  </r>
  <r>
    <x v="13"/>
    <x v="456"/>
    <n v="-1.34"/>
    <n v="0.56999999999999995"/>
    <s v="#32"/>
    <x v="3"/>
    <n v="1.24"/>
    <n v="-0.1"/>
    <n v="0.67"/>
    <n v="0.44890000000000002"/>
    <x v="7"/>
    <s v="NA8TE"/>
    <n v="57"/>
    <s v="NA8TE-57"/>
  </r>
  <r>
    <x v="6"/>
    <x v="339"/>
    <s v="0.03-1.11"/>
    <n v="0.56999999999999995"/>
    <s v="#14"/>
    <x v="1"/>
    <n v="1.1100000000000001"/>
    <n v="0.03"/>
    <n v="0.54"/>
    <n v="0.29160000000000003"/>
    <x v="7"/>
    <s v="NA12RB"/>
    <n v="53"/>
    <s v="NA12RB-53"/>
  </r>
  <r>
    <x v="4"/>
    <x v="461"/>
    <n v="-1.26"/>
    <n v="0.56999999999999995"/>
    <s v="#19"/>
    <x v="0"/>
    <n v="1.2"/>
    <n v="-0.06"/>
    <n v="0.63"/>
    <n v="0.39689999999999998"/>
    <x v="7"/>
    <s v="NA7QB"/>
    <n v="34"/>
    <s v="NA7QB-34"/>
  </r>
  <r>
    <x v="3"/>
    <x v="461"/>
    <n v="-1.26"/>
    <n v="0.56999999999999995"/>
    <s v="#10"/>
    <x v="0"/>
    <n v="1.2"/>
    <n v="-0.06"/>
    <n v="0.63"/>
    <n v="0.39689999999999998"/>
    <x v="7"/>
    <s v="NA11QB"/>
    <n v="30"/>
    <s v="NA11QB-30"/>
  </r>
  <r>
    <x v="0"/>
    <x v="461"/>
    <n v="-1.32"/>
    <n v="0.56999999999999995"/>
    <s v="#25"/>
    <x v="0"/>
    <n v="1.23"/>
    <n v="-0.09"/>
    <n v="0.66"/>
    <n v="0.43559999999999999"/>
    <x v="7"/>
    <s v="NA17QB"/>
    <n v="38"/>
    <s v="NA17QB-38"/>
  </r>
  <r>
    <x v="11"/>
    <x v="410"/>
    <n v="-1.28"/>
    <n v="0.56999999999999995"/>
    <s v="#11"/>
    <x v="2"/>
    <n v="1.21"/>
    <n v="-7.0000000000000007E-2"/>
    <n v="0.64"/>
    <n v="0.40960000000000002"/>
    <x v="7"/>
    <s v="NA14WR"/>
    <n v="98"/>
    <s v="NA14WR-98"/>
  </r>
  <r>
    <x v="0"/>
    <x v="346"/>
    <n v="-1.1599999999999999"/>
    <n v="0.56999999999999995"/>
    <s v="#15"/>
    <x v="2"/>
    <n v="1.1499999999999999"/>
    <n v="-0.01"/>
    <n v="0.57999999999999996"/>
    <n v="0.33639999999999998"/>
    <x v="7"/>
    <s v="NA17WR"/>
    <n v="101"/>
    <s v="NA17WR-101"/>
  </r>
  <r>
    <x v="4"/>
    <x v="457"/>
    <n v="-1.2"/>
    <n v="0.56999999999999995"/>
    <s v="#10"/>
    <x v="3"/>
    <n v="1.17"/>
    <n v="-0.03"/>
    <n v="0.6"/>
    <n v="0.36"/>
    <x v="7"/>
    <s v="NA7TE"/>
    <n v="61"/>
    <s v="NA7TE-61"/>
  </r>
  <r>
    <x v="6"/>
    <x v="457"/>
    <n v="-1.3"/>
    <n v="0.56999999999999995"/>
    <s v="#31"/>
    <x v="3"/>
    <n v="1.22"/>
    <n v="-0.08"/>
    <n v="0.65"/>
    <n v="0.42249999999999999"/>
    <x v="7"/>
    <s v="NA12TE"/>
    <n v="56"/>
    <s v="NA12TE-56"/>
  </r>
  <r>
    <x v="12"/>
    <x v="414"/>
    <s v="0.04-1.10"/>
    <n v="0.56999999999999995"/>
    <s v="#4"/>
    <x v="2"/>
    <n v="1.1000000000000001"/>
    <n v="0.04"/>
    <n v="0.53"/>
    <n v="0.28089999999999998"/>
    <x v="7"/>
    <s v="NA5WR"/>
    <n v="95"/>
    <s v="NA5WR-95"/>
  </r>
  <r>
    <x v="2"/>
    <x v="363"/>
    <n v="-1.3"/>
    <n v="0.56999999999999995"/>
    <s v="#31"/>
    <x v="2"/>
    <n v="1.22"/>
    <n v="-0.08"/>
    <n v="0.65"/>
    <n v="0.42249999999999999"/>
    <x v="7"/>
    <s v="NA9WR"/>
    <n v="85"/>
    <s v="NA9WR-85"/>
  </r>
  <r>
    <x v="9"/>
    <x v="450"/>
    <n v="-1.22"/>
    <n v="0.56999999999999995"/>
    <s v="#21"/>
    <x v="3"/>
    <n v="1.18"/>
    <n v="-0.04"/>
    <n v="0.61"/>
    <n v="0.37209999999999999"/>
    <x v="7"/>
    <s v="NA15TE"/>
    <n v="66"/>
    <s v="NA15TE-66"/>
  </r>
  <r>
    <x v="8"/>
    <x v="422"/>
    <n v="-1.32"/>
    <n v="0.56999999999999995"/>
    <s v="#1"/>
    <x v="2"/>
    <n v="1.23"/>
    <n v="-0.09"/>
    <n v="0.66"/>
    <n v="0.43559999999999999"/>
    <x v="7"/>
    <s v="NA6WR"/>
    <n v="94"/>
    <s v="NA6WR-94"/>
  </r>
  <r>
    <x v="2"/>
    <x v="334"/>
    <s v="0.00-1.14"/>
    <n v="0.56999999999999995"/>
    <s v="#20"/>
    <x v="2"/>
    <n v="1.1399999999999999"/>
    <n v="0"/>
    <n v="0.56999999999999995"/>
    <n v="0.32490000000000002"/>
    <x v="7"/>
    <s v="NA9WR"/>
    <n v="86"/>
    <s v="NA9WR-86"/>
  </r>
  <r>
    <x v="1"/>
    <x v="441"/>
    <s v="0.01-1.13"/>
    <n v="0.56999999999999995"/>
    <s v="#30"/>
    <x v="2"/>
    <n v="1.1299999999999999"/>
    <n v="0.01"/>
    <n v="0.56000000000000005"/>
    <n v="0.31359999999999999"/>
    <x v="7"/>
    <s v="NA16WR"/>
    <n v="97"/>
    <s v="NA16WR-97"/>
  </r>
  <r>
    <x v="11"/>
    <x v="331"/>
    <n v="-1.24"/>
    <n v="0.56999999999999995"/>
    <s v="#28"/>
    <x v="3"/>
    <n v="1.19"/>
    <n v="-0.05"/>
    <n v="0.62"/>
    <n v="0.38440000000000002"/>
    <x v="7"/>
    <s v="NA14TE"/>
    <n v="66"/>
    <s v="NA14TE-66"/>
  </r>
  <r>
    <x v="16"/>
    <x v="375"/>
    <s v="0.04-1.10"/>
    <n v="0.56999999999999995"/>
    <s v="#10"/>
    <x v="0"/>
    <n v="1.1000000000000001"/>
    <n v="0.04"/>
    <n v="0.53"/>
    <n v="0.28089999999999998"/>
    <x v="7"/>
    <s v="NA3QB"/>
    <n v="34"/>
    <s v="NA3QB-34"/>
  </r>
  <r>
    <x v="0"/>
    <x v="328"/>
    <n v="-1.1599999999999999"/>
    <n v="0.56999999999999995"/>
    <s v="#16"/>
    <x v="2"/>
    <n v="1.1499999999999999"/>
    <n v="-0.01"/>
    <n v="0.57999999999999996"/>
    <n v="0.33639999999999998"/>
    <x v="7"/>
    <s v="NA17WR"/>
    <n v="102"/>
    <s v="NA17WR-102"/>
  </r>
  <r>
    <x v="9"/>
    <x v="405"/>
    <s v="0.03-1.11"/>
    <n v="0.56999999999999995"/>
    <s v="#18"/>
    <x v="1"/>
    <n v="1.1100000000000001"/>
    <n v="0.03"/>
    <n v="0.54"/>
    <n v="0.29160000000000003"/>
    <x v="7"/>
    <s v="NA15RB"/>
    <n v="63"/>
    <s v="NA15RB-63"/>
  </r>
  <r>
    <x v="11"/>
    <x v="353"/>
    <n v="-1.4"/>
    <n v="0.56999999999999995"/>
    <s v="#19"/>
    <x v="2"/>
    <n v="1.27"/>
    <n v="-0.13"/>
    <n v="0.7"/>
    <n v="0.49"/>
    <x v="7"/>
    <s v="NA14WR"/>
    <n v="99"/>
    <s v="NA14WR-99"/>
  </r>
  <r>
    <x v="16"/>
    <x v="329"/>
    <s v="0.08-1.06"/>
    <n v="0.56999999999999995"/>
    <s v="#6"/>
    <x v="0"/>
    <n v="1.06"/>
    <n v="0.08"/>
    <n v="0.49"/>
    <n v="0.24010000000000001"/>
    <x v="7"/>
    <s v="NA3QB"/>
    <n v="35"/>
    <s v="NA3QB-35"/>
  </r>
  <r>
    <x v="4"/>
    <x v="442"/>
    <s v="0.01-1.13"/>
    <n v="0.56999999999999995"/>
    <s v="#9"/>
    <x v="3"/>
    <n v="1.1299999999999999"/>
    <n v="0.01"/>
    <n v="0.56000000000000005"/>
    <n v="0.31359999999999999"/>
    <x v="7"/>
    <s v="NA7TE"/>
    <n v="62"/>
    <s v="NA7TE-62"/>
  </r>
  <r>
    <x v="2"/>
    <x v="442"/>
    <n v="-1.22"/>
    <n v="0.56999999999999995"/>
    <s v="#5"/>
    <x v="3"/>
    <n v="1.18"/>
    <n v="-0.04"/>
    <n v="0.61"/>
    <n v="0.37209999999999999"/>
    <x v="7"/>
    <s v="NA9TE"/>
    <n v="50"/>
    <s v="NA9TE-50"/>
  </r>
  <r>
    <x v="3"/>
    <x v="443"/>
    <n v="-1.22"/>
    <n v="0.56999999999999995"/>
    <s v="#26"/>
    <x v="2"/>
    <n v="1.18"/>
    <n v="-0.04"/>
    <n v="0.61"/>
    <n v="0.37209999999999999"/>
    <x v="7"/>
    <s v="NA11WR"/>
    <n v="80"/>
    <s v="NA11WR-80"/>
  </r>
  <r>
    <x v="6"/>
    <x v="335"/>
    <n v="-1.5"/>
    <n v="0.56999999999999995"/>
    <s v="#6"/>
    <x v="3"/>
    <n v="1.32"/>
    <n v="-0.18"/>
    <n v="0.75"/>
    <n v="0.5625"/>
    <x v="7"/>
    <s v="NA12TE"/>
    <n v="57"/>
    <s v="NA12TE-57"/>
  </r>
  <r>
    <x v="5"/>
    <x v="322"/>
    <n v="-1.48"/>
    <n v="0.56999999999999995"/>
    <s v="#28"/>
    <x v="2"/>
    <n v="1.31"/>
    <n v="-0.17"/>
    <n v="0.74"/>
    <n v="0.54759999999999998"/>
    <x v="7"/>
    <s v="NA13WR"/>
    <n v="97"/>
    <s v="NA13WR-97"/>
  </r>
  <r>
    <x v="5"/>
    <x v="437"/>
    <s v="0.01-1.13"/>
    <n v="0.56999999999999995"/>
    <s v="#28"/>
    <x v="1"/>
    <n v="1.1299999999999999"/>
    <n v="0.01"/>
    <n v="0.56000000000000005"/>
    <n v="0.31359999999999999"/>
    <x v="7"/>
    <s v="NA13RB"/>
    <n v="62"/>
    <s v="NA13RB-62"/>
  </r>
  <r>
    <x v="15"/>
    <x v="417"/>
    <n v="-1.18"/>
    <n v="0.56999999999999995"/>
    <s v="#12"/>
    <x v="2"/>
    <n v="1.1599999999999999"/>
    <n v="-0.02"/>
    <n v="0.59"/>
    <n v="0.34810000000000002"/>
    <x v="7"/>
    <s v="NA10WR"/>
    <n v="92"/>
    <s v="NA10WR-92"/>
  </r>
  <r>
    <x v="11"/>
    <x v="417"/>
    <n v="-1.24"/>
    <n v="0.56999999999999995"/>
    <s v="#30"/>
    <x v="2"/>
    <n v="1.19"/>
    <n v="-0.05"/>
    <n v="0.62"/>
    <n v="0.38440000000000002"/>
    <x v="7"/>
    <s v="NA14WR"/>
    <n v="100"/>
    <s v="NA14WR-100"/>
  </r>
  <r>
    <x v="8"/>
    <x v="377"/>
    <n v="-1.2"/>
    <n v="0.56999999999999995"/>
    <s v="#21"/>
    <x v="2"/>
    <n v="1.17"/>
    <n v="-0.03"/>
    <n v="0.6"/>
    <n v="0.36"/>
    <x v="7"/>
    <s v="NA6WR"/>
    <n v="95"/>
    <s v="NA6WR-95"/>
  </r>
  <r>
    <x v="4"/>
    <x v="377"/>
    <n v="-1.2"/>
    <n v="0.56999999999999995"/>
    <s v="#10"/>
    <x v="2"/>
    <n v="1.17"/>
    <n v="-0.03"/>
    <n v="0.6"/>
    <n v="0.36"/>
    <x v="7"/>
    <s v="NA7WR"/>
    <n v="87"/>
    <s v="NA7WR-87"/>
  </r>
  <r>
    <x v="11"/>
    <x v="438"/>
    <s v="0.03-1.11"/>
    <n v="0.56999999999999995"/>
    <s v="#21"/>
    <x v="3"/>
    <n v="1.1100000000000001"/>
    <n v="0.03"/>
    <n v="0.54"/>
    <n v="0.29160000000000003"/>
    <x v="7"/>
    <s v="NA14TE"/>
    <n v="67"/>
    <s v="NA14TE-67"/>
  </r>
  <r>
    <x v="10"/>
    <x v="423"/>
    <s v="0.04-1.10"/>
    <n v="0.56999999999999995"/>
    <s v="#20"/>
    <x v="3"/>
    <n v="1.1000000000000001"/>
    <n v="0.04"/>
    <n v="0.53"/>
    <n v="0.28089999999999998"/>
    <x v="7"/>
    <s v="NA2TE"/>
    <n v="57"/>
    <s v="NA2TE-57"/>
  </r>
  <r>
    <x v="15"/>
    <x v="333"/>
    <n v="-1.18"/>
    <n v="0.56999999999999995"/>
    <s v="#24"/>
    <x v="3"/>
    <n v="1.1599999999999999"/>
    <n v="-0.02"/>
    <n v="0.59"/>
    <n v="0.34810000000000002"/>
    <x v="7"/>
    <s v="NA10TE"/>
    <n v="57"/>
    <s v="NA10TE-57"/>
  </r>
  <r>
    <x v="11"/>
    <x v="399"/>
    <n v="-1.36"/>
    <n v="0.56999999999999995"/>
    <s v="#27"/>
    <x v="2"/>
    <n v="1.25"/>
    <n v="-0.11"/>
    <n v="0.68"/>
    <n v="0.46239999999999998"/>
    <x v="7"/>
    <s v="NA14WR"/>
    <n v="101"/>
    <s v="NA14WR-101"/>
  </r>
  <r>
    <x v="11"/>
    <x v="303"/>
    <s v="0.00-1.14"/>
    <n v="0.56999999999999995"/>
    <s v="#20"/>
    <x v="1"/>
    <n v="1.1399999999999999"/>
    <n v="0"/>
    <n v="0.56999999999999995"/>
    <n v="0.32490000000000002"/>
    <x v="7"/>
    <s v="NA14RB"/>
    <n v="57"/>
    <s v="NA14RB-57"/>
  </r>
  <r>
    <x v="1"/>
    <x v="303"/>
    <s v="0.01-1.13"/>
    <n v="0.56999999999999995"/>
    <s v="#2"/>
    <x v="1"/>
    <n v="1.1299999999999999"/>
    <n v="0.01"/>
    <n v="0.56000000000000005"/>
    <n v="0.31359999999999999"/>
    <x v="7"/>
    <s v="NA16RB"/>
    <n v="61"/>
    <s v="NA16RB-61"/>
  </r>
  <r>
    <x v="5"/>
    <x v="402"/>
    <n v="-1.2"/>
    <n v="0.56999999999999995"/>
    <s v="#1"/>
    <x v="2"/>
    <n v="1.17"/>
    <n v="-0.03"/>
    <n v="0.6"/>
    <n v="0.36"/>
    <x v="7"/>
    <s v="NA13WR"/>
    <n v="98"/>
    <s v="NA13WR-98"/>
  </r>
  <r>
    <x v="1"/>
    <x v="402"/>
    <n v="-1.22"/>
    <n v="0.56999999999999995"/>
    <s v="#7"/>
    <x v="2"/>
    <n v="1.18"/>
    <n v="-0.04"/>
    <n v="0.61"/>
    <n v="0.37209999999999999"/>
    <x v="7"/>
    <s v="NA16WR"/>
    <n v="98"/>
    <s v="NA16WR-98"/>
  </r>
  <r>
    <x v="4"/>
    <x v="393"/>
    <n v="-1.32"/>
    <n v="0.56999999999999995"/>
    <s v="#4"/>
    <x v="1"/>
    <n v="1.23"/>
    <n v="-0.09"/>
    <n v="0.66"/>
    <n v="0.43559999999999999"/>
    <x v="7"/>
    <s v="NA7RB"/>
    <n v="47"/>
    <s v="NA7RB-47"/>
  </r>
  <r>
    <x v="1"/>
    <x v="433"/>
    <n v="-1.24"/>
    <n v="0.56999999999999995"/>
    <s v="#19"/>
    <x v="3"/>
    <n v="1.19"/>
    <n v="-0.05"/>
    <n v="0.62"/>
    <n v="0.38440000000000002"/>
    <x v="7"/>
    <s v="NA16TE"/>
    <n v="64"/>
    <s v="NA16TE-64"/>
  </r>
  <r>
    <x v="11"/>
    <x v="429"/>
    <s v="0.00-1.14"/>
    <n v="0.56999999999999995"/>
    <s v="#32"/>
    <x v="1"/>
    <n v="1.1399999999999999"/>
    <n v="0"/>
    <n v="0.56999999999999995"/>
    <n v="0.32490000000000002"/>
    <x v="7"/>
    <s v="NA14RB"/>
    <n v="58"/>
    <s v="NA14RB-58"/>
  </r>
  <r>
    <x v="14"/>
    <x v="439"/>
    <n v="-1.18"/>
    <n v="0.56999999999999995"/>
    <s v="#21"/>
    <x v="2"/>
    <n v="1.1599999999999999"/>
    <n v="-0.02"/>
    <n v="0.59"/>
    <n v="0.34810000000000002"/>
    <x v="7"/>
    <s v="NA4WR"/>
    <n v="72"/>
    <s v="NA4WR-72"/>
  </r>
  <r>
    <x v="11"/>
    <x v="439"/>
    <s v="0.04-1.10"/>
    <n v="0.56999999999999995"/>
    <s v="#4"/>
    <x v="2"/>
    <n v="1.1000000000000001"/>
    <n v="0.04"/>
    <n v="0.53"/>
    <n v="0.28089999999999998"/>
    <x v="7"/>
    <s v="NA14WR"/>
    <n v="102"/>
    <s v="NA14WR-102"/>
  </r>
  <r>
    <x v="8"/>
    <x v="421"/>
    <n v="-1.4"/>
    <n v="0.56999999999999995"/>
    <s v="#27"/>
    <x v="2"/>
    <n v="1.27"/>
    <n v="-0.13"/>
    <n v="0.7"/>
    <n v="0.49"/>
    <x v="7"/>
    <s v="NA6WR"/>
    <n v="96"/>
    <s v="NA6WR-96"/>
  </r>
  <r>
    <x v="4"/>
    <x v="367"/>
    <n v="-1.28"/>
    <n v="0.56999999999999995"/>
    <s v="#28"/>
    <x v="1"/>
    <n v="1.21"/>
    <n v="-7.0000000000000007E-2"/>
    <n v="0.64"/>
    <n v="0.40960000000000002"/>
    <x v="7"/>
    <s v="NA7RB"/>
    <n v="48"/>
    <s v="NA7RB-48"/>
  </r>
  <r>
    <x v="14"/>
    <x v="458"/>
    <n v="-1.28"/>
    <n v="0.56999999999999995"/>
    <s v="#10"/>
    <x v="3"/>
    <n v="1.21"/>
    <n v="-7.0000000000000007E-2"/>
    <n v="0.64"/>
    <n v="0.40960000000000002"/>
    <x v="7"/>
    <s v="NA4TE"/>
    <n v="53"/>
    <s v="NA4TE-53"/>
  </r>
  <r>
    <x v="5"/>
    <x v="458"/>
    <s v="0.01-1.13"/>
    <n v="0.56999999999999995"/>
    <s v="#17"/>
    <x v="3"/>
    <n v="1.1299999999999999"/>
    <n v="0.01"/>
    <n v="0.56000000000000005"/>
    <n v="0.31359999999999999"/>
    <x v="7"/>
    <s v="NA13TE"/>
    <n v="61"/>
    <s v="NA13TE-61"/>
  </r>
  <r>
    <x v="4"/>
    <x v="368"/>
    <n v="-1.22"/>
    <n v="0.56999999999999995"/>
    <s v="#10"/>
    <x v="2"/>
    <n v="1.18"/>
    <n v="-0.04"/>
    <n v="0.61"/>
    <n v="0.37209999999999999"/>
    <x v="7"/>
    <s v="NA7WR"/>
    <n v="88"/>
    <s v="NA7WR-88"/>
  </r>
  <r>
    <x v="0"/>
    <x v="459"/>
    <n v="-1.4"/>
    <n v="0.56000000000000005"/>
    <s v="#26"/>
    <x v="3"/>
    <n v="1.26"/>
    <n v="-0.14000000000000001"/>
    <n v="0.7"/>
    <n v="0.49"/>
    <x v="7"/>
    <s v="NA17TE"/>
    <n v="62"/>
    <s v="NA17TE-62"/>
  </r>
  <r>
    <x v="15"/>
    <x v="425"/>
    <s v="0.03-1.09"/>
    <n v="0.56000000000000005"/>
    <s v="#15"/>
    <x v="1"/>
    <n v="1.0900000000000001"/>
    <n v="0.03"/>
    <n v="0.53"/>
    <n v="0.28089999999999998"/>
    <x v="7"/>
    <s v="NA10RB"/>
    <n v="54"/>
    <s v="NA10RB-54"/>
  </r>
  <r>
    <x v="3"/>
    <x v="425"/>
    <s v="0.01-1.11"/>
    <n v="0.56000000000000005"/>
    <s v="#28"/>
    <x v="1"/>
    <n v="1.1100000000000001"/>
    <n v="0.01"/>
    <n v="0.55000000000000004"/>
    <n v="0.30249999999999999"/>
    <x v="7"/>
    <s v="NA11RB"/>
    <n v="49"/>
    <s v="NA11RB-49"/>
  </r>
  <r>
    <x v="14"/>
    <x v="426"/>
    <n v="-1.1599999999999999"/>
    <n v="0.56000000000000005"/>
    <s v="#23"/>
    <x v="2"/>
    <n v="1.1399999999999999"/>
    <n v="-0.02"/>
    <n v="0.57999999999999996"/>
    <n v="0.33639999999999998"/>
    <x v="7"/>
    <s v="NA4WR"/>
    <n v="73"/>
    <s v="NA4WR-73"/>
  </r>
  <r>
    <x v="10"/>
    <x v="448"/>
    <s v="0.02-1.10"/>
    <n v="0.56000000000000005"/>
    <s v="#15"/>
    <x v="1"/>
    <n v="1.1000000000000001"/>
    <n v="0.02"/>
    <n v="0.54"/>
    <n v="0.29160000000000003"/>
    <x v="7"/>
    <s v="NA2RB"/>
    <n v="46"/>
    <s v="NA2RB-46"/>
  </r>
  <r>
    <x v="8"/>
    <x v="448"/>
    <n v="-1.3"/>
    <n v="0.56000000000000005"/>
    <s v="#17"/>
    <x v="1"/>
    <n v="1.21"/>
    <n v="-0.09"/>
    <n v="0.65"/>
    <n v="0.42249999999999999"/>
    <x v="7"/>
    <s v="NA6RB"/>
    <n v="53"/>
    <s v="NA6RB-53"/>
  </r>
  <r>
    <x v="11"/>
    <x v="427"/>
    <s v="0.07-1.05"/>
    <n v="0.56000000000000005"/>
    <s v="#30"/>
    <x v="3"/>
    <n v="1.05"/>
    <n v="7.0000000000000007E-2"/>
    <n v="0.49"/>
    <n v="0.24010000000000001"/>
    <x v="7"/>
    <s v="NA14TE"/>
    <n v="68"/>
    <s v="NA14TE-68"/>
  </r>
  <r>
    <x v="15"/>
    <x v="451"/>
    <n v="-1.22"/>
    <n v="0.56000000000000005"/>
    <s v="#28"/>
    <x v="3"/>
    <n v="1.17"/>
    <n v="-0.05"/>
    <n v="0.61"/>
    <n v="0.37209999999999999"/>
    <x v="7"/>
    <s v="NA10TE"/>
    <n v="58"/>
    <s v="NA10TE-58"/>
  </r>
  <r>
    <x v="13"/>
    <x v="362"/>
    <n v="-1.26"/>
    <n v="0.56000000000000005"/>
    <s v="#4"/>
    <x v="1"/>
    <n v="1.19"/>
    <n v="-7.0000000000000007E-2"/>
    <n v="0.63"/>
    <n v="0.39689999999999998"/>
    <x v="7"/>
    <s v="NA8RB"/>
    <n v="54"/>
    <s v="NA8RB-54"/>
  </r>
  <r>
    <x v="15"/>
    <x v="362"/>
    <n v="-1.32"/>
    <n v="0.56000000000000005"/>
    <s v="#28"/>
    <x v="1"/>
    <n v="1.22"/>
    <n v="-0.1"/>
    <n v="0.66"/>
    <n v="0.43559999999999999"/>
    <x v="7"/>
    <s v="NA10RB"/>
    <n v="55"/>
    <s v="NA10RB-55"/>
  </r>
  <r>
    <x v="3"/>
    <x v="362"/>
    <n v="-1.28"/>
    <n v="0.56000000000000005"/>
    <s v="#26"/>
    <x v="1"/>
    <n v="1.2"/>
    <n v="-0.08"/>
    <n v="0.64"/>
    <n v="0.40960000000000002"/>
    <x v="7"/>
    <s v="NA11RB"/>
    <n v="50"/>
    <s v="NA11RB-50"/>
  </r>
  <r>
    <x v="6"/>
    <x v="400"/>
    <n v="-1.26"/>
    <n v="0.56000000000000005"/>
    <s v="#9"/>
    <x v="1"/>
    <n v="1.19"/>
    <n v="-7.0000000000000007E-2"/>
    <n v="0.63"/>
    <n v="0.39689999999999998"/>
    <x v="7"/>
    <s v="NA12RB"/>
    <n v="54"/>
    <s v="NA12RB-54"/>
  </r>
  <r>
    <x v="12"/>
    <x v="449"/>
    <n v="-1.32"/>
    <n v="0.56000000000000005"/>
    <s v="#12"/>
    <x v="2"/>
    <n v="1.22"/>
    <n v="-0.1"/>
    <n v="0.66"/>
    <n v="0.43559999999999999"/>
    <x v="7"/>
    <s v="NA5WR"/>
    <n v="96"/>
    <s v="NA5WR-96"/>
  </r>
  <r>
    <x v="9"/>
    <x v="449"/>
    <n v="-1.4"/>
    <n v="0.56000000000000005"/>
    <s v="#7"/>
    <x v="2"/>
    <n v="1.26"/>
    <n v="-0.14000000000000001"/>
    <n v="0.7"/>
    <n v="0.49"/>
    <x v="7"/>
    <s v="NA15WR"/>
    <n v="99"/>
    <s v="NA15WR-99"/>
  </r>
  <r>
    <x v="15"/>
    <x v="336"/>
    <s v="0.04-1.08"/>
    <n v="0.56000000000000005"/>
    <s v="#9"/>
    <x v="1"/>
    <n v="1.08"/>
    <n v="0.04"/>
    <n v="0.52"/>
    <n v="0.27039999999999997"/>
    <x v="7"/>
    <s v="NA10RB"/>
    <n v="56"/>
    <s v="NA10RB-56"/>
  </r>
  <r>
    <x v="3"/>
    <x v="345"/>
    <s v="0.06-1.06"/>
    <n v="0.56000000000000005"/>
    <s v="#23"/>
    <x v="1"/>
    <n v="1.06"/>
    <n v="0.06"/>
    <n v="0.5"/>
    <n v="0.25"/>
    <x v="7"/>
    <s v="NA11RB"/>
    <n v="51"/>
    <s v="NA11RB-51"/>
  </r>
  <r>
    <x v="11"/>
    <x v="345"/>
    <s v="0.05-1.07"/>
    <n v="0.56000000000000005"/>
    <s v="#21"/>
    <x v="1"/>
    <n v="1.07"/>
    <n v="0.05"/>
    <n v="0.51"/>
    <n v="0.2601"/>
    <x v="7"/>
    <s v="NA14RB"/>
    <n v="59"/>
    <s v="NA14RB-59"/>
  </r>
  <r>
    <x v="6"/>
    <x v="456"/>
    <n v="-1.24"/>
    <n v="0.56000000000000005"/>
    <s v="#15"/>
    <x v="3"/>
    <n v="1.18"/>
    <n v="-0.06"/>
    <n v="0.62"/>
    <n v="0.38440000000000002"/>
    <x v="7"/>
    <s v="NA12TE"/>
    <n v="58"/>
    <s v="NA12TE-58"/>
  </r>
  <r>
    <x v="1"/>
    <x v="452"/>
    <n v="-1.48"/>
    <n v="0.56000000000000005"/>
    <s v="#28"/>
    <x v="1"/>
    <n v="1.3"/>
    <n v="-0.18"/>
    <n v="0.74"/>
    <n v="0.54759999999999998"/>
    <x v="7"/>
    <s v="NA16RB"/>
    <n v="62"/>
    <s v="NA16RB-62"/>
  </r>
  <r>
    <x v="14"/>
    <x v="281"/>
    <s v="0.00-1.12"/>
    <n v="0.56000000000000005"/>
    <s v="#29"/>
    <x v="3"/>
    <n v="1.1200000000000001"/>
    <n v="0"/>
    <n v="0.56000000000000005"/>
    <n v="0.31359999999999999"/>
    <x v="7"/>
    <s v="NA4TE"/>
    <n v="54"/>
    <s v="NA4TE-54"/>
  </r>
  <r>
    <x v="2"/>
    <x v="457"/>
    <n v="-1.28"/>
    <n v="0.56000000000000005"/>
    <s v="#25"/>
    <x v="3"/>
    <n v="1.2"/>
    <n v="-0.08"/>
    <n v="0.64"/>
    <n v="0.40960000000000002"/>
    <x v="7"/>
    <s v="NA9TE"/>
    <n v="51"/>
    <s v="NA9TE-51"/>
  </r>
  <r>
    <x v="5"/>
    <x v="457"/>
    <n v="-1.26"/>
    <n v="0.56000000000000005"/>
    <s v="#8"/>
    <x v="3"/>
    <n v="1.19"/>
    <n v="-7.0000000000000007E-2"/>
    <n v="0.63"/>
    <n v="0.39689999999999998"/>
    <x v="7"/>
    <s v="NA13TE"/>
    <n v="62"/>
    <s v="NA13TE-62"/>
  </r>
  <r>
    <x v="14"/>
    <x v="342"/>
    <n v="-1.3"/>
    <n v="0.56000000000000005"/>
    <s v="#4"/>
    <x v="2"/>
    <n v="1.21"/>
    <n v="-0.09"/>
    <n v="0.65"/>
    <n v="0.42249999999999999"/>
    <x v="7"/>
    <s v="NA4WR"/>
    <n v="74"/>
    <s v="NA4WR-74"/>
  </r>
  <r>
    <x v="11"/>
    <x v="342"/>
    <n v="-1.34"/>
    <n v="0.56000000000000005"/>
    <s v="#14"/>
    <x v="2"/>
    <n v="1.23"/>
    <n v="-0.11"/>
    <n v="0.67"/>
    <n v="0.44890000000000002"/>
    <x v="7"/>
    <s v="NA14WR"/>
    <n v="103"/>
    <s v="NA14WR-103"/>
  </r>
  <r>
    <x v="5"/>
    <x v="363"/>
    <n v="-1.3"/>
    <n v="0.56000000000000005"/>
    <s v="#31"/>
    <x v="2"/>
    <n v="1.21"/>
    <n v="-0.09"/>
    <n v="0.65"/>
    <n v="0.42249999999999999"/>
    <x v="7"/>
    <s v="NA13WR"/>
    <n v="99"/>
    <s v="NA13WR-99"/>
  </r>
  <r>
    <x v="8"/>
    <x v="450"/>
    <n v="-1.24"/>
    <n v="0.56000000000000005"/>
    <s v="#24"/>
    <x v="3"/>
    <n v="1.18"/>
    <n v="-0.06"/>
    <n v="0.62"/>
    <n v="0.38440000000000002"/>
    <x v="7"/>
    <s v="NA6TE"/>
    <n v="60"/>
    <s v="NA6TE-60"/>
  </r>
  <r>
    <x v="2"/>
    <x v="422"/>
    <s v="0.05-1.07"/>
    <n v="0.56000000000000005"/>
    <s v="#23"/>
    <x v="2"/>
    <n v="1.07"/>
    <n v="0.05"/>
    <n v="0.51"/>
    <n v="0.2601"/>
    <x v="7"/>
    <s v="NA9WR"/>
    <n v="87"/>
    <s v="NA9WR-87"/>
  </r>
  <r>
    <x v="3"/>
    <x v="422"/>
    <s v="0.04-1.08"/>
    <n v="0.56000000000000005"/>
    <s v="#9"/>
    <x v="2"/>
    <n v="1.08"/>
    <n v="0.04"/>
    <n v="0.52"/>
    <n v="0.27039999999999997"/>
    <x v="7"/>
    <s v="NA11WR"/>
    <n v="81"/>
    <s v="NA11WR-81"/>
  </r>
  <r>
    <x v="1"/>
    <x v="361"/>
    <n v="-1.22"/>
    <n v="0.56000000000000005"/>
    <s v="#8"/>
    <x v="2"/>
    <n v="1.17"/>
    <n v="-0.05"/>
    <n v="0.61"/>
    <n v="0.37209999999999999"/>
    <x v="7"/>
    <s v="NA16WR"/>
    <n v="99"/>
    <s v="NA16WR-99"/>
  </r>
  <r>
    <x v="3"/>
    <x v="441"/>
    <n v="-1.22"/>
    <n v="0.56000000000000005"/>
    <s v="#3"/>
    <x v="2"/>
    <n v="1.17"/>
    <n v="-0.05"/>
    <n v="0.61"/>
    <n v="0.37209999999999999"/>
    <x v="7"/>
    <s v="NA11WR"/>
    <n v="82"/>
    <s v="NA11WR-82"/>
  </r>
  <r>
    <x v="0"/>
    <x v="441"/>
    <s v="0.01-1.11"/>
    <n v="0.56000000000000005"/>
    <s v="#19"/>
    <x v="2"/>
    <n v="1.1100000000000001"/>
    <n v="0.01"/>
    <n v="0.55000000000000004"/>
    <n v="0.30249999999999999"/>
    <x v="7"/>
    <s v="NA17WR"/>
    <n v="103"/>
    <s v="NA17WR-103"/>
  </r>
  <r>
    <x v="2"/>
    <x v="328"/>
    <n v="-1.18"/>
    <n v="0.56000000000000005"/>
    <s v="#8"/>
    <x v="2"/>
    <n v="1.1499999999999999"/>
    <n v="-0.03"/>
    <n v="0.59"/>
    <n v="0.34810000000000002"/>
    <x v="7"/>
    <s v="NA9WR"/>
    <n v="88"/>
    <s v="NA9WR-88"/>
  </r>
  <r>
    <x v="2"/>
    <x v="353"/>
    <n v="-1.3"/>
    <n v="0.56000000000000005"/>
    <s v="#8"/>
    <x v="2"/>
    <n v="1.21"/>
    <n v="-0.09"/>
    <n v="0.65"/>
    <n v="0.42249999999999999"/>
    <x v="7"/>
    <s v="NA9WR"/>
    <n v="89"/>
    <s v="NA9WR-89"/>
  </r>
  <r>
    <x v="3"/>
    <x v="353"/>
    <n v="-1.32"/>
    <n v="0.56000000000000005"/>
    <s v="#16"/>
    <x v="2"/>
    <n v="1.22"/>
    <n v="-0.1"/>
    <n v="0.66"/>
    <n v="0.43559999999999999"/>
    <x v="7"/>
    <s v="NA11WR"/>
    <n v="83"/>
    <s v="NA11WR-83"/>
  </r>
  <r>
    <x v="6"/>
    <x v="353"/>
    <n v="-1.1399999999999999"/>
    <n v="0.56000000000000005"/>
    <s v="#13"/>
    <x v="2"/>
    <n v="1.1299999999999999"/>
    <n v="-0.01"/>
    <n v="0.56999999999999995"/>
    <n v="0.32490000000000002"/>
    <x v="7"/>
    <s v="NA12WR"/>
    <n v="96"/>
    <s v="NA12WR-96"/>
  </r>
  <r>
    <x v="1"/>
    <x v="416"/>
    <n v="-1.3"/>
    <n v="0.56000000000000005"/>
    <s v="#14"/>
    <x v="3"/>
    <n v="1.21"/>
    <n v="-0.09"/>
    <n v="0.65"/>
    <n v="0.42249999999999999"/>
    <x v="7"/>
    <s v="NA16TE"/>
    <n v="65"/>
    <s v="NA16TE-65"/>
  </r>
  <r>
    <x v="5"/>
    <x v="432"/>
    <n v="-1.1399999999999999"/>
    <n v="0.56000000000000005"/>
    <s v="#19"/>
    <x v="2"/>
    <n v="1.1299999999999999"/>
    <n v="-0.01"/>
    <n v="0.56999999999999995"/>
    <n v="0.32490000000000002"/>
    <x v="7"/>
    <s v="NA13WR"/>
    <n v="100"/>
    <s v="NA13WR-100"/>
  </r>
  <r>
    <x v="16"/>
    <x v="384"/>
    <s v="0.02-1.10"/>
    <n v="0.56000000000000005"/>
    <s v="#13"/>
    <x v="2"/>
    <n v="1.1000000000000001"/>
    <n v="0.02"/>
    <n v="0.54"/>
    <n v="0.29160000000000003"/>
    <x v="7"/>
    <s v="NA3WR"/>
    <n v="80"/>
    <s v="NA3WR-80"/>
  </r>
  <r>
    <x v="7"/>
    <x v="437"/>
    <n v="-1.58"/>
    <n v="0.56000000000000005"/>
    <s v="#25"/>
    <x v="1"/>
    <n v="1.35"/>
    <n v="-0.23"/>
    <n v="0.79"/>
    <n v="0.62409999999999999"/>
    <x v="7"/>
    <s v="NA1RB"/>
    <n v="40"/>
    <s v="NA1RB-40"/>
  </r>
  <r>
    <x v="0"/>
    <x v="377"/>
    <n v="-1.2"/>
    <n v="0.56000000000000005"/>
    <s v="#10"/>
    <x v="2"/>
    <n v="1.1599999999999999"/>
    <n v="-0.04"/>
    <n v="0.6"/>
    <n v="0.36"/>
    <x v="7"/>
    <s v="NA17WR"/>
    <n v="104"/>
    <s v="NA17WR-104"/>
  </r>
  <r>
    <x v="3"/>
    <x v="318"/>
    <n v="-1.22"/>
    <n v="0.56000000000000005"/>
    <s v="#26"/>
    <x v="2"/>
    <n v="1.17"/>
    <n v="-0.05"/>
    <n v="0.61"/>
    <n v="0.37209999999999999"/>
    <x v="7"/>
    <s v="NA11WR"/>
    <n v="84"/>
    <s v="NA11WR-84"/>
  </r>
  <r>
    <x v="12"/>
    <x v="464"/>
    <n v="-1.26"/>
    <n v="0.56000000000000005"/>
    <s v="#14"/>
    <x v="3"/>
    <n v="1.19"/>
    <n v="-7.0000000000000007E-2"/>
    <n v="0.63"/>
    <n v="0.39689999999999998"/>
    <x v="7"/>
    <s v="NA5TE"/>
    <n v="63"/>
    <s v="NA5TE-63"/>
  </r>
  <r>
    <x v="2"/>
    <x v="438"/>
    <s v="0.03-1.09"/>
    <n v="0.56000000000000005"/>
    <s v="#12"/>
    <x v="3"/>
    <n v="1.0900000000000001"/>
    <n v="0.03"/>
    <n v="0.53"/>
    <n v="0.28089999999999998"/>
    <x v="7"/>
    <s v="NA9TE"/>
    <n v="52"/>
    <s v="NA9TE-52"/>
  </r>
  <r>
    <x v="6"/>
    <x v="399"/>
    <n v="-1.34"/>
    <n v="0.56000000000000005"/>
    <s v="#24"/>
    <x v="2"/>
    <n v="1.23"/>
    <n v="-0.11"/>
    <n v="0.67"/>
    <n v="0.44890000000000002"/>
    <x v="7"/>
    <s v="NA12WR"/>
    <n v="97"/>
    <s v="NA12WR-97"/>
  </r>
  <r>
    <x v="14"/>
    <x v="389"/>
    <n v="-1.4"/>
    <n v="0.56000000000000005"/>
    <s v="#16"/>
    <x v="2"/>
    <n v="1.26"/>
    <n v="-0.14000000000000001"/>
    <n v="0.7"/>
    <n v="0.49"/>
    <x v="7"/>
    <s v="NA4WR"/>
    <n v="75"/>
    <s v="NA4WR-75"/>
  </r>
  <r>
    <x v="4"/>
    <x v="303"/>
    <n v="-1.24"/>
    <n v="0.56000000000000005"/>
    <s v="#32"/>
    <x v="1"/>
    <n v="1.18"/>
    <n v="-0.06"/>
    <n v="0.62"/>
    <n v="0.38440000000000002"/>
    <x v="7"/>
    <s v="NA7RB"/>
    <n v="49"/>
    <s v="NA7RB-49"/>
  </r>
  <r>
    <x v="12"/>
    <x v="402"/>
    <n v="-1.1399999999999999"/>
    <n v="0.56000000000000005"/>
    <s v="#15"/>
    <x v="2"/>
    <n v="1.1299999999999999"/>
    <n v="-0.01"/>
    <n v="0.56999999999999995"/>
    <n v="0.32490000000000002"/>
    <x v="7"/>
    <s v="NA5WR"/>
    <n v="97"/>
    <s v="NA5WR-97"/>
  </r>
  <r>
    <x v="6"/>
    <x v="412"/>
    <n v="-1.1599999999999999"/>
    <n v="0.56000000000000005"/>
    <s v="#30"/>
    <x v="0"/>
    <n v="1.1399999999999999"/>
    <n v="-0.02"/>
    <n v="0.57999999999999996"/>
    <n v="0.33639999999999998"/>
    <x v="7"/>
    <s v="NA12QB"/>
    <n v="37"/>
    <s v="NA12QB-37"/>
  </r>
  <r>
    <x v="5"/>
    <x v="444"/>
    <s v="0.05-1.07"/>
    <n v="0.56000000000000005"/>
    <s v="#22"/>
    <x v="1"/>
    <n v="1.07"/>
    <n v="0.05"/>
    <n v="0.51"/>
    <n v="0.2601"/>
    <x v="7"/>
    <s v="NA13RB"/>
    <n v="63"/>
    <s v="NA13RB-63"/>
  </r>
  <r>
    <x v="15"/>
    <x v="445"/>
    <n v="-1.2"/>
    <n v="0.56000000000000005"/>
    <s v="#17"/>
    <x v="3"/>
    <n v="1.1599999999999999"/>
    <n v="-0.04"/>
    <n v="0.6"/>
    <n v="0.36"/>
    <x v="7"/>
    <s v="NA10TE"/>
    <n v="59"/>
    <s v="NA10TE-59"/>
  </r>
  <r>
    <x v="10"/>
    <x v="320"/>
    <n v="-1.18"/>
    <n v="0.56000000000000005"/>
    <s v="#24"/>
    <x v="3"/>
    <n v="1.1499999999999999"/>
    <n v="-0.03"/>
    <n v="0.59"/>
    <n v="0.34810000000000002"/>
    <x v="7"/>
    <s v="NA2TE"/>
    <n v="58"/>
    <s v="NA2TE-58"/>
  </r>
  <r>
    <x v="12"/>
    <x v="446"/>
    <n v="-1.46"/>
    <n v="0.56000000000000005"/>
    <s v="#27"/>
    <x v="2"/>
    <n v="1.29"/>
    <n v="-0.17"/>
    <n v="0.73"/>
    <n v="0.53290000000000004"/>
    <x v="7"/>
    <s v="NA5WR"/>
    <n v="98"/>
    <s v="NA5WR-98"/>
  </r>
  <r>
    <x v="15"/>
    <x v="446"/>
    <n v="-1.28"/>
    <n v="0.56000000000000005"/>
    <s v="#6"/>
    <x v="2"/>
    <n v="1.2"/>
    <n v="-0.08"/>
    <n v="0.64"/>
    <n v="0.40960000000000002"/>
    <x v="7"/>
    <s v="NA10WR"/>
    <n v="93"/>
    <s v="NA10WR-93"/>
  </r>
  <r>
    <x v="3"/>
    <x v="446"/>
    <n v="-1.46"/>
    <n v="0.56000000000000005"/>
    <s v="#29"/>
    <x v="2"/>
    <n v="1.29"/>
    <n v="-0.17"/>
    <n v="0.73"/>
    <n v="0.53290000000000004"/>
    <x v="7"/>
    <s v="NA11WR"/>
    <n v="85"/>
    <s v="NA11WR-85"/>
  </r>
  <r>
    <x v="0"/>
    <x v="439"/>
    <n v="-1.26"/>
    <n v="0.56000000000000005"/>
    <s v="#24"/>
    <x v="2"/>
    <n v="1.19"/>
    <n v="-7.0000000000000007E-2"/>
    <n v="0.63"/>
    <n v="0.39689999999999998"/>
    <x v="7"/>
    <s v="NA17WR"/>
    <n v="105"/>
    <s v="NA17WR-105"/>
  </r>
  <r>
    <x v="14"/>
    <x v="386"/>
    <s v="0.06-1.06"/>
    <n v="0.56000000000000005"/>
    <s v="#27"/>
    <x v="1"/>
    <n v="1.06"/>
    <n v="0.06"/>
    <n v="0.5"/>
    <n v="0.25"/>
    <x v="7"/>
    <s v="NA4RB"/>
    <n v="49"/>
    <s v="NA4RB-49"/>
  </r>
  <r>
    <x v="8"/>
    <x v="424"/>
    <n v="-1.1399999999999999"/>
    <n v="0.56000000000000005"/>
    <s v="#7"/>
    <x v="1"/>
    <n v="1.1299999999999999"/>
    <n v="-0.01"/>
    <n v="0.56999999999999995"/>
    <n v="0.32490000000000002"/>
    <x v="7"/>
    <s v="NA6RB"/>
    <n v="54"/>
    <s v="NA6RB-54"/>
  </r>
  <r>
    <x v="5"/>
    <x v="455"/>
    <n v="-1.28"/>
    <n v="0.56000000000000005"/>
    <s v="#23"/>
    <x v="0"/>
    <n v="1.2"/>
    <n v="-0.08"/>
    <n v="0.64"/>
    <n v="0.40960000000000002"/>
    <x v="7"/>
    <s v="NA13QB"/>
    <n v="39"/>
    <s v="NA13QB-39"/>
  </r>
  <r>
    <x v="13"/>
    <x v="435"/>
    <s v="0.05-1.07"/>
    <n v="0.56000000000000005"/>
    <s v="#31"/>
    <x v="1"/>
    <n v="1.07"/>
    <n v="0.05"/>
    <n v="0.51"/>
    <n v="0.2601"/>
    <x v="7"/>
    <s v="NA8RB"/>
    <n v="55"/>
    <s v="NA8RB-55"/>
  </r>
  <r>
    <x v="5"/>
    <x v="406"/>
    <n v="-1.2"/>
    <n v="0.56000000000000005"/>
    <s v="#6"/>
    <x v="2"/>
    <n v="1.1599999999999999"/>
    <n v="-0.04"/>
    <n v="0.6"/>
    <n v="0.36"/>
    <x v="7"/>
    <s v="NA13WR"/>
    <n v="101"/>
    <s v="NA13WR-101"/>
  </r>
  <r>
    <x v="2"/>
    <x v="368"/>
    <n v="-1.42"/>
    <n v="0.56000000000000005"/>
    <s v="#25"/>
    <x v="2"/>
    <n v="1.27"/>
    <n v="-0.15"/>
    <n v="0.71"/>
    <n v="0.50409999999999999"/>
    <x v="7"/>
    <s v="NA9WR"/>
    <n v="90"/>
    <s v="NA9WR-90"/>
  </r>
  <r>
    <x v="9"/>
    <x v="368"/>
    <s v="0.06-1.06"/>
    <n v="0.56000000000000005"/>
    <s v="#8"/>
    <x v="2"/>
    <n v="1.06"/>
    <n v="0.06"/>
    <n v="0.5"/>
    <n v="0.25"/>
    <x v="7"/>
    <s v="NA15WR"/>
    <n v="100"/>
    <s v="NA15WR-100"/>
  </r>
  <r>
    <x v="14"/>
    <x v="205"/>
    <n v="-1.3"/>
    <n v="0.56000000000000005"/>
    <s v="#27"/>
    <x v="2"/>
    <n v="1.21"/>
    <n v="-0.09"/>
    <n v="0.65"/>
    <n v="0.42249999999999999"/>
    <x v="7"/>
    <s v="NA4WR"/>
    <n v="76"/>
    <s v="NA4WR-76"/>
  </r>
  <r>
    <x v="11"/>
    <x v="205"/>
    <n v="-1.46"/>
    <n v="0.56000000000000005"/>
    <s v="#27"/>
    <x v="2"/>
    <n v="1.29"/>
    <n v="-0.17"/>
    <n v="0.73"/>
    <n v="0.53290000000000004"/>
    <x v="7"/>
    <s v="NA14WR"/>
    <n v="104"/>
    <s v="NA14WR-104"/>
  </r>
  <r>
    <x v="3"/>
    <x v="395"/>
    <s v="0.05-1.05"/>
    <n v="0.55000000000000004"/>
    <s v="#13"/>
    <x v="0"/>
    <n v="1.05"/>
    <n v="0.05"/>
    <n v="0.5"/>
    <n v="0.25"/>
    <x v="7"/>
    <s v="NA11QB"/>
    <n v="31"/>
    <s v="NA11QB-31"/>
  </r>
  <r>
    <x v="15"/>
    <x v="459"/>
    <n v="-1.1200000000000001"/>
    <n v="0.55000000000000004"/>
    <s v="#28"/>
    <x v="3"/>
    <n v="1.1100000000000001"/>
    <n v="-0.01"/>
    <n v="0.56000000000000005"/>
    <n v="0.31359999999999999"/>
    <x v="7"/>
    <s v="NA10TE"/>
    <n v="60"/>
    <s v="NA10TE-60"/>
  </r>
  <r>
    <x v="1"/>
    <x v="459"/>
    <n v="-1.24"/>
    <n v="0.55000000000000004"/>
    <s v="#18"/>
    <x v="3"/>
    <n v="1.17"/>
    <n v="-7.0000000000000007E-2"/>
    <n v="0.62"/>
    <n v="0.38440000000000002"/>
    <x v="7"/>
    <s v="NA16TE"/>
    <n v="66"/>
    <s v="NA16TE-66"/>
  </r>
  <r>
    <x v="16"/>
    <x v="436"/>
    <s v="0.06-1.04"/>
    <n v="0.55000000000000004"/>
    <s v="#18"/>
    <x v="3"/>
    <n v="1.04"/>
    <n v="0.06"/>
    <n v="0.49"/>
    <n v="0.24010000000000001"/>
    <x v="7"/>
    <s v="NA3TE"/>
    <n v="55"/>
    <s v="NA3TE-55"/>
  </r>
  <r>
    <x v="0"/>
    <x v="436"/>
    <s v="0.04-1.06"/>
    <n v="0.55000000000000004"/>
    <s v="#25"/>
    <x v="3"/>
    <n v="1.06"/>
    <n v="0.04"/>
    <n v="0.51"/>
    <n v="0.2601"/>
    <x v="7"/>
    <s v="NA17TE"/>
    <n v="63"/>
    <s v="NA17TE-63"/>
  </r>
  <r>
    <x v="9"/>
    <x v="354"/>
    <s v="0.02-1.08"/>
    <n v="0.55000000000000004"/>
    <s v="#25"/>
    <x v="2"/>
    <n v="1.08"/>
    <n v="0.02"/>
    <n v="0.53"/>
    <n v="0.28089999999999998"/>
    <x v="7"/>
    <s v="NA15WR"/>
    <n v="101"/>
    <s v="NA15WR-101"/>
  </r>
  <r>
    <x v="6"/>
    <x v="427"/>
    <s v="0.08-1.02"/>
    <n v="0.55000000000000004"/>
    <s v="#18"/>
    <x v="3"/>
    <n v="1.02"/>
    <n v="0.08"/>
    <n v="0.47"/>
    <n v="0.22090000000000001"/>
    <x v="7"/>
    <s v="NA12TE"/>
    <n v="59"/>
    <s v="NA12TE-59"/>
  </r>
  <r>
    <x v="5"/>
    <x v="400"/>
    <n v="-1.42"/>
    <n v="0.55000000000000004"/>
    <s v="#11"/>
    <x v="1"/>
    <n v="1.26"/>
    <n v="-0.16"/>
    <n v="0.71"/>
    <n v="0.50409999999999999"/>
    <x v="7"/>
    <s v="NA13RB"/>
    <n v="64"/>
    <s v="NA13RB-64"/>
  </r>
  <r>
    <x v="4"/>
    <x v="449"/>
    <n v="-1.28"/>
    <n v="0.55000000000000004"/>
    <s v="#1"/>
    <x v="2"/>
    <n v="1.19"/>
    <n v="-0.09"/>
    <n v="0.64"/>
    <n v="0.40960000000000002"/>
    <x v="7"/>
    <s v="NA7WR"/>
    <n v="89"/>
    <s v="NA7WR-89"/>
  </r>
  <r>
    <x v="2"/>
    <x v="449"/>
    <n v="-1.26"/>
    <n v="0.55000000000000004"/>
    <s v="#10"/>
    <x v="2"/>
    <n v="1.18"/>
    <n v="-0.08"/>
    <n v="0.63"/>
    <n v="0.39689999999999998"/>
    <x v="7"/>
    <s v="NA9WR"/>
    <n v="91"/>
    <s v="NA9WR-91"/>
  </r>
  <r>
    <x v="15"/>
    <x v="449"/>
    <n v="-1.42"/>
    <n v="0.55000000000000004"/>
    <s v="#19"/>
    <x v="2"/>
    <n v="1.26"/>
    <n v="-0.16"/>
    <n v="0.71"/>
    <n v="0.50409999999999999"/>
    <x v="7"/>
    <s v="NA10WR"/>
    <n v="94"/>
    <s v="NA10WR-94"/>
  </r>
  <r>
    <x v="5"/>
    <x v="449"/>
    <n v="-1.52"/>
    <n v="0.55000000000000004"/>
    <s v="#23"/>
    <x v="2"/>
    <n v="1.31"/>
    <n v="-0.21"/>
    <n v="0.76"/>
    <n v="0.5776"/>
    <x v="7"/>
    <s v="NA13WR"/>
    <n v="102"/>
    <s v="NA13WR-102"/>
  </r>
  <r>
    <x v="1"/>
    <x v="336"/>
    <s v="0.06-1.04"/>
    <n v="0.55000000000000004"/>
    <s v="#24"/>
    <x v="1"/>
    <n v="1.04"/>
    <n v="0.06"/>
    <n v="0.49"/>
    <n v="0.24010000000000001"/>
    <x v="7"/>
    <s v="NA16RB"/>
    <n v="63"/>
    <s v="NA16RB-63"/>
  </r>
  <r>
    <x v="6"/>
    <x v="345"/>
    <s v="0.04-1.06"/>
    <n v="0.55000000000000004"/>
    <s v="#30"/>
    <x v="1"/>
    <n v="1.06"/>
    <n v="0.04"/>
    <n v="0.51"/>
    <n v="0.2601"/>
    <x v="7"/>
    <s v="NA12RB"/>
    <n v="55"/>
    <s v="NA12RB-55"/>
  </r>
  <r>
    <x v="5"/>
    <x v="345"/>
    <s v="0.04-1.06"/>
    <n v="0.55000000000000004"/>
    <s v="#1"/>
    <x v="1"/>
    <n v="1.06"/>
    <n v="0.04"/>
    <n v="0.51"/>
    <n v="0.2601"/>
    <x v="7"/>
    <s v="NA13RB"/>
    <n v="65"/>
    <s v="NA13RB-65"/>
  </r>
  <r>
    <x v="1"/>
    <x v="456"/>
    <n v="-1.3399999999999999"/>
    <n v="0.55000000000000004"/>
    <s v="#25"/>
    <x v="3"/>
    <n v="1.22"/>
    <n v="-0.12"/>
    <n v="0.67"/>
    <n v="0.44890000000000002"/>
    <x v="7"/>
    <s v="NA16TE"/>
    <n v="67"/>
    <s v="NA16TE-67"/>
  </r>
  <r>
    <x v="16"/>
    <x v="452"/>
    <n v="-1.32"/>
    <n v="0.55000000000000004"/>
    <s v="#11"/>
    <x v="1"/>
    <n v="1.21"/>
    <n v="-0.11"/>
    <n v="0.66"/>
    <n v="0.43559999999999999"/>
    <x v="7"/>
    <s v="NA3RB"/>
    <n v="50"/>
    <s v="NA3RB-50"/>
  </r>
  <r>
    <x v="12"/>
    <x v="316"/>
    <n v="-1.1400000000000001"/>
    <n v="0.55000000000000004"/>
    <s v="#10"/>
    <x v="1"/>
    <n v="1.1200000000000001"/>
    <n v="-0.02"/>
    <n v="0.56999999999999995"/>
    <n v="0.32490000000000002"/>
    <x v="7"/>
    <s v="NA5RB"/>
    <n v="56"/>
    <s v="NA5RB-56"/>
  </r>
  <r>
    <x v="6"/>
    <x v="316"/>
    <s v="0.04-1.06"/>
    <n v="0.55000000000000004"/>
    <s v="#7"/>
    <x v="1"/>
    <n v="1.06"/>
    <n v="0.04"/>
    <n v="0.51"/>
    <n v="0.2601"/>
    <x v="7"/>
    <s v="NA12RB"/>
    <n v="56"/>
    <s v="NA12RB-56"/>
  </r>
  <r>
    <x v="4"/>
    <x v="346"/>
    <n v="-1.4"/>
    <n v="0.55000000000000004"/>
    <s v="#32"/>
    <x v="2"/>
    <n v="1.25"/>
    <n v="-0.15"/>
    <n v="0.7"/>
    <n v="0.49"/>
    <x v="7"/>
    <s v="NA7WR"/>
    <n v="90"/>
    <s v="NA7WR-90"/>
  </r>
  <r>
    <x v="16"/>
    <x v="387"/>
    <s v="0.09-1.01"/>
    <n v="0.55000000000000004"/>
    <s v="#14"/>
    <x v="0"/>
    <n v="1.01"/>
    <n v="0.09"/>
    <n v="0.46"/>
    <n v="0.21160000000000001"/>
    <x v="7"/>
    <s v="NA3QB"/>
    <n v="36"/>
    <s v="NA3QB-36"/>
  </r>
  <r>
    <x v="16"/>
    <x v="457"/>
    <n v="-1.28"/>
    <n v="0.55000000000000004"/>
    <s v="#32"/>
    <x v="3"/>
    <n v="1.19"/>
    <n v="-0.09"/>
    <n v="0.64"/>
    <n v="0.40960000000000002"/>
    <x v="7"/>
    <s v="NA3TE"/>
    <n v="56"/>
    <s v="NA3TE-56"/>
  </r>
  <r>
    <x v="9"/>
    <x v="342"/>
    <n v="-1.32"/>
    <n v="0.55000000000000004"/>
    <s v="#12"/>
    <x v="2"/>
    <n v="1.21"/>
    <n v="-0.11"/>
    <n v="0.66"/>
    <n v="0.43559999999999999"/>
    <x v="7"/>
    <s v="NA15WR"/>
    <n v="102"/>
    <s v="NA15WR-102"/>
  </r>
  <r>
    <x v="14"/>
    <x v="414"/>
    <n v="-1.2"/>
    <n v="0.55000000000000004"/>
    <s v="#32"/>
    <x v="2"/>
    <n v="1.1499999999999999"/>
    <n v="-0.05"/>
    <n v="0.6"/>
    <n v="0.36"/>
    <x v="7"/>
    <s v="NA4WR"/>
    <n v="77"/>
    <s v="NA4WR-77"/>
  </r>
  <r>
    <x v="4"/>
    <x v="363"/>
    <n v="-1.22"/>
    <n v="0.55000000000000004"/>
    <s v="#6"/>
    <x v="2"/>
    <n v="1.1599999999999999"/>
    <n v="-0.06"/>
    <n v="0.61"/>
    <n v="0.37209999999999999"/>
    <x v="7"/>
    <s v="NA7WR"/>
    <n v="91"/>
    <s v="NA7WR-91"/>
  </r>
  <r>
    <x v="9"/>
    <x v="363"/>
    <n v="-1.24"/>
    <n v="0.55000000000000004"/>
    <s v="#30"/>
    <x v="2"/>
    <n v="1.17"/>
    <n v="-7.0000000000000007E-2"/>
    <n v="0.62"/>
    <n v="0.38440000000000002"/>
    <x v="7"/>
    <s v="NA15WR"/>
    <n v="103"/>
    <s v="NA15WR-103"/>
  </r>
  <r>
    <x v="1"/>
    <x v="363"/>
    <n v="-1.32"/>
    <n v="0.55000000000000004"/>
    <s v="#29"/>
    <x v="2"/>
    <n v="1.21"/>
    <n v="-0.11"/>
    <n v="0.66"/>
    <n v="0.43559999999999999"/>
    <x v="7"/>
    <s v="NA16WR"/>
    <n v="100"/>
    <s v="NA16WR-100"/>
  </r>
  <r>
    <x v="6"/>
    <x v="450"/>
    <s v="0.00-1.10"/>
    <n v="0.55000000000000004"/>
    <s v="#28"/>
    <x v="3"/>
    <n v="1.1000000000000001"/>
    <n v="0"/>
    <n v="0.55000000000000004"/>
    <n v="0.30249999999999999"/>
    <x v="7"/>
    <s v="NA12TE"/>
    <n v="60"/>
    <s v="NA12TE-60"/>
  </r>
  <r>
    <x v="5"/>
    <x v="450"/>
    <n v="-1.26"/>
    <n v="0.55000000000000004"/>
    <s v="#22"/>
    <x v="3"/>
    <n v="1.18"/>
    <n v="-0.08"/>
    <n v="0.63"/>
    <n v="0.39689999999999998"/>
    <x v="7"/>
    <s v="NA13TE"/>
    <n v="63"/>
    <s v="NA13TE-63"/>
  </r>
  <r>
    <x v="1"/>
    <x v="341"/>
    <n v="-1.2"/>
    <n v="0.55000000000000004"/>
    <s v="#20"/>
    <x v="1"/>
    <n v="1.1499999999999999"/>
    <n v="-0.05"/>
    <n v="0.6"/>
    <n v="0.36"/>
    <x v="7"/>
    <s v="NA16RB"/>
    <n v="64"/>
    <s v="NA16RB-64"/>
  </r>
  <r>
    <x v="16"/>
    <x v="415"/>
    <n v="-1.1200000000000001"/>
    <n v="0.55000000000000004"/>
    <s v="#27"/>
    <x v="1"/>
    <n v="1.1100000000000001"/>
    <n v="-0.01"/>
    <n v="0.56000000000000005"/>
    <n v="0.31359999999999999"/>
    <x v="7"/>
    <s v="NA3RB"/>
    <n v="51"/>
    <s v="NA3RB-51"/>
  </r>
  <r>
    <x v="6"/>
    <x v="405"/>
    <s v="0.09-1.01"/>
    <n v="0.55000000000000004"/>
    <s v="#7"/>
    <x v="1"/>
    <n v="1.01"/>
    <n v="0.09"/>
    <n v="0.46"/>
    <n v="0.21160000000000001"/>
    <x v="7"/>
    <s v="NA12RB"/>
    <n v="57"/>
    <s v="NA12RB-57"/>
  </r>
  <r>
    <x v="16"/>
    <x v="353"/>
    <n v="-1.4"/>
    <n v="0.55000000000000004"/>
    <s v="#10"/>
    <x v="2"/>
    <n v="1.25"/>
    <n v="-0.15"/>
    <n v="0.7"/>
    <n v="0.49"/>
    <x v="7"/>
    <s v="NA3WR"/>
    <n v="81"/>
    <s v="NA3WR-81"/>
  </r>
  <r>
    <x v="0"/>
    <x v="353"/>
    <n v="-1.32"/>
    <n v="0.55000000000000004"/>
    <s v="#16"/>
    <x v="2"/>
    <n v="1.21"/>
    <n v="-0.11"/>
    <n v="0.66"/>
    <n v="0.43559999999999999"/>
    <x v="7"/>
    <s v="NA17WR"/>
    <n v="106"/>
    <s v="NA17WR-106"/>
  </r>
  <r>
    <x v="0"/>
    <x v="443"/>
    <n v="-1.22"/>
    <n v="0.55000000000000004"/>
    <s v="#26"/>
    <x v="2"/>
    <n v="1.1599999999999999"/>
    <n v="-0.06"/>
    <n v="0.61"/>
    <n v="0.37209999999999999"/>
    <x v="7"/>
    <s v="NA17WR"/>
    <n v="107"/>
    <s v="NA17WR-107"/>
  </r>
  <r>
    <x v="8"/>
    <x v="355"/>
    <n v="-1.2"/>
    <n v="0.55000000000000004"/>
    <s v="#6"/>
    <x v="2"/>
    <n v="1.1499999999999999"/>
    <n v="-0.05"/>
    <n v="0.6"/>
    <n v="0.36"/>
    <x v="7"/>
    <s v="NA6WR"/>
    <n v="97"/>
    <s v="NA6WR-97"/>
  </r>
  <r>
    <x v="2"/>
    <x v="416"/>
    <s v="0.06-1.04"/>
    <n v="0.55000000000000004"/>
    <s v="#29"/>
    <x v="3"/>
    <n v="1.04"/>
    <n v="0.06"/>
    <n v="0.49"/>
    <n v="0.24010000000000001"/>
    <x v="7"/>
    <s v="NA9TE"/>
    <n v="53"/>
    <s v="NA9TE-53"/>
  </r>
  <r>
    <x v="6"/>
    <x v="416"/>
    <n v="-1.22"/>
    <n v="0.55000000000000004"/>
    <s v="#23"/>
    <x v="3"/>
    <n v="1.1599999999999999"/>
    <n v="-0.06"/>
    <n v="0.61"/>
    <n v="0.37209999999999999"/>
    <x v="7"/>
    <s v="NA12TE"/>
    <n v="61"/>
    <s v="NA12TE-61"/>
  </r>
  <r>
    <x v="7"/>
    <x v="384"/>
    <s v="0.04-1.06"/>
    <n v="0.55000000000000004"/>
    <s v="#21"/>
    <x v="2"/>
    <n v="1.06"/>
    <n v="0.04"/>
    <n v="0.51"/>
    <n v="0.2601"/>
    <x v="7"/>
    <s v="NA1WR"/>
    <n v="68"/>
    <s v="NA1WR-68"/>
  </r>
  <r>
    <x v="14"/>
    <x v="384"/>
    <n v="-1.44"/>
    <n v="0.55000000000000004"/>
    <s v="#31"/>
    <x v="2"/>
    <n v="1.27"/>
    <n v="-0.17"/>
    <n v="0.72"/>
    <n v="0.51839999999999997"/>
    <x v="7"/>
    <s v="NA4WR"/>
    <n v="78"/>
    <s v="NA4WR-78"/>
  </r>
  <r>
    <x v="8"/>
    <x v="464"/>
    <n v="-1.1200000000000001"/>
    <n v="0.55000000000000004"/>
    <s v="#27"/>
    <x v="3"/>
    <n v="1.1100000000000001"/>
    <n v="-0.01"/>
    <n v="0.56000000000000005"/>
    <n v="0.31359999999999999"/>
    <x v="7"/>
    <s v="NA6TE"/>
    <n v="61"/>
    <s v="NA6TE-61"/>
  </r>
  <r>
    <x v="14"/>
    <x v="465"/>
    <n v="-1.3599999999999999"/>
    <n v="0.55000000000000004"/>
    <s v="#2"/>
    <x v="3"/>
    <n v="1.23"/>
    <n v="-0.13"/>
    <n v="0.68"/>
    <n v="0.46239999999999998"/>
    <x v="7"/>
    <s v="NA4TE"/>
    <n v="55"/>
    <s v="NA4TE-55"/>
  </r>
  <r>
    <x v="6"/>
    <x v="438"/>
    <s v="0.02-1.08"/>
    <n v="0.55000000000000004"/>
    <s v="#30"/>
    <x v="3"/>
    <n v="1.08"/>
    <n v="0.02"/>
    <n v="0.53"/>
    <n v="0.28089999999999998"/>
    <x v="7"/>
    <s v="NA12TE"/>
    <n v="62"/>
    <s v="NA12TE-62"/>
  </r>
  <r>
    <x v="5"/>
    <x v="438"/>
    <n v="-1.1200000000000001"/>
    <n v="0.55000000000000004"/>
    <s v="#1"/>
    <x v="3"/>
    <n v="1.1100000000000001"/>
    <n v="-0.01"/>
    <n v="0.56000000000000005"/>
    <n v="0.31359999999999999"/>
    <x v="7"/>
    <s v="NA13TE"/>
    <n v="64"/>
    <s v="NA13TE-64"/>
  </r>
  <r>
    <x v="2"/>
    <x v="333"/>
    <n v="-1.1599999999999999"/>
    <n v="0.55000000000000004"/>
    <s v="#17"/>
    <x v="3"/>
    <n v="1.1299999999999999"/>
    <n v="-0.03"/>
    <n v="0.57999999999999996"/>
    <n v="0.33639999999999998"/>
    <x v="7"/>
    <s v="NA9TE"/>
    <n v="54"/>
    <s v="NA9TE-54"/>
  </r>
  <r>
    <x v="8"/>
    <x v="399"/>
    <n v="-1.2"/>
    <n v="0.55000000000000004"/>
    <s v="#4"/>
    <x v="2"/>
    <n v="1.1499999999999999"/>
    <n v="-0.05"/>
    <n v="0.6"/>
    <n v="0.36"/>
    <x v="7"/>
    <s v="NA6WR"/>
    <n v="98"/>
    <s v="NA6WR-98"/>
  </r>
  <r>
    <x v="8"/>
    <x v="303"/>
    <s v="0.01-1.09"/>
    <n v="0.55000000000000004"/>
    <s v="#15"/>
    <x v="1"/>
    <n v="1.0900000000000001"/>
    <n v="0.01"/>
    <n v="0.54"/>
    <n v="0.29160000000000003"/>
    <x v="7"/>
    <s v="NA6RB"/>
    <n v="55"/>
    <s v="NA6RB-55"/>
  </r>
  <r>
    <x v="14"/>
    <x v="402"/>
    <s v="0.05-1.05"/>
    <n v="0.55000000000000004"/>
    <s v="#19"/>
    <x v="2"/>
    <n v="1.05"/>
    <n v="0.05"/>
    <n v="0.5"/>
    <n v="0.25"/>
    <x v="7"/>
    <s v="NA4WR"/>
    <n v="79"/>
    <s v="NA4WR-79"/>
  </r>
  <r>
    <x v="0"/>
    <x v="412"/>
    <n v="-1.18"/>
    <n v="0.55000000000000004"/>
    <s v="#31"/>
    <x v="0"/>
    <n v="1.1399999999999999"/>
    <n v="-0.04"/>
    <n v="0.59"/>
    <n v="0.34810000000000002"/>
    <x v="7"/>
    <s v="NA17QB"/>
    <n v="39"/>
    <s v="NA17QB-39"/>
  </r>
  <r>
    <x v="0"/>
    <x v="445"/>
    <n v="-1.1599999999999999"/>
    <n v="0.55000000000000004"/>
    <s v="#9"/>
    <x v="3"/>
    <n v="1.1299999999999999"/>
    <n v="-0.03"/>
    <n v="0.57999999999999996"/>
    <n v="0.33639999999999998"/>
    <x v="7"/>
    <s v="NA17TE"/>
    <n v="64"/>
    <s v="NA17TE-64"/>
  </r>
  <r>
    <x v="12"/>
    <x v="433"/>
    <n v="-1.3"/>
    <n v="0.55000000000000004"/>
    <s v="#1"/>
    <x v="3"/>
    <n v="1.2"/>
    <n v="-0.1"/>
    <n v="0.65"/>
    <n v="0.42249999999999999"/>
    <x v="7"/>
    <s v="NA5TE"/>
    <n v="64"/>
    <s v="NA5TE-64"/>
  </r>
  <r>
    <x v="2"/>
    <x v="433"/>
    <n v="-1.1400000000000001"/>
    <n v="0.55000000000000004"/>
    <s v="#32"/>
    <x v="3"/>
    <n v="1.1200000000000001"/>
    <n v="-0.02"/>
    <n v="0.56999999999999995"/>
    <n v="0.32490000000000002"/>
    <x v="7"/>
    <s v="NA9TE"/>
    <n v="55"/>
    <s v="NA9TE-55"/>
  </r>
  <r>
    <x v="6"/>
    <x v="433"/>
    <n v="-1.24"/>
    <n v="0.55000000000000004"/>
    <s v="#19"/>
    <x v="3"/>
    <n v="1.17"/>
    <n v="-7.0000000000000007E-2"/>
    <n v="0.62"/>
    <n v="0.38440000000000002"/>
    <x v="7"/>
    <s v="NA12TE"/>
    <n v="63"/>
    <s v="NA12TE-63"/>
  </r>
  <r>
    <x v="13"/>
    <x v="409"/>
    <n v="-1.5"/>
    <n v="0.55000000000000004"/>
    <s v="#17"/>
    <x v="1"/>
    <n v="1.3"/>
    <n v="-0.2"/>
    <n v="0.75"/>
    <n v="0.5625"/>
    <x v="7"/>
    <s v="NA8RB"/>
    <n v="56"/>
    <s v="NA8RB-56"/>
  </r>
  <r>
    <x v="4"/>
    <x v="439"/>
    <n v="-1.32"/>
    <n v="0.55000000000000004"/>
    <s v="#9"/>
    <x v="2"/>
    <n v="1.21"/>
    <n v="-0.11"/>
    <n v="0.66"/>
    <n v="0.43559999999999999"/>
    <x v="7"/>
    <s v="NA7WR"/>
    <n v="92"/>
    <s v="NA7WR-92"/>
  </r>
  <r>
    <x v="15"/>
    <x v="439"/>
    <s v="0.02-1.08"/>
    <n v="0.55000000000000004"/>
    <s v="#4"/>
    <x v="2"/>
    <n v="1.08"/>
    <n v="0.02"/>
    <n v="0.53"/>
    <n v="0.28089999999999998"/>
    <x v="7"/>
    <s v="NA10WR"/>
    <n v="95"/>
    <s v="NA10WR-95"/>
  </r>
  <r>
    <x v="5"/>
    <x v="439"/>
    <n v="-1.26"/>
    <n v="0.55000000000000004"/>
    <s v="#24"/>
    <x v="2"/>
    <n v="1.18"/>
    <n v="-0.08"/>
    <n v="0.63"/>
    <n v="0.39689999999999998"/>
    <x v="7"/>
    <s v="NA13WR"/>
    <n v="103"/>
    <s v="NA13WR-103"/>
  </r>
  <r>
    <x v="3"/>
    <x v="454"/>
    <s v="0.02-1.08"/>
    <n v="0.55000000000000004"/>
    <s v="#30"/>
    <x v="3"/>
    <n v="1.08"/>
    <n v="0.02"/>
    <n v="0.53"/>
    <n v="0.28089999999999998"/>
    <x v="7"/>
    <s v="NA11TE"/>
    <n v="52"/>
    <s v="NA11TE-52"/>
  </r>
  <r>
    <x v="13"/>
    <x v="421"/>
    <n v="-1.3599999999999999"/>
    <n v="0.55000000000000004"/>
    <s v="#17"/>
    <x v="2"/>
    <n v="1.23"/>
    <n v="-0.13"/>
    <n v="0.68"/>
    <n v="0.46239999999999998"/>
    <x v="7"/>
    <s v="NA8WR"/>
    <n v="83"/>
    <s v="NA8WR-83"/>
  </r>
  <r>
    <x v="5"/>
    <x v="434"/>
    <n v="-1.3599999999999999"/>
    <n v="0.55000000000000004"/>
    <s v="#27"/>
    <x v="2"/>
    <n v="1.23"/>
    <n v="-0.13"/>
    <n v="0.68"/>
    <n v="0.46239999999999998"/>
    <x v="7"/>
    <s v="NA13WR"/>
    <n v="104"/>
    <s v="NA13WR-104"/>
  </r>
  <r>
    <x v="6"/>
    <x v="357"/>
    <n v="-1.3399999999999999"/>
    <n v="0.55000000000000004"/>
    <s v="#6"/>
    <x v="3"/>
    <n v="1.22"/>
    <n v="-0.12"/>
    <n v="0.67"/>
    <n v="0.44890000000000002"/>
    <x v="7"/>
    <s v="NA12TE"/>
    <n v="64"/>
    <s v="NA12TE-64"/>
  </r>
  <r>
    <x v="14"/>
    <x v="373"/>
    <n v="-1.58"/>
    <n v="0.55000000000000004"/>
    <s v="#14"/>
    <x v="2"/>
    <n v="1.34"/>
    <n v="-0.24"/>
    <n v="0.79"/>
    <n v="0.62409999999999999"/>
    <x v="7"/>
    <s v="NA4WR"/>
    <n v="80"/>
    <s v="NA4WR-80"/>
  </r>
  <r>
    <x v="13"/>
    <x v="430"/>
    <n v="-1.22"/>
    <n v="0.55000000000000004"/>
    <s v="#18"/>
    <x v="1"/>
    <n v="1.1599999999999999"/>
    <n v="-0.06"/>
    <n v="0.61"/>
    <n v="0.37209999999999999"/>
    <x v="7"/>
    <s v="NA8RB"/>
    <n v="57"/>
    <s v="NA8RB-57"/>
  </r>
  <r>
    <x v="6"/>
    <x v="296"/>
    <s v="0.01-1.09"/>
    <n v="0.55000000000000004"/>
    <s v="#17"/>
    <x v="1"/>
    <n v="1.0900000000000001"/>
    <n v="0.01"/>
    <n v="0.54"/>
    <n v="0.29160000000000003"/>
    <x v="7"/>
    <s v="NA12RB"/>
    <n v="58"/>
    <s v="NA12RB-58"/>
  </r>
  <r>
    <x v="9"/>
    <x v="406"/>
    <n v="-1.1599999999999999"/>
    <n v="0.55000000000000004"/>
    <s v="#3"/>
    <x v="2"/>
    <n v="1.1299999999999999"/>
    <n v="-0.03"/>
    <n v="0.57999999999999996"/>
    <n v="0.33639999999999998"/>
    <x v="7"/>
    <s v="NA15WR"/>
    <n v="104"/>
    <s v="NA15WR-104"/>
  </r>
  <r>
    <x v="13"/>
    <x v="458"/>
    <s v="0.05-1.05"/>
    <n v="0.55000000000000004"/>
    <s v="#30"/>
    <x v="3"/>
    <n v="1.05"/>
    <n v="0.05"/>
    <n v="0.5"/>
    <n v="0.25"/>
    <x v="7"/>
    <s v="NA8TE"/>
    <n v="58"/>
    <s v="NA8TE-58"/>
  </r>
  <r>
    <x v="6"/>
    <x v="458"/>
    <s v="0.04-1.06"/>
    <n v="0.55000000000000004"/>
    <s v="#21"/>
    <x v="3"/>
    <n v="1.06"/>
    <n v="0.04"/>
    <n v="0.51"/>
    <n v="0.2601"/>
    <x v="7"/>
    <s v="NA12TE"/>
    <n v="65"/>
    <s v="NA12TE-65"/>
  </r>
  <r>
    <x v="0"/>
    <x v="368"/>
    <n v="-1.22"/>
    <n v="0.55000000000000004"/>
    <s v="#10"/>
    <x v="2"/>
    <n v="1.1599999999999999"/>
    <n v="-0.06"/>
    <n v="0.61"/>
    <n v="0.37209999999999999"/>
    <x v="7"/>
    <s v="NA17WR"/>
    <n v="108"/>
    <s v="NA17WR-108"/>
  </r>
  <r>
    <x v="4"/>
    <x v="394"/>
    <n v="-1.1599999999999999"/>
    <n v="0.55000000000000004"/>
    <s v="#1"/>
    <x v="1"/>
    <n v="1.1299999999999999"/>
    <n v="-0.03"/>
    <n v="0.57999999999999996"/>
    <n v="0.33639999999999998"/>
    <x v="7"/>
    <s v="NA7RB"/>
    <n v="50"/>
    <s v="NA7RB-50"/>
  </r>
  <r>
    <x v="8"/>
    <x v="205"/>
    <n v="-1.1599999999999999"/>
    <n v="0.55000000000000004"/>
    <s v="#4"/>
    <x v="2"/>
    <n v="1.1299999999999999"/>
    <n v="-0.03"/>
    <n v="0.57999999999999996"/>
    <n v="0.33639999999999998"/>
    <x v="7"/>
    <s v="NA6WR"/>
    <n v="99"/>
    <s v="NA6WR-99"/>
  </r>
  <r>
    <x v="4"/>
    <x v="205"/>
    <n v="-1.1200000000000001"/>
    <n v="0.55000000000000004"/>
    <s v="#11"/>
    <x v="2"/>
    <n v="1.1100000000000001"/>
    <n v="-0.01"/>
    <n v="0.56000000000000005"/>
    <n v="0.31359999999999999"/>
    <x v="7"/>
    <s v="NA7WR"/>
    <n v="93"/>
    <s v="NA7WR-93"/>
  </r>
  <r>
    <x v="7"/>
    <x v="395"/>
    <s v="0.06-1.02"/>
    <n v="0.54"/>
    <s v="#10"/>
    <x v="0"/>
    <n v="1.02"/>
    <n v="0.06"/>
    <n v="0.48"/>
    <n v="0.23039999999999999"/>
    <x v="7"/>
    <s v="NA1QB"/>
    <n v="31"/>
    <s v="NA1QB-31"/>
  </r>
  <r>
    <x v="16"/>
    <x v="431"/>
    <s v="0.02-1.06"/>
    <n v="0.54"/>
    <s v="#15"/>
    <x v="3"/>
    <n v="1.06"/>
    <n v="0.02"/>
    <n v="0.52"/>
    <n v="0.27039999999999997"/>
    <x v="7"/>
    <s v="NA3TE"/>
    <n v="57"/>
    <s v="NA3TE-57"/>
  </r>
  <r>
    <x v="6"/>
    <x v="381"/>
    <n v="-1.22"/>
    <n v="0.54"/>
    <s v="#3"/>
    <x v="2"/>
    <n v="1.1499999999999999"/>
    <n v="-7.0000000000000007E-2"/>
    <n v="0.61"/>
    <n v="0.37209999999999999"/>
    <x v="7"/>
    <s v="NA12WR"/>
    <n v="98"/>
    <s v="NA12WR-98"/>
  </r>
  <r>
    <x v="10"/>
    <x v="426"/>
    <n v="-1.3"/>
    <n v="0.54"/>
    <s v="#18"/>
    <x v="2"/>
    <n v="1.19"/>
    <n v="-0.11"/>
    <n v="0.65"/>
    <n v="0.42249999999999999"/>
    <x v="7"/>
    <s v="NA2WR"/>
    <n v="72"/>
    <s v="NA2WR-72"/>
  </r>
  <r>
    <x v="6"/>
    <x v="451"/>
    <n v="-1.22"/>
    <n v="0.54"/>
    <s v="#28"/>
    <x v="3"/>
    <n v="1.1499999999999999"/>
    <n v="-7.0000000000000007E-2"/>
    <n v="0.61"/>
    <n v="0.37209999999999999"/>
    <x v="7"/>
    <s v="NA12TE"/>
    <n v="66"/>
    <s v="NA12TE-66"/>
  </r>
  <r>
    <x v="1"/>
    <x v="451"/>
    <n v="-1.1600000000000001"/>
    <n v="0.54"/>
    <s v="#18"/>
    <x v="3"/>
    <n v="1.1200000000000001"/>
    <n v="-0.04"/>
    <n v="0.57999999999999996"/>
    <n v="0.33639999999999998"/>
    <x v="7"/>
    <s v="NA16TE"/>
    <n v="68"/>
    <s v="NA16TE-68"/>
  </r>
  <r>
    <x v="6"/>
    <x v="362"/>
    <n v="-1.3199999999999998"/>
    <n v="0.54"/>
    <s v="#28"/>
    <x v="1"/>
    <n v="1.2"/>
    <n v="-0.12"/>
    <n v="0.66"/>
    <n v="0.43559999999999999"/>
    <x v="7"/>
    <s v="NA12RB"/>
    <n v="59"/>
    <s v="NA12RB-59"/>
  </r>
  <r>
    <x v="7"/>
    <x v="400"/>
    <n v="-1.3399999999999999"/>
    <n v="0.54"/>
    <s v="#14"/>
    <x v="1"/>
    <n v="1.21"/>
    <n v="-0.13"/>
    <n v="0.67"/>
    <n v="0.44890000000000002"/>
    <x v="7"/>
    <s v="NA1RB"/>
    <n v="41"/>
    <s v="NA1RB-41"/>
  </r>
  <r>
    <x v="11"/>
    <x v="336"/>
    <s v="0.02-1.06"/>
    <n v="0.54"/>
    <s v="#14"/>
    <x v="1"/>
    <n v="1.06"/>
    <n v="0.02"/>
    <n v="0.52"/>
    <n v="0.27039999999999997"/>
    <x v="7"/>
    <s v="NA14RB"/>
    <n v="60"/>
    <s v="NA14RB-60"/>
  </r>
  <r>
    <x v="11"/>
    <x v="316"/>
    <n v="-1.1000000000000001"/>
    <n v="0.54"/>
    <s v="#26"/>
    <x v="1"/>
    <n v="1.0900000000000001"/>
    <n v="-0.01"/>
    <n v="0.55000000000000004"/>
    <n v="0.30249999999999999"/>
    <x v="7"/>
    <s v="NA14RB"/>
    <n v="61"/>
    <s v="NA14RB-61"/>
  </r>
  <r>
    <x v="10"/>
    <x v="461"/>
    <s v="0.03-1.05"/>
    <n v="0.54"/>
    <s v="#15"/>
    <x v="0"/>
    <n v="1.05"/>
    <n v="0.03"/>
    <n v="0.51"/>
    <n v="0.2601"/>
    <x v="7"/>
    <s v="NA2QB"/>
    <n v="32"/>
    <s v="NA2QB-32"/>
  </r>
  <r>
    <x v="5"/>
    <x v="461"/>
    <n v="-1.3199999999999998"/>
    <n v="0.54"/>
    <s v="#25"/>
    <x v="0"/>
    <n v="1.2"/>
    <n v="-0.12"/>
    <n v="0.66"/>
    <n v="0.43559999999999999"/>
    <x v="7"/>
    <s v="NA13QB"/>
    <n v="40"/>
    <s v="NA13QB-40"/>
  </r>
  <r>
    <x v="14"/>
    <x v="387"/>
    <s v="0.05-1.03"/>
    <n v="0.54"/>
    <s v="#4"/>
    <x v="0"/>
    <n v="1.03"/>
    <n v="0.05"/>
    <n v="0.49"/>
    <n v="0.24010000000000001"/>
    <x v="7"/>
    <s v="NA4QB"/>
    <n v="34"/>
    <s v="NA4QB-34"/>
  </r>
  <r>
    <x v="0"/>
    <x v="457"/>
    <n v="-1.2"/>
    <n v="0.54"/>
    <s v="#10"/>
    <x v="3"/>
    <n v="1.1399999999999999"/>
    <n v="-0.06"/>
    <n v="0.6"/>
    <n v="0.36"/>
    <x v="7"/>
    <s v="NA17TE"/>
    <n v="65"/>
    <s v="NA17TE-65"/>
  </r>
  <r>
    <x v="1"/>
    <x v="342"/>
    <n v="-1.3599999999999999"/>
    <n v="0.54"/>
    <s v="#24"/>
    <x v="2"/>
    <n v="1.22"/>
    <n v="-0.14000000000000001"/>
    <n v="0.68"/>
    <n v="0.46239999999999998"/>
    <x v="7"/>
    <s v="NA16WR"/>
    <n v="101"/>
    <s v="NA16WR-101"/>
  </r>
  <r>
    <x v="13"/>
    <x v="363"/>
    <n v="-1.1200000000000001"/>
    <n v="0.54"/>
    <s v="#1"/>
    <x v="2"/>
    <n v="1.1000000000000001"/>
    <n v="-0.02"/>
    <n v="0.56000000000000005"/>
    <n v="0.31359999999999999"/>
    <x v="7"/>
    <s v="NA8WR"/>
    <n v="84"/>
    <s v="NA8WR-84"/>
  </r>
  <r>
    <x v="1"/>
    <x v="450"/>
    <n v="-1.22"/>
    <n v="0.54"/>
    <s v="#18"/>
    <x v="3"/>
    <n v="1.1499999999999999"/>
    <n v="-7.0000000000000007E-2"/>
    <n v="0.61"/>
    <n v="0.37209999999999999"/>
    <x v="7"/>
    <s v="NA16TE"/>
    <n v="69"/>
    <s v="NA16TE-69"/>
  </r>
  <r>
    <x v="15"/>
    <x v="361"/>
    <n v="-1.1400000000000001"/>
    <n v="0.54"/>
    <s v="#13"/>
    <x v="2"/>
    <n v="1.1100000000000001"/>
    <n v="-0.03"/>
    <n v="0.56999999999999995"/>
    <n v="0.32490000000000002"/>
    <x v="7"/>
    <s v="NA10WR"/>
    <n v="96"/>
    <s v="NA10WR-96"/>
  </r>
  <r>
    <x v="8"/>
    <x v="441"/>
    <n v="-1.1000000000000001"/>
    <n v="0.54"/>
    <s v="#19"/>
    <x v="2"/>
    <n v="1.0900000000000001"/>
    <n v="-0.01"/>
    <n v="0.55000000000000004"/>
    <n v="0.30249999999999999"/>
    <x v="7"/>
    <s v="NA6WR"/>
    <n v="100"/>
    <s v="NA6WR-100"/>
  </r>
  <r>
    <x v="15"/>
    <x v="441"/>
    <n v="-1.2"/>
    <n v="0.54"/>
    <s v="#7"/>
    <x v="2"/>
    <n v="1.1399999999999999"/>
    <n v="-0.06"/>
    <n v="0.6"/>
    <n v="0.36"/>
    <x v="7"/>
    <s v="NA10WR"/>
    <n v="97"/>
    <s v="NA10WR-97"/>
  </r>
  <r>
    <x v="9"/>
    <x v="331"/>
    <n v="-1.22"/>
    <n v="0.54"/>
    <s v="#29"/>
    <x v="3"/>
    <n v="1.1499999999999999"/>
    <n v="-7.0000000000000007E-2"/>
    <n v="0.61"/>
    <n v="0.37209999999999999"/>
    <x v="7"/>
    <s v="NA15TE"/>
    <n v="67"/>
    <s v="NA15TE-67"/>
  </r>
  <r>
    <x v="16"/>
    <x v="466"/>
    <n v="-1.26"/>
    <n v="0.54"/>
    <s v="#17"/>
    <x v="3"/>
    <n v="1.17"/>
    <n v="-0.09"/>
    <n v="0.63"/>
    <n v="0.39689999999999998"/>
    <x v="7"/>
    <s v="NA3TE"/>
    <n v="58"/>
    <s v="NA3TE-58"/>
  </r>
  <r>
    <x v="12"/>
    <x v="466"/>
    <n v="-1.1000000000000001"/>
    <n v="0.54"/>
    <s v="#21"/>
    <x v="3"/>
    <n v="1.0900000000000001"/>
    <n v="-0.01"/>
    <n v="0.55000000000000004"/>
    <n v="0.30249999999999999"/>
    <x v="7"/>
    <s v="NA5TE"/>
    <n v="65"/>
    <s v="NA5TE-65"/>
  </r>
  <r>
    <x v="9"/>
    <x v="353"/>
    <n v="-1.6400000000000001"/>
    <n v="0.54"/>
    <s v="#32"/>
    <x v="2"/>
    <n v="1.36"/>
    <n v="-0.28000000000000003"/>
    <n v="0.82"/>
    <n v="0.6724"/>
    <x v="7"/>
    <s v="NA15WR"/>
    <n v="105"/>
    <s v="NA15WR-105"/>
  </r>
  <r>
    <x v="11"/>
    <x v="442"/>
    <n v="-1.22"/>
    <n v="0.54"/>
    <s v="#4"/>
    <x v="3"/>
    <n v="1.1499999999999999"/>
    <n v="-7.0000000000000007E-2"/>
    <n v="0.61"/>
    <n v="0.37209999999999999"/>
    <x v="7"/>
    <s v="NA14TE"/>
    <n v="69"/>
    <s v="NA14TE-69"/>
  </r>
  <r>
    <x v="13"/>
    <x v="355"/>
    <n v="-1.1000000000000001"/>
    <n v="0.54"/>
    <s v="#12"/>
    <x v="2"/>
    <n v="1.0900000000000001"/>
    <n v="-0.01"/>
    <n v="0.55000000000000004"/>
    <n v="0.30249999999999999"/>
    <x v="7"/>
    <s v="NA8WR"/>
    <n v="85"/>
    <s v="NA8WR-85"/>
  </r>
  <r>
    <x v="6"/>
    <x v="355"/>
    <n v="-1.2"/>
    <n v="0.54"/>
    <s v="#6"/>
    <x v="2"/>
    <n v="1.1399999999999999"/>
    <n v="-0.06"/>
    <n v="0.6"/>
    <n v="0.36"/>
    <x v="7"/>
    <s v="NA12WR"/>
    <n v="99"/>
    <s v="NA12WR-99"/>
  </r>
  <r>
    <x v="16"/>
    <x v="335"/>
    <n v="-1.1400000000000001"/>
    <n v="0.54"/>
    <s v="#27"/>
    <x v="3"/>
    <n v="1.1100000000000001"/>
    <n v="-0.03"/>
    <n v="0.56999999999999995"/>
    <n v="0.32490000000000002"/>
    <x v="7"/>
    <s v="NA3TE"/>
    <n v="59"/>
    <s v="NA3TE-59"/>
  </r>
  <r>
    <x v="6"/>
    <x v="432"/>
    <s v="0.03-1.05"/>
    <n v="0.54"/>
    <s v="#15"/>
    <x v="2"/>
    <n v="1.05"/>
    <n v="0.03"/>
    <n v="0.51"/>
    <n v="0.2601"/>
    <x v="7"/>
    <s v="NA12WR"/>
    <n v="100"/>
    <s v="NA12WR-100"/>
  </r>
  <r>
    <x v="12"/>
    <x v="437"/>
    <n v="-1.1200000000000001"/>
    <n v="0.54"/>
    <s v="#8"/>
    <x v="1"/>
    <n v="1.1000000000000001"/>
    <n v="-0.02"/>
    <n v="0.56000000000000005"/>
    <n v="0.31359999999999999"/>
    <x v="7"/>
    <s v="NA5RB"/>
    <n v="57"/>
    <s v="NA5RB-57"/>
  </r>
  <r>
    <x v="13"/>
    <x v="318"/>
    <n v="-1.22"/>
    <n v="0.54"/>
    <s v="#4"/>
    <x v="2"/>
    <n v="1.1499999999999999"/>
    <n v="-7.0000000000000007E-2"/>
    <n v="0.61"/>
    <n v="0.37209999999999999"/>
    <x v="7"/>
    <s v="NA8WR"/>
    <n v="86"/>
    <s v="NA8WR-86"/>
  </r>
  <r>
    <x v="0"/>
    <x v="318"/>
    <n v="-1.22"/>
    <n v="0.54"/>
    <s v="#26"/>
    <x v="2"/>
    <n v="1.1499999999999999"/>
    <n v="-7.0000000000000007E-2"/>
    <n v="0.61"/>
    <n v="0.37209999999999999"/>
    <x v="7"/>
    <s v="NA17WR"/>
    <n v="109"/>
    <s v="NA17WR-109"/>
  </r>
  <r>
    <x v="7"/>
    <x v="423"/>
    <n v="-1.2"/>
    <n v="0.54"/>
    <s v="#1"/>
    <x v="3"/>
    <n v="1.1399999999999999"/>
    <n v="-0.06"/>
    <n v="0.6"/>
    <n v="0.36"/>
    <x v="7"/>
    <s v="NA1TE"/>
    <n v="50"/>
    <s v="NA1TE-50"/>
  </r>
  <r>
    <x v="4"/>
    <x v="399"/>
    <n v="-1.3399999999999999"/>
    <n v="0.54"/>
    <s v="#11"/>
    <x v="2"/>
    <n v="1.21"/>
    <n v="-0.13"/>
    <n v="0.67"/>
    <n v="0.44890000000000002"/>
    <x v="7"/>
    <s v="NA7WR"/>
    <n v="94"/>
    <s v="NA7WR-94"/>
  </r>
  <r>
    <x v="13"/>
    <x v="303"/>
    <n v="-1.1200000000000001"/>
    <n v="0.54"/>
    <s v="#31"/>
    <x v="1"/>
    <n v="1.1000000000000001"/>
    <n v="-0.02"/>
    <n v="0.56000000000000005"/>
    <n v="0.31359999999999999"/>
    <x v="7"/>
    <s v="NA8RB"/>
    <n v="58"/>
    <s v="NA8RB-58"/>
  </r>
  <r>
    <x v="10"/>
    <x v="167"/>
    <n v="-1.1600000000000001"/>
    <n v="0.54"/>
    <s v="#26"/>
    <x v="2"/>
    <n v="1.1200000000000001"/>
    <n v="-0.04"/>
    <n v="0.57999999999999996"/>
    <n v="0.33639999999999998"/>
    <x v="10"/>
    <s v="aj2WR"/>
    <n v="6"/>
    <s v="aj2WR-6"/>
  </r>
  <r>
    <x v="4"/>
    <x v="412"/>
    <s v="0.04-1.04"/>
    <n v="0.54"/>
    <s v="#22"/>
    <x v="0"/>
    <n v="1.04"/>
    <n v="0.04"/>
    <n v="0.5"/>
    <n v="0.25"/>
    <x v="7"/>
    <s v="NA7QB"/>
    <n v="35"/>
    <s v="NA7QB-35"/>
  </r>
  <r>
    <x v="2"/>
    <x v="412"/>
    <s v="0.04-1.04"/>
    <n v="0.54"/>
    <s v="#12"/>
    <x v="0"/>
    <n v="1.04"/>
    <n v="0.04"/>
    <n v="0.5"/>
    <n v="0.25"/>
    <x v="7"/>
    <s v="NA9QB"/>
    <n v="32"/>
    <s v="NA9QB-32"/>
  </r>
  <r>
    <x v="11"/>
    <x v="412"/>
    <n v="-1.1000000000000001"/>
    <n v="0.54"/>
    <s v="#21"/>
    <x v="0"/>
    <n v="1.0900000000000001"/>
    <n v="-0.01"/>
    <n v="0.55000000000000004"/>
    <n v="0.30249999999999999"/>
    <x v="7"/>
    <s v="NA14QB"/>
    <n v="39"/>
    <s v="NA14QB-39"/>
  </r>
  <r>
    <x v="10"/>
    <x v="380"/>
    <n v="-1.3199999999999998"/>
    <n v="0.54"/>
    <s v="#3"/>
    <x v="2"/>
    <n v="1.2"/>
    <n v="-0.12"/>
    <n v="0.66"/>
    <n v="0.43559999999999999"/>
    <x v="7"/>
    <s v="NA2WR"/>
    <n v="73"/>
    <s v="NA2WR-73"/>
  </r>
  <r>
    <x v="1"/>
    <x v="419"/>
    <n v="-1.24"/>
    <n v="0.54"/>
    <s v="#22"/>
    <x v="3"/>
    <n v="1.1599999999999999"/>
    <n v="-0.08"/>
    <n v="0.62"/>
    <n v="0.38440000000000002"/>
    <x v="7"/>
    <s v="NA16TE"/>
    <n v="70"/>
    <s v="NA16TE-70"/>
  </r>
  <r>
    <x v="6"/>
    <x v="446"/>
    <n v="-1.3199999999999998"/>
    <n v="0.54"/>
    <s v="#12"/>
    <x v="2"/>
    <n v="1.2"/>
    <n v="-0.12"/>
    <n v="0.66"/>
    <n v="0.43559999999999999"/>
    <x v="7"/>
    <s v="NA12WR"/>
    <n v="101"/>
    <s v="NA12WR-101"/>
  </r>
  <r>
    <x v="6"/>
    <x v="421"/>
    <n v="-1.28"/>
    <n v="0.54"/>
    <s v="#3"/>
    <x v="2"/>
    <n v="1.18"/>
    <n v="-0.1"/>
    <n v="0.64"/>
    <n v="0.40960000000000002"/>
    <x v="7"/>
    <s v="NA12WR"/>
    <n v="102"/>
    <s v="NA12WR-102"/>
  </r>
  <r>
    <x v="5"/>
    <x v="424"/>
    <s v="0.02-1.06"/>
    <n v="0.54"/>
    <s v="#6"/>
    <x v="1"/>
    <n v="1.06"/>
    <n v="0.02"/>
    <n v="0.52"/>
    <n v="0.27039999999999997"/>
    <x v="7"/>
    <s v="NA13RB"/>
    <n v="66"/>
    <s v="NA13RB-66"/>
  </r>
  <r>
    <x v="8"/>
    <x v="367"/>
    <n v="-1.48"/>
    <n v="0.54"/>
    <s v="#5"/>
    <x v="1"/>
    <n v="1.28"/>
    <n v="-0.2"/>
    <n v="0.74"/>
    <n v="0.54759999999999998"/>
    <x v="7"/>
    <s v="NA6RB"/>
    <n v="56"/>
    <s v="NA6RB-56"/>
  </r>
  <r>
    <x v="1"/>
    <x v="455"/>
    <n v="-1.1000000000000001"/>
    <n v="0.54"/>
    <s v="#15"/>
    <x v="0"/>
    <n v="1.0900000000000001"/>
    <n v="-0.01"/>
    <n v="0.55000000000000004"/>
    <n v="0.30249999999999999"/>
    <x v="7"/>
    <s v="NA16QB"/>
    <n v="39"/>
    <s v="NA16QB-39"/>
  </r>
  <r>
    <x v="5"/>
    <x v="435"/>
    <n v="-1.22"/>
    <n v="0.54"/>
    <s v="#16"/>
    <x v="1"/>
    <n v="1.1499999999999999"/>
    <n v="-7.0000000000000007E-2"/>
    <n v="0.61"/>
    <n v="0.37209999999999999"/>
    <x v="7"/>
    <s v="NA13RB"/>
    <n v="67"/>
    <s v="NA13RB-67"/>
  </r>
  <r>
    <x v="13"/>
    <x v="467"/>
    <s v="0.03-1.05"/>
    <n v="0.54"/>
    <s v="#32"/>
    <x v="2"/>
    <n v="1.05"/>
    <n v="0.03"/>
    <n v="0.51"/>
    <n v="0.2601"/>
    <x v="7"/>
    <s v="NA8WR"/>
    <n v="87"/>
    <s v="NA8WR-87"/>
  </r>
  <r>
    <x v="10"/>
    <x v="458"/>
    <s v="0.06-1.02"/>
    <n v="0.54"/>
    <s v="#21"/>
    <x v="3"/>
    <n v="1.02"/>
    <n v="0.06"/>
    <n v="0.48"/>
    <n v="0.23039999999999999"/>
    <x v="7"/>
    <s v="NA2TE"/>
    <n v="59"/>
    <s v="NA2TE-59"/>
  </r>
  <r>
    <x v="2"/>
    <x v="458"/>
    <s v="0.03-1.05"/>
    <n v="0.54"/>
    <s v="#28"/>
    <x v="3"/>
    <n v="1.05"/>
    <n v="0.03"/>
    <n v="0.51"/>
    <n v="0.2601"/>
    <x v="7"/>
    <s v="NA9TE"/>
    <n v="56"/>
    <s v="NA9TE-56"/>
  </r>
  <r>
    <x v="13"/>
    <x v="368"/>
    <s v="0.01-1.07"/>
    <n v="0.54"/>
    <s v="#13"/>
    <x v="2"/>
    <n v="1.07"/>
    <n v="0.01"/>
    <n v="0.53"/>
    <n v="0.28089999999999998"/>
    <x v="7"/>
    <s v="NA8WR"/>
    <n v="88"/>
    <s v="NA8WR-88"/>
  </r>
  <r>
    <x v="5"/>
    <x v="368"/>
    <s v="0.04-1.04"/>
    <n v="0.54"/>
    <s v="#8"/>
    <x v="2"/>
    <n v="1.04"/>
    <n v="0.04"/>
    <n v="0.5"/>
    <n v="0.25"/>
    <x v="7"/>
    <s v="NA13WR"/>
    <n v="105"/>
    <s v="NA13WR-105"/>
  </r>
  <r>
    <x v="16"/>
    <x v="332"/>
    <n v="-1.3199999999999998"/>
    <n v="0.54"/>
    <s v="#22"/>
    <x v="2"/>
    <n v="1.2"/>
    <n v="-0.12"/>
    <n v="0.66"/>
    <n v="0.43559999999999999"/>
    <x v="7"/>
    <s v="NA3WR"/>
    <n v="82"/>
    <s v="NA3WR-82"/>
  </r>
  <r>
    <x v="6"/>
    <x v="459"/>
    <n v="-1.1200000000000001"/>
    <n v="0.53"/>
    <s v="#28"/>
    <x v="3"/>
    <n v="1.0900000000000001"/>
    <n v="-0.03"/>
    <n v="0.56000000000000005"/>
    <n v="0.31359999999999999"/>
    <x v="7"/>
    <s v="NA12TE"/>
    <n v="67"/>
    <s v="NA12TE-67"/>
  </r>
  <r>
    <x v="5"/>
    <x v="459"/>
    <n v="-1.1400000000000001"/>
    <n v="0.53"/>
    <s v="#22"/>
    <x v="3"/>
    <n v="1.1000000000000001"/>
    <n v="-0.04"/>
    <n v="0.56999999999999995"/>
    <n v="0.32490000000000002"/>
    <x v="7"/>
    <s v="NA13TE"/>
    <n v="65"/>
    <s v="NA13TE-65"/>
  </r>
  <r>
    <x v="8"/>
    <x v="425"/>
    <s v="0.00-1.06"/>
    <n v="0.53"/>
    <s v="#12"/>
    <x v="1"/>
    <n v="1.06"/>
    <n v="0"/>
    <n v="0.53"/>
    <n v="0.28089999999999998"/>
    <x v="7"/>
    <s v="NA6RB"/>
    <n v="57"/>
    <s v="NA6RB-57"/>
  </r>
  <r>
    <x v="11"/>
    <x v="425"/>
    <n v="-1.1200000000000001"/>
    <n v="0.53"/>
    <s v="#2"/>
    <x v="1"/>
    <n v="1.0900000000000001"/>
    <n v="-0.03"/>
    <n v="0.56000000000000005"/>
    <n v="0.31359999999999999"/>
    <x v="7"/>
    <s v="NA14RB"/>
    <n v="62"/>
    <s v="NA14RB-62"/>
  </r>
  <r>
    <x v="14"/>
    <x v="381"/>
    <n v="-1.3199999999999998"/>
    <n v="0.53"/>
    <s v="#21"/>
    <x v="2"/>
    <n v="1.19"/>
    <n v="-0.13"/>
    <n v="0.66"/>
    <n v="0.43559999999999999"/>
    <x v="7"/>
    <s v="NA4WR"/>
    <n v="81"/>
    <s v="NA4WR-81"/>
  </r>
  <r>
    <x v="0"/>
    <x v="448"/>
    <n v="-1.1400000000000001"/>
    <n v="0.53"/>
    <s v="#25"/>
    <x v="1"/>
    <n v="1.1000000000000001"/>
    <n v="-0.04"/>
    <n v="0.56999999999999995"/>
    <n v="0.32490000000000002"/>
    <x v="7"/>
    <s v="NA17RB"/>
    <n v="56"/>
    <s v="NA17RB-56"/>
  </r>
  <r>
    <x v="10"/>
    <x v="427"/>
    <s v="0.08-0.98"/>
    <n v="0.53"/>
    <s v="#6"/>
    <x v="3"/>
    <n v="0.98"/>
    <n v="0.08"/>
    <n v="0.45"/>
    <n v="0.20250000000000001"/>
    <x v="7"/>
    <s v="NA2TE"/>
    <n v="60"/>
    <s v="NA2TE-60"/>
  </r>
  <r>
    <x v="4"/>
    <x v="427"/>
    <s v="0.09-0.97"/>
    <n v="0.53"/>
    <s v="#2"/>
    <x v="3"/>
    <n v="0.97"/>
    <n v="0.09"/>
    <n v="0.44"/>
    <n v="0.19359999999999999"/>
    <x v="7"/>
    <s v="NA7TE"/>
    <n v="63"/>
    <s v="NA7TE-63"/>
  </r>
  <r>
    <x v="11"/>
    <x v="451"/>
    <n v="-1.1400000000000001"/>
    <n v="0.53"/>
    <s v="#10"/>
    <x v="3"/>
    <n v="1.1000000000000001"/>
    <n v="-0.04"/>
    <n v="0.56999999999999995"/>
    <n v="0.32490000000000002"/>
    <x v="7"/>
    <s v="NA14TE"/>
    <n v="70"/>
    <s v="NA14TE-70"/>
  </r>
  <r>
    <x v="4"/>
    <x v="362"/>
    <n v="-1.28"/>
    <n v="0.53"/>
    <s v="#17"/>
    <x v="1"/>
    <n v="1.17"/>
    <n v="-0.11"/>
    <n v="0.64"/>
    <n v="0.40960000000000002"/>
    <x v="7"/>
    <s v="NA7RB"/>
    <n v="51"/>
    <s v="NA7RB-51"/>
  </r>
  <r>
    <x v="1"/>
    <x v="362"/>
    <n v="-1.3599999999999999"/>
    <n v="0.53"/>
    <s v="#18"/>
    <x v="1"/>
    <n v="1.21"/>
    <n v="-0.15"/>
    <n v="0.68"/>
    <n v="0.46239999999999998"/>
    <x v="7"/>
    <s v="NA16RB"/>
    <n v="65"/>
    <s v="NA16RB-65"/>
  </r>
  <r>
    <x v="0"/>
    <x v="362"/>
    <n v="-1.28"/>
    <n v="0.53"/>
    <s v="#26"/>
    <x v="1"/>
    <n v="1.17"/>
    <n v="-0.11"/>
    <n v="0.64"/>
    <n v="0.40960000000000002"/>
    <x v="7"/>
    <s v="NA17RB"/>
    <n v="57"/>
    <s v="NA17RB-57"/>
  </r>
  <r>
    <x v="1"/>
    <x v="449"/>
    <n v="-1.3599999999999999"/>
    <n v="0.53"/>
    <s v="#15"/>
    <x v="2"/>
    <n v="1.21"/>
    <n v="-0.15"/>
    <n v="0.68"/>
    <n v="0.46239999999999998"/>
    <x v="7"/>
    <s v="NA16WR"/>
    <n v="102"/>
    <s v="NA16WR-102"/>
  </r>
  <r>
    <x v="9"/>
    <x v="456"/>
    <n v="-1.26"/>
    <n v="0.53"/>
    <s v="#2"/>
    <x v="3"/>
    <n v="1.1599999999999999"/>
    <n v="-0.1"/>
    <n v="0.63"/>
    <n v="0.39689999999999998"/>
    <x v="7"/>
    <s v="NA15TE"/>
    <n v="68"/>
    <s v="NA15TE-68"/>
  </r>
  <r>
    <x v="7"/>
    <x v="452"/>
    <s v="0.05-1.01"/>
    <n v="0.53"/>
    <s v="#18"/>
    <x v="1"/>
    <n v="1.01"/>
    <n v="0.05"/>
    <n v="0.48"/>
    <n v="0.23039999999999999"/>
    <x v="7"/>
    <s v="NA1RB"/>
    <n v="42"/>
    <s v="NA1RB-42"/>
  </r>
  <r>
    <x v="13"/>
    <x v="342"/>
    <s v="0.01-1.05"/>
    <n v="0.53"/>
    <s v="#6"/>
    <x v="2"/>
    <n v="1.05"/>
    <n v="0.01"/>
    <n v="0.52"/>
    <n v="0.27039999999999997"/>
    <x v="7"/>
    <s v="NA8WR"/>
    <n v="89"/>
    <s v="NA8WR-89"/>
  </r>
  <r>
    <x v="6"/>
    <x v="342"/>
    <n v="-1.2999999999999998"/>
    <n v="0.53"/>
    <s v="#11"/>
    <x v="2"/>
    <n v="1.18"/>
    <n v="-0.12"/>
    <n v="0.65"/>
    <n v="0.42249999999999999"/>
    <x v="7"/>
    <s v="NA12WR"/>
    <n v="103"/>
    <s v="NA12WR-103"/>
  </r>
  <r>
    <x v="15"/>
    <x v="363"/>
    <n v="-1.38"/>
    <n v="0.53"/>
    <s v="#15"/>
    <x v="2"/>
    <n v="1.22"/>
    <n v="-0.16"/>
    <n v="0.69"/>
    <n v="0.47610000000000002"/>
    <x v="7"/>
    <s v="NA10WR"/>
    <n v="98"/>
    <s v="NA10WR-98"/>
  </r>
  <r>
    <x v="6"/>
    <x v="363"/>
    <n v="-1.1200000000000001"/>
    <n v="0.53"/>
    <s v="#8"/>
    <x v="2"/>
    <n v="1.0900000000000001"/>
    <n v="-0.03"/>
    <n v="0.56000000000000005"/>
    <n v="0.31359999999999999"/>
    <x v="7"/>
    <s v="NA12WR"/>
    <n v="104"/>
    <s v="NA12WR-104"/>
  </r>
  <r>
    <x v="0"/>
    <x v="363"/>
    <n v="-1.24"/>
    <n v="0.53"/>
    <s v="#30"/>
    <x v="2"/>
    <n v="1.1499999999999999"/>
    <n v="-0.09"/>
    <n v="0.62"/>
    <n v="0.38440000000000002"/>
    <x v="7"/>
    <s v="NA17WR"/>
    <n v="110"/>
    <s v="NA17WR-110"/>
  </r>
  <r>
    <x v="2"/>
    <x v="317"/>
    <n v="-1.26"/>
    <n v="0.53"/>
    <s v="#1"/>
    <x v="2"/>
    <n v="1.1599999999999999"/>
    <n v="-0.1"/>
    <n v="0.63"/>
    <n v="0.39689999999999998"/>
    <x v="7"/>
    <s v="NA9WR"/>
    <n v="92"/>
    <s v="NA9WR-92"/>
  </r>
  <r>
    <x v="3"/>
    <x v="374"/>
    <s v="0.12-0.94"/>
    <n v="0.53"/>
    <s v="#16"/>
    <x v="1"/>
    <n v="0.94"/>
    <n v="0.12"/>
    <n v="0.41"/>
    <n v="0.1681"/>
    <x v="7"/>
    <s v="NA11RB"/>
    <n v="52"/>
    <s v="NA11RB-52"/>
  </r>
  <r>
    <x v="11"/>
    <x v="463"/>
    <n v="-1.1400000000000001"/>
    <n v="0.53"/>
    <s v="#17"/>
    <x v="3"/>
    <n v="1.1000000000000001"/>
    <n v="-0.04"/>
    <n v="0.56999999999999995"/>
    <n v="0.32490000000000002"/>
    <x v="7"/>
    <s v="NA14TE"/>
    <n v="71"/>
    <s v="NA14TE-71"/>
  </r>
  <r>
    <x v="5"/>
    <x v="441"/>
    <s v="0.02-1.04"/>
    <n v="0.53"/>
    <s v="#20"/>
    <x v="2"/>
    <n v="1.04"/>
    <n v="0.02"/>
    <n v="0.51"/>
    <n v="0.2601"/>
    <x v="7"/>
    <s v="NA13WR"/>
    <n v="106"/>
    <s v="NA13WR-106"/>
  </r>
  <r>
    <x v="15"/>
    <x v="331"/>
    <n v="-1.2"/>
    <n v="0.53"/>
    <s v="#32"/>
    <x v="3"/>
    <n v="1.1299999999999999"/>
    <n v="-7.0000000000000007E-2"/>
    <n v="0.6"/>
    <n v="0.36"/>
    <x v="7"/>
    <s v="NA10TE"/>
    <n v="61"/>
    <s v="NA10TE-61"/>
  </r>
  <r>
    <x v="14"/>
    <x v="466"/>
    <n v="-1.1800000000000002"/>
    <n v="0.53"/>
    <s v="#23"/>
    <x v="3"/>
    <n v="1.1200000000000001"/>
    <n v="-0.06"/>
    <n v="0.59"/>
    <n v="0.34810000000000002"/>
    <x v="7"/>
    <s v="NA4TE"/>
    <n v="56"/>
    <s v="NA4TE-56"/>
  </r>
  <r>
    <x v="12"/>
    <x v="462"/>
    <n v="-1.26"/>
    <n v="0.53"/>
    <s v="#27"/>
    <x v="1"/>
    <n v="1.1599999999999999"/>
    <n v="-0.1"/>
    <n v="0.63"/>
    <n v="0.39689999999999998"/>
    <x v="7"/>
    <s v="NA5RB"/>
    <n v="58"/>
    <s v="NA5RB-58"/>
  </r>
  <r>
    <x v="9"/>
    <x v="462"/>
    <n v="-1.1600000000000001"/>
    <n v="0.53"/>
    <s v="#9"/>
    <x v="1"/>
    <n v="1.1100000000000001"/>
    <n v="-0.05"/>
    <n v="0.57999999999999996"/>
    <n v="0.33639999999999998"/>
    <x v="7"/>
    <s v="NA15RB"/>
    <n v="64"/>
    <s v="NA15RB-64"/>
  </r>
  <r>
    <x v="0"/>
    <x v="462"/>
    <n v="-1.3599999999999999"/>
    <n v="0.53"/>
    <s v="#22"/>
    <x v="1"/>
    <n v="1.21"/>
    <n v="-0.15"/>
    <n v="0.68"/>
    <n v="0.46239999999999998"/>
    <x v="7"/>
    <s v="NA17RB"/>
    <n v="58"/>
    <s v="NA17RB-58"/>
  </r>
  <r>
    <x v="13"/>
    <x v="443"/>
    <n v="-1.1400000000000001"/>
    <n v="0.53"/>
    <s v="#4"/>
    <x v="2"/>
    <n v="1.1000000000000001"/>
    <n v="-0.04"/>
    <n v="0.56999999999999995"/>
    <n v="0.32490000000000002"/>
    <x v="7"/>
    <s v="NA8WR"/>
    <n v="90"/>
    <s v="NA8WR-90"/>
  </r>
  <r>
    <x v="4"/>
    <x v="355"/>
    <n v="-1.3199999999999998"/>
    <n v="0.53"/>
    <s v="#29"/>
    <x v="2"/>
    <n v="1.19"/>
    <n v="-0.13"/>
    <n v="0.66"/>
    <n v="0.43559999999999999"/>
    <x v="7"/>
    <s v="NA7WR"/>
    <n v="95"/>
    <s v="NA7WR-95"/>
  </r>
  <r>
    <x v="11"/>
    <x v="355"/>
    <n v="-1.1000000000000001"/>
    <n v="0.53"/>
    <s v="#12"/>
    <x v="2"/>
    <n v="1.08"/>
    <n v="-0.02"/>
    <n v="0.55000000000000004"/>
    <n v="0.30249999999999999"/>
    <x v="7"/>
    <s v="NA14WR"/>
    <n v="105"/>
    <s v="NA14WR-105"/>
  </r>
  <r>
    <x v="15"/>
    <x v="468"/>
    <n v="-1.08"/>
    <n v="0.53"/>
    <s v="#23"/>
    <x v="3"/>
    <n v="1.07"/>
    <n v="-0.01"/>
    <n v="0.54"/>
    <n v="0.29160000000000003"/>
    <x v="7"/>
    <s v="NA10TE"/>
    <n v="62"/>
    <s v="NA10TE-62"/>
  </r>
  <r>
    <x v="10"/>
    <x v="437"/>
    <n v="-1.42"/>
    <n v="0.53"/>
    <s v="#13"/>
    <x v="1"/>
    <n v="1.24"/>
    <n v="-0.18"/>
    <n v="0.71"/>
    <n v="0.50409999999999999"/>
    <x v="7"/>
    <s v="NA2RB"/>
    <n v="47"/>
    <s v="NA2RB-47"/>
  </r>
  <r>
    <x v="8"/>
    <x v="437"/>
    <n v="-1.1200000000000001"/>
    <n v="0.53"/>
    <s v="#16"/>
    <x v="1"/>
    <n v="1.0900000000000001"/>
    <n v="-0.03"/>
    <n v="0.56000000000000005"/>
    <n v="0.31359999999999999"/>
    <x v="7"/>
    <s v="NA6RB"/>
    <n v="58"/>
    <s v="NA6RB-58"/>
  </r>
  <r>
    <x v="2"/>
    <x v="437"/>
    <n v="-1.1000000000000001"/>
    <n v="0.53"/>
    <s v="#30"/>
    <x v="1"/>
    <n v="1.08"/>
    <n v="-0.02"/>
    <n v="0.55000000000000004"/>
    <n v="0.30249999999999999"/>
    <x v="7"/>
    <s v="NA9RB"/>
    <n v="46"/>
    <s v="NA9RB-46"/>
  </r>
  <r>
    <x v="9"/>
    <x v="417"/>
    <n v="-1.1600000000000001"/>
    <n v="0.53"/>
    <s v="#1"/>
    <x v="2"/>
    <n v="1.1100000000000001"/>
    <n v="-0.05"/>
    <n v="0.57999999999999996"/>
    <n v="0.33639999999999998"/>
    <x v="7"/>
    <s v="NA15WR"/>
    <n v="106"/>
    <s v="NA15WR-106"/>
  </r>
  <r>
    <x v="3"/>
    <x v="438"/>
    <s v="0.02-1.04"/>
    <n v="0.53"/>
    <s v="#23"/>
    <x v="3"/>
    <n v="1.04"/>
    <n v="0.02"/>
    <n v="0.51"/>
    <n v="0.2601"/>
    <x v="7"/>
    <s v="NA11TE"/>
    <n v="53"/>
    <s v="NA11TE-53"/>
  </r>
  <r>
    <x v="9"/>
    <x v="303"/>
    <n v="-1.1200000000000001"/>
    <n v="0.53"/>
    <s v="#25"/>
    <x v="1"/>
    <n v="1.0900000000000001"/>
    <n v="-0.03"/>
    <n v="0.56000000000000005"/>
    <n v="0.31359999999999999"/>
    <x v="7"/>
    <s v="NA15RB"/>
    <n v="65"/>
    <s v="NA15RB-65"/>
  </r>
  <r>
    <x v="7"/>
    <x v="402"/>
    <n v="-1.6800000000000002"/>
    <n v="0.53"/>
    <s v="#6"/>
    <x v="2"/>
    <n v="1.37"/>
    <n v="-0.31"/>
    <n v="0.84"/>
    <n v="0.7056"/>
    <x v="7"/>
    <s v="NA1WR"/>
    <n v="69"/>
    <s v="NA1WR-69"/>
  </r>
  <r>
    <x v="5"/>
    <x v="453"/>
    <n v="-1.1800000000000002"/>
    <n v="0.53"/>
    <s v="#19"/>
    <x v="3"/>
    <n v="1.1200000000000001"/>
    <n v="-0.06"/>
    <n v="0.59"/>
    <n v="0.34810000000000002"/>
    <x v="7"/>
    <s v="NA13TE"/>
    <n v="66"/>
    <s v="NA13TE-66"/>
  </r>
  <r>
    <x v="15"/>
    <x v="412"/>
    <n v="-1.1000000000000001"/>
    <n v="0.53"/>
    <s v="#2"/>
    <x v="0"/>
    <n v="1.08"/>
    <n v="-0.02"/>
    <n v="0.55000000000000004"/>
    <n v="0.30249999999999999"/>
    <x v="7"/>
    <s v="NA10QB"/>
    <n v="32"/>
    <s v="NA10QB-32"/>
  </r>
  <r>
    <x v="2"/>
    <x v="444"/>
    <s v="0.04-1.02"/>
    <n v="0.53"/>
    <s v="#11"/>
    <x v="1"/>
    <n v="1.02"/>
    <n v="0.04"/>
    <n v="0.49"/>
    <n v="0.24010000000000001"/>
    <x v="7"/>
    <s v="NA9RB"/>
    <n v="47"/>
    <s v="NA9RB-47"/>
  </r>
  <r>
    <x v="8"/>
    <x v="469"/>
    <n v="-1.2"/>
    <n v="0.53"/>
    <s v="#7"/>
    <x v="2"/>
    <n v="1.1299999999999999"/>
    <n v="-7.0000000000000007E-2"/>
    <n v="0.6"/>
    <n v="0.36"/>
    <x v="7"/>
    <s v="NA6WR"/>
    <n v="101"/>
    <s v="NA6WR-101"/>
  </r>
  <r>
    <x v="0"/>
    <x v="469"/>
    <n v="-1.1800000000000002"/>
    <n v="0.53"/>
    <s v="#6"/>
    <x v="2"/>
    <n v="1.1200000000000001"/>
    <n v="-0.06"/>
    <n v="0.59"/>
    <n v="0.34810000000000002"/>
    <x v="7"/>
    <s v="NA17WR"/>
    <n v="111"/>
    <s v="NA17WR-111"/>
  </r>
  <r>
    <x v="11"/>
    <x v="419"/>
    <n v="-1.08"/>
    <n v="0.53"/>
    <s v="#27"/>
    <x v="3"/>
    <n v="1.07"/>
    <n v="-0.01"/>
    <n v="0.54"/>
    <n v="0.29160000000000003"/>
    <x v="7"/>
    <s v="NA14TE"/>
    <n v="72"/>
    <s v="NA14TE-72"/>
  </r>
  <r>
    <x v="2"/>
    <x v="445"/>
    <n v="-1.1800000000000002"/>
    <n v="0.53"/>
    <s v="#23"/>
    <x v="3"/>
    <n v="1.1200000000000001"/>
    <n v="-0.06"/>
    <n v="0.59"/>
    <n v="0.34810000000000002"/>
    <x v="7"/>
    <s v="NA9TE"/>
    <n v="57"/>
    <s v="NA9TE-57"/>
  </r>
  <r>
    <x v="6"/>
    <x v="445"/>
    <n v="-1.28"/>
    <n v="0.53"/>
    <s v="#27"/>
    <x v="3"/>
    <n v="1.17"/>
    <n v="-0.11"/>
    <n v="0.64"/>
    <n v="0.40960000000000002"/>
    <x v="7"/>
    <s v="NA12TE"/>
    <n v="68"/>
    <s v="NA12TE-68"/>
  </r>
  <r>
    <x v="9"/>
    <x v="445"/>
    <n v="-1.1800000000000002"/>
    <n v="0.53"/>
    <s v="#22"/>
    <x v="3"/>
    <n v="1.1200000000000001"/>
    <n v="-0.06"/>
    <n v="0.59"/>
    <n v="0.34810000000000002"/>
    <x v="7"/>
    <s v="NA15TE"/>
    <n v="69"/>
    <s v="NA15TE-69"/>
  </r>
  <r>
    <x v="12"/>
    <x v="102"/>
    <s v="0.12-0.94"/>
    <n v="0.53"/>
    <s v="#14"/>
    <x v="0"/>
    <n v="0.94"/>
    <n v="0.12"/>
    <n v="0.41"/>
    <n v="0.1681"/>
    <x v="7"/>
    <s v="NA5QB"/>
    <n v="34"/>
    <s v="NA5QB-34"/>
  </r>
  <r>
    <x v="8"/>
    <x v="446"/>
    <n v="-1.22"/>
    <n v="0.53"/>
    <s v="#3"/>
    <x v="2"/>
    <n v="1.1399999999999999"/>
    <n v="-0.08"/>
    <n v="0.61"/>
    <n v="0.37209999999999999"/>
    <x v="7"/>
    <s v="NA6WR"/>
    <n v="102"/>
    <s v="NA6WR-102"/>
  </r>
  <r>
    <x v="0"/>
    <x v="446"/>
    <n v="-1.42"/>
    <n v="0.53"/>
    <s v="#22"/>
    <x v="2"/>
    <n v="1.24"/>
    <n v="-0.18"/>
    <n v="0.71"/>
    <n v="0.50409999999999999"/>
    <x v="7"/>
    <s v="NA17WR"/>
    <n v="112"/>
    <s v="NA17WR-112"/>
  </r>
  <r>
    <x v="0"/>
    <x v="433"/>
    <n v="-1.2999999999999998"/>
    <n v="0.53"/>
    <s v="#1"/>
    <x v="3"/>
    <n v="1.18"/>
    <n v="-0.12"/>
    <n v="0.65"/>
    <n v="0.42249999999999999"/>
    <x v="7"/>
    <s v="NA17TE"/>
    <n v="66"/>
    <s v="NA17TE-66"/>
  </r>
  <r>
    <x v="6"/>
    <x v="409"/>
    <n v="-1.24"/>
    <n v="0.53"/>
    <s v="#3"/>
    <x v="1"/>
    <n v="1.1499999999999999"/>
    <n v="-0.09"/>
    <n v="0.62"/>
    <n v="0.38440000000000002"/>
    <x v="7"/>
    <s v="NA12RB"/>
    <n v="60"/>
    <s v="NA12RB-60"/>
  </r>
  <r>
    <x v="13"/>
    <x v="439"/>
    <n v="-1.2"/>
    <n v="0.53"/>
    <s v="#17"/>
    <x v="2"/>
    <n v="1.1299999999999999"/>
    <n v="-7.0000000000000007E-2"/>
    <n v="0.6"/>
    <n v="0.36"/>
    <x v="7"/>
    <s v="NA8WR"/>
    <n v="91"/>
    <s v="NA8WR-91"/>
  </r>
  <r>
    <x v="9"/>
    <x v="439"/>
    <n v="-1.2"/>
    <n v="0.53"/>
    <s v="#28"/>
    <x v="2"/>
    <n v="1.1299999999999999"/>
    <n v="-7.0000000000000007E-2"/>
    <n v="0.6"/>
    <n v="0.36"/>
    <x v="7"/>
    <s v="NA15WR"/>
    <n v="107"/>
    <s v="NA15WR-107"/>
  </r>
  <r>
    <x v="10"/>
    <x v="372"/>
    <n v="-1.24"/>
    <n v="0.53"/>
    <s v="#22"/>
    <x v="3"/>
    <n v="1.1499999999999999"/>
    <n v="-0.09"/>
    <n v="0.62"/>
    <n v="0.38440000000000002"/>
    <x v="7"/>
    <s v="NA2TE"/>
    <n v="61"/>
    <s v="NA2TE-61"/>
  </r>
  <r>
    <x v="14"/>
    <x v="372"/>
    <n v="-1.24"/>
    <n v="0.53"/>
    <s v="#28"/>
    <x v="3"/>
    <n v="1.1499999999999999"/>
    <n v="-0.09"/>
    <n v="0.62"/>
    <n v="0.38440000000000002"/>
    <x v="7"/>
    <s v="NA4TE"/>
    <n v="57"/>
    <s v="NA4TE-57"/>
  </r>
  <r>
    <x v="1"/>
    <x v="421"/>
    <n v="-1.3599999999999999"/>
    <n v="0.53"/>
    <s v="#17"/>
    <x v="2"/>
    <n v="1.21"/>
    <n v="-0.15"/>
    <n v="0.68"/>
    <n v="0.46239999999999998"/>
    <x v="7"/>
    <s v="NA16WR"/>
    <n v="103"/>
    <s v="NA16WR-103"/>
  </r>
  <r>
    <x v="6"/>
    <x v="386"/>
    <s v="0.06-1.00"/>
    <n v="0.53"/>
    <s v="#24"/>
    <x v="1"/>
    <n v="1"/>
    <n v="0.06"/>
    <n v="0.47"/>
    <n v="0.22090000000000001"/>
    <x v="7"/>
    <s v="NA12RB"/>
    <n v="61"/>
    <s v="NA12RB-61"/>
  </r>
  <r>
    <x v="11"/>
    <x v="386"/>
    <s v="0.00-1.06"/>
    <n v="0.53"/>
    <s v="#27"/>
    <x v="1"/>
    <n v="1.06"/>
    <n v="0"/>
    <n v="0.53"/>
    <n v="0.28089999999999998"/>
    <x v="7"/>
    <s v="NA14RB"/>
    <n v="63"/>
    <s v="NA14RB-63"/>
  </r>
  <r>
    <x v="8"/>
    <x v="434"/>
    <n v="-1.08"/>
    <n v="0.53"/>
    <s v="#20"/>
    <x v="2"/>
    <n v="1.07"/>
    <n v="-0.01"/>
    <n v="0.54"/>
    <n v="0.29160000000000003"/>
    <x v="7"/>
    <s v="NA6WR"/>
    <n v="103"/>
    <s v="NA6WR-103"/>
  </r>
  <r>
    <x v="2"/>
    <x v="367"/>
    <n v="-1.48"/>
    <n v="0.53"/>
    <s v="#4"/>
    <x v="1"/>
    <n v="1.27"/>
    <n v="-0.21"/>
    <n v="0.74"/>
    <n v="0.54759999999999998"/>
    <x v="7"/>
    <s v="NA9RB"/>
    <n v="48"/>
    <s v="NA9RB-48"/>
  </r>
  <r>
    <x v="7"/>
    <x v="455"/>
    <n v="-1.1000000000000001"/>
    <n v="0.53"/>
    <s v="#31"/>
    <x v="0"/>
    <n v="1.08"/>
    <n v="-0.02"/>
    <n v="0.55000000000000004"/>
    <n v="0.30249999999999999"/>
    <x v="7"/>
    <s v="NA1QB"/>
    <n v="32"/>
    <s v="NA1QB-32"/>
  </r>
  <r>
    <x v="4"/>
    <x v="435"/>
    <s v="0.01-1.05"/>
    <n v="0.53"/>
    <s v="#32"/>
    <x v="1"/>
    <n v="1.05"/>
    <n v="0.01"/>
    <n v="0.52"/>
    <n v="0.27039999999999997"/>
    <x v="7"/>
    <s v="NA7RB"/>
    <n v="52"/>
    <s v="NA7RB-52"/>
  </r>
  <r>
    <x v="6"/>
    <x v="467"/>
    <n v="-1.08"/>
    <n v="0.53"/>
    <s v="#15"/>
    <x v="2"/>
    <n v="1.07"/>
    <n v="-0.01"/>
    <n v="0.54"/>
    <n v="0.29160000000000003"/>
    <x v="7"/>
    <s v="NA12WR"/>
    <n v="105"/>
    <s v="NA12WR-105"/>
  </r>
  <r>
    <x v="5"/>
    <x v="296"/>
    <n v="-1.26"/>
    <n v="0.53"/>
    <s v="#14"/>
    <x v="1"/>
    <n v="1.1599999999999999"/>
    <n v="-0.1"/>
    <n v="0.63"/>
    <n v="0.39689999999999998"/>
    <x v="7"/>
    <s v="NA13RB"/>
    <n v="68"/>
    <s v="NA13RB-68"/>
  </r>
  <r>
    <x v="0"/>
    <x v="296"/>
    <n v="-1.08"/>
    <n v="0.53"/>
    <s v="#17"/>
    <x v="1"/>
    <n v="1.07"/>
    <n v="-0.01"/>
    <n v="0.54"/>
    <n v="0.29160000000000003"/>
    <x v="7"/>
    <s v="NA17RB"/>
    <n v="59"/>
    <s v="NA17RB-59"/>
  </r>
  <r>
    <x v="10"/>
    <x v="332"/>
    <n v="-1.38"/>
    <n v="0.53"/>
    <s v="#14"/>
    <x v="2"/>
    <n v="1.22"/>
    <n v="-0.16"/>
    <n v="0.69"/>
    <n v="0.47610000000000002"/>
    <x v="7"/>
    <s v="NA2WR"/>
    <n v="74"/>
    <s v="NA2WR-74"/>
  </r>
  <r>
    <x v="6"/>
    <x v="395"/>
    <s v="0.04-1.00"/>
    <n v="0.52"/>
    <s v="#1"/>
    <x v="0"/>
    <n v="1"/>
    <n v="0.04"/>
    <n v="0.48"/>
    <n v="0.23039999999999999"/>
    <x v="7"/>
    <s v="NA12QB"/>
    <n v="38"/>
    <s v="NA12QB-38"/>
  </r>
  <r>
    <x v="6"/>
    <x v="425"/>
    <n v="-1.1000000000000001"/>
    <n v="0.52"/>
    <s v="#8"/>
    <x v="1"/>
    <n v="1.07"/>
    <n v="-0.03"/>
    <n v="0.55000000000000004"/>
    <n v="0.30249999999999999"/>
    <x v="7"/>
    <s v="NA12RB"/>
    <n v="62"/>
    <s v="NA12RB-62"/>
  </r>
  <r>
    <x v="5"/>
    <x v="436"/>
    <s v="0.01-1.03"/>
    <n v="0.52"/>
    <s v="#25"/>
    <x v="3"/>
    <n v="1.03"/>
    <n v="0.01"/>
    <n v="0.51"/>
    <n v="0.2601"/>
    <x v="7"/>
    <s v="NA13TE"/>
    <n v="67"/>
    <s v="NA13TE-67"/>
  </r>
  <r>
    <x v="5"/>
    <x v="451"/>
    <n v="-1.2000000000000002"/>
    <n v="0.52"/>
    <s v="#22"/>
    <x v="3"/>
    <n v="1.1200000000000001"/>
    <n v="-0.08"/>
    <n v="0.6"/>
    <n v="0.36"/>
    <x v="7"/>
    <s v="NA13TE"/>
    <n v="68"/>
    <s v="NA13TE-68"/>
  </r>
  <r>
    <x v="14"/>
    <x v="362"/>
    <s v="0.01-1.03"/>
    <n v="0.52"/>
    <s v="#31"/>
    <x v="1"/>
    <n v="1.03"/>
    <n v="0.01"/>
    <n v="0.51"/>
    <n v="0.2601"/>
    <x v="7"/>
    <s v="NA4RB"/>
    <n v="50"/>
    <s v="NA4RB-50"/>
  </r>
  <r>
    <x v="10"/>
    <x v="400"/>
    <n v="-1.3399999999999999"/>
    <n v="0.52"/>
    <s v="#4"/>
    <x v="1"/>
    <n v="1.19"/>
    <n v="-0.15"/>
    <n v="0.67"/>
    <n v="0.44890000000000002"/>
    <x v="7"/>
    <s v="NA2RB"/>
    <n v="48"/>
    <s v="NA2RB-48"/>
  </r>
  <r>
    <x v="16"/>
    <x v="400"/>
    <s v="0.01-1.03"/>
    <n v="0.52"/>
    <s v="#25"/>
    <x v="1"/>
    <n v="1.03"/>
    <n v="0.01"/>
    <n v="0.51"/>
    <n v="0.2601"/>
    <x v="7"/>
    <s v="NA3RB"/>
    <n v="52"/>
    <s v="NA3RB-52"/>
  </r>
  <r>
    <x v="0"/>
    <x v="400"/>
    <n v="-1.42"/>
    <n v="0.52"/>
    <s v="#11"/>
    <x v="1"/>
    <n v="1.23"/>
    <n v="-0.19"/>
    <n v="0.71"/>
    <n v="0.50409999999999999"/>
    <x v="7"/>
    <s v="NA17RB"/>
    <n v="60"/>
    <s v="NA17RB-60"/>
  </r>
  <r>
    <x v="3"/>
    <x v="336"/>
    <s v="0.01-1.03"/>
    <n v="0.52"/>
    <s v="#15"/>
    <x v="1"/>
    <n v="1.03"/>
    <n v="0.01"/>
    <n v="0.51"/>
    <n v="0.2601"/>
    <x v="7"/>
    <s v="NA11RB"/>
    <n v="53"/>
    <s v="NA11RB-53"/>
  </r>
  <r>
    <x v="15"/>
    <x v="316"/>
    <n v="-1.1400000000000001"/>
    <n v="0.52"/>
    <s v="#10"/>
    <x v="1"/>
    <n v="1.0900000000000001"/>
    <n v="-0.05"/>
    <n v="0.56999999999999995"/>
    <n v="0.32490000000000002"/>
    <x v="7"/>
    <s v="NA10RB"/>
    <n v="57"/>
    <s v="NA10RB-57"/>
  </r>
  <r>
    <x v="0"/>
    <x v="316"/>
    <s v="0.00-1.04"/>
    <n v="0.52"/>
    <s v="#13"/>
    <x v="1"/>
    <n v="1.04"/>
    <n v="0"/>
    <n v="0.52"/>
    <n v="0.27039999999999997"/>
    <x v="7"/>
    <s v="NA17RB"/>
    <n v="61"/>
    <s v="NA17RB-61"/>
  </r>
  <r>
    <x v="8"/>
    <x v="461"/>
    <n v="-1.22"/>
    <n v="0.52"/>
    <s v="#17"/>
    <x v="0"/>
    <n v="1.1299999999999999"/>
    <n v="-0.09"/>
    <n v="0.61"/>
    <n v="0.37209999999999999"/>
    <x v="7"/>
    <s v="NA6QB"/>
    <n v="38"/>
    <s v="NA6QB-38"/>
  </r>
  <r>
    <x v="11"/>
    <x v="346"/>
    <n v="-1.08"/>
    <n v="0.52"/>
    <s v="#20"/>
    <x v="2"/>
    <n v="1.06"/>
    <n v="-0.02"/>
    <n v="0.54"/>
    <n v="0.29160000000000003"/>
    <x v="7"/>
    <s v="NA14WR"/>
    <n v="106"/>
    <s v="NA14WR-106"/>
  </r>
  <r>
    <x v="8"/>
    <x v="363"/>
    <n v="-1.3199999999999998"/>
    <n v="0.52"/>
    <s v="#12"/>
    <x v="2"/>
    <n v="1.18"/>
    <n v="-0.14000000000000001"/>
    <n v="0.66"/>
    <n v="0.43559999999999999"/>
    <x v="7"/>
    <s v="NA6WR"/>
    <n v="104"/>
    <s v="NA6WR-104"/>
  </r>
  <r>
    <x v="15"/>
    <x v="422"/>
    <s v="0.02-1.02"/>
    <n v="0.52"/>
    <s v="#17"/>
    <x v="2"/>
    <n v="1.02"/>
    <n v="0.02"/>
    <n v="0.5"/>
    <n v="0.25"/>
    <x v="7"/>
    <s v="NA10WR"/>
    <n v="99"/>
    <s v="NA10WR-99"/>
  </r>
  <r>
    <x v="9"/>
    <x v="422"/>
    <s v="0.01-1.03"/>
    <n v="0.52"/>
    <s v="#22"/>
    <x v="2"/>
    <n v="1.03"/>
    <n v="0.01"/>
    <n v="0.51"/>
    <n v="0.2601"/>
    <x v="7"/>
    <s v="NA15WR"/>
    <n v="108"/>
    <s v="NA15WR-108"/>
  </r>
  <r>
    <x v="1"/>
    <x v="422"/>
    <n v="-1.1200000000000001"/>
    <n v="0.52"/>
    <s v="#12"/>
    <x v="2"/>
    <n v="1.08"/>
    <n v="-0.04"/>
    <n v="0.56000000000000005"/>
    <n v="0.31359999999999999"/>
    <x v="7"/>
    <s v="NA16WR"/>
    <n v="104"/>
    <s v="NA16WR-104"/>
  </r>
  <r>
    <x v="5"/>
    <x v="463"/>
    <n v="-1.22"/>
    <n v="0.52"/>
    <s v="#11"/>
    <x v="3"/>
    <n v="1.1299999999999999"/>
    <n v="-0.09"/>
    <n v="0.61"/>
    <n v="0.37209999999999999"/>
    <x v="7"/>
    <s v="NA13TE"/>
    <n v="69"/>
    <s v="NA13TE-69"/>
  </r>
  <r>
    <x v="4"/>
    <x v="324"/>
    <n v="-1.62"/>
    <n v="0.52"/>
    <s v="#5"/>
    <x v="3"/>
    <n v="1.33"/>
    <n v="-0.28999999999999998"/>
    <n v="0.81"/>
    <n v="0.65610000000000002"/>
    <x v="7"/>
    <s v="NA7TE"/>
    <n v="64"/>
    <s v="NA7TE-64"/>
  </r>
  <r>
    <x v="5"/>
    <x v="324"/>
    <n v="-1.54"/>
    <n v="0.52"/>
    <s v="#26"/>
    <x v="3"/>
    <n v="1.29"/>
    <n v="-0.25"/>
    <n v="0.77"/>
    <n v="0.59289999999999998"/>
    <x v="7"/>
    <s v="NA13TE"/>
    <n v="70"/>
    <s v="NA13TE-70"/>
  </r>
  <r>
    <x v="10"/>
    <x v="466"/>
    <n v="-1.1200000000000001"/>
    <n v="0.52"/>
    <s v="#18"/>
    <x v="3"/>
    <n v="1.08"/>
    <n v="-0.04"/>
    <n v="0.56000000000000005"/>
    <n v="0.31359999999999999"/>
    <x v="7"/>
    <s v="NA2TE"/>
    <n v="62"/>
    <s v="NA2TE-62"/>
  </r>
  <r>
    <x v="0"/>
    <x v="466"/>
    <n v="-1.1000000000000001"/>
    <n v="0.52"/>
    <s v="#21"/>
    <x v="3"/>
    <n v="1.07"/>
    <n v="-0.03"/>
    <n v="0.55000000000000004"/>
    <n v="0.30249999999999999"/>
    <x v="7"/>
    <s v="NA17TE"/>
    <n v="67"/>
    <s v="NA17TE-67"/>
  </r>
  <r>
    <x v="5"/>
    <x v="462"/>
    <n v="-1.06"/>
    <n v="0.52"/>
    <s v="#30"/>
    <x v="1"/>
    <n v="1.05"/>
    <n v="-0.01"/>
    <n v="0.53"/>
    <n v="0.28089999999999998"/>
    <x v="7"/>
    <s v="NA13RB"/>
    <n v="69"/>
    <s v="NA13RB-69"/>
  </r>
  <r>
    <x v="15"/>
    <x v="442"/>
    <n v="-1.22"/>
    <n v="0.52"/>
    <s v="#4"/>
    <x v="3"/>
    <n v="1.1299999999999999"/>
    <n v="-0.09"/>
    <n v="0.61"/>
    <n v="0.37209999999999999"/>
    <x v="7"/>
    <s v="NA10TE"/>
    <n v="63"/>
    <s v="NA10TE-63"/>
  </r>
  <r>
    <x v="7"/>
    <x v="401"/>
    <n v="-1.38"/>
    <n v="0.52"/>
    <s v="#22"/>
    <x v="2"/>
    <n v="1.21"/>
    <n v="-0.17"/>
    <n v="0.69"/>
    <n v="0.47610000000000002"/>
    <x v="7"/>
    <s v="NA1WR"/>
    <n v="70"/>
    <s v="NA1WR-70"/>
  </r>
  <r>
    <x v="7"/>
    <x v="338"/>
    <n v="-1.3599999999999999"/>
    <n v="0.52"/>
    <s v="#25"/>
    <x v="2"/>
    <n v="1.2"/>
    <n v="-0.16"/>
    <n v="0.68"/>
    <n v="0.46239999999999998"/>
    <x v="7"/>
    <s v="NA1WR"/>
    <n v="71"/>
    <s v="NA1WR-71"/>
  </r>
  <r>
    <x v="16"/>
    <x v="468"/>
    <n v="-1.06"/>
    <n v="0.52"/>
    <s v="#9"/>
    <x v="3"/>
    <n v="1.05"/>
    <n v="-0.01"/>
    <n v="0.53"/>
    <n v="0.28089999999999998"/>
    <x v="7"/>
    <s v="NA3TE"/>
    <n v="60"/>
    <s v="NA3TE-60"/>
  </r>
  <r>
    <x v="3"/>
    <x v="468"/>
    <n v="-1.06"/>
    <n v="0.52"/>
    <s v="#30"/>
    <x v="3"/>
    <n v="1.05"/>
    <n v="-0.01"/>
    <n v="0.53"/>
    <n v="0.28089999999999998"/>
    <x v="7"/>
    <s v="NA11TE"/>
    <n v="54"/>
    <s v="NA11TE-54"/>
  </r>
  <r>
    <x v="0"/>
    <x v="437"/>
    <s v="0.00-1.04"/>
    <n v="0.52"/>
    <s v="#18"/>
    <x v="1"/>
    <n v="1.04"/>
    <n v="0"/>
    <n v="0.52"/>
    <n v="0.27039999999999997"/>
    <x v="7"/>
    <s v="NA17RB"/>
    <n v="62"/>
    <s v="NA17RB-62"/>
  </r>
  <r>
    <x v="2"/>
    <x v="420"/>
    <n v="-1.06"/>
    <n v="0.52"/>
    <s v="#29"/>
    <x v="1"/>
    <n v="1.05"/>
    <n v="-0.01"/>
    <n v="0.53"/>
    <n v="0.28089999999999998"/>
    <x v="7"/>
    <s v="NA9RB"/>
    <n v="49"/>
    <s v="NA9RB-49"/>
  </r>
  <r>
    <x v="11"/>
    <x v="420"/>
    <n v="-1.06"/>
    <n v="0.52"/>
    <s v="#22"/>
    <x v="1"/>
    <n v="1.05"/>
    <n v="-0.01"/>
    <n v="0.53"/>
    <n v="0.28089999999999998"/>
    <x v="7"/>
    <s v="NA14RB"/>
    <n v="64"/>
    <s v="NA14RB-64"/>
  </r>
  <r>
    <x v="16"/>
    <x v="318"/>
    <n v="-1.4"/>
    <n v="0.52"/>
    <s v="#13"/>
    <x v="2"/>
    <n v="1.22"/>
    <n v="-0.18"/>
    <n v="0.7"/>
    <n v="0.49"/>
    <x v="7"/>
    <s v="NA3WR"/>
    <n v="83"/>
    <s v="NA3WR-83"/>
  </r>
  <r>
    <x v="0"/>
    <x v="303"/>
    <n v="-1.08"/>
    <n v="0.52"/>
    <s v="#15"/>
    <x v="1"/>
    <n v="1.06"/>
    <n v="-0.02"/>
    <n v="0.54"/>
    <n v="0.29160000000000003"/>
    <x v="7"/>
    <s v="NA17RB"/>
    <n v="63"/>
    <s v="NA17RB-63"/>
  </r>
  <r>
    <x v="12"/>
    <x v="412"/>
    <n v="-1.08"/>
    <n v="0.52"/>
    <s v="#15"/>
    <x v="0"/>
    <n v="1.06"/>
    <n v="-0.02"/>
    <n v="0.54"/>
    <n v="0.29160000000000003"/>
    <x v="7"/>
    <s v="NA5QB"/>
    <n v="35"/>
    <s v="NA5QB-35"/>
  </r>
  <r>
    <x v="4"/>
    <x v="469"/>
    <n v="-1.1800000000000002"/>
    <n v="0.52"/>
    <s v="#23"/>
    <x v="2"/>
    <n v="1.1100000000000001"/>
    <n v="-7.0000000000000007E-2"/>
    <n v="0.59"/>
    <n v="0.34810000000000002"/>
    <x v="7"/>
    <s v="NA7WR"/>
    <n v="96"/>
    <s v="NA7WR-96"/>
  </r>
  <r>
    <x v="3"/>
    <x v="445"/>
    <n v="-1.1600000000000001"/>
    <n v="0.52"/>
    <s v="#9"/>
    <x v="3"/>
    <n v="1.1000000000000001"/>
    <n v="-0.06"/>
    <n v="0.57999999999999996"/>
    <n v="0.33639999999999998"/>
    <x v="7"/>
    <s v="NA11TE"/>
    <n v="55"/>
    <s v="NA11TE-55"/>
  </r>
  <r>
    <x v="10"/>
    <x v="433"/>
    <s v="0.00-1.04"/>
    <n v="0.52"/>
    <s v="#30"/>
    <x v="3"/>
    <n v="1.04"/>
    <n v="0"/>
    <n v="0.52"/>
    <n v="0.27039999999999997"/>
    <x v="7"/>
    <s v="NA2TE"/>
    <n v="63"/>
    <s v="NA2TE-63"/>
  </r>
  <r>
    <x v="1"/>
    <x v="409"/>
    <n v="-1.5"/>
    <n v="0.52"/>
    <s v="#17"/>
    <x v="1"/>
    <n v="1.27"/>
    <n v="-0.23"/>
    <n v="0.75"/>
    <n v="0.5625"/>
    <x v="7"/>
    <s v="NA16RB"/>
    <n v="66"/>
    <s v="NA16RB-66"/>
  </r>
  <r>
    <x v="1"/>
    <x v="454"/>
    <n v="-1.1600000000000001"/>
    <n v="0.52"/>
    <s v="#27"/>
    <x v="3"/>
    <n v="1.1000000000000001"/>
    <n v="-0.06"/>
    <n v="0.57999999999999996"/>
    <n v="0.33639999999999998"/>
    <x v="7"/>
    <s v="NA16TE"/>
    <n v="71"/>
    <s v="NA16TE-71"/>
  </r>
  <r>
    <x v="16"/>
    <x v="372"/>
    <n v="-1.2799999999999998"/>
    <n v="0.52"/>
    <s v="#8"/>
    <x v="3"/>
    <n v="1.1599999999999999"/>
    <n v="-0.12"/>
    <n v="0.64"/>
    <n v="0.40960000000000002"/>
    <x v="7"/>
    <s v="NA3TE"/>
    <n v="61"/>
    <s v="NA3TE-61"/>
  </r>
  <r>
    <x v="13"/>
    <x v="386"/>
    <n v="-1.1400000000000001"/>
    <n v="0.52"/>
    <s v="#25"/>
    <x v="1"/>
    <n v="1.0900000000000001"/>
    <n v="-0.05"/>
    <n v="0.56999999999999995"/>
    <n v="0.32490000000000002"/>
    <x v="7"/>
    <s v="NA8RB"/>
    <n v="59"/>
    <s v="NA8RB-59"/>
  </r>
  <r>
    <x v="13"/>
    <x v="434"/>
    <n v="-1.1800000000000002"/>
    <n v="0.52"/>
    <s v="#15"/>
    <x v="2"/>
    <n v="1.1100000000000001"/>
    <n v="-7.0000000000000007E-2"/>
    <n v="0.59"/>
    <n v="0.34810000000000002"/>
    <x v="7"/>
    <s v="NA8WR"/>
    <n v="92"/>
    <s v="NA8WR-92"/>
  </r>
  <r>
    <x v="3"/>
    <x v="424"/>
    <s v="0.01-1.03"/>
    <n v="0.52"/>
    <s v="#27"/>
    <x v="1"/>
    <n v="1.03"/>
    <n v="0.01"/>
    <n v="0.51"/>
    <n v="0.2601"/>
    <x v="7"/>
    <s v="NA11RB"/>
    <n v="54"/>
    <s v="NA11RB-54"/>
  </r>
  <r>
    <x v="7"/>
    <x v="344"/>
    <n v="-1.38"/>
    <n v="0.52"/>
    <s v="#17"/>
    <x v="2"/>
    <n v="1.21"/>
    <n v="-0.17"/>
    <n v="0.69"/>
    <n v="0.47610000000000002"/>
    <x v="7"/>
    <s v="NA1WR"/>
    <n v="72"/>
    <s v="NA1WR-72"/>
  </r>
  <r>
    <x v="12"/>
    <x v="430"/>
    <n v="-1.22"/>
    <n v="0.52"/>
    <s v="#18"/>
    <x v="1"/>
    <n v="1.1299999999999999"/>
    <n v="-0.09"/>
    <n v="0.61"/>
    <n v="0.37209999999999999"/>
    <x v="7"/>
    <s v="NA5RB"/>
    <n v="59"/>
    <s v="NA5RB-59"/>
  </r>
  <r>
    <x v="8"/>
    <x v="435"/>
    <n v="-1.1400000000000001"/>
    <n v="0.52"/>
    <s v="#15"/>
    <x v="1"/>
    <n v="1.0900000000000001"/>
    <n v="-0.05"/>
    <n v="0.56999999999999995"/>
    <n v="0.32490000000000002"/>
    <x v="7"/>
    <s v="NA6RB"/>
    <n v="59"/>
    <s v="NA6RB-59"/>
  </r>
  <r>
    <x v="11"/>
    <x v="435"/>
    <n v="-1.1000000000000001"/>
    <n v="0.52"/>
    <s v="#20"/>
    <x v="1"/>
    <n v="1.07"/>
    <n v="-0.03"/>
    <n v="0.55000000000000004"/>
    <n v="0.30249999999999999"/>
    <x v="7"/>
    <s v="NA14RB"/>
    <n v="65"/>
    <s v="NA14RB-65"/>
  </r>
  <r>
    <x v="9"/>
    <x v="435"/>
    <s v="0.04-1.00"/>
    <n v="0.52"/>
    <s v="#25"/>
    <x v="1"/>
    <n v="1"/>
    <n v="0.04"/>
    <n v="0.48"/>
    <n v="0.23039999999999999"/>
    <x v="7"/>
    <s v="NA15RB"/>
    <n v="66"/>
    <s v="NA15RB-66"/>
  </r>
  <r>
    <x v="10"/>
    <x v="467"/>
    <n v="-1.1600000000000001"/>
    <n v="0.52"/>
    <s v="#25"/>
    <x v="2"/>
    <n v="1.1000000000000001"/>
    <n v="-0.06"/>
    <n v="0.57999999999999996"/>
    <n v="0.33639999999999998"/>
    <x v="7"/>
    <s v="NA2WR"/>
    <n v="75"/>
    <s v="NA2WR-75"/>
  </r>
  <r>
    <x v="0"/>
    <x v="467"/>
    <n v="-1.06"/>
    <n v="0.52"/>
    <s v="#20"/>
    <x v="2"/>
    <n v="1.05"/>
    <n v="-0.01"/>
    <n v="0.53"/>
    <n v="0.28089999999999998"/>
    <x v="7"/>
    <s v="NA17WR"/>
    <n v="113"/>
    <s v="NA17WR-113"/>
  </r>
  <r>
    <x v="1"/>
    <x v="296"/>
    <n v="-1.06"/>
    <n v="0.52"/>
    <s v="#21"/>
    <x v="1"/>
    <n v="1.05"/>
    <n v="-0.01"/>
    <n v="0.53"/>
    <n v="0.28089999999999998"/>
    <x v="7"/>
    <s v="NA16RB"/>
    <n v="67"/>
    <s v="NA16RB-67"/>
  </r>
  <r>
    <x v="15"/>
    <x v="368"/>
    <s v="0.00-1.04"/>
    <n v="0.52"/>
    <s v="#22"/>
    <x v="2"/>
    <n v="1.04"/>
    <n v="0"/>
    <n v="0.52"/>
    <n v="0.27039999999999997"/>
    <x v="7"/>
    <s v="NA10WR"/>
    <n v="100"/>
    <s v="NA10WR-100"/>
  </r>
  <r>
    <x v="11"/>
    <x v="332"/>
    <s v="0.03-1.01"/>
    <n v="0.52"/>
    <s v="#9"/>
    <x v="2"/>
    <n v="1.01"/>
    <n v="0.03"/>
    <n v="0.49"/>
    <n v="0.24010000000000001"/>
    <x v="7"/>
    <s v="NA14WR"/>
    <n v="107"/>
    <s v="NA14WR-107"/>
  </r>
  <r>
    <x v="3"/>
    <x v="205"/>
    <n v="-1.1200000000000001"/>
    <n v="0.52"/>
    <s v="#14"/>
    <x v="2"/>
    <n v="1.08"/>
    <n v="-0.04"/>
    <n v="0.56000000000000005"/>
    <n v="0.31359999999999999"/>
    <x v="7"/>
    <s v="NA11WR"/>
    <n v="86"/>
    <s v="NA11WR-86"/>
  </r>
  <r>
    <x v="11"/>
    <x v="459"/>
    <n v="-1.1600000000000001"/>
    <n v="0.51"/>
    <s v="#10"/>
    <x v="3"/>
    <n v="1.0900000000000001"/>
    <n v="-7.0000000000000007E-2"/>
    <n v="0.57999999999999996"/>
    <n v="0.33639999999999998"/>
    <x v="7"/>
    <s v="NA14TE"/>
    <n v="73"/>
    <s v="NA14TE-73"/>
  </r>
  <r>
    <x v="6"/>
    <x v="431"/>
    <s v="0.04-0.98"/>
    <n v="0.51"/>
    <s v="#18"/>
    <x v="3"/>
    <n v="0.98"/>
    <n v="0.04"/>
    <n v="0.47"/>
    <n v="0.22090000000000001"/>
    <x v="7"/>
    <s v="NA12TE"/>
    <n v="69"/>
    <s v="NA12TE-69"/>
  </r>
  <r>
    <x v="11"/>
    <x v="431"/>
    <s v="0.05-0.97"/>
    <n v="0.51"/>
    <s v="#30"/>
    <x v="3"/>
    <n v="0.97"/>
    <n v="0.05"/>
    <n v="0.46"/>
    <n v="0.21160000000000001"/>
    <x v="7"/>
    <s v="NA14TE"/>
    <n v="74"/>
    <s v="NA14TE-74"/>
  </r>
  <r>
    <x v="3"/>
    <x v="354"/>
    <n v="-1.54"/>
    <n v="0.51"/>
    <s v="#1"/>
    <x v="2"/>
    <n v="1.28"/>
    <n v="-0.26"/>
    <n v="0.77"/>
    <n v="0.59289999999999998"/>
    <x v="7"/>
    <s v="NA11WR"/>
    <n v="87"/>
    <s v="NA11WR-87"/>
  </r>
  <r>
    <x v="7"/>
    <x v="426"/>
    <s v="0.02-1.00"/>
    <n v="0.51"/>
    <s v="#4"/>
    <x v="2"/>
    <n v="1"/>
    <n v="0.02"/>
    <n v="0.49"/>
    <n v="0.24010000000000001"/>
    <x v="7"/>
    <s v="NA1WR"/>
    <n v="73"/>
    <s v="NA1WR-73"/>
  </r>
  <r>
    <x v="13"/>
    <x v="448"/>
    <n v="-1.1600000000000001"/>
    <n v="0.51"/>
    <s v="#16"/>
    <x v="1"/>
    <n v="1.0900000000000001"/>
    <n v="-7.0000000000000007E-2"/>
    <n v="0.57999999999999996"/>
    <n v="0.33639999999999998"/>
    <x v="7"/>
    <s v="NA8RB"/>
    <n v="60"/>
    <s v="NA8RB-60"/>
  </r>
  <r>
    <x v="5"/>
    <x v="427"/>
    <s v="0.06-0.96"/>
    <n v="0.51"/>
    <s v="#7"/>
    <x v="3"/>
    <n v="0.96"/>
    <n v="0.06"/>
    <n v="0.45"/>
    <n v="0.20250000000000001"/>
    <x v="7"/>
    <s v="NA13TE"/>
    <n v="71"/>
    <s v="NA13TE-71"/>
  </r>
  <r>
    <x v="1"/>
    <x v="427"/>
    <s v="0.02-1.00"/>
    <n v="0.51"/>
    <s v="#23"/>
    <x v="3"/>
    <n v="1"/>
    <n v="0.02"/>
    <n v="0.49"/>
    <n v="0.24010000000000001"/>
    <x v="7"/>
    <s v="NA16TE"/>
    <n v="72"/>
    <s v="NA16TE-72"/>
  </r>
  <r>
    <x v="8"/>
    <x v="451"/>
    <n v="-1.1400000000000001"/>
    <n v="0.51"/>
    <s v="#24"/>
    <x v="3"/>
    <n v="1.08"/>
    <n v="-0.06"/>
    <n v="0.56999999999999995"/>
    <n v="0.32490000000000002"/>
    <x v="7"/>
    <s v="NA6TE"/>
    <n v="62"/>
    <s v="NA6TE-62"/>
  </r>
  <r>
    <x v="13"/>
    <x v="451"/>
    <n v="-1.2200000000000002"/>
    <n v="0.51"/>
    <s v="#4"/>
    <x v="3"/>
    <n v="1.1200000000000001"/>
    <n v="-0.1"/>
    <n v="0.61"/>
    <n v="0.37209999999999999"/>
    <x v="7"/>
    <s v="NA8TE"/>
    <n v="59"/>
    <s v="NA8TE-59"/>
  </r>
  <r>
    <x v="6"/>
    <x v="336"/>
    <n v="-1.08"/>
    <n v="0.51"/>
    <s v="#11"/>
    <x v="1"/>
    <n v="1.05"/>
    <n v="-0.03"/>
    <n v="0.54"/>
    <n v="0.29160000000000003"/>
    <x v="7"/>
    <s v="NA12RB"/>
    <n v="63"/>
    <s v="NA12RB-63"/>
  </r>
  <r>
    <x v="10"/>
    <x v="345"/>
    <n v="-1.24"/>
    <n v="0.51"/>
    <s v="#7"/>
    <x v="1"/>
    <n v="1.1299999999999999"/>
    <n v="-0.11"/>
    <n v="0.62"/>
    <n v="0.38440000000000002"/>
    <x v="7"/>
    <s v="NA2RB"/>
    <n v="49"/>
    <s v="NA2RB-49"/>
  </r>
  <r>
    <x v="11"/>
    <x v="422"/>
    <n v="-1.2999999999999998"/>
    <n v="0.51"/>
    <s v="#3"/>
    <x v="2"/>
    <n v="1.1599999999999999"/>
    <n v="-0.14000000000000001"/>
    <n v="0.65"/>
    <n v="0.42249999999999999"/>
    <x v="7"/>
    <s v="NA14WR"/>
    <n v="108"/>
    <s v="NA14WR-108"/>
  </r>
  <r>
    <x v="9"/>
    <x v="428"/>
    <s v="0.00-1.02"/>
    <n v="0.51"/>
    <s v="#19"/>
    <x v="1"/>
    <n v="1.02"/>
    <n v="0"/>
    <n v="0.51"/>
    <n v="0.2601"/>
    <x v="7"/>
    <s v="NA15RB"/>
    <n v="67"/>
    <s v="NA15RB-67"/>
  </r>
  <r>
    <x v="0"/>
    <x v="376"/>
    <s v="0.07-0.95"/>
    <n v="0.51"/>
    <s v="#25"/>
    <x v="2"/>
    <n v="0.95"/>
    <n v="7.0000000000000007E-2"/>
    <n v="0.44"/>
    <n v="0.19359999999999999"/>
    <x v="7"/>
    <s v="NA17WR"/>
    <n v="114"/>
    <s v="NA17WR-114"/>
  </r>
  <r>
    <x v="5"/>
    <x v="466"/>
    <n v="-1.24"/>
    <n v="0.51"/>
    <s v="#10"/>
    <x v="3"/>
    <n v="1.1299999999999999"/>
    <n v="-0.11"/>
    <n v="0.62"/>
    <n v="0.38440000000000002"/>
    <x v="7"/>
    <s v="NA13TE"/>
    <n v="72"/>
    <s v="NA13TE-72"/>
  </r>
  <r>
    <x v="14"/>
    <x v="442"/>
    <n v="-1.1000000000000001"/>
    <n v="0.51"/>
    <s v="#21"/>
    <x v="3"/>
    <n v="1.06"/>
    <n v="-0.04"/>
    <n v="0.55000000000000004"/>
    <n v="0.30249999999999999"/>
    <x v="7"/>
    <s v="NA4TE"/>
    <n v="58"/>
    <s v="NA4TE-58"/>
  </r>
  <r>
    <x v="4"/>
    <x v="432"/>
    <n v="-1.04"/>
    <n v="0.51"/>
    <s v="#13"/>
    <x v="2"/>
    <n v="1.03"/>
    <n v="-0.01"/>
    <n v="0.52"/>
    <n v="0.27039999999999997"/>
    <x v="7"/>
    <s v="NA7WR"/>
    <n v="97"/>
    <s v="NA7WR-97"/>
  </r>
  <r>
    <x v="10"/>
    <x v="338"/>
    <n v="-1.1200000000000001"/>
    <n v="0.51"/>
    <s v="#13"/>
    <x v="2"/>
    <n v="1.07"/>
    <n v="-0.05"/>
    <n v="0.56000000000000005"/>
    <n v="0.31359999999999999"/>
    <x v="7"/>
    <s v="NA2WR"/>
    <n v="76"/>
    <s v="NA2WR-76"/>
  </r>
  <r>
    <x v="11"/>
    <x v="468"/>
    <n v="-1.08"/>
    <n v="0.51"/>
    <s v="#23"/>
    <x v="3"/>
    <n v="1.05"/>
    <n v="-0.03"/>
    <n v="0.54"/>
    <n v="0.29160000000000003"/>
    <x v="7"/>
    <s v="NA14TE"/>
    <n v="75"/>
    <s v="NA14TE-75"/>
  </r>
  <r>
    <x v="6"/>
    <x v="411"/>
    <n v="-1.04"/>
    <n v="0.51"/>
    <s v="#13"/>
    <x v="1"/>
    <n v="1.03"/>
    <n v="-0.01"/>
    <n v="0.52"/>
    <n v="0.27039999999999997"/>
    <x v="7"/>
    <s v="NA12RB"/>
    <n v="64"/>
    <s v="NA12RB-64"/>
  </r>
  <r>
    <x v="4"/>
    <x v="420"/>
    <n v="-1.1000000000000001"/>
    <n v="0.51"/>
    <s v="#23"/>
    <x v="1"/>
    <n v="1.06"/>
    <n v="-0.04"/>
    <n v="0.55000000000000004"/>
    <n v="0.30249999999999999"/>
    <x v="7"/>
    <s v="NA7RB"/>
    <n v="53"/>
    <s v="NA7RB-53"/>
  </r>
  <r>
    <x v="14"/>
    <x v="438"/>
    <s v="0.03-0.99"/>
    <n v="0.51"/>
    <s v="#19"/>
    <x v="3"/>
    <n v="0.99"/>
    <n v="0.03"/>
    <n v="0.48"/>
    <n v="0.23039999999999999"/>
    <x v="7"/>
    <s v="NA4TE"/>
    <n v="59"/>
    <s v="NA4TE-59"/>
  </r>
  <r>
    <x v="6"/>
    <x v="333"/>
    <n v="-1.1000000000000001"/>
    <n v="0.51"/>
    <s v="#26"/>
    <x v="3"/>
    <n v="1.06"/>
    <n v="-0.04"/>
    <n v="0.55000000000000004"/>
    <n v="0.30249999999999999"/>
    <x v="7"/>
    <s v="NA12TE"/>
    <n v="70"/>
    <s v="NA12TE-70"/>
  </r>
  <r>
    <x v="5"/>
    <x v="303"/>
    <s v="0.04-0.98"/>
    <n v="0.51"/>
    <s v="#16"/>
    <x v="1"/>
    <n v="0.98"/>
    <n v="0.04"/>
    <n v="0.47"/>
    <n v="0.22090000000000001"/>
    <x v="7"/>
    <s v="NA13RB"/>
    <n v="70"/>
    <s v="NA13RB-70"/>
  </r>
  <r>
    <x v="15"/>
    <x v="402"/>
    <n v="-1.08"/>
    <n v="0.51"/>
    <s v="#2"/>
    <x v="2"/>
    <n v="1.05"/>
    <n v="-0.03"/>
    <n v="0.54"/>
    <n v="0.29160000000000003"/>
    <x v="7"/>
    <s v="NA10WR"/>
    <n v="101"/>
    <s v="NA10WR-101"/>
  </r>
  <r>
    <x v="9"/>
    <x v="402"/>
    <n v="-1.1200000000000001"/>
    <n v="0.51"/>
    <s v="#13"/>
    <x v="2"/>
    <n v="1.07"/>
    <n v="-0.05"/>
    <n v="0.56000000000000005"/>
    <n v="0.31359999999999999"/>
    <x v="7"/>
    <s v="NA15WR"/>
    <n v="109"/>
    <s v="NA15WR-109"/>
  </r>
  <r>
    <x v="3"/>
    <x v="444"/>
    <s v="0.03-0.99"/>
    <n v="0.51"/>
    <s v="#26"/>
    <x v="1"/>
    <n v="0.99"/>
    <n v="0.03"/>
    <n v="0.48"/>
    <n v="0.23039999999999999"/>
    <x v="7"/>
    <s v="NA11RB"/>
    <n v="55"/>
    <s v="NA11RB-55"/>
  </r>
  <r>
    <x v="5"/>
    <x v="469"/>
    <n v="-1.1800000000000002"/>
    <n v="0.51"/>
    <s v="#6"/>
    <x v="2"/>
    <n v="1.1000000000000001"/>
    <n v="-0.08"/>
    <n v="0.59"/>
    <n v="0.34810000000000002"/>
    <x v="7"/>
    <s v="NA13WR"/>
    <n v="107"/>
    <s v="NA13WR-107"/>
  </r>
  <r>
    <x v="0"/>
    <x v="393"/>
    <s v="0.04-0.98"/>
    <n v="0.51"/>
    <s v="#5"/>
    <x v="1"/>
    <n v="0.98"/>
    <n v="0.04"/>
    <n v="0.47"/>
    <n v="0.22090000000000001"/>
    <x v="7"/>
    <s v="NA17RB"/>
    <n v="64"/>
    <s v="NA17RB-64"/>
  </r>
  <r>
    <x v="7"/>
    <x v="320"/>
    <n v="-1.1800000000000002"/>
    <n v="0.51"/>
    <s v="#28"/>
    <x v="3"/>
    <n v="1.1000000000000001"/>
    <n v="-0.08"/>
    <n v="0.59"/>
    <n v="0.34810000000000002"/>
    <x v="7"/>
    <s v="NA1TE"/>
    <n v="51"/>
    <s v="NA1TE-51"/>
  </r>
  <r>
    <x v="4"/>
    <x v="446"/>
    <n v="-1.3199999999999998"/>
    <n v="0.51"/>
    <s v="#12"/>
    <x v="2"/>
    <n v="1.17"/>
    <n v="-0.15"/>
    <n v="0.66"/>
    <n v="0.43559999999999999"/>
    <x v="7"/>
    <s v="NA7WR"/>
    <n v="98"/>
    <s v="NA7WR-98"/>
  </r>
  <r>
    <x v="11"/>
    <x v="433"/>
    <n v="-1.1800000000000002"/>
    <n v="0.51"/>
    <s v="#7"/>
    <x v="3"/>
    <n v="1.1000000000000001"/>
    <n v="-0.08"/>
    <n v="0.59"/>
    <n v="0.34810000000000002"/>
    <x v="7"/>
    <s v="NA14TE"/>
    <n v="76"/>
    <s v="NA14TE-76"/>
  </r>
  <r>
    <x v="9"/>
    <x v="433"/>
    <n v="-1.2200000000000002"/>
    <n v="0.51"/>
    <s v="#16"/>
    <x v="3"/>
    <n v="1.1200000000000001"/>
    <n v="-0.1"/>
    <n v="0.61"/>
    <n v="0.37209999999999999"/>
    <x v="7"/>
    <s v="NA15TE"/>
    <n v="70"/>
    <s v="NA15TE-70"/>
  </r>
  <r>
    <x v="0"/>
    <x v="409"/>
    <n v="-1.3399999999999999"/>
    <n v="0.51"/>
    <s v="#24"/>
    <x v="1"/>
    <n v="1.18"/>
    <n v="-0.16"/>
    <n v="0.67"/>
    <n v="0.44890000000000002"/>
    <x v="7"/>
    <s v="NA17RB"/>
    <n v="65"/>
    <s v="NA17RB-65"/>
  </r>
  <r>
    <x v="1"/>
    <x v="439"/>
    <n v="-1.2000000000000002"/>
    <n v="0.51"/>
    <s v="#17"/>
    <x v="2"/>
    <n v="1.1100000000000001"/>
    <n v="-0.09"/>
    <n v="0.6"/>
    <n v="0.36"/>
    <x v="7"/>
    <s v="NA16WR"/>
    <n v="105"/>
    <s v="NA16WR-105"/>
  </r>
  <r>
    <x v="10"/>
    <x v="421"/>
    <n v="-1.1400000000000001"/>
    <n v="0.51"/>
    <s v="#20"/>
    <x v="2"/>
    <n v="1.08"/>
    <n v="-0.06"/>
    <n v="0.56999999999999995"/>
    <n v="0.32490000000000002"/>
    <x v="7"/>
    <s v="NA2WR"/>
    <n v="77"/>
    <s v="NA2WR-77"/>
  </r>
  <r>
    <x v="9"/>
    <x v="421"/>
    <n v="-1.2999999999999998"/>
    <n v="0.51"/>
    <s v="#28"/>
    <x v="2"/>
    <n v="1.1599999999999999"/>
    <n v="-0.14000000000000001"/>
    <n v="0.65"/>
    <n v="0.42249999999999999"/>
    <x v="7"/>
    <s v="NA15WR"/>
    <n v="110"/>
    <s v="NA15WR-110"/>
  </r>
  <r>
    <x v="4"/>
    <x v="403"/>
    <n v="-1.04"/>
    <n v="0.51"/>
    <s v="#4"/>
    <x v="1"/>
    <n v="1.03"/>
    <n v="-0.01"/>
    <n v="0.52"/>
    <n v="0.27039999999999997"/>
    <x v="7"/>
    <s v="NA7RB"/>
    <n v="54"/>
    <s v="NA7RB-54"/>
  </r>
  <r>
    <x v="2"/>
    <x v="424"/>
    <n v="-1.1200000000000001"/>
    <n v="0.51"/>
    <s v="#29"/>
    <x v="1"/>
    <n v="1.07"/>
    <n v="-0.05"/>
    <n v="0.56000000000000005"/>
    <n v="0.31359999999999999"/>
    <x v="7"/>
    <s v="NA9RB"/>
    <n v="50"/>
    <s v="NA9RB-50"/>
  </r>
  <r>
    <x v="15"/>
    <x v="424"/>
    <s v="0.01-1.01"/>
    <n v="0.51"/>
    <s v="#31"/>
    <x v="1"/>
    <n v="1.01"/>
    <n v="0.01"/>
    <n v="0.5"/>
    <n v="0.25"/>
    <x v="7"/>
    <s v="NA10RB"/>
    <n v="58"/>
    <s v="NA10RB-58"/>
  </r>
  <r>
    <x v="14"/>
    <x v="325"/>
    <n v="-1.06"/>
    <n v="0.51"/>
    <s v="#21"/>
    <x v="1"/>
    <n v="1.04"/>
    <n v="-0.02"/>
    <n v="0.53"/>
    <n v="0.28089999999999998"/>
    <x v="7"/>
    <s v="NA4RB"/>
    <n v="51"/>
    <s v="NA4RB-51"/>
  </r>
  <r>
    <x v="15"/>
    <x v="455"/>
    <n v="-1.24"/>
    <n v="0.51"/>
    <s v="#19"/>
    <x v="0"/>
    <n v="1.1299999999999999"/>
    <n v="-0.11"/>
    <n v="0.62"/>
    <n v="0.38440000000000002"/>
    <x v="7"/>
    <s v="NA10QB"/>
    <n v="33"/>
    <s v="NA10QB-33"/>
  </r>
  <r>
    <x v="2"/>
    <x v="467"/>
    <s v="0.06-0.96"/>
    <n v="0.51"/>
    <s v="#27"/>
    <x v="2"/>
    <n v="0.96"/>
    <n v="0.06"/>
    <n v="0.45"/>
    <n v="0.20250000000000001"/>
    <x v="7"/>
    <s v="NA9WR"/>
    <n v="93"/>
    <s v="NA9WR-93"/>
  </r>
  <r>
    <x v="12"/>
    <x v="470"/>
    <n v="-1.24"/>
    <n v="0.51"/>
    <s v="#32"/>
    <x v="1"/>
    <n v="1.1299999999999999"/>
    <n v="-0.11"/>
    <n v="0.62"/>
    <n v="0.38440000000000002"/>
    <x v="7"/>
    <s v="NA5RB"/>
    <n v="60"/>
    <s v="NA5RB-60"/>
  </r>
  <r>
    <x v="5"/>
    <x v="470"/>
    <n v="-1.1600000000000001"/>
    <n v="0.51"/>
    <s v="#9"/>
    <x v="1"/>
    <n v="1.0900000000000001"/>
    <n v="-7.0000000000000007E-2"/>
    <n v="0.57999999999999996"/>
    <n v="0.33639999999999998"/>
    <x v="7"/>
    <s v="NA13RB"/>
    <n v="71"/>
    <s v="NA13RB-71"/>
  </r>
  <r>
    <x v="9"/>
    <x v="470"/>
    <n v="-1.1800000000000002"/>
    <n v="0.51"/>
    <s v="#12"/>
    <x v="1"/>
    <n v="1.1000000000000001"/>
    <n v="-0.08"/>
    <n v="0.59"/>
    <n v="0.34810000000000002"/>
    <x v="7"/>
    <s v="NA15RB"/>
    <n v="68"/>
    <s v="NA15RB-68"/>
  </r>
  <r>
    <x v="6"/>
    <x v="358"/>
    <s v="0.05-0.97"/>
    <n v="0.51"/>
    <s v="#7"/>
    <x v="1"/>
    <n v="0.97"/>
    <n v="0.05"/>
    <n v="0.46"/>
    <n v="0.21160000000000001"/>
    <x v="7"/>
    <s v="NA12RB"/>
    <n v="65"/>
    <s v="NA12RB-65"/>
  </r>
  <r>
    <x v="0"/>
    <x v="358"/>
    <s v="0.08-0.94"/>
    <n v="0.51"/>
    <s v="#13"/>
    <x v="1"/>
    <n v="0.94"/>
    <n v="0.08"/>
    <n v="0.43"/>
    <n v="0.18490000000000001"/>
    <x v="7"/>
    <s v="NA17RB"/>
    <n v="66"/>
    <s v="NA17RB-66"/>
  </r>
  <r>
    <x v="1"/>
    <x v="458"/>
    <s v="0.00-1.02"/>
    <n v="0.51"/>
    <s v="#28"/>
    <x v="3"/>
    <n v="1.02"/>
    <n v="0"/>
    <n v="0.51"/>
    <n v="0.2601"/>
    <x v="7"/>
    <s v="NA16TE"/>
    <n v="73"/>
    <s v="NA16TE-73"/>
  </r>
  <r>
    <x v="1"/>
    <x v="368"/>
    <s v="0.00-1.02"/>
    <n v="0.51"/>
    <s v="#5"/>
    <x v="2"/>
    <n v="1.02"/>
    <n v="0"/>
    <n v="0.51"/>
    <n v="0.2601"/>
    <x v="7"/>
    <s v="NA16WR"/>
    <n v="106"/>
    <s v="NA16WR-106"/>
  </r>
  <r>
    <x v="10"/>
    <x v="205"/>
    <n v="-1.2000000000000002"/>
    <n v="0.51"/>
    <s v="#12"/>
    <x v="2"/>
    <n v="1.1100000000000001"/>
    <n v="-0.09"/>
    <n v="0.6"/>
    <n v="0.36"/>
    <x v="7"/>
    <s v="NA2WR"/>
    <n v="78"/>
    <s v="NA2WR-78"/>
  </r>
  <r>
    <x v="0"/>
    <x v="205"/>
    <n v="-1.1200000000000001"/>
    <n v="0.51"/>
    <s v="#14"/>
    <x v="2"/>
    <n v="1.07"/>
    <n v="-0.05"/>
    <n v="0.56000000000000005"/>
    <n v="0.31359999999999999"/>
    <x v="7"/>
    <s v="NA17WR"/>
    <n v="115"/>
    <s v="NA17WR-115"/>
  </r>
  <r>
    <x v="10"/>
    <x v="395"/>
    <s v="0.05-0.95"/>
    <n v="0.5"/>
    <s v="#16"/>
    <x v="0"/>
    <n v="0.95"/>
    <n v="0.05"/>
    <n v="0.45"/>
    <n v="0.20250000000000001"/>
    <x v="7"/>
    <s v="NA2QB"/>
    <n v="33"/>
    <s v="NA2QB-33"/>
  </r>
  <r>
    <x v="1"/>
    <x v="431"/>
    <s v="0.03-0.97"/>
    <n v="0.5"/>
    <s v="#23"/>
    <x v="3"/>
    <n v="0.97"/>
    <n v="0.03"/>
    <n v="0.47"/>
    <n v="0.22090000000000001"/>
    <x v="7"/>
    <s v="NA16TE"/>
    <n v="74"/>
    <s v="NA16TE-74"/>
  </r>
  <r>
    <x v="16"/>
    <x v="307"/>
    <n v="-1.52"/>
    <n v="0.5"/>
    <s v="#11"/>
    <x v="2"/>
    <n v="1.26"/>
    <n v="-0.26"/>
    <n v="0.76"/>
    <n v="0.5776"/>
    <x v="7"/>
    <s v="NA3WR"/>
    <n v="84"/>
    <s v="NA3WR-84"/>
  </r>
  <r>
    <x v="10"/>
    <x v="354"/>
    <n v="-1.08"/>
    <n v="0.5"/>
    <s v="#1"/>
    <x v="2"/>
    <n v="1.04"/>
    <n v="-0.04"/>
    <n v="0.54"/>
    <n v="0.29160000000000003"/>
    <x v="7"/>
    <s v="NA2WR"/>
    <n v="79"/>
    <s v="NA2WR-79"/>
  </r>
  <r>
    <x v="4"/>
    <x v="354"/>
    <s v="0.00-1.00"/>
    <n v="0.5"/>
    <s v="#32"/>
    <x v="2"/>
    <n v="1"/>
    <n v="0"/>
    <n v="0.5"/>
    <n v="0.25"/>
    <x v="7"/>
    <s v="NA7WR"/>
    <n v="99"/>
    <s v="NA7WR-99"/>
  </r>
  <r>
    <x v="12"/>
    <x v="448"/>
    <s v="0.04-0.96"/>
    <n v="0.5"/>
    <s v="#3"/>
    <x v="1"/>
    <n v="0.96"/>
    <n v="0.04"/>
    <n v="0.46"/>
    <n v="0.21160000000000001"/>
    <x v="7"/>
    <s v="NA5RB"/>
    <n v="61"/>
    <s v="NA5RB-61"/>
  </r>
  <r>
    <x v="2"/>
    <x v="448"/>
    <n v="-1.2200000000000002"/>
    <n v="0.5"/>
    <s v="#2"/>
    <x v="1"/>
    <n v="1.1100000000000001"/>
    <n v="-0.11"/>
    <n v="0.61"/>
    <n v="0.37209999999999999"/>
    <x v="7"/>
    <s v="NA9RB"/>
    <n v="51"/>
    <s v="NA9RB-51"/>
  </r>
  <r>
    <x v="15"/>
    <x v="448"/>
    <s v="0.05-0.95"/>
    <n v="0.5"/>
    <s v="#13"/>
    <x v="1"/>
    <n v="0.95"/>
    <n v="0.05"/>
    <n v="0.45"/>
    <n v="0.20250000000000001"/>
    <x v="7"/>
    <s v="NA10RB"/>
    <n v="59"/>
    <s v="NA10RB-59"/>
  </r>
  <r>
    <x v="5"/>
    <x v="448"/>
    <n v="-1.1400000000000001"/>
    <n v="0.5"/>
    <s v="#25"/>
    <x v="1"/>
    <n v="1.07"/>
    <n v="-7.0000000000000007E-2"/>
    <n v="0.56999999999999995"/>
    <n v="0.32490000000000002"/>
    <x v="7"/>
    <s v="NA13RB"/>
    <n v="72"/>
    <s v="NA13RB-72"/>
  </r>
  <r>
    <x v="3"/>
    <x v="427"/>
    <s v="0.01-0.99"/>
    <n v="0.5"/>
    <s v="#22"/>
    <x v="3"/>
    <n v="0.99"/>
    <n v="0.01"/>
    <n v="0.49"/>
    <n v="0.24010000000000001"/>
    <x v="7"/>
    <s v="NA11TE"/>
    <n v="56"/>
    <s v="NA11TE-56"/>
  </r>
  <r>
    <x v="9"/>
    <x v="427"/>
    <s v="0.03-0.97"/>
    <n v="0.5"/>
    <s v="#1"/>
    <x v="3"/>
    <n v="0.97"/>
    <n v="0.03"/>
    <n v="0.47"/>
    <n v="0.22090000000000001"/>
    <x v="7"/>
    <s v="NA15TE"/>
    <n v="71"/>
    <s v="NA15TE-71"/>
  </r>
  <r>
    <x v="0"/>
    <x v="427"/>
    <s v="0.06-0.94"/>
    <n v="0.5"/>
    <s v="#29"/>
    <x v="3"/>
    <n v="0.94"/>
    <n v="0.06"/>
    <n v="0.44"/>
    <n v="0.19359999999999999"/>
    <x v="7"/>
    <s v="NA17TE"/>
    <n v="68"/>
    <s v="NA17TE-68"/>
  </r>
  <r>
    <x v="8"/>
    <x v="362"/>
    <n v="-1.3399999999999999"/>
    <n v="0.5"/>
    <s v="#24"/>
    <x v="1"/>
    <n v="1.17"/>
    <n v="-0.17"/>
    <n v="0.67"/>
    <n v="0.44890000000000002"/>
    <x v="7"/>
    <s v="NA6RB"/>
    <n v="60"/>
    <s v="NA6RB-60"/>
  </r>
  <r>
    <x v="5"/>
    <x v="362"/>
    <n v="-1.2999999999999998"/>
    <n v="0.5"/>
    <s v="#22"/>
    <x v="1"/>
    <n v="1.1499999999999999"/>
    <n v="-0.15"/>
    <n v="0.65"/>
    <n v="0.42249999999999999"/>
    <x v="7"/>
    <s v="NA13RB"/>
    <n v="73"/>
    <s v="NA13RB-73"/>
  </r>
  <r>
    <x v="9"/>
    <x v="362"/>
    <n v="-1.2799999999999998"/>
    <n v="0.5"/>
    <s v="#21"/>
    <x v="1"/>
    <n v="1.1399999999999999"/>
    <n v="-0.14000000000000001"/>
    <n v="0.64"/>
    <n v="0.40960000000000002"/>
    <x v="7"/>
    <s v="NA15RB"/>
    <n v="69"/>
    <s v="NA15RB-69"/>
  </r>
  <r>
    <x v="2"/>
    <x v="345"/>
    <n v="-1.08"/>
    <n v="0.5"/>
    <s v="#12"/>
    <x v="1"/>
    <n v="1.04"/>
    <n v="-0.04"/>
    <n v="0.54"/>
    <n v="0.29160000000000003"/>
    <x v="7"/>
    <s v="NA9RB"/>
    <n v="52"/>
    <s v="NA9RB-52"/>
  </r>
  <r>
    <x v="0"/>
    <x v="456"/>
    <n v="-1.1600000000000001"/>
    <n v="0.5"/>
    <s v="#20"/>
    <x v="3"/>
    <n v="1.08"/>
    <n v="-0.08"/>
    <n v="0.57999999999999996"/>
    <n v="0.33639999999999998"/>
    <x v="7"/>
    <s v="NA17TE"/>
    <n v="69"/>
    <s v="NA17TE-69"/>
  </r>
  <r>
    <x v="7"/>
    <x v="281"/>
    <s v="0.02-0.98"/>
    <n v="0.5"/>
    <s v="#9"/>
    <x v="3"/>
    <n v="0.98"/>
    <n v="0.02"/>
    <n v="0.48"/>
    <n v="0.23039999999999999"/>
    <x v="7"/>
    <s v="NA1TE"/>
    <n v="52"/>
    <s v="NA1TE-52"/>
  </r>
  <r>
    <x v="15"/>
    <x v="457"/>
    <n v="-1.1400000000000001"/>
    <n v="0.5"/>
    <s v="#22"/>
    <x v="3"/>
    <n v="1.07"/>
    <n v="-7.0000000000000007E-2"/>
    <n v="0.56999999999999995"/>
    <n v="0.32490000000000002"/>
    <x v="7"/>
    <s v="NA10TE"/>
    <n v="64"/>
    <s v="NA10TE-64"/>
  </r>
  <r>
    <x v="3"/>
    <x v="450"/>
    <n v="-1.2200000000000002"/>
    <n v="0.5"/>
    <s v="#26"/>
    <x v="3"/>
    <n v="1.1100000000000001"/>
    <n v="-0.11"/>
    <n v="0.61"/>
    <n v="0.37209999999999999"/>
    <x v="7"/>
    <s v="NA11TE"/>
    <n v="57"/>
    <s v="NA11TE-57"/>
  </r>
  <r>
    <x v="12"/>
    <x v="422"/>
    <s v="0.00-1.00"/>
    <n v="0.5"/>
    <s v="#11"/>
    <x v="2"/>
    <n v="1"/>
    <n v="0"/>
    <n v="0.5"/>
    <n v="0.25"/>
    <x v="7"/>
    <s v="NA5WR"/>
    <n v="99"/>
    <s v="NA5WR-99"/>
  </r>
  <r>
    <x v="0"/>
    <x v="361"/>
    <s v="0.03-0.97"/>
    <n v="0.5"/>
    <s v="#25"/>
    <x v="2"/>
    <n v="0.97"/>
    <n v="0.03"/>
    <n v="0.47"/>
    <n v="0.22090000000000001"/>
    <x v="7"/>
    <s v="NA17WR"/>
    <n v="116"/>
    <s v="NA17WR-116"/>
  </r>
  <r>
    <x v="15"/>
    <x v="428"/>
    <s v="0.01-0.99"/>
    <n v="0.5"/>
    <s v="#20"/>
    <x v="1"/>
    <n v="0.99"/>
    <n v="0.01"/>
    <n v="0.49"/>
    <n v="0.24010000000000001"/>
    <x v="7"/>
    <s v="NA10RB"/>
    <n v="60"/>
    <s v="NA10RB-60"/>
  </r>
  <r>
    <x v="5"/>
    <x v="376"/>
    <s v="0.06-0.94"/>
    <n v="0.5"/>
    <s v="#25"/>
    <x v="2"/>
    <n v="0.94"/>
    <n v="0.06"/>
    <n v="0.44"/>
    <n v="0.19359999999999999"/>
    <x v="7"/>
    <s v="NA13WR"/>
    <n v="108"/>
    <s v="NA13WR-108"/>
  </r>
  <r>
    <x v="0"/>
    <x v="374"/>
    <s v="0.09-0.91"/>
    <n v="0.5"/>
    <s v="#16"/>
    <x v="1"/>
    <n v="0.91"/>
    <n v="0.09"/>
    <n v="0.41"/>
    <n v="0.1681"/>
    <x v="7"/>
    <s v="NA17RB"/>
    <n v="67"/>
    <s v="NA17RB-67"/>
  </r>
  <r>
    <x v="0"/>
    <x v="463"/>
    <n v="-1.2200000000000002"/>
    <n v="0.5"/>
    <s v="#11"/>
    <x v="3"/>
    <n v="1.1100000000000001"/>
    <n v="-0.11"/>
    <n v="0.61"/>
    <n v="0.37209999999999999"/>
    <x v="7"/>
    <s v="NA17TE"/>
    <n v="70"/>
    <s v="NA17TE-70"/>
  </r>
  <r>
    <x v="8"/>
    <x v="415"/>
    <n v="-1.02"/>
    <n v="0.5"/>
    <s v="#6"/>
    <x v="1"/>
    <n v="1.01"/>
    <n v="-0.01"/>
    <n v="0.51"/>
    <n v="0.2601"/>
    <x v="7"/>
    <s v="NA6RB"/>
    <n v="61"/>
    <s v="NA6RB-61"/>
  </r>
  <r>
    <x v="7"/>
    <x v="288"/>
    <n v="-1.08"/>
    <n v="0.5"/>
    <s v="#28"/>
    <x v="3"/>
    <n v="1.04"/>
    <n v="-0.04"/>
    <n v="0.54"/>
    <n v="0.29160000000000003"/>
    <x v="7"/>
    <s v="NA1TE"/>
    <n v="53"/>
    <s v="NA1TE-53"/>
  </r>
  <r>
    <x v="10"/>
    <x v="328"/>
    <n v="-1.2799999999999998"/>
    <n v="0.5"/>
    <s v="#11"/>
    <x v="2"/>
    <n v="1.1399999999999999"/>
    <n v="-0.14000000000000001"/>
    <n v="0.64"/>
    <n v="0.40960000000000002"/>
    <x v="7"/>
    <s v="NA2WR"/>
    <n v="80"/>
    <s v="NA2WR-80"/>
  </r>
  <r>
    <x v="6"/>
    <x v="462"/>
    <s v="0.02-0.98"/>
    <n v="0.5"/>
    <s v="#12"/>
    <x v="1"/>
    <n v="0.98"/>
    <n v="0.02"/>
    <n v="0.48"/>
    <n v="0.23039999999999999"/>
    <x v="7"/>
    <s v="NA12RB"/>
    <n v="66"/>
    <s v="NA12RB-66"/>
  </r>
  <r>
    <x v="8"/>
    <x v="416"/>
    <n v="-1.1200000000000001"/>
    <n v="0.5"/>
    <s v="#7"/>
    <x v="3"/>
    <n v="1.06"/>
    <n v="-0.06"/>
    <n v="0.56000000000000005"/>
    <n v="0.31359999999999999"/>
    <x v="7"/>
    <s v="NA6TE"/>
    <n v="63"/>
    <s v="NA6TE-63"/>
  </r>
  <r>
    <x v="3"/>
    <x v="416"/>
    <n v="-1.08"/>
    <n v="0.5"/>
    <s v="#27"/>
    <x v="3"/>
    <n v="1.04"/>
    <n v="-0.04"/>
    <n v="0.54"/>
    <n v="0.29160000000000003"/>
    <x v="7"/>
    <s v="NA11TE"/>
    <n v="58"/>
    <s v="NA11TE-58"/>
  </r>
  <r>
    <x v="13"/>
    <x v="432"/>
    <n v="-1.1600000000000001"/>
    <n v="0.5"/>
    <s v="#32"/>
    <x v="2"/>
    <n v="1.08"/>
    <n v="-0.08"/>
    <n v="0.57999999999999996"/>
    <n v="0.33639999999999998"/>
    <x v="7"/>
    <s v="NA8WR"/>
    <n v="93"/>
    <s v="NA8WR-93"/>
  </r>
  <r>
    <x v="1"/>
    <x v="432"/>
    <n v="-1.1400000000000001"/>
    <n v="0.5"/>
    <s v="#25"/>
    <x v="2"/>
    <n v="1.07"/>
    <n v="-7.0000000000000007E-2"/>
    <n v="0.56999999999999995"/>
    <n v="0.32490000000000002"/>
    <x v="7"/>
    <s v="NA16WR"/>
    <n v="107"/>
    <s v="NA16WR-107"/>
  </r>
  <r>
    <x v="1"/>
    <x v="468"/>
    <s v="0.00-1.00"/>
    <n v="0.5"/>
    <s v="#27"/>
    <x v="3"/>
    <n v="1"/>
    <n v="0"/>
    <n v="0.5"/>
    <n v="0.25"/>
    <x v="7"/>
    <s v="NA16TE"/>
    <n v="75"/>
    <s v="NA16TE-75"/>
  </r>
  <r>
    <x v="8"/>
    <x v="411"/>
    <n v="-1.04"/>
    <n v="0.5"/>
    <s v="#2"/>
    <x v="1"/>
    <n v="1.02"/>
    <n v="-0.02"/>
    <n v="0.52"/>
    <n v="0.27039999999999997"/>
    <x v="7"/>
    <s v="NA6RB"/>
    <n v="62"/>
    <s v="NA6RB-62"/>
  </r>
  <r>
    <x v="4"/>
    <x v="464"/>
    <n v="-1.1000000000000001"/>
    <n v="0.5"/>
    <s v="#9"/>
    <x v="3"/>
    <n v="1.05"/>
    <n v="-0.05"/>
    <n v="0.55000000000000004"/>
    <n v="0.30249999999999999"/>
    <x v="7"/>
    <s v="NA7TE"/>
    <n v="65"/>
    <s v="NA7TE-65"/>
  </r>
  <r>
    <x v="13"/>
    <x v="333"/>
    <s v="0.00-1.00"/>
    <n v="0.5"/>
    <s v="#10"/>
    <x v="3"/>
    <n v="1"/>
    <n v="0"/>
    <n v="0.5"/>
    <n v="0.25"/>
    <x v="7"/>
    <s v="NA8TE"/>
    <n v="60"/>
    <s v="NA8TE-60"/>
  </r>
  <r>
    <x v="1"/>
    <x v="399"/>
    <n v="-1.08"/>
    <n v="0.5"/>
    <s v="#22"/>
    <x v="2"/>
    <n v="1.04"/>
    <n v="-0.04"/>
    <n v="0.54"/>
    <n v="0.29160000000000003"/>
    <x v="7"/>
    <s v="NA16WR"/>
    <n v="108"/>
    <s v="NA16WR-108"/>
  </r>
  <r>
    <x v="15"/>
    <x v="469"/>
    <n v="-1.1600000000000001"/>
    <n v="0.5"/>
    <s v="#31"/>
    <x v="2"/>
    <n v="1.08"/>
    <n v="-0.08"/>
    <n v="0.57999999999999996"/>
    <n v="0.33639999999999998"/>
    <x v="7"/>
    <s v="NA10WR"/>
    <n v="102"/>
    <s v="NA10WR-102"/>
  </r>
  <r>
    <x v="3"/>
    <x v="469"/>
    <n v="-1.1400000000000001"/>
    <n v="0.5"/>
    <s v="#27"/>
    <x v="2"/>
    <n v="1.07"/>
    <n v="-7.0000000000000007E-2"/>
    <n v="0.56999999999999995"/>
    <n v="0.32490000000000002"/>
    <x v="7"/>
    <s v="NA11WR"/>
    <n v="88"/>
    <s v="NA11WR-88"/>
  </r>
  <r>
    <x v="6"/>
    <x v="469"/>
    <n v="-1.1800000000000002"/>
    <n v="0.5"/>
    <s v="#23"/>
    <x v="2"/>
    <n v="1.0900000000000001"/>
    <n v="-0.09"/>
    <n v="0.59"/>
    <n v="0.34810000000000002"/>
    <x v="7"/>
    <s v="NA12WR"/>
    <n v="106"/>
    <s v="NA12WR-106"/>
  </r>
  <r>
    <x v="11"/>
    <x v="469"/>
    <n v="-1.2799999999999998"/>
    <n v="0.5"/>
    <s v="#22"/>
    <x v="2"/>
    <n v="1.1399999999999999"/>
    <n v="-0.14000000000000001"/>
    <n v="0.64"/>
    <n v="0.40960000000000002"/>
    <x v="7"/>
    <s v="NA14WR"/>
    <n v="109"/>
    <s v="NA14WR-109"/>
  </r>
  <r>
    <x v="4"/>
    <x v="419"/>
    <n v="-1.1000000000000001"/>
    <n v="0.5"/>
    <s v="#11"/>
    <x v="3"/>
    <n v="1.05"/>
    <n v="-0.05"/>
    <n v="0.55000000000000004"/>
    <n v="0.30249999999999999"/>
    <x v="7"/>
    <s v="NA7TE"/>
    <n v="66"/>
    <s v="NA7TE-66"/>
  </r>
  <r>
    <x v="13"/>
    <x v="419"/>
    <n v="-1.02"/>
    <n v="0.5"/>
    <s v="#25"/>
    <x v="3"/>
    <n v="1.01"/>
    <n v="-0.01"/>
    <n v="0.51"/>
    <n v="0.2601"/>
    <x v="7"/>
    <s v="NA8TE"/>
    <n v="61"/>
    <s v="NA8TE-61"/>
  </r>
  <r>
    <x v="3"/>
    <x v="419"/>
    <s v="0.04-0.96"/>
    <n v="0.5"/>
    <s v="#14"/>
    <x v="3"/>
    <n v="0.96"/>
    <n v="0.04"/>
    <n v="0.46"/>
    <n v="0.21160000000000001"/>
    <x v="7"/>
    <s v="NA11TE"/>
    <n v="59"/>
    <s v="NA11TE-59"/>
  </r>
  <r>
    <x v="8"/>
    <x v="433"/>
    <n v="-1.1600000000000001"/>
    <n v="0.5"/>
    <s v="#20"/>
    <x v="3"/>
    <n v="1.08"/>
    <n v="-0.08"/>
    <n v="0.57999999999999996"/>
    <n v="0.33639999999999998"/>
    <x v="7"/>
    <s v="NA6TE"/>
    <n v="64"/>
    <s v="NA6TE-64"/>
  </r>
  <r>
    <x v="2"/>
    <x v="409"/>
    <n v="-1.2799999999999998"/>
    <n v="0.5"/>
    <s v="#5"/>
    <x v="1"/>
    <n v="1.1399999999999999"/>
    <n v="-0.14000000000000001"/>
    <n v="0.64"/>
    <n v="0.40960000000000002"/>
    <x v="7"/>
    <s v="NA9RB"/>
    <n v="53"/>
    <s v="NA9RB-53"/>
  </r>
  <r>
    <x v="4"/>
    <x v="424"/>
    <s v="0.04-0.96"/>
    <n v="0.5"/>
    <s v="#23"/>
    <x v="1"/>
    <n v="0.96"/>
    <n v="0.04"/>
    <n v="0.46"/>
    <n v="0.21160000000000001"/>
    <x v="7"/>
    <s v="NA7RB"/>
    <n v="55"/>
    <s v="NA7RB-55"/>
  </r>
  <r>
    <x v="11"/>
    <x v="344"/>
    <n v="-1.1400000000000001"/>
    <n v="0.5"/>
    <s v="#9"/>
    <x v="2"/>
    <n v="1.07"/>
    <n v="-7.0000000000000007E-2"/>
    <n v="0.56999999999999995"/>
    <n v="0.32490000000000002"/>
    <x v="7"/>
    <s v="NA14WR"/>
    <n v="110"/>
    <s v="NA14WR-110"/>
  </r>
  <r>
    <x v="9"/>
    <x v="367"/>
    <n v="-1.5"/>
    <n v="0.5"/>
    <s v="#26"/>
    <x v="1"/>
    <n v="1.25"/>
    <n v="-0.25"/>
    <n v="0.75"/>
    <n v="0.5625"/>
    <x v="7"/>
    <s v="NA15RB"/>
    <n v="70"/>
    <s v="NA15RB-70"/>
  </r>
  <r>
    <x v="5"/>
    <x v="430"/>
    <n v="-1.2400000000000002"/>
    <n v="0.5"/>
    <s v="#21"/>
    <x v="1"/>
    <n v="1.1200000000000001"/>
    <n v="-0.12"/>
    <n v="0.62"/>
    <n v="0.38440000000000002"/>
    <x v="7"/>
    <s v="NA13RB"/>
    <n v="74"/>
    <s v="NA13RB-74"/>
  </r>
  <r>
    <x v="16"/>
    <x v="455"/>
    <n v="-1.04"/>
    <n v="0.5"/>
    <s v="#29"/>
    <x v="0"/>
    <n v="1.02"/>
    <n v="-0.02"/>
    <n v="0.52"/>
    <n v="0.27039999999999997"/>
    <x v="7"/>
    <s v="NA3QB"/>
    <n v="37"/>
    <s v="NA3QB-37"/>
  </r>
  <r>
    <x v="3"/>
    <x v="435"/>
    <s v="0.01-0.99"/>
    <n v="0.5"/>
    <s v="#1"/>
    <x v="1"/>
    <n v="0.99"/>
    <n v="0.01"/>
    <n v="0.49"/>
    <n v="0.24010000000000001"/>
    <x v="7"/>
    <s v="NA11RB"/>
    <n v="56"/>
    <s v="NA11RB-56"/>
  </r>
  <r>
    <x v="3"/>
    <x v="467"/>
    <n v="-1.06"/>
    <n v="0.5"/>
    <s v="#20"/>
    <x v="2"/>
    <n v="1.03"/>
    <n v="-0.03"/>
    <n v="0.53"/>
    <n v="0.28089999999999998"/>
    <x v="7"/>
    <s v="NA11WR"/>
    <n v="89"/>
    <s v="NA11WR-89"/>
  </r>
  <r>
    <x v="11"/>
    <x v="358"/>
    <s v="0.07-0.93"/>
    <n v="0.5"/>
    <s v="#26"/>
    <x v="1"/>
    <n v="0.93"/>
    <n v="7.0000000000000007E-2"/>
    <n v="0.43"/>
    <n v="0.18490000000000001"/>
    <x v="7"/>
    <s v="NA14RB"/>
    <n v="66"/>
    <s v="NA14RB-66"/>
  </r>
  <r>
    <x v="6"/>
    <x v="332"/>
    <s v="0.00-1.00"/>
    <n v="0.5"/>
    <s v="#14"/>
    <x v="2"/>
    <n v="1"/>
    <n v="0"/>
    <n v="0.5"/>
    <n v="0.25"/>
    <x v="7"/>
    <s v="NA12WR"/>
    <n v="107"/>
    <s v="NA12WR-107"/>
  </r>
  <r>
    <x v="14"/>
    <x v="431"/>
    <n v="-1.06"/>
    <n v="0.49"/>
    <s v="#5"/>
    <x v="3"/>
    <n v="1.02"/>
    <n v="-0.04"/>
    <n v="0.53"/>
    <n v="0.28089999999999998"/>
    <x v="7"/>
    <s v="NA4TE"/>
    <n v="60"/>
    <s v="NA4TE-60"/>
  </r>
  <r>
    <x v="3"/>
    <x v="448"/>
    <s v="0.03-0.95"/>
    <n v="0.49"/>
    <s v="#10"/>
    <x v="1"/>
    <n v="0.95"/>
    <n v="0.03"/>
    <n v="0.46"/>
    <n v="0.21160000000000001"/>
    <x v="7"/>
    <s v="NA11RB"/>
    <n v="57"/>
    <s v="NA11RB-57"/>
  </r>
  <r>
    <x v="2"/>
    <x v="427"/>
    <s v="0.04-0.94"/>
    <n v="0.49"/>
    <s v="#7"/>
    <x v="3"/>
    <n v="0.94"/>
    <n v="0.04"/>
    <n v="0.45"/>
    <n v="0.20250000000000001"/>
    <x v="7"/>
    <s v="NA9TE"/>
    <n v="58"/>
    <s v="NA9TE-58"/>
  </r>
  <r>
    <x v="2"/>
    <x v="451"/>
    <n v="-1.1400000000000001"/>
    <n v="0.49"/>
    <s v="#11"/>
    <x v="3"/>
    <n v="1.06"/>
    <n v="-0.08"/>
    <n v="0.56999999999999995"/>
    <n v="0.32490000000000002"/>
    <x v="7"/>
    <s v="NA9TE"/>
    <n v="59"/>
    <s v="NA9TE-59"/>
  </r>
  <r>
    <x v="3"/>
    <x v="451"/>
    <n v="-1.1600000000000001"/>
    <n v="0.49"/>
    <s v="#26"/>
    <x v="3"/>
    <n v="1.07"/>
    <n v="-0.09"/>
    <n v="0.57999999999999996"/>
    <n v="0.33639999999999998"/>
    <x v="7"/>
    <s v="NA11TE"/>
    <n v="60"/>
    <s v="NA11TE-60"/>
  </r>
  <r>
    <x v="5"/>
    <x v="339"/>
    <s v="0.04-0.94"/>
    <n v="0.49"/>
    <s v="#2"/>
    <x v="1"/>
    <n v="0.94"/>
    <n v="0.04"/>
    <n v="0.45"/>
    <n v="0.20250000000000001"/>
    <x v="7"/>
    <s v="NA13RB"/>
    <n v="75"/>
    <s v="NA13RB-75"/>
  </r>
  <r>
    <x v="4"/>
    <x v="452"/>
    <n v="-1.3599999999999999"/>
    <n v="0.49"/>
    <s v="#4"/>
    <x v="1"/>
    <n v="1.17"/>
    <n v="-0.19"/>
    <n v="0.68"/>
    <n v="0.46239999999999998"/>
    <x v="7"/>
    <s v="NA7RB"/>
    <n v="56"/>
    <s v="NA7RB-56"/>
  </r>
  <r>
    <x v="0"/>
    <x v="452"/>
    <n v="-1.2000000000000002"/>
    <n v="0.49"/>
    <s v="#5"/>
    <x v="1"/>
    <n v="1.0900000000000001"/>
    <n v="-0.11"/>
    <n v="0.6"/>
    <n v="0.36"/>
    <x v="7"/>
    <s v="NA17RB"/>
    <n v="68"/>
    <s v="NA17RB-68"/>
  </r>
  <r>
    <x v="15"/>
    <x v="284"/>
    <n v="-1.1000000000000001"/>
    <n v="0.49"/>
    <s v="#15"/>
    <x v="3"/>
    <n v="1.04"/>
    <n v="-0.06"/>
    <n v="0.55000000000000004"/>
    <n v="0.30249999999999999"/>
    <x v="7"/>
    <s v="NA10TE"/>
    <n v="65"/>
    <s v="NA10TE-65"/>
  </r>
  <r>
    <x v="16"/>
    <x v="413"/>
    <n v="-1.42"/>
    <n v="0.49"/>
    <s v="#16"/>
    <x v="2"/>
    <n v="1.2"/>
    <n v="-0.22"/>
    <n v="0.71"/>
    <n v="0.50409999999999999"/>
    <x v="7"/>
    <s v="NA3WR"/>
    <n v="85"/>
    <s v="NA3WR-85"/>
  </r>
  <r>
    <x v="14"/>
    <x v="457"/>
    <n v="-1.1400000000000001"/>
    <n v="0.49"/>
    <s v="#20"/>
    <x v="3"/>
    <n v="1.06"/>
    <n v="-0.08"/>
    <n v="0.56999999999999995"/>
    <n v="0.32490000000000002"/>
    <x v="7"/>
    <s v="NA4TE"/>
    <n v="61"/>
    <s v="NA4TE-61"/>
  </r>
  <r>
    <x v="16"/>
    <x v="450"/>
    <n v="-1.2200000000000002"/>
    <n v="0.49"/>
    <s v="#13"/>
    <x v="3"/>
    <n v="1.1000000000000001"/>
    <n v="-0.12"/>
    <n v="0.61"/>
    <n v="0.37209999999999999"/>
    <x v="7"/>
    <s v="NA3TE"/>
    <n v="62"/>
    <s v="NA3TE-62"/>
  </r>
  <r>
    <x v="0"/>
    <x v="450"/>
    <n v="-1.2200000000000002"/>
    <n v="0.49"/>
    <s v="#26"/>
    <x v="3"/>
    <n v="1.1000000000000001"/>
    <n v="-0.12"/>
    <n v="0.61"/>
    <n v="0.37209999999999999"/>
    <x v="7"/>
    <s v="NA17TE"/>
    <n v="71"/>
    <s v="NA17TE-71"/>
  </r>
  <r>
    <x v="4"/>
    <x v="422"/>
    <n v="-1"/>
    <n v="0.49"/>
    <s v="#20"/>
    <x v="2"/>
    <n v="0.99"/>
    <n v="-0.01"/>
    <n v="0.5"/>
    <n v="0.25"/>
    <x v="7"/>
    <s v="NA7WR"/>
    <n v="100"/>
    <s v="NA7WR-100"/>
  </r>
  <r>
    <x v="13"/>
    <x v="376"/>
    <n v="-1"/>
    <n v="0.49"/>
    <s v="#16"/>
    <x v="2"/>
    <n v="0.99"/>
    <n v="-0.01"/>
    <n v="0.5"/>
    <n v="0.25"/>
    <x v="7"/>
    <s v="NA8WR"/>
    <n v="94"/>
    <s v="NA8WR-94"/>
  </r>
  <r>
    <x v="2"/>
    <x v="376"/>
    <n v="-1.02"/>
    <n v="0.49"/>
    <s v="#2"/>
    <x v="2"/>
    <n v="1"/>
    <n v="-0.02"/>
    <n v="0.51"/>
    <n v="0.2601"/>
    <x v="7"/>
    <s v="NA9WR"/>
    <n v="94"/>
    <s v="NA9WR-94"/>
  </r>
  <r>
    <x v="2"/>
    <x v="374"/>
    <s v="0.09-0.89"/>
    <n v="0.49"/>
    <s v="#8"/>
    <x v="1"/>
    <n v="0.89"/>
    <n v="0.09"/>
    <n v="0.4"/>
    <n v="0.16"/>
    <x v="7"/>
    <s v="NA9RB"/>
    <n v="54"/>
    <s v="NA9RB-54"/>
  </r>
  <r>
    <x v="12"/>
    <x v="463"/>
    <n v="-1.2200000000000002"/>
    <n v="0.49"/>
    <s v="#19"/>
    <x v="3"/>
    <n v="1.1000000000000001"/>
    <n v="-0.12"/>
    <n v="0.61"/>
    <n v="0.37209999999999999"/>
    <x v="7"/>
    <s v="NA5TE"/>
    <n v="66"/>
    <s v="NA5TE-66"/>
  </r>
  <r>
    <x v="6"/>
    <x v="463"/>
    <n v="-1.1400000000000001"/>
    <n v="0.49"/>
    <s v="#9"/>
    <x v="3"/>
    <n v="1.06"/>
    <n v="-0.08"/>
    <n v="0.56999999999999995"/>
    <n v="0.32490000000000002"/>
    <x v="7"/>
    <s v="NA12TE"/>
    <n v="71"/>
    <s v="NA12TE-71"/>
  </r>
  <r>
    <x v="1"/>
    <x v="463"/>
    <n v="-1.1200000000000001"/>
    <n v="0.49"/>
    <s v="#3"/>
    <x v="3"/>
    <n v="1.05"/>
    <n v="-7.0000000000000007E-2"/>
    <n v="0.56000000000000005"/>
    <n v="0.31359999999999999"/>
    <x v="7"/>
    <s v="NA16TE"/>
    <n v="76"/>
    <s v="NA16TE-76"/>
  </r>
  <r>
    <x v="13"/>
    <x v="440"/>
    <n v="-1.08"/>
    <n v="0.49"/>
    <s v="#9"/>
    <x v="2"/>
    <n v="1.03"/>
    <n v="-0.05"/>
    <n v="0.54"/>
    <n v="0.29160000000000003"/>
    <x v="7"/>
    <s v="NA8WR"/>
    <n v="95"/>
    <s v="NA8WR-95"/>
  </r>
  <r>
    <x v="1"/>
    <x v="353"/>
    <n v="-1.08"/>
    <n v="0.49"/>
    <s v="#1"/>
    <x v="2"/>
    <n v="1.03"/>
    <n v="-0.05"/>
    <n v="0.54"/>
    <n v="0.29160000000000003"/>
    <x v="7"/>
    <s v="NA16WR"/>
    <n v="109"/>
    <s v="NA16WR-109"/>
  </r>
  <r>
    <x v="14"/>
    <x v="462"/>
    <n v="-1.1400000000000001"/>
    <n v="0.49"/>
    <s v="#28"/>
    <x v="1"/>
    <n v="1.06"/>
    <n v="-0.08"/>
    <n v="0.56999999999999995"/>
    <n v="0.32490000000000002"/>
    <x v="7"/>
    <s v="NA4RB"/>
    <n v="52"/>
    <s v="NA4RB-52"/>
  </r>
  <r>
    <x v="7"/>
    <x v="335"/>
    <n v="-1.3199999999999998"/>
    <n v="0.49"/>
    <s v="#3"/>
    <x v="3"/>
    <n v="1.1499999999999999"/>
    <n v="-0.17"/>
    <n v="0.66"/>
    <n v="0.43559999999999999"/>
    <x v="7"/>
    <s v="NA1TE"/>
    <n v="54"/>
    <s v="NA1TE-54"/>
  </r>
  <r>
    <x v="10"/>
    <x v="335"/>
    <n v="-1.1000000000000001"/>
    <n v="0.49"/>
    <s v="#23"/>
    <x v="3"/>
    <n v="1.04"/>
    <n v="-0.06"/>
    <n v="0.55000000000000004"/>
    <n v="0.30249999999999999"/>
    <x v="7"/>
    <s v="NA2TE"/>
    <n v="64"/>
    <s v="NA2TE-64"/>
  </r>
  <r>
    <x v="4"/>
    <x v="437"/>
    <n v="-1.04"/>
    <n v="0.49"/>
    <s v="#18"/>
    <x v="1"/>
    <n v="1.01"/>
    <n v="-0.03"/>
    <n v="0.52"/>
    <n v="0.27039999999999997"/>
    <x v="7"/>
    <s v="NA7RB"/>
    <n v="57"/>
    <s v="NA7RB-57"/>
  </r>
  <r>
    <x v="13"/>
    <x v="464"/>
    <n v="-1.02"/>
    <n v="0.49"/>
    <s v="#17"/>
    <x v="3"/>
    <n v="1"/>
    <n v="-0.02"/>
    <n v="0.51"/>
    <n v="0.2601"/>
    <x v="7"/>
    <s v="NA8TE"/>
    <n v="62"/>
    <s v="NA8TE-62"/>
  </r>
  <r>
    <x v="0"/>
    <x v="464"/>
    <n v="-1.04"/>
    <n v="0.49"/>
    <s v="#24"/>
    <x v="3"/>
    <n v="1.01"/>
    <n v="-0.03"/>
    <n v="0.52"/>
    <n v="0.27039999999999997"/>
    <x v="7"/>
    <s v="NA17TE"/>
    <n v="72"/>
    <s v="NA17TE-72"/>
  </r>
  <r>
    <x v="0"/>
    <x v="333"/>
    <n v="-1.02"/>
    <n v="0.49"/>
    <s v="#28"/>
    <x v="3"/>
    <n v="1"/>
    <n v="-0.02"/>
    <n v="0.51"/>
    <n v="0.2601"/>
    <x v="7"/>
    <s v="NA17TE"/>
    <n v="73"/>
    <s v="NA17TE-73"/>
  </r>
  <r>
    <x v="13"/>
    <x v="399"/>
    <s v="0.01-0.97"/>
    <n v="0.49"/>
    <s v="#25"/>
    <x v="2"/>
    <n v="0.97"/>
    <n v="0.01"/>
    <n v="0.48"/>
    <n v="0.23039999999999999"/>
    <x v="7"/>
    <s v="NA8WR"/>
    <n v="96"/>
    <s v="NA8WR-96"/>
  </r>
  <r>
    <x v="13"/>
    <x v="444"/>
    <s v="0.02-0.96"/>
    <n v="0.49"/>
    <s v="#4"/>
    <x v="1"/>
    <n v="0.96"/>
    <n v="0.02"/>
    <n v="0.47"/>
    <n v="0.22090000000000001"/>
    <x v="7"/>
    <s v="NA8RB"/>
    <n v="61"/>
    <s v="NA8RB-61"/>
  </r>
  <r>
    <x v="0"/>
    <x v="444"/>
    <s v="0.01-0.97"/>
    <n v="0.49"/>
    <s v="#26"/>
    <x v="1"/>
    <n v="0.97"/>
    <n v="0.01"/>
    <n v="0.48"/>
    <n v="0.23039999999999999"/>
    <x v="7"/>
    <s v="NA17RB"/>
    <n v="69"/>
    <s v="NA17RB-69"/>
  </r>
  <r>
    <x v="2"/>
    <x v="469"/>
    <n v="-1.2400000000000002"/>
    <n v="0.49"/>
    <s v="#29"/>
    <x v="2"/>
    <n v="1.1100000000000001"/>
    <n v="-0.13"/>
    <n v="0.62"/>
    <n v="0.38440000000000002"/>
    <x v="7"/>
    <s v="NA9WR"/>
    <n v="95"/>
    <s v="NA9WR-95"/>
  </r>
  <r>
    <x v="9"/>
    <x v="469"/>
    <n v="-1.02"/>
    <n v="0.49"/>
    <s v="#3"/>
    <x v="2"/>
    <n v="1"/>
    <n v="-0.02"/>
    <n v="0.51"/>
    <n v="0.2601"/>
    <x v="7"/>
    <s v="NA15WR"/>
    <n v="111"/>
    <s v="NA15WR-111"/>
  </r>
  <r>
    <x v="12"/>
    <x v="445"/>
    <n v="-1.1400000000000001"/>
    <n v="0.49"/>
    <s v="#11"/>
    <x v="3"/>
    <n v="1.06"/>
    <n v="-0.08"/>
    <n v="0.56999999999999995"/>
    <n v="0.32490000000000002"/>
    <x v="7"/>
    <s v="NA5TE"/>
    <n v="67"/>
    <s v="NA5TE-67"/>
  </r>
  <r>
    <x v="4"/>
    <x v="445"/>
    <n v="-1.1600000000000001"/>
    <n v="0.49"/>
    <s v="#20"/>
    <x v="3"/>
    <n v="1.07"/>
    <n v="-0.09"/>
    <n v="0.57999999999999996"/>
    <n v="0.33639999999999998"/>
    <x v="7"/>
    <s v="NA7TE"/>
    <n v="67"/>
    <s v="NA7TE-67"/>
  </r>
  <r>
    <x v="4"/>
    <x v="409"/>
    <n v="-1.3599999999999999"/>
    <n v="0.49"/>
    <s v="#9"/>
    <x v="1"/>
    <n v="1.17"/>
    <n v="-0.19"/>
    <n v="0.68"/>
    <n v="0.46239999999999998"/>
    <x v="7"/>
    <s v="NA7RB"/>
    <n v="58"/>
    <s v="NA7RB-58"/>
  </r>
  <r>
    <x v="5"/>
    <x v="409"/>
    <n v="-1.3399999999999999"/>
    <n v="0.49"/>
    <s v="#24"/>
    <x v="1"/>
    <n v="1.1599999999999999"/>
    <n v="-0.18"/>
    <n v="0.67"/>
    <n v="0.44890000000000002"/>
    <x v="7"/>
    <s v="NA13RB"/>
    <n v="76"/>
    <s v="NA13RB-76"/>
  </r>
  <r>
    <x v="6"/>
    <x v="439"/>
    <s v="0.05-0.93"/>
    <n v="0.49"/>
    <s v="#3"/>
    <x v="2"/>
    <n v="0.93"/>
    <n v="0.05"/>
    <n v="0.44"/>
    <n v="0.19359999999999999"/>
    <x v="7"/>
    <s v="NA12WR"/>
    <n v="108"/>
    <s v="NA12WR-108"/>
  </r>
  <r>
    <x v="5"/>
    <x v="454"/>
    <s v="0.02-0.96"/>
    <n v="0.49"/>
    <s v="#12"/>
    <x v="3"/>
    <n v="0.96"/>
    <n v="0.02"/>
    <n v="0.47"/>
    <n v="0.22090000000000001"/>
    <x v="7"/>
    <s v="NA13TE"/>
    <n v="73"/>
    <s v="NA13TE-73"/>
  </r>
  <r>
    <x v="1"/>
    <x v="434"/>
    <n v="-1.08"/>
    <n v="0.49"/>
    <s v="#19"/>
    <x v="2"/>
    <n v="1.03"/>
    <n v="-0.05"/>
    <n v="0.54"/>
    <n v="0.29160000000000003"/>
    <x v="7"/>
    <s v="NA16WR"/>
    <n v="110"/>
    <s v="NA16WR-110"/>
  </r>
  <r>
    <x v="6"/>
    <x v="435"/>
    <n v="-1.06"/>
    <n v="0.49"/>
    <s v="#2"/>
    <x v="1"/>
    <n v="1.02"/>
    <n v="-0.04"/>
    <n v="0.53"/>
    <n v="0.28089999999999998"/>
    <x v="7"/>
    <s v="NA12RB"/>
    <n v="67"/>
    <s v="NA12RB-67"/>
  </r>
  <r>
    <x v="0"/>
    <x v="435"/>
    <n v="-1.1400000000000001"/>
    <n v="0.49"/>
    <s v="#15"/>
    <x v="1"/>
    <n v="1.06"/>
    <n v="-0.08"/>
    <n v="0.56999999999999995"/>
    <n v="0.32490000000000002"/>
    <x v="7"/>
    <s v="NA17RB"/>
    <n v="70"/>
    <s v="NA17RB-70"/>
  </r>
  <r>
    <x v="4"/>
    <x v="467"/>
    <n v="-1.1000000000000001"/>
    <n v="0.49"/>
    <s v="#13"/>
    <x v="2"/>
    <n v="1.04"/>
    <n v="-0.06"/>
    <n v="0.55000000000000004"/>
    <n v="0.30249999999999999"/>
    <x v="7"/>
    <s v="NA7WR"/>
    <n v="101"/>
    <s v="NA7WR-101"/>
  </r>
  <r>
    <x v="1"/>
    <x v="467"/>
    <s v="0.02-0.96"/>
    <n v="0.49"/>
    <s v="#25"/>
    <x v="2"/>
    <n v="0.96"/>
    <n v="0.02"/>
    <n v="0.47"/>
    <n v="0.22090000000000001"/>
    <x v="7"/>
    <s v="NA16WR"/>
    <n v="111"/>
    <s v="NA16WR-111"/>
  </r>
  <r>
    <x v="10"/>
    <x v="436"/>
    <n v="-0.98"/>
    <n v="0.48"/>
    <s v="#15"/>
    <x v="3"/>
    <n v="0.97"/>
    <n v="-0.01"/>
    <n v="0.49"/>
    <n v="0.24010000000000001"/>
    <x v="7"/>
    <s v="NA2TE"/>
    <n v="65"/>
    <s v="NA2TE-65"/>
  </r>
  <r>
    <x v="11"/>
    <x v="448"/>
    <s v="0.01-0.95"/>
    <n v="0.48"/>
    <s v="#1"/>
    <x v="1"/>
    <n v="0.95"/>
    <n v="0.01"/>
    <n v="0.47"/>
    <n v="0.22090000000000001"/>
    <x v="7"/>
    <s v="NA14RB"/>
    <n v="67"/>
    <s v="NA14RB-67"/>
  </r>
  <r>
    <x v="1"/>
    <x v="448"/>
    <n v="-1.1600000000000001"/>
    <n v="0.48"/>
    <s v="#8"/>
    <x v="1"/>
    <n v="1.06"/>
    <n v="-0.1"/>
    <n v="0.57999999999999996"/>
    <n v="0.33639999999999998"/>
    <x v="7"/>
    <s v="NA16RB"/>
    <n v="68"/>
    <s v="NA16RB-68"/>
  </r>
  <r>
    <x v="8"/>
    <x v="427"/>
    <s v="0.04-0.92"/>
    <n v="0.48"/>
    <s v="#29"/>
    <x v="3"/>
    <n v="0.92"/>
    <n v="0.04"/>
    <n v="0.44"/>
    <n v="0.19359999999999999"/>
    <x v="7"/>
    <s v="NA6TE"/>
    <n v="65"/>
    <s v="NA6TE-65"/>
  </r>
  <r>
    <x v="13"/>
    <x v="427"/>
    <s v="0.01-0.95"/>
    <n v="0.48"/>
    <s v="#19"/>
    <x v="3"/>
    <n v="0.95"/>
    <n v="0.01"/>
    <n v="0.47"/>
    <n v="0.22090000000000001"/>
    <x v="7"/>
    <s v="NA8TE"/>
    <n v="63"/>
    <s v="NA8TE-63"/>
  </r>
  <r>
    <x v="9"/>
    <x v="336"/>
    <n v="-1.02"/>
    <n v="0.48"/>
    <s v="#12"/>
    <x v="1"/>
    <n v="0.99"/>
    <n v="-0.03"/>
    <n v="0.51"/>
    <n v="0.2601"/>
    <x v="7"/>
    <s v="NA15RB"/>
    <n v="71"/>
    <s v="NA15RB-71"/>
  </r>
  <r>
    <x v="3"/>
    <x v="456"/>
    <n v="-1.1600000000000001"/>
    <n v="0.48"/>
    <s v="#20"/>
    <x v="3"/>
    <n v="1.06"/>
    <n v="-0.1"/>
    <n v="0.57999999999999996"/>
    <n v="0.33639999999999998"/>
    <x v="7"/>
    <s v="NA11TE"/>
    <n v="61"/>
    <s v="NA11TE-61"/>
  </r>
  <r>
    <x v="5"/>
    <x v="456"/>
    <n v="-1.1400000000000001"/>
    <n v="0.48"/>
    <s v="#19"/>
    <x v="3"/>
    <n v="1.05"/>
    <n v="-0.09"/>
    <n v="0.56999999999999995"/>
    <n v="0.32490000000000002"/>
    <x v="7"/>
    <s v="NA13TE"/>
    <n v="74"/>
    <s v="NA13TE-74"/>
  </r>
  <r>
    <x v="9"/>
    <x v="339"/>
    <s v="0.04-0.92"/>
    <n v="0.48"/>
    <s v="#4"/>
    <x v="1"/>
    <n v="0.92"/>
    <n v="0.04"/>
    <n v="0.44"/>
    <n v="0.19359999999999999"/>
    <x v="7"/>
    <s v="NA15RB"/>
    <n v="72"/>
    <s v="NA15RB-72"/>
  </r>
  <r>
    <x v="14"/>
    <x v="452"/>
    <s v="0.00-0.96"/>
    <n v="0.48"/>
    <s v="#10"/>
    <x v="1"/>
    <n v="0.96"/>
    <n v="0"/>
    <n v="0.48"/>
    <n v="0.23039999999999999"/>
    <x v="7"/>
    <s v="NA4RB"/>
    <n v="53"/>
    <s v="NA4RB-53"/>
  </r>
  <r>
    <x v="2"/>
    <x v="450"/>
    <n v="-1.1600000000000001"/>
    <n v="0.48"/>
    <s v="#11"/>
    <x v="3"/>
    <n v="1.06"/>
    <n v="-0.1"/>
    <n v="0.57999999999999996"/>
    <n v="0.33639999999999998"/>
    <x v="7"/>
    <s v="NA9TE"/>
    <n v="60"/>
    <s v="NA9TE-60"/>
  </r>
  <r>
    <x v="14"/>
    <x v="422"/>
    <s v="0.06-0.90"/>
    <n v="0.48"/>
    <s v="#6"/>
    <x v="2"/>
    <n v="0.9"/>
    <n v="0.06"/>
    <n v="0.42"/>
    <n v="0.1764"/>
    <x v="7"/>
    <s v="NA4WR"/>
    <n v="82"/>
    <s v="NA4WR-82"/>
  </r>
  <r>
    <x v="12"/>
    <x v="334"/>
    <n v="-1.1200000000000001"/>
    <n v="0.48"/>
    <s v="#10"/>
    <x v="2"/>
    <n v="1.04"/>
    <n v="-0.08"/>
    <n v="0.56000000000000005"/>
    <n v="0.31359999999999999"/>
    <x v="7"/>
    <s v="NA5WR"/>
    <n v="100"/>
    <s v="NA5WR-100"/>
  </r>
  <r>
    <x v="14"/>
    <x v="361"/>
    <s v="0.02-0.94"/>
    <n v="0.48"/>
    <s v="#16"/>
    <x v="2"/>
    <n v="0.94"/>
    <n v="0.02"/>
    <n v="0.46"/>
    <n v="0.21160000000000001"/>
    <x v="7"/>
    <s v="NA4WR"/>
    <n v="83"/>
    <s v="NA4WR-83"/>
  </r>
  <r>
    <x v="3"/>
    <x v="361"/>
    <n v="-1.1600000000000001"/>
    <n v="0.48"/>
    <s v="#10"/>
    <x v="2"/>
    <n v="1.06"/>
    <n v="-0.1"/>
    <n v="0.57999999999999996"/>
    <n v="0.33639999999999998"/>
    <x v="7"/>
    <s v="NA11WR"/>
    <n v="90"/>
    <s v="NA11WR-90"/>
  </r>
  <r>
    <x v="5"/>
    <x v="361"/>
    <s v="0.01-0.95"/>
    <n v="0.48"/>
    <s v="#25"/>
    <x v="2"/>
    <n v="0.95"/>
    <n v="0.01"/>
    <n v="0.47"/>
    <n v="0.22090000000000001"/>
    <x v="7"/>
    <s v="NA13WR"/>
    <n v="109"/>
    <s v="NA13WR-109"/>
  </r>
  <r>
    <x v="8"/>
    <x v="463"/>
    <n v="-1.1400000000000001"/>
    <n v="0.48"/>
    <s v="#5"/>
    <x v="3"/>
    <n v="1.05"/>
    <n v="-0.09"/>
    <n v="0.56999999999999995"/>
    <n v="0.32490000000000002"/>
    <x v="7"/>
    <s v="NA6TE"/>
    <n v="66"/>
    <s v="NA6TE-66"/>
  </r>
  <r>
    <x v="15"/>
    <x v="463"/>
    <n v="-1.1600000000000001"/>
    <n v="0.48"/>
    <s v="#21"/>
    <x v="3"/>
    <n v="1.06"/>
    <n v="-0.1"/>
    <n v="0.57999999999999996"/>
    <n v="0.33639999999999998"/>
    <x v="7"/>
    <s v="NA10TE"/>
    <n v="66"/>
    <s v="NA10TE-66"/>
  </r>
  <r>
    <x v="6"/>
    <x v="415"/>
    <n v="-1.02"/>
    <n v="0.48"/>
    <s v="#6"/>
    <x v="1"/>
    <n v="0.99"/>
    <n v="-0.03"/>
    <n v="0.51"/>
    <n v="0.2601"/>
    <x v="7"/>
    <s v="NA12RB"/>
    <n v="68"/>
    <s v="NA12RB-68"/>
  </r>
  <r>
    <x v="13"/>
    <x v="331"/>
    <n v="-1.1200000000000001"/>
    <n v="0.48"/>
    <s v="#18"/>
    <x v="3"/>
    <n v="1.04"/>
    <n v="-0.08"/>
    <n v="0.56000000000000005"/>
    <n v="0.31359999999999999"/>
    <x v="7"/>
    <s v="NA8TE"/>
    <n v="64"/>
    <s v="NA8TE-64"/>
  </r>
  <r>
    <x v="4"/>
    <x v="466"/>
    <s v="0.05-0.91"/>
    <n v="0.48"/>
    <s v="#24"/>
    <x v="3"/>
    <n v="0.91"/>
    <n v="0.05"/>
    <n v="0.43"/>
    <n v="0.18490000000000001"/>
    <x v="7"/>
    <s v="NA7TE"/>
    <n v="68"/>
    <s v="NA7TE-68"/>
  </r>
  <r>
    <x v="8"/>
    <x v="351"/>
    <s v="0.02-0.94"/>
    <n v="0.48"/>
    <s v="#32"/>
    <x v="3"/>
    <n v="0.94"/>
    <n v="0.02"/>
    <n v="0.46"/>
    <n v="0.21160000000000001"/>
    <x v="7"/>
    <s v="NA6TE"/>
    <n v="67"/>
    <s v="NA6TE-67"/>
  </r>
  <r>
    <x v="15"/>
    <x v="416"/>
    <n v="-0.98"/>
    <n v="0.48"/>
    <s v="#31"/>
    <x v="3"/>
    <n v="0.97"/>
    <n v="-0.01"/>
    <n v="0.49"/>
    <n v="0.24010000000000001"/>
    <x v="7"/>
    <s v="NA10TE"/>
    <n v="67"/>
    <s v="NA10TE-67"/>
  </r>
  <r>
    <x v="4"/>
    <x v="266"/>
    <n v="-1.04"/>
    <n v="0.48"/>
    <s v="#7"/>
    <x v="1"/>
    <n v="1"/>
    <n v="-0.04"/>
    <n v="0.52"/>
    <n v="0.27039999999999997"/>
    <x v="7"/>
    <s v="NA7RB"/>
    <n v="59"/>
    <s v="NA7RB-59"/>
  </r>
  <r>
    <x v="10"/>
    <x v="384"/>
    <n v="-1.04"/>
    <n v="0.48"/>
    <s v="#8"/>
    <x v="2"/>
    <n v="1"/>
    <n v="-0.04"/>
    <n v="0.52"/>
    <n v="0.27039999999999997"/>
    <x v="7"/>
    <s v="NA2WR"/>
    <n v="81"/>
    <s v="NA2WR-81"/>
  </r>
  <r>
    <x v="0"/>
    <x v="338"/>
    <n v="-1.26"/>
    <n v="0.48"/>
    <s v="#18"/>
    <x v="2"/>
    <n v="1.1100000000000001"/>
    <n v="-0.15"/>
    <n v="0.63"/>
    <n v="0.39689999999999998"/>
    <x v="7"/>
    <s v="NA17WR"/>
    <n v="117"/>
    <s v="NA17WR-117"/>
  </r>
  <r>
    <x v="6"/>
    <x v="468"/>
    <n v="-0.98"/>
    <n v="0.48"/>
    <s v="#22"/>
    <x v="3"/>
    <n v="0.97"/>
    <n v="-0.01"/>
    <n v="0.49"/>
    <n v="0.24010000000000001"/>
    <x v="7"/>
    <s v="NA12TE"/>
    <n v="72"/>
    <s v="NA12TE-72"/>
  </r>
  <r>
    <x v="16"/>
    <x v="437"/>
    <n v="-1.6"/>
    <n v="0.48"/>
    <s v="#20"/>
    <x v="1"/>
    <n v="1.28"/>
    <n v="-0.32"/>
    <n v="0.8"/>
    <n v="0.64"/>
    <x v="7"/>
    <s v="NA3RB"/>
    <n v="53"/>
    <s v="NA3RB-53"/>
  </r>
  <r>
    <x v="1"/>
    <x v="437"/>
    <n v="-1.1000000000000001"/>
    <n v="0.48"/>
    <s v="#13"/>
    <x v="1"/>
    <n v="1.03"/>
    <n v="-7.0000000000000007E-2"/>
    <n v="0.55000000000000004"/>
    <n v="0.30249999999999999"/>
    <x v="7"/>
    <s v="NA16RB"/>
    <n v="69"/>
    <s v="NA16RB-69"/>
  </r>
  <r>
    <x v="1"/>
    <x v="411"/>
    <s v="0.00-0.96"/>
    <n v="0.48"/>
    <s v="#1"/>
    <x v="1"/>
    <n v="0.96"/>
    <n v="0"/>
    <n v="0.48"/>
    <n v="0.23039999999999999"/>
    <x v="7"/>
    <s v="NA16RB"/>
    <n v="70"/>
    <s v="NA16RB-70"/>
  </r>
  <r>
    <x v="13"/>
    <x v="420"/>
    <n v="-1.06"/>
    <n v="0.48"/>
    <s v="#22"/>
    <x v="1"/>
    <n v="1.01"/>
    <n v="-0.05"/>
    <n v="0.53"/>
    <n v="0.28089999999999998"/>
    <x v="7"/>
    <s v="NA8RB"/>
    <n v="62"/>
    <s v="NA8RB-62"/>
  </r>
  <r>
    <x v="16"/>
    <x v="377"/>
    <n v="-1"/>
    <n v="0.48"/>
    <s v="#32"/>
    <x v="2"/>
    <n v="0.98"/>
    <n v="-0.02"/>
    <n v="0.5"/>
    <n v="0.25"/>
    <x v="7"/>
    <s v="NA3WR"/>
    <n v="86"/>
    <s v="NA3WR-86"/>
  </r>
  <r>
    <x v="1"/>
    <x v="377"/>
    <n v="-1"/>
    <n v="0.48"/>
    <s v="#5"/>
    <x v="2"/>
    <n v="0.98"/>
    <n v="-0.02"/>
    <n v="0.5"/>
    <n v="0.25"/>
    <x v="7"/>
    <s v="NA16WR"/>
    <n v="112"/>
    <s v="NA16WR-112"/>
  </r>
  <r>
    <x v="9"/>
    <x v="464"/>
    <n v="-1.02"/>
    <n v="0.48"/>
    <s v="#28"/>
    <x v="3"/>
    <n v="0.99"/>
    <n v="-0.03"/>
    <n v="0.51"/>
    <n v="0.2601"/>
    <x v="7"/>
    <s v="NA15TE"/>
    <n v="72"/>
    <s v="NA15TE-72"/>
  </r>
  <r>
    <x v="1"/>
    <x v="464"/>
    <n v="-1.02"/>
    <n v="0.48"/>
    <s v="#17"/>
    <x v="3"/>
    <n v="0.99"/>
    <n v="-0.03"/>
    <n v="0.51"/>
    <n v="0.2601"/>
    <x v="7"/>
    <s v="NA16TE"/>
    <n v="77"/>
    <s v="NA16TE-77"/>
  </r>
  <r>
    <x v="16"/>
    <x v="465"/>
    <n v="-1.28"/>
    <n v="0.48"/>
    <s v="#24"/>
    <x v="3"/>
    <n v="1.1200000000000001"/>
    <n v="-0.16"/>
    <n v="0.64"/>
    <n v="0.40960000000000002"/>
    <x v="7"/>
    <s v="NA3TE"/>
    <n v="63"/>
    <s v="NA3TE-63"/>
  </r>
  <r>
    <x v="3"/>
    <x v="303"/>
    <s v="0.00-0.96"/>
    <n v="0.48"/>
    <s v="#1"/>
    <x v="1"/>
    <n v="0.96"/>
    <n v="0"/>
    <n v="0.48"/>
    <n v="0.23039999999999999"/>
    <x v="7"/>
    <s v="NA11RB"/>
    <n v="58"/>
    <s v="NA11RB-58"/>
  </r>
  <r>
    <x v="10"/>
    <x v="412"/>
    <n v="-1.08"/>
    <n v="0.48"/>
    <s v="#7"/>
    <x v="0"/>
    <n v="1.02"/>
    <n v="-0.06"/>
    <n v="0.54"/>
    <n v="0.29160000000000003"/>
    <x v="7"/>
    <s v="NA2QB"/>
    <n v="34"/>
    <s v="NA2QB-34"/>
  </r>
  <r>
    <x v="13"/>
    <x v="469"/>
    <n v="-1.28"/>
    <n v="0.48"/>
    <s v="#22"/>
    <x v="2"/>
    <n v="1.1200000000000001"/>
    <n v="-0.16"/>
    <n v="0.64"/>
    <n v="0.40960000000000002"/>
    <x v="7"/>
    <s v="NA8WR"/>
    <n v="97"/>
    <s v="NA8WR-97"/>
  </r>
  <r>
    <x v="0"/>
    <x v="419"/>
    <s v="0.02-0.94"/>
    <n v="0.48"/>
    <s v="#14"/>
    <x v="3"/>
    <n v="0.94"/>
    <n v="0.02"/>
    <n v="0.46"/>
    <n v="0.21160000000000001"/>
    <x v="7"/>
    <s v="NA17TE"/>
    <n v="74"/>
    <s v="NA17TE-74"/>
  </r>
  <r>
    <x v="14"/>
    <x v="445"/>
    <n v="-1.1000000000000001"/>
    <n v="0.48"/>
    <s v="#6"/>
    <x v="3"/>
    <n v="1.03"/>
    <n v="-7.0000000000000007E-2"/>
    <n v="0.55000000000000004"/>
    <n v="0.30249999999999999"/>
    <x v="7"/>
    <s v="NA4TE"/>
    <n v="62"/>
    <s v="NA4TE-62"/>
  </r>
  <r>
    <x v="0"/>
    <x v="102"/>
    <s v="0.05-0.91"/>
    <n v="0.48"/>
    <s v="#24"/>
    <x v="0"/>
    <n v="0.91"/>
    <n v="0.05"/>
    <n v="0.43"/>
    <n v="0.18490000000000001"/>
    <x v="7"/>
    <s v="NA17QB"/>
    <n v="40"/>
    <s v="NA17QB-40"/>
  </r>
  <r>
    <x v="9"/>
    <x v="446"/>
    <n v="-1.3199999999999998"/>
    <n v="0.48"/>
    <s v="#9"/>
    <x v="2"/>
    <n v="1.1399999999999999"/>
    <n v="-0.18"/>
    <n v="0.66"/>
    <n v="0.43559999999999999"/>
    <x v="7"/>
    <s v="NA15WR"/>
    <n v="112"/>
    <s v="NA15WR-112"/>
  </r>
  <r>
    <x v="16"/>
    <x v="421"/>
    <n v="-1.1800000000000002"/>
    <n v="0.48"/>
    <s v="#26"/>
    <x v="2"/>
    <n v="1.07"/>
    <n v="-0.11"/>
    <n v="0.59"/>
    <n v="0.34810000000000002"/>
    <x v="7"/>
    <s v="NA3WR"/>
    <n v="87"/>
    <s v="NA3WR-87"/>
  </r>
  <r>
    <x v="6"/>
    <x v="434"/>
    <n v="-1.08"/>
    <n v="0.48"/>
    <s v="#19"/>
    <x v="2"/>
    <n v="1.02"/>
    <n v="-0.06"/>
    <n v="0.54"/>
    <n v="0.29160000000000003"/>
    <x v="7"/>
    <s v="NA12WR"/>
    <n v="109"/>
    <s v="NA12WR-109"/>
  </r>
  <r>
    <x v="6"/>
    <x v="424"/>
    <s v="0.02-0.94"/>
    <n v="0.48"/>
    <s v="#23"/>
    <x v="1"/>
    <n v="0.94"/>
    <n v="0.02"/>
    <n v="0.46"/>
    <n v="0.21160000000000001"/>
    <x v="7"/>
    <s v="NA12RB"/>
    <n v="69"/>
    <s v="NA12RB-69"/>
  </r>
  <r>
    <x v="9"/>
    <x v="424"/>
    <n v="-0.98"/>
    <n v="0.48"/>
    <s v="#3"/>
    <x v="1"/>
    <n v="0.97"/>
    <n v="-0.01"/>
    <n v="0.49"/>
    <n v="0.24010000000000001"/>
    <x v="7"/>
    <s v="NA15RB"/>
    <n v="73"/>
    <s v="NA15RB-73"/>
  </r>
  <r>
    <x v="0"/>
    <x v="455"/>
    <n v="-1.02"/>
    <n v="0.48"/>
    <s v="#7"/>
    <x v="0"/>
    <n v="0.99"/>
    <n v="-0.03"/>
    <n v="0.51"/>
    <n v="0.2601"/>
    <x v="7"/>
    <s v="NA17QB"/>
    <n v="41"/>
    <s v="NA17QB-41"/>
  </r>
  <r>
    <x v="15"/>
    <x v="435"/>
    <n v="-1.02"/>
    <n v="0.48"/>
    <s v="#30"/>
    <x v="1"/>
    <n v="0.99"/>
    <n v="-0.03"/>
    <n v="0.51"/>
    <n v="0.2601"/>
    <x v="7"/>
    <s v="NA10RB"/>
    <n v="61"/>
    <s v="NA10RB-61"/>
  </r>
  <r>
    <x v="3"/>
    <x v="470"/>
    <n v="-1.2200000000000002"/>
    <n v="0.48"/>
    <s v="#15"/>
    <x v="1"/>
    <n v="1.0900000000000001"/>
    <n v="-0.13"/>
    <n v="0.61"/>
    <n v="0.37209999999999999"/>
    <x v="7"/>
    <s v="NA11RB"/>
    <n v="59"/>
    <s v="NA11RB-59"/>
  </r>
  <r>
    <x v="9"/>
    <x v="296"/>
    <n v="-0.98"/>
    <n v="0.48"/>
    <s v="#27"/>
    <x v="1"/>
    <n v="0.97"/>
    <n v="-0.01"/>
    <n v="0.49"/>
    <n v="0.24010000000000001"/>
    <x v="7"/>
    <s v="NA15RB"/>
    <n v="74"/>
    <s v="NA15RB-74"/>
  </r>
  <r>
    <x v="7"/>
    <x v="354"/>
    <s v="0.00-0.94"/>
    <n v="0.47"/>
    <s v="#9"/>
    <x v="2"/>
    <n v="0.94"/>
    <n v="0"/>
    <n v="0.47"/>
    <n v="0.22090000000000001"/>
    <x v="7"/>
    <s v="NA1WR"/>
    <n v="74"/>
    <s v="NA1WR-74"/>
  </r>
  <r>
    <x v="11"/>
    <x v="354"/>
    <s v="0.02-0.92"/>
    <n v="0.47"/>
    <s v="#20"/>
    <x v="2"/>
    <n v="0.92"/>
    <n v="0.02"/>
    <n v="0.45"/>
    <n v="0.20250000000000001"/>
    <x v="7"/>
    <s v="NA14WR"/>
    <n v="111"/>
    <s v="NA14WR-111"/>
  </r>
  <r>
    <x v="16"/>
    <x v="426"/>
    <s v="0.05-0.89"/>
    <n v="0.47"/>
    <s v="#17"/>
    <x v="2"/>
    <n v="0.89"/>
    <n v="0.05"/>
    <n v="0.42"/>
    <n v="0.1764"/>
    <x v="7"/>
    <s v="NA3WR"/>
    <n v="88"/>
    <s v="NA3WR-88"/>
  </r>
  <r>
    <x v="0"/>
    <x v="451"/>
    <n v="-1.1600000000000001"/>
    <n v="0.47"/>
    <s v="#26"/>
    <x v="3"/>
    <n v="1.05"/>
    <n v="-0.11"/>
    <n v="0.57999999999999996"/>
    <n v="0.33639999999999998"/>
    <x v="7"/>
    <s v="NA17TE"/>
    <n v="75"/>
    <s v="NA17TE-75"/>
  </r>
  <r>
    <x v="2"/>
    <x v="362"/>
    <n v="-1.2000000000000002"/>
    <n v="0.47"/>
    <s v="#11"/>
    <x v="1"/>
    <n v="1.07"/>
    <n v="-0.13"/>
    <n v="0.6"/>
    <n v="0.36"/>
    <x v="7"/>
    <s v="NA9RB"/>
    <n v="55"/>
    <s v="NA9RB-55"/>
  </r>
  <r>
    <x v="8"/>
    <x v="452"/>
    <n v="-1.2000000000000002"/>
    <n v="0.47"/>
    <s v="#13"/>
    <x v="1"/>
    <n v="1.07"/>
    <n v="-0.13"/>
    <n v="0.6"/>
    <n v="0.36"/>
    <x v="7"/>
    <s v="NA6RB"/>
    <n v="63"/>
    <s v="NA6RB-63"/>
  </r>
  <r>
    <x v="12"/>
    <x v="461"/>
    <n v="-1.04"/>
    <n v="0.47"/>
    <s v="#3"/>
    <x v="0"/>
    <n v="0.99"/>
    <n v="-0.05"/>
    <n v="0.52"/>
    <n v="0.27039999999999997"/>
    <x v="7"/>
    <s v="NA5QB"/>
    <n v="36"/>
    <s v="NA5QB-36"/>
  </r>
  <r>
    <x v="13"/>
    <x v="461"/>
    <n v="-1.04"/>
    <n v="0.47"/>
    <s v="#16"/>
    <x v="0"/>
    <n v="0.99"/>
    <n v="-0.05"/>
    <n v="0.52"/>
    <n v="0.27039999999999997"/>
    <x v="7"/>
    <s v="NA8QB"/>
    <n v="33"/>
    <s v="NA8QB-33"/>
  </r>
  <r>
    <x v="2"/>
    <x v="461"/>
    <n v="-1.04"/>
    <n v="0.47"/>
    <s v="#2"/>
    <x v="0"/>
    <n v="0.99"/>
    <n v="-0.05"/>
    <n v="0.52"/>
    <n v="0.27039999999999997"/>
    <x v="7"/>
    <s v="NA9QB"/>
    <n v="33"/>
    <s v="NA9QB-33"/>
  </r>
  <r>
    <x v="1"/>
    <x v="457"/>
    <n v="-1.1000000000000001"/>
    <n v="0.47"/>
    <s v="#5"/>
    <x v="3"/>
    <n v="1.02"/>
    <n v="-0.08"/>
    <n v="0.55000000000000004"/>
    <n v="0.30249999999999999"/>
    <x v="7"/>
    <s v="NA16TE"/>
    <n v="78"/>
    <s v="NA16TE-78"/>
  </r>
  <r>
    <x v="12"/>
    <x v="428"/>
    <n v="-0.98"/>
    <n v="0.47"/>
    <s v="#20"/>
    <x v="1"/>
    <n v="0.96"/>
    <n v="-0.02"/>
    <n v="0.49"/>
    <n v="0.24010000000000001"/>
    <x v="7"/>
    <s v="NA5RB"/>
    <n v="62"/>
    <s v="NA5RB-62"/>
  </r>
  <r>
    <x v="3"/>
    <x v="428"/>
    <n v="-1.1200000000000001"/>
    <n v="0.47"/>
    <s v="#13"/>
    <x v="1"/>
    <n v="1.03"/>
    <n v="-0.09"/>
    <n v="0.56000000000000005"/>
    <n v="0.31359999999999999"/>
    <x v="7"/>
    <s v="NA11RB"/>
    <n v="60"/>
    <s v="NA11RB-60"/>
  </r>
  <r>
    <x v="7"/>
    <x v="376"/>
    <n v="-1.04"/>
    <n v="0.47"/>
    <s v="#20"/>
    <x v="2"/>
    <n v="0.99"/>
    <n v="-0.05"/>
    <n v="0.52"/>
    <n v="0.27039999999999997"/>
    <x v="7"/>
    <s v="NA1WR"/>
    <n v="75"/>
    <s v="NA1WR-75"/>
  </r>
  <r>
    <x v="6"/>
    <x v="331"/>
    <n v="-1.1800000000000002"/>
    <n v="0.47"/>
    <s v="#20"/>
    <x v="3"/>
    <n v="1.06"/>
    <n v="-0.12"/>
    <n v="0.59"/>
    <n v="0.34810000000000002"/>
    <x v="7"/>
    <s v="NA12TE"/>
    <n v="73"/>
    <s v="NA12TE-73"/>
  </r>
  <r>
    <x v="4"/>
    <x v="462"/>
    <n v="-0.96"/>
    <n v="0.47"/>
    <s v="#12"/>
    <x v="1"/>
    <n v="0.95"/>
    <n v="-0.01"/>
    <n v="0.48"/>
    <n v="0.23039999999999999"/>
    <x v="7"/>
    <s v="NA7RB"/>
    <n v="60"/>
    <s v="NA7RB-60"/>
  </r>
  <r>
    <x v="2"/>
    <x v="462"/>
    <s v="0.00-0.94"/>
    <n v="0.47"/>
    <s v="#14"/>
    <x v="1"/>
    <n v="0.94"/>
    <n v="0"/>
    <n v="0.47"/>
    <n v="0.22090000000000001"/>
    <x v="7"/>
    <s v="NA9RB"/>
    <n v="56"/>
    <s v="NA9RB-56"/>
  </r>
  <r>
    <x v="9"/>
    <x v="442"/>
    <n v="-1.02"/>
    <n v="0.47"/>
    <s v="#28"/>
    <x v="3"/>
    <n v="0.98"/>
    <n v="-0.04"/>
    <n v="0.51"/>
    <n v="0.2601"/>
    <x v="7"/>
    <s v="NA15TE"/>
    <n v="73"/>
    <s v="NA15TE-73"/>
  </r>
  <r>
    <x v="16"/>
    <x v="338"/>
    <n v="-1.3"/>
    <n v="0.47"/>
    <s v="#20"/>
    <x v="2"/>
    <n v="1.1200000000000001"/>
    <n v="-0.18"/>
    <n v="0.65"/>
    <n v="0.42249999999999999"/>
    <x v="7"/>
    <s v="NA3WR"/>
    <n v="89"/>
    <s v="NA3WR-89"/>
  </r>
  <r>
    <x v="11"/>
    <x v="437"/>
    <n v="-1.1000000000000001"/>
    <n v="0.47"/>
    <s v="#5"/>
    <x v="1"/>
    <n v="1.02"/>
    <n v="-0.08"/>
    <n v="0.55000000000000004"/>
    <n v="0.30249999999999999"/>
    <x v="7"/>
    <s v="NA14RB"/>
    <n v="68"/>
    <s v="NA14RB-68"/>
  </r>
  <r>
    <x v="9"/>
    <x v="437"/>
    <n v="-0.98"/>
    <n v="0.47"/>
    <s v="#6"/>
    <x v="1"/>
    <n v="0.96"/>
    <n v="-0.02"/>
    <n v="0.49"/>
    <n v="0.24010000000000001"/>
    <x v="7"/>
    <s v="NA15RB"/>
    <n v="75"/>
    <s v="NA15RB-75"/>
  </r>
  <r>
    <x v="3"/>
    <x v="411"/>
    <n v="-1.02"/>
    <n v="0.47"/>
    <s v="#16"/>
    <x v="1"/>
    <n v="0.98"/>
    <n v="-0.04"/>
    <n v="0.51"/>
    <n v="0.2601"/>
    <x v="7"/>
    <s v="NA11RB"/>
    <n v="61"/>
    <s v="NA11RB-61"/>
  </r>
  <r>
    <x v="15"/>
    <x v="269"/>
    <n v="-1.2200000000000002"/>
    <n v="0.47"/>
    <s v="#23"/>
    <x v="2"/>
    <n v="1.08"/>
    <n v="-0.14000000000000001"/>
    <n v="0.61"/>
    <n v="0.37209999999999999"/>
    <x v="7"/>
    <s v="NA10WR"/>
    <n v="103"/>
    <s v="NA10WR-103"/>
  </r>
  <r>
    <x v="3"/>
    <x v="420"/>
    <n v="-1.08"/>
    <n v="0.47"/>
    <s v="#27"/>
    <x v="1"/>
    <n v="1.01"/>
    <n v="-7.0000000000000007E-2"/>
    <n v="0.54"/>
    <n v="0.29160000000000003"/>
    <x v="7"/>
    <s v="NA11RB"/>
    <n v="62"/>
    <s v="NA11RB-62"/>
  </r>
  <r>
    <x v="6"/>
    <x v="420"/>
    <n v="-1.1000000000000001"/>
    <n v="0.47"/>
    <s v="#23"/>
    <x v="1"/>
    <n v="1.02"/>
    <n v="-0.08"/>
    <n v="0.55000000000000004"/>
    <n v="0.30249999999999999"/>
    <x v="7"/>
    <s v="NA12RB"/>
    <n v="70"/>
    <s v="NA12RB-70"/>
  </r>
  <r>
    <x v="14"/>
    <x v="377"/>
    <n v="-1.1400000000000001"/>
    <n v="0.47"/>
    <s v="#20"/>
    <x v="2"/>
    <n v="1.04"/>
    <n v="-0.1"/>
    <n v="0.56999999999999995"/>
    <n v="0.32490000000000002"/>
    <x v="7"/>
    <s v="NA4WR"/>
    <n v="84"/>
    <s v="NA4WR-84"/>
  </r>
  <r>
    <x v="14"/>
    <x v="318"/>
    <n v="-1.2200000000000002"/>
    <n v="0.47"/>
    <s v="#31"/>
    <x v="2"/>
    <n v="1.08"/>
    <n v="-0.14000000000000001"/>
    <n v="0.61"/>
    <n v="0.37209999999999999"/>
    <x v="7"/>
    <s v="NA4WR"/>
    <n v="85"/>
    <s v="NA4WR-85"/>
  </r>
  <r>
    <x v="5"/>
    <x v="464"/>
    <n v="-1.04"/>
    <n v="0.47"/>
    <s v="#24"/>
    <x v="3"/>
    <n v="0.99"/>
    <n v="-0.05"/>
    <n v="0.52"/>
    <n v="0.27039999999999997"/>
    <x v="7"/>
    <s v="NA13TE"/>
    <n v="75"/>
    <s v="NA13TE-75"/>
  </r>
  <r>
    <x v="8"/>
    <x v="438"/>
    <n v="-0.96"/>
    <n v="0.47"/>
    <s v="#31"/>
    <x v="3"/>
    <n v="0.95"/>
    <n v="-0.01"/>
    <n v="0.48"/>
    <n v="0.23039999999999999"/>
    <x v="7"/>
    <s v="NA6TE"/>
    <n v="68"/>
    <s v="NA6TE-68"/>
  </r>
  <r>
    <x v="12"/>
    <x v="333"/>
    <n v="-1.02"/>
    <n v="0.47"/>
    <s v="#28"/>
    <x v="3"/>
    <n v="0.98"/>
    <n v="-0.04"/>
    <n v="0.51"/>
    <n v="0.2601"/>
    <x v="7"/>
    <s v="NA5TE"/>
    <n v="68"/>
    <s v="NA5TE-68"/>
  </r>
  <r>
    <x v="11"/>
    <x v="333"/>
    <n v="-1.04"/>
    <n v="0.47"/>
    <s v="#29"/>
    <x v="3"/>
    <n v="0.99"/>
    <n v="-0.05"/>
    <n v="0.52"/>
    <n v="0.27039999999999997"/>
    <x v="7"/>
    <s v="NA14TE"/>
    <n v="77"/>
    <s v="NA14TE-77"/>
  </r>
  <r>
    <x v="11"/>
    <x v="444"/>
    <n v="-1.1000000000000001"/>
    <n v="0.47"/>
    <s v="#10"/>
    <x v="1"/>
    <n v="1.02"/>
    <n v="-0.08"/>
    <n v="0.55000000000000004"/>
    <n v="0.30249999999999999"/>
    <x v="7"/>
    <s v="NA14RB"/>
    <n v="69"/>
    <s v="NA14RB-69"/>
  </r>
  <r>
    <x v="1"/>
    <x v="469"/>
    <n v="-1.1600000000000001"/>
    <n v="0.47"/>
    <s v="#14"/>
    <x v="2"/>
    <n v="1.05"/>
    <n v="-0.11"/>
    <n v="0.57999999999999996"/>
    <n v="0.33639999999999998"/>
    <x v="7"/>
    <s v="NA16WR"/>
    <n v="113"/>
    <s v="NA16WR-113"/>
  </r>
  <r>
    <x v="3"/>
    <x v="393"/>
    <s v="0.00-0.94"/>
    <n v="0.47"/>
    <s v="#5"/>
    <x v="1"/>
    <n v="0.94"/>
    <n v="0"/>
    <n v="0.47"/>
    <n v="0.22090000000000001"/>
    <x v="7"/>
    <s v="NA11RB"/>
    <n v="63"/>
    <s v="NA11RB-63"/>
  </r>
  <r>
    <x v="9"/>
    <x v="419"/>
    <s v="0.01-0.93"/>
    <n v="0.47"/>
    <s v="#23"/>
    <x v="3"/>
    <n v="0.93"/>
    <n v="0.01"/>
    <n v="0.46"/>
    <n v="0.21160000000000001"/>
    <x v="7"/>
    <s v="NA15TE"/>
    <n v="74"/>
    <s v="NA15TE-74"/>
  </r>
  <r>
    <x v="11"/>
    <x v="445"/>
    <n v="-1.1600000000000001"/>
    <n v="0.47"/>
    <s v="#3"/>
    <x v="3"/>
    <n v="1.05"/>
    <n v="-0.11"/>
    <n v="0.57999999999999996"/>
    <n v="0.33639999999999998"/>
    <x v="7"/>
    <s v="NA14TE"/>
    <n v="78"/>
    <s v="NA14TE-78"/>
  </r>
  <r>
    <x v="11"/>
    <x v="102"/>
    <s v="0.05-0.89"/>
    <n v="0.47"/>
    <s v="#4"/>
    <x v="0"/>
    <n v="0.89"/>
    <n v="0.05"/>
    <n v="0.42"/>
    <n v="0.1764"/>
    <x v="7"/>
    <s v="NA14QB"/>
    <n v="40"/>
    <s v="NA14QB-40"/>
  </r>
  <r>
    <x v="8"/>
    <x v="429"/>
    <n v="-0.98"/>
    <n v="0.47"/>
    <s v="#14"/>
    <x v="1"/>
    <n v="0.96"/>
    <n v="-0.02"/>
    <n v="0.49"/>
    <n v="0.24010000000000001"/>
    <x v="7"/>
    <s v="NA6RB"/>
    <n v="64"/>
    <s v="NA6RB-64"/>
  </r>
  <r>
    <x v="0"/>
    <x v="454"/>
    <s v="0.00-0.94"/>
    <n v="0.47"/>
    <s v="#12"/>
    <x v="3"/>
    <n v="0.94"/>
    <n v="0"/>
    <n v="0.47"/>
    <n v="0.22090000000000001"/>
    <x v="7"/>
    <s v="NA17TE"/>
    <n v="76"/>
    <s v="NA17TE-76"/>
  </r>
  <r>
    <x v="8"/>
    <x v="403"/>
    <s v="0.01-0.93"/>
    <n v="0.47"/>
    <s v="#13"/>
    <x v="1"/>
    <n v="0.93"/>
    <n v="0.01"/>
    <n v="0.46"/>
    <n v="0.21160000000000001"/>
    <x v="7"/>
    <s v="NA6RB"/>
    <n v="65"/>
    <s v="NA6RB-65"/>
  </r>
  <r>
    <x v="12"/>
    <x v="434"/>
    <n v="-1.04"/>
    <n v="0.47"/>
    <s v="#1"/>
    <x v="2"/>
    <n v="0.99"/>
    <n v="-0.05"/>
    <n v="0.52"/>
    <n v="0.27039999999999997"/>
    <x v="7"/>
    <s v="NA5WR"/>
    <n v="101"/>
    <s v="NA5WR-101"/>
  </r>
  <r>
    <x v="4"/>
    <x v="430"/>
    <n v="-0.98"/>
    <n v="0.47"/>
    <s v="#16"/>
    <x v="1"/>
    <n v="0.96"/>
    <n v="-0.02"/>
    <n v="0.49"/>
    <n v="0.24010000000000001"/>
    <x v="7"/>
    <s v="NA7RB"/>
    <n v="61"/>
    <s v="NA7RB-61"/>
  </r>
  <r>
    <x v="8"/>
    <x v="467"/>
    <n v="-1"/>
    <n v="0.47"/>
    <s v="#10"/>
    <x v="2"/>
    <n v="0.97"/>
    <n v="-0.03"/>
    <n v="0.5"/>
    <n v="0.25"/>
    <x v="7"/>
    <s v="NA6WR"/>
    <n v="105"/>
    <s v="NA6WR-105"/>
  </r>
  <r>
    <x v="8"/>
    <x v="470"/>
    <n v="-1.1600000000000001"/>
    <n v="0.47"/>
    <s v="#23"/>
    <x v="1"/>
    <n v="1.05"/>
    <n v="-0.11"/>
    <n v="0.57999999999999996"/>
    <n v="0.33639999999999998"/>
    <x v="7"/>
    <s v="NA6RB"/>
    <n v="66"/>
    <s v="NA6RB-66"/>
  </r>
  <r>
    <x v="15"/>
    <x v="470"/>
    <n v="-1.1600000000000001"/>
    <n v="0.47"/>
    <s v="#9"/>
    <x v="1"/>
    <n v="1.05"/>
    <n v="-0.11"/>
    <n v="0.57999999999999996"/>
    <n v="0.33639999999999998"/>
    <x v="7"/>
    <s v="NA10RB"/>
    <n v="62"/>
    <s v="NA10RB-62"/>
  </r>
  <r>
    <x v="2"/>
    <x v="296"/>
    <n v="-1.02"/>
    <n v="0.47"/>
    <s v="#24"/>
    <x v="1"/>
    <n v="0.98"/>
    <n v="-0.04"/>
    <n v="0.51"/>
    <n v="0.2601"/>
    <x v="7"/>
    <s v="NA9RB"/>
    <n v="57"/>
    <s v="NA9RB-57"/>
  </r>
  <r>
    <x v="2"/>
    <x v="459"/>
    <n v="-1.06"/>
    <n v="0.46"/>
    <s v="#11"/>
    <x v="3"/>
    <n v="0.99"/>
    <n v="-7.0000000000000007E-2"/>
    <n v="0.53"/>
    <n v="0.28089999999999998"/>
    <x v="7"/>
    <s v="NA9TE"/>
    <n v="61"/>
    <s v="NA9TE-61"/>
  </r>
  <r>
    <x v="8"/>
    <x v="381"/>
    <n v="-1.1200000000000001"/>
    <n v="0.46"/>
    <s v="#27"/>
    <x v="2"/>
    <n v="1.02"/>
    <n v="-0.1"/>
    <n v="0.56000000000000005"/>
    <n v="0.31359999999999999"/>
    <x v="7"/>
    <s v="NA6WR"/>
    <n v="106"/>
    <s v="NA6WR-106"/>
  </r>
  <r>
    <x v="11"/>
    <x v="362"/>
    <n v="-1.24"/>
    <n v="0.46"/>
    <s v="#10"/>
    <x v="1"/>
    <n v="1.08"/>
    <n v="-0.16"/>
    <n v="0.62"/>
    <n v="0.38440000000000002"/>
    <x v="7"/>
    <s v="NA14RB"/>
    <n v="70"/>
    <s v="NA14RB-70"/>
  </r>
  <r>
    <x v="14"/>
    <x v="336"/>
    <s v="0.02-0.90"/>
    <n v="0.46"/>
    <s v="#4"/>
    <x v="1"/>
    <n v="0.9"/>
    <n v="0.02"/>
    <n v="0.44"/>
    <n v="0.19359999999999999"/>
    <x v="7"/>
    <s v="NA4RB"/>
    <n v="54"/>
    <s v="NA4RB-54"/>
  </r>
  <r>
    <x v="4"/>
    <x v="456"/>
    <n v="-1.1000000000000001"/>
    <n v="0.46"/>
    <s v="#13"/>
    <x v="3"/>
    <n v="1.01"/>
    <n v="-0.09"/>
    <n v="0.55000000000000004"/>
    <n v="0.30249999999999999"/>
    <x v="7"/>
    <s v="NA7TE"/>
    <n v="69"/>
    <s v="NA7TE-69"/>
  </r>
  <r>
    <x v="3"/>
    <x v="452"/>
    <n v="-1.2000000000000002"/>
    <n v="0.46"/>
    <s v="#5"/>
    <x v="1"/>
    <n v="1.06"/>
    <n v="-0.14000000000000001"/>
    <n v="0.6"/>
    <n v="0.36"/>
    <x v="7"/>
    <s v="NA11RB"/>
    <n v="64"/>
    <s v="NA11RB-64"/>
  </r>
  <r>
    <x v="7"/>
    <x v="461"/>
    <n v="-0.94000000000000006"/>
    <n v="0.46"/>
    <s v="#20"/>
    <x v="0"/>
    <n v="0.93"/>
    <n v="-0.01"/>
    <n v="0.47"/>
    <n v="0.22090000000000001"/>
    <x v="7"/>
    <s v="NA1QB"/>
    <n v="33"/>
    <s v="NA1QB-33"/>
  </r>
  <r>
    <x v="1"/>
    <x v="461"/>
    <n v="-1.06"/>
    <n v="0.46"/>
    <s v="#8"/>
    <x v="0"/>
    <n v="0.99"/>
    <n v="-7.0000000000000007E-2"/>
    <n v="0.53"/>
    <n v="0.28089999999999998"/>
    <x v="7"/>
    <s v="NA16QB"/>
    <n v="40"/>
    <s v="NA16QB-40"/>
  </r>
  <r>
    <x v="7"/>
    <x v="387"/>
    <s v="0.00-0.92"/>
    <n v="0.46"/>
    <s v="#22"/>
    <x v="0"/>
    <n v="0.92"/>
    <n v="0"/>
    <n v="0.46"/>
    <n v="0.21160000000000001"/>
    <x v="7"/>
    <s v="NA1QB"/>
    <n v="34"/>
    <s v="NA1QB-34"/>
  </r>
  <r>
    <x v="7"/>
    <x v="457"/>
    <n v="-1.3399999999999999"/>
    <n v="0.46"/>
    <s v="#26"/>
    <x v="3"/>
    <n v="1.1299999999999999"/>
    <n v="-0.21"/>
    <n v="0.67"/>
    <n v="0.44890000000000002"/>
    <x v="7"/>
    <s v="NA1TE"/>
    <n v="55"/>
    <s v="NA1TE-55"/>
  </r>
  <r>
    <x v="11"/>
    <x v="363"/>
    <n v="-1.08"/>
    <n v="0.46"/>
    <s v="#2"/>
    <x v="2"/>
    <n v="1"/>
    <n v="-0.08"/>
    <n v="0.54"/>
    <n v="0.29160000000000003"/>
    <x v="7"/>
    <s v="NA14WR"/>
    <n v="112"/>
    <s v="NA14WR-112"/>
  </r>
  <r>
    <x v="5"/>
    <x v="422"/>
    <n v="-1.06"/>
    <n v="0.46"/>
    <s v="#4"/>
    <x v="2"/>
    <n v="0.99"/>
    <n v="-7.0000000000000007E-2"/>
    <n v="0.53"/>
    <n v="0.28089999999999998"/>
    <x v="7"/>
    <s v="NA13WR"/>
    <n v="110"/>
    <s v="NA13WR-110"/>
  </r>
  <r>
    <x v="15"/>
    <x v="334"/>
    <n v="-1.1200000000000001"/>
    <n v="0.46"/>
    <s v="#10"/>
    <x v="2"/>
    <n v="1.02"/>
    <n v="-0.1"/>
    <n v="0.56000000000000005"/>
    <n v="0.31359999999999999"/>
    <x v="7"/>
    <s v="NA10WR"/>
    <n v="104"/>
    <s v="NA10WR-104"/>
  </r>
  <r>
    <x v="0"/>
    <x v="341"/>
    <n v="-1"/>
    <n v="0.46"/>
    <s v="#2"/>
    <x v="1"/>
    <n v="0.96"/>
    <n v="-0.04"/>
    <n v="0.5"/>
    <n v="0.25"/>
    <x v="7"/>
    <s v="NA17RB"/>
    <n v="71"/>
    <s v="NA17RB-71"/>
  </r>
  <r>
    <x v="15"/>
    <x v="376"/>
    <n v="-0.96"/>
    <n v="0.46"/>
    <s v="#13"/>
    <x v="2"/>
    <n v="0.94"/>
    <n v="-0.02"/>
    <n v="0.48"/>
    <n v="0.23039999999999999"/>
    <x v="7"/>
    <s v="NA10WR"/>
    <n v="105"/>
    <s v="NA10WR-105"/>
  </r>
  <r>
    <x v="13"/>
    <x v="463"/>
    <n v="-1.1200000000000001"/>
    <n v="0.46"/>
    <s v="#27"/>
    <x v="3"/>
    <n v="1.02"/>
    <n v="-0.1"/>
    <n v="0.56000000000000005"/>
    <n v="0.31359999999999999"/>
    <x v="7"/>
    <s v="NA8TE"/>
    <n v="65"/>
    <s v="NA8TE-65"/>
  </r>
  <r>
    <x v="2"/>
    <x v="440"/>
    <n v="-1.08"/>
    <n v="0.46"/>
    <s v="#18"/>
    <x v="2"/>
    <n v="1"/>
    <n v="-0.08"/>
    <n v="0.54"/>
    <n v="0.29160000000000003"/>
    <x v="7"/>
    <s v="NA9WR"/>
    <n v="96"/>
    <s v="NA9WR-96"/>
  </r>
  <r>
    <x v="7"/>
    <x v="331"/>
    <n v="-1.1400000000000001"/>
    <n v="0.46"/>
    <s v="#12"/>
    <x v="3"/>
    <n v="1.03"/>
    <n v="-0.11"/>
    <n v="0.56999999999999995"/>
    <n v="0.32490000000000002"/>
    <x v="7"/>
    <s v="NA1TE"/>
    <n v="56"/>
    <s v="NA1TE-56"/>
  </r>
  <r>
    <x v="5"/>
    <x v="331"/>
    <n v="-1.1600000000000001"/>
    <n v="0.46"/>
    <s v="#21"/>
    <x v="3"/>
    <n v="1.04"/>
    <n v="-0.12"/>
    <n v="0.57999999999999996"/>
    <n v="0.33639999999999998"/>
    <x v="7"/>
    <s v="NA13TE"/>
    <n v="76"/>
    <s v="NA13TE-76"/>
  </r>
  <r>
    <x v="9"/>
    <x v="466"/>
    <s v="0.00-0.92"/>
    <n v="0.46"/>
    <s v="#11"/>
    <x v="3"/>
    <n v="0.92"/>
    <n v="0"/>
    <n v="0.46"/>
    <n v="0.21160000000000001"/>
    <x v="7"/>
    <s v="NA15TE"/>
    <n v="75"/>
    <s v="NA15TE-75"/>
  </r>
  <r>
    <x v="2"/>
    <x v="443"/>
    <n v="-1.22"/>
    <n v="0.46"/>
    <s v="#11"/>
    <x v="2"/>
    <n v="1.07"/>
    <n v="-0.15"/>
    <n v="0.61"/>
    <n v="0.37209999999999999"/>
    <x v="7"/>
    <s v="NA9WR"/>
    <n v="97"/>
    <s v="NA9WR-97"/>
  </r>
  <r>
    <x v="8"/>
    <x v="432"/>
    <n v="-0.96"/>
    <n v="0.46"/>
    <s v="#10"/>
    <x v="2"/>
    <n v="0.94"/>
    <n v="-0.02"/>
    <n v="0.48"/>
    <n v="0.23039999999999999"/>
    <x v="7"/>
    <s v="NA6WR"/>
    <n v="107"/>
    <s v="NA6WR-107"/>
  </r>
  <r>
    <x v="15"/>
    <x v="378"/>
    <n v="-1.28"/>
    <n v="0.46"/>
    <s v="#30"/>
    <x v="2"/>
    <n v="1.1000000000000001"/>
    <n v="-0.18"/>
    <n v="0.64"/>
    <n v="0.40960000000000002"/>
    <x v="7"/>
    <s v="NA10WR"/>
    <n v="106"/>
    <s v="NA10WR-106"/>
  </r>
  <r>
    <x v="12"/>
    <x v="468"/>
    <s v="0.04-0.88"/>
    <n v="0.46"/>
    <s v="#26"/>
    <x v="3"/>
    <n v="0.88"/>
    <n v="0.04"/>
    <n v="0.42"/>
    <n v="0.1764"/>
    <x v="7"/>
    <s v="NA5TE"/>
    <n v="69"/>
    <s v="NA5TE-69"/>
  </r>
  <r>
    <x v="8"/>
    <x v="468"/>
    <n v="-0.98"/>
    <n v="0.46"/>
    <s v="#22"/>
    <x v="3"/>
    <n v="0.95"/>
    <n v="-0.03"/>
    <n v="0.49"/>
    <n v="0.24010000000000001"/>
    <x v="7"/>
    <s v="NA6TE"/>
    <n v="69"/>
    <s v="NA6TE-69"/>
  </r>
  <r>
    <x v="5"/>
    <x v="468"/>
    <n v="-1.2000000000000002"/>
    <n v="0.46"/>
    <s v="#12"/>
    <x v="3"/>
    <n v="1.06"/>
    <n v="-0.14000000000000001"/>
    <n v="0.6"/>
    <n v="0.36"/>
    <x v="7"/>
    <s v="NA13TE"/>
    <n v="77"/>
    <s v="NA13TE-77"/>
  </r>
  <r>
    <x v="7"/>
    <x v="343"/>
    <n v="-1.26"/>
    <n v="0.46"/>
    <s v="#2"/>
    <x v="2"/>
    <n v="1.0900000000000001"/>
    <n v="-0.17"/>
    <n v="0.63"/>
    <n v="0.39689999999999998"/>
    <x v="7"/>
    <s v="NA1WR"/>
    <n v="76"/>
    <s v="NA1WR-76"/>
  </r>
  <r>
    <x v="7"/>
    <x v="398"/>
    <n v="-1.06"/>
    <n v="0.46"/>
    <s v="#10"/>
    <x v="1"/>
    <n v="0.99"/>
    <n v="-7.0000000000000007E-2"/>
    <n v="0.53"/>
    <n v="0.28089999999999998"/>
    <x v="7"/>
    <s v="NA1RB"/>
    <n v="43"/>
    <s v="NA1RB-43"/>
  </r>
  <r>
    <x v="13"/>
    <x v="377"/>
    <n v="-1.02"/>
    <n v="0.46"/>
    <s v="#13"/>
    <x v="2"/>
    <n v="0.97"/>
    <n v="-0.05"/>
    <n v="0.51"/>
    <n v="0.2601"/>
    <x v="7"/>
    <s v="NA8WR"/>
    <n v="98"/>
    <s v="NA8WR-98"/>
  </r>
  <r>
    <x v="9"/>
    <x v="377"/>
    <n v="-1"/>
    <n v="0.46"/>
    <s v="#8"/>
    <x v="2"/>
    <n v="0.96"/>
    <n v="-0.04"/>
    <n v="0.5"/>
    <n v="0.25"/>
    <x v="7"/>
    <s v="NA15WR"/>
    <n v="113"/>
    <s v="NA15WR-113"/>
  </r>
  <r>
    <x v="11"/>
    <x v="464"/>
    <s v="0.00-0.92"/>
    <n v="0.46"/>
    <s v="#4"/>
    <x v="3"/>
    <n v="0.92"/>
    <n v="0"/>
    <n v="0.46"/>
    <n v="0.21160000000000001"/>
    <x v="7"/>
    <s v="NA14TE"/>
    <n v="79"/>
    <s v="NA14TE-79"/>
  </r>
  <r>
    <x v="13"/>
    <x v="465"/>
    <s v="0.04-0.88"/>
    <n v="0.46"/>
    <s v="#9"/>
    <x v="3"/>
    <n v="0.88"/>
    <n v="0.04"/>
    <n v="0.42"/>
    <n v="0.1764"/>
    <x v="7"/>
    <s v="NA8TE"/>
    <n v="66"/>
    <s v="NA8TE-66"/>
  </r>
  <r>
    <x v="6"/>
    <x v="423"/>
    <n v="-1.04"/>
    <n v="0.46"/>
    <s v="#3"/>
    <x v="3"/>
    <n v="0.98"/>
    <n v="-0.06"/>
    <n v="0.52"/>
    <n v="0.27039999999999997"/>
    <x v="7"/>
    <s v="NA12TE"/>
    <n v="74"/>
    <s v="NA12TE-74"/>
  </r>
  <r>
    <x v="12"/>
    <x v="303"/>
    <n v="-1.52"/>
    <n v="0.46"/>
    <s v="#24"/>
    <x v="1"/>
    <n v="1.22"/>
    <n v="-0.3"/>
    <n v="0.76"/>
    <n v="0.5776"/>
    <x v="7"/>
    <s v="NA5RB"/>
    <n v="63"/>
    <s v="NA5RB-63"/>
  </r>
  <r>
    <x v="1"/>
    <x v="453"/>
    <n v="-1.2000000000000002"/>
    <n v="0.46"/>
    <s v="#25"/>
    <x v="3"/>
    <n v="1.06"/>
    <n v="-0.14000000000000001"/>
    <n v="0.6"/>
    <n v="0.36"/>
    <x v="7"/>
    <s v="NA16TE"/>
    <n v="79"/>
    <s v="NA16TE-79"/>
  </r>
  <r>
    <x v="12"/>
    <x v="469"/>
    <n v="-1.22"/>
    <n v="0.46"/>
    <s v="#30"/>
    <x v="2"/>
    <n v="1.07"/>
    <n v="-0.15"/>
    <n v="0.61"/>
    <n v="0.37209999999999999"/>
    <x v="7"/>
    <s v="NA5WR"/>
    <n v="102"/>
    <s v="NA5WR-102"/>
  </r>
  <r>
    <x v="13"/>
    <x v="102"/>
    <s v="0.03-0.89"/>
    <n v="0.46"/>
    <s v="#17"/>
    <x v="0"/>
    <n v="0.89"/>
    <n v="0.03"/>
    <n v="0.43"/>
    <n v="0.18490000000000001"/>
    <x v="7"/>
    <s v="NA8QB"/>
    <n v="34"/>
    <s v="NA8QB-34"/>
  </r>
  <r>
    <x v="13"/>
    <x v="447"/>
    <n v="-0.96"/>
    <n v="0.46"/>
    <s v="#8"/>
    <x v="1"/>
    <n v="0.94"/>
    <n v="-0.02"/>
    <n v="0.48"/>
    <n v="0.23039999999999999"/>
    <x v="7"/>
    <s v="NA8RB"/>
    <n v="63"/>
    <s v="NA8RB-63"/>
  </r>
  <r>
    <x v="16"/>
    <x v="409"/>
    <n v="-1.22"/>
    <n v="0.46"/>
    <s v="#26"/>
    <x v="1"/>
    <n v="1.07"/>
    <n v="-0.15"/>
    <n v="0.61"/>
    <n v="0.37209999999999999"/>
    <x v="7"/>
    <s v="NA3RB"/>
    <n v="54"/>
    <s v="NA3RB-54"/>
  </r>
  <r>
    <x v="14"/>
    <x v="421"/>
    <n v="-1.3599999999999999"/>
    <n v="0.46"/>
    <s v="#21"/>
    <x v="2"/>
    <n v="1.1399999999999999"/>
    <n v="-0.22"/>
    <n v="0.68"/>
    <n v="0.46239999999999998"/>
    <x v="7"/>
    <s v="NA4WR"/>
    <n v="86"/>
    <s v="NA4WR-86"/>
  </r>
  <r>
    <x v="3"/>
    <x v="386"/>
    <n v="-0.94000000000000006"/>
    <n v="0.46"/>
    <s v="#14"/>
    <x v="1"/>
    <n v="0.93"/>
    <n v="-0.01"/>
    <n v="0.47"/>
    <n v="0.22090000000000001"/>
    <x v="7"/>
    <s v="NA11RB"/>
    <n v="65"/>
    <s v="NA11RB-65"/>
  </r>
  <r>
    <x v="0"/>
    <x v="434"/>
    <n v="-1.04"/>
    <n v="0.46"/>
    <s v="#1"/>
    <x v="2"/>
    <n v="0.98"/>
    <n v="-0.06"/>
    <n v="0.52"/>
    <n v="0.27039999999999997"/>
    <x v="7"/>
    <s v="NA17WR"/>
    <n v="118"/>
    <s v="NA17WR-118"/>
  </r>
  <r>
    <x v="11"/>
    <x v="424"/>
    <s v="0.05-0.87"/>
    <n v="0.46"/>
    <s v="#22"/>
    <x v="1"/>
    <n v="0.87"/>
    <n v="0.05"/>
    <n v="0.41"/>
    <n v="0.1681"/>
    <x v="7"/>
    <s v="NA14RB"/>
    <n v="71"/>
    <s v="NA14RB-71"/>
  </r>
  <r>
    <x v="16"/>
    <x v="357"/>
    <n v="-0.98"/>
    <n v="0.46"/>
    <s v="#27"/>
    <x v="3"/>
    <n v="0.95"/>
    <n v="-0.03"/>
    <n v="0.49"/>
    <n v="0.24010000000000001"/>
    <x v="7"/>
    <s v="NA3TE"/>
    <n v="64"/>
    <s v="NA3TE-64"/>
  </r>
  <r>
    <x v="13"/>
    <x v="367"/>
    <n v="-1.1800000000000002"/>
    <n v="0.46"/>
    <s v="#27"/>
    <x v="1"/>
    <n v="1.05"/>
    <n v="-0.13"/>
    <n v="0.59"/>
    <n v="0.34810000000000002"/>
    <x v="7"/>
    <s v="NA8RB"/>
    <n v="64"/>
    <s v="NA8RB-64"/>
  </r>
  <r>
    <x v="9"/>
    <x v="455"/>
    <n v="-1.02"/>
    <n v="0.46"/>
    <s v="#7"/>
    <x v="0"/>
    <n v="0.97"/>
    <n v="-0.05"/>
    <n v="0.51"/>
    <n v="0.2601"/>
    <x v="7"/>
    <s v="NA15QB"/>
    <n v="40"/>
    <s v="NA15QB-40"/>
  </r>
  <r>
    <x v="1"/>
    <x v="435"/>
    <n v="-1.06"/>
    <n v="0.46"/>
    <s v="#2"/>
    <x v="1"/>
    <n v="0.99"/>
    <n v="-7.0000000000000007E-2"/>
    <n v="0.53"/>
    <n v="0.28089999999999998"/>
    <x v="7"/>
    <s v="NA16RB"/>
    <n v="71"/>
    <s v="NA16RB-71"/>
  </r>
  <r>
    <x v="16"/>
    <x v="467"/>
    <n v="-1"/>
    <n v="0.46"/>
    <s v="#1"/>
    <x v="2"/>
    <n v="0.96"/>
    <n v="-0.04"/>
    <n v="0.5"/>
    <n v="0.25"/>
    <x v="7"/>
    <s v="NA3WR"/>
    <n v="90"/>
    <s v="NA3WR-90"/>
  </r>
  <r>
    <x v="14"/>
    <x v="467"/>
    <s v="0.04-0.88"/>
    <n v="0.46"/>
    <s v="#32"/>
    <x v="2"/>
    <n v="0.88"/>
    <n v="0.04"/>
    <n v="0.42"/>
    <n v="0.1764"/>
    <x v="7"/>
    <s v="NA4WR"/>
    <n v="87"/>
    <s v="NA4WR-87"/>
  </r>
  <r>
    <x v="6"/>
    <x v="354"/>
    <n v="-0.94000000000000006"/>
    <n v="0.45"/>
    <s v="#2"/>
    <x v="2"/>
    <n v="0.92"/>
    <n v="-0.02"/>
    <n v="0.47"/>
    <n v="0.22090000000000001"/>
    <x v="7"/>
    <s v="NA12WR"/>
    <n v="110"/>
    <s v="NA12WR-110"/>
  </r>
  <r>
    <x v="16"/>
    <x v="381"/>
    <n v="-1.08"/>
    <n v="0.45"/>
    <s v="#26"/>
    <x v="2"/>
    <n v="0.99"/>
    <n v="-0.09"/>
    <n v="0.54"/>
    <n v="0.29160000000000003"/>
    <x v="7"/>
    <s v="NA3WR"/>
    <n v="91"/>
    <s v="NA3WR-91"/>
  </r>
  <r>
    <x v="13"/>
    <x v="336"/>
    <n v="-0.98"/>
    <n v="0.45"/>
    <s v="#6"/>
    <x v="1"/>
    <n v="0.94"/>
    <n v="-0.04"/>
    <n v="0.49"/>
    <n v="0.24010000000000001"/>
    <x v="7"/>
    <s v="NA8RB"/>
    <n v="65"/>
    <s v="NA8RB-65"/>
  </r>
  <r>
    <x v="15"/>
    <x v="345"/>
    <n v="-0.96000000000000008"/>
    <n v="0.45"/>
    <s v="#2"/>
    <x v="1"/>
    <n v="0.93"/>
    <n v="-0.03"/>
    <n v="0.48"/>
    <n v="0.23039999999999999"/>
    <x v="7"/>
    <s v="NA10RB"/>
    <n v="63"/>
    <s v="NA10RB-63"/>
  </r>
  <r>
    <x v="9"/>
    <x v="345"/>
    <s v="0.01-0.89"/>
    <n v="0.45"/>
    <s v="#13"/>
    <x v="1"/>
    <n v="0.89"/>
    <n v="0.01"/>
    <n v="0.44"/>
    <n v="0.19359999999999999"/>
    <x v="7"/>
    <s v="NA15RB"/>
    <n v="76"/>
    <s v="NA15RB-76"/>
  </r>
  <r>
    <x v="12"/>
    <x v="456"/>
    <n v="-1.1200000000000001"/>
    <n v="0.45"/>
    <s v="#4"/>
    <x v="3"/>
    <n v="1.01"/>
    <n v="-0.11"/>
    <n v="0.56000000000000005"/>
    <n v="0.31359999999999999"/>
    <x v="7"/>
    <s v="NA5TE"/>
    <n v="70"/>
    <s v="NA5TE-70"/>
  </r>
  <r>
    <x v="12"/>
    <x v="452"/>
    <n v="-1.22"/>
    <n v="0.45"/>
    <s v="#6"/>
    <x v="1"/>
    <n v="1.06"/>
    <n v="-0.16"/>
    <n v="0.61"/>
    <n v="0.37209999999999999"/>
    <x v="7"/>
    <s v="NA5RB"/>
    <n v="64"/>
    <s v="NA5RB-64"/>
  </r>
  <r>
    <x v="6"/>
    <x v="452"/>
    <s v="0.00-0.90"/>
    <n v="0.45"/>
    <s v="#21"/>
    <x v="1"/>
    <n v="0.9"/>
    <n v="0"/>
    <n v="0.45"/>
    <n v="0.20250000000000001"/>
    <x v="7"/>
    <s v="NA12RB"/>
    <n v="71"/>
    <s v="NA12RB-71"/>
  </r>
  <r>
    <x v="4"/>
    <x v="286"/>
    <n v="-1.04"/>
    <n v="0.45"/>
    <s v="#26"/>
    <x v="3"/>
    <n v="0.97"/>
    <n v="-7.0000000000000007E-2"/>
    <n v="0.52"/>
    <n v="0.27039999999999997"/>
    <x v="7"/>
    <s v="NA7TE"/>
    <n v="70"/>
    <s v="NA7TE-70"/>
  </r>
  <r>
    <x v="5"/>
    <x v="286"/>
    <n v="-0.98"/>
    <n v="0.45"/>
    <s v="#14"/>
    <x v="3"/>
    <n v="0.94"/>
    <n v="-0.04"/>
    <n v="0.49"/>
    <n v="0.24010000000000001"/>
    <x v="7"/>
    <s v="NA13TE"/>
    <n v="78"/>
    <s v="NA13TE-78"/>
  </r>
  <r>
    <x v="14"/>
    <x v="413"/>
    <n v="-1.02"/>
    <n v="0.45"/>
    <s v="#15"/>
    <x v="2"/>
    <n v="0.96"/>
    <n v="-0.06"/>
    <n v="0.51"/>
    <n v="0.2601"/>
    <x v="7"/>
    <s v="NA4WR"/>
    <n v="88"/>
    <s v="NA4WR-88"/>
  </r>
  <r>
    <x v="3"/>
    <x v="346"/>
    <n v="-0.94000000000000006"/>
    <n v="0.45"/>
    <s v="#1"/>
    <x v="2"/>
    <n v="0.92"/>
    <n v="-0.02"/>
    <n v="0.47"/>
    <n v="0.22090000000000001"/>
    <x v="7"/>
    <s v="NA11WR"/>
    <n v="91"/>
    <s v="NA11WR-91"/>
  </r>
  <r>
    <x v="12"/>
    <x v="457"/>
    <n v="-1.1000000000000001"/>
    <n v="0.45"/>
    <s v="#13"/>
    <x v="3"/>
    <n v="1"/>
    <n v="-0.1"/>
    <n v="0.55000000000000004"/>
    <n v="0.30249999999999999"/>
    <x v="7"/>
    <s v="NA5TE"/>
    <n v="71"/>
    <s v="NA5TE-71"/>
  </r>
  <r>
    <x v="16"/>
    <x v="422"/>
    <n v="-1.04"/>
    <n v="0.45"/>
    <s v="#3"/>
    <x v="2"/>
    <n v="0.97"/>
    <n v="-7.0000000000000007E-2"/>
    <n v="0.52"/>
    <n v="0.27039999999999997"/>
    <x v="7"/>
    <s v="NA3WR"/>
    <n v="92"/>
    <s v="NA3WR-92"/>
  </r>
  <r>
    <x v="11"/>
    <x v="376"/>
    <n v="-1"/>
    <n v="0.45"/>
    <s v="#1"/>
    <x v="2"/>
    <n v="0.95"/>
    <n v="-0.05"/>
    <n v="0.5"/>
    <n v="0.25"/>
    <x v="7"/>
    <s v="NA14WR"/>
    <n v="113"/>
    <s v="NA14WR-113"/>
  </r>
  <r>
    <x v="1"/>
    <x v="376"/>
    <n v="-0.98"/>
    <n v="0.45"/>
    <s v="#8"/>
    <x v="2"/>
    <n v="0.94"/>
    <n v="-0.04"/>
    <n v="0.49"/>
    <n v="0.24010000000000001"/>
    <x v="7"/>
    <s v="NA16WR"/>
    <n v="114"/>
    <s v="NA16WR-114"/>
  </r>
  <r>
    <x v="5"/>
    <x v="440"/>
    <n v="-1.08"/>
    <n v="0.45"/>
    <s v="#32"/>
    <x v="2"/>
    <n v="0.99"/>
    <n v="-0.09"/>
    <n v="0.54"/>
    <n v="0.29160000000000003"/>
    <x v="7"/>
    <s v="NA13WR"/>
    <n v="111"/>
    <s v="NA13WR-111"/>
  </r>
  <r>
    <x v="14"/>
    <x v="331"/>
    <n v="-1.06"/>
    <n v="0.45"/>
    <s v="#8"/>
    <x v="3"/>
    <n v="0.98"/>
    <n v="-0.08"/>
    <n v="0.53"/>
    <n v="0.28089999999999998"/>
    <x v="7"/>
    <s v="NA4TE"/>
    <n v="63"/>
    <s v="NA4TE-63"/>
  </r>
  <r>
    <x v="12"/>
    <x v="331"/>
    <n v="-1.1200000000000001"/>
    <n v="0.45"/>
    <s v="#18"/>
    <x v="3"/>
    <n v="1.01"/>
    <n v="-0.11"/>
    <n v="0.56000000000000005"/>
    <n v="0.31359999999999999"/>
    <x v="7"/>
    <s v="NA5TE"/>
    <n v="72"/>
    <s v="NA5TE-72"/>
  </r>
  <r>
    <x v="3"/>
    <x v="466"/>
    <s v="0.03-0.87"/>
    <n v="0.45"/>
    <s v="#7"/>
    <x v="3"/>
    <n v="0.87"/>
    <n v="0.03"/>
    <n v="0.42"/>
    <n v="0.1764"/>
    <x v="7"/>
    <s v="NA11TE"/>
    <n v="62"/>
    <s v="NA11TE-62"/>
  </r>
  <r>
    <x v="1"/>
    <x v="466"/>
    <s v="0.04-0.86"/>
    <n v="0.45"/>
    <s v="#26"/>
    <x v="3"/>
    <n v="0.86"/>
    <n v="0.04"/>
    <n v="0.41"/>
    <n v="0.1681"/>
    <x v="7"/>
    <s v="NA16TE"/>
    <n v="80"/>
    <s v="NA16TE-80"/>
  </r>
  <r>
    <x v="5"/>
    <x v="353"/>
    <n v="-1.26"/>
    <n v="0.45"/>
    <s v="#15"/>
    <x v="2"/>
    <n v="1.08"/>
    <n v="-0.18"/>
    <n v="0.63"/>
    <n v="0.39689999999999998"/>
    <x v="7"/>
    <s v="NA13WR"/>
    <n v="112"/>
    <s v="NA13WR-112"/>
  </r>
  <r>
    <x v="4"/>
    <x v="468"/>
    <s v="0.04-0.86"/>
    <n v="0.45"/>
    <s v="#7"/>
    <x v="3"/>
    <n v="0.86"/>
    <n v="0.04"/>
    <n v="0.41"/>
    <n v="0.1681"/>
    <x v="7"/>
    <s v="NA7TE"/>
    <n v="71"/>
    <s v="NA7TE-71"/>
  </r>
  <r>
    <x v="9"/>
    <x v="468"/>
    <n v="-1.1800000000000002"/>
    <n v="0.45"/>
    <s v="#10"/>
    <x v="3"/>
    <n v="1.04"/>
    <n v="-0.14000000000000001"/>
    <n v="0.59"/>
    <n v="0.34810000000000002"/>
    <x v="7"/>
    <s v="NA15TE"/>
    <n v="76"/>
    <s v="NA15TE-76"/>
  </r>
  <r>
    <x v="0"/>
    <x v="468"/>
    <n v="-1.2"/>
    <n v="0.45"/>
    <s v="#12"/>
    <x v="3"/>
    <n v="1.05"/>
    <n v="-0.15"/>
    <n v="0.6"/>
    <n v="0.36"/>
    <x v="7"/>
    <s v="NA17TE"/>
    <n v="77"/>
    <s v="NA17TE-77"/>
  </r>
  <r>
    <x v="2"/>
    <x v="411"/>
    <n v="-1.02"/>
    <n v="0.45"/>
    <s v="#8"/>
    <x v="1"/>
    <n v="0.96"/>
    <n v="-0.06"/>
    <n v="0.51"/>
    <n v="0.2601"/>
    <x v="7"/>
    <s v="NA9RB"/>
    <n v="58"/>
    <s v="NA9RB-58"/>
  </r>
  <r>
    <x v="11"/>
    <x v="269"/>
    <n v="-1.22"/>
    <n v="0.45"/>
    <s v="#23"/>
    <x v="2"/>
    <n v="1.06"/>
    <n v="-0.16"/>
    <n v="0.61"/>
    <n v="0.37209999999999999"/>
    <x v="7"/>
    <s v="NA14WR"/>
    <n v="114"/>
    <s v="NA14WR-114"/>
  </r>
  <r>
    <x v="5"/>
    <x v="377"/>
    <n v="-1"/>
    <n v="0.45"/>
    <s v="#8"/>
    <x v="2"/>
    <n v="0.95"/>
    <n v="-0.05"/>
    <n v="0.5"/>
    <n v="0.25"/>
    <x v="7"/>
    <s v="NA13WR"/>
    <n v="113"/>
    <s v="NA13WR-113"/>
  </r>
  <r>
    <x v="0"/>
    <x v="438"/>
    <n v="-0.96000000000000008"/>
    <n v="0.45"/>
    <s v="#31"/>
    <x v="3"/>
    <n v="0.93"/>
    <n v="-0.03"/>
    <n v="0.48"/>
    <n v="0.23039999999999999"/>
    <x v="7"/>
    <s v="NA17TE"/>
    <n v="78"/>
    <s v="NA17TE-78"/>
  </r>
  <r>
    <x v="16"/>
    <x v="333"/>
    <n v="-0.96000000000000008"/>
    <n v="0.45"/>
    <s v="#12"/>
    <x v="3"/>
    <n v="0.93"/>
    <n v="-0.03"/>
    <n v="0.48"/>
    <n v="0.23039999999999999"/>
    <x v="7"/>
    <s v="NA3TE"/>
    <n v="65"/>
    <s v="NA3TE-65"/>
  </r>
  <r>
    <x v="14"/>
    <x v="399"/>
    <n v="-1.2"/>
    <n v="0.45"/>
    <s v="#27"/>
    <x v="2"/>
    <n v="1.05"/>
    <n v="-0.15"/>
    <n v="0.6"/>
    <n v="0.36"/>
    <x v="7"/>
    <s v="NA4WR"/>
    <n v="89"/>
    <s v="NA4WR-89"/>
  </r>
  <r>
    <x v="4"/>
    <x v="102"/>
    <s v="0.02-0.88"/>
    <n v="0.45"/>
    <s v="#9"/>
    <x v="0"/>
    <n v="0.88"/>
    <n v="0.02"/>
    <n v="0.43"/>
    <n v="0.18490000000000001"/>
    <x v="7"/>
    <s v="NA7QB"/>
    <n v="36"/>
    <s v="NA7QB-36"/>
  </r>
  <r>
    <x v="5"/>
    <x v="102"/>
    <s v="0.02-0.88"/>
    <n v="0.45"/>
    <s v="#24"/>
    <x v="0"/>
    <n v="0.88"/>
    <n v="0.02"/>
    <n v="0.43"/>
    <n v="0.18490000000000001"/>
    <x v="7"/>
    <s v="NA13QB"/>
    <n v="41"/>
    <s v="NA13QB-41"/>
  </r>
  <r>
    <x v="6"/>
    <x v="447"/>
    <s v="0.00-0.90"/>
    <n v="0.45"/>
    <s v="#5"/>
    <x v="1"/>
    <n v="0.9"/>
    <n v="0"/>
    <n v="0.45"/>
    <n v="0.20250000000000001"/>
    <x v="7"/>
    <s v="NA12RB"/>
    <n v="72"/>
    <s v="NA12RB-72"/>
  </r>
  <r>
    <x v="14"/>
    <x v="446"/>
    <n v="-1.26"/>
    <n v="0.45"/>
    <s v="#28"/>
    <x v="2"/>
    <n v="1.08"/>
    <n v="-0.18"/>
    <n v="0.63"/>
    <n v="0.39689999999999998"/>
    <x v="7"/>
    <s v="NA4WR"/>
    <n v="90"/>
    <s v="NA4WR-90"/>
  </r>
  <r>
    <x v="2"/>
    <x v="446"/>
    <n v="-1.06"/>
    <n v="0.45"/>
    <s v="#14"/>
    <x v="2"/>
    <n v="0.98"/>
    <n v="-0.08"/>
    <n v="0.53"/>
    <n v="0.28089999999999998"/>
    <x v="7"/>
    <s v="NA9WR"/>
    <n v="98"/>
    <s v="NA9WR-98"/>
  </r>
  <r>
    <x v="5"/>
    <x v="446"/>
    <n v="-1.1600000000000001"/>
    <n v="0.45"/>
    <s v="#30"/>
    <x v="2"/>
    <n v="1.03"/>
    <n v="-0.13"/>
    <n v="0.57999999999999996"/>
    <n v="0.33639999999999998"/>
    <x v="7"/>
    <s v="NA13WR"/>
    <n v="114"/>
    <s v="NA13WR-114"/>
  </r>
  <r>
    <x v="10"/>
    <x v="409"/>
    <n v="-1.58"/>
    <n v="0.45"/>
    <s v="#20"/>
    <x v="1"/>
    <n v="1.24"/>
    <n v="-0.34"/>
    <n v="0.79"/>
    <n v="0.62409999999999999"/>
    <x v="7"/>
    <s v="NA2RB"/>
    <n v="50"/>
    <s v="NA2RB-50"/>
  </r>
  <r>
    <x v="15"/>
    <x v="386"/>
    <n v="-1.06"/>
    <n v="0.45"/>
    <s v="#3"/>
    <x v="1"/>
    <n v="0.98"/>
    <n v="-0.08"/>
    <n v="0.53"/>
    <n v="0.28089999999999998"/>
    <x v="7"/>
    <s v="NA10RB"/>
    <n v="64"/>
    <s v="NA10RB-64"/>
  </r>
  <r>
    <x v="0"/>
    <x v="430"/>
    <n v="-0.98"/>
    <n v="0.45"/>
    <s v="#8"/>
    <x v="1"/>
    <n v="0.94"/>
    <n v="-0.04"/>
    <n v="0.49"/>
    <n v="0.24010000000000001"/>
    <x v="7"/>
    <s v="NA17RB"/>
    <n v="72"/>
    <s v="NA17RB-72"/>
  </r>
  <r>
    <x v="4"/>
    <x v="455"/>
    <n v="-0.98"/>
    <n v="0.45"/>
    <s v="#1"/>
    <x v="0"/>
    <n v="0.94"/>
    <n v="-0.04"/>
    <n v="0.49"/>
    <n v="0.24010000000000001"/>
    <x v="7"/>
    <s v="NA7QB"/>
    <n v="37"/>
    <s v="NA7QB-37"/>
  </r>
  <r>
    <x v="3"/>
    <x v="455"/>
    <n v="-0.96000000000000008"/>
    <n v="0.45"/>
    <s v="#6"/>
    <x v="0"/>
    <n v="0.93"/>
    <n v="-0.03"/>
    <n v="0.48"/>
    <n v="0.23039999999999999"/>
    <x v="7"/>
    <s v="NA11QB"/>
    <n v="32"/>
    <s v="NA11QB-32"/>
  </r>
  <r>
    <x v="1"/>
    <x v="354"/>
    <n v="-0.94000000000000006"/>
    <n v="0.44"/>
    <s v="#2"/>
    <x v="2"/>
    <n v="0.91"/>
    <n v="-0.03"/>
    <n v="0.47"/>
    <n v="0.22090000000000001"/>
    <x v="7"/>
    <s v="NA16WR"/>
    <n v="115"/>
    <s v="NA16WR-115"/>
  </r>
  <r>
    <x v="10"/>
    <x v="381"/>
    <n v="-1.08"/>
    <n v="0.44"/>
    <s v="#20"/>
    <x v="2"/>
    <n v="0.98"/>
    <n v="-0.1"/>
    <n v="0.54"/>
    <n v="0.29160000000000003"/>
    <x v="7"/>
    <s v="NA2WR"/>
    <n v="82"/>
    <s v="NA2WR-82"/>
  </r>
  <r>
    <x v="8"/>
    <x v="471"/>
    <n v="-1.2"/>
    <n v="0.44"/>
    <s v="#9"/>
    <x v="2"/>
    <n v="1.04"/>
    <n v="-0.16"/>
    <n v="0.6"/>
    <n v="0.36"/>
    <x v="7"/>
    <s v="NA6WR"/>
    <n v="108"/>
    <s v="NA6WR-108"/>
  </r>
  <r>
    <x v="6"/>
    <x v="471"/>
    <n v="-1.2"/>
    <n v="0.44"/>
    <s v="#17"/>
    <x v="2"/>
    <n v="1.04"/>
    <n v="-0.16"/>
    <n v="0.6"/>
    <n v="0.36"/>
    <x v="7"/>
    <s v="NA12WR"/>
    <n v="111"/>
    <s v="NA12WR-111"/>
  </r>
  <r>
    <x v="1"/>
    <x v="471"/>
    <n v="-1.2"/>
    <n v="0.44"/>
    <s v="#21"/>
    <x v="2"/>
    <n v="1.04"/>
    <n v="-0.16"/>
    <n v="0.6"/>
    <n v="0.36"/>
    <x v="7"/>
    <s v="NA16WR"/>
    <n v="116"/>
    <s v="NA16WR-116"/>
  </r>
  <r>
    <x v="9"/>
    <x v="400"/>
    <n v="-0.98000000000000009"/>
    <n v="0.44"/>
    <s v="#26"/>
    <x v="1"/>
    <n v="0.93"/>
    <n v="-0.05"/>
    <n v="0.49"/>
    <n v="0.24010000000000001"/>
    <x v="7"/>
    <s v="NA15RB"/>
    <n v="77"/>
    <s v="NA15RB-77"/>
  </r>
  <r>
    <x v="1"/>
    <x v="339"/>
    <n v="-0.94000000000000006"/>
    <n v="0.44"/>
    <s v="#6"/>
    <x v="1"/>
    <n v="0.91"/>
    <n v="-0.03"/>
    <n v="0.47"/>
    <n v="0.22090000000000001"/>
    <x v="7"/>
    <s v="NA16RB"/>
    <n v="72"/>
    <s v="NA16RB-72"/>
  </r>
  <r>
    <x v="15"/>
    <x v="461"/>
    <n v="-1.02"/>
    <n v="0.44"/>
    <s v="#13"/>
    <x v="0"/>
    <n v="0.95"/>
    <n v="-7.0000000000000007E-2"/>
    <n v="0.51"/>
    <n v="0.2601"/>
    <x v="7"/>
    <s v="NA10QB"/>
    <n v="34"/>
    <s v="NA10QB-34"/>
  </r>
  <r>
    <x v="13"/>
    <x v="457"/>
    <n v="-1.1000000000000001"/>
    <n v="0.44"/>
    <s v="#13"/>
    <x v="3"/>
    <n v="0.99"/>
    <n v="-0.11"/>
    <n v="0.55000000000000004"/>
    <n v="0.30249999999999999"/>
    <x v="7"/>
    <s v="NA8TE"/>
    <n v="67"/>
    <s v="NA8TE-67"/>
  </r>
  <r>
    <x v="3"/>
    <x v="342"/>
    <n v="-1.06"/>
    <n v="0.44"/>
    <s v="#15"/>
    <x v="2"/>
    <n v="0.97"/>
    <n v="-0.09"/>
    <n v="0.53"/>
    <n v="0.28089999999999998"/>
    <x v="7"/>
    <s v="NA11WR"/>
    <n v="92"/>
    <s v="NA11WR-92"/>
  </r>
  <r>
    <x v="6"/>
    <x v="428"/>
    <n v="-1.02"/>
    <n v="0.44"/>
    <s v="#1"/>
    <x v="1"/>
    <n v="0.95"/>
    <n v="-7.0000000000000007E-2"/>
    <n v="0.51"/>
    <n v="0.2601"/>
    <x v="7"/>
    <s v="NA12RB"/>
    <n v="73"/>
    <s v="NA12RB-73"/>
  </r>
  <r>
    <x v="0"/>
    <x v="440"/>
    <n v="-1.08"/>
    <n v="0.44"/>
    <s v="#32"/>
    <x v="2"/>
    <n v="0.98"/>
    <n v="-0.1"/>
    <n v="0.54"/>
    <n v="0.29160000000000003"/>
    <x v="7"/>
    <s v="NA17WR"/>
    <n v="119"/>
    <s v="NA17WR-119"/>
  </r>
  <r>
    <x v="2"/>
    <x v="466"/>
    <s v="0.03-0.85"/>
    <n v="0.44"/>
    <s v="#26"/>
    <x v="3"/>
    <n v="0.85"/>
    <n v="0.03"/>
    <n v="0.41"/>
    <n v="0.1681"/>
    <x v="7"/>
    <s v="NA9TE"/>
    <n v="62"/>
    <s v="NA9TE-62"/>
  </r>
  <r>
    <x v="11"/>
    <x v="466"/>
    <s v="0.02-0.86"/>
    <n v="0.44"/>
    <s v="#13"/>
    <x v="3"/>
    <n v="0.86"/>
    <n v="0.02"/>
    <n v="0.42"/>
    <n v="0.1764"/>
    <x v="7"/>
    <s v="NA14TE"/>
    <n v="80"/>
    <s v="NA14TE-80"/>
  </r>
  <r>
    <x v="16"/>
    <x v="442"/>
    <n v="-1.1200000000000001"/>
    <n v="0.44"/>
    <s v="#26"/>
    <x v="3"/>
    <n v="1"/>
    <n v="-0.12"/>
    <n v="0.56000000000000005"/>
    <n v="0.31359999999999999"/>
    <x v="7"/>
    <s v="NA3TE"/>
    <n v="66"/>
    <s v="NA3TE-66"/>
  </r>
  <r>
    <x v="13"/>
    <x v="442"/>
    <n v="-0.94000000000000006"/>
    <n v="0.44"/>
    <s v="#17"/>
    <x v="3"/>
    <n v="0.91"/>
    <n v="-0.03"/>
    <n v="0.47"/>
    <n v="0.22090000000000001"/>
    <x v="7"/>
    <s v="NA8TE"/>
    <n v="68"/>
    <s v="NA8TE-68"/>
  </r>
  <r>
    <x v="6"/>
    <x v="442"/>
    <n v="-0.92"/>
    <n v="0.44"/>
    <s v="#3"/>
    <x v="3"/>
    <n v="0.9"/>
    <n v="-0.02"/>
    <n v="0.46"/>
    <n v="0.21160000000000001"/>
    <x v="7"/>
    <s v="NA12TE"/>
    <n v="75"/>
    <s v="NA12TE-75"/>
  </r>
  <r>
    <x v="7"/>
    <x v="432"/>
    <s v="0.06-0.82"/>
    <n v="0.44"/>
    <s v="#8"/>
    <x v="2"/>
    <n v="0.82"/>
    <n v="0.06"/>
    <n v="0.38"/>
    <n v="0.1444"/>
    <x v="7"/>
    <s v="NA1WR"/>
    <n v="77"/>
    <s v="NA1WR-77"/>
  </r>
  <r>
    <x v="10"/>
    <x v="432"/>
    <n v="-1.02"/>
    <n v="0.44"/>
    <s v="#25"/>
    <x v="2"/>
    <n v="0.95"/>
    <n v="-7.0000000000000007E-2"/>
    <n v="0.51"/>
    <n v="0.2601"/>
    <x v="7"/>
    <s v="NA2WR"/>
    <n v="83"/>
    <s v="NA2WR-83"/>
  </r>
  <r>
    <x v="7"/>
    <x v="378"/>
    <n v="-1.22"/>
    <n v="0.44"/>
    <s v="#9"/>
    <x v="2"/>
    <n v="1.05"/>
    <n v="-0.17"/>
    <n v="0.61"/>
    <n v="0.37209999999999999"/>
    <x v="7"/>
    <s v="NA1WR"/>
    <n v="78"/>
    <s v="NA1WR-78"/>
  </r>
  <r>
    <x v="0"/>
    <x v="411"/>
    <n v="-1.02"/>
    <n v="0.44"/>
    <s v="#16"/>
    <x v="1"/>
    <n v="0.95"/>
    <n v="-7.0000000000000007E-2"/>
    <n v="0.51"/>
    <n v="0.2601"/>
    <x v="7"/>
    <s v="NA17RB"/>
    <n v="73"/>
    <s v="NA17RB-73"/>
  </r>
  <r>
    <x v="14"/>
    <x v="464"/>
    <n v="-0.98000000000000009"/>
    <n v="0.44"/>
    <s v="#21"/>
    <x v="3"/>
    <n v="0.93"/>
    <n v="-0.05"/>
    <n v="0.49"/>
    <n v="0.24010000000000001"/>
    <x v="7"/>
    <s v="NA4TE"/>
    <n v="64"/>
    <s v="NA4TE-64"/>
  </r>
  <r>
    <x v="15"/>
    <x v="464"/>
    <n v="-0.92"/>
    <n v="0.44"/>
    <s v="#4"/>
    <x v="3"/>
    <n v="0.9"/>
    <n v="-0.02"/>
    <n v="0.46"/>
    <n v="0.21160000000000001"/>
    <x v="7"/>
    <s v="NA10TE"/>
    <n v="68"/>
    <s v="NA10TE-68"/>
  </r>
  <r>
    <x v="12"/>
    <x v="453"/>
    <n v="-1.04"/>
    <n v="0.44"/>
    <s v="#4"/>
    <x v="3"/>
    <n v="0.96"/>
    <n v="-0.08"/>
    <n v="0.52"/>
    <n v="0.27039999999999997"/>
    <x v="7"/>
    <s v="NA5TE"/>
    <n v="73"/>
    <s v="NA5TE-73"/>
  </r>
  <r>
    <x v="11"/>
    <x v="453"/>
    <n v="-1.04"/>
    <n v="0.44"/>
    <s v="#18"/>
    <x v="3"/>
    <n v="0.96"/>
    <n v="-0.08"/>
    <n v="0.52"/>
    <n v="0.27039999999999997"/>
    <x v="7"/>
    <s v="NA14TE"/>
    <n v="81"/>
    <s v="NA14TE-81"/>
  </r>
  <r>
    <x v="16"/>
    <x v="444"/>
    <n v="-1.2"/>
    <n v="0.44"/>
    <s v="#13"/>
    <x v="1"/>
    <n v="1.04"/>
    <n v="-0.16"/>
    <n v="0.6"/>
    <n v="0.36"/>
    <x v="7"/>
    <s v="NA3RB"/>
    <n v="55"/>
    <s v="NA3RB-55"/>
  </r>
  <r>
    <x v="14"/>
    <x v="444"/>
    <s v="0.03-0.85"/>
    <n v="0.44"/>
    <s v="#31"/>
    <x v="1"/>
    <n v="0.85"/>
    <n v="0.03"/>
    <n v="0.41"/>
    <n v="0.1681"/>
    <x v="7"/>
    <s v="NA4RB"/>
    <n v="55"/>
    <s v="NA4RB-55"/>
  </r>
  <r>
    <x v="11"/>
    <x v="393"/>
    <s v="0.00-0.88"/>
    <n v="0.44"/>
    <s v="#8"/>
    <x v="1"/>
    <n v="0.88"/>
    <n v="0"/>
    <n v="0.44"/>
    <n v="0.19359999999999999"/>
    <x v="7"/>
    <s v="NA14RB"/>
    <n v="72"/>
    <s v="NA14RB-72"/>
  </r>
  <r>
    <x v="5"/>
    <x v="445"/>
    <n v="-1.1000000000000001"/>
    <n v="0.44"/>
    <s v="#4"/>
    <x v="3"/>
    <n v="0.99"/>
    <n v="-0.11"/>
    <n v="0.55000000000000004"/>
    <n v="0.30249999999999999"/>
    <x v="7"/>
    <s v="NA13TE"/>
    <n v="79"/>
    <s v="NA13TE-79"/>
  </r>
  <r>
    <x v="8"/>
    <x v="102"/>
    <s v="0.02-0.86"/>
    <n v="0.44"/>
    <s v="#27"/>
    <x v="0"/>
    <n v="0.86"/>
    <n v="0.02"/>
    <n v="0.42"/>
    <n v="0.1764"/>
    <x v="7"/>
    <s v="NA6QB"/>
    <n v="39"/>
    <s v="NA6QB-39"/>
  </r>
  <r>
    <x v="15"/>
    <x v="102"/>
    <s v="0.02-0.86"/>
    <n v="0.44"/>
    <s v="#4"/>
    <x v="0"/>
    <n v="0.86"/>
    <n v="0.02"/>
    <n v="0.42"/>
    <n v="0.1764"/>
    <x v="7"/>
    <s v="NA10QB"/>
    <n v="35"/>
    <s v="NA10QB-35"/>
  </r>
  <r>
    <x v="9"/>
    <x v="102"/>
    <s v="0.01-0.87"/>
    <n v="0.44"/>
    <s v="#28"/>
    <x v="0"/>
    <n v="0.87"/>
    <n v="0.01"/>
    <n v="0.43"/>
    <n v="0.18490000000000001"/>
    <x v="7"/>
    <s v="NA15QB"/>
    <n v="41"/>
    <s v="NA15QB-41"/>
  </r>
  <r>
    <x v="10"/>
    <x v="446"/>
    <n v="-1.1000000000000001"/>
    <n v="0.44"/>
    <s v="#22"/>
    <x v="2"/>
    <n v="0.99"/>
    <n v="-0.11"/>
    <n v="0.55000000000000004"/>
    <n v="0.30249999999999999"/>
    <x v="7"/>
    <s v="NA2WR"/>
    <n v="84"/>
    <s v="NA2WR-84"/>
  </r>
  <r>
    <x v="13"/>
    <x v="429"/>
    <s v="0.01-0.87"/>
    <n v="0.44"/>
    <s v="#7"/>
    <x v="1"/>
    <n v="0.87"/>
    <n v="0.01"/>
    <n v="0.43"/>
    <n v="0.18490000000000001"/>
    <x v="7"/>
    <s v="NA8RB"/>
    <n v="66"/>
    <s v="NA8RB-66"/>
  </r>
  <r>
    <x v="0"/>
    <x v="429"/>
    <s v="0.06-0.82"/>
    <n v="0.44"/>
    <s v="#2"/>
    <x v="1"/>
    <n v="0.82"/>
    <n v="0.06"/>
    <n v="0.38"/>
    <n v="0.1444"/>
    <x v="7"/>
    <s v="NA17RB"/>
    <n v="74"/>
    <s v="NA17RB-74"/>
  </r>
  <r>
    <x v="7"/>
    <x v="254"/>
    <n v="-1.36"/>
    <n v="0.44"/>
    <s v="#15"/>
    <x v="2"/>
    <n v="1.1200000000000001"/>
    <n v="-0.24"/>
    <n v="0.68"/>
    <n v="0.46239999999999998"/>
    <x v="7"/>
    <s v="NA1WR"/>
    <n v="79"/>
    <s v="NA1WR-79"/>
  </r>
  <r>
    <x v="0"/>
    <x v="386"/>
    <n v="-0.94000000000000006"/>
    <n v="0.44"/>
    <s v="#14"/>
    <x v="1"/>
    <n v="0.91"/>
    <n v="-0.03"/>
    <n v="0.47"/>
    <n v="0.22090000000000001"/>
    <x v="7"/>
    <s v="NA17RB"/>
    <n v="75"/>
    <s v="NA17RB-75"/>
  </r>
  <r>
    <x v="11"/>
    <x v="403"/>
    <n v="-0.92"/>
    <n v="0.44"/>
    <s v="#8"/>
    <x v="1"/>
    <n v="0.9"/>
    <n v="-0.02"/>
    <n v="0.46"/>
    <n v="0.21160000000000001"/>
    <x v="7"/>
    <s v="NA14RB"/>
    <n v="73"/>
    <s v="NA14RB-73"/>
  </r>
  <r>
    <x v="13"/>
    <x v="424"/>
    <s v="0.03-0.85"/>
    <n v="0.44"/>
    <s v="#22"/>
    <x v="1"/>
    <n v="0.85"/>
    <n v="0.03"/>
    <n v="0.41"/>
    <n v="0.1681"/>
    <x v="7"/>
    <s v="NA8RB"/>
    <n v="67"/>
    <s v="NA8RB-67"/>
  </r>
  <r>
    <x v="1"/>
    <x v="424"/>
    <n v="-1"/>
    <n v="0.44"/>
    <s v="#14"/>
    <x v="1"/>
    <n v="0.94"/>
    <n v="-0.06"/>
    <n v="0.5"/>
    <n v="0.25"/>
    <x v="7"/>
    <s v="NA16RB"/>
    <n v="73"/>
    <s v="NA16RB-73"/>
  </r>
  <r>
    <x v="6"/>
    <x v="344"/>
    <n v="-1.04"/>
    <n v="0.44"/>
    <s v="#14"/>
    <x v="2"/>
    <n v="0.96"/>
    <n v="-0.08"/>
    <n v="0.52"/>
    <n v="0.27039999999999997"/>
    <x v="7"/>
    <s v="NA12WR"/>
    <n v="112"/>
    <s v="NA12WR-112"/>
  </r>
  <r>
    <x v="5"/>
    <x v="344"/>
    <n v="-1.06"/>
    <n v="0.44"/>
    <s v="#2"/>
    <x v="2"/>
    <n v="0.97"/>
    <n v="-0.09"/>
    <n v="0.53"/>
    <n v="0.28089999999999998"/>
    <x v="7"/>
    <s v="NA13WR"/>
    <n v="115"/>
    <s v="NA13WR-115"/>
  </r>
  <r>
    <x v="13"/>
    <x v="455"/>
    <n v="-1.06"/>
    <n v="0.44"/>
    <s v="#26"/>
    <x v="0"/>
    <n v="0.97"/>
    <n v="-0.09"/>
    <n v="0.53"/>
    <n v="0.28089999999999998"/>
    <x v="7"/>
    <s v="NA8QB"/>
    <n v="35"/>
    <s v="NA8QB-35"/>
  </r>
  <r>
    <x v="10"/>
    <x v="470"/>
    <s v="0.01-0.87"/>
    <n v="0.44"/>
    <s v="#17"/>
    <x v="1"/>
    <n v="0.87"/>
    <n v="0.01"/>
    <n v="0.43"/>
    <n v="0.18490000000000001"/>
    <x v="7"/>
    <s v="NA2RB"/>
    <n v="51"/>
    <s v="NA2RB-51"/>
  </r>
  <r>
    <x v="1"/>
    <x v="470"/>
    <n v="-1.1600000000000001"/>
    <n v="0.44"/>
    <s v="#24"/>
    <x v="1"/>
    <n v="1.02"/>
    <n v="-0.14000000000000001"/>
    <n v="0.57999999999999996"/>
    <n v="0.33639999999999998"/>
    <x v="7"/>
    <s v="NA16RB"/>
    <n v="74"/>
    <s v="NA16RB-74"/>
  </r>
  <r>
    <x v="11"/>
    <x v="458"/>
    <n v="-1"/>
    <n v="0.44"/>
    <s v="#8"/>
    <x v="3"/>
    <n v="0.94"/>
    <n v="-0.06"/>
    <n v="0.5"/>
    <n v="0.25"/>
    <x v="7"/>
    <s v="NA14TE"/>
    <n v="82"/>
    <s v="NA14TE-82"/>
  </r>
  <r>
    <x v="14"/>
    <x v="307"/>
    <n v="-1.1400000000000001"/>
    <n v="0.43"/>
    <s v="#10"/>
    <x v="2"/>
    <n v="1"/>
    <n v="-0.14000000000000001"/>
    <n v="0.56999999999999995"/>
    <n v="0.32490000000000002"/>
    <x v="7"/>
    <s v="NA4WR"/>
    <n v="91"/>
    <s v="NA4WR-91"/>
  </r>
  <r>
    <x v="4"/>
    <x v="425"/>
    <n v="-1.02"/>
    <n v="0.43"/>
    <s v="#6"/>
    <x v="1"/>
    <n v="0.94"/>
    <n v="-0.08"/>
    <n v="0.51"/>
    <n v="0.2601"/>
    <x v="7"/>
    <s v="NA7RB"/>
    <n v="62"/>
    <s v="NA7RB-62"/>
  </r>
  <r>
    <x v="8"/>
    <x v="354"/>
    <s v="0.03-0.83"/>
    <n v="0.43"/>
    <s v="#15"/>
    <x v="2"/>
    <n v="0.83"/>
    <n v="0.03"/>
    <n v="0.4"/>
    <n v="0.16"/>
    <x v="7"/>
    <s v="NA6WR"/>
    <n v="109"/>
    <s v="NA6WR-109"/>
  </r>
  <r>
    <x v="0"/>
    <x v="354"/>
    <s v="0.03-0.83"/>
    <n v="0.43"/>
    <s v="#15"/>
    <x v="2"/>
    <n v="0.83"/>
    <n v="0.03"/>
    <n v="0.4"/>
    <n v="0.16"/>
    <x v="7"/>
    <s v="NA17WR"/>
    <n v="120"/>
    <s v="NA17WR-120"/>
  </r>
  <r>
    <x v="0"/>
    <x v="381"/>
    <n v="-0.9"/>
    <n v="0.43"/>
    <s v="#24"/>
    <x v="2"/>
    <n v="0.88"/>
    <n v="-0.02"/>
    <n v="0.45"/>
    <n v="0.20250000000000001"/>
    <x v="7"/>
    <s v="NA17WR"/>
    <n v="121"/>
    <s v="NA17WR-121"/>
  </r>
  <r>
    <x v="16"/>
    <x v="471"/>
    <n v="-1.18"/>
    <n v="0.43"/>
    <s v="#2"/>
    <x v="2"/>
    <n v="1.02"/>
    <n v="-0.16"/>
    <n v="0.59"/>
    <n v="0.34810000000000002"/>
    <x v="7"/>
    <s v="NA3WR"/>
    <n v="93"/>
    <s v="NA3WR-93"/>
  </r>
  <r>
    <x v="14"/>
    <x v="400"/>
    <s v="0.01-0.85"/>
    <n v="0.43"/>
    <s v="#17"/>
    <x v="1"/>
    <n v="0.85"/>
    <n v="0.01"/>
    <n v="0.42"/>
    <n v="0.1764"/>
    <x v="7"/>
    <s v="NA4RB"/>
    <n v="56"/>
    <s v="NA4RB-56"/>
  </r>
  <r>
    <x v="1"/>
    <x v="345"/>
    <n v="-1"/>
    <n v="0.43"/>
    <s v="#7"/>
    <x v="1"/>
    <n v="0.93"/>
    <n v="-7.0000000000000007E-2"/>
    <n v="0.5"/>
    <n v="0.25"/>
    <x v="7"/>
    <s v="NA16RB"/>
    <n v="75"/>
    <s v="NA16RB-75"/>
  </r>
  <r>
    <x v="13"/>
    <x v="452"/>
    <n v="-0.9"/>
    <n v="0.43"/>
    <s v="#30"/>
    <x v="1"/>
    <n v="0.88"/>
    <n v="-0.02"/>
    <n v="0.45"/>
    <n v="0.20250000000000001"/>
    <x v="7"/>
    <s v="NA8RB"/>
    <n v="68"/>
    <s v="NA8RB-68"/>
  </r>
  <r>
    <x v="11"/>
    <x v="461"/>
    <n v="-0.96000000000000008"/>
    <n v="0.43"/>
    <s v="#1"/>
    <x v="0"/>
    <n v="0.91"/>
    <n v="-0.05"/>
    <n v="0.48"/>
    <n v="0.23039999999999999"/>
    <x v="7"/>
    <s v="NA14QB"/>
    <n v="41"/>
    <s v="NA14QB-41"/>
  </r>
  <r>
    <x v="15"/>
    <x v="286"/>
    <n v="-0.98"/>
    <n v="0.43"/>
    <s v="#11"/>
    <x v="3"/>
    <n v="0.92"/>
    <n v="-0.06"/>
    <n v="0.49"/>
    <n v="0.24010000000000001"/>
    <x v="7"/>
    <s v="NA10TE"/>
    <n v="69"/>
    <s v="NA10TE-69"/>
  </r>
  <r>
    <x v="6"/>
    <x v="286"/>
    <n v="-0.88"/>
    <n v="0.43"/>
    <s v="#17"/>
    <x v="3"/>
    <n v="0.87"/>
    <n v="-0.01"/>
    <n v="0.44"/>
    <n v="0.19359999999999999"/>
    <x v="7"/>
    <s v="NA12TE"/>
    <n v="76"/>
    <s v="NA12TE-76"/>
  </r>
  <r>
    <x v="2"/>
    <x v="284"/>
    <n v="-0.96000000000000008"/>
    <n v="0.43"/>
    <s v="#31"/>
    <x v="3"/>
    <n v="0.91"/>
    <n v="-0.05"/>
    <n v="0.48"/>
    <n v="0.23039999999999999"/>
    <x v="7"/>
    <s v="NA9TE"/>
    <n v="63"/>
    <s v="NA9TE-63"/>
  </r>
  <r>
    <x v="12"/>
    <x v="317"/>
    <n v="-1.34"/>
    <n v="0.43"/>
    <s v="#29"/>
    <x v="2"/>
    <n v="1.1000000000000001"/>
    <n v="-0.24"/>
    <n v="0.67"/>
    <n v="0.44890000000000002"/>
    <x v="7"/>
    <s v="NA5WR"/>
    <n v="103"/>
    <s v="NA5WR-103"/>
  </r>
  <r>
    <x v="11"/>
    <x v="428"/>
    <n v="-0.94000000000000006"/>
    <n v="0.43"/>
    <s v="#15"/>
    <x v="1"/>
    <n v="0.9"/>
    <n v="-0.04"/>
    <n v="0.47"/>
    <n v="0.22090000000000001"/>
    <x v="7"/>
    <s v="NA14RB"/>
    <n v="74"/>
    <s v="NA14RB-74"/>
  </r>
  <r>
    <x v="8"/>
    <x v="440"/>
    <n v="-0.92"/>
    <n v="0.43"/>
    <s v="#8"/>
    <x v="2"/>
    <n v="0.89"/>
    <n v="-0.03"/>
    <n v="0.46"/>
    <n v="0.21160000000000001"/>
    <x v="7"/>
    <s v="NA6WR"/>
    <n v="110"/>
    <s v="NA6WR-110"/>
  </r>
  <r>
    <x v="9"/>
    <x v="440"/>
    <n v="-0.96000000000000008"/>
    <n v="0.43"/>
    <s v="#19"/>
    <x v="2"/>
    <n v="0.91"/>
    <n v="-0.05"/>
    <n v="0.48"/>
    <n v="0.23039999999999999"/>
    <x v="7"/>
    <s v="NA15WR"/>
    <n v="114"/>
    <s v="NA15WR-114"/>
  </r>
  <r>
    <x v="0"/>
    <x v="331"/>
    <n v="-1.06"/>
    <n v="0.43"/>
    <s v="#8"/>
    <x v="3"/>
    <n v="0.96"/>
    <n v="-0.1"/>
    <n v="0.53"/>
    <n v="0.28089999999999998"/>
    <x v="7"/>
    <s v="NA17TE"/>
    <n v="79"/>
    <s v="NA17TE-79"/>
  </r>
  <r>
    <x v="7"/>
    <x v="466"/>
    <n v="-0.98"/>
    <n v="0.43"/>
    <s v="#4"/>
    <x v="3"/>
    <n v="0.92"/>
    <n v="-0.06"/>
    <n v="0.49"/>
    <n v="0.24010000000000001"/>
    <x v="7"/>
    <s v="NA1TE"/>
    <n v="57"/>
    <s v="NA1TE-57"/>
  </r>
  <r>
    <x v="6"/>
    <x v="466"/>
    <s v="0.01-0.85"/>
    <n v="0.43"/>
    <s v="#5"/>
    <x v="3"/>
    <n v="0.85"/>
    <n v="0.01"/>
    <n v="0.42"/>
    <n v="0.1764"/>
    <x v="7"/>
    <s v="NA12TE"/>
    <n v="77"/>
    <s v="NA12TE-77"/>
  </r>
  <r>
    <x v="15"/>
    <x v="351"/>
    <s v="0.03-0.83"/>
    <n v="0.43"/>
    <s v="#14"/>
    <x v="3"/>
    <n v="0.83"/>
    <n v="0.03"/>
    <n v="0.4"/>
    <n v="0.16"/>
    <x v="7"/>
    <s v="NA10TE"/>
    <n v="70"/>
    <s v="NA10TE-70"/>
  </r>
  <r>
    <x v="5"/>
    <x v="351"/>
    <s v="0.05-0.81"/>
    <n v="0.43"/>
    <s v="#26"/>
    <x v="3"/>
    <n v="0.81"/>
    <n v="0.05"/>
    <n v="0.38"/>
    <n v="0.1444"/>
    <x v="7"/>
    <s v="NA13TE"/>
    <n v="80"/>
    <s v="NA13TE-80"/>
  </r>
  <r>
    <x v="9"/>
    <x v="351"/>
    <n v="-0.88"/>
    <n v="0.43"/>
    <s v="#15"/>
    <x v="3"/>
    <n v="0.87"/>
    <n v="-0.01"/>
    <n v="0.44"/>
    <n v="0.19359999999999999"/>
    <x v="7"/>
    <s v="NA15TE"/>
    <n v="77"/>
    <s v="NA15TE-77"/>
  </r>
  <r>
    <x v="1"/>
    <x v="351"/>
    <n v="-0.88"/>
    <n v="0.43"/>
    <s v="#11"/>
    <x v="3"/>
    <n v="0.87"/>
    <n v="-0.01"/>
    <n v="0.44"/>
    <n v="0.19359999999999999"/>
    <x v="7"/>
    <s v="NA16TE"/>
    <n v="81"/>
    <s v="NA16TE-81"/>
  </r>
  <r>
    <x v="0"/>
    <x v="351"/>
    <s v="0.05-0.81"/>
    <n v="0.43"/>
    <s v="#4"/>
    <x v="3"/>
    <n v="0.81"/>
    <n v="0.05"/>
    <n v="0.38"/>
    <n v="0.1444"/>
    <x v="7"/>
    <s v="NA17TE"/>
    <n v="80"/>
    <s v="NA17TE-80"/>
  </r>
  <r>
    <x v="7"/>
    <x v="231"/>
    <n v="-1.54"/>
    <n v="0.43"/>
    <s v="#14"/>
    <x v="2"/>
    <n v="1.2"/>
    <n v="-0.34"/>
    <n v="0.77"/>
    <n v="0.59289999999999998"/>
    <x v="7"/>
    <s v="NA1WR"/>
    <n v="80"/>
    <s v="NA1WR-80"/>
  </r>
  <r>
    <x v="10"/>
    <x v="231"/>
    <n v="-1.54"/>
    <n v="0.43"/>
    <s v="#4"/>
    <x v="2"/>
    <n v="1.2"/>
    <n v="-0.34"/>
    <n v="0.77"/>
    <n v="0.59289999999999998"/>
    <x v="7"/>
    <s v="NA2WR"/>
    <n v="85"/>
    <s v="NA2WR-85"/>
  </r>
  <r>
    <x v="1"/>
    <x v="442"/>
    <n v="-0.94000000000000006"/>
    <n v="0.43"/>
    <s v="#17"/>
    <x v="3"/>
    <n v="0.9"/>
    <n v="-0.04"/>
    <n v="0.47"/>
    <n v="0.22090000000000001"/>
    <x v="7"/>
    <s v="NA16TE"/>
    <n v="82"/>
    <s v="NA16TE-82"/>
  </r>
  <r>
    <x v="5"/>
    <x v="443"/>
    <n v="-1.22"/>
    <n v="0.43"/>
    <s v="#22"/>
    <x v="2"/>
    <n v="1.04"/>
    <n v="-0.18"/>
    <n v="0.61"/>
    <n v="0.37209999999999999"/>
    <x v="7"/>
    <s v="NA13WR"/>
    <n v="116"/>
    <s v="NA13WR-116"/>
  </r>
  <r>
    <x v="16"/>
    <x v="306"/>
    <n v="-1.82"/>
    <n v="0.43"/>
    <s v="#5"/>
    <x v="3"/>
    <n v="1.34"/>
    <n v="-0.48"/>
    <n v="0.91"/>
    <n v="0.82809999999999995"/>
    <x v="7"/>
    <s v="NA3TE"/>
    <n v="67"/>
    <s v="NA3TE-67"/>
  </r>
  <r>
    <x v="12"/>
    <x v="269"/>
    <n v="-0.96000000000000008"/>
    <n v="0.43"/>
    <s v="#26"/>
    <x v="2"/>
    <n v="0.91"/>
    <n v="-0.05"/>
    <n v="0.48"/>
    <n v="0.23039999999999999"/>
    <x v="7"/>
    <s v="NA5WR"/>
    <n v="104"/>
    <s v="NA5WR-104"/>
  </r>
  <r>
    <x v="1"/>
    <x v="269"/>
    <n v="-0.92"/>
    <n v="0.43"/>
    <s v="#27"/>
    <x v="2"/>
    <n v="0.89"/>
    <n v="-0.03"/>
    <n v="0.46"/>
    <n v="0.21160000000000001"/>
    <x v="7"/>
    <s v="NA16WR"/>
    <n v="117"/>
    <s v="NA16WR-117"/>
  </r>
  <r>
    <x v="1"/>
    <x v="420"/>
    <n v="-1.1200000000000001"/>
    <n v="0.43"/>
    <s v="#14"/>
    <x v="1"/>
    <n v="0.99"/>
    <n v="-0.13"/>
    <n v="0.56000000000000005"/>
    <n v="0.31359999999999999"/>
    <x v="7"/>
    <s v="NA16RB"/>
    <n v="76"/>
    <s v="NA16RB-76"/>
  </r>
  <r>
    <x v="7"/>
    <x v="377"/>
    <n v="-1.24"/>
    <n v="0.43"/>
    <s v="#26"/>
    <x v="2"/>
    <n v="1.05"/>
    <n v="-0.19"/>
    <n v="0.62"/>
    <n v="0.38440000000000002"/>
    <x v="7"/>
    <s v="NA1WR"/>
    <n v="81"/>
    <s v="NA1WR-81"/>
  </r>
  <r>
    <x v="11"/>
    <x v="377"/>
    <n v="-0.94000000000000006"/>
    <n v="0.43"/>
    <s v="#16"/>
    <x v="2"/>
    <n v="0.9"/>
    <n v="-0.04"/>
    <n v="0.47"/>
    <n v="0.22090000000000001"/>
    <x v="7"/>
    <s v="NA14WR"/>
    <n v="115"/>
    <s v="NA14WR-115"/>
  </r>
  <r>
    <x v="2"/>
    <x v="465"/>
    <s v="0.00-0.86"/>
    <n v="0.43"/>
    <s v="#18"/>
    <x v="3"/>
    <n v="0.86"/>
    <n v="0"/>
    <n v="0.43"/>
    <n v="0.18490000000000001"/>
    <x v="7"/>
    <s v="NA9TE"/>
    <n v="64"/>
    <s v="NA9TE-64"/>
  </r>
  <r>
    <x v="4"/>
    <x v="453"/>
    <n v="-1.1400000000000001"/>
    <n v="0.43"/>
    <s v="#13"/>
    <x v="3"/>
    <n v="1"/>
    <n v="-0.14000000000000001"/>
    <n v="0.56999999999999995"/>
    <n v="0.32490000000000002"/>
    <x v="7"/>
    <s v="NA7TE"/>
    <n v="72"/>
    <s v="NA7TE-72"/>
  </r>
  <r>
    <x v="12"/>
    <x v="393"/>
    <n v="-0.88"/>
    <n v="0.43"/>
    <s v="#6"/>
    <x v="1"/>
    <n v="0.87"/>
    <n v="-0.01"/>
    <n v="0.44"/>
    <n v="0.19359999999999999"/>
    <x v="7"/>
    <s v="NA5RB"/>
    <n v="65"/>
    <s v="NA5RB-65"/>
  </r>
  <r>
    <x v="8"/>
    <x v="419"/>
    <s v="0.06-0.80"/>
    <n v="0.43"/>
    <s v="#4"/>
    <x v="3"/>
    <n v="0.8"/>
    <n v="0.06"/>
    <n v="0.37"/>
    <n v="0.13689999999999999"/>
    <x v="7"/>
    <s v="NA6TE"/>
    <n v="70"/>
    <s v="NA6TE-70"/>
  </r>
  <r>
    <x v="1"/>
    <x v="102"/>
    <s v="0.00-0.86"/>
    <n v="0.43"/>
    <s v="#17"/>
    <x v="0"/>
    <n v="0.86"/>
    <n v="0"/>
    <n v="0.43"/>
    <n v="0.18490000000000001"/>
    <x v="7"/>
    <s v="NA16QB"/>
    <n v="41"/>
    <s v="NA16QB-41"/>
  </r>
  <r>
    <x v="15"/>
    <x v="447"/>
    <n v="-0.9"/>
    <n v="0.43"/>
    <s v="#5"/>
    <x v="1"/>
    <n v="0.88"/>
    <n v="-0.02"/>
    <n v="0.45"/>
    <n v="0.20250000000000001"/>
    <x v="7"/>
    <s v="NA10RB"/>
    <n v="65"/>
    <s v="NA10RB-65"/>
  </r>
  <r>
    <x v="5"/>
    <x v="447"/>
    <n v="-0.88"/>
    <n v="0.43"/>
    <s v="#10"/>
    <x v="1"/>
    <n v="0.87"/>
    <n v="-0.01"/>
    <n v="0.44"/>
    <n v="0.19359999999999999"/>
    <x v="7"/>
    <s v="NA13RB"/>
    <n v="77"/>
    <s v="NA13RB-77"/>
  </r>
  <r>
    <x v="7"/>
    <x v="409"/>
    <n v="-1.22"/>
    <n v="0.43"/>
    <s v="#1"/>
    <x v="1"/>
    <n v="1.04"/>
    <n v="-0.18"/>
    <n v="0.61"/>
    <n v="0.37209999999999999"/>
    <x v="7"/>
    <s v="NA1RB"/>
    <n v="44"/>
    <s v="NA1RB-44"/>
  </r>
  <r>
    <x v="0"/>
    <x v="403"/>
    <s v="0.03-0.83"/>
    <n v="0.43"/>
    <s v="#5"/>
    <x v="1"/>
    <n v="0.83"/>
    <n v="0.03"/>
    <n v="0.4"/>
    <n v="0.16"/>
    <x v="7"/>
    <s v="NA17RB"/>
    <n v="76"/>
    <s v="NA17RB-76"/>
  </r>
  <r>
    <x v="6"/>
    <x v="430"/>
    <n v="-0.94000000000000006"/>
    <n v="0.43"/>
    <s v="#20"/>
    <x v="1"/>
    <n v="0.9"/>
    <n v="-0.04"/>
    <n v="0.47"/>
    <n v="0.22090000000000001"/>
    <x v="7"/>
    <s v="NA12RB"/>
    <n v="74"/>
    <s v="NA12RB-74"/>
  </r>
  <r>
    <x v="9"/>
    <x v="467"/>
    <n v="-0.96000000000000008"/>
    <n v="0.43"/>
    <s v="#2"/>
    <x v="2"/>
    <n v="0.91"/>
    <n v="-0.05"/>
    <n v="0.48"/>
    <n v="0.23039999999999999"/>
    <x v="7"/>
    <s v="NA15WR"/>
    <n v="115"/>
    <s v="NA15WR-115"/>
  </r>
  <r>
    <x v="13"/>
    <x v="425"/>
    <n v="-0.88"/>
    <n v="0.42"/>
    <s v="#1"/>
    <x v="1"/>
    <n v="0.86"/>
    <n v="-0.02"/>
    <n v="0.44"/>
    <n v="0.19359999999999999"/>
    <x v="7"/>
    <s v="NA8RB"/>
    <n v="69"/>
    <s v="NA8RB-69"/>
  </r>
  <r>
    <x v="13"/>
    <x v="381"/>
    <n v="-0.86"/>
    <n v="0.42"/>
    <s v="#17"/>
    <x v="2"/>
    <n v="0.85"/>
    <n v="-0.01"/>
    <n v="0.43"/>
    <n v="0.18490000000000001"/>
    <x v="7"/>
    <s v="NA8WR"/>
    <n v="99"/>
    <s v="NA8WR-99"/>
  </r>
  <r>
    <x v="2"/>
    <x v="381"/>
    <n v="-0.94000000000000006"/>
    <n v="0.42"/>
    <s v="#5"/>
    <x v="2"/>
    <n v="0.89"/>
    <n v="-0.05"/>
    <n v="0.47"/>
    <n v="0.22090000000000001"/>
    <x v="7"/>
    <s v="NA9WR"/>
    <n v="99"/>
    <s v="NA9WR-99"/>
  </r>
  <r>
    <x v="5"/>
    <x v="381"/>
    <n v="-0.9"/>
    <n v="0.42"/>
    <s v="#24"/>
    <x v="2"/>
    <n v="0.87"/>
    <n v="-0.03"/>
    <n v="0.45"/>
    <n v="0.20250000000000001"/>
    <x v="7"/>
    <s v="NA13WR"/>
    <n v="117"/>
    <s v="NA13WR-117"/>
  </r>
  <r>
    <x v="11"/>
    <x v="381"/>
    <n v="-0.96"/>
    <n v="0.42"/>
    <s v="#4"/>
    <x v="2"/>
    <n v="0.9"/>
    <n v="-0.06"/>
    <n v="0.48"/>
    <n v="0.23039999999999999"/>
    <x v="7"/>
    <s v="NA14WR"/>
    <n v="116"/>
    <s v="NA14WR-116"/>
  </r>
  <r>
    <x v="1"/>
    <x v="381"/>
    <n v="-0.86"/>
    <n v="0.42"/>
    <s v="#17"/>
    <x v="2"/>
    <n v="0.85"/>
    <n v="-0.01"/>
    <n v="0.43"/>
    <n v="0.18490000000000001"/>
    <x v="7"/>
    <s v="NA16WR"/>
    <n v="118"/>
    <s v="NA16WR-118"/>
  </r>
  <r>
    <x v="9"/>
    <x v="471"/>
    <n v="-1.18"/>
    <n v="0.42"/>
    <s v="#27"/>
    <x v="2"/>
    <n v="1.01"/>
    <n v="-0.17"/>
    <n v="0.59"/>
    <n v="0.34810000000000002"/>
    <x v="7"/>
    <s v="NA15WR"/>
    <n v="116"/>
    <s v="NA15WR-116"/>
  </r>
  <r>
    <x v="0"/>
    <x v="471"/>
    <n v="-1.2"/>
    <n v="0.42"/>
    <s v="#17"/>
    <x v="2"/>
    <n v="1.02"/>
    <n v="-0.18"/>
    <n v="0.6"/>
    <n v="0.36"/>
    <x v="7"/>
    <s v="NA17WR"/>
    <n v="122"/>
    <s v="NA17WR-122"/>
  </r>
  <r>
    <x v="16"/>
    <x v="451"/>
    <n v="-1.1000000000000001"/>
    <n v="0.42"/>
    <s v="#13"/>
    <x v="3"/>
    <n v="0.97"/>
    <n v="-0.13"/>
    <n v="0.55000000000000004"/>
    <n v="0.30249999999999999"/>
    <x v="7"/>
    <s v="NA3TE"/>
    <n v="68"/>
    <s v="NA3TE-68"/>
  </r>
  <r>
    <x v="13"/>
    <x v="286"/>
    <n v="-1"/>
    <n v="0.42"/>
    <s v="#5"/>
    <x v="3"/>
    <n v="0.92"/>
    <n v="-0.08"/>
    <n v="0.5"/>
    <n v="0.25"/>
    <x v="7"/>
    <s v="NA8TE"/>
    <n v="69"/>
    <s v="NA8TE-69"/>
  </r>
  <r>
    <x v="11"/>
    <x v="440"/>
    <n v="-0.94000000000000006"/>
    <n v="0.42"/>
    <s v="#15"/>
    <x v="2"/>
    <n v="0.89"/>
    <n v="-0.05"/>
    <n v="0.47"/>
    <n v="0.22090000000000001"/>
    <x v="7"/>
    <s v="NA14WR"/>
    <n v="117"/>
    <s v="NA14WR-117"/>
  </r>
  <r>
    <x v="15"/>
    <x v="466"/>
    <s v="0.00-0.84"/>
    <n v="0.42"/>
    <s v="#5"/>
    <x v="3"/>
    <n v="0.84"/>
    <n v="0"/>
    <n v="0.42"/>
    <n v="0.1764"/>
    <x v="7"/>
    <s v="NA10TE"/>
    <n v="71"/>
    <s v="NA10TE-71"/>
  </r>
  <r>
    <x v="13"/>
    <x v="351"/>
    <n v="-0.88"/>
    <n v="0.42"/>
    <s v="#11"/>
    <x v="3"/>
    <n v="0.86"/>
    <n v="-0.02"/>
    <n v="0.44"/>
    <n v="0.19359999999999999"/>
    <x v="7"/>
    <s v="NA8TE"/>
    <n v="70"/>
    <s v="NA8TE-70"/>
  </r>
  <r>
    <x v="2"/>
    <x v="351"/>
    <s v="0.03-0.81"/>
    <n v="0.42"/>
    <s v="#21"/>
    <x v="3"/>
    <n v="0.81"/>
    <n v="0.03"/>
    <n v="0.39"/>
    <n v="0.15210000000000001"/>
    <x v="7"/>
    <s v="NA9TE"/>
    <n v="65"/>
    <s v="NA9TE-65"/>
  </r>
  <r>
    <x v="11"/>
    <x v="443"/>
    <n v="-1.1000000000000001"/>
    <n v="0.42"/>
    <s v="#10"/>
    <x v="2"/>
    <n v="0.97"/>
    <n v="-0.13"/>
    <n v="0.55000000000000004"/>
    <n v="0.30249999999999999"/>
    <x v="7"/>
    <s v="NA14WR"/>
    <n v="118"/>
    <s v="NA14WR-118"/>
  </r>
  <r>
    <x v="9"/>
    <x v="416"/>
    <n v="-1.18"/>
    <n v="0.42"/>
    <s v="#3"/>
    <x v="3"/>
    <n v="1.01"/>
    <n v="-0.17"/>
    <n v="0.59"/>
    <n v="0.34810000000000002"/>
    <x v="7"/>
    <s v="NA15TE"/>
    <n v="78"/>
    <s v="NA15TE-78"/>
  </r>
  <r>
    <x v="11"/>
    <x v="378"/>
    <n v="-1.24"/>
    <n v="0.42"/>
    <s v="#20"/>
    <x v="2"/>
    <n v="1.04"/>
    <n v="-0.2"/>
    <n v="0.62"/>
    <n v="0.38440000000000002"/>
    <x v="7"/>
    <s v="NA14WR"/>
    <n v="119"/>
    <s v="NA14WR-119"/>
  </r>
  <r>
    <x v="15"/>
    <x v="420"/>
    <n v="-0.96"/>
    <n v="0.42"/>
    <s v="#31"/>
    <x v="1"/>
    <n v="0.9"/>
    <n v="-0.06"/>
    <n v="0.48"/>
    <n v="0.23039999999999999"/>
    <x v="7"/>
    <s v="NA10RB"/>
    <n v="66"/>
    <s v="NA10RB-66"/>
  </r>
  <r>
    <x v="16"/>
    <x v="399"/>
    <n v="-0.94000000000000006"/>
    <n v="0.42"/>
    <s v="#6"/>
    <x v="2"/>
    <n v="0.89"/>
    <n v="-0.05"/>
    <n v="0.47"/>
    <n v="0.22090000000000001"/>
    <x v="7"/>
    <s v="NA3WR"/>
    <n v="94"/>
    <s v="NA3WR-94"/>
  </r>
  <r>
    <x v="13"/>
    <x v="453"/>
    <n v="-0.98"/>
    <n v="0.42"/>
    <s v="#32"/>
    <x v="3"/>
    <n v="0.91"/>
    <n v="-7.0000000000000007E-2"/>
    <n v="0.49"/>
    <n v="0.24010000000000001"/>
    <x v="7"/>
    <s v="NA8TE"/>
    <n v="71"/>
    <s v="NA8TE-71"/>
  </r>
  <r>
    <x v="9"/>
    <x v="453"/>
    <n v="-1.04"/>
    <n v="0.42"/>
    <s v="#2"/>
    <x v="3"/>
    <n v="0.94"/>
    <n v="-0.1"/>
    <n v="0.52"/>
    <n v="0.27039999999999997"/>
    <x v="7"/>
    <s v="NA15TE"/>
    <n v="79"/>
    <s v="NA15TE-79"/>
  </r>
  <r>
    <x v="16"/>
    <x v="445"/>
    <n v="-1.06"/>
    <n v="0.42"/>
    <s v="#3"/>
    <x v="3"/>
    <n v="0.95"/>
    <n v="-0.11"/>
    <n v="0.53"/>
    <n v="0.28089999999999998"/>
    <x v="7"/>
    <s v="NA3TE"/>
    <n v="69"/>
    <s v="NA3TE-69"/>
  </r>
  <r>
    <x v="16"/>
    <x v="446"/>
    <n v="-1.18"/>
    <n v="0.42"/>
    <s v="#8"/>
    <x v="2"/>
    <n v="1.01"/>
    <n v="-0.17"/>
    <n v="0.59"/>
    <n v="0.34810000000000002"/>
    <x v="7"/>
    <s v="NA3WR"/>
    <n v="95"/>
    <s v="NA3WR-95"/>
  </r>
  <r>
    <x v="12"/>
    <x v="429"/>
    <s v="0.04-0.80"/>
    <n v="0.42"/>
    <s v="#2"/>
    <x v="1"/>
    <n v="0.8"/>
    <n v="0.04"/>
    <n v="0.38"/>
    <n v="0.1444"/>
    <x v="7"/>
    <s v="NA5RB"/>
    <n v="66"/>
    <s v="NA5RB-66"/>
  </r>
  <r>
    <x v="5"/>
    <x v="386"/>
    <n v="-1.06"/>
    <n v="0.42"/>
    <s v="#3"/>
    <x v="1"/>
    <n v="0.95"/>
    <n v="-0.11"/>
    <n v="0.53"/>
    <n v="0.28089999999999998"/>
    <x v="7"/>
    <s v="NA13RB"/>
    <n v="78"/>
    <s v="NA13RB-78"/>
  </r>
  <r>
    <x v="4"/>
    <x v="470"/>
    <n v="-1.1000000000000001"/>
    <n v="0.42"/>
    <s v="#27"/>
    <x v="1"/>
    <n v="0.97"/>
    <n v="-0.13"/>
    <n v="0.55000000000000004"/>
    <n v="0.30249999999999999"/>
    <x v="7"/>
    <s v="NA7RB"/>
    <n v="63"/>
    <s v="NA7RB-63"/>
  </r>
  <r>
    <x v="7"/>
    <x v="358"/>
    <n v="-1.28"/>
    <n v="0.42"/>
    <s v="#16"/>
    <x v="1"/>
    <n v="1.06"/>
    <n v="-0.22"/>
    <n v="0.64"/>
    <n v="0.40960000000000002"/>
    <x v="7"/>
    <s v="NA1RB"/>
    <n v="45"/>
    <s v="NA1RB-45"/>
  </r>
  <r>
    <x v="4"/>
    <x v="431"/>
    <s v="0.00-0.82"/>
    <n v="0.41"/>
    <s v="#2"/>
    <x v="3"/>
    <n v="0.82"/>
    <n v="0"/>
    <n v="0.41"/>
    <n v="0.1681"/>
    <x v="7"/>
    <s v="NA7TE"/>
    <n v="73"/>
    <s v="NA7TE-73"/>
  </r>
  <r>
    <x v="5"/>
    <x v="431"/>
    <n v="-0.84"/>
    <n v="0.41"/>
    <s v="#7"/>
    <x v="3"/>
    <n v="0.83"/>
    <n v="-0.01"/>
    <n v="0.42"/>
    <n v="0.1764"/>
    <x v="7"/>
    <s v="NA13TE"/>
    <n v="81"/>
    <s v="NA13TE-81"/>
  </r>
  <r>
    <x v="0"/>
    <x v="431"/>
    <s v="0.00-0.82"/>
    <n v="0.41"/>
    <s v="#29"/>
    <x v="3"/>
    <n v="0.82"/>
    <n v="0"/>
    <n v="0.41"/>
    <n v="0.1681"/>
    <x v="7"/>
    <s v="NA17TE"/>
    <n v="81"/>
    <s v="NA17TE-81"/>
  </r>
  <r>
    <x v="5"/>
    <x v="354"/>
    <n v="-1.02"/>
    <n v="0.41"/>
    <s v="#16"/>
    <x v="2"/>
    <n v="0.92"/>
    <n v="-0.1"/>
    <n v="0.51"/>
    <n v="0.2601"/>
    <x v="7"/>
    <s v="NA13WR"/>
    <n v="118"/>
    <s v="NA13WR-118"/>
  </r>
  <r>
    <x v="4"/>
    <x v="381"/>
    <n v="-0.86"/>
    <n v="0.41"/>
    <s v="#9"/>
    <x v="2"/>
    <n v="0.84"/>
    <n v="-0.02"/>
    <n v="0.43"/>
    <n v="0.18490000000000001"/>
    <x v="7"/>
    <s v="NA7WR"/>
    <n v="102"/>
    <s v="NA7WR-102"/>
  </r>
  <r>
    <x v="15"/>
    <x v="381"/>
    <n v="-0.96"/>
    <n v="0.41"/>
    <s v="#4"/>
    <x v="2"/>
    <n v="0.89"/>
    <n v="-7.0000000000000007E-2"/>
    <n v="0.48"/>
    <n v="0.23039999999999999"/>
    <x v="7"/>
    <s v="NA10WR"/>
    <n v="107"/>
    <s v="NA10WR-107"/>
  </r>
  <r>
    <x v="7"/>
    <x v="448"/>
    <s v="0.04-0.78"/>
    <n v="0.41"/>
    <s v="#20"/>
    <x v="1"/>
    <n v="0.78"/>
    <n v="0.04"/>
    <n v="0.37"/>
    <n v="0.13689999999999999"/>
    <x v="7"/>
    <s v="NA1RB"/>
    <n v="46"/>
    <s v="NA1RB-46"/>
  </r>
  <r>
    <x v="2"/>
    <x v="400"/>
    <n v="-0.92"/>
    <n v="0.41"/>
    <s v="#4"/>
    <x v="1"/>
    <n v="0.87"/>
    <n v="-0.05"/>
    <n v="0.46"/>
    <n v="0.21160000000000001"/>
    <x v="7"/>
    <s v="NA9RB"/>
    <n v="59"/>
    <s v="NA9RB-59"/>
  </r>
  <r>
    <x v="1"/>
    <x v="400"/>
    <n v="-1.04"/>
    <n v="0.41"/>
    <s v="#3"/>
    <x v="1"/>
    <n v="0.93"/>
    <n v="-0.11"/>
    <n v="0.52"/>
    <n v="0.27039999999999997"/>
    <x v="7"/>
    <s v="NA16RB"/>
    <n v="77"/>
    <s v="NA16RB-77"/>
  </r>
  <r>
    <x v="9"/>
    <x v="452"/>
    <n v="-0.88"/>
    <n v="0.41"/>
    <s v="#24"/>
    <x v="1"/>
    <n v="0.85"/>
    <n v="-0.03"/>
    <n v="0.44"/>
    <n v="0.19359999999999999"/>
    <x v="7"/>
    <s v="NA15RB"/>
    <n v="78"/>
    <s v="NA15RB-78"/>
  </r>
  <r>
    <x v="11"/>
    <x v="286"/>
    <n v="-0.98"/>
    <n v="0.41"/>
    <s v="#11"/>
    <x v="3"/>
    <n v="0.9"/>
    <n v="-0.08"/>
    <n v="0.49"/>
    <n v="0.24010000000000001"/>
    <x v="7"/>
    <s v="NA14TE"/>
    <n v="83"/>
    <s v="NA14TE-83"/>
  </r>
  <r>
    <x v="5"/>
    <x v="284"/>
    <n v="-0.96"/>
    <n v="0.41"/>
    <s v="#31"/>
    <x v="3"/>
    <n v="0.89"/>
    <n v="-7.0000000000000007E-2"/>
    <n v="0.48"/>
    <n v="0.23039999999999999"/>
    <x v="7"/>
    <s v="NA13TE"/>
    <n v="82"/>
    <s v="NA13TE-82"/>
  </r>
  <r>
    <x v="8"/>
    <x v="376"/>
    <n v="-0.84"/>
    <n v="0.41"/>
    <s v="#17"/>
    <x v="2"/>
    <n v="0.83"/>
    <n v="-0.01"/>
    <n v="0.42"/>
    <n v="0.1764"/>
    <x v="7"/>
    <s v="NA6WR"/>
    <n v="111"/>
    <s v="NA6WR-111"/>
  </r>
  <r>
    <x v="4"/>
    <x v="376"/>
    <n v="-0.84"/>
    <n v="0.41"/>
    <s v="#19"/>
    <x v="2"/>
    <n v="0.83"/>
    <n v="-0.01"/>
    <n v="0.42"/>
    <n v="0.1764"/>
    <x v="7"/>
    <s v="NA7WR"/>
    <n v="103"/>
    <s v="NA7WR-103"/>
  </r>
  <r>
    <x v="2"/>
    <x v="463"/>
    <n v="-1.04"/>
    <n v="0.41"/>
    <s v="#4"/>
    <x v="3"/>
    <n v="0.93"/>
    <n v="-0.11"/>
    <n v="0.52"/>
    <n v="0.27039999999999997"/>
    <x v="7"/>
    <s v="NA9TE"/>
    <n v="66"/>
    <s v="NA9TE-66"/>
  </r>
  <r>
    <x v="3"/>
    <x v="440"/>
    <n v="-0.94"/>
    <n v="0.41"/>
    <s v="#13"/>
    <x v="2"/>
    <n v="0.88"/>
    <n v="-0.06"/>
    <n v="0.47"/>
    <n v="0.22090000000000001"/>
    <x v="7"/>
    <s v="NA11WR"/>
    <n v="93"/>
    <s v="NA11WR-93"/>
  </r>
  <r>
    <x v="13"/>
    <x v="466"/>
    <s v="0.02-0.80"/>
    <n v="0.41"/>
    <s v="#8"/>
    <x v="3"/>
    <n v="0.8"/>
    <n v="0.02"/>
    <n v="0.39"/>
    <n v="0.15210000000000001"/>
    <x v="7"/>
    <s v="NA8TE"/>
    <n v="72"/>
    <s v="NA8TE-72"/>
  </r>
  <r>
    <x v="6"/>
    <x v="351"/>
    <s v="0.03-0.79"/>
    <n v="0.41"/>
    <s v="#4"/>
    <x v="3"/>
    <n v="0.79"/>
    <n v="0.03"/>
    <n v="0.38"/>
    <n v="0.1444"/>
    <x v="7"/>
    <s v="NA12TE"/>
    <n v="78"/>
    <s v="NA12TE-78"/>
  </r>
  <r>
    <x v="11"/>
    <x v="351"/>
    <s v="0.02-0.80"/>
    <n v="0.41"/>
    <s v="#24"/>
    <x v="3"/>
    <n v="0.8"/>
    <n v="0.02"/>
    <n v="0.39"/>
    <n v="0.15210000000000001"/>
    <x v="7"/>
    <s v="NA14TE"/>
    <n v="84"/>
    <s v="NA14TE-84"/>
  </r>
  <r>
    <x v="15"/>
    <x v="322"/>
    <n v="-0.9"/>
    <n v="0.41"/>
    <s v="#8"/>
    <x v="2"/>
    <n v="0.86"/>
    <n v="-0.04"/>
    <n v="0.45"/>
    <n v="0.20250000000000001"/>
    <x v="7"/>
    <s v="NA10WR"/>
    <n v="108"/>
    <s v="NA10WR-108"/>
  </r>
  <r>
    <x v="1"/>
    <x v="338"/>
    <n v="-1.26"/>
    <n v="0.41"/>
    <s v="#13"/>
    <x v="2"/>
    <n v="1.04"/>
    <n v="-0.22"/>
    <n v="0.63"/>
    <n v="0.39689999999999998"/>
    <x v="7"/>
    <s v="NA16WR"/>
    <n v="119"/>
    <s v="NA16WR-119"/>
  </r>
  <r>
    <x v="11"/>
    <x v="398"/>
    <n v="-0.84"/>
    <n v="0.41"/>
    <s v="#15"/>
    <x v="1"/>
    <n v="0.83"/>
    <n v="-0.01"/>
    <n v="0.42"/>
    <n v="0.1764"/>
    <x v="7"/>
    <s v="NA14RB"/>
    <n v="75"/>
    <s v="NA14RB-75"/>
  </r>
  <r>
    <x v="7"/>
    <x v="295"/>
    <n v="-0.94"/>
    <n v="0.41"/>
    <s v="#24"/>
    <x v="3"/>
    <n v="0.88"/>
    <n v="-0.06"/>
    <n v="0.47"/>
    <n v="0.22090000000000001"/>
    <x v="7"/>
    <s v="NA1TE"/>
    <n v="58"/>
    <s v="NA1TE-58"/>
  </r>
  <r>
    <x v="5"/>
    <x v="333"/>
    <n v="-0.88"/>
    <n v="0.41"/>
    <s v="#13"/>
    <x v="3"/>
    <n v="0.85"/>
    <n v="-0.03"/>
    <n v="0.44"/>
    <n v="0.19359999999999999"/>
    <x v="7"/>
    <s v="NA13TE"/>
    <n v="83"/>
    <s v="NA13TE-83"/>
  </r>
  <r>
    <x v="9"/>
    <x v="333"/>
    <n v="-0.92"/>
    <n v="0.41"/>
    <s v="#5"/>
    <x v="3"/>
    <n v="0.87"/>
    <n v="-0.05"/>
    <n v="0.46"/>
    <n v="0.21160000000000001"/>
    <x v="7"/>
    <s v="NA15TE"/>
    <n v="80"/>
    <s v="NA15TE-80"/>
  </r>
  <r>
    <x v="10"/>
    <x v="399"/>
    <n v="-1.1199999999999999"/>
    <n v="0.41"/>
    <s v="#12"/>
    <x v="2"/>
    <n v="0.97"/>
    <n v="-0.15"/>
    <n v="0.56000000000000005"/>
    <n v="0.31359999999999999"/>
    <x v="7"/>
    <s v="NA2WR"/>
    <n v="86"/>
    <s v="NA2WR-86"/>
  </r>
  <r>
    <x v="16"/>
    <x v="402"/>
    <n v="-0.92"/>
    <n v="0.41"/>
    <s v="#30"/>
    <x v="2"/>
    <n v="0.87"/>
    <n v="-0.05"/>
    <n v="0.46"/>
    <n v="0.21160000000000001"/>
    <x v="7"/>
    <s v="NA3WR"/>
    <n v="96"/>
    <s v="NA3WR-96"/>
  </r>
  <r>
    <x v="6"/>
    <x v="419"/>
    <s v="0.01-0.81"/>
    <n v="0.41"/>
    <s v="#24"/>
    <x v="3"/>
    <n v="0.81"/>
    <n v="0.01"/>
    <n v="0.4"/>
    <n v="0.16"/>
    <x v="7"/>
    <s v="NA12TE"/>
    <n v="79"/>
    <s v="NA12TE-79"/>
  </r>
  <r>
    <x v="8"/>
    <x v="445"/>
    <n v="-0.86"/>
    <n v="0.41"/>
    <s v="#1"/>
    <x v="3"/>
    <n v="0.84"/>
    <n v="-0.02"/>
    <n v="0.43"/>
    <n v="0.18490000000000001"/>
    <x v="7"/>
    <s v="NA6TE"/>
    <n v="71"/>
    <s v="NA6TE-71"/>
  </r>
  <r>
    <x v="14"/>
    <x v="102"/>
    <n v="-0.84"/>
    <n v="0.41"/>
    <s v="#21"/>
    <x v="0"/>
    <n v="0.83"/>
    <n v="-0.01"/>
    <n v="0.42"/>
    <n v="0.1764"/>
    <x v="7"/>
    <s v="NA4QB"/>
    <n v="35"/>
    <s v="NA4QB-35"/>
  </r>
  <r>
    <x v="2"/>
    <x v="102"/>
    <s v="0.02-0.80"/>
    <n v="0.41"/>
    <s v="#5"/>
    <x v="0"/>
    <n v="0.8"/>
    <n v="0.02"/>
    <n v="0.39"/>
    <n v="0.15210000000000001"/>
    <x v="7"/>
    <s v="NA9QB"/>
    <n v="34"/>
    <s v="NA9QB-34"/>
  </r>
  <r>
    <x v="9"/>
    <x v="447"/>
    <s v="0.00-0.82"/>
    <n v="0.41"/>
    <s v="#11"/>
    <x v="1"/>
    <n v="0.82"/>
    <n v="0"/>
    <n v="0.41"/>
    <n v="0.1681"/>
    <x v="7"/>
    <s v="NA15RB"/>
    <n v="79"/>
    <s v="NA15RB-79"/>
  </r>
  <r>
    <x v="1"/>
    <x v="447"/>
    <n v="-0.94"/>
    <n v="0.41"/>
    <s v="#26"/>
    <x v="1"/>
    <n v="0.88"/>
    <n v="-0.06"/>
    <n v="0.47"/>
    <n v="0.22090000000000001"/>
    <x v="7"/>
    <s v="NA16RB"/>
    <n v="78"/>
    <s v="NA16RB-78"/>
  </r>
  <r>
    <x v="13"/>
    <x v="433"/>
    <n v="-1.1199999999999999"/>
    <n v="0.41"/>
    <s v="#15"/>
    <x v="3"/>
    <n v="0.97"/>
    <n v="-0.15"/>
    <n v="0.56000000000000005"/>
    <n v="0.31359999999999999"/>
    <x v="7"/>
    <s v="NA8TE"/>
    <n v="73"/>
    <s v="NA8TE-73"/>
  </r>
  <r>
    <x v="16"/>
    <x v="429"/>
    <n v="-0.88"/>
    <n v="0.41"/>
    <s v="#16"/>
    <x v="1"/>
    <n v="0.85"/>
    <n v="-0.03"/>
    <n v="0.44"/>
    <n v="0.19359999999999999"/>
    <x v="7"/>
    <s v="NA3RB"/>
    <n v="56"/>
    <s v="NA3RB-56"/>
  </r>
  <r>
    <x v="9"/>
    <x v="454"/>
    <s v="0.03-0.79"/>
    <n v="0.41"/>
    <s v="#10"/>
    <x v="3"/>
    <n v="0.79"/>
    <n v="0.03"/>
    <n v="0.38"/>
    <n v="0.1444"/>
    <x v="7"/>
    <s v="NA15TE"/>
    <n v="81"/>
    <s v="NA15TE-81"/>
  </r>
  <r>
    <x v="3"/>
    <x v="403"/>
    <s v="0.01-0.81"/>
    <n v="0.41"/>
    <s v="#5"/>
    <x v="1"/>
    <n v="0.81"/>
    <n v="0.01"/>
    <n v="0.4"/>
    <n v="0.16"/>
    <x v="7"/>
    <s v="NA11RB"/>
    <n v="66"/>
    <s v="NA11RB-66"/>
  </r>
  <r>
    <x v="9"/>
    <x v="344"/>
    <s v="0.01-0.81"/>
    <n v="0.41"/>
    <s v="#4"/>
    <x v="2"/>
    <n v="0.81"/>
    <n v="0.01"/>
    <n v="0.4"/>
    <n v="0.16"/>
    <x v="7"/>
    <s v="NA15WR"/>
    <n v="117"/>
    <s v="NA15WR-117"/>
  </r>
  <r>
    <x v="6"/>
    <x v="470"/>
    <n v="-1.18"/>
    <n v="0.41"/>
    <s v="#11"/>
    <x v="1"/>
    <n v="1"/>
    <n v="-0.18"/>
    <n v="0.59"/>
    <n v="0.34810000000000002"/>
    <x v="7"/>
    <s v="NA12RB"/>
    <n v="75"/>
    <s v="NA12RB-75"/>
  </r>
  <r>
    <x v="12"/>
    <x v="458"/>
    <n v="-1.1399999999999999"/>
    <n v="0.41"/>
    <s v="#6"/>
    <x v="3"/>
    <n v="0.98"/>
    <n v="-0.16"/>
    <n v="0.56999999999999995"/>
    <n v="0.32490000000000002"/>
    <x v="7"/>
    <s v="NA5TE"/>
    <n v="74"/>
    <s v="NA5TE-74"/>
  </r>
  <r>
    <x v="16"/>
    <x v="472"/>
    <n v="-1.1399999999999999"/>
    <n v="0.41"/>
    <s v="#31"/>
    <x v="3"/>
    <n v="0.98"/>
    <n v="-0.16"/>
    <n v="0.56999999999999995"/>
    <n v="0.32490000000000002"/>
    <x v="7"/>
    <s v="NA3TE"/>
    <n v="70"/>
    <s v="NA3TE-70"/>
  </r>
  <r>
    <x v="8"/>
    <x v="431"/>
    <n v="-0.82000000000000006"/>
    <n v="0.4"/>
    <s v="#29"/>
    <x v="3"/>
    <n v="0.81"/>
    <n v="-0.01"/>
    <n v="0.41"/>
    <n v="0.1681"/>
    <x v="7"/>
    <s v="NA6TE"/>
    <n v="72"/>
    <s v="NA6TE-72"/>
  </r>
  <r>
    <x v="7"/>
    <x v="436"/>
    <n v="-0.9"/>
    <n v="0.4"/>
    <s v="#20"/>
    <x v="3"/>
    <n v="0.85"/>
    <n v="-0.05"/>
    <n v="0.45"/>
    <n v="0.20250000000000001"/>
    <x v="7"/>
    <s v="NA1TE"/>
    <n v="59"/>
    <s v="NA1TE-59"/>
  </r>
  <r>
    <x v="9"/>
    <x v="381"/>
    <n v="-0.86"/>
    <n v="0.4"/>
    <s v="#28"/>
    <x v="2"/>
    <n v="0.83"/>
    <n v="-0.03"/>
    <n v="0.43"/>
    <n v="0.18490000000000001"/>
    <x v="7"/>
    <s v="NA15WR"/>
    <n v="118"/>
    <s v="NA15WR-118"/>
  </r>
  <r>
    <x v="2"/>
    <x v="471"/>
    <n v="-1.1199999999999999"/>
    <n v="0.4"/>
    <s v="#24"/>
    <x v="2"/>
    <n v="0.96"/>
    <n v="-0.16"/>
    <n v="0.56000000000000005"/>
    <n v="0.31359999999999999"/>
    <x v="7"/>
    <s v="NA9WR"/>
    <n v="100"/>
    <s v="NA9WR-100"/>
  </r>
  <r>
    <x v="7"/>
    <x v="47"/>
    <n v="-0.94"/>
    <n v="0.4"/>
    <s v="#24"/>
    <x v="0"/>
    <n v="0.87"/>
    <n v="-7.0000000000000007E-2"/>
    <n v="0.47"/>
    <n v="0.22090000000000001"/>
    <x v="7"/>
    <s v="NA1QB"/>
    <n v="35"/>
    <s v="NA1QB-35"/>
  </r>
  <r>
    <x v="2"/>
    <x v="339"/>
    <s v="0.06-0.74"/>
    <n v="0.4"/>
    <s v="#16"/>
    <x v="1"/>
    <n v="0.74"/>
    <n v="0.06"/>
    <n v="0.34"/>
    <n v="0.11559999999999999"/>
    <x v="7"/>
    <s v="NA9RB"/>
    <n v="60"/>
    <s v="NA9RB-60"/>
  </r>
  <r>
    <x v="5"/>
    <x v="452"/>
    <n v="-0.9"/>
    <n v="0.4"/>
    <s v="#17"/>
    <x v="1"/>
    <n v="0.85"/>
    <n v="-0.05"/>
    <n v="0.45"/>
    <n v="0.20250000000000001"/>
    <x v="7"/>
    <s v="NA13RB"/>
    <n v="79"/>
    <s v="NA13RB-79"/>
  </r>
  <r>
    <x v="11"/>
    <x v="452"/>
    <n v="-1.04"/>
    <n v="0.4"/>
    <s v="#8"/>
    <x v="1"/>
    <n v="0.92"/>
    <n v="-0.12"/>
    <n v="0.52"/>
    <n v="0.27039999999999997"/>
    <x v="7"/>
    <s v="NA14RB"/>
    <n v="76"/>
    <s v="NA14RB-76"/>
  </r>
  <r>
    <x v="1"/>
    <x v="286"/>
    <n v="-0.84"/>
    <n v="0.4"/>
    <s v="#21"/>
    <x v="3"/>
    <n v="0.82"/>
    <n v="-0.02"/>
    <n v="0.42"/>
    <n v="0.1764"/>
    <x v="7"/>
    <s v="NA16TE"/>
    <n v="83"/>
    <s v="NA16TE-83"/>
  </r>
  <r>
    <x v="0"/>
    <x v="286"/>
    <n v="-0.88"/>
    <n v="0.4"/>
    <s v="#17"/>
    <x v="3"/>
    <n v="0.84"/>
    <n v="-0.04"/>
    <n v="0.44"/>
    <n v="0.19359999999999999"/>
    <x v="7"/>
    <s v="NA17TE"/>
    <n v="82"/>
    <s v="NA17TE-82"/>
  </r>
  <r>
    <x v="10"/>
    <x v="473"/>
    <n v="-0.82000000000000006"/>
    <n v="0.4"/>
    <s v="#15"/>
    <x v="1"/>
    <n v="0.81"/>
    <n v="-0.01"/>
    <n v="0.41"/>
    <n v="0.1681"/>
    <x v="7"/>
    <s v="NA2RB"/>
    <n v="52"/>
    <s v="NA2RB-52"/>
  </r>
  <r>
    <x v="14"/>
    <x v="440"/>
    <n v="-1"/>
    <n v="0.4"/>
    <s v="#2"/>
    <x v="2"/>
    <n v="0.9"/>
    <n v="-0.1"/>
    <n v="0.5"/>
    <n v="0.25"/>
    <x v="7"/>
    <s v="NA4WR"/>
    <n v="92"/>
    <s v="NA4WR-92"/>
  </r>
  <r>
    <x v="10"/>
    <x v="331"/>
    <n v="-1.0999999999999999"/>
    <n v="0.4"/>
    <s v="#10"/>
    <x v="3"/>
    <n v="0.95"/>
    <n v="-0.15"/>
    <n v="0.55000000000000004"/>
    <n v="0.30249999999999999"/>
    <x v="7"/>
    <s v="NA2TE"/>
    <n v="66"/>
    <s v="NA2TE-66"/>
  </r>
  <r>
    <x v="11"/>
    <x v="338"/>
    <n v="-1.26"/>
    <n v="0.4"/>
    <s v="#5"/>
    <x v="2"/>
    <n v="1.03"/>
    <n v="-0.23"/>
    <n v="0.63"/>
    <n v="0.39689999999999998"/>
    <x v="7"/>
    <s v="NA14WR"/>
    <n v="120"/>
    <s v="NA14WR-120"/>
  </r>
  <r>
    <x v="9"/>
    <x v="338"/>
    <n v="-1.24"/>
    <n v="0.4"/>
    <s v="#6"/>
    <x v="2"/>
    <n v="1.02"/>
    <n v="-0.22"/>
    <n v="0.62"/>
    <n v="0.38440000000000002"/>
    <x v="7"/>
    <s v="NA15WR"/>
    <n v="119"/>
    <s v="NA15WR-119"/>
  </r>
  <r>
    <x v="5"/>
    <x v="269"/>
    <n v="-1.08"/>
    <n v="0.4"/>
    <s v="#12"/>
    <x v="2"/>
    <n v="0.94"/>
    <n v="-0.14000000000000001"/>
    <n v="0.54"/>
    <n v="0.29160000000000003"/>
    <x v="7"/>
    <s v="NA13WR"/>
    <n v="119"/>
    <s v="NA13WR-119"/>
  </r>
  <r>
    <x v="15"/>
    <x v="398"/>
    <n v="-0.82000000000000006"/>
    <n v="0.4"/>
    <s v="#20"/>
    <x v="1"/>
    <n v="0.81"/>
    <n v="-0.01"/>
    <n v="0.41"/>
    <n v="0.1681"/>
    <x v="7"/>
    <s v="NA10RB"/>
    <n v="67"/>
    <s v="NA10RB-67"/>
  </r>
  <r>
    <x v="9"/>
    <x v="465"/>
    <s v="0.03-0.77"/>
    <n v="0.4"/>
    <s v="#19"/>
    <x v="3"/>
    <n v="0.77"/>
    <n v="0.03"/>
    <n v="0.37"/>
    <n v="0.13689999999999999"/>
    <x v="7"/>
    <s v="NA15TE"/>
    <n v="82"/>
    <s v="NA15TE-82"/>
  </r>
  <r>
    <x v="3"/>
    <x v="333"/>
    <n v="-0.91999999999999993"/>
    <n v="0.4"/>
    <s v="#8"/>
    <x v="3"/>
    <n v="0.86"/>
    <n v="-0.06"/>
    <n v="0.46"/>
    <n v="0.21160000000000001"/>
    <x v="7"/>
    <s v="NA11TE"/>
    <n v="63"/>
    <s v="NA11TE-63"/>
  </r>
  <r>
    <x v="1"/>
    <x v="333"/>
    <n v="-0.91999999999999993"/>
    <n v="0.4"/>
    <s v="#4"/>
    <x v="3"/>
    <n v="0.86"/>
    <n v="-0.06"/>
    <n v="0.46"/>
    <n v="0.21160000000000001"/>
    <x v="7"/>
    <s v="NA16TE"/>
    <n v="84"/>
    <s v="NA16TE-84"/>
  </r>
  <r>
    <x v="11"/>
    <x v="409"/>
    <n v="-1.0999999999999999"/>
    <n v="0.4"/>
    <s v="#4"/>
    <x v="1"/>
    <n v="0.95"/>
    <n v="-0.15"/>
    <n v="0.55000000000000004"/>
    <n v="0.30249999999999999"/>
    <x v="7"/>
    <s v="NA14RB"/>
    <n v="77"/>
    <s v="NA14RB-77"/>
  </r>
  <r>
    <x v="14"/>
    <x v="238"/>
    <n v="-0.91999999999999993"/>
    <n v="0.4"/>
    <s v="#5"/>
    <x v="1"/>
    <n v="0.86"/>
    <n v="-0.06"/>
    <n v="0.46"/>
    <n v="0.21160000000000001"/>
    <x v="7"/>
    <s v="NA4RB"/>
    <n v="57"/>
    <s v="NA4RB-57"/>
  </r>
  <r>
    <x v="0"/>
    <x v="344"/>
    <s v="0.01-0.79"/>
    <n v="0.4"/>
    <s v="#3"/>
    <x v="2"/>
    <n v="0.79"/>
    <n v="0.01"/>
    <n v="0.39"/>
    <n v="0.15210000000000001"/>
    <x v="7"/>
    <s v="NA17WR"/>
    <n v="123"/>
    <s v="NA17WR-123"/>
  </r>
  <r>
    <x v="1"/>
    <x v="367"/>
    <s v="0.02-0.78"/>
    <n v="0.4"/>
    <s v="#3"/>
    <x v="1"/>
    <n v="0.78"/>
    <n v="0.02"/>
    <n v="0.38"/>
    <n v="0.1444"/>
    <x v="7"/>
    <s v="NA16RB"/>
    <n v="79"/>
    <s v="NA16RB-79"/>
  </r>
  <r>
    <x v="8"/>
    <x v="430"/>
    <n v="-0.86"/>
    <n v="0.4"/>
    <s v="#26"/>
    <x v="1"/>
    <n v="0.83"/>
    <n v="-0.03"/>
    <n v="0.43"/>
    <n v="0.18490000000000001"/>
    <x v="7"/>
    <s v="NA6RB"/>
    <n v="67"/>
    <s v="NA6RB-67"/>
  </r>
  <r>
    <x v="1"/>
    <x v="258"/>
    <n v="-1"/>
    <n v="0.4"/>
    <s v="#31"/>
    <x v="2"/>
    <n v="0.9"/>
    <n v="-0.1"/>
    <n v="0.5"/>
    <n v="0.25"/>
    <x v="7"/>
    <s v="NA16WR"/>
    <n v="120"/>
    <s v="NA16WR-120"/>
  </r>
  <r>
    <x v="12"/>
    <x v="467"/>
    <n v="-0.96"/>
    <n v="0.4"/>
    <s v="#4"/>
    <x v="2"/>
    <n v="0.88"/>
    <n v="-0.08"/>
    <n v="0.48"/>
    <n v="0.23039999999999999"/>
    <x v="7"/>
    <s v="NA5WR"/>
    <n v="105"/>
    <s v="NA5WR-105"/>
  </r>
  <r>
    <x v="5"/>
    <x v="467"/>
    <n v="-0.9"/>
    <n v="0.4"/>
    <s v="#19"/>
    <x v="2"/>
    <n v="0.85"/>
    <n v="-0.05"/>
    <n v="0.45"/>
    <n v="0.20250000000000001"/>
    <x v="7"/>
    <s v="NA13WR"/>
    <n v="120"/>
    <s v="NA13WR-120"/>
  </r>
  <r>
    <x v="11"/>
    <x v="467"/>
    <n v="-0.82000000000000006"/>
    <n v="0.4"/>
    <s v="#18"/>
    <x v="2"/>
    <n v="0.81"/>
    <n v="-0.01"/>
    <n v="0.41"/>
    <n v="0.1681"/>
    <x v="7"/>
    <s v="NA14WR"/>
    <n v="121"/>
    <s v="NA14WR-121"/>
  </r>
  <r>
    <x v="16"/>
    <x v="470"/>
    <n v="-0.94"/>
    <n v="0.4"/>
    <s v="#14"/>
    <x v="1"/>
    <n v="0.87"/>
    <n v="-7.0000000000000007E-2"/>
    <n v="0.47"/>
    <n v="0.22090000000000001"/>
    <x v="7"/>
    <s v="NA3RB"/>
    <n v="57"/>
    <s v="NA3RB-57"/>
  </r>
  <r>
    <x v="4"/>
    <x v="458"/>
    <n v="-0.82000000000000006"/>
    <n v="0.4"/>
    <s v="#4"/>
    <x v="3"/>
    <n v="0.81"/>
    <n v="-0.01"/>
    <n v="0.41"/>
    <n v="0.1681"/>
    <x v="7"/>
    <s v="NA7TE"/>
    <n v="74"/>
    <s v="NA7TE-74"/>
  </r>
  <r>
    <x v="2"/>
    <x v="431"/>
    <n v="-0.84000000000000008"/>
    <n v="0.39"/>
    <s v="#7"/>
    <x v="3"/>
    <n v="0.81"/>
    <n v="-0.03"/>
    <n v="0.42"/>
    <n v="0.1764"/>
    <x v="7"/>
    <s v="NA9TE"/>
    <n v="67"/>
    <s v="NA9TE-67"/>
  </r>
  <r>
    <x v="12"/>
    <x v="381"/>
    <s v="0.00-0.78"/>
    <n v="0.39"/>
    <s v="#14"/>
    <x v="2"/>
    <n v="0.78"/>
    <n v="0"/>
    <n v="0.39"/>
    <n v="0.15210000000000001"/>
    <x v="7"/>
    <s v="NA5WR"/>
    <n v="106"/>
    <s v="NA5WR-106"/>
  </r>
  <r>
    <x v="10"/>
    <x v="284"/>
    <n v="-1"/>
    <n v="0.39"/>
    <s v="#29"/>
    <x v="3"/>
    <n v="0.89"/>
    <n v="-0.11"/>
    <n v="0.5"/>
    <n v="0.25"/>
    <x v="7"/>
    <s v="NA2TE"/>
    <n v="67"/>
    <s v="NA2TE-67"/>
  </r>
  <r>
    <x v="6"/>
    <x v="284"/>
    <n v="-0.91999999999999993"/>
    <n v="0.39"/>
    <s v="#8"/>
    <x v="3"/>
    <n v="0.85"/>
    <n v="-7.0000000000000007E-2"/>
    <n v="0.46"/>
    <n v="0.21160000000000001"/>
    <x v="7"/>
    <s v="NA12TE"/>
    <n v="80"/>
    <s v="NA12TE-80"/>
  </r>
  <r>
    <x v="9"/>
    <x v="284"/>
    <n v="-0.98"/>
    <n v="0.39"/>
    <s v="#30"/>
    <x v="3"/>
    <n v="0.88"/>
    <n v="-0.1"/>
    <n v="0.49"/>
    <n v="0.24010000000000001"/>
    <x v="7"/>
    <s v="NA15TE"/>
    <n v="83"/>
    <s v="NA15TE-83"/>
  </r>
  <r>
    <x v="1"/>
    <x v="284"/>
    <n v="-0.94"/>
    <n v="0.39"/>
    <s v="#29"/>
    <x v="3"/>
    <n v="0.86"/>
    <n v="-0.08"/>
    <n v="0.47"/>
    <n v="0.22090000000000001"/>
    <x v="7"/>
    <s v="NA16TE"/>
    <n v="85"/>
    <s v="NA16TE-85"/>
  </r>
  <r>
    <x v="10"/>
    <x v="413"/>
    <n v="-0.94"/>
    <n v="0.39"/>
    <s v="#19"/>
    <x v="2"/>
    <n v="0.86"/>
    <n v="-0.08"/>
    <n v="0.47"/>
    <n v="0.22090000000000001"/>
    <x v="7"/>
    <s v="NA2WR"/>
    <n v="87"/>
    <s v="NA2WR-87"/>
  </r>
  <r>
    <x v="16"/>
    <x v="346"/>
    <n v="-1.04"/>
    <n v="0.39"/>
    <s v="#7"/>
    <x v="2"/>
    <n v="0.91"/>
    <n v="-0.13"/>
    <n v="0.52"/>
    <n v="0.27039999999999997"/>
    <x v="7"/>
    <s v="NA3WR"/>
    <n v="97"/>
    <s v="NA3WR-97"/>
  </r>
  <r>
    <x v="10"/>
    <x v="376"/>
    <n v="-0.96"/>
    <n v="0.39"/>
    <s v="#15"/>
    <x v="2"/>
    <n v="0.87"/>
    <n v="-0.09"/>
    <n v="0.48"/>
    <n v="0.23039999999999999"/>
    <x v="7"/>
    <s v="NA2WR"/>
    <n v="88"/>
    <s v="NA2WR-88"/>
  </r>
  <r>
    <x v="14"/>
    <x v="376"/>
    <n v="-0.96"/>
    <n v="0.39"/>
    <s v="#16"/>
    <x v="2"/>
    <n v="0.87"/>
    <n v="-0.09"/>
    <n v="0.48"/>
    <n v="0.23039999999999999"/>
    <x v="7"/>
    <s v="NA4WR"/>
    <n v="93"/>
    <s v="NA4WR-93"/>
  </r>
  <r>
    <x v="9"/>
    <x v="376"/>
    <n v="-0.86"/>
    <n v="0.39"/>
    <s v="#20"/>
    <x v="2"/>
    <n v="0.82"/>
    <n v="-0.04"/>
    <n v="0.43"/>
    <n v="0.18490000000000001"/>
    <x v="7"/>
    <s v="NA15WR"/>
    <n v="120"/>
    <s v="NA15WR-120"/>
  </r>
  <r>
    <x v="15"/>
    <x v="440"/>
    <n v="-0.91999999999999993"/>
    <n v="0.39"/>
    <s v="#20"/>
    <x v="2"/>
    <n v="0.85"/>
    <n v="-7.0000000000000007E-2"/>
    <n v="0.46"/>
    <n v="0.21160000000000001"/>
    <x v="7"/>
    <s v="NA10WR"/>
    <n v="109"/>
    <s v="NA10WR-109"/>
  </r>
  <r>
    <x v="6"/>
    <x v="364"/>
    <n v="-0.88"/>
    <n v="0.39"/>
    <s v="#29"/>
    <x v="1"/>
    <n v="0.83"/>
    <n v="-0.05"/>
    <n v="0.44"/>
    <n v="0.19359999999999999"/>
    <x v="7"/>
    <s v="NA12RB"/>
    <n v="76"/>
    <s v="NA12RB-76"/>
  </r>
  <r>
    <x v="11"/>
    <x v="364"/>
    <n v="-1.04"/>
    <n v="0.39"/>
    <s v="#31"/>
    <x v="1"/>
    <n v="0.91"/>
    <n v="-0.13"/>
    <n v="0.52"/>
    <n v="0.27039999999999997"/>
    <x v="7"/>
    <s v="NA14RB"/>
    <n v="78"/>
    <s v="NA14RB-78"/>
  </r>
  <r>
    <x v="8"/>
    <x v="331"/>
    <n v="-0.98"/>
    <n v="0.39"/>
    <s v="#26"/>
    <x v="3"/>
    <n v="0.88"/>
    <n v="-0.1"/>
    <n v="0.49"/>
    <n v="0.24010000000000001"/>
    <x v="7"/>
    <s v="NA6TE"/>
    <n v="73"/>
    <s v="NA6TE-73"/>
  </r>
  <r>
    <x v="4"/>
    <x v="331"/>
    <n v="-0.86"/>
    <n v="0.39"/>
    <s v="#16"/>
    <x v="3"/>
    <n v="0.82"/>
    <n v="-0.04"/>
    <n v="0.43"/>
    <n v="0.18490000000000001"/>
    <x v="7"/>
    <s v="NA7TE"/>
    <n v="75"/>
    <s v="NA7TE-75"/>
  </r>
  <r>
    <x v="10"/>
    <x v="442"/>
    <n v="-0.82000000000000006"/>
    <n v="0.39"/>
    <s v="#20"/>
    <x v="3"/>
    <n v="0.8"/>
    <n v="-0.02"/>
    <n v="0.41"/>
    <n v="0.1681"/>
    <x v="7"/>
    <s v="NA2TE"/>
    <n v="68"/>
    <s v="NA2TE-68"/>
  </r>
  <r>
    <x v="13"/>
    <x v="266"/>
    <n v="-0.88"/>
    <n v="0.39"/>
    <s v="#3"/>
    <x v="1"/>
    <n v="0.83"/>
    <n v="-0.05"/>
    <n v="0.44"/>
    <n v="0.19359999999999999"/>
    <x v="7"/>
    <s v="NA8RB"/>
    <n v="70"/>
    <s v="NA8RB-70"/>
  </r>
  <r>
    <x v="4"/>
    <x v="378"/>
    <n v="-1"/>
    <n v="0.39"/>
    <s v="#32"/>
    <x v="2"/>
    <n v="0.89"/>
    <n v="-0.11"/>
    <n v="0.5"/>
    <n v="0.25"/>
    <x v="7"/>
    <s v="NA7WR"/>
    <n v="104"/>
    <s v="NA7WR-104"/>
  </r>
  <r>
    <x v="3"/>
    <x v="338"/>
    <n v="-1.02"/>
    <n v="0.39"/>
    <s v="#32"/>
    <x v="2"/>
    <n v="0.9"/>
    <n v="-0.12"/>
    <n v="0.51"/>
    <n v="0.2601"/>
    <x v="7"/>
    <s v="NA11WR"/>
    <n v="94"/>
    <s v="NA11WR-94"/>
  </r>
  <r>
    <x v="5"/>
    <x v="338"/>
    <n v="-1"/>
    <n v="0.39"/>
    <s v="#28"/>
    <x v="2"/>
    <n v="0.89"/>
    <n v="-0.11"/>
    <n v="0.5"/>
    <n v="0.25"/>
    <x v="7"/>
    <s v="NA13WR"/>
    <n v="121"/>
    <s v="NA13WR-121"/>
  </r>
  <r>
    <x v="14"/>
    <x v="468"/>
    <n v="-0.86"/>
    <n v="0.39"/>
    <s v="#14"/>
    <x v="3"/>
    <n v="0.82"/>
    <n v="-0.04"/>
    <n v="0.43"/>
    <n v="0.18490000000000001"/>
    <x v="7"/>
    <s v="NA4TE"/>
    <n v="65"/>
    <s v="NA4TE-65"/>
  </r>
  <r>
    <x v="4"/>
    <x v="269"/>
    <n v="-0.91999999999999993"/>
    <n v="0.39"/>
    <s v="#7"/>
    <x v="2"/>
    <n v="0.85"/>
    <n v="-7.0000000000000007E-2"/>
    <n v="0.46"/>
    <n v="0.21160000000000001"/>
    <x v="7"/>
    <s v="NA7WR"/>
    <n v="105"/>
    <s v="NA7WR-105"/>
  </r>
  <r>
    <x v="6"/>
    <x v="269"/>
    <n v="-1.0999999999999999"/>
    <n v="0.39"/>
    <s v="#22"/>
    <x v="2"/>
    <n v="0.94"/>
    <n v="-0.16"/>
    <n v="0.55000000000000004"/>
    <n v="0.30249999999999999"/>
    <x v="7"/>
    <s v="NA12WR"/>
    <n v="113"/>
    <s v="NA12WR-113"/>
  </r>
  <r>
    <x v="0"/>
    <x v="269"/>
    <n v="-1.08"/>
    <n v="0.39"/>
    <s v="#12"/>
    <x v="2"/>
    <n v="0.93"/>
    <n v="-0.15"/>
    <n v="0.54"/>
    <n v="0.29160000000000003"/>
    <x v="7"/>
    <s v="NA17WR"/>
    <n v="124"/>
    <s v="NA17WR-124"/>
  </r>
  <r>
    <x v="8"/>
    <x v="465"/>
    <n v="-0.88"/>
    <n v="0.39"/>
    <s v="#8"/>
    <x v="3"/>
    <n v="0.83"/>
    <n v="-0.05"/>
    <n v="0.44"/>
    <n v="0.19359999999999999"/>
    <x v="7"/>
    <s v="NA6TE"/>
    <n v="74"/>
    <s v="NA6TE-74"/>
  </r>
  <r>
    <x v="1"/>
    <x v="465"/>
    <n v="-0.88"/>
    <n v="0.39"/>
    <s v="#16"/>
    <x v="3"/>
    <n v="0.83"/>
    <n v="-0.05"/>
    <n v="0.44"/>
    <n v="0.19359999999999999"/>
    <x v="7"/>
    <s v="NA16TE"/>
    <n v="86"/>
    <s v="NA16TE-86"/>
  </r>
  <r>
    <x v="7"/>
    <x v="412"/>
    <n v="-1"/>
    <n v="0.39"/>
    <s v="#6"/>
    <x v="0"/>
    <n v="0.89"/>
    <n v="-0.11"/>
    <n v="0.5"/>
    <n v="0.25"/>
    <x v="7"/>
    <s v="NA1QB"/>
    <n v="36"/>
    <s v="NA1QB-36"/>
  </r>
  <r>
    <x v="6"/>
    <x v="102"/>
    <s v="0.01-0.77"/>
    <n v="0.39"/>
    <s v="#3"/>
    <x v="0"/>
    <n v="0.77"/>
    <n v="0.01"/>
    <n v="0.38"/>
    <n v="0.1444"/>
    <x v="7"/>
    <s v="NA12QB"/>
    <n v="39"/>
    <s v="NA12QB-39"/>
  </r>
  <r>
    <x v="12"/>
    <x v="447"/>
    <n v="-0.84000000000000008"/>
    <n v="0.39"/>
    <s v="#21"/>
    <x v="1"/>
    <n v="0.81"/>
    <n v="-0.03"/>
    <n v="0.42"/>
    <n v="0.1764"/>
    <x v="7"/>
    <s v="NA5RB"/>
    <n v="67"/>
    <s v="NA5RB-67"/>
  </r>
  <r>
    <x v="2"/>
    <x v="447"/>
    <n v="-0.94"/>
    <n v="0.39"/>
    <s v="#26"/>
    <x v="1"/>
    <n v="0.86"/>
    <n v="-0.08"/>
    <n v="0.47"/>
    <n v="0.22090000000000001"/>
    <x v="7"/>
    <s v="NA9RB"/>
    <n v="61"/>
    <s v="NA9RB-61"/>
  </r>
  <r>
    <x v="11"/>
    <x v="447"/>
    <s v="0.02-0.76"/>
    <n v="0.39"/>
    <s v="#13"/>
    <x v="1"/>
    <n v="0.76"/>
    <n v="0.02"/>
    <n v="0.37"/>
    <n v="0.13689999999999999"/>
    <x v="7"/>
    <s v="NA14RB"/>
    <n v="79"/>
    <s v="NA14RB-79"/>
  </r>
  <r>
    <x v="15"/>
    <x v="409"/>
    <n v="-1.0999999999999999"/>
    <n v="0.39"/>
    <s v="#4"/>
    <x v="1"/>
    <n v="0.94"/>
    <n v="-0.16"/>
    <n v="0.55000000000000004"/>
    <n v="0.30249999999999999"/>
    <x v="7"/>
    <s v="NA10RB"/>
    <n v="68"/>
    <s v="NA10RB-68"/>
  </r>
  <r>
    <x v="16"/>
    <x v="349"/>
    <n v="-1.4000000000000001"/>
    <n v="0.39"/>
    <s v="#31"/>
    <x v="1"/>
    <n v="1.0900000000000001"/>
    <n v="-0.31"/>
    <n v="0.7"/>
    <n v="0.49"/>
    <x v="7"/>
    <s v="NA3RB"/>
    <n v="58"/>
    <s v="NA3RB-58"/>
  </r>
  <r>
    <x v="12"/>
    <x v="258"/>
    <n v="-1"/>
    <n v="0.39"/>
    <s v="#27"/>
    <x v="2"/>
    <n v="0.89"/>
    <n v="-0.11"/>
    <n v="0.5"/>
    <n v="0.25"/>
    <x v="7"/>
    <s v="NA5WR"/>
    <n v="107"/>
    <s v="NA5WR-107"/>
  </r>
  <r>
    <x v="0"/>
    <x v="470"/>
    <n v="-1.0999999999999999"/>
    <n v="0.39"/>
    <s v="#27"/>
    <x v="1"/>
    <n v="0.94"/>
    <n v="-0.16"/>
    <n v="0.55000000000000004"/>
    <n v="0.30249999999999999"/>
    <x v="7"/>
    <s v="NA17RB"/>
    <n v="77"/>
    <s v="NA17RB-77"/>
  </r>
  <r>
    <x v="10"/>
    <x v="358"/>
    <n v="-1.24"/>
    <n v="0.39"/>
    <s v="#5"/>
    <x v="1"/>
    <n v="1.01"/>
    <n v="-0.23"/>
    <n v="0.62"/>
    <n v="0.38440000000000002"/>
    <x v="7"/>
    <s v="NA2RB"/>
    <n v="53"/>
    <s v="NA2RB-53"/>
  </r>
  <r>
    <x v="15"/>
    <x v="431"/>
    <s v="0.00-0.76"/>
    <n v="0.38"/>
    <s v="#12"/>
    <x v="3"/>
    <n v="0.76"/>
    <n v="0"/>
    <n v="0.38"/>
    <n v="0.1444"/>
    <x v="7"/>
    <s v="NA10TE"/>
    <n v="72"/>
    <s v="NA10TE-72"/>
  </r>
  <r>
    <x v="3"/>
    <x v="431"/>
    <n v="-0.82000000000000006"/>
    <n v="0.38"/>
    <s v="#22"/>
    <x v="3"/>
    <n v="0.79"/>
    <n v="-0.03"/>
    <n v="0.41"/>
    <n v="0.1681"/>
    <x v="7"/>
    <s v="NA11TE"/>
    <n v="64"/>
    <s v="NA11TE-64"/>
  </r>
  <r>
    <x v="0"/>
    <x v="339"/>
    <s v="0.02-0.74"/>
    <n v="0.38"/>
    <s v="#3"/>
    <x v="1"/>
    <n v="0.74"/>
    <n v="0.02"/>
    <n v="0.36"/>
    <n v="0.12959999999999999"/>
    <x v="7"/>
    <s v="NA17RB"/>
    <n v="78"/>
    <s v="NA17RB-78"/>
  </r>
  <r>
    <x v="11"/>
    <x v="284"/>
    <n v="-0.98"/>
    <n v="0.38"/>
    <s v="#2"/>
    <x v="3"/>
    <n v="0.87"/>
    <n v="-0.11"/>
    <n v="0.49"/>
    <n v="0.24010000000000001"/>
    <x v="7"/>
    <s v="NA14TE"/>
    <n v="85"/>
    <s v="NA14TE-85"/>
  </r>
  <r>
    <x v="7"/>
    <x v="361"/>
    <n v="-1.18"/>
    <n v="0.38"/>
    <s v="#20"/>
    <x v="2"/>
    <n v="0.97"/>
    <n v="-0.21"/>
    <n v="0.59"/>
    <n v="0.34810000000000002"/>
    <x v="7"/>
    <s v="NA1WR"/>
    <n v="82"/>
    <s v="NA1WR-82"/>
  </r>
  <r>
    <x v="16"/>
    <x v="376"/>
    <s v="0.01-0.75"/>
    <n v="0.38"/>
    <s v="#18"/>
    <x v="2"/>
    <n v="0.75"/>
    <n v="0.01"/>
    <n v="0.37"/>
    <n v="0.13689999999999999"/>
    <x v="7"/>
    <s v="NA3WR"/>
    <n v="98"/>
    <s v="NA3WR-98"/>
  </r>
  <r>
    <x v="12"/>
    <x v="440"/>
    <n v="-0.91999999999999993"/>
    <n v="0.38"/>
    <s v="#20"/>
    <x v="2"/>
    <n v="0.84"/>
    <n v="-0.08"/>
    <n v="0.46"/>
    <n v="0.21160000000000001"/>
    <x v="7"/>
    <s v="NA5WR"/>
    <n v="108"/>
    <s v="NA5WR-108"/>
  </r>
  <r>
    <x v="4"/>
    <x v="351"/>
    <s v="0.03-0.73"/>
    <n v="0.38"/>
    <s v="#5"/>
    <x v="3"/>
    <n v="0.73"/>
    <n v="0.03"/>
    <n v="0.35"/>
    <n v="0.1225"/>
    <x v="7"/>
    <s v="NA7TE"/>
    <n v="76"/>
    <s v="NA7TE-76"/>
  </r>
  <r>
    <x v="10"/>
    <x v="378"/>
    <n v="-0.96"/>
    <n v="0.38"/>
    <s v="#1"/>
    <x v="2"/>
    <n v="0.86"/>
    <n v="-0.1"/>
    <n v="0.48"/>
    <n v="0.23039999999999999"/>
    <x v="7"/>
    <s v="NA2WR"/>
    <n v="89"/>
    <s v="NA2WR-89"/>
  </r>
  <r>
    <x v="13"/>
    <x v="378"/>
    <n v="-1.04"/>
    <n v="0.38"/>
    <s v="#31"/>
    <x v="2"/>
    <n v="0.9"/>
    <n v="-0.14000000000000001"/>
    <n v="0.52"/>
    <n v="0.27039999999999997"/>
    <x v="7"/>
    <s v="NA8WR"/>
    <n v="100"/>
    <s v="NA8WR-100"/>
  </r>
  <r>
    <x v="9"/>
    <x v="378"/>
    <n v="-1.02"/>
    <n v="0.38"/>
    <s v="#25"/>
    <x v="2"/>
    <n v="0.89"/>
    <n v="-0.13"/>
    <n v="0.51"/>
    <n v="0.2601"/>
    <x v="7"/>
    <s v="NA15WR"/>
    <n v="121"/>
    <s v="NA15WR-121"/>
  </r>
  <r>
    <x v="15"/>
    <x v="338"/>
    <n v="-1.18"/>
    <n v="0.38"/>
    <s v="#8"/>
    <x v="2"/>
    <n v="0.97"/>
    <n v="-0.21"/>
    <n v="0.59"/>
    <n v="0.34810000000000002"/>
    <x v="7"/>
    <s v="NA10WR"/>
    <n v="110"/>
    <s v="NA10WR-110"/>
  </r>
  <r>
    <x v="8"/>
    <x v="269"/>
    <n v="-1.1000000000000001"/>
    <n v="0.38"/>
    <s v="#22"/>
    <x v="2"/>
    <n v="0.93"/>
    <n v="-0.17"/>
    <n v="0.55000000000000004"/>
    <n v="0.30249999999999999"/>
    <x v="7"/>
    <s v="NA6WR"/>
    <n v="112"/>
    <s v="NA6WR-112"/>
  </r>
  <r>
    <x v="12"/>
    <x v="398"/>
    <n v="-0.82000000000000006"/>
    <n v="0.38"/>
    <s v="#20"/>
    <x v="1"/>
    <n v="0.79"/>
    <n v="-0.03"/>
    <n v="0.41"/>
    <n v="0.1681"/>
    <x v="7"/>
    <s v="NA5RB"/>
    <n v="68"/>
    <s v="NA5RB-68"/>
  </r>
  <r>
    <x v="5"/>
    <x v="398"/>
    <n v="-0.82000000000000006"/>
    <n v="0.38"/>
    <s v="#32"/>
    <x v="1"/>
    <n v="0.79"/>
    <n v="-0.03"/>
    <n v="0.41"/>
    <n v="0.1681"/>
    <x v="7"/>
    <s v="NA13RB"/>
    <n v="80"/>
    <s v="NA13RB-80"/>
  </r>
  <r>
    <x v="16"/>
    <x v="464"/>
    <s v="0.01-0.75"/>
    <n v="0.38"/>
    <s v="#26"/>
    <x v="3"/>
    <n v="0.75"/>
    <n v="0.01"/>
    <n v="0.37"/>
    <n v="0.13689999999999999"/>
    <x v="7"/>
    <s v="NA3TE"/>
    <n v="71"/>
    <s v="NA3TE-71"/>
  </r>
  <r>
    <x v="14"/>
    <x v="333"/>
    <n v="-0.94"/>
    <n v="0.38"/>
    <s v="#11"/>
    <x v="3"/>
    <n v="0.85"/>
    <n v="-0.09"/>
    <n v="0.47"/>
    <n v="0.22090000000000001"/>
    <x v="7"/>
    <s v="NA4TE"/>
    <n v="66"/>
    <s v="NA4TE-66"/>
  </r>
  <r>
    <x v="2"/>
    <x v="453"/>
    <n v="-1"/>
    <n v="0.38"/>
    <s v="#27"/>
    <x v="3"/>
    <n v="0.88"/>
    <n v="-0.12"/>
    <n v="0.5"/>
    <n v="0.25"/>
    <x v="7"/>
    <s v="NA9TE"/>
    <n v="68"/>
    <s v="NA9TE-68"/>
  </r>
  <r>
    <x v="4"/>
    <x v="386"/>
    <n v="-0.84000000000000008"/>
    <n v="0.38"/>
    <s v="#11"/>
    <x v="1"/>
    <n v="0.8"/>
    <n v="-0.04"/>
    <n v="0.42"/>
    <n v="0.1764"/>
    <x v="7"/>
    <s v="NA7RB"/>
    <n v="64"/>
    <s v="NA7RB-64"/>
  </r>
  <r>
    <x v="12"/>
    <x v="403"/>
    <s v="0.01-0.75"/>
    <n v="0.38"/>
    <s v="#6"/>
    <x v="1"/>
    <n v="0.75"/>
    <n v="0.01"/>
    <n v="0.37"/>
    <n v="0.13689999999999999"/>
    <x v="7"/>
    <s v="NA5RB"/>
    <n v="69"/>
    <s v="NA5RB-69"/>
  </r>
  <r>
    <x v="1"/>
    <x v="344"/>
    <n v="-0.8"/>
    <n v="0.38"/>
    <s v="#6"/>
    <x v="2"/>
    <n v="0.78"/>
    <n v="-0.02"/>
    <n v="0.4"/>
    <n v="0.16"/>
    <x v="7"/>
    <s v="NA16WR"/>
    <n v="121"/>
    <s v="NA16WR-121"/>
  </r>
  <r>
    <x v="14"/>
    <x v="455"/>
    <n v="-0.87999999999999989"/>
    <n v="0.38"/>
    <s v="#22"/>
    <x v="0"/>
    <n v="0.82"/>
    <n v="-0.06"/>
    <n v="0.44"/>
    <n v="0.19359999999999999"/>
    <x v="7"/>
    <s v="NA4QB"/>
    <n v="36"/>
    <s v="NA4QB-36"/>
  </r>
  <r>
    <x v="8"/>
    <x v="458"/>
    <s v="0.00-0.76"/>
    <n v="0.38"/>
    <s v="#13"/>
    <x v="3"/>
    <n v="0.76"/>
    <n v="0"/>
    <n v="0.38"/>
    <n v="0.1444"/>
    <x v="7"/>
    <s v="NA6TE"/>
    <n v="75"/>
    <s v="NA6TE-75"/>
  </r>
  <r>
    <x v="3"/>
    <x v="458"/>
    <s v="0.00-0.76"/>
    <n v="0.38"/>
    <s v="#5"/>
    <x v="3"/>
    <n v="0.76"/>
    <n v="0"/>
    <n v="0.38"/>
    <n v="0.1444"/>
    <x v="7"/>
    <s v="NA11TE"/>
    <n v="65"/>
    <s v="NA11TE-65"/>
  </r>
  <r>
    <x v="0"/>
    <x v="458"/>
    <s v="0.00-0.76"/>
    <n v="0.38"/>
    <s v="#5"/>
    <x v="3"/>
    <n v="0.76"/>
    <n v="0"/>
    <n v="0.38"/>
    <n v="0.1444"/>
    <x v="7"/>
    <s v="NA17TE"/>
    <n v="83"/>
    <s v="NA17TE-83"/>
  </r>
  <r>
    <x v="9"/>
    <x v="431"/>
    <s v="0.01-0.73"/>
    <n v="0.37"/>
    <s v="#1"/>
    <x v="3"/>
    <n v="0.73"/>
    <n v="0.01"/>
    <n v="0.36"/>
    <n v="0.12959999999999999"/>
    <x v="7"/>
    <s v="NA15TE"/>
    <n v="84"/>
    <s v="NA15TE-84"/>
  </r>
  <r>
    <x v="8"/>
    <x v="286"/>
    <n v="-0.82000000000000006"/>
    <n v="0.37"/>
    <s v="#9"/>
    <x v="3"/>
    <n v="0.78"/>
    <n v="-0.04"/>
    <n v="0.41"/>
    <n v="0.1681"/>
    <x v="7"/>
    <s v="NA6TE"/>
    <n v="76"/>
    <s v="NA6TE-76"/>
  </r>
  <r>
    <x v="2"/>
    <x v="286"/>
    <n v="-0.82000000000000006"/>
    <n v="0.37"/>
    <s v="#24"/>
    <x v="3"/>
    <n v="0.78"/>
    <n v="-0.04"/>
    <n v="0.41"/>
    <n v="0.1681"/>
    <x v="7"/>
    <s v="NA9TE"/>
    <n v="69"/>
    <s v="NA9TE-69"/>
  </r>
  <r>
    <x v="9"/>
    <x v="286"/>
    <s v="0.03-0.71"/>
    <n v="0.37"/>
    <s v="#27"/>
    <x v="3"/>
    <n v="0.71"/>
    <n v="0.03"/>
    <n v="0.34"/>
    <n v="0.11559999999999999"/>
    <x v="7"/>
    <s v="NA15TE"/>
    <n v="85"/>
    <s v="NA15TE-85"/>
  </r>
  <r>
    <x v="7"/>
    <x v="284"/>
    <n v="-0.8600000000000001"/>
    <n v="0.37"/>
    <s v="#23"/>
    <x v="3"/>
    <n v="0.8"/>
    <n v="-0.06"/>
    <n v="0.43"/>
    <n v="0.18490000000000001"/>
    <x v="7"/>
    <s v="NA1TE"/>
    <n v="60"/>
    <s v="NA1TE-60"/>
  </r>
  <r>
    <x v="3"/>
    <x v="284"/>
    <n v="-0.94"/>
    <n v="0.37"/>
    <s v="#28"/>
    <x v="3"/>
    <n v="0.84"/>
    <n v="-0.1"/>
    <n v="0.47"/>
    <n v="0.22090000000000001"/>
    <x v="7"/>
    <s v="NA11TE"/>
    <n v="66"/>
    <s v="NA11TE-66"/>
  </r>
  <r>
    <x v="0"/>
    <x v="284"/>
    <n v="-0.98"/>
    <n v="0.37"/>
    <s v="#30"/>
    <x v="3"/>
    <n v="0.86"/>
    <n v="-0.12"/>
    <n v="0.49"/>
    <n v="0.24010000000000001"/>
    <x v="7"/>
    <s v="NA17TE"/>
    <n v="84"/>
    <s v="NA17TE-84"/>
  </r>
  <r>
    <x v="10"/>
    <x v="361"/>
    <n v="-1.04"/>
    <n v="0.37"/>
    <s v="#15"/>
    <x v="2"/>
    <n v="0.89"/>
    <n v="-0.15"/>
    <n v="0.52"/>
    <n v="0.27039999999999997"/>
    <x v="7"/>
    <s v="NA2WR"/>
    <n v="90"/>
    <s v="NA2WR-90"/>
  </r>
  <r>
    <x v="6"/>
    <x v="440"/>
    <n v="-0.84000000000000008"/>
    <n v="0.37"/>
    <s v="#1"/>
    <x v="2"/>
    <n v="0.79"/>
    <n v="-0.05"/>
    <n v="0.42"/>
    <n v="0.1764"/>
    <x v="7"/>
    <s v="NA12WR"/>
    <n v="114"/>
    <s v="NA12WR-114"/>
  </r>
  <r>
    <x v="1"/>
    <x v="440"/>
    <n v="-0.8"/>
    <n v="0.37"/>
    <s v="#16"/>
    <x v="2"/>
    <n v="0.77"/>
    <n v="-0.03"/>
    <n v="0.4"/>
    <n v="0.16"/>
    <x v="7"/>
    <s v="NA16WR"/>
    <n v="122"/>
    <s v="NA16WR-122"/>
  </r>
  <r>
    <x v="13"/>
    <x v="364"/>
    <n v="-0.84000000000000008"/>
    <n v="0.37"/>
    <s v="#26"/>
    <x v="1"/>
    <n v="0.79"/>
    <n v="-0.05"/>
    <n v="0.42"/>
    <n v="0.1764"/>
    <x v="7"/>
    <s v="NA8RB"/>
    <n v="71"/>
    <s v="NA8RB-71"/>
  </r>
  <r>
    <x v="14"/>
    <x v="378"/>
    <n v="-1.04"/>
    <n v="0.37"/>
    <s v="#29"/>
    <x v="2"/>
    <n v="0.89"/>
    <n v="-0.15"/>
    <n v="0.52"/>
    <n v="0.27039999999999997"/>
    <x v="7"/>
    <s v="NA4WR"/>
    <n v="94"/>
    <s v="NA4WR-94"/>
  </r>
  <r>
    <x v="3"/>
    <x v="269"/>
    <n v="-0.8600000000000001"/>
    <n v="0.37"/>
    <s v="#30"/>
    <x v="2"/>
    <n v="0.8"/>
    <n v="-0.06"/>
    <n v="0.43"/>
    <n v="0.18490000000000001"/>
    <x v="7"/>
    <s v="NA11WR"/>
    <n v="95"/>
    <s v="NA11WR-95"/>
  </r>
  <r>
    <x v="9"/>
    <x v="398"/>
    <n v="-0.8"/>
    <n v="0.37"/>
    <s v="#19"/>
    <x v="1"/>
    <n v="0.77"/>
    <n v="-0.03"/>
    <n v="0.4"/>
    <n v="0.16"/>
    <x v="7"/>
    <s v="NA15RB"/>
    <n v="80"/>
    <s v="NA15RB-80"/>
  </r>
  <r>
    <x v="11"/>
    <x v="465"/>
    <n v="-0.76"/>
    <n v="0.37"/>
    <s v="#15"/>
    <x v="3"/>
    <n v="0.75"/>
    <n v="-0.01"/>
    <n v="0.38"/>
    <n v="0.1444"/>
    <x v="7"/>
    <s v="NA14TE"/>
    <n v="86"/>
    <s v="NA14TE-86"/>
  </r>
  <r>
    <x v="3"/>
    <x v="447"/>
    <s v="0.04-0.70"/>
    <n v="0.37"/>
    <s v="#7"/>
    <x v="1"/>
    <n v="0.7"/>
    <n v="0.04"/>
    <n v="0.33"/>
    <n v="0.1089"/>
    <x v="7"/>
    <s v="NA11RB"/>
    <n v="67"/>
    <s v="NA11RB-67"/>
  </r>
  <r>
    <x v="0"/>
    <x v="447"/>
    <n v="-0.84000000000000008"/>
    <n v="0.37"/>
    <s v="#21"/>
    <x v="1"/>
    <n v="0.79"/>
    <n v="-0.05"/>
    <n v="0.42"/>
    <n v="0.1764"/>
    <x v="7"/>
    <s v="NA17RB"/>
    <n v="79"/>
    <s v="NA17RB-79"/>
  </r>
  <r>
    <x v="7"/>
    <x v="472"/>
    <n v="-1.08"/>
    <n v="0.37"/>
    <s v="#2"/>
    <x v="3"/>
    <n v="0.91"/>
    <n v="-0.17"/>
    <n v="0.54"/>
    <n v="0.29160000000000003"/>
    <x v="7"/>
    <s v="NA1TE"/>
    <n v="61"/>
    <s v="NA1TE-61"/>
  </r>
  <r>
    <x v="13"/>
    <x v="431"/>
    <n v="-0.78"/>
    <n v="0.36"/>
    <s v="#19"/>
    <x v="3"/>
    <n v="0.75"/>
    <n v="-0.03"/>
    <n v="0.39"/>
    <n v="0.15210000000000001"/>
    <x v="7"/>
    <s v="NA8TE"/>
    <n v="74"/>
    <s v="NA8TE-74"/>
  </r>
  <r>
    <x v="8"/>
    <x v="400"/>
    <n v="-0.91999999999999993"/>
    <n v="0.36"/>
    <s v="#5"/>
    <x v="1"/>
    <n v="0.82"/>
    <n v="-0.1"/>
    <n v="0.46"/>
    <n v="0.21160000000000001"/>
    <x v="7"/>
    <s v="NA6RB"/>
    <n v="68"/>
    <s v="NA6RB-68"/>
  </r>
  <r>
    <x v="4"/>
    <x v="339"/>
    <s v="0.00-0.72"/>
    <n v="0.36"/>
    <s v="#3"/>
    <x v="1"/>
    <n v="0.72"/>
    <n v="0"/>
    <n v="0.36"/>
    <n v="0.12959999999999999"/>
    <x v="7"/>
    <s v="NA7RB"/>
    <n v="65"/>
    <s v="NA7RB-65"/>
  </r>
  <r>
    <x v="16"/>
    <x v="281"/>
    <s v="0.00-0.72"/>
    <n v="0.36"/>
    <s v="#7"/>
    <x v="3"/>
    <n v="0.72"/>
    <n v="0"/>
    <n v="0.36"/>
    <n v="0.12959999999999999"/>
    <x v="7"/>
    <s v="NA3TE"/>
    <n v="72"/>
    <s v="NA3TE-72"/>
  </r>
  <r>
    <x v="12"/>
    <x v="364"/>
    <n v="-1.02"/>
    <n v="0.36"/>
    <s v="#12"/>
    <x v="1"/>
    <n v="0.87"/>
    <n v="-0.15"/>
    <n v="0.51"/>
    <n v="0.2601"/>
    <x v="7"/>
    <s v="NA5RB"/>
    <n v="70"/>
    <s v="NA5RB-70"/>
  </r>
  <r>
    <x v="6"/>
    <x v="378"/>
    <n v="-1"/>
    <n v="0.36"/>
    <s v="#2"/>
    <x v="2"/>
    <n v="0.86"/>
    <n v="-0.14000000000000001"/>
    <n v="0.5"/>
    <n v="0.25"/>
    <x v="7"/>
    <s v="NA12WR"/>
    <n v="115"/>
    <s v="NA12WR-115"/>
  </r>
  <r>
    <x v="5"/>
    <x v="378"/>
    <n v="-1"/>
    <n v="0.36"/>
    <s v="#16"/>
    <x v="2"/>
    <n v="0.86"/>
    <n v="-0.14000000000000001"/>
    <n v="0.5"/>
    <n v="0.25"/>
    <x v="7"/>
    <s v="NA13WR"/>
    <n v="122"/>
    <s v="NA13WR-122"/>
  </r>
  <r>
    <x v="1"/>
    <x v="378"/>
    <n v="-1"/>
    <n v="0.36"/>
    <s v="#2"/>
    <x v="2"/>
    <n v="0.86"/>
    <n v="-0.14000000000000001"/>
    <n v="0.5"/>
    <n v="0.25"/>
    <x v="7"/>
    <s v="NA16WR"/>
    <n v="123"/>
    <s v="NA16WR-123"/>
  </r>
  <r>
    <x v="14"/>
    <x v="437"/>
    <n v="-0.96"/>
    <n v="0.36"/>
    <s v="#26"/>
    <x v="1"/>
    <n v="0.84"/>
    <n v="-0.12"/>
    <n v="0.48"/>
    <n v="0.23039999999999999"/>
    <x v="7"/>
    <s v="NA4RB"/>
    <n v="58"/>
    <s v="NA4RB-58"/>
  </r>
  <r>
    <x v="9"/>
    <x v="269"/>
    <n v="-1.08"/>
    <n v="0.36"/>
    <s v="#10"/>
    <x v="2"/>
    <n v="0.9"/>
    <n v="-0.18"/>
    <n v="0.54"/>
    <n v="0.29160000000000003"/>
    <x v="7"/>
    <s v="NA15WR"/>
    <n v="122"/>
    <s v="NA15WR-122"/>
  </r>
  <r>
    <x v="0"/>
    <x v="398"/>
    <n v="-0.82000000000000006"/>
    <n v="0.36"/>
    <s v="#32"/>
    <x v="1"/>
    <n v="0.77"/>
    <n v="-0.05"/>
    <n v="0.41"/>
    <n v="0.1681"/>
    <x v="7"/>
    <s v="NA17RB"/>
    <n v="80"/>
    <s v="NA17RB-80"/>
  </r>
  <r>
    <x v="15"/>
    <x v="465"/>
    <n v="-0.74"/>
    <n v="0.36"/>
    <s v="#20"/>
    <x v="3"/>
    <n v="0.73"/>
    <n v="-0.01"/>
    <n v="0.37"/>
    <n v="0.13689999999999999"/>
    <x v="7"/>
    <s v="NA10TE"/>
    <n v="73"/>
    <s v="NA10TE-73"/>
  </r>
  <r>
    <x v="5"/>
    <x v="465"/>
    <n v="-0.76"/>
    <n v="0.36"/>
    <s v="#32"/>
    <x v="3"/>
    <n v="0.74"/>
    <n v="-0.02"/>
    <n v="0.38"/>
    <n v="0.1444"/>
    <x v="7"/>
    <s v="NA13TE"/>
    <n v="84"/>
    <s v="NA13TE-84"/>
  </r>
  <r>
    <x v="7"/>
    <x v="446"/>
    <n v="-0.96"/>
    <n v="0.36"/>
    <s v="#7"/>
    <x v="2"/>
    <n v="0.84"/>
    <n v="-0.12"/>
    <n v="0.48"/>
    <n v="0.23039999999999999"/>
    <x v="7"/>
    <s v="NA1WR"/>
    <n v="83"/>
    <s v="NA1WR-83"/>
  </r>
  <r>
    <x v="10"/>
    <x v="474"/>
    <n v="-1.02"/>
    <n v="0.36"/>
    <s v="#28"/>
    <x v="1"/>
    <n v="0.87"/>
    <n v="-0.15"/>
    <n v="0.51"/>
    <n v="0.2601"/>
    <x v="7"/>
    <s v="NA2RB"/>
    <n v="54"/>
    <s v="NA2RB-54"/>
  </r>
  <r>
    <x v="8"/>
    <x v="386"/>
    <n v="-0.74"/>
    <n v="0.36"/>
    <s v="#4"/>
    <x v="1"/>
    <n v="0.73"/>
    <n v="-0.01"/>
    <n v="0.37"/>
    <n v="0.13689999999999999"/>
    <x v="7"/>
    <s v="NA6RB"/>
    <n v="69"/>
    <s v="NA6RB-69"/>
  </r>
  <r>
    <x v="4"/>
    <x v="258"/>
    <s v="0.00-0.72"/>
    <n v="0.36"/>
    <s v="#12"/>
    <x v="2"/>
    <n v="0.72"/>
    <n v="0"/>
    <n v="0.36"/>
    <n v="0.12959999999999999"/>
    <x v="7"/>
    <s v="NA7WR"/>
    <n v="106"/>
    <s v="NA7WR-106"/>
  </r>
  <r>
    <x v="6"/>
    <x v="258"/>
    <s v="0.00-0.72"/>
    <n v="0.36"/>
    <s v="#12"/>
    <x v="2"/>
    <n v="0.72"/>
    <n v="0"/>
    <n v="0.36"/>
    <n v="0.12959999999999999"/>
    <x v="7"/>
    <s v="NA12WR"/>
    <n v="116"/>
    <s v="NA12WR-116"/>
  </r>
  <r>
    <x v="14"/>
    <x v="461"/>
    <n v="-0.84000000000000008"/>
    <n v="0.35"/>
    <s v="#16"/>
    <x v="0"/>
    <n v="0.77"/>
    <n v="-7.0000000000000007E-2"/>
    <n v="0.42"/>
    <n v="0.1764"/>
    <x v="7"/>
    <s v="NA4QB"/>
    <n v="37"/>
    <s v="NA4QB-37"/>
  </r>
  <r>
    <x v="16"/>
    <x v="473"/>
    <n v="-0.76"/>
    <n v="0.35"/>
    <s v="#18"/>
    <x v="1"/>
    <n v="0.73"/>
    <n v="-0.03"/>
    <n v="0.38"/>
    <n v="0.1444"/>
    <x v="7"/>
    <s v="NA3RB"/>
    <n v="59"/>
    <s v="NA3RB-59"/>
  </r>
  <r>
    <x v="3"/>
    <x v="376"/>
    <s v="0.00-0.70"/>
    <n v="0.35"/>
    <s v="#10"/>
    <x v="2"/>
    <n v="0.7"/>
    <n v="0"/>
    <n v="0.35"/>
    <n v="0.1225"/>
    <x v="7"/>
    <s v="NA11WR"/>
    <n v="96"/>
    <s v="NA11WR-96"/>
  </r>
  <r>
    <x v="3"/>
    <x v="232"/>
    <n v="-0.94"/>
    <n v="0.35"/>
    <s v="#25"/>
    <x v="2"/>
    <n v="0.82"/>
    <n v="-0.12"/>
    <n v="0.47"/>
    <n v="0.22090000000000001"/>
    <x v="7"/>
    <s v="NA11WR"/>
    <n v="97"/>
    <s v="NA11WR-97"/>
  </r>
  <r>
    <x v="10"/>
    <x v="475"/>
    <s v="0.02-0.68"/>
    <n v="0.35"/>
    <s v="#15"/>
    <x v="2"/>
    <n v="0.68"/>
    <n v="0.02"/>
    <n v="0.33"/>
    <n v="0.1089"/>
    <x v="7"/>
    <s v="NA2WR"/>
    <n v="91"/>
    <s v="NA2WR-91"/>
  </r>
  <r>
    <x v="11"/>
    <x v="322"/>
    <n v="-0.86"/>
    <n v="0.35"/>
    <s v="#5"/>
    <x v="2"/>
    <n v="0.78"/>
    <n v="-0.08"/>
    <n v="0.43"/>
    <n v="0.18490000000000001"/>
    <x v="7"/>
    <s v="NA14WR"/>
    <n v="122"/>
    <s v="NA14WR-122"/>
  </r>
  <r>
    <x v="1"/>
    <x v="322"/>
    <n v="-0.84000000000000008"/>
    <n v="0.35"/>
    <s v="#13"/>
    <x v="2"/>
    <n v="0.77"/>
    <n v="-7.0000000000000007E-2"/>
    <n v="0.42"/>
    <n v="0.1764"/>
    <x v="7"/>
    <s v="NA16WR"/>
    <n v="124"/>
    <s v="NA16WR-124"/>
  </r>
  <r>
    <x v="13"/>
    <x v="398"/>
    <n v="-0.72"/>
    <n v="0.35"/>
    <s v="#9"/>
    <x v="1"/>
    <n v="0.71"/>
    <n v="-0.01"/>
    <n v="0.36"/>
    <n v="0.12959999999999999"/>
    <x v="7"/>
    <s v="NA8RB"/>
    <n v="72"/>
    <s v="NA8RB-72"/>
  </r>
  <r>
    <x v="1"/>
    <x v="398"/>
    <n v="-0.76"/>
    <n v="0.35"/>
    <s v="#16"/>
    <x v="1"/>
    <n v="0.73"/>
    <n v="-0.03"/>
    <n v="0.38"/>
    <n v="0.1444"/>
    <x v="7"/>
    <s v="NA16RB"/>
    <n v="80"/>
    <s v="NA16RB-80"/>
  </r>
  <r>
    <x v="2"/>
    <x v="464"/>
    <s v="0.02-0.68"/>
    <n v="0.35"/>
    <s v="#5"/>
    <x v="3"/>
    <n v="0.68"/>
    <n v="0.02"/>
    <n v="0.33"/>
    <n v="0.1089"/>
    <x v="7"/>
    <s v="NA9TE"/>
    <n v="70"/>
    <s v="NA9TE-70"/>
  </r>
  <r>
    <x v="12"/>
    <x v="465"/>
    <n v="-0.74"/>
    <n v="0.35"/>
    <s v="#20"/>
    <x v="3"/>
    <n v="0.72"/>
    <n v="-0.02"/>
    <n v="0.37"/>
    <n v="0.13689999999999999"/>
    <x v="7"/>
    <s v="NA5TE"/>
    <n v="75"/>
    <s v="NA5TE-75"/>
  </r>
  <r>
    <x v="0"/>
    <x v="465"/>
    <n v="-0.76"/>
    <n v="0.35"/>
    <s v="#32"/>
    <x v="3"/>
    <n v="0.73"/>
    <n v="-0.03"/>
    <n v="0.38"/>
    <n v="0.1444"/>
    <x v="7"/>
    <s v="NA17TE"/>
    <n v="85"/>
    <s v="NA17TE-85"/>
  </r>
  <r>
    <x v="4"/>
    <x v="447"/>
    <n v="-0.82000000000000006"/>
    <n v="0.35"/>
    <s v="#24"/>
    <x v="1"/>
    <n v="0.76"/>
    <n v="-0.06"/>
    <n v="0.41"/>
    <n v="0.1681"/>
    <x v="7"/>
    <s v="NA7RB"/>
    <n v="66"/>
    <s v="NA7RB-66"/>
  </r>
  <r>
    <x v="10"/>
    <x v="476"/>
    <n v="-0.9"/>
    <n v="0.35"/>
    <s v="#21"/>
    <x v="2"/>
    <n v="0.8"/>
    <n v="-0.1"/>
    <n v="0.45"/>
    <n v="0.20250000000000001"/>
    <x v="7"/>
    <s v="NA2WR"/>
    <n v="92"/>
    <s v="NA2WR-92"/>
  </r>
  <r>
    <x v="8"/>
    <x v="258"/>
    <s v="0.01-0.69"/>
    <n v="0.35"/>
    <s v="#3"/>
    <x v="2"/>
    <n v="0.69"/>
    <n v="0.01"/>
    <n v="0.34"/>
    <n v="0.11559999999999999"/>
    <x v="7"/>
    <s v="NA6WR"/>
    <n v="113"/>
    <s v="NA6WR-113"/>
  </r>
  <r>
    <x v="7"/>
    <x v="470"/>
    <n v="-0.74"/>
    <n v="0.35"/>
    <s v="#22"/>
    <x v="1"/>
    <n v="0.72"/>
    <n v="-0.02"/>
    <n v="0.37"/>
    <n v="0.13689999999999999"/>
    <x v="7"/>
    <s v="NA1RB"/>
    <n v="47"/>
    <s v="NA1RB-47"/>
  </r>
  <r>
    <x v="5"/>
    <x v="471"/>
    <n v="-1.1000000000000001"/>
    <n v="0.34"/>
    <s v="#14"/>
    <x v="2"/>
    <n v="0.89"/>
    <n v="-0.21"/>
    <n v="0.55000000000000004"/>
    <n v="0.30249999999999999"/>
    <x v="7"/>
    <s v="NA13WR"/>
    <n v="123"/>
    <s v="NA13WR-123"/>
  </r>
  <r>
    <x v="12"/>
    <x v="47"/>
    <n v="-0.98"/>
    <n v="0.34"/>
    <s v="#11"/>
    <x v="0"/>
    <n v="0.83"/>
    <n v="-0.15"/>
    <n v="0.49"/>
    <n v="0.24010000000000001"/>
    <x v="7"/>
    <s v="NA5QB"/>
    <n v="37"/>
    <s v="NA5QB-37"/>
  </r>
  <r>
    <x v="0"/>
    <x v="473"/>
    <n v="-0.76"/>
    <n v="0.34"/>
    <s v="#25"/>
    <x v="1"/>
    <n v="0.72"/>
    <n v="-0.04"/>
    <n v="0.38"/>
    <n v="0.1444"/>
    <x v="7"/>
    <s v="NA17RB"/>
    <n v="81"/>
    <s v="NA17RB-81"/>
  </r>
  <r>
    <x v="1"/>
    <x v="364"/>
    <n v="-0.78"/>
    <n v="0.34"/>
    <s v="#15"/>
    <x v="1"/>
    <n v="0.73"/>
    <n v="-0.05"/>
    <n v="0.39"/>
    <n v="0.15210000000000001"/>
    <x v="7"/>
    <s v="NA16RB"/>
    <n v="81"/>
    <s v="NA16RB-81"/>
  </r>
  <r>
    <x v="12"/>
    <x v="232"/>
    <n v="-0.78"/>
    <n v="0.34"/>
    <s v="#18"/>
    <x v="2"/>
    <n v="0.73"/>
    <n v="-0.05"/>
    <n v="0.39"/>
    <n v="0.15210000000000001"/>
    <x v="7"/>
    <s v="NA5WR"/>
    <n v="109"/>
    <s v="NA5WR-109"/>
  </r>
  <r>
    <x v="13"/>
    <x v="232"/>
    <n v="-0.78"/>
    <n v="0.34"/>
    <s v="#18"/>
    <x v="2"/>
    <n v="0.73"/>
    <n v="-0.05"/>
    <n v="0.39"/>
    <n v="0.15210000000000001"/>
    <x v="7"/>
    <s v="NA8WR"/>
    <n v="101"/>
    <s v="NA8WR-101"/>
  </r>
  <r>
    <x v="15"/>
    <x v="232"/>
    <n v="-0.94000000000000006"/>
    <n v="0.34"/>
    <s v="#32"/>
    <x v="2"/>
    <n v="0.81"/>
    <n v="-0.13"/>
    <n v="0.47"/>
    <n v="0.22090000000000001"/>
    <x v="7"/>
    <s v="NA10WR"/>
    <n v="111"/>
    <s v="NA10WR-111"/>
  </r>
  <r>
    <x v="16"/>
    <x v="462"/>
    <n v="-0.92"/>
    <n v="0.34"/>
    <s v="#8"/>
    <x v="1"/>
    <n v="0.8"/>
    <n v="-0.12"/>
    <n v="0.46"/>
    <n v="0.21160000000000001"/>
    <x v="7"/>
    <s v="NA3RB"/>
    <n v="60"/>
    <s v="NA3RB-60"/>
  </r>
  <r>
    <x v="13"/>
    <x v="468"/>
    <s v="0.09-0.59"/>
    <n v="0.34"/>
    <s v="#3"/>
    <x v="3"/>
    <n v="0.59"/>
    <n v="0.09"/>
    <n v="0.25"/>
    <n v="6.25E-2"/>
    <x v="7"/>
    <s v="NA8TE"/>
    <n v="75"/>
    <s v="NA8TE-75"/>
  </r>
  <r>
    <x v="8"/>
    <x v="398"/>
    <n v="-0.74"/>
    <n v="0.34"/>
    <s v="#8"/>
    <x v="1"/>
    <n v="0.71"/>
    <n v="-0.03"/>
    <n v="0.37"/>
    <n v="0.13689999999999999"/>
    <x v="7"/>
    <s v="NA6RB"/>
    <n v="70"/>
    <s v="NA6RB-70"/>
  </r>
  <r>
    <x v="2"/>
    <x v="398"/>
    <n v="-0.72"/>
    <n v="0.34"/>
    <s v="#18"/>
    <x v="1"/>
    <n v="0.7"/>
    <n v="-0.02"/>
    <n v="0.36"/>
    <n v="0.12959999999999999"/>
    <x v="7"/>
    <s v="NA9RB"/>
    <n v="62"/>
    <s v="NA9RB-62"/>
  </r>
  <r>
    <x v="3"/>
    <x v="398"/>
    <n v="-0.82000000000000006"/>
    <n v="0.34"/>
    <s v="#13"/>
    <x v="1"/>
    <n v="0.75"/>
    <n v="-7.0000000000000007E-2"/>
    <n v="0.41"/>
    <n v="0.1681"/>
    <x v="7"/>
    <s v="NA11RB"/>
    <n v="68"/>
    <s v="NA11RB-68"/>
  </r>
  <r>
    <x v="15"/>
    <x v="419"/>
    <s v="0.04-0.64"/>
    <n v="0.34"/>
    <s v="#3"/>
    <x v="3"/>
    <n v="0.64"/>
    <n v="0.04"/>
    <n v="0.3"/>
    <n v="0.09"/>
    <x v="7"/>
    <s v="NA10TE"/>
    <n v="74"/>
    <s v="NA10TE-74"/>
  </r>
  <r>
    <x v="16"/>
    <x v="102"/>
    <n v="-0.86"/>
    <n v="0.34"/>
    <s v="#26"/>
    <x v="0"/>
    <n v="0.77"/>
    <n v="-0.09"/>
    <n v="0.43"/>
    <n v="0.18490000000000001"/>
    <x v="7"/>
    <s v="NA3QB"/>
    <n v="38"/>
    <s v="NA3QB-38"/>
  </r>
  <r>
    <x v="7"/>
    <x v="373"/>
    <n v="-0.76"/>
    <n v="0.34"/>
    <s v="#29"/>
    <x v="2"/>
    <n v="0.72"/>
    <n v="-0.04"/>
    <n v="0.38"/>
    <n v="0.1444"/>
    <x v="7"/>
    <s v="NA1WR"/>
    <n v="84"/>
    <s v="NA1WR-84"/>
  </r>
  <r>
    <x v="11"/>
    <x v="470"/>
    <n v="-0.98"/>
    <n v="0.34"/>
    <s v="#14"/>
    <x v="1"/>
    <n v="0.83"/>
    <n v="-0.15"/>
    <n v="0.49"/>
    <n v="0.24010000000000001"/>
    <x v="7"/>
    <s v="NA14RB"/>
    <n v="80"/>
    <s v="NA14RB-80"/>
  </r>
  <r>
    <x v="15"/>
    <x v="471"/>
    <n v="-1.02"/>
    <n v="0.33"/>
    <s v="#11"/>
    <x v="2"/>
    <n v="0.84"/>
    <n v="-0.18"/>
    <n v="0.51"/>
    <n v="0.2601"/>
    <x v="7"/>
    <s v="NA10WR"/>
    <n v="112"/>
    <s v="NA10WR-112"/>
  </r>
  <r>
    <x v="10"/>
    <x v="281"/>
    <n v="-0.92"/>
    <n v="0.33"/>
    <s v="#1"/>
    <x v="3"/>
    <n v="0.79"/>
    <n v="-0.13"/>
    <n v="0.46"/>
    <n v="0.21160000000000001"/>
    <x v="7"/>
    <s v="NA2TE"/>
    <n v="69"/>
    <s v="NA2TE-69"/>
  </r>
  <r>
    <x v="7"/>
    <x v="473"/>
    <n v="-0.72"/>
    <n v="0.33"/>
    <s v="#20"/>
    <x v="1"/>
    <n v="0.69"/>
    <n v="-0.03"/>
    <n v="0.36"/>
    <n v="0.12959999999999999"/>
    <x v="7"/>
    <s v="NA1RB"/>
    <n v="48"/>
    <s v="NA1RB-48"/>
  </r>
  <r>
    <x v="5"/>
    <x v="473"/>
    <n v="-0.76"/>
    <n v="0.33"/>
    <s v="#25"/>
    <x v="1"/>
    <n v="0.71"/>
    <n v="-0.05"/>
    <n v="0.38"/>
    <n v="0.1444"/>
    <x v="7"/>
    <s v="NA13RB"/>
    <n v="81"/>
    <s v="NA13RB-81"/>
  </r>
  <r>
    <x v="0"/>
    <x v="364"/>
    <n v="-0.76"/>
    <n v="0.33"/>
    <s v="#7"/>
    <x v="1"/>
    <n v="0.71"/>
    <n v="-0.05"/>
    <n v="0.38"/>
    <n v="0.1444"/>
    <x v="7"/>
    <s v="NA17RB"/>
    <n v="82"/>
    <s v="NA17RB-82"/>
  </r>
  <r>
    <x v="14"/>
    <x v="232"/>
    <n v="-0.88"/>
    <n v="0.33"/>
    <s v="#8"/>
    <x v="2"/>
    <n v="0.77"/>
    <n v="-0.11"/>
    <n v="0.44"/>
    <n v="0.19359999999999999"/>
    <x v="7"/>
    <s v="NA4WR"/>
    <n v="95"/>
    <s v="NA4WR-95"/>
  </r>
  <r>
    <x v="0"/>
    <x v="416"/>
    <n v="-0.92"/>
    <n v="0.33"/>
    <s v="#6"/>
    <x v="3"/>
    <n v="0.79"/>
    <n v="-0.13"/>
    <n v="0.46"/>
    <n v="0.21160000000000001"/>
    <x v="7"/>
    <s v="NA17TE"/>
    <n v="86"/>
    <s v="NA17TE-86"/>
  </r>
  <r>
    <x v="9"/>
    <x v="322"/>
    <n v="-0.78"/>
    <n v="0.33"/>
    <s v="#6"/>
    <x v="2"/>
    <n v="0.72"/>
    <n v="-0.06"/>
    <n v="0.39"/>
    <n v="0.15210000000000001"/>
    <x v="7"/>
    <s v="NA15WR"/>
    <n v="123"/>
    <s v="NA15WR-123"/>
  </r>
  <r>
    <x v="8"/>
    <x v="378"/>
    <n v="-0.9"/>
    <n v="0.33"/>
    <s v="#15"/>
    <x v="2"/>
    <n v="0.78"/>
    <n v="-0.12"/>
    <n v="0.45"/>
    <n v="0.20250000000000001"/>
    <x v="7"/>
    <s v="NA6WR"/>
    <n v="114"/>
    <s v="NA6WR-114"/>
  </r>
  <r>
    <x v="0"/>
    <x v="378"/>
    <n v="-0.9"/>
    <n v="0.33"/>
    <s v="#15"/>
    <x v="2"/>
    <n v="0.78"/>
    <n v="-0.12"/>
    <n v="0.45"/>
    <n v="0.20250000000000001"/>
    <x v="7"/>
    <s v="NA17WR"/>
    <n v="125"/>
    <s v="NA17WR-125"/>
  </r>
  <r>
    <x v="6"/>
    <x v="464"/>
    <s v="0.01-0.65"/>
    <n v="0.33"/>
    <s v="#3"/>
    <x v="3"/>
    <n v="0.65"/>
    <n v="0.01"/>
    <n v="0.32"/>
    <n v="0.1024"/>
    <x v="7"/>
    <s v="NA12TE"/>
    <n v="81"/>
    <s v="NA12TE-81"/>
  </r>
  <r>
    <x v="3"/>
    <x v="465"/>
    <n v="-0.76"/>
    <n v="0.33"/>
    <s v="#13"/>
    <x v="3"/>
    <n v="0.71"/>
    <n v="-0.05"/>
    <n v="0.38"/>
    <n v="0.1444"/>
    <x v="7"/>
    <s v="NA11TE"/>
    <n v="67"/>
    <s v="NA11TE-67"/>
  </r>
  <r>
    <x v="5"/>
    <x v="419"/>
    <s v="0.03-0.63"/>
    <n v="0.33"/>
    <s v="#3"/>
    <x v="3"/>
    <n v="0.63"/>
    <n v="0.03"/>
    <n v="0.3"/>
    <n v="0.09"/>
    <x v="7"/>
    <s v="NA13TE"/>
    <n v="85"/>
    <s v="NA13TE-85"/>
  </r>
  <r>
    <x v="0"/>
    <x v="258"/>
    <n v="-0.68"/>
    <n v="0.33"/>
    <s v="#22"/>
    <x v="2"/>
    <n v="0.67"/>
    <n v="-0.01"/>
    <n v="0.34"/>
    <n v="0.11559999999999999"/>
    <x v="7"/>
    <s v="NA17WR"/>
    <n v="126"/>
    <s v="NA17WR-126"/>
  </r>
  <r>
    <x v="13"/>
    <x v="470"/>
    <n v="-0.78"/>
    <n v="0.33"/>
    <s v="#6"/>
    <x v="1"/>
    <n v="0.72"/>
    <n v="-0.06"/>
    <n v="0.39"/>
    <n v="0.15210000000000001"/>
    <x v="7"/>
    <s v="NA8RB"/>
    <n v="73"/>
    <s v="NA8RB-73"/>
  </r>
  <r>
    <x v="4"/>
    <x v="471"/>
    <n v="-1.06"/>
    <n v="0.32"/>
    <s v="#26"/>
    <x v="2"/>
    <n v="0.85"/>
    <n v="-0.21"/>
    <n v="0.53"/>
    <n v="0.28089999999999998"/>
    <x v="7"/>
    <s v="NA7WR"/>
    <n v="107"/>
    <s v="NA7WR-107"/>
  </r>
  <r>
    <x v="11"/>
    <x v="471"/>
    <n v="-1.02"/>
    <n v="0.32"/>
    <s v="#11"/>
    <x v="2"/>
    <n v="0.83"/>
    <n v="-0.19"/>
    <n v="0.51"/>
    <n v="0.2601"/>
    <x v="7"/>
    <s v="NA14WR"/>
    <n v="123"/>
    <s v="NA14WR-123"/>
  </r>
  <r>
    <x v="14"/>
    <x v="473"/>
    <n v="-0.74"/>
    <n v="0.32"/>
    <s v="#16"/>
    <x v="1"/>
    <n v="0.69"/>
    <n v="-0.05"/>
    <n v="0.37"/>
    <n v="0.13689999999999999"/>
    <x v="7"/>
    <s v="NA4RB"/>
    <n v="59"/>
    <s v="NA4RB-59"/>
  </r>
  <r>
    <x v="2"/>
    <x v="364"/>
    <n v="-0.74"/>
    <n v="0.32"/>
    <s v="#10"/>
    <x v="1"/>
    <n v="0.69"/>
    <n v="-0.05"/>
    <n v="0.37"/>
    <n v="0.13689999999999999"/>
    <x v="7"/>
    <s v="NA9RB"/>
    <n v="63"/>
    <s v="NA9RB-63"/>
  </r>
  <r>
    <x v="15"/>
    <x v="364"/>
    <n v="-0.76"/>
    <n v="0.32"/>
    <s v="#19"/>
    <x v="1"/>
    <n v="0.7"/>
    <n v="-0.06"/>
    <n v="0.38"/>
    <n v="0.1444"/>
    <x v="7"/>
    <s v="NA10RB"/>
    <n v="69"/>
    <s v="NA10RB-69"/>
  </r>
  <r>
    <x v="5"/>
    <x v="416"/>
    <n v="-0.92"/>
    <n v="0.32"/>
    <s v="#6"/>
    <x v="3"/>
    <n v="0.78"/>
    <n v="-0.14000000000000001"/>
    <n v="0.46"/>
    <n v="0.21160000000000001"/>
    <x v="7"/>
    <s v="NA13TE"/>
    <n v="86"/>
    <s v="NA13TE-86"/>
  </r>
  <r>
    <x v="13"/>
    <x v="269"/>
    <n v="-0.79999999999999993"/>
    <n v="0.32"/>
    <s v="#3"/>
    <x v="2"/>
    <n v="0.72"/>
    <n v="-0.08"/>
    <n v="0.4"/>
    <n v="0.16"/>
    <x v="7"/>
    <s v="NA8WR"/>
    <n v="102"/>
    <s v="NA8WR-102"/>
  </r>
  <r>
    <x v="6"/>
    <x v="465"/>
    <n v="-0.78"/>
    <n v="0.32"/>
    <s v="#1"/>
    <x v="3"/>
    <n v="0.71"/>
    <n v="-7.0000000000000007E-2"/>
    <n v="0.39"/>
    <n v="0.15210000000000001"/>
    <x v="7"/>
    <s v="NA12TE"/>
    <n v="82"/>
    <s v="NA12TE-82"/>
  </r>
  <r>
    <x v="4"/>
    <x v="474"/>
    <n v="-0.78"/>
    <n v="0.32"/>
    <s v="#10"/>
    <x v="1"/>
    <n v="0.71"/>
    <n v="-7.0000000000000007E-2"/>
    <n v="0.39"/>
    <n v="0.15210000000000001"/>
    <x v="7"/>
    <s v="NA7RB"/>
    <n v="67"/>
    <s v="NA7RB-67"/>
  </r>
  <r>
    <x v="4"/>
    <x v="373"/>
    <n v="-0.84"/>
    <n v="0.32"/>
    <s v="#7"/>
    <x v="2"/>
    <n v="0.74"/>
    <n v="-0.1"/>
    <n v="0.42"/>
    <n v="0.1764"/>
    <x v="7"/>
    <s v="NA7WR"/>
    <n v="108"/>
    <s v="NA7WR-108"/>
  </r>
  <r>
    <x v="5"/>
    <x v="373"/>
    <n v="-0.94000000000000006"/>
    <n v="0.32"/>
    <s v="#12"/>
    <x v="2"/>
    <n v="0.79"/>
    <n v="-0.15"/>
    <n v="0.47"/>
    <n v="0.22090000000000001"/>
    <x v="7"/>
    <s v="NA13WR"/>
    <n v="124"/>
    <s v="NA13WR-124"/>
  </r>
  <r>
    <x v="9"/>
    <x v="373"/>
    <n v="-0.94000000000000006"/>
    <n v="0.32"/>
    <s v="#10"/>
    <x v="2"/>
    <n v="0.79"/>
    <n v="-0.15"/>
    <n v="0.47"/>
    <n v="0.22090000000000001"/>
    <x v="7"/>
    <s v="NA15WR"/>
    <n v="124"/>
    <s v="NA15WR-124"/>
  </r>
  <r>
    <x v="15"/>
    <x v="258"/>
    <s v="0.05-0.59"/>
    <n v="0.32"/>
    <s v="#6"/>
    <x v="2"/>
    <n v="0.59"/>
    <n v="0.05"/>
    <n v="0.27"/>
    <n v="7.2900000000000006E-2"/>
    <x v="7"/>
    <s v="NA10WR"/>
    <n v="113"/>
    <s v="NA10WR-113"/>
  </r>
  <r>
    <x v="11"/>
    <x v="258"/>
    <s v="0.05-0.59"/>
    <n v="0.32"/>
    <s v="#6"/>
    <x v="2"/>
    <n v="0.59"/>
    <n v="0.05"/>
    <n v="0.27"/>
    <n v="7.2900000000000006E-2"/>
    <x v="7"/>
    <s v="NA14WR"/>
    <n v="124"/>
    <s v="NA14WR-124"/>
  </r>
  <r>
    <x v="14"/>
    <x v="319"/>
    <n v="-0.77999999999999992"/>
    <n v="0.31"/>
    <s v="#24"/>
    <x v="2"/>
    <n v="0.7"/>
    <n v="-0.08"/>
    <n v="0.39"/>
    <n v="0.15210000000000001"/>
    <x v="7"/>
    <s v="NA4WR"/>
    <n v="96"/>
    <s v="NA4WR-96"/>
  </r>
  <r>
    <x v="9"/>
    <x v="364"/>
    <n v="-0.76"/>
    <n v="0.31"/>
    <s v="#7"/>
    <x v="1"/>
    <n v="0.69"/>
    <n v="-7.0000000000000007E-2"/>
    <n v="0.38"/>
    <n v="0.1444"/>
    <x v="7"/>
    <s v="NA15RB"/>
    <n v="81"/>
    <s v="NA15RB-81"/>
  </r>
  <r>
    <x v="4"/>
    <x v="232"/>
    <n v="-0.86"/>
    <n v="0.31"/>
    <s v="#16"/>
    <x v="2"/>
    <n v="0.74"/>
    <n v="-0.12"/>
    <n v="0.43"/>
    <n v="0.18490000000000001"/>
    <x v="7"/>
    <s v="NA7WR"/>
    <n v="109"/>
    <s v="NA7WR-109"/>
  </r>
  <r>
    <x v="10"/>
    <x v="377"/>
    <s v="0.00-0.62"/>
    <n v="0.31"/>
    <s v="#28"/>
    <x v="2"/>
    <n v="0.62"/>
    <n v="0"/>
    <n v="0.31"/>
    <n v="9.6100000000000005E-2"/>
    <x v="7"/>
    <s v="NA2WR"/>
    <n v="93"/>
    <s v="NA2WR-93"/>
  </r>
  <r>
    <x v="7"/>
    <x v="444"/>
    <n v="-0.74"/>
    <n v="0.31"/>
    <s v="#21"/>
    <x v="1"/>
    <n v="0.68"/>
    <n v="-0.06"/>
    <n v="0.37"/>
    <n v="0.13689999999999999"/>
    <x v="7"/>
    <s v="NA1RB"/>
    <n v="49"/>
    <s v="NA1RB-49"/>
  </r>
  <r>
    <x v="10"/>
    <x v="166"/>
    <n v="-0.66"/>
    <n v="0.31"/>
    <s v="#5"/>
    <x v="1"/>
    <n v="0.64"/>
    <n v="-0.02"/>
    <n v="0.33"/>
    <n v="0.1089"/>
    <x v="7"/>
    <s v="NA2RB"/>
    <n v="55"/>
    <s v="NA2RB-55"/>
  </r>
  <r>
    <x v="10"/>
    <x v="102"/>
    <n v="-0.79999999999999993"/>
    <n v="0.31"/>
    <s v="#20"/>
    <x v="0"/>
    <n v="0.71"/>
    <n v="-0.09"/>
    <n v="0.4"/>
    <n v="0.16"/>
    <x v="7"/>
    <s v="NA2QB"/>
    <n v="35"/>
    <s v="NA2QB-35"/>
  </r>
  <r>
    <x v="0"/>
    <x v="474"/>
    <n v="-0.77999999999999992"/>
    <n v="0.31"/>
    <s v="#10"/>
    <x v="1"/>
    <n v="0.7"/>
    <n v="-0.08"/>
    <n v="0.39"/>
    <n v="0.15210000000000001"/>
    <x v="7"/>
    <s v="NA17RB"/>
    <n v="83"/>
    <s v="NA17RB-83"/>
  </r>
  <r>
    <x v="7"/>
    <x v="476"/>
    <n v="-0.82"/>
    <n v="0.31"/>
    <s v="#18"/>
    <x v="2"/>
    <n v="0.72"/>
    <n v="-0.1"/>
    <n v="0.41"/>
    <n v="0.1681"/>
    <x v="7"/>
    <s v="NA1WR"/>
    <n v="85"/>
    <s v="NA1WR-85"/>
  </r>
  <r>
    <x v="3"/>
    <x v="473"/>
    <n v="-0.74"/>
    <n v="0.3"/>
    <s v="#10"/>
    <x v="1"/>
    <n v="0.67"/>
    <n v="-7.0000000000000007E-2"/>
    <n v="0.37"/>
    <n v="0.13689999999999999"/>
    <x v="7"/>
    <s v="NA11RB"/>
    <n v="69"/>
    <s v="NA11RB-69"/>
  </r>
  <r>
    <x v="9"/>
    <x v="463"/>
    <n v="-0.82"/>
    <n v="0.3"/>
    <s v="#26"/>
    <x v="3"/>
    <n v="0.71"/>
    <n v="-0.11"/>
    <n v="0.41"/>
    <n v="0.1681"/>
    <x v="7"/>
    <s v="NA15TE"/>
    <n v="86"/>
    <s v="NA15TE-86"/>
  </r>
  <r>
    <x v="4"/>
    <x v="364"/>
    <n v="-0.9"/>
    <n v="0.3"/>
    <s v="#1"/>
    <x v="1"/>
    <n v="0.75"/>
    <n v="-0.15"/>
    <n v="0.45"/>
    <n v="0.20250000000000001"/>
    <x v="7"/>
    <s v="NA7RB"/>
    <n v="68"/>
    <s v="NA7RB-68"/>
  </r>
  <r>
    <x v="3"/>
    <x v="364"/>
    <n v="-0.9"/>
    <n v="0.3"/>
    <s v="#6"/>
    <x v="1"/>
    <n v="0.75"/>
    <n v="-0.15"/>
    <n v="0.45"/>
    <n v="0.20250000000000001"/>
    <x v="7"/>
    <s v="NA11RB"/>
    <n v="70"/>
    <s v="NA11RB-70"/>
  </r>
  <r>
    <x v="11"/>
    <x v="462"/>
    <n v="-0.62"/>
    <n v="0.3"/>
    <s v="#6"/>
    <x v="1"/>
    <n v="0.61"/>
    <n v="-0.01"/>
    <n v="0.31"/>
    <n v="9.6100000000000005E-2"/>
    <x v="7"/>
    <s v="NA14RB"/>
    <n v="81"/>
    <s v="NA14RB-81"/>
  </r>
  <r>
    <x v="10"/>
    <x v="398"/>
    <n v="-0.70000000000000007"/>
    <n v="0.3"/>
    <s v="#16"/>
    <x v="1"/>
    <n v="0.65"/>
    <n v="-0.05"/>
    <n v="0.35"/>
    <n v="0.1225"/>
    <x v="7"/>
    <s v="NA2RB"/>
    <n v="56"/>
    <s v="NA2RB-56"/>
  </r>
  <r>
    <x v="16"/>
    <x v="438"/>
    <n v="-0.86"/>
    <n v="0.3"/>
    <s v="#30"/>
    <x v="3"/>
    <n v="0.73"/>
    <n v="-0.13"/>
    <n v="0.43"/>
    <n v="0.18490000000000001"/>
    <x v="7"/>
    <s v="NA3TE"/>
    <n v="73"/>
    <s v="NA3TE-73"/>
  </r>
  <r>
    <x v="10"/>
    <x v="373"/>
    <n v="-0.74"/>
    <n v="0.3"/>
    <s v="#31"/>
    <x v="2"/>
    <n v="0.67"/>
    <n v="-7.0000000000000007E-2"/>
    <n v="0.37"/>
    <n v="0.13689999999999999"/>
    <x v="7"/>
    <s v="NA2WR"/>
    <n v="94"/>
    <s v="NA2WR-94"/>
  </r>
  <r>
    <x v="0"/>
    <x v="373"/>
    <n v="-0.94000000000000006"/>
    <n v="0.3"/>
    <s v="#12"/>
    <x v="2"/>
    <n v="0.77"/>
    <n v="-0.17"/>
    <n v="0.47"/>
    <n v="0.22090000000000001"/>
    <x v="7"/>
    <s v="NA17WR"/>
    <n v="127"/>
    <s v="NA17WR-127"/>
  </r>
  <r>
    <x v="2"/>
    <x v="258"/>
    <n v="-0.64"/>
    <n v="0.3"/>
    <s v="#14"/>
    <x v="2"/>
    <n v="0.62"/>
    <n v="-0.02"/>
    <n v="0.32"/>
    <n v="0.1024"/>
    <x v="7"/>
    <s v="NA9WR"/>
    <n v="101"/>
    <s v="NA9WR-101"/>
  </r>
  <r>
    <x v="14"/>
    <x v="470"/>
    <n v="-0.68"/>
    <n v="0.3"/>
    <s v="#4"/>
    <x v="1"/>
    <n v="0.64"/>
    <n v="-0.04"/>
    <n v="0.34"/>
    <n v="0.11559999999999999"/>
    <x v="7"/>
    <s v="NA4RB"/>
    <n v="60"/>
    <s v="NA4RB-60"/>
  </r>
  <r>
    <x v="7"/>
    <x v="413"/>
    <n v="-0.78"/>
    <n v="0.28999999999999998"/>
    <s v="#11"/>
    <x v="2"/>
    <n v="0.68"/>
    <n v="-0.1"/>
    <n v="0.39"/>
    <n v="0.15210000000000001"/>
    <x v="7"/>
    <s v="NA1WR"/>
    <n v="86"/>
    <s v="NA1WR-86"/>
  </r>
  <r>
    <x v="4"/>
    <x v="473"/>
    <n v="-0.72"/>
    <n v="0.28999999999999998"/>
    <s v="#19"/>
    <x v="1"/>
    <n v="0.65"/>
    <n v="-7.0000000000000007E-2"/>
    <n v="0.36"/>
    <n v="0.12959999999999999"/>
    <x v="7"/>
    <s v="NA7RB"/>
    <n v="69"/>
    <s v="NA7RB-69"/>
  </r>
  <r>
    <x v="11"/>
    <x v="473"/>
    <n v="-0.68"/>
    <n v="0.28999999999999998"/>
    <s v="#1"/>
    <x v="1"/>
    <n v="0.63"/>
    <n v="-0.05"/>
    <n v="0.34"/>
    <n v="0.11559999999999999"/>
    <x v="7"/>
    <s v="NA14RB"/>
    <n v="82"/>
    <s v="NA14RB-82"/>
  </r>
  <r>
    <x v="5"/>
    <x v="364"/>
    <n v="-0.76"/>
    <n v="0.28999999999999998"/>
    <s v="#23"/>
    <x v="1"/>
    <n v="0.67"/>
    <n v="-0.09"/>
    <n v="0.38"/>
    <n v="0.1444"/>
    <x v="7"/>
    <s v="NA13RB"/>
    <n v="82"/>
    <s v="NA13RB-82"/>
  </r>
  <r>
    <x v="7"/>
    <x v="375"/>
    <n v="-0.79999999999999993"/>
    <n v="0.28999999999999998"/>
    <s v="#32"/>
    <x v="0"/>
    <n v="0.69"/>
    <n v="-0.11"/>
    <n v="0.4"/>
    <n v="0.16"/>
    <x v="7"/>
    <s v="NA1QB"/>
    <n v="37"/>
    <s v="NA1QB-37"/>
  </r>
  <r>
    <x v="8"/>
    <x v="232"/>
    <n v="-0.84"/>
    <n v="0.28999999999999998"/>
    <s v="#26"/>
    <x v="2"/>
    <n v="0.71"/>
    <n v="-0.13"/>
    <n v="0.42"/>
    <n v="0.1764"/>
    <x v="7"/>
    <s v="NA6WR"/>
    <n v="115"/>
    <s v="NA6WR-115"/>
  </r>
  <r>
    <x v="9"/>
    <x v="232"/>
    <n v="-0.7"/>
    <n v="0.28999999999999998"/>
    <s v="#29"/>
    <x v="2"/>
    <n v="0.64"/>
    <n v="-0.06"/>
    <n v="0.35"/>
    <n v="0.1225"/>
    <x v="7"/>
    <s v="NA15WR"/>
    <n v="125"/>
    <s v="NA15WR-125"/>
  </r>
  <r>
    <x v="8"/>
    <x v="462"/>
    <n v="-0.64"/>
    <n v="0.28999999999999998"/>
    <s v="#3"/>
    <x v="1"/>
    <n v="0.61"/>
    <n v="-0.03"/>
    <n v="0.32"/>
    <n v="0.1024"/>
    <x v="7"/>
    <s v="NA6RB"/>
    <n v="71"/>
    <s v="NA6RB-71"/>
  </r>
  <r>
    <x v="6"/>
    <x v="373"/>
    <n v="-0.86"/>
    <n v="0.28999999999999998"/>
    <s v="#22"/>
    <x v="2"/>
    <n v="0.72"/>
    <n v="-0.14000000000000001"/>
    <n v="0.43"/>
    <n v="0.18490000000000001"/>
    <x v="7"/>
    <s v="NA12WR"/>
    <n v="117"/>
    <s v="NA12WR-117"/>
  </r>
  <r>
    <x v="1"/>
    <x v="373"/>
    <n v="-0.84"/>
    <n v="0.28999999999999998"/>
    <s v="#27"/>
    <x v="2"/>
    <n v="0.71"/>
    <n v="-0.13"/>
    <n v="0.42"/>
    <n v="0.1764"/>
    <x v="7"/>
    <s v="NA16WR"/>
    <n v="125"/>
    <s v="NA16WR-125"/>
  </r>
  <r>
    <x v="10"/>
    <x v="325"/>
    <s v="0.00-0.58"/>
    <n v="0.28999999999999998"/>
    <s v="#20"/>
    <x v="1"/>
    <n v="0.57999999999999996"/>
    <n v="0"/>
    <n v="0.28999999999999998"/>
    <n v="8.4099999999999994E-2"/>
    <x v="7"/>
    <s v="NA2RB"/>
    <n v="57"/>
    <s v="NA2RB-57"/>
  </r>
  <r>
    <x v="3"/>
    <x v="258"/>
    <n v="-0.6"/>
    <n v="0.28999999999999998"/>
    <s v="#29"/>
    <x v="2"/>
    <n v="0.59"/>
    <n v="-0.01"/>
    <n v="0.3"/>
    <n v="0.09"/>
    <x v="7"/>
    <s v="NA11WR"/>
    <n v="98"/>
    <s v="NA11WR-98"/>
  </r>
  <r>
    <x v="12"/>
    <x v="472"/>
    <n v="-0.76"/>
    <n v="0.28999999999999998"/>
    <s v="#29"/>
    <x v="3"/>
    <n v="0.67"/>
    <n v="-0.09"/>
    <n v="0.38"/>
    <n v="0.1444"/>
    <x v="7"/>
    <s v="NA5TE"/>
    <n v="76"/>
    <s v="NA5TE-76"/>
  </r>
  <r>
    <x v="11"/>
    <x v="472"/>
    <n v="-0.82"/>
    <n v="0.28999999999999998"/>
    <s v="#25"/>
    <x v="3"/>
    <n v="0.7"/>
    <n v="-0.12"/>
    <n v="0.41"/>
    <n v="0.1681"/>
    <x v="7"/>
    <s v="NA14TE"/>
    <n v="87"/>
    <s v="NA14TE-87"/>
  </r>
  <r>
    <x v="13"/>
    <x v="473"/>
    <n v="-0.67999999999999994"/>
    <n v="0.28000000000000003"/>
    <s v="#16"/>
    <x v="1"/>
    <n v="0.62"/>
    <n v="-0.06"/>
    <n v="0.34"/>
    <n v="0.11559999999999999"/>
    <x v="7"/>
    <s v="NA8RB"/>
    <n v="74"/>
    <s v="NA8RB-74"/>
  </r>
  <r>
    <x v="15"/>
    <x v="473"/>
    <n v="-0.7"/>
    <n v="0.28000000000000003"/>
    <s v="#13"/>
    <x v="1"/>
    <n v="0.63"/>
    <n v="-7.0000000000000007E-2"/>
    <n v="0.35"/>
    <n v="0.1225"/>
    <x v="7"/>
    <s v="NA10RB"/>
    <n v="70"/>
    <s v="NA10RB-70"/>
  </r>
  <r>
    <x v="1"/>
    <x v="473"/>
    <n v="-0.7"/>
    <n v="0.28000000000000003"/>
    <s v="#8"/>
    <x v="1"/>
    <n v="0.63"/>
    <n v="-7.0000000000000007E-2"/>
    <n v="0.35"/>
    <n v="0.1225"/>
    <x v="7"/>
    <s v="NA16RB"/>
    <n v="82"/>
    <s v="NA16RB-82"/>
  </r>
  <r>
    <x v="10"/>
    <x v="477"/>
    <n v="-0.67999999999999994"/>
    <n v="0.28000000000000003"/>
    <s v="#10"/>
    <x v="1"/>
    <n v="0.62"/>
    <n v="-0.06"/>
    <n v="0.34"/>
    <n v="0.11559999999999999"/>
    <x v="7"/>
    <s v="NA2RB"/>
    <n v="58"/>
    <s v="NA2RB-58"/>
  </r>
  <r>
    <x v="10"/>
    <x v="375"/>
    <n v="-0.8"/>
    <n v="0.28000000000000003"/>
    <s v="#11"/>
    <x v="0"/>
    <n v="0.68"/>
    <n v="-0.12"/>
    <n v="0.4"/>
    <n v="0.16"/>
    <x v="7"/>
    <s v="NA2QB"/>
    <n v="36"/>
    <s v="NA2QB-36"/>
  </r>
  <r>
    <x v="5"/>
    <x v="232"/>
    <n v="-0.7"/>
    <n v="0.28000000000000003"/>
    <s v="#21"/>
    <x v="2"/>
    <n v="0.63"/>
    <n v="-7.0000000000000007E-2"/>
    <n v="0.35"/>
    <n v="0.1225"/>
    <x v="7"/>
    <s v="NA13WR"/>
    <n v="125"/>
    <s v="NA13WR-125"/>
  </r>
  <r>
    <x v="0"/>
    <x v="232"/>
    <n v="-0.84"/>
    <n v="0.28000000000000003"/>
    <s v="#8"/>
    <x v="2"/>
    <n v="0.7"/>
    <n v="-0.14000000000000001"/>
    <n v="0.42"/>
    <n v="0.1764"/>
    <x v="7"/>
    <s v="NA17WR"/>
    <n v="128"/>
    <s v="NA17WR-128"/>
  </r>
  <r>
    <x v="16"/>
    <x v="231"/>
    <n v="-0.57999999999999996"/>
    <n v="0.28000000000000003"/>
    <s v="#25"/>
    <x v="2"/>
    <n v="0.56999999999999995"/>
    <n v="-0.01"/>
    <n v="0.28999999999999998"/>
    <n v="8.4099999999999994E-2"/>
    <x v="7"/>
    <s v="NA3WR"/>
    <n v="99"/>
    <s v="NA3WR-99"/>
  </r>
  <r>
    <x v="15"/>
    <x v="462"/>
    <n v="-0.62"/>
    <n v="0.28000000000000003"/>
    <s v="#6"/>
    <x v="1"/>
    <n v="0.59"/>
    <n v="-0.03"/>
    <n v="0.31"/>
    <n v="9.6100000000000005E-2"/>
    <x v="7"/>
    <s v="NA10RB"/>
    <n v="71"/>
    <s v="NA10RB-71"/>
  </r>
  <r>
    <x v="10"/>
    <x v="269"/>
    <n v="-0.8"/>
    <n v="0.28000000000000003"/>
    <s v="#31"/>
    <x v="2"/>
    <n v="0.68"/>
    <n v="-0.12"/>
    <n v="0.4"/>
    <n v="0.16"/>
    <x v="7"/>
    <s v="NA2WR"/>
    <n v="95"/>
    <s v="NA2WR-95"/>
  </r>
  <r>
    <x v="7"/>
    <x v="388"/>
    <n v="-0.78"/>
    <n v="0.28000000000000003"/>
    <s v="#25"/>
    <x v="0"/>
    <n v="0.67"/>
    <n v="-0.11"/>
    <n v="0.39"/>
    <n v="0.15210000000000001"/>
    <x v="7"/>
    <s v="NA1QB"/>
    <n v="38"/>
    <s v="NA1QB-38"/>
  </r>
  <r>
    <x v="8"/>
    <x v="373"/>
    <n v="-0.86"/>
    <n v="0.28000000000000003"/>
    <s v="#22"/>
    <x v="2"/>
    <n v="0.71"/>
    <n v="-0.15"/>
    <n v="0.43"/>
    <n v="0.18490000000000001"/>
    <x v="7"/>
    <s v="NA6WR"/>
    <n v="116"/>
    <s v="NA6WR-116"/>
  </r>
  <r>
    <x v="15"/>
    <x v="373"/>
    <n v="-0.84"/>
    <n v="0.28000000000000003"/>
    <s v="#23"/>
    <x v="2"/>
    <n v="0.7"/>
    <n v="-0.14000000000000001"/>
    <n v="0.42"/>
    <n v="0.1764"/>
    <x v="7"/>
    <s v="NA10WR"/>
    <n v="114"/>
    <s v="NA10WR-114"/>
  </r>
  <r>
    <x v="7"/>
    <x v="325"/>
    <n v="-0.6"/>
    <n v="0.28000000000000003"/>
    <s v="#1"/>
    <x v="1"/>
    <n v="0.57999999999999996"/>
    <n v="-0.02"/>
    <n v="0.3"/>
    <n v="0.09"/>
    <x v="7"/>
    <s v="NA1RB"/>
    <n v="50"/>
    <s v="NA1RB-50"/>
  </r>
  <r>
    <x v="9"/>
    <x v="258"/>
    <n v="-0.62"/>
    <n v="0.28000000000000003"/>
    <s v="#9"/>
    <x v="2"/>
    <n v="0.59"/>
    <n v="-0.03"/>
    <n v="0.31"/>
    <n v="9.6100000000000005E-2"/>
    <x v="7"/>
    <s v="NA15WR"/>
    <n v="126"/>
    <s v="NA15WR-126"/>
  </r>
  <r>
    <x v="12"/>
    <x v="471"/>
    <n v="-0.96"/>
    <n v="0.27"/>
    <s v="#16"/>
    <x v="2"/>
    <n v="0.75"/>
    <n v="-0.21"/>
    <n v="0.48"/>
    <n v="0.23039999999999999"/>
    <x v="7"/>
    <s v="NA5WR"/>
    <n v="110"/>
    <s v="NA5WR-110"/>
  </r>
  <r>
    <x v="12"/>
    <x v="473"/>
    <n v="-0.64"/>
    <n v="0.27"/>
    <s v="#3"/>
    <x v="1"/>
    <n v="0.59"/>
    <n v="-0.05"/>
    <n v="0.32"/>
    <n v="0.1024"/>
    <x v="7"/>
    <s v="NA5RB"/>
    <n v="71"/>
    <s v="NA5RB-71"/>
  </r>
  <r>
    <x v="8"/>
    <x v="473"/>
    <n v="-0.67999999999999994"/>
    <n v="0.27"/>
    <s v="#17"/>
    <x v="1"/>
    <n v="0.61"/>
    <n v="-7.0000000000000007E-2"/>
    <n v="0.34"/>
    <n v="0.11559999999999999"/>
    <x v="7"/>
    <s v="NA6RB"/>
    <n v="72"/>
    <s v="NA6RB-72"/>
  </r>
  <r>
    <x v="9"/>
    <x v="473"/>
    <n v="-0.67999999999999994"/>
    <n v="0.27"/>
    <s v="#20"/>
    <x v="1"/>
    <n v="0.61"/>
    <n v="-7.0000000000000007E-2"/>
    <n v="0.34"/>
    <n v="0.11559999999999999"/>
    <x v="7"/>
    <s v="NA15RB"/>
    <n v="82"/>
    <s v="NA15RB-82"/>
  </r>
  <r>
    <x v="11"/>
    <x v="232"/>
    <n v="-0.72"/>
    <n v="0.27"/>
    <s v="#28"/>
    <x v="2"/>
    <n v="0.63"/>
    <n v="-0.09"/>
    <n v="0.36"/>
    <n v="0.12959999999999999"/>
    <x v="7"/>
    <s v="NA14WR"/>
    <n v="125"/>
    <s v="NA14WR-125"/>
  </r>
  <r>
    <x v="1"/>
    <x v="232"/>
    <n v="-0.74"/>
    <n v="0.27"/>
    <s v="#10"/>
    <x v="2"/>
    <n v="0.64"/>
    <n v="-0.1"/>
    <n v="0.37"/>
    <n v="0.13689999999999999"/>
    <x v="7"/>
    <s v="NA16WR"/>
    <n v="126"/>
    <s v="NA16WR-126"/>
  </r>
  <r>
    <x v="16"/>
    <x v="322"/>
    <n v="-0.64"/>
    <n v="0.27"/>
    <s v="#20"/>
    <x v="2"/>
    <n v="0.59"/>
    <n v="-0.05"/>
    <n v="0.32"/>
    <n v="0.1024"/>
    <x v="7"/>
    <s v="NA3WR"/>
    <n v="100"/>
    <s v="NA3WR-100"/>
  </r>
  <r>
    <x v="16"/>
    <x v="474"/>
    <n v="-0.64"/>
    <n v="0.27"/>
    <s v="#32"/>
    <x v="1"/>
    <n v="0.59"/>
    <n v="-0.05"/>
    <n v="0.32"/>
    <n v="0.1024"/>
    <x v="7"/>
    <s v="NA3RB"/>
    <n v="61"/>
    <s v="NA3RB-61"/>
  </r>
  <r>
    <x v="11"/>
    <x v="474"/>
    <s v="0.02-0.52"/>
    <n v="0.27"/>
    <s v="#16"/>
    <x v="1"/>
    <n v="0.52"/>
    <n v="0.02"/>
    <n v="0.25"/>
    <n v="6.25E-2"/>
    <x v="7"/>
    <s v="NA14RB"/>
    <n v="83"/>
    <s v="NA14RB-83"/>
  </r>
  <r>
    <x v="13"/>
    <x v="373"/>
    <n v="-0.8"/>
    <n v="0.27"/>
    <s v="#3"/>
    <x v="2"/>
    <n v="0.67"/>
    <n v="-0.13"/>
    <n v="0.4"/>
    <n v="0.16"/>
    <x v="7"/>
    <s v="NA8WR"/>
    <n v="103"/>
    <s v="NA8WR-103"/>
  </r>
  <r>
    <x v="11"/>
    <x v="373"/>
    <n v="-0.84"/>
    <n v="0.27"/>
    <s v="#23"/>
    <x v="2"/>
    <n v="0.69"/>
    <n v="-0.15"/>
    <n v="0.42"/>
    <n v="0.1764"/>
    <x v="7"/>
    <s v="NA14WR"/>
    <n v="126"/>
    <s v="NA14WR-126"/>
  </r>
  <r>
    <x v="15"/>
    <x v="472"/>
    <n v="-0.7"/>
    <n v="0.27"/>
    <s v="#7"/>
    <x v="3"/>
    <n v="0.62"/>
    <n v="-0.08"/>
    <n v="0.35"/>
    <n v="0.1225"/>
    <x v="7"/>
    <s v="NA10TE"/>
    <n v="75"/>
    <s v="NA10TE-75"/>
  </r>
  <r>
    <x v="14"/>
    <x v="471"/>
    <n v="-0.54"/>
    <n v="0.26"/>
    <s v="#3"/>
    <x v="2"/>
    <n v="0.53"/>
    <n v="-0.01"/>
    <n v="0.27"/>
    <n v="7.2900000000000006E-2"/>
    <x v="7"/>
    <s v="NA4WR"/>
    <n v="97"/>
    <s v="NA4WR-97"/>
  </r>
  <r>
    <x v="10"/>
    <x v="351"/>
    <n v="-0.74"/>
    <n v="0.26"/>
    <s v="#3"/>
    <x v="3"/>
    <n v="0.63"/>
    <n v="-0.11"/>
    <n v="0.37"/>
    <n v="0.13689999999999999"/>
    <x v="7"/>
    <s v="NA2TE"/>
    <n v="70"/>
    <s v="NA2TE-70"/>
  </r>
  <r>
    <x v="6"/>
    <x v="398"/>
    <n v="-0.7"/>
    <n v="0.26"/>
    <s v="#1"/>
    <x v="1"/>
    <n v="0.61"/>
    <n v="-0.09"/>
    <n v="0.35"/>
    <n v="0.1225"/>
    <x v="7"/>
    <s v="NA12RB"/>
    <n v="77"/>
    <s v="NA12RB-77"/>
  </r>
  <r>
    <x v="12"/>
    <x v="478"/>
    <n v="-0.82000000000000006"/>
    <n v="0.26"/>
    <s v="#21"/>
    <x v="0"/>
    <n v="0.67"/>
    <n v="-0.15"/>
    <n v="0.41"/>
    <n v="0.1681"/>
    <x v="7"/>
    <s v="NA5QB"/>
    <n v="38"/>
    <s v="NA5QB-38"/>
  </r>
  <r>
    <x v="3"/>
    <x v="478"/>
    <n v="-0.89999999999999991"/>
    <n v="0.26"/>
    <s v="#7"/>
    <x v="0"/>
    <n v="0.71"/>
    <n v="-0.19"/>
    <n v="0.45"/>
    <n v="0.20250000000000001"/>
    <x v="7"/>
    <s v="NA11QB"/>
    <n v="33"/>
    <s v="NA11QB-33"/>
  </r>
  <r>
    <x v="8"/>
    <x v="474"/>
    <n v="-0.56000000000000005"/>
    <n v="0.26"/>
    <s v="#21"/>
    <x v="1"/>
    <n v="0.54"/>
    <n v="-0.02"/>
    <n v="0.28000000000000003"/>
    <n v="7.8399999999999997E-2"/>
    <x v="7"/>
    <s v="NA6RB"/>
    <n v="73"/>
    <s v="NA6RB-73"/>
  </r>
  <r>
    <x v="2"/>
    <x v="474"/>
    <n v="-0.54"/>
    <n v="0.26"/>
    <s v="#25"/>
    <x v="1"/>
    <n v="0.53"/>
    <n v="-0.01"/>
    <n v="0.27"/>
    <n v="7.2900000000000006E-2"/>
    <x v="7"/>
    <s v="NA9RB"/>
    <n v="64"/>
    <s v="NA9RB-64"/>
  </r>
  <r>
    <x v="15"/>
    <x v="474"/>
    <n v="-0.7"/>
    <n v="0.26"/>
    <s v="#22"/>
    <x v="1"/>
    <n v="0.61"/>
    <n v="-0.09"/>
    <n v="0.35"/>
    <n v="0.1225"/>
    <x v="7"/>
    <s v="NA10RB"/>
    <n v="72"/>
    <s v="NA10RB-72"/>
  </r>
  <r>
    <x v="5"/>
    <x v="474"/>
    <s v="0.01-0.51"/>
    <n v="0.26"/>
    <s v="#8"/>
    <x v="1"/>
    <n v="0.51"/>
    <n v="0.01"/>
    <n v="0.25"/>
    <n v="6.25E-2"/>
    <x v="7"/>
    <s v="NA13RB"/>
    <n v="83"/>
    <s v="NA13RB-83"/>
  </r>
  <r>
    <x v="9"/>
    <x v="474"/>
    <s v="0.01-0.51"/>
    <n v="0.26"/>
    <s v="#8"/>
    <x v="1"/>
    <n v="0.51"/>
    <n v="0.01"/>
    <n v="0.25"/>
    <n v="6.25E-2"/>
    <x v="7"/>
    <s v="NA15RB"/>
    <n v="83"/>
    <s v="NA15RB-83"/>
  </r>
  <r>
    <x v="9"/>
    <x v="325"/>
    <n v="-0.6399999999999999"/>
    <n v="0.26"/>
    <s v="#28"/>
    <x v="1"/>
    <n v="0.57999999999999996"/>
    <n v="-0.06"/>
    <n v="0.32"/>
    <n v="0.1024"/>
    <x v="7"/>
    <s v="NA15RB"/>
    <n v="84"/>
    <s v="NA15RB-84"/>
  </r>
  <r>
    <x v="10"/>
    <x v="472"/>
    <n v="-0.74"/>
    <n v="0.26"/>
    <s v="#32"/>
    <x v="3"/>
    <n v="0.63"/>
    <n v="-0.11"/>
    <n v="0.37"/>
    <n v="0.13689999999999999"/>
    <x v="7"/>
    <s v="NA2TE"/>
    <n v="71"/>
    <s v="NA2TE-71"/>
  </r>
  <r>
    <x v="3"/>
    <x v="378"/>
    <n v="-0.6399999999999999"/>
    <n v="0.25"/>
    <s v="#1"/>
    <x v="2"/>
    <n v="0.56999999999999995"/>
    <n v="-7.0000000000000007E-2"/>
    <n v="0.32"/>
    <n v="0.1024"/>
    <x v="7"/>
    <s v="NA11WR"/>
    <n v="99"/>
    <s v="NA11WR-99"/>
  </r>
  <r>
    <x v="10"/>
    <x v="478"/>
    <n v="-0.8"/>
    <n v="0.25"/>
    <s v="#18"/>
    <x v="0"/>
    <n v="0.65"/>
    <n v="-0.15"/>
    <n v="0.4"/>
    <n v="0.16"/>
    <x v="7"/>
    <s v="NA2QB"/>
    <n v="37"/>
    <s v="NA2QB-37"/>
  </r>
  <r>
    <x v="12"/>
    <x v="474"/>
    <s v="0.00-0.50"/>
    <n v="0.25"/>
    <s v="#13"/>
    <x v="1"/>
    <n v="0.5"/>
    <n v="0"/>
    <n v="0.25"/>
    <n v="6.25E-2"/>
    <x v="7"/>
    <s v="NA5RB"/>
    <n v="72"/>
    <s v="NA5RB-72"/>
  </r>
  <r>
    <x v="13"/>
    <x v="474"/>
    <s v="0.00-0.50"/>
    <n v="0.25"/>
    <s v="#13"/>
    <x v="1"/>
    <n v="0.5"/>
    <n v="0"/>
    <n v="0.25"/>
    <n v="6.25E-2"/>
    <x v="7"/>
    <s v="NA8RB"/>
    <n v="75"/>
    <s v="NA8RB-75"/>
  </r>
  <r>
    <x v="12"/>
    <x v="373"/>
    <n v="-0.72"/>
    <n v="0.25"/>
    <s v="#26"/>
    <x v="2"/>
    <n v="0.61"/>
    <n v="-0.11"/>
    <n v="0.36"/>
    <n v="0.12959999999999999"/>
    <x v="7"/>
    <s v="NA5WR"/>
    <n v="111"/>
    <s v="NA5WR-111"/>
  </r>
  <r>
    <x v="4"/>
    <x v="325"/>
    <n v="-0.6399999999999999"/>
    <n v="0.25"/>
    <s v="#9"/>
    <x v="1"/>
    <n v="0.56999999999999995"/>
    <n v="-7.0000000000000007E-2"/>
    <n v="0.32"/>
    <n v="0.1024"/>
    <x v="7"/>
    <s v="NA7RB"/>
    <n v="70"/>
    <s v="NA7RB-70"/>
  </r>
  <r>
    <x v="13"/>
    <x v="325"/>
    <n v="-0.6399999999999999"/>
    <n v="0.25"/>
    <s v="#17"/>
    <x v="1"/>
    <n v="0.56999999999999995"/>
    <n v="-7.0000000000000007E-2"/>
    <n v="0.32"/>
    <n v="0.1024"/>
    <x v="7"/>
    <s v="NA8RB"/>
    <n v="76"/>
    <s v="NA8RB-76"/>
  </r>
  <r>
    <x v="13"/>
    <x v="472"/>
    <n v="-0.67999999999999994"/>
    <n v="0.25"/>
    <s v="#2"/>
    <x v="3"/>
    <n v="0.59"/>
    <n v="-0.09"/>
    <n v="0.34"/>
    <n v="0.11559999999999999"/>
    <x v="7"/>
    <s v="NA8TE"/>
    <n v="76"/>
    <s v="NA8TE-76"/>
  </r>
  <r>
    <x v="9"/>
    <x v="472"/>
    <n v="-0.67999999999999994"/>
    <n v="0.25"/>
    <s v="#17"/>
    <x v="3"/>
    <n v="0.59"/>
    <n v="-0.09"/>
    <n v="0.34"/>
    <n v="0.11559999999999999"/>
    <x v="7"/>
    <s v="NA15TE"/>
    <n v="87"/>
    <s v="NA15TE-87"/>
  </r>
  <r>
    <x v="14"/>
    <x v="477"/>
    <n v="-0.5"/>
    <n v="0.24"/>
    <s v="#8"/>
    <x v="1"/>
    <n v="0.49"/>
    <n v="-0.01"/>
    <n v="0.25"/>
    <n v="6.25E-2"/>
    <x v="7"/>
    <s v="NA4RB"/>
    <n v="61"/>
    <s v="NA4RB-61"/>
  </r>
  <r>
    <x v="8"/>
    <x v="477"/>
    <s v="0.00-0.48"/>
    <n v="0.24"/>
    <s v="#26"/>
    <x v="1"/>
    <n v="0.48"/>
    <n v="0"/>
    <n v="0.24"/>
    <n v="5.7599999999999998E-2"/>
    <x v="7"/>
    <s v="NA6RB"/>
    <n v="74"/>
    <s v="NA6RB-74"/>
  </r>
  <r>
    <x v="6"/>
    <x v="477"/>
    <s v="0.00-0.48"/>
    <n v="0.24"/>
    <s v="#20"/>
    <x v="1"/>
    <n v="0.48"/>
    <n v="0"/>
    <n v="0.24"/>
    <n v="5.7599999999999998E-2"/>
    <x v="7"/>
    <s v="NA12RB"/>
    <n v="78"/>
    <s v="NA12RB-78"/>
  </r>
  <r>
    <x v="9"/>
    <x v="477"/>
    <n v="-0.54"/>
    <n v="0.24"/>
    <s v="#29"/>
    <x v="1"/>
    <n v="0.51"/>
    <n v="-0.03"/>
    <n v="0.27"/>
    <n v="7.2900000000000006E-2"/>
    <x v="7"/>
    <s v="NA15RB"/>
    <n v="85"/>
    <s v="NA15RB-85"/>
  </r>
  <r>
    <x v="16"/>
    <x v="479"/>
    <n v="-0.56000000000000005"/>
    <n v="0.24"/>
    <s v="#28"/>
    <x v="1"/>
    <n v="0.52"/>
    <n v="-0.04"/>
    <n v="0.28000000000000003"/>
    <n v="7.8399999999999997E-2"/>
    <x v="7"/>
    <s v="NA3RB"/>
    <n v="62"/>
    <s v="NA3RB-62"/>
  </r>
  <r>
    <x v="14"/>
    <x v="478"/>
    <n v="-0.82000000000000006"/>
    <n v="0.24"/>
    <s v="#23"/>
    <x v="0"/>
    <n v="0.65"/>
    <n v="-0.17"/>
    <n v="0.41"/>
    <n v="0.1681"/>
    <x v="7"/>
    <s v="NA4QB"/>
    <n v="38"/>
    <s v="NA4QB-38"/>
  </r>
  <r>
    <x v="1"/>
    <x v="478"/>
    <n v="-0.84000000000000008"/>
    <n v="0.24"/>
    <s v="#26"/>
    <x v="0"/>
    <n v="0.66"/>
    <n v="-0.18"/>
    <n v="0.42"/>
    <n v="0.1764"/>
    <x v="7"/>
    <s v="NA16QB"/>
    <n v="42"/>
    <s v="NA16QB-42"/>
  </r>
  <r>
    <x v="0"/>
    <x v="478"/>
    <n v="-0.82000000000000006"/>
    <n v="0.24"/>
    <s v="#21"/>
    <x v="0"/>
    <n v="0.65"/>
    <n v="-0.17"/>
    <n v="0.41"/>
    <n v="0.1681"/>
    <x v="7"/>
    <s v="NA17QB"/>
    <n v="42"/>
    <s v="NA17QB-42"/>
  </r>
  <r>
    <x v="6"/>
    <x v="474"/>
    <s v="0.01-0.47"/>
    <n v="0.24"/>
    <s v="#31"/>
    <x v="1"/>
    <n v="0.47"/>
    <n v="0.01"/>
    <n v="0.23"/>
    <n v="5.2900000000000003E-2"/>
    <x v="7"/>
    <s v="NA12RB"/>
    <n v="79"/>
    <s v="NA12RB-79"/>
  </r>
  <r>
    <x v="10"/>
    <x v="388"/>
    <n v="-0.67999999999999994"/>
    <n v="0.24"/>
    <s v="#13"/>
    <x v="0"/>
    <n v="0.57999999999999996"/>
    <n v="-0.1"/>
    <n v="0.34"/>
    <n v="0.11559999999999999"/>
    <x v="7"/>
    <s v="NA2QB"/>
    <n v="38"/>
    <s v="NA2QB-38"/>
  </r>
  <r>
    <x v="3"/>
    <x v="373"/>
    <n v="-0.8"/>
    <n v="0.24"/>
    <s v="#30"/>
    <x v="2"/>
    <n v="0.64"/>
    <n v="-0.16"/>
    <n v="0.4"/>
    <n v="0.16"/>
    <x v="7"/>
    <s v="NA11WR"/>
    <n v="100"/>
    <s v="NA11WR-100"/>
  </r>
  <r>
    <x v="1"/>
    <x v="325"/>
    <n v="-0.64"/>
    <n v="0.24"/>
    <s v="#17"/>
    <x v="1"/>
    <n v="0.56000000000000005"/>
    <n v="-0.08"/>
    <n v="0.32"/>
    <n v="0.1024"/>
    <x v="7"/>
    <s v="NA16RB"/>
    <n v="83"/>
    <s v="NA16RB-83"/>
  </r>
  <r>
    <x v="0"/>
    <x v="325"/>
    <n v="-0.64"/>
    <n v="0.24"/>
    <s v="#24"/>
    <x v="1"/>
    <n v="0.56000000000000005"/>
    <n v="-0.08"/>
    <n v="0.32"/>
    <n v="0.1024"/>
    <x v="7"/>
    <s v="NA17RB"/>
    <n v="84"/>
    <s v="NA17RB-84"/>
  </r>
  <r>
    <x v="5"/>
    <x v="258"/>
    <n v="-0.52"/>
    <n v="0.24"/>
    <s v="#30"/>
    <x v="2"/>
    <n v="0.5"/>
    <n v="-0.02"/>
    <n v="0.26"/>
    <n v="6.7599999999999993E-2"/>
    <x v="7"/>
    <s v="NA13WR"/>
    <n v="126"/>
    <s v="NA13WR-126"/>
  </r>
  <r>
    <x v="14"/>
    <x v="472"/>
    <n v="-0.76"/>
    <n v="0.24"/>
    <s v="#1"/>
    <x v="3"/>
    <n v="0.62"/>
    <n v="-0.14000000000000001"/>
    <n v="0.38"/>
    <n v="0.1444"/>
    <x v="7"/>
    <s v="NA4TE"/>
    <n v="67"/>
    <s v="NA4TE-67"/>
  </r>
  <r>
    <x v="3"/>
    <x v="472"/>
    <n v="-0.78"/>
    <n v="0.24"/>
    <s v="#3"/>
    <x v="3"/>
    <n v="0.63"/>
    <n v="-0.15"/>
    <n v="0.39"/>
    <n v="0.15210000000000001"/>
    <x v="7"/>
    <s v="NA11TE"/>
    <n v="68"/>
    <s v="NA11TE-68"/>
  </r>
  <r>
    <x v="6"/>
    <x v="472"/>
    <n v="-0.67999999999999994"/>
    <n v="0.24"/>
    <s v="#16"/>
    <x v="3"/>
    <n v="0.57999999999999996"/>
    <n v="-0.1"/>
    <n v="0.34"/>
    <n v="0.11559999999999999"/>
    <x v="7"/>
    <s v="NA12TE"/>
    <n v="83"/>
    <s v="NA12TE-83"/>
  </r>
  <r>
    <x v="2"/>
    <x v="473"/>
    <n v="-0.58000000000000007"/>
    <n v="0.23"/>
    <s v="#2"/>
    <x v="1"/>
    <n v="0.52"/>
    <n v="-0.06"/>
    <n v="0.28999999999999998"/>
    <n v="8.4099999999999994E-2"/>
    <x v="7"/>
    <s v="NA9RB"/>
    <n v="65"/>
    <s v="NA9RB-65"/>
  </r>
  <r>
    <x v="4"/>
    <x v="477"/>
    <n v="-0.5"/>
    <n v="0.23"/>
    <s v="#16"/>
    <x v="1"/>
    <n v="0.48"/>
    <n v="-0.02"/>
    <n v="0.25"/>
    <n v="6.25E-2"/>
    <x v="7"/>
    <s v="NA7RB"/>
    <n v="71"/>
    <s v="NA7RB-71"/>
  </r>
  <r>
    <x v="1"/>
    <x v="477"/>
    <s v="0.00-0.46"/>
    <n v="0.23"/>
    <s v="#10"/>
    <x v="1"/>
    <n v="0.46"/>
    <n v="0"/>
    <n v="0.23"/>
    <n v="5.2900000000000003E-2"/>
    <x v="7"/>
    <s v="NA16RB"/>
    <n v="84"/>
    <s v="NA16RB-84"/>
  </r>
  <r>
    <x v="0"/>
    <x v="477"/>
    <n v="-0.5"/>
    <n v="0.23"/>
    <s v="#8"/>
    <x v="1"/>
    <n v="0.48"/>
    <n v="-0.02"/>
    <n v="0.25"/>
    <n v="6.25E-2"/>
    <x v="7"/>
    <s v="NA17RB"/>
    <n v="85"/>
    <s v="NA17RB-85"/>
  </r>
  <r>
    <x v="12"/>
    <x v="479"/>
    <n v="-0.52"/>
    <n v="0.23"/>
    <s v="#9"/>
    <x v="1"/>
    <n v="0.49"/>
    <n v="-0.03"/>
    <n v="0.26"/>
    <n v="6.7599999999999993E-2"/>
    <x v="7"/>
    <s v="NA5RB"/>
    <n v="73"/>
    <s v="NA5RB-73"/>
  </r>
  <r>
    <x v="1"/>
    <x v="479"/>
    <n v="-0.56000000000000005"/>
    <n v="0.23"/>
    <s v="#11"/>
    <x v="1"/>
    <n v="0.51"/>
    <n v="-0.05"/>
    <n v="0.28000000000000003"/>
    <n v="7.8399999999999997E-2"/>
    <x v="7"/>
    <s v="NA16RB"/>
    <n v="85"/>
    <s v="NA16RB-85"/>
  </r>
  <r>
    <x v="7"/>
    <x v="465"/>
    <n v="-0.54"/>
    <n v="0.23"/>
    <s v="#10"/>
    <x v="3"/>
    <n v="0.5"/>
    <n v="-0.04"/>
    <n v="0.27"/>
    <n v="7.2900000000000006E-2"/>
    <x v="7"/>
    <s v="NA1TE"/>
    <n v="62"/>
    <s v="NA1TE-62"/>
  </r>
  <r>
    <x v="16"/>
    <x v="478"/>
    <n v="-0.76"/>
    <n v="0.23"/>
    <s v="#17"/>
    <x v="0"/>
    <n v="0.61"/>
    <n v="-0.15"/>
    <n v="0.38"/>
    <n v="0.1444"/>
    <x v="7"/>
    <s v="NA3QB"/>
    <n v="39"/>
    <s v="NA3QB-39"/>
  </r>
  <r>
    <x v="4"/>
    <x v="478"/>
    <n v="-0.8"/>
    <n v="0.23"/>
    <s v="#24"/>
    <x v="0"/>
    <n v="0.63"/>
    <n v="-0.17"/>
    <n v="0.4"/>
    <n v="0.16"/>
    <x v="7"/>
    <s v="NA7QB"/>
    <n v="38"/>
    <s v="NA7QB-38"/>
  </r>
  <r>
    <x v="13"/>
    <x v="478"/>
    <n v="-0.82000000000000006"/>
    <n v="0.23"/>
    <s v="#8"/>
    <x v="0"/>
    <n v="0.64"/>
    <n v="-0.18"/>
    <n v="0.41"/>
    <n v="0.1681"/>
    <x v="7"/>
    <s v="NA8QB"/>
    <n v="36"/>
    <s v="NA8QB-36"/>
  </r>
  <r>
    <x v="5"/>
    <x v="478"/>
    <n v="-0.84000000000000008"/>
    <n v="0.23"/>
    <s v="#10"/>
    <x v="0"/>
    <n v="0.65"/>
    <n v="-0.19"/>
    <n v="0.42"/>
    <n v="0.1764"/>
    <x v="7"/>
    <s v="NA13QB"/>
    <n v="42"/>
    <s v="NA13QB-42"/>
  </r>
  <r>
    <x v="9"/>
    <x v="478"/>
    <n v="-0.88"/>
    <n v="0.23"/>
    <s v="#11"/>
    <x v="0"/>
    <n v="0.67"/>
    <n v="-0.21"/>
    <n v="0.44"/>
    <n v="0.19359999999999999"/>
    <x v="7"/>
    <s v="NA15QB"/>
    <n v="42"/>
    <s v="NA15QB-42"/>
  </r>
  <r>
    <x v="12"/>
    <x v="325"/>
    <n v="-0.62"/>
    <n v="0.23"/>
    <s v="#14"/>
    <x v="1"/>
    <n v="0.54"/>
    <n v="-0.08"/>
    <n v="0.31"/>
    <n v="9.6100000000000005E-2"/>
    <x v="7"/>
    <s v="NA5RB"/>
    <n v="74"/>
    <s v="NA5RB-74"/>
  </r>
  <r>
    <x v="15"/>
    <x v="325"/>
    <n v="-0.62"/>
    <n v="0.23"/>
    <s v="#4"/>
    <x v="1"/>
    <n v="0.54"/>
    <n v="-0.08"/>
    <n v="0.31"/>
    <n v="9.6100000000000005E-2"/>
    <x v="7"/>
    <s v="NA10RB"/>
    <n v="73"/>
    <s v="NA10RB-73"/>
  </r>
  <r>
    <x v="5"/>
    <x v="325"/>
    <n v="-0.64"/>
    <n v="0.23"/>
    <s v="#24"/>
    <x v="1"/>
    <n v="0.55000000000000004"/>
    <n v="-0.09"/>
    <n v="0.32"/>
    <n v="0.1024"/>
    <x v="7"/>
    <s v="NA13RB"/>
    <n v="84"/>
    <s v="NA13RB-84"/>
  </r>
  <r>
    <x v="11"/>
    <x v="325"/>
    <n v="-0.62"/>
    <n v="0.23"/>
    <s v="#4"/>
    <x v="1"/>
    <n v="0.54"/>
    <n v="-0.08"/>
    <n v="0.31"/>
    <n v="9.6100000000000005E-2"/>
    <x v="7"/>
    <s v="NA14RB"/>
    <n v="84"/>
    <s v="NA14RB-84"/>
  </r>
  <r>
    <x v="1"/>
    <x v="472"/>
    <n v="-0.67999999999999994"/>
    <n v="0.23"/>
    <s v="#30"/>
    <x v="3"/>
    <n v="0.56999999999999995"/>
    <n v="-0.11"/>
    <n v="0.34"/>
    <n v="0.11559999999999999"/>
    <x v="7"/>
    <s v="NA16TE"/>
    <n v="87"/>
    <s v="NA16TE-87"/>
  </r>
  <r>
    <x v="0"/>
    <x v="472"/>
    <n v="-0.60000000000000009"/>
    <n v="0.23"/>
    <s v="#19"/>
    <x v="3"/>
    <n v="0.53"/>
    <n v="-7.0000000000000007E-2"/>
    <n v="0.3"/>
    <n v="0.09"/>
    <x v="7"/>
    <s v="NA17TE"/>
    <n v="87"/>
    <s v="NA17TE-87"/>
  </r>
  <r>
    <x v="13"/>
    <x v="471"/>
    <n v="-0.52"/>
    <n v="0.22"/>
    <s v="#5"/>
    <x v="2"/>
    <n v="0.48"/>
    <n v="-0.04"/>
    <n v="0.26"/>
    <n v="6.7599999999999993E-2"/>
    <x v="7"/>
    <s v="NA8WR"/>
    <n v="104"/>
    <s v="NA8WR-104"/>
  </r>
  <r>
    <x v="3"/>
    <x v="477"/>
    <n v="-0.5"/>
    <n v="0.22"/>
    <s v="#25"/>
    <x v="1"/>
    <n v="0.47"/>
    <n v="-0.03"/>
    <n v="0.25"/>
    <n v="6.25E-2"/>
    <x v="7"/>
    <s v="NA11RB"/>
    <n v="71"/>
    <s v="NA11RB-71"/>
  </r>
  <r>
    <x v="5"/>
    <x v="477"/>
    <n v="-0.46"/>
    <n v="0.22"/>
    <s v="#21"/>
    <x v="1"/>
    <n v="0.45"/>
    <n v="-0.01"/>
    <n v="0.23"/>
    <n v="5.2900000000000003E-2"/>
    <x v="7"/>
    <s v="NA13RB"/>
    <n v="85"/>
    <s v="NA13RB-85"/>
  </r>
  <r>
    <x v="6"/>
    <x v="232"/>
    <n v="-0.56000000000000005"/>
    <n v="0.22"/>
    <s v="#20"/>
    <x v="2"/>
    <n v="0.5"/>
    <n v="-0.06"/>
    <n v="0.28000000000000003"/>
    <n v="7.8399999999999997E-2"/>
    <x v="7"/>
    <s v="NA12WR"/>
    <n v="118"/>
    <s v="NA12WR-118"/>
  </r>
  <r>
    <x v="13"/>
    <x v="479"/>
    <n v="-0.56000000000000005"/>
    <n v="0.22"/>
    <s v="#11"/>
    <x v="1"/>
    <n v="0.5"/>
    <n v="-0.06"/>
    <n v="0.28000000000000003"/>
    <n v="7.8399999999999997E-2"/>
    <x v="7"/>
    <s v="NA8RB"/>
    <n v="77"/>
    <s v="NA8RB-77"/>
  </r>
  <r>
    <x v="2"/>
    <x v="479"/>
    <n v="-0.52"/>
    <n v="0.22"/>
    <s v="#21"/>
    <x v="1"/>
    <n v="0.48"/>
    <n v="-0.04"/>
    <n v="0.26"/>
    <n v="6.7599999999999993E-2"/>
    <x v="7"/>
    <s v="NA9RB"/>
    <n v="66"/>
    <s v="NA9RB-66"/>
  </r>
  <r>
    <x v="11"/>
    <x v="479"/>
    <n v="-0.52"/>
    <n v="0.22"/>
    <s v="#24"/>
    <x v="1"/>
    <n v="0.48"/>
    <n v="-0.04"/>
    <n v="0.26"/>
    <n v="6.7599999999999993E-2"/>
    <x v="7"/>
    <s v="NA14RB"/>
    <n v="85"/>
    <s v="NA14RB-85"/>
  </r>
  <r>
    <x v="14"/>
    <x v="398"/>
    <n v="-0.56000000000000005"/>
    <n v="0.22"/>
    <s v="#2"/>
    <x v="1"/>
    <n v="0.5"/>
    <n v="-0.06"/>
    <n v="0.28000000000000003"/>
    <n v="7.8399999999999997E-2"/>
    <x v="7"/>
    <s v="NA4RB"/>
    <n v="62"/>
    <s v="NA4RB-62"/>
  </r>
  <r>
    <x v="14"/>
    <x v="480"/>
    <s v="0.00-0.44"/>
    <n v="0.22"/>
    <s v="#24"/>
    <x v="1"/>
    <n v="0.44"/>
    <n v="0"/>
    <n v="0.22"/>
    <n v="4.8399999999999999E-2"/>
    <x v="7"/>
    <s v="NA4RB"/>
    <n v="63"/>
    <s v="NA4RB-63"/>
  </r>
  <r>
    <x v="7"/>
    <x v="478"/>
    <n v="-0.8"/>
    <n v="0.22"/>
    <s v="#4"/>
    <x v="0"/>
    <n v="0.62"/>
    <n v="-0.18"/>
    <n v="0.4"/>
    <n v="0.16"/>
    <x v="7"/>
    <s v="NA1QB"/>
    <n v="39"/>
    <s v="NA1QB-39"/>
  </r>
  <r>
    <x v="2"/>
    <x v="478"/>
    <n v="-0.84000000000000008"/>
    <n v="0.22"/>
    <s v="#26"/>
    <x v="0"/>
    <n v="0.64"/>
    <n v="-0.2"/>
    <n v="0.42"/>
    <n v="0.1764"/>
    <x v="7"/>
    <s v="NA9QB"/>
    <n v="35"/>
    <s v="NA9QB-35"/>
  </r>
  <r>
    <x v="7"/>
    <x v="474"/>
    <n v="-0.66"/>
    <n v="0.22"/>
    <s v="#26"/>
    <x v="1"/>
    <n v="0.55000000000000004"/>
    <n v="-0.11"/>
    <n v="0.33"/>
    <n v="0.1089"/>
    <x v="7"/>
    <s v="NA1RB"/>
    <n v="51"/>
    <s v="NA1RB-51"/>
  </r>
  <r>
    <x v="1"/>
    <x v="474"/>
    <s v="0.00-0.44"/>
    <n v="0.22"/>
    <s v="#5"/>
    <x v="1"/>
    <n v="0.44"/>
    <n v="0"/>
    <n v="0.22"/>
    <n v="4.8399999999999999E-2"/>
    <x v="7"/>
    <s v="NA16RB"/>
    <n v="86"/>
    <s v="NA16RB-86"/>
  </r>
  <r>
    <x v="12"/>
    <x v="476"/>
    <n v="-1.1200000000000001"/>
    <n v="0.22"/>
    <s v="#7"/>
    <x v="2"/>
    <n v="0.78"/>
    <n v="-0.34"/>
    <n v="0.56000000000000005"/>
    <n v="0.31359999999999999"/>
    <x v="7"/>
    <s v="NA5WR"/>
    <n v="112"/>
    <s v="NA5WR-112"/>
  </r>
  <r>
    <x v="8"/>
    <x v="325"/>
    <n v="-0.6"/>
    <n v="0.22"/>
    <s v="#27"/>
    <x v="1"/>
    <n v="0.52"/>
    <n v="-0.08"/>
    <n v="0.3"/>
    <n v="0.09"/>
    <x v="7"/>
    <s v="NA6RB"/>
    <n v="75"/>
    <s v="NA6RB-75"/>
  </r>
  <r>
    <x v="8"/>
    <x v="472"/>
    <n v="-0.6"/>
    <n v="0.22"/>
    <s v="#19"/>
    <x v="3"/>
    <n v="0.52"/>
    <n v="-0.08"/>
    <n v="0.3"/>
    <n v="0.09"/>
    <x v="7"/>
    <s v="NA6TE"/>
    <n v="77"/>
    <s v="NA6TE-77"/>
  </r>
  <r>
    <x v="15"/>
    <x v="477"/>
    <n v="-0.52"/>
    <n v="0.21"/>
    <s v="#32"/>
    <x v="1"/>
    <n v="0.47"/>
    <n v="-0.05"/>
    <n v="0.26"/>
    <n v="6.7599999999999993E-2"/>
    <x v="7"/>
    <s v="NA10RB"/>
    <n v="74"/>
    <s v="NA10RB-74"/>
  </r>
  <r>
    <x v="11"/>
    <x v="477"/>
    <n v="-0.5"/>
    <n v="0.21"/>
    <s v="#28"/>
    <x v="1"/>
    <n v="0.46"/>
    <n v="-0.04"/>
    <n v="0.25"/>
    <n v="6.25E-2"/>
    <x v="7"/>
    <s v="NA14RB"/>
    <n v="86"/>
    <s v="NA14RB-86"/>
  </r>
  <r>
    <x v="9"/>
    <x v="479"/>
    <n v="-0.54"/>
    <n v="0.21"/>
    <s v="#15"/>
    <x v="1"/>
    <n v="0.48"/>
    <n v="-0.06"/>
    <n v="0.27"/>
    <n v="7.2900000000000006E-2"/>
    <x v="7"/>
    <s v="NA15RB"/>
    <n v="86"/>
    <s v="NA15RB-86"/>
  </r>
  <r>
    <x v="6"/>
    <x v="478"/>
    <n v="-0.84"/>
    <n v="0.21"/>
    <s v="#5"/>
    <x v="0"/>
    <n v="0.63"/>
    <n v="-0.21"/>
    <n v="0.42"/>
    <n v="0.1764"/>
    <x v="7"/>
    <s v="NA12QB"/>
    <n v="40"/>
    <s v="NA12QB-40"/>
  </r>
  <r>
    <x v="11"/>
    <x v="478"/>
    <n v="-0.86"/>
    <n v="0.21"/>
    <s v="#13"/>
    <x v="0"/>
    <n v="0.64"/>
    <n v="-0.22"/>
    <n v="0.43"/>
    <n v="0.18490000000000001"/>
    <x v="7"/>
    <s v="NA14QB"/>
    <n v="42"/>
    <s v="NA14QB-42"/>
  </r>
  <r>
    <x v="2"/>
    <x v="325"/>
    <n v="-0.62"/>
    <n v="0.21"/>
    <s v="#5"/>
    <x v="1"/>
    <n v="0.52"/>
    <n v="-0.1"/>
    <n v="0.31"/>
    <n v="9.6100000000000005E-2"/>
    <x v="7"/>
    <s v="NA9RB"/>
    <n v="67"/>
    <s v="NA9RB-67"/>
  </r>
  <r>
    <x v="2"/>
    <x v="472"/>
    <n v="-0.6"/>
    <n v="0.21"/>
    <s v="#1"/>
    <x v="3"/>
    <n v="0.51"/>
    <n v="-0.09"/>
    <n v="0.3"/>
    <n v="0.09"/>
    <x v="7"/>
    <s v="NA9TE"/>
    <n v="71"/>
    <s v="NA9TE-71"/>
  </r>
  <r>
    <x v="5"/>
    <x v="472"/>
    <n v="-0.57999999999999996"/>
    <n v="0.21"/>
    <s v="#20"/>
    <x v="3"/>
    <n v="0.5"/>
    <n v="-0.08"/>
    <n v="0.28999999999999998"/>
    <n v="8.4099999999999994E-2"/>
    <x v="7"/>
    <s v="NA13TE"/>
    <n v="87"/>
    <s v="NA13TE-87"/>
  </r>
  <r>
    <x v="12"/>
    <x v="477"/>
    <n v="-0.45999999999999996"/>
    <n v="0.2"/>
    <s v="#18"/>
    <x v="1"/>
    <n v="0.43"/>
    <n v="-0.03"/>
    <n v="0.23"/>
    <n v="5.2900000000000003E-2"/>
    <x v="7"/>
    <s v="NA5RB"/>
    <n v="75"/>
    <s v="NA5RB-75"/>
  </r>
  <r>
    <x v="13"/>
    <x v="477"/>
    <n v="-0.45999999999999996"/>
    <n v="0.2"/>
    <s v="#18"/>
    <x v="1"/>
    <n v="0.43"/>
    <n v="-0.03"/>
    <n v="0.23"/>
    <n v="5.2900000000000003E-2"/>
    <x v="7"/>
    <s v="NA8RB"/>
    <n v="78"/>
    <s v="NA8RB-78"/>
  </r>
  <r>
    <x v="14"/>
    <x v="479"/>
    <n v="-0.48"/>
    <n v="0.2"/>
    <s v="#24"/>
    <x v="1"/>
    <n v="0.44"/>
    <n v="-0.04"/>
    <n v="0.24"/>
    <n v="5.7599999999999998E-2"/>
    <x v="7"/>
    <s v="NA4RB"/>
    <n v="64"/>
    <s v="NA4RB-64"/>
  </r>
  <r>
    <x v="8"/>
    <x v="479"/>
    <n v="-0.5"/>
    <n v="0.2"/>
    <s v="#32"/>
    <x v="1"/>
    <n v="0.45"/>
    <n v="-0.05"/>
    <n v="0.25"/>
    <n v="6.25E-2"/>
    <x v="7"/>
    <s v="NA6RB"/>
    <n v="76"/>
    <s v="NA6RB-76"/>
  </r>
  <r>
    <x v="16"/>
    <x v="378"/>
    <n v="-0.52"/>
    <n v="0.2"/>
    <s v="#7"/>
    <x v="2"/>
    <n v="0.46"/>
    <n v="-0.06"/>
    <n v="0.26"/>
    <n v="6.7599999999999993E-2"/>
    <x v="7"/>
    <s v="NA3WR"/>
    <n v="101"/>
    <s v="NA3WR-101"/>
  </r>
  <r>
    <x v="15"/>
    <x v="478"/>
    <n v="-0.84"/>
    <n v="0.2"/>
    <s v="#5"/>
    <x v="0"/>
    <n v="0.62"/>
    <n v="-0.22"/>
    <n v="0.42"/>
    <n v="0.1764"/>
    <x v="7"/>
    <s v="NA10QB"/>
    <n v="36"/>
    <s v="NA10QB-36"/>
  </r>
  <r>
    <x v="14"/>
    <x v="474"/>
    <n v="-0.44"/>
    <n v="0.2"/>
    <s v="#20"/>
    <x v="1"/>
    <n v="0.42"/>
    <n v="-0.02"/>
    <n v="0.22"/>
    <n v="4.8399999999999999E-2"/>
    <x v="7"/>
    <s v="NA4RB"/>
    <n v="65"/>
    <s v="NA4RB-65"/>
  </r>
  <r>
    <x v="6"/>
    <x v="325"/>
    <n v="-0.55999999999999994"/>
    <n v="0.2"/>
    <s v="#3"/>
    <x v="1"/>
    <n v="0.48"/>
    <n v="-0.08"/>
    <n v="0.28000000000000003"/>
    <n v="7.8399999999999997E-2"/>
    <x v="7"/>
    <s v="NA12RB"/>
    <n v="80"/>
    <s v="NA12RB-80"/>
  </r>
  <r>
    <x v="7"/>
    <x v="479"/>
    <n v="-0.55999999999999994"/>
    <n v="0.19"/>
    <s v="#27"/>
    <x v="1"/>
    <n v="0.47"/>
    <n v="-0.09"/>
    <n v="0.28000000000000003"/>
    <n v="7.8399999999999997E-2"/>
    <x v="7"/>
    <s v="NA1RB"/>
    <n v="52"/>
    <s v="NA1RB-52"/>
  </r>
  <r>
    <x v="4"/>
    <x v="479"/>
    <n v="-0.5"/>
    <n v="0.19"/>
    <s v="#5"/>
    <x v="1"/>
    <n v="0.44"/>
    <n v="-0.06"/>
    <n v="0.25"/>
    <n v="6.25E-2"/>
    <x v="7"/>
    <s v="NA7RB"/>
    <n v="72"/>
    <s v="NA7RB-72"/>
  </r>
  <r>
    <x v="14"/>
    <x v="476"/>
    <n v="-0.76"/>
    <n v="0.19"/>
    <s v="#30"/>
    <x v="2"/>
    <n v="0.56999999999999995"/>
    <n v="-0.19"/>
    <n v="0.38"/>
    <n v="0.1444"/>
    <x v="7"/>
    <s v="NA4WR"/>
    <n v="98"/>
    <s v="NA4WR-98"/>
  </r>
  <r>
    <x v="16"/>
    <x v="477"/>
    <n v="-0.42000000000000004"/>
    <n v="0.18"/>
    <s v="#5"/>
    <x v="1"/>
    <n v="0.39"/>
    <n v="-0.03"/>
    <n v="0.21"/>
    <n v="4.41E-2"/>
    <x v="7"/>
    <s v="NA3RB"/>
    <n v="63"/>
    <s v="NA3RB-63"/>
  </r>
  <r>
    <x v="14"/>
    <x v="453"/>
    <n v="-0.66"/>
    <n v="0.18"/>
    <s v="#32"/>
    <x v="3"/>
    <n v="0.51"/>
    <n v="-0.15"/>
    <n v="0.33"/>
    <n v="0.1089"/>
    <x v="7"/>
    <s v="NA4TE"/>
    <n v="68"/>
    <s v="NA4TE-68"/>
  </r>
  <r>
    <x v="15"/>
    <x v="479"/>
    <n v="-0.42"/>
    <n v="0.17"/>
    <s v="#14"/>
    <x v="1"/>
    <n v="0.38"/>
    <n v="-0.04"/>
    <n v="0.21"/>
    <n v="4.41E-2"/>
    <x v="7"/>
    <s v="NA10RB"/>
    <n v="75"/>
    <s v="NA10RB-75"/>
  </r>
  <r>
    <x v="5"/>
    <x v="479"/>
    <n v="-0.44"/>
    <n v="0.17"/>
    <s v="#26"/>
    <x v="1"/>
    <n v="0.39"/>
    <n v="-0.05"/>
    <n v="0.22"/>
    <n v="4.8399999999999999E-2"/>
    <x v="7"/>
    <s v="NA13RB"/>
    <n v="86"/>
    <s v="NA13RB-86"/>
  </r>
  <r>
    <x v="0"/>
    <x v="479"/>
    <n v="-0.44"/>
    <n v="0.17"/>
    <s v="#4"/>
    <x v="1"/>
    <n v="0.39"/>
    <n v="-0.05"/>
    <n v="0.22"/>
    <n v="4.8399999999999999E-2"/>
    <x v="7"/>
    <s v="NA17RB"/>
    <n v="86"/>
    <s v="NA17RB-86"/>
  </r>
  <r>
    <x v="10"/>
    <x v="465"/>
    <n v="-0.38"/>
    <n v="0.17"/>
    <s v="#16"/>
    <x v="3"/>
    <n v="0.36"/>
    <n v="-0.02"/>
    <n v="0.19"/>
    <n v="3.61E-2"/>
    <x v="7"/>
    <s v="NA2TE"/>
    <n v="72"/>
    <s v="NA2TE-72"/>
  </r>
  <r>
    <x v="16"/>
    <x v="453"/>
    <n v="-0.58000000000000007"/>
    <n v="0.17"/>
    <s v="#1"/>
    <x v="3"/>
    <n v="0.46"/>
    <n v="-0.12"/>
    <n v="0.28999999999999998"/>
    <n v="8.4099999999999994E-2"/>
    <x v="7"/>
    <s v="NA3TE"/>
    <n v="74"/>
    <s v="NA3TE-74"/>
  </r>
  <r>
    <x v="6"/>
    <x v="479"/>
    <n v="-0.44"/>
    <n v="0.16"/>
    <s v="#4"/>
    <x v="1"/>
    <n v="0.38"/>
    <n v="-0.06"/>
    <n v="0.22"/>
    <n v="4.8399999999999999E-2"/>
    <x v="7"/>
    <s v="NA12RB"/>
    <n v="81"/>
    <s v="NA12RB-81"/>
  </r>
  <r>
    <x v="16"/>
    <x v="476"/>
    <n v="-0.65999999999999992"/>
    <n v="0.15"/>
    <s v="#11"/>
    <x v="2"/>
    <n v="0.48"/>
    <n v="-0.18"/>
    <n v="0.33"/>
    <n v="0.1089"/>
    <x v="7"/>
    <s v="NA3WR"/>
    <n v="102"/>
    <s v="NA3WR-102"/>
  </r>
  <r>
    <x v="10"/>
    <x v="479"/>
    <n v="-0.48"/>
    <n v="0.13"/>
    <s v="#3"/>
    <x v="1"/>
    <n v="0.37"/>
    <n v="-0.11"/>
    <n v="0.24"/>
    <n v="5.7599999999999998E-2"/>
    <x v="7"/>
    <s v="NA2RB"/>
    <n v="59"/>
    <s v="NA2RB-59"/>
  </r>
  <r>
    <x v="8"/>
    <x v="476"/>
    <n v="-0.52"/>
    <n v="7.0000000000000007E-2"/>
    <s v="#6"/>
    <x v="2"/>
    <n v="0.33"/>
    <n v="-0.19"/>
    <n v="0.26"/>
    <n v="6.7599999999999993E-2"/>
    <x v="7"/>
    <s v="NA6WR"/>
    <n v="117"/>
    <s v="NA6WR-117"/>
  </r>
  <r>
    <x v="4"/>
    <x v="476"/>
    <n v="-0.52"/>
    <n v="7.0000000000000007E-2"/>
    <s v="#29"/>
    <x v="2"/>
    <n v="0.33"/>
    <n v="-0.19"/>
    <n v="0.26"/>
    <n v="6.7599999999999993E-2"/>
    <x v="7"/>
    <s v="NA7WR"/>
    <n v="110"/>
    <s v="NA7WR-110"/>
  </r>
  <r>
    <x v="13"/>
    <x v="476"/>
    <n v="-0.52"/>
    <n v="7.0000000000000007E-2"/>
    <s v="#12"/>
    <x v="2"/>
    <n v="0.33"/>
    <n v="-0.19"/>
    <n v="0.26"/>
    <n v="6.7599999999999993E-2"/>
    <x v="7"/>
    <s v="NA8WR"/>
    <n v="105"/>
    <s v="NA8WR-105"/>
  </r>
  <r>
    <x v="15"/>
    <x v="476"/>
    <n v="-0.52"/>
    <n v="7.0000000000000007E-2"/>
    <s v="#18"/>
    <x v="2"/>
    <n v="0.33"/>
    <n v="-0.19"/>
    <n v="0.26"/>
    <n v="6.7599999999999993E-2"/>
    <x v="7"/>
    <s v="NA10WR"/>
    <n v="115"/>
    <s v="NA10WR-115"/>
  </r>
  <r>
    <x v="3"/>
    <x v="476"/>
    <n v="-0.5"/>
    <n v="7.0000000000000007E-2"/>
    <s v="#31"/>
    <x v="2"/>
    <n v="0.32"/>
    <n v="-0.18"/>
    <n v="0.25"/>
    <n v="6.25E-2"/>
    <x v="7"/>
    <s v="NA11WR"/>
    <n v="101"/>
    <s v="NA11WR-101"/>
  </r>
  <r>
    <x v="6"/>
    <x v="476"/>
    <n v="-0.52"/>
    <n v="7.0000000000000007E-2"/>
    <s v="#6"/>
    <x v="2"/>
    <n v="0.33"/>
    <n v="-0.19"/>
    <n v="0.26"/>
    <n v="6.7599999999999993E-2"/>
    <x v="7"/>
    <s v="NA12WR"/>
    <n v="119"/>
    <s v="NA12WR-119"/>
  </r>
  <r>
    <x v="5"/>
    <x v="476"/>
    <n v="-0.54"/>
    <n v="7.0000000000000007E-2"/>
    <s v="#5"/>
    <x v="2"/>
    <n v="0.34"/>
    <n v="-0.2"/>
    <n v="0.27"/>
    <n v="7.2900000000000006E-2"/>
    <x v="7"/>
    <s v="NA13WR"/>
    <n v="127"/>
    <s v="NA13WR-127"/>
  </r>
  <r>
    <x v="11"/>
    <x v="476"/>
    <n v="-0.52"/>
    <n v="7.0000000000000007E-2"/>
    <s v="#12"/>
    <x v="2"/>
    <n v="0.33"/>
    <n v="-0.19"/>
    <n v="0.26"/>
    <n v="6.7599999999999993E-2"/>
    <x v="7"/>
    <s v="NA14WR"/>
    <n v="127"/>
    <s v="NA14WR-127"/>
  </r>
  <r>
    <x v="9"/>
    <x v="476"/>
    <n v="-0.52"/>
    <n v="7.0000000000000007E-2"/>
    <s v="#14"/>
    <x v="2"/>
    <n v="0.33"/>
    <n v="-0.19"/>
    <n v="0.26"/>
    <n v="6.7599999999999993E-2"/>
    <x v="7"/>
    <s v="NA15WR"/>
    <n v="127"/>
    <s v="NA15WR-127"/>
  </r>
  <r>
    <x v="1"/>
    <x v="476"/>
    <n v="-0.52"/>
    <n v="7.0000000000000007E-2"/>
    <s v="#9"/>
    <x v="2"/>
    <n v="0.33"/>
    <n v="-0.19"/>
    <n v="0.26"/>
    <n v="6.7599999999999993E-2"/>
    <x v="7"/>
    <s v="NA16WR"/>
    <n v="127"/>
    <s v="NA16WR-127"/>
  </r>
  <r>
    <x v="0"/>
    <x v="476"/>
    <n v="-0.52"/>
    <n v="7.0000000000000007E-2"/>
    <s v="#23"/>
    <x v="2"/>
    <n v="0.33"/>
    <n v="-0.19"/>
    <n v="0.26"/>
    <n v="6.7599999999999993E-2"/>
    <x v="7"/>
    <s v="NA17WR"/>
    <n v="129"/>
    <s v="NA17WR-129"/>
  </r>
  <r>
    <x v="7"/>
    <x v="438"/>
    <n v="-0.04"/>
    <n v="0.01"/>
    <s v="#6"/>
    <x v="3"/>
    <n v="0.03"/>
    <n v="-0.01"/>
    <n v="0.02"/>
    <n v="4.0000000000000002E-4"/>
    <x v="7"/>
    <s v="NA1TE"/>
    <n v="63"/>
    <s v="NA1TE-63"/>
  </r>
  <r>
    <x v="10"/>
    <x v="438"/>
    <n v="-0.04"/>
    <n v="0.01"/>
    <s v="#7"/>
    <x v="3"/>
    <n v="0.03"/>
    <n v="-0.01"/>
    <n v="0.02"/>
    <n v="4.0000000000000002E-4"/>
    <x v="7"/>
    <s v="NA2TE"/>
    <n v="73"/>
    <s v="NA2TE-73"/>
  </r>
  <r>
    <x v="14"/>
    <x v="300"/>
    <s v="0.00-0.00"/>
    <n v="0"/>
    <s v="#17"/>
    <x v="3"/>
    <n v="0"/>
    <n v="0"/>
    <n v="0"/>
    <n v="0"/>
    <x v="7"/>
    <s v="NA4TE"/>
    <n v="69"/>
    <s v="NA4TE-69"/>
  </r>
  <r>
    <x v="7"/>
    <x v="122"/>
    <s v="0.00-0.00"/>
    <n v="0"/>
    <s v="#5"/>
    <x v="1"/>
    <n v="0"/>
    <n v="0"/>
    <n v="0"/>
    <n v="0"/>
    <x v="2"/>
    <s v="devon1RB"/>
    <n v="4"/>
    <s v="devon1RB-4"/>
  </r>
  <r>
    <x v="10"/>
    <x v="122"/>
    <s v="0.00-0.00"/>
    <n v="0"/>
    <s v="#26"/>
    <x v="1"/>
    <n v="0"/>
    <n v="0"/>
    <n v="0"/>
    <n v="0"/>
    <x v="2"/>
    <s v="devon2RB"/>
    <n v="5"/>
    <s v="devon2RB-5"/>
  </r>
  <r>
    <x v="7"/>
    <x v="459"/>
    <s v="0.00-0.00"/>
    <n v="0"/>
    <s v="#21"/>
    <x v="3"/>
    <n v="0"/>
    <n v="0"/>
    <n v="0"/>
    <n v="0"/>
    <x v="7"/>
    <s v="NA1TE"/>
    <n v="64"/>
    <s v="NA1TE-64"/>
  </r>
  <r>
    <x v="10"/>
    <x v="459"/>
    <s v="0.00-0.00"/>
    <n v="0"/>
    <s v="#8"/>
    <x v="3"/>
    <n v="0"/>
    <n v="0"/>
    <n v="0"/>
    <n v="0"/>
    <x v="7"/>
    <s v="NA2TE"/>
    <n v="74"/>
    <s v="NA2TE-74"/>
  </r>
  <r>
    <x v="16"/>
    <x v="459"/>
    <s v="0.00-0.00"/>
    <n v="0"/>
    <s v="#13"/>
    <x v="3"/>
    <n v="0"/>
    <n v="0"/>
    <n v="0"/>
    <n v="0"/>
    <x v="7"/>
    <s v="NA3TE"/>
    <n v="75"/>
    <s v="NA3TE-75"/>
  </r>
  <r>
    <x v="14"/>
    <x v="459"/>
    <s v="0.00-0.00"/>
    <n v="0"/>
    <s v="#31"/>
    <x v="3"/>
    <n v="0"/>
    <n v="0"/>
    <n v="0"/>
    <n v="0"/>
    <x v="7"/>
    <s v="NA4TE"/>
    <n v="70"/>
    <s v="NA4TE-70"/>
  </r>
  <r>
    <x v="8"/>
    <x v="459"/>
    <s v="0.00-0.00"/>
    <n v="0"/>
    <s v="#24"/>
    <x v="3"/>
    <n v="0"/>
    <n v="0"/>
    <n v="0"/>
    <n v="0"/>
    <x v="7"/>
    <s v="NA6TE"/>
    <n v="78"/>
    <s v="NA6TE-78"/>
  </r>
  <r>
    <x v="4"/>
    <x v="459"/>
    <s v="0.00-0.00"/>
    <n v="0"/>
    <s v="#17"/>
    <x v="3"/>
    <n v="0"/>
    <n v="0"/>
    <n v="0"/>
    <n v="0"/>
    <x v="7"/>
    <s v="NA7TE"/>
    <n v="77"/>
    <s v="NA7TE-77"/>
  </r>
  <r>
    <x v="14"/>
    <x v="436"/>
    <s v="0.00-0.00"/>
    <n v="0"/>
    <s v="#16"/>
    <x v="3"/>
    <n v="0"/>
    <n v="0"/>
    <n v="0"/>
    <n v="0"/>
    <x v="7"/>
    <s v="NA4TE"/>
    <n v="71"/>
    <s v="NA4TE-71"/>
  </r>
  <r>
    <x v="7"/>
    <x v="481"/>
    <s v="0.00-0.00"/>
    <n v="0"/>
    <s v="#3"/>
    <x v="0"/>
    <n v="0"/>
    <n v="0"/>
    <n v="0"/>
    <n v="0"/>
    <x v="7"/>
    <s v="NA1QB"/>
    <n v="40"/>
    <s v="NA1QB-40"/>
  </r>
  <r>
    <x v="10"/>
    <x v="481"/>
    <s v="0.00-0.00"/>
    <n v="0"/>
    <s v="#23"/>
    <x v="0"/>
    <n v="0"/>
    <n v="0"/>
    <n v="0"/>
    <n v="0"/>
    <x v="7"/>
    <s v="NA2QB"/>
    <n v="39"/>
    <s v="NA2QB-39"/>
  </r>
  <r>
    <x v="16"/>
    <x v="481"/>
    <s v="0.00-0.00"/>
    <n v="0"/>
    <s v="#27"/>
    <x v="0"/>
    <n v="0"/>
    <n v="0"/>
    <n v="0"/>
    <n v="0"/>
    <x v="7"/>
    <s v="NA3QB"/>
    <n v="40"/>
    <s v="NA3QB-40"/>
  </r>
  <r>
    <x v="14"/>
    <x v="481"/>
    <s v="0.00-0.00"/>
    <n v="0"/>
    <s v="#30"/>
    <x v="0"/>
    <n v="0"/>
    <n v="0"/>
    <n v="0"/>
    <n v="0"/>
    <x v="7"/>
    <s v="NA4QB"/>
    <n v="39"/>
    <s v="NA4QB-39"/>
  </r>
  <r>
    <x v="12"/>
    <x v="481"/>
    <s v="0.00-0.00"/>
    <n v="0"/>
    <s v="#7"/>
    <x v="0"/>
    <n v="0"/>
    <n v="0"/>
    <n v="0"/>
    <n v="0"/>
    <x v="7"/>
    <s v="NA5QB"/>
    <n v="39"/>
    <s v="NA5QB-39"/>
  </r>
  <r>
    <x v="8"/>
    <x v="481"/>
    <s v="0.00-0.00"/>
    <n v="0"/>
    <s v="#6"/>
    <x v="0"/>
    <n v="0"/>
    <n v="0"/>
    <n v="0"/>
    <n v="0"/>
    <x v="7"/>
    <s v="NA6QB"/>
    <n v="40"/>
    <s v="NA6QB-40"/>
  </r>
  <r>
    <x v="4"/>
    <x v="481"/>
    <s v="0.00-0.00"/>
    <n v="0"/>
    <s v="#29"/>
    <x v="0"/>
    <n v="0"/>
    <n v="0"/>
    <n v="0"/>
    <n v="0"/>
    <x v="7"/>
    <s v="NA7QB"/>
    <n v="39"/>
    <s v="NA7QB-39"/>
  </r>
  <r>
    <x v="13"/>
    <x v="481"/>
    <s v="0.00-0.00"/>
    <n v="0"/>
    <s v="#12"/>
    <x v="0"/>
    <n v="0"/>
    <n v="0"/>
    <n v="0"/>
    <n v="0"/>
    <x v="7"/>
    <s v="NA8QB"/>
    <n v="37"/>
    <s v="NA8QB-37"/>
  </r>
  <r>
    <x v="15"/>
    <x v="481"/>
    <s v="0.00-0.00"/>
    <n v="0"/>
    <s v="#18"/>
    <x v="0"/>
    <n v="0"/>
    <n v="0"/>
    <n v="0"/>
    <n v="0"/>
    <x v="7"/>
    <s v="NA10QB"/>
    <n v="37"/>
    <s v="NA10QB-37"/>
  </r>
  <r>
    <x v="3"/>
    <x v="481"/>
    <s v="0.00-0.00"/>
    <n v="0"/>
    <s v="#31"/>
    <x v="0"/>
    <n v="0"/>
    <n v="0"/>
    <n v="0"/>
    <n v="0"/>
    <x v="7"/>
    <s v="NA11QB"/>
    <n v="34"/>
    <s v="NA11QB-34"/>
  </r>
  <r>
    <x v="6"/>
    <x v="481"/>
    <s v="0.00-0.00"/>
    <n v="0"/>
    <s v="#6"/>
    <x v="0"/>
    <n v="0"/>
    <n v="0"/>
    <n v="0"/>
    <n v="0"/>
    <x v="7"/>
    <s v="NA12QB"/>
    <n v="41"/>
    <s v="NA12QB-41"/>
  </r>
  <r>
    <x v="5"/>
    <x v="481"/>
    <s v="0.00-0.00"/>
    <n v="0"/>
    <s v="#5"/>
    <x v="0"/>
    <n v="0"/>
    <n v="0"/>
    <n v="0"/>
    <n v="0"/>
    <x v="7"/>
    <s v="NA13QB"/>
    <n v="43"/>
    <s v="NA13QB-43"/>
  </r>
  <r>
    <x v="11"/>
    <x v="481"/>
    <s v="0.00-0.00"/>
    <n v="0"/>
    <s v="#12"/>
    <x v="0"/>
    <n v="0"/>
    <n v="0"/>
    <n v="0"/>
    <n v="0"/>
    <x v="7"/>
    <s v="NA14QB"/>
    <n v="43"/>
    <s v="NA14QB-43"/>
  </r>
  <r>
    <x v="9"/>
    <x v="481"/>
    <s v="0.00-0.00"/>
    <n v="0"/>
    <s v="#14"/>
    <x v="0"/>
    <n v="0"/>
    <n v="0"/>
    <n v="0"/>
    <n v="0"/>
    <x v="7"/>
    <s v="NA15QB"/>
    <n v="43"/>
    <s v="NA15QB-43"/>
  </r>
  <r>
    <x v="1"/>
    <x v="481"/>
    <s v="0.00-0.00"/>
    <n v="0"/>
    <s v="#9"/>
    <x v="0"/>
    <n v="0"/>
    <n v="0"/>
    <n v="0"/>
    <n v="0"/>
    <x v="7"/>
    <s v="NA16QB"/>
    <n v="43"/>
    <s v="NA16QB-43"/>
  </r>
  <r>
    <x v="0"/>
    <x v="481"/>
    <s v="0.00-0.00"/>
    <n v="0"/>
    <s v="#23"/>
    <x v="0"/>
    <n v="0"/>
    <n v="0"/>
    <n v="0"/>
    <n v="0"/>
    <x v="7"/>
    <s v="NA17QB"/>
    <n v="43"/>
    <s v="NA17QB-43"/>
  </r>
  <r>
    <x v="7"/>
    <x v="104"/>
    <s v="0.00-0.00"/>
    <n v="0"/>
    <s v="#29"/>
    <x v="2"/>
    <n v="0"/>
    <n v="0"/>
    <n v="0"/>
    <n v="0"/>
    <x v="2"/>
    <s v="devon1WR"/>
    <n v="4"/>
    <s v="devon1WR-4"/>
  </r>
  <r>
    <x v="10"/>
    <x v="104"/>
    <s v="0.00-0.00"/>
    <n v="0"/>
    <s v="#31"/>
    <x v="2"/>
    <n v="0"/>
    <n v="0"/>
    <n v="0"/>
    <n v="0"/>
    <x v="2"/>
    <s v="devon2WR"/>
    <n v="4"/>
    <s v="devon2WR-4"/>
  </r>
  <r>
    <x v="16"/>
    <x v="104"/>
    <s v="0.00-0.00"/>
    <n v="0"/>
    <s v="#9"/>
    <x v="2"/>
    <n v="0"/>
    <n v="0"/>
    <n v="0"/>
    <n v="0"/>
    <x v="2"/>
    <s v="devon3WR"/>
    <n v="4"/>
    <s v="devon3WR-4"/>
  </r>
  <r>
    <x v="7"/>
    <x v="309"/>
    <s v="0.00-0.00"/>
    <n v="0"/>
    <s v="#4"/>
    <x v="1"/>
    <n v="0"/>
    <n v="0"/>
    <n v="0"/>
    <n v="0"/>
    <x v="7"/>
    <s v="NA1RB"/>
    <n v="53"/>
    <s v="NA1RB-53"/>
  </r>
  <r>
    <x v="10"/>
    <x v="309"/>
    <s v="0.00-0.00"/>
    <n v="0"/>
    <s v="#18"/>
    <x v="1"/>
    <n v="0"/>
    <n v="0"/>
    <n v="0"/>
    <n v="0"/>
    <x v="7"/>
    <s v="NA2RB"/>
    <n v="60"/>
    <s v="NA2RB-60"/>
  </r>
  <r>
    <x v="14"/>
    <x v="309"/>
    <s v="0.00-0.00"/>
    <n v="0"/>
    <s v="#23"/>
    <x v="1"/>
    <n v="0"/>
    <n v="0"/>
    <n v="0"/>
    <n v="0"/>
    <x v="7"/>
    <s v="NA4RB"/>
    <n v="66"/>
    <s v="NA4RB-66"/>
  </r>
  <r>
    <x v="14"/>
    <x v="212"/>
    <s v="0.00-0.00"/>
    <n v="0"/>
    <s v="#31"/>
    <x v="2"/>
    <n v="0"/>
    <n v="0"/>
    <n v="0"/>
    <n v="0"/>
    <x v="7"/>
    <s v="NA4WR"/>
    <n v="99"/>
    <s v="NA4WR-99"/>
  </r>
  <r>
    <x v="14"/>
    <x v="482"/>
    <s v="0.00-0.00"/>
    <n v="0"/>
    <s v="#6"/>
    <x v="0"/>
    <n v="0"/>
    <n v="0"/>
    <n v="0"/>
    <n v="0"/>
    <x v="7"/>
    <s v="NA4QB"/>
    <n v="40"/>
    <s v="NA4QB-40"/>
  </r>
  <r>
    <x v="12"/>
    <x v="482"/>
    <s v="0.00-0.00"/>
    <n v="0"/>
    <s v="#11"/>
    <x v="0"/>
    <n v="0"/>
    <n v="0"/>
    <n v="0"/>
    <n v="0"/>
    <x v="7"/>
    <s v="NA5QB"/>
    <n v="40"/>
    <s v="NA5QB-40"/>
  </r>
  <r>
    <x v="8"/>
    <x v="482"/>
    <s v="0.00-0.00"/>
    <n v="0"/>
    <s v="#1"/>
    <x v="0"/>
    <n v="0"/>
    <n v="0"/>
    <n v="0"/>
    <n v="0"/>
    <x v="7"/>
    <s v="NA6QB"/>
    <n v="41"/>
    <s v="NA6QB-41"/>
  </r>
  <r>
    <x v="4"/>
    <x v="482"/>
    <s v="0.00-0.00"/>
    <n v="0"/>
    <s v="#20"/>
    <x v="0"/>
    <n v="0"/>
    <n v="0"/>
    <n v="0"/>
    <n v="0"/>
    <x v="7"/>
    <s v="NA7QB"/>
    <n v="40"/>
    <s v="NA7QB-40"/>
  </r>
  <r>
    <x v="2"/>
    <x v="482"/>
    <s v="0.00-0.00"/>
    <n v="0"/>
    <s v="#23"/>
    <x v="0"/>
    <n v="0"/>
    <n v="0"/>
    <n v="0"/>
    <n v="0"/>
    <x v="7"/>
    <s v="NA9QB"/>
    <n v="36"/>
    <s v="NA9QB-36"/>
  </r>
  <r>
    <x v="15"/>
    <x v="482"/>
    <s v="0.00-0.00"/>
    <n v="0"/>
    <s v="#17"/>
    <x v="0"/>
    <n v="0"/>
    <n v="0"/>
    <n v="0"/>
    <n v="0"/>
    <x v="7"/>
    <s v="NA10QB"/>
    <n v="38"/>
    <s v="NA10QB-38"/>
  </r>
  <r>
    <x v="3"/>
    <x v="482"/>
    <s v="0.00-0.00"/>
    <n v="0"/>
    <s v="#9"/>
    <x v="0"/>
    <n v="0"/>
    <n v="0"/>
    <n v="0"/>
    <n v="0"/>
    <x v="7"/>
    <s v="NA11QB"/>
    <n v="35"/>
    <s v="NA11QB-35"/>
  </r>
  <r>
    <x v="6"/>
    <x v="482"/>
    <s v="0.00-0.00"/>
    <n v="0"/>
    <s v="#27"/>
    <x v="0"/>
    <n v="0"/>
    <n v="0"/>
    <n v="0"/>
    <n v="0"/>
    <x v="7"/>
    <s v="NA12QB"/>
    <n v="42"/>
    <s v="NA12QB-42"/>
  </r>
  <r>
    <x v="5"/>
    <x v="482"/>
    <s v="0.00-0.00"/>
    <n v="0"/>
    <s v="#4"/>
    <x v="0"/>
    <n v="0"/>
    <n v="0"/>
    <n v="0"/>
    <n v="0"/>
    <x v="7"/>
    <s v="NA13QB"/>
    <n v="44"/>
    <s v="NA13QB-44"/>
  </r>
  <r>
    <x v="11"/>
    <x v="482"/>
    <s v="0.00-0.00"/>
    <n v="0"/>
    <s v="#3"/>
    <x v="0"/>
    <n v="0"/>
    <n v="0"/>
    <n v="0"/>
    <n v="0"/>
    <x v="7"/>
    <s v="NA14QB"/>
    <n v="44"/>
    <s v="NA14QB-44"/>
  </r>
  <r>
    <x v="9"/>
    <x v="482"/>
    <s v="0.00-0.00"/>
    <n v="0"/>
    <s v="#22"/>
    <x v="0"/>
    <n v="0"/>
    <n v="0"/>
    <n v="0"/>
    <n v="0"/>
    <x v="7"/>
    <s v="NA15QB"/>
    <n v="44"/>
    <s v="NA15QB-44"/>
  </r>
  <r>
    <x v="1"/>
    <x v="482"/>
    <s v="0.00-0.00"/>
    <n v="0"/>
    <s v="#12"/>
    <x v="0"/>
    <n v="0"/>
    <n v="0"/>
    <n v="0"/>
    <n v="0"/>
    <x v="7"/>
    <s v="NA16QB"/>
    <n v="44"/>
    <s v="NA16QB-44"/>
  </r>
  <r>
    <x v="0"/>
    <x v="482"/>
    <s v="0.00-0.00"/>
    <n v="0"/>
    <s v="#9"/>
    <x v="0"/>
    <n v="0"/>
    <n v="0"/>
    <n v="0"/>
    <n v="0"/>
    <x v="7"/>
    <s v="NA17QB"/>
    <n v="44"/>
    <s v="NA17QB-44"/>
  </r>
  <r>
    <x v="14"/>
    <x v="47"/>
    <s v="0.00-0.00"/>
    <n v="0"/>
    <s v="#6"/>
    <x v="0"/>
    <n v="0"/>
    <n v="0"/>
    <n v="0"/>
    <n v="0"/>
    <x v="7"/>
    <s v="NA4QB"/>
    <n v="41"/>
    <s v="NA4QB-41"/>
  </r>
  <r>
    <x v="7"/>
    <x v="279"/>
    <s v="0.00-0.00"/>
    <n v="0"/>
    <s v="#10"/>
    <x v="2"/>
    <n v="0"/>
    <n v="0"/>
    <n v="0"/>
    <n v="0"/>
    <x v="7"/>
    <s v="NA1WR"/>
    <n v="87"/>
    <s v="NA1WR-87"/>
  </r>
  <r>
    <x v="14"/>
    <x v="279"/>
    <s v="0.00-0.00"/>
    <n v="0"/>
    <s v="#2"/>
    <x v="2"/>
    <n v="0"/>
    <n v="0"/>
    <n v="0"/>
    <n v="0"/>
    <x v="7"/>
    <s v="NA4WR"/>
    <n v="100"/>
    <s v="NA4WR-100"/>
  </r>
  <r>
    <x v="7"/>
    <x v="483"/>
    <s v="0.00-0.00"/>
    <n v="0"/>
    <s v="#14"/>
    <x v="0"/>
    <n v="0"/>
    <n v="0"/>
    <n v="0"/>
    <n v="0"/>
    <x v="7"/>
    <s v="NA1QB"/>
    <n v="41"/>
    <s v="NA1QB-41"/>
  </r>
  <r>
    <x v="10"/>
    <x v="483"/>
    <s v="0.00-0.00"/>
    <n v="0"/>
    <s v="#4"/>
    <x v="0"/>
    <n v="0"/>
    <n v="0"/>
    <n v="0"/>
    <n v="0"/>
    <x v="7"/>
    <s v="NA2QB"/>
    <n v="40"/>
    <s v="NA2QB-40"/>
  </r>
  <r>
    <x v="16"/>
    <x v="483"/>
    <s v="0.00-0.00"/>
    <n v="0"/>
    <s v="#25"/>
    <x v="0"/>
    <n v="0"/>
    <n v="0"/>
    <n v="0"/>
    <n v="0"/>
    <x v="7"/>
    <s v="NA3QB"/>
    <n v="41"/>
    <s v="NA3QB-41"/>
  </r>
  <r>
    <x v="14"/>
    <x v="483"/>
    <s v="0.00-0.00"/>
    <n v="0"/>
    <s v="#17"/>
    <x v="0"/>
    <n v="0"/>
    <n v="0"/>
    <n v="0"/>
    <n v="0"/>
    <x v="7"/>
    <s v="NA4QB"/>
    <n v="42"/>
    <s v="NA4QB-42"/>
  </r>
  <r>
    <x v="12"/>
    <x v="483"/>
    <s v="0.00-0.00"/>
    <n v="0"/>
    <s v="#19"/>
    <x v="0"/>
    <n v="0"/>
    <n v="0"/>
    <n v="0"/>
    <n v="0"/>
    <x v="7"/>
    <s v="NA5QB"/>
    <n v="41"/>
    <s v="NA5QB-41"/>
  </r>
  <r>
    <x v="8"/>
    <x v="483"/>
    <s v="0.00-0.00"/>
    <n v="0"/>
    <s v="#5"/>
    <x v="0"/>
    <n v="0"/>
    <n v="0"/>
    <n v="0"/>
    <n v="0"/>
    <x v="7"/>
    <s v="NA6QB"/>
    <n v="42"/>
    <s v="NA6QB-42"/>
  </r>
  <r>
    <x v="4"/>
    <x v="483"/>
    <s v="0.00-0.00"/>
    <n v="0"/>
    <s v="#28"/>
    <x v="0"/>
    <n v="0"/>
    <n v="0"/>
    <n v="0"/>
    <n v="0"/>
    <x v="7"/>
    <s v="NA7QB"/>
    <n v="41"/>
    <s v="NA7QB-41"/>
  </r>
  <r>
    <x v="13"/>
    <x v="483"/>
    <s v="0.00-0.00"/>
    <n v="0"/>
    <s v="#27"/>
    <x v="0"/>
    <n v="0"/>
    <n v="0"/>
    <n v="0"/>
    <n v="0"/>
    <x v="7"/>
    <s v="NA8QB"/>
    <n v="38"/>
    <s v="NA8QB-38"/>
  </r>
  <r>
    <x v="2"/>
    <x v="483"/>
    <s v="0.00-0.00"/>
    <n v="0"/>
    <s v="#4"/>
    <x v="0"/>
    <n v="0"/>
    <n v="0"/>
    <n v="0"/>
    <n v="0"/>
    <x v="7"/>
    <s v="NA9QB"/>
    <n v="37"/>
    <s v="NA9QB-37"/>
  </r>
  <r>
    <x v="15"/>
    <x v="483"/>
    <s v="0.00-0.00"/>
    <n v="0"/>
    <s v="#21"/>
    <x v="0"/>
    <n v="0"/>
    <n v="0"/>
    <n v="0"/>
    <n v="0"/>
    <x v="7"/>
    <s v="NA10QB"/>
    <n v="39"/>
    <s v="NA10QB-39"/>
  </r>
  <r>
    <x v="6"/>
    <x v="483"/>
    <s v="0.00-0.00"/>
    <n v="0"/>
    <s v="#9"/>
    <x v="0"/>
    <n v="0"/>
    <n v="0"/>
    <n v="0"/>
    <n v="0"/>
    <x v="7"/>
    <s v="NA12QB"/>
    <n v="43"/>
    <s v="NA12QB-43"/>
  </r>
  <r>
    <x v="5"/>
    <x v="483"/>
    <s v="0.00-0.00"/>
    <n v="0"/>
    <s v="#11"/>
    <x v="0"/>
    <n v="0"/>
    <n v="0"/>
    <n v="0"/>
    <n v="0"/>
    <x v="7"/>
    <s v="NA13QB"/>
    <n v="45"/>
    <s v="NA13QB-45"/>
  </r>
  <r>
    <x v="11"/>
    <x v="483"/>
    <s v="0.00-0.00"/>
    <n v="0"/>
    <s v="#17"/>
    <x v="0"/>
    <n v="0"/>
    <n v="0"/>
    <n v="0"/>
    <n v="0"/>
    <x v="7"/>
    <s v="NA14QB"/>
    <n v="45"/>
    <s v="NA14QB-45"/>
  </r>
  <r>
    <x v="9"/>
    <x v="483"/>
    <s v="0.00-0.00"/>
    <n v="0"/>
    <s v="#26"/>
    <x v="0"/>
    <n v="0"/>
    <n v="0"/>
    <n v="0"/>
    <n v="0"/>
    <x v="7"/>
    <s v="NA15QB"/>
    <n v="45"/>
    <s v="NA15QB-45"/>
  </r>
  <r>
    <x v="1"/>
    <x v="483"/>
    <s v="0.00-0.00"/>
    <n v="0"/>
    <s v="#3"/>
    <x v="0"/>
    <n v="0"/>
    <n v="0"/>
    <n v="0"/>
    <n v="0"/>
    <x v="7"/>
    <s v="NA16QB"/>
    <n v="45"/>
    <s v="NA16QB-45"/>
  </r>
  <r>
    <x v="0"/>
    <x v="483"/>
    <s v="0.00-0.00"/>
    <n v="0"/>
    <s v="#11"/>
    <x v="0"/>
    <n v="0"/>
    <n v="0"/>
    <n v="0"/>
    <n v="0"/>
    <x v="7"/>
    <s v="NA17QB"/>
    <n v="45"/>
    <s v="NA17QB-45"/>
  </r>
  <r>
    <x v="14"/>
    <x v="257"/>
    <s v="0.00-0.00"/>
    <n v="0"/>
    <s v="#9"/>
    <x v="2"/>
    <n v="0"/>
    <n v="0"/>
    <n v="0"/>
    <n v="0"/>
    <x v="7"/>
    <s v="NA4WR"/>
    <n v="101"/>
    <s v="NA4WR-101"/>
  </r>
  <r>
    <x v="12"/>
    <x v="257"/>
    <s v="0.00-0.00"/>
    <n v="0"/>
    <s v="#23"/>
    <x v="2"/>
    <n v="0"/>
    <n v="0"/>
    <n v="0"/>
    <n v="0"/>
    <x v="7"/>
    <s v="NA5WR"/>
    <n v="113"/>
    <s v="NA5WR-113"/>
  </r>
  <r>
    <x v="8"/>
    <x v="257"/>
    <s v="0.00-0.00"/>
    <n v="0"/>
    <s v="#11"/>
    <x v="2"/>
    <n v="0"/>
    <n v="0"/>
    <n v="0"/>
    <n v="0"/>
    <x v="7"/>
    <s v="NA6WR"/>
    <n v="118"/>
    <s v="NA6WR-118"/>
  </r>
  <r>
    <x v="4"/>
    <x v="257"/>
    <s v="0.00-0.00"/>
    <n v="0"/>
    <s v="#3"/>
    <x v="2"/>
    <n v="0"/>
    <n v="0"/>
    <n v="0"/>
    <n v="0"/>
    <x v="7"/>
    <s v="NA7WR"/>
    <n v="111"/>
    <s v="NA7WR-111"/>
  </r>
  <r>
    <x v="13"/>
    <x v="257"/>
    <s v="0.00-0.00"/>
    <n v="0"/>
    <s v="#24"/>
    <x v="2"/>
    <n v="0"/>
    <n v="0"/>
    <n v="0"/>
    <n v="0"/>
    <x v="7"/>
    <s v="NA8WR"/>
    <n v="106"/>
    <s v="NA8WR-106"/>
  </r>
  <r>
    <x v="2"/>
    <x v="257"/>
    <s v="0.00-0.00"/>
    <n v="0"/>
    <s v="#16"/>
    <x v="2"/>
    <n v="0"/>
    <n v="0"/>
    <n v="0"/>
    <n v="0"/>
    <x v="7"/>
    <s v="NA9WR"/>
    <n v="102"/>
    <s v="NA9WR-102"/>
  </r>
  <r>
    <x v="3"/>
    <x v="257"/>
    <s v="0.00-0.00"/>
    <n v="0"/>
    <s v="#12"/>
    <x v="2"/>
    <n v="0"/>
    <n v="0"/>
    <n v="0"/>
    <n v="0"/>
    <x v="7"/>
    <s v="NA11WR"/>
    <n v="102"/>
    <s v="NA11WR-102"/>
  </r>
  <r>
    <x v="7"/>
    <x v="460"/>
    <s v="0.00-0.00"/>
    <n v="0"/>
    <s v="#13"/>
    <x v="2"/>
    <n v="0"/>
    <n v="0"/>
    <n v="0"/>
    <n v="0"/>
    <x v="7"/>
    <s v="NA1WR"/>
    <n v="88"/>
    <s v="NA1WR-88"/>
  </r>
  <r>
    <x v="10"/>
    <x v="460"/>
    <s v="0.00-0.00"/>
    <n v="0"/>
    <s v="#9"/>
    <x v="2"/>
    <n v="0"/>
    <n v="0"/>
    <n v="0"/>
    <n v="0"/>
    <x v="7"/>
    <s v="NA2WR"/>
    <n v="96"/>
    <s v="NA2WR-96"/>
  </r>
  <r>
    <x v="16"/>
    <x v="460"/>
    <s v="0.00-0.00"/>
    <n v="0"/>
    <s v="#21"/>
    <x v="2"/>
    <n v="0"/>
    <n v="0"/>
    <n v="0"/>
    <n v="0"/>
    <x v="7"/>
    <s v="NA3WR"/>
    <n v="103"/>
    <s v="NA3WR-103"/>
  </r>
  <r>
    <x v="12"/>
    <x v="460"/>
    <s v="0.00-0.00"/>
    <n v="0"/>
    <s v="#30"/>
    <x v="2"/>
    <n v="0"/>
    <n v="0"/>
    <n v="0"/>
    <n v="0"/>
    <x v="7"/>
    <s v="NA5WR"/>
    <n v="114"/>
    <s v="NA5WR-114"/>
  </r>
  <r>
    <x v="8"/>
    <x v="460"/>
    <s v="0.00-0.00"/>
    <n v="0"/>
    <s v="#7"/>
    <x v="2"/>
    <n v="0"/>
    <n v="0"/>
    <n v="0"/>
    <n v="0"/>
    <x v="7"/>
    <s v="NA6WR"/>
    <n v="119"/>
    <s v="NA6WR-119"/>
  </r>
  <r>
    <x v="4"/>
    <x v="460"/>
    <s v="0.00-0.00"/>
    <n v="0"/>
    <s v="#23"/>
    <x v="2"/>
    <n v="0"/>
    <n v="0"/>
    <n v="0"/>
    <n v="0"/>
    <x v="7"/>
    <s v="NA7WR"/>
    <n v="112"/>
    <s v="NA7WR-112"/>
  </r>
  <r>
    <x v="13"/>
    <x v="460"/>
    <s v="0.00-0.00"/>
    <n v="0"/>
    <s v="#22"/>
    <x v="2"/>
    <n v="0"/>
    <n v="0"/>
    <n v="0"/>
    <n v="0"/>
    <x v="7"/>
    <s v="NA8WR"/>
    <n v="107"/>
    <s v="NA8WR-107"/>
  </r>
  <r>
    <x v="2"/>
    <x v="460"/>
    <s v="0.00-0.00"/>
    <n v="0"/>
    <s v="#29"/>
    <x v="2"/>
    <n v="0"/>
    <n v="0"/>
    <n v="0"/>
    <n v="0"/>
    <x v="7"/>
    <s v="NA9WR"/>
    <n v="103"/>
    <s v="NA9WR-103"/>
  </r>
  <r>
    <x v="15"/>
    <x v="460"/>
    <s v="0.00-0.00"/>
    <n v="0"/>
    <s v="#31"/>
    <x v="2"/>
    <n v="0"/>
    <n v="0"/>
    <n v="0"/>
    <n v="0"/>
    <x v="7"/>
    <s v="NA10WR"/>
    <n v="116"/>
    <s v="NA10WR-116"/>
  </r>
  <r>
    <x v="3"/>
    <x v="460"/>
    <s v="0.00-0.00"/>
    <n v="0"/>
    <s v="#27"/>
    <x v="2"/>
    <n v="0"/>
    <n v="0"/>
    <n v="0"/>
    <n v="0"/>
    <x v="7"/>
    <s v="NA11WR"/>
    <n v="103"/>
    <s v="NA11WR-103"/>
  </r>
  <r>
    <x v="6"/>
    <x v="460"/>
    <s v="0.00-0.00"/>
    <n v="0"/>
    <s v="#23"/>
    <x v="2"/>
    <n v="0"/>
    <n v="0"/>
    <n v="0"/>
    <n v="0"/>
    <x v="7"/>
    <s v="NA12WR"/>
    <n v="120"/>
    <s v="NA12WR-120"/>
  </r>
  <r>
    <x v="5"/>
    <x v="460"/>
    <s v="0.00-0.00"/>
    <n v="0"/>
    <s v="#6"/>
    <x v="2"/>
    <n v="0"/>
    <n v="0"/>
    <n v="0"/>
    <n v="0"/>
    <x v="7"/>
    <s v="NA13WR"/>
    <n v="128"/>
    <s v="NA13WR-128"/>
  </r>
  <r>
    <x v="11"/>
    <x v="460"/>
    <s v="0.00-0.00"/>
    <n v="0"/>
    <s v="#22"/>
    <x v="2"/>
    <n v="0"/>
    <n v="0"/>
    <n v="0"/>
    <n v="0"/>
    <x v="7"/>
    <s v="NA14WR"/>
    <n v="128"/>
    <s v="NA14WR-128"/>
  </r>
  <r>
    <x v="9"/>
    <x v="460"/>
    <s v="0.00-0.00"/>
    <n v="0"/>
    <s v="#3"/>
    <x v="2"/>
    <n v="0"/>
    <n v="0"/>
    <n v="0"/>
    <n v="0"/>
    <x v="7"/>
    <s v="NA15WR"/>
    <n v="128"/>
    <s v="NA15WR-128"/>
  </r>
  <r>
    <x v="1"/>
    <x v="460"/>
    <s v="0.00-0.00"/>
    <n v="0"/>
    <s v="#14"/>
    <x v="2"/>
    <n v="0"/>
    <n v="0"/>
    <n v="0"/>
    <n v="0"/>
    <x v="7"/>
    <s v="NA16WR"/>
    <n v="128"/>
    <s v="NA16WR-128"/>
  </r>
  <r>
    <x v="16"/>
    <x v="316"/>
    <s v="0.00-0.00"/>
    <n v="0"/>
    <s v="#23"/>
    <x v="1"/>
    <n v="0"/>
    <n v="0"/>
    <n v="0"/>
    <n v="0"/>
    <x v="7"/>
    <s v="NA3RB"/>
    <n v="64"/>
    <s v="NA3RB-64"/>
  </r>
  <r>
    <x v="14"/>
    <x v="316"/>
    <s v="0.00-0.00"/>
    <n v="0"/>
    <s v="#13"/>
    <x v="1"/>
    <n v="0"/>
    <n v="0"/>
    <n v="0"/>
    <n v="0"/>
    <x v="7"/>
    <s v="NA4RB"/>
    <n v="67"/>
    <s v="NA4RB-67"/>
  </r>
  <r>
    <x v="7"/>
    <x v="321"/>
    <s v="0.00-0.00"/>
    <n v="0"/>
    <s v="#23"/>
    <x v="1"/>
    <n v="0"/>
    <n v="0"/>
    <n v="0"/>
    <n v="0"/>
    <x v="7"/>
    <s v="NA1RB"/>
    <n v="54"/>
    <s v="NA1RB-54"/>
  </r>
  <r>
    <x v="7"/>
    <x v="267"/>
    <s v="0.00-0.00"/>
    <n v="0"/>
    <s v="#31"/>
    <x v="2"/>
    <n v="0"/>
    <n v="0"/>
    <n v="0"/>
    <n v="0"/>
    <x v="7"/>
    <s v="NA1WR"/>
    <n v="89"/>
    <s v="NA1WR-89"/>
  </r>
  <r>
    <x v="10"/>
    <x v="267"/>
    <s v="0.00-0.00"/>
    <n v="0"/>
    <s v="#2"/>
    <x v="2"/>
    <n v="0"/>
    <n v="0"/>
    <n v="0"/>
    <n v="0"/>
    <x v="7"/>
    <s v="NA2WR"/>
    <n v="97"/>
    <s v="NA2WR-97"/>
  </r>
  <r>
    <x v="7"/>
    <x v="1"/>
    <s v="0.00-0.00"/>
    <n v="0"/>
    <s v="#29"/>
    <x v="0"/>
    <n v="0"/>
    <n v="0"/>
    <n v="0"/>
    <n v="0"/>
    <x v="1"/>
    <s v="perry1QB"/>
    <n v="2"/>
    <s v="perry1QB-2"/>
  </r>
  <r>
    <x v="10"/>
    <x v="1"/>
    <s v="0.00-0.00"/>
    <n v="0"/>
    <s v="#31"/>
    <x v="0"/>
    <n v="0"/>
    <n v="0"/>
    <n v="0"/>
    <n v="0"/>
    <x v="1"/>
    <s v="perry2QB"/>
    <n v="2"/>
    <s v="perry2QB-2"/>
  </r>
  <r>
    <x v="7"/>
    <x v="484"/>
    <s v="0.00-0.00"/>
    <n v="0"/>
    <s v="#9"/>
    <x v="3"/>
    <n v="0"/>
    <n v="0"/>
    <n v="0"/>
    <n v="0"/>
    <x v="7"/>
    <s v="NA1TE"/>
    <n v="65"/>
    <s v="NA1TE-65"/>
  </r>
  <r>
    <x v="10"/>
    <x v="484"/>
    <s v="0.00-0.00"/>
    <n v="0"/>
    <s v="#1"/>
    <x v="3"/>
    <n v="0"/>
    <n v="0"/>
    <n v="0"/>
    <n v="0"/>
    <x v="7"/>
    <s v="NA2TE"/>
    <n v="75"/>
    <s v="NA2TE-75"/>
  </r>
  <r>
    <x v="14"/>
    <x v="410"/>
    <s v="0.00-0.00"/>
    <n v="0"/>
    <s v="#3"/>
    <x v="2"/>
    <n v="0"/>
    <n v="0"/>
    <n v="0"/>
    <n v="0"/>
    <x v="7"/>
    <s v="NA4WR"/>
    <n v="102"/>
    <s v="NA4WR-102"/>
  </r>
  <r>
    <x v="14"/>
    <x v="139"/>
    <s v="0.00-0.00"/>
    <n v="0"/>
    <s v="#13"/>
    <x v="1"/>
    <n v="0"/>
    <n v="0"/>
    <n v="0"/>
    <n v="0"/>
    <x v="6"/>
    <s v="lucas4RB"/>
    <n v="4"/>
    <s v="lucas4RB-4"/>
  </r>
  <r>
    <x v="7"/>
    <x v="346"/>
    <s v="0.00-0.00"/>
    <n v="0"/>
    <s v="#9"/>
    <x v="2"/>
    <n v="0"/>
    <n v="0"/>
    <n v="0"/>
    <n v="0"/>
    <x v="7"/>
    <s v="NA1WR"/>
    <n v="90"/>
    <s v="NA1WR-90"/>
  </r>
  <r>
    <x v="10"/>
    <x v="346"/>
    <s v="0.00-0.00"/>
    <n v="0"/>
    <s v="#1"/>
    <x v="2"/>
    <n v="0"/>
    <n v="0"/>
    <n v="0"/>
    <n v="0"/>
    <x v="7"/>
    <s v="NA2WR"/>
    <n v="98"/>
    <s v="NA2WR-98"/>
  </r>
  <r>
    <x v="14"/>
    <x v="261"/>
    <s v="0.00-0.00"/>
    <n v="0"/>
    <s v="#30"/>
    <x v="2"/>
    <n v="0"/>
    <n v="0"/>
    <n v="0"/>
    <n v="0"/>
    <x v="7"/>
    <s v="NA4WR"/>
    <n v="103"/>
    <s v="NA4WR-103"/>
  </r>
  <r>
    <x v="14"/>
    <x v="93"/>
    <s v="0.00-0.00"/>
    <n v="0"/>
    <s v="#14"/>
    <x v="1"/>
    <n v="0"/>
    <n v="0"/>
    <n v="0"/>
    <n v="0"/>
    <x v="7"/>
    <s v="NA4RB"/>
    <n v="68"/>
    <s v="NA4RB-68"/>
  </r>
  <r>
    <x v="7"/>
    <x v="273"/>
    <s v="0.00-0.00"/>
    <n v="0"/>
    <s v="#23"/>
    <x v="2"/>
    <n v="0"/>
    <n v="0"/>
    <n v="0"/>
    <n v="0"/>
    <x v="7"/>
    <s v="NA1WR"/>
    <n v="91"/>
    <s v="NA1WR-91"/>
  </r>
  <r>
    <x v="10"/>
    <x v="273"/>
    <s v="0.00-0.00"/>
    <n v="0"/>
    <s v="#29"/>
    <x v="2"/>
    <n v="0"/>
    <n v="0"/>
    <n v="0"/>
    <n v="0"/>
    <x v="7"/>
    <s v="NA2WR"/>
    <n v="99"/>
    <s v="NA2WR-99"/>
  </r>
  <r>
    <x v="16"/>
    <x v="273"/>
    <s v="0.00-0.00"/>
    <n v="0"/>
    <s v="#19"/>
    <x v="2"/>
    <n v="0"/>
    <n v="0"/>
    <n v="0"/>
    <n v="0"/>
    <x v="7"/>
    <s v="NA3WR"/>
    <n v="104"/>
    <s v="NA3WR-104"/>
  </r>
  <r>
    <x v="7"/>
    <x v="204"/>
    <s v="0.00-0.00"/>
    <n v="0"/>
    <s v="#17"/>
    <x v="1"/>
    <n v="0"/>
    <n v="0"/>
    <n v="0"/>
    <n v="0"/>
    <x v="7"/>
    <s v="NA1RB"/>
    <n v="55"/>
    <s v="NA1RB-55"/>
  </r>
  <r>
    <x v="10"/>
    <x v="204"/>
    <s v="0.00-0.00"/>
    <n v="0"/>
    <s v="#14"/>
    <x v="1"/>
    <n v="0"/>
    <n v="0"/>
    <n v="0"/>
    <n v="0"/>
    <x v="7"/>
    <s v="NA2RB"/>
    <n v="61"/>
    <s v="NA2RB-61"/>
  </r>
  <r>
    <x v="16"/>
    <x v="204"/>
    <s v="0.00-0.00"/>
    <n v="0"/>
    <s v="#22"/>
    <x v="1"/>
    <n v="0"/>
    <n v="0"/>
    <n v="0"/>
    <n v="0"/>
    <x v="7"/>
    <s v="NA3RB"/>
    <n v="65"/>
    <s v="NA3RB-65"/>
  </r>
  <r>
    <x v="14"/>
    <x v="204"/>
    <s v="0.00-0.00"/>
    <n v="0"/>
    <s v="#9"/>
    <x v="1"/>
    <n v="0"/>
    <n v="0"/>
    <n v="0"/>
    <n v="0"/>
    <x v="7"/>
    <s v="NA4RB"/>
    <n v="69"/>
    <s v="NA4RB-69"/>
  </r>
  <r>
    <x v="12"/>
    <x v="204"/>
    <s v="0.00-0.00"/>
    <n v="0"/>
    <s v="#23"/>
    <x v="1"/>
    <n v="0"/>
    <n v="0"/>
    <n v="0"/>
    <n v="0"/>
    <x v="7"/>
    <s v="NA5RB"/>
    <n v="76"/>
    <s v="NA5RB-76"/>
  </r>
  <r>
    <x v="16"/>
    <x v="55"/>
    <s v="0.00-0.00"/>
    <n v="0"/>
    <s v="#11"/>
    <x v="1"/>
    <n v="0"/>
    <n v="0"/>
    <n v="0"/>
    <n v="0"/>
    <x v="2"/>
    <s v="devon3RB"/>
    <n v="5"/>
    <s v="devon3RB-5"/>
  </r>
  <r>
    <x v="10"/>
    <x v="363"/>
    <s v="0.00-0.00"/>
    <n v="0"/>
    <s v="#29"/>
    <x v="2"/>
    <n v="0"/>
    <n v="0"/>
    <n v="0"/>
    <n v="0"/>
    <x v="7"/>
    <s v="NA2WR"/>
    <n v="100"/>
    <s v="NA2WR-100"/>
  </r>
  <r>
    <x v="16"/>
    <x v="363"/>
    <s v="0.00-0.00"/>
    <n v="0"/>
    <s v="#19"/>
    <x v="2"/>
    <n v="0"/>
    <n v="0"/>
    <n v="0"/>
    <n v="0"/>
    <x v="7"/>
    <s v="NA3WR"/>
    <n v="105"/>
    <s v="NA3WR-105"/>
  </r>
  <r>
    <x v="7"/>
    <x v="450"/>
    <s v="0.00-0.00"/>
    <n v="0"/>
    <s v="#21"/>
    <x v="3"/>
    <n v="0"/>
    <n v="0"/>
    <n v="0"/>
    <n v="0"/>
    <x v="7"/>
    <s v="NA1TE"/>
    <n v="66"/>
    <s v="NA1TE-66"/>
  </r>
  <r>
    <x v="12"/>
    <x v="186"/>
    <s v="0.00-0.00"/>
    <n v="0"/>
    <s v="#13"/>
    <x v="2"/>
    <n v="0"/>
    <n v="0"/>
    <n v="0"/>
    <n v="0"/>
    <x v="7"/>
    <s v="NA5WR"/>
    <n v="115"/>
    <s v="NA5WR-115"/>
  </r>
  <r>
    <x v="10"/>
    <x v="221"/>
    <s v="0.00-0.00"/>
    <n v="0"/>
    <s v="#31"/>
    <x v="1"/>
    <n v="0"/>
    <n v="0"/>
    <n v="0"/>
    <n v="0"/>
    <x v="7"/>
    <s v="NA2RB"/>
    <n v="62"/>
    <s v="NA2RB-62"/>
  </r>
  <r>
    <x v="16"/>
    <x v="221"/>
    <s v="0.00-0.00"/>
    <n v="0"/>
    <s v="#9"/>
    <x v="1"/>
    <n v="0"/>
    <n v="0"/>
    <n v="0"/>
    <n v="0"/>
    <x v="7"/>
    <s v="NA3RB"/>
    <n v="66"/>
    <s v="NA3RB-66"/>
  </r>
  <r>
    <x v="14"/>
    <x v="221"/>
    <s v="0.00-0.00"/>
    <n v="0"/>
    <s v="#14"/>
    <x v="1"/>
    <n v="0"/>
    <n v="0"/>
    <n v="0"/>
    <n v="0"/>
    <x v="7"/>
    <s v="NA4RB"/>
    <n v="70"/>
    <s v="NA4RB-70"/>
  </r>
  <r>
    <x v="7"/>
    <x v="360"/>
    <s v="0.00-0.00"/>
    <n v="0"/>
    <s v="#14"/>
    <x v="0"/>
    <n v="0"/>
    <n v="0"/>
    <n v="0"/>
    <n v="0"/>
    <x v="7"/>
    <s v="NA1QB"/>
    <n v="42"/>
    <s v="NA1QB-42"/>
  </r>
  <r>
    <x v="10"/>
    <x v="360"/>
    <s v="0.00-0.00"/>
    <n v="0"/>
    <s v="#4"/>
    <x v="0"/>
    <n v="0"/>
    <n v="0"/>
    <n v="0"/>
    <n v="0"/>
    <x v="7"/>
    <s v="NA2QB"/>
    <n v="41"/>
    <s v="NA2QB-41"/>
  </r>
  <r>
    <x v="16"/>
    <x v="360"/>
    <s v="0.00-0.00"/>
    <n v="0"/>
    <s v="#25"/>
    <x v="0"/>
    <n v="0"/>
    <n v="0"/>
    <n v="0"/>
    <n v="0"/>
    <x v="7"/>
    <s v="NA3QB"/>
    <n v="42"/>
    <s v="NA3QB-42"/>
  </r>
  <r>
    <x v="14"/>
    <x v="360"/>
    <s v="0.00-0.00"/>
    <n v="0"/>
    <s v="#17"/>
    <x v="0"/>
    <n v="0"/>
    <n v="0"/>
    <n v="0"/>
    <n v="0"/>
    <x v="7"/>
    <s v="NA4QB"/>
    <n v="43"/>
    <s v="NA4QB-43"/>
  </r>
  <r>
    <x v="16"/>
    <x v="348"/>
    <s v="0.00-0.00"/>
    <n v="0"/>
    <s v="#3"/>
    <x v="1"/>
    <n v="0"/>
    <n v="0"/>
    <n v="0"/>
    <n v="0"/>
    <x v="7"/>
    <s v="NA3RB"/>
    <n v="67"/>
    <s v="NA3RB-67"/>
  </r>
  <r>
    <x v="14"/>
    <x v="348"/>
    <s v="0.00-0.00"/>
    <n v="0"/>
    <s v="#6"/>
    <x v="1"/>
    <n v="0"/>
    <n v="0"/>
    <n v="0"/>
    <n v="0"/>
    <x v="7"/>
    <s v="NA4RB"/>
    <n v="71"/>
    <s v="NA4RB-71"/>
  </r>
  <r>
    <x v="16"/>
    <x v="330"/>
    <s v="0.00-0.00"/>
    <n v="0"/>
    <s v="#11"/>
    <x v="3"/>
    <n v="0"/>
    <n v="0"/>
    <n v="0"/>
    <n v="0"/>
    <x v="7"/>
    <s v="NA3TE"/>
    <n v="76"/>
    <s v="NA3TE-76"/>
  </r>
  <r>
    <x v="16"/>
    <x v="382"/>
    <s v="0.00-0.00"/>
    <n v="0"/>
    <s v="#9"/>
    <x v="2"/>
    <n v="0"/>
    <n v="0"/>
    <n v="0"/>
    <n v="0"/>
    <x v="7"/>
    <s v="NA3WR"/>
    <n v="106"/>
    <s v="NA3WR-106"/>
  </r>
  <r>
    <x v="7"/>
    <x v="428"/>
    <s v="0.00-0.00"/>
    <n v="0"/>
    <s v="#10"/>
    <x v="1"/>
    <n v="0"/>
    <n v="0"/>
    <n v="0"/>
    <n v="0"/>
    <x v="7"/>
    <s v="NA1RB"/>
    <n v="56"/>
    <s v="NA1RB-56"/>
  </r>
  <r>
    <x v="10"/>
    <x v="428"/>
    <s v="0.00-0.00"/>
    <n v="0"/>
    <s v="#16"/>
    <x v="1"/>
    <n v="0"/>
    <n v="0"/>
    <n v="0"/>
    <n v="0"/>
    <x v="7"/>
    <s v="NA2RB"/>
    <n v="63"/>
    <s v="NA2RB-63"/>
  </r>
  <r>
    <x v="16"/>
    <x v="428"/>
    <s v="0.00-0.00"/>
    <n v="0"/>
    <s v="#24"/>
    <x v="1"/>
    <n v="0"/>
    <n v="0"/>
    <n v="0"/>
    <n v="0"/>
    <x v="7"/>
    <s v="NA3RB"/>
    <n v="68"/>
    <s v="NA3RB-68"/>
  </r>
  <r>
    <x v="14"/>
    <x v="428"/>
    <s v="0.00-0.00"/>
    <n v="0"/>
    <s v="#2"/>
    <x v="1"/>
    <n v="0"/>
    <n v="0"/>
    <n v="0"/>
    <n v="0"/>
    <x v="7"/>
    <s v="NA4RB"/>
    <n v="72"/>
    <s v="NA4RB-72"/>
  </r>
  <r>
    <x v="7"/>
    <x v="283"/>
    <s v="0.00-0.00"/>
    <n v="0"/>
    <s v="#20"/>
    <x v="3"/>
    <n v="0"/>
    <n v="0"/>
    <n v="0"/>
    <n v="0"/>
    <x v="7"/>
    <s v="NA1TE"/>
    <n v="67"/>
    <s v="NA1TE-67"/>
  </r>
  <r>
    <x v="7"/>
    <x v="203"/>
    <s v="0.00-0.00"/>
    <n v="0"/>
    <s v="#14"/>
    <x v="2"/>
    <n v="0"/>
    <n v="0"/>
    <n v="0"/>
    <n v="0"/>
    <x v="7"/>
    <s v="NA1WR"/>
    <n v="92"/>
    <s v="NA1WR-92"/>
  </r>
  <r>
    <x v="10"/>
    <x v="203"/>
    <s v="0.00-0.00"/>
    <n v="0"/>
    <s v="#4"/>
    <x v="2"/>
    <n v="0"/>
    <n v="0"/>
    <n v="0"/>
    <n v="0"/>
    <x v="7"/>
    <s v="NA2WR"/>
    <n v="101"/>
    <s v="NA2WR-101"/>
  </r>
  <r>
    <x v="14"/>
    <x v="203"/>
    <s v="0.00-0.00"/>
    <n v="0"/>
    <s v="#17"/>
    <x v="2"/>
    <n v="0"/>
    <n v="0"/>
    <n v="0"/>
    <n v="0"/>
    <x v="7"/>
    <s v="NA4WR"/>
    <n v="104"/>
    <s v="NA4WR-104"/>
  </r>
  <r>
    <x v="10"/>
    <x v="64"/>
    <s v="0.00-0.00"/>
    <n v="0"/>
    <s v="#7"/>
    <x v="1"/>
    <n v="0"/>
    <n v="0"/>
    <n v="0"/>
    <n v="0"/>
    <x v="10"/>
    <s v="aj2RB"/>
    <n v="5"/>
    <s v="aj2RB-5"/>
  </r>
  <r>
    <x v="16"/>
    <x v="64"/>
    <s v="0.00-0.00"/>
    <n v="0"/>
    <s v="#30"/>
    <x v="1"/>
    <n v="0"/>
    <n v="0"/>
    <n v="0"/>
    <n v="0"/>
    <x v="10"/>
    <s v="aj3RB"/>
    <n v="3"/>
    <s v="aj3RB-3"/>
  </r>
  <r>
    <x v="14"/>
    <x v="64"/>
    <s v="0.00-0.00"/>
    <n v="0"/>
    <s v="#19"/>
    <x v="1"/>
    <n v="0"/>
    <n v="0"/>
    <n v="0"/>
    <n v="0"/>
    <x v="10"/>
    <s v="aj4RB"/>
    <n v="4"/>
    <s v="aj4RB-4"/>
  </r>
  <r>
    <x v="10"/>
    <x v="96"/>
    <s v="0.00-0.00"/>
    <n v="0"/>
    <s v="#5"/>
    <x v="2"/>
    <n v="0"/>
    <n v="0"/>
    <n v="0"/>
    <n v="0"/>
    <x v="3"/>
    <s v="chad2WR"/>
    <n v="4"/>
    <s v="chad2WR-4"/>
  </r>
  <r>
    <x v="16"/>
    <x v="96"/>
    <s v="0.00-0.00"/>
    <n v="0"/>
    <s v="#23"/>
    <x v="2"/>
    <n v="0"/>
    <n v="0"/>
    <n v="0"/>
    <n v="0"/>
    <x v="3"/>
    <s v="chad3WR"/>
    <n v="4"/>
    <s v="chad3WR-4"/>
  </r>
  <r>
    <x v="7"/>
    <x v="383"/>
    <s v="0.00-0.00"/>
    <n v="0"/>
    <s v="#15"/>
    <x v="0"/>
    <n v="0"/>
    <n v="0"/>
    <n v="0"/>
    <n v="0"/>
    <x v="7"/>
    <s v="NA1QB"/>
    <n v="43"/>
    <s v="NA1QB-43"/>
  </r>
  <r>
    <x v="10"/>
    <x v="383"/>
    <s v="0.00-0.00"/>
    <n v="0"/>
    <s v="#30"/>
    <x v="0"/>
    <n v="0"/>
    <n v="0"/>
    <n v="0"/>
    <n v="0"/>
    <x v="7"/>
    <s v="NA2QB"/>
    <n v="42"/>
    <s v="NA2QB-42"/>
  </r>
  <r>
    <x v="16"/>
    <x v="383"/>
    <s v="0.00-0.00"/>
    <n v="0"/>
    <s v="#4"/>
    <x v="0"/>
    <n v="0"/>
    <n v="0"/>
    <n v="0"/>
    <n v="0"/>
    <x v="7"/>
    <s v="NA3QB"/>
    <n v="43"/>
    <s v="NA3QB-43"/>
  </r>
  <r>
    <x v="12"/>
    <x v="383"/>
    <s v="0.00-0.00"/>
    <n v="0"/>
    <s v="#1"/>
    <x v="0"/>
    <n v="0"/>
    <n v="0"/>
    <n v="0"/>
    <n v="0"/>
    <x v="7"/>
    <s v="NA5QB"/>
    <n v="42"/>
    <s v="NA5QB-42"/>
  </r>
  <r>
    <x v="8"/>
    <x v="383"/>
    <s v="0.00-0.00"/>
    <n v="0"/>
    <s v="#20"/>
    <x v="0"/>
    <n v="0"/>
    <n v="0"/>
    <n v="0"/>
    <n v="0"/>
    <x v="7"/>
    <s v="NA6QB"/>
    <n v="43"/>
    <s v="NA6QB-43"/>
  </r>
  <r>
    <x v="4"/>
    <x v="383"/>
    <s v="0.00-0.00"/>
    <n v="0"/>
    <s v="#31"/>
    <x v="0"/>
    <n v="0"/>
    <n v="0"/>
    <n v="0"/>
    <n v="0"/>
    <x v="7"/>
    <s v="NA7QB"/>
    <n v="42"/>
    <s v="NA7QB-42"/>
  </r>
  <r>
    <x v="13"/>
    <x v="383"/>
    <s v="0.00-0.00"/>
    <n v="0"/>
    <s v="#15"/>
    <x v="0"/>
    <n v="0"/>
    <n v="0"/>
    <n v="0"/>
    <n v="0"/>
    <x v="7"/>
    <s v="NA8QB"/>
    <n v="39"/>
    <s v="NA8QB-39"/>
  </r>
  <r>
    <x v="2"/>
    <x v="383"/>
    <s v="0.00-0.00"/>
    <n v="0"/>
    <s v="#32"/>
    <x v="0"/>
    <n v="0"/>
    <n v="0"/>
    <n v="0"/>
    <n v="0"/>
    <x v="7"/>
    <s v="NA9QB"/>
    <n v="38"/>
    <s v="NA9QB-38"/>
  </r>
  <r>
    <x v="15"/>
    <x v="383"/>
    <s v="0.00-0.00"/>
    <n v="0"/>
    <s v="#29"/>
    <x v="0"/>
    <n v="0"/>
    <n v="0"/>
    <n v="0"/>
    <n v="0"/>
    <x v="7"/>
    <s v="NA10QB"/>
    <n v="40"/>
    <s v="NA10QB-40"/>
  </r>
  <r>
    <x v="6"/>
    <x v="383"/>
    <s v="0.00-0.00"/>
    <n v="0"/>
    <s v="#19"/>
    <x v="0"/>
    <n v="0"/>
    <n v="0"/>
    <n v="0"/>
    <n v="0"/>
    <x v="7"/>
    <s v="NA12QB"/>
    <n v="44"/>
    <s v="NA12QB-44"/>
  </r>
  <r>
    <x v="5"/>
    <x v="383"/>
    <s v="0.00-0.00"/>
    <n v="0"/>
    <s v="#27"/>
    <x v="0"/>
    <n v="0"/>
    <n v="0"/>
    <n v="0"/>
    <n v="0"/>
    <x v="7"/>
    <s v="NA13QB"/>
    <n v="46"/>
    <s v="NA13QB-46"/>
  </r>
  <r>
    <x v="11"/>
    <x v="383"/>
    <s v="0.00-0.00"/>
    <n v="0"/>
    <s v="#7"/>
    <x v="0"/>
    <n v="0"/>
    <n v="0"/>
    <n v="0"/>
    <n v="0"/>
    <x v="7"/>
    <s v="NA14QB"/>
    <n v="46"/>
    <s v="NA14QB-46"/>
  </r>
  <r>
    <x v="9"/>
    <x v="383"/>
    <s v="0.00-0.00"/>
    <n v="0"/>
    <s v="#16"/>
    <x v="0"/>
    <n v="0"/>
    <n v="0"/>
    <n v="0"/>
    <n v="0"/>
    <x v="7"/>
    <s v="NA15QB"/>
    <n v="46"/>
    <s v="NA15QB-46"/>
  </r>
  <r>
    <x v="1"/>
    <x v="383"/>
    <s v="0.00-0.00"/>
    <n v="0"/>
    <s v="#19"/>
    <x v="0"/>
    <n v="0"/>
    <n v="0"/>
    <n v="0"/>
    <n v="0"/>
    <x v="7"/>
    <s v="NA16QB"/>
    <n v="46"/>
    <s v="NA16QB-46"/>
  </r>
  <r>
    <x v="0"/>
    <x v="383"/>
    <s v="0.00-0.00"/>
    <n v="0"/>
    <s v="#1"/>
    <x v="0"/>
    <n v="0"/>
    <n v="0"/>
    <n v="0"/>
    <n v="0"/>
    <x v="7"/>
    <s v="NA17QB"/>
    <n v="46"/>
    <s v="NA17QB-46"/>
  </r>
  <r>
    <x v="10"/>
    <x v="440"/>
    <s v="0.00-0.00"/>
    <n v="0"/>
    <s v="#16"/>
    <x v="2"/>
    <n v="0"/>
    <n v="0"/>
    <n v="0"/>
    <n v="0"/>
    <x v="7"/>
    <s v="NA2WR"/>
    <n v="102"/>
    <s v="NA2WR-102"/>
  </r>
  <r>
    <x v="7"/>
    <x v="285"/>
    <s v="0.00-0.00"/>
    <n v="0"/>
    <s v="#16"/>
    <x v="3"/>
    <n v="0"/>
    <n v="0"/>
    <n v="0"/>
    <n v="0"/>
    <x v="7"/>
    <s v="NA1TE"/>
    <n v="68"/>
    <s v="NA1TE-68"/>
  </r>
  <r>
    <x v="10"/>
    <x v="285"/>
    <s v="0.00-0.00"/>
    <n v="0"/>
    <s v="#5"/>
    <x v="3"/>
    <n v="0"/>
    <n v="0"/>
    <n v="0"/>
    <n v="0"/>
    <x v="7"/>
    <s v="NA2TE"/>
    <n v="76"/>
    <s v="NA2TE-76"/>
  </r>
  <r>
    <x v="16"/>
    <x v="285"/>
    <s v="0.00-0.00"/>
    <n v="0"/>
    <s v="#23"/>
    <x v="3"/>
    <n v="0"/>
    <n v="0"/>
    <n v="0"/>
    <n v="0"/>
    <x v="7"/>
    <s v="NA3TE"/>
    <n v="77"/>
    <s v="NA3TE-77"/>
  </r>
  <r>
    <x v="14"/>
    <x v="285"/>
    <s v="0.00-0.00"/>
    <n v="0"/>
    <s v="#13"/>
    <x v="3"/>
    <n v="0"/>
    <n v="0"/>
    <n v="0"/>
    <n v="0"/>
    <x v="7"/>
    <s v="NA4TE"/>
    <n v="72"/>
    <s v="NA4TE-72"/>
  </r>
  <r>
    <x v="12"/>
    <x v="285"/>
    <s v="0.00-0.00"/>
    <n v="0"/>
    <s v="#10"/>
    <x v="3"/>
    <n v="0"/>
    <n v="0"/>
    <n v="0"/>
    <n v="0"/>
    <x v="7"/>
    <s v="NA5TE"/>
    <n v="77"/>
    <s v="NA5TE-77"/>
  </r>
  <r>
    <x v="8"/>
    <x v="285"/>
    <s v="0.00-0.00"/>
    <n v="0"/>
    <s v="#25"/>
    <x v="3"/>
    <n v="0"/>
    <n v="0"/>
    <n v="0"/>
    <n v="0"/>
    <x v="7"/>
    <s v="NA6TE"/>
    <n v="79"/>
    <s v="NA6TE-79"/>
  </r>
  <r>
    <x v="7"/>
    <x v="441"/>
    <s v="0.00-0.00"/>
    <n v="0"/>
    <s v="#2"/>
    <x v="2"/>
    <n v="0"/>
    <n v="0"/>
    <n v="0"/>
    <n v="0"/>
    <x v="7"/>
    <s v="NA1WR"/>
    <n v="93"/>
    <s v="NA1WR-93"/>
  </r>
  <r>
    <x v="10"/>
    <x v="441"/>
    <s v="0.00-0.00"/>
    <n v="0"/>
    <s v="#32"/>
    <x v="2"/>
    <n v="0"/>
    <n v="0"/>
    <n v="0"/>
    <n v="0"/>
    <x v="7"/>
    <s v="NA2WR"/>
    <n v="103"/>
    <s v="NA2WR-103"/>
  </r>
  <r>
    <x v="16"/>
    <x v="441"/>
    <s v="0.00-0.00"/>
    <n v="0"/>
    <s v="#31"/>
    <x v="2"/>
    <n v="0"/>
    <n v="0"/>
    <n v="0"/>
    <n v="0"/>
    <x v="7"/>
    <s v="NA3WR"/>
    <n v="107"/>
    <s v="NA3WR-107"/>
  </r>
  <r>
    <x v="14"/>
    <x v="441"/>
    <s v="0.00-0.00"/>
    <n v="0"/>
    <s v="#1"/>
    <x v="2"/>
    <n v="0"/>
    <n v="0"/>
    <n v="0"/>
    <n v="0"/>
    <x v="7"/>
    <s v="NA4WR"/>
    <n v="105"/>
    <s v="NA4WR-105"/>
  </r>
  <r>
    <x v="12"/>
    <x v="441"/>
    <s v="0.00-0.00"/>
    <n v="0"/>
    <s v="#29"/>
    <x v="2"/>
    <n v="0"/>
    <n v="0"/>
    <n v="0"/>
    <n v="0"/>
    <x v="7"/>
    <s v="NA5WR"/>
    <n v="116"/>
    <s v="NA5WR-116"/>
  </r>
  <r>
    <x v="7"/>
    <x v="311"/>
    <s v="0.00-0.00"/>
    <n v="0"/>
    <s v="#28"/>
    <x v="1"/>
    <n v="0"/>
    <n v="0"/>
    <n v="0"/>
    <n v="0"/>
    <x v="7"/>
    <s v="NA1RB"/>
    <n v="57"/>
    <s v="NA1RB-57"/>
  </r>
  <r>
    <x v="10"/>
    <x v="311"/>
    <s v="0.00-0.00"/>
    <n v="0"/>
    <s v="#24"/>
    <x v="1"/>
    <n v="0"/>
    <n v="0"/>
    <n v="0"/>
    <n v="0"/>
    <x v="7"/>
    <s v="NA2RB"/>
    <n v="64"/>
    <s v="NA2RB-64"/>
  </r>
  <r>
    <x v="16"/>
    <x v="311"/>
    <s v="0.00-0.00"/>
    <n v="0"/>
    <s v="#2"/>
    <x v="1"/>
    <n v="0"/>
    <n v="0"/>
    <n v="0"/>
    <n v="0"/>
    <x v="7"/>
    <s v="NA3RB"/>
    <n v="69"/>
    <s v="NA3RB-69"/>
  </r>
  <r>
    <x v="14"/>
    <x v="311"/>
    <s v="0.00-0.00"/>
    <n v="0"/>
    <s v="#3"/>
    <x v="1"/>
    <n v="0"/>
    <n v="0"/>
    <n v="0"/>
    <n v="0"/>
    <x v="7"/>
    <s v="NA4RB"/>
    <n v="73"/>
    <s v="NA4RB-73"/>
  </r>
  <r>
    <x v="12"/>
    <x v="311"/>
    <s v="0.00-0.00"/>
    <n v="0"/>
    <s v="#16"/>
    <x v="1"/>
    <n v="0"/>
    <n v="0"/>
    <n v="0"/>
    <n v="0"/>
    <x v="7"/>
    <s v="NA5RB"/>
    <n v="77"/>
    <s v="NA5RB-77"/>
  </r>
  <r>
    <x v="8"/>
    <x v="311"/>
    <s v="0.00-0.00"/>
    <n v="0"/>
    <s v="#9"/>
    <x v="1"/>
    <n v="0"/>
    <n v="0"/>
    <n v="0"/>
    <n v="0"/>
    <x v="7"/>
    <s v="NA6RB"/>
    <n v="77"/>
    <s v="NA6RB-77"/>
  </r>
  <r>
    <x v="4"/>
    <x v="311"/>
    <s v="0.00-0.00"/>
    <n v="0"/>
    <s v="#26"/>
    <x v="1"/>
    <n v="0"/>
    <n v="0"/>
    <n v="0"/>
    <n v="0"/>
    <x v="7"/>
    <s v="NA7RB"/>
    <n v="73"/>
    <s v="NA7RB-73"/>
  </r>
  <r>
    <x v="7"/>
    <x v="485"/>
    <s v="0.00-0.00"/>
    <n v="0"/>
    <s v="#5"/>
    <x v="3"/>
    <n v="0"/>
    <n v="0"/>
    <n v="0"/>
    <n v="0"/>
    <x v="7"/>
    <s v="NA1TE"/>
    <n v="69"/>
    <s v="NA1TE-69"/>
  </r>
  <r>
    <x v="10"/>
    <x v="485"/>
    <s v="0.00-0.00"/>
    <n v="0"/>
    <s v="#26"/>
    <x v="3"/>
    <n v="0"/>
    <n v="0"/>
    <n v="0"/>
    <n v="0"/>
    <x v="7"/>
    <s v="NA2TE"/>
    <n v="77"/>
    <s v="NA2TE-77"/>
  </r>
  <r>
    <x v="14"/>
    <x v="145"/>
    <s v="0.00-0.00"/>
    <n v="0"/>
    <s v="#30"/>
    <x v="3"/>
    <n v="0"/>
    <n v="0"/>
    <n v="0"/>
    <n v="0"/>
    <x v="2"/>
    <s v="devon4TE"/>
    <n v="2"/>
    <s v="devon4TE-2"/>
  </r>
  <r>
    <x v="12"/>
    <x v="145"/>
    <s v="0.00-0.00"/>
    <n v="0"/>
    <s v="#7"/>
    <x v="3"/>
    <n v="0"/>
    <n v="0"/>
    <n v="0"/>
    <n v="0"/>
    <x v="2"/>
    <s v="devon5TE"/>
    <n v="2"/>
    <s v="devon5TE-2"/>
  </r>
  <r>
    <x v="8"/>
    <x v="145"/>
    <s v="0.00-0.00"/>
    <n v="0"/>
    <s v="#6"/>
    <x v="3"/>
    <n v="0"/>
    <n v="0"/>
    <n v="0"/>
    <n v="0"/>
    <x v="2"/>
    <s v="devon6TE"/>
    <n v="2"/>
    <s v="devon6TE-2"/>
  </r>
  <r>
    <x v="7"/>
    <x v="328"/>
    <s v="0.00-0.00"/>
    <n v="0"/>
    <s v="#32"/>
    <x v="2"/>
    <n v="0"/>
    <n v="0"/>
    <n v="0"/>
    <n v="0"/>
    <x v="7"/>
    <s v="NA1WR"/>
    <n v="94"/>
    <s v="NA1WR-94"/>
  </r>
  <r>
    <x v="10"/>
    <x v="113"/>
    <s v="0.00-0.00"/>
    <n v="0"/>
    <s v="#29"/>
    <x v="3"/>
    <n v="0"/>
    <n v="0"/>
    <n v="0"/>
    <n v="0"/>
    <x v="10"/>
    <s v="aj2TE"/>
    <n v="2"/>
    <s v="aj2TE-2"/>
  </r>
  <r>
    <x v="16"/>
    <x v="113"/>
    <s v="0.00-0.00"/>
    <n v="0"/>
    <s v="#19"/>
    <x v="3"/>
    <n v="0"/>
    <n v="0"/>
    <n v="0"/>
    <n v="0"/>
    <x v="10"/>
    <s v="aj3TE"/>
    <n v="2"/>
    <s v="aj3TE-2"/>
  </r>
  <r>
    <x v="12"/>
    <x v="113"/>
    <s v="0.00-0.00"/>
    <n v="0"/>
    <s v="#22"/>
    <x v="3"/>
    <n v="0"/>
    <n v="0"/>
    <n v="0"/>
    <n v="0"/>
    <x v="10"/>
    <s v="aj5TE"/>
    <n v="2"/>
    <s v="aj5TE-2"/>
  </r>
  <r>
    <x v="8"/>
    <x v="113"/>
    <s v="0.00-0.00"/>
    <n v="0"/>
    <s v="#12"/>
    <x v="3"/>
    <n v="0"/>
    <n v="0"/>
    <n v="0"/>
    <n v="0"/>
    <x v="10"/>
    <s v="aj6TE"/>
    <n v="2"/>
    <s v="aj6TE-2"/>
  </r>
  <r>
    <x v="4"/>
    <x v="113"/>
    <s v="0.00-0.00"/>
    <n v="0"/>
    <s v="#6"/>
    <x v="3"/>
    <n v="0"/>
    <n v="0"/>
    <n v="0"/>
    <n v="0"/>
    <x v="10"/>
    <s v="aj7TE"/>
    <n v="2"/>
    <s v="aj7TE-2"/>
  </r>
  <r>
    <x v="13"/>
    <x v="113"/>
    <s v="0.00-0.00"/>
    <n v="0"/>
    <s v="#1"/>
    <x v="3"/>
    <n v="0"/>
    <n v="0"/>
    <n v="0"/>
    <n v="0"/>
    <x v="10"/>
    <s v="aj8TE"/>
    <n v="2"/>
    <s v="aj8TE-2"/>
  </r>
  <r>
    <x v="7"/>
    <x v="187"/>
    <s v="0.00-0.00"/>
    <n v="0"/>
    <s v="#11"/>
    <x v="3"/>
    <n v="0"/>
    <n v="0"/>
    <n v="0"/>
    <n v="0"/>
    <x v="7"/>
    <s v="NA1TE"/>
    <n v="70"/>
    <s v="NA1TE-70"/>
  </r>
  <r>
    <x v="10"/>
    <x v="187"/>
    <s v="0.00-0.00"/>
    <n v="0"/>
    <s v="#19"/>
    <x v="3"/>
    <n v="0"/>
    <n v="0"/>
    <n v="0"/>
    <n v="0"/>
    <x v="7"/>
    <s v="NA2TE"/>
    <n v="78"/>
    <s v="NA2TE-78"/>
  </r>
  <r>
    <x v="16"/>
    <x v="187"/>
    <s v="0.00-0.00"/>
    <n v="0"/>
    <s v="#16"/>
    <x v="3"/>
    <n v="0"/>
    <n v="0"/>
    <n v="0"/>
    <n v="0"/>
    <x v="7"/>
    <s v="NA3TE"/>
    <n v="78"/>
    <s v="NA3TE-78"/>
  </r>
  <r>
    <x v="14"/>
    <x v="187"/>
    <s v="0.00-0.00"/>
    <n v="0"/>
    <s v="#15"/>
    <x v="3"/>
    <n v="0"/>
    <n v="0"/>
    <n v="0"/>
    <n v="0"/>
    <x v="7"/>
    <s v="NA4TE"/>
    <n v="73"/>
    <s v="NA4TE-73"/>
  </r>
  <r>
    <x v="7"/>
    <x v="486"/>
    <s v="0.00-0.00"/>
    <n v="0"/>
    <s v="#3"/>
    <x v="2"/>
    <n v="0"/>
    <n v="0"/>
    <n v="0"/>
    <n v="0"/>
    <x v="7"/>
    <s v="NA1WR"/>
    <n v="95"/>
    <s v="NA1WR-95"/>
  </r>
  <r>
    <x v="10"/>
    <x v="486"/>
    <s v="0.00-0.00"/>
    <n v="0"/>
    <s v="#23"/>
    <x v="2"/>
    <n v="0"/>
    <n v="0"/>
    <n v="0"/>
    <n v="0"/>
    <x v="7"/>
    <s v="NA2WR"/>
    <n v="104"/>
    <s v="NA2WR-104"/>
  </r>
  <r>
    <x v="7"/>
    <x v="246"/>
    <s v="0.00-0.00"/>
    <n v="0"/>
    <s v="#5"/>
    <x v="2"/>
    <n v="0"/>
    <n v="0"/>
    <n v="0"/>
    <n v="0"/>
    <x v="7"/>
    <s v="NA1WR"/>
    <n v="96"/>
    <s v="NA1WR-96"/>
  </r>
  <r>
    <x v="10"/>
    <x v="246"/>
    <s v="0.00-0.00"/>
    <n v="0"/>
    <s v="#26"/>
    <x v="2"/>
    <n v="0"/>
    <n v="0"/>
    <n v="0"/>
    <n v="0"/>
    <x v="7"/>
    <s v="NA2WR"/>
    <n v="105"/>
    <s v="NA2WR-105"/>
  </r>
  <r>
    <x v="16"/>
    <x v="246"/>
    <s v="0.00-0.00"/>
    <n v="0"/>
    <s v="#12"/>
    <x v="2"/>
    <n v="0"/>
    <n v="0"/>
    <n v="0"/>
    <n v="0"/>
    <x v="7"/>
    <s v="NA3WR"/>
    <n v="108"/>
    <s v="NA3WR-108"/>
  </r>
  <r>
    <x v="7"/>
    <x v="405"/>
    <s v="0.00-0.00"/>
    <n v="0"/>
    <s v="#16"/>
    <x v="1"/>
    <n v="0"/>
    <n v="0"/>
    <n v="0"/>
    <n v="0"/>
    <x v="7"/>
    <s v="NA1RB"/>
    <n v="58"/>
    <s v="NA1RB-58"/>
  </r>
  <r>
    <x v="10"/>
    <x v="405"/>
    <s v="0.00-0.00"/>
    <n v="0"/>
    <s v="#5"/>
    <x v="1"/>
    <n v="0"/>
    <n v="0"/>
    <n v="0"/>
    <n v="0"/>
    <x v="7"/>
    <s v="NA2RB"/>
    <n v="65"/>
    <s v="NA2RB-65"/>
  </r>
  <r>
    <x v="16"/>
    <x v="405"/>
    <s v="0.00-0.00"/>
    <n v="0"/>
    <s v="#23"/>
    <x v="1"/>
    <n v="0"/>
    <n v="0"/>
    <n v="0"/>
    <n v="0"/>
    <x v="7"/>
    <s v="NA3RB"/>
    <n v="70"/>
    <s v="NA3RB-70"/>
  </r>
  <r>
    <x v="14"/>
    <x v="405"/>
    <s v="0.00-0.00"/>
    <n v="0"/>
    <s v="#13"/>
    <x v="1"/>
    <n v="0"/>
    <n v="0"/>
    <n v="0"/>
    <n v="0"/>
    <x v="7"/>
    <s v="NA4RB"/>
    <n v="74"/>
    <s v="NA4RB-74"/>
  </r>
  <r>
    <x v="12"/>
    <x v="405"/>
    <s v="0.00-0.00"/>
    <n v="0"/>
    <s v="#10"/>
    <x v="1"/>
    <n v="0"/>
    <n v="0"/>
    <n v="0"/>
    <n v="0"/>
    <x v="7"/>
    <s v="NA5RB"/>
    <n v="78"/>
    <s v="NA5RB-78"/>
  </r>
  <r>
    <x v="8"/>
    <x v="405"/>
    <s v="0.00-0.00"/>
    <n v="0"/>
    <s v="#25"/>
    <x v="1"/>
    <n v="0"/>
    <n v="0"/>
    <n v="0"/>
    <n v="0"/>
    <x v="7"/>
    <s v="NA6RB"/>
    <n v="78"/>
    <s v="NA6RB-78"/>
  </r>
  <r>
    <x v="14"/>
    <x v="353"/>
    <s v="0.00-0.00"/>
    <n v="0"/>
    <s v="#18"/>
    <x v="2"/>
    <n v="0"/>
    <n v="0"/>
    <n v="0"/>
    <n v="0"/>
    <x v="7"/>
    <s v="NA4WR"/>
    <n v="106"/>
    <s v="NA4WR-106"/>
  </r>
  <r>
    <x v="7"/>
    <x v="487"/>
    <s v="0.00-0.00"/>
    <n v="0"/>
    <s v="#4"/>
    <x v="2"/>
    <n v="0"/>
    <n v="0"/>
    <n v="0"/>
    <n v="0"/>
    <x v="7"/>
    <s v="NA1WR"/>
    <n v="97"/>
    <s v="NA1WR-97"/>
  </r>
  <r>
    <x v="10"/>
    <x v="487"/>
    <s v="0.00-0.00"/>
    <n v="0"/>
    <s v="#18"/>
    <x v="2"/>
    <n v="0"/>
    <n v="0"/>
    <n v="0"/>
    <n v="0"/>
    <x v="7"/>
    <s v="NA2WR"/>
    <n v="106"/>
    <s v="NA2WR-106"/>
  </r>
  <r>
    <x v="16"/>
    <x v="189"/>
    <s v="0.00-0.00"/>
    <n v="0"/>
    <s v="#6"/>
    <x v="3"/>
    <n v="0"/>
    <n v="0"/>
    <n v="0"/>
    <n v="0"/>
    <x v="7"/>
    <s v="NA3TE"/>
    <n v="79"/>
    <s v="NA3TE-79"/>
  </r>
  <r>
    <x v="14"/>
    <x v="189"/>
    <s v="0.00-0.00"/>
    <n v="0"/>
    <s v="#27"/>
    <x v="3"/>
    <n v="0"/>
    <n v="0"/>
    <n v="0"/>
    <n v="0"/>
    <x v="7"/>
    <s v="NA4TE"/>
    <n v="74"/>
    <s v="NA4TE-74"/>
  </r>
  <r>
    <x v="12"/>
    <x v="189"/>
    <s v="0.00-0.00"/>
    <n v="0"/>
    <s v="#17"/>
    <x v="3"/>
    <n v="0"/>
    <n v="0"/>
    <n v="0"/>
    <n v="0"/>
    <x v="7"/>
    <s v="NA5TE"/>
    <n v="78"/>
    <s v="NA5TE-78"/>
  </r>
  <r>
    <x v="7"/>
    <x v="351"/>
    <s v="0.00-0.00"/>
    <n v="0"/>
    <s v="#27"/>
    <x v="3"/>
    <n v="0"/>
    <n v="0"/>
    <n v="0"/>
    <n v="0"/>
    <x v="7"/>
    <s v="NA1TE"/>
    <n v="71"/>
    <s v="NA1TE-71"/>
  </r>
  <r>
    <x v="16"/>
    <x v="351"/>
    <s v="0.00-0.00"/>
    <n v="0"/>
    <s v="#28"/>
    <x v="3"/>
    <n v="0"/>
    <n v="0"/>
    <n v="0"/>
    <n v="0"/>
    <x v="7"/>
    <s v="NA3TE"/>
    <n v="80"/>
    <s v="NA3TE-80"/>
  </r>
  <r>
    <x v="14"/>
    <x v="351"/>
    <s v="0.00-0.00"/>
    <n v="0"/>
    <s v="#24"/>
    <x v="3"/>
    <n v="0"/>
    <n v="0"/>
    <n v="0"/>
    <n v="0"/>
    <x v="7"/>
    <s v="NA4TE"/>
    <n v="75"/>
    <s v="NA4TE-75"/>
  </r>
  <r>
    <x v="14"/>
    <x v="241"/>
    <s v="0.00-0.00"/>
    <n v="0"/>
    <s v="#32"/>
    <x v="3"/>
    <n v="0"/>
    <n v="0"/>
    <n v="0"/>
    <n v="0"/>
    <x v="7"/>
    <s v="NA4TE"/>
    <n v="76"/>
    <s v="NA4TE-76"/>
  </r>
  <r>
    <x v="7"/>
    <x v="14"/>
    <s v="0.00-0.00"/>
    <n v="0"/>
    <s v="#30"/>
    <x v="0"/>
    <n v="0"/>
    <n v="0"/>
    <n v="0"/>
    <n v="0"/>
    <x v="7"/>
    <s v="NA1QB"/>
    <n v="44"/>
    <s v="NA1QB-44"/>
  </r>
  <r>
    <x v="10"/>
    <x v="14"/>
    <s v="0.00-0.00"/>
    <n v="0"/>
    <s v="#6"/>
    <x v="0"/>
    <n v="0"/>
    <n v="0"/>
    <n v="0"/>
    <n v="0"/>
    <x v="7"/>
    <s v="NA2QB"/>
    <n v="43"/>
    <s v="NA2QB-43"/>
  </r>
  <r>
    <x v="16"/>
    <x v="14"/>
    <s v="0.00-0.00"/>
    <n v="0"/>
    <s v="#15"/>
    <x v="0"/>
    <n v="0"/>
    <n v="0"/>
    <n v="0"/>
    <n v="0"/>
    <x v="7"/>
    <s v="NA3QB"/>
    <n v="44"/>
    <s v="NA3QB-44"/>
  </r>
  <r>
    <x v="16"/>
    <x v="73"/>
    <s v="0.00-0.00"/>
    <n v="0"/>
    <s v="#9"/>
    <x v="1"/>
    <n v="0"/>
    <n v="0"/>
    <n v="0"/>
    <n v="0"/>
    <x v="0"/>
    <s v="matty3RB"/>
    <n v="4"/>
    <s v="matty3RB-4"/>
  </r>
  <r>
    <x v="16"/>
    <x v="475"/>
    <s v="0.00-0.00"/>
    <n v="0"/>
    <s v="#18"/>
    <x v="2"/>
    <n v="0"/>
    <n v="0"/>
    <n v="0"/>
    <n v="0"/>
    <x v="7"/>
    <s v="NA3WR"/>
    <n v="109"/>
    <s v="NA3WR-109"/>
  </r>
  <r>
    <x v="7"/>
    <x v="306"/>
    <s v="0.00-0.00"/>
    <n v="0"/>
    <s v="#12"/>
    <x v="3"/>
    <n v="0"/>
    <n v="0"/>
    <n v="0"/>
    <n v="0"/>
    <x v="7"/>
    <s v="NA1TE"/>
    <n v="72"/>
    <s v="NA1TE-72"/>
  </r>
  <r>
    <x v="10"/>
    <x v="306"/>
    <s v="0.00-0.00"/>
    <n v="0"/>
    <s v="#10"/>
    <x v="3"/>
    <n v="0"/>
    <n v="0"/>
    <n v="0"/>
    <n v="0"/>
    <x v="7"/>
    <s v="NA2TE"/>
    <n v="79"/>
    <s v="NA2TE-79"/>
  </r>
  <r>
    <x v="7"/>
    <x v="227"/>
    <s v="0.00-0.00"/>
    <n v="0"/>
    <s v="#28"/>
    <x v="2"/>
    <n v="0"/>
    <n v="0"/>
    <n v="0"/>
    <n v="0"/>
    <x v="7"/>
    <s v="NA1WR"/>
    <n v="98"/>
    <s v="NA1WR-98"/>
  </r>
  <r>
    <x v="16"/>
    <x v="61"/>
    <s v="0.00-0.00"/>
    <n v="0"/>
    <s v="#7"/>
    <x v="1"/>
    <n v="0"/>
    <n v="0"/>
    <n v="0"/>
    <n v="0"/>
    <x v="10"/>
    <s v="aj3RB"/>
    <n v="4"/>
    <s v="aj3RB-4"/>
  </r>
  <r>
    <x v="14"/>
    <x v="61"/>
    <s v="0.00-0.00"/>
    <n v="0"/>
    <s v="#29"/>
    <x v="1"/>
    <n v="0"/>
    <n v="0"/>
    <n v="0"/>
    <n v="0"/>
    <x v="10"/>
    <s v="aj4RB"/>
    <n v="5"/>
    <s v="aj4RB-5"/>
  </r>
  <r>
    <x v="7"/>
    <x v="488"/>
    <s v="0.00-0.00"/>
    <n v="0"/>
    <s v="#17"/>
    <x v="0"/>
    <n v="0"/>
    <n v="0"/>
    <n v="0"/>
    <n v="0"/>
    <x v="7"/>
    <s v="NA1QB"/>
    <n v="45"/>
    <s v="NA1QB-45"/>
  </r>
  <r>
    <x v="10"/>
    <x v="488"/>
    <s v="0.00-0.00"/>
    <n v="0"/>
    <s v="#14"/>
    <x v="0"/>
    <n v="0"/>
    <n v="0"/>
    <n v="0"/>
    <n v="0"/>
    <x v="7"/>
    <s v="NA2QB"/>
    <n v="44"/>
    <s v="NA2QB-44"/>
  </r>
  <r>
    <x v="16"/>
    <x v="488"/>
    <s v="0.00-0.00"/>
    <n v="0"/>
    <s v="#22"/>
    <x v="0"/>
    <n v="0"/>
    <n v="0"/>
    <n v="0"/>
    <n v="0"/>
    <x v="7"/>
    <s v="NA3QB"/>
    <n v="45"/>
    <s v="NA3QB-45"/>
  </r>
  <r>
    <x v="14"/>
    <x v="488"/>
    <s v="0.00-0.00"/>
    <n v="0"/>
    <s v="#9"/>
    <x v="0"/>
    <n v="0"/>
    <n v="0"/>
    <n v="0"/>
    <n v="0"/>
    <x v="7"/>
    <s v="NA4QB"/>
    <n v="44"/>
    <s v="NA4QB-44"/>
  </r>
  <r>
    <x v="12"/>
    <x v="488"/>
    <s v="0.00-0.00"/>
    <n v="0"/>
    <s v="#23"/>
    <x v="0"/>
    <n v="0"/>
    <n v="0"/>
    <n v="0"/>
    <n v="0"/>
    <x v="7"/>
    <s v="NA5QB"/>
    <n v="43"/>
    <s v="NA5QB-43"/>
  </r>
  <r>
    <x v="8"/>
    <x v="488"/>
    <s v="0.00-0.00"/>
    <n v="0"/>
    <s v="#11"/>
    <x v="0"/>
    <n v="0"/>
    <n v="0"/>
    <n v="0"/>
    <n v="0"/>
    <x v="7"/>
    <s v="NA6QB"/>
    <n v="44"/>
    <s v="NA6QB-44"/>
  </r>
  <r>
    <x v="4"/>
    <x v="488"/>
    <s v="0.00-0.00"/>
    <n v="0"/>
    <s v="#3"/>
    <x v="0"/>
    <n v="0"/>
    <n v="0"/>
    <n v="0"/>
    <n v="0"/>
    <x v="7"/>
    <s v="NA7QB"/>
    <n v="43"/>
    <s v="NA7QB-43"/>
  </r>
  <r>
    <x v="13"/>
    <x v="488"/>
    <s v="0.00-0.00"/>
    <n v="0"/>
    <s v="#24"/>
    <x v="0"/>
    <n v="0"/>
    <n v="0"/>
    <n v="0"/>
    <n v="0"/>
    <x v="7"/>
    <s v="NA8QB"/>
    <n v="40"/>
    <s v="NA8QB-40"/>
  </r>
  <r>
    <x v="2"/>
    <x v="488"/>
    <s v="0.00-0.00"/>
    <n v="0"/>
    <s v="#16"/>
    <x v="0"/>
    <n v="0"/>
    <n v="0"/>
    <n v="0"/>
    <n v="0"/>
    <x v="7"/>
    <s v="NA9QB"/>
    <n v="39"/>
    <s v="NA9QB-39"/>
  </r>
  <r>
    <x v="3"/>
    <x v="488"/>
    <s v="0.00-0.00"/>
    <n v="0"/>
    <s v="#12"/>
    <x v="0"/>
    <n v="0"/>
    <n v="0"/>
    <n v="0"/>
    <n v="0"/>
    <x v="7"/>
    <s v="NA11QB"/>
    <n v="36"/>
    <s v="NA11QB-36"/>
  </r>
  <r>
    <x v="6"/>
    <x v="488"/>
    <s v="0.00-0.00"/>
    <n v="0"/>
    <s v="#14"/>
    <x v="0"/>
    <n v="0"/>
    <n v="0"/>
    <n v="0"/>
    <n v="0"/>
    <x v="7"/>
    <s v="NA12QB"/>
    <n v="45"/>
    <s v="NA12QB-45"/>
  </r>
  <r>
    <x v="5"/>
    <x v="488"/>
    <s v="0.00-0.00"/>
    <n v="0"/>
    <s v="#2"/>
    <x v="0"/>
    <n v="0"/>
    <n v="0"/>
    <n v="0"/>
    <n v="0"/>
    <x v="7"/>
    <s v="NA13QB"/>
    <n v="47"/>
    <s v="NA13QB-47"/>
  </r>
  <r>
    <x v="11"/>
    <x v="488"/>
    <s v="0.00-0.00"/>
    <n v="0"/>
    <s v="#9"/>
    <x v="0"/>
    <n v="0"/>
    <n v="0"/>
    <n v="0"/>
    <n v="0"/>
    <x v="7"/>
    <s v="NA14QB"/>
    <n v="47"/>
    <s v="NA14QB-47"/>
  </r>
  <r>
    <x v="9"/>
    <x v="488"/>
    <s v="0.00-0.00"/>
    <n v="0"/>
    <s v="#4"/>
    <x v="0"/>
    <n v="0"/>
    <n v="0"/>
    <n v="0"/>
    <n v="0"/>
    <x v="7"/>
    <s v="NA15QB"/>
    <n v="47"/>
    <s v="NA15QB-47"/>
  </r>
  <r>
    <x v="1"/>
    <x v="488"/>
    <s v="0.00-0.00"/>
    <n v="0"/>
    <s v="#6"/>
    <x v="0"/>
    <n v="0"/>
    <n v="0"/>
    <n v="0"/>
    <n v="0"/>
    <x v="7"/>
    <s v="NA16QB"/>
    <n v="47"/>
    <s v="NA16QB-47"/>
  </r>
  <r>
    <x v="0"/>
    <x v="488"/>
    <s v="0.00-0.00"/>
    <n v="0"/>
    <s v="#3"/>
    <x v="0"/>
    <n v="0"/>
    <n v="0"/>
    <n v="0"/>
    <n v="0"/>
    <x v="7"/>
    <s v="NA17QB"/>
    <n v="47"/>
    <s v="NA17QB-47"/>
  </r>
  <r>
    <x v="14"/>
    <x v="322"/>
    <s v="0.00-0.00"/>
    <n v="0"/>
    <s v="#26"/>
    <x v="2"/>
    <n v="0"/>
    <n v="0"/>
    <n v="0"/>
    <n v="0"/>
    <x v="7"/>
    <s v="NA4WR"/>
    <n v="107"/>
    <s v="NA4WR-107"/>
  </r>
  <r>
    <x v="10"/>
    <x v="301"/>
    <s v="0.00-0.00"/>
    <n v="0"/>
    <s v="#24"/>
    <x v="3"/>
    <n v="0"/>
    <n v="0"/>
    <n v="0"/>
    <n v="0"/>
    <x v="7"/>
    <s v="NA2TE"/>
    <n v="80"/>
    <s v="NA2TE-80"/>
  </r>
  <r>
    <x v="16"/>
    <x v="432"/>
    <s v="0.00-0.00"/>
    <n v="0"/>
    <s v="#1"/>
    <x v="2"/>
    <n v="0"/>
    <n v="0"/>
    <n v="0"/>
    <n v="0"/>
    <x v="7"/>
    <s v="NA3WR"/>
    <n v="110"/>
    <s v="NA3WR-110"/>
  </r>
  <r>
    <x v="14"/>
    <x v="432"/>
    <s v="0.00-0.00"/>
    <n v="0"/>
    <s v="#32"/>
    <x v="2"/>
    <n v="0"/>
    <n v="0"/>
    <n v="0"/>
    <n v="0"/>
    <x v="7"/>
    <s v="NA4WR"/>
    <n v="108"/>
    <s v="NA4WR-108"/>
  </r>
  <r>
    <x v="12"/>
    <x v="432"/>
    <s v="0.00-0.00"/>
    <n v="0"/>
    <s v="#4"/>
    <x v="2"/>
    <n v="0"/>
    <n v="0"/>
    <n v="0"/>
    <n v="0"/>
    <x v="7"/>
    <s v="NA5WR"/>
    <n v="117"/>
    <s v="NA5WR-117"/>
  </r>
  <r>
    <x v="16"/>
    <x v="126"/>
    <s v="0.00-0.00"/>
    <n v="0"/>
    <s v="#28"/>
    <x v="2"/>
    <n v="0"/>
    <n v="0"/>
    <n v="0"/>
    <n v="0"/>
    <x v="3"/>
    <s v="chad3WR"/>
    <n v="5"/>
    <s v="chad3WR-5"/>
  </r>
  <r>
    <x v="7"/>
    <x v="94"/>
    <s v="0.00-0.00"/>
    <n v="0"/>
    <s v="#27"/>
    <x v="2"/>
    <n v="0"/>
    <n v="0"/>
    <n v="0"/>
    <n v="0"/>
    <x v="3"/>
    <s v="chad1WR"/>
    <n v="6"/>
    <s v="chad1WR-6"/>
  </r>
  <r>
    <x v="10"/>
    <x v="94"/>
    <s v="0.00-0.00"/>
    <n v="0"/>
    <s v="#3"/>
    <x v="2"/>
    <n v="0"/>
    <n v="0"/>
    <n v="0"/>
    <n v="0"/>
    <x v="3"/>
    <s v="chad2WR"/>
    <n v="5"/>
    <s v="chad2WR-5"/>
  </r>
  <r>
    <x v="16"/>
    <x v="94"/>
    <s v="0.00-0.00"/>
    <n v="0"/>
    <s v="#28"/>
    <x v="2"/>
    <n v="0"/>
    <n v="0"/>
    <n v="0"/>
    <n v="0"/>
    <x v="3"/>
    <s v="chad3WR"/>
    <n v="6"/>
    <s v="chad3WR-6"/>
  </r>
  <r>
    <x v="14"/>
    <x v="94"/>
    <s v="0.00-0.00"/>
    <n v="0"/>
    <s v="#24"/>
    <x v="2"/>
    <n v="0"/>
    <n v="0"/>
    <n v="0"/>
    <n v="0"/>
    <x v="3"/>
    <s v="chad4WR"/>
    <n v="5"/>
    <s v="chad4WR-5"/>
  </r>
  <r>
    <x v="10"/>
    <x v="343"/>
    <s v="0.00-0.00"/>
    <n v="0"/>
    <s v="#32"/>
    <x v="2"/>
    <n v="0"/>
    <n v="0"/>
    <n v="0"/>
    <n v="0"/>
    <x v="7"/>
    <s v="NA2WR"/>
    <n v="107"/>
    <s v="NA2WR-107"/>
  </r>
  <r>
    <x v="16"/>
    <x v="343"/>
    <s v="0.00-0.00"/>
    <n v="0"/>
    <s v="#31"/>
    <x v="2"/>
    <n v="0"/>
    <n v="0"/>
    <n v="0"/>
    <n v="0"/>
    <x v="7"/>
    <s v="NA3WR"/>
    <n v="111"/>
    <s v="NA3WR-111"/>
  </r>
  <r>
    <x v="14"/>
    <x v="343"/>
    <s v="0.00-0.00"/>
    <n v="0"/>
    <s v="#1"/>
    <x v="2"/>
    <n v="0"/>
    <n v="0"/>
    <n v="0"/>
    <n v="0"/>
    <x v="7"/>
    <s v="NA4WR"/>
    <n v="109"/>
    <s v="NA4WR-109"/>
  </r>
  <r>
    <x v="7"/>
    <x v="411"/>
    <s v="0.00-0.00"/>
    <n v="0"/>
    <s v="#32"/>
    <x v="1"/>
    <n v="0"/>
    <n v="0"/>
    <n v="0"/>
    <n v="0"/>
    <x v="7"/>
    <s v="NA1RB"/>
    <n v="59"/>
    <s v="NA1RB-59"/>
  </r>
  <r>
    <x v="10"/>
    <x v="411"/>
    <s v="0.00-0.00"/>
    <n v="0"/>
    <s v="#11"/>
    <x v="1"/>
    <n v="0"/>
    <n v="0"/>
    <n v="0"/>
    <n v="0"/>
    <x v="7"/>
    <s v="NA2RB"/>
    <n v="66"/>
    <s v="NA2RB-66"/>
  </r>
  <r>
    <x v="7"/>
    <x v="323"/>
    <s v="0.00-0.00"/>
    <n v="0"/>
    <s v="#14"/>
    <x v="1"/>
    <n v="0"/>
    <n v="0"/>
    <n v="0"/>
    <n v="0"/>
    <x v="7"/>
    <s v="NA1RB"/>
    <n v="60"/>
    <s v="NA1RB-60"/>
  </r>
  <r>
    <x v="10"/>
    <x v="323"/>
    <s v="0.00-0.00"/>
    <n v="0"/>
    <s v="#4"/>
    <x v="1"/>
    <n v="0"/>
    <n v="0"/>
    <n v="0"/>
    <n v="0"/>
    <x v="7"/>
    <s v="NA2RB"/>
    <n v="67"/>
    <s v="NA2RB-67"/>
  </r>
  <r>
    <x v="16"/>
    <x v="323"/>
    <s v="0.00-0.00"/>
    <n v="0"/>
    <s v="#25"/>
    <x v="1"/>
    <n v="0"/>
    <n v="0"/>
    <n v="0"/>
    <n v="0"/>
    <x v="7"/>
    <s v="NA3RB"/>
    <n v="71"/>
    <s v="NA3RB-71"/>
  </r>
  <r>
    <x v="10"/>
    <x v="480"/>
    <s v="0.00-0.00"/>
    <n v="0"/>
    <s v="#3"/>
    <x v="1"/>
    <n v="0"/>
    <n v="0"/>
    <n v="0"/>
    <n v="0"/>
    <x v="7"/>
    <s v="NA2RB"/>
    <n v="68"/>
    <s v="NA2RB-68"/>
  </r>
  <r>
    <x v="16"/>
    <x v="480"/>
    <s v="0.00-0.00"/>
    <n v="0"/>
    <s v="#28"/>
    <x v="1"/>
    <n v="0"/>
    <n v="0"/>
    <n v="0"/>
    <n v="0"/>
    <x v="7"/>
    <s v="NA3RB"/>
    <n v="72"/>
    <s v="NA3RB-72"/>
  </r>
  <r>
    <x v="12"/>
    <x v="480"/>
    <s v="0.00-0.00"/>
    <n v="0"/>
    <s v="#9"/>
    <x v="1"/>
    <n v="0"/>
    <n v="0"/>
    <n v="0"/>
    <n v="0"/>
    <x v="7"/>
    <s v="NA5RB"/>
    <n v="79"/>
    <s v="NA5RB-79"/>
  </r>
  <r>
    <x v="8"/>
    <x v="480"/>
    <s v="0.00-0.00"/>
    <n v="0"/>
    <s v="#32"/>
    <x v="1"/>
    <n v="0"/>
    <n v="0"/>
    <n v="0"/>
    <n v="0"/>
    <x v="7"/>
    <s v="NA6RB"/>
    <n v="79"/>
    <s v="NA6RB-79"/>
  </r>
  <r>
    <x v="4"/>
    <x v="480"/>
    <s v="0.00-0.00"/>
    <n v="0"/>
    <s v="#5"/>
    <x v="1"/>
    <n v="0"/>
    <n v="0"/>
    <n v="0"/>
    <n v="0"/>
    <x v="7"/>
    <s v="NA7RB"/>
    <n v="74"/>
    <s v="NA7RB-74"/>
  </r>
  <r>
    <x v="13"/>
    <x v="480"/>
    <s v="0.00-0.00"/>
    <n v="0"/>
    <s v="#11"/>
    <x v="1"/>
    <n v="0"/>
    <n v="0"/>
    <n v="0"/>
    <n v="0"/>
    <x v="7"/>
    <s v="NA8RB"/>
    <n v="79"/>
    <s v="NA8RB-79"/>
  </r>
  <r>
    <x v="2"/>
    <x v="480"/>
    <s v="0.00-0.00"/>
    <n v="0"/>
    <s v="#21"/>
    <x v="1"/>
    <n v="0"/>
    <n v="0"/>
    <n v="0"/>
    <n v="0"/>
    <x v="7"/>
    <s v="NA9RB"/>
    <n v="68"/>
    <s v="NA9RB-68"/>
  </r>
  <r>
    <x v="15"/>
    <x v="480"/>
    <s v="0.00-0.00"/>
    <n v="0"/>
    <s v="#14"/>
    <x v="1"/>
    <n v="0"/>
    <n v="0"/>
    <n v="0"/>
    <n v="0"/>
    <x v="7"/>
    <s v="NA10RB"/>
    <n v="76"/>
    <s v="NA10RB-76"/>
  </r>
  <r>
    <x v="6"/>
    <x v="480"/>
    <s v="0.00-0.00"/>
    <n v="0"/>
    <s v="#4"/>
    <x v="1"/>
    <n v="0"/>
    <n v="0"/>
    <n v="0"/>
    <n v="0"/>
    <x v="7"/>
    <s v="NA12RB"/>
    <n v="82"/>
    <s v="NA12RB-82"/>
  </r>
  <r>
    <x v="5"/>
    <x v="480"/>
    <s v="0.00-0.00"/>
    <n v="0"/>
    <s v="#26"/>
    <x v="1"/>
    <n v="0"/>
    <n v="0"/>
    <n v="0"/>
    <n v="0"/>
    <x v="7"/>
    <s v="NA13RB"/>
    <n v="87"/>
    <s v="NA13RB-87"/>
  </r>
  <r>
    <x v="11"/>
    <x v="480"/>
    <s v="0.00-0.00"/>
    <n v="0"/>
    <s v="#24"/>
    <x v="1"/>
    <n v="0"/>
    <n v="0"/>
    <n v="0"/>
    <n v="0"/>
    <x v="7"/>
    <s v="NA14RB"/>
    <n v="87"/>
    <s v="NA14RB-87"/>
  </r>
  <r>
    <x v="9"/>
    <x v="480"/>
    <s v="0.00-0.00"/>
    <n v="0"/>
    <s v="#15"/>
    <x v="1"/>
    <n v="0"/>
    <n v="0"/>
    <n v="0"/>
    <n v="0"/>
    <x v="7"/>
    <s v="NA15RB"/>
    <n v="87"/>
    <s v="NA15RB-87"/>
  </r>
  <r>
    <x v="1"/>
    <x v="480"/>
    <s v="0.00-0.00"/>
    <n v="0"/>
    <s v="#11"/>
    <x v="1"/>
    <n v="0"/>
    <n v="0"/>
    <n v="0"/>
    <n v="0"/>
    <x v="7"/>
    <s v="NA16RB"/>
    <n v="87"/>
    <s v="NA16RB-87"/>
  </r>
  <r>
    <x v="0"/>
    <x v="480"/>
    <s v="0.00-0.00"/>
    <n v="0"/>
    <s v="#4"/>
    <x v="1"/>
    <n v="0"/>
    <n v="0"/>
    <n v="0"/>
    <n v="0"/>
    <x v="7"/>
    <s v="NA17RB"/>
    <n v="87"/>
    <s v="NA17RB-87"/>
  </r>
  <r>
    <x v="10"/>
    <x v="243"/>
    <s v="0.00-0.00"/>
    <n v="0"/>
    <s v="#19"/>
    <x v="1"/>
    <n v="0"/>
    <n v="0"/>
    <n v="0"/>
    <n v="0"/>
    <x v="7"/>
    <s v="NA2RB"/>
    <n v="69"/>
    <s v="NA2RB-69"/>
  </r>
  <r>
    <x v="16"/>
    <x v="243"/>
    <s v="0.00-0.00"/>
    <n v="0"/>
    <s v="#16"/>
    <x v="1"/>
    <n v="0"/>
    <n v="0"/>
    <n v="0"/>
    <n v="0"/>
    <x v="7"/>
    <s v="NA3RB"/>
    <n v="73"/>
    <s v="NA3RB-73"/>
  </r>
  <r>
    <x v="14"/>
    <x v="243"/>
    <s v="0.00-0.00"/>
    <n v="0"/>
    <s v="#15"/>
    <x v="1"/>
    <n v="0"/>
    <n v="0"/>
    <n v="0"/>
    <n v="0"/>
    <x v="7"/>
    <s v="NA4RB"/>
    <n v="75"/>
    <s v="NA4RB-75"/>
  </r>
  <r>
    <x v="12"/>
    <x v="243"/>
    <s v="0.00-0.00"/>
    <n v="0"/>
    <s v="#2"/>
    <x v="1"/>
    <n v="0"/>
    <n v="0"/>
    <n v="0"/>
    <n v="0"/>
    <x v="7"/>
    <s v="NA5RB"/>
    <n v="80"/>
    <s v="NA5RB-80"/>
  </r>
  <r>
    <x v="8"/>
    <x v="243"/>
    <s v="0.00-0.00"/>
    <n v="0"/>
    <s v="#14"/>
    <x v="1"/>
    <n v="0"/>
    <n v="0"/>
    <n v="0"/>
    <n v="0"/>
    <x v="7"/>
    <s v="NA6RB"/>
    <n v="80"/>
    <s v="NA6RB-80"/>
  </r>
  <r>
    <x v="4"/>
    <x v="243"/>
    <s v="0.00-0.00"/>
    <n v="0"/>
    <s v="#30"/>
    <x v="1"/>
    <n v="0"/>
    <n v="0"/>
    <n v="0"/>
    <n v="0"/>
    <x v="7"/>
    <s v="NA7RB"/>
    <n v="75"/>
    <s v="NA7RB-75"/>
  </r>
  <r>
    <x v="13"/>
    <x v="243"/>
    <s v="0.00-0.00"/>
    <n v="0"/>
    <s v="#7"/>
    <x v="1"/>
    <n v="0"/>
    <n v="0"/>
    <n v="0"/>
    <n v="0"/>
    <x v="7"/>
    <s v="NA8RB"/>
    <n v="80"/>
    <s v="NA8RB-80"/>
  </r>
  <r>
    <x v="2"/>
    <x v="243"/>
    <s v="0.00-0.00"/>
    <n v="0"/>
    <s v="#15"/>
    <x v="1"/>
    <n v="0"/>
    <n v="0"/>
    <n v="0"/>
    <n v="0"/>
    <x v="7"/>
    <s v="NA9RB"/>
    <n v="69"/>
    <s v="NA9RB-69"/>
  </r>
  <r>
    <x v="7"/>
    <x v="489"/>
    <s v="0.00-0.00"/>
    <n v="0"/>
    <s v="#8"/>
    <x v="0"/>
    <n v="0"/>
    <n v="0"/>
    <n v="0"/>
    <n v="0"/>
    <x v="7"/>
    <s v="NA1QB"/>
    <n v="46"/>
    <s v="NA1QB-46"/>
  </r>
  <r>
    <x v="10"/>
    <x v="489"/>
    <s v="0.00-0.00"/>
    <n v="0"/>
    <s v="#25"/>
    <x v="0"/>
    <n v="0"/>
    <n v="0"/>
    <n v="0"/>
    <n v="0"/>
    <x v="7"/>
    <s v="NA2QB"/>
    <n v="45"/>
    <s v="NA2QB-45"/>
  </r>
  <r>
    <x v="16"/>
    <x v="489"/>
    <s v="0.00-0.00"/>
    <n v="0"/>
    <s v="#1"/>
    <x v="0"/>
    <n v="0"/>
    <n v="0"/>
    <n v="0"/>
    <n v="0"/>
    <x v="7"/>
    <s v="NA3QB"/>
    <n v="46"/>
    <s v="NA3QB-46"/>
  </r>
  <r>
    <x v="14"/>
    <x v="489"/>
    <s v="0.00-0.00"/>
    <n v="0"/>
    <s v="#32"/>
    <x v="0"/>
    <n v="0"/>
    <n v="0"/>
    <n v="0"/>
    <n v="0"/>
    <x v="7"/>
    <s v="NA4QB"/>
    <n v="45"/>
    <s v="NA4QB-45"/>
  </r>
  <r>
    <x v="12"/>
    <x v="489"/>
    <s v="0.00-0.00"/>
    <n v="0"/>
    <s v="#4"/>
    <x v="0"/>
    <n v="0"/>
    <n v="0"/>
    <n v="0"/>
    <n v="0"/>
    <x v="7"/>
    <s v="NA5QB"/>
    <n v="44"/>
    <s v="NA5QB-44"/>
  </r>
  <r>
    <x v="8"/>
    <x v="489"/>
    <s v="0.00-0.00"/>
    <n v="0"/>
    <s v="#10"/>
    <x v="0"/>
    <n v="0"/>
    <n v="0"/>
    <n v="0"/>
    <n v="0"/>
    <x v="7"/>
    <s v="NA6QB"/>
    <n v="45"/>
    <s v="NA6QB-45"/>
  </r>
  <r>
    <x v="4"/>
    <x v="489"/>
    <s v="0.00-0.00"/>
    <n v="0"/>
    <s v="#13"/>
    <x v="0"/>
    <n v="0"/>
    <n v="0"/>
    <n v="0"/>
    <n v="0"/>
    <x v="7"/>
    <s v="NA7QB"/>
    <n v="44"/>
    <s v="NA7QB-44"/>
  </r>
  <r>
    <x v="13"/>
    <x v="489"/>
    <s v="0.00-0.00"/>
    <n v="0"/>
    <s v="#32"/>
    <x v="0"/>
    <n v="0"/>
    <n v="0"/>
    <n v="0"/>
    <n v="0"/>
    <x v="7"/>
    <s v="NA8QB"/>
    <n v="41"/>
    <s v="NA8QB-41"/>
  </r>
  <r>
    <x v="2"/>
    <x v="489"/>
    <s v="0.00-0.00"/>
    <n v="0"/>
    <s v="#27"/>
    <x v="0"/>
    <n v="0"/>
    <n v="0"/>
    <n v="0"/>
    <n v="0"/>
    <x v="7"/>
    <s v="NA9QB"/>
    <n v="40"/>
    <s v="NA9QB-40"/>
  </r>
  <r>
    <x v="3"/>
    <x v="489"/>
    <s v="0.00-0.00"/>
    <n v="0"/>
    <s v="#20"/>
    <x v="0"/>
    <n v="0"/>
    <n v="0"/>
    <n v="0"/>
    <n v="0"/>
    <x v="7"/>
    <s v="NA11QB"/>
    <n v="37"/>
    <s v="NA11QB-37"/>
  </r>
  <r>
    <x v="6"/>
    <x v="489"/>
    <s v="0.00-0.00"/>
    <n v="0"/>
    <s v="#15"/>
    <x v="0"/>
    <n v="0"/>
    <n v="0"/>
    <n v="0"/>
    <n v="0"/>
    <x v="7"/>
    <s v="NA12QB"/>
    <n v="46"/>
    <s v="NA12QB-46"/>
  </r>
  <r>
    <x v="5"/>
    <x v="489"/>
    <s v="0.00-0.00"/>
    <n v="0"/>
    <s v="#19"/>
    <x v="0"/>
    <n v="0"/>
    <n v="0"/>
    <n v="0"/>
    <n v="0"/>
    <x v="7"/>
    <s v="NA13QB"/>
    <n v="48"/>
    <s v="NA13QB-48"/>
  </r>
  <r>
    <x v="11"/>
    <x v="489"/>
    <s v="0.00-0.00"/>
    <n v="0"/>
    <s v="#18"/>
    <x v="0"/>
    <n v="0"/>
    <n v="0"/>
    <n v="0"/>
    <n v="0"/>
    <x v="7"/>
    <s v="NA14QB"/>
    <n v="48"/>
    <s v="NA14QB-48"/>
  </r>
  <r>
    <x v="9"/>
    <x v="489"/>
    <s v="0.00-0.00"/>
    <n v="0"/>
    <s v="#2"/>
    <x v="0"/>
    <n v="0"/>
    <n v="0"/>
    <n v="0"/>
    <n v="0"/>
    <x v="7"/>
    <s v="NA15QB"/>
    <n v="48"/>
    <s v="NA15QB-48"/>
  </r>
  <r>
    <x v="1"/>
    <x v="489"/>
    <s v="0.00-0.00"/>
    <n v="0"/>
    <s v="#25"/>
    <x v="0"/>
    <n v="0"/>
    <n v="0"/>
    <n v="0"/>
    <n v="0"/>
    <x v="7"/>
    <s v="NA16QB"/>
    <n v="48"/>
    <s v="NA16QB-48"/>
  </r>
  <r>
    <x v="0"/>
    <x v="489"/>
    <s v="0.00-0.00"/>
    <n v="0"/>
    <s v="#20"/>
    <x v="0"/>
    <n v="0"/>
    <n v="0"/>
    <n v="0"/>
    <n v="0"/>
    <x v="7"/>
    <s v="NA17QB"/>
    <n v="48"/>
    <s v="NA17QB-48"/>
  </r>
  <r>
    <x v="7"/>
    <x v="464"/>
    <s v="0.00-0.00"/>
    <n v="0"/>
    <s v="#1"/>
    <x v="3"/>
    <n v="0"/>
    <n v="0"/>
    <n v="0"/>
    <n v="0"/>
    <x v="7"/>
    <s v="NA1TE"/>
    <n v="73"/>
    <s v="NA1TE-73"/>
  </r>
  <r>
    <x v="10"/>
    <x v="464"/>
    <s v="0.00-0.00"/>
    <n v="0"/>
    <s v="#20"/>
    <x v="3"/>
    <n v="0"/>
    <n v="0"/>
    <n v="0"/>
    <n v="0"/>
    <x v="7"/>
    <s v="NA2TE"/>
    <n v="81"/>
    <s v="NA2TE-81"/>
  </r>
  <r>
    <x v="7"/>
    <x v="137"/>
    <s v="0.00-0.00"/>
    <n v="0"/>
    <s v="#2"/>
    <x v="1"/>
    <n v="0"/>
    <n v="0"/>
    <n v="0"/>
    <n v="0"/>
    <x v="2"/>
    <s v="devon1RB"/>
    <n v="5"/>
    <s v="devon1RB-5"/>
  </r>
  <r>
    <x v="10"/>
    <x v="137"/>
    <s v="0.00-0.00"/>
    <n v="0"/>
    <s v="#32"/>
    <x v="1"/>
    <n v="0"/>
    <n v="0"/>
    <n v="0"/>
    <n v="0"/>
    <x v="2"/>
    <s v="devon2RB"/>
    <n v="6"/>
    <s v="devon2RB-6"/>
  </r>
  <r>
    <x v="16"/>
    <x v="137"/>
    <s v="0.00-0.00"/>
    <n v="0"/>
    <s v="#31"/>
    <x v="1"/>
    <n v="0"/>
    <n v="0"/>
    <n v="0"/>
    <n v="0"/>
    <x v="2"/>
    <s v="devon3RB"/>
    <n v="6"/>
    <s v="devon3RB-6"/>
  </r>
  <r>
    <x v="14"/>
    <x v="137"/>
    <s v="0.00-0.00"/>
    <n v="0"/>
    <s v="#1"/>
    <x v="1"/>
    <n v="0"/>
    <n v="0"/>
    <n v="0"/>
    <n v="0"/>
    <x v="2"/>
    <s v="devon4RB"/>
    <n v="5"/>
    <s v="devon4RB-5"/>
  </r>
  <r>
    <x v="12"/>
    <x v="137"/>
    <s v="0.00-0.00"/>
    <n v="0"/>
    <s v="#29"/>
    <x v="1"/>
    <n v="0"/>
    <n v="0"/>
    <n v="0"/>
    <n v="0"/>
    <x v="2"/>
    <s v="devon5RB"/>
    <n v="5"/>
    <s v="devon5RB-5"/>
  </r>
  <r>
    <x v="8"/>
    <x v="137"/>
    <s v="0.00-0.00"/>
    <n v="0"/>
    <s v="#19"/>
    <x v="1"/>
    <n v="0"/>
    <n v="0"/>
    <n v="0"/>
    <n v="0"/>
    <x v="2"/>
    <s v="devon6RB"/>
    <n v="6"/>
    <s v="devon6RB-6"/>
  </r>
  <r>
    <x v="10"/>
    <x v="54"/>
    <s v="0.00-0.00"/>
    <n v="0"/>
    <s v="#17"/>
    <x v="1"/>
    <n v="0"/>
    <n v="0"/>
    <n v="0"/>
    <n v="0"/>
    <x v="9"/>
    <s v="seth2RB"/>
    <n v="7"/>
    <s v="seth2RB-7"/>
  </r>
  <r>
    <x v="16"/>
    <x v="54"/>
    <s v="0.00-0.00"/>
    <n v="0"/>
    <s v="#14"/>
    <x v="1"/>
    <n v="0"/>
    <n v="0"/>
    <n v="0"/>
    <n v="0"/>
    <x v="9"/>
    <s v="seth3RB"/>
    <n v="7"/>
    <s v="seth3RB-7"/>
  </r>
  <r>
    <x v="12"/>
    <x v="54"/>
    <s v="0.00-0.00"/>
    <n v="0"/>
    <s v="#32"/>
    <x v="1"/>
    <n v="0"/>
    <n v="0"/>
    <n v="0"/>
    <n v="0"/>
    <x v="9"/>
    <s v="seth5RB"/>
    <n v="7"/>
    <s v="seth5RB-7"/>
  </r>
  <r>
    <x v="8"/>
    <x v="54"/>
    <s v="0.00-0.00"/>
    <n v="0"/>
    <s v="#23"/>
    <x v="1"/>
    <n v="0"/>
    <n v="0"/>
    <n v="0"/>
    <n v="0"/>
    <x v="9"/>
    <s v="seth6RB"/>
    <n v="7"/>
    <s v="seth6RB-7"/>
  </r>
  <r>
    <x v="16"/>
    <x v="90"/>
    <s v="0.00-0.00"/>
    <n v="0"/>
    <s v="#26"/>
    <x v="1"/>
    <n v="0"/>
    <n v="0"/>
    <n v="0"/>
    <n v="0"/>
    <x v="10"/>
    <s v="aj3RB"/>
    <n v="5"/>
    <s v="aj3RB-5"/>
  </r>
  <r>
    <x v="16"/>
    <x v="423"/>
    <s v="0.00-0.00"/>
    <n v="0"/>
    <s v="#26"/>
    <x v="3"/>
    <n v="0"/>
    <n v="0"/>
    <n v="0"/>
    <n v="0"/>
    <x v="7"/>
    <s v="NA3TE"/>
    <n v="81"/>
    <s v="NA3TE-81"/>
  </r>
  <r>
    <x v="14"/>
    <x v="423"/>
    <s v="0.00-0.00"/>
    <n v="0"/>
    <s v="#21"/>
    <x v="3"/>
    <n v="0"/>
    <n v="0"/>
    <n v="0"/>
    <n v="0"/>
    <x v="7"/>
    <s v="NA4TE"/>
    <n v="77"/>
    <s v="NA4TE-77"/>
  </r>
  <r>
    <x v="7"/>
    <x v="399"/>
    <s v="0.00-0.00"/>
    <n v="0"/>
    <s v="#19"/>
    <x v="2"/>
    <n v="0"/>
    <n v="0"/>
    <n v="0"/>
    <n v="0"/>
    <x v="7"/>
    <s v="NA1WR"/>
    <n v="99"/>
    <s v="NA1WR-99"/>
  </r>
  <r>
    <x v="10"/>
    <x v="29"/>
    <s v="0.00-0.00"/>
    <n v="0"/>
    <s v="#27"/>
    <x v="0"/>
    <n v="0"/>
    <n v="0"/>
    <n v="0"/>
    <n v="0"/>
    <x v="7"/>
    <s v="NA2QB"/>
    <n v="46"/>
    <s v="NA2QB-46"/>
  </r>
  <r>
    <x v="14"/>
    <x v="183"/>
    <s v="0.00-0.00"/>
    <n v="0"/>
    <s v="#21"/>
    <x v="1"/>
    <n v="0"/>
    <n v="0"/>
    <n v="0"/>
    <n v="0"/>
    <x v="7"/>
    <s v="NA4RB"/>
    <n v="76"/>
    <s v="NA4RB-76"/>
  </r>
  <r>
    <x v="7"/>
    <x v="87"/>
    <s v="0.00-0.00"/>
    <n v="0"/>
    <s v="#31"/>
    <x v="1"/>
    <n v="0"/>
    <n v="0"/>
    <n v="0"/>
    <n v="0"/>
    <x v="5"/>
    <s v="cory1RB"/>
    <n v="5"/>
    <s v="cory1RB-5"/>
  </r>
  <r>
    <x v="10"/>
    <x v="87"/>
    <s v="0.00-0.00"/>
    <n v="0"/>
    <s v="#2"/>
    <x v="1"/>
    <n v="0"/>
    <n v="0"/>
    <n v="0"/>
    <n v="0"/>
    <x v="5"/>
    <s v="cory2RB"/>
    <n v="5"/>
    <s v="cory2RB-5"/>
  </r>
  <r>
    <x v="16"/>
    <x v="87"/>
    <s v="0.00-0.00"/>
    <n v="0"/>
    <s v="#29"/>
    <x v="1"/>
    <n v="0"/>
    <n v="0"/>
    <n v="0"/>
    <n v="0"/>
    <x v="5"/>
    <s v="cory3RB"/>
    <n v="5"/>
    <s v="cory3RB-5"/>
  </r>
  <r>
    <x v="14"/>
    <x v="87"/>
    <s v="0.00-0.00"/>
    <n v="0"/>
    <s v="#22"/>
    <x v="1"/>
    <n v="0"/>
    <n v="0"/>
    <n v="0"/>
    <n v="0"/>
    <x v="5"/>
    <s v="cory4RB"/>
    <n v="5"/>
    <s v="cory4RB-5"/>
  </r>
  <r>
    <x v="7"/>
    <x v="142"/>
    <s v="0.00-0.00"/>
    <n v="0"/>
    <s v="#19"/>
    <x v="1"/>
    <n v="0"/>
    <n v="0"/>
    <n v="0"/>
    <n v="0"/>
    <x v="7"/>
    <s v="NA1RB"/>
    <n v="61"/>
    <s v="NA1RB-61"/>
  </r>
  <r>
    <x v="16"/>
    <x v="142"/>
    <s v="0.00-0.00"/>
    <n v="0"/>
    <s v="#6"/>
    <x v="1"/>
    <n v="0"/>
    <n v="0"/>
    <n v="0"/>
    <n v="0"/>
    <x v="7"/>
    <s v="NA3RB"/>
    <n v="74"/>
    <s v="NA3RB-74"/>
  </r>
  <r>
    <x v="14"/>
    <x v="142"/>
    <s v="0.00-0.00"/>
    <n v="0"/>
    <s v="#27"/>
    <x v="1"/>
    <n v="0"/>
    <n v="0"/>
    <n v="0"/>
    <n v="0"/>
    <x v="7"/>
    <s v="NA4RB"/>
    <n v="77"/>
    <s v="NA4RB-77"/>
  </r>
  <r>
    <x v="12"/>
    <x v="142"/>
    <s v="0.00-0.00"/>
    <n v="0"/>
    <s v="#17"/>
    <x v="1"/>
    <n v="0"/>
    <n v="0"/>
    <n v="0"/>
    <n v="0"/>
    <x v="7"/>
    <s v="NA5RB"/>
    <n v="81"/>
    <s v="NA5RB-81"/>
  </r>
  <r>
    <x v="7"/>
    <x v="490"/>
    <s v="0.00-0.00"/>
    <n v="0"/>
    <s v="#15"/>
    <x v="1"/>
    <n v="0"/>
    <n v="0"/>
    <n v="0"/>
    <n v="0"/>
    <x v="7"/>
    <s v="NA1RB"/>
    <n v="62"/>
    <s v="NA1RB-62"/>
  </r>
  <r>
    <x v="10"/>
    <x v="490"/>
    <s v="0.00-0.00"/>
    <n v="0"/>
    <s v="#30"/>
    <x v="1"/>
    <n v="0"/>
    <n v="0"/>
    <n v="0"/>
    <n v="0"/>
    <x v="7"/>
    <s v="NA2RB"/>
    <n v="70"/>
    <s v="NA2RB-70"/>
  </r>
  <r>
    <x v="10"/>
    <x v="164"/>
    <s v="0.00-0.00"/>
    <n v="0"/>
    <s v="#28"/>
    <x v="2"/>
    <n v="0"/>
    <n v="0"/>
    <n v="0"/>
    <n v="0"/>
    <x v="7"/>
    <s v="NA2WR"/>
    <n v="108"/>
    <s v="NA2WR-108"/>
  </r>
  <r>
    <x v="7"/>
    <x v="391"/>
    <s v="0.00-0.00"/>
    <n v="0"/>
    <s v="#13"/>
    <x v="2"/>
    <n v="0"/>
    <n v="0"/>
    <n v="0"/>
    <n v="0"/>
    <x v="7"/>
    <s v="NA1WR"/>
    <n v="100"/>
    <s v="NA1WR-100"/>
  </r>
  <r>
    <x v="10"/>
    <x v="391"/>
    <s v="0.00-0.00"/>
    <n v="0"/>
    <s v="#9"/>
    <x v="2"/>
    <n v="0"/>
    <n v="0"/>
    <n v="0"/>
    <n v="0"/>
    <x v="7"/>
    <s v="NA2WR"/>
    <n v="109"/>
    <s v="NA2WR-109"/>
  </r>
  <r>
    <x v="10"/>
    <x v="444"/>
    <s v="0.00-0.00"/>
    <n v="0"/>
    <s v="#8"/>
    <x v="1"/>
    <n v="0"/>
    <n v="0"/>
    <n v="0"/>
    <n v="0"/>
    <x v="7"/>
    <s v="NA2RB"/>
    <n v="71"/>
    <s v="NA2RB-71"/>
  </r>
  <r>
    <x v="16"/>
    <x v="469"/>
    <s v="0.00-0.00"/>
    <n v="0"/>
    <s v="#21"/>
    <x v="2"/>
    <n v="0"/>
    <n v="0"/>
    <n v="0"/>
    <n v="0"/>
    <x v="7"/>
    <s v="NA3WR"/>
    <n v="112"/>
    <s v="NA3WR-112"/>
  </r>
  <r>
    <x v="16"/>
    <x v="369"/>
    <s v="0.00-0.00"/>
    <n v="0"/>
    <s v="#17"/>
    <x v="3"/>
    <n v="0"/>
    <n v="0"/>
    <n v="0"/>
    <n v="0"/>
    <x v="7"/>
    <s v="NA3TE"/>
    <n v="82"/>
    <s v="NA3TE-82"/>
  </r>
  <r>
    <x v="14"/>
    <x v="369"/>
    <s v="0.00-0.00"/>
    <n v="0"/>
    <s v="#23"/>
    <x v="3"/>
    <n v="0"/>
    <n v="0"/>
    <n v="0"/>
    <n v="0"/>
    <x v="7"/>
    <s v="NA4TE"/>
    <n v="78"/>
    <s v="NA4TE-78"/>
  </r>
  <r>
    <x v="7"/>
    <x v="166"/>
    <s v="0.00-0.00"/>
    <n v="0"/>
    <s v="#16"/>
    <x v="1"/>
    <n v="0"/>
    <n v="0"/>
    <n v="0"/>
    <n v="0"/>
    <x v="7"/>
    <s v="NA1RB"/>
    <n v="63"/>
    <s v="NA1RB-63"/>
  </r>
  <r>
    <x v="7"/>
    <x v="356"/>
    <s v="0.00-0.00"/>
    <n v="0"/>
    <s v="#12"/>
    <x v="0"/>
    <n v="0"/>
    <n v="0"/>
    <n v="0"/>
    <n v="0"/>
    <x v="7"/>
    <s v="NA1QB"/>
    <n v="47"/>
    <s v="NA1QB-47"/>
  </r>
  <r>
    <x v="10"/>
    <x v="356"/>
    <s v="0.00-0.00"/>
    <n v="0"/>
    <s v="#10"/>
    <x v="0"/>
    <n v="0"/>
    <n v="0"/>
    <n v="0"/>
    <n v="0"/>
    <x v="7"/>
    <s v="NA2QB"/>
    <n v="47"/>
    <s v="NA2QB-47"/>
  </r>
  <r>
    <x v="16"/>
    <x v="356"/>
    <s v="0.00-0.00"/>
    <n v="0"/>
    <s v="#5"/>
    <x v="0"/>
    <n v="0"/>
    <n v="0"/>
    <n v="0"/>
    <n v="0"/>
    <x v="7"/>
    <s v="NA3QB"/>
    <n v="47"/>
    <s v="NA3QB-47"/>
  </r>
  <r>
    <x v="10"/>
    <x v="418"/>
    <s v="0.00-0.00"/>
    <n v="0"/>
    <s v="#13"/>
    <x v="2"/>
    <n v="0"/>
    <n v="0"/>
    <n v="0"/>
    <n v="0"/>
    <x v="7"/>
    <s v="NA2WR"/>
    <n v="110"/>
    <s v="NA2WR-110"/>
  </r>
  <r>
    <x v="16"/>
    <x v="418"/>
    <s v="0.00-0.00"/>
    <n v="0"/>
    <s v="#20"/>
    <x v="2"/>
    <n v="0"/>
    <n v="0"/>
    <n v="0"/>
    <n v="0"/>
    <x v="7"/>
    <s v="NA3WR"/>
    <n v="113"/>
    <s v="NA3WR-113"/>
  </r>
  <r>
    <x v="14"/>
    <x v="418"/>
    <s v="0.00-0.00"/>
    <n v="0"/>
    <s v="#26"/>
    <x v="2"/>
    <n v="0"/>
    <n v="0"/>
    <n v="0"/>
    <n v="0"/>
    <x v="7"/>
    <s v="NA4WR"/>
    <n v="110"/>
    <s v="NA4WR-110"/>
  </r>
  <r>
    <x v="12"/>
    <x v="418"/>
    <s v="0.00-0.00"/>
    <n v="0"/>
    <s v="#8"/>
    <x v="2"/>
    <n v="0"/>
    <n v="0"/>
    <n v="0"/>
    <n v="0"/>
    <x v="7"/>
    <s v="NA5WR"/>
    <n v="118"/>
    <s v="NA5WR-118"/>
  </r>
  <r>
    <x v="8"/>
    <x v="418"/>
    <s v="0.00-0.00"/>
    <n v="0"/>
    <s v="#16"/>
    <x v="2"/>
    <n v="0"/>
    <n v="0"/>
    <n v="0"/>
    <n v="0"/>
    <x v="7"/>
    <s v="NA6WR"/>
    <n v="120"/>
    <s v="NA6WR-120"/>
  </r>
  <r>
    <x v="4"/>
    <x v="418"/>
    <s v="0.00-0.00"/>
    <n v="0"/>
    <s v="#18"/>
    <x v="2"/>
    <n v="0"/>
    <n v="0"/>
    <n v="0"/>
    <n v="0"/>
    <x v="7"/>
    <s v="NA7WR"/>
    <n v="113"/>
    <s v="NA7WR-113"/>
  </r>
  <r>
    <x v="13"/>
    <x v="418"/>
    <s v="0.00-0.00"/>
    <n v="0"/>
    <s v="#21"/>
    <x v="2"/>
    <n v="0"/>
    <n v="0"/>
    <n v="0"/>
    <n v="0"/>
    <x v="7"/>
    <s v="NA8WR"/>
    <n v="108"/>
    <s v="NA8WR-108"/>
  </r>
  <r>
    <x v="2"/>
    <x v="418"/>
    <s v="0.00-0.00"/>
    <n v="0"/>
    <s v="#30"/>
    <x v="2"/>
    <n v="0"/>
    <n v="0"/>
    <n v="0"/>
    <n v="0"/>
    <x v="7"/>
    <s v="NA9WR"/>
    <n v="104"/>
    <s v="NA9WR-104"/>
  </r>
  <r>
    <x v="15"/>
    <x v="418"/>
    <s v="0.00-0.00"/>
    <n v="0"/>
    <s v="#8"/>
    <x v="2"/>
    <n v="0"/>
    <n v="0"/>
    <n v="0"/>
    <n v="0"/>
    <x v="7"/>
    <s v="NA10WR"/>
    <n v="117"/>
    <s v="NA10WR-117"/>
  </r>
  <r>
    <x v="3"/>
    <x v="418"/>
    <s v="0.00-0.00"/>
    <n v="0"/>
    <s v="#32"/>
    <x v="2"/>
    <n v="0"/>
    <n v="0"/>
    <n v="0"/>
    <n v="0"/>
    <x v="7"/>
    <s v="NA11WR"/>
    <n v="104"/>
    <s v="NA11WR-104"/>
  </r>
  <r>
    <x v="5"/>
    <x v="418"/>
    <s v="0.00-0.00"/>
    <n v="0"/>
    <s v="#28"/>
    <x v="2"/>
    <n v="0"/>
    <n v="0"/>
    <n v="0"/>
    <n v="0"/>
    <x v="7"/>
    <s v="NA13WR"/>
    <n v="129"/>
    <s v="NA13WR-129"/>
  </r>
  <r>
    <x v="11"/>
    <x v="418"/>
    <s v="0.00-0.00"/>
    <n v="0"/>
    <s v="#5"/>
    <x v="2"/>
    <n v="0"/>
    <n v="0"/>
    <n v="0"/>
    <n v="0"/>
    <x v="7"/>
    <s v="NA14WR"/>
    <n v="129"/>
    <s v="NA14WR-129"/>
  </r>
  <r>
    <x v="9"/>
    <x v="418"/>
    <s v="0.00-0.00"/>
    <n v="0"/>
    <s v="#6"/>
    <x v="2"/>
    <n v="0"/>
    <n v="0"/>
    <n v="0"/>
    <n v="0"/>
    <x v="7"/>
    <s v="NA15WR"/>
    <n v="129"/>
    <s v="NA15WR-129"/>
  </r>
  <r>
    <x v="1"/>
    <x v="418"/>
    <s v="0.00-0.00"/>
    <n v="0"/>
    <s v="#13"/>
    <x v="2"/>
    <n v="0"/>
    <n v="0"/>
    <n v="0"/>
    <n v="0"/>
    <x v="7"/>
    <s v="NA16WR"/>
    <n v="129"/>
    <s v="NA16WR-129"/>
  </r>
  <r>
    <x v="7"/>
    <x v="445"/>
    <s v="0.00-0.00"/>
    <n v="0"/>
    <s v="#17"/>
    <x v="3"/>
    <n v="0"/>
    <n v="0"/>
    <n v="0"/>
    <n v="0"/>
    <x v="7"/>
    <s v="NA1TE"/>
    <n v="74"/>
    <s v="NA1TE-74"/>
  </r>
  <r>
    <x v="7"/>
    <x v="491"/>
    <s v="0.00-0.00"/>
    <n v="0"/>
    <s v="#29"/>
    <x v="0"/>
    <n v="0"/>
    <n v="0"/>
    <n v="0"/>
    <n v="0"/>
    <x v="7"/>
    <s v="NA1QB"/>
    <n v="48"/>
    <s v="NA1QB-48"/>
  </r>
  <r>
    <x v="10"/>
    <x v="491"/>
    <s v="0.00-0.00"/>
    <n v="0"/>
    <s v="#31"/>
    <x v="0"/>
    <n v="0"/>
    <n v="0"/>
    <n v="0"/>
    <n v="0"/>
    <x v="7"/>
    <s v="NA2QB"/>
    <n v="48"/>
    <s v="NA2QB-48"/>
  </r>
  <r>
    <x v="16"/>
    <x v="491"/>
    <s v="0.00-0.00"/>
    <n v="0"/>
    <s v="#9"/>
    <x v="0"/>
    <n v="0"/>
    <n v="0"/>
    <n v="0"/>
    <n v="0"/>
    <x v="7"/>
    <s v="NA3QB"/>
    <n v="48"/>
    <s v="NA3QB-48"/>
  </r>
  <r>
    <x v="14"/>
    <x v="491"/>
    <s v="0.00-0.00"/>
    <n v="0"/>
    <s v="#14"/>
    <x v="0"/>
    <n v="0"/>
    <n v="0"/>
    <n v="0"/>
    <n v="0"/>
    <x v="7"/>
    <s v="NA4QB"/>
    <n v="46"/>
    <s v="NA4QB-46"/>
  </r>
  <r>
    <x v="12"/>
    <x v="491"/>
    <s v="0.00-0.00"/>
    <n v="0"/>
    <s v="#26"/>
    <x v="0"/>
    <n v="0"/>
    <n v="0"/>
    <n v="0"/>
    <n v="0"/>
    <x v="7"/>
    <s v="NA5QB"/>
    <n v="45"/>
    <s v="NA5QB-45"/>
  </r>
  <r>
    <x v="8"/>
    <x v="491"/>
    <s v="0.00-0.00"/>
    <n v="0"/>
    <s v="#22"/>
    <x v="0"/>
    <n v="0"/>
    <n v="0"/>
    <n v="0"/>
    <n v="0"/>
    <x v="7"/>
    <s v="NA6QB"/>
    <n v="46"/>
    <s v="NA6QB-46"/>
  </r>
  <r>
    <x v="4"/>
    <x v="491"/>
    <s v="0.00-0.00"/>
    <n v="0"/>
    <s v="#7"/>
    <x v="0"/>
    <n v="0"/>
    <n v="0"/>
    <n v="0"/>
    <n v="0"/>
    <x v="7"/>
    <s v="NA7QB"/>
    <n v="45"/>
    <s v="NA7QB-45"/>
  </r>
  <r>
    <x v="13"/>
    <x v="491"/>
    <s v="0.00-0.00"/>
    <n v="0"/>
    <s v="#3"/>
    <x v="0"/>
    <n v="0"/>
    <n v="0"/>
    <n v="0"/>
    <n v="0"/>
    <x v="7"/>
    <s v="NA8QB"/>
    <n v="42"/>
    <s v="NA8QB-42"/>
  </r>
  <r>
    <x v="15"/>
    <x v="491"/>
    <s v="0.00-0.00"/>
    <n v="0"/>
    <s v="#23"/>
    <x v="0"/>
    <n v="0"/>
    <n v="0"/>
    <n v="0"/>
    <n v="0"/>
    <x v="7"/>
    <s v="NA10QB"/>
    <n v="41"/>
    <s v="NA10QB-41"/>
  </r>
  <r>
    <x v="3"/>
    <x v="491"/>
    <s v="0.00-0.00"/>
    <n v="0"/>
    <s v="#30"/>
    <x v="0"/>
    <n v="0"/>
    <n v="0"/>
    <n v="0"/>
    <n v="0"/>
    <x v="7"/>
    <s v="NA11QB"/>
    <n v="38"/>
    <s v="NA11QB-38"/>
  </r>
  <r>
    <x v="6"/>
    <x v="491"/>
    <s v="0.00-0.00"/>
    <n v="0"/>
    <s v="#22"/>
    <x v="0"/>
    <n v="0"/>
    <n v="0"/>
    <n v="0"/>
    <n v="0"/>
    <x v="7"/>
    <s v="NA12QB"/>
    <n v="47"/>
    <s v="NA12QB-47"/>
  </r>
  <r>
    <x v="5"/>
    <x v="491"/>
    <s v="0.00-0.00"/>
    <n v="0"/>
    <s v="#12"/>
    <x v="0"/>
    <n v="0"/>
    <n v="0"/>
    <n v="0"/>
    <n v="0"/>
    <x v="7"/>
    <s v="NA13QB"/>
    <n v="49"/>
    <s v="NA13QB-49"/>
  </r>
  <r>
    <x v="11"/>
    <x v="491"/>
    <s v="0.00-0.00"/>
    <n v="0"/>
    <s v="#23"/>
    <x v="0"/>
    <n v="0"/>
    <n v="0"/>
    <n v="0"/>
    <n v="0"/>
    <x v="7"/>
    <s v="NA14QB"/>
    <n v="49"/>
    <s v="NA14QB-49"/>
  </r>
  <r>
    <x v="9"/>
    <x v="491"/>
    <s v="0.00-0.00"/>
    <n v="0"/>
    <s v="#10"/>
    <x v="0"/>
    <n v="0"/>
    <n v="0"/>
    <n v="0"/>
    <n v="0"/>
    <x v="7"/>
    <s v="NA15QB"/>
    <n v="49"/>
    <s v="NA15QB-49"/>
  </r>
  <r>
    <x v="1"/>
    <x v="491"/>
    <s v="0.00-0.00"/>
    <n v="0"/>
    <s v="#27"/>
    <x v="0"/>
    <n v="0"/>
    <n v="0"/>
    <n v="0"/>
    <n v="0"/>
    <x v="7"/>
    <s v="NA16QB"/>
    <n v="49"/>
    <s v="NA16QB-49"/>
  </r>
  <r>
    <x v="0"/>
    <x v="491"/>
    <s v="0.00-0.00"/>
    <n v="0"/>
    <s v="#12"/>
    <x v="0"/>
    <n v="0"/>
    <n v="0"/>
    <n v="0"/>
    <n v="0"/>
    <x v="7"/>
    <s v="NA17QB"/>
    <n v="49"/>
    <s v="NA17QB-49"/>
  </r>
  <r>
    <x v="16"/>
    <x v="320"/>
    <s v="0.00-0.00"/>
    <n v="0"/>
    <s v="#2"/>
    <x v="3"/>
    <n v="0"/>
    <n v="0"/>
    <n v="0"/>
    <n v="0"/>
    <x v="7"/>
    <s v="NA3TE"/>
    <n v="83"/>
    <s v="NA3TE-83"/>
  </r>
  <r>
    <x v="14"/>
    <x v="320"/>
    <s v="0.00-0.00"/>
    <n v="0"/>
    <s v="#3"/>
    <x v="3"/>
    <n v="0"/>
    <n v="0"/>
    <n v="0"/>
    <n v="0"/>
    <x v="7"/>
    <s v="NA4TE"/>
    <n v="79"/>
    <s v="NA4TE-79"/>
  </r>
  <r>
    <x v="16"/>
    <x v="407"/>
    <s v="0.00-0.00"/>
    <n v="0"/>
    <s v="#3"/>
    <x v="2"/>
    <n v="0"/>
    <n v="0"/>
    <n v="0"/>
    <n v="0"/>
    <x v="7"/>
    <s v="NA3WR"/>
    <n v="114"/>
    <s v="NA3WR-114"/>
  </r>
  <r>
    <x v="8"/>
    <x v="157"/>
    <s v="0.00-0.00"/>
    <n v="0"/>
    <s v="#29"/>
    <x v="3"/>
    <n v="0"/>
    <n v="0"/>
    <n v="0"/>
    <n v="0"/>
    <x v="7"/>
    <s v="NA6TE"/>
    <n v="80"/>
    <s v="NA6TE-80"/>
  </r>
  <r>
    <x v="4"/>
    <x v="157"/>
    <s v="0.00-0.00"/>
    <n v="0"/>
    <s v="#2"/>
    <x v="3"/>
    <n v="0"/>
    <n v="0"/>
    <n v="0"/>
    <n v="0"/>
    <x v="7"/>
    <s v="NA7TE"/>
    <n v="78"/>
    <s v="NA7TE-78"/>
  </r>
  <r>
    <x v="10"/>
    <x v="292"/>
    <s v="0.00-0.00"/>
    <n v="0"/>
    <s v="#13"/>
    <x v="2"/>
    <n v="0"/>
    <n v="0"/>
    <n v="0"/>
    <n v="0"/>
    <x v="7"/>
    <s v="NA2WR"/>
    <n v="111"/>
    <s v="NA2WR-111"/>
  </r>
  <r>
    <x v="16"/>
    <x v="292"/>
    <s v="0.00-0.00"/>
    <n v="0"/>
    <s v="#20"/>
    <x v="2"/>
    <n v="0"/>
    <n v="0"/>
    <n v="0"/>
    <n v="0"/>
    <x v="7"/>
    <s v="NA3WR"/>
    <n v="115"/>
    <s v="NA3WR-115"/>
  </r>
  <r>
    <x v="14"/>
    <x v="292"/>
    <s v="0.00-0.00"/>
    <n v="0"/>
    <s v="#26"/>
    <x v="2"/>
    <n v="0"/>
    <n v="0"/>
    <n v="0"/>
    <n v="0"/>
    <x v="7"/>
    <s v="NA4WR"/>
    <n v="111"/>
    <s v="NA4WR-111"/>
  </r>
  <r>
    <x v="12"/>
    <x v="292"/>
    <s v="0.00-0.00"/>
    <n v="0"/>
    <s v="#8"/>
    <x v="2"/>
    <n v="0"/>
    <n v="0"/>
    <n v="0"/>
    <n v="0"/>
    <x v="7"/>
    <s v="NA5WR"/>
    <n v="119"/>
    <s v="NA5WR-119"/>
  </r>
  <r>
    <x v="8"/>
    <x v="292"/>
    <s v="0.00-0.00"/>
    <n v="0"/>
    <s v="#16"/>
    <x v="2"/>
    <n v="0"/>
    <n v="0"/>
    <n v="0"/>
    <n v="0"/>
    <x v="7"/>
    <s v="NA6WR"/>
    <n v="121"/>
    <s v="NA6WR-121"/>
  </r>
  <r>
    <x v="4"/>
    <x v="292"/>
    <s v="0.00-0.00"/>
    <n v="0"/>
    <s v="#18"/>
    <x v="2"/>
    <n v="0"/>
    <n v="0"/>
    <n v="0"/>
    <n v="0"/>
    <x v="7"/>
    <s v="NA7WR"/>
    <n v="114"/>
    <s v="NA7WR-114"/>
  </r>
  <r>
    <x v="13"/>
    <x v="292"/>
    <s v="0.00-0.00"/>
    <n v="0"/>
    <s v="#21"/>
    <x v="2"/>
    <n v="0"/>
    <n v="0"/>
    <n v="0"/>
    <n v="0"/>
    <x v="7"/>
    <s v="NA8WR"/>
    <n v="109"/>
    <s v="NA8WR-109"/>
  </r>
  <r>
    <x v="2"/>
    <x v="292"/>
    <s v="0.00-0.00"/>
    <n v="0"/>
    <s v="#30"/>
    <x v="2"/>
    <n v="0"/>
    <n v="0"/>
    <n v="0"/>
    <n v="0"/>
    <x v="7"/>
    <s v="NA9WR"/>
    <n v="105"/>
    <s v="NA9WR-105"/>
  </r>
  <r>
    <x v="14"/>
    <x v="127"/>
    <s v="0.00-0.00"/>
    <n v="0"/>
    <s v="#11"/>
    <x v="2"/>
    <n v="0"/>
    <n v="0"/>
    <n v="0"/>
    <n v="0"/>
    <x v="9"/>
    <s v="seth4WR"/>
    <n v="5"/>
    <s v="seth4WR-5"/>
  </r>
  <r>
    <x v="7"/>
    <x v="396"/>
    <s v="0.00-0.00"/>
    <n v="0"/>
    <s v="#22"/>
    <x v="2"/>
    <n v="0"/>
    <n v="0"/>
    <n v="0"/>
    <n v="0"/>
    <x v="7"/>
    <s v="NA1WR"/>
    <n v="101"/>
    <s v="NA1WR-101"/>
  </r>
  <r>
    <x v="10"/>
    <x v="396"/>
    <s v="0.00-0.00"/>
    <n v="0"/>
    <s v="#17"/>
    <x v="2"/>
    <n v="0"/>
    <n v="0"/>
    <n v="0"/>
    <n v="0"/>
    <x v="7"/>
    <s v="NA2WR"/>
    <n v="112"/>
    <s v="NA2WR-112"/>
  </r>
  <r>
    <x v="14"/>
    <x v="396"/>
    <s v="0.00-0.00"/>
    <n v="0"/>
    <s v="#4"/>
    <x v="2"/>
    <n v="0"/>
    <n v="0"/>
    <n v="0"/>
    <n v="0"/>
    <x v="7"/>
    <s v="NA4WR"/>
    <n v="112"/>
    <s v="NA4WR-112"/>
  </r>
  <r>
    <x v="7"/>
    <x v="454"/>
    <s v="0.00-0.00"/>
    <n v="0"/>
    <s v="#29"/>
    <x v="3"/>
    <n v="0"/>
    <n v="0"/>
    <n v="0"/>
    <n v="0"/>
    <x v="7"/>
    <s v="NA1TE"/>
    <n v="75"/>
    <s v="NA1TE-75"/>
  </r>
  <r>
    <x v="10"/>
    <x v="454"/>
    <s v="0.00-0.00"/>
    <n v="0"/>
    <s v="#31"/>
    <x v="3"/>
    <n v="0"/>
    <n v="0"/>
    <n v="0"/>
    <n v="0"/>
    <x v="7"/>
    <s v="NA2TE"/>
    <n v="82"/>
    <s v="NA2TE-82"/>
  </r>
  <r>
    <x v="16"/>
    <x v="454"/>
    <s v="0.00-0.00"/>
    <n v="0"/>
    <s v="#9"/>
    <x v="3"/>
    <n v="0"/>
    <n v="0"/>
    <n v="0"/>
    <n v="0"/>
    <x v="7"/>
    <s v="NA3TE"/>
    <n v="84"/>
    <s v="NA3TE-84"/>
  </r>
  <r>
    <x v="14"/>
    <x v="454"/>
    <s v="0.00-0.00"/>
    <n v="0"/>
    <s v="#14"/>
    <x v="3"/>
    <n v="0"/>
    <n v="0"/>
    <n v="0"/>
    <n v="0"/>
    <x v="7"/>
    <s v="NA4TE"/>
    <n v="80"/>
    <s v="NA4TE-80"/>
  </r>
  <r>
    <x v="12"/>
    <x v="454"/>
    <s v="0.00-0.00"/>
    <n v="0"/>
    <s v="#26"/>
    <x v="3"/>
    <n v="0"/>
    <n v="0"/>
    <n v="0"/>
    <n v="0"/>
    <x v="7"/>
    <s v="NA5TE"/>
    <n v="79"/>
    <s v="NA5TE-79"/>
  </r>
  <r>
    <x v="8"/>
    <x v="454"/>
    <s v="0.00-0.00"/>
    <n v="0"/>
    <s v="#22"/>
    <x v="3"/>
    <n v="0"/>
    <n v="0"/>
    <n v="0"/>
    <n v="0"/>
    <x v="7"/>
    <s v="NA6TE"/>
    <n v="81"/>
    <s v="NA6TE-81"/>
  </r>
  <r>
    <x v="4"/>
    <x v="454"/>
    <s v="0.00-0.00"/>
    <n v="0"/>
    <s v="#7"/>
    <x v="3"/>
    <n v="0"/>
    <n v="0"/>
    <n v="0"/>
    <n v="0"/>
    <x v="7"/>
    <s v="NA7TE"/>
    <n v="79"/>
    <s v="NA7TE-79"/>
  </r>
  <r>
    <x v="13"/>
    <x v="454"/>
    <s v="0.00-0.00"/>
    <n v="0"/>
    <s v="#3"/>
    <x v="3"/>
    <n v="0"/>
    <n v="0"/>
    <n v="0"/>
    <n v="0"/>
    <x v="7"/>
    <s v="NA8TE"/>
    <n v="77"/>
    <s v="NA8TE-77"/>
  </r>
  <r>
    <x v="7"/>
    <x v="372"/>
    <s v="0.00-0.00"/>
    <n v="0"/>
    <s v="#7"/>
    <x v="3"/>
    <n v="0"/>
    <n v="0"/>
    <n v="0"/>
    <n v="0"/>
    <x v="7"/>
    <s v="NA1TE"/>
    <n v="76"/>
    <s v="NA1TE-76"/>
  </r>
  <r>
    <x v="7"/>
    <x v="492"/>
    <s v="0.00-0.00"/>
    <n v="0"/>
    <s v="#11"/>
    <x v="0"/>
    <n v="0"/>
    <n v="0"/>
    <n v="0"/>
    <n v="0"/>
    <x v="7"/>
    <s v="NA1QB"/>
    <n v="49"/>
    <s v="NA1QB-49"/>
  </r>
  <r>
    <x v="10"/>
    <x v="492"/>
    <s v="0.00-0.00"/>
    <n v="0"/>
    <s v="#19"/>
    <x v="0"/>
    <n v="0"/>
    <n v="0"/>
    <n v="0"/>
    <n v="0"/>
    <x v="7"/>
    <s v="NA2QB"/>
    <n v="49"/>
    <s v="NA2QB-49"/>
  </r>
  <r>
    <x v="16"/>
    <x v="492"/>
    <s v="0.00-0.00"/>
    <n v="0"/>
    <s v="#16"/>
    <x v="0"/>
    <n v="0"/>
    <n v="0"/>
    <n v="0"/>
    <n v="0"/>
    <x v="7"/>
    <s v="NA3QB"/>
    <n v="49"/>
    <s v="NA3QB-49"/>
  </r>
  <r>
    <x v="14"/>
    <x v="492"/>
    <s v="0.00-0.00"/>
    <n v="0"/>
    <s v="#15"/>
    <x v="0"/>
    <n v="0"/>
    <n v="0"/>
    <n v="0"/>
    <n v="0"/>
    <x v="7"/>
    <s v="NA4QB"/>
    <n v="47"/>
    <s v="NA4QB-47"/>
  </r>
  <r>
    <x v="12"/>
    <x v="492"/>
    <s v="0.00-0.00"/>
    <n v="0"/>
    <s v="#2"/>
    <x v="0"/>
    <n v="0"/>
    <n v="0"/>
    <n v="0"/>
    <n v="0"/>
    <x v="7"/>
    <s v="NA5QB"/>
    <n v="46"/>
    <s v="NA5QB-46"/>
  </r>
  <r>
    <x v="8"/>
    <x v="492"/>
    <s v="0.00-0.00"/>
    <n v="0"/>
    <s v="#14"/>
    <x v="0"/>
    <n v="0"/>
    <n v="0"/>
    <n v="0"/>
    <n v="0"/>
    <x v="7"/>
    <s v="NA6QB"/>
    <n v="47"/>
    <s v="NA6QB-47"/>
  </r>
  <r>
    <x v="4"/>
    <x v="492"/>
    <s v="0.00-0.00"/>
    <n v="0"/>
    <s v="#30"/>
    <x v="0"/>
    <n v="0"/>
    <n v="0"/>
    <n v="0"/>
    <n v="0"/>
    <x v="7"/>
    <s v="NA7QB"/>
    <n v="46"/>
    <s v="NA7QB-46"/>
  </r>
  <r>
    <x v="13"/>
    <x v="492"/>
    <s v="0.00-0.00"/>
    <n v="0"/>
    <s v="#7"/>
    <x v="0"/>
    <n v="0"/>
    <n v="0"/>
    <n v="0"/>
    <n v="0"/>
    <x v="7"/>
    <s v="NA8QB"/>
    <n v="43"/>
    <s v="NA8QB-43"/>
  </r>
  <r>
    <x v="2"/>
    <x v="492"/>
    <s v="0.00-0.00"/>
    <n v="0"/>
    <s v="#15"/>
    <x v="0"/>
    <n v="0"/>
    <n v="0"/>
    <n v="0"/>
    <n v="0"/>
    <x v="7"/>
    <s v="NA9QB"/>
    <n v="41"/>
    <s v="NA9QB-41"/>
  </r>
  <r>
    <x v="3"/>
    <x v="492"/>
    <s v="0.00-0.00"/>
    <n v="0"/>
    <s v="#19"/>
    <x v="0"/>
    <n v="0"/>
    <n v="0"/>
    <n v="0"/>
    <n v="0"/>
    <x v="7"/>
    <s v="NA11QB"/>
    <n v="39"/>
    <s v="NA11QB-39"/>
  </r>
  <r>
    <x v="6"/>
    <x v="492"/>
    <s v="0.00-0.00"/>
    <n v="0"/>
    <s v="#25"/>
    <x v="0"/>
    <n v="0"/>
    <n v="0"/>
    <n v="0"/>
    <n v="0"/>
    <x v="7"/>
    <s v="NA12QB"/>
    <n v="48"/>
    <s v="NA12QB-48"/>
  </r>
  <r>
    <x v="5"/>
    <x v="492"/>
    <s v="0.00-0.00"/>
    <n v="0"/>
    <s v="#29"/>
    <x v="0"/>
    <n v="0"/>
    <n v="0"/>
    <n v="0"/>
    <n v="0"/>
    <x v="7"/>
    <s v="NA13QB"/>
    <n v="50"/>
    <s v="NA13QB-50"/>
  </r>
  <r>
    <x v="11"/>
    <x v="492"/>
    <s v="0.00-0.00"/>
    <n v="0"/>
    <s v="#32"/>
    <x v="0"/>
    <n v="0"/>
    <n v="0"/>
    <n v="0"/>
    <n v="0"/>
    <x v="7"/>
    <s v="NA14QB"/>
    <n v="50"/>
    <s v="NA14QB-50"/>
  </r>
  <r>
    <x v="9"/>
    <x v="492"/>
    <s v="0.00-0.00"/>
    <n v="0"/>
    <s v="#31"/>
    <x v="0"/>
    <n v="0"/>
    <n v="0"/>
    <n v="0"/>
    <n v="0"/>
    <x v="7"/>
    <s v="NA15QB"/>
    <n v="50"/>
    <s v="NA15QB-50"/>
  </r>
  <r>
    <x v="1"/>
    <x v="492"/>
    <s v="0.00-0.00"/>
    <n v="0"/>
    <s v="#20"/>
    <x v="0"/>
    <n v="0"/>
    <n v="0"/>
    <n v="0"/>
    <n v="0"/>
    <x v="7"/>
    <s v="NA16QB"/>
    <n v="50"/>
    <s v="NA16QB-50"/>
  </r>
  <r>
    <x v="0"/>
    <x v="492"/>
    <s v="0.00-0.00"/>
    <n v="0"/>
    <s v="#2"/>
    <x v="0"/>
    <n v="0"/>
    <n v="0"/>
    <n v="0"/>
    <n v="0"/>
    <x v="7"/>
    <s v="NA17QB"/>
    <n v="50"/>
    <s v="NA17QB-50"/>
  </r>
  <r>
    <x v="7"/>
    <x v="386"/>
    <s v="0.00-0.00"/>
    <n v="0"/>
    <s v="#19"/>
    <x v="1"/>
    <n v="0"/>
    <n v="0"/>
    <n v="0"/>
    <n v="0"/>
    <x v="7"/>
    <s v="NA1RB"/>
    <n v="64"/>
    <s v="NA1RB-64"/>
  </r>
  <r>
    <x v="10"/>
    <x v="386"/>
    <s v="0.00-0.00"/>
    <n v="0"/>
    <s v="#12"/>
    <x v="1"/>
    <n v="0"/>
    <n v="0"/>
    <n v="0"/>
    <n v="0"/>
    <x v="7"/>
    <s v="NA2RB"/>
    <n v="72"/>
    <s v="NA2RB-72"/>
  </r>
  <r>
    <x v="16"/>
    <x v="386"/>
    <s v="0.00-0.00"/>
    <n v="0"/>
    <s v="#6"/>
    <x v="1"/>
    <n v="0"/>
    <n v="0"/>
    <n v="0"/>
    <n v="0"/>
    <x v="7"/>
    <s v="NA3RB"/>
    <n v="75"/>
    <s v="NA3RB-75"/>
  </r>
  <r>
    <x v="16"/>
    <x v="434"/>
    <s v="0.00-0.00"/>
    <n v="0"/>
    <s v="#4"/>
    <x v="2"/>
    <n v="0"/>
    <n v="0"/>
    <n v="0"/>
    <n v="0"/>
    <x v="7"/>
    <s v="NA3WR"/>
    <n v="116"/>
    <s v="NA3WR-116"/>
  </r>
  <r>
    <x v="7"/>
    <x v="238"/>
    <s v="0.00-0.00"/>
    <n v="0"/>
    <s v="#30"/>
    <x v="1"/>
    <n v="0"/>
    <n v="0"/>
    <n v="0"/>
    <n v="0"/>
    <x v="7"/>
    <s v="NA1RB"/>
    <n v="65"/>
    <s v="NA1RB-65"/>
  </r>
  <r>
    <x v="10"/>
    <x v="238"/>
    <s v="0.00-0.00"/>
    <n v="0"/>
    <s v="#6"/>
    <x v="1"/>
    <n v="0"/>
    <n v="0"/>
    <n v="0"/>
    <n v="0"/>
    <x v="7"/>
    <s v="NA2RB"/>
    <n v="73"/>
    <s v="NA2RB-73"/>
  </r>
  <r>
    <x v="16"/>
    <x v="238"/>
    <s v="0.00-0.00"/>
    <n v="0"/>
    <s v="#15"/>
    <x v="1"/>
    <n v="0"/>
    <n v="0"/>
    <n v="0"/>
    <n v="0"/>
    <x v="7"/>
    <s v="NA3RB"/>
    <n v="76"/>
    <s v="NA3RB-76"/>
  </r>
  <r>
    <x v="14"/>
    <x v="60"/>
    <s v="0.00-0.00"/>
    <n v="0"/>
    <s v="#8"/>
    <x v="0"/>
    <n v="0"/>
    <n v="0"/>
    <n v="0"/>
    <n v="0"/>
    <x v="7"/>
    <s v="NA4QB"/>
    <n v="48"/>
    <s v="NA4QB-48"/>
  </r>
  <r>
    <x v="12"/>
    <x v="60"/>
    <s v="0.00-0.00"/>
    <n v="0"/>
    <s v="#18"/>
    <x v="0"/>
    <n v="0"/>
    <n v="0"/>
    <n v="0"/>
    <n v="0"/>
    <x v="7"/>
    <s v="NA5QB"/>
    <n v="47"/>
    <s v="NA5QB-47"/>
  </r>
  <r>
    <x v="8"/>
    <x v="60"/>
    <s v="0.00-0.00"/>
    <n v="0"/>
    <s v="#26"/>
    <x v="0"/>
    <n v="0"/>
    <n v="0"/>
    <n v="0"/>
    <n v="0"/>
    <x v="7"/>
    <s v="NA6QB"/>
    <n v="48"/>
    <s v="NA6QB-48"/>
  </r>
  <r>
    <x v="4"/>
    <x v="60"/>
    <s v="0.00-0.00"/>
    <n v="0"/>
    <s v="#16"/>
    <x v="0"/>
    <n v="0"/>
    <n v="0"/>
    <n v="0"/>
    <n v="0"/>
    <x v="7"/>
    <s v="NA7QB"/>
    <n v="47"/>
    <s v="NA7QB-47"/>
  </r>
  <r>
    <x v="13"/>
    <x v="60"/>
    <s v="0.00-0.00"/>
    <n v="0"/>
    <s v="#18"/>
    <x v="0"/>
    <n v="0"/>
    <n v="0"/>
    <n v="0"/>
    <n v="0"/>
    <x v="7"/>
    <s v="NA8QB"/>
    <n v="44"/>
    <s v="NA8QB-44"/>
  </r>
  <r>
    <x v="15"/>
    <x v="60"/>
    <s v="0.00-0.00"/>
    <n v="0"/>
    <s v="#32"/>
    <x v="0"/>
    <n v="0"/>
    <n v="0"/>
    <n v="0"/>
    <n v="0"/>
    <x v="7"/>
    <s v="NA10QB"/>
    <n v="42"/>
    <s v="NA10QB-42"/>
  </r>
  <r>
    <x v="3"/>
    <x v="60"/>
    <s v="0.00-0.00"/>
    <n v="0"/>
    <s v="#25"/>
    <x v="0"/>
    <n v="0"/>
    <n v="0"/>
    <n v="0"/>
    <n v="0"/>
    <x v="7"/>
    <s v="NA11QB"/>
    <n v="40"/>
    <s v="NA11QB-40"/>
  </r>
  <r>
    <x v="6"/>
    <x v="60"/>
    <s v="0.00-0.00"/>
    <n v="0"/>
    <s v="#20"/>
    <x v="0"/>
    <n v="0"/>
    <n v="0"/>
    <n v="0"/>
    <n v="0"/>
    <x v="7"/>
    <s v="NA12QB"/>
    <n v="49"/>
    <s v="NA12QB-49"/>
  </r>
  <r>
    <x v="5"/>
    <x v="60"/>
    <s v="0.00-0.00"/>
    <n v="0"/>
    <s v="#21"/>
    <x v="0"/>
    <n v="0"/>
    <n v="0"/>
    <n v="0"/>
    <n v="0"/>
    <x v="7"/>
    <s v="NA13QB"/>
    <n v="51"/>
    <s v="NA13QB-51"/>
  </r>
  <r>
    <x v="11"/>
    <x v="60"/>
    <s v="0.00-0.00"/>
    <n v="0"/>
    <s v="#28"/>
    <x v="0"/>
    <n v="0"/>
    <n v="0"/>
    <n v="0"/>
    <n v="0"/>
    <x v="7"/>
    <s v="NA14QB"/>
    <n v="51"/>
    <s v="NA14QB-51"/>
  </r>
  <r>
    <x v="9"/>
    <x v="60"/>
    <s v="0.00-0.00"/>
    <n v="0"/>
    <s v="#29"/>
    <x v="0"/>
    <n v="0"/>
    <n v="0"/>
    <n v="0"/>
    <n v="0"/>
    <x v="7"/>
    <s v="NA15QB"/>
    <n v="51"/>
    <s v="NA15QB-51"/>
  </r>
  <r>
    <x v="1"/>
    <x v="60"/>
    <s v="0.00-0.00"/>
    <n v="0"/>
    <s v="#10"/>
    <x v="0"/>
    <n v="0"/>
    <n v="0"/>
    <n v="0"/>
    <n v="0"/>
    <x v="7"/>
    <s v="NA16QB"/>
    <n v="51"/>
    <s v="NA16QB-51"/>
  </r>
  <r>
    <x v="0"/>
    <x v="60"/>
    <s v="0.00-0.00"/>
    <n v="0"/>
    <s v="#8"/>
    <x v="0"/>
    <n v="0"/>
    <n v="0"/>
    <n v="0"/>
    <n v="0"/>
    <x v="7"/>
    <s v="NA17QB"/>
    <n v="51"/>
    <s v="NA17QB-51"/>
  </r>
  <r>
    <x v="7"/>
    <x v="424"/>
    <s v="0.00-0.00"/>
    <n v="0"/>
    <s v="#13"/>
    <x v="1"/>
    <n v="0"/>
    <n v="0"/>
    <n v="0"/>
    <n v="0"/>
    <x v="7"/>
    <s v="NA1RB"/>
    <n v="66"/>
    <s v="NA1RB-66"/>
  </r>
  <r>
    <x v="10"/>
    <x v="424"/>
    <s v="0.00-0.00"/>
    <n v="0"/>
    <s v="#9"/>
    <x v="1"/>
    <n v="0"/>
    <n v="0"/>
    <n v="0"/>
    <n v="0"/>
    <x v="7"/>
    <s v="NA2RB"/>
    <n v="74"/>
    <s v="NA2RB-74"/>
  </r>
  <r>
    <x v="16"/>
    <x v="424"/>
    <s v="0.00-0.00"/>
    <n v="0"/>
    <s v="#21"/>
    <x v="1"/>
    <n v="0"/>
    <n v="0"/>
    <n v="0"/>
    <n v="0"/>
    <x v="7"/>
    <s v="NA3RB"/>
    <n v="77"/>
    <s v="NA3RB-77"/>
  </r>
  <r>
    <x v="10"/>
    <x v="344"/>
    <s v="0.00-0.00"/>
    <n v="0"/>
    <s v="#14"/>
    <x v="2"/>
    <n v="0"/>
    <n v="0"/>
    <n v="0"/>
    <n v="0"/>
    <x v="7"/>
    <s v="NA2WR"/>
    <n v="113"/>
    <s v="NA2WR-113"/>
  </r>
  <r>
    <x v="16"/>
    <x v="344"/>
    <s v="0.00-0.00"/>
    <n v="0"/>
    <s v="#22"/>
    <x v="2"/>
    <n v="0"/>
    <n v="0"/>
    <n v="0"/>
    <n v="0"/>
    <x v="7"/>
    <s v="NA3WR"/>
    <n v="117"/>
    <s v="NA3WR-117"/>
  </r>
  <r>
    <x v="10"/>
    <x v="294"/>
    <s v="0.00-0.00"/>
    <n v="0"/>
    <s v="#30"/>
    <x v="3"/>
    <n v="0"/>
    <n v="0"/>
    <n v="0"/>
    <n v="0"/>
    <x v="7"/>
    <s v="NA2TE"/>
    <n v="83"/>
    <s v="NA2TE-83"/>
  </r>
  <r>
    <x v="16"/>
    <x v="294"/>
    <s v="0.00-0.00"/>
    <n v="0"/>
    <s v="#4"/>
    <x v="3"/>
    <n v="0"/>
    <n v="0"/>
    <n v="0"/>
    <n v="0"/>
    <x v="7"/>
    <s v="NA3TE"/>
    <n v="85"/>
    <s v="NA3TE-85"/>
  </r>
  <r>
    <x v="14"/>
    <x v="294"/>
    <s v="0.00-0.00"/>
    <n v="0"/>
    <s v="#25"/>
    <x v="3"/>
    <n v="0"/>
    <n v="0"/>
    <n v="0"/>
    <n v="0"/>
    <x v="7"/>
    <s v="NA4TE"/>
    <n v="81"/>
    <s v="NA4TE-81"/>
  </r>
  <r>
    <x v="16"/>
    <x v="244"/>
    <s v="0.00-0.00"/>
    <n v="0"/>
    <s v="#24"/>
    <x v="2"/>
    <n v="0"/>
    <n v="0"/>
    <n v="0"/>
    <n v="0"/>
    <x v="7"/>
    <s v="NA3WR"/>
    <n v="118"/>
    <s v="NA3WR-118"/>
  </r>
  <r>
    <x v="14"/>
    <x v="310"/>
    <s v="0.00-0.00"/>
    <n v="0"/>
    <s v="#5"/>
    <x v="1"/>
    <n v="0"/>
    <n v="0"/>
    <n v="0"/>
    <n v="0"/>
    <x v="7"/>
    <s v="NA4RB"/>
    <n v="78"/>
    <s v="NA4RB-78"/>
  </r>
  <r>
    <x v="7"/>
    <x v="65"/>
    <s v="0.00-0.00"/>
    <n v="0"/>
    <s v="#27"/>
    <x v="1"/>
    <n v="0"/>
    <n v="0"/>
    <n v="0"/>
    <n v="0"/>
    <x v="2"/>
    <s v="devon1RB"/>
    <n v="6"/>
    <s v="devon1RB-6"/>
  </r>
  <r>
    <x v="16"/>
    <x v="430"/>
    <s v="0.00-0.00"/>
    <n v="0"/>
    <s v="#5"/>
    <x v="1"/>
    <n v="0"/>
    <n v="0"/>
    <n v="0"/>
    <n v="0"/>
    <x v="7"/>
    <s v="NA3RB"/>
    <n v="78"/>
    <s v="NA3RB-78"/>
  </r>
  <r>
    <x v="14"/>
    <x v="430"/>
    <s v="0.00-0.00"/>
    <n v="0"/>
    <s v="#8"/>
    <x v="1"/>
    <n v="0"/>
    <n v="0"/>
    <n v="0"/>
    <n v="0"/>
    <x v="7"/>
    <s v="NA4RB"/>
    <n v="79"/>
    <s v="NA4RB-79"/>
  </r>
  <r>
    <x v="12"/>
    <x v="67"/>
    <s v="0.00-0.00"/>
    <n v="0"/>
    <s v="#17"/>
    <x v="2"/>
    <n v="0"/>
    <n v="0"/>
    <n v="0"/>
    <n v="0"/>
    <x v="8"/>
    <s v="comp5WR"/>
    <n v="7"/>
    <s v="comp5WR-7"/>
  </r>
  <r>
    <x v="7"/>
    <x v="493"/>
    <s v="0.00-0.00"/>
    <n v="0"/>
    <s v="#23"/>
    <x v="0"/>
    <n v="0"/>
    <n v="0"/>
    <n v="0"/>
    <n v="0"/>
    <x v="7"/>
    <s v="NA1QB"/>
    <n v="50"/>
    <s v="NA1QB-50"/>
  </r>
  <r>
    <x v="10"/>
    <x v="493"/>
    <s v="0.00-0.00"/>
    <n v="0"/>
    <s v="#29"/>
    <x v="0"/>
    <n v="0"/>
    <n v="0"/>
    <n v="0"/>
    <n v="0"/>
    <x v="7"/>
    <s v="NA2QB"/>
    <n v="50"/>
    <s v="NA2QB-50"/>
  </r>
  <r>
    <x v="16"/>
    <x v="493"/>
    <s v="0.00-0.00"/>
    <n v="0"/>
    <s v="#19"/>
    <x v="0"/>
    <n v="0"/>
    <n v="0"/>
    <n v="0"/>
    <n v="0"/>
    <x v="7"/>
    <s v="NA3QB"/>
    <n v="50"/>
    <s v="NA3QB-50"/>
  </r>
  <r>
    <x v="12"/>
    <x v="493"/>
    <s v="0.00-0.00"/>
    <n v="0"/>
    <s v="#22"/>
    <x v="0"/>
    <n v="0"/>
    <n v="0"/>
    <n v="0"/>
    <n v="0"/>
    <x v="7"/>
    <s v="NA5QB"/>
    <n v="48"/>
    <s v="NA5QB-48"/>
  </r>
  <r>
    <x v="8"/>
    <x v="493"/>
    <s v="0.00-0.00"/>
    <n v="0"/>
    <s v="#12"/>
    <x v="0"/>
    <n v="0"/>
    <n v="0"/>
    <n v="0"/>
    <n v="0"/>
    <x v="7"/>
    <s v="NA6QB"/>
    <n v="49"/>
    <s v="NA6QB-49"/>
  </r>
  <r>
    <x v="4"/>
    <x v="493"/>
    <s v="0.00-0.00"/>
    <n v="0"/>
    <s v="#6"/>
    <x v="0"/>
    <n v="0"/>
    <n v="0"/>
    <n v="0"/>
    <n v="0"/>
    <x v="7"/>
    <s v="NA7QB"/>
    <n v="48"/>
    <s v="NA7QB-48"/>
  </r>
  <r>
    <x v="13"/>
    <x v="493"/>
    <s v="0.00-0.00"/>
    <n v="0"/>
    <s v="#1"/>
    <x v="0"/>
    <n v="0"/>
    <n v="0"/>
    <n v="0"/>
    <n v="0"/>
    <x v="7"/>
    <s v="NA8QB"/>
    <n v="45"/>
    <s v="NA8QB-45"/>
  </r>
  <r>
    <x v="2"/>
    <x v="493"/>
    <s v="0.00-0.00"/>
    <n v="0"/>
    <s v="#31"/>
    <x v="0"/>
    <n v="0"/>
    <n v="0"/>
    <n v="0"/>
    <n v="0"/>
    <x v="7"/>
    <s v="NA9QB"/>
    <n v="42"/>
    <s v="NA9QB-42"/>
  </r>
  <r>
    <x v="15"/>
    <x v="493"/>
    <s v="0.00-0.00"/>
    <n v="0"/>
    <s v="#15"/>
    <x v="0"/>
    <n v="0"/>
    <n v="0"/>
    <n v="0"/>
    <n v="0"/>
    <x v="7"/>
    <s v="NA10QB"/>
    <n v="43"/>
    <s v="NA10QB-43"/>
  </r>
  <r>
    <x v="3"/>
    <x v="493"/>
    <s v="0.00-0.00"/>
    <n v="0"/>
    <s v="#28"/>
    <x v="0"/>
    <n v="0"/>
    <n v="0"/>
    <n v="0"/>
    <n v="0"/>
    <x v="7"/>
    <s v="NA11QB"/>
    <n v="41"/>
    <s v="NA11QB-41"/>
  </r>
  <r>
    <x v="6"/>
    <x v="493"/>
    <s v="0.00-0.00"/>
    <n v="0"/>
    <s v="#8"/>
    <x v="0"/>
    <n v="0"/>
    <n v="0"/>
    <n v="0"/>
    <n v="0"/>
    <x v="7"/>
    <s v="NA12QB"/>
    <n v="50"/>
    <s v="NA12QB-50"/>
  </r>
  <r>
    <x v="5"/>
    <x v="493"/>
    <s v="0.00-0.00"/>
    <n v="0"/>
    <s v="#31"/>
    <x v="0"/>
    <n v="0"/>
    <n v="0"/>
    <n v="0"/>
    <n v="0"/>
    <x v="7"/>
    <s v="NA13QB"/>
    <n v="52"/>
    <s v="NA13QB-52"/>
  </r>
  <r>
    <x v="11"/>
    <x v="493"/>
    <s v="0.00-0.00"/>
    <n v="0"/>
    <s v="#2"/>
    <x v="0"/>
    <n v="0"/>
    <n v="0"/>
    <n v="0"/>
    <n v="0"/>
    <x v="7"/>
    <s v="NA14QB"/>
    <n v="52"/>
    <s v="NA14QB-52"/>
  </r>
  <r>
    <x v="9"/>
    <x v="493"/>
    <s v="0.00-0.00"/>
    <n v="0"/>
    <s v="#30"/>
    <x v="0"/>
    <n v="0"/>
    <n v="0"/>
    <n v="0"/>
    <n v="0"/>
    <x v="7"/>
    <s v="NA15QB"/>
    <n v="52"/>
    <s v="NA15QB-52"/>
  </r>
  <r>
    <x v="1"/>
    <x v="493"/>
    <s v="0.00-0.00"/>
    <n v="0"/>
    <s v="#29"/>
    <x v="0"/>
    <n v="0"/>
    <n v="0"/>
    <n v="0"/>
    <n v="0"/>
    <x v="7"/>
    <s v="NA16QB"/>
    <n v="52"/>
    <s v="NA16QB-52"/>
  </r>
  <r>
    <x v="0"/>
    <x v="493"/>
    <s v="0.00-0.00"/>
    <n v="0"/>
    <s v="#30"/>
    <x v="0"/>
    <n v="0"/>
    <n v="0"/>
    <n v="0"/>
    <n v="0"/>
    <x v="7"/>
    <s v="NA17QB"/>
    <n v="52"/>
    <s v="NA17QB-52"/>
  </r>
  <r>
    <x v="7"/>
    <x v="275"/>
    <s v="0.00-0.00"/>
    <n v="0"/>
    <s v="#31"/>
    <x v="0"/>
    <n v="0"/>
    <n v="0"/>
    <n v="0"/>
    <n v="0"/>
    <x v="7"/>
    <s v="NA1QB"/>
    <n v="51"/>
    <s v="NA1QB-51"/>
  </r>
  <r>
    <x v="10"/>
    <x v="275"/>
    <s v="0.00-0.00"/>
    <n v="0"/>
    <s v="#2"/>
    <x v="0"/>
    <n v="0"/>
    <n v="0"/>
    <n v="0"/>
    <n v="0"/>
    <x v="7"/>
    <s v="NA2QB"/>
    <n v="51"/>
    <s v="NA2QB-51"/>
  </r>
  <r>
    <x v="16"/>
    <x v="275"/>
    <s v="0.00-0.00"/>
    <n v="0"/>
    <s v="#29"/>
    <x v="0"/>
    <n v="0"/>
    <n v="0"/>
    <n v="0"/>
    <n v="0"/>
    <x v="7"/>
    <s v="NA3QB"/>
    <n v="51"/>
    <s v="NA3QB-51"/>
  </r>
  <r>
    <x v="14"/>
    <x v="275"/>
    <s v="0.00-0.00"/>
    <n v="0"/>
    <s v="#22"/>
    <x v="0"/>
    <n v="0"/>
    <n v="0"/>
    <n v="0"/>
    <n v="0"/>
    <x v="7"/>
    <s v="NA4QB"/>
    <n v="49"/>
    <s v="NA4QB-49"/>
  </r>
  <r>
    <x v="14"/>
    <x v="258"/>
    <s v="0.00-0.00"/>
    <n v="0"/>
    <s v="#28"/>
    <x v="2"/>
    <n v="0"/>
    <n v="0"/>
    <n v="0"/>
    <n v="0"/>
    <x v="7"/>
    <s v="NA4WR"/>
    <n v="113"/>
    <s v="NA4WR-113"/>
  </r>
  <r>
    <x v="16"/>
    <x v="435"/>
    <s v="0.00-0.00"/>
    <n v="0"/>
    <s v="#7"/>
    <x v="1"/>
    <n v="0"/>
    <n v="0"/>
    <n v="0"/>
    <n v="0"/>
    <x v="7"/>
    <s v="NA3RB"/>
    <n v="79"/>
    <s v="NA3RB-79"/>
  </r>
  <r>
    <x v="14"/>
    <x v="435"/>
    <s v="0.00-0.00"/>
    <n v="0"/>
    <s v="#29"/>
    <x v="1"/>
    <n v="0"/>
    <n v="0"/>
    <n v="0"/>
    <n v="0"/>
    <x v="7"/>
    <s v="NA4RB"/>
    <n v="80"/>
    <s v="NA4RB-80"/>
  </r>
  <r>
    <x v="10"/>
    <x v="282"/>
    <s v="0.00-0.00"/>
    <n v="0"/>
    <s v="#11"/>
    <x v="2"/>
    <n v="0"/>
    <n v="0"/>
    <n v="0"/>
    <n v="0"/>
    <x v="7"/>
    <s v="NA2WR"/>
    <n v="114"/>
    <s v="NA2WR-114"/>
  </r>
  <r>
    <x v="16"/>
    <x v="282"/>
    <s v="0.00-0.00"/>
    <n v="0"/>
    <s v="#10"/>
    <x v="2"/>
    <n v="0"/>
    <n v="0"/>
    <n v="0"/>
    <n v="0"/>
    <x v="7"/>
    <s v="NA3WR"/>
    <n v="119"/>
    <s v="NA3WR-119"/>
  </r>
  <r>
    <x v="12"/>
    <x v="282"/>
    <s v="0.00-0.00"/>
    <n v="0"/>
    <s v="#25"/>
    <x v="2"/>
    <n v="0"/>
    <n v="0"/>
    <n v="0"/>
    <n v="0"/>
    <x v="7"/>
    <s v="NA5WR"/>
    <n v="120"/>
    <s v="NA5WR-120"/>
  </r>
  <r>
    <x v="16"/>
    <x v="406"/>
    <s v="0.00-0.00"/>
    <n v="0"/>
    <s v="#21"/>
    <x v="2"/>
    <n v="0"/>
    <n v="0"/>
    <n v="0"/>
    <n v="0"/>
    <x v="7"/>
    <s v="NA3WR"/>
    <n v="120"/>
    <s v="NA3WR-120"/>
  </r>
  <r>
    <x v="12"/>
    <x v="406"/>
    <s v="0.00-0.00"/>
    <n v="0"/>
    <s v="#30"/>
    <x v="2"/>
    <n v="0"/>
    <n v="0"/>
    <n v="0"/>
    <n v="0"/>
    <x v="7"/>
    <s v="NA5WR"/>
    <n v="121"/>
    <s v="NA5WR-121"/>
  </r>
  <r>
    <x v="8"/>
    <x v="406"/>
    <s v="0.00-0.00"/>
    <n v="0"/>
    <s v="#7"/>
    <x v="2"/>
    <n v="0"/>
    <n v="0"/>
    <n v="0"/>
    <n v="0"/>
    <x v="7"/>
    <s v="NA6WR"/>
    <n v="122"/>
    <s v="NA6WR-122"/>
  </r>
  <r>
    <x v="4"/>
    <x v="406"/>
    <s v="0.00-0.00"/>
    <n v="0"/>
    <s v="#23"/>
    <x v="2"/>
    <n v="0"/>
    <n v="0"/>
    <n v="0"/>
    <n v="0"/>
    <x v="7"/>
    <s v="NA7WR"/>
    <n v="115"/>
    <s v="NA7WR-115"/>
  </r>
  <r>
    <x v="13"/>
    <x v="406"/>
    <s v="0.00-0.00"/>
    <n v="0"/>
    <s v="#22"/>
    <x v="2"/>
    <n v="0"/>
    <n v="0"/>
    <n v="0"/>
    <n v="0"/>
    <x v="7"/>
    <s v="NA8WR"/>
    <n v="110"/>
    <s v="NA8WR-110"/>
  </r>
  <r>
    <x v="2"/>
    <x v="406"/>
    <s v="0.00-0.00"/>
    <n v="0"/>
    <s v="#29"/>
    <x v="2"/>
    <n v="0"/>
    <n v="0"/>
    <n v="0"/>
    <n v="0"/>
    <x v="7"/>
    <s v="NA9WR"/>
    <n v="106"/>
    <s v="NA9WR-106"/>
  </r>
  <r>
    <x v="14"/>
    <x v="36"/>
    <s v="0.00-0.00"/>
    <n v="0"/>
    <s v="#25"/>
    <x v="0"/>
    <n v="0"/>
    <n v="0"/>
    <n v="0"/>
    <n v="0"/>
    <x v="7"/>
    <s v="NA4QB"/>
    <n v="50"/>
    <s v="NA4QB-50"/>
  </r>
  <r>
    <x v="7"/>
    <x v="196"/>
    <s v="0.00-0.00"/>
    <n v="0"/>
    <s v="#2"/>
    <x v="3"/>
    <n v="0"/>
    <n v="0"/>
    <n v="0"/>
    <n v="0"/>
    <x v="4"/>
    <s v="scott1TE"/>
    <n v="2"/>
    <s v="scott1TE-2"/>
  </r>
  <r>
    <x v="7"/>
    <x v="368"/>
    <s v="0.00-0.00"/>
    <n v="0"/>
    <s v="#26"/>
    <x v="2"/>
    <n v="0"/>
    <n v="0"/>
    <n v="0"/>
    <n v="0"/>
    <x v="7"/>
    <s v="NA1WR"/>
    <n v="102"/>
    <s v="NA1WR-102"/>
  </r>
  <r>
    <x v="10"/>
    <x v="368"/>
    <s v="0.00-0.00"/>
    <n v="0"/>
    <s v="#28"/>
    <x v="2"/>
    <n v="0"/>
    <n v="0"/>
    <n v="0"/>
    <n v="0"/>
    <x v="7"/>
    <s v="NA2WR"/>
    <n v="115"/>
    <s v="NA2WR-115"/>
  </r>
  <r>
    <x v="14"/>
    <x v="332"/>
    <s v="0.00-0.00"/>
    <n v="0"/>
    <s v="#9"/>
    <x v="2"/>
    <n v="0"/>
    <n v="0"/>
    <n v="0"/>
    <n v="0"/>
    <x v="7"/>
    <s v="NA4WR"/>
    <n v="114"/>
    <s v="NA4WR-114"/>
  </r>
  <r>
    <x v="7"/>
    <x v="99"/>
    <s v="0.00-0.00"/>
    <n v="0"/>
    <s v="#17"/>
    <x v="2"/>
    <n v="0"/>
    <n v="0"/>
    <n v="0"/>
    <n v="0"/>
    <x v="1"/>
    <s v="perry1WR"/>
    <n v="5"/>
    <s v="perry1WR-5"/>
  </r>
</pivotCacheRecords>
</file>

<file path=xl/pivotCache/pivotCacheRecords2.xml><?xml version="1.0" encoding="utf-8"?>
<pivotCacheRecords xmlns="http://schemas.openxmlformats.org/spreadsheetml/2006/main" xmlns:r="http://schemas.openxmlformats.org/officeDocument/2006/relationships" count="500">
  <r>
    <x v="0"/>
    <x v="0"/>
    <s v="devon-1"/>
    <s v="WR-1"/>
    <n v="13.2"/>
    <m/>
    <n v="13.2"/>
    <n v="0"/>
    <n v="0"/>
    <s v="devon-1WR-1"/>
    <s v="A.J. Green1"/>
    <s v="FLEX"/>
    <n v="1"/>
    <n v="741"/>
    <n v="12.65"/>
    <n v="45.024099999999997"/>
    <s v="WR"/>
    <x v="0"/>
    <x v="0"/>
  </r>
  <r>
    <x v="0"/>
    <x v="1"/>
    <s v="devon-2"/>
    <s v="WR-1"/>
    <n v="24.9"/>
    <m/>
    <n v="24.9"/>
    <n v="0"/>
    <n v="0"/>
    <s v="devon-2WR-1"/>
    <s v="A.J. Green2"/>
    <s v="FLEX"/>
    <n v="1"/>
    <n v="957"/>
    <n v="10.69"/>
    <n v="53.5824"/>
    <s v="WR"/>
    <x v="0"/>
    <x v="0"/>
  </r>
  <r>
    <x v="0"/>
    <x v="2"/>
    <s v="devon-3"/>
    <s v="WR-1"/>
    <n v="5.8"/>
    <m/>
    <n v="5.8"/>
    <n v="0"/>
    <n v="0"/>
    <s v="devon-3WR-1"/>
    <s v="A.J. Green3"/>
    <s v="FLEX"/>
    <n v="1"/>
    <n v="821"/>
    <n v="11.96"/>
    <n v="43.692100000000003"/>
    <s v="WR"/>
    <x v="0"/>
    <x v="0"/>
  </r>
  <r>
    <x v="0"/>
    <x v="3"/>
    <s v="devon-4"/>
    <s v="WR-1"/>
    <n v="13.8"/>
    <m/>
    <n v="13.8"/>
    <n v="0"/>
    <n v="0"/>
    <s v="devon-4WR-1"/>
    <s v="A.J. Green4"/>
    <s v="FLEX"/>
    <n v="1"/>
    <n v="1162"/>
    <n v="9.6"/>
    <n v="32.49"/>
    <s v="WR"/>
    <x v="0"/>
    <x v="0"/>
  </r>
  <r>
    <x v="0"/>
    <x v="4"/>
    <s v="devon-5"/>
    <s v="WR-1"/>
    <s v="--"/>
    <m/>
    <n v="11.17"/>
    <n v="7.33"/>
    <n v="53.728900000000003"/>
    <s v="devon-5WR-1"/>
    <s v="A.J. Green5"/>
    <s v="FLEX"/>
    <n v="1"/>
    <n v="906"/>
    <n v="11.17"/>
    <n v="53.728900000000003"/>
    <s v="WR"/>
    <x v="0"/>
    <x v="1"/>
  </r>
  <r>
    <x v="1"/>
    <x v="0"/>
    <s v="cory-1"/>
    <s v="QB-1"/>
    <n v="24.9"/>
    <m/>
    <n v="24.9"/>
    <n v="0"/>
    <n v="0"/>
    <s v="cory-1QB-1"/>
    <s v="Aaron Rodgers1"/>
    <s v="FLEX"/>
    <n v="1"/>
    <n v="39"/>
    <n v="22.36"/>
    <n v="82.81"/>
    <s v="QB"/>
    <x v="1"/>
    <x v="2"/>
  </r>
  <r>
    <x v="1"/>
    <x v="1"/>
    <s v="cory-2"/>
    <s v="QB-1"/>
    <n v="16"/>
    <m/>
    <n v="16"/>
    <n v="0"/>
    <n v="0"/>
    <s v="cory-2QB-1"/>
    <s v="Aaron Rodgers2"/>
    <s v="FLEX"/>
    <n v="1"/>
    <n v="171"/>
    <n v="19.52"/>
    <n v="77.264099999999999"/>
    <s v="QB"/>
    <x v="1"/>
    <x v="2"/>
  </r>
  <r>
    <x v="1"/>
    <x v="2"/>
    <s v="cory-3"/>
    <s v="QB-1"/>
    <n v="19.899999999999999"/>
    <m/>
    <n v="19.899999999999999"/>
    <n v="0"/>
    <n v="0"/>
    <s v="cory-3QB-1"/>
    <s v="Aaron Rodgers3"/>
    <s v="FLEX"/>
    <n v="1"/>
    <n v="99"/>
    <n v="20.7"/>
    <n v="63.043599999999998"/>
    <s v="QB"/>
    <x v="1"/>
    <x v="2"/>
  </r>
  <r>
    <x v="1"/>
    <x v="3"/>
    <s v="cory-4"/>
    <s v="QB-1"/>
    <n v="15"/>
    <m/>
    <n v="15"/>
    <n v="0"/>
    <n v="0"/>
    <s v="cory-4QB-1"/>
    <s v="Aaron Rodgers4"/>
    <s v="FLEX"/>
    <n v="1"/>
    <n v="35"/>
    <n v="22.61"/>
    <n v="50.41"/>
    <s v="QB"/>
    <x v="1"/>
    <x v="2"/>
  </r>
  <r>
    <x v="1"/>
    <x v="4"/>
    <s v="cory-5"/>
    <s v="QB-1"/>
    <s v="--"/>
    <m/>
    <n v="21.59"/>
    <n v="8.4"/>
    <n v="70.56"/>
    <s v="cory-5QB-1"/>
    <s v="Aaron Rodgers5"/>
    <s v="FLEX"/>
    <n v="1"/>
    <n v="56"/>
    <n v="21.59"/>
    <n v="70.56"/>
    <s v="QB"/>
    <x v="1"/>
    <x v="1"/>
  </r>
  <r>
    <x v="2"/>
    <x v="0"/>
    <s v="seth-1"/>
    <s v="WR-2"/>
    <n v="10.199999999999999"/>
    <m/>
    <n v="10.199999999999999"/>
    <n v="0"/>
    <n v="0"/>
    <s v="seth-1WR-2"/>
    <s v="Adam Thielen1"/>
    <s v="FLEX"/>
    <n v="1"/>
    <n v="919"/>
    <n v="11.05"/>
    <n v="60.372900000000001"/>
    <s v="WR"/>
    <x v="0"/>
    <x v="3"/>
  </r>
  <r>
    <x v="2"/>
    <x v="1"/>
    <s v="seth-2"/>
    <s v="WR-2"/>
    <n v="19.100000000000001"/>
    <m/>
    <n v="19.100000000000001"/>
    <n v="0"/>
    <n v="0"/>
    <s v="seth-2WR-2"/>
    <s v="Adam Thielen2"/>
    <s v="FLEX"/>
    <n v="1"/>
    <n v="1061"/>
    <n v="10.029999999999999"/>
    <n v="57.002499999999998"/>
    <s v="WR"/>
    <x v="0"/>
    <x v="3"/>
  </r>
  <r>
    <x v="2"/>
    <x v="2"/>
    <s v="seth-3"/>
    <s v="WR-2"/>
    <n v="10.5"/>
    <m/>
    <n v="10.5"/>
    <n v="0"/>
    <n v="0"/>
    <s v="seth-3WR-2"/>
    <s v="Adam Thielen3"/>
    <s v="FLEX"/>
    <n v="1"/>
    <n v="882"/>
    <n v="11.35"/>
    <n v="42.380099999999999"/>
    <s v="WR"/>
    <x v="0"/>
    <x v="3"/>
  </r>
  <r>
    <x v="2"/>
    <x v="3"/>
    <s v="seth-4"/>
    <s v="WR-2"/>
    <n v="19.5"/>
    <m/>
    <n v="19.5"/>
    <n v="0"/>
    <n v="0"/>
    <s v="seth-4WR-2"/>
    <s v="Adam Thielen4"/>
    <s v="FLEX"/>
    <n v="1"/>
    <n v="1121"/>
    <n v="9.7799999999999994"/>
    <n v="26.419599999999999"/>
    <s v="WR"/>
    <x v="0"/>
    <x v="3"/>
  </r>
  <r>
    <x v="2"/>
    <x v="4"/>
    <s v="seth-5"/>
    <s v="WR-2"/>
    <s v="--"/>
    <m/>
    <n v="12.27"/>
    <n v="7.11"/>
    <n v="50.552100000000003"/>
    <s v="seth-5WR-2"/>
    <s v="Adam Thielen5"/>
    <s v="FLEX"/>
    <n v="1"/>
    <n v="786"/>
    <n v="12.27"/>
    <n v="50.552100000000003"/>
    <s v="WR"/>
    <x v="0"/>
    <x v="1"/>
  </r>
  <r>
    <x v="3"/>
    <x v="1"/>
    <s v="comp-2"/>
    <s v="WR/RB"/>
    <n v="5"/>
    <m/>
    <n v="5"/>
    <n v="0"/>
    <n v="0"/>
    <s v="comp-2WR/RB"/>
    <s v="Adrian Peterson2"/>
    <s v="FLEX"/>
    <n v="1"/>
    <n v="1203"/>
    <n v="9.35"/>
    <n v="74.132099999999994"/>
    <s v="WR/RB"/>
    <x v="2"/>
    <x v="4"/>
  </r>
  <r>
    <x v="3"/>
    <x v="2"/>
    <s v="comp-3"/>
    <s v="RB-2"/>
    <n v="24"/>
    <m/>
    <n v="24"/>
    <n v="0"/>
    <n v="0"/>
    <s v="comp-3RB-2"/>
    <s v="Adrian Peterson3"/>
    <s v="FLEX"/>
    <n v="1"/>
    <n v="1210"/>
    <n v="9.32"/>
    <n v="19.272099999999998"/>
    <s v="RB"/>
    <x v="2"/>
    <x v="4"/>
  </r>
  <r>
    <x v="3"/>
    <x v="4"/>
    <s v="comp-5"/>
    <s v="RB-2"/>
    <s v="--"/>
    <m/>
    <n v="9.69"/>
    <n v="9.25"/>
    <n v="85.5625"/>
    <s v="comp-5RB-2"/>
    <s v="Adrian Peterson5"/>
    <s v="FLEX"/>
    <n v="1"/>
    <n v="1142"/>
    <n v="9.69"/>
    <n v="85.5625"/>
    <s v="RB"/>
    <x v="2"/>
    <x v="1"/>
  </r>
  <r>
    <x v="4"/>
    <x v="0"/>
    <s v="seth-1"/>
    <s v="WR/RB"/>
    <n v="5.9"/>
    <m/>
    <n v="5.9"/>
    <n v="0"/>
    <n v="0"/>
    <s v="seth-1WR/RB"/>
    <s v="Alex Collins1"/>
    <s v="FLEX"/>
    <n v="1"/>
    <n v="1025"/>
    <n v="10.28"/>
    <n v="80.6404"/>
    <s v="WR/RB"/>
    <x v="2"/>
    <x v="3"/>
  </r>
  <r>
    <x v="4"/>
    <x v="1"/>
    <s v="seth-2"/>
    <s v="RB-1"/>
    <n v="9"/>
    <m/>
    <n v="9"/>
    <n v="0"/>
    <n v="0"/>
    <s v="seth-2RB-1"/>
    <s v="Alex Collins2"/>
    <s v="FLEX"/>
    <n v="1"/>
    <n v="1505"/>
    <n v="8.1"/>
    <n v="48.163600000000002"/>
    <s v="RB"/>
    <x v="2"/>
    <x v="3"/>
  </r>
  <r>
    <x v="4"/>
    <x v="2"/>
    <s v="seth-3"/>
    <s v="RB-1"/>
    <n v="13.4"/>
    <m/>
    <n v="13.4"/>
    <n v="0"/>
    <n v="0"/>
    <s v="seth-3RB-1"/>
    <s v="Alex Collins3"/>
    <s v="FLEX"/>
    <n v="1"/>
    <n v="1091"/>
    <n v="9.93"/>
    <n v="41.473599999999998"/>
    <s v="RB"/>
    <x v="2"/>
    <x v="3"/>
  </r>
  <r>
    <x v="4"/>
    <x v="3"/>
    <s v="seth-4"/>
    <s v="RB-2"/>
    <n v="8.5"/>
    <m/>
    <n v="8.5"/>
    <n v="0"/>
    <n v="0"/>
    <s v="seth-4RB-2"/>
    <s v="Alex Collins4"/>
    <s v="FLEX"/>
    <n v="1"/>
    <n v="1077"/>
    <n v="9.9700000000000006"/>
    <n v="46.376100000000001"/>
    <s v="RB"/>
    <x v="2"/>
    <x v="3"/>
  </r>
  <r>
    <x v="4"/>
    <x v="4"/>
    <s v="seth-5"/>
    <s v="RB-1"/>
    <s v="--"/>
    <m/>
    <n v="3.67"/>
    <n v="3.33"/>
    <n v="11.088900000000001"/>
    <s v="seth-5RB-1"/>
    <s v="Alex Collins5"/>
    <s v="FLEX"/>
    <n v="1"/>
    <n v="3192"/>
    <n v="3.67"/>
    <n v="11.088900000000001"/>
    <s v="RB"/>
    <x v="2"/>
    <x v="1"/>
  </r>
  <r>
    <x v="5"/>
    <x v="0"/>
    <s v="matty-1"/>
    <s v="QB-1"/>
    <n v="19.600000000000001"/>
    <m/>
    <n v="19.600000000000001"/>
    <n v="0"/>
    <n v="0"/>
    <s v="matty-1QB-1"/>
    <s v="Alex Smith1"/>
    <s v="FLEX"/>
    <n v="1"/>
    <n v="489"/>
    <n v="14.97"/>
    <n v="52.5625"/>
    <s v="QB"/>
    <x v="1"/>
    <x v="5"/>
  </r>
  <r>
    <x v="5"/>
    <x v="1"/>
    <s v="matty-2"/>
    <s v="QB-1"/>
    <n v="13.1"/>
    <m/>
    <n v="13.1"/>
    <n v="0"/>
    <n v="0"/>
    <s v="matty-2QB-1"/>
    <s v="Alex Smith2"/>
    <s v="FLEX"/>
    <n v="1"/>
    <n v="121"/>
    <n v="20.239999999999998"/>
    <n v="45.024099999999997"/>
    <s v="QB"/>
    <x v="1"/>
    <x v="5"/>
  </r>
  <r>
    <x v="6"/>
    <x v="1"/>
    <s v="seth-2"/>
    <s v="RB-2"/>
    <n v="8"/>
    <m/>
    <n v="8"/>
    <n v="0"/>
    <n v="0"/>
    <s v="seth-2RB-2"/>
    <s v="Alfred Morris2"/>
    <s v="FLEX"/>
    <n v="1"/>
    <n v="1679"/>
    <n v="7.48"/>
    <n v="44.355600000000003"/>
    <s v="RB"/>
    <x v="2"/>
    <x v="3"/>
  </r>
  <r>
    <x v="6"/>
    <x v="2"/>
    <s v="seth-3"/>
    <s v="WR/RB"/>
    <n v="12.7"/>
    <m/>
    <n v="12.7"/>
    <n v="0"/>
    <n v="0"/>
    <s v="seth-3WR/RB"/>
    <s v="Alfred Morris3"/>
    <s v="FLEX"/>
    <n v="1"/>
    <n v="1429"/>
    <n v="8.35"/>
    <n v="47.059600000000003"/>
    <s v="WR/RB"/>
    <x v="2"/>
    <x v="3"/>
  </r>
  <r>
    <x v="7"/>
    <x v="0"/>
    <s v="devon-1"/>
    <s v="WR/RB"/>
    <n v="2"/>
    <m/>
    <n v="2"/>
    <n v="0"/>
    <n v="0"/>
    <s v="devon-1WR/RB"/>
    <s v="Allen Hurns1"/>
    <s v="FLEX"/>
    <n v="1"/>
    <n v="2816"/>
    <n v="4.5"/>
    <n v="9.9224999999999994"/>
    <s v="WR/RB"/>
    <x v="0"/>
    <x v="0"/>
  </r>
  <r>
    <x v="8"/>
    <x v="0"/>
    <s v="lucas-1"/>
    <s v="WR-1"/>
    <n v="6.1"/>
    <m/>
    <n v="6.1"/>
    <n v="0"/>
    <n v="0"/>
    <s v="lucas-1WR-1"/>
    <s v="Allen Robinson1"/>
    <s v="FLEX"/>
    <n v="1"/>
    <n v="1372"/>
    <n v="8.56"/>
    <n v="33.988900000000001"/>
    <s v="WR"/>
    <x v="0"/>
    <x v="6"/>
  </r>
  <r>
    <x v="8"/>
    <x v="1"/>
    <s v="lucas-2"/>
    <s v="WR-1"/>
    <n v="8.3000000000000007"/>
    <m/>
    <n v="8.3000000000000007"/>
    <n v="0"/>
    <n v="0"/>
    <s v="lucas-2WR-1"/>
    <s v="Allen Robinson2"/>
    <s v="FLEX"/>
    <n v="1"/>
    <n v="1404"/>
    <n v="8.4600000000000009"/>
    <n v="31.024899999999999"/>
    <s v="WR"/>
    <x v="0"/>
    <x v="6"/>
  </r>
  <r>
    <x v="8"/>
    <x v="2"/>
    <s v="lucas-3"/>
    <s v="WR-1"/>
    <n v="5"/>
    <m/>
    <n v="5"/>
    <n v="0"/>
    <n v="0"/>
    <s v="lucas-3WR-1"/>
    <s v="Allen Robinson3"/>
    <s v="FLEX"/>
    <n v="1"/>
    <n v="1417"/>
    <n v="8.4"/>
    <n v="34.81"/>
    <s v="WR"/>
    <x v="0"/>
    <x v="6"/>
  </r>
  <r>
    <x v="8"/>
    <x v="3"/>
    <s v="lucas-4"/>
    <s v="WR-1"/>
    <n v="8.3000000000000007"/>
    <m/>
    <n v="8.3000000000000007"/>
    <n v="0"/>
    <n v="0"/>
    <s v="lucas-4WR-1"/>
    <s v="Allen Robinson4"/>
    <s v="FLEX"/>
    <n v="1"/>
    <n v="1617"/>
    <n v="7.7"/>
    <n v="26.01"/>
    <s v="WR"/>
    <x v="0"/>
    <x v="6"/>
  </r>
  <r>
    <x v="9"/>
    <x v="4"/>
    <s v="devon-5"/>
    <s v="WR-3"/>
    <s v="--"/>
    <m/>
    <n v="9.19"/>
    <n v="7.24"/>
    <n v="52.4176"/>
    <s v="devon-5WR-3"/>
    <s v="Alshon Jeffery5"/>
    <s v="FLEX"/>
    <n v="1"/>
    <n v="1236"/>
    <n v="9.19"/>
    <n v="52.4176"/>
    <s v="WR"/>
    <x v="0"/>
    <x v="1"/>
  </r>
  <r>
    <x v="10"/>
    <x v="0"/>
    <s v="aj-1"/>
    <s v="RB-1"/>
    <n v="34.1"/>
    <m/>
    <n v="34.1"/>
    <n v="0"/>
    <n v="0"/>
    <s v="aj-1RB-1"/>
    <s v="Alvin Kamara1"/>
    <s v="FLEX"/>
    <n v="1"/>
    <n v="191"/>
    <n v="19.29"/>
    <n v="66.259600000000006"/>
    <s v="RB"/>
    <x v="2"/>
    <x v="7"/>
  </r>
  <r>
    <x v="10"/>
    <x v="1"/>
    <s v="aj-2"/>
    <s v="RB-1"/>
    <n v="11.9"/>
    <m/>
    <n v="11.9"/>
    <n v="0"/>
    <n v="0"/>
    <s v="aj-2RB-1"/>
    <s v="Alvin Kamara2"/>
    <s v="FLEX"/>
    <n v="1"/>
    <n v="247"/>
    <n v="18.489999999999998"/>
    <n v="72.590400000000002"/>
    <s v="RB"/>
    <x v="2"/>
    <x v="7"/>
  </r>
  <r>
    <x v="10"/>
    <x v="2"/>
    <s v="aj-3"/>
    <s v="RB-1"/>
    <n v="19"/>
    <m/>
    <n v="19"/>
    <n v="0"/>
    <n v="0"/>
    <s v="aj-3RB-1"/>
    <s v="Alvin Kamara3"/>
    <s v="FLEX"/>
    <n v="1"/>
    <n v="391"/>
    <n v="16.059999999999999"/>
    <n v="76.212900000000005"/>
    <s v="RB"/>
    <x v="2"/>
    <x v="7"/>
  </r>
  <r>
    <x v="10"/>
    <x v="3"/>
    <s v="aj-4"/>
    <s v="RB-1"/>
    <n v="36.1"/>
    <m/>
    <n v="36.1"/>
    <n v="0"/>
    <n v="0"/>
    <s v="aj-4RB-1"/>
    <s v="Alvin Kamara4"/>
    <s v="FLEX"/>
    <n v="1"/>
    <n v="293"/>
    <n v="17.7"/>
    <n v="60.528399999999998"/>
    <s v="RB"/>
    <x v="2"/>
    <x v="7"/>
  </r>
  <r>
    <x v="10"/>
    <x v="4"/>
    <s v="scott-5"/>
    <s v="RB-2"/>
    <s v="--"/>
    <m/>
    <n v="17.45"/>
    <n v="8.42"/>
    <n v="70.8964"/>
    <s v="scott-5RB-2"/>
    <s v="Alvin Kamara5"/>
    <s v="FLEX"/>
    <n v="1"/>
    <n v="307"/>
    <n v="17.45"/>
    <n v="70.8964"/>
    <s v="RB"/>
    <x v="2"/>
    <x v="1"/>
  </r>
  <r>
    <x v="11"/>
    <x v="0"/>
    <s v="comp-1"/>
    <s v="WR-3"/>
    <n v="1.8"/>
    <m/>
    <n v="1.8"/>
    <n v="0"/>
    <n v="0"/>
    <s v="comp-1WR-3"/>
    <s v="Amari Cooper1"/>
    <s v="FLEX"/>
    <n v="1"/>
    <n v="1430"/>
    <n v="8.35"/>
    <n v="60.528399999999998"/>
    <s v="WR"/>
    <x v="0"/>
    <x v="4"/>
  </r>
  <r>
    <x v="11"/>
    <x v="2"/>
    <s v="comp-3"/>
    <s v="WR/RB"/>
    <n v="1.7"/>
    <m/>
    <n v="1.7"/>
    <n v="0"/>
    <n v="0"/>
    <s v="comp-3WR/RB"/>
    <s v="Amari Cooper3"/>
    <s v="FLEX"/>
    <n v="1"/>
    <n v="1453"/>
    <n v="8.25"/>
    <n v="52.4176"/>
    <s v="WR/RB"/>
    <x v="0"/>
    <x v="4"/>
  </r>
  <r>
    <x v="11"/>
    <x v="4"/>
    <s v="comp-5"/>
    <s v="WR/RB"/>
    <s v="--"/>
    <m/>
    <n v="9.01"/>
    <n v="6.08"/>
    <n v="36.9664"/>
    <s v="comp-5WR/RB"/>
    <s v="Amari Cooper5"/>
    <s v="FLEX"/>
    <n v="1"/>
    <n v="1268"/>
    <n v="9.01"/>
    <n v="36.9664"/>
    <s v="WR/RB"/>
    <x v="0"/>
    <x v="1"/>
  </r>
  <r>
    <x v="12"/>
    <x v="0"/>
    <s v="comp-1"/>
    <s v="QB-1"/>
    <n v="19.5"/>
    <m/>
    <n v="19.5"/>
    <n v="0"/>
    <n v="0"/>
    <s v="comp-1QB-1"/>
    <s v="Andrew Luck1"/>
    <s v="FLEX"/>
    <n v="1"/>
    <n v="275"/>
    <n v="18.05"/>
    <n v="54.76"/>
    <s v="QB"/>
    <x v="1"/>
    <x v="4"/>
  </r>
  <r>
    <x v="12"/>
    <x v="1"/>
    <s v="comp-2"/>
    <s v="QB-1"/>
    <n v="11.4"/>
    <m/>
    <n v="11.4"/>
    <n v="0"/>
    <n v="0"/>
    <s v="comp-2QB-1"/>
    <s v="Andrew Luck2"/>
    <s v="FLEX"/>
    <n v="1"/>
    <n v="406"/>
    <n v="15.88"/>
    <n v="77.44"/>
    <s v="QB"/>
    <x v="1"/>
    <x v="4"/>
  </r>
  <r>
    <x v="12"/>
    <x v="2"/>
    <s v="comp-3"/>
    <s v="QB-1"/>
    <n v="13.9"/>
    <m/>
    <n v="13.9"/>
    <n v="0"/>
    <n v="0"/>
    <s v="comp-3QB-1"/>
    <s v="Andrew Luck3"/>
    <s v="FLEX"/>
    <n v="1"/>
    <n v="550"/>
    <n v="14.26"/>
    <n v="57.002499999999998"/>
    <s v="QB"/>
    <x v="1"/>
    <x v="4"/>
  </r>
  <r>
    <x v="13"/>
    <x v="0"/>
    <s v="comp-1"/>
    <s v="WR-1"/>
    <n v="15.3"/>
    <m/>
    <n v="15.3"/>
    <n v="0"/>
    <n v="0"/>
    <s v="comp-1WR-1"/>
    <s v="Antonio Brown1"/>
    <s v="FLEX"/>
    <n v="1"/>
    <n v="697"/>
    <n v="12.94"/>
    <n v="54.612099999999998"/>
    <s v="WR"/>
    <x v="0"/>
    <x v="4"/>
  </r>
  <r>
    <x v="13"/>
    <x v="1"/>
    <s v="comp-2"/>
    <s v="WR-1"/>
    <n v="6.7"/>
    <m/>
    <n v="6.7"/>
    <n v="0"/>
    <n v="0"/>
    <s v="comp-2WR-1"/>
    <s v="Antonio Brown2"/>
    <s v="FLEX"/>
    <n v="1"/>
    <n v="508"/>
    <n v="14.65"/>
    <n v="64.802499999999995"/>
    <s v="WR"/>
    <x v="0"/>
    <x v="4"/>
  </r>
  <r>
    <x v="13"/>
    <x v="2"/>
    <s v="comp-3"/>
    <s v="WR-1"/>
    <n v="11"/>
    <m/>
    <n v="11"/>
    <n v="0"/>
    <n v="0"/>
    <s v="comp-3WR-1"/>
    <s v="Antonio Brown3"/>
    <s v="FLEX"/>
    <n v="1"/>
    <n v="456"/>
    <n v="15.35"/>
    <n v="74.822500000000005"/>
    <s v="WR"/>
    <x v="0"/>
    <x v="4"/>
  </r>
  <r>
    <x v="13"/>
    <x v="3"/>
    <s v="comp-4"/>
    <s v="WR-1"/>
    <n v="12.2"/>
    <m/>
    <n v="12.2"/>
    <n v="0"/>
    <n v="0"/>
    <s v="comp-4WR-1"/>
    <s v="Antonio Brown4"/>
    <s v="FLEX"/>
    <n v="1"/>
    <n v="410"/>
    <n v="15.87"/>
    <n v="66.096900000000005"/>
    <s v="WR"/>
    <x v="0"/>
    <x v="4"/>
  </r>
  <r>
    <x v="13"/>
    <x v="4"/>
    <s v="comp-5"/>
    <s v="WR-1"/>
    <s v="--"/>
    <m/>
    <n v="15.59"/>
    <n v="7.78"/>
    <n v="60.528399999999998"/>
    <s v="comp-5WR-1"/>
    <s v="Antonio Brown5"/>
    <s v="FLEX"/>
    <n v="1"/>
    <n v="435"/>
    <n v="15.59"/>
    <n v="60.528399999999998"/>
    <s v="WR"/>
    <x v="0"/>
    <x v="1"/>
  </r>
  <r>
    <x v="14"/>
    <x v="3"/>
    <s v="chad-4"/>
    <s v="WR-3"/>
    <n v="5.4"/>
    <m/>
    <n v="5.4"/>
    <n v="0"/>
    <n v="0"/>
    <s v="chad-4WR-3"/>
    <s v="Antonio Callaway4"/>
    <s v="FLEX"/>
    <n v="1"/>
    <n v="2025"/>
    <n v="6.42"/>
    <n v="22.657599999999999"/>
    <s v="WR"/>
    <x v="0"/>
    <x v="8"/>
  </r>
  <r>
    <x v="15"/>
    <x v="4"/>
    <s v="comp-5"/>
    <s v="TE-1"/>
    <s v="--"/>
    <m/>
    <n v="4.21"/>
    <n v="4.66"/>
    <n v="21.715599999999998"/>
    <s v="comp-5TE-1"/>
    <s v="Austin Hooper5"/>
    <s v="FLEX"/>
    <n v="1"/>
    <n v="2947"/>
    <n v="4.21"/>
    <n v="21.715599999999998"/>
    <s v="TE"/>
    <x v="3"/>
    <x v="1"/>
  </r>
  <r>
    <x v="16"/>
    <x v="1"/>
    <s v="lucas-2"/>
    <s v="QB-1"/>
    <n v="39"/>
    <m/>
    <n v="39"/>
    <n v="0"/>
    <n v="0"/>
    <s v="lucas-2QB-1"/>
    <s v="Ben Roethlisberger2"/>
    <s v="FLEX"/>
    <n v="1"/>
    <n v="213"/>
    <n v="18.920000000000002"/>
    <n v="52.852899999999998"/>
    <s v="QB"/>
    <x v="1"/>
    <x v="6"/>
  </r>
  <r>
    <x v="17"/>
    <x v="1"/>
    <s v="cory-2"/>
    <s v="WR/RB"/>
    <n v="14"/>
    <m/>
    <n v="14"/>
    <n v="0"/>
    <n v="0"/>
    <s v="cory-2WR/RB"/>
    <s v="Bilal Powell2"/>
    <s v="FLEX"/>
    <n v="1"/>
    <n v="2194"/>
    <n v="5.95"/>
    <n v="20.430399999999999"/>
    <s v="WR/RB"/>
    <x v="2"/>
    <x v="2"/>
  </r>
  <r>
    <x v="17"/>
    <x v="2"/>
    <s v="cory-3"/>
    <s v="WR/RB"/>
    <n v="7.3"/>
    <m/>
    <n v="7.3"/>
    <n v="0"/>
    <n v="0"/>
    <s v="cory-3WR/RB"/>
    <s v="Bilal Powell3"/>
    <s v="FLEX"/>
    <n v="1"/>
    <n v="1858"/>
    <n v="6.92"/>
    <n v="34.339599999999997"/>
    <s v="WR/RB"/>
    <x v="2"/>
    <x v="2"/>
  </r>
  <r>
    <x v="18"/>
    <x v="0"/>
    <s v="perry-1"/>
    <s v="WR-3"/>
    <n v="9.3000000000000007"/>
    <m/>
    <n v="9.3000000000000007"/>
    <n v="0"/>
    <n v="0"/>
    <s v="perry-1WR-3"/>
    <s v="Brandin Cooks1"/>
    <s v="FLEX"/>
    <n v="1"/>
    <n v="1351"/>
    <n v="8.64"/>
    <n v="26.625599999999999"/>
    <s v="WR"/>
    <x v="0"/>
    <x v="9"/>
  </r>
  <r>
    <x v="18"/>
    <x v="1"/>
    <s v="perry-2"/>
    <s v="WR-3"/>
    <n v="15.9"/>
    <m/>
    <n v="15.9"/>
    <n v="0"/>
    <n v="0"/>
    <s v="perry-2WR-3"/>
    <s v="Brandin Cooks2"/>
    <s v="FLEX"/>
    <n v="1"/>
    <n v="1125"/>
    <n v="9.77"/>
    <n v="46.5124"/>
    <s v="WR"/>
    <x v="0"/>
    <x v="9"/>
  </r>
  <r>
    <x v="18"/>
    <x v="2"/>
    <s v="perry-3"/>
    <s v="WR-2"/>
    <n v="9"/>
    <m/>
    <n v="9"/>
    <n v="0"/>
    <n v="0"/>
    <s v="perry-3WR-2"/>
    <s v="Brandin Cooks3"/>
    <s v="FLEX"/>
    <n v="1"/>
    <n v="1083"/>
    <n v="9.9600000000000009"/>
    <n v="27.7729"/>
    <s v="WR"/>
    <x v="0"/>
    <x v="9"/>
  </r>
  <r>
    <x v="18"/>
    <x v="3"/>
    <s v="perry-4"/>
    <s v="WR-2"/>
    <n v="18.600000000000001"/>
    <m/>
    <n v="18.600000000000001"/>
    <n v="0"/>
    <n v="0"/>
    <s v="perry-4WR-2"/>
    <s v="Brandin Cooks4"/>
    <s v="FLEX"/>
    <n v="1"/>
    <n v="944"/>
    <n v="10.84"/>
    <n v="51.696100000000001"/>
    <s v="WR"/>
    <x v="0"/>
    <x v="9"/>
  </r>
  <r>
    <x v="18"/>
    <x v="4"/>
    <s v="perry-5"/>
    <s v="WR-2"/>
    <s v="--"/>
    <m/>
    <n v="12.13"/>
    <n v="7.33"/>
    <n v="53.728900000000003"/>
    <s v="perry-5WR-2"/>
    <s v="Brandin Cooks5"/>
    <s v="FLEX"/>
    <n v="1"/>
    <n v="803"/>
    <n v="12.13"/>
    <n v="53.728900000000003"/>
    <s v="WR"/>
    <x v="0"/>
    <x v="1"/>
  </r>
  <r>
    <x v="19"/>
    <x v="3"/>
    <s v="comp-4"/>
    <s v="WR/RB"/>
    <n v="17.5"/>
    <m/>
    <n v="17.5"/>
    <n v="0"/>
    <n v="0"/>
    <s v="comp-4WR/RB"/>
    <s v="Calvin Ridley4"/>
    <s v="FLEX"/>
    <n v="1"/>
    <n v="1891"/>
    <n v="6.83"/>
    <n v="18.5761"/>
    <s v="WR/RB"/>
    <x v="0"/>
    <x v="4"/>
  </r>
  <r>
    <x v="19"/>
    <x v="4"/>
    <s v="comp-5"/>
    <s v="WR-3"/>
    <s v="--"/>
    <m/>
    <n v="7.75"/>
    <n v="5.54"/>
    <n v="30.691600000000001"/>
    <s v="comp-5WR-3"/>
    <s v="Calvin Ridley5"/>
    <s v="FLEX"/>
    <n v="1"/>
    <n v="1607"/>
    <n v="7.75"/>
    <n v="30.691600000000001"/>
    <s v="WR"/>
    <x v="0"/>
    <x v="1"/>
  </r>
  <r>
    <x v="20"/>
    <x v="0"/>
    <s v="devon-1"/>
    <s v="QB-1"/>
    <n v="18.2"/>
    <m/>
    <n v="18.2"/>
    <n v="0"/>
    <n v="0"/>
    <s v="devon-1QB-1"/>
    <s v="Cam Newton1"/>
    <s v="FLEX"/>
    <n v="1"/>
    <n v="143"/>
    <n v="19.87"/>
    <n v="48.302500000000002"/>
    <s v="QB"/>
    <x v="1"/>
    <x v="0"/>
  </r>
  <r>
    <x v="20"/>
    <x v="1"/>
    <s v="devon-2"/>
    <s v="QB-1"/>
    <n v="27.6"/>
    <m/>
    <n v="27.6"/>
    <n v="0"/>
    <n v="0"/>
    <s v="devon-2QB-1"/>
    <s v="Cam Newton2"/>
    <s v="FLEX"/>
    <n v="1"/>
    <n v="267"/>
    <n v="18.22"/>
    <n v="49.984900000000003"/>
    <s v="QB"/>
    <x v="1"/>
    <x v="0"/>
  </r>
  <r>
    <x v="20"/>
    <x v="2"/>
    <s v="devon-3"/>
    <s v="QB-1"/>
    <n v="29.6"/>
    <m/>
    <n v="29.6"/>
    <n v="0"/>
    <n v="0"/>
    <s v="devon-3QB-1"/>
    <s v="Cam Newton3"/>
    <s v="FLEX"/>
    <n v="1"/>
    <n v="126"/>
    <n v="20.18"/>
    <n v="65.61"/>
    <s v="QB"/>
    <x v="1"/>
    <x v="0"/>
  </r>
  <r>
    <x v="21"/>
    <x v="0"/>
    <s v="cory-1"/>
    <s v="RB-1"/>
    <n v="12.5"/>
    <m/>
    <n v="12.5"/>
    <n v="0"/>
    <n v="0"/>
    <s v="cory-1RB-1"/>
    <s v="Carlos Hyde1"/>
    <s v="FLEX"/>
    <n v="1"/>
    <n v="1366"/>
    <n v="8.59"/>
    <n v="23.136099999999999"/>
    <s v="RB"/>
    <x v="2"/>
    <x v="2"/>
  </r>
  <r>
    <x v="21"/>
    <x v="1"/>
    <s v="cory-2"/>
    <s v="RB-1"/>
    <n v="11"/>
    <m/>
    <n v="11"/>
    <n v="0"/>
    <n v="0"/>
    <s v="cory-2RB-1"/>
    <s v="Carlos Hyde2"/>
    <s v="FLEX"/>
    <n v="1"/>
    <n v="1062"/>
    <n v="10.029999999999999"/>
    <n v="40.195599999999999"/>
    <s v="RB"/>
    <x v="2"/>
    <x v="2"/>
  </r>
  <r>
    <x v="21"/>
    <x v="2"/>
    <s v="cory-3"/>
    <s v="RB-1"/>
    <n v="22.3"/>
    <m/>
    <n v="22.3"/>
    <n v="0"/>
    <n v="0"/>
    <s v="cory-3RB-1"/>
    <s v="Carlos Hyde3"/>
    <s v="FLEX"/>
    <n v="1"/>
    <n v="899"/>
    <n v="11.24"/>
    <n v="31.472100000000001"/>
    <s v="RB"/>
    <x v="2"/>
    <x v="2"/>
  </r>
  <r>
    <x v="21"/>
    <x v="3"/>
    <s v="cory-4"/>
    <s v="RB-1"/>
    <n v="14.2"/>
    <m/>
    <n v="14.2"/>
    <n v="0"/>
    <n v="0"/>
    <s v="cory-4RB-1"/>
    <s v="Carlos Hyde4"/>
    <s v="FLEX"/>
    <n v="1"/>
    <n v="853"/>
    <n v="11.7"/>
    <n v="54.612099999999998"/>
    <s v="RB"/>
    <x v="2"/>
    <x v="2"/>
  </r>
  <r>
    <x v="21"/>
    <x v="4"/>
    <s v="cory-5"/>
    <s v="RB-1"/>
    <s v="--"/>
    <m/>
    <n v="10.39"/>
    <n v="5.67"/>
    <n v="32.148899999999998"/>
    <s v="cory-5RB-1"/>
    <s v="Carlos Hyde5"/>
    <s v="FLEX"/>
    <n v="1"/>
    <n v="1003"/>
    <n v="10.39"/>
    <n v="32.148899999999998"/>
    <s v="RB"/>
    <x v="2"/>
    <x v="1"/>
  </r>
  <r>
    <x v="22"/>
    <x v="2"/>
    <s v="perry-3"/>
    <s v="QB-1"/>
    <n v="11.2"/>
    <m/>
    <n v="11.2"/>
    <n v="0"/>
    <n v="0"/>
    <s v="perry-3QB-1"/>
    <s v="Carson Wentz3"/>
    <s v="FLEX"/>
    <n v="1"/>
    <n v="172"/>
    <n v="19.52"/>
    <n v="66.422499999999999"/>
    <s v="QB"/>
    <x v="1"/>
    <x v="9"/>
  </r>
  <r>
    <x v="22"/>
    <x v="3"/>
    <s v="perry-4"/>
    <s v="QB-1"/>
    <n v="20.7"/>
    <m/>
    <n v="20.7"/>
    <n v="0"/>
    <n v="0"/>
    <s v="perry-4QB-1"/>
    <s v="Carson Wentz4"/>
    <s v="FLEX"/>
    <n v="1"/>
    <n v="146"/>
    <n v="19.86"/>
    <n v="70.392099999999999"/>
    <s v="QB"/>
    <x v="1"/>
    <x v="9"/>
  </r>
  <r>
    <x v="22"/>
    <x v="4"/>
    <s v="perry-5"/>
    <s v="QB-1"/>
    <s v="--"/>
    <m/>
    <n v="19.39"/>
    <n v="8.24"/>
    <n v="67.897599999999997"/>
    <s v="perry-5QB-1"/>
    <s v="Carson Wentz5"/>
    <s v="FLEX"/>
    <n v="1"/>
    <n v="186"/>
    <n v="19.39"/>
    <n v="67.897599999999997"/>
    <s v="QB"/>
    <x v="1"/>
    <x v="1"/>
  </r>
  <r>
    <x v="23"/>
    <x v="4"/>
    <s v="lucas-5"/>
    <s v="RB-2"/>
    <s v="--"/>
    <m/>
    <n v="7.35"/>
    <n v="5.54"/>
    <n v="30.691600000000001"/>
    <s v="lucas-5RB-2"/>
    <s v="Chris Carson5"/>
    <s v="FLEX"/>
    <n v="1"/>
    <n v="1718"/>
    <n v="7.35"/>
    <n v="30.691600000000001"/>
    <s v="RB"/>
    <x v="2"/>
    <x v="1"/>
  </r>
  <r>
    <x v="24"/>
    <x v="0"/>
    <s v="perry-1"/>
    <s v="WR-2"/>
    <n v="1.1000000000000001"/>
    <m/>
    <n v="1.1000000000000001"/>
    <n v="0"/>
    <n v="0"/>
    <s v="perry-1WR-2"/>
    <s v="Chris Hogan1"/>
    <s v="FLEX"/>
    <n v="1"/>
    <n v="982"/>
    <n v="10.52"/>
    <n v="41.2164"/>
    <s v="WR"/>
    <x v="0"/>
    <x v="9"/>
  </r>
  <r>
    <x v="24"/>
    <x v="1"/>
    <s v="perry-2"/>
    <s v="WR-2"/>
    <n v="16.2"/>
    <m/>
    <n v="16.2"/>
    <n v="0"/>
    <n v="0"/>
    <s v="perry-2WR-2"/>
    <s v="Chris Hogan2"/>
    <s v="FLEX"/>
    <n v="1"/>
    <n v="1173"/>
    <n v="9.5500000000000007"/>
    <n v="47.196899999999999"/>
    <s v="WR"/>
    <x v="0"/>
    <x v="9"/>
  </r>
  <r>
    <x v="24"/>
    <x v="3"/>
    <s v="perry-4"/>
    <s v="WR/RB"/>
    <n v="2.5"/>
    <m/>
    <n v="2.5"/>
    <n v="0"/>
    <n v="0"/>
    <s v="perry-4WR/RB"/>
    <s v="Chris Hogan4"/>
    <s v="FLEX"/>
    <n v="1"/>
    <n v="2202"/>
    <n v="5.93"/>
    <n v="17.4724"/>
    <s v="WR/RB"/>
    <x v="0"/>
    <x v="9"/>
  </r>
  <r>
    <x v="25"/>
    <x v="0"/>
    <s v="devon-1"/>
    <s v="RB-2"/>
    <n v="7.5"/>
    <m/>
    <n v="7.5"/>
    <n v="0"/>
    <n v="0"/>
    <s v="devon-1RB-2"/>
    <s v="Christian McCaffrey1"/>
    <s v="FLEX"/>
    <n v="1"/>
    <n v="566"/>
    <n v="14.11"/>
    <n v="34.692100000000003"/>
    <s v="RB"/>
    <x v="2"/>
    <x v="0"/>
  </r>
  <r>
    <x v="25"/>
    <x v="1"/>
    <s v="devon-2"/>
    <s v="RB-2"/>
    <n v="13.9"/>
    <m/>
    <n v="13.9"/>
    <n v="0"/>
    <n v="0"/>
    <s v="devon-2RB-2"/>
    <s v="Christian McCaffrey2"/>
    <s v="FLEX"/>
    <n v="1"/>
    <n v="774"/>
    <n v="12.35"/>
    <n v="40.195599999999999"/>
    <s v="RB"/>
    <x v="2"/>
    <x v="0"/>
  </r>
  <r>
    <x v="25"/>
    <x v="2"/>
    <s v="devon-3"/>
    <s v="RB-1"/>
    <n v="19.399999999999999"/>
    <m/>
    <n v="19.399999999999999"/>
    <n v="0"/>
    <n v="0"/>
    <s v="devon-3RB-1"/>
    <s v="Christian McCaffrey3"/>
    <s v="FLEX"/>
    <n v="1"/>
    <n v="672"/>
    <n v="13.11"/>
    <n v="46.376100000000001"/>
    <s v="RB"/>
    <x v="2"/>
    <x v="0"/>
  </r>
  <r>
    <x v="25"/>
    <x v="4"/>
    <s v="devon-5"/>
    <s v="RB-1"/>
    <s v="--"/>
    <m/>
    <n v="15.54"/>
    <n v="7.47"/>
    <n v="55.800899999999999"/>
    <s v="devon-5RB-1"/>
    <s v="Christian McCaffrey5"/>
    <s v="FLEX"/>
    <n v="1"/>
    <n v="443"/>
    <n v="15.54"/>
    <n v="55.800899999999999"/>
    <s v="RB"/>
    <x v="2"/>
    <x v="1"/>
  </r>
  <r>
    <x v="26"/>
    <x v="0"/>
    <s v="lucas-1"/>
    <s v="WR-3"/>
    <n v="12.8"/>
    <m/>
    <n v="12.8"/>
    <n v="0"/>
    <n v="0"/>
    <s v="lucas-1WR-3"/>
    <s v="Cooper Kupp1"/>
    <s v="FLEX"/>
    <n v="1"/>
    <n v="1646"/>
    <n v="7.59"/>
    <n v="31.584399999999999"/>
    <s v="WR"/>
    <x v="0"/>
    <x v="6"/>
  </r>
  <r>
    <x v="26"/>
    <x v="1"/>
    <s v="lucas-2"/>
    <s v="WR-2"/>
    <n v="6.3"/>
    <m/>
    <n v="6.3"/>
    <n v="0"/>
    <n v="0"/>
    <s v="lucas-2WR-2"/>
    <s v="Cooper Kupp2"/>
    <s v="FLEX"/>
    <n v="1"/>
    <n v="2284"/>
    <n v="5.72"/>
    <n v="22.09"/>
    <s v="WR"/>
    <x v="0"/>
    <x v="6"/>
  </r>
  <r>
    <x v="26"/>
    <x v="2"/>
    <s v="lucas-3"/>
    <s v="WR-2"/>
    <n v="12.8"/>
    <m/>
    <n v="12.8"/>
    <n v="0"/>
    <n v="0"/>
    <s v="lucas-3WR-2"/>
    <s v="Cooper Kupp3"/>
    <s v="FLEX"/>
    <n v="1"/>
    <n v="2175"/>
    <n v="6"/>
    <n v="12.040900000000001"/>
    <s v="WR"/>
    <x v="0"/>
    <x v="6"/>
  </r>
  <r>
    <x v="26"/>
    <x v="3"/>
    <s v="lucas-4"/>
    <s v="WR-2"/>
    <n v="28.2"/>
    <m/>
    <n v="28.2"/>
    <n v="0"/>
    <n v="0"/>
    <s v="lucas-4WR-2"/>
    <s v="Cooper Kupp4"/>
    <s v="FLEX"/>
    <n v="1"/>
    <n v="1531"/>
    <n v="8.02"/>
    <n v="24.403600000000001"/>
    <s v="WR"/>
    <x v="0"/>
    <x v="6"/>
  </r>
  <r>
    <x v="26"/>
    <x v="4"/>
    <s v="lucas-5"/>
    <s v="WR-1"/>
    <s v="--"/>
    <m/>
    <n v="9.57"/>
    <n v="5.69"/>
    <n v="32.376100000000001"/>
    <s v="lucas-5WR-1"/>
    <s v="Cooper Kupp5"/>
    <s v="FLEX"/>
    <n v="1"/>
    <n v="1167"/>
    <n v="9.57"/>
    <n v="32.376100000000001"/>
    <s v="WR"/>
    <x v="0"/>
    <x v="1"/>
  </r>
  <r>
    <x v="27"/>
    <x v="1"/>
    <s v="matty-2"/>
    <s v="WR-3"/>
    <n v="5.5"/>
    <m/>
    <n v="5.5"/>
    <n v="0"/>
    <n v="0"/>
    <s v="matty-2WR-3"/>
    <s v="Corey Davis2"/>
    <s v="FLEX"/>
    <n v="1"/>
    <n v="1454"/>
    <n v="8.25"/>
    <n v="51.84"/>
    <s v="WR"/>
    <x v="0"/>
    <x v="5"/>
  </r>
  <r>
    <x v="27"/>
    <x v="2"/>
    <s v="matty-3"/>
    <s v="WR-3"/>
    <n v="3.4"/>
    <m/>
    <n v="3.4"/>
    <n v="0"/>
    <n v="0"/>
    <s v="matty-3WR-3"/>
    <s v="Corey Davis3"/>
    <s v="FLEX"/>
    <n v="1"/>
    <n v="1527"/>
    <n v="8.0299999999999994"/>
    <n v="58.216900000000003"/>
    <s v="WR"/>
    <x v="0"/>
    <x v="5"/>
  </r>
  <r>
    <x v="27"/>
    <x v="3"/>
    <s v="matty-4"/>
    <s v="WR/RB"/>
    <n v="22.1"/>
    <m/>
    <n v="22.1"/>
    <n v="0"/>
    <n v="0"/>
    <s v="matty-4WR/RB"/>
    <s v="Corey Davis4"/>
    <s v="FLEX"/>
    <n v="1"/>
    <n v="1431"/>
    <n v="8.35"/>
    <n v="49"/>
    <s v="WR/RB"/>
    <x v="0"/>
    <x v="5"/>
  </r>
  <r>
    <x v="27"/>
    <x v="4"/>
    <s v="matty-5"/>
    <s v="WR/RB"/>
    <s v="--"/>
    <m/>
    <n v="9.16"/>
    <n v="7.63"/>
    <n v="58.216900000000003"/>
    <s v="matty-5WR/RB"/>
    <s v="Corey Davis5"/>
    <s v="FLEX"/>
    <n v="1"/>
    <n v="1242"/>
    <n v="9.16"/>
    <n v="58.216900000000003"/>
    <s v="WR/RB"/>
    <x v="0"/>
    <x v="1"/>
  </r>
  <r>
    <x v="28"/>
    <x v="0"/>
    <s v="perry-1"/>
    <s v="RB-1"/>
    <n v="7.5"/>
    <m/>
    <n v="7.5"/>
    <n v="0"/>
    <n v="0"/>
    <s v="perry-1RB-1"/>
    <s v="Dalvin Cook1"/>
    <s v="FLEX"/>
    <n v="1"/>
    <n v="641"/>
    <n v="13.38"/>
    <n v="60.372900000000001"/>
    <s v="RB"/>
    <x v="2"/>
    <x v="9"/>
  </r>
  <r>
    <x v="28"/>
    <x v="1"/>
    <s v="perry-2"/>
    <s v="RB-1"/>
    <n v="9"/>
    <m/>
    <n v="9"/>
    <n v="0"/>
    <n v="0"/>
    <s v="perry-2RB-1"/>
    <s v="Dalvin Cook2"/>
    <s v="FLEX"/>
    <n v="1"/>
    <n v="734"/>
    <n v="12.7"/>
    <n v="63.680399999999999"/>
    <s v="RB"/>
    <x v="2"/>
    <x v="9"/>
  </r>
  <r>
    <x v="28"/>
    <x v="3"/>
    <s v="devon-4"/>
    <s v="WR/RB"/>
    <n v="2"/>
    <m/>
    <n v="2"/>
    <n v="0"/>
    <n v="0"/>
    <s v="devon-4WR/RB"/>
    <s v="Dalvin Cook4"/>
    <s v="FLEX"/>
    <n v="1"/>
    <n v="1514"/>
    <n v="8.07"/>
    <n v="24.206399999999999"/>
    <s v="WR/RB"/>
    <x v="2"/>
    <x v="0"/>
  </r>
  <r>
    <x v="29"/>
    <x v="0"/>
    <s v="perry-1"/>
    <s v="WR-1"/>
    <n v="14.8"/>
    <m/>
    <n v="14.8"/>
    <n v="0"/>
    <n v="0"/>
    <s v="perry-1WR-1"/>
    <s v="Davante Adams1"/>
    <s v="FLEX"/>
    <n v="1"/>
    <n v="1074"/>
    <n v="9.99"/>
    <n v="39.69"/>
    <s v="WR"/>
    <x v="0"/>
    <x v="9"/>
  </r>
  <r>
    <x v="29"/>
    <x v="1"/>
    <s v="perry-2"/>
    <s v="WR-1"/>
    <n v="12.4"/>
    <m/>
    <n v="12.4"/>
    <n v="0"/>
    <n v="0"/>
    <s v="perry-2WR-1"/>
    <s v="Davante Adams2"/>
    <s v="FLEX"/>
    <n v="1"/>
    <n v="1139"/>
    <n v="9.7100000000000009"/>
    <n v="29.4849"/>
    <s v="WR"/>
    <x v="0"/>
    <x v="9"/>
  </r>
  <r>
    <x v="29"/>
    <x v="2"/>
    <s v="perry-3"/>
    <s v="WR-1"/>
    <n v="11.2"/>
    <m/>
    <n v="11.2"/>
    <n v="0"/>
    <n v="0"/>
    <s v="perry-3WR-1"/>
    <s v="Davante Adams3"/>
    <s v="FLEX"/>
    <n v="1"/>
    <n v="884"/>
    <n v="11.35"/>
    <n v="50.8369"/>
    <s v="WR"/>
    <x v="0"/>
    <x v="9"/>
  </r>
  <r>
    <x v="29"/>
    <x v="3"/>
    <s v="perry-4"/>
    <s v="WR-1"/>
    <n v="8.1"/>
    <m/>
    <n v="8.1"/>
    <n v="0"/>
    <n v="0"/>
    <s v="perry-4WR-1"/>
    <s v="Davante Adams4"/>
    <s v="FLEX"/>
    <n v="1"/>
    <n v="832"/>
    <n v="11.85"/>
    <n v="55.800899999999999"/>
    <s v="WR"/>
    <x v="0"/>
    <x v="9"/>
  </r>
  <r>
    <x v="29"/>
    <x v="4"/>
    <s v="perry-5"/>
    <s v="WR-1"/>
    <s v="--"/>
    <m/>
    <n v="6.53"/>
    <n v="3.51"/>
    <n v="12.3201"/>
    <s v="perry-5WR-1"/>
    <s v="Davante Adams5"/>
    <s v="FLEX"/>
    <n v="1"/>
    <n v="1981"/>
    <n v="6.53"/>
    <n v="12.3201"/>
    <s v="WR"/>
    <x v="0"/>
    <x v="1"/>
  </r>
  <r>
    <x v="30"/>
    <x v="0"/>
    <s v="matty-1"/>
    <s v="RB-1"/>
    <n v="12.7"/>
    <m/>
    <n v="12.7"/>
    <n v="0"/>
    <n v="0"/>
    <s v="matty-1RB-1"/>
    <s v="David Johnson1"/>
    <s v="FLEX"/>
    <n v="1"/>
    <n v="251"/>
    <n v="18.440000000000001"/>
    <n v="85.192899999999995"/>
    <s v="RB"/>
    <x v="2"/>
    <x v="5"/>
  </r>
  <r>
    <x v="30"/>
    <x v="1"/>
    <s v="matty-2"/>
    <s v="RB-1"/>
    <n v="5.0999999999999996"/>
    <m/>
    <n v="5.0999999999999996"/>
    <n v="0"/>
    <n v="0"/>
    <s v="matty-2RB-1"/>
    <s v="David Johnson2"/>
    <s v="FLEX"/>
    <n v="1"/>
    <n v="495"/>
    <n v="14.9"/>
    <n v="94.672899999999998"/>
    <s v="RB"/>
    <x v="2"/>
    <x v="5"/>
  </r>
  <r>
    <x v="30"/>
    <x v="2"/>
    <s v="matty-3"/>
    <s v="RB-1"/>
    <n v="12.1"/>
    <m/>
    <n v="12.1"/>
    <n v="0"/>
    <n v="0"/>
    <s v="matty-3RB-1"/>
    <s v="David Johnson3"/>
    <s v="FLEX"/>
    <n v="1"/>
    <n v="885"/>
    <n v="11.35"/>
    <n v="33.988900000000001"/>
    <s v="RB"/>
    <x v="2"/>
    <x v="5"/>
  </r>
  <r>
    <x v="30"/>
    <x v="3"/>
    <s v="matty-4"/>
    <s v="RB-1"/>
    <n v="15.2"/>
    <m/>
    <n v="15.2"/>
    <n v="0"/>
    <n v="0"/>
    <s v="matty-4RB-1"/>
    <s v="David Johnson4"/>
    <s v="FLEX"/>
    <n v="1"/>
    <n v="954"/>
    <n v="10.72"/>
    <n v="66.422499999999999"/>
    <s v="RB"/>
    <x v="2"/>
    <x v="5"/>
  </r>
  <r>
    <x v="30"/>
    <x v="4"/>
    <s v="matty-5"/>
    <s v="RB-1"/>
    <s v="--"/>
    <m/>
    <n v="14.08"/>
    <n v="8.1300000000000008"/>
    <n v="66.096900000000005"/>
    <s v="matty-5RB-1"/>
    <s v="David Johnson5"/>
    <s v="FLEX"/>
    <n v="1"/>
    <n v="571"/>
    <n v="14.08"/>
    <n v="66.096900000000005"/>
    <s v="RB"/>
    <x v="2"/>
    <x v="1"/>
  </r>
  <r>
    <x v="31"/>
    <x v="0"/>
    <s v="chad-1"/>
    <s v="TE-1"/>
    <n v="1.3"/>
    <m/>
    <n v="1.3"/>
    <n v="0"/>
    <n v="0"/>
    <s v="chad-1TE-1"/>
    <s v="David Njoku1"/>
    <s v="FLEX"/>
    <n v="1"/>
    <n v="2989"/>
    <n v="4.12"/>
    <n v="17.808399999999999"/>
    <s v="TE"/>
    <x v="3"/>
    <x v="8"/>
  </r>
  <r>
    <x v="31"/>
    <x v="1"/>
    <s v="chad-2"/>
    <s v="TE-1"/>
    <n v="2"/>
    <m/>
    <n v="2"/>
    <n v="0"/>
    <n v="0"/>
    <s v="chad-2TE-1"/>
    <s v="David Njoku2"/>
    <s v="FLEX"/>
    <n v="1"/>
    <n v="2529"/>
    <n v="5.14"/>
    <n v="27.6676"/>
    <s v="TE"/>
    <x v="3"/>
    <x v="8"/>
  </r>
  <r>
    <x v="31"/>
    <x v="2"/>
    <s v="chad-3"/>
    <s v="TE-1"/>
    <n v="3.6"/>
    <m/>
    <n v="3.6"/>
    <n v="0"/>
    <n v="0"/>
    <s v="chad-3TE-1"/>
    <s v="David Njoku3"/>
    <s v="FLEX"/>
    <n v="1"/>
    <n v="2844"/>
    <n v="4.43"/>
    <n v="22.372900000000001"/>
    <s v="TE"/>
    <x v="3"/>
    <x v="8"/>
  </r>
  <r>
    <x v="31"/>
    <x v="3"/>
    <s v="chad-4"/>
    <s v="TE-1"/>
    <n v="5.2"/>
    <m/>
    <n v="5.2"/>
    <n v="0"/>
    <n v="0"/>
    <s v="chad-4TE-1"/>
    <s v="David Njoku4"/>
    <s v="FLEX"/>
    <n v="1"/>
    <n v="2220"/>
    <n v="5.89"/>
    <n v="12.8881"/>
    <s v="TE"/>
    <x v="3"/>
    <x v="8"/>
  </r>
  <r>
    <x v="32"/>
    <x v="0"/>
    <s v="aj-1"/>
    <s v="WR-1"/>
    <n v="7.1"/>
    <m/>
    <n v="7.1"/>
    <n v="0"/>
    <n v="0"/>
    <s v="aj-1WR-1"/>
    <s v="DeAndre Hopkins1"/>
    <s v="FLEX"/>
    <n v="1"/>
    <n v="488"/>
    <n v="14.98"/>
    <n v="43.56"/>
    <s v="WR"/>
    <x v="0"/>
    <x v="7"/>
  </r>
  <r>
    <x v="32"/>
    <x v="1"/>
    <s v="aj-2"/>
    <s v="WR-1"/>
    <n v="17"/>
    <m/>
    <n v="17"/>
    <n v="0"/>
    <n v="0"/>
    <s v="aj-2WR-1"/>
    <s v="DeAndre Hopkins2"/>
    <s v="FLEX"/>
    <n v="1"/>
    <n v="769"/>
    <n v="12.4"/>
    <n v="49.984900000000003"/>
    <s v="WR"/>
    <x v="0"/>
    <x v="7"/>
  </r>
  <r>
    <x v="32"/>
    <x v="2"/>
    <s v="aj-3"/>
    <s v="WR-1"/>
    <n v="8.6"/>
    <m/>
    <n v="8.6"/>
    <n v="0"/>
    <n v="0"/>
    <s v="aj-3WR-1"/>
    <s v="DeAndre Hopkins3"/>
    <s v="FLEX"/>
    <n v="1"/>
    <n v="684"/>
    <n v="13.01"/>
    <n v="64"/>
    <s v="WR"/>
    <x v="0"/>
    <x v="7"/>
  </r>
  <r>
    <x v="32"/>
    <x v="3"/>
    <s v="aj-4"/>
    <s v="WR-1"/>
    <n v="22.9"/>
    <m/>
    <n v="22.9"/>
    <n v="0"/>
    <n v="0"/>
    <s v="aj-4WR-1"/>
    <s v="DeAndre Hopkins4"/>
    <s v="FLEX"/>
    <n v="1"/>
    <n v="521"/>
    <n v="14.53"/>
    <n v="51.552399999999999"/>
    <s v="WR"/>
    <x v="0"/>
    <x v="7"/>
  </r>
  <r>
    <x v="32"/>
    <x v="4"/>
    <s v="aj-5"/>
    <s v="WR-1"/>
    <s v="--"/>
    <m/>
    <n v="15.31"/>
    <n v="7.38"/>
    <n v="54.464399999999998"/>
    <s v="aj-5WR-1"/>
    <s v="DeAndre Hopkins5"/>
    <s v="FLEX"/>
    <n v="1"/>
    <n v="460"/>
    <n v="15.31"/>
    <n v="54.464399999999998"/>
    <s v="WR"/>
    <x v="0"/>
    <x v="1"/>
  </r>
  <r>
    <x v="33"/>
    <x v="0"/>
    <s v="comp-1"/>
    <s v="TE-1"/>
    <n v="5.2"/>
    <m/>
    <n v="5.2"/>
    <n v="0"/>
    <n v="0"/>
    <s v="comp-1TE-1"/>
    <s v="Delanie Walker1"/>
    <s v="?"/>
    <n v="2"/>
    <e v="#N/A"/>
    <e v="#N/A"/>
    <e v="#N/A"/>
    <s v="TE"/>
    <x v="3"/>
    <x v="4"/>
  </r>
  <r>
    <x v="34"/>
    <x v="0"/>
    <s v="devon-1"/>
    <s v="WR-3"/>
    <n v="12.3"/>
    <m/>
    <n v="12.3"/>
    <n v="0"/>
    <n v="0"/>
    <s v="devon-1WR-3"/>
    <s v="Demaryius Thomas1"/>
    <s v="FLEX"/>
    <n v="1"/>
    <n v="1329"/>
    <n v="8.73"/>
    <n v="22.278400000000001"/>
    <s v="WR"/>
    <x v="0"/>
    <x v="0"/>
  </r>
  <r>
    <x v="34"/>
    <x v="1"/>
    <s v="devon-2"/>
    <s v="WR-3"/>
    <n v="1.8"/>
    <m/>
    <n v="1.8"/>
    <n v="0"/>
    <n v="0"/>
    <s v="devon-2WR-3"/>
    <s v="Demaryius Thomas2"/>
    <s v="FLEX"/>
    <n v="1"/>
    <n v="1133"/>
    <n v="9.74"/>
    <n v="21.529599999999999"/>
    <s v="WR"/>
    <x v="0"/>
    <x v="0"/>
  </r>
  <r>
    <x v="34"/>
    <x v="2"/>
    <s v="devon-3"/>
    <s v="WR-3"/>
    <n v="6.3"/>
    <m/>
    <n v="6.3"/>
    <n v="0"/>
    <n v="0"/>
    <s v="devon-3WR-3"/>
    <s v="Demaryius Thomas3"/>
    <s v="FLEX"/>
    <n v="1"/>
    <n v="1390"/>
    <n v="8.51"/>
    <n v="25.704899999999999"/>
    <s v="WR"/>
    <x v="0"/>
    <x v="0"/>
  </r>
  <r>
    <x v="34"/>
    <x v="3"/>
    <s v="devon-4"/>
    <s v="WR-3"/>
    <n v="2.4"/>
    <m/>
    <n v="2.4"/>
    <n v="0"/>
    <n v="0"/>
    <s v="devon-4WR-3"/>
    <s v="Demaryius Thomas4"/>
    <s v="FLEX"/>
    <n v="1"/>
    <n v="1317"/>
    <n v="8.7799999999999994"/>
    <n v="15.2881"/>
    <s v="WR"/>
    <x v="0"/>
    <x v="0"/>
  </r>
  <r>
    <x v="34"/>
    <x v="4"/>
    <s v="devon-5"/>
    <s v="WR/RB"/>
    <s v="--"/>
    <m/>
    <n v="7.92"/>
    <n v="4.88"/>
    <n v="23.814399999999999"/>
    <s v="devon-5WR/RB"/>
    <s v="Demaryius Thomas5"/>
    <s v="FLEX"/>
    <n v="1"/>
    <n v="1564"/>
    <n v="7.92"/>
    <n v="23.814399999999999"/>
    <s v="WR/RB"/>
    <x v="0"/>
    <x v="1"/>
  </r>
  <r>
    <x v="35"/>
    <x v="0"/>
    <s v="seth-1"/>
    <s v="RB-2"/>
    <n v="3.1"/>
    <m/>
    <n v="3.1"/>
    <n v="0"/>
    <n v="0"/>
    <s v="seth-1RB-2"/>
    <s v="Derrick Henry1"/>
    <s v="FLEX"/>
    <n v="1"/>
    <n v="1195"/>
    <n v="9.4"/>
    <n v="32.035600000000002"/>
    <s v="RB"/>
    <x v="2"/>
    <x v="3"/>
  </r>
  <r>
    <x v="35"/>
    <x v="4"/>
    <s v="seth-5"/>
    <s v="WR/RB"/>
    <s v="--"/>
    <m/>
    <n v="10.029999999999999"/>
    <n v="7.77"/>
    <n v="60.372900000000001"/>
    <s v="seth-5WR/RB"/>
    <s v="Derrick Henry5"/>
    <s v="FLEX"/>
    <n v="1"/>
    <n v="1063"/>
    <n v="10.029999999999999"/>
    <n v="60.372900000000001"/>
    <s v="WR/RB"/>
    <x v="2"/>
    <x v="1"/>
  </r>
  <r>
    <x v="36"/>
    <x v="0"/>
    <s v="chad-1"/>
    <s v="QB-1"/>
    <n v="11"/>
    <m/>
    <n v="11"/>
    <n v="0"/>
    <n v="0"/>
    <s v="chad-1QB-1"/>
    <s v="Deshaun Watson1"/>
    <s v="FLEX"/>
    <n v="1"/>
    <n v="198"/>
    <n v="19.16"/>
    <n v="49.140099999999997"/>
    <s v="QB"/>
    <x v="1"/>
    <x v="8"/>
  </r>
  <r>
    <x v="36"/>
    <x v="1"/>
    <s v="chad-2"/>
    <s v="QB-1"/>
    <n v="22.8"/>
    <m/>
    <n v="22.8"/>
    <n v="0"/>
    <n v="0"/>
    <s v="chad-2QB-1"/>
    <s v="Deshaun Watson2"/>
    <s v="FLEX"/>
    <n v="1"/>
    <n v="212"/>
    <n v="18.95"/>
    <n v="44.355600000000003"/>
    <s v="QB"/>
    <x v="1"/>
    <x v="8"/>
  </r>
  <r>
    <x v="36"/>
    <x v="2"/>
    <s v="chad-3"/>
    <s v="QB-1"/>
    <n v="25"/>
    <m/>
    <n v="25"/>
    <n v="0"/>
    <n v="0"/>
    <s v="chad-3QB-1"/>
    <s v="Deshaun Watson3"/>
    <s v="FLEX"/>
    <n v="1"/>
    <n v="161"/>
    <n v="19.66"/>
    <n v="54.169600000000003"/>
    <s v="QB"/>
    <x v="1"/>
    <x v="8"/>
  </r>
  <r>
    <x v="36"/>
    <x v="3"/>
    <s v="chad-4"/>
    <s v="QB-1"/>
    <n v="31.1"/>
    <m/>
    <n v="31.1"/>
    <n v="0"/>
    <n v="0"/>
    <s v="chad-4QB-1"/>
    <s v="Deshaun Watson4"/>
    <s v="FLEX"/>
    <n v="1"/>
    <n v="42"/>
    <n v="22.18"/>
    <n v="67.239999999999995"/>
    <s v="QB"/>
    <x v="1"/>
    <x v="8"/>
  </r>
  <r>
    <x v="36"/>
    <x v="4"/>
    <s v="chad-5"/>
    <s v="QB-1"/>
    <s v="--"/>
    <m/>
    <n v="23.21"/>
    <n v="8.49"/>
    <n v="72.080100000000002"/>
    <s v="chad-5QB-1"/>
    <s v="Deshaun Watson5"/>
    <s v="FLEX"/>
    <n v="1"/>
    <n v="22"/>
    <n v="23.21"/>
    <n v="72.080100000000002"/>
    <s v="QB"/>
    <x v="1"/>
    <x v="1"/>
  </r>
  <r>
    <x v="37"/>
    <x v="1"/>
    <s v="chad-2"/>
    <s v="WR-2"/>
    <n v="7.7"/>
    <m/>
    <n v="7.7"/>
    <n v="0"/>
    <n v="0"/>
    <s v="chad-2WR-2"/>
    <s v="Devin Funchess2"/>
    <s v="FLEX"/>
    <n v="1"/>
    <n v="1612"/>
    <n v="7.73"/>
    <n v="30.360099999999999"/>
    <s v="WR"/>
    <x v="0"/>
    <x v="8"/>
  </r>
  <r>
    <x v="37"/>
    <x v="2"/>
    <s v="chad-3"/>
    <s v="WR-2"/>
    <n v="12.7"/>
    <m/>
    <n v="12.7"/>
    <n v="0"/>
    <n v="0"/>
    <s v="chad-3WR-2"/>
    <s v="Devin Funchess3"/>
    <s v="FLEX"/>
    <n v="1"/>
    <n v="1451"/>
    <n v="8.26"/>
    <n v="19.6249"/>
    <s v="WR"/>
    <x v="0"/>
    <x v="8"/>
  </r>
  <r>
    <x v="37"/>
    <x v="4"/>
    <s v="chad-5"/>
    <s v="WR/RB"/>
    <s v="--"/>
    <m/>
    <n v="9.5299999999999994"/>
    <n v="6.25"/>
    <n v="39.0625"/>
    <s v="chad-5WR/RB"/>
    <s v="Devin Funchess5"/>
    <s v="FLEX"/>
    <n v="1"/>
    <n v="1176"/>
    <n v="9.5299999999999994"/>
    <n v="39.0625"/>
    <s v="WR/RB"/>
    <x v="0"/>
    <x v="1"/>
  </r>
  <r>
    <x v="38"/>
    <x v="0"/>
    <s v="comp-1"/>
    <s v="RB-1"/>
    <n v="5"/>
    <m/>
    <n v="5"/>
    <n v="0"/>
    <n v="0"/>
    <s v="comp-1RB-1"/>
    <s v="Devonta Freeman1"/>
    <s v="FLEX"/>
    <n v="1"/>
    <n v="1004"/>
    <n v="10.38"/>
    <n v="36.723599999999998"/>
    <s v="RB"/>
    <x v="2"/>
    <x v="4"/>
  </r>
  <r>
    <x v="38"/>
    <x v="4"/>
    <s v="aj-5"/>
    <s v="WR/RB"/>
    <s v="--"/>
    <m/>
    <n v="8.9499999999999993"/>
    <n v="8.76"/>
    <n v="76.7376"/>
    <s v="aj-5WR/RB"/>
    <s v="Devonta Freeman5"/>
    <s v="FLEX"/>
    <n v="1"/>
    <n v="1282"/>
    <n v="8.9499999999999993"/>
    <n v="76.7376"/>
    <s v="WR/RB"/>
    <x v="2"/>
    <x v="1"/>
  </r>
  <r>
    <x v="39"/>
    <x v="0"/>
    <s v="chad-1"/>
    <s v="WR/RB"/>
    <n v="17"/>
    <m/>
    <n v="17"/>
    <n v="0"/>
    <n v="0"/>
    <s v="chad-1WR/RB"/>
    <s v="Dion Lewis1"/>
    <s v="FLEX"/>
    <n v="1"/>
    <n v="1882"/>
    <n v="6.85"/>
    <n v="28.622499999999999"/>
    <s v="WR/RB"/>
    <x v="2"/>
    <x v="8"/>
  </r>
  <r>
    <x v="39"/>
    <x v="1"/>
    <s v="chad-2"/>
    <s v="WR/RB"/>
    <n v="4.3"/>
    <m/>
    <n v="4.3"/>
    <n v="0"/>
    <n v="0"/>
    <s v="chad-2WR/RB"/>
    <s v="Dion Lewis2"/>
    <s v="FLEX"/>
    <n v="1"/>
    <n v="1525"/>
    <n v="8.0399999999999991"/>
    <n v="32.947600000000001"/>
    <s v="WR/RB"/>
    <x v="2"/>
    <x v="8"/>
  </r>
  <r>
    <x v="39"/>
    <x v="2"/>
    <s v="chad-3"/>
    <s v="WR/RB"/>
    <n v="4"/>
    <m/>
    <n v="4"/>
    <n v="0"/>
    <n v="0"/>
    <s v="chad-3WR/RB"/>
    <s v="Dion Lewis3"/>
    <s v="FLEX"/>
    <n v="1"/>
    <n v="1296"/>
    <n v="8.89"/>
    <n v="18.232900000000001"/>
    <s v="WR/RB"/>
    <x v="2"/>
    <x v="8"/>
  </r>
  <r>
    <x v="39"/>
    <x v="3"/>
    <s v="chad-4"/>
    <s v="WR/RB"/>
    <n v="6.6"/>
    <m/>
    <n v="6.6"/>
    <n v="0"/>
    <n v="0"/>
    <s v="chad-4WR/RB"/>
    <s v="Dion Lewis4"/>
    <s v="FLEX"/>
    <n v="1"/>
    <n v="1406"/>
    <n v="8.4499999999999993"/>
    <n v="34.222499999999997"/>
    <s v="WR/RB"/>
    <x v="2"/>
    <x v="8"/>
  </r>
  <r>
    <x v="39"/>
    <x v="4"/>
    <s v="chad-5"/>
    <s v="RB-2"/>
    <s v="--"/>
    <m/>
    <n v="8.2799999999999994"/>
    <n v="6.44"/>
    <n v="41.473599999999998"/>
    <s v="chad-5RB-2"/>
    <s v="Dion Lewis5"/>
    <s v="FLEX"/>
    <n v="1"/>
    <n v="1447"/>
    <n v="8.2799999999999994"/>
    <n v="41.473599999999998"/>
    <s v="RB"/>
    <x v="2"/>
    <x v="1"/>
  </r>
  <r>
    <x v="40"/>
    <x v="0"/>
    <s v="chad-1"/>
    <s v="WR-2"/>
    <n v="0"/>
    <m/>
    <n v="0"/>
    <n v="0"/>
    <n v="0"/>
    <s v="chad-1WR-2"/>
    <s v="Doug Baldwin1"/>
    <s v="FLEX"/>
    <n v="1"/>
    <n v="1218"/>
    <n v="9.27"/>
    <n v="29.9209"/>
    <s v="WR"/>
    <x v="0"/>
    <x v="8"/>
  </r>
  <r>
    <x v="40"/>
    <x v="4"/>
    <s v="chad-5"/>
    <s v="WR-2"/>
    <s v="--"/>
    <m/>
    <n v="9.06"/>
    <n v="7.42"/>
    <n v="55.056399999999996"/>
    <s v="chad-5WR-2"/>
    <s v="Doug Baldwin5"/>
    <s v="FLEX"/>
    <n v="1"/>
    <n v="1263"/>
    <n v="9.06"/>
    <n v="55.056399999999996"/>
    <s v="WR"/>
    <x v="0"/>
    <x v="1"/>
  </r>
  <r>
    <x v="41"/>
    <x v="0"/>
    <s v="scott-1"/>
    <s v="QB-1"/>
    <n v="31.6"/>
    <m/>
    <n v="31.6"/>
    <n v="0"/>
    <n v="0"/>
    <s v="scott-1QB-1"/>
    <s v="Drew Brees1"/>
    <s v="FLEX"/>
    <n v="1"/>
    <n v="9"/>
    <n v="24.06"/>
    <n v="56.700899999999997"/>
    <s v="QB"/>
    <x v="1"/>
    <x v="10"/>
  </r>
  <r>
    <x v="41"/>
    <x v="1"/>
    <s v="scott-2"/>
    <s v="QB-1"/>
    <n v="17.600000000000001"/>
    <m/>
    <n v="17.600000000000001"/>
    <n v="0"/>
    <n v="0"/>
    <s v="scott-2QB-1"/>
    <s v="Drew Brees2"/>
    <s v="FLEX"/>
    <n v="1"/>
    <n v="12"/>
    <n v="23.92"/>
    <n v="40.068899999999999"/>
    <s v="QB"/>
    <x v="1"/>
    <x v="10"/>
  </r>
  <r>
    <x v="41"/>
    <x v="3"/>
    <s v="scott-4"/>
    <s v="QB-1"/>
    <n v="8.6"/>
    <m/>
    <n v="8.6"/>
    <n v="0"/>
    <n v="0"/>
    <s v="scott-4QB-1"/>
    <s v="Drew Brees4"/>
    <s v="FLEX"/>
    <n v="1"/>
    <n v="33"/>
    <n v="22.68"/>
    <n v="57.002499999999998"/>
    <s v="QB"/>
    <x v="1"/>
    <x v="10"/>
  </r>
  <r>
    <x v="41"/>
    <x v="4"/>
    <s v="scott-5"/>
    <s v="QB-1"/>
    <s v="--"/>
    <m/>
    <n v="21.26"/>
    <n v="8.0399999999999991"/>
    <n v="64.641599999999997"/>
    <s v="scott-5QB-1"/>
    <s v="Drew Brees5"/>
    <s v="FLEX"/>
    <n v="1"/>
    <n v="74"/>
    <n v="21.26"/>
    <n v="64.641599999999997"/>
    <s v="QB"/>
    <x v="1"/>
    <x v="1"/>
  </r>
  <r>
    <x v="42"/>
    <x v="1"/>
    <s v="comp-2"/>
    <s v="WR-3"/>
    <n v="9.6"/>
    <m/>
    <n v="9.6"/>
    <n v="0"/>
    <n v="0"/>
    <s v="comp-2WR-3"/>
    <s v="Emmanuel Sanders2"/>
    <s v="FLEX"/>
    <n v="1"/>
    <n v="1297"/>
    <n v="8.89"/>
    <n v="36.240400000000001"/>
    <s v="WR"/>
    <x v="0"/>
    <x v="4"/>
  </r>
  <r>
    <x v="42"/>
    <x v="2"/>
    <s v="comp-3"/>
    <s v="WR-3"/>
    <n v="13.3"/>
    <m/>
    <n v="13.3"/>
    <n v="0"/>
    <n v="0"/>
    <s v="comp-3WR-3"/>
    <s v="Emmanuel Sanders3"/>
    <s v="FLEX"/>
    <n v="1"/>
    <n v="1342"/>
    <n v="8.67"/>
    <n v="41.088099999999997"/>
    <s v="WR"/>
    <x v="0"/>
    <x v="4"/>
  </r>
  <r>
    <x v="42"/>
    <x v="3"/>
    <s v="comp-4"/>
    <s v="WR-3"/>
    <n v="6.3"/>
    <m/>
    <n v="6.3"/>
    <n v="0"/>
    <n v="0"/>
    <s v="comp-4WR-3"/>
    <s v="Emmanuel Sanders4"/>
    <s v="FLEX"/>
    <n v="1"/>
    <n v="1092"/>
    <n v="9.93"/>
    <n v="29.593599999999999"/>
    <s v="WR"/>
    <x v="0"/>
    <x v="4"/>
  </r>
  <r>
    <x v="42"/>
    <x v="4"/>
    <s v="comp-5"/>
    <s v="WR-2"/>
    <s v="--"/>
    <m/>
    <n v="8.33"/>
    <n v="4.21"/>
    <n v="17.7241"/>
    <s v="comp-5WR-2"/>
    <s v="Emmanuel Sanders5"/>
    <s v="FLEX"/>
    <n v="1"/>
    <n v="1432"/>
    <n v="8.33"/>
    <n v="17.7241"/>
    <s v="WR"/>
    <x v="0"/>
    <x v="1"/>
  </r>
  <r>
    <x v="43"/>
    <x v="3"/>
    <s v="devon-4"/>
    <s v="TE-1"/>
    <n v="10"/>
    <m/>
    <n v="10"/>
    <n v="0"/>
    <n v="0"/>
    <s v="devon-4TE-1"/>
    <s v="Eric Ebron4"/>
    <s v="FLEX"/>
    <n v="1"/>
    <n v="2395"/>
    <n v="5.46"/>
    <n v="16.160399999999999"/>
    <s v="TE"/>
    <x v="3"/>
    <x v="0"/>
  </r>
  <r>
    <x v="43"/>
    <x v="4"/>
    <s v="devon-5"/>
    <s v="TE-1"/>
    <n v="22.5"/>
    <m/>
    <n v="22.5"/>
    <n v="0"/>
    <n v="0"/>
    <s v="devon-5TE-1"/>
    <s v="Eric Ebron5"/>
    <s v="FLEX"/>
    <n v="1"/>
    <n v="2116"/>
    <n v="6.17"/>
    <n v="16.892099999999999"/>
    <s v="TE"/>
    <x v="3"/>
    <x v="1"/>
  </r>
  <r>
    <x v="44"/>
    <x v="2"/>
    <s v="devon-3"/>
    <s v="TE-1"/>
    <n v="1.9"/>
    <m/>
    <n v="1.9"/>
    <n v="0"/>
    <n v="0"/>
    <s v="devon-3TE-1"/>
    <s v="Evan Engram3"/>
    <s v="FLEX"/>
    <n v="1"/>
    <n v="1746"/>
    <n v="7.25"/>
    <n v="20.611599999999999"/>
    <s v="TE"/>
    <x v="3"/>
    <x v="0"/>
  </r>
  <r>
    <x v="45"/>
    <x v="0"/>
    <s v="devon-1"/>
    <s v="RB-1"/>
    <n v="14.6"/>
    <m/>
    <n v="14.6"/>
    <n v="0"/>
    <n v="0"/>
    <s v="devon-1RB-1"/>
    <s v="Ezekiel Elliott1"/>
    <s v="FLEX"/>
    <n v="1"/>
    <n v="524"/>
    <n v="14.51"/>
    <n v="41.602499999999999"/>
    <s v="RB"/>
    <x v="2"/>
    <x v="0"/>
  </r>
  <r>
    <x v="45"/>
    <x v="1"/>
    <s v="devon-2"/>
    <s v="RB-1"/>
    <n v="14.7"/>
    <m/>
    <n v="14.7"/>
    <n v="0"/>
    <n v="0"/>
    <s v="devon-2RB-1"/>
    <s v="Ezekiel Elliott2"/>
    <s v="FLEX"/>
    <n v="1"/>
    <n v="342"/>
    <n v="16.97"/>
    <n v="62.41"/>
    <s v="RB"/>
    <x v="2"/>
    <x v="0"/>
  </r>
  <r>
    <x v="45"/>
    <x v="2"/>
    <s v="perry-3"/>
    <s v="RB-2"/>
    <n v="11.8"/>
    <m/>
    <n v="11.8"/>
    <n v="0"/>
    <n v="0"/>
    <s v="perry-3RB-2"/>
    <s v="Ezekiel Elliott3"/>
    <s v="FLEX"/>
    <n v="1"/>
    <n v="299"/>
    <n v="17.57"/>
    <n v="108.78489999999999"/>
    <s v="RB"/>
    <x v="2"/>
    <x v="9"/>
  </r>
  <r>
    <x v="45"/>
    <x v="3"/>
    <s v="perry-4"/>
    <s v="RB-2"/>
    <n v="30"/>
    <m/>
    <n v="30"/>
    <n v="0"/>
    <n v="0"/>
    <s v="perry-4RB-2"/>
    <s v="Ezekiel Elliott4"/>
    <s v="FLEX"/>
    <n v="1"/>
    <n v="281"/>
    <n v="17.93"/>
    <n v="74.476900000000001"/>
    <s v="RB"/>
    <x v="2"/>
    <x v="9"/>
  </r>
  <r>
    <x v="45"/>
    <x v="4"/>
    <s v="perry-5"/>
    <s v="RB-2"/>
    <s v="--"/>
    <m/>
    <n v="17.41"/>
    <n v="8.6199999999999992"/>
    <n v="74.304400000000001"/>
    <s v="perry-5RB-2"/>
    <s v="Ezekiel Elliott5"/>
    <s v="FLEX"/>
    <n v="1"/>
    <n v="314"/>
    <n v="17.41"/>
    <n v="74.304400000000001"/>
    <s v="RB"/>
    <x v="2"/>
    <x v="1"/>
  </r>
  <r>
    <x v="46"/>
    <x v="1"/>
    <s v="aj-2"/>
    <s v="TE-1"/>
    <n v="2.2000000000000002"/>
    <m/>
    <n v="2.2000000000000002"/>
    <n v="0"/>
    <n v="0"/>
    <s v="aj-2TE-1"/>
    <s v="George Kittle2"/>
    <s v="FLEX"/>
    <n v="1"/>
    <n v="1752"/>
    <n v="7.23"/>
    <n v="39.564100000000003"/>
    <s v="TE"/>
    <x v="3"/>
    <x v="7"/>
  </r>
  <r>
    <x v="46"/>
    <x v="2"/>
    <s v="aj-3"/>
    <s v="TE-1"/>
    <n v="9.9"/>
    <m/>
    <n v="9.9"/>
    <n v="0"/>
    <n v="0"/>
    <s v="aj-3TE-1"/>
    <s v="George Kittle3"/>
    <s v="FLEX"/>
    <n v="1"/>
    <n v="1907"/>
    <n v="6.78"/>
    <n v="20.3401"/>
    <s v="TE"/>
    <x v="3"/>
    <x v="7"/>
  </r>
  <r>
    <x v="46"/>
    <x v="3"/>
    <s v="aj-4"/>
    <s v="TE-1"/>
    <n v="18.5"/>
    <m/>
    <n v="18.5"/>
    <n v="0"/>
    <n v="0"/>
    <s v="aj-4TE-1"/>
    <s v="George Kittle4"/>
    <s v="FLEX"/>
    <n v="1"/>
    <n v="2514"/>
    <n v="5.18"/>
    <n v="14.364100000000001"/>
    <s v="TE"/>
    <x v="3"/>
    <x v="7"/>
  </r>
  <r>
    <x v="46"/>
    <x v="4"/>
    <s v="scott-5"/>
    <s v="TE-1"/>
    <s v="--"/>
    <m/>
    <n v="6.15"/>
    <n v="4.43"/>
    <n v="19.6249"/>
    <s v="scott-5TE-1"/>
    <s v="George Kittle5"/>
    <s v="FLEX"/>
    <n v="1"/>
    <n v="2126"/>
    <n v="6.15"/>
    <n v="19.6249"/>
    <s v="TE"/>
    <x v="3"/>
    <x v="1"/>
  </r>
  <r>
    <x v="47"/>
    <x v="2"/>
    <s v="matty-3"/>
    <s v="WR/RB"/>
    <n v="13.6"/>
    <m/>
    <n v="13.6"/>
    <n v="0"/>
    <n v="0"/>
    <s v="matty-3WR/RB"/>
    <s v="Geronimo Allison3"/>
    <s v="FLEX"/>
    <n v="1"/>
    <n v="2291"/>
    <n v="5.71"/>
    <n v="26.01"/>
    <s v="WR/RB"/>
    <x v="0"/>
    <x v="5"/>
  </r>
  <r>
    <x v="48"/>
    <x v="2"/>
    <s v="aj-3"/>
    <s v="RB-2"/>
    <n v="14.6"/>
    <m/>
    <n v="14.6"/>
    <n v="0"/>
    <n v="0"/>
    <s v="aj-3RB-2"/>
    <s v="Giovani Bernard3"/>
    <s v="FLEX"/>
    <n v="1"/>
    <n v="1075"/>
    <n v="9.99"/>
    <n v="40.322499999999998"/>
    <s v="RB"/>
    <x v="2"/>
    <x v="7"/>
  </r>
  <r>
    <x v="48"/>
    <x v="3"/>
    <s v="aj-4"/>
    <s v="RB-2"/>
    <n v="21.6"/>
    <m/>
    <n v="21.6"/>
    <n v="0"/>
    <n v="0"/>
    <s v="aj-4RB-2"/>
    <s v="Giovani Bernard4"/>
    <s v="FLEX"/>
    <n v="1"/>
    <n v="859"/>
    <n v="11.66"/>
    <n v="61.779600000000002"/>
    <s v="RB"/>
    <x v="2"/>
    <x v="7"/>
  </r>
  <r>
    <x v="49"/>
    <x v="0"/>
    <s v="devon-1"/>
    <s v="WR-2"/>
    <n v="13.9"/>
    <m/>
    <n v="13.9"/>
    <n v="0"/>
    <n v="0"/>
    <s v="devon-1WR-2"/>
    <s v="Golden Tate1"/>
    <s v="FLEX"/>
    <n v="1"/>
    <n v="1112"/>
    <n v="9.82"/>
    <n v="49.561599999999999"/>
    <s v="WR"/>
    <x v="0"/>
    <x v="0"/>
  </r>
  <r>
    <x v="49"/>
    <x v="1"/>
    <s v="devon-2"/>
    <s v="WR-2"/>
    <n v="11.8"/>
    <m/>
    <n v="11.8"/>
    <n v="0"/>
    <n v="0"/>
    <s v="devon-2WR-2"/>
    <s v="Golden Tate2"/>
    <s v="FLEX"/>
    <n v="1"/>
    <n v="1201"/>
    <n v="9.36"/>
    <n v="37.699599999999997"/>
    <s v="WR"/>
    <x v="0"/>
    <x v="0"/>
  </r>
  <r>
    <x v="49"/>
    <x v="2"/>
    <s v="devon-3"/>
    <s v="WR-2"/>
    <n v="6.9"/>
    <m/>
    <n v="6.9"/>
    <n v="0"/>
    <n v="0"/>
    <s v="devon-3WR-2"/>
    <s v="Golden Tate3"/>
    <s v="FLEX"/>
    <n v="1"/>
    <n v="939"/>
    <n v="10.87"/>
    <n v="37.4544"/>
    <s v="WR"/>
    <x v="0"/>
    <x v="0"/>
  </r>
  <r>
    <x v="49"/>
    <x v="3"/>
    <s v="devon-4"/>
    <s v="WR-2"/>
    <n v="25.2"/>
    <m/>
    <n v="25.2"/>
    <n v="0"/>
    <n v="0"/>
    <s v="devon-4WR-2"/>
    <s v="Golden Tate4"/>
    <s v="FLEX"/>
    <n v="1"/>
    <n v="988"/>
    <n v="10.5"/>
    <n v="43.0336"/>
    <s v="WR"/>
    <x v="0"/>
    <x v="0"/>
  </r>
  <r>
    <x v="49"/>
    <x v="4"/>
    <s v="devon-5"/>
    <s v="WR-2"/>
    <s v="--"/>
    <m/>
    <n v="11.58"/>
    <n v="6.59"/>
    <n v="43.428100000000001"/>
    <s v="devon-5WR-2"/>
    <s v="Golden Tate5"/>
    <s v="FLEX"/>
    <n v="1"/>
    <n v="865"/>
    <n v="11.58"/>
    <n v="43.428100000000001"/>
    <s v="WR"/>
    <x v="0"/>
    <x v="1"/>
  </r>
  <r>
    <x v="50"/>
    <x v="0"/>
    <s v="aj-1"/>
    <s v="TE-1"/>
    <n v="3.3"/>
    <m/>
    <n v="3.3"/>
    <n v="0"/>
    <n v="0"/>
    <s v="aj-1TE-1"/>
    <s v="Greg Olsen1"/>
    <s v="FLEX"/>
    <n v="1"/>
    <n v="1183"/>
    <n v="9.51"/>
    <n v="45.5625"/>
    <s v="TE"/>
    <x v="3"/>
    <x v="7"/>
  </r>
  <r>
    <x v="51"/>
    <x v="0"/>
    <s v="devon-1"/>
    <s v="TE-1"/>
    <n v="4"/>
    <m/>
    <n v="4"/>
    <n v="0"/>
    <n v="0"/>
    <s v="devon-1TE-1"/>
    <s v="Jack Doyle1"/>
    <s v="FLEX"/>
    <n v="1"/>
    <n v="2222"/>
    <n v="5.89"/>
    <n v="17.7241"/>
    <s v="TE"/>
    <x v="3"/>
    <x v="0"/>
  </r>
  <r>
    <x v="51"/>
    <x v="1"/>
    <s v="devon-2"/>
    <s v="TE-1"/>
    <n v="2"/>
    <m/>
    <n v="2"/>
    <n v="0"/>
    <n v="0"/>
    <s v="devon-2TE-1"/>
    <s v="Jack Doyle2"/>
    <s v="FLEX"/>
    <n v="1"/>
    <n v="2538"/>
    <n v="5.12"/>
    <n v="14.364100000000001"/>
    <s v="TE"/>
    <x v="3"/>
    <x v="0"/>
  </r>
  <r>
    <x v="52"/>
    <x v="1"/>
    <s v="aj-2"/>
    <s v="WR/RB"/>
    <n v="7.1"/>
    <m/>
    <n v="7.1"/>
    <n v="0"/>
    <n v="0"/>
    <s v="aj-2WR/RB"/>
    <s v="Jamaal Williams2"/>
    <s v="FLEX"/>
    <n v="1"/>
    <n v="1069"/>
    <n v="10"/>
    <n v="31.922499999999999"/>
    <s v="WR/RB"/>
    <x v="2"/>
    <x v="7"/>
  </r>
  <r>
    <x v="53"/>
    <x v="0"/>
    <s v="aj-1"/>
    <s v="WR/RB"/>
    <n v="29.2"/>
    <m/>
    <n v="29.2"/>
    <n v="0"/>
    <n v="0"/>
    <s v="aj-1WR/RB"/>
    <s v="James Conner1"/>
    <s v="FLEX"/>
    <n v="1"/>
    <n v="685"/>
    <n v="13.01"/>
    <n v="78.499600000000001"/>
    <s v="WR/RB"/>
    <x v="2"/>
    <x v="7"/>
  </r>
  <r>
    <x v="53"/>
    <x v="1"/>
    <s v="aj-2"/>
    <s v="RB-2"/>
    <n v="14.5"/>
    <m/>
    <n v="14.5"/>
    <n v="0"/>
    <n v="0"/>
    <s v="aj-2RB-2"/>
    <s v="James Conner2"/>
    <s v="FLEX"/>
    <n v="1"/>
    <n v="607"/>
    <n v="13.69"/>
    <n v="70.392099999999999"/>
    <s v="RB"/>
    <x v="2"/>
    <x v="7"/>
  </r>
  <r>
    <x v="53"/>
    <x v="2"/>
    <s v="aj-3"/>
    <s v="WR/RB"/>
    <n v="9.5"/>
    <m/>
    <n v="9.5"/>
    <n v="0"/>
    <n v="0"/>
    <s v="aj-3WR/RB"/>
    <s v="James Conner3"/>
    <s v="FLEX"/>
    <n v="1"/>
    <n v="683"/>
    <n v="13.02"/>
    <n v="144.7209"/>
    <s v="WR/RB"/>
    <x v="2"/>
    <x v="7"/>
  </r>
  <r>
    <x v="53"/>
    <x v="3"/>
    <s v="aj-4"/>
    <s v="WR/RB"/>
    <n v="6.4"/>
    <m/>
    <n v="6.4"/>
    <n v="0"/>
    <n v="0"/>
    <s v="aj-4WR/RB"/>
    <s v="James Conner4"/>
    <s v="FLEX"/>
    <n v="1"/>
    <n v="824"/>
    <n v="11.91"/>
    <n v="80.460899999999995"/>
    <s v="WR/RB"/>
    <x v="2"/>
    <x v="7"/>
  </r>
  <r>
    <x v="53"/>
    <x v="4"/>
    <s v="aj-5"/>
    <s v="RB-1"/>
    <s v="--"/>
    <m/>
    <n v="13.33"/>
    <n v="8.66"/>
    <n v="74.995599999999996"/>
    <s v="aj-5RB-1"/>
    <s v="James Conner5"/>
    <s v="FLEX"/>
    <n v="1"/>
    <n v="647"/>
    <n v="13.33"/>
    <n v="74.995599999999996"/>
    <s v="RB"/>
    <x v="2"/>
    <x v="1"/>
  </r>
  <r>
    <x v="54"/>
    <x v="2"/>
    <s v="cory-3"/>
    <s v="RB-2"/>
    <n v="11.1"/>
    <m/>
    <n v="11.1"/>
    <n v="0"/>
    <n v="0"/>
    <s v="cory-3RB-2"/>
    <s v="James White3"/>
    <s v="FLEX"/>
    <n v="1"/>
    <n v="1900"/>
    <n v="6.8"/>
    <n v="19.009599999999999"/>
    <s v="RB"/>
    <x v="2"/>
    <x v="2"/>
  </r>
  <r>
    <x v="54"/>
    <x v="3"/>
    <s v="cory-4"/>
    <s v="RB-2"/>
    <n v="23.2"/>
    <m/>
    <n v="23.2"/>
    <n v="0"/>
    <n v="0"/>
    <s v="cory-4RB-2"/>
    <s v="James White4"/>
    <s v="FLEX"/>
    <n v="1"/>
    <n v="2124"/>
    <n v="6.16"/>
    <n v="16"/>
    <s v="RB"/>
    <x v="2"/>
    <x v="2"/>
  </r>
  <r>
    <x v="54"/>
    <x v="4"/>
    <s v="cory-5"/>
    <s v="RB-2"/>
    <n v="13.7"/>
    <m/>
    <n v="13.7"/>
    <n v="0"/>
    <n v="0"/>
    <s v="cory-5RB-2"/>
    <s v="James White5"/>
    <s v="FLEX"/>
    <n v="1"/>
    <n v="1015"/>
    <n v="10.33"/>
    <n v="29.4849"/>
    <s v="RB"/>
    <x v="2"/>
    <x v="1"/>
  </r>
  <r>
    <x v="55"/>
    <x v="1"/>
    <s v="lucas-2"/>
    <s v="WR-3"/>
    <n v="3.7"/>
    <m/>
    <n v="3.7"/>
    <n v="0"/>
    <n v="0"/>
    <s v="lucas-2WR-3"/>
    <s v="Jamison Crowder2"/>
    <s v="FLEX"/>
    <n v="1"/>
    <n v="1990"/>
    <n v="6.51"/>
    <n v="26.112100000000002"/>
    <s v="WR"/>
    <x v="0"/>
    <x v="6"/>
  </r>
  <r>
    <x v="55"/>
    <x v="4"/>
    <s v="lucas-5"/>
    <s v="WR-2"/>
    <s v="--"/>
    <m/>
    <n v="6.48"/>
    <n v="4.3899999999999997"/>
    <n v="19.272099999999998"/>
    <s v="lucas-5WR-2"/>
    <s v="Jamison Crowder5"/>
    <s v="FLEX"/>
    <n v="1"/>
    <n v="2005"/>
    <n v="6.48"/>
    <n v="19.272099999999998"/>
    <s v="WR"/>
    <x v="0"/>
    <x v="1"/>
  </r>
  <r>
    <x v="56"/>
    <x v="4"/>
    <s v="chad-5"/>
    <s v="TE-1"/>
    <s v="--"/>
    <m/>
    <n v="7.48"/>
    <n v="4.43"/>
    <n v="19.6249"/>
    <s v="chad-5TE-1"/>
    <s v="Jared Cook5"/>
    <s v="FLEX"/>
    <n v="1"/>
    <n v="1681"/>
    <n v="7.48"/>
    <n v="19.6249"/>
    <s v="TE"/>
    <x v="3"/>
    <x v="1"/>
  </r>
  <r>
    <x v="57"/>
    <x v="0"/>
    <s v="cory-1"/>
    <s v="WR-3"/>
    <n v="10.6"/>
    <m/>
    <n v="10.6"/>
    <n v="0"/>
    <n v="0"/>
    <s v="cory-1WR-3"/>
    <s v="Jarvis Landry1"/>
    <s v="FLEX"/>
    <n v="1"/>
    <n v="1398"/>
    <n v="8.49"/>
    <n v="34.81"/>
    <s v="WR"/>
    <x v="0"/>
    <x v="2"/>
  </r>
  <r>
    <x v="57"/>
    <x v="1"/>
    <s v="cory-2"/>
    <s v="WR-3"/>
    <n v="6.9"/>
    <m/>
    <n v="6.9"/>
    <n v="0"/>
    <n v="0"/>
    <s v="cory-2WR-3"/>
    <s v="Jarvis Landry2"/>
    <s v="FLEX"/>
    <n v="1"/>
    <n v="953"/>
    <n v="10.74"/>
    <n v="47.886400000000002"/>
    <s v="WR"/>
    <x v="0"/>
    <x v="2"/>
  </r>
  <r>
    <x v="57"/>
    <x v="2"/>
    <s v="cory-3"/>
    <s v="WR-3"/>
    <n v="12.3"/>
    <m/>
    <n v="12.3"/>
    <n v="0"/>
    <n v="0"/>
    <s v="cory-3WR-3"/>
    <s v="Jarvis Landry3"/>
    <s v="FLEX"/>
    <n v="1"/>
    <n v="1172"/>
    <n v="9.56"/>
    <n v="34.222499999999997"/>
    <s v="WR"/>
    <x v="0"/>
    <x v="2"/>
  </r>
  <r>
    <x v="57"/>
    <x v="3"/>
    <s v="cory-4"/>
    <s v="WR-3"/>
    <n v="9.4"/>
    <m/>
    <n v="9.4"/>
    <n v="0"/>
    <n v="0"/>
    <s v="cory-4WR-3"/>
    <s v="Jarvis Landry4"/>
    <s v="FLEX"/>
    <n v="1"/>
    <n v="1134"/>
    <n v="9.74"/>
    <n v="41.344900000000003"/>
    <s v="WR"/>
    <x v="0"/>
    <x v="2"/>
  </r>
  <r>
    <x v="57"/>
    <x v="4"/>
    <s v="cory-5"/>
    <s v="WR-3"/>
    <s v="--"/>
    <m/>
    <n v="9.6199999999999992"/>
    <n v="5.36"/>
    <n v="28.729600000000001"/>
    <s v="cory-5WR-3"/>
    <s v="Jarvis Landry5"/>
    <s v="FLEX"/>
    <n v="1"/>
    <n v="1156"/>
    <n v="9.6199999999999992"/>
    <n v="28.729600000000001"/>
    <s v="WR"/>
    <x v="0"/>
    <x v="1"/>
  </r>
  <r>
    <x v="58"/>
    <x v="0"/>
    <s v="matty-1"/>
    <s v="WR/RB"/>
    <n v="20.2"/>
    <m/>
    <n v="20.2"/>
    <n v="0"/>
    <n v="0"/>
    <s v="matty-1WR/RB"/>
    <s v="Jay Ajayi1"/>
    <s v="FLEX"/>
    <n v="1"/>
    <n v="1256"/>
    <n v="9.09"/>
    <n v="32.035600000000002"/>
    <s v="WR/RB"/>
    <x v="2"/>
    <x v="5"/>
  </r>
  <r>
    <x v="58"/>
    <x v="1"/>
    <s v="matty-2"/>
    <s v="WR/RB"/>
    <n v="8.6999999999999993"/>
    <m/>
    <n v="8.6999999999999993"/>
    <n v="0"/>
    <n v="0"/>
    <s v="matty-2WR/RB"/>
    <s v="Jay Ajayi2"/>
    <s v="FLEX"/>
    <n v="1"/>
    <n v="1032"/>
    <n v="10.24"/>
    <n v="42.640900000000002"/>
    <s v="WR/RB"/>
    <x v="2"/>
    <x v="5"/>
  </r>
  <r>
    <x v="59"/>
    <x v="0"/>
    <s v="perry-1"/>
    <s v="QB-1"/>
    <n v="9"/>
    <m/>
    <n v="9"/>
    <n v="0"/>
    <n v="0"/>
    <s v="perry-1QB-1"/>
    <s v="Jimmy Garoppolo1"/>
    <s v="?"/>
    <n v="2"/>
    <e v="#N/A"/>
    <e v="#N/A"/>
    <e v="#N/A"/>
    <s v="QB"/>
    <x v="1"/>
    <x v="9"/>
  </r>
  <r>
    <x v="59"/>
    <x v="1"/>
    <s v="perry-2"/>
    <s v="QB-1"/>
    <n v="16.600000000000001"/>
    <m/>
    <n v="16.600000000000001"/>
    <n v="0"/>
    <n v="0"/>
    <s v="perry-2QB-1"/>
    <s v="Jimmy Garoppolo2"/>
    <s v="?"/>
    <n v="2"/>
    <e v="#N/A"/>
    <e v="#N/A"/>
    <e v="#N/A"/>
    <s v="QB"/>
    <x v="1"/>
    <x v="9"/>
  </r>
  <r>
    <x v="60"/>
    <x v="0"/>
    <s v="seth-1"/>
    <s v="TE-1"/>
    <n v="0.8"/>
    <m/>
    <n v="0.8"/>
    <n v="0"/>
    <n v="0"/>
    <s v="seth-1TE-1"/>
    <s v="Jimmy Graham1"/>
    <s v="FLEX"/>
    <n v="1"/>
    <n v="1576"/>
    <n v="7.89"/>
    <n v="30.1401"/>
    <s v="TE"/>
    <x v="3"/>
    <x v="3"/>
  </r>
  <r>
    <x v="60"/>
    <x v="1"/>
    <s v="seth-2"/>
    <s v="TE-1"/>
    <n v="9.5"/>
    <m/>
    <n v="9.5"/>
    <n v="0"/>
    <n v="0"/>
    <s v="seth-2TE-1"/>
    <s v="Jimmy Graham2"/>
    <s v="FLEX"/>
    <n v="1"/>
    <n v="1892"/>
    <n v="6.83"/>
    <n v="27.04"/>
    <s v="TE"/>
    <x v="3"/>
    <x v="3"/>
  </r>
  <r>
    <x v="60"/>
    <x v="2"/>
    <s v="seth-3"/>
    <s v="TE-1"/>
    <n v="4.5"/>
    <m/>
    <n v="4.5"/>
    <n v="0"/>
    <n v="0"/>
    <s v="seth-3TE-1"/>
    <s v="Jimmy Graham3"/>
    <s v="FLEX"/>
    <n v="1"/>
    <n v="1487"/>
    <n v="8.15"/>
    <n v="35.880099999999999"/>
    <s v="TE"/>
    <x v="3"/>
    <x v="3"/>
  </r>
  <r>
    <x v="60"/>
    <x v="3"/>
    <s v="seth-4"/>
    <s v="TE-1"/>
    <n v="8.1"/>
    <m/>
    <n v="8.1"/>
    <n v="0"/>
    <n v="0"/>
    <s v="seth-4TE-1"/>
    <s v="Jimmy Graham4"/>
    <s v="FLEX"/>
    <n v="1"/>
    <n v="1546"/>
    <n v="7.97"/>
    <n v="39.312899999999999"/>
    <s v="TE"/>
    <x v="3"/>
    <x v="3"/>
  </r>
  <r>
    <x v="60"/>
    <x v="4"/>
    <s v="seth-5"/>
    <s v="TE-1"/>
    <s v="--"/>
    <m/>
    <n v="8.65"/>
    <n v="6.6"/>
    <n v="43.56"/>
    <s v="seth-5TE-1"/>
    <s v="Jimmy Graham5"/>
    <s v="FLEX"/>
    <n v="1"/>
    <n v="1347"/>
    <n v="8.65"/>
    <n v="43.56"/>
    <s v="TE"/>
    <x v="3"/>
    <x v="1"/>
  </r>
  <r>
    <x v="61"/>
    <x v="0"/>
    <s v="scott-1"/>
    <s v="WR/RB"/>
    <n v="20.9"/>
    <m/>
    <n v="20.9"/>
    <n v="0"/>
    <n v="0"/>
    <s v="scott-1WR/RB"/>
    <s v="Joe Mixon1"/>
    <s v="FLEX"/>
    <n v="1"/>
    <n v="698"/>
    <n v="12.94"/>
    <n v="29.593599999999999"/>
    <s v="WR/RB"/>
    <x v="2"/>
    <x v="10"/>
  </r>
  <r>
    <x v="61"/>
    <x v="1"/>
    <s v="scott-2"/>
    <s v="WR/RB"/>
    <n v="8.6999999999999993"/>
    <m/>
    <n v="8.6999999999999993"/>
    <n v="0"/>
    <n v="0"/>
    <s v="scott-2WR/RB"/>
    <s v="Joe Mixon2"/>
    <s v="FLEX"/>
    <n v="1"/>
    <n v="1039"/>
    <n v="10.18"/>
    <n v="30.1401"/>
    <s v="WR/RB"/>
    <x v="2"/>
    <x v="10"/>
  </r>
  <r>
    <x v="61"/>
    <x v="4"/>
    <s v="aj-5"/>
    <s v="RB-2"/>
    <s v="--"/>
    <m/>
    <n v="11.78"/>
    <n v="15.47"/>
    <n v="239.32089999999999"/>
    <s v="aj-5RB-2"/>
    <s v="Joe Mixon5"/>
    <s v="FLEX"/>
    <n v="1"/>
    <n v="838"/>
    <n v="11.78"/>
    <n v="239.32089999999999"/>
    <s v="RB"/>
    <x v="2"/>
    <x v="1"/>
  </r>
  <r>
    <x v="62"/>
    <x v="3"/>
    <s v="scott-4"/>
    <s v="WR-3"/>
    <n v="17.899999999999999"/>
    <m/>
    <n v="17.899999999999999"/>
    <n v="0"/>
    <n v="0"/>
    <s v="scott-4WR-3"/>
    <s v="John Brown4"/>
    <s v="FLEX"/>
    <n v="1"/>
    <n v="1884"/>
    <n v="6.85"/>
    <n v="28.302399999999999"/>
    <s v="WR"/>
    <x v="0"/>
    <x v="10"/>
  </r>
  <r>
    <x v="62"/>
    <x v="4"/>
    <s v="scott-5"/>
    <s v="WR-3"/>
    <s v="--"/>
    <m/>
    <n v="8.4499999999999993"/>
    <n v="6.79"/>
    <n v="46.104100000000003"/>
    <s v="scott-5WR-3"/>
    <s v="John Brown5"/>
    <s v="FLEX"/>
    <n v="1"/>
    <n v="1407"/>
    <n v="8.4499999999999993"/>
    <n v="46.104100000000003"/>
    <s v="WR"/>
    <x v="0"/>
    <x v="1"/>
  </r>
  <r>
    <x v="63"/>
    <x v="0"/>
    <s v="chad-1"/>
    <s v="RB-2"/>
    <n v="10.7"/>
    <m/>
    <n v="10.7"/>
    <n v="0"/>
    <n v="0"/>
    <s v="chad-1RB-2"/>
    <s v="Jordan Howard1"/>
    <s v="FLEX"/>
    <n v="1"/>
    <n v="758"/>
    <n v="12.47"/>
    <n v="67.568399999999997"/>
    <s v="RB"/>
    <x v="2"/>
    <x v="8"/>
  </r>
  <r>
    <x v="63"/>
    <x v="1"/>
    <s v="chad-2"/>
    <s v="RB-2"/>
    <n v="6.8"/>
    <m/>
    <n v="6.8"/>
    <n v="0"/>
    <n v="0"/>
    <s v="chad-2RB-2"/>
    <s v="Jordan Howard2"/>
    <s v="FLEX"/>
    <n v="1"/>
    <n v="830"/>
    <n v="11.86"/>
    <n v="43.692100000000003"/>
    <s v="RB"/>
    <x v="2"/>
    <x v="8"/>
  </r>
  <r>
    <x v="63"/>
    <x v="2"/>
    <s v="chad-3"/>
    <s v="RB-2"/>
    <n v="14.1"/>
    <m/>
    <n v="14.1"/>
    <n v="0"/>
    <n v="0"/>
    <s v="chad-3RB-2"/>
    <s v="Jordan Howard3"/>
    <s v="FLEX"/>
    <n v="1"/>
    <n v="814"/>
    <n v="12.03"/>
    <n v="41.088099999999997"/>
    <s v="RB"/>
    <x v="2"/>
    <x v="8"/>
  </r>
  <r>
    <x v="63"/>
    <x v="3"/>
    <s v="chad-4"/>
    <s v="RB-2"/>
    <n v="2.5"/>
    <m/>
    <n v="2.5"/>
    <n v="0"/>
    <n v="0"/>
    <s v="chad-4RB-2"/>
    <s v="Jordan Howard4"/>
    <s v="FLEX"/>
    <n v="1"/>
    <n v="603"/>
    <n v="13.71"/>
    <n v="71.064899999999994"/>
    <s v="RB"/>
    <x v="2"/>
    <x v="8"/>
  </r>
  <r>
    <x v="64"/>
    <x v="0"/>
    <s v="matty-1"/>
    <s v="TE-1"/>
    <n v="10.8"/>
    <m/>
    <n v="10.8"/>
    <n v="0"/>
    <n v="0"/>
    <s v="matty-1TE-1"/>
    <s v="Jordan Reed1"/>
    <s v="FLEX"/>
    <n v="1"/>
    <n v="2422"/>
    <n v="5.41"/>
    <n v="21.3444"/>
    <s v="TE"/>
    <x v="3"/>
    <x v="5"/>
  </r>
  <r>
    <x v="64"/>
    <x v="1"/>
    <s v="matty-2"/>
    <s v="TE-1"/>
    <n v="3.5"/>
    <m/>
    <n v="3.5"/>
    <n v="0"/>
    <n v="0"/>
    <s v="matty-2TE-1"/>
    <s v="Jordan Reed2"/>
    <s v="FLEX"/>
    <n v="1"/>
    <n v="1801"/>
    <n v="7.1"/>
    <n v="35.640900000000002"/>
    <s v="TE"/>
    <x v="3"/>
    <x v="5"/>
  </r>
  <r>
    <x v="64"/>
    <x v="2"/>
    <s v="matty-3"/>
    <s v="TE-1"/>
    <n v="6.5"/>
    <m/>
    <n v="6.5"/>
    <n v="0"/>
    <n v="0"/>
    <s v="matty-3TE-1"/>
    <s v="Jordan Reed3"/>
    <s v="FLEX"/>
    <n v="1"/>
    <n v="2044"/>
    <n v="6.39"/>
    <n v="21.3444"/>
    <s v="TE"/>
    <x v="3"/>
    <x v="5"/>
  </r>
  <r>
    <x v="64"/>
    <x v="4"/>
    <s v="matty-5"/>
    <s v="TE-1"/>
    <s v="--"/>
    <m/>
    <n v="7.57"/>
    <n v="5.73"/>
    <n v="32.832900000000002"/>
    <s v="matty-5TE-1"/>
    <s v="Jordan Reed5"/>
    <s v="FLEX"/>
    <n v="1"/>
    <n v="1652"/>
    <n v="7.57"/>
    <n v="32.832900000000002"/>
    <s v="TE"/>
    <x v="3"/>
    <x v="1"/>
  </r>
  <r>
    <x v="65"/>
    <x v="0"/>
    <s v="perry-1"/>
    <s v="RB-2"/>
    <n v="6.1"/>
    <m/>
    <n v="6.1"/>
    <n v="0"/>
    <n v="0"/>
    <s v="perry-1RB-2"/>
    <s v="Jordan Wilkins1"/>
    <s v="FLEX"/>
    <n v="1"/>
    <n v="1501"/>
    <n v="8.11"/>
    <n v="36.4816"/>
    <s v="RB"/>
    <x v="2"/>
    <x v="9"/>
  </r>
  <r>
    <x v="66"/>
    <x v="3"/>
    <s v="seth-4"/>
    <s v="WR-3"/>
    <n v="12.8"/>
    <m/>
    <n v="12.8"/>
    <n v="0"/>
    <n v="0"/>
    <s v="seth-4WR-3"/>
    <s v="Jordy Nelson4"/>
    <s v="FLEX"/>
    <n v="1"/>
    <n v="1821"/>
    <n v="7.03"/>
    <n v="25.200399999999998"/>
    <s v="WR"/>
    <x v="0"/>
    <x v="3"/>
  </r>
  <r>
    <x v="66"/>
    <x v="4"/>
    <s v="seth-5"/>
    <s v="WR-3"/>
    <s v="--"/>
    <m/>
    <n v="7.46"/>
    <n v="6.72"/>
    <n v="45.1584"/>
    <s v="seth-5WR-3"/>
    <s v="Jordy Nelson5"/>
    <s v="FLEX"/>
    <n v="1"/>
    <n v="1687"/>
    <n v="7.46"/>
    <n v="45.1584"/>
    <s v="WR"/>
    <x v="0"/>
    <x v="1"/>
  </r>
  <r>
    <x v="67"/>
    <x v="0"/>
    <s v="cory-1"/>
    <s v="WR/RB"/>
    <n v="1.1000000000000001"/>
    <m/>
    <n v="1.1000000000000001"/>
    <n v="0"/>
    <n v="0"/>
    <s v="cory-1WR/RB"/>
    <s v="Josh Doctson1"/>
    <s v="FLEX"/>
    <n v="1"/>
    <n v="2871"/>
    <n v="4.37"/>
    <n v="14.212899999999999"/>
    <s v="WR/RB"/>
    <x v="0"/>
    <x v="2"/>
  </r>
  <r>
    <x v="68"/>
    <x v="0"/>
    <s v="chad-1"/>
    <s v="WR-3"/>
    <n v="7.7"/>
    <m/>
    <n v="7.7"/>
    <n v="0"/>
    <n v="0"/>
    <s v="chad-1WR-3"/>
    <s v="Josh Gordon1"/>
    <s v="FLEX"/>
    <n v="1"/>
    <n v="2859"/>
    <n v="4.4000000000000004"/>
    <n v="15.6816"/>
    <s v="WR"/>
    <x v="0"/>
    <x v="8"/>
  </r>
  <r>
    <x v="69"/>
    <x v="0"/>
    <s v="scott-1"/>
    <s v="WR-1"/>
    <n v="11.9"/>
    <m/>
    <n v="11.9"/>
    <n v="0"/>
    <n v="0"/>
    <s v="scott-1WR-1"/>
    <s v="JuJu Smith-Schuster1"/>
    <s v="FLEX"/>
    <n v="1"/>
    <n v="1895"/>
    <n v="6.82"/>
    <n v="26.8324"/>
    <s v="WR"/>
    <x v="0"/>
    <x v="10"/>
  </r>
  <r>
    <x v="69"/>
    <x v="1"/>
    <s v="scott-2"/>
    <s v="WR-1"/>
    <n v="18.100000000000001"/>
    <m/>
    <n v="18.100000000000001"/>
    <n v="0"/>
    <n v="0"/>
    <s v="scott-2WR-1"/>
    <s v="JuJu Smith-Schuster2"/>
    <s v="FLEX"/>
    <n v="1"/>
    <n v="1254"/>
    <n v="9.1"/>
    <n v="30.802499999999998"/>
    <s v="WR"/>
    <x v="0"/>
    <x v="10"/>
  </r>
  <r>
    <x v="69"/>
    <x v="2"/>
    <s v="scott-3"/>
    <s v="WR-1"/>
    <n v="11.6"/>
    <m/>
    <n v="11.6"/>
    <n v="0"/>
    <n v="0"/>
    <s v="scott-3WR-1"/>
    <s v="JuJu Smith-Schuster3"/>
    <s v="FLEX"/>
    <n v="1"/>
    <n v="1022"/>
    <n v="10.3"/>
    <n v="37.21"/>
    <s v="WR"/>
    <x v="0"/>
    <x v="10"/>
  </r>
  <r>
    <x v="69"/>
    <x v="3"/>
    <s v="scott-4"/>
    <s v="WR-1"/>
    <n v="6"/>
    <m/>
    <n v="6"/>
    <n v="0"/>
    <n v="0"/>
    <s v="scott-4WR-1"/>
    <s v="JuJu Smith-Schuster4"/>
    <s v="FLEX"/>
    <n v="1"/>
    <n v="1001"/>
    <n v="10.4"/>
    <n v="32.604100000000003"/>
    <s v="WR"/>
    <x v="0"/>
    <x v="10"/>
  </r>
  <r>
    <x v="69"/>
    <x v="4"/>
    <s v="scott-5"/>
    <s v="WR-1"/>
    <s v="--"/>
    <m/>
    <n v="11.35"/>
    <n v="7.36"/>
    <n v="54.169600000000003"/>
    <s v="scott-5WR-1"/>
    <s v="JuJu Smith-Schuster5"/>
    <s v="FLEX"/>
    <n v="1"/>
    <n v="886"/>
    <n v="11.35"/>
    <n v="54.169600000000003"/>
    <s v="WR"/>
    <x v="0"/>
    <x v="1"/>
  </r>
  <r>
    <x v="70"/>
    <x v="4"/>
    <s v="chad-5"/>
    <s v="WR-3"/>
    <n v="5.7"/>
    <m/>
    <n v="5.7"/>
    <n v="0"/>
    <n v="0"/>
    <s v="chad-5WR-3"/>
    <s v="Julian Edelman5"/>
    <s v="FLEX"/>
    <n v="1"/>
    <n v="1118"/>
    <n v="9.81"/>
    <n v="44.488900000000001"/>
    <s v="WR"/>
    <x v="0"/>
    <x v="1"/>
  </r>
  <r>
    <x v="71"/>
    <x v="0"/>
    <s v="cory-1"/>
    <s v="WR-1"/>
    <n v="18"/>
    <m/>
    <n v="18"/>
    <n v="0"/>
    <n v="0"/>
    <s v="cory-1WR-1"/>
    <s v="Julio Jones1"/>
    <s v="FLEX"/>
    <n v="1"/>
    <n v="1104"/>
    <n v="9.8699999999999992"/>
    <n v="66.096900000000005"/>
    <s v="WR"/>
    <x v="0"/>
    <x v="2"/>
  </r>
  <r>
    <x v="71"/>
    <x v="1"/>
    <s v="cory-2"/>
    <s v="WR-1"/>
    <n v="6.4"/>
    <m/>
    <n v="6.4"/>
    <n v="0"/>
    <n v="0"/>
    <s v="cory-2WR-1"/>
    <s v="Julio Jones2"/>
    <s v="FLEX"/>
    <n v="1"/>
    <n v="840"/>
    <n v="11.77"/>
    <n v="78.145600000000002"/>
    <s v="WR"/>
    <x v="0"/>
    <x v="2"/>
  </r>
  <r>
    <x v="71"/>
    <x v="2"/>
    <s v="cory-3"/>
    <s v="WR-1"/>
    <n v="9.6"/>
    <m/>
    <n v="9.6"/>
    <n v="0"/>
    <n v="0"/>
    <s v="cory-3WR-1"/>
    <s v="Julio Jones3"/>
    <s v="FLEX"/>
    <n v="1"/>
    <n v="549"/>
    <n v="14.27"/>
    <n v="63.361600000000003"/>
    <s v="WR"/>
    <x v="0"/>
    <x v="2"/>
  </r>
  <r>
    <x v="71"/>
    <x v="3"/>
    <s v="cory-4"/>
    <s v="WR-1"/>
    <n v="17.3"/>
    <m/>
    <n v="17.3"/>
    <n v="0"/>
    <n v="0"/>
    <s v="cory-4WR-1"/>
    <s v="Julio Jones4"/>
    <s v="FLEX"/>
    <n v="1"/>
    <n v="608"/>
    <n v="13.69"/>
    <n v="61.779600000000002"/>
    <s v="WR"/>
    <x v="0"/>
    <x v="2"/>
  </r>
  <r>
    <x v="71"/>
    <x v="4"/>
    <s v="cory-5"/>
    <s v="WR-1"/>
    <s v="--"/>
    <m/>
    <n v="14.17"/>
    <n v="7.98"/>
    <n v="63.680399999999999"/>
    <s v="cory-5WR-1"/>
    <s v="Julio Jones5"/>
    <s v="FLEX"/>
    <n v="1"/>
    <n v="558"/>
    <n v="14.17"/>
    <n v="63.680399999999999"/>
    <s v="WR"/>
    <x v="0"/>
    <x v="1"/>
  </r>
  <r>
    <x v="72"/>
    <x v="0"/>
    <s v="scott-1"/>
    <s v="RB-1"/>
    <n v="4.9000000000000004"/>
    <m/>
    <n v="4.9000000000000004"/>
    <n v="0"/>
    <n v="0"/>
    <s v="scott-1RB-1"/>
    <s v="Kareem Hunt1"/>
    <s v="FLEX"/>
    <n v="1"/>
    <n v="599"/>
    <n v="13.73"/>
    <n v="96.432400000000001"/>
    <s v="RB"/>
    <x v="2"/>
    <x v="10"/>
  </r>
  <r>
    <x v="72"/>
    <x v="1"/>
    <s v="scott-2"/>
    <s v="RB-1"/>
    <n v="14"/>
    <m/>
    <n v="14"/>
    <n v="0"/>
    <n v="0"/>
    <s v="scott-2RB-1"/>
    <s v="Kareem Hunt2"/>
    <s v="FLEX"/>
    <n v="1"/>
    <n v="720"/>
    <n v="12.81"/>
    <n v="76.212900000000005"/>
    <s v="RB"/>
    <x v="2"/>
    <x v="10"/>
  </r>
  <r>
    <x v="72"/>
    <x v="2"/>
    <s v="scott-3"/>
    <s v="RB-1"/>
    <n v="16.399999999999999"/>
    <m/>
    <n v="16.399999999999999"/>
    <n v="0"/>
    <n v="0"/>
    <s v="scott-3RB-1"/>
    <s v="Kareem Hunt3"/>
    <s v="FLEX"/>
    <n v="1"/>
    <n v="515"/>
    <n v="14.6"/>
    <n v="53.436100000000003"/>
    <s v="RB"/>
    <x v="2"/>
    <x v="10"/>
  </r>
  <r>
    <x v="72"/>
    <x v="3"/>
    <s v="scott-4"/>
    <s v="RB-1"/>
    <n v="23.5"/>
    <m/>
    <n v="23.5"/>
    <n v="0"/>
    <n v="0"/>
    <s v="scott-4RB-1"/>
    <s v="Kareem Hunt4"/>
    <s v="FLEX"/>
    <n v="1"/>
    <n v="825"/>
    <n v="11.91"/>
    <n v="90.630399999999995"/>
    <s v="RB"/>
    <x v="2"/>
    <x v="10"/>
  </r>
  <r>
    <x v="72"/>
    <x v="4"/>
    <s v="scott-5"/>
    <s v="RB-1"/>
    <s v="--"/>
    <m/>
    <n v="15.45"/>
    <n v="8.51"/>
    <n v="72.420100000000005"/>
    <s v="scott-5RB-1"/>
    <s v="Kareem Hunt5"/>
    <s v="FLEX"/>
    <n v="1"/>
    <n v="451"/>
    <n v="15.45"/>
    <n v="72.420100000000005"/>
    <s v="RB"/>
    <x v="2"/>
    <x v="1"/>
  </r>
  <r>
    <x v="73"/>
    <x v="0"/>
    <s v="scott-1"/>
    <s v="WR-3"/>
    <n v="5.4"/>
    <m/>
    <n v="5.4"/>
    <n v="0"/>
    <n v="0"/>
    <s v="scott-1WR-3"/>
    <s v="Keelan Cole1"/>
    <s v="FLEX"/>
    <n v="1"/>
    <n v="1987"/>
    <n v="6.52"/>
    <n v="26.214400000000001"/>
    <s v="WR"/>
    <x v="0"/>
    <x v="10"/>
  </r>
  <r>
    <x v="73"/>
    <x v="2"/>
    <s v="scott-3"/>
    <s v="WR/RB"/>
    <n v="4"/>
    <m/>
    <n v="4"/>
    <n v="0"/>
    <n v="0"/>
    <s v="scott-3WR/RB"/>
    <s v="Keelan Cole3"/>
    <s v="FLEX"/>
    <n v="1"/>
    <n v="1726"/>
    <n v="7.32"/>
    <n v="25.704899999999999"/>
    <s v="WR/RB"/>
    <x v="0"/>
    <x v="10"/>
  </r>
  <r>
    <x v="74"/>
    <x v="0"/>
    <s v="chad-1"/>
    <s v="WR-1"/>
    <n v="16.8"/>
    <m/>
    <n v="16.8"/>
    <n v="0"/>
    <n v="0"/>
    <s v="chad-1WR-1"/>
    <s v="Keenan Allen1"/>
    <s v="FLEX"/>
    <n v="1"/>
    <n v="879"/>
    <n v="11.4"/>
    <n v="37.332099999999997"/>
    <s v="WR"/>
    <x v="0"/>
    <x v="8"/>
  </r>
  <r>
    <x v="74"/>
    <x v="1"/>
    <s v="chad-2"/>
    <s v="WR-1"/>
    <n v="6.7"/>
    <m/>
    <n v="6.7"/>
    <n v="0"/>
    <n v="0"/>
    <s v="chad-2WR-1"/>
    <s v="Keenan Allen2"/>
    <s v="FLEX"/>
    <n v="1"/>
    <n v="998"/>
    <n v="10.42"/>
    <n v="38.44"/>
    <s v="WR"/>
    <x v="0"/>
    <x v="8"/>
  </r>
  <r>
    <x v="74"/>
    <x v="2"/>
    <s v="chad-3"/>
    <s v="WR-1"/>
    <n v="2.4"/>
    <m/>
    <n v="2.4"/>
    <n v="0"/>
    <n v="0"/>
    <s v="chad-3WR-1"/>
    <s v="Keenan Allen3"/>
    <s v="FLEX"/>
    <n v="1"/>
    <n v="806"/>
    <n v="12.12"/>
    <n v="68.0625"/>
    <s v="WR"/>
    <x v="0"/>
    <x v="8"/>
  </r>
  <r>
    <x v="74"/>
    <x v="3"/>
    <s v="chad-4"/>
    <s v="WR-1"/>
    <n v="6.3"/>
    <m/>
    <n v="6.3"/>
    <n v="0"/>
    <n v="0"/>
    <s v="chad-4WR-1"/>
    <s v="Keenan Allen4"/>
    <s v="FLEX"/>
    <n v="1"/>
    <n v="430"/>
    <n v="15.62"/>
    <n v="42.902500000000003"/>
    <s v="WR"/>
    <x v="0"/>
    <x v="8"/>
  </r>
  <r>
    <x v="74"/>
    <x v="4"/>
    <s v="chad-5"/>
    <s v="WR-1"/>
    <s v="--"/>
    <m/>
    <n v="15.17"/>
    <n v="6.83"/>
    <n v="46.648899999999998"/>
    <s v="chad-5WR-1"/>
    <s v="Keenan Allen5"/>
    <s v="FLEX"/>
    <n v="1"/>
    <n v="472"/>
    <n v="15.17"/>
    <n v="46.648899999999998"/>
    <s v="WR"/>
    <x v="0"/>
    <x v="1"/>
  </r>
  <r>
    <x v="75"/>
    <x v="1"/>
    <s v="scott-2"/>
    <s v="WR-3"/>
    <n v="14.9"/>
    <m/>
    <n v="14.9"/>
    <n v="0"/>
    <n v="0"/>
    <s v="scott-2WR-3"/>
    <s v="Kenny Golladay2"/>
    <s v="FLEX"/>
    <n v="1"/>
    <n v="2151"/>
    <n v="6.07"/>
    <n v="45.024099999999997"/>
    <s v="WR"/>
    <x v="0"/>
    <x v="10"/>
  </r>
  <r>
    <x v="75"/>
    <x v="2"/>
    <s v="scott-3"/>
    <s v="WR-3"/>
    <n v="11.3"/>
    <m/>
    <n v="11.3"/>
    <n v="0"/>
    <n v="0"/>
    <s v="scott-3WR-3"/>
    <s v="Kenny Golladay3"/>
    <s v="FLEX"/>
    <n v="1"/>
    <n v="1640"/>
    <n v="7.62"/>
    <n v="33.756100000000004"/>
    <s v="WR"/>
    <x v="0"/>
    <x v="10"/>
  </r>
  <r>
    <x v="75"/>
    <x v="3"/>
    <s v="scott-4"/>
    <s v="WR-2"/>
    <n v="7.4"/>
    <m/>
    <n v="7.4"/>
    <n v="0"/>
    <n v="0"/>
    <s v="scott-4WR-2"/>
    <s v="Kenny Golladay4"/>
    <s v="FLEX"/>
    <n v="1"/>
    <n v="1333"/>
    <n v="8.69"/>
    <n v="53.29"/>
    <s v="WR"/>
    <x v="0"/>
    <x v="10"/>
  </r>
  <r>
    <x v="75"/>
    <x v="4"/>
    <s v="scott-5"/>
    <s v="WR-2"/>
    <s v="--"/>
    <m/>
    <n v="8.16"/>
    <n v="7.63"/>
    <n v="58.216900000000003"/>
    <s v="scott-5WR-2"/>
    <s v="Kenny Golladay5"/>
    <s v="FLEX"/>
    <n v="1"/>
    <n v="1483"/>
    <n v="8.16"/>
    <n v="58.216900000000003"/>
    <s v="WR"/>
    <x v="0"/>
    <x v="1"/>
  </r>
  <r>
    <x v="76"/>
    <x v="0"/>
    <s v="comp-1"/>
    <s v="WR/RB"/>
    <n v="22.6"/>
    <m/>
    <n v="22.6"/>
    <n v="0"/>
    <n v="0"/>
    <s v="comp-1WR/RB"/>
    <s v="Kenny Stills1"/>
    <s v="FLEX"/>
    <n v="1"/>
    <n v="1661"/>
    <n v="7.53"/>
    <n v="41.860900000000001"/>
    <s v="WR/RB"/>
    <x v="0"/>
    <x v="4"/>
  </r>
  <r>
    <x v="77"/>
    <x v="0"/>
    <s v="lucas-1"/>
    <s v="RB-2"/>
    <n v="6.6"/>
    <m/>
    <n v="6.6"/>
    <n v="0"/>
    <n v="0"/>
    <s v="lucas-1RB-2"/>
    <s v="Kenyan Drake1"/>
    <s v="FLEX"/>
    <n v="1"/>
    <n v="1199"/>
    <n v="9.3800000000000008"/>
    <n v="33.0625"/>
    <s v="RB"/>
    <x v="2"/>
    <x v="6"/>
  </r>
  <r>
    <x v="77"/>
    <x v="1"/>
    <s v="lucas-2"/>
    <s v="RB-2"/>
    <n v="13"/>
    <m/>
    <n v="13"/>
    <n v="0"/>
    <n v="0"/>
    <s v="lucas-2RB-2"/>
    <s v="Kenyan Drake2"/>
    <s v="FLEX"/>
    <n v="1"/>
    <n v="1237"/>
    <n v="9.19"/>
    <n v="46.5124"/>
    <s v="RB"/>
    <x v="2"/>
    <x v="6"/>
  </r>
  <r>
    <x v="77"/>
    <x v="2"/>
    <s v="lucas-3"/>
    <s v="RB-2"/>
    <n v="1"/>
    <m/>
    <n v="1"/>
    <n v="0"/>
    <n v="0"/>
    <s v="lucas-3RB-2"/>
    <s v="Kenyan Drake3"/>
    <s v="FLEX"/>
    <n v="1"/>
    <n v="1047"/>
    <n v="10.16"/>
    <n v="37.4544"/>
    <s v="RB"/>
    <x v="2"/>
    <x v="6"/>
  </r>
  <r>
    <x v="78"/>
    <x v="1"/>
    <s v="aj-2"/>
    <s v="QB-1"/>
    <n v="33.5"/>
    <m/>
    <n v="33.5"/>
    <n v="0"/>
    <n v="0"/>
    <s v="aj-2QB-1"/>
    <s v="Kirk Cousins2"/>
    <s v="FLEX"/>
    <n v="1"/>
    <n v="261"/>
    <n v="18.32"/>
    <n v="39.69"/>
    <s v="QB"/>
    <x v="1"/>
    <x v="7"/>
  </r>
  <r>
    <x v="78"/>
    <x v="2"/>
    <s v="aj-3"/>
    <s v="QB-1"/>
    <n v="10"/>
    <m/>
    <n v="10"/>
    <n v="0"/>
    <n v="0"/>
    <s v="aj-3QB-1"/>
    <s v="Kirk Cousins3"/>
    <s v="FLEX"/>
    <n v="1"/>
    <n v="302"/>
    <n v="17.54"/>
    <n v="44.355600000000003"/>
    <s v="QB"/>
    <x v="1"/>
    <x v="7"/>
  </r>
  <r>
    <x v="79"/>
    <x v="0"/>
    <s v="cory-1"/>
    <s v="TE-1"/>
    <n v="7.1"/>
    <m/>
    <n v="7.1"/>
    <n v="0"/>
    <n v="0"/>
    <s v="cory-1TE-1"/>
    <s v="Kyle Rudolph1"/>
    <s v="FLEX"/>
    <n v="1"/>
    <n v="1763"/>
    <n v="7.2"/>
    <n v="25"/>
    <s v="TE"/>
    <x v="3"/>
    <x v="2"/>
  </r>
  <r>
    <x v="79"/>
    <x v="1"/>
    <s v="cory-2"/>
    <s v="TE-1"/>
    <n v="7.2"/>
    <m/>
    <n v="7.2"/>
    <n v="0"/>
    <n v="0"/>
    <s v="cory-2TE-1"/>
    <s v="Kyle Rudolph2"/>
    <s v="FLEX"/>
    <n v="1"/>
    <n v="2074"/>
    <n v="6.29"/>
    <n v="21.252099999999999"/>
    <s v="TE"/>
    <x v="3"/>
    <x v="2"/>
  </r>
  <r>
    <x v="79"/>
    <x v="2"/>
    <s v="cory-3"/>
    <s v="TE-1"/>
    <n v="10.8"/>
    <m/>
    <n v="10.8"/>
    <n v="0"/>
    <n v="0"/>
    <s v="cory-3TE-1"/>
    <s v="Kyle Rudolph3"/>
    <s v="FLEX"/>
    <n v="1"/>
    <n v="1789"/>
    <n v="7.14"/>
    <n v="15.366400000000001"/>
    <s v="TE"/>
    <x v="3"/>
    <x v="2"/>
  </r>
  <r>
    <x v="79"/>
    <x v="3"/>
    <s v="cory-4"/>
    <s v="TE-1"/>
    <n v="5.7"/>
    <m/>
    <n v="5.7"/>
    <n v="0"/>
    <n v="0"/>
    <s v="cory-4TE-1"/>
    <s v="Kyle Rudolph4"/>
    <s v="FLEX"/>
    <n v="1"/>
    <n v="2018"/>
    <n v="6.44"/>
    <n v="16.2409"/>
    <s v="TE"/>
    <x v="3"/>
    <x v="2"/>
  </r>
  <r>
    <x v="79"/>
    <x v="4"/>
    <s v="cory-5"/>
    <s v="TE-1"/>
    <s v="--"/>
    <m/>
    <n v="6.37"/>
    <n v="4.13"/>
    <n v="17.056899999999999"/>
    <s v="cory-5TE-1"/>
    <s v="Kyle Rudolph5"/>
    <s v="FLEX"/>
    <n v="1"/>
    <n v="2050"/>
    <n v="6.37"/>
    <n v="17.056899999999999"/>
    <s v="TE"/>
    <x v="3"/>
    <x v="1"/>
  </r>
  <r>
    <x v="80"/>
    <x v="0"/>
    <s v="aj-1"/>
    <s v="RB-2"/>
    <n v="10.9"/>
    <m/>
    <n v="10.9"/>
    <n v="0"/>
    <n v="0"/>
    <s v="aj-1RB-2"/>
    <s v="Lamar Miller1"/>
    <s v="FLEX"/>
    <n v="1"/>
    <n v="1035"/>
    <n v="10.23"/>
    <n v="32.376100000000001"/>
    <s v="RB"/>
    <x v="2"/>
    <x v="7"/>
  </r>
  <r>
    <x v="80"/>
    <x v="1"/>
    <s v="comp-2"/>
    <s v="RB-2"/>
    <n v="7"/>
    <m/>
    <n v="7"/>
    <n v="0"/>
    <n v="0"/>
    <s v="comp-2RB-2"/>
    <s v="Lamar Miller2"/>
    <s v="FLEX"/>
    <n v="1"/>
    <n v="893"/>
    <n v="11.29"/>
    <n v="39.816099999999999"/>
    <s v="RB"/>
    <x v="2"/>
    <x v="4"/>
  </r>
  <r>
    <x v="80"/>
    <x v="2"/>
    <s v="comp-3"/>
    <s v="RB-1"/>
    <n v="9.1"/>
    <m/>
    <n v="9.1"/>
    <n v="0"/>
    <n v="0"/>
    <s v="comp-3RB-1"/>
    <s v="Lamar Miller3"/>
    <s v="FLEX"/>
    <n v="1"/>
    <n v="881"/>
    <n v="11.37"/>
    <n v="46.24"/>
    <s v="RB"/>
    <x v="2"/>
    <x v="4"/>
  </r>
  <r>
    <x v="80"/>
    <x v="3"/>
    <s v="comp-4"/>
    <s v="RB-2"/>
    <n v="4.9000000000000004"/>
    <m/>
    <n v="4.9000000000000004"/>
    <n v="0"/>
    <n v="0"/>
    <s v="comp-4RB-2"/>
    <s v="Lamar Miller4"/>
    <s v="FLEX"/>
    <n v="1"/>
    <n v="858"/>
    <n v="11.68"/>
    <n v="55.204900000000002"/>
    <s v="RB"/>
    <x v="2"/>
    <x v="4"/>
  </r>
  <r>
    <x v="80"/>
    <x v="4"/>
    <s v="comp-5"/>
    <s v="RB-1"/>
    <s v="--"/>
    <m/>
    <n v="11.82"/>
    <n v="6.41"/>
    <n v="41.088099999999997"/>
    <s v="comp-5RB-1"/>
    <s v="Lamar Miller5"/>
    <s v="FLEX"/>
    <n v="1"/>
    <n v="836"/>
    <n v="11.82"/>
    <n v="41.088099999999997"/>
    <s v="RB"/>
    <x v="2"/>
    <x v="1"/>
  </r>
  <r>
    <x v="81"/>
    <x v="0"/>
    <s v="seth-1"/>
    <s v="WR-3"/>
    <n v="7.6"/>
    <m/>
    <n v="7.6"/>
    <n v="0"/>
    <n v="0"/>
    <s v="seth-1WR-3"/>
    <s v="Larry Fitzgerald1"/>
    <s v="FLEX"/>
    <n v="1"/>
    <n v="1238"/>
    <n v="9.18"/>
    <n v="23.522500000000001"/>
    <s v="WR"/>
    <x v="0"/>
    <x v="3"/>
  </r>
  <r>
    <x v="81"/>
    <x v="1"/>
    <s v="seth-2"/>
    <s v="WR-3"/>
    <n v="2.8"/>
    <m/>
    <n v="2.8"/>
    <n v="0"/>
    <n v="0"/>
    <s v="seth-2WR-3"/>
    <s v="Larry Fitzgerald2"/>
    <s v="FLEX"/>
    <n v="1"/>
    <n v="1356"/>
    <n v="8.6300000000000008"/>
    <n v="23.04"/>
    <s v="WR"/>
    <x v="0"/>
    <x v="3"/>
  </r>
  <r>
    <x v="81"/>
    <x v="3"/>
    <s v="seth-4"/>
    <s v="WR/RB"/>
    <n v="2.8"/>
    <m/>
    <n v="2.8"/>
    <n v="0"/>
    <n v="0"/>
    <s v="seth-4WR/RB"/>
    <s v="Larry Fitzgerald4"/>
    <s v="FLEX"/>
    <n v="1"/>
    <n v="1794"/>
    <n v="7.12"/>
    <n v="13.764099999999999"/>
    <s v="WR/RB"/>
    <x v="0"/>
    <x v="3"/>
  </r>
  <r>
    <x v="82"/>
    <x v="2"/>
    <s v="seth-3"/>
    <s v="RB-2"/>
    <n v="3.1"/>
    <m/>
    <n v="3.1"/>
    <n v="0"/>
    <n v="0"/>
    <s v="seth-3RB-2"/>
    <s v="Latavius Murray3"/>
    <s v="FLEX"/>
    <n v="1"/>
    <n v="839"/>
    <n v="11.78"/>
    <n v="78.676900000000003"/>
    <s v="RB"/>
    <x v="2"/>
    <x v="3"/>
  </r>
  <r>
    <x v="83"/>
    <x v="0"/>
    <s v="seth-1"/>
    <s v="RB-1"/>
    <n v="5.5"/>
    <m/>
    <n v="5.5"/>
    <n v="0"/>
    <n v="0"/>
    <s v="seth-1RB-1"/>
    <s v="Leonard Fournette1"/>
    <s v="FLEX"/>
    <n v="1"/>
    <n v="855"/>
    <n v="11.69"/>
    <n v="64.480900000000005"/>
    <s v="RB"/>
    <x v="2"/>
    <x v="3"/>
  </r>
  <r>
    <x v="83"/>
    <x v="3"/>
    <s v="seth-4"/>
    <s v="RB-1"/>
    <n v="3.5"/>
    <m/>
    <n v="3.5"/>
    <n v="0"/>
    <n v="0"/>
    <s v="seth-4RB-1"/>
    <s v="Leonard Fournette4"/>
    <s v="FLEX"/>
    <n v="1"/>
    <n v="860"/>
    <n v="11.65"/>
    <n v="92.16"/>
    <s v="RB"/>
    <x v="2"/>
    <x v="3"/>
  </r>
  <r>
    <x v="84"/>
    <x v="0"/>
    <s v="scott-1"/>
    <s v="RB-2"/>
    <n v="2.1"/>
    <m/>
    <n v="2.1"/>
    <n v="0"/>
    <n v="0"/>
    <s v="scott-1RB-2"/>
    <s v="LeSean McCoy1"/>
    <s v="FLEX"/>
    <n v="1"/>
    <n v="991"/>
    <n v="10.49"/>
    <n v="57.912100000000002"/>
    <s v="RB"/>
    <x v="2"/>
    <x v="10"/>
  </r>
  <r>
    <x v="84"/>
    <x v="1"/>
    <s v="scott-2"/>
    <s v="RB-2"/>
    <n v="6.8"/>
    <m/>
    <n v="6.8"/>
    <n v="0"/>
    <n v="0"/>
    <s v="scott-2RB-2"/>
    <s v="LeSean McCoy2"/>
    <s v="FLEX"/>
    <n v="1"/>
    <n v="983"/>
    <n v="10.52"/>
    <n v="52.4176"/>
    <s v="RB"/>
    <x v="2"/>
    <x v="10"/>
  </r>
  <r>
    <x v="85"/>
    <x v="4"/>
    <s v="aj-5"/>
    <s v="WR-3"/>
    <s v="--"/>
    <m/>
    <n v="6.82"/>
    <n v="9.36"/>
    <n v="87.6096"/>
    <s v="aj-5WR-3"/>
    <s v="Marquez Valdes-Scantling5"/>
    <s v="FLEX"/>
    <n v="1"/>
    <n v="1896"/>
    <n v="6.82"/>
    <n v="87.6096"/>
    <s v="WR"/>
    <x v="0"/>
    <x v="1"/>
  </r>
  <r>
    <x v="86"/>
    <x v="0"/>
    <s v="lucas-1"/>
    <s v="WR-2"/>
    <n v="0"/>
    <m/>
    <n v="0"/>
    <n v="0"/>
    <n v="0"/>
    <s v="lucas-1WR-2"/>
    <s v="Marquise Goodwin1"/>
    <s v="FLEX"/>
    <n v="1"/>
    <n v="1933"/>
    <n v="6.69"/>
    <n v="33.756100000000004"/>
    <s v="WR"/>
    <x v="0"/>
    <x v="6"/>
  </r>
  <r>
    <x v="87"/>
    <x v="2"/>
    <s v="scott-3"/>
    <s v="RB-2"/>
    <n v="14.6"/>
    <m/>
    <n v="14.6"/>
    <n v="0"/>
    <n v="0"/>
    <s v="scott-3RB-2"/>
    <s v="Marshawn Lynch3"/>
    <s v="FLEX"/>
    <n v="1"/>
    <n v="1202"/>
    <n v="9.36"/>
    <n v="60.372900000000001"/>
    <s v="RB"/>
    <x v="2"/>
    <x v="10"/>
  </r>
  <r>
    <x v="87"/>
    <x v="3"/>
    <s v="scott-4"/>
    <s v="RB-2"/>
    <n v="15.7"/>
    <m/>
    <n v="15.7"/>
    <n v="0"/>
    <n v="0"/>
    <s v="scott-4RB-2"/>
    <s v="Marshawn Lynch4"/>
    <s v="FLEX"/>
    <n v="1"/>
    <n v="1011"/>
    <n v="10.35"/>
    <n v="66.422499999999999"/>
    <s v="RB"/>
    <x v="2"/>
    <x v="10"/>
  </r>
  <r>
    <x v="87"/>
    <x v="4"/>
    <s v="scott-5"/>
    <s v="WR/RB"/>
    <s v="--"/>
    <m/>
    <n v="10.88"/>
    <n v="7.63"/>
    <n v="58.216900000000003"/>
    <s v="scott-5WR/RB"/>
    <s v="Marshawn Lynch5"/>
    <s v="FLEX"/>
    <n v="1"/>
    <n v="938"/>
    <n v="10.88"/>
    <n v="58.216900000000003"/>
    <s v="WR/RB"/>
    <x v="2"/>
    <x v="1"/>
  </r>
  <r>
    <x v="88"/>
    <x v="0"/>
    <s v="matty-1"/>
    <s v="WR-3"/>
    <n v="5.4"/>
    <m/>
    <n v="5.4"/>
    <n v="0"/>
    <n v="0"/>
    <s v="matty-1WR-3"/>
    <s v="Marvin Jones Jr.1"/>
    <s v="FLEX"/>
    <n v="1"/>
    <n v="1206"/>
    <n v="9.35"/>
    <n v="38.937600000000003"/>
    <s v="WR"/>
    <x v="0"/>
    <x v="5"/>
  </r>
  <r>
    <x v="88"/>
    <x v="1"/>
    <s v="matty-2"/>
    <s v="WR-2"/>
    <n v="11.4"/>
    <m/>
    <n v="11.4"/>
    <n v="0"/>
    <n v="0"/>
    <s v="matty-2WR-2"/>
    <s v="Marvin Jones Jr.2"/>
    <s v="FLEX"/>
    <n v="1"/>
    <n v="1328"/>
    <n v="8.74"/>
    <n v="33.988900000000001"/>
    <s v="WR"/>
    <x v="0"/>
    <x v="5"/>
  </r>
  <r>
    <x v="88"/>
    <x v="2"/>
    <s v="matty-3"/>
    <s v="WR-2"/>
    <n v="12.9"/>
    <m/>
    <n v="12.9"/>
    <n v="0"/>
    <n v="0"/>
    <s v="matty-3WR-2"/>
    <s v="Marvin Jones Jr.3"/>
    <s v="FLEX"/>
    <n v="1"/>
    <n v="1153"/>
    <n v="9.6300000000000008"/>
    <n v="31.024899999999999"/>
    <s v="WR"/>
    <x v="0"/>
    <x v="5"/>
  </r>
  <r>
    <x v="88"/>
    <x v="3"/>
    <s v="matty-4"/>
    <s v="WR-3"/>
    <n v="5.6"/>
    <m/>
    <n v="5.6"/>
    <n v="0"/>
    <n v="0"/>
    <s v="matty-4WR-3"/>
    <s v="Marvin Jones Jr.4"/>
    <s v="FLEX"/>
    <n v="1"/>
    <n v="1462"/>
    <n v="8.23"/>
    <n v="27.352900000000002"/>
    <s v="WR"/>
    <x v="0"/>
    <x v="5"/>
  </r>
  <r>
    <x v="88"/>
    <x v="4"/>
    <s v="matty-5"/>
    <s v="WR-3"/>
    <s v="--"/>
    <m/>
    <n v="8.4499999999999993"/>
    <n v="5.37"/>
    <n v="28.8369"/>
    <s v="matty-5WR-3"/>
    <s v="Marvin Jones Jr.5"/>
    <s v="FLEX"/>
    <n v="1"/>
    <n v="1408"/>
    <n v="8.4499999999999993"/>
    <n v="28.8369"/>
    <s v="WR"/>
    <x v="0"/>
    <x v="1"/>
  </r>
  <r>
    <x v="89"/>
    <x v="2"/>
    <s v="perry-3"/>
    <s v="RB-1"/>
    <n v="11.7"/>
    <m/>
    <n v="11.7"/>
    <n v="0"/>
    <n v="0"/>
    <s v="perry-3RB-1"/>
    <s v="Matt Breida3"/>
    <s v="FLEX"/>
    <n v="1"/>
    <n v="1228"/>
    <n v="9.23"/>
    <n v="41.2164"/>
    <s v="RB"/>
    <x v="2"/>
    <x v="9"/>
  </r>
  <r>
    <x v="89"/>
    <x v="4"/>
    <s v="perry-5"/>
    <s v="WR/RB"/>
    <s v="--"/>
    <m/>
    <n v="8.0500000000000007"/>
    <n v="6"/>
    <n v="36"/>
    <s v="perry-5WR/RB"/>
    <s v="Matt Breida5"/>
    <s v="FLEX"/>
    <n v="1"/>
    <n v="1520"/>
    <n v="8.0500000000000007"/>
    <n v="36"/>
    <s v="WR/RB"/>
    <x v="2"/>
    <x v="1"/>
  </r>
  <r>
    <x v="90"/>
    <x v="3"/>
    <s v="devon-4"/>
    <s v="QB-1"/>
    <n v="29.3"/>
    <m/>
    <n v="29.3"/>
    <n v="0"/>
    <n v="0"/>
    <s v="devon-4QB-1"/>
    <s v="Matt Ryan4"/>
    <s v="FLEX"/>
    <n v="1"/>
    <n v="206"/>
    <n v="19.04"/>
    <n v="52.128399999999999"/>
    <s v="QB"/>
    <x v="1"/>
    <x v="0"/>
  </r>
  <r>
    <x v="90"/>
    <x v="4"/>
    <s v="devon-5"/>
    <s v="QB-1"/>
    <s v="--"/>
    <m/>
    <n v="21.48"/>
    <n v="9.01"/>
    <n v="81.180099999999996"/>
    <s v="devon-5QB-1"/>
    <s v="Matt Ryan5"/>
    <s v="FLEX"/>
    <n v="1"/>
    <n v="64"/>
    <n v="21.48"/>
    <n v="81.180099999999996"/>
    <s v="QB"/>
    <x v="1"/>
    <x v="1"/>
  </r>
  <r>
    <x v="91"/>
    <x v="0"/>
    <s v="aj-1"/>
    <s v="QB-1"/>
    <n v="8"/>
    <m/>
    <n v="8"/>
    <n v="0"/>
    <n v="0"/>
    <s v="aj-1QB-1"/>
    <s v="Matthew Stafford1"/>
    <s v="FLEX"/>
    <n v="1"/>
    <n v="142"/>
    <n v="19.89"/>
    <n v="52.852899999999998"/>
    <s v="QB"/>
    <x v="1"/>
    <x v="7"/>
  </r>
  <r>
    <x v="91"/>
    <x v="3"/>
    <s v="aj-4"/>
    <s v="QB-1"/>
    <n v="20.8"/>
    <m/>
    <n v="20.8"/>
    <n v="0"/>
    <n v="0"/>
    <s v="aj-4QB-1"/>
    <s v="Matthew Stafford4"/>
    <s v="FLEX"/>
    <n v="1"/>
    <n v="285"/>
    <n v="17.78"/>
    <n v="73.102500000000006"/>
    <s v="QB"/>
    <x v="1"/>
    <x v="7"/>
  </r>
  <r>
    <x v="91"/>
    <x v="4"/>
    <s v="aj-5"/>
    <s v="QB-1"/>
    <s v="--"/>
    <m/>
    <n v="19.37"/>
    <n v="9.2200000000000006"/>
    <n v="85.008399999999995"/>
    <s v="aj-5QB-1"/>
    <s v="Matthew Stafford5"/>
    <s v="FLEX"/>
    <n v="1"/>
    <n v="187"/>
    <n v="19.37"/>
    <n v="85.008399999999995"/>
    <s v="QB"/>
    <x v="1"/>
    <x v="1"/>
  </r>
  <r>
    <x v="92"/>
    <x v="0"/>
    <s v="matty-1"/>
    <s v="RB-2"/>
    <n v="18.600000000000001"/>
    <m/>
    <n v="18.600000000000001"/>
    <n v="0"/>
    <n v="0"/>
    <s v="matty-1RB-2"/>
    <s v="Melvin Gordon1"/>
    <s v="FLEX"/>
    <n v="1"/>
    <n v="359"/>
    <n v="16.66"/>
    <n v="85.008399999999995"/>
    <s v="RB"/>
    <x v="2"/>
    <x v="5"/>
  </r>
  <r>
    <x v="92"/>
    <x v="1"/>
    <s v="matty-2"/>
    <s v="RB-2"/>
    <n v="24.6"/>
    <m/>
    <n v="24.6"/>
    <n v="0"/>
    <n v="0"/>
    <s v="matty-2RB-2"/>
    <s v="Melvin Gordon2"/>
    <s v="FLEX"/>
    <n v="1"/>
    <n v="396"/>
    <n v="16.010000000000002"/>
    <n v="84.456100000000006"/>
    <s v="RB"/>
    <x v="2"/>
    <x v="5"/>
  </r>
  <r>
    <x v="92"/>
    <x v="2"/>
    <s v="matty-3"/>
    <s v="RB-2"/>
    <n v="14.4"/>
    <m/>
    <n v="14.4"/>
    <n v="0"/>
    <n v="0"/>
    <s v="matty-3RB-2"/>
    <s v="Melvin Gordon3"/>
    <s v="FLEX"/>
    <n v="1"/>
    <n v="450"/>
    <n v="15.47"/>
    <n v="61.779600000000002"/>
    <s v="RB"/>
    <x v="2"/>
    <x v="5"/>
  </r>
  <r>
    <x v="92"/>
    <x v="3"/>
    <s v="matty-4"/>
    <s v="RB-2"/>
    <n v="23.9"/>
    <m/>
    <n v="23.9"/>
    <n v="0"/>
    <n v="0"/>
    <s v="matty-4RB-2"/>
    <s v="Melvin Gordon4"/>
    <s v="FLEX"/>
    <n v="1"/>
    <n v="284"/>
    <n v="17.79"/>
    <n v="60.84"/>
    <s v="RB"/>
    <x v="2"/>
    <x v="5"/>
  </r>
  <r>
    <x v="92"/>
    <x v="4"/>
    <s v="matty-5"/>
    <s v="RB-2"/>
    <s v="--"/>
    <m/>
    <n v="17.71"/>
    <n v="7.52"/>
    <n v="56.550400000000003"/>
    <s v="matty-5RB-2"/>
    <s v="Melvin Gordon5"/>
    <s v="FLEX"/>
    <n v="1"/>
    <n v="291"/>
    <n v="17.71"/>
    <n v="56.550400000000003"/>
    <s v="RB"/>
    <x v="2"/>
    <x v="1"/>
  </r>
  <r>
    <x v="93"/>
    <x v="0"/>
    <s v="cory-1"/>
    <s v="WR-2"/>
    <n v="22"/>
    <m/>
    <n v="22"/>
    <n v="0"/>
    <n v="0"/>
    <s v="cory-1WR-2"/>
    <s v="Michael Thomas1"/>
    <s v="FLEX"/>
    <n v="1"/>
    <n v="831"/>
    <n v="11.86"/>
    <n v="42.902500000000003"/>
    <s v="WR"/>
    <x v="0"/>
    <x v="2"/>
  </r>
  <r>
    <x v="93"/>
    <x v="1"/>
    <s v="cory-2"/>
    <s v="WR-2"/>
    <n v="18.899999999999999"/>
    <m/>
    <n v="18.899999999999999"/>
    <n v="0"/>
    <n v="0"/>
    <s v="cory-2WR-2"/>
    <s v="Michael Thomas2"/>
    <s v="FLEX"/>
    <n v="1"/>
    <n v="690"/>
    <n v="12.97"/>
    <n v="38.192399999999999"/>
    <s v="WR"/>
    <x v="0"/>
    <x v="2"/>
  </r>
  <r>
    <x v="93"/>
    <x v="2"/>
    <s v="cory-3"/>
    <s v="WR-2"/>
    <n v="12.9"/>
    <m/>
    <n v="12.9"/>
    <n v="0"/>
    <n v="0"/>
    <s v="cory-3WR-2"/>
    <s v="Michael Thomas3"/>
    <s v="FLEX"/>
    <n v="1"/>
    <n v="600"/>
    <n v="13.73"/>
    <n v="56.550400000000003"/>
    <s v="WR"/>
    <x v="0"/>
    <x v="2"/>
  </r>
  <r>
    <x v="93"/>
    <x v="3"/>
    <s v="cory-4"/>
    <s v="WR-2"/>
    <n v="4.7"/>
    <m/>
    <n v="4.7"/>
    <n v="0"/>
    <n v="0"/>
    <s v="cory-4WR-2"/>
    <s v="Michael Thomas4"/>
    <s v="FLEX"/>
    <n v="1"/>
    <n v="478"/>
    <n v="15.1"/>
    <n v="62.252099999999999"/>
    <s v="WR"/>
    <x v="0"/>
    <x v="2"/>
  </r>
  <r>
    <x v="93"/>
    <x v="4"/>
    <s v="cory-5"/>
    <s v="WR-2"/>
    <s v="--"/>
    <m/>
    <n v="13.45"/>
    <n v="7.2"/>
    <n v="51.84"/>
    <s v="cory-5WR-2"/>
    <s v="Michael Thomas5"/>
    <s v="FLEX"/>
    <n v="1"/>
    <n v="630"/>
    <n v="13.45"/>
    <n v="51.84"/>
    <s v="WR"/>
    <x v="0"/>
    <x v="1"/>
  </r>
  <r>
    <x v="94"/>
    <x v="0"/>
    <s v="aj-1"/>
    <s v="WR-2"/>
    <n v="20.7"/>
    <m/>
    <n v="20.7"/>
    <n v="0"/>
    <n v="0"/>
    <s v="aj-1WR-2"/>
    <s v="Mike Evans1"/>
    <s v="FLEX"/>
    <n v="1"/>
    <n v="775"/>
    <n v="12.34"/>
    <n v="67.4041"/>
    <s v="WR"/>
    <x v="0"/>
    <x v="7"/>
  </r>
  <r>
    <x v="94"/>
    <x v="1"/>
    <s v="aj-2"/>
    <s v="WR-2"/>
    <n v="12.3"/>
    <m/>
    <n v="12.3"/>
    <n v="0"/>
    <n v="0"/>
    <s v="aj-2WR-2"/>
    <s v="Mike Evans2"/>
    <s v="FLEX"/>
    <n v="1"/>
    <n v="962"/>
    <n v="10.67"/>
    <n v="42.380099999999999"/>
    <s v="WR"/>
    <x v="0"/>
    <x v="7"/>
  </r>
  <r>
    <x v="94"/>
    <x v="2"/>
    <s v="aj-3"/>
    <s v="WR-2"/>
    <n v="19.7"/>
    <m/>
    <n v="19.7"/>
    <n v="0"/>
    <n v="0"/>
    <s v="aj-3WR-2"/>
    <s v="Mike Evans3"/>
    <s v="FLEX"/>
    <n v="1"/>
    <n v="623"/>
    <n v="13.54"/>
    <n v="78.145600000000002"/>
    <s v="WR"/>
    <x v="0"/>
    <x v="7"/>
  </r>
  <r>
    <x v="94"/>
    <x v="3"/>
    <s v="aj-4"/>
    <s v="WR-2"/>
    <n v="5.9"/>
    <m/>
    <n v="5.9"/>
    <n v="0"/>
    <n v="0"/>
    <s v="aj-4WR-2"/>
    <s v="Mike Evans4"/>
    <s v="FLEX"/>
    <n v="1"/>
    <n v="868"/>
    <n v="11.57"/>
    <n v="55.950400000000002"/>
    <s v="WR"/>
    <x v="0"/>
    <x v="7"/>
  </r>
  <r>
    <x v="95"/>
    <x v="0"/>
    <s v="scott-1"/>
    <s v="WR-2"/>
    <n v="5.5"/>
    <m/>
    <n v="5.5"/>
    <n v="0"/>
    <n v="0"/>
    <s v="scott-1WR-2"/>
    <s v="Nelson Agholor1"/>
    <s v="FLEX"/>
    <n v="1"/>
    <n v="1395"/>
    <n v="8.5"/>
    <n v="49.702500000000001"/>
    <s v="WR"/>
    <x v="0"/>
    <x v="10"/>
  </r>
  <r>
    <x v="95"/>
    <x v="1"/>
    <s v="scott-2"/>
    <s v="WR-2"/>
    <n v="15"/>
    <m/>
    <n v="15"/>
    <n v="0"/>
    <n v="0"/>
    <s v="scott-2WR-2"/>
    <s v="Nelson Agholor2"/>
    <s v="FLEX"/>
    <n v="1"/>
    <n v="1335"/>
    <n v="8.69"/>
    <n v="47.472099999999998"/>
    <s v="WR"/>
    <x v="0"/>
    <x v="10"/>
  </r>
  <r>
    <x v="95"/>
    <x v="2"/>
    <s v="scott-3"/>
    <s v="WR-2"/>
    <n v="2.4"/>
    <m/>
    <n v="2.4"/>
    <n v="0"/>
    <n v="0"/>
    <s v="scott-3WR-2"/>
    <s v="Nelson Agholor3"/>
    <s v="FLEX"/>
    <n v="1"/>
    <n v="1135"/>
    <n v="9.74"/>
    <n v="39.438400000000001"/>
    <s v="WR"/>
    <x v="0"/>
    <x v="10"/>
  </r>
  <r>
    <x v="96"/>
    <x v="0"/>
    <s v="seth-1"/>
    <s v="WR-1"/>
    <n v="11"/>
    <m/>
    <n v="11"/>
    <n v="0"/>
    <n v="0"/>
    <s v="seth-1WR-1"/>
    <s v="Odell Beckham Jr.1"/>
    <s v="FLEX"/>
    <n v="1"/>
    <n v="1247"/>
    <n v="9.16"/>
    <n v="37.822499999999998"/>
    <s v="WR"/>
    <x v="0"/>
    <x v="3"/>
  </r>
  <r>
    <x v="96"/>
    <x v="1"/>
    <s v="seth-2"/>
    <s v="WR-1"/>
    <n v="5.0999999999999996"/>
    <m/>
    <n v="5.0999999999999996"/>
    <n v="0"/>
    <n v="0"/>
    <s v="seth-2WR-1"/>
    <s v="Odell Beckham Jr.2"/>
    <s v="FLEX"/>
    <n v="1"/>
    <n v="816"/>
    <n v="12.02"/>
    <n v="58.522500000000001"/>
    <s v="WR"/>
    <x v="0"/>
    <x v="3"/>
  </r>
  <r>
    <x v="96"/>
    <x v="2"/>
    <s v="seth-3"/>
    <s v="WR-1"/>
    <n v="10.9"/>
    <m/>
    <n v="10.9"/>
    <n v="0"/>
    <n v="0"/>
    <s v="seth-3WR-1"/>
    <s v="Odell Beckham Jr.3"/>
    <s v="FLEX"/>
    <n v="1"/>
    <n v="536"/>
    <n v="14.39"/>
    <n v="78.854399999999998"/>
    <s v="WR"/>
    <x v="0"/>
    <x v="3"/>
  </r>
  <r>
    <x v="96"/>
    <x v="3"/>
    <s v="seth-4"/>
    <s v="WR-1"/>
    <n v="7"/>
    <m/>
    <n v="7"/>
    <n v="0"/>
    <n v="0"/>
    <s v="seth-4WR-1"/>
    <s v="Odell Beckham Jr.4"/>
    <s v="FLEX"/>
    <n v="1"/>
    <n v="487"/>
    <n v="14.99"/>
    <n v="66.748900000000006"/>
    <s v="WR"/>
    <x v="0"/>
    <x v="3"/>
  </r>
  <r>
    <x v="96"/>
    <x v="4"/>
    <s v="seth-5"/>
    <s v="WR-1"/>
    <s v="--"/>
    <m/>
    <n v="12.21"/>
    <n v="7.52"/>
    <n v="56.550400000000003"/>
    <s v="seth-5WR-1"/>
    <s v="Odell Beckham Jr.5"/>
    <s v="FLEX"/>
    <n v="1"/>
    <n v="796"/>
    <n v="12.21"/>
    <n v="56.550400000000003"/>
    <s v="WR"/>
    <x v="0"/>
    <x v="1"/>
  </r>
  <r>
    <x v="97"/>
    <x v="2"/>
    <s v="matty-3"/>
    <s v="QB-1"/>
    <n v="25.3"/>
    <m/>
    <n v="25.3"/>
    <n v="0"/>
    <n v="0"/>
    <s v="matty-3QB-1"/>
    <s v="Patrick Mahomes3"/>
    <s v="FLEX"/>
    <n v="1"/>
    <n v="122"/>
    <n v="20.22"/>
    <n v="36.240400000000001"/>
    <s v="QB"/>
    <x v="1"/>
    <x v="5"/>
  </r>
  <r>
    <x v="97"/>
    <x v="3"/>
    <s v="matty-4"/>
    <s v="QB-1"/>
    <n v="22.9"/>
    <m/>
    <n v="22.9"/>
    <n v="0"/>
    <n v="0"/>
    <s v="matty-4QB-1"/>
    <s v="Patrick Mahomes4"/>
    <s v="FLEX"/>
    <n v="1"/>
    <n v="48"/>
    <n v="21.9"/>
    <n v="71.064899999999994"/>
    <s v="QB"/>
    <x v="1"/>
    <x v="5"/>
  </r>
  <r>
    <x v="97"/>
    <x v="4"/>
    <s v="matty-5"/>
    <s v="QB-1"/>
    <s v="--"/>
    <m/>
    <n v="20.13"/>
    <n v="8.64"/>
    <n v="74.649600000000007"/>
    <s v="matty-5QB-1"/>
    <s v="Patrick Mahomes5"/>
    <s v="FLEX"/>
    <n v="1"/>
    <n v="130"/>
    <n v="20.13"/>
    <n v="74.649600000000007"/>
    <s v="QB"/>
    <x v="1"/>
    <x v="1"/>
  </r>
  <r>
    <x v="98"/>
    <x v="2"/>
    <s v="devon-3"/>
    <s v="RB-2"/>
    <n v="3.3"/>
    <m/>
    <n v="3.3"/>
    <n v="0"/>
    <n v="0"/>
    <s v="devon-3RB-2"/>
    <s v="Peyton Barber3"/>
    <s v="FLEX"/>
    <n v="1"/>
    <n v="1513"/>
    <n v="8.08"/>
    <n v="28.196100000000001"/>
    <s v="RB"/>
    <x v="2"/>
    <x v="0"/>
  </r>
  <r>
    <x v="98"/>
    <x v="3"/>
    <s v="devon-4"/>
    <s v="RB-1"/>
    <n v="3"/>
    <m/>
    <n v="3"/>
    <n v="0"/>
    <n v="0"/>
    <s v="devon-4RB-1"/>
    <s v="Peyton Barber4"/>
    <s v="FLEX"/>
    <n v="1"/>
    <n v="1410"/>
    <n v="8.4499999999999993"/>
    <n v="33.988900000000001"/>
    <s v="RB"/>
    <x v="2"/>
    <x v="0"/>
  </r>
  <r>
    <x v="99"/>
    <x v="3"/>
    <s v="comp-4"/>
    <s v="QB-1"/>
    <n v="21.7"/>
    <m/>
    <n v="21.7"/>
    <n v="0"/>
    <n v="0"/>
    <s v="comp-4QB-1"/>
    <s v="Philip Rivers4"/>
    <s v="FLEX"/>
    <n v="1"/>
    <n v="59"/>
    <n v="21.56"/>
    <n v="43.0336"/>
    <s v="QB"/>
    <x v="1"/>
    <x v="4"/>
  </r>
  <r>
    <x v="99"/>
    <x v="4"/>
    <s v="comp-5"/>
    <s v="QB-1"/>
    <s v="--"/>
    <m/>
    <n v="21.4"/>
    <n v="8.51"/>
    <n v="72.420100000000005"/>
    <s v="comp-5QB-1"/>
    <s v="Philip Rivers5"/>
    <s v="FLEX"/>
    <n v="1"/>
    <n v="66"/>
    <n v="21.4"/>
    <n v="72.420100000000005"/>
    <s v="QB"/>
    <x v="1"/>
    <x v="1"/>
  </r>
  <r>
    <x v="100"/>
    <x v="1"/>
    <s v="perry-2"/>
    <s v="RB-2"/>
    <n v="11.1"/>
    <m/>
    <n v="11.1"/>
    <n v="0"/>
    <n v="0"/>
    <s v="perry-2RB-2"/>
    <s v="Phillip Lindsay2"/>
    <s v="FLEX"/>
    <n v="1"/>
    <n v="2400"/>
    <n v="5.46"/>
    <n v="19.6249"/>
    <s v="RB"/>
    <x v="2"/>
    <x v="9"/>
  </r>
  <r>
    <x v="100"/>
    <x v="2"/>
    <s v="perry-3"/>
    <s v="WR/RB"/>
    <n v="2"/>
    <m/>
    <n v="2"/>
    <n v="0"/>
    <n v="0"/>
    <s v="perry-3WR/RB"/>
    <s v="Phillip Lindsay3"/>
    <s v="FLEX"/>
    <n v="1"/>
    <n v="1729"/>
    <n v="7.31"/>
    <n v="34.81"/>
    <s v="WR/RB"/>
    <x v="2"/>
    <x v="9"/>
  </r>
  <r>
    <x v="100"/>
    <x v="3"/>
    <s v="perry-4"/>
    <s v="RB-1"/>
    <n v="13.9"/>
    <m/>
    <n v="13.9"/>
    <n v="0"/>
    <n v="0"/>
    <s v="perry-4RB-1"/>
    <s v="Phillip Lindsay4"/>
    <s v="FLEX"/>
    <n v="1"/>
    <n v="1484"/>
    <n v="8.16"/>
    <n v="31.696899999999999"/>
    <s v="RB"/>
    <x v="2"/>
    <x v="9"/>
  </r>
  <r>
    <x v="100"/>
    <x v="4"/>
    <s v="perry-5"/>
    <s v="RB-1"/>
    <s v="--"/>
    <m/>
    <n v="7.95"/>
    <n v="6.99"/>
    <n v="48.860100000000003"/>
    <s v="perry-5RB-1"/>
    <s v="Phillip Lindsay5"/>
    <s v="FLEX"/>
    <n v="1"/>
    <n v="1556"/>
    <n v="7.95"/>
    <n v="48.860100000000003"/>
    <s v="RB"/>
    <x v="2"/>
    <x v="1"/>
  </r>
  <r>
    <x v="101"/>
    <x v="2"/>
    <s v="lucas-3"/>
    <s v="WR-3"/>
    <n v="5.7"/>
    <m/>
    <n v="5.7"/>
    <n v="0"/>
    <n v="0"/>
    <s v="lucas-3WR-3"/>
    <s v="Quincy Enunwa3"/>
    <s v="FLEX"/>
    <n v="1"/>
    <n v="1116"/>
    <n v="9.82"/>
    <n v="34.222499999999997"/>
    <s v="WR"/>
    <x v="0"/>
    <x v="6"/>
  </r>
  <r>
    <x v="101"/>
    <x v="3"/>
    <s v="lucas-4"/>
    <s v="WR-3"/>
    <n v="6.6"/>
    <m/>
    <n v="6.6"/>
    <n v="0"/>
    <n v="0"/>
    <s v="lucas-4WR-3"/>
    <s v="Quincy Enunwa4"/>
    <s v="FLEX"/>
    <n v="1"/>
    <n v="1488"/>
    <n v="8.15"/>
    <n v="42.510399999999997"/>
    <s v="WR"/>
    <x v="0"/>
    <x v="6"/>
  </r>
  <r>
    <x v="101"/>
    <x v="4"/>
    <s v="lucas-5"/>
    <s v="WR-3"/>
    <s v="--"/>
    <m/>
    <n v="8.65"/>
    <n v="4.97"/>
    <n v="24.700900000000001"/>
    <s v="lucas-5WR-3"/>
    <s v="Quincy Enunwa5"/>
    <s v="FLEX"/>
    <n v="1"/>
    <n v="1349"/>
    <n v="8.65"/>
    <n v="24.700900000000001"/>
    <s v="WR"/>
    <x v="0"/>
    <x v="1"/>
  </r>
  <r>
    <x v="102"/>
    <x v="1"/>
    <s v="seth-2"/>
    <s v="WR/RB"/>
    <n v="3"/>
    <m/>
    <n v="3"/>
    <n v="0"/>
    <n v="0"/>
    <s v="seth-2WR/RB"/>
    <s v="Randall Cobb2"/>
    <s v="FLEX"/>
    <n v="1"/>
    <n v="1521"/>
    <n v="8.0500000000000007"/>
    <n v="27.457599999999999"/>
    <s v="WR/RB"/>
    <x v="0"/>
    <x v="3"/>
  </r>
  <r>
    <x v="102"/>
    <x v="2"/>
    <s v="seth-3"/>
    <s v="WR-3"/>
    <n v="0.2"/>
    <m/>
    <n v="0.2"/>
    <n v="0"/>
    <n v="0"/>
    <s v="seth-3WR-3"/>
    <s v="Randall Cobb3"/>
    <s v="FLEX"/>
    <n v="1"/>
    <n v="1565"/>
    <n v="7.92"/>
    <n v="29.811599999999999"/>
    <s v="WR"/>
    <x v="0"/>
    <x v="3"/>
  </r>
  <r>
    <x v="103"/>
    <x v="3"/>
    <s v="lucas-4"/>
    <s v="RB-2"/>
    <n v="4.9000000000000004"/>
    <m/>
    <n v="4.9000000000000004"/>
    <n v="0"/>
    <n v="0"/>
    <s v="lucas-4RB-2"/>
    <s v="Rashaad Penny4"/>
    <s v="FLEX"/>
    <n v="1"/>
    <n v="1399"/>
    <n v="8.49"/>
    <n v="43.0336"/>
    <s v="RB"/>
    <x v="2"/>
    <x v="6"/>
  </r>
  <r>
    <x v="104"/>
    <x v="0"/>
    <s v="cory-1"/>
    <s v="RB-2"/>
    <n v="6.9"/>
    <m/>
    <n v="6.9"/>
    <n v="0"/>
    <n v="0"/>
    <s v="cory-1RB-2"/>
    <s v="Rex Burkhead1"/>
    <s v="?"/>
    <n v="2"/>
    <e v="#N/A"/>
    <e v="#N/A"/>
    <e v="#N/A"/>
    <s v="RB"/>
    <x v="2"/>
    <x v="2"/>
  </r>
  <r>
    <x v="104"/>
    <x v="1"/>
    <s v="cory-2"/>
    <s v="RB-2"/>
    <n v="2.2000000000000002"/>
    <m/>
    <n v="2.2000000000000002"/>
    <n v="0"/>
    <n v="0"/>
    <s v="cory-2RB-2"/>
    <s v="Rex Burkhead2"/>
    <s v="?"/>
    <n v="2"/>
    <e v="#N/A"/>
    <e v="#N/A"/>
    <e v="#N/A"/>
    <s v="RB"/>
    <x v="2"/>
    <x v="2"/>
  </r>
  <r>
    <x v="105"/>
    <x v="0"/>
    <s v="lucas-1"/>
    <s v="TE-1"/>
    <n v="16.3"/>
    <m/>
    <n v="16.3"/>
    <n v="0"/>
    <n v="0"/>
    <s v="lucas-1TE-1"/>
    <s v="Rob Gronkowski1"/>
    <s v="FLEX"/>
    <n v="1"/>
    <n v="751"/>
    <n v="12.53"/>
    <n v="38.44"/>
    <s v="TE"/>
    <x v="3"/>
    <x v="6"/>
  </r>
  <r>
    <x v="105"/>
    <x v="1"/>
    <s v="lucas-2"/>
    <s v="TE-1"/>
    <n v="1.5"/>
    <m/>
    <n v="1.5"/>
    <n v="0"/>
    <n v="0"/>
    <s v="lucas-2TE-1"/>
    <s v="Rob Gronkowski2"/>
    <s v="FLEX"/>
    <n v="1"/>
    <n v="1275"/>
    <n v="8.9700000000000006"/>
    <n v="35.640900000000002"/>
    <s v="TE"/>
    <x v="3"/>
    <x v="6"/>
  </r>
  <r>
    <x v="105"/>
    <x v="2"/>
    <s v="lucas-3"/>
    <s v="TE-1"/>
    <n v="5.0999999999999996"/>
    <m/>
    <n v="5.0999999999999996"/>
    <n v="0"/>
    <n v="0"/>
    <s v="lucas-3TE-1"/>
    <s v="Rob Gronkowski3"/>
    <s v="FLEX"/>
    <n v="1"/>
    <n v="752"/>
    <n v="12.52"/>
    <n v="40.96"/>
    <s v="TE"/>
    <x v="3"/>
    <x v="6"/>
  </r>
  <r>
    <x v="105"/>
    <x v="3"/>
    <s v="lucas-4"/>
    <s v="TE-1"/>
    <n v="4.4000000000000004"/>
    <m/>
    <n v="4.4000000000000004"/>
    <n v="0"/>
    <n v="0"/>
    <s v="lucas-4TE-1"/>
    <s v="Rob Gronkowski4"/>
    <s v="FLEX"/>
    <n v="1"/>
    <n v="949"/>
    <n v="10.78"/>
    <n v="32.718400000000003"/>
    <s v="TE"/>
    <x v="3"/>
    <x v="6"/>
  </r>
  <r>
    <x v="105"/>
    <x v="4"/>
    <s v="lucas-5"/>
    <s v="TE-1"/>
    <n v="7.5"/>
    <m/>
    <n v="7.5"/>
    <n v="0"/>
    <n v="0"/>
    <s v="lucas-5TE-1"/>
    <s v="Rob Gronkowski5"/>
    <s v="FLEX"/>
    <n v="1"/>
    <n v="971"/>
    <n v="10.62"/>
    <n v="40.576900000000002"/>
    <s v="TE"/>
    <x v="3"/>
    <x v="1"/>
  </r>
  <r>
    <x v="106"/>
    <x v="0"/>
    <s v="perry-1"/>
    <s v="WR/RB"/>
    <n v="9.1999999999999993"/>
    <m/>
    <n v="9.1999999999999993"/>
    <n v="0"/>
    <n v="0"/>
    <s v="perry-1WR/RB"/>
    <s v="Robby Anderson1"/>
    <s v="FLEX"/>
    <n v="1"/>
    <n v="1923"/>
    <n v="6.73"/>
    <n v="26.8324"/>
    <s v="WR/RB"/>
    <x v="0"/>
    <x v="9"/>
  </r>
  <r>
    <x v="106"/>
    <x v="1"/>
    <s v="perry-2"/>
    <s v="WR/RB"/>
    <n v="0.7"/>
    <m/>
    <n v="0.7"/>
    <n v="0"/>
    <n v="0"/>
    <s v="perry-2WR/RB"/>
    <s v="Robby Anderson2"/>
    <s v="FLEX"/>
    <n v="1"/>
    <n v="1864"/>
    <n v="6.91"/>
    <n v="27.6676"/>
    <s v="WR/RB"/>
    <x v="0"/>
    <x v="9"/>
  </r>
  <r>
    <x v="107"/>
    <x v="0"/>
    <s v="matty-1"/>
    <s v="WR-2"/>
    <n v="4.3"/>
    <m/>
    <n v="4.3"/>
    <n v="0"/>
    <n v="0"/>
    <s v="matty-1WR-2"/>
    <s v="Robert Woods1"/>
    <s v="FLEX"/>
    <n v="1"/>
    <n v="1491"/>
    <n v="8.14"/>
    <n v="30.0304"/>
    <s v="WR"/>
    <x v="0"/>
    <x v="5"/>
  </r>
  <r>
    <x v="107"/>
    <x v="3"/>
    <s v="matty-4"/>
    <s v="WR-2"/>
    <n v="16.100000000000001"/>
    <m/>
    <n v="16.100000000000001"/>
    <n v="0"/>
    <n v="0"/>
    <s v="matty-4WR-2"/>
    <s v="Robert Woods4"/>
    <s v="FLEX"/>
    <n v="1"/>
    <n v="1350"/>
    <n v="8.65"/>
    <n v="22.372900000000001"/>
    <s v="WR"/>
    <x v="0"/>
    <x v="5"/>
  </r>
  <r>
    <x v="107"/>
    <x v="4"/>
    <s v="matty-5"/>
    <s v="WR-2"/>
    <s v="--"/>
    <m/>
    <n v="10.16"/>
    <n v="6.44"/>
    <n v="41.473599999999998"/>
    <s v="matty-5WR-2"/>
    <s v="Robert Woods5"/>
    <s v="FLEX"/>
    <n v="1"/>
    <n v="1048"/>
    <n v="10.16"/>
    <n v="41.473599999999998"/>
    <s v="WR"/>
    <x v="0"/>
    <x v="1"/>
  </r>
  <r>
    <x v="108"/>
    <x v="0"/>
    <s v="comp-1"/>
    <s v="RB-2"/>
    <n v="7.1"/>
    <m/>
    <n v="7.1"/>
    <n v="0"/>
    <n v="0"/>
    <s v="comp-1RB-2"/>
    <s v="Royce Freeman1"/>
    <s v="FLEX"/>
    <n v="1"/>
    <n v="1761"/>
    <n v="7.22"/>
    <n v="22.278400000000001"/>
    <s v="RB"/>
    <x v="2"/>
    <x v="4"/>
  </r>
  <r>
    <x v="108"/>
    <x v="1"/>
    <s v="comp-2"/>
    <s v="RB-1"/>
    <n v="8.8000000000000007"/>
    <m/>
    <n v="8.8000000000000007"/>
    <n v="0"/>
    <n v="0"/>
    <s v="comp-2RB-1"/>
    <s v="Royce Freeman2"/>
    <s v="FLEX"/>
    <n v="1"/>
    <n v="1597"/>
    <n v="7.79"/>
    <n v="19.272099999999998"/>
    <s v="RB"/>
    <x v="2"/>
    <x v="4"/>
  </r>
  <r>
    <x v="108"/>
    <x v="3"/>
    <s v="comp-4"/>
    <s v="RB-1"/>
    <n v="12.7"/>
    <m/>
    <n v="12.7"/>
    <n v="0"/>
    <n v="0"/>
    <s v="comp-4RB-1"/>
    <s v="Royce Freeman4"/>
    <s v="FLEX"/>
    <n v="1"/>
    <n v="1888"/>
    <n v="6.84"/>
    <n v="33.524099999999997"/>
    <s v="RB"/>
    <x v="2"/>
    <x v="4"/>
  </r>
  <r>
    <x v="109"/>
    <x v="0"/>
    <s v="seth-1"/>
    <s v="QB-1"/>
    <n v="20.399999999999999"/>
    <m/>
    <n v="20.399999999999999"/>
    <n v="0"/>
    <n v="0"/>
    <s v="seth-1QB-1"/>
    <s v="Russell Wilson1"/>
    <s v="FLEX"/>
    <n v="1"/>
    <n v="211"/>
    <n v="18.96"/>
    <n v="60.372900000000001"/>
    <s v="QB"/>
    <x v="1"/>
    <x v="3"/>
  </r>
  <r>
    <x v="109"/>
    <x v="1"/>
    <s v="seth-2"/>
    <s v="QB-1"/>
    <n v="14.7"/>
    <m/>
    <n v="14.7"/>
    <n v="0"/>
    <n v="0"/>
    <s v="seth-2QB-1"/>
    <s v="Russell Wilson2"/>
    <s v="FLEX"/>
    <n v="1"/>
    <n v="237"/>
    <n v="18.59"/>
    <n v="55.651600000000002"/>
    <s v="QB"/>
    <x v="1"/>
    <x v="3"/>
  </r>
  <r>
    <x v="109"/>
    <x v="2"/>
    <s v="seth-3"/>
    <s v="QB-1"/>
    <n v="15.6"/>
    <m/>
    <n v="15.6"/>
    <n v="0"/>
    <n v="0"/>
    <s v="seth-3QB-1"/>
    <s v="Russell Wilson3"/>
    <s v="FLEX"/>
    <n v="1"/>
    <n v="200"/>
    <n v="19.149999999999999"/>
    <n v="49.702500000000001"/>
    <s v="QB"/>
    <x v="1"/>
    <x v="3"/>
  </r>
  <r>
    <x v="109"/>
    <x v="3"/>
    <s v="seth-4"/>
    <s v="QB-1"/>
    <n v="9"/>
    <m/>
    <n v="9"/>
    <n v="0"/>
    <n v="0"/>
    <s v="seth-4QB-1"/>
    <s v="Russell Wilson4"/>
    <s v="FLEX"/>
    <n v="1"/>
    <n v="230"/>
    <n v="18.649999999999999"/>
    <n v="59.444099999999999"/>
    <s v="QB"/>
    <x v="1"/>
    <x v="3"/>
  </r>
  <r>
    <x v="109"/>
    <x v="4"/>
    <s v="seth-5"/>
    <s v="QB-1"/>
    <s v="--"/>
    <m/>
    <n v="16.690000000000001"/>
    <n v="7.13"/>
    <n v="50.8369"/>
    <s v="seth-5QB-1"/>
    <s v="Russell Wilson5"/>
    <s v="FLEX"/>
    <n v="1"/>
    <n v="357"/>
    <n v="16.690000000000001"/>
    <n v="50.8369"/>
    <s v="QB"/>
    <x v="1"/>
    <x v="1"/>
  </r>
  <r>
    <x v="110"/>
    <x v="2"/>
    <s v="scott-3"/>
    <s v="QB-1"/>
    <n v="25.1"/>
    <m/>
    <n v="25.1"/>
    <n v="0"/>
    <n v="0"/>
    <s v="scott-3QB-1"/>
    <s v="Ryan Fitzpatrick3"/>
    <s v="FLEX"/>
    <n v="1"/>
    <n v="147"/>
    <n v="19.86"/>
    <n v="35.046399999999998"/>
    <s v="QB"/>
    <x v="1"/>
    <x v="10"/>
  </r>
  <r>
    <x v="111"/>
    <x v="3"/>
    <s v="scott-4"/>
    <s v="WR/RB"/>
    <n v="0"/>
    <m/>
    <n v="0"/>
    <n v="0"/>
    <n v="0"/>
    <s v="scott-4WR/RB"/>
    <s v="Sammy Watkins4"/>
    <s v="FLEX"/>
    <n v="1"/>
    <n v="1439"/>
    <n v="8.31"/>
    <n v="44.488900000000001"/>
    <s v="WR/RB"/>
    <x v="0"/>
    <x v="10"/>
  </r>
  <r>
    <x v="112"/>
    <x v="0"/>
    <s v="lucas-1"/>
    <s v="RB-1"/>
    <n v="18.8"/>
    <m/>
    <n v="18.8"/>
    <n v="0"/>
    <n v="0"/>
    <s v="lucas-1RB-1"/>
    <s v="Saquon Barkley1"/>
    <s v="FLEX"/>
    <n v="1"/>
    <n v="528"/>
    <n v="14.48"/>
    <n v="58.064399999999999"/>
    <s v="RB"/>
    <x v="2"/>
    <x v="6"/>
  </r>
  <r>
    <x v="112"/>
    <x v="1"/>
    <s v="lucas-2"/>
    <s v="RB-1"/>
    <n v="10.8"/>
    <m/>
    <n v="10.8"/>
    <n v="0"/>
    <n v="0"/>
    <s v="lucas-2RB-1"/>
    <s v="Saquon Barkley2"/>
    <s v="FLEX"/>
    <n v="1"/>
    <n v="652"/>
    <n v="13.28"/>
    <n v="48.441600000000001"/>
    <s v="RB"/>
    <x v="2"/>
    <x v="6"/>
  </r>
  <r>
    <x v="112"/>
    <x v="2"/>
    <s v="lucas-3"/>
    <s v="RB-1"/>
    <n v="17.7"/>
    <m/>
    <n v="17.7"/>
    <n v="0"/>
    <n v="0"/>
    <s v="lucas-3RB-1"/>
    <s v="Saquon Barkley3"/>
    <s v="FLEX"/>
    <n v="1"/>
    <n v="584"/>
    <n v="13.92"/>
    <n v="71.740899999999996"/>
    <s v="RB"/>
    <x v="2"/>
    <x v="6"/>
  </r>
  <r>
    <x v="112"/>
    <x v="3"/>
    <s v="lucas-4"/>
    <s v="RB-1"/>
    <n v="16"/>
    <m/>
    <n v="16"/>
    <n v="0"/>
    <n v="0"/>
    <s v="lucas-4RB-1"/>
    <s v="Saquon Barkley4"/>
    <s v="FLEX"/>
    <n v="1"/>
    <n v="555"/>
    <n v="14.22"/>
    <n v="73.444900000000004"/>
    <s v="RB"/>
    <x v="2"/>
    <x v="6"/>
  </r>
  <r>
    <x v="112"/>
    <x v="4"/>
    <s v="lucas-5"/>
    <s v="RB-1"/>
    <s v="--"/>
    <m/>
    <n v="13.37"/>
    <n v="8.27"/>
    <n v="68.392899999999997"/>
    <s v="lucas-5RB-1"/>
    <s v="Saquon Barkley5"/>
    <s v="FLEX"/>
    <n v="1"/>
    <n v="643"/>
    <n v="13.37"/>
    <n v="68.392899999999997"/>
    <s v="RB"/>
    <x v="2"/>
    <x v="1"/>
  </r>
  <r>
    <x v="113"/>
    <x v="2"/>
    <s v="devon-3"/>
    <s v="WR/RB"/>
    <n v="4.9000000000000004"/>
    <m/>
    <n v="4.9000000000000004"/>
    <n v="0"/>
    <n v="0"/>
    <s v="devon-3WR/RB"/>
    <s v="Sony Michel3"/>
    <s v="FLEX"/>
    <n v="1"/>
    <n v="1723"/>
    <n v="7.34"/>
    <n v="62.726399999999998"/>
    <s v="WR/RB"/>
    <x v="2"/>
    <x v="0"/>
  </r>
  <r>
    <x v="113"/>
    <x v="3"/>
    <s v="devon-4"/>
    <s v="RB-2"/>
    <n v="17.2"/>
    <m/>
    <n v="17.2"/>
    <n v="0"/>
    <n v="0"/>
    <s v="devon-4RB-2"/>
    <s v="Sony Michel4"/>
    <s v="FLEX"/>
    <n v="1"/>
    <n v="1853"/>
    <n v="6.94"/>
    <n v="34.456899999999997"/>
    <s v="RB"/>
    <x v="2"/>
    <x v="0"/>
  </r>
  <r>
    <x v="113"/>
    <x v="4"/>
    <s v="devon-5"/>
    <s v="RB-2"/>
    <n v="17"/>
    <m/>
    <n v="17"/>
    <n v="0"/>
    <n v="0"/>
    <s v="devon-5RB-2"/>
    <s v="Sony Michel5"/>
    <s v="FLEX"/>
    <n v="1"/>
    <n v="793"/>
    <n v="12.22"/>
    <n v="57.304900000000004"/>
    <s v="RB"/>
    <x v="2"/>
    <x v="1"/>
  </r>
  <r>
    <x v="114"/>
    <x v="0"/>
    <s v="aj-1"/>
    <s v="WR-3"/>
    <n v="11.1"/>
    <m/>
    <n v="11.1"/>
    <n v="0"/>
    <n v="0"/>
    <s v="aj-1WR-3"/>
    <s v="Stefon Diggs1"/>
    <s v="FLEX"/>
    <n v="1"/>
    <n v="959"/>
    <n v="10.69"/>
    <n v="54.169600000000003"/>
    <s v="WR"/>
    <x v="0"/>
    <x v="7"/>
  </r>
  <r>
    <x v="114"/>
    <x v="1"/>
    <s v="aj-2"/>
    <s v="WR-3"/>
    <n v="26.9"/>
    <m/>
    <n v="26.9"/>
    <n v="0"/>
    <n v="0"/>
    <s v="aj-2WR-3"/>
    <s v="Stefon Diggs2"/>
    <s v="FLEX"/>
    <n v="1"/>
    <n v="1150"/>
    <n v="9.65"/>
    <n v="39.816099999999999"/>
    <s v="WR"/>
    <x v="0"/>
    <x v="7"/>
  </r>
  <r>
    <x v="114"/>
    <x v="2"/>
    <s v="aj-3"/>
    <s v="WR-3"/>
    <n v="1.7"/>
    <m/>
    <n v="1.7"/>
    <n v="0"/>
    <n v="0"/>
    <s v="aj-3WR-3"/>
    <s v="Stefon Diggs3"/>
    <s v="FLEX"/>
    <n v="1"/>
    <n v="926"/>
    <n v="10.95"/>
    <n v="55.3536"/>
    <s v="WR"/>
    <x v="0"/>
    <x v="7"/>
  </r>
  <r>
    <x v="114"/>
    <x v="3"/>
    <s v="aj-4"/>
    <s v="WR-3"/>
    <n v="12.3"/>
    <m/>
    <n v="12.3"/>
    <n v="0"/>
    <n v="0"/>
    <s v="aj-4WR-3"/>
    <s v="Stefon Diggs4"/>
    <s v="FLEX"/>
    <n v="1"/>
    <n v="942"/>
    <n v="10.86"/>
    <n v="42.640900000000002"/>
    <s v="WR"/>
    <x v="0"/>
    <x v="7"/>
  </r>
  <r>
    <x v="114"/>
    <x v="4"/>
    <s v="aj-5"/>
    <s v="WR-2"/>
    <s v="--"/>
    <m/>
    <n v="10.38"/>
    <n v="7.12"/>
    <n v="50.694400000000002"/>
    <s v="aj-5WR-2"/>
    <s v="Stefon Diggs5"/>
    <s v="FLEX"/>
    <n v="1"/>
    <n v="1007"/>
    <n v="10.38"/>
    <n v="50.694400000000002"/>
    <s v="WR"/>
    <x v="0"/>
    <x v="1"/>
  </r>
  <r>
    <x v="115"/>
    <x v="1"/>
    <s v="devon-2"/>
    <s v="WR/RB"/>
    <n v="7.1"/>
    <m/>
    <n v="7.1"/>
    <n v="0"/>
    <n v="0"/>
    <s v="devon-2WR/RB"/>
    <s v="T.J. Yeldon2"/>
    <s v="FLEX"/>
    <n v="1"/>
    <n v="828"/>
    <n v="11.89"/>
    <n v="116.64"/>
    <s v="WR/RB"/>
    <x v="2"/>
    <x v="0"/>
  </r>
  <r>
    <x v="115"/>
    <x v="4"/>
    <s v="seth-5"/>
    <s v="RB-2"/>
    <s v="--"/>
    <m/>
    <n v="12.09"/>
    <n v="8.02"/>
    <n v="64.320400000000006"/>
    <s v="seth-5RB-2"/>
    <s v="T.J. Yeldon5"/>
    <s v="FLEX"/>
    <n v="1"/>
    <n v="808"/>
    <n v="12.09"/>
    <n v="64.320400000000006"/>
    <s v="RB"/>
    <x v="2"/>
    <x v="1"/>
  </r>
  <r>
    <x v="116"/>
    <x v="0"/>
    <s v="comp-1"/>
    <s v="WR-2"/>
    <n v="10.6"/>
    <m/>
    <n v="10.6"/>
    <n v="0"/>
    <n v="0"/>
    <s v="comp-1WR-2"/>
    <s v="T.Y. Hilton1"/>
    <s v="FLEX"/>
    <n v="1"/>
    <n v="1132"/>
    <n v="9.75"/>
    <n v="31.472100000000001"/>
    <s v="WR"/>
    <x v="0"/>
    <x v="4"/>
  </r>
  <r>
    <x v="116"/>
    <x v="1"/>
    <s v="comp-2"/>
    <s v="WR-2"/>
    <n v="14.3"/>
    <m/>
    <n v="14.3"/>
    <n v="0"/>
    <n v="0"/>
    <s v="comp-2WR-2"/>
    <s v="T.Y. Hilton2"/>
    <s v="FLEX"/>
    <n v="1"/>
    <n v="1124"/>
    <n v="9.7799999999999994"/>
    <n v="36.360900000000001"/>
    <s v="WR"/>
    <x v="0"/>
    <x v="4"/>
  </r>
  <r>
    <x v="116"/>
    <x v="2"/>
    <s v="comp-3"/>
    <s v="WR-2"/>
    <n v="5"/>
    <m/>
    <n v="5"/>
    <n v="0"/>
    <n v="0"/>
    <s v="comp-3WR-2"/>
    <s v="T.Y. Hilton3"/>
    <s v="FLEX"/>
    <n v="1"/>
    <n v="1080"/>
    <n v="9.9700000000000006"/>
    <n v="58.675600000000003"/>
    <s v="WR"/>
    <x v="0"/>
    <x v="4"/>
  </r>
  <r>
    <x v="116"/>
    <x v="3"/>
    <s v="comp-4"/>
    <s v="WR-2"/>
    <n v="11.5"/>
    <m/>
    <n v="11.5"/>
    <n v="0"/>
    <n v="0"/>
    <s v="comp-4WR-2"/>
    <s v="T.Y. Hilton4"/>
    <s v="FLEX"/>
    <n v="1"/>
    <n v="848"/>
    <n v="11.74"/>
    <n v="54.464399999999998"/>
    <s v="WR"/>
    <x v="0"/>
    <x v="4"/>
  </r>
  <r>
    <x v="117"/>
    <x v="2"/>
    <s v="chad-3"/>
    <s v="WR-3"/>
    <n v="9.1999999999999993"/>
    <m/>
    <n v="9.1999999999999993"/>
    <n v="0"/>
    <n v="0"/>
    <s v="chad-3WR-3"/>
    <s v="Ted Ginn Jr.3"/>
    <s v="FLEX"/>
    <n v="1"/>
    <n v="2178"/>
    <n v="6"/>
    <n v="26.728899999999999"/>
    <s v="WR"/>
    <x v="0"/>
    <x v="8"/>
  </r>
  <r>
    <x v="118"/>
    <x v="0"/>
    <s v="lucas-1"/>
    <s v="WR/RB"/>
    <n v="10.5"/>
    <m/>
    <n v="10.5"/>
    <n v="0"/>
    <n v="0"/>
    <s v="lucas-1WR/RB"/>
    <s v="Tevin Coleman1"/>
    <s v="FLEX"/>
    <n v="1"/>
    <n v="2144"/>
    <n v="6.1"/>
    <n v="18.662400000000002"/>
    <s v="WR/RB"/>
    <x v="2"/>
    <x v="6"/>
  </r>
  <r>
    <x v="118"/>
    <x v="1"/>
    <s v="lucas-2"/>
    <s v="WR/RB"/>
    <n v="12.5"/>
    <m/>
    <n v="12.5"/>
    <n v="0"/>
    <n v="0"/>
    <s v="lucas-2WR/RB"/>
    <s v="Tevin Coleman2"/>
    <s v="FLEX"/>
    <n v="1"/>
    <n v="718"/>
    <n v="12.82"/>
    <n v="67.4041"/>
    <s v="WR/RB"/>
    <x v="2"/>
    <x v="6"/>
  </r>
  <r>
    <x v="118"/>
    <x v="2"/>
    <s v="lucas-3"/>
    <s v="WR/RB"/>
    <n v="10.7"/>
    <m/>
    <n v="10.7"/>
    <n v="0"/>
    <n v="0"/>
    <s v="lucas-3WR/RB"/>
    <s v="Tevin Coleman3"/>
    <s v="FLEX"/>
    <n v="1"/>
    <n v="663"/>
    <n v="13.19"/>
    <n v="73.616399999999999"/>
    <s v="WR/RB"/>
    <x v="2"/>
    <x v="6"/>
  </r>
  <r>
    <x v="118"/>
    <x v="3"/>
    <s v="lucas-4"/>
    <s v="WR/RB"/>
    <n v="7.7"/>
    <m/>
    <n v="7.7"/>
    <n v="0"/>
    <n v="0"/>
    <s v="lucas-4WR/RB"/>
    <s v="Tevin Coleman4"/>
    <s v="FLEX"/>
    <n v="1"/>
    <n v="689"/>
    <n v="12.99"/>
    <n v="100.6009"/>
    <s v="WR/RB"/>
    <x v="2"/>
    <x v="6"/>
  </r>
  <r>
    <x v="118"/>
    <x v="4"/>
    <s v="lucas-5"/>
    <s v="WR/RB"/>
    <s v="--"/>
    <m/>
    <n v="7.55"/>
    <n v="5.86"/>
    <n v="34.339599999999997"/>
    <s v="lucas-5WR/RB"/>
    <s v="Tevin Coleman5"/>
    <s v="FLEX"/>
    <n v="1"/>
    <n v="1656"/>
    <n v="7.55"/>
    <n v="34.339599999999997"/>
    <s v="WR/RB"/>
    <x v="2"/>
    <x v="1"/>
  </r>
  <r>
    <x v="119"/>
    <x v="0"/>
    <s v="chad-1"/>
    <s v="RB-1"/>
    <n v="20.7"/>
    <m/>
    <n v="20.7"/>
    <n v="0"/>
    <n v="0"/>
    <s v="chad-1RB-1"/>
    <s v="Todd Gurley II1"/>
    <s v="FLEX"/>
    <n v="1"/>
    <n v="210"/>
    <n v="18.98"/>
    <n v="72.080100000000002"/>
    <s v="RB"/>
    <x v="2"/>
    <x v="8"/>
  </r>
  <r>
    <x v="119"/>
    <x v="1"/>
    <s v="chad-2"/>
    <s v="RB-1"/>
    <n v="29.3"/>
    <m/>
    <n v="29.3"/>
    <n v="0"/>
    <n v="0"/>
    <s v="chad-2RB-1"/>
    <s v="Todd Gurley II2"/>
    <s v="FLEX"/>
    <n v="1"/>
    <n v="292"/>
    <n v="17.71"/>
    <n v="73.444900000000004"/>
    <s v="RB"/>
    <x v="2"/>
    <x v="8"/>
  </r>
  <r>
    <x v="119"/>
    <x v="2"/>
    <s v="chad-3"/>
    <s v="RB-1"/>
    <n v="19.600000000000001"/>
    <m/>
    <n v="19.600000000000001"/>
    <n v="0"/>
    <n v="0"/>
    <s v="chad-3RB-1"/>
    <s v="Todd Gurley II3"/>
    <s v="FLEX"/>
    <n v="1"/>
    <n v="144"/>
    <n v="19.87"/>
    <n v="84.456100000000006"/>
    <s v="RB"/>
    <x v="2"/>
    <x v="8"/>
  </r>
  <r>
    <x v="119"/>
    <x v="3"/>
    <s v="chad-4"/>
    <s v="RB-1"/>
    <n v="21.6"/>
    <m/>
    <n v="21.6"/>
    <n v="0"/>
    <n v="0"/>
    <s v="chad-4RB-1"/>
    <s v="Todd Gurley II4"/>
    <s v="FLEX"/>
    <n v="1"/>
    <n v="259"/>
    <n v="18.36"/>
    <n v="73.102500000000006"/>
    <s v="RB"/>
    <x v="2"/>
    <x v="8"/>
  </r>
  <r>
    <x v="119"/>
    <x v="4"/>
    <s v="chad-5"/>
    <s v="RB-1"/>
    <s v="--"/>
    <m/>
    <n v="18.43"/>
    <n v="8.49"/>
    <n v="72.080100000000002"/>
    <s v="chad-5RB-1"/>
    <s v="Todd Gurley II5"/>
    <s v="FLEX"/>
    <n v="1"/>
    <n v="253"/>
    <n v="18.43"/>
    <n v="72.080100000000002"/>
    <s v="RB"/>
    <x v="2"/>
    <x v="1"/>
  </r>
  <r>
    <x v="120"/>
    <x v="0"/>
    <s v="lucas-1"/>
    <s v="QB-1"/>
    <n v="21.3"/>
    <m/>
    <n v="21.3"/>
    <n v="0"/>
    <n v="0"/>
    <s v="lucas-1QB-1"/>
    <s v="Tom Brady1"/>
    <s v="FLEX"/>
    <n v="1"/>
    <n v="24"/>
    <n v="23.16"/>
    <n v="57.912100000000002"/>
    <s v="QB"/>
    <x v="1"/>
    <x v="6"/>
  </r>
  <r>
    <x v="120"/>
    <x v="2"/>
    <s v="lucas-3"/>
    <s v="QB-1"/>
    <n v="7.5"/>
    <m/>
    <n v="7.5"/>
    <n v="0"/>
    <n v="0"/>
    <s v="lucas-3QB-1"/>
    <s v="Tom Brady3"/>
    <s v="FLEX"/>
    <n v="1"/>
    <n v="111"/>
    <n v="20.41"/>
    <n v="39.942399999999999"/>
    <s v="QB"/>
    <x v="1"/>
    <x v="6"/>
  </r>
  <r>
    <x v="120"/>
    <x v="3"/>
    <s v="lucas-4"/>
    <s v="QB-1"/>
    <n v="19"/>
    <m/>
    <n v="19"/>
    <n v="0"/>
    <n v="0"/>
    <s v="lucas-4QB-1"/>
    <s v="Tom Brady4"/>
    <s v="FLEX"/>
    <n v="1"/>
    <n v="67"/>
    <n v="21.4"/>
    <n v="50.126399999999997"/>
    <s v="QB"/>
    <x v="1"/>
    <x v="6"/>
  </r>
  <r>
    <x v="120"/>
    <x v="4"/>
    <s v="lucas-5"/>
    <s v="QB-1"/>
    <n v="27.5"/>
    <m/>
    <n v="27.5"/>
    <n v="0"/>
    <n v="0"/>
    <s v="lucas-5QB-1"/>
    <s v="Tom Brady5"/>
    <s v="FLEX"/>
    <n v="1"/>
    <n v="30"/>
    <n v="22.87"/>
    <n v="64.641599999999997"/>
    <s v="QB"/>
    <x v="1"/>
    <x v="1"/>
  </r>
  <r>
    <x v="121"/>
    <x v="0"/>
    <s v="scott-1"/>
    <s v="TE-1"/>
    <n v="0.6"/>
    <m/>
    <n v="0.6"/>
    <n v="0"/>
    <n v="0"/>
    <s v="scott-1TE-1"/>
    <s v="Travis Kelce1"/>
    <s v="FLEX"/>
    <n v="1"/>
    <n v="1233"/>
    <n v="9.2100000000000009"/>
    <n v="36.240400000000001"/>
    <s v="TE"/>
    <x v="3"/>
    <x v="10"/>
  </r>
  <r>
    <x v="121"/>
    <x v="1"/>
    <s v="scott-2"/>
    <s v="TE-1"/>
    <n v="22.9"/>
    <m/>
    <n v="22.9"/>
    <n v="0"/>
    <n v="0"/>
    <s v="scott-2TE-1"/>
    <s v="Travis Kelce2"/>
    <s v="FLEX"/>
    <n v="1"/>
    <n v="1415"/>
    <n v="8.43"/>
    <n v="35.402500000000003"/>
    <s v="TE"/>
    <x v="3"/>
    <x v="10"/>
  </r>
  <r>
    <x v="121"/>
    <x v="2"/>
    <s v="scott-3"/>
    <s v="TE-1"/>
    <n v="11.4"/>
    <m/>
    <n v="11.4"/>
    <n v="0"/>
    <n v="0"/>
    <s v="scott-3TE-1"/>
    <s v="Travis Kelce3"/>
    <s v="FLEX"/>
    <n v="1"/>
    <n v="1044"/>
    <n v="10.17"/>
    <n v="44.089599999999997"/>
    <s v="TE"/>
    <x v="3"/>
    <x v="10"/>
  </r>
  <r>
    <x v="121"/>
    <x v="3"/>
    <s v="scott-4"/>
    <s v="TE-1"/>
    <n v="13.8"/>
    <m/>
    <n v="13.8"/>
    <n v="0"/>
    <n v="0"/>
    <s v="scott-4TE-1"/>
    <s v="Travis Kelce4"/>
    <s v="FLEX"/>
    <n v="1"/>
    <n v="952"/>
    <n v="10.75"/>
    <n v="33.0625"/>
    <s v="TE"/>
    <x v="3"/>
    <x v="10"/>
  </r>
  <r>
    <x v="121"/>
    <x v="4"/>
    <s v="aj-5"/>
    <s v="TE-1"/>
    <s v="--"/>
    <m/>
    <n v="10.91"/>
    <n v="5.8"/>
    <n v="33.64"/>
    <s v="aj-5TE-1"/>
    <s v="Travis Kelce5"/>
    <s v="FLEX"/>
    <n v="1"/>
    <n v="933"/>
    <n v="10.91"/>
    <n v="33.64"/>
    <s v="TE"/>
    <x v="3"/>
    <x v="1"/>
  </r>
  <r>
    <x v="122"/>
    <x v="1"/>
    <s v="comp-2"/>
    <s v="TE-1"/>
    <n v="8.1999999999999993"/>
    <m/>
    <n v="8.1999999999999993"/>
    <n v="0"/>
    <n v="0"/>
    <s v="comp-2TE-1"/>
    <s v="Trey Burton2"/>
    <s v="FLEX"/>
    <n v="1"/>
    <n v="2002"/>
    <n v="6.49"/>
    <n v="29.811599999999999"/>
    <s v="TE"/>
    <x v="3"/>
    <x v="4"/>
  </r>
  <r>
    <x v="122"/>
    <x v="2"/>
    <s v="comp-3"/>
    <s v="TE-1"/>
    <n v="5.5"/>
    <m/>
    <n v="5.5"/>
    <n v="0"/>
    <n v="0"/>
    <s v="comp-3TE-1"/>
    <s v="Trey Burton3"/>
    <s v="FLEX"/>
    <n v="1"/>
    <n v="2344"/>
    <n v="5.6"/>
    <n v="25.200399999999998"/>
    <s v="TE"/>
    <x v="3"/>
    <x v="4"/>
  </r>
  <r>
    <x v="122"/>
    <x v="3"/>
    <s v="comp-4"/>
    <s v="TE-1"/>
    <n v="14.6"/>
    <m/>
    <n v="14.6"/>
    <n v="0"/>
    <n v="0"/>
    <s v="comp-4TE-1"/>
    <s v="Trey Burton4"/>
    <s v="FLEX"/>
    <n v="1"/>
    <n v="2562"/>
    <n v="5.0599999999999996"/>
    <n v="16.2409"/>
    <s v="TE"/>
    <x v="3"/>
    <x v="4"/>
  </r>
  <r>
    <x v="123"/>
    <x v="3"/>
    <s v="cory-4"/>
    <s v="WR/RB"/>
    <n v="10"/>
    <m/>
    <n v="10"/>
    <n v="0"/>
    <n v="0"/>
    <s v="cory-4WR/RB"/>
    <s v="Tyler Boyd4"/>
    <s v="FLEX"/>
    <n v="1"/>
    <n v="1716"/>
    <n v="7.36"/>
    <n v="35.640900000000002"/>
    <s v="WR/RB"/>
    <x v="0"/>
    <x v="2"/>
  </r>
  <r>
    <x v="123"/>
    <x v="4"/>
    <s v="cory-5"/>
    <s v="WR/RB"/>
    <s v="--"/>
    <m/>
    <n v="8.0500000000000007"/>
    <n v="4.45"/>
    <n v="19.802499999999998"/>
    <s v="cory-5WR/RB"/>
    <s v="Tyler Boyd5"/>
    <s v="FLEX"/>
    <n v="1"/>
    <n v="1522"/>
    <n v="8.0500000000000007"/>
    <n v="19.802499999999998"/>
    <s v="WR/RB"/>
    <x v="0"/>
    <x v="1"/>
  </r>
  <r>
    <x v="124"/>
    <x v="3"/>
    <s v="matty-4"/>
    <s v="TE-1"/>
    <n v="9.8000000000000007"/>
    <m/>
    <n v="9.8000000000000007"/>
    <n v="0"/>
    <n v="0"/>
    <s v="matty-4TE-1"/>
    <s v="Tyler Eifert4"/>
    <s v="?"/>
    <n v="2"/>
    <e v="#N/A"/>
    <e v="#N/A"/>
    <e v="#N/A"/>
    <s v="TE"/>
    <x v="3"/>
    <x v="5"/>
  </r>
  <r>
    <x v="125"/>
    <x v="1"/>
    <s v="chad-2"/>
    <s v="WR-3"/>
    <n v="12"/>
    <m/>
    <n v="12"/>
    <n v="0"/>
    <n v="0"/>
    <s v="chad-2WR-3"/>
    <s v="Tyler Lockett2"/>
    <s v="FLEX"/>
    <n v="1"/>
    <n v="2637"/>
    <n v="4.87"/>
    <n v="13.8384"/>
    <s v="WR"/>
    <x v="0"/>
    <x v="8"/>
  </r>
  <r>
    <x v="125"/>
    <x v="3"/>
    <s v="chad-4"/>
    <s v="WR-2"/>
    <n v="5.3"/>
    <m/>
    <n v="5.3"/>
    <n v="0"/>
    <n v="0"/>
    <s v="chad-4WR-2"/>
    <s v="Tyler Lockett4"/>
    <s v="FLEX"/>
    <n v="1"/>
    <n v="1535"/>
    <n v="8.02"/>
    <n v="33.524099999999997"/>
    <s v="WR"/>
    <x v="0"/>
    <x v="8"/>
  </r>
  <r>
    <x v="126"/>
    <x v="0"/>
    <s v="matty-1"/>
    <s v="WR-1"/>
    <n v="35.299999999999997"/>
    <m/>
    <n v="35.299999999999997"/>
    <n v="0"/>
    <n v="0"/>
    <s v="matty-1WR-1"/>
    <s v="Tyreek Hill1"/>
    <s v="FLEX"/>
    <n v="1"/>
    <n v="1331"/>
    <n v="8.7100000000000009"/>
    <n v="35.880099999999999"/>
    <s v="WR"/>
    <x v="0"/>
    <x v="5"/>
  </r>
  <r>
    <x v="126"/>
    <x v="1"/>
    <s v="matty-2"/>
    <s v="WR-1"/>
    <n v="15"/>
    <m/>
    <n v="15"/>
    <n v="0"/>
    <n v="0"/>
    <s v="matty-2WR-1"/>
    <s v="Tyreek Hill2"/>
    <s v="FLEX"/>
    <n v="1"/>
    <n v="945"/>
    <n v="10.84"/>
    <n v="36.4816"/>
    <s v="WR"/>
    <x v="0"/>
    <x v="5"/>
  </r>
  <r>
    <x v="126"/>
    <x v="2"/>
    <s v="matty-3"/>
    <s v="WR-1"/>
    <n v="5.6"/>
    <m/>
    <n v="5.6"/>
    <n v="0"/>
    <n v="0"/>
    <s v="matty-3WR-1"/>
    <s v="Tyreek Hill3"/>
    <s v="FLEX"/>
    <n v="1"/>
    <n v="587"/>
    <n v="13.88"/>
    <n v="68.392899999999997"/>
    <s v="WR"/>
    <x v="0"/>
    <x v="5"/>
  </r>
  <r>
    <x v="126"/>
    <x v="3"/>
    <s v="matty-4"/>
    <s v="WR-1"/>
    <n v="5.6"/>
    <m/>
    <n v="5.6"/>
    <n v="0"/>
    <n v="0"/>
    <s v="matty-4WR-1"/>
    <s v="Tyreek Hill4"/>
    <s v="FLEX"/>
    <n v="1"/>
    <n v="934"/>
    <n v="10.91"/>
    <n v="53.5824"/>
    <s v="WR"/>
    <x v="0"/>
    <x v="5"/>
  </r>
  <r>
    <x v="126"/>
    <x v="4"/>
    <s v="matty-5"/>
    <s v="WR-1"/>
    <s v="--"/>
    <m/>
    <n v="11.83"/>
    <n v="8.1199999999999992"/>
    <n v="65.934399999999997"/>
    <s v="matty-5WR-1"/>
    <s v="Tyreek Hill5"/>
    <s v="FLEX"/>
    <n v="1"/>
    <n v="835"/>
    <n v="11.83"/>
    <n v="65.934399999999997"/>
    <s v="WR"/>
    <x v="0"/>
    <x v="1"/>
  </r>
  <r>
    <x v="127"/>
    <x v="2"/>
    <s v="perry-3"/>
    <s v="WR-3"/>
    <n v="16.100000000000001"/>
    <m/>
    <n v="16.100000000000001"/>
    <n v="0"/>
    <n v="0"/>
    <s v="perry-3WR-3"/>
    <s v="Will Fuller V3"/>
    <s v="FLEX"/>
    <n v="1"/>
    <n v="1785"/>
    <n v="7.16"/>
    <n v="39.816099999999999"/>
    <s v="WR"/>
    <x v="0"/>
    <x v="9"/>
  </r>
  <r>
    <x v="127"/>
    <x v="3"/>
    <s v="perry-4"/>
    <s v="WR-3"/>
    <n v="10.9"/>
    <m/>
    <n v="10.9"/>
    <n v="0"/>
    <n v="0"/>
    <s v="perry-4WR-3"/>
    <s v="Will Fuller V4"/>
    <s v="FLEX"/>
    <n v="1"/>
    <n v="1187"/>
    <n v="9.48"/>
    <n v="48.5809"/>
    <s v="WR"/>
    <x v="0"/>
    <x v="9"/>
  </r>
  <r>
    <x v="127"/>
    <x v="4"/>
    <s v="perry-5"/>
    <s v="WR-3"/>
    <s v="--"/>
    <m/>
    <n v="8.69"/>
    <n v="6.8"/>
    <n v="46.24"/>
    <s v="perry-5WR-3"/>
    <s v="Will Fuller V5"/>
    <s v="FLEX"/>
    <n v="1"/>
    <n v="1337"/>
    <n v="8.69"/>
    <n v="46.24"/>
    <s v="WR"/>
    <x v="0"/>
    <x v="1"/>
  </r>
  <r>
    <x v="128"/>
    <x v="0"/>
    <s v="perry-1"/>
    <s v="TE-1"/>
    <n v="4.8"/>
    <m/>
    <n v="4.8"/>
    <n v="0"/>
    <n v="0"/>
    <s v="perry-1TE-1"/>
    <s v="Zach Ertz1"/>
    <s v="FLEX"/>
    <n v="1"/>
    <n v="1046"/>
    <n v="10.17"/>
    <n v="38.688400000000001"/>
    <s v="TE"/>
    <x v="3"/>
    <x v="9"/>
  </r>
  <r>
    <x v="128"/>
    <x v="1"/>
    <s v="perry-2"/>
    <s v="TE-1"/>
    <n v="9.4"/>
    <m/>
    <n v="9.4"/>
    <n v="0"/>
    <n v="0"/>
    <s v="perry-2TE-1"/>
    <s v="Zach Ertz2"/>
    <s v="FLEX"/>
    <n v="1"/>
    <n v="1299"/>
    <n v="8.89"/>
    <n v="26.728899999999999"/>
    <s v="TE"/>
    <x v="3"/>
    <x v="9"/>
  </r>
  <r>
    <x v="128"/>
    <x v="2"/>
    <s v="perry-3"/>
    <s v="TE-1"/>
    <n v="7.3"/>
    <m/>
    <n v="7.3"/>
    <n v="0"/>
    <n v="0"/>
    <s v="perry-3TE-1"/>
    <s v="Zach Ertz3"/>
    <s v="FLEX"/>
    <n v="1"/>
    <n v="1249"/>
    <n v="9.15"/>
    <n v="29.052099999999999"/>
    <s v="TE"/>
    <x v="3"/>
    <x v="9"/>
  </r>
  <r>
    <x v="128"/>
    <x v="3"/>
    <s v="perry-4"/>
    <s v="TE-1"/>
    <n v="11.2"/>
    <m/>
    <n v="11.2"/>
    <n v="0"/>
    <n v="0"/>
    <s v="perry-4TE-1"/>
    <s v="Zach Ertz4"/>
    <s v="FLEX"/>
    <n v="1"/>
    <n v="1198"/>
    <n v="9.39"/>
    <n v="23.619599999999998"/>
    <s v="TE"/>
    <x v="3"/>
    <x v="9"/>
  </r>
  <r>
    <x v="128"/>
    <x v="4"/>
    <s v="perry-5"/>
    <s v="TE-1"/>
    <s v="--"/>
    <m/>
    <n v="9.61"/>
    <n v="5.22"/>
    <n v="27.2484"/>
    <s v="perry-5TE-1"/>
    <s v="Zach Ertz5"/>
    <s v="FLEX"/>
    <n v="1"/>
    <n v="1161"/>
    <n v="9.61"/>
    <n v="27.2484"/>
    <s v="TE"/>
    <x v="3"/>
    <x v="1"/>
  </r>
  <r>
    <x v="129"/>
    <x v="4"/>
    <s v="aj-5"/>
    <s v="K"/>
    <s v="--"/>
    <m/>
    <n v="8.64"/>
    <n v="4.8899999999999997"/>
    <n v="23.912099999999999"/>
    <s v="aj-5K"/>
    <s v="Cairo Santos5"/>
    <s v="K"/>
    <n v="3"/>
    <n v="183"/>
    <n v="7.41"/>
    <n v="23.912099999999999"/>
    <s v="K"/>
    <x v="4"/>
    <x v="1"/>
  </r>
  <r>
    <x v="130"/>
    <x v="0"/>
    <s v="perry-1"/>
    <s v="K"/>
    <n v="0"/>
    <m/>
    <n v="0"/>
    <n v="0"/>
    <n v="0"/>
    <s v="perry-1K"/>
    <s v="Chris Boswell1"/>
    <s v="K"/>
    <n v="3"/>
    <n v="100"/>
    <n v="7.99"/>
    <n v="14.7456"/>
    <s v="K"/>
    <x v="4"/>
    <x v="9"/>
  </r>
  <r>
    <x v="130"/>
    <x v="1"/>
    <s v="perry-2"/>
    <s v="K"/>
    <n v="-1"/>
    <m/>
    <n v="-1"/>
    <n v="0"/>
    <n v="0"/>
    <s v="perry-2K"/>
    <s v="Chris Boswell2"/>
    <s v="K"/>
    <n v="3"/>
    <n v="83"/>
    <n v="8.1199999999999992"/>
    <n v="16.974399999999999"/>
    <s v="K"/>
    <x v="4"/>
    <x v="9"/>
  </r>
  <r>
    <x v="130"/>
    <x v="2"/>
    <s v="perry-3"/>
    <s v="K"/>
    <n v="2"/>
    <m/>
    <n v="2"/>
    <n v="0"/>
    <n v="0"/>
    <s v="perry-3K"/>
    <s v="Chris Boswell3"/>
    <s v="K"/>
    <n v="3"/>
    <n v="126"/>
    <n v="7.75"/>
    <n v="12.3904"/>
    <s v="K"/>
    <x v="4"/>
    <x v="9"/>
  </r>
  <r>
    <x v="131"/>
    <x v="2"/>
    <s v="aj-3"/>
    <s v="K"/>
    <n v="0"/>
    <m/>
    <n v="0"/>
    <n v="0"/>
    <n v="0"/>
    <s v="aj-3K"/>
    <s v="Dan Bailey3"/>
    <s v="K"/>
    <n v="3"/>
    <n v="211"/>
    <n v="7.27"/>
    <n v="18.232900000000001"/>
    <s v="K"/>
    <x v="4"/>
    <x v="7"/>
  </r>
  <r>
    <x v="132"/>
    <x v="0"/>
    <s v="aj-1"/>
    <s v="K"/>
    <n v="4"/>
    <m/>
    <n v="4"/>
    <n v="0"/>
    <n v="0"/>
    <s v="aj-1K"/>
    <s v="Graham Gano1"/>
    <s v="K"/>
    <n v="3"/>
    <n v="67"/>
    <n v="8.27"/>
    <n v="22.372900000000001"/>
    <s v="K"/>
    <x v="4"/>
    <x v="7"/>
  </r>
  <r>
    <x v="133"/>
    <x v="0"/>
    <s v="scott-1"/>
    <s v="K"/>
    <n v="14"/>
    <m/>
    <n v="14"/>
    <n v="0"/>
    <n v="0"/>
    <s v="scott-1K"/>
    <s v="Greg Zuerlein1"/>
    <s v="K"/>
    <n v="3"/>
    <n v="8"/>
    <n v="9.24"/>
    <n v="12.602499999999999"/>
    <s v="K"/>
    <x v="4"/>
    <x v="10"/>
  </r>
  <r>
    <x v="133"/>
    <x v="1"/>
    <s v="scott-2"/>
    <s v="K"/>
    <n v="0"/>
    <m/>
    <n v="0"/>
    <n v="0"/>
    <n v="0"/>
    <s v="scott-2K"/>
    <s v="Greg Zuerlein2"/>
    <s v="K"/>
    <n v="3"/>
    <n v="2"/>
    <n v="10.08"/>
    <n v="32.718400000000003"/>
    <s v="K"/>
    <x v="4"/>
    <x v="10"/>
  </r>
  <r>
    <x v="134"/>
    <x v="0"/>
    <s v="seth-1"/>
    <s v="K"/>
    <n v="9"/>
    <m/>
    <n v="9"/>
    <n v="0"/>
    <n v="0"/>
    <s v="seth-1K"/>
    <s v="Harrison Butker1"/>
    <s v="K"/>
    <n v="3"/>
    <n v="192"/>
    <n v="7.36"/>
    <n v="12.602499999999999"/>
    <s v="K"/>
    <x v="4"/>
    <x v="3"/>
  </r>
  <r>
    <x v="134"/>
    <x v="1"/>
    <s v="seth-2"/>
    <s v="K"/>
    <n v="6"/>
    <m/>
    <n v="6"/>
    <n v="0"/>
    <n v="0"/>
    <s v="seth-2K"/>
    <s v="Harrison Butker2"/>
    <s v="K"/>
    <n v="3"/>
    <n v="193"/>
    <n v="7.36"/>
    <n v="10.4976"/>
    <s v="K"/>
    <x v="4"/>
    <x v="3"/>
  </r>
  <r>
    <x v="134"/>
    <x v="2"/>
    <s v="seth-3"/>
    <s v="K"/>
    <n v="8"/>
    <m/>
    <n v="8"/>
    <n v="0"/>
    <n v="0"/>
    <s v="seth-3K"/>
    <s v="Harrison Butker3"/>
    <s v="K"/>
    <n v="3"/>
    <n v="65"/>
    <n v="8.3000000000000007"/>
    <n v="14.5161"/>
    <s v="K"/>
    <x v="4"/>
    <x v="3"/>
  </r>
  <r>
    <x v="134"/>
    <x v="3"/>
    <s v="seth-4"/>
    <s v="K"/>
    <n v="9"/>
    <m/>
    <n v="9"/>
    <n v="0"/>
    <n v="0"/>
    <s v="seth-4K"/>
    <s v="Harrison Butker4"/>
    <s v="K"/>
    <n v="3"/>
    <n v="88"/>
    <n v="8.09"/>
    <n v="20.1601"/>
    <s v="K"/>
    <x v="4"/>
    <x v="3"/>
  </r>
  <r>
    <x v="134"/>
    <x v="4"/>
    <s v="seth-5"/>
    <s v="K"/>
    <s v="--"/>
    <m/>
    <n v="8.1199999999999992"/>
    <n v="4.25"/>
    <n v="18.0625"/>
    <s v="seth-5K"/>
    <s v="Harrison Butker5"/>
    <s v="K"/>
    <n v="3"/>
    <n v="214"/>
    <n v="7.25"/>
    <n v="18.0625"/>
    <s v="K"/>
    <x v="4"/>
    <x v="1"/>
  </r>
  <r>
    <x v="135"/>
    <x v="1"/>
    <s v="aj-2"/>
    <s v="K"/>
    <n v="0"/>
    <m/>
    <n v="0"/>
    <n v="0"/>
    <n v="0"/>
    <s v="aj-2K"/>
    <s v="Jake Elliott2"/>
    <s v="K"/>
    <n v="3"/>
    <n v="81"/>
    <n v="8.15"/>
    <n v="18.748899999999999"/>
    <s v="K"/>
    <x v="4"/>
    <x v="7"/>
  </r>
  <r>
    <x v="136"/>
    <x v="4"/>
    <s v="scott-5"/>
    <s v="K"/>
    <s v="--"/>
    <m/>
    <n v="7.93"/>
    <n v="3.66"/>
    <n v="13.3956"/>
    <s v="scott-5K"/>
    <s v="Josh Lambo5"/>
    <s v="K"/>
    <n v="3"/>
    <n v="220"/>
    <n v="7.21"/>
    <n v="13.3956"/>
    <s v="K"/>
    <x v="4"/>
    <x v="1"/>
  </r>
  <r>
    <x v="137"/>
    <x v="0"/>
    <s v="chad-1"/>
    <s v="K"/>
    <n v="12"/>
    <m/>
    <n v="12"/>
    <n v="0"/>
    <n v="0"/>
    <s v="chad-1K"/>
    <s v="Justin Tucker1"/>
    <s v="K"/>
    <n v="3"/>
    <n v="16"/>
    <n v="8.93"/>
    <n v="35.760399999999997"/>
    <s v="K"/>
    <x v="4"/>
    <x v="8"/>
  </r>
  <r>
    <x v="137"/>
    <x v="1"/>
    <s v="chad-2"/>
    <s v="K"/>
    <n v="7"/>
    <m/>
    <n v="7"/>
    <n v="0"/>
    <n v="0"/>
    <s v="chad-2K"/>
    <s v="Justin Tucker2"/>
    <s v="K"/>
    <n v="3"/>
    <n v="20"/>
    <n v="8.81"/>
    <n v="28.408899999999999"/>
    <s v="K"/>
    <x v="4"/>
    <x v="8"/>
  </r>
  <r>
    <x v="137"/>
    <x v="2"/>
    <s v="chad-3"/>
    <s v="K"/>
    <n v="10"/>
    <m/>
    <n v="10"/>
    <n v="0"/>
    <n v="0"/>
    <s v="chad-3K"/>
    <s v="Justin Tucker3"/>
    <s v="K"/>
    <n v="3"/>
    <n v="49"/>
    <n v="8.4499999999999993"/>
    <n v="29.593599999999999"/>
    <s v="K"/>
    <x v="4"/>
    <x v="8"/>
  </r>
  <r>
    <x v="137"/>
    <x v="3"/>
    <s v="chad-4"/>
    <s v="K"/>
    <n v="16"/>
    <m/>
    <n v="16"/>
    <n v="0"/>
    <n v="0"/>
    <s v="chad-4K"/>
    <s v="Justin Tucker4"/>
    <s v="K"/>
    <n v="3"/>
    <n v="47"/>
    <n v="8.4700000000000006"/>
    <n v="21.529599999999999"/>
    <s v="K"/>
    <x v="4"/>
    <x v="8"/>
  </r>
  <r>
    <x v="137"/>
    <x v="4"/>
    <s v="chad-5"/>
    <s v="K"/>
    <s v="--"/>
    <m/>
    <n v="9.31"/>
    <n v="4.8499999999999996"/>
    <n v="23.522500000000001"/>
    <s v="chad-5K"/>
    <s v="Justin Tucker5"/>
    <s v="K"/>
    <n v="3"/>
    <n v="30"/>
    <n v="8.68"/>
    <n v="23.522500000000001"/>
    <s v="K"/>
    <x v="4"/>
    <x v="1"/>
  </r>
  <r>
    <x v="138"/>
    <x v="3"/>
    <s v="perry-4"/>
    <s v="K"/>
    <n v="13"/>
    <m/>
    <n v="13"/>
    <n v="0"/>
    <n v="0"/>
    <s v="perry-4K"/>
    <s v="Mason Crosby4"/>
    <s v="K"/>
    <n v="3"/>
    <n v="190"/>
    <n v="7.37"/>
    <n v="16"/>
    <s v="K"/>
    <x v="4"/>
    <x v="9"/>
  </r>
  <r>
    <x v="138"/>
    <x v="4"/>
    <s v="perry-5"/>
    <s v="K"/>
    <s v="--"/>
    <m/>
    <n v="10.47"/>
    <n v="5.13"/>
    <n v="26.3169"/>
    <s v="perry-5K"/>
    <s v="Mason Crosby5"/>
    <s v="K"/>
    <n v="3"/>
    <n v="7"/>
    <n v="9.24"/>
    <n v="26.3169"/>
    <s v="K"/>
    <x v="4"/>
    <x v="1"/>
  </r>
  <r>
    <x v="139"/>
    <x v="0"/>
    <s v="lucas-1"/>
    <s v="K"/>
    <n v="7"/>
    <m/>
    <n v="7"/>
    <n v="0"/>
    <n v="0"/>
    <s v="lucas-1K"/>
    <s v="Matt Bryant1"/>
    <s v="K"/>
    <n v="3"/>
    <n v="121"/>
    <n v="7.81"/>
    <n v="11.696400000000001"/>
    <s v="K"/>
    <x v="4"/>
    <x v="6"/>
  </r>
  <r>
    <x v="139"/>
    <x v="1"/>
    <s v="lucas-2"/>
    <s v="K"/>
    <n v="8"/>
    <m/>
    <n v="8"/>
    <n v="0"/>
    <n v="0"/>
    <s v="lucas-2K"/>
    <s v="Matt Bryant2"/>
    <s v="K"/>
    <n v="3"/>
    <n v="37"/>
    <n v="8.59"/>
    <n v="16.728100000000001"/>
    <s v="K"/>
    <x v="4"/>
    <x v="6"/>
  </r>
  <r>
    <x v="139"/>
    <x v="2"/>
    <s v="lucas-3"/>
    <s v="K"/>
    <n v="3"/>
    <m/>
    <n v="3"/>
    <n v="0"/>
    <n v="0"/>
    <s v="lucas-3K"/>
    <s v="Matt Bryant3"/>
    <s v="K"/>
    <n v="3"/>
    <n v="61"/>
    <n v="8.35"/>
    <n v="25.100100000000001"/>
    <s v="K"/>
    <x v="4"/>
    <x v="6"/>
  </r>
  <r>
    <x v="139"/>
    <x v="3"/>
    <s v="lucas-4"/>
    <s v="K"/>
    <n v="14"/>
    <m/>
    <n v="14"/>
    <n v="0"/>
    <n v="0"/>
    <s v="lucas-4K"/>
    <s v="Matt Bryant4"/>
    <s v="K"/>
    <n v="3"/>
    <n v="55"/>
    <n v="8.41"/>
    <n v="23.232399999999998"/>
    <s v="K"/>
    <x v="4"/>
    <x v="6"/>
  </r>
  <r>
    <x v="139"/>
    <x v="4"/>
    <s v="lucas-5"/>
    <s v="K"/>
    <s v="--"/>
    <m/>
    <n v="8.99"/>
    <n v="3.24"/>
    <n v="10.4976"/>
    <s v="lucas-5K"/>
    <s v="Matt Bryant5"/>
    <s v="K"/>
    <n v="3"/>
    <n v="48"/>
    <n v="8.4499999999999993"/>
    <n v="10.4976"/>
    <s v="K"/>
    <x v="4"/>
    <x v="1"/>
  </r>
  <r>
    <x v="140"/>
    <x v="0"/>
    <s v="devon-1"/>
    <s v="K"/>
    <n v="-1"/>
    <m/>
    <n v="-1"/>
    <n v="0"/>
    <n v="0"/>
    <s v="devon-1K"/>
    <s v="Matt Prater1"/>
    <s v="K"/>
    <n v="3"/>
    <n v="51"/>
    <n v="8.44"/>
    <n v="20.702500000000001"/>
    <s v="K"/>
    <x v="4"/>
    <x v="0"/>
  </r>
  <r>
    <x v="140"/>
    <x v="1"/>
    <s v="devon-2"/>
    <s v="K"/>
    <n v="10"/>
    <m/>
    <n v="10"/>
    <n v="0"/>
    <n v="0"/>
    <s v="devon-2K"/>
    <s v="Matt Prater2"/>
    <s v="K"/>
    <n v="3"/>
    <n v="202"/>
    <n v="7.32"/>
    <n v="14.5161"/>
    <s v="K"/>
    <x v="4"/>
    <x v="0"/>
  </r>
  <r>
    <x v="140"/>
    <x v="2"/>
    <s v="devon-3"/>
    <s v="K"/>
    <n v="14"/>
    <m/>
    <n v="14"/>
    <n v="0"/>
    <n v="0"/>
    <s v="devon-3K"/>
    <s v="Matt Prater3"/>
    <s v="K"/>
    <n v="3"/>
    <n v="216"/>
    <n v="7.22"/>
    <n v="18.0625"/>
    <s v="K"/>
    <x v="4"/>
    <x v="0"/>
  </r>
  <r>
    <x v="140"/>
    <x v="3"/>
    <s v="devon-4"/>
    <s v="K"/>
    <n v="6"/>
    <m/>
    <n v="6"/>
    <n v="0"/>
    <n v="0"/>
    <s v="devon-4K"/>
    <s v="Matt Prater4"/>
    <s v="K"/>
    <n v="3"/>
    <n v="314"/>
    <n v="6.83"/>
    <n v="22.657599999999999"/>
    <s v="K"/>
    <x v="4"/>
    <x v="0"/>
  </r>
  <r>
    <x v="140"/>
    <x v="4"/>
    <s v="devon-5"/>
    <s v="K"/>
    <s v="--"/>
    <m/>
    <n v="7.58"/>
    <n v="4.28"/>
    <n v="18.3184"/>
    <s v="devon-5K"/>
    <s v="Matt Prater5"/>
    <s v="K"/>
    <n v="3"/>
    <n v="330"/>
    <n v="6.75"/>
    <n v="18.3184"/>
    <s v="K"/>
    <x v="4"/>
    <x v="1"/>
  </r>
  <r>
    <x v="141"/>
    <x v="0"/>
    <s v="matty-1"/>
    <s v="K"/>
    <n v="11"/>
    <m/>
    <n v="11"/>
    <n v="0"/>
    <n v="0"/>
    <s v="matty-1K"/>
    <s v="Robbie Gould1"/>
    <s v="K"/>
    <n v="3"/>
    <n v="116"/>
    <n v="7.86"/>
    <n v="24.403600000000001"/>
    <s v="K"/>
    <x v="4"/>
    <x v="5"/>
  </r>
  <r>
    <x v="141"/>
    <x v="1"/>
    <s v="matty-2"/>
    <s v="K"/>
    <n v="14"/>
    <m/>
    <n v="14"/>
    <n v="0"/>
    <n v="0"/>
    <s v="matty-2K"/>
    <s v="Robbie Gould2"/>
    <s v="K"/>
    <n v="3"/>
    <n v="9"/>
    <n v="9.18"/>
    <n v="32.718400000000003"/>
    <s v="K"/>
    <x v="4"/>
    <x v="5"/>
  </r>
  <r>
    <x v="141"/>
    <x v="2"/>
    <s v="matty-3"/>
    <s v="K"/>
    <n v="6"/>
    <m/>
    <n v="6"/>
    <n v="0"/>
    <n v="0"/>
    <s v="matty-3K"/>
    <s v="Robbie Gould3"/>
    <s v="K"/>
    <n v="3"/>
    <n v="95"/>
    <n v="8.0299999999999994"/>
    <n v="27.7729"/>
    <s v="K"/>
    <x v="4"/>
    <x v="5"/>
  </r>
  <r>
    <x v="141"/>
    <x v="3"/>
    <s v="matty-4"/>
    <s v="K"/>
    <n v="9"/>
    <m/>
    <n v="9"/>
    <n v="0"/>
    <n v="0"/>
    <s v="matty-4K"/>
    <s v="Robbie Gould4"/>
    <s v="K"/>
    <n v="3"/>
    <n v="187"/>
    <n v="7.39"/>
    <n v="10.956099999999999"/>
    <s v="K"/>
    <x v="4"/>
    <x v="5"/>
  </r>
  <r>
    <x v="141"/>
    <x v="4"/>
    <s v="matty-5"/>
    <s v="K"/>
    <s v="--"/>
    <m/>
    <n v="9.3000000000000007"/>
    <n v="5.66"/>
    <n v="32.035600000000002"/>
    <s v="matty-5K"/>
    <s v="Robbie Gould5"/>
    <s v="K"/>
    <n v="3"/>
    <n v="34"/>
    <n v="8.64"/>
    <n v="32.035600000000002"/>
    <s v="K"/>
    <x v="4"/>
    <x v="1"/>
  </r>
  <r>
    <x v="142"/>
    <x v="3"/>
    <s v="aj-4"/>
    <s v="K"/>
    <n v="9"/>
    <m/>
    <n v="9"/>
    <n v="0"/>
    <n v="0"/>
    <s v="aj-4K"/>
    <s v="Ryan Succop4"/>
    <s v="K"/>
    <n v="3"/>
    <n v="358"/>
    <n v="6.6"/>
    <n v="18.922499999999999"/>
    <s v="K"/>
    <x v="4"/>
    <x v="7"/>
  </r>
  <r>
    <x v="143"/>
    <x v="2"/>
    <s v="scott-3"/>
    <s v="K"/>
    <n v="2"/>
    <m/>
    <n v="2"/>
    <n v="0"/>
    <n v="0"/>
    <s v="scott-3K"/>
    <s v="Sam Ficken3"/>
    <s v="?"/>
    <n v="2"/>
    <e v="#N/A"/>
    <e v="#N/A"/>
    <e v="#N/A"/>
    <s v="K"/>
    <x v="4"/>
    <x v="10"/>
  </r>
  <r>
    <x v="143"/>
    <x v="3"/>
    <s v="scott-4"/>
    <s v="K"/>
    <n v="5"/>
    <m/>
    <n v="5"/>
    <n v="0"/>
    <n v="0"/>
    <s v="scott-4K"/>
    <s v="Sam Ficken4"/>
    <s v="?"/>
    <n v="2"/>
    <e v="#N/A"/>
    <e v="#N/A"/>
    <e v="#N/A"/>
    <s v="K"/>
    <x v="4"/>
    <x v="10"/>
  </r>
  <r>
    <x v="144"/>
    <x v="0"/>
    <s v="comp-1"/>
    <s v="K"/>
    <n v="9"/>
    <m/>
    <n v="9"/>
    <n v="0"/>
    <n v="0"/>
    <s v="comp-1K"/>
    <s v="Stephen Gostkowski1"/>
    <s v="K"/>
    <n v="3"/>
    <n v="60"/>
    <n v="8.3699999999999992"/>
    <n v="14.44"/>
    <s v="K"/>
    <x v="4"/>
    <x v="4"/>
  </r>
  <r>
    <x v="144"/>
    <x v="1"/>
    <s v="comp-2"/>
    <s v="K"/>
    <n v="6"/>
    <m/>
    <n v="6"/>
    <n v="0"/>
    <n v="0"/>
    <s v="comp-2K"/>
    <s v="Stephen Gostkowski2"/>
    <s v="K"/>
    <n v="3"/>
    <n v="131"/>
    <n v="7.72"/>
    <n v="19.096900000000002"/>
    <s v="K"/>
    <x v="4"/>
    <x v="4"/>
  </r>
  <r>
    <x v="144"/>
    <x v="2"/>
    <s v="comp-3"/>
    <s v="K"/>
    <n v="4"/>
    <m/>
    <n v="4"/>
    <n v="0"/>
    <n v="0"/>
    <s v="comp-3K"/>
    <s v="Stephen Gostkowski3"/>
    <s v="K"/>
    <n v="3"/>
    <n v="23"/>
    <n v="8.74"/>
    <n v="18.0625"/>
    <s v="K"/>
    <x v="4"/>
    <x v="4"/>
  </r>
  <r>
    <x v="144"/>
    <x v="3"/>
    <s v="comp-4"/>
    <s v="K"/>
    <n v="8"/>
    <m/>
    <n v="8"/>
    <n v="0"/>
    <n v="0"/>
    <s v="comp-4K"/>
    <s v="Stephen Gostkowski4"/>
    <s v="K"/>
    <n v="3"/>
    <n v="52"/>
    <n v="8.44"/>
    <n v="21.529599999999999"/>
    <s v="K"/>
    <x v="4"/>
    <x v="4"/>
  </r>
  <r>
    <x v="144"/>
    <x v="4"/>
    <s v="comp-5"/>
    <s v="K"/>
    <n v="9"/>
    <m/>
    <n v="9"/>
    <n v="0"/>
    <n v="0"/>
    <s v="comp-5K"/>
    <s v="Stephen Gostkowski5"/>
    <s v="K"/>
    <n v="3"/>
    <n v="50"/>
    <n v="8.4499999999999993"/>
    <n v="16.3216"/>
    <s v="K"/>
    <x v="4"/>
    <x v="1"/>
  </r>
  <r>
    <x v="145"/>
    <x v="0"/>
    <s v="cory-1"/>
    <s v="K"/>
    <n v="6"/>
    <m/>
    <n v="6"/>
    <n v="0"/>
    <n v="0"/>
    <s v="cory-1K"/>
    <s v="Wil Lutz1"/>
    <s v="K"/>
    <n v="3"/>
    <n v="6"/>
    <n v="9.3000000000000007"/>
    <n v="15.602499999999999"/>
    <s v="K"/>
    <x v="4"/>
    <x v="2"/>
  </r>
  <r>
    <x v="145"/>
    <x v="1"/>
    <s v="cory-2"/>
    <s v="K"/>
    <n v="5"/>
    <m/>
    <n v="5"/>
    <n v="0"/>
    <n v="0"/>
    <s v="cory-2K"/>
    <s v="Wil Lutz2"/>
    <s v="K"/>
    <n v="3"/>
    <n v="5"/>
    <n v="9.64"/>
    <n v="19.096900000000002"/>
    <s v="K"/>
    <x v="4"/>
    <x v="2"/>
  </r>
  <r>
    <x v="145"/>
    <x v="2"/>
    <s v="cory-3"/>
    <s v="K"/>
    <n v="15"/>
    <m/>
    <n v="15"/>
    <n v="0"/>
    <n v="0"/>
    <s v="cory-3K"/>
    <s v="Wil Lutz3"/>
    <s v="K"/>
    <n v="3"/>
    <n v="39"/>
    <n v="8.5399999999999991"/>
    <n v="15.366400000000001"/>
    <s v="K"/>
    <x v="4"/>
    <x v="2"/>
  </r>
  <r>
    <x v="145"/>
    <x v="3"/>
    <s v="cory-4"/>
    <s v="K"/>
    <n v="16"/>
    <m/>
    <n v="16"/>
    <n v="0"/>
    <n v="0"/>
    <s v="cory-4K"/>
    <s v="Wil Lutz4"/>
    <s v="K"/>
    <n v="3"/>
    <n v="28"/>
    <n v="8.6999999999999993"/>
    <n v="15.366400000000001"/>
    <s v="K"/>
    <x v="4"/>
    <x v="2"/>
  </r>
  <r>
    <x v="145"/>
    <x v="4"/>
    <s v="cory-5"/>
    <s v="K"/>
    <s v="--"/>
    <m/>
    <n v="9.3800000000000008"/>
    <n v="4.2"/>
    <n v="17.64"/>
    <s v="cory-5K"/>
    <s v="Wil Lutz5"/>
    <s v="K"/>
    <n v="3"/>
    <n v="43"/>
    <n v="8.49"/>
    <n v="17.64"/>
    <s v="K"/>
    <x v="4"/>
    <x v="1"/>
  </r>
  <r>
    <x v="146"/>
    <x v="2"/>
    <s v="aj-3"/>
    <s v="D/ST"/>
    <n v="15"/>
    <m/>
    <n v="15"/>
    <n v="0"/>
    <n v="0"/>
    <s v="aj-3D/ST"/>
    <s v="Bears D/ST3"/>
    <s v="D"/>
    <n v="2"/>
    <n v="52"/>
    <n v="8.1999999999999993"/>
    <n v="28.8369"/>
    <s v="D/ST"/>
    <x v="5"/>
    <x v="7"/>
  </r>
  <r>
    <x v="146"/>
    <x v="3"/>
    <s v="lucas-4"/>
    <s v="D/ST"/>
    <n v="13"/>
    <m/>
    <n v="13"/>
    <n v="0"/>
    <n v="0"/>
    <s v="lucas-4D/ST"/>
    <s v="Bears D/ST4"/>
    <s v="D"/>
    <n v="2"/>
    <n v="233"/>
    <n v="6.36"/>
    <n v="29.702500000000001"/>
    <s v="D/ST"/>
    <x v="5"/>
    <x v="6"/>
  </r>
  <r>
    <x v="147"/>
    <x v="0"/>
    <s v="lucas-1"/>
    <s v="D/ST"/>
    <n v="12"/>
    <m/>
    <n v="12"/>
    <n v="0"/>
    <n v="0"/>
    <s v="lucas-1D/ST"/>
    <s v="Broncos D/ST1"/>
    <s v="D"/>
    <n v="2"/>
    <n v="329"/>
    <n v="5.31"/>
    <n v="39.312899999999999"/>
    <s v="D/ST"/>
    <x v="5"/>
    <x v="6"/>
  </r>
  <r>
    <x v="147"/>
    <x v="1"/>
    <s v="lucas-2"/>
    <s v="D/ST"/>
    <n v="2"/>
    <m/>
    <n v="2"/>
    <n v="0"/>
    <n v="0"/>
    <s v="lucas-2D/ST"/>
    <s v="Broncos D/ST2"/>
    <s v="D"/>
    <n v="2"/>
    <n v="30"/>
    <n v="8.74"/>
    <n v="44.222499999999997"/>
    <s v="D/ST"/>
    <x v="5"/>
    <x v="6"/>
  </r>
  <r>
    <x v="147"/>
    <x v="2"/>
    <s v="lucas-3"/>
    <s v="D/ST"/>
    <n v="6"/>
    <m/>
    <n v="6"/>
    <n v="0"/>
    <n v="0"/>
    <s v="lucas-3D/ST"/>
    <s v="Broncos D/ST3"/>
    <s v="D"/>
    <n v="2"/>
    <n v="264"/>
    <n v="6.04"/>
    <n v="17.056899999999999"/>
    <s v="D/ST"/>
    <x v="5"/>
    <x v="6"/>
  </r>
  <r>
    <x v="147"/>
    <x v="4"/>
    <s v="chad-5"/>
    <s v="D/ST"/>
    <s v="--"/>
    <m/>
    <n v="6.22"/>
    <n v="4.6500000000000004"/>
    <n v="21.622499999999999"/>
    <s v="chad-5D/ST"/>
    <s v="Broncos D/ST5"/>
    <s v="D"/>
    <n v="2"/>
    <n v="251"/>
    <n v="6.22"/>
    <n v="21.622499999999999"/>
    <s v="D/ST"/>
    <x v="5"/>
    <x v="1"/>
  </r>
  <r>
    <x v="148"/>
    <x v="3"/>
    <s v="matty-4"/>
    <s v="D/ST"/>
    <n v="-3"/>
    <m/>
    <n v="-3"/>
    <n v="0"/>
    <n v="0"/>
    <s v="matty-4D/ST"/>
    <s v="Browns D/ST4"/>
    <s v="D"/>
    <n v="2"/>
    <n v="202"/>
    <n v="6.7"/>
    <n v="32.947600000000001"/>
    <s v="D/ST"/>
    <x v="5"/>
    <x v="5"/>
  </r>
  <r>
    <x v="148"/>
    <x v="4"/>
    <s v="matty-5"/>
    <s v="D/ST"/>
    <s v="--"/>
    <m/>
    <n v="5.83"/>
    <n v="5.6"/>
    <n v="31.36"/>
    <s v="matty-5D/ST"/>
    <s v="Browns D/ST5"/>
    <s v="D"/>
    <n v="2"/>
    <n v="285"/>
    <n v="5.83"/>
    <n v="31.36"/>
    <s v="D/ST"/>
    <x v="5"/>
    <x v="1"/>
  </r>
  <r>
    <x v="149"/>
    <x v="2"/>
    <s v="cory-3"/>
    <s v="D/ST"/>
    <n v="8"/>
    <m/>
    <n v="8"/>
    <n v="0"/>
    <n v="0"/>
    <s v="cory-3D/ST"/>
    <s v="Cardinals D/ST3"/>
    <s v="D"/>
    <n v="2"/>
    <n v="281"/>
    <n v="5.87"/>
    <n v="19.096900000000002"/>
    <s v="D/ST"/>
    <x v="5"/>
    <x v="2"/>
  </r>
  <r>
    <x v="150"/>
    <x v="1"/>
    <s v="chad-2"/>
    <s v="D/ST"/>
    <n v="11"/>
    <m/>
    <n v="11"/>
    <n v="0"/>
    <n v="0"/>
    <s v="chad-2D/ST"/>
    <s v="Chargers D/ST2"/>
    <s v="D"/>
    <n v="2"/>
    <n v="32"/>
    <n v="8.69"/>
    <n v="67.897599999999997"/>
    <s v="D/ST"/>
    <x v="5"/>
    <x v="8"/>
  </r>
  <r>
    <x v="150"/>
    <x v="3"/>
    <s v="cory-4"/>
    <s v="D/ST"/>
    <n v="4"/>
    <m/>
    <n v="4"/>
    <n v="0"/>
    <n v="0"/>
    <s v="cory-4D/ST"/>
    <s v="Chargers D/ST4"/>
    <s v="D"/>
    <n v="2"/>
    <n v="114"/>
    <n v="7.44"/>
    <n v="59.752899999999997"/>
    <s v="D/ST"/>
    <x v="5"/>
    <x v="2"/>
  </r>
  <r>
    <x v="151"/>
    <x v="2"/>
    <s v="chad-3"/>
    <s v="D/ST"/>
    <n v="4"/>
    <m/>
    <n v="4"/>
    <n v="0"/>
    <n v="0"/>
    <s v="chad-3D/ST"/>
    <s v="Cowboys D/ST3"/>
    <s v="D"/>
    <n v="2"/>
    <n v="194"/>
    <n v="6.77"/>
    <n v="30.1401"/>
    <s v="D/ST"/>
    <x v="5"/>
    <x v="8"/>
  </r>
  <r>
    <x v="152"/>
    <x v="0"/>
    <s v="comp-1"/>
    <s v="D/ST"/>
    <n v="11"/>
    <m/>
    <n v="11"/>
    <n v="0"/>
    <n v="0"/>
    <s v="comp-1D/ST"/>
    <s v="Eagles D/ST1"/>
    <s v="D"/>
    <n v="2"/>
    <n v="381"/>
    <n v="4.7"/>
    <n v="24.3049"/>
    <s v="D/ST"/>
    <x v="5"/>
    <x v="4"/>
  </r>
  <r>
    <x v="152"/>
    <x v="1"/>
    <s v="comp-2"/>
    <s v="D/ST"/>
    <n v="3"/>
    <m/>
    <n v="3"/>
    <n v="0"/>
    <n v="0"/>
    <s v="comp-2D/ST"/>
    <s v="Eagles D/ST2"/>
    <s v="D"/>
    <n v="2"/>
    <n v="151"/>
    <n v="7.14"/>
    <n v="46.922499999999999"/>
    <s v="D/ST"/>
    <x v="5"/>
    <x v="4"/>
  </r>
  <r>
    <x v="152"/>
    <x v="2"/>
    <s v="comp-3"/>
    <s v="D/ST"/>
    <n v="5"/>
    <m/>
    <n v="5"/>
    <n v="0"/>
    <n v="0"/>
    <s v="comp-3D/ST"/>
    <s v="Eagles D/ST3"/>
    <s v="D"/>
    <n v="2"/>
    <n v="188"/>
    <n v="6.85"/>
    <n v="36"/>
    <s v="D/ST"/>
    <x v="5"/>
    <x v="4"/>
  </r>
  <r>
    <x v="152"/>
    <x v="3"/>
    <s v="comp-4"/>
    <s v="D/ST"/>
    <n v="4"/>
    <m/>
    <n v="4"/>
    <n v="0"/>
    <n v="0"/>
    <s v="comp-4D/ST"/>
    <s v="Eagles D/ST4"/>
    <s v="D"/>
    <n v="2"/>
    <n v="212"/>
    <n v="6.58"/>
    <n v="49.702500000000001"/>
    <s v="D/ST"/>
    <x v="5"/>
    <x v="4"/>
  </r>
  <r>
    <x v="152"/>
    <x v="4"/>
    <s v="comp-5"/>
    <s v="D/ST"/>
    <s v="--"/>
    <m/>
    <n v="6.91"/>
    <n v="5.22"/>
    <n v="27.2484"/>
    <s v="comp-5D/ST"/>
    <s v="Eagles D/ST5"/>
    <s v="D"/>
    <n v="2"/>
    <n v="183"/>
    <n v="6.91"/>
    <n v="27.2484"/>
    <s v="D/ST"/>
    <x v="5"/>
    <x v="1"/>
  </r>
  <r>
    <x v="153"/>
    <x v="0"/>
    <s v="devon-1"/>
    <s v="D/ST"/>
    <n v="13"/>
    <m/>
    <n v="13"/>
    <n v="0"/>
    <n v="0"/>
    <s v="devon-1D/ST"/>
    <s v="Jaguars D/ST1"/>
    <s v="D"/>
    <n v="2"/>
    <n v="9"/>
    <n v="10.38"/>
    <n v="49.561599999999999"/>
    <s v="D/ST"/>
    <x v="5"/>
    <x v="0"/>
  </r>
  <r>
    <x v="153"/>
    <x v="1"/>
    <s v="devon-2"/>
    <s v="D/ST"/>
    <n v="4"/>
    <m/>
    <n v="4"/>
    <n v="0"/>
    <n v="0"/>
    <s v="devon-2D/ST"/>
    <s v="Jaguars D/ST2"/>
    <s v="D"/>
    <n v="2"/>
    <n v="392"/>
    <n v="4.58"/>
    <n v="31.248100000000001"/>
    <s v="D/ST"/>
    <x v="5"/>
    <x v="0"/>
  </r>
  <r>
    <x v="153"/>
    <x v="2"/>
    <s v="devon-3"/>
    <s v="D/ST"/>
    <n v="8"/>
    <m/>
    <n v="8"/>
    <n v="0"/>
    <n v="0"/>
    <s v="devon-3D/ST"/>
    <s v="Jaguars D/ST3"/>
    <s v="D"/>
    <n v="2"/>
    <n v="36"/>
    <n v="8.57"/>
    <n v="20.976400000000002"/>
    <s v="D/ST"/>
    <x v="5"/>
    <x v="0"/>
  </r>
  <r>
    <x v="153"/>
    <x v="3"/>
    <s v="devon-4"/>
    <s v="D/ST"/>
    <n v="11"/>
    <m/>
    <n v="11"/>
    <n v="0"/>
    <n v="0"/>
    <s v="devon-4D/ST"/>
    <s v="Jaguars D/ST4"/>
    <s v="D"/>
    <n v="2"/>
    <n v="57"/>
    <n v="8.14"/>
    <n v="28.302399999999999"/>
    <s v="D/ST"/>
    <x v="5"/>
    <x v="0"/>
  </r>
  <r>
    <x v="153"/>
    <x v="4"/>
    <s v="devon-5"/>
    <s v="D/ST"/>
    <s v="--"/>
    <m/>
    <n v="5.5"/>
    <n v="6.56"/>
    <n v="43.0336"/>
    <s v="devon-5D/ST"/>
    <s v="Jaguars D/ST5"/>
    <s v="D"/>
    <n v="2"/>
    <n v="313"/>
    <n v="5.5"/>
    <n v="43.0336"/>
    <s v="D/ST"/>
    <x v="5"/>
    <x v="1"/>
  </r>
  <r>
    <x v="154"/>
    <x v="0"/>
    <s v="chad-1"/>
    <s v="D/ST"/>
    <n v="9"/>
    <m/>
    <n v="9"/>
    <n v="0"/>
    <n v="0"/>
    <s v="chad-1D/ST"/>
    <s v="Lions D/ST1"/>
    <s v="D"/>
    <n v="2"/>
    <n v="170"/>
    <n v="6.98"/>
    <n v="34.692100000000003"/>
    <s v="D/ST"/>
    <x v="5"/>
    <x v="8"/>
  </r>
  <r>
    <x v="155"/>
    <x v="1"/>
    <s v="perry-2"/>
    <s v="D/ST"/>
    <n v="0"/>
    <s v="OPEN"/>
    <n v="0"/>
    <n v="0"/>
    <n v="0"/>
    <s v="perry-2D/ST"/>
    <s v="OPEN SLOT2"/>
    <s v="?"/>
    <n v="2"/>
    <e v="#N/A"/>
    <e v="#N/A"/>
    <e v="#N/A"/>
    <s v="D/ST"/>
    <x v="5"/>
    <x v="9"/>
  </r>
  <r>
    <x v="156"/>
    <x v="3"/>
    <s v="aj-4"/>
    <s v="D/ST"/>
    <n v="21"/>
    <m/>
    <n v="21"/>
    <n v="0"/>
    <n v="0"/>
    <s v="aj-4D/ST"/>
    <s v="Packers D/ST4"/>
    <s v="D"/>
    <n v="2"/>
    <n v="44"/>
    <n v="8.36"/>
    <n v="52.852899999999998"/>
    <s v="D/ST"/>
    <x v="5"/>
    <x v="7"/>
  </r>
  <r>
    <x v="157"/>
    <x v="4"/>
    <s v="cory-5"/>
    <s v="D/ST"/>
    <s v="--"/>
    <m/>
    <n v="7.66"/>
    <n v="5.01"/>
    <n v="25.100100000000001"/>
    <s v="cory-5D/ST"/>
    <s v="Panthers D/ST5"/>
    <s v="D"/>
    <n v="2"/>
    <n v="85"/>
    <n v="7.66"/>
    <n v="25.100100000000001"/>
    <s v="D/ST"/>
    <x v="5"/>
    <x v="1"/>
  </r>
  <r>
    <x v="158"/>
    <x v="0"/>
    <s v="matty-1"/>
    <s v="D/ST"/>
    <n v="7"/>
    <m/>
    <n v="7"/>
    <n v="0"/>
    <n v="0"/>
    <s v="matty-1D/ST"/>
    <s v="Patriots D/ST1"/>
    <s v="D"/>
    <n v="2"/>
    <n v="101"/>
    <n v="7.54"/>
    <n v="33.64"/>
    <s v="D/ST"/>
    <x v="5"/>
    <x v="5"/>
  </r>
  <r>
    <x v="158"/>
    <x v="1"/>
    <s v="matty-2"/>
    <s v="D/ST"/>
    <n v="-2"/>
    <m/>
    <n v="-2"/>
    <n v="0"/>
    <n v="0"/>
    <s v="matty-2D/ST"/>
    <s v="Patriots D/ST2"/>
    <s v="D"/>
    <n v="2"/>
    <n v="314"/>
    <n v="5.47"/>
    <n v="43.824399999999997"/>
    <s v="D/ST"/>
    <x v="5"/>
    <x v="5"/>
  </r>
  <r>
    <x v="159"/>
    <x v="0"/>
    <s v="scott-1"/>
    <s v="D/ST"/>
    <n v="15"/>
    <m/>
    <n v="15"/>
    <n v="0"/>
    <n v="0"/>
    <s v="scott-1D/ST"/>
    <s v="Rams D/ST1"/>
    <s v="D"/>
    <n v="2"/>
    <n v="61"/>
    <n v="8.08"/>
    <n v="33.4084"/>
    <s v="D/ST"/>
    <x v="5"/>
    <x v="10"/>
  </r>
  <r>
    <x v="159"/>
    <x v="1"/>
    <s v="scott-2"/>
    <s v="D/ST"/>
    <n v="11"/>
    <m/>
    <n v="11"/>
    <n v="0"/>
    <n v="0"/>
    <s v="scott-2D/ST"/>
    <s v="Rams D/ST2"/>
    <s v="D"/>
    <n v="2"/>
    <n v="5"/>
    <n v="11.98"/>
    <n v="41.473599999999998"/>
    <s v="D/ST"/>
    <x v="5"/>
    <x v="10"/>
  </r>
  <r>
    <x v="159"/>
    <x v="2"/>
    <s v="scott-3"/>
    <s v="D/ST"/>
    <n v="13"/>
    <m/>
    <n v="13"/>
    <n v="0"/>
    <n v="0"/>
    <s v="scott-3D/ST"/>
    <s v="Rams D/ST3"/>
    <s v="D"/>
    <n v="2"/>
    <n v="176"/>
    <n v="6.96"/>
    <n v="77.088399999999993"/>
    <s v="D/ST"/>
    <x v="5"/>
    <x v="10"/>
  </r>
  <r>
    <x v="159"/>
    <x v="3"/>
    <s v="scott-4"/>
    <s v="D/ST"/>
    <n v="2"/>
    <m/>
    <n v="2"/>
    <n v="0"/>
    <n v="0"/>
    <s v="scott-4D/ST"/>
    <s v="Rams D/ST4"/>
    <s v="D"/>
    <n v="2"/>
    <n v="78"/>
    <n v="7.82"/>
    <n v="49.420900000000003"/>
    <s v="D/ST"/>
    <x v="5"/>
    <x v="10"/>
  </r>
  <r>
    <x v="159"/>
    <x v="4"/>
    <s v="scott-5"/>
    <s v="D/ST"/>
    <s v="--"/>
    <m/>
    <n v="7.48"/>
    <n v="5.7"/>
    <n v="32.49"/>
    <s v="scott-5D/ST"/>
    <s v="Rams D/ST5"/>
    <s v="D"/>
    <n v="2"/>
    <n v="107"/>
    <n v="7.48"/>
    <n v="32.49"/>
    <s v="D/ST"/>
    <x v="5"/>
    <x v="1"/>
  </r>
  <r>
    <x v="160"/>
    <x v="0"/>
    <s v="aj-1"/>
    <s v="D/ST"/>
    <n v="17"/>
    <m/>
    <n v="17"/>
    <n v="0"/>
    <n v="0"/>
    <s v="aj-1D/ST"/>
    <s v="Ravens D/ST1"/>
    <s v="D"/>
    <n v="2"/>
    <n v="6"/>
    <n v="10.85"/>
    <n v="29.052099999999999"/>
    <s v="D/ST"/>
    <x v="5"/>
    <x v="7"/>
  </r>
  <r>
    <x v="160"/>
    <x v="1"/>
    <s v="aj-2"/>
    <s v="D/ST"/>
    <n v="-2"/>
    <m/>
    <n v="-2"/>
    <n v="0"/>
    <n v="0"/>
    <s v="aj-2D/ST"/>
    <s v="Ravens D/ST2"/>
    <s v="D"/>
    <n v="2"/>
    <n v="167"/>
    <n v="7"/>
    <n v="36.120100000000001"/>
    <s v="D/ST"/>
    <x v="5"/>
    <x v="7"/>
  </r>
  <r>
    <x v="160"/>
    <x v="2"/>
    <s v="matty-3"/>
    <s v="D/ST"/>
    <n v="8"/>
    <m/>
    <n v="8"/>
    <n v="0"/>
    <n v="0"/>
    <s v="matty-3D/ST"/>
    <s v="Ravens D/ST3"/>
    <s v="D"/>
    <n v="2"/>
    <n v="162"/>
    <n v="7.03"/>
    <n v="20.611599999999999"/>
    <s v="D/ST"/>
    <x v="5"/>
    <x v="5"/>
  </r>
  <r>
    <x v="160"/>
    <x v="4"/>
    <s v="lucas-5"/>
    <s v="D/ST"/>
    <s v="--"/>
    <m/>
    <n v="10.18"/>
    <n v="3.86"/>
    <n v="14.8996"/>
    <s v="lucas-5D/ST"/>
    <s v="Ravens D/ST5"/>
    <s v="D"/>
    <n v="2"/>
    <n v="10"/>
    <n v="10.18"/>
    <n v="14.8996"/>
    <s v="D/ST"/>
    <x v="5"/>
    <x v="1"/>
  </r>
  <r>
    <x v="161"/>
    <x v="0"/>
    <s v="perry-1"/>
    <s v="D/ST"/>
    <n v="-9"/>
    <m/>
    <n v="-9"/>
    <n v="0"/>
    <n v="0"/>
    <s v="perry-1D/ST"/>
    <s v="Saints D/ST1"/>
    <s v="D"/>
    <n v="2"/>
    <n v="69"/>
    <n v="7.98"/>
    <n v="33.0625"/>
    <s v="D/ST"/>
    <x v="5"/>
    <x v="9"/>
  </r>
  <r>
    <x v="162"/>
    <x v="3"/>
    <s v="chad-4"/>
    <s v="D/ST"/>
    <n v="6"/>
    <m/>
    <n v="6"/>
    <n v="0"/>
    <n v="0"/>
    <s v="chad-4D/ST"/>
    <s v="Seahawks D/ST4"/>
    <s v="D"/>
    <n v="2"/>
    <n v="73"/>
    <n v="7.88"/>
    <n v="20.702500000000001"/>
    <s v="D/ST"/>
    <x v="5"/>
    <x v="8"/>
  </r>
  <r>
    <x v="163"/>
    <x v="2"/>
    <s v="perry-3"/>
    <s v="D/ST"/>
    <n v="3"/>
    <m/>
    <n v="3"/>
    <n v="0"/>
    <n v="0"/>
    <s v="perry-3D/ST"/>
    <s v="Texans D/ST3"/>
    <s v="D"/>
    <n v="2"/>
    <n v="63"/>
    <n v="8.0399999999999991"/>
    <n v="36.360900000000001"/>
    <s v="D/ST"/>
    <x v="5"/>
    <x v="9"/>
  </r>
  <r>
    <x v="163"/>
    <x v="3"/>
    <s v="perry-4"/>
    <s v="D/ST"/>
    <n v="8"/>
    <m/>
    <n v="8"/>
    <n v="0"/>
    <n v="0"/>
    <s v="perry-4D/ST"/>
    <s v="Texans D/ST4"/>
    <s v="D"/>
    <n v="2"/>
    <n v="177"/>
    <n v="6.95"/>
    <n v="27.6676"/>
    <s v="D/ST"/>
    <x v="5"/>
    <x v="9"/>
  </r>
  <r>
    <x v="163"/>
    <x v="4"/>
    <s v="perry-5"/>
    <s v="D/ST"/>
    <s v="--"/>
    <m/>
    <n v="6.46"/>
    <n v="9.25"/>
    <n v="85.5625"/>
    <s v="perry-5D/ST"/>
    <s v="Texans D/ST5"/>
    <s v="D"/>
    <n v="2"/>
    <n v="226"/>
    <n v="6.46"/>
    <n v="85.5625"/>
    <s v="D/ST"/>
    <x v="5"/>
    <x v="1"/>
  </r>
  <r>
    <x v="164"/>
    <x v="0"/>
    <s v="cory-1"/>
    <s v="D/ST"/>
    <n v="11"/>
    <m/>
    <n v="11"/>
    <n v="0"/>
    <n v="0"/>
    <s v="cory-1D/ST"/>
    <s v="Titans D/ST1"/>
    <s v="D"/>
    <n v="2"/>
    <n v="96"/>
    <n v="7.56"/>
    <n v="31.584399999999999"/>
    <s v="D/ST"/>
    <x v="5"/>
    <x v="2"/>
  </r>
  <r>
    <x v="164"/>
    <x v="1"/>
    <s v="cory-2"/>
    <s v="D/ST"/>
    <n v="4"/>
    <m/>
    <n v="4"/>
    <n v="0"/>
    <n v="0"/>
    <s v="cory-2D/ST"/>
    <s v="Titans D/ST2"/>
    <s v="D"/>
    <n v="2"/>
    <n v="173"/>
    <n v="6.96"/>
    <n v="27.5625"/>
    <s v="D/ST"/>
    <x v="5"/>
    <x v="2"/>
  </r>
  <r>
    <x v="164"/>
    <x v="4"/>
    <s v="aj-5"/>
    <s v="D/ST"/>
    <s v="--"/>
    <m/>
    <n v="7.16"/>
    <n v="6.11"/>
    <n v="37.332099999999997"/>
    <s v="aj-5D/ST"/>
    <s v="Titans D/ST5"/>
    <s v="D"/>
    <n v="2"/>
    <n v="148"/>
    <n v="7.16"/>
    <n v="37.332099999999997"/>
    <s v="D/ST"/>
    <x v="5"/>
    <x v="1"/>
  </r>
  <r>
    <x v="165"/>
    <x v="0"/>
    <s v="seth-1"/>
    <s v="D/ST"/>
    <n v="18"/>
    <m/>
    <n v="18"/>
    <n v="0"/>
    <n v="0"/>
    <s v="seth-1D/ST"/>
    <s v="Vikings D/ST1"/>
    <s v="D"/>
    <n v="2"/>
    <n v="11"/>
    <n v="9.58"/>
    <n v="51.408900000000003"/>
    <s v="D/ST"/>
    <x v="5"/>
    <x v="3"/>
  </r>
  <r>
    <x v="165"/>
    <x v="1"/>
    <s v="seth-2"/>
    <s v="D/ST"/>
    <n v="2"/>
    <m/>
    <n v="2"/>
    <n v="0"/>
    <n v="0"/>
    <s v="seth-2D/ST"/>
    <s v="Vikings D/ST2"/>
    <s v="D"/>
    <n v="2"/>
    <n v="55"/>
    <n v="8.15"/>
    <n v="43.164900000000003"/>
    <s v="D/ST"/>
    <x v="5"/>
    <x v="3"/>
  </r>
  <r>
    <x v="165"/>
    <x v="2"/>
    <s v="seth-3"/>
    <s v="D/ST"/>
    <n v="5"/>
    <m/>
    <n v="5"/>
    <n v="0"/>
    <n v="0"/>
    <s v="seth-3D/ST"/>
    <s v="Vikings D/ST3"/>
    <s v="D"/>
    <n v="2"/>
    <n v="4"/>
    <n v="12.54"/>
    <n v="36.9664"/>
    <s v="D/ST"/>
    <x v="5"/>
    <x v="3"/>
  </r>
  <r>
    <x v="165"/>
    <x v="3"/>
    <s v="seth-4"/>
    <s v="D/ST"/>
    <n v="-9"/>
    <m/>
    <n v="-9"/>
    <n v="0"/>
    <n v="0"/>
    <s v="seth-4D/ST"/>
    <s v="Vikings D/ST4"/>
    <s v="D"/>
    <n v="2"/>
    <n v="385"/>
    <n v="4.68"/>
    <n v="33.0625"/>
    <s v="D/ST"/>
    <x v="5"/>
    <x v="3"/>
  </r>
  <r>
    <x v="165"/>
    <x v="4"/>
    <s v="seth-5"/>
    <s v="D/ST"/>
    <s v="--"/>
    <m/>
    <n v="5.9"/>
    <n v="4.68"/>
    <n v="21.9024"/>
    <s v="seth-5D/ST"/>
    <s v="Vikings D/ST5"/>
    <s v="D"/>
    <n v="2"/>
    <n v="278"/>
    <n v="5.9"/>
    <n v="21.9024"/>
    <s v="D/ST"/>
    <x v="5"/>
    <x v="1"/>
  </r>
</pivotCacheRecords>
</file>

<file path=xl/pivotCache/pivotCacheRecords3.xml><?xml version="1.0" encoding="utf-8"?>
<pivotCacheRecords xmlns="http://schemas.openxmlformats.org/spreadsheetml/2006/main" xmlns:r="http://schemas.openxmlformats.org/officeDocument/2006/relationships" count="1300">
  <r>
    <x v="0"/>
    <x v="0"/>
    <s v="matty-10"/>
    <s v="WR-2"/>
    <n v="29"/>
    <n v="8.01"/>
    <n v="23.814399999999999"/>
    <s v="WR"/>
    <x v="0"/>
    <x v="0"/>
    <n v="80.72"/>
    <n v="274.11410000000001"/>
    <s v="seth-10"/>
    <x v="0"/>
    <n v="104.52999999999999"/>
    <n v="446.11959999999999"/>
    <n v="0.18748498770897654"/>
    <n v="0.45745016596749155"/>
    <n v="0.26996517825851502"/>
    <n v="84"/>
    <n v="80"/>
    <n v="2.4925348384184599E-4"/>
    <n v="0.99975074651615814"/>
  </r>
  <r>
    <x v="1"/>
    <x v="1"/>
    <s v="seth-12"/>
    <s v="WR-2"/>
    <n v="22"/>
    <n v="8.23"/>
    <n v="27.457599999999999"/>
    <s v="WR"/>
    <x v="0"/>
    <x v="1"/>
    <n v="102.15"/>
    <n v="468.55759999999998"/>
    <s v="chad-12"/>
    <x v="1"/>
    <n v="115.8"/>
    <n v="455.64659999999998"/>
    <n v="0.3267149551815689"/>
    <n v="0.50159865695043793"/>
    <n v="0.17488370176886903"/>
    <n v="95"/>
    <n v="92"/>
    <n v="1.9922918719592474E-2"/>
    <n v="0.98007708128040749"/>
  </r>
  <r>
    <x v="2"/>
    <x v="2"/>
    <s v="matty-13"/>
    <s v="WR/RB"/>
    <n v="30"/>
    <n v="10.07"/>
    <n v="29.9209"/>
    <s v="WR/RB"/>
    <x v="0"/>
    <x v="0"/>
    <n v="88.16"/>
    <n v="330.99250000000001"/>
    <s v="aj-13"/>
    <x v="2"/>
    <n v="116.54"/>
    <n v="371.12040000000002"/>
    <n v="0.14207393469061222"/>
    <n v="0.37224271777202833"/>
    <n v="0.23016878308141611"/>
    <n v="117"/>
    <n v="108"/>
    <n v="2.2849016336737488E-2"/>
    <n v="0.97715098366326247"/>
  </r>
  <r>
    <x v="3"/>
    <x v="3"/>
    <s v="comp-3"/>
    <s v="K"/>
    <n v="19"/>
    <n v="7.63"/>
    <n v="16.483599999999999"/>
    <s v="K"/>
    <x v="1"/>
    <x v="2"/>
    <n v="105.02"/>
    <n v="401.60159999999996"/>
    <s v="matty-3"/>
    <x v="3"/>
    <n v="116.17999999999999"/>
    <n v="478.31470000000002"/>
    <n v="0.35337614783800875"/>
    <n v="0.50285109322099542"/>
    <n v="0.14947494538298667"/>
    <n v="85"/>
    <n v="81"/>
    <n v="3.4741141581157486E-2"/>
    <n v="0.96525885841884251"/>
  </r>
  <r>
    <x v="4"/>
    <x v="4"/>
    <s v="matty-8"/>
    <s v="RB-2"/>
    <n v="20"/>
    <n v="8.4600000000000009"/>
    <n v="37.945599999999999"/>
    <s v="RB"/>
    <x v="2"/>
    <x v="0"/>
    <n v="88.500000000000014"/>
    <n v="351.30459999999999"/>
    <s v="cory-8"/>
    <x v="4"/>
    <n v="106.3"/>
    <n v="423.11159999999995"/>
    <n v="0.2612046893481158"/>
    <n v="0.40878445381901651"/>
    <n v="0.14757976447090071"/>
    <n v="107"/>
    <n v="106"/>
    <n v="4.3536960385981267E-2"/>
    <n v="0.95646303961401868"/>
  </r>
  <r>
    <x v="5"/>
    <x v="4"/>
    <s v="chad-8"/>
    <s v="TE-1"/>
    <n v="19"/>
    <n v="7.67"/>
    <n v="23.814399999999999"/>
    <s v="TE"/>
    <x v="3"/>
    <x v="3"/>
    <n v="94.88"/>
    <n v="320.65749999999997"/>
    <s v="scott-8"/>
    <x v="5"/>
    <n v="113.35000000000001"/>
    <n v="416.81729999999993"/>
    <n v="0.24821039531278949"/>
    <n v="0.39463012083357141"/>
    <n v="0.14641972552078192"/>
    <n v="78"/>
    <n v="75"/>
    <n v="4.391407330759757E-2"/>
    <n v="0.95608592669240244"/>
  </r>
  <r>
    <x v="6"/>
    <x v="5"/>
    <s v="jason-7"/>
    <s v="K"/>
    <n v="14"/>
    <n v="6.69"/>
    <n v="11.833600000000001"/>
    <s v="K"/>
    <x v="1"/>
    <x v="4"/>
    <n v="91.929999999999993"/>
    <n v="386.72199999999998"/>
    <e v="#N/A"/>
    <x v="6"/>
    <n v="0"/>
    <n v="0"/>
    <n v="0.99999852839643777"/>
    <n v="0.99999985162092286"/>
    <n v="1.3232244850946984E-6"/>
    <n v="75"/>
    <n v="0"/>
    <n v="1"/>
    <n v="0"/>
  </r>
  <r>
    <x v="7"/>
    <x v="4"/>
    <s v="matty-8"/>
    <s v="QB-1"/>
    <n v="32"/>
    <n v="17.2"/>
    <n v="83.905600000000007"/>
    <s v="QB"/>
    <x v="4"/>
    <x v="0"/>
    <n v="88.500000000000014"/>
    <n v="351.30459999999999"/>
    <s v="cory-8"/>
    <x v="4"/>
    <n v="106.3"/>
    <n v="423.11159999999995"/>
    <n v="0.2612046893481158"/>
    <n v="0.45455317533947109"/>
    <n v="0.19334848599135529"/>
    <n v="107"/>
    <n v="106"/>
    <n v="6.5962992893280184E-2"/>
    <n v="0.93403700710671977"/>
  </r>
  <r>
    <x v="8"/>
    <x v="4"/>
    <s v="matty-8"/>
    <s v="WR-3"/>
    <n v="12"/>
    <n v="5.43"/>
    <n v="14.137600000000001"/>
    <s v="WR"/>
    <x v="0"/>
    <x v="0"/>
    <n v="88.500000000000014"/>
    <n v="351.30459999999999"/>
    <s v="cory-8"/>
    <x v="4"/>
    <n v="106.3"/>
    <n v="423.11159999999995"/>
    <n v="0.2612046893481158"/>
    <n v="0.34190107561576721"/>
    <n v="8.069638626765141E-2"/>
    <n v="107"/>
    <n v="106"/>
    <n v="6.9252273934131331E-2"/>
    <n v="0.93074772606586864"/>
  </r>
  <r>
    <x v="9"/>
    <x v="6"/>
    <s v="comp-11"/>
    <s v="WR-1"/>
    <n v="32"/>
    <n v="14.44"/>
    <n v="33.64"/>
    <s v="WR"/>
    <x v="0"/>
    <x v="2"/>
    <n v="98.580000000000013"/>
    <n v="364.4375"/>
    <s v="matty-11"/>
    <x v="3"/>
    <n v="88.670000000000016"/>
    <n v="334.39179999999999"/>
    <n v="0.64612380466415886"/>
    <n v="0.85658224530758398"/>
    <n v="0.21045844064342512"/>
    <n v="111"/>
    <n v="102"/>
    <n v="6.9990462001772877E-2"/>
    <n v="0.93000953799822716"/>
  </r>
  <r>
    <x v="10"/>
    <x v="5"/>
    <s v="cory-7"/>
    <s v="D/ST"/>
    <n v="16"/>
    <n v="5.38"/>
    <n v="24.8004"/>
    <s v="D/ST"/>
    <x v="5"/>
    <x v="5"/>
    <n v="86.09"/>
    <n v="350.80079999999998"/>
    <s v="seth-7"/>
    <x v="0"/>
    <n v="96.25"/>
    <n v="294.3"/>
    <n v="0.34457149944219723"/>
    <n v="0.50736787375799564"/>
    <n v="0.16279637431579841"/>
    <n v="85"/>
    <n v="81"/>
    <n v="9.1871659619545132E-2"/>
    <n v="0.90812834038045487"/>
  </r>
  <r>
    <x v="11"/>
    <x v="7"/>
    <s v="aj-5"/>
    <s v="RB-2"/>
    <n v="27"/>
    <n v="13.36"/>
    <n v="72.931600000000003"/>
    <s v="RB"/>
    <x v="2"/>
    <x v="6"/>
    <n v="117.25999999999999"/>
    <n v="422.9941"/>
    <s v="matty-5"/>
    <x v="3"/>
    <n v="99.23"/>
    <n v="364.64739999999995"/>
    <n v="0.73970568419743477"/>
    <n v="0.88191835106811611"/>
    <n v="0.14221266687068135"/>
    <n v="110"/>
    <n v="106"/>
    <n v="0.12948992054932165"/>
    <n v="0.87051007945067838"/>
  </r>
  <r>
    <x v="4"/>
    <x v="7"/>
    <s v="perry-5"/>
    <s v="RB-2"/>
    <n v="20"/>
    <n v="6.97"/>
    <n v="39.187600000000003"/>
    <s v="RB"/>
    <x v="2"/>
    <x v="7"/>
    <n v="97.27"/>
    <n v="430.39269999999999"/>
    <s v="seth-5"/>
    <x v="0"/>
    <n v="98.72999999999999"/>
    <n v="396.28840000000002"/>
    <n v="0.47975082605670671"/>
    <n v="0.6599390203743527"/>
    <n v="0.18018819431764599"/>
    <n v="96"/>
    <n v="90"/>
    <n v="0.13071806878117043"/>
    <n v="0.86928193121882957"/>
  </r>
  <r>
    <x v="12"/>
    <x v="1"/>
    <s v="devon-12"/>
    <s v="D/ST"/>
    <n v="18"/>
    <n v="7.22"/>
    <n v="29.16"/>
    <s v="D/ST"/>
    <x v="5"/>
    <x v="8"/>
    <n v="99.070000000000007"/>
    <n v="350.10639999999995"/>
    <s v="matty-12"/>
    <x v="3"/>
    <n v="94.28"/>
    <n v="371.05129999999997"/>
    <n v="0.57078356677741682"/>
    <n v="0.72303572280685324"/>
    <n v="0.15225215602943643"/>
    <n v="80"/>
    <n v="75"/>
    <n v="0.14222631534081975"/>
    <n v="0.85777368465918025"/>
  </r>
  <r>
    <x v="13"/>
    <x v="0"/>
    <s v="matty-10"/>
    <s v="WR-1"/>
    <n v="15"/>
    <n v="6.71"/>
    <n v="16.728100000000001"/>
    <s v="WR"/>
    <x v="0"/>
    <x v="0"/>
    <n v="80.72"/>
    <n v="274.11410000000001"/>
    <s v="seth-10"/>
    <x v="0"/>
    <n v="104.52999999999999"/>
    <n v="446.11959999999999"/>
    <n v="0.18748498770897654"/>
    <n v="0.27922763026996711"/>
    <n v="9.1742642560990573E-2"/>
    <n v="84"/>
    <n v="80"/>
    <n v="0.14711212903930834"/>
    <n v="0.85288787096069163"/>
  </r>
  <r>
    <x v="14"/>
    <x v="1"/>
    <s v="seth-12"/>
    <s v="RB-2"/>
    <n v="16"/>
    <n v="8.6199999999999992"/>
    <n v="21.068100000000001"/>
    <s v="RB"/>
    <x v="2"/>
    <x v="1"/>
    <n v="102.15"/>
    <n v="468.55759999999998"/>
    <s v="chad-12"/>
    <x v="1"/>
    <n v="115.8"/>
    <n v="455.64659999999998"/>
    <n v="0.3267149551815689"/>
    <n v="0.41736588522496298"/>
    <n v="9.0650930043394085E-2"/>
    <n v="95"/>
    <n v="92"/>
    <n v="0.16997896882890592"/>
    <n v="0.83002103117109405"/>
  </r>
  <r>
    <x v="15"/>
    <x v="3"/>
    <s v="aj-3"/>
    <s v="WR-3"/>
    <n v="20"/>
    <n v="8.2799999999999994"/>
    <n v="16.809999999999999"/>
    <s v="WR"/>
    <x v="0"/>
    <x v="6"/>
    <n v="107.31"/>
    <n v="425.77620000000002"/>
    <s v="seth-3"/>
    <x v="0"/>
    <n v="94.54"/>
    <n v="356.43470000000002"/>
    <n v="0.6760180870914847"/>
    <n v="0.8119772051320987"/>
    <n v="0.135959118040614"/>
    <n v="96"/>
    <n v="88"/>
    <n v="0.1821195740811529"/>
    <n v="0.81788042591884713"/>
  </r>
  <r>
    <x v="16"/>
    <x v="7"/>
    <s v="devon-5"/>
    <s v="RB-2"/>
    <n v="13"/>
    <n v="5.03"/>
    <n v="12.3904"/>
    <s v="RB"/>
    <x v="2"/>
    <x v="8"/>
    <n v="93.5"/>
    <n v="346.9006"/>
    <s v="cory-5"/>
    <x v="4"/>
    <n v="109.91"/>
    <n v="349.51409999999998"/>
    <n v="0.26702544199612877"/>
    <n v="0.37345905481709896"/>
    <n v="0.10643361282097019"/>
    <n v="105"/>
    <n v="100"/>
    <n v="0.19940456047137278"/>
    <n v="0.80059543952862722"/>
  </r>
  <r>
    <x v="17"/>
    <x v="4"/>
    <s v="chad-8"/>
    <s v="RB-2"/>
    <n v="15"/>
    <n v="7.74"/>
    <n v="26.214400000000001"/>
    <s v="RB"/>
    <x v="2"/>
    <x v="3"/>
    <n v="94.88"/>
    <n v="320.65749999999997"/>
    <s v="scott-8"/>
    <x v="5"/>
    <n v="113.35000000000001"/>
    <n v="416.81729999999993"/>
    <n v="0.24821039531278949"/>
    <n v="0.33712187687606393"/>
    <n v="8.8911481563274442E-2"/>
    <n v="78"/>
    <n v="75"/>
    <n v="0.2026956528360401"/>
    <n v="0.79730434716395993"/>
  </r>
  <r>
    <x v="18"/>
    <x v="2"/>
    <s v="matty-13"/>
    <s v="TE-1"/>
    <n v="15"/>
    <n v="3.25"/>
    <n v="11.56"/>
    <s v="TE"/>
    <x v="3"/>
    <x v="0"/>
    <n v="88.16"/>
    <n v="330.99250000000001"/>
    <s v="aj-13"/>
    <x v="2"/>
    <n v="116.54"/>
    <n v="371.12040000000002"/>
    <n v="0.14207393469061222"/>
    <n v="0.26341913742085366"/>
    <n v="0.12134520273024144"/>
    <n v="117"/>
    <n v="108"/>
    <n v="0.20930832998570412"/>
    <n v="0.79069167001429586"/>
  </r>
  <r>
    <x v="19"/>
    <x v="3"/>
    <s v="comp-3"/>
    <s v="RB-1"/>
    <n v="17"/>
    <n v="9.4600000000000009"/>
    <n v="29.16"/>
    <s v="RB"/>
    <x v="2"/>
    <x v="2"/>
    <n v="105.02"/>
    <n v="401.60159999999996"/>
    <s v="matty-3"/>
    <x v="3"/>
    <n v="116.17999999999999"/>
    <n v="478.31470000000002"/>
    <n v="0.35337614783800875"/>
    <n v="0.450614179861203"/>
    <n v="9.7238032023194254E-2"/>
    <n v="85"/>
    <n v="81"/>
    <n v="0.25605506491947627"/>
    <n v="0.74394493508052373"/>
  </r>
  <r>
    <x v="20"/>
    <x v="3"/>
    <s v="aj-3"/>
    <s v="QB-1"/>
    <n v="32"/>
    <n v="19.16"/>
    <n v="71.740899999999996"/>
    <s v="QB"/>
    <x v="4"/>
    <x v="6"/>
    <n v="107.31"/>
    <n v="425.77620000000002"/>
    <s v="seth-3"/>
    <x v="0"/>
    <n v="94.54"/>
    <n v="356.43470000000002"/>
    <n v="0.6760180870914847"/>
    <n v="0.83167569560495513"/>
    <n v="0.15565760851347044"/>
    <n v="96"/>
    <n v="88"/>
    <n v="0.28385458309867628"/>
    <n v="0.71614541690132372"/>
  </r>
  <r>
    <x v="21"/>
    <x v="7"/>
    <s v="devon-5"/>
    <s v="WR-1"/>
    <n v="17"/>
    <n v="9.3800000000000008"/>
    <n v="21.715599999999998"/>
    <s v="WR"/>
    <x v="0"/>
    <x v="8"/>
    <n v="93.5"/>
    <n v="346.9006"/>
    <s v="cory-5"/>
    <x v="4"/>
    <n v="109.91"/>
    <n v="349.51409999999998"/>
    <n v="0.26702544199612877"/>
    <n v="0.36752987274363413"/>
    <n v="0.10050443074750537"/>
    <n v="105"/>
    <n v="100"/>
    <n v="0.28697906267603029"/>
    <n v="0.71302093732396976"/>
  </r>
  <r>
    <x v="22"/>
    <x v="6"/>
    <s v="comp-11"/>
    <s v="K"/>
    <n v="20"/>
    <n v="8.5399999999999991"/>
    <n v="20.1601"/>
    <s v="K"/>
    <x v="1"/>
    <x v="2"/>
    <n v="98.580000000000013"/>
    <n v="364.4375"/>
    <s v="matty-11"/>
    <x v="3"/>
    <n v="88.670000000000016"/>
    <n v="334.39179999999999"/>
    <n v="0.64612380466415886"/>
    <n v="0.79397892191072561"/>
    <n v="0.14785511724656675"/>
    <n v="111"/>
    <n v="102"/>
    <n v="0.29188571364100879"/>
    <n v="0.70811428635899121"/>
  </r>
  <r>
    <x v="22"/>
    <x v="7"/>
    <s v="aj-5"/>
    <s v="K"/>
    <n v="15"/>
    <n v="8.9600000000000009"/>
    <n v="14.5161"/>
    <s v="K"/>
    <x v="1"/>
    <x v="6"/>
    <n v="117.25999999999999"/>
    <n v="422.9941"/>
    <s v="matty-5"/>
    <x v="3"/>
    <n v="99.23"/>
    <n v="364.64739999999995"/>
    <n v="0.73970568419743477"/>
    <n v="0.80666373974506889"/>
    <n v="6.6958055547634121E-2"/>
    <n v="110"/>
    <n v="106"/>
    <n v="0.29617521349528408"/>
    <n v="0.70382478650471592"/>
  </r>
  <r>
    <x v="23"/>
    <x v="0"/>
    <s v="matty-10"/>
    <s v="RB-1"/>
    <n v="14"/>
    <n v="7.19"/>
    <n v="28.944400000000002"/>
    <s v="RB"/>
    <x v="2"/>
    <x v="0"/>
    <n v="80.72"/>
    <n v="274.11410000000001"/>
    <s v="seth-10"/>
    <x v="0"/>
    <n v="104.52999999999999"/>
    <n v="446.11959999999999"/>
    <n v="0.18748498770897654"/>
    <n v="0.2589534751795734"/>
    <n v="7.1468487470596864E-2"/>
    <n v="84"/>
    <n v="80"/>
    <n v="0.30072905245431197"/>
    <n v="0.69927094754568797"/>
  </r>
  <r>
    <x v="24"/>
    <x v="1"/>
    <s v="seth-12"/>
    <s v="D/ST"/>
    <n v="16"/>
    <n v="9.81"/>
    <n v="37.699599999999997"/>
    <s v="D/ST"/>
    <x v="5"/>
    <x v="1"/>
    <n v="102.15"/>
    <n v="468.55759999999998"/>
    <s v="chad-12"/>
    <x v="1"/>
    <n v="115.8"/>
    <n v="455.64659999999998"/>
    <n v="0.3267149551815689"/>
    <n v="0.40108014633423494"/>
    <n v="7.4365191152666044E-2"/>
    <n v="95"/>
    <n v="92"/>
    <n v="0.30169072805283237"/>
    <n v="0.69830927194716763"/>
  </r>
  <r>
    <x v="25"/>
    <x v="5"/>
    <s v="jason-7"/>
    <s v="D/ST"/>
    <n v="13"/>
    <n v="8"/>
    <n v="37.822499999999998"/>
    <s v="D/ST"/>
    <x v="5"/>
    <x v="4"/>
    <n v="91.929999999999993"/>
    <n v="386.72199999999998"/>
    <e v="#N/A"/>
    <x v="6"/>
    <n v="0"/>
    <n v="0"/>
    <n v="0.99999852839643777"/>
    <n v="0.99999989445195081"/>
    <n v="1.3660555130412533E-6"/>
    <n v="75"/>
    <n v="0"/>
    <n v="1"/>
    <n v="0"/>
  </r>
  <r>
    <x v="26"/>
    <x v="8"/>
    <s v="cory-9"/>
    <s v="WR-2"/>
    <n v="20"/>
    <n v="9.56"/>
    <n v="46.104100000000003"/>
    <s v="WR"/>
    <x v="0"/>
    <x v="5"/>
    <n v="90.69"/>
    <n v="356.05790000000002"/>
    <s v="devon-9"/>
    <x v="7"/>
    <n v="104.66"/>
    <n v="474.51049999999998"/>
    <n v="0.31393045538359282"/>
    <n v="0.44985246033633486"/>
    <n v="0.13592200495274204"/>
    <n v="89"/>
    <n v="81"/>
    <n v="0.35966589350716294"/>
    <n v="0.64033410649283706"/>
  </r>
  <r>
    <x v="27"/>
    <x v="5"/>
    <s v="cory-7"/>
    <s v="TE-1"/>
    <n v="14"/>
    <n v="8.1999999999999993"/>
    <n v="26.8324"/>
    <s v="TE"/>
    <x v="3"/>
    <x v="5"/>
    <n v="86.09"/>
    <n v="350.80079999999998"/>
    <s v="seth-7"/>
    <x v="0"/>
    <n v="96.25"/>
    <n v="294.3"/>
    <n v="0.34457149944219723"/>
    <n v="0.43040355116767842"/>
    <n v="8.5832051725481195E-2"/>
    <n v="85"/>
    <n v="81"/>
    <n v="0.36411148442917385"/>
    <n v="0.63588851557082615"/>
  </r>
  <r>
    <x v="28"/>
    <x v="7"/>
    <s v="perry-5"/>
    <s v="WR/RB"/>
    <n v="18"/>
    <n v="9.08"/>
    <n v="74.822500000000005"/>
    <s v="WR/RB"/>
    <x v="2"/>
    <x v="7"/>
    <n v="97.27"/>
    <n v="430.39269999999999"/>
    <s v="seth-5"/>
    <x v="0"/>
    <n v="98.72999999999999"/>
    <n v="396.28840000000002"/>
    <n v="0.47975082605670671"/>
    <n v="0.60721351394403866"/>
    <n v="0.12746268788733195"/>
    <n v="96"/>
    <n v="90"/>
    <n v="0.36784277691096123"/>
    <n v="0.63215722308903877"/>
  </r>
  <r>
    <x v="29"/>
    <x v="7"/>
    <s v="devon-5"/>
    <s v="QB-1"/>
    <n v="25"/>
    <n v="17"/>
    <n v="79.923599999999993"/>
    <s v="QB"/>
    <x v="4"/>
    <x v="8"/>
    <n v="93.5"/>
    <n v="346.9006"/>
    <s v="cory-5"/>
    <x v="4"/>
    <n v="109.91"/>
    <n v="349.51409999999998"/>
    <n v="0.26702544199612877"/>
    <n v="0.36741276027731462"/>
    <n v="0.10038731828118586"/>
    <n v="105"/>
    <n v="100"/>
    <n v="0.36859739781392842"/>
    <n v="0.63140260218607158"/>
  </r>
  <r>
    <x v="23"/>
    <x v="4"/>
    <s v="matty-8"/>
    <s v="RB-1"/>
    <n v="10"/>
    <n v="7.56"/>
    <n v="29.811599999999999"/>
    <s v="RB"/>
    <x v="2"/>
    <x v="0"/>
    <n v="88.500000000000014"/>
    <n v="351.30459999999999"/>
    <s v="cory-8"/>
    <x v="4"/>
    <n v="106.3"/>
    <n v="423.11159999999995"/>
    <n v="0.2612046893481158"/>
    <n v="0.28675276569049923"/>
    <n v="2.554807634238343E-2"/>
    <n v="107"/>
    <n v="106"/>
    <n v="0.3959915750573616"/>
    <n v="0.6040084249426384"/>
  </r>
  <r>
    <x v="30"/>
    <x v="4"/>
    <s v="chad-8"/>
    <s v="K"/>
    <n v="11"/>
    <n v="7.06"/>
    <n v="20.25"/>
    <s v="K"/>
    <x v="1"/>
    <x v="3"/>
    <n v="94.88"/>
    <n v="320.65749999999997"/>
    <s v="scott-8"/>
    <x v="5"/>
    <n v="113.35000000000001"/>
    <n v="416.81729999999993"/>
    <n v="0.24821039531278949"/>
    <n v="0.29372061178725228"/>
    <n v="4.5510216474462795E-2"/>
    <n v="78"/>
    <n v="75"/>
    <n v="0.41726748910535727"/>
    <n v="0.58273251089464273"/>
  </r>
  <r>
    <x v="31"/>
    <x v="9"/>
    <s v="chad-4"/>
    <s v="RB-1"/>
    <n v="27"/>
    <n v="13.63"/>
    <n v="49.984900000000003"/>
    <s v="RB"/>
    <x v="2"/>
    <x v="3"/>
    <n v="99.8"/>
    <n v="351.46400000000006"/>
    <s v="seth-4"/>
    <x v="0"/>
    <n v="104.32"/>
    <n v="390.96559999999999"/>
    <n v="0.43412317323121657"/>
    <n v="0.63168463962134058"/>
    <n v="0.19756146639012401"/>
    <n v="123"/>
    <n v="111"/>
    <n v="0.42317543622573017"/>
    <n v="0.57682456377426983"/>
  </r>
  <r>
    <x v="32"/>
    <x v="5"/>
    <s v="jason-7"/>
    <s v="RB-1"/>
    <n v="11"/>
    <n v="7.93"/>
    <n v="50.126399999999997"/>
    <s v="RB"/>
    <x v="2"/>
    <x v="4"/>
    <n v="91.929999999999993"/>
    <n v="386.72199999999998"/>
    <e v="#N/A"/>
    <x v="6"/>
    <n v="0"/>
    <n v="0"/>
    <n v="0.99999852839643777"/>
    <n v="0.9999998879139762"/>
    <n v="1.3595175384351066E-6"/>
    <n v="75"/>
    <n v="0"/>
    <n v="1"/>
    <n v="0"/>
  </r>
  <r>
    <x v="33"/>
    <x v="7"/>
    <s v="devon-5"/>
    <s v="WR-2"/>
    <n v="14"/>
    <n v="8.26"/>
    <n v="25.100100000000001"/>
    <s v="WR"/>
    <x v="0"/>
    <x v="8"/>
    <n v="93.5"/>
    <n v="346.9006"/>
    <s v="cory-5"/>
    <x v="4"/>
    <n v="109.91"/>
    <n v="349.51409999999998"/>
    <n v="0.26702544199612877"/>
    <n v="0.34023778697564305"/>
    <n v="7.3212344979514288E-2"/>
    <n v="105"/>
    <n v="100"/>
    <n v="0.44128795421592831"/>
    <n v="0.55871204578407174"/>
  </r>
  <r>
    <x v="34"/>
    <x v="7"/>
    <s v="aj-5"/>
    <s v="D/ST"/>
    <n v="14"/>
    <n v="9.1300000000000008"/>
    <n v="48.5809"/>
    <s v="D/ST"/>
    <x v="5"/>
    <x v="6"/>
    <n v="117.25999999999999"/>
    <n v="422.9941"/>
    <s v="matty-5"/>
    <x v="3"/>
    <n v="99.23"/>
    <n v="364.64739999999995"/>
    <n v="0.73970568419743477"/>
    <n v="0.80020552556081659"/>
    <n v="6.0499841363381823E-2"/>
    <n v="110"/>
    <n v="106"/>
    <n v="0.45033276550735168"/>
    <n v="0.54966723449264832"/>
  </r>
  <r>
    <x v="35"/>
    <x v="5"/>
    <s v="cory-7"/>
    <s v="WR-2"/>
    <n v="15"/>
    <n v="10.64"/>
    <n v="36.120100000000001"/>
    <s v="WR"/>
    <x v="0"/>
    <x v="5"/>
    <n v="86.09"/>
    <n v="350.80079999999998"/>
    <s v="seth-7"/>
    <x v="0"/>
    <n v="96.25"/>
    <n v="294.3"/>
    <n v="0.34457149944219723"/>
    <n v="0.40709210930997003"/>
    <n v="6.2520609867772803E-2"/>
    <n v="85"/>
    <n v="81"/>
    <n v="0.47611757368754609"/>
    <n v="0.52388242631245396"/>
  </r>
  <r>
    <x v="31"/>
    <x v="10"/>
    <s v="chad-2"/>
    <s v="RB-1"/>
    <n v="22"/>
    <n v="12.72"/>
    <n v="27.6676"/>
    <s v="RB"/>
    <x v="2"/>
    <x v="3"/>
    <n v="102.72000000000001"/>
    <n v="348.54960000000005"/>
    <s v="aj-2"/>
    <x v="2"/>
    <n v="103.77999999999999"/>
    <n v="338.9511"/>
    <n v="0.48387643490903587"/>
    <n v="0.62551717257182848"/>
    <n v="0.14164073766279262"/>
    <n v="99"/>
    <n v="90"/>
    <n v="0.47877355395512999"/>
    <n v="0.52122644604487001"/>
  </r>
  <r>
    <x v="36"/>
    <x v="3"/>
    <s v="aj-3"/>
    <s v="WR-1"/>
    <n v="19"/>
    <n v="10.66"/>
    <n v="55.950400000000002"/>
    <s v="WR"/>
    <x v="0"/>
    <x v="6"/>
    <n v="107.31"/>
    <n v="425.77620000000002"/>
    <s v="seth-3"/>
    <x v="0"/>
    <n v="94.54"/>
    <n v="356.43470000000002"/>
    <n v="0.6760180870914847"/>
    <n v="0.78328187486650069"/>
    <n v="0.107263787775016"/>
    <n v="96"/>
    <n v="88"/>
    <n v="0.48187250244781349"/>
    <n v="0.51812749755218657"/>
  </r>
  <r>
    <x v="3"/>
    <x v="1"/>
    <s v="devon-12"/>
    <s v="K"/>
    <n v="13"/>
    <n v="7.89"/>
    <n v="14.364100000000001"/>
    <s v="K"/>
    <x v="1"/>
    <x v="8"/>
    <n v="99.070000000000007"/>
    <n v="350.10639999999995"/>
    <s v="matty-12"/>
    <x v="3"/>
    <n v="94.28"/>
    <n v="371.05129999999997"/>
    <n v="0.57078356677741682"/>
    <n v="0.64519584024019028"/>
    <n v="7.4412273462773459E-2"/>
    <n v="80"/>
    <n v="75"/>
    <n v="0.48842282572035989"/>
    <n v="0.51157717427964011"/>
  </r>
  <r>
    <x v="37"/>
    <x v="5"/>
    <s v="jason-7"/>
    <s v="WR/RB"/>
    <n v="7"/>
    <n v="4.97"/>
    <n v="11.022399999999999"/>
    <s v="WR/RB"/>
    <x v="2"/>
    <x v="4"/>
    <n v="91.929999999999993"/>
    <n v="386.72199999999998"/>
    <e v="#N/A"/>
    <x v="6"/>
    <n v="0"/>
    <n v="0"/>
    <n v="0.99999852839643777"/>
    <n v="0.99999937503443348"/>
    <n v="8.4663799571060849E-7"/>
    <n v="75"/>
    <n v="0"/>
    <n v="1"/>
    <n v="0"/>
  </r>
  <r>
    <x v="38"/>
    <x v="4"/>
    <s v="matty-8"/>
    <s v="D/ST"/>
    <n v="10"/>
    <n v="9.1"/>
    <n v="43.824399999999997"/>
    <s v="D/ST"/>
    <x v="5"/>
    <x v="0"/>
    <n v="88.500000000000014"/>
    <n v="351.30459999999999"/>
    <s v="cory-8"/>
    <x v="4"/>
    <n v="106.3"/>
    <n v="423.11159999999995"/>
    <n v="0.2612046893481158"/>
    <n v="0.26590557013789939"/>
    <n v="4.7008807897835903E-3"/>
    <n v="107"/>
    <n v="106"/>
    <n v="0.50602608925861969"/>
    <n v="0.49397391074138031"/>
  </r>
  <r>
    <x v="39"/>
    <x v="5"/>
    <s v="cory-7"/>
    <s v="WR-1"/>
    <n v="15"/>
    <n v="11.36"/>
    <n v="77.264099999999999"/>
    <s v="WR"/>
    <x v="0"/>
    <x v="5"/>
    <n v="86.09"/>
    <n v="350.80079999999998"/>
    <s v="seth-7"/>
    <x v="0"/>
    <n v="96.25"/>
    <n v="294.3"/>
    <n v="0.34457149944219723"/>
    <n v="0.39219122978724857"/>
    <n v="4.7619730345051348E-2"/>
    <n v="85"/>
    <n v="81"/>
    <n v="0.51633436641245534"/>
    <n v="0.48366563358754466"/>
  </r>
  <r>
    <x v="40"/>
    <x v="9"/>
    <s v="chad-4"/>
    <s v="D/ST"/>
    <n v="22"/>
    <n v="10.42"/>
    <n v="71.402500000000003"/>
    <s v="D/ST"/>
    <x v="5"/>
    <x v="3"/>
    <n v="99.8"/>
    <n v="351.46400000000006"/>
    <s v="seth-4"/>
    <x v="0"/>
    <n v="104.32"/>
    <n v="390.96559999999999"/>
    <n v="0.43412317323121657"/>
    <n v="0.60739764647347227"/>
    <n v="0.1732744732422557"/>
    <n v="123"/>
    <n v="111"/>
    <n v="0.51982092215335274"/>
    <n v="0.48017907784664726"/>
  </r>
  <r>
    <x v="41"/>
    <x v="1"/>
    <s v="devon-12"/>
    <s v="RB-2"/>
    <n v="12"/>
    <n v="7.37"/>
    <n v="32.49"/>
    <s v="RB"/>
    <x v="2"/>
    <x v="8"/>
    <n v="99.070000000000007"/>
    <n v="350.10639999999995"/>
    <s v="matty-12"/>
    <x v="3"/>
    <n v="94.28"/>
    <n v="371.05129999999997"/>
    <n v="0.57078356677741682"/>
    <n v="0.6401874901176785"/>
    <n v="6.9403923340261686E-2"/>
    <n v="80"/>
    <n v="75"/>
    <n v="0.52587807868425929"/>
    <n v="0.47412192131574071"/>
  </r>
  <r>
    <x v="9"/>
    <x v="3"/>
    <s v="comp-3"/>
    <s v="WR-1"/>
    <n v="17"/>
    <n v="13.68"/>
    <n v="77.264099999999999"/>
    <s v="WR"/>
    <x v="0"/>
    <x v="2"/>
    <n v="105.02"/>
    <n v="401.60159999999996"/>
    <s v="matty-3"/>
    <x v="3"/>
    <n v="116.17999999999999"/>
    <n v="478.31470000000002"/>
    <n v="0.35337614783800875"/>
    <n v="0.39099466662086163"/>
    <n v="3.7618518782852883E-2"/>
    <n v="85"/>
    <n v="81"/>
    <n v="0.53083167302171474"/>
    <n v="0.46916832697828526"/>
  </r>
  <r>
    <x v="42"/>
    <x v="5"/>
    <s v="perry-7"/>
    <s v="QB-1"/>
    <n v="30"/>
    <n v="17.61"/>
    <n v="58.216900000000003"/>
    <s v="QB"/>
    <x v="4"/>
    <x v="7"/>
    <n v="103.81000000000002"/>
    <n v="404.20889999999997"/>
    <s v="chad-7"/>
    <x v="1"/>
    <n v="99.759999999999991"/>
    <n v="339.923"/>
    <n v="0.55901290364123501"/>
    <n v="0.73490663941686973"/>
    <n v="0.17589373577563472"/>
    <n v="115"/>
    <n v="102"/>
    <n v="0.53186052438414544"/>
    <n v="0.46813947561585456"/>
  </r>
  <r>
    <x v="9"/>
    <x v="11"/>
    <s v="comp-1"/>
    <s v="WR-1"/>
    <n v="18"/>
    <n v="13.37"/>
    <n v="83.539599999999993"/>
    <s v="WR"/>
    <x v="0"/>
    <x v="2"/>
    <n v="110.7"/>
    <n v="433.44330000000002"/>
    <s v="seth-1"/>
    <x v="0"/>
    <n v="111.07"/>
    <n v="422.00569999999999"/>
    <n v="0.49495335047896771"/>
    <n v="0.56093088045975126"/>
    <n v="6.5977529980783545E-2"/>
    <n v="77"/>
    <n v="71"/>
    <n v="0.55957453235195875"/>
    <n v="0.44042546764804125"/>
  </r>
  <r>
    <x v="5"/>
    <x v="2"/>
    <s v="chad-13"/>
    <s v="TE-1"/>
    <n v="21"/>
    <n v="7.74"/>
    <n v="23.328900000000001"/>
    <s v="TE"/>
    <x v="3"/>
    <x v="3"/>
    <n v="113.35"/>
    <n v="486.24799999999993"/>
    <s v="comp-13"/>
    <x v="8"/>
    <n v="104.63999999999999"/>
    <n v="400.33339999999998"/>
    <n v="0.6150563098213474"/>
    <n v="0.77269696462901838"/>
    <n v="0.15764065480767098"/>
    <n v="95"/>
    <n v="81"/>
    <n v="0.56088331301900385"/>
    <n v="0.43911668698099615"/>
  </r>
  <r>
    <x v="43"/>
    <x v="0"/>
    <s v="devon-10"/>
    <s v="WR/RB"/>
    <n v="16"/>
    <n v="11.41"/>
    <n v="60.528399999999998"/>
    <s v="WR/RB"/>
    <x v="2"/>
    <x v="8"/>
    <n v="101.66000000000001"/>
    <n v="359.87040000000002"/>
    <s v="lucas-10"/>
    <x v="9"/>
    <n v="0"/>
    <n v="0"/>
    <n v="0.99999995813888032"/>
    <n v="0.99999999959020158"/>
    <n v="4.1451321264318608E-8"/>
    <n v="97"/>
    <n v="0"/>
    <n v="1"/>
    <n v="0"/>
  </r>
  <r>
    <x v="18"/>
    <x v="4"/>
    <s v="matty-8"/>
    <s v="TE-1"/>
    <n v="6"/>
    <n v="5.88"/>
    <n v="19.1844"/>
    <s v="TE"/>
    <x v="3"/>
    <x v="0"/>
    <n v="88.500000000000014"/>
    <n v="351.30459999999999"/>
    <s v="cory-8"/>
    <x v="4"/>
    <n v="106.3"/>
    <n v="423.11159999999995"/>
    <n v="0.2612046893481158"/>
    <n v="0.26000099805129517"/>
    <n v="-1.2036912968206304E-3"/>
    <n v="107"/>
    <n v="106"/>
    <n v="0.57961679339356864"/>
    <n v="0.42038320660643136"/>
  </r>
  <r>
    <x v="44"/>
    <x v="7"/>
    <s v="perry-5"/>
    <s v="QB-1"/>
    <n v="20"/>
    <n v="15.34"/>
    <n v="43.824399999999997"/>
    <s v="QB"/>
    <x v="4"/>
    <x v="7"/>
    <n v="97.27"/>
    <n v="430.39269999999999"/>
    <s v="seth-5"/>
    <x v="0"/>
    <n v="98.72999999999999"/>
    <n v="396.28840000000002"/>
    <n v="0.47975082605670671"/>
    <n v="0.54552741050944875"/>
    <n v="6.5776584452742037E-2"/>
    <n v="96"/>
    <n v="90"/>
    <n v="0.58020459842230254"/>
    <n v="0.41979540157769746"/>
  </r>
  <r>
    <x v="45"/>
    <x v="5"/>
    <s v="devon-7"/>
    <s v="RB-1"/>
    <n v="39"/>
    <n v="16.89"/>
    <n v="83.539599999999993"/>
    <s v="RB"/>
    <x v="2"/>
    <x v="8"/>
    <n v="106.81"/>
    <n v="351.64060000000001"/>
    <s v="aj-7"/>
    <x v="2"/>
    <n v="114.01999999999998"/>
    <n v="381.58529999999996"/>
    <n v="0.39501702421215146"/>
    <n v="0.72058060277350844"/>
    <n v="0.32556357856135698"/>
    <n v="117"/>
    <n v="93"/>
    <n v="0.58191047778465554"/>
    <n v="0.41808952221534446"/>
  </r>
  <r>
    <x v="5"/>
    <x v="10"/>
    <s v="chad-2"/>
    <s v="TE-1"/>
    <n v="16"/>
    <n v="8.5500000000000007"/>
    <n v="33.0625"/>
    <s v="TE"/>
    <x v="3"/>
    <x v="3"/>
    <n v="102.72000000000001"/>
    <n v="348.54960000000005"/>
    <s v="aj-2"/>
    <x v="2"/>
    <n v="103.77999999999999"/>
    <n v="338.9511"/>
    <n v="0.48387643490903587"/>
    <n v="0.59862323043802457"/>
    <n v="0.1147467955289887"/>
    <n v="99"/>
    <n v="90"/>
    <n v="0.60625261875104486"/>
    <n v="0.39374738124895514"/>
  </r>
  <r>
    <x v="46"/>
    <x v="1"/>
    <s v="seth-12"/>
    <s v="K"/>
    <n v="10"/>
    <n v="8.3800000000000008"/>
    <n v="21.16"/>
    <s v="K"/>
    <x v="1"/>
    <x v="1"/>
    <n v="102.15"/>
    <n v="468.55759999999998"/>
    <s v="chad-12"/>
    <x v="1"/>
    <n v="115.8"/>
    <n v="455.64659999999998"/>
    <n v="0.3267149551815689"/>
    <n v="0.34445911764318715"/>
    <n v="1.7744162461618251E-2"/>
    <n v="95"/>
    <n v="92"/>
    <n v="0.61791142218895279"/>
    <n v="0.38208857781104721"/>
  </r>
  <r>
    <x v="40"/>
    <x v="4"/>
    <s v="chad-8"/>
    <s v="D/ST"/>
    <n v="8"/>
    <n v="6.52"/>
    <n v="25.300899999999999"/>
    <s v="D/ST"/>
    <x v="5"/>
    <x v="3"/>
    <n v="94.88"/>
    <n v="320.65749999999997"/>
    <s v="scott-8"/>
    <x v="5"/>
    <n v="113.35000000000001"/>
    <n v="416.81729999999993"/>
    <n v="0.24821039531278949"/>
    <n v="0.26217661128414826"/>
    <n v="1.3966215971358775E-2"/>
    <n v="78"/>
    <n v="75"/>
    <n v="0.61874519689034391"/>
    <n v="0.38125480310965609"/>
  </r>
  <r>
    <x v="36"/>
    <x v="7"/>
    <s v="aj-5"/>
    <s v="WR-1"/>
    <n v="15"/>
    <n v="12.91"/>
    <n v="39.69"/>
    <s v="WR"/>
    <x v="0"/>
    <x v="6"/>
    <n v="117.25999999999999"/>
    <n v="422.9941"/>
    <s v="matty-5"/>
    <x v="3"/>
    <n v="99.23"/>
    <n v="364.64739999999995"/>
    <n v="0.73970568419743477"/>
    <n v="0.76903845802056137"/>
    <n v="2.9332773823126601E-2"/>
    <n v="110"/>
    <n v="106"/>
    <n v="0.61912159875944028"/>
    <n v="0.38087840124055972"/>
  </r>
  <r>
    <x v="47"/>
    <x v="5"/>
    <s v="cory-7"/>
    <s v="RB-1"/>
    <n v="8"/>
    <n v="5.43"/>
    <n v="21.3444"/>
    <s v="RB"/>
    <x v="2"/>
    <x v="5"/>
    <n v="86.09"/>
    <n v="350.80079999999998"/>
    <s v="seth-7"/>
    <x v="0"/>
    <n v="96.25"/>
    <n v="294.3"/>
    <n v="0.34457149944219723"/>
    <n v="0.3806010876659689"/>
    <n v="3.6029588223771669E-2"/>
    <n v="85"/>
    <n v="81"/>
    <n v="0.62153844829531113"/>
    <n v="0.37846155170468887"/>
  </r>
  <r>
    <x v="48"/>
    <x v="7"/>
    <s v="devon-5"/>
    <s v="WR-3"/>
    <n v="10"/>
    <n v="6.73"/>
    <n v="30.360099999999999"/>
    <s v="WR"/>
    <x v="0"/>
    <x v="8"/>
    <n v="93.5"/>
    <n v="346.9006"/>
    <s v="cory-5"/>
    <x v="4"/>
    <n v="109.91"/>
    <n v="349.51409999999998"/>
    <n v="0.26702544199612877"/>
    <n v="0.30532572052804174"/>
    <n v="3.8300278531912979E-2"/>
    <n v="105"/>
    <n v="100"/>
    <n v="0.62322983170444213"/>
    <n v="0.37677016829555787"/>
  </r>
  <r>
    <x v="49"/>
    <x v="10"/>
    <s v="seth-2"/>
    <s v="WR-3"/>
    <n v="18"/>
    <n v="7.73"/>
    <n v="21.715599999999998"/>
    <s v="WR"/>
    <x v="0"/>
    <x v="1"/>
    <n v="91.78"/>
    <n v="333.71719999999993"/>
    <s v="matty-2"/>
    <x v="3"/>
    <n v="101.3"/>
    <n v="329.14109999999999"/>
    <n v="0.35577854462426967"/>
    <n v="0.5118149116408679"/>
    <n v="0.15603636701659823"/>
    <n v="82"/>
    <n v="70"/>
    <n v="0.64477233467930439"/>
    <n v="0.35522766532069561"/>
  </r>
  <r>
    <x v="50"/>
    <x v="7"/>
    <s v="aj-5"/>
    <s v="TE-1"/>
    <n v="8"/>
    <n v="5.99"/>
    <n v="27.144100000000002"/>
    <s v="TE"/>
    <x v="3"/>
    <x v="6"/>
    <n v="117.25999999999999"/>
    <n v="422.9941"/>
    <s v="matty-5"/>
    <x v="3"/>
    <n v="99.23"/>
    <n v="364.64739999999995"/>
    <n v="0.73970568419743477"/>
    <n v="0.76629188867288967"/>
    <n v="2.65862044754549E-2"/>
    <n v="110"/>
    <n v="106"/>
    <n v="0.64875365696974574"/>
    <n v="0.35124634303025426"/>
  </r>
  <r>
    <x v="51"/>
    <x v="11"/>
    <s v="devon-1"/>
    <s v="D/ST"/>
    <n v="10"/>
    <n v="9.09"/>
    <n v="56.100099999999998"/>
    <s v="D/ST"/>
    <x v="5"/>
    <x v="8"/>
    <n v="101.69"/>
    <n v="390.77570000000003"/>
    <s v="lucas-1"/>
    <x v="9"/>
    <n v="0"/>
    <n v="0"/>
    <n v="0.99999986563981569"/>
    <n v="0.99999998978694149"/>
    <n v="1.2414712580177678E-7"/>
    <n v="75"/>
    <n v="0"/>
    <n v="1"/>
    <n v="0"/>
  </r>
  <r>
    <x v="52"/>
    <x v="5"/>
    <s v="cory-7"/>
    <s v="WR-3"/>
    <n v="8"/>
    <n v="5.71"/>
    <n v="13.3225"/>
    <s v="WR"/>
    <x v="0"/>
    <x v="5"/>
    <n v="86.09"/>
    <n v="350.80079999999998"/>
    <s v="seth-7"/>
    <x v="0"/>
    <n v="96.25"/>
    <n v="294.3"/>
    <n v="0.34457149944219723"/>
    <n v="0.3770997943019998"/>
    <n v="3.2528294859802576E-2"/>
    <n v="85"/>
    <n v="81"/>
    <n v="0.68028401602782207"/>
    <n v="0.31971598397217793"/>
  </r>
  <r>
    <x v="53"/>
    <x v="11"/>
    <s v="devon-1"/>
    <s v="QB-1"/>
    <n v="18"/>
    <n v="17.899999999999999"/>
    <n v="63.8401"/>
    <s v="QB"/>
    <x v="4"/>
    <x v="8"/>
    <n v="101.69"/>
    <n v="390.77570000000003"/>
    <s v="lucas-1"/>
    <x v="9"/>
    <n v="0"/>
    <n v="0"/>
    <n v="0.99999986563981569"/>
    <n v="0.9999999909662024"/>
    <n v="1.2532638671292062E-7"/>
    <n v="75"/>
    <n v="0"/>
    <n v="1"/>
    <n v="0"/>
  </r>
  <r>
    <x v="45"/>
    <x v="9"/>
    <s v="devon-4"/>
    <s v="RB-1"/>
    <n v="25"/>
    <n v="18.149999999999999"/>
    <n v="101.60639999999999"/>
    <s v="RB"/>
    <x v="2"/>
    <x v="8"/>
    <n v="99.78"/>
    <n v="369.21209999999996"/>
    <s v="perry-4"/>
    <x v="10"/>
    <n v="111.07000000000001"/>
    <n v="406.62959999999998"/>
    <n v="0.34261794725331807"/>
    <n v="0.43211480591725426"/>
    <n v="8.9496858663936196E-2"/>
    <n v="84"/>
    <n v="72"/>
    <n v="0.69529390550233006"/>
    <n v="0.30470609449766994"/>
  </r>
  <r>
    <x v="54"/>
    <x v="5"/>
    <s v="jason-7"/>
    <s v="WR-2"/>
    <n v="7"/>
    <n v="8.5299999999999994"/>
    <n v="44.089599999999997"/>
    <s v="WR"/>
    <x v="0"/>
    <x v="4"/>
    <n v="91.929999999999993"/>
    <n v="386.72199999999998"/>
    <e v="#N/A"/>
    <x v="6"/>
    <n v="0"/>
    <n v="0"/>
    <n v="0.99999852839643777"/>
    <n v="0.99999947958836388"/>
    <n v="9.5119192611292647E-7"/>
    <n v="75"/>
    <n v="0"/>
    <n v="1"/>
    <n v="0"/>
  </r>
  <r>
    <x v="55"/>
    <x v="9"/>
    <s v="cory-4"/>
    <s v="RB-2"/>
    <n v="24"/>
    <n v="11.43"/>
    <n v="34.81"/>
    <s v="RB"/>
    <x v="2"/>
    <x v="5"/>
    <n v="115.58999999999999"/>
    <n v="432.42160000000007"/>
    <s v="scott-4"/>
    <x v="5"/>
    <n v="113.07"/>
    <n v="452.41279999999995"/>
    <n v="0.53375673014127667"/>
    <n v="0.69762269101055951"/>
    <n v="0.16386596086928285"/>
    <n v="104"/>
    <n v="88"/>
    <n v="0.7194997043750645"/>
    <n v="0.2805002956249355"/>
  </r>
  <r>
    <x v="56"/>
    <x v="3"/>
    <s v="aj-3"/>
    <s v="WR-2"/>
    <n v="14"/>
    <n v="9.83"/>
    <n v="42.25"/>
    <s v="WR"/>
    <x v="0"/>
    <x v="6"/>
    <n v="107.31"/>
    <n v="425.77620000000002"/>
    <s v="seth-3"/>
    <x v="0"/>
    <n v="94.54"/>
    <n v="356.43470000000002"/>
    <n v="0.6760180870914847"/>
    <n v="0.73327336762623752"/>
    <n v="5.7255280534752817E-2"/>
    <n v="96"/>
    <n v="88"/>
    <n v="0.72214676044227599"/>
    <n v="0.27785323955772401"/>
  </r>
  <r>
    <x v="3"/>
    <x v="4"/>
    <s v="devon-8"/>
    <s v="K"/>
    <n v="18"/>
    <n v="5.39"/>
    <n v="16"/>
    <s v="K"/>
    <x v="1"/>
    <x v="8"/>
    <n v="102.43"/>
    <n v="452.86560000000003"/>
    <s v="seth-8"/>
    <x v="0"/>
    <n v="96.57"/>
    <n v="368.03749999999997"/>
    <n v="0.58102934018980379"/>
    <n v="0.74248358173162265"/>
    <n v="0.16145424154181887"/>
    <n v="100"/>
    <n v="85"/>
    <n v="0.72491319650279973"/>
    <n v="0.27508680349720027"/>
  </r>
  <r>
    <x v="57"/>
    <x v="12"/>
    <s v="matty-6"/>
    <s v="D/ST"/>
    <n v="23"/>
    <n v="9.9600000000000009"/>
    <n v="43.824399999999997"/>
    <s v="D/ST"/>
    <x v="5"/>
    <x v="0"/>
    <n v="109.91000000000001"/>
    <n v="387.28550000000001"/>
    <s v="perry-6"/>
    <x v="10"/>
    <n v="88.72"/>
    <n v="407.6961"/>
    <n v="0.77383629678575794"/>
    <n v="0.89415644104384273"/>
    <n v="0.12032014425808479"/>
    <n v="119"/>
    <n v="102"/>
    <n v="0.72514252147218106"/>
    <n v="0.27485747852781894"/>
  </r>
  <r>
    <x v="29"/>
    <x v="9"/>
    <s v="devon-4"/>
    <s v="QB-1"/>
    <n v="26"/>
    <n v="17.84"/>
    <n v="39.0625"/>
    <s v="QB"/>
    <x v="4"/>
    <x v="8"/>
    <n v="99.78"/>
    <n v="369.21209999999996"/>
    <s v="perry-4"/>
    <x v="10"/>
    <n v="111.07000000000001"/>
    <n v="406.62959999999998"/>
    <n v="0.34261794725331807"/>
    <n v="0.45409879212017673"/>
    <n v="0.11148084486685866"/>
    <n v="84"/>
    <n v="72"/>
    <n v="0.73052448210907261"/>
    <n v="0.26947551789092739"/>
  </r>
  <r>
    <x v="1"/>
    <x v="8"/>
    <s v="seth-9"/>
    <s v="WR-2"/>
    <n v="22"/>
    <n v="7.08"/>
    <n v="24.403600000000001"/>
    <s v="WR"/>
    <x v="0"/>
    <x v="1"/>
    <n v="92.559999999999988"/>
    <n v="350.31569999999999"/>
    <s v="comp-9"/>
    <x v="8"/>
    <n v="80.800000000000011"/>
    <n v="290.44450000000001"/>
    <n v="0.67888350653659379"/>
    <n v="0.85873579904384134"/>
    <n v="0.17985229250724755"/>
    <n v="95"/>
    <n v="77"/>
    <n v="0.73351601459690308"/>
    <n v="0.26648398540309692"/>
  </r>
  <r>
    <x v="58"/>
    <x v="8"/>
    <s v="cory-9"/>
    <s v="TE-1"/>
    <n v="10"/>
    <n v="5.36"/>
    <n v="27.5625"/>
    <s v="TE"/>
    <x v="3"/>
    <x v="5"/>
    <n v="90.69"/>
    <n v="356.05790000000002"/>
    <s v="devon-9"/>
    <x v="7"/>
    <n v="104.66"/>
    <n v="474.51049999999998"/>
    <n v="0.31393045538359282"/>
    <n v="0.37098437161547537"/>
    <n v="5.7053916231882551E-2"/>
    <n v="89"/>
    <n v="81"/>
    <n v="0.73891370030713843"/>
    <n v="0.26108629969286157"/>
  </r>
  <r>
    <x v="59"/>
    <x v="6"/>
    <s v="comp-11"/>
    <s v="TE-1"/>
    <n v="13"/>
    <n v="7.92"/>
    <n v="35.2836"/>
    <s v="TE"/>
    <x v="3"/>
    <x v="2"/>
    <n v="98.580000000000013"/>
    <n v="364.4375"/>
    <s v="matty-11"/>
    <x v="3"/>
    <n v="88.670000000000016"/>
    <n v="334.39179999999999"/>
    <n v="0.64612380466415886"/>
    <n v="0.71969103795409528"/>
    <n v="7.3567233289936418E-2"/>
    <n v="111"/>
    <n v="102"/>
    <n v="0.74535147785836475"/>
    <n v="0.25464852214163525"/>
  </r>
  <r>
    <x v="5"/>
    <x v="9"/>
    <s v="chad-4"/>
    <s v="TE-1"/>
    <n v="17"/>
    <n v="8.1"/>
    <n v="21.996099999999998"/>
    <s v="TE"/>
    <x v="3"/>
    <x v="3"/>
    <n v="99.8"/>
    <n v="351.46400000000006"/>
    <s v="seth-4"/>
    <x v="0"/>
    <n v="104.32"/>
    <n v="390.96559999999999"/>
    <n v="0.43412317323121657"/>
    <n v="0.56481315708179824"/>
    <n v="0.13068998385058167"/>
    <n v="123"/>
    <n v="111"/>
    <n v="0.74568768994261103"/>
    <n v="0.25431231005738897"/>
  </r>
  <r>
    <x v="60"/>
    <x v="1"/>
    <s v="seth-12"/>
    <s v="WR/RB"/>
    <n v="4"/>
    <n v="9.81"/>
    <n v="163.84"/>
    <s v="WR/RB"/>
    <x v="2"/>
    <x v="1"/>
    <n v="102.15"/>
    <n v="468.55759999999998"/>
    <s v="chad-12"/>
    <x v="1"/>
    <n v="115.8"/>
    <n v="455.64659999999998"/>
    <n v="0.3267149551815689"/>
    <n v="0.24018135266773605"/>
    <n v="-8.6533602513832852E-2"/>
    <n v="95"/>
    <n v="92"/>
    <n v="0.75436215659702111"/>
    <n v="0.24563784340297889"/>
  </r>
  <r>
    <x v="56"/>
    <x v="4"/>
    <s v="matty-8"/>
    <s v="WR-2"/>
    <n v="7"/>
    <n v="10.39"/>
    <n v="39.312899999999999"/>
    <s v="WR"/>
    <x v="0"/>
    <x v="0"/>
    <n v="88.500000000000014"/>
    <n v="351.30459999999999"/>
    <s v="cory-8"/>
    <x v="4"/>
    <n v="106.3"/>
    <n v="423.11159999999995"/>
    <n v="0.2612046893481158"/>
    <n v="0.2172395389763393"/>
    <n v="-4.3965150371776507E-2"/>
    <n v="107"/>
    <n v="106"/>
    <n v="0.75808614626213422"/>
    <n v="0.24191385373786578"/>
  </r>
  <r>
    <x v="61"/>
    <x v="11"/>
    <s v="devon-1"/>
    <s v="RB-2"/>
    <n v="8"/>
    <n v="7.82"/>
    <n v="29.593599999999999"/>
    <s v="RB"/>
    <x v="2"/>
    <x v="8"/>
    <n v="101.69"/>
    <n v="390.77570000000003"/>
    <s v="lucas-1"/>
    <x v="9"/>
    <n v="0"/>
    <n v="0"/>
    <n v="0.99999986563981569"/>
    <n v="0.99999995844131984"/>
    <n v="9.2801504147921321E-8"/>
    <n v="75"/>
    <n v="0"/>
    <n v="1"/>
    <n v="0"/>
  </r>
  <r>
    <x v="62"/>
    <x v="7"/>
    <s v="devon-5"/>
    <s v="D/ST"/>
    <n v="9"/>
    <n v="8.9499999999999993"/>
    <n v="48.860100000000003"/>
    <s v="D/ST"/>
    <x v="5"/>
    <x v="8"/>
    <n v="93.5"/>
    <n v="346.9006"/>
    <s v="cory-5"/>
    <x v="4"/>
    <n v="109.91"/>
    <n v="349.51409999999998"/>
    <n v="0.26702544199612877"/>
    <n v="0.26014368915548858"/>
    <n v="-6.8817528406401873E-3"/>
    <n v="105"/>
    <n v="100"/>
    <n v="0.76057534292549445"/>
    <n v="0.23942465707450555"/>
  </r>
  <r>
    <x v="63"/>
    <x v="7"/>
    <s v="perry-5"/>
    <s v="K"/>
    <n v="10"/>
    <n v="7.65"/>
    <n v="25.704899999999999"/>
    <s v="K"/>
    <x v="1"/>
    <x v="7"/>
    <n v="97.27"/>
    <n v="430.39269999999999"/>
    <s v="seth-5"/>
    <x v="0"/>
    <n v="98.72999999999999"/>
    <n v="396.28840000000002"/>
    <n v="0.47975082605670671"/>
    <n v="0.51254349875407379"/>
    <n v="3.2792672697367076E-2"/>
    <n v="96"/>
    <n v="90"/>
    <n v="0.76421321346303517"/>
    <n v="0.23578678653696483"/>
  </r>
  <r>
    <x v="35"/>
    <x v="0"/>
    <s v="devon-10"/>
    <s v="WR-2"/>
    <n v="10"/>
    <n v="7.57"/>
    <n v="20.520900000000001"/>
    <s v="WR"/>
    <x v="0"/>
    <x v="8"/>
    <n v="101.66000000000001"/>
    <n v="359.87040000000002"/>
    <s v="lucas-10"/>
    <x v="9"/>
    <n v="0"/>
    <n v="0"/>
    <n v="0.99999995813888032"/>
    <n v="0.99999999200001499"/>
    <n v="3.3861134673962567E-8"/>
    <n v="97"/>
    <n v="0"/>
    <n v="1"/>
    <n v="0"/>
  </r>
  <r>
    <x v="64"/>
    <x v="7"/>
    <s v="perry-5"/>
    <s v="WR-1"/>
    <n v="11"/>
    <n v="11.59"/>
    <n v="69.388900000000007"/>
    <s v="WR"/>
    <x v="0"/>
    <x v="7"/>
    <n v="97.27"/>
    <n v="430.39269999999999"/>
    <s v="seth-5"/>
    <x v="0"/>
    <n v="98.72999999999999"/>
    <n v="396.28840000000002"/>
    <n v="0.47975082605670671"/>
    <n v="0.47030860133287455"/>
    <n v="-9.4422247238321599E-3"/>
    <n v="96"/>
    <n v="90"/>
    <n v="0.78556197866379751"/>
    <n v="0.21443802133620249"/>
  </r>
  <r>
    <x v="65"/>
    <x v="8"/>
    <s v="cory-9"/>
    <s v="D/ST"/>
    <n v="12"/>
    <n v="9.34"/>
    <n v="45.292900000000003"/>
    <s v="D/ST"/>
    <x v="5"/>
    <x v="5"/>
    <n v="90.69"/>
    <n v="356.05790000000002"/>
    <s v="devon-9"/>
    <x v="7"/>
    <n v="104.66"/>
    <n v="474.51049999999998"/>
    <n v="0.31393045538359282"/>
    <n v="0.34325329816181815"/>
    <n v="2.9322842778225333E-2"/>
    <n v="89"/>
    <n v="81"/>
    <n v="0.7862456817657959"/>
    <n v="0.2137543182342041"/>
  </r>
  <r>
    <x v="45"/>
    <x v="4"/>
    <s v="devon-8"/>
    <s v="RB-1"/>
    <n v="25"/>
    <n v="17.41"/>
    <n v="84.272400000000005"/>
    <s v="RB"/>
    <x v="2"/>
    <x v="8"/>
    <n v="102.43"/>
    <n v="452.86560000000003"/>
    <s v="seth-8"/>
    <x v="0"/>
    <n v="96.57"/>
    <n v="368.03749999999997"/>
    <n v="0.58102934018980379"/>
    <n v="0.68989801602655776"/>
    <n v="0.10886867583675397"/>
    <n v="100"/>
    <n v="85"/>
    <n v="0.7902213551367725"/>
    <n v="0.2097786448632275"/>
  </r>
  <r>
    <x v="62"/>
    <x v="4"/>
    <s v="devon-8"/>
    <s v="D/ST"/>
    <n v="18"/>
    <n v="7.76"/>
    <n v="33.872399999999999"/>
    <s v="D/ST"/>
    <x v="5"/>
    <x v="8"/>
    <n v="102.43"/>
    <n v="452.86560000000003"/>
    <s v="seth-8"/>
    <x v="0"/>
    <n v="96.57"/>
    <n v="368.03749999999997"/>
    <n v="0.58102934018980379"/>
    <n v="0.71697949774473757"/>
    <n v="0.13595015755493378"/>
    <n v="100"/>
    <n v="85"/>
    <n v="0.79328412211023158"/>
    <n v="0.20671587788976842"/>
  </r>
  <r>
    <x v="66"/>
    <x v="11"/>
    <s v="comp-1"/>
    <s v="WR-2"/>
    <n v="12"/>
    <n v="11.35"/>
    <n v="42.510399999999997"/>
    <s v="WR"/>
    <x v="0"/>
    <x v="2"/>
    <n v="110.7"/>
    <n v="433.44330000000002"/>
    <s v="seth-1"/>
    <x v="0"/>
    <n v="111.07"/>
    <n v="422.00569999999999"/>
    <n v="0.49495335047896771"/>
    <n v="0.50391770962897686"/>
    <n v="8.9643591500091491E-3"/>
    <n v="77"/>
    <n v="71"/>
    <n v="0.79404929282179504"/>
    <n v="0.20595070717820496"/>
  </r>
  <r>
    <x v="56"/>
    <x v="0"/>
    <s v="devon-10"/>
    <s v="WR-3"/>
    <n v="11"/>
    <n v="10.26"/>
    <n v="40.96"/>
    <s v="WR"/>
    <x v="0"/>
    <x v="8"/>
    <n v="101.66000000000001"/>
    <n v="359.87040000000002"/>
    <s v="lucas-10"/>
    <x v="9"/>
    <n v="0"/>
    <n v="0"/>
    <n v="0.99999995813888032"/>
    <n v="0.99999999509856052"/>
    <n v="3.6959680205228551E-8"/>
    <n v="97"/>
    <n v="0"/>
    <n v="1"/>
    <n v="0"/>
  </r>
  <r>
    <x v="34"/>
    <x v="6"/>
    <s v="aj-11"/>
    <s v="D/ST"/>
    <n v="23"/>
    <n v="8.1"/>
    <n v="37.945599999999999"/>
    <s v="D/ST"/>
    <x v="5"/>
    <x v="6"/>
    <n v="110.11"/>
    <n v="412.79880000000003"/>
    <s v="seth-11"/>
    <x v="0"/>
    <n v="98.329999999999984"/>
    <n v="378.70709999999997"/>
    <n v="0.66228767586387005"/>
    <n v="0.83445276613935837"/>
    <n v="0.17216509027548832"/>
    <n v="131"/>
    <n v="111"/>
    <n v="0.79614268464639981"/>
    <n v="0.20385731535360019"/>
  </r>
  <r>
    <x v="67"/>
    <x v="4"/>
    <s v="matty-8"/>
    <s v="K"/>
    <n v="5"/>
    <n v="7.06"/>
    <n v="12.25"/>
    <s v="K"/>
    <x v="1"/>
    <x v="0"/>
    <n v="88.500000000000014"/>
    <n v="351.30459999999999"/>
    <s v="cory-8"/>
    <x v="4"/>
    <n v="106.3"/>
    <n v="423.11159999999995"/>
    <n v="0.2612046893481158"/>
    <n v="0.23595542732520369"/>
    <n v="-2.5249262022912111E-2"/>
    <n v="107"/>
    <n v="106"/>
    <n v="0.80901866142596401"/>
    <n v="0.19098133857403599"/>
  </r>
  <r>
    <x v="68"/>
    <x v="2"/>
    <s v="matty-13"/>
    <s v="WR-3"/>
    <n v="13"/>
    <n v="7.6"/>
    <n v="16.809999999999999"/>
    <s v="WR"/>
    <x v="0"/>
    <x v="0"/>
    <n v="88.16"/>
    <n v="330.99250000000001"/>
    <s v="aj-13"/>
    <x v="2"/>
    <n v="116.54"/>
    <n v="371.12040000000002"/>
    <n v="0.14207393469061222"/>
    <n v="0.19001891186491318"/>
    <n v="4.7944977174300962E-2"/>
    <n v="117"/>
    <n v="108"/>
    <n v="0.81004137648282237"/>
    <n v="0.18995862351717763"/>
  </r>
  <r>
    <x v="14"/>
    <x v="11"/>
    <s v="devon-1"/>
    <s v="WR/RB"/>
    <n v="8"/>
    <n v="8.91"/>
    <n v="29.9209"/>
    <s v="WR/RB"/>
    <x v="2"/>
    <x v="8"/>
    <n v="101.69"/>
    <n v="390.77570000000003"/>
    <s v="lucas-1"/>
    <x v="9"/>
    <n v="0"/>
    <n v="0"/>
    <n v="0.99999986563981569"/>
    <n v="0.99999994374916201"/>
    <n v="7.8109346324239937E-8"/>
    <n v="75"/>
    <n v="0"/>
    <n v="1"/>
    <n v="0"/>
  </r>
  <r>
    <x v="43"/>
    <x v="4"/>
    <s v="matty-8"/>
    <s v="WR/RB"/>
    <n v="4"/>
    <n v="8.44"/>
    <n v="36.240400000000001"/>
    <s v="WR/RB"/>
    <x v="2"/>
    <x v="0"/>
    <n v="88.500000000000014"/>
    <n v="351.30459999999999"/>
    <s v="cory-8"/>
    <x v="4"/>
    <n v="106.3"/>
    <n v="423.11159999999995"/>
    <n v="0.2612046893481158"/>
    <n v="0.20651640162130394"/>
    <n v="-5.4688287726811863E-2"/>
    <n v="107"/>
    <n v="106"/>
    <n v="0.81691067967654685"/>
    <n v="0.18308932032345315"/>
  </r>
  <r>
    <x v="21"/>
    <x v="2"/>
    <s v="matty-13"/>
    <s v="WR-2"/>
    <n v="11"/>
    <n v="8.6199999999999992"/>
    <n v="52.2729"/>
    <s v="WR"/>
    <x v="0"/>
    <x v="0"/>
    <n v="88.16"/>
    <n v="330.99250000000001"/>
    <s v="aj-13"/>
    <x v="2"/>
    <n v="116.54"/>
    <n v="371.12040000000002"/>
    <n v="0.14207393469061222"/>
    <n v="0.15388096295281195"/>
    <n v="1.1807028262199731E-2"/>
    <n v="117"/>
    <n v="108"/>
    <n v="0.82006932673267141"/>
    <n v="0.17993067326732859"/>
  </r>
  <r>
    <x v="45"/>
    <x v="11"/>
    <s v="devon-1"/>
    <s v="RB-1"/>
    <n v="13"/>
    <n v="16.72"/>
    <n v="70.8964"/>
    <s v="RB"/>
    <x v="2"/>
    <x v="8"/>
    <n v="101.69"/>
    <n v="390.77570000000003"/>
    <s v="lucas-1"/>
    <x v="9"/>
    <n v="0"/>
    <n v="0"/>
    <n v="0.99999986563981569"/>
    <n v="0.9999999784582646"/>
    <n v="1.1281844891630755E-7"/>
    <n v="75"/>
    <n v="0"/>
    <n v="1"/>
    <n v="0"/>
  </r>
  <r>
    <x v="69"/>
    <x v="11"/>
    <s v="cory-1"/>
    <s v="WR-3"/>
    <n v="21"/>
    <n v="9.98"/>
    <n v="56.100099999999998"/>
    <s v="WR"/>
    <x v="0"/>
    <x v="5"/>
    <n v="105.11000000000001"/>
    <n v="445.52289999999994"/>
    <s v="perry-1"/>
    <x v="10"/>
    <n v="94.44"/>
    <n v="399.28809999999999"/>
    <n v="0.64322786671093812"/>
    <n v="0.78003930194984439"/>
    <n v="0.13681143523890626"/>
    <n v="100"/>
    <n v="82"/>
    <n v="0.82430827683999008"/>
    <n v="0.17569172316000992"/>
  </r>
  <r>
    <x v="70"/>
    <x v="11"/>
    <s v="comp-1"/>
    <s v="WR-3"/>
    <n v="11"/>
    <n v="10.94"/>
    <n v="39.438400000000001"/>
    <s v="WR"/>
    <x v="0"/>
    <x v="2"/>
    <n v="110.7"/>
    <n v="433.44330000000002"/>
    <s v="seth-1"/>
    <x v="0"/>
    <n v="111.07"/>
    <n v="422.00569999999999"/>
    <n v="0.49495335047896771"/>
    <n v="0.49567072338789914"/>
    <n v="7.1737290893142402E-4"/>
    <n v="77"/>
    <n v="71"/>
    <n v="0.82788996863187281"/>
    <n v="0.17211003136812719"/>
  </r>
  <r>
    <x v="71"/>
    <x v="10"/>
    <s v="chad-2"/>
    <s v="WR/RB"/>
    <n v="15"/>
    <n v="13.88"/>
    <n v="65.2864"/>
    <s v="WR/RB"/>
    <x v="0"/>
    <x v="3"/>
    <n v="102.72000000000001"/>
    <n v="348.54960000000005"/>
    <s v="aj-2"/>
    <x v="2"/>
    <n v="103.77999999999999"/>
    <n v="338.9511"/>
    <n v="0.48387643490903587"/>
    <n v="0.5009596014673785"/>
    <n v="1.7083166558342633E-2"/>
    <n v="99"/>
    <n v="90"/>
    <n v="0.83528125338515591"/>
    <n v="0.16471874661484409"/>
  </r>
  <r>
    <x v="72"/>
    <x v="8"/>
    <s v="perry-9"/>
    <s v="WR/RB"/>
    <n v="24"/>
    <n v="9.85"/>
    <n v="23.716899999999999"/>
    <s v="WR/RB"/>
    <x v="2"/>
    <x v="7"/>
    <n v="98.35"/>
    <n v="385.97739999999999"/>
    <s v="aj-9"/>
    <x v="2"/>
    <n v="102.03999999999999"/>
    <n v="392.2131"/>
    <n v="0.4473827117902357"/>
    <n v="0.648328309006168"/>
    <n v="0.2009455972159323"/>
    <n v="105"/>
    <n v="86"/>
    <n v="0.84034898597439389"/>
    <n v="0.15965101402560611"/>
  </r>
  <r>
    <x v="73"/>
    <x v="0"/>
    <s v="perry-10"/>
    <s v="QB-1"/>
    <n v="26"/>
    <n v="18.88"/>
    <n v="60.996099999999998"/>
    <s v="QB"/>
    <x v="4"/>
    <x v="7"/>
    <n v="103.49"/>
    <n v="345.28400000000005"/>
    <s v="cory-10"/>
    <x v="4"/>
    <n v="93.17"/>
    <n v="328.34589999999997"/>
    <n v="0.65454511164456886"/>
    <n v="0.75947209987192743"/>
    <n v="0.10492698822735858"/>
    <n v="106"/>
    <n v="91"/>
    <n v="0.84350377877297045"/>
    <n v="0.15649622122702955"/>
  </r>
  <r>
    <x v="33"/>
    <x v="11"/>
    <s v="devon-1"/>
    <s v="WR-2"/>
    <n v="8"/>
    <n v="10.53"/>
    <n v="41.7316"/>
    <s v="WR"/>
    <x v="0"/>
    <x v="8"/>
    <n v="101.69"/>
    <n v="390.77570000000003"/>
    <s v="lucas-1"/>
    <x v="9"/>
    <n v="0"/>
    <n v="0"/>
    <n v="0.99999986563981569"/>
    <n v="0.9999999444541976"/>
    <n v="7.8814381909708686E-8"/>
    <n v="75"/>
    <n v="0"/>
    <n v="1"/>
    <n v="0"/>
  </r>
  <r>
    <x v="74"/>
    <x v="0"/>
    <s v="devon-10"/>
    <s v="TE-1"/>
    <n v="9"/>
    <n v="8.23"/>
    <n v="26.522500000000001"/>
    <s v="TE"/>
    <x v="3"/>
    <x v="8"/>
    <n v="101.66000000000001"/>
    <n v="359.87040000000002"/>
    <s v="lucas-10"/>
    <x v="9"/>
    <n v="0"/>
    <n v="0"/>
    <n v="0.99999995813888032"/>
    <n v="0.99999998989532912"/>
    <n v="3.1756448803932358E-8"/>
    <n v="97"/>
    <n v="0"/>
    <n v="1"/>
    <n v="0"/>
  </r>
  <r>
    <x v="75"/>
    <x v="4"/>
    <s v="chad-8"/>
    <s v="RB-1"/>
    <n v="3"/>
    <n v="7.75"/>
    <n v="56.851599999999998"/>
    <s v="RB"/>
    <x v="2"/>
    <x v="3"/>
    <n v="94.88"/>
    <n v="320.65749999999997"/>
    <s v="scott-8"/>
    <x v="5"/>
    <n v="113.35000000000001"/>
    <n v="416.81729999999993"/>
    <n v="0.24821039531278949"/>
    <n v="0.18672258042908252"/>
    <n v="-6.148781488370697E-2"/>
    <n v="78"/>
    <n v="75"/>
    <n v="0.84799014701805697"/>
    <n v="0.15200985298194303"/>
  </r>
  <r>
    <x v="76"/>
    <x v="0"/>
    <s v="devon-10"/>
    <s v="D/ST"/>
    <n v="11"/>
    <n v="11.88"/>
    <n v="43.0336"/>
    <s v="D/ST"/>
    <x v="5"/>
    <x v="8"/>
    <n v="101.66000000000001"/>
    <n v="359.87040000000002"/>
    <s v="lucas-10"/>
    <x v="9"/>
    <n v="0"/>
    <n v="0"/>
    <n v="0.99999995813888032"/>
    <n v="0.99999999251148253"/>
    <n v="3.4372602208954106E-8"/>
    <n v="97"/>
    <n v="0"/>
    <n v="1"/>
    <n v="0"/>
  </r>
  <r>
    <x v="77"/>
    <x v="12"/>
    <s v="matty-6"/>
    <s v="RB-1"/>
    <n v="24"/>
    <n v="17.28"/>
    <n v="95.0625"/>
    <s v="RB"/>
    <x v="2"/>
    <x v="0"/>
    <n v="109.91000000000001"/>
    <n v="387.28550000000001"/>
    <s v="perry-6"/>
    <x v="10"/>
    <n v="88.72"/>
    <n v="407.6961"/>
    <n v="0.77383629678575794"/>
    <n v="0.85427814639807065"/>
    <n v="8.044184961231271E-2"/>
    <n v="119"/>
    <n v="102"/>
    <n v="0.85414070115937424"/>
    <n v="0.14585929884062576"/>
  </r>
  <r>
    <x v="78"/>
    <x v="10"/>
    <s v="seth-2"/>
    <s v="RB-1"/>
    <n v="13"/>
    <n v="8.85"/>
    <n v="54.464399999999998"/>
    <s v="RB"/>
    <x v="2"/>
    <x v="1"/>
    <n v="91.78"/>
    <n v="333.71719999999993"/>
    <s v="matty-2"/>
    <x v="3"/>
    <n v="101.3"/>
    <n v="329.14109999999999"/>
    <n v="0.35577854462426967"/>
    <n v="0.41382685571476074"/>
    <n v="5.8048311090491078E-2"/>
    <n v="82"/>
    <n v="70"/>
    <n v="0.85626443337284797"/>
    <n v="0.14373556662715203"/>
  </r>
  <r>
    <x v="79"/>
    <x v="3"/>
    <s v="comp-3"/>
    <s v="RB-2"/>
    <n v="5"/>
    <n v="9.69"/>
    <n v="66.585599999999999"/>
    <s v="RB"/>
    <x v="2"/>
    <x v="2"/>
    <n v="105.02"/>
    <n v="401.60159999999996"/>
    <s v="matty-3"/>
    <x v="3"/>
    <n v="116.17999999999999"/>
    <n v="478.31470000000002"/>
    <n v="0.35337614783800875"/>
    <n v="0.28918379291834928"/>
    <n v="-6.4192354919659467E-2"/>
    <n v="85"/>
    <n v="81"/>
    <n v="0.85655094344136484"/>
    <n v="0.14344905655863516"/>
  </r>
  <r>
    <x v="72"/>
    <x v="0"/>
    <s v="perry-10"/>
    <s v="WR/RB"/>
    <n v="19"/>
    <n v="10.41"/>
    <n v="34.692100000000003"/>
    <s v="WR/RB"/>
    <x v="2"/>
    <x v="7"/>
    <n v="103.49"/>
    <n v="345.28400000000005"/>
    <s v="cory-10"/>
    <x v="4"/>
    <n v="93.17"/>
    <n v="328.34589999999997"/>
    <n v="0.65454511164456886"/>
    <n v="0.77280142081296066"/>
    <n v="0.1182563091683918"/>
    <n v="106"/>
    <n v="91"/>
    <n v="0.8617653953898825"/>
    <n v="0.1382346046101175"/>
  </r>
  <r>
    <x v="70"/>
    <x v="3"/>
    <s v="comp-3"/>
    <s v="WR-3"/>
    <n v="7"/>
    <n v="9.8800000000000008"/>
    <n v="39.438400000000001"/>
    <s v="WR"/>
    <x v="0"/>
    <x v="2"/>
    <n v="105.02"/>
    <n v="401.60159999999996"/>
    <s v="matty-3"/>
    <x v="3"/>
    <n v="116.17999999999999"/>
    <n v="478.31470000000002"/>
    <n v="0.35337614783800875"/>
    <n v="0.31409064636454281"/>
    <n v="-3.9285501473465934E-2"/>
    <n v="85"/>
    <n v="81"/>
    <n v="0.86336024105770148"/>
    <n v="0.13663975894229852"/>
  </r>
  <r>
    <x v="25"/>
    <x v="0"/>
    <s v="matty-10"/>
    <s v="D/ST"/>
    <n v="5"/>
    <n v="5.83"/>
    <n v="19.096900000000002"/>
    <s v="D/ST"/>
    <x v="5"/>
    <x v="0"/>
    <n v="80.72"/>
    <n v="274.11410000000001"/>
    <s v="seth-10"/>
    <x v="0"/>
    <n v="104.52999999999999"/>
    <n v="446.11959999999999"/>
    <n v="0.18748498770897654"/>
    <n v="0.17604341116486091"/>
    <n v="-1.1441576544115623E-2"/>
    <n v="84"/>
    <n v="80"/>
    <n v="0.86547721150690915"/>
    <n v="0.13452278849309085"/>
  </r>
  <r>
    <x v="80"/>
    <x v="5"/>
    <s v="jason-7"/>
    <s v="WR-1"/>
    <n v="4"/>
    <n v="7.53"/>
    <n v="25"/>
    <s v="WR"/>
    <x v="0"/>
    <x v="4"/>
    <n v="91.929999999999993"/>
    <n v="386.72199999999998"/>
    <e v="#N/A"/>
    <x v="6"/>
    <n v="0"/>
    <n v="0"/>
    <n v="0.99999852839643777"/>
    <n v="0.99999832404102063"/>
    <n v="-2.0435541714380889E-7"/>
    <n v="75"/>
    <n v="0"/>
    <n v="1"/>
    <n v="0"/>
  </r>
  <r>
    <x v="39"/>
    <x v="8"/>
    <s v="cory-9"/>
    <s v="WR-1"/>
    <n v="11"/>
    <n v="11.32"/>
    <n v="56.400100000000002"/>
    <s v="WR"/>
    <x v="0"/>
    <x v="5"/>
    <n v="90.69"/>
    <n v="356.05790000000002"/>
    <s v="devon-9"/>
    <x v="7"/>
    <n v="104.66"/>
    <n v="474.51049999999998"/>
    <n v="0.31393045538359282"/>
    <n v="0.30377017251314675"/>
    <n v="-1.0160282870446069E-2"/>
    <n v="89"/>
    <n v="81"/>
    <n v="0.86603803611348729"/>
    <n v="0.13396196388651271"/>
  </r>
  <r>
    <x v="43"/>
    <x v="1"/>
    <s v="devon-12"/>
    <s v="RB-1"/>
    <n v="9"/>
    <n v="9.91"/>
    <n v="27.984100000000002"/>
    <s v="RB"/>
    <x v="2"/>
    <x v="8"/>
    <n v="99.070000000000007"/>
    <n v="350.10639999999995"/>
    <s v="matty-12"/>
    <x v="3"/>
    <n v="94.28"/>
    <n v="371.05129999999997"/>
    <n v="0.57078356677741682"/>
    <n v="0.55858022721598966"/>
    <n v="-1.2203339561427162E-2"/>
    <n v="80"/>
    <n v="75"/>
    <n v="0.86804607453851923"/>
    <n v="0.13195392546148077"/>
  </r>
  <r>
    <x v="77"/>
    <x v="9"/>
    <s v="matty-4"/>
    <s v="RB-1"/>
    <n v="30"/>
    <n v="17.82"/>
    <n v="87.6096"/>
    <s v="RB"/>
    <x v="2"/>
    <x v="0"/>
    <n v="109.71999999999998"/>
    <n v="421.03860000000003"/>
    <s v="lucas-4"/>
    <x v="9"/>
    <n v="0"/>
    <n v="0"/>
    <n v="0.99999995533253605"/>
    <n v="0.99999999998770395"/>
    <n v="4.4655167896756609E-8"/>
    <n v="92"/>
    <n v="0"/>
    <n v="1"/>
    <n v="0"/>
  </r>
  <r>
    <x v="48"/>
    <x v="0"/>
    <s v="devon-10"/>
    <s v="WR-1"/>
    <n v="8"/>
    <n v="8.4499999999999993"/>
    <n v="30.691600000000001"/>
    <s v="WR"/>
    <x v="0"/>
    <x v="8"/>
    <n v="101.66000000000001"/>
    <n v="359.87040000000002"/>
    <s v="lucas-10"/>
    <x v="9"/>
    <n v="0"/>
    <n v="0"/>
    <n v="0.99999995813888032"/>
    <n v="0.99999998786102007"/>
    <n v="2.9722139749388532E-8"/>
    <n v="97"/>
    <n v="0"/>
    <n v="1"/>
    <n v="0"/>
  </r>
  <r>
    <x v="81"/>
    <x v="5"/>
    <s v="jason-7"/>
    <s v="WR-3"/>
    <n v="4"/>
    <n v="8.3699999999999992"/>
    <n v="29.593599999999999"/>
    <s v="WR"/>
    <x v="0"/>
    <x v="4"/>
    <n v="91.929999999999993"/>
    <n v="386.72199999999998"/>
    <e v="#N/A"/>
    <x v="6"/>
    <n v="0"/>
    <n v="0"/>
    <n v="0.99999852839643777"/>
    <n v="0.99999820087892566"/>
    <n v="-3.2751751211090863E-7"/>
    <n v="75"/>
    <n v="0"/>
    <n v="1"/>
    <n v="0"/>
  </r>
  <r>
    <x v="11"/>
    <x v="12"/>
    <s v="aj-6"/>
    <s v="WR/RB"/>
    <n v="26"/>
    <n v="17.190000000000001"/>
    <n v="74.649600000000007"/>
    <s v="WR/RB"/>
    <x v="2"/>
    <x v="6"/>
    <n v="108.8"/>
    <n v="404.29040000000003"/>
    <s v="cory-6"/>
    <x v="4"/>
    <n v="102.10000000000001"/>
    <n v="445.16630000000004"/>
    <n v="0.59090810623639012"/>
    <n v="0.71130631175621373"/>
    <n v="0.12039820551982361"/>
    <n v="104"/>
    <n v="85"/>
    <n v="0.88088016390563717"/>
    <n v="0.11911983609436283"/>
  </r>
  <r>
    <x v="34"/>
    <x v="12"/>
    <s v="aj-6"/>
    <s v="D/ST"/>
    <n v="20"/>
    <n v="8.6199999999999992"/>
    <n v="41.7316"/>
    <s v="D/ST"/>
    <x v="5"/>
    <x v="6"/>
    <n v="108.8"/>
    <n v="404.29040000000003"/>
    <s v="cory-6"/>
    <x v="4"/>
    <n v="102.10000000000001"/>
    <n v="445.16630000000004"/>
    <n v="0.59090810623639012"/>
    <n v="0.737664062069046"/>
    <n v="0.14675595583265588"/>
    <n v="104"/>
    <n v="85"/>
    <n v="0.88091367596051073"/>
    <n v="0.11908632403948927"/>
  </r>
  <r>
    <x v="70"/>
    <x v="6"/>
    <s v="comp-11"/>
    <s v="WR-2"/>
    <n v="13"/>
    <n v="11.57"/>
    <n v="40.7044"/>
    <s v="WR"/>
    <x v="0"/>
    <x v="2"/>
    <n v="98.580000000000013"/>
    <n v="364.4375"/>
    <s v="matty-11"/>
    <x v="3"/>
    <n v="88.670000000000016"/>
    <n v="334.39179999999999"/>
    <n v="0.64612380466415886"/>
    <n v="0.67076888371615351"/>
    <n v="2.4645079051994645E-2"/>
    <n v="111"/>
    <n v="102"/>
    <n v="0.88229157023586513"/>
    <n v="0.11770842976413487"/>
  </r>
  <r>
    <x v="82"/>
    <x v="5"/>
    <s v="jason-7"/>
    <s v="TE-1"/>
    <n v="5"/>
    <n v="11.98"/>
    <n v="55.800899999999999"/>
    <s v="TE"/>
    <x v="3"/>
    <x v="4"/>
    <n v="91.929999999999993"/>
    <n v="386.72199999999998"/>
    <e v="#N/A"/>
    <x v="6"/>
    <n v="0"/>
    <n v="0"/>
    <n v="0.99999852839643777"/>
    <n v="0.99999849276107111"/>
    <n v="-3.5635366657515988E-8"/>
    <n v="75"/>
    <n v="0"/>
    <n v="1"/>
    <n v="0"/>
  </r>
  <r>
    <x v="83"/>
    <x v="5"/>
    <s v="jason-7"/>
    <s v="RB-2"/>
    <n v="3"/>
    <n v="10.19"/>
    <n v="57.912100000000002"/>
    <s v="RB"/>
    <x v="2"/>
    <x v="4"/>
    <n v="91.929999999999993"/>
    <n v="386.72199999999998"/>
    <e v="#N/A"/>
    <x v="6"/>
    <n v="0"/>
    <n v="0"/>
    <n v="0.99999852839643777"/>
    <n v="0.99999851741445667"/>
    <n v="-1.0981981102275995E-8"/>
    <n v="75"/>
    <n v="0"/>
    <n v="1"/>
    <n v="0"/>
  </r>
  <r>
    <x v="84"/>
    <x v="8"/>
    <s v="cory-9"/>
    <s v="WR-3"/>
    <n v="7"/>
    <n v="6.3"/>
    <n v="36.360900000000001"/>
    <s v="WR"/>
    <x v="0"/>
    <x v="5"/>
    <n v="90.69"/>
    <n v="356.05790000000002"/>
    <s v="devon-9"/>
    <x v="7"/>
    <n v="104.66"/>
    <n v="474.51049999999998"/>
    <n v="0.31393045538359282"/>
    <n v="0.31886565998863814"/>
    <n v="4.935204605045318E-3"/>
    <n v="89"/>
    <n v="81"/>
    <n v="0.88697823499307227"/>
    <n v="0.11302176500692773"/>
  </r>
  <r>
    <x v="85"/>
    <x v="11"/>
    <s v="comp-1"/>
    <s v="D/ST"/>
    <n v="7"/>
    <n v="8.7200000000000006"/>
    <n v="39.942399999999999"/>
    <s v="D/ST"/>
    <x v="5"/>
    <x v="2"/>
    <n v="110.7"/>
    <n v="433.44330000000002"/>
    <s v="seth-1"/>
    <x v="0"/>
    <n v="111.07"/>
    <n v="422.00569999999999"/>
    <n v="0.49495335047896771"/>
    <n v="0.47082874939953645"/>
    <n v="-2.4124601079431263E-2"/>
    <n v="77"/>
    <n v="71"/>
    <n v="0.88905520948848538"/>
    <n v="0.11094479051151462"/>
  </r>
  <r>
    <x v="3"/>
    <x v="0"/>
    <s v="devon-10"/>
    <s v="K"/>
    <n v="9"/>
    <n v="7.92"/>
    <n v="15.840400000000001"/>
    <s v="K"/>
    <x v="1"/>
    <x v="8"/>
    <n v="101.66000000000001"/>
    <n v="359.87040000000002"/>
    <s v="lucas-10"/>
    <x v="9"/>
    <n v="0"/>
    <n v="0"/>
    <n v="0.99999995813888032"/>
    <n v="0.99999998480093222"/>
    <n v="2.6662051899606354E-8"/>
    <n v="97"/>
    <n v="0"/>
    <n v="1"/>
    <n v="0"/>
  </r>
  <r>
    <x v="86"/>
    <x v="5"/>
    <s v="scott-7"/>
    <s v="D/ST"/>
    <n v="17"/>
    <n v="8.51"/>
    <n v="46.24"/>
    <s v="D/ST"/>
    <x v="5"/>
    <x v="9"/>
    <n v="114.48000000000002"/>
    <n v="430.3667999999999"/>
    <s v="matty-7"/>
    <x v="3"/>
    <n v="87.490000000000009"/>
    <n v="277.88929999999999"/>
    <n v="0.84474748784368747"/>
    <n v="0.9160453143170072"/>
    <n v="7.1297826473319725E-2"/>
    <n v="82"/>
    <n v="65"/>
    <n v="0.89461858110736003"/>
    <n v="0.10538141889263997"/>
  </r>
  <r>
    <x v="87"/>
    <x v="8"/>
    <s v="cory-9"/>
    <s v="RB-2"/>
    <n v="9"/>
    <n v="7.19"/>
    <n v="24.3049"/>
    <s v="RB"/>
    <x v="2"/>
    <x v="5"/>
    <n v="90.69"/>
    <n v="356.05790000000002"/>
    <s v="devon-9"/>
    <x v="7"/>
    <n v="104.66"/>
    <n v="474.51049999999998"/>
    <n v="0.31393045538359282"/>
    <n v="0.33423538285442805"/>
    <n v="2.0304927470835232E-2"/>
    <n v="89"/>
    <n v="81"/>
    <n v="0.89536551099074713"/>
    <n v="0.10463448900925287"/>
  </r>
  <r>
    <x v="88"/>
    <x v="0"/>
    <s v="devon-10"/>
    <s v="QB-1"/>
    <n v="17"/>
    <n v="19.84"/>
    <n v="48.302500000000002"/>
    <s v="QB"/>
    <x v="4"/>
    <x v="8"/>
    <n v="101.66000000000001"/>
    <n v="359.87040000000002"/>
    <s v="lucas-10"/>
    <x v="9"/>
    <n v="0"/>
    <n v="0"/>
    <n v="0.99999995813888032"/>
    <n v="0.99999998918671851"/>
    <n v="3.1047838189302013E-8"/>
    <n v="97"/>
    <n v="0"/>
    <n v="1"/>
    <n v="0"/>
  </r>
  <r>
    <x v="89"/>
    <x v="7"/>
    <s v="aj-5"/>
    <s v="QB-1"/>
    <n v="18"/>
    <n v="21.72"/>
    <n v="36.602499999999999"/>
    <s v="QB"/>
    <x v="4"/>
    <x v="6"/>
    <n v="117.25999999999999"/>
    <n v="422.9941"/>
    <s v="matty-5"/>
    <x v="3"/>
    <n v="99.23"/>
    <n v="364.64739999999995"/>
    <n v="0.73970568419743477"/>
    <n v="0.69922253755004071"/>
    <n v="-4.0483146647394053E-2"/>
    <n v="110"/>
    <n v="106"/>
    <n v="0.89902808326031325"/>
    <n v="0.10097191673968675"/>
  </r>
  <r>
    <x v="90"/>
    <x v="5"/>
    <s v="cory-7"/>
    <s v="QB-1"/>
    <n v="9"/>
    <n v="13.86"/>
    <n v="46.922499999999999"/>
    <s v="QB"/>
    <x v="4"/>
    <x v="5"/>
    <n v="86.09"/>
    <n v="350.80079999999998"/>
    <s v="seth-7"/>
    <x v="0"/>
    <n v="96.25"/>
    <n v="294.3"/>
    <n v="0.34457149944219723"/>
    <n v="0.26956737908938633"/>
    <n v="-7.5004120352810899E-2"/>
    <n v="85"/>
    <n v="81"/>
    <n v="0.90206892361924607"/>
    <n v="9.7931076380753934E-2"/>
  </r>
  <r>
    <x v="91"/>
    <x v="6"/>
    <s v="comp-11"/>
    <s v="RB-2"/>
    <n v="9"/>
    <n v="7.26"/>
    <n v="31.36"/>
    <s v="RB"/>
    <x v="2"/>
    <x v="2"/>
    <n v="98.580000000000013"/>
    <n v="364.4375"/>
    <s v="matty-11"/>
    <x v="3"/>
    <n v="88.670000000000016"/>
    <n v="334.39179999999999"/>
    <n v="0.64612380466415886"/>
    <n v="0.67398042922296753"/>
    <n v="2.7856624558808663E-2"/>
    <n v="111"/>
    <n v="102"/>
    <n v="0.90258606304721667"/>
    <n v="9.7413936952783331E-2"/>
  </r>
  <r>
    <x v="4"/>
    <x v="2"/>
    <s v="matty-13"/>
    <s v="RB-2"/>
    <n v="10"/>
    <n v="9.75"/>
    <n v="44.89"/>
    <s v="RB"/>
    <x v="2"/>
    <x v="0"/>
    <n v="88.16"/>
    <n v="330.99250000000001"/>
    <s v="aj-13"/>
    <x v="2"/>
    <n v="116.54"/>
    <n v="371.12040000000002"/>
    <n v="0.14207393469061222"/>
    <n v="0.13626175515155897"/>
    <n v="-5.8121795390532471E-3"/>
    <n v="117"/>
    <n v="108"/>
    <n v="0.90421864547173303"/>
    <n v="9.5781354528266971E-2"/>
  </r>
  <r>
    <x v="92"/>
    <x v="1"/>
    <s v="seth-12"/>
    <s v="QB-1"/>
    <n v="15"/>
    <n v="21.25"/>
    <n v="49.702500000000001"/>
    <s v="QB"/>
    <x v="4"/>
    <x v="1"/>
    <n v="102.15"/>
    <n v="468.55759999999998"/>
    <s v="chad-12"/>
    <x v="1"/>
    <n v="115.8"/>
    <n v="455.64659999999998"/>
    <n v="0.3267149551815689"/>
    <n v="0.25049450430692743"/>
    <n v="-7.6220450874641466E-2"/>
    <n v="95"/>
    <n v="92"/>
    <n v="0.90524950421650474"/>
    <n v="9.4750495783495259E-2"/>
  </r>
  <r>
    <x v="53"/>
    <x v="2"/>
    <s v="matty-13"/>
    <s v="QB-1"/>
    <n v="15"/>
    <n v="16.79"/>
    <n v="67.568399999999997"/>
    <s v="QB"/>
    <x v="4"/>
    <x v="0"/>
    <n v="88.16"/>
    <n v="330.99250000000001"/>
    <s v="aj-13"/>
    <x v="2"/>
    <n v="116.54"/>
    <n v="371.12040000000002"/>
    <n v="0.14207393469061222"/>
    <n v="0.11551894533792235"/>
    <n v="-2.6554989352689864E-2"/>
    <n v="117"/>
    <n v="108"/>
    <n v="0.90534989206964089"/>
    <n v="9.4650107930359106E-2"/>
  </r>
  <r>
    <x v="45"/>
    <x v="7"/>
    <s v="devon-5"/>
    <s v="RB-1"/>
    <n v="12"/>
    <n v="19.22"/>
    <n v="85.932900000000004"/>
    <s v="RB"/>
    <x v="2"/>
    <x v="8"/>
    <n v="93.5"/>
    <n v="346.9006"/>
    <s v="cory-5"/>
    <x v="4"/>
    <n v="109.91"/>
    <n v="349.51409999999998"/>
    <n v="0.26702544199612877"/>
    <n v="0.16944188011249145"/>
    <n v="-9.7583561883637315E-2"/>
    <n v="105"/>
    <n v="100"/>
    <n v="0.90628680974829046"/>
    <n v="9.3713190251709544E-2"/>
  </r>
  <r>
    <x v="14"/>
    <x v="8"/>
    <s v="seth-9"/>
    <s v="RB-2"/>
    <n v="17"/>
    <n v="8.44"/>
    <n v="51.122500000000002"/>
    <s v="RB"/>
    <x v="2"/>
    <x v="1"/>
    <n v="92.559999999999988"/>
    <n v="350.31569999999999"/>
    <s v="comp-9"/>
    <x v="8"/>
    <n v="80.800000000000011"/>
    <n v="290.44450000000001"/>
    <n v="0.67888350653659379"/>
    <n v="0.79865259813318124"/>
    <n v="0.11976909159658744"/>
    <n v="95"/>
    <n v="77"/>
    <n v="0.90662917806225174"/>
    <n v="9.3370821937748261E-2"/>
  </r>
  <r>
    <x v="82"/>
    <x v="12"/>
    <s v="jason-6"/>
    <s v="TE-1"/>
    <n v="20"/>
    <n v="10.14"/>
    <n v="57.153599999999997"/>
    <s v="TE"/>
    <x v="3"/>
    <x v="4"/>
    <n v="86.090000000000018"/>
    <n v="366.05880000000002"/>
    <e v="#N/A"/>
    <x v="6"/>
    <n v="0"/>
    <n v="0"/>
    <n v="0.99999659648730843"/>
    <n v="0.99999997609145752"/>
    <n v="3.3796041490896656E-6"/>
    <n v="99"/>
    <n v="0"/>
    <n v="1"/>
    <n v="0"/>
  </r>
  <r>
    <x v="93"/>
    <x v="10"/>
    <s v="chad-2"/>
    <s v="WR-3"/>
    <n v="8"/>
    <n v="6.96"/>
    <n v="34.81"/>
    <s v="WR"/>
    <x v="0"/>
    <x v="3"/>
    <n v="102.72000000000001"/>
    <n v="348.54960000000005"/>
    <s v="aj-2"/>
    <x v="2"/>
    <n v="103.77999999999999"/>
    <n v="338.9511"/>
    <n v="0.48387643490903587"/>
    <n v="0.49968768970193039"/>
    <n v="1.5811254792894525E-2"/>
    <n v="99"/>
    <n v="90"/>
    <n v="0.91135601272545785"/>
    <n v="8.8643987274542146E-2"/>
  </r>
  <r>
    <x v="94"/>
    <x v="3"/>
    <s v="comp-3"/>
    <s v="D/ST"/>
    <n v="4"/>
    <n v="8.93"/>
    <n v="43.428100000000001"/>
    <s v="D/ST"/>
    <x v="5"/>
    <x v="2"/>
    <n v="105.02"/>
    <n v="401.60159999999996"/>
    <s v="matty-3"/>
    <x v="3"/>
    <n v="116.17999999999999"/>
    <n v="478.31470000000002"/>
    <n v="0.35337614783800875"/>
    <n v="0.28899541889337488"/>
    <n v="-6.4380728944633869E-2"/>
    <n v="85"/>
    <n v="81"/>
    <n v="0.912304516077725"/>
    <n v="8.7695483922274997E-2"/>
  </r>
  <r>
    <x v="95"/>
    <x v="9"/>
    <s v="cory-4"/>
    <s v="RB-1"/>
    <n v="19"/>
    <n v="12.31"/>
    <n v="47.196899999999999"/>
    <s v="RB"/>
    <x v="2"/>
    <x v="5"/>
    <n v="115.58999999999999"/>
    <n v="432.42160000000007"/>
    <s v="scott-4"/>
    <x v="5"/>
    <n v="113.07"/>
    <n v="452.41279999999995"/>
    <n v="0.53375673014127667"/>
    <n v="0.62484210867526024"/>
    <n v="9.1085378533983574E-2"/>
    <n v="104"/>
    <n v="88"/>
    <n v="0.91231788480102138"/>
    <n v="8.7682115198978616E-2"/>
  </r>
  <r>
    <x v="77"/>
    <x v="5"/>
    <s v="perry-7"/>
    <s v="RB-2"/>
    <n v="18"/>
    <n v="19.48"/>
    <n v="113.4225"/>
    <s v="RB"/>
    <x v="2"/>
    <x v="7"/>
    <n v="103.81000000000002"/>
    <n v="404.20889999999997"/>
    <s v="chad-7"/>
    <x v="1"/>
    <n v="99.759999999999991"/>
    <n v="339.923"/>
    <n v="0.55901290364123501"/>
    <n v="0.54075407730599956"/>
    <n v="-1.8258826335235456E-2"/>
    <n v="115"/>
    <n v="102"/>
    <n v="0.91302559572277675"/>
    <n v="8.697440427722325E-2"/>
  </r>
  <r>
    <x v="96"/>
    <x v="3"/>
    <s v="aj-3"/>
    <s v="WR/RB"/>
    <n v="11"/>
    <n v="10.66"/>
    <n v="31.136399999999998"/>
    <s v="WR/RB"/>
    <x v="2"/>
    <x v="6"/>
    <n v="107.31"/>
    <n v="425.77620000000002"/>
    <s v="seth-3"/>
    <x v="0"/>
    <n v="94.54"/>
    <n v="356.43470000000002"/>
    <n v="0.6760180870914847"/>
    <n v="0.68380548002810848"/>
    <n v="7.7873929366237826E-3"/>
    <n v="96"/>
    <n v="88"/>
    <n v="0.9150864928928778"/>
    <n v="8.4913507107122199E-2"/>
  </r>
  <r>
    <x v="97"/>
    <x v="4"/>
    <s v="chad-8"/>
    <s v="WR-1"/>
    <n v="5"/>
    <n v="9.57"/>
    <n v="29.811599999999999"/>
    <s v="WR"/>
    <x v="0"/>
    <x v="3"/>
    <n v="94.88"/>
    <n v="320.65749999999997"/>
    <s v="scott-8"/>
    <x v="5"/>
    <n v="113.35000000000001"/>
    <n v="416.81729999999993"/>
    <n v="0.24821039531278949"/>
    <n v="0.19321704465585227"/>
    <n v="-5.4993350656937223E-2"/>
    <n v="78"/>
    <n v="75"/>
    <n v="0.91719475601115397"/>
    <n v="8.2805243988846033E-2"/>
  </r>
  <r>
    <x v="98"/>
    <x v="1"/>
    <s v="seth-12"/>
    <s v="WR-3"/>
    <n v="6"/>
    <n v="13.39"/>
    <n v="55.800899999999999"/>
    <s v="WR"/>
    <x v="0"/>
    <x v="1"/>
    <n v="102.15"/>
    <n v="468.55759999999998"/>
    <s v="chad-12"/>
    <x v="1"/>
    <n v="115.8"/>
    <n v="455.64659999999998"/>
    <n v="0.3267149551815689"/>
    <n v="0.23762030378996216"/>
    <n v="-8.9094651391606744E-2"/>
    <n v="95"/>
    <n v="92"/>
    <n v="0.91787165668602633"/>
    <n v="8.2128343313973673E-2"/>
  </r>
  <r>
    <x v="16"/>
    <x v="0"/>
    <s v="devon-10"/>
    <s v="RB-1"/>
    <n v="5"/>
    <n v="8.51"/>
    <n v="45.697600000000001"/>
    <s v="RB"/>
    <x v="2"/>
    <x v="8"/>
    <n v="101.66000000000001"/>
    <n v="359.87040000000002"/>
    <s v="lucas-10"/>
    <x v="9"/>
    <n v="0"/>
    <n v="0"/>
    <n v="0.99999995813888032"/>
    <n v="0.99999998465038631"/>
    <n v="2.651150599053409E-8"/>
    <n v="97"/>
    <n v="0"/>
    <n v="1"/>
    <n v="0"/>
  </r>
  <r>
    <x v="87"/>
    <x v="5"/>
    <s v="cory-7"/>
    <s v="RB-2"/>
    <n v="2"/>
    <n v="8.19"/>
    <n v="51.552399999999999"/>
    <s v="RB"/>
    <x v="2"/>
    <x v="5"/>
    <n v="86.09"/>
    <n v="350.80079999999998"/>
    <s v="seth-7"/>
    <x v="0"/>
    <n v="96.25"/>
    <n v="294.3"/>
    <n v="0.34457149944219723"/>
    <n v="0.25107720821858726"/>
    <n v="-9.3494291223609971E-2"/>
    <n v="85"/>
    <n v="81"/>
    <n v="0.9220825646802685"/>
    <n v="7.7917435319731498E-2"/>
  </r>
  <r>
    <x v="50"/>
    <x v="1"/>
    <s v="seth-12"/>
    <s v="TE-1"/>
    <n v="2"/>
    <n v="4.41"/>
    <n v="14.5161"/>
    <s v="TE"/>
    <x v="3"/>
    <x v="1"/>
    <n v="102.15"/>
    <n v="468.55759999999998"/>
    <s v="chad-12"/>
    <x v="1"/>
    <n v="115.8"/>
    <n v="455.64659999999998"/>
    <n v="0.3267149551815689"/>
    <n v="0.29719849986376523"/>
    <n v="-2.9516455317803669E-2"/>
    <n v="95"/>
    <n v="92"/>
    <n v="0.92218851802697965"/>
    <n v="7.7811481973020347E-2"/>
  </r>
  <r>
    <x v="99"/>
    <x v="2"/>
    <s v="chad-13"/>
    <s v="K"/>
    <n v="16"/>
    <n v="7.8"/>
    <n v="16.564900000000002"/>
    <s v="K"/>
    <x v="1"/>
    <x v="3"/>
    <n v="113.35"/>
    <n v="486.24799999999993"/>
    <s v="comp-13"/>
    <x v="8"/>
    <n v="104.63999999999999"/>
    <n v="400.33339999999998"/>
    <n v="0.6150563098213474"/>
    <n v="0.71677827845668718"/>
    <n v="0.10172196863533978"/>
    <n v="95"/>
    <n v="81"/>
    <n v="0.92293027697574759"/>
    <n v="7.7069723024252412E-2"/>
  </r>
  <r>
    <x v="100"/>
    <x v="5"/>
    <s v="perry-7"/>
    <s v="D/ST"/>
    <n v="12"/>
    <n v="7.78"/>
    <n v="37.4544"/>
    <s v="D/ST"/>
    <x v="5"/>
    <x v="7"/>
    <n v="103.81000000000002"/>
    <n v="404.20889999999997"/>
    <s v="chad-7"/>
    <x v="1"/>
    <n v="99.759999999999991"/>
    <n v="339.923"/>
    <n v="0.55901290364123501"/>
    <n v="0.62213630169074907"/>
    <n v="6.3123398049514057E-2"/>
    <n v="115"/>
    <n v="102"/>
    <n v="0.92430521955527611"/>
    <n v="7.5694780444723886E-2"/>
  </r>
  <r>
    <x v="40"/>
    <x v="10"/>
    <s v="chad-2"/>
    <s v="D/ST"/>
    <n v="9"/>
    <n v="9.92"/>
    <n v="45.292900000000003"/>
    <s v="D/ST"/>
    <x v="5"/>
    <x v="3"/>
    <n v="102.72000000000001"/>
    <n v="348.54960000000005"/>
    <s v="aj-2"/>
    <x v="2"/>
    <n v="103.77999999999999"/>
    <n v="338.9511"/>
    <n v="0.48387643490903587"/>
    <n v="0.46886163646664586"/>
    <n v="-1.5014798442390009E-2"/>
    <n v="99"/>
    <n v="90"/>
    <n v="0.92975880434744151"/>
    <n v="7.0241195652558486E-2"/>
  </r>
  <r>
    <x v="101"/>
    <x v="6"/>
    <s v="comp-11"/>
    <s v="QB-1"/>
    <n v="16"/>
    <n v="16.64"/>
    <n v="42.640900000000002"/>
    <s v="QB"/>
    <x v="4"/>
    <x v="2"/>
    <n v="98.580000000000013"/>
    <n v="364.4375"/>
    <s v="matty-11"/>
    <x v="3"/>
    <n v="88.670000000000016"/>
    <n v="334.39179999999999"/>
    <n v="0.64612380466415886"/>
    <n v="0.64127942032802299"/>
    <n v="-4.8443843361358763E-3"/>
    <n v="111"/>
    <n v="102"/>
    <n v="0.93006340223370043"/>
    <n v="6.9936597766299569E-2"/>
  </r>
  <r>
    <x v="96"/>
    <x v="0"/>
    <s v="matty-10"/>
    <s v="WR/RB"/>
    <n v="5"/>
    <n v="9.31"/>
    <n v="31.136399999999998"/>
    <s v="WR/RB"/>
    <x v="2"/>
    <x v="0"/>
    <n v="80.72"/>
    <n v="274.11410000000001"/>
    <s v="seth-10"/>
    <x v="0"/>
    <n v="104.52999999999999"/>
    <n v="446.11959999999999"/>
    <n v="0.18748498770897654"/>
    <n v="0.14203727307693079"/>
    <n v="-4.5447714632045749E-2"/>
    <n v="84"/>
    <n v="80"/>
    <n v="0.93178887180058245"/>
    <n v="6.8211128199417548E-2"/>
  </r>
  <r>
    <x v="95"/>
    <x v="11"/>
    <s v="cory-1"/>
    <s v="RB-1"/>
    <n v="18"/>
    <n v="7.58"/>
    <n v="25.704899999999999"/>
    <s v="RB"/>
    <x v="2"/>
    <x v="5"/>
    <n v="105.11000000000001"/>
    <n v="445.52289999999994"/>
    <s v="perry-1"/>
    <x v="10"/>
    <n v="94.44"/>
    <n v="399.28809999999999"/>
    <n v="0.64322786671093812"/>
    <n v="0.7694073567037073"/>
    <n v="0.12617948999276918"/>
    <n v="100"/>
    <n v="82"/>
    <n v="0.93255178671833228"/>
    <n v="6.7448213281667724E-2"/>
  </r>
  <r>
    <x v="102"/>
    <x v="10"/>
    <s v="seth-2"/>
    <s v="TE-1"/>
    <n v="12"/>
    <n v="7.43"/>
    <n v="24.502500000000001"/>
    <s v="TE"/>
    <x v="3"/>
    <x v="1"/>
    <n v="91.78"/>
    <n v="333.71719999999993"/>
    <s v="matty-2"/>
    <x v="3"/>
    <n v="101.3"/>
    <n v="329.14109999999999"/>
    <n v="0.35577854462426967"/>
    <n v="0.42233727022475515"/>
    <n v="6.655872560048548E-2"/>
    <n v="82"/>
    <n v="70"/>
    <n v="0.93332352550266939"/>
    <n v="6.6676474497330607E-2"/>
  </r>
  <r>
    <x v="57"/>
    <x v="10"/>
    <s v="seth-2"/>
    <s v="D/ST"/>
    <n v="10"/>
    <n v="6.38"/>
    <n v="30.802499999999998"/>
    <s v="D/ST"/>
    <x v="5"/>
    <x v="1"/>
    <n v="91.78"/>
    <n v="333.71719999999993"/>
    <s v="matty-2"/>
    <x v="3"/>
    <n v="101.3"/>
    <n v="329.14109999999999"/>
    <n v="0.35577854462426967"/>
    <n v="0.4072289289385817"/>
    <n v="5.1450384314312037E-2"/>
    <n v="82"/>
    <n v="70"/>
    <n v="0.93446679316975623"/>
    <n v="6.5533206830243773E-2"/>
  </r>
  <r>
    <x v="103"/>
    <x v="8"/>
    <s v="seth-9"/>
    <s v="QB-1"/>
    <n v="26"/>
    <n v="19.059999999999999"/>
    <n v="52.852899999999998"/>
    <s v="QB"/>
    <x v="4"/>
    <x v="1"/>
    <n v="92.559999999999988"/>
    <n v="350.31569999999999"/>
    <s v="comp-9"/>
    <x v="8"/>
    <n v="80.800000000000011"/>
    <n v="290.44450000000001"/>
    <n v="0.67888350653659379"/>
    <n v="0.77971641062984254"/>
    <n v="0.10083290409324874"/>
    <n v="95"/>
    <n v="77"/>
    <n v="0.93591028525916264"/>
    <n v="6.4089714740837356E-2"/>
  </r>
  <r>
    <x v="104"/>
    <x v="7"/>
    <s v="aj-5"/>
    <s v="RB-1"/>
    <n v="5"/>
    <n v="15.77"/>
    <n v="94.09"/>
    <s v="RB"/>
    <x v="2"/>
    <x v="6"/>
    <n v="117.25999999999999"/>
    <n v="422.9941"/>
    <s v="matty-5"/>
    <x v="3"/>
    <n v="99.23"/>
    <n v="364.64739999999995"/>
    <n v="0.73970568419743477"/>
    <n v="0.60860112122099708"/>
    <n v="-0.13110456297643769"/>
    <n v="110"/>
    <n v="106"/>
    <n v="0.93608065958982689"/>
    <n v="6.3919340410173109E-2"/>
  </r>
  <r>
    <x v="2"/>
    <x v="4"/>
    <s v="matty-8"/>
    <s v="WR-1"/>
    <n v="1"/>
    <n v="8.98"/>
    <n v="34.692100000000003"/>
    <s v="WR"/>
    <x v="0"/>
    <x v="0"/>
    <n v="88.500000000000014"/>
    <n v="351.30459999999999"/>
    <s v="cory-8"/>
    <x v="4"/>
    <n v="106.3"/>
    <n v="423.11159999999995"/>
    <n v="0.2612046893481158"/>
    <n v="0.1715982358032368"/>
    <n v="-8.9606453544879006E-2"/>
    <n v="107"/>
    <n v="106"/>
    <n v="0.93632279702039367"/>
    <n v="6.3677202979606329E-2"/>
  </r>
  <r>
    <x v="29"/>
    <x v="1"/>
    <s v="devon-12"/>
    <s v="QB-1"/>
    <n v="12"/>
    <n v="19.62"/>
    <n v="67.568399999999997"/>
    <s v="QB"/>
    <x v="4"/>
    <x v="8"/>
    <n v="99.070000000000007"/>
    <n v="350.10639999999995"/>
    <s v="matty-12"/>
    <x v="3"/>
    <n v="94.28"/>
    <n v="371.05129999999997"/>
    <n v="0.57078356677741682"/>
    <n v="0.45592850276525287"/>
    <n v="-0.11485506401216394"/>
    <n v="80"/>
    <n v="75"/>
    <n v="0.93764244375808214"/>
    <n v="6.2357556241917855E-2"/>
  </r>
  <r>
    <x v="105"/>
    <x v="7"/>
    <s v="perry-5"/>
    <s v="WR-2"/>
    <n v="8"/>
    <n v="10.24"/>
    <n v="28.408899999999999"/>
    <s v="WR"/>
    <x v="0"/>
    <x v="7"/>
    <n v="97.27"/>
    <n v="430.39269999999999"/>
    <s v="seth-5"/>
    <x v="0"/>
    <n v="98.72999999999999"/>
    <n v="396.28840000000002"/>
    <n v="0.47975082605670671"/>
    <n v="0.4479049594096472"/>
    <n v="-3.1845866647059518E-2"/>
    <n v="96"/>
    <n v="90"/>
    <n v="0.93894363797312608"/>
    <n v="6.1056362026873923E-2"/>
  </r>
  <r>
    <x v="101"/>
    <x v="11"/>
    <s v="comp-1"/>
    <s v="QB-1"/>
    <n v="17"/>
    <n v="21.48"/>
    <n v="44.089599999999997"/>
    <s v="QB"/>
    <x v="4"/>
    <x v="2"/>
    <n v="110.7"/>
    <n v="433.44330000000002"/>
    <s v="seth-1"/>
    <x v="0"/>
    <n v="111.07"/>
    <n v="422.00569999999999"/>
    <n v="0.49495335047896771"/>
    <n v="0.43239936926020273"/>
    <n v="-6.2553981218764987E-2"/>
    <n v="77"/>
    <n v="71"/>
    <n v="0.94275316863258318"/>
    <n v="5.7246831367416817E-2"/>
  </r>
  <r>
    <x v="28"/>
    <x v="0"/>
    <s v="matty-10"/>
    <s v="RB-2"/>
    <n v="1"/>
    <n v="6.55"/>
    <n v="36.120100000000001"/>
    <s v="RB"/>
    <x v="2"/>
    <x v="0"/>
    <n v="80.72"/>
    <n v="274.11410000000001"/>
    <s v="seth-10"/>
    <x v="0"/>
    <n v="104.52999999999999"/>
    <n v="446.11959999999999"/>
    <n v="0.18748498770897654"/>
    <n v="0.13082188421592728"/>
    <n v="-5.6663103493049261E-2"/>
    <n v="84"/>
    <n v="80"/>
    <n v="0.94397186970258085"/>
    <n v="5.6028130297419154E-2"/>
  </r>
  <r>
    <x v="106"/>
    <x v="5"/>
    <s v="jason-7"/>
    <s v="QB-1"/>
    <n v="7"/>
    <n v="17.739999999999998"/>
    <n v="63.520899999999997"/>
    <s v="QB"/>
    <x v="4"/>
    <x v="4"/>
    <n v="91.929999999999993"/>
    <n v="386.72199999999998"/>
    <e v="#N/A"/>
    <x v="6"/>
    <n v="0"/>
    <n v="0"/>
    <n v="0.99999852839643777"/>
    <n v="0.99999685095182411"/>
    <n v="-1.677444613656931E-6"/>
    <n v="75"/>
    <n v="0"/>
    <n v="1"/>
    <n v="0"/>
  </r>
  <r>
    <x v="9"/>
    <x v="12"/>
    <s v="comp-6"/>
    <s v="WR-1"/>
    <n v="21"/>
    <n v="11.24"/>
    <n v="33.177599999999998"/>
    <s v="WR"/>
    <x v="0"/>
    <x v="2"/>
    <n v="104.66"/>
    <n v="375.94899999999996"/>
    <s v="devon-6"/>
    <x v="7"/>
    <n v="101.41999999999999"/>
    <n v="401.13359999999994"/>
    <n v="0.54626414609906893"/>
    <n v="0.68318845751601809"/>
    <n v="0.13692431141694916"/>
    <n v="91"/>
    <n v="72"/>
    <n v="0.94566133996495005"/>
    <n v="5.4338660035049946E-2"/>
  </r>
  <r>
    <x v="16"/>
    <x v="1"/>
    <s v="devon-12"/>
    <s v="WR/RB"/>
    <n v="3"/>
    <n v="9.24"/>
    <n v="48.5809"/>
    <s v="WR/RB"/>
    <x v="2"/>
    <x v="8"/>
    <n v="99.070000000000007"/>
    <n v="350.10639999999995"/>
    <s v="matty-12"/>
    <x v="3"/>
    <n v="94.28"/>
    <n v="371.05129999999997"/>
    <n v="0.57078356677741682"/>
    <n v="0.47770636410742517"/>
    <n v="-9.3077202669991643E-2"/>
    <n v="80"/>
    <n v="75"/>
    <n v="0.94658705663958842"/>
    <n v="5.341294336041158E-2"/>
  </r>
  <r>
    <x v="21"/>
    <x v="0"/>
    <s v="matty-10"/>
    <s v="WR-3"/>
    <n v="2"/>
    <n v="9.59"/>
    <n v="51.552399999999999"/>
    <s v="WR"/>
    <x v="0"/>
    <x v="0"/>
    <n v="80.72"/>
    <n v="274.11410000000001"/>
    <s v="seth-10"/>
    <x v="0"/>
    <n v="104.52999999999999"/>
    <n v="446.11959999999999"/>
    <n v="0.18748498770897654"/>
    <n v="0.11231976063021468"/>
    <n v="-7.5165227078761859E-2"/>
    <n v="84"/>
    <n v="80"/>
    <n v="0.94675863839387198"/>
    <n v="5.3241361606128024E-2"/>
  </r>
  <r>
    <x v="107"/>
    <x v="0"/>
    <s v="perry-10"/>
    <s v="WR-2"/>
    <n v="14"/>
    <n v="8.68"/>
    <n v="35.640900000000002"/>
    <s v="WR"/>
    <x v="0"/>
    <x v="7"/>
    <n v="103.49"/>
    <n v="345.28400000000005"/>
    <s v="cory-10"/>
    <x v="4"/>
    <n v="93.17"/>
    <n v="328.34589999999997"/>
    <n v="0.65454511164456886"/>
    <n v="0.73210732106134968"/>
    <n v="7.7562209416780825E-2"/>
    <n v="106"/>
    <n v="91"/>
    <n v="0.94753840341665418"/>
    <n v="5.2461596583345815E-2"/>
  </r>
  <r>
    <x v="31"/>
    <x v="2"/>
    <s v="chad-13"/>
    <s v="RB-1"/>
    <n v="15"/>
    <n v="14.98"/>
    <n v="74.132099999999994"/>
    <s v="RB"/>
    <x v="2"/>
    <x v="3"/>
    <n v="113.35"/>
    <n v="486.24799999999993"/>
    <s v="comp-13"/>
    <x v="8"/>
    <n v="104.63999999999999"/>
    <n v="400.33339999999998"/>
    <n v="0.6150563098213474"/>
    <n v="0.62030358820595133"/>
    <n v="5.2472783846039261E-3"/>
    <n v="95"/>
    <n v="81"/>
    <n v="0.94777936768151438"/>
    <n v="5.2220632318485616E-2"/>
  </r>
  <r>
    <x v="108"/>
    <x v="6"/>
    <s v="aj-11"/>
    <s v="RB-1"/>
    <n v="24"/>
    <n v="15.66"/>
    <n v="50.8369"/>
    <s v="RB"/>
    <x v="2"/>
    <x v="6"/>
    <n v="110.11"/>
    <n v="412.79880000000003"/>
    <s v="seth-11"/>
    <x v="0"/>
    <n v="98.329999999999984"/>
    <n v="378.70709999999997"/>
    <n v="0.66228767586387005"/>
    <n v="0.77013508790455032"/>
    <n v="0.10784741204068027"/>
    <n v="131"/>
    <n v="111"/>
    <n v="0.94901148271193336"/>
    <n v="5.0988517288066637E-2"/>
  </r>
  <r>
    <x v="109"/>
    <x v="0"/>
    <s v="matty-10"/>
    <s v="QB-1"/>
    <n v="9"/>
    <n v="14.87"/>
    <n v="36.360900000000001"/>
    <s v="QB"/>
    <x v="4"/>
    <x v="0"/>
    <n v="80.72"/>
    <n v="274.11410000000001"/>
    <s v="seth-10"/>
    <x v="0"/>
    <n v="104.52999999999999"/>
    <n v="446.11959999999999"/>
    <n v="0.18748498770897654"/>
    <n v="0.12819840689962905"/>
    <n v="-5.9286580809347483E-2"/>
    <n v="84"/>
    <n v="80"/>
    <n v="0.94916553090187994"/>
    <n v="5.0834469098120061E-2"/>
  </r>
  <r>
    <x v="110"/>
    <x v="2"/>
    <s v="cory-13"/>
    <s v="RB-2"/>
    <n v="18"/>
    <n v="8.9700000000000006"/>
    <n v="44.355600000000003"/>
    <s v="RB"/>
    <x v="2"/>
    <x v="5"/>
    <n v="106.87"/>
    <n v="444.05589999999995"/>
    <s v="scott-13"/>
    <x v="5"/>
    <n v="108.61"/>
    <n v="407.25390000000004"/>
    <n v="0.47622294087495948"/>
    <n v="0.60126680343024486"/>
    <n v="0.12504386255528538"/>
    <n v="86"/>
    <n v="66"/>
    <n v="0.95023609784674823"/>
    <n v="4.9763902153251771E-2"/>
  </r>
  <r>
    <x v="26"/>
    <x v="5"/>
    <s v="cory-7"/>
    <s v="WR/RB"/>
    <n v="3"/>
    <n v="9.0399999999999991"/>
    <n v="36.4816"/>
    <s v="WR/RB"/>
    <x v="0"/>
    <x v="5"/>
    <n v="86.09"/>
    <n v="350.80079999999998"/>
    <s v="seth-7"/>
    <x v="0"/>
    <n v="96.25"/>
    <n v="294.3"/>
    <n v="0.34457149944219723"/>
    <n v="0.25569898840136496"/>
    <n v="-8.8872511040832269E-2"/>
    <n v="85"/>
    <n v="81"/>
    <n v="0.95176883665841094"/>
    <n v="4.8231163341589056E-2"/>
  </r>
  <r>
    <x v="111"/>
    <x v="7"/>
    <s v="jason-5"/>
    <s v="QB-1"/>
    <n v="29"/>
    <n v="19.38"/>
    <n v="73.616399999999999"/>
    <s v="QB"/>
    <x v="4"/>
    <x v="4"/>
    <n v="89.689999999999984"/>
    <n v="445.42419999999998"/>
    <e v="#N/A"/>
    <x v="6"/>
    <n v="0"/>
    <n v="0"/>
    <n v="0.99998929661032787"/>
    <n v="0.99999986997485713"/>
    <n v="1.0573364529253837E-5"/>
    <n v="93"/>
    <n v="0"/>
    <n v="1"/>
    <n v="0"/>
  </r>
  <r>
    <x v="112"/>
    <x v="1"/>
    <s v="seth-12"/>
    <s v="RB-1"/>
    <n v="3"/>
    <n v="13.17"/>
    <n v="61.1524"/>
    <s v="RB"/>
    <x v="2"/>
    <x v="1"/>
    <n v="102.15"/>
    <n v="468.55759999999998"/>
    <s v="chad-12"/>
    <x v="1"/>
    <n v="115.8"/>
    <n v="455.64659999999998"/>
    <n v="0.3267149551815689"/>
    <n v="0.20873512779077719"/>
    <n v="-0.11797982739079171"/>
    <n v="95"/>
    <n v="92"/>
    <n v="0.95392300354618609"/>
    <n v="4.6076996453813912E-2"/>
  </r>
  <r>
    <x v="113"/>
    <x v="11"/>
    <s v="devon-1"/>
    <s v="WR-3"/>
    <n v="1"/>
    <n v="6.81"/>
    <n v="33.524099999999997"/>
    <s v="WR"/>
    <x v="0"/>
    <x v="8"/>
    <n v="101.69"/>
    <n v="390.77570000000003"/>
    <s v="lucas-1"/>
    <x v="9"/>
    <n v="0"/>
    <n v="0"/>
    <n v="0.99999986563981569"/>
    <n v="0.99999980391585042"/>
    <n v="-6.1723965272264536E-8"/>
    <n v="75"/>
    <n v="0"/>
    <n v="1"/>
    <n v="0"/>
  </r>
  <r>
    <x v="64"/>
    <x v="5"/>
    <s v="perry-7"/>
    <s v="WR-1"/>
    <n v="12"/>
    <n v="10.18"/>
    <n v="42.25"/>
    <s v="WR"/>
    <x v="0"/>
    <x v="7"/>
    <n v="103.81000000000002"/>
    <n v="404.20889999999997"/>
    <s v="chad-7"/>
    <x v="1"/>
    <n v="99.759999999999991"/>
    <n v="339.923"/>
    <n v="0.55901290364123501"/>
    <n v="0.58767471197413834"/>
    <n v="2.8661808332903327E-2"/>
    <n v="115"/>
    <n v="102"/>
    <n v="0.95728377920867114"/>
    <n v="4.2716220791328863E-2"/>
  </r>
  <r>
    <x v="100"/>
    <x v="7"/>
    <s v="perry-5"/>
    <s v="D/ST"/>
    <n v="4"/>
    <n v="7.88"/>
    <n v="32.832900000000002"/>
    <s v="D/ST"/>
    <x v="5"/>
    <x v="7"/>
    <n v="97.27"/>
    <n v="430.39269999999999"/>
    <s v="seth-5"/>
    <x v="0"/>
    <n v="98.72999999999999"/>
    <n v="396.28840000000002"/>
    <n v="0.47975082605670671"/>
    <n v="0.42483965215617625"/>
    <n v="-5.4911173900530463E-2"/>
    <n v="96"/>
    <n v="90"/>
    <n v="0.95766938725778117"/>
    <n v="4.2330612742218832E-2"/>
  </r>
  <r>
    <x v="56"/>
    <x v="1"/>
    <s v="devon-12"/>
    <s v="WR-3"/>
    <n v="5"/>
    <n v="11.06"/>
    <n v="41.088099999999997"/>
    <s v="WR"/>
    <x v="0"/>
    <x v="8"/>
    <n v="99.070000000000007"/>
    <n v="350.10639999999995"/>
    <s v="matty-12"/>
    <x v="3"/>
    <n v="94.28"/>
    <n v="371.05129999999997"/>
    <n v="0.57078356677741682"/>
    <n v="0.48057927377995668"/>
    <n v="-9.0204292997460134E-2"/>
    <n v="80"/>
    <n v="75"/>
    <n v="0.95777490713641256"/>
    <n v="4.2225092863587443E-2"/>
  </r>
  <r>
    <x v="114"/>
    <x v="4"/>
    <s v="chad-8"/>
    <s v="QB-1"/>
    <n v="11"/>
    <n v="20.68"/>
    <n v="53.728900000000003"/>
    <s v="QB"/>
    <x v="4"/>
    <x v="3"/>
    <n v="94.88"/>
    <n v="320.65749999999997"/>
    <s v="scott-8"/>
    <x v="5"/>
    <n v="113.35000000000001"/>
    <n v="416.81729999999993"/>
    <n v="0.24821039531278949"/>
    <n v="0.14084243414129713"/>
    <n v="-0.10736796117149236"/>
    <n v="78"/>
    <n v="75"/>
    <n v="0.95817389268646702"/>
    <n v="4.1826107313532979E-2"/>
  </r>
  <r>
    <x v="35"/>
    <x v="1"/>
    <s v="devon-12"/>
    <s v="WR-2"/>
    <n v="7"/>
    <n v="9.0299999999999994"/>
    <n v="16.483599999999999"/>
    <s v="WR"/>
    <x v="0"/>
    <x v="8"/>
    <n v="99.070000000000007"/>
    <n v="350.10639999999995"/>
    <s v="matty-12"/>
    <x v="3"/>
    <n v="94.28"/>
    <n v="371.05129999999997"/>
    <n v="0.57078356677741682"/>
    <n v="0.54140407584487715"/>
    <n v="-2.9379490932539665E-2"/>
    <n v="80"/>
    <n v="75"/>
    <n v="0.95832110156819084"/>
    <n v="4.1678898431809164E-2"/>
  </r>
  <r>
    <x v="115"/>
    <x v="1"/>
    <s v="seth-12"/>
    <s v="WR-1"/>
    <n v="1"/>
    <n v="5.08"/>
    <n v="16.160399999999999"/>
    <s v="WR"/>
    <x v="0"/>
    <x v="1"/>
    <n v="102.15"/>
    <n v="468.55759999999998"/>
    <s v="chad-12"/>
    <x v="1"/>
    <n v="115.8"/>
    <n v="455.64659999999998"/>
    <n v="0.3267149551815689"/>
    <n v="0.27813979552112278"/>
    <n v="-4.8575159660446121E-2"/>
    <n v="95"/>
    <n v="92"/>
    <n v="0.96089721590668631"/>
    <n v="3.9102784093313692E-2"/>
  </r>
  <r>
    <x v="55"/>
    <x v="8"/>
    <s v="cory-9"/>
    <s v="RB-1"/>
    <n v="8"/>
    <n v="10.08"/>
    <n v="32.718400000000003"/>
    <s v="RB"/>
    <x v="2"/>
    <x v="5"/>
    <n v="90.69"/>
    <n v="356.05790000000002"/>
    <s v="devon-9"/>
    <x v="7"/>
    <n v="104.66"/>
    <n v="474.51049999999998"/>
    <n v="0.31393045538359282"/>
    <n v="0.28494373071402423"/>
    <n v="-2.8986724669568587E-2"/>
    <n v="89"/>
    <n v="81"/>
    <n v="0.96098543280313697"/>
    <n v="3.9014567196863026E-2"/>
  </r>
  <r>
    <x v="3"/>
    <x v="11"/>
    <s v="comp-1"/>
    <s v="K"/>
    <n v="7"/>
    <n v="6.99"/>
    <n v="11.492100000000001"/>
    <s v="K"/>
    <x v="1"/>
    <x v="2"/>
    <n v="110.7"/>
    <n v="433.44330000000002"/>
    <s v="seth-1"/>
    <x v="0"/>
    <n v="111.07"/>
    <n v="422.00569999999999"/>
    <n v="0.49495335047896771"/>
    <n v="0.4950564228365153"/>
    <n v="1.0307235754758448E-4"/>
    <n v="77"/>
    <n v="71"/>
    <n v="0.96138267461492988"/>
    <n v="3.8617325385070123E-2"/>
  </r>
  <r>
    <x v="21"/>
    <x v="11"/>
    <s v="devon-1"/>
    <s v="WR-1"/>
    <n v="3"/>
    <n v="9.11"/>
    <n v="32.718400000000003"/>
    <s v="WR"/>
    <x v="0"/>
    <x v="8"/>
    <n v="101.69"/>
    <n v="390.77570000000003"/>
    <s v="lucas-1"/>
    <x v="9"/>
    <n v="0"/>
    <n v="0"/>
    <n v="0.99999986563981569"/>
    <n v="0.9999997804275973"/>
    <n v="-8.5212218392527461E-8"/>
    <n v="75"/>
    <n v="0"/>
    <n v="1"/>
    <n v="0"/>
  </r>
  <r>
    <x v="42"/>
    <x v="8"/>
    <s v="perry-9"/>
    <s v="QB-1"/>
    <n v="23"/>
    <n v="18.78"/>
    <n v="69.388900000000007"/>
    <s v="QB"/>
    <x v="4"/>
    <x v="7"/>
    <n v="98.35"/>
    <n v="385.97739999999999"/>
    <s v="aj-9"/>
    <x v="2"/>
    <n v="102.03999999999999"/>
    <n v="392.2131"/>
    <n v="0.4473827117902357"/>
    <n v="0.50794136040576443"/>
    <n v="6.0558648615528732E-2"/>
    <n v="105"/>
    <n v="86"/>
    <n v="0.96199403348886026"/>
    <n v="3.8005966511139744E-2"/>
  </r>
  <r>
    <x v="116"/>
    <x v="11"/>
    <s v="devon-1"/>
    <s v="TE-1"/>
    <n v="3"/>
    <n v="7.16"/>
    <n v="20.3401"/>
    <s v="TE"/>
    <x v="3"/>
    <x v="8"/>
    <n v="101.69"/>
    <n v="390.77570000000003"/>
    <s v="lucas-1"/>
    <x v="9"/>
    <n v="0"/>
    <n v="0"/>
    <n v="0.99999986563981569"/>
    <n v="0.99999979831583385"/>
    <n v="-6.7323981833844471E-8"/>
    <n v="75"/>
    <n v="0"/>
    <n v="1"/>
    <n v="0"/>
  </r>
  <r>
    <x v="117"/>
    <x v="11"/>
    <s v="comp-1"/>
    <s v="RB-2"/>
    <n v="1"/>
    <n v="7.61"/>
    <n v="48.302500000000002"/>
    <s v="RB"/>
    <x v="2"/>
    <x v="2"/>
    <n v="110.7"/>
    <n v="433.44330000000002"/>
    <s v="seth-1"/>
    <x v="0"/>
    <n v="111.07"/>
    <n v="422.00569999999999"/>
    <n v="0.49495335047896771"/>
    <n v="0.40296291164976467"/>
    <n v="-9.1990438829203047E-2"/>
    <n v="77"/>
    <n v="71"/>
    <n v="0.96519103167645748"/>
    <n v="3.4808968323542522E-2"/>
  </r>
  <r>
    <x v="118"/>
    <x v="3"/>
    <s v="comp-3"/>
    <s v="WR/RB"/>
    <n v="3"/>
    <n v="7.47"/>
    <n v="21.622499999999999"/>
    <s v="WR/RB"/>
    <x v="0"/>
    <x v="2"/>
    <n v="105.02"/>
    <n v="401.60159999999996"/>
    <s v="matty-3"/>
    <x v="3"/>
    <n v="116.17999999999999"/>
    <n v="478.31470000000002"/>
    <n v="0.35337614783800875"/>
    <n v="0.29684096427964501"/>
    <n v="-5.6535183558363733E-2"/>
    <n v="85"/>
    <n v="81"/>
    <n v="0.96573496491425193"/>
    <n v="3.4265035085748075E-2"/>
  </r>
  <r>
    <x v="119"/>
    <x v="9"/>
    <s v="cory-4"/>
    <s v="QB-1"/>
    <n v="23"/>
    <n v="23.11"/>
    <n v="78.145600000000002"/>
    <s v="QB"/>
    <x v="4"/>
    <x v="5"/>
    <n v="115.58999999999999"/>
    <n v="432.42160000000007"/>
    <s v="scott-4"/>
    <x v="5"/>
    <n v="113.07"/>
    <n v="452.41279999999995"/>
    <n v="0.53375673014127667"/>
    <n v="0.53381062483551944"/>
    <n v="5.3894694242773156E-5"/>
    <n v="104"/>
    <n v="88"/>
    <n v="0.96580270548896696"/>
    <n v="3.4197294511033038E-2"/>
  </r>
  <r>
    <x v="120"/>
    <x v="2"/>
    <s v="matty-13"/>
    <s v="K"/>
    <n v="11"/>
    <n v="7.5"/>
    <n v="8.8803999999999998"/>
    <s v="K"/>
    <x v="1"/>
    <x v="0"/>
    <n v="88.16"/>
    <n v="330.99250000000001"/>
    <s v="aj-13"/>
    <x v="2"/>
    <n v="116.54"/>
    <n v="371.12040000000002"/>
    <n v="0.14207393469061222"/>
    <n v="0.17234104119547547"/>
    <n v="3.026710650486325E-2"/>
    <n v="117"/>
    <n v="108"/>
    <n v="0.96752757723448801"/>
    <n v="3.2472422765511988E-2"/>
  </r>
  <r>
    <x v="69"/>
    <x v="4"/>
    <s v="chad-8"/>
    <s v="WR/RB"/>
    <n v="2"/>
    <n v="10.54"/>
    <n v="38.316099999999999"/>
    <s v="WR/RB"/>
    <x v="0"/>
    <x v="3"/>
    <n v="94.88"/>
    <n v="320.65749999999997"/>
    <s v="scott-8"/>
    <x v="5"/>
    <n v="113.35000000000001"/>
    <n v="416.81729999999993"/>
    <n v="0.24821039531278949"/>
    <n v="0.15350973450271019"/>
    <n v="-9.4700660810079301E-2"/>
    <n v="78"/>
    <n v="75"/>
    <n v="0.96886001385525933"/>
    <n v="3.1139986144740672E-2"/>
  </r>
  <r>
    <x v="117"/>
    <x v="6"/>
    <s v="comp-11"/>
    <s v="RB-1"/>
    <n v="4"/>
    <n v="9.4700000000000006"/>
    <n v="60.217599999999997"/>
    <s v="RB"/>
    <x v="2"/>
    <x v="2"/>
    <n v="98.580000000000013"/>
    <n v="364.4375"/>
    <s v="matty-11"/>
    <x v="3"/>
    <n v="88.670000000000016"/>
    <n v="334.39179999999999"/>
    <n v="0.64612380466415886"/>
    <n v="0.56973403382155152"/>
    <n v="-7.6389770842607341E-2"/>
    <n v="111"/>
    <n v="102"/>
    <n v="0.96888761596881645"/>
    <n v="3.1112384031183549E-2"/>
  </r>
  <r>
    <x v="121"/>
    <x v="8"/>
    <s v="cory-9"/>
    <s v="K"/>
    <n v="7"/>
    <n v="6.75"/>
    <n v="16.728100000000001"/>
    <s v="K"/>
    <x v="1"/>
    <x v="5"/>
    <n v="90.69"/>
    <n v="356.05790000000002"/>
    <s v="devon-9"/>
    <x v="7"/>
    <n v="104.66"/>
    <n v="474.51049999999998"/>
    <n v="0.31393045538359282"/>
    <n v="0.31528208351333376"/>
    <n v="1.3516281297409338E-3"/>
    <n v="89"/>
    <n v="81"/>
    <n v="0.97094489027438591"/>
    <n v="2.9055109725614092E-2"/>
  </r>
  <r>
    <x v="15"/>
    <x v="7"/>
    <s v="aj-5"/>
    <s v="WR-2"/>
    <n v="5"/>
    <n v="9.84"/>
    <n v="21.622499999999999"/>
    <s v="WR"/>
    <x v="0"/>
    <x v="6"/>
    <n v="117.25999999999999"/>
    <n v="422.9941"/>
    <s v="matty-5"/>
    <x v="3"/>
    <n v="99.23"/>
    <n v="364.64739999999995"/>
    <n v="0.73970568419743477"/>
    <n v="0.68316517013908939"/>
    <n v="-5.654051405834537E-2"/>
    <n v="110"/>
    <n v="106"/>
    <n v="0.97135392278707833"/>
    <n v="2.8646077212921672E-2"/>
  </r>
  <r>
    <x v="57"/>
    <x v="2"/>
    <s v="matty-13"/>
    <s v="D/ST"/>
    <n v="4"/>
    <n v="7.24"/>
    <n v="41.344900000000003"/>
    <s v="D/ST"/>
    <x v="5"/>
    <x v="0"/>
    <n v="88.16"/>
    <n v="330.99250000000001"/>
    <s v="aj-13"/>
    <x v="2"/>
    <n v="116.54"/>
    <n v="371.12040000000002"/>
    <n v="0.14207393469061222"/>
    <n v="0.10933144956469405"/>
    <n v="-3.2742485125918167E-2"/>
    <n v="117"/>
    <n v="108"/>
    <n v="0.97151735057215516"/>
    <n v="2.8482649427844842E-2"/>
  </r>
  <r>
    <x v="20"/>
    <x v="2"/>
    <s v="cory-13"/>
    <s v="QB-1"/>
    <n v="24"/>
    <n v="19.170000000000002"/>
    <n v="63.361600000000003"/>
    <s v="QB"/>
    <x v="4"/>
    <x v="5"/>
    <n v="106.87"/>
    <n v="444.05589999999995"/>
    <s v="scott-13"/>
    <x v="5"/>
    <n v="108.61"/>
    <n v="407.25390000000004"/>
    <n v="0.47622294087495948"/>
    <n v="0.54382715836868489"/>
    <n v="6.7604217493725416E-2"/>
    <n v="86"/>
    <n v="66"/>
    <n v="0.97166055084137137"/>
    <n v="2.8339449158628627E-2"/>
  </r>
  <r>
    <x v="122"/>
    <x v="3"/>
    <s v="scott-3"/>
    <s v="WR/RB"/>
    <n v="24"/>
    <n v="15.05"/>
    <n v="120.5604"/>
    <s v="WR/RB"/>
    <x v="2"/>
    <x v="9"/>
    <n v="110.35"/>
    <n v="442.53309999999999"/>
    <s v="perry-3"/>
    <x v="10"/>
    <n v="101.86999999999999"/>
    <n v="350.57169999999996"/>
    <n v="0.61833611537492805"/>
    <n v="0.74924146501723099"/>
    <n v="0.13090534964230294"/>
    <n v="132"/>
    <n v="102"/>
    <n v="0.97238878538918083"/>
    <n v="2.7611214610819168E-2"/>
  </r>
  <r>
    <x v="74"/>
    <x v="1"/>
    <s v="devon-12"/>
    <s v="TE-1"/>
    <n v="1"/>
    <n v="8.42"/>
    <n v="41.473599999999998"/>
    <s v="TE"/>
    <x v="3"/>
    <x v="8"/>
    <n v="99.070000000000007"/>
    <n v="350.10639999999995"/>
    <s v="matty-12"/>
    <x v="3"/>
    <n v="94.28"/>
    <n v="371.05129999999997"/>
    <n v="0.57078356677741682"/>
    <n v="0.45982312545460613"/>
    <n v="-0.11096044132281069"/>
    <n v="80"/>
    <n v="75"/>
    <n v="0.97310795556880081"/>
    <n v="2.6892044431199191E-2"/>
  </r>
  <r>
    <x v="91"/>
    <x v="7"/>
    <s v="aj-5"/>
    <s v="WR/RB"/>
    <n v="3"/>
    <n v="11.04"/>
    <n v="38.44"/>
    <s v="WR/RB"/>
    <x v="2"/>
    <x v="6"/>
    <n v="117.25999999999999"/>
    <n v="422.9941"/>
    <s v="matty-5"/>
    <x v="3"/>
    <n v="99.23"/>
    <n v="364.64739999999995"/>
    <n v="0.73970568419743477"/>
    <n v="0.64243592326054721"/>
    <n v="-9.726976093688755E-2"/>
    <n v="110"/>
    <n v="106"/>
    <n v="0.97392754446355467"/>
    <n v="2.6072455536445327E-2"/>
  </r>
  <r>
    <x v="29"/>
    <x v="2"/>
    <s v="devon-13"/>
    <s v="QB-1"/>
    <n v="37"/>
    <n v="17.059999999999999"/>
    <n v="51.696100000000001"/>
    <s v="QB"/>
    <x v="4"/>
    <x v="8"/>
    <n v="97.46"/>
    <n v="368.81949999999995"/>
    <s v="perry-13"/>
    <x v="10"/>
    <n v="108.77"/>
    <n v="411.30060000000003"/>
    <n v="0.3427638257896819"/>
    <n v="0.62542333930373506"/>
    <n v="0.28265951351405316"/>
    <n v="133"/>
    <n v="99"/>
    <n v="0.97473758931523635"/>
    <n v="2.5262410684763648E-2"/>
  </r>
  <r>
    <x v="123"/>
    <x v="7"/>
    <s v="perry-5"/>
    <s v="TE-1"/>
    <n v="2"/>
    <n v="5.77"/>
    <n v="24.900099999999998"/>
    <s v="TE"/>
    <x v="3"/>
    <x v="7"/>
    <n v="97.27"/>
    <n v="430.39269999999999"/>
    <s v="seth-5"/>
    <x v="0"/>
    <n v="98.72999999999999"/>
    <n v="396.28840000000002"/>
    <n v="0.47975082605670671"/>
    <n v="0.42673101998727658"/>
    <n v="-5.3019806069430131E-2"/>
    <n v="96"/>
    <n v="90"/>
    <n v="0.97488005505915654"/>
    <n v="2.5119944940843464E-2"/>
  </r>
  <r>
    <x v="59"/>
    <x v="11"/>
    <s v="comp-1"/>
    <s v="TE-1"/>
    <n v="0"/>
    <n v="7.09"/>
    <n v="44.222499999999997"/>
    <s v="TE"/>
    <x v="3"/>
    <x v="2"/>
    <n v="110.7"/>
    <n v="433.44330000000002"/>
    <s v="seth-1"/>
    <x v="0"/>
    <n v="111.07"/>
    <n v="422.00569999999999"/>
    <n v="0.49495335047896771"/>
    <n v="0.39669176902865561"/>
    <n v="-9.8261581450312108E-2"/>
    <n v="77"/>
    <n v="71"/>
    <n v="0.97549019422503647"/>
    <n v="2.4509805774963533E-2"/>
  </r>
  <r>
    <x v="124"/>
    <x v="4"/>
    <s v="chad-8"/>
    <s v="WR-2"/>
    <n v="2"/>
    <n v="7.27"/>
    <n v="17.64"/>
    <s v="WR"/>
    <x v="0"/>
    <x v="3"/>
    <n v="94.88"/>
    <n v="320.65749999999997"/>
    <s v="scott-8"/>
    <x v="5"/>
    <n v="113.35000000000001"/>
    <n v="416.81729999999993"/>
    <n v="0.24821039531278949"/>
    <n v="0.18812171439597122"/>
    <n v="-6.0088680916818266E-2"/>
    <n v="78"/>
    <n v="75"/>
    <n v="0.97552618846235784"/>
    <n v="2.4473811537642165E-2"/>
  </r>
  <r>
    <x v="105"/>
    <x v="5"/>
    <s v="perry-7"/>
    <s v="WR-2"/>
    <n v="12"/>
    <n v="10.4"/>
    <n v="32.718400000000003"/>
    <s v="WR"/>
    <x v="0"/>
    <x v="7"/>
    <n v="103.81000000000002"/>
    <n v="404.20889999999997"/>
    <s v="chad-7"/>
    <x v="1"/>
    <n v="99.759999999999991"/>
    <n v="339.923"/>
    <n v="0.55901290364123501"/>
    <n v="0.58388015528907777"/>
    <n v="2.4867251647842759E-2"/>
    <n v="115"/>
    <n v="102"/>
    <n v="0.97686965932881464"/>
    <n v="2.3130340671185357E-2"/>
  </r>
  <r>
    <x v="18"/>
    <x v="0"/>
    <s v="matty-10"/>
    <s v="TE-1"/>
    <n v="1"/>
    <n v="5.35"/>
    <n v="17.4724"/>
    <s v="TE"/>
    <x v="3"/>
    <x v="0"/>
    <n v="80.72"/>
    <n v="274.11410000000001"/>
    <s v="seth-10"/>
    <x v="0"/>
    <n v="104.52999999999999"/>
    <n v="446.11959999999999"/>
    <n v="0.18748498770897654"/>
    <n v="0.14405999765006738"/>
    <n v="-4.3424990058909152E-2"/>
    <n v="84"/>
    <n v="80"/>
    <n v="0.97712039368323245"/>
    <n v="2.2879606316767553E-2"/>
  </r>
  <r>
    <x v="125"/>
    <x v="3"/>
    <s v="comp-3"/>
    <s v="TE-1"/>
    <n v="0"/>
    <n v="6.05"/>
    <n v="25"/>
    <s v="TE"/>
    <x v="3"/>
    <x v="2"/>
    <n v="105.02"/>
    <n v="401.60159999999996"/>
    <s v="matty-3"/>
    <x v="3"/>
    <n v="116.17999999999999"/>
    <n v="478.31470000000002"/>
    <n v="0.35337614783800875"/>
    <n v="0.27806535630007262"/>
    <n v="-7.5310791537936128E-2"/>
    <n v="85"/>
    <n v="81"/>
    <n v="0.97778440557056856"/>
    <n v="2.221559442943144E-2"/>
  </r>
  <r>
    <x v="126"/>
    <x v="9"/>
    <s v="chad-4"/>
    <s v="QB-1"/>
    <n v="14"/>
    <n v="16.78"/>
    <n v="53.5824"/>
    <s v="QB"/>
    <x v="4"/>
    <x v="3"/>
    <n v="99.8"/>
    <n v="351.46400000000006"/>
    <s v="seth-4"/>
    <x v="0"/>
    <n v="104.32"/>
    <n v="390.96559999999999"/>
    <n v="0.43412317323121657"/>
    <n v="0.390452946740388"/>
    <n v="-4.3670226490828579E-2"/>
    <n v="123"/>
    <n v="111"/>
    <n v="0.97826292096835676"/>
    <n v="2.1737079031643236E-2"/>
  </r>
  <r>
    <x v="113"/>
    <x v="7"/>
    <s v="devon-5"/>
    <s v="WR/RB"/>
    <n v="3"/>
    <n v="5.95"/>
    <n v="15.444900000000001"/>
    <s v="WR/RB"/>
    <x v="0"/>
    <x v="8"/>
    <n v="93.5"/>
    <n v="346.9006"/>
    <s v="cory-5"/>
    <x v="4"/>
    <n v="109.91"/>
    <n v="349.51409999999998"/>
    <n v="0.26702544199612877"/>
    <n v="0.22907600418343033"/>
    <n v="-3.7949437812698439E-2"/>
    <n v="105"/>
    <n v="100"/>
    <n v="0.97845831007847017"/>
    <n v="2.1541689921529827E-2"/>
  </r>
  <r>
    <x v="19"/>
    <x v="6"/>
    <s v="comp-11"/>
    <s v="WR/RB"/>
    <n v="4"/>
    <n v="8.18"/>
    <n v="42.120100000000001"/>
    <s v="WR/RB"/>
    <x v="2"/>
    <x v="2"/>
    <n v="98.580000000000013"/>
    <n v="364.4375"/>
    <s v="matty-11"/>
    <x v="3"/>
    <n v="88.670000000000016"/>
    <n v="334.39179999999999"/>
    <n v="0.64612380466415886"/>
    <n v="0.58846497145196097"/>
    <n v="-5.7658833212197891E-2"/>
    <n v="111"/>
    <n v="102"/>
    <n v="0.97886320084975231"/>
    <n v="2.1136799150247687E-2"/>
  </r>
  <r>
    <x v="70"/>
    <x v="4"/>
    <s v="comp-8"/>
    <s v="WR-2"/>
    <n v="28"/>
    <n v="11.88"/>
    <n v="84.456100000000006"/>
    <s v="WR"/>
    <x v="0"/>
    <x v="2"/>
    <n v="100.87"/>
    <n v="421.5641"/>
    <s v="perry-8"/>
    <x v="10"/>
    <n v="115.82"/>
    <n v="434.36700000000002"/>
    <n v="0.30467516207413586"/>
    <n v="0.516799895462696"/>
    <n v="0.21212473338856014"/>
    <n v="115"/>
    <n v="80"/>
    <n v="0.98003184019903611"/>
    <n v="1.9968159800963892E-2"/>
  </r>
  <r>
    <x v="105"/>
    <x v="4"/>
    <s v="chad-8"/>
    <s v="WR-3"/>
    <n v="2"/>
    <n v="10.08"/>
    <n v="28.729600000000001"/>
    <s v="WR"/>
    <x v="0"/>
    <x v="3"/>
    <n v="94.88"/>
    <n v="320.65749999999997"/>
    <s v="scott-8"/>
    <x v="5"/>
    <n v="113.35000000000001"/>
    <n v="416.81729999999993"/>
    <n v="0.24821039531278949"/>
    <n v="0.15931299978016969"/>
    <n v="-8.88973955326198E-2"/>
    <n v="78"/>
    <n v="75"/>
    <n v="0.98064065685904567"/>
    <n v="1.9359343140954333E-2"/>
  </r>
  <r>
    <x v="75"/>
    <x v="2"/>
    <s v="chad-13"/>
    <s v="WR/RB"/>
    <n v="9"/>
    <n v="9.86"/>
    <n v="51.122500000000002"/>
    <s v="WR/RB"/>
    <x v="2"/>
    <x v="3"/>
    <n v="113.35"/>
    <n v="486.24799999999993"/>
    <s v="comp-13"/>
    <x v="8"/>
    <n v="104.63999999999999"/>
    <n v="400.33339999999998"/>
    <n v="0.6150563098213474"/>
    <n v="0.60702975314480745"/>
    <n v="-8.0265566765399532E-3"/>
    <n v="95"/>
    <n v="81"/>
    <n v="0.9811601294593213"/>
    <n v="1.8839870540678705E-2"/>
  </r>
  <r>
    <x v="127"/>
    <x v="3"/>
    <s v="aj-3"/>
    <s v="RB-2"/>
    <n v="2"/>
    <n v="10"/>
    <n v="58.828899999999997"/>
    <s v="RB"/>
    <x v="2"/>
    <x v="6"/>
    <n v="107.31"/>
    <n v="425.77620000000002"/>
    <s v="seth-3"/>
    <x v="0"/>
    <n v="94.54"/>
    <n v="356.43470000000002"/>
    <n v="0.6760180870914847"/>
    <n v="0.57038379576136322"/>
    <n v="-0.10563429133012148"/>
    <n v="96"/>
    <n v="88"/>
    <n v="0.98151293225909697"/>
    <n v="1.8487067740903029E-2"/>
  </r>
  <r>
    <x v="128"/>
    <x v="3"/>
    <s v="scott-3"/>
    <s v="QB-1"/>
    <n v="35"/>
    <n v="19.41"/>
    <n v="47.472099999999998"/>
    <s v="QB"/>
    <x v="4"/>
    <x v="9"/>
    <n v="110.35"/>
    <n v="442.53309999999999"/>
    <s v="perry-3"/>
    <x v="10"/>
    <n v="101.86999999999999"/>
    <n v="350.57169999999996"/>
    <n v="0.61833611537492805"/>
    <n v="0.81097159660346341"/>
    <n v="0.19263548122853535"/>
    <n v="132"/>
    <n v="102"/>
    <n v="0.98175553978538765"/>
    <n v="1.8244460214612346E-2"/>
  </r>
  <r>
    <x v="63"/>
    <x v="5"/>
    <s v="perry-7"/>
    <s v="K"/>
    <n v="10"/>
    <n v="6.16"/>
    <n v="19.096900000000002"/>
    <s v="K"/>
    <x v="1"/>
    <x v="7"/>
    <n v="103.81000000000002"/>
    <n v="404.20889999999997"/>
    <s v="chad-7"/>
    <x v="1"/>
    <n v="99.759999999999991"/>
    <n v="339.923"/>
    <n v="0.55901290364123501"/>
    <n v="0.61524663302237836"/>
    <n v="5.6233729381143349E-2"/>
    <n v="115"/>
    <n v="102"/>
    <n v="0.98196377583059202"/>
    <n v="1.8036224169407977E-2"/>
  </r>
  <r>
    <x v="129"/>
    <x v="7"/>
    <s v="perry-5"/>
    <s v="WR-3"/>
    <n v="2"/>
    <n v="8.52"/>
    <n v="35.521599999999999"/>
    <s v="WR"/>
    <x v="0"/>
    <x v="7"/>
    <n v="97.27"/>
    <n v="430.39269999999999"/>
    <s v="seth-5"/>
    <x v="0"/>
    <n v="98.72999999999999"/>
    <n v="396.28840000000002"/>
    <n v="0.47975082605670671"/>
    <n v="0.38831726058482424"/>
    <n v="-9.1433565471882472E-2"/>
    <n v="96"/>
    <n v="90"/>
    <n v="0.98216507783455709"/>
    <n v="1.7834922165442912E-2"/>
  </r>
  <r>
    <x v="101"/>
    <x v="3"/>
    <s v="comp-3"/>
    <s v="QB-1"/>
    <n v="13"/>
    <n v="20.18"/>
    <n v="28.302399999999999"/>
    <s v="QB"/>
    <x v="4"/>
    <x v="2"/>
    <n v="105.02"/>
    <n v="401.60159999999996"/>
    <s v="matty-3"/>
    <x v="3"/>
    <n v="116.17999999999999"/>
    <n v="478.31470000000002"/>
    <n v="0.35337614783800875"/>
    <n v="0.26485116973600831"/>
    <n v="-8.852497810200044E-2"/>
    <n v="85"/>
    <n v="81"/>
    <n v="0.98220161583523624"/>
    <n v="1.7798384164763759E-2"/>
  </r>
  <r>
    <x v="130"/>
    <x v="10"/>
    <s v="chad-2"/>
    <s v="RB-2"/>
    <n v="6"/>
    <n v="10.29"/>
    <n v="39.816099999999999"/>
    <s v="RB"/>
    <x v="2"/>
    <x v="3"/>
    <n v="102.72000000000001"/>
    <n v="348.54960000000005"/>
    <s v="aj-2"/>
    <x v="2"/>
    <n v="103.77999999999999"/>
    <n v="338.9511"/>
    <n v="0.48387643490903587"/>
    <n v="0.41674836971302087"/>
    <n v="-6.7128065196014997E-2"/>
    <n v="99"/>
    <n v="90"/>
    <n v="0.98240566901933446"/>
    <n v="1.759433098066554E-2"/>
  </r>
  <r>
    <x v="16"/>
    <x v="4"/>
    <s v="devon-8"/>
    <s v="RB-2"/>
    <n v="7"/>
    <n v="10.45"/>
    <n v="74.995599999999996"/>
    <s v="RB"/>
    <x v="2"/>
    <x v="8"/>
    <n v="102.43"/>
    <n v="452.86560000000003"/>
    <s v="seth-8"/>
    <x v="0"/>
    <n v="96.57"/>
    <n v="368.03749999999997"/>
    <n v="0.58102934018980379"/>
    <n v="0.53515776827757655"/>
    <n v="-4.5871571912227238E-2"/>
    <n v="100"/>
    <n v="85"/>
    <n v="0.98343420307412477"/>
    <n v="1.6565796925875231E-2"/>
  </r>
  <r>
    <x v="131"/>
    <x v="7"/>
    <s v="jason-5"/>
    <s v="D/ST"/>
    <n v="11"/>
    <n v="8.5399999999999991"/>
    <n v="101.8081"/>
    <s v="D/ST"/>
    <x v="5"/>
    <x v="4"/>
    <n v="89.689999999999984"/>
    <n v="445.42419999999998"/>
    <e v="#N/A"/>
    <x v="6"/>
    <n v="0"/>
    <n v="0"/>
    <n v="0.99998929661032787"/>
    <n v="0.99999966724914313"/>
    <n v="1.0370638815260236E-5"/>
    <n v="93"/>
    <n v="0"/>
    <n v="1"/>
    <n v="0"/>
  </r>
  <r>
    <x v="71"/>
    <x v="9"/>
    <s v="chad-4"/>
    <s v="WR-1"/>
    <n v="12"/>
    <n v="12.47"/>
    <n v="34.105600000000003"/>
    <s v="WR"/>
    <x v="0"/>
    <x v="3"/>
    <n v="99.8"/>
    <n v="351.46400000000006"/>
    <s v="seth-4"/>
    <x v="0"/>
    <n v="104.32"/>
    <n v="390.96559999999999"/>
    <n v="0.43412317323121657"/>
    <n v="0.42563713888375854"/>
    <n v="-8.486034347458038E-3"/>
    <n v="123"/>
    <n v="111"/>
    <n v="0.98363068118102459"/>
    <n v="1.6369318818975409E-2"/>
  </r>
  <r>
    <x v="106"/>
    <x v="12"/>
    <s v="jason-6"/>
    <s v="QB-1"/>
    <n v="20"/>
    <n v="17.260000000000002"/>
    <n v="65.124899999999997"/>
    <s v="QB"/>
    <x v="4"/>
    <x v="4"/>
    <n v="86.090000000000018"/>
    <n v="366.05880000000002"/>
    <e v="#N/A"/>
    <x v="6"/>
    <n v="0"/>
    <n v="0"/>
    <n v="0.99999659648730843"/>
    <n v="0.99999984774844786"/>
    <n v="3.2512611394253099E-6"/>
    <n v="99"/>
    <n v="0"/>
    <n v="1"/>
    <n v="0"/>
  </r>
  <r>
    <x v="132"/>
    <x v="2"/>
    <s v="chad-13"/>
    <s v="RB-2"/>
    <n v="6"/>
    <n v="12.01"/>
    <n v="87.422499999999999"/>
    <s v="RB"/>
    <x v="2"/>
    <x v="3"/>
    <n v="113.35"/>
    <n v="486.24799999999993"/>
    <s v="comp-13"/>
    <x v="8"/>
    <n v="104.63999999999999"/>
    <n v="400.33339999999998"/>
    <n v="0.6150563098213474"/>
    <n v="0.53804498193722894"/>
    <n v="-7.7011327884118463E-2"/>
    <n v="95"/>
    <n v="81"/>
    <n v="0.98382693779681984"/>
    <n v="1.6173062203180155E-2"/>
  </r>
  <r>
    <x v="7"/>
    <x v="12"/>
    <s v="matty-6"/>
    <s v="QB-1"/>
    <n v="23"/>
    <n v="22.29"/>
    <n v="57.912100000000002"/>
    <s v="QB"/>
    <x v="4"/>
    <x v="0"/>
    <n v="109.91000000000001"/>
    <n v="387.28550000000001"/>
    <s v="perry-6"/>
    <x v="10"/>
    <n v="88.72"/>
    <n v="407.6961"/>
    <n v="0.77383629678575794"/>
    <n v="0.79006846649991247"/>
    <n v="1.6232169714154532E-2"/>
    <n v="119"/>
    <n v="102"/>
    <n v="0.9838470259009463"/>
    <n v="1.6152974099053696E-2"/>
  </r>
  <r>
    <x v="66"/>
    <x v="3"/>
    <s v="comp-3"/>
    <s v="WR-2"/>
    <n v="0"/>
    <n v="12.05"/>
    <n v="54.316899999999997"/>
    <s v="WR"/>
    <x v="0"/>
    <x v="2"/>
    <n v="105.02"/>
    <n v="401.60159999999996"/>
    <s v="matty-3"/>
    <x v="3"/>
    <n v="116.17999999999999"/>
    <n v="478.31470000000002"/>
    <n v="0.35337614783800875"/>
    <n v="0.20961003387581464"/>
    <n v="-0.1437661139621941"/>
    <n v="85"/>
    <n v="81"/>
    <n v="0.98528758445571951"/>
    <n v="1.4712415544280488E-2"/>
  </r>
  <r>
    <x v="23"/>
    <x v="2"/>
    <s v="matty-13"/>
    <s v="RB-1"/>
    <n v="4"/>
    <n v="7.8"/>
    <n v="34.222499999999997"/>
    <s v="RB"/>
    <x v="2"/>
    <x v="0"/>
    <n v="88.16"/>
    <n v="330.99250000000001"/>
    <s v="aj-13"/>
    <x v="2"/>
    <n v="116.54"/>
    <n v="371.12040000000002"/>
    <n v="0.14207393469061222"/>
    <n v="0.10653210994555851"/>
    <n v="-3.5541824745053713E-2"/>
    <n v="117"/>
    <n v="108"/>
    <n v="0.98566644395574698"/>
    <n v="1.4333556044253015E-2"/>
  </r>
  <r>
    <x v="92"/>
    <x v="10"/>
    <s v="seth-2"/>
    <s v="QB-1"/>
    <n v="11"/>
    <n v="16.899999999999999"/>
    <n v="63.361600000000003"/>
    <s v="QB"/>
    <x v="4"/>
    <x v="1"/>
    <n v="91.78"/>
    <n v="333.71719999999993"/>
    <s v="matty-2"/>
    <x v="3"/>
    <n v="101.3"/>
    <n v="329.14109999999999"/>
    <n v="0.35577854462426967"/>
    <n v="0.26441826492370513"/>
    <n v="-9.136027970056454E-2"/>
    <n v="82"/>
    <n v="70"/>
    <n v="0.98773559701337088"/>
    <n v="1.2264402986629119E-2"/>
  </r>
  <r>
    <x v="65"/>
    <x v="9"/>
    <s v="devon-4"/>
    <s v="D/ST"/>
    <n v="6"/>
    <n v="9.44"/>
    <n v="46.922499999999999"/>
    <s v="D/ST"/>
    <x v="5"/>
    <x v="8"/>
    <n v="99.78"/>
    <n v="369.21209999999996"/>
    <s v="perry-4"/>
    <x v="10"/>
    <n v="111.07000000000001"/>
    <n v="406.62959999999998"/>
    <n v="0.34261794725331807"/>
    <n v="0.29267534654632599"/>
    <n v="-4.994260070699208E-2"/>
    <n v="84"/>
    <n v="72"/>
    <n v="0.98790237520226765"/>
    <n v="1.2097624797732354E-2"/>
  </r>
  <r>
    <x v="133"/>
    <x v="6"/>
    <s v="cory-11"/>
    <s v="D/ST"/>
    <n v="24"/>
    <n v="6.2"/>
    <n v="33.756100000000004"/>
    <s v="D/ST"/>
    <x v="5"/>
    <x v="5"/>
    <n v="102.11"/>
    <n v="431.97960000000006"/>
    <s v="chad-11"/>
    <x v="1"/>
    <n v="106.58"/>
    <n v="427.68610000000001"/>
    <n v="0.43941389461043751"/>
    <n v="0.67861716116368909"/>
    <n v="0.23920326655325158"/>
    <n v="130"/>
    <n v="99"/>
    <n v="0.9884550814200751"/>
    <n v="1.1544918579924901E-2"/>
  </r>
  <r>
    <x v="19"/>
    <x v="12"/>
    <s v="comp-6"/>
    <s v="RB-1"/>
    <n v="14"/>
    <n v="14.3"/>
    <n v="71.064899999999994"/>
    <s v="RB"/>
    <x v="2"/>
    <x v="2"/>
    <n v="104.66"/>
    <n v="375.94899999999996"/>
    <s v="devon-6"/>
    <x v="7"/>
    <n v="101.41999999999999"/>
    <n v="401.13359999999994"/>
    <n v="0.54626414609906893"/>
    <n v="0.54405185131625711"/>
    <n v="-2.2122947828118189E-3"/>
    <n v="91"/>
    <n v="72"/>
    <n v="0.98897317146214581"/>
    <n v="1.1026828537854194E-2"/>
  </r>
  <r>
    <x v="134"/>
    <x v="12"/>
    <s v="comp-6"/>
    <s v="WR/RB"/>
    <n v="12"/>
    <n v="4.43"/>
    <n v="24.8004"/>
    <s v="WR/RB"/>
    <x v="0"/>
    <x v="2"/>
    <n v="104.66"/>
    <n v="375.94899999999996"/>
    <s v="devon-6"/>
    <x v="7"/>
    <n v="101.41999999999999"/>
    <n v="401.13359999999994"/>
    <n v="0.54626414609906893"/>
    <n v="0.65325606405038061"/>
    <n v="0.10699191795131169"/>
    <n v="91"/>
    <n v="72"/>
    <n v="0.98913861526958913"/>
    <n v="1.0861384730410872E-2"/>
  </r>
  <r>
    <x v="135"/>
    <x v="8"/>
    <s v="seth-9"/>
    <s v="WR/RB"/>
    <n v="11"/>
    <n v="7.37"/>
    <n v="39.187600000000003"/>
    <s v="WR/RB"/>
    <x v="0"/>
    <x v="1"/>
    <n v="92.559999999999988"/>
    <n v="350.31569999999999"/>
    <s v="comp-9"/>
    <x v="8"/>
    <n v="80.800000000000011"/>
    <n v="290.44450000000001"/>
    <n v="0.67888350653659379"/>
    <n v="0.73482517388995361"/>
    <n v="5.5941667353359814E-2"/>
    <n v="95"/>
    <n v="77"/>
    <n v="0.98914853403015768"/>
    <n v="1.0851465969842322E-2"/>
  </r>
  <r>
    <x v="15"/>
    <x v="12"/>
    <s v="aj-6"/>
    <s v="WR-1"/>
    <n v="17"/>
    <n v="8.07"/>
    <n v="19.009599999999999"/>
    <s v="WR"/>
    <x v="0"/>
    <x v="6"/>
    <n v="108.8"/>
    <n v="404.29040000000003"/>
    <s v="cory-6"/>
    <x v="4"/>
    <n v="102.10000000000001"/>
    <n v="445.16630000000004"/>
    <n v="0.59090810623639012"/>
    <n v="0.70622133234795526"/>
    <n v="0.11531322611156514"/>
    <n v="104"/>
    <n v="85"/>
    <n v="0.98954576025813556"/>
    <n v="1.0454239741864435E-2"/>
  </r>
  <r>
    <x v="66"/>
    <x v="7"/>
    <s v="aj-5"/>
    <s v="WR-3"/>
    <n v="0"/>
    <n v="8.5399999999999991"/>
    <n v="29.3764"/>
    <s v="WR"/>
    <x v="0"/>
    <x v="6"/>
    <n v="117.25999999999999"/>
    <n v="422.9941"/>
    <s v="matty-5"/>
    <x v="3"/>
    <n v="99.23"/>
    <n v="364.64739999999995"/>
    <n v="0.73970568419743477"/>
    <n v="0.63481450061912625"/>
    <n v="-0.10489118357830851"/>
    <n v="110"/>
    <n v="106"/>
    <n v="0.98965662177429081"/>
    <n v="1.0343378225709188E-2"/>
  </r>
  <r>
    <x v="120"/>
    <x v="0"/>
    <s v="matty-10"/>
    <s v="K"/>
    <n v="3"/>
    <n v="7.31"/>
    <n v="12.8881"/>
    <s v="K"/>
    <x v="1"/>
    <x v="0"/>
    <n v="80.72"/>
    <n v="274.11410000000001"/>
    <s v="seth-10"/>
    <x v="0"/>
    <n v="104.52999999999999"/>
    <n v="446.11959999999999"/>
    <n v="0.18748498770897654"/>
    <n v="0.14518664912350385"/>
    <n v="-4.2298338585472689E-2"/>
    <n v="84"/>
    <n v="80"/>
    <n v="0.98968705340365148"/>
    <n v="1.0312946596348516E-2"/>
  </r>
  <r>
    <x v="69"/>
    <x v="9"/>
    <s v="cory-4"/>
    <s v="WR/RB"/>
    <n v="9"/>
    <n v="10.71"/>
    <n v="57.912100000000002"/>
    <s v="WR/RB"/>
    <x v="0"/>
    <x v="5"/>
    <n v="115.58999999999999"/>
    <n v="432.42160000000007"/>
    <s v="scott-4"/>
    <x v="5"/>
    <n v="113.07"/>
    <n v="452.41279999999995"/>
    <n v="0.53375673014127667"/>
    <n v="0.51123583378260173"/>
    <n v="-2.2520896358674936E-2"/>
    <n v="104"/>
    <n v="88"/>
    <n v="0.99002271644639128"/>
    <n v="9.9772835536087179E-3"/>
  </r>
  <r>
    <x v="11"/>
    <x v="6"/>
    <s v="aj-11"/>
    <s v="WR/RB"/>
    <n v="14"/>
    <n v="15.99"/>
    <n v="87.048900000000003"/>
    <s v="WR/RB"/>
    <x v="2"/>
    <x v="6"/>
    <n v="110.11"/>
    <n v="412.79880000000003"/>
    <s v="seth-11"/>
    <x v="0"/>
    <n v="98.329999999999984"/>
    <n v="378.70709999999997"/>
    <n v="0.66228767586387005"/>
    <n v="0.64388202466106637"/>
    <n v="-1.8405651202803686E-2"/>
    <n v="131"/>
    <n v="111"/>
    <n v="0.99078622276011019"/>
    <n v="9.2137772398898088E-3"/>
  </r>
  <r>
    <x v="130"/>
    <x v="9"/>
    <s v="chad-4"/>
    <s v="RB-2"/>
    <n v="10"/>
    <n v="11.37"/>
    <n v="32.035600000000002"/>
    <s v="RB"/>
    <x v="2"/>
    <x v="3"/>
    <n v="99.8"/>
    <n v="351.46400000000006"/>
    <s v="seth-4"/>
    <x v="0"/>
    <n v="104.32"/>
    <n v="390.96559999999999"/>
    <n v="0.43412317323121657"/>
    <n v="0.41255149034567618"/>
    <n v="-2.15716828855404E-2"/>
    <n v="123"/>
    <n v="111"/>
    <n v="0.99091635566302838"/>
    <n v="9.0836443369716191E-3"/>
  </r>
  <r>
    <x v="136"/>
    <x v="0"/>
    <s v="devon-10"/>
    <s v="RB-2"/>
    <n v="1"/>
    <n v="7.59"/>
    <n v="27.7729"/>
    <s v="RB"/>
    <x v="2"/>
    <x v="8"/>
    <n v="101.66000000000001"/>
    <n v="359.87040000000002"/>
    <s v="lucas-10"/>
    <x v="9"/>
    <n v="0"/>
    <n v="0"/>
    <n v="0.99999995813888032"/>
    <n v="0.99999990901804869"/>
    <n v="-4.9120831624449579E-8"/>
    <n v="97"/>
    <n v="0"/>
    <n v="1"/>
    <n v="0"/>
  </r>
  <r>
    <x v="19"/>
    <x v="11"/>
    <s v="comp-1"/>
    <s v="RB-1"/>
    <n v="5"/>
    <n v="15.9"/>
    <n v="49.984900000000003"/>
    <s v="RB"/>
    <x v="2"/>
    <x v="2"/>
    <n v="110.7"/>
    <n v="433.44330000000002"/>
    <s v="seth-1"/>
    <x v="0"/>
    <n v="111.07"/>
    <n v="422.00569999999999"/>
    <n v="0.49495335047896771"/>
    <n v="0.34564654483972412"/>
    <n v="-0.14930680563924359"/>
    <n v="77"/>
    <n v="71"/>
    <n v="0.99158456927235161"/>
    <n v="8.4154307276483875E-3"/>
  </r>
  <r>
    <x v="61"/>
    <x v="4"/>
    <s v="devon-8"/>
    <s v="WR/RB"/>
    <n v="7"/>
    <n v="10.41"/>
    <n v="58.675600000000003"/>
    <s v="WR/RB"/>
    <x v="2"/>
    <x v="8"/>
    <n v="102.43"/>
    <n v="452.86560000000003"/>
    <s v="seth-8"/>
    <x v="0"/>
    <n v="96.57"/>
    <n v="368.03749999999997"/>
    <n v="0.58102934018980379"/>
    <n v="0.53535608221428577"/>
    <n v="-4.5673257975518022E-2"/>
    <n v="100"/>
    <n v="85"/>
    <n v="0.99187816792721883"/>
    <n v="8.1218320727811655E-3"/>
  </r>
  <r>
    <x v="116"/>
    <x v="5"/>
    <s v="devon-7"/>
    <s v="TE-1"/>
    <n v="18"/>
    <n v="6.27"/>
    <n v="25.502500000000001"/>
    <s v="TE"/>
    <x v="3"/>
    <x v="8"/>
    <n v="106.81"/>
    <n v="351.64060000000001"/>
    <s v="aj-7"/>
    <x v="2"/>
    <n v="114.01999999999998"/>
    <n v="381.58529999999996"/>
    <n v="0.39501702421215146"/>
    <n v="0.56745765211968791"/>
    <n v="0.17244062790753645"/>
    <n v="117"/>
    <n v="93"/>
    <n v="0.99244439939191587"/>
    <n v="7.5556006080841343E-3"/>
  </r>
  <r>
    <x v="97"/>
    <x v="10"/>
    <s v="chad-2"/>
    <s v="WR-1"/>
    <n v="4"/>
    <n v="9.83"/>
    <n v="37.21"/>
    <s v="WR"/>
    <x v="0"/>
    <x v="3"/>
    <n v="102.72000000000001"/>
    <n v="348.54960000000005"/>
    <s v="aj-2"/>
    <x v="2"/>
    <n v="103.77999999999999"/>
    <n v="338.9511"/>
    <n v="0.48387643490903587"/>
    <n v="0.39350795711985448"/>
    <n v="-9.036847778918139E-2"/>
    <n v="99"/>
    <n v="90"/>
    <n v="0.99247445790401845"/>
    <n v="7.5255420959815522E-3"/>
  </r>
  <r>
    <x v="61"/>
    <x v="9"/>
    <s v="devon-4"/>
    <s v="RB-2"/>
    <n v="10"/>
    <n v="12.48"/>
    <n v="34.81"/>
    <s v="RB"/>
    <x v="2"/>
    <x v="8"/>
    <n v="99.78"/>
    <n v="369.21209999999996"/>
    <s v="perry-4"/>
    <x v="10"/>
    <n v="111.07000000000001"/>
    <n v="406.62959999999998"/>
    <n v="0.34261794725331807"/>
    <n v="0.30648351549474573"/>
    <n v="-3.6134431758572338E-2"/>
    <n v="84"/>
    <n v="72"/>
    <n v="0.99294081079680241"/>
    <n v="7.0591892031975911E-3"/>
  </r>
  <r>
    <x v="133"/>
    <x v="2"/>
    <s v="cory-13"/>
    <s v="D/ST"/>
    <n v="12"/>
    <n v="10.59"/>
    <n v="57.002499999999998"/>
    <s v="D/ST"/>
    <x v="5"/>
    <x v="5"/>
    <n v="106.87"/>
    <n v="444.05589999999995"/>
    <s v="scott-13"/>
    <x v="5"/>
    <n v="108.61"/>
    <n v="407.25390000000004"/>
    <n v="0.47622294087495948"/>
    <n v="0.49532889311318673"/>
    <n v="1.9105952238227253E-2"/>
    <n v="86"/>
    <n v="66"/>
    <n v="0.99309661236016189"/>
    <n v="6.90338763983811E-3"/>
  </r>
  <r>
    <x v="93"/>
    <x v="9"/>
    <s v="chad-4"/>
    <s v="WR-3"/>
    <n v="6"/>
    <n v="6.97"/>
    <n v="27.5625"/>
    <s v="WR"/>
    <x v="0"/>
    <x v="3"/>
    <n v="99.8"/>
    <n v="351.46400000000006"/>
    <s v="seth-4"/>
    <x v="0"/>
    <n v="104.32"/>
    <n v="390.96559999999999"/>
    <n v="0.43412317323121657"/>
    <n v="0.41865580847922085"/>
    <n v="-1.5467364751995727E-2"/>
    <n v="123"/>
    <n v="111"/>
    <n v="0.99325333495220058"/>
    <n v="6.7466650477994161E-3"/>
  </r>
  <r>
    <x v="120"/>
    <x v="11"/>
    <s v="devon-1"/>
    <s v="K"/>
    <n v="3"/>
    <n v="7.64"/>
    <n v="12.1104"/>
    <s v="K"/>
    <x v="1"/>
    <x v="8"/>
    <n v="101.69"/>
    <n v="390.77570000000003"/>
    <s v="lucas-1"/>
    <x v="9"/>
    <n v="0"/>
    <n v="0"/>
    <n v="0.99999986563981569"/>
    <n v="0.99999969389693943"/>
    <n v="-1.717428762537665E-7"/>
    <n v="75"/>
    <n v="0"/>
    <n v="1"/>
    <n v="0"/>
  </r>
  <r>
    <x v="122"/>
    <x v="11"/>
    <s v="scott-1"/>
    <s v="WR/RB"/>
    <n v="39"/>
    <n v="8.48"/>
    <n v="55.204900000000002"/>
    <s v="WR/RB"/>
    <x v="2"/>
    <x v="9"/>
    <n v="102.78"/>
    <n v="382.14119999999997"/>
    <s v="aj-1"/>
    <x v="2"/>
    <n v="90.7"/>
    <n v="347.93650000000002"/>
    <n v="0.67259029154080885"/>
    <n v="0.94947966581723253"/>
    <n v="0.27688937427642368"/>
    <n v="120"/>
    <n v="71"/>
    <n v="0.99356260360987714"/>
    <n v="6.4373963901228626E-3"/>
  </r>
  <r>
    <x v="104"/>
    <x v="3"/>
    <s v="aj-3"/>
    <s v="RB-1"/>
    <n v="1"/>
    <n v="13.34"/>
    <n v="66.748900000000006"/>
    <s v="RB"/>
    <x v="2"/>
    <x v="6"/>
    <n v="107.31"/>
    <n v="425.77620000000002"/>
    <s v="seth-3"/>
    <x v="0"/>
    <n v="94.54"/>
    <n v="356.43470000000002"/>
    <n v="0.6760180870914847"/>
    <n v="0.5064130781090217"/>
    <n v="-0.169605008982463"/>
    <n v="96"/>
    <n v="88"/>
    <n v="0.99360558274177813"/>
    <n v="6.3944172582218739E-3"/>
  </r>
  <r>
    <x v="122"/>
    <x v="5"/>
    <s v="scott-7"/>
    <s v="RB-2"/>
    <n v="11"/>
    <n v="17.8"/>
    <n v="90.630399999999995"/>
    <s v="RB"/>
    <x v="2"/>
    <x v="9"/>
    <n v="114.48000000000002"/>
    <n v="430.3667999999999"/>
    <s v="matty-7"/>
    <x v="3"/>
    <n v="87.490000000000009"/>
    <n v="277.88929999999999"/>
    <n v="0.84474748784368747"/>
    <n v="0.79172092520603632"/>
    <n v="-5.3026562637651153E-2"/>
    <n v="82"/>
    <n v="65"/>
    <n v="0.99379033467422384"/>
    <n v="6.2096653257761592E-3"/>
  </r>
  <r>
    <x v="72"/>
    <x v="5"/>
    <s v="perry-7"/>
    <s v="WR/RB"/>
    <n v="10"/>
    <n v="8.84"/>
    <n v="22.184100000000001"/>
    <s v="WR/RB"/>
    <x v="2"/>
    <x v="7"/>
    <n v="103.81000000000002"/>
    <n v="404.20889999999997"/>
    <s v="chad-7"/>
    <x v="1"/>
    <n v="99.759999999999991"/>
    <n v="339.923"/>
    <n v="0.55901290364123501"/>
    <n v="0.57687413447604463"/>
    <n v="1.7861230834809616E-2"/>
    <n v="115"/>
    <n v="102"/>
    <n v="0.99402809989157959"/>
    <n v="5.9719001084204137E-3"/>
  </r>
  <r>
    <x v="137"/>
    <x v="8"/>
    <s v="cory-9"/>
    <s v="WR/RB"/>
    <n v="3"/>
    <n v="6.22"/>
    <n v="19.8916"/>
    <s v="WR/RB"/>
    <x v="2"/>
    <x v="5"/>
    <n v="90.69"/>
    <n v="356.05790000000002"/>
    <s v="devon-9"/>
    <x v="7"/>
    <n v="104.66"/>
    <n v="474.51049999999998"/>
    <n v="0.31393045538359282"/>
    <n v="0.27300730854154209"/>
    <n v="-4.0923146842050728E-2"/>
    <n v="89"/>
    <n v="81"/>
    <n v="0.99406010417233437"/>
    <n v="5.9398958276656311E-3"/>
  </r>
  <r>
    <x v="32"/>
    <x v="12"/>
    <s v="jason-6"/>
    <s v="RB-2"/>
    <n v="13"/>
    <n v="6.45"/>
    <n v="28.196100000000001"/>
    <s v="RB"/>
    <x v="2"/>
    <x v="4"/>
    <n v="86.090000000000018"/>
    <n v="366.05880000000002"/>
    <e v="#N/A"/>
    <x v="6"/>
    <n v="0"/>
    <n v="0"/>
    <n v="0.99999659648730843"/>
    <n v="0.99999976720423345"/>
    <n v="3.1707169250161371E-6"/>
    <n v="99"/>
    <n v="0"/>
    <n v="1"/>
    <n v="0"/>
  </r>
  <r>
    <x v="29"/>
    <x v="4"/>
    <s v="devon-8"/>
    <s v="QB-1"/>
    <n v="13"/>
    <n v="17.82"/>
    <n v="60.996099999999998"/>
    <s v="QB"/>
    <x v="4"/>
    <x v="8"/>
    <n v="102.43"/>
    <n v="452.86560000000003"/>
    <s v="seth-8"/>
    <x v="0"/>
    <n v="96.57"/>
    <n v="368.03749999999997"/>
    <n v="0.58102934018980379"/>
    <n v="0.51504735503764087"/>
    <n v="-6.5981985152162914E-2"/>
    <n v="100"/>
    <n v="85"/>
    <n v="0.99442196947184403"/>
    <n v="5.578030528155975E-3"/>
  </r>
  <r>
    <x v="138"/>
    <x v="12"/>
    <s v="comp-6"/>
    <s v="WR-3"/>
    <n v="12"/>
    <n v="7.1"/>
    <n v="30.691600000000001"/>
    <s v="WR"/>
    <x v="0"/>
    <x v="2"/>
    <n v="104.66"/>
    <n v="375.94899999999996"/>
    <s v="devon-6"/>
    <x v="7"/>
    <n v="101.41999999999999"/>
    <n v="401.13359999999994"/>
    <n v="0.54626414609906893"/>
    <n v="0.61712876600145861"/>
    <n v="7.0864619902389681E-2"/>
    <n v="91"/>
    <n v="72"/>
    <n v="0.99453808987709125"/>
    <n v="5.461910122908753E-3"/>
  </r>
  <r>
    <x v="100"/>
    <x v="0"/>
    <s v="perry-10"/>
    <s v="D/ST"/>
    <n v="8"/>
    <n v="9.16"/>
    <n v="40.195599999999999"/>
    <s v="D/ST"/>
    <x v="5"/>
    <x v="7"/>
    <n v="103.49"/>
    <n v="345.28400000000005"/>
    <s v="cory-10"/>
    <x v="4"/>
    <n v="93.17"/>
    <n v="328.34589999999997"/>
    <n v="0.65454511164456886"/>
    <n v="0.64205325339329644"/>
    <n v="-1.2491858251272414E-2"/>
    <n v="106"/>
    <n v="91"/>
    <n v="0.99459677237553534"/>
    <n v="5.4032276244646571E-3"/>
  </r>
  <r>
    <x v="89"/>
    <x v="10"/>
    <s v="chad-2"/>
    <s v="QB-1"/>
    <n v="12"/>
    <n v="17.68"/>
    <n v="32.604100000000003"/>
    <s v="QB"/>
    <x v="4"/>
    <x v="3"/>
    <n v="102.72000000000001"/>
    <n v="348.54960000000005"/>
    <s v="aj-2"/>
    <x v="2"/>
    <n v="103.77999999999999"/>
    <n v="338.9511"/>
    <n v="0.48387643490903587"/>
    <n v="0.39613101719141663"/>
    <n v="-8.7745417717619234E-2"/>
    <n v="99"/>
    <n v="90"/>
    <n v="0.99492868230610954"/>
    <n v="5.0713176938904647E-3"/>
  </r>
  <r>
    <x v="33"/>
    <x v="1"/>
    <s v="devon-12"/>
    <s v="WR-1"/>
    <n v="0"/>
    <n v="9.31"/>
    <n v="30.913599999999999"/>
    <s v="WR"/>
    <x v="0"/>
    <x v="8"/>
    <n v="99.070000000000007"/>
    <n v="350.10639999999995"/>
    <s v="matty-12"/>
    <x v="3"/>
    <n v="94.28"/>
    <n v="371.05129999999997"/>
    <n v="0.57078356677741682"/>
    <n v="0.43170185004473188"/>
    <n v="-0.13908171673268493"/>
    <n v="80"/>
    <n v="75"/>
    <n v="0.99496972243337778"/>
    <n v="5.030277566622221E-3"/>
  </r>
  <r>
    <x v="78"/>
    <x v="7"/>
    <s v="perry-5"/>
    <s v="RB-1"/>
    <n v="1"/>
    <n v="14.23"/>
    <n v="55.800899999999999"/>
    <s v="RB"/>
    <x v="2"/>
    <x v="7"/>
    <n v="97.27"/>
    <n v="430.39269999999999"/>
    <s v="seth-5"/>
    <x v="0"/>
    <n v="98.72999999999999"/>
    <n v="396.28840000000002"/>
    <n v="0.47975082605670671"/>
    <n v="0.29837201737469354"/>
    <n v="-0.18137880868201317"/>
    <n v="96"/>
    <n v="90"/>
    <n v="0.9949778022499437"/>
    <n v="5.0221977500563009E-3"/>
  </r>
  <r>
    <x v="78"/>
    <x v="5"/>
    <s v="perry-7"/>
    <s v="RB-1"/>
    <n v="8"/>
    <n v="11.04"/>
    <n v="38.812899999999999"/>
    <s v="RB"/>
    <x v="2"/>
    <x v="7"/>
    <n v="103.81000000000002"/>
    <n v="404.20889999999997"/>
    <s v="chad-7"/>
    <x v="1"/>
    <n v="99.759999999999991"/>
    <n v="339.923"/>
    <n v="0.55901290364123501"/>
    <n v="0.51516819739256536"/>
    <n v="-4.3844706248669651E-2"/>
    <n v="115"/>
    <n v="102"/>
    <n v="0.99498275985001161"/>
    <n v="5.017240149988389E-3"/>
  </r>
  <r>
    <x v="27"/>
    <x v="9"/>
    <s v="cory-4"/>
    <s v="TE-1"/>
    <n v="8"/>
    <n v="8.14"/>
    <n v="39.0625"/>
    <s v="TE"/>
    <x v="3"/>
    <x v="5"/>
    <n v="115.58999999999999"/>
    <n v="432.42160000000007"/>
    <s v="scott-4"/>
    <x v="5"/>
    <n v="113.07"/>
    <n v="452.41279999999995"/>
    <n v="0.53375673014127667"/>
    <n v="0.53261188074394994"/>
    <n v="-1.1448493973267304E-3"/>
    <n v="104"/>
    <n v="88"/>
    <n v="0.99509421039737611"/>
    <n v="4.905789602623889E-3"/>
  </r>
  <r>
    <x v="14"/>
    <x v="9"/>
    <s v="devon-4"/>
    <s v="WR/RB"/>
    <n v="1"/>
    <n v="9.2100000000000009"/>
    <n v="61.1524"/>
    <s v="WR/RB"/>
    <x v="2"/>
    <x v="8"/>
    <n v="99.78"/>
    <n v="369.21209999999996"/>
    <s v="perry-4"/>
    <x v="10"/>
    <n v="111.07000000000001"/>
    <n v="406.62959999999998"/>
    <n v="0.34261794725331807"/>
    <n v="0.23287326455339821"/>
    <n v="-0.10974468269991985"/>
    <n v="84"/>
    <n v="72"/>
    <n v="0.99512255613789513"/>
    <n v="4.8774438621048688E-3"/>
  </r>
  <r>
    <x v="97"/>
    <x v="2"/>
    <s v="chad-13"/>
    <s v="WR-1"/>
    <n v="8"/>
    <n v="10.68"/>
    <n v="41.088099999999997"/>
    <s v="WR"/>
    <x v="0"/>
    <x v="3"/>
    <n v="113.35"/>
    <n v="486.24799999999993"/>
    <s v="comp-13"/>
    <x v="8"/>
    <n v="104.63999999999999"/>
    <n v="400.33339999999998"/>
    <n v="0.6150563098213474"/>
    <n v="0.58214258390325013"/>
    <n v="-3.291372591809727E-2"/>
    <n v="95"/>
    <n v="81"/>
    <n v="0.99536839427128465"/>
    <n v="4.6316057287153489E-3"/>
  </r>
  <r>
    <x v="118"/>
    <x v="11"/>
    <s v="comp-1"/>
    <s v="WR/RB"/>
    <n v="-1"/>
    <n v="7.25"/>
    <n v="29.9209"/>
    <s v="WR/RB"/>
    <x v="0"/>
    <x v="2"/>
    <n v="110.7"/>
    <n v="433.44330000000002"/>
    <s v="seth-1"/>
    <x v="0"/>
    <n v="111.07"/>
    <n v="422.00569999999999"/>
    <n v="0.49495335047896771"/>
    <n v="0.38208328735991232"/>
    <n v="-0.1128700631190554"/>
    <n v="77"/>
    <n v="71"/>
    <n v="0.9954078799529219"/>
    <n v="4.5921200470780965E-3"/>
  </r>
  <r>
    <x v="104"/>
    <x v="12"/>
    <s v="aj-6"/>
    <s v="RB-1"/>
    <n v="13"/>
    <n v="12.35"/>
    <n v="49.2804"/>
    <s v="RB"/>
    <x v="2"/>
    <x v="6"/>
    <n v="108.8"/>
    <n v="404.29040000000003"/>
    <s v="cory-6"/>
    <x v="4"/>
    <n v="102.10000000000001"/>
    <n v="445.16630000000004"/>
    <n v="0.59090810623639012"/>
    <n v="0.60250374638168058"/>
    <n v="1.1595640145290464E-2"/>
    <n v="104"/>
    <n v="85"/>
    <n v="0.99552502579271407"/>
    <n v="4.4749742072859311E-3"/>
  </r>
  <r>
    <x v="139"/>
    <x v="9"/>
    <s v="chad-4"/>
    <s v="WR/RB"/>
    <n v="4"/>
    <n v="7.5"/>
    <n v="35.046399999999998"/>
    <s v="WR/RB"/>
    <x v="0"/>
    <x v="3"/>
    <n v="99.8"/>
    <n v="351.46400000000006"/>
    <s v="seth-4"/>
    <x v="0"/>
    <n v="104.32"/>
    <n v="390.96559999999999"/>
    <n v="0.43412317323121657"/>
    <n v="0.38150082932657303"/>
    <n v="-5.2622343904643543E-2"/>
    <n v="123"/>
    <n v="111"/>
    <n v="0.9955808111320964"/>
    <n v="4.4191888679036007E-3"/>
  </r>
  <r>
    <x v="15"/>
    <x v="6"/>
    <s v="aj-11"/>
    <s v="WR-1"/>
    <n v="15"/>
    <n v="8.42"/>
    <n v="26.112100000000002"/>
    <s v="WR"/>
    <x v="0"/>
    <x v="6"/>
    <n v="110.11"/>
    <n v="412.79880000000003"/>
    <s v="seth-11"/>
    <x v="0"/>
    <n v="98.329999999999984"/>
    <n v="378.70709999999997"/>
    <n v="0.66228767586387005"/>
    <n v="0.74653847683555263"/>
    <n v="8.4250800971682582E-2"/>
    <n v="131"/>
    <n v="111"/>
    <n v="0.99568308952108897"/>
    <n v="4.3169104789110291E-3"/>
  </r>
  <r>
    <x v="114"/>
    <x v="2"/>
    <s v="chad-13"/>
    <s v="QB-1"/>
    <n v="14"/>
    <n v="19.91"/>
    <n v="57.153599999999997"/>
    <s v="QB"/>
    <x v="4"/>
    <x v="3"/>
    <n v="113.35"/>
    <n v="486.24799999999993"/>
    <s v="comp-13"/>
    <x v="8"/>
    <n v="104.63999999999999"/>
    <n v="400.33339999999998"/>
    <n v="0.6150563098213474"/>
    <n v="0.53872532347546609"/>
    <n v="-7.6330986345881313E-2"/>
    <n v="95"/>
    <n v="81"/>
    <n v="0.99577572601932529"/>
    <n v="4.2242739806747087E-3"/>
  </r>
  <r>
    <x v="112"/>
    <x v="10"/>
    <s v="seth-2"/>
    <s v="WR/RB"/>
    <n v="7"/>
    <n v="8.34"/>
    <n v="25.6036"/>
    <s v="WR/RB"/>
    <x v="2"/>
    <x v="1"/>
    <n v="91.78"/>
    <n v="333.71719999999993"/>
    <s v="matty-2"/>
    <x v="3"/>
    <n v="101.3"/>
    <n v="329.14109999999999"/>
    <n v="0.35577854462426967"/>
    <n v="0.33352403785792306"/>
    <n v="-2.2254506766346605E-2"/>
    <n v="82"/>
    <n v="70"/>
    <n v="0.99581000627949323"/>
    <n v="4.1899937205067683E-3"/>
  </r>
  <r>
    <x v="29"/>
    <x v="5"/>
    <s v="devon-7"/>
    <s v="QB-1"/>
    <n v="25"/>
    <n v="20.22"/>
    <n v="53.144100000000002"/>
    <s v="QB"/>
    <x v="4"/>
    <x v="8"/>
    <n v="106.81"/>
    <n v="351.64060000000001"/>
    <s v="aj-7"/>
    <x v="2"/>
    <n v="114.01999999999998"/>
    <n v="381.58529999999996"/>
    <n v="0.39501702421215146"/>
    <n v="0.46288002654946037"/>
    <n v="6.7863002337308909E-2"/>
    <n v="117"/>
    <n v="93"/>
    <n v="0.99581154604791233"/>
    <n v="4.1884539520876674E-3"/>
  </r>
  <r>
    <x v="78"/>
    <x v="8"/>
    <s v="perry-9"/>
    <s v="RB-1"/>
    <n v="12"/>
    <n v="10.94"/>
    <n v="46.24"/>
    <s v="RB"/>
    <x v="2"/>
    <x v="7"/>
    <n v="98.35"/>
    <n v="385.97739999999999"/>
    <s v="aj-9"/>
    <x v="2"/>
    <n v="102.03999999999999"/>
    <n v="392.2131"/>
    <n v="0.4473827117902357"/>
    <n v="0.4612794623893019"/>
    <n v="1.3896750599066199E-2"/>
    <n v="105"/>
    <n v="86"/>
    <n v="0.99583306324506937"/>
    <n v="4.166936754930628E-3"/>
  </r>
  <r>
    <x v="140"/>
    <x v="6"/>
    <s v="comp-11"/>
    <s v="WR-3"/>
    <n v="4"/>
    <n v="7.23"/>
    <n v="21.3444"/>
    <s v="WR"/>
    <x v="0"/>
    <x v="2"/>
    <n v="98.580000000000013"/>
    <n v="364.4375"/>
    <s v="matty-11"/>
    <x v="3"/>
    <n v="88.670000000000016"/>
    <n v="334.39179999999999"/>
    <n v="0.64612380466415886"/>
    <n v="0.60127217931145849"/>
    <n v="-4.4851625352700375E-2"/>
    <n v="111"/>
    <n v="102"/>
    <n v="0.99594176691847225"/>
    <n v="4.0582330815277512E-3"/>
  </r>
  <r>
    <x v="54"/>
    <x v="7"/>
    <s v="jason-5"/>
    <s v="WR-3"/>
    <n v="13"/>
    <n v="10.07"/>
    <n v="62.41"/>
    <s v="WR"/>
    <x v="0"/>
    <x v="4"/>
    <n v="89.689999999999984"/>
    <n v="445.42419999999998"/>
    <e v="#N/A"/>
    <x v="6"/>
    <n v="0"/>
    <n v="0"/>
    <n v="0.99998929661032787"/>
    <n v="0.99999889154335186"/>
    <n v="9.5949330239930575E-6"/>
    <n v="93"/>
    <n v="0"/>
    <n v="1"/>
    <n v="0"/>
  </r>
  <r>
    <x v="61"/>
    <x v="10"/>
    <s v="devon-2"/>
    <s v="RB-2"/>
    <n v="26"/>
    <n v="9.2799999999999994"/>
    <n v="41.7316"/>
    <s v="RB"/>
    <x v="2"/>
    <x v="8"/>
    <n v="100.92999999999999"/>
    <n v="374.85250000000002"/>
    <s v="scott-2"/>
    <x v="5"/>
    <n v="103.25"/>
    <n v="377.00829999999996"/>
    <n v="0.46628591266319391"/>
    <n v="0.70553015893260329"/>
    <n v="0.23924424626940938"/>
    <n v="140"/>
    <n v="106"/>
    <n v="0.99626267477382247"/>
    <n v="3.7373252261775347E-3"/>
  </r>
  <r>
    <x v="130"/>
    <x v="11"/>
    <s v="chad-1"/>
    <s v="RB-2"/>
    <n v="13"/>
    <n v="10.199999999999999"/>
    <n v="36.120100000000001"/>
    <s v="RB"/>
    <x v="2"/>
    <x v="3"/>
    <n v="101.75"/>
    <n v="333.15260000000001"/>
    <s v="matty-1"/>
    <x v="3"/>
    <n v="96.11"/>
    <n v="397.37959999999998"/>
    <n v="0.58264695809701372"/>
    <n v="0.62562307286188856"/>
    <n v="4.297611476487484E-2"/>
    <n v="95"/>
    <n v="76"/>
    <n v="0.99648592508959899"/>
    <n v="3.5140749104010105E-3"/>
  </r>
  <r>
    <x v="46"/>
    <x v="10"/>
    <s v="chad-2"/>
    <s v="K"/>
    <n v="6"/>
    <n v="7.14"/>
    <n v="14.137600000000001"/>
    <s v="K"/>
    <x v="1"/>
    <x v="3"/>
    <n v="102.72000000000001"/>
    <n v="348.54960000000005"/>
    <s v="aj-2"/>
    <x v="2"/>
    <n v="103.77999999999999"/>
    <n v="338.9511"/>
    <n v="0.48387643490903587"/>
    <n v="0.46621778911099743"/>
    <n v="-1.7658645798038441E-2"/>
    <n v="99"/>
    <n v="90"/>
    <n v="0.9964996242449583"/>
    <n v="3.5003757550416958E-3"/>
  </r>
  <r>
    <x v="95"/>
    <x v="6"/>
    <s v="aj-11"/>
    <s v="RB-2"/>
    <n v="11"/>
    <n v="12.24"/>
    <n v="61.779600000000002"/>
    <s v="RB"/>
    <x v="2"/>
    <x v="6"/>
    <n v="110.11"/>
    <n v="412.79880000000003"/>
    <s v="seth-11"/>
    <x v="0"/>
    <n v="98.329999999999984"/>
    <n v="378.70709999999997"/>
    <n v="0.66228767586387005"/>
    <n v="0.65179681607229933"/>
    <n v="-1.0490859791570717E-2"/>
    <n v="131"/>
    <n v="111"/>
    <n v="0.99655681728395262"/>
    <n v="3.4431827160473771E-3"/>
  </r>
  <r>
    <x v="141"/>
    <x v="7"/>
    <s v="devon-5"/>
    <s v="K"/>
    <n v="2"/>
    <n v="7.21"/>
    <n v="14.212899999999999"/>
    <s v="K"/>
    <x v="1"/>
    <x v="8"/>
    <n v="93.5"/>
    <n v="346.9006"/>
    <s v="cory-5"/>
    <x v="4"/>
    <n v="109.91"/>
    <n v="349.51409999999998"/>
    <n v="0.26702544199612877"/>
    <n v="0.20390601053811855"/>
    <n v="-6.3119431458010217E-2"/>
    <n v="105"/>
    <n v="100"/>
    <n v="0.9966177704119602"/>
    <n v="3.3822295880397979E-3"/>
  </r>
  <r>
    <x v="142"/>
    <x v="12"/>
    <s v="jason-6"/>
    <s v="WR/RB"/>
    <n v="11"/>
    <n v="8.91"/>
    <n v="43.428100000000001"/>
    <s v="WR/RB"/>
    <x v="0"/>
    <x v="4"/>
    <n v="86.090000000000018"/>
    <n v="366.05880000000002"/>
    <e v="#N/A"/>
    <x v="6"/>
    <n v="0"/>
    <n v="0"/>
    <n v="0.99999659648730843"/>
    <n v="0.99999954292850102"/>
    <n v="2.9464411925861356E-6"/>
    <n v="99"/>
    <n v="0"/>
    <n v="1"/>
    <n v="0"/>
  </r>
  <r>
    <x v="143"/>
    <x v="8"/>
    <s v="scott-9"/>
    <s v="WR-2"/>
    <n v="13"/>
    <n v="5.99"/>
    <n v="29.9209"/>
    <s v="WR"/>
    <x v="0"/>
    <x v="9"/>
    <n v="83.52"/>
    <n v="286.42129999999997"/>
    <s v="lucas-9"/>
    <x v="9"/>
    <n v="0"/>
    <n v="0"/>
    <n v="0.9999995992619003"/>
    <n v="0.99999999209820556"/>
    <n v="3.9283630526298907E-7"/>
    <n v="89"/>
    <n v="0"/>
    <n v="1"/>
    <n v="0"/>
  </r>
  <r>
    <x v="26"/>
    <x v="2"/>
    <s v="cory-13"/>
    <s v="WR-2"/>
    <n v="6"/>
    <n v="10.19"/>
    <n v="77.792400000000001"/>
    <s v="WR"/>
    <x v="0"/>
    <x v="5"/>
    <n v="106.87"/>
    <n v="444.05589999999995"/>
    <s v="scott-13"/>
    <x v="5"/>
    <n v="108.61"/>
    <n v="407.25390000000004"/>
    <n v="0.47622294087495948"/>
    <n v="0.41557927167745734"/>
    <n v="-6.0643669197502137E-2"/>
    <n v="86"/>
    <n v="66"/>
    <n v="0.99695253763139202"/>
    <n v="3.0474623686079783E-3"/>
  </r>
  <r>
    <x v="126"/>
    <x v="11"/>
    <s v="chad-1"/>
    <s v="QB-1"/>
    <n v="18"/>
    <n v="18.72"/>
    <n v="51.696100000000001"/>
    <s v="QB"/>
    <x v="4"/>
    <x v="3"/>
    <n v="101.75"/>
    <n v="333.15260000000001"/>
    <s v="matty-1"/>
    <x v="3"/>
    <n v="96.11"/>
    <n v="397.37959999999998"/>
    <n v="0.58264695809701372"/>
    <n v="0.57488895512009686"/>
    <n v="-7.7580029769168668E-3"/>
    <n v="95"/>
    <n v="76"/>
    <n v="0.99695316678177237"/>
    <n v="3.0468332182276292E-3"/>
  </r>
  <r>
    <x v="17"/>
    <x v="0"/>
    <s v="chad-10"/>
    <s v="RB-2"/>
    <n v="15"/>
    <n v="8.24"/>
    <n v="26.9361"/>
    <s v="RB"/>
    <x v="2"/>
    <x v="3"/>
    <n v="103.91999999999999"/>
    <n v="398.26569999999992"/>
    <s v="aj-10"/>
    <x v="2"/>
    <n v="110.08000000000001"/>
    <n v="372.64320000000004"/>
    <n v="0.41221140040071919"/>
    <n v="0.50877501289609073"/>
    <n v="9.6563612495371542E-2"/>
    <n v="103"/>
    <n v="82"/>
    <n v="0.99696279973371138"/>
    <n v="3.0372002662886199E-3"/>
  </r>
  <r>
    <x v="144"/>
    <x v="10"/>
    <s v="seth-2"/>
    <s v="K"/>
    <n v="7"/>
    <n v="6.3"/>
    <n v="16.809999999999999"/>
    <s v="K"/>
    <x v="1"/>
    <x v="1"/>
    <n v="91.78"/>
    <n v="333.71719999999993"/>
    <s v="matty-2"/>
    <x v="3"/>
    <n v="101.3"/>
    <n v="329.14109999999999"/>
    <n v="0.35577854462426967"/>
    <n v="0.36429367361673737"/>
    <n v="8.5151289924677021E-3"/>
    <n v="82"/>
    <n v="70"/>
    <n v="0.99707522267631421"/>
    <n v="2.9247773236857899E-3"/>
  </r>
  <r>
    <x v="145"/>
    <x v="5"/>
    <s v="scott-7"/>
    <s v="RB-1"/>
    <n v="8"/>
    <n v="14.81"/>
    <n v="73.7881"/>
    <s v="RB"/>
    <x v="2"/>
    <x v="9"/>
    <n v="114.48000000000002"/>
    <n v="430.3667999999999"/>
    <s v="matty-7"/>
    <x v="3"/>
    <n v="87.490000000000009"/>
    <n v="277.88929999999999"/>
    <n v="0.84474748784368747"/>
    <n v="0.78847890866363834"/>
    <n v="-5.6268579180049128E-2"/>
    <n v="82"/>
    <n v="65"/>
    <n v="0.99721287339502596"/>
    <n v="2.787126604974044E-3"/>
  </r>
  <r>
    <x v="146"/>
    <x v="8"/>
    <s v="perry-9"/>
    <s v="RB-2"/>
    <n v="10"/>
    <n v="6.82"/>
    <n v="31.472100000000001"/>
    <s v="RB"/>
    <x v="2"/>
    <x v="7"/>
    <n v="98.35"/>
    <n v="385.97739999999999"/>
    <s v="aj-9"/>
    <x v="2"/>
    <n v="102.03999999999999"/>
    <n v="392.2131"/>
    <n v="0.4473827117902357"/>
    <n v="0.4925547959746861"/>
    <n v="4.5172084184450401E-2"/>
    <n v="105"/>
    <n v="86"/>
    <n v="0.9975985507433266"/>
    <n v="2.4014492566734047E-3"/>
  </r>
  <r>
    <x v="77"/>
    <x v="0"/>
    <s v="perry-10"/>
    <s v="RB-2"/>
    <n v="11"/>
    <n v="18.829999999999998"/>
    <n v="64.480900000000005"/>
    <s v="RB"/>
    <x v="2"/>
    <x v="7"/>
    <n v="103.49"/>
    <n v="345.28400000000005"/>
    <s v="cory-10"/>
    <x v="4"/>
    <n v="93.17"/>
    <n v="328.34589999999997"/>
    <n v="0.65454511164456886"/>
    <n v="0.54018013717519042"/>
    <n v="-0.11436497446937843"/>
    <n v="106"/>
    <n v="91"/>
    <n v="0.99776606630996756"/>
    <n v="2.2339336900324414E-3"/>
  </r>
  <r>
    <x v="67"/>
    <x v="0"/>
    <s v="perry-10"/>
    <s v="K"/>
    <n v="10"/>
    <n v="7.15"/>
    <n v="18.0625"/>
    <s v="K"/>
    <x v="1"/>
    <x v="7"/>
    <n v="103.49"/>
    <n v="345.28400000000005"/>
    <s v="cory-10"/>
    <x v="4"/>
    <n v="93.17"/>
    <n v="328.34589999999997"/>
    <n v="0.65454511164456886"/>
    <n v="0.69650394352286382"/>
    <n v="4.1958831878294967E-2"/>
    <n v="106"/>
    <n v="91"/>
    <n v="0.99787392369866823"/>
    <n v="2.1260763013317696E-3"/>
  </r>
  <r>
    <x v="147"/>
    <x v="2"/>
    <s v="devon-13"/>
    <s v="RB-2"/>
    <n v="21"/>
    <n v="8.49"/>
    <n v="55.651600000000002"/>
    <s v="RB"/>
    <x v="2"/>
    <x v="8"/>
    <n v="97.46"/>
    <n v="368.81949999999995"/>
    <s v="perry-13"/>
    <x v="10"/>
    <n v="108.77"/>
    <n v="411.30060000000003"/>
    <n v="0.3427638257896819"/>
    <n v="0.51778024354784269"/>
    <n v="0.17501641775816079"/>
    <n v="133"/>
    <n v="99"/>
    <n v="0.99801601584464417"/>
    <n v="1.9839841553558335E-3"/>
  </r>
  <r>
    <x v="119"/>
    <x v="11"/>
    <s v="cory-1"/>
    <s v="QB-1"/>
    <n v="16"/>
    <n v="23"/>
    <n v="74.995599999999996"/>
    <s v="QB"/>
    <x v="4"/>
    <x v="5"/>
    <n v="105.11000000000001"/>
    <n v="445.52289999999994"/>
    <s v="perry-1"/>
    <x v="10"/>
    <n v="94.44"/>
    <n v="399.28809999999999"/>
    <n v="0.64322786671093812"/>
    <n v="0.55261600699507074"/>
    <n v="-9.0611859715867382E-2"/>
    <n v="100"/>
    <n v="82"/>
    <n v="0.99805431514340082"/>
    <n v="1.9456848565991836E-3"/>
  </r>
  <r>
    <x v="67"/>
    <x v="12"/>
    <s v="matty-6"/>
    <s v="K"/>
    <n v="12"/>
    <n v="7.51"/>
    <n v="18.662400000000002"/>
    <s v="K"/>
    <x v="1"/>
    <x v="0"/>
    <n v="109.91000000000001"/>
    <n v="387.28550000000001"/>
    <s v="perry-6"/>
    <x v="10"/>
    <n v="88.72"/>
    <n v="407.6961"/>
    <n v="0.77383629678575794"/>
    <n v="0.82164930337321407"/>
    <n v="4.7813006587456131E-2"/>
    <n v="119"/>
    <n v="102"/>
    <n v="0.99810923410150598"/>
    <n v="1.8907658984940179E-3"/>
  </r>
  <r>
    <x v="26"/>
    <x v="11"/>
    <s v="cory-1"/>
    <s v="WR-2"/>
    <n v="5"/>
    <n v="9.6"/>
    <n v="60.528399999999998"/>
    <s v="WR"/>
    <x v="0"/>
    <x v="5"/>
    <n v="105.11000000000001"/>
    <n v="445.52289999999994"/>
    <s v="perry-1"/>
    <x v="10"/>
    <n v="94.44"/>
    <n v="399.28809999999999"/>
    <n v="0.64322786671093812"/>
    <n v="0.58579710610570568"/>
    <n v="-5.7430760605232445E-2"/>
    <n v="100"/>
    <n v="82"/>
    <n v="0.9981630557096558"/>
    <n v="1.8369442903442001E-3"/>
  </r>
  <r>
    <x v="99"/>
    <x v="0"/>
    <s v="chad-10"/>
    <s v="K"/>
    <n v="17"/>
    <n v="8.2100000000000009"/>
    <n v="17.556100000000001"/>
    <s v="K"/>
    <x v="1"/>
    <x v="3"/>
    <n v="103.91999999999999"/>
    <n v="398.26569999999992"/>
    <s v="aj-10"/>
    <x v="2"/>
    <n v="110.08000000000001"/>
    <n v="372.64320000000004"/>
    <n v="0.41221140040071919"/>
    <n v="0.53816826679867824"/>
    <n v="0.12595686639795906"/>
    <n v="103"/>
    <n v="82"/>
    <n v="0.99821631417062329"/>
    <n v="1.7836858293767133E-3"/>
  </r>
  <r>
    <x v="148"/>
    <x v="12"/>
    <s v="seth-6"/>
    <s v="D/ST"/>
    <n v="21"/>
    <n v="5.32"/>
    <n v="37.822499999999998"/>
    <s v="D/ST"/>
    <x v="5"/>
    <x v="1"/>
    <n v="90.009999999999991"/>
    <n v="295.93350000000004"/>
    <s v="scott-6"/>
    <x v="5"/>
    <n v="110.30999999999999"/>
    <n v="388.52729999999997"/>
    <n v="0.21889557883251567"/>
    <n v="0.42791625121280008"/>
    <n v="0.20902067238028441"/>
    <n v="130"/>
    <n v="96"/>
    <n v="0.99855339375520025"/>
    <n v="1.446606244799753E-3"/>
  </r>
  <r>
    <x v="78"/>
    <x v="0"/>
    <s v="perry-10"/>
    <s v="RB-1"/>
    <n v="9"/>
    <n v="10.15"/>
    <n v="29.2681"/>
    <s v="RB"/>
    <x v="2"/>
    <x v="7"/>
    <n v="103.49"/>
    <n v="345.28400000000005"/>
    <s v="cory-10"/>
    <x v="4"/>
    <n v="93.17"/>
    <n v="328.34589999999997"/>
    <n v="0.65454511164456886"/>
    <n v="0.64104265513598579"/>
    <n v="-1.3502456508583061E-2"/>
    <n v="106"/>
    <n v="91"/>
    <n v="0.99858309339420015"/>
    <n v="1.4169066057998503E-3"/>
  </r>
  <r>
    <x v="74"/>
    <x v="7"/>
    <s v="devon-5"/>
    <s v="TE-1"/>
    <n v="0"/>
    <n v="5.77"/>
    <n v="12.96"/>
    <s v="TE"/>
    <x v="3"/>
    <x v="8"/>
    <n v="93.5"/>
    <n v="346.9006"/>
    <s v="cory-5"/>
    <x v="4"/>
    <n v="109.91"/>
    <n v="349.51409999999998"/>
    <n v="0.26702544199612877"/>
    <n v="0.19810435059149722"/>
    <n v="-6.892109140463154E-2"/>
    <n v="105"/>
    <n v="100"/>
    <n v="0.99861270481168396"/>
    <n v="1.38729518831604E-3"/>
  </r>
  <r>
    <x v="13"/>
    <x v="2"/>
    <s v="matty-13"/>
    <s v="WR-1"/>
    <n v="4"/>
    <n v="9.5399999999999991"/>
    <n v="23.522500000000001"/>
    <s v="WR"/>
    <x v="0"/>
    <x v="0"/>
    <n v="88.16"/>
    <n v="330.99250000000001"/>
    <s v="aj-13"/>
    <x v="2"/>
    <n v="116.54"/>
    <n v="371.12040000000002"/>
    <n v="0.14207393469061222"/>
    <n v="9.6437182313257888E-2"/>
    <n v="-4.5636752377354331E-2"/>
    <n v="117"/>
    <n v="108"/>
    <n v="0.99864093582340097"/>
    <n v="1.3590641765990341E-3"/>
  </r>
  <r>
    <x v="40"/>
    <x v="0"/>
    <s v="chad-10"/>
    <s v="D/ST"/>
    <n v="11"/>
    <n v="9.2799999999999994"/>
    <n v="40.832099999999997"/>
    <s v="D/ST"/>
    <x v="5"/>
    <x v="3"/>
    <n v="103.91999999999999"/>
    <n v="398.26569999999992"/>
    <s v="aj-10"/>
    <x v="2"/>
    <n v="110.08000000000001"/>
    <n v="372.64320000000004"/>
    <n v="0.41221140040071919"/>
    <n v="0.43473838741483994"/>
    <n v="2.2526987014120758E-2"/>
    <n v="103"/>
    <n v="82"/>
    <n v="0.99872445345134131"/>
    <n v="1.2755465486586903E-3"/>
  </r>
  <r>
    <x v="26"/>
    <x v="9"/>
    <s v="cory-4"/>
    <s v="WR-2"/>
    <n v="8"/>
    <n v="10.47"/>
    <n v="37.4544"/>
    <s v="WR"/>
    <x v="0"/>
    <x v="5"/>
    <n v="115.58999999999999"/>
    <n v="432.42160000000007"/>
    <s v="scott-4"/>
    <x v="5"/>
    <n v="113.07"/>
    <n v="452.41279999999995"/>
    <n v="0.53375673014127667"/>
    <n v="0.50068523691606859"/>
    <n v="-3.3071493225208082E-2"/>
    <n v="104"/>
    <n v="88"/>
    <n v="0.99872764571560091"/>
    <n v="1.2723542843990909E-3"/>
  </r>
  <r>
    <x v="149"/>
    <x v="2"/>
    <s v="chad-13"/>
    <s v="D/ST"/>
    <n v="2"/>
    <n v="7.76"/>
    <n v="42.640900000000002"/>
    <s v="D/ST"/>
    <x v="5"/>
    <x v="3"/>
    <n v="113.35"/>
    <n v="486.24799999999993"/>
    <s v="comp-13"/>
    <x v="8"/>
    <n v="104.63999999999999"/>
    <n v="400.33339999999998"/>
    <n v="0.6150563098213474"/>
    <n v="0.54044178269511156"/>
    <n v="-7.4614527126235841E-2"/>
    <n v="95"/>
    <n v="81"/>
    <n v="0.99876107654035173"/>
    <n v="1.2389234596482668E-3"/>
  </r>
  <r>
    <x v="60"/>
    <x v="2"/>
    <s v="seth-13"/>
    <s v="WR/RB"/>
    <n v="18"/>
    <n v="10.44"/>
    <n v="105.2676"/>
    <s v="WR/RB"/>
    <x v="2"/>
    <x v="1"/>
    <n v="93.77000000000001"/>
    <n v="387.786"/>
    <s v="lucas-13"/>
    <x v="9"/>
    <n v="0"/>
    <n v="0"/>
    <n v="0.9999990404590926"/>
    <n v="0.99999999917294224"/>
    <n v="9.5871384964141271E-7"/>
    <n v="98"/>
    <n v="0"/>
    <n v="1"/>
    <n v="0"/>
  </r>
  <r>
    <x v="33"/>
    <x v="4"/>
    <s v="devon-8"/>
    <s v="WR-2"/>
    <n v="8"/>
    <n v="9.26"/>
    <n v="28.09"/>
    <s v="WR"/>
    <x v="0"/>
    <x v="8"/>
    <n v="102.43"/>
    <n v="452.86560000000003"/>
    <s v="seth-8"/>
    <x v="0"/>
    <n v="96.57"/>
    <n v="368.03749999999997"/>
    <n v="0.58102934018980379"/>
    <n v="0.5648864558316582"/>
    <n v="-1.6142884358145593E-2"/>
    <n v="100"/>
    <n v="85"/>
    <n v="0.99892224475311497"/>
    <n v="1.077755246885026E-3"/>
  </r>
  <r>
    <x v="13"/>
    <x v="12"/>
    <s v="matty-6"/>
    <s v="WR-1"/>
    <n v="11"/>
    <n v="8.74"/>
    <n v="23.04"/>
    <s v="WR"/>
    <x v="0"/>
    <x v="0"/>
    <n v="109.91000000000001"/>
    <n v="387.28550000000001"/>
    <s v="perry-6"/>
    <x v="10"/>
    <n v="88.72"/>
    <n v="407.6961"/>
    <n v="0.77383629678575794"/>
    <n v="0.80066973748851045"/>
    <n v="2.6833440702752509E-2"/>
    <n v="119"/>
    <n v="102"/>
    <n v="0.99893268865815887"/>
    <n v="1.0673113418411262E-3"/>
  </r>
  <r>
    <x v="39"/>
    <x v="11"/>
    <s v="cory-1"/>
    <s v="WR-1"/>
    <n v="6"/>
    <n v="13.16"/>
    <n v="67.076099999999997"/>
    <s v="WR"/>
    <x v="0"/>
    <x v="5"/>
    <n v="105.11000000000001"/>
    <n v="445.52289999999994"/>
    <s v="perry-1"/>
    <x v="10"/>
    <n v="94.44"/>
    <n v="399.28809999999999"/>
    <n v="0.64322786671093812"/>
    <n v="0.55007903927301893"/>
    <n v="-9.3148827437919191E-2"/>
    <n v="100"/>
    <n v="82"/>
    <n v="0.99893699052679996"/>
    <n v="1.0630094732000384E-3"/>
  </r>
  <r>
    <x v="22"/>
    <x v="3"/>
    <s v="aj-3"/>
    <s v="K"/>
    <n v="4"/>
    <n v="7.81"/>
    <n v="14.668900000000001"/>
    <s v="K"/>
    <x v="1"/>
    <x v="6"/>
    <n v="107.31"/>
    <n v="425.77620000000002"/>
    <s v="seth-3"/>
    <x v="0"/>
    <n v="94.54"/>
    <n v="356.43470000000002"/>
    <n v="0.6760180870914847"/>
    <n v="0.62680860553994466"/>
    <n v="-4.9209481551540035E-2"/>
    <n v="96"/>
    <n v="88"/>
    <n v="0.99897726946664789"/>
    <n v="1.0227305333521119E-3"/>
  </r>
  <r>
    <x v="113"/>
    <x v="9"/>
    <s v="devon-4"/>
    <s v="WR-2"/>
    <n v="4"/>
    <n v="6.8"/>
    <n v="22.944099999999999"/>
    <s v="WR"/>
    <x v="0"/>
    <x v="8"/>
    <n v="99.78"/>
    <n v="369.21209999999996"/>
    <s v="perry-4"/>
    <x v="10"/>
    <n v="111.07000000000001"/>
    <n v="406.62959999999998"/>
    <n v="0.34261794725331807"/>
    <n v="0.30379973508952329"/>
    <n v="-3.8818212163794774E-2"/>
    <n v="84"/>
    <n v="72"/>
    <n v="0.99899844345779953"/>
    <n v="1.0015565422004657E-3"/>
  </r>
  <r>
    <x v="126"/>
    <x v="12"/>
    <s v="aj-6"/>
    <s v="QB-1"/>
    <n v="14"/>
    <n v="17.53"/>
    <n v="52.852899999999998"/>
    <s v="QB"/>
    <x v="4"/>
    <x v="6"/>
    <n v="108.8"/>
    <n v="404.29040000000003"/>
    <s v="cory-6"/>
    <x v="4"/>
    <n v="102.10000000000001"/>
    <n v="445.16630000000004"/>
    <n v="0.59090810623639012"/>
    <n v="0.54471320779271415"/>
    <n v="-4.6194898443675969E-2"/>
    <n v="104"/>
    <n v="85"/>
    <n v="0.9990292465952505"/>
    <n v="9.7075340474950256E-4"/>
  </r>
  <r>
    <x v="31"/>
    <x v="0"/>
    <s v="chad-10"/>
    <s v="RB-1"/>
    <n v="12"/>
    <n v="15.53"/>
    <n v="62.568100000000001"/>
    <s v="RB"/>
    <x v="2"/>
    <x v="3"/>
    <n v="103.91999999999999"/>
    <n v="398.26569999999992"/>
    <s v="aj-10"/>
    <x v="2"/>
    <n v="110.08000000000001"/>
    <n v="372.64320000000004"/>
    <n v="0.41221140040071919"/>
    <n v="0.35789731211426612"/>
    <n v="-5.4314088286453066E-2"/>
    <n v="103"/>
    <n v="82"/>
    <n v="0.99903610722598679"/>
    <n v="9.6389277401320861E-4"/>
  </r>
  <r>
    <x v="85"/>
    <x v="12"/>
    <s v="comp-6"/>
    <s v="D/ST"/>
    <n v="8"/>
    <n v="10.82"/>
    <n v="49.2804"/>
    <s v="D/ST"/>
    <x v="5"/>
    <x v="2"/>
    <n v="104.66"/>
    <n v="375.94899999999996"/>
    <s v="devon-6"/>
    <x v="7"/>
    <n v="101.41999999999999"/>
    <n v="401.13359999999994"/>
    <n v="0.54626414609906893"/>
    <n v="0.50621062247935633"/>
    <n v="-4.0053523619712594E-2"/>
    <n v="91"/>
    <n v="72"/>
    <n v="0.99905904457889128"/>
    <n v="9.4095542110872454E-4"/>
  </r>
  <r>
    <x v="33"/>
    <x v="10"/>
    <s v="devon-2"/>
    <s v="WR-1"/>
    <n v="26"/>
    <n v="10.3"/>
    <n v="34.456899999999997"/>
    <s v="WR"/>
    <x v="0"/>
    <x v="8"/>
    <n v="100.92999999999999"/>
    <n v="374.85250000000002"/>
    <s v="scott-2"/>
    <x v="5"/>
    <n v="103.25"/>
    <n v="377.00829999999996"/>
    <n v="0.46628591266319391"/>
    <n v="0.69130210360871036"/>
    <n v="0.22501619094551645"/>
    <n v="140"/>
    <n v="106"/>
    <n v="0.99908818519721221"/>
    <n v="9.1181480278779148E-4"/>
  </r>
  <r>
    <x v="55"/>
    <x v="11"/>
    <s v="cory-1"/>
    <s v="RB-2"/>
    <n v="9"/>
    <n v="10.82"/>
    <n v="39.942399999999999"/>
    <s v="RB"/>
    <x v="2"/>
    <x v="5"/>
    <n v="105.11000000000001"/>
    <n v="445.52289999999994"/>
    <s v="perry-1"/>
    <x v="10"/>
    <n v="94.44"/>
    <n v="399.28809999999999"/>
    <n v="0.64322786671093812"/>
    <n v="0.62245958913164112"/>
    <n v="-2.0768277579297001E-2"/>
    <n v="100"/>
    <n v="82"/>
    <n v="0.9991438757240495"/>
    <n v="8.5612427595049834E-4"/>
  </r>
  <r>
    <x v="150"/>
    <x v="3"/>
    <s v="scott-3"/>
    <s v="RB-2"/>
    <n v="26"/>
    <n v="9.31"/>
    <n v="17.892900000000001"/>
    <s v="RB"/>
    <x v="2"/>
    <x v="9"/>
    <n v="110.35"/>
    <n v="442.53309999999999"/>
    <s v="perry-3"/>
    <x v="10"/>
    <n v="101.86999999999999"/>
    <n v="350.57169999999996"/>
    <n v="0.61833611537492805"/>
    <n v="0.81700482118217588"/>
    <n v="0.19866870580724783"/>
    <n v="132"/>
    <n v="102"/>
    <n v="0.99917401737894018"/>
    <n v="8.2598262105981757E-4"/>
  </r>
  <r>
    <x v="151"/>
    <x v="5"/>
    <s v="scott-7"/>
    <s v="WR-1"/>
    <n v="6"/>
    <n v="9.1300000000000008"/>
    <n v="40.832099999999997"/>
    <s v="WR"/>
    <x v="0"/>
    <x v="9"/>
    <n v="114.48000000000002"/>
    <n v="430.3667999999999"/>
    <s v="matty-7"/>
    <x v="3"/>
    <n v="87.490000000000009"/>
    <n v="277.88929999999999"/>
    <n v="0.84474748784368747"/>
    <n v="0.82214472093878388"/>
    <n v="-2.2602766904903593E-2"/>
    <n v="82"/>
    <n v="65"/>
    <n v="0.9991843033739215"/>
    <n v="8.1569662607849924E-4"/>
  </r>
  <r>
    <x v="107"/>
    <x v="8"/>
    <s v="perry-9"/>
    <s v="WR-2"/>
    <n v="10"/>
    <n v="7.9"/>
    <n v="28.408899999999999"/>
    <s v="WR"/>
    <x v="0"/>
    <x v="7"/>
    <n v="98.35"/>
    <n v="385.97739999999999"/>
    <s v="aj-9"/>
    <x v="2"/>
    <n v="102.03999999999999"/>
    <n v="392.2131"/>
    <n v="0.4473827117902357"/>
    <n v="0.4768476116746676"/>
    <n v="2.9464899884431905E-2"/>
    <n v="105"/>
    <n v="86"/>
    <n v="0.99923972244799775"/>
    <n v="7.6027755200225311E-4"/>
  </r>
  <r>
    <x v="152"/>
    <x v="10"/>
    <s v="chad-2"/>
    <s v="WR-2"/>
    <n v="1"/>
    <n v="5.75"/>
    <n v="18.662400000000002"/>
    <s v="WR"/>
    <x v="0"/>
    <x v="3"/>
    <n v="102.72000000000001"/>
    <n v="348.54960000000005"/>
    <s v="aj-2"/>
    <x v="2"/>
    <n v="103.77999999999999"/>
    <n v="338.9511"/>
    <n v="0.48387643490903587"/>
    <n v="0.41112394262678542"/>
    <n v="-7.2752492282250447E-2"/>
    <n v="99"/>
    <n v="90"/>
    <n v="0.99927088558210619"/>
    <n v="7.2911441789380582E-4"/>
  </r>
  <r>
    <x v="43"/>
    <x v="12"/>
    <s v="matty-6"/>
    <s v="WR/RB"/>
    <n v="11"/>
    <n v="8.92"/>
    <n v="21.9024"/>
    <s v="WR/RB"/>
    <x v="2"/>
    <x v="0"/>
    <n v="109.91000000000001"/>
    <n v="387.28550000000001"/>
    <s v="perry-6"/>
    <x v="10"/>
    <n v="88.72"/>
    <n v="407.6961"/>
    <n v="0.77383629678575794"/>
    <n v="0.79868147097892406"/>
    <n v="2.484517419316612E-2"/>
    <n v="119"/>
    <n v="102"/>
    <n v="0.99928378200477341"/>
    <n v="7.162179952265868E-4"/>
  </r>
  <r>
    <x v="56"/>
    <x v="9"/>
    <s v="matty-4"/>
    <s v="WR-3"/>
    <n v="14"/>
    <n v="12.01"/>
    <n v="43.428100000000001"/>
    <s v="WR"/>
    <x v="0"/>
    <x v="0"/>
    <n v="109.71999999999998"/>
    <n v="421.03860000000003"/>
    <s v="lucas-4"/>
    <x v="9"/>
    <n v="0"/>
    <n v="0"/>
    <n v="0.99999995533253605"/>
    <n v="0.99999999550352103"/>
    <n v="4.0170984982879077E-8"/>
    <n v="92"/>
    <n v="0"/>
    <n v="1"/>
    <n v="0"/>
  </r>
  <r>
    <x v="114"/>
    <x v="0"/>
    <s v="chad-10"/>
    <s v="QB-1"/>
    <n v="13"/>
    <n v="20.39"/>
    <n v="79.0321"/>
    <s v="QB"/>
    <x v="4"/>
    <x v="3"/>
    <n v="103.91999999999999"/>
    <n v="398.26569999999992"/>
    <s v="aj-10"/>
    <x v="2"/>
    <n v="110.08000000000001"/>
    <n v="372.64320000000004"/>
    <n v="0.41221140040071919"/>
    <n v="0.30322774661856183"/>
    <n v="-0.10898365378215735"/>
    <n v="103"/>
    <n v="82"/>
    <n v="0.99929714444120854"/>
    <n v="7.0285555879145978E-4"/>
  </r>
  <r>
    <x v="153"/>
    <x v="6"/>
    <s v="aj-11"/>
    <s v="QB-1"/>
    <n v="17"/>
    <n v="17.95"/>
    <n v="43.0336"/>
    <s v="QB"/>
    <x v="4"/>
    <x v="6"/>
    <n v="110.11"/>
    <n v="412.79880000000003"/>
    <s v="seth-11"/>
    <x v="0"/>
    <n v="98.329999999999984"/>
    <n v="378.70709999999997"/>
    <n v="0.66228767586387005"/>
    <n v="0.65389549822498316"/>
    <n v="-8.3921776388868885E-3"/>
    <n v="131"/>
    <n v="111"/>
    <n v="0.99929744075259197"/>
    <n v="7.0255924740803E-4"/>
  </r>
  <r>
    <x v="108"/>
    <x v="7"/>
    <s v="jason-5"/>
    <s v="RB-1"/>
    <n v="8"/>
    <n v="14.77"/>
    <n v="92.544399999999996"/>
    <s v="RB"/>
    <x v="2"/>
    <x v="4"/>
    <n v="89.689999999999984"/>
    <n v="445.42419999999998"/>
    <e v="#N/A"/>
    <x v="6"/>
    <n v="0"/>
    <n v="0"/>
    <n v="0.99998929661032787"/>
    <n v="0.99999492933426726"/>
    <n v="5.6327239393860751E-6"/>
    <n v="93"/>
    <n v="0"/>
    <n v="1"/>
    <n v="0"/>
  </r>
  <r>
    <x v="39"/>
    <x v="9"/>
    <s v="cory-4"/>
    <s v="WR-1"/>
    <n v="3"/>
    <n v="12.34"/>
    <n v="62.726399999999998"/>
    <s v="WR"/>
    <x v="0"/>
    <x v="5"/>
    <n v="115.58999999999999"/>
    <n v="432.42160000000007"/>
    <s v="scott-4"/>
    <x v="5"/>
    <n v="113.07"/>
    <n v="452.41279999999995"/>
    <n v="0.53375673014127667"/>
    <n v="0.40599515401377745"/>
    <n v="-0.12776157612749922"/>
    <n v="104"/>
    <n v="88"/>
    <n v="0.99931165700366287"/>
    <n v="6.8834299633713236E-4"/>
  </r>
  <r>
    <x v="102"/>
    <x v="6"/>
    <s v="aj-11"/>
    <s v="TE-1"/>
    <n v="9"/>
    <n v="6.95"/>
    <n v="31.472100000000001"/>
    <s v="TE"/>
    <x v="3"/>
    <x v="6"/>
    <n v="110.11"/>
    <n v="412.79880000000003"/>
    <s v="seth-11"/>
    <x v="0"/>
    <n v="98.329999999999984"/>
    <n v="378.70709999999997"/>
    <n v="0.66228767586387005"/>
    <n v="0.69204512444608213"/>
    <n v="2.9757448582212076E-2"/>
    <n v="131"/>
    <n v="111"/>
    <n v="0.99931201163478434"/>
    <n v="6.8798836521566376E-4"/>
  </r>
  <r>
    <x v="31"/>
    <x v="11"/>
    <s v="chad-1"/>
    <s v="RB-1"/>
    <n v="15"/>
    <n v="14.43"/>
    <n v="32.832900000000002"/>
    <s v="RB"/>
    <x v="2"/>
    <x v="3"/>
    <n v="101.75"/>
    <n v="333.15260000000001"/>
    <s v="matty-1"/>
    <x v="3"/>
    <n v="96.11"/>
    <n v="397.37959999999998"/>
    <n v="0.58264695809701372"/>
    <n v="0.59293545478290566"/>
    <n v="1.0288496685891935E-2"/>
    <n v="95"/>
    <n v="76"/>
    <n v="0.99935096223177144"/>
    <n v="6.490377682285553E-4"/>
  </r>
  <r>
    <x v="97"/>
    <x v="0"/>
    <s v="chad-10"/>
    <s v="WR/RB"/>
    <n v="9"/>
    <n v="10.07"/>
    <n v="46.648899999999998"/>
    <s v="WR/RB"/>
    <x v="0"/>
    <x v="3"/>
    <n v="103.91999999999999"/>
    <n v="398.26569999999992"/>
    <s v="aj-10"/>
    <x v="2"/>
    <n v="110.08000000000001"/>
    <n v="372.64320000000004"/>
    <n v="0.41221140040071919"/>
    <n v="0.39409851560679032"/>
    <n v="-1.8112884793928863E-2"/>
    <n v="103"/>
    <n v="82"/>
    <n v="0.99938392710991863"/>
    <n v="6.1607289008136501E-4"/>
  </r>
  <r>
    <x v="86"/>
    <x v="8"/>
    <s v="scott-9"/>
    <s v="D/ST"/>
    <n v="14"/>
    <n v="9.56"/>
    <n v="29.2681"/>
    <s v="D/ST"/>
    <x v="5"/>
    <x v="9"/>
    <n v="83.52"/>
    <n v="286.42129999999997"/>
    <s v="lucas-9"/>
    <x v="9"/>
    <n v="0"/>
    <n v="0"/>
    <n v="0.9999995992619003"/>
    <n v="0.99999997934516427"/>
    <n v="3.8008326397331871E-7"/>
    <n v="89"/>
    <n v="0"/>
    <n v="1"/>
    <n v="0"/>
  </r>
  <r>
    <x v="41"/>
    <x v="2"/>
    <s v="devon-13"/>
    <s v="WR/RB"/>
    <n v="21"/>
    <n v="9.6"/>
    <n v="48.024900000000002"/>
    <s v="WR/RB"/>
    <x v="2"/>
    <x v="8"/>
    <n v="97.46"/>
    <n v="368.81949999999995"/>
    <s v="perry-13"/>
    <x v="10"/>
    <n v="108.77"/>
    <n v="411.30060000000003"/>
    <n v="0.3427638257896819"/>
    <n v="0.50132699105297096"/>
    <n v="0.15856316526328906"/>
    <n v="133"/>
    <n v="99"/>
    <n v="0.99944525845675158"/>
    <n v="5.5474154324841596E-4"/>
  </r>
  <r>
    <x v="105"/>
    <x v="0"/>
    <s v="chad-10"/>
    <s v="WR-2"/>
    <n v="7"/>
    <n v="11.3"/>
    <n v="58.828899999999997"/>
    <s v="WR"/>
    <x v="0"/>
    <x v="3"/>
    <n v="103.91999999999999"/>
    <n v="398.26569999999992"/>
    <s v="aj-10"/>
    <x v="2"/>
    <n v="110.08000000000001"/>
    <n v="372.64320000000004"/>
    <n v="0.41221140040071919"/>
    <n v="0.34753536800460483"/>
    <n v="-6.4676032396114358E-2"/>
    <n v="103"/>
    <n v="82"/>
    <n v="0.9995140995654288"/>
    <n v="4.8590043457119592E-4"/>
  </r>
  <r>
    <x v="40"/>
    <x v="11"/>
    <s v="chad-1"/>
    <s v="D/ST"/>
    <n v="6"/>
    <n v="7.18"/>
    <n v="37.21"/>
    <s v="D/ST"/>
    <x v="5"/>
    <x v="3"/>
    <n v="101.75"/>
    <n v="333.15260000000001"/>
    <s v="matty-1"/>
    <x v="3"/>
    <n v="96.11"/>
    <n v="397.37959999999998"/>
    <n v="0.58264695809701372"/>
    <n v="0.5672519170820105"/>
    <n v="-1.5395041015003219E-2"/>
    <n v="95"/>
    <n v="76"/>
    <n v="0.99953050587106751"/>
    <n v="4.6949412893249054E-4"/>
  </r>
  <r>
    <x v="26"/>
    <x v="6"/>
    <s v="cory-11"/>
    <s v="WR-2"/>
    <n v="14"/>
    <n v="10.199999999999999"/>
    <n v="67.4041"/>
    <s v="WR"/>
    <x v="0"/>
    <x v="5"/>
    <n v="102.11"/>
    <n v="431.97960000000006"/>
    <s v="chad-11"/>
    <x v="1"/>
    <n v="106.58"/>
    <n v="427.68610000000001"/>
    <n v="0.43941389461043751"/>
    <n v="0.49050468111424694"/>
    <n v="5.1090786503809438E-2"/>
    <n v="130"/>
    <n v="99"/>
    <n v="0.99953854936371966"/>
    <n v="4.6145063628033611E-4"/>
  </r>
  <r>
    <x v="154"/>
    <x v="8"/>
    <s v="scott-9"/>
    <s v="WR/RB"/>
    <n v="11"/>
    <n v="8.0299999999999994"/>
    <n v="32.604100000000003"/>
    <s v="WR/RB"/>
    <x v="0"/>
    <x v="9"/>
    <n v="83.52"/>
    <n v="286.42129999999997"/>
    <s v="lucas-9"/>
    <x v="9"/>
    <n v="0"/>
    <n v="0"/>
    <n v="0.9999995992619003"/>
    <n v="0.99999997163593146"/>
    <n v="3.7237403116563428E-7"/>
    <n v="89"/>
    <n v="0"/>
    <n v="1"/>
    <n v="0"/>
  </r>
  <r>
    <x v="23"/>
    <x v="12"/>
    <s v="matty-6"/>
    <s v="RB-2"/>
    <n v="9"/>
    <n v="8.0399999999999991"/>
    <n v="23.04"/>
    <s v="RB"/>
    <x v="2"/>
    <x v="0"/>
    <n v="109.91000000000001"/>
    <n v="387.28550000000001"/>
    <s v="perry-6"/>
    <x v="10"/>
    <n v="88.72"/>
    <n v="407.6961"/>
    <n v="0.77383629678575794"/>
    <n v="0.78734013439012485"/>
    <n v="1.3503837604366908E-2"/>
    <n v="119"/>
    <n v="102"/>
    <n v="0.99958361498297654"/>
    <n v="4.1638501702345732E-4"/>
  </r>
  <r>
    <x v="155"/>
    <x v="6"/>
    <s v="comp-11"/>
    <s v="D/ST"/>
    <n v="-4"/>
    <n v="7.33"/>
    <n v="36.9664"/>
    <s v="D/ST"/>
    <x v="5"/>
    <x v="2"/>
    <n v="98.580000000000013"/>
    <n v="364.4375"/>
    <s v="matty-11"/>
    <x v="3"/>
    <n v="88.670000000000016"/>
    <n v="334.39179999999999"/>
    <n v="0.64612380466415886"/>
    <n v="0.47799132388715626"/>
    <n v="-0.1681324807770026"/>
    <n v="111"/>
    <n v="102"/>
    <n v="0.99958672907697854"/>
    <n v="4.1327092302145818E-4"/>
  </r>
  <r>
    <x v="105"/>
    <x v="2"/>
    <s v="chad-13"/>
    <s v="WR-2"/>
    <n v="1"/>
    <n v="12.35"/>
    <n v="57.153599999999997"/>
    <s v="WR"/>
    <x v="0"/>
    <x v="3"/>
    <n v="113.35"/>
    <n v="486.24799999999993"/>
    <s v="comp-13"/>
    <x v="8"/>
    <n v="104.63999999999999"/>
    <n v="400.33339999999998"/>
    <n v="0.6150563098213474"/>
    <n v="0.46348117317700022"/>
    <n v="-0.15157513664434719"/>
    <n v="95"/>
    <n v="81"/>
    <n v="0.9996005485443431"/>
    <n v="3.9945145565689621E-4"/>
  </r>
  <r>
    <x v="55"/>
    <x v="2"/>
    <s v="cory-13"/>
    <s v="RB-1"/>
    <n v="8"/>
    <n v="11.49"/>
    <n v="48.720399999999998"/>
    <s v="RB"/>
    <x v="2"/>
    <x v="5"/>
    <n v="106.87"/>
    <n v="444.05589999999995"/>
    <s v="scott-13"/>
    <x v="5"/>
    <n v="108.61"/>
    <n v="407.25390000000004"/>
    <n v="0.47622294087495948"/>
    <n v="0.42676751150107495"/>
    <n v="-4.945542937388453E-2"/>
    <n v="86"/>
    <n v="66"/>
    <n v="0.99961773851377234"/>
    <n v="3.8226148622766409E-4"/>
  </r>
  <r>
    <x v="156"/>
    <x v="9"/>
    <s v="matty-4"/>
    <s v="D/ST"/>
    <n v="10"/>
    <n v="8.44"/>
    <n v="40.576900000000002"/>
    <s v="D/ST"/>
    <x v="5"/>
    <x v="0"/>
    <n v="109.71999999999998"/>
    <n v="421.03860000000003"/>
    <s v="lucas-4"/>
    <x v="9"/>
    <n v="0"/>
    <n v="0"/>
    <n v="0.99999995533253605"/>
    <n v="0.99999999418553498"/>
    <n v="3.8852998929250759E-8"/>
    <n v="92"/>
    <n v="0"/>
    <n v="1"/>
    <n v="0"/>
  </r>
  <r>
    <x v="46"/>
    <x v="11"/>
    <s v="chad-1"/>
    <s v="K"/>
    <n v="14"/>
    <n v="7.35"/>
    <n v="13.3956"/>
    <s v="K"/>
    <x v="1"/>
    <x v="3"/>
    <n v="101.75"/>
    <n v="333.15260000000001"/>
    <s v="matty-1"/>
    <x v="3"/>
    <n v="96.11"/>
    <n v="397.37959999999998"/>
    <n v="0.58264695809701372"/>
    <n v="0.67685948664442031"/>
    <n v="9.4212528547406582E-2"/>
    <n v="95"/>
    <n v="76"/>
    <n v="0.99963000442426531"/>
    <n v="3.6999557573469399E-4"/>
  </r>
  <r>
    <x v="46"/>
    <x v="9"/>
    <s v="chad-4"/>
    <s v="K"/>
    <n v="7"/>
    <n v="6.48"/>
    <n v="11.1556"/>
    <s v="K"/>
    <x v="1"/>
    <x v="3"/>
    <n v="99.8"/>
    <n v="351.46400000000006"/>
    <s v="seth-4"/>
    <x v="0"/>
    <n v="104.32"/>
    <n v="390.96559999999999"/>
    <n v="0.43412317323121657"/>
    <n v="0.44120388924682818"/>
    <n v="7.08071601561161E-3"/>
    <n v="123"/>
    <n v="111"/>
    <n v="0.99970603870854169"/>
    <n v="2.9396129145831118E-4"/>
  </r>
  <r>
    <x v="21"/>
    <x v="4"/>
    <s v="devon-8"/>
    <s v="WR-1"/>
    <n v="1"/>
    <n v="9.27"/>
    <n v="45.5625"/>
    <s v="WR"/>
    <x v="0"/>
    <x v="8"/>
    <n v="102.43"/>
    <n v="452.86560000000003"/>
    <s v="seth-8"/>
    <x v="0"/>
    <n v="96.57"/>
    <n v="368.03749999999997"/>
    <n v="0.58102934018980379"/>
    <n v="0.46551431179843733"/>
    <n v="-0.11551502839136646"/>
    <n v="100"/>
    <n v="85"/>
    <n v="0.99971700281134213"/>
    <n v="2.8299718865787415E-4"/>
  </r>
  <r>
    <x v="89"/>
    <x v="8"/>
    <s v="cory-9"/>
    <s v="QB-1"/>
    <n v="2"/>
    <n v="18.57"/>
    <n v="50.694400000000002"/>
    <s v="QB"/>
    <x v="4"/>
    <x v="5"/>
    <n v="90.69"/>
    <n v="356.05790000000002"/>
    <s v="devon-9"/>
    <x v="7"/>
    <n v="104.66"/>
    <n v="474.51049999999998"/>
    <n v="0.31393045538359282"/>
    <n v="0.13706615809016207"/>
    <n v="-0.17686429729343076"/>
    <n v="89"/>
    <n v="81"/>
    <n v="0.9997205804085787"/>
    <n v="2.7941959142130379E-4"/>
  </r>
  <r>
    <x v="34"/>
    <x v="3"/>
    <s v="aj-3"/>
    <s v="D/ST"/>
    <n v="-6"/>
    <n v="11.32"/>
    <n v="53.728900000000003"/>
    <s v="D/ST"/>
    <x v="5"/>
    <x v="6"/>
    <n v="107.31"/>
    <n v="425.77620000000002"/>
    <s v="seth-3"/>
    <x v="0"/>
    <n v="94.54"/>
    <n v="356.43470000000002"/>
    <n v="0.6760180870914847"/>
    <n v="0.43306412722433629"/>
    <n v="-0.24295395986714841"/>
    <n v="96"/>
    <n v="88"/>
    <n v="0.99972413571438956"/>
    <n v="2.7586428561043874E-4"/>
  </r>
  <r>
    <x v="145"/>
    <x v="3"/>
    <s v="scott-3"/>
    <s v="RB-1"/>
    <n v="19"/>
    <n v="14.89"/>
    <n v="56.100099999999998"/>
    <s v="RB"/>
    <x v="2"/>
    <x v="9"/>
    <n v="110.35"/>
    <n v="442.53309999999999"/>
    <s v="perry-3"/>
    <x v="10"/>
    <n v="101.86999999999999"/>
    <n v="350.57169999999996"/>
    <n v="0.61833611537492805"/>
    <n v="0.67858912017297413"/>
    <n v="6.0253004798046073E-2"/>
    <n v="132"/>
    <n v="102"/>
    <n v="0.99972649084490217"/>
    <n v="2.7350915509782858E-4"/>
  </r>
  <r>
    <x v="157"/>
    <x v="5"/>
    <s v="scott-7"/>
    <s v="TE-1"/>
    <n v="7"/>
    <n v="5.46"/>
    <n v="19.980899999999998"/>
    <s v="TE"/>
    <x v="3"/>
    <x v="9"/>
    <n v="114.48000000000002"/>
    <n v="430.3667999999999"/>
    <s v="matty-7"/>
    <x v="3"/>
    <n v="87.490000000000009"/>
    <n v="277.88929999999999"/>
    <n v="0.84474748784368747"/>
    <n v="0.86158731979267034"/>
    <n v="1.6839831948982864E-2"/>
    <n v="82"/>
    <n v="65"/>
    <n v="0.99972851774761651"/>
    <n v="2.7148225238349255E-4"/>
  </r>
  <r>
    <x v="108"/>
    <x v="4"/>
    <s v="aj-8"/>
    <s v="RB-2"/>
    <n v="23"/>
    <n v="16.739999999999998"/>
    <n v="84.088899999999995"/>
    <s v="RB"/>
    <x v="2"/>
    <x v="6"/>
    <n v="114.1"/>
    <n v="458.87900000000002"/>
    <s v="lucas-8"/>
    <x v="9"/>
    <n v="0"/>
    <n v="0"/>
    <n v="0.99999994992018415"/>
    <n v="0.99999999974679277"/>
    <n v="4.9826608616854173E-8"/>
    <n v="113"/>
    <n v="0"/>
    <n v="1"/>
    <n v="0"/>
  </r>
  <r>
    <x v="158"/>
    <x v="8"/>
    <s v="perry-9"/>
    <s v="D/ST"/>
    <n v="3"/>
    <n v="7.82"/>
    <n v="47.334400000000002"/>
    <s v="D/ST"/>
    <x v="5"/>
    <x v="7"/>
    <n v="98.35"/>
    <n v="385.97739999999999"/>
    <s v="aj-9"/>
    <x v="2"/>
    <n v="102.03999999999999"/>
    <n v="392.2131"/>
    <n v="0.4473827117902357"/>
    <n v="0.37646256282021007"/>
    <n v="-7.0920148970025632E-2"/>
    <n v="105"/>
    <n v="86"/>
    <n v="0.99973211983340515"/>
    <n v="2.6788016659484715E-4"/>
  </r>
  <r>
    <x v="24"/>
    <x v="8"/>
    <s v="seth-9"/>
    <s v="D/ST"/>
    <n v="4"/>
    <n v="6.64"/>
    <n v="35.521599999999999"/>
    <s v="D/ST"/>
    <x v="5"/>
    <x v="1"/>
    <n v="92.559999999999988"/>
    <n v="350.31569999999999"/>
    <s v="comp-9"/>
    <x v="8"/>
    <n v="80.800000000000011"/>
    <n v="290.44450000000001"/>
    <n v="0.67888350653659379"/>
    <n v="0.64457234804781161"/>
    <n v="-3.431115848878219E-2"/>
    <n v="95"/>
    <n v="77"/>
    <n v="0.99973299239709101"/>
    <n v="2.6700760290898629E-4"/>
  </r>
  <r>
    <x v="112"/>
    <x v="8"/>
    <s v="seth-9"/>
    <s v="RB-1"/>
    <n v="7"/>
    <n v="12.8"/>
    <n v="47.196899999999999"/>
    <s v="RB"/>
    <x v="2"/>
    <x v="1"/>
    <n v="92.559999999999988"/>
    <n v="350.31569999999999"/>
    <s v="comp-9"/>
    <x v="8"/>
    <n v="80.800000000000011"/>
    <n v="290.44450000000001"/>
    <n v="0.67888350653659379"/>
    <n v="0.59662919300401773"/>
    <n v="-8.2254313532576062E-2"/>
    <n v="95"/>
    <n v="77"/>
    <n v="0.99973423061150724"/>
    <n v="2.6576938849276477E-4"/>
  </r>
  <r>
    <x v="69"/>
    <x v="0"/>
    <s v="chad-10"/>
    <s v="WR-3"/>
    <n v="13"/>
    <n v="8.85"/>
    <n v="23.328900000000001"/>
    <s v="WR"/>
    <x v="0"/>
    <x v="3"/>
    <n v="103.91999999999999"/>
    <n v="398.26569999999992"/>
    <s v="aj-10"/>
    <x v="2"/>
    <n v="110.08000000000001"/>
    <n v="372.64320000000004"/>
    <n v="0.41221140040071919"/>
    <n v="0.47069874275325213"/>
    <n v="5.8487342352532945E-2"/>
    <n v="103"/>
    <n v="82"/>
    <n v="0.99975723307692188"/>
    <n v="2.4276692307811931E-4"/>
  </r>
  <r>
    <x v="6"/>
    <x v="12"/>
    <s v="jason-6"/>
    <s v="K"/>
    <n v="12"/>
    <n v="7.73"/>
    <n v="20.25"/>
    <s v="K"/>
    <x v="1"/>
    <x v="4"/>
    <n v="86.090000000000018"/>
    <n v="366.05880000000002"/>
    <e v="#N/A"/>
    <x v="6"/>
    <n v="0"/>
    <n v="0"/>
    <n v="0.99999659648730843"/>
    <n v="0.99999941047595664"/>
    <n v="2.8139886482092535E-6"/>
    <n v="99"/>
    <n v="0"/>
    <n v="1"/>
    <n v="0"/>
  </r>
  <r>
    <x v="11"/>
    <x v="4"/>
    <s v="aj-8"/>
    <s v="WR/RB"/>
    <n v="19"/>
    <n v="15.66"/>
    <n v="97.022499999999994"/>
    <s v="WR/RB"/>
    <x v="2"/>
    <x v="6"/>
    <n v="114.1"/>
    <n v="458.87900000000002"/>
    <s v="lucas-8"/>
    <x v="9"/>
    <n v="0"/>
    <n v="0"/>
    <n v="0.99999994992018415"/>
    <n v="0.99999999966651965"/>
    <n v="4.9746335495370886E-8"/>
    <n v="113"/>
    <n v="0"/>
    <n v="1"/>
    <n v="0"/>
  </r>
  <r>
    <x v="97"/>
    <x v="11"/>
    <s v="chad-1"/>
    <s v="WR-1"/>
    <n v="6"/>
    <n v="11.45"/>
    <n v="48.163600000000002"/>
    <s v="WR"/>
    <x v="0"/>
    <x v="3"/>
    <n v="101.75"/>
    <n v="333.15260000000001"/>
    <s v="matty-1"/>
    <x v="3"/>
    <n v="96.11"/>
    <n v="397.37959999999998"/>
    <n v="0.58264695809701372"/>
    <n v="0.50290168537256219"/>
    <n v="-7.9745272724451532E-2"/>
    <n v="95"/>
    <n v="76"/>
    <n v="0.99978669839185719"/>
    <n v="2.1330160814281296E-4"/>
  </r>
  <r>
    <x v="159"/>
    <x v="11"/>
    <s v="cory-1"/>
    <s v="WR/RB"/>
    <n v="0"/>
    <n v="8.23"/>
    <n v="54.908099999999997"/>
    <s v="WR/RB"/>
    <x v="2"/>
    <x v="5"/>
    <n v="105.11000000000001"/>
    <n v="445.52289999999994"/>
    <s v="perry-1"/>
    <x v="10"/>
    <n v="94.44"/>
    <n v="399.28809999999999"/>
    <n v="0.64322786671093812"/>
    <n v="0.53459136950655783"/>
    <n v="-0.10863649720438029"/>
    <n v="100"/>
    <n v="82"/>
    <n v="0.99979979321151613"/>
    <n v="2.0020678848386986E-4"/>
  </r>
  <r>
    <x v="128"/>
    <x v="5"/>
    <s v="scott-7"/>
    <s v="QB-1"/>
    <n v="17"/>
    <n v="24.7"/>
    <n v="48.163600000000002"/>
    <s v="QB"/>
    <x v="4"/>
    <x v="9"/>
    <n v="114.48000000000002"/>
    <n v="430.3667999999999"/>
    <s v="matty-7"/>
    <x v="3"/>
    <n v="87.490000000000009"/>
    <n v="277.88929999999999"/>
    <n v="0.84474748784368747"/>
    <n v="0.77361638045791203"/>
    <n v="-7.1131107385775438E-2"/>
    <n v="82"/>
    <n v="65"/>
    <n v="0.99981392036472727"/>
    <n v="1.8607963527272897E-4"/>
  </r>
  <r>
    <x v="160"/>
    <x v="10"/>
    <s v="seth-2"/>
    <s v="RB-2"/>
    <n v="1"/>
    <n v="8.33"/>
    <n v="29.4849"/>
    <s v="RB"/>
    <x v="2"/>
    <x v="1"/>
    <n v="91.78"/>
    <n v="333.71719999999993"/>
    <s v="matty-2"/>
    <x v="3"/>
    <n v="101.3"/>
    <n v="329.14109999999999"/>
    <n v="0.35577854462426967"/>
    <n v="0.25157874791770085"/>
    <n v="-0.10419979670656881"/>
    <n v="82"/>
    <n v="70"/>
    <n v="0.9998144685447381"/>
    <n v="1.8553145526190029E-4"/>
  </r>
  <r>
    <x v="69"/>
    <x v="2"/>
    <s v="chad-13"/>
    <s v="WR-3"/>
    <n v="3"/>
    <n v="10.26"/>
    <n v="35.640900000000002"/>
    <s v="WR"/>
    <x v="0"/>
    <x v="3"/>
    <n v="113.35"/>
    <n v="486.24799999999993"/>
    <s v="comp-13"/>
    <x v="8"/>
    <n v="104.63999999999999"/>
    <n v="400.33339999999998"/>
    <n v="0.6150563098213474"/>
    <n v="0.51982209979610783"/>
    <n v="-9.5234210025239574E-2"/>
    <n v="95"/>
    <n v="81"/>
    <n v="0.99981537525463549"/>
    <n v="1.8462474536451445E-4"/>
  </r>
  <r>
    <x v="161"/>
    <x v="10"/>
    <s v="seth-2"/>
    <s v="WR-2"/>
    <n v="3"/>
    <n v="9.34"/>
    <n v="26.522500000000001"/>
    <s v="WR"/>
    <x v="0"/>
    <x v="1"/>
    <n v="91.78"/>
    <n v="333.71719999999993"/>
    <s v="matty-2"/>
    <x v="3"/>
    <n v="101.3"/>
    <n v="329.14109999999999"/>
    <n v="0.35577854462426967"/>
    <n v="0.26476489780586981"/>
    <n v="-9.1013646818399851E-2"/>
    <n v="82"/>
    <n v="70"/>
    <n v="0.99981539355247351"/>
    <n v="1.8460644752649191E-4"/>
  </r>
  <r>
    <x v="21"/>
    <x v="9"/>
    <s v="devon-4"/>
    <s v="WR-1"/>
    <n v="3"/>
    <n v="9.34"/>
    <n v="26.3169"/>
    <s v="WR"/>
    <x v="0"/>
    <x v="8"/>
    <n v="99.78"/>
    <n v="369.21209999999996"/>
    <s v="perry-4"/>
    <x v="10"/>
    <n v="111.07000000000001"/>
    <n v="406.62959999999998"/>
    <n v="0.34261794725331807"/>
    <n v="0.25980048583003734"/>
    <n v="-8.2817461423280725E-2"/>
    <n v="84"/>
    <n v="72"/>
    <n v="0.99982491866694234"/>
    <n v="1.7508133305765838E-4"/>
  </r>
  <r>
    <x v="70"/>
    <x v="12"/>
    <s v="comp-6"/>
    <s v="WR-2"/>
    <n v="7"/>
    <n v="12.43"/>
    <n v="46.648899999999998"/>
    <s v="WR"/>
    <x v="0"/>
    <x v="2"/>
    <n v="104.66"/>
    <n v="375.94899999999996"/>
    <s v="devon-6"/>
    <x v="7"/>
    <n v="101.41999999999999"/>
    <n v="401.13359999999994"/>
    <n v="0.54626414609906893"/>
    <n v="0.46770846295034374"/>
    <n v="-7.8555683148725186E-2"/>
    <n v="91"/>
    <n v="72"/>
    <n v="0.99982613135046228"/>
    <n v="1.7386864953772285E-4"/>
  </r>
  <r>
    <x v="55"/>
    <x v="6"/>
    <s v="cory-11"/>
    <s v="RB-1"/>
    <n v="14"/>
    <n v="10.64"/>
    <n v="59.29"/>
    <s v="RB"/>
    <x v="2"/>
    <x v="5"/>
    <n v="102.11"/>
    <n v="431.97960000000006"/>
    <s v="chad-11"/>
    <x v="1"/>
    <n v="106.58"/>
    <n v="427.68610000000001"/>
    <n v="0.43941389461043751"/>
    <n v="0.484351429057993"/>
    <n v="4.4937534447555494E-2"/>
    <n v="130"/>
    <n v="99"/>
    <n v="0.99983441371650594"/>
    <n v="1.6558628349405691E-4"/>
  </r>
  <r>
    <x v="162"/>
    <x v="8"/>
    <s v="scott-9"/>
    <s v="TE-1"/>
    <n v="12"/>
    <n v="6.46"/>
    <n v="20.976400000000002"/>
    <s v="TE"/>
    <x v="3"/>
    <x v="9"/>
    <n v="83.52"/>
    <n v="286.42129999999997"/>
    <s v="lucas-9"/>
    <x v="9"/>
    <n v="0"/>
    <n v="0"/>
    <n v="0.9999995992619003"/>
    <n v="0.99999997702700016"/>
    <n v="3.7776509986819917E-7"/>
    <n v="89"/>
    <n v="0"/>
    <n v="1"/>
    <n v="0"/>
  </r>
  <r>
    <x v="112"/>
    <x v="12"/>
    <s v="seth-6"/>
    <s v="RB-1"/>
    <n v="24"/>
    <n v="11.17"/>
    <n v="34.692100000000003"/>
    <s v="RB"/>
    <x v="2"/>
    <x v="1"/>
    <n v="90.009999999999991"/>
    <n v="295.93350000000004"/>
    <s v="scott-6"/>
    <x v="5"/>
    <n v="110.30999999999999"/>
    <n v="388.52729999999997"/>
    <n v="0.21889557883251567"/>
    <n v="0.38474210041910439"/>
    <n v="0.16584652158658872"/>
    <n v="130"/>
    <n v="96"/>
    <n v="0.99983732227160615"/>
    <n v="1.626777283938452E-4"/>
  </r>
  <r>
    <x v="6"/>
    <x v="7"/>
    <s v="jason-5"/>
    <s v="K"/>
    <n v="13"/>
    <n v="7.29"/>
    <n v="25.8064"/>
    <s v="K"/>
    <x v="1"/>
    <x v="4"/>
    <n v="89.689999999999984"/>
    <n v="445.42419999999998"/>
    <e v="#N/A"/>
    <x v="6"/>
    <n v="0"/>
    <n v="0"/>
    <n v="0.99998929661032787"/>
    <n v="0.99999839701569448"/>
    <n v="9.1004053666132734E-6"/>
    <n v="93"/>
    <n v="0"/>
    <n v="1"/>
    <n v="0"/>
  </r>
  <r>
    <x v="71"/>
    <x v="8"/>
    <s v="perry-9"/>
    <s v="WR-3"/>
    <n v="1"/>
    <n v="12.84"/>
    <n v="73.273600000000002"/>
    <s v="WR"/>
    <x v="0"/>
    <x v="7"/>
    <n v="98.35"/>
    <n v="385.97739999999999"/>
    <s v="aj-9"/>
    <x v="2"/>
    <n v="102.03999999999999"/>
    <n v="392.2131"/>
    <n v="0.4473827117902357"/>
    <n v="0.27929802755463484"/>
    <n v="-0.16808468423560086"/>
    <n v="105"/>
    <n v="86"/>
    <n v="0.99984259839132372"/>
    <n v="1.574016086762775E-4"/>
  </r>
  <r>
    <x v="80"/>
    <x v="12"/>
    <s v="jason-6"/>
    <s v="WR-1"/>
    <n v="9"/>
    <n v="10.41"/>
    <n v="35.046399999999998"/>
    <s v="WR"/>
    <x v="0"/>
    <x v="4"/>
    <n v="86.090000000000018"/>
    <n v="366.05880000000002"/>
    <e v="#N/A"/>
    <x v="6"/>
    <n v="0"/>
    <n v="0"/>
    <n v="0.99999659648730843"/>
    <n v="0.99999837495123012"/>
    <n v="1.7784639216866793E-6"/>
    <n v="99"/>
    <n v="0"/>
    <n v="1"/>
    <n v="0"/>
  </r>
  <r>
    <x v="66"/>
    <x v="6"/>
    <s v="aj-11"/>
    <s v="WR-2"/>
    <n v="8"/>
    <n v="9.42"/>
    <n v="35.046399999999998"/>
    <s v="WR"/>
    <x v="0"/>
    <x v="6"/>
    <n v="110.11"/>
    <n v="412.79880000000003"/>
    <s v="seth-11"/>
    <x v="0"/>
    <n v="98.329999999999984"/>
    <n v="378.70709999999997"/>
    <n v="0.66228767586387005"/>
    <n v="0.64679246605682361"/>
    <n v="-1.5495209807046439E-2"/>
    <n v="131"/>
    <n v="111"/>
    <n v="0.99985169521974737"/>
    <n v="1.4830478025262828E-4"/>
  </r>
  <r>
    <x v="25"/>
    <x v="12"/>
    <s v="jason-6"/>
    <s v="D/ST"/>
    <n v="6"/>
    <n v="5.9"/>
    <n v="30.0304"/>
    <s v="D/ST"/>
    <x v="5"/>
    <x v="4"/>
    <n v="86.090000000000018"/>
    <n v="366.05880000000002"/>
    <e v="#N/A"/>
    <x v="6"/>
    <n v="0"/>
    <n v="0"/>
    <n v="0.99999659648730843"/>
    <n v="0.99999871093374593"/>
    <n v="2.1144464374955874E-6"/>
    <n v="99"/>
    <n v="0"/>
    <n v="1"/>
    <n v="0"/>
  </r>
  <r>
    <x v="9"/>
    <x v="1"/>
    <s v="comp-12"/>
    <s v="WR-1"/>
    <n v="30"/>
    <n v="15.65"/>
    <n v="53.29"/>
    <s v="WR"/>
    <x v="0"/>
    <x v="2"/>
    <n v="98.639999999999986"/>
    <n v="309.06870000000004"/>
    <s v="aj-12"/>
    <x v="2"/>
    <n v="111.09"/>
    <n v="408.5095"/>
    <n v="0.32104937221741592"/>
    <n v="0.52938273282500115"/>
    <n v="0.20833336060758523"/>
    <n v="125"/>
    <n v="84"/>
    <n v="0.99986922904241837"/>
    <n v="1.3077095758162738E-4"/>
  </r>
  <r>
    <x v="163"/>
    <x v="11"/>
    <s v="cory-1"/>
    <s v="D/ST"/>
    <n v="5"/>
    <n v="6.58"/>
    <n v="28.622499999999999"/>
    <s v="D/ST"/>
    <x v="5"/>
    <x v="5"/>
    <n v="105.11000000000001"/>
    <n v="445.52289999999994"/>
    <s v="perry-1"/>
    <x v="10"/>
    <n v="94.44"/>
    <n v="399.28809999999999"/>
    <n v="0.64322786671093812"/>
    <n v="0.62482462333119293"/>
    <n v="-1.8403243379745193E-2"/>
    <n v="100"/>
    <n v="82"/>
    <n v="0.99987380035479512"/>
    <n v="1.2619964520488303E-4"/>
  </r>
  <r>
    <x v="110"/>
    <x v="6"/>
    <s v="cory-11"/>
    <s v="WR/RB"/>
    <n v="8"/>
    <n v="8.69"/>
    <n v="74.649600000000007"/>
    <s v="WR/RB"/>
    <x v="2"/>
    <x v="5"/>
    <n v="102.11"/>
    <n v="431.97960000000006"/>
    <s v="chad-11"/>
    <x v="1"/>
    <n v="106.58"/>
    <n v="427.68610000000001"/>
    <n v="0.43941389461043751"/>
    <n v="0.42694145527696364"/>
    <n v="-1.2472439333473861E-2"/>
    <n v="130"/>
    <n v="99"/>
    <n v="0.99987768830088208"/>
    <n v="1.2231169911791628E-4"/>
  </r>
  <r>
    <x v="72"/>
    <x v="1"/>
    <s v="perry-12"/>
    <s v="WR/RB"/>
    <n v="30"/>
    <n v="12.92"/>
    <n v="49.561599999999999"/>
    <s v="WR/RB"/>
    <x v="2"/>
    <x v="7"/>
    <n v="117.67999999999999"/>
    <n v="426.54240000000004"/>
    <s v="scott-12"/>
    <x v="5"/>
    <n v="109.82"/>
    <n v="367.76499999999999"/>
    <n v="0.60983422019767153"/>
    <n v="0.81961184216604732"/>
    <n v="0.20977762196837579"/>
    <n v="131"/>
    <n v="88"/>
    <n v="0.99988421172871911"/>
    <n v="1.157882712808922E-4"/>
  </r>
  <r>
    <x v="152"/>
    <x v="9"/>
    <s v="chad-4"/>
    <s v="WR-2"/>
    <n v="4"/>
    <n v="6.08"/>
    <n v="14.5924"/>
    <s v="WR"/>
    <x v="0"/>
    <x v="3"/>
    <n v="99.8"/>
    <n v="351.46400000000006"/>
    <s v="seth-4"/>
    <x v="0"/>
    <n v="104.32"/>
    <n v="390.96559999999999"/>
    <n v="0.43412317323121657"/>
    <n v="0.40336773798314873"/>
    <n v="-3.0755435248067842E-2"/>
    <n v="123"/>
    <n v="111"/>
    <n v="0.9998860359180759"/>
    <n v="1.1396408192410057E-4"/>
  </r>
  <r>
    <x v="150"/>
    <x v="5"/>
    <s v="scott-7"/>
    <s v="WR/RB"/>
    <n v="6"/>
    <n v="11.51"/>
    <n v="37.21"/>
    <s v="WR/RB"/>
    <x v="2"/>
    <x v="9"/>
    <n v="114.48000000000002"/>
    <n v="430.3667999999999"/>
    <s v="matty-7"/>
    <x v="3"/>
    <n v="87.490000000000009"/>
    <n v="277.88929999999999"/>
    <n v="0.84474748784368747"/>
    <n v="0.79650373222938831"/>
    <n v="-4.8243755614299166E-2"/>
    <n v="82"/>
    <n v="65"/>
    <n v="0.99988794520945923"/>
    <n v="1.1205479054077205E-4"/>
  </r>
  <r>
    <x v="164"/>
    <x v="11"/>
    <s v="cory-1"/>
    <s v="TE-1"/>
    <n v="8"/>
    <n v="7.47"/>
    <n v="22.278400000000001"/>
    <s v="TE"/>
    <x v="3"/>
    <x v="5"/>
    <n v="105.11000000000001"/>
    <n v="445.52289999999994"/>
    <s v="perry-1"/>
    <x v="10"/>
    <n v="94.44"/>
    <n v="399.28809999999999"/>
    <n v="0.64322786671093812"/>
    <n v="0.65192336120640004"/>
    <n v="8.6954944954619195E-3"/>
    <n v="100"/>
    <n v="82"/>
    <n v="0.99989273897343012"/>
    <n v="1.0726102656988257E-4"/>
  </r>
  <r>
    <x v="129"/>
    <x v="5"/>
    <s v="perry-7"/>
    <s v="WR-3"/>
    <n v="1"/>
    <n v="7.01"/>
    <n v="26.214400000000001"/>
    <s v="WR"/>
    <x v="0"/>
    <x v="7"/>
    <n v="103.81000000000002"/>
    <n v="404.20889999999997"/>
    <s v="chad-7"/>
    <x v="1"/>
    <n v="99.759999999999991"/>
    <n v="339.923"/>
    <n v="0.55901290364123501"/>
    <n v="0.47084307734822423"/>
    <n v="-8.8169826293010789E-2"/>
    <n v="115"/>
    <n v="102"/>
    <n v="0.99989754727269919"/>
    <n v="1.0245272730080579E-4"/>
  </r>
  <r>
    <x v="119"/>
    <x v="3"/>
    <s v="cory-3"/>
    <s v="QB-1"/>
    <n v="24"/>
    <n v="23.22"/>
    <n v="84.64"/>
    <s v="QB"/>
    <x v="4"/>
    <x v="5"/>
    <n v="106.94"/>
    <n v="452.911"/>
    <s v="lucas-3"/>
    <x v="9"/>
    <n v="0"/>
    <n v="0"/>
    <n v="0.99999974824851112"/>
    <n v="0.99999999007059392"/>
    <n v="2.4182208280265627E-7"/>
    <n v="88"/>
    <n v="0"/>
    <n v="1"/>
    <n v="0"/>
  </r>
  <r>
    <x v="37"/>
    <x v="12"/>
    <s v="jason-6"/>
    <s v="RB-1"/>
    <n v="6"/>
    <n v="5.95"/>
    <n v="28.729600000000001"/>
    <s v="RB"/>
    <x v="2"/>
    <x v="4"/>
    <n v="86.090000000000018"/>
    <n v="366.05880000000002"/>
    <e v="#N/A"/>
    <x v="6"/>
    <n v="0"/>
    <n v="0"/>
    <n v="0.99999659648730843"/>
    <n v="0.9999986343392625"/>
    <n v="2.0378519540731332E-6"/>
    <n v="99"/>
    <n v="0"/>
    <n v="1"/>
    <n v="0"/>
  </r>
  <r>
    <x v="113"/>
    <x v="0"/>
    <s v="perry-10"/>
    <s v="WR-3"/>
    <n v="6"/>
    <n v="3.02"/>
    <n v="10.368399999999999"/>
    <s v="WR"/>
    <x v="0"/>
    <x v="7"/>
    <n v="103.49"/>
    <n v="345.28400000000005"/>
    <s v="cory-10"/>
    <x v="4"/>
    <n v="93.17"/>
    <n v="328.34589999999997"/>
    <n v="0.65454511164456886"/>
    <n v="0.69722202114802101"/>
    <n v="4.2676909503452154E-2"/>
    <n v="106"/>
    <n v="91"/>
    <n v="0.99990536335791325"/>
    <n v="9.463664208675393E-5"/>
  </r>
  <r>
    <x v="121"/>
    <x v="11"/>
    <s v="cory-1"/>
    <s v="K"/>
    <n v="12"/>
    <n v="8.69"/>
    <n v="15.366400000000001"/>
    <s v="K"/>
    <x v="1"/>
    <x v="5"/>
    <n v="105.11000000000001"/>
    <n v="445.52289999999994"/>
    <s v="perry-1"/>
    <x v="10"/>
    <n v="94.44"/>
    <n v="399.28809999999999"/>
    <n v="0.64322786671093812"/>
    <n v="0.68630911659868532"/>
    <n v="4.3081249887747197E-2"/>
    <n v="100"/>
    <n v="82"/>
    <n v="0.99991067892089425"/>
    <n v="8.9321079105753043E-5"/>
  </r>
  <r>
    <x v="64"/>
    <x v="0"/>
    <s v="perry-10"/>
    <s v="WR-1"/>
    <n v="3"/>
    <n v="10.79"/>
    <n v="36.602499999999999"/>
    <s v="WR"/>
    <x v="0"/>
    <x v="7"/>
    <n v="103.49"/>
    <n v="345.28400000000005"/>
    <s v="cory-10"/>
    <x v="4"/>
    <n v="93.17"/>
    <n v="328.34589999999997"/>
    <n v="0.65454511164456886"/>
    <n v="0.53992314201702385"/>
    <n v="-0.11462196962754501"/>
    <n v="106"/>
    <n v="91"/>
    <n v="0.99991737036193906"/>
    <n v="8.2629638060938149E-5"/>
  </r>
  <r>
    <x v="143"/>
    <x v="5"/>
    <s v="scott-7"/>
    <s v="WR-2"/>
    <n v="4"/>
    <n v="8.82"/>
    <n v="33.524099999999997"/>
    <s v="WR"/>
    <x v="0"/>
    <x v="9"/>
    <n v="114.48000000000002"/>
    <n v="430.3667999999999"/>
    <s v="matty-7"/>
    <x v="3"/>
    <n v="87.490000000000009"/>
    <n v="277.88929999999999"/>
    <n v="0.84474748784368747"/>
    <n v="0.80330705732756091"/>
    <n v="-4.1440430516126558E-2"/>
    <n v="82"/>
    <n v="65"/>
    <n v="0.9999179061249609"/>
    <n v="8.2093875039102038E-5"/>
  </r>
  <r>
    <x v="26"/>
    <x v="10"/>
    <s v="cory-2"/>
    <s v="WR-2"/>
    <n v="15"/>
    <n v="9.1199999999999992"/>
    <n v="48.024900000000002"/>
    <s v="WR"/>
    <x v="0"/>
    <x v="5"/>
    <n v="102.7"/>
    <n v="377.5104"/>
    <s v="comp-2"/>
    <x v="8"/>
    <n v="103.61999999999999"/>
    <n v="357.30130000000003"/>
    <n v="0.48646287329580978"/>
    <n v="0.5750575051740805"/>
    <n v="8.8594631878270713E-2"/>
    <n v="97"/>
    <n v="65"/>
    <n v="0.99991808786605274"/>
    <n v="8.1912133947259491E-5"/>
  </r>
  <r>
    <x v="66"/>
    <x v="12"/>
    <s v="aj-6"/>
    <s v="WR-3"/>
    <n v="2"/>
    <n v="9.7899999999999991"/>
    <n v="49.843600000000002"/>
    <s v="WR"/>
    <x v="0"/>
    <x v="6"/>
    <n v="108.8"/>
    <n v="404.29040000000003"/>
    <s v="cory-6"/>
    <x v="4"/>
    <n v="102.10000000000001"/>
    <n v="445.16630000000004"/>
    <n v="0.59090810623639012"/>
    <n v="0.48462592217384093"/>
    <n v="-0.10628218406254919"/>
    <n v="104"/>
    <n v="85"/>
    <n v="0.99992606439795773"/>
    <n v="7.393560204227434E-5"/>
  </r>
  <r>
    <x v="115"/>
    <x v="10"/>
    <s v="seth-2"/>
    <s v="WR-1"/>
    <n v="0"/>
    <n v="12.18"/>
    <n v="40.449599999999997"/>
    <s v="WR"/>
    <x v="0"/>
    <x v="1"/>
    <n v="91.78"/>
    <n v="333.71719999999993"/>
    <s v="matty-2"/>
    <x v="3"/>
    <n v="101.3"/>
    <n v="329.14109999999999"/>
    <n v="0.35577854462426967"/>
    <n v="0.1922034856085833"/>
    <n v="-0.16357505901568636"/>
    <n v="82"/>
    <n v="70"/>
    <n v="0.99992820082899592"/>
    <n v="7.1799171004083284E-5"/>
  </r>
  <r>
    <x v="20"/>
    <x v="6"/>
    <s v="cory-11"/>
    <s v="QB-1"/>
    <n v="30"/>
    <n v="22.26"/>
    <n v="36.9664"/>
    <s v="QB"/>
    <x v="4"/>
    <x v="5"/>
    <n v="102.11"/>
    <n v="431.97960000000006"/>
    <s v="chad-11"/>
    <x v="1"/>
    <n v="106.58"/>
    <n v="427.68610000000001"/>
    <n v="0.43941389461043751"/>
    <n v="0.54538342736710166"/>
    <n v="0.10596953275666415"/>
    <n v="130"/>
    <n v="99"/>
    <n v="0.99993478834623195"/>
    <n v="6.521165376804916E-5"/>
  </r>
  <r>
    <x v="100"/>
    <x v="6"/>
    <s v="perry-11"/>
    <s v="D/ST"/>
    <n v="16"/>
    <n v="7.69"/>
    <n v="48.441600000000001"/>
    <s v="D/ST"/>
    <x v="5"/>
    <x v="7"/>
    <n v="104.20000000000002"/>
    <n v="377.06489999999997"/>
    <s v="lucas-11"/>
    <x v="9"/>
    <n v="0"/>
    <n v="0"/>
    <n v="0.99999995977381673"/>
    <n v="0.99999999972899345"/>
    <n v="3.995517672272797E-8"/>
    <n v="85"/>
    <n v="0"/>
    <n v="1"/>
    <n v="0"/>
  </r>
  <r>
    <x v="122"/>
    <x v="8"/>
    <s v="scott-9"/>
    <s v="RB-2"/>
    <n v="5"/>
    <n v="17.309999999999999"/>
    <n v="78.854399999999998"/>
    <s v="RB"/>
    <x v="2"/>
    <x v="9"/>
    <n v="83.52"/>
    <n v="286.42129999999997"/>
    <s v="lucas-9"/>
    <x v="9"/>
    <n v="0"/>
    <n v="0"/>
    <n v="0.9999995992619003"/>
    <n v="0.99999961470791798"/>
    <n v="1.5446017687104074E-8"/>
    <n v="89"/>
    <n v="0"/>
    <n v="1"/>
    <n v="0"/>
  </r>
  <r>
    <x v="2"/>
    <x v="12"/>
    <s v="matty-6"/>
    <s v="WR-2"/>
    <n v="3"/>
    <n v="9.6300000000000008"/>
    <n v="37.21"/>
    <s v="WR"/>
    <x v="0"/>
    <x v="0"/>
    <n v="109.91000000000001"/>
    <n v="387.28550000000001"/>
    <s v="perry-6"/>
    <x v="10"/>
    <n v="88.72"/>
    <n v="407.6961"/>
    <n v="0.77383629678575794"/>
    <n v="0.70157046562605441"/>
    <n v="-7.2265831159703531E-2"/>
    <n v="119"/>
    <n v="102"/>
    <n v="0.9999464178298253"/>
    <n v="5.3582170174704125E-5"/>
  </r>
  <r>
    <x v="120"/>
    <x v="9"/>
    <s v="devon-4"/>
    <s v="K"/>
    <n v="6"/>
    <n v="5.4"/>
    <n v="8.6435999999999993"/>
    <s v="K"/>
    <x v="1"/>
    <x v="8"/>
    <n v="99.78"/>
    <n v="369.21209999999996"/>
    <s v="perry-4"/>
    <x v="10"/>
    <n v="111.07000000000001"/>
    <n v="406.62959999999998"/>
    <n v="0.34261794725331807"/>
    <n v="0.34976918597293638"/>
    <n v="7.1512387196183136E-3"/>
    <n v="84"/>
    <n v="72"/>
    <n v="0.9999472433973583"/>
    <n v="5.2756602641701456E-5"/>
  </r>
  <r>
    <x v="165"/>
    <x v="11"/>
    <s v="chad-1"/>
    <s v="WR-2"/>
    <n v="8"/>
    <n v="8.5299999999999994"/>
    <n v="25.300899999999999"/>
    <s v="WR"/>
    <x v="0"/>
    <x v="3"/>
    <n v="101.75"/>
    <n v="333.15260000000001"/>
    <s v="matty-1"/>
    <x v="3"/>
    <n v="96.11"/>
    <n v="397.37959999999998"/>
    <n v="0.58264695809701372"/>
    <n v="0.5762942365758853"/>
    <n v="-6.3527215211284238E-3"/>
    <n v="95"/>
    <n v="76"/>
    <n v="0.99994834930885235"/>
    <n v="5.1650691147653305E-5"/>
  </r>
  <r>
    <x v="84"/>
    <x v="2"/>
    <s v="cory-13"/>
    <s v="WR/RB"/>
    <n v="5"/>
    <n v="8.83"/>
    <n v="37.332099999999997"/>
    <s v="WR/RB"/>
    <x v="0"/>
    <x v="5"/>
    <n v="106.87"/>
    <n v="444.05589999999995"/>
    <s v="scott-13"/>
    <x v="5"/>
    <n v="108.61"/>
    <n v="407.25390000000004"/>
    <n v="0.47622294087495948"/>
    <n v="0.42260602708004091"/>
    <n v="-5.3616913794918564E-2"/>
    <n v="86"/>
    <n v="66"/>
    <n v="0.99995193615877831"/>
    <n v="4.8063841221690495E-5"/>
  </r>
  <r>
    <x v="20"/>
    <x v="9"/>
    <s v="aj-4"/>
    <s v="QB-1"/>
    <n v="26"/>
    <n v="21.5"/>
    <n v="57.002499999999998"/>
    <s v="QB"/>
    <x v="4"/>
    <x v="6"/>
    <n v="118.09999999999998"/>
    <n v="465.47660000000008"/>
    <s v="comp-4"/>
    <x v="8"/>
    <n v="103.70000000000002"/>
    <n v="412.10110000000003"/>
    <n v="0.68654951827928645"/>
    <n v="0.74530417894165435"/>
    <n v="5.8754660662367897E-2"/>
    <n v="80"/>
    <n v="46"/>
    <n v="0.99995333043849699"/>
    <n v="4.6669561503009938E-5"/>
  </r>
  <r>
    <x v="48"/>
    <x v="4"/>
    <s v="devon-8"/>
    <s v="WR-3"/>
    <n v="3"/>
    <n v="7.69"/>
    <n v="25.100100000000001"/>
    <s v="WR"/>
    <x v="0"/>
    <x v="8"/>
    <n v="102.43"/>
    <n v="452.86560000000003"/>
    <s v="seth-8"/>
    <x v="0"/>
    <n v="96.57"/>
    <n v="368.03749999999997"/>
    <n v="0.58102934018980379"/>
    <n v="0.51654126225563013"/>
    <n v="-6.448807793417366E-2"/>
    <n v="100"/>
    <n v="85"/>
    <n v="0.99995755174287981"/>
    <n v="4.2448257120186739E-5"/>
  </r>
  <r>
    <x v="166"/>
    <x v="10"/>
    <s v="devon-2"/>
    <s v="D/ST"/>
    <n v="18"/>
    <n v="7.74"/>
    <n v="36.360900000000001"/>
    <s v="D/ST"/>
    <x v="5"/>
    <x v="8"/>
    <n v="100.92999999999999"/>
    <n v="374.85250000000002"/>
    <s v="scott-2"/>
    <x v="5"/>
    <n v="103.25"/>
    <n v="377.00829999999996"/>
    <n v="0.46628591266319391"/>
    <n v="0.61670391668299629"/>
    <n v="0.15041800401980238"/>
    <n v="140"/>
    <n v="106"/>
    <n v="0.99995874356159453"/>
    <n v="4.125643840546811E-5"/>
  </r>
  <r>
    <x v="64"/>
    <x v="8"/>
    <s v="perry-9"/>
    <s v="WR-1"/>
    <n v="7"/>
    <n v="9.86"/>
    <n v="30.1401"/>
    <s v="WR"/>
    <x v="0"/>
    <x v="7"/>
    <n v="98.35"/>
    <n v="385.97739999999999"/>
    <s v="aj-9"/>
    <x v="2"/>
    <n v="102.03999999999999"/>
    <n v="392.2131"/>
    <n v="0.4473827117902357"/>
    <n v="0.40536528619652762"/>
    <n v="-4.201742559370808E-2"/>
    <n v="105"/>
    <n v="86"/>
    <n v="0.99996580018943881"/>
    <n v="3.4199810561186261E-5"/>
  </r>
  <r>
    <x v="43"/>
    <x v="9"/>
    <s v="matty-4"/>
    <s v="WR/RB"/>
    <n v="4"/>
    <n v="10.41"/>
    <n v="54.169600000000003"/>
    <s v="WR/RB"/>
    <x v="2"/>
    <x v="0"/>
    <n v="109.71999999999998"/>
    <n v="421.03860000000003"/>
    <s v="lucas-4"/>
    <x v="9"/>
    <n v="0"/>
    <n v="0"/>
    <n v="0.99999995533253605"/>
    <n v="0.99999996548944836"/>
    <n v="1.0156912311209965E-8"/>
    <n v="92"/>
    <n v="0"/>
    <n v="1"/>
    <n v="0"/>
  </r>
  <r>
    <x v="101"/>
    <x v="12"/>
    <s v="comp-6"/>
    <s v="QB-1"/>
    <n v="11"/>
    <n v="23.35"/>
    <n v="60.84"/>
    <s v="QB"/>
    <x v="4"/>
    <x v="2"/>
    <n v="104.66"/>
    <n v="375.94899999999996"/>
    <s v="devon-6"/>
    <x v="7"/>
    <n v="101.41999999999999"/>
    <n v="401.13359999999994"/>
    <n v="0.54626414609906893"/>
    <n v="0.36677802774581247"/>
    <n v="-0.17948611835325645"/>
    <n v="91"/>
    <n v="72"/>
    <n v="0.99997080576980879"/>
    <n v="2.9194230191209591E-5"/>
  </r>
  <r>
    <x v="48"/>
    <x v="9"/>
    <s v="devon-4"/>
    <s v="WR-3"/>
    <n v="2"/>
    <n v="6.1"/>
    <n v="15.9201"/>
    <s v="WR"/>
    <x v="0"/>
    <x v="8"/>
    <n v="99.78"/>
    <n v="369.21209999999996"/>
    <s v="perry-4"/>
    <x v="10"/>
    <n v="111.07000000000001"/>
    <n v="406.62959999999998"/>
    <n v="0.34261794725331807"/>
    <n v="0.2883256540208976"/>
    <n v="-5.4292293232420463E-2"/>
    <n v="84"/>
    <n v="72"/>
    <n v="0.99997270904898239"/>
    <n v="2.7290951017611143E-5"/>
  </r>
  <r>
    <x v="39"/>
    <x v="2"/>
    <s v="cory-13"/>
    <s v="WR-1"/>
    <n v="2"/>
    <n v="13.29"/>
    <n v="59.752899999999997"/>
    <s v="WR"/>
    <x v="0"/>
    <x v="5"/>
    <n v="106.87"/>
    <n v="444.05589999999995"/>
    <s v="scott-13"/>
    <x v="5"/>
    <n v="108.61"/>
    <n v="407.25390000000004"/>
    <n v="0.47622294087495948"/>
    <n v="0.32163542860219352"/>
    <n v="-0.15458751227276596"/>
    <n v="86"/>
    <n v="66"/>
    <n v="0.99997415657967736"/>
    <n v="2.5843420322635424E-5"/>
  </r>
  <r>
    <x v="167"/>
    <x v="8"/>
    <s v="perry-9"/>
    <s v="TE-1"/>
    <n v="6"/>
    <n v="6.32"/>
    <n v="22.7529"/>
    <s v="TE"/>
    <x v="3"/>
    <x v="7"/>
    <n v="98.35"/>
    <n v="385.97739999999999"/>
    <s v="aj-9"/>
    <x v="2"/>
    <n v="102.03999999999999"/>
    <n v="392.2131"/>
    <n v="0.4473827117902357"/>
    <n v="0.44200152069937526"/>
    <n v="-5.3811910908604377E-3"/>
    <n v="105"/>
    <n v="86"/>
    <n v="0.99997442557484184"/>
    <n v="2.5574425158159109E-5"/>
  </r>
  <r>
    <x v="152"/>
    <x v="11"/>
    <s v="chad-1"/>
    <s v="WR-3"/>
    <n v="1"/>
    <n v="9.2899999999999991"/>
    <n v="45.292900000000003"/>
    <s v="WR"/>
    <x v="0"/>
    <x v="3"/>
    <n v="101.75"/>
    <n v="333.15260000000001"/>
    <s v="matty-1"/>
    <x v="3"/>
    <n v="96.11"/>
    <n v="397.37959999999998"/>
    <n v="0.58264695809701372"/>
    <n v="0.45968250671099964"/>
    <n v="-0.12296445138601408"/>
    <n v="95"/>
    <n v="76"/>
    <n v="0.99997493045832853"/>
    <n v="2.5069541671474127E-5"/>
  </r>
  <r>
    <x v="137"/>
    <x v="11"/>
    <s v="chad-1"/>
    <s v="WR/RB"/>
    <n v="10"/>
    <n v="6.1"/>
    <n v="13.764099999999999"/>
    <s v="WR/RB"/>
    <x v="2"/>
    <x v="3"/>
    <n v="101.75"/>
    <n v="333.15260000000001"/>
    <s v="matty-1"/>
    <x v="3"/>
    <n v="96.11"/>
    <n v="397.37959999999998"/>
    <n v="0.58264695809701372"/>
    <n v="0.63920532107198702"/>
    <n v="5.6558362974973297E-2"/>
    <n v="95"/>
    <n v="76"/>
    <n v="0.99997650158875406"/>
    <n v="2.3498411245936879E-5"/>
  </r>
  <r>
    <x v="168"/>
    <x v="8"/>
    <s v="scott-9"/>
    <s v="QB-1"/>
    <n v="16"/>
    <n v="13.34"/>
    <n v="22.5625"/>
    <s v="QB"/>
    <x v="4"/>
    <x v="9"/>
    <n v="83.52"/>
    <n v="286.42129999999997"/>
    <s v="lucas-9"/>
    <x v="9"/>
    <n v="0"/>
    <n v="0"/>
    <n v="0.9999995992619003"/>
    <n v="0.99999994379656265"/>
    <n v="3.445346623554002E-7"/>
    <n v="89"/>
    <n v="0"/>
    <n v="1"/>
    <n v="0"/>
  </r>
  <r>
    <x v="81"/>
    <x v="12"/>
    <s v="aj-6"/>
    <s v="WR-2"/>
    <n v="3"/>
    <n v="8.19"/>
    <n v="35.046399999999998"/>
    <s v="WR"/>
    <x v="0"/>
    <x v="6"/>
    <n v="108.8"/>
    <n v="404.29040000000003"/>
    <s v="cory-6"/>
    <x v="4"/>
    <n v="102.10000000000001"/>
    <n v="445.16630000000004"/>
    <n v="0.59090810623639012"/>
    <n v="0.52109904378933947"/>
    <n v="-6.9809062447050652E-2"/>
    <n v="104"/>
    <n v="85"/>
    <n v="0.9999780703578709"/>
    <n v="2.1929642129103755E-5"/>
  </r>
  <r>
    <x v="167"/>
    <x v="3"/>
    <s v="aj-3"/>
    <s v="TE-1"/>
    <n v="-1"/>
    <n v="6.25"/>
    <n v="13.9129"/>
    <s v="TE"/>
    <x v="3"/>
    <x v="6"/>
    <n v="107.31"/>
    <n v="425.77620000000002"/>
    <s v="seth-3"/>
    <x v="0"/>
    <n v="94.54"/>
    <n v="356.43470000000002"/>
    <n v="0.6760180870914847"/>
    <n v="0.57892620373422843"/>
    <n v="-9.709188335725627E-2"/>
    <n v="96"/>
    <n v="88"/>
    <n v="0.99997828878863371"/>
    <n v="2.171121136629317E-5"/>
  </r>
  <r>
    <x v="115"/>
    <x v="8"/>
    <s v="seth-9"/>
    <s v="WR-1"/>
    <n v="3"/>
    <n v="7.24"/>
    <n v="29.3764"/>
    <s v="WR"/>
    <x v="0"/>
    <x v="1"/>
    <n v="92.559999999999988"/>
    <n v="350.31569999999999"/>
    <s v="comp-9"/>
    <x v="8"/>
    <n v="80.800000000000011"/>
    <n v="290.44450000000001"/>
    <n v="0.67888350653659379"/>
    <n v="0.61948600484839844"/>
    <n v="-5.9397501688195353E-2"/>
    <n v="95"/>
    <n v="77"/>
    <n v="0.99997963692440017"/>
    <n v="2.0363075599827418E-5"/>
  </r>
  <r>
    <x v="54"/>
    <x v="12"/>
    <s v="jason-6"/>
    <s v="WR-3"/>
    <n v="1"/>
    <n v="9.4700000000000006"/>
    <n v="47.472099999999998"/>
    <s v="WR"/>
    <x v="0"/>
    <x v="4"/>
    <n v="86.090000000000018"/>
    <n v="366.05880000000002"/>
    <e v="#N/A"/>
    <x v="6"/>
    <n v="0"/>
    <n v="0"/>
    <n v="0.99999659648730843"/>
    <n v="0.99999315277070489"/>
    <n v="-3.4437166035461431E-6"/>
    <n v="99"/>
    <n v="0"/>
    <n v="1"/>
    <n v="0"/>
  </r>
  <r>
    <x v="96"/>
    <x v="9"/>
    <s v="matty-4"/>
    <s v="RB-2"/>
    <n v="7"/>
    <n v="9.57"/>
    <n v="37.945599999999999"/>
    <s v="RB"/>
    <x v="2"/>
    <x v="0"/>
    <n v="109.71999999999998"/>
    <n v="421.03860000000003"/>
    <s v="lucas-4"/>
    <x v="9"/>
    <n v="0"/>
    <n v="0"/>
    <n v="0.99999995533253605"/>
    <n v="0.99999997805570739"/>
    <n v="2.2723171344551929E-8"/>
    <n v="92"/>
    <n v="0"/>
    <n v="1"/>
    <n v="0"/>
  </r>
  <r>
    <x v="149"/>
    <x v="9"/>
    <s v="cory-4"/>
    <s v="D/ST"/>
    <n v="1"/>
    <n v="8.02"/>
    <n v="30.5809"/>
    <s v="D/ST"/>
    <x v="5"/>
    <x v="5"/>
    <n v="115.58999999999999"/>
    <n v="432.42160000000007"/>
    <s v="scott-4"/>
    <x v="5"/>
    <n v="113.07"/>
    <n v="452.41279999999995"/>
    <n v="0.53375673014127667"/>
    <n v="0.43881906817502525"/>
    <n v="-9.4937661966251419E-2"/>
    <n v="104"/>
    <n v="88"/>
    <n v="0.99998427802780721"/>
    <n v="1.5721972192794809E-5"/>
  </r>
  <r>
    <x v="56"/>
    <x v="12"/>
    <s v="matty-6"/>
    <s v="WR-3"/>
    <n v="1"/>
    <n v="11.21"/>
    <n v="41.7316"/>
    <s v="WR"/>
    <x v="0"/>
    <x v="0"/>
    <n v="109.91000000000001"/>
    <n v="387.28550000000001"/>
    <s v="perry-6"/>
    <x v="10"/>
    <n v="88.72"/>
    <n v="407.6961"/>
    <n v="0.77383629678575794"/>
    <n v="0.65544642907724904"/>
    <n v="-0.1183898677085089"/>
    <n v="119"/>
    <n v="102"/>
    <n v="0.99998734818623558"/>
    <n v="1.2651813764419373E-5"/>
  </r>
  <r>
    <x v="91"/>
    <x v="12"/>
    <s v="aj-6"/>
    <s v="RB-2"/>
    <n v="5"/>
    <n v="11.32"/>
    <n v="35.880099999999999"/>
    <s v="RB"/>
    <x v="2"/>
    <x v="6"/>
    <n v="108.8"/>
    <n v="404.29040000000003"/>
    <s v="cory-6"/>
    <x v="4"/>
    <n v="102.10000000000001"/>
    <n v="445.16630000000004"/>
    <n v="0.59090810623639012"/>
    <n v="0.50531473470906696"/>
    <n v="-8.5593371527323159E-2"/>
    <n v="104"/>
    <n v="85"/>
    <n v="0.99998816098756393"/>
    <n v="1.1839012436065666E-5"/>
  </r>
  <r>
    <x v="113"/>
    <x v="10"/>
    <s v="devon-2"/>
    <s v="WR-2"/>
    <n v="15"/>
    <n v="6.47"/>
    <n v="35.880099999999999"/>
    <s v="WR"/>
    <x v="0"/>
    <x v="8"/>
    <n v="100.92999999999999"/>
    <n v="374.85250000000002"/>
    <s v="scott-2"/>
    <x v="5"/>
    <n v="103.25"/>
    <n v="377.00829999999996"/>
    <n v="0.46628591266319391"/>
    <n v="0.59176273033443461"/>
    <n v="0.12547681767124069"/>
    <n v="140"/>
    <n v="106"/>
    <n v="0.99998941061366431"/>
    <n v="1.0589386335690953E-5"/>
  </r>
  <r>
    <x v="107"/>
    <x v="1"/>
    <s v="perry-12"/>
    <s v="WR-2"/>
    <n v="26"/>
    <n v="8.06"/>
    <n v="34.692100000000003"/>
    <s v="WR"/>
    <x v="0"/>
    <x v="7"/>
    <n v="117.67999999999999"/>
    <n v="426.54240000000004"/>
    <s v="scott-12"/>
    <x v="5"/>
    <n v="109.82"/>
    <n v="367.76499999999999"/>
    <n v="0.60983422019767153"/>
    <n v="0.82538948632448905"/>
    <n v="0.21555526612681752"/>
    <n v="131"/>
    <n v="88"/>
    <n v="0.99998953207251295"/>
    <n v="1.0467927487045614E-5"/>
  </r>
  <r>
    <x v="169"/>
    <x v="12"/>
    <s v="matty-6"/>
    <s v="TE-1"/>
    <n v="2"/>
    <n v="6.33"/>
    <n v="24.900099999999998"/>
    <s v="TE"/>
    <x v="3"/>
    <x v="0"/>
    <n v="109.91000000000001"/>
    <n v="387.28550000000001"/>
    <s v="perry-6"/>
    <x v="10"/>
    <n v="88.72"/>
    <n v="407.6961"/>
    <n v="0.77383629678575794"/>
    <n v="0.7282603554655076"/>
    <n v="-4.5575941320250335E-2"/>
    <n v="119"/>
    <n v="102"/>
    <n v="0.99999042377509484"/>
    <n v="9.5762249051611903E-6"/>
  </r>
  <r>
    <x v="93"/>
    <x v="0"/>
    <s v="chad-10"/>
    <s v="WR-1"/>
    <n v="6"/>
    <n v="6.8"/>
    <n v="25.8064"/>
    <s v="WR"/>
    <x v="0"/>
    <x v="3"/>
    <n v="103.91999999999999"/>
    <n v="398.26569999999992"/>
    <s v="aj-10"/>
    <x v="2"/>
    <n v="110.08000000000001"/>
    <n v="372.64320000000004"/>
    <n v="0.41221140040071919"/>
    <n v="0.39937038138075093"/>
    <n v="-1.2841019019968258E-2"/>
    <n v="103"/>
    <n v="82"/>
    <n v="0.99999112003604296"/>
    <n v="8.8799639570424915E-6"/>
  </r>
  <r>
    <x v="121"/>
    <x v="5"/>
    <s v="cory-7"/>
    <s v="K"/>
    <n v="-5"/>
    <n v="8.2799999999999994"/>
    <n v="16.160399999999999"/>
    <s v="K"/>
    <x v="1"/>
    <x v="5"/>
    <n v="86.09"/>
    <n v="350.80079999999998"/>
    <s v="seth-7"/>
    <x v="0"/>
    <n v="96.25"/>
    <n v="294.3"/>
    <n v="0.34457149944219723"/>
    <n v="0.1749822150490136"/>
    <n v="-0.16958928439318363"/>
    <n v="85"/>
    <n v="81"/>
    <n v="0.99999140239437223"/>
    <n v="8.5976056277692336E-6"/>
  </r>
  <r>
    <x v="39"/>
    <x v="10"/>
    <s v="cory-2"/>
    <s v="WR-1"/>
    <n v="10"/>
    <n v="12.73"/>
    <n v="64.9636"/>
    <s v="WR"/>
    <x v="0"/>
    <x v="5"/>
    <n v="102.7"/>
    <n v="377.5104"/>
    <s v="comp-2"/>
    <x v="8"/>
    <n v="103.61999999999999"/>
    <n v="357.30130000000003"/>
    <n v="0.48646287329580978"/>
    <n v="0.44392399434277058"/>
    <n v="-4.2538878953039205E-2"/>
    <n v="97"/>
    <n v="65"/>
    <n v="0.99999179779757164"/>
    <n v="8.2022024283645578E-6"/>
  </r>
  <r>
    <x v="14"/>
    <x v="2"/>
    <s v="seth-13"/>
    <s v="RB-2"/>
    <n v="18"/>
    <n v="10.07"/>
    <n v="51.552399999999999"/>
    <s v="RB"/>
    <x v="2"/>
    <x v="1"/>
    <n v="93.77000000000001"/>
    <n v="387.786"/>
    <s v="lucas-13"/>
    <x v="9"/>
    <n v="0"/>
    <n v="0"/>
    <n v="0.9999990404590926"/>
    <n v="0.99999998540794655"/>
    <n v="9.4494885394258432E-7"/>
    <n v="98"/>
    <n v="0"/>
    <n v="1"/>
    <n v="0"/>
  </r>
  <r>
    <x v="5"/>
    <x v="11"/>
    <s v="chad-1"/>
    <s v="TE-1"/>
    <n v="4"/>
    <n v="8.5"/>
    <n v="29.3764"/>
    <s v="TE"/>
    <x v="3"/>
    <x v="3"/>
    <n v="101.75"/>
    <n v="333.15260000000001"/>
    <s v="matty-1"/>
    <x v="3"/>
    <n v="96.11"/>
    <n v="397.37959999999998"/>
    <n v="0.58264695809701372"/>
    <n v="0.51717012696936127"/>
    <n v="-6.5476831127652457E-2"/>
    <n v="95"/>
    <n v="76"/>
    <n v="0.99999273823321322"/>
    <n v="7.2617667867813651E-6"/>
  </r>
  <r>
    <x v="2"/>
    <x v="9"/>
    <s v="matty-4"/>
    <s v="WR-2"/>
    <n v="3"/>
    <n v="11.32"/>
    <n v="51.696100000000001"/>
    <s v="WR"/>
    <x v="0"/>
    <x v="0"/>
    <n v="109.71999999999998"/>
    <n v="421.03860000000003"/>
    <s v="lucas-4"/>
    <x v="9"/>
    <n v="0"/>
    <n v="0"/>
    <n v="0.99999995533253605"/>
    <n v="0.99999993406394261"/>
    <n v="-2.1268593441980954E-8"/>
    <n v="92"/>
    <n v="0"/>
    <n v="1"/>
    <n v="0"/>
  </r>
  <r>
    <x v="153"/>
    <x v="9"/>
    <s v="matty-4"/>
    <s v="QB-1"/>
    <n v="10"/>
    <n v="16.89"/>
    <n v="47.059600000000003"/>
    <s v="QB"/>
    <x v="4"/>
    <x v="0"/>
    <n v="109.71999999999998"/>
    <n v="421.03860000000003"/>
    <s v="lucas-4"/>
    <x v="9"/>
    <n v="0"/>
    <n v="0"/>
    <n v="0.99999995533253605"/>
    <n v="0.99999994735876185"/>
    <n v="-7.9737741964791553E-9"/>
    <n v="92"/>
    <n v="0"/>
    <n v="1"/>
    <n v="0"/>
  </r>
  <r>
    <x v="116"/>
    <x v="4"/>
    <s v="devon-8"/>
    <s v="TE-1"/>
    <n v="0"/>
    <n v="6.97"/>
    <n v="25.300899999999999"/>
    <s v="TE"/>
    <x v="3"/>
    <x v="8"/>
    <n v="102.43"/>
    <n v="452.86560000000003"/>
    <s v="seth-8"/>
    <x v="0"/>
    <n v="96.57"/>
    <n v="368.03749999999997"/>
    <n v="0.58102934018980379"/>
    <n v="0.48430457881923672"/>
    <n v="-9.6724761370567069E-2"/>
    <n v="100"/>
    <n v="85"/>
    <n v="0.99999372458886981"/>
    <n v="6.275411130185482E-6"/>
  </r>
  <r>
    <x v="170"/>
    <x v="5"/>
    <s v="perry-7"/>
    <s v="TE-1"/>
    <n v="2"/>
    <n v="5.31"/>
    <n v="13.8384"/>
    <s v="TE"/>
    <x v="3"/>
    <x v="7"/>
    <n v="103.81000000000002"/>
    <n v="404.20889999999997"/>
    <s v="chad-7"/>
    <x v="1"/>
    <n v="99.759999999999991"/>
    <n v="339.923"/>
    <n v="0.55901290364123501"/>
    <n v="0.51092292107862558"/>
    <n v="-4.8089982562609435E-2"/>
    <n v="115"/>
    <n v="102"/>
    <n v="0.99999418493507297"/>
    <n v="5.8150649270283239E-6"/>
  </r>
  <r>
    <x v="71"/>
    <x v="6"/>
    <s v="perry-11"/>
    <s v="WR-3"/>
    <n v="9"/>
    <n v="11.28"/>
    <n v="71.910399999999996"/>
    <s v="WR"/>
    <x v="0"/>
    <x v="7"/>
    <n v="104.20000000000002"/>
    <n v="377.06489999999997"/>
    <s v="lucas-11"/>
    <x v="9"/>
    <n v="0"/>
    <n v="0"/>
    <n v="0.99999995977381673"/>
    <n v="0.99999999730149935"/>
    <n v="3.7527682628102355E-8"/>
    <n v="85"/>
    <n v="0"/>
    <n v="1"/>
    <n v="0"/>
  </r>
  <r>
    <x v="3"/>
    <x v="12"/>
    <s v="comp-6"/>
    <s v="K"/>
    <n v="6"/>
    <n v="8.99"/>
    <n v="25"/>
    <s v="K"/>
    <x v="1"/>
    <x v="2"/>
    <n v="104.66"/>
    <n v="375.94899999999996"/>
    <s v="devon-6"/>
    <x v="7"/>
    <n v="101.41999999999999"/>
    <n v="401.13359999999994"/>
    <n v="0.54626414609906893"/>
    <n v="0.50363673192344161"/>
    <n v="-4.2627414175627321E-2"/>
    <n v="91"/>
    <n v="72"/>
    <n v="0.99999453735104415"/>
    <n v="5.4626489558451397E-6"/>
  </r>
  <r>
    <x v="35"/>
    <x v="9"/>
    <s v="cory-4"/>
    <s v="WR-3"/>
    <n v="4"/>
    <n v="10.54"/>
    <n v="26.214400000000001"/>
    <s v="WR"/>
    <x v="0"/>
    <x v="5"/>
    <n v="115.58999999999999"/>
    <n v="432.42160000000007"/>
    <s v="scott-4"/>
    <x v="5"/>
    <n v="113.07"/>
    <n v="452.41279999999995"/>
    <n v="0.53375673014127667"/>
    <n v="0.44543992089620582"/>
    <n v="-8.8316809245070849E-2"/>
    <n v="104"/>
    <n v="88"/>
    <n v="0.99999464561456097"/>
    <n v="5.3543854390269985E-6"/>
  </r>
  <r>
    <x v="145"/>
    <x v="8"/>
    <s v="scott-9"/>
    <s v="RB-1"/>
    <n v="5"/>
    <n v="11.19"/>
    <n v="40.322499999999998"/>
    <s v="RB"/>
    <x v="2"/>
    <x v="9"/>
    <n v="83.52"/>
    <n v="286.42129999999997"/>
    <s v="lucas-9"/>
    <x v="9"/>
    <n v="0"/>
    <n v="0"/>
    <n v="0.9999995992619003"/>
    <n v="0.99999958756815743"/>
    <n v="-1.1693742862917134E-8"/>
    <n v="89"/>
    <n v="0"/>
    <n v="1"/>
    <n v="0"/>
  </r>
  <r>
    <x v="64"/>
    <x v="10"/>
    <s v="perry-2"/>
    <s v="WR-2"/>
    <n v="11"/>
    <n v="10.1"/>
    <n v="84.456100000000006"/>
    <s v="WR"/>
    <x v="0"/>
    <x v="7"/>
    <n v="104.79999999999998"/>
    <n v="455.48199999999997"/>
    <s v="lucas-2"/>
    <x v="9"/>
    <n v="0"/>
    <n v="0"/>
    <n v="0.99999954577661365"/>
    <n v="0.99999997961448017"/>
    <n v="4.3383786652029244E-7"/>
    <n v="102"/>
    <n v="0"/>
    <n v="1"/>
    <n v="0"/>
  </r>
  <r>
    <x v="86"/>
    <x v="9"/>
    <s v="aj-4"/>
    <s v="D/ST"/>
    <n v="10"/>
    <n v="9.19"/>
    <n v="54.316899999999997"/>
    <s v="D/ST"/>
    <x v="5"/>
    <x v="6"/>
    <n v="118.09999999999998"/>
    <n v="465.47660000000008"/>
    <s v="comp-4"/>
    <x v="8"/>
    <n v="103.70000000000002"/>
    <n v="412.10110000000003"/>
    <n v="0.68654951827928645"/>
    <n v="0.70197983927071417"/>
    <n v="1.5430320991427715E-2"/>
    <n v="80"/>
    <n v="46"/>
    <n v="0.99999665613398714"/>
    <n v="3.3438660128615183E-6"/>
  </r>
  <r>
    <x v="149"/>
    <x v="4"/>
    <s v="aj-8"/>
    <s v="D/ST"/>
    <n v="21"/>
    <n v="10.94"/>
    <n v="37.945599999999999"/>
    <s v="D/ST"/>
    <x v="5"/>
    <x v="6"/>
    <n v="114.1"/>
    <n v="458.87900000000002"/>
    <s v="lucas-8"/>
    <x v="9"/>
    <n v="0"/>
    <n v="0"/>
    <n v="0.99999994992018415"/>
    <n v="0.99999999928322636"/>
    <n v="4.9363042209371599E-8"/>
    <n v="113"/>
    <n v="0"/>
    <n v="1"/>
    <n v="0"/>
  </r>
  <r>
    <x v="72"/>
    <x v="6"/>
    <s v="perry-11"/>
    <s v="RB-1"/>
    <n v="19"/>
    <n v="11.04"/>
    <n v="35.521599999999999"/>
    <s v="RB"/>
    <x v="2"/>
    <x v="7"/>
    <n v="104.20000000000002"/>
    <n v="377.06489999999997"/>
    <s v="lucas-11"/>
    <x v="9"/>
    <n v="0"/>
    <n v="0"/>
    <n v="0.99999995977381673"/>
    <n v="0.9999999993563411"/>
    <n v="3.9582524369308203E-8"/>
    <n v="85"/>
    <n v="0"/>
    <n v="1"/>
    <n v="0"/>
  </r>
  <r>
    <x v="171"/>
    <x v="5"/>
    <s v="scott-7"/>
    <s v="WR-3"/>
    <n v="1"/>
    <n v="7.23"/>
    <n v="26.01"/>
    <s v="WR"/>
    <x v="0"/>
    <x v="9"/>
    <n v="114.48000000000002"/>
    <n v="430.3667999999999"/>
    <s v="matty-7"/>
    <x v="3"/>
    <n v="87.490000000000009"/>
    <n v="277.88929999999999"/>
    <n v="0.84474748784368747"/>
    <n v="0.78663452076818219"/>
    <n v="-5.8112967075505284E-2"/>
    <n v="82"/>
    <n v="65"/>
    <n v="0.99999737949919809"/>
    <n v="2.6205008019086762E-6"/>
  </r>
  <r>
    <x v="121"/>
    <x v="9"/>
    <s v="cory-4"/>
    <s v="K"/>
    <n v="5"/>
    <n v="8.52"/>
    <n v="18.3184"/>
    <s v="K"/>
    <x v="1"/>
    <x v="5"/>
    <n v="115.58999999999999"/>
    <n v="432.42160000000007"/>
    <s v="scott-4"/>
    <x v="5"/>
    <n v="113.07"/>
    <n v="452.41279999999995"/>
    <n v="0.53375673014127667"/>
    <n v="0.48645003272210108"/>
    <n v="-4.7306697419175592E-2"/>
    <n v="104"/>
    <n v="88"/>
    <n v="0.99999745140978447"/>
    <n v="2.5485902155342188E-6"/>
  </r>
  <r>
    <x v="51"/>
    <x v="5"/>
    <s v="devon-7"/>
    <s v="D/ST"/>
    <n v="4"/>
    <n v="8.31"/>
    <n v="38.192399999999999"/>
    <s v="D/ST"/>
    <x v="5"/>
    <x v="8"/>
    <n v="106.81"/>
    <n v="351.64060000000001"/>
    <s v="aj-7"/>
    <x v="2"/>
    <n v="114.01999999999998"/>
    <n v="381.58529999999996"/>
    <n v="0.39501702421215146"/>
    <n v="0.33106728631321203"/>
    <n v="-6.3949737898939429E-2"/>
    <n v="117"/>
    <n v="93"/>
    <n v="0.99999768517209109"/>
    <n v="2.3148279089113544E-6"/>
  </r>
  <r>
    <x v="172"/>
    <x v="6"/>
    <s v="aj-11"/>
    <s v="K"/>
    <n v="9"/>
    <n v="7.63"/>
    <n v="16.483599999999999"/>
    <s v="K"/>
    <x v="1"/>
    <x v="6"/>
    <n v="110.11"/>
    <n v="412.79880000000003"/>
    <s v="seth-11"/>
    <x v="0"/>
    <n v="98.329999999999984"/>
    <n v="378.70709999999997"/>
    <n v="0.66228767586387005"/>
    <n v="0.68166334368623649"/>
    <n v="1.9375667822366438E-2"/>
    <n v="131"/>
    <n v="111"/>
    <n v="0.99999776960470266"/>
    <n v="2.2303952973423691E-6"/>
  </r>
  <r>
    <x v="61"/>
    <x v="5"/>
    <s v="devon-7"/>
    <s v="WR/RB"/>
    <n v="5"/>
    <n v="10.57"/>
    <n v="41.344900000000003"/>
    <s v="WR/RB"/>
    <x v="2"/>
    <x v="8"/>
    <n v="106.81"/>
    <n v="351.64060000000001"/>
    <s v="aj-7"/>
    <x v="2"/>
    <n v="114.01999999999998"/>
    <n v="381.58529999999996"/>
    <n v="0.39501702421215146"/>
    <n v="0.31353162639353122"/>
    <n v="-8.1485397818620242E-2"/>
    <n v="117"/>
    <n v="93"/>
    <n v="0.99999787489220415"/>
    <n v="2.1251077958472919E-6"/>
  </r>
  <r>
    <x v="112"/>
    <x v="2"/>
    <s v="seth-13"/>
    <s v="RB-1"/>
    <n v="17"/>
    <n v="13.52"/>
    <n v="59.598399999999998"/>
    <s v="RB"/>
    <x v="2"/>
    <x v="1"/>
    <n v="93.77000000000001"/>
    <n v="387.786"/>
    <s v="lucas-13"/>
    <x v="9"/>
    <n v="0"/>
    <n v="0"/>
    <n v="0.9999990404590926"/>
    <n v="0.99999996023639059"/>
    <n v="9.1977729799186392E-7"/>
    <n v="98"/>
    <n v="0"/>
    <n v="1"/>
    <n v="0"/>
  </r>
  <r>
    <x v="92"/>
    <x v="12"/>
    <s v="seth-6"/>
    <s v="QB-1"/>
    <n v="27"/>
    <n v="20.71"/>
    <n v="35.880099999999999"/>
    <s v="QB"/>
    <x v="4"/>
    <x v="1"/>
    <n v="90.009999999999991"/>
    <n v="295.93350000000004"/>
    <s v="scott-6"/>
    <x v="5"/>
    <n v="110.30999999999999"/>
    <n v="388.52729999999997"/>
    <n v="0.21889557883251567"/>
    <n v="0.29111910373785427"/>
    <n v="7.2223524905338593E-2"/>
    <n v="130"/>
    <n v="96"/>
    <n v="0.99999813641389768"/>
    <n v="1.8635861023241773E-6"/>
  </r>
  <r>
    <x v="42"/>
    <x v="6"/>
    <s v="perry-11"/>
    <s v="QB-1"/>
    <n v="19"/>
    <n v="20.059999999999999"/>
    <n v="60.684100000000001"/>
    <s v="QB"/>
    <x v="4"/>
    <x v="7"/>
    <n v="104.20000000000002"/>
    <n v="377.06489999999997"/>
    <s v="lucas-11"/>
    <x v="9"/>
    <n v="0"/>
    <n v="0"/>
    <n v="0.99999995977381673"/>
    <n v="0.99999999665617034"/>
    <n v="3.6882353615652619E-8"/>
    <n v="85"/>
    <n v="0"/>
    <n v="1"/>
    <n v="0"/>
  </r>
  <r>
    <x v="173"/>
    <x v="9"/>
    <s v="devon-4"/>
    <s v="TE-1"/>
    <n v="1"/>
    <n v="5.0199999999999996"/>
    <n v="11.833600000000001"/>
    <s v="TE"/>
    <x v="3"/>
    <x v="8"/>
    <n v="99.78"/>
    <n v="369.21209999999996"/>
    <s v="perry-4"/>
    <x v="10"/>
    <n v="111.07000000000001"/>
    <n v="406.62959999999998"/>
    <n v="0.34261794725331807"/>
    <n v="0.28982589286643967"/>
    <n v="-5.2792054386878395E-2"/>
    <n v="84"/>
    <n v="72"/>
    <n v="0.99999839556661951"/>
    <n v="1.6044333804865474E-6"/>
  </r>
  <r>
    <x v="74"/>
    <x v="2"/>
    <s v="devon-13"/>
    <s v="TE-1"/>
    <n v="15"/>
    <n v="6.49"/>
    <n v="29.9209"/>
    <s v="TE"/>
    <x v="3"/>
    <x v="8"/>
    <n v="97.46"/>
    <n v="368.81949999999995"/>
    <s v="perry-13"/>
    <x v="10"/>
    <n v="108.77"/>
    <n v="411.30060000000003"/>
    <n v="0.3427638257896819"/>
    <n v="0.4592878639599498"/>
    <n v="0.11652403817026791"/>
    <n v="133"/>
    <n v="99"/>
    <n v="0.99999841867220984"/>
    <n v="1.5813277901566281E-6"/>
  </r>
  <r>
    <x v="119"/>
    <x v="10"/>
    <s v="cory-2"/>
    <s v="QB-1"/>
    <n v="17"/>
    <n v="22.39"/>
    <n v="63.8401"/>
    <s v="QB"/>
    <x v="4"/>
    <x v="5"/>
    <n v="102.7"/>
    <n v="377.5104"/>
    <s v="comp-2"/>
    <x v="8"/>
    <n v="103.61999999999999"/>
    <n v="357.30130000000003"/>
    <n v="0.48646287329580978"/>
    <n v="0.40377031281694281"/>
    <n v="-8.2692560478866972E-2"/>
    <n v="97"/>
    <n v="65"/>
    <n v="0.99999856282079191"/>
    <n v="1.437179208085837E-6"/>
  </r>
  <r>
    <x v="102"/>
    <x v="12"/>
    <s v="aj-6"/>
    <s v="TE-1"/>
    <n v="1"/>
    <n v="7.52"/>
    <n v="29.2681"/>
    <s v="TE"/>
    <x v="3"/>
    <x v="6"/>
    <n v="108.8"/>
    <n v="404.29040000000003"/>
    <s v="cory-6"/>
    <x v="4"/>
    <n v="102.10000000000001"/>
    <n v="445.16630000000004"/>
    <n v="0.59090810623639012"/>
    <n v="0.50250739552992485"/>
    <n v="-8.8400710706465269E-2"/>
    <n v="104"/>
    <n v="85"/>
    <n v="0.99999880438049416"/>
    <n v="1.1956195058449026E-6"/>
  </r>
  <r>
    <x v="114"/>
    <x v="10"/>
    <s v="perry-2"/>
    <s v="QB-1"/>
    <n v="22"/>
    <n v="21.66"/>
    <n v="77.968900000000005"/>
    <s v="QB"/>
    <x v="4"/>
    <x v="7"/>
    <n v="104.79999999999998"/>
    <n v="455.48199999999997"/>
    <s v="lucas-2"/>
    <x v="9"/>
    <n v="0"/>
    <n v="0"/>
    <n v="0.99999954577661365"/>
    <n v="0.99999996871633257"/>
    <n v="4.229397189137174E-7"/>
    <n v="102"/>
    <n v="0"/>
    <n v="1"/>
    <n v="0"/>
  </r>
  <r>
    <x v="63"/>
    <x v="8"/>
    <s v="perry-9"/>
    <s v="K"/>
    <n v="9"/>
    <n v="7.22"/>
    <n v="13.249599999999999"/>
    <s v="K"/>
    <x v="1"/>
    <x v="7"/>
    <n v="98.35"/>
    <n v="385.97739999999999"/>
    <s v="aj-9"/>
    <x v="2"/>
    <n v="102.03999999999999"/>
    <n v="392.2131"/>
    <n v="0.4473827117902357"/>
    <n v="0.47247138255063026"/>
    <n v="2.508867076039456E-2"/>
    <n v="105"/>
    <n v="86"/>
    <n v="0.99999888164665163"/>
    <n v="1.1183533483727359E-6"/>
  </r>
  <r>
    <x v="98"/>
    <x v="2"/>
    <s v="seth-13"/>
    <s v="WR-3"/>
    <n v="19"/>
    <n v="10.84"/>
    <n v="42.380099999999999"/>
    <s v="WR"/>
    <x v="0"/>
    <x v="1"/>
    <n v="93.77000000000001"/>
    <n v="387.786"/>
    <s v="lucas-13"/>
    <x v="9"/>
    <n v="0"/>
    <n v="0"/>
    <n v="0.9999990404590926"/>
    <n v="0.999999979268135"/>
    <n v="9.3880904239451723E-7"/>
    <n v="98"/>
    <n v="0"/>
    <n v="1"/>
    <n v="0"/>
  </r>
  <r>
    <x v="98"/>
    <x v="8"/>
    <s v="seth-9"/>
    <s v="WR-3"/>
    <n v="0"/>
    <n v="10.63"/>
    <n v="36.120100000000001"/>
    <s v="WR"/>
    <x v="0"/>
    <x v="1"/>
    <n v="92.559999999999988"/>
    <n v="350.31569999999999"/>
    <s v="comp-9"/>
    <x v="8"/>
    <n v="80.800000000000011"/>
    <n v="290.44450000000001"/>
    <n v="0.67888350653659379"/>
    <n v="0.51832682352570725"/>
    <n v="-0.16055668301088655"/>
    <n v="95"/>
    <n v="77"/>
    <n v="0.99999904975262677"/>
    <n v="9.5024737323257114E-7"/>
  </r>
  <r>
    <x v="13"/>
    <x v="9"/>
    <s v="matty-4"/>
    <s v="WR-1"/>
    <n v="7"/>
    <n v="9.08"/>
    <n v="27.5625"/>
    <s v="WR"/>
    <x v="0"/>
    <x v="0"/>
    <n v="109.71999999999998"/>
    <n v="421.03860000000003"/>
    <s v="lucas-4"/>
    <x v="9"/>
    <n v="0"/>
    <n v="0"/>
    <n v="0.99999995533253605"/>
    <n v="0.99999997125443452"/>
    <n v="1.5921898466331186E-8"/>
    <n v="92"/>
    <n v="0"/>
    <n v="1"/>
    <n v="0"/>
  </r>
  <r>
    <x v="16"/>
    <x v="5"/>
    <s v="devon-7"/>
    <s v="RB-2"/>
    <n v="7"/>
    <n v="9.33"/>
    <n v="30.360099999999999"/>
    <s v="RB"/>
    <x v="2"/>
    <x v="8"/>
    <n v="106.81"/>
    <n v="351.64060000000001"/>
    <s v="aj-7"/>
    <x v="2"/>
    <n v="114.01999999999998"/>
    <n v="381.58529999999996"/>
    <n v="0.39501702421215146"/>
    <n v="0.35948254817778424"/>
    <n v="-3.5534476034367213E-2"/>
    <n v="117"/>
    <n v="93"/>
    <n v="0.99999911733166869"/>
    <n v="8.8266833131456224E-7"/>
  </r>
  <r>
    <x v="118"/>
    <x v="4"/>
    <s v="comp-8"/>
    <s v="WR-3"/>
    <n v="13"/>
    <n v="5.13"/>
    <n v="32.035600000000002"/>
    <s v="WR"/>
    <x v="0"/>
    <x v="2"/>
    <n v="100.87"/>
    <n v="421.5641"/>
    <s v="perry-8"/>
    <x v="10"/>
    <n v="115.82"/>
    <n v="434.36700000000002"/>
    <n v="0.30467516207413586"/>
    <n v="0.40258602011839206"/>
    <n v="9.7910858044256199E-2"/>
    <n v="115"/>
    <n v="80"/>
    <n v="0.99999917964358587"/>
    <n v="8.2035641413291671E-7"/>
  </r>
  <r>
    <x v="174"/>
    <x v="6"/>
    <s v="scott-11"/>
    <s v="WR-1"/>
    <n v="27"/>
    <n v="8.36"/>
    <n v="31.922499999999999"/>
    <s v="WR"/>
    <x v="0"/>
    <x v="9"/>
    <n v="105.39999999999999"/>
    <n v="342.09739999999999"/>
    <s v="devon-11"/>
    <x v="7"/>
    <n v="100.25"/>
    <n v="448.76889999999997"/>
    <n v="0.57265136255925952"/>
    <n v="0.80608360123984957"/>
    <n v="0.23343223868059004"/>
    <n v="124"/>
    <n v="78"/>
    <n v="0.99999935885041547"/>
    <n v="6.4114958453487247E-7"/>
  </r>
  <r>
    <x v="95"/>
    <x v="10"/>
    <s v="cory-2"/>
    <s v="RB-1"/>
    <n v="12"/>
    <n v="10.6"/>
    <n v="39.312899999999999"/>
    <s v="RB"/>
    <x v="2"/>
    <x v="5"/>
    <n v="102.7"/>
    <n v="377.5104"/>
    <s v="comp-2"/>
    <x v="8"/>
    <n v="103.61999999999999"/>
    <n v="357.30130000000003"/>
    <n v="0.48646287329580978"/>
    <n v="0.50726071070104495"/>
    <n v="2.0797837405235164E-2"/>
    <n v="97"/>
    <n v="65"/>
    <n v="0.99999947059932703"/>
    <n v="5.2940067296614046E-7"/>
  </r>
  <r>
    <x v="14"/>
    <x v="10"/>
    <s v="devon-2"/>
    <s v="WR/RB"/>
    <n v="10"/>
    <n v="10.050000000000001"/>
    <n v="47.472099999999998"/>
    <s v="WR/RB"/>
    <x v="2"/>
    <x v="8"/>
    <n v="100.92999999999999"/>
    <n v="374.85250000000002"/>
    <s v="scott-2"/>
    <x v="5"/>
    <n v="103.25"/>
    <n v="377.00829999999996"/>
    <n v="0.46628591266319391"/>
    <n v="0.46442250712513022"/>
    <n v="-1.8634055380636894E-3"/>
    <n v="140"/>
    <n v="106"/>
    <n v="0.99999961326450792"/>
    <n v="3.8673549207501878E-7"/>
  </r>
  <r>
    <x v="175"/>
    <x v="5"/>
    <s v="scott-7"/>
    <s v="K"/>
    <n v="5"/>
    <n v="6.51"/>
    <n v="13.9876"/>
    <s v="K"/>
    <x v="1"/>
    <x v="9"/>
    <n v="114.48000000000002"/>
    <n v="430.3667999999999"/>
    <s v="matty-7"/>
    <x v="3"/>
    <n v="87.490000000000009"/>
    <n v="277.88929999999999"/>
    <n v="0.84474748784368747"/>
    <n v="0.83323311397265509"/>
    <n v="-1.151437387103238E-2"/>
    <n v="82"/>
    <n v="65"/>
    <n v="0.99999962740019299"/>
    <n v="3.7259980700810047E-7"/>
  </r>
  <r>
    <x v="42"/>
    <x v="1"/>
    <s v="perry-12"/>
    <s v="QB-1"/>
    <n v="23"/>
    <n v="22.27"/>
    <n v="72.590400000000002"/>
    <s v="QB"/>
    <x v="4"/>
    <x v="7"/>
    <n v="117.67999999999999"/>
    <n v="426.54240000000004"/>
    <s v="scott-12"/>
    <x v="5"/>
    <n v="109.82"/>
    <n v="367.76499999999999"/>
    <n v="0.60983422019767153"/>
    <n v="0.6254208341501768"/>
    <n v="1.5586613952505268E-2"/>
    <n v="131"/>
    <n v="88"/>
    <n v="0.99999964982686917"/>
    <n v="3.5017313082530421E-7"/>
  </r>
  <r>
    <x v="176"/>
    <x v="4"/>
    <s v="comp-8"/>
    <s v="WR/RB"/>
    <n v="5"/>
    <n v="8.5399999999999991"/>
    <n v="60.217599999999997"/>
    <s v="WR/RB"/>
    <x v="2"/>
    <x v="2"/>
    <n v="100.87"/>
    <n v="421.5641"/>
    <s v="perry-8"/>
    <x v="10"/>
    <n v="115.82"/>
    <n v="434.36700000000002"/>
    <n v="0.30467516207413586"/>
    <n v="0.25607981525328605"/>
    <n v="-4.8595346820849816E-2"/>
    <n v="115"/>
    <n v="80"/>
    <n v="0.99999965913067823"/>
    <n v="3.4086932176879969E-7"/>
  </r>
  <r>
    <x v="177"/>
    <x v="10"/>
    <s v="perry-2"/>
    <s v="RB-1"/>
    <n v="22"/>
    <n v="11.57"/>
    <n v="40.068899999999999"/>
    <s v="RB"/>
    <x v="2"/>
    <x v="7"/>
    <n v="104.79999999999998"/>
    <n v="455.48199999999997"/>
    <s v="lucas-2"/>
    <x v="9"/>
    <n v="0"/>
    <n v="0"/>
    <n v="0.99999954577661365"/>
    <n v="0.99999999214415058"/>
    <n v="4.4636753693261255E-7"/>
    <n v="102"/>
    <n v="0"/>
    <n v="1"/>
    <n v="0"/>
  </r>
  <r>
    <x v="53"/>
    <x v="10"/>
    <s v="devon-2"/>
    <s v="QB-1"/>
    <n v="21"/>
    <n v="18.38"/>
    <n v="39.564100000000003"/>
    <s v="QB"/>
    <x v="4"/>
    <x v="8"/>
    <n v="100.92999999999999"/>
    <n v="374.85250000000002"/>
    <s v="scott-2"/>
    <x v="5"/>
    <n v="103.25"/>
    <n v="377.00829999999996"/>
    <n v="0.46628591266319391"/>
    <n v="0.50448426953565306"/>
    <n v="3.8198356872459149E-2"/>
    <n v="140"/>
    <n v="106"/>
    <n v="0.99999969633443364"/>
    <n v="3.0366556635907926E-7"/>
  </r>
  <r>
    <x v="178"/>
    <x v="8"/>
    <s v="scott-9"/>
    <s v="WR-3"/>
    <n v="8"/>
    <n v="4.99"/>
    <n v="14.44"/>
    <s v="WR"/>
    <x v="0"/>
    <x v="9"/>
    <n v="83.52"/>
    <n v="286.42129999999997"/>
    <s v="lucas-9"/>
    <x v="9"/>
    <n v="0"/>
    <n v="0"/>
    <n v="0.9999995992619003"/>
    <n v="0.99999992263167437"/>
    <n v="3.2336977406899337E-7"/>
    <n v="89"/>
    <n v="0"/>
    <n v="1"/>
    <n v="0"/>
  </r>
  <r>
    <x v="39"/>
    <x v="6"/>
    <s v="cory-11"/>
    <s v="WR-1"/>
    <n v="7"/>
    <n v="11.34"/>
    <n v="49.702500000000001"/>
    <s v="WR"/>
    <x v="0"/>
    <x v="5"/>
    <n v="102.11"/>
    <n v="431.97960000000006"/>
    <s v="chad-11"/>
    <x v="1"/>
    <n v="106.58"/>
    <n v="427.68610000000001"/>
    <n v="0.43941389461043751"/>
    <n v="0.37844821564332981"/>
    <n v="-6.0965678967107695E-2"/>
    <n v="130"/>
    <n v="99"/>
    <n v="0.99999973173429402"/>
    <n v="2.6826570598270649E-7"/>
  </r>
  <r>
    <x v="174"/>
    <x v="3"/>
    <s v="scott-3"/>
    <s v="WR-1"/>
    <n v="6"/>
    <n v="10.42"/>
    <n v="47.059600000000003"/>
    <s v="WR"/>
    <x v="0"/>
    <x v="9"/>
    <n v="110.35"/>
    <n v="442.53309999999999"/>
    <s v="perry-3"/>
    <x v="10"/>
    <n v="101.86999999999999"/>
    <n v="350.57169999999996"/>
    <n v="0.61833611537492805"/>
    <n v="0.55908219474465271"/>
    <n v="-5.9253920630275347E-2"/>
    <n v="132"/>
    <n v="102"/>
    <n v="0.99999973824906507"/>
    <n v="2.6175093492675217E-7"/>
  </r>
  <r>
    <x v="86"/>
    <x v="6"/>
    <s v="scott-11"/>
    <s v="D/ST"/>
    <n v="27"/>
    <n v="11.53"/>
    <n v="36.844900000000003"/>
    <s v="D/ST"/>
    <x v="5"/>
    <x v="9"/>
    <n v="105.39999999999999"/>
    <n v="342.09739999999999"/>
    <s v="devon-11"/>
    <x v="7"/>
    <n v="100.25"/>
    <n v="448.76889999999997"/>
    <n v="0.57265136255925952"/>
    <n v="0.77365123933752189"/>
    <n v="0.20099987677826237"/>
    <n v="124"/>
    <n v="78"/>
    <n v="0.99999975431718979"/>
    <n v="2.4568281020709293E-7"/>
  </r>
  <r>
    <x v="104"/>
    <x v="9"/>
    <s v="aj-4"/>
    <s v="RB-1"/>
    <n v="4"/>
    <n v="15.54"/>
    <n v="81.180099999999996"/>
    <s v="RB"/>
    <x v="2"/>
    <x v="6"/>
    <n v="118.09999999999998"/>
    <n v="465.47660000000008"/>
    <s v="comp-4"/>
    <x v="8"/>
    <n v="103.70000000000002"/>
    <n v="412.10110000000003"/>
    <n v="0.68654951827928645"/>
    <n v="0.54036158521011501"/>
    <n v="-0.14618793306917144"/>
    <n v="80"/>
    <n v="46"/>
    <n v="0.99999978410897383"/>
    <n v="2.1589102616736966E-7"/>
  </r>
  <r>
    <x v="95"/>
    <x v="3"/>
    <s v="cory-3"/>
    <s v="RB-1"/>
    <n v="13"/>
    <n v="10.41"/>
    <n v="40.7044"/>
    <s v="RB"/>
    <x v="2"/>
    <x v="5"/>
    <n v="106.94"/>
    <n v="452.911"/>
    <s v="lucas-3"/>
    <x v="9"/>
    <n v="0"/>
    <n v="0"/>
    <n v="0.99999974824851112"/>
    <n v="0.99999996570067629"/>
    <n v="2.174521651632233E-7"/>
    <n v="88"/>
    <n v="0"/>
    <n v="1"/>
    <n v="0"/>
  </r>
  <r>
    <x v="179"/>
    <x v="3"/>
    <s v="cory-3"/>
    <s v="WR/RB"/>
    <n v="1"/>
    <n v="9.0500000000000007"/>
    <n v="71.740899999999996"/>
    <s v="WR/RB"/>
    <x v="2"/>
    <x v="5"/>
    <n v="106.94"/>
    <n v="452.911"/>
    <s v="lucas-3"/>
    <x v="9"/>
    <n v="0"/>
    <n v="0"/>
    <n v="0.99999974824851112"/>
    <n v="0.99999979596870658"/>
    <n v="4.7720195461842252E-8"/>
    <n v="88"/>
    <n v="0"/>
    <n v="1"/>
    <n v="0"/>
  </r>
  <r>
    <x v="50"/>
    <x v="8"/>
    <s v="seth-9"/>
    <s v="TE-1"/>
    <n v="2"/>
    <n v="5.42"/>
    <n v="17.7241"/>
    <s v="TE"/>
    <x v="3"/>
    <x v="1"/>
    <n v="92.559999999999988"/>
    <n v="350.31569999999999"/>
    <s v="comp-9"/>
    <x v="8"/>
    <n v="80.800000000000011"/>
    <n v="290.44450000000001"/>
    <n v="0.67888350653659379"/>
    <n v="0.63085751945073176"/>
    <n v="-4.8025987085862032E-2"/>
    <n v="95"/>
    <n v="77"/>
    <n v="0.99999981896153611"/>
    <n v="1.8103846388672906E-7"/>
  </r>
  <r>
    <x v="117"/>
    <x v="1"/>
    <s v="comp-12"/>
    <s v="RB-1"/>
    <n v="22"/>
    <n v="9.92"/>
    <n v="31.922499999999999"/>
    <s v="RB"/>
    <x v="2"/>
    <x v="2"/>
    <n v="98.639999999999986"/>
    <n v="309.06870000000004"/>
    <s v="aj-12"/>
    <x v="2"/>
    <n v="111.09"/>
    <n v="408.5095"/>
    <n v="0.32104937221741592"/>
    <n v="0.49436304857222368"/>
    <n v="0.17331367635480777"/>
    <n v="125"/>
    <n v="84"/>
    <n v="0.99999984608099501"/>
    <n v="1.5391900498595845E-7"/>
  </r>
  <r>
    <x v="77"/>
    <x v="1"/>
    <s v="perry-12"/>
    <s v="RB-2"/>
    <n v="15"/>
    <n v="19.09"/>
    <n v="83.905600000000007"/>
    <s v="RB"/>
    <x v="2"/>
    <x v="7"/>
    <n v="117.67999999999999"/>
    <n v="426.54240000000004"/>
    <s v="scott-12"/>
    <x v="5"/>
    <n v="109.82"/>
    <n v="367.76499999999999"/>
    <n v="0.60983422019767153"/>
    <n v="0.55624101835784057"/>
    <n v="-5.3593201839830962E-2"/>
    <n v="131"/>
    <n v="88"/>
    <n v="0.99999986323604961"/>
    <n v="1.3676395038686451E-7"/>
  </r>
  <r>
    <x v="56"/>
    <x v="2"/>
    <s v="devon-13"/>
    <s v="WR-3"/>
    <n v="13"/>
    <n v="11.83"/>
    <n v="40.576900000000002"/>
    <s v="WR"/>
    <x v="0"/>
    <x v="8"/>
    <n v="97.46"/>
    <n v="368.81949999999995"/>
    <s v="perry-13"/>
    <x v="10"/>
    <n v="108.77"/>
    <n v="411.30060000000003"/>
    <n v="0.3427638257896819"/>
    <n v="0.35462300365620414"/>
    <n v="1.1859177866522241E-2"/>
    <n v="133"/>
    <n v="99"/>
    <n v="0.99999987240133315"/>
    <n v="1.2759866685474464E-7"/>
  </r>
  <r>
    <x v="69"/>
    <x v="10"/>
    <s v="cory-2"/>
    <s v="WR-3"/>
    <n v="2"/>
    <n v="9.86"/>
    <n v="58.369599999999998"/>
    <s v="WR"/>
    <x v="0"/>
    <x v="5"/>
    <n v="102.7"/>
    <n v="377.5104"/>
    <s v="comp-2"/>
    <x v="8"/>
    <n v="103.61999999999999"/>
    <n v="357.30130000000003"/>
    <n v="0.48646287329580978"/>
    <n v="0.36783912786810746"/>
    <n v="-0.11862374542770232"/>
    <n v="97"/>
    <n v="65"/>
    <n v="0.99999990921392756"/>
    <n v="9.0786072437509802E-8"/>
  </r>
  <r>
    <x v="172"/>
    <x v="4"/>
    <s v="aj-8"/>
    <s v="K"/>
    <n v="21"/>
    <n v="7.13"/>
    <n v="21.16"/>
    <s v="K"/>
    <x v="1"/>
    <x v="6"/>
    <n v="114.1"/>
    <n v="458.87900000000002"/>
    <s v="lucas-8"/>
    <x v="9"/>
    <n v="0"/>
    <n v="0"/>
    <n v="0.99999994992018415"/>
    <n v="0.99999999952205199"/>
    <n v="4.960186783531384E-8"/>
    <n v="113"/>
    <n v="0"/>
    <n v="1"/>
    <n v="0"/>
  </r>
  <r>
    <x v="59"/>
    <x v="4"/>
    <s v="comp-8"/>
    <s v="TE-1"/>
    <n v="15"/>
    <n v="5.62"/>
    <n v="23.716899999999999"/>
    <s v="TE"/>
    <x v="3"/>
    <x v="2"/>
    <n v="100.87"/>
    <n v="421.5641"/>
    <s v="perry-8"/>
    <x v="10"/>
    <n v="115.82"/>
    <n v="434.36700000000002"/>
    <n v="0.30467516207413586"/>
    <n v="0.42344809790697002"/>
    <n v="0.11877293583283416"/>
    <n v="115"/>
    <n v="80"/>
    <n v="0.99999992827732087"/>
    <n v="7.1722679129138101E-8"/>
  </r>
  <r>
    <x v="180"/>
    <x v="7"/>
    <s v="jason-5"/>
    <s v="TE-1"/>
    <n v="4"/>
    <n v="6.17"/>
    <n v="24.502500000000001"/>
    <s v="TE"/>
    <x v="3"/>
    <x v="4"/>
    <n v="89.689999999999984"/>
    <n v="445.42419999999998"/>
    <e v="#N/A"/>
    <x v="6"/>
    <n v="0"/>
    <n v="0"/>
    <n v="0.99998929661032787"/>
    <n v="0.99999004334166619"/>
    <n v="7.4673133831915095E-7"/>
    <n v="93"/>
    <n v="0"/>
    <n v="1"/>
    <n v="0"/>
  </r>
  <r>
    <x v="181"/>
    <x v="5"/>
    <s v="devon-7"/>
    <s v="WR-3"/>
    <n v="7"/>
    <n v="7.52"/>
    <n v="20.976400000000002"/>
    <s v="WR"/>
    <x v="0"/>
    <x v="8"/>
    <n v="106.81"/>
    <n v="351.64060000000001"/>
    <s v="aj-7"/>
    <x v="2"/>
    <n v="114.01999999999998"/>
    <n v="381.58529999999996"/>
    <n v="0.39501702421215146"/>
    <n v="0.3860445865333918"/>
    <n v="-8.9724376787596594E-3"/>
    <n v="117"/>
    <n v="93"/>
    <n v="0.99999995691596455"/>
    <n v="4.3084035450391411E-8"/>
  </r>
  <r>
    <x v="154"/>
    <x v="3"/>
    <s v="scott-3"/>
    <s v="WR-3"/>
    <n v="11"/>
    <n v="10.15"/>
    <n v="29.593599999999999"/>
    <s v="WR"/>
    <x v="0"/>
    <x v="9"/>
    <n v="110.35"/>
    <n v="442.53309999999999"/>
    <s v="perry-3"/>
    <x v="10"/>
    <n v="101.86999999999999"/>
    <n v="350.57169999999996"/>
    <n v="0.61833611537492805"/>
    <n v="0.63218862558796396"/>
    <n v="1.3852510213035907E-2"/>
    <n v="132"/>
    <n v="102"/>
    <n v="0.99999995803188668"/>
    <n v="4.1968113317913947E-8"/>
  </r>
  <r>
    <x v="39"/>
    <x v="3"/>
    <s v="cory-3"/>
    <s v="WR-1"/>
    <n v="9"/>
    <n v="11.73"/>
    <n v="49.420900000000003"/>
    <s v="WR"/>
    <x v="0"/>
    <x v="5"/>
    <n v="106.94"/>
    <n v="452.911"/>
    <s v="lucas-3"/>
    <x v="9"/>
    <n v="0"/>
    <n v="0"/>
    <n v="0.99999974824851112"/>
    <n v="0.99999989366988584"/>
    <n v="1.4542137471984518E-7"/>
    <n v="88"/>
    <n v="0"/>
    <n v="1"/>
    <n v="0"/>
  </r>
  <r>
    <x v="14"/>
    <x v="12"/>
    <s v="seth-6"/>
    <s v="RB-2"/>
    <n v="6"/>
    <n v="11.8"/>
    <n v="54.76"/>
    <s v="RB"/>
    <x v="2"/>
    <x v="1"/>
    <n v="90.009999999999991"/>
    <n v="295.93350000000004"/>
    <s v="scott-6"/>
    <x v="5"/>
    <n v="110.30999999999999"/>
    <n v="388.52729999999997"/>
    <n v="0.21889557883251567"/>
    <n v="0.14914767393735576"/>
    <n v="-6.9747904895159918E-2"/>
    <n v="130"/>
    <n v="96"/>
    <n v="0.99999996242013589"/>
    <n v="3.7579864109460459E-8"/>
  </r>
  <r>
    <x v="9"/>
    <x v="4"/>
    <s v="comp-8"/>
    <s v="WR-1"/>
    <n v="7"/>
    <n v="13.84"/>
    <n v="60.0625"/>
    <s v="WR"/>
    <x v="0"/>
    <x v="2"/>
    <n v="100.87"/>
    <n v="421.5641"/>
    <s v="perry-8"/>
    <x v="10"/>
    <n v="115.82"/>
    <n v="434.36700000000002"/>
    <n v="0.30467516207413586"/>
    <n v="0.21994178869894446"/>
    <n v="-8.4733373375191406E-2"/>
    <n v="115"/>
    <n v="80"/>
    <n v="0.99999996643905509"/>
    <n v="3.3560944912025548E-8"/>
  </r>
  <r>
    <x v="148"/>
    <x v="3"/>
    <s v="scott-3"/>
    <s v="D/ST"/>
    <n v="2"/>
    <n v="9.0399999999999991"/>
    <n v="47.059600000000003"/>
    <s v="D/ST"/>
    <x v="5"/>
    <x v="9"/>
    <n v="110.35"/>
    <n v="442.53309999999999"/>
    <s v="perry-3"/>
    <x v="10"/>
    <n v="101.86999999999999"/>
    <n v="350.57169999999996"/>
    <n v="0.61833611537492805"/>
    <n v="0.52102271686229984"/>
    <n v="-9.7313398512628213E-2"/>
    <n v="132"/>
    <n v="102"/>
    <n v="0.99999996657107981"/>
    <n v="3.3428920187539291E-8"/>
  </r>
  <r>
    <x v="121"/>
    <x v="2"/>
    <s v="cory-13"/>
    <s v="K"/>
    <n v="7"/>
    <n v="7.51"/>
    <n v="14.288399999999999"/>
    <s v="K"/>
    <x v="1"/>
    <x v="5"/>
    <n v="106.87"/>
    <n v="444.05589999999995"/>
    <s v="scott-13"/>
    <x v="5"/>
    <n v="108.61"/>
    <n v="407.25390000000004"/>
    <n v="0.47622294087495948"/>
    <n v="0.46900535304211138"/>
    <n v="-7.2175878328480936E-3"/>
    <n v="86"/>
    <n v="66"/>
    <n v="0.99999997117256623"/>
    <n v="2.8827433773415123E-8"/>
  </r>
  <r>
    <x v="101"/>
    <x v="4"/>
    <s v="comp-8"/>
    <s v="QB-1"/>
    <n v="15"/>
    <n v="21.53"/>
    <n v="58.216900000000003"/>
    <s v="QB"/>
    <x v="4"/>
    <x v="2"/>
    <n v="100.87"/>
    <n v="421.5641"/>
    <s v="perry-8"/>
    <x v="10"/>
    <n v="115.82"/>
    <n v="434.36700000000002"/>
    <n v="0.30467516207413586"/>
    <n v="0.22347192203827398"/>
    <n v="-8.1203240035861879E-2"/>
    <n v="115"/>
    <n v="80"/>
    <n v="0.99999997380294114"/>
    <n v="2.6197058855537136E-8"/>
  </r>
  <r>
    <x v="167"/>
    <x v="0"/>
    <s v="perry-10"/>
    <s v="TE-1"/>
    <n v="0"/>
    <n v="6.42"/>
    <n v="14.976900000000001"/>
    <s v="TE"/>
    <x v="3"/>
    <x v="7"/>
    <n v="103.49"/>
    <n v="345.28400000000005"/>
    <s v="cory-10"/>
    <x v="4"/>
    <n v="93.17"/>
    <n v="328.34589999999997"/>
    <n v="0.65454511164456886"/>
    <n v="0.56039172157142769"/>
    <n v="-9.4153390073141163E-2"/>
    <n v="106"/>
    <n v="91"/>
    <n v="0.99999998442825511"/>
    <n v="1.557174489352775E-8"/>
  </r>
  <r>
    <x v="49"/>
    <x v="6"/>
    <s v="aj-11"/>
    <s v="WR-3"/>
    <n v="1"/>
    <n v="7.75"/>
    <n v="23.04"/>
    <s v="WR"/>
    <x v="0"/>
    <x v="6"/>
    <n v="110.11"/>
    <n v="412.79880000000003"/>
    <s v="seth-11"/>
    <x v="0"/>
    <n v="98.329999999999984"/>
    <n v="378.70709999999997"/>
    <n v="0.66228767586387005"/>
    <n v="0.57199260092112358"/>
    <n v="-9.0295074942746467E-2"/>
    <n v="131"/>
    <n v="111"/>
    <n v="0.99999998747452912"/>
    <n v="1.2525470882707168E-8"/>
  </r>
  <r>
    <x v="46"/>
    <x v="8"/>
    <s v="seth-9"/>
    <s v="K"/>
    <n v="3"/>
    <n v="7.88"/>
    <n v="16.809999999999999"/>
    <s v="K"/>
    <x v="1"/>
    <x v="1"/>
    <n v="92.559999999999988"/>
    <n v="350.31569999999999"/>
    <s v="comp-9"/>
    <x v="8"/>
    <n v="80.800000000000011"/>
    <n v="290.44450000000001"/>
    <n v="0.67888350653659379"/>
    <n v="0.60850759450736747"/>
    <n v="-7.0375912029226328E-2"/>
    <n v="95"/>
    <n v="77"/>
    <n v="0.99999998800775158"/>
    <n v="1.1992248416525797E-8"/>
  </r>
  <r>
    <x v="128"/>
    <x v="6"/>
    <s v="scott-11"/>
    <s v="QB-1"/>
    <n v="25"/>
    <n v="22.24"/>
    <n v="59.752899999999997"/>
    <s v="QB"/>
    <x v="4"/>
    <x v="9"/>
    <n v="105.39999999999999"/>
    <n v="342.09739999999999"/>
    <s v="devon-11"/>
    <x v="7"/>
    <n v="100.25"/>
    <n v="448.76889999999997"/>
    <n v="0.57265136255925952"/>
    <n v="0.61506281449279043"/>
    <n v="4.2411451933530908E-2"/>
    <n v="124"/>
    <n v="78"/>
    <n v="0.9999999888917448"/>
    <n v="1.1108255204561601E-8"/>
  </r>
  <r>
    <x v="27"/>
    <x v="2"/>
    <s v="cory-13"/>
    <s v="TE-1"/>
    <n v="2"/>
    <n v="8.3000000000000007"/>
    <n v="22.09"/>
    <s v="TE"/>
    <x v="3"/>
    <x v="5"/>
    <n v="106.87"/>
    <n v="444.05589999999995"/>
    <s v="scott-13"/>
    <x v="5"/>
    <n v="108.61"/>
    <n v="407.25390000000004"/>
    <n v="0.47622294087495948"/>
    <n v="0.39004424038898561"/>
    <n v="-8.6178700485973869E-2"/>
    <n v="86"/>
    <n v="66"/>
    <n v="0.99999998901616061"/>
    <n v="1.0983839393574613E-8"/>
  </r>
  <r>
    <x v="115"/>
    <x v="12"/>
    <s v="seth-6"/>
    <s v="WR-1"/>
    <n v="6"/>
    <n v="10.61"/>
    <n v="47.472099999999998"/>
    <s v="WR"/>
    <x v="0"/>
    <x v="1"/>
    <n v="90.009999999999991"/>
    <n v="295.93350000000004"/>
    <s v="scott-6"/>
    <x v="5"/>
    <n v="110.30999999999999"/>
    <n v="388.52729999999997"/>
    <n v="0.21889557883251567"/>
    <n v="0.16182649397526977"/>
    <n v="-5.7069084857245905E-2"/>
    <n v="130"/>
    <n v="96"/>
    <n v="0.99999998951326774"/>
    <n v="1.0486732260339693E-8"/>
  </r>
  <r>
    <x v="182"/>
    <x v="9"/>
    <s v="aj-4"/>
    <s v="WR-2"/>
    <n v="1"/>
    <n v="8.67"/>
    <n v="54.908099999999997"/>
    <s v="WR"/>
    <x v="0"/>
    <x v="6"/>
    <n v="118.09999999999998"/>
    <n v="465.47660000000008"/>
    <s v="comp-4"/>
    <x v="8"/>
    <n v="103.70000000000002"/>
    <n v="412.10110000000003"/>
    <n v="0.68654951827928645"/>
    <n v="0.59275598043563527"/>
    <n v="-9.3793537843651187E-2"/>
    <n v="80"/>
    <n v="46"/>
    <n v="0.99999999064267453"/>
    <n v="9.3573254700274333E-9"/>
  </r>
  <r>
    <x v="36"/>
    <x v="9"/>
    <s v="aj-4"/>
    <s v="WR-1"/>
    <n v="9"/>
    <n v="13.04"/>
    <n v="45.697600000000001"/>
    <s v="WR"/>
    <x v="0"/>
    <x v="6"/>
    <n v="118.09999999999998"/>
    <n v="465.47660000000008"/>
    <s v="comp-4"/>
    <x v="8"/>
    <n v="103.70000000000002"/>
    <n v="412.10110000000003"/>
    <n v="0.68654951827928645"/>
    <n v="0.64027511475841148"/>
    <n v="-4.6274403520874974E-2"/>
    <n v="80"/>
    <n v="46"/>
    <n v="0.99999999084308866"/>
    <n v="9.1569113402911739E-9"/>
  </r>
  <r>
    <x v="27"/>
    <x v="6"/>
    <s v="cory-11"/>
    <s v="TE-1"/>
    <n v="0"/>
    <n v="10.029999999999999"/>
    <n v="52.707599999999999"/>
    <s v="TE"/>
    <x v="3"/>
    <x v="5"/>
    <n v="102.11"/>
    <n v="431.97960000000006"/>
    <s v="chad-11"/>
    <x v="1"/>
    <n v="106.58"/>
    <n v="427.68610000000001"/>
    <n v="0.43941389461043751"/>
    <n v="0.30487252136930293"/>
    <n v="-0.13454137324113458"/>
    <n v="130"/>
    <n v="99"/>
    <n v="0.99999999204801671"/>
    <n v="7.951983294063325E-9"/>
  </r>
  <r>
    <x v="175"/>
    <x v="8"/>
    <s v="scott-9"/>
    <s v="K"/>
    <n v="5"/>
    <n v="6.65"/>
    <n v="17.4724"/>
    <s v="K"/>
    <x v="1"/>
    <x v="9"/>
    <n v="83.52"/>
    <n v="286.42129999999997"/>
    <s v="lucas-9"/>
    <x v="9"/>
    <n v="0"/>
    <n v="0"/>
    <n v="0.9999995992619003"/>
    <n v="0.99999970148622375"/>
    <n v="1.0222432345052823E-7"/>
    <n v="89"/>
    <n v="0"/>
    <n v="1"/>
    <n v="0"/>
  </r>
  <r>
    <x v="1"/>
    <x v="12"/>
    <s v="seth-6"/>
    <s v="WR-2"/>
    <n v="15"/>
    <n v="6.41"/>
    <n v="20.1601"/>
    <s v="WR"/>
    <x v="0"/>
    <x v="1"/>
    <n v="90.009999999999991"/>
    <n v="295.93350000000004"/>
    <s v="scott-6"/>
    <x v="5"/>
    <n v="110.30999999999999"/>
    <n v="388.52729999999997"/>
    <n v="0.21889557883251567"/>
    <n v="0.32479448689497348"/>
    <n v="0.1058989080624578"/>
    <n v="130"/>
    <n v="96"/>
    <n v="0.99999999239788206"/>
    <n v="7.6021179351570822E-9"/>
  </r>
  <r>
    <x v="33"/>
    <x v="5"/>
    <s v="devon-7"/>
    <s v="WR-2"/>
    <n v="8"/>
    <n v="9.3000000000000007"/>
    <n v="19.980899999999998"/>
    <s v="WR"/>
    <x v="0"/>
    <x v="8"/>
    <n v="106.81"/>
    <n v="351.64060000000001"/>
    <s v="aj-7"/>
    <x v="2"/>
    <n v="114.01999999999998"/>
    <n v="381.58529999999996"/>
    <n v="0.39501702421215146"/>
    <n v="0.37499700481727433"/>
    <n v="-2.0020019394877131E-2"/>
    <n v="117"/>
    <n v="93"/>
    <n v="0.99999999242937676"/>
    <n v="7.5706232394168183E-9"/>
  </r>
  <r>
    <x v="45"/>
    <x v="10"/>
    <s v="devon-2"/>
    <s v="RB-1"/>
    <n v="1"/>
    <n v="15.67"/>
    <n v="73.616399999999999"/>
    <s v="RB"/>
    <x v="2"/>
    <x v="8"/>
    <n v="100.92999999999999"/>
    <n v="374.85250000000002"/>
    <s v="scott-2"/>
    <x v="5"/>
    <n v="103.25"/>
    <n v="377.00829999999996"/>
    <n v="0.46628591266319391"/>
    <n v="0.2570782097759341"/>
    <n v="-0.20920770288725982"/>
    <n v="140"/>
    <n v="106"/>
    <n v="0.99999999296333453"/>
    <n v="7.0366654725262379E-9"/>
  </r>
  <r>
    <x v="22"/>
    <x v="9"/>
    <s v="aj-4"/>
    <s v="K"/>
    <n v="15"/>
    <n v="7.85"/>
    <n v="22.372900000000001"/>
    <s v="K"/>
    <x v="1"/>
    <x v="6"/>
    <n v="118.09999999999998"/>
    <n v="465.47660000000008"/>
    <s v="comp-4"/>
    <x v="8"/>
    <n v="103.70000000000002"/>
    <n v="412.10110000000003"/>
    <n v="0.68654951827928645"/>
    <n v="0.7694103028411976"/>
    <n v="8.2860784561911149E-2"/>
    <n v="80"/>
    <n v="46"/>
    <n v="0.9999999931273883"/>
    <n v="6.8726117019579647E-9"/>
  </r>
  <r>
    <x v="55"/>
    <x v="10"/>
    <s v="cory-2"/>
    <s v="RB-2"/>
    <n v="8"/>
    <n v="10.86"/>
    <n v="37.699599999999997"/>
    <s v="RB"/>
    <x v="2"/>
    <x v="5"/>
    <n v="102.7"/>
    <n v="377.5104"/>
    <s v="comp-2"/>
    <x v="8"/>
    <n v="103.61999999999999"/>
    <n v="357.30130000000003"/>
    <n v="0.48646287329580978"/>
    <n v="0.44307946274642063"/>
    <n v="-4.3383410549389156E-2"/>
    <n v="97"/>
    <n v="65"/>
    <n v="0.99999999316709931"/>
    <n v="6.8329006897016598E-9"/>
  </r>
  <r>
    <x v="183"/>
    <x v="3"/>
    <s v="cory-3"/>
    <s v="D/ST"/>
    <n v="4"/>
    <n v="5.48"/>
    <n v="41.088099999999997"/>
    <s v="D/ST"/>
    <x v="5"/>
    <x v="5"/>
    <n v="106.94"/>
    <n v="452.911"/>
    <s v="lucas-3"/>
    <x v="9"/>
    <n v="0"/>
    <n v="0"/>
    <n v="0.99999974824851112"/>
    <n v="0.99999989860313832"/>
    <n v="1.5035462719303894E-7"/>
    <n v="88"/>
    <n v="0"/>
    <n v="1"/>
    <n v="0"/>
  </r>
  <r>
    <x v="31"/>
    <x v="3"/>
    <s v="chad-3"/>
    <s v="RB-1"/>
    <n v="32"/>
    <n v="14.01"/>
    <n v="54.316899999999997"/>
    <s v="RB"/>
    <x v="2"/>
    <x v="3"/>
    <n v="99.23"/>
    <n v="414.92009999999999"/>
    <s v="devon-3"/>
    <x v="7"/>
    <n v="110.36"/>
    <n v="421.178"/>
    <n v="0.35014963451184367"/>
    <n v="0.59690628315319527"/>
    <n v="0.24675664864135161"/>
    <n v="123"/>
    <n v="63"/>
    <n v="0.99999999401439466"/>
    <n v="5.9856053447049362E-9"/>
  </r>
  <r>
    <x v="184"/>
    <x v="12"/>
    <s v="comp-6"/>
    <s v="TE-1"/>
    <n v="0"/>
    <n v="4.76"/>
    <n v="17.305599999999998"/>
    <s v="TE"/>
    <x v="3"/>
    <x v="2"/>
    <n v="104.66"/>
    <n v="375.94899999999996"/>
    <s v="devon-6"/>
    <x v="7"/>
    <n v="101.41999999999999"/>
    <n v="401.13359999999994"/>
    <n v="0.54626414609906893"/>
    <n v="0.478011757396056"/>
    <n v="-6.8252388703012923E-2"/>
    <n v="91"/>
    <n v="72"/>
    <n v="0.99999999440203069"/>
    <n v="5.5979693103225259E-9"/>
  </r>
  <r>
    <x v="142"/>
    <x v="6"/>
    <s v="cory-11"/>
    <s v="WR-3"/>
    <n v="12"/>
    <n v="8.0299999999999994"/>
    <n v="22.184100000000001"/>
    <s v="WR"/>
    <x v="0"/>
    <x v="5"/>
    <n v="102.11"/>
    <n v="431.97960000000006"/>
    <s v="chad-11"/>
    <x v="1"/>
    <n v="106.58"/>
    <n v="427.68610000000001"/>
    <n v="0.43941389461043751"/>
    <n v="0.49310759440385377"/>
    <n v="5.3693699793416261E-2"/>
    <n v="130"/>
    <n v="99"/>
    <n v="0.99999999523401861"/>
    <n v="4.7659813873224266E-9"/>
  </r>
  <r>
    <x v="98"/>
    <x v="10"/>
    <s v="perry-2"/>
    <s v="WR-1"/>
    <n v="6"/>
    <n v="11.65"/>
    <n v="68.724100000000007"/>
    <s v="WR"/>
    <x v="0"/>
    <x v="7"/>
    <n v="104.79999999999998"/>
    <n v="455.48199999999997"/>
    <s v="lucas-2"/>
    <x v="9"/>
    <n v="0"/>
    <n v="0"/>
    <n v="0.99999954577661365"/>
    <n v="0.99999976923857214"/>
    <n v="2.2346195849287653E-7"/>
    <n v="102"/>
    <n v="0"/>
    <n v="1"/>
    <n v="0"/>
  </r>
  <r>
    <x v="185"/>
    <x v="9"/>
    <s v="matty-4"/>
    <s v="K"/>
    <n v="4"/>
    <n v="7.52"/>
    <n v="21.068100000000001"/>
    <s v="K"/>
    <x v="1"/>
    <x v="0"/>
    <n v="109.71999999999998"/>
    <n v="421.03860000000003"/>
    <s v="lucas-4"/>
    <x v="9"/>
    <n v="0"/>
    <n v="0"/>
    <n v="0.99999995533253605"/>
    <n v="0.9999999452462438"/>
    <n v="-1.0086292245858886E-8"/>
    <n v="92"/>
    <n v="0"/>
    <n v="1"/>
    <n v="0"/>
  </r>
  <r>
    <x v="27"/>
    <x v="3"/>
    <s v="cory-3"/>
    <s v="TE-1"/>
    <n v="9"/>
    <n v="7.02"/>
    <n v="31.922499999999999"/>
    <s v="TE"/>
    <x v="3"/>
    <x v="5"/>
    <n v="106.94"/>
    <n v="452.911"/>
    <s v="lucas-3"/>
    <x v="9"/>
    <n v="0"/>
    <n v="0"/>
    <n v="0.99999974824851112"/>
    <n v="0.99999994473703147"/>
    <n v="1.9648852034315212E-7"/>
    <n v="88"/>
    <n v="0"/>
    <n v="1"/>
    <n v="0"/>
  </r>
  <r>
    <x v="186"/>
    <x v="2"/>
    <s v="devon-13"/>
    <s v="D/ST"/>
    <n v="10"/>
    <n v="10.82"/>
    <n v="35.402500000000003"/>
    <s v="D/ST"/>
    <x v="5"/>
    <x v="8"/>
    <n v="97.46"/>
    <n v="368.81949999999995"/>
    <s v="perry-13"/>
    <x v="10"/>
    <n v="108.77"/>
    <n v="411.30060000000003"/>
    <n v="0.3427638257896819"/>
    <n v="0.32834306990489859"/>
    <n v="-1.4420755884783309E-2"/>
    <n v="133"/>
    <n v="99"/>
    <n v="0.99999999757298919"/>
    <n v="2.4270108145429958E-9"/>
  </r>
  <r>
    <x v="187"/>
    <x v="7"/>
    <s v="jason-5"/>
    <s v="WR/RB"/>
    <n v="3"/>
    <n v="5.68"/>
    <n v="20.520900000000001"/>
    <s v="WR/RB"/>
    <x v="2"/>
    <x v="4"/>
    <n v="89.689999999999984"/>
    <n v="445.42419999999998"/>
    <e v="#N/A"/>
    <x v="6"/>
    <n v="0"/>
    <n v="0"/>
    <n v="0.99998929661032787"/>
    <n v="0.99998784354848125"/>
    <n v="-1.4530618466235268E-6"/>
    <n v="93"/>
    <n v="0"/>
    <n v="1"/>
    <n v="0"/>
  </r>
  <r>
    <x v="22"/>
    <x v="12"/>
    <s v="aj-6"/>
    <s v="K"/>
    <n v="3"/>
    <n v="8.2200000000000006"/>
    <n v="16.728100000000001"/>
    <s v="K"/>
    <x v="1"/>
    <x v="6"/>
    <n v="108.8"/>
    <n v="404.29040000000003"/>
    <s v="cory-6"/>
    <x v="4"/>
    <n v="102.10000000000001"/>
    <n v="445.16630000000004"/>
    <n v="0.59090810623639012"/>
    <n v="0.52045171256331713"/>
    <n v="-7.0456393673072992E-2"/>
    <n v="104"/>
    <n v="85"/>
    <n v="0.99999999840743259"/>
    <n v="1.5925674112793331E-9"/>
  </r>
  <r>
    <x v="77"/>
    <x v="6"/>
    <s v="perry-11"/>
    <s v="RB-2"/>
    <n v="9"/>
    <n v="17.93"/>
    <n v="54.022500000000001"/>
    <s v="RB"/>
    <x v="2"/>
    <x v="7"/>
    <n v="104.20000000000002"/>
    <n v="377.06489999999997"/>
    <s v="lucas-11"/>
    <x v="9"/>
    <n v="0"/>
    <n v="0"/>
    <n v="0.99999995977381673"/>
    <n v="0.99999994229391986"/>
    <n v="-1.7479896863292765E-8"/>
    <n v="85"/>
    <n v="0"/>
    <n v="1"/>
    <n v="0"/>
  </r>
  <r>
    <x v="142"/>
    <x v="2"/>
    <s v="cory-13"/>
    <s v="WR-3"/>
    <n v="2"/>
    <n v="8.5299999999999994"/>
    <n v="19.36"/>
    <s v="WR"/>
    <x v="0"/>
    <x v="5"/>
    <n v="106.87"/>
    <n v="444.05589999999995"/>
    <s v="scott-13"/>
    <x v="5"/>
    <n v="108.61"/>
    <n v="407.25390000000004"/>
    <n v="0.47622294087495948"/>
    <n v="0.38716362394068965"/>
    <n v="-8.9059316934269828E-2"/>
    <n v="86"/>
    <n v="66"/>
    <n v="0.99999999917789262"/>
    <n v="8.2210738217014523E-10"/>
  </r>
  <r>
    <x v="43"/>
    <x v="2"/>
    <s v="devon-13"/>
    <s v="RB-1"/>
    <n v="10"/>
    <n v="10.69"/>
    <n v="32.832900000000002"/>
    <s v="RB"/>
    <x v="2"/>
    <x v="8"/>
    <n v="97.46"/>
    <n v="368.81949999999995"/>
    <s v="perry-13"/>
    <x v="10"/>
    <n v="108.77"/>
    <n v="411.30060000000003"/>
    <n v="0.3427638257896819"/>
    <n v="0.33034067265829015"/>
    <n v="-1.2423153131391751E-2"/>
    <n v="133"/>
    <n v="99"/>
    <n v="0.99999999929398098"/>
    <n v="7.0601902102396252E-10"/>
  </r>
  <r>
    <x v="35"/>
    <x v="2"/>
    <s v="devon-13"/>
    <s v="WR-2"/>
    <n v="6"/>
    <n v="8.39"/>
    <n v="36"/>
    <s v="WR"/>
    <x v="0"/>
    <x v="8"/>
    <n v="97.46"/>
    <n v="368.81949999999995"/>
    <s v="perry-13"/>
    <x v="10"/>
    <n v="108.77"/>
    <n v="411.30060000000003"/>
    <n v="0.3427638257896819"/>
    <n v="0.30775433603553393"/>
    <n v="-3.5009489754147971E-2"/>
    <n v="133"/>
    <n v="99"/>
    <n v="0.99999999934023176"/>
    <n v="6.5976824004110313E-10"/>
  </r>
  <r>
    <x v="79"/>
    <x v="4"/>
    <s v="comp-8"/>
    <s v="RB-2"/>
    <n v="9"/>
    <n v="8.6300000000000008"/>
    <n v="32.035600000000002"/>
    <s v="RB"/>
    <x v="2"/>
    <x v="2"/>
    <n v="100.87"/>
    <n v="421.5641"/>
    <s v="perry-8"/>
    <x v="10"/>
    <n v="115.82"/>
    <n v="434.36700000000002"/>
    <n v="0.30467516207413586"/>
    <n v="0.30574400169258614"/>
    <n v="1.0688396184502791E-3"/>
    <n v="115"/>
    <n v="80"/>
    <n v="0.99999999952732677"/>
    <n v="4.7267323388666682E-10"/>
  </r>
  <r>
    <x v="26"/>
    <x v="3"/>
    <s v="cory-3"/>
    <s v="WR-2"/>
    <n v="5"/>
    <n v="10.56"/>
    <n v="43.692100000000003"/>
    <s v="WR"/>
    <x v="0"/>
    <x v="5"/>
    <n v="106.94"/>
    <n v="452.911"/>
    <s v="lucas-3"/>
    <x v="9"/>
    <n v="0"/>
    <n v="0"/>
    <n v="0.99999974824851112"/>
    <n v="0.99999973007174436"/>
    <n v="-1.8176766758415397E-8"/>
    <n v="88"/>
    <n v="0"/>
    <n v="1"/>
    <n v="0"/>
  </r>
  <r>
    <x v="188"/>
    <x v="3"/>
    <s v="scott-3"/>
    <s v="K"/>
    <n v="9"/>
    <n v="7.35"/>
    <n v="21.3444"/>
    <s v="K"/>
    <x v="1"/>
    <x v="9"/>
    <n v="110.35"/>
    <n v="442.53309999999999"/>
    <s v="perry-3"/>
    <x v="10"/>
    <n v="101.86999999999999"/>
    <n v="350.57169999999996"/>
    <n v="0.61833611537492805"/>
    <n v="0.64231114386826271"/>
    <n v="2.397502849333466E-2"/>
    <n v="132"/>
    <n v="102"/>
    <n v="0.99999999957784114"/>
    <n v="4.2215886342233944E-10"/>
  </r>
  <r>
    <x v="35"/>
    <x v="3"/>
    <s v="cory-3"/>
    <s v="WR-3"/>
    <n v="4"/>
    <n v="10.59"/>
    <n v="45.832900000000002"/>
    <s v="WR"/>
    <x v="0"/>
    <x v="5"/>
    <n v="106.94"/>
    <n v="452.911"/>
    <s v="lucas-3"/>
    <x v="9"/>
    <n v="0"/>
    <n v="0"/>
    <n v="0.99999974824851112"/>
    <n v="0.99999967154437008"/>
    <n v="-7.6704141038774765E-8"/>
    <n v="88"/>
    <n v="0"/>
    <n v="1"/>
    <n v="0"/>
  </r>
  <r>
    <x v="21"/>
    <x v="5"/>
    <s v="devon-7"/>
    <s v="WR-1"/>
    <n v="2"/>
    <n v="9.7799999999999994"/>
    <n v="26.419599999999999"/>
    <s v="WR"/>
    <x v="0"/>
    <x v="8"/>
    <n v="106.81"/>
    <n v="351.64060000000001"/>
    <s v="aj-7"/>
    <x v="2"/>
    <n v="114.01999999999998"/>
    <n v="381.58529999999996"/>
    <n v="0.39501702421215146"/>
    <n v="0.28643348184523199"/>
    <n v="-0.10858354236691947"/>
    <n v="117"/>
    <n v="93"/>
    <n v="0.99999999968528597"/>
    <n v="3.1471403261207342E-10"/>
  </r>
  <r>
    <x v="19"/>
    <x v="1"/>
    <s v="comp-12"/>
    <s v="WR/RB"/>
    <n v="9"/>
    <n v="8.67"/>
    <n v="43.0336"/>
    <s v="WR/RB"/>
    <x v="2"/>
    <x v="2"/>
    <n v="98.639999999999986"/>
    <n v="309.06870000000004"/>
    <s v="aj-12"/>
    <x v="2"/>
    <n v="111.09"/>
    <n v="408.5095"/>
    <n v="0.32104937221741592"/>
    <n v="0.32037284166804963"/>
    <n v="-6.7653054936628321E-4"/>
    <n v="125"/>
    <n v="84"/>
    <n v="0.99999999971713682"/>
    <n v="2.828631773255097E-10"/>
  </r>
  <r>
    <x v="145"/>
    <x v="11"/>
    <s v="scott-1"/>
    <s v="RB-1"/>
    <n v="9"/>
    <n v="15.26"/>
    <n v="79.388099999999994"/>
    <s v="RB"/>
    <x v="2"/>
    <x v="9"/>
    <n v="102.78"/>
    <n v="382.14119999999997"/>
    <s v="aj-1"/>
    <x v="2"/>
    <n v="90.7"/>
    <n v="347.93650000000002"/>
    <n v="0.67259029154080885"/>
    <n v="0.59023836588487955"/>
    <n v="-8.2351925655929303E-2"/>
    <n v="120"/>
    <n v="71"/>
    <n v="0.99999999972128539"/>
    <n v="2.7871460694939287E-10"/>
  </r>
  <r>
    <x v="131"/>
    <x v="10"/>
    <s v="cory-2"/>
    <s v="D/ST"/>
    <n v="8"/>
    <n v="7.4"/>
    <n v="25.401599999999998"/>
    <s v="D/ST"/>
    <x v="5"/>
    <x v="5"/>
    <n v="102.7"/>
    <n v="377.5104"/>
    <s v="comp-2"/>
    <x v="8"/>
    <n v="103.61999999999999"/>
    <n v="357.30130000000003"/>
    <n v="0.48646287329580978"/>
    <n v="0.49520707191705776"/>
    <n v="8.7441986212479783E-3"/>
    <n v="97"/>
    <n v="65"/>
    <n v="0.99999999976701859"/>
    <n v="2.3298141194061373E-10"/>
  </r>
  <r>
    <x v="11"/>
    <x v="9"/>
    <s v="aj-4"/>
    <s v="WR/RB"/>
    <n v="2"/>
    <n v="14.41"/>
    <n v="54.464399999999998"/>
    <s v="WR/RB"/>
    <x v="2"/>
    <x v="6"/>
    <n v="118.09999999999998"/>
    <n v="465.47660000000008"/>
    <s v="comp-4"/>
    <x v="8"/>
    <n v="103.70000000000002"/>
    <n v="412.10110000000003"/>
    <n v="0.68654951827928645"/>
    <n v="0.52764936766799475"/>
    <n v="-0.1589001506112917"/>
    <n v="80"/>
    <n v="46"/>
    <n v="0.99999999983984755"/>
    <n v="1.6015244685974039E-10"/>
  </r>
  <r>
    <x v="138"/>
    <x v="7"/>
    <s v="comp-5"/>
    <s v="WR-3"/>
    <n v="17"/>
    <n v="6.4"/>
    <n v="39.0625"/>
    <s v="WR"/>
    <x v="0"/>
    <x v="2"/>
    <n v="98.17"/>
    <n v="359.81479999999999"/>
    <s v="chad-5"/>
    <x v="1"/>
    <n v="103.98"/>
    <n v="400.98380000000003"/>
    <n v="0.41658401639793569"/>
    <n v="0.57075549748646492"/>
    <n v="0.15417148108852924"/>
    <n v="121"/>
    <n v="71"/>
    <n v="0.99999999985496979"/>
    <n v="1.450302100636236E-10"/>
  </r>
  <r>
    <x v="79"/>
    <x v="12"/>
    <s v="comp-6"/>
    <s v="RB-2"/>
    <n v="0"/>
    <n v="7.24"/>
    <n v="17.139600000000002"/>
    <s v="RB"/>
    <x v="2"/>
    <x v="2"/>
    <n v="104.66"/>
    <n v="375.94899999999996"/>
    <s v="devon-6"/>
    <x v="7"/>
    <n v="101.41999999999999"/>
    <n v="401.13359999999994"/>
    <n v="0.54626414609906893"/>
    <n v="0.4423156862044354"/>
    <n v="-0.10394845989463353"/>
    <n v="91"/>
    <n v="72"/>
    <n v="0.99999999988374055"/>
    <n v="1.1625944651427744E-10"/>
  </r>
  <r>
    <x v="130"/>
    <x v="3"/>
    <s v="chad-3"/>
    <s v="RB-2"/>
    <n v="22"/>
    <n v="11.57"/>
    <n v="60.684100000000001"/>
    <s v="RB"/>
    <x v="2"/>
    <x v="3"/>
    <n v="99.23"/>
    <n v="414.92009999999999"/>
    <s v="devon-3"/>
    <x v="7"/>
    <n v="110.36"/>
    <n v="421.178"/>
    <n v="0.35014963451184367"/>
    <n v="0.489972433543575"/>
    <n v="0.13982279903173134"/>
    <n v="123"/>
    <n v="63"/>
    <n v="0.99999999990125898"/>
    <n v="9.8741015364112172E-11"/>
  </r>
  <r>
    <x v="64"/>
    <x v="6"/>
    <s v="perry-11"/>
    <s v="WR-1"/>
    <n v="6"/>
    <n v="10.15"/>
    <n v="37.699599999999997"/>
    <s v="WR"/>
    <x v="0"/>
    <x v="7"/>
    <n v="104.20000000000002"/>
    <n v="377.06489999999997"/>
    <s v="lucas-11"/>
    <x v="9"/>
    <n v="0"/>
    <n v="0"/>
    <n v="0.99999995977381673"/>
    <n v="0.99999997198744894"/>
    <n v="1.2213632216706571E-8"/>
    <n v="85"/>
    <n v="0"/>
    <n v="1"/>
    <n v="0"/>
  </r>
  <r>
    <x v="157"/>
    <x v="0"/>
    <s v="chad-10"/>
    <s v="TE-1"/>
    <n v="0"/>
    <n v="5.25"/>
    <n v="16.728100000000001"/>
    <s v="TE"/>
    <x v="3"/>
    <x v="3"/>
    <n v="103.91999999999999"/>
    <n v="398.26569999999992"/>
    <s v="aj-10"/>
    <x v="2"/>
    <n v="110.08000000000001"/>
    <n v="372.64320000000004"/>
    <n v="0.41221140040071919"/>
    <n v="0.3388960518950011"/>
    <n v="-7.3315348505718081E-2"/>
    <n v="103"/>
    <n v="82"/>
    <n v="0.99999999993100397"/>
    <n v="6.8996031110657441E-11"/>
  </r>
  <r>
    <x v="15"/>
    <x v="9"/>
    <s v="aj-4"/>
    <s v="WR-3"/>
    <n v="9"/>
    <n v="10.79"/>
    <n v="30.691600000000001"/>
    <s v="WR"/>
    <x v="0"/>
    <x v="6"/>
    <n v="118.09999999999998"/>
    <n v="465.47660000000008"/>
    <s v="comp-4"/>
    <x v="8"/>
    <n v="103.70000000000002"/>
    <n v="412.10110000000003"/>
    <n v="0.68654951827928645"/>
    <n v="0.66760661609417582"/>
    <n v="-1.8942902185110633E-2"/>
    <n v="80"/>
    <n v="46"/>
    <n v="0.99999999994774835"/>
    <n v="5.225164745326083E-11"/>
  </r>
  <r>
    <x v="121"/>
    <x v="6"/>
    <s v="cory-11"/>
    <s v="K"/>
    <n v="11"/>
    <n v="6.47"/>
    <n v="16.483599999999999"/>
    <s v="K"/>
    <x v="1"/>
    <x v="5"/>
    <n v="102.11"/>
    <n v="431.97960000000006"/>
    <s v="chad-11"/>
    <x v="1"/>
    <n v="106.58"/>
    <n v="427.68610000000001"/>
    <n v="0.43941389461043751"/>
    <n v="0.50082432850531111"/>
    <n v="6.1410433894873606E-2"/>
    <n v="130"/>
    <n v="99"/>
    <n v="0.99999999996477695"/>
    <n v="3.5223046701560179E-11"/>
  </r>
  <r>
    <x v="189"/>
    <x v="3"/>
    <s v="scott-3"/>
    <s v="TE-1"/>
    <n v="0"/>
    <n v="5.88"/>
    <n v="30.25"/>
    <s v="TE"/>
    <x v="3"/>
    <x v="9"/>
    <n v="110.35"/>
    <n v="442.53309999999999"/>
    <s v="perry-3"/>
    <x v="10"/>
    <n v="101.86999999999999"/>
    <n v="350.57169999999996"/>
    <n v="0.61833611537492805"/>
    <n v="0.53749915122762271"/>
    <n v="-8.0836964147305346E-2"/>
    <n v="132"/>
    <n v="102"/>
    <n v="0.99999999996568856"/>
    <n v="3.4311442576040463E-11"/>
  </r>
  <r>
    <x v="44"/>
    <x v="4"/>
    <s v="aj-8"/>
    <s v="QB-1"/>
    <n v="10"/>
    <n v="19.84"/>
    <n v="53.5824"/>
    <s v="QB"/>
    <x v="4"/>
    <x v="6"/>
    <n v="114.1"/>
    <n v="458.87900000000002"/>
    <s v="lucas-8"/>
    <x v="9"/>
    <n v="0"/>
    <n v="0"/>
    <n v="0.99999994992018415"/>
    <n v="0.99999988835612963"/>
    <n v="-6.1564054520957256E-8"/>
    <n v="113"/>
    <n v="0"/>
    <n v="1"/>
    <n v="0"/>
  </r>
  <r>
    <x v="37"/>
    <x v="7"/>
    <s v="jason-5"/>
    <s v="RB-2"/>
    <n v="1"/>
    <n v="6"/>
    <n v="19.096900000000002"/>
    <s v="RB"/>
    <x v="2"/>
    <x v="4"/>
    <n v="89.689999999999984"/>
    <n v="445.42419999999998"/>
    <e v="#N/A"/>
    <x v="6"/>
    <n v="0"/>
    <n v="0"/>
    <n v="0.99998929661032787"/>
    <n v="0.99997949092082827"/>
    <n v="-9.8056894995979249E-6"/>
    <n v="93"/>
    <n v="0"/>
    <n v="1"/>
    <n v="0"/>
  </r>
  <r>
    <x v="70"/>
    <x v="1"/>
    <s v="comp-12"/>
    <s v="WR-2"/>
    <n v="12"/>
    <n v="10.83"/>
    <n v="35.760399999999997"/>
    <s v="WR"/>
    <x v="0"/>
    <x v="2"/>
    <n v="98.639999999999986"/>
    <n v="309.06870000000004"/>
    <s v="aj-12"/>
    <x v="2"/>
    <n v="111.09"/>
    <n v="408.5095"/>
    <n v="0.32104937221741592"/>
    <n v="0.332873892890788"/>
    <n v="1.1824520673372085E-2"/>
    <n v="125"/>
    <n v="84"/>
    <n v="0.99999999998635836"/>
    <n v="1.3641643370476686E-11"/>
  </r>
  <r>
    <x v="101"/>
    <x v="1"/>
    <s v="comp-12"/>
    <s v="QB-1"/>
    <n v="16"/>
    <n v="20.149999999999999"/>
    <n v="45.697600000000001"/>
    <s v="QB"/>
    <x v="4"/>
    <x v="2"/>
    <n v="98.639999999999986"/>
    <n v="309.06870000000004"/>
    <s v="aj-12"/>
    <x v="2"/>
    <n v="111.09"/>
    <n v="408.5095"/>
    <n v="0.32104937221741592"/>
    <n v="0.26095115713021139"/>
    <n v="-6.0098215087204532E-2"/>
    <n v="125"/>
    <n v="84"/>
    <n v="0.99999999998797062"/>
    <n v="1.2029377494116034E-11"/>
  </r>
  <r>
    <x v="80"/>
    <x v="7"/>
    <s v="jason-5"/>
    <s v="WR-1"/>
    <n v="4"/>
    <n v="8.0299999999999994"/>
    <n v="17.556100000000001"/>
    <s v="WR"/>
    <x v="0"/>
    <x v="4"/>
    <n v="89.689999999999984"/>
    <n v="445.42419999999998"/>
    <e v="#N/A"/>
    <x v="6"/>
    <n v="0"/>
    <n v="0"/>
    <n v="0.99998929661032787"/>
    <n v="0.9999827231038616"/>
    <n v="-6.5735064662675313E-6"/>
    <n v="93"/>
    <n v="0"/>
    <n v="1"/>
    <n v="0"/>
  </r>
  <r>
    <x v="122"/>
    <x v="6"/>
    <s v="scott-11"/>
    <s v="RB-2"/>
    <n v="7"/>
    <n v="14.17"/>
    <n v="62.252099999999999"/>
    <s v="RB"/>
    <x v="2"/>
    <x v="9"/>
    <n v="105.39999999999999"/>
    <n v="342.09739999999999"/>
    <s v="devon-11"/>
    <x v="7"/>
    <n v="100.25"/>
    <n v="448.76889999999997"/>
    <n v="0.57265136255925952"/>
    <n v="0.47017314838666158"/>
    <n v="-0.10247821417259795"/>
    <n v="124"/>
    <n v="78"/>
    <n v="0.99999999999202105"/>
    <n v="7.978950833376075E-12"/>
  </r>
  <r>
    <x v="104"/>
    <x v="6"/>
    <s v="cory-11"/>
    <s v="RB-2"/>
    <n v="10"/>
    <n v="8.25"/>
    <n v="18.835599999999999"/>
    <s v="RB"/>
    <x v="2"/>
    <x v="5"/>
    <n v="102.11"/>
    <n v="431.97960000000006"/>
    <s v="chad-11"/>
    <x v="1"/>
    <n v="106.58"/>
    <n v="427.68610000000001"/>
    <n v="0.43941389461043751"/>
    <n v="0.46263299149087778"/>
    <n v="2.3219096880440271E-2"/>
    <n v="130"/>
    <n v="99"/>
    <n v="0.99999999999206057"/>
    <n v="7.9394268936994195E-12"/>
  </r>
  <r>
    <x v="66"/>
    <x v="4"/>
    <s v="aj-8"/>
    <s v="WR-1"/>
    <n v="4"/>
    <n v="9.44"/>
    <n v="41.473599999999998"/>
    <s v="WR"/>
    <x v="0"/>
    <x v="6"/>
    <n v="114.1"/>
    <n v="458.87900000000002"/>
    <s v="lucas-8"/>
    <x v="9"/>
    <n v="0"/>
    <n v="0"/>
    <n v="0.99999994992018415"/>
    <n v="0.99999994769218958"/>
    <n v="-2.227994566617042E-9"/>
    <n v="113"/>
    <n v="0"/>
    <n v="1"/>
    <n v="0"/>
  </r>
  <r>
    <x v="17"/>
    <x v="9"/>
    <s v="aj-4"/>
    <s v="RB-2"/>
    <n v="2"/>
    <n v="10.65"/>
    <n v="39.942399999999999"/>
    <s v="RB"/>
    <x v="2"/>
    <x v="6"/>
    <n v="118.09999999999998"/>
    <n v="465.47660000000008"/>
    <s v="comp-4"/>
    <x v="8"/>
    <n v="103.70000000000002"/>
    <n v="412.10110000000003"/>
    <n v="0.68654951827928645"/>
    <n v="0.57874099713432448"/>
    <n v="-0.10780852114496198"/>
    <n v="80"/>
    <n v="46"/>
    <n v="0.99999999999252664"/>
    <n v="7.4733552679617787E-12"/>
  </r>
  <r>
    <x v="150"/>
    <x v="11"/>
    <s v="scott-1"/>
    <s v="RB-2"/>
    <n v="12"/>
    <n v="13.67"/>
    <n v="56.25"/>
    <s v="RB"/>
    <x v="2"/>
    <x v="9"/>
    <n v="102.78"/>
    <n v="382.14119999999997"/>
    <s v="aj-1"/>
    <x v="2"/>
    <n v="90.7"/>
    <n v="347.93650000000002"/>
    <n v="0.67259029154080885"/>
    <n v="0.65580079033644456"/>
    <n v="-1.6789501204364288E-2"/>
    <n v="120"/>
    <n v="71"/>
    <n v="0.99999999999290734"/>
    <n v="7.0926597928178126E-12"/>
  </r>
  <r>
    <x v="94"/>
    <x v="7"/>
    <s v="comp-5"/>
    <s v="D/ST"/>
    <n v="22"/>
    <n v="4.0999999999999996"/>
    <n v="22.5625"/>
    <s v="D/ST"/>
    <x v="5"/>
    <x v="2"/>
    <n v="98.17"/>
    <n v="359.81479999999999"/>
    <s v="chad-5"/>
    <x v="1"/>
    <n v="103.98"/>
    <n v="400.98380000000003"/>
    <n v="0.41658401639793569"/>
    <n v="0.67182851642788233"/>
    <n v="0.25524450002994664"/>
    <n v="121"/>
    <n v="71"/>
    <n v="0.99999999999299949"/>
    <n v="7.0005112817739246E-12"/>
  </r>
  <r>
    <x v="190"/>
    <x v="12"/>
    <s v="seth-6"/>
    <s v="WR-3"/>
    <n v="8"/>
    <n v="4.92"/>
    <n v="20.793600000000001"/>
    <s v="WR"/>
    <x v="0"/>
    <x v="1"/>
    <n v="90.009999999999991"/>
    <n v="295.93350000000004"/>
    <s v="scott-6"/>
    <x v="5"/>
    <n v="110.30999999999999"/>
    <n v="388.52729999999997"/>
    <n v="0.21889557883251567"/>
    <n v="0.25192857532685242"/>
    <n v="3.3032996494336747E-2"/>
    <n v="130"/>
    <n v="96"/>
    <n v="0.99999999999402034"/>
    <n v="5.9796612106310931E-12"/>
  </r>
  <r>
    <x v="31"/>
    <x v="8"/>
    <s v="chad-9"/>
    <s v="RB-1"/>
    <n v="21"/>
    <n v="16.05"/>
    <n v="67.239999999999995"/>
    <s v="RB"/>
    <x v="2"/>
    <x v="3"/>
    <n v="100.46000000000001"/>
    <n v="387.61320000000001"/>
    <s v="matty-9"/>
    <x v="3"/>
    <n v="94.12"/>
    <n v="378.32429999999999"/>
    <n v="0.59059774146693023"/>
    <n v="0.66535383603749287"/>
    <n v="7.4756094570562648E-2"/>
    <n v="129"/>
    <n v="68"/>
    <n v="0.99999999999591016"/>
    <n v="4.0898395781141517E-12"/>
  </r>
  <r>
    <x v="155"/>
    <x v="4"/>
    <s v="comp-8"/>
    <s v="D/ST"/>
    <n v="7"/>
    <n v="6.6"/>
    <n v="25.300899999999999"/>
    <s v="D/ST"/>
    <x v="5"/>
    <x v="2"/>
    <n v="100.87"/>
    <n v="421.5641"/>
    <s v="perry-8"/>
    <x v="10"/>
    <n v="115.82"/>
    <n v="434.36700000000002"/>
    <n v="0.30467516207413586"/>
    <n v="0.30683341425725669"/>
    <n v="2.1582521831208235E-3"/>
    <n v="115"/>
    <n v="80"/>
    <n v="0.99999999999698053"/>
    <n v="3.0194735600730382E-12"/>
  </r>
  <r>
    <x v="105"/>
    <x v="10"/>
    <s v="perry-2"/>
    <s v="WR-3"/>
    <n v="3"/>
    <n v="12.16"/>
    <n v="54.908099999999997"/>
    <s v="WR"/>
    <x v="0"/>
    <x v="7"/>
    <n v="104.79999999999998"/>
    <n v="455.48199999999997"/>
    <s v="lucas-2"/>
    <x v="9"/>
    <n v="0"/>
    <n v="0"/>
    <n v="0.99999954577661365"/>
    <n v="0.99999911728254276"/>
    <n v="-4.2849407089207148E-7"/>
    <n v="102"/>
    <n v="0"/>
    <n v="1"/>
    <n v="0"/>
  </r>
  <r>
    <x v="71"/>
    <x v="1"/>
    <s v="perry-12"/>
    <s v="WR-3"/>
    <n v="7"/>
    <n v="10.73"/>
    <n v="44.756100000000004"/>
    <s v="WR"/>
    <x v="0"/>
    <x v="7"/>
    <n v="117.67999999999999"/>
    <n v="426.54240000000004"/>
    <s v="scott-12"/>
    <x v="5"/>
    <n v="109.82"/>
    <n v="367.76499999999999"/>
    <n v="0.60983422019767153"/>
    <n v="0.55995353411110083"/>
    <n v="-4.9880686086570702E-2"/>
    <n v="131"/>
    <n v="88"/>
    <n v="0.99999999999857625"/>
    <n v="1.4237500067793007E-12"/>
  </r>
  <r>
    <x v="9"/>
    <x v="7"/>
    <s v="comp-5"/>
    <s v="WR-1"/>
    <n v="15"/>
    <n v="12.24"/>
    <n v="45.697600000000001"/>
    <s v="WR"/>
    <x v="0"/>
    <x v="2"/>
    <n v="98.17"/>
    <n v="359.81479999999999"/>
    <s v="chad-5"/>
    <x v="1"/>
    <n v="103.98"/>
    <n v="400.98380000000003"/>
    <n v="0.41658401639793569"/>
    <n v="0.45459690786111029"/>
    <n v="3.8012891463174603E-2"/>
    <n v="121"/>
    <n v="71"/>
    <n v="0.99999999999860745"/>
    <n v="1.3925527397873338E-12"/>
  </r>
  <r>
    <x v="191"/>
    <x v="12"/>
    <s v="jason-6"/>
    <s v="WR-2"/>
    <n v="1"/>
    <n v="3.87"/>
    <n v="10.627599999999999"/>
    <s v="WR"/>
    <x v="0"/>
    <x v="4"/>
    <n v="86.090000000000018"/>
    <n v="366.05880000000002"/>
    <e v="#N/A"/>
    <x v="6"/>
    <n v="0"/>
    <n v="0"/>
    <n v="0.99999659648730843"/>
    <n v="0.99999493029733166"/>
    <n v="-1.6661899767678179E-6"/>
    <n v="99"/>
    <n v="0"/>
    <n v="1"/>
    <n v="0"/>
  </r>
  <r>
    <x v="142"/>
    <x v="4"/>
    <s v="aj-8"/>
    <s v="WR-2"/>
    <n v="6"/>
    <n v="9.2899999999999991"/>
    <n v="33.872399999999999"/>
    <s v="WR"/>
    <x v="0"/>
    <x v="6"/>
    <n v="114.1"/>
    <n v="458.87900000000002"/>
    <s v="lucas-8"/>
    <x v="9"/>
    <n v="0"/>
    <n v="0"/>
    <n v="0.99999994992018415"/>
    <n v="0.999999961715626"/>
    <n v="1.1795441845485755E-8"/>
    <n v="113"/>
    <n v="0"/>
    <n v="1"/>
    <n v="0"/>
  </r>
  <r>
    <x v="70"/>
    <x v="7"/>
    <s v="comp-5"/>
    <s v="WR-2"/>
    <n v="23"/>
    <n v="10.23"/>
    <n v="27.04"/>
    <s v="WR"/>
    <x v="0"/>
    <x v="2"/>
    <n v="98.17"/>
    <n v="359.81479999999999"/>
    <s v="chad-5"/>
    <x v="1"/>
    <n v="103.98"/>
    <n v="400.98380000000003"/>
    <n v="0.41658401639793569"/>
    <n v="0.60138766387750509"/>
    <n v="0.1848036474795694"/>
    <n v="121"/>
    <n v="71"/>
    <n v="0.99999999999959543"/>
    <n v="4.0456527017340704E-13"/>
  </r>
  <r>
    <x v="50"/>
    <x v="12"/>
    <s v="seth-6"/>
    <s v="TE-1"/>
    <n v="8"/>
    <n v="5.16"/>
    <n v="18.748899999999999"/>
    <s v="TE"/>
    <x v="3"/>
    <x v="1"/>
    <n v="90.009999999999991"/>
    <n v="295.93350000000004"/>
    <s v="scott-6"/>
    <x v="5"/>
    <n v="110.30999999999999"/>
    <n v="388.52729999999997"/>
    <n v="0.21889557883251567"/>
    <n v="0.24929573428478907"/>
    <n v="3.0400155452273397E-2"/>
    <n v="130"/>
    <n v="96"/>
    <n v="0.99999999999969069"/>
    <n v="3.0930813466056861E-13"/>
  </r>
  <r>
    <x v="120"/>
    <x v="10"/>
    <s v="devon-2"/>
    <s v="K"/>
    <n v="16"/>
    <n v="6.35"/>
    <n v="11.4244"/>
    <s v="K"/>
    <x v="1"/>
    <x v="8"/>
    <n v="100.92999999999999"/>
    <n v="374.85250000000002"/>
    <s v="scott-2"/>
    <x v="5"/>
    <n v="103.25"/>
    <n v="377.00829999999996"/>
    <n v="0.46628591266319391"/>
    <n v="0.60618010856245874"/>
    <n v="0.13989419589926483"/>
    <n v="140"/>
    <n v="106"/>
    <n v="0.9999999999997079"/>
    <n v="2.9209967777887869E-13"/>
  </r>
  <r>
    <x v="55"/>
    <x v="3"/>
    <s v="cory-3"/>
    <s v="RB-2"/>
    <n v="5"/>
    <n v="10.84"/>
    <n v="32.035600000000002"/>
    <s v="RB"/>
    <x v="2"/>
    <x v="5"/>
    <n v="106.94"/>
    <n v="452.911"/>
    <s v="lucas-3"/>
    <x v="9"/>
    <n v="0"/>
    <n v="0"/>
    <n v="0.99999974824851112"/>
    <n v="0.9999995847107872"/>
    <n v="-1.6353772391841659E-7"/>
    <n v="88"/>
    <n v="0"/>
    <n v="1"/>
    <n v="0"/>
  </r>
  <r>
    <x v="116"/>
    <x v="10"/>
    <s v="devon-2"/>
    <s v="TE-1"/>
    <n v="4"/>
    <n v="9.18"/>
    <n v="28.944400000000002"/>
    <s v="TE"/>
    <x v="3"/>
    <x v="8"/>
    <n v="100.92999999999999"/>
    <n v="374.85250000000002"/>
    <s v="scott-2"/>
    <x v="5"/>
    <n v="103.25"/>
    <n v="377.00829999999996"/>
    <n v="0.46628591266319391"/>
    <n v="0.39014385109749672"/>
    <n v="-7.6142061565697194E-2"/>
    <n v="140"/>
    <n v="106"/>
    <n v="0.99999999999983624"/>
    <n v="1.6375789613221059E-13"/>
  </r>
  <r>
    <x v="136"/>
    <x v="10"/>
    <s v="perry-2"/>
    <s v="RB-2"/>
    <n v="7"/>
    <n v="8.19"/>
    <n v="34.692100000000003"/>
    <s v="RB"/>
    <x v="2"/>
    <x v="7"/>
    <n v="104.79999999999998"/>
    <n v="455.48199999999997"/>
    <s v="lucas-2"/>
    <x v="9"/>
    <n v="0"/>
    <n v="0"/>
    <n v="0.99999954577661365"/>
    <n v="0.99999978013672242"/>
    <n v="2.3436010876398683E-7"/>
    <n v="102"/>
    <n v="0"/>
    <n v="1"/>
    <n v="0"/>
  </r>
  <r>
    <x v="176"/>
    <x v="1"/>
    <s v="comp-12"/>
    <s v="RB-2"/>
    <n v="11"/>
    <n v="7.19"/>
    <n v="25.704899999999999"/>
    <s v="RB"/>
    <x v="2"/>
    <x v="2"/>
    <n v="98.639999999999986"/>
    <n v="309.06870000000004"/>
    <s v="aj-12"/>
    <x v="2"/>
    <n v="111.09"/>
    <n v="408.5095"/>
    <n v="0.32104937221741592"/>
    <n v="0.37127680487363846"/>
    <n v="5.0227432656222537E-2"/>
    <n v="125"/>
    <n v="84"/>
    <n v="0.99999999999988942"/>
    <n v="1.1057821325266559E-13"/>
  </r>
  <r>
    <x v="1"/>
    <x v="2"/>
    <s v="seth-13"/>
    <s v="WR-2"/>
    <n v="9"/>
    <n v="8.1300000000000008"/>
    <n v="26.728899999999999"/>
    <s v="WR"/>
    <x v="0"/>
    <x v="1"/>
    <n v="93.77000000000001"/>
    <n v="387.786"/>
    <s v="lucas-13"/>
    <x v="9"/>
    <n v="0"/>
    <n v="0"/>
    <n v="0.9999990404590926"/>
    <n v="0.99999968315901833"/>
    <n v="6.4269992572363321E-7"/>
    <n v="98"/>
    <n v="0"/>
    <n v="1"/>
    <n v="0"/>
  </r>
  <r>
    <x v="89"/>
    <x v="3"/>
    <s v="chad-3"/>
    <s v="QB-1"/>
    <n v="15"/>
    <n v="16.079999999999998"/>
    <n v="67.897599999999997"/>
    <s v="QB"/>
    <x v="4"/>
    <x v="3"/>
    <n v="99.23"/>
    <n v="414.92009999999999"/>
    <s v="devon-3"/>
    <x v="7"/>
    <n v="110.36"/>
    <n v="421.178"/>
    <n v="0.35014963451184367"/>
    <n v="0.32977558611746471"/>
    <n v="-2.0374048394378952E-2"/>
    <n v="123"/>
    <n v="63"/>
    <n v="0.99999999999993805"/>
    <n v="6.1950444774083735E-14"/>
  </r>
  <r>
    <x v="104"/>
    <x v="4"/>
    <s v="aj-8"/>
    <s v="RB-1"/>
    <n v="3"/>
    <n v="10.42"/>
    <n v="37.4544"/>
    <s v="RB"/>
    <x v="2"/>
    <x v="6"/>
    <n v="114.1"/>
    <n v="458.87900000000002"/>
    <s v="lucas-8"/>
    <x v="9"/>
    <n v="0"/>
    <n v="0"/>
    <n v="0.99999994992018415"/>
    <n v="0.9999998985414339"/>
    <n v="-5.1378750254293948E-8"/>
    <n v="113"/>
    <n v="0"/>
    <n v="1"/>
    <n v="0"/>
  </r>
  <r>
    <x v="59"/>
    <x v="1"/>
    <s v="comp-12"/>
    <s v="TE-1"/>
    <n v="9"/>
    <n v="7.21"/>
    <n v="27.878399999999999"/>
    <s v="TE"/>
    <x v="3"/>
    <x v="2"/>
    <n v="98.639999999999986"/>
    <n v="309.06870000000004"/>
    <s v="aj-12"/>
    <x v="2"/>
    <n v="111.09"/>
    <n v="408.5095"/>
    <n v="0.32104937221741592"/>
    <n v="0.34240525651720977"/>
    <n v="2.1355884299793848E-2"/>
    <n v="125"/>
    <n v="84"/>
    <n v="0.99999999999994404"/>
    <n v="5.595524044110789E-14"/>
  </r>
  <r>
    <x v="24"/>
    <x v="11"/>
    <s v="scott-1"/>
    <s v="D/ST"/>
    <n v="14"/>
    <n v="10.08"/>
    <n v="36.240400000000001"/>
    <s v="D/ST"/>
    <x v="5"/>
    <x v="9"/>
    <n v="102.78"/>
    <n v="382.14119999999997"/>
    <s v="aj-1"/>
    <x v="2"/>
    <n v="90.7"/>
    <n v="347.93650000000002"/>
    <n v="0.67259029154080885"/>
    <n v="0.72821485256742513"/>
    <n v="5.5624561026616282E-2"/>
    <n v="120"/>
    <n v="71"/>
    <n v="0.99999999999996514"/>
    <n v="3.4861002973229915E-14"/>
  </r>
  <r>
    <x v="121"/>
    <x v="10"/>
    <s v="cory-2"/>
    <s v="K"/>
    <n v="14"/>
    <n v="8.66"/>
    <n v="12.6736"/>
    <s v="K"/>
    <x v="1"/>
    <x v="5"/>
    <n v="102.7"/>
    <n v="377.5104"/>
    <s v="comp-2"/>
    <x v="8"/>
    <n v="103.61999999999999"/>
    <n v="357.30130000000003"/>
    <n v="0.48646287329580978"/>
    <n v="0.56532321227670934"/>
    <n v="7.8860338980899558E-2"/>
    <n v="97"/>
    <n v="65"/>
    <n v="0.99999999999996525"/>
    <n v="3.47499806707674E-14"/>
  </r>
  <r>
    <x v="19"/>
    <x v="7"/>
    <s v="comp-5"/>
    <s v="RB-1"/>
    <n v="4"/>
    <n v="15.41"/>
    <n v="66.259600000000006"/>
    <s v="RB"/>
    <x v="2"/>
    <x v="2"/>
    <n v="98.17"/>
    <n v="359.81479999999999"/>
    <s v="chad-5"/>
    <x v="1"/>
    <n v="103.98"/>
    <n v="400.98380000000003"/>
    <n v="0.41658401639793569"/>
    <n v="0.25674645665282947"/>
    <n v="-0.15983755974510622"/>
    <n v="121"/>
    <n v="71"/>
    <n v="0.99999999999997724"/>
    <n v="2.2759572004815709E-14"/>
  </r>
  <r>
    <x v="191"/>
    <x v="7"/>
    <s v="jason-5"/>
    <s v="WR-2"/>
    <n v="7"/>
    <n v="3.76"/>
    <n v="7.5625"/>
    <s v="WR"/>
    <x v="0"/>
    <x v="4"/>
    <n v="89.689999999999984"/>
    <n v="445.42419999999998"/>
    <e v="#N/A"/>
    <x v="6"/>
    <n v="0"/>
    <n v="0"/>
    <n v="0.99998929661032787"/>
    <n v="0.99999552433236449"/>
    <n v="6.2277220366224739E-6"/>
    <n v="93"/>
    <n v="0"/>
    <n v="1"/>
    <n v="0"/>
  </r>
  <r>
    <x v="110"/>
    <x v="1"/>
    <s v="cory-12"/>
    <s v="WR/RB"/>
    <n v="24"/>
    <n v="8.6"/>
    <n v="77.792400000000001"/>
    <s v="WR/RB"/>
    <x v="2"/>
    <x v="5"/>
    <n v="101.87"/>
    <n v="405.26439999999997"/>
    <s v="lucas-12"/>
    <x v="9"/>
    <n v="0"/>
    <n v="0"/>
    <n v="0.99999979071174128"/>
    <n v="0.99999999995425115"/>
    <n v="2.0924250987430781E-7"/>
    <n v="155"/>
    <n v="0"/>
    <n v="1"/>
    <n v="0"/>
  </r>
  <r>
    <x v="46"/>
    <x v="12"/>
    <s v="seth-6"/>
    <s v="K"/>
    <n v="11"/>
    <n v="7.09"/>
    <n v="15.6816"/>
    <s v="K"/>
    <x v="1"/>
    <x v="1"/>
    <n v="90.009999999999991"/>
    <n v="295.93350000000004"/>
    <s v="scott-6"/>
    <x v="5"/>
    <n v="110.30999999999999"/>
    <n v="388.52729999999997"/>
    <n v="0.21889557883251567"/>
    <n v="0.26311265859142541"/>
    <n v="4.4217079758909733E-2"/>
    <n v="130"/>
    <n v="96"/>
    <n v="0.99999999999998501"/>
    <n v="1.4988010832439613E-14"/>
  </r>
  <r>
    <x v="154"/>
    <x v="6"/>
    <s v="scott-11"/>
    <s v="WR/RB"/>
    <n v="3"/>
    <n v="9.83"/>
    <n v="47.886400000000002"/>
    <s v="WR/RB"/>
    <x v="0"/>
    <x v="9"/>
    <n v="105.39999999999999"/>
    <n v="342.09739999999999"/>
    <s v="devon-11"/>
    <x v="7"/>
    <n v="100.25"/>
    <n v="448.76889999999997"/>
    <n v="0.57265136255925952"/>
    <n v="0.47542712782263619"/>
    <n v="-9.7224234736623338E-2"/>
    <n v="124"/>
    <n v="78"/>
    <n v="0.99999999999998868"/>
    <n v="1.1324274851176597E-14"/>
  </r>
  <r>
    <x v="117"/>
    <x v="4"/>
    <s v="comp-8"/>
    <s v="RB-1"/>
    <n v="8"/>
    <n v="10.119999999999999"/>
    <n v="23.619599999999998"/>
    <s v="RB"/>
    <x v="2"/>
    <x v="2"/>
    <n v="100.87"/>
    <n v="421.5641"/>
    <s v="perry-8"/>
    <x v="10"/>
    <n v="115.82"/>
    <n v="434.36700000000002"/>
    <n v="0.30467516207413586"/>
    <n v="0.27703076506784841"/>
    <n v="-2.7644397006287458E-2"/>
    <n v="115"/>
    <n v="80"/>
    <n v="0.99999999999998901"/>
    <n v="1.099120794378905E-14"/>
  </r>
  <r>
    <x v="48"/>
    <x v="10"/>
    <s v="devon-2"/>
    <s v="WR-3"/>
    <n v="3"/>
    <n v="7.51"/>
    <n v="25.401599999999998"/>
    <s v="WR"/>
    <x v="0"/>
    <x v="8"/>
    <n v="100.92999999999999"/>
    <n v="374.85250000000002"/>
    <s v="scott-2"/>
    <x v="5"/>
    <n v="103.25"/>
    <n v="377.00829999999996"/>
    <n v="0.46628591266319391"/>
    <n v="0.39997765247260664"/>
    <n v="-6.6308260190587276E-2"/>
    <n v="140"/>
    <n v="106"/>
    <n v="0.99999999999998923"/>
    <n v="1.0769163338864018E-14"/>
  </r>
  <r>
    <x v="92"/>
    <x v="2"/>
    <s v="seth-13"/>
    <s v="QB-1"/>
    <n v="12"/>
    <n v="20.74"/>
    <n v="38.937600000000003"/>
    <s v="QB"/>
    <x v="4"/>
    <x v="1"/>
    <n v="93.77000000000001"/>
    <n v="387.786"/>
    <s v="lucas-13"/>
    <x v="9"/>
    <n v="0"/>
    <n v="0"/>
    <n v="0.9999990404590926"/>
    <n v="0.99999734990145217"/>
    <n v="-1.6905576404324663E-6"/>
    <n v="98"/>
    <n v="0"/>
    <n v="1"/>
    <n v="0"/>
  </r>
  <r>
    <x v="22"/>
    <x v="4"/>
    <s v="comp-8"/>
    <s v="K"/>
    <n v="8"/>
    <n v="8.98"/>
    <n v="21.9024"/>
    <s v="K"/>
    <x v="1"/>
    <x v="2"/>
    <n v="100.87"/>
    <n v="421.5641"/>
    <s v="perry-8"/>
    <x v="10"/>
    <n v="115.82"/>
    <n v="434.36700000000002"/>
    <n v="0.30467516207413586"/>
    <n v="0.29061077408798841"/>
    <n v="-1.4064387986147453E-2"/>
    <n v="115"/>
    <n v="80"/>
    <n v="0.99999999999999256"/>
    <n v="7.4384942649885488E-15"/>
  </r>
  <r>
    <x v="184"/>
    <x v="9"/>
    <s v="aj-4"/>
    <s v="TE-1"/>
    <n v="2"/>
    <n v="6.46"/>
    <n v="24.900099999999998"/>
    <s v="TE"/>
    <x v="3"/>
    <x v="6"/>
    <n v="118.09999999999998"/>
    <n v="465.47660000000008"/>
    <s v="comp-4"/>
    <x v="8"/>
    <n v="103.70000000000002"/>
    <n v="412.10110000000003"/>
    <n v="0.68654951827928645"/>
    <n v="0.63322364080170512"/>
    <n v="-5.3325877477581329E-2"/>
    <n v="80"/>
    <n v="46"/>
    <n v="0.99999999999999356"/>
    <n v="6.4392935428259079E-15"/>
  </r>
  <r>
    <x v="151"/>
    <x v="3"/>
    <s v="scott-3"/>
    <s v="WR-2"/>
    <n v="0"/>
    <n v="8.85"/>
    <n v="25.200399999999998"/>
    <s v="WR"/>
    <x v="0"/>
    <x v="9"/>
    <n v="110.35"/>
    <n v="442.53309999999999"/>
    <s v="perry-3"/>
    <x v="10"/>
    <n v="101.86999999999999"/>
    <n v="350.57169999999996"/>
    <n v="0.61833611537492805"/>
    <n v="0.49467345858789324"/>
    <n v="-0.12366265678703481"/>
    <n v="132"/>
    <n v="102"/>
    <n v="0.999999999999995"/>
    <n v="4.9960036108132044E-15"/>
  </r>
  <r>
    <x v="150"/>
    <x v="6"/>
    <s v="scott-11"/>
    <s v="RB-1"/>
    <n v="18"/>
    <n v="12.97"/>
    <n v="27.984100000000002"/>
    <s v="RB"/>
    <x v="2"/>
    <x v="9"/>
    <n v="105.39999999999999"/>
    <n v="342.09739999999999"/>
    <s v="devon-11"/>
    <x v="7"/>
    <n v="100.25"/>
    <n v="448.76889999999997"/>
    <n v="0.57265136255925952"/>
    <n v="0.64377557081669501"/>
    <n v="7.1124208257435484E-2"/>
    <n v="124"/>
    <n v="78"/>
    <n v="0.99999999999999523"/>
    <n v="4.7739590058881731E-15"/>
  </r>
  <r>
    <x v="38"/>
    <x v="1"/>
    <s v="comp-12"/>
    <s v="D/ST"/>
    <n v="9"/>
    <n v="7.5"/>
    <n v="26.01"/>
    <s v="D/ST"/>
    <x v="5"/>
    <x v="2"/>
    <n v="98.639999999999986"/>
    <n v="309.06870000000004"/>
    <s v="aj-12"/>
    <x v="2"/>
    <n v="111.09"/>
    <n v="408.5095"/>
    <n v="0.32104937221741592"/>
    <n v="0.33856361283422098"/>
    <n v="1.7514240616805066E-2"/>
    <n v="125"/>
    <n v="84"/>
    <n v="0.99999999999999523"/>
    <n v="4.7739590058881731E-15"/>
  </r>
  <r>
    <x v="100"/>
    <x v="1"/>
    <s v="perry-12"/>
    <s v="D/ST"/>
    <n v="3"/>
    <n v="9.61"/>
    <n v="40.96"/>
    <s v="D/ST"/>
    <x v="5"/>
    <x v="7"/>
    <n v="117.67999999999999"/>
    <n v="426.54240000000004"/>
    <s v="scott-12"/>
    <x v="5"/>
    <n v="109.82"/>
    <n v="367.76499999999999"/>
    <n v="0.60983422019767153"/>
    <n v="0.51816236194025533"/>
    <n v="-9.1671858257416194E-2"/>
    <n v="131"/>
    <n v="88"/>
    <n v="0.99999999999999545"/>
    <n v="4.5519144009631418E-15"/>
  </r>
  <r>
    <x v="189"/>
    <x v="11"/>
    <s v="scott-1"/>
    <s v="TE-1"/>
    <n v="18"/>
    <n v="5.33"/>
    <n v="21.715599999999998"/>
    <s v="TE"/>
    <x v="3"/>
    <x v="9"/>
    <n v="102.78"/>
    <n v="382.14119999999997"/>
    <s v="aj-1"/>
    <x v="2"/>
    <n v="90.7"/>
    <n v="347.93650000000002"/>
    <n v="0.67259029154080885"/>
    <n v="0.82379483120489627"/>
    <n v="0.15120453966408742"/>
    <n v="120"/>
    <n v="71"/>
    <n v="0.99999999999999678"/>
    <n v="3.219646771412954E-15"/>
  </r>
  <r>
    <x v="164"/>
    <x v="10"/>
    <s v="cory-2"/>
    <s v="TE-1"/>
    <n v="4"/>
    <n v="6.84"/>
    <n v="19.272099999999998"/>
    <s v="TE"/>
    <x v="3"/>
    <x v="5"/>
    <n v="102.7"/>
    <n v="377.5104"/>
    <s v="comp-2"/>
    <x v="8"/>
    <n v="103.61999999999999"/>
    <n v="357.30130000000003"/>
    <n v="0.48646287329580978"/>
    <n v="0.44410759107098347"/>
    <n v="-4.2355282224826318E-2"/>
    <n v="97"/>
    <n v="65"/>
    <n v="0.999999999999999"/>
    <n v="9.9920072216264089E-16"/>
  </r>
  <r>
    <x v="40"/>
    <x v="8"/>
    <s v="chad-9"/>
    <s v="D/ST"/>
    <n v="13"/>
    <n v="9.73"/>
    <n v="51.696100000000001"/>
    <s v="D/ST"/>
    <x v="5"/>
    <x v="3"/>
    <n v="100.46000000000001"/>
    <n v="387.61320000000001"/>
    <s v="matty-9"/>
    <x v="3"/>
    <n v="94.12"/>
    <n v="378.32429999999999"/>
    <n v="0.59059774146693023"/>
    <n v="0.64042103532562"/>
    <n v="4.9823293858689777E-2"/>
    <n v="129"/>
    <n v="68"/>
    <n v="0.99999999999999956"/>
    <n v="4.4408920985006262E-16"/>
  </r>
  <r>
    <x v="100"/>
    <x v="10"/>
    <s v="perry-2"/>
    <s v="D/ST"/>
    <n v="9"/>
    <n v="7.93"/>
    <n v="25.704899999999999"/>
    <s v="D/ST"/>
    <x v="5"/>
    <x v="7"/>
    <n v="104.79999999999998"/>
    <n v="455.48199999999997"/>
    <s v="lucas-2"/>
    <x v="9"/>
    <n v="0"/>
    <n v="0"/>
    <n v="0.99999954577661365"/>
    <n v="0.99999983619462562"/>
    <n v="2.9041801197227102E-7"/>
    <n v="102"/>
    <n v="0"/>
    <n v="1"/>
    <n v="0"/>
  </r>
  <r>
    <x v="192"/>
    <x v="6"/>
    <s v="perry-11"/>
    <s v="WR-2"/>
    <n v="3"/>
    <n v="7.26"/>
    <n v="23.522500000000001"/>
    <s v="WR"/>
    <x v="0"/>
    <x v="7"/>
    <n v="104.20000000000002"/>
    <n v="377.06489999999997"/>
    <s v="lucas-11"/>
    <x v="9"/>
    <n v="0"/>
    <n v="0"/>
    <n v="0.99999995977381673"/>
    <n v="0.9999999467262316"/>
    <n v="-1.3047585123437955E-8"/>
    <n v="85"/>
    <n v="0"/>
    <n v="1"/>
    <n v="0"/>
  </r>
  <r>
    <x v="193"/>
    <x v="10"/>
    <s v="perry-2"/>
    <s v="TE-1"/>
    <n v="4"/>
    <n v="7.47"/>
    <n v="31.136399999999998"/>
    <s v="TE"/>
    <x v="3"/>
    <x v="7"/>
    <n v="104.79999999999998"/>
    <n v="455.48199999999997"/>
    <s v="lucas-2"/>
    <x v="9"/>
    <n v="0"/>
    <n v="0"/>
    <n v="0.99999954577661365"/>
    <n v="0.99999956509708576"/>
    <n v="1.9320472111061804E-8"/>
    <n v="102"/>
    <n v="0"/>
    <n v="1"/>
    <n v="0"/>
  </r>
  <r>
    <x v="48"/>
    <x v="2"/>
    <s v="devon-13"/>
    <s v="WR-1"/>
    <n v="2"/>
    <n v="7.37"/>
    <n v="23.425599999999999"/>
    <s v="WR"/>
    <x v="0"/>
    <x v="8"/>
    <n v="97.46"/>
    <n v="368.81949999999995"/>
    <s v="perry-13"/>
    <x v="10"/>
    <n v="108.77"/>
    <n v="411.30060000000003"/>
    <n v="0.3427638257896819"/>
    <n v="0.2721354458075611"/>
    <n v="-7.0628379982120792E-2"/>
    <n v="133"/>
    <n v="99"/>
    <n v="0.99999999999999978"/>
    <n v="2.2204460492503131E-16"/>
  </r>
  <r>
    <x v="20"/>
    <x v="7"/>
    <s v="comp-5"/>
    <s v="QB-1"/>
    <n v="10"/>
    <n v="20.12"/>
    <n v="54.908099999999997"/>
    <s v="QB"/>
    <x v="4"/>
    <x v="2"/>
    <n v="98.17"/>
    <n v="359.81479999999999"/>
    <s v="chad-5"/>
    <x v="1"/>
    <n v="103.98"/>
    <n v="400.98380000000003"/>
    <n v="0.41658401639793569"/>
    <n v="0.27439310377493498"/>
    <n v="-0.14219091262300071"/>
    <n v="121"/>
    <n v="71"/>
    <n v="0.99999999999999978"/>
    <n v="2.2204460492503131E-16"/>
  </r>
  <r>
    <x v="162"/>
    <x v="4"/>
    <s v="aj-8"/>
    <s v="TE-1"/>
    <n v="5"/>
    <n v="5.87"/>
    <n v="22.467600000000001"/>
    <s v="TE"/>
    <x v="3"/>
    <x v="6"/>
    <n v="114.1"/>
    <n v="458.87900000000002"/>
    <s v="lucas-8"/>
    <x v="9"/>
    <n v="0"/>
    <n v="0"/>
    <n v="0.99999994992018415"/>
    <n v="0.99999997022996157"/>
    <n v="2.0309777415405961E-8"/>
    <n v="113"/>
    <n v="0"/>
    <n v="1"/>
    <n v="0"/>
  </r>
  <r>
    <x v="39"/>
    <x v="1"/>
    <s v="cory-12"/>
    <s v="WR-1"/>
    <n v="38"/>
    <n v="12.19"/>
    <n v="41.473599999999998"/>
    <s v="WR"/>
    <x v="0"/>
    <x v="5"/>
    <n v="101.87"/>
    <n v="405.26439999999997"/>
    <s v="lucas-12"/>
    <x v="9"/>
    <n v="0"/>
    <n v="0"/>
    <n v="0.99999979071174128"/>
    <n v="0.99999999998915534"/>
    <n v="2.092774140649567E-7"/>
    <n v="155"/>
    <n v="0"/>
    <n v="1"/>
    <n v="0"/>
  </r>
  <r>
    <x v="19"/>
    <x v="0"/>
    <s v="comp-10"/>
    <s v="WR/RB"/>
    <n v="25"/>
    <n v="7.41"/>
    <n v="24.700900000000001"/>
    <s v="WR/RB"/>
    <x v="2"/>
    <x v="2"/>
    <n v="99.050000000000011"/>
    <n v="345.4212"/>
    <s v="scott-10"/>
    <x v="5"/>
    <n v="101.17"/>
    <n v="351.19740000000002"/>
    <n v="0.46799030012321852"/>
    <n v="0.72468112770727233"/>
    <n v="0.25669082758405382"/>
    <n v="130"/>
    <n v="67"/>
    <n v="1"/>
    <n v="0"/>
  </r>
  <r>
    <x v="148"/>
    <x v="0"/>
    <s v="comp-10"/>
    <s v="D/ST"/>
    <n v="16"/>
    <n v="5.1100000000000003"/>
    <n v="28.196100000000001"/>
    <s v="D/ST"/>
    <x v="5"/>
    <x v="2"/>
    <n v="99.050000000000011"/>
    <n v="345.4212"/>
    <s v="scott-10"/>
    <x v="5"/>
    <n v="101.17"/>
    <n v="351.19740000000002"/>
    <n v="0.46799030012321852"/>
    <n v="0.63277582510844188"/>
    <n v="0.16478552498522336"/>
    <n v="130"/>
    <n v="67"/>
    <n v="1"/>
    <n v="0"/>
  </r>
  <r>
    <x v="133"/>
    <x v="1"/>
    <s v="cory-12"/>
    <s v="D/ST"/>
    <n v="18"/>
    <n v="6.38"/>
    <n v="40.96"/>
    <s v="D/ST"/>
    <x v="5"/>
    <x v="5"/>
    <n v="101.87"/>
    <n v="405.26439999999997"/>
    <s v="lucas-12"/>
    <x v="9"/>
    <n v="0"/>
    <n v="0"/>
    <n v="0.99999979071174128"/>
    <n v="0.99999999862618472"/>
    <n v="2.0791444343970511E-7"/>
    <n v="155"/>
    <n v="0"/>
    <n v="1"/>
    <n v="0"/>
  </r>
  <r>
    <x v="99"/>
    <x v="8"/>
    <s v="chad-9"/>
    <s v="K"/>
    <n v="17"/>
    <n v="7.21"/>
    <n v="15.2881"/>
    <s v="K"/>
    <x v="1"/>
    <x v="3"/>
    <n v="100.46000000000001"/>
    <n v="387.61320000000001"/>
    <s v="matty-9"/>
    <x v="3"/>
    <n v="94.12"/>
    <n v="378.32429999999999"/>
    <n v="0.59059774146693023"/>
    <n v="0.72197862666829338"/>
    <n v="0.13138088520136315"/>
    <n v="129"/>
    <n v="68"/>
    <n v="1"/>
    <n v="0"/>
  </r>
  <r>
    <x v="140"/>
    <x v="0"/>
    <s v="comp-10"/>
    <s v="WR-3"/>
    <n v="15"/>
    <n v="6.64"/>
    <n v="24.1081"/>
    <s v="WR"/>
    <x v="0"/>
    <x v="2"/>
    <n v="99.050000000000011"/>
    <n v="345.4212"/>
    <s v="scott-10"/>
    <x v="5"/>
    <n v="101.17"/>
    <n v="351.19740000000002"/>
    <n v="0.46799030012321852"/>
    <n v="0.59507589168472796"/>
    <n v="0.12708559156150945"/>
    <n v="130"/>
    <n v="67"/>
    <n v="1"/>
    <n v="0"/>
  </r>
  <r>
    <x v="59"/>
    <x v="0"/>
    <s v="comp-10"/>
    <s v="TE-1"/>
    <n v="14"/>
    <n v="6.78"/>
    <n v="27.984100000000002"/>
    <s v="TE"/>
    <x v="3"/>
    <x v="2"/>
    <n v="99.050000000000011"/>
    <n v="345.4212"/>
    <s v="scott-10"/>
    <x v="5"/>
    <n v="101.17"/>
    <n v="351.19740000000002"/>
    <n v="0.46799030012321852"/>
    <n v="0.57817672187932112"/>
    <n v="0.1101864217561026"/>
    <n v="130"/>
    <n v="67"/>
    <n v="1"/>
    <n v="0"/>
  </r>
  <r>
    <x v="97"/>
    <x v="8"/>
    <s v="chad-9"/>
    <s v="WR/RB"/>
    <n v="16"/>
    <n v="8.25"/>
    <n v="35.880099999999999"/>
    <s v="WR/RB"/>
    <x v="0"/>
    <x v="3"/>
    <n v="100.46000000000001"/>
    <n v="387.61320000000001"/>
    <s v="matty-9"/>
    <x v="3"/>
    <n v="94.12"/>
    <n v="378.32429999999999"/>
    <n v="0.59059774146693023"/>
    <n v="0.69898162210598946"/>
    <n v="0.10838388063905924"/>
    <n v="129"/>
    <n v="68"/>
    <n v="1"/>
    <n v="0"/>
  </r>
  <r>
    <x v="27"/>
    <x v="1"/>
    <s v="cory-12"/>
    <s v="TE-1"/>
    <n v="16"/>
    <n v="8.49"/>
    <n v="20.25"/>
    <s v="TE"/>
    <x v="3"/>
    <x v="5"/>
    <n v="101.87"/>
    <n v="405.26439999999997"/>
    <s v="lucas-12"/>
    <x v="9"/>
    <n v="0"/>
    <n v="0"/>
    <n v="0.99999979071174128"/>
    <n v="0.99999998758197184"/>
    <n v="1.9687023056214059E-7"/>
    <n v="155"/>
    <n v="0"/>
    <n v="1"/>
    <n v="0"/>
  </r>
  <r>
    <x v="182"/>
    <x v="8"/>
    <s v="chad-9"/>
    <s v="WR-3"/>
    <n v="12"/>
    <n v="5.64"/>
    <n v="30.1401"/>
    <s v="WR"/>
    <x v="0"/>
    <x v="3"/>
    <n v="100.46000000000001"/>
    <n v="387.61320000000001"/>
    <s v="matty-9"/>
    <x v="3"/>
    <n v="94.12"/>
    <n v="378.32429999999999"/>
    <n v="0.59059774146693023"/>
    <n v="0.68017658798852065"/>
    <n v="8.9578846521590427E-2"/>
    <n v="129"/>
    <n v="68"/>
    <n v="1"/>
    <n v="0"/>
  </r>
  <r>
    <x v="93"/>
    <x v="3"/>
    <s v="chad-3"/>
    <s v="WR-3"/>
    <n v="13"/>
    <n v="7.03"/>
    <n v="21.808900000000001"/>
    <s v="WR"/>
    <x v="0"/>
    <x v="3"/>
    <n v="99.23"/>
    <n v="414.92009999999999"/>
    <s v="devon-3"/>
    <x v="7"/>
    <n v="110.36"/>
    <n v="421.178"/>
    <n v="0.35014963451184367"/>
    <n v="0.42825216077688832"/>
    <n v="7.8102526265044658E-2"/>
    <n v="123"/>
    <n v="63"/>
    <n v="1"/>
    <n v="0"/>
  </r>
  <r>
    <x v="121"/>
    <x v="3"/>
    <s v="cory-3"/>
    <s v="K"/>
    <n v="14"/>
    <n v="8.0399999999999991"/>
    <n v="11.833600000000001"/>
    <s v="K"/>
    <x v="1"/>
    <x v="5"/>
    <n v="106.94"/>
    <n v="452.911"/>
    <s v="lucas-3"/>
    <x v="9"/>
    <n v="0"/>
    <n v="0"/>
    <n v="0.99999974824851112"/>
    <n v="0.99999996186110973"/>
    <n v="2.13612598609636E-7"/>
    <n v="88"/>
    <n v="0"/>
    <n v="1"/>
    <n v="0"/>
  </r>
  <r>
    <x v="165"/>
    <x v="3"/>
    <s v="chad-3"/>
    <s v="WR-2"/>
    <n v="14"/>
    <n v="8.57"/>
    <n v="33.177599999999998"/>
    <s v="WR"/>
    <x v="0"/>
    <x v="3"/>
    <n v="99.23"/>
    <n v="414.92009999999999"/>
    <s v="devon-3"/>
    <x v="7"/>
    <n v="110.36"/>
    <n v="421.178"/>
    <n v="0.35014963451184367"/>
    <n v="0.42028728505444152"/>
    <n v="7.0137650542597851E-2"/>
    <n v="123"/>
    <n v="63"/>
    <n v="1"/>
    <n v="0"/>
  </r>
  <r>
    <x v="97"/>
    <x v="3"/>
    <s v="chad-3"/>
    <s v="WR/RB"/>
    <n v="16"/>
    <n v="10.66"/>
    <n v="41.7316"/>
    <s v="WR/RB"/>
    <x v="0"/>
    <x v="3"/>
    <n v="99.23"/>
    <n v="414.92009999999999"/>
    <s v="devon-3"/>
    <x v="7"/>
    <n v="110.36"/>
    <n v="421.178"/>
    <n v="0.35014963451184367"/>
    <n v="0.41861730883221071"/>
    <n v="6.8467674320367045E-2"/>
    <n v="123"/>
    <n v="63"/>
    <n v="1"/>
    <n v="0"/>
  </r>
  <r>
    <x v="194"/>
    <x v="8"/>
    <s v="chad-9"/>
    <s v="RB-2"/>
    <n v="9"/>
    <n v="5.77"/>
    <n v="33.4084"/>
    <s v="RB"/>
    <x v="2"/>
    <x v="3"/>
    <n v="100.46000000000001"/>
    <n v="387.61320000000001"/>
    <s v="matty-9"/>
    <x v="3"/>
    <n v="94.12"/>
    <n v="378.32429999999999"/>
    <n v="0.59059774146693023"/>
    <n v="0.63817676954077951"/>
    <n v="4.7579028073849283E-2"/>
    <n v="129"/>
    <n v="68"/>
    <n v="1"/>
    <n v="0"/>
  </r>
  <r>
    <x v="22"/>
    <x v="0"/>
    <s v="comp-10"/>
    <s v="K"/>
    <n v="11"/>
    <n v="7.91"/>
    <n v="20.25"/>
    <s v="K"/>
    <x v="1"/>
    <x v="2"/>
    <n v="99.050000000000011"/>
    <n v="345.4212"/>
    <s v="scott-10"/>
    <x v="5"/>
    <n v="101.17"/>
    <n v="351.19740000000002"/>
    <n v="0.46799030012321852"/>
    <n v="0.5148761106180213"/>
    <n v="4.6885810494802782E-2"/>
    <n v="130"/>
    <n v="67"/>
    <n v="1"/>
    <n v="0"/>
  </r>
  <r>
    <x v="59"/>
    <x v="7"/>
    <s v="comp-5"/>
    <s v="TE-1"/>
    <n v="9"/>
    <n v="5.82"/>
    <n v="17.977599999999999"/>
    <s v="TE"/>
    <x v="3"/>
    <x v="2"/>
    <n v="98.17"/>
    <n v="359.81479999999999"/>
    <s v="chad-5"/>
    <x v="1"/>
    <n v="103.98"/>
    <n v="400.98380000000003"/>
    <n v="0.41658401639793569"/>
    <n v="0.46156294144493898"/>
    <n v="4.4978925047003293E-2"/>
    <n v="121"/>
    <n v="71"/>
    <n v="1"/>
    <n v="0"/>
  </r>
  <r>
    <x v="5"/>
    <x v="8"/>
    <s v="chad-9"/>
    <s v="TE-1"/>
    <n v="13"/>
    <n v="10.01"/>
    <n v="28.302399999999999"/>
    <s v="TE"/>
    <x v="3"/>
    <x v="3"/>
    <n v="100.46000000000001"/>
    <n v="387.61320000000001"/>
    <s v="matty-9"/>
    <x v="3"/>
    <n v="94.12"/>
    <n v="378.32429999999999"/>
    <n v="0.59059774146693023"/>
    <n v="0.63439897790905542"/>
    <n v="4.3801236442125191E-2"/>
    <n v="129"/>
    <n v="68"/>
    <n v="1"/>
    <n v="0"/>
  </r>
  <r>
    <x v="117"/>
    <x v="7"/>
    <s v="comp-5"/>
    <s v="WR/RB"/>
    <n v="11"/>
    <n v="7.95"/>
    <n v="30.0304"/>
    <s v="WR/RB"/>
    <x v="2"/>
    <x v="2"/>
    <n v="98.17"/>
    <n v="359.81479999999999"/>
    <s v="chad-5"/>
    <x v="1"/>
    <n v="103.98"/>
    <n v="400.98380000000003"/>
    <n v="0.41658401639793569"/>
    <n v="0.4593392551165561"/>
    <n v="4.2755238718620414E-2"/>
    <n v="121"/>
    <n v="71"/>
    <n v="1"/>
    <n v="0"/>
  </r>
  <r>
    <x v="195"/>
    <x v="10"/>
    <s v="perry-2"/>
    <s v="K"/>
    <n v="9"/>
    <n v="5.89"/>
    <n v="15.9201"/>
    <s v="K"/>
    <x v="1"/>
    <x v="7"/>
    <n v="104.79999999999998"/>
    <n v="455.48199999999997"/>
    <s v="lucas-2"/>
    <x v="9"/>
    <n v="0"/>
    <n v="0"/>
    <n v="0.99999954577661365"/>
    <n v="0.99999986763646787"/>
    <n v="3.2185985421318009E-7"/>
    <n v="102"/>
    <n v="0"/>
    <n v="1"/>
    <n v="0"/>
  </r>
  <r>
    <x v="91"/>
    <x v="0"/>
    <s v="comp-10"/>
    <s v="RB-2"/>
    <n v="11"/>
    <n v="8.27"/>
    <n v="26.625599999999999"/>
    <s v="RB"/>
    <x v="2"/>
    <x v="2"/>
    <n v="99.050000000000011"/>
    <n v="345.4212"/>
    <s v="scott-10"/>
    <x v="5"/>
    <n v="101.17"/>
    <n v="351.19740000000002"/>
    <n v="0.46799030012321852"/>
    <n v="0.50940079473472122"/>
    <n v="4.1410494611502702E-2"/>
    <n v="130"/>
    <n v="67"/>
    <n v="1"/>
    <n v="0"/>
  </r>
  <r>
    <x v="167"/>
    <x v="1"/>
    <s v="perry-12"/>
    <s v="TE-1"/>
    <n v="9"/>
    <n v="6.07"/>
    <n v="17.2225"/>
    <s v="TE"/>
    <x v="3"/>
    <x v="7"/>
    <n v="117.67999999999999"/>
    <n v="426.54240000000004"/>
    <s v="scott-12"/>
    <x v="5"/>
    <n v="109.82"/>
    <n v="367.76499999999999"/>
    <n v="0.60983422019767153"/>
    <n v="0.65064704710382504"/>
    <n v="4.081282690615351E-2"/>
    <n v="131"/>
    <n v="88"/>
    <n v="1"/>
    <n v="0"/>
  </r>
  <r>
    <x v="35"/>
    <x v="10"/>
    <s v="cory-2"/>
    <s v="WR/RB"/>
    <n v="7"/>
    <n v="4.24"/>
    <n v="7.9523999999999999"/>
    <s v="WR/RB"/>
    <x v="0"/>
    <x v="5"/>
    <n v="102.7"/>
    <n v="377.5104"/>
    <s v="comp-2"/>
    <x v="8"/>
    <n v="103.61999999999999"/>
    <n v="357.30130000000003"/>
    <n v="0.48646287329580978"/>
    <n v="0.52720606125113212"/>
    <n v="4.0743187955322335E-2"/>
    <n v="97"/>
    <n v="65"/>
    <n v="1"/>
    <n v="0"/>
  </r>
  <r>
    <x v="121"/>
    <x v="1"/>
    <s v="cory-12"/>
    <s v="K"/>
    <n v="11"/>
    <n v="8.33"/>
    <n v="17.556100000000001"/>
    <s v="K"/>
    <x v="1"/>
    <x v="5"/>
    <n v="101.87"/>
    <n v="405.26439999999997"/>
    <s v="lucas-12"/>
    <x v="9"/>
    <n v="0"/>
    <n v="0"/>
    <n v="0.99999979071174128"/>
    <n v="0.99999994494944966"/>
    <n v="1.5423770838296491E-7"/>
    <n v="155"/>
    <n v="0"/>
    <n v="1"/>
    <n v="0"/>
  </r>
  <r>
    <x v="178"/>
    <x v="6"/>
    <s v="scott-11"/>
    <s v="WR-3"/>
    <n v="9"/>
    <n v="6.53"/>
    <n v="18.4041"/>
    <s v="WR"/>
    <x v="0"/>
    <x v="9"/>
    <n v="105.39999999999999"/>
    <n v="342.09739999999999"/>
    <s v="devon-11"/>
    <x v="7"/>
    <n v="100.25"/>
    <n v="448.76889999999997"/>
    <n v="0.57265136255925952"/>
    <n v="0.60802214105788077"/>
    <n v="3.5370778498621247E-2"/>
    <n v="124"/>
    <n v="78"/>
    <n v="1"/>
    <n v="0"/>
  </r>
  <r>
    <x v="20"/>
    <x v="1"/>
    <s v="cory-12"/>
    <s v="QB-1"/>
    <n v="23"/>
    <n v="21.04"/>
    <n v="42.640900000000002"/>
    <s v="QB"/>
    <x v="4"/>
    <x v="5"/>
    <n v="101.87"/>
    <n v="405.26439999999997"/>
    <s v="lucas-12"/>
    <x v="9"/>
    <n v="0"/>
    <n v="0"/>
    <n v="0.99999979071174128"/>
    <n v="0.99999997516532324"/>
    <n v="1.8445358196395034E-7"/>
    <n v="155"/>
    <n v="0"/>
    <n v="1"/>
    <n v="0"/>
  </r>
  <r>
    <x v="46"/>
    <x v="3"/>
    <s v="chad-3"/>
    <s v="K"/>
    <n v="9"/>
    <n v="7"/>
    <n v="13.69"/>
    <s v="K"/>
    <x v="1"/>
    <x v="3"/>
    <n v="99.23"/>
    <n v="414.92009999999999"/>
    <s v="devon-3"/>
    <x v="7"/>
    <n v="110.36"/>
    <n v="421.178"/>
    <n v="0.35014963451184367"/>
    <n v="0.3751035496642805"/>
    <n v="2.4953915152436834E-2"/>
    <n v="123"/>
    <n v="63"/>
    <n v="1"/>
    <n v="0"/>
  </r>
  <r>
    <x v="154"/>
    <x v="11"/>
    <s v="scott-1"/>
    <s v="WR-3"/>
    <n v="10"/>
    <n v="8.36"/>
    <n v="21.622499999999999"/>
    <s v="WR"/>
    <x v="0"/>
    <x v="9"/>
    <n v="102.78"/>
    <n v="382.14119999999997"/>
    <s v="aj-1"/>
    <x v="2"/>
    <n v="90.7"/>
    <n v="347.93650000000002"/>
    <n v="0.67259029154080885"/>
    <n v="0.69688541415660177"/>
    <n v="2.4295122615792919E-2"/>
    <n v="120"/>
    <n v="71"/>
    <n v="1"/>
    <n v="0"/>
  </r>
  <r>
    <x v="26"/>
    <x v="1"/>
    <s v="cory-12"/>
    <s v="WR-2"/>
    <n v="11"/>
    <n v="9.6300000000000008"/>
    <n v="66.748900000000006"/>
    <s v="WR"/>
    <x v="0"/>
    <x v="5"/>
    <n v="101.87"/>
    <n v="405.26439999999997"/>
    <s v="lucas-12"/>
    <x v="9"/>
    <n v="0"/>
    <n v="0"/>
    <n v="0.99999979071174128"/>
    <n v="0.9999999899558073"/>
    <n v="1.9924406602367384E-7"/>
    <n v="155"/>
    <n v="0"/>
    <n v="1"/>
    <n v="0"/>
  </r>
  <r>
    <x v="192"/>
    <x v="10"/>
    <s v="perry-2"/>
    <s v="WR/RB"/>
    <n v="9"/>
    <n v="8.18"/>
    <n v="21.9024"/>
    <s v="WR/RB"/>
    <x v="0"/>
    <x v="7"/>
    <n v="104.79999999999998"/>
    <n v="455.48199999999997"/>
    <s v="lucas-2"/>
    <x v="9"/>
    <n v="0"/>
    <n v="0"/>
    <n v="0.99999954577661365"/>
    <n v="0.99999980356409668"/>
    <n v="2.5778748302673904E-7"/>
    <n v="102"/>
    <n v="0"/>
    <n v="1"/>
    <n v="0"/>
  </r>
  <r>
    <x v="196"/>
    <x v="1"/>
    <s v="perry-12"/>
    <s v="K"/>
    <n v="9"/>
    <n v="8.3000000000000007"/>
    <n v="17.64"/>
    <s v="K"/>
    <x v="1"/>
    <x v="7"/>
    <n v="117.67999999999999"/>
    <n v="426.54240000000004"/>
    <s v="scott-12"/>
    <x v="5"/>
    <n v="109.82"/>
    <n v="367.76499999999999"/>
    <n v="0.60983422019767153"/>
    <n v="0.62063693532771724"/>
    <n v="1.0802715130045715E-2"/>
    <n v="131"/>
    <n v="88"/>
    <n v="1"/>
    <n v="0"/>
  </r>
  <r>
    <x v="83"/>
    <x v="2"/>
    <s v="jason-13"/>
    <s v="RB-1"/>
    <n v="0"/>
    <n v="0"/>
    <n v="0"/>
    <s v="RB"/>
    <x v="2"/>
    <x v="4"/>
    <n v="75.67"/>
    <n v="278.80779999999999"/>
    <e v="#N/A"/>
    <x v="6"/>
    <n v="0"/>
    <n v="0"/>
    <n v="0.9999970759175304"/>
    <n v="0.9999970759175304"/>
    <n v="0"/>
    <n v="59"/>
    <n v="0"/>
    <e v="#NUM!"/>
    <n v="0"/>
  </r>
  <r>
    <x v="118"/>
    <x v="8"/>
    <s v="comp-9"/>
    <s v="WR-2"/>
    <n v="0"/>
    <n v="0"/>
    <n v="0"/>
    <s v="WR"/>
    <x v="0"/>
    <x v="2"/>
    <n v="80.800000000000011"/>
    <n v="290.44450000000001"/>
    <s v="seth-9"/>
    <x v="0"/>
    <n v="92.559999999999988"/>
    <n v="350.31569999999999"/>
    <n v="0.32111649346340621"/>
    <n v="0.32111649346340621"/>
    <n v="0"/>
    <n v="77"/>
    <n v="95"/>
    <e v="#NUM!"/>
    <n v="0"/>
  </r>
  <r>
    <x v="151"/>
    <x v="8"/>
    <s v="scott-9"/>
    <s v="WR-1"/>
    <n v="0"/>
    <n v="0"/>
    <n v="0"/>
    <s v="WR"/>
    <x v="0"/>
    <x v="9"/>
    <n v="83.52"/>
    <n v="286.42129999999997"/>
    <s v="lucas-9"/>
    <x v="9"/>
    <n v="0"/>
    <n v="0"/>
    <n v="0.9999995992619003"/>
    <n v="0.9999995992619003"/>
    <n v="0"/>
    <n v="89"/>
    <n v="0"/>
    <e v="#NUM!"/>
    <n v="0"/>
  </r>
  <r>
    <x v="197"/>
    <x v="6"/>
    <s v="matty-11"/>
    <s v="WR-3"/>
    <n v="0"/>
    <n v="0"/>
    <n v="0"/>
    <s v="WR"/>
    <x v="0"/>
    <x v="0"/>
    <n v="88.670000000000016"/>
    <n v="334.39179999999999"/>
    <s v="comp-11"/>
    <x v="8"/>
    <n v="98.580000000000013"/>
    <n v="364.4375"/>
    <n v="0.35387619533584119"/>
    <n v="0.35387619533584119"/>
    <n v="0"/>
    <n v="102"/>
    <n v="111"/>
    <e v="#NUM!"/>
    <n v="0"/>
  </r>
  <r>
    <x v="93"/>
    <x v="8"/>
    <s v="chad-9"/>
    <s v="WR-1"/>
    <n v="7"/>
    <n v="7.2"/>
    <n v="41.2164"/>
    <s v="WR"/>
    <x v="0"/>
    <x v="3"/>
    <n v="100.46000000000001"/>
    <n v="387.61320000000001"/>
    <s v="matty-9"/>
    <x v="3"/>
    <n v="94.12"/>
    <n v="378.32429999999999"/>
    <n v="0.59059774146693023"/>
    <n v="0.59020710104819241"/>
    <n v="-3.9064041873781985E-4"/>
    <n v="129"/>
    <n v="68"/>
    <n v="1"/>
    <n v="0"/>
  </r>
  <r>
    <x v="70"/>
    <x v="0"/>
    <s v="comp-10"/>
    <s v="WR-2"/>
    <n v="11"/>
    <n v="11.32"/>
    <n v="53.144100000000002"/>
    <s v="WR"/>
    <x v="0"/>
    <x v="2"/>
    <n v="99.050000000000011"/>
    <n v="345.4212"/>
    <s v="scott-10"/>
    <x v="5"/>
    <n v="101.17"/>
    <n v="351.19740000000002"/>
    <n v="0.46799030012321852"/>
    <n v="0.46168534380326243"/>
    <n v="-6.3049563199560898E-3"/>
    <n v="130"/>
    <n v="67"/>
    <n v="1"/>
    <n v="0"/>
  </r>
  <r>
    <x v="188"/>
    <x v="11"/>
    <s v="scott-1"/>
    <s v="K"/>
    <n v="6"/>
    <n v="6.83"/>
    <n v="14.976900000000001"/>
    <s v="K"/>
    <x v="1"/>
    <x v="9"/>
    <n v="102.78"/>
    <n v="382.14119999999997"/>
    <s v="aj-1"/>
    <x v="2"/>
    <n v="90.7"/>
    <n v="347.93650000000002"/>
    <n v="0.67259029154080885"/>
    <n v="0.66301163840299593"/>
    <n v="-9.5786531378129203E-3"/>
    <n v="120"/>
    <n v="71"/>
    <n v="1"/>
    <n v="0"/>
  </r>
  <r>
    <x v="113"/>
    <x v="6"/>
    <s v="perry-11"/>
    <s v="WR/RB"/>
    <n v="3"/>
    <n v="3.76"/>
    <n v="9.1808999999999994"/>
    <s v="WR/RB"/>
    <x v="0"/>
    <x v="7"/>
    <n v="104.20000000000002"/>
    <n v="377.06489999999997"/>
    <s v="lucas-11"/>
    <x v="9"/>
    <n v="0"/>
    <n v="0"/>
    <n v="0.99999995977381673"/>
    <n v="0.99999996536085045"/>
    <n v="5.5870337245522705E-9"/>
    <n v="85"/>
    <n v="0"/>
    <n v="1"/>
    <n v="0"/>
  </r>
  <r>
    <x v="55"/>
    <x v="1"/>
    <s v="cory-12"/>
    <s v="RB-1"/>
    <n v="11"/>
    <n v="11.96"/>
    <n v="42.120100000000001"/>
    <s v="RB"/>
    <x v="2"/>
    <x v="5"/>
    <n v="101.87"/>
    <n v="405.26439999999997"/>
    <s v="lucas-12"/>
    <x v="9"/>
    <n v="0"/>
    <n v="0"/>
    <n v="0.99999979071174128"/>
    <n v="0.99999994060534825"/>
    <n v="1.4989360697104104E-7"/>
    <n v="155"/>
    <n v="0"/>
    <n v="1"/>
    <n v="0"/>
  </r>
  <r>
    <x v="190"/>
    <x v="1"/>
    <s v="comp-12"/>
    <s v="WR-3"/>
    <n v="2"/>
    <n v="2.92"/>
    <n v="4.3263999999999996"/>
    <s v="WR"/>
    <x v="0"/>
    <x v="2"/>
    <n v="98.639999999999986"/>
    <n v="309.06870000000004"/>
    <s v="aj-12"/>
    <x v="2"/>
    <n v="111.09"/>
    <n v="408.5095"/>
    <n v="0.32104937221741592"/>
    <n v="0.30831857266318785"/>
    <n v="-1.2730799554228067E-2"/>
    <n v="125"/>
    <n v="84"/>
    <n v="1"/>
    <n v="0"/>
  </r>
  <r>
    <x v="198"/>
    <x v="6"/>
    <s v="scott-11"/>
    <s v="TE-1"/>
    <n v="2"/>
    <n v="3.34"/>
    <n v="13.542400000000001"/>
    <s v="TE"/>
    <x v="3"/>
    <x v="9"/>
    <n v="105.39999999999999"/>
    <n v="342.09739999999999"/>
    <s v="devon-11"/>
    <x v="7"/>
    <n v="100.25"/>
    <n v="448.76889999999997"/>
    <n v="0.57265136255925952"/>
    <n v="0.55434805556291744"/>
    <n v="-1.8303306996342084E-2"/>
    <n v="124"/>
    <n v="78"/>
    <n v="1"/>
    <n v="0"/>
  </r>
  <r>
    <x v="3"/>
    <x v="7"/>
    <s v="comp-5"/>
    <s v="K"/>
    <n v="6"/>
    <n v="7.29"/>
    <n v="23.328900000000001"/>
    <s v="K"/>
    <x v="1"/>
    <x v="2"/>
    <n v="98.17"/>
    <n v="359.81479999999999"/>
    <s v="chad-5"/>
    <x v="1"/>
    <n v="103.98"/>
    <n v="400.98380000000003"/>
    <n v="0.41658401639793569"/>
    <n v="0.39687330579529678"/>
    <n v="-1.9710710602638903E-2"/>
    <n v="121"/>
    <n v="71"/>
    <n v="1"/>
    <n v="0"/>
  </r>
  <r>
    <x v="199"/>
    <x v="12"/>
    <s v="seth-6"/>
    <s v="WR/RB"/>
    <n v="4"/>
    <n v="6.82"/>
    <n v="9.9224999999999994"/>
    <s v="WR/RB"/>
    <x v="2"/>
    <x v="1"/>
    <n v="90.009999999999991"/>
    <n v="295.93350000000004"/>
    <s v="scott-6"/>
    <x v="5"/>
    <n v="110.30999999999999"/>
    <n v="388.52729999999997"/>
    <n v="0.21889557883251567"/>
    <n v="0.18668093989332382"/>
    <n v="-3.2214638939191853E-2"/>
    <n v="130"/>
    <n v="96"/>
    <n v="1"/>
    <n v="0"/>
  </r>
  <r>
    <x v="117"/>
    <x v="0"/>
    <s v="comp-10"/>
    <s v="RB-1"/>
    <n v="9"/>
    <n v="11.14"/>
    <n v="45.024099999999997"/>
    <s v="RB"/>
    <x v="2"/>
    <x v="2"/>
    <n v="99.050000000000011"/>
    <n v="345.4212"/>
    <s v="scott-10"/>
    <x v="5"/>
    <n v="101.17"/>
    <n v="351.19740000000002"/>
    <n v="0.46799030012321852"/>
    <n v="0.43372972503993401"/>
    <n v="-3.4260575083284506E-2"/>
    <n v="130"/>
    <n v="67"/>
    <n v="1"/>
    <n v="0"/>
  </r>
  <r>
    <x v="24"/>
    <x v="2"/>
    <s v="seth-13"/>
    <s v="D/ST"/>
    <n v="0"/>
    <n v="3.08"/>
    <n v="23.619599999999998"/>
    <s v="D/ST"/>
    <x v="5"/>
    <x v="1"/>
    <n v="93.77000000000001"/>
    <n v="387.786"/>
    <s v="lucas-13"/>
    <x v="9"/>
    <n v="0"/>
    <n v="0"/>
    <n v="0.9999990404590926"/>
    <n v="0.9999989947273743"/>
    <n v="-4.5731718301134094E-8"/>
    <n v="98"/>
    <n v="0"/>
    <n v="1"/>
    <n v="0"/>
  </r>
  <r>
    <x v="46"/>
    <x v="2"/>
    <s v="seth-13"/>
    <s v="K"/>
    <n v="4"/>
    <n v="7.56"/>
    <n v="14.364100000000001"/>
    <s v="K"/>
    <x v="1"/>
    <x v="1"/>
    <n v="93.77000000000001"/>
    <n v="387.786"/>
    <s v="lucas-13"/>
    <x v="9"/>
    <n v="0"/>
    <n v="0"/>
    <n v="0.9999990404590926"/>
    <n v="0.99999848117378531"/>
    <n v="-5.5928530728888148E-7"/>
    <n v="98"/>
    <n v="0"/>
    <n v="1"/>
    <n v="0"/>
  </r>
  <r>
    <x v="115"/>
    <x v="2"/>
    <s v="seth-13"/>
    <s v="WR-1"/>
    <n v="1"/>
    <n v="4.6500000000000004"/>
    <n v="11.4244"/>
    <s v="WR"/>
    <x v="0"/>
    <x v="1"/>
    <n v="93.77000000000001"/>
    <n v="387.786"/>
    <s v="lucas-13"/>
    <x v="9"/>
    <n v="0"/>
    <n v="0"/>
    <n v="0.9999990404590926"/>
    <n v="0.99999830250592792"/>
    <n v="-7.3795316468672212E-7"/>
    <n v="98"/>
    <n v="0"/>
    <n v="1"/>
    <n v="0"/>
  </r>
  <r>
    <x v="22"/>
    <x v="1"/>
    <s v="comp-12"/>
    <s v="K"/>
    <n v="5"/>
    <n v="8.6"/>
    <n v="15.444900000000001"/>
    <s v="K"/>
    <x v="1"/>
    <x v="2"/>
    <n v="98.639999999999986"/>
    <n v="309.06870000000004"/>
    <s v="aj-12"/>
    <x v="2"/>
    <n v="111.09"/>
    <n v="408.5095"/>
    <n v="0.32104937221741592"/>
    <n v="0.27235343609783713"/>
    <n v="-4.8695936119578787E-2"/>
    <n v="125"/>
    <n v="84"/>
    <n v="1"/>
    <n v="0"/>
  </r>
  <r>
    <x v="162"/>
    <x v="6"/>
    <s v="perry-11"/>
    <s v="TE-1"/>
    <n v="3"/>
    <n v="6.57"/>
    <n v="20.793600000000001"/>
    <s v="TE"/>
    <x v="3"/>
    <x v="7"/>
    <n v="104.20000000000002"/>
    <n v="377.06489999999997"/>
    <s v="lucas-11"/>
    <x v="9"/>
    <n v="0"/>
    <n v="0"/>
    <n v="0.99999995977381673"/>
    <n v="0.99999995125687202"/>
    <n v="-8.5169447050503777E-9"/>
    <n v="85"/>
    <n v="0"/>
    <n v="1"/>
    <n v="0"/>
  </r>
  <r>
    <x v="169"/>
    <x v="9"/>
    <s v="matty-4"/>
    <s v="TE-1"/>
    <n v="3"/>
    <n v="6.66"/>
    <n v="9.9224999999999994"/>
    <s v="TE"/>
    <x v="3"/>
    <x v="0"/>
    <n v="109.71999999999998"/>
    <n v="421.03860000000003"/>
    <s v="lucas-4"/>
    <x v="9"/>
    <n v="0"/>
    <n v="0"/>
    <n v="0.99999995533253605"/>
    <n v="0.99999991561794088"/>
    <n v="-3.9714595168049982E-8"/>
    <n v="92"/>
    <n v="0"/>
    <n v="1"/>
    <n v="0"/>
  </r>
  <r>
    <x v="200"/>
    <x v="6"/>
    <s v="scott-11"/>
    <s v="K"/>
    <n v="4"/>
    <n v="8.0399999999999991"/>
    <n v="12.8164"/>
    <s v="K"/>
    <x v="1"/>
    <x v="9"/>
    <n v="105.39999999999999"/>
    <n v="342.09739999999999"/>
    <s v="devon-11"/>
    <x v="7"/>
    <n v="100.25"/>
    <n v="448.76889999999997"/>
    <n v="0.57265136255925952"/>
    <n v="0.5158713806686186"/>
    <n v="-5.6779981890640929E-2"/>
    <n v="124"/>
    <n v="78"/>
    <n v="1"/>
    <n v="0"/>
  </r>
  <r>
    <x v="50"/>
    <x v="2"/>
    <s v="seth-13"/>
    <s v="TE-1"/>
    <n v="0"/>
    <n v="4.74"/>
    <n v="13.9129"/>
    <s v="TE"/>
    <x v="3"/>
    <x v="1"/>
    <n v="93.77000000000001"/>
    <n v="387.786"/>
    <s v="lucas-13"/>
    <x v="9"/>
    <n v="0"/>
    <n v="0"/>
    <n v="0.9999990404590926"/>
    <n v="0.99999793184477392"/>
    <n v="-1.1086143186789243E-6"/>
    <n v="98"/>
    <n v="0"/>
    <n v="1"/>
    <n v="0"/>
  </r>
  <r>
    <x v="114"/>
    <x v="8"/>
    <s v="chad-9"/>
    <s v="QB-1"/>
    <n v="18"/>
    <n v="22.39"/>
    <n v="48.441600000000001"/>
    <s v="QB"/>
    <x v="4"/>
    <x v="3"/>
    <n v="100.46000000000001"/>
    <n v="387.61320000000001"/>
    <s v="matty-9"/>
    <x v="3"/>
    <n v="94.12"/>
    <n v="378.32429999999999"/>
    <n v="0.59059774146693023"/>
    <n v="0.52901693234023628"/>
    <n v="-6.1580809126693947E-2"/>
    <n v="129"/>
    <n v="68"/>
    <n v="1"/>
    <n v="0"/>
  </r>
  <r>
    <x v="104"/>
    <x v="1"/>
    <s v="cory-12"/>
    <s v="RB-2"/>
    <n v="2"/>
    <n v="6.65"/>
    <n v="23.232399999999998"/>
    <s v="RB"/>
    <x v="2"/>
    <x v="5"/>
    <n v="101.87"/>
    <n v="405.26439999999997"/>
    <s v="lucas-12"/>
    <x v="9"/>
    <n v="0"/>
    <n v="0"/>
    <n v="0.99999979071174128"/>
    <n v="0.99999967207277385"/>
    <n v="-1.1863896742791979E-7"/>
    <n v="155"/>
    <n v="0"/>
    <n v="1"/>
    <n v="0"/>
  </r>
  <r>
    <x v="79"/>
    <x v="7"/>
    <s v="comp-5"/>
    <s v="RB-2"/>
    <n v="4"/>
    <n v="8.61"/>
    <n v="32.947600000000001"/>
    <s v="RB"/>
    <x v="2"/>
    <x v="2"/>
    <n v="98.17"/>
    <n v="359.81479999999999"/>
    <s v="chad-5"/>
    <x v="1"/>
    <n v="103.98"/>
    <n v="400.98380000000003"/>
    <n v="0.41658401639793569"/>
    <n v="0.34966301286877299"/>
    <n v="-6.6921003529162693E-2"/>
    <n v="121"/>
    <n v="71"/>
    <n v="1"/>
    <n v="0"/>
  </r>
  <r>
    <x v="78"/>
    <x v="1"/>
    <s v="perry-12"/>
    <s v="RB-1"/>
    <n v="6"/>
    <n v="10.93"/>
    <n v="29.811599999999999"/>
    <s v="RB"/>
    <x v="2"/>
    <x v="7"/>
    <n v="117.67999999999999"/>
    <n v="426.54240000000004"/>
    <s v="scott-12"/>
    <x v="5"/>
    <n v="109.82"/>
    <n v="367.76499999999999"/>
    <n v="0.60983422019767153"/>
    <n v="0.54219664525417421"/>
    <n v="-6.7637574943497314E-2"/>
    <n v="131"/>
    <n v="88"/>
    <n v="1"/>
    <n v="0"/>
  </r>
  <r>
    <x v="124"/>
    <x v="8"/>
    <s v="chad-9"/>
    <s v="WR-2"/>
    <n v="3"/>
    <n v="8.2100000000000009"/>
    <n v="36"/>
    <s v="WR"/>
    <x v="0"/>
    <x v="3"/>
    <n v="100.46000000000001"/>
    <n v="387.61320000000001"/>
    <s v="matty-9"/>
    <x v="3"/>
    <n v="94.12"/>
    <n v="378.32429999999999"/>
    <n v="0.59059774146693023"/>
    <n v="0.51668088412863711"/>
    <n v="-7.3916857338293118E-2"/>
    <n v="129"/>
    <n v="68"/>
    <n v="1"/>
    <n v="0"/>
  </r>
  <r>
    <x v="71"/>
    <x v="3"/>
    <s v="chad-3"/>
    <s v="WR-1"/>
    <n v="6"/>
    <n v="12.17"/>
    <n v="58.675600000000003"/>
    <s v="WR"/>
    <x v="0"/>
    <x v="3"/>
    <n v="99.23"/>
    <n v="414.92009999999999"/>
    <s v="devon-3"/>
    <x v="7"/>
    <n v="110.36"/>
    <n v="421.178"/>
    <n v="0.35014963451184367"/>
    <n v="0.26747572182081997"/>
    <n v="-8.2673912691023699E-2"/>
    <n v="123"/>
    <n v="63"/>
    <n v="1"/>
    <n v="0"/>
  </r>
  <r>
    <x v="151"/>
    <x v="11"/>
    <s v="scott-1"/>
    <s v="WR-1"/>
    <n v="2"/>
    <n v="8.36"/>
    <n v="30.470400000000001"/>
    <s v="WR"/>
    <x v="0"/>
    <x v="9"/>
    <n v="102.78"/>
    <n v="382.14119999999997"/>
    <s v="aj-1"/>
    <x v="2"/>
    <n v="90.7"/>
    <n v="347.93650000000002"/>
    <n v="0.67259029154080885"/>
    <n v="0.58560603300986325"/>
    <n v="-8.6984258530945602E-2"/>
    <n v="120"/>
    <n v="71"/>
    <n v="1"/>
    <n v="0"/>
  </r>
  <r>
    <x v="165"/>
    <x v="4"/>
    <s v="aj-8"/>
    <s v="WR-3"/>
    <n v="1"/>
    <n v="8.77"/>
    <n v="29.811599999999999"/>
    <s v="WR"/>
    <x v="0"/>
    <x v="6"/>
    <n v="114.1"/>
    <n v="458.87900000000002"/>
    <s v="lucas-8"/>
    <x v="9"/>
    <n v="0"/>
    <n v="0"/>
    <n v="0.99999994992018415"/>
    <n v="0.99999985761510102"/>
    <n v="-9.230508313251562E-8"/>
    <n v="113"/>
    <n v="0"/>
    <n v="1"/>
    <n v="0"/>
  </r>
  <r>
    <x v="151"/>
    <x v="6"/>
    <s v="scott-11"/>
    <s v="WR-2"/>
    <n v="2"/>
    <n v="8.39"/>
    <n v="30.691600000000001"/>
    <s v="WR"/>
    <x v="0"/>
    <x v="9"/>
    <n v="105.39999999999999"/>
    <n v="342.09739999999999"/>
    <s v="devon-11"/>
    <x v="7"/>
    <n v="100.25"/>
    <n v="448.76889999999997"/>
    <n v="0.57265136255925952"/>
    <n v="0.48206387352587116"/>
    <n v="-9.0587489033388369E-2"/>
    <n v="124"/>
    <n v="78"/>
    <n v="1"/>
    <n v="0"/>
  </r>
  <r>
    <x v="144"/>
    <x v="5"/>
    <s v="devon-7"/>
    <s v="K"/>
    <n v="2"/>
    <n v="8.6199999999999992"/>
    <n v="12.180099999999999"/>
    <s v="K"/>
    <x v="1"/>
    <x v="8"/>
    <n v="106.81"/>
    <n v="351.64060000000001"/>
    <s v="aj-7"/>
    <x v="2"/>
    <n v="114.01999999999998"/>
    <n v="381.58529999999996"/>
    <n v="0.39501702421215146"/>
    <n v="0.3032626192599876"/>
    <n v="-9.1754404952163859E-2"/>
    <n v="117"/>
    <n v="93"/>
    <n v="1"/>
    <n v="0"/>
  </r>
  <r>
    <x v="64"/>
    <x v="1"/>
    <s v="perry-12"/>
    <s v="WR-1"/>
    <n v="3"/>
    <n v="9.6999999999999993"/>
    <n v="35.402500000000003"/>
    <s v="WR"/>
    <x v="0"/>
    <x v="7"/>
    <n v="117.67999999999999"/>
    <n v="426.54240000000004"/>
    <s v="scott-12"/>
    <x v="5"/>
    <n v="109.82"/>
    <n v="367.76499999999999"/>
    <n v="0.60983422019767153"/>
    <n v="0.51679368689527028"/>
    <n v="-9.3040533302401252E-2"/>
    <n v="131"/>
    <n v="88"/>
    <n v="1"/>
    <n v="0"/>
  </r>
  <r>
    <x v="101"/>
    <x v="0"/>
    <s v="comp-10"/>
    <s v="QB-1"/>
    <n v="14"/>
    <n v="20.13"/>
    <n v="43.692100000000003"/>
    <s v="QB"/>
    <x v="4"/>
    <x v="2"/>
    <n v="99.050000000000011"/>
    <n v="345.4212"/>
    <s v="scott-10"/>
    <x v="5"/>
    <n v="101.17"/>
    <n v="351.19740000000002"/>
    <n v="0.46799030012321852"/>
    <n v="0.37339850751444048"/>
    <n v="-9.4591792608778036E-2"/>
    <n v="130"/>
    <n v="67"/>
    <n v="1"/>
    <n v="0"/>
  </r>
  <r>
    <x v="201"/>
    <x v="11"/>
    <s v="scott-1"/>
    <s v="WR-2"/>
    <n v="0"/>
    <n v="6.94"/>
    <n v="18.662400000000002"/>
    <s v="WR"/>
    <x v="0"/>
    <x v="9"/>
    <n v="102.78"/>
    <n v="382.14119999999997"/>
    <s v="aj-1"/>
    <x v="2"/>
    <n v="90.7"/>
    <n v="347.93650000000002"/>
    <n v="0.67259029154080885"/>
    <n v="0.57640647941242318"/>
    <n v="-9.6183812128385671E-2"/>
    <n v="120"/>
    <n v="71"/>
    <n v="1"/>
    <n v="0"/>
  </r>
  <r>
    <x v="5"/>
    <x v="3"/>
    <s v="chad-3"/>
    <s v="TE-1"/>
    <n v="0"/>
    <n v="7.74"/>
    <n v="27.7729"/>
    <s v="TE"/>
    <x v="3"/>
    <x v="3"/>
    <n v="99.23"/>
    <n v="414.92009999999999"/>
    <s v="devon-3"/>
    <x v="7"/>
    <n v="110.36"/>
    <n v="421.178"/>
    <n v="0.35014963451184367"/>
    <n v="0.2534377341905642"/>
    <n v="-9.6711900321279465E-2"/>
    <n v="123"/>
    <n v="63"/>
    <n v="1"/>
    <n v="0"/>
  </r>
  <r>
    <x v="40"/>
    <x v="3"/>
    <s v="chad-3"/>
    <s v="D/ST"/>
    <n v="-4"/>
    <n v="4.4000000000000004"/>
    <n v="35.164900000000003"/>
    <s v="D/ST"/>
    <x v="5"/>
    <x v="3"/>
    <n v="99.23"/>
    <n v="414.92009999999999"/>
    <s v="devon-3"/>
    <x v="7"/>
    <n v="110.36"/>
    <n v="421.178"/>
    <n v="0.35014963451184367"/>
    <n v="0.24506961453947557"/>
    <n v="-0.1050800199723681"/>
    <n v="123"/>
    <n v="63"/>
    <n v="1"/>
    <n v="0"/>
  </r>
  <r>
    <x v="3"/>
    <x v="2"/>
    <s v="devon-13"/>
    <s v="K"/>
    <n v="-2"/>
    <n v="6.72"/>
    <n v="15.2881"/>
    <s v="K"/>
    <x v="1"/>
    <x v="8"/>
    <n v="97.46"/>
    <n v="368.81949999999995"/>
    <s v="perry-13"/>
    <x v="10"/>
    <n v="108.77"/>
    <n v="411.30060000000003"/>
    <n v="0.3427638257896819"/>
    <n v="0.23445131213926504"/>
    <n v="-0.10831251365041686"/>
    <n v="133"/>
    <n v="99"/>
    <n v="1"/>
    <n v="0"/>
  </r>
  <r>
    <x v="142"/>
    <x v="1"/>
    <s v="cory-12"/>
    <s v="WR-3"/>
    <n v="1"/>
    <n v="8.6"/>
    <n v="32.49"/>
    <s v="WR"/>
    <x v="0"/>
    <x v="5"/>
    <n v="101.87"/>
    <n v="405.26439999999997"/>
    <s v="lucas-12"/>
    <x v="9"/>
    <n v="0"/>
    <n v="0"/>
    <n v="0.99999979071174128"/>
    <n v="0.99999947649913901"/>
    <n v="-3.1421260227038061E-7"/>
    <n v="155"/>
    <n v="0"/>
    <n v="1"/>
    <n v="0"/>
  </r>
  <r>
    <x v="128"/>
    <x v="11"/>
    <s v="scott-1"/>
    <s v="QB-1"/>
    <n v="10"/>
    <n v="19.47"/>
    <n v="47.61"/>
    <s v="QB"/>
    <x v="4"/>
    <x v="9"/>
    <n v="102.78"/>
    <n v="382.14119999999997"/>
    <s v="aj-1"/>
    <x v="2"/>
    <n v="90.7"/>
    <n v="347.93650000000002"/>
    <n v="0.67259029154080885"/>
    <n v="0.53979124362250452"/>
    <n v="-0.13279904791830432"/>
    <n v="120"/>
    <n v="71"/>
    <n v="1"/>
    <n v="0"/>
  </r>
  <r>
    <x v="63"/>
    <x v="6"/>
    <s v="perry-11"/>
    <s v="K"/>
    <n v="-2"/>
    <n v="8.4600000000000009"/>
    <n v="15.2881"/>
    <s v="K"/>
    <x v="1"/>
    <x v="7"/>
    <n v="104.20000000000002"/>
    <n v="377.06489999999997"/>
    <s v="lucas-11"/>
    <x v="9"/>
    <n v="0"/>
    <n v="0"/>
    <n v="0.99999995977381673"/>
    <n v="0.9999995854386049"/>
    <n v="-3.7433521182794749E-7"/>
    <n v="85"/>
    <n v="0"/>
    <n v="1"/>
    <n v="0"/>
  </r>
  <r>
    <x v="9"/>
    <x v="0"/>
    <s v="comp-10"/>
    <s v="WR-1"/>
    <n v="4"/>
    <n v="14.34"/>
    <n v="51.696100000000001"/>
    <s v="WR"/>
    <x v="0"/>
    <x v="2"/>
    <n v="99.050000000000011"/>
    <n v="345.4212"/>
    <s v="scott-10"/>
    <x v="5"/>
    <n v="101.17"/>
    <n v="351.19740000000002"/>
    <n v="0.46799030012321852"/>
    <n v="0.31184001506846337"/>
    <n v="-0.15615028505475514"/>
    <n v="130"/>
    <n v="67"/>
    <n v="1"/>
    <n v="0"/>
  </r>
  <r>
    <x v="202"/>
    <x v="1"/>
    <s v="jason-12"/>
    <s v="K"/>
    <n v="2"/>
    <n v="8.23"/>
    <n v="13.1044"/>
    <s v="K"/>
    <x v="1"/>
    <x v="4"/>
    <n v="96.019999999999982"/>
    <n v="375.18639999999999"/>
    <e v="#N/A"/>
    <x v="6"/>
    <n v="0"/>
    <n v="0"/>
    <n v="0.99999964245431261"/>
    <n v="0.99999881335268381"/>
    <n v="-8.291016287964581E-7"/>
    <n v="73"/>
    <n v="0"/>
    <n v="1"/>
    <n v="0"/>
  </r>
  <r>
    <x v="203"/>
    <x v="2"/>
    <s v="jason-13"/>
    <s v="RB-2"/>
    <n v="4"/>
    <n v="2.67"/>
    <n v="4"/>
    <s v="RB"/>
    <x v="2"/>
    <x v="4"/>
    <n v="75.67"/>
    <n v="278.80779999999999"/>
    <e v="#N/A"/>
    <x v="6"/>
    <n v="0"/>
    <n v="0"/>
    <n v="0.9999970759175304"/>
    <n v="0.99999829877882562"/>
    <n v="1.2228612952247531E-6"/>
    <n v="59"/>
    <n v="0"/>
    <n v="1"/>
    <n v="0"/>
  </r>
  <r>
    <x v="203"/>
    <x v="1"/>
    <s v="jason-12"/>
    <s v="RB-2"/>
    <n v="1"/>
    <n v="5.68"/>
    <n v="15.9201"/>
    <s v="RB"/>
    <x v="2"/>
    <x v="4"/>
    <n v="96.019999999999982"/>
    <n v="375.18639999999999"/>
    <e v="#N/A"/>
    <x v="6"/>
    <n v="0"/>
    <n v="0"/>
    <n v="0.99999964245431261"/>
    <n v="0.99999927843534053"/>
    <n v="-3.6401897207660738E-7"/>
    <n v="73"/>
    <n v="0"/>
    <n v="1"/>
    <n v="0"/>
  </r>
  <r>
    <x v="8"/>
    <x v="8"/>
    <s v="matty-9"/>
    <s v="WR-3"/>
    <n v="1"/>
    <n v="4.3099999999999996"/>
    <n v="10.7584"/>
    <s v="WR"/>
    <x v="0"/>
    <x v="0"/>
    <n v="94.12"/>
    <n v="378.32429999999999"/>
    <s v="chad-9"/>
    <x v="1"/>
    <n v="100.46000000000001"/>
    <n v="387.61320000000001"/>
    <n v="0.40940225853306977"/>
    <n v="0.36273497978821656"/>
    <n v="-4.6667278744853213E-2"/>
    <n v="68"/>
    <n v="129"/>
    <n v="1.5110744324134221E-69"/>
    <n v="-1.5110744324134221E-69"/>
  </r>
  <r>
    <x v="204"/>
    <x v="1"/>
    <s v="jason-12"/>
    <s v="WR-3"/>
    <n v="7"/>
    <n v="6.61"/>
    <n v="22.09"/>
    <s v="WR"/>
    <x v="0"/>
    <x v="4"/>
    <n v="96.019999999999982"/>
    <n v="375.18639999999999"/>
    <e v="#N/A"/>
    <x v="6"/>
    <n v="0"/>
    <n v="0"/>
    <n v="0.99999964245431261"/>
    <n v="0.99999985565594551"/>
    <n v="2.1320163290372562E-7"/>
    <n v="73"/>
    <n v="0"/>
    <n v="1"/>
    <n v="0"/>
  </r>
  <r>
    <x v="175"/>
    <x v="0"/>
    <s v="scott-10"/>
    <s v="K"/>
    <n v="8"/>
    <n v="6.92"/>
    <n v="15.760899999999999"/>
    <s v="K"/>
    <x v="1"/>
    <x v="9"/>
    <n v="101.17"/>
    <n v="351.19740000000002"/>
    <s v="comp-10"/>
    <x v="8"/>
    <n v="99.050000000000011"/>
    <n v="345.4212"/>
    <n v="0.53200969987678148"/>
    <n v="0.54880275479582696"/>
    <n v="1.679305491904548E-2"/>
    <n v="67"/>
    <n v="130"/>
    <n v="6.5635919107027511E-59"/>
    <n v="-6.5635919107027511E-59"/>
  </r>
  <r>
    <x v="48"/>
    <x v="3"/>
    <s v="devon-3"/>
    <s v="WR-3"/>
    <n v="14"/>
    <n v="5.79"/>
    <n v="17.977599999999999"/>
    <s v="WR"/>
    <x v="0"/>
    <x v="8"/>
    <n v="110.36"/>
    <n v="421.178"/>
    <s v="chad-3"/>
    <x v="1"/>
    <n v="99.23"/>
    <n v="414.92009999999999"/>
    <n v="0.64985036548815633"/>
    <n v="0.75052965510554048"/>
    <n v="0.10067928961738415"/>
    <n v="63"/>
    <n v="123"/>
    <n v="1.5669133478863232E-58"/>
    <n v="-1.5669133478863232E-58"/>
  </r>
  <r>
    <x v="205"/>
    <x v="1"/>
    <s v="jason-12"/>
    <s v="WR-2"/>
    <n v="11"/>
    <n v="7.84"/>
    <n v="29.16"/>
    <s v="WR"/>
    <x v="0"/>
    <x v="4"/>
    <n v="96.019999999999982"/>
    <n v="375.18639999999999"/>
    <e v="#N/A"/>
    <x v="6"/>
    <n v="0"/>
    <n v="0"/>
    <n v="0.99999964245431261"/>
    <n v="0.99999995136364794"/>
    <n v="3.089093353336736E-7"/>
    <n v="73"/>
    <n v="0"/>
    <n v="1"/>
    <n v="0"/>
  </r>
  <r>
    <x v="21"/>
    <x v="3"/>
    <s v="devon-3"/>
    <s v="WR-1"/>
    <n v="21"/>
    <n v="9.3699999999999992"/>
    <n v="21.715599999999998"/>
    <s v="WR"/>
    <x v="0"/>
    <x v="8"/>
    <n v="110.36"/>
    <n v="421.178"/>
    <s v="chad-3"/>
    <x v="1"/>
    <n v="99.23"/>
    <n v="414.92009999999999"/>
    <n v="0.64985036548815633"/>
    <n v="0.78743422685707642"/>
    <n v="0.13758386136892009"/>
    <n v="63"/>
    <n v="123"/>
    <n v="1.2760936380879377E-53"/>
    <n v="-1.2760936380879377E-53"/>
  </r>
  <r>
    <x v="83"/>
    <x v="1"/>
    <s v="jason-12"/>
    <s v="RB-1"/>
    <n v="9"/>
    <n v="8.1300000000000008"/>
    <n v="34.222499999999997"/>
    <s v="RB"/>
    <x v="2"/>
    <x v="4"/>
    <n v="96.019999999999982"/>
    <n v="375.18639999999999"/>
    <e v="#N/A"/>
    <x v="6"/>
    <n v="0"/>
    <n v="0"/>
    <n v="0.99999964245431261"/>
    <n v="0.99999992277139804"/>
    <n v="2.8031708543263534E-7"/>
    <n v="73"/>
    <n v="0"/>
    <n v="1"/>
    <n v="0"/>
  </r>
  <r>
    <x v="30"/>
    <x v="8"/>
    <s v="matty-9"/>
    <s v="K"/>
    <n v="3"/>
    <n v="7.08"/>
    <n v="16.2409"/>
    <s v="K"/>
    <x v="1"/>
    <x v="0"/>
    <n v="94.12"/>
    <n v="378.32429999999999"/>
    <s v="chad-9"/>
    <x v="1"/>
    <n v="100.46000000000001"/>
    <n v="387.61320000000001"/>
    <n v="0.40940225853306977"/>
    <n v="0.35176429500669348"/>
    <n v="-5.763796352637629E-2"/>
    <n v="68"/>
    <n v="129"/>
    <n v="1.3497095925334599E-45"/>
    <n v="-1.3497095925334599E-45"/>
  </r>
  <r>
    <x v="18"/>
    <x v="8"/>
    <s v="matty-9"/>
    <s v="TE-1"/>
    <n v="0"/>
    <n v="6.42"/>
    <n v="17.977599999999999"/>
    <s v="TE"/>
    <x v="3"/>
    <x v="0"/>
    <n v="94.12"/>
    <n v="378.32429999999999"/>
    <s v="chad-9"/>
    <x v="1"/>
    <n v="100.46000000000001"/>
    <n v="387.61320000000001"/>
    <n v="0.40940225853306977"/>
    <n v="0.32040581224677089"/>
    <n v="-8.899644628629888E-2"/>
    <n v="68"/>
    <n v="129"/>
    <n v="3.208471523361314E-38"/>
    <n v="-3.208471523361314E-38"/>
  </r>
  <r>
    <x v="206"/>
    <x v="1"/>
    <s v="scott-12"/>
    <s v="K"/>
    <n v="8"/>
    <n v="5.19"/>
    <n v="12.96"/>
    <s v="K"/>
    <x v="1"/>
    <x v="9"/>
    <n v="109.82"/>
    <n v="367.76499999999999"/>
    <s v="perry-12"/>
    <x v="10"/>
    <n v="117.67999999999999"/>
    <n v="426.54240000000004"/>
    <n v="0.39016577980232847"/>
    <n v="0.42831603905825077"/>
    <n v="3.8150259255922303E-2"/>
    <n v="88"/>
    <n v="131"/>
    <n v="2.1473740731345421E-37"/>
    <n v="-2.1473740731345421E-37"/>
  </r>
  <r>
    <x v="178"/>
    <x v="0"/>
    <s v="scott-10"/>
    <s v="WR-3"/>
    <n v="2"/>
    <n v="6.95"/>
    <n v="20.884899999999998"/>
    <s v="WR"/>
    <x v="0"/>
    <x v="9"/>
    <n v="101.17"/>
    <n v="351.19740000000002"/>
    <s v="comp-10"/>
    <x v="8"/>
    <n v="99.050000000000011"/>
    <n v="345.4212"/>
    <n v="0.53200969987678148"/>
    <n v="0.45665375292250632"/>
    <n v="-7.5355946954275166E-2"/>
    <n v="67"/>
    <n v="130"/>
    <n v="2.8669310340796686E-37"/>
    <n v="-2.8669310340796686E-37"/>
  </r>
  <r>
    <x v="22"/>
    <x v="11"/>
    <s v="aj-1"/>
    <s v="K"/>
    <n v="9"/>
    <n v="6.85"/>
    <n v="16.2409"/>
    <s v="K"/>
    <x v="1"/>
    <x v="6"/>
    <n v="90.7"/>
    <n v="347.93650000000002"/>
    <s v="scott-1"/>
    <x v="5"/>
    <n v="102.78"/>
    <n v="382.14119999999997"/>
    <n v="0.32740970845919121"/>
    <n v="0.35507174360187999"/>
    <n v="2.7662035142688779E-2"/>
    <n v="71"/>
    <n v="120"/>
    <n v="3.261745529732786E-37"/>
    <n v="-3.261745529732786E-37"/>
  </r>
  <r>
    <x v="82"/>
    <x v="1"/>
    <s v="jason-12"/>
    <s v="TE-1"/>
    <n v="20"/>
    <n v="12.82"/>
    <n v="50.41"/>
    <s v="TE"/>
    <x v="3"/>
    <x v="4"/>
    <n v="96.019999999999982"/>
    <n v="375.18639999999999"/>
    <e v="#N/A"/>
    <x v="6"/>
    <n v="0"/>
    <n v="0"/>
    <n v="0.99999964245431261"/>
    <n v="0.99999999487309521"/>
    <n v="3.524187826009495E-7"/>
    <n v="73"/>
    <n v="0"/>
    <n v="1"/>
    <n v="0"/>
  </r>
  <r>
    <x v="37"/>
    <x v="4"/>
    <s v="jason-8"/>
    <s v="WR/RB"/>
    <n v="6"/>
    <n v="4.8499999999999996"/>
    <n v="9.7969000000000008"/>
    <s v="WR/RB"/>
    <x v="2"/>
    <x v="4"/>
    <n v="93.289999999999992"/>
    <n v="315.97840000000008"/>
    <e v="#N/A"/>
    <x v="6"/>
    <n v="0"/>
    <n v="0"/>
    <n v="0.99999992318369246"/>
    <n v="0.99999996615083708"/>
    <n v="4.296714462004303E-8"/>
    <n v="75"/>
    <n v="0"/>
    <n v="1"/>
    <n v="0"/>
  </r>
  <r>
    <x v="120"/>
    <x v="3"/>
    <s v="devon-3"/>
    <s v="K"/>
    <n v="2"/>
    <n v="7.53"/>
    <n v="20.070399999999999"/>
    <s v="K"/>
    <x v="1"/>
    <x v="8"/>
    <n v="110.36"/>
    <n v="421.178"/>
    <s v="chad-3"/>
    <x v="1"/>
    <n v="99.23"/>
    <n v="414.92009999999999"/>
    <n v="0.64985036548815633"/>
    <n v="0.57770896042907449"/>
    <n v="-7.2141405059081842E-2"/>
    <n v="63"/>
    <n v="123"/>
    <n v="2.5855280017136965E-34"/>
    <n v="-2.5855280017136965E-34"/>
  </r>
  <r>
    <x v="80"/>
    <x v="1"/>
    <s v="jason-12"/>
    <s v="WR-1"/>
    <n v="8"/>
    <n v="11.16"/>
    <n v="42.771599999999999"/>
    <s v="WR"/>
    <x v="0"/>
    <x v="4"/>
    <n v="96.019999999999982"/>
    <n v="375.18639999999999"/>
    <e v="#N/A"/>
    <x v="6"/>
    <n v="0"/>
    <n v="0"/>
    <n v="0.99999964245431261"/>
    <n v="0.9999998239407627"/>
    <n v="1.8148645009041786E-7"/>
    <n v="73"/>
    <n v="0"/>
    <n v="1"/>
    <n v="0"/>
  </r>
  <r>
    <x v="143"/>
    <x v="0"/>
    <s v="scott-10"/>
    <s v="WR-2"/>
    <n v="5"/>
    <n v="6.74"/>
    <n v="26.9361"/>
    <s v="WR"/>
    <x v="0"/>
    <x v="9"/>
    <n v="101.17"/>
    <n v="351.19740000000002"/>
    <s v="comp-10"/>
    <x v="8"/>
    <n v="99.050000000000011"/>
    <n v="345.4212"/>
    <n v="0.53200969987678148"/>
    <n v="0.50585792193952539"/>
    <n v="-2.6151777937256093E-2"/>
    <n v="67"/>
    <n v="130"/>
    <n v="1.872748240212978E-32"/>
    <n v="-1.872748240212978E-32"/>
  </r>
  <r>
    <x v="131"/>
    <x v="1"/>
    <s v="jason-12"/>
    <s v="D/ST"/>
    <n v="2"/>
    <n v="9.1"/>
    <n v="41.2164"/>
    <s v="D/ST"/>
    <x v="5"/>
    <x v="4"/>
    <n v="96.019999999999982"/>
    <n v="375.18639999999999"/>
    <e v="#N/A"/>
    <x v="6"/>
    <n v="0"/>
    <n v="0"/>
    <n v="0.99999964245431261"/>
    <n v="0.99999942975078648"/>
    <n v="-2.1270352612567933E-7"/>
    <n v="73"/>
    <n v="0"/>
    <n v="1"/>
    <n v="0"/>
  </r>
  <r>
    <x v="198"/>
    <x v="0"/>
    <s v="scott-10"/>
    <s v="TE-1"/>
    <n v="1"/>
    <n v="5.43"/>
    <n v="25.401599999999998"/>
    <s v="TE"/>
    <x v="3"/>
    <x v="9"/>
    <n v="101.17"/>
    <n v="351.19740000000002"/>
    <s v="comp-10"/>
    <x v="8"/>
    <n v="99.050000000000011"/>
    <n v="345.4212"/>
    <n v="0.53200969987678148"/>
    <n v="0.46447652485163243"/>
    <n v="-6.753317502514905E-2"/>
    <n v="67"/>
    <n v="130"/>
    <n v="1.6111060870447463E-31"/>
    <n v="-1.6111060870447463E-31"/>
  </r>
  <r>
    <x v="180"/>
    <x v="3"/>
    <s v="devon-3"/>
    <s v="TE-1"/>
    <n v="0"/>
    <n v="6.43"/>
    <n v="21.252099999999999"/>
    <s v="TE"/>
    <x v="3"/>
    <x v="8"/>
    <n v="110.36"/>
    <n v="421.178"/>
    <s v="chad-3"/>
    <x v="1"/>
    <n v="99.23"/>
    <n v="414.92009999999999"/>
    <n v="0.64985036548815633"/>
    <n v="0.56539001741566197"/>
    <n v="-8.4460348072494362E-2"/>
    <n v="63"/>
    <n v="123"/>
    <n v="1.6232456001286938E-31"/>
    <n v="-1.6232456001286938E-31"/>
  </r>
  <r>
    <x v="81"/>
    <x v="1"/>
    <s v="jason-12"/>
    <s v="WR/RB"/>
    <n v="10"/>
    <n v="9.27"/>
    <n v="51.122500000000002"/>
    <s v="WR/RB"/>
    <x v="0"/>
    <x v="4"/>
    <n v="96.019999999999982"/>
    <n v="375.18639999999999"/>
    <e v="#N/A"/>
    <x v="6"/>
    <n v="0"/>
    <n v="0"/>
    <n v="0.99999964245431261"/>
    <n v="0.99999996159587445"/>
    <n v="3.1914156184420506E-7"/>
    <n v="73"/>
    <n v="0"/>
    <n v="1"/>
    <n v="0"/>
  </r>
  <r>
    <x v="99"/>
    <x v="7"/>
    <s v="chad-5"/>
    <s v="K"/>
    <n v="1"/>
    <n v="7.24"/>
    <n v="14.7456"/>
    <s v="K"/>
    <x v="1"/>
    <x v="3"/>
    <n v="103.98"/>
    <n v="400.98380000000003"/>
    <s v="comp-5"/>
    <x v="8"/>
    <n v="98.17"/>
    <n v="359.81479999999999"/>
    <n v="0.58341598360206426"/>
    <n v="0.49371976720998312"/>
    <n v="-8.9696216392081141E-2"/>
    <n v="71"/>
    <n v="121"/>
    <n v="2.1930655877569905E-30"/>
    <n v="-2.1930655877569905E-30"/>
  </r>
  <r>
    <x v="23"/>
    <x v="8"/>
    <s v="matty-9"/>
    <s v="RB-1"/>
    <n v="7"/>
    <n v="7.24"/>
    <n v="28.729600000000001"/>
    <s v="RB"/>
    <x v="2"/>
    <x v="0"/>
    <n v="94.12"/>
    <n v="378.32429999999999"/>
    <s v="chad-9"/>
    <x v="1"/>
    <n v="100.46000000000001"/>
    <n v="387.61320000000001"/>
    <n v="0.40940225853306977"/>
    <n v="0.40425710713602908"/>
    <n v="-5.1451513970406926E-3"/>
    <n v="68"/>
    <n v="129"/>
    <n v="4.3605260607503477E-30"/>
    <n v="-4.3605260607503477E-30"/>
  </r>
  <r>
    <x v="3"/>
    <x v="6"/>
    <s v="devon-11"/>
    <s v="K"/>
    <n v="11"/>
    <n v="7.03"/>
    <n v="19.5364"/>
    <s v="K"/>
    <x v="1"/>
    <x v="8"/>
    <n v="100.25"/>
    <n v="448.76889999999997"/>
    <s v="scott-11"/>
    <x v="5"/>
    <n v="105.39999999999999"/>
    <n v="342.09739999999999"/>
    <n v="0.42734863744074048"/>
    <n v="0.48305500905194609"/>
    <n v="5.5706371611205618E-2"/>
    <n v="78"/>
    <n v="124"/>
    <n v="6.1674311794332746E-30"/>
    <n v="-6.1674311794332746E-30"/>
  </r>
  <r>
    <x v="43"/>
    <x v="8"/>
    <s v="matty-9"/>
    <s v="WR/RB"/>
    <n v="14"/>
    <n v="8.51"/>
    <n v="34.692100000000003"/>
    <s v="WR/RB"/>
    <x v="2"/>
    <x v="0"/>
    <n v="94.12"/>
    <n v="378.32429999999999"/>
    <s v="chad-9"/>
    <x v="1"/>
    <n v="100.46000000000001"/>
    <n v="387.61320000000001"/>
    <n v="0.40940225853306977"/>
    <n v="0.48746206811989806"/>
    <n v="7.8059809586828288E-2"/>
    <n v="68"/>
    <n v="129"/>
    <n v="7.4677588759515246E-30"/>
    <n v="-7.4677588759515246E-30"/>
  </r>
  <r>
    <x v="148"/>
    <x v="11"/>
    <s v="aj-1"/>
    <s v="D/ST"/>
    <n v="29"/>
    <n v="6.42"/>
    <n v="41.088099999999997"/>
    <s v="D/ST"/>
    <x v="5"/>
    <x v="6"/>
    <n v="90.7"/>
    <n v="347.93650000000002"/>
    <s v="scott-1"/>
    <x v="5"/>
    <n v="102.78"/>
    <n v="382.14119999999997"/>
    <n v="0.32740970845919121"/>
    <n v="0.6554295344912322"/>
    <n v="0.328019826032041"/>
    <n v="71"/>
    <n v="120"/>
    <n v="2.9596841116889915E-29"/>
    <n v="-2.9596841116889915E-29"/>
  </r>
  <r>
    <x v="178"/>
    <x v="1"/>
    <s v="scott-12"/>
    <s v="WR-3"/>
    <n v="12"/>
    <n v="5.49"/>
    <n v="20.070399999999999"/>
    <s v="WR"/>
    <x v="0"/>
    <x v="9"/>
    <n v="109.82"/>
    <n v="367.76499999999999"/>
    <s v="perry-12"/>
    <x v="10"/>
    <n v="117.67999999999999"/>
    <n v="426.54240000000004"/>
    <n v="0.39016577980232847"/>
    <n v="0.48065198047857277"/>
    <n v="9.0486200676244299E-2"/>
    <n v="88"/>
    <n v="131"/>
    <n v="1.0798431397411223E-28"/>
    <n v="-1.0798431397411223E-28"/>
  </r>
  <r>
    <x v="154"/>
    <x v="0"/>
    <s v="scott-10"/>
    <s v="WR/RB"/>
    <n v="15"/>
    <n v="10.72"/>
    <n v="37.21"/>
    <s v="WR/RB"/>
    <x v="0"/>
    <x v="9"/>
    <n v="101.17"/>
    <n v="351.19740000000002"/>
    <s v="comp-10"/>
    <x v="8"/>
    <n v="99.050000000000011"/>
    <n v="345.4212"/>
    <n v="0.53200969987678148"/>
    <n v="0.59840908484296951"/>
    <n v="6.6399384966188024E-2"/>
    <n v="67"/>
    <n v="130"/>
    <n v="1.3768337129705295E-28"/>
    <n v="-1.3768337129705295E-28"/>
  </r>
  <r>
    <x v="174"/>
    <x v="0"/>
    <s v="scott-10"/>
    <s v="WR-1"/>
    <n v="4"/>
    <n v="8.7200000000000006"/>
    <n v="28.196100000000001"/>
    <s v="WR"/>
    <x v="0"/>
    <x v="9"/>
    <n v="101.17"/>
    <n v="351.19740000000002"/>
    <s v="comp-10"/>
    <x v="8"/>
    <n v="99.050000000000011"/>
    <n v="345.4212"/>
    <n v="0.53200969987678148"/>
    <n v="0.45994780266052843"/>
    <n v="-7.2061897216253057E-2"/>
    <n v="67"/>
    <n v="130"/>
    <n v="2.5058918065920232E-28"/>
    <n v="-2.5058918065920232E-28"/>
  </r>
  <r>
    <x v="113"/>
    <x v="1"/>
    <s v="scott-12"/>
    <s v="WR/RB"/>
    <n v="10"/>
    <n v="4.3600000000000003"/>
    <n v="20.1601"/>
    <s v="WR/RB"/>
    <x v="0"/>
    <x v="9"/>
    <n v="109.82"/>
    <n v="367.76499999999999"/>
    <s v="perry-12"/>
    <x v="10"/>
    <n v="117.67999999999999"/>
    <n v="426.54240000000004"/>
    <n v="0.39016577980232847"/>
    <n v="0.46820267169382557"/>
    <n v="7.8036891891497095E-2"/>
    <n v="88"/>
    <n v="131"/>
    <n v="1.2012757736927548E-27"/>
    <n v="-1.2012757736927548E-27"/>
  </r>
  <r>
    <x v="174"/>
    <x v="1"/>
    <s v="scott-12"/>
    <s v="WR-1"/>
    <n v="23"/>
    <n v="10.52"/>
    <n v="27.2484"/>
    <s v="WR"/>
    <x v="0"/>
    <x v="9"/>
    <n v="109.82"/>
    <n v="367.76499999999999"/>
    <s v="perry-12"/>
    <x v="10"/>
    <n v="117.67999999999999"/>
    <n v="426.54240000000004"/>
    <n v="0.39016577980232847"/>
    <n v="0.56624105734052144"/>
    <n v="0.17607527753819296"/>
    <n v="88"/>
    <n v="131"/>
    <n v="1.0998190659402167E-26"/>
    <n v="-1.0998190659402167E-26"/>
  </r>
  <r>
    <x v="91"/>
    <x v="11"/>
    <s v="aj-1"/>
    <s v="RB-2"/>
    <n v="4"/>
    <n v="7.84"/>
    <n v="18.489999999999998"/>
    <s v="RB"/>
    <x v="2"/>
    <x v="6"/>
    <n v="90.7"/>
    <n v="347.93650000000002"/>
    <s v="scott-1"/>
    <x v="5"/>
    <n v="102.78"/>
    <n v="382.14119999999997"/>
    <n v="0.32740970845919121"/>
    <n v="0.27532044399802169"/>
    <n v="-5.2089264461169515E-2"/>
    <n v="71"/>
    <n v="120"/>
    <n v="4.2138909381131845E-26"/>
    <n v="-4.2138909381131845E-26"/>
  </r>
  <r>
    <x v="102"/>
    <x v="1"/>
    <s v="aj-12"/>
    <s v="TE-1"/>
    <n v="12"/>
    <n v="6.35"/>
    <n v="20.430399999999999"/>
    <s v="TE"/>
    <x v="3"/>
    <x v="6"/>
    <n v="111.09"/>
    <n v="408.5095"/>
    <s v="comp-12"/>
    <x v="8"/>
    <n v="98.639999999999986"/>
    <n v="309.06870000000004"/>
    <n v="0.67895062778258408"/>
    <n v="0.75349009355473351"/>
    <n v="7.4539465772149427E-2"/>
    <n v="84"/>
    <n v="125"/>
    <n v="2.8375211175284352E-25"/>
    <n v="-2.8375211175284352E-25"/>
  </r>
  <r>
    <x v="6"/>
    <x v="4"/>
    <s v="jason-8"/>
    <s v="K"/>
    <n v="10"/>
    <n v="7.24"/>
    <n v="15.602499999999999"/>
    <s v="K"/>
    <x v="1"/>
    <x v="4"/>
    <n v="93.289999999999992"/>
    <n v="315.97840000000008"/>
    <e v="#N/A"/>
    <x v="6"/>
    <n v="0"/>
    <n v="0"/>
    <n v="0.99999992318369246"/>
    <n v="0.99999998504633747"/>
    <n v="6.1862645006627304E-8"/>
    <n v="75"/>
    <n v="0"/>
    <n v="1"/>
    <n v="0"/>
  </r>
  <r>
    <x v="150"/>
    <x v="0"/>
    <s v="scott-10"/>
    <s v="RB-2"/>
    <n v="5"/>
    <n v="12.67"/>
    <n v="30.1401"/>
    <s v="RB"/>
    <x v="2"/>
    <x v="9"/>
    <n v="101.17"/>
    <n v="351.19740000000002"/>
    <s v="comp-10"/>
    <x v="8"/>
    <n v="99.050000000000011"/>
    <n v="345.4212"/>
    <n v="0.53200969987678148"/>
    <n v="0.41489109835795973"/>
    <n v="-0.11711860151882175"/>
    <n v="67"/>
    <n v="130"/>
    <n v="3.4445498690493994E-24"/>
    <n v="-3.4445498690493994E-24"/>
  </r>
  <r>
    <x v="5"/>
    <x v="7"/>
    <s v="chad-5"/>
    <s v="TE-1"/>
    <n v="9"/>
    <n v="7.4"/>
    <n v="28.408899999999999"/>
    <s v="TE"/>
    <x v="3"/>
    <x v="3"/>
    <n v="103.98"/>
    <n v="400.98380000000003"/>
    <s v="comp-5"/>
    <x v="8"/>
    <n v="98.17"/>
    <n v="359.81479999999999"/>
    <n v="0.58341598360206426"/>
    <n v="0.60788414512821465"/>
    <n v="2.4468161526150389E-2"/>
    <n v="71"/>
    <n v="121"/>
    <n v="1.8148323105541111E-22"/>
    <n v="-1.8148323105541111E-22"/>
  </r>
  <r>
    <x v="172"/>
    <x v="1"/>
    <s v="aj-12"/>
    <s v="K"/>
    <n v="5"/>
    <n v="8.5500000000000007"/>
    <n v="15.444900000000001"/>
    <s v="K"/>
    <x v="1"/>
    <x v="6"/>
    <n v="111.09"/>
    <n v="408.5095"/>
    <s v="comp-12"/>
    <x v="8"/>
    <n v="98.639999999999986"/>
    <n v="309.06870000000004"/>
    <n v="0.67895062778258408"/>
    <n v="0.63151817618119466"/>
    <n v="-4.7432451601389425E-2"/>
    <n v="84"/>
    <n v="125"/>
    <n v="7.9202579567253068E-22"/>
    <n v="-7.9202579567253068E-22"/>
  </r>
  <r>
    <x v="3"/>
    <x v="10"/>
    <s v="comp-2"/>
    <s v="K"/>
    <n v="8"/>
    <n v="7.35"/>
    <n v="12.040900000000001"/>
    <s v="K"/>
    <x v="1"/>
    <x v="2"/>
    <n v="103.61999999999999"/>
    <n v="357.30130000000003"/>
    <s v="cory-2"/>
    <x v="4"/>
    <n v="102.7"/>
    <n v="377.5104"/>
    <n v="0.51353712670419016"/>
    <n v="0.52328426995327004"/>
    <n v="9.7471432490798815E-3"/>
    <n v="65"/>
    <n v="97"/>
    <n v="2.4991160122628069E-21"/>
    <n v="-2.4991160122628069E-21"/>
  </r>
  <r>
    <x v="42"/>
    <x v="7"/>
    <s v="chad-5"/>
    <s v="QB-1"/>
    <n v="27"/>
    <n v="15.85"/>
    <n v="42.380099999999999"/>
    <s v="QB"/>
    <x v="4"/>
    <x v="3"/>
    <n v="103.98"/>
    <n v="400.98380000000003"/>
    <s v="comp-5"/>
    <x v="8"/>
    <n v="98.17"/>
    <n v="359.81479999999999"/>
    <n v="0.58341598360206426"/>
    <n v="0.73655389422616302"/>
    <n v="0.15313791062409876"/>
    <n v="71"/>
    <n v="121"/>
    <n v="2.9090863466657095E-21"/>
    <n v="-2.9090863466657095E-21"/>
  </r>
  <r>
    <x v="88"/>
    <x v="1"/>
    <s v="aj-12"/>
    <s v="QB-1"/>
    <n v="30"/>
    <n v="19.760000000000002"/>
    <n v="29.9209"/>
    <s v="QB"/>
    <x v="4"/>
    <x v="6"/>
    <n v="111.09"/>
    <n v="408.5095"/>
    <s v="comp-12"/>
    <x v="8"/>
    <n v="98.639999999999986"/>
    <n v="309.06870000000004"/>
    <n v="0.67895062778258408"/>
    <n v="0.8065529556581158"/>
    <n v="0.12760232787553172"/>
    <n v="84"/>
    <n v="125"/>
    <n v="3.7149878965260343E-21"/>
    <n v="-3.7149878965260343E-21"/>
  </r>
  <r>
    <x v="48"/>
    <x v="6"/>
    <s v="devon-11"/>
    <s v="WR/RB"/>
    <n v="8"/>
    <n v="7.29"/>
    <n v="25.100100000000001"/>
    <s v="WR/RB"/>
    <x v="0"/>
    <x v="8"/>
    <n v="100.25"/>
    <n v="448.76889999999997"/>
    <s v="scott-11"/>
    <x v="5"/>
    <n v="105.39999999999999"/>
    <n v="342.09739999999999"/>
    <n v="0.42734863744074048"/>
    <n v="0.43626400812010696"/>
    <n v="8.9153706793664855E-3"/>
    <n v="78"/>
    <n v="124"/>
    <n v="5.6360138386243394E-21"/>
    <n v="-5.6360138386243394E-21"/>
  </r>
  <r>
    <x v="173"/>
    <x v="12"/>
    <s v="scott-6"/>
    <s v="TE-1"/>
    <n v="7"/>
    <n v="5.3"/>
    <n v="14.8225"/>
    <s v="TE"/>
    <x v="3"/>
    <x v="9"/>
    <n v="110.30999999999999"/>
    <n v="388.52729999999997"/>
    <s v="seth-6"/>
    <x v="0"/>
    <n v="90.009999999999991"/>
    <n v="295.93350000000004"/>
    <n v="0.78110442116748435"/>
    <n v="0.80238294925801834"/>
    <n v="2.1278528090533988E-2"/>
    <n v="96"/>
    <n v="130"/>
    <n v="9.0722963184733742E-21"/>
    <n v="-9.0722963184733742E-21"/>
  </r>
  <r>
    <x v="63"/>
    <x v="4"/>
    <s v="perry-8"/>
    <s v="K"/>
    <n v="8"/>
    <n v="8.77"/>
    <n v="14.0625"/>
    <s v="K"/>
    <x v="1"/>
    <x v="7"/>
    <n v="115.82"/>
    <n v="434.36700000000002"/>
    <s v="comp-8"/>
    <x v="8"/>
    <n v="100.87"/>
    <n v="421.5641"/>
    <n v="0.69532483792586408"/>
    <n v="0.68747762366935572"/>
    <n v="-7.8472142565083614E-3"/>
    <n v="80"/>
    <n v="115"/>
    <n v="3.4888190250687076E-20"/>
    <n v="-3.4888190250687076E-20"/>
  </r>
  <r>
    <x v="207"/>
    <x v="3"/>
    <s v="jason-3"/>
    <s v="WR/RB"/>
    <n v="2"/>
    <n v="4.0599999999999996"/>
    <n v="13.1044"/>
    <s v="WR/RB"/>
    <x v="0"/>
    <x v="4"/>
    <n v="99.87"/>
    <n v="418.53290000000004"/>
    <e v="#N/A"/>
    <x v="6"/>
    <n v="0"/>
    <n v="0"/>
    <n v="0.99999947409897594"/>
    <n v="0.99999940606098259"/>
    <n v="-6.803799335042271E-8"/>
    <n v="53"/>
    <n v="0"/>
    <n v="1"/>
    <n v="0"/>
  </r>
  <r>
    <x v="75"/>
    <x v="7"/>
    <s v="chad-5"/>
    <s v="RB-2"/>
    <n v="4"/>
    <n v="8.2799999999999994"/>
    <n v="25.704899999999999"/>
    <s v="RB"/>
    <x v="2"/>
    <x v="3"/>
    <n v="103.98"/>
    <n v="400.98380000000003"/>
    <s v="comp-5"/>
    <x v="8"/>
    <n v="98.17"/>
    <n v="359.81479999999999"/>
    <n v="0.58341598360206426"/>
    <n v="0.52250088986857146"/>
    <n v="-6.0915093733492798E-2"/>
    <n v="71"/>
    <n v="121"/>
    <n v="9.5994637908666037E-20"/>
    <n v="-9.5994637908666037E-20"/>
  </r>
  <r>
    <x v="142"/>
    <x v="10"/>
    <s v="jason-2"/>
    <s v="WR-1"/>
    <n v="7"/>
    <n v="8.8000000000000007"/>
    <n v="20.1601"/>
    <s v="WR"/>
    <x v="0"/>
    <x v="4"/>
    <n v="103.97000000000001"/>
    <n v="402.37729999999999"/>
    <e v="#N/A"/>
    <x v="6"/>
    <n v="0"/>
    <n v="0"/>
    <n v="0.9999998908980352"/>
    <n v="0.99999991338548111"/>
    <n v="2.2487445905383652E-8"/>
    <n v="60"/>
    <n v="0"/>
    <n v="1"/>
    <n v="0"/>
  </r>
  <r>
    <x v="208"/>
    <x v="3"/>
    <s v="perry-3"/>
    <s v="WR/RB"/>
    <n v="10"/>
    <n v="6.33"/>
    <n v="14.212899999999999"/>
    <s v="WR/RB"/>
    <x v="2"/>
    <x v="7"/>
    <n v="101.86999999999999"/>
    <n v="350.57169999999996"/>
    <s v="scott-3"/>
    <x v="5"/>
    <n v="110.35"/>
    <n v="442.53309999999999"/>
    <n v="0.38166388462507189"/>
    <n v="0.43158193857497196"/>
    <n v="4.9918053949900065E-2"/>
    <n v="102"/>
    <n v="132"/>
    <n v="2.1102175669533894E-19"/>
    <n v="-2.1102175669533894E-19"/>
  </r>
  <r>
    <x v="2"/>
    <x v="8"/>
    <s v="matty-9"/>
    <s v="WR-1"/>
    <n v="12"/>
    <n v="10.42"/>
    <n v="49.561599999999999"/>
    <s v="WR"/>
    <x v="0"/>
    <x v="0"/>
    <n v="94.12"/>
    <n v="378.32429999999999"/>
    <s v="chad-9"/>
    <x v="1"/>
    <n v="100.46000000000001"/>
    <n v="387.61320000000001"/>
    <n v="0.40940225853306977"/>
    <n v="0.42942318754362535"/>
    <n v="2.0020929010555577E-2"/>
    <n v="68"/>
    <n v="129"/>
    <n v="3.0773967146301202E-19"/>
    <n v="-3.0773967146301202E-19"/>
  </r>
  <r>
    <x v="131"/>
    <x v="2"/>
    <s v="jason-13"/>
    <s v="D/ST"/>
    <n v="2"/>
    <n v="2.39"/>
    <n v="18.922499999999999"/>
    <s v="D/ST"/>
    <x v="5"/>
    <x v="4"/>
    <n v="75.67"/>
    <n v="278.80779999999999"/>
    <e v="#N/A"/>
    <x v="6"/>
    <n v="0"/>
    <n v="0"/>
    <n v="0.9999970759175304"/>
    <n v="0.99999849178248046"/>
    <n v="1.4158649500606302E-6"/>
    <n v="59"/>
    <n v="0"/>
    <n v="1"/>
    <n v="0"/>
  </r>
  <r>
    <x v="80"/>
    <x v="3"/>
    <s v="jason-3"/>
    <s v="WR-2"/>
    <n v="9"/>
    <n v="7.12"/>
    <n v="17.556100000000001"/>
    <s v="WR"/>
    <x v="0"/>
    <x v="4"/>
    <n v="99.87"/>
    <n v="418.53290000000004"/>
    <e v="#N/A"/>
    <x v="6"/>
    <n v="0"/>
    <n v="0"/>
    <n v="0.99999947409897594"/>
    <n v="0.99999981256924542"/>
    <n v="3.3847026947864123E-7"/>
    <n v="53"/>
    <n v="0"/>
    <n v="1"/>
    <n v="0"/>
  </r>
  <r>
    <x v="72"/>
    <x v="4"/>
    <s v="perry-8"/>
    <s v="WR/RB"/>
    <n v="12"/>
    <n v="8.23"/>
    <n v="19.4481"/>
    <s v="WR/RB"/>
    <x v="2"/>
    <x v="7"/>
    <n v="115.82"/>
    <n v="434.36700000000002"/>
    <s v="comp-8"/>
    <x v="8"/>
    <n v="100.87"/>
    <n v="421.5641"/>
    <n v="0.69532483792586408"/>
    <n v="0.74126744190396654"/>
    <n v="4.5942603978102459E-2"/>
    <n v="80"/>
    <n v="115"/>
    <n v="7.3864864679009206E-19"/>
    <n v="-7.3864864679009206E-19"/>
  </r>
  <r>
    <x v="154"/>
    <x v="12"/>
    <s v="scott-6"/>
    <s v="WR-3"/>
    <n v="15"/>
    <n v="9.01"/>
    <n v="20.884899999999998"/>
    <s v="WR"/>
    <x v="0"/>
    <x v="9"/>
    <n v="110.30999999999999"/>
    <n v="388.52729999999997"/>
    <s v="seth-6"/>
    <x v="0"/>
    <n v="90.009999999999991"/>
    <n v="295.93350000000004"/>
    <n v="0.78110442116748435"/>
    <n v="0.84627227993360443"/>
    <n v="6.5167858766120079E-2"/>
    <n v="96"/>
    <n v="130"/>
    <n v="1.0616048124339021E-18"/>
    <n v="-1.0616048124339021E-18"/>
  </r>
  <r>
    <x v="80"/>
    <x v="4"/>
    <s v="jason-8"/>
    <s v="WR-1"/>
    <n v="15"/>
    <n v="9.06"/>
    <n v="25.401599999999998"/>
    <s v="WR"/>
    <x v="0"/>
    <x v="4"/>
    <n v="93.289999999999992"/>
    <n v="315.97840000000008"/>
    <e v="#N/A"/>
    <x v="6"/>
    <n v="0"/>
    <n v="0"/>
    <n v="0.99999992318369246"/>
    <n v="0.99999999707867038"/>
    <n v="7.3894977914434889E-8"/>
    <n v="75"/>
    <n v="0"/>
    <n v="1"/>
    <n v="0"/>
  </r>
  <r>
    <x v="145"/>
    <x v="0"/>
    <s v="scott-10"/>
    <s v="RB-1"/>
    <n v="0"/>
    <n v="12.84"/>
    <n v="34.81"/>
    <s v="RB"/>
    <x v="2"/>
    <x v="9"/>
    <n v="101.17"/>
    <n v="351.19740000000002"/>
    <s v="comp-10"/>
    <x v="8"/>
    <n v="99.050000000000011"/>
    <n v="345.4212"/>
    <n v="0.53200969987678148"/>
    <n v="0.33844714375424756"/>
    <n v="-0.19356255612253392"/>
    <n v="67"/>
    <n v="130"/>
    <n v="9.3421163703143342E-18"/>
    <n v="-9.3421163703143342E-18"/>
  </r>
  <r>
    <x v="204"/>
    <x v="6"/>
    <s v="jason-11"/>
    <s v="WR-3"/>
    <n v="5"/>
    <n v="6.57"/>
    <n v="15.6816"/>
    <s v="WR"/>
    <x v="0"/>
    <x v="4"/>
    <n v="98.88000000000001"/>
    <n v="375.05889999999999"/>
    <e v="#N/A"/>
    <x v="6"/>
    <n v="0"/>
    <n v="0"/>
    <n v="0.99999983524900793"/>
    <n v="0.99999985751753673"/>
    <n v="2.2268528798718989E-8"/>
    <n v="50"/>
    <n v="0"/>
    <n v="1"/>
    <n v="0"/>
  </r>
  <r>
    <x v="59"/>
    <x v="9"/>
    <s v="comp-4"/>
    <s v="TE-1"/>
    <n v="6"/>
    <n v="6.24"/>
    <n v="16.4025"/>
    <s v="TE"/>
    <x v="3"/>
    <x v="2"/>
    <n v="103.70000000000002"/>
    <n v="412.10110000000003"/>
    <s v="aj-4"/>
    <x v="2"/>
    <n v="118.09999999999998"/>
    <n v="465.47660000000008"/>
    <n v="0.31345048172071355"/>
    <n v="0.30893227546670776"/>
    <n v="-4.5182062540057855E-3"/>
    <n v="46"/>
    <n v="80"/>
    <n v="3.8487166741807852E-17"/>
    <n v="-3.8487166741807852E-17"/>
  </r>
  <r>
    <x v="128"/>
    <x v="0"/>
    <s v="scott-10"/>
    <s v="QB-1"/>
    <n v="22"/>
    <n v="20.12"/>
    <n v="61.465600000000002"/>
    <s v="QB"/>
    <x v="4"/>
    <x v="9"/>
    <n v="101.17"/>
    <n v="351.19740000000002"/>
    <s v="comp-10"/>
    <x v="8"/>
    <n v="99.050000000000011"/>
    <n v="345.4212"/>
    <n v="0.53200969987678148"/>
    <n v="0.56305369917859593"/>
    <n v="3.1043999301814451E-2"/>
    <n v="67"/>
    <n v="130"/>
    <n v="6.3953371559419615E-17"/>
    <n v="-6.3953371559419615E-17"/>
  </r>
  <r>
    <x v="202"/>
    <x v="2"/>
    <s v="jason-13"/>
    <s v="K"/>
    <n v="2"/>
    <n v="8.52"/>
    <n v="15.602499999999999"/>
    <s v="K"/>
    <x v="1"/>
    <x v="4"/>
    <n v="75.67"/>
    <n v="278.80779999999999"/>
    <e v="#N/A"/>
    <x v="6"/>
    <n v="0"/>
    <n v="0"/>
    <n v="0.9999970759175304"/>
    <n v="0.99998988370208508"/>
    <n v="-7.1922154453174514E-6"/>
    <n v="59"/>
    <n v="0"/>
    <n v="1"/>
    <n v="0"/>
  </r>
  <r>
    <x v="80"/>
    <x v="10"/>
    <s v="jason-2"/>
    <s v="WR-3"/>
    <n v="2"/>
    <n v="6.15"/>
    <n v="21.3444"/>
    <s v="WR"/>
    <x v="0"/>
    <x v="4"/>
    <n v="103.97000000000001"/>
    <n v="402.37729999999999"/>
    <e v="#N/A"/>
    <x v="6"/>
    <n v="0"/>
    <n v="0"/>
    <n v="0.9999998908980352"/>
    <n v="0.99999984205618209"/>
    <n v="-4.8841853117487233E-8"/>
    <n v="60"/>
    <n v="0"/>
    <n v="1"/>
    <n v="0"/>
  </r>
  <r>
    <x v="46"/>
    <x v="6"/>
    <s v="seth-11"/>
    <s v="K"/>
    <n v="17"/>
    <n v="7.15"/>
    <n v="13.3225"/>
    <s v="K"/>
    <x v="1"/>
    <x v="1"/>
    <n v="98.329999999999984"/>
    <n v="378.70709999999997"/>
    <s v="aj-11"/>
    <x v="2"/>
    <n v="110.11"/>
    <n v="412.79880000000003"/>
    <n v="0.33771232413612995"/>
    <n v="0.47242090351864302"/>
    <n v="0.13470857938251307"/>
    <n v="111"/>
    <n v="131"/>
    <n v="1.441985166866834E-16"/>
    <n v="-1.441985166866834E-16"/>
  </r>
  <r>
    <x v="12"/>
    <x v="3"/>
    <s v="devon-3"/>
    <s v="D/ST"/>
    <n v="3"/>
    <n v="8.6999999999999993"/>
    <n v="44.089599999999997"/>
    <s v="D/ST"/>
    <x v="5"/>
    <x v="8"/>
    <n v="110.36"/>
    <n v="421.178"/>
    <s v="chad-3"/>
    <x v="1"/>
    <n v="99.23"/>
    <n v="414.92009999999999"/>
    <n v="0.64985036548815633"/>
    <n v="0.57649921890249622"/>
    <n v="-7.335114658566011E-2"/>
    <n v="63"/>
    <n v="123"/>
    <n v="1.4464347617448184E-16"/>
    <n v="-1.4464347617448184E-16"/>
  </r>
  <r>
    <x v="96"/>
    <x v="11"/>
    <s v="aj-1"/>
    <s v="RB-1"/>
    <n v="5"/>
    <n v="7.25"/>
    <n v="32.718400000000003"/>
    <s v="RB"/>
    <x v="2"/>
    <x v="6"/>
    <n v="90.7"/>
    <n v="347.93650000000002"/>
    <s v="scott-1"/>
    <x v="5"/>
    <n v="102.78"/>
    <n v="382.14119999999997"/>
    <n v="0.32740970845919121"/>
    <n v="0.2936862271631297"/>
    <n v="-3.3723481296061508E-2"/>
    <n v="71"/>
    <n v="120"/>
    <n v="1.5031108565087372E-16"/>
    <n v="-1.5031108565087372E-16"/>
  </r>
  <r>
    <x v="57"/>
    <x v="8"/>
    <s v="matty-9"/>
    <s v="D/ST"/>
    <n v="10"/>
    <n v="10.220000000000001"/>
    <n v="56.25"/>
    <s v="D/ST"/>
    <x v="5"/>
    <x v="0"/>
    <n v="94.12"/>
    <n v="378.32429999999999"/>
    <s v="chad-9"/>
    <x v="1"/>
    <n v="100.46000000000001"/>
    <n v="387.61320000000001"/>
    <n v="0.40940225853306977"/>
    <n v="0.40274566806056"/>
    <n v="-6.6565904725097713E-3"/>
    <n v="68"/>
    <n v="129"/>
    <n v="2.6590552790929366E-16"/>
    <n v="-2.6590552790929366E-16"/>
  </r>
  <r>
    <x v="35"/>
    <x v="6"/>
    <s v="devon-11"/>
    <s v="WR-2"/>
    <n v="13"/>
    <n v="9.51"/>
    <n v="37.699599999999997"/>
    <s v="WR"/>
    <x v="0"/>
    <x v="8"/>
    <n v="100.25"/>
    <n v="448.76889999999997"/>
    <s v="scott-11"/>
    <x v="5"/>
    <n v="105.39999999999999"/>
    <n v="342.09739999999999"/>
    <n v="0.42734863744074048"/>
    <n v="0.47588385764003016"/>
    <n v="4.8535220199289686E-2"/>
    <n v="78"/>
    <n v="124"/>
    <n v="3.8065990187491187E-16"/>
    <n v="-3.8065990187491187E-16"/>
  </r>
  <r>
    <x v="41"/>
    <x v="6"/>
    <s v="devon-11"/>
    <s v="RB-2"/>
    <n v="12"/>
    <n v="6.81"/>
    <n v="41.088099999999997"/>
    <s v="RB"/>
    <x v="2"/>
    <x v="8"/>
    <n v="100.25"/>
    <n v="448.76889999999997"/>
    <s v="scott-11"/>
    <x v="5"/>
    <n v="105.39999999999999"/>
    <n v="342.09739999999999"/>
    <n v="0.42734863744074048"/>
    <n v="0.50058277846895671"/>
    <n v="7.3234141028216238E-2"/>
    <n v="78"/>
    <n v="124"/>
    <n v="6.9716766084286561E-16"/>
    <n v="-6.9716766084286561E-16"/>
  </r>
  <r>
    <x v="56"/>
    <x v="11"/>
    <s v="aj-1"/>
    <s v="WR-1"/>
    <n v="4"/>
    <n v="8.5399999999999991"/>
    <n v="31.696899999999999"/>
    <s v="WR"/>
    <x v="0"/>
    <x v="6"/>
    <n v="90.7"/>
    <n v="347.93650000000002"/>
    <s v="scott-1"/>
    <x v="5"/>
    <n v="102.78"/>
    <n v="382.14119999999997"/>
    <n v="0.32740970845919121"/>
    <n v="0.26470570856173048"/>
    <n v="-6.2703999897460727E-2"/>
    <n v="71"/>
    <n v="120"/>
    <n v="1.4287057078583569E-15"/>
    <n v="-1.4287057078583569E-15"/>
  </r>
  <r>
    <x v="209"/>
    <x v="1"/>
    <s v="scott-12"/>
    <s v="TE-1"/>
    <n v="0"/>
    <n v="7.27"/>
    <n v="20.611599999999999"/>
    <s v="TE"/>
    <x v="3"/>
    <x v="9"/>
    <n v="109.82"/>
    <n v="367.76499999999999"/>
    <s v="perry-12"/>
    <x v="10"/>
    <n v="117.67999999999999"/>
    <n v="426.54240000000004"/>
    <n v="0.39016577980232847"/>
    <n v="0.29324016943478509"/>
    <n v="-9.692561036754338E-2"/>
    <n v="88"/>
    <n v="131"/>
    <n v="1.7725819750986667E-15"/>
    <n v="-1.7725819750986667E-15"/>
  </r>
  <r>
    <x v="111"/>
    <x v="1"/>
    <s v="jason-12"/>
    <s v="QB-1"/>
    <n v="3"/>
    <n v="17.18"/>
    <n v="75.168899999999994"/>
    <s v="QB"/>
    <x v="4"/>
    <x v="4"/>
    <n v="96.019999999999982"/>
    <n v="375.18639999999999"/>
    <e v="#N/A"/>
    <x v="6"/>
    <n v="0"/>
    <n v="0"/>
    <n v="0.99999964245431261"/>
    <n v="0.99999884883874279"/>
    <n v="-7.9361556981627501E-7"/>
    <n v="73"/>
    <n v="0"/>
    <n v="1"/>
    <n v="0"/>
  </r>
  <r>
    <x v="188"/>
    <x v="10"/>
    <s v="scott-2"/>
    <s v="K"/>
    <n v="5"/>
    <n v="7.79"/>
    <n v="15.9201"/>
    <s v="K"/>
    <x v="1"/>
    <x v="9"/>
    <n v="103.25"/>
    <n v="377.00829999999996"/>
    <s v="devon-2"/>
    <x v="7"/>
    <n v="100.92999999999999"/>
    <n v="374.85250000000002"/>
    <n v="0.53371408733680603"/>
    <n v="0.49308861975806695"/>
    <n v="-4.0625467578739083E-2"/>
    <n v="106"/>
    <n v="140"/>
    <n v="2.5983917858521876E-15"/>
    <n v="-2.5983917858521876E-15"/>
  </r>
  <r>
    <x v="210"/>
    <x v="11"/>
    <s v="aj-1"/>
    <s v="WR-2"/>
    <n v="1"/>
    <n v="8.06"/>
    <n v="28.944400000000002"/>
    <s v="WR"/>
    <x v="0"/>
    <x v="6"/>
    <n v="90.7"/>
    <n v="347.93650000000002"/>
    <s v="scott-1"/>
    <x v="5"/>
    <n v="102.78"/>
    <n v="382.14119999999997"/>
    <n v="0.32740970845919121"/>
    <n v="0.23488937122748849"/>
    <n v="-9.2520337231702721E-2"/>
    <n v="71"/>
    <n v="120"/>
    <n v="3.2067054086454103E-15"/>
    <n v="-3.2067054086454103E-15"/>
  </r>
  <r>
    <x v="107"/>
    <x v="4"/>
    <s v="perry-8"/>
    <s v="WR-2"/>
    <n v="16"/>
    <n v="6.89"/>
    <n v="32.035600000000002"/>
    <s v="WR"/>
    <x v="0"/>
    <x v="7"/>
    <n v="115.82"/>
    <n v="434.36700000000002"/>
    <s v="comp-8"/>
    <x v="8"/>
    <n v="100.87"/>
    <n v="421.5641"/>
    <n v="0.69532483792586408"/>
    <n v="0.79904725556977008"/>
    <n v="0.103722417643906"/>
    <n v="80"/>
    <n v="115"/>
    <n v="3.2644250009997662E-15"/>
    <n v="-3.2644250009997662E-15"/>
  </r>
  <r>
    <x v="165"/>
    <x v="7"/>
    <s v="chad-5"/>
    <s v="WR-2"/>
    <n v="9"/>
    <n v="9.58"/>
    <n v="40.832099999999997"/>
    <s v="WR"/>
    <x v="0"/>
    <x v="3"/>
    <n v="103.98"/>
    <n v="400.98380000000003"/>
    <s v="comp-5"/>
    <x v="8"/>
    <n v="98.17"/>
    <n v="359.81479999999999"/>
    <n v="0.58341598360206426"/>
    <n v="0.57727030399137891"/>
    <n v="-6.1456796106853506E-3"/>
    <n v="71"/>
    <n v="121"/>
    <n v="5.2126183066785219E-15"/>
    <n v="-5.2126183066785219E-15"/>
  </r>
  <r>
    <x v="131"/>
    <x v="4"/>
    <s v="jason-8"/>
    <s v="D/ST"/>
    <n v="14"/>
    <n v="8.36"/>
    <n v="31.922499999999999"/>
    <s v="D/ST"/>
    <x v="5"/>
    <x v="4"/>
    <n v="93.289999999999992"/>
    <n v="315.97840000000008"/>
    <e v="#N/A"/>
    <x v="6"/>
    <n v="0"/>
    <n v="0"/>
    <n v="0.99999992318369246"/>
    <n v="0.99999999781889171"/>
    <n v="7.4635199243111572E-8"/>
    <n v="75"/>
    <n v="0"/>
    <n v="1"/>
    <n v="0"/>
  </r>
  <r>
    <x v="72"/>
    <x v="2"/>
    <s v="perry-13"/>
    <s v="WR/RB"/>
    <n v="24"/>
    <n v="12.68"/>
    <n v="34.692100000000003"/>
    <s v="WR/RB"/>
    <x v="2"/>
    <x v="7"/>
    <n v="108.77"/>
    <n v="411.30060000000003"/>
    <s v="devon-13"/>
    <x v="7"/>
    <n v="97.46"/>
    <n v="368.81949999999995"/>
    <n v="0.6572361742103181"/>
    <n v="0.79640846566877377"/>
    <n v="0.13917229145845567"/>
    <n v="99"/>
    <n v="133"/>
    <n v="7.1081348034219939E-15"/>
    <n v="-7.1081348034219939E-15"/>
  </r>
  <r>
    <x v="15"/>
    <x v="1"/>
    <s v="aj-12"/>
    <s v="WR-1"/>
    <n v="3"/>
    <n v="7.23"/>
    <n v="22.944099999999999"/>
    <s v="WR"/>
    <x v="0"/>
    <x v="6"/>
    <n v="111.09"/>
    <n v="408.5095"/>
    <s v="comp-12"/>
    <x v="8"/>
    <n v="98.639999999999986"/>
    <n v="309.06870000000004"/>
    <n v="0.67895062778258408"/>
    <n v="0.62243584219123482"/>
    <n v="-5.6514785591349259E-2"/>
    <n v="84"/>
    <n v="125"/>
    <n v="8.180497301218525E-15"/>
    <n v="-8.180497301218525E-15"/>
  </r>
  <r>
    <x v="28"/>
    <x v="8"/>
    <s v="matty-9"/>
    <s v="RB-2"/>
    <n v="1"/>
    <n v="8.7799999999999994"/>
    <n v="48.441600000000001"/>
    <s v="RB"/>
    <x v="2"/>
    <x v="0"/>
    <n v="94.12"/>
    <n v="378.32429999999999"/>
    <s v="chad-9"/>
    <x v="1"/>
    <n v="100.46000000000001"/>
    <n v="387.61320000000001"/>
    <n v="0.40940225853306977"/>
    <n v="0.29904860163781721"/>
    <n v="-0.11035365689525256"/>
    <n v="68"/>
    <n v="129"/>
    <n v="1.0322022194450304E-14"/>
    <n v="-1.0322022194450304E-14"/>
  </r>
  <r>
    <x v="64"/>
    <x v="2"/>
    <s v="perry-13"/>
    <s v="WR-1"/>
    <n v="12"/>
    <n v="8.08"/>
    <n v="24.700900000000001"/>
    <s v="WR"/>
    <x v="0"/>
    <x v="7"/>
    <n v="108.77"/>
    <n v="411.30060000000003"/>
    <s v="devon-13"/>
    <x v="7"/>
    <n v="97.46"/>
    <n v="368.81949999999995"/>
    <n v="0.6572361742103181"/>
    <n v="0.71025254126047144"/>
    <n v="5.3016367050153335E-2"/>
    <n v="99"/>
    <n v="133"/>
    <n v="1.1757854117727483E-14"/>
    <n v="-1.1757854117727483E-14"/>
  </r>
  <r>
    <x v="211"/>
    <x v="4"/>
    <s v="perry-8"/>
    <s v="TE-1"/>
    <n v="4"/>
    <n v="5.42"/>
    <n v="19.6249"/>
    <s v="TE"/>
    <x v="3"/>
    <x v="7"/>
    <n v="115.82"/>
    <n v="434.36700000000002"/>
    <s v="comp-8"/>
    <x v="8"/>
    <n v="100.87"/>
    <n v="421.5641"/>
    <n v="0.69532483792586408"/>
    <n v="0.68005734528116424"/>
    <n v="-1.5267492644699843E-2"/>
    <n v="80"/>
    <n v="115"/>
    <n v="1.7259720511593305E-14"/>
    <n v="-1.7259720511593305E-14"/>
  </r>
  <r>
    <x v="81"/>
    <x v="2"/>
    <s v="jason-13"/>
    <s v="WR/RB"/>
    <n v="12"/>
    <n v="9.75"/>
    <n v="29.702500000000001"/>
    <s v="WR/RB"/>
    <x v="0"/>
    <x v="4"/>
    <n v="75.67"/>
    <n v="278.80779999999999"/>
    <e v="#N/A"/>
    <x v="6"/>
    <n v="0"/>
    <n v="0"/>
    <n v="0.9999970759175304"/>
    <n v="0.9999996032016405"/>
    <n v="2.5272841100987264E-6"/>
    <n v="59"/>
    <n v="0"/>
    <n v="1"/>
    <n v="0"/>
  </r>
  <r>
    <x v="93"/>
    <x v="7"/>
    <s v="chad-5"/>
    <s v="WR-3"/>
    <n v="0"/>
    <n v="9.2899999999999991"/>
    <n v="29.16"/>
    <s v="WR"/>
    <x v="0"/>
    <x v="3"/>
    <n v="103.98"/>
    <n v="400.98380000000003"/>
    <s v="comp-5"/>
    <x v="8"/>
    <n v="98.17"/>
    <n v="359.81479999999999"/>
    <n v="0.58341598360206426"/>
    <n v="0.44881482163700881"/>
    <n v="-0.13460116196505545"/>
    <n v="71"/>
    <n v="121"/>
    <n v="2.3699630183948656E-14"/>
    <n v="-2.3699630183948656E-14"/>
  </r>
  <r>
    <x v="212"/>
    <x v="10"/>
    <s v="jason-2"/>
    <s v="D/ST"/>
    <n v="10"/>
    <n v="7.43"/>
    <n v="35.046399999999998"/>
    <s v="D/ST"/>
    <x v="5"/>
    <x v="4"/>
    <n v="103.97000000000001"/>
    <n v="402.37729999999999"/>
    <e v="#N/A"/>
    <x v="6"/>
    <n v="0"/>
    <n v="0"/>
    <n v="0.9999998908980352"/>
    <n v="0.99999998642111276"/>
    <n v="9.5523077559001024E-8"/>
    <n v="60"/>
    <n v="0"/>
    <n v="1"/>
    <n v="0"/>
  </r>
  <r>
    <x v="213"/>
    <x v="10"/>
    <s v="jason-2"/>
    <s v="WR/RB"/>
    <n v="2"/>
    <n v="7.55"/>
    <n v="23.522500000000001"/>
    <s v="WR/RB"/>
    <x v="2"/>
    <x v="4"/>
    <n v="103.97000000000001"/>
    <n v="402.37729999999999"/>
    <e v="#N/A"/>
    <x v="6"/>
    <n v="0"/>
    <n v="0"/>
    <n v="0.9999998908980352"/>
    <n v="0.99999978644985021"/>
    <n v="-1.044481849898915E-7"/>
    <n v="60"/>
    <n v="0"/>
    <n v="1"/>
    <n v="0"/>
  </r>
  <r>
    <x v="123"/>
    <x v="3"/>
    <s v="perry-3"/>
    <s v="TE-1"/>
    <n v="1"/>
    <n v="4.1900000000000004"/>
    <n v="12.744899999999999"/>
    <s v="TE"/>
    <x v="3"/>
    <x v="7"/>
    <n v="101.86999999999999"/>
    <n v="350.57169999999996"/>
    <s v="scott-3"/>
    <x v="5"/>
    <n v="110.35"/>
    <n v="442.53309999999999"/>
    <n v="0.38166388462507189"/>
    <n v="0.33806252011707616"/>
    <n v="-4.3601364507995732E-2"/>
    <n v="102"/>
    <n v="132"/>
    <n v="2.9607994801588887E-14"/>
    <n v="-2.9607994801588887E-14"/>
  </r>
  <r>
    <x v="175"/>
    <x v="12"/>
    <s v="scott-6"/>
    <s v="K"/>
    <n v="5"/>
    <n v="7.36"/>
    <n v="17.977599999999999"/>
    <s v="K"/>
    <x v="1"/>
    <x v="9"/>
    <n v="110.30999999999999"/>
    <n v="388.52729999999997"/>
    <s v="seth-6"/>
    <x v="0"/>
    <n v="90.009999999999991"/>
    <n v="295.93350000000004"/>
    <n v="0.78110442116748435"/>
    <n v="0.75644378328298334"/>
    <n v="-2.4660637884501013E-2"/>
    <n v="96"/>
    <n v="130"/>
    <n v="4.2524081177602486E-14"/>
    <n v="-4.2524081177602486E-14"/>
  </r>
  <r>
    <x v="53"/>
    <x v="8"/>
    <s v="matty-9"/>
    <s v="QB-1"/>
    <n v="14"/>
    <n v="18.41"/>
    <n v="57.6081"/>
    <s v="QB"/>
    <x v="4"/>
    <x v="0"/>
    <n v="94.12"/>
    <n v="378.32429999999999"/>
    <s v="chad-9"/>
    <x v="1"/>
    <n v="100.46000000000001"/>
    <n v="387.61320000000001"/>
    <n v="0.40940225853306977"/>
    <n v="0.34313732260585605"/>
    <n v="-6.626493592721372E-2"/>
    <n v="68"/>
    <n v="129"/>
    <n v="4.4640747884859898E-14"/>
    <n v="-4.4640747884859898E-14"/>
  </r>
  <r>
    <x v="214"/>
    <x v="11"/>
    <s v="aj-1"/>
    <s v="TE-1"/>
    <n v="1"/>
    <n v="8.7899999999999991"/>
    <n v="30.5809"/>
    <s v="TE"/>
    <x v="3"/>
    <x v="6"/>
    <n v="90.7"/>
    <n v="347.93650000000002"/>
    <s v="scott-1"/>
    <x v="5"/>
    <n v="102.78"/>
    <n v="382.14119999999997"/>
    <n v="0.32740970845919121"/>
    <n v="0.22624042990943566"/>
    <n v="-0.10116927854975555"/>
    <n v="71"/>
    <n v="120"/>
    <n v="4.5940141110360048E-14"/>
    <n v="-4.5940141110360048E-14"/>
  </r>
  <r>
    <x v="196"/>
    <x v="2"/>
    <s v="perry-13"/>
    <s v="K"/>
    <n v="4"/>
    <n v="6.91"/>
    <n v="17.556100000000001"/>
    <s v="K"/>
    <x v="1"/>
    <x v="7"/>
    <n v="108.77"/>
    <n v="411.30060000000003"/>
    <s v="devon-13"/>
    <x v="7"/>
    <n v="97.46"/>
    <n v="368.81949999999995"/>
    <n v="0.6572361742103181"/>
    <n v="0.61950741573370083"/>
    <n v="-3.7728758476617275E-2"/>
    <n v="99"/>
    <n v="133"/>
    <n v="5.8539066029630878E-14"/>
    <n v="-5.8539066029630878E-14"/>
  </r>
  <r>
    <x v="6"/>
    <x v="10"/>
    <s v="jason-2"/>
    <s v="K"/>
    <n v="3"/>
    <n v="8.86"/>
    <n v="23.814399999999999"/>
    <s v="K"/>
    <x v="1"/>
    <x v="4"/>
    <n v="103.97000000000001"/>
    <n v="402.37729999999999"/>
    <e v="#N/A"/>
    <x v="6"/>
    <n v="0"/>
    <n v="0"/>
    <n v="0.9999998908980352"/>
    <n v="0.99999977023252684"/>
    <n v="-1.2066550836298262E-7"/>
    <n v="60"/>
    <n v="0"/>
    <n v="1"/>
    <n v="0"/>
  </r>
  <r>
    <x v="45"/>
    <x v="3"/>
    <s v="devon-3"/>
    <s v="RB-1"/>
    <n v="15"/>
    <n v="16.8"/>
    <n v="62.0944"/>
    <s v="RB"/>
    <x v="2"/>
    <x v="8"/>
    <n v="110.36"/>
    <n v="421.178"/>
    <s v="chad-3"/>
    <x v="1"/>
    <n v="99.23"/>
    <n v="414.92009999999999"/>
    <n v="0.64985036548815633"/>
    <n v="0.63132290031339577"/>
    <n v="-1.852746517476056E-2"/>
    <n v="63"/>
    <n v="123"/>
    <n v="7.5777236126730478E-14"/>
    <n v="-7.5777236126730478E-14"/>
  </r>
  <r>
    <x v="149"/>
    <x v="6"/>
    <s v="chad-11"/>
    <s v="D/ST"/>
    <n v="23"/>
    <n v="3.95"/>
    <n v="46.24"/>
    <s v="D/ST"/>
    <x v="5"/>
    <x v="3"/>
    <n v="106.58"/>
    <n v="427.68610000000001"/>
    <s v="cory-11"/>
    <x v="4"/>
    <n v="102.11"/>
    <n v="431.97960000000006"/>
    <n v="0.56058610538956244"/>
    <n v="0.79521953277850366"/>
    <n v="0.23463342738894122"/>
    <n v="99"/>
    <n v="130"/>
    <n v="9.1752727692481321E-14"/>
    <n v="-9.1752727692481321E-14"/>
  </r>
  <r>
    <x v="33"/>
    <x v="3"/>
    <s v="devon-3"/>
    <s v="WR-2"/>
    <n v="0"/>
    <n v="11.34"/>
    <n v="45.832900000000002"/>
    <s v="WR"/>
    <x v="0"/>
    <x v="8"/>
    <n v="110.36"/>
    <n v="421.178"/>
    <s v="chad-3"/>
    <x v="1"/>
    <n v="99.23"/>
    <n v="414.92009999999999"/>
    <n v="0.64985036548815633"/>
    <n v="0.49701984472695954"/>
    <n v="-0.1528305207611968"/>
    <n v="63"/>
    <n v="123"/>
    <n v="3.2971906687638063E-13"/>
    <n v="-3.2971906687638063E-13"/>
  </r>
  <r>
    <x v="135"/>
    <x v="11"/>
    <s v="aj-1"/>
    <s v="WR/RB"/>
    <n v="5"/>
    <n v="8.0399999999999991"/>
    <n v="40.96"/>
    <s v="WR/RB"/>
    <x v="0"/>
    <x v="6"/>
    <n v="90.7"/>
    <n v="347.93650000000002"/>
    <s v="scott-1"/>
    <x v="5"/>
    <n v="102.78"/>
    <n v="382.14119999999997"/>
    <n v="0.32740970845919121"/>
    <n v="0.28231538758168229"/>
    <n v="-4.509432087750892E-2"/>
    <n v="71"/>
    <n v="120"/>
    <n v="3.4538452548266355E-13"/>
    <n v="-3.4538452548266355E-13"/>
  </r>
  <r>
    <x v="105"/>
    <x v="3"/>
    <s v="perry-3"/>
    <s v="WR-2"/>
    <n v="27"/>
    <n v="10.17"/>
    <n v="42.902500000000003"/>
    <s v="WR"/>
    <x v="0"/>
    <x v="7"/>
    <n v="101.86999999999999"/>
    <n v="350.57169999999996"/>
    <s v="scott-3"/>
    <x v="5"/>
    <n v="110.35"/>
    <n v="442.53309999999999"/>
    <n v="0.38166388462507189"/>
    <n v="0.61976276289282817"/>
    <n v="0.23809887826775628"/>
    <n v="102"/>
    <n v="132"/>
    <n v="4.3509757152173445E-13"/>
    <n v="-4.3509757152173445E-13"/>
  </r>
  <r>
    <x v="56"/>
    <x v="8"/>
    <s v="matty-9"/>
    <s v="WR-2"/>
    <n v="6"/>
    <n v="12.73"/>
    <n v="58.064399999999999"/>
    <s v="WR"/>
    <x v="0"/>
    <x v="0"/>
    <n v="94.12"/>
    <n v="378.32429999999999"/>
    <s v="chad-9"/>
    <x v="1"/>
    <n v="100.46000000000001"/>
    <n v="387.61320000000001"/>
    <n v="0.40940225853306977"/>
    <n v="0.31162669143742272"/>
    <n v="-9.7775567095647054E-2"/>
    <n v="68"/>
    <n v="129"/>
    <n v="5.3167795872520989E-13"/>
    <n v="-5.3167795872520989E-13"/>
  </r>
  <r>
    <x v="53"/>
    <x v="3"/>
    <s v="devon-3"/>
    <s v="QB-1"/>
    <n v="4"/>
    <n v="20.07"/>
    <n v="38.316099999999999"/>
    <s v="QB"/>
    <x v="4"/>
    <x v="8"/>
    <n v="110.36"/>
    <n v="421.178"/>
    <s v="chad-3"/>
    <x v="1"/>
    <n v="99.23"/>
    <n v="414.92009999999999"/>
    <n v="0.64985036548815633"/>
    <n v="0.43057989264642005"/>
    <n v="-0.21927047284173629"/>
    <n v="63"/>
    <n v="123"/>
    <n v="6.377906632012736E-13"/>
    <n v="-6.377906632012736E-13"/>
  </r>
  <r>
    <x v="24"/>
    <x v="10"/>
    <s v="scott-2"/>
    <s v="D/ST"/>
    <n v="10"/>
    <n v="4.68"/>
    <n v="30.913599999999999"/>
    <s v="D/ST"/>
    <x v="5"/>
    <x v="9"/>
    <n v="103.25"/>
    <n v="377.00829999999996"/>
    <s v="devon-2"/>
    <x v="7"/>
    <n v="100.92999999999999"/>
    <n v="374.85250000000002"/>
    <n v="0.53371408733680603"/>
    <n v="0.61200128137586707"/>
    <n v="7.8287194039061037E-2"/>
    <n v="106"/>
    <n v="140"/>
    <n v="7.6389895179388889E-13"/>
    <n v="-7.6389895179388889E-13"/>
  </r>
  <r>
    <x v="187"/>
    <x v="4"/>
    <s v="jason-8"/>
    <s v="RB-1"/>
    <n v="0"/>
    <n v="5.6"/>
    <n v="21.3444"/>
    <s v="RB"/>
    <x v="2"/>
    <x v="4"/>
    <n v="93.289999999999992"/>
    <n v="315.97840000000008"/>
    <e v="#N/A"/>
    <x v="6"/>
    <n v="0"/>
    <n v="0"/>
    <n v="0.99999992318369246"/>
    <n v="0.99999983779075863"/>
    <n v="-8.5392933835137796E-8"/>
    <n v="75"/>
    <n v="0"/>
    <n v="1"/>
    <n v="0"/>
  </r>
  <r>
    <x v="151"/>
    <x v="10"/>
    <s v="scott-2"/>
    <s v="WR-2"/>
    <n v="7"/>
    <n v="7.76"/>
    <n v="22.5625"/>
    <s v="WR"/>
    <x v="0"/>
    <x v="9"/>
    <n v="103.25"/>
    <n v="377.00829999999996"/>
    <s v="devon-2"/>
    <x v="7"/>
    <n v="100.92999999999999"/>
    <n v="374.85250000000002"/>
    <n v="0.53371408733680603"/>
    <n v="0.52303247370207917"/>
    <n v="-1.0681613634726861E-2"/>
    <n v="106"/>
    <n v="140"/>
    <n v="1.2991859205418615E-12"/>
    <n v="-1.2991859205418615E-12"/>
  </r>
  <r>
    <x v="5"/>
    <x v="12"/>
    <s v="chad-6"/>
    <s v="TE-1"/>
    <n v="3"/>
    <n v="4.54"/>
    <n v="6.9695999999999998"/>
    <s v="TE"/>
    <x v="3"/>
    <x v="3"/>
    <n v="96.66"/>
    <n v="373.87420000000003"/>
    <s v="lucas-6"/>
    <x v="9"/>
    <n v="0"/>
    <n v="0"/>
    <n v="0.99999971187356196"/>
    <n v="0.99999965802952895"/>
    <n v="-5.3844033010008729E-8"/>
    <n v="79"/>
    <n v="0"/>
    <n v="1"/>
    <n v="0"/>
  </r>
  <r>
    <x v="177"/>
    <x v="11"/>
    <s v="perry-1"/>
    <s v="RB-1"/>
    <n v="14"/>
    <n v="6.96"/>
    <n v="12.8881"/>
    <s v="RB"/>
    <x v="2"/>
    <x v="7"/>
    <n v="94.44"/>
    <n v="399.28809999999999"/>
    <s v="cory-1"/>
    <x v="4"/>
    <n v="105.11000000000001"/>
    <n v="445.52289999999994"/>
    <n v="0.35677213328906182"/>
    <n v="0.44992397012222063"/>
    <n v="9.3151836833158808E-2"/>
    <n v="82"/>
    <n v="100"/>
    <n v="1.530111806178832E-12"/>
    <n v="-1.530111806178832E-12"/>
  </r>
  <r>
    <x v="191"/>
    <x v="8"/>
    <s v="jason-9"/>
    <s v="WR-1"/>
    <n v="1"/>
    <n v="3.3"/>
    <n v="8.0089000000000006"/>
    <s v="WR"/>
    <x v="0"/>
    <x v="4"/>
    <n v="81.42"/>
    <n v="278.07840000000004"/>
    <e v="#N/A"/>
    <x v="6"/>
    <n v="0"/>
    <n v="0"/>
    <n v="0.99999947640964748"/>
    <n v="0.99999926204559919"/>
    <n v="-2.1436404828989453E-7"/>
    <n v="67"/>
    <n v="0"/>
    <n v="1"/>
    <n v="0"/>
  </r>
  <r>
    <x v="56"/>
    <x v="6"/>
    <s v="devon-11"/>
    <s v="WR-3"/>
    <n v="9"/>
    <n v="10.5"/>
    <n v="41.2164"/>
    <s v="WR"/>
    <x v="0"/>
    <x v="8"/>
    <n v="100.25"/>
    <n v="448.76889999999997"/>
    <s v="scott-11"/>
    <x v="5"/>
    <n v="105.39999999999999"/>
    <n v="342.09739999999999"/>
    <n v="0.42734863744074048"/>
    <n v="0.40404903946919629"/>
    <n v="-2.3299597971544184E-2"/>
    <n v="78"/>
    <n v="124"/>
    <n v="2.0825347073724398E-12"/>
    <n v="-2.0825347073724398E-12"/>
  </r>
  <r>
    <x v="99"/>
    <x v="12"/>
    <s v="chad-6"/>
    <s v="K"/>
    <n v="11"/>
    <n v="5.67"/>
    <n v="13.3956"/>
    <s v="K"/>
    <x v="1"/>
    <x v="3"/>
    <n v="96.66"/>
    <n v="373.87420000000003"/>
    <s v="lucas-6"/>
    <x v="9"/>
    <n v="0"/>
    <n v="0"/>
    <n v="0.99999971187356196"/>
    <n v="0.99999996101741473"/>
    <n v="2.4914385277075013E-7"/>
    <n v="79"/>
    <n v="0"/>
    <n v="1"/>
    <n v="0"/>
  </r>
  <r>
    <x v="86"/>
    <x v="0"/>
    <s v="scott-10"/>
    <s v="D/ST"/>
    <n v="5"/>
    <n v="10.06"/>
    <n v="70.392099999999999"/>
    <s v="D/ST"/>
    <x v="5"/>
    <x v="9"/>
    <n v="101.17"/>
    <n v="351.19740000000002"/>
    <s v="comp-10"/>
    <x v="8"/>
    <n v="99.050000000000011"/>
    <n v="345.4212"/>
    <n v="0.53200969987678148"/>
    <n v="0.45323795198695038"/>
    <n v="-7.8771747889831101E-2"/>
    <n v="67"/>
    <n v="130"/>
    <n v="2.4953561340564925E-12"/>
    <n v="-2.4953561340564925E-12"/>
  </r>
  <r>
    <x v="3"/>
    <x v="9"/>
    <s v="comp-4"/>
    <s v="K"/>
    <n v="3"/>
    <n v="6.91"/>
    <n v="19.36"/>
    <s v="K"/>
    <x v="1"/>
    <x v="2"/>
    <n v="103.70000000000002"/>
    <n v="412.10110000000003"/>
    <s v="aj-4"/>
    <x v="2"/>
    <n v="118.09999999999998"/>
    <n v="465.47660000000008"/>
    <n v="0.31345048172071355"/>
    <n v="0.26598099845284467"/>
    <n v="-4.7469483267868873E-2"/>
    <n v="46"/>
    <n v="80"/>
    <n v="3.9975269509647411E-12"/>
    <n v="-3.9975269509647411E-12"/>
  </r>
  <r>
    <x v="40"/>
    <x v="7"/>
    <s v="chad-5"/>
    <s v="D/ST"/>
    <n v="12"/>
    <n v="7.9"/>
    <n v="63.520899999999997"/>
    <s v="D/ST"/>
    <x v="5"/>
    <x v="3"/>
    <n v="103.98"/>
    <n v="400.98380000000003"/>
    <s v="comp-5"/>
    <x v="8"/>
    <n v="98.17"/>
    <n v="359.81479999999999"/>
    <n v="0.58341598360206426"/>
    <n v="0.64627881141635235"/>
    <n v="6.2862827814288091E-2"/>
    <n v="71"/>
    <n v="121"/>
    <n v="5.6867122308512E-12"/>
    <n v="-5.6867122308512E-12"/>
  </r>
  <r>
    <x v="117"/>
    <x v="9"/>
    <s v="comp-4"/>
    <s v="WR/RB"/>
    <n v="3"/>
    <n v="8.06"/>
    <n v="18.232900000000001"/>
    <s v="WR/RB"/>
    <x v="2"/>
    <x v="2"/>
    <n v="103.70000000000002"/>
    <n v="412.10110000000003"/>
    <s v="aj-4"/>
    <x v="2"/>
    <n v="118.09999999999998"/>
    <n v="465.47660000000008"/>
    <n v="0.31345048172071355"/>
    <n v="0.25339846833149976"/>
    <n v="-6.0052013389213788E-2"/>
    <n v="46"/>
    <n v="80"/>
    <n v="6.1129146444985343E-12"/>
    <n v="-6.1129146444985343E-12"/>
  </r>
  <r>
    <x v="97"/>
    <x v="7"/>
    <s v="chad-5"/>
    <s v="WR/RB"/>
    <n v="3"/>
    <n v="10.11"/>
    <n v="40.7044"/>
    <s v="WR/RB"/>
    <x v="0"/>
    <x v="3"/>
    <n v="103.98"/>
    <n v="400.98380000000003"/>
    <s v="comp-5"/>
    <x v="8"/>
    <n v="98.17"/>
    <n v="359.81479999999999"/>
    <n v="0.58341598360206426"/>
    <n v="0.48068081003708873"/>
    <n v="-0.10273517356497552"/>
    <n v="71"/>
    <n v="121"/>
    <n v="8.9273129696576386E-12"/>
    <n v="-8.9273129696576386E-12"/>
  </r>
  <r>
    <x v="162"/>
    <x v="2"/>
    <s v="perry-13"/>
    <s v="TE-1"/>
    <n v="0"/>
    <n v="5.99"/>
    <n v="17.3889"/>
    <s v="TE"/>
    <x v="3"/>
    <x v="7"/>
    <n v="108.77"/>
    <n v="411.30060000000003"/>
    <s v="devon-13"/>
    <x v="7"/>
    <n v="97.46"/>
    <n v="368.81949999999995"/>
    <n v="0.6572361742103181"/>
    <n v="0.57637596484822606"/>
    <n v="-8.0860209362092039E-2"/>
    <n v="99"/>
    <n v="133"/>
    <n v="9.2735202017174794E-12"/>
    <n v="-9.2735202017174794E-12"/>
  </r>
  <r>
    <x v="99"/>
    <x v="6"/>
    <s v="chad-11"/>
    <s v="K"/>
    <n v="1"/>
    <n v="7.25"/>
    <n v="13.616099999999999"/>
    <s v="K"/>
    <x v="1"/>
    <x v="3"/>
    <n v="106.58"/>
    <n v="427.68610000000001"/>
    <s v="cory-11"/>
    <x v="4"/>
    <n v="102.11"/>
    <n v="431.97960000000006"/>
    <n v="0.56058610538956244"/>
    <n v="0.47560161072397344"/>
    <n v="-8.4984494665588994E-2"/>
    <n v="99"/>
    <n v="130"/>
    <n v="9.9117610731272817E-12"/>
    <n v="-9.9117610731272817E-12"/>
  </r>
  <r>
    <x v="196"/>
    <x v="5"/>
    <s v="aj-7"/>
    <s v="K"/>
    <n v="12"/>
    <n v="9.34"/>
    <n v="16.080100000000002"/>
    <s v="K"/>
    <x v="1"/>
    <x v="6"/>
    <n v="114.01999999999998"/>
    <n v="381.58529999999996"/>
    <s v="devon-7"/>
    <x v="7"/>
    <n v="106.81"/>
    <n v="351.64060000000001"/>
    <n v="0.60498297578784854"/>
    <n v="0.64377379490073294"/>
    <n v="3.87908191128844E-2"/>
    <n v="93"/>
    <n v="117"/>
    <n v="1.4816917075879227E-11"/>
    <n v="-1.4816917075879227E-11"/>
  </r>
  <r>
    <x v="82"/>
    <x v="2"/>
    <s v="jason-13"/>
    <s v="TE-1"/>
    <n v="14"/>
    <n v="10.43"/>
    <n v="41.7316"/>
    <s v="TE"/>
    <x v="3"/>
    <x v="4"/>
    <n v="75.67"/>
    <n v="278.80779999999999"/>
    <e v="#N/A"/>
    <x v="6"/>
    <n v="0"/>
    <n v="0"/>
    <n v="0.9999970759175304"/>
    <n v="0.99999986720797285"/>
    <n v="2.7912904424498564E-6"/>
    <n v="59"/>
    <n v="0"/>
    <n v="1"/>
    <n v="0"/>
  </r>
  <r>
    <x v="78"/>
    <x v="3"/>
    <s v="perry-3"/>
    <s v="RB-2"/>
    <n v="21"/>
    <n v="12.66"/>
    <n v="34.81"/>
    <s v="RB"/>
    <x v="2"/>
    <x v="7"/>
    <n v="101.86999999999999"/>
    <n v="350.57169999999996"/>
    <s v="scott-3"/>
    <x v="5"/>
    <n v="110.35"/>
    <n v="442.53309999999999"/>
    <n v="0.38166388462507189"/>
    <n v="0.49797177004897308"/>
    <n v="0.11630788542390119"/>
    <n v="102"/>
    <n v="132"/>
    <n v="4.0614974425353006E-11"/>
    <n v="-4.0614974425353006E-11"/>
  </r>
  <r>
    <x v="105"/>
    <x v="6"/>
    <s v="chad-11"/>
    <s v="WR-2"/>
    <n v="20"/>
    <n v="10.63"/>
    <n v="38.688400000000001"/>
    <s v="WR"/>
    <x v="0"/>
    <x v="3"/>
    <n v="106.58"/>
    <n v="427.68610000000001"/>
    <s v="cory-11"/>
    <x v="4"/>
    <n v="102.11"/>
    <n v="431.97960000000006"/>
    <n v="0.56058610538956244"/>
    <n v="0.68546136521649981"/>
    <n v="0.12487525982693737"/>
    <n v="99"/>
    <n v="130"/>
    <n v="4.2817544802339769E-11"/>
    <n v="-4.2817544802339769E-11"/>
  </r>
  <r>
    <x v="74"/>
    <x v="6"/>
    <s v="devon-11"/>
    <s v="TE-1"/>
    <n v="0"/>
    <n v="8.41"/>
    <n v="33.756100000000004"/>
    <s v="TE"/>
    <x v="3"/>
    <x v="8"/>
    <n v="100.25"/>
    <n v="448.76889999999997"/>
    <s v="scott-11"/>
    <x v="5"/>
    <n v="105.39999999999999"/>
    <n v="342.09739999999999"/>
    <n v="0.42734863744074048"/>
    <n v="0.31107316989385203"/>
    <n v="-0.11627546754688844"/>
    <n v="78"/>
    <n v="124"/>
    <n v="4.9040544784751666E-11"/>
    <n v="-4.9040544784751666E-11"/>
  </r>
  <r>
    <x v="215"/>
    <x v="10"/>
    <s v="comp-2"/>
    <s v="RB-2"/>
    <n v="10"/>
    <n v="8.67"/>
    <n v="26.728899999999999"/>
    <s v="RB"/>
    <x v="2"/>
    <x v="2"/>
    <n v="103.61999999999999"/>
    <n v="357.30130000000003"/>
    <s v="cory-2"/>
    <x v="4"/>
    <n v="102.7"/>
    <n v="377.5104"/>
    <n v="0.51353712670419016"/>
    <n v="0.53369250516270272"/>
    <n v="2.0155378458512563E-2"/>
    <n v="65"/>
    <n v="97"/>
    <n v="5.7114980791577657E-11"/>
    <n v="-5.7114980791577657E-11"/>
  </r>
  <r>
    <x v="205"/>
    <x v="2"/>
    <s v="jason-13"/>
    <s v="WR-2"/>
    <n v="6"/>
    <n v="7.78"/>
    <n v="33.4084"/>
    <s v="WR"/>
    <x v="0"/>
    <x v="4"/>
    <n v="75.67"/>
    <n v="278.80779999999999"/>
    <e v="#N/A"/>
    <x v="6"/>
    <n v="0"/>
    <n v="0"/>
    <n v="0.9999970759175304"/>
    <n v="0.99999880217811909"/>
    <n v="1.7262605886969595E-6"/>
    <n v="59"/>
    <n v="0"/>
    <n v="1"/>
    <n v="0"/>
  </r>
  <r>
    <x v="65"/>
    <x v="10"/>
    <s v="comp-2"/>
    <s v="D/ST"/>
    <n v="11"/>
    <n v="6.6"/>
    <n v="32.148899999999998"/>
    <s v="D/ST"/>
    <x v="5"/>
    <x v="2"/>
    <n v="103.61999999999999"/>
    <n v="357.30130000000003"/>
    <s v="cory-2"/>
    <x v="4"/>
    <n v="102.7"/>
    <n v="377.5104"/>
    <n v="0.51353712670419016"/>
    <n v="0.57953175401567902"/>
    <n v="6.5994627311488863E-2"/>
    <n v="65"/>
    <n v="97"/>
    <n v="6.8247776818755486E-11"/>
    <n v="-6.8247776818755486E-11"/>
  </r>
  <r>
    <x v="49"/>
    <x v="1"/>
    <s v="aj-12"/>
    <s v="WR-3"/>
    <n v="1"/>
    <n v="7.38"/>
    <n v="29.2681"/>
    <s v="WR"/>
    <x v="0"/>
    <x v="6"/>
    <n v="111.09"/>
    <n v="408.5095"/>
    <s v="comp-12"/>
    <x v="8"/>
    <n v="98.639999999999986"/>
    <n v="309.06870000000004"/>
    <n v="0.67895062778258408"/>
    <n v="0.59148415779877039"/>
    <n v="-8.7466469983813688E-2"/>
    <n v="84"/>
    <n v="125"/>
    <n v="7.8065569888150392E-11"/>
    <n v="-7.8065569888150392E-11"/>
  </r>
  <r>
    <x v="71"/>
    <x v="7"/>
    <s v="chad-5"/>
    <s v="WR-1"/>
    <n v="4"/>
    <n v="13.25"/>
    <n v="40.7044"/>
    <s v="WR"/>
    <x v="0"/>
    <x v="3"/>
    <n v="103.98"/>
    <n v="400.98380000000003"/>
    <s v="comp-5"/>
    <x v="8"/>
    <n v="98.17"/>
    <n v="359.81479999999999"/>
    <n v="0.58341598360206426"/>
    <n v="0.44899818109384609"/>
    <n v="-0.13441780250821816"/>
    <n v="71"/>
    <n v="121"/>
    <n v="8.4504394036760057E-11"/>
    <n v="-8.4504394036760057E-11"/>
  </r>
  <r>
    <x v="34"/>
    <x v="1"/>
    <s v="aj-12"/>
    <s v="D/ST"/>
    <n v="9"/>
    <n v="9.64"/>
    <n v="40.068899999999999"/>
    <s v="D/ST"/>
    <x v="5"/>
    <x v="6"/>
    <n v="111.09"/>
    <n v="408.5095"/>
    <s v="comp-12"/>
    <x v="8"/>
    <n v="98.639999999999986"/>
    <n v="309.06870000000004"/>
    <n v="0.67895062778258408"/>
    <n v="0.67498644831809496"/>
    <n v="-3.9641794644891259E-3"/>
    <n v="84"/>
    <n v="125"/>
    <n v="9.0893958600192255E-11"/>
    <n v="-9.0893958600192255E-11"/>
  </r>
  <r>
    <x v="203"/>
    <x v="6"/>
    <s v="jason-11"/>
    <s v="WR/RB"/>
    <n v="1"/>
    <n v="6.58"/>
    <n v="21.436900000000001"/>
    <s v="WR/RB"/>
    <x v="2"/>
    <x v="4"/>
    <n v="98.88000000000001"/>
    <n v="375.05889999999999"/>
    <e v="#N/A"/>
    <x v="6"/>
    <n v="0"/>
    <n v="0"/>
    <n v="0.99999983524900793"/>
    <n v="0.9999996502252787"/>
    <n v="-1.8502372922668542E-7"/>
    <n v="50"/>
    <n v="0"/>
    <n v="1"/>
    <n v="0"/>
  </r>
  <r>
    <x v="76"/>
    <x v="6"/>
    <s v="devon-11"/>
    <s v="D/ST"/>
    <n v="8"/>
    <n v="8.82"/>
    <n v="50.694400000000002"/>
    <s v="D/ST"/>
    <x v="5"/>
    <x v="8"/>
    <n v="100.25"/>
    <n v="448.76889999999997"/>
    <s v="scott-11"/>
    <x v="5"/>
    <n v="105.39999999999999"/>
    <n v="342.09739999999999"/>
    <n v="0.42734863744074048"/>
    <n v="0.41315518393074885"/>
    <n v="-1.4193453509991627E-2"/>
    <n v="78"/>
    <n v="124"/>
    <n v="1.1084805333348697E-10"/>
    <n v="-1.1084805333348697E-10"/>
  </r>
  <r>
    <x v="182"/>
    <x v="11"/>
    <s v="aj-1"/>
    <s v="WR-3"/>
    <n v="5"/>
    <n v="9.93"/>
    <n v="49"/>
    <s v="WR"/>
    <x v="0"/>
    <x v="6"/>
    <n v="90.7"/>
    <n v="347.93650000000002"/>
    <s v="scott-1"/>
    <x v="5"/>
    <n v="102.78"/>
    <n v="382.14119999999997"/>
    <n v="0.32740970845919121"/>
    <n v="0.25726915460368494"/>
    <n v="-7.0140553855506271E-2"/>
    <n v="71"/>
    <n v="120"/>
    <n v="1.5299376384122897E-10"/>
    <n v="-1.5299376384122897E-10"/>
  </r>
  <r>
    <x v="80"/>
    <x v="6"/>
    <s v="jason-11"/>
    <s v="WR-1"/>
    <n v="18"/>
    <n v="9.99"/>
    <n v="47.196899999999999"/>
    <s v="WR"/>
    <x v="0"/>
    <x v="4"/>
    <n v="98.88000000000001"/>
    <n v="375.05889999999999"/>
    <e v="#N/A"/>
    <x v="6"/>
    <n v="0"/>
    <n v="0"/>
    <n v="0.99999983524900793"/>
    <n v="0.999999998218005"/>
    <n v="1.6296899707501922E-7"/>
    <n v="50"/>
    <n v="0"/>
    <n v="0.99999999950830032"/>
    <n v="4.9169968097118044E-10"/>
  </r>
  <r>
    <x v="189"/>
    <x v="10"/>
    <s v="scott-2"/>
    <s v="TE-1"/>
    <n v="0"/>
    <n v="5.54"/>
    <n v="20.702500000000001"/>
    <s v="TE"/>
    <x v="3"/>
    <x v="9"/>
    <n v="103.25"/>
    <n v="377.00829999999996"/>
    <s v="devon-2"/>
    <x v="7"/>
    <n v="100.92999999999999"/>
    <n v="374.85250000000002"/>
    <n v="0.53371408733680603"/>
    <n v="0.45260475630150432"/>
    <n v="-8.1109331035301713E-2"/>
    <n v="106"/>
    <n v="140"/>
    <n v="1.9882794328676789E-10"/>
    <n v="-1.9882794328676789E-10"/>
  </r>
  <r>
    <x v="107"/>
    <x v="2"/>
    <s v="perry-13"/>
    <s v="WR-2"/>
    <n v="10"/>
    <n v="9.65"/>
    <n v="30.691600000000001"/>
    <s v="WR"/>
    <x v="0"/>
    <x v="7"/>
    <n v="108.77"/>
    <n v="411.30060000000003"/>
    <s v="devon-13"/>
    <x v="7"/>
    <n v="97.46"/>
    <n v="368.81949999999995"/>
    <n v="0.6572361742103181"/>
    <n v="0.66491886418614921"/>
    <n v="7.6826899758311029E-3"/>
    <n v="99"/>
    <n v="133"/>
    <n v="2.8166895248331846E-10"/>
    <n v="-2.8166895248331846E-10"/>
  </r>
  <r>
    <x v="151"/>
    <x v="12"/>
    <s v="scott-6"/>
    <s v="WR-2"/>
    <n v="9"/>
    <n v="8.25"/>
    <n v="32.376100000000001"/>
    <s v="WR"/>
    <x v="0"/>
    <x v="9"/>
    <n v="110.30999999999999"/>
    <n v="388.52729999999997"/>
    <s v="seth-6"/>
    <x v="0"/>
    <n v="90.009999999999991"/>
    <n v="295.93350000000004"/>
    <n v="0.78110442116748435"/>
    <n v="0.79512341673234554"/>
    <n v="1.4018995564861192E-2"/>
    <n v="96"/>
    <n v="130"/>
    <n v="5.0695290336119671E-10"/>
    <n v="-5.0695290336119671E-10"/>
  </r>
  <r>
    <x v="205"/>
    <x v="6"/>
    <s v="jason-11"/>
    <s v="WR-2"/>
    <n v="4"/>
    <n v="6.82"/>
    <n v="28.09"/>
    <s v="WR"/>
    <x v="0"/>
    <x v="4"/>
    <n v="98.88000000000001"/>
    <n v="375.05889999999999"/>
    <e v="#N/A"/>
    <x v="6"/>
    <n v="0"/>
    <n v="0"/>
    <n v="0.99999983524900793"/>
    <n v="0.9999998745325005"/>
    <n v="3.9283492569985867E-8"/>
    <n v="50"/>
    <n v="0"/>
    <n v="1"/>
    <n v="0"/>
  </r>
  <r>
    <x v="32"/>
    <x v="4"/>
    <s v="jason-8"/>
    <s v="RB-2"/>
    <n v="6"/>
    <n v="8.66"/>
    <n v="34.105600000000003"/>
    <s v="RB"/>
    <x v="2"/>
    <x v="4"/>
    <n v="93.289999999999992"/>
    <n v="315.97840000000008"/>
    <e v="#N/A"/>
    <x v="6"/>
    <n v="0"/>
    <n v="0"/>
    <n v="0.99999992318369246"/>
    <n v="0.99999996633525989"/>
    <n v="4.3151567430399496E-8"/>
    <n v="75"/>
    <n v="0"/>
    <n v="1"/>
    <n v="0"/>
  </r>
  <r>
    <x v="59"/>
    <x v="10"/>
    <s v="comp-2"/>
    <s v="TE-1"/>
    <n v="0"/>
    <n v="6.8"/>
    <n v="17.3889"/>
    <s v="TE"/>
    <x v="3"/>
    <x v="2"/>
    <n v="103.61999999999999"/>
    <n v="357.30130000000003"/>
    <s v="cory-2"/>
    <x v="4"/>
    <n v="102.7"/>
    <n v="377.5104"/>
    <n v="0.51353712670419016"/>
    <n v="0.41311942129640511"/>
    <n v="-0.10041770540778505"/>
    <n v="65"/>
    <n v="97"/>
    <n v="7.5559763861621482E-10"/>
    <n v="-7.5559763861621482E-10"/>
  </r>
  <r>
    <x v="174"/>
    <x v="12"/>
    <s v="scott-6"/>
    <s v="WR-1"/>
    <n v="4"/>
    <n v="9.32"/>
    <n v="22.848400000000002"/>
    <s v="WR"/>
    <x v="0"/>
    <x v="9"/>
    <n v="110.30999999999999"/>
    <n v="388.52729999999997"/>
    <s v="seth-6"/>
    <x v="0"/>
    <n v="90.009999999999991"/>
    <n v="295.93350000000004"/>
    <n v="0.78110442116748435"/>
    <n v="0.7198462248272024"/>
    <n v="-6.1258196340281956E-2"/>
    <n v="96"/>
    <n v="130"/>
    <n v="9.8658764503769437E-10"/>
    <n v="-9.8658764503769437E-10"/>
  </r>
  <r>
    <x v="202"/>
    <x v="6"/>
    <s v="jason-11"/>
    <s v="K"/>
    <n v="0"/>
    <n v="7.03"/>
    <n v="21.996099999999998"/>
    <s v="K"/>
    <x v="1"/>
    <x v="4"/>
    <n v="98.88000000000001"/>
    <n v="375.05889999999999"/>
    <e v="#N/A"/>
    <x v="6"/>
    <n v="0"/>
    <n v="0"/>
    <n v="0.99999983524900793"/>
    <n v="0.99999949131191923"/>
    <n v="-3.439370886981763E-7"/>
    <n v="50"/>
    <n v="0"/>
    <n v="1"/>
    <n v="0"/>
  </r>
  <r>
    <x v="17"/>
    <x v="10"/>
    <s v="jason-2"/>
    <s v="RB-2"/>
    <n v="3"/>
    <n v="8.5"/>
    <n v="37.576900000000002"/>
    <s v="RB"/>
    <x v="2"/>
    <x v="4"/>
    <n v="103.97000000000001"/>
    <n v="402.37729999999999"/>
    <e v="#N/A"/>
    <x v="6"/>
    <n v="0"/>
    <n v="0"/>
    <n v="0.9999998908980352"/>
    <n v="0.99999987356649434"/>
    <n v="-1.7331540869136575E-8"/>
    <n v="60"/>
    <n v="0"/>
    <n v="1"/>
    <n v="0"/>
  </r>
  <r>
    <x v="33"/>
    <x v="6"/>
    <s v="devon-11"/>
    <s v="WR-1"/>
    <n v="7"/>
    <n v="10.1"/>
    <n v="52.4176"/>
    <s v="WR"/>
    <x v="0"/>
    <x v="8"/>
    <n v="100.25"/>
    <n v="448.76889999999997"/>
    <s v="scott-11"/>
    <x v="5"/>
    <n v="105.39999999999999"/>
    <n v="342.09739999999999"/>
    <n v="0.42734863744074048"/>
    <n v="0.38071845206302563"/>
    <n v="-4.663018537771485E-2"/>
    <n v="78"/>
    <n v="124"/>
    <n v="1.5575544373596051E-9"/>
    <n v="-1.5575544373596051E-9"/>
  </r>
  <r>
    <x v="70"/>
    <x v="10"/>
    <s v="comp-2"/>
    <s v="WR-3"/>
    <n v="7"/>
    <n v="8.91"/>
    <n v="25.8064"/>
    <s v="WR"/>
    <x v="0"/>
    <x v="2"/>
    <n v="103.61999999999999"/>
    <n v="357.30130000000003"/>
    <s v="cory-2"/>
    <x v="4"/>
    <n v="102.7"/>
    <n v="377.5104"/>
    <n v="0.51353712670419016"/>
    <n v="0.48517070617451802"/>
    <n v="-2.8366420529672143E-2"/>
    <n v="65"/>
    <n v="97"/>
    <n v="1.5784100695174781E-9"/>
    <n v="-1.5784100695174781E-9"/>
  </r>
  <r>
    <x v="32"/>
    <x v="6"/>
    <s v="jason-11"/>
    <s v="RB-1"/>
    <n v="8"/>
    <n v="7.4"/>
    <n v="36.240400000000001"/>
    <s v="RB"/>
    <x v="2"/>
    <x v="4"/>
    <n v="98.88000000000001"/>
    <n v="375.05889999999999"/>
    <e v="#N/A"/>
    <x v="6"/>
    <n v="0"/>
    <n v="0"/>
    <n v="0.99999983524900793"/>
    <n v="0.99999996749783793"/>
    <n v="1.3224882999818277E-7"/>
    <n v="50"/>
    <n v="0"/>
    <n v="0.99999999999999989"/>
    <n v="1.1102230246251565E-16"/>
  </r>
  <r>
    <x v="70"/>
    <x v="9"/>
    <s v="comp-4"/>
    <s v="WR-3"/>
    <n v="16"/>
    <n v="11.17"/>
    <n v="43.428100000000001"/>
    <s v="WR"/>
    <x v="0"/>
    <x v="2"/>
    <n v="103.70000000000002"/>
    <n v="412.10110000000003"/>
    <s v="aj-4"/>
    <x v="2"/>
    <n v="118.09999999999998"/>
    <n v="465.47660000000008"/>
    <n v="0.31345048172071355"/>
    <n v="0.37018920244104503"/>
    <n v="5.6738720720331481E-2"/>
    <n v="46"/>
    <n v="80"/>
    <n v="1.9047342078837029E-9"/>
    <n v="-1.9047342078837029E-9"/>
  </r>
  <r>
    <x v="154"/>
    <x v="10"/>
    <s v="scott-2"/>
    <s v="WR-3"/>
    <n v="2"/>
    <n v="8.35"/>
    <n v="22.278400000000001"/>
    <s v="WR"/>
    <x v="0"/>
    <x v="9"/>
    <n v="103.25"/>
    <n v="377.00829999999996"/>
    <s v="devon-2"/>
    <x v="7"/>
    <n v="100.92999999999999"/>
    <n v="374.85250000000002"/>
    <n v="0.53371408733680603"/>
    <n v="0.44069803894605541"/>
    <n v="-9.3016048390750616E-2"/>
    <n v="106"/>
    <n v="140"/>
    <n v="2.3416563654175903E-9"/>
    <n v="-2.3416563654175903E-9"/>
  </r>
  <r>
    <x v="131"/>
    <x v="6"/>
    <s v="jason-11"/>
    <s v="D/ST"/>
    <n v="10"/>
    <n v="9.48"/>
    <n v="37.088099999999997"/>
    <s v="D/ST"/>
    <x v="5"/>
    <x v="4"/>
    <n v="98.88000000000001"/>
    <n v="375.05889999999999"/>
    <e v="#N/A"/>
    <x v="6"/>
    <n v="0"/>
    <n v="0"/>
    <n v="0.99999983524900793"/>
    <n v="0.99999996793410195"/>
    <n v="1.3268509402308837E-7"/>
    <n v="50"/>
    <n v="0"/>
    <n v="0.99999999999999978"/>
    <n v="2.2204460492503131E-16"/>
  </r>
  <r>
    <x v="14"/>
    <x v="3"/>
    <s v="devon-3"/>
    <s v="WR/RB"/>
    <n v="1"/>
    <n v="11.03"/>
    <n v="73.616399999999999"/>
    <s v="WR/RB"/>
    <x v="2"/>
    <x v="8"/>
    <n v="110.36"/>
    <n v="421.178"/>
    <s v="chad-3"/>
    <x v="1"/>
    <n v="99.23"/>
    <n v="414.92009999999999"/>
    <n v="0.64985036548815633"/>
    <n v="0.51588814465994792"/>
    <n v="-0.13396222082820841"/>
    <n v="63"/>
    <n v="123"/>
    <n v="2.8726184364895423E-9"/>
    <n v="-2.8726184364895423E-9"/>
  </r>
  <r>
    <x v="195"/>
    <x v="3"/>
    <s v="perry-3"/>
    <s v="K"/>
    <n v="6"/>
    <n v="8.2799999999999994"/>
    <n v="22.848400000000002"/>
    <s v="K"/>
    <x v="1"/>
    <x v="7"/>
    <n v="101.86999999999999"/>
    <n v="350.57169999999996"/>
    <s v="scott-3"/>
    <x v="5"/>
    <n v="110.35"/>
    <n v="442.53309999999999"/>
    <n v="0.38166388462507189"/>
    <n v="0.34911942017046738"/>
    <n v="-3.2544464454604516E-2"/>
    <n v="102"/>
    <n v="132"/>
    <n v="3.3323328042509125E-9"/>
    <n v="-3.3323328042509125E-9"/>
  </r>
  <r>
    <x v="81"/>
    <x v="4"/>
    <s v="jason-8"/>
    <s v="WR-3"/>
    <n v="1"/>
    <n v="9.2799999999999994"/>
    <n v="26.522500000000001"/>
    <s v="WR"/>
    <x v="0"/>
    <x v="4"/>
    <n v="93.289999999999992"/>
    <n v="315.97840000000008"/>
    <e v="#N/A"/>
    <x v="6"/>
    <n v="0"/>
    <n v="0"/>
    <n v="0.99999992318369246"/>
    <n v="0.9999997083239559"/>
    <n v="-2.1485973655810398E-7"/>
    <n v="75"/>
    <n v="0"/>
    <n v="1"/>
    <n v="0"/>
  </r>
  <r>
    <x v="6"/>
    <x v="3"/>
    <s v="jason-3"/>
    <s v="K"/>
    <n v="1"/>
    <n v="7.6"/>
    <n v="24.403600000000001"/>
    <s v="K"/>
    <x v="1"/>
    <x v="4"/>
    <n v="99.87"/>
    <n v="418.53290000000004"/>
    <e v="#N/A"/>
    <x v="6"/>
    <n v="0"/>
    <n v="0"/>
    <n v="0.99999947409897594"/>
    <n v="0.99999868706065809"/>
    <n v="-7.8703831785098544E-7"/>
    <n v="53"/>
    <n v="0"/>
    <n v="1"/>
    <n v="0"/>
  </r>
  <r>
    <x v="66"/>
    <x v="1"/>
    <s v="aj-12"/>
    <s v="WR-2"/>
    <n v="6"/>
    <n v="8.5399999999999991"/>
    <n v="44.756100000000004"/>
    <s v="WR"/>
    <x v="0"/>
    <x v="6"/>
    <n v="111.09"/>
    <n v="408.5095"/>
    <s v="comp-12"/>
    <x v="8"/>
    <n v="98.639999999999986"/>
    <n v="309.06870000000004"/>
    <n v="0.67895062778258408"/>
    <n v="0.64878894629915496"/>
    <n v="-3.0161681483429126E-2"/>
    <n v="84"/>
    <n v="125"/>
    <n v="4.4918559458876974E-9"/>
    <n v="-4.4918559458876974E-9"/>
  </r>
  <r>
    <x v="122"/>
    <x v="10"/>
    <s v="scott-2"/>
    <s v="WR/RB"/>
    <n v="22"/>
    <n v="12.08"/>
    <n v="58.522500000000001"/>
    <s v="WR/RB"/>
    <x v="2"/>
    <x v="9"/>
    <n v="103.25"/>
    <n v="377.00829999999996"/>
    <s v="devon-2"/>
    <x v="7"/>
    <n v="100.92999999999999"/>
    <n v="374.85250000000002"/>
    <n v="0.53371408733680603"/>
    <n v="0.67897902248644615"/>
    <n v="0.14526493514964012"/>
    <n v="106"/>
    <n v="140"/>
    <n v="4.7010523767682548E-9"/>
    <n v="-4.7010523767682548E-9"/>
  </r>
  <r>
    <x v="86"/>
    <x v="1"/>
    <s v="scott-12"/>
    <s v="D/ST"/>
    <n v="11"/>
    <n v="16.55"/>
    <n v="42.771599999999999"/>
    <s v="D/ST"/>
    <x v="5"/>
    <x v="9"/>
    <n v="109.82"/>
    <n v="367.76499999999999"/>
    <s v="perry-12"/>
    <x v="10"/>
    <n v="117.67999999999999"/>
    <n v="426.54240000000004"/>
    <n v="0.39016577980232847"/>
    <n v="0.31236301499117936"/>
    <n v="-7.7802764811149117E-2"/>
    <n v="88"/>
    <n v="131"/>
    <n v="5.132241328032457E-9"/>
    <n v="-5.132241328032457E-9"/>
  </r>
  <r>
    <x v="61"/>
    <x v="3"/>
    <s v="devon-3"/>
    <s v="RB-2"/>
    <n v="3"/>
    <n v="13.3"/>
    <n v="76.212900000000005"/>
    <s v="RB"/>
    <x v="2"/>
    <x v="8"/>
    <n v="110.36"/>
    <n v="421.178"/>
    <s v="chad-3"/>
    <x v="1"/>
    <n v="99.23"/>
    <n v="414.92009999999999"/>
    <n v="0.64985036548815633"/>
    <n v="0.51201015323201959"/>
    <n v="-0.13784021225613674"/>
    <n v="63"/>
    <n v="123"/>
    <n v="6.2408585865067849E-9"/>
    <n v="-6.2408585865067849E-9"/>
  </r>
  <r>
    <x v="142"/>
    <x v="3"/>
    <s v="jason-3"/>
    <s v="WR-1"/>
    <n v="9"/>
    <n v="9.99"/>
    <n v="36.120100000000001"/>
    <s v="WR"/>
    <x v="0"/>
    <x v="4"/>
    <n v="99.87"/>
    <n v="418.53290000000004"/>
    <e v="#N/A"/>
    <x v="6"/>
    <n v="0"/>
    <n v="0"/>
    <n v="0.99999947409897594"/>
    <n v="0.99999978638838438"/>
    <n v="3.1228940844396647E-7"/>
    <n v="53"/>
    <n v="0"/>
    <n v="1"/>
    <n v="0"/>
  </r>
  <r>
    <x v="150"/>
    <x v="12"/>
    <s v="scott-6"/>
    <s v="WR/RB"/>
    <n v="16"/>
    <n v="10.74"/>
    <n v="48.441600000000001"/>
    <s v="WR/RB"/>
    <x v="2"/>
    <x v="9"/>
    <n v="110.30999999999999"/>
    <n v="388.52729999999997"/>
    <s v="seth-6"/>
    <x v="0"/>
    <n v="90.009999999999991"/>
    <n v="295.93350000000004"/>
    <n v="0.78110442116748435"/>
    <n v="0.84459040677082453"/>
    <n v="6.3485985603340178E-2"/>
    <n v="96"/>
    <n v="130"/>
    <n v="8.4628679180780756E-9"/>
    <n v="-8.4628679180780756E-9"/>
  </r>
  <r>
    <x v="94"/>
    <x v="9"/>
    <s v="comp-4"/>
    <s v="D/ST"/>
    <n v="1"/>
    <n v="4.07"/>
    <n v="30.1401"/>
    <s v="D/ST"/>
    <x v="5"/>
    <x v="2"/>
    <n v="103.70000000000002"/>
    <n v="412.10110000000003"/>
    <s v="aj-4"/>
    <x v="2"/>
    <n v="118.09999999999998"/>
    <n v="465.47660000000008"/>
    <n v="0.31345048172071355"/>
    <n v="0.27421269956348904"/>
    <n v="-3.923778215722451E-2"/>
    <n v="46"/>
    <n v="80"/>
    <n v="8.809993576574846E-9"/>
    <n v="-8.809993576574846E-9"/>
  </r>
  <r>
    <x v="120"/>
    <x v="6"/>
    <s v="matty-11"/>
    <s v="K"/>
    <n v="19"/>
    <n v="7.63"/>
    <n v="13.1044"/>
    <s v="K"/>
    <x v="1"/>
    <x v="0"/>
    <n v="88.670000000000016"/>
    <n v="334.39179999999999"/>
    <s v="comp-11"/>
    <x v="8"/>
    <n v="98.580000000000013"/>
    <n v="364.4375"/>
    <n v="0.35387619533584119"/>
    <n v="0.52223120508164156"/>
    <n v="0.16835500974580037"/>
    <n v="102"/>
    <n v="111"/>
    <n v="9.1647211045896217E-9"/>
    <n v="-9.1647211045896217E-9"/>
  </r>
  <r>
    <x v="82"/>
    <x v="4"/>
    <s v="jason-8"/>
    <s v="TE-1"/>
    <n v="11"/>
    <n v="10.76"/>
    <n v="46.5124"/>
    <s v="TE"/>
    <x v="3"/>
    <x v="4"/>
    <n v="93.289999999999992"/>
    <n v="315.97840000000008"/>
    <e v="#N/A"/>
    <x v="6"/>
    <n v="0"/>
    <n v="0"/>
    <n v="0.99999992318369246"/>
    <n v="0.99999999392798034"/>
    <n v="7.0744287872237521E-8"/>
    <n v="75"/>
    <n v="0"/>
    <n v="1"/>
    <n v="0"/>
  </r>
  <r>
    <x v="155"/>
    <x v="8"/>
    <s v="comp-9"/>
    <s v="D/ST"/>
    <n v="19"/>
    <n v="6.06"/>
    <n v="30.691600000000001"/>
    <s v="D/ST"/>
    <x v="5"/>
    <x v="2"/>
    <n v="80.800000000000011"/>
    <n v="290.44450000000001"/>
    <s v="seth-9"/>
    <x v="0"/>
    <n v="92.559999999999988"/>
    <n v="350.31569999999999"/>
    <n v="0.32111649346340621"/>
    <n v="0.5190518677773337"/>
    <n v="0.19793537431392749"/>
    <n v="77"/>
    <n v="95"/>
    <n v="1.169593854548503E-8"/>
    <n v="-1.169593854548503E-8"/>
  </r>
  <r>
    <x v="154"/>
    <x v="1"/>
    <s v="scott-12"/>
    <s v="WR-2"/>
    <n v="1"/>
    <n v="8.48"/>
    <n v="40.7044"/>
    <s v="WR"/>
    <x v="0"/>
    <x v="9"/>
    <n v="109.82"/>
    <n v="367.76499999999999"/>
    <s v="perry-12"/>
    <x v="10"/>
    <n v="117.67999999999999"/>
    <n v="426.54240000000004"/>
    <n v="0.39016577980232847"/>
    <n v="0.28815014190396471"/>
    <n v="-0.10201563789836376"/>
    <n v="88"/>
    <n v="131"/>
    <n v="1.2928558320658137E-8"/>
    <n v="-1.2928558320658137E-8"/>
  </r>
  <r>
    <x v="128"/>
    <x v="1"/>
    <s v="scott-12"/>
    <s v="QB-1"/>
    <n v="21"/>
    <n v="24.8"/>
    <n v="50.694400000000002"/>
    <s v="QB"/>
    <x v="4"/>
    <x v="9"/>
    <n v="109.82"/>
    <n v="367.76499999999999"/>
    <s v="perry-12"/>
    <x v="10"/>
    <n v="117.67999999999999"/>
    <n v="426.54240000000004"/>
    <n v="0.39016577980232847"/>
    <n v="0.33447571151490579"/>
    <n v="-5.5690068287422678E-2"/>
    <n v="88"/>
    <n v="131"/>
    <n v="1.8393774909151035E-8"/>
    <n v="-1.8393774909151035E-8"/>
  </r>
  <r>
    <x v="15"/>
    <x v="0"/>
    <s v="aj-10"/>
    <s v="WR-1"/>
    <n v="11"/>
    <n v="7.36"/>
    <n v="20.25"/>
    <s v="WR"/>
    <x v="0"/>
    <x v="6"/>
    <n v="110.08000000000001"/>
    <n v="372.64320000000004"/>
    <s v="chad-10"/>
    <x v="1"/>
    <n v="103.91999999999999"/>
    <n v="398.26569999999992"/>
    <n v="0.58778859959928087"/>
    <n v="0.63971171187446108"/>
    <n v="5.1923112275180205E-2"/>
    <n v="82"/>
    <n v="103"/>
    <n v="2.1807054936982167E-8"/>
    <n v="-2.1807054936982167E-8"/>
  </r>
  <r>
    <x v="2"/>
    <x v="11"/>
    <s v="matty-1"/>
    <s v="WR-2"/>
    <n v="19"/>
    <n v="7.74"/>
    <n v="30.5809"/>
    <s v="WR"/>
    <x v="0"/>
    <x v="0"/>
    <n v="96.11"/>
    <n v="397.37959999999998"/>
    <s v="chad-1"/>
    <x v="1"/>
    <n v="101.75"/>
    <n v="333.15260000000001"/>
    <n v="0.41735304190298633"/>
    <n v="0.58411164319342945"/>
    <n v="0.16675860129044312"/>
    <n v="76"/>
    <n v="95"/>
    <n v="2.2252875364611596E-8"/>
    <n v="-2.2252875364611596E-8"/>
  </r>
  <r>
    <x v="174"/>
    <x v="10"/>
    <s v="scott-2"/>
    <s v="WR-1"/>
    <n v="10"/>
    <n v="8.7100000000000009"/>
    <n v="41.602499999999999"/>
    <s v="WR"/>
    <x v="0"/>
    <x v="9"/>
    <n v="103.25"/>
    <n v="377.00829999999996"/>
    <s v="devon-2"/>
    <x v="7"/>
    <n v="100.92999999999999"/>
    <n v="374.85250000000002"/>
    <n v="0.53371408733680603"/>
    <n v="0.55387442294836231"/>
    <n v="2.0160335611556279E-2"/>
    <n v="106"/>
    <n v="140"/>
    <n v="2.2335068085858991E-8"/>
    <n v="-2.2335068085858991E-8"/>
  </r>
  <r>
    <x v="49"/>
    <x v="0"/>
    <s v="aj-10"/>
    <s v="WR-3"/>
    <n v="13"/>
    <n v="7.51"/>
    <n v="23.814399999999999"/>
    <s v="WR"/>
    <x v="0"/>
    <x v="6"/>
    <n v="110.08000000000001"/>
    <n v="372.64320000000004"/>
    <s v="chad-10"/>
    <x v="1"/>
    <n v="103.91999999999999"/>
    <n v="398.26569999999992"/>
    <n v="0.58778859959928087"/>
    <n v="0.66502777580843997"/>
    <n v="7.7239176209159099E-2"/>
    <n v="82"/>
    <n v="103"/>
    <n v="2.8450071980489463E-8"/>
    <n v="-2.8450071980489463E-8"/>
  </r>
  <r>
    <x v="128"/>
    <x v="10"/>
    <s v="scott-2"/>
    <s v="QB-1"/>
    <n v="29"/>
    <n v="23.51"/>
    <n v="53.436100000000003"/>
    <s v="QB"/>
    <x v="4"/>
    <x v="9"/>
    <n v="103.25"/>
    <n v="377.00829999999996"/>
    <s v="devon-2"/>
    <x v="7"/>
    <n v="100.92999999999999"/>
    <n v="374.85250000000002"/>
    <n v="0.53371408733680603"/>
    <n v="0.61620279502323538"/>
    <n v="8.2488707686429352E-2"/>
    <n v="106"/>
    <n v="140"/>
    <n v="3.2916305772998896E-8"/>
    <n v="-3.2916305772998896E-8"/>
  </r>
  <r>
    <x v="204"/>
    <x v="2"/>
    <s v="jason-13"/>
    <s v="WR-3"/>
    <n v="0"/>
    <n v="6.75"/>
    <n v="35.880099999999999"/>
    <s v="WR"/>
    <x v="0"/>
    <x v="4"/>
    <n v="75.67"/>
    <n v="278.80779999999999"/>
    <e v="#N/A"/>
    <x v="6"/>
    <n v="0"/>
    <n v="0"/>
    <n v="0.9999970759175304"/>
    <n v="0.99999510766334232"/>
    <n v="-1.9682541880783333E-6"/>
    <n v="59"/>
    <n v="0"/>
    <n v="1"/>
    <n v="0"/>
  </r>
  <r>
    <x v="181"/>
    <x v="0"/>
    <s v="aj-10"/>
    <s v="WR-2"/>
    <n v="13"/>
    <n v="7.51"/>
    <n v="24.502500000000001"/>
    <s v="WR"/>
    <x v="0"/>
    <x v="6"/>
    <n v="110.08000000000001"/>
    <n v="372.64320000000004"/>
    <s v="chad-10"/>
    <x v="1"/>
    <n v="103.91999999999999"/>
    <n v="398.26569999999992"/>
    <n v="0.58778859959928087"/>
    <n v="0.66509932878048805"/>
    <n v="7.7310729181207183E-2"/>
    <n v="82"/>
    <n v="103"/>
    <n v="4.3610416674072213E-8"/>
    <n v="-4.3610416674072213E-8"/>
  </r>
  <r>
    <x v="54"/>
    <x v="4"/>
    <s v="jason-8"/>
    <s v="WR-2"/>
    <n v="6"/>
    <n v="10.029999999999999"/>
    <n v="40.449599999999997"/>
    <s v="WR"/>
    <x v="0"/>
    <x v="4"/>
    <n v="93.289999999999992"/>
    <n v="315.97840000000008"/>
    <e v="#N/A"/>
    <x v="6"/>
    <n v="0"/>
    <n v="0"/>
    <n v="0.99999992318369246"/>
    <n v="0.99999996221811949"/>
    <n v="3.9034427024020601E-8"/>
    <n v="75"/>
    <n v="0"/>
    <n v="1"/>
    <n v="0"/>
  </r>
  <r>
    <x v="191"/>
    <x v="3"/>
    <s v="jason-3"/>
    <s v="WR-3"/>
    <n v="0"/>
    <n v="7.13"/>
    <n v="27.352900000000002"/>
    <s v="WR"/>
    <x v="0"/>
    <x v="4"/>
    <n v="99.87"/>
    <n v="418.53290000000004"/>
    <e v="#N/A"/>
    <x v="6"/>
    <n v="0"/>
    <n v="0"/>
    <n v="0.99999947409897594"/>
    <n v="0.99999862717715104"/>
    <n v="-8.4692182489298773E-7"/>
    <n v="53"/>
    <n v="0"/>
    <n v="1"/>
    <n v="0"/>
  </r>
  <r>
    <x v="80"/>
    <x v="2"/>
    <s v="jason-13"/>
    <s v="WR-1"/>
    <n v="5"/>
    <n v="11"/>
    <n v="38.564100000000003"/>
    <s v="WR"/>
    <x v="0"/>
    <x v="4"/>
    <n v="75.67"/>
    <n v="278.80779999999999"/>
    <e v="#N/A"/>
    <x v="6"/>
    <n v="0"/>
    <n v="0"/>
    <n v="0.9999970759175304"/>
    <n v="0.99999651982902127"/>
    <n v="-5.5608850912935992E-7"/>
    <n v="59"/>
    <n v="0"/>
    <n v="1"/>
    <n v="0"/>
  </r>
  <r>
    <x v="63"/>
    <x v="12"/>
    <s v="perry-6"/>
    <s v="K"/>
    <n v="11"/>
    <n v="6.55"/>
    <n v="16.3216"/>
    <s v="K"/>
    <x v="1"/>
    <x v="7"/>
    <n v="88.72"/>
    <n v="407.6961"/>
    <s v="matty-6"/>
    <x v="3"/>
    <n v="109.91000000000001"/>
    <n v="387.28550000000001"/>
    <n v="0.22616370321424212"/>
    <n v="0.27428521722068622"/>
    <n v="4.8121514006444099E-2"/>
    <n v="102"/>
    <n v="119"/>
    <n v="5.4991562559071788E-8"/>
    <n v="-5.4991562559071788E-8"/>
  </r>
  <r>
    <x v="15"/>
    <x v="10"/>
    <s v="jason-2"/>
    <s v="WR-2"/>
    <n v="2"/>
    <n v="10.56"/>
    <n v="39.69"/>
    <s v="WR"/>
    <x v="0"/>
    <x v="4"/>
    <n v="103.97000000000001"/>
    <n v="402.37729999999999"/>
    <e v="#N/A"/>
    <x v="6"/>
    <n v="0"/>
    <n v="0"/>
    <n v="0.9999998908980352"/>
    <n v="0.99999972768657386"/>
    <n v="-1.6321146134590236E-7"/>
    <n v="60"/>
    <n v="0"/>
    <n v="1"/>
    <n v="0"/>
  </r>
  <r>
    <x v="118"/>
    <x v="10"/>
    <s v="comp-2"/>
    <s v="WR/RB"/>
    <n v="4"/>
    <n v="7.66"/>
    <n v="28.622499999999999"/>
    <s v="WR/RB"/>
    <x v="0"/>
    <x v="2"/>
    <n v="103.61999999999999"/>
    <n v="357.30130000000003"/>
    <s v="cory-2"/>
    <x v="4"/>
    <n v="102.7"/>
    <n v="377.5104"/>
    <n v="0.51353712670419016"/>
    <n v="0.45893884795219431"/>
    <n v="-5.4598278751995855E-2"/>
    <n v="65"/>
    <n v="97"/>
    <n v="5.8797141799106892E-8"/>
    <n v="-5.8797141799106892E-8"/>
  </r>
  <r>
    <x v="99"/>
    <x v="5"/>
    <s v="chad-7"/>
    <s v="K"/>
    <n v="17"/>
    <n v="7.72"/>
    <n v="17.808399999999999"/>
    <s v="K"/>
    <x v="1"/>
    <x v="3"/>
    <n v="99.759999999999991"/>
    <n v="339.923"/>
    <s v="perry-7"/>
    <x v="10"/>
    <n v="103.81000000000002"/>
    <n v="404.20889999999997"/>
    <n v="0.44098709635876499"/>
    <n v="0.57693565661490376"/>
    <n v="0.13594856025613877"/>
    <n v="102"/>
    <n v="115"/>
    <n v="6.4725736670086125E-8"/>
    <n v="-6.4725736670086125E-8"/>
  </r>
  <r>
    <x v="6"/>
    <x v="8"/>
    <s v="jason-9"/>
    <s v="K"/>
    <n v="9"/>
    <n v="6.99"/>
    <n v="21.068100000000001"/>
    <s v="K"/>
    <x v="1"/>
    <x v="4"/>
    <n v="81.42"/>
    <n v="278.07840000000004"/>
    <e v="#N/A"/>
    <x v="6"/>
    <n v="0"/>
    <n v="0"/>
    <n v="0.99999947640964748"/>
    <n v="0.99999990253895454"/>
    <n v="4.2612930706287244E-7"/>
    <n v="67"/>
    <n v="0"/>
    <n v="1"/>
    <n v="0"/>
  </r>
  <r>
    <x v="206"/>
    <x v="2"/>
    <s v="scott-13"/>
    <s v="K"/>
    <n v="2"/>
    <n v="5.46"/>
    <n v="10.4329"/>
    <s v="K"/>
    <x v="1"/>
    <x v="9"/>
    <n v="108.61"/>
    <n v="407.25390000000004"/>
    <s v="cory-13"/>
    <x v="4"/>
    <n v="106.87"/>
    <n v="444.05589999999995"/>
    <n v="0.52377705912504058"/>
    <n v="0.47635073197417649"/>
    <n v="-4.7426327150864089E-2"/>
    <n v="66"/>
    <n v="86"/>
    <n v="1.5216705824529808E-7"/>
    <n v="-1.5216705824529808E-7"/>
  </r>
  <r>
    <x v="82"/>
    <x v="10"/>
    <s v="jason-2"/>
    <s v="TE-1"/>
    <n v="17"/>
    <n v="11.37"/>
    <n v="87.796899999999994"/>
    <s v="TE"/>
    <x v="3"/>
    <x v="4"/>
    <n v="103.97000000000001"/>
    <n v="402.37729999999999"/>
    <e v="#N/A"/>
    <x v="6"/>
    <n v="0"/>
    <n v="0"/>
    <n v="0.9999998908980352"/>
    <n v="0.99999999967822573"/>
    <n v="1.0878019052196208E-7"/>
    <n v="60"/>
    <n v="0"/>
    <n v="0.999999996734526"/>
    <n v="3.2654740023119189E-9"/>
  </r>
  <r>
    <x v="121"/>
    <x v="12"/>
    <s v="cory-6"/>
    <s v="K"/>
    <n v="4"/>
    <n v="6.87"/>
    <n v="10.112399999999999"/>
    <s v="K"/>
    <x v="1"/>
    <x v="5"/>
    <n v="102.10000000000001"/>
    <n v="445.16630000000004"/>
    <s v="aj-6"/>
    <x v="2"/>
    <n v="108.8"/>
    <n v="404.29040000000003"/>
    <n v="0.40909189376360988"/>
    <n v="0.37057708135332174"/>
    <n v="-3.8514812410288146E-2"/>
    <n v="85"/>
    <n v="104"/>
    <n v="1.9649012693505091E-7"/>
    <n v="-1.9649012693505091E-7"/>
  </r>
  <r>
    <x v="100"/>
    <x v="3"/>
    <s v="perry-3"/>
    <s v="D/ST"/>
    <n v="6"/>
    <n v="8.9600000000000009"/>
    <n v="28.515599999999999"/>
    <s v="D/ST"/>
    <x v="5"/>
    <x v="7"/>
    <n v="101.86999999999999"/>
    <n v="350.57169999999996"/>
    <s v="scott-3"/>
    <x v="5"/>
    <n v="110.35"/>
    <n v="442.53309999999999"/>
    <n v="0.38166388462507189"/>
    <n v="0.33953769514350629"/>
    <n v="-4.2126189481565601E-2"/>
    <n v="102"/>
    <n v="132"/>
    <n v="2.0563020824662257E-7"/>
    <n v="-2.0563020824662257E-7"/>
  </r>
  <r>
    <x v="111"/>
    <x v="9"/>
    <s v="jason-4"/>
    <s v="QB-1"/>
    <n v="22"/>
    <n v="17.97"/>
    <n v="28.729600000000001"/>
    <s v="QB"/>
    <x v="4"/>
    <x v="4"/>
    <n v="103.94999999999999"/>
    <n v="368.50220000000002"/>
    <e v="#N/A"/>
    <x v="6"/>
    <n v="0"/>
    <n v="0"/>
    <n v="0.99999996936843616"/>
    <n v="0.99999999765758474"/>
    <n v="2.8289148579219159E-8"/>
    <n v="69"/>
    <n v="0"/>
    <n v="1"/>
    <n v="0"/>
  </r>
  <r>
    <x v="216"/>
    <x v="11"/>
    <s v="perry-1"/>
    <s v="RB-2"/>
    <n v="8"/>
    <n v="6.19"/>
    <n v="15.602499999999999"/>
    <s v="RB"/>
    <x v="2"/>
    <x v="7"/>
    <n v="94.44"/>
    <n v="399.28809999999999"/>
    <s v="cory-1"/>
    <x v="4"/>
    <n v="105.11000000000001"/>
    <n v="445.52289999999994"/>
    <n v="0.35677213328906182"/>
    <n v="0.37916222369653307"/>
    <n v="2.2390090407471253E-2"/>
    <n v="82"/>
    <n v="100"/>
    <n v="2.6490559145162998E-7"/>
    <n v="-2.6490559145162998E-7"/>
  </r>
  <r>
    <x v="106"/>
    <x v="10"/>
    <s v="jason-2"/>
    <s v="QB-1"/>
    <n v="11"/>
    <n v="20.13"/>
    <n v="43.0336"/>
    <s v="QB"/>
    <x v="4"/>
    <x v="4"/>
    <n v="103.97000000000001"/>
    <n v="402.37729999999999"/>
    <e v="#N/A"/>
    <x v="6"/>
    <n v="0"/>
    <n v="0"/>
    <n v="0.9999998908980352"/>
    <n v="0.99999971787692732"/>
    <n v="-1.7302110788541825E-7"/>
    <n v="60"/>
    <n v="0"/>
    <n v="1"/>
    <n v="0"/>
  </r>
  <r>
    <x v="195"/>
    <x v="11"/>
    <s v="perry-1"/>
    <s v="K"/>
    <n v="6"/>
    <n v="7.04"/>
    <n v="11.492100000000001"/>
    <s v="K"/>
    <x v="1"/>
    <x v="7"/>
    <n v="94.44"/>
    <n v="399.28809999999999"/>
    <s v="cory-1"/>
    <x v="4"/>
    <n v="105.11000000000001"/>
    <n v="445.52289999999994"/>
    <n v="0.35677213328906182"/>
    <n v="0.34249996164870677"/>
    <n v="-1.4272171640355047E-2"/>
    <n v="82"/>
    <n v="100"/>
    <n v="2.8229815866508097E-7"/>
    <n v="-2.8229815866508097E-7"/>
  </r>
  <r>
    <x v="57"/>
    <x v="6"/>
    <s v="matty-11"/>
    <s v="D/ST"/>
    <n v="19"/>
    <n v="7.09"/>
    <n v="17.556100000000001"/>
    <s v="D/ST"/>
    <x v="5"/>
    <x v="0"/>
    <n v="88.670000000000016"/>
    <n v="334.39179999999999"/>
    <s v="comp-11"/>
    <x v="8"/>
    <n v="98.580000000000013"/>
    <n v="364.4375"/>
    <n v="0.35387619533584119"/>
    <n v="0.53053898454167525"/>
    <n v="0.17666278920583406"/>
    <n v="102"/>
    <n v="111"/>
    <n v="3.0118856506217825E-7"/>
    <n v="-3.0118856506217825E-7"/>
  </r>
  <r>
    <x v="20"/>
    <x v="11"/>
    <s v="aj-1"/>
    <s v="QB-1"/>
    <n v="8"/>
    <n v="18.98"/>
    <n v="58.216900000000003"/>
    <s v="QB"/>
    <x v="4"/>
    <x v="6"/>
    <n v="90.7"/>
    <n v="347.93650000000002"/>
    <s v="scott-1"/>
    <x v="5"/>
    <n v="102.78"/>
    <n v="382.14119999999997"/>
    <n v="0.32740970845919121"/>
    <n v="0.1868266670183025"/>
    <n v="-0.14058304144088871"/>
    <n v="71"/>
    <n v="120"/>
    <n v="3.1309127022773932E-7"/>
    <n v="-3.1309127022773932E-7"/>
  </r>
  <r>
    <x v="18"/>
    <x v="12"/>
    <s v="perry-6"/>
    <s v="TE-1"/>
    <n v="13"/>
    <n v="6.78"/>
    <n v="22.7529"/>
    <s v="TE"/>
    <x v="3"/>
    <x v="7"/>
    <n v="88.72"/>
    <n v="407.6961"/>
    <s v="matty-6"/>
    <x v="3"/>
    <n v="109.91000000000001"/>
    <n v="387.28550000000001"/>
    <n v="0.22616370321424212"/>
    <n v="0.29504614260673134"/>
    <n v="6.8882439392489225E-2"/>
    <n v="102"/>
    <n v="119"/>
    <n v="5.6388190168935735E-7"/>
    <n v="-5.6388190168935735E-7"/>
  </r>
  <r>
    <x v="100"/>
    <x v="12"/>
    <s v="perry-6"/>
    <s v="D/ST"/>
    <n v="10"/>
    <n v="2.7"/>
    <n v="25.401599999999998"/>
    <s v="D/ST"/>
    <x v="5"/>
    <x v="7"/>
    <n v="88.72"/>
    <n v="407.6961"/>
    <s v="matty-6"/>
    <x v="3"/>
    <n v="109.91000000000001"/>
    <n v="387.28550000000001"/>
    <n v="0.22616370321424212"/>
    <n v="0.30829204177811387"/>
    <n v="8.212833856387175E-2"/>
    <n v="102"/>
    <n v="119"/>
    <n v="7.1266879572589957E-7"/>
    <n v="-7.1266879572589957E-7"/>
  </r>
  <r>
    <x v="205"/>
    <x v="8"/>
    <s v="jason-9"/>
    <s v="WR-3"/>
    <n v="5"/>
    <n v="6.63"/>
    <n v="17.977599999999999"/>
    <s v="WR"/>
    <x v="0"/>
    <x v="4"/>
    <n v="81.42"/>
    <n v="278.07840000000004"/>
    <e v="#N/A"/>
    <x v="6"/>
    <n v="0"/>
    <n v="0"/>
    <n v="0.99999947640964748"/>
    <n v="0.99999962395651887"/>
    <n v="1.4754687138740508E-7"/>
    <n v="67"/>
    <n v="0"/>
    <n v="1"/>
    <n v="0"/>
  </r>
  <r>
    <x v="150"/>
    <x v="1"/>
    <s v="scott-12"/>
    <s v="RB-1"/>
    <n v="1"/>
    <n v="11.57"/>
    <n v="46.24"/>
    <s v="RB"/>
    <x v="2"/>
    <x v="9"/>
    <n v="109.82"/>
    <n v="367.76499999999999"/>
    <s v="perry-12"/>
    <x v="10"/>
    <n v="117.67999999999999"/>
    <n v="426.54240000000004"/>
    <n v="0.39016577980232847"/>
    <n v="0.25020741689235909"/>
    <n v="-0.13995836290996938"/>
    <n v="88"/>
    <n v="131"/>
    <n v="9.2517290713070981E-7"/>
    <n v="-9.2517290713070981E-7"/>
  </r>
  <r>
    <x v="204"/>
    <x v="8"/>
    <s v="jason-9"/>
    <s v="WR/RB"/>
    <n v="4"/>
    <n v="6.52"/>
    <n v="16.728100000000001"/>
    <s v="WR/RB"/>
    <x v="0"/>
    <x v="4"/>
    <n v="81.42"/>
    <n v="278.07840000000004"/>
    <e v="#N/A"/>
    <x v="6"/>
    <n v="0"/>
    <n v="0"/>
    <n v="0.99999947640964748"/>
    <n v="0.99999947094964647"/>
    <n v="-5.460001006873938E-9"/>
    <n v="67"/>
    <n v="0"/>
    <n v="1"/>
    <n v="0"/>
  </r>
  <r>
    <x v="153"/>
    <x v="11"/>
    <s v="matty-1"/>
    <s v="QB-1"/>
    <n v="26"/>
    <n v="15.78"/>
    <n v="37.699599999999997"/>
    <s v="QB"/>
    <x v="4"/>
    <x v="0"/>
    <n v="96.11"/>
    <n v="397.37959999999998"/>
    <s v="chad-1"/>
    <x v="1"/>
    <n v="101.75"/>
    <n v="333.15260000000001"/>
    <n v="0.41735304190298633"/>
    <n v="0.56906759516915306"/>
    <n v="0.15171455326616673"/>
    <n v="76"/>
    <n v="95"/>
    <n v="9.7297625407487569E-7"/>
    <n v="-9.7297625407487569E-7"/>
  </r>
  <r>
    <x v="54"/>
    <x v="9"/>
    <s v="jason-4"/>
    <s v="WR/RB"/>
    <n v="12"/>
    <n v="8.32"/>
    <n v="31.922499999999999"/>
    <s v="WR/RB"/>
    <x v="0"/>
    <x v="4"/>
    <n v="103.94999999999999"/>
    <n v="368.50220000000002"/>
    <e v="#N/A"/>
    <x v="6"/>
    <n v="0"/>
    <n v="0"/>
    <n v="0.99999996936843616"/>
    <n v="0.99999999777641557"/>
    <n v="2.8407979413280771E-8"/>
    <n v="69"/>
    <n v="0"/>
    <n v="1"/>
    <n v="0"/>
  </r>
  <r>
    <x v="79"/>
    <x v="9"/>
    <s v="comp-4"/>
    <s v="RB-2"/>
    <n v="4"/>
    <n v="8.8800000000000008"/>
    <n v="38.068899999999999"/>
    <s v="RB"/>
    <x v="2"/>
    <x v="2"/>
    <n v="103.70000000000002"/>
    <n v="412.10110000000003"/>
    <s v="aj-4"/>
    <x v="2"/>
    <n v="118.09999999999998"/>
    <n v="465.47660000000008"/>
    <n v="0.31345048172071355"/>
    <n v="0.25289165692253013"/>
    <n v="-6.0558824798183419E-2"/>
    <n v="46"/>
    <n v="80"/>
    <n v="1.1814802696284285E-6"/>
    <n v="-1.1814802696284285E-6"/>
  </r>
  <r>
    <x v="24"/>
    <x v="4"/>
    <s v="seth-8"/>
    <s v="D/ST"/>
    <n v="15"/>
    <n v="6.05"/>
    <n v="26.01"/>
    <s v="D/ST"/>
    <x v="5"/>
    <x v="1"/>
    <n v="96.57"/>
    <n v="368.03749999999997"/>
    <s v="devon-8"/>
    <x v="7"/>
    <n v="102.43"/>
    <n v="452.86560000000003"/>
    <n v="0.41897065981019621"/>
    <n v="0.54363605035939733"/>
    <n v="0.12466539054920112"/>
    <n v="85"/>
    <n v="100"/>
    <n v="1.3260187215961529E-6"/>
    <n v="-1.3260187215961529E-6"/>
  </r>
  <r>
    <x v="100"/>
    <x v="2"/>
    <s v="perry-13"/>
    <s v="D/ST"/>
    <n v="1"/>
    <n v="6.42"/>
    <n v="37.088099999999997"/>
    <s v="D/ST"/>
    <x v="5"/>
    <x v="7"/>
    <n v="108.77"/>
    <n v="411.30060000000003"/>
    <s v="devon-13"/>
    <x v="7"/>
    <n v="97.46"/>
    <n v="368.81949999999995"/>
    <n v="0.6572361742103181"/>
    <n v="0.58553671684905639"/>
    <n v="-7.1699457361261709E-2"/>
    <n v="99"/>
    <n v="133"/>
    <n v="1.346537444970296E-6"/>
    <n v="-1.346537444970296E-6"/>
  </r>
  <r>
    <x v="111"/>
    <x v="2"/>
    <s v="jason-13"/>
    <s v="QB-1"/>
    <n v="14"/>
    <n v="16.38"/>
    <n v="60.996099999999998"/>
    <s v="QB"/>
    <x v="4"/>
    <x v="4"/>
    <n v="75.67"/>
    <n v="278.80779999999999"/>
    <e v="#N/A"/>
    <x v="6"/>
    <n v="0"/>
    <n v="0"/>
    <n v="0.9999970759175304"/>
    <n v="0.99999965820794701"/>
    <n v="2.5822904166084015E-6"/>
    <n v="59"/>
    <n v="0"/>
    <n v="0.99999999999999811"/>
    <n v="1.8873791418627661E-15"/>
  </r>
  <r>
    <x v="178"/>
    <x v="2"/>
    <s v="scott-13"/>
    <s v="WR-3"/>
    <n v="4"/>
    <n v="5.56"/>
    <n v="15.602499999999999"/>
    <s v="WR"/>
    <x v="0"/>
    <x v="9"/>
    <n v="108.61"/>
    <n v="407.25390000000004"/>
    <s v="cory-13"/>
    <x v="4"/>
    <n v="106.87"/>
    <n v="444.05589999999995"/>
    <n v="0.52377705912504058"/>
    <n v="0.50248400615028688"/>
    <n v="-2.1293052974753701E-2"/>
    <n v="66"/>
    <n v="86"/>
    <n v="1.5181089377064901E-6"/>
    <n v="-1.5181089377064901E-6"/>
  </r>
  <r>
    <x v="97"/>
    <x v="6"/>
    <s v="chad-11"/>
    <s v="WR/RB"/>
    <n v="10"/>
    <n v="11.36"/>
    <n v="40.449599999999997"/>
    <s v="WR/RB"/>
    <x v="0"/>
    <x v="3"/>
    <n v="106.58"/>
    <n v="427.68610000000001"/>
    <s v="cory-11"/>
    <x v="4"/>
    <n v="102.11"/>
    <n v="431.97960000000006"/>
    <n v="0.56058610538956244"/>
    <n v="0.54326306684778647"/>
    <n v="-1.732303854177597E-2"/>
    <n v="99"/>
    <n v="130"/>
    <n v="1.5781509109483487E-6"/>
    <n v="-1.5781509109483487E-6"/>
  </r>
  <r>
    <x v="131"/>
    <x v="9"/>
    <s v="jason-4"/>
    <s v="D/ST"/>
    <n v="9"/>
    <n v="9.64"/>
    <n v="23.136099999999999"/>
    <s v="D/ST"/>
    <x v="5"/>
    <x v="4"/>
    <n v="103.94999999999999"/>
    <n v="368.50220000000002"/>
    <e v="#N/A"/>
    <x v="6"/>
    <n v="0"/>
    <n v="0"/>
    <n v="0.99999996936843616"/>
    <n v="0.99999998643956789"/>
    <n v="1.7071131730439504E-8"/>
    <n v="69"/>
    <n v="0"/>
    <n v="1"/>
    <n v="0"/>
  </r>
  <r>
    <x v="77"/>
    <x v="2"/>
    <s v="perry-13"/>
    <s v="RB-2"/>
    <n v="23"/>
    <n v="16.13"/>
    <n v="77.44"/>
    <s v="RB"/>
    <x v="2"/>
    <x v="7"/>
    <n v="108.77"/>
    <n v="411.30060000000003"/>
    <s v="devon-13"/>
    <x v="7"/>
    <n v="97.46"/>
    <n v="368.81949999999995"/>
    <n v="0.6572361742103181"/>
    <n v="0.75358913152887652"/>
    <n v="9.6352957318558419E-2"/>
    <n v="99"/>
    <n v="133"/>
    <n v="1.7060068820259048E-6"/>
    <n v="-1.7060068820259048E-6"/>
  </r>
  <r>
    <x v="93"/>
    <x v="6"/>
    <s v="chad-11"/>
    <s v="WR-1"/>
    <n v="2"/>
    <n v="8.16"/>
    <n v="28.729600000000001"/>
    <s v="WR"/>
    <x v="0"/>
    <x v="3"/>
    <n v="106.58"/>
    <n v="427.68610000000001"/>
    <s v="cory-11"/>
    <x v="4"/>
    <n v="102.11"/>
    <n v="431.97960000000006"/>
    <n v="0.56058610538956244"/>
    <n v="0.47662432177527303"/>
    <n v="-8.3961783614289409E-2"/>
    <n v="99"/>
    <n v="130"/>
    <n v="1.7904910450252605E-6"/>
    <n v="-1.7904910450252605E-6"/>
  </r>
  <r>
    <x v="141"/>
    <x v="12"/>
    <s v="devon-6"/>
    <s v="K"/>
    <n v="5"/>
    <n v="6.97"/>
    <n v="13.616099999999999"/>
    <s v="K"/>
    <x v="1"/>
    <x v="8"/>
    <n v="101.41999999999999"/>
    <n v="401.13359999999994"/>
    <s v="comp-6"/>
    <x v="8"/>
    <n v="104.66"/>
    <n v="375.94899999999996"/>
    <n v="0.45373585390093107"/>
    <n v="0.42522000655944869"/>
    <n v="-2.8515847341482381E-2"/>
    <n v="72"/>
    <n v="91"/>
    <n v="1.9638102180221797E-6"/>
    <n v="-1.9638102180221797E-6"/>
  </r>
  <r>
    <x v="100"/>
    <x v="11"/>
    <s v="perry-1"/>
    <s v="D/ST"/>
    <n v="19"/>
    <n v="8.34"/>
    <n v="39.187600000000003"/>
    <s v="D/ST"/>
    <x v="5"/>
    <x v="7"/>
    <n v="94.44"/>
    <n v="399.28809999999999"/>
    <s v="cory-1"/>
    <x v="4"/>
    <n v="105.11000000000001"/>
    <n v="445.52289999999994"/>
    <n v="0.35677213328906182"/>
    <n v="0.49985944573748892"/>
    <n v="0.1430873124484271"/>
    <n v="82"/>
    <n v="100"/>
    <n v="2.3441331117070672E-6"/>
    <n v="-2.3441331117070672E-6"/>
  </r>
  <r>
    <x v="212"/>
    <x v="3"/>
    <s v="jason-3"/>
    <s v="D/ST"/>
    <n v="0"/>
    <n v="5.44"/>
    <n v="41.990400000000001"/>
    <s v="D/ST"/>
    <x v="5"/>
    <x v="4"/>
    <n v="99.87"/>
    <n v="418.53290000000004"/>
    <e v="#N/A"/>
    <x v="6"/>
    <n v="0"/>
    <n v="0"/>
    <n v="0.99999947409897594"/>
    <n v="0.99999943159800753"/>
    <n v="-4.2500968411296469E-8"/>
    <n v="53"/>
    <n v="0"/>
    <n v="1"/>
    <n v="0"/>
  </r>
  <r>
    <x v="2"/>
    <x v="5"/>
    <s v="matty-7"/>
    <s v="WR-2"/>
    <n v="18"/>
    <n v="8.89"/>
    <n v="33.177599999999998"/>
    <s v="WR"/>
    <x v="0"/>
    <x v="0"/>
    <n v="87.490000000000009"/>
    <n v="277.88929999999999"/>
    <s v="scott-7"/>
    <x v="5"/>
    <n v="114.48000000000002"/>
    <n v="430.3667999999999"/>
    <n v="0.15525251215631256"/>
    <n v="0.24567554065685687"/>
    <n v="9.0423028500544317E-2"/>
    <n v="65"/>
    <n v="82"/>
    <n v="2.9077820187314182E-6"/>
    <n v="-2.9077820187314182E-6"/>
  </r>
  <r>
    <x v="48"/>
    <x v="12"/>
    <s v="devon-6"/>
    <s v="WR-3"/>
    <n v="9"/>
    <n v="6.78"/>
    <n v="22.184100000000001"/>
    <s v="WR"/>
    <x v="0"/>
    <x v="8"/>
    <n v="101.41999999999999"/>
    <n v="401.13359999999994"/>
    <s v="comp-6"/>
    <x v="8"/>
    <n v="104.66"/>
    <n v="375.94899999999996"/>
    <n v="0.45373585390093107"/>
    <n v="0.48519302960014254"/>
    <n v="3.145717569921147E-2"/>
    <n v="72"/>
    <n v="91"/>
    <n v="3.3138393161296585E-6"/>
    <n v="-3.3138393161296585E-6"/>
  </r>
  <r>
    <x v="86"/>
    <x v="12"/>
    <s v="scott-6"/>
    <s v="D/ST"/>
    <n v="7"/>
    <n v="7.34"/>
    <n v="56.700899999999997"/>
    <s v="D/ST"/>
    <x v="5"/>
    <x v="9"/>
    <n v="110.30999999999999"/>
    <n v="388.52729999999997"/>
    <s v="seth-6"/>
    <x v="0"/>
    <n v="90.009999999999991"/>
    <n v="295.93350000000004"/>
    <n v="0.78110442116748435"/>
    <n v="0.78717080557964725"/>
    <n v="6.0663844121628951E-3"/>
    <n v="96"/>
    <n v="130"/>
    <n v="3.9087948962962361E-6"/>
    <n v="-3.9087948962962361E-6"/>
  </r>
  <r>
    <x v="172"/>
    <x v="8"/>
    <s v="aj-9"/>
    <s v="K"/>
    <n v="5"/>
    <n v="8"/>
    <n v="12.8881"/>
    <s v="K"/>
    <x v="1"/>
    <x v="6"/>
    <n v="102.03999999999999"/>
    <n v="392.2131"/>
    <s v="perry-9"/>
    <x v="10"/>
    <n v="98.35"/>
    <n v="385.97739999999999"/>
    <n v="0.5526172882097643"/>
    <n v="0.50994941603267141"/>
    <n v="-4.2667872177092891E-2"/>
    <n v="86"/>
    <n v="105"/>
    <n v="4.1591321160733367E-6"/>
    <n v="-4.1591321160733367E-6"/>
  </r>
  <r>
    <x v="46"/>
    <x v="4"/>
    <s v="seth-8"/>
    <s v="K"/>
    <n v="10"/>
    <n v="7.19"/>
    <n v="16.080100000000002"/>
    <s v="K"/>
    <x v="1"/>
    <x v="1"/>
    <n v="96.57"/>
    <n v="368.03749999999997"/>
    <s v="devon-8"/>
    <x v="7"/>
    <n v="102.43"/>
    <n v="452.86560000000003"/>
    <n v="0.41897065981019621"/>
    <n v="0.45719211885537764"/>
    <n v="3.8221459045181427E-2"/>
    <n v="85"/>
    <n v="100"/>
    <n v="4.4688465006116992E-6"/>
    <n v="-4.4688465006116992E-6"/>
  </r>
  <r>
    <x v="102"/>
    <x v="0"/>
    <s v="aj-10"/>
    <s v="TE-1"/>
    <n v="6"/>
    <n v="6.68"/>
    <n v="20.976400000000002"/>
    <s v="TE"/>
    <x v="3"/>
    <x v="6"/>
    <n v="110.08000000000001"/>
    <n v="372.64320000000004"/>
    <s v="chad-10"/>
    <x v="1"/>
    <n v="103.91999999999999"/>
    <n v="398.26569999999992"/>
    <n v="0.58778859959928087"/>
    <n v="0.5793028459940468"/>
    <n v="-8.4857536052340699E-3"/>
    <n v="82"/>
    <n v="103"/>
    <n v="4.5678213631116891E-6"/>
    <n v="-4.5678213631116891E-6"/>
  </r>
  <r>
    <x v="150"/>
    <x v="10"/>
    <s v="scott-2"/>
    <s v="RB-2"/>
    <n v="0"/>
    <n v="9.6199999999999992"/>
    <n v="30.25"/>
    <s v="RB"/>
    <x v="2"/>
    <x v="9"/>
    <n v="103.25"/>
    <n v="377.00829999999996"/>
    <s v="devon-2"/>
    <x v="7"/>
    <n v="100.92999999999999"/>
    <n v="374.85250000000002"/>
    <n v="0.53371408733680603"/>
    <n v="0.39290669462325467"/>
    <n v="-0.14080739271355136"/>
    <n v="106"/>
    <n v="140"/>
    <n v="4.6524267869484619E-6"/>
    <n v="-4.6524267869484619E-6"/>
  </r>
  <r>
    <x v="145"/>
    <x v="10"/>
    <s v="scott-2"/>
    <s v="RB-1"/>
    <n v="21"/>
    <n v="15.21"/>
    <n v="80.820099999999996"/>
    <s v="RB"/>
    <x v="2"/>
    <x v="9"/>
    <n v="103.25"/>
    <n v="377.00829999999996"/>
    <s v="devon-2"/>
    <x v="7"/>
    <n v="100.92999999999999"/>
    <n v="374.85250000000002"/>
    <n v="0.53371408733680603"/>
    <n v="0.62288762058316205"/>
    <n v="8.9173533246356018E-2"/>
    <n v="106"/>
    <n v="140"/>
    <n v="4.7991830524066678E-6"/>
    <n v="-4.7991830524066678E-6"/>
  </r>
  <r>
    <x v="24"/>
    <x v="5"/>
    <s v="aj-7"/>
    <s v="D/ST"/>
    <n v="13"/>
    <n v="7.67"/>
    <n v="44.355600000000003"/>
    <s v="D/ST"/>
    <x v="5"/>
    <x v="6"/>
    <n v="114.01999999999998"/>
    <n v="381.58529999999996"/>
    <s v="devon-7"/>
    <x v="7"/>
    <n v="106.81"/>
    <n v="351.64060000000001"/>
    <n v="0.60498297578784854"/>
    <n v="0.68359693010448219"/>
    <n v="7.861395431663365E-2"/>
    <n v="93"/>
    <n v="117"/>
    <n v="5.3160026696496157E-6"/>
    <n v="-5.3160026696496157E-6"/>
  </r>
  <r>
    <x v="11"/>
    <x v="1"/>
    <s v="aj-12"/>
    <s v="WR/RB"/>
    <n v="8"/>
    <n v="14.77"/>
    <n v="60.996099999999998"/>
    <s v="WR/RB"/>
    <x v="2"/>
    <x v="6"/>
    <n v="111.09"/>
    <n v="408.5095"/>
    <s v="comp-12"/>
    <x v="8"/>
    <n v="98.639999999999986"/>
    <n v="309.06870000000004"/>
    <n v="0.67895062778258408"/>
    <n v="0.5877139902873677"/>
    <n v="-9.1236637495216377E-2"/>
    <n v="84"/>
    <n v="125"/>
    <n v="5.8570397957038916E-6"/>
    <n v="-5.8570397957038916E-6"/>
  </r>
  <r>
    <x v="5"/>
    <x v="6"/>
    <s v="chad-11"/>
    <s v="TE-1"/>
    <n v="8"/>
    <n v="11.19"/>
    <n v="42.120100000000001"/>
    <s v="TE"/>
    <x v="3"/>
    <x v="3"/>
    <n v="106.58"/>
    <n v="427.68610000000001"/>
    <s v="cory-11"/>
    <x v="4"/>
    <n v="102.11"/>
    <n v="431.97960000000006"/>
    <n v="0.56058610538956244"/>
    <n v="0.51785332061796141"/>
    <n v="-4.2732784771601029E-2"/>
    <n v="99"/>
    <n v="130"/>
    <n v="9.1347432861698679E-6"/>
    <n v="-9.1347432861698679E-6"/>
  </r>
  <r>
    <x v="31"/>
    <x v="7"/>
    <s v="chad-5"/>
    <s v="RB-1"/>
    <n v="2"/>
    <n v="15.08"/>
    <n v="74.822500000000005"/>
    <s v="RB"/>
    <x v="2"/>
    <x v="3"/>
    <n v="103.98"/>
    <n v="400.98380000000003"/>
    <s v="comp-5"/>
    <x v="8"/>
    <n v="98.17"/>
    <n v="359.81479999999999"/>
    <n v="0.58341598360206426"/>
    <n v="0.3906694181818775"/>
    <n v="-0.19274656542018676"/>
    <n v="71"/>
    <n v="121"/>
    <n v="9.8524733845861351E-6"/>
    <n v="-9.8524733845861351E-6"/>
  </r>
  <r>
    <x v="20"/>
    <x v="5"/>
    <s v="aj-7"/>
    <s v="QB-1"/>
    <n v="26"/>
    <n v="18.760000000000002"/>
    <n v="53.875599999999999"/>
    <s v="QB"/>
    <x v="4"/>
    <x v="6"/>
    <n v="114.01999999999998"/>
    <n v="381.58529999999996"/>
    <s v="devon-7"/>
    <x v="7"/>
    <n v="106.81"/>
    <n v="351.64060000000001"/>
    <n v="0.60498297578784854"/>
    <n v="0.71034644983986128"/>
    <n v="0.10536347405201274"/>
    <n v="93"/>
    <n v="117"/>
    <n v="1.0399753094195222E-5"/>
    <n v="-1.0399753094195222E-5"/>
  </r>
  <r>
    <x v="142"/>
    <x v="8"/>
    <s v="aj-9"/>
    <s v="WR-3"/>
    <n v="13"/>
    <n v="8.02"/>
    <n v="31.922499999999999"/>
    <s v="WR"/>
    <x v="0"/>
    <x v="6"/>
    <n v="102.03999999999999"/>
    <n v="392.2131"/>
    <s v="perry-9"/>
    <x v="10"/>
    <n v="98.35"/>
    <n v="385.97739999999999"/>
    <n v="0.5526172882097643"/>
    <n v="0.62452017827203699"/>
    <n v="7.1902890062272684E-2"/>
    <n v="86"/>
    <n v="105"/>
    <n v="1.096639466219797E-5"/>
    <n v="-1.096639466219797E-5"/>
  </r>
  <r>
    <x v="29"/>
    <x v="6"/>
    <s v="devon-11"/>
    <s v="QB-1"/>
    <n v="7"/>
    <n v="21.63"/>
    <n v="54.908099999999997"/>
    <s v="QB"/>
    <x v="4"/>
    <x v="8"/>
    <n v="100.25"/>
    <n v="448.76889999999997"/>
    <s v="scott-11"/>
    <x v="5"/>
    <n v="105.39999999999999"/>
    <n v="342.09739999999999"/>
    <n v="0.42734863744074048"/>
    <n v="0.23296377048877659"/>
    <n v="-0.19438486695196389"/>
    <n v="78"/>
    <n v="124"/>
    <n v="1.1505732288301702E-5"/>
    <n v="-1.1505732288301702E-5"/>
  </r>
  <r>
    <x v="27"/>
    <x v="12"/>
    <s v="cory-6"/>
    <s v="TE-1"/>
    <n v="13"/>
    <n v="7.77"/>
    <n v="33.0625"/>
    <s v="TE"/>
    <x v="3"/>
    <x v="5"/>
    <n v="102.10000000000001"/>
    <n v="445.16630000000004"/>
    <s v="aj-6"/>
    <x v="2"/>
    <n v="108.8"/>
    <n v="404.29040000000003"/>
    <n v="0.40909189376360988"/>
    <n v="0.47948432118730672"/>
    <n v="7.0392427423696835E-2"/>
    <n v="85"/>
    <n v="104"/>
    <n v="1.2549197429263619E-5"/>
    <n v="-1.2549197429263619E-5"/>
  </r>
  <r>
    <x v="22"/>
    <x v="2"/>
    <s v="comp-13"/>
    <s v="K"/>
    <n v="13"/>
    <n v="8.75"/>
    <n v="18.835599999999999"/>
    <s v="K"/>
    <x v="1"/>
    <x v="2"/>
    <n v="104.63999999999999"/>
    <n v="400.33339999999998"/>
    <s v="chad-13"/>
    <x v="1"/>
    <n v="113.35"/>
    <n v="486.24799999999993"/>
    <n v="0.3849436901786526"/>
    <n v="0.4398283453543842"/>
    <n v="5.48846551757316E-2"/>
    <n v="81"/>
    <n v="95"/>
    <n v="1.3050118743065281E-5"/>
    <n v="-1.3050118743065281E-5"/>
  </r>
  <r>
    <x v="121"/>
    <x v="0"/>
    <s v="cory-10"/>
    <s v="K"/>
    <n v="11"/>
    <n v="8.07"/>
    <n v="18.232900000000001"/>
    <s v="K"/>
    <x v="1"/>
    <x v="5"/>
    <n v="93.17"/>
    <n v="328.34589999999997"/>
    <s v="perry-10"/>
    <x v="10"/>
    <n v="103.49"/>
    <n v="345.28400000000005"/>
    <n v="0.34545488835543114"/>
    <n v="0.3864193617865202"/>
    <n v="4.0964473431089055E-2"/>
    <n v="91"/>
    <n v="106"/>
    <n v="1.3401073760549131E-5"/>
    <n v="-1.3401073760549131E-5"/>
  </r>
  <r>
    <x v="188"/>
    <x v="7"/>
    <s v="scott-5"/>
    <s v="K"/>
    <n v="3"/>
    <n v="8.15"/>
    <n v="20.25"/>
    <s v="K"/>
    <x v="1"/>
    <x v="9"/>
    <n v="107.89"/>
    <n v="441.71269999999998"/>
    <s v="lucas-5"/>
    <x v="9"/>
    <n v="0"/>
    <n v="0"/>
    <n v="0.99999985777778666"/>
    <n v="0.99999971995213532"/>
    <n v="-1.3782565133624303E-7"/>
    <n v="69"/>
    <n v="0"/>
    <n v="1"/>
    <n v="0"/>
  </r>
  <r>
    <x v="64"/>
    <x v="4"/>
    <s v="perry-8"/>
    <s v="WR-1"/>
    <n v="3"/>
    <n v="10.25"/>
    <n v="44.089599999999997"/>
    <s v="WR"/>
    <x v="0"/>
    <x v="7"/>
    <n v="115.82"/>
    <n v="434.36700000000002"/>
    <s v="comp-8"/>
    <x v="8"/>
    <n v="100.87"/>
    <n v="421.5641"/>
    <n v="0.69532483792586408"/>
    <n v="0.60651349819955303"/>
    <n v="-8.8811339726311056E-2"/>
    <n v="80"/>
    <n v="115"/>
    <n v="1.4625732196200112E-5"/>
    <n v="-1.4625732196200112E-5"/>
  </r>
  <r>
    <x v="17"/>
    <x v="3"/>
    <s v="jason-3"/>
    <s v="RB-2"/>
    <n v="5"/>
    <n v="11.18"/>
    <n v="47.61"/>
    <s v="RB"/>
    <x v="2"/>
    <x v="4"/>
    <n v="99.87"/>
    <n v="418.53290000000004"/>
    <e v="#N/A"/>
    <x v="6"/>
    <n v="0"/>
    <n v="0"/>
    <n v="0.99999947409897594"/>
    <n v="0.99999942669642194"/>
    <n v="-4.7402553993158847E-8"/>
    <n v="53"/>
    <n v="0"/>
    <n v="1"/>
    <n v="0"/>
  </r>
  <r>
    <x v="35"/>
    <x v="12"/>
    <s v="cory-6"/>
    <s v="WR-2"/>
    <n v="12"/>
    <n v="8.3800000000000008"/>
    <n v="29.702500000000001"/>
    <s v="WR"/>
    <x v="0"/>
    <x v="5"/>
    <n v="102.10000000000001"/>
    <n v="445.16630000000004"/>
    <s v="aj-6"/>
    <x v="2"/>
    <n v="108.8"/>
    <n v="404.29040000000003"/>
    <n v="0.40909189376360988"/>
    <n v="0.45716665652890687"/>
    <n v="4.8074762765296986E-2"/>
    <n v="85"/>
    <n v="104"/>
    <n v="1.6590480773821482E-5"/>
    <n v="-1.6590480773821482E-5"/>
  </r>
  <r>
    <x v="191"/>
    <x v="9"/>
    <s v="jason-4"/>
    <s v="WR-3"/>
    <n v="3"/>
    <n v="6.37"/>
    <n v="22.372900000000001"/>
    <s v="WR"/>
    <x v="0"/>
    <x v="4"/>
    <n v="103.94999999999999"/>
    <n v="368.50220000000002"/>
    <e v="#N/A"/>
    <x v="6"/>
    <n v="0"/>
    <n v="0"/>
    <n v="0.99999996936843616"/>
    <n v="0.99999996781280742"/>
    <n v="-1.5556287369378197E-9"/>
    <n v="69"/>
    <n v="0"/>
    <n v="1"/>
    <n v="0"/>
  </r>
  <r>
    <x v="69"/>
    <x v="6"/>
    <s v="chad-11"/>
    <s v="WR-3"/>
    <n v="3"/>
    <n v="10.130000000000001"/>
    <n v="33.292900000000003"/>
    <s v="WR"/>
    <x v="0"/>
    <x v="3"/>
    <n v="106.58"/>
    <n v="427.68610000000001"/>
    <s v="cory-11"/>
    <x v="4"/>
    <n v="102.11"/>
    <n v="431.97960000000006"/>
    <n v="0.56058610538956244"/>
    <n v="0.46313754174576166"/>
    <n v="-9.7448563643800779E-2"/>
    <n v="99"/>
    <n v="130"/>
    <n v="1.7600315486939725E-5"/>
    <n v="-1.7600315486939725E-5"/>
  </r>
  <r>
    <x v="198"/>
    <x v="9"/>
    <s v="scott-4"/>
    <s v="TE-1"/>
    <n v="11"/>
    <n v="5.67"/>
    <n v="26.625599999999999"/>
    <s v="TE"/>
    <x v="3"/>
    <x v="9"/>
    <n v="113.07"/>
    <n v="452.41279999999995"/>
    <s v="cory-4"/>
    <x v="4"/>
    <n v="115.58999999999999"/>
    <n v="432.42160000000007"/>
    <n v="0.46624326985872333"/>
    <n v="0.53820800353857567"/>
    <n v="7.1964733679852344E-2"/>
    <n v="88"/>
    <n v="104"/>
    <n v="1.784684252647354E-5"/>
    <n v="-1.784684252647354E-5"/>
  </r>
  <r>
    <x v="1"/>
    <x v="6"/>
    <s v="seth-11"/>
    <s v="WR-2"/>
    <n v="14"/>
    <n v="9.0500000000000007"/>
    <n v="36.4816"/>
    <s v="WR"/>
    <x v="0"/>
    <x v="1"/>
    <n v="98.329999999999984"/>
    <n v="378.70709999999997"/>
    <s v="aj-11"/>
    <x v="2"/>
    <n v="110.11"/>
    <n v="412.79880000000003"/>
    <n v="0.33771232413612995"/>
    <n v="0.4018485842725667"/>
    <n v="6.4136260136436751E-2"/>
    <n v="111"/>
    <n v="131"/>
    <n v="1.8075566229131405E-5"/>
    <n v="-1.8075566229131405E-5"/>
  </r>
  <r>
    <x v="78"/>
    <x v="4"/>
    <s v="perry-8"/>
    <s v="RB-1"/>
    <n v="4"/>
    <n v="11.78"/>
    <n v="43.824399999999997"/>
    <s v="RB"/>
    <x v="2"/>
    <x v="7"/>
    <n v="115.82"/>
    <n v="434.36700000000002"/>
    <s v="comp-8"/>
    <x v="8"/>
    <n v="100.87"/>
    <n v="421.5641"/>
    <n v="0.69532483792586408"/>
    <n v="0.59932531228983332"/>
    <n v="-9.5999525636030758E-2"/>
    <n v="80"/>
    <n v="115"/>
    <n v="1.9630806168463715E-5"/>
    <n v="-1.9630806168463715E-5"/>
  </r>
  <r>
    <x v="83"/>
    <x v="6"/>
    <s v="jason-11"/>
    <s v="RB-2"/>
    <n v="3"/>
    <n v="11"/>
    <n v="43.296399999999998"/>
    <s v="RB"/>
    <x v="2"/>
    <x v="4"/>
    <n v="98.88000000000001"/>
    <n v="375.05889999999999"/>
    <e v="#N/A"/>
    <x v="6"/>
    <n v="0"/>
    <n v="0"/>
    <n v="0.99999983524900793"/>
    <n v="0.99999969727871529"/>
    <n v="-1.3797029263518112E-7"/>
    <n v="50"/>
    <n v="0"/>
    <n v="1"/>
    <n v="0"/>
  </r>
  <r>
    <x v="12"/>
    <x v="0"/>
    <s v="cory-10"/>
    <s v="D/ST"/>
    <n v="13"/>
    <n v="7.39"/>
    <n v="25.6036"/>
    <s v="D/ST"/>
    <x v="5"/>
    <x v="5"/>
    <n v="93.17"/>
    <n v="328.34589999999997"/>
    <s v="perry-10"/>
    <x v="10"/>
    <n v="103.49"/>
    <n v="345.28400000000005"/>
    <n v="0.34545488835543114"/>
    <n v="0.42660568615759531"/>
    <n v="8.1150797802164165E-2"/>
    <n v="91"/>
    <n v="106"/>
    <n v="2.3193502175942834E-5"/>
    <n v="-2.3193502175942834E-5"/>
  </r>
  <r>
    <x v="78"/>
    <x v="2"/>
    <s v="perry-13"/>
    <s v="RB-1"/>
    <n v="6"/>
    <n v="11.24"/>
    <n v="50.126399999999997"/>
    <s v="RB"/>
    <x v="2"/>
    <x v="7"/>
    <n v="108.77"/>
    <n v="411.30060000000003"/>
    <s v="devon-13"/>
    <x v="7"/>
    <n v="97.46"/>
    <n v="368.81949999999995"/>
    <n v="0.6572361742103181"/>
    <n v="0.58887878800058457"/>
    <n v="-6.8357386209733528E-2"/>
    <n v="99"/>
    <n v="133"/>
    <n v="2.4311731751896793E-5"/>
    <n v="-2.4311731751896793E-5"/>
  </r>
  <r>
    <x v="1"/>
    <x v="4"/>
    <s v="seth-8"/>
    <s v="WR-1"/>
    <n v="12"/>
    <n v="7.38"/>
    <n v="23.425599999999999"/>
    <s v="WR"/>
    <x v="0"/>
    <x v="1"/>
    <n v="96.57"/>
    <n v="368.03749999999997"/>
    <s v="devon-8"/>
    <x v="7"/>
    <n v="102.43"/>
    <n v="452.86560000000003"/>
    <n v="0.41897065981019621"/>
    <n v="0.48248811121222818"/>
    <n v="6.3517451402031966E-2"/>
    <n v="85"/>
    <n v="100"/>
    <n v="2.520488096815575E-5"/>
    <n v="-2.520488096815575E-5"/>
  </r>
  <r>
    <x v="16"/>
    <x v="6"/>
    <s v="devon-11"/>
    <s v="RB-1"/>
    <n v="3"/>
    <n v="10.15"/>
    <n v="92.352099999999993"/>
    <s v="RB"/>
    <x v="2"/>
    <x v="8"/>
    <n v="100.25"/>
    <n v="448.76889999999997"/>
    <s v="scott-11"/>
    <x v="5"/>
    <n v="105.39999999999999"/>
    <n v="342.09739999999999"/>
    <n v="0.42734863744074048"/>
    <n v="0.32082592648681596"/>
    <n v="-0.10652271095392452"/>
    <n v="78"/>
    <n v="124"/>
    <n v="2.6423674482764095E-5"/>
    <n v="-2.6423674482764095E-5"/>
  </r>
  <r>
    <x v="128"/>
    <x v="12"/>
    <s v="scott-6"/>
    <s v="QB-1"/>
    <n v="16"/>
    <n v="21.09"/>
    <n v="51.408900000000003"/>
    <s v="QB"/>
    <x v="4"/>
    <x v="9"/>
    <n v="110.30999999999999"/>
    <n v="388.52729999999997"/>
    <s v="seth-6"/>
    <x v="0"/>
    <n v="90.009999999999991"/>
    <n v="295.93350000000004"/>
    <n v="0.78110442116748435"/>
    <n v="0.72725049468905434"/>
    <n v="-5.3853926478430014E-2"/>
    <n v="96"/>
    <n v="130"/>
    <n v="2.7642903003521859E-5"/>
    <n v="-2.7642903003521859E-5"/>
  </r>
  <r>
    <x v="92"/>
    <x v="6"/>
    <s v="seth-11"/>
    <s v="QB-1"/>
    <n v="25"/>
    <n v="17.46"/>
    <n v="47.059600000000003"/>
    <s v="QB"/>
    <x v="4"/>
    <x v="1"/>
    <n v="98.329999999999984"/>
    <n v="378.70709999999997"/>
    <s v="aj-11"/>
    <x v="2"/>
    <n v="110.11"/>
    <n v="412.79880000000003"/>
    <n v="0.33771232413612995"/>
    <n v="0.43825325240099633"/>
    <n v="0.10054092826486638"/>
    <n v="111"/>
    <n v="131"/>
    <n v="2.9776217401653938E-5"/>
    <n v="-2.9776217401653938E-5"/>
  </r>
  <r>
    <x v="83"/>
    <x v="8"/>
    <s v="jason-9"/>
    <s v="RB-2"/>
    <n v="13"/>
    <n v="9.9700000000000006"/>
    <n v="39.0625"/>
    <s v="RB"/>
    <x v="2"/>
    <x v="4"/>
    <n v="81.42"/>
    <n v="278.07840000000004"/>
    <e v="#N/A"/>
    <x v="6"/>
    <n v="0"/>
    <n v="0"/>
    <n v="0.99999947640964748"/>
    <n v="0.99999997651758332"/>
    <n v="5.0010793584132074E-7"/>
    <n v="67"/>
    <n v="0"/>
    <n v="1"/>
    <n v="0"/>
  </r>
  <r>
    <x v="134"/>
    <x v="8"/>
    <s v="comp-9"/>
    <s v="WR-3"/>
    <n v="5"/>
    <n v="4.71"/>
    <n v="20.884899999999998"/>
    <s v="WR"/>
    <x v="0"/>
    <x v="2"/>
    <n v="80.800000000000011"/>
    <n v="290.44450000000001"/>
    <s v="seth-9"/>
    <x v="0"/>
    <n v="92.559999999999988"/>
    <n v="350.31569999999999"/>
    <n v="0.32111649346340621"/>
    <n v="0.32250957642451827"/>
    <n v="1.3930829611120688E-3"/>
    <n v="77"/>
    <n v="95"/>
    <n v="3.1379674799285113E-5"/>
    <n v="-3.1379674799285113E-5"/>
  </r>
  <r>
    <x v="71"/>
    <x v="4"/>
    <s v="perry-8"/>
    <s v="WR-3"/>
    <n v="6"/>
    <n v="12.82"/>
    <n v="49.702500000000001"/>
    <s v="WR"/>
    <x v="0"/>
    <x v="7"/>
    <n v="115.82"/>
    <n v="434.36700000000002"/>
    <s v="comp-8"/>
    <x v="8"/>
    <n v="100.87"/>
    <n v="421.5641"/>
    <n v="0.69532483792586408"/>
    <n v="0.6126859433397438"/>
    <n v="-8.2638894586120282E-2"/>
    <n v="80"/>
    <n v="115"/>
    <n v="3.2053063806034342E-5"/>
    <n v="-3.2053063806034342E-5"/>
  </r>
  <r>
    <x v="82"/>
    <x v="3"/>
    <s v="jason-3"/>
    <s v="TE-1"/>
    <n v="14"/>
    <n v="11.8"/>
    <n v="87.422499999999999"/>
    <s v="TE"/>
    <x v="3"/>
    <x v="4"/>
    <n v="99.87"/>
    <n v="418.53290000000004"/>
    <e v="#N/A"/>
    <x v="6"/>
    <n v="0"/>
    <n v="0"/>
    <n v="0.99999947409897594"/>
    <n v="0.9999999898449704"/>
    <n v="5.1574599446713165E-7"/>
    <n v="53"/>
    <n v="0"/>
    <n v="0.99999997231687532"/>
    <n v="2.7683124681487925E-8"/>
  </r>
  <r>
    <x v="114"/>
    <x v="3"/>
    <s v="perry-3"/>
    <s v="QB-1"/>
    <n v="20"/>
    <n v="20.21"/>
    <n v="56.100099999999998"/>
    <s v="QB"/>
    <x v="4"/>
    <x v="7"/>
    <n v="101.86999999999999"/>
    <n v="350.57169999999996"/>
    <s v="scott-3"/>
    <x v="5"/>
    <n v="110.35"/>
    <n v="442.53309999999999"/>
    <n v="0.38166388462507189"/>
    <n v="0.37444654956731072"/>
    <n v="-7.2173350577611761E-3"/>
    <n v="102"/>
    <n v="132"/>
    <n v="3.4850652466239674E-5"/>
    <n v="-3.4850652466239674E-5"/>
  </r>
  <r>
    <x v="194"/>
    <x v="6"/>
    <s v="chad-11"/>
    <s v="RB-2"/>
    <n v="1"/>
    <n v="6.35"/>
    <n v="41.7316"/>
    <s v="RB"/>
    <x v="2"/>
    <x v="3"/>
    <n v="106.58"/>
    <n v="427.68610000000001"/>
    <s v="cory-11"/>
    <x v="4"/>
    <n v="102.11"/>
    <n v="431.97960000000006"/>
    <n v="0.56058610538956244"/>
    <n v="0.48772659528890494"/>
    <n v="-7.2859510100657499E-2"/>
    <n v="99"/>
    <n v="130"/>
    <n v="3.584769867391674E-5"/>
    <n v="-3.584769867391674E-5"/>
  </r>
  <r>
    <x v="196"/>
    <x v="8"/>
    <s v="comp-9"/>
    <s v="K"/>
    <n v="5"/>
    <n v="6.39"/>
    <n v="17.64"/>
    <s v="K"/>
    <x v="1"/>
    <x v="2"/>
    <n v="80.800000000000011"/>
    <n v="290.44450000000001"/>
    <s v="seth-9"/>
    <x v="0"/>
    <n v="92.559999999999988"/>
    <n v="350.31569999999999"/>
    <n v="0.32111649346340621"/>
    <n v="0.29916873868095634"/>
    <n v="-2.1947754782449869E-2"/>
    <n v="77"/>
    <n v="95"/>
    <n v="3.8305453767794187E-5"/>
    <n v="-3.8305453767794187E-5"/>
  </r>
  <r>
    <x v="80"/>
    <x v="9"/>
    <s v="jason-4"/>
    <s v="WR-2"/>
    <n v="3"/>
    <n v="6.92"/>
    <n v="23.425599999999999"/>
    <s v="WR"/>
    <x v="0"/>
    <x v="4"/>
    <n v="103.94999999999999"/>
    <n v="368.50220000000002"/>
    <e v="#N/A"/>
    <x v="6"/>
    <n v="0"/>
    <n v="0"/>
    <n v="0.99999996936843616"/>
    <n v="0.99999996374471578"/>
    <n v="-5.6237203782671941E-9"/>
    <n v="69"/>
    <n v="0"/>
    <n v="1"/>
    <n v="0"/>
  </r>
  <r>
    <x v="64"/>
    <x v="3"/>
    <s v="perry-3"/>
    <s v="WR-1"/>
    <n v="7"/>
    <n v="10.210000000000001"/>
    <n v="46.24"/>
    <s v="WR"/>
    <x v="0"/>
    <x v="7"/>
    <n v="101.86999999999999"/>
    <n v="350.57169999999996"/>
    <s v="scott-3"/>
    <x v="5"/>
    <n v="110.35"/>
    <n v="442.53309999999999"/>
    <n v="0.38166388462507189"/>
    <n v="0.33441531748248915"/>
    <n v="-4.7248567142582742E-2"/>
    <n v="102"/>
    <n v="132"/>
    <n v="4.0790782215594571E-5"/>
    <n v="-4.0790782215594571E-5"/>
  </r>
  <r>
    <x v="100"/>
    <x v="4"/>
    <s v="perry-8"/>
    <s v="D/ST"/>
    <n v="0"/>
    <n v="9.94"/>
    <n v="40.576900000000002"/>
    <s v="D/ST"/>
    <x v="5"/>
    <x v="7"/>
    <n v="115.82"/>
    <n v="434.36700000000002"/>
    <s v="comp-8"/>
    <x v="8"/>
    <n v="100.87"/>
    <n v="421.5641"/>
    <n v="0.69532483792586408"/>
    <n v="0.56963874930219094"/>
    <n v="-0.12568608862367314"/>
    <n v="80"/>
    <n v="115"/>
    <n v="4.1760427977356862E-5"/>
    <n v="-4.1760427977356862E-5"/>
  </r>
  <r>
    <x v="84"/>
    <x v="0"/>
    <s v="cory-10"/>
    <s v="WR-2"/>
    <n v="14"/>
    <n v="8.1999999999999993"/>
    <n v="28.302399999999999"/>
    <s v="WR"/>
    <x v="0"/>
    <x v="5"/>
    <n v="93.17"/>
    <n v="328.34589999999997"/>
    <s v="perry-10"/>
    <x v="10"/>
    <n v="103.49"/>
    <n v="345.28400000000005"/>
    <n v="0.34545488835543114"/>
    <n v="0.4293891086471916"/>
    <n v="8.3934220291760453E-2"/>
    <n v="91"/>
    <n v="106"/>
    <n v="4.6191172982974067E-5"/>
    <n v="-4.6191172982974067E-5"/>
  </r>
  <r>
    <x v="18"/>
    <x v="5"/>
    <s v="matty-7"/>
    <s v="TE-1"/>
    <n v="6"/>
    <n v="6.55"/>
    <n v="17.7241"/>
    <s v="TE"/>
    <x v="3"/>
    <x v="0"/>
    <n v="87.490000000000009"/>
    <n v="277.88929999999999"/>
    <s v="scott-7"/>
    <x v="5"/>
    <n v="114.48000000000002"/>
    <n v="430.3667999999999"/>
    <n v="0.15525251215631256"/>
    <n v="0.14731332826669052"/>
    <n v="-7.9391838896220313E-3"/>
    <n v="65"/>
    <n v="82"/>
    <n v="4.6654377206693267E-5"/>
    <n v="-4.6654377206693267E-5"/>
  </r>
  <r>
    <x v="198"/>
    <x v="7"/>
    <s v="scott-5"/>
    <s v="TE-1"/>
    <n v="3"/>
    <n v="6.47"/>
    <n v="27.6676"/>
    <s v="TE"/>
    <x v="3"/>
    <x v="9"/>
    <n v="107.89"/>
    <n v="441.71269999999998"/>
    <s v="lucas-5"/>
    <x v="9"/>
    <n v="0"/>
    <n v="0"/>
    <n v="0.99999985777778666"/>
    <n v="0.99999985641897093"/>
    <n v="-1.3588157266042344E-9"/>
    <n v="69"/>
    <n v="0"/>
    <n v="1"/>
    <n v="0"/>
  </r>
  <r>
    <x v="196"/>
    <x v="0"/>
    <s v="aj-10"/>
    <s v="K"/>
    <n v="4"/>
    <n v="7.49"/>
    <n v="20.1601"/>
    <s v="K"/>
    <x v="1"/>
    <x v="6"/>
    <n v="110.08000000000001"/>
    <n v="372.64320000000004"/>
    <s v="chad-10"/>
    <x v="1"/>
    <n v="103.91999999999999"/>
    <n v="398.26569999999992"/>
    <n v="0.58778859959928087"/>
    <n v="0.53881388508469841"/>
    <n v="-4.8974714514582462E-2"/>
    <n v="82"/>
    <n v="103"/>
    <n v="4.8140607218158679E-5"/>
    <n v="-4.8140607218158679E-5"/>
  </r>
  <r>
    <x v="174"/>
    <x v="2"/>
    <s v="scott-13"/>
    <s v="WR-1"/>
    <n v="16"/>
    <n v="12.13"/>
    <n v="37.699599999999997"/>
    <s v="WR"/>
    <x v="0"/>
    <x v="9"/>
    <n v="108.61"/>
    <n v="407.25390000000004"/>
    <s v="cory-13"/>
    <x v="4"/>
    <n v="106.87"/>
    <n v="444.05589999999995"/>
    <n v="0.52377705912504058"/>
    <n v="0.57796003888746705"/>
    <n v="5.4182979762426475E-2"/>
    <n v="66"/>
    <n v="86"/>
    <n v="5.0615523896902445E-5"/>
    <n v="-5.0615523896902445E-5"/>
  </r>
  <r>
    <x v="38"/>
    <x v="7"/>
    <s v="scott-5"/>
    <s v="D/ST"/>
    <n v="8"/>
    <n v="8.9"/>
    <n v="35.760399999999997"/>
    <s v="D/ST"/>
    <x v="5"/>
    <x v="9"/>
    <n v="107.89"/>
    <n v="441.71269999999998"/>
    <s v="lucas-5"/>
    <x v="9"/>
    <n v="0"/>
    <n v="0"/>
    <n v="0.99999985777778666"/>
    <n v="0.99999994522841751"/>
    <n v="8.7450630847918376E-8"/>
    <n v="69"/>
    <n v="0"/>
    <n v="1"/>
    <n v="0"/>
  </r>
  <r>
    <x v="108"/>
    <x v="1"/>
    <s v="aj-12"/>
    <s v="RB-1"/>
    <n v="7"/>
    <n v="16.41"/>
    <n v="67.239999999999995"/>
    <s v="RB"/>
    <x v="2"/>
    <x v="6"/>
    <n v="111.09"/>
    <n v="408.5095"/>
    <s v="comp-12"/>
    <x v="8"/>
    <n v="98.639999999999986"/>
    <n v="309.06870000000004"/>
    <n v="0.67895062778258408"/>
    <n v="0.54744455791629165"/>
    <n v="-0.13150606986629243"/>
    <n v="84"/>
    <n v="125"/>
    <n v="5.8473552030011439E-5"/>
    <n v="-5.8473552030011439E-5"/>
  </r>
  <r>
    <x v="151"/>
    <x v="7"/>
    <s v="scott-5"/>
    <s v="WR-2"/>
    <n v="11"/>
    <n v="8.2200000000000006"/>
    <n v="48.5809"/>
    <s v="WR"/>
    <x v="0"/>
    <x v="9"/>
    <n v="107.89"/>
    <n v="441.71269999999998"/>
    <s v="lucas-5"/>
    <x v="9"/>
    <n v="0"/>
    <n v="0"/>
    <n v="0.99999985777778666"/>
    <n v="0.99999998808606205"/>
    <n v="1.3030827539228795E-7"/>
    <n v="69"/>
    <n v="0"/>
    <n v="1"/>
    <n v="0"/>
  </r>
  <r>
    <x v="135"/>
    <x v="4"/>
    <s v="seth-8"/>
    <s v="WR/RB"/>
    <n v="6"/>
    <n v="5.19"/>
    <n v="17.056899999999999"/>
    <s v="WR/RB"/>
    <x v="0"/>
    <x v="1"/>
    <n v="96.57"/>
    <n v="368.03749999999997"/>
    <s v="devon-8"/>
    <x v="7"/>
    <n v="102.43"/>
    <n v="452.86560000000003"/>
    <n v="0.41897065981019621"/>
    <n v="0.42931562224466985"/>
    <n v="1.0344962434473637E-2"/>
    <n v="85"/>
    <n v="100"/>
    <n v="6.457151149245553E-5"/>
    <n v="-6.457151149245553E-5"/>
  </r>
  <r>
    <x v="52"/>
    <x v="12"/>
    <s v="cory-6"/>
    <s v="WR-3"/>
    <n v="7"/>
    <n v="6.3"/>
    <n v="26.625599999999999"/>
    <s v="WR"/>
    <x v="0"/>
    <x v="5"/>
    <n v="102.10000000000001"/>
    <n v="445.16630000000004"/>
    <s v="aj-6"/>
    <x v="2"/>
    <n v="108.8"/>
    <n v="404.29040000000003"/>
    <n v="0.40909189376360988"/>
    <n v="0.41715842248637403"/>
    <n v="8.0665287227641436E-3"/>
    <n v="85"/>
    <n v="104"/>
    <n v="6.7315468100542081E-5"/>
    <n v="-6.7315468100542081E-5"/>
  </r>
  <r>
    <x v="9"/>
    <x v="10"/>
    <s v="comp-2"/>
    <s v="WR-1"/>
    <n v="6"/>
    <n v="12.63"/>
    <n v="44.622399999999999"/>
    <s v="WR"/>
    <x v="0"/>
    <x v="2"/>
    <n v="103.61999999999999"/>
    <n v="357.30130000000003"/>
    <s v="cory-2"/>
    <x v="4"/>
    <n v="102.7"/>
    <n v="377.5104"/>
    <n v="0.51353712670419016"/>
    <n v="0.41396928816313228"/>
    <n v="-9.9567838541057885E-2"/>
    <n v="65"/>
    <n v="97"/>
    <n v="7.2962351237683236E-5"/>
    <n v="-7.2962351237683236E-5"/>
  </r>
  <r>
    <x v="108"/>
    <x v="5"/>
    <s v="aj-7"/>
    <s v="RB-2"/>
    <n v="22"/>
    <n v="16.04"/>
    <n v="63.8401"/>
    <s v="RB"/>
    <x v="2"/>
    <x v="6"/>
    <n v="114.01999999999998"/>
    <n v="381.58529999999996"/>
    <s v="devon-7"/>
    <x v="7"/>
    <n v="106.81"/>
    <n v="351.64060000000001"/>
    <n v="0.60498297578784854"/>
    <n v="0.69463610622054905"/>
    <n v="8.9653130432700512E-2"/>
    <n v="93"/>
    <n v="117"/>
    <n v="8.8527674004039919E-5"/>
    <n v="-8.8527674004039919E-5"/>
  </r>
  <r>
    <x v="169"/>
    <x v="11"/>
    <s v="matty-1"/>
    <s v="TE-1"/>
    <n v="4"/>
    <n v="6.08"/>
    <n v="20.430399999999999"/>
    <s v="TE"/>
    <x v="3"/>
    <x v="0"/>
    <n v="96.11"/>
    <n v="397.37959999999998"/>
    <s v="chad-1"/>
    <x v="1"/>
    <n v="101.75"/>
    <n v="333.15260000000001"/>
    <n v="0.41735304190298633"/>
    <n v="0.38602070951216672"/>
    <n v="-3.1332332390819617E-2"/>
    <n v="76"/>
    <n v="95"/>
    <n v="9.0786871180431635E-5"/>
    <n v="-9.0786871180431635E-5"/>
  </r>
  <r>
    <x v="15"/>
    <x v="5"/>
    <s v="aj-7"/>
    <s v="WR-1"/>
    <n v="2"/>
    <n v="9.2100000000000009"/>
    <n v="20.1601"/>
    <s v="WR"/>
    <x v="0"/>
    <x v="6"/>
    <n v="114.01999999999998"/>
    <n v="381.58529999999996"/>
    <s v="devon-7"/>
    <x v="7"/>
    <n v="106.81"/>
    <n v="351.64060000000001"/>
    <n v="0.60498297578784854"/>
    <n v="0.49999999999999967"/>
    <n v="-0.10498297578784888"/>
    <n v="93"/>
    <n v="117"/>
    <n v="9.2222324191851965E-5"/>
    <n v="-9.2222324191851965E-5"/>
  </r>
  <r>
    <x v="97"/>
    <x v="5"/>
    <s v="chad-7"/>
    <s v="WR-2"/>
    <n v="15"/>
    <n v="9.35"/>
    <n v="24.900099999999998"/>
    <s v="WR"/>
    <x v="0"/>
    <x v="3"/>
    <n v="99.759999999999991"/>
    <n v="339.923"/>
    <s v="perry-7"/>
    <x v="10"/>
    <n v="103.81000000000002"/>
    <n v="404.20889999999997"/>
    <n v="0.44098709635876499"/>
    <n v="0.52378691028266078"/>
    <n v="8.2799813923895793E-2"/>
    <n v="102"/>
    <n v="115"/>
    <n v="9.2938801159456237E-5"/>
    <n v="-9.2938801159456237E-5"/>
  </r>
  <r>
    <x v="112"/>
    <x v="6"/>
    <s v="seth-11"/>
    <s v="RB-1"/>
    <n v="21"/>
    <n v="11.9"/>
    <n v="61.465600000000002"/>
    <s v="RB"/>
    <x v="2"/>
    <x v="1"/>
    <n v="98.329999999999984"/>
    <n v="378.70709999999997"/>
    <s v="aj-11"/>
    <x v="2"/>
    <n v="110.11"/>
    <n v="412.79880000000003"/>
    <n v="0.33771232413612995"/>
    <n v="0.46049429785589563"/>
    <n v="0.12278197371976568"/>
    <n v="111"/>
    <n v="131"/>
    <n v="1.0292184152230526E-4"/>
    <n v="-1.0292184152230526E-4"/>
  </r>
  <r>
    <x v="78"/>
    <x v="12"/>
    <s v="perry-6"/>
    <s v="RB-1"/>
    <n v="18"/>
    <n v="10.34"/>
    <n v="44.89"/>
    <s v="RB"/>
    <x v="2"/>
    <x v="7"/>
    <n v="88.72"/>
    <n v="407.6961"/>
    <s v="matty-6"/>
    <x v="3"/>
    <n v="109.91000000000001"/>
    <n v="387.28550000000001"/>
    <n v="0.22616370321424212"/>
    <n v="0.31064758823801131"/>
    <n v="8.448388502376919E-2"/>
    <n v="102"/>
    <n v="119"/>
    <n v="1.1634425276109925E-4"/>
    <n v="-1.1634425276109925E-4"/>
  </r>
  <r>
    <x v="38"/>
    <x v="11"/>
    <s v="matty-1"/>
    <s v="D/ST"/>
    <n v="1"/>
    <n v="4.42"/>
    <n v="18.232900000000001"/>
    <s v="D/ST"/>
    <x v="5"/>
    <x v="0"/>
    <n v="96.11"/>
    <n v="397.37959999999998"/>
    <s v="chad-1"/>
    <x v="1"/>
    <n v="101.75"/>
    <n v="333.15260000000001"/>
    <n v="0.41735304190298633"/>
    <n v="0.36712915998150825"/>
    <n v="-5.0223881921478086E-2"/>
    <n v="76"/>
    <n v="95"/>
    <n v="1.3177920984600567E-4"/>
    <n v="-1.3177920984600567E-4"/>
  </r>
  <r>
    <x v="108"/>
    <x v="10"/>
    <s v="jason-2"/>
    <s v="RB-1"/>
    <n v="3"/>
    <n v="14.62"/>
    <n v="70.392099999999999"/>
    <s v="RB"/>
    <x v="2"/>
    <x v="4"/>
    <n v="103.97000000000001"/>
    <n v="402.37729999999999"/>
    <e v="#N/A"/>
    <x v="6"/>
    <n v="0"/>
    <n v="0"/>
    <n v="0.9999998908980352"/>
    <n v="0.99999979949500051"/>
    <n v="-9.1403034696568852E-8"/>
    <n v="60"/>
    <n v="0"/>
    <n v="1"/>
    <n v="0"/>
  </r>
  <r>
    <x v="98"/>
    <x v="6"/>
    <s v="seth-11"/>
    <s v="WR-3"/>
    <n v="11"/>
    <n v="10.51"/>
    <n v="32.035600000000002"/>
    <s v="WR"/>
    <x v="0"/>
    <x v="1"/>
    <n v="98.329999999999984"/>
    <n v="378.70709999999997"/>
    <s v="aj-11"/>
    <x v="2"/>
    <n v="110.11"/>
    <n v="412.79880000000003"/>
    <n v="0.33771232413612995"/>
    <n v="0.34102250338516521"/>
    <n v="3.3101792490352611E-3"/>
    <n v="111"/>
    <n v="131"/>
    <n v="1.4722106491557018E-4"/>
    <n v="-1.4722106491557018E-4"/>
  </r>
  <r>
    <x v="144"/>
    <x v="11"/>
    <s v="seth-1"/>
    <s v="K"/>
    <n v="15"/>
    <n v="7.1"/>
    <n v="14.7456"/>
    <s v="K"/>
    <x v="1"/>
    <x v="1"/>
    <n v="111.07"/>
    <n v="422.00569999999999"/>
    <s v="comp-1"/>
    <x v="8"/>
    <n v="110.7"/>
    <n v="433.44330000000002"/>
    <n v="0.50504664952103229"/>
    <n v="0.61226324013184064"/>
    <n v="0.10721659061080835"/>
    <n v="71"/>
    <n v="77"/>
    <n v="1.4742015259489039E-4"/>
    <n v="-1.4742015259489039E-4"/>
  </r>
  <r>
    <x v="42"/>
    <x v="2"/>
    <s v="perry-13"/>
    <s v="QB-1"/>
    <n v="16"/>
    <n v="21.05"/>
    <n v="64.1601"/>
    <s v="QB"/>
    <x v="4"/>
    <x v="7"/>
    <n v="108.77"/>
    <n v="411.30060000000003"/>
    <s v="devon-13"/>
    <x v="7"/>
    <n v="97.46"/>
    <n v="368.81949999999995"/>
    <n v="0.6572361742103181"/>
    <n v="0.59248954581417368"/>
    <n v="-6.4746628396144423E-2"/>
    <n v="99"/>
    <n v="133"/>
    <n v="1.5061949424518986E-4"/>
    <n v="-1.5061949424518986E-4"/>
  </r>
  <r>
    <x v="111"/>
    <x v="8"/>
    <s v="jason-9"/>
    <s v="QB-1"/>
    <n v="25"/>
    <n v="20.23"/>
    <n v="55.502499999999998"/>
    <s v="QB"/>
    <x v="4"/>
    <x v="4"/>
    <n v="81.42"/>
    <n v="278.07840000000004"/>
    <e v="#N/A"/>
    <x v="6"/>
    <n v="0"/>
    <n v="0"/>
    <n v="0.99999947640964748"/>
    <n v="0.99999999620242364"/>
    <n v="5.1979277615465946E-7"/>
    <n v="67"/>
    <n v="0"/>
    <n v="1"/>
    <n v="0"/>
  </r>
  <r>
    <x v="95"/>
    <x v="1"/>
    <s v="aj-12"/>
    <s v="RB-2"/>
    <n v="3"/>
    <n v="12.46"/>
    <n v="77.44"/>
    <s v="RB"/>
    <x v="2"/>
    <x v="6"/>
    <n v="111.09"/>
    <n v="408.5095"/>
    <s v="comp-12"/>
    <x v="8"/>
    <n v="98.639999999999986"/>
    <n v="309.06870000000004"/>
    <n v="0.67895062778258408"/>
    <n v="0.54703643930652623"/>
    <n v="-0.13191418847605785"/>
    <n v="84"/>
    <n v="125"/>
    <n v="1.6912713332654046E-4"/>
    <n v="-1.6912713332654046E-4"/>
  </r>
  <r>
    <x v="91"/>
    <x v="8"/>
    <s v="aj-9"/>
    <s v="WR/RB"/>
    <n v="8"/>
    <n v="8.18"/>
    <n v="27.7729"/>
    <s v="WR/RB"/>
    <x v="2"/>
    <x v="6"/>
    <n v="102.03999999999999"/>
    <n v="392.2131"/>
    <s v="perry-9"/>
    <x v="10"/>
    <n v="98.35"/>
    <n v="385.97739999999999"/>
    <n v="0.5526172882097643"/>
    <n v="0.55097751098265113"/>
    <n v="-1.6397772271131705E-3"/>
    <n v="86"/>
    <n v="105"/>
    <n v="1.7770354579149688E-4"/>
    <n v="-1.7770354579149688E-4"/>
  </r>
  <r>
    <x v="47"/>
    <x v="12"/>
    <s v="cory-6"/>
    <s v="WR/RB"/>
    <n v="7"/>
    <n v="7.12"/>
    <n v="28.09"/>
    <s v="WR/RB"/>
    <x v="2"/>
    <x v="5"/>
    <n v="102.10000000000001"/>
    <n v="445.16630000000004"/>
    <s v="aj-6"/>
    <x v="2"/>
    <n v="108.8"/>
    <n v="404.29040000000003"/>
    <n v="0.40909189376360988"/>
    <n v="0.40595353729099903"/>
    <n v="-3.1383564726108482E-3"/>
    <n v="85"/>
    <n v="104"/>
    <n v="1.8383508303428277E-4"/>
    <n v="-1.8383508303428277E-4"/>
  </r>
  <r>
    <x v="16"/>
    <x v="12"/>
    <s v="devon-6"/>
    <s v="RB-2"/>
    <n v="14"/>
    <n v="9.76"/>
    <n v="42.640900000000002"/>
    <s v="RB"/>
    <x v="2"/>
    <x v="8"/>
    <n v="101.41999999999999"/>
    <n v="401.13359999999994"/>
    <s v="comp-6"/>
    <x v="8"/>
    <n v="104.66"/>
    <n v="375.94899999999996"/>
    <n v="0.45373585390093107"/>
    <n v="0.51471745975271865"/>
    <n v="6.0981605851787579E-2"/>
    <n v="72"/>
    <n v="91"/>
    <n v="1.8616406815132137E-4"/>
    <n v="-1.8616406815132137E-4"/>
  </r>
  <r>
    <x v="114"/>
    <x v="6"/>
    <s v="chad-11"/>
    <s v="QB-1"/>
    <n v="21"/>
    <n v="21.67"/>
    <n v="72.760900000000007"/>
    <s v="QB"/>
    <x v="4"/>
    <x v="3"/>
    <n v="106.58"/>
    <n v="427.68610000000001"/>
    <s v="cory-11"/>
    <x v="4"/>
    <n v="102.11"/>
    <n v="431.97960000000006"/>
    <n v="0.56058610538956244"/>
    <n v="0.55387731503123705"/>
    <n v="-6.7087903583253894E-3"/>
    <n v="99"/>
    <n v="130"/>
    <n v="1.8849719319049844E-4"/>
    <n v="-1.8849719319049844E-4"/>
  </r>
  <r>
    <x v="55"/>
    <x v="12"/>
    <s v="cory-6"/>
    <s v="RB-2"/>
    <n v="8"/>
    <n v="10.95"/>
    <n v="20.702500000000001"/>
    <s v="RB"/>
    <x v="2"/>
    <x v="5"/>
    <n v="102.10000000000001"/>
    <n v="445.16630000000004"/>
    <s v="aj-6"/>
    <x v="2"/>
    <n v="108.8"/>
    <n v="404.29040000000003"/>
    <n v="0.40909189376360988"/>
    <n v="0.36873407424364335"/>
    <n v="-4.0357819519966531E-2"/>
    <n v="85"/>
    <n v="104"/>
    <n v="2.0977364827718767E-4"/>
    <n v="-2.0977364827718767E-4"/>
  </r>
  <r>
    <x v="192"/>
    <x v="3"/>
    <s v="perry-3"/>
    <s v="WR-3"/>
    <n v="0"/>
    <n v="7.74"/>
    <n v="40.068899999999999"/>
    <s v="WR"/>
    <x v="0"/>
    <x v="7"/>
    <n v="101.86999999999999"/>
    <n v="350.57169999999996"/>
    <s v="scott-3"/>
    <x v="5"/>
    <n v="110.35"/>
    <n v="442.53309999999999"/>
    <n v="0.38166388462507189"/>
    <n v="0.27723489411368107"/>
    <n v="-0.10442899051139082"/>
    <n v="102"/>
    <n v="132"/>
    <n v="2.1856612919518253E-4"/>
    <n v="-2.1856612919518253E-4"/>
  </r>
  <r>
    <x v="13"/>
    <x v="10"/>
    <s v="matty-2"/>
    <s v="WR-1"/>
    <n v="15"/>
    <n v="8.34"/>
    <n v="28.302399999999999"/>
    <s v="WR"/>
    <x v="0"/>
    <x v="0"/>
    <n v="101.3"/>
    <n v="329.14109999999999"/>
    <s v="seth-2"/>
    <x v="0"/>
    <n v="91.78"/>
    <n v="333.71719999999993"/>
    <n v="0.64422145537573039"/>
    <n v="0.73966350608553255"/>
    <n v="9.5442050709802162E-2"/>
    <n v="70"/>
    <n v="82"/>
    <n v="2.2615319909448169E-4"/>
    <n v="-2.2615319909448169E-4"/>
  </r>
  <r>
    <x v="160"/>
    <x v="9"/>
    <s v="seth-4"/>
    <s v="RB-2"/>
    <n v="24"/>
    <n v="9.1"/>
    <n v="58.828899999999997"/>
    <s v="RB"/>
    <x v="2"/>
    <x v="1"/>
    <n v="104.32"/>
    <n v="390.96559999999999"/>
    <s v="chad-4"/>
    <x v="1"/>
    <n v="99.8"/>
    <n v="351.46400000000006"/>
    <n v="0.56587682676878348"/>
    <n v="0.77118622652531288"/>
    <n v="0.2053093997565294"/>
    <n v="111"/>
    <n v="123"/>
    <n v="2.2644917864567295E-4"/>
    <n v="-2.2644917864567295E-4"/>
  </r>
  <r>
    <x v="102"/>
    <x v="5"/>
    <s v="aj-7"/>
    <s v="TE-1"/>
    <n v="4"/>
    <n v="7.8"/>
    <n v="33.177599999999998"/>
    <s v="TE"/>
    <x v="3"/>
    <x v="6"/>
    <n v="114.01999999999998"/>
    <n v="381.58529999999996"/>
    <s v="devon-7"/>
    <x v="7"/>
    <n v="106.81"/>
    <n v="351.64060000000001"/>
    <n v="0.60498297578784854"/>
    <n v="0.5512742681351821"/>
    <n v="-5.3708707652666443E-2"/>
    <n v="93"/>
    <n v="117"/>
    <n v="2.2664188672031965E-4"/>
    <n v="-2.2664188672031965E-4"/>
  </r>
  <r>
    <x v="174"/>
    <x v="7"/>
    <s v="scott-5"/>
    <s v="WR-1"/>
    <n v="6"/>
    <n v="9.0500000000000007"/>
    <n v="35.760399999999997"/>
    <s v="WR"/>
    <x v="0"/>
    <x v="9"/>
    <n v="107.89"/>
    <n v="441.71269999999998"/>
    <s v="lucas-5"/>
    <x v="9"/>
    <n v="0"/>
    <n v="0"/>
    <n v="0.99999985777778666"/>
    <n v="0.999999902176958"/>
    <n v="4.4399171339470911E-8"/>
    <n v="69"/>
    <n v="0"/>
    <n v="1"/>
    <n v="0"/>
  </r>
  <r>
    <x v="112"/>
    <x v="0"/>
    <s v="seth-10"/>
    <s v="RB-1"/>
    <n v="31"/>
    <n v="11.7"/>
    <n v="44.355600000000003"/>
    <s v="RB"/>
    <x v="2"/>
    <x v="1"/>
    <n v="104.52999999999999"/>
    <n v="446.11959999999999"/>
    <s v="matty-10"/>
    <x v="3"/>
    <n v="80.72"/>
    <n v="274.11410000000001"/>
    <n v="0.81251501229102341"/>
    <n v="0.95136411500360929"/>
    <n v="0.13884910271258588"/>
    <n v="80"/>
    <n v="84"/>
    <n v="2.3394286202831432E-4"/>
    <n v="-2.3394286202831432E-4"/>
  </r>
  <r>
    <x v="150"/>
    <x v="7"/>
    <s v="scott-5"/>
    <s v="RB-1"/>
    <n v="7"/>
    <n v="11.19"/>
    <n v="32.2624"/>
    <s v="RB"/>
    <x v="2"/>
    <x v="9"/>
    <n v="107.89"/>
    <n v="441.71269999999998"/>
    <s v="lucas-5"/>
    <x v="9"/>
    <n v="0"/>
    <n v="0"/>
    <n v="0.99999985777778666"/>
    <n v="0.99999985108467626"/>
    <n v="-6.6931103992473595E-9"/>
    <n v="69"/>
    <n v="0"/>
    <n v="1"/>
    <n v="0"/>
  </r>
  <r>
    <x v="66"/>
    <x v="10"/>
    <s v="comp-2"/>
    <s v="WR-2"/>
    <n v="3"/>
    <n v="10.31"/>
    <n v="50.126399999999997"/>
    <s v="WR"/>
    <x v="0"/>
    <x v="2"/>
    <n v="103.61999999999999"/>
    <n v="357.30130000000003"/>
    <s v="cory-2"/>
    <x v="4"/>
    <n v="102.7"/>
    <n v="377.5104"/>
    <n v="0.51353712670419016"/>
    <n v="0.40353585223877586"/>
    <n v="-0.1100012744654143"/>
    <n v="65"/>
    <n v="97"/>
    <n v="2.4397267686765059E-4"/>
    <n v="-2.4397267686765059E-4"/>
  </r>
  <r>
    <x v="81"/>
    <x v="8"/>
    <s v="jason-9"/>
    <s v="WR-2"/>
    <n v="8"/>
    <n v="9.3699999999999992"/>
    <n v="35.046399999999998"/>
    <s v="WR"/>
    <x v="0"/>
    <x v="4"/>
    <n v="81.42"/>
    <n v="278.07840000000004"/>
    <e v="#N/A"/>
    <x v="6"/>
    <n v="0"/>
    <n v="0"/>
    <n v="0.99999947640964748"/>
    <n v="0.99999985883179787"/>
    <n v="3.8242215039119287E-7"/>
    <n v="67"/>
    <n v="0"/>
    <n v="1"/>
    <n v="0"/>
  </r>
  <r>
    <x v="148"/>
    <x v="2"/>
    <s v="comp-13"/>
    <s v="D/ST"/>
    <n v="22"/>
    <n v="11.01"/>
    <n v="51.552399999999999"/>
    <s v="D/ST"/>
    <x v="5"/>
    <x v="2"/>
    <n v="104.63999999999999"/>
    <n v="400.33339999999998"/>
    <s v="chad-13"/>
    <x v="1"/>
    <n v="113.35"/>
    <n v="486.24799999999993"/>
    <n v="0.3849436901786526"/>
    <n v="0.53144442881098719"/>
    <n v="0.14650073863233459"/>
    <n v="81"/>
    <n v="95"/>
    <n v="2.5023811101169188E-4"/>
    <n v="-2.5023811101169188E-4"/>
  </r>
  <r>
    <x v="71"/>
    <x v="2"/>
    <s v="perry-13"/>
    <s v="WR-3"/>
    <n v="3"/>
    <n v="10.62"/>
    <n v="57.456400000000002"/>
    <s v="WR"/>
    <x v="0"/>
    <x v="7"/>
    <n v="108.77"/>
    <n v="411.30060000000003"/>
    <s v="devon-13"/>
    <x v="7"/>
    <n v="97.46"/>
    <n v="368.81949999999995"/>
    <n v="0.6572361742103181"/>
    <n v="0.55458913685411582"/>
    <n v="-0.10264703735620229"/>
    <n v="99"/>
    <n v="133"/>
    <n v="2.5050943934564498E-4"/>
    <n v="-2.5050943934564498E-4"/>
  </r>
  <r>
    <x v="102"/>
    <x v="8"/>
    <s v="aj-9"/>
    <s v="TE-1"/>
    <n v="7"/>
    <n v="7.01"/>
    <n v="30.0304"/>
    <s v="TE"/>
    <x v="3"/>
    <x v="6"/>
    <n v="102.03999999999999"/>
    <n v="392.2131"/>
    <s v="perry-9"/>
    <x v="10"/>
    <n v="98.35"/>
    <n v="385.97739999999999"/>
    <n v="0.5526172882097643"/>
    <n v="0.55351210109453319"/>
    <n v="8.9481288476889187E-4"/>
    <n v="86"/>
    <n v="105"/>
    <n v="2.6479211900529636E-4"/>
    <n v="-2.6479211900529636E-4"/>
  </r>
  <r>
    <x v="42"/>
    <x v="4"/>
    <s v="perry-8"/>
    <s v="QB-1"/>
    <n v="16"/>
    <n v="24.86"/>
    <n v="57.153599999999997"/>
    <s v="QB"/>
    <x v="4"/>
    <x v="7"/>
    <n v="115.82"/>
    <n v="434.36700000000002"/>
    <s v="comp-8"/>
    <x v="8"/>
    <n v="100.87"/>
    <n v="421.5641"/>
    <n v="0.69532483792586408"/>
    <n v="0.58530294815396622"/>
    <n v="-0.11002188977189786"/>
    <n v="80"/>
    <n v="115"/>
    <n v="2.7243219773734795E-4"/>
    <n v="-2.7243219773734795E-4"/>
  </r>
  <r>
    <x v="217"/>
    <x v="0"/>
    <s v="cory-10"/>
    <s v="WR/RB"/>
    <n v="5"/>
    <n v="5.0599999999999996"/>
    <n v="18.748899999999999"/>
    <s v="WR/RB"/>
    <x v="2"/>
    <x v="5"/>
    <n v="93.17"/>
    <n v="328.34589999999997"/>
    <s v="perry-10"/>
    <x v="10"/>
    <n v="103.49"/>
    <n v="345.28400000000005"/>
    <n v="0.34545488835543114"/>
    <n v="0.3425120146525743"/>
    <n v="-2.9428737028568408E-3"/>
    <n v="91"/>
    <n v="106"/>
    <n v="2.7993380993245477E-4"/>
    <n v="-2.7993380993245477E-4"/>
  </r>
  <r>
    <x v="122"/>
    <x v="12"/>
    <s v="scott-6"/>
    <s v="RB-2"/>
    <n v="10"/>
    <n v="16.07"/>
    <n v="65.61"/>
    <s v="RB"/>
    <x v="2"/>
    <x v="9"/>
    <n v="110.30999999999999"/>
    <n v="388.52729999999997"/>
    <s v="seth-6"/>
    <x v="0"/>
    <n v="90.009999999999991"/>
    <n v="295.93350000000004"/>
    <n v="0.78110442116748435"/>
    <n v="0.7163461032953139"/>
    <n v="-6.4758317872170457E-2"/>
    <n v="96"/>
    <n v="130"/>
    <n v="2.8222217404950126E-4"/>
    <n v="-2.8222217404950126E-4"/>
  </r>
  <r>
    <x v="161"/>
    <x v="9"/>
    <s v="seth-4"/>
    <s v="WR-1"/>
    <n v="13"/>
    <n v="8.18"/>
    <n v="23.814399999999999"/>
    <s v="WR"/>
    <x v="0"/>
    <x v="1"/>
    <n v="104.32"/>
    <n v="390.96559999999999"/>
    <s v="chad-4"/>
    <x v="1"/>
    <n v="99.8"/>
    <n v="351.46400000000006"/>
    <n v="0.56587682676878348"/>
    <n v="0.63623628248253294"/>
    <n v="7.0359455713749464E-2"/>
    <n v="111"/>
    <n v="123"/>
    <n v="2.8371679770233051E-4"/>
    <n v="-2.8371679770233051E-4"/>
  </r>
  <r>
    <x v="15"/>
    <x v="8"/>
    <s v="aj-9"/>
    <s v="WR-1"/>
    <n v="7"/>
    <n v="8.7200000000000006"/>
    <n v="25.200399999999998"/>
    <s v="WR"/>
    <x v="0"/>
    <x v="6"/>
    <n v="102.03999999999999"/>
    <n v="392.2131"/>
    <s v="perry-9"/>
    <x v="10"/>
    <n v="98.35"/>
    <n v="385.97739999999999"/>
    <n v="0.5526172882097643"/>
    <n v="0.52861598694969936"/>
    <n v="-2.4001301260064944E-2"/>
    <n v="86"/>
    <n v="105"/>
    <n v="2.8846859517135329E-4"/>
    <n v="-2.8846859517135329E-4"/>
  </r>
  <r>
    <x v="115"/>
    <x v="6"/>
    <s v="seth-11"/>
    <s v="WR-1"/>
    <n v="2"/>
    <n v="6.84"/>
    <n v="19.5364"/>
    <s v="WR"/>
    <x v="0"/>
    <x v="1"/>
    <n v="98.329999999999984"/>
    <n v="378.70709999999997"/>
    <s v="aj-11"/>
    <x v="2"/>
    <n v="110.11"/>
    <n v="412.79880000000003"/>
    <n v="0.33771232413612995"/>
    <n v="0.27486034932719849"/>
    <n v="-6.2851974808931454E-2"/>
    <n v="111"/>
    <n v="131"/>
    <n v="3.0194164117114663E-4"/>
    <n v="-3.0194164117114663E-4"/>
  </r>
  <r>
    <x v="218"/>
    <x v="8"/>
    <s v="aj-9"/>
    <s v="RB-2"/>
    <n v="7"/>
    <n v="6.9"/>
    <n v="31.024899999999999"/>
    <s v="RB"/>
    <x v="2"/>
    <x v="6"/>
    <n v="102.03999999999999"/>
    <n v="392.2131"/>
    <s v="perry-9"/>
    <x v="10"/>
    <n v="98.35"/>
    <n v="385.97739999999999"/>
    <n v="0.5526172882097643"/>
    <n v="0.5551380099461769"/>
    <n v="2.5207217364126011E-3"/>
    <n v="86"/>
    <n v="105"/>
    <n v="3.0281060437474712E-4"/>
    <n v="-3.0281060437474712E-4"/>
  </r>
  <r>
    <x v="80"/>
    <x v="0"/>
    <s v="jason-10"/>
    <s v="WR-1"/>
    <n v="22"/>
    <n v="8.8699999999999992"/>
    <n v="31.472100000000001"/>
    <s v="WR"/>
    <x v="0"/>
    <x v="4"/>
    <n v="97.83"/>
    <n v="370.18310000000002"/>
    <e v="#N/A"/>
    <x v="6"/>
    <n v="0"/>
    <n v="0"/>
    <n v="0.99999981587831821"/>
    <n v="0.99999999917557492"/>
    <n v="1.8329725670618302E-7"/>
    <n v="91"/>
    <n v="0"/>
    <n v="1"/>
    <n v="0"/>
  </r>
  <r>
    <x v="113"/>
    <x v="12"/>
    <s v="chad-6"/>
    <s v="WR-3"/>
    <n v="2"/>
    <n v="5.98"/>
    <n v="22.467600000000001"/>
    <s v="WR"/>
    <x v="0"/>
    <x v="3"/>
    <n v="96.66"/>
    <n v="373.87420000000003"/>
    <s v="lucas-6"/>
    <x v="9"/>
    <n v="0"/>
    <n v="0"/>
    <n v="0.99999971187356196"/>
    <n v="0.99999961737974752"/>
    <n v="-9.4493814439822188E-8"/>
    <n v="79"/>
    <n v="0"/>
    <n v="1"/>
    <n v="0"/>
  </r>
  <r>
    <x v="188"/>
    <x v="9"/>
    <s v="scott-4"/>
    <s v="K"/>
    <n v="5"/>
    <n v="7.53"/>
    <n v="15.9201"/>
    <s v="K"/>
    <x v="1"/>
    <x v="9"/>
    <n v="113.07"/>
    <n v="452.41279999999995"/>
    <s v="cory-4"/>
    <x v="4"/>
    <n v="115.58999999999999"/>
    <n v="432.42160000000007"/>
    <n v="0.46624326985872333"/>
    <n v="0.43198687781180234"/>
    <n v="-3.4256392046920991E-2"/>
    <n v="88"/>
    <n v="104"/>
    <n v="3.6782000134818761E-4"/>
    <n v="-3.6782000134818761E-4"/>
  </r>
  <r>
    <x v="70"/>
    <x v="8"/>
    <s v="comp-9"/>
    <s v="WR-1"/>
    <n v="14"/>
    <n v="10.87"/>
    <n v="39.187600000000003"/>
    <s v="WR"/>
    <x v="0"/>
    <x v="2"/>
    <n v="80.800000000000011"/>
    <n v="290.44450000000001"/>
    <s v="seth-9"/>
    <x v="0"/>
    <n v="92.559999999999988"/>
    <n v="350.31569999999999"/>
    <n v="0.32111649346340621"/>
    <n v="0.36247257910057895"/>
    <n v="4.1356085637172746E-2"/>
    <n v="77"/>
    <n v="95"/>
    <n v="3.6854322446889268E-4"/>
    <n v="-3.6854322446889268E-4"/>
  </r>
  <r>
    <x v="108"/>
    <x v="3"/>
    <s v="jason-3"/>
    <s v="RB-1"/>
    <n v="6"/>
    <n v="13.68"/>
    <n v="66.422499999999999"/>
    <s v="RB"/>
    <x v="2"/>
    <x v="4"/>
    <n v="99.87"/>
    <n v="418.53290000000004"/>
    <e v="#N/A"/>
    <x v="6"/>
    <n v="0"/>
    <n v="0"/>
    <n v="0.99999947409897594"/>
    <n v="0.99999955147211927"/>
    <n v="7.7373143336778583E-8"/>
    <n v="53"/>
    <n v="0"/>
    <n v="0.99999999999995171"/>
    <n v="4.829470157119431E-14"/>
  </r>
  <r>
    <x v="145"/>
    <x v="12"/>
    <s v="scott-6"/>
    <s v="RB-1"/>
    <n v="7"/>
    <n v="15.83"/>
    <n v="57.456400000000002"/>
    <s v="RB"/>
    <x v="2"/>
    <x v="9"/>
    <n v="110.30999999999999"/>
    <n v="388.52729999999997"/>
    <s v="seth-6"/>
    <x v="0"/>
    <n v="90.009999999999991"/>
    <n v="295.93350000000004"/>
    <n v="0.78110442116748435"/>
    <n v="0.67654751261588997"/>
    <n v="-0.10455690855159439"/>
    <n v="96"/>
    <n v="130"/>
    <n v="4.4915228421168281E-4"/>
    <n v="-4.4915228421168281E-4"/>
  </r>
  <r>
    <x v="71"/>
    <x v="12"/>
    <s v="chad-6"/>
    <s v="WR-1"/>
    <n v="15"/>
    <n v="11.71"/>
    <n v="49.561599999999999"/>
    <s v="WR"/>
    <x v="0"/>
    <x v="3"/>
    <n v="96.66"/>
    <n v="373.87420000000003"/>
    <s v="lucas-6"/>
    <x v="9"/>
    <n v="0"/>
    <n v="0"/>
    <n v="0.99999971187356196"/>
    <n v="0.99999998572477078"/>
    <n v="2.7385120882073011E-7"/>
    <n v="79"/>
    <n v="0"/>
    <n v="1"/>
    <n v="0"/>
  </r>
  <r>
    <x v="117"/>
    <x v="8"/>
    <s v="comp-9"/>
    <s v="RB-1"/>
    <n v="10"/>
    <n v="9.1300000000000008"/>
    <n v="32.604100000000003"/>
    <s v="RB"/>
    <x v="2"/>
    <x v="2"/>
    <n v="80.800000000000011"/>
    <n v="290.44450000000001"/>
    <s v="seth-9"/>
    <x v="0"/>
    <n v="92.559999999999988"/>
    <n v="350.31569999999999"/>
    <n v="0.32111649346340621"/>
    <n v="0.32939255012262125"/>
    <n v="8.2760566592150475E-3"/>
    <n v="77"/>
    <n v="95"/>
    <n v="4.7534214599371697E-4"/>
    <n v="-4.7534214599371697E-4"/>
  </r>
  <r>
    <x v="59"/>
    <x v="2"/>
    <s v="comp-13"/>
    <s v="TE-1"/>
    <n v="8"/>
    <n v="7.58"/>
    <n v="19.096900000000002"/>
    <s v="TE"/>
    <x v="3"/>
    <x v="2"/>
    <n v="104.63999999999999"/>
    <n v="400.33339999999998"/>
    <s v="chad-13"/>
    <x v="1"/>
    <n v="113.35"/>
    <n v="486.24799999999993"/>
    <n v="0.3849436901786526"/>
    <n v="0.38917706598203644"/>
    <n v="4.2333758033838431E-3"/>
    <n v="81"/>
    <n v="95"/>
    <n v="4.8381847178552537E-4"/>
    <n v="-4.8381847178552537E-4"/>
  </r>
  <r>
    <x v="67"/>
    <x v="5"/>
    <s v="matty-7"/>
    <s v="K"/>
    <n v="3"/>
    <n v="7.1"/>
    <n v="15.444900000000001"/>
    <s v="K"/>
    <x v="1"/>
    <x v="0"/>
    <n v="87.490000000000009"/>
    <n v="277.88929999999999"/>
    <s v="scott-7"/>
    <x v="5"/>
    <n v="114.48000000000002"/>
    <n v="430.3667999999999"/>
    <n v="0.15525251215631256"/>
    <n v="0.11876713147754202"/>
    <n v="-3.6485380678770538E-2"/>
    <n v="65"/>
    <n v="82"/>
    <n v="5.1455940544067793E-4"/>
    <n v="-5.1455940544067793E-4"/>
  </r>
  <r>
    <x v="95"/>
    <x v="7"/>
    <s v="cory-5"/>
    <s v="RB-1"/>
    <n v="30"/>
    <n v="11.58"/>
    <n v="50.979599999999998"/>
    <s v="RB"/>
    <x v="2"/>
    <x v="5"/>
    <n v="109.91"/>
    <n v="349.51409999999998"/>
    <s v="devon-5"/>
    <x v="7"/>
    <n v="93.5"/>
    <n v="346.9006"/>
    <n v="0.73297455800387123"/>
    <n v="0.91480746859804274"/>
    <n v="0.1818329105941715"/>
    <n v="100"/>
    <n v="105"/>
    <n v="5.1882933929523368E-4"/>
    <n v="-5.1882933929523368E-4"/>
  </r>
  <r>
    <x v="72"/>
    <x v="12"/>
    <s v="perry-6"/>
    <s v="RB-2"/>
    <n v="8"/>
    <n v="7.64"/>
    <n v="28.196100000000001"/>
    <s v="RB"/>
    <x v="2"/>
    <x v="7"/>
    <n v="88.72"/>
    <n v="407.6961"/>
    <s v="matty-6"/>
    <x v="3"/>
    <n v="109.91000000000001"/>
    <n v="387.28550000000001"/>
    <n v="0.22616370321424212"/>
    <n v="0.22595550583969684"/>
    <n v="-2.0819737454527698E-4"/>
    <n v="102"/>
    <n v="119"/>
    <n v="5.3906352823127708E-4"/>
    <n v="-5.3906352823127708E-4"/>
  </r>
  <r>
    <x v="19"/>
    <x v="9"/>
    <s v="comp-4"/>
    <s v="RB-1"/>
    <n v="3"/>
    <n v="12.57"/>
    <n v="55.950400000000002"/>
    <s v="RB"/>
    <x v="2"/>
    <x v="2"/>
    <n v="103.70000000000002"/>
    <n v="412.10110000000003"/>
    <s v="aj-4"/>
    <x v="2"/>
    <n v="118.09999999999998"/>
    <n v="465.47660000000008"/>
    <n v="0.31345048172071355"/>
    <n v="0.20151013066751958"/>
    <n v="-0.11194035105319397"/>
    <n v="46"/>
    <n v="80"/>
    <n v="5.4530885768974593E-4"/>
    <n v="-5.4530885768974593E-4"/>
  </r>
  <r>
    <x v="149"/>
    <x v="12"/>
    <s v="cory-6"/>
    <s v="D/ST"/>
    <n v="8"/>
    <n v="6.44"/>
    <n v="39.69"/>
    <s v="D/ST"/>
    <x v="5"/>
    <x v="5"/>
    <n v="102.10000000000001"/>
    <n v="445.16630000000004"/>
    <s v="aj-6"/>
    <x v="2"/>
    <n v="108.8"/>
    <n v="404.29040000000003"/>
    <n v="0.40909189376360988"/>
    <n v="0.42833010021112472"/>
    <n v="1.9238206447514838E-2"/>
    <n v="85"/>
    <n v="104"/>
    <n v="5.5024133224643038E-4"/>
    <n v="-5.5024133224643038E-4"/>
  </r>
  <r>
    <x v="174"/>
    <x v="9"/>
    <s v="scott-4"/>
    <s v="WR-1"/>
    <n v="13"/>
    <n v="9.56"/>
    <n v="35.640900000000002"/>
    <s v="WR"/>
    <x v="0"/>
    <x v="9"/>
    <n v="113.07"/>
    <n v="452.41279999999995"/>
    <s v="cory-4"/>
    <x v="4"/>
    <n v="115.58999999999999"/>
    <n v="432.42160000000007"/>
    <n v="0.46624326985872333"/>
    <n v="0.51259280339562219"/>
    <n v="4.6349533536898857E-2"/>
    <n v="88"/>
    <n v="104"/>
    <n v="5.6440906210297064E-4"/>
    <n v="-5.6440906210297064E-4"/>
  </r>
  <r>
    <x v="132"/>
    <x v="12"/>
    <s v="devon-6"/>
    <s v="WR/RB"/>
    <n v="10"/>
    <n v="9.09"/>
    <n v="37.576900000000002"/>
    <s v="WR/RB"/>
    <x v="2"/>
    <x v="8"/>
    <n v="101.41999999999999"/>
    <n v="401.13359999999994"/>
    <s v="comp-6"/>
    <x v="8"/>
    <n v="104.66"/>
    <n v="375.94899999999996"/>
    <n v="0.45373585390093107"/>
    <n v="0.46585995366730515"/>
    <n v="1.2124099766374075E-2"/>
    <n v="72"/>
    <n v="91"/>
    <n v="5.8117631689900767E-4"/>
    <n v="-5.8117631689900767E-4"/>
  </r>
  <r>
    <x v="59"/>
    <x v="8"/>
    <s v="comp-9"/>
    <s v="TE-1"/>
    <n v="5"/>
    <n v="7.56"/>
    <n v="22.7529"/>
    <s v="TE"/>
    <x v="3"/>
    <x v="2"/>
    <n v="80.800000000000011"/>
    <n v="290.44450000000001"/>
    <s v="seth-9"/>
    <x v="0"/>
    <n v="92.559999999999988"/>
    <n v="350.31569999999999"/>
    <n v="0.32111649346340621"/>
    <n v="0.28229695312751191"/>
    <n v="-3.8819540335894298E-2"/>
    <n v="77"/>
    <n v="95"/>
    <n v="6.0418450631011971E-4"/>
    <n v="-6.0418450631011971E-4"/>
  </r>
  <r>
    <x v="32"/>
    <x v="8"/>
    <s v="jason-9"/>
    <s v="RB-1"/>
    <n v="3"/>
    <n v="7.16"/>
    <n v="30.5809"/>
    <s v="RB"/>
    <x v="2"/>
    <x v="4"/>
    <n v="81.42"/>
    <n v="278.07840000000004"/>
    <e v="#N/A"/>
    <x v="6"/>
    <n v="0"/>
    <n v="0"/>
    <n v="0.99999947640964748"/>
    <n v="0.99999954691787341"/>
    <n v="7.050822592447048E-8"/>
    <n v="67"/>
    <n v="0"/>
    <n v="1"/>
    <n v="0"/>
  </r>
  <r>
    <x v="82"/>
    <x v="6"/>
    <s v="jason-11"/>
    <s v="TE-1"/>
    <n v="3"/>
    <n v="12.75"/>
    <n v="61.622500000000002"/>
    <s v="TE"/>
    <x v="3"/>
    <x v="4"/>
    <n v="98.88000000000001"/>
    <n v="375.05889999999999"/>
    <e v="#N/A"/>
    <x v="6"/>
    <n v="0"/>
    <n v="0"/>
    <n v="0.99999983524900793"/>
    <n v="0.99999976034744198"/>
    <n v="-7.4901565949581084E-8"/>
    <n v="50"/>
    <n v="0"/>
    <n v="0.99999999999998646"/>
    <n v="1.354472090042691E-14"/>
  </r>
  <r>
    <x v="13"/>
    <x v="6"/>
    <s v="matty-11"/>
    <s v="WR-1"/>
    <n v="12"/>
    <n v="6.62"/>
    <n v="20.430399999999999"/>
    <s v="WR"/>
    <x v="0"/>
    <x v="0"/>
    <n v="88.670000000000016"/>
    <n v="334.39179999999999"/>
    <s v="comp-11"/>
    <x v="8"/>
    <n v="98.580000000000013"/>
    <n v="364.4375"/>
    <n v="0.35387619533584119"/>
    <n v="0.4309632060710103"/>
    <n v="7.7087010735169104E-2"/>
    <n v="102"/>
    <n v="111"/>
    <n v="7.3278526254712414E-4"/>
    <n v="-7.3278526254712414E-4"/>
  </r>
  <r>
    <x v="101"/>
    <x v="10"/>
    <s v="comp-2"/>
    <s v="QB-1"/>
    <n v="14"/>
    <n v="21.61"/>
    <n v="59.598399999999998"/>
    <s v="QB"/>
    <x v="4"/>
    <x v="2"/>
    <n v="103.61999999999999"/>
    <n v="357.30130000000003"/>
    <s v="cory-2"/>
    <x v="4"/>
    <n v="102.7"/>
    <n v="377.5104"/>
    <n v="0.51353712670419016"/>
    <n v="0.39841279253236001"/>
    <n v="-0.11512433417183016"/>
    <n v="65"/>
    <n v="97"/>
    <n v="7.9067132480679003E-4"/>
    <n v="-7.9067132480679003E-4"/>
  </r>
  <r>
    <x v="180"/>
    <x v="8"/>
    <s v="jason-9"/>
    <s v="TE-1"/>
    <n v="0"/>
    <n v="6.83"/>
    <n v="23.522500000000001"/>
    <s v="TE"/>
    <x v="3"/>
    <x v="4"/>
    <n v="81.42"/>
    <n v="278.07840000000004"/>
    <e v="#N/A"/>
    <x v="6"/>
    <n v="0"/>
    <n v="0"/>
    <n v="0.99999947640964748"/>
    <n v="0.99999853080292933"/>
    <n v="-9.4560671815013819E-7"/>
    <n v="67"/>
    <n v="0"/>
    <n v="1"/>
    <n v="0"/>
  </r>
  <r>
    <x v="74"/>
    <x v="8"/>
    <s v="devon-9"/>
    <s v="TE-1"/>
    <n v="13"/>
    <n v="6.04"/>
    <n v="22.944099999999999"/>
    <s v="TE"/>
    <x v="3"/>
    <x v="8"/>
    <n v="104.66"/>
    <n v="474.51049999999998"/>
    <s v="cory-9"/>
    <x v="4"/>
    <n v="90.69"/>
    <n v="356.05790000000002"/>
    <n v="0.68606954461640712"/>
    <n v="0.76928253037380845"/>
    <n v="8.3212985757401325E-2"/>
    <n v="81"/>
    <n v="89"/>
    <n v="8.9456191015550727E-4"/>
    <n v="-8.9456191015550727E-4"/>
  </r>
  <r>
    <x v="100"/>
    <x v="9"/>
    <s v="perry-4"/>
    <s v="D/ST"/>
    <n v="15"/>
    <n v="9.27"/>
    <n v="32.376100000000001"/>
    <s v="D/ST"/>
    <x v="5"/>
    <x v="7"/>
    <n v="111.07000000000001"/>
    <n v="406.62959999999998"/>
    <s v="devon-4"/>
    <x v="7"/>
    <n v="99.78"/>
    <n v="369.21209999999996"/>
    <n v="0.65738205274668193"/>
    <n v="0.73375440219599597"/>
    <n v="7.6372349449314036E-2"/>
    <n v="72"/>
    <n v="84"/>
    <n v="9.1663321374636049E-4"/>
    <n v="-9.1663321374636049E-4"/>
  </r>
  <r>
    <x v="7"/>
    <x v="7"/>
    <s v="matty-5"/>
    <s v="QB-1"/>
    <n v="35"/>
    <n v="16.62"/>
    <n v="51.696100000000001"/>
    <s v="QB"/>
    <x v="4"/>
    <x v="0"/>
    <n v="99.23"/>
    <n v="364.64739999999995"/>
    <s v="aj-5"/>
    <x v="2"/>
    <n v="117.25999999999999"/>
    <n v="422.9941"/>
    <n v="0.26029431580256523"/>
    <n v="0.50514687077704901"/>
    <n v="0.24485255497448377"/>
    <n v="106"/>
    <n v="110"/>
    <n v="9.2705850545250507E-4"/>
    <n v="-9.2705850545250507E-4"/>
  </r>
  <r>
    <x v="5"/>
    <x v="5"/>
    <s v="chad-7"/>
    <s v="TE-1"/>
    <n v="9"/>
    <n v="7.62"/>
    <n v="21.622499999999999"/>
    <s v="TE"/>
    <x v="3"/>
    <x v="3"/>
    <n v="99.759999999999991"/>
    <n v="339.923"/>
    <s v="perry-7"/>
    <x v="10"/>
    <n v="103.81000000000002"/>
    <n v="404.20889999999997"/>
    <n v="0.44098709635876499"/>
    <n v="0.46043730584054127"/>
    <n v="1.9450209481776282E-2"/>
    <n v="102"/>
    <n v="115"/>
    <n v="9.9248105308458959E-4"/>
    <n v="-9.9248105308458959E-4"/>
  </r>
  <r>
    <x v="219"/>
    <x v="7"/>
    <s v="scott-5"/>
    <s v="WR/RB"/>
    <n v="5"/>
    <n v="8.57"/>
    <n v="43.824399999999997"/>
    <s v="WR/RB"/>
    <x v="2"/>
    <x v="9"/>
    <n v="107.89"/>
    <n v="441.71269999999998"/>
    <s v="lucas-5"/>
    <x v="9"/>
    <n v="0"/>
    <n v="0"/>
    <n v="0.99999985777778666"/>
    <n v="0.99999991516381304"/>
    <n v="5.738602637528345E-8"/>
    <n v="69"/>
    <n v="0"/>
    <n v="1"/>
    <n v="0"/>
  </r>
  <r>
    <x v="13"/>
    <x v="11"/>
    <s v="matty-1"/>
    <s v="WR-1"/>
    <n v="4"/>
    <n v="6.51"/>
    <n v="28.944400000000002"/>
    <s v="WR"/>
    <x v="0"/>
    <x v="0"/>
    <n v="96.11"/>
    <n v="397.37959999999998"/>
    <s v="chad-1"/>
    <x v="1"/>
    <n v="101.75"/>
    <n v="333.15260000000001"/>
    <n v="0.41735304190298633"/>
    <n v="0.37915824875715054"/>
    <n v="-3.8194793145835793E-2"/>
    <n v="76"/>
    <n v="95"/>
    <n v="1.0881470857229117E-3"/>
    <n v="-1.0881470857229117E-3"/>
  </r>
  <r>
    <x v="111"/>
    <x v="4"/>
    <s v="jason-8"/>
    <s v="QB-1"/>
    <n v="6"/>
    <n v="19.45"/>
    <n v="64.320400000000006"/>
    <s v="QB"/>
    <x v="4"/>
    <x v="4"/>
    <n v="93.289999999999992"/>
    <n v="315.97840000000008"/>
    <e v="#N/A"/>
    <x v="6"/>
    <n v="0"/>
    <n v="0"/>
    <n v="0.99999992318369246"/>
    <n v="0.9999997583964918"/>
    <n v="-1.6478720066270824E-7"/>
    <n v="75"/>
    <n v="0"/>
    <n v="1"/>
    <n v="0"/>
  </r>
  <r>
    <x v="122"/>
    <x v="1"/>
    <s v="scott-12"/>
    <s v="RB-2"/>
    <n v="1"/>
    <n v="15.59"/>
    <n v="86.304100000000005"/>
    <s v="RB"/>
    <x v="2"/>
    <x v="9"/>
    <n v="109.82"/>
    <n v="367.76499999999999"/>
    <s v="perry-12"/>
    <x v="10"/>
    <n v="117.67999999999999"/>
    <n v="426.54240000000004"/>
    <n v="0.39016577980232847"/>
    <n v="0.1994127487166977"/>
    <n v="-0.19075303108563077"/>
    <n v="88"/>
    <n v="131"/>
    <n v="1.1136257421580959E-3"/>
    <n v="-1.1136257421580959E-3"/>
  </r>
  <r>
    <x v="113"/>
    <x v="5"/>
    <s v="chad-7"/>
    <s v="WR-3"/>
    <n v="0"/>
    <n v="3.65"/>
    <n v="9.3635999999999999"/>
    <s v="WR"/>
    <x v="0"/>
    <x v="3"/>
    <n v="99.759999999999991"/>
    <n v="339.923"/>
    <s v="perry-7"/>
    <x v="10"/>
    <n v="103.81000000000002"/>
    <n v="404.20889999999997"/>
    <n v="0.44098709635876499"/>
    <n v="0.38818083751533705"/>
    <n v="-5.2806258843427933E-2"/>
    <n v="102"/>
    <n v="115"/>
    <n v="1.1232199025032329E-3"/>
    <n v="-1.1232199025032329E-3"/>
  </r>
  <r>
    <x v="86"/>
    <x v="2"/>
    <s v="scott-13"/>
    <s v="D/ST"/>
    <n v="13"/>
    <n v="11.66"/>
    <n v="49.420900000000003"/>
    <s v="D/ST"/>
    <x v="5"/>
    <x v="9"/>
    <n v="108.61"/>
    <n v="407.25390000000004"/>
    <s v="cory-13"/>
    <x v="4"/>
    <n v="106.87"/>
    <n v="444.05589999999995"/>
    <n v="0.52377705912504058"/>
    <n v="0.54330599960568837"/>
    <n v="1.9528940480647794E-2"/>
    <n v="66"/>
    <n v="86"/>
    <n v="1.2004397677293425E-3"/>
    <n v="-1.2004397677293425E-3"/>
  </r>
  <r>
    <x v="81"/>
    <x v="0"/>
    <s v="jason-10"/>
    <s v="WR-2"/>
    <n v="21"/>
    <n v="9.69"/>
    <n v="32.947600000000001"/>
    <s v="WR"/>
    <x v="0"/>
    <x v="4"/>
    <n v="97.83"/>
    <n v="370.18310000000002"/>
    <e v="#N/A"/>
    <x v="6"/>
    <n v="0"/>
    <n v="0"/>
    <n v="0.99999981587831821"/>
    <n v="0.99999999860208999"/>
    <n v="1.8272377177996901E-7"/>
    <n v="91"/>
    <n v="0"/>
    <n v="1"/>
    <n v="0"/>
  </r>
  <r>
    <x v="31"/>
    <x v="6"/>
    <s v="chad-11"/>
    <s v="RB-1"/>
    <n v="10"/>
    <n v="15.89"/>
    <n v="70.056899999999999"/>
    <s v="RB"/>
    <x v="2"/>
    <x v="3"/>
    <n v="106.58"/>
    <n v="427.68610000000001"/>
    <s v="cory-11"/>
    <x v="4"/>
    <n v="102.11"/>
    <n v="431.97960000000006"/>
    <n v="0.56058610538956244"/>
    <n v="0.47984848922981238"/>
    <n v="-8.0737616159750059E-2"/>
    <n v="99"/>
    <n v="130"/>
    <n v="1.3498980316300933E-3"/>
    <n v="-1.3498980316300933E-3"/>
  </r>
  <r>
    <x v="131"/>
    <x v="8"/>
    <s v="jason-9"/>
    <s v="D/ST"/>
    <n v="-1"/>
    <n v="4.42"/>
    <n v="30.5809"/>
    <s v="D/ST"/>
    <x v="5"/>
    <x v="4"/>
    <n v="81.42"/>
    <n v="278.07840000000004"/>
    <e v="#N/A"/>
    <x v="6"/>
    <n v="0"/>
    <n v="0"/>
    <n v="0.99999947640964748"/>
    <n v="0.99999932041887729"/>
    <n v="-1.5599077018979557E-7"/>
    <n v="67"/>
    <n v="0"/>
    <n v="1"/>
    <n v="0"/>
  </r>
  <r>
    <x v="66"/>
    <x v="9"/>
    <s v="comp-4"/>
    <s v="WR-2"/>
    <n v="0"/>
    <n v="9.73"/>
    <n v="65.61"/>
    <s v="WR"/>
    <x v="0"/>
    <x v="2"/>
    <n v="103.70000000000002"/>
    <n v="412.10110000000003"/>
    <s v="aj-4"/>
    <x v="2"/>
    <n v="118.09999999999998"/>
    <n v="465.47660000000008"/>
    <n v="0.31345048172071355"/>
    <n v="0.19854944753729908"/>
    <n v="-0.11490103418341446"/>
    <n v="46"/>
    <n v="80"/>
    <n v="1.3664037761453689E-3"/>
    <n v="-1.3664037761453689E-3"/>
  </r>
  <r>
    <x v="165"/>
    <x v="12"/>
    <s v="chad-6"/>
    <s v="WR-2"/>
    <n v="5"/>
    <n v="8.89"/>
    <n v="28.944400000000002"/>
    <s v="WR"/>
    <x v="0"/>
    <x v="3"/>
    <n v="96.66"/>
    <n v="373.87420000000003"/>
    <s v="lucas-6"/>
    <x v="9"/>
    <n v="0"/>
    <n v="0"/>
    <n v="0.99999971187356196"/>
    <n v="0.99999970593870635"/>
    <n v="-5.9348556069593883E-9"/>
    <n v="79"/>
    <n v="0"/>
    <n v="1"/>
    <n v="0"/>
  </r>
  <r>
    <x v="15"/>
    <x v="2"/>
    <s v="aj-13"/>
    <s v="WR-1"/>
    <n v="15"/>
    <n v="9"/>
    <n v="25.100100000000001"/>
    <s v="WR"/>
    <x v="0"/>
    <x v="6"/>
    <n v="116.54"/>
    <n v="371.12040000000002"/>
    <s v="matty-13"/>
    <x v="3"/>
    <n v="88.16"/>
    <n v="330.99250000000001"/>
    <n v="0.85792606530938775"/>
    <n v="0.90680236381872414"/>
    <n v="4.8876298509336391E-2"/>
    <n v="108"/>
    <n v="117"/>
    <n v="1.3766756844986628E-3"/>
    <n v="-1.3766756844986628E-3"/>
  </r>
  <r>
    <x v="104"/>
    <x v="5"/>
    <s v="aj-7"/>
    <s v="RB-1"/>
    <n v="7"/>
    <n v="11.1"/>
    <n v="45.5625"/>
    <s v="RB"/>
    <x v="2"/>
    <x v="6"/>
    <n v="114.01999999999998"/>
    <n v="381.58529999999996"/>
    <s v="devon-7"/>
    <x v="7"/>
    <n v="106.81"/>
    <n v="351.64060000000001"/>
    <n v="0.60498297578784854"/>
    <n v="0.54720254155787951"/>
    <n v="-5.7780434229969035E-2"/>
    <n v="93"/>
    <n v="117"/>
    <n v="1.5984191114658845E-3"/>
    <n v="-1.5984191114658845E-3"/>
  </r>
  <r>
    <x v="6"/>
    <x v="9"/>
    <s v="jason-4"/>
    <s v="K"/>
    <n v="1"/>
    <n v="7.69"/>
    <n v="31.136399999999998"/>
    <s v="K"/>
    <x v="1"/>
    <x v="4"/>
    <n v="103.94999999999999"/>
    <n v="368.50220000000002"/>
    <e v="#N/A"/>
    <x v="6"/>
    <n v="0"/>
    <n v="0"/>
    <n v="0.99999996936843616"/>
    <n v="0.999999940562323"/>
    <n v="-2.8806113161472524E-8"/>
    <n v="69"/>
    <n v="0"/>
    <n v="1"/>
    <n v="0"/>
  </r>
  <r>
    <x v="181"/>
    <x v="2"/>
    <s v="aj-13"/>
    <s v="WR-2"/>
    <n v="14"/>
    <n v="8.16"/>
    <n v="26.01"/>
    <s v="WR"/>
    <x v="0"/>
    <x v="6"/>
    <n v="116.54"/>
    <n v="371.12040000000002"/>
    <s v="matty-13"/>
    <x v="3"/>
    <n v="88.16"/>
    <n v="330.99250000000001"/>
    <n v="0.85792606530938775"/>
    <n v="0.90592198787236211"/>
    <n v="4.7995922562974358E-2"/>
    <n v="108"/>
    <n v="117"/>
    <n v="1.8082778491909743E-3"/>
    <n v="-1.8082778491909743E-3"/>
  </r>
  <r>
    <x v="33"/>
    <x v="12"/>
    <s v="devon-6"/>
    <s v="WR-2"/>
    <n v="11"/>
    <n v="10.220000000000001"/>
    <n v="46.648899999999998"/>
    <s v="WR"/>
    <x v="0"/>
    <x v="8"/>
    <n v="101.41999999999999"/>
    <n v="401.13359999999994"/>
    <s v="comp-6"/>
    <x v="8"/>
    <n v="104.66"/>
    <n v="375.94899999999996"/>
    <n v="0.45373585390093107"/>
    <n v="0.46373769394552239"/>
    <n v="1.0001840044591315E-2"/>
    <n v="72"/>
    <n v="91"/>
    <n v="1.8894798789708071E-3"/>
    <n v="-1.8894798789708071E-3"/>
  </r>
  <r>
    <x v="177"/>
    <x v="3"/>
    <s v="perry-3"/>
    <s v="RB-1"/>
    <n v="4"/>
    <n v="13.12"/>
    <n v="52.128399999999999"/>
    <s v="RB"/>
    <x v="2"/>
    <x v="7"/>
    <n v="101.86999999999999"/>
    <n v="350.57169999999996"/>
    <s v="scott-3"/>
    <x v="5"/>
    <n v="110.35"/>
    <n v="442.53309999999999"/>
    <n v="0.38166388462507189"/>
    <n v="0.25895758301929184"/>
    <n v="-0.12270630160578005"/>
    <n v="102"/>
    <n v="132"/>
    <n v="1.9141922502044727E-3"/>
    <n v="-1.9141922502044727E-3"/>
  </r>
  <r>
    <x v="9"/>
    <x v="9"/>
    <s v="comp-4"/>
    <s v="WR-1"/>
    <n v="3"/>
    <n v="13.57"/>
    <n v="65.772099999999995"/>
    <s v="WR"/>
    <x v="0"/>
    <x v="2"/>
    <n v="103.70000000000002"/>
    <n v="412.10110000000003"/>
    <s v="aj-4"/>
    <x v="2"/>
    <n v="118.09999999999998"/>
    <n v="465.47660000000008"/>
    <n v="0.31345048172071355"/>
    <n v="0.19041170909214913"/>
    <n v="-0.12303877262856441"/>
    <n v="46"/>
    <n v="80"/>
    <n v="1.9321862554496205E-3"/>
    <n v="-1.9321862554496205E-3"/>
  </r>
  <r>
    <x v="142"/>
    <x v="5"/>
    <s v="aj-7"/>
    <s v="WR-2"/>
    <n v="0"/>
    <n v="9.1"/>
    <n v="27.144100000000002"/>
    <s v="WR"/>
    <x v="0"/>
    <x v="6"/>
    <n v="114.01999999999998"/>
    <n v="381.58529999999996"/>
    <s v="devon-7"/>
    <x v="7"/>
    <n v="106.81"/>
    <n v="351.64060000000001"/>
    <n v="0.60498297578784854"/>
    <n v="0.47164835260894922"/>
    <n v="-0.13333462317889933"/>
    <n v="93"/>
    <n v="117"/>
    <n v="2.1189743790401231E-3"/>
    <n v="-2.1189743790401231E-3"/>
  </r>
  <r>
    <x v="43"/>
    <x v="5"/>
    <s v="matty-7"/>
    <s v="WR/RB"/>
    <n v="4"/>
    <n v="8.23"/>
    <n v="20.25"/>
    <s v="WR/RB"/>
    <x v="2"/>
    <x v="0"/>
    <n v="87.490000000000009"/>
    <n v="277.88929999999999"/>
    <s v="scott-7"/>
    <x v="5"/>
    <n v="114.48000000000002"/>
    <n v="430.3667999999999"/>
    <n v="0.15525251215631256"/>
    <n v="0.11697484629980791"/>
    <n v="-3.8277665856504647E-2"/>
    <n v="65"/>
    <n v="82"/>
    <n v="2.2714399344701567E-3"/>
    <n v="-2.2714399344701567E-3"/>
  </r>
  <r>
    <x v="165"/>
    <x v="5"/>
    <s v="aj-7"/>
    <s v="WR-3"/>
    <n v="4"/>
    <n v="10.62"/>
    <n v="37.699599999999997"/>
    <s v="WR"/>
    <x v="0"/>
    <x v="6"/>
    <n v="114.01999999999998"/>
    <n v="381.58529999999996"/>
    <s v="devon-7"/>
    <x v="7"/>
    <n v="106.81"/>
    <n v="351.64060000000001"/>
    <n v="0.60498297578784854"/>
    <n v="0.50892419546693168"/>
    <n v="-9.6058780320916859E-2"/>
    <n v="93"/>
    <n v="117"/>
    <n v="2.3229020513323094E-3"/>
    <n v="-2.3229020513323094E-3"/>
  </r>
  <r>
    <x v="105"/>
    <x v="12"/>
    <s v="perry-6"/>
    <s v="WR-1"/>
    <n v="9"/>
    <n v="9.9700000000000006"/>
    <n v="32.2624"/>
    <s v="WR"/>
    <x v="0"/>
    <x v="7"/>
    <n v="88.72"/>
    <n v="407.6961"/>
    <s v="matty-6"/>
    <x v="3"/>
    <n v="109.91000000000001"/>
    <n v="387.28550000000001"/>
    <n v="0.22616370321424212"/>
    <n v="0.21116267812030975"/>
    <n v="-1.5001025093932363E-2"/>
    <n v="102"/>
    <n v="119"/>
    <n v="2.3848968201053309E-3"/>
    <n v="-2.3848968201053309E-3"/>
  </r>
  <r>
    <x v="199"/>
    <x v="7"/>
    <s v="seth-5"/>
    <s v="WR/RB"/>
    <n v="14"/>
    <n v="7.4"/>
    <n v="19.980899999999998"/>
    <s v="WR/RB"/>
    <x v="2"/>
    <x v="1"/>
    <n v="98.72999999999999"/>
    <n v="396.28840000000002"/>
    <s v="perry-5"/>
    <x v="10"/>
    <n v="97.27"/>
    <n v="430.39269999999999"/>
    <n v="0.52024917394329329"/>
    <n v="0.61170980148000631"/>
    <n v="9.1460627536713024E-2"/>
    <n v="90"/>
    <n v="96"/>
    <n v="2.4102375991058487E-3"/>
    <n v="-2.4102375991058487E-3"/>
  </r>
  <r>
    <x v="31"/>
    <x v="12"/>
    <s v="chad-6"/>
    <s v="RB-1"/>
    <n v="11"/>
    <n v="12.45"/>
    <n v="44.355600000000003"/>
    <s v="RB"/>
    <x v="2"/>
    <x v="3"/>
    <n v="96.66"/>
    <n v="373.87420000000003"/>
    <s v="lucas-6"/>
    <x v="9"/>
    <n v="0"/>
    <n v="0"/>
    <n v="0.99999971187356196"/>
    <n v="0.99999992184402064"/>
    <n v="2.0997045868664799E-7"/>
    <n v="79"/>
    <n v="0"/>
    <n v="1"/>
    <n v="0"/>
  </r>
  <r>
    <x v="149"/>
    <x v="8"/>
    <s v="aj-9"/>
    <s v="D/ST"/>
    <n v="10"/>
    <n v="10.08"/>
    <n v="46.376100000000001"/>
    <s v="D/ST"/>
    <x v="5"/>
    <x v="6"/>
    <n v="102.03999999999999"/>
    <n v="392.2131"/>
    <s v="perry-9"/>
    <x v="10"/>
    <n v="98.35"/>
    <n v="385.97739999999999"/>
    <n v="0.5526172882097643"/>
    <n v="0.55307980768484799"/>
    <n v="4.6251947508368918E-4"/>
    <n v="86"/>
    <n v="105"/>
    <n v="2.7324824462803942E-3"/>
    <n v="-2.7324824462803942E-3"/>
  </r>
  <r>
    <x v="22"/>
    <x v="10"/>
    <s v="aj-2"/>
    <s v="K"/>
    <n v="11"/>
    <n v="8.9"/>
    <n v="16.160399999999999"/>
    <s v="K"/>
    <x v="1"/>
    <x v="6"/>
    <n v="103.77999999999999"/>
    <n v="338.9511"/>
    <s v="chad-2"/>
    <x v="1"/>
    <n v="102.72000000000001"/>
    <n v="348.54960000000005"/>
    <n v="0.51612356509096413"/>
    <n v="0.54853446327203514"/>
    <n v="3.2410898181071013E-2"/>
    <n v="90"/>
    <n v="99"/>
    <n v="2.8795225341883201E-3"/>
    <n v="-2.8795225341883201E-3"/>
  </r>
  <r>
    <x v="142"/>
    <x v="0"/>
    <s v="cory-10"/>
    <s v="WR-3"/>
    <n v="10"/>
    <n v="9.57"/>
    <n v="31.472100000000001"/>
    <s v="WR"/>
    <x v="0"/>
    <x v="5"/>
    <n v="93.17"/>
    <n v="328.34589999999997"/>
    <s v="perry-10"/>
    <x v="10"/>
    <n v="103.49"/>
    <n v="345.28400000000005"/>
    <n v="0.34545488835543114"/>
    <n v="0.34816504963708228"/>
    <n v="2.7101612816511356E-3"/>
    <n v="91"/>
    <n v="106"/>
    <n v="2.9757133275498766E-3"/>
    <n v="-2.9757133275498766E-3"/>
  </r>
  <r>
    <x v="20"/>
    <x v="8"/>
    <s v="aj-9"/>
    <s v="QB-1"/>
    <n v="22"/>
    <n v="19.11"/>
    <n v="63.520899999999997"/>
    <s v="QB"/>
    <x v="4"/>
    <x v="6"/>
    <n v="102.03999999999999"/>
    <n v="392.2131"/>
    <s v="perry-9"/>
    <x v="10"/>
    <n v="98.35"/>
    <n v="385.97739999999999"/>
    <n v="0.5526172882097643"/>
    <n v="0.59721110529918575"/>
    <n v="4.459381708942145E-2"/>
    <n v="86"/>
    <n v="105"/>
    <n v="3.0112892909119836E-3"/>
    <n v="-3.0112892909119836E-3"/>
  </r>
  <r>
    <x v="31"/>
    <x v="5"/>
    <s v="chad-7"/>
    <s v="RB-1"/>
    <n v="20"/>
    <n v="13.94"/>
    <n v="48.163600000000002"/>
    <s v="RB"/>
    <x v="2"/>
    <x v="3"/>
    <n v="99.759999999999991"/>
    <n v="339.923"/>
    <s v="perry-7"/>
    <x v="10"/>
    <n v="103.81000000000002"/>
    <n v="404.20889999999997"/>
    <n v="0.44098709635876499"/>
    <n v="0.530366264887425"/>
    <n v="8.9379168528660013E-2"/>
    <n v="102"/>
    <n v="115"/>
    <n v="3.0126837456872905E-3"/>
    <n v="-3.0126837456872905E-3"/>
  </r>
  <r>
    <x v="83"/>
    <x v="11"/>
    <s v="perry-1"/>
    <s v="WR/RB"/>
    <n v="1"/>
    <n v="5.33"/>
    <n v="24.8004"/>
    <s v="WR/RB"/>
    <x v="2"/>
    <x v="7"/>
    <n v="94.44"/>
    <n v="399.28809999999999"/>
    <s v="cory-1"/>
    <x v="4"/>
    <n v="105.11000000000001"/>
    <n v="445.52289999999994"/>
    <n v="0.35677213328906182"/>
    <n v="0.30020210157177513"/>
    <n v="-5.6570031717286695E-2"/>
    <n v="82"/>
    <n v="100"/>
    <n v="3.0257300175672666E-3"/>
    <n v="-3.0257300175672666E-3"/>
  </r>
  <r>
    <x v="180"/>
    <x v="6"/>
    <s v="seth-11"/>
    <s v="TE-1"/>
    <n v="0"/>
    <n v="7.28"/>
    <n v="21.622499999999999"/>
    <s v="TE"/>
    <x v="3"/>
    <x v="1"/>
    <n v="98.329999999999984"/>
    <n v="378.70709999999997"/>
    <s v="aj-11"/>
    <x v="2"/>
    <n v="110.11"/>
    <n v="412.79880000000003"/>
    <n v="0.33771232413612995"/>
    <n v="0.24606444967175212"/>
    <n v="-9.1647874464377832E-2"/>
    <n v="111"/>
    <n v="131"/>
    <n v="3.1144319404963726E-3"/>
    <n v="-3.1144319404963726E-3"/>
  </r>
  <r>
    <x v="77"/>
    <x v="4"/>
    <s v="perry-8"/>
    <s v="RB-2"/>
    <n v="11"/>
    <n v="16.86"/>
    <n v="113.8489"/>
    <s v="RB"/>
    <x v="2"/>
    <x v="7"/>
    <n v="115.82"/>
    <n v="434.36700000000002"/>
    <s v="comp-8"/>
    <x v="8"/>
    <n v="100.87"/>
    <n v="421.5641"/>
    <n v="0.69532483792586408"/>
    <n v="0.63069171059610452"/>
    <n v="-6.4633127329759565E-2"/>
    <n v="80"/>
    <n v="115"/>
    <n v="3.1569170925793534E-3"/>
    <n v="-3.1569170925793534E-3"/>
  </r>
  <r>
    <x v="153"/>
    <x v="0"/>
    <s v="aj-10"/>
    <s v="QB-1"/>
    <n v="20"/>
    <n v="20.399999999999999"/>
    <n v="57.304900000000004"/>
    <s v="QB"/>
    <x v="4"/>
    <x v="6"/>
    <n v="110.08000000000001"/>
    <n v="372.64320000000004"/>
    <s v="chad-10"/>
    <x v="1"/>
    <n v="103.91999999999999"/>
    <n v="398.26569999999992"/>
    <n v="0.58778859959928087"/>
    <n v="0.58535894725620763"/>
    <n v="-2.4296523430732408E-3"/>
    <n v="82"/>
    <n v="103"/>
    <n v="3.2515991447270185E-3"/>
    <n v="-3.2515991447270185E-3"/>
  </r>
  <r>
    <x v="220"/>
    <x v="10"/>
    <s v="matty-2"/>
    <s v="K"/>
    <n v="8"/>
    <n v="7.35"/>
    <n v="21.622499999999999"/>
    <s v="K"/>
    <x v="1"/>
    <x v="0"/>
    <n v="101.3"/>
    <n v="329.14109999999999"/>
    <s v="seth-2"/>
    <x v="0"/>
    <n v="91.78"/>
    <n v="333.71719999999993"/>
    <n v="0.64422145537573039"/>
    <n v="0.65601703643721299"/>
    <n v="1.1795581061482596E-2"/>
    <n v="70"/>
    <n v="82"/>
    <n v="3.2598526409891838E-3"/>
    <n v="-3.2598526409891838E-3"/>
  </r>
  <r>
    <x v="34"/>
    <x v="4"/>
    <s v="cory-8"/>
    <s v="D/ST"/>
    <n v="27"/>
    <n v="10.050000000000001"/>
    <n v="43.56"/>
    <s v="D/ST"/>
    <x v="5"/>
    <x v="5"/>
    <n v="106.3"/>
    <n v="423.11159999999995"/>
    <s v="matty-8"/>
    <x v="3"/>
    <n v="88.500000000000014"/>
    <n v="351.30459999999999"/>
    <n v="0.7387953106518842"/>
    <n v="0.90067401139091163"/>
    <n v="0.16187870073902744"/>
    <n v="106"/>
    <n v="107"/>
    <n v="3.2670883076711295E-3"/>
    <n v="-3.2670883076711295E-3"/>
  </r>
  <r>
    <x v="221"/>
    <x v="12"/>
    <s v="chad-6"/>
    <s v="D/ST"/>
    <n v="5"/>
    <n v="9.3800000000000008"/>
    <n v="33.177599999999998"/>
    <s v="D/ST"/>
    <x v="5"/>
    <x v="3"/>
    <n v="96.66"/>
    <n v="373.87420000000003"/>
    <s v="lucas-6"/>
    <x v="9"/>
    <n v="0"/>
    <n v="0"/>
    <n v="0.99999971187356196"/>
    <n v="0.99999971255460673"/>
    <n v="6.8104477612962455E-10"/>
    <n v="79"/>
    <n v="0"/>
    <n v="1"/>
    <n v="0"/>
  </r>
  <r>
    <x v="144"/>
    <x v="9"/>
    <s v="seth-4"/>
    <s v="K"/>
    <n v="6"/>
    <n v="8.1999999999999993"/>
    <n v="13.1044"/>
    <s v="K"/>
    <x v="1"/>
    <x v="1"/>
    <n v="104.32"/>
    <n v="390.96559999999999"/>
    <s v="chad-4"/>
    <x v="1"/>
    <n v="99.8"/>
    <n v="351.46400000000006"/>
    <n v="0.56587682676878348"/>
    <n v="0.53422973392969686"/>
    <n v="-3.1647092839086621E-2"/>
    <n v="111"/>
    <n v="123"/>
    <n v="3.3928489971571016E-3"/>
    <n v="-3.3928489971571016E-3"/>
  </r>
  <r>
    <x v="154"/>
    <x v="7"/>
    <s v="scott-5"/>
    <s v="WR-3"/>
    <n v="4"/>
    <n v="9.6300000000000008"/>
    <n v="46.104100000000003"/>
    <s v="WR"/>
    <x v="0"/>
    <x v="9"/>
    <n v="107.89"/>
    <n v="441.71269999999998"/>
    <s v="lucas-5"/>
    <x v="9"/>
    <n v="0"/>
    <n v="0"/>
    <n v="0.99999985777778666"/>
    <n v="0.99999986357783566"/>
    <n v="5.8000489966403279E-9"/>
    <n v="69"/>
    <n v="0"/>
    <n v="1"/>
    <n v="0"/>
  </r>
  <r>
    <x v="115"/>
    <x v="9"/>
    <s v="seth-4"/>
    <s v="WR/RB"/>
    <n v="19"/>
    <n v="12.91"/>
    <n v="44.756100000000004"/>
    <s v="WR/RB"/>
    <x v="0"/>
    <x v="1"/>
    <n v="104.32"/>
    <n v="390.96559999999999"/>
    <s v="chad-4"/>
    <x v="1"/>
    <n v="99.8"/>
    <n v="351.46400000000006"/>
    <n v="0.56587682676878348"/>
    <n v="0.65604331187081266"/>
    <n v="9.0166485102029181E-2"/>
    <n v="111"/>
    <n v="123"/>
    <n v="3.4251446495902698E-3"/>
    <n v="-3.4251446495902698E-3"/>
  </r>
  <r>
    <x v="11"/>
    <x v="11"/>
    <s v="matty-1"/>
    <s v="RB-2"/>
    <n v="13"/>
    <n v="11.99"/>
    <n v="55.056399999999996"/>
    <s v="RB"/>
    <x v="2"/>
    <x v="0"/>
    <n v="96.11"/>
    <n v="397.37959999999998"/>
    <s v="chad-1"/>
    <x v="1"/>
    <n v="101.75"/>
    <n v="333.15260000000001"/>
    <n v="0.41735304190298633"/>
    <n v="0.4293041555219646"/>
    <n v="1.1951113618978271E-2"/>
    <n v="76"/>
    <n v="95"/>
    <n v="3.500827883117512E-3"/>
    <n v="-3.500827883117512E-3"/>
  </r>
  <r>
    <x v="19"/>
    <x v="10"/>
    <s v="comp-2"/>
    <s v="RB-1"/>
    <n v="2"/>
    <n v="13.08"/>
    <n v="60.217599999999997"/>
    <s v="RB"/>
    <x v="2"/>
    <x v="2"/>
    <n v="103.61999999999999"/>
    <n v="357.30130000000003"/>
    <s v="cory-2"/>
    <x v="4"/>
    <n v="102.7"/>
    <n v="377.5104"/>
    <n v="0.51353712670419016"/>
    <n v="0.34783349453880208"/>
    <n v="-0.16570363216538808"/>
    <n v="65"/>
    <n v="97"/>
    <n v="3.5101867283683173E-3"/>
    <n v="-3.5101867283683173E-3"/>
  </r>
  <r>
    <x v="38"/>
    <x v="5"/>
    <s v="matty-7"/>
    <s v="D/ST"/>
    <n v="8"/>
    <n v="9.14"/>
    <n v="34.928100000000001"/>
    <s v="D/ST"/>
    <x v="5"/>
    <x v="0"/>
    <n v="87.490000000000009"/>
    <n v="277.88929999999999"/>
    <s v="scott-7"/>
    <x v="5"/>
    <n v="114.48000000000002"/>
    <n v="430.3667999999999"/>
    <n v="0.15525251215631256"/>
    <n v="0.13916739692788185"/>
    <n v="-1.6085115228430702E-2"/>
    <n v="65"/>
    <n v="82"/>
    <n v="3.6418495461585107E-3"/>
    <n v="-3.6418495461585107E-3"/>
  </r>
  <r>
    <x v="106"/>
    <x v="3"/>
    <s v="jason-3"/>
    <s v="QB-1"/>
    <n v="7"/>
    <n v="21.87"/>
    <n v="56.550400000000003"/>
    <s v="QB"/>
    <x v="4"/>
    <x v="4"/>
    <n v="99.87"/>
    <n v="418.53290000000004"/>
    <e v="#N/A"/>
    <x v="6"/>
    <n v="0"/>
    <n v="0"/>
    <n v="0.99999947409897594"/>
    <n v="0.9999960450608667"/>
    <n v="-3.4290381092372257E-6"/>
    <n v="53"/>
    <n v="0"/>
    <n v="1"/>
    <n v="0"/>
  </r>
  <r>
    <x v="4"/>
    <x v="12"/>
    <s v="perry-6"/>
    <s v="WR/RB"/>
    <n v="19"/>
    <n v="9.0500000000000007"/>
    <n v="101.4049"/>
    <s v="WR/RB"/>
    <x v="2"/>
    <x v="7"/>
    <n v="88.72"/>
    <n v="407.6961"/>
    <s v="matty-6"/>
    <x v="3"/>
    <n v="109.91000000000001"/>
    <n v="387.28550000000001"/>
    <n v="0.22616370321424212"/>
    <n v="0.33476441708900873"/>
    <n v="0.10860071387476661"/>
    <n v="102"/>
    <n v="119"/>
    <n v="3.7223750982941198E-3"/>
    <n v="-3.7223750982941198E-3"/>
  </r>
  <r>
    <x v="145"/>
    <x v="2"/>
    <s v="scott-13"/>
    <s v="WR/RB"/>
    <n v="7"/>
    <n v="10.9"/>
    <n v="36.240400000000001"/>
    <s v="WR/RB"/>
    <x v="2"/>
    <x v="9"/>
    <n v="108.61"/>
    <n v="407.25390000000004"/>
    <s v="cory-13"/>
    <x v="4"/>
    <n v="106.87"/>
    <n v="444.05589999999995"/>
    <n v="0.52377705912504058"/>
    <n v="0.46984548477127364"/>
    <n v="-5.3931574353766942E-2"/>
    <n v="66"/>
    <n v="86"/>
    <n v="3.7429472875208673E-3"/>
    <n v="-3.7429472875208673E-3"/>
  </r>
  <r>
    <x v="14"/>
    <x v="6"/>
    <s v="seth-11"/>
    <s v="RB-2"/>
    <n v="7"/>
    <n v="10.66"/>
    <n v="38.44"/>
    <s v="RB"/>
    <x v="2"/>
    <x v="1"/>
    <n v="98.329999999999984"/>
    <n v="378.70709999999997"/>
    <s v="aj-11"/>
    <x v="2"/>
    <n v="110.11"/>
    <n v="412.79880000000003"/>
    <n v="0.33771232413612995"/>
    <n v="0.28683993584591938"/>
    <n v="-5.0872388290210568E-2"/>
    <n v="111"/>
    <n v="131"/>
    <n v="4.2008709320588335E-3"/>
    <n v="-4.2008709320588335E-3"/>
  </r>
  <r>
    <x v="87"/>
    <x v="0"/>
    <s v="cory-10"/>
    <s v="RB-2"/>
    <n v="5"/>
    <n v="6.97"/>
    <n v="24.502500000000001"/>
    <s v="RB"/>
    <x v="2"/>
    <x v="5"/>
    <n v="93.17"/>
    <n v="328.34589999999997"/>
    <s v="perry-10"/>
    <x v="10"/>
    <n v="103.49"/>
    <n v="345.28400000000005"/>
    <n v="0.34545488835543114"/>
    <n v="0.31476895219712331"/>
    <n v="-3.0685936158307836E-2"/>
    <n v="91"/>
    <n v="106"/>
    <n v="4.2401569770814706E-3"/>
    <n v="-4.2401569770814706E-3"/>
  </r>
  <r>
    <x v="18"/>
    <x v="6"/>
    <s v="matty-11"/>
    <s v="TE-1"/>
    <n v="8"/>
    <n v="5.46"/>
    <n v="20.1601"/>
    <s v="TE"/>
    <x v="3"/>
    <x v="0"/>
    <n v="88.670000000000016"/>
    <n v="334.39179999999999"/>
    <s v="comp-11"/>
    <x v="8"/>
    <n v="98.580000000000013"/>
    <n v="364.4375"/>
    <n v="0.35387619533584119"/>
    <n v="0.38862538145545805"/>
    <n v="3.4749186119616859E-2"/>
    <n v="102"/>
    <n v="111"/>
    <n v="5.0826378389188182E-3"/>
    <n v="-5.0826378389188182E-3"/>
  </r>
  <r>
    <x v="154"/>
    <x v="2"/>
    <s v="scott-13"/>
    <s v="WR-2"/>
    <n v="6"/>
    <n v="7.8"/>
    <n v="50.268099999999997"/>
    <s v="WR"/>
    <x v="0"/>
    <x v="9"/>
    <n v="108.61"/>
    <n v="407.25390000000004"/>
    <s v="cory-13"/>
    <x v="4"/>
    <n v="106.87"/>
    <n v="444.05589999999995"/>
    <n v="0.52377705912504058"/>
    <n v="0.49915426670467022"/>
    <n v="-2.4622792420370354E-2"/>
    <n v="66"/>
    <n v="86"/>
    <n v="5.1291932099637831E-3"/>
    <n v="-5.1291932099637831E-3"/>
  </r>
  <r>
    <x v="98"/>
    <x v="7"/>
    <s v="seth-5"/>
    <s v="WR-3"/>
    <n v="22"/>
    <n v="11.06"/>
    <n v="43.56"/>
    <s v="WR"/>
    <x v="0"/>
    <x v="1"/>
    <n v="98.72999999999999"/>
    <n v="396.28840000000002"/>
    <s v="perry-5"/>
    <x v="10"/>
    <n v="97.27"/>
    <n v="430.39269999999999"/>
    <n v="0.52024917394329329"/>
    <n v="0.67115531656146965"/>
    <n v="0.15090614261817636"/>
    <n v="90"/>
    <n v="96"/>
    <n v="5.1340633273503486E-3"/>
    <n v="-5.1340633273503486E-3"/>
  </r>
  <r>
    <x v="163"/>
    <x v="9"/>
    <s v="seth-4"/>
    <s v="D/ST"/>
    <n v="6"/>
    <n v="4.83"/>
    <n v="26.522500000000001"/>
    <s v="D/ST"/>
    <x v="5"/>
    <x v="1"/>
    <n v="104.32"/>
    <n v="390.96559999999999"/>
    <s v="chad-4"/>
    <x v="1"/>
    <n v="99.8"/>
    <n v="351.46400000000006"/>
    <n v="0.56587682676878348"/>
    <n v="0.58420355713430239"/>
    <n v="1.8326730365518906E-2"/>
    <n v="111"/>
    <n v="123"/>
    <n v="5.2746896577223123E-3"/>
    <n v="-5.2746896577223123E-3"/>
  </r>
  <r>
    <x v="13"/>
    <x v="5"/>
    <s v="matty-7"/>
    <s v="WR-1"/>
    <n v="1"/>
    <n v="6.82"/>
    <n v="19.1844"/>
    <s v="WR"/>
    <x v="0"/>
    <x v="0"/>
    <n v="87.490000000000009"/>
    <n v="277.88929999999999"/>
    <s v="scott-7"/>
    <x v="5"/>
    <n v="114.48000000000002"/>
    <n v="430.3667999999999"/>
    <n v="0.15525251215631256"/>
    <n v="0.10566869405784385"/>
    <n v="-4.9583818098468707E-2"/>
    <n v="65"/>
    <n v="82"/>
    <n v="5.3474702384846097E-3"/>
    <n v="-5.3474702384846097E-3"/>
  </r>
  <r>
    <x v="101"/>
    <x v="8"/>
    <s v="comp-9"/>
    <s v="QB-1"/>
    <n v="18"/>
    <n v="18.71"/>
    <n v="46.104100000000003"/>
    <s v="QB"/>
    <x v="4"/>
    <x v="2"/>
    <n v="80.800000000000011"/>
    <n v="290.44450000000001"/>
    <s v="seth-9"/>
    <x v="0"/>
    <n v="92.559999999999988"/>
    <n v="350.31569999999999"/>
    <n v="0.32111649346340621"/>
    <n v="0.30454671258019517"/>
    <n v="-1.6569780883211038E-2"/>
    <n v="77"/>
    <n v="95"/>
    <n v="5.4421481436558285E-3"/>
    <n v="-5.4421481436558285E-3"/>
  </r>
  <r>
    <x v="160"/>
    <x v="4"/>
    <s v="seth-8"/>
    <s v="RB-2"/>
    <n v="5"/>
    <n v="7.73"/>
    <n v="23.425599999999999"/>
    <s v="RB"/>
    <x v="2"/>
    <x v="1"/>
    <n v="96.57"/>
    <n v="368.03749999999997"/>
    <s v="devon-8"/>
    <x v="7"/>
    <n v="102.43"/>
    <n v="452.86560000000003"/>
    <n v="0.41897065981019621"/>
    <n v="0.38049450308619215"/>
    <n v="-3.8476156724004063E-2"/>
    <n v="85"/>
    <n v="100"/>
    <n v="5.6203769546952394E-3"/>
    <n v="-5.6203769546952394E-3"/>
  </r>
  <r>
    <x v="102"/>
    <x v="2"/>
    <s v="aj-13"/>
    <s v="TE-1"/>
    <n v="12"/>
    <n v="7.74"/>
    <n v="27.457599999999999"/>
    <s v="TE"/>
    <x v="3"/>
    <x v="6"/>
    <n v="116.54"/>
    <n v="371.12040000000002"/>
    <s v="matty-13"/>
    <x v="3"/>
    <n v="88.16"/>
    <n v="330.99250000000001"/>
    <n v="0.85792606530938775"/>
    <n v="0.89555709840123243"/>
    <n v="3.7631033091844679E-2"/>
    <n v="108"/>
    <n v="117"/>
    <n v="5.6944466175603194E-3"/>
    <n v="-5.6944466175603194E-3"/>
  </r>
  <r>
    <x v="92"/>
    <x v="3"/>
    <s v="seth-3"/>
    <s v="QB-1"/>
    <n v="26"/>
    <n v="18.55"/>
    <n v="37.699599999999997"/>
    <s v="QB"/>
    <x v="4"/>
    <x v="1"/>
    <n v="94.54"/>
    <n v="356.43470000000002"/>
    <s v="aj-3"/>
    <x v="2"/>
    <n v="107.31"/>
    <n v="425.77620000000002"/>
    <n v="0.3239819129085153"/>
    <n v="0.42270677684084457"/>
    <n v="9.8724863932329265E-2"/>
    <n v="88"/>
    <n v="96"/>
    <n v="5.929934109497703E-3"/>
    <n v="-5.929934109497703E-3"/>
  </r>
  <r>
    <x v="43"/>
    <x v="11"/>
    <s v="matty-1"/>
    <s v="WR/RB"/>
    <n v="5"/>
    <n v="8.49"/>
    <n v="38.192399999999999"/>
    <s v="WR/RB"/>
    <x v="2"/>
    <x v="0"/>
    <n v="96.11"/>
    <n v="397.37959999999998"/>
    <s v="chad-1"/>
    <x v="1"/>
    <n v="101.75"/>
    <n v="333.15260000000001"/>
    <n v="0.41735304190298633"/>
    <n v="0.36430116557875913"/>
    <n v="-5.3051876324227198E-2"/>
    <n v="76"/>
    <n v="95"/>
    <n v="6.0415389310208966E-3"/>
    <n v="-6.0415389310208966E-3"/>
  </r>
  <r>
    <x v="222"/>
    <x v="5"/>
    <s v="matty-7"/>
    <s v="QB-1"/>
    <n v="11"/>
    <n v="11.99"/>
    <n v="40.832099999999997"/>
    <s v="QB"/>
    <x v="4"/>
    <x v="0"/>
    <n v="87.490000000000009"/>
    <n v="277.88929999999999"/>
    <s v="scott-7"/>
    <x v="5"/>
    <n v="114.48000000000002"/>
    <n v="430.3667999999999"/>
    <n v="0.15525251215631256"/>
    <n v="0.1393940595034279"/>
    <n v="-1.5858452652884658E-2"/>
    <n v="65"/>
    <n v="82"/>
    <n v="6.1143122362759331E-3"/>
    <n v="-6.1143122362759331E-3"/>
  </r>
  <r>
    <x v="99"/>
    <x v="1"/>
    <s v="chad-12"/>
    <s v="K"/>
    <n v="15"/>
    <n v="8.3699999999999992"/>
    <n v="14.8225"/>
    <s v="K"/>
    <x v="1"/>
    <x v="3"/>
    <n v="115.8"/>
    <n v="455.64659999999998"/>
    <s v="seth-12"/>
    <x v="0"/>
    <n v="102.15"/>
    <n v="468.55759999999998"/>
    <n v="0.6732850448184311"/>
    <n v="0.74936853975316353"/>
    <n v="7.6083494934732432E-2"/>
    <n v="92"/>
    <n v="95"/>
    <n v="6.1869382201715593E-3"/>
    <n v="-6.1869382201715593E-3"/>
  </r>
  <r>
    <x v="4"/>
    <x v="5"/>
    <s v="matty-7"/>
    <s v="RB-2"/>
    <n v="5"/>
    <n v="9.4700000000000006"/>
    <n v="25.100100000000001"/>
    <s v="RB"/>
    <x v="2"/>
    <x v="0"/>
    <n v="87.490000000000009"/>
    <n v="277.88929999999999"/>
    <s v="scott-7"/>
    <x v="5"/>
    <n v="114.48000000000002"/>
    <n v="430.3667999999999"/>
    <n v="0.15525251215631256"/>
    <n v="0.11436321713526909"/>
    <n v="-4.0889295021043465E-2"/>
    <n v="65"/>
    <n v="82"/>
    <n v="6.1921938196669146E-3"/>
    <n v="-6.1921938196669146E-3"/>
  </r>
  <r>
    <x v="60"/>
    <x v="6"/>
    <s v="seth-11"/>
    <s v="WR/RB"/>
    <n v="9"/>
    <n v="9.32"/>
    <n v="62.0944"/>
    <s v="WR/RB"/>
    <x v="2"/>
    <x v="1"/>
    <n v="98.329999999999984"/>
    <n v="378.70709999999997"/>
    <s v="aj-11"/>
    <x v="2"/>
    <n v="110.11"/>
    <n v="412.79880000000003"/>
    <n v="0.33771232413612995"/>
    <n v="0.32706876132607354"/>
    <n v="-1.0643562810056406E-2"/>
    <n v="111"/>
    <n v="131"/>
    <n v="6.2542947914631065E-3"/>
    <n v="-6.2542947914631065E-3"/>
  </r>
  <r>
    <x v="62"/>
    <x v="6"/>
    <s v="seth-11"/>
    <s v="D/ST"/>
    <n v="5"/>
    <n v="8.16"/>
    <n v="46.648899999999998"/>
    <s v="D/ST"/>
    <x v="5"/>
    <x v="1"/>
    <n v="98.329999999999984"/>
    <n v="378.70709999999997"/>
    <s v="aj-11"/>
    <x v="2"/>
    <n v="110.11"/>
    <n v="412.79880000000003"/>
    <n v="0.33771232413612995"/>
    <n v="0.2920479290810199"/>
    <n v="-4.5664395055110052E-2"/>
    <n v="111"/>
    <n v="131"/>
    <n v="6.8393335790325957E-3"/>
    <n v="-6.8393335790325957E-3"/>
  </r>
  <r>
    <x v="143"/>
    <x v="9"/>
    <s v="scott-4"/>
    <s v="WR-2"/>
    <n v="4"/>
    <n v="7.65"/>
    <n v="25.401599999999998"/>
    <s v="WR"/>
    <x v="0"/>
    <x v="9"/>
    <n v="113.07"/>
    <n v="452.41279999999995"/>
    <s v="cory-4"/>
    <x v="4"/>
    <n v="115.58999999999999"/>
    <n v="432.42160000000007"/>
    <n v="0.46624326985872333"/>
    <n v="0.41665251184576119"/>
    <n v="-4.9590758012962144E-2"/>
    <n v="88"/>
    <n v="104"/>
    <n v="7.1349425948597162E-3"/>
    <n v="-7.1349425948597162E-3"/>
  </r>
  <r>
    <x v="95"/>
    <x v="12"/>
    <s v="cory-6"/>
    <s v="RB-1"/>
    <n v="19"/>
    <n v="14.84"/>
    <n v="89.870400000000004"/>
    <s v="RB"/>
    <x v="2"/>
    <x v="5"/>
    <n v="102.10000000000001"/>
    <n v="445.16630000000004"/>
    <s v="aj-6"/>
    <x v="2"/>
    <n v="108.8"/>
    <n v="404.29040000000003"/>
    <n v="0.40909189376360988"/>
    <n v="0.46328523238175673"/>
    <n v="5.4193338618146847E-2"/>
    <n v="85"/>
    <n v="104"/>
    <n v="7.2821023470858301E-3"/>
    <n v="-7.2821023470858301E-3"/>
  </r>
  <r>
    <x v="121"/>
    <x v="4"/>
    <s v="cory-8"/>
    <s v="K"/>
    <n v="14"/>
    <n v="7.95"/>
    <n v="8.5848999999999993"/>
    <s v="K"/>
    <x v="1"/>
    <x v="5"/>
    <n v="106.3"/>
    <n v="423.11159999999995"/>
    <s v="matty-8"/>
    <x v="3"/>
    <n v="88.500000000000014"/>
    <n v="351.30459999999999"/>
    <n v="0.7387953106518842"/>
    <n v="0.8056095830861163"/>
    <n v="6.6814272434232103E-2"/>
    <n v="106"/>
    <n v="107"/>
    <n v="8.0609687168605969E-3"/>
    <n v="-8.0609687168605969E-3"/>
  </r>
  <r>
    <x v="101"/>
    <x v="9"/>
    <s v="comp-4"/>
    <s v="QB-1"/>
    <n v="7"/>
    <n v="22.5"/>
    <n v="59.136099999999999"/>
    <s v="QB"/>
    <x v="4"/>
    <x v="2"/>
    <n v="103.70000000000002"/>
    <n v="412.10110000000003"/>
    <s v="aj-4"/>
    <x v="2"/>
    <n v="118.09999999999998"/>
    <n v="465.47660000000008"/>
    <n v="0.31345048172071355"/>
    <n v="0.14797753827602034"/>
    <n v="-0.16547294344469321"/>
    <n v="46"/>
    <n v="80"/>
    <n v="8.0702772330680794E-3"/>
    <n v="-8.0702772330680794E-3"/>
  </r>
  <r>
    <x v="80"/>
    <x v="11"/>
    <s v="jason-1"/>
    <s v="WR-3"/>
    <n v="15"/>
    <n v="6.44"/>
    <n v="27.6676"/>
    <s v="WR"/>
    <x v="0"/>
    <x v="4"/>
    <n v="101.15"/>
    <n v="350.32479999999998"/>
    <e v="#N/A"/>
    <x v="6"/>
    <n v="0"/>
    <n v="0"/>
    <n v="0.9999999674486757"/>
    <n v="0.99999999949451812"/>
    <n v="3.2045842424111015E-8"/>
    <n v="71"/>
    <n v="0"/>
    <n v="1"/>
    <n v="0"/>
  </r>
  <r>
    <x v="164"/>
    <x v="0"/>
    <s v="cory-10"/>
    <s v="TE-1"/>
    <n v="3"/>
    <n v="6.49"/>
    <n v="23.716899999999999"/>
    <s v="TE"/>
    <x v="3"/>
    <x v="5"/>
    <n v="93.17"/>
    <n v="328.34589999999997"/>
    <s v="perry-10"/>
    <x v="10"/>
    <n v="103.49"/>
    <n v="345.28400000000005"/>
    <n v="0.34545488835543114"/>
    <n v="0.29400948772362245"/>
    <n v="-5.1445400631808691E-2"/>
    <n v="91"/>
    <n v="106"/>
    <n v="9.0528423520450617E-3"/>
    <n v="-9.0528423520450617E-3"/>
  </r>
  <r>
    <x v="223"/>
    <x v="11"/>
    <s v="matty-1"/>
    <s v="WR-3"/>
    <n v="1"/>
    <n v="7.18"/>
    <n v="29.4849"/>
    <s v="WR"/>
    <x v="0"/>
    <x v="0"/>
    <n v="96.11"/>
    <n v="397.37959999999998"/>
    <s v="chad-1"/>
    <x v="1"/>
    <n v="101.75"/>
    <n v="333.15260000000001"/>
    <n v="0.41735304190298633"/>
    <n v="0.32764688007883941"/>
    <n v="-8.9706161824146924E-2"/>
    <n v="76"/>
    <n v="95"/>
    <n v="9.1139062130539648E-3"/>
    <n v="-9.1139062130539648E-3"/>
  </r>
  <r>
    <x v="176"/>
    <x v="2"/>
    <s v="comp-13"/>
    <s v="RB-2"/>
    <n v="9"/>
    <n v="9.11"/>
    <n v="35.521599999999999"/>
    <s v="RB"/>
    <x v="2"/>
    <x v="2"/>
    <n v="104.63999999999999"/>
    <n v="400.33339999999998"/>
    <s v="chad-13"/>
    <x v="1"/>
    <n v="113.35"/>
    <n v="486.24799999999993"/>
    <n v="0.3849436901786526"/>
    <n v="0.38119831802649629"/>
    <n v="-3.7453721521563121E-3"/>
    <n v="81"/>
    <n v="95"/>
    <n v="9.8888957141901445E-3"/>
    <n v="-9.8888957141901445E-3"/>
  </r>
  <r>
    <x v="46"/>
    <x v="0"/>
    <s v="seth-10"/>
    <s v="K"/>
    <n v="12"/>
    <n v="7.39"/>
    <n v="13.69"/>
    <s v="K"/>
    <x v="1"/>
    <x v="1"/>
    <n v="104.52999999999999"/>
    <n v="446.11959999999999"/>
    <s v="matty-10"/>
    <x v="3"/>
    <n v="80.72"/>
    <n v="274.11410000000001"/>
    <n v="0.81251501229102341"/>
    <n v="0.85750778577975284"/>
    <n v="4.4992773488729432E-2"/>
    <n v="80"/>
    <n v="84"/>
    <n v="9.9819134111054156E-3"/>
    <n v="-9.9819134111054156E-3"/>
  </r>
  <r>
    <x v="96"/>
    <x v="10"/>
    <s v="aj-2"/>
    <s v="RB-2"/>
    <n v="10"/>
    <n v="7.77"/>
    <n v="23.425599999999999"/>
    <s v="RB"/>
    <x v="2"/>
    <x v="6"/>
    <n v="103.77999999999999"/>
    <n v="338.9511"/>
    <s v="chad-2"/>
    <x v="1"/>
    <n v="102.72000000000001"/>
    <n v="348.54960000000005"/>
    <n v="0.51612356509096413"/>
    <n v="0.55079475254532717"/>
    <n v="3.4671187454363039E-2"/>
    <n v="90"/>
    <n v="99"/>
    <n v="1.0163734456743219E-2"/>
    <n v="-1.0163734456743219E-2"/>
  </r>
  <r>
    <x v="200"/>
    <x v="2"/>
    <s v="aj-13"/>
    <s v="K"/>
    <n v="10"/>
    <n v="8.66"/>
    <n v="19.8916"/>
    <s v="K"/>
    <x v="1"/>
    <x v="6"/>
    <n v="116.54"/>
    <n v="371.12040000000002"/>
    <s v="matty-13"/>
    <x v="3"/>
    <n v="88.16"/>
    <n v="330.99250000000001"/>
    <n v="0.85792606530938775"/>
    <n v="0.87240907004972912"/>
    <n v="1.4483004740341365E-2"/>
    <n v="108"/>
    <n v="117"/>
    <n v="1.0214185614569221E-2"/>
    <n v="-1.0214185614569221E-2"/>
  </r>
  <r>
    <x v="116"/>
    <x v="12"/>
    <s v="devon-6"/>
    <s v="TE-1"/>
    <n v="3"/>
    <n v="7.02"/>
    <n v="41.990400000000001"/>
    <s v="TE"/>
    <x v="3"/>
    <x v="8"/>
    <n v="101.41999999999999"/>
    <n v="401.13359999999994"/>
    <s v="comp-6"/>
    <x v="8"/>
    <n v="104.66"/>
    <n v="375.94899999999996"/>
    <n v="0.45373585390093107"/>
    <n v="0.39443728155261848"/>
    <n v="-5.9298572348312595E-2"/>
    <n v="72"/>
    <n v="91"/>
    <n v="1.0396327786919674E-2"/>
    <n v="-1.0396327786919674E-2"/>
  </r>
  <r>
    <x v="186"/>
    <x v="0"/>
    <s v="aj-10"/>
    <s v="D/ST"/>
    <n v="3"/>
    <n v="8.0500000000000007"/>
    <n v="47.61"/>
    <s v="D/ST"/>
    <x v="5"/>
    <x v="6"/>
    <n v="110.08000000000001"/>
    <n v="372.64320000000004"/>
    <s v="chad-10"/>
    <x v="1"/>
    <n v="103.91999999999999"/>
    <n v="398.26569999999992"/>
    <n v="0.58778859959928087"/>
    <n v="0.51646079691446922"/>
    <n v="-7.1327802684811648E-2"/>
    <n v="82"/>
    <n v="103"/>
    <n v="1.0400028203178457E-2"/>
    <n v="-1.0400028203178457E-2"/>
  </r>
  <r>
    <x v="220"/>
    <x v="11"/>
    <s v="matty-1"/>
    <s v="K"/>
    <n v="-1"/>
    <n v="8.23"/>
    <n v="17.977599999999999"/>
    <s v="K"/>
    <x v="1"/>
    <x v="0"/>
    <n v="96.11"/>
    <n v="397.37959999999998"/>
    <s v="chad-1"/>
    <x v="1"/>
    <n v="101.75"/>
    <n v="333.15260000000001"/>
    <n v="0.41735304190298633"/>
    <n v="0.28874325307950499"/>
    <n v="-0.12860978882348134"/>
    <n v="76"/>
    <n v="95"/>
    <n v="1.0604439282064044E-2"/>
    <n v="-1.0604439282064044E-2"/>
  </r>
  <r>
    <x v="32"/>
    <x v="9"/>
    <s v="jason-4"/>
    <s v="RB-2"/>
    <n v="0"/>
    <n v="8.89"/>
    <n v="37.576900000000002"/>
    <s v="RB"/>
    <x v="2"/>
    <x v="4"/>
    <n v="103.94999999999999"/>
    <n v="368.50220000000002"/>
    <e v="#N/A"/>
    <x v="6"/>
    <n v="0"/>
    <n v="0"/>
    <n v="0.99999996936843616"/>
    <n v="0.99999991318551673"/>
    <n v="-5.6182919427882894E-8"/>
    <n v="69"/>
    <n v="0"/>
    <n v="1"/>
    <n v="0"/>
  </r>
  <r>
    <x v="150"/>
    <x v="9"/>
    <s v="scott-4"/>
    <s v="RB-2"/>
    <n v="12"/>
    <n v="12.43"/>
    <n v="46.104100000000003"/>
    <s v="RB"/>
    <x v="2"/>
    <x v="9"/>
    <n v="113.07"/>
    <n v="452.41279999999995"/>
    <s v="cory-4"/>
    <x v="4"/>
    <n v="115.58999999999999"/>
    <n v="432.42160000000007"/>
    <n v="0.46624326985872333"/>
    <n v="0.45943323192323959"/>
    <n v="-6.810037935483737E-3"/>
    <n v="88"/>
    <n v="104"/>
    <n v="1.0921755751564509E-2"/>
    <n v="-1.0921755751564509E-2"/>
  </r>
  <r>
    <x v="209"/>
    <x v="2"/>
    <s v="scott-13"/>
    <s v="TE-1"/>
    <n v="1"/>
    <n v="6.9"/>
    <n v="37.822499999999998"/>
    <s v="TE"/>
    <x v="3"/>
    <x v="9"/>
    <n v="108.61"/>
    <n v="407.25390000000004"/>
    <s v="cory-13"/>
    <x v="4"/>
    <n v="106.87"/>
    <n v="444.05589999999995"/>
    <n v="0.52377705912504058"/>
    <n v="0.44201837620459261"/>
    <n v="-8.1758682920447967E-2"/>
    <n v="66"/>
    <n v="86"/>
    <n v="1.0933133091554356E-2"/>
    <n v="-1.0933133091554356E-2"/>
  </r>
  <r>
    <x v="127"/>
    <x v="12"/>
    <s v="chad-6"/>
    <s v="RB-2"/>
    <n v="5"/>
    <n v="10.25"/>
    <n v="41.860900000000001"/>
    <s v="RB"/>
    <x v="2"/>
    <x v="3"/>
    <n v="96.66"/>
    <n v="373.87420000000003"/>
    <s v="lucas-6"/>
    <x v="9"/>
    <n v="0"/>
    <n v="0"/>
    <n v="0.99999971187356196"/>
    <n v="0.99999973713307944"/>
    <n v="2.5259517477671523E-8"/>
    <n v="79"/>
    <n v="0"/>
    <n v="1"/>
    <n v="0"/>
  </r>
  <r>
    <x v="71"/>
    <x v="5"/>
    <s v="chad-7"/>
    <s v="WR-1"/>
    <n v="14"/>
    <n v="10.73"/>
    <n v="51.265599999999999"/>
    <s v="WR"/>
    <x v="0"/>
    <x v="3"/>
    <n v="99.759999999999991"/>
    <n v="339.923"/>
    <s v="perry-7"/>
    <x v="10"/>
    <n v="103.81000000000002"/>
    <n v="404.20889999999997"/>
    <n v="0.44098709635876499"/>
    <n v="0.48818002944541711"/>
    <n v="4.7192933086652122E-2"/>
    <n v="102"/>
    <n v="115"/>
    <n v="1.153279912478912E-2"/>
    <n v="-1.153279912478912E-2"/>
  </r>
  <r>
    <x v="82"/>
    <x v="9"/>
    <s v="jason-4"/>
    <s v="TE-1"/>
    <n v="8"/>
    <n v="11.3"/>
    <n v="75.168899999999994"/>
    <s v="TE"/>
    <x v="3"/>
    <x v="4"/>
    <n v="103.94999999999999"/>
    <n v="368.50220000000002"/>
    <e v="#N/A"/>
    <x v="6"/>
    <n v="0"/>
    <n v="0"/>
    <n v="0.99999996936843616"/>
    <n v="0.99999999790729877"/>
    <n v="2.8538862606453108E-8"/>
    <n v="69"/>
    <n v="0"/>
    <n v="1"/>
    <n v="0"/>
  </r>
  <r>
    <x v="105"/>
    <x v="11"/>
    <s v="perry-1"/>
    <s v="WR-3"/>
    <n v="8"/>
    <n v="10.52"/>
    <n v="46.922499999999999"/>
    <s v="WR"/>
    <x v="0"/>
    <x v="7"/>
    <n v="94.44"/>
    <n v="399.28809999999999"/>
    <s v="cory-1"/>
    <x v="4"/>
    <n v="105.11000000000001"/>
    <n v="445.52289999999994"/>
    <n v="0.35677213328906182"/>
    <n v="0.32026655133236542"/>
    <n v="-3.6505581956696398E-2"/>
    <n v="82"/>
    <n v="100"/>
    <n v="1.1915156375014797E-2"/>
    <n v="-1.1915156375014797E-2"/>
  </r>
  <r>
    <x v="162"/>
    <x v="9"/>
    <s v="perry-4"/>
    <s v="TE-1"/>
    <n v="4"/>
    <n v="5.6"/>
    <n v="21.3444"/>
    <s v="TE"/>
    <x v="3"/>
    <x v="7"/>
    <n v="111.07000000000001"/>
    <n v="406.62959999999998"/>
    <s v="devon-4"/>
    <x v="7"/>
    <n v="99.78"/>
    <n v="369.21209999999996"/>
    <n v="0.65738205274668193"/>
    <n v="0.63787056281803234"/>
    <n v="-1.9511489928649595E-2"/>
    <n v="72"/>
    <n v="84"/>
    <n v="1.2190164177834455E-2"/>
    <n v="-1.2190164177834455E-2"/>
  </r>
  <r>
    <x v="108"/>
    <x v="9"/>
    <s v="jason-4"/>
    <s v="RB-1"/>
    <n v="10"/>
    <n v="16.170000000000002"/>
    <n v="57.456400000000002"/>
    <s v="RB"/>
    <x v="2"/>
    <x v="4"/>
    <n v="103.94999999999999"/>
    <n v="368.50220000000002"/>
    <e v="#N/A"/>
    <x v="6"/>
    <n v="0"/>
    <n v="0"/>
    <n v="0.99999996936843616"/>
    <n v="0.99999998523383682"/>
    <n v="1.5865400659897944E-8"/>
    <n v="69"/>
    <n v="0"/>
    <n v="1"/>
    <n v="0"/>
  </r>
  <r>
    <x v="129"/>
    <x v="12"/>
    <s v="perry-6"/>
    <s v="WR-2"/>
    <n v="2"/>
    <n v="7.72"/>
    <n v="26.214400000000001"/>
    <s v="WR"/>
    <x v="0"/>
    <x v="7"/>
    <n v="88.72"/>
    <n v="407.6961"/>
    <s v="matty-6"/>
    <x v="3"/>
    <n v="109.91000000000001"/>
    <n v="387.28550000000001"/>
    <n v="0.22616370321424212"/>
    <n v="0.16588711977494336"/>
    <n v="-6.0276583439298759E-2"/>
    <n v="102"/>
    <n v="119"/>
    <n v="1.3792969793289677E-2"/>
    <n v="-1.3792969793289677E-2"/>
  </r>
  <r>
    <x v="224"/>
    <x v="9"/>
    <s v="perry-4"/>
    <s v="K"/>
    <n v="5"/>
    <n v="7.18"/>
    <n v="19.980899999999998"/>
    <s v="K"/>
    <x v="1"/>
    <x v="7"/>
    <n v="111.07000000000001"/>
    <n v="406.62959999999998"/>
    <s v="devon-4"/>
    <x v="7"/>
    <n v="99.78"/>
    <n v="369.21209999999996"/>
    <n v="0.65738205274668193"/>
    <n v="0.62981295869009801"/>
    <n v="-2.756909405658392E-2"/>
    <n v="72"/>
    <n v="84"/>
    <n v="1.4014937100613493E-2"/>
    <n v="-1.4014937100613493E-2"/>
  </r>
  <r>
    <x v="68"/>
    <x v="4"/>
    <s v="seth-8"/>
    <s v="WR-3"/>
    <n v="6"/>
    <n v="6.6"/>
    <n v="43.296399999999998"/>
    <s v="WR"/>
    <x v="0"/>
    <x v="1"/>
    <n v="96.57"/>
    <n v="368.03749999999997"/>
    <s v="devon-8"/>
    <x v="7"/>
    <n v="102.43"/>
    <n v="452.86560000000003"/>
    <n v="0.41897065981019621"/>
    <n v="0.40840074647012864"/>
    <n v="-1.0569913340067572E-2"/>
    <n v="85"/>
    <n v="100"/>
    <n v="1.4318425318053515E-2"/>
    <n v="-1.4318425318053515E-2"/>
  </r>
  <r>
    <x v="27"/>
    <x v="7"/>
    <s v="cory-5"/>
    <s v="TE-1"/>
    <n v="12"/>
    <n v="7.55"/>
    <n v="18.748899999999999"/>
    <s v="TE"/>
    <x v="3"/>
    <x v="5"/>
    <n v="109.91"/>
    <n v="349.51409999999998"/>
    <s v="devon-5"/>
    <x v="7"/>
    <n v="93.5"/>
    <n v="346.9006"/>
    <n v="0.73297455800387123"/>
    <n v="0.78852707931305177"/>
    <n v="5.5552521309180536E-2"/>
    <n v="100"/>
    <n v="105"/>
    <n v="1.4538241166321537E-2"/>
    <n v="-1.4538241166321537E-2"/>
  </r>
  <r>
    <x v="163"/>
    <x v="12"/>
    <s v="devon-6"/>
    <s v="D/ST"/>
    <n v="4"/>
    <n v="8.5"/>
    <n v="44.222499999999997"/>
    <s v="D/ST"/>
    <x v="5"/>
    <x v="8"/>
    <n v="101.41999999999999"/>
    <n v="401.13359999999994"/>
    <s v="comp-6"/>
    <x v="8"/>
    <n v="104.66"/>
    <n v="375.94899999999996"/>
    <n v="0.45373585390093107"/>
    <n v="0.38747325583287151"/>
    <n v="-6.6262598068059564E-2"/>
    <n v="72"/>
    <n v="91"/>
    <n v="1.4612018885743474E-2"/>
    <n v="-1.4612018885743474E-2"/>
  </r>
  <r>
    <x v="142"/>
    <x v="9"/>
    <s v="jason-4"/>
    <s v="WR-1"/>
    <n v="1"/>
    <n v="10.68"/>
    <n v="37.576900000000002"/>
    <s v="WR"/>
    <x v="0"/>
    <x v="4"/>
    <n v="103.94999999999999"/>
    <n v="368.50220000000002"/>
    <e v="#N/A"/>
    <x v="6"/>
    <n v="0"/>
    <n v="0"/>
    <n v="0.99999996936843616"/>
    <n v="0.99999989031841519"/>
    <n v="-7.9050020973525648E-8"/>
    <n v="69"/>
    <n v="0"/>
    <n v="1"/>
    <n v="0"/>
  </r>
  <r>
    <x v="34"/>
    <x v="10"/>
    <s v="aj-2"/>
    <s v="D/ST"/>
    <n v="15"/>
    <n v="10.64"/>
    <n v="38.192399999999999"/>
    <s v="D/ST"/>
    <x v="5"/>
    <x v="6"/>
    <n v="103.77999999999999"/>
    <n v="338.9511"/>
    <s v="chad-2"/>
    <x v="1"/>
    <n v="102.72000000000001"/>
    <n v="348.54960000000005"/>
    <n v="0.51612356509096413"/>
    <n v="0.58422072373615763"/>
    <n v="6.8097158645193501E-2"/>
    <n v="90"/>
    <n v="99"/>
    <n v="1.5316323595587314E-2"/>
    <n v="-1.5316323595587314E-2"/>
  </r>
  <r>
    <x v="122"/>
    <x v="2"/>
    <s v="scott-13"/>
    <s v="RB-2"/>
    <n v="6"/>
    <n v="11.61"/>
    <n v="44.488900000000001"/>
    <s v="RB"/>
    <x v="2"/>
    <x v="9"/>
    <n v="108.61"/>
    <n v="407.25390000000004"/>
    <s v="cory-13"/>
    <x v="4"/>
    <n v="106.87"/>
    <n v="444.05589999999995"/>
    <n v="0.52377705912504058"/>
    <n v="0.44581357506335206"/>
    <n v="-7.7963484061688515E-2"/>
    <n v="66"/>
    <n v="86"/>
    <n v="1.5486426953781138E-2"/>
    <n v="-1.5486426953781138E-2"/>
  </r>
  <r>
    <x v="92"/>
    <x v="9"/>
    <s v="seth-4"/>
    <s v="QB-1"/>
    <n v="19"/>
    <n v="18.45"/>
    <n v="33.872399999999999"/>
    <s v="QB"/>
    <x v="4"/>
    <x v="1"/>
    <n v="104.32"/>
    <n v="390.96559999999999"/>
    <s v="chad-4"/>
    <x v="1"/>
    <n v="99.8"/>
    <n v="351.46400000000006"/>
    <n v="0.56587682676878348"/>
    <n v="0.57552853061800346"/>
    <n v="9.6517038492199836E-3"/>
    <n v="111"/>
    <n v="123"/>
    <n v="1.5527884647811796E-2"/>
    <n v="-1.5527884647811796E-2"/>
  </r>
  <r>
    <x v="137"/>
    <x v="12"/>
    <s v="chad-6"/>
    <s v="WR/RB"/>
    <n v="8"/>
    <n v="8.9700000000000006"/>
    <n v="78.676900000000003"/>
    <s v="WR/RB"/>
    <x v="2"/>
    <x v="3"/>
    <n v="96.66"/>
    <n v="373.87420000000003"/>
    <s v="lucas-6"/>
    <x v="9"/>
    <n v="0"/>
    <n v="0"/>
    <n v="0.99999971187356196"/>
    <n v="0.99999998722093519"/>
    <n v="2.7534737323531289E-7"/>
    <n v="79"/>
    <n v="0"/>
    <n v="1"/>
    <n v="0"/>
  </r>
  <r>
    <x v="128"/>
    <x v="9"/>
    <s v="scott-4"/>
    <s v="QB-1"/>
    <n v="20"/>
    <n v="20.77"/>
    <n v="50.41"/>
    <s v="QB"/>
    <x v="4"/>
    <x v="9"/>
    <n v="113.07"/>
    <n v="452.41279999999995"/>
    <s v="cory-4"/>
    <x v="4"/>
    <n v="115.58999999999999"/>
    <n v="432.42160000000007"/>
    <n v="0.46624326985872333"/>
    <n v="0.45466074936792034"/>
    <n v="-1.1582520490802994E-2"/>
    <n v="88"/>
    <n v="104"/>
    <n v="1.5973608425842112E-2"/>
    <n v="-1.5973608425842112E-2"/>
  </r>
  <r>
    <x v="178"/>
    <x v="4"/>
    <s v="scott-8"/>
    <s v="WR-3"/>
    <n v="13"/>
    <n v="5.96"/>
    <n v="21.996099999999998"/>
    <s v="WR"/>
    <x v="0"/>
    <x v="9"/>
    <n v="113.35000000000001"/>
    <n v="416.81729999999993"/>
    <s v="chad-8"/>
    <x v="1"/>
    <n v="94.88"/>
    <n v="320.65749999999997"/>
    <n v="0.75178960468721057"/>
    <n v="0.82988241857437239"/>
    <n v="7.8092813887161827E-2"/>
    <n v="75"/>
    <n v="78"/>
    <n v="1.6148112762933976E-2"/>
    <n v="-1.6148112762933976E-2"/>
  </r>
  <r>
    <x v="56"/>
    <x v="5"/>
    <s v="matty-7"/>
    <s v="WR-3"/>
    <n v="8"/>
    <n v="10.71"/>
    <n v="44.622399999999999"/>
    <s v="WR"/>
    <x v="0"/>
    <x v="0"/>
    <n v="87.490000000000009"/>
    <n v="277.88929999999999"/>
    <s v="scott-7"/>
    <x v="5"/>
    <n v="114.48000000000002"/>
    <n v="430.3667999999999"/>
    <n v="0.15525251215631256"/>
    <n v="0.12447539227405099"/>
    <n v="-3.0777119882261561E-2"/>
    <n v="65"/>
    <n v="82"/>
    <n v="1.6208864565563759E-2"/>
    <n v="-1.6208864565563759E-2"/>
  </r>
  <r>
    <x v="98"/>
    <x v="3"/>
    <s v="seth-3"/>
    <s v="WR-3"/>
    <n v="17"/>
    <n v="11.08"/>
    <n v="42.640900000000002"/>
    <s v="WR"/>
    <x v="0"/>
    <x v="1"/>
    <n v="94.54"/>
    <n v="356.43470000000002"/>
    <s v="aj-3"/>
    <x v="2"/>
    <n v="107.31"/>
    <n v="425.77620000000002"/>
    <n v="0.3239819129085153"/>
    <n v="0.40056528575732891"/>
    <n v="7.6583372848813613E-2"/>
    <n v="88"/>
    <n v="96"/>
    <n v="1.6515764713242884E-2"/>
    <n v="-1.6515764713242884E-2"/>
  </r>
  <r>
    <x v="55"/>
    <x v="0"/>
    <s v="cory-10"/>
    <s v="RB-1"/>
    <n v="7"/>
    <n v="9.6300000000000008"/>
    <n v="33.988900000000001"/>
    <s v="RB"/>
    <x v="2"/>
    <x v="5"/>
    <n v="93.17"/>
    <n v="328.34589999999997"/>
    <s v="perry-10"/>
    <x v="10"/>
    <n v="103.49"/>
    <n v="345.28400000000005"/>
    <n v="0.34545488835543114"/>
    <n v="0.30431244297059529"/>
    <n v="-4.1142445384835857E-2"/>
    <n v="91"/>
    <n v="106"/>
    <n v="1.6927945613473862E-2"/>
    <n v="-1.6927945613473862E-2"/>
  </r>
  <r>
    <x v="98"/>
    <x v="11"/>
    <s v="perry-1"/>
    <s v="WR-1"/>
    <n v="7"/>
    <n v="11.45"/>
    <n v="42.380099999999999"/>
    <s v="WR"/>
    <x v="0"/>
    <x v="7"/>
    <n v="94.44"/>
    <n v="399.28809999999999"/>
    <s v="cory-1"/>
    <x v="4"/>
    <n v="105.11000000000001"/>
    <n v="445.52289999999994"/>
    <n v="0.35677213328906182"/>
    <n v="0.29675296892864345"/>
    <n v="-6.0019164360418376E-2"/>
    <n v="82"/>
    <n v="100"/>
    <n v="1.8698050266934042E-2"/>
    <n v="-1.8698050266934042E-2"/>
  </r>
  <r>
    <x v="3"/>
    <x v="8"/>
    <s v="devon-9"/>
    <s v="K"/>
    <n v="10"/>
    <n v="8.02"/>
    <n v="23.136099999999999"/>
    <s v="K"/>
    <x v="1"/>
    <x v="8"/>
    <n v="104.66"/>
    <n v="474.51049999999998"/>
    <s v="cory-9"/>
    <x v="4"/>
    <n v="90.69"/>
    <n v="356.05790000000002"/>
    <n v="0.68606954461640712"/>
    <n v="0.7127090228291364"/>
    <n v="2.6639478212729273E-2"/>
    <n v="81"/>
    <n v="89"/>
    <n v="1.9000494117257322E-2"/>
    <n v="-1.9000494117257322E-2"/>
  </r>
  <r>
    <x v="40"/>
    <x v="5"/>
    <s v="chad-7"/>
    <s v="D/ST"/>
    <n v="9"/>
    <n v="9.52"/>
    <n v="36.4816"/>
    <s v="D/ST"/>
    <x v="5"/>
    <x v="3"/>
    <n v="99.759999999999991"/>
    <n v="339.923"/>
    <s v="perry-7"/>
    <x v="10"/>
    <n v="103.81000000000002"/>
    <n v="404.20889999999997"/>
    <n v="0.44098709635876499"/>
    <n v="0.43179991850690858"/>
    <n v="-9.1871778518564096E-3"/>
    <n v="102"/>
    <n v="115"/>
    <n v="1.9403611848566867E-2"/>
    <n v="-1.9403611848566867E-2"/>
  </r>
  <r>
    <x v="153"/>
    <x v="12"/>
    <s v="chad-6"/>
    <s v="QB-1"/>
    <n v="14"/>
    <n v="18.82"/>
    <n v="54.464399999999998"/>
    <s v="QB"/>
    <x v="4"/>
    <x v="3"/>
    <n v="96.66"/>
    <n v="373.87420000000003"/>
    <s v="lucas-6"/>
    <x v="9"/>
    <n v="0"/>
    <n v="0"/>
    <n v="0.99999971187356196"/>
    <n v="0.99999986171629296"/>
    <n v="1.4984273100093759E-7"/>
    <n v="79"/>
    <n v="0"/>
    <n v="1"/>
    <n v="0"/>
  </r>
  <r>
    <x v="66"/>
    <x v="8"/>
    <s v="aj-9"/>
    <s v="WR-2"/>
    <n v="5"/>
    <n v="9.61"/>
    <n v="49"/>
    <s v="WR"/>
    <x v="0"/>
    <x v="6"/>
    <n v="102.03999999999999"/>
    <n v="392.2131"/>
    <s v="perry-9"/>
    <x v="10"/>
    <n v="98.35"/>
    <n v="385.97739999999999"/>
    <n v="0.5526172882097643"/>
    <n v="0.48641081592264973"/>
    <n v="-6.6206472287114571E-2"/>
    <n v="86"/>
    <n v="105"/>
    <n v="1.9905032056023352E-2"/>
    <n v="-1.9905032056023352E-2"/>
  </r>
  <r>
    <x v="122"/>
    <x v="7"/>
    <s v="scott-5"/>
    <s v="RB-2"/>
    <n v="10"/>
    <n v="15.55"/>
    <n v="82.446399999999997"/>
    <s v="RB"/>
    <x v="2"/>
    <x v="9"/>
    <n v="107.89"/>
    <n v="441.71269999999998"/>
    <s v="lucas-5"/>
    <x v="9"/>
    <n v="0"/>
    <n v="0"/>
    <n v="0.99999985777778666"/>
    <n v="0.99999996654862544"/>
    <n v="1.0877083878035876E-7"/>
    <n v="69"/>
    <n v="0"/>
    <n v="0.99999999999999989"/>
    <n v="1.1102230246251565E-16"/>
  </r>
  <r>
    <x v="54"/>
    <x v="10"/>
    <s v="aj-2"/>
    <s v="WR-3"/>
    <n v="13"/>
    <n v="8.02"/>
    <n v="47.472099999999998"/>
    <s v="WR"/>
    <x v="0"/>
    <x v="6"/>
    <n v="103.77999999999999"/>
    <n v="338.9511"/>
    <s v="chad-2"/>
    <x v="1"/>
    <n v="102.72000000000001"/>
    <n v="348.54960000000005"/>
    <n v="0.51612356509096413"/>
    <n v="0.59434897128660535"/>
    <n v="7.8225406195641223E-2"/>
    <n v="90"/>
    <n v="99"/>
    <n v="2.1227740818922283E-2"/>
    <n v="-2.1227740818922283E-2"/>
  </r>
  <r>
    <x v="19"/>
    <x v="2"/>
    <s v="comp-13"/>
    <s v="WR/RB"/>
    <n v="7"/>
    <n v="8.2799999999999994"/>
    <n v="39.438400000000001"/>
    <s v="WR/RB"/>
    <x v="2"/>
    <x v="2"/>
    <n v="104.63999999999999"/>
    <n v="400.33339999999998"/>
    <s v="chad-13"/>
    <x v="1"/>
    <n v="113.35"/>
    <n v="486.24799999999993"/>
    <n v="0.3849436901786526"/>
    <n v="0.36571215841203125"/>
    <n v="-1.9231531766621346E-2"/>
    <n v="81"/>
    <n v="95"/>
    <n v="2.1409167660795005E-2"/>
    <n v="-2.1409167660795005E-2"/>
  </r>
  <r>
    <x v="11"/>
    <x v="5"/>
    <s v="aj-7"/>
    <s v="WR/RB"/>
    <n v="3"/>
    <n v="14.38"/>
    <n v="39.69"/>
    <s v="WR/RB"/>
    <x v="2"/>
    <x v="6"/>
    <n v="114.01999999999998"/>
    <n v="381.58529999999996"/>
    <s v="devon-7"/>
    <x v="7"/>
    <n v="106.81"/>
    <n v="351.64060000000001"/>
    <n v="0.60498297578784854"/>
    <n v="0.43709287354714743"/>
    <n v="-0.16789010224070111"/>
    <n v="93"/>
    <n v="117"/>
    <n v="2.2579275317897801E-2"/>
    <n v="-2.2579275317897801E-2"/>
  </r>
  <r>
    <x v="225"/>
    <x v="12"/>
    <s v="perry-6"/>
    <s v="WR-3"/>
    <n v="1"/>
    <n v="6.05"/>
    <n v="36.120100000000001"/>
    <s v="WR"/>
    <x v="0"/>
    <x v="7"/>
    <n v="88.72"/>
    <n v="407.6961"/>
    <s v="matty-6"/>
    <x v="3"/>
    <n v="109.91000000000001"/>
    <n v="387.28550000000001"/>
    <n v="0.22616370321424212"/>
    <n v="0.17041195699497272"/>
    <n v="-5.5751746219269399E-2"/>
    <n v="102"/>
    <n v="119"/>
    <n v="2.3386345552107411E-2"/>
    <n v="-2.3386345552107411E-2"/>
  </r>
  <r>
    <x v="13"/>
    <x v="7"/>
    <s v="matty-5"/>
    <s v="WR-1"/>
    <n v="18"/>
    <n v="9.68"/>
    <n v="38.44"/>
    <s v="WR"/>
    <x v="0"/>
    <x v="0"/>
    <n v="99.23"/>
    <n v="364.64739999999995"/>
    <s v="aj-5"/>
    <x v="2"/>
    <n v="117.25999999999999"/>
    <n v="422.9941"/>
    <n v="0.26029431580256523"/>
    <n v="0.36138920761910109"/>
    <n v="0.10109489181653586"/>
    <n v="106"/>
    <n v="110"/>
    <n v="2.3455836829648562E-2"/>
    <n v="-2.3455836829648562E-2"/>
  </r>
  <r>
    <x v="202"/>
    <x v="0"/>
    <s v="jason-10"/>
    <s v="K"/>
    <n v="10"/>
    <n v="7.54"/>
    <n v="18.748899999999999"/>
    <s v="K"/>
    <x v="1"/>
    <x v="4"/>
    <n v="97.83"/>
    <n v="370.18310000000002"/>
    <e v="#N/A"/>
    <x v="6"/>
    <n v="0"/>
    <n v="0"/>
    <n v="0.99999981587831821"/>
    <n v="0.9999999559684839"/>
    <n v="1.4009016569005439E-7"/>
    <n v="91"/>
    <n v="0"/>
    <n v="1"/>
    <n v="0"/>
  </r>
  <r>
    <x v="19"/>
    <x v="8"/>
    <s v="comp-9"/>
    <s v="WR/RB"/>
    <n v="3"/>
    <n v="9.19"/>
    <n v="38.068899999999999"/>
    <s v="WR/RB"/>
    <x v="2"/>
    <x v="2"/>
    <n v="80.800000000000011"/>
    <n v="290.44450000000001"/>
    <s v="seth-9"/>
    <x v="0"/>
    <n v="92.559999999999988"/>
    <n v="350.31569999999999"/>
    <n v="0.32111649346340621"/>
    <n v="0.2323383664350942"/>
    <n v="-8.8778127028312004E-2"/>
    <n v="77"/>
    <n v="95"/>
    <n v="2.7803658711256504E-2"/>
    <n v="-2.7803658711256504E-2"/>
  </r>
  <r>
    <x v="223"/>
    <x v="10"/>
    <s v="matty-2"/>
    <s v="WR-3"/>
    <n v="0"/>
    <n v="5.33"/>
    <n v="12.8164"/>
    <s v="WR"/>
    <x v="0"/>
    <x v="0"/>
    <n v="101.3"/>
    <n v="329.14109999999999"/>
    <s v="seth-2"/>
    <x v="0"/>
    <n v="91.78"/>
    <n v="333.71719999999993"/>
    <n v="0.64422145537573039"/>
    <n v="0.56526826250794149"/>
    <n v="-7.8953192867788902E-2"/>
    <n v="70"/>
    <n v="82"/>
    <n v="3.1222095267862616E-2"/>
    <n v="-3.1222095267862616E-2"/>
  </r>
  <r>
    <x v="17"/>
    <x v="5"/>
    <s v="chad-7"/>
    <s v="RB-2"/>
    <n v="6"/>
    <n v="8.7200000000000006"/>
    <n v="30.691600000000001"/>
    <s v="RB"/>
    <x v="2"/>
    <x v="3"/>
    <n v="99.759999999999991"/>
    <n v="339.923"/>
    <s v="perry-7"/>
    <x v="10"/>
    <n v="103.81000000000002"/>
    <n v="404.20889999999997"/>
    <n v="0.44098709635876499"/>
    <n v="0.39995628921565979"/>
    <n v="-4.1030807143105197E-2"/>
    <n v="102"/>
    <n v="115"/>
    <n v="3.1755605822936711E-2"/>
    <n v="-3.1755605822936711E-2"/>
  </r>
  <r>
    <x v="50"/>
    <x v="4"/>
    <s v="seth-8"/>
    <s v="TE-1"/>
    <n v="2"/>
    <n v="7.12"/>
    <n v="28.408899999999999"/>
    <s v="TE"/>
    <x v="3"/>
    <x v="1"/>
    <n v="96.57"/>
    <n v="368.03749999999997"/>
    <s v="devon-8"/>
    <x v="7"/>
    <n v="102.43"/>
    <n v="452.86560000000003"/>
    <n v="0.41897065981019621"/>
    <n v="0.34825509618068379"/>
    <n v="-7.0715563629512423E-2"/>
    <n v="85"/>
    <n v="100"/>
    <n v="3.1894013628824061E-2"/>
    <n v="-3.1894013628824061E-2"/>
  </r>
  <r>
    <x v="23"/>
    <x v="5"/>
    <s v="matty-7"/>
    <s v="RB-1"/>
    <n v="1"/>
    <n v="8.59"/>
    <n v="26.625599999999999"/>
    <s v="RB"/>
    <x v="2"/>
    <x v="0"/>
    <n v="87.490000000000009"/>
    <n v="277.88929999999999"/>
    <s v="scott-7"/>
    <x v="5"/>
    <n v="114.48000000000002"/>
    <n v="430.3667999999999"/>
    <n v="0.15525251215631256"/>
    <n v="9.2669271161574862E-2"/>
    <n v="-6.2583240994737693E-2"/>
    <n v="65"/>
    <n v="82"/>
    <n v="3.4102999588348136E-2"/>
    <n v="-3.4102999588348136E-2"/>
  </r>
  <r>
    <x v="193"/>
    <x v="11"/>
    <s v="perry-1"/>
    <s v="TE-1"/>
    <n v="0"/>
    <n v="7.15"/>
    <n v="35.760399999999997"/>
    <s v="TE"/>
    <x v="3"/>
    <x v="7"/>
    <n v="94.44"/>
    <n v="399.28809999999999"/>
    <s v="cory-1"/>
    <x v="4"/>
    <n v="105.11000000000001"/>
    <n v="445.52289999999994"/>
    <n v="0.35677213328906182"/>
    <n v="0.26549409439551708"/>
    <n v="-9.1278038893544744E-2"/>
    <n v="82"/>
    <n v="100"/>
    <n v="3.4809523585915686E-2"/>
    <n v="-3.4809523585915686E-2"/>
  </r>
  <r>
    <x v="127"/>
    <x v="5"/>
    <s v="chad-7"/>
    <s v="WR/RB"/>
    <n v="4"/>
    <n v="7.47"/>
    <n v="28.729600000000001"/>
    <s v="WR/RB"/>
    <x v="2"/>
    <x v="3"/>
    <n v="99.759999999999991"/>
    <n v="339.923"/>
    <s v="perry-7"/>
    <x v="10"/>
    <n v="103.81000000000002"/>
    <n v="404.20889999999997"/>
    <n v="0.44098709635876499"/>
    <n v="0.38929653763826816"/>
    <n v="-5.1690558720496826E-2"/>
    <n v="102"/>
    <n v="115"/>
    <n v="3.7703153123493725E-2"/>
    <n v="-3.7703153123493725E-2"/>
  </r>
  <r>
    <x v="114"/>
    <x v="11"/>
    <s v="perry-1"/>
    <s v="QB-1"/>
    <n v="15"/>
    <n v="19.260000000000002"/>
    <n v="62.0944"/>
    <s v="QB"/>
    <x v="4"/>
    <x v="7"/>
    <n v="94.44"/>
    <n v="399.28809999999999"/>
    <s v="cory-1"/>
    <x v="4"/>
    <n v="105.11000000000001"/>
    <n v="445.52289999999994"/>
    <n v="0.35677213328906182"/>
    <n v="0.29679141974756629"/>
    <n v="-5.9980713541495534E-2"/>
    <n v="82"/>
    <n v="100"/>
    <n v="4.060964878820756E-2"/>
    <n v="-4.060964878820756E-2"/>
  </r>
  <r>
    <x v="208"/>
    <x v="9"/>
    <s v="perry-4"/>
    <s v="RB-2"/>
    <n v="6"/>
    <n v="9.33"/>
    <n v="24.8004"/>
    <s v="RB"/>
    <x v="2"/>
    <x v="7"/>
    <n v="111.07000000000001"/>
    <n v="406.62959999999998"/>
    <s v="devon-4"/>
    <x v="7"/>
    <n v="99.78"/>
    <n v="369.21209999999996"/>
    <n v="0.65738205274668193"/>
    <n v="0.61426650239862779"/>
    <n v="-4.3115550348054144E-2"/>
    <n v="72"/>
    <n v="84"/>
    <n v="4.0844957194317015E-2"/>
    <n v="-4.0844957194317015E-2"/>
  </r>
  <r>
    <x v="20"/>
    <x v="0"/>
    <s v="cory-10"/>
    <s v="QB-1"/>
    <n v="18"/>
    <n v="19.66"/>
    <n v="59.136099999999999"/>
    <s v="QB"/>
    <x v="4"/>
    <x v="5"/>
    <n v="93.17"/>
    <n v="328.34589999999997"/>
    <s v="perry-10"/>
    <x v="10"/>
    <n v="103.49"/>
    <n v="345.28400000000005"/>
    <n v="0.34545488835543114"/>
    <n v="0.31444876858485005"/>
    <n v="-3.1006119770581098E-2"/>
    <n v="91"/>
    <n v="106"/>
    <n v="4.1395169152366629E-2"/>
    <n v="-4.1395169152366629E-2"/>
  </r>
  <r>
    <x v="29"/>
    <x v="12"/>
    <s v="devon-6"/>
    <s v="QB-1"/>
    <n v="14"/>
    <n v="20.98"/>
    <n v="48.860100000000003"/>
    <s v="QB"/>
    <x v="4"/>
    <x v="8"/>
    <n v="101.41999999999999"/>
    <n v="401.13359999999994"/>
    <s v="comp-6"/>
    <x v="8"/>
    <n v="104.66"/>
    <n v="375.94899999999996"/>
    <n v="0.45373585390093107"/>
    <n v="0.35244770290075567"/>
    <n v="-0.10128815100017541"/>
    <n v="72"/>
    <n v="91"/>
    <n v="4.2752640136414971E-2"/>
    <n v="-4.2752640136414971E-2"/>
  </r>
  <r>
    <x v="13"/>
    <x v="1"/>
    <s v="matty-12"/>
    <s v="WR-1"/>
    <n v="14"/>
    <n v="8.8699999999999992"/>
    <n v="35.640900000000002"/>
    <s v="WR"/>
    <x v="0"/>
    <x v="0"/>
    <n v="94.28"/>
    <n v="371.05129999999997"/>
    <s v="devon-12"/>
    <x v="7"/>
    <n v="99.070000000000007"/>
    <n v="350.10639999999995"/>
    <n v="0.42921643322258324"/>
    <n v="0.50518045285515156"/>
    <n v="7.5964019632568325E-2"/>
    <n v="75"/>
    <n v="80"/>
    <n v="4.4865592099848695E-2"/>
    <n v="-4.4865592099848695E-2"/>
  </r>
  <r>
    <x v="169"/>
    <x v="10"/>
    <s v="matty-2"/>
    <s v="TE-1"/>
    <n v="4"/>
    <n v="6.72"/>
    <n v="30.1401"/>
    <s v="TE"/>
    <x v="3"/>
    <x v="0"/>
    <n v="101.3"/>
    <n v="329.14109999999999"/>
    <s v="seth-2"/>
    <x v="0"/>
    <n v="91.78"/>
    <n v="333.71719999999993"/>
    <n v="0.64422145537573039"/>
    <n v="0.60654908182956102"/>
    <n v="-3.7672373546169369E-2"/>
    <n v="70"/>
    <n v="82"/>
    <n v="4.548088173522196E-2"/>
    <n v="-4.548088173522196E-2"/>
  </r>
  <r>
    <x v="144"/>
    <x v="7"/>
    <s v="seth-5"/>
    <s v="K"/>
    <n v="8"/>
    <n v="7.93"/>
    <n v="13.0321"/>
    <s v="K"/>
    <x v="1"/>
    <x v="1"/>
    <n v="98.72999999999999"/>
    <n v="396.28840000000002"/>
    <s v="perry-5"/>
    <x v="10"/>
    <n v="97.27"/>
    <n v="430.39269999999999"/>
    <n v="0.52024917394329329"/>
    <n v="0.52138822489600301"/>
    <n v="1.1390509527097192E-3"/>
    <n v="90"/>
    <n v="96"/>
    <n v="4.6338697743686999E-2"/>
    <n v="-4.6338697743686999E-2"/>
  </r>
  <r>
    <x v="148"/>
    <x v="5"/>
    <s v="seth-7"/>
    <s v="D/ST"/>
    <n v="15"/>
    <n v="9.8800000000000008"/>
    <n v="29.9209"/>
    <s v="D/ST"/>
    <x v="5"/>
    <x v="1"/>
    <n v="96.25"/>
    <n v="294.3"/>
    <s v="cory-7"/>
    <x v="4"/>
    <n v="86.09"/>
    <n v="350.80079999999998"/>
    <n v="0.65542850055780277"/>
    <n v="0.73107219988937433"/>
    <n v="7.5643699331571557E-2"/>
    <n v="81"/>
    <n v="85"/>
    <n v="4.7729763221495566E-2"/>
    <n v="-4.7729763221495566E-2"/>
  </r>
  <r>
    <x v="128"/>
    <x v="7"/>
    <s v="scott-5"/>
    <s v="QB-1"/>
    <n v="12"/>
    <n v="22.16"/>
    <n v="69.056100000000001"/>
    <s v="QB"/>
    <x v="4"/>
    <x v="9"/>
    <n v="107.89"/>
    <n v="441.71269999999998"/>
    <s v="lucas-5"/>
    <x v="9"/>
    <n v="0"/>
    <n v="0"/>
    <n v="0.99999985777778666"/>
    <n v="0.99999979320992149"/>
    <n v="-6.4567865165621185E-8"/>
    <n v="69"/>
    <n v="0"/>
    <n v="1"/>
    <n v="0"/>
  </r>
  <r>
    <x v="23"/>
    <x v="1"/>
    <s v="matty-12"/>
    <s v="RB-1"/>
    <n v="21"/>
    <n v="12.33"/>
    <n v="67.4041"/>
    <s v="RB"/>
    <x v="2"/>
    <x v="0"/>
    <n v="94.28"/>
    <n v="371.05129999999997"/>
    <s v="devon-12"/>
    <x v="7"/>
    <n v="99.070000000000007"/>
    <n v="350.10639999999995"/>
    <n v="0.42921643322258324"/>
    <n v="0.56030738617123932"/>
    <n v="0.13109095294865608"/>
    <n v="75"/>
    <n v="80"/>
    <n v="4.7952125468454336E-2"/>
    <n v="-4.7952125468454336E-2"/>
  </r>
  <r>
    <x v="11"/>
    <x v="0"/>
    <s v="aj-10"/>
    <s v="WR/RB"/>
    <n v="3"/>
    <n v="12.75"/>
    <n v="47.886400000000002"/>
    <s v="WR/RB"/>
    <x v="2"/>
    <x v="6"/>
    <n v="110.08000000000001"/>
    <n v="372.64320000000004"/>
    <s v="chad-10"/>
    <x v="1"/>
    <n v="103.91999999999999"/>
    <n v="398.26569999999992"/>
    <n v="0.58778859959928087"/>
    <n v="0.4468944511564451"/>
    <n v="-0.14089414844283576"/>
    <n v="82"/>
    <n v="103"/>
    <n v="5.200434607830131E-2"/>
    <n v="-5.200434607830131E-2"/>
  </r>
  <r>
    <x v="144"/>
    <x v="3"/>
    <s v="seth-3"/>
    <s v="K"/>
    <n v="4"/>
    <n v="5.99"/>
    <n v="13.69"/>
    <s v="K"/>
    <x v="1"/>
    <x v="1"/>
    <n v="94.54"/>
    <n v="356.43470000000002"/>
    <s v="aj-3"/>
    <x v="2"/>
    <n v="107.31"/>
    <n v="425.77620000000002"/>
    <n v="0.3239819129085153"/>
    <n v="0.29721580449177998"/>
    <n v="-2.6766108416735324E-2"/>
    <n v="88"/>
    <n v="96"/>
    <n v="5.2153304259475571E-2"/>
    <n v="-5.2153304259475571E-2"/>
  </r>
  <r>
    <x v="39"/>
    <x v="12"/>
    <s v="cory-6"/>
    <s v="WR-1"/>
    <n v="7"/>
    <n v="12.15"/>
    <n v="77.44"/>
    <s v="WR"/>
    <x v="0"/>
    <x v="5"/>
    <n v="102.10000000000001"/>
    <n v="445.16630000000004"/>
    <s v="aj-6"/>
    <x v="2"/>
    <n v="108.8"/>
    <n v="404.29040000000003"/>
    <n v="0.40909189376360988"/>
    <n v="0.3348767937155821"/>
    <n v="-7.4215100048027782E-2"/>
    <n v="85"/>
    <n v="104"/>
    <n v="5.7759489145530842E-2"/>
    <n v="-5.7759489145530842E-2"/>
  </r>
  <r>
    <x v="108"/>
    <x v="0"/>
    <s v="aj-10"/>
    <s v="RB-1"/>
    <n v="5"/>
    <n v="14.96"/>
    <n v="50.694400000000002"/>
    <s v="RB"/>
    <x v="2"/>
    <x v="6"/>
    <n v="110.08000000000001"/>
    <n v="372.64320000000004"/>
    <s v="chad-10"/>
    <x v="1"/>
    <n v="103.91999999999999"/>
    <n v="398.26569999999992"/>
    <n v="0.58778859959928087"/>
    <n v="0.44369934681501333"/>
    <n v="-0.14408925278426754"/>
    <n v="82"/>
    <n v="103"/>
    <n v="6.0503366564732243E-2"/>
    <n v="-6.0503366564732243E-2"/>
  </r>
  <r>
    <x v="11"/>
    <x v="10"/>
    <s v="matty-2"/>
    <s v="RB-2"/>
    <n v="13"/>
    <n v="14.13"/>
    <n v="50.126399999999997"/>
    <s v="RB"/>
    <x v="2"/>
    <x v="0"/>
    <n v="101.3"/>
    <n v="329.14109999999999"/>
    <s v="seth-2"/>
    <x v="0"/>
    <n v="91.78"/>
    <n v="333.71719999999993"/>
    <n v="0.64422145537573039"/>
    <n v="0.63267367837721178"/>
    <n v="-1.1547776998518611E-2"/>
    <n v="70"/>
    <n v="82"/>
    <n v="6.2353759309390654E-2"/>
    <n v="-6.2353759309390654E-2"/>
  </r>
  <r>
    <x v="145"/>
    <x v="9"/>
    <s v="scott-4"/>
    <s v="RB-1"/>
    <n v="13"/>
    <n v="15.9"/>
    <n v="74.304400000000001"/>
    <s v="RB"/>
    <x v="2"/>
    <x v="9"/>
    <n v="113.07"/>
    <n v="452.41279999999995"/>
    <s v="cory-4"/>
    <x v="4"/>
    <n v="115.58999999999999"/>
    <n v="432.42160000000007"/>
    <n v="0.46624326985872333"/>
    <n v="0.42450681493008702"/>
    <n v="-4.1736454928636313E-2"/>
    <n v="88"/>
    <n v="104"/>
    <n v="6.4290483056895012E-2"/>
    <n v="-6.4290483056895012E-2"/>
  </r>
  <r>
    <x v="70"/>
    <x v="2"/>
    <s v="comp-13"/>
    <s v="WR-1"/>
    <n v="8"/>
    <n v="12.09"/>
    <n v="42.902500000000003"/>
    <s v="WR"/>
    <x v="0"/>
    <x v="2"/>
    <n v="104.63999999999999"/>
    <n v="400.33339999999998"/>
    <s v="chad-13"/>
    <x v="1"/>
    <n v="113.35"/>
    <n v="486.24799999999993"/>
    <n v="0.3849436901786526"/>
    <n v="0.3297230606304678"/>
    <n v="-5.5220629548184796E-2"/>
    <n v="81"/>
    <n v="95"/>
    <n v="6.5142738006626968E-2"/>
    <n v="-6.5142738006626968E-2"/>
  </r>
  <r>
    <x v="21"/>
    <x v="12"/>
    <s v="devon-6"/>
    <s v="WR-1"/>
    <n v="1"/>
    <n v="10.02"/>
    <n v="45.024099999999997"/>
    <s v="WR"/>
    <x v="0"/>
    <x v="8"/>
    <n v="101.41999999999999"/>
    <n v="401.13359999999994"/>
    <s v="comp-6"/>
    <x v="8"/>
    <n v="104.66"/>
    <n v="375.94899999999996"/>
    <n v="0.45373585390093107"/>
    <n v="0.32522953527636572"/>
    <n v="-0.12850631862456535"/>
    <n v="72"/>
    <n v="91"/>
    <n v="6.8463528582607389E-2"/>
    <n v="-6.8463528582607389E-2"/>
  </r>
  <r>
    <x v="111"/>
    <x v="6"/>
    <s v="jason-11"/>
    <s v="QB-1"/>
    <n v="-2"/>
    <n v="21.26"/>
    <n v="62.41"/>
    <s v="QB"/>
    <x v="4"/>
    <x v="4"/>
    <n v="98.88000000000001"/>
    <n v="375.05889999999999"/>
    <e v="#N/A"/>
    <x v="6"/>
    <n v="0"/>
    <n v="0"/>
    <n v="0.99999983524900793"/>
    <n v="0.99999051555529317"/>
    <n v="-9.3196937147599357E-6"/>
    <n v="50"/>
    <n v="0"/>
    <n v="1"/>
    <n v="0"/>
  </r>
  <r>
    <x v="25"/>
    <x v="2"/>
    <s v="aj-13"/>
    <s v="D/ST"/>
    <n v="8"/>
    <n v="8.1999999999999993"/>
    <n v="35.402500000000003"/>
    <s v="D/ST"/>
    <x v="5"/>
    <x v="6"/>
    <n v="116.54"/>
    <n v="371.12040000000002"/>
    <s v="matty-13"/>
    <x v="3"/>
    <n v="88.16"/>
    <n v="330.99250000000001"/>
    <n v="0.85792606530938775"/>
    <n v="0.86244514649624149"/>
    <n v="4.5190811868537351E-3"/>
    <n v="108"/>
    <n v="117"/>
    <n v="6.957128037812689E-2"/>
    <n v="-6.957128037812689E-2"/>
  </r>
  <r>
    <x v="0"/>
    <x v="6"/>
    <s v="matty-11"/>
    <s v="WR-2"/>
    <n v="8"/>
    <n v="8.93"/>
    <n v="30.25"/>
    <s v="WR"/>
    <x v="0"/>
    <x v="0"/>
    <n v="88.670000000000016"/>
    <n v="334.39179999999999"/>
    <s v="comp-11"/>
    <x v="8"/>
    <n v="98.580000000000013"/>
    <n v="364.4375"/>
    <n v="0.35387619533584119"/>
    <n v="0.33752386019860681"/>
    <n v="-1.6352335137234386E-2"/>
    <n v="102"/>
    <n v="111"/>
    <n v="7.1150939831622378E-2"/>
    <n v="-7.1150939831622378E-2"/>
  </r>
  <r>
    <x v="102"/>
    <x v="9"/>
    <s v="seth-4"/>
    <s v="TE-1"/>
    <n v="5"/>
    <n v="8.2899999999999991"/>
    <n v="35.521599999999999"/>
    <s v="TE"/>
    <x v="3"/>
    <x v="1"/>
    <n v="104.32"/>
    <n v="390.96559999999999"/>
    <s v="chad-4"/>
    <x v="1"/>
    <n v="99.8"/>
    <n v="351.46400000000006"/>
    <n v="0.56587682676878348"/>
    <n v="0.5184492553043103"/>
    <n v="-4.7427571464473184E-2"/>
    <n v="111"/>
    <n v="123"/>
    <n v="7.1951561839774775E-2"/>
    <n v="-7.1951561839774775E-2"/>
  </r>
  <r>
    <x v="38"/>
    <x v="10"/>
    <s v="matty-2"/>
    <s v="D/ST"/>
    <n v="2"/>
    <n v="6.5"/>
    <n v="27.5625"/>
    <s v="D/ST"/>
    <x v="5"/>
    <x v="0"/>
    <n v="101.3"/>
    <n v="329.14109999999999"/>
    <s v="seth-2"/>
    <x v="0"/>
    <n v="91.78"/>
    <n v="333.71719999999993"/>
    <n v="0.64422145537573039"/>
    <n v="0.57893364662950386"/>
    <n v="-6.5287808746226528E-2"/>
    <n v="70"/>
    <n v="82"/>
    <n v="7.6563725509834743E-2"/>
    <n v="-7.6563725509834743E-2"/>
  </r>
  <r>
    <x v="78"/>
    <x v="9"/>
    <s v="perry-4"/>
    <s v="WR/RB"/>
    <n v="8"/>
    <n v="10.73"/>
    <n v="42.902500000000003"/>
    <s v="WR/RB"/>
    <x v="2"/>
    <x v="7"/>
    <n v="111.07000000000001"/>
    <n v="406.62959999999998"/>
    <s v="devon-4"/>
    <x v="7"/>
    <n v="99.78"/>
    <n v="369.21209999999996"/>
    <n v="0.65738205274668193"/>
    <n v="0.62406854677396129"/>
    <n v="-3.3313505972720647E-2"/>
    <n v="72"/>
    <n v="84"/>
    <n v="7.8495087620208612E-2"/>
    <n v="-7.8495087620208612E-2"/>
  </r>
  <r>
    <x v="115"/>
    <x v="3"/>
    <s v="seth-3"/>
    <s v="WR/RB"/>
    <n v="17"/>
    <n v="10.88"/>
    <n v="100.6009"/>
    <s v="WR/RB"/>
    <x v="0"/>
    <x v="1"/>
    <n v="94.54"/>
    <n v="356.43470000000002"/>
    <s v="aj-3"/>
    <x v="2"/>
    <n v="107.31"/>
    <n v="425.77620000000002"/>
    <n v="0.3239819129085153"/>
    <n v="0.39947180807317262"/>
    <n v="7.5489895164657317E-2"/>
    <n v="88"/>
    <n v="96"/>
    <n v="7.9598605350410565E-2"/>
    <n v="-7.9598605350410565E-2"/>
  </r>
  <r>
    <x v="55"/>
    <x v="4"/>
    <s v="cory-8"/>
    <s v="RB-1"/>
    <n v="18"/>
    <n v="10.25"/>
    <n v="39.312899999999999"/>
    <s v="RB"/>
    <x v="2"/>
    <x v="5"/>
    <n v="106.3"/>
    <n v="423.11159999999995"/>
    <s v="matty-8"/>
    <x v="3"/>
    <n v="88.500000000000014"/>
    <n v="351.30459999999999"/>
    <n v="0.7387953106518842"/>
    <n v="0.82699575095441835"/>
    <n v="8.8200440302534155E-2"/>
    <n v="106"/>
    <n v="107"/>
    <n v="8.1427390928248647E-2"/>
    <n v="-8.1427390928248647E-2"/>
  </r>
  <r>
    <x v="64"/>
    <x v="9"/>
    <s v="perry-4"/>
    <s v="WR-1"/>
    <n v="9"/>
    <n v="10.76"/>
    <n v="54.464399999999998"/>
    <s v="WR"/>
    <x v="0"/>
    <x v="7"/>
    <n v="111.07000000000001"/>
    <n v="406.62959999999998"/>
    <s v="devon-4"/>
    <x v="7"/>
    <n v="99.78"/>
    <n v="369.21209999999996"/>
    <n v="0.65738205274668193"/>
    <n v="0.63863887146125187"/>
    <n v="-1.8743181285430066E-2"/>
    <n v="72"/>
    <n v="84"/>
    <n v="8.2639514475463804E-2"/>
    <n v="-8.2639514475463804E-2"/>
  </r>
  <r>
    <x v="112"/>
    <x v="3"/>
    <s v="seth-3"/>
    <s v="RB-1"/>
    <n v="8"/>
    <n v="8.83"/>
    <n v="26.9361"/>
    <s v="RB"/>
    <x v="2"/>
    <x v="1"/>
    <n v="94.54"/>
    <n v="356.43470000000002"/>
    <s v="aj-3"/>
    <x v="2"/>
    <n v="107.31"/>
    <n v="425.77620000000002"/>
    <n v="0.3239819129085153"/>
    <n v="0.31034784085442157"/>
    <n v="-1.3634072054093727E-2"/>
    <n v="88"/>
    <n v="96"/>
    <n v="8.3562194895427613E-2"/>
    <n v="-8.3562194895427613E-2"/>
  </r>
  <r>
    <x v="92"/>
    <x v="5"/>
    <s v="seth-7"/>
    <s v="QB-1"/>
    <n v="23"/>
    <n v="17.55"/>
    <n v="50.552100000000003"/>
    <s v="QB"/>
    <x v="4"/>
    <x v="1"/>
    <n v="96.25"/>
    <n v="294.3"/>
    <s v="cory-7"/>
    <x v="4"/>
    <n v="86.09"/>
    <n v="350.80079999999998"/>
    <n v="0.65542850055780277"/>
    <n v="0.73897560217056224"/>
    <n v="8.3547101612759467E-2"/>
    <n v="81"/>
    <n v="85"/>
    <n v="9.190519357721455E-2"/>
    <n v="-9.190519357721455E-2"/>
  </r>
  <r>
    <x v="112"/>
    <x v="4"/>
    <s v="seth-8"/>
    <s v="RB-1"/>
    <n v="11"/>
    <n v="14.31"/>
    <n v="81.360399999999998"/>
    <s v="RB"/>
    <x v="2"/>
    <x v="1"/>
    <n v="96.57"/>
    <n v="368.03749999999997"/>
    <s v="devon-8"/>
    <x v="7"/>
    <n v="102.43"/>
    <n v="452.86560000000003"/>
    <n v="0.41897065981019621"/>
    <n v="0.36798302695857832"/>
    <n v="-5.0987632851617892E-2"/>
    <n v="85"/>
    <n v="100"/>
    <n v="9.7486214643436278E-2"/>
    <n v="-9.7486214643436278E-2"/>
  </r>
  <r>
    <x v="76"/>
    <x v="8"/>
    <s v="devon-9"/>
    <s v="D/ST"/>
    <n v="6"/>
    <n v="5.97"/>
    <n v="38.44"/>
    <s v="D/ST"/>
    <x v="5"/>
    <x v="8"/>
    <n v="104.66"/>
    <n v="474.51049999999998"/>
    <s v="cory-9"/>
    <x v="4"/>
    <n v="90.69"/>
    <n v="356.05790000000002"/>
    <n v="0.68606954461640712"/>
    <n v="0.69055637409746706"/>
    <n v="4.4868294810599396E-3"/>
    <n v="81"/>
    <n v="89"/>
    <n v="9.7632297653062902E-2"/>
    <n v="-9.7632297653062902E-2"/>
  </r>
  <r>
    <x v="59"/>
    <x v="5"/>
    <s v="comp-7"/>
    <s v="TE-1"/>
    <n v="11"/>
    <n v="6.52"/>
    <n v="25.401599999999998"/>
    <s v="TE"/>
    <x v="3"/>
    <x v="2"/>
    <n v="94.610000000000014"/>
    <n v="333.25760000000002"/>
    <s v="lucas-7"/>
    <x v="9"/>
    <n v="0"/>
    <n v="0"/>
    <n v="0.99999989058825289"/>
    <n v="0.99999999185997135"/>
    <n v="1.012717184556422E-7"/>
    <n v="73"/>
    <n v="0"/>
    <n v="1"/>
    <n v="0"/>
  </r>
  <r>
    <x v="50"/>
    <x v="5"/>
    <s v="seth-7"/>
    <s v="TE-1"/>
    <n v="8"/>
    <n v="5.68"/>
    <n v="24.403600000000001"/>
    <s v="TE"/>
    <x v="3"/>
    <x v="1"/>
    <n v="96.25"/>
    <n v="294.3"/>
    <s v="cory-7"/>
    <x v="4"/>
    <n v="86.09"/>
    <n v="350.80079999999998"/>
    <n v="0.65542850055780277"/>
    <n v="0.69178885220019626"/>
    <n v="3.6360351642393485E-2"/>
    <n v="81"/>
    <n v="85"/>
    <n v="0.10038652445003773"/>
    <n v="-0.10038652445003773"/>
  </r>
  <r>
    <x v="112"/>
    <x v="9"/>
    <s v="seth-4"/>
    <s v="RB-1"/>
    <n v="5"/>
    <n v="9.35"/>
    <n v="35.760399999999997"/>
    <s v="RB"/>
    <x v="2"/>
    <x v="1"/>
    <n v="104.32"/>
    <n v="390.96559999999999"/>
    <s v="chad-4"/>
    <x v="1"/>
    <n v="99.8"/>
    <n v="351.46400000000006"/>
    <n v="0.56587682676878348"/>
    <n v="0.50255122020351384"/>
    <n v="-6.3325606565269643E-2"/>
    <n v="111"/>
    <n v="123"/>
    <n v="0.10040201495929606"/>
    <n v="-0.10040201495929606"/>
  </r>
  <r>
    <x v="98"/>
    <x v="0"/>
    <s v="seth-10"/>
    <s v="WR-3"/>
    <n v="17"/>
    <n v="11.45"/>
    <n v="57.153599999999997"/>
    <s v="WR"/>
    <x v="0"/>
    <x v="1"/>
    <n v="104.52999999999999"/>
    <n v="446.11959999999999"/>
    <s v="matty-10"/>
    <x v="3"/>
    <n v="80.72"/>
    <n v="274.11410000000001"/>
    <n v="0.81251501229102341"/>
    <n v="0.87289414161729528"/>
    <n v="6.0379129326271874E-2"/>
    <n v="80"/>
    <n v="84"/>
    <n v="0.10325371391643051"/>
    <n v="-0.10325371391643051"/>
  </r>
  <r>
    <x v="14"/>
    <x v="7"/>
    <s v="seth-5"/>
    <s v="RB-2"/>
    <n v="11"/>
    <n v="8.8699999999999992"/>
    <n v="42.902500000000003"/>
    <s v="RB"/>
    <x v="2"/>
    <x v="1"/>
    <n v="98.72999999999999"/>
    <n v="396.28840000000002"/>
    <s v="perry-5"/>
    <x v="10"/>
    <n v="97.27"/>
    <n v="430.39269999999999"/>
    <n v="0.52024917394329329"/>
    <n v="0.55101746722401623"/>
    <n v="3.0768293280722947E-2"/>
    <n v="90"/>
    <n v="96"/>
    <n v="0.10726199049553498"/>
    <n v="-0.10726199049553498"/>
  </r>
  <r>
    <x v="112"/>
    <x v="5"/>
    <s v="seth-7"/>
    <s v="RB-1"/>
    <n v="16"/>
    <n v="11.85"/>
    <n v="43.428100000000001"/>
    <s v="RB"/>
    <x v="2"/>
    <x v="1"/>
    <n v="96.25"/>
    <n v="294.3"/>
    <s v="cory-7"/>
    <x v="4"/>
    <n v="86.09"/>
    <n v="350.80079999999998"/>
    <n v="0.65542850055780277"/>
    <n v="0.72018483195907046"/>
    <n v="6.4756331401267686E-2"/>
    <n v="81"/>
    <n v="85"/>
    <n v="0.10809509721138408"/>
    <n v="-0.10809509721138408"/>
  </r>
  <r>
    <x v="104"/>
    <x v="10"/>
    <s v="aj-2"/>
    <s v="RB-1"/>
    <n v="12"/>
    <n v="12.3"/>
    <n v="49.984900000000003"/>
    <s v="RB"/>
    <x v="2"/>
    <x v="6"/>
    <n v="103.77999999999999"/>
    <n v="338.9511"/>
    <s v="chad-2"/>
    <x v="1"/>
    <n v="102.72000000000001"/>
    <n v="348.54960000000005"/>
    <n v="0.51612356509096413"/>
    <n v="0.51200639441622631"/>
    <n v="-4.1171706747378245E-3"/>
    <n v="90"/>
    <n v="99"/>
    <n v="0.10924530342666643"/>
    <n v="-0.10924530342666643"/>
  </r>
  <r>
    <x v="46"/>
    <x v="5"/>
    <s v="seth-7"/>
    <s v="K"/>
    <n v="8"/>
    <n v="7.5"/>
    <n v="14.0625"/>
    <s v="K"/>
    <x v="1"/>
    <x v="1"/>
    <n v="96.25"/>
    <n v="294.3"/>
    <s v="cory-7"/>
    <x v="4"/>
    <n v="86.09"/>
    <n v="350.80079999999998"/>
    <n v="0.65542850055780277"/>
    <n v="0.66434654084504896"/>
    <n v="8.9180402872461872E-3"/>
    <n v="81"/>
    <n v="85"/>
    <n v="0.11506967022170828"/>
    <n v="-0.11506967022170828"/>
  </r>
  <r>
    <x v="79"/>
    <x v="8"/>
    <s v="comp-9"/>
    <s v="RB-2"/>
    <n v="-2"/>
    <n v="8.18"/>
    <n v="42.510399999999997"/>
    <s v="RB"/>
    <x v="2"/>
    <x v="2"/>
    <n v="80.800000000000011"/>
    <n v="290.44450000000001"/>
    <s v="seth-9"/>
    <x v="0"/>
    <n v="92.559999999999988"/>
    <n v="350.31569999999999"/>
    <n v="0.32111649346340621"/>
    <n v="0.18485786090547504"/>
    <n v="-0.13625863255793116"/>
    <n v="77"/>
    <n v="95"/>
    <n v="0.11518884662653575"/>
    <n v="-0.11518884662653575"/>
  </r>
  <r>
    <x v="122"/>
    <x v="9"/>
    <s v="scott-4"/>
    <s v="WR/RB"/>
    <n v="12"/>
    <n v="16.239999999999998"/>
    <n v="96.236099999999993"/>
    <s v="WR/RB"/>
    <x v="2"/>
    <x v="9"/>
    <n v="113.07"/>
    <n v="452.41279999999995"/>
    <s v="cory-4"/>
    <x v="4"/>
    <n v="115.58999999999999"/>
    <n v="432.42160000000007"/>
    <n v="0.46624326985872333"/>
    <n v="0.40488465008311253"/>
    <n v="-6.1358619775610801E-2"/>
    <n v="88"/>
    <n v="104"/>
    <n v="0.11530738104511955"/>
    <n v="-0.11530738104511955"/>
  </r>
  <r>
    <x v="153"/>
    <x v="10"/>
    <s v="matty-2"/>
    <s v="QB-1"/>
    <n v="12"/>
    <n v="16.68"/>
    <n v="37.945599999999999"/>
    <s v="QB"/>
    <x v="4"/>
    <x v="0"/>
    <n v="101.3"/>
    <n v="329.14109999999999"/>
    <s v="seth-2"/>
    <x v="0"/>
    <n v="91.78"/>
    <n v="333.71719999999993"/>
    <n v="0.64422145537573039"/>
    <n v="0.57676074541342337"/>
    <n v="-6.7460709962307019E-2"/>
    <n v="70"/>
    <n v="82"/>
    <n v="0.11735531723977301"/>
    <n v="-0.11735531723977301"/>
  </r>
  <r>
    <x v="154"/>
    <x v="9"/>
    <s v="scott-4"/>
    <s v="WR-3"/>
    <n v="2"/>
    <n v="10.220000000000001"/>
    <n v="43.824399999999997"/>
    <s v="WR"/>
    <x v="0"/>
    <x v="9"/>
    <n v="113.07"/>
    <n v="452.41279999999995"/>
    <s v="cory-4"/>
    <x v="4"/>
    <n v="115.58999999999999"/>
    <n v="432.42160000000007"/>
    <n v="0.46624326985872333"/>
    <n v="0.35556360862891179"/>
    <n v="-0.11067966122981154"/>
    <n v="88"/>
    <n v="104"/>
    <n v="0.11995203824240813"/>
    <n v="-0.11995203824240813"/>
  </r>
  <r>
    <x v="150"/>
    <x v="2"/>
    <s v="scott-13"/>
    <s v="RB-1"/>
    <n v="3"/>
    <n v="14.5"/>
    <n v="53.875599999999999"/>
    <s v="RB"/>
    <x v="2"/>
    <x v="9"/>
    <n v="108.61"/>
    <n v="407.25390000000004"/>
    <s v="cory-13"/>
    <x v="4"/>
    <n v="106.87"/>
    <n v="444.05589999999995"/>
    <n v="0.52377705912504058"/>
    <n v="0.36481310304294079"/>
    <n v="-0.15896395608209979"/>
    <n v="66"/>
    <n v="86"/>
    <n v="0.12342423469127869"/>
    <n v="-0.12342423469127869"/>
  </r>
  <r>
    <x v="49"/>
    <x v="3"/>
    <s v="seth-3"/>
    <s v="WR-2"/>
    <n v="7"/>
    <n v="8.57"/>
    <n v="31.472100000000001"/>
    <s v="WR"/>
    <x v="0"/>
    <x v="1"/>
    <n v="94.54"/>
    <n v="356.43470000000002"/>
    <s v="aj-3"/>
    <x v="2"/>
    <n v="107.31"/>
    <n v="425.77620000000002"/>
    <n v="0.3239819129085153"/>
    <n v="0.30036011915098193"/>
    <n v="-2.3621793757533371E-2"/>
    <n v="88"/>
    <n v="96"/>
    <n v="0.12586291428559235"/>
    <n v="-0.12586291428559235"/>
  </r>
  <r>
    <x v="118"/>
    <x v="2"/>
    <s v="comp-13"/>
    <s v="WR-2"/>
    <n v="4"/>
    <n v="9.98"/>
    <n v="49.140099999999997"/>
    <s v="WR"/>
    <x v="0"/>
    <x v="2"/>
    <n v="104.63999999999999"/>
    <n v="400.33339999999998"/>
    <s v="chad-13"/>
    <x v="1"/>
    <n v="113.35"/>
    <n v="486.24799999999993"/>
    <n v="0.3849436901786526"/>
    <n v="0.30585751913422976"/>
    <n v="-7.9086171044422837E-2"/>
    <n v="81"/>
    <n v="95"/>
    <n v="0.12629525424807542"/>
    <n v="-0.12629525424807542"/>
  </r>
  <r>
    <x v="140"/>
    <x v="2"/>
    <s v="comp-13"/>
    <s v="WR-3"/>
    <n v="1"/>
    <n v="7.05"/>
    <n v="48.5809"/>
    <s v="WR"/>
    <x v="0"/>
    <x v="2"/>
    <n v="104.63999999999999"/>
    <n v="400.33339999999998"/>
    <s v="chad-13"/>
    <x v="1"/>
    <n v="113.35"/>
    <n v="486.24799999999993"/>
    <n v="0.3849436901786526"/>
    <n v="0.30506931302127505"/>
    <n v="-7.9874377157377552E-2"/>
    <n v="81"/>
    <n v="95"/>
    <n v="0.12701767104588227"/>
    <n v="-0.12701767104588227"/>
  </r>
  <r>
    <x v="36"/>
    <x v="10"/>
    <s v="aj-2"/>
    <s v="WR/RB"/>
    <n v="3"/>
    <n v="7.77"/>
    <n v="13.8384"/>
    <s v="WR/RB"/>
    <x v="0"/>
    <x v="6"/>
    <n v="103.77999999999999"/>
    <n v="338.9511"/>
    <s v="chad-2"/>
    <x v="1"/>
    <n v="102.72000000000001"/>
    <n v="348.54960000000005"/>
    <n v="0.51612356509096413"/>
    <n v="0.44316891241387624"/>
    <n v="-7.2954652677087894E-2"/>
    <n v="90"/>
    <n v="99"/>
    <n v="0.12774891615567166"/>
    <n v="-0.12774891615567166"/>
  </r>
  <r>
    <x v="204"/>
    <x v="0"/>
    <s v="jason-10"/>
    <s v="WR/RB"/>
    <n v="4"/>
    <n v="5.76"/>
    <n v="13.9129"/>
    <s v="WR/RB"/>
    <x v="0"/>
    <x v="4"/>
    <n v="97.83"/>
    <n v="370.18310000000002"/>
    <e v="#N/A"/>
    <x v="6"/>
    <n v="0"/>
    <n v="0"/>
    <n v="0.99999981587831821"/>
    <n v="0.99999982074968141"/>
    <n v="4.8713632017083341E-9"/>
    <n v="91"/>
    <n v="0"/>
    <n v="1"/>
    <n v="0"/>
  </r>
  <r>
    <x v="192"/>
    <x v="9"/>
    <s v="perry-4"/>
    <s v="WR-3"/>
    <n v="2"/>
    <n v="7.7"/>
    <n v="31.36"/>
    <s v="WR"/>
    <x v="0"/>
    <x v="7"/>
    <n v="111.07000000000001"/>
    <n v="406.62959999999998"/>
    <s v="devon-4"/>
    <x v="7"/>
    <n v="99.78"/>
    <n v="369.21209999999996"/>
    <n v="0.65738205274668193"/>
    <n v="0.58116433711478122"/>
    <n v="-7.6217715631900718E-2"/>
    <n v="72"/>
    <n v="84"/>
    <n v="0.13029451713680881"/>
    <n v="-0.13029451713680881"/>
  </r>
  <r>
    <x v="120"/>
    <x v="1"/>
    <s v="matty-12"/>
    <s v="K"/>
    <n v="6"/>
    <n v="6.72"/>
    <n v="14.7456"/>
    <s v="K"/>
    <x v="1"/>
    <x v="0"/>
    <n v="94.28"/>
    <n v="371.05129999999997"/>
    <s v="devon-12"/>
    <x v="7"/>
    <n v="99.070000000000007"/>
    <n v="350.10639999999995"/>
    <n v="0.42921643322258324"/>
    <n v="0.41788345704616547"/>
    <n v="-1.1332976176417764E-2"/>
    <n v="75"/>
    <n v="80"/>
    <n v="0.13251450785301594"/>
    <n v="-0.13251450785301594"/>
  </r>
  <r>
    <x v="102"/>
    <x v="11"/>
    <s v="seth-1"/>
    <s v="TE-1"/>
    <n v="7"/>
    <n v="7.38"/>
    <n v="26.214400000000001"/>
    <s v="TE"/>
    <x v="3"/>
    <x v="1"/>
    <n v="111.07"/>
    <n v="422.00569999999999"/>
    <s v="comp-1"/>
    <x v="8"/>
    <n v="110.7"/>
    <n v="433.44330000000002"/>
    <n v="0.50504664952103229"/>
    <n v="0.49986146122292169"/>
    <n v="-5.185188298110599E-3"/>
    <n v="71"/>
    <n v="77"/>
    <n v="0.13617731026769206"/>
    <n v="-0.13617731026769206"/>
  </r>
  <r>
    <x v="22"/>
    <x v="5"/>
    <s v="comp-7"/>
    <s v="K"/>
    <n v="11"/>
    <n v="8.73"/>
    <n v="15.6816"/>
    <s v="K"/>
    <x v="1"/>
    <x v="2"/>
    <n v="94.610000000000014"/>
    <n v="333.25760000000002"/>
    <s v="lucas-7"/>
    <x v="9"/>
    <n v="0"/>
    <n v="0"/>
    <n v="0.99999989058825289"/>
    <n v="0.99999997281396502"/>
    <n v="8.222571212801455E-8"/>
    <n v="73"/>
    <n v="0"/>
    <n v="1"/>
    <n v="0"/>
  </r>
  <r>
    <x v="98"/>
    <x v="9"/>
    <s v="seth-4"/>
    <s v="WR-3"/>
    <n v="12"/>
    <n v="13.97"/>
    <n v="86.862399999999994"/>
    <s v="WR"/>
    <x v="0"/>
    <x v="1"/>
    <n v="104.32"/>
    <n v="390.96559999999999"/>
    <s v="chad-4"/>
    <x v="1"/>
    <n v="99.8"/>
    <n v="351.46400000000006"/>
    <n v="0.56587682676878348"/>
    <n v="0.53966652534103321"/>
    <n v="-2.6210301427750271E-2"/>
    <n v="111"/>
    <n v="123"/>
    <n v="0.14092332370843808"/>
    <n v="-0.14092332370843808"/>
  </r>
  <r>
    <x v="35"/>
    <x v="8"/>
    <s v="devon-9"/>
    <s v="WR-3"/>
    <n v="9"/>
    <n v="10.07"/>
    <n v="41.990400000000001"/>
    <s v="WR"/>
    <x v="0"/>
    <x v="8"/>
    <n v="104.66"/>
    <n v="474.51049999999998"/>
    <s v="cory-9"/>
    <x v="4"/>
    <n v="90.69"/>
    <n v="356.05790000000002"/>
    <n v="0.68606954461640712"/>
    <n v="0.67701756075329744"/>
    <n v="-9.0519838631096805E-3"/>
    <n v="81"/>
    <n v="89"/>
    <n v="0.14243472481692457"/>
    <n v="-0.14243472481692457"/>
  </r>
  <r>
    <x v="2"/>
    <x v="7"/>
    <s v="matty-5"/>
    <s v="WR-2"/>
    <n v="12"/>
    <n v="9.43"/>
    <n v="38.068899999999999"/>
    <s v="WR"/>
    <x v="0"/>
    <x v="0"/>
    <n v="99.23"/>
    <n v="364.64739999999995"/>
    <s v="aj-5"/>
    <x v="2"/>
    <n v="117.25999999999999"/>
    <n v="422.9941"/>
    <n v="0.26029431580256523"/>
    <n v="0.28614561742176026"/>
    <n v="2.5851301619195022E-2"/>
    <n v="106"/>
    <n v="110"/>
    <n v="0.14347647365371893"/>
    <n v="-0.14347647365371893"/>
  </r>
  <r>
    <x v="43"/>
    <x v="10"/>
    <s v="matty-2"/>
    <s v="WR/RB"/>
    <n v="4"/>
    <n v="9.09"/>
    <n v="42.25"/>
    <s v="WR/RB"/>
    <x v="2"/>
    <x v="0"/>
    <n v="101.3"/>
    <n v="329.14109999999999"/>
    <s v="seth-2"/>
    <x v="0"/>
    <n v="91.78"/>
    <n v="333.71719999999993"/>
    <n v="0.64422145537573039"/>
    <n v="0.57057013417732583"/>
    <n v="-7.3651321198404562E-2"/>
    <n v="70"/>
    <n v="82"/>
    <n v="0.14387353435039613"/>
    <n v="-0.14387353435039613"/>
  </r>
  <r>
    <x v="61"/>
    <x v="12"/>
    <s v="devon-6"/>
    <s v="RB-1"/>
    <n v="1"/>
    <n v="12.08"/>
    <n v="58.369599999999998"/>
    <s v="RB"/>
    <x v="2"/>
    <x v="8"/>
    <n v="101.41999999999999"/>
    <n v="401.13359999999994"/>
    <s v="comp-6"/>
    <x v="8"/>
    <n v="104.66"/>
    <n v="375.94899999999996"/>
    <n v="0.45373585390093107"/>
    <n v="0.29661801371292384"/>
    <n v="-0.15711784018800723"/>
    <n v="72"/>
    <n v="91"/>
    <n v="0.14994968409679324"/>
    <n v="-0.14994968409679324"/>
  </r>
  <r>
    <x v="56"/>
    <x v="10"/>
    <s v="aj-2"/>
    <s v="WR-1"/>
    <n v="8"/>
    <n v="10.08"/>
    <n v="44.89"/>
    <s v="WR"/>
    <x v="0"/>
    <x v="6"/>
    <n v="103.77999999999999"/>
    <n v="338.9511"/>
    <s v="chad-2"/>
    <x v="1"/>
    <n v="102.72000000000001"/>
    <n v="348.54960000000005"/>
    <n v="0.51612356509096413"/>
    <n v="0.48395206763613413"/>
    <n v="-3.217149745483E-2"/>
    <n v="90"/>
    <n v="99"/>
    <n v="0.15084036861970412"/>
    <n v="-0.15084036861970412"/>
  </r>
  <r>
    <x v="1"/>
    <x v="7"/>
    <s v="seth-5"/>
    <s v="WR-2"/>
    <n v="5"/>
    <n v="6.61"/>
    <n v="18.489999999999998"/>
    <s v="WR"/>
    <x v="0"/>
    <x v="1"/>
    <n v="98.72999999999999"/>
    <n v="396.28840000000002"/>
    <s v="perry-5"/>
    <x v="10"/>
    <n v="97.27"/>
    <n v="430.39269999999999"/>
    <n v="0.52024917394329329"/>
    <n v="0.49789504760709907"/>
    <n v="-2.2354126336194213E-2"/>
    <n v="90"/>
    <n v="96"/>
    <n v="0.15364374716007703"/>
    <n v="-0.15364374716007703"/>
  </r>
  <r>
    <x v="98"/>
    <x v="4"/>
    <s v="seth-8"/>
    <s v="WR-2"/>
    <n v="8"/>
    <n v="14.43"/>
    <n v="72.25"/>
    <s v="WR"/>
    <x v="0"/>
    <x v="1"/>
    <n v="96.57"/>
    <n v="368.03749999999997"/>
    <s v="devon-8"/>
    <x v="7"/>
    <n v="102.43"/>
    <n v="452.86560000000003"/>
    <n v="0.41897065981019621"/>
    <n v="0.32665420497297337"/>
    <n v="-9.2316454837222839E-2"/>
    <n v="85"/>
    <n v="100"/>
    <n v="0.15667075899022961"/>
    <n v="-0.15667075899022961"/>
  </r>
  <r>
    <x v="95"/>
    <x v="2"/>
    <s v="aj-13"/>
    <s v="RB-2"/>
    <n v="13"/>
    <n v="15.43"/>
    <n v="42.771599999999999"/>
    <s v="RB"/>
    <x v="2"/>
    <x v="6"/>
    <n v="116.54"/>
    <n v="371.12040000000002"/>
    <s v="matty-13"/>
    <x v="3"/>
    <n v="88.16"/>
    <n v="330.99250000000001"/>
    <n v="0.85792606530938775"/>
    <n v="0.84389767340638044"/>
    <n v="-1.4028391903007309E-2"/>
    <n v="108"/>
    <n v="117"/>
    <n v="0.15754784224458679"/>
    <n v="-0.15754784224458679"/>
  </r>
  <r>
    <x v="4"/>
    <x v="6"/>
    <s v="matty-11"/>
    <s v="RB-2"/>
    <n v="5"/>
    <n v="8.6300000000000008"/>
    <n v="29.052099999999999"/>
    <s v="RB"/>
    <x v="2"/>
    <x v="0"/>
    <n v="88.670000000000016"/>
    <n v="334.39179999999999"/>
    <s v="comp-11"/>
    <x v="8"/>
    <n v="98.580000000000013"/>
    <n v="364.4375"/>
    <n v="0.35387619533584119"/>
    <n v="0.300423513608643"/>
    <n v="-5.3452681727198192E-2"/>
    <n v="102"/>
    <n v="111"/>
    <n v="0.15955477025340742"/>
    <n v="-0.15955477025340742"/>
  </r>
  <r>
    <x v="95"/>
    <x v="0"/>
    <s v="aj-10"/>
    <s v="RB-2"/>
    <n v="4"/>
    <n v="17.37"/>
    <n v="59.444099999999999"/>
    <s v="RB"/>
    <x v="2"/>
    <x v="6"/>
    <n v="110.08000000000001"/>
    <n v="372.64320000000004"/>
    <s v="chad-10"/>
    <x v="1"/>
    <n v="103.91999999999999"/>
    <n v="398.26569999999992"/>
    <n v="0.58778859959928087"/>
    <n v="0.3934617378685209"/>
    <n v="-0.19432686173075997"/>
    <n v="82"/>
    <n v="103"/>
    <n v="0.16117900036346644"/>
    <n v="-0.16117900036346644"/>
  </r>
  <r>
    <x v="2"/>
    <x v="3"/>
    <s v="matty-3"/>
    <s v="WR-2"/>
    <n v="14"/>
    <n v="10.72"/>
    <n v="55.204900000000002"/>
    <s v="WR"/>
    <x v="0"/>
    <x v="0"/>
    <n v="116.17999999999999"/>
    <n v="478.31470000000002"/>
    <s v="comp-3"/>
    <x v="8"/>
    <n v="105.02"/>
    <n v="401.60159999999996"/>
    <n v="0.64662385216199125"/>
    <n v="0.69245607051141367"/>
    <n v="4.5832218349422416E-2"/>
    <n v="81"/>
    <n v="85"/>
    <n v="0.16358956877442823"/>
    <n v="-0.16358956877442823"/>
  </r>
  <r>
    <x v="39"/>
    <x v="0"/>
    <s v="cory-10"/>
    <s v="WR-1"/>
    <n v="5"/>
    <n v="12.13"/>
    <n v="64.641599999999997"/>
    <s v="WR"/>
    <x v="0"/>
    <x v="5"/>
    <n v="93.17"/>
    <n v="328.34589999999997"/>
    <s v="perry-10"/>
    <x v="10"/>
    <n v="103.49"/>
    <n v="345.28400000000005"/>
    <n v="0.34545488835543114"/>
    <n v="0.2397470488192357"/>
    <n v="-0.10570783953619545"/>
    <n v="91"/>
    <n v="106"/>
    <n v="0.16382563649651716"/>
    <n v="-0.16382563649651716"/>
  </r>
  <r>
    <x v="2"/>
    <x v="10"/>
    <s v="matty-2"/>
    <s v="WR-2"/>
    <n v="4"/>
    <n v="10.46"/>
    <n v="32.947600000000001"/>
    <s v="WR"/>
    <x v="0"/>
    <x v="0"/>
    <n v="101.3"/>
    <n v="329.14109999999999"/>
    <s v="seth-2"/>
    <x v="0"/>
    <n v="91.78"/>
    <n v="333.71719999999993"/>
    <n v="0.64422145537573039"/>
    <n v="0.54851958787343091"/>
    <n v="-9.5701867502299476E-2"/>
    <n v="70"/>
    <n v="82"/>
    <n v="0.16723314186018787"/>
    <n v="-0.16723314186018787"/>
  </r>
  <r>
    <x v="149"/>
    <x v="1"/>
    <s v="chad-12"/>
    <s v="D/ST"/>
    <n v="13"/>
    <n v="9.58"/>
    <n v="46.104100000000003"/>
    <s v="D/ST"/>
    <x v="5"/>
    <x v="3"/>
    <n v="115.8"/>
    <n v="455.64659999999998"/>
    <s v="seth-12"/>
    <x v="0"/>
    <n v="102.15"/>
    <n v="468.55759999999998"/>
    <n v="0.6732850448184311"/>
    <n v="0.71770990175277793"/>
    <n v="4.4424856934346835E-2"/>
    <n v="92"/>
    <n v="95"/>
    <n v="0.17219976870492484"/>
    <n v="-0.17219976870492484"/>
  </r>
  <r>
    <x v="64"/>
    <x v="11"/>
    <s v="perry-1"/>
    <s v="WR-2"/>
    <n v="4"/>
    <n v="12.2"/>
    <n v="108.16"/>
    <s v="WR"/>
    <x v="0"/>
    <x v="7"/>
    <n v="94.44"/>
    <n v="399.28809999999999"/>
    <s v="cory-1"/>
    <x v="4"/>
    <n v="105.11000000000001"/>
    <n v="445.52289999999994"/>
    <n v="0.35677213328906182"/>
    <n v="0.24344931573407796"/>
    <n v="-0.11332281755498386"/>
    <n v="82"/>
    <n v="100"/>
    <n v="0.1730175655029057"/>
    <n v="-0.1730175655029057"/>
  </r>
  <r>
    <x v="23"/>
    <x v="6"/>
    <s v="matty-11"/>
    <s v="RB-1"/>
    <n v="11"/>
    <n v="11.79"/>
    <n v="76.5625"/>
    <s v="RB"/>
    <x v="2"/>
    <x v="0"/>
    <n v="88.670000000000016"/>
    <n v="334.39179999999999"/>
    <s v="comp-11"/>
    <x v="8"/>
    <n v="98.580000000000013"/>
    <n v="364.4375"/>
    <n v="0.35387619533584119"/>
    <n v="0.33398383477181992"/>
    <n v="-1.9892360564021272E-2"/>
    <n v="102"/>
    <n v="111"/>
    <n v="0.17404879963396561"/>
    <n v="-0.17404879963396561"/>
  </r>
  <r>
    <x v="32"/>
    <x v="0"/>
    <s v="jason-10"/>
    <s v="RB-1"/>
    <n v="6"/>
    <n v="7.41"/>
    <n v="24.700900000000001"/>
    <s v="RB"/>
    <x v="2"/>
    <x v="4"/>
    <n v="97.83"/>
    <n v="370.18310000000002"/>
    <e v="#N/A"/>
    <x v="6"/>
    <n v="0"/>
    <n v="0"/>
    <n v="0.99999981587831821"/>
    <n v="0.99999989340592632"/>
    <n v="7.7527608111083168E-8"/>
    <n v="91"/>
    <n v="0"/>
    <n v="1"/>
    <n v="0"/>
  </r>
  <r>
    <x v="35"/>
    <x v="7"/>
    <s v="cory-5"/>
    <s v="WR-2"/>
    <n v="10"/>
    <n v="9.73"/>
    <n v="33.524099999999997"/>
    <s v="WR"/>
    <x v="0"/>
    <x v="5"/>
    <n v="109.91"/>
    <n v="349.51409999999998"/>
    <s v="devon-5"/>
    <x v="7"/>
    <n v="93.5"/>
    <n v="346.9006"/>
    <n v="0.73297455800387123"/>
    <n v="0.74145932871599995"/>
    <n v="8.4847707121287197E-3"/>
    <n v="100"/>
    <n v="105"/>
    <n v="0.18136116304846556"/>
    <n v="-0.18136116304846556"/>
  </r>
  <r>
    <x v="163"/>
    <x v="3"/>
    <s v="seth-3"/>
    <s v="D/ST"/>
    <n v="2"/>
    <n v="5.3"/>
    <n v="27.352900000000002"/>
    <s v="D/ST"/>
    <x v="5"/>
    <x v="1"/>
    <n v="94.54"/>
    <n v="356.43470000000002"/>
    <s v="aj-3"/>
    <x v="2"/>
    <n v="107.31"/>
    <n v="425.77620000000002"/>
    <n v="0.3239819129085153"/>
    <n v="0.27930674376345482"/>
    <n v="-4.4675169145060478E-2"/>
    <n v="88"/>
    <n v="96"/>
    <n v="0.18441647687160795"/>
    <n v="-0.18441647687160795"/>
  </r>
  <r>
    <x v="115"/>
    <x v="11"/>
    <s v="seth-1"/>
    <s v="WR-1"/>
    <n v="13"/>
    <n v="12.69"/>
    <n v="52.5625"/>
    <s v="WR"/>
    <x v="0"/>
    <x v="1"/>
    <n v="111.07"/>
    <n v="422.00569999999999"/>
    <s v="comp-1"/>
    <x v="8"/>
    <n v="110.7"/>
    <n v="433.44330000000002"/>
    <n v="0.50504664952103229"/>
    <n v="0.50957304754141897"/>
    <n v="4.5263980203866794E-3"/>
    <n v="71"/>
    <n v="77"/>
    <n v="0.19205599401994025"/>
    <n v="-0.19205599401994025"/>
  </r>
  <r>
    <x v="117"/>
    <x v="2"/>
    <s v="comp-13"/>
    <s v="RB-1"/>
    <n v="3"/>
    <n v="10.89"/>
    <n v="49.702500000000001"/>
    <s v="RB"/>
    <x v="2"/>
    <x v="2"/>
    <n v="104.63999999999999"/>
    <n v="400.33339999999998"/>
    <s v="chad-13"/>
    <x v="1"/>
    <n v="113.35"/>
    <n v="486.24799999999993"/>
    <n v="0.3849436901786526"/>
    <n v="0.28304431583813749"/>
    <n v="-0.1018993743405151"/>
    <n v="81"/>
    <n v="95"/>
    <n v="0.19306233714190693"/>
    <n v="-0.19306233714190693"/>
  </r>
  <r>
    <x v="199"/>
    <x v="5"/>
    <s v="seth-7"/>
    <s v="WR/RB"/>
    <n v="6"/>
    <n v="7.13"/>
    <n v="11.2225"/>
    <s v="WR/RB"/>
    <x v="2"/>
    <x v="1"/>
    <n v="96.25"/>
    <n v="294.3"/>
    <s v="cory-7"/>
    <x v="4"/>
    <n v="86.09"/>
    <n v="350.80079999999998"/>
    <n v="0.65542850055780277"/>
    <n v="0.64007584812461193"/>
    <n v="-1.5352652433190839E-2"/>
    <n v="81"/>
    <n v="85"/>
    <n v="0.19580081379297781"/>
    <n v="-0.19580081379297781"/>
  </r>
  <r>
    <x v="169"/>
    <x v="7"/>
    <s v="matty-5"/>
    <s v="TE-1"/>
    <n v="5"/>
    <n v="5.72"/>
    <n v="15.366400000000001"/>
    <s v="TE"/>
    <x v="3"/>
    <x v="0"/>
    <n v="99.23"/>
    <n v="364.64739999999995"/>
    <s v="aj-5"/>
    <x v="2"/>
    <n v="117.25999999999999"/>
    <n v="422.9941"/>
    <n v="0.26029431580256523"/>
    <n v="0.24993094844031588"/>
    <n v="-1.0363367362249354E-2"/>
    <n v="106"/>
    <n v="110"/>
    <n v="0.2013708565580922"/>
    <n v="-0.2013708565580922"/>
  </r>
  <r>
    <x v="216"/>
    <x v="3"/>
    <s v="seth-3"/>
    <s v="RB-2"/>
    <n v="3"/>
    <n v="7.48"/>
    <n v="17.7241"/>
    <s v="RB"/>
    <x v="2"/>
    <x v="1"/>
    <n v="94.54"/>
    <n v="356.43470000000002"/>
    <s v="aj-3"/>
    <x v="2"/>
    <n v="107.31"/>
    <n v="425.77620000000002"/>
    <n v="0.3239819129085153"/>
    <n v="0.26635176363297253"/>
    <n v="-5.7630149275542775E-2"/>
    <n v="88"/>
    <n v="96"/>
    <n v="0.20154805484470964"/>
    <n v="-0.20154805484470964"/>
  </r>
  <r>
    <x v="50"/>
    <x v="0"/>
    <s v="seth-10"/>
    <s v="TE-1"/>
    <n v="6"/>
    <n v="5.94"/>
    <n v="24.900099999999998"/>
    <s v="TE"/>
    <x v="3"/>
    <x v="1"/>
    <n v="104.52999999999999"/>
    <n v="446.11959999999999"/>
    <s v="matty-10"/>
    <x v="3"/>
    <n v="80.72"/>
    <n v="274.11410000000001"/>
    <n v="0.81251501229102341"/>
    <n v="0.81732649782443523"/>
    <n v="4.8114855334118189E-3"/>
    <n v="80"/>
    <n v="84"/>
    <n v="0.20792925979306856"/>
    <n v="-0.20792925979306856"/>
  </r>
  <r>
    <x v="102"/>
    <x v="3"/>
    <s v="seth-3"/>
    <s v="TE-1"/>
    <n v="3"/>
    <n v="7.23"/>
    <n v="21.715599999999998"/>
    <s v="TE"/>
    <x v="3"/>
    <x v="1"/>
    <n v="94.54"/>
    <n v="356.43470000000002"/>
    <s v="aj-3"/>
    <x v="2"/>
    <n v="107.31"/>
    <n v="425.77620000000002"/>
    <n v="0.3239819129085153"/>
    <n v="0.26879747115461305"/>
    <n v="-5.5184441753902247E-2"/>
    <n v="88"/>
    <n v="96"/>
    <n v="0.20925387013068855"/>
    <n v="-0.20925387013068855"/>
  </r>
  <r>
    <x v="138"/>
    <x v="8"/>
    <s v="devon-9"/>
    <s v="WR-2"/>
    <n v="3"/>
    <n v="7.42"/>
    <n v="19.7136"/>
    <s v="WR"/>
    <x v="0"/>
    <x v="8"/>
    <n v="104.66"/>
    <n v="474.51049999999998"/>
    <s v="cory-9"/>
    <x v="4"/>
    <n v="90.69"/>
    <n v="356.05790000000002"/>
    <n v="0.68606954461640712"/>
    <n v="0.63132921989934465"/>
    <n v="-5.4740324717062472E-2"/>
    <n v="81"/>
    <n v="89"/>
    <n v="0.21003312759574894"/>
    <n v="-0.21003312759574894"/>
  </r>
  <r>
    <x v="105"/>
    <x v="9"/>
    <s v="perry-4"/>
    <s v="WR-2"/>
    <n v="3"/>
    <n v="10.01"/>
    <n v="38.44"/>
    <s v="WR"/>
    <x v="0"/>
    <x v="7"/>
    <n v="111.07000000000001"/>
    <n v="406.62959999999998"/>
    <s v="devon-4"/>
    <x v="7"/>
    <n v="99.78"/>
    <n v="369.21209999999996"/>
    <n v="0.65738205274668193"/>
    <n v="0.56261907273241429"/>
    <n v="-9.4762980014267639E-2"/>
    <n v="72"/>
    <n v="84"/>
    <n v="0.21045638025246163"/>
    <n v="-0.21045638025246163"/>
  </r>
  <r>
    <x v="25"/>
    <x v="9"/>
    <s v="scott-4"/>
    <s v="D/ST"/>
    <n v="-4"/>
    <n v="7.1"/>
    <n v="37.945599999999999"/>
    <s v="D/ST"/>
    <x v="5"/>
    <x v="9"/>
    <n v="113.07"/>
    <n v="452.41279999999995"/>
    <s v="cory-4"/>
    <x v="4"/>
    <n v="115.58999999999999"/>
    <n v="432.42160000000007"/>
    <n v="0.46624326985872333"/>
    <n v="0.31988533610654085"/>
    <n v="-0.14635793375218248"/>
    <n v="88"/>
    <n v="104"/>
    <n v="0.21317457087163832"/>
    <n v="-0.21317457087163832"/>
  </r>
  <r>
    <x v="67"/>
    <x v="7"/>
    <s v="matty-5"/>
    <s v="K"/>
    <n v="7"/>
    <n v="7.82"/>
    <n v="16.483599999999999"/>
    <s v="K"/>
    <x v="1"/>
    <x v="0"/>
    <n v="99.23"/>
    <n v="364.64739999999995"/>
    <s v="aj-5"/>
    <x v="2"/>
    <n v="117.25999999999999"/>
    <n v="422.9941"/>
    <n v="0.26029431580256523"/>
    <n v="0.24863335427883376"/>
    <n v="-1.1660961523731472E-2"/>
    <n v="106"/>
    <n v="110"/>
    <n v="0.21673979772363569"/>
    <n v="-0.21673979772363569"/>
  </r>
  <r>
    <x v="108"/>
    <x v="11"/>
    <s v="jason-1"/>
    <s v="RB-1"/>
    <n v="15"/>
    <n v="13.47"/>
    <n v="50.126399999999997"/>
    <s v="RB"/>
    <x v="2"/>
    <x v="4"/>
    <n v="101.15"/>
    <n v="350.32479999999998"/>
    <e v="#N/A"/>
    <x v="6"/>
    <n v="0"/>
    <n v="0"/>
    <n v="0.9999999674486757"/>
    <n v="0.99999999845056631"/>
    <n v="3.1001890610227179E-8"/>
    <n v="71"/>
    <n v="0"/>
    <n v="1"/>
    <n v="0"/>
  </r>
  <r>
    <x v="114"/>
    <x v="9"/>
    <s v="perry-4"/>
    <s v="QB-1"/>
    <n v="18"/>
    <n v="23.82"/>
    <n v="63.520899999999997"/>
    <s v="QB"/>
    <x v="4"/>
    <x v="7"/>
    <n v="111.07000000000001"/>
    <n v="406.62959999999998"/>
    <s v="devon-4"/>
    <x v="7"/>
    <n v="99.78"/>
    <n v="369.21209999999996"/>
    <n v="0.65738205274668193"/>
    <n v="0.58119469828154868"/>
    <n v="-7.618735446513325E-2"/>
    <n v="72"/>
    <n v="84"/>
    <n v="0.21904936991820734"/>
    <n v="-0.21904936991820734"/>
  </r>
  <r>
    <x v="92"/>
    <x v="4"/>
    <s v="seth-8"/>
    <s v="QB-1"/>
    <n v="10"/>
    <n v="20.57"/>
    <n v="36.723599999999998"/>
    <s v="QB"/>
    <x v="4"/>
    <x v="1"/>
    <n v="96.57"/>
    <n v="368.03749999999997"/>
    <s v="devon-8"/>
    <x v="7"/>
    <n v="102.43"/>
    <n v="452.86560000000003"/>
    <n v="0.41897065981019621"/>
    <n v="0.27869637285258492"/>
    <n v="-0.14027428695761129"/>
    <n v="85"/>
    <n v="100"/>
    <n v="0.23238252098493434"/>
    <n v="-0.23238252098493434"/>
  </r>
  <r>
    <x v="105"/>
    <x v="1"/>
    <s v="chad-12"/>
    <s v="WR-2"/>
    <n v="15"/>
    <n v="11.97"/>
    <n v="68.724100000000007"/>
    <s v="WR"/>
    <x v="0"/>
    <x v="3"/>
    <n v="115.8"/>
    <n v="455.64659999999998"/>
    <s v="seth-12"/>
    <x v="0"/>
    <n v="102.15"/>
    <n v="468.55759999999998"/>
    <n v="0.6732850448184311"/>
    <n v="0.71575741146698524"/>
    <n v="4.2472366648554138E-2"/>
    <n v="92"/>
    <n v="95"/>
    <n v="0.23349587007661643"/>
    <n v="-0.23349587007661643"/>
  </r>
  <r>
    <x v="132"/>
    <x v="1"/>
    <s v="chad-12"/>
    <s v="RB-2"/>
    <n v="13"/>
    <n v="10.02"/>
    <n v="68.724100000000007"/>
    <s v="RB"/>
    <x v="2"/>
    <x v="3"/>
    <n v="115.8"/>
    <n v="455.64659999999998"/>
    <s v="seth-12"/>
    <x v="0"/>
    <n v="102.15"/>
    <n v="468.55759999999998"/>
    <n v="0.6732850448184311"/>
    <n v="0.71517749533949981"/>
    <n v="4.1892450521068714E-2"/>
    <n v="92"/>
    <n v="95"/>
    <n v="0.23534678527695152"/>
    <n v="-0.23534678527695152"/>
  </r>
  <r>
    <x v="6"/>
    <x v="11"/>
    <s v="jason-1"/>
    <s v="K"/>
    <n v="8"/>
    <n v="8.08"/>
    <n v="30.0304"/>
    <s v="K"/>
    <x v="1"/>
    <x v="4"/>
    <n v="101.15"/>
    <n v="350.32479999999998"/>
    <e v="#N/A"/>
    <x v="6"/>
    <n v="0"/>
    <n v="0"/>
    <n v="0.9999999674486757"/>
    <n v="0.9999999918547845"/>
    <n v="2.4406108800612003E-8"/>
    <n v="71"/>
    <n v="0"/>
    <n v="1"/>
    <n v="0"/>
  </r>
  <r>
    <x v="119"/>
    <x v="7"/>
    <s v="cory-5"/>
    <s v="QB-1"/>
    <n v="23"/>
    <n v="22.16"/>
    <n v="67.897599999999997"/>
    <s v="QB"/>
    <x v="4"/>
    <x v="5"/>
    <n v="109.91"/>
    <n v="349.51409999999998"/>
    <s v="devon-5"/>
    <x v="7"/>
    <n v="93.5"/>
    <n v="346.9006"/>
    <n v="0.73297455800387123"/>
    <n v="0.75429461552387156"/>
    <n v="2.1320057520000324E-2"/>
    <n v="100"/>
    <n v="105"/>
    <n v="0.23924358160430159"/>
    <n v="-0.23924358160430159"/>
  </r>
  <r>
    <x v="114"/>
    <x v="12"/>
    <s v="perry-6"/>
    <s v="QB-1"/>
    <n v="11"/>
    <n v="21.92"/>
    <n v="74.132099999999994"/>
    <s v="QB"/>
    <x v="4"/>
    <x v="7"/>
    <n v="88.72"/>
    <n v="407.6961"/>
    <s v="matty-6"/>
    <x v="3"/>
    <n v="109.91000000000001"/>
    <n v="387.28550000000001"/>
    <n v="0.22616370321424212"/>
    <n v="0.11585535891141167"/>
    <n v="-0.11030834430283044"/>
    <n v="102"/>
    <n v="119"/>
    <n v="0.2400456789232856"/>
    <n v="-0.2400456789232856"/>
  </r>
  <r>
    <x v="128"/>
    <x v="2"/>
    <s v="scott-13"/>
    <s v="QB-1"/>
    <n v="8"/>
    <n v="22.09"/>
    <n v="71.402500000000003"/>
    <s v="QB"/>
    <x v="4"/>
    <x v="9"/>
    <n v="108.61"/>
    <n v="407.25390000000004"/>
    <s v="cory-13"/>
    <x v="4"/>
    <n v="106.87"/>
    <n v="444.05589999999995"/>
    <n v="0.52377705912504058"/>
    <n v="0.32916239751715881"/>
    <n v="-0.19461466160788177"/>
    <n v="66"/>
    <n v="86"/>
    <n v="0.2421484561236904"/>
    <n v="-0.2421484561236904"/>
  </r>
  <r>
    <x v="53"/>
    <x v="1"/>
    <s v="matty-12"/>
    <s v="QB-1"/>
    <n v="16"/>
    <n v="16.75"/>
    <n v="39.0625"/>
    <s v="QB"/>
    <x v="4"/>
    <x v="0"/>
    <n v="94.28"/>
    <n v="371.05129999999997"/>
    <s v="devon-12"/>
    <x v="7"/>
    <n v="99.070000000000007"/>
    <n v="350.10639999999995"/>
    <n v="0.42921643322258324"/>
    <n v="0.41600563212857544"/>
    <n v="-1.3210801094007796E-2"/>
    <n v="75"/>
    <n v="80"/>
    <n v="0.24825223045357048"/>
    <n v="-0.24825223045357048"/>
  </r>
  <r>
    <x v="44"/>
    <x v="2"/>
    <s v="aj-13"/>
    <s v="QB-1"/>
    <n v="17"/>
    <n v="21.69"/>
    <n v="40.322499999999998"/>
    <s v="QB"/>
    <x v="4"/>
    <x v="6"/>
    <n v="116.54"/>
    <n v="371.12040000000002"/>
    <s v="matty-13"/>
    <x v="3"/>
    <n v="88.16"/>
    <n v="330.99250000000001"/>
    <n v="0.85792606530938775"/>
    <n v="0.82144444924573179"/>
    <n v="-3.6481616063655964E-2"/>
    <n v="108"/>
    <n v="117"/>
    <n v="0.24865125845242642"/>
    <n v="-0.24865125845242642"/>
  </r>
  <r>
    <x v="2"/>
    <x v="6"/>
    <s v="matty-11"/>
    <s v="WR/RB"/>
    <n v="7"/>
    <n v="11.15"/>
    <n v="53.144100000000002"/>
    <s v="WR/RB"/>
    <x v="0"/>
    <x v="0"/>
    <n v="88.670000000000016"/>
    <n v="334.39179999999999"/>
    <s v="comp-11"/>
    <x v="8"/>
    <n v="98.580000000000013"/>
    <n v="364.4375"/>
    <n v="0.35387619533584119"/>
    <n v="0.29002279245660456"/>
    <n v="-6.3853402879236631E-2"/>
    <n v="102"/>
    <n v="111"/>
    <n v="0.25293093811834577"/>
    <n v="-0.25293093811834577"/>
  </r>
  <r>
    <x v="226"/>
    <x v="7"/>
    <s v="seth-5"/>
    <s v="D/ST"/>
    <n v="5"/>
    <n v="7.06"/>
    <n v="38.812899999999999"/>
    <s v="D/ST"/>
    <x v="5"/>
    <x v="1"/>
    <n v="98.72999999999999"/>
    <n v="396.28840000000002"/>
    <s v="perry-5"/>
    <x v="10"/>
    <n v="97.27"/>
    <n v="430.39269999999999"/>
    <n v="0.52024917394329329"/>
    <n v="0.49147289800615956"/>
    <n v="-2.8776275937133722E-2"/>
    <n v="90"/>
    <n v="96"/>
    <n v="0.26355500741951088"/>
    <n v="-0.26355500741951088"/>
  </r>
  <r>
    <x v="227"/>
    <x v="3"/>
    <s v="matty-3"/>
    <s v="WR-3"/>
    <n v="8"/>
    <n v="6.93"/>
    <n v="64.9636"/>
    <s v="WR"/>
    <x v="0"/>
    <x v="0"/>
    <n v="116.17999999999999"/>
    <n v="478.31470000000002"/>
    <s v="comp-3"/>
    <x v="8"/>
    <n v="105.02"/>
    <n v="401.60159999999996"/>
    <n v="0.64662385216199125"/>
    <n v="0.66582391278443964"/>
    <n v="1.9200060622448389E-2"/>
    <n v="81"/>
    <n v="85"/>
    <n v="0.26466396889212507"/>
    <n v="-0.26466396889212507"/>
  </r>
  <r>
    <x v="45"/>
    <x v="8"/>
    <s v="devon-9"/>
    <s v="RB-1"/>
    <n v="15"/>
    <n v="17.32"/>
    <n v="88.924899999999994"/>
    <s v="RB"/>
    <x v="2"/>
    <x v="8"/>
    <n v="104.66"/>
    <n v="474.51049999999998"/>
    <s v="cory-9"/>
    <x v="4"/>
    <n v="90.69"/>
    <n v="356.05790000000002"/>
    <n v="0.68606954461640712"/>
    <n v="0.66559716604053376"/>
    <n v="-2.0472378575873362E-2"/>
    <n v="81"/>
    <n v="89"/>
    <n v="0.27347625601813297"/>
    <n v="-0.27347625601813297"/>
  </r>
  <r>
    <x v="161"/>
    <x v="11"/>
    <s v="seth-1"/>
    <s v="WR-2"/>
    <n v="6"/>
    <n v="8.93"/>
    <n v="26.112100000000002"/>
    <s v="WR"/>
    <x v="0"/>
    <x v="1"/>
    <n v="111.07"/>
    <n v="422.00569999999999"/>
    <s v="comp-1"/>
    <x v="8"/>
    <n v="110.7"/>
    <n v="433.44330000000002"/>
    <n v="0.50504664952103229"/>
    <n v="0.46458291152741904"/>
    <n v="-4.0463737993613247E-2"/>
    <n v="71"/>
    <n v="77"/>
    <n v="0.27399233784496979"/>
    <n v="-0.27399233784496979"/>
  </r>
  <r>
    <x v="68"/>
    <x v="1"/>
    <s v="matty-12"/>
    <s v="WR-3"/>
    <n v="4"/>
    <n v="6.74"/>
    <n v="16.080100000000002"/>
    <s v="WR"/>
    <x v="0"/>
    <x v="0"/>
    <n v="94.28"/>
    <n v="371.05129999999997"/>
    <s v="devon-12"/>
    <x v="7"/>
    <n v="99.070000000000007"/>
    <n v="350.10639999999995"/>
    <n v="0.42921643322258324"/>
    <n v="0.38836590289955292"/>
    <n v="-4.0850530323030321E-2"/>
    <n v="75"/>
    <n v="80"/>
    <n v="0.28651624899298406"/>
    <n v="-0.28651624899298406"/>
  </r>
  <r>
    <x v="26"/>
    <x v="4"/>
    <s v="cory-8"/>
    <s v="WR/RB"/>
    <n v="14"/>
    <n v="10.61"/>
    <n v="61.465600000000002"/>
    <s v="WR/RB"/>
    <x v="0"/>
    <x v="5"/>
    <n v="106.3"/>
    <n v="423.11159999999995"/>
    <s v="matty-8"/>
    <x v="3"/>
    <n v="88.500000000000014"/>
    <n v="351.30459999999999"/>
    <n v="0.7387953106518842"/>
    <n v="0.78628560931087166"/>
    <n v="4.7490298658987462E-2"/>
    <n v="106"/>
    <n v="107"/>
    <n v="0.28775711939293569"/>
    <n v="-0.28775711939293569"/>
  </r>
  <r>
    <x v="182"/>
    <x v="10"/>
    <s v="aj-2"/>
    <s v="WR-2"/>
    <n v="3"/>
    <n v="8.89"/>
    <n v="31.36"/>
    <s v="WR"/>
    <x v="0"/>
    <x v="6"/>
    <n v="103.77999999999999"/>
    <n v="338.9511"/>
    <s v="chad-2"/>
    <x v="1"/>
    <n v="102.72000000000001"/>
    <n v="348.54960000000005"/>
    <n v="0.51612356509096413"/>
    <n v="0.4252190006924299"/>
    <n v="-9.0904564398534227E-2"/>
    <n v="90"/>
    <n v="99"/>
    <n v="0.28932520026506037"/>
    <n v="-0.28932520026506037"/>
  </r>
  <r>
    <x v="41"/>
    <x v="8"/>
    <s v="devon-9"/>
    <s v="WR/RB"/>
    <n v="4"/>
    <n v="8.0500000000000007"/>
    <n v="54.908099999999997"/>
    <s v="WR/RB"/>
    <x v="2"/>
    <x v="8"/>
    <n v="104.66"/>
    <n v="474.51049999999998"/>
    <s v="cory-9"/>
    <x v="4"/>
    <n v="90.69"/>
    <n v="356.05790000000002"/>
    <n v="0.68606954461640712"/>
    <n v="0.63914906882637978"/>
    <n v="-4.6920475790027338E-2"/>
    <n v="81"/>
    <n v="89"/>
    <n v="0.29699483718612729"/>
    <n v="-0.29699483718612729"/>
  </r>
  <r>
    <x v="108"/>
    <x v="8"/>
    <s v="aj-9"/>
    <s v="RB-1"/>
    <n v="2"/>
    <n v="16.41"/>
    <n v="74.476900000000001"/>
    <s v="RB"/>
    <x v="2"/>
    <x v="6"/>
    <n v="102.03999999999999"/>
    <n v="392.2131"/>
    <s v="perry-9"/>
    <x v="10"/>
    <n v="98.35"/>
    <n v="385.97739999999999"/>
    <n v="0.5526172882097643"/>
    <n v="0.34306686839206563"/>
    <n v="-0.20955041981769867"/>
    <n v="86"/>
    <n v="105"/>
    <n v="0.29740954723969726"/>
    <n v="-0.29740954723969726"/>
  </r>
  <r>
    <x v="43"/>
    <x v="3"/>
    <s v="matty-3"/>
    <s v="WR/RB"/>
    <n v="11"/>
    <n v="11.54"/>
    <n v="43.0336"/>
    <s v="WR/RB"/>
    <x v="2"/>
    <x v="0"/>
    <n v="116.17999999999999"/>
    <n v="478.31470000000002"/>
    <s v="comp-3"/>
    <x v="8"/>
    <n v="105.02"/>
    <n v="401.60159999999996"/>
    <n v="0.64662385216199125"/>
    <n v="0.64323025697888037"/>
    <n v="-3.3935951831108868E-3"/>
    <n v="81"/>
    <n v="85"/>
    <n v="0.29894437479334524"/>
    <n v="-0.29894437479334524"/>
  </r>
  <r>
    <x v="49"/>
    <x v="9"/>
    <s v="seth-4"/>
    <s v="WR-2"/>
    <n v="2"/>
    <n v="11.04"/>
    <n v="31.922499999999999"/>
    <s v="WR"/>
    <x v="0"/>
    <x v="1"/>
    <n v="104.32"/>
    <n v="390.96559999999999"/>
    <s v="chad-4"/>
    <x v="1"/>
    <n v="99.8"/>
    <n v="351.46400000000006"/>
    <n v="0.56587682676878348"/>
    <n v="0.43267335969685317"/>
    <n v="-0.13320346707193031"/>
    <n v="111"/>
    <n v="123"/>
    <n v="0.30017620182133953"/>
    <n v="-0.30017620182133953"/>
  </r>
  <r>
    <x v="205"/>
    <x v="0"/>
    <s v="jason-10"/>
    <s v="WR-3"/>
    <n v="4"/>
    <n v="7.29"/>
    <n v="29.9209"/>
    <s v="WR"/>
    <x v="0"/>
    <x v="4"/>
    <n v="97.83"/>
    <n v="370.18310000000002"/>
    <e v="#N/A"/>
    <x v="6"/>
    <n v="0"/>
    <n v="0"/>
    <n v="0.99999981587831821"/>
    <n v="0.9999998513696724"/>
    <n v="3.5491354188899038E-8"/>
    <n v="91"/>
    <n v="0"/>
    <n v="1"/>
    <n v="0"/>
  </r>
  <r>
    <x v="77"/>
    <x v="10"/>
    <s v="matty-2"/>
    <s v="RB-1"/>
    <n v="8"/>
    <n v="16.7"/>
    <n v="45.427599999999998"/>
    <s v="RB"/>
    <x v="2"/>
    <x v="0"/>
    <n v="101.3"/>
    <n v="329.14109999999999"/>
    <s v="seth-2"/>
    <x v="0"/>
    <n v="91.78"/>
    <n v="333.71719999999993"/>
    <n v="0.64422145537573039"/>
    <n v="0.51316288198364546"/>
    <n v="-0.13105857339208493"/>
    <n v="70"/>
    <n v="82"/>
    <n v="0.3122034477982818"/>
    <n v="-0.3122034477982818"/>
  </r>
  <r>
    <x v="108"/>
    <x v="2"/>
    <s v="aj-13"/>
    <s v="RB-1"/>
    <n v="9"/>
    <n v="14.26"/>
    <n v="58.522500000000001"/>
    <s v="RB"/>
    <x v="2"/>
    <x v="6"/>
    <n v="116.54"/>
    <n v="371.12040000000002"/>
    <s v="matty-13"/>
    <x v="3"/>
    <n v="88.16"/>
    <n v="330.99250000000001"/>
    <n v="0.85792606530938775"/>
    <n v="0.81894331880228366"/>
    <n v="-3.8982746507104094E-2"/>
    <n v="108"/>
    <n v="117"/>
    <n v="0.31246018122932251"/>
    <n v="-0.31246018122932251"/>
  </r>
  <r>
    <x v="49"/>
    <x v="2"/>
    <s v="aj-13"/>
    <s v="WR-3"/>
    <n v="1"/>
    <n v="7.38"/>
    <n v="28.729600000000001"/>
    <s v="WR"/>
    <x v="0"/>
    <x v="6"/>
    <n v="116.54"/>
    <n v="371.12040000000002"/>
    <s v="matty-13"/>
    <x v="3"/>
    <n v="88.16"/>
    <n v="330.99250000000001"/>
    <n v="0.85792606530938775"/>
    <n v="0.80172428425627307"/>
    <n v="-5.6201781053114686E-2"/>
    <n v="108"/>
    <n v="117"/>
    <n v="0.31248953545905944"/>
    <n v="-0.31248953545905944"/>
  </r>
  <r>
    <x v="78"/>
    <x v="11"/>
    <s v="seth-1"/>
    <s v="RB-2"/>
    <n v="7"/>
    <n v="9.6999999999999993"/>
    <n v="46.5124"/>
    <s v="RB"/>
    <x v="2"/>
    <x v="1"/>
    <n v="111.07"/>
    <n v="422.00569999999999"/>
    <s v="comp-1"/>
    <x v="8"/>
    <n v="110.7"/>
    <n v="433.44330000000002"/>
    <n v="0.50504664952103229"/>
    <n v="0.46735450998912997"/>
    <n v="-3.7692139531902313E-2"/>
    <n v="71"/>
    <n v="77"/>
    <n v="0.31423872279314302"/>
    <n v="-0.31423872279314302"/>
  </r>
  <r>
    <x v="149"/>
    <x v="7"/>
    <s v="cory-5"/>
    <s v="D/ST"/>
    <n v="7"/>
    <n v="9.32"/>
    <n v="32.148899999999998"/>
    <s v="D/ST"/>
    <x v="5"/>
    <x v="5"/>
    <n v="109.91"/>
    <n v="349.51409999999998"/>
    <s v="devon-5"/>
    <x v="7"/>
    <n v="93.5"/>
    <n v="346.9006"/>
    <n v="0.73297455800387123"/>
    <n v="0.70770366869480128"/>
    <n v="-2.5270889309069955E-2"/>
    <n v="100"/>
    <n v="105"/>
    <n v="0.31822676422947704"/>
    <n v="-0.31822676422947704"/>
  </r>
  <r>
    <x v="29"/>
    <x v="8"/>
    <s v="devon-9"/>
    <s v="QB-1"/>
    <n v="17"/>
    <n v="21.45"/>
    <n v="56.700899999999997"/>
    <s v="QB"/>
    <x v="4"/>
    <x v="8"/>
    <n v="104.66"/>
    <n v="474.51049999999998"/>
    <s v="cory-9"/>
    <x v="4"/>
    <n v="90.69"/>
    <n v="356.05790000000002"/>
    <n v="0.68606954461640712"/>
    <n v="0.63390681580619268"/>
    <n v="-5.2162728810214443E-2"/>
    <n v="81"/>
    <n v="89"/>
    <n v="0.31866058574976869"/>
    <n v="-0.31866058574976869"/>
  </r>
  <r>
    <x v="43"/>
    <x v="7"/>
    <s v="matty-5"/>
    <s v="WR/RB"/>
    <n v="9"/>
    <n v="9.76"/>
    <n v="56.100099999999998"/>
    <s v="WR/RB"/>
    <x v="2"/>
    <x v="0"/>
    <n v="99.23"/>
    <n v="364.64739999999995"/>
    <s v="aj-5"/>
    <x v="2"/>
    <n v="117.25999999999999"/>
    <n v="422.9941"/>
    <n v="0.26029431580256523"/>
    <n v="0.24361663729722122"/>
    <n v="-1.6677678505344018E-2"/>
    <n v="106"/>
    <n v="110"/>
    <n v="0.33266113471756381"/>
    <n v="-0.33266113471756381"/>
  </r>
  <r>
    <x v="228"/>
    <x v="7"/>
    <s v="seth-5"/>
    <s v="QB-1"/>
    <n v="13"/>
    <n v="16.45"/>
    <n v="39.564100000000003"/>
    <s v="QB"/>
    <x v="4"/>
    <x v="1"/>
    <n v="98.72999999999999"/>
    <n v="396.28840000000002"/>
    <s v="perry-5"/>
    <x v="10"/>
    <n v="97.27"/>
    <n v="430.39269999999999"/>
    <n v="0.52024917394329329"/>
    <n v="0.47172650792478832"/>
    <n v="-4.8522666018504967E-2"/>
    <n v="90"/>
    <n v="96"/>
    <n v="0.34258976916403794"/>
    <n v="-0.34258976916403794"/>
  </r>
  <r>
    <x v="131"/>
    <x v="0"/>
    <s v="jason-10"/>
    <s v="D/ST"/>
    <n v="3"/>
    <n v="6.94"/>
    <n v="26.112100000000002"/>
    <s v="D/ST"/>
    <x v="5"/>
    <x v="4"/>
    <n v="97.83"/>
    <n v="370.18310000000002"/>
    <e v="#N/A"/>
    <x v="6"/>
    <n v="0"/>
    <n v="0"/>
    <n v="0.99999981587831821"/>
    <n v="0.99999979221879776"/>
    <n v="-2.3659520453911398E-8"/>
    <n v="91"/>
    <n v="0"/>
    <n v="1"/>
    <n v="0"/>
  </r>
  <r>
    <x v="214"/>
    <x v="10"/>
    <s v="aj-2"/>
    <s v="TE-1"/>
    <n v="1"/>
    <n v="8.27"/>
    <n v="24.206399999999999"/>
    <s v="TE"/>
    <x v="3"/>
    <x v="6"/>
    <n v="103.77999999999999"/>
    <n v="338.9511"/>
    <s v="chad-2"/>
    <x v="1"/>
    <n v="102.72000000000001"/>
    <n v="348.54960000000005"/>
    <n v="0.51612356509096413"/>
    <n v="0.40472993034453519"/>
    <n v="-0.11139363474642894"/>
    <n v="90"/>
    <n v="99"/>
    <n v="0.36255937577368114"/>
    <n v="-0.36255937577368114"/>
  </r>
  <r>
    <x v="17"/>
    <x v="11"/>
    <s v="jason-1"/>
    <s v="RB-2"/>
    <n v="8"/>
    <n v="10.06"/>
    <n v="32.832900000000002"/>
    <s v="RB"/>
    <x v="2"/>
    <x v="4"/>
    <n v="101.15"/>
    <n v="350.32479999999998"/>
    <e v="#N/A"/>
    <x v="6"/>
    <n v="0"/>
    <n v="0"/>
    <n v="0.9999999674486757"/>
    <n v="0.99999998659877654"/>
    <n v="1.9150100838416506E-8"/>
    <n v="71"/>
    <n v="0"/>
    <n v="1"/>
    <n v="0"/>
  </r>
  <r>
    <x v="96"/>
    <x v="7"/>
    <s v="matty-5"/>
    <s v="RB-2"/>
    <n v="7"/>
    <n v="9.39"/>
    <n v="25.704899999999999"/>
    <s v="RB"/>
    <x v="2"/>
    <x v="0"/>
    <n v="99.23"/>
    <n v="364.64739999999995"/>
    <s v="aj-5"/>
    <x v="2"/>
    <n v="117.25999999999999"/>
    <n v="422.9941"/>
    <n v="0.26029431580256523"/>
    <n v="0.22971998700580401"/>
    <n v="-3.0574328796761224E-2"/>
    <n v="106"/>
    <n v="110"/>
    <n v="0.3754115446688735"/>
    <n v="-0.3754115446688735"/>
  </r>
  <r>
    <x v="77"/>
    <x v="11"/>
    <s v="matty-1"/>
    <s v="RB-1"/>
    <n v="4"/>
    <n v="19.690000000000001"/>
    <n v="120.7801"/>
    <s v="RB"/>
    <x v="2"/>
    <x v="0"/>
    <n v="96.11"/>
    <n v="397.37959999999998"/>
    <s v="chad-1"/>
    <x v="1"/>
    <n v="101.75"/>
    <n v="333.15260000000001"/>
    <n v="0.41735304190298633"/>
    <n v="0.19384833567936632"/>
    <n v="-0.22350470622362001"/>
    <n v="76"/>
    <n v="95"/>
    <n v="0.38163751677157559"/>
    <n v="-0.38163751677157559"/>
  </r>
  <r>
    <x v="151"/>
    <x v="4"/>
    <s v="scott-8"/>
    <s v="WR-2"/>
    <n v="9"/>
    <n v="10.17"/>
    <n v="41.088099999999997"/>
    <s v="WR"/>
    <x v="0"/>
    <x v="9"/>
    <n v="113.35000000000001"/>
    <n v="416.81729999999993"/>
    <s v="chad-8"/>
    <x v="1"/>
    <n v="94.88"/>
    <n v="320.65749999999997"/>
    <n v="0.75178960468721057"/>
    <n v="0.74395045661311121"/>
    <n v="-7.8391480740993558E-3"/>
    <n v="75"/>
    <n v="78"/>
    <n v="0.38763383856413186"/>
    <n v="-0.38763383856413186"/>
  </r>
  <r>
    <x v="13"/>
    <x v="3"/>
    <s v="matty-3"/>
    <s v="WR-1"/>
    <n v="6"/>
    <n v="8.4600000000000009"/>
    <n v="30.360099999999999"/>
    <s v="WR"/>
    <x v="0"/>
    <x v="0"/>
    <n v="116.17999999999999"/>
    <n v="478.31470000000002"/>
    <s v="comp-3"/>
    <x v="8"/>
    <n v="105.02"/>
    <n v="401.60159999999996"/>
    <n v="0.64662385216199125"/>
    <n v="0.61733366810184775"/>
    <n v="-2.9290184060143498E-2"/>
    <n v="81"/>
    <n v="85"/>
    <n v="0.38993370235170766"/>
    <n v="-0.38993370235170766"/>
  </r>
  <r>
    <x v="196"/>
    <x v="7"/>
    <s v="cory-5"/>
    <s v="K"/>
    <n v="5"/>
    <n v="8.86"/>
    <n v="17.808399999999999"/>
    <s v="K"/>
    <x v="1"/>
    <x v="5"/>
    <n v="109.91"/>
    <n v="349.51409999999998"/>
    <s v="devon-5"/>
    <x v="7"/>
    <n v="93.5"/>
    <n v="346.9006"/>
    <n v="0.73297455800387123"/>
    <n v="0.68501336976188165"/>
    <n v="-4.7961188241989583E-2"/>
    <n v="100"/>
    <n v="105"/>
    <n v="0.39352543647825022"/>
    <n v="-0.39352543647825022"/>
  </r>
  <r>
    <x v="4"/>
    <x v="1"/>
    <s v="matty-12"/>
    <s v="RB-2"/>
    <n v="5"/>
    <n v="8.44"/>
    <n v="34.692100000000003"/>
    <s v="RB"/>
    <x v="2"/>
    <x v="0"/>
    <n v="94.28"/>
    <n v="371.05129999999997"/>
    <s v="devon-12"/>
    <x v="7"/>
    <n v="99.070000000000007"/>
    <n v="350.10639999999995"/>
    <n v="0.42921643322258324"/>
    <n v="0.37671636255283969"/>
    <n v="-5.2500070669743548E-2"/>
    <n v="75"/>
    <n v="80"/>
    <n v="0.39556031785606305"/>
    <n v="-0.39556031785606305"/>
  </r>
  <r>
    <x v="20"/>
    <x v="10"/>
    <s v="aj-2"/>
    <s v="QB-1"/>
    <n v="14"/>
    <n v="21.14"/>
    <n v="49.420900000000003"/>
    <s v="QB"/>
    <x v="4"/>
    <x v="6"/>
    <n v="103.77999999999999"/>
    <n v="338.9511"/>
    <s v="chad-2"/>
    <x v="1"/>
    <n v="102.72000000000001"/>
    <n v="348.54960000000005"/>
    <n v="0.51612356509096413"/>
    <n v="0.40489596934772643"/>
    <n v="-0.11122759574323771"/>
    <n v="90"/>
    <n v="99"/>
    <n v="0.39566637198110421"/>
    <n v="-0.39566637198110421"/>
  </r>
  <r>
    <x v="11"/>
    <x v="2"/>
    <s v="aj-13"/>
    <s v="WR/RB"/>
    <n v="9"/>
    <n v="16.02"/>
    <n v="66.912400000000005"/>
    <s v="WR/RB"/>
    <x v="2"/>
    <x v="6"/>
    <n v="116.54"/>
    <n v="371.12040000000002"/>
    <s v="matty-13"/>
    <x v="3"/>
    <n v="88.16"/>
    <n v="330.99250000000001"/>
    <n v="0.85792606530938775"/>
    <n v="0.80164508662465073"/>
    <n v="-5.6280978684737026E-2"/>
    <n v="108"/>
    <n v="117"/>
    <n v="0.4043692420041462"/>
    <n v="-0.4043692420041462"/>
  </r>
  <r>
    <x v="15"/>
    <x v="11"/>
    <s v="jason-1"/>
    <s v="WR-2"/>
    <n v="7"/>
    <n v="9.8000000000000007"/>
    <n v="25"/>
    <s v="WR"/>
    <x v="0"/>
    <x v="4"/>
    <n v="101.15"/>
    <n v="350.32479999999998"/>
    <e v="#N/A"/>
    <x v="6"/>
    <n v="0"/>
    <n v="0"/>
    <n v="0.9999999674486757"/>
    <n v="0.99999997520194983"/>
    <n v="7.7532741338259825E-9"/>
    <n v="71"/>
    <n v="0"/>
    <n v="1"/>
    <n v="0"/>
  </r>
  <r>
    <x v="33"/>
    <x v="8"/>
    <s v="devon-9"/>
    <s v="WR-1"/>
    <n v="4"/>
    <n v="10.1"/>
    <n v="66.912400000000005"/>
    <s v="WR"/>
    <x v="0"/>
    <x v="8"/>
    <n v="104.66"/>
    <n v="474.51049999999998"/>
    <s v="cory-9"/>
    <x v="4"/>
    <n v="90.69"/>
    <n v="356.05790000000002"/>
    <n v="0.68606954461640712"/>
    <n v="0.61209776251395043"/>
    <n v="-7.3971782102456696E-2"/>
    <n v="81"/>
    <n v="89"/>
    <n v="0.40816266528721157"/>
    <n v="-0.40816266528721157"/>
  </r>
  <r>
    <x v="55"/>
    <x v="7"/>
    <s v="cory-5"/>
    <s v="RB-2"/>
    <n v="8"/>
    <n v="11.81"/>
    <n v="28.8369"/>
    <s v="RB"/>
    <x v="2"/>
    <x v="5"/>
    <n v="109.91"/>
    <n v="349.51409999999998"/>
    <s v="devon-5"/>
    <x v="7"/>
    <n v="93.5"/>
    <n v="346.9006"/>
    <n v="0.73297455800387123"/>
    <n v="0.68710563711691597"/>
    <n v="-4.5868920886955267E-2"/>
    <n v="100"/>
    <n v="105"/>
    <n v="0.41231206133431914"/>
    <n v="-0.41231206133431914"/>
  </r>
  <r>
    <x v="227"/>
    <x v="7"/>
    <s v="matty-5"/>
    <s v="WR-3"/>
    <n v="3"/>
    <n v="6.04"/>
    <n v="23.328900000000001"/>
    <s v="WR"/>
    <x v="0"/>
    <x v="0"/>
    <n v="99.23"/>
    <n v="364.64739999999995"/>
    <s v="aj-5"/>
    <x v="2"/>
    <n v="117.25999999999999"/>
    <n v="422.9941"/>
    <n v="0.26029431580256523"/>
    <n v="0.22299122603068822"/>
    <n v="-3.7303089771877018E-2"/>
    <n v="106"/>
    <n v="110"/>
    <n v="0.42122611810641142"/>
    <n v="-0.42122611810641142"/>
  </r>
  <r>
    <x v="153"/>
    <x v="3"/>
    <s v="matty-3"/>
    <s v="QB-1"/>
    <n v="15"/>
    <n v="17.84"/>
    <n v="52.5625"/>
    <s v="QB"/>
    <x v="4"/>
    <x v="0"/>
    <n v="116.17999999999999"/>
    <n v="478.31470000000002"/>
    <s v="comp-3"/>
    <x v="8"/>
    <n v="105.02"/>
    <n v="401.60159999999996"/>
    <n v="0.64662385216199125"/>
    <n v="0.6138060663707916"/>
    <n v="-3.281778579119965E-2"/>
    <n v="81"/>
    <n v="85"/>
    <n v="0.43644053710856712"/>
    <n v="-0.43644053710856712"/>
  </r>
  <r>
    <x v="115"/>
    <x v="7"/>
    <s v="seth-5"/>
    <s v="WR-1"/>
    <n v="8"/>
    <n v="12.9"/>
    <n v="51.408900000000003"/>
    <s v="WR"/>
    <x v="0"/>
    <x v="1"/>
    <n v="98.72999999999999"/>
    <n v="396.28840000000002"/>
    <s v="perry-5"/>
    <x v="10"/>
    <n v="97.27"/>
    <n v="430.39269999999999"/>
    <n v="0.52024917394329329"/>
    <n v="0.45083707703349774"/>
    <n v="-6.9412096909795551E-2"/>
    <n v="90"/>
    <n v="96"/>
    <n v="0.43903471371249786"/>
    <n v="-0.43903471371249786"/>
  </r>
  <r>
    <x v="142"/>
    <x v="11"/>
    <s v="jason-1"/>
    <s v="WR-1"/>
    <n v="6"/>
    <n v="9.2799999999999994"/>
    <n v="22.278400000000001"/>
    <s v="WR"/>
    <x v="0"/>
    <x v="4"/>
    <n v="101.15"/>
    <n v="350.32479999999998"/>
    <e v="#N/A"/>
    <x v="6"/>
    <n v="0"/>
    <n v="0"/>
    <n v="0.9999999674486757"/>
    <n v="0.99999996733892615"/>
    <n v="-1.0974954278708537E-10"/>
    <n v="71"/>
    <n v="0"/>
    <n v="1"/>
    <n v="0"/>
  </r>
  <r>
    <x v="137"/>
    <x v="4"/>
    <s v="cory-8"/>
    <s v="RB-2"/>
    <n v="10"/>
    <n v="9.9700000000000006"/>
    <n v="50.552100000000003"/>
    <s v="RB"/>
    <x v="2"/>
    <x v="5"/>
    <n v="106.3"/>
    <n v="423.11159999999995"/>
    <s v="matty-8"/>
    <x v="3"/>
    <n v="88.500000000000014"/>
    <n v="351.30459999999999"/>
    <n v="0.7387953106518842"/>
    <n v="0.74624150590958549"/>
    <n v="7.4461952577012935E-3"/>
    <n v="106"/>
    <n v="107"/>
    <n v="0.44240818350129996"/>
    <n v="-0.44240818350129996"/>
  </r>
  <r>
    <x v="102"/>
    <x v="7"/>
    <s v="seth-5"/>
    <s v="TE-1"/>
    <n v="2"/>
    <n v="7.46"/>
    <n v="24.700900000000001"/>
    <s v="TE"/>
    <x v="3"/>
    <x v="1"/>
    <n v="98.72999999999999"/>
    <n v="396.28840000000002"/>
    <s v="perry-5"/>
    <x v="10"/>
    <n v="97.27"/>
    <n v="430.39269999999999"/>
    <n v="0.52024917394329329"/>
    <n v="0.44383754550804855"/>
    <n v="-7.6411628435244738E-2"/>
    <n v="90"/>
    <n v="96"/>
    <n v="0.45673929252103468"/>
    <n v="-0.45673929252103468"/>
  </r>
  <r>
    <x v="82"/>
    <x v="0"/>
    <s v="jason-10"/>
    <s v="TE-1"/>
    <n v="7"/>
    <n v="12.41"/>
    <n v="55.800899999999999"/>
    <s v="TE"/>
    <x v="3"/>
    <x v="4"/>
    <n v="97.83"/>
    <n v="370.18310000000002"/>
    <e v="#N/A"/>
    <x v="6"/>
    <n v="0"/>
    <n v="0"/>
    <n v="0.99999981587831821"/>
    <n v="0.99999990678896833"/>
    <n v="9.0910650119013781E-8"/>
    <n v="91"/>
    <n v="0"/>
    <n v="1"/>
    <n v="0"/>
  </r>
  <r>
    <x v="160"/>
    <x v="11"/>
    <s v="seth-1"/>
    <s v="WR/RB"/>
    <n v="3"/>
    <n v="8.58"/>
    <n v="30.1401"/>
    <s v="WR/RB"/>
    <x v="2"/>
    <x v="1"/>
    <n v="111.07"/>
    <n v="422.00569999999999"/>
    <s v="comp-1"/>
    <x v="8"/>
    <n v="110.7"/>
    <n v="433.44330000000002"/>
    <n v="0.50504664952103229"/>
    <n v="0.4280444811899865"/>
    <n v="-7.7002168331045784E-2"/>
    <n v="71"/>
    <n v="77"/>
    <n v="0.46950957016712375"/>
    <n v="-0.46950957016712375"/>
  </r>
  <r>
    <x v="53"/>
    <x v="6"/>
    <s v="matty-11"/>
    <s v="QB-1"/>
    <n v="13"/>
    <n v="21.37"/>
    <n v="74.132099999999994"/>
    <s v="QB"/>
    <x v="4"/>
    <x v="0"/>
    <n v="88.670000000000016"/>
    <n v="334.39179999999999"/>
    <s v="comp-11"/>
    <x v="8"/>
    <n v="98.580000000000013"/>
    <n v="364.4375"/>
    <n v="0.35387619533584119"/>
    <n v="0.23227439684550572"/>
    <n v="-0.12160179849033548"/>
    <n v="102"/>
    <n v="111"/>
    <n v="0.47083512832620306"/>
    <n v="-0.47083512832620306"/>
  </r>
  <r>
    <x v="27"/>
    <x v="4"/>
    <s v="cory-8"/>
    <s v="TE-1"/>
    <n v="9"/>
    <n v="9.6999999999999993"/>
    <n v="43.0336"/>
    <s v="TE"/>
    <x v="3"/>
    <x v="5"/>
    <n v="106.3"/>
    <n v="423.11159999999995"/>
    <s v="matty-8"/>
    <x v="3"/>
    <n v="88.500000000000014"/>
    <n v="351.30459999999999"/>
    <n v="0.7387953106518842"/>
    <n v="0.73640486144886497"/>
    <n v="-2.3904492030192293E-3"/>
    <n v="106"/>
    <n v="107"/>
    <n v="0.48176204572739695"/>
    <n v="-0.48176204572739695"/>
  </r>
  <r>
    <x v="101"/>
    <x v="2"/>
    <s v="comp-13"/>
    <s v="QB-1"/>
    <n v="6"/>
    <n v="19.899999999999999"/>
    <n v="45.5625"/>
    <s v="QB"/>
    <x v="4"/>
    <x v="2"/>
    <n v="104.63999999999999"/>
    <n v="400.33339999999998"/>
    <s v="chad-13"/>
    <x v="1"/>
    <n v="113.35"/>
    <n v="486.24799999999993"/>
    <n v="0.3849436901786526"/>
    <n v="0.2177995147001599"/>
    <n v="-0.1671441754784927"/>
    <n v="81"/>
    <n v="95"/>
    <n v="0.49408996018285695"/>
    <n v="-0.49408996018285695"/>
  </r>
  <r>
    <x v="150"/>
    <x v="4"/>
    <s v="scott-8"/>
    <s v="WR/RB"/>
    <n v="11"/>
    <n v="13.89"/>
    <n v="58.064399999999999"/>
    <s v="WR/RB"/>
    <x v="2"/>
    <x v="9"/>
    <n v="113.35000000000001"/>
    <n v="416.81729999999993"/>
    <s v="chad-8"/>
    <x v="1"/>
    <n v="94.88"/>
    <n v="320.65749999999997"/>
    <n v="0.75178960468721057"/>
    <n v="0.72498825055309457"/>
    <n v="-2.6801354134115996E-2"/>
    <n v="75"/>
    <n v="78"/>
    <n v="0.49424119071593914"/>
    <n v="-0.49424119071593914"/>
  </r>
  <r>
    <x v="11"/>
    <x v="3"/>
    <s v="matty-3"/>
    <s v="RB-2"/>
    <n v="13"/>
    <n v="16.89"/>
    <n v="65.934399999999997"/>
    <s v="RB"/>
    <x v="2"/>
    <x v="0"/>
    <n v="116.17999999999999"/>
    <n v="478.31470000000002"/>
    <s v="comp-3"/>
    <x v="8"/>
    <n v="105.02"/>
    <n v="401.60159999999996"/>
    <n v="0.64662385216199125"/>
    <n v="0.60056746924602034"/>
    <n v="-4.6056382915970917E-2"/>
    <n v="81"/>
    <n v="85"/>
    <n v="0.49459577479585171"/>
    <n v="-0.49459577479585171"/>
  </r>
  <r>
    <x v="126"/>
    <x v="5"/>
    <s v="chad-7"/>
    <s v="QB-1"/>
    <n v="8"/>
    <n v="21.04"/>
    <n v="70.8964"/>
    <s v="QB"/>
    <x v="4"/>
    <x v="3"/>
    <n v="99.759999999999991"/>
    <n v="339.923"/>
    <s v="perry-7"/>
    <x v="10"/>
    <n v="103.81000000000002"/>
    <n v="404.20889999999997"/>
    <n v="0.44098709635876499"/>
    <n v="0.25505839253295925"/>
    <n v="-0.18592870382580573"/>
    <n v="102"/>
    <n v="115"/>
    <n v="0.50189520560495104"/>
    <n v="-0.50189520560495104"/>
  </r>
  <r>
    <x v="9"/>
    <x v="5"/>
    <s v="comp-7"/>
    <s v="WR-1"/>
    <n v="12"/>
    <n v="14.11"/>
    <n v="47.472099999999998"/>
    <s v="WR"/>
    <x v="0"/>
    <x v="2"/>
    <n v="94.610000000000014"/>
    <n v="333.25760000000002"/>
    <s v="lucas-7"/>
    <x v="9"/>
    <n v="0"/>
    <n v="0"/>
    <n v="0.99999989058825289"/>
    <n v="0.99999997771203886"/>
    <n v="8.7123785963427736E-8"/>
    <n v="73"/>
    <n v="0"/>
    <n v="1"/>
    <n v="0"/>
  </r>
  <r>
    <x v="2"/>
    <x v="1"/>
    <s v="matty-12"/>
    <s v="WR/RB"/>
    <n v="5"/>
    <n v="10.17"/>
    <n v="51.552399999999999"/>
    <s v="WR/RB"/>
    <x v="0"/>
    <x v="0"/>
    <n v="94.28"/>
    <n v="371.05129999999997"/>
    <s v="devon-12"/>
    <x v="7"/>
    <n v="99.070000000000007"/>
    <n v="350.10639999999995"/>
    <n v="0.42921643322258324"/>
    <n v="0.35015510086852975"/>
    <n v="-7.9061332354053493E-2"/>
    <n v="75"/>
    <n v="80"/>
    <n v="0.50944482612747066"/>
    <n v="-0.50944482612747066"/>
  </r>
  <r>
    <x v="18"/>
    <x v="1"/>
    <s v="matty-12"/>
    <s v="TE-1"/>
    <n v="0"/>
    <n v="5.1100000000000003"/>
    <n v="12.3904"/>
    <s v="TE"/>
    <x v="3"/>
    <x v="0"/>
    <n v="94.28"/>
    <n v="371.05129999999997"/>
    <s v="devon-12"/>
    <x v="7"/>
    <n v="99.070000000000007"/>
    <n v="350.10639999999995"/>
    <n v="0.42921643322258324"/>
    <n v="0.3549973030147684"/>
    <n v="-7.4219130207814843E-2"/>
    <n v="75"/>
    <n v="80"/>
    <n v="0.51246491743437717"/>
    <n v="-0.51246491743437717"/>
  </r>
  <r>
    <x v="49"/>
    <x v="11"/>
    <s v="seth-1"/>
    <s v="WR-3"/>
    <n v="2"/>
    <n v="8.26"/>
    <n v="32.376100000000001"/>
    <s v="WR"/>
    <x v="0"/>
    <x v="1"/>
    <n v="111.07"/>
    <n v="422.00569999999999"/>
    <s v="comp-1"/>
    <x v="8"/>
    <n v="110.7"/>
    <n v="433.44330000000002"/>
    <n v="0.50504664952103229"/>
    <n v="0.41866754358541519"/>
    <n v="-8.6379105935617095E-2"/>
    <n v="71"/>
    <n v="77"/>
    <n v="0.51822300678407673"/>
    <n v="-0.51822300678407673"/>
  </r>
  <r>
    <x v="175"/>
    <x v="4"/>
    <s v="scott-8"/>
    <s v="K"/>
    <n v="3"/>
    <n v="6.19"/>
    <n v="13.1769"/>
    <s v="K"/>
    <x v="1"/>
    <x v="9"/>
    <n v="113.35000000000001"/>
    <n v="416.81729999999993"/>
    <s v="chad-8"/>
    <x v="1"/>
    <n v="94.88"/>
    <n v="320.65749999999997"/>
    <n v="0.75178960468721057"/>
    <n v="0.71490100533144751"/>
    <n v="-3.6888599355763052E-2"/>
    <n v="75"/>
    <n v="78"/>
    <n v="0.520871745761597"/>
    <n v="-0.520871745761597"/>
  </r>
  <r>
    <x v="185"/>
    <x v="3"/>
    <s v="matty-3"/>
    <s v="K"/>
    <n v="4"/>
    <n v="8.2200000000000006"/>
    <n v="13.9876"/>
    <s v="K"/>
    <x v="1"/>
    <x v="0"/>
    <n v="116.17999999999999"/>
    <n v="478.31470000000002"/>
    <s v="comp-3"/>
    <x v="8"/>
    <n v="105.02"/>
    <n v="401.60159999999996"/>
    <n v="0.64662385216199125"/>
    <n v="0.59322178350072197"/>
    <n v="-5.3402068661269286E-2"/>
    <n v="81"/>
    <n v="85"/>
    <n v="0.52345366642628011"/>
    <n v="-0.52345366642628011"/>
  </r>
  <r>
    <x v="85"/>
    <x v="5"/>
    <s v="comp-7"/>
    <s v="D/ST"/>
    <n v="5"/>
    <n v="7.46"/>
    <n v="51.984099999999998"/>
    <s v="D/ST"/>
    <x v="5"/>
    <x v="2"/>
    <n v="94.610000000000014"/>
    <n v="333.25760000000002"/>
    <s v="lucas-7"/>
    <x v="9"/>
    <n v="0"/>
    <n v="0"/>
    <n v="0.99999989058825289"/>
    <n v="0.99999998041291982"/>
    <n v="8.9824666926752172E-8"/>
    <n v="73"/>
    <n v="0"/>
    <n v="1"/>
    <n v="0"/>
  </r>
  <r>
    <x v="77"/>
    <x v="3"/>
    <s v="matty-3"/>
    <s v="RB-1"/>
    <n v="15"/>
    <n v="19.739999999999998"/>
    <n v="94.867599999999996"/>
    <s v="RB"/>
    <x v="2"/>
    <x v="0"/>
    <n v="116.17999999999999"/>
    <n v="478.31470000000002"/>
    <s v="comp-3"/>
    <x v="8"/>
    <n v="105.02"/>
    <n v="401.60159999999996"/>
    <n v="0.64662385216199125"/>
    <n v="0.59061704020394612"/>
    <n v="-5.6006811958045133E-2"/>
    <n v="81"/>
    <n v="85"/>
    <n v="0.53028064903981409"/>
    <n v="-0.53028064903981409"/>
  </r>
  <r>
    <x v="118"/>
    <x v="5"/>
    <s v="comp-7"/>
    <s v="WR-2"/>
    <n v="2"/>
    <n v="4.45"/>
    <n v="16"/>
    <s v="WR"/>
    <x v="0"/>
    <x v="2"/>
    <n v="94.610000000000014"/>
    <n v="333.25760000000002"/>
    <s v="lucas-7"/>
    <x v="9"/>
    <n v="0"/>
    <n v="0"/>
    <n v="0.99999989058825289"/>
    <n v="0.99999988550583563"/>
    <n v="-5.0824172648233912E-9"/>
    <n v="73"/>
    <n v="0"/>
    <n v="1"/>
    <n v="0"/>
  </r>
  <r>
    <x v="69"/>
    <x v="1"/>
    <s v="chad-12"/>
    <s v="WR-3"/>
    <n v="6"/>
    <n v="9.66"/>
    <n v="33.988900000000001"/>
    <s v="WR"/>
    <x v="0"/>
    <x v="3"/>
    <n v="115.8"/>
    <n v="455.64659999999998"/>
    <s v="seth-12"/>
    <x v="0"/>
    <n v="102.15"/>
    <n v="468.55759999999998"/>
    <n v="0.6732850448184311"/>
    <n v="0.63112147398491847"/>
    <n v="-4.2163570833512631E-2"/>
    <n v="92"/>
    <n v="95"/>
    <n v="0.54506699382019164"/>
    <n v="-0.54506699382019164"/>
  </r>
  <r>
    <x v="76"/>
    <x v="7"/>
    <s v="matty-5"/>
    <s v="D/ST"/>
    <n v="2"/>
    <n v="6.72"/>
    <n v="33.524099999999997"/>
    <s v="D/ST"/>
    <x v="5"/>
    <x v="0"/>
    <n v="99.23"/>
    <n v="364.64739999999995"/>
    <s v="aj-5"/>
    <x v="2"/>
    <n v="117.25999999999999"/>
    <n v="422.9941"/>
    <n v="0.26029431580256523"/>
    <n v="0.20371021618237517"/>
    <n v="-5.6584099620190065E-2"/>
    <n v="106"/>
    <n v="110"/>
    <n v="0.54948184291112068"/>
    <n v="-0.54948184291112068"/>
  </r>
  <r>
    <x v="229"/>
    <x v="7"/>
    <s v="cory-5"/>
    <s v="WR-3"/>
    <n v="2"/>
    <n v="7.64"/>
    <n v="24.502500000000001"/>
    <s v="WR"/>
    <x v="0"/>
    <x v="5"/>
    <n v="109.91"/>
    <n v="349.51409999999998"/>
    <s v="devon-5"/>
    <x v="7"/>
    <n v="93.5"/>
    <n v="346.9006"/>
    <n v="0.73297455800387123"/>
    <n v="0.6611079852941697"/>
    <n v="-7.1866572709701537E-2"/>
    <n v="100"/>
    <n v="105"/>
    <n v="0.55143706695904238"/>
    <n v="-0.55143706695904238"/>
  </r>
  <r>
    <x v="60"/>
    <x v="0"/>
    <s v="seth-10"/>
    <s v="WR/RB"/>
    <n v="5"/>
    <n v="9.8800000000000008"/>
    <n v="43.164900000000003"/>
    <s v="WR/RB"/>
    <x v="2"/>
    <x v="1"/>
    <n v="104.52999999999999"/>
    <n v="446.11959999999999"/>
    <s v="matty-10"/>
    <x v="3"/>
    <n v="80.72"/>
    <n v="274.11410000000001"/>
    <n v="0.81251501229102341"/>
    <n v="0.76654076578241848"/>
    <n v="-4.5974246508604932E-2"/>
    <n v="80"/>
    <n v="84"/>
    <n v="0.55327584464048263"/>
    <n v="-0.55327584464048263"/>
  </r>
  <r>
    <x v="174"/>
    <x v="4"/>
    <s v="scott-8"/>
    <s v="WR-1"/>
    <n v="6"/>
    <n v="9.9600000000000009"/>
    <n v="38.316099999999999"/>
    <s v="WR"/>
    <x v="0"/>
    <x v="9"/>
    <n v="113.35000000000001"/>
    <n v="416.81729999999993"/>
    <s v="chad-8"/>
    <x v="1"/>
    <n v="94.88"/>
    <n v="320.65749999999997"/>
    <n v="0.75178960468721057"/>
    <n v="0.70841365254018973"/>
    <n v="-4.3375952147020835E-2"/>
    <n v="75"/>
    <n v="78"/>
    <n v="0.56162436505760427"/>
    <n v="-0.56162436505760427"/>
  </r>
  <r>
    <x v="57"/>
    <x v="1"/>
    <s v="matty-12"/>
    <s v="D/ST"/>
    <n v="3"/>
    <n v="9.08"/>
    <n v="29.593599999999999"/>
    <s v="D/ST"/>
    <x v="5"/>
    <x v="0"/>
    <n v="94.28"/>
    <n v="371.05129999999997"/>
    <s v="devon-12"/>
    <x v="7"/>
    <n v="99.070000000000007"/>
    <n v="350.10639999999995"/>
    <n v="0.42921643322258324"/>
    <n v="0.33967671084366535"/>
    <n v="-8.9539722378917885E-2"/>
    <n v="75"/>
    <n v="80"/>
    <n v="0.57868456228481713"/>
    <n v="-0.57868456228481713"/>
  </r>
  <r>
    <x v="117"/>
    <x v="5"/>
    <s v="comp-7"/>
    <s v="WR/RB"/>
    <n v="6"/>
    <n v="9.32"/>
    <n v="39.438400000000001"/>
    <s v="WR/RB"/>
    <x v="2"/>
    <x v="2"/>
    <n v="94.610000000000014"/>
    <n v="333.25760000000002"/>
    <s v="lucas-7"/>
    <x v="9"/>
    <n v="0"/>
    <n v="0"/>
    <n v="0.99999989058825289"/>
    <n v="0.99999994973928774"/>
    <n v="5.9151034847992889E-8"/>
    <n v="73"/>
    <n v="0"/>
    <n v="1"/>
    <n v="0"/>
  </r>
  <r>
    <x v="19"/>
    <x v="5"/>
    <s v="comp-7"/>
    <s v="RB-1"/>
    <n v="6"/>
    <n v="8.98"/>
    <n v="17.977599999999999"/>
    <s v="RB"/>
    <x v="2"/>
    <x v="2"/>
    <n v="94.610000000000014"/>
    <n v="333.25760000000002"/>
    <s v="lucas-7"/>
    <x v="9"/>
    <n v="0"/>
    <n v="0"/>
    <n v="0.99999989058825289"/>
    <n v="0.99999987683638636"/>
    <n v="-1.3751866534406076E-8"/>
    <n v="73"/>
    <n v="0"/>
    <n v="1"/>
    <n v="0"/>
  </r>
  <r>
    <x v="119"/>
    <x v="12"/>
    <s v="cory-6"/>
    <s v="QB-1"/>
    <n v="0"/>
    <n v="21.28"/>
    <n v="89.870400000000004"/>
    <s v="QB"/>
    <x v="4"/>
    <x v="5"/>
    <n v="102.10000000000001"/>
    <n v="445.16630000000004"/>
    <s v="aj-6"/>
    <x v="2"/>
    <n v="108.8"/>
    <n v="404.29040000000003"/>
    <n v="0.40909189376360988"/>
    <n v="0.15500105057746541"/>
    <n v="-0.2540908431861445"/>
    <n v="85"/>
    <n v="104"/>
    <n v="0.5950311213424182"/>
    <n v="-0.5950311213424182"/>
  </r>
  <r>
    <x v="128"/>
    <x v="4"/>
    <s v="scott-8"/>
    <s v="QB-1"/>
    <n v="17"/>
    <n v="21.76"/>
    <n v="48.163600000000002"/>
    <s v="QB"/>
    <x v="4"/>
    <x v="9"/>
    <n v="113.35000000000001"/>
    <n v="416.81729999999993"/>
    <s v="chad-8"/>
    <x v="1"/>
    <n v="94.88"/>
    <n v="320.65749999999997"/>
    <n v="0.75178960468721057"/>
    <n v="0.69923149358021486"/>
    <n v="-5.2558111106995709E-2"/>
    <n v="75"/>
    <n v="78"/>
    <n v="0.60009859233013896"/>
    <n v="-0.60009859233013896"/>
  </r>
  <r>
    <x v="161"/>
    <x v="3"/>
    <s v="seth-3"/>
    <s v="WR-1"/>
    <n v="1"/>
    <n v="10.63"/>
    <n v="36.602499999999999"/>
    <s v="WR"/>
    <x v="0"/>
    <x v="1"/>
    <n v="94.54"/>
    <n v="356.43470000000002"/>
    <s v="aj-3"/>
    <x v="2"/>
    <n v="107.31"/>
    <n v="425.77620000000002"/>
    <n v="0.3239819129085153"/>
    <n v="0.20601183622479452"/>
    <n v="-0.11797007668372078"/>
    <n v="88"/>
    <n v="96"/>
    <n v="0.60619732371186763"/>
    <n v="-0.60619732371186763"/>
  </r>
  <r>
    <x v="16"/>
    <x v="8"/>
    <s v="devon-9"/>
    <s v="RB-2"/>
    <n v="0"/>
    <n v="10.220000000000001"/>
    <n v="60.84"/>
    <s v="RB"/>
    <x v="2"/>
    <x v="8"/>
    <n v="104.66"/>
    <n v="474.51049999999998"/>
    <s v="cory-9"/>
    <x v="4"/>
    <n v="90.69"/>
    <n v="356.05790000000002"/>
    <n v="0.68606954461640712"/>
    <n v="0.55375907684685521"/>
    <n v="-0.13231046776955191"/>
    <n v="81"/>
    <n v="89"/>
    <n v="0.61203058833865853"/>
    <n v="-0.61203058833865853"/>
  </r>
  <r>
    <x v="26"/>
    <x v="7"/>
    <s v="cory-5"/>
    <s v="WR-1"/>
    <n v="3"/>
    <n v="9.2899999999999991"/>
    <n v="19.7136"/>
    <s v="WR"/>
    <x v="0"/>
    <x v="5"/>
    <n v="109.91"/>
    <n v="349.51409999999998"/>
    <s v="devon-5"/>
    <x v="7"/>
    <n v="93.5"/>
    <n v="346.9006"/>
    <n v="0.73297455800387123"/>
    <n v="0.6513726843206703"/>
    <n v="-8.1601873683200932E-2"/>
    <n v="100"/>
    <n v="105"/>
    <n v="0.61429862961657045"/>
    <n v="-0.61429862961657045"/>
  </r>
  <r>
    <x v="213"/>
    <x v="11"/>
    <s v="jason-1"/>
    <s v="WR/RB"/>
    <n v="1"/>
    <n v="6.84"/>
    <n v="39.0625"/>
    <s v="WR/RB"/>
    <x v="2"/>
    <x v="4"/>
    <n v="101.15"/>
    <n v="350.32479999999998"/>
    <e v="#N/A"/>
    <x v="6"/>
    <n v="0"/>
    <n v="0"/>
    <n v="0.9999999674486757"/>
    <n v="0.99999996709613936"/>
    <n v="-3.5253633345888602E-10"/>
    <n v="71"/>
    <n v="0"/>
    <n v="1"/>
    <n v="0"/>
  </r>
  <r>
    <x v="177"/>
    <x v="9"/>
    <s v="perry-4"/>
    <s v="RB-1"/>
    <n v="2"/>
    <n v="16.670000000000002"/>
    <n v="77.44"/>
    <s v="RB"/>
    <x v="2"/>
    <x v="7"/>
    <n v="111.07000000000001"/>
    <n v="406.62959999999998"/>
    <s v="devon-4"/>
    <x v="7"/>
    <n v="99.78"/>
    <n v="369.21209999999996"/>
    <n v="0.65738205274668193"/>
    <n v="0.44911481158892358"/>
    <n v="-0.20826724115775835"/>
    <n v="72"/>
    <n v="84"/>
    <n v="0.61921094076587058"/>
    <n v="-0.61921094076587058"/>
  </r>
  <r>
    <x v="92"/>
    <x v="11"/>
    <s v="seth-1"/>
    <s v="QB-1"/>
    <n v="10"/>
    <n v="18.16"/>
    <n v="49"/>
    <s v="QB"/>
    <x v="4"/>
    <x v="1"/>
    <n v="111.07"/>
    <n v="422.00569999999999"/>
    <s v="comp-1"/>
    <x v="8"/>
    <n v="110.7"/>
    <n v="433.44330000000002"/>
    <n v="0.50504664952103229"/>
    <n v="0.39192141312891937"/>
    <n v="-0.11312523639211292"/>
    <n v="71"/>
    <n v="77"/>
    <n v="0.62117622120660765"/>
    <n v="-0.62117622120660765"/>
  </r>
  <r>
    <x v="111"/>
    <x v="0"/>
    <s v="jason-10"/>
    <s v="QB-1"/>
    <n v="13"/>
    <n v="21.84"/>
    <n v="76.038399999999996"/>
    <s v="QB"/>
    <x v="4"/>
    <x v="4"/>
    <n v="97.83"/>
    <n v="370.18310000000002"/>
    <e v="#N/A"/>
    <x v="6"/>
    <n v="0"/>
    <n v="0"/>
    <n v="0.99999981587831821"/>
    <n v="0.99999989413085799"/>
    <n v="7.825253978133162E-8"/>
    <n v="91"/>
    <n v="0"/>
    <n v="1"/>
    <n v="0"/>
  </r>
  <r>
    <x v="115"/>
    <x v="0"/>
    <s v="seth-10"/>
    <s v="WR-1"/>
    <n v="2"/>
    <n v="7.82"/>
    <n v="29.702500000000001"/>
    <s v="WR"/>
    <x v="0"/>
    <x v="1"/>
    <n v="104.52999999999999"/>
    <n v="446.11959999999999"/>
    <s v="matty-10"/>
    <x v="3"/>
    <n v="80.72"/>
    <n v="274.11410000000001"/>
    <n v="0.81251501229102341"/>
    <n v="0.75320311772404125"/>
    <n v="-5.931189456698216E-2"/>
    <n v="80"/>
    <n v="84"/>
    <n v="0.63078945170664236"/>
    <n v="-0.63078945170664236"/>
  </r>
  <r>
    <x v="190"/>
    <x v="5"/>
    <s v="seth-7"/>
    <s v="WR-3"/>
    <n v="0"/>
    <n v="5.72"/>
    <n v="22.184100000000001"/>
    <s v="WR"/>
    <x v="0"/>
    <x v="1"/>
    <n v="96.25"/>
    <n v="294.3"/>
    <s v="cory-7"/>
    <x v="4"/>
    <n v="86.09"/>
    <n v="350.80079999999998"/>
    <n v="0.65542850055780277"/>
    <n v="0.57059796338349911"/>
    <n v="-8.4830537174303666E-2"/>
    <n v="81"/>
    <n v="85"/>
    <n v="0.64251165102349472"/>
    <n v="-0.64251165102349472"/>
  </r>
  <r>
    <x v="1"/>
    <x v="0"/>
    <s v="seth-10"/>
    <s v="WR-2"/>
    <n v="2"/>
    <n v="7.94"/>
    <n v="28.09"/>
    <s v="WR"/>
    <x v="0"/>
    <x v="1"/>
    <n v="104.52999999999999"/>
    <n v="446.11959999999999"/>
    <s v="matty-10"/>
    <x v="3"/>
    <n v="80.72"/>
    <n v="274.11410000000001"/>
    <n v="0.81251501229102341"/>
    <n v="0.75150866429453089"/>
    <n v="-6.1006347996492516E-2"/>
    <n v="80"/>
    <n v="84"/>
    <n v="0.64283154125332087"/>
    <n v="-0.64283154125332087"/>
  </r>
  <r>
    <x v="101"/>
    <x v="5"/>
    <s v="comp-7"/>
    <s v="QB-1"/>
    <n v="16"/>
    <n v="21.12"/>
    <n v="63.520899999999997"/>
    <s v="QB"/>
    <x v="4"/>
    <x v="2"/>
    <n v="94.610000000000014"/>
    <n v="333.25760000000002"/>
    <s v="lucas-7"/>
    <x v="9"/>
    <n v="0"/>
    <n v="0"/>
    <n v="0.99999989058825289"/>
    <n v="0.99999997465107548"/>
    <n v="8.4062822591768338E-8"/>
    <n v="73"/>
    <n v="0"/>
    <n v="1"/>
    <n v="0"/>
  </r>
  <r>
    <x v="83"/>
    <x v="0"/>
    <s v="jason-10"/>
    <s v="RB-2"/>
    <n v="1"/>
    <n v="10.08"/>
    <n v="60.528399999999998"/>
    <s v="RB"/>
    <x v="2"/>
    <x v="4"/>
    <n v="97.83"/>
    <n v="370.18310000000002"/>
    <e v="#N/A"/>
    <x v="6"/>
    <n v="0"/>
    <n v="0"/>
    <n v="0.99999981587831821"/>
    <n v="0.99999977141889895"/>
    <n v="-4.4459419257236732E-8"/>
    <n v="91"/>
    <n v="0"/>
    <n v="1"/>
    <n v="0"/>
  </r>
  <r>
    <x v="169"/>
    <x v="3"/>
    <s v="matty-3"/>
    <s v="TE-1"/>
    <n v="1"/>
    <n v="6.84"/>
    <n v="21.16"/>
    <s v="TE"/>
    <x v="3"/>
    <x v="0"/>
    <n v="116.17999999999999"/>
    <n v="478.31470000000002"/>
    <s v="comp-3"/>
    <x v="8"/>
    <n v="105.02"/>
    <n v="401.60159999999996"/>
    <n v="0.64662385216199125"/>
    <n v="0.572028841164129"/>
    <n v="-7.4595010997862254E-2"/>
    <n v="81"/>
    <n v="85"/>
    <n v="0.65542174161032429"/>
    <n v="-0.65542174161032429"/>
  </r>
  <r>
    <x v="31"/>
    <x v="1"/>
    <s v="chad-12"/>
    <s v="RB-1"/>
    <n v="12"/>
    <n v="18.579999999999998"/>
    <n v="74.649600000000007"/>
    <s v="RB"/>
    <x v="2"/>
    <x v="3"/>
    <n v="115.8"/>
    <n v="455.64659999999998"/>
    <s v="seth-12"/>
    <x v="0"/>
    <n v="102.15"/>
    <n v="468.55759999999998"/>
    <n v="0.6732850448184311"/>
    <n v="0.5958278557179737"/>
    <n v="-7.7457189100457402E-2"/>
    <n v="92"/>
    <n v="95"/>
    <n v="0.66069177750065666"/>
    <n v="-0.66069177750065666"/>
  </r>
  <r>
    <x v="106"/>
    <x v="11"/>
    <s v="jason-1"/>
    <s v="QB-1"/>
    <n v="12"/>
    <n v="18.68"/>
    <n v="39.564100000000003"/>
    <s v="QB"/>
    <x v="4"/>
    <x v="4"/>
    <n v="101.15"/>
    <n v="350.32479999999998"/>
    <e v="#N/A"/>
    <x v="6"/>
    <n v="0"/>
    <n v="0"/>
    <n v="0.9999999674486757"/>
    <n v="0.99999995814982146"/>
    <n v="-9.2988542421679199E-9"/>
    <n v="71"/>
    <n v="0"/>
    <n v="1"/>
    <n v="0"/>
  </r>
  <r>
    <x v="157"/>
    <x v="4"/>
    <s v="scott-8"/>
    <s v="TE-1"/>
    <n v="1"/>
    <n v="5.94"/>
    <n v="20.25"/>
    <s v="TE"/>
    <x v="3"/>
    <x v="9"/>
    <n v="113.35000000000001"/>
    <n v="416.81729999999993"/>
    <s v="chad-8"/>
    <x v="1"/>
    <n v="94.88"/>
    <n v="320.65749999999997"/>
    <n v="0.75178960468721057"/>
    <n v="0.69329359481711184"/>
    <n v="-5.8496009870098731E-2"/>
    <n v="75"/>
    <n v="78"/>
    <n v="0.66680620901816512"/>
    <n v="-0.66680620901816512"/>
  </r>
  <r>
    <x v="82"/>
    <x v="11"/>
    <s v="jason-1"/>
    <s v="TE-1"/>
    <n v="3"/>
    <n v="10.23"/>
    <n v="51.84"/>
    <s v="TE"/>
    <x v="3"/>
    <x v="4"/>
    <n v="101.15"/>
    <n v="350.32479999999998"/>
    <e v="#N/A"/>
    <x v="6"/>
    <n v="0"/>
    <n v="0"/>
    <n v="0.9999999674486757"/>
    <n v="0.99999997278852781"/>
    <n v="5.3398521160374912E-9"/>
    <n v="71"/>
    <n v="0"/>
    <n v="1"/>
    <n v="0"/>
  </r>
  <r>
    <x v="79"/>
    <x v="5"/>
    <s v="comp-7"/>
    <s v="RB-2"/>
    <n v="4"/>
    <n v="8.15"/>
    <n v="22.372900000000001"/>
    <s v="RB"/>
    <x v="2"/>
    <x v="2"/>
    <n v="94.610000000000014"/>
    <n v="333.25760000000002"/>
    <s v="lucas-7"/>
    <x v="9"/>
    <n v="0"/>
    <n v="0"/>
    <n v="0.99999989058825289"/>
    <n v="0.99999985548798032"/>
    <n v="-3.5100272577359704E-8"/>
    <n v="73"/>
    <n v="0"/>
    <n v="1"/>
    <n v="0"/>
  </r>
  <r>
    <x v="57"/>
    <x v="11"/>
    <s v="seth-1"/>
    <s v="D/ST"/>
    <n v="2"/>
    <n v="11.22"/>
    <n v="48.302500000000002"/>
    <s v="D/ST"/>
    <x v="5"/>
    <x v="1"/>
    <n v="111.07"/>
    <n v="422.00569999999999"/>
    <s v="comp-1"/>
    <x v="8"/>
    <n v="110.7"/>
    <n v="433.44330000000002"/>
    <n v="0.50504664952103229"/>
    <n v="0.37770780834243761"/>
    <n v="-0.12733884117859467"/>
    <n v="71"/>
    <n v="77"/>
    <n v="0.67842867851615252"/>
    <n v="-0.67842867851615252"/>
  </r>
  <r>
    <x v="21"/>
    <x v="1"/>
    <s v="matty-12"/>
    <s v="WR-2"/>
    <n v="1"/>
    <n v="10.07"/>
    <n v="69.889600000000002"/>
    <s v="WR"/>
    <x v="0"/>
    <x v="0"/>
    <n v="94.28"/>
    <n v="371.05129999999997"/>
    <s v="devon-12"/>
    <x v="7"/>
    <n v="99.070000000000007"/>
    <n v="350.10639999999995"/>
    <n v="0.42921643322258324"/>
    <n v="0.29352895916309463"/>
    <n v="-0.13568747405948861"/>
    <n v="75"/>
    <n v="80"/>
    <n v="0.68681488533402146"/>
    <n v="-0.68681488533402146"/>
  </r>
  <r>
    <x v="160"/>
    <x v="7"/>
    <s v="seth-5"/>
    <s v="RB-1"/>
    <n v="2"/>
    <n v="12.99"/>
    <n v="103.8361"/>
    <s v="RB"/>
    <x v="2"/>
    <x v="1"/>
    <n v="98.72999999999999"/>
    <n v="396.28840000000002"/>
    <s v="perry-5"/>
    <x v="10"/>
    <n v="97.27"/>
    <n v="430.39269999999999"/>
    <n v="0.52024917394329329"/>
    <n v="0.36149614712067918"/>
    <n v="-0.15875302682261411"/>
    <n v="90"/>
    <n v="96"/>
    <n v="0.68782540582443619"/>
    <n v="-0.68782540582443619"/>
  </r>
  <r>
    <x v="5"/>
    <x v="1"/>
    <s v="chad-12"/>
    <s v="TE-1"/>
    <n v="3"/>
    <n v="8.52"/>
    <n v="23.328900000000001"/>
    <s v="TE"/>
    <x v="3"/>
    <x v="3"/>
    <n v="115.8"/>
    <n v="455.64659999999998"/>
    <s v="seth-12"/>
    <x v="0"/>
    <n v="102.15"/>
    <n v="468.55759999999998"/>
    <n v="0.6732850448184311"/>
    <n v="0.60675384227529605"/>
    <n v="-6.6531202543135048E-2"/>
    <n v="92"/>
    <n v="95"/>
    <n v="0.69907401211472564"/>
    <n v="-0.69907401211472564"/>
  </r>
  <r>
    <x v="94"/>
    <x v="4"/>
    <s v="scott-8"/>
    <s v="D/ST"/>
    <n v="3"/>
    <n v="9.18"/>
    <n v="37.088099999999997"/>
    <s v="D/ST"/>
    <x v="5"/>
    <x v="9"/>
    <n v="113.35000000000001"/>
    <n v="416.81729999999993"/>
    <s v="chad-8"/>
    <x v="1"/>
    <n v="94.88"/>
    <n v="320.65749999999997"/>
    <n v="0.75178960468721057"/>
    <n v="0.67881585337034267"/>
    <n v="-7.2973751316867896E-2"/>
    <n v="75"/>
    <n v="78"/>
    <n v="0.69922313957470428"/>
    <n v="-0.69922313957470428"/>
  </r>
  <r>
    <x v="98"/>
    <x v="5"/>
    <s v="seth-7"/>
    <s v="WR-2"/>
    <n v="4"/>
    <n v="11.3"/>
    <n v="36.360900000000001"/>
    <s v="WR"/>
    <x v="0"/>
    <x v="1"/>
    <n v="96.25"/>
    <n v="294.3"/>
    <s v="cory-7"/>
    <x v="4"/>
    <n v="86.09"/>
    <n v="350.80079999999998"/>
    <n v="0.65542850055780277"/>
    <n v="0.54614115776424921"/>
    <n v="-0.10928734279355357"/>
    <n v="81"/>
    <n v="85"/>
    <n v="0.70790120430923076"/>
    <n v="-0.70790120430923076"/>
  </r>
  <r>
    <x v="39"/>
    <x v="4"/>
    <s v="cory-8"/>
    <s v="WR-1"/>
    <n v="7"/>
    <n v="13"/>
    <n v="70.728099999999998"/>
    <s v="WR"/>
    <x v="0"/>
    <x v="5"/>
    <n v="106.3"/>
    <n v="423.11159999999995"/>
    <s v="matty-8"/>
    <x v="3"/>
    <n v="88.500000000000014"/>
    <n v="351.30459999999999"/>
    <n v="0.7387953106518842"/>
    <n v="0.67177789237371355"/>
    <n v="-6.7017418278170648E-2"/>
    <n v="106"/>
    <n v="107"/>
    <n v="0.72392126572578386"/>
    <n v="-0.72392126572578386"/>
  </r>
  <r>
    <x v="134"/>
    <x v="5"/>
    <s v="comp-7"/>
    <s v="WR-3"/>
    <n v="0"/>
    <n v="5.77"/>
    <n v="33.4084"/>
    <s v="WR"/>
    <x v="0"/>
    <x v="2"/>
    <n v="94.610000000000014"/>
    <n v="333.25760000000002"/>
    <s v="lucas-7"/>
    <x v="9"/>
    <n v="0"/>
    <n v="0"/>
    <n v="0.99999989058825289"/>
    <n v="0.99999985548973747"/>
    <n v="-3.5098515427378629E-8"/>
    <n v="73"/>
    <n v="0"/>
    <n v="1"/>
    <n v="0"/>
  </r>
  <r>
    <x v="114"/>
    <x v="1"/>
    <s v="chad-12"/>
    <s v="QB-1"/>
    <n v="13"/>
    <n v="20.2"/>
    <n v="38.192399999999999"/>
    <s v="QB"/>
    <x v="4"/>
    <x v="3"/>
    <n v="115.8"/>
    <n v="455.64659999999998"/>
    <s v="seth-12"/>
    <x v="0"/>
    <n v="102.15"/>
    <n v="468.55759999999998"/>
    <n v="0.6732850448184311"/>
    <n v="0.58577524148960491"/>
    <n v="-8.7509803328826186E-2"/>
    <n v="92"/>
    <n v="95"/>
    <n v="0.75162480461206438"/>
    <n v="-0.75162480461206438"/>
  </r>
  <r>
    <x v="160"/>
    <x v="0"/>
    <s v="seth-10"/>
    <s v="RB-2"/>
    <n v="1"/>
    <n v="10.89"/>
    <n v="71.910399999999996"/>
    <s v="RB"/>
    <x v="2"/>
    <x v="1"/>
    <n v="104.52999999999999"/>
    <n v="446.11959999999999"/>
    <s v="matty-10"/>
    <x v="3"/>
    <n v="80.72"/>
    <n v="274.11410000000001"/>
    <n v="0.81251501229102341"/>
    <n v="0.70770512780082095"/>
    <n v="-0.10480988449020245"/>
    <n v="80"/>
    <n v="84"/>
    <n v="0.75633930585370912"/>
    <n v="-0.75633930585370912"/>
  </r>
  <r>
    <x v="230"/>
    <x v="11"/>
    <s v="seth-1"/>
    <s v="RB-1"/>
    <n v="6"/>
    <n v="19.05"/>
    <n v="96.04"/>
    <s v="RB"/>
    <x v="2"/>
    <x v="1"/>
    <n v="111.07"/>
    <n v="422.00569999999999"/>
    <s v="comp-1"/>
    <x v="8"/>
    <n v="110.7"/>
    <n v="433.44330000000002"/>
    <n v="0.50504664952103229"/>
    <n v="0.32271113884105679"/>
    <n v="-0.1823355106799755"/>
    <n v="71"/>
    <n v="77"/>
    <n v="0.76404898032025925"/>
    <n v="-0.76404898032025925"/>
  </r>
  <r>
    <x v="122"/>
    <x v="4"/>
    <s v="scott-8"/>
    <s v="RB-2"/>
    <n v="6"/>
    <n v="15.54"/>
    <n v="78.145600000000002"/>
    <s v="RB"/>
    <x v="2"/>
    <x v="9"/>
    <n v="113.35000000000001"/>
    <n v="416.81729999999993"/>
    <s v="chad-8"/>
    <x v="1"/>
    <n v="94.88"/>
    <n v="320.65749999999997"/>
    <n v="0.75178960468721057"/>
    <n v="0.63599600170122295"/>
    <n v="-0.11579360298598762"/>
    <n v="75"/>
    <n v="78"/>
    <n v="0.77029508707041672"/>
    <n v="-0.77029508707041672"/>
  </r>
  <r>
    <x v="145"/>
    <x v="4"/>
    <s v="scott-8"/>
    <s v="RB-1"/>
    <n v="6"/>
    <n v="14.76"/>
    <n v="60.528399999999998"/>
    <s v="RB"/>
    <x v="2"/>
    <x v="9"/>
    <n v="113.35000000000001"/>
    <n v="416.81729999999993"/>
    <s v="chad-8"/>
    <x v="1"/>
    <n v="94.88"/>
    <n v="320.65749999999997"/>
    <n v="0.75178960468721057"/>
    <n v="0.64550034686964275"/>
    <n v="-0.10628925781756782"/>
    <n v="75"/>
    <n v="78"/>
    <n v="0.77045917723964086"/>
    <n v="-0.77045917723964086"/>
  </r>
  <r>
    <x v="77"/>
    <x v="7"/>
    <s v="matty-5"/>
    <s v="RB-1"/>
    <n v="8"/>
    <n v="18.05"/>
    <n v="65.934399999999997"/>
    <s v="RB"/>
    <x v="2"/>
    <x v="0"/>
    <n v="99.23"/>
    <n v="364.64739999999995"/>
    <s v="aj-5"/>
    <x v="2"/>
    <n v="117.25999999999999"/>
    <n v="422.9941"/>
    <n v="0.26029431580256523"/>
    <n v="0.14795570039674205"/>
    <n v="-0.11233861540582318"/>
    <n v="106"/>
    <n v="110"/>
    <n v="0.77188647429835677"/>
    <n v="-0.77188647429835677"/>
  </r>
  <r>
    <x v="97"/>
    <x v="1"/>
    <s v="chad-12"/>
    <s v="WR/RB"/>
    <n v="2"/>
    <n v="11.78"/>
    <n v="73.273600000000002"/>
    <s v="WR/RB"/>
    <x v="0"/>
    <x v="3"/>
    <n v="115.8"/>
    <n v="455.64659999999998"/>
    <s v="seth-12"/>
    <x v="0"/>
    <n v="102.15"/>
    <n v="468.55759999999998"/>
    <n v="0.6732850448184311"/>
    <n v="0.5527717479277412"/>
    <n v="-0.1205132968906899"/>
    <n v="92"/>
    <n v="95"/>
    <n v="0.78583600968089229"/>
    <n v="-0.78583600968089229"/>
  </r>
  <r>
    <x v="115"/>
    <x v="5"/>
    <s v="seth-7"/>
    <s v="WR-1"/>
    <n v="1"/>
    <n v="9.94"/>
    <n v="31.584399999999999"/>
    <s v="WR"/>
    <x v="0"/>
    <x v="1"/>
    <n v="96.25"/>
    <n v="294.3"/>
    <s v="cory-7"/>
    <x v="4"/>
    <n v="86.09"/>
    <n v="350.80079999999998"/>
    <n v="0.65542850055780277"/>
    <n v="0.51964179779668207"/>
    <n v="-0.1357867027611207"/>
    <n v="81"/>
    <n v="85"/>
    <n v="0.81030032685691311"/>
    <n v="-0.81030032685691311"/>
  </r>
  <r>
    <x v="52"/>
    <x v="4"/>
    <s v="cory-8"/>
    <s v="WR-3"/>
    <n v="1"/>
    <n v="6.94"/>
    <n v="28.515599999999999"/>
    <s v="WR"/>
    <x v="0"/>
    <x v="5"/>
    <n v="106.3"/>
    <n v="423.11159999999995"/>
    <s v="matty-8"/>
    <x v="3"/>
    <n v="88.500000000000014"/>
    <n v="351.30459999999999"/>
    <n v="0.7387953106518842"/>
    <n v="0.66794813727506019"/>
    <n v="-7.0847173376824002E-2"/>
    <n v="106"/>
    <n v="107"/>
    <n v="0.8225413976466478"/>
    <n v="-0.8225413976466478"/>
  </r>
  <r>
    <x v="69"/>
    <x v="7"/>
    <s v="cory-5"/>
    <s v="WR/RB"/>
    <n v="0"/>
    <n v="11.97"/>
    <n v="55.3536"/>
    <s v="WR/RB"/>
    <x v="0"/>
    <x v="5"/>
    <n v="109.91"/>
    <n v="349.51409999999998"/>
    <s v="devon-5"/>
    <x v="7"/>
    <n v="93.5"/>
    <n v="346.9006"/>
    <n v="0.73297455800387123"/>
    <n v="0.56960204719621821"/>
    <n v="-0.16337251080765303"/>
    <n v="100"/>
    <n v="105"/>
    <n v="0.82557646897398673"/>
    <n v="-0.82557646897398673"/>
  </r>
  <r>
    <x v="14"/>
    <x v="5"/>
    <s v="seth-7"/>
    <s v="RB-2"/>
    <n v="0"/>
    <n v="9.6999999999999993"/>
    <n v="30.5809"/>
    <s v="RB"/>
    <x v="2"/>
    <x v="1"/>
    <n v="96.25"/>
    <n v="294.3"/>
    <s v="cory-7"/>
    <x v="4"/>
    <n v="86.09"/>
    <n v="350.80079999999998"/>
    <n v="0.65542850055780277"/>
    <n v="0.50740244175263016"/>
    <n v="-0.14802605880517261"/>
    <n v="81"/>
    <n v="85"/>
    <n v="0.8486689500137794"/>
    <n v="-0.8486689500137794"/>
  </r>
  <r>
    <x v="103"/>
    <x v="0"/>
    <s v="seth-10"/>
    <s v="QB-1"/>
    <n v="2"/>
    <n v="16.489999999999998"/>
    <n v="95.4529"/>
    <s v="QB"/>
    <x v="4"/>
    <x v="1"/>
    <n v="104.52999999999999"/>
    <n v="446.11959999999999"/>
    <s v="matty-10"/>
    <x v="3"/>
    <n v="80.72"/>
    <n v="274.11410000000001"/>
    <n v="0.81251501229102341"/>
    <n v="0.64537568441731574"/>
    <n v="-0.16713932787370767"/>
    <n v="80"/>
    <n v="84"/>
    <n v="0.85852029502021221"/>
    <n v="-0.85852029502021221"/>
  </r>
  <r>
    <x v="35"/>
    <x v="4"/>
    <s v="cory-8"/>
    <s v="WR-2"/>
    <n v="3"/>
    <n v="9.49"/>
    <n v="25.8064"/>
    <s v="WR"/>
    <x v="0"/>
    <x v="5"/>
    <n v="106.3"/>
    <n v="423.11159999999995"/>
    <s v="matty-8"/>
    <x v="3"/>
    <n v="88.500000000000014"/>
    <n v="351.30459999999999"/>
    <n v="0.7387953106518842"/>
    <n v="0.66033079380287429"/>
    <n v="-7.8464516849009902E-2"/>
    <n v="106"/>
    <n v="107"/>
    <n v="0.86008663547635278"/>
    <n v="-0.86008663547635278"/>
  </r>
  <r>
    <x v="93"/>
    <x v="1"/>
    <s v="chad-12"/>
    <s v="WR-1"/>
    <n v="0"/>
    <n v="7.12"/>
    <n v="13.8384"/>
    <s v="WR"/>
    <x v="0"/>
    <x v="3"/>
    <n v="115.8"/>
    <n v="455.64659999999998"/>
    <s v="seth-12"/>
    <x v="0"/>
    <n v="102.15"/>
    <n v="468.55759999999998"/>
    <n v="0.6732850448184311"/>
    <n v="0.58567133001027005"/>
    <n v="-8.7613714808161047E-2"/>
    <n v="92"/>
    <n v="95"/>
    <n v="0.86596690172905699"/>
    <n v="-0.86596690172905699"/>
  </r>
  <r>
    <x v="12"/>
    <x v="11"/>
    <s v="jason-1"/>
    <s v="D/ST"/>
    <n v="-4"/>
    <n v="8.27"/>
    <n v="31.922499999999999"/>
    <s v="D/ST"/>
    <x v="5"/>
    <x v="4"/>
    <n v="101.15"/>
    <n v="350.32479999999998"/>
    <e v="#N/A"/>
    <x v="6"/>
    <n v="0"/>
    <n v="0"/>
    <n v="0.9999999674486757"/>
    <n v="0.99999968370616588"/>
    <n v="-2.8374250982121652E-7"/>
    <n v="71"/>
    <n v="0"/>
    <n v="1"/>
    <n v="0"/>
  </r>
  <r>
    <x v="24"/>
    <x v="0"/>
    <s v="seth-10"/>
    <s v="D/ST"/>
    <n v="2"/>
    <n v="15.03"/>
    <n v="37.699599999999997"/>
    <s v="D/ST"/>
    <x v="5"/>
    <x v="1"/>
    <n v="104.52999999999999"/>
    <n v="446.11959999999999"/>
    <s v="matty-10"/>
    <x v="3"/>
    <n v="80.72"/>
    <n v="274.11410000000001"/>
    <n v="0.81251501229102341"/>
    <n v="0.66005967336342208"/>
    <n v="-0.15245533892760132"/>
    <n v="80"/>
    <n v="84"/>
    <n v="0.92931170769193838"/>
    <n v="-0.92931170769193838"/>
  </r>
  <r>
    <x v="166"/>
    <x v="3"/>
    <s v="matty-3"/>
    <s v="D/ST"/>
    <n v="-6"/>
    <n v="9"/>
    <n v="36.240400000000001"/>
    <s v="D/ST"/>
    <x v="5"/>
    <x v="0"/>
    <n v="116.17999999999999"/>
    <n v="478.31470000000002"/>
    <s v="comp-3"/>
    <x v="8"/>
    <n v="105.02"/>
    <n v="401.60159999999996"/>
    <n v="0.64662385216199125"/>
    <n v="0.44741161227670745"/>
    <n v="-0.1992122398852838"/>
    <n v="81"/>
    <n v="85"/>
    <n v="0.96616834368536608"/>
    <n v="-0.96616834368536608"/>
  </r>
  <r>
    <x v="89"/>
    <x v="4"/>
    <s v="cory-8"/>
    <s v="QB-1"/>
    <n v="3"/>
    <n v="18.34"/>
    <n v="51.552399999999999"/>
    <s v="QB"/>
    <x v="4"/>
    <x v="5"/>
    <n v="106.3"/>
    <n v="423.11159999999995"/>
    <s v="matty-8"/>
    <x v="3"/>
    <n v="88.500000000000014"/>
    <n v="351.30459999999999"/>
    <n v="0.7387953106518842"/>
    <n v="0.53645115624363859"/>
    <n v="-0.2023441544082456"/>
    <n v="106"/>
    <n v="107"/>
    <n v="0.9770990558826419"/>
    <n v="-0.977099055882641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5:D103" firstHeaderRow="0" firstDataRow="1" firstDataCol="1" rowPageCount="3" colPageCount="1"/>
  <pivotFields count="15">
    <pivotField axis="axisPage" subtotalTop="0" multipleItemSelectionAllowed="1" showAll="0" defaultSubtotal="0">
      <items count="17">
        <item h="1" x="7"/>
        <item x="10"/>
        <item h="1" x="16"/>
        <item h="1" x="14"/>
        <item h="1" x="12"/>
        <item h="1" x="8"/>
        <item h="1" x="4"/>
        <item h="1" x="13"/>
        <item h="1" x="2"/>
        <item h="1" x="15"/>
        <item h="1" x="3"/>
        <item h="1" x="6"/>
        <item h="1" x="5"/>
        <item h="1" x="11"/>
        <item h="1" x="9"/>
        <item h="1" x="1"/>
        <item h="1" x="0"/>
      </items>
    </pivotField>
    <pivotField axis="axisRow" subtotalTop="0" showAll="0" sortType="descending" defaultSubtotal="0">
      <items count="721">
        <item sd="0" x="300"/>
        <item sd="0" x="70"/>
        <item sd="0" x="395"/>
        <item sd="0" x="122"/>
        <item sd="0" m="1" x="576"/>
        <item sd="0" x="7"/>
        <item sd="0" x="249"/>
        <item sd="0" x="66"/>
        <item sd="0" x="78"/>
        <item sd="0" x="431"/>
        <item sd="0" x="219"/>
        <item sd="0" x="307"/>
        <item sd="0" x="354"/>
        <item sd="0" x="11"/>
        <item sd="0" x="195"/>
        <item sd="0" x="132"/>
        <item sd="0" x="211"/>
        <item sd="0" x="109"/>
        <item sd="0" x="104"/>
        <item sd="0" x="27"/>
        <item sd="0" x="80"/>
        <item sd="0" x="309"/>
        <item sd="0" m="1" x="608"/>
        <item sd="0" x="381"/>
        <item sd="0" x="471"/>
        <item sd="0" x="24"/>
        <item sd="0" x="18"/>
        <item sd="0" x="352"/>
        <item sd="0" m="1" x="533"/>
        <item sd="0" x="448"/>
        <item sd="0" x="39"/>
        <item sd="0" x="255"/>
        <item sd="0" m="1" x="597"/>
        <item sd="0" m="1" x="695"/>
        <item sd="0" x="165"/>
        <item sd="0" x="215"/>
        <item sd="0" m="1" x="643"/>
        <item sd="0" x="9"/>
        <item sd="0" x="192"/>
        <item sd="0" m="1" x="629"/>
        <item sd="0" x="362"/>
        <item sd="0" x="136"/>
        <item sd="0" m="1" x="557"/>
        <item sd="0" x="10"/>
        <item sd="0" m="1" x="553"/>
        <item sd="0" x="57"/>
        <item sd="0" x="400"/>
        <item sd="0" m="1" x="561"/>
        <item sd="0" x="279"/>
        <item sd="0" x="176"/>
        <item sd="0" x="449"/>
        <item sd="0" m="1" x="638"/>
        <item sd="0" m="1" x="603"/>
        <item sd="0" m="1" x="606"/>
        <item sd="0" m="1" x="648"/>
        <item sd="0" x="359"/>
        <item sd="0" x="370"/>
        <item sd="0" x="404"/>
        <item sd="0" x="379"/>
        <item sd="0" m="1" x="566"/>
        <item sd="0" x="483"/>
        <item sd="0" m="1" x="500"/>
        <item sd="0" x="161"/>
        <item sd="0" m="1" x="686"/>
        <item sd="0" x="316"/>
        <item sd="0" m="1" x="571"/>
        <item sd="0" x="281"/>
        <item sd="0" x="2"/>
        <item sd="0" x="321"/>
        <item sd="0" x="197"/>
        <item sd="0" m="1" x="702"/>
        <item sd="0" x="51"/>
        <item sd="0" m="1" x="541"/>
        <item sd="0" x="1"/>
        <item sd="0" x="461"/>
        <item sd="0" m="1" x="625"/>
        <item sd="0" x="220"/>
        <item sd="0" m="1" x="691"/>
        <item sd="0" x="410"/>
        <item sd="0" x="390"/>
        <item sd="0" x="171"/>
        <item sd="0" x="247"/>
        <item sd="0" x="89"/>
        <item sd="0" x="169"/>
        <item sd="0" x="284"/>
        <item sd="0" m="1" x="613"/>
        <item sd="0" x="413"/>
        <item sd="0" x="100"/>
        <item sd="0" x="44"/>
        <item sd="0" m="1" x="712"/>
        <item sd="0" m="1" x="675"/>
        <item sd="0" x="346"/>
        <item sd="0" x="261"/>
        <item sd="0" x="222"/>
        <item sd="0" x="392"/>
        <item sd="0" x="92"/>
        <item sd="0" x="319"/>
        <item sd="0" m="1" x="664"/>
        <item sd="0" x="106"/>
        <item sd="0" x="150"/>
        <item sd="0" x="273"/>
        <item sd="0" x="26"/>
        <item sd="0" x="55"/>
        <item sd="0" x="473"/>
        <item sd="0" x="363"/>
        <item sd="0" m="1" x="559"/>
        <item sd="0" x="202"/>
        <item sd="0" m="1" x="657"/>
        <item sd="0" x="276"/>
        <item sd="0" m="1" x="687"/>
        <item sd="0" x="221"/>
        <item sd="0" x="317"/>
        <item sd="0" x="71"/>
        <item sd="0" x="31"/>
        <item sd="0" x="330"/>
        <item sd="0" x="154"/>
        <item sd="0" x="43"/>
        <item sd="0" x="428"/>
        <item sd="0" m="1" x="497"/>
        <item sd="0" x="361"/>
        <item sd="0" m="1" x="692"/>
        <item sd="0" m="1" x="666"/>
        <item sd="0" x="376"/>
        <item sd="0" x="107"/>
        <item sd="0" x="283"/>
        <item sd="0" x="250"/>
        <item sd="0" m="1" x="522"/>
        <item sd="0" x="20"/>
        <item sd="0" x="340"/>
        <item sd="0" x="374"/>
        <item sd="0" x="82"/>
        <item sd="0" x="162"/>
        <item sd="0" x="4"/>
        <item sd="0" x="350"/>
        <item sd="0" x="203"/>
        <item sd="0" x="112"/>
        <item sd="0" x="64"/>
        <item sd="0" x="200"/>
        <item sd="0" m="1" x="545"/>
        <item sd="0" x="105"/>
        <item sd="0" x="302"/>
        <item sd="0" x="204"/>
        <item sd="0" x="177"/>
        <item sd="0" m="1" x="581"/>
        <item sd="0" x="96"/>
        <item sd="0" x="198"/>
        <item sd="0" x="5"/>
        <item sd="0" x="383"/>
        <item sd="0" x="151"/>
        <item sd="0" x="324"/>
        <item sd="0" x="440"/>
        <item sd="0" x="364"/>
        <item sd="0" x="285"/>
        <item sd="0" m="1" x="509"/>
        <item sd="0" x="30"/>
        <item sd="0" x="441"/>
        <item sd="0" x="311"/>
        <item sd="0" x="101"/>
        <item sd="0" m="1" x="651"/>
        <item sd="0" x="179"/>
        <item sd="0" m="1" x="645"/>
        <item sd="0" x="145"/>
        <item sd="0" x="12"/>
        <item sd="0" m="1" x="592"/>
        <item sd="0" x="156"/>
        <item sd="0" x="248"/>
        <item sd="0" x="375"/>
        <item sd="0" x="251"/>
        <item sd="0" x="158"/>
        <item sd="0" x="328"/>
        <item sd="0" x="143"/>
        <item sd="0" x="76"/>
        <item sd="0" x="59"/>
        <item sd="0" x="113"/>
        <item sd="0" m="1" x="627"/>
        <item sd="0" m="1" x="621"/>
        <item sd="0" x="152"/>
        <item sd="0" x="232"/>
        <item sd="0" x="189"/>
        <item sd="0" x="223"/>
        <item sd="0" m="1" x="610"/>
        <item sd="0" x="231"/>
        <item sd="0" x="182"/>
        <item sd="0" m="1" x="558"/>
        <item sd="0" m="1" x="716"/>
        <item sd="0" m="1" x="714"/>
        <item sd="0" x="86"/>
        <item sd="0" x="14"/>
        <item sd="0" x="56"/>
        <item sd="0" x="479"/>
        <item sd="0" x="280"/>
        <item sd="0" x="85"/>
        <item sd="0" x="148"/>
        <item sd="0" x="462"/>
        <item sd="0" m="1" x="674"/>
        <item sd="0" x="114"/>
        <item sd="0" x="13"/>
        <item sd="0" x="253"/>
        <item sd="0" x="262"/>
        <item sd="0" x="83"/>
        <item sd="0" m="1" x="607"/>
        <item sd="0" x="134"/>
        <item sd="0" x="73"/>
        <item sd="0" m="1" x="544"/>
        <item sd="0" m="1" x="602"/>
        <item sd="0" x="193"/>
        <item sd="0" m="1" x="534"/>
        <item sd="0" x="335"/>
        <item sd="0" m="1" x="630"/>
        <item sd="0" m="1" x="680"/>
        <item sd="0" m="1" x="703"/>
        <item sd="0" m="1" x="624"/>
        <item sd="0" x="306"/>
        <item sd="0" x="227"/>
        <item sd="0" x="217"/>
        <item sd="0" m="1" x="574"/>
        <item sd="0" x="125"/>
        <item sd="0" m="1" x="662"/>
        <item sd="0" x="16"/>
        <item sd="0" x="61"/>
        <item sd="0" x="103"/>
        <item sd="0" m="1" x="616"/>
        <item sd="0" x="214"/>
        <item sd="0" m="1" x="584"/>
        <item sd="0" m="1" x="496"/>
        <item sd="0" x="52"/>
        <item sd="0" x="301"/>
        <item sd="0" x="270"/>
        <item sd="0" x="130"/>
        <item sd="0" x="432"/>
        <item sd="0" x="111"/>
        <item sd="0" x="384"/>
        <item sd="0" x="180"/>
        <item sd="0" m="1" x="508"/>
        <item sd="0" x="298"/>
        <item sd="0" x="366"/>
        <item sd="0" x="63"/>
        <item sd="0" x="46"/>
        <item sd="0" m="1" x="699"/>
        <item sd="0" x="299"/>
        <item sd="0" x="343"/>
        <item sd="0" m="1" x="639"/>
        <item sd="0" x="269"/>
        <item sd="0" x="23"/>
        <item sd="0" m="1" x="718"/>
        <item sd="0" x="42"/>
        <item sd="0" x="398"/>
        <item sd="0" m="1" x="505"/>
        <item sd="0" x="199"/>
        <item sd="0" m="1" x="523"/>
        <item sd="0" m="1" x="601"/>
        <item sd="0" x="123"/>
        <item sd="0" x="120"/>
        <item sd="0" x="98"/>
        <item sd="0" m="1" x="570"/>
        <item sd="0" x="489"/>
        <item sd="0" x="17"/>
        <item sd="0" x="347"/>
        <item sd="0" x="159"/>
        <item sd="0" x="53"/>
        <item sd="0" x="337"/>
        <item sd="0" m="1" x="598"/>
        <item sd="0" x="236"/>
        <item sd="0" x="115"/>
        <item sd="0" x="75"/>
        <item sd="0" x="465"/>
        <item sd="0" x="172"/>
        <item sd="0" x="54"/>
        <item sd="0" m="1" x="589"/>
        <item sd="0" x="90"/>
        <item sd="0" x="137"/>
        <item sd="0" x="327"/>
        <item sd="0" x="438"/>
        <item sd="0" x="295"/>
        <item sd="0" x="264"/>
        <item sd="0" m="1" x="612"/>
        <item sd="0" x="268"/>
        <item sd="0" x="333"/>
        <item sd="0" x="29"/>
        <item sd="0" m="1" x="693"/>
        <item sd="0" m="1" x="599"/>
        <item sd="0" x="142"/>
        <item sd="0" m="1" x="552"/>
        <item sd="0" m="1" x="550"/>
        <item sd="0" x="164"/>
        <item sd="0" x="68"/>
        <item sd="0" x="216"/>
        <item sd="0" m="1" x="682"/>
        <item sd="0" x="84"/>
        <item sd="0" x="91"/>
        <item sd="0" x="478"/>
        <item sd="0" m="1" x="507"/>
        <item sd="0" x="453"/>
        <item sd="0" m="1" x="548"/>
        <item sd="0" x="6"/>
        <item sd="0" x="412"/>
        <item sd="0" x="380"/>
        <item sd="0" x="326"/>
        <item sd="0" x="25"/>
        <item sd="0" x="116"/>
        <item sd="0" x="469"/>
        <item sd="0" m="1" x="635"/>
        <item sd="0" x="48"/>
        <item sd="0" m="1" x="640"/>
        <item sd="0" x="58"/>
        <item sd="0" x="173"/>
        <item sd="0" x="356"/>
        <item sd="0" x="418"/>
        <item sd="0" m="1" x="596"/>
        <item sd="0" m="1" x="567"/>
        <item sd="0" x="206"/>
        <item sd="0" x="33"/>
        <item sd="0" x="191"/>
        <item sd="0" x="88"/>
        <item sd="0" x="304"/>
        <item sd="0" x="35"/>
        <item sd="0" m="1" x="572"/>
        <item sd="0" x="290"/>
        <item sd="0" x="407"/>
        <item sd="0" x="313"/>
        <item sd="0" x="157"/>
        <item sd="0" x="49"/>
        <item sd="0" m="1" x="530"/>
        <item sd="0" x="409"/>
        <item sd="0" x="0"/>
        <item sd="0" m="1" x="654"/>
        <item sd="0" x="185"/>
        <item sd="0" m="1" x="626"/>
        <item sd="0" x="119"/>
        <item sd="0" x="292"/>
        <item sd="0" x="15"/>
        <item sd="0" x="190"/>
        <item sd="0" m="1" x="525"/>
        <item sd="0" x="128"/>
        <item sd="0" m="1" x="501"/>
        <item sd="0" m="1" x="619"/>
        <item sd="0" x="474"/>
        <item sd="0" x="127"/>
        <item sd="0" m="1" x="620"/>
        <item sd="0" m="1" x="580"/>
        <item sd="0" x="229"/>
        <item sd="0" m="1" x="563"/>
        <item sd="0" x="454"/>
        <item sd="0" m="1" x="532"/>
        <item sd="0" x="72"/>
        <item sd="0" m="1" x="690"/>
        <item sd="0" x="144"/>
        <item sd="0" x="386"/>
        <item sd="0" x="69"/>
        <item sd="0" x="235"/>
        <item sd="0" m="1" x="704"/>
        <item sd="0" x="365"/>
        <item sd="0" m="1" x="528"/>
        <item sd="0" x="305"/>
        <item sd="0" x="19"/>
        <item sd="0" x="22"/>
        <item sd="0" x="149"/>
        <item sd="0" x="234"/>
        <item sd="0" m="1" x="565"/>
        <item sd="0" m="1" x="510"/>
        <item sd="0" x="60"/>
        <item sd="0" x="424"/>
        <item sd="0" x="344"/>
        <item sd="0" x="117"/>
        <item sd="0" m="1" x="609"/>
        <item sd="0" x="388"/>
        <item sd="0" m="1" x="511"/>
        <item sd="0" x="367"/>
        <item sd="0" x="294"/>
        <item sd="0" x="244"/>
        <item sd="0" m="1" x="615"/>
        <item sd="0" x="77"/>
        <item sd="0" m="1" x="701"/>
        <item sd="0" x="141"/>
        <item sd="0" x="314"/>
        <item sd="0" x="74"/>
        <item sd="0" x="67"/>
        <item sd="0" m="1" x="542"/>
        <item sd="0" x="160"/>
        <item sd="0" m="1" x="519"/>
        <item sd="0" x="277"/>
        <item sd="0" x="208"/>
        <item sd="0" x="146"/>
        <item sd="0" x="147"/>
        <item sd="0" m="1" x="647"/>
        <item sd="0" x="258"/>
        <item sd="0" m="1" x="637"/>
        <item sd="0" x="178"/>
        <item sd="0" m="1" x="562"/>
        <item sd="0" x="62"/>
        <item sd="0" x="135"/>
        <item sd="0" x="435"/>
        <item sd="0" m="1" x="677"/>
        <item sd="0" m="1" x="527"/>
        <item sd="0" x="8"/>
        <item sd="0" m="1" x="656"/>
        <item sd="0" m="1" x="644"/>
        <item sd="0" x="245"/>
        <item sd="0" x="282"/>
        <item sd="0" x="79"/>
        <item sd="0" m="1" x="659"/>
        <item sd="0" m="1" x="697"/>
        <item sd="0" x="371"/>
        <item sd="0" x="170"/>
        <item sd="0" m="1" x="623"/>
        <item sd="0" x="163"/>
        <item sd="0" x="118"/>
        <item sd="0" m="1" x="681"/>
        <item sd="0" x="308"/>
        <item sd="0" x="287"/>
        <item sd="0" x="256"/>
        <item sd="0" x="140"/>
        <item sd="0" x="50"/>
        <item sd="0" x="175"/>
        <item sd="0" x="36"/>
        <item sd="0" x="196"/>
        <item sd="0" x="272"/>
        <item sd="0" m="1" x="705"/>
        <item sd="0" x="263"/>
        <item sd="0" m="1" x="517"/>
        <item sd="0" x="297"/>
        <item sd="0" x="168"/>
        <item sd="0" x="99"/>
        <item sd="0" m="1" x="590"/>
        <item sd="0" x="209"/>
        <item sd="0" x="472"/>
        <item sd="0" x="81"/>
        <item sd="0" m="1" x="578"/>
        <item sd="0" m="1" x="715"/>
        <item sd="0" x="226"/>
        <item sd="0" x="21"/>
        <item sd="0" m="1" x="631"/>
        <item sd="0" m="1" x="535"/>
        <item sd="0" m="1" x="520"/>
        <item sd="0" m="1" x="595"/>
        <item sd="0" m="1" x="708"/>
        <item sd="0" m="1" x="543"/>
        <item sd="0" x="336"/>
        <item sd="0" x="456"/>
        <item sd="0" m="1" x="611"/>
        <item sd="0" m="1" x="579"/>
        <item sd="0" x="387"/>
        <item sd="0" m="1" x="539"/>
        <item sd="0" m="1" x="515"/>
        <item sd="0" m="1" x="719"/>
        <item sd="0" m="1" x="518"/>
        <item sd="0" m="1" x="649"/>
        <item sd="0" m="1" x="676"/>
        <item sd="0" m="1" x="604"/>
        <item sd="0" m="1" x="694"/>
        <item sd="0" m="1" x="673"/>
        <item sd="0" m="1" x="498"/>
        <item sd="0" m="1" x="641"/>
        <item sd="0" m="1" x="555"/>
        <item sd="0" m="1" x="636"/>
        <item sd="0" m="1" x="710"/>
        <item sd="0" m="1" x="622"/>
        <item sd="0" m="1" x="587"/>
        <item sd="0" m="1" x="568"/>
        <item sd="0" m="1" x="513"/>
        <item sd="0" m="1" x="632"/>
        <item sd="0" m="1" x="582"/>
        <item sd="0" x="396"/>
        <item sd="0" m="1" x="713"/>
        <item sd="0" x="455"/>
        <item sd="0" m="1" x="684"/>
        <item sd="0" x="95"/>
        <item sd="0" x="254"/>
        <item sd="0" m="1" x="588"/>
        <item sd="0" m="1" x="614"/>
        <item sd="0" x="139"/>
        <item sd="0" x="422"/>
        <item sd="0" x="480"/>
        <item sd="0" m="1" x="628"/>
        <item sd="0" x="257"/>
        <item sd="0" m="1" x="514"/>
        <item sd="0" m="1" x="642"/>
        <item sd="0" x="385"/>
        <item sd="0" m="1" x="538"/>
        <item sd="0" x="3"/>
        <item sd="0" m="1" x="569"/>
        <item sd="0" x="318"/>
        <item sd="0" x="320"/>
        <item sd="0" x="451"/>
        <item sd="0" m="1" x="546"/>
        <item sd="0" m="1" x="502"/>
        <item sd="0" x="391"/>
        <item sd="0" x="460"/>
        <item sd="0" m="1" x="536"/>
        <item sd="0" x="166"/>
        <item sd="0" x="126"/>
        <item sd="0" m="1" x="685"/>
        <item sd="0" m="1" x="583"/>
        <item sd="0" m="1" x="672"/>
        <item sd="0" m="1" x="537"/>
        <item sd="0" x="420"/>
        <item sd="0" x="181"/>
        <item sd="0" x="28"/>
        <item sd="0" m="1" x="556"/>
        <item sd="0" x="34"/>
        <item sd="0" x="38"/>
        <item sd="0" x="40"/>
        <item sd="0" x="45"/>
        <item sd="0" x="238"/>
        <item sd="0" x="110"/>
        <item sd="0" x="94"/>
        <item sd="0" x="129"/>
        <item sd="0" x="133"/>
        <item sd="0" x="65"/>
        <item sd="0" x="210"/>
        <item sd="0" x="267"/>
        <item sd="0" x="155"/>
        <item sd="0" x="97"/>
        <item sd="0" x="138"/>
        <item sd="0" x="212"/>
        <item sd="0" x="228"/>
        <item sd="0" x="93"/>
        <item sd="0" x="131"/>
        <item sd="0" x="194"/>
        <item sd="0" x="153"/>
        <item sd="0" x="201"/>
        <item sd="0" x="174"/>
        <item sd="0" x="188"/>
        <item sd="0" x="243"/>
        <item sd="0" x="207"/>
        <item sd="0" x="121"/>
        <item sd="0" x="124"/>
        <item sd="0" x="259"/>
        <item sd="0" x="184"/>
        <item sd="0" x="225"/>
        <item sd="0" x="239"/>
        <item sd="0" x="187"/>
        <item sd="0" x="271"/>
        <item sd="0" x="323"/>
        <item sd="0" m="1" x="711"/>
        <item sd="0" x="312"/>
        <item sd="0" m="1" x="698"/>
        <item sd="0" x="411"/>
        <item sd="0" x="265"/>
        <item sd="0" m="1" x="646"/>
        <item sd="0" x="252"/>
        <item sd="0" x="241"/>
        <item sd="0" x="459"/>
        <item sd="0" x="218"/>
        <item sd="0" x="405"/>
        <item sd="0" x="32"/>
        <item sd="0" x="224"/>
        <item sd="0" x="329"/>
        <item sd="0" x="372"/>
        <item sd="0" x="342"/>
        <item sd="0" x="37"/>
        <item sd="0" x="240"/>
        <item sd="0" x="415"/>
        <item sd="0" m="1" x="665"/>
        <item sd="0" x="246"/>
        <item sd="0" x="315"/>
        <item sd="0" m="1" x="503"/>
        <item sd="0" x="348"/>
        <item sd="0" x="369"/>
        <item sd="0" m="1" x="668"/>
        <item sd="0" m="1" x="540"/>
        <item sd="0" m="1" x="575"/>
        <item sd="0" x="41"/>
        <item sd="0" x="242"/>
        <item sd="0" x="427"/>
        <item sd="0" x="360"/>
        <item sd="0" x="345"/>
        <item sd="0" x="482"/>
        <item sd="0" m="1" x="679"/>
        <item sd="0" m="1" x="709"/>
        <item sd="0" x="416"/>
        <item sd="0" m="1" x="504"/>
        <item sd="0" x="452"/>
        <item sd="0" x="397"/>
        <item sd="0" x="434"/>
        <item sd="0" m="1" x="605"/>
        <item sd="0" x="425"/>
        <item sd="0" x="183"/>
        <item sd="0" x="450"/>
        <item sd="0" x="401"/>
        <item sd="0" m="1" x="560"/>
        <item sd="0" m="1" x="549"/>
        <item sd="0" m="1" x="653"/>
        <item sd="0" x="457"/>
        <item sd="0" m="1" x="720"/>
        <item sd="0" x="437"/>
        <item sd="0" m="1" x="655"/>
        <item sd="0" m="1" x="688"/>
        <item sd="0" m="1" x="512"/>
        <item sd="0" x="368"/>
        <item sd="0" m="1" x="618"/>
        <item sd="0" m="1" x="600"/>
        <item sd="0" x="102"/>
        <item sd="0" x="426"/>
        <item sd="0" x="485"/>
        <item sd="0" x="487"/>
        <item sd="0" m="1" x="661"/>
        <item sd="0" m="1" x="678"/>
        <item sd="0" m="1" x="683"/>
        <item sd="0" m="1" x="499"/>
        <item sd="0" m="1" x="577"/>
        <item sd="0" x="349"/>
        <item sd="0" m="1" x="494"/>
        <item sd="0" x="423"/>
        <item sd="0" x="445"/>
        <item sd="0" m="1" x="516"/>
        <item sd="0" x="288"/>
        <item sd="0" m="1" x="706"/>
        <item sd="0" x="475"/>
        <item sd="0" m="1" x="670"/>
        <item sd="0" m="1" x="529"/>
        <item sd="0" m="1" x="594"/>
        <item sd="0" x="338"/>
        <item sd="0" x="402"/>
        <item sd="0" m="1" x="551"/>
        <item sd="0" x="464"/>
        <item sd="0" m="1" x="526"/>
        <item sd="0" m="1" x="652"/>
        <item sd="0" m="1" x="573"/>
        <item sd="0" x="470"/>
        <item sd="0" m="1" x="634"/>
        <item sd="0" m="1" x="586"/>
        <item sd="0" m="1" x="689"/>
        <item sd="0" m="1" x="531"/>
        <item sd="0" m="1" x="554"/>
        <item sd="0" x="466"/>
        <item sd="0" m="1" x="660"/>
        <item sd="0" m="1" x="617"/>
        <item sd="0" x="436"/>
        <item sd="0" x="486"/>
        <item sd="0" m="1" x="663"/>
        <item sd="0" m="1" x="506"/>
        <item sd="0" x="358"/>
        <item sd="0" m="1" x="591"/>
        <item sd="0" x="484"/>
        <item sd="0" x="377"/>
        <item sd="0" x="446"/>
        <item sd="0" x="331"/>
        <item sd="0" x="351"/>
        <item sd="0" m="1" x="700"/>
        <item sd="0" x="47"/>
        <item sd="0" x="476"/>
        <item sd="0" m="1" x="658"/>
        <item sd="0" m="1" x="547"/>
        <item sd="0" x="378"/>
        <item sd="0" m="1" x="669"/>
        <item sd="0" x="399"/>
        <item sd="0" m="1" x="521"/>
        <item sd="0" x="373"/>
        <item sd="0" m="1" x="671"/>
        <item sd="0" x="444"/>
        <item sd="0" m="1" x="667"/>
        <item sd="0" m="1" x="593"/>
        <item sd="0" x="325"/>
        <item sd="0" x="490"/>
        <item sd="0" x="481"/>
        <item sd="0" m="1" x="696"/>
        <item sd="0" m="1" x="650"/>
        <item sd="0" m="1" x="495"/>
        <item sd="0" x="488"/>
        <item sd="0" m="1" x="564"/>
        <item sd="0" x="491"/>
        <item sd="0" x="492"/>
        <item sd="0" x="493"/>
        <item sd="0" x="275"/>
        <item sd="0" m="1" x="707"/>
        <item sd="0" x="87"/>
        <item x="429"/>
        <item x="108"/>
        <item x="186"/>
        <item m="1" x="524"/>
        <item x="213"/>
        <item x="230"/>
        <item x="237"/>
        <item x="233"/>
        <item x="303"/>
        <item x="278"/>
        <item x="286"/>
        <item x="296"/>
        <item x="274"/>
        <item x="291"/>
        <item x="289"/>
        <item x="310"/>
        <item x="334"/>
        <item x="167"/>
        <item x="389"/>
        <item x="205"/>
        <item m="1" x="585"/>
        <item x="394"/>
        <item x="406"/>
        <item x="353"/>
        <item m="1" x="717"/>
        <item x="433"/>
        <item x="332"/>
        <item x="357"/>
        <item m="1" x="633"/>
        <item x="447"/>
        <item x="458"/>
        <item x="442"/>
        <item x="468"/>
        <item x="430"/>
        <item x="467"/>
        <item x="421"/>
        <item x="322"/>
        <item x="477"/>
        <item x="293"/>
        <item x="339"/>
        <item x="266"/>
        <item x="393"/>
        <item x="439"/>
        <item x="408"/>
        <item x="414"/>
        <item x="260"/>
        <item x="341"/>
        <item x="355"/>
        <item x="382"/>
        <item x="403"/>
        <item x="417"/>
        <item x="419"/>
        <item x="443"/>
        <item x="463"/>
      </items>
      <autoSortScope>
        <pivotArea dataOnly="0" outline="0" fieldPosition="0">
          <references count="1">
            <reference field="4294967294" count="1" selected="0">
              <x v="0"/>
            </reference>
          </references>
        </pivotArea>
      </autoSortScope>
    </pivotField>
    <pivotField subtotalTop="0" showAll="0" defaultSubtotal="0"/>
    <pivotField dataField="1" subtotalTop="0" showAll="0" defaultSubtotal="0"/>
    <pivotField subtotalTop="0" showAll="0" defaultSubtotal="0"/>
    <pivotField axis="axisPage" subtotalTop="0" multipleItemSelectionAllowed="1" showAll="0" defaultSubtotal="0">
      <items count="4">
        <item h="1" sd="0" x="0"/>
        <item h="1" sd="0" x="1"/>
        <item sd="0" x="3"/>
        <item h="1" x="2"/>
      </items>
    </pivotField>
    <pivotField subtotalTop="0" showAll="0" defaultSubtotal="0"/>
    <pivotField subtotalTop="0" showAll="0" defaultSubtotal="0"/>
    <pivotField subtotalTop="0" showAll="0" defaultSubtotal="0"/>
    <pivotField dataField="1" subtotalTop="0" showAll="0" defaultSubtotal="0"/>
    <pivotField axis="axisPage" showAll="0" sortType="descending" defaultSubtotal="0">
      <items count="13">
        <item sd="0" x="10"/>
        <item sd="0" x="3"/>
        <item sd="0" x="8"/>
        <item sd="0" x="5"/>
        <item sd="0" x="2"/>
        <item sd="0" m="1" x="12"/>
        <item sd="0" x="0"/>
        <item x="7"/>
        <item sd="0" x="1"/>
        <item sd="0" x="4"/>
        <item sd="0" x="9"/>
        <item x="6"/>
        <item m="1" x="11"/>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dataField="1" dragToRow="0" dragToCol="0" dragToPage="0" showAll="0" defaultSubtotal="0"/>
  </pivotFields>
  <rowFields count="1">
    <field x="1"/>
  </rowFields>
  <rowItems count="98">
    <i>
      <x v="344"/>
    </i>
    <i>
      <x v="426"/>
    </i>
    <i>
      <x v="399"/>
    </i>
    <i>
      <x v="168"/>
    </i>
    <i>
      <x v="228"/>
    </i>
    <i>
      <x v="216"/>
    </i>
    <i>
      <x v="161"/>
    </i>
    <i>
      <x v="403"/>
    </i>
    <i>
      <x v="258"/>
    </i>
    <i>
      <x v="195"/>
    </i>
    <i>
      <x v="38"/>
    </i>
    <i>
      <x v="115"/>
    </i>
    <i>
      <x v="178"/>
    </i>
    <i>
      <x v="546"/>
    </i>
    <i>
      <x v="35"/>
    </i>
    <i>
      <x v="34"/>
    </i>
    <i>
      <x v="320"/>
    </i>
    <i>
      <x v="76"/>
    </i>
    <i>
      <x v="159"/>
    </i>
    <i>
      <x v="515"/>
    </i>
    <i>
      <x v="274"/>
    </i>
    <i>
      <x v="357"/>
    </i>
    <i>
      <x v="527"/>
    </i>
    <i>
      <x v="214"/>
    </i>
    <i>
      <x v="674"/>
    </i>
    <i>
      <x v="672"/>
    </i>
    <i>
      <x v="538"/>
    </i>
    <i>
      <x v="415"/>
    </i>
    <i>
      <x v="410"/>
    </i>
    <i>
      <x v="165"/>
    </i>
    <i>
      <x v="273"/>
    </i>
    <i>
      <x v="140"/>
    </i>
    <i>
      <x v="31"/>
    </i>
    <i>
      <x v="69"/>
    </i>
    <i>
      <x v="418"/>
    </i>
    <i>
      <x v="317"/>
    </i>
    <i>
      <x v="416"/>
    </i>
    <i>
      <x v="541"/>
    </i>
    <i>
      <x v="535"/>
    </i>
    <i>
      <x v="124"/>
    </i>
    <i>
      <x v="409"/>
    </i>
    <i>
      <x v="167"/>
    </i>
    <i>
      <x/>
    </i>
    <i>
      <x v="680"/>
    </i>
    <i>
      <x v="679"/>
    </i>
    <i>
      <x v="277"/>
    </i>
    <i>
      <x v="234"/>
    </i>
    <i>
      <x v="205"/>
    </i>
    <i>
      <x v="319"/>
    </i>
    <i>
      <x v="297"/>
    </i>
    <i>
      <x v="314"/>
    </i>
    <i>
      <x v="340"/>
    </i>
    <i>
      <x v="108"/>
    </i>
    <i>
      <x v="114"/>
    </i>
    <i>
      <x v="190"/>
    </i>
    <i>
      <x v="271"/>
    </i>
    <i>
      <x v="128"/>
    </i>
    <i>
      <x v="558"/>
    </i>
    <i>
      <x v="606"/>
    </i>
    <i>
      <x v="555"/>
    </i>
    <i>
      <x v="570"/>
    </i>
    <i>
      <x v="149"/>
    </i>
    <i>
      <x v="260"/>
    </i>
    <i>
      <x v="681"/>
    </i>
    <i>
      <x v="604"/>
    </i>
    <i>
      <x v="483"/>
    </i>
    <i>
      <x v="583"/>
    </i>
    <i>
      <x v="578"/>
    </i>
    <i>
      <x v="9"/>
    </i>
    <i>
      <x v="603"/>
    </i>
    <i>
      <x v="482"/>
    </i>
    <i>
      <x v="697"/>
    </i>
    <i>
      <x v="564"/>
    </i>
    <i>
      <x v="548"/>
    </i>
    <i>
      <x v="692"/>
    </i>
    <i>
      <x v="625"/>
    </i>
    <i>
      <x v="207"/>
    </i>
    <i>
      <x v="628"/>
    </i>
    <i>
      <x v="637"/>
    </i>
    <i>
      <x v="698"/>
    </i>
    <i>
      <x v="84"/>
    </i>
    <i>
      <x v="66"/>
    </i>
    <i>
      <x v="425"/>
    </i>
    <i>
      <x v="638"/>
    </i>
    <i>
      <x v="265"/>
    </i>
    <i>
      <x v="272"/>
    </i>
    <i>
      <x v="594"/>
    </i>
    <i>
      <x v="634"/>
    </i>
    <i>
      <x v="342"/>
    </i>
    <i>
      <x v="226"/>
    </i>
    <i>
      <x v="615"/>
    </i>
    <i>
      <x v="152"/>
    </i>
    <i>
      <x v="542"/>
    </i>
    <i>
      <x v="173"/>
    </i>
    <i>
      <x v="212"/>
    </i>
    <i>
      <x v="368"/>
    </i>
    <i>
      <x v="531"/>
    </i>
    <i t="grand">
      <x/>
    </i>
  </rowItems>
  <colFields count="1">
    <field x="-2"/>
  </colFields>
  <colItems count="3">
    <i>
      <x/>
    </i>
    <i i="1">
      <x v="1"/>
    </i>
    <i i="2">
      <x v="2"/>
    </i>
  </colItems>
  <pageFields count="3">
    <pageField fld="5" hier="-1"/>
    <pageField fld="0" hier="-1"/>
    <pageField fld="10" hier="-1"/>
  </pageFields>
  <dataFields count="3">
    <dataField name="Average of proj" fld="3" subtotal="average" baseField="1" baseItem="355" numFmtId="2"/>
    <dataField name="Sum of total STD" fld="14" baseField="1" baseItem="146" numFmtId="2"/>
    <dataField name="Sum of Var" fld="9" baseField="1" baseItem="146"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7" dataPosition="0"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99:E145" firstHeaderRow="0" firstDataRow="1" firstDataCol="1" rowPageCount="1" colPageCount="1"/>
  <pivotFields count="21">
    <pivotField axis="axisRow" subtotalTop="0" showAll="0" sortType="descending" defaultSubtotal="0">
      <items count="266">
        <item sd="0" m="1" x="179"/>
        <item sd="0" x="0"/>
        <item sd="0" m="1" x="238"/>
        <item sd="0" x="1"/>
        <item sd="0" x="2"/>
        <item sd="0" m="1" x="171"/>
        <item sd="0" x="3"/>
        <item sd="0" x="4"/>
        <item sd="0" x="5"/>
        <item sd="0" x="6"/>
        <item sd="0" x="7"/>
        <item sd="0" x="8"/>
        <item sd="0" x="9"/>
        <item sd="0" x="10"/>
        <item sd="0" x="11"/>
        <item sd="0" m="1" x="188"/>
        <item sd="0" m="1" x="203"/>
        <item sd="0" x="13"/>
        <item sd="0" x="15"/>
        <item sd="0" m="1" x="234"/>
        <item sd="0" x="146"/>
        <item sd="0" x="16"/>
        <item sd="0" m="1" x="215"/>
        <item sd="0" x="17"/>
        <item sd="0" m="1" x="190"/>
        <item sd="0" x="18"/>
        <item sd="0" m="1" x="232"/>
        <item sd="0" m="1" x="177"/>
        <item sd="0" x="147"/>
        <item sd="0" x="148"/>
        <item sd="0" m="1" x="247"/>
        <item sd="0" m="1" x="248"/>
        <item sd="0" x="129"/>
        <item sd="0" x="20"/>
        <item sd="0" m="1" x="240"/>
        <item sd="0" x="149"/>
        <item sd="0" x="21"/>
        <item sd="0" x="22"/>
        <item sd="0" x="150"/>
        <item sd="0" m="1" x="220"/>
        <item sd="0" m="1" x="243"/>
        <item sd="0" x="130"/>
        <item sd="0" x="23"/>
        <item sd="0" x="24"/>
        <item sd="0" m="1" x="194"/>
        <item sd="0" m="1" x="239"/>
        <item sd="0" x="25"/>
        <item sd="0" m="1" x="245"/>
        <item sd="0" x="26"/>
        <item sd="0" x="151"/>
        <item sd="0" m="1" x="262"/>
        <item sd="0" x="28"/>
        <item sd="0" x="131"/>
        <item sd="0" m="1" x="175"/>
        <item sd="0" x="29"/>
        <item sd="0" x="30"/>
        <item sd="0" x="32"/>
        <item sd="0" x="33"/>
        <item sd="0" m="1" x="173"/>
        <item sd="0" x="34"/>
        <item sd="0" m="1" x="225"/>
        <item sd="0" x="35"/>
        <item sd="0" m="1" x="265"/>
        <item sd="0" x="36"/>
        <item sd="0" m="1" x="198"/>
        <item sd="0" x="37"/>
        <item sd="0" x="38"/>
        <item sd="0" m="1" x="259"/>
        <item sd="0" x="39"/>
        <item sd="0" m="1" x="168"/>
        <item sd="0" x="40"/>
        <item sd="0" m="1" x="204"/>
        <item sd="0" x="41"/>
        <item sd="0" m="1" x="227"/>
        <item sd="0" x="152"/>
        <item sd="0" m="1" x="200"/>
        <item sd="0" m="1" x="219"/>
        <item sd="0" m="1" x="255"/>
        <item sd="0" x="42"/>
        <item sd="0" m="1" x="187"/>
        <item sd="0" x="43"/>
        <item sd="0" x="44"/>
        <item sd="0" x="45"/>
        <item sd="0" m="1" x="237"/>
        <item sd="0" m="1" x="193"/>
        <item sd="0" m="1" x="205"/>
        <item sd="0" x="48"/>
        <item sd="0" x="49"/>
        <item sd="0" x="132"/>
        <item sd="0" x="50"/>
        <item sd="0" x="133"/>
        <item sd="0" x="134"/>
        <item sd="0" m="1" x="201"/>
        <item sd="0" m="1" x="181"/>
        <item sd="0" m="1" x="261"/>
        <item sd="0" x="51"/>
        <item sd="0" m="1" x="218"/>
        <item sd="0" x="153"/>
        <item sd="0" x="135"/>
        <item sd="0" x="52"/>
        <item sd="0" m="1" x="167"/>
        <item sd="0" x="54"/>
        <item sd="0" x="55"/>
        <item sd="0" x="56"/>
        <item sd="0" m="1" x="216"/>
        <item sd="0" m="1" x="210"/>
        <item sd="0" x="57"/>
        <item sd="0" m="1" x="191"/>
        <item sd="0" m="1" x="226"/>
        <item sd="0" m="1" x="222"/>
        <item sd="0" x="58"/>
        <item sd="0" m="1" x="257"/>
        <item sd="0" m="1" x="254"/>
        <item sd="0" m="1" x="180"/>
        <item sd="0" m="1" x="197"/>
        <item sd="0" m="1" x="174"/>
        <item sd="0" x="60"/>
        <item sd="0" x="61"/>
        <item sd="0" x="62"/>
        <item sd="0" m="1" x="208"/>
        <item sd="0" x="63"/>
        <item sd="0" x="64"/>
        <item sd="0" x="66"/>
        <item sd="0" m="1" x="224"/>
        <item sd="0" x="69"/>
        <item sd="0" x="71"/>
        <item sd="0" x="137"/>
        <item sd="0" m="1" x="217"/>
        <item sd="0" m="1" x="182"/>
        <item sd="0" x="72"/>
        <item sd="0" x="74"/>
        <item sd="0" m="1" x="221"/>
        <item sd="0" m="1" x="250"/>
        <item sd="0" x="75"/>
        <item sd="0" x="76"/>
        <item sd="0" x="77"/>
        <item sd="0" x="78"/>
        <item sd="0" x="79"/>
        <item sd="0" x="80"/>
        <item sd="0" x="81"/>
        <item sd="0" x="82"/>
        <item sd="0" m="1" x="244"/>
        <item sd="0" x="83"/>
        <item sd="0" x="84"/>
        <item sd="0" m="1" x="176"/>
        <item sd="0" x="154"/>
        <item sd="0" m="1" x="253"/>
        <item sd="0" m="1" x="195"/>
        <item sd="0" m="1" x="185"/>
        <item sd="0" x="87"/>
        <item sd="0" m="1" x="214"/>
        <item sd="0" m="1" x="172"/>
        <item sd="0" x="88"/>
        <item sd="0" x="138"/>
        <item sd="0" x="139"/>
        <item sd="0" m="1" x="209"/>
        <item sd="0" x="140"/>
        <item sd="0" x="90"/>
        <item sd="0" x="91"/>
        <item sd="0" x="92"/>
        <item sd="0" m="1" x="202"/>
        <item sd="0" x="93"/>
        <item sd="0" x="94"/>
        <item sd="0" m="1" x="206"/>
        <item sd="0" m="1" x="228"/>
        <item sd="0" m="1" x="192"/>
        <item sd="0" x="95"/>
        <item sd="0" x="96"/>
        <item sd="0" m="1" x="242"/>
        <item sd="0" x="156"/>
        <item sd="0" x="157"/>
        <item sd="0" x="158"/>
        <item sd="0" m="1" x="223"/>
        <item sd="0" m="1" x="260"/>
        <item sd="0" x="99"/>
        <item sd="0" m="1" x="189"/>
        <item sd="0" m="1" x="235"/>
        <item sd="0" x="159"/>
        <item sd="0" x="102"/>
        <item sd="0" x="160"/>
        <item sd="0" m="1" x="252"/>
        <item sd="0" m="1" x="170"/>
        <item sd="0" x="105"/>
        <item sd="0" m="1" x="249"/>
        <item sd="0" x="141"/>
        <item sd="0" x="106"/>
        <item sd="0" x="107"/>
        <item sd="0" m="1" x="213"/>
        <item sd="0" x="109"/>
        <item sd="0" x="110"/>
        <item sd="0" m="1" x="251"/>
        <item sd="0" x="142"/>
        <item sd="0" x="161"/>
        <item sd="0" m="1" x="233"/>
        <item sd="0" x="111"/>
        <item sd="0" x="162"/>
        <item sd="0" m="1" x="236"/>
        <item sd="0" x="114"/>
        <item sd="0" x="144"/>
        <item sd="0" m="1" x="183"/>
        <item sd="0" m="1" x="258"/>
        <item sd="0" x="116"/>
        <item sd="0" m="1" x="196"/>
        <item sd="0" x="117"/>
        <item sd="0" m="1" x="231"/>
        <item sd="0" m="1" x="263"/>
        <item sd="0" x="118"/>
        <item sd="0" x="163"/>
        <item sd="0" m="1" x="169"/>
        <item sd="0" x="164"/>
        <item sd="0" x="119"/>
        <item sd="0" x="120"/>
        <item sd="0" x="121"/>
        <item sd="0" x="122"/>
        <item sd="0" m="1" x="241"/>
        <item sd="0" x="124"/>
        <item sd="0" m="1" x="264"/>
        <item sd="0" x="125"/>
        <item sd="0" x="126"/>
        <item sd="0" m="1" x="184"/>
        <item sd="0" m="1" x="211"/>
        <item sd="0" x="165"/>
        <item sd="0" x="145"/>
        <item sd="0" x="127"/>
        <item sd="0" x="128"/>
        <item sd="0" m="1" x="230"/>
        <item x="136"/>
        <item m="1" x="199"/>
        <item m="1" x="256"/>
        <item m="1" x="246"/>
        <item x="104"/>
        <item x="68"/>
        <item m="1" x="229"/>
        <item x="86"/>
        <item m="1" x="178"/>
        <item m="1" x="212"/>
        <item x="12"/>
        <item x="31"/>
        <item x="108"/>
        <item x="112"/>
        <item x="67"/>
        <item x="59"/>
        <item x="65"/>
        <item x="73"/>
        <item x="53"/>
        <item x="46"/>
        <item m="1" x="186"/>
        <item m="1" x="207"/>
        <item x="27"/>
        <item x="100"/>
        <item x="115"/>
        <item x="47"/>
        <item x="89"/>
        <item x="97"/>
        <item x="98"/>
        <item x="101"/>
        <item x="113"/>
        <item x="143"/>
        <item x="14"/>
        <item x="19"/>
        <item x="123"/>
        <item x="103"/>
        <item x="70"/>
        <item x="155"/>
        <item m="1" x="166"/>
        <item x="85"/>
      </items>
      <autoSortScope>
        <pivotArea dataOnly="0" outline="0" fieldPosition="0">
          <references count="1">
            <reference field="4294967294" count="1" selected="0">
              <x v="2"/>
            </reference>
          </references>
        </pivotArea>
      </autoSortScope>
    </pivotField>
    <pivotField axis="axisRow" subtotalTop="0" showAll="0" defaultSubtotal="0">
      <items count="17">
        <item x="0"/>
        <item x="1"/>
        <item x="2"/>
        <item x="3"/>
        <item x="4"/>
        <item m="1" x="8"/>
        <item m="1" x="11"/>
        <item m="1" x="12"/>
        <item m="1" x="13"/>
        <item m="1" x="14"/>
        <item m="1" x="15"/>
        <item m="1" x="16"/>
        <item m="1" x="5"/>
        <item m="1" x="6"/>
        <item m="1" x="7"/>
        <item m="1" x="9"/>
        <item m="1" x="10"/>
      </items>
    </pivotField>
    <pivotField subtotalTop="0" showAll="0" defaultSubtotal="0"/>
    <pivotField subtotalTop="0" showAll="0" defaultSubtotal="0"/>
    <pivotField dataField="1" subtotalTop="0" showAll="0" defaultSubtotal="0"/>
    <pivotField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subtotalTop="0" showAll="0" defaultSubtotal="0"/>
    <pivotField dataField="1" subtotalTop="0" showAll="0" defaultSubtotal="0"/>
    <pivotField subtotalTop="0" showAll="0" defaultSubtotal="0"/>
    <pivotField subtotalTop="0" showAll="0" defaultSubtotal="0"/>
    <pivotField axis="axisPage" subtotalTop="0" multipleItemSelectionAllowed="1" showAll="0" defaultSubtotal="0">
      <items count="7">
        <item h="1" sd="0" x="1"/>
        <item sd="0" x="2"/>
        <item h="1" sd="0" x="0"/>
        <item h="1" sd="0" x="3"/>
        <item h="1" sd="0" x="5"/>
        <item h="1" sd="0" x="4"/>
        <item h="1" sd="0" m="1" x="6"/>
      </items>
    </pivotField>
    <pivotField axis="axisRow" subtotalTop="0" showAll="0" sortType="descending" defaultSubtotal="0">
      <items count="12">
        <item h="1" sd="0" x="1"/>
        <item sd="0" x="7"/>
        <item sd="0" x="8"/>
        <item sd="0" x="4"/>
        <item sd="0" x="2"/>
        <item sd="0" x="0"/>
        <item sd="0" m="1" x="11"/>
        <item sd="0" x="5"/>
        <item sd="0" x="9"/>
        <item sd="0" x="10"/>
        <item x="3"/>
        <item h="1" x="6"/>
      </items>
      <autoSortScope>
        <pivotArea dataOnly="0" outline="0" fieldPosition="0">
          <references count="1">
            <reference field="4294967294" count="1" selected="0">
              <x v="2"/>
            </reference>
          </references>
        </pivotArea>
      </autoSortScope>
    </pivotField>
    <pivotField dataField="1" dragToRow="0" dragToCol="0" dragToPage="0" showAll="0" defaultSubtotal="0"/>
    <pivotField dataField="1" dragToRow="0" dragToCol="0" dragToPage="0" showAll="0" defaultSubtotal="0"/>
  </pivotFields>
  <rowFields count="3">
    <field x="0"/>
    <field x="18"/>
    <field x="1"/>
  </rowFields>
  <rowItems count="46">
    <i>
      <x v="13"/>
    </i>
    <i>
      <x v="210"/>
    </i>
    <i>
      <x v="159"/>
    </i>
    <i>
      <x v="86"/>
    </i>
    <i>
      <x v="82"/>
    </i>
    <i>
      <x v="101"/>
    </i>
    <i>
      <x v="149"/>
    </i>
    <i>
      <x v="36"/>
    </i>
    <i>
      <x v="244"/>
    </i>
    <i r="1">
      <x v="1"/>
    </i>
    <i>
      <x v="117"/>
    </i>
    <i>
      <x v="129"/>
    </i>
    <i>
      <x v="6"/>
    </i>
    <i>
      <x v="110"/>
    </i>
    <i>
      <x v="46"/>
    </i>
    <i>
      <x v="252"/>
    </i>
    <i r="1">
      <x v="8"/>
    </i>
    <i>
      <x v="55"/>
    </i>
    <i>
      <x v="256"/>
    </i>
    <i r="1">
      <x v="5"/>
    </i>
    <i>
      <x v="23"/>
    </i>
    <i>
      <x v="9"/>
    </i>
    <i>
      <x v="238"/>
    </i>
    <i r="1">
      <x v="3"/>
    </i>
    <i>
      <x v="7"/>
    </i>
    <i>
      <x v="249"/>
    </i>
    <i r="1">
      <x v="8"/>
    </i>
    <i>
      <x v="120"/>
    </i>
    <i>
      <x v="68"/>
    </i>
    <i>
      <x v="138"/>
    </i>
    <i>
      <x v="250"/>
    </i>
    <i r="1">
      <x v="5"/>
    </i>
    <i>
      <x v="99"/>
    </i>
    <i>
      <x v="51"/>
    </i>
    <i>
      <x v="242"/>
    </i>
    <i r="1">
      <x v="8"/>
    </i>
    <i>
      <x v="66"/>
    </i>
    <i>
      <x v="230"/>
    </i>
    <i r="1">
      <x v="4"/>
    </i>
    <i>
      <x v="142"/>
    </i>
    <i>
      <x v="143"/>
    </i>
    <i>
      <x v="254"/>
    </i>
    <i r="1">
      <x v="5"/>
    </i>
    <i>
      <x v="140"/>
    </i>
    <i>
      <x v="61"/>
    </i>
    <i t="grand">
      <x/>
    </i>
  </rowItems>
  <colFields count="1">
    <field x="-2"/>
  </colFields>
  <colItems count="4">
    <i>
      <x/>
    </i>
    <i i="1">
      <x v="1"/>
    </i>
    <i i="2">
      <x v="2"/>
    </i>
    <i i="3">
      <x v="3"/>
    </i>
  </colItems>
  <pageFields count="1">
    <pageField fld="17" hier="-1"/>
  </pageFields>
  <dataFields count="4">
    <dataField name="Sum of Beat Proj" fld="19" baseField="17" baseItem="8"/>
    <dataField name="Average of Proj2" fld="14" subtotal="average" baseField="16" baseItem="0"/>
    <dataField name="Average of Final" fld="4" subtotal="average" baseField="17" baseItem="1"/>
    <dataField name="Sum of Std tot" fld="20" baseField="0" baseItem="0"/>
  </dataFields>
  <formats count="4">
    <format dxfId="42">
      <pivotArea dataOnly="0" outline="0" fieldPosition="0">
        <references count="1">
          <reference field="4294967294" count="3">
            <x v="0"/>
            <x v="1"/>
            <x v="2"/>
          </reference>
        </references>
      </pivotArea>
    </format>
    <format dxfId="41">
      <pivotArea dataOnly="0" outline="0" fieldPosition="0">
        <references count="1">
          <reference field="4294967294" count="3">
            <x v="0"/>
            <x v="1"/>
            <x v="2"/>
          </reference>
        </references>
      </pivotArea>
    </format>
    <format dxfId="40">
      <pivotArea dataOnly="0" outline="0" fieldPosition="0">
        <references count="1">
          <reference field="4294967294" count="1">
            <x v="3"/>
          </reference>
        </references>
      </pivotArea>
    </format>
    <format dxfId="39">
      <pivotArea dataOnly="0" outline="0"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24" dataPosition="0" applyNumberFormats="0" applyBorderFormats="0" applyFontFormats="0" applyPatternFormats="0" applyAlignmentFormats="0" applyWidthHeightFormats="1" dataCaption="Values" updatedVersion="4" minRefreshableVersion="3" useAutoFormatting="1" itemPrintTitles="1" createdVersion="6" indent="0" outline="1" outlineData="1" multipleFieldFilters="0">
  <location ref="AB1:BD252" firstHeaderRow="1" firstDataRow="3" firstDataCol="1"/>
  <pivotFields count="23">
    <pivotField axis="axisRow" subtotalTop="0" showAll="0" sortType="descending">
      <items count="232">
        <item sd="0" x="158"/>
        <item sd="0" x="98"/>
        <item sd="0" x="28"/>
        <item x="119"/>
        <item sd="0" x="80"/>
        <item sd="0" x="220"/>
        <item sd="0" x="83"/>
        <item sd="0" x="41"/>
        <item sd="0" x="29"/>
        <item sd="0" x="60"/>
        <item sd="0" x="139"/>
        <item sd="0" x="210"/>
        <item sd="0" x="26"/>
        <item sd="0" x="72"/>
        <item sd="0" x="66"/>
        <item sd="0" x="91"/>
        <item sd="0" x="90"/>
        <item sd="0" x="9"/>
        <item sd="0" x="189"/>
        <item sd="0" x="50"/>
        <item sd="0" x="186"/>
        <item sd="0" x="88"/>
        <item sd="0" x="131"/>
        <item sd="0" x="160"/>
        <item sd="0" x="51"/>
        <item sd="0" x="105"/>
        <item sd="0" x="152"/>
        <item sd="0" x="222"/>
        <item sd="0" x="85"/>
        <item sd="0" x="183"/>
        <item sd="0" x="166"/>
        <item sd="0" x="61"/>
        <item sd="0" x="195"/>
        <item sd="0" x="106"/>
        <item sd="0" x="18"/>
        <item sd="0" x="65"/>
        <item sd="0" x="78"/>
        <item sd="0" x="42"/>
        <item sd="0" x="133"/>
        <item sd="0" x="198"/>
        <item sd="0" x="62"/>
        <item sd="0" x="120"/>
        <item sd="0" x="208"/>
        <item sd="0" x="54"/>
        <item sd="0" x="146"/>
        <item sd="0" x="32"/>
        <item sd="0" x="43"/>
        <item sd="0" x="184"/>
        <item sd="0" x="205"/>
        <item sd="0" x="10"/>
        <item sd="0" x="111"/>
        <item sd="0" x="130"/>
        <item sd="0" x="144"/>
        <item sd="0" x="171"/>
        <item sd="0" x="13"/>
        <item sd="0" x="230"/>
        <item sd="0" x="70"/>
        <item sd="0" x="102"/>
        <item sd="0" x="19"/>
        <item sd="0" x="142"/>
        <item sd="0" x="53"/>
        <item sd="0" x="87"/>
        <item sd="0" x="48"/>
        <item sd="0" x="7"/>
        <item sd="0" x="93"/>
        <item sd="0" x="81"/>
        <item sd="0" x="145"/>
        <item sd="0" x="64"/>
        <item sd="0" x="176"/>
        <item sd="0" x="94"/>
        <item sd="0" x="97"/>
        <item sd="0" x="16"/>
        <item sd="0" x="114"/>
        <item sd="0" x="199"/>
        <item sd="0" x="149"/>
        <item sd="0" x="159"/>
        <item sd="0" x="228"/>
        <item sd="0" x="217"/>
        <item sd="0" x="49"/>
        <item sd="0" x="190"/>
        <item sd="0" x="125"/>
        <item sd="0" x="74"/>
        <item sd="0" x="45"/>
        <item sd="0" x="163"/>
        <item sd="0" x="96"/>
        <item sd="0" x="185"/>
        <item sd="0" x="187"/>
        <item sd="0" x="154"/>
        <item sd="0" x="67"/>
        <item sd="0" x="214"/>
        <item sd="0" x="99"/>
        <item sd="0" x="172"/>
        <item sd="0" x="157"/>
        <item sd="0" x="17"/>
        <item sd="0" x="191"/>
        <item sd="0" x="167"/>
        <item sd="0" x="179"/>
        <item sd="0" x="86"/>
        <item sd="0" x="63"/>
        <item sd="0" x="110"/>
        <item sd="0" x="89"/>
        <item sd="0" x="203"/>
        <item sd="0" x="118"/>
        <item sd="0" x="162"/>
        <item sd="0" x="73"/>
        <item sd="0" x="227"/>
        <item sd="0" x="35"/>
        <item sd="0" x="224"/>
        <item sd="0" x="180"/>
        <item sd="0" x="127"/>
        <item sd="0" x="104"/>
        <item sd="0" x="192"/>
        <item sd="0" x="4"/>
        <item sd="0" x="52"/>
        <item sd="0" x="123"/>
        <item sd="0" x="226"/>
        <item sd="0" x="59"/>
        <item sd="0" x="117"/>
        <item sd="0" x="134"/>
        <item sd="0" x="79"/>
        <item sd="0" x="150"/>
        <item sd="0" x="116"/>
        <item sd="0" x="115"/>
        <item sd="0" x="200"/>
        <item sd="0" x="168"/>
        <item sd="0" x="140"/>
        <item sd="0" x="39"/>
        <item sd="0" x="6"/>
        <item sd="0" x="202"/>
        <item sd="0" x="141"/>
        <item sd="0" x="122"/>
        <item sd="0" x="174"/>
        <item sd="0" x="151"/>
        <item sd="0" x="223"/>
        <item sd="0" x="207"/>
        <item sd="0" x="68"/>
        <item sd="0" x="194"/>
        <item sd="0" x="92"/>
        <item sd="0" x="164"/>
        <item sd="0" x="55"/>
        <item sd="0" x="15"/>
        <item sd="0" x="75"/>
        <item sd="0" x="137"/>
        <item sd="0" x="95"/>
        <item sd="0" x="108"/>
        <item sd="0" x="77"/>
        <item sd="0" x="76"/>
        <item sd="0" x="126"/>
        <item sd="0" x="112"/>
        <item sd="0" x="181"/>
        <item sd="0" x="14"/>
        <item sd="0" x="113"/>
        <item sd="0" x="169"/>
        <item sd="0" x="1"/>
        <item sd="0" x="188"/>
        <item sd="0" x="121"/>
        <item sd="0" x="47"/>
        <item sd="0" x="3"/>
        <item sd="0" x="101"/>
        <item sd="0" x="153"/>
        <item sd="0" x="11"/>
        <item sd="0" x="33"/>
        <item sd="0" x="56"/>
        <item sd="0" x="71"/>
        <item sd="0" x="219"/>
        <item sd="0" x="201"/>
        <item sd="0" x="178"/>
        <item sd="0" x="124"/>
        <item sd="0" x="206"/>
        <item sd="0" x="36"/>
        <item sd="0" x="218"/>
        <item sd="0" x="156"/>
        <item sd="0" x="24"/>
        <item sd="0" x="12"/>
        <item sd="0" x="213"/>
        <item sd="0" x="204"/>
        <item sd="0" x="44"/>
        <item sd="0" x="165"/>
        <item sd="0" x="212"/>
        <item sd="0" x="148"/>
        <item sd="0" x="129"/>
        <item sd="0" x="34"/>
        <item sd="0" x="221"/>
        <item sd="0" x="147"/>
        <item sd="0" x="143"/>
        <item sd="0" x="82"/>
        <item sd="0" x="136"/>
        <item sd="0" x="175"/>
        <item sd="0" x="107"/>
        <item sd="0" x="0"/>
        <item sd="0" x="225"/>
        <item sd="0" x="20"/>
        <item sd="0" x="109"/>
        <item sd="0" x="173"/>
        <item sd="0" x="196"/>
        <item sd="0" x="155"/>
        <item sd="0" x="132"/>
        <item sd="0" x="182"/>
        <item sd="0" x="40"/>
        <item sd="0" x="100"/>
        <item sd="0" x="69"/>
        <item sd="0" x="22"/>
        <item sd="0" x="30"/>
        <item sd="0" x="84"/>
        <item sd="0" x="21"/>
        <item sd="0" x="37"/>
        <item sd="0" x="135"/>
        <item sd="0" x="215"/>
        <item sd="0" x="161"/>
        <item sd="0" x="23"/>
        <item sd="0" x="57"/>
        <item sd="0" x="216"/>
        <item sd="0" x="25"/>
        <item sd="0" x="31"/>
        <item sd="0" x="128"/>
        <item sd="0" x="5"/>
        <item sd="0" x="58"/>
        <item sd="0" x="197"/>
        <item sd="0" x="177"/>
        <item sd="0" x="193"/>
        <item sd="0" x="211"/>
        <item sd="0" x="8"/>
        <item sd="0" x="2"/>
        <item sd="0" x="229"/>
        <item sd="0" x="103"/>
        <item sd="0" x="209"/>
        <item sd="0" x="38"/>
        <item sd="0" x="46"/>
        <item sd="0" x="138"/>
        <item sd="0" x="27"/>
        <item sd="0" x="170"/>
        <item t="default" sd="0"/>
      </items>
      <autoSortScope>
        <pivotArea dataOnly="0" outline="0" fieldPosition="0">
          <references count="1">
            <reference field="4294967294" count="1" selected="0">
              <x v="1"/>
            </reference>
          </references>
        </pivotArea>
      </autoSortScope>
    </pivotField>
    <pivotField axis="axisCol" subtotalTop="0" showAll="0">
      <items count="14">
        <item x="11"/>
        <item x="10"/>
        <item x="3"/>
        <item x="9"/>
        <item x="7"/>
        <item x="12"/>
        <item x="5"/>
        <item x="4"/>
        <item x="8"/>
        <item x="0"/>
        <item x="6"/>
        <item x="1"/>
        <item x="2"/>
        <item t="default"/>
      </items>
    </pivotField>
    <pivotField subtotalTop="0" showAll="0"/>
    <pivotField subtotalTop="0" showAll="0"/>
    <pivotField subtotalTop="0" showAll="0"/>
    <pivotField subtotalTop="0" showAll="0"/>
    <pivotField subtotalTop="0" showAll="0"/>
    <pivotField subtotalTop="0" showAll="0"/>
    <pivotField axis="axisRow" subtotalTop="0" showAll="0">
      <items count="7">
        <item x="5"/>
        <item x="1"/>
        <item x="4"/>
        <item x="2"/>
        <item x="3"/>
        <item x="0"/>
        <item t="default"/>
      </items>
    </pivotField>
    <pivotField axis="axisRow" subtotalTop="0" showAll="0" sortType="descending">
      <items count="11">
        <item sd="0" x="6"/>
        <item sd="0" x="3"/>
        <item sd="0" x="2"/>
        <item sd="0" x="5"/>
        <item sd="0" x="8"/>
        <item sd="0" x="4"/>
        <item sd="0" x="0"/>
        <item sd="0" x="7"/>
        <item sd="0" x="9"/>
        <item sd="0" x="1"/>
        <item t="default" sd="0"/>
      </items>
      <autoSortScope>
        <pivotArea dataOnly="0" outline="0" fieldPosition="0">
          <references count="1">
            <reference field="4294967294" count="1" selected="0">
              <x v="0"/>
            </reference>
          </references>
        </pivotArea>
      </autoSortScope>
    </pivotField>
    <pivotField subtotalTop="0" showAll="0"/>
    <pivotField subtotalTop="0" showAll="0"/>
    <pivotField showAll="0"/>
    <pivotField axis="axisRow" subtotalTop="0" showAll="0">
      <items count="13">
        <item x="2"/>
        <item sd="0" x="1"/>
        <item sd="0" x="8"/>
        <item sd="0" x="4"/>
        <item sd="0" x="7"/>
        <item sd="0" m="1" x="11"/>
        <item sd="0" x="3"/>
        <item sd="0" x="10"/>
        <item sd="0" x="5"/>
        <item sd="0" x="0"/>
        <item x="6"/>
        <item x="9"/>
        <item t="default" sd="0"/>
      </items>
    </pivotField>
    <pivotField subtotalTop="0" showAll="0"/>
    <pivotField subtotalTop="0" showAll="0"/>
    <pivotField numFmtId="165" subtotalTop="0" showAll="0"/>
    <pivotField numFmtId="165" subtotalTop="0" showAll="0"/>
    <pivotField dataField="1" numFmtId="165" subtotalTop="0" showAll="0"/>
    <pivotField showAll="0"/>
    <pivotField showAll="0"/>
    <pivotField showAll="0"/>
    <pivotField dataField="1" showAll="0"/>
  </pivotFields>
  <rowFields count="4">
    <field x="13"/>
    <field x="0"/>
    <field x="9"/>
    <field x="8"/>
  </rowFields>
  <rowItems count="249">
    <i>
      <x/>
    </i>
    <i r="1">
      <x v="222"/>
    </i>
    <i r="1">
      <x v="34"/>
    </i>
    <i r="1">
      <x v="213"/>
    </i>
    <i r="1">
      <x v="82"/>
    </i>
    <i r="1">
      <x v="215"/>
    </i>
    <i r="1">
      <x v="135"/>
    </i>
    <i r="1">
      <x v="204"/>
    </i>
    <i r="1">
      <x v="163"/>
    </i>
    <i r="1">
      <x v="13"/>
    </i>
    <i r="1">
      <x v="112"/>
    </i>
    <i r="1">
      <x v="60"/>
    </i>
    <i r="1">
      <x v="64"/>
    </i>
    <i r="1">
      <x v="198"/>
    </i>
    <i r="1">
      <x v="37"/>
    </i>
    <i r="1">
      <x v="41"/>
    </i>
    <i r="1">
      <x v="210"/>
    </i>
    <i r="1">
      <x v="51"/>
    </i>
    <i r="1">
      <x v="209"/>
    </i>
    <i r="1">
      <x v="70"/>
    </i>
    <i r="1">
      <x v="121"/>
    </i>
    <i r="1">
      <x v="130"/>
    </i>
    <i r="1">
      <x v="100"/>
    </i>
    <i r="1">
      <x v="8"/>
    </i>
    <i r="1">
      <x v="36"/>
    </i>
    <i r="1">
      <x v="227"/>
    </i>
    <i r="1">
      <x v="93"/>
    </i>
    <i r="1">
      <x v="44"/>
    </i>
    <i r="1">
      <x v="90"/>
    </i>
    <i r="1">
      <x v="188"/>
    </i>
    <i r="1">
      <x v="26"/>
    </i>
    <i r="1">
      <x v="72"/>
    </i>
    <i r="1">
      <x v="25"/>
    </i>
    <i r="1">
      <x/>
    </i>
    <i r="1">
      <x v="200"/>
    </i>
    <i r="1">
      <x v="67"/>
    </i>
    <i r="1">
      <x v="95"/>
    </i>
    <i r="1">
      <x v="24"/>
    </i>
    <i r="1">
      <x v="31"/>
    </i>
    <i r="1">
      <x v="98"/>
    </i>
    <i r="1">
      <x v="71"/>
    </i>
    <i r="1">
      <x v="117"/>
    </i>
    <i r="1">
      <x v="149"/>
    </i>
    <i r="1">
      <x v="161"/>
    </i>
    <i r="1">
      <x v="66"/>
    </i>
    <i r="1">
      <x v="92"/>
    </i>
    <i r="1">
      <x v="120"/>
    </i>
    <i r="1">
      <x v="68"/>
    </i>
    <i r="1">
      <x v="116"/>
    </i>
    <i r="1">
      <x v="172"/>
    </i>
    <i r="1">
      <x v="226"/>
    </i>
    <i r="1">
      <x v="18"/>
    </i>
    <i r="1">
      <x v="87"/>
    </i>
    <i r="1">
      <x v="201"/>
    </i>
    <i r="1">
      <x v="214"/>
    </i>
    <i r="1">
      <x v="79"/>
    </i>
    <i r="1">
      <x v="165"/>
    </i>
    <i r="1">
      <x v="154"/>
    </i>
    <i r="1">
      <x v="132"/>
    </i>
    <i r="1">
      <x v="157"/>
    </i>
    <i r="1">
      <x v="56"/>
    </i>
    <i r="1">
      <x v="69"/>
    </i>
    <i r="1">
      <x v="155"/>
    </i>
    <i r="1">
      <x v="119"/>
    </i>
    <i r="1">
      <x v="229"/>
    </i>
    <i r="1">
      <x v="106"/>
    </i>
    <i r="1">
      <x v="153"/>
    </i>
    <i r="1">
      <x v="113"/>
    </i>
    <i r="1">
      <x v="156"/>
    </i>
    <i r="1">
      <x v="139"/>
    </i>
    <i r="1">
      <x v="58"/>
    </i>
    <i r="1">
      <x v="74"/>
    </i>
    <i r="1">
      <x v="63"/>
    </i>
    <i r="1">
      <x v="14"/>
    </i>
    <i r="1">
      <x v="17"/>
    </i>
    <i r="1">
      <x v="108"/>
    </i>
    <i r="1">
      <x v="150"/>
    </i>
    <i r="1">
      <x v="137"/>
    </i>
    <i r="1">
      <x v="9"/>
    </i>
    <i r="1">
      <x v="40"/>
    </i>
    <i r="1">
      <x v="143"/>
    </i>
    <i r="1">
      <x v="158"/>
    </i>
    <i r="1">
      <x v="1"/>
    </i>
    <i r="1">
      <x v="54"/>
    </i>
    <i r="1">
      <x v="52"/>
    </i>
    <i r="1">
      <x v="126"/>
    </i>
    <i r="1">
      <x v="122"/>
    </i>
    <i r="1">
      <x v="148"/>
    </i>
    <i r="1">
      <x v="78"/>
    </i>
    <i r="1">
      <x v="83"/>
    </i>
    <i r="1">
      <x v="152"/>
    </i>
    <i r="1">
      <x v="211"/>
    </i>
    <i r="1">
      <x v="57"/>
    </i>
    <i r="1">
      <x v="88"/>
    </i>
    <i r="1">
      <x v="46"/>
    </i>
    <i r="1">
      <x v="84"/>
    </i>
    <i r="1">
      <x v="105"/>
    </i>
    <i r="1">
      <x v="146"/>
    </i>
    <i r="1">
      <x v="3"/>
    </i>
    <i r="2">
      <x v="3"/>
    </i>
    <i t="default" r="1">
      <x v="3"/>
    </i>
    <i r="1">
      <x v="208"/>
    </i>
    <i r="1">
      <x v="145"/>
    </i>
    <i t="default">
      <x/>
    </i>
    <i>
      <x v="1"/>
    </i>
    <i>
      <x v="2"/>
    </i>
    <i>
      <x v="3"/>
    </i>
    <i>
      <x v="4"/>
    </i>
    <i>
      <x v="6"/>
    </i>
    <i>
      <x v="7"/>
    </i>
    <i>
      <x v="8"/>
    </i>
    <i>
      <x v="9"/>
    </i>
    <i>
      <x v="10"/>
    </i>
    <i r="1">
      <x v="185"/>
    </i>
    <i r="1">
      <x v="4"/>
    </i>
    <i r="1">
      <x v="144"/>
    </i>
    <i r="1">
      <x v="50"/>
    </i>
    <i r="1">
      <x v="22"/>
    </i>
    <i r="1">
      <x v="45"/>
    </i>
    <i r="1">
      <x v="33"/>
    </i>
    <i r="1">
      <x v="128"/>
    </i>
    <i r="1">
      <x v="48"/>
    </i>
    <i r="1">
      <x v="175"/>
    </i>
    <i r="1">
      <x v="205"/>
    </i>
    <i r="1">
      <x v="43"/>
    </i>
    <i r="1">
      <x v="108"/>
    </i>
    <i r="1">
      <x v="127"/>
    </i>
    <i r="1">
      <x v="59"/>
    </i>
    <i r="1">
      <x v="134"/>
    </i>
    <i r="1">
      <x v="140"/>
    </i>
    <i r="1">
      <x v="173"/>
    </i>
    <i r="1">
      <x v="65"/>
    </i>
    <i r="1">
      <x v="174"/>
    </i>
    <i r="1">
      <x v="86"/>
    </i>
    <i r="1">
      <x v="6"/>
    </i>
    <i r="1">
      <x v="178"/>
    </i>
    <i r="1">
      <x v="93"/>
    </i>
    <i r="1">
      <x v="212"/>
    </i>
    <i r="1">
      <x v="94"/>
    </i>
    <i r="1">
      <x v="101"/>
    </i>
    <i t="default">
      <x v="10"/>
    </i>
    <i>
      <x v="11"/>
    </i>
    <i r="1">
      <x v="130"/>
    </i>
    <i r="1">
      <x v="146"/>
    </i>
    <i r="1">
      <x v="218"/>
    </i>
    <i r="1">
      <x v="166"/>
    </i>
    <i r="1">
      <x v="9"/>
    </i>
    <i r="1">
      <x v="131"/>
    </i>
    <i r="1">
      <x v="12"/>
    </i>
    <i r="1">
      <x v="157"/>
    </i>
    <i r="1">
      <x v="13"/>
    </i>
    <i r="1">
      <x v="187"/>
    </i>
    <i r="1">
      <x v="14"/>
    </i>
    <i r="1">
      <x v="121"/>
    </i>
    <i r="1">
      <x v="17"/>
    </i>
    <i r="1">
      <x v="142"/>
    </i>
    <i r="1">
      <x v="19"/>
    </i>
    <i r="1">
      <x v="152"/>
    </i>
    <i r="1">
      <x v="21"/>
    </i>
    <i r="1">
      <x v="161"/>
    </i>
    <i r="1">
      <x v="24"/>
    </i>
    <i r="1">
      <x v="177"/>
    </i>
    <i r="1">
      <x v="25"/>
    </i>
    <i r="1">
      <x v="204"/>
    </i>
    <i r="1">
      <x v="28"/>
    </i>
    <i r="1">
      <x v="227"/>
    </i>
    <i r="1">
      <x v="29"/>
    </i>
    <i r="1">
      <x v="124"/>
    </i>
    <i r="1">
      <x v="31"/>
    </i>
    <i r="1">
      <x v="137"/>
    </i>
    <i r="1">
      <x v="32"/>
    </i>
    <i r="1">
      <x v="144"/>
    </i>
    <i r="1">
      <x v="37"/>
    </i>
    <i r="1">
      <x v="150"/>
    </i>
    <i r="1">
      <x v="38"/>
    </i>
    <i r="1">
      <x v="154"/>
    </i>
    <i r="1">
      <x v="39"/>
    </i>
    <i r="1">
      <x v="159"/>
    </i>
    <i r="1">
      <x v="41"/>
    </i>
    <i r="1">
      <x v="163"/>
    </i>
    <i r="1">
      <x v="46"/>
    </i>
    <i r="1">
      <x v="172"/>
    </i>
    <i r="1">
      <x v="54"/>
    </i>
    <i r="1">
      <x v="184"/>
    </i>
    <i r="1">
      <x v="58"/>
    </i>
    <i r="1">
      <x v="199"/>
    </i>
    <i r="1">
      <x v="59"/>
    </i>
    <i r="1">
      <x v="214"/>
    </i>
    <i r="1">
      <x v="60"/>
    </i>
    <i r="1">
      <x v="222"/>
    </i>
    <i r="1">
      <x v="62"/>
    </i>
    <i r="1">
      <x v="1"/>
    </i>
    <i r="1">
      <x v="66"/>
    </i>
    <i r="1">
      <x v="122"/>
    </i>
    <i r="1">
      <x v="67"/>
    </i>
    <i r="1">
      <x v="3"/>
    </i>
    <i r="2">
      <x v="3"/>
    </i>
    <i t="default" r="1">
      <x v="3"/>
    </i>
    <i r="1">
      <x v="126"/>
    </i>
    <i r="1">
      <x v="71"/>
    </i>
    <i r="1">
      <x v="132"/>
    </i>
    <i r="1">
      <x v="72"/>
    </i>
    <i r="1">
      <x v="139"/>
    </i>
    <i r="1">
      <x v="74"/>
    </i>
    <i r="1">
      <x v="143"/>
    </i>
    <i r="1">
      <x v="81"/>
    </i>
    <i r="1">
      <x v="145"/>
    </i>
    <i r="1">
      <x v="82"/>
    </i>
    <i r="1">
      <x v="148"/>
    </i>
    <i r="1">
      <x v="84"/>
    </i>
    <i r="1">
      <x v="151"/>
    </i>
    <i r="1">
      <x v="85"/>
    </i>
    <i r="1">
      <x v="153"/>
    </i>
    <i r="1">
      <x v="87"/>
    </i>
    <i r="1">
      <x v="155"/>
    </i>
    <i r="1">
      <x v="90"/>
    </i>
    <i r="1">
      <x v="158"/>
    </i>
    <i r="1">
      <x v="91"/>
    </i>
    <i r="1">
      <x v="160"/>
    </i>
    <i r="1">
      <x v="96"/>
    </i>
    <i r="1">
      <x v="162"/>
    </i>
    <i r="1">
      <x v="97"/>
    </i>
    <i r="1">
      <x v="164"/>
    </i>
    <i r="1">
      <x v="98"/>
    </i>
    <i r="1">
      <x v="171"/>
    </i>
    <i r="1">
      <x v="99"/>
    </i>
    <i r="1">
      <x v="176"/>
    </i>
    <i r="1">
      <x v="102"/>
    </i>
    <i r="1">
      <x v="182"/>
    </i>
    <i r="1">
      <x v="103"/>
    </i>
    <i r="1">
      <x v="186"/>
    </i>
    <i r="1">
      <x v="106"/>
    </i>
    <i r="1">
      <x v="191"/>
    </i>
    <i r="1">
      <x v="109"/>
    </i>
    <i r="1">
      <x v="201"/>
    </i>
    <i r="1">
      <x v="110"/>
    </i>
    <i r="1">
      <x v="213"/>
    </i>
    <i r="1">
      <x v="111"/>
    </i>
    <i r="1">
      <x v="215"/>
    </i>
    <i r="1">
      <x v="116"/>
    </i>
    <i r="1">
      <x v="219"/>
    </i>
    <i r="1">
      <x v="117"/>
    </i>
    <i r="1">
      <x v="226"/>
    </i>
    <i r="1">
      <x v="118"/>
    </i>
    <i r="1">
      <x v="229"/>
    </i>
    <i r="1">
      <x v="119"/>
    </i>
    <i r="1">
      <x v="120"/>
    </i>
    <i t="default">
      <x v="11"/>
    </i>
    <i t="grand">
      <x/>
    </i>
  </rowItems>
  <colFields count="2">
    <field x="-2"/>
    <field x="1"/>
  </colFields>
  <colItems count="28">
    <i>
      <x/>
      <x/>
    </i>
    <i r="1">
      <x v="1"/>
    </i>
    <i r="1">
      <x v="2"/>
    </i>
    <i r="1">
      <x v="3"/>
    </i>
    <i r="1">
      <x v="4"/>
    </i>
    <i r="1">
      <x v="5"/>
    </i>
    <i r="1">
      <x v="6"/>
    </i>
    <i r="1">
      <x v="7"/>
    </i>
    <i r="1">
      <x v="8"/>
    </i>
    <i r="1">
      <x v="9"/>
    </i>
    <i r="1">
      <x v="10"/>
    </i>
    <i r="1">
      <x v="11"/>
    </i>
    <i r="1">
      <x v="12"/>
    </i>
    <i i="1">
      <x v="1"/>
      <x/>
    </i>
    <i r="1" i="1">
      <x v="1"/>
    </i>
    <i r="1" i="1">
      <x v="2"/>
    </i>
    <i r="1" i="1">
      <x v="3"/>
    </i>
    <i r="1" i="1">
      <x v="4"/>
    </i>
    <i r="1" i="1">
      <x v="5"/>
    </i>
    <i r="1" i="1">
      <x v="6"/>
    </i>
    <i r="1" i="1">
      <x v="7"/>
    </i>
    <i r="1" i="1">
      <x v="8"/>
    </i>
    <i r="1" i="1">
      <x v="9"/>
    </i>
    <i r="1" i="1">
      <x v="10"/>
    </i>
    <i r="1" i="1">
      <x v="11"/>
    </i>
    <i r="1" i="1">
      <x v="12"/>
    </i>
    <i t="grand">
      <x/>
    </i>
    <i t="grand" i="1">
      <x/>
    </i>
  </colItems>
  <dataFields count="2">
    <dataField name="Sum of Diff" fld="18" baseField="0" baseItem="212" numFmtId="2"/>
    <dataField name="Sum of Last Diff" fld="22" baseField="9" baseItem="7" numFmtId="2"/>
  </dataFields>
  <formats count="18">
    <format dxfId="38">
      <pivotArea collapsedLevelsAreSubtotals="1" fieldPosition="0">
        <references count="1">
          <reference field="9" count="0"/>
        </references>
      </pivotArea>
    </format>
    <format dxfId="37">
      <pivotArea collapsedLevelsAreSubtotals="1" fieldPosition="0">
        <references count="1">
          <reference field="9" count="0"/>
        </references>
      </pivotArea>
    </format>
    <format dxfId="36">
      <pivotArea collapsedLevelsAreSubtotals="1" fieldPosition="0">
        <references count="1">
          <reference field="9" count="0"/>
        </references>
      </pivotArea>
    </format>
    <format dxfId="35">
      <pivotArea collapsedLevelsAreSubtotals="1" fieldPosition="0">
        <references count="1">
          <reference field="9" count="0"/>
        </references>
      </pivotArea>
    </format>
    <format dxfId="34">
      <pivotArea collapsedLevelsAreSubtotals="1" fieldPosition="0">
        <references count="1">
          <reference field="9" count="0"/>
        </references>
      </pivotArea>
    </format>
    <format dxfId="33">
      <pivotArea collapsedLevelsAreSubtotals="1" fieldPosition="0">
        <references count="1">
          <reference field="9" count="0"/>
        </references>
      </pivotArea>
    </format>
    <format dxfId="32">
      <pivotArea collapsedLevelsAreSubtotals="1" fieldPosition="0">
        <references count="1">
          <reference field="9" count="0"/>
        </references>
      </pivotArea>
    </format>
    <format dxfId="31">
      <pivotArea collapsedLevelsAreSubtotals="1" fieldPosition="0">
        <references count="1">
          <reference field="9" count="0"/>
        </references>
      </pivotArea>
    </format>
    <format dxfId="30">
      <pivotArea collapsedLevelsAreSubtotals="1" fieldPosition="0">
        <references count="1">
          <reference field="9" count="0"/>
        </references>
      </pivotArea>
    </format>
    <format dxfId="29">
      <pivotArea collapsedLevelsAreSubtotals="1" fieldPosition="0">
        <references count="1">
          <reference field="9" count="0"/>
        </references>
      </pivotArea>
    </format>
    <format dxfId="28">
      <pivotArea outline="0" collapsedLevelsAreSubtotals="1" fieldPosition="0"/>
    </format>
    <format dxfId="27">
      <pivotArea dataOnly="0" labelOnly="1" outline="0" axis="axisValues" fieldPosition="0"/>
    </format>
    <format dxfId="26">
      <pivotArea dataOnly="0" labelOnly="1" outline="0" axis="axisValues" fieldPosition="0"/>
    </format>
    <format dxfId="25">
      <pivotArea outline="0" collapsedLevelsAreSubtotals="1" fieldPosition="0"/>
    </format>
    <format dxfId="24">
      <pivotArea dataOnly="0" labelOnly="1" outline="0" axis="axisValues" fieldPosition="0"/>
    </format>
    <format dxfId="23">
      <pivotArea dataOnly="0" labelOnly="1" outline="0" axis="axisValues" fieldPosition="0"/>
    </format>
    <format dxfId="22">
      <pivotArea outline="0" fieldPosition="0">
        <references count="1">
          <reference field="4294967294" count="1">
            <x v="0"/>
          </reference>
        </references>
      </pivotArea>
    </format>
    <format dxfId="2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K_proj" fillFormulas="1" connectionId="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D_proj" fillFormulas="1"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FLEX_proj" fillFormulas="1"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urrent_rosters" fillFormulas="1" connectionId="1"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ched" connectionId="7"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Grid_proj" fillFormulas="1" connectionId="4"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ults" fillFormulas="1" connectionId="6"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17" Type="http://schemas.openxmlformats.org/officeDocument/2006/relationships/hyperlink" Target="http://www.espn.com/nfl/player/_/id/14874/andrew-luck" TargetMode="External"/><Relationship Id="rId299" Type="http://schemas.openxmlformats.org/officeDocument/2006/relationships/hyperlink" Target="http://www.espn.com/nfl/player/_/id/15847/travis-kelce" TargetMode="External"/><Relationship Id="rId21" Type="http://schemas.openxmlformats.org/officeDocument/2006/relationships/hyperlink" Target="http://www.espn.com/nfl/player/_/id/16800/davante-adams" TargetMode="External"/><Relationship Id="rId63" Type="http://schemas.openxmlformats.org/officeDocument/2006/relationships/hyperlink" Target="http://www.espn.com/nfl/player/_/id/2977609/devin-funchess" TargetMode="External"/><Relationship Id="rId159" Type="http://schemas.openxmlformats.org/officeDocument/2006/relationships/hyperlink" Target="http://www.espn.com/nfl/player/_/id/16899/quincy-enunwa" TargetMode="External"/><Relationship Id="rId324" Type="http://schemas.openxmlformats.org/officeDocument/2006/relationships/hyperlink" Target="http://www.espn.com/nfl/player/_/id/10456/marshawn-lynch" TargetMode="External"/><Relationship Id="rId366" Type="http://schemas.openxmlformats.org/officeDocument/2006/relationships/hyperlink" Target="http://www.espn.com/nfl/player/_/id/2573079/carson-wentz" TargetMode="External"/><Relationship Id="rId531" Type="http://schemas.openxmlformats.org/officeDocument/2006/relationships/hyperlink" Target="http://www.espn.com/nfl/player/_/id/14032/torrey-smith" TargetMode="External"/><Relationship Id="rId170" Type="http://schemas.openxmlformats.org/officeDocument/2006/relationships/hyperlink" Target="http://www.espn.com/nfl/player/_/id/9704/stephen-gostkowski" TargetMode="External"/><Relationship Id="rId226" Type="http://schemas.openxmlformats.org/officeDocument/2006/relationships/hyperlink" Target="http://www.espn.com/nfl/player/_/id/3045127/wayne-gallman" TargetMode="External"/><Relationship Id="rId433" Type="http://schemas.openxmlformats.org/officeDocument/2006/relationships/hyperlink" Target="http://www.espn.com/nfl/player/_/id/15349/cole-beasley" TargetMode="External"/><Relationship Id="rId268" Type="http://schemas.openxmlformats.org/officeDocument/2006/relationships/hyperlink" Target="http://www.espn.com/nfl/player/_/id/16976/chandler-catanzaro" TargetMode="External"/><Relationship Id="rId475" Type="http://schemas.openxmlformats.org/officeDocument/2006/relationships/hyperlink" Target="http://www.espn.com/nfl/player/_/id/2576980/marcus-mariota" TargetMode="External"/><Relationship Id="rId32" Type="http://schemas.openxmlformats.org/officeDocument/2006/relationships/hyperlink" Target="http://www.espn.com/nfl/player/_/id/16799/allen-robinson" TargetMode="External"/><Relationship Id="rId74" Type="http://schemas.openxmlformats.org/officeDocument/2006/relationships/hyperlink" Target="http://www.espn.com/nfl/player/_/id/2977187/cooper-kupp" TargetMode="External"/><Relationship Id="rId128" Type="http://schemas.openxmlformats.org/officeDocument/2006/relationships/hyperlink" Target="http://www.espn.com/nfl/player/_/id/2580/drew-brees" TargetMode="External"/><Relationship Id="rId335" Type="http://schemas.openxmlformats.org/officeDocument/2006/relationships/hyperlink" Target="http://www.espn.com/nfl/player/_/id/15966/chris-thompson" TargetMode="External"/><Relationship Id="rId377" Type="http://schemas.openxmlformats.org/officeDocument/2006/relationships/hyperlink" Target="http://www.espn.com/nfl/player/_/id/14912/alshon-jeffery" TargetMode="External"/><Relationship Id="rId500" Type="http://schemas.openxmlformats.org/officeDocument/2006/relationships/hyperlink" Target="http://www.espn.com/nfl/player/_/id/17359/damien-williams" TargetMode="External"/><Relationship Id="rId542" Type="http://schemas.openxmlformats.org/officeDocument/2006/relationships/hyperlink" Target="http://www.espn.com/nfl/player/_/id/16976/chandler-catanzaro" TargetMode="External"/><Relationship Id="rId5" Type="http://schemas.openxmlformats.org/officeDocument/2006/relationships/hyperlink" Target="http://www.espn.com/nfl/player/_/id/13934/antonio-brown" TargetMode="External"/><Relationship Id="rId181" Type="http://schemas.openxmlformats.org/officeDocument/2006/relationships/hyperlink" Target="http://www.espn.com/nfl/player/_/id/3916430/nyheim-hines" TargetMode="External"/><Relationship Id="rId237" Type="http://schemas.openxmlformats.org/officeDocument/2006/relationships/hyperlink" Target="http://www.espn.com/nfl/player/_/id/10636/mason-crosby" TargetMode="External"/><Relationship Id="rId402" Type="http://schemas.openxmlformats.org/officeDocument/2006/relationships/hyperlink" Target="http://www.espn.com/nfl/player/_/id/12483/matthew-stafford" TargetMode="External"/><Relationship Id="rId279" Type="http://schemas.openxmlformats.org/officeDocument/2006/relationships/hyperlink" Target="http://www.espn.com/nfl/player/_/id/3051392/ezekiel-elliott" TargetMode="External"/><Relationship Id="rId444" Type="http://schemas.openxmlformats.org/officeDocument/2006/relationships/hyperlink" Target="http://www.espn.com/nfl/player/_/id/14993/greg-zuerlein" TargetMode="External"/><Relationship Id="rId486" Type="http://schemas.openxmlformats.org/officeDocument/2006/relationships/hyperlink" Target="http://www.espn.com/nfl/player/_/id/3122449/james-washington" TargetMode="External"/><Relationship Id="rId43" Type="http://schemas.openxmlformats.org/officeDocument/2006/relationships/hyperlink" Target="http://www.espn.com/nfl/player/_/id/3043078/derrick-henry" TargetMode="External"/><Relationship Id="rId139" Type="http://schemas.openxmlformats.org/officeDocument/2006/relationships/hyperlink" Target="http://www.espn.com/nfl/player/_/id/8416/alex-smith" TargetMode="External"/><Relationship Id="rId290" Type="http://schemas.openxmlformats.org/officeDocument/2006/relationships/hyperlink" Target="http://www.espn.com/nfl/player/_/id/3117251/christian-mccaffrey" TargetMode="External"/><Relationship Id="rId304" Type="http://schemas.openxmlformats.org/officeDocument/2006/relationships/hyperlink" Target="http://www.espn.com/nfl/player/_/id/5528/larry-fitzgerald" TargetMode="External"/><Relationship Id="rId346" Type="http://schemas.openxmlformats.org/officeDocument/2006/relationships/hyperlink" Target="http://www.espn.com/nfl/player/_/id/16725/sammy-watkins" TargetMode="External"/><Relationship Id="rId388" Type="http://schemas.openxmlformats.org/officeDocument/2006/relationships/hyperlink" Target="http://www.espn.com/nfl/player/_/id/16781/paul-richardson" TargetMode="External"/><Relationship Id="rId511" Type="http://schemas.openxmlformats.org/officeDocument/2006/relationships/hyperlink" Target="http://www.espn.com/nfl/player/_/id/10636/mason-crosby" TargetMode="External"/><Relationship Id="rId85" Type="http://schemas.openxmlformats.org/officeDocument/2006/relationships/hyperlink" Target="http://www.espn.com/nfl/player/_/id/2969962/duke-johnson-jr" TargetMode="External"/><Relationship Id="rId150" Type="http://schemas.openxmlformats.org/officeDocument/2006/relationships/hyperlink" Target="http://www.espn.com/nfl/player/_/id/3042519/aaron-jones" TargetMode="External"/><Relationship Id="rId192" Type="http://schemas.openxmlformats.org/officeDocument/2006/relationships/hyperlink" Target="http://www.espn.com/nfl/player/_/id/2976516/tj-yeldon" TargetMode="External"/><Relationship Id="rId206" Type="http://schemas.openxmlformats.org/officeDocument/2006/relationships/hyperlink" Target="http://www.espn.com/nfl/player/_/id/3066052/chad-williams" TargetMode="External"/><Relationship Id="rId413" Type="http://schemas.openxmlformats.org/officeDocument/2006/relationships/hyperlink" Target="http://www.espn.com/nfl/player/_/id/3045138/mike-williams" TargetMode="External"/><Relationship Id="rId248" Type="http://schemas.openxmlformats.org/officeDocument/2006/relationships/hyperlink" Target="http://www.espn.com/nfl/player/_/id/15168/case-keenum" TargetMode="External"/><Relationship Id="rId455" Type="http://schemas.openxmlformats.org/officeDocument/2006/relationships/hyperlink" Target="http://www.espn.com/nfl/player/_/id/12460/graham-gano" TargetMode="External"/><Relationship Id="rId497" Type="http://schemas.openxmlformats.org/officeDocument/2006/relationships/hyperlink" Target="http://www.espn.com/nfl/player/_/id/3042494/elijah-mcguire" TargetMode="External"/><Relationship Id="rId12" Type="http://schemas.openxmlformats.org/officeDocument/2006/relationships/hyperlink" Target="http://www.espn.com/nfl/player/_/id/3116593/dalvin-cook" TargetMode="External"/><Relationship Id="rId108" Type="http://schemas.openxmlformats.org/officeDocument/2006/relationships/hyperlink" Target="http://www.espn.com/nfl/player/_/id/3049916/matt-breida" TargetMode="External"/><Relationship Id="rId315" Type="http://schemas.openxmlformats.org/officeDocument/2006/relationships/hyperlink" Target="http://www.espn.com/nfl/player/_/id/13217/golden-tate" TargetMode="External"/><Relationship Id="rId357" Type="http://schemas.openxmlformats.org/officeDocument/2006/relationships/hyperlink" Target="http://www.espn.com/nfl/player/_/id/2976592/sterling-shepard" TargetMode="External"/><Relationship Id="rId522" Type="http://schemas.openxmlformats.org/officeDocument/2006/relationships/hyperlink" Target="http://www.espn.com/nfl/player/_/id/16724/blake-bortles" TargetMode="External"/><Relationship Id="rId54" Type="http://schemas.openxmlformats.org/officeDocument/2006/relationships/hyperlink" Target="http://www.espn.com/nfl/player/_/id/3042778/corey-davis" TargetMode="External"/><Relationship Id="rId96" Type="http://schemas.openxmlformats.org/officeDocument/2006/relationships/hyperlink" Target="http://www.espn.com/nfl/player/_/id/3916925/kerryon-johnson" TargetMode="External"/><Relationship Id="rId161" Type="http://schemas.openxmlformats.org/officeDocument/2006/relationships/hyperlink" Target="http://www.espn.com/nfl/player/_/id/2576980/marcus-mariota" TargetMode="External"/><Relationship Id="rId217" Type="http://schemas.openxmlformats.org/officeDocument/2006/relationships/hyperlink" Target="http://www.espn.com/nfl/player/_/id/2579604/phillip-dorsett" TargetMode="External"/><Relationship Id="rId399" Type="http://schemas.openxmlformats.org/officeDocument/2006/relationships/hyperlink" Target="http://www.espn.com/nfl/player/_/id/3139925/rashaad-penny" TargetMode="External"/><Relationship Id="rId259" Type="http://schemas.openxmlformats.org/officeDocument/2006/relationships/hyperlink" Target="http://www.espn.com/nfl/player/_/id/3915381/john-kelly" TargetMode="External"/><Relationship Id="rId424" Type="http://schemas.openxmlformats.org/officeDocument/2006/relationships/hyperlink" Target="http://www.espn.com/nfl/player/_/id/3068267/austin-ekeler" TargetMode="External"/><Relationship Id="rId466" Type="http://schemas.openxmlformats.org/officeDocument/2006/relationships/hyperlink" Target="http://www.espn.com/nfl/player/_/id/3128720/nick-chubb" TargetMode="External"/><Relationship Id="rId23" Type="http://schemas.openxmlformats.org/officeDocument/2006/relationships/hyperlink" Target="http://www.espn.com/nfl/player/_/id/12514/lesean-mccoy" TargetMode="External"/><Relationship Id="rId119" Type="http://schemas.openxmlformats.org/officeDocument/2006/relationships/hyperlink" Target="http://www.espn.com/nfl/player/_/id/14880/kirk-cousins" TargetMode="External"/><Relationship Id="rId270" Type="http://schemas.openxmlformats.org/officeDocument/2006/relationships/hyperlink" Target="http://www.espn.com/nfl/player/_/id/2582410/tyler-kroft" TargetMode="External"/><Relationship Id="rId326" Type="http://schemas.openxmlformats.org/officeDocument/2006/relationships/hyperlink" Target="http://www.espn.com/nfl/player/_/id/15971/rex-burkhead" TargetMode="External"/><Relationship Id="rId533" Type="http://schemas.openxmlformats.org/officeDocument/2006/relationships/hyperlink" Target="http://www.espn.com/nfl/player/_/id/3123969/ito-smith" TargetMode="External"/><Relationship Id="rId65" Type="http://schemas.openxmlformats.org/officeDocument/2006/relationships/hyperlink" Target="http://www.espn.com/nfl/player/_/id/15880/robert-woods" TargetMode="External"/><Relationship Id="rId130" Type="http://schemas.openxmlformats.org/officeDocument/2006/relationships/hyperlink" Target="http://www.espn.com/nfl/player/_/id/15102/rishard-matthews" TargetMode="External"/><Relationship Id="rId368" Type="http://schemas.openxmlformats.org/officeDocument/2006/relationships/hyperlink" Target="http://www.espn.com/nfl/player/_/id/11270/jordy-nelson" TargetMode="External"/><Relationship Id="rId172" Type="http://schemas.openxmlformats.org/officeDocument/2006/relationships/hyperlink" Target="http://www.espn.com/nfl/player/_/id/4333/matt-bryant" TargetMode="External"/><Relationship Id="rId228" Type="http://schemas.openxmlformats.org/officeDocument/2006/relationships/hyperlink" Target="http://www.espn.com/nfl/player/_/id/5526/eli-manning" TargetMode="External"/><Relationship Id="rId435" Type="http://schemas.openxmlformats.org/officeDocument/2006/relationships/hyperlink" Target="http://www.espn.com/nfl/player/_/id/12537/jared-cook" TargetMode="External"/><Relationship Id="rId477" Type="http://schemas.openxmlformats.org/officeDocument/2006/relationships/hyperlink" Target="http://www.espn.com/nfl/player/_/id/9705/brandon-marshall" TargetMode="External"/><Relationship Id="rId281" Type="http://schemas.openxmlformats.org/officeDocument/2006/relationships/hyperlink" Target="http://www.espn.com/nfl/player/_/id/13934/antonio-brown" TargetMode="External"/><Relationship Id="rId337" Type="http://schemas.openxmlformats.org/officeDocument/2006/relationships/hyperlink" Target="http://www.espn.com/nfl/player/_/id/3919596/chris-carson" TargetMode="External"/><Relationship Id="rId502" Type="http://schemas.openxmlformats.org/officeDocument/2006/relationships/hyperlink" Target="http://www.espn.com/nfl/player/_/id/15168/case-keenum" TargetMode="External"/><Relationship Id="rId34" Type="http://schemas.openxmlformats.org/officeDocument/2006/relationships/hyperlink" Target="http://www.espn.com/nfl/player/_/id/13216/demaryius-thomas" TargetMode="External"/><Relationship Id="rId76" Type="http://schemas.openxmlformats.org/officeDocument/2006/relationships/hyperlink" Target="http://www.espn.com/nfl/player/_/id/11439/pierre-garcon" TargetMode="External"/><Relationship Id="rId141" Type="http://schemas.openxmlformats.org/officeDocument/2006/relationships/hyperlink" Target="http://www.espn.com/nfl/player/_/id/16804/john-brown" TargetMode="External"/><Relationship Id="rId379" Type="http://schemas.openxmlformats.org/officeDocument/2006/relationships/hyperlink" Target="http://www.espn.com/nfl/player/_/id/2577327/tyler-lockett" TargetMode="External"/><Relationship Id="rId544" Type="http://schemas.openxmlformats.org/officeDocument/2006/relationships/hyperlink" Target="http://www.espn.com/nfl/player/_/id/3116164/mike-gesicki" TargetMode="External"/><Relationship Id="rId7" Type="http://schemas.openxmlformats.org/officeDocument/2006/relationships/hyperlink" Target="http://www.espn.com/nfl/player/_/id/3059915/kareem-hunt" TargetMode="External"/><Relationship Id="rId183" Type="http://schemas.openxmlformats.org/officeDocument/2006/relationships/hyperlink" Target="http://www.espn.com/nfl/player/_/id/3068267/austin-ekeler" TargetMode="External"/><Relationship Id="rId239" Type="http://schemas.openxmlformats.org/officeDocument/2006/relationships/hyperlink" Target="http://www.espn.com/nfl/player/_/id/3116164/mike-gesicki" TargetMode="External"/><Relationship Id="rId390" Type="http://schemas.openxmlformats.org/officeDocument/2006/relationships/hyperlink" Target="http://www.espn.com/nfl/player/_/id/2576623/devante-parker" TargetMode="External"/><Relationship Id="rId404" Type="http://schemas.openxmlformats.org/officeDocument/2006/relationships/hyperlink" Target="http://www.espn.com/nfl/player/_/id/3052177/john-ross" TargetMode="External"/><Relationship Id="rId446" Type="http://schemas.openxmlformats.org/officeDocument/2006/relationships/hyperlink" Target="http://www.espn.com/nfl/player/_/id/15683/justin-tucker" TargetMode="External"/><Relationship Id="rId250" Type="http://schemas.openxmlformats.org/officeDocument/2006/relationships/hyperlink" Target="http://www.espn.com/nfl/player/_/id/11252/joe-flacco" TargetMode="External"/><Relationship Id="rId292" Type="http://schemas.openxmlformats.org/officeDocument/2006/relationships/hyperlink" Target="http://www.espn.com/nfl/player/_/id/3115364/leonard-fournette" TargetMode="External"/><Relationship Id="rId306" Type="http://schemas.openxmlformats.org/officeDocument/2006/relationships/hyperlink" Target="http://www.espn.com/nfl/player/_/id/16460/adam-thielen" TargetMode="External"/><Relationship Id="rId488" Type="http://schemas.openxmlformats.org/officeDocument/2006/relationships/hyperlink" Target="http://www.espn.com/nfl/player/_/id/17051/albert-wilson" TargetMode="External"/><Relationship Id="rId45" Type="http://schemas.openxmlformats.org/officeDocument/2006/relationships/hyperlink" Target="http://www.espn.com/nfl/player/_/id/3046409/alex-collins" TargetMode="External"/><Relationship Id="rId87" Type="http://schemas.openxmlformats.org/officeDocument/2006/relationships/hyperlink" Target="http://www.espn.com/nfl/player/_/id/15966/chris-thompson" TargetMode="External"/><Relationship Id="rId110" Type="http://schemas.openxmlformats.org/officeDocument/2006/relationships/hyperlink" Target="http://www.espn.com/nfl/player/_/id/16974/trey-burton" TargetMode="External"/><Relationship Id="rId348" Type="http://schemas.openxmlformats.org/officeDocument/2006/relationships/hyperlink" Target="http://www.espn.com/nfl/player/_/id/3045147/james-conner" TargetMode="External"/><Relationship Id="rId513" Type="http://schemas.openxmlformats.org/officeDocument/2006/relationships/hyperlink" Target="http://www.espn.com/nfl/player/_/id/3127292/will-dissly" TargetMode="External"/><Relationship Id="rId152" Type="http://schemas.openxmlformats.org/officeDocument/2006/relationships/hyperlink" Target="http://www.espn.com/nfl/player/_/id/14885/doug-martin" TargetMode="External"/><Relationship Id="rId194" Type="http://schemas.openxmlformats.org/officeDocument/2006/relationships/hyperlink" Target="http://www.espn.com/nfl/player/_/id/2971888/kenneth-dixon" TargetMode="External"/><Relationship Id="rId208" Type="http://schemas.openxmlformats.org/officeDocument/2006/relationships/hyperlink" Target="http://www.espn.com/nfl/player/_/id/14876/ryan-tannehill" TargetMode="External"/><Relationship Id="rId415" Type="http://schemas.openxmlformats.org/officeDocument/2006/relationships/hyperlink" Target="http://www.espn.com/nfl/player/_/id/15102/rishard-matthews" TargetMode="External"/><Relationship Id="rId457" Type="http://schemas.openxmlformats.org/officeDocument/2006/relationships/hyperlink" Target="http://www.espn.com/nfl/player/_/id/14885/doug-martin" TargetMode="External"/><Relationship Id="rId261" Type="http://schemas.openxmlformats.org/officeDocument/2006/relationships/hyperlink" Target="http://www.espn.com/nfl/player/_/id/2980148/cj-prosise" TargetMode="External"/><Relationship Id="rId499" Type="http://schemas.openxmlformats.org/officeDocument/2006/relationships/hyperlink" Target="http://www.espn.com/nfl/player/_/id/2512197/rod-smith" TargetMode="External"/><Relationship Id="rId14" Type="http://schemas.openxmlformats.org/officeDocument/2006/relationships/hyperlink" Target="http://www.espn.com/nfl/player/_/id/3117251/christian-mccaffrey" TargetMode="External"/><Relationship Id="rId56" Type="http://schemas.openxmlformats.org/officeDocument/2006/relationships/hyperlink" Target="http://www.espn.com/nfl/player/_/id/8439/aaron-rodgers" TargetMode="External"/><Relationship Id="rId317" Type="http://schemas.openxmlformats.org/officeDocument/2006/relationships/hyperlink" Target="http://www.espn.com/nfl/player/_/id/16731/brandin-cooks" TargetMode="External"/><Relationship Id="rId359" Type="http://schemas.openxmlformats.org/officeDocument/2006/relationships/hyperlink" Target="http://www.espn.com/nfl/player/_/id/3052876/will-fuller-v" TargetMode="External"/><Relationship Id="rId524" Type="http://schemas.openxmlformats.org/officeDocument/2006/relationships/hyperlink" Target="http://www.espn.com/nfl/player/_/id/3912547/sam-darnold" TargetMode="External"/><Relationship Id="rId98" Type="http://schemas.openxmlformats.org/officeDocument/2006/relationships/hyperlink" Target="http://www.espn.com/nfl/player/_/id/3128721/sony-michel" TargetMode="External"/><Relationship Id="rId121" Type="http://schemas.openxmlformats.org/officeDocument/2006/relationships/hyperlink" Target="http://www.espn.com/nfl/player/_/id/3116165/chris-godwin" TargetMode="External"/><Relationship Id="rId163" Type="http://schemas.openxmlformats.org/officeDocument/2006/relationships/hyperlink" Target="http://www.espn.com/nfl/player/_/id/5557/benjamin-watson" TargetMode="External"/><Relationship Id="rId219" Type="http://schemas.openxmlformats.org/officeDocument/2006/relationships/hyperlink" Target="http://www.espn.com/nfl/player/_/id/14851/terrelle-pryor" TargetMode="External"/><Relationship Id="rId370" Type="http://schemas.openxmlformats.org/officeDocument/2006/relationships/hyperlink" Target="http://www.espn.com/nfl/player/_/id/2574808/robby-anderson" TargetMode="External"/><Relationship Id="rId426" Type="http://schemas.openxmlformats.org/officeDocument/2006/relationships/hyperlink" Target="http://www.espn.com/nfl/player/_/id/3046779/jared-goff" TargetMode="External"/><Relationship Id="rId230" Type="http://schemas.openxmlformats.org/officeDocument/2006/relationships/hyperlink" Target="http://www.espn.com/nfl/player/_/id/2969939/jameis-winston" TargetMode="External"/><Relationship Id="rId468" Type="http://schemas.openxmlformats.org/officeDocument/2006/relationships/hyperlink" Target="http://www.espn.com/nfl/player/_/id/2514123/marcus-murphy" TargetMode="External"/><Relationship Id="rId25" Type="http://schemas.openxmlformats.org/officeDocument/2006/relationships/hyperlink" Target="http://www.espn.com/nfl/player/_/id/16460/adam-thielen" TargetMode="External"/><Relationship Id="rId67" Type="http://schemas.openxmlformats.org/officeDocument/2006/relationships/hyperlink" Target="http://www.espn.com/nfl/player/_/id/14881/russell-wilson" TargetMode="External"/><Relationship Id="rId272" Type="http://schemas.openxmlformats.org/officeDocument/2006/relationships/hyperlink" Target="http://www.espn.com/nfl/player/_/id/3918639/gerald-everett" TargetMode="External"/><Relationship Id="rId328" Type="http://schemas.openxmlformats.org/officeDocument/2006/relationships/hyperlink" Target="http://www.espn.com/nfl/player/_/id/15880/robert-woods" TargetMode="External"/><Relationship Id="rId535" Type="http://schemas.openxmlformats.org/officeDocument/2006/relationships/hyperlink" Target="http://www.espn.com/nfl/player/_/id/15855/christine-michael" TargetMode="External"/><Relationship Id="rId132" Type="http://schemas.openxmlformats.org/officeDocument/2006/relationships/hyperlink" Target="http://www.espn.com/nfl/player/_/id/3122449/james-washington" TargetMode="External"/><Relationship Id="rId174" Type="http://schemas.openxmlformats.org/officeDocument/2006/relationships/hyperlink" Target="http://www.espn.com/nfl/player/_/id/17372/chris-boswell" TargetMode="External"/><Relationship Id="rId381" Type="http://schemas.openxmlformats.org/officeDocument/2006/relationships/hyperlink" Target="http://www.espn.com/nfl/player/_/id/11674/danny-amendola" TargetMode="External"/><Relationship Id="rId220" Type="http://schemas.openxmlformats.org/officeDocument/2006/relationships/hyperlink" Target="http://www.espn.com/nfl/player/_/id/3125116/d'onta-foreman" TargetMode="External"/><Relationship Id="rId241" Type="http://schemas.openxmlformats.org/officeDocument/2006/relationships/hyperlink" Target="http://www.espn.com/nfl/player/_/id/3045225/jake-butt" TargetMode="External"/><Relationship Id="rId437" Type="http://schemas.openxmlformats.org/officeDocument/2006/relationships/hyperlink" Target="http://www.espn.com/nfl/player/_/id/2577417/dak-prescott" TargetMode="External"/><Relationship Id="rId458" Type="http://schemas.openxmlformats.org/officeDocument/2006/relationships/hyperlink" Target="http://www.espn.com/nfl/player/_/id/3045260/corey-clement" TargetMode="External"/><Relationship Id="rId479" Type="http://schemas.openxmlformats.org/officeDocument/2006/relationships/hyperlink" Target="http://www.espn.com/nfl/player/_/id/2982828/tajae-sharpe" TargetMode="External"/><Relationship Id="rId15" Type="http://schemas.openxmlformats.org/officeDocument/2006/relationships/hyperlink" Target="http://www.espn.com/nfl/player/_/id/15818/keenan-allen" TargetMode="External"/><Relationship Id="rId36" Type="http://schemas.openxmlformats.org/officeDocument/2006/relationships/hyperlink" Target="http://www.espn.com/nfl/player/_/id/3060022/jordan-howard" TargetMode="External"/><Relationship Id="rId57" Type="http://schemas.openxmlformats.org/officeDocument/2006/relationships/hyperlink" Target="http://www.espn.com/nfl/player/_/id/2330/tom-brady" TargetMode="External"/><Relationship Id="rId262" Type="http://schemas.openxmlformats.org/officeDocument/2006/relationships/hyperlink" Target="http://www.espn.com/nfl/player/_/id/3917846/mark-walton" TargetMode="External"/><Relationship Id="rId283" Type="http://schemas.openxmlformats.org/officeDocument/2006/relationships/hyperlink" Target="http://www.espn.com/nfl/player/_/id/3116593/dalvin-cook" TargetMode="External"/><Relationship Id="rId318" Type="http://schemas.openxmlformats.org/officeDocument/2006/relationships/hyperlink" Target="http://www.espn.com/nfl/player/_/id/14198/dion-lewis" TargetMode="External"/><Relationship Id="rId339" Type="http://schemas.openxmlformats.org/officeDocument/2006/relationships/hyperlink" Target="http://www.espn.com/nfl/player/_/id/15860/jordan-reed" TargetMode="External"/><Relationship Id="rId490" Type="http://schemas.openxmlformats.org/officeDocument/2006/relationships/hyperlink" Target="http://www.espn.com/nfl/player/_/id/2974339/austin-carr" TargetMode="External"/><Relationship Id="rId504" Type="http://schemas.openxmlformats.org/officeDocument/2006/relationships/hyperlink" Target="http://www.espn.com/nfl/player/_/id/16757/derek-carr" TargetMode="External"/><Relationship Id="rId525" Type="http://schemas.openxmlformats.org/officeDocument/2006/relationships/hyperlink" Target="http://www.espn.com/nfl/player/_/id/2969939/jameis-winston" TargetMode="External"/><Relationship Id="rId546" Type="http://schemas.openxmlformats.org/officeDocument/2006/relationships/hyperlink" Target="http://www.espn.com/nfl/player/_/id/16121/luke-willson" TargetMode="External"/><Relationship Id="rId78" Type="http://schemas.openxmlformats.org/officeDocument/2006/relationships/hyperlink" Target="http://www.espn.com/nfl/player/_/id/9761/delanie-walker" TargetMode="External"/><Relationship Id="rId99" Type="http://schemas.openxmlformats.org/officeDocument/2006/relationships/hyperlink" Target="http://www.espn.com/nfl/player/_/id/14054/kyle-rudolph" TargetMode="External"/><Relationship Id="rId101" Type="http://schemas.openxmlformats.org/officeDocument/2006/relationships/hyperlink" Target="http://www.espn.com/nfl/player/_/id/2976592/sterling-shepard" TargetMode="External"/><Relationship Id="rId122" Type="http://schemas.openxmlformats.org/officeDocument/2006/relationships/hyperlink" Target="http://www.espn.com/nfl/player/_/id/4036348/michael-gallup" TargetMode="External"/><Relationship Id="rId143" Type="http://schemas.openxmlformats.org/officeDocument/2006/relationships/hyperlink" Target="http://www.espn.com/nfl/player/_/id/3925357/calvin-ridley" TargetMode="External"/><Relationship Id="rId164" Type="http://schemas.openxmlformats.org/officeDocument/2006/relationships/hyperlink" Target="http://www.espn.com/nfl/player/_/id/3895856/christian-kirk" TargetMode="External"/><Relationship Id="rId185" Type="http://schemas.openxmlformats.org/officeDocument/2006/relationships/hyperlink" Target="http://www.espn.com/nfl/player/_/id/15853/vance-mcdonald" TargetMode="External"/><Relationship Id="rId350" Type="http://schemas.openxmlformats.org/officeDocument/2006/relationships/hyperlink" Target="http://www.espn.com/nfl/player/_/id/14054/kyle-rudolph" TargetMode="External"/><Relationship Id="rId371" Type="http://schemas.openxmlformats.org/officeDocument/2006/relationships/hyperlink" Target="http://www.espn.com/nfl/player/_/id/15009/alfred-morris" TargetMode="External"/><Relationship Id="rId406" Type="http://schemas.openxmlformats.org/officeDocument/2006/relationships/hyperlink" Target="http://www.espn.com/nfl/player/_/id/16804/john-brown" TargetMode="External"/><Relationship Id="rId9" Type="http://schemas.openxmlformats.org/officeDocument/2006/relationships/hyperlink" Target="http://www.espn.com/nfl/player/_/id/16733/odell-beckham-jr" TargetMode="External"/><Relationship Id="rId210" Type="http://schemas.openxmlformats.org/officeDocument/2006/relationships/hyperlink" Target="http://www.espn.com/nfl/player/_/id/3051909/daniel-carlson" TargetMode="External"/><Relationship Id="rId392" Type="http://schemas.openxmlformats.org/officeDocument/2006/relationships/hyperlink" Target="http://www.espn.com/nfl/player/_/id/14880/kirk-cousins" TargetMode="External"/><Relationship Id="rId427" Type="http://schemas.openxmlformats.org/officeDocument/2006/relationships/hyperlink" Target="http://www.espn.com/nfl/player/_/id/3039707/mitchell-trubisky" TargetMode="External"/><Relationship Id="rId448" Type="http://schemas.openxmlformats.org/officeDocument/2006/relationships/hyperlink" Target="http://www.espn.com/nfl/player/_/id/2985659/wil-lutz" TargetMode="External"/><Relationship Id="rId469" Type="http://schemas.openxmlformats.org/officeDocument/2006/relationships/hyperlink" Target="http://www.espn.com/nfl/player/_/id/8479/frank-gore" TargetMode="External"/><Relationship Id="rId26" Type="http://schemas.openxmlformats.org/officeDocument/2006/relationships/hyperlink" Target="http://www.espn.com/nfl/player/_/id/2976212/stefon-diggs" TargetMode="External"/><Relationship Id="rId231" Type="http://schemas.openxmlformats.org/officeDocument/2006/relationships/hyperlink" Target="http://www.espn.com/nfl/player/_/id/3043080/oj-howard" TargetMode="External"/><Relationship Id="rId252" Type="http://schemas.openxmlformats.org/officeDocument/2006/relationships/hyperlink" Target="http://www.espn.com/nfl/player/_/id/13197/sam-bradford" TargetMode="External"/><Relationship Id="rId273" Type="http://schemas.openxmlformats.org/officeDocument/2006/relationships/hyperlink" Target="http://www.espn.com/nfl/player/_/id/2573401/tyler-higbee" TargetMode="External"/><Relationship Id="rId294" Type="http://schemas.openxmlformats.org/officeDocument/2006/relationships/hyperlink" Target="http://www.espn.com/nfl/player/_/id/3060022/jordan-howard" TargetMode="External"/><Relationship Id="rId308" Type="http://schemas.openxmlformats.org/officeDocument/2006/relationships/hyperlink" Target="http://www.espn.com/nfl/player/_/id/15835/zach-ertz" TargetMode="External"/><Relationship Id="rId329" Type="http://schemas.openxmlformats.org/officeDocument/2006/relationships/hyperlink" Target="http://www.espn.com/nfl/player/_/id/14402/chris-hogan" TargetMode="External"/><Relationship Id="rId480" Type="http://schemas.openxmlformats.org/officeDocument/2006/relationships/hyperlink" Target="http://www.espn.com/nfl/player/_/id/3915416/dj-moore" TargetMode="External"/><Relationship Id="rId515" Type="http://schemas.openxmlformats.org/officeDocument/2006/relationships/hyperlink" Target="http://www.espn.com/nfl/player/_/id/10475/greg-olsen" TargetMode="External"/><Relationship Id="rId536" Type="http://schemas.openxmlformats.org/officeDocument/2006/relationships/hyperlink" Target="http://www.espn.com/nfl/player/_/id/2575408/rob-kelley" TargetMode="External"/><Relationship Id="rId47" Type="http://schemas.openxmlformats.org/officeDocument/2006/relationships/hyperlink" Target="http://www.espn.com/nfl/player/_/id/10456/marshawn-lynch" TargetMode="External"/><Relationship Id="rId68" Type="http://schemas.openxmlformats.org/officeDocument/2006/relationships/hyperlink" Target="http://www.espn.com/nfl/player/_/id/3122840/deshaun-watson" TargetMode="External"/><Relationship Id="rId89" Type="http://schemas.openxmlformats.org/officeDocument/2006/relationships/hyperlink" Target="http://www.espn.com/nfl/player/_/id/2576716/jamison-crowder" TargetMode="External"/><Relationship Id="rId112" Type="http://schemas.openxmlformats.org/officeDocument/2006/relationships/hyperlink" Target="http://www.espn.com/nfl/player/_/id/15826/giovani-bernard" TargetMode="External"/><Relationship Id="rId133" Type="http://schemas.openxmlformats.org/officeDocument/2006/relationships/hyperlink" Target="http://www.espn.com/nfl/player/_/id/14145/charles-clay" TargetMode="External"/><Relationship Id="rId154" Type="http://schemas.openxmlformats.org/officeDocument/2006/relationships/hyperlink" Target="http://www.espn.com/nfl/player/_/id/3045260/corey-clement" TargetMode="External"/><Relationship Id="rId175" Type="http://schemas.openxmlformats.org/officeDocument/2006/relationships/hyperlink" Target="http://www.espn.com/nfl/player/_/id/9354/robbie-gould" TargetMode="External"/><Relationship Id="rId340" Type="http://schemas.openxmlformats.org/officeDocument/2006/relationships/hyperlink" Target="http://www.espn.com/nfl/player/_/id/13232/jimmy-graham" TargetMode="External"/><Relationship Id="rId361" Type="http://schemas.openxmlformats.org/officeDocument/2006/relationships/hyperlink" Target="http://www.espn.com/nfl/player/_/id/17133/isaiah-crowell" TargetMode="External"/><Relationship Id="rId196" Type="http://schemas.openxmlformats.org/officeDocument/2006/relationships/hyperlink" Target="http://www.espn.com/nfl/player/_/id/15855/christine-michael" TargetMode="External"/><Relationship Id="rId200" Type="http://schemas.openxmlformats.org/officeDocument/2006/relationships/hyperlink" Target="http://www.espn.com/nfl/player/_/id/3039707/mitchell-trubisky" TargetMode="External"/><Relationship Id="rId382" Type="http://schemas.openxmlformats.org/officeDocument/2006/relationships/hyperlink" Target="http://www.espn.com/nfl/player/_/id/3116165/chris-godwin" TargetMode="External"/><Relationship Id="rId417" Type="http://schemas.openxmlformats.org/officeDocument/2006/relationships/hyperlink" Target="http://www.espn.com/nfl/player/_/id/15994/theo-riddick" TargetMode="External"/><Relationship Id="rId438" Type="http://schemas.openxmlformats.org/officeDocument/2006/relationships/hyperlink" Target="http://www.espn.com/nfl/player/_/id/15826/giovani-bernard" TargetMode="External"/><Relationship Id="rId459" Type="http://schemas.openxmlformats.org/officeDocument/2006/relationships/hyperlink" Target="http://www.espn.com/nfl/player/_/id/15853/vance-mcdonald" TargetMode="External"/><Relationship Id="rId16" Type="http://schemas.openxmlformats.org/officeDocument/2006/relationships/hyperlink" Target="http://www.espn.com/nfl/player/_/id/2976316/michael-thomas" TargetMode="External"/><Relationship Id="rId221" Type="http://schemas.openxmlformats.org/officeDocument/2006/relationships/hyperlink" Target="http://www.espn.com/nfl/player/_/id/2575408/rob-kelley" TargetMode="External"/><Relationship Id="rId242" Type="http://schemas.openxmlformats.org/officeDocument/2006/relationships/hyperlink" Target="http://www.espn.com/nfl/player/_/id/3051857/j'mon-moore" TargetMode="External"/><Relationship Id="rId263" Type="http://schemas.openxmlformats.org/officeDocument/2006/relationships/hyperlink" Target="http://www.espn.com/nfl/player/_/id/2972091/jalen-richard" TargetMode="External"/><Relationship Id="rId284" Type="http://schemas.openxmlformats.org/officeDocument/2006/relationships/hyperlink" Target="http://www.espn.com/nfl/player/_/id/2576434/melvin-gordon" TargetMode="External"/><Relationship Id="rId319" Type="http://schemas.openxmlformats.org/officeDocument/2006/relationships/hyperlink" Target="http://www.espn.com/nfl/player/_/id/3120348/juju-smith-schuster" TargetMode="External"/><Relationship Id="rId470" Type="http://schemas.openxmlformats.org/officeDocument/2006/relationships/hyperlink" Target="http://www.espn.com/nfl/player/_/id/16921/alfred-blue" TargetMode="External"/><Relationship Id="rId491" Type="http://schemas.openxmlformats.org/officeDocument/2006/relationships/hyperlink" Target="http://www.espn.com/nfl/player/_/id/15062/travis-benjamin" TargetMode="External"/><Relationship Id="rId505" Type="http://schemas.openxmlformats.org/officeDocument/2006/relationships/hyperlink" Target="http://www.espn.com/nfl/player/_/id/16732/eric-ebron" TargetMode="External"/><Relationship Id="rId526" Type="http://schemas.openxmlformats.org/officeDocument/2006/relationships/hyperlink" Target="http://www.espn.com/nfl/player/_/id/13197/sam-bradford" TargetMode="External"/><Relationship Id="rId37" Type="http://schemas.openxmlformats.org/officeDocument/2006/relationships/hyperlink" Target="http://www.espn.com/nfl/player/_/id/3116385/joe-mixon" TargetMode="External"/><Relationship Id="rId58" Type="http://schemas.openxmlformats.org/officeDocument/2006/relationships/hyperlink" Target="http://www.espn.com/nfl/player/_/id/14198/dion-lewis" TargetMode="External"/><Relationship Id="rId79" Type="http://schemas.openxmlformats.org/officeDocument/2006/relationships/hyperlink" Target="http://www.espn.com/nfl/player/_/id/3051876/evan-engram" TargetMode="External"/><Relationship Id="rId102" Type="http://schemas.openxmlformats.org/officeDocument/2006/relationships/hyperlink" Target="http://www.espn.com/nfl/player/_/id/2577327/tyler-lockett" TargetMode="External"/><Relationship Id="rId123" Type="http://schemas.openxmlformats.org/officeDocument/2006/relationships/hyperlink" Target="http://www.espn.com/nfl/player/_/id/3915416/dj-moore" TargetMode="External"/><Relationship Id="rId144" Type="http://schemas.openxmlformats.org/officeDocument/2006/relationships/hyperlink" Target="http://www.espn.com/nfl/player/_/id/3128429/courtland-sutton" TargetMode="External"/><Relationship Id="rId330" Type="http://schemas.openxmlformats.org/officeDocument/2006/relationships/hyperlink" Target="http://www.espn.com/nfl/player/_/id/12563/michael-crabtree" TargetMode="External"/><Relationship Id="rId547" Type="http://schemas.openxmlformats.org/officeDocument/2006/relationships/hyperlink" Target="http://www.espn.com/nfl/player/_/id/3121023/dallas-goedert" TargetMode="External"/><Relationship Id="rId90" Type="http://schemas.openxmlformats.org/officeDocument/2006/relationships/hyperlink" Target="http://www.espn.com/nfl/player/_/id/15860/jordan-reed" TargetMode="External"/><Relationship Id="rId165" Type="http://schemas.openxmlformats.org/officeDocument/2006/relationships/hyperlink" Target="http://www.espn.com/nfl/player/_/id/5362/antonio-gates" TargetMode="External"/><Relationship Id="rId186" Type="http://schemas.openxmlformats.org/officeDocument/2006/relationships/hyperlink" Target="http://www.espn.com/nfl/player/_/id/17453/cameron-brate" TargetMode="External"/><Relationship Id="rId351" Type="http://schemas.openxmlformats.org/officeDocument/2006/relationships/hyperlink" Target="http://www.espn.com/nfl/player/_/id/2576716/jamison-crowder" TargetMode="External"/><Relationship Id="rId372" Type="http://schemas.openxmlformats.org/officeDocument/2006/relationships/hyperlink" Target="http://www.espn.com/nfl/player/_/id/2980453/jamaal-williams" TargetMode="External"/><Relationship Id="rId393" Type="http://schemas.openxmlformats.org/officeDocument/2006/relationships/hyperlink" Target="http://www.espn.com/nfl/player/_/id/3040151/george-kittle" TargetMode="External"/><Relationship Id="rId407" Type="http://schemas.openxmlformats.org/officeDocument/2006/relationships/hyperlink" Target="http://www.espn.com/nfl/player/_/id/3128429/courtland-sutton" TargetMode="External"/><Relationship Id="rId428" Type="http://schemas.openxmlformats.org/officeDocument/2006/relationships/hyperlink" Target="http://www.espn.com/nfl/player/_/id/2972091/jalen-richard" TargetMode="External"/><Relationship Id="rId449" Type="http://schemas.openxmlformats.org/officeDocument/2006/relationships/hyperlink" Target="http://www.espn.com/nfl/player/_/id/17372/chris-boswell" TargetMode="External"/><Relationship Id="rId211" Type="http://schemas.openxmlformats.org/officeDocument/2006/relationships/hyperlink" Target="http://www.espn.com/nfl/player/_/id/2587819/tyrell-williams" TargetMode="External"/><Relationship Id="rId232" Type="http://schemas.openxmlformats.org/officeDocument/2006/relationships/hyperlink" Target="http://www.espn.com/nfl/player/_/id/16732/eric-ebron" TargetMode="External"/><Relationship Id="rId253" Type="http://schemas.openxmlformats.org/officeDocument/2006/relationships/hyperlink" Target="http://www.espn.com/nfl/player/_/id/3059722/zay-jones" TargetMode="External"/><Relationship Id="rId274" Type="http://schemas.openxmlformats.org/officeDocument/2006/relationships/hyperlink" Target="http://www.espn.com/nfl/player/_/id/3040569/trent-taylor" TargetMode="External"/><Relationship Id="rId295" Type="http://schemas.openxmlformats.org/officeDocument/2006/relationships/hyperlink" Target="http://www.espn.com/nfl/player/_/id/13983/aj-green" TargetMode="External"/><Relationship Id="rId309" Type="http://schemas.openxmlformats.org/officeDocument/2006/relationships/hyperlink" Target="http://www.espn.com/nfl/player/_/id/2976212/stefon-diggs" TargetMode="External"/><Relationship Id="rId460" Type="http://schemas.openxmlformats.org/officeDocument/2006/relationships/hyperlink" Target="http://www.espn.com/nfl/player/_/id/3043275/austin-hooper" TargetMode="External"/><Relationship Id="rId481" Type="http://schemas.openxmlformats.org/officeDocument/2006/relationships/hyperlink" Target="http://www.espn.com/nfl/player/_/id/14012/andy-dalton" TargetMode="External"/><Relationship Id="rId516" Type="http://schemas.openxmlformats.org/officeDocument/2006/relationships/hyperlink" Target="http://www.espn.com/nfl/player/_/id/15845/justin-hunter" TargetMode="External"/><Relationship Id="rId27" Type="http://schemas.openxmlformats.org/officeDocument/2006/relationships/hyperlink" Target="http://www.espn.com/nfl/player/_/id/3116406/tyreek-hill" TargetMode="External"/><Relationship Id="rId48" Type="http://schemas.openxmlformats.org/officeDocument/2006/relationships/hyperlink" Target="http://www.espn.com/nfl/player/_/id/14886/lamar-miller" TargetMode="External"/><Relationship Id="rId69" Type="http://schemas.openxmlformats.org/officeDocument/2006/relationships/hyperlink" Target="http://www.espn.com/nfl/player/_/id/2573079/carson-wentz" TargetMode="External"/><Relationship Id="rId113" Type="http://schemas.openxmlformats.org/officeDocument/2006/relationships/hyperlink" Target="http://www.espn.com/nfl/player/_/id/14129/bilal-powell" TargetMode="External"/><Relationship Id="rId134" Type="http://schemas.openxmlformats.org/officeDocument/2006/relationships/hyperlink" Target="http://www.espn.com/nfl/player/_/id/11237/matt-ryan" TargetMode="External"/><Relationship Id="rId320" Type="http://schemas.openxmlformats.org/officeDocument/2006/relationships/hyperlink" Target="http://www.espn.com/nfl/player/_/id/15705/josh-gordon" TargetMode="External"/><Relationship Id="rId537" Type="http://schemas.openxmlformats.org/officeDocument/2006/relationships/hyperlink" Target="http://www.espn.com/nfl/player/_/id/3116721/jaylen-samuels" TargetMode="External"/><Relationship Id="rId80" Type="http://schemas.openxmlformats.org/officeDocument/2006/relationships/hyperlink" Target="http://www.espn.com/nfl/player/_/id/3051902/peyton-barber" TargetMode="External"/><Relationship Id="rId155" Type="http://schemas.openxmlformats.org/officeDocument/2006/relationships/hyperlink" Target="http://www.espn.com/nfl/player/_/id/2577253/javorius-allen" TargetMode="External"/><Relationship Id="rId176" Type="http://schemas.openxmlformats.org/officeDocument/2006/relationships/hyperlink" Target="http://www.espn.com/nfl/player/_/id/3050478/jake-elliott" TargetMode="External"/><Relationship Id="rId197" Type="http://schemas.openxmlformats.org/officeDocument/2006/relationships/hyperlink" Target="http://www.espn.com/nfl/player/_/id/16921/alfred-blue" TargetMode="External"/><Relationship Id="rId341" Type="http://schemas.openxmlformats.org/officeDocument/2006/relationships/hyperlink" Target="http://www.espn.com/nfl/player/_/id/3051876/evan-engram" TargetMode="External"/><Relationship Id="rId362" Type="http://schemas.openxmlformats.org/officeDocument/2006/relationships/hyperlink" Target="http://www.espn.com/nfl/player/_/id/3066158/tarik-cohen" TargetMode="External"/><Relationship Id="rId383" Type="http://schemas.openxmlformats.org/officeDocument/2006/relationships/hyperlink" Target="http://www.espn.com/nfl/player/_/id/3115913/geronimo-allison" TargetMode="External"/><Relationship Id="rId418" Type="http://schemas.openxmlformats.org/officeDocument/2006/relationships/hyperlink" Target="http://www.espn.com/nfl/player/_/id/2577134/ty-montgomery" TargetMode="External"/><Relationship Id="rId439" Type="http://schemas.openxmlformats.org/officeDocument/2006/relationships/hyperlink" Target="http://www.espn.com/nfl/player/_/id/15920/latavius-murray" TargetMode="External"/><Relationship Id="rId201" Type="http://schemas.openxmlformats.org/officeDocument/2006/relationships/hyperlink" Target="http://www.espn.com/nfl/player/_/id/17051/albert-wilson" TargetMode="External"/><Relationship Id="rId222" Type="http://schemas.openxmlformats.org/officeDocument/2006/relationships/hyperlink" Target="http://www.espn.com/nfl/player/_/id/3116389/samaje-perine" TargetMode="External"/><Relationship Id="rId243" Type="http://schemas.openxmlformats.org/officeDocument/2006/relationships/hyperlink" Target="http://www.espn.com/nfl/player/_/id/3051738/marquez-valdes-scantling" TargetMode="External"/><Relationship Id="rId264" Type="http://schemas.openxmlformats.org/officeDocument/2006/relationships/hyperlink" Target="http://www.espn.com/nfl/player/_/id/3039723/tj-logan" TargetMode="External"/><Relationship Id="rId285" Type="http://schemas.openxmlformats.org/officeDocument/2006/relationships/hyperlink" Target="http://www.espn.com/nfl/player/_/id/13982/julio-jones" TargetMode="External"/><Relationship Id="rId450" Type="http://schemas.openxmlformats.org/officeDocument/2006/relationships/hyperlink" Target="http://www.espn.com/nfl/player/_/id/9354/robbie-gould" TargetMode="External"/><Relationship Id="rId471" Type="http://schemas.openxmlformats.org/officeDocument/2006/relationships/hyperlink" Target="http://www.espn.com/nfl/player/_/id/3125116/d'onta-foreman" TargetMode="External"/><Relationship Id="rId506" Type="http://schemas.openxmlformats.org/officeDocument/2006/relationships/hyperlink" Target="http://www.espn.com/nfl/player/_/id/15887/ryan-griffin" TargetMode="External"/><Relationship Id="rId17" Type="http://schemas.openxmlformats.org/officeDocument/2006/relationships/hyperlink" Target="http://www.espn.com/nfl/player/_/id/15825/le'veon-bell" TargetMode="External"/><Relationship Id="rId38" Type="http://schemas.openxmlformats.org/officeDocument/2006/relationships/hyperlink" Target="http://www.espn.com/nfl/player/_/id/2979843/kenyan-drake" TargetMode="External"/><Relationship Id="rId59" Type="http://schemas.openxmlformats.org/officeDocument/2006/relationships/hyperlink" Target="http://www.espn.com/nfl/player/_/id/2979477/tevin-coleman" TargetMode="External"/><Relationship Id="rId103" Type="http://schemas.openxmlformats.org/officeDocument/2006/relationships/hyperlink" Target="http://www.espn.com/nfl/player/_/id/17177/allen-hurns" TargetMode="External"/><Relationship Id="rId124" Type="http://schemas.openxmlformats.org/officeDocument/2006/relationships/hyperlink" Target="http://www.espn.com/nfl/player/_/id/2576623/devante-parker" TargetMode="External"/><Relationship Id="rId310" Type="http://schemas.openxmlformats.org/officeDocument/2006/relationships/hyperlink" Target="http://www.espn.com/nfl/player/_/id/13216/demaryius-thomas" TargetMode="External"/><Relationship Id="rId492" Type="http://schemas.openxmlformats.org/officeDocument/2006/relationships/hyperlink" Target="http://www.espn.com/nfl/player/_/id/3128451/tre'quan-smith" TargetMode="External"/><Relationship Id="rId527" Type="http://schemas.openxmlformats.org/officeDocument/2006/relationships/hyperlink" Target="http://www.espn.com/nfl/player/_/id/15428/jermaine-kearse" TargetMode="External"/><Relationship Id="rId548" Type="http://schemas.openxmlformats.org/officeDocument/2006/relationships/hyperlink" Target="http://www.espn.com/nfl/player/_/id/17402/seth-roberts" TargetMode="External"/><Relationship Id="rId70" Type="http://schemas.openxmlformats.org/officeDocument/2006/relationships/hyperlink" Target="http://www.espn.com/nfl/player/_/id/2574808/robby-anderson" TargetMode="External"/><Relationship Id="rId91" Type="http://schemas.openxmlformats.org/officeDocument/2006/relationships/hyperlink" Target="http://www.espn.com/nfl/player/_/id/11270/jordy-nelson" TargetMode="External"/><Relationship Id="rId145" Type="http://schemas.openxmlformats.org/officeDocument/2006/relationships/hyperlink" Target="http://www.espn.com/nfl/player/_/id/16791/donte-moncrief" TargetMode="External"/><Relationship Id="rId166" Type="http://schemas.openxmlformats.org/officeDocument/2006/relationships/hyperlink" Target="http://www.espn.com/nfl/player/_/id/16040/cj-anderson" TargetMode="External"/><Relationship Id="rId187" Type="http://schemas.openxmlformats.org/officeDocument/2006/relationships/hyperlink" Target="http://www.espn.com/nfl/player/_/id/3128720/nick-chubb" TargetMode="External"/><Relationship Id="rId331" Type="http://schemas.openxmlformats.org/officeDocument/2006/relationships/hyperlink" Target="http://www.espn.com/nfl/player/_/id/3042778/corey-davis" TargetMode="External"/><Relationship Id="rId352" Type="http://schemas.openxmlformats.org/officeDocument/2006/relationships/hyperlink" Target="http://www.espn.com/nfl/player/_/id/12649/julian-edelman" TargetMode="External"/><Relationship Id="rId373" Type="http://schemas.openxmlformats.org/officeDocument/2006/relationships/hyperlink" Target="http://www.espn.com/nfl/player/_/id/3916925/kerryon-johnson" TargetMode="External"/><Relationship Id="rId394" Type="http://schemas.openxmlformats.org/officeDocument/2006/relationships/hyperlink" Target="http://www.espn.com/nfl/player/_/id/3123076/david-njoku" TargetMode="External"/><Relationship Id="rId408" Type="http://schemas.openxmlformats.org/officeDocument/2006/relationships/hyperlink" Target="http://www.espn.com/nfl/player/_/id/5529/philip-rivers" TargetMode="External"/><Relationship Id="rId429" Type="http://schemas.openxmlformats.org/officeDocument/2006/relationships/hyperlink" Target="http://www.espn.com/nfl/player/_/id/3916430/nyheim-hines" TargetMode="External"/><Relationship Id="rId1" Type="http://schemas.openxmlformats.org/officeDocument/2006/relationships/hyperlink" Target="http://www.espn.com/nfl/player/_/id/2977644/todd-gurley-ii" TargetMode="External"/><Relationship Id="rId212" Type="http://schemas.openxmlformats.org/officeDocument/2006/relationships/hyperlink" Target="http://www.espn.com/nfl/player/_/id/15878/terrance-williams" TargetMode="External"/><Relationship Id="rId233" Type="http://schemas.openxmlformats.org/officeDocument/2006/relationships/hyperlink" Target="http://www.espn.com/nfl/player/_/id/3051806/ricky-seals-jones" TargetMode="External"/><Relationship Id="rId254" Type="http://schemas.openxmlformats.org/officeDocument/2006/relationships/hyperlink" Target="http://www.espn.com/nfl/player/_/id/2991662/mack-hollins" TargetMode="External"/><Relationship Id="rId440" Type="http://schemas.openxmlformats.org/officeDocument/2006/relationships/hyperlink" Target="http://www.espn.com/nfl/player/_/id/17437/taylor-gabriel" TargetMode="External"/><Relationship Id="rId28" Type="http://schemas.openxmlformats.org/officeDocument/2006/relationships/hyperlink" Target="http://www.espn.com/nfl/player/_/id/5528/larry-fitzgerald" TargetMode="External"/><Relationship Id="rId49" Type="http://schemas.openxmlformats.org/officeDocument/2006/relationships/hyperlink" Target="http://www.espn.com/nfl/player/_/id/13981/mark-ingram-ii" TargetMode="External"/><Relationship Id="rId114" Type="http://schemas.openxmlformats.org/officeDocument/2006/relationships/hyperlink" Target="http://www.espn.com/nfl/player/_/id/16913/james-white" TargetMode="External"/><Relationship Id="rId275" Type="http://schemas.openxmlformats.org/officeDocument/2006/relationships/hyperlink" Target="http://www.espn.com/nfl/player/_/id/3051889/laquon-treadwell" TargetMode="External"/><Relationship Id="rId296" Type="http://schemas.openxmlformats.org/officeDocument/2006/relationships/hyperlink" Target="http://www.espn.com/nfl/player/_/id/13229/rob-gronkowski" TargetMode="External"/><Relationship Id="rId300" Type="http://schemas.openxmlformats.org/officeDocument/2006/relationships/hyperlink" Target="http://www.espn.com/nfl/player/_/id/16944/devonta-freeman" TargetMode="External"/><Relationship Id="rId461" Type="http://schemas.openxmlformats.org/officeDocument/2006/relationships/hyperlink" Target="http://www.espn.com/nfl/player/_/id/5362/antonio-gates" TargetMode="External"/><Relationship Id="rId482" Type="http://schemas.openxmlformats.org/officeDocument/2006/relationships/hyperlink" Target="http://www.espn.com/nfl/player/_/id/14876/ryan-tannehill" TargetMode="External"/><Relationship Id="rId517" Type="http://schemas.openxmlformats.org/officeDocument/2006/relationships/hyperlink" Target="http://www.espn.com/nfl/player/_/id/15503/deonte-thompson" TargetMode="External"/><Relationship Id="rId538" Type="http://schemas.openxmlformats.org/officeDocument/2006/relationships/hyperlink" Target="http://www.espn.com/nfl/player/_/id/2570986/malcolm-brown" TargetMode="External"/><Relationship Id="rId60" Type="http://schemas.openxmlformats.org/officeDocument/2006/relationships/hyperlink" Target="http://www.espn.com/nfl/player/_/id/15009/alfred-morris" TargetMode="External"/><Relationship Id="rId81" Type="http://schemas.openxmlformats.org/officeDocument/2006/relationships/hyperlink" Target="http://www.espn.com/nfl/player/_/id/16730/kelvin-benjamin" TargetMode="External"/><Relationship Id="rId135" Type="http://schemas.openxmlformats.org/officeDocument/2006/relationships/hyperlink" Target="http://www.espn.com/nfl/player/_/id/3139477/patrick-mahomes" TargetMode="External"/><Relationship Id="rId156" Type="http://schemas.openxmlformats.org/officeDocument/2006/relationships/hyperlink" Target="http://www.espn.com/nfl/player/_/id/3040151/george-kittle" TargetMode="External"/><Relationship Id="rId177" Type="http://schemas.openxmlformats.org/officeDocument/2006/relationships/hyperlink" Target="http://www.espn.com/nfl/player/_/id/11122/matt-prater" TargetMode="External"/><Relationship Id="rId198" Type="http://schemas.openxmlformats.org/officeDocument/2006/relationships/hyperlink" Target="http://www.espn.com/nfl/player/_/id/3043275/austin-hooper" TargetMode="External"/><Relationship Id="rId321" Type="http://schemas.openxmlformats.org/officeDocument/2006/relationships/hyperlink" Target="http://www.espn.com/nfl/player/_/id/2573300/jay-ajayi" TargetMode="External"/><Relationship Id="rId342" Type="http://schemas.openxmlformats.org/officeDocument/2006/relationships/hyperlink" Target="http://www.espn.com/nfl/player/_/id/2977187/cooper-kupp" TargetMode="External"/><Relationship Id="rId363" Type="http://schemas.openxmlformats.org/officeDocument/2006/relationships/hyperlink" Target="http://www.espn.com/nfl/player/_/id/10452/adrian-peterson" TargetMode="External"/><Relationship Id="rId384" Type="http://schemas.openxmlformats.org/officeDocument/2006/relationships/hyperlink" Target="http://www.espn.com/nfl/player/_/id/10453/ted-ginn-jr" TargetMode="External"/><Relationship Id="rId419" Type="http://schemas.openxmlformats.org/officeDocument/2006/relationships/hyperlink" Target="http://www.espn.com/nfl/player/_/id/2577253/javorius-allen" TargetMode="External"/><Relationship Id="rId202" Type="http://schemas.openxmlformats.org/officeDocument/2006/relationships/hyperlink" Target="http://www.espn.com/nfl/player/_/id/3115913/geronimo-allison" TargetMode="External"/><Relationship Id="rId223" Type="http://schemas.openxmlformats.org/officeDocument/2006/relationships/hyperlink" Target="http://www.espn.com/nfl/player/_/id/16020/spencer-ware" TargetMode="External"/><Relationship Id="rId244" Type="http://schemas.openxmlformats.org/officeDocument/2006/relationships/hyperlink" Target="http://www.espn.com/nfl/player/_/id/3932442/equanimeous-st-brown" TargetMode="External"/><Relationship Id="rId430" Type="http://schemas.openxmlformats.org/officeDocument/2006/relationships/hyperlink" Target="http://www.espn.com/nfl/player/_/id/3051891/jordan-wilkins" TargetMode="External"/><Relationship Id="rId18" Type="http://schemas.openxmlformats.org/officeDocument/2006/relationships/hyperlink" Target="http://www.espn.com/nfl/player/_/id/13983/aj-green" TargetMode="External"/><Relationship Id="rId39" Type="http://schemas.openxmlformats.org/officeDocument/2006/relationships/hyperlink" Target="http://www.espn.com/nfl/player/_/id/15072/marvin-jones-jr" TargetMode="External"/><Relationship Id="rId265" Type="http://schemas.openxmlformats.org/officeDocument/2006/relationships/hyperlink" Target="http://www.espn.com/nfl/player/_/id/3128774/kalen-ballage" TargetMode="External"/><Relationship Id="rId286" Type="http://schemas.openxmlformats.org/officeDocument/2006/relationships/hyperlink" Target="http://www.espn.com/nfl/player/_/id/15795/deandre-hopkins" TargetMode="External"/><Relationship Id="rId451" Type="http://schemas.openxmlformats.org/officeDocument/2006/relationships/hyperlink" Target="http://www.espn.com/nfl/player/_/id/3050478/jake-elliott" TargetMode="External"/><Relationship Id="rId472" Type="http://schemas.openxmlformats.org/officeDocument/2006/relationships/hyperlink" Target="http://www.espn.com/nfl/player/_/id/16020/spencer-ware" TargetMode="External"/><Relationship Id="rId493" Type="http://schemas.openxmlformats.org/officeDocument/2006/relationships/hyperlink" Target="http://www.espn.com/nfl/player/_/id/15807/cordarrelle-patterson" TargetMode="External"/><Relationship Id="rId507" Type="http://schemas.openxmlformats.org/officeDocument/2006/relationships/hyperlink" Target="http://www.espn.com/nfl/player/_/id/3054212/jonnu-smith" TargetMode="External"/><Relationship Id="rId528" Type="http://schemas.openxmlformats.org/officeDocument/2006/relationships/hyperlink" Target="http://www.espn.com/nfl/player/_/id/14151/jeremy-kerley" TargetMode="External"/><Relationship Id="rId549" Type="http://schemas.openxmlformats.org/officeDocument/2006/relationships/hyperlink" Target="http://www.espn.com/nfl/player/_/id/14918/jarius-wright" TargetMode="External"/><Relationship Id="rId50" Type="http://schemas.openxmlformats.org/officeDocument/2006/relationships/hyperlink" Target="http://www.espn.com/nfl/player/_/id/15971/rex-burkhead" TargetMode="External"/><Relationship Id="rId104" Type="http://schemas.openxmlformats.org/officeDocument/2006/relationships/hyperlink" Target="http://www.espn.com/nfl/player/_/id/2974858/kenny-golladay" TargetMode="External"/><Relationship Id="rId125" Type="http://schemas.openxmlformats.org/officeDocument/2006/relationships/hyperlink" Target="http://www.espn.com/nfl/player/_/id/12601/mike-wallace" TargetMode="External"/><Relationship Id="rId146" Type="http://schemas.openxmlformats.org/officeDocument/2006/relationships/hyperlink" Target="http://www.espn.com/nfl/player/_/id/3045138/mike-williams" TargetMode="External"/><Relationship Id="rId167" Type="http://schemas.openxmlformats.org/officeDocument/2006/relationships/hyperlink" Target="http://www.espn.com/nfl/player/_/id/3046779/jared-goff" TargetMode="External"/><Relationship Id="rId188" Type="http://schemas.openxmlformats.org/officeDocument/2006/relationships/hyperlink" Target="http://www.espn.com/nfl/player/_/id/13213/legarrette-blount" TargetMode="External"/><Relationship Id="rId311" Type="http://schemas.openxmlformats.org/officeDocument/2006/relationships/hyperlink" Target="http://www.espn.com/nfl/player/_/id/13295/emmanuel-sanders" TargetMode="External"/><Relationship Id="rId332" Type="http://schemas.openxmlformats.org/officeDocument/2006/relationships/hyperlink" Target="http://www.espn.com/nfl/player/_/id/2977609/devin-funchess" TargetMode="External"/><Relationship Id="rId353" Type="http://schemas.openxmlformats.org/officeDocument/2006/relationships/hyperlink" Target="http://www.espn.com/nfl/player/_/id/13994/cam-newton" TargetMode="External"/><Relationship Id="rId374" Type="http://schemas.openxmlformats.org/officeDocument/2006/relationships/hyperlink" Target="http://www.espn.com/nfl/player/_/id/16913/james-white" TargetMode="External"/><Relationship Id="rId395" Type="http://schemas.openxmlformats.org/officeDocument/2006/relationships/hyperlink" Target="http://www.espn.com/nfl/player/_/id/5557/benjamin-watson" TargetMode="External"/><Relationship Id="rId409" Type="http://schemas.openxmlformats.org/officeDocument/2006/relationships/hyperlink" Target="http://www.espn.com/nfl/player/_/id/8416/alex-smith" TargetMode="External"/><Relationship Id="rId71" Type="http://schemas.openxmlformats.org/officeDocument/2006/relationships/hyperlink" Target="http://www.espn.com/nfl/player/_/id/16725/sammy-watkins" TargetMode="External"/><Relationship Id="rId92" Type="http://schemas.openxmlformats.org/officeDocument/2006/relationships/hyperlink" Target="http://www.espn.com/nfl/player/_/id/3071572/keelan-cole" TargetMode="External"/><Relationship Id="rId213" Type="http://schemas.openxmlformats.org/officeDocument/2006/relationships/hyperlink" Target="http://www.espn.com/nfl/player/_/id/9705/brandon-marshall" TargetMode="External"/><Relationship Id="rId234" Type="http://schemas.openxmlformats.org/officeDocument/2006/relationships/hyperlink" Target="http://www.espn.com/nfl/player/_/id/15887/ryan-griffin" TargetMode="External"/><Relationship Id="rId420" Type="http://schemas.openxmlformats.org/officeDocument/2006/relationships/hyperlink" Target="http://www.espn.com/nfl/player/_/id/16795/austin-seferian-jenkins" TargetMode="External"/><Relationship Id="rId2" Type="http://schemas.openxmlformats.org/officeDocument/2006/relationships/hyperlink" Target="http://www.espn.com/nfl/player/_/id/2508176/david-johnson" TargetMode="External"/><Relationship Id="rId29" Type="http://schemas.openxmlformats.org/officeDocument/2006/relationships/hyperlink" Target="http://www.espn.com/nfl/player/_/id/15847/travis-kelce" TargetMode="External"/><Relationship Id="rId255" Type="http://schemas.openxmlformats.org/officeDocument/2006/relationships/hyperlink" Target="http://www.espn.com/nfl/player/_/id/15428/jermaine-kearse" TargetMode="External"/><Relationship Id="rId276" Type="http://schemas.openxmlformats.org/officeDocument/2006/relationships/hyperlink" Target="http://www.espn.com/nfl/player/_/id/2972236/nathan-peterman" TargetMode="External"/><Relationship Id="rId297" Type="http://schemas.openxmlformats.org/officeDocument/2006/relationships/hyperlink" Target="http://www.espn.com/nfl/player/_/id/16800/davante-adams" TargetMode="External"/><Relationship Id="rId441" Type="http://schemas.openxmlformats.org/officeDocument/2006/relationships/hyperlink" Target="http://www.espn.com/nfl/player/_/id/3925357/calvin-ridley" TargetMode="External"/><Relationship Id="rId462" Type="http://schemas.openxmlformats.org/officeDocument/2006/relationships/hyperlink" Target="http://www.espn.com/nfl/player/_/id/3122866/devontae-booker" TargetMode="External"/><Relationship Id="rId483" Type="http://schemas.openxmlformats.org/officeDocument/2006/relationships/hyperlink" Target="http://www.espn.com/nfl/player/_/id/12731/ryan-succop" TargetMode="External"/><Relationship Id="rId518" Type="http://schemas.openxmlformats.org/officeDocument/2006/relationships/hyperlink" Target="http://www.espn.com/nfl/player/_/id/2576491/adam-humphries" TargetMode="External"/><Relationship Id="rId539" Type="http://schemas.openxmlformats.org/officeDocument/2006/relationships/hyperlink" Target="http://www.espn.com/nfl/player/_/id/4261020/trenton-cannon" TargetMode="External"/><Relationship Id="rId40" Type="http://schemas.openxmlformats.org/officeDocument/2006/relationships/hyperlink" Target="http://www.espn.com/nfl/player/_/id/16731/brandin-cooks" TargetMode="External"/><Relationship Id="rId115" Type="http://schemas.openxmlformats.org/officeDocument/2006/relationships/hyperlink" Target="http://www.espn.com/nfl/player/_/id/3052177/john-ross" TargetMode="External"/><Relationship Id="rId136" Type="http://schemas.openxmlformats.org/officeDocument/2006/relationships/hyperlink" Target="http://www.espn.com/nfl/player/_/id/15788/tyler-eifert" TargetMode="External"/><Relationship Id="rId157" Type="http://schemas.openxmlformats.org/officeDocument/2006/relationships/hyperlink" Target="http://www.espn.com/nfl/player/_/id/16845/ryan-grant" TargetMode="External"/><Relationship Id="rId178" Type="http://schemas.openxmlformats.org/officeDocument/2006/relationships/hyperlink" Target="http://www.espn.com/nfl/player/_/id/3055899/harrison-butker" TargetMode="External"/><Relationship Id="rId301" Type="http://schemas.openxmlformats.org/officeDocument/2006/relationships/hyperlink" Target="http://www.espn.com/nfl/player/_/id/12514/lesean-mccoy" TargetMode="External"/><Relationship Id="rId322" Type="http://schemas.openxmlformats.org/officeDocument/2006/relationships/hyperlink" Target="http://www.espn.com/nfl/player/_/id/14886/lamar-miller" TargetMode="External"/><Relationship Id="rId343" Type="http://schemas.openxmlformats.org/officeDocument/2006/relationships/hyperlink" Target="http://www.espn.com/nfl/player/_/id/14053/randall-cobb" TargetMode="External"/><Relationship Id="rId364" Type="http://schemas.openxmlformats.org/officeDocument/2006/relationships/hyperlink" Target="http://www.espn.com/nfl/player/_/id/3049916/matt-breida" TargetMode="External"/><Relationship Id="rId550" Type="http://schemas.openxmlformats.org/officeDocument/2006/relationships/hyperlink" Target="http://www.espn.com/nfl/player/_/id/3918298/josh-allen" TargetMode="External"/><Relationship Id="rId61" Type="http://schemas.openxmlformats.org/officeDocument/2006/relationships/hyperlink" Target="http://www.espn.com/nfl/player/_/id/3919596/chris-carson" TargetMode="External"/><Relationship Id="rId82" Type="http://schemas.openxmlformats.org/officeDocument/2006/relationships/hyperlink" Target="http://www.espn.com/nfl/player/_/id/16016/kenny-stills" TargetMode="External"/><Relationship Id="rId199" Type="http://schemas.openxmlformats.org/officeDocument/2006/relationships/hyperlink" Target="http://www.espn.com/nfl/player/_/id/12537/jared-cook" TargetMode="External"/><Relationship Id="rId203" Type="http://schemas.openxmlformats.org/officeDocument/2006/relationships/hyperlink" Target="http://www.espn.com/nfl/player/_/id/15349/cole-beasley" TargetMode="External"/><Relationship Id="rId385" Type="http://schemas.openxmlformats.org/officeDocument/2006/relationships/hyperlink" Target="http://www.espn.com/nfl/player/_/id/2576019/josh-doctson" TargetMode="External"/><Relationship Id="rId19" Type="http://schemas.openxmlformats.org/officeDocument/2006/relationships/hyperlink" Target="http://www.espn.com/nfl/player/_/id/16944/devonta-freeman" TargetMode="External"/><Relationship Id="rId224" Type="http://schemas.openxmlformats.org/officeDocument/2006/relationships/hyperlink" Target="http://www.espn.com/nfl/player/_/id/3042494/elijah-mcguire" TargetMode="External"/><Relationship Id="rId245" Type="http://schemas.openxmlformats.org/officeDocument/2006/relationships/hyperlink" Target="http://www.espn.com/nfl/player/_/id/2576491/adam-humphries" TargetMode="External"/><Relationship Id="rId266" Type="http://schemas.openxmlformats.org/officeDocument/2006/relationships/hyperlink" Target="http://www.espn.com/nfl/player/_/id/3121427/curtis-samuel" TargetMode="External"/><Relationship Id="rId287" Type="http://schemas.openxmlformats.org/officeDocument/2006/relationships/hyperlink" Target="http://www.espn.com/nfl/player/_/id/16733/odell-beckham-jr" TargetMode="External"/><Relationship Id="rId410" Type="http://schemas.openxmlformats.org/officeDocument/2006/relationships/hyperlink" Target="http://www.espn.com/nfl/player/_/id/11237/matt-ryan" TargetMode="External"/><Relationship Id="rId431" Type="http://schemas.openxmlformats.org/officeDocument/2006/relationships/hyperlink" Target="http://www.espn.com/nfl/player/_/id/2976516/tj-yeldon" TargetMode="External"/><Relationship Id="rId452" Type="http://schemas.openxmlformats.org/officeDocument/2006/relationships/hyperlink" Target="http://www.espn.com/nfl/player/_/id/11122/matt-prater" TargetMode="External"/><Relationship Id="rId473" Type="http://schemas.openxmlformats.org/officeDocument/2006/relationships/hyperlink" Target="http://www.espn.com/nfl/player/_/id/14145/charles-clay" TargetMode="External"/><Relationship Id="rId494" Type="http://schemas.openxmlformats.org/officeDocument/2006/relationships/hyperlink" Target="http://www.espn.com/nfl/player/_/id/14193/jacquizz-rodgers" TargetMode="External"/><Relationship Id="rId508" Type="http://schemas.openxmlformats.org/officeDocument/2006/relationships/hyperlink" Target="http://www.espn.com/nfl/player/_/id/4045305/ian-thomas" TargetMode="External"/><Relationship Id="rId529" Type="http://schemas.openxmlformats.org/officeDocument/2006/relationships/hyperlink" Target="http://www.espn.com/nfl/player/_/id/3051889/laquon-treadwell" TargetMode="External"/><Relationship Id="rId30" Type="http://schemas.openxmlformats.org/officeDocument/2006/relationships/hyperlink" Target="http://www.espn.com/nfl/player/_/id/15835/zach-ertz" TargetMode="External"/><Relationship Id="rId105" Type="http://schemas.openxmlformats.org/officeDocument/2006/relationships/hyperlink" Target="http://www.espn.com/nfl/player/_/id/14053/randall-cobb" TargetMode="External"/><Relationship Id="rId126" Type="http://schemas.openxmlformats.org/officeDocument/2006/relationships/hyperlink" Target="http://www.espn.com/nfl/player/_/id/11283/desean-jackson" TargetMode="External"/><Relationship Id="rId147" Type="http://schemas.openxmlformats.org/officeDocument/2006/relationships/hyperlink" Target="http://www.espn.com/nfl/player/_/id/2577134/ty-montgomery" TargetMode="External"/><Relationship Id="rId168" Type="http://schemas.openxmlformats.org/officeDocument/2006/relationships/hyperlink" Target="http://www.espn.com/nfl/player/_/id/3059760/taywan-taylor" TargetMode="External"/><Relationship Id="rId312" Type="http://schemas.openxmlformats.org/officeDocument/2006/relationships/hyperlink" Target="http://www.espn.com/nfl/player/_/id/16799/allen-robinson" TargetMode="External"/><Relationship Id="rId333" Type="http://schemas.openxmlformats.org/officeDocument/2006/relationships/hyperlink" Target="http://www.espn.com/nfl/player/_/id/8439/aaron-rodgers" TargetMode="External"/><Relationship Id="rId354" Type="http://schemas.openxmlformats.org/officeDocument/2006/relationships/hyperlink" Target="http://www.espn.com/nfl/player/_/id/14881/russell-wilson" TargetMode="External"/><Relationship Id="rId540" Type="http://schemas.openxmlformats.org/officeDocument/2006/relationships/hyperlink" Target="http://www.espn.com/nfl/player/_/id/2983209/chester-rogers" TargetMode="External"/><Relationship Id="rId51" Type="http://schemas.openxmlformats.org/officeDocument/2006/relationships/hyperlink" Target="http://www.espn.com/nfl/player/_/id/13217/golden-tate" TargetMode="External"/><Relationship Id="rId72" Type="http://schemas.openxmlformats.org/officeDocument/2006/relationships/hyperlink" Target="http://www.espn.com/nfl/player/_/id/3052876/will-fuller-v" TargetMode="External"/><Relationship Id="rId93" Type="http://schemas.openxmlformats.org/officeDocument/2006/relationships/hyperlink" Target="http://www.espn.com/nfl/player/_/id/12649/julian-edelman" TargetMode="External"/><Relationship Id="rId189" Type="http://schemas.openxmlformats.org/officeDocument/2006/relationships/hyperlink" Target="http://www.espn.com/nfl/player/_/id/3119195/chase-edmonds" TargetMode="External"/><Relationship Id="rId375" Type="http://schemas.openxmlformats.org/officeDocument/2006/relationships/hyperlink" Target="http://www.espn.com/nfl/player/_/id/16974/trey-burton" TargetMode="External"/><Relationship Id="rId396" Type="http://schemas.openxmlformats.org/officeDocument/2006/relationships/hyperlink" Target="http://www.espn.com/nfl/player/_/id/14129/bilal-powell" TargetMode="External"/><Relationship Id="rId3" Type="http://schemas.openxmlformats.org/officeDocument/2006/relationships/hyperlink" Target="http://www.espn.com/nfl/player/_/id/3051392/ezekiel-elliott" TargetMode="External"/><Relationship Id="rId214" Type="http://schemas.openxmlformats.org/officeDocument/2006/relationships/hyperlink" Target="http://www.espn.com/nfl/player/_/id/15062/travis-benjamin" TargetMode="External"/><Relationship Id="rId235" Type="http://schemas.openxmlformats.org/officeDocument/2006/relationships/hyperlink" Target="http://www.espn.com/nfl/player/_/id/14193/jacquizz-rodgers" TargetMode="External"/><Relationship Id="rId256" Type="http://schemas.openxmlformats.org/officeDocument/2006/relationships/hyperlink" Target="http://www.espn.com/nfl/player/_/id/14151/jeremy-kerley" TargetMode="External"/><Relationship Id="rId277" Type="http://schemas.openxmlformats.org/officeDocument/2006/relationships/hyperlink" Target="http://www.espn.com/nfl/player/_/id/2977644/todd-gurley-ii" TargetMode="External"/><Relationship Id="rId298" Type="http://schemas.openxmlformats.org/officeDocument/2006/relationships/hyperlink" Target="http://www.espn.com/nfl/player/_/id/3116406/tyreek-hill" TargetMode="External"/><Relationship Id="rId400" Type="http://schemas.openxmlformats.org/officeDocument/2006/relationships/hyperlink" Target="http://www.espn.com/nfl/player/_/id/3128721/sony-michel" TargetMode="External"/><Relationship Id="rId421" Type="http://schemas.openxmlformats.org/officeDocument/2006/relationships/hyperlink" Target="http://www.espn.com/nfl/player/_/id/15788/tyler-eifert" TargetMode="External"/><Relationship Id="rId442" Type="http://schemas.openxmlformats.org/officeDocument/2006/relationships/hyperlink" Target="http://www.espn.com/nfl/player/_/id/3043080/oj-howard" TargetMode="External"/><Relationship Id="rId463" Type="http://schemas.openxmlformats.org/officeDocument/2006/relationships/hyperlink" Target="http://www.espn.com/nfl/player/_/id/16040/cj-anderson" TargetMode="External"/><Relationship Id="rId484" Type="http://schemas.openxmlformats.org/officeDocument/2006/relationships/hyperlink" Target="http://www.espn.com/nfl/player/_/id/3051909/daniel-carlson" TargetMode="External"/><Relationship Id="rId519" Type="http://schemas.openxmlformats.org/officeDocument/2006/relationships/hyperlink" Target="http://www.espn.com/nfl/player/_/id/3059722/zay-jones" TargetMode="External"/><Relationship Id="rId116" Type="http://schemas.openxmlformats.org/officeDocument/2006/relationships/hyperlink" Target="http://www.espn.com/nfl/player/_/id/14922/mohamed-sanu" TargetMode="External"/><Relationship Id="rId137" Type="http://schemas.openxmlformats.org/officeDocument/2006/relationships/hyperlink" Target="http://www.espn.com/nfl/player/_/id/5529/philip-rivers" TargetMode="External"/><Relationship Id="rId158" Type="http://schemas.openxmlformats.org/officeDocument/2006/relationships/hyperlink" Target="http://www.espn.com/nfl/player/_/id/3892889/dede-westbrook" TargetMode="External"/><Relationship Id="rId302" Type="http://schemas.openxmlformats.org/officeDocument/2006/relationships/hyperlink" Target="http://www.espn.com/nfl/player/_/id/16737/mike-evans" TargetMode="External"/><Relationship Id="rId323" Type="http://schemas.openxmlformats.org/officeDocument/2006/relationships/hyperlink" Target="http://www.espn.com/nfl/player/_/id/3122672/royce-freeman" TargetMode="External"/><Relationship Id="rId344" Type="http://schemas.openxmlformats.org/officeDocument/2006/relationships/hyperlink" Target="http://www.espn.com/nfl/player/_/id/14221/doug-baldwin" TargetMode="External"/><Relationship Id="rId530" Type="http://schemas.openxmlformats.org/officeDocument/2006/relationships/hyperlink" Target="http://www.espn.com/nfl/player/_/id/3040569/trent-taylor" TargetMode="External"/><Relationship Id="rId20" Type="http://schemas.openxmlformats.org/officeDocument/2006/relationships/hyperlink" Target="http://www.espn.com/nfl/player/_/id/13229/rob-gronkowski" TargetMode="External"/><Relationship Id="rId41" Type="http://schemas.openxmlformats.org/officeDocument/2006/relationships/hyperlink" Target="http://www.espn.com/nfl/player/_/id/14402/chris-hogan" TargetMode="External"/><Relationship Id="rId62" Type="http://schemas.openxmlformats.org/officeDocument/2006/relationships/hyperlink" Target="http://www.espn.com/nfl/player/_/id/15839/marquise-goodwin" TargetMode="External"/><Relationship Id="rId83" Type="http://schemas.openxmlformats.org/officeDocument/2006/relationships/hyperlink" Target="http://www.espn.com/nfl/player/_/id/17133/isaiah-crowell" TargetMode="External"/><Relationship Id="rId179" Type="http://schemas.openxmlformats.org/officeDocument/2006/relationships/hyperlink" Target="http://www.espn.com/nfl/player/_/id/1097/adam-vinatieri" TargetMode="External"/><Relationship Id="rId365" Type="http://schemas.openxmlformats.org/officeDocument/2006/relationships/hyperlink" Target="http://www.espn.com/nfl/player/_/id/16504/jack-doyle" TargetMode="External"/><Relationship Id="rId386" Type="http://schemas.openxmlformats.org/officeDocument/2006/relationships/hyperlink" Target="http://www.espn.com/nfl/player/_/id/17177/allen-hurns" TargetMode="External"/><Relationship Id="rId551" Type="http://schemas.openxmlformats.org/officeDocument/2006/relationships/printerSettings" Target="../printerSettings/printerSettings6.bin"/><Relationship Id="rId190" Type="http://schemas.openxmlformats.org/officeDocument/2006/relationships/hyperlink" Target="http://www.espn.com/nfl/player/_/id/13587/chris-ivory" TargetMode="External"/><Relationship Id="rId204" Type="http://schemas.openxmlformats.org/officeDocument/2006/relationships/hyperlink" Target="http://www.espn.com/nfl/player/_/id/10453/ted-ginn-jr" TargetMode="External"/><Relationship Id="rId225" Type="http://schemas.openxmlformats.org/officeDocument/2006/relationships/hyperlink" Target="http://www.espn.com/nfl/player/_/id/11247/jonathan-stewart" TargetMode="External"/><Relationship Id="rId246" Type="http://schemas.openxmlformats.org/officeDocument/2006/relationships/hyperlink" Target="http://www.espn.com/nfl/player/_/id/17359/damien-williams" TargetMode="External"/><Relationship Id="rId267" Type="http://schemas.openxmlformats.org/officeDocument/2006/relationships/hyperlink" Target="http://www.espn.com/nfl/player/_/id/15965/dustin-hopkins" TargetMode="External"/><Relationship Id="rId288" Type="http://schemas.openxmlformats.org/officeDocument/2006/relationships/hyperlink" Target="http://www.espn.com/nfl/player/_/id/15818/keenan-allen" TargetMode="External"/><Relationship Id="rId411" Type="http://schemas.openxmlformats.org/officeDocument/2006/relationships/hyperlink" Target="http://www.espn.com/nfl/player/_/id/16760/jimmy-garoppolo" TargetMode="External"/><Relationship Id="rId432" Type="http://schemas.openxmlformats.org/officeDocument/2006/relationships/hyperlink" Target="http://www.espn.com/nfl/player/_/id/3892889/dede-westbrook" TargetMode="External"/><Relationship Id="rId453" Type="http://schemas.openxmlformats.org/officeDocument/2006/relationships/hyperlink" Target="http://www.espn.com/nfl/player/_/id/3055899/harrison-butker" TargetMode="External"/><Relationship Id="rId474" Type="http://schemas.openxmlformats.org/officeDocument/2006/relationships/hyperlink" Target="http://www.espn.com/nfl/player/_/id/17453/cameron-brate" TargetMode="External"/><Relationship Id="rId509" Type="http://schemas.openxmlformats.org/officeDocument/2006/relationships/hyperlink" Target="http://www.espn.com/nfl/player/_/id/2515934/corey-grant" TargetMode="External"/><Relationship Id="rId106" Type="http://schemas.openxmlformats.org/officeDocument/2006/relationships/hyperlink" Target="http://www.espn.com/nfl/player/_/id/16781/paul-richardson" TargetMode="External"/><Relationship Id="rId127" Type="http://schemas.openxmlformats.org/officeDocument/2006/relationships/hyperlink" Target="http://www.espn.com/nfl/player/_/id/12483/matthew-stafford" TargetMode="External"/><Relationship Id="rId313" Type="http://schemas.openxmlformats.org/officeDocument/2006/relationships/hyperlink" Target="http://www.espn.com/nfl/player/_/id/2976499/amari-cooper" TargetMode="External"/><Relationship Id="rId495" Type="http://schemas.openxmlformats.org/officeDocument/2006/relationships/hyperlink" Target="http://www.espn.com/nfl/player/_/id/16002/kyle-juszczyk" TargetMode="External"/><Relationship Id="rId10" Type="http://schemas.openxmlformats.org/officeDocument/2006/relationships/hyperlink" Target="http://www.espn.com/nfl/player/_/id/15795/deandre-hopkins" TargetMode="External"/><Relationship Id="rId31" Type="http://schemas.openxmlformats.org/officeDocument/2006/relationships/hyperlink" Target="http://www.espn.com/nfl/player/_/id/14221/doug-baldwin" TargetMode="External"/><Relationship Id="rId52" Type="http://schemas.openxmlformats.org/officeDocument/2006/relationships/hyperlink" Target="http://www.espn.com/nfl/player/_/id/3120348/juju-smith-schuster" TargetMode="External"/><Relationship Id="rId73" Type="http://schemas.openxmlformats.org/officeDocument/2006/relationships/hyperlink" Target="http://www.espn.com/nfl/player/_/id/14912/alshon-jeffery" TargetMode="External"/><Relationship Id="rId94" Type="http://schemas.openxmlformats.org/officeDocument/2006/relationships/hyperlink" Target="http://www.espn.com/nfl/player/_/id/2980453/jamaal-williams" TargetMode="External"/><Relationship Id="rId148" Type="http://schemas.openxmlformats.org/officeDocument/2006/relationships/hyperlink" Target="http://www.espn.com/nfl/player/_/id/15994/theo-riddick" TargetMode="External"/><Relationship Id="rId169" Type="http://schemas.openxmlformats.org/officeDocument/2006/relationships/hyperlink" Target="http://www.espn.com/nfl/player/_/id/14993/greg-zuerlein" TargetMode="External"/><Relationship Id="rId334" Type="http://schemas.openxmlformats.org/officeDocument/2006/relationships/hyperlink" Target="http://www.espn.com/nfl/player/_/id/2330/tom-brady" TargetMode="External"/><Relationship Id="rId355" Type="http://schemas.openxmlformats.org/officeDocument/2006/relationships/hyperlink" Target="http://www.espn.com/nfl/player/_/id/14874/andrew-luck" TargetMode="External"/><Relationship Id="rId376" Type="http://schemas.openxmlformats.org/officeDocument/2006/relationships/hyperlink" Target="http://www.espn.com/nfl/player/_/id/16899/quincy-enunwa" TargetMode="External"/><Relationship Id="rId397" Type="http://schemas.openxmlformats.org/officeDocument/2006/relationships/hyperlink" Target="http://www.espn.com/nfl/player/_/id/3052117/phillip-lindsay" TargetMode="External"/><Relationship Id="rId520" Type="http://schemas.openxmlformats.org/officeDocument/2006/relationships/hyperlink" Target="http://www.espn.com/nfl/player/_/id/3039723/tj-logan" TargetMode="External"/><Relationship Id="rId541" Type="http://schemas.openxmlformats.org/officeDocument/2006/relationships/hyperlink" Target="http://www.espn.com/nfl/player/_/id/15965/dustin-hopkins" TargetMode="External"/><Relationship Id="rId4" Type="http://schemas.openxmlformats.org/officeDocument/2006/relationships/hyperlink" Target="http://www.espn.com/nfl/player/_/id/3929630/saquon-barkley" TargetMode="External"/><Relationship Id="rId180" Type="http://schemas.openxmlformats.org/officeDocument/2006/relationships/hyperlink" Target="http://www.espn.com/nfl/player/_/id/12460/graham-gano" TargetMode="External"/><Relationship Id="rId215" Type="http://schemas.openxmlformats.org/officeDocument/2006/relationships/hyperlink" Target="http://www.espn.com/nfl/player/_/id/3128451/tre'quan-smith" TargetMode="External"/><Relationship Id="rId236" Type="http://schemas.openxmlformats.org/officeDocument/2006/relationships/hyperlink" Target="http://www.espn.com/nfl/player/_/id/3915097/antonio-callaway" TargetMode="External"/><Relationship Id="rId257" Type="http://schemas.openxmlformats.org/officeDocument/2006/relationships/hyperlink" Target="http://www.espn.com/nfl/player/_/id/17437/taylor-gabriel" TargetMode="External"/><Relationship Id="rId278" Type="http://schemas.openxmlformats.org/officeDocument/2006/relationships/hyperlink" Target="http://www.espn.com/nfl/player/_/id/2508176/david-johnson" TargetMode="External"/><Relationship Id="rId401" Type="http://schemas.openxmlformats.org/officeDocument/2006/relationships/hyperlink" Target="http://www.espn.com/nfl/player/_/id/3139477/patrick-mahomes" TargetMode="External"/><Relationship Id="rId422" Type="http://schemas.openxmlformats.org/officeDocument/2006/relationships/hyperlink" Target="http://www.espn.com/nfl/player/_/id/3042519/aaron-jones" TargetMode="External"/><Relationship Id="rId443" Type="http://schemas.openxmlformats.org/officeDocument/2006/relationships/hyperlink" Target="http://www.espn.com/nfl/player/_/id/3051806/ricky-seals-jones" TargetMode="External"/><Relationship Id="rId464" Type="http://schemas.openxmlformats.org/officeDocument/2006/relationships/hyperlink" Target="http://www.espn.com/nfl/player/_/id/3119195/chase-edmonds" TargetMode="External"/><Relationship Id="rId303" Type="http://schemas.openxmlformats.org/officeDocument/2006/relationships/hyperlink" Target="http://www.espn.com/nfl/player/_/id/2979843/kenyan-drake" TargetMode="External"/><Relationship Id="rId485" Type="http://schemas.openxmlformats.org/officeDocument/2006/relationships/hyperlink" Target="http://www.espn.com/nfl/player/_/id/3127306/dante-pettis" TargetMode="External"/><Relationship Id="rId42" Type="http://schemas.openxmlformats.org/officeDocument/2006/relationships/hyperlink" Target="http://www.espn.com/nfl/player/_/id/16790/jarvis-landry" TargetMode="External"/><Relationship Id="rId84" Type="http://schemas.openxmlformats.org/officeDocument/2006/relationships/hyperlink" Target="http://www.espn.com/nfl/player/_/id/13232/jimmy-graham" TargetMode="External"/><Relationship Id="rId138" Type="http://schemas.openxmlformats.org/officeDocument/2006/relationships/hyperlink" Target="http://www.espn.com/nfl/player/_/id/16760/jimmy-garoppolo" TargetMode="External"/><Relationship Id="rId345" Type="http://schemas.openxmlformats.org/officeDocument/2006/relationships/hyperlink" Target="http://www.espn.com/nfl/player/_/id/15839/marquise-goodwin" TargetMode="External"/><Relationship Id="rId387" Type="http://schemas.openxmlformats.org/officeDocument/2006/relationships/hyperlink" Target="http://www.espn.com/nfl/player/_/id/3071572/keelan-cole" TargetMode="External"/><Relationship Id="rId510" Type="http://schemas.openxmlformats.org/officeDocument/2006/relationships/hyperlink" Target="http://www.espn.com/nfl/player/_/id/3051738/marquez-valdes-scantling" TargetMode="External"/><Relationship Id="rId191" Type="http://schemas.openxmlformats.org/officeDocument/2006/relationships/hyperlink" Target="http://www.espn.com/nfl/player/_/id/3052117/phillip-lindsay" TargetMode="External"/><Relationship Id="rId205" Type="http://schemas.openxmlformats.org/officeDocument/2006/relationships/hyperlink" Target="http://www.espn.com/nfl/player/_/id/3045144/tyler-boyd" TargetMode="External"/><Relationship Id="rId247" Type="http://schemas.openxmlformats.org/officeDocument/2006/relationships/hyperlink" Target="http://www.espn.com/nfl/player/_/id/3116721/jaylen-samuels" TargetMode="External"/><Relationship Id="rId412" Type="http://schemas.openxmlformats.org/officeDocument/2006/relationships/hyperlink" Target="http://www.espn.com/nfl/player/_/id/16791/donte-moncrief" TargetMode="External"/><Relationship Id="rId107" Type="http://schemas.openxmlformats.org/officeDocument/2006/relationships/hyperlink" Target="http://www.espn.com/nfl/player/_/id/3051891/jordan-wilkins" TargetMode="External"/><Relationship Id="rId289" Type="http://schemas.openxmlformats.org/officeDocument/2006/relationships/hyperlink" Target="http://www.espn.com/nfl/player/_/id/2976316/michael-thomas" TargetMode="External"/><Relationship Id="rId454" Type="http://schemas.openxmlformats.org/officeDocument/2006/relationships/hyperlink" Target="http://www.espn.com/nfl/player/_/id/1097/adam-vinatieri" TargetMode="External"/><Relationship Id="rId496" Type="http://schemas.openxmlformats.org/officeDocument/2006/relationships/hyperlink" Target="http://www.espn.com/nfl/player/_/id/3045127/wayne-gallman" TargetMode="External"/><Relationship Id="rId11" Type="http://schemas.openxmlformats.org/officeDocument/2006/relationships/hyperlink" Target="http://www.espn.com/nfl/player/_/id/3115364/leonard-fournette" TargetMode="External"/><Relationship Id="rId53" Type="http://schemas.openxmlformats.org/officeDocument/2006/relationships/hyperlink" Target="http://www.espn.com/nfl/player/_/id/13295/emmanuel-sanders" TargetMode="External"/><Relationship Id="rId149" Type="http://schemas.openxmlformats.org/officeDocument/2006/relationships/hyperlink" Target="http://www.espn.com/nfl/player/_/id/16803/jeremy-hill" TargetMode="External"/><Relationship Id="rId314" Type="http://schemas.openxmlformats.org/officeDocument/2006/relationships/hyperlink" Target="http://www.espn.com/nfl/player/_/id/16790/jarvis-landry" TargetMode="External"/><Relationship Id="rId356" Type="http://schemas.openxmlformats.org/officeDocument/2006/relationships/hyperlink" Target="http://www.espn.com/nfl/player/_/id/3122840/deshaun-watson" TargetMode="External"/><Relationship Id="rId398" Type="http://schemas.openxmlformats.org/officeDocument/2006/relationships/hyperlink" Target="http://www.espn.com/nfl/player/_/id/3139605/marlon-mack" TargetMode="External"/><Relationship Id="rId521" Type="http://schemas.openxmlformats.org/officeDocument/2006/relationships/hyperlink" Target="http://www.espn.com/nfl/player/_/id/2980148/cj-prosise" TargetMode="External"/><Relationship Id="rId95" Type="http://schemas.openxmlformats.org/officeDocument/2006/relationships/hyperlink" Target="http://www.espn.com/nfl/player/_/id/10452/adrian-peterson" TargetMode="External"/><Relationship Id="rId160" Type="http://schemas.openxmlformats.org/officeDocument/2006/relationships/hyperlink" Target="http://www.espn.com/nfl/player/_/id/3122866/devontae-booker" TargetMode="External"/><Relationship Id="rId216" Type="http://schemas.openxmlformats.org/officeDocument/2006/relationships/hyperlink" Target="http://www.espn.com/nfl/player/_/id/3115394/dj-chark" TargetMode="External"/><Relationship Id="rId423" Type="http://schemas.openxmlformats.org/officeDocument/2006/relationships/hyperlink" Target="http://www.espn.com/nfl/player/_/id/8544/darren-sproles" TargetMode="External"/><Relationship Id="rId258" Type="http://schemas.openxmlformats.org/officeDocument/2006/relationships/hyperlink" Target="http://www.espn.com/nfl/player/_/id/16002/kyle-juszczyk" TargetMode="External"/><Relationship Id="rId465" Type="http://schemas.openxmlformats.org/officeDocument/2006/relationships/hyperlink" Target="http://www.espn.com/nfl/player/_/id/13213/legarrette-blount" TargetMode="External"/><Relationship Id="rId22" Type="http://schemas.openxmlformats.org/officeDocument/2006/relationships/hyperlink" Target="http://www.espn.com/nfl/player/_/id/16737/mike-evans" TargetMode="External"/><Relationship Id="rId64" Type="http://schemas.openxmlformats.org/officeDocument/2006/relationships/hyperlink" Target="http://www.espn.com/nfl/player/_/id/12563/michael-crabtree" TargetMode="External"/><Relationship Id="rId118" Type="http://schemas.openxmlformats.org/officeDocument/2006/relationships/hyperlink" Target="http://www.espn.com/nfl/player/_/id/5536/ben-roethlisberger" TargetMode="External"/><Relationship Id="rId325" Type="http://schemas.openxmlformats.org/officeDocument/2006/relationships/hyperlink" Target="http://www.espn.com/nfl/player/_/id/13981/mark-ingram-ii" TargetMode="External"/><Relationship Id="rId367" Type="http://schemas.openxmlformats.org/officeDocument/2006/relationships/hyperlink" Target="http://www.espn.com/nfl/player/_/id/16016/kenny-stills" TargetMode="External"/><Relationship Id="rId532" Type="http://schemas.openxmlformats.org/officeDocument/2006/relationships/hyperlink" Target="http://www.espn.com/nfl/player/_/id/14894/robert-turbin" TargetMode="External"/><Relationship Id="rId171" Type="http://schemas.openxmlformats.org/officeDocument/2006/relationships/hyperlink" Target="http://www.espn.com/nfl/player/_/id/15683/justin-tucker" TargetMode="External"/><Relationship Id="rId227" Type="http://schemas.openxmlformats.org/officeDocument/2006/relationships/hyperlink" Target="http://www.espn.com/nfl/player/_/id/2512197/rod-smith" TargetMode="External"/><Relationship Id="rId269" Type="http://schemas.openxmlformats.org/officeDocument/2006/relationships/hyperlink" Target="http://www.espn.com/nfl/player/_/id/2991767/blake-jarwin" TargetMode="External"/><Relationship Id="rId434" Type="http://schemas.openxmlformats.org/officeDocument/2006/relationships/hyperlink" Target="http://www.espn.com/nfl/player/_/id/3045144/tyler-boyd" TargetMode="External"/><Relationship Id="rId476" Type="http://schemas.openxmlformats.org/officeDocument/2006/relationships/hyperlink" Target="http://www.espn.com/nfl/player/_/id/2587819/tyrell-williams" TargetMode="External"/><Relationship Id="rId33" Type="http://schemas.openxmlformats.org/officeDocument/2006/relationships/hyperlink" Target="http://www.espn.com/nfl/player/_/id/2976499/amari-cooper" TargetMode="External"/><Relationship Id="rId129" Type="http://schemas.openxmlformats.org/officeDocument/2006/relationships/hyperlink" Target="http://www.espn.com/nfl/player/_/id/11674/danny-amendola" TargetMode="External"/><Relationship Id="rId280" Type="http://schemas.openxmlformats.org/officeDocument/2006/relationships/hyperlink" Target="http://www.espn.com/nfl/player/_/id/3054850/alvin-kamara" TargetMode="External"/><Relationship Id="rId336" Type="http://schemas.openxmlformats.org/officeDocument/2006/relationships/hyperlink" Target="http://www.espn.com/nfl/player/_/id/3043078/derrick-henry" TargetMode="External"/><Relationship Id="rId501" Type="http://schemas.openxmlformats.org/officeDocument/2006/relationships/hyperlink" Target="http://www.espn.com/nfl/player/_/id/3915381/john-kelly" TargetMode="External"/><Relationship Id="rId543" Type="http://schemas.openxmlformats.org/officeDocument/2006/relationships/hyperlink" Target="http://www.espn.com/nfl/player/_/id/3046704/geoff-swaim" TargetMode="External"/><Relationship Id="rId75" Type="http://schemas.openxmlformats.org/officeDocument/2006/relationships/hyperlink" Target="http://www.espn.com/nfl/player/_/id/2576019/josh-doctson" TargetMode="External"/><Relationship Id="rId140" Type="http://schemas.openxmlformats.org/officeDocument/2006/relationships/hyperlink" Target="http://www.espn.com/nfl/player/_/id/14163/tyrod-taylor" TargetMode="External"/><Relationship Id="rId182" Type="http://schemas.openxmlformats.org/officeDocument/2006/relationships/hyperlink" Target="http://www.espn.com/nfl/player/_/id/8544/darren-sproles" TargetMode="External"/><Relationship Id="rId378" Type="http://schemas.openxmlformats.org/officeDocument/2006/relationships/hyperlink" Target="http://www.espn.com/nfl/player/_/id/16730/kelvin-benjamin" TargetMode="External"/><Relationship Id="rId403" Type="http://schemas.openxmlformats.org/officeDocument/2006/relationships/hyperlink" Target="http://www.espn.com/nfl/player/_/id/2580/drew-brees" TargetMode="External"/><Relationship Id="rId6" Type="http://schemas.openxmlformats.org/officeDocument/2006/relationships/hyperlink" Target="http://www.espn.com/nfl/player/_/id/3054850/alvin-kamara" TargetMode="External"/><Relationship Id="rId238" Type="http://schemas.openxmlformats.org/officeDocument/2006/relationships/hyperlink" Target="http://www.espn.com/nfl/player/_/id/2998120/josh-lambo" TargetMode="External"/><Relationship Id="rId445" Type="http://schemas.openxmlformats.org/officeDocument/2006/relationships/hyperlink" Target="http://www.espn.com/nfl/player/_/id/9704/stephen-gostkowski" TargetMode="External"/><Relationship Id="rId487" Type="http://schemas.openxmlformats.org/officeDocument/2006/relationships/hyperlink" Target="http://www.espn.com/nfl/player/_/id/3895856/christian-kirk" TargetMode="External"/><Relationship Id="rId291" Type="http://schemas.openxmlformats.org/officeDocument/2006/relationships/hyperlink" Target="http://www.espn.com/nfl/player/_/id/3059915/kareem-hunt" TargetMode="External"/><Relationship Id="rId305" Type="http://schemas.openxmlformats.org/officeDocument/2006/relationships/hyperlink" Target="http://www.espn.com/nfl/player/_/id/14924/ty-hilton" TargetMode="External"/><Relationship Id="rId347" Type="http://schemas.openxmlformats.org/officeDocument/2006/relationships/hyperlink" Target="http://www.espn.com/nfl/player/_/id/2971618/nelson-agholor" TargetMode="External"/><Relationship Id="rId512" Type="http://schemas.openxmlformats.org/officeDocument/2006/relationships/hyperlink" Target="http://www.espn.com/nfl/player/_/id/2998120/josh-lambo" TargetMode="External"/><Relationship Id="rId44" Type="http://schemas.openxmlformats.org/officeDocument/2006/relationships/hyperlink" Target="http://www.espn.com/nfl/player/_/id/3122672/royce-freeman" TargetMode="External"/><Relationship Id="rId86" Type="http://schemas.openxmlformats.org/officeDocument/2006/relationships/hyperlink" Target="http://www.espn.com/nfl/player/_/id/3139925/rashaad-penny" TargetMode="External"/><Relationship Id="rId151" Type="http://schemas.openxmlformats.org/officeDocument/2006/relationships/hyperlink" Target="http://www.espn.com/nfl/player/_/id/3139605/marlon-mack" TargetMode="External"/><Relationship Id="rId389" Type="http://schemas.openxmlformats.org/officeDocument/2006/relationships/hyperlink" Target="http://www.espn.com/nfl/player/_/id/16845/ryan-grant" TargetMode="External"/><Relationship Id="rId193" Type="http://schemas.openxmlformats.org/officeDocument/2006/relationships/hyperlink" Target="http://www.espn.com/nfl/player/_/id/15952/mike-gillislee" TargetMode="External"/><Relationship Id="rId207" Type="http://schemas.openxmlformats.org/officeDocument/2006/relationships/hyperlink" Target="http://www.espn.com/nfl/player/_/id/14012/andy-dalton" TargetMode="External"/><Relationship Id="rId249" Type="http://schemas.openxmlformats.org/officeDocument/2006/relationships/hyperlink" Target="http://www.espn.com/nfl/player/_/id/16724/blake-bortles" TargetMode="External"/><Relationship Id="rId414" Type="http://schemas.openxmlformats.org/officeDocument/2006/relationships/hyperlink" Target="http://www.espn.com/nfl/player/_/id/4036348/michael-gallup" TargetMode="External"/><Relationship Id="rId456" Type="http://schemas.openxmlformats.org/officeDocument/2006/relationships/hyperlink" Target="http://www.espn.com/nfl/player/_/id/3912550/ronald-jones" TargetMode="External"/><Relationship Id="rId498" Type="http://schemas.openxmlformats.org/officeDocument/2006/relationships/hyperlink" Target="http://www.espn.com/nfl/player/_/id/11247/jonathan-stewart" TargetMode="External"/><Relationship Id="rId13" Type="http://schemas.openxmlformats.org/officeDocument/2006/relationships/hyperlink" Target="http://www.espn.com/nfl/player/_/id/2576434/melvin-gordon" TargetMode="External"/><Relationship Id="rId109" Type="http://schemas.openxmlformats.org/officeDocument/2006/relationships/hyperlink" Target="http://www.espn.com/nfl/player/_/id/3912550/ronald-jones" TargetMode="External"/><Relationship Id="rId260" Type="http://schemas.openxmlformats.org/officeDocument/2006/relationships/hyperlink" Target="http://www.espn.com/nfl/player/_/id/2515934/corey-grant" TargetMode="External"/><Relationship Id="rId316" Type="http://schemas.openxmlformats.org/officeDocument/2006/relationships/hyperlink" Target="http://www.espn.com/nfl/player/_/id/15072/marvin-jones-jr" TargetMode="External"/><Relationship Id="rId523" Type="http://schemas.openxmlformats.org/officeDocument/2006/relationships/hyperlink" Target="http://www.espn.com/nfl/player/_/id/11252/joe-flacco" TargetMode="External"/><Relationship Id="rId55" Type="http://schemas.openxmlformats.org/officeDocument/2006/relationships/hyperlink" Target="http://www.espn.com/nfl/player/_/id/16777/carlos-hyde" TargetMode="External"/><Relationship Id="rId97" Type="http://schemas.openxmlformats.org/officeDocument/2006/relationships/hyperlink" Target="http://www.espn.com/nfl/player/_/id/3066158/tarik-cohen" TargetMode="External"/><Relationship Id="rId120" Type="http://schemas.openxmlformats.org/officeDocument/2006/relationships/hyperlink" Target="http://www.espn.com/nfl/player/_/id/16504/jack-doyle" TargetMode="External"/><Relationship Id="rId358" Type="http://schemas.openxmlformats.org/officeDocument/2006/relationships/hyperlink" Target="http://www.espn.com/nfl/player/_/id/11439/pierre-garcon" TargetMode="External"/><Relationship Id="rId162" Type="http://schemas.openxmlformats.org/officeDocument/2006/relationships/hyperlink" Target="http://www.espn.com/nfl/player/_/id/2577417/dak-prescott" TargetMode="External"/><Relationship Id="rId218" Type="http://schemas.openxmlformats.org/officeDocument/2006/relationships/hyperlink" Target="http://www.espn.com/nfl/player/_/id/15807/cordarrelle-patterson" TargetMode="External"/><Relationship Id="rId425" Type="http://schemas.openxmlformats.org/officeDocument/2006/relationships/hyperlink" Target="http://www.espn.com/nfl/player/_/id/14163/tyrod-taylor" TargetMode="External"/><Relationship Id="rId467" Type="http://schemas.openxmlformats.org/officeDocument/2006/relationships/hyperlink" Target="http://www.espn.com/nfl/player/_/id/13587/chris-ivory" TargetMode="External"/><Relationship Id="rId271" Type="http://schemas.openxmlformats.org/officeDocument/2006/relationships/hyperlink" Target="http://www.espn.com/nfl/player/_/id/9592/vernon-davis" TargetMode="External"/><Relationship Id="rId24" Type="http://schemas.openxmlformats.org/officeDocument/2006/relationships/hyperlink" Target="http://www.espn.com/nfl/player/_/id/14924/ty-hilton" TargetMode="External"/><Relationship Id="rId66" Type="http://schemas.openxmlformats.org/officeDocument/2006/relationships/hyperlink" Target="http://www.espn.com/nfl/player/_/id/13994/cam-newton" TargetMode="External"/><Relationship Id="rId131" Type="http://schemas.openxmlformats.org/officeDocument/2006/relationships/hyperlink" Target="http://www.espn.com/nfl/player/_/id/2520698/cameron-meredith" TargetMode="External"/><Relationship Id="rId327" Type="http://schemas.openxmlformats.org/officeDocument/2006/relationships/hyperlink" Target="http://www.espn.com/nfl/player/_/id/16777/carlos-hyde" TargetMode="External"/><Relationship Id="rId369" Type="http://schemas.openxmlformats.org/officeDocument/2006/relationships/hyperlink" Target="http://www.espn.com/nfl/player/_/id/2974858/kenny-golladay" TargetMode="External"/><Relationship Id="rId534" Type="http://schemas.openxmlformats.org/officeDocument/2006/relationships/hyperlink" Target="http://www.espn.com/nfl/player/_/id/2971888/kenneth-dixon" TargetMode="External"/><Relationship Id="rId173" Type="http://schemas.openxmlformats.org/officeDocument/2006/relationships/hyperlink" Target="http://www.espn.com/nfl/player/_/id/2985659/wil-lutz" TargetMode="External"/><Relationship Id="rId229" Type="http://schemas.openxmlformats.org/officeDocument/2006/relationships/hyperlink" Target="http://www.espn.com/nfl/player/_/id/16757/derek-carr" TargetMode="External"/><Relationship Id="rId380" Type="http://schemas.openxmlformats.org/officeDocument/2006/relationships/hyperlink" Target="http://www.espn.com/nfl/player/_/id/14922/mohamed-sanu" TargetMode="External"/><Relationship Id="rId436" Type="http://schemas.openxmlformats.org/officeDocument/2006/relationships/hyperlink" Target="http://www.espn.com/nfl/player/_/id/3050487/anthony-miller" TargetMode="External"/><Relationship Id="rId240" Type="http://schemas.openxmlformats.org/officeDocument/2006/relationships/hyperlink" Target="http://www.espn.com/nfl/player/_/id/3924365/hayden-hurst" TargetMode="External"/><Relationship Id="rId478" Type="http://schemas.openxmlformats.org/officeDocument/2006/relationships/hyperlink" Target="http://www.espn.com/nfl/player/_/id/2579604/phillip-dorsett" TargetMode="External"/><Relationship Id="rId35" Type="http://schemas.openxmlformats.org/officeDocument/2006/relationships/hyperlink" Target="http://www.espn.com/nfl/player/_/id/15705/josh-gordon" TargetMode="External"/><Relationship Id="rId77" Type="http://schemas.openxmlformats.org/officeDocument/2006/relationships/hyperlink" Target="http://www.espn.com/nfl/player/_/id/10475/greg-olsen" TargetMode="External"/><Relationship Id="rId100" Type="http://schemas.openxmlformats.org/officeDocument/2006/relationships/hyperlink" Target="http://www.espn.com/nfl/player/_/id/3045147/james-conner" TargetMode="External"/><Relationship Id="rId282" Type="http://schemas.openxmlformats.org/officeDocument/2006/relationships/hyperlink" Target="http://www.espn.com/nfl/player/_/id/3929630/saquon-barkley" TargetMode="External"/><Relationship Id="rId338" Type="http://schemas.openxmlformats.org/officeDocument/2006/relationships/hyperlink" Target="http://www.espn.com/nfl/player/_/id/3051902/peyton-barber" TargetMode="External"/><Relationship Id="rId503" Type="http://schemas.openxmlformats.org/officeDocument/2006/relationships/hyperlink" Target="http://www.espn.com/nfl/player/_/id/5526/eli-manning" TargetMode="External"/><Relationship Id="rId545" Type="http://schemas.openxmlformats.org/officeDocument/2006/relationships/hyperlink" Target="http://www.espn.com/nfl/player/_/id/9592/vernon-davis" TargetMode="External"/><Relationship Id="rId8" Type="http://schemas.openxmlformats.org/officeDocument/2006/relationships/hyperlink" Target="http://www.espn.com/nfl/player/_/id/13982/julio-jones" TargetMode="External"/><Relationship Id="rId142" Type="http://schemas.openxmlformats.org/officeDocument/2006/relationships/hyperlink" Target="http://www.espn.com/nfl/player/_/id/3050487/anthony-miller" TargetMode="External"/><Relationship Id="rId184" Type="http://schemas.openxmlformats.org/officeDocument/2006/relationships/hyperlink" Target="http://www.espn.com/nfl/player/_/id/16795/austin-seferian-jenkins" TargetMode="External"/><Relationship Id="rId391" Type="http://schemas.openxmlformats.org/officeDocument/2006/relationships/hyperlink" Target="http://www.espn.com/nfl/player/_/id/5536/ben-roethlisberger" TargetMode="External"/><Relationship Id="rId405" Type="http://schemas.openxmlformats.org/officeDocument/2006/relationships/hyperlink" Target="http://www.espn.com/nfl/player/_/id/11283/desean-jackson" TargetMode="External"/><Relationship Id="rId447" Type="http://schemas.openxmlformats.org/officeDocument/2006/relationships/hyperlink" Target="http://www.espn.com/nfl/player/_/id/4333/matt-bryant" TargetMode="External"/><Relationship Id="rId251" Type="http://schemas.openxmlformats.org/officeDocument/2006/relationships/hyperlink" Target="http://www.espn.com/nfl/player/_/id/3912547/sam-darnold" TargetMode="External"/><Relationship Id="rId489" Type="http://schemas.openxmlformats.org/officeDocument/2006/relationships/hyperlink" Target="http://www.espn.com/nfl/player/_/id/3066052/chad-williams" TargetMode="External"/><Relationship Id="rId46" Type="http://schemas.openxmlformats.org/officeDocument/2006/relationships/hyperlink" Target="http://www.espn.com/nfl/player/_/id/2573300/jay-ajayi" TargetMode="External"/><Relationship Id="rId293" Type="http://schemas.openxmlformats.org/officeDocument/2006/relationships/hyperlink" Target="http://www.espn.com/nfl/player/_/id/3116385/joe-mixon" TargetMode="External"/><Relationship Id="rId307" Type="http://schemas.openxmlformats.org/officeDocument/2006/relationships/hyperlink" Target="http://www.espn.com/nfl/player/_/id/3046409/alex-collins" TargetMode="External"/><Relationship Id="rId349" Type="http://schemas.openxmlformats.org/officeDocument/2006/relationships/hyperlink" Target="http://www.espn.com/nfl/player/_/id/2969962/duke-johnson-jr" TargetMode="External"/><Relationship Id="rId514" Type="http://schemas.openxmlformats.org/officeDocument/2006/relationships/hyperlink" Target="http://www.espn.com/nfl/player/_/id/3924365/hayden-hurst" TargetMode="External"/><Relationship Id="rId88" Type="http://schemas.openxmlformats.org/officeDocument/2006/relationships/hyperlink" Target="http://www.espn.com/nfl/player/_/id/2971618/nelson-agholor" TargetMode="External"/><Relationship Id="rId111" Type="http://schemas.openxmlformats.org/officeDocument/2006/relationships/hyperlink" Target="http://www.espn.com/nfl/player/_/id/3123076/david-njoku" TargetMode="External"/><Relationship Id="rId153" Type="http://schemas.openxmlformats.org/officeDocument/2006/relationships/hyperlink" Target="http://www.espn.com/nfl/player/_/id/15920/latavius-murray" TargetMode="External"/><Relationship Id="rId195" Type="http://schemas.openxmlformats.org/officeDocument/2006/relationships/hyperlink" Target="http://www.espn.com/nfl/player/_/id/8479/frank-gore" TargetMode="External"/><Relationship Id="rId209" Type="http://schemas.openxmlformats.org/officeDocument/2006/relationships/hyperlink" Target="http://www.espn.com/nfl/player/_/id/12731/ryan-succop" TargetMode="External"/><Relationship Id="rId360" Type="http://schemas.openxmlformats.org/officeDocument/2006/relationships/hyperlink" Target="http://www.espn.com/nfl/player/_/id/2979477/tevin-coleman" TargetMode="External"/><Relationship Id="rId416" Type="http://schemas.openxmlformats.org/officeDocument/2006/relationships/hyperlink" Target="http://www.espn.com/nfl/player/_/id/12601/mike-wallace"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37.xml"/></Relationships>
</file>

<file path=xl/worksheets/_rels/sheet20.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38.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508"/>
  <sheetViews>
    <sheetView topLeftCell="D1" workbookViewId="0">
      <selection activeCell="N2" sqref="N2"/>
    </sheetView>
  </sheetViews>
  <sheetFormatPr defaultRowHeight="15" x14ac:dyDescent="0.25"/>
  <cols>
    <col min="1" max="1" width="6.140625" bestFit="1" customWidth="1"/>
    <col min="2" max="2" width="19.85546875" bestFit="1" customWidth="1"/>
    <col min="3" max="3" width="9.85546875" bestFit="1" customWidth="1"/>
    <col min="4" max="7" width="5" bestFit="1" customWidth="1"/>
    <col min="8" max="8" width="6" bestFit="1" customWidth="1"/>
    <col min="9" max="9" width="4" bestFit="1" customWidth="1"/>
    <col min="10" max="11" width="8.28515625" bestFit="1" customWidth="1"/>
    <col min="12" max="12" width="8.85546875" bestFit="1" customWidth="1"/>
    <col min="13" max="13" width="6" bestFit="1" customWidth="1"/>
    <col min="14" max="15" width="5" bestFit="1" customWidth="1"/>
    <col min="16" max="16" width="8" bestFit="1" customWidth="1"/>
    <col min="17" max="17" width="7" bestFit="1" customWidth="1"/>
    <col min="18" max="18" width="12.140625" bestFit="1" customWidth="1"/>
    <col min="19" max="19" width="9.42578125" bestFit="1" customWidth="1"/>
    <col min="20" max="20" width="22" bestFit="1" customWidth="1"/>
    <col min="21" max="21" width="14" bestFit="1" customWidth="1"/>
    <col min="22" max="22" width="8" bestFit="1" customWidth="1"/>
  </cols>
  <sheetData>
    <row r="1" spans="1:22" x14ac:dyDescent="0.25">
      <c r="A1" t="s">
        <v>1</v>
      </c>
      <c r="B1" t="s">
        <v>0</v>
      </c>
      <c r="C1" t="s">
        <v>2</v>
      </c>
      <c r="D1" t="s">
        <v>438</v>
      </c>
      <c r="E1" t="s">
        <v>439</v>
      </c>
      <c r="F1" t="s">
        <v>440</v>
      </c>
      <c r="G1" t="s">
        <v>441</v>
      </c>
      <c r="H1" t="s">
        <v>3</v>
      </c>
      <c r="I1" t="s">
        <v>4</v>
      </c>
      <c r="J1" t="s">
        <v>442</v>
      </c>
      <c r="K1" t="s">
        <v>443</v>
      </c>
      <c r="L1" t="s">
        <v>403</v>
      </c>
      <c r="M1" t="s">
        <v>6</v>
      </c>
      <c r="N1" t="s">
        <v>7</v>
      </c>
      <c r="O1" t="s">
        <v>8</v>
      </c>
      <c r="P1" t="s">
        <v>9</v>
      </c>
      <c r="Q1" t="s">
        <v>10</v>
      </c>
      <c r="R1" t="s">
        <v>404</v>
      </c>
      <c r="S1" t="s">
        <v>748</v>
      </c>
      <c r="T1" t="s">
        <v>749</v>
      </c>
      <c r="U1" t="s">
        <v>1004</v>
      </c>
      <c r="V1" t="s">
        <v>1005</v>
      </c>
    </row>
    <row r="2" spans="1:22" x14ac:dyDescent="0.25">
      <c r="A2">
        <v>2</v>
      </c>
      <c r="B2" t="s">
        <v>464</v>
      </c>
      <c r="C2" t="s">
        <v>3577</v>
      </c>
      <c r="D2">
        <v>2.17</v>
      </c>
      <c r="E2">
        <v>2.36</v>
      </c>
      <c r="F2">
        <v>2.88</v>
      </c>
      <c r="G2">
        <v>2.88</v>
      </c>
      <c r="H2">
        <v>10.65</v>
      </c>
      <c r="I2" t="s">
        <v>58</v>
      </c>
      <c r="J2">
        <v>0</v>
      </c>
      <c r="K2">
        <v>0.19</v>
      </c>
      <c r="L2">
        <v>10.08</v>
      </c>
      <c r="M2">
        <v>16.37</v>
      </c>
      <c r="N2">
        <v>4.93</v>
      </c>
      <c r="O2">
        <v>5.72</v>
      </c>
      <c r="P2">
        <v>32.718400000000003</v>
      </c>
      <c r="Q2" t="str">
        <f>IFERROR(INDEX(Rosters!$C$2:$C$155,MATCH($B2,Rosters!$B$2:$B$155,0)),"NA")</f>
        <v>NA</v>
      </c>
      <c r="R2" t="str">
        <f>Q2&amp;A2</f>
        <v>NA2</v>
      </c>
      <c r="S2">
        <f>COUNTIFS(A$1:A2,A2)</f>
        <v>1</v>
      </c>
      <c r="T2" t="str">
        <f>B2&amp;A2</f>
        <v>Greg Zuerlein2</v>
      </c>
      <c r="U2" t="str">
        <f>IF(OR(NOT(ISERROR(MATCH(T2,Finals!$K$2:$K$1801,0))),AND(A2&gt;Week,Q2&lt;&gt;"NA")),"",A2)</f>
        <v/>
      </c>
      <c r="V2" t="str">
        <f>IF(U2&lt;&gt;"",U2&amp;"-"&amp;COUNTIF(U$1:U2,U2),"")</f>
        <v/>
      </c>
    </row>
    <row r="3" spans="1:22" x14ac:dyDescent="0.25">
      <c r="A3">
        <v>1</v>
      </c>
      <c r="B3" t="s">
        <v>1121</v>
      </c>
      <c r="C3" t="s">
        <v>1743</v>
      </c>
      <c r="D3">
        <v>2.1800000000000002</v>
      </c>
      <c r="E3">
        <v>2.52</v>
      </c>
      <c r="F3">
        <v>3.29</v>
      </c>
      <c r="G3">
        <v>3.29</v>
      </c>
      <c r="H3">
        <v>10.79</v>
      </c>
      <c r="I3" t="s">
        <v>24</v>
      </c>
      <c r="J3">
        <v>0</v>
      </c>
      <c r="K3">
        <v>0.34</v>
      </c>
      <c r="L3">
        <v>9.77</v>
      </c>
      <c r="M3">
        <v>16.149999999999999</v>
      </c>
      <c r="N3">
        <v>5.43</v>
      </c>
      <c r="O3">
        <v>5.36</v>
      </c>
      <c r="P3">
        <v>28.729600000000001</v>
      </c>
      <c r="Q3" t="str">
        <f>IFERROR(INDEX(Rosters!$C$2:$C$155,MATCH($B3,Rosters!$B$2:$B$155,0)),"NA")</f>
        <v>NA</v>
      </c>
      <c r="R3" t="str">
        <f t="shared" ref="R3:R66" si="0">Q3&amp;A3</f>
        <v>NA1</v>
      </c>
      <c r="S3">
        <f>COUNTIFS(A$1:A3,A3)</f>
        <v>1</v>
      </c>
      <c r="T3" t="str">
        <f t="shared" ref="T3:T66" si="1">B3&amp;A3</f>
        <v>Caleb Sturgis1</v>
      </c>
      <c r="U3">
        <f>IF(OR(NOT(ISERROR(MATCH(T3,Finals!$K$2:$K$1801,0))),AND(A3&gt;Week,Q3&lt;&gt;"NA")),"",A3)</f>
        <v>1</v>
      </c>
      <c r="V3" t="str">
        <f>IF(U3&lt;&gt;"",U3&amp;"-"&amp;COUNTIF(U$1:U3,U3),"")</f>
        <v>1-1</v>
      </c>
    </row>
    <row r="4" spans="1:22" x14ac:dyDescent="0.25">
      <c r="A4">
        <v>6</v>
      </c>
      <c r="B4" t="s">
        <v>449</v>
      </c>
      <c r="C4" t="s">
        <v>5039</v>
      </c>
      <c r="D4">
        <v>1.96</v>
      </c>
      <c r="E4">
        <v>2.16</v>
      </c>
      <c r="F4">
        <v>3.66</v>
      </c>
      <c r="G4">
        <v>3.66</v>
      </c>
      <c r="H4">
        <v>10.26</v>
      </c>
      <c r="I4" t="s">
        <v>17</v>
      </c>
      <c r="J4">
        <v>0</v>
      </c>
      <c r="K4">
        <v>0.2</v>
      </c>
      <c r="L4">
        <v>9.66</v>
      </c>
      <c r="M4">
        <v>13.88</v>
      </c>
      <c r="N4">
        <v>6.64</v>
      </c>
      <c r="O4">
        <v>3.62</v>
      </c>
      <c r="P4">
        <v>13.1044</v>
      </c>
      <c r="Q4" t="str">
        <f>IFERROR(INDEX(Rosters!$C$2:$C$155,MATCH($B4,Rosters!$B$2:$B$155,0)),"NA")</f>
        <v>lucas</v>
      </c>
      <c r="R4" t="str">
        <f t="shared" si="0"/>
        <v>lucas6</v>
      </c>
      <c r="S4">
        <f>COUNTIFS(A$1:A4,A4)</f>
        <v>1</v>
      </c>
      <c r="T4" t="str">
        <f t="shared" si="1"/>
        <v>Matt Bryant6</v>
      </c>
      <c r="U4" t="str">
        <f>IF(OR(NOT(ISERROR(MATCH(T4,Finals!$K$2:$K$1801,0))),AND(A4&gt;Week,Q4&lt;&gt;"NA")),"",A4)</f>
        <v/>
      </c>
      <c r="V4" t="str">
        <f>IF(U4&lt;&gt;"",U4&amp;"-"&amp;COUNTIF(U$1:U4,U4),"")</f>
        <v/>
      </c>
    </row>
    <row r="5" spans="1:22" x14ac:dyDescent="0.25">
      <c r="A5">
        <v>2</v>
      </c>
      <c r="B5" t="s">
        <v>462</v>
      </c>
      <c r="C5" t="s">
        <v>3545</v>
      </c>
      <c r="D5">
        <v>1.89</v>
      </c>
      <c r="E5">
        <v>2.02</v>
      </c>
      <c r="F5">
        <v>3.64</v>
      </c>
      <c r="G5">
        <v>3.66</v>
      </c>
      <c r="H5">
        <v>10.050000000000001</v>
      </c>
      <c r="I5" t="s">
        <v>52</v>
      </c>
      <c r="J5">
        <v>0.02</v>
      </c>
      <c r="K5">
        <v>0.13</v>
      </c>
      <c r="L5">
        <v>9.64</v>
      </c>
      <c r="M5">
        <v>14.42</v>
      </c>
      <c r="N5">
        <v>5.68</v>
      </c>
      <c r="O5">
        <v>4.37</v>
      </c>
      <c r="P5">
        <v>19.096900000000002</v>
      </c>
      <c r="Q5" t="str">
        <f>IFERROR(INDEX(Rosters!$C$2:$C$155,MATCH($B5,Rosters!$B$2:$B$155,0)),"NA")</f>
        <v>cory</v>
      </c>
      <c r="R5" t="str">
        <f t="shared" si="0"/>
        <v>cory2</v>
      </c>
      <c r="S5">
        <f>COUNTIFS(A$1:A5,A5)</f>
        <v>2</v>
      </c>
      <c r="T5" t="str">
        <f t="shared" si="1"/>
        <v>Wil Lutz2</v>
      </c>
      <c r="U5" t="str">
        <f>IF(OR(NOT(ISERROR(MATCH(T5,Finals!$K$2:$K$1801,0))),AND(A5&gt;Week,Q5&lt;&gt;"NA")),"",A5)</f>
        <v/>
      </c>
      <c r="V5" t="str">
        <f>IF(U5&lt;&gt;"",U5&amp;"-"&amp;COUNTIF(U$1:U5,U5),"")</f>
        <v/>
      </c>
    </row>
    <row r="6" spans="1:22" x14ac:dyDescent="0.25">
      <c r="A6">
        <v>1</v>
      </c>
      <c r="B6" t="s">
        <v>462</v>
      </c>
      <c r="C6" t="s">
        <v>1744</v>
      </c>
      <c r="D6">
        <v>1.9</v>
      </c>
      <c r="E6">
        <v>2.12</v>
      </c>
      <c r="F6">
        <v>3.55</v>
      </c>
      <c r="G6">
        <v>3.59</v>
      </c>
      <c r="H6">
        <v>10</v>
      </c>
      <c r="I6" t="s">
        <v>17</v>
      </c>
      <c r="J6">
        <v>0.04</v>
      </c>
      <c r="K6">
        <v>0.22</v>
      </c>
      <c r="L6">
        <v>9.3000000000000007</v>
      </c>
      <c r="M6">
        <v>13.95</v>
      </c>
      <c r="N6">
        <v>6.05</v>
      </c>
      <c r="O6">
        <v>3.95</v>
      </c>
      <c r="P6">
        <v>15.602499999999999</v>
      </c>
      <c r="Q6" t="str">
        <f>IFERROR(INDEX(Rosters!$C$2:$C$155,MATCH($B6,Rosters!$B$2:$B$155,0)),"NA")</f>
        <v>cory</v>
      </c>
      <c r="R6" t="str">
        <f t="shared" si="0"/>
        <v>cory1</v>
      </c>
      <c r="S6">
        <f>COUNTIFS(A$1:A6,A6)</f>
        <v>2</v>
      </c>
      <c r="T6" t="str">
        <f t="shared" si="1"/>
        <v>Wil Lutz1</v>
      </c>
      <c r="U6" t="str">
        <f>IF(OR(NOT(ISERROR(MATCH(T6,Finals!$K$2:$K$1801,0))),AND(A6&gt;Week,Q6&lt;&gt;"NA")),"",A6)</f>
        <v/>
      </c>
      <c r="V6" t="str">
        <f>IF(U6&lt;&gt;"",U6&amp;"-"&amp;COUNTIF(U$1:U6,U6),"")</f>
        <v/>
      </c>
    </row>
    <row r="7" spans="1:22" x14ac:dyDescent="0.25">
      <c r="A7">
        <v>5</v>
      </c>
      <c r="B7" t="s">
        <v>444</v>
      </c>
      <c r="C7" t="s">
        <v>9085</v>
      </c>
      <c r="D7">
        <v>2.04</v>
      </c>
      <c r="E7">
        <v>2.4500000000000002</v>
      </c>
      <c r="F7">
        <v>3.67</v>
      </c>
      <c r="G7">
        <v>3.67</v>
      </c>
      <c r="H7">
        <v>10.47</v>
      </c>
      <c r="I7" t="s">
        <v>34</v>
      </c>
      <c r="J7">
        <v>0</v>
      </c>
      <c r="K7">
        <v>0.41</v>
      </c>
      <c r="L7">
        <v>9.24</v>
      </c>
      <c r="M7">
        <v>15.6</v>
      </c>
      <c r="N7">
        <v>5.34</v>
      </c>
      <c r="O7">
        <v>5.13</v>
      </c>
      <c r="P7">
        <v>26.3169</v>
      </c>
      <c r="Q7" t="str">
        <f>IFERROR(INDEX(Rosters!$C$2:$C$155,MATCH($B7,Rosters!$B$2:$B$155,0)),"NA")</f>
        <v>perry</v>
      </c>
      <c r="R7" t="str">
        <f t="shared" si="0"/>
        <v>perry5</v>
      </c>
      <c r="S7">
        <f>COUNTIFS(A$1:A7,A7)</f>
        <v>1</v>
      </c>
      <c r="T7" t="str">
        <f t="shared" si="1"/>
        <v>Mason Crosby5</v>
      </c>
      <c r="U7" t="str">
        <f>IF(OR(NOT(ISERROR(MATCH(T7,Finals!$K$2:$K$1801,0))),AND(A7&gt;Week,Q7&lt;&gt;"NA")),"",A7)</f>
        <v/>
      </c>
      <c r="V7" t="str">
        <f>IF(U7&lt;&gt;"",U7&amp;"-"&amp;COUNTIF(U$1:U7,U7),"")</f>
        <v/>
      </c>
    </row>
    <row r="8" spans="1:22" x14ac:dyDescent="0.25">
      <c r="A8">
        <v>1</v>
      </c>
      <c r="B8" t="s">
        <v>464</v>
      </c>
      <c r="C8" t="s">
        <v>1745</v>
      </c>
      <c r="D8">
        <v>1.93</v>
      </c>
      <c r="E8">
        <v>2.16</v>
      </c>
      <c r="F8">
        <v>3.25</v>
      </c>
      <c r="G8">
        <v>3.26</v>
      </c>
      <c r="H8">
        <v>9.94</v>
      </c>
      <c r="I8" t="s">
        <v>32</v>
      </c>
      <c r="J8">
        <v>9.9999999999997903E-3</v>
      </c>
      <c r="K8">
        <v>0.23</v>
      </c>
      <c r="L8">
        <v>9.24</v>
      </c>
      <c r="M8">
        <v>13.49</v>
      </c>
      <c r="N8">
        <v>6.39</v>
      </c>
      <c r="O8">
        <v>3.55</v>
      </c>
      <c r="P8">
        <v>12.602499999999999</v>
      </c>
      <c r="Q8" t="str">
        <f>IFERROR(INDEX(Rosters!$C$2:$C$155,MATCH($B8,Rosters!$B$2:$B$155,0)),"NA")</f>
        <v>NA</v>
      </c>
      <c r="R8" t="str">
        <f t="shared" si="0"/>
        <v>NA1</v>
      </c>
      <c r="S8">
        <f>COUNTIFS(A$1:A8,A8)</f>
        <v>3</v>
      </c>
      <c r="T8" t="str">
        <f t="shared" si="1"/>
        <v>Greg Zuerlein1</v>
      </c>
      <c r="U8" t="str">
        <f>IF(OR(NOT(ISERROR(MATCH(T8,Finals!$K$2:$K$1801,0))),AND(A8&gt;Week,Q8&lt;&gt;"NA")),"",A8)</f>
        <v/>
      </c>
      <c r="V8" t="str">
        <f>IF(U8&lt;&gt;"",U8&amp;"-"&amp;COUNTIF(U$1:U8,U8),"")</f>
        <v/>
      </c>
    </row>
    <row r="9" spans="1:22" x14ac:dyDescent="0.25">
      <c r="A9">
        <v>2</v>
      </c>
      <c r="B9" t="s">
        <v>452</v>
      </c>
      <c r="C9" t="s">
        <v>3578</v>
      </c>
      <c r="D9">
        <v>2</v>
      </c>
      <c r="E9">
        <v>2.16</v>
      </c>
      <c r="F9">
        <v>2.78</v>
      </c>
      <c r="G9">
        <v>2.83</v>
      </c>
      <c r="H9">
        <v>9.7100000000000009</v>
      </c>
      <c r="I9" t="s">
        <v>34</v>
      </c>
      <c r="J9">
        <v>5.0000000000000301E-2</v>
      </c>
      <c r="K9">
        <v>0.16</v>
      </c>
      <c r="L9">
        <v>9.18</v>
      </c>
      <c r="M9">
        <v>15.43</v>
      </c>
      <c r="N9">
        <v>3.99</v>
      </c>
      <c r="O9">
        <v>5.72</v>
      </c>
      <c r="P9">
        <v>32.718400000000003</v>
      </c>
      <c r="Q9" t="str">
        <f>IFERROR(INDEX(Rosters!$C$2:$C$155,MATCH($B9,Rosters!$B$2:$B$155,0)),"NA")</f>
        <v>matty</v>
      </c>
      <c r="R9" t="str">
        <f t="shared" si="0"/>
        <v>matty2</v>
      </c>
      <c r="S9">
        <f>COUNTIFS(A$1:A9,A9)</f>
        <v>3</v>
      </c>
      <c r="T9" t="str">
        <f t="shared" si="1"/>
        <v>Robbie Gould2</v>
      </c>
      <c r="U9" t="str">
        <f>IF(OR(NOT(ISERROR(MATCH(T9,Finals!$K$2:$K$1801,0))),AND(A9&gt;Week,Q9&lt;&gt;"NA")),"",A9)</f>
        <v/>
      </c>
      <c r="V9" t="str">
        <f>IF(U9&lt;&gt;"",U9&amp;"-"&amp;COUNTIF(U$1:U9,U9),"")</f>
        <v/>
      </c>
    </row>
    <row r="10" spans="1:22" x14ac:dyDescent="0.25">
      <c r="A10">
        <v>17</v>
      </c>
      <c r="B10" t="s">
        <v>449</v>
      </c>
      <c r="C10" t="s">
        <v>5040</v>
      </c>
      <c r="D10">
        <v>1.85</v>
      </c>
      <c r="E10">
        <v>2.04</v>
      </c>
      <c r="F10">
        <v>3.46</v>
      </c>
      <c r="G10">
        <v>3.46</v>
      </c>
      <c r="H10">
        <v>9.6999999999999993</v>
      </c>
      <c r="I10" t="s">
        <v>17</v>
      </c>
      <c r="J10">
        <v>0</v>
      </c>
      <c r="K10">
        <v>0.19</v>
      </c>
      <c r="L10">
        <v>9.1300000000000008</v>
      </c>
      <c r="M10">
        <v>13.12</v>
      </c>
      <c r="N10">
        <v>6.28</v>
      </c>
      <c r="O10">
        <v>3.42</v>
      </c>
      <c r="P10">
        <v>11.696400000000001</v>
      </c>
      <c r="Q10" t="str">
        <f>IFERROR(INDEX(Rosters!$C$2:$C$155,MATCH($B10,Rosters!$B$2:$B$155,0)),"NA")</f>
        <v>lucas</v>
      </c>
      <c r="R10" t="str">
        <f t="shared" si="0"/>
        <v>lucas17</v>
      </c>
      <c r="S10">
        <f>COUNTIFS(A$1:A10,A10)</f>
        <v>1</v>
      </c>
      <c r="T10" t="str">
        <f t="shared" si="1"/>
        <v>Matt Bryant17</v>
      </c>
      <c r="U10" t="str">
        <f>IF(OR(NOT(ISERROR(MATCH(T10,Finals!$K$2:$K$1801,0))),AND(A10&gt;Week,Q10&lt;&gt;"NA")),"",A10)</f>
        <v/>
      </c>
      <c r="V10" t="str">
        <f>IF(U10&lt;&gt;"",U10&amp;"-"&amp;COUNTIF(U$1:U10,U10),"")</f>
        <v/>
      </c>
    </row>
    <row r="11" spans="1:22" x14ac:dyDescent="0.25">
      <c r="A11">
        <v>14</v>
      </c>
      <c r="B11" t="s">
        <v>447</v>
      </c>
      <c r="C11" t="s">
        <v>5041</v>
      </c>
      <c r="D11">
        <v>1.94</v>
      </c>
      <c r="E11">
        <v>2.16</v>
      </c>
      <c r="F11">
        <v>3.05</v>
      </c>
      <c r="G11">
        <v>3.07</v>
      </c>
      <c r="H11">
        <v>9.77</v>
      </c>
      <c r="I11" t="s">
        <v>24</v>
      </c>
      <c r="J11">
        <v>0.02</v>
      </c>
      <c r="K11">
        <v>0.22</v>
      </c>
      <c r="L11">
        <v>9.09</v>
      </c>
      <c r="M11">
        <v>13.78</v>
      </c>
      <c r="N11">
        <v>5.76</v>
      </c>
      <c r="O11">
        <v>4.01</v>
      </c>
      <c r="P11">
        <v>16.080100000000002</v>
      </c>
      <c r="Q11" t="str">
        <f>IFERROR(INDEX(Rosters!$C$2:$C$155,MATCH($B11,Rosters!$B$2:$B$155,0)),"NA")</f>
        <v>chad</v>
      </c>
      <c r="R11" t="str">
        <f t="shared" si="0"/>
        <v>chad14</v>
      </c>
      <c r="S11">
        <f>COUNTIFS(A$1:A11,A11)</f>
        <v>1</v>
      </c>
      <c r="T11" t="str">
        <f t="shared" si="1"/>
        <v>Justin Tucker14</v>
      </c>
      <c r="U11" t="str">
        <f>IF(OR(NOT(ISERROR(MATCH(T11,Finals!$K$2:$K$1801,0))),AND(A11&gt;Week,Q11&lt;&gt;"NA")),"",A11)</f>
        <v/>
      </c>
      <c r="V11" t="str">
        <f>IF(U11&lt;&gt;"",U11&amp;"-"&amp;COUNTIF(U$1:U11,U11),"")</f>
        <v/>
      </c>
    </row>
    <row r="12" spans="1:22" x14ac:dyDescent="0.25">
      <c r="A12">
        <v>3</v>
      </c>
      <c r="B12" t="s">
        <v>1119</v>
      </c>
      <c r="C12" t="s">
        <v>4365</v>
      </c>
      <c r="D12">
        <v>2.11</v>
      </c>
      <c r="E12">
        <v>2.31</v>
      </c>
      <c r="F12">
        <v>2.31</v>
      </c>
      <c r="G12">
        <v>2.34</v>
      </c>
      <c r="H12">
        <v>9.7100000000000009</v>
      </c>
      <c r="I12" t="s">
        <v>38</v>
      </c>
      <c r="J12">
        <v>2.9999999999999801E-2</v>
      </c>
      <c r="K12">
        <v>0.2</v>
      </c>
      <c r="L12">
        <v>9.08</v>
      </c>
      <c r="M12">
        <v>14.26</v>
      </c>
      <c r="N12">
        <v>5.16</v>
      </c>
      <c r="O12">
        <v>4.55</v>
      </c>
      <c r="P12">
        <v>20.702500000000001</v>
      </c>
      <c r="Q12" t="str">
        <f>IFERROR(INDEX(Rosters!$C$2:$C$155,MATCH($B12,Rosters!$B$2:$B$155,0)),"NA")</f>
        <v>scott</v>
      </c>
      <c r="R12" t="str">
        <f t="shared" si="0"/>
        <v>scott3</v>
      </c>
      <c r="S12">
        <f>COUNTIFS(A$1:A12,A12)</f>
        <v>1</v>
      </c>
      <c r="T12" t="str">
        <f t="shared" si="1"/>
        <v>Josh Lambo3</v>
      </c>
      <c r="U12">
        <f>IF(OR(NOT(ISERROR(MATCH(T12,Finals!$K$2:$K$1801,0))),AND(A12&gt;Week,Q12&lt;&gt;"NA")),"",A12)</f>
        <v>3</v>
      </c>
      <c r="V12" t="str">
        <f>IF(U12&lt;&gt;"",U12&amp;"-"&amp;COUNTIF(U$1:U12,U12),"")</f>
        <v>3-1</v>
      </c>
    </row>
    <row r="13" spans="1:22" x14ac:dyDescent="0.25">
      <c r="A13">
        <v>15</v>
      </c>
      <c r="B13" t="s">
        <v>447</v>
      </c>
      <c r="C13" t="s">
        <v>5042</v>
      </c>
      <c r="D13">
        <v>1.91</v>
      </c>
      <c r="E13">
        <v>2.0499999999999998</v>
      </c>
      <c r="F13">
        <v>3.03</v>
      </c>
      <c r="G13">
        <v>3.07</v>
      </c>
      <c r="H13">
        <v>9.5</v>
      </c>
      <c r="I13" t="s">
        <v>17</v>
      </c>
      <c r="J13">
        <v>0.04</v>
      </c>
      <c r="K13">
        <v>0.14000000000000001</v>
      </c>
      <c r="L13">
        <v>9.0399999999999991</v>
      </c>
      <c r="M13">
        <v>13.6</v>
      </c>
      <c r="N13">
        <v>5.4</v>
      </c>
      <c r="O13">
        <v>4.0999999999999996</v>
      </c>
      <c r="P13">
        <v>16.809999999999999</v>
      </c>
      <c r="Q13" t="str">
        <f>IFERROR(INDEX(Rosters!$C$2:$C$155,MATCH($B13,Rosters!$B$2:$B$155,0)),"NA")</f>
        <v>chad</v>
      </c>
      <c r="R13" t="str">
        <f t="shared" si="0"/>
        <v>chad15</v>
      </c>
      <c r="S13">
        <f>COUNTIFS(A$1:A13,A13)</f>
        <v>1</v>
      </c>
      <c r="T13" t="str">
        <f t="shared" si="1"/>
        <v>Justin Tucker15</v>
      </c>
      <c r="U13" t="str">
        <f>IF(OR(NOT(ISERROR(MATCH(T13,Finals!$K$2:$K$1801,0))),AND(A13&gt;Week,Q13&lt;&gt;"NA")),"",A13)</f>
        <v/>
      </c>
      <c r="V13" t="str">
        <f>IF(U13&lt;&gt;"",U13&amp;"-"&amp;COUNTIF(U$1:U13,U13),"")</f>
        <v/>
      </c>
    </row>
    <row r="14" spans="1:22" x14ac:dyDescent="0.25">
      <c r="A14">
        <v>12</v>
      </c>
      <c r="B14" t="s">
        <v>462</v>
      </c>
      <c r="C14" t="s">
        <v>5043</v>
      </c>
      <c r="D14">
        <v>2.04</v>
      </c>
      <c r="E14">
        <v>2.2999999999999998</v>
      </c>
      <c r="F14">
        <v>2.92</v>
      </c>
      <c r="G14">
        <v>3.04</v>
      </c>
      <c r="H14">
        <v>9.93</v>
      </c>
      <c r="I14" t="s">
        <v>46</v>
      </c>
      <c r="J14">
        <v>0.12</v>
      </c>
      <c r="K14">
        <v>0.26</v>
      </c>
      <c r="L14">
        <v>9.0299999999999994</v>
      </c>
      <c r="M14">
        <v>13.84</v>
      </c>
      <c r="N14">
        <v>6.02</v>
      </c>
      <c r="O14">
        <v>3.91</v>
      </c>
      <c r="P14">
        <v>15.2881</v>
      </c>
      <c r="Q14" t="str">
        <f>IFERROR(INDEX(Rosters!$C$2:$C$155,MATCH($B14,Rosters!$B$2:$B$155,0)),"NA")</f>
        <v>cory</v>
      </c>
      <c r="R14" t="str">
        <f t="shared" si="0"/>
        <v>cory12</v>
      </c>
      <c r="S14">
        <f>COUNTIFS(A$1:A14,A14)</f>
        <v>1</v>
      </c>
      <c r="T14" t="str">
        <f t="shared" si="1"/>
        <v>Wil Lutz12</v>
      </c>
      <c r="U14" t="str">
        <f>IF(OR(NOT(ISERROR(MATCH(T14,Finals!$K$2:$K$1801,0))),AND(A14&gt;Week,Q14&lt;&gt;"NA")),"",A14)</f>
        <v/>
      </c>
      <c r="V14" t="str">
        <f>IF(U14&lt;&gt;"",U14&amp;"-"&amp;COUNTIF(U$1:U14,U14),"")</f>
        <v/>
      </c>
    </row>
    <row r="15" spans="1:22" x14ac:dyDescent="0.25">
      <c r="A15">
        <v>9</v>
      </c>
      <c r="B15" t="s">
        <v>446</v>
      </c>
      <c r="C15" t="s">
        <v>5044</v>
      </c>
      <c r="D15">
        <v>2.12</v>
      </c>
      <c r="E15">
        <v>2.4900000000000002</v>
      </c>
      <c r="F15">
        <v>2.9</v>
      </c>
      <c r="G15">
        <v>2.9</v>
      </c>
      <c r="H15">
        <v>10.130000000000001</v>
      </c>
      <c r="I15" t="s">
        <v>41</v>
      </c>
      <c r="J15">
        <v>0</v>
      </c>
      <c r="K15">
        <v>0.37</v>
      </c>
      <c r="L15">
        <v>9.02</v>
      </c>
      <c r="M15">
        <v>14.29</v>
      </c>
      <c r="N15">
        <v>5.97</v>
      </c>
      <c r="O15">
        <v>4.16</v>
      </c>
      <c r="P15">
        <v>17.305599999999998</v>
      </c>
      <c r="Q15" t="str">
        <f>IFERROR(INDEX(Rosters!$C$2:$C$155,MATCH($B15,Rosters!$B$2:$B$155,0)),"NA")</f>
        <v>comp</v>
      </c>
      <c r="R15" t="str">
        <f t="shared" si="0"/>
        <v>comp9</v>
      </c>
      <c r="S15">
        <f>COUNTIFS(A$1:A15,A15)</f>
        <v>1</v>
      </c>
      <c r="T15" t="str">
        <f t="shared" si="1"/>
        <v>Stephen Gostkowski9</v>
      </c>
      <c r="U15" t="str">
        <f>IF(OR(NOT(ISERROR(MATCH(T15,Finals!$K$2:$K$1801,0))),AND(A15&gt;Week,Q15&lt;&gt;"NA")),"",A15)</f>
        <v/>
      </c>
      <c r="V15" t="str">
        <f>IF(U15&lt;&gt;"",U15&amp;"-"&amp;COUNTIF(U$1:U15,U15),"")</f>
        <v/>
      </c>
    </row>
    <row r="16" spans="1:22" x14ac:dyDescent="0.25">
      <c r="A16">
        <v>1</v>
      </c>
      <c r="B16" t="s">
        <v>447</v>
      </c>
      <c r="C16" t="s">
        <v>1746</v>
      </c>
      <c r="D16">
        <v>1.93</v>
      </c>
      <c r="E16">
        <v>2.12</v>
      </c>
      <c r="F16">
        <v>2.98</v>
      </c>
      <c r="G16">
        <v>3.03</v>
      </c>
      <c r="H16">
        <v>9.5500000000000007</v>
      </c>
      <c r="I16" t="s">
        <v>29</v>
      </c>
      <c r="J16">
        <v>4.9999999999999802E-2</v>
      </c>
      <c r="K16">
        <v>0.19</v>
      </c>
      <c r="L16">
        <v>8.93</v>
      </c>
      <c r="M16">
        <v>15.53</v>
      </c>
      <c r="N16">
        <v>3.57</v>
      </c>
      <c r="O16">
        <v>5.98</v>
      </c>
      <c r="P16">
        <v>35.760399999999997</v>
      </c>
      <c r="Q16" t="str">
        <f>IFERROR(INDEX(Rosters!$C$2:$C$155,MATCH($B16,Rosters!$B$2:$B$155,0)),"NA")</f>
        <v>chad</v>
      </c>
      <c r="R16" t="str">
        <f t="shared" si="0"/>
        <v>chad1</v>
      </c>
      <c r="S16">
        <f>COUNTIFS(A$1:A16,A16)</f>
        <v>4</v>
      </c>
      <c r="T16" t="str">
        <f t="shared" si="1"/>
        <v>Justin Tucker1</v>
      </c>
      <c r="U16" t="str">
        <f>IF(OR(NOT(ISERROR(MATCH(T16,Finals!$K$2:$K$1801,0))),AND(A16&gt;Week,Q16&lt;&gt;"NA")),"",A16)</f>
        <v/>
      </c>
      <c r="V16" t="str">
        <f>IF(U16&lt;&gt;"",U16&amp;"-"&amp;COUNTIF(U$1:U16,U16),"")</f>
        <v/>
      </c>
    </row>
    <row r="17" spans="1:22" x14ac:dyDescent="0.25">
      <c r="A17">
        <v>6</v>
      </c>
      <c r="B17" t="s">
        <v>446</v>
      </c>
      <c r="C17" t="s">
        <v>5045</v>
      </c>
      <c r="D17">
        <v>1.9</v>
      </c>
      <c r="E17">
        <v>2.1</v>
      </c>
      <c r="F17">
        <v>3.13</v>
      </c>
      <c r="G17">
        <v>3.13</v>
      </c>
      <c r="H17">
        <v>9.48</v>
      </c>
      <c r="I17" t="s">
        <v>24</v>
      </c>
      <c r="J17">
        <v>0</v>
      </c>
      <c r="K17">
        <v>0.2</v>
      </c>
      <c r="L17">
        <v>8.8800000000000008</v>
      </c>
      <c r="M17">
        <v>13.69</v>
      </c>
      <c r="N17">
        <v>5.27</v>
      </c>
      <c r="O17">
        <v>4.21</v>
      </c>
      <c r="P17">
        <v>17.7241</v>
      </c>
      <c r="Q17" t="str">
        <f>IFERROR(INDEX(Rosters!$C$2:$C$155,MATCH($B17,Rosters!$B$2:$B$155,0)),"NA")</f>
        <v>comp</v>
      </c>
      <c r="R17" t="str">
        <f t="shared" si="0"/>
        <v>comp6</v>
      </c>
      <c r="S17">
        <f>COUNTIFS(A$1:A17,A17)</f>
        <v>2</v>
      </c>
      <c r="T17" t="str">
        <f t="shared" si="1"/>
        <v>Stephen Gostkowski6</v>
      </c>
      <c r="U17" t="str">
        <f>IF(OR(NOT(ISERROR(MATCH(T17,Finals!$K$2:$K$1801,0))),AND(A17&gt;Week,Q17&lt;&gt;"NA")),"",A17)</f>
        <v/>
      </c>
      <c r="V17" t="str">
        <f>IF(U17&lt;&gt;"",U17&amp;"-"&amp;COUNTIF(U$1:U17,U17),"")</f>
        <v/>
      </c>
    </row>
    <row r="18" spans="1:22" x14ac:dyDescent="0.25">
      <c r="A18">
        <v>15</v>
      </c>
      <c r="B18" t="s">
        <v>456</v>
      </c>
      <c r="C18" t="s">
        <v>5046</v>
      </c>
      <c r="D18">
        <v>2.08</v>
      </c>
      <c r="E18">
        <v>2.39</v>
      </c>
      <c r="F18">
        <v>2.63</v>
      </c>
      <c r="G18">
        <v>2.63</v>
      </c>
      <c r="H18">
        <v>9.7799999999999994</v>
      </c>
      <c r="I18" t="s">
        <v>14</v>
      </c>
      <c r="J18">
        <v>0</v>
      </c>
      <c r="K18">
        <v>0.31</v>
      </c>
      <c r="L18">
        <v>8.85</v>
      </c>
      <c r="M18">
        <v>13.95</v>
      </c>
      <c r="N18">
        <v>5.61</v>
      </c>
      <c r="O18">
        <v>4.17</v>
      </c>
      <c r="P18">
        <v>17.3889</v>
      </c>
      <c r="Q18" t="str">
        <f>IFERROR(INDEX(Rosters!$C$2:$C$155,MATCH($B18,Rosters!$B$2:$B$155,0)),"NA")</f>
        <v>NA</v>
      </c>
      <c r="R18" t="str">
        <f t="shared" si="0"/>
        <v>NA15</v>
      </c>
      <c r="S18">
        <f>COUNTIFS(A$1:A18,A18)</f>
        <v>2</v>
      </c>
      <c r="T18" t="str">
        <f t="shared" si="1"/>
        <v>Graham Gano15</v>
      </c>
      <c r="U18">
        <f>IF(OR(NOT(ISERROR(MATCH(T18,Finals!$K$2:$K$1801,0))),AND(A18&gt;Week,Q18&lt;&gt;"NA")),"",A18)</f>
        <v>15</v>
      </c>
      <c r="V18" t="str">
        <f>IF(U18&lt;&gt;"",U18&amp;"-"&amp;COUNTIF(U$1:U18,U18),"")</f>
        <v>15-1</v>
      </c>
    </row>
    <row r="19" spans="1:22" x14ac:dyDescent="0.25">
      <c r="A19">
        <v>11</v>
      </c>
      <c r="B19" t="s">
        <v>449</v>
      </c>
      <c r="C19" t="s">
        <v>5047</v>
      </c>
      <c r="D19">
        <v>1.75</v>
      </c>
      <c r="E19">
        <v>1.89</v>
      </c>
      <c r="F19">
        <v>3.21</v>
      </c>
      <c r="G19">
        <v>3.21</v>
      </c>
      <c r="H19">
        <v>9.24</v>
      </c>
      <c r="I19" t="s">
        <v>22</v>
      </c>
      <c r="J19">
        <v>0</v>
      </c>
      <c r="K19">
        <v>0.14000000000000001</v>
      </c>
      <c r="L19">
        <v>8.82</v>
      </c>
      <c r="M19">
        <v>13.21</v>
      </c>
      <c r="N19">
        <v>5.27</v>
      </c>
      <c r="O19">
        <v>3.97</v>
      </c>
      <c r="P19">
        <v>15.760899999999999</v>
      </c>
      <c r="Q19" t="str">
        <f>IFERROR(INDEX(Rosters!$C$2:$C$155,MATCH($B19,Rosters!$B$2:$B$155,0)),"NA")</f>
        <v>lucas</v>
      </c>
      <c r="R19" t="str">
        <f t="shared" si="0"/>
        <v>lucas11</v>
      </c>
      <c r="S19">
        <f>COUNTIFS(A$1:A19,A19)</f>
        <v>1</v>
      </c>
      <c r="T19" t="str">
        <f t="shared" si="1"/>
        <v>Matt Bryant11</v>
      </c>
      <c r="U19" t="str">
        <f>IF(OR(NOT(ISERROR(MATCH(T19,Finals!$K$2:$K$1801,0))),AND(A19&gt;Week,Q19&lt;&gt;"NA")),"",A19)</f>
        <v/>
      </c>
      <c r="V19" t="str">
        <f>IF(U19&lt;&gt;"",U19&amp;"-"&amp;COUNTIF(U$1:U19,U19),"")</f>
        <v/>
      </c>
    </row>
    <row r="20" spans="1:22" x14ac:dyDescent="0.25">
      <c r="A20">
        <v>2</v>
      </c>
      <c r="B20" t="s">
        <v>447</v>
      </c>
      <c r="C20" t="s">
        <v>3546</v>
      </c>
      <c r="D20">
        <v>1.98</v>
      </c>
      <c r="E20">
        <v>2.15</v>
      </c>
      <c r="F20">
        <v>2.31</v>
      </c>
      <c r="G20">
        <v>2.33</v>
      </c>
      <c r="H20">
        <v>9.34</v>
      </c>
      <c r="I20" t="s">
        <v>31</v>
      </c>
      <c r="J20">
        <v>0.02</v>
      </c>
      <c r="K20">
        <v>0.17</v>
      </c>
      <c r="L20">
        <v>8.81</v>
      </c>
      <c r="M20">
        <v>14.67</v>
      </c>
      <c r="N20">
        <v>4.01</v>
      </c>
      <c r="O20">
        <v>5.33</v>
      </c>
      <c r="P20">
        <v>28.408899999999999</v>
      </c>
      <c r="Q20" t="str">
        <f>IFERROR(INDEX(Rosters!$C$2:$C$155,MATCH($B20,Rosters!$B$2:$B$155,0)),"NA")</f>
        <v>chad</v>
      </c>
      <c r="R20" t="str">
        <f t="shared" si="0"/>
        <v>chad2</v>
      </c>
      <c r="S20">
        <f>COUNTIFS(A$1:A20,A20)</f>
        <v>4</v>
      </c>
      <c r="T20" t="str">
        <f t="shared" si="1"/>
        <v>Justin Tucker2</v>
      </c>
      <c r="U20" t="str">
        <f>IF(OR(NOT(ISERROR(MATCH(T20,Finals!$K$2:$K$1801,0))),AND(A20&gt;Week,Q20&lt;&gt;"NA")),"",A20)</f>
        <v/>
      </c>
      <c r="V20" t="str">
        <f>IF(U20&lt;&gt;"",U20&amp;"-"&amp;COUNTIF(U$1:U20,U20),"")</f>
        <v/>
      </c>
    </row>
    <row r="21" spans="1:22" x14ac:dyDescent="0.25">
      <c r="A21">
        <v>14</v>
      </c>
      <c r="B21" t="s">
        <v>462</v>
      </c>
      <c r="C21" t="s">
        <v>5048</v>
      </c>
      <c r="D21">
        <v>1.94</v>
      </c>
      <c r="E21">
        <v>2.14</v>
      </c>
      <c r="F21">
        <v>2.91</v>
      </c>
      <c r="G21">
        <v>3.01</v>
      </c>
      <c r="H21">
        <v>9.51</v>
      </c>
      <c r="I21" t="s">
        <v>17</v>
      </c>
      <c r="J21">
        <v>9.9999999999999603E-2</v>
      </c>
      <c r="K21">
        <v>0.2</v>
      </c>
      <c r="L21">
        <v>8.81</v>
      </c>
      <c r="M21">
        <v>13.52</v>
      </c>
      <c r="N21">
        <v>5.5</v>
      </c>
      <c r="O21">
        <v>4.01</v>
      </c>
      <c r="P21">
        <v>16.080100000000002</v>
      </c>
      <c r="Q21" t="str">
        <f>IFERROR(INDEX(Rosters!$C$2:$C$155,MATCH($B21,Rosters!$B$2:$B$155,0)),"NA")</f>
        <v>cory</v>
      </c>
      <c r="R21" t="str">
        <f t="shared" si="0"/>
        <v>cory14</v>
      </c>
      <c r="S21">
        <f>COUNTIFS(A$1:A21,A21)</f>
        <v>2</v>
      </c>
      <c r="T21" t="str">
        <f t="shared" si="1"/>
        <v>Wil Lutz14</v>
      </c>
      <c r="U21" t="str">
        <f>IF(OR(NOT(ISERROR(MATCH(T21,Finals!$K$2:$K$1801,0))),AND(A21&gt;Week,Q21&lt;&gt;"NA")),"",A21)</f>
        <v/>
      </c>
      <c r="V21" t="str">
        <f>IF(U21&lt;&gt;"",U21&amp;"-"&amp;COUNTIF(U$1:U21,U21),"")</f>
        <v/>
      </c>
    </row>
    <row r="22" spans="1:22" x14ac:dyDescent="0.25">
      <c r="A22">
        <v>5</v>
      </c>
      <c r="B22" t="s">
        <v>456</v>
      </c>
      <c r="C22" t="s">
        <v>9086</v>
      </c>
      <c r="D22">
        <v>1.91</v>
      </c>
      <c r="E22">
        <v>2.14</v>
      </c>
      <c r="F22">
        <v>2.64</v>
      </c>
      <c r="G22">
        <v>2.64</v>
      </c>
      <c r="H22">
        <v>9.4499999999999993</v>
      </c>
      <c r="I22" t="s">
        <v>54</v>
      </c>
      <c r="J22">
        <v>0</v>
      </c>
      <c r="K22">
        <v>0.23</v>
      </c>
      <c r="L22">
        <v>8.76</v>
      </c>
      <c r="M22">
        <v>13.84</v>
      </c>
      <c r="N22">
        <v>5.0599999999999996</v>
      </c>
      <c r="O22">
        <v>4.3899999999999997</v>
      </c>
      <c r="P22">
        <v>19.272099999999998</v>
      </c>
      <c r="Q22" t="str">
        <f>IFERROR(INDEX(Rosters!$C$2:$C$155,MATCH($B22,Rosters!$B$2:$B$155,0)),"NA")</f>
        <v>NA</v>
      </c>
      <c r="R22" t="str">
        <f t="shared" si="0"/>
        <v>NA5</v>
      </c>
      <c r="S22">
        <f>COUNTIFS(A$1:A22,A22)</f>
        <v>2</v>
      </c>
      <c r="T22" t="str">
        <f t="shared" si="1"/>
        <v>Graham Gano5</v>
      </c>
      <c r="U22">
        <f>IF(OR(NOT(ISERROR(MATCH(T22,Finals!$K$2:$K$1801,0))),AND(A22&gt;Week,Q22&lt;&gt;"NA")),"",A22)</f>
        <v>5</v>
      </c>
      <c r="V22" t="str">
        <f>IF(U22&lt;&gt;"",U22&amp;"-"&amp;COUNTIF(U$1:U22,U22),"")</f>
        <v>5-1</v>
      </c>
    </row>
    <row r="23" spans="1:22" x14ac:dyDescent="0.25">
      <c r="A23">
        <v>3</v>
      </c>
      <c r="B23" t="s">
        <v>446</v>
      </c>
      <c r="C23" t="s">
        <v>4163</v>
      </c>
      <c r="D23">
        <v>1.82</v>
      </c>
      <c r="E23">
        <v>2.1</v>
      </c>
      <c r="F23">
        <v>3.6</v>
      </c>
      <c r="G23">
        <v>3.71</v>
      </c>
      <c r="H23">
        <v>9.69</v>
      </c>
      <c r="I23" t="s">
        <v>34</v>
      </c>
      <c r="J23">
        <v>0.11</v>
      </c>
      <c r="K23">
        <v>0.28000000000000003</v>
      </c>
      <c r="L23">
        <v>8.74</v>
      </c>
      <c r="M23">
        <v>13.94</v>
      </c>
      <c r="N23">
        <v>5.44</v>
      </c>
      <c r="O23">
        <v>4.25</v>
      </c>
      <c r="P23">
        <v>18.0625</v>
      </c>
      <c r="Q23" t="str">
        <f>IFERROR(INDEX(Rosters!$C$2:$C$155,MATCH($B23,Rosters!$B$2:$B$155,0)),"NA")</f>
        <v>comp</v>
      </c>
      <c r="R23" t="str">
        <f t="shared" si="0"/>
        <v>comp3</v>
      </c>
      <c r="S23">
        <f>COUNTIFS(A$1:A23,A23)</f>
        <v>2</v>
      </c>
      <c r="T23" t="str">
        <f t="shared" si="1"/>
        <v>Stephen Gostkowski3</v>
      </c>
      <c r="U23" t="str">
        <f>IF(OR(NOT(ISERROR(MATCH(T23,Finals!$K$2:$K$1801,0))),AND(A23&gt;Week,Q23&lt;&gt;"NA")),"",A23)</f>
        <v/>
      </c>
      <c r="V23" t="str">
        <f>IF(U23&lt;&gt;"",U23&amp;"-"&amp;COUNTIF(U$1:U23,U23),"")</f>
        <v/>
      </c>
    </row>
    <row r="24" spans="1:22" x14ac:dyDescent="0.25">
      <c r="A24">
        <v>7</v>
      </c>
      <c r="B24" t="s">
        <v>449</v>
      </c>
      <c r="C24" t="s">
        <v>5049</v>
      </c>
      <c r="D24">
        <v>1.71</v>
      </c>
      <c r="E24">
        <v>1.93</v>
      </c>
      <c r="F24">
        <v>3.39</v>
      </c>
      <c r="G24">
        <v>3.39</v>
      </c>
      <c r="H24">
        <v>9.3800000000000008</v>
      </c>
      <c r="I24" t="s">
        <v>54</v>
      </c>
      <c r="J24">
        <v>0</v>
      </c>
      <c r="K24">
        <v>0.22</v>
      </c>
      <c r="L24">
        <v>8.7200000000000006</v>
      </c>
      <c r="M24">
        <v>13.41</v>
      </c>
      <c r="N24">
        <v>5.35</v>
      </c>
      <c r="O24">
        <v>4.03</v>
      </c>
      <c r="P24">
        <v>16.2409</v>
      </c>
      <c r="Q24" t="str">
        <f>IFERROR(INDEX(Rosters!$C$2:$C$155,MATCH($B24,Rosters!$B$2:$B$155,0)),"NA")</f>
        <v>lucas</v>
      </c>
      <c r="R24" t="str">
        <f t="shared" si="0"/>
        <v>lucas7</v>
      </c>
      <c r="S24">
        <f>COUNTIFS(A$1:A24,A24)</f>
        <v>1</v>
      </c>
      <c r="T24" t="str">
        <f t="shared" si="1"/>
        <v>Matt Bryant7</v>
      </c>
      <c r="U24" t="str">
        <f>IF(OR(NOT(ISERROR(MATCH(T24,Finals!$K$2:$K$1801,0))),AND(A24&gt;Week,Q24&lt;&gt;"NA")),"",A24)</f>
        <v/>
      </c>
      <c r="V24" t="str">
        <f>IF(U24&lt;&gt;"",U24&amp;"-"&amp;COUNTIF(U$1:U24,U24),"")</f>
        <v/>
      </c>
    </row>
    <row r="25" spans="1:22" x14ac:dyDescent="0.25">
      <c r="A25">
        <v>9</v>
      </c>
      <c r="B25" t="s">
        <v>456</v>
      </c>
      <c r="C25" t="s">
        <v>5050</v>
      </c>
      <c r="D25">
        <v>1.94</v>
      </c>
      <c r="E25">
        <v>2.25</v>
      </c>
      <c r="F25">
        <v>3.1</v>
      </c>
      <c r="G25">
        <v>3.14</v>
      </c>
      <c r="H25">
        <v>9.69</v>
      </c>
      <c r="I25" t="s">
        <v>17</v>
      </c>
      <c r="J25">
        <v>0.04</v>
      </c>
      <c r="K25">
        <v>0.31</v>
      </c>
      <c r="L25">
        <v>8.7200000000000006</v>
      </c>
      <c r="M25">
        <v>13.83</v>
      </c>
      <c r="N25">
        <v>5.55</v>
      </c>
      <c r="O25">
        <v>4.1399999999999997</v>
      </c>
      <c r="P25">
        <v>17.139600000000002</v>
      </c>
      <c r="Q25" t="str">
        <f>IFERROR(INDEX(Rosters!$C$2:$C$155,MATCH($B25,Rosters!$B$2:$B$155,0)),"NA")</f>
        <v>NA</v>
      </c>
      <c r="R25" t="str">
        <f t="shared" si="0"/>
        <v>NA9</v>
      </c>
      <c r="S25">
        <f>COUNTIFS(A$1:A25,A25)</f>
        <v>2</v>
      </c>
      <c r="T25" t="str">
        <f t="shared" si="1"/>
        <v>Graham Gano9</v>
      </c>
      <c r="U25">
        <f>IF(OR(NOT(ISERROR(MATCH(T25,Finals!$K$2:$K$1801,0))),AND(A25&gt;Week,Q25&lt;&gt;"NA")),"",A25)</f>
        <v>9</v>
      </c>
      <c r="V25" t="str">
        <f>IF(U25&lt;&gt;"",U25&amp;"-"&amp;COUNTIF(U$1:U25,U25),"")</f>
        <v>9-1</v>
      </c>
    </row>
    <row r="26" spans="1:22" x14ac:dyDescent="0.25">
      <c r="A26">
        <v>7</v>
      </c>
      <c r="B26" t="s">
        <v>1119</v>
      </c>
      <c r="C26" t="s">
        <v>5051</v>
      </c>
      <c r="D26">
        <v>1.5</v>
      </c>
      <c r="E26">
        <v>1.56</v>
      </c>
      <c r="F26">
        <v>3.8</v>
      </c>
      <c r="G26">
        <v>3.86</v>
      </c>
      <c r="H26">
        <v>8.9499999999999993</v>
      </c>
      <c r="I26" t="s">
        <v>36</v>
      </c>
      <c r="J26">
        <v>6.0000000000000102E-2</v>
      </c>
      <c r="K26">
        <v>6.0000000000000102E-2</v>
      </c>
      <c r="L26">
        <v>8.7100000000000009</v>
      </c>
      <c r="M26">
        <v>12.97</v>
      </c>
      <c r="N26">
        <v>4.93</v>
      </c>
      <c r="O26">
        <v>4.0199999999999996</v>
      </c>
      <c r="P26">
        <v>16.160399999999999</v>
      </c>
      <c r="Q26" t="str">
        <f>IFERROR(INDEX(Rosters!$C$2:$C$155,MATCH($B26,Rosters!$B$2:$B$155,0)),"NA")</f>
        <v>scott</v>
      </c>
      <c r="R26" t="str">
        <f t="shared" si="0"/>
        <v>scott7</v>
      </c>
      <c r="S26">
        <f>COUNTIFS(A$1:A26,A26)</f>
        <v>2</v>
      </c>
      <c r="T26" t="str">
        <f t="shared" si="1"/>
        <v>Josh Lambo7</v>
      </c>
      <c r="U26" t="str">
        <f>IF(OR(NOT(ISERROR(MATCH(T26,Finals!$K$2:$K$1801,0))),AND(A26&gt;Week,Q26&lt;&gt;"NA")),"",A26)</f>
        <v/>
      </c>
      <c r="V26" t="str">
        <f>IF(U26&lt;&gt;"",U26&amp;"-"&amp;COUNTIF(U$1:U26,U26),"")</f>
        <v/>
      </c>
    </row>
    <row r="27" spans="1:22" x14ac:dyDescent="0.25">
      <c r="A27">
        <v>7</v>
      </c>
      <c r="B27" t="s">
        <v>452</v>
      </c>
      <c r="C27" t="s">
        <v>5052</v>
      </c>
      <c r="D27">
        <v>1.99</v>
      </c>
      <c r="E27">
        <v>2.2200000000000002</v>
      </c>
      <c r="F27">
        <v>2.27</v>
      </c>
      <c r="G27">
        <v>2.29</v>
      </c>
      <c r="H27">
        <v>9.42</v>
      </c>
      <c r="I27" t="s">
        <v>56</v>
      </c>
      <c r="J27">
        <v>0.02</v>
      </c>
      <c r="K27">
        <v>0.23</v>
      </c>
      <c r="L27">
        <v>8.7100000000000009</v>
      </c>
      <c r="M27">
        <v>14.7</v>
      </c>
      <c r="N27">
        <v>4.1399999999999997</v>
      </c>
      <c r="O27">
        <v>5.28</v>
      </c>
      <c r="P27">
        <v>27.878399999999999</v>
      </c>
      <c r="Q27" t="str">
        <f>IFERROR(INDEX(Rosters!$C$2:$C$155,MATCH($B27,Rosters!$B$2:$B$155,0)),"NA")</f>
        <v>matty</v>
      </c>
      <c r="R27" t="str">
        <f t="shared" si="0"/>
        <v>matty7</v>
      </c>
      <c r="S27">
        <f>COUNTIFS(A$1:A27,A27)</f>
        <v>3</v>
      </c>
      <c r="T27" t="str">
        <f t="shared" si="1"/>
        <v>Robbie Gould7</v>
      </c>
      <c r="U27" t="str">
        <f>IF(OR(NOT(ISERROR(MATCH(T27,Finals!$K$2:$K$1801,0))),AND(A27&gt;Week,Q27&lt;&gt;"NA")),"",A27)</f>
        <v/>
      </c>
      <c r="V27" t="str">
        <f>IF(U27&lt;&gt;"",U27&amp;"-"&amp;COUNTIF(U$1:U27,U27),"")</f>
        <v/>
      </c>
    </row>
    <row r="28" spans="1:22" x14ac:dyDescent="0.25">
      <c r="A28">
        <v>4</v>
      </c>
      <c r="B28" t="s">
        <v>462</v>
      </c>
      <c r="C28" t="s">
        <v>5053</v>
      </c>
      <c r="D28">
        <v>1.93</v>
      </c>
      <c r="E28">
        <v>2.14</v>
      </c>
      <c r="F28">
        <v>2.98</v>
      </c>
      <c r="G28">
        <v>3.04</v>
      </c>
      <c r="H28">
        <v>9.39</v>
      </c>
      <c r="I28" t="s">
        <v>54</v>
      </c>
      <c r="J28">
        <v>6.0000000000000102E-2</v>
      </c>
      <c r="K28">
        <v>0.21</v>
      </c>
      <c r="L28">
        <v>8.6999999999999993</v>
      </c>
      <c r="M28">
        <v>13.31</v>
      </c>
      <c r="N28">
        <v>5.47</v>
      </c>
      <c r="O28">
        <v>3.92</v>
      </c>
      <c r="P28">
        <v>15.366400000000001</v>
      </c>
      <c r="Q28" t="str">
        <f>IFERROR(INDEX(Rosters!$C$2:$C$155,MATCH($B28,Rosters!$B$2:$B$155,0)),"NA")</f>
        <v>cory</v>
      </c>
      <c r="R28" t="str">
        <f t="shared" si="0"/>
        <v>cory4</v>
      </c>
      <c r="S28">
        <f>COUNTIFS(A$1:A28,A28)</f>
        <v>1</v>
      </c>
      <c r="T28" t="str">
        <f t="shared" si="1"/>
        <v>Wil Lutz4</v>
      </c>
      <c r="U28" t="str">
        <f>IF(OR(NOT(ISERROR(MATCH(T28,Finals!$K$2:$K$1801,0))),AND(A28&gt;Week,Q28&lt;&gt;"NA")),"",A28)</f>
        <v/>
      </c>
      <c r="V28" t="str">
        <f>IF(U28&lt;&gt;"",U28&amp;"-"&amp;COUNTIF(U$1:U28,U28),"")</f>
        <v/>
      </c>
    </row>
    <row r="29" spans="1:22" x14ac:dyDescent="0.25">
      <c r="A29">
        <v>15</v>
      </c>
      <c r="B29" t="s">
        <v>1121</v>
      </c>
      <c r="C29" t="s">
        <v>5054</v>
      </c>
      <c r="D29">
        <v>1.82</v>
      </c>
      <c r="E29">
        <v>2</v>
      </c>
      <c r="F29">
        <v>3.05</v>
      </c>
      <c r="G29">
        <v>3.13</v>
      </c>
      <c r="H29">
        <v>9.31</v>
      </c>
      <c r="I29" t="s">
        <v>24</v>
      </c>
      <c r="J29">
        <v>8.0000000000000099E-2</v>
      </c>
      <c r="K29">
        <v>0.18</v>
      </c>
      <c r="L29">
        <v>8.69</v>
      </c>
      <c r="M29">
        <v>13.02</v>
      </c>
      <c r="N29">
        <v>5.6</v>
      </c>
      <c r="O29">
        <v>3.71</v>
      </c>
      <c r="P29">
        <v>13.764099999999999</v>
      </c>
      <c r="Q29" t="str">
        <f>IFERROR(INDEX(Rosters!$C$2:$C$155,MATCH($B29,Rosters!$B$2:$B$155,0)),"NA")</f>
        <v>NA</v>
      </c>
      <c r="R29" t="str">
        <f t="shared" si="0"/>
        <v>NA15</v>
      </c>
      <c r="S29">
        <f>COUNTIFS(A$1:A29,A29)</f>
        <v>3</v>
      </c>
      <c r="T29" t="str">
        <f t="shared" si="1"/>
        <v>Caleb Sturgis15</v>
      </c>
      <c r="U29">
        <f>IF(OR(NOT(ISERROR(MATCH(T29,Finals!$K$2:$K$1801,0))),AND(A29&gt;Week,Q29&lt;&gt;"NA")),"",A29)</f>
        <v>15</v>
      </c>
      <c r="V29" t="str">
        <f>IF(U29&lt;&gt;"",U29&amp;"-"&amp;COUNTIF(U$1:U29,U29),"")</f>
        <v>15-2</v>
      </c>
    </row>
    <row r="30" spans="1:22" x14ac:dyDescent="0.25">
      <c r="A30">
        <v>5</v>
      </c>
      <c r="B30" t="s">
        <v>447</v>
      </c>
      <c r="C30" t="s">
        <v>9087</v>
      </c>
      <c r="D30">
        <v>1.92</v>
      </c>
      <c r="E30">
        <v>2.12</v>
      </c>
      <c r="F30">
        <v>2.48</v>
      </c>
      <c r="G30">
        <v>2.5099999999999998</v>
      </c>
      <c r="H30">
        <v>9.31</v>
      </c>
      <c r="I30" t="s">
        <v>52</v>
      </c>
      <c r="J30">
        <v>2.9999999999999801E-2</v>
      </c>
      <c r="K30">
        <v>0.2</v>
      </c>
      <c r="L30">
        <v>8.68</v>
      </c>
      <c r="M30">
        <v>14.16</v>
      </c>
      <c r="N30">
        <v>4.46</v>
      </c>
      <c r="O30">
        <v>4.8499999999999996</v>
      </c>
      <c r="P30">
        <v>23.522500000000001</v>
      </c>
      <c r="Q30" t="str">
        <f>IFERROR(INDEX(Rosters!$C$2:$C$155,MATCH($B30,Rosters!$B$2:$B$155,0)),"NA")</f>
        <v>chad</v>
      </c>
      <c r="R30" t="str">
        <f t="shared" si="0"/>
        <v>chad5</v>
      </c>
      <c r="S30">
        <f>COUNTIFS(A$1:A30,A30)</f>
        <v>3</v>
      </c>
      <c r="T30" t="str">
        <f t="shared" si="1"/>
        <v>Justin Tucker5</v>
      </c>
      <c r="U30" t="str">
        <f>IF(OR(NOT(ISERROR(MATCH(T30,Finals!$K$2:$K$1801,0))),AND(A30&gt;Week,Q30&lt;&gt;"NA")),"",A30)</f>
        <v/>
      </c>
      <c r="V30" t="str">
        <f>IF(U30&lt;&gt;"",U30&amp;"-"&amp;COUNTIF(U$1:U30,U30),"")</f>
        <v/>
      </c>
    </row>
    <row r="31" spans="1:22" x14ac:dyDescent="0.25">
      <c r="A31">
        <v>7</v>
      </c>
      <c r="B31" t="s">
        <v>447</v>
      </c>
      <c r="C31" t="s">
        <v>5055</v>
      </c>
      <c r="D31">
        <v>2</v>
      </c>
      <c r="E31">
        <v>2.2599999999999998</v>
      </c>
      <c r="F31">
        <v>2.5299999999999998</v>
      </c>
      <c r="G31">
        <v>2.5499999999999998</v>
      </c>
      <c r="H31">
        <v>9.48</v>
      </c>
      <c r="I31" t="s">
        <v>14</v>
      </c>
      <c r="J31">
        <v>0.02</v>
      </c>
      <c r="K31">
        <v>0.26</v>
      </c>
      <c r="L31">
        <v>8.68</v>
      </c>
      <c r="M31">
        <v>14.3</v>
      </c>
      <c r="N31">
        <v>4.66</v>
      </c>
      <c r="O31">
        <v>4.82</v>
      </c>
      <c r="P31">
        <v>23.232399999999998</v>
      </c>
      <c r="Q31" t="str">
        <f>IFERROR(INDEX(Rosters!$C$2:$C$155,MATCH($B31,Rosters!$B$2:$B$155,0)),"NA")</f>
        <v>chad</v>
      </c>
      <c r="R31" t="str">
        <f t="shared" si="0"/>
        <v>chad7</v>
      </c>
      <c r="S31">
        <f>COUNTIFS(A$1:A31,A31)</f>
        <v>4</v>
      </c>
      <c r="T31" t="str">
        <f t="shared" si="1"/>
        <v>Justin Tucker7</v>
      </c>
      <c r="U31" t="str">
        <f>IF(OR(NOT(ISERROR(MATCH(T31,Finals!$K$2:$K$1801,0))),AND(A31&gt;Week,Q31&lt;&gt;"NA")),"",A31)</f>
        <v/>
      </c>
      <c r="V31" t="str">
        <f>IF(U31&lt;&gt;"",U31&amp;"-"&amp;COUNTIF(U$1:U31,U31),"")</f>
        <v/>
      </c>
    </row>
    <row r="32" spans="1:22" x14ac:dyDescent="0.25">
      <c r="A32">
        <v>12</v>
      </c>
      <c r="B32" t="s">
        <v>447</v>
      </c>
      <c r="C32" t="s">
        <v>5056</v>
      </c>
      <c r="D32">
        <v>1.89</v>
      </c>
      <c r="E32">
        <v>2.14</v>
      </c>
      <c r="F32">
        <v>3.03</v>
      </c>
      <c r="G32">
        <v>3.07</v>
      </c>
      <c r="H32">
        <v>9.4499999999999993</v>
      </c>
      <c r="I32" t="s">
        <v>32</v>
      </c>
      <c r="J32">
        <v>0.04</v>
      </c>
      <c r="K32">
        <v>0.25</v>
      </c>
      <c r="L32">
        <v>8.66</v>
      </c>
      <c r="M32">
        <v>13.68</v>
      </c>
      <c r="N32">
        <v>5.22</v>
      </c>
      <c r="O32">
        <v>4.2300000000000004</v>
      </c>
      <c r="P32">
        <v>17.892900000000001</v>
      </c>
      <c r="Q32" t="str">
        <f>IFERROR(INDEX(Rosters!$C$2:$C$155,MATCH($B32,Rosters!$B$2:$B$155,0)),"NA")</f>
        <v>chad</v>
      </c>
      <c r="R32" t="str">
        <f t="shared" si="0"/>
        <v>chad12</v>
      </c>
      <c r="S32">
        <f>COUNTIFS(A$1:A32,A32)</f>
        <v>2</v>
      </c>
      <c r="T32" t="str">
        <f t="shared" si="1"/>
        <v>Justin Tucker12</v>
      </c>
      <c r="U32" t="str">
        <f>IF(OR(NOT(ISERROR(MATCH(T32,Finals!$K$2:$K$1801,0))),AND(A32&gt;Week,Q32&lt;&gt;"NA")),"",A32)</f>
        <v/>
      </c>
      <c r="V32" t="str">
        <f>IF(U32&lt;&gt;"",U32&amp;"-"&amp;COUNTIF(U$1:U32,U32),"")</f>
        <v/>
      </c>
    </row>
    <row r="33" spans="1:22" x14ac:dyDescent="0.25">
      <c r="A33">
        <v>9</v>
      </c>
      <c r="B33" t="s">
        <v>452</v>
      </c>
      <c r="C33" t="s">
        <v>5057</v>
      </c>
      <c r="D33">
        <v>1.93</v>
      </c>
      <c r="E33">
        <v>2.1800000000000002</v>
      </c>
      <c r="F33">
        <v>2.63</v>
      </c>
      <c r="G33">
        <v>2.63</v>
      </c>
      <c r="H33">
        <v>9.41</v>
      </c>
      <c r="I33" t="s">
        <v>32</v>
      </c>
      <c r="J33">
        <v>0</v>
      </c>
      <c r="K33">
        <v>0.25</v>
      </c>
      <c r="L33">
        <v>8.66</v>
      </c>
      <c r="M33">
        <v>13.88</v>
      </c>
      <c r="N33">
        <v>4.9400000000000004</v>
      </c>
      <c r="O33">
        <v>4.47</v>
      </c>
      <c r="P33">
        <v>19.980899999999998</v>
      </c>
      <c r="Q33" t="str">
        <f>IFERROR(INDEX(Rosters!$C$2:$C$155,MATCH($B33,Rosters!$B$2:$B$155,0)),"NA")</f>
        <v>matty</v>
      </c>
      <c r="R33" t="str">
        <f t="shared" si="0"/>
        <v>matty9</v>
      </c>
      <c r="S33">
        <f>COUNTIFS(A$1:A33,A33)</f>
        <v>3</v>
      </c>
      <c r="T33" t="str">
        <f t="shared" si="1"/>
        <v>Robbie Gould9</v>
      </c>
      <c r="U33" t="str">
        <f>IF(OR(NOT(ISERROR(MATCH(T33,Finals!$K$2:$K$1801,0))),AND(A33&gt;Week,Q33&lt;&gt;"NA")),"",A33)</f>
        <v/>
      </c>
      <c r="V33" t="str">
        <f>IF(U33&lt;&gt;"",U33&amp;"-"&amp;COUNTIF(U$1:U33,U33),"")</f>
        <v/>
      </c>
    </row>
    <row r="34" spans="1:22" x14ac:dyDescent="0.25">
      <c r="A34">
        <v>5</v>
      </c>
      <c r="B34" t="s">
        <v>452</v>
      </c>
      <c r="C34" t="s">
        <v>9066</v>
      </c>
      <c r="D34">
        <v>2</v>
      </c>
      <c r="E34">
        <v>2.2200000000000002</v>
      </c>
      <c r="F34">
        <v>2.35</v>
      </c>
      <c r="G34">
        <v>2.35</v>
      </c>
      <c r="H34">
        <v>9.3000000000000007</v>
      </c>
      <c r="I34" t="s">
        <v>58</v>
      </c>
      <c r="J34">
        <v>0</v>
      </c>
      <c r="K34">
        <v>0.22</v>
      </c>
      <c r="L34">
        <v>8.64</v>
      </c>
      <c r="M34">
        <v>14.96</v>
      </c>
      <c r="N34">
        <v>3.64</v>
      </c>
      <c r="O34">
        <v>5.66</v>
      </c>
      <c r="P34">
        <v>32.035600000000002</v>
      </c>
      <c r="Q34" t="str">
        <f>IFERROR(INDEX(Rosters!$C$2:$C$155,MATCH($B34,Rosters!$B$2:$B$155,0)),"NA")</f>
        <v>matty</v>
      </c>
      <c r="R34" t="str">
        <f t="shared" si="0"/>
        <v>matty5</v>
      </c>
      <c r="S34">
        <f>COUNTIFS(A$1:A34,A34)</f>
        <v>4</v>
      </c>
      <c r="T34" t="str">
        <f t="shared" si="1"/>
        <v>Robbie Gould5</v>
      </c>
      <c r="U34" t="str">
        <f>IF(OR(NOT(ISERROR(MATCH(T34,Finals!$K$2:$K$1801,0))),AND(A34&gt;Week,Q34&lt;&gt;"NA")),"",A34)</f>
        <v/>
      </c>
      <c r="V34" t="str">
        <f>IF(U34&lt;&gt;"",U34&amp;"-"&amp;COUNTIF(U$1:U34,U34),"")</f>
        <v/>
      </c>
    </row>
    <row r="35" spans="1:22" x14ac:dyDescent="0.25">
      <c r="A35">
        <v>13</v>
      </c>
      <c r="B35" t="s">
        <v>447</v>
      </c>
      <c r="C35" t="s">
        <v>5058</v>
      </c>
      <c r="D35">
        <v>1.97</v>
      </c>
      <c r="E35">
        <v>2.1800000000000002</v>
      </c>
      <c r="F35">
        <v>2.46</v>
      </c>
      <c r="G35">
        <v>2.46</v>
      </c>
      <c r="H35">
        <v>9.25</v>
      </c>
      <c r="I35" t="s">
        <v>46</v>
      </c>
      <c r="J35">
        <v>0</v>
      </c>
      <c r="K35">
        <v>0.21</v>
      </c>
      <c r="L35">
        <v>8.6199999999999992</v>
      </c>
      <c r="M35">
        <v>13.04</v>
      </c>
      <c r="N35">
        <v>5.46</v>
      </c>
      <c r="O35">
        <v>3.79</v>
      </c>
      <c r="P35">
        <v>14.364100000000001</v>
      </c>
      <c r="Q35" t="str">
        <f>IFERROR(INDEX(Rosters!$C$2:$C$155,MATCH($B35,Rosters!$B$2:$B$155,0)),"NA")</f>
        <v>chad</v>
      </c>
      <c r="R35" t="str">
        <f t="shared" si="0"/>
        <v>chad13</v>
      </c>
      <c r="S35">
        <f>COUNTIFS(A$1:A35,A35)</f>
        <v>1</v>
      </c>
      <c r="T35" t="str">
        <f t="shared" si="1"/>
        <v>Justin Tucker13</v>
      </c>
      <c r="U35" t="str">
        <f>IF(OR(NOT(ISERROR(MATCH(T35,Finals!$K$2:$K$1801,0))),AND(A35&gt;Week,Q35&lt;&gt;"NA")),"",A35)</f>
        <v/>
      </c>
      <c r="V35" t="str">
        <f>IF(U35&lt;&gt;"",U35&amp;"-"&amp;COUNTIF(U$1:U35,U35),"")</f>
        <v/>
      </c>
    </row>
    <row r="36" spans="1:22" x14ac:dyDescent="0.25">
      <c r="A36">
        <v>10</v>
      </c>
      <c r="B36" t="s">
        <v>1121</v>
      </c>
      <c r="C36" t="s">
        <v>5059</v>
      </c>
      <c r="D36">
        <v>1.8</v>
      </c>
      <c r="E36">
        <v>1.94</v>
      </c>
      <c r="F36">
        <v>2.93</v>
      </c>
      <c r="G36">
        <v>3.01</v>
      </c>
      <c r="H36">
        <v>9.1</v>
      </c>
      <c r="I36" t="s">
        <v>32</v>
      </c>
      <c r="J36">
        <v>7.9999999999999599E-2</v>
      </c>
      <c r="K36">
        <v>0.14000000000000001</v>
      </c>
      <c r="L36">
        <v>8.6</v>
      </c>
      <c r="M36">
        <v>12.7</v>
      </c>
      <c r="N36">
        <v>5.5</v>
      </c>
      <c r="O36">
        <v>3.6</v>
      </c>
      <c r="P36">
        <v>12.96</v>
      </c>
      <c r="Q36" t="str">
        <f>IFERROR(INDEX(Rosters!$C$2:$C$155,MATCH($B36,Rosters!$B$2:$B$155,0)),"NA")</f>
        <v>NA</v>
      </c>
      <c r="R36" t="str">
        <f t="shared" si="0"/>
        <v>NA10</v>
      </c>
      <c r="S36">
        <f>COUNTIFS(A$1:A36,A36)</f>
        <v>1</v>
      </c>
      <c r="T36" t="str">
        <f t="shared" si="1"/>
        <v>Caleb Sturgis10</v>
      </c>
      <c r="U36">
        <f>IF(OR(NOT(ISERROR(MATCH(T36,Finals!$K$2:$K$1801,0))),AND(A36&gt;Week,Q36&lt;&gt;"NA")),"",A36)</f>
        <v>10</v>
      </c>
      <c r="V36" t="str">
        <f>IF(U36&lt;&gt;"",U36&amp;"-"&amp;COUNTIF(U$1:U36,U36),"")</f>
        <v>10-1</v>
      </c>
    </row>
    <row r="37" spans="1:22" x14ac:dyDescent="0.25">
      <c r="A37">
        <v>2</v>
      </c>
      <c r="B37" t="s">
        <v>449</v>
      </c>
      <c r="C37" t="s">
        <v>3579</v>
      </c>
      <c r="D37">
        <v>1.9</v>
      </c>
      <c r="E37">
        <v>2.11</v>
      </c>
      <c r="F37">
        <v>2.46</v>
      </c>
      <c r="G37">
        <v>2.46</v>
      </c>
      <c r="H37">
        <v>9.2200000000000006</v>
      </c>
      <c r="I37" t="s">
        <v>74</v>
      </c>
      <c r="J37">
        <v>0</v>
      </c>
      <c r="K37">
        <v>0.21</v>
      </c>
      <c r="L37">
        <v>8.59</v>
      </c>
      <c r="M37">
        <v>13.31</v>
      </c>
      <c r="N37">
        <v>5.13</v>
      </c>
      <c r="O37">
        <v>4.09</v>
      </c>
      <c r="P37">
        <v>16.728100000000001</v>
      </c>
      <c r="Q37" t="str">
        <f>IFERROR(INDEX(Rosters!$C$2:$C$155,MATCH($B37,Rosters!$B$2:$B$155,0)),"NA")</f>
        <v>lucas</v>
      </c>
      <c r="R37" t="str">
        <f t="shared" si="0"/>
        <v>lucas2</v>
      </c>
      <c r="S37">
        <f>COUNTIFS(A$1:A37,A37)</f>
        <v>5</v>
      </c>
      <c r="T37" t="str">
        <f t="shared" si="1"/>
        <v>Matt Bryant2</v>
      </c>
      <c r="U37" t="str">
        <f>IF(OR(NOT(ISERROR(MATCH(T37,Finals!$K$2:$K$1801,0))),AND(A37&gt;Week,Q37&lt;&gt;"NA")),"",A37)</f>
        <v/>
      </c>
      <c r="V37" t="str">
        <f>IF(U37&lt;&gt;"",U37&amp;"-"&amp;COUNTIF(U$1:U37,U37),"")</f>
        <v/>
      </c>
    </row>
    <row r="38" spans="1:22" x14ac:dyDescent="0.25">
      <c r="A38">
        <v>9</v>
      </c>
      <c r="B38" t="s">
        <v>449</v>
      </c>
      <c r="C38" t="s">
        <v>5060</v>
      </c>
      <c r="D38">
        <v>1.88</v>
      </c>
      <c r="E38">
        <v>2.1</v>
      </c>
      <c r="F38">
        <v>2.8</v>
      </c>
      <c r="G38">
        <v>2.82</v>
      </c>
      <c r="H38">
        <v>9.24</v>
      </c>
      <c r="I38" t="s">
        <v>60</v>
      </c>
      <c r="J38">
        <v>0.02</v>
      </c>
      <c r="K38">
        <v>0.22</v>
      </c>
      <c r="L38">
        <v>8.56</v>
      </c>
      <c r="M38">
        <v>12.64</v>
      </c>
      <c r="N38">
        <v>5.84</v>
      </c>
      <c r="O38">
        <v>3.4</v>
      </c>
      <c r="P38">
        <v>11.56</v>
      </c>
      <c r="Q38" t="str">
        <f>IFERROR(INDEX(Rosters!$C$2:$C$155,MATCH($B38,Rosters!$B$2:$B$155,0)),"NA")</f>
        <v>lucas</v>
      </c>
      <c r="R38" t="str">
        <f t="shared" si="0"/>
        <v>lucas9</v>
      </c>
      <c r="S38">
        <f>COUNTIFS(A$1:A38,A38)</f>
        <v>4</v>
      </c>
      <c r="T38" t="str">
        <f t="shared" si="1"/>
        <v>Matt Bryant9</v>
      </c>
      <c r="U38" t="str">
        <f>IF(OR(NOT(ISERROR(MATCH(T38,Finals!$K$2:$K$1801,0))),AND(A38&gt;Week,Q38&lt;&gt;"NA")),"",A38)</f>
        <v/>
      </c>
      <c r="V38" t="str">
        <f>IF(U38&lt;&gt;"",U38&amp;"-"&amp;COUNTIF(U$1:U38,U38),"")</f>
        <v/>
      </c>
    </row>
    <row r="39" spans="1:22" x14ac:dyDescent="0.25">
      <c r="A39">
        <v>3</v>
      </c>
      <c r="B39" t="s">
        <v>462</v>
      </c>
      <c r="C39" t="s">
        <v>4366</v>
      </c>
      <c r="D39">
        <v>1.69</v>
      </c>
      <c r="E39">
        <v>1.83</v>
      </c>
      <c r="F39">
        <v>3.28</v>
      </c>
      <c r="G39">
        <v>3.35</v>
      </c>
      <c r="H39">
        <v>9.0299999999999994</v>
      </c>
      <c r="I39" t="s">
        <v>46</v>
      </c>
      <c r="J39">
        <v>7.0000000000000298E-2</v>
      </c>
      <c r="K39">
        <v>0.14000000000000001</v>
      </c>
      <c r="L39">
        <v>8.5399999999999991</v>
      </c>
      <c r="M39">
        <v>12.95</v>
      </c>
      <c r="N39">
        <v>5.1100000000000003</v>
      </c>
      <c r="O39">
        <v>3.92</v>
      </c>
      <c r="P39">
        <v>15.366400000000001</v>
      </c>
      <c r="Q39" t="str">
        <f>IFERROR(INDEX(Rosters!$C$2:$C$155,MATCH($B39,Rosters!$B$2:$B$155,0)),"NA")</f>
        <v>cory</v>
      </c>
      <c r="R39" t="str">
        <f t="shared" si="0"/>
        <v>cory3</v>
      </c>
      <c r="S39">
        <f>COUNTIFS(A$1:A39,A39)</f>
        <v>3</v>
      </c>
      <c r="T39" t="str">
        <f t="shared" si="1"/>
        <v>Wil Lutz3</v>
      </c>
      <c r="U39" t="str">
        <f>IF(OR(NOT(ISERROR(MATCH(T39,Finals!$K$2:$K$1801,0))),AND(A39&gt;Week,Q39&lt;&gt;"NA")),"",A39)</f>
        <v/>
      </c>
      <c r="V39" t="str">
        <f>IF(U39&lt;&gt;"",U39&amp;"-"&amp;COUNTIF(U$1:U39,U39),"")</f>
        <v/>
      </c>
    </row>
    <row r="40" spans="1:22" x14ac:dyDescent="0.25">
      <c r="A40">
        <v>11</v>
      </c>
      <c r="B40" t="s">
        <v>456</v>
      </c>
      <c r="C40" t="s">
        <v>5061</v>
      </c>
      <c r="D40">
        <v>1.96</v>
      </c>
      <c r="E40">
        <v>2.2200000000000002</v>
      </c>
      <c r="F40">
        <v>2.5299999999999998</v>
      </c>
      <c r="G40">
        <v>2.5299999999999998</v>
      </c>
      <c r="H40">
        <v>9.2799999999999994</v>
      </c>
      <c r="I40" t="s">
        <v>34</v>
      </c>
      <c r="J40">
        <v>0</v>
      </c>
      <c r="K40">
        <v>0.26</v>
      </c>
      <c r="L40">
        <v>8.5</v>
      </c>
      <c r="M40">
        <v>13.44</v>
      </c>
      <c r="N40">
        <v>5.12</v>
      </c>
      <c r="O40">
        <v>4.16</v>
      </c>
      <c r="P40">
        <v>17.305599999999998</v>
      </c>
      <c r="Q40" t="str">
        <f>IFERROR(INDEX(Rosters!$C$2:$C$155,MATCH($B40,Rosters!$B$2:$B$155,0)),"NA")</f>
        <v>NA</v>
      </c>
      <c r="R40" t="str">
        <f t="shared" si="0"/>
        <v>NA11</v>
      </c>
      <c r="S40">
        <f>COUNTIFS(A$1:A40,A40)</f>
        <v>2</v>
      </c>
      <c r="T40" t="str">
        <f t="shared" si="1"/>
        <v>Graham Gano11</v>
      </c>
      <c r="U40">
        <f>IF(OR(NOT(ISERROR(MATCH(T40,Finals!$K$2:$K$1801,0))),AND(A40&gt;Week,Q40&lt;&gt;"NA")),"",A40)</f>
        <v>11</v>
      </c>
      <c r="V40" t="str">
        <f>IF(U40&lt;&gt;"",U40&amp;"-"&amp;COUNTIF(U$1:U40,U40),"")</f>
        <v>11-1</v>
      </c>
    </row>
    <row r="41" spans="1:22" x14ac:dyDescent="0.25">
      <c r="A41">
        <v>16</v>
      </c>
      <c r="B41" t="s">
        <v>4164</v>
      </c>
      <c r="C41" t="s">
        <v>5062</v>
      </c>
      <c r="D41">
        <v>1.9</v>
      </c>
      <c r="E41">
        <v>2.15</v>
      </c>
      <c r="F41">
        <v>2.71</v>
      </c>
      <c r="G41">
        <v>2.79</v>
      </c>
      <c r="H41">
        <v>9.32</v>
      </c>
      <c r="I41" t="s">
        <v>17</v>
      </c>
      <c r="J41">
        <v>8.0000000000000099E-2</v>
      </c>
      <c r="K41">
        <v>0.25</v>
      </c>
      <c r="L41">
        <v>8.49</v>
      </c>
      <c r="M41">
        <v>13.82</v>
      </c>
      <c r="N41">
        <v>4.82</v>
      </c>
      <c r="O41">
        <v>4.5</v>
      </c>
      <c r="P41">
        <v>20.25</v>
      </c>
      <c r="Q41" t="str">
        <f>IFERROR(INDEX(Rosters!$C$2:$C$155,MATCH($B41,Rosters!$B$2:$B$155,0)),"NA")</f>
        <v>NA</v>
      </c>
      <c r="R41" t="str">
        <f t="shared" si="0"/>
        <v>NA16</v>
      </c>
      <c r="S41">
        <f>COUNTIFS(A$1:A41,A41)</f>
        <v>1</v>
      </c>
      <c r="T41" t="str">
        <f t="shared" si="1"/>
        <v>Brett Maher16</v>
      </c>
      <c r="U41">
        <f>IF(OR(NOT(ISERROR(MATCH(T41,Finals!$K$2:$K$1801,0))),AND(A41&gt;Week,Q41&lt;&gt;"NA")),"",A41)</f>
        <v>16</v>
      </c>
      <c r="V41" t="str">
        <f>IF(U41&lt;&gt;"",U41&amp;"-"&amp;COUNTIF(U$1:U41,U41),"")</f>
        <v>16-1</v>
      </c>
    </row>
    <row r="42" spans="1:22" x14ac:dyDescent="0.25">
      <c r="A42">
        <v>4</v>
      </c>
      <c r="B42" t="s">
        <v>1119</v>
      </c>
      <c r="C42" t="s">
        <v>5063</v>
      </c>
      <c r="D42">
        <v>2.08</v>
      </c>
      <c r="E42">
        <v>2.35</v>
      </c>
      <c r="F42">
        <v>2.8</v>
      </c>
      <c r="G42">
        <v>2.8</v>
      </c>
      <c r="H42">
        <v>9.3000000000000007</v>
      </c>
      <c r="I42" t="s">
        <v>73</v>
      </c>
      <c r="J42">
        <v>0</v>
      </c>
      <c r="K42">
        <v>0.27</v>
      </c>
      <c r="L42">
        <v>8.49</v>
      </c>
      <c r="M42">
        <v>15.38</v>
      </c>
      <c r="N42">
        <v>3.22</v>
      </c>
      <c r="O42">
        <v>6.08</v>
      </c>
      <c r="P42">
        <v>36.9664</v>
      </c>
      <c r="Q42" t="str">
        <f>IFERROR(INDEX(Rosters!$C$2:$C$155,MATCH($B42,Rosters!$B$2:$B$155,0)),"NA")</f>
        <v>scott</v>
      </c>
      <c r="R42" t="str">
        <f t="shared" si="0"/>
        <v>scott4</v>
      </c>
      <c r="S42">
        <f>COUNTIFS(A$1:A42,A42)</f>
        <v>2</v>
      </c>
      <c r="T42" t="str">
        <f t="shared" si="1"/>
        <v>Josh Lambo4</v>
      </c>
      <c r="U42">
        <f>IF(OR(NOT(ISERROR(MATCH(T42,Finals!$K$2:$K$1801,0))),AND(A42&gt;Week,Q42&lt;&gt;"NA")),"",A42)</f>
        <v>4</v>
      </c>
      <c r="V42" t="str">
        <f>IF(U42&lt;&gt;"",U42&amp;"-"&amp;COUNTIF(U$1:U42,U42),"")</f>
        <v>4-1</v>
      </c>
    </row>
    <row r="43" spans="1:22" x14ac:dyDescent="0.25">
      <c r="A43">
        <v>5</v>
      </c>
      <c r="B43" t="s">
        <v>462</v>
      </c>
      <c r="C43" t="s">
        <v>9088</v>
      </c>
      <c r="D43">
        <v>1.87</v>
      </c>
      <c r="E43">
        <v>2.14</v>
      </c>
      <c r="F43">
        <v>2.82</v>
      </c>
      <c r="G43">
        <v>2.9</v>
      </c>
      <c r="H43">
        <v>9.3800000000000008</v>
      </c>
      <c r="I43" t="s">
        <v>60</v>
      </c>
      <c r="J43">
        <v>8.0000000000000099E-2</v>
      </c>
      <c r="K43">
        <v>0.27</v>
      </c>
      <c r="L43">
        <v>8.49</v>
      </c>
      <c r="M43">
        <v>13.58</v>
      </c>
      <c r="N43">
        <v>5.18</v>
      </c>
      <c r="O43">
        <v>4.2</v>
      </c>
      <c r="P43">
        <v>17.64</v>
      </c>
      <c r="Q43" t="str">
        <f>IFERROR(INDEX(Rosters!$C$2:$C$155,MATCH($B43,Rosters!$B$2:$B$155,0)),"NA")</f>
        <v>cory</v>
      </c>
      <c r="R43" t="str">
        <f t="shared" si="0"/>
        <v>cory5</v>
      </c>
      <c r="S43">
        <f>COUNTIFS(A$1:A43,A43)</f>
        <v>5</v>
      </c>
      <c r="T43" t="str">
        <f t="shared" si="1"/>
        <v>Wil Lutz5</v>
      </c>
      <c r="U43" t="str">
        <f>IF(OR(NOT(ISERROR(MATCH(T43,Finals!$K$2:$K$1801,0))),AND(A43&gt;Week,Q43&lt;&gt;"NA")),"",A43)</f>
        <v/>
      </c>
      <c r="V43" t="str">
        <f>IF(U43&lt;&gt;"",U43&amp;"-"&amp;COUNTIF(U$1:U43,U43),"")</f>
        <v/>
      </c>
    </row>
    <row r="44" spans="1:22" x14ac:dyDescent="0.25">
      <c r="A44">
        <v>13</v>
      </c>
      <c r="B44" t="s">
        <v>5064</v>
      </c>
      <c r="C44" t="s">
        <v>5065</v>
      </c>
      <c r="D44">
        <v>2.14</v>
      </c>
      <c r="E44">
        <v>2.69</v>
      </c>
      <c r="F44">
        <v>3</v>
      </c>
      <c r="G44">
        <v>3.08</v>
      </c>
      <c r="H44">
        <v>10.210000000000001</v>
      </c>
      <c r="I44" t="s">
        <v>24</v>
      </c>
      <c r="J44">
        <v>8.0000000000000099E-2</v>
      </c>
      <c r="K44">
        <v>0.55000000000000004</v>
      </c>
      <c r="L44">
        <v>8.48</v>
      </c>
      <c r="M44">
        <v>13.9</v>
      </c>
      <c r="N44">
        <v>6.52</v>
      </c>
      <c r="O44">
        <v>3.69</v>
      </c>
      <c r="P44">
        <v>13.616099999999999</v>
      </c>
      <c r="Q44" t="str">
        <f>IFERROR(INDEX(Rosters!$C$2:$C$155,MATCH($B44,Rosters!$B$2:$B$155,0)),"NA")</f>
        <v>NA</v>
      </c>
      <c r="R44" t="str">
        <f t="shared" si="0"/>
        <v>NA13</v>
      </c>
      <c r="S44">
        <f>COUNTIFS(A$1:A44,A44)</f>
        <v>2</v>
      </c>
      <c r="T44" t="str">
        <f t="shared" si="1"/>
        <v>Matt McCrane13</v>
      </c>
      <c r="U44">
        <f>IF(OR(NOT(ISERROR(MATCH(T44,Finals!$K$2:$K$1801,0))),AND(A44&gt;Week,Q44&lt;&gt;"NA")),"",A44)</f>
        <v>13</v>
      </c>
      <c r="V44" t="str">
        <f>IF(U44&lt;&gt;"",U44&amp;"-"&amp;COUNTIF(U$1:U44,U44),"")</f>
        <v>13-1</v>
      </c>
    </row>
    <row r="45" spans="1:22" x14ac:dyDescent="0.25">
      <c r="A45">
        <v>12</v>
      </c>
      <c r="B45" t="s">
        <v>449</v>
      </c>
      <c r="C45" t="s">
        <v>5066</v>
      </c>
      <c r="D45">
        <v>1.64</v>
      </c>
      <c r="E45">
        <v>1.75</v>
      </c>
      <c r="F45">
        <v>3.17</v>
      </c>
      <c r="G45">
        <v>3.17</v>
      </c>
      <c r="H45">
        <v>8.81</v>
      </c>
      <c r="I45" t="s">
        <v>14</v>
      </c>
      <c r="J45">
        <v>0</v>
      </c>
      <c r="K45">
        <v>0.11</v>
      </c>
      <c r="L45">
        <v>8.48</v>
      </c>
      <c r="M45">
        <v>12.35</v>
      </c>
      <c r="N45">
        <v>5.27</v>
      </c>
      <c r="O45">
        <v>3.54</v>
      </c>
      <c r="P45">
        <v>12.531599999999999</v>
      </c>
      <c r="Q45" t="str">
        <f>IFERROR(INDEX(Rosters!$C$2:$C$155,MATCH($B45,Rosters!$B$2:$B$155,0)),"NA")</f>
        <v>lucas</v>
      </c>
      <c r="R45" t="str">
        <f t="shared" si="0"/>
        <v>lucas12</v>
      </c>
      <c r="S45">
        <f>COUNTIFS(A$1:A45,A45)</f>
        <v>3</v>
      </c>
      <c r="T45" t="str">
        <f t="shared" si="1"/>
        <v>Matt Bryant12</v>
      </c>
      <c r="U45" t="str">
        <f>IF(OR(NOT(ISERROR(MATCH(T45,Finals!$K$2:$K$1801,0))),AND(A45&gt;Week,Q45&lt;&gt;"NA")),"",A45)</f>
        <v/>
      </c>
      <c r="V45" t="str">
        <f>IF(U45&lt;&gt;"",U45&amp;"-"&amp;COUNTIF(U$1:U45,U45),"")</f>
        <v/>
      </c>
    </row>
    <row r="46" spans="1:22" x14ac:dyDescent="0.25">
      <c r="A46">
        <v>10</v>
      </c>
      <c r="B46" t="s">
        <v>464</v>
      </c>
      <c r="C46" t="s">
        <v>5067</v>
      </c>
      <c r="D46">
        <v>1.88</v>
      </c>
      <c r="E46">
        <v>2.1800000000000002</v>
      </c>
      <c r="F46">
        <v>2.86</v>
      </c>
      <c r="G46">
        <v>2.88</v>
      </c>
      <c r="H46">
        <v>9.39</v>
      </c>
      <c r="I46" t="s">
        <v>28</v>
      </c>
      <c r="J46">
        <v>0.02</v>
      </c>
      <c r="K46">
        <v>0.3</v>
      </c>
      <c r="L46">
        <v>8.4700000000000006</v>
      </c>
      <c r="M46">
        <v>14.35</v>
      </c>
      <c r="N46">
        <v>4.43</v>
      </c>
      <c r="O46">
        <v>4.96</v>
      </c>
      <c r="P46">
        <v>24.601600000000001</v>
      </c>
      <c r="Q46" t="str">
        <f>IFERROR(INDEX(Rosters!$C$2:$C$155,MATCH($B46,Rosters!$B$2:$B$155,0)),"NA")</f>
        <v>NA</v>
      </c>
      <c r="R46" t="str">
        <f t="shared" si="0"/>
        <v>NA10</v>
      </c>
      <c r="S46">
        <f>COUNTIFS(A$1:A46,A46)</f>
        <v>2</v>
      </c>
      <c r="T46" t="str">
        <f t="shared" si="1"/>
        <v>Greg Zuerlein10</v>
      </c>
      <c r="U46">
        <f>IF(OR(NOT(ISERROR(MATCH(T46,Finals!$K$2:$K$1801,0))),AND(A46&gt;Week,Q46&lt;&gt;"NA")),"",A46)</f>
        <v>10</v>
      </c>
      <c r="V46" t="str">
        <f>IF(U46&lt;&gt;"",U46&amp;"-"&amp;COUNTIF(U$1:U46,U46),"")</f>
        <v>10-2</v>
      </c>
    </row>
    <row r="47" spans="1:22" x14ac:dyDescent="0.25">
      <c r="A47">
        <v>4</v>
      </c>
      <c r="B47" t="s">
        <v>447</v>
      </c>
      <c r="C47" t="s">
        <v>5068</v>
      </c>
      <c r="D47">
        <v>1.99</v>
      </c>
      <c r="E47">
        <v>2.21</v>
      </c>
      <c r="F47">
        <v>2.64</v>
      </c>
      <c r="G47">
        <v>2.66</v>
      </c>
      <c r="H47">
        <v>9.15</v>
      </c>
      <c r="I47" t="s">
        <v>51</v>
      </c>
      <c r="J47">
        <v>0.02</v>
      </c>
      <c r="K47">
        <v>0.22</v>
      </c>
      <c r="L47">
        <v>8.4700000000000006</v>
      </c>
      <c r="M47">
        <v>13.79</v>
      </c>
      <c r="N47">
        <v>4.51</v>
      </c>
      <c r="O47">
        <v>4.6399999999999997</v>
      </c>
      <c r="P47">
        <v>21.529599999999999</v>
      </c>
      <c r="Q47" t="str">
        <f>IFERROR(INDEX(Rosters!$C$2:$C$155,MATCH($B47,Rosters!$B$2:$B$155,0)),"NA")</f>
        <v>chad</v>
      </c>
      <c r="R47" t="str">
        <f t="shared" si="0"/>
        <v>chad4</v>
      </c>
      <c r="S47">
        <f>COUNTIFS(A$1:A47,A47)</f>
        <v>3</v>
      </c>
      <c r="T47" t="str">
        <f t="shared" si="1"/>
        <v>Justin Tucker4</v>
      </c>
      <c r="U47" t="str">
        <f>IF(OR(NOT(ISERROR(MATCH(T47,Finals!$K$2:$K$1801,0))),AND(A47&gt;Week,Q47&lt;&gt;"NA")),"",A47)</f>
        <v/>
      </c>
      <c r="V47" t="str">
        <f>IF(U47&lt;&gt;"",U47&amp;"-"&amp;COUNTIF(U$1:U47,U47),"")</f>
        <v/>
      </c>
    </row>
    <row r="48" spans="1:22" x14ac:dyDescent="0.25">
      <c r="A48">
        <v>5</v>
      </c>
      <c r="B48" t="s">
        <v>449</v>
      </c>
      <c r="C48" t="s">
        <v>9089</v>
      </c>
      <c r="D48">
        <v>1.76</v>
      </c>
      <c r="E48">
        <v>1.94</v>
      </c>
      <c r="F48">
        <v>2.93</v>
      </c>
      <c r="G48">
        <v>2.93</v>
      </c>
      <c r="H48">
        <v>8.99</v>
      </c>
      <c r="I48" t="s">
        <v>51</v>
      </c>
      <c r="J48">
        <v>0</v>
      </c>
      <c r="K48">
        <v>0.18</v>
      </c>
      <c r="L48">
        <v>8.4499999999999993</v>
      </c>
      <c r="M48">
        <v>12.23</v>
      </c>
      <c r="N48">
        <v>5.75</v>
      </c>
      <c r="O48">
        <v>3.24</v>
      </c>
      <c r="P48">
        <v>10.4976</v>
      </c>
      <c r="Q48" t="str">
        <f>IFERROR(INDEX(Rosters!$C$2:$C$155,MATCH($B48,Rosters!$B$2:$B$155,0)),"NA")</f>
        <v>lucas</v>
      </c>
      <c r="R48" t="str">
        <f t="shared" si="0"/>
        <v>lucas5</v>
      </c>
      <c r="S48">
        <f>COUNTIFS(A$1:A48,A48)</f>
        <v>6</v>
      </c>
      <c r="T48" t="str">
        <f t="shared" si="1"/>
        <v>Matt Bryant5</v>
      </c>
      <c r="U48" t="str">
        <f>IF(OR(NOT(ISERROR(MATCH(T48,Finals!$K$2:$K$1801,0))),AND(A48&gt;Week,Q48&lt;&gt;"NA")),"",A48)</f>
        <v/>
      </c>
      <c r="V48" t="str">
        <f>IF(U48&lt;&gt;"",U48&amp;"-"&amp;COUNTIF(U$1:U48,U48),"")</f>
        <v/>
      </c>
    </row>
    <row r="49" spans="1:22" x14ac:dyDescent="0.25">
      <c r="A49">
        <v>3</v>
      </c>
      <c r="B49" t="s">
        <v>447</v>
      </c>
      <c r="C49" t="s">
        <v>4367</v>
      </c>
      <c r="D49">
        <v>2.06</v>
      </c>
      <c r="E49">
        <v>2.36</v>
      </c>
      <c r="F49">
        <v>1.81</v>
      </c>
      <c r="G49">
        <v>1.86</v>
      </c>
      <c r="H49">
        <v>9.4</v>
      </c>
      <c r="I49" t="s">
        <v>42</v>
      </c>
      <c r="J49">
        <v>0.05</v>
      </c>
      <c r="K49">
        <v>0.3</v>
      </c>
      <c r="L49">
        <v>8.4499999999999993</v>
      </c>
      <c r="M49">
        <v>14.84</v>
      </c>
      <c r="N49">
        <v>3.96</v>
      </c>
      <c r="O49">
        <v>5.44</v>
      </c>
      <c r="P49">
        <v>29.593599999999999</v>
      </c>
      <c r="Q49" t="str">
        <f>IFERROR(INDEX(Rosters!$C$2:$C$155,MATCH($B49,Rosters!$B$2:$B$155,0)),"NA")</f>
        <v>chad</v>
      </c>
      <c r="R49" t="str">
        <f t="shared" si="0"/>
        <v>chad3</v>
      </c>
      <c r="S49">
        <f>COUNTIFS(A$1:A49,A49)</f>
        <v>4</v>
      </c>
      <c r="T49" t="str">
        <f t="shared" si="1"/>
        <v>Justin Tucker3</v>
      </c>
      <c r="U49" t="str">
        <f>IF(OR(NOT(ISERROR(MATCH(T49,Finals!$K$2:$K$1801,0))),AND(A49&gt;Week,Q49&lt;&gt;"NA")),"",A49)</f>
        <v/>
      </c>
      <c r="V49" t="str">
        <f>IF(U49&lt;&gt;"",U49&amp;"-"&amp;COUNTIF(U$1:U49,U49),"")</f>
        <v/>
      </c>
    </row>
    <row r="50" spans="1:22" x14ac:dyDescent="0.25">
      <c r="A50">
        <v>5</v>
      </c>
      <c r="B50" t="s">
        <v>446</v>
      </c>
      <c r="C50" t="s">
        <v>9090</v>
      </c>
      <c r="D50">
        <v>1.95</v>
      </c>
      <c r="E50">
        <v>2.34</v>
      </c>
      <c r="F50">
        <v>2.75</v>
      </c>
      <c r="G50">
        <v>2.75</v>
      </c>
      <c r="H50">
        <v>9.6199999999999992</v>
      </c>
      <c r="I50" t="s">
        <v>66</v>
      </c>
      <c r="J50">
        <v>0</v>
      </c>
      <c r="K50">
        <v>0.39</v>
      </c>
      <c r="L50">
        <v>8.4499999999999993</v>
      </c>
      <c r="M50">
        <v>13.66</v>
      </c>
      <c r="N50">
        <v>5.58</v>
      </c>
      <c r="O50">
        <v>4.04</v>
      </c>
      <c r="P50">
        <v>16.3216</v>
      </c>
      <c r="Q50" t="str">
        <f>IFERROR(INDEX(Rosters!$C$2:$C$155,MATCH($B50,Rosters!$B$2:$B$155,0)),"NA")</f>
        <v>comp</v>
      </c>
      <c r="R50" t="str">
        <f t="shared" si="0"/>
        <v>comp5</v>
      </c>
      <c r="S50">
        <f>COUNTIFS(A$1:A50,A50)</f>
        <v>7</v>
      </c>
      <c r="T50" t="str">
        <f t="shared" si="1"/>
        <v>Stephen Gostkowski5</v>
      </c>
      <c r="U50" t="str">
        <f>IF(OR(NOT(ISERROR(MATCH(T50,Finals!$K$2:$K$1801,0))),AND(A50&gt;Week,Q50&lt;&gt;"NA")),"",A50)</f>
        <v/>
      </c>
      <c r="V50" t="str">
        <f>IF(U50&lt;&gt;"",U50&amp;"-"&amp;COUNTIF(U$1:U50,U50),"")</f>
        <v/>
      </c>
    </row>
    <row r="51" spans="1:22" x14ac:dyDescent="0.25">
      <c r="A51">
        <v>1</v>
      </c>
      <c r="B51" t="s">
        <v>450</v>
      </c>
      <c r="C51" t="s">
        <v>1215</v>
      </c>
      <c r="D51">
        <v>2.06</v>
      </c>
      <c r="E51">
        <v>2.34</v>
      </c>
      <c r="F51">
        <v>2.37</v>
      </c>
      <c r="G51">
        <v>2.37</v>
      </c>
      <c r="H51">
        <v>9.2799999999999994</v>
      </c>
      <c r="I51" t="s">
        <v>73</v>
      </c>
      <c r="J51">
        <v>0</v>
      </c>
      <c r="K51">
        <v>0.28000000000000003</v>
      </c>
      <c r="L51">
        <v>8.44</v>
      </c>
      <c r="M51">
        <v>13.83</v>
      </c>
      <c r="N51">
        <v>4.7300000000000004</v>
      </c>
      <c r="O51">
        <v>4.55</v>
      </c>
      <c r="P51">
        <v>20.702500000000001</v>
      </c>
      <c r="Q51" t="str">
        <f>IFERROR(INDEX(Rosters!$C$2:$C$155,MATCH($B51,Rosters!$B$2:$B$155,0)),"NA")</f>
        <v>devon</v>
      </c>
      <c r="R51" t="str">
        <f t="shared" si="0"/>
        <v>devon1</v>
      </c>
      <c r="S51">
        <f>COUNTIFS(A$1:A51,A51)</f>
        <v>5</v>
      </c>
      <c r="T51" t="str">
        <f t="shared" si="1"/>
        <v>Matt Prater1</v>
      </c>
      <c r="U51" t="str">
        <f>IF(OR(NOT(ISERROR(MATCH(T51,Finals!$K$2:$K$1801,0))),AND(A51&gt;Week,Q51&lt;&gt;"NA")),"",A51)</f>
        <v/>
      </c>
      <c r="V51" t="str">
        <f>IF(U51&lt;&gt;"",U51&amp;"-"&amp;COUNTIF(U$1:U51,U51),"")</f>
        <v/>
      </c>
    </row>
    <row r="52" spans="1:22" x14ac:dyDescent="0.25">
      <c r="A52">
        <v>4</v>
      </c>
      <c r="B52" t="s">
        <v>446</v>
      </c>
      <c r="C52" t="s">
        <v>5069</v>
      </c>
      <c r="D52">
        <v>2.15</v>
      </c>
      <c r="E52">
        <v>2.4700000000000002</v>
      </c>
      <c r="F52">
        <v>2.1</v>
      </c>
      <c r="G52">
        <v>2.13</v>
      </c>
      <c r="H52">
        <v>9.43</v>
      </c>
      <c r="I52" t="s">
        <v>19</v>
      </c>
      <c r="J52">
        <v>2.9999999999999801E-2</v>
      </c>
      <c r="K52">
        <v>0.32</v>
      </c>
      <c r="L52">
        <v>8.44</v>
      </c>
      <c r="M52">
        <v>14.07</v>
      </c>
      <c r="N52">
        <v>4.79</v>
      </c>
      <c r="O52">
        <v>4.6399999999999997</v>
      </c>
      <c r="P52">
        <v>21.529599999999999</v>
      </c>
      <c r="Q52" t="str">
        <f>IFERROR(INDEX(Rosters!$C$2:$C$155,MATCH($B52,Rosters!$B$2:$B$155,0)),"NA")</f>
        <v>comp</v>
      </c>
      <c r="R52" t="str">
        <f t="shared" si="0"/>
        <v>comp4</v>
      </c>
      <c r="S52">
        <f>COUNTIFS(A$1:A52,A52)</f>
        <v>4</v>
      </c>
      <c r="T52" t="str">
        <f t="shared" si="1"/>
        <v>Stephen Gostkowski4</v>
      </c>
      <c r="U52" t="str">
        <f>IF(OR(NOT(ISERROR(MATCH(T52,Finals!$K$2:$K$1801,0))),AND(A52&gt;Week,Q52&lt;&gt;"NA")),"",A52)</f>
        <v/>
      </c>
      <c r="V52" t="str">
        <f>IF(U52&lt;&gt;"",U52&amp;"-"&amp;COUNTIF(U$1:U52,U52),"")</f>
        <v/>
      </c>
    </row>
    <row r="53" spans="1:22" x14ac:dyDescent="0.25">
      <c r="A53">
        <v>17</v>
      </c>
      <c r="B53" t="s">
        <v>464</v>
      </c>
      <c r="C53" t="s">
        <v>5070</v>
      </c>
      <c r="D53">
        <v>1.72</v>
      </c>
      <c r="E53">
        <v>1.95</v>
      </c>
      <c r="F53">
        <v>3.13</v>
      </c>
      <c r="G53">
        <v>3.15</v>
      </c>
      <c r="H53">
        <v>9.1300000000000008</v>
      </c>
      <c r="I53" t="s">
        <v>30</v>
      </c>
      <c r="J53">
        <v>0.02</v>
      </c>
      <c r="K53">
        <v>0.23</v>
      </c>
      <c r="L53">
        <v>8.42</v>
      </c>
      <c r="M53">
        <v>13.54</v>
      </c>
      <c r="N53">
        <v>4.72</v>
      </c>
      <c r="O53">
        <v>4.41</v>
      </c>
      <c r="P53">
        <v>19.4481</v>
      </c>
      <c r="Q53" t="str">
        <f>IFERROR(INDEX(Rosters!$C$2:$C$155,MATCH($B53,Rosters!$B$2:$B$155,0)),"NA")</f>
        <v>NA</v>
      </c>
      <c r="R53" t="str">
        <f t="shared" si="0"/>
        <v>NA17</v>
      </c>
      <c r="S53">
        <f>COUNTIFS(A$1:A53,A53)</f>
        <v>2</v>
      </c>
      <c r="T53" t="str">
        <f t="shared" si="1"/>
        <v>Greg Zuerlein17</v>
      </c>
      <c r="U53">
        <f>IF(OR(NOT(ISERROR(MATCH(T53,Finals!$K$2:$K$1801,0))),AND(A53&gt;Week,Q53&lt;&gt;"NA")),"",A53)</f>
        <v>17</v>
      </c>
      <c r="V53" t="str">
        <f>IF(U53&lt;&gt;"",U53&amp;"-"&amp;COUNTIF(U$1:U53,U53),"")</f>
        <v>17-1</v>
      </c>
    </row>
    <row r="54" spans="1:22" x14ac:dyDescent="0.25">
      <c r="A54">
        <v>1</v>
      </c>
      <c r="B54" s="39" t="s">
        <v>1119</v>
      </c>
      <c r="C54" t="s">
        <v>1747</v>
      </c>
      <c r="D54">
        <v>2.02</v>
      </c>
      <c r="E54">
        <v>2.1800000000000002</v>
      </c>
      <c r="F54">
        <v>2.0099999999999998</v>
      </c>
      <c r="G54">
        <v>2.0299999999999998</v>
      </c>
      <c r="H54">
        <v>8.92</v>
      </c>
      <c r="I54" t="s">
        <v>54</v>
      </c>
      <c r="J54">
        <v>0.02</v>
      </c>
      <c r="K54">
        <v>0.16</v>
      </c>
      <c r="L54">
        <v>8.42</v>
      </c>
      <c r="M54">
        <v>13.28</v>
      </c>
      <c r="N54">
        <v>4.5599999999999996</v>
      </c>
      <c r="O54">
        <v>4.3600000000000003</v>
      </c>
      <c r="P54">
        <v>19.009599999999999</v>
      </c>
      <c r="Q54" t="str">
        <f>IFERROR(INDEX(Rosters!$C$2:$C$155,MATCH($B54,Rosters!$B$2:$B$155,0)),"NA")</f>
        <v>scott</v>
      </c>
      <c r="R54" t="str">
        <f t="shared" si="0"/>
        <v>scott1</v>
      </c>
      <c r="S54">
        <f>COUNTIFS(A$1:A54,A54)</f>
        <v>6</v>
      </c>
      <c r="T54" t="str">
        <f t="shared" si="1"/>
        <v>Josh Lambo1</v>
      </c>
      <c r="U54">
        <f>IF(OR(NOT(ISERROR(MATCH(T54,Finals!$K$2:$K$1801,0))),AND(A54&gt;Week,Q54&lt;&gt;"NA")),"",A54)</f>
        <v>1</v>
      </c>
      <c r="V54" t="str">
        <f>IF(U54&lt;&gt;"",U54&amp;"-"&amp;COUNTIF(U$1:U54,U54),"")</f>
        <v>1-2</v>
      </c>
    </row>
    <row r="55" spans="1:22" x14ac:dyDescent="0.25">
      <c r="A55">
        <v>4</v>
      </c>
      <c r="B55" s="39" t="s">
        <v>449</v>
      </c>
      <c r="C55" t="s">
        <v>5071</v>
      </c>
      <c r="D55">
        <v>1.74</v>
      </c>
      <c r="E55">
        <v>2.0699999999999998</v>
      </c>
      <c r="F55">
        <v>2.85</v>
      </c>
      <c r="G55">
        <v>2.9</v>
      </c>
      <c r="H55">
        <v>9.4499999999999993</v>
      </c>
      <c r="I55" t="s">
        <v>31</v>
      </c>
      <c r="J55">
        <v>4.9999999999999802E-2</v>
      </c>
      <c r="K55">
        <v>0.33</v>
      </c>
      <c r="L55">
        <v>8.41</v>
      </c>
      <c r="M55">
        <v>14.27</v>
      </c>
      <c r="N55">
        <v>4.63</v>
      </c>
      <c r="O55">
        <v>4.82</v>
      </c>
      <c r="P55">
        <v>23.232399999999998</v>
      </c>
      <c r="Q55" t="str">
        <f>IFERROR(INDEX(Rosters!$C$2:$C$155,MATCH($B55,Rosters!$B$2:$B$155,0)),"NA")</f>
        <v>lucas</v>
      </c>
      <c r="R55" t="str">
        <f t="shared" si="0"/>
        <v>lucas4</v>
      </c>
      <c r="S55">
        <f>COUNTIFS(A$1:A55,A55)</f>
        <v>5</v>
      </c>
      <c r="T55" t="str">
        <f t="shared" si="1"/>
        <v>Matt Bryant4</v>
      </c>
      <c r="U55" t="str">
        <f>IF(OR(NOT(ISERROR(MATCH(T55,Finals!$K$2:$K$1801,0))),AND(A55&gt;Week,Q55&lt;&gt;"NA")),"",A55)</f>
        <v/>
      </c>
      <c r="V55" t="str">
        <f>IF(U55&lt;&gt;"",U55&amp;"-"&amp;COUNTIF(U$1:U55,U55),"")</f>
        <v/>
      </c>
    </row>
    <row r="56" spans="1:22" x14ac:dyDescent="0.25">
      <c r="A56">
        <v>16</v>
      </c>
      <c r="B56" s="39" t="s">
        <v>446</v>
      </c>
      <c r="C56" t="s">
        <v>5072</v>
      </c>
      <c r="D56">
        <v>2.06</v>
      </c>
      <c r="E56">
        <v>2.4500000000000002</v>
      </c>
      <c r="F56">
        <v>2.61</v>
      </c>
      <c r="G56">
        <v>2.65</v>
      </c>
      <c r="H56">
        <v>9.6</v>
      </c>
      <c r="I56" t="s">
        <v>29</v>
      </c>
      <c r="J56">
        <v>0.04</v>
      </c>
      <c r="K56">
        <v>0.39</v>
      </c>
      <c r="L56">
        <v>8.39</v>
      </c>
      <c r="M56">
        <v>14.11</v>
      </c>
      <c r="N56">
        <v>5.09</v>
      </c>
      <c r="O56">
        <v>4.51</v>
      </c>
      <c r="P56">
        <v>20.3401</v>
      </c>
      <c r="Q56" t="str">
        <f>IFERROR(INDEX(Rosters!$C$2:$C$155,MATCH($B56,Rosters!$B$2:$B$155,0)),"NA")</f>
        <v>comp</v>
      </c>
      <c r="R56" t="str">
        <f t="shared" si="0"/>
        <v>comp16</v>
      </c>
      <c r="S56">
        <f>COUNTIFS(A$1:A56,A56)</f>
        <v>2</v>
      </c>
      <c r="T56" t="str">
        <f t="shared" si="1"/>
        <v>Stephen Gostkowski16</v>
      </c>
      <c r="U56" t="str">
        <f>IF(OR(NOT(ISERROR(MATCH(T56,Finals!$K$2:$K$1801,0))),AND(A56&gt;Week,Q56&lt;&gt;"NA")),"",A56)</f>
        <v/>
      </c>
      <c r="V56" t="str">
        <f>IF(U56&lt;&gt;"",U56&amp;"-"&amp;COUNTIF(U$1:U56,U56),"")</f>
        <v/>
      </c>
    </row>
    <row r="57" spans="1:22" x14ac:dyDescent="0.25">
      <c r="A57">
        <v>13</v>
      </c>
      <c r="B57" s="39" t="s">
        <v>462</v>
      </c>
      <c r="C57" t="s">
        <v>5073</v>
      </c>
      <c r="D57">
        <v>1.91</v>
      </c>
      <c r="E57">
        <v>2.16</v>
      </c>
      <c r="F57">
        <v>2.74</v>
      </c>
      <c r="G57">
        <v>2.86</v>
      </c>
      <c r="H57">
        <v>9.26</v>
      </c>
      <c r="I57" t="s">
        <v>22</v>
      </c>
      <c r="J57">
        <v>0.12</v>
      </c>
      <c r="K57">
        <v>0.25</v>
      </c>
      <c r="L57">
        <v>8.39</v>
      </c>
      <c r="M57">
        <v>12.95</v>
      </c>
      <c r="N57">
        <v>5.57</v>
      </c>
      <c r="O57">
        <v>3.69</v>
      </c>
      <c r="P57">
        <v>13.616099999999999</v>
      </c>
      <c r="Q57" t="str">
        <f>IFERROR(INDEX(Rosters!$C$2:$C$155,MATCH($B57,Rosters!$B$2:$B$155,0)),"NA")</f>
        <v>cory</v>
      </c>
      <c r="R57" t="str">
        <f t="shared" si="0"/>
        <v>cory13</v>
      </c>
      <c r="S57">
        <f>COUNTIFS(A$1:A57,A57)</f>
        <v>3</v>
      </c>
      <c r="T57" t="str">
        <f t="shared" si="1"/>
        <v>Wil Lutz13</v>
      </c>
      <c r="U57" t="str">
        <f>IF(OR(NOT(ISERROR(MATCH(T57,Finals!$K$2:$K$1801,0))),AND(A57&gt;Week,Q57&lt;&gt;"NA")),"",A57)</f>
        <v/>
      </c>
      <c r="V57" t="str">
        <f>IF(U57&lt;&gt;"",U57&amp;"-"&amp;COUNTIF(U$1:U57,U57),"")</f>
        <v/>
      </c>
    </row>
    <row r="58" spans="1:22" x14ac:dyDescent="0.25">
      <c r="A58">
        <v>3</v>
      </c>
      <c r="B58" s="39" t="s">
        <v>456</v>
      </c>
      <c r="C58" t="s">
        <v>4368</v>
      </c>
      <c r="D58">
        <v>1.9</v>
      </c>
      <c r="E58">
        <v>2.16</v>
      </c>
      <c r="F58">
        <v>2.68</v>
      </c>
      <c r="G58">
        <v>2.7</v>
      </c>
      <c r="H58">
        <v>9.19</v>
      </c>
      <c r="I58" t="s">
        <v>31</v>
      </c>
      <c r="J58">
        <v>0.02</v>
      </c>
      <c r="K58">
        <v>0.26</v>
      </c>
      <c r="L58">
        <v>8.39</v>
      </c>
      <c r="M58">
        <v>13.8</v>
      </c>
      <c r="N58">
        <v>4.58</v>
      </c>
      <c r="O58">
        <v>4.6100000000000003</v>
      </c>
      <c r="P58">
        <v>21.252099999999999</v>
      </c>
      <c r="Q58" t="str">
        <f>IFERROR(INDEX(Rosters!$C$2:$C$155,MATCH($B58,Rosters!$B$2:$B$155,0)),"NA")</f>
        <v>NA</v>
      </c>
      <c r="R58" t="str">
        <f t="shared" si="0"/>
        <v>NA3</v>
      </c>
      <c r="S58">
        <f>COUNTIFS(A$1:A58,A58)</f>
        <v>5</v>
      </c>
      <c r="T58" t="str">
        <f t="shared" si="1"/>
        <v>Graham Gano3</v>
      </c>
      <c r="U58">
        <f>IF(OR(NOT(ISERROR(MATCH(T58,Finals!$K$2:$K$1801,0))),AND(A58&gt;Week,Q58&lt;&gt;"NA")),"",A58)</f>
        <v>3</v>
      </c>
      <c r="V58" t="str">
        <f>IF(U58&lt;&gt;"",U58&amp;"-"&amp;COUNTIF(U$1:U58,U58),"")</f>
        <v>3-2</v>
      </c>
    </row>
    <row r="59" spans="1:22" x14ac:dyDescent="0.25">
      <c r="A59">
        <v>17</v>
      </c>
      <c r="B59" s="39" t="s">
        <v>456</v>
      </c>
      <c r="C59" t="s">
        <v>5074</v>
      </c>
      <c r="D59">
        <v>1.97</v>
      </c>
      <c r="E59">
        <v>2.2599999999999998</v>
      </c>
      <c r="F59">
        <v>2.4900000000000002</v>
      </c>
      <c r="G59">
        <v>2.4900000000000002</v>
      </c>
      <c r="H59">
        <v>9.25</v>
      </c>
      <c r="I59" t="s">
        <v>14</v>
      </c>
      <c r="J59">
        <v>0</v>
      </c>
      <c r="K59">
        <v>0.28999999999999998</v>
      </c>
      <c r="L59">
        <v>8.3800000000000008</v>
      </c>
      <c r="M59">
        <v>13.2</v>
      </c>
      <c r="N59">
        <v>5.3</v>
      </c>
      <c r="O59">
        <v>3.95</v>
      </c>
      <c r="P59">
        <v>15.602499999999999</v>
      </c>
      <c r="Q59" t="str">
        <f>IFERROR(INDEX(Rosters!$C$2:$C$155,MATCH($B59,Rosters!$B$2:$B$155,0)),"NA")</f>
        <v>NA</v>
      </c>
      <c r="R59" t="str">
        <f t="shared" si="0"/>
        <v>NA17</v>
      </c>
      <c r="S59">
        <f>COUNTIFS(A$1:A59,A59)</f>
        <v>3</v>
      </c>
      <c r="T59" t="str">
        <f t="shared" si="1"/>
        <v>Graham Gano17</v>
      </c>
      <c r="U59">
        <f>IF(OR(NOT(ISERROR(MATCH(T59,Finals!$K$2:$K$1801,0))),AND(A59&gt;Week,Q59&lt;&gt;"NA")),"",A59)</f>
        <v>17</v>
      </c>
      <c r="V59" t="str">
        <f>IF(U59&lt;&gt;"",U59&amp;"-"&amp;COUNTIF(U$1:U59,U59),"")</f>
        <v>17-2</v>
      </c>
    </row>
    <row r="60" spans="1:22" x14ac:dyDescent="0.25">
      <c r="A60">
        <v>1</v>
      </c>
      <c r="B60" s="39" t="s">
        <v>446</v>
      </c>
      <c r="C60" t="s">
        <v>1748</v>
      </c>
      <c r="D60">
        <v>1.8</v>
      </c>
      <c r="E60">
        <v>2.08</v>
      </c>
      <c r="F60">
        <v>3.2</v>
      </c>
      <c r="G60">
        <v>3.31</v>
      </c>
      <c r="H60">
        <v>9.32</v>
      </c>
      <c r="I60" t="s">
        <v>36</v>
      </c>
      <c r="J60">
        <v>0.11</v>
      </c>
      <c r="K60">
        <v>0.28000000000000003</v>
      </c>
      <c r="L60">
        <v>8.3699999999999992</v>
      </c>
      <c r="M60">
        <v>13.12</v>
      </c>
      <c r="N60">
        <v>5.52</v>
      </c>
      <c r="O60">
        <v>3.8</v>
      </c>
      <c r="P60">
        <v>14.44</v>
      </c>
      <c r="Q60" t="str">
        <f>IFERROR(INDEX(Rosters!$C$2:$C$155,MATCH($B60,Rosters!$B$2:$B$155,0)),"NA")</f>
        <v>comp</v>
      </c>
      <c r="R60" t="str">
        <f t="shared" si="0"/>
        <v>comp1</v>
      </c>
      <c r="S60">
        <f>COUNTIFS(A$1:A60,A60)</f>
        <v>7</v>
      </c>
      <c r="T60" t="str">
        <f t="shared" si="1"/>
        <v>Stephen Gostkowski1</v>
      </c>
      <c r="U60" t="str">
        <f>IF(OR(NOT(ISERROR(MATCH(T60,Finals!$K$2:$K$1801,0))),AND(A60&gt;Week,Q60&lt;&gt;"NA")),"",A60)</f>
        <v/>
      </c>
      <c r="V60" t="str">
        <f>IF(U60&lt;&gt;"",U60&amp;"-"&amp;COUNTIF(U$1:U60,U60),"")</f>
        <v/>
      </c>
    </row>
    <row r="61" spans="1:22" x14ac:dyDescent="0.25">
      <c r="A61">
        <v>3</v>
      </c>
      <c r="B61" s="39" t="s">
        <v>449</v>
      </c>
      <c r="C61" t="s">
        <v>4369</v>
      </c>
      <c r="D61">
        <v>1.81</v>
      </c>
      <c r="E61">
        <v>2.14</v>
      </c>
      <c r="F61">
        <v>2.87</v>
      </c>
      <c r="G61">
        <v>2.91</v>
      </c>
      <c r="H61">
        <v>9.3800000000000008</v>
      </c>
      <c r="I61" t="s">
        <v>14</v>
      </c>
      <c r="J61">
        <v>0.04</v>
      </c>
      <c r="K61">
        <v>0.33</v>
      </c>
      <c r="L61">
        <v>8.35</v>
      </c>
      <c r="M61">
        <v>14.39</v>
      </c>
      <c r="N61">
        <v>4.37</v>
      </c>
      <c r="O61">
        <v>5.01</v>
      </c>
      <c r="P61">
        <v>25.100100000000001</v>
      </c>
      <c r="Q61" t="str">
        <f>IFERROR(INDEX(Rosters!$C$2:$C$155,MATCH($B61,Rosters!$B$2:$B$155,0)),"NA")</f>
        <v>lucas</v>
      </c>
      <c r="R61" t="str">
        <f t="shared" si="0"/>
        <v>lucas3</v>
      </c>
      <c r="S61">
        <f>COUNTIFS(A$1:A61,A61)</f>
        <v>6</v>
      </c>
      <c r="T61" t="str">
        <f t="shared" si="1"/>
        <v>Matt Bryant3</v>
      </c>
      <c r="U61" t="str">
        <f>IF(OR(NOT(ISERROR(MATCH(T61,Finals!$K$2:$K$1801,0))),AND(A61&gt;Week,Q61&lt;&gt;"NA")),"",A61)</f>
        <v/>
      </c>
      <c r="V61" t="str">
        <f>IF(U61&lt;&gt;"",U61&amp;"-"&amp;COUNTIF(U$1:U61,U61),"")</f>
        <v/>
      </c>
    </row>
    <row r="62" spans="1:22" x14ac:dyDescent="0.25">
      <c r="A62">
        <v>16</v>
      </c>
      <c r="B62" s="39" t="s">
        <v>456</v>
      </c>
      <c r="C62" t="s">
        <v>5075</v>
      </c>
      <c r="D62">
        <v>1.93</v>
      </c>
      <c r="E62">
        <v>2.2200000000000002</v>
      </c>
      <c r="F62">
        <v>2.59</v>
      </c>
      <c r="G62">
        <v>2.59</v>
      </c>
      <c r="H62">
        <v>9.2200000000000006</v>
      </c>
      <c r="I62" t="s">
        <v>46</v>
      </c>
      <c r="J62">
        <v>0</v>
      </c>
      <c r="K62">
        <v>0.28999999999999998</v>
      </c>
      <c r="L62">
        <v>8.35</v>
      </c>
      <c r="M62">
        <v>13.58</v>
      </c>
      <c r="N62">
        <v>4.8600000000000003</v>
      </c>
      <c r="O62">
        <v>4.3600000000000003</v>
      </c>
      <c r="P62">
        <v>19.009599999999999</v>
      </c>
      <c r="Q62" t="str">
        <f>IFERROR(INDEX(Rosters!$C$2:$C$155,MATCH($B62,Rosters!$B$2:$B$155,0)),"NA")</f>
        <v>NA</v>
      </c>
      <c r="R62" t="str">
        <f t="shared" si="0"/>
        <v>NA16</v>
      </c>
      <c r="S62">
        <f>COUNTIFS(A$1:A62,A62)</f>
        <v>3</v>
      </c>
      <c r="T62" t="str">
        <f t="shared" si="1"/>
        <v>Graham Gano16</v>
      </c>
      <c r="U62">
        <f>IF(OR(NOT(ISERROR(MATCH(T62,Finals!$K$2:$K$1801,0))),AND(A62&gt;Week,Q62&lt;&gt;"NA")),"",A62)</f>
        <v>16</v>
      </c>
      <c r="V62" t="str">
        <f>IF(U62&lt;&gt;"",U62&amp;"-"&amp;COUNTIF(U$1:U62,U62),"")</f>
        <v>16-2</v>
      </c>
    </row>
    <row r="63" spans="1:22" x14ac:dyDescent="0.25">
      <c r="A63">
        <v>4</v>
      </c>
      <c r="B63" s="39" t="s">
        <v>1121</v>
      </c>
      <c r="C63" t="s">
        <v>5076</v>
      </c>
      <c r="D63">
        <v>1.64</v>
      </c>
      <c r="E63">
        <v>1.83</v>
      </c>
      <c r="F63">
        <v>3.5</v>
      </c>
      <c r="G63">
        <v>3.51</v>
      </c>
      <c r="H63">
        <v>8.89</v>
      </c>
      <c r="I63" t="s">
        <v>30</v>
      </c>
      <c r="J63">
        <v>9.9999999999997903E-3</v>
      </c>
      <c r="K63">
        <v>0.19</v>
      </c>
      <c r="L63">
        <v>8.31</v>
      </c>
      <c r="M63">
        <v>12.76</v>
      </c>
      <c r="N63">
        <v>5.0199999999999996</v>
      </c>
      <c r="O63">
        <v>3.87</v>
      </c>
      <c r="P63">
        <v>14.976900000000001</v>
      </c>
      <c r="Q63" t="str">
        <f>IFERROR(INDEX(Rosters!$C$2:$C$155,MATCH($B63,Rosters!$B$2:$B$155,0)),"NA")</f>
        <v>NA</v>
      </c>
      <c r="R63" t="str">
        <f t="shared" si="0"/>
        <v>NA4</v>
      </c>
      <c r="S63">
        <f>COUNTIFS(A$1:A63,A63)</f>
        <v>6</v>
      </c>
      <c r="T63" t="str">
        <f t="shared" si="1"/>
        <v>Caleb Sturgis4</v>
      </c>
      <c r="U63">
        <f>IF(OR(NOT(ISERROR(MATCH(T63,Finals!$K$2:$K$1801,0))),AND(A63&gt;Week,Q63&lt;&gt;"NA")),"",A63)</f>
        <v>4</v>
      </c>
      <c r="V63" t="str">
        <f>IF(U63&lt;&gt;"",U63&amp;"-"&amp;COUNTIF(U$1:U63,U63),"")</f>
        <v>4-2</v>
      </c>
    </row>
    <row r="64" spans="1:22" x14ac:dyDescent="0.25">
      <c r="A64">
        <v>13</v>
      </c>
      <c r="B64" s="39" t="s">
        <v>4164</v>
      </c>
      <c r="C64" t="s">
        <v>5077</v>
      </c>
      <c r="D64">
        <v>1.87</v>
      </c>
      <c r="E64">
        <v>2.16</v>
      </c>
      <c r="F64">
        <v>2.5099999999999998</v>
      </c>
      <c r="G64">
        <v>2.5099999999999998</v>
      </c>
      <c r="H64">
        <v>9.18</v>
      </c>
      <c r="I64" t="s">
        <v>14</v>
      </c>
      <c r="J64">
        <v>0</v>
      </c>
      <c r="K64">
        <v>0.28999999999999998</v>
      </c>
      <c r="L64">
        <v>8.31</v>
      </c>
      <c r="M64">
        <v>13.21</v>
      </c>
      <c r="N64">
        <v>5.15</v>
      </c>
      <c r="O64">
        <v>4.03</v>
      </c>
      <c r="P64">
        <v>16.2409</v>
      </c>
      <c r="Q64" t="str">
        <f>IFERROR(INDEX(Rosters!$C$2:$C$155,MATCH($B64,Rosters!$B$2:$B$155,0)),"NA")</f>
        <v>NA</v>
      </c>
      <c r="R64" t="str">
        <f t="shared" si="0"/>
        <v>NA13</v>
      </c>
      <c r="S64">
        <f>COUNTIFS(A$1:A64,A64)</f>
        <v>4</v>
      </c>
      <c r="T64" t="str">
        <f t="shared" si="1"/>
        <v>Brett Maher13</v>
      </c>
      <c r="U64">
        <f>IF(OR(NOT(ISERROR(MATCH(T64,Finals!$K$2:$K$1801,0))),AND(A64&gt;Week,Q64&lt;&gt;"NA")),"",A64)</f>
        <v>13</v>
      </c>
      <c r="V64" t="str">
        <f>IF(U64&lt;&gt;"",U64&amp;"-"&amp;COUNTIF(U$1:U64,U64),"")</f>
        <v>13-2</v>
      </c>
    </row>
    <row r="65" spans="1:22" x14ac:dyDescent="0.25">
      <c r="A65">
        <v>3</v>
      </c>
      <c r="B65" s="39" t="s">
        <v>1108</v>
      </c>
      <c r="C65" t="s">
        <v>4370</v>
      </c>
      <c r="D65">
        <v>1.94</v>
      </c>
      <c r="E65">
        <v>2.2599999999999998</v>
      </c>
      <c r="F65">
        <v>2.87</v>
      </c>
      <c r="G65">
        <v>2.87</v>
      </c>
      <c r="H65">
        <v>9.26</v>
      </c>
      <c r="I65" t="s">
        <v>30</v>
      </c>
      <c r="J65">
        <v>0</v>
      </c>
      <c r="K65">
        <v>0.32</v>
      </c>
      <c r="L65">
        <v>8.3000000000000007</v>
      </c>
      <c r="M65">
        <v>13.07</v>
      </c>
      <c r="N65">
        <v>5.45</v>
      </c>
      <c r="O65">
        <v>3.81</v>
      </c>
      <c r="P65">
        <v>14.5161</v>
      </c>
      <c r="Q65" t="str">
        <f>IFERROR(INDEX(Rosters!$C$2:$C$155,MATCH($B65,Rosters!$B$2:$B$155,0)),"NA")</f>
        <v>seth</v>
      </c>
      <c r="R65" t="str">
        <f t="shared" si="0"/>
        <v>seth3</v>
      </c>
      <c r="S65">
        <f>COUNTIFS(A$1:A65,A65)</f>
        <v>7</v>
      </c>
      <c r="T65" t="str">
        <f t="shared" si="1"/>
        <v>Harrison Butker3</v>
      </c>
      <c r="U65" t="str">
        <f>IF(OR(NOT(ISERROR(MATCH(T65,Finals!$K$2:$K$1801,0))),AND(A65&gt;Week,Q65&lt;&gt;"NA")),"",A65)</f>
        <v/>
      </c>
      <c r="V65" t="str">
        <f>IF(U65&lt;&gt;"",U65&amp;"-"&amp;COUNTIF(U$1:U65,U65),"")</f>
        <v/>
      </c>
    </row>
    <row r="66" spans="1:22" x14ac:dyDescent="0.25">
      <c r="A66">
        <v>7</v>
      </c>
      <c r="B66" s="39" t="s">
        <v>1121</v>
      </c>
      <c r="C66" t="s">
        <v>5078</v>
      </c>
      <c r="D66">
        <v>1.77</v>
      </c>
      <c r="E66">
        <v>1.93</v>
      </c>
      <c r="F66">
        <v>2.74</v>
      </c>
      <c r="G66">
        <v>2.82</v>
      </c>
      <c r="H66">
        <v>8.85</v>
      </c>
      <c r="I66" t="s">
        <v>38</v>
      </c>
      <c r="J66">
        <v>7.9999999999999599E-2</v>
      </c>
      <c r="K66">
        <v>0.16</v>
      </c>
      <c r="L66">
        <v>8.2899999999999991</v>
      </c>
      <c r="M66">
        <v>12.29</v>
      </c>
      <c r="N66">
        <v>5.41</v>
      </c>
      <c r="O66">
        <v>3.44</v>
      </c>
      <c r="P66">
        <v>11.833600000000001</v>
      </c>
      <c r="Q66" t="str">
        <f>IFERROR(INDEX(Rosters!$C$2:$C$155,MATCH($B66,Rosters!$B$2:$B$155,0)),"NA")</f>
        <v>NA</v>
      </c>
      <c r="R66" t="str">
        <f t="shared" si="0"/>
        <v>NA7</v>
      </c>
      <c r="S66">
        <f>COUNTIFS(A$1:A66,A66)</f>
        <v>5</v>
      </c>
      <c r="T66" t="str">
        <f t="shared" si="1"/>
        <v>Caleb Sturgis7</v>
      </c>
      <c r="U66">
        <f>IF(OR(NOT(ISERROR(MATCH(T66,Finals!$K$2:$K$1801,0))),AND(A66&gt;Week,Q66&lt;&gt;"NA")),"",A66)</f>
        <v>7</v>
      </c>
      <c r="V66" t="str">
        <f>IF(U66&lt;&gt;"",U66&amp;"-"&amp;COUNTIF(U$1:U66,U66),"")</f>
        <v>7-1</v>
      </c>
    </row>
    <row r="67" spans="1:22" x14ac:dyDescent="0.25">
      <c r="A67">
        <v>1</v>
      </c>
      <c r="B67" s="39" t="s">
        <v>456</v>
      </c>
      <c r="C67" t="s">
        <v>1749</v>
      </c>
      <c r="D67">
        <v>1.89</v>
      </c>
      <c r="E67">
        <v>2.1</v>
      </c>
      <c r="F67">
        <v>2.42</v>
      </c>
      <c r="G67">
        <v>2.48</v>
      </c>
      <c r="H67">
        <v>8.9600000000000009</v>
      </c>
      <c r="I67" t="s">
        <v>22</v>
      </c>
      <c r="J67">
        <v>6.0000000000000102E-2</v>
      </c>
      <c r="K67">
        <v>0.21</v>
      </c>
      <c r="L67">
        <v>8.27</v>
      </c>
      <c r="M67">
        <v>13.69</v>
      </c>
      <c r="N67">
        <v>4.2300000000000004</v>
      </c>
      <c r="O67">
        <v>4.7300000000000004</v>
      </c>
      <c r="P67">
        <v>22.372900000000001</v>
      </c>
      <c r="Q67" t="str">
        <f>IFERROR(INDEX(Rosters!$C$2:$C$155,MATCH($B67,Rosters!$B$2:$B$155,0)),"NA")</f>
        <v>NA</v>
      </c>
      <c r="R67" t="str">
        <f t="shared" ref="R67:R130" si="2">Q67&amp;A67</f>
        <v>NA1</v>
      </c>
      <c r="S67">
        <f>COUNTIFS(A$1:A67,A67)</f>
        <v>8</v>
      </c>
      <c r="T67" t="str">
        <f t="shared" ref="T67:T130" si="3">B67&amp;A67</f>
        <v>Graham Gano1</v>
      </c>
      <c r="U67" t="str">
        <f>IF(OR(NOT(ISERROR(MATCH(T67,Finals!$K$2:$K$1801,0))),AND(A67&gt;Week,Q67&lt;&gt;"NA")),"",A67)</f>
        <v/>
      </c>
      <c r="V67" t="str">
        <f>IF(U67&lt;&gt;"",U67&amp;"-"&amp;COUNTIF(U$1:U67,U67),"")</f>
        <v/>
      </c>
    </row>
    <row r="68" spans="1:22" x14ac:dyDescent="0.25">
      <c r="A68">
        <v>9</v>
      </c>
      <c r="B68" s="39" t="s">
        <v>464</v>
      </c>
      <c r="C68" t="s">
        <v>5079</v>
      </c>
      <c r="D68">
        <v>1.72</v>
      </c>
      <c r="E68">
        <v>1.92</v>
      </c>
      <c r="F68">
        <v>2.88</v>
      </c>
      <c r="G68">
        <v>2.9</v>
      </c>
      <c r="H68">
        <v>8.8800000000000008</v>
      </c>
      <c r="I68" t="s">
        <v>14</v>
      </c>
      <c r="J68">
        <v>0.02</v>
      </c>
      <c r="K68">
        <v>0.2</v>
      </c>
      <c r="L68">
        <v>8.26</v>
      </c>
      <c r="M68">
        <v>13.22</v>
      </c>
      <c r="N68">
        <v>4.54</v>
      </c>
      <c r="O68">
        <v>4.34</v>
      </c>
      <c r="P68">
        <v>18.835599999999999</v>
      </c>
      <c r="Q68" t="str">
        <f>IFERROR(INDEX(Rosters!$C$2:$C$155,MATCH($B68,Rosters!$B$2:$B$155,0)),"NA")</f>
        <v>NA</v>
      </c>
      <c r="R68" t="str">
        <f t="shared" si="2"/>
        <v>NA9</v>
      </c>
      <c r="S68">
        <f>COUNTIFS(A$1:A68,A68)</f>
        <v>5</v>
      </c>
      <c r="T68" t="str">
        <f t="shared" si="3"/>
        <v>Greg Zuerlein9</v>
      </c>
      <c r="U68">
        <f>IF(OR(NOT(ISERROR(MATCH(T68,Finals!$K$2:$K$1801,0))),AND(A68&gt;Week,Q68&lt;&gt;"NA")),"",A68)</f>
        <v>9</v>
      </c>
      <c r="V68" t="str">
        <f>IF(U68&lt;&gt;"",U68&amp;"-"&amp;COUNTIF(U$1:U68,U68),"")</f>
        <v>9-2</v>
      </c>
    </row>
    <row r="69" spans="1:22" x14ac:dyDescent="0.25">
      <c r="A69">
        <v>13</v>
      </c>
      <c r="B69" s="39" t="s">
        <v>456</v>
      </c>
      <c r="C69" t="s">
        <v>5080</v>
      </c>
      <c r="D69">
        <v>1.83</v>
      </c>
      <c r="E69">
        <v>2.12</v>
      </c>
      <c r="F69">
        <v>2.93</v>
      </c>
      <c r="G69">
        <v>2.97</v>
      </c>
      <c r="H69">
        <v>9.16</v>
      </c>
      <c r="I69" t="s">
        <v>17</v>
      </c>
      <c r="J69">
        <v>0.04</v>
      </c>
      <c r="K69">
        <v>0.28999999999999998</v>
      </c>
      <c r="L69">
        <v>8.25</v>
      </c>
      <c r="M69">
        <v>13.07</v>
      </c>
      <c r="N69">
        <v>5.25</v>
      </c>
      <c r="O69">
        <v>3.91</v>
      </c>
      <c r="P69">
        <v>15.2881</v>
      </c>
      <c r="Q69" t="str">
        <f>IFERROR(INDEX(Rosters!$C$2:$C$155,MATCH($B69,Rosters!$B$2:$B$155,0)),"NA")</f>
        <v>NA</v>
      </c>
      <c r="R69" t="str">
        <f t="shared" si="2"/>
        <v>NA13</v>
      </c>
      <c r="S69">
        <f>COUNTIFS(A$1:A69,A69)</f>
        <v>5</v>
      </c>
      <c r="T69" t="str">
        <f t="shared" si="3"/>
        <v>Graham Gano13</v>
      </c>
      <c r="U69">
        <f>IF(OR(NOT(ISERROR(MATCH(T69,Finals!$K$2:$K$1801,0))),AND(A69&gt;Week,Q69&lt;&gt;"NA")),"",A69)</f>
        <v>13</v>
      </c>
      <c r="V69" t="str">
        <f>IF(U69&lt;&gt;"",U69&amp;"-"&amp;COUNTIF(U$1:U69,U69),"")</f>
        <v>13-3</v>
      </c>
    </row>
    <row r="70" spans="1:22" x14ac:dyDescent="0.25">
      <c r="A70">
        <v>2</v>
      </c>
      <c r="B70" s="39" t="s">
        <v>459</v>
      </c>
      <c r="C70" t="s">
        <v>3580</v>
      </c>
      <c r="D70">
        <v>2.02</v>
      </c>
      <c r="E70">
        <v>2.29</v>
      </c>
      <c r="F70">
        <v>1.73</v>
      </c>
      <c r="G70">
        <v>1.73</v>
      </c>
      <c r="H70">
        <v>9.0500000000000007</v>
      </c>
      <c r="I70" t="s">
        <v>28</v>
      </c>
      <c r="J70">
        <v>0</v>
      </c>
      <c r="K70">
        <v>0.27</v>
      </c>
      <c r="L70">
        <v>8.24</v>
      </c>
      <c r="M70">
        <v>13.4</v>
      </c>
      <c r="N70">
        <v>4.7</v>
      </c>
      <c r="O70">
        <v>4.3499999999999996</v>
      </c>
      <c r="P70">
        <v>18.922499999999999</v>
      </c>
      <c r="Q70" t="str">
        <f>IFERROR(INDEX(Rosters!$C$2:$C$155,MATCH($B70,Rosters!$B$2:$B$155,0)),"NA")</f>
        <v>NA</v>
      </c>
      <c r="R70" t="str">
        <f t="shared" si="2"/>
        <v>NA2</v>
      </c>
      <c r="S70">
        <f>COUNTIFS(A$1:A70,A70)</f>
        <v>6</v>
      </c>
      <c r="T70" t="str">
        <f t="shared" si="3"/>
        <v>Cody Parkey2</v>
      </c>
      <c r="U70">
        <f>IF(OR(NOT(ISERROR(MATCH(T70,Finals!$K$2:$K$1801,0))),AND(A70&gt;Week,Q70&lt;&gt;"NA")),"",A70)</f>
        <v>2</v>
      </c>
      <c r="V70" t="str">
        <f>IF(U70&lt;&gt;"",U70&amp;"-"&amp;COUNTIF(U$1:U70,U70),"")</f>
        <v>2-1</v>
      </c>
    </row>
    <row r="71" spans="1:22" x14ac:dyDescent="0.25">
      <c r="A71">
        <v>17</v>
      </c>
      <c r="B71" t="s">
        <v>452</v>
      </c>
      <c r="C71" t="s">
        <v>5081</v>
      </c>
      <c r="D71">
        <v>1.88</v>
      </c>
      <c r="E71">
        <v>2.1</v>
      </c>
      <c r="F71">
        <v>2.15</v>
      </c>
      <c r="G71">
        <v>2.17</v>
      </c>
      <c r="H71">
        <v>8.91</v>
      </c>
      <c r="I71" t="s">
        <v>56</v>
      </c>
      <c r="J71">
        <v>0.02</v>
      </c>
      <c r="K71">
        <v>0.22</v>
      </c>
      <c r="L71">
        <v>8.23</v>
      </c>
      <c r="M71">
        <v>13.91</v>
      </c>
      <c r="N71">
        <v>3.91</v>
      </c>
      <c r="O71">
        <v>5</v>
      </c>
      <c r="P71">
        <v>25</v>
      </c>
      <c r="Q71" t="str">
        <f>IFERROR(INDEX(Rosters!$C$2:$C$155,MATCH($B71,Rosters!$B$2:$B$155,0)),"NA")</f>
        <v>matty</v>
      </c>
      <c r="R71" t="str">
        <f t="shared" si="2"/>
        <v>matty17</v>
      </c>
      <c r="S71">
        <f>COUNTIFS(A$1:A71,A71)</f>
        <v>4</v>
      </c>
      <c r="T71" t="str">
        <f t="shared" si="3"/>
        <v>Robbie Gould17</v>
      </c>
      <c r="U71" t="str">
        <f>IF(OR(NOT(ISERROR(MATCH(T71,Finals!$K$2:$K$1801,0))),AND(A71&gt;Week,Q71&lt;&gt;"NA")),"",A71)</f>
        <v/>
      </c>
      <c r="V71" t="str">
        <f>IF(U71&lt;&gt;"",U71&amp;"-"&amp;COUNTIF(U$1:U71,U71),"")</f>
        <v/>
      </c>
    </row>
    <row r="72" spans="1:22" x14ac:dyDescent="0.25">
      <c r="A72">
        <v>17</v>
      </c>
      <c r="B72" t="s">
        <v>4164</v>
      </c>
      <c r="C72" t="s">
        <v>5082</v>
      </c>
      <c r="D72">
        <v>1.84</v>
      </c>
      <c r="E72">
        <v>2.08</v>
      </c>
      <c r="F72">
        <v>2.4900000000000002</v>
      </c>
      <c r="G72">
        <v>2.4900000000000002</v>
      </c>
      <c r="H72">
        <v>8.9499999999999993</v>
      </c>
      <c r="I72" t="s">
        <v>54</v>
      </c>
      <c r="J72">
        <v>0</v>
      </c>
      <c r="K72">
        <v>0.24</v>
      </c>
      <c r="L72">
        <v>8.23</v>
      </c>
      <c r="M72">
        <v>12.93</v>
      </c>
      <c r="N72">
        <v>4.97</v>
      </c>
      <c r="O72">
        <v>3.98</v>
      </c>
      <c r="P72">
        <v>15.840400000000001</v>
      </c>
      <c r="Q72" t="str">
        <f>IFERROR(INDEX(Rosters!$C$2:$C$155,MATCH($B72,Rosters!$B$2:$B$155,0)),"NA")</f>
        <v>NA</v>
      </c>
      <c r="R72" t="str">
        <f t="shared" si="2"/>
        <v>NA17</v>
      </c>
      <c r="S72">
        <f>COUNTIFS(A$1:A72,A72)</f>
        <v>5</v>
      </c>
      <c r="T72" t="str">
        <f t="shared" si="3"/>
        <v>Brett Maher17</v>
      </c>
      <c r="U72">
        <f>IF(OR(NOT(ISERROR(MATCH(T72,Finals!$K$2:$K$1801,0))),AND(A72&gt;Week,Q72&lt;&gt;"NA")),"",A72)</f>
        <v>17</v>
      </c>
      <c r="V72" t="str">
        <f>IF(U72&lt;&gt;"",U72&amp;"-"&amp;COUNTIF(U$1:U72,U72),"")</f>
        <v>17-3</v>
      </c>
    </row>
    <row r="73" spans="1:22" x14ac:dyDescent="0.25">
      <c r="A73">
        <v>8</v>
      </c>
      <c r="B73" t="s">
        <v>464</v>
      </c>
      <c r="C73" t="s">
        <v>5083</v>
      </c>
      <c r="D73">
        <v>1.68</v>
      </c>
      <c r="E73">
        <v>1.89</v>
      </c>
      <c r="F73">
        <v>3.07</v>
      </c>
      <c r="G73">
        <v>3.11</v>
      </c>
      <c r="H73">
        <v>8.89</v>
      </c>
      <c r="I73" t="s">
        <v>41</v>
      </c>
      <c r="J73">
        <v>0.04</v>
      </c>
      <c r="K73">
        <v>0.21</v>
      </c>
      <c r="L73">
        <v>8.2200000000000006</v>
      </c>
      <c r="M73">
        <v>13.1</v>
      </c>
      <c r="N73">
        <v>4.68</v>
      </c>
      <c r="O73">
        <v>4.21</v>
      </c>
      <c r="P73">
        <v>17.7241</v>
      </c>
      <c r="Q73" t="str">
        <f>IFERROR(INDEX(Rosters!$C$2:$C$155,MATCH($B73,Rosters!$B$2:$B$155,0)),"NA")</f>
        <v>NA</v>
      </c>
      <c r="R73" t="str">
        <f t="shared" si="2"/>
        <v>NA8</v>
      </c>
      <c r="S73">
        <f>COUNTIFS(A$1:A73,A73)</f>
        <v>1</v>
      </c>
      <c r="T73" t="str">
        <f t="shared" si="3"/>
        <v>Greg Zuerlein8</v>
      </c>
      <c r="U73">
        <f>IF(OR(NOT(ISERROR(MATCH(T73,Finals!$K$2:$K$1801,0))),AND(A73&gt;Week,Q73&lt;&gt;"NA")),"",A73)</f>
        <v>8</v>
      </c>
      <c r="V73" t="str">
        <f>IF(U73&lt;&gt;"",U73&amp;"-"&amp;COUNTIF(U$1:U73,U73),"")</f>
        <v>8-1</v>
      </c>
    </row>
    <row r="74" spans="1:22" x14ac:dyDescent="0.25">
      <c r="A74">
        <v>17</v>
      </c>
      <c r="B74" t="s">
        <v>1119</v>
      </c>
      <c r="C74" t="s">
        <v>5084</v>
      </c>
      <c r="D74">
        <v>1.42</v>
      </c>
      <c r="E74">
        <v>1.48</v>
      </c>
      <c r="F74">
        <v>3.59</v>
      </c>
      <c r="G74">
        <v>3.65</v>
      </c>
      <c r="H74">
        <v>8.4600000000000009</v>
      </c>
      <c r="I74" t="s">
        <v>36</v>
      </c>
      <c r="J74">
        <v>6.0000000000000102E-2</v>
      </c>
      <c r="K74">
        <v>6.0000000000000102E-2</v>
      </c>
      <c r="L74">
        <v>8.2200000000000006</v>
      </c>
      <c r="M74">
        <v>12.26</v>
      </c>
      <c r="N74">
        <v>4.66</v>
      </c>
      <c r="O74">
        <v>3.8</v>
      </c>
      <c r="P74">
        <v>14.44</v>
      </c>
      <c r="Q74" t="str">
        <f>IFERROR(INDEX(Rosters!$C$2:$C$155,MATCH($B74,Rosters!$B$2:$B$155,0)),"NA")</f>
        <v>scott</v>
      </c>
      <c r="R74" t="str">
        <f t="shared" si="2"/>
        <v>scott17</v>
      </c>
      <c r="S74">
        <f>COUNTIFS(A$1:A74,A74)</f>
        <v>6</v>
      </c>
      <c r="T74" t="str">
        <f t="shared" si="3"/>
        <v>Josh Lambo17</v>
      </c>
      <c r="U74" t="str">
        <f>IF(OR(NOT(ISERROR(MATCH(T74,Finals!$K$2:$K$1801,0))),AND(A74&gt;Week,Q74&lt;&gt;"NA")),"",A74)</f>
        <v/>
      </c>
      <c r="V74" t="str">
        <f>IF(U74&lt;&gt;"",U74&amp;"-"&amp;COUNTIF(U$1:U74,U74),"")</f>
        <v/>
      </c>
    </row>
    <row r="75" spans="1:22" x14ac:dyDescent="0.25">
      <c r="A75">
        <v>11</v>
      </c>
      <c r="B75" t="s">
        <v>447</v>
      </c>
      <c r="C75" t="s">
        <v>5085</v>
      </c>
      <c r="D75">
        <v>1.97</v>
      </c>
      <c r="E75">
        <v>2.2200000000000002</v>
      </c>
      <c r="F75">
        <v>2.14</v>
      </c>
      <c r="G75">
        <v>2.16</v>
      </c>
      <c r="H75">
        <v>8.99</v>
      </c>
      <c r="I75" t="s">
        <v>31</v>
      </c>
      <c r="J75">
        <v>0.02</v>
      </c>
      <c r="K75">
        <v>0.25</v>
      </c>
      <c r="L75">
        <v>8.2200000000000006</v>
      </c>
      <c r="M75">
        <v>13.64</v>
      </c>
      <c r="N75">
        <v>4.34</v>
      </c>
      <c r="O75">
        <v>4.6500000000000004</v>
      </c>
      <c r="P75">
        <v>21.622499999999999</v>
      </c>
      <c r="Q75" t="str">
        <f>IFERROR(INDEX(Rosters!$C$2:$C$155,MATCH($B75,Rosters!$B$2:$B$155,0)),"NA")</f>
        <v>chad</v>
      </c>
      <c r="R75" t="str">
        <f t="shared" si="2"/>
        <v>chad11</v>
      </c>
      <c r="S75">
        <f>COUNTIFS(A$1:A75,A75)</f>
        <v>3</v>
      </c>
      <c r="T75" t="str">
        <f t="shared" si="3"/>
        <v>Justin Tucker11</v>
      </c>
      <c r="U75" t="str">
        <f>IF(OR(NOT(ISERROR(MATCH(T75,Finals!$K$2:$K$1801,0))),AND(A75&gt;Week,Q75&lt;&gt;"NA")),"",A75)</f>
        <v/>
      </c>
      <c r="V75" t="str">
        <f>IF(U75&lt;&gt;"",U75&amp;"-"&amp;COUNTIF(U$1:U75,U75),"")</f>
        <v/>
      </c>
    </row>
    <row r="76" spans="1:22" x14ac:dyDescent="0.25">
      <c r="A76">
        <v>8</v>
      </c>
      <c r="B76" t="s">
        <v>454</v>
      </c>
      <c r="C76" t="s">
        <v>5086</v>
      </c>
      <c r="D76">
        <v>1.71</v>
      </c>
      <c r="E76">
        <v>1.95</v>
      </c>
      <c r="F76">
        <v>3.27</v>
      </c>
      <c r="G76">
        <v>3.36</v>
      </c>
      <c r="H76">
        <v>8.99</v>
      </c>
      <c r="I76" t="s">
        <v>17</v>
      </c>
      <c r="J76">
        <v>8.99999999999999E-2</v>
      </c>
      <c r="K76">
        <v>0.24</v>
      </c>
      <c r="L76">
        <v>8.18</v>
      </c>
      <c r="M76">
        <v>12.95</v>
      </c>
      <c r="N76">
        <v>5.03</v>
      </c>
      <c r="O76">
        <v>3.96</v>
      </c>
      <c r="P76">
        <v>15.6816</v>
      </c>
      <c r="Q76" t="str">
        <f>IFERROR(INDEX(Rosters!$C$2:$C$155,MATCH($B76,Rosters!$B$2:$B$155,0)),"NA")</f>
        <v>NA</v>
      </c>
      <c r="R76" t="str">
        <f t="shared" si="2"/>
        <v>NA8</v>
      </c>
      <c r="S76">
        <f>COUNTIFS(A$1:A76,A76)</f>
        <v>2</v>
      </c>
      <c r="T76" t="str">
        <f t="shared" si="3"/>
        <v>Randy Bullock8</v>
      </c>
      <c r="U76">
        <f>IF(OR(NOT(ISERROR(MATCH(T76,Finals!$K$2:$K$1801,0))),AND(A76&gt;Week,Q76&lt;&gt;"NA")),"",A76)</f>
        <v>8</v>
      </c>
      <c r="V76" t="str">
        <f>IF(U76&lt;&gt;"",U76&amp;"-"&amp;COUNTIF(U$1:U76,U76),"")</f>
        <v>8-2</v>
      </c>
    </row>
    <row r="77" spans="1:22" x14ac:dyDescent="0.25">
      <c r="A77">
        <v>15</v>
      </c>
      <c r="B77" t="s">
        <v>446</v>
      </c>
      <c r="C77" t="s">
        <v>5087</v>
      </c>
      <c r="D77">
        <v>2.06</v>
      </c>
      <c r="E77">
        <v>2.41</v>
      </c>
      <c r="F77">
        <v>2.2799999999999998</v>
      </c>
      <c r="G77">
        <v>2.2999999999999998</v>
      </c>
      <c r="H77">
        <v>9.25</v>
      </c>
      <c r="I77" t="s">
        <v>51</v>
      </c>
      <c r="J77">
        <v>0.02</v>
      </c>
      <c r="K77">
        <v>0.35</v>
      </c>
      <c r="L77">
        <v>8.18</v>
      </c>
      <c r="M77">
        <v>13.49</v>
      </c>
      <c r="N77">
        <v>5.01</v>
      </c>
      <c r="O77">
        <v>4.24</v>
      </c>
      <c r="P77">
        <v>17.977599999999999</v>
      </c>
      <c r="Q77" t="str">
        <f>IFERROR(INDEX(Rosters!$C$2:$C$155,MATCH($B77,Rosters!$B$2:$B$155,0)),"NA")</f>
        <v>comp</v>
      </c>
      <c r="R77" t="str">
        <f t="shared" si="2"/>
        <v>comp15</v>
      </c>
      <c r="S77">
        <f>COUNTIFS(A$1:A77,A77)</f>
        <v>4</v>
      </c>
      <c r="T77" t="str">
        <f t="shared" si="3"/>
        <v>Stephen Gostkowski15</v>
      </c>
      <c r="U77" t="str">
        <f>IF(OR(NOT(ISERROR(MATCH(T77,Finals!$K$2:$K$1801,0))),AND(A77&gt;Week,Q77&lt;&gt;"NA")),"",A77)</f>
        <v/>
      </c>
      <c r="V77" t="str">
        <f>IF(U77&lt;&gt;"",U77&amp;"-"&amp;COUNTIF(U$1:U77,U77),"")</f>
        <v/>
      </c>
    </row>
    <row r="78" spans="1:22" x14ac:dyDescent="0.25">
      <c r="A78">
        <v>9</v>
      </c>
      <c r="B78" t="s">
        <v>447</v>
      </c>
      <c r="C78" t="s">
        <v>5088</v>
      </c>
      <c r="D78">
        <v>1.87</v>
      </c>
      <c r="E78">
        <v>2.08</v>
      </c>
      <c r="F78">
        <v>2.2599999999999998</v>
      </c>
      <c r="G78">
        <v>2.2799999999999998</v>
      </c>
      <c r="H78">
        <v>8.82</v>
      </c>
      <c r="I78" t="s">
        <v>51</v>
      </c>
      <c r="J78">
        <v>0.02</v>
      </c>
      <c r="K78">
        <v>0.21</v>
      </c>
      <c r="L78">
        <v>8.17</v>
      </c>
      <c r="M78">
        <v>13.29</v>
      </c>
      <c r="N78">
        <v>4.3499999999999996</v>
      </c>
      <c r="O78">
        <v>4.47</v>
      </c>
      <c r="P78">
        <v>19.980899999999998</v>
      </c>
      <c r="Q78" t="str">
        <f>IFERROR(INDEX(Rosters!$C$2:$C$155,MATCH($B78,Rosters!$B$2:$B$155,0)),"NA")</f>
        <v>chad</v>
      </c>
      <c r="R78" t="str">
        <f t="shared" si="2"/>
        <v>chad9</v>
      </c>
      <c r="S78">
        <f>COUNTIFS(A$1:A78,A78)</f>
        <v>6</v>
      </c>
      <c r="T78" t="str">
        <f t="shared" si="3"/>
        <v>Justin Tucker9</v>
      </c>
      <c r="U78" t="str">
        <f>IF(OR(NOT(ISERROR(MATCH(T78,Finals!$K$2:$K$1801,0))),AND(A78&gt;Week,Q78&lt;&gt;"NA")),"",A78)</f>
        <v/>
      </c>
      <c r="V78" t="str">
        <f>IF(U78&lt;&gt;"",U78&amp;"-"&amp;COUNTIF(U$1:U78,U78),"")</f>
        <v/>
      </c>
    </row>
    <row r="79" spans="1:22" x14ac:dyDescent="0.25">
      <c r="A79">
        <v>9</v>
      </c>
      <c r="B79" t="s">
        <v>462</v>
      </c>
      <c r="C79" t="s">
        <v>5089</v>
      </c>
      <c r="D79">
        <v>1.85</v>
      </c>
      <c r="E79">
        <v>2.14</v>
      </c>
      <c r="F79">
        <v>2.73</v>
      </c>
      <c r="G79">
        <v>2.81</v>
      </c>
      <c r="H79">
        <v>9.1199999999999992</v>
      </c>
      <c r="I79" t="s">
        <v>56</v>
      </c>
      <c r="J79">
        <v>8.0000000000000099E-2</v>
      </c>
      <c r="K79">
        <v>0.28999999999999998</v>
      </c>
      <c r="L79">
        <v>8.17</v>
      </c>
      <c r="M79">
        <v>13.54</v>
      </c>
      <c r="N79">
        <v>4.7</v>
      </c>
      <c r="O79">
        <v>4.42</v>
      </c>
      <c r="P79">
        <v>19.5364</v>
      </c>
      <c r="Q79" t="str">
        <f>IFERROR(INDEX(Rosters!$C$2:$C$155,MATCH($B79,Rosters!$B$2:$B$155,0)),"NA")</f>
        <v>cory</v>
      </c>
      <c r="R79" t="str">
        <f t="shared" si="2"/>
        <v>cory9</v>
      </c>
      <c r="S79">
        <f>COUNTIFS(A$1:A79,A79)</f>
        <v>7</v>
      </c>
      <c r="T79" t="str">
        <f t="shared" si="3"/>
        <v>Wil Lutz9</v>
      </c>
      <c r="U79" t="str">
        <f>IF(OR(NOT(ISERROR(MATCH(T79,Finals!$K$2:$K$1801,0))),AND(A79&gt;Week,Q79&lt;&gt;"NA")),"",A79)</f>
        <v/>
      </c>
      <c r="V79" t="str">
        <f>IF(U79&lt;&gt;"",U79&amp;"-"&amp;COUNTIF(U$1:U79,U79),"")</f>
        <v/>
      </c>
    </row>
    <row r="80" spans="1:22" x14ac:dyDescent="0.25">
      <c r="A80">
        <v>3</v>
      </c>
      <c r="B80" t="s">
        <v>998</v>
      </c>
      <c r="C80" t="s">
        <v>4371</v>
      </c>
      <c r="D80">
        <v>1.57</v>
      </c>
      <c r="E80">
        <v>1.69</v>
      </c>
      <c r="F80">
        <v>3.19</v>
      </c>
      <c r="G80">
        <v>3.23</v>
      </c>
      <c r="H80">
        <v>8.5500000000000007</v>
      </c>
      <c r="I80" t="s">
        <v>66</v>
      </c>
      <c r="J80">
        <v>0.04</v>
      </c>
      <c r="K80">
        <v>0.12</v>
      </c>
      <c r="L80">
        <v>8.15</v>
      </c>
      <c r="M80">
        <v>12.88</v>
      </c>
      <c r="N80">
        <v>4.22</v>
      </c>
      <c r="O80">
        <v>4.33</v>
      </c>
      <c r="P80">
        <v>18.748899999999999</v>
      </c>
      <c r="Q80" t="str">
        <f>IFERROR(INDEX(Rosters!$C$2:$C$155,MATCH($B80,Rosters!$B$2:$B$155,0)),"NA")</f>
        <v>NA</v>
      </c>
      <c r="R80" t="str">
        <f t="shared" si="2"/>
        <v>NA3</v>
      </c>
      <c r="S80">
        <f>COUNTIFS(A$1:A80,A80)</f>
        <v>8</v>
      </c>
      <c r="T80" t="str">
        <f t="shared" si="3"/>
        <v>Jake Elliott3</v>
      </c>
      <c r="U80">
        <f>IF(OR(NOT(ISERROR(MATCH(T80,Finals!$K$2:$K$1801,0))),AND(A80&gt;Week,Q80&lt;&gt;"NA")),"",A80)</f>
        <v>3</v>
      </c>
      <c r="V80" t="str">
        <f>IF(U80&lt;&gt;"",U80&amp;"-"&amp;COUNTIF(U$1:U80,U80),"")</f>
        <v>3-3</v>
      </c>
    </row>
    <row r="81" spans="1:22" x14ac:dyDescent="0.25">
      <c r="A81">
        <v>2</v>
      </c>
      <c r="B81" t="s">
        <v>998</v>
      </c>
      <c r="C81" t="s">
        <v>3581</v>
      </c>
      <c r="D81">
        <v>1.81</v>
      </c>
      <c r="E81">
        <v>2.0299999999999998</v>
      </c>
      <c r="F81">
        <v>2.75</v>
      </c>
      <c r="G81">
        <v>2.8</v>
      </c>
      <c r="H81">
        <v>8.86</v>
      </c>
      <c r="I81" t="s">
        <v>17</v>
      </c>
      <c r="J81">
        <v>4.9999999999999802E-2</v>
      </c>
      <c r="K81">
        <v>0.22</v>
      </c>
      <c r="L81">
        <v>8.15</v>
      </c>
      <c r="M81">
        <v>13.19</v>
      </c>
      <c r="N81">
        <v>4.53</v>
      </c>
      <c r="O81">
        <v>4.33</v>
      </c>
      <c r="P81">
        <v>18.748899999999999</v>
      </c>
      <c r="Q81" t="str">
        <f>IFERROR(INDEX(Rosters!$C$2:$C$155,MATCH($B81,Rosters!$B$2:$B$155,0)),"NA")</f>
        <v>NA</v>
      </c>
      <c r="R81" t="str">
        <f t="shared" si="2"/>
        <v>NA2</v>
      </c>
      <c r="S81">
        <f>COUNTIFS(A$1:A81,A81)</f>
        <v>7</v>
      </c>
      <c r="T81" t="str">
        <f t="shared" si="3"/>
        <v>Jake Elliott2</v>
      </c>
      <c r="U81" t="str">
        <f>IF(OR(NOT(ISERROR(MATCH(T81,Finals!$K$2:$K$1801,0))),AND(A81&gt;Week,Q81&lt;&gt;"NA")),"",A81)</f>
        <v/>
      </c>
      <c r="V81" t="str">
        <f>IF(U81&lt;&gt;"",U81&amp;"-"&amp;COUNTIF(U$1:U81,U81),"")</f>
        <v/>
      </c>
    </row>
    <row r="82" spans="1:22" x14ac:dyDescent="0.25">
      <c r="A82">
        <v>14</v>
      </c>
      <c r="B82" t="s">
        <v>449</v>
      </c>
      <c r="C82" t="s">
        <v>5090</v>
      </c>
      <c r="D82">
        <v>1.6</v>
      </c>
      <c r="E82">
        <v>1.73</v>
      </c>
      <c r="F82">
        <v>2.98</v>
      </c>
      <c r="G82">
        <v>2.98</v>
      </c>
      <c r="H82">
        <v>8.5299999999999994</v>
      </c>
      <c r="I82" t="s">
        <v>41</v>
      </c>
      <c r="J82">
        <v>0</v>
      </c>
      <c r="K82">
        <v>0.13</v>
      </c>
      <c r="L82">
        <v>8.14</v>
      </c>
      <c r="M82">
        <v>12.13</v>
      </c>
      <c r="N82">
        <v>4.93</v>
      </c>
      <c r="O82">
        <v>3.6</v>
      </c>
      <c r="P82">
        <v>12.96</v>
      </c>
      <c r="Q82" t="str">
        <f>IFERROR(INDEX(Rosters!$C$2:$C$155,MATCH($B82,Rosters!$B$2:$B$155,0)),"NA")</f>
        <v>lucas</v>
      </c>
      <c r="R82" t="str">
        <f t="shared" si="2"/>
        <v>lucas14</v>
      </c>
      <c r="S82">
        <f>COUNTIFS(A$1:A82,A82)</f>
        <v>3</v>
      </c>
      <c r="T82" t="str">
        <f t="shared" si="3"/>
        <v>Matt Bryant14</v>
      </c>
      <c r="U82" t="str">
        <f>IF(OR(NOT(ISERROR(MATCH(T82,Finals!$K$2:$K$1801,0))),AND(A82&gt;Week,Q82&lt;&gt;"NA")),"",A82)</f>
        <v/>
      </c>
      <c r="V82" t="str">
        <f>IF(U82&lt;&gt;"",U82&amp;"-"&amp;COUNTIF(U$1:U82,U82),"")</f>
        <v/>
      </c>
    </row>
    <row r="83" spans="1:22" x14ac:dyDescent="0.25">
      <c r="A83">
        <v>2</v>
      </c>
      <c r="B83" t="s">
        <v>455</v>
      </c>
      <c r="C83" t="s">
        <v>3582</v>
      </c>
      <c r="D83">
        <v>1.91</v>
      </c>
      <c r="E83">
        <v>2.27</v>
      </c>
      <c r="F83">
        <v>2.63</v>
      </c>
      <c r="G83">
        <v>2.75</v>
      </c>
      <c r="H83">
        <v>9.32</v>
      </c>
      <c r="I83" t="s">
        <v>24</v>
      </c>
      <c r="J83">
        <v>0.12</v>
      </c>
      <c r="K83">
        <v>0.36</v>
      </c>
      <c r="L83">
        <v>8.1199999999999992</v>
      </c>
      <c r="M83">
        <v>13.44</v>
      </c>
      <c r="N83">
        <v>5.2</v>
      </c>
      <c r="O83">
        <v>4.12</v>
      </c>
      <c r="P83">
        <v>16.974399999999999</v>
      </c>
      <c r="Q83" t="str">
        <f>IFERROR(INDEX(Rosters!$C$2:$C$155,MATCH($B83,Rosters!$B$2:$B$155,0)),"NA")</f>
        <v>NA</v>
      </c>
      <c r="R83" t="str">
        <f t="shared" si="2"/>
        <v>NA2</v>
      </c>
      <c r="S83">
        <f>COUNTIFS(A$1:A83,A83)</f>
        <v>8</v>
      </c>
      <c r="T83" t="str">
        <f t="shared" si="3"/>
        <v>Chris Boswell2</v>
      </c>
      <c r="U83" t="str">
        <f>IF(OR(NOT(ISERROR(MATCH(T83,Finals!$K$2:$K$1801,0))),AND(A83&gt;Week,Q83&lt;&gt;"NA")),"",A83)</f>
        <v/>
      </c>
      <c r="V83" t="str">
        <f>IF(U83&lt;&gt;"",U83&amp;"-"&amp;COUNTIF(U$1:U83,U83),"")</f>
        <v/>
      </c>
    </row>
    <row r="84" spans="1:22" x14ac:dyDescent="0.25">
      <c r="A84">
        <v>16</v>
      </c>
      <c r="B84" t="s">
        <v>1216</v>
      </c>
      <c r="C84" t="s">
        <v>5091</v>
      </c>
      <c r="D84">
        <v>1.89</v>
      </c>
      <c r="E84">
        <v>2.2400000000000002</v>
      </c>
      <c r="F84">
        <v>2.82</v>
      </c>
      <c r="G84">
        <v>2.84</v>
      </c>
      <c r="H84">
        <v>9.18</v>
      </c>
      <c r="I84" t="s">
        <v>24</v>
      </c>
      <c r="J84">
        <v>0.02</v>
      </c>
      <c r="K84">
        <v>0.35</v>
      </c>
      <c r="L84">
        <v>8.11</v>
      </c>
      <c r="M84">
        <v>13.54</v>
      </c>
      <c r="N84">
        <v>4.82</v>
      </c>
      <c r="O84">
        <v>4.3600000000000003</v>
      </c>
      <c r="P84">
        <v>19.009599999999999</v>
      </c>
      <c r="Q84" t="str">
        <f>IFERROR(INDEX(Rosters!$C$2:$C$155,MATCH($B84,Rosters!$B$2:$B$155,0)),"NA")</f>
        <v>NA</v>
      </c>
      <c r="R84" t="str">
        <f t="shared" si="2"/>
        <v>NA16</v>
      </c>
      <c r="S84">
        <f>COUNTIFS(A$1:A84,A84)</f>
        <v>4</v>
      </c>
      <c r="T84" t="str">
        <f t="shared" si="3"/>
        <v>Sebastian Janikowski16</v>
      </c>
      <c r="U84">
        <f>IF(OR(NOT(ISERROR(MATCH(T84,Finals!$K$2:$K$1801,0))),AND(A84&gt;Week,Q84&lt;&gt;"NA")),"",A84)</f>
        <v>16</v>
      </c>
      <c r="V84" t="str">
        <f>IF(U84&lt;&gt;"",U84&amp;"-"&amp;COUNTIF(U$1:U84,U84),"")</f>
        <v>16-3</v>
      </c>
    </row>
    <row r="85" spans="1:22" x14ac:dyDescent="0.25">
      <c r="A85">
        <v>14</v>
      </c>
      <c r="B85" t="s">
        <v>446</v>
      </c>
      <c r="C85" t="s">
        <v>5092</v>
      </c>
      <c r="D85">
        <v>1.89</v>
      </c>
      <c r="E85">
        <v>2.2400000000000002</v>
      </c>
      <c r="F85">
        <v>2.7</v>
      </c>
      <c r="G85">
        <v>2.7</v>
      </c>
      <c r="H85">
        <v>9.16</v>
      </c>
      <c r="I85" t="s">
        <v>19</v>
      </c>
      <c r="J85">
        <v>0</v>
      </c>
      <c r="K85">
        <v>0.35</v>
      </c>
      <c r="L85">
        <v>8.11</v>
      </c>
      <c r="M85">
        <v>13.24</v>
      </c>
      <c r="N85">
        <v>5.08</v>
      </c>
      <c r="O85">
        <v>4.08</v>
      </c>
      <c r="P85">
        <v>16.6464</v>
      </c>
      <c r="Q85" t="str">
        <f>IFERROR(INDEX(Rosters!$C$2:$C$155,MATCH($B85,Rosters!$B$2:$B$155,0)),"NA")</f>
        <v>comp</v>
      </c>
      <c r="R85" t="str">
        <f t="shared" si="2"/>
        <v>comp14</v>
      </c>
      <c r="S85">
        <f>COUNTIFS(A$1:A85,A85)</f>
        <v>4</v>
      </c>
      <c r="T85" t="str">
        <f t="shared" si="3"/>
        <v>Stephen Gostkowski14</v>
      </c>
      <c r="U85" t="str">
        <f>IF(OR(NOT(ISERROR(MATCH(T85,Finals!$K$2:$K$1801,0))),AND(A85&gt;Week,Q85&lt;&gt;"NA")),"",A85)</f>
        <v/>
      </c>
      <c r="V85" t="str">
        <f>IF(U85&lt;&gt;"",U85&amp;"-"&amp;COUNTIF(U$1:U85,U85),"")</f>
        <v/>
      </c>
    </row>
    <row r="86" spans="1:22" x14ac:dyDescent="0.25">
      <c r="A86">
        <v>7</v>
      </c>
      <c r="B86" t="s">
        <v>459</v>
      </c>
      <c r="C86" t="s">
        <v>5093</v>
      </c>
      <c r="D86">
        <v>1.87</v>
      </c>
      <c r="E86">
        <v>2.13</v>
      </c>
      <c r="F86">
        <v>2.57</v>
      </c>
      <c r="G86">
        <v>2.59</v>
      </c>
      <c r="H86">
        <v>8.9</v>
      </c>
      <c r="I86" t="s">
        <v>423</v>
      </c>
      <c r="J86">
        <v>0.02</v>
      </c>
      <c r="K86">
        <v>0.26</v>
      </c>
      <c r="L86">
        <v>8.1</v>
      </c>
      <c r="M86">
        <v>12.98</v>
      </c>
      <c r="N86">
        <v>4.82</v>
      </c>
      <c r="O86">
        <v>4.08</v>
      </c>
      <c r="P86">
        <v>16.6464</v>
      </c>
      <c r="Q86" t="str">
        <f>IFERROR(INDEX(Rosters!$C$2:$C$155,MATCH($B86,Rosters!$B$2:$B$155,0)),"NA")</f>
        <v>NA</v>
      </c>
      <c r="R86" t="str">
        <f t="shared" si="2"/>
        <v>NA7</v>
      </c>
      <c r="S86">
        <f>COUNTIFS(A$1:A86,A86)</f>
        <v>6</v>
      </c>
      <c r="T86" t="str">
        <f t="shared" si="3"/>
        <v>Cody Parkey7</v>
      </c>
      <c r="U86">
        <f>IF(OR(NOT(ISERROR(MATCH(T86,Finals!$K$2:$K$1801,0))),AND(A86&gt;Week,Q86&lt;&gt;"NA")),"",A86)</f>
        <v>7</v>
      </c>
      <c r="V86" t="str">
        <f>IF(U86&lt;&gt;"",U86&amp;"-"&amp;COUNTIF(U$1:U86,U86),"")</f>
        <v>7-2</v>
      </c>
    </row>
    <row r="87" spans="1:22" x14ac:dyDescent="0.25">
      <c r="A87">
        <v>10</v>
      </c>
      <c r="B87" t="s">
        <v>462</v>
      </c>
      <c r="C87" t="s">
        <v>5094</v>
      </c>
      <c r="D87">
        <v>1.87</v>
      </c>
      <c r="E87">
        <v>2.13</v>
      </c>
      <c r="F87">
        <v>2.39</v>
      </c>
      <c r="G87">
        <v>2.5099999999999998</v>
      </c>
      <c r="H87">
        <v>9</v>
      </c>
      <c r="I87" t="s">
        <v>31</v>
      </c>
      <c r="J87">
        <v>0.12</v>
      </c>
      <c r="K87">
        <v>0.26</v>
      </c>
      <c r="L87">
        <v>8.1</v>
      </c>
      <c r="M87">
        <v>13.32</v>
      </c>
      <c r="N87">
        <v>4.68</v>
      </c>
      <c r="O87">
        <v>4.32</v>
      </c>
      <c r="P87">
        <v>18.662400000000002</v>
      </c>
      <c r="Q87" t="str">
        <f>IFERROR(INDEX(Rosters!$C$2:$C$155,MATCH($B87,Rosters!$B$2:$B$155,0)),"NA")</f>
        <v>cory</v>
      </c>
      <c r="R87" t="str">
        <f t="shared" si="2"/>
        <v>cory10</v>
      </c>
      <c r="S87">
        <f>COUNTIFS(A$1:A87,A87)</f>
        <v>3</v>
      </c>
      <c r="T87" t="str">
        <f t="shared" si="3"/>
        <v>Wil Lutz10</v>
      </c>
      <c r="U87" t="str">
        <f>IF(OR(NOT(ISERROR(MATCH(T87,Finals!$K$2:$K$1801,0))),AND(A87&gt;Week,Q87&lt;&gt;"NA")),"",A87)</f>
        <v/>
      </c>
      <c r="V87" t="str">
        <f>IF(U87&lt;&gt;"",U87&amp;"-"&amp;COUNTIF(U$1:U87,U87),"")</f>
        <v/>
      </c>
    </row>
    <row r="88" spans="1:22" x14ac:dyDescent="0.25">
      <c r="A88">
        <v>4</v>
      </c>
      <c r="B88" t="s">
        <v>1108</v>
      </c>
      <c r="C88" t="s">
        <v>5095</v>
      </c>
      <c r="D88">
        <v>1.64</v>
      </c>
      <c r="E88">
        <v>1.91</v>
      </c>
      <c r="F88">
        <v>2.6</v>
      </c>
      <c r="G88">
        <v>2.65</v>
      </c>
      <c r="H88">
        <v>8.9499999999999993</v>
      </c>
      <c r="I88" t="s">
        <v>42</v>
      </c>
      <c r="J88">
        <v>4.9999999999999802E-2</v>
      </c>
      <c r="K88">
        <v>0.27</v>
      </c>
      <c r="L88">
        <v>8.09</v>
      </c>
      <c r="M88">
        <v>13.44</v>
      </c>
      <c r="N88">
        <v>4.46</v>
      </c>
      <c r="O88">
        <v>4.49</v>
      </c>
      <c r="P88">
        <v>20.1601</v>
      </c>
      <c r="Q88" t="str">
        <f>IFERROR(INDEX(Rosters!$C$2:$C$155,MATCH($B88,Rosters!$B$2:$B$155,0)),"NA")</f>
        <v>seth</v>
      </c>
      <c r="R88" t="str">
        <f t="shared" si="2"/>
        <v>seth4</v>
      </c>
      <c r="S88">
        <f>COUNTIFS(A$1:A88,A88)</f>
        <v>7</v>
      </c>
      <c r="T88" t="str">
        <f t="shared" si="3"/>
        <v>Harrison Butker4</v>
      </c>
      <c r="U88" t="str">
        <f>IF(OR(NOT(ISERROR(MATCH(T88,Finals!$K$2:$K$1801,0))),AND(A88&gt;Week,Q88&lt;&gt;"NA")),"",A88)</f>
        <v/>
      </c>
      <c r="V88" t="str">
        <f>IF(U88&lt;&gt;"",U88&amp;"-"&amp;COUNTIF(U$1:U88,U88),"")</f>
        <v/>
      </c>
    </row>
    <row r="89" spans="1:22" x14ac:dyDescent="0.25">
      <c r="A89">
        <v>6</v>
      </c>
      <c r="B89" t="s">
        <v>1216</v>
      </c>
      <c r="C89" t="s">
        <v>5096</v>
      </c>
      <c r="D89">
        <v>1.93</v>
      </c>
      <c r="E89">
        <v>2.2200000000000002</v>
      </c>
      <c r="F89">
        <v>2.5299999999999998</v>
      </c>
      <c r="G89">
        <v>2.56</v>
      </c>
      <c r="H89">
        <v>8.99</v>
      </c>
      <c r="I89" t="s">
        <v>32</v>
      </c>
      <c r="J89">
        <v>3.00000000000002E-2</v>
      </c>
      <c r="K89">
        <v>0.28999999999999998</v>
      </c>
      <c r="L89">
        <v>8.09</v>
      </c>
      <c r="M89">
        <v>13</v>
      </c>
      <c r="N89">
        <v>4.9800000000000004</v>
      </c>
      <c r="O89">
        <v>4.01</v>
      </c>
      <c r="P89">
        <v>16.080100000000002</v>
      </c>
      <c r="Q89" t="str">
        <f>IFERROR(INDEX(Rosters!$C$2:$C$155,MATCH($B89,Rosters!$B$2:$B$155,0)),"NA")</f>
        <v>NA</v>
      </c>
      <c r="R89" t="str">
        <f t="shared" si="2"/>
        <v>NA6</v>
      </c>
      <c r="S89">
        <f>COUNTIFS(A$1:A89,A89)</f>
        <v>3</v>
      </c>
      <c r="T89" t="str">
        <f t="shared" si="3"/>
        <v>Sebastian Janikowski6</v>
      </c>
      <c r="U89">
        <f>IF(OR(NOT(ISERROR(MATCH(T89,Finals!$K$2:$K$1801,0))),AND(A89&gt;Week,Q89&lt;&gt;"NA")),"",A89)</f>
        <v>6</v>
      </c>
      <c r="V89" t="str">
        <f>IF(U89&lt;&gt;"",U89&amp;"-"&amp;COUNTIF(U$1:U89,U89),"")</f>
        <v>6-1</v>
      </c>
    </row>
    <row r="90" spans="1:22" x14ac:dyDescent="0.25">
      <c r="A90">
        <v>11</v>
      </c>
      <c r="B90" t="s">
        <v>4164</v>
      </c>
      <c r="C90" t="s">
        <v>5097</v>
      </c>
      <c r="D90">
        <v>1.79</v>
      </c>
      <c r="E90">
        <v>2.02</v>
      </c>
      <c r="F90">
        <v>2.4900000000000002</v>
      </c>
      <c r="G90">
        <v>2.4900000000000002</v>
      </c>
      <c r="H90">
        <v>8.76</v>
      </c>
      <c r="I90" t="s">
        <v>46</v>
      </c>
      <c r="J90">
        <v>0</v>
      </c>
      <c r="K90">
        <v>0.23</v>
      </c>
      <c r="L90">
        <v>8.07</v>
      </c>
      <c r="M90">
        <v>12.76</v>
      </c>
      <c r="N90">
        <v>4.76</v>
      </c>
      <c r="O90">
        <v>4</v>
      </c>
      <c r="P90">
        <v>16</v>
      </c>
      <c r="Q90" t="str">
        <f>IFERROR(INDEX(Rosters!$C$2:$C$155,MATCH($B90,Rosters!$B$2:$B$155,0)),"NA")</f>
        <v>NA</v>
      </c>
      <c r="R90" t="str">
        <f t="shared" si="2"/>
        <v>NA11</v>
      </c>
      <c r="S90">
        <f>COUNTIFS(A$1:A90,A90)</f>
        <v>4</v>
      </c>
      <c r="T90" t="str">
        <f t="shared" si="3"/>
        <v>Brett Maher11</v>
      </c>
      <c r="U90">
        <f>IF(OR(NOT(ISERROR(MATCH(T90,Finals!$K$2:$K$1801,0))),AND(A90&gt;Week,Q90&lt;&gt;"NA")),"",A90)</f>
        <v>11</v>
      </c>
      <c r="V90" t="str">
        <f>IF(U90&lt;&gt;"",U90&amp;"-"&amp;COUNTIF(U$1:U90,U90),"")</f>
        <v>11-2</v>
      </c>
    </row>
    <row r="91" spans="1:22" x14ac:dyDescent="0.25">
      <c r="A91">
        <v>15</v>
      </c>
      <c r="B91" t="s">
        <v>4164</v>
      </c>
      <c r="C91" t="s">
        <v>5098</v>
      </c>
      <c r="D91">
        <v>1.84</v>
      </c>
      <c r="E91">
        <v>2.1</v>
      </c>
      <c r="F91">
        <v>2.31</v>
      </c>
      <c r="G91">
        <v>2.33</v>
      </c>
      <c r="H91">
        <v>8.85</v>
      </c>
      <c r="I91" t="s">
        <v>66</v>
      </c>
      <c r="J91">
        <v>0.02</v>
      </c>
      <c r="K91">
        <v>0.26</v>
      </c>
      <c r="L91">
        <v>8.0500000000000007</v>
      </c>
      <c r="M91">
        <v>12.79</v>
      </c>
      <c r="N91">
        <v>4.91</v>
      </c>
      <c r="O91">
        <v>3.94</v>
      </c>
      <c r="P91">
        <v>15.5236</v>
      </c>
      <c r="Q91" t="str">
        <f>IFERROR(INDEX(Rosters!$C$2:$C$155,MATCH($B91,Rosters!$B$2:$B$155,0)),"NA")</f>
        <v>NA</v>
      </c>
      <c r="R91" t="str">
        <f t="shared" si="2"/>
        <v>NA15</v>
      </c>
      <c r="S91">
        <f>COUNTIFS(A$1:A91,A91)</f>
        <v>5</v>
      </c>
      <c r="T91" t="str">
        <f t="shared" si="3"/>
        <v>Brett Maher15</v>
      </c>
      <c r="U91">
        <f>IF(OR(NOT(ISERROR(MATCH(T91,Finals!$K$2:$K$1801,0))),AND(A91&gt;Week,Q91&lt;&gt;"NA")),"",A91)</f>
        <v>15</v>
      </c>
      <c r="V91" t="str">
        <f>IF(U91&lt;&gt;"",U91&amp;"-"&amp;COUNTIF(U$1:U91,U91),"")</f>
        <v>15-3</v>
      </c>
    </row>
    <row r="92" spans="1:22" x14ac:dyDescent="0.25">
      <c r="A92">
        <v>14</v>
      </c>
      <c r="B92" t="s">
        <v>1121</v>
      </c>
      <c r="C92" t="s">
        <v>5099</v>
      </c>
      <c r="D92">
        <v>1.85</v>
      </c>
      <c r="E92">
        <v>2.16</v>
      </c>
      <c r="F92">
        <v>2.61</v>
      </c>
      <c r="G92">
        <v>2.69</v>
      </c>
      <c r="H92">
        <v>9.06</v>
      </c>
      <c r="I92" t="s">
        <v>31</v>
      </c>
      <c r="J92">
        <v>8.0000000000000099E-2</v>
      </c>
      <c r="K92">
        <v>0.31</v>
      </c>
      <c r="L92">
        <v>8.0500000000000007</v>
      </c>
      <c r="M92">
        <v>13.18</v>
      </c>
      <c r="N92">
        <v>4.9400000000000004</v>
      </c>
      <c r="O92">
        <v>4.12</v>
      </c>
      <c r="P92">
        <v>16.974399999999999</v>
      </c>
      <c r="Q92" t="str">
        <f>IFERROR(INDEX(Rosters!$C$2:$C$155,MATCH($B92,Rosters!$B$2:$B$155,0)),"NA")</f>
        <v>NA</v>
      </c>
      <c r="R92" t="str">
        <f t="shared" si="2"/>
        <v>NA14</v>
      </c>
      <c r="S92">
        <f>COUNTIFS(A$1:A92,A92)</f>
        <v>5</v>
      </c>
      <c r="T92" t="str">
        <f t="shared" si="3"/>
        <v>Caleb Sturgis14</v>
      </c>
      <c r="U92">
        <f>IF(OR(NOT(ISERROR(MATCH(T92,Finals!$K$2:$K$1801,0))),AND(A92&gt;Week,Q92&lt;&gt;"NA")),"",A92)</f>
        <v>14</v>
      </c>
      <c r="V92" t="str">
        <f>IF(U92&lt;&gt;"",U92&amp;"-"&amp;COUNTIF(U$1:U92,U92),"")</f>
        <v>14-1</v>
      </c>
    </row>
    <row r="93" spans="1:22" x14ac:dyDescent="0.25">
      <c r="A93">
        <v>5</v>
      </c>
      <c r="B93" t="s">
        <v>454</v>
      </c>
      <c r="C93" t="s">
        <v>9091</v>
      </c>
      <c r="D93">
        <v>1.85</v>
      </c>
      <c r="E93">
        <v>2.2000000000000002</v>
      </c>
      <c r="F93">
        <v>3.24</v>
      </c>
      <c r="G93">
        <v>3.3</v>
      </c>
      <c r="H93">
        <v>9.16</v>
      </c>
      <c r="I93" t="s">
        <v>19</v>
      </c>
      <c r="J93">
        <v>5.9999999999999602E-2</v>
      </c>
      <c r="K93">
        <v>0.35</v>
      </c>
      <c r="L93">
        <v>8.0500000000000007</v>
      </c>
      <c r="M93">
        <v>13.94</v>
      </c>
      <c r="N93">
        <v>4.38</v>
      </c>
      <c r="O93">
        <v>4.78</v>
      </c>
      <c r="P93">
        <v>22.848400000000002</v>
      </c>
      <c r="Q93" t="str">
        <f>IFERROR(INDEX(Rosters!$C$2:$C$155,MATCH($B93,Rosters!$B$2:$B$155,0)),"NA")</f>
        <v>NA</v>
      </c>
      <c r="R93" t="str">
        <f t="shared" si="2"/>
        <v>NA5</v>
      </c>
      <c r="S93">
        <f>COUNTIFS(A$1:A93,A93)</f>
        <v>8</v>
      </c>
      <c r="T93" t="str">
        <f t="shared" si="3"/>
        <v>Randy Bullock5</v>
      </c>
      <c r="U93">
        <f>IF(OR(NOT(ISERROR(MATCH(T93,Finals!$K$2:$K$1801,0))),AND(A93&gt;Week,Q93&lt;&gt;"NA")),"",A93)</f>
        <v>5</v>
      </c>
      <c r="V93" t="str">
        <f>IF(U93&lt;&gt;"",U93&amp;"-"&amp;COUNTIF(U$1:U93,U93),"")</f>
        <v>5-2</v>
      </c>
    </row>
    <row r="94" spans="1:22" x14ac:dyDescent="0.25">
      <c r="A94">
        <v>10</v>
      </c>
      <c r="B94" t="s">
        <v>459</v>
      </c>
      <c r="C94" t="s">
        <v>5100</v>
      </c>
      <c r="D94">
        <v>1.72</v>
      </c>
      <c r="E94">
        <v>1.91</v>
      </c>
      <c r="F94">
        <v>2.82</v>
      </c>
      <c r="G94">
        <v>2.84</v>
      </c>
      <c r="H94">
        <v>8.6300000000000008</v>
      </c>
      <c r="I94" t="s">
        <v>34</v>
      </c>
      <c r="J94">
        <v>0.02</v>
      </c>
      <c r="K94">
        <v>0.19</v>
      </c>
      <c r="L94">
        <v>8.0399999999999991</v>
      </c>
      <c r="M94">
        <v>12.75</v>
      </c>
      <c r="N94">
        <v>4.51</v>
      </c>
      <c r="O94">
        <v>4.12</v>
      </c>
      <c r="P94">
        <v>16.974399999999999</v>
      </c>
      <c r="Q94" t="str">
        <f>IFERROR(INDEX(Rosters!$C$2:$C$155,MATCH($B94,Rosters!$B$2:$B$155,0)),"NA")</f>
        <v>NA</v>
      </c>
      <c r="R94" t="str">
        <f t="shared" si="2"/>
        <v>NA10</v>
      </c>
      <c r="S94">
        <f>COUNTIFS(A$1:A94,A94)</f>
        <v>4</v>
      </c>
      <c r="T94" t="str">
        <f t="shared" si="3"/>
        <v>Cody Parkey10</v>
      </c>
      <c r="U94">
        <f>IF(OR(NOT(ISERROR(MATCH(T94,Finals!$K$2:$K$1801,0))),AND(A94&gt;Week,Q94&lt;&gt;"NA")),"",A94)</f>
        <v>10</v>
      </c>
      <c r="V94" t="str">
        <f>IF(U94&lt;&gt;"",U94&amp;"-"&amp;COUNTIF(U$1:U94,U94),"")</f>
        <v>10-3</v>
      </c>
    </row>
    <row r="95" spans="1:22" x14ac:dyDescent="0.25">
      <c r="A95">
        <v>3</v>
      </c>
      <c r="B95" t="s">
        <v>452</v>
      </c>
      <c r="C95" t="s">
        <v>4372</v>
      </c>
      <c r="D95">
        <v>1.75</v>
      </c>
      <c r="E95">
        <v>1.98</v>
      </c>
      <c r="F95">
        <v>2.62</v>
      </c>
      <c r="G95">
        <v>2.67</v>
      </c>
      <c r="H95">
        <v>8.77</v>
      </c>
      <c r="I95" t="s">
        <v>24</v>
      </c>
      <c r="J95">
        <v>4.9999999999999802E-2</v>
      </c>
      <c r="K95">
        <v>0.23</v>
      </c>
      <c r="L95">
        <v>8.0299999999999994</v>
      </c>
      <c r="M95">
        <v>14.04</v>
      </c>
      <c r="N95">
        <v>3.5</v>
      </c>
      <c r="O95">
        <v>5.27</v>
      </c>
      <c r="P95">
        <v>27.7729</v>
      </c>
      <c r="Q95" t="str">
        <f>IFERROR(INDEX(Rosters!$C$2:$C$155,MATCH($B95,Rosters!$B$2:$B$155,0)),"NA")</f>
        <v>matty</v>
      </c>
      <c r="R95" t="str">
        <f t="shared" si="2"/>
        <v>matty3</v>
      </c>
      <c r="S95">
        <f>COUNTIFS(A$1:A95,A95)</f>
        <v>9</v>
      </c>
      <c r="T95" t="str">
        <f t="shared" si="3"/>
        <v>Robbie Gould3</v>
      </c>
      <c r="U95" t="str">
        <f>IF(OR(NOT(ISERROR(MATCH(T95,Finals!$K$2:$K$1801,0))),AND(A95&gt;Week,Q95&lt;&gt;"NA")),"",A95)</f>
        <v/>
      </c>
      <c r="V95" t="str">
        <f>IF(U95&lt;&gt;"",U95&amp;"-"&amp;COUNTIF(U$1:U95,U95),"")</f>
        <v/>
      </c>
    </row>
    <row r="96" spans="1:22" x14ac:dyDescent="0.25">
      <c r="A96">
        <v>1</v>
      </c>
      <c r="B96" t="s">
        <v>998</v>
      </c>
      <c r="C96" t="s">
        <v>1750</v>
      </c>
      <c r="D96">
        <v>1.91</v>
      </c>
      <c r="E96">
        <v>2.13</v>
      </c>
      <c r="F96">
        <v>2.33</v>
      </c>
      <c r="G96">
        <v>2.42</v>
      </c>
      <c r="H96">
        <v>8.7799999999999994</v>
      </c>
      <c r="I96" t="s">
        <v>46</v>
      </c>
      <c r="J96">
        <v>8.99999999999999E-2</v>
      </c>
      <c r="K96">
        <v>0.22</v>
      </c>
      <c r="L96">
        <v>8.0299999999999994</v>
      </c>
      <c r="M96">
        <v>12.49</v>
      </c>
      <c r="N96">
        <v>5.07</v>
      </c>
      <c r="O96">
        <v>3.71</v>
      </c>
      <c r="P96">
        <v>13.764099999999999</v>
      </c>
      <c r="Q96" t="str">
        <f>IFERROR(INDEX(Rosters!$C$2:$C$155,MATCH($B96,Rosters!$B$2:$B$155,0)),"NA")</f>
        <v>NA</v>
      </c>
      <c r="R96" t="str">
        <f t="shared" si="2"/>
        <v>NA1</v>
      </c>
      <c r="S96">
        <f>COUNTIFS(A$1:A96,A96)</f>
        <v>9</v>
      </c>
      <c r="T96" t="str">
        <f t="shared" si="3"/>
        <v>Jake Elliott1</v>
      </c>
      <c r="U96">
        <f>IF(OR(NOT(ISERROR(MATCH(T96,Finals!$K$2:$K$1801,0))),AND(A96&gt;Week,Q96&lt;&gt;"NA")),"",A96)</f>
        <v>1</v>
      </c>
      <c r="V96" t="str">
        <f>IF(U96&lt;&gt;"",U96&amp;"-"&amp;COUNTIF(U$1:U96,U96),"")</f>
        <v>1-3</v>
      </c>
    </row>
    <row r="97" spans="1:22" x14ac:dyDescent="0.25">
      <c r="A97">
        <v>11</v>
      </c>
      <c r="B97" t="s">
        <v>1216</v>
      </c>
      <c r="C97" t="s">
        <v>5101</v>
      </c>
      <c r="D97">
        <v>1.89</v>
      </c>
      <c r="E97">
        <v>2.2200000000000002</v>
      </c>
      <c r="F97">
        <v>2.57</v>
      </c>
      <c r="G97">
        <v>2.61</v>
      </c>
      <c r="H97">
        <v>9.0399999999999991</v>
      </c>
      <c r="I97" t="s">
        <v>41</v>
      </c>
      <c r="J97">
        <v>0.04</v>
      </c>
      <c r="K97">
        <v>0.33</v>
      </c>
      <c r="L97">
        <v>8.01</v>
      </c>
      <c r="M97">
        <v>13.44</v>
      </c>
      <c r="N97">
        <v>4.6399999999999997</v>
      </c>
      <c r="O97">
        <v>4.4000000000000004</v>
      </c>
      <c r="P97">
        <v>19.36</v>
      </c>
      <c r="Q97" t="str">
        <f>IFERROR(INDEX(Rosters!$C$2:$C$155,MATCH($B97,Rosters!$B$2:$B$155,0)),"NA")</f>
        <v>NA</v>
      </c>
      <c r="R97" t="str">
        <f t="shared" si="2"/>
        <v>NA11</v>
      </c>
      <c r="S97">
        <f>COUNTIFS(A$1:A97,A97)</f>
        <v>5</v>
      </c>
      <c r="T97" t="str">
        <f t="shared" si="3"/>
        <v>Sebastian Janikowski11</v>
      </c>
      <c r="U97">
        <f>IF(OR(NOT(ISERROR(MATCH(T97,Finals!$K$2:$K$1801,0))),AND(A97&gt;Week,Q97&lt;&gt;"NA")),"",A97)</f>
        <v>11</v>
      </c>
      <c r="V97" t="str">
        <f>IF(U97&lt;&gt;"",U97&amp;"-"&amp;COUNTIF(U$1:U97,U97),"")</f>
        <v>11-3</v>
      </c>
    </row>
    <row r="98" spans="1:22" x14ac:dyDescent="0.25">
      <c r="A98">
        <v>15</v>
      </c>
      <c r="B98" t="s">
        <v>1108</v>
      </c>
      <c r="C98" t="s">
        <v>5102</v>
      </c>
      <c r="D98">
        <v>1.75</v>
      </c>
      <c r="E98">
        <v>2.06</v>
      </c>
      <c r="F98">
        <v>2.96</v>
      </c>
      <c r="G98">
        <v>3</v>
      </c>
      <c r="H98">
        <v>8.9700000000000006</v>
      </c>
      <c r="I98" t="s">
        <v>37</v>
      </c>
      <c r="J98">
        <v>0.04</v>
      </c>
      <c r="K98">
        <v>0.31</v>
      </c>
      <c r="L98">
        <v>8</v>
      </c>
      <c r="M98">
        <v>13.19</v>
      </c>
      <c r="N98">
        <v>4.75</v>
      </c>
      <c r="O98">
        <v>4.22</v>
      </c>
      <c r="P98">
        <v>17.808399999999999</v>
      </c>
      <c r="Q98" t="str">
        <f>IFERROR(INDEX(Rosters!$C$2:$C$155,MATCH($B98,Rosters!$B$2:$B$155,0)),"NA")</f>
        <v>seth</v>
      </c>
      <c r="R98" t="str">
        <f t="shared" si="2"/>
        <v>seth15</v>
      </c>
      <c r="S98">
        <f>COUNTIFS(A$1:A98,A98)</f>
        <v>6</v>
      </c>
      <c r="T98" t="str">
        <f t="shared" si="3"/>
        <v>Harrison Butker15</v>
      </c>
      <c r="U98" t="str">
        <f>IF(OR(NOT(ISERROR(MATCH(T98,Finals!$K$2:$K$1801,0))),AND(A98&gt;Week,Q98&lt;&gt;"NA")),"",A98)</f>
        <v/>
      </c>
      <c r="V98" t="str">
        <f>IF(U98&lt;&gt;"",U98&amp;"-"&amp;COUNTIF(U$1:U98,U98),"")</f>
        <v/>
      </c>
    </row>
    <row r="99" spans="1:22" x14ac:dyDescent="0.25">
      <c r="A99">
        <v>13</v>
      </c>
      <c r="B99" t="s">
        <v>1216</v>
      </c>
      <c r="C99" t="s">
        <v>5103</v>
      </c>
      <c r="D99">
        <v>1.87</v>
      </c>
      <c r="E99">
        <v>2.2000000000000002</v>
      </c>
      <c r="F99">
        <v>2.61</v>
      </c>
      <c r="G99">
        <v>2.65</v>
      </c>
      <c r="H99">
        <v>9.0299999999999994</v>
      </c>
      <c r="I99" t="s">
        <v>30</v>
      </c>
      <c r="J99">
        <v>0.04</v>
      </c>
      <c r="K99">
        <v>0.33</v>
      </c>
      <c r="L99">
        <v>8</v>
      </c>
      <c r="M99">
        <v>12.75</v>
      </c>
      <c r="N99">
        <v>5.31</v>
      </c>
      <c r="O99">
        <v>3.72</v>
      </c>
      <c r="P99">
        <v>13.8384</v>
      </c>
      <c r="Q99" t="str">
        <f>IFERROR(INDEX(Rosters!$C$2:$C$155,MATCH($B99,Rosters!$B$2:$B$155,0)),"NA")</f>
        <v>NA</v>
      </c>
      <c r="R99" t="str">
        <f t="shared" si="2"/>
        <v>NA13</v>
      </c>
      <c r="S99">
        <f>COUNTIFS(A$1:A99,A99)</f>
        <v>6</v>
      </c>
      <c r="T99" t="str">
        <f t="shared" si="3"/>
        <v>Sebastian Janikowski13</v>
      </c>
      <c r="U99">
        <f>IF(OR(NOT(ISERROR(MATCH(T99,Finals!$K$2:$K$1801,0))),AND(A99&gt;Week,Q99&lt;&gt;"NA")),"",A99)</f>
        <v>13</v>
      </c>
      <c r="V99" t="str">
        <f>IF(U99&lt;&gt;"",U99&amp;"-"&amp;COUNTIF(U$1:U99,U99),"")</f>
        <v>13-4</v>
      </c>
    </row>
    <row r="100" spans="1:22" x14ac:dyDescent="0.25">
      <c r="A100">
        <v>1</v>
      </c>
      <c r="B100" t="s">
        <v>455</v>
      </c>
      <c r="C100" t="s">
        <v>1751</v>
      </c>
      <c r="D100">
        <v>1.78</v>
      </c>
      <c r="E100">
        <v>1.98</v>
      </c>
      <c r="F100">
        <v>2.57</v>
      </c>
      <c r="G100">
        <v>2.66</v>
      </c>
      <c r="H100">
        <v>8.68</v>
      </c>
      <c r="I100" t="s">
        <v>52</v>
      </c>
      <c r="J100">
        <v>9.0000000000000302E-2</v>
      </c>
      <c r="K100">
        <v>0.2</v>
      </c>
      <c r="L100">
        <v>7.99</v>
      </c>
      <c r="M100">
        <v>12.52</v>
      </c>
      <c r="N100">
        <v>4.84</v>
      </c>
      <c r="O100">
        <v>3.84</v>
      </c>
      <c r="P100">
        <v>14.7456</v>
      </c>
      <c r="Q100" t="str">
        <f>IFERROR(INDEX(Rosters!$C$2:$C$155,MATCH($B100,Rosters!$B$2:$B$155,0)),"NA")</f>
        <v>NA</v>
      </c>
      <c r="R100" t="str">
        <f t="shared" si="2"/>
        <v>NA1</v>
      </c>
      <c r="S100">
        <f>COUNTIFS(A$1:A100,A100)</f>
        <v>10</v>
      </c>
      <c r="T100" t="str">
        <f t="shared" si="3"/>
        <v>Chris Boswell1</v>
      </c>
      <c r="U100" t="str">
        <f>IF(OR(NOT(ISERROR(MATCH(T100,Finals!$K$2:$K$1801,0))),AND(A100&gt;Week,Q100&lt;&gt;"NA")),"",A100)</f>
        <v/>
      </c>
      <c r="V100" t="str">
        <f>IF(U100&lt;&gt;"",U100&amp;"-"&amp;COUNTIF(U$1:U100,U100),"")</f>
        <v/>
      </c>
    </row>
    <row r="101" spans="1:22" x14ac:dyDescent="0.25">
      <c r="A101">
        <v>17</v>
      </c>
      <c r="B101" t="s">
        <v>5064</v>
      </c>
      <c r="C101" t="s">
        <v>5104</v>
      </c>
      <c r="D101">
        <v>2.02</v>
      </c>
      <c r="E101">
        <v>2.5499999999999998</v>
      </c>
      <c r="F101">
        <v>2.84</v>
      </c>
      <c r="G101">
        <v>2.92</v>
      </c>
      <c r="H101">
        <v>9.66</v>
      </c>
      <c r="I101" t="s">
        <v>24</v>
      </c>
      <c r="J101">
        <v>8.0000000000000099E-2</v>
      </c>
      <c r="K101">
        <v>0.53</v>
      </c>
      <c r="L101">
        <v>7.99</v>
      </c>
      <c r="M101">
        <v>13.15</v>
      </c>
      <c r="N101">
        <v>6.17</v>
      </c>
      <c r="O101">
        <v>3.49</v>
      </c>
      <c r="P101">
        <v>12.180099999999999</v>
      </c>
      <c r="Q101" t="str">
        <f>IFERROR(INDEX(Rosters!$C$2:$C$155,MATCH($B101,Rosters!$B$2:$B$155,0)),"NA")</f>
        <v>NA</v>
      </c>
      <c r="R101" t="str">
        <f t="shared" si="2"/>
        <v>NA17</v>
      </c>
      <c r="S101">
        <f>COUNTIFS(A$1:A101,A101)</f>
        <v>7</v>
      </c>
      <c r="T101" t="str">
        <f t="shared" si="3"/>
        <v>Matt McCrane17</v>
      </c>
      <c r="U101">
        <f>IF(OR(NOT(ISERROR(MATCH(T101,Finals!$K$2:$K$1801,0))),AND(A101&gt;Week,Q101&lt;&gt;"NA")),"",A101)</f>
        <v>17</v>
      </c>
      <c r="V101" t="str">
        <f>IF(U101&lt;&gt;"",U101&amp;"-"&amp;COUNTIF(U$1:U101,U101),"")</f>
        <v>17-4</v>
      </c>
    </row>
    <row r="102" spans="1:22" x14ac:dyDescent="0.25">
      <c r="A102">
        <v>5</v>
      </c>
      <c r="B102" t="s">
        <v>1121</v>
      </c>
      <c r="C102" t="s">
        <v>9067</v>
      </c>
      <c r="D102">
        <v>1.68</v>
      </c>
      <c r="E102">
        <v>1.81</v>
      </c>
      <c r="F102">
        <v>2.74</v>
      </c>
      <c r="G102">
        <v>2.81</v>
      </c>
      <c r="H102">
        <v>8.4499999999999993</v>
      </c>
      <c r="I102" t="s">
        <v>32</v>
      </c>
      <c r="J102">
        <v>6.9999999999999798E-2</v>
      </c>
      <c r="K102">
        <v>0.13</v>
      </c>
      <c r="L102">
        <v>7.99</v>
      </c>
      <c r="M102">
        <v>11.8</v>
      </c>
      <c r="N102">
        <v>5.0999999999999996</v>
      </c>
      <c r="O102">
        <v>3.35</v>
      </c>
      <c r="P102">
        <v>11.2225</v>
      </c>
      <c r="Q102" t="str">
        <f>IFERROR(INDEX(Rosters!$C$2:$C$155,MATCH($B102,Rosters!$B$2:$B$155,0)),"NA")</f>
        <v>NA</v>
      </c>
      <c r="R102" t="str">
        <f t="shared" si="2"/>
        <v>NA5</v>
      </c>
      <c r="S102">
        <f>COUNTIFS(A$1:A102,A102)</f>
        <v>9</v>
      </c>
      <c r="T102" t="str">
        <f t="shared" si="3"/>
        <v>Caleb Sturgis5</v>
      </c>
      <c r="U102">
        <f>IF(OR(NOT(ISERROR(MATCH(T102,Finals!$K$2:$K$1801,0))),AND(A102&gt;Week,Q102&lt;&gt;"NA")),"",A102)</f>
        <v>5</v>
      </c>
      <c r="V102" t="str">
        <f>IF(U102&lt;&gt;"",U102&amp;"-"&amp;COUNTIF(U$1:U102,U102),"")</f>
        <v>5-3</v>
      </c>
    </row>
    <row r="103" spans="1:22" x14ac:dyDescent="0.25">
      <c r="A103">
        <v>12</v>
      </c>
      <c r="B103" t="s">
        <v>452</v>
      </c>
      <c r="C103" t="s">
        <v>5105</v>
      </c>
      <c r="D103">
        <v>1.77</v>
      </c>
      <c r="E103">
        <v>2.02</v>
      </c>
      <c r="F103">
        <v>2.56</v>
      </c>
      <c r="G103">
        <v>2.56</v>
      </c>
      <c r="H103">
        <v>8.7200000000000006</v>
      </c>
      <c r="I103" t="s">
        <v>17</v>
      </c>
      <c r="J103">
        <v>0</v>
      </c>
      <c r="K103">
        <v>0.25</v>
      </c>
      <c r="L103">
        <v>7.97</v>
      </c>
      <c r="M103">
        <v>12.79</v>
      </c>
      <c r="N103">
        <v>4.6500000000000004</v>
      </c>
      <c r="O103">
        <v>4.07</v>
      </c>
      <c r="P103">
        <v>16.564900000000002</v>
      </c>
      <c r="Q103" t="str">
        <f>IFERROR(INDEX(Rosters!$C$2:$C$155,MATCH($B103,Rosters!$B$2:$B$155,0)),"NA")</f>
        <v>matty</v>
      </c>
      <c r="R103" t="str">
        <f t="shared" si="2"/>
        <v>matty12</v>
      </c>
      <c r="S103">
        <f>COUNTIFS(A$1:A103,A103)</f>
        <v>4</v>
      </c>
      <c r="T103" t="str">
        <f t="shared" si="3"/>
        <v>Robbie Gould12</v>
      </c>
      <c r="U103" t="str">
        <f>IF(OR(NOT(ISERROR(MATCH(T103,Finals!$K$2:$K$1801,0))),AND(A103&gt;Week,Q103&lt;&gt;"NA")),"",A103)</f>
        <v/>
      </c>
      <c r="V103" t="str">
        <f>IF(U103&lt;&gt;"",U103&amp;"-"&amp;COUNTIF(U$1:U103,U103),"")</f>
        <v/>
      </c>
    </row>
    <row r="104" spans="1:22" x14ac:dyDescent="0.25">
      <c r="A104">
        <v>8</v>
      </c>
      <c r="B104" t="s">
        <v>1119</v>
      </c>
      <c r="C104" t="s">
        <v>5106</v>
      </c>
      <c r="D104">
        <v>1.85</v>
      </c>
      <c r="E104">
        <v>2.08</v>
      </c>
      <c r="F104">
        <v>2.16</v>
      </c>
      <c r="G104">
        <v>2.1800000000000002</v>
      </c>
      <c r="H104">
        <v>8.66</v>
      </c>
      <c r="I104" t="s">
        <v>50</v>
      </c>
      <c r="J104">
        <v>0.02</v>
      </c>
      <c r="K104">
        <v>0.23</v>
      </c>
      <c r="L104">
        <v>7.95</v>
      </c>
      <c r="M104">
        <v>13.48</v>
      </c>
      <c r="N104">
        <v>3.84</v>
      </c>
      <c r="O104">
        <v>4.82</v>
      </c>
      <c r="P104">
        <v>23.232399999999998</v>
      </c>
      <c r="Q104" t="str">
        <f>IFERROR(INDEX(Rosters!$C$2:$C$155,MATCH($B104,Rosters!$B$2:$B$155,0)),"NA")</f>
        <v>scott</v>
      </c>
      <c r="R104" t="str">
        <f t="shared" si="2"/>
        <v>scott8</v>
      </c>
      <c r="S104">
        <f>COUNTIFS(A$1:A104,A104)</f>
        <v>3</v>
      </c>
      <c r="T104" t="str">
        <f t="shared" si="3"/>
        <v>Josh Lambo8</v>
      </c>
      <c r="U104" t="str">
        <f>IF(OR(NOT(ISERROR(MATCH(T104,Finals!$K$2:$K$1801,0))),AND(A104&gt;Week,Q104&lt;&gt;"NA")),"",A104)</f>
        <v/>
      </c>
      <c r="V104" t="str">
        <f>IF(U104&lt;&gt;"",U104&amp;"-"&amp;COUNTIF(U$1:U104,U104),"")</f>
        <v/>
      </c>
    </row>
    <row r="105" spans="1:22" x14ac:dyDescent="0.25">
      <c r="A105">
        <v>13</v>
      </c>
      <c r="B105" t="s">
        <v>446</v>
      </c>
      <c r="C105" t="s">
        <v>5107</v>
      </c>
      <c r="D105">
        <v>1.9</v>
      </c>
      <c r="E105">
        <v>2.29</v>
      </c>
      <c r="F105">
        <v>2.67</v>
      </c>
      <c r="G105">
        <v>2.69</v>
      </c>
      <c r="H105">
        <v>9.14</v>
      </c>
      <c r="I105" t="s">
        <v>25</v>
      </c>
      <c r="J105">
        <v>0.02</v>
      </c>
      <c r="K105">
        <v>0.39</v>
      </c>
      <c r="L105">
        <v>7.95</v>
      </c>
      <c r="M105">
        <v>13.96</v>
      </c>
      <c r="N105">
        <v>4.32</v>
      </c>
      <c r="O105">
        <v>4.82</v>
      </c>
      <c r="P105">
        <v>23.232399999999998</v>
      </c>
      <c r="Q105" t="str">
        <f>IFERROR(INDEX(Rosters!$C$2:$C$155,MATCH($B105,Rosters!$B$2:$B$155,0)),"NA")</f>
        <v>comp</v>
      </c>
      <c r="R105" t="str">
        <f t="shared" si="2"/>
        <v>comp13</v>
      </c>
      <c r="S105">
        <f>COUNTIFS(A$1:A105,A105)</f>
        <v>7</v>
      </c>
      <c r="T105" t="str">
        <f t="shared" si="3"/>
        <v>Stephen Gostkowski13</v>
      </c>
      <c r="U105" t="str">
        <f>IF(OR(NOT(ISERROR(MATCH(T105,Finals!$K$2:$K$1801,0))),AND(A105&gt;Week,Q105&lt;&gt;"NA")),"",A105)</f>
        <v/>
      </c>
      <c r="V105" t="str">
        <f>IF(U105&lt;&gt;"",U105&amp;"-"&amp;COUNTIF(U$1:U105,U105),"")</f>
        <v/>
      </c>
    </row>
    <row r="106" spans="1:22" x14ac:dyDescent="0.25">
      <c r="A106">
        <v>17</v>
      </c>
      <c r="B106" t="s">
        <v>446</v>
      </c>
      <c r="C106" t="s">
        <v>5108</v>
      </c>
      <c r="D106">
        <v>1.98</v>
      </c>
      <c r="E106">
        <v>2.4500000000000002</v>
      </c>
      <c r="F106">
        <v>2.63</v>
      </c>
      <c r="G106">
        <v>2.65</v>
      </c>
      <c r="H106">
        <v>9.3800000000000008</v>
      </c>
      <c r="I106" t="s">
        <v>73</v>
      </c>
      <c r="J106">
        <v>0.02</v>
      </c>
      <c r="K106">
        <v>0.47</v>
      </c>
      <c r="L106">
        <v>7.95</v>
      </c>
      <c r="M106">
        <v>13.97</v>
      </c>
      <c r="N106">
        <v>4.79</v>
      </c>
      <c r="O106">
        <v>4.59</v>
      </c>
      <c r="P106">
        <v>21.068100000000001</v>
      </c>
      <c r="Q106" t="str">
        <f>IFERROR(INDEX(Rosters!$C$2:$C$155,MATCH($B106,Rosters!$B$2:$B$155,0)),"NA")</f>
        <v>comp</v>
      </c>
      <c r="R106" t="str">
        <f t="shared" si="2"/>
        <v>comp17</v>
      </c>
      <c r="S106">
        <f>COUNTIFS(A$1:A106,A106)</f>
        <v>8</v>
      </c>
      <c r="T106" t="str">
        <f t="shared" si="3"/>
        <v>Stephen Gostkowski17</v>
      </c>
      <c r="U106" t="str">
        <f>IF(OR(NOT(ISERROR(MATCH(T106,Finals!$K$2:$K$1801,0))),AND(A106&gt;Week,Q106&lt;&gt;"NA")),"",A106)</f>
        <v/>
      </c>
      <c r="V106" t="str">
        <f>IF(U106&lt;&gt;"",U106&amp;"-"&amp;COUNTIF(U$1:U106,U106),"")</f>
        <v/>
      </c>
    </row>
    <row r="107" spans="1:22" x14ac:dyDescent="0.25">
      <c r="A107">
        <v>8</v>
      </c>
      <c r="B107" t="s">
        <v>446</v>
      </c>
      <c r="C107" t="s">
        <v>5109</v>
      </c>
      <c r="D107">
        <v>1.95</v>
      </c>
      <c r="E107">
        <v>2.3199999999999998</v>
      </c>
      <c r="F107">
        <v>2.4700000000000002</v>
      </c>
      <c r="G107">
        <v>2.5099999999999998</v>
      </c>
      <c r="H107">
        <v>9.08</v>
      </c>
      <c r="I107" t="s">
        <v>29</v>
      </c>
      <c r="J107">
        <v>3.9999999999999598E-2</v>
      </c>
      <c r="K107">
        <v>0.37</v>
      </c>
      <c r="L107">
        <v>7.93</v>
      </c>
      <c r="M107">
        <v>13.34</v>
      </c>
      <c r="N107">
        <v>4.82</v>
      </c>
      <c r="O107">
        <v>4.26</v>
      </c>
      <c r="P107">
        <v>18.147600000000001</v>
      </c>
      <c r="Q107" t="str">
        <f>IFERROR(INDEX(Rosters!$C$2:$C$155,MATCH($B107,Rosters!$B$2:$B$155,0)),"NA")</f>
        <v>comp</v>
      </c>
      <c r="R107" t="str">
        <f t="shared" si="2"/>
        <v>comp8</v>
      </c>
      <c r="S107">
        <f>COUNTIFS(A$1:A107,A107)</f>
        <v>4</v>
      </c>
      <c r="T107" t="str">
        <f t="shared" si="3"/>
        <v>Stephen Gostkowski8</v>
      </c>
      <c r="U107" t="str">
        <f>IF(OR(NOT(ISERROR(MATCH(T107,Finals!$K$2:$K$1801,0))),AND(A107&gt;Week,Q107&lt;&gt;"NA")),"",A107)</f>
        <v/>
      </c>
      <c r="V107" t="str">
        <f>IF(U107&lt;&gt;"",U107&amp;"-"&amp;COUNTIF(U$1:U107,U107),"")</f>
        <v/>
      </c>
    </row>
    <row r="108" spans="1:22" x14ac:dyDescent="0.25">
      <c r="A108">
        <v>11</v>
      </c>
      <c r="B108" t="s">
        <v>464</v>
      </c>
      <c r="C108" t="s">
        <v>5110</v>
      </c>
      <c r="D108">
        <v>1.46</v>
      </c>
      <c r="E108">
        <v>1.58</v>
      </c>
      <c r="F108">
        <v>3.33</v>
      </c>
      <c r="G108">
        <v>3.37</v>
      </c>
      <c r="H108">
        <v>8.33</v>
      </c>
      <c r="I108" t="s">
        <v>24</v>
      </c>
      <c r="J108">
        <v>0.04</v>
      </c>
      <c r="K108">
        <v>0.12</v>
      </c>
      <c r="L108">
        <v>7.93</v>
      </c>
      <c r="M108">
        <v>12.14</v>
      </c>
      <c r="N108">
        <v>4.5199999999999996</v>
      </c>
      <c r="O108">
        <v>3.81</v>
      </c>
      <c r="P108">
        <v>14.5161</v>
      </c>
      <c r="Q108" t="str">
        <f>IFERROR(INDEX(Rosters!$C$2:$C$155,MATCH($B108,Rosters!$B$2:$B$155,0)),"NA")</f>
        <v>NA</v>
      </c>
      <c r="R108" t="str">
        <f t="shared" si="2"/>
        <v>NA11</v>
      </c>
      <c r="S108">
        <f>COUNTIFS(A$1:A108,A108)</f>
        <v>6</v>
      </c>
      <c r="T108" t="str">
        <f t="shared" si="3"/>
        <v>Greg Zuerlein11</v>
      </c>
      <c r="U108">
        <f>IF(OR(NOT(ISERROR(MATCH(T108,Finals!$K$2:$K$1801,0))),AND(A108&gt;Week,Q108&lt;&gt;"NA")),"",A108)</f>
        <v>11</v>
      </c>
      <c r="V108" t="str">
        <f>IF(U108&lt;&gt;"",U108&amp;"-"&amp;COUNTIF(U$1:U108,U108),"")</f>
        <v>11-4</v>
      </c>
    </row>
    <row r="109" spans="1:22" x14ac:dyDescent="0.25">
      <c r="A109">
        <v>6</v>
      </c>
      <c r="B109" t="s">
        <v>1108</v>
      </c>
      <c r="C109" t="s">
        <v>5111</v>
      </c>
      <c r="D109">
        <v>1.63</v>
      </c>
      <c r="E109">
        <v>1.92</v>
      </c>
      <c r="F109">
        <v>3.29</v>
      </c>
      <c r="G109">
        <v>3.33</v>
      </c>
      <c r="H109">
        <v>8.83</v>
      </c>
      <c r="I109" t="s">
        <v>423</v>
      </c>
      <c r="J109">
        <v>0.04</v>
      </c>
      <c r="K109">
        <v>0.28999999999999998</v>
      </c>
      <c r="L109">
        <v>7.92</v>
      </c>
      <c r="M109">
        <v>12.4</v>
      </c>
      <c r="N109">
        <v>5.26</v>
      </c>
      <c r="O109">
        <v>3.57</v>
      </c>
      <c r="P109">
        <v>12.744899999999999</v>
      </c>
      <c r="Q109" t="str">
        <f>IFERROR(INDEX(Rosters!$C$2:$C$155,MATCH($B109,Rosters!$B$2:$B$155,0)),"NA")</f>
        <v>seth</v>
      </c>
      <c r="R109" t="str">
        <f t="shared" si="2"/>
        <v>seth6</v>
      </c>
      <c r="S109">
        <f>COUNTIFS(A$1:A109,A109)</f>
        <v>4</v>
      </c>
      <c r="T109" t="str">
        <f t="shared" si="3"/>
        <v>Harrison Butker6</v>
      </c>
      <c r="U109" t="str">
        <f>IF(OR(NOT(ISERROR(MATCH(T109,Finals!$K$2:$K$1801,0))),AND(A109&gt;Week,Q109&lt;&gt;"NA")),"",A109)</f>
        <v/>
      </c>
      <c r="V109" t="str">
        <f>IF(U109&lt;&gt;"",U109&amp;"-"&amp;COUNTIF(U$1:U109,U109),"")</f>
        <v/>
      </c>
    </row>
    <row r="110" spans="1:22" x14ac:dyDescent="0.25">
      <c r="A110">
        <v>17</v>
      </c>
      <c r="B110" t="s">
        <v>453</v>
      </c>
      <c r="C110" t="s">
        <v>5112</v>
      </c>
      <c r="D110">
        <v>1.93</v>
      </c>
      <c r="E110">
        <v>2.3199999999999998</v>
      </c>
      <c r="F110">
        <v>2.38</v>
      </c>
      <c r="G110">
        <v>2.4</v>
      </c>
      <c r="H110">
        <v>9.11</v>
      </c>
      <c r="I110" t="s">
        <v>66</v>
      </c>
      <c r="J110">
        <v>0.02</v>
      </c>
      <c r="K110">
        <v>0.39</v>
      </c>
      <c r="L110">
        <v>7.92</v>
      </c>
      <c r="M110">
        <v>13.89</v>
      </c>
      <c r="N110">
        <v>4.33</v>
      </c>
      <c r="O110">
        <v>4.78</v>
      </c>
      <c r="P110">
        <v>22.848400000000002</v>
      </c>
      <c r="Q110" t="str">
        <f>IFERROR(INDEX(Rosters!$C$2:$C$155,MATCH($B110,Rosters!$B$2:$B$155,0)),"NA")</f>
        <v>NA</v>
      </c>
      <c r="R110" t="str">
        <f t="shared" si="2"/>
        <v>NA17</v>
      </c>
      <c r="S110">
        <f>COUNTIFS(A$1:A110,A110)</f>
        <v>9</v>
      </c>
      <c r="T110" t="str">
        <f t="shared" si="3"/>
        <v>Ryan Succop17</v>
      </c>
      <c r="U110">
        <f>IF(OR(NOT(ISERROR(MATCH(T110,Finals!$K$2:$K$1801,0))),AND(A110&gt;Week,Q110&lt;&gt;"NA")),"",A110)</f>
        <v>17</v>
      </c>
      <c r="V110" t="str">
        <f>IF(U110&lt;&gt;"",U110&amp;"-"&amp;COUNTIF(U$1:U110,U110),"")</f>
        <v>17-5</v>
      </c>
    </row>
    <row r="111" spans="1:22" x14ac:dyDescent="0.25">
      <c r="A111">
        <v>12</v>
      </c>
      <c r="B111" t="s">
        <v>4164</v>
      </c>
      <c r="C111" t="s">
        <v>5113</v>
      </c>
      <c r="D111">
        <v>1.77</v>
      </c>
      <c r="E111">
        <v>2</v>
      </c>
      <c r="F111">
        <v>2.4900000000000002</v>
      </c>
      <c r="G111">
        <v>2.5299999999999998</v>
      </c>
      <c r="H111">
        <v>8.6300000000000008</v>
      </c>
      <c r="I111" t="s">
        <v>60</v>
      </c>
      <c r="J111">
        <v>3.9999999999999598E-2</v>
      </c>
      <c r="K111">
        <v>0.23</v>
      </c>
      <c r="L111">
        <v>7.9</v>
      </c>
      <c r="M111">
        <v>12.48</v>
      </c>
      <c r="N111">
        <v>4.78</v>
      </c>
      <c r="O111">
        <v>3.85</v>
      </c>
      <c r="P111">
        <v>14.8225</v>
      </c>
      <c r="Q111" t="str">
        <f>IFERROR(INDEX(Rosters!$C$2:$C$155,MATCH($B111,Rosters!$B$2:$B$155,0)),"NA")</f>
        <v>NA</v>
      </c>
      <c r="R111" t="str">
        <f t="shared" si="2"/>
        <v>NA12</v>
      </c>
      <c r="S111">
        <f>COUNTIFS(A$1:A111,A111)</f>
        <v>5</v>
      </c>
      <c r="T111" t="str">
        <f t="shared" si="3"/>
        <v>Brett Maher12</v>
      </c>
      <c r="U111">
        <f>IF(OR(NOT(ISERROR(MATCH(T111,Finals!$K$2:$K$1801,0))),AND(A111&gt;Week,Q111&lt;&gt;"NA")),"",A111)</f>
        <v>12</v>
      </c>
      <c r="V111" t="str">
        <f>IF(U111&lt;&gt;"",U111&amp;"-"&amp;COUNTIF(U$1:U111,U111),"")</f>
        <v>12-1</v>
      </c>
    </row>
    <row r="112" spans="1:22" x14ac:dyDescent="0.25">
      <c r="A112">
        <v>12</v>
      </c>
      <c r="B112" t="s">
        <v>460</v>
      </c>
      <c r="C112" t="s">
        <v>5114</v>
      </c>
      <c r="D112">
        <v>1.71</v>
      </c>
      <c r="E112">
        <v>1.89</v>
      </c>
      <c r="F112">
        <v>2.61</v>
      </c>
      <c r="G112">
        <v>2.65</v>
      </c>
      <c r="H112">
        <v>8.4700000000000006</v>
      </c>
      <c r="I112" t="s">
        <v>423</v>
      </c>
      <c r="J112">
        <v>0.04</v>
      </c>
      <c r="K112">
        <v>0.18</v>
      </c>
      <c r="L112">
        <v>7.89</v>
      </c>
      <c r="M112">
        <v>12.93</v>
      </c>
      <c r="N112">
        <v>4.01</v>
      </c>
      <c r="O112">
        <v>4.46</v>
      </c>
      <c r="P112">
        <v>19.8916</v>
      </c>
      <c r="Q112" t="str">
        <f>IFERROR(INDEX(Rosters!$C$2:$C$155,MATCH($B112,Rosters!$B$2:$B$155,0)),"NA")</f>
        <v>NA</v>
      </c>
      <c r="R112" t="str">
        <f t="shared" si="2"/>
        <v>NA12</v>
      </c>
      <c r="S112">
        <f>COUNTIFS(A$1:A112,A112)</f>
        <v>6</v>
      </c>
      <c r="T112" t="str">
        <f t="shared" si="3"/>
        <v>Jason Myers12</v>
      </c>
      <c r="U112">
        <f>IF(OR(NOT(ISERROR(MATCH(T112,Finals!$K$2:$K$1801,0))),AND(A112&gt;Week,Q112&lt;&gt;"NA")),"",A112)</f>
        <v>12</v>
      </c>
      <c r="V112" t="str">
        <f>IF(U112&lt;&gt;"",U112&amp;"-"&amp;COUNTIF(U$1:U112,U112),"")</f>
        <v>12-2</v>
      </c>
    </row>
    <row r="113" spans="1:22" x14ac:dyDescent="0.25">
      <c r="A113">
        <v>3</v>
      </c>
      <c r="B113" t="s">
        <v>459</v>
      </c>
      <c r="C113" t="s">
        <v>4373</v>
      </c>
      <c r="D113">
        <v>2.0499999999999998</v>
      </c>
      <c r="E113">
        <v>2.44</v>
      </c>
      <c r="F113">
        <v>1.58</v>
      </c>
      <c r="G113">
        <v>1.58</v>
      </c>
      <c r="H113">
        <v>9.0500000000000007</v>
      </c>
      <c r="I113" t="s">
        <v>58</v>
      </c>
      <c r="J113">
        <v>0</v>
      </c>
      <c r="K113">
        <v>0.39</v>
      </c>
      <c r="L113">
        <v>7.88</v>
      </c>
      <c r="M113">
        <v>13.99</v>
      </c>
      <c r="N113">
        <v>4.1100000000000003</v>
      </c>
      <c r="O113">
        <v>4.9400000000000004</v>
      </c>
      <c r="P113">
        <v>24.403600000000001</v>
      </c>
      <c r="Q113" t="str">
        <f>IFERROR(INDEX(Rosters!$C$2:$C$155,MATCH($B113,Rosters!$B$2:$B$155,0)),"NA")</f>
        <v>NA</v>
      </c>
      <c r="R113" t="str">
        <f t="shared" si="2"/>
        <v>NA3</v>
      </c>
      <c r="S113">
        <f>COUNTIFS(A$1:A113,A113)</f>
        <v>10</v>
      </c>
      <c r="T113" t="str">
        <f t="shared" si="3"/>
        <v>Cody Parkey3</v>
      </c>
      <c r="U113">
        <f>IF(OR(NOT(ISERROR(MATCH(T113,Finals!$K$2:$K$1801,0))),AND(A113&gt;Week,Q113&lt;&gt;"NA")),"",A113)</f>
        <v>3</v>
      </c>
      <c r="V113" t="str">
        <f>IF(U113&lt;&gt;"",U113&amp;"-"&amp;COUNTIF(U$1:U113,U113),"")</f>
        <v>3-4</v>
      </c>
    </row>
    <row r="114" spans="1:22" x14ac:dyDescent="0.25">
      <c r="A114">
        <v>15</v>
      </c>
      <c r="B114" t="s">
        <v>459</v>
      </c>
      <c r="C114" t="s">
        <v>5115</v>
      </c>
      <c r="D114">
        <v>1.85</v>
      </c>
      <c r="E114">
        <v>2.14</v>
      </c>
      <c r="F114">
        <v>2.4700000000000002</v>
      </c>
      <c r="G114">
        <v>2.4900000000000002</v>
      </c>
      <c r="H114">
        <v>8.77</v>
      </c>
      <c r="I114" t="s">
        <v>41</v>
      </c>
      <c r="J114">
        <v>0.02</v>
      </c>
      <c r="K114">
        <v>0.28999999999999998</v>
      </c>
      <c r="L114">
        <v>7.88</v>
      </c>
      <c r="M114">
        <v>13.05</v>
      </c>
      <c r="N114">
        <v>4.49</v>
      </c>
      <c r="O114">
        <v>4.28</v>
      </c>
      <c r="P114">
        <v>18.3184</v>
      </c>
      <c r="Q114" t="str">
        <f>IFERROR(INDEX(Rosters!$C$2:$C$155,MATCH($B114,Rosters!$B$2:$B$155,0)),"NA")</f>
        <v>NA</v>
      </c>
      <c r="R114" t="str">
        <f t="shared" si="2"/>
        <v>NA15</v>
      </c>
      <c r="S114">
        <f>COUNTIFS(A$1:A114,A114)</f>
        <v>7</v>
      </c>
      <c r="T114" t="str">
        <f t="shared" si="3"/>
        <v>Cody Parkey15</v>
      </c>
      <c r="U114">
        <f>IF(OR(NOT(ISERROR(MATCH(T114,Finals!$K$2:$K$1801,0))),AND(A114&gt;Week,Q114&lt;&gt;"NA")),"",A114)</f>
        <v>15</v>
      </c>
      <c r="V114" t="str">
        <f>IF(U114&lt;&gt;"",U114&amp;"-"&amp;COUNTIF(U$1:U114,U114),"")</f>
        <v>15-4</v>
      </c>
    </row>
    <row r="115" spans="1:22" x14ac:dyDescent="0.25">
      <c r="A115">
        <v>15</v>
      </c>
      <c r="B115" t="s">
        <v>449</v>
      </c>
      <c r="C115" t="s">
        <v>5116</v>
      </c>
      <c r="D115">
        <v>1.69</v>
      </c>
      <c r="E115">
        <v>2.0099999999999998</v>
      </c>
      <c r="F115">
        <v>3.09</v>
      </c>
      <c r="G115">
        <v>3.11</v>
      </c>
      <c r="H115">
        <v>8.84</v>
      </c>
      <c r="I115" t="s">
        <v>58</v>
      </c>
      <c r="J115">
        <v>0.02</v>
      </c>
      <c r="K115">
        <v>0.32</v>
      </c>
      <c r="L115">
        <v>7.86</v>
      </c>
      <c r="M115">
        <v>12.4</v>
      </c>
      <c r="N115">
        <v>5.28</v>
      </c>
      <c r="O115">
        <v>3.56</v>
      </c>
      <c r="P115">
        <v>12.6736</v>
      </c>
      <c r="Q115" t="str">
        <f>IFERROR(INDEX(Rosters!$C$2:$C$155,MATCH($B115,Rosters!$B$2:$B$155,0)),"NA")</f>
        <v>lucas</v>
      </c>
      <c r="R115" t="str">
        <f t="shared" si="2"/>
        <v>lucas15</v>
      </c>
      <c r="S115">
        <f>COUNTIFS(A$1:A115,A115)</f>
        <v>8</v>
      </c>
      <c r="T115" t="str">
        <f t="shared" si="3"/>
        <v>Matt Bryant15</v>
      </c>
      <c r="U115" t="str">
        <f>IF(OR(NOT(ISERROR(MATCH(T115,Finals!$K$2:$K$1801,0))),AND(A115&gt;Week,Q115&lt;&gt;"NA")),"",A115)</f>
        <v/>
      </c>
      <c r="V115" t="str">
        <f>IF(U115&lt;&gt;"",U115&amp;"-"&amp;COUNTIF(U$1:U115,U115),"")</f>
        <v/>
      </c>
    </row>
    <row r="116" spans="1:22" x14ac:dyDescent="0.25">
      <c r="A116">
        <v>1</v>
      </c>
      <c r="B116" t="s">
        <v>452</v>
      </c>
      <c r="C116" t="s">
        <v>1752</v>
      </c>
      <c r="D116">
        <v>1.84</v>
      </c>
      <c r="E116">
        <v>2.06</v>
      </c>
      <c r="F116">
        <v>1.96</v>
      </c>
      <c r="G116">
        <v>2</v>
      </c>
      <c r="H116">
        <v>8.56</v>
      </c>
      <c r="I116" t="s">
        <v>25</v>
      </c>
      <c r="J116">
        <v>0.04</v>
      </c>
      <c r="K116">
        <v>0.22</v>
      </c>
      <c r="L116">
        <v>7.86</v>
      </c>
      <c r="M116">
        <v>13.5</v>
      </c>
      <c r="N116">
        <v>3.62</v>
      </c>
      <c r="O116">
        <v>4.9400000000000004</v>
      </c>
      <c r="P116">
        <v>24.403600000000001</v>
      </c>
      <c r="Q116" t="str">
        <f>IFERROR(INDEX(Rosters!$C$2:$C$155,MATCH($B116,Rosters!$B$2:$B$155,0)),"NA")</f>
        <v>matty</v>
      </c>
      <c r="R116" t="str">
        <f t="shared" si="2"/>
        <v>matty1</v>
      </c>
      <c r="S116">
        <f>COUNTIFS(A$1:A116,A116)</f>
        <v>11</v>
      </c>
      <c r="T116" t="str">
        <f t="shared" si="3"/>
        <v>Robbie Gould1</v>
      </c>
      <c r="U116" t="str">
        <f>IF(OR(NOT(ISERROR(MATCH(T116,Finals!$K$2:$K$1801,0))),AND(A116&gt;Week,Q116&lt;&gt;"NA")),"",A116)</f>
        <v/>
      </c>
      <c r="V116" t="str">
        <f>IF(U116&lt;&gt;"",U116&amp;"-"&amp;COUNTIF(U$1:U116,U116),"")</f>
        <v/>
      </c>
    </row>
    <row r="117" spans="1:22" x14ac:dyDescent="0.25">
      <c r="A117">
        <v>5</v>
      </c>
      <c r="B117" t="s">
        <v>455</v>
      </c>
      <c r="C117" t="s">
        <v>9068</v>
      </c>
      <c r="D117">
        <v>1.91</v>
      </c>
      <c r="E117">
        <v>2.4</v>
      </c>
      <c r="F117">
        <v>3.25</v>
      </c>
      <c r="G117">
        <v>3.39</v>
      </c>
      <c r="H117">
        <v>9.4499999999999993</v>
      </c>
      <c r="I117" t="s">
        <v>46</v>
      </c>
      <c r="J117">
        <v>0.14000000000000001</v>
      </c>
      <c r="K117">
        <v>0.49</v>
      </c>
      <c r="L117">
        <v>7.84</v>
      </c>
      <c r="M117">
        <v>13.86</v>
      </c>
      <c r="N117">
        <v>5.04</v>
      </c>
      <c r="O117">
        <v>4.41</v>
      </c>
      <c r="P117">
        <v>19.4481</v>
      </c>
      <c r="Q117" t="str">
        <f>IFERROR(INDEX(Rosters!$C$2:$C$155,MATCH($B117,Rosters!$B$2:$B$155,0)),"NA")</f>
        <v>NA</v>
      </c>
      <c r="R117" t="str">
        <f t="shared" si="2"/>
        <v>NA5</v>
      </c>
      <c r="S117">
        <f>COUNTIFS(A$1:A117,A117)</f>
        <v>10</v>
      </c>
      <c r="T117" t="str">
        <f t="shared" si="3"/>
        <v>Chris Boswell5</v>
      </c>
      <c r="U117">
        <f>IF(OR(NOT(ISERROR(MATCH(T117,Finals!$K$2:$K$1801,0))),AND(A117&gt;Week,Q117&lt;&gt;"NA")),"",A117)</f>
        <v>5</v>
      </c>
      <c r="V117" t="str">
        <f>IF(U117&lt;&gt;"",U117&amp;"-"&amp;COUNTIF(U$1:U117,U117),"")</f>
        <v>5-4</v>
      </c>
    </row>
    <row r="118" spans="1:22" x14ac:dyDescent="0.25">
      <c r="A118">
        <v>15</v>
      </c>
      <c r="B118" t="s">
        <v>464</v>
      </c>
      <c r="C118" t="s">
        <v>5117</v>
      </c>
      <c r="D118">
        <v>1.88</v>
      </c>
      <c r="E118">
        <v>2.29</v>
      </c>
      <c r="F118">
        <v>2.4900000000000002</v>
      </c>
      <c r="G118">
        <v>2.5099999999999998</v>
      </c>
      <c r="H118">
        <v>9.09</v>
      </c>
      <c r="I118" t="s">
        <v>50</v>
      </c>
      <c r="J118">
        <v>1.9999999999999601E-2</v>
      </c>
      <c r="K118">
        <v>0.41</v>
      </c>
      <c r="L118">
        <v>7.84</v>
      </c>
      <c r="M118">
        <v>13.85</v>
      </c>
      <c r="N118">
        <v>4.33</v>
      </c>
      <c r="O118">
        <v>4.76</v>
      </c>
      <c r="P118">
        <v>22.657599999999999</v>
      </c>
      <c r="Q118" t="str">
        <f>IFERROR(INDEX(Rosters!$C$2:$C$155,MATCH($B118,Rosters!$B$2:$B$155,0)),"NA")</f>
        <v>NA</v>
      </c>
      <c r="R118" t="str">
        <f t="shared" si="2"/>
        <v>NA15</v>
      </c>
      <c r="S118">
        <f>COUNTIFS(A$1:A118,A118)</f>
        <v>9</v>
      </c>
      <c r="T118" t="str">
        <f t="shared" si="3"/>
        <v>Greg Zuerlein15</v>
      </c>
      <c r="U118">
        <f>IF(OR(NOT(ISERROR(MATCH(T118,Finals!$K$2:$K$1801,0))),AND(A118&gt;Week,Q118&lt;&gt;"NA")),"",A118)</f>
        <v>15</v>
      </c>
      <c r="V118" t="str">
        <f>IF(U118&lt;&gt;"",U118&amp;"-"&amp;COUNTIF(U$1:U118,U118),"")</f>
        <v>15-5</v>
      </c>
    </row>
    <row r="119" spans="1:22" x14ac:dyDescent="0.25">
      <c r="A119">
        <v>10</v>
      </c>
      <c r="B119" t="s">
        <v>457</v>
      </c>
      <c r="C119" t="s">
        <v>5118</v>
      </c>
      <c r="D119">
        <v>1.77</v>
      </c>
      <c r="E119">
        <v>2.09</v>
      </c>
      <c r="F119">
        <v>2.63</v>
      </c>
      <c r="G119">
        <v>2.63</v>
      </c>
      <c r="H119">
        <v>8.7899999999999991</v>
      </c>
      <c r="I119" t="s">
        <v>60</v>
      </c>
      <c r="J119">
        <v>0</v>
      </c>
      <c r="K119">
        <v>0.32</v>
      </c>
      <c r="L119">
        <v>7.83</v>
      </c>
      <c r="M119">
        <v>13.26</v>
      </c>
      <c r="N119">
        <v>4.32</v>
      </c>
      <c r="O119">
        <v>4.47</v>
      </c>
      <c r="P119">
        <v>19.980899999999998</v>
      </c>
      <c r="Q119" t="str">
        <f>IFERROR(INDEX(Rosters!$C$2:$C$155,MATCH($B119,Rosters!$B$2:$B$155,0)),"NA")</f>
        <v>NA</v>
      </c>
      <c r="R119" t="str">
        <f t="shared" si="2"/>
        <v>NA10</v>
      </c>
      <c r="S119">
        <f>COUNTIFS(A$1:A119,A119)</f>
        <v>5</v>
      </c>
      <c r="T119" t="str">
        <f t="shared" si="3"/>
        <v>Chandler Catanzaro10</v>
      </c>
      <c r="U119">
        <f>IF(OR(NOT(ISERROR(MATCH(T119,Finals!$K$2:$K$1801,0))),AND(A119&gt;Week,Q119&lt;&gt;"NA")),"",A119)</f>
        <v>10</v>
      </c>
      <c r="V119" t="str">
        <f>IF(U119&lt;&gt;"",U119&amp;"-"&amp;COUNTIF(U$1:U119,U119),"")</f>
        <v>10-4</v>
      </c>
    </row>
    <row r="120" spans="1:22" x14ac:dyDescent="0.25">
      <c r="A120">
        <v>16</v>
      </c>
      <c r="B120" t="s">
        <v>460</v>
      </c>
      <c r="C120" t="s">
        <v>5119</v>
      </c>
      <c r="D120">
        <v>1.73</v>
      </c>
      <c r="E120">
        <v>1.99</v>
      </c>
      <c r="F120">
        <v>2.67</v>
      </c>
      <c r="G120">
        <v>2.71</v>
      </c>
      <c r="H120">
        <v>8.6300000000000008</v>
      </c>
      <c r="I120" t="s">
        <v>41</v>
      </c>
      <c r="J120">
        <v>0.04</v>
      </c>
      <c r="K120">
        <v>0.26</v>
      </c>
      <c r="L120">
        <v>7.81</v>
      </c>
      <c r="M120">
        <v>13.17</v>
      </c>
      <c r="N120">
        <v>4.09</v>
      </c>
      <c r="O120">
        <v>4.54</v>
      </c>
      <c r="P120">
        <v>20.611599999999999</v>
      </c>
      <c r="Q120" t="str">
        <f>IFERROR(INDEX(Rosters!$C$2:$C$155,MATCH($B120,Rosters!$B$2:$B$155,0)),"NA")</f>
        <v>NA</v>
      </c>
      <c r="R120" t="str">
        <f t="shared" si="2"/>
        <v>NA16</v>
      </c>
      <c r="S120">
        <f>COUNTIFS(A$1:A120,A120)</f>
        <v>5</v>
      </c>
      <c r="T120" t="str">
        <f t="shared" si="3"/>
        <v>Jason Myers16</v>
      </c>
      <c r="U120">
        <f>IF(OR(NOT(ISERROR(MATCH(T120,Finals!$K$2:$K$1801,0))),AND(A120&gt;Week,Q120&lt;&gt;"NA")),"",A120)</f>
        <v>16</v>
      </c>
      <c r="V120" t="str">
        <f>IF(U120&lt;&gt;"",U120&amp;"-"&amp;COUNTIF(U$1:U120,U120),"")</f>
        <v>16-4</v>
      </c>
    </row>
    <row r="121" spans="1:22" x14ac:dyDescent="0.25">
      <c r="A121">
        <v>1</v>
      </c>
      <c r="B121" t="s">
        <v>449</v>
      </c>
      <c r="C121" t="s">
        <v>1753</v>
      </c>
      <c r="D121">
        <v>1.74</v>
      </c>
      <c r="E121">
        <v>1.96</v>
      </c>
      <c r="F121">
        <v>2.34</v>
      </c>
      <c r="G121">
        <v>2.34</v>
      </c>
      <c r="H121">
        <v>8.4700000000000006</v>
      </c>
      <c r="I121" t="s">
        <v>50</v>
      </c>
      <c r="J121">
        <v>0</v>
      </c>
      <c r="K121">
        <v>0.22</v>
      </c>
      <c r="L121">
        <v>7.81</v>
      </c>
      <c r="M121">
        <v>11.89</v>
      </c>
      <c r="N121">
        <v>5.05</v>
      </c>
      <c r="O121">
        <v>3.42</v>
      </c>
      <c r="P121">
        <v>11.696400000000001</v>
      </c>
      <c r="Q121" t="str">
        <f>IFERROR(INDEX(Rosters!$C$2:$C$155,MATCH($B121,Rosters!$B$2:$B$155,0)),"NA")</f>
        <v>lucas</v>
      </c>
      <c r="R121" t="str">
        <f t="shared" si="2"/>
        <v>lucas1</v>
      </c>
      <c r="S121">
        <f>COUNTIFS(A$1:A121,A121)</f>
        <v>12</v>
      </c>
      <c r="T121" t="str">
        <f t="shared" si="3"/>
        <v>Matt Bryant1</v>
      </c>
      <c r="U121" t="str">
        <f>IF(OR(NOT(ISERROR(MATCH(T121,Finals!$K$2:$K$1801,0))),AND(A121&gt;Week,Q121&lt;&gt;"NA")),"",A121)</f>
        <v/>
      </c>
      <c r="V121" t="str">
        <f>IF(U121&lt;&gt;"",U121&amp;"-"&amp;COUNTIF(U$1:U121,U121),"")</f>
        <v/>
      </c>
    </row>
    <row r="122" spans="1:22" x14ac:dyDescent="0.25">
      <c r="A122">
        <v>2</v>
      </c>
      <c r="B122" t="s">
        <v>1119</v>
      </c>
      <c r="C122" t="s">
        <v>3583</v>
      </c>
      <c r="D122">
        <v>1.79</v>
      </c>
      <c r="E122">
        <v>2.06</v>
      </c>
      <c r="F122">
        <v>2.46</v>
      </c>
      <c r="G122">
        <v>2.5</v>
      </c>
      <c r="H122">
        <v>8.64</v>
      </c>
      <c r="I122" t="s">
        <v>423</v>
      </c>
      <c r="J122">
        <v>0.04</v>
      </c>
      <c r="K122">
        <v>0.27</v>
      </c>
      <c r="L122">
        <v>7.79</v>
      </c>
      <c r="M122">
        <v>12.88</v>
      </c>
      <c r="N122">
        <v>4.4000000000000004</v>
      </c>
      <c r="O122">
        <v>4.24</v>
      </c>
      <c r="P122">
        <v>17.977599999999999</v>
      </c>
      <c r="Q122" t="str">
        <f>IFERROR(INDEX(Rosters!$C$2:$C$155,MATCH($B122,Rosters!$B$2:$B$155,0)),"NA")</f>
        <v>scott</v>
      </c>
      <c r="R122" t="str">
        <f t="shared" si="2"/>
        <v>scott2</v>
      </c>
      <c r="S122">
        <f>COUNTIFS(A$1:A122,A122)</f>
        <v>9</v>
      </c>
      <c r="T122" t="str">
        <f t="shared" si="3"/>
        <v>Josh Lambo2</v>
      </c>
      <c r="U122">
        <f>IF(OR(NOT(ISERROR(MATCH(T122,Finals!$K$2:$K$1801,0))),AND(A122&gt;Week,Q122&lt;&gt;"NA")),"",A122)</f>
        <v>2</v>
      </c>
      <c r="V122" t="str">
        <f>IF(U122&lt;&gt;"",U122&amp;"-"&amp;COUNTIF(U$1:U122,U122),"")</f>
        <v>2-2</v>
      </c>
    </row>
    <row r="123" spans="1:22" x14ac:dyDescent="0.25">
      <c r="A123">
        <v>14</v>
      </c>
      <c r="B123" t="s">
        <v>457</v>
      </c>
      <c r="C123" t="s">
        <v>5120</v>
      </c>
      <c r="D123">
        <v>1.81</v>
      </c>
      <c r="E123">
        <v>2.2599999999999998</v>
      </c>
      <c r="F123">
        <v>3.08</v>
      </c>
      <c r="G123">
        <v>3.14</v>
      </c>
      <c r="H123">
        <v>9.19</v>
      </c>
      <c r="I123" t="s">
        <v>14</v>
      </c>
      <c r="J123">
        <v>6.0000000000000102E-2</v>
      </c>
      <c r="K123">
        <v>0.45</v>
      </c>
      <c r="L123">
        <v>7.78</v>
      </c>
      <c r="M123">
        <v>12.83</v>
      </c>
      <c r="N123">
        <v>5.55</v>
      </c>
      <c r="O123">
        <v>3.64</v>
      </c>
      <c r="P123">
        <v>13.249599999999999</v>
      </c>
      <c r="Q123" t="str">
        <f>IFERROR(INDEX(Rosters!$C$2:$C$155,MATCH($B123,Rosters!$B$2:$B$155,0)),"NA")</f>
        <v>NA</v>
      </c>
      <c r="R123" t="str">
        <f t="shared" si="2"/>
        <v>NA14</v>
      </c>
      <c r="S123">
        <f>COUNTIFS(A$1:A123,A123)</f>
        <v>6</v>
      </c>
      <c r="T123" t="str">
        <f t="shared" si="3"/>
        <v>Chandler Catanzaro14</v>
      </c>
      <c r="U123">
        <f>IF(OR(NOT(ISERROR(MATCH(T123,Finals!$K$2:$K$1801,0))),AND(A123&gt;Week,Q123&lt;&gt;"NA")),"",A123)</f>
        <v>14</v>
      </c>
      <c r="V123" t="str">
        <f>IF(U123&lt;&gt;"",U123&amp;"-"&amp;COUNTIF(U$1:U123,U123),"")</f>
        <v>14-2</v>
      </c>
    </row>
    <row r="124" spans="1:22" x14ac:dyDescent="0.25">
      <c r="A124">
        <v>13</v>
      </c>
      <c r="B124" t="s">
        <v>449</v>
      </c>
      <c r="C124" t="s">
        <v>5121</v>
      </c>
      <c r="D124">
        <v>1.65</v>
      </c>
      <c r="E124">
        <v>1.85</v>
      </c>
      <c r="F124">
        <v>2.74</v>
      </c>
      <c r="G124">
        <v>2.76</v>
      </c>
      <c r="H124">
        <v>8.3800000000000008</v>
      </c>
      <c r="I124" t="s">
        <v>77</v>
      </c>
      <c r="J124">
        <v>1.9999999999999601E-2</v>
      </c>
      <c r="K124">
        <v>0.2</v>
      </c>
      <c r="L124">
        <v>7.76</v>
      </c>
      <c r="M124">
        <v>12.24</v>
      </c>
      <c r="N124">
        <v>4.5199999999999996</v>
      </c>
      <c r="O124">
        <v>3.86</v>
      </c>
      <c r="P124">
        <v>14.8996</v>
      </c>
      <c r="Q124" t="str">
        <f>IFERROR(INDEX(Rosters!$C$2:$C$155,MATCH($B124,Rosters!$B$2:$B$155,0)),"NA")</f>
        <v>lucas</v>
      </c>
      <c r="R124" t="str">
        <f t="shared" si="2"/>
        <v>lucas13</v>
      </c>
      <c r="S124">
        <f>COUNTIFS(A$1:A124,A124)</f>
        <v>8</v>
      </c>
      <c r="T124" t="str">
        <f t="shared" si="3"/>
        <v>Matt Bryant13</v>
      </c>
      <c r="U124" t="str">
        <f>IF(OR(NOT(ISERROR(MATCH(T124,Finals!$K$2:$K$1801,0))),AND(A124&gt;Week,Q124&lt;&gt;"NA")),"",A124)</f>
        <v/>
      </c>
      <c r="V124" t="str">
        <f>IF(U124&lt;&gt;"",U124&amp;"-"&amp;COUNTIF(U$1:U124,U124),"")</f>
        <v/>
      </c>
    </row>
    <row r="125" spans="1:22" x14ac:dyDescent="0.25">
      <c r="A125">
        <v>12</v>
      </c>
      <c r="B125" t="s">
        <v>457</v>
      </c>
      <c r="C125" t="s">
        <v>5122</v>
      </c>
      <c r="D125">
        <v>1.77</v>
      </c>
      <c r="E125">
        <v>2.1800000000000002</v>
      </c>
      <c r="F125">
        <v>3.06</v>
      </c>
      <c r="G125">
        <v>3.13</v>
      </c>
      <c r="H125">
        <v>9.0500000000000007</v>
      </c>
      <c r="I125" t="s">
        <v>30</v>
      </c>
      <c r="J125">
        <v>6.9999999999999798E-2</v>
      </c>
      <c r="K125">
        <v>0.41</v>
      </c>
      <c r="L125">
        <v>7.75</v>
      </c>
      <c r="M125">
        <v>12.56</v>
      </c>
      <c r="N125">
        <v>5.54</v>
      </c>
      <c r="O125">
        <v>3.51</v>
      </c>
      <c r="P125">
        <v>12.3201</v>
      </c>
      <c r="Q125" t="str">
        <f>IFERROR(INDEX(Rosters!$C$2:$C$155,MATCH($B125,Rosters!$B$2:$B$155,0)),"NA")</f>
        <v>NA</v>
      </c>
      <c r="R125" t="str">
        <f t="shared" si="2"/>
        <v>NA12</v>
      </c>
      <c r="S125">
        <f>COUNTIFS(A$1:A125,A125)</f>
        <v>7</v>
      </c>
      <c r="T125" t="str">
        <f t="shared" si="3"/>
        <v>Chandler Catanzaro12</v>
      </c>
      <c r="U125">
        <f>IF(OR(NOT(ISERROR(MATCH(T125,Finals!$K$2:$K$1801,0))),AND(A125&gt;Week,Q125&lt;&gt;"NA")),"",A125)</f>
        <v>12</v>
      </c>
      <c r="V125" t="str">
        <f>IF(U125&lt;&gt;"",U125&amp;"-"&amp;COUNTIF(U$1:U125,U125),"")</f>
        <v>12-3</v>
      </c>
    </row>
    <row r="126" spans="1:22" x14ac:dyDescent="0.25">
      <c r="A126">
        <v>3</v>
      </c>
      <c r="B126" t="s">
        <v>455</v>
      </c>
      <c r="C126" t="s">
        <v>4374</v>
      </c>
      <c r="D126">
        <v>1.77</v>
      </c>
      <c r="E126">
        <v>2.0699999999999998</v>
      </c>
      <c r="F126">
        <v>2.59</v>
      </c>
      <c r="G126">
        <v>2.68</v>
      </c>
      <c r="H126">
        <v>8.74</v>
      </c>
      <c r="I126" t="s">
        <v>17</v>
      </c>
      <c r="J126">
        <v>9.0000000000000302E-2</v>
      </c>
      <c r="K126">
        <v>0.3</v>
      </c>
      <c r="L126">
        <v>7.75</v>
      </c>
      <c r="M126">
        <v>12.26</v>
      </c>
      <c r="N126">
        <v>5.22</v>
      </c>
      <c r="O126">
        <v>3.52</v>
      </c>
      <c r="P126">
        <v>12.3904</v>
      </c>
      <c r="Q126" t="str">
        <f>IFERROR(INDEX(Rosters!$C$2:$C$155,MATCH($B126,Rosters!$B$2:$B$155,0)),"NA")</f>
        <v>NA</v>
      </c>
      <c r="R126" t="str">
        <f t="shared" si="2"/>
        <v>NA3</v>
      </c>
      <c r="S126">
        <f>COUNTIFS(A$1:A126,A126)</f>
        <v>11</v>
      </c>
      <c r="T126" t="str">
        <f t="shared" si="3"/>
        <v>Chris Boswell3</v>
      </c>
      <c r="U126" t="str">
        <f>IF(OR(NOT(ISERROR(MATCH(T126,Finals!$K$2:$K$1801,0))),AND(A126&gt;Week,Q126&lt;&gt;"NA")),"",A126)</f>
        <v/>
      </c>
      <c r="V126" t="str">
        <f>IF(U126&lt;&gt;"",U126&amp;"-"&amp;COUNTIF(U$1:U126,U126),"")</f>
        <v/>
      </c>
    </row>
    <row r="127" spans="1:22" x14ac:dyDescent="0.25">
      <c r="A127">
        <v>4</v>
      </c>
      <c r="B127" t="s">
        <v>455</v>
      </c>
      <c r="C127" t="s">
        <v>5123</v>
      </c>
      <c r="D127">
        <v>2.02</v>
      </c>
      <c r="E127">
        <v>2.4900000000000002</v>
      </c>
      <c r="F127">
        <v>2.5299999999999998</v>
      </c>
      <c r="G127">
        <v>2.6</v>
      </c>
      <c r="H127">
        <v>9.23</v>
      </c>
      <c r="I127" t="s">
        <v>77</v>
      </c>
      <c r="J127">
        <v>7.0000000000000298E-2</v>
      </c>
      <c r="K127">
        <v>0.47</v>
      </c>
      <c r="L127">
        <v>7.75</v>
      </c>
      <c r="M127">
        <v>13.17</v>
      </c>
      <c r="N127">
        <v>5.29</v>
      </c>
      <c r="O127">
        <v>3.94</v>
      </c>
      <c r="P127">
        <v>15.5236</v>
      </c>
      <c r="Q127" t="str">
        <f>IFERROR(INDEX(Rosters!$C$2:$C$155,MATCH($B127,Rosters!$B$2:$B$155,0)),"NA")</f>
        <v>NA</v>
      </c>
      <c r="R127" t="str">
        <f t="shared" si="2"/>
        <v>NA4</v>
      </c>
      <c r="S127">
        <f>COUNTIFS(A$1:A127,A127)</f>
        <v>8</v>
      </c>
      <c r="T127" t="str">
        <f t="shared" si="3"/>
        <v>Chris Boswell4</v>
      </c>
      <c r="U127">
        <f>IF(OR(NOT(ISERROR(MATCH(T127,Finals!$K$2:$K$1801,0))),AND(A127&gt;Week,Q127&lt;&gt;"NA")),"",A127)</f>
        <v>4</v>
      </c>
      <c r="V127" t="str">
        <f>IF(U127&lt;&gt;"",U127&amp;"-"&amp;COUNTIF(U$1:U127,U127),"")</f>
        <v>4-3</v>
      </c>
    </row>
    <row r="128" spans="1:22" x14ac:dyDescent="0.25">
      <c r="A128">
        <v>6</v>
      </c>
      <c r="B128" t="s">
        <v>460</v>
      </c>
      <c r="C128" t="s">
        <v>5124</v>
      </c>
      <c r="D128">
        <v>1.83</v>
      </c>
      <c r="E128">
        <v>2.1800000000000002</v>
      </c>
      <c r="F128">
        <v>2.5299999999999998</v>
      </c>
      <c r="G128">
        <v>2.59</v>
      </c>
      <c r="H128">
        <v>8.85</v>
      </c>
      <c r="I128" t="s">
        <v>66</v>
      </c>
      <c r="J128">
        <v>6.0000000000000102E-2</v>
      </c>
      <c r="K128">
        <v>0.35</v>
      </c>
      <c r="L128">
        <v>7.74</v>
      </c>
      <c r="M128">
        <v>13.39</v>
      </c>
      <c r="N128">
        <v>4.3099999999999996</v>
      </c>
      <c r="O128">
        <v>4.54</v>
      </c>
      <c r="P128">
        <v>20.611599999999999</v>
      </c>
      <c r="Q128" t="str">
        <f>IFERROR(INDEX(Rosters!$C$2:$C$155,MATCH($B128,Rosters!$B$2:$B$155,0)),"NA")</f>
        <v>NA</v>
      </c>
      <c r="R128" t="str">
        <f t="shared" si="2"/>
        <v>NA6</v>
      </c>
      <c r="S128">
        <f>COUNTIFS(A$1:A128,A128)</f>
        <v>5</v>
      </c>
      <c r="T128" t="str">
        <f t="shared" si="3"/>
        <v>Jason Myers6</v>
      </c>
      <c r="U128">
        <f>IF(OR(NOT(ISERROR(MATCH(T128,Finals!$K$2:$K$1801,0))),AND(A128&gt;Week,Q128&lt;&gt;"NA")),"",A128)</f>
        <v>6</v>
      </c>
      <c r="V128" t="str">
        <f>IF(U128&lt;&gt;"",U128&amp;"-"&amp;COUNTIF(U$1:U128,U128),"")</f>
        <v>6-2</v>
      </c>
    </row>
    <row r="129" spans="1:22" x14ac:dyDescent="0.25">
      <c r="A129">
        <v>7</v>
      </c>
      <c r="B129" t="s">
        <v>1108</v>
      </c>
      <c r="C129" t="s">
        <v>5125</v>
      </c>
      <c r="D129">
        <v>1.61</v>
      </c>
      <c r="E129">
        <v>1.93</v>
      </c>
      <c r="F129">
        <v>3.23</v>
      </c>
      <c r="G129">
        <v>3.29</v>
      </c>
      <c r="H129">
        <v>8.75</v>
      </c>
      <c r="I129" t="s">
        <v>31</v>
      </c>
      <c r="J129">
        <v>6.0000000000000102E-2</v>
      </c>
      <c r="K129">
        <v>0.32</v>
      </c>
      <c r="L129">
        <v>7.73</v>
      </c>
      <c r="M129">
        <v>12.67</v>
      </c>
      <c r="N129">
        <v>4.83</v>
      </c>
      <c r="O129">
        <v>3.92</v>
      </c>
      <c r="P129">
        <v>15.366400000000001</v>
      </c>
      <c r="Q129" t="str">
        <f>IFERROR(INDEX(Rosters!$C$2:$C$155,MATCH($B129,Rosters!$B$2:$B$155,0)),"NA")</f>
        <v>seth</v>
      </c>
      <c r="R129" t="str">
        <f t="shared" si="2"/>
        <v>seth7</v>
      </c>
      <c r="S129">
        <f>COUNTIFS(A$1:A129,A129)</f>
        <v>7</v>
      </c>
      <c r="T129" t="str">
        <f t="shared" si="3"/>
        <v>Harrison Butker7</v>
      </c>
      <c r="U129" t="str">
        <f>IF(OR(NOT(ISERROR(MATCH(T129,Finals!$K$2:$K$1801,0))),AND(A129&gt;Week,Q129&lt;&gt;"NA")),"",A129)</f>
        <v/>
      </c>
      <c r="V129" t="str">
        <f>IF(U129&lt;&gt;"",U129&amp;"-"&amp;COUNTIF(U$1:U129,U129),"")</f>
        <v/>
      </c>
    </row>
    <row r="130" spans="1:22" x14ac:dyDescent="0.25">
      <c r="A130">
        <v>10</v>
      </c>
      <c r="B130" t="s">
        <v>452</v>
      </c>
      <c r="C130" t="s">
        <v>5126</v>
      </c>
      <c r="D130">
        <v>1.79</v>
      </c>
      <c r="E130">
        <v>2.02</v>
      </c>
      <c r="F130">
        <v>2.12</v>
      </c>
      <c r="G130">
        <v>2.14</v>
      </c>
      <c r="H130">
        <v>8.43</v>
      </c>
      <c r="I130" t="s">
        <v>54</v>
      </c>
      <c r="J130">
        <v>0.02</v>
      </c>
      <c r="K130">
        <v>0.23</v>
      </c>
      <c r="L130">
        <v>7.72</v>
      </c>
      <c r="M130">
        <v>13.09</v>
      </c>
      <c r="N130">
        <v>3.77</v>
      </c>
      <c r="O130">
        <v>4.66</v>
      </c>
      <c r="P130">
        <v>21.715599999999998</v>
      </c>
      <c r="Q130" t="str">
        <f>IFERROR(INDEX(Rosters!$C$2:$C$155,MATCH($B130,Rosters!$B$2:$B$155,0)),"NA")</f>
        <v>matty</v>
      </c>
      <c r="R130" t="str">
        <f t="shared" si="2"/>
        <v>matty10</v>
      </c>
      <c r="S130">
        <f>COUNTIFS(A$1:A130,A130)</f>
        <v>6</v>
      </c>
      <c r="T130" t="str">
        <f t="shared" si="3"/>
        <v>Robbie Gould10</v>
      </c>
      <c r="U130" t="str">
        <f>IF(OR(NOT(ISERROR(MATCH(T130,Finals!$K$2:$K$1801,0))),AND(A130&gt;Week,Q130&lt;&gt;"NA")),"",A130)</f>
        <v/>
      </c>
      <c r="V130" t="str">
        <f>IF(U130&lt;&gt;"",U130&amp;"-"&amp;COUNTIF(U$1:U130,U130),"")</f>
        <v/>
      </c>
    </row>
    <row r="131" spans="1:22" x14ac:dyDescent="0.25">
      <c r="A131">
        <v>2</v>
      </c>
      <c r="B131" t="s">
        <v>446</v>
      </c>
      <c r="C131" t="s">
        <v>3584</v>
      </c>
      <c r="D131">
        <v>1.86</v>
      </c>
      <c r="E131">
        <v>2.19</v>
      </c>
      <c r="F131">
        <v>2.27</v>
      </c>
      <c r="G131">
        <v>2.33</v>
      </c>
      <c r="H131">
        <v>8.77</v>
      </c>
      <c r="I131" t="s">
        <v>76</v>
      </c>
      <c r="J131">
        <v>6.0000000000000102E-2</v>
      </c>
      <c r="K131">
        <v>0.33</v>
      </c>
      <c r="L131">
        <v>7.72</v>
      </c>
      <c r="M131">
        <v>13.14</v>
      </c>
      <c r="N131">
        <v>4.4000000000000004</v>
      </c>
      <c r="O131">
        <v>4.37</v>
      </c>
      <c r="P131">
        <v>19.096900000000002</v>
      </c>
      <c r="Q131" t="str">
        <f>IFERROR(INDEX(Rosters!$C$2:$C$155,MATCH($B131,Rosters!$B$2:$B$155,0)),"NA")</f>
        <v>comp</v>
      </c>
      <c r="R131" t="str">
        <f t="shared" ref="R131:R194" si="4">Q131&amp;A131</f>
        <v>comp2</v>
      </c>
      <c r="S131">
        <f>COUNTIFS(A$1:A131,A131)</f>
        <v>10</v>
      </c>
      <c r="T131" t="str">
        <f t="shared" ref="T131:T194" si="5">B131&amp;A131</f>
        <v>Stephen Gostkowski2</v>
      </c>
      <c r="U131" t="str">
        <f>IF(OR(NOT(ISERROR(MATCH(T131,Finals!$K$2:$K$1801,0))),AND(A131&gt;Week,Q131&lt;&gt;"NA")),"",A131)</f>
        <v/>
      </c>
      <c r="V131" t="str">
        <f>IF(U131&lt;&gt;"",U131&amp;"-"&amp;COUNTIF(U$1:U131,U131),"")</f>
        <v/>
      </c>
    </row>
    <row r="132" spans="1:22" x14ac:dyDescent="0.25">
      <c r="A132">
        <v>14</v>
      </c>
      <c r="B132" t="s">
        <v>459</v>
      </c>
      <c r="C132" t="s">
        <v>5127</v>
      </c>
      <c r="D132">
        <v>1.68</v>
      </c>
      <c r="E132">
        <v>1.91</v>
      </c>
      <c r="F132">
        <v>2.4</v>
      </c>
      <c r="G132">
        <v>2.4</v>
      </c>
      <c r="H132">
        <v>8.4</v>
      </c>
      <c r="I132" t="s">
        <v>56</v>
      </c>
      <c r="J132">
        <v>0</v>
      </c>
      <c r="K132">
        <v>0.23</v>
      </c>
      <c r="L132">
        <v>7.71</v>
      </c>
      <c r="M132">
        <v>12.29</v>
      </c>
      <c r="N132">
        <v>4.51</v>
      </c>
      <c r="O132">
        <v>3.89</v>
      </c>
      <c r="P132">
        <v>15.132099999999999</v>
      </c>
      <c r="Q132" t="str">
        <f>IFERROR(INDEX(Rosters!$C$2:$C$155,MATCH($B132,Rosters!$B$2:$B$155,0)),"NA")</f>
        <v>NA</v>
      </c>
      <c r="R132" t="str">
        <f t="shared" si="4"/>
        <v>NA14</v>
      </c>
      <c r="S132">
        <f>COUNTIFS(A$1:A132,A132)</f>
        <v>7</v>
      </c>
      <c r="T132" t="str">
        <f t="shared" si="5"/>
        <v>Cody Parkey14</v>
      </c>
      <c r="U132">
        <f>IF(OR(NOT(ISERROR(MATCH(T132,Finals!$K$2:$K$1801,0))),AND(A132&gt;Week,Q132&lt;&gt;"NA")),"",A132)</f>
        <v>14</v>
      </c>
      <c r="V132" t="str">
        <f>IF(U132&lt;&gt;"",U132&amp;"-"&amp;COUNTIF(U$1:U132,U132),"")</f>
        <v>14-3</v>
      </c>
    </row>
    <row r="133" spans="1:22" x14ac:dyDescent="0.25">
      <c r="A133">
        <v>7</v>
      </c>
      <c r="B133" t="s">
        <v>446</v>
      </c>
      <c r="C133" t="s">
        <v>5128</v>
      </c>
      <c r="D133">
        <v>2</v>
      </c>
      <c r="E133">
        <v>2.4500000000000002</v>
      </c>
      <c r="F133">
        <v>2.1800000000000002</v>
      </c>
      <c r="G133">
        <v>2.2000000000000002</v>
      </c>
      <c r="H133">
        <v>9.08</v>
      </c>
      <c r="I133" t="s">
        <v>72</v>
      </c>
      <c r="J133">
        <v>0.02</v>
      </c>
      <c r="K133">
        <v>0.45</v>
      </c>
      <c r="L133">
        <v>7.71</v>
      </c>
      <c r="M133">
        <v>13.49</v>
      </c>
      <c r="N133">
        <v>4.67</v>
      </c>
      <c r="O133">
        <v>4.41</v>
      </c>
      <c r="P133">
        <v>19.4481</v>
      </c>
      <c r="Q133" t="str">
        <f>IFERROR(INDEX(Rosters!$C$2:$C$155,MATCH($B133,Rosters!$B$2:$B$155,0)),"NA")</f>
        <v>comp</v>
      </c>
      <c r="R133" t="str">
        <f t="shared" si="4"/>
        <v>comp7</v>
      </c>
      <c r="S133">
        <f>COUNTIFS(A$1:A133,A133)</f>
        <v>8</v>
      </c>
      <c r="T133" t="str">
        <f t="shared" si="5"/>
        <v>Stephen Gostkowski7</v>
      </c>
      <c r="U133" t="str">
        <f>IF(OR(NOT(ISERROR(MATCH(T133,Finals!$K$2:$K$1801,0))),AND(A133&gt;Week,Q133&lt;&gt;"NA")),"",A133)</f>
        <v/>
      </c>
      <c r="V133" t="str">
        <f>IF(U133&lt;&gt;"",U133&amp;"-"&amp;COUNTIF(U$1:U133,U133),"")</f>
        <v/>
      </c>
    </row>
    <row r="134" spans="1:22" x14ac:dyDescent="0.25">
      <c r="A134">
        <v>13</v>
      </c>
      <c r="B134" t="s">
        <v>1119</v>
      </c>
      <c r="C134" t="s">
        <v>5129</v>
      </c>
      <c r="D134">
        <v>1.48</v>
      </c>
      <c r="E134">
        <v>1.58</v>
      </c>
      <c r="F134">
        <v>3</v>
      </c>
      <c r="G134">
        <v>3.06</v>
      </c>
      <c r="H134">
        <v>8.0399999999999991</v>
      </c>
      <c r="I134" t="s">
        <v>66</v>
      </c>
      <c r="J134">
        <v>6.0000000000000102E-2</v>
      </c>
      <c r="K134">
        <v>0.1</v>
      </c>
      <c r="L134">
        <v>7.68</v>
      </c>
      <c r="M134">
        <v>12.15</v>
      </c>
      <c r="N134">
        <v>3.93</v>
      </c>
      <c r="O134">
        <v>4.1100000000000003</v>
      </c>
      <c r="P134">
        <v>16.892099999999999</v>
      </c>
      <c r="Q134" t="str">
        <f>IFERROR(INDEX(Rosters!$C$2:$C$155,MATCH($B134,Rosters!$B$2:$B$155,0)),"NA")</f>
        <v>scott</v>
      </c>
      <c r="R134" t="str">
        <f t="shared" si="4"/>
        <v>scott13</v>
      </c>
      <c r="S134">
        <f>COUNTIFS(A$1:A134,A134)</f>
        <v>9</v>
      </c>
      <c r="T134" t="str">
        <f t="shared" si="5"/>
        <v>Josh Lambo13</v>
      </c>
      <c r="U134" t="str">
        <f>IF(OR(NOT(ISERROR(MATCH(T134,Finals!$K$2:$K$1801,0))),AND(A134&gt;Week,Q134&lt;&gt;"NA")),"",A134)</f>
        <v/>
      </c>
      <c r="V134" t="str">
        <f>IF(U134&lt;&gt;"",U134&amp;"-"&amp;COUNTIF(U$1:U134,U134),"")</f>
        <v/>
      </c>
    </row>
    <row r="135" spans="1:22" x14ac:dyDescent="0.25">
      <c r="A135">
        <v>14</v>
      </c>
      <c r="B135" t="s">
        <v>455</v>
      </c>
      <c r="C135" t="s">
        <v>5130</v>
      </c>
      <c r="D135">
        <v>1.69</v>
      </c>
      <c r="E135">
        <v>2.14</v>
      </c>
      <c r="F135">
        <v>3.29</v>
      </c>
      <c r="G135">
        <v>3.36</v>
      </c>
      <c r="H135">
        <v>9.09</v>
      </c>
      <c r="I135" t="s">
        <v>32</v>
      </c>
      <c r="J135">
        <v>6.9999999999999798E-2</v>
      </c>
      <c r="K135">
        <v>0.45</v>
      </c>
      <c r="L135">
        <v>7.67</v>
      </c>
      <c r="M135">
        <v>12.55</v>
      </c>
      <c r="N135">
        <v>5.63</v>
      </c>
      <c r="O135">
        <v>3.46</v>
      </c>
      <c r="P135">
        <v>11.9716</v>
      </c>
      <c r="Q135" t="str">
        <f>IFERROR(INDEX(Rosters!$C$2:$C$155,MATCH($B135,Rosters!$B$2:$B$155,0)),"NA")</f>
        <v>NA</v>
      </c>
      <c r="R135" t="str">
        <f t="shared" si="4"/>
        <v>NA14</v>
      </c>
      <c r="S135">
        <f>COUNTIFS(A$1:A135,A135)</f>
        <v>8</v>
      </c>
      <c r="T135" t="str">
        <f t="shared" si="5"/>
        <v>Chris Boswell14</v>
      </c>
      <c r="U135">
        <f>IF(OR(NOT(ISERROR(MATCH(T135,Finals!$K$2:$K$1801,0))),AND(A135&gt;Week,Q135&lt;&gt;"NA")),"",A135)</f>
        <v>14</v>
      </c>
      <c r="V135" t="str">
        <f>IF(U135&lt;&gt;"",U135&amp;"-"&amp;COUNTIF(U$1:U135,U135),"")</f>
        <v>14-4</v>
      </c>
    </row>
    <row r="136" spans="1:22" x14ac:dyDescent="0.25">
      <c r="A136">
        <v>10</v>
      </c>
      <c r="B136" t="s">
        <v>1108</v>
      </c>
      <c r="C136" t="s">
        <v>5131</v>
      </c>
      <c r="D136">
        <v>1.74</v>
      </c>
      <c r="E136">
        <v>2.11</v>
      </c>
      <c r="F136">
        <v>2.57</v>
      </c>
      <c r="G136">
        <v>2.59</v>
      </c>
      <c r="H136">
        <v>8.7899999999999991</v>
      </c>
      <c r="I136" t="s">
        <v>58</v>
      </c>
      <c r="J136">
        <v>0.02</v>
      </c>
      <c r="K136">
        <v>0.37</v>
      </c>
      <c r="L136">
        <v>7.66</v>
      </c>
      <c r="M136">
        <v>13.44</v>
      </c>
      <c r="N136">
        <v>4.1399999999999997</v>
      </c>
      <c r="O136">
        <v>4.6500000000000004</v>
      </c>
      <c r="P136">
        <v>21.622499999999999</v>
      </c>
      <c r="Q136" t="str">
        <f>IFERROR(INDEX(Rosters!$C$2:$C$155,MATCH($B136,Rosters!$B$2:$B$155,0)),"NA")</f>
        <v>seth</v>
      </c>
      <c r="R136" t="str">
        <f t="shared" si="4"/>
        <v>seth10</v>
      </c>
      <c r="S136">
        <f>COUNTIFS(A$1:A136,A136)</f>
        <v>7</v>
      </c>
      <c r="T136" t="str">
        <f t="shared" si="5"/>
        <v>Harrison Butker10</v>
      </c>
      <c r="U136" t="str">
        <f>IF(OR(NOT(ISERROR(MATCH(T136,Finals!$K$2:$K$1801,0))),AND(A136&gt;Week,Q136&lt;&gt;"NA")),"",A136)</f>
        <v/>
      </c>
      <c r="V136" t="str">
        <f>IF(U136&lt;&gt;"",U136&amp;"-"&amp;COUNTIF(U$1:U136,U136),"")</f>
        <v/>
      </c>
    </row>
    <row r="137" spans="1:22" x14ac:dyDescent="0.25">
      <c r="A137">
        <v>17</v>
      </c>
      <c r="B137" t="s">
        <v>447</v>
      </c>
      <c r="C137" t="s">
        <v>5132</v>
      </c>
      <c r="D137">
        <v>1.72</v>
      </c>
      <c r="E137">
        <v>1.91</v>
      </c>
      <c r="F137">
        <v>2.2599999999999998</v>
      </c>
      <c r="G137">
        <v>2.2799999999999998</v>
      </c>
      <c r="H137">
        <v>8.25</v>
      </c>
      <c r="I137" t="s">
        <v>52</v>
      </c>
      <c r="J137">
        <v>0.02</v>
      </c>
      <c r="K137">
        <v>0.19</v>
      </c>
      <c r="L137">
        <v>7.66</v>
      </c>
      <c r="M137">
        <v>12.76</v>
      </c>
      <c r="N137">
        <v>3.74</v>
      </c>
      <c r="O137">
        <v>4.51</v>
      </c>
      <c r="P137">
        <v>20.3401</v>
      </c>
      <c r="Q137" t="str">
        <f>IFERROR(INDEX(Rosters!$C$2:$C$155,MATCH($B137,Rosters!$B$2:$B$155,0)),"NA")</f>
        <v>chad</v>
      </c>
      <c r="R137" t="str">
        <f t="shared" si="4"/>
        <v>chad17</v>
      </c>
      <c r="S137">
        <f>COUNTIFS(A$1:A137,A137)</f>
        <v>10</v>
      </c>
      <c r="T137" t="str">
        <f t="shared" si="5"/>
        <v>Justin Tucker17</v>
      </c>
      <c r="U137" t="str">
        <f>IF(OR(NOT(ISERROR(MATCH(T137,Finals!$K$2:$K$1801,0))),AND(A137&gt;Week,Q137&lt;&gt;"NA")),"",A137)</f>
        <v/>
      </c>
      <c r="V137" t="str">
        <f>IF(U137&lt;&gt;"",U137&amp;"-"&amp;COUNTIF(U$1:U137,U137),"")</f>
        <v/>
      </c>
    </row>
    <row r="138" spans="1:22" x14ac:dyDescent="0.25">
      <c r="A138">
        <v>16</v>
      </c>
      <c r="B138" t="s">
        <v>449</v>
      </c>
      <c r="C138" t="s">
        <v>5133</v>
      </c>
      <c r="D138">
        <v>1.67</v>
      </c>
      <c r="E138">
        <v>1.96</v>
      </c>
      <c r="F138">
        <v>2.78</v>
      </c>
      <c r="G138">
        <v>2.8</v>
      </c>
      <c r="H138">
        <v>8.5500000000000007</v>
      </c>
      <c r="I138" t="s">
        <v>74</v>
      </c>
      <c r="J138">
        <v>0.02</v>
      </c>
      <c r="K138">
        <v>0.28999999999999998</v>
      </c>
      <c r="L138">
        <v>7.66</v>
      </c>
      <c r="M138">
        <v>11.95</v>
      </c>
      <c r="N138">
        <v>5.15</v>
      </c>
      <c r="O138">
        <v>3.4</v>
      </c>
      <c r="P138">
        <v>11.56</v>
      </c>
      <c r="Q138" t="str">
        <f>IFERROR(INDEX(Rosters!$C$2:$C$155,MATCH($B138,Rosters!$B$2:$B$155,0)),"NA")</f>
        <v>lucas</v>
      </c>
      <c r="R138" t="str">
        <f t="shared" si="4"/>
        <v>lucas16</v>
      </c>
      <c r="S138">
        <f>COUNTIFS(A$1:A138,A138)</f>
        <v>6</v>
      </c>
      <c r="T138" t="str">
        <f t="shared" si="5"/>
        <v>Matt Bryant16</v>
      </c>
      <c r="U138" t="str">
        <f>IF(OR(NOT(ISERROR(MATCH(T138,Finals!$K$2:$K$1801,0))),AND(A138&gt;Week,Q138&lt;&gt;"NA")),"",A138)</f>
        <v/>
      </c>
      <c r="V138" t="str">
        <f>IF(U138&lt;&gt;"",U138&amp;"-"&amp;COUNTIF(U$1:U138,U138),"")</f>
        <v/>
      </c>
    </row>
    <row r="139" spans="1:22" x14ac:dyDescent="0.25">
      <c r="A139">
        <v>9</v>
      </c>
      <c r="B139" t="s">
        <v>1120</v>
      </c>
      <c r="C139" t="s">
        <v>5134</v>
      </c>
      <c r="D139">
        <v>1.79</v>
      </c>
      <c r="E139">
        <v>2.14</v>
      </c>
      <c r="F139">
        <v>2.67</v>
      </c>
      <c r="G139">
        <v>2.76</v>
      </c>
      <c r="H139">
        <v>8.7899999999999991</v>
      </c>
      <c r="I139" t="s">
        <v>46</v>
      </c>
      <c r="J139">
        <v>8.99999999999999E-2</v>
      </c>
      <c r="K139">
        <v>0.35</v>
      </c>
      <c r="L139">
        <v>7.65</v>
      </c>
      <c r="M139">
        <v>12.99</v>
      </c>
      <c r="N139">
        <v>4.59</v>
      </c>
      <c r="O139">
        <v>4.2</v>
      </c>
      <c r="P139">
        <v>17.64</v>
      </c>
      <c r="Q139" t="str">
        <f>IFERROR(INDEX(Rosters!$C$2:$C$155,MATCH($B139,Rosters!$B$2:$B$155,0)),"NA")</f>
        <v>NA</v>
      </c>
      <c r="R139" t="str">
        <f t="shared" si="4"/>
        <v>NA9</v>
      </c>
      <c r="S139">
        <f>COUNTIFS(A$1:A139,A139)</f>
        <v>8</v>
      </c>
      <c r="T139" t="str">
        <f t="shared" si="5"/>
        <v>Dustin Hopkins9</v>
      </c>
      <c r="U139">
        <f>IF(OR(NOT(ISERROR(MATCH(T139,Finals!$K$2:$K$1801,0))),AND(A139&gt;Week,Q139&lt;&gt;"NA")),"",A139)</f>
        <v>9</v>
      </c>
      <c r="V139" t="str">
        <f>IF(U139&lt;&gt;"",U139&amp;"-"&amp;COUNTIF(U$1:U139,U139),"")</f>
        <v>9-3</v>
      </c>
    </row>
    <row r="140" spans="1:22" x14ac:dyDescent="0.25">
      <c r="A140">
        <v>15</v>
      </c>
      <c r="B140" t="s">
        <v>460</v>
      </c>
      <c r="C140" t="s">
        <v>5135</v>
      </c>
      <c r="D140">
        <v>1.86</v>
      </c>
      <c r="E140">
        <v>2.2799999999999998</v>
      </c>
      <c r="F140">
        <v>2.61</v>
      </c>
      <c r="G140">
        <v>2.7</v>
      </c>
      <c r="H140">
        <v>8.99</v>
      </c>
      <c r="I140" t="s">
        <v>36</v>
      </c>
      <c r="J140">
        <v>9.0000000000000302E-2</v>
      </c>
      <c r="K140">
        <v>0.42</v>
      </c>
      <c r="L140">
        <v>7.64</v>
      </c>
      <c r="M140">
        <v>13.8</v>
      </c>
      <c r="N140">
        <v>4.18</v>
      </c>
      <c r="O140">
        <v>4.8099999999999996</v>
      </c>
      <c r="P140">
        <v>23.136099999999999</v>
      </c>
      <c r="Q140" t="str">
        <f>IFERROR(INDEX(Rosters!$C$2:$C$155,MATCH($B140,Rosters!$B$2:$B$155,0)),"NA")</f>
        <v>NA</v>
      </c>
      <c r="R140" t="str">
        <f t="shared" si="4"/>
        <v>NA15</v>
      </c>
      <c r="S140">
        <f>COUNTIFS(A$1:A140,A140)</f>
        <v>10</v>
      </c>
      <c r="T140" t="str">
        <f t="shared" si="5"/>
        <v>Jason Myers15</v>
      </c>
      <c r="U140">
        <f>IF(OR(NOT(ISERROR(MATCH(T140,Finals!$K$2:$K$1801,0))),AND(A140&gt;Week,Q140&lt;&gt;"NA")),"",A140)</f>
        <v>15</v>
      </c>
      <c r="V140" t="str">
        <f>IF(U140&lt;&gt;"",U140&amp;"-"&amp;COUNTIF(U$1:U140,U140),"")</f>
        <v>15-6</v>
      </c>
    </row>
    <row r="141" spans="1:22" x14ac:dyDescent="0.25">
      <c r="A141">
        <v>6</v>
      </c>
      <c r="B141" t="s">
        <v>447</v>
      </c>
      <c r="C141" t="s">
        <v>5136</v>
      </c>
      <c r="D141">
        <v>1.79</v>
      </c>
      <c r="E141">
        <v>1.98</v>
      </c>
      <c r="F141">
        <v>2.2400000000000002</v>
      </c>
      <c r="G141">
        <v>2.2799999999999998</v>
      </c>
      <c r="H141">
        <v>8.25</v>
      </c>
      <c r="I141" t="s">
        <v>38</v>
      </c>
      <c r="J141">
        <v>3.9999999999999598E-2</v>
      </c>
      <c r="K141">
        <v>0.19</v>
      </c>
      <c r="L141">
        <v>7.64</v>
      </c>
      <c r="M141">
        <v>12.59</v>
      </c>
      <c r="N141">
        <v>3.91</v>
      </c>
      <c r="O141">
        <v>4.34</v>
      </c>
      <c r="P141">
        <v>18.835599999999999</v>
      </c>
      <c r="Q141" t="str">
        <f>IFERROR(INDEX(Rosters!$C$2:$C$155,MATCH($B141,Rosters!$B$2:$B$155,0)),"NA")</f>
        <v>chad</v>
      </c>
      <c r="R141" t="str">
        <f t="shared" si="4"/>
        <v>chad6</v>
      </c>
      <c r="S141">
        <f>COUNTIFS(A$1:A141,A141)</f>
        <v>6</v>
      </c>
      <c r="T141" t="str">
        <f t="shared" si="5"/>
        <v>Justin Tucker6</v>
      </c>
      <c r="U141" t="str">
        <f>IF(OR(NOT(ISERROR(MATCH(T141,Finals!$K$2:$K$1801,0))),AND(A141&gt;Week,Q141&lt;&gt;"NA")),"",A141)</f>
        <v/>
      </c>
      <c r="V141" t="str">
        <f>IF(U141&lt;&gt;"",U141&amp;"-"&amp;COUNTIF(U$1:U141,U141),"")</f>
        <v/>
      </c>
    </row>
    <row r="142" spans="1:22" x14ac:dyDescent="0.25">
      <c r="A142">
        <v>14</v>
      </c>
      <c r="B142" t="s">
        <v>444</v>
      </c>
      <c r="C142" t="s">
        <v>5137</v>
      </c>
      <c r="D142">
        <v>1.7</v>
      </c>
      <c r="E142">
        <v>2.09</v>
      </c>
      <c r="F142">
        <v>3.02</v>
      </c>
      <c r="G142">
        <v>3.06</v>
      </c>
      <c r="H142">
        <v>8.85</v>
      </c>
      <c r="I142" t="s">
        <v>46</v>
      </c>
      <c r="J142">
        <v>0.04</v>
      </c>
      <c r="K142">
        <v>0.39</v>
      </c>
      <c r="L142">
        <v>7.64</v>
      </c>
      <c r="M142">
        <v>13.45</v>
      </c>
      <c r="N142">
        <v>4.25</v>
      </c>
      <c r="O142">
        <v>4.5999999999999996</v>
      </c>
      <c r="P142">
        <v>21.16</v>
      </c>
      <c r="Q142" t="str">
        <f>IFERROR(INDEX(Rosters!$C$2:$C$155,MATCH($B142,Rosters!$B$2:$B$155,0)),"NA")</f>
        <v>perry</v>
      </c>
      <c r="R142" t="str">
        <f t="shared" si="4"/>
        <v>perry14</v>
      </c>
      <c r="S142">
        <f>COUNTIFS(A$1:A142,A142)</f>
        <v>9</v>
      </c>
      <c r="T142" t="str">
        <f t="shared" si="5"/>
        <v>Mason Crosby14</v>
      </c>
      <c r="U142" t="str">
        <f>IF(OR(NOT(ISERROR(MATCH(T142,Finals!$K$2:$K$1801,0))),AND(A142&gt;Week,Q142&lt;&gt;"NA")),"",A142)</f>
        <v/>
      </c>
      <c r="V142" t="str">
        <f>IF(U142&lt;&gt;"",U142&amp;"-"&amp;COUNTIF(U$1:U142,U142),"")</f>
        <v/>
      </c>
    </row>
    <row r="143" spans="1:22" x14ac:dyDescent="0.25">
      <c r="A143">
        <v>12</v>
      </c>
      <c r="B143" t="s">
        <v>459</v>
      </c>
      <c r="C143" t="s">
        <v>5138</v>
      </c>
      <c r="D143">
        <v>1.63</v>
      </c>
      <c r="E143">
        <v>1.8</v>
      </c>
      <c r="F143">
        <v>2.66</v>
      </c>
      <c r="G143">
        <v>2.68</v>
      </c>
      <c r="H143">
        <v>8.16</v>
      </c>
      <c r="I143" t="s">
        <v>34</v>
      </c>
      <c r="J143">
        <v>0.02</v>
      </c>
      <c r="K143">
        <v>0.17</v>
      </c>
      <c r="L143">
        <v>7.63</v>
      </c>
      <c r="M143">
        <v>12.05</v>
      </c>
      <c r="N143">
        <v>4.2699999999999996</v>
      </c>
      <c r="O143">
        <v>3.89</v>
      </c>
      <c r="P143">
        <v>15.132099999999999</v>
      </c>
      <c r="Q143" t="str">
        <f>IFERROR(INDEX(Rosters!$C$2:$C$155,MATCH($B143,Rosters!$B$2:$B$155,0)),"NA")</f>
        <v>NA</v>
      </c>
      <c r="R143" t="str">
        <f t="shared" si="4"/>
        <v>NA12</v>
      </c>
      <c r="S143">
        <f>COUNTIFS(A$1:A143,A143)</f>
        <v>8</v>
      </c>
      <c r="T143" t="str">
        <f t="shared" si="5"/>
        <v>Cody Parkey12</v>
      </c>
      <c r="U143">
        <f>IF(OR(NOT(ISERROR(MATCH(T143,Finals!$K$2:$K$1801,0))),AND(A143&gt;Week,Q143&lt;&gt;"NA")),"",A143)</f>
        <v>12</v>
      </c>
      <c r="V143" t="str">
        <f>IF(U143&lt;&gt;"",U143&amp;"-"&amp;COUNTIF(U$1:U143,U143),"")</f>
        <v>12-4</v>
      </c>
    </row>
    <row r="144" spans="1:22" x14ac:dyDescent="0.25">
      <c r="A144">
        <v>8</v>
      </c>
      <c r="B144" t="s">
        <v>462</v>
      </c>
      <c r="C144" t="s">
        <v>5139</v>
      </c>
      <c r="D144">
        <v>1.73</v>
      </c>
      <c r="E144">
        <v>2.02</v>
      </c>
      <c r="F144">
        <v>2.5499999999999998</v>
      </c>
      <c r="G144">
        <v>2.59</v>
      </c>
      <c r="H144">
        <v>8.5299999999999994</v>
      </c>
      <c r="I144" t="s">
        <v>25</v>
      </c>
      <c r="J144">
        <v>0.04</v>
      </c>
      <c r="K144">
        <v>0.28999999999999998</v>
      </c>
      <c r="L144">
        <v>7.62</v>
      </c>
      <c r="M144">
        <v>12.58</v>
      </c>
      <c r="N144">
        <v>4.4800000000000004</v>
      </c>
      <c r="O144">
        <v>4.05</v>
      </c>
      <c r="P144">
        <v>16.4025</v>
      </c>
      <c r="Q144" t="str">
        <f>IFERROR(INDEX(Rosters!$C$2:$C$155,MATCH($B144,Rosters!$B$2:$B$155,0)),"NA")</f>
        <v>cory</v>
      </c>
      <c r="R144" t="str">
        <f t="shared" si="4"/>
        <v>cory8</v>
      </c>
      <c r="S144">
        <f>COUNTIFS(A$1:A144,A144)</f>
        <v>5</v>
      </c>
      <c r="T144" t="str">
        <f t="shared" si="5"/>
        <v>Wil Lutz8</v>
      </c>
      <c r="U144" t="str">
        <f>IF(OR(NOT(ISERROR(MATCH(T144,Finals!$K$2:$K$1801,0))),AND(A144&gt;Week,Q144&lt;&gt;"NA")),"",A144)</f>
        <v/>
      </c>
      <c r="V144" t="str">
        <f>IF(U144&lt;&gt;"",U144&amp;"-"&amp;COUNTIF(U$1:U144,U144),"")</f>
        <v/>
      </c>
    </row>
    <row r="145" spans="1:22" x14ac:dyDescent="0.25">
      <c r="A145">
        <v>15</v>
      </c>
      <c r="B145" t="s">
        <v>1119</v>
      </c>
      <c r="C145" t="s">
        <v>5140</v>
      </c>
      <c r="D145">
        <v>1.83</v>
      </c>
      <c r="E145">
        <v>2.23</v>
      </c>
      <c r="F145">
        <v>2.46</v>
      </c>
      <c r="G145">
        <v>2.46</v>
      </c>
      <c r="H145">
        <v>8.81</v>
      </c>
      <c r="I145" t="s">
        <v>60</v>
      </c>
      <c r="J145">
        <v>0</v>
      </c>
      <c r="K145">
        <v>0.4</v>
      </c>
      <c r="L145">
        <v>7.61</v>
      </c>
      <c r="M145">
        <v>12.88</v>
      </c>
      <c r="N145">
        <v>4.74</v>
      </c>
      <c r="O145">
        <v>4.07</v>
      </c>
      <c r="P145">
        <v>16.564900000000002</v>
      </c>
      <c r="Q145" t="str">
        <f>IFERROR(INDEX(Rosters!$C$2:$C$155,MATCH($B145,Rosters!$B$2:$B$155,0)),"NA")</f>
        <v>scott</v>
      </c>
      <c r="R145" t="str">
        <f t="shared" si="4"/>
        <v>scott15</v>
      </c>
      <c r="S145">
        <f>COUNTIFS(A$1:A145,A145)</f>
        <v>11</v>
      </c>
      <c r="T145" t="str">
        <f t="shared" si="5"/>
        <v>Josh Lambo15</v>
      </c>
      <c r="U145" t="str">
        <f>IF(OR(NOT(ISERROR(MATCH(T145,Finals!$K$2:$K$1801,0))),AND(A145&gt;Week,Q145&lt;&gt;"NA")),"",A145)</f>
        <v/>
      </c>
      <c r="V145" t="str">
        <f>IF(U145&lt;&gt;"",U145&amp;"-"&amp;COUNTIF(U$1:U145,U145),"")</f>
        <v/>
      </c>
    </row>
    <row r="146" spans="1:22" x14ac:dyDescent="0.25">
      <c r="A146">
        <v>15</v>
      </c>
      <c r="B146" t="s">
        <v>455</v>
      </c>
      <c r="C146" t="s">
        <v>5141</v>
      </c>
      <c r="D146">
        <v>1.75</v>
      </c>
      <c r="E146">
        <v>2.12</v>
      </c>
      <c r="F146">
        <v>3</v>
      </c>
      <c r="G146">
        <v>3.11</v>
      </c>
      <c r="H146">
        <v>8.82</v>
      </c>
      <c r="I146" t="s">
        <v>423</v>
      </c>
      <c r="J146">
        <v>0.11</v>
      </c>
      <c r="K146">
        <v>0.37</v>
      </c>
      <c r="L146">
        <v>7.6</v>
      </c>
      <c r="M146">
        <v>12.23</v>
      </c>
      <c r="N146">
        <v>5.41</v>
      </c>
      <c r="O146">
        <v>3.41</v>
      </c>
      <c r="P146">
        <v>11.6281</v>
      </c>
      <c r="Q146" t="str">
        <f>IFERROR(INDEX(Rosters!$C$2:$C$155,MATCH($B146,Rosters!$B$2:$B$155,0)),"NA")</f>
        <v>NA</v>
      </c>
      <c r="R146" t="str">
        <f t="shared" si="4"/>
        <v>NA15</v>
      </c>
      <c r="S146">
        <f>COUNTIFS(A$1:A146,A146)</f>
        <v>12</v>
      </c>
      <c r="T146" t="str">
        <f t="shared" si="5"/>
        <v>Chris Boswell15</v>
      </c>
      <c r="U146">
        <f>IF(OR(NOT(ISERROR(MATCH(T146,Finals!$K$2:$K$1801,0))),AND(A146&gt;Week,Q146&lt;&gt;"NA")),"",A146)</f>
        <v>15</v>
      </c>
      <c r="V146" t="str">
        <f>IF(U146&lt;&gt;"",U146&amp;"-"&amp;COUNTIF(U$1:U146,U146),"")</f>
        <v>15-7</v>
      </c>
    </row>
    <row r="147" spans="1:22" x14ac:dyDescent="0.25">
      <c r="A147">
        <v>13</v>
      </c>
      <c r="B147" t="s">
        <v>1121</v>
      </c>
      <c r="C147" t="s">
        <v>5142</v>
      </c>
      <c r="D147">
        <v>1.73</v>
      </c>
      <c r="E147">
        <v>2.02</v>
      </c>
      <c r="F147">
        <v>2.5099999999999998</v>
      </c>
      <c r="G147">
        <v>2.57</v>
      </c>
      <c r="H147">
        <v>8.52</v>
      </c>
      <c r="I147" t="s">
        <v>51</v>
      </c>
      <c r="J147">
        <v>6.0000000000000102E-2</v>
      </c>
      <c r="K147">
        <v>0.28999999999999998</v>
      </c>
      <c r="L147">
        <v>7.59</v>
      </c>
      <c r="M147">
        <v>12.48</v>
      </c>
      <c r="N147">
        <v>4.5599999999999996</v>
      </c>
      <c r="O147">
        <v>3.96</v>
      </c>
      <c r="P147">
        <v>15.6816</v>
      </c>
      <c r="Q147" t="str">
        <f>IFERROR(INDEX(Rosters!$C$2:$C$155,MATCH($B147,Rosters!$B$2:$B$155,0)),"NA")</f>
        <v>NA</v>
      </c>
      <c r="R147" t="str">
        <f t="shared" si="4"/>
        <v>NA13</v>
      </c>
      <c r="S147">
        <f>COUNTIFS(A$1:A147,A147)</f>
        <v>10</v>
      </c>
      <c r="T147" t="str">
        <f t="shared" si="5"/>
        <v>Caleb Sturgis13</v>
      </c>
      <c r="U147">
        <f>IF(OR(NOT(ISERROR(MATCH(T147,Finals!$K$2:$K$1801,0))),AND(A147&gt;Week,Q147&lt;&gt;"NA")),"",A147)</f>
        <v>13</v>
      </c>
      <c r="V147" t="str">
        <f>IF(U147&lt;&gt;"",U147&amp;"-"&amp;COUNTIF(U$1:U147,U147),"")</f>
        <v>13-5</v>
      </c>
    </row>
    <row r="148" spans="1:22" x14ac:dyDescent="0.25">
      <c r="A148">
        <v>11</v>
      </c>
      <c r="B148" t="s">
        <v>1108</v>
      </c>
      <c r="C148" t="s">
        <v>5143</v>
      </c>
      <c r="D148">
        <v>1.65</v>
      </c>
      <c r="E148">
        <v>1.98</v>
      </c>
      <c r="F148">
        <v>2.88</v>
      </c>
      <c r="G148">
        <v>2.95</v>
      </c>
      <c r="H148">
        <v>8.65</v>
      </c>
      <c r="I148" t="s">
        <v>56</v>
      </c>
      <c r="J148">
        <v>7.0000000000000298E-2</v>
      </c>
      <c r="K148">
        <v>0.33</v>
      </c>
      <c r="L148">
        <v>7.59</v>
      </c>
      <c r="M148">
        <v>12.87</v>
      </c>
      <c r="N148">
        <v>4.43</v>
      </c>
      <c r="O148">
        <v>4.22</v>
      </c>
      <c r="P148">
        <v>17.808399999999999</v>
      </c>
      <c r="Q148" t="str">
        <f>IFERROR(INDEX(Rosters!$C$2:$C$155,MATCH($B148,Rosters!$B$2:$B$155,0)),"NA")</f>
        <v>seth</v>
      </c>
      <c r="R148" t="str">
        <f t="shared" si="4"/>
        <v>seth11</v>
      </c>
      <c r="S148">
        <f>COUNTIFS(A$1:A148,A148)</f>
        <v>7</v>
      </c>
      <c r="T148" t="str">
        <f t="shared" si="5"/>
        <v>Harrison Butker11</v>
      </c>
      <c r="U148" t="str">
        <f>IF(OR(NOT(ISERROR(MATCH(T148,Finals!$K$2:$K$1801,0))),AND(A148&gt;Week,Q148&lt;&gt;"NA")),"",A148)</f>
        <v/>
      </c>
      <c r="V148" t="str">
        <f>IF(U148&lt;&gt;"",U148&amp;"-"&amp;COUNTIF(U$1:U148,U148),"")</f>
        <v/>
      </c>
    </row>
    <row r="149" spans="1:22" x14ac:dyDescent="0.25">
      <c r="A149">
        <v>16</v>
      </c>
      <c r="B149" t="s">
        <v>452</v>
      </c>
      <c r="C149" t="s">
        <v>5144</v>
      </c>
      <c r="D149">
        <v>1.73</v>
      </c>
      <c r="E149">
        <v>1.87</v>
      </c>
      <c r="F149">
        <v>1.95</v>
      </c>
      <c r="G149">
        <v>1.95</v>
      </c>
      <c r="H149">
        <v>8.01</v>
      </c>
      <c r="I149" t="s">
        <v>72</v>
      </c>
      <c r="J149">
        <v>0</v>
      </c>
      <c r="K149">
        <v>0.14000000000000001</v>
      </c>
      <c r="L149">
        <v>7.59</v>
      </c>
      <c r="M149">
        <v>12.63</v>
      </c>
      <c r="N149">
        <v>3.39</v>
      </c>
      <c r="O149">
        <v>4.62</v>
      </c>
      <c r="P149">
        <v>21.3444</v>
      </c>
      <c r="Q149" t="str">
        <f>IFERROR(INDEX(Rosters!$C$2:$C$155,MATCH($B149,Rosters!$B$2:$B$155,0)),"NA")</f>
        <v>matty</v>
      </c>
      <c r="R149" t="str">
        <f t="shared" si="4"/>
        <v>matty16</v>
      </c>
      <c r="S149">
        <f>COUNTIFS(A$1:A149,A149)</f>
        <v>7</v>
      </c>
      <c r="T149" t="str">
        <f t="shared" si="5"/>
        <v>Robbie Gould16</v>
      </c>
      <c r="U149" t="str">
        <f>IF(OR(NOT(ISERROR(MATCH(T149,Finals!$K$2:$K$1801,0))),AND(A149&gt;Week,Q149&lt;&gt;"NA")),"",A149)</f>
        <v/>
      </c>
      <c r="V149" t="str">
        <f>IF(U149&lt;&gt;"",U149&amp;"-"&amp;COUNTIF(U$1:U149,U149),"")</f>
        <v/>
      </c>
    </row>
    <row r="150" spans="1:22" x14ac:dyDescent="0.25">
      <c r="A150">
        <v>3</v>
      </c>
      <c r="B150" t="s">
        <v>457</v>
      </c>
      <c r="C150" t="s">
        <v>4375</v>
      </c>
      <c r="D150">
        <v>1.81</v>
      </c>
      <c r="E150">
        <v>2.15</v>
      </c>
      <c r="F150">
        <v>2.48</v>
      </c>
      <c r="G150">
        <v>2.5499999999999998</v>
      </c>
      <c r="H150">
        <v>8.67</v>
      </c>
      <c r="I150" t="s">
        <v>51</v>
      </c>
      <c r="J150">
        <v>6.9999999999999798E-2</v>
      </c>
      <c r="K150">
        <v>0.34</v>
      </c>
      <c r="L150">
        <v>7.58</v>
      </c>
      <c r="M150">
        <v>13.13</v>
      </c>
      <c r="N150">
        <v>4.21</v>
      </c>
      <c r="O150">
        <v>4.46</v>
      </c>
      <c r="P150">
        <v>19.8916</v>
      </c>
      <c r="Q150" t="str">
        <f>IFERROR(INDEX(Rosters!$C$2:$C$155,MATCH($B150,Rosters!$B$2:$B$155,0)),"NA")</f>
        <v>NA</v>
      </c>
      <c r="R150" t="str">
        <f t="shared" si="4"/>
        <v>NA3</v>
      </c>
      <c r="S150">
        <f>COUNTIFS(A$1:A150,A150)</f>
        <v>12</v>
      </c>
      <c r="T150" t="str">
        <f t="shared" si="5"/>
        <v>Chandler Catanzaro3</v>
      </c>
      <c r="U150">
        <f>IF(OR(NOT(ISERROR(MATCH(T150,Finals!$K$2:$K$1801,0))),AND(A150&gt;Week,Q150&lt;&gt;"NA")),"",A150)</f>
        <v>3</v>
      </c>
      <c r="V150" t="str">
        <f>IF(U150&lt;&gt;"",U150&amp;"-"&amp;COUNTIF(U$1:U150,U150),"")</f>
        <v>3-5</v>
      </c>
    </row>
    <row r="151" spans="1:22" x14ac:dyDescent="0.25">
      <c r="A151">
        <v>15</v>
      </c>
      <c r="B151" t="s">
        <v>1107</v>
      </c>
      <c r="C151" t="s">
        <v>5145</v>
      </c>
      <c r="D151">
        <v>1.79</v>
      </c>
      <c r="E151">
        <v>1.97</v>
      </c>
      <c r="F151">
        <v>2.06</v>
      </c>
      <c r="G151">
        <v>2.1</v>
      </c>
      <c r="H151">
        <v>8.16</v>
      </c>
      <c r="I151" t="s">
        <v>34</v>
      </c>
      <c r="J151">
        <v>0.04</v>
      </c>
      <c r="K151">
        <v>0.18</v>
      </c>
      <c r="L151">
        <v>7.58</v>
      </c>
      <c r="M151">
        <v>12.63</v>
      </c>
      <c r="N151">
        <v>3.69</v>
      </c>
      <c r="O151">
        <v>4.47</v>
      </c>
      <c r="P151">
        <v>19.980899999999998</v>
      </c>
      <c r="Q151" t="str">
        <f>IFERROR(INDEX(Rosters!$C$2:$C$155,MATCH($B151,Rosters!$B$2:$B$155,0)),"NA")</f>
        <v>NA</v>
      </c>
      <c r="R151" t="str">
        <f t="shared" si="4"/>
        <v>NA15</v>
      </c>
      <c r="S151">
        <f>COUNTIFS(A$1:A151,A151)</f>
        <v>13</v>
      </c>
      <c r="T151" t="str">
        <f t="shared" si="5"/>
        <v>Stephen Hauschka15</v>
      </c>
      <c r="U151">
        <f>IF(OR(NOT(ISERROR(MATCH(T151,Finals!$K$2:$K$1801,0))),AND(A151&gt;Week,Q151&lt;&gt;"NA")),"",A151)</f>
        <v>15</v>
      </c>
      <c r="V151" t="str">
        <f>IF(U151&lt;&gt;"",U151&amp;"-"&amp;COUNTIF(U$1:U151,U151),"")</f>
        <v>15-8</v>
      </c>
    </row>
    <row r="152" spans="1:22" x14ac:dyDescent="0.25">
      <c r="A152">
        <v>12</v>
      </c>
      <c r="B152" t="s">
        <v>999</v>
      </c>
      <c r="C152" t="s">
        <v>5146</v>
      </c>
      <c r="D152">
        <v>1.73</v>
      </c>
      <c r="E152">
        <v>2.0299999999999998</v>
      </c>
      <c r="F152">
        <v>2.5499999999999998</v>
      </c>
      <c r="G152">
        <v>2.59</v>
      </c>
      <c r="H152">
        <v>8.51</v>
      </c>
      <c r="I152" t="s">
        <v>38</v>
      </c>
      <c r="J152">
        <v>0.04</v>
      </c>
      <c r="K152">
        <v>0.3</v>
      </c>
      <c r="L152">
        <v>7.57</v>
      </c>
      <c r="M152">
        <v>12.45</v>
      </c>
      <c r="N152">
        <v>4.57</v>
      </c>
      <c r="O152">
        <v>3.94</v>
      </c>
      <c r="P152">
        <v>15.5236</v>
      </c>
      <c r="Q152" t="str">
        <f>IFERROR(INDEX(Rosters!$C$2:$C$155,MATCH($B152,Rosters!$B$2:$B$155,0)),"NA")</f>
        <v>NA</v>
      </c>
      <c r="R152" t="str">
        <f t="shared" si="4"/>
        <v>NA12</v>
      </c>
      <c r="S152">
        <f>COUNTIFS(A$1:A152,A152)</f>
        <v>9</v>
      </c>
      <c r="T152" t="str">
        <f t="shared" si="5"/>
        <v>Ka'imi Fairbairn12</v>
      </c>
      <c r="U152">
        <f>IF(OR(NOT(ISERROR(MATCH(T152,Finals!$K$2:$K$1801,0))),AND(A152&gt;Week,Q152&lt;&gt;"NA")),"",A152)</f>
        <v>12</v>
      </c>
      <c r="V152" t="str">
        <f>IF(U152&lt;&gt;"",U152&amp;"-"&amp;COUNTIF(U$1:U152,U152),"")</f>
        <v>12-5</v>
      </c>
    </row>
    <row r="153" spans="1:22" x14ac:dyDescent="0.25">
      <c r="A153">
        <v>15</v>
      </c>
      <c r="B153" t="s">
        <v>1216</v>
      </c>
      <c r="C153" t="s">
        <v>5147</v>
      </c>
      <c r="D153">
        <v>1.77</v>
      </c>
      <c r="E153">
        <v>2.08</v>
      </c>
      <c r="F153">
        <v>2.4700000000000002</v>
      </c>
      <c r="G153">
        <v>2.5099999999999998</v>
      </c>
      <c r="H153">
        <v>8.5399999999999991</v>
      </c>
      <c r="I153" t="s">
        <v>30</v>
      </c>
      <c r="J153">
        <v>3.9999999999999598E-2</v>
      </c>
      <c r="K153">
        <v>0.31</v>
      </c>
      <c r="L153">
        <v>7.57</v>
      </c>
      <c r="M153">
        <v>12.06</v>
      </c>
      <c r="N153">
        <v>5.0199999999999996</v>
      </c>
      <c r="O153">
        <v>3.52</v>
      </c>
      <c r="P153">
        <v>12.3904</v>
      </c>
      <c r="Q153" t="str">
        <f>IFERROR(INDEX(Rosters!$C$2:$C$155,MATCH($B153,Rosters!$B$2:$B$155,0)),"NA")</f>
        <v>NA</v>
      </c>
      <c r="R153" t="str">
        <f t="shared" si="4"/>
        <v>NA15</v>
      </c>
      <c r="S153">
        <f>COUNTIFS(A$1:A153,A153)</f>
        <v>14</v>
      </c>
      <c r="T153" t="str">
        <f t="shared" si="5"/>
        <v>Sebastian Janikowski15</v>
      </c>
      <c r="U153">
        <f>IF(OR(NOT(ISERROR(MATCH(T153,Finals!$K$2:$K$1801,0))),AND(A153&gt;Week,Q153&lt;&gt;"NA")),"",A153)</f>
        <v>15</v>
      </c>
      <c r="V153" t="str">
        <f>IF(U153&lt;&gt;"",U153&amp;"-"&amp;COUNTIF(U$1:U153,U153),"")</f>
        <v>15-9</v>
      </c>
    </row>
    <row r="154" spans="1:22" x14ac:dyDescent="0.25">
      <c r="A154">
        <v>6</v>
      </c>
      <c r="B154" t="s">
        <v>452</v>
      </c>
      <c r="C154" t="s">
        <v>5148</v>
      </c>
      <c r="D154">
        <v>1.75</v>
      </c>
      <c r="E154">
        <v>1.98</v>
      </c>
      <c r="F154">
        <v>2.02</v>
      </c>
      <c r="G154">
        <v>2.02</v>
      </c>
      <c r="H154">
        <v>8.25</v>
      </c>
      <c r="I154" t="s">
        <v>41</v>
      </c>
      <c r="J154">
        <v>0</v>
      </c>
      <c r="K154">
        <v>0.23</v>
      </c>
      <c r="L154">
        <v>7.56</v>
      </c>
      <c r="M154">
        <v>12.49</v>
      </c>
      <c r="N154">
        <v>4.01</v>
      </c>
      <c r="O154">
        <v>4.24</v>
      </c>
      <c r="P154">
        <v>17.977599999999999</v>
      </c>
      <c r="Q154" t="str">
        <f>IFERROR(INDEX(Rosters!$C$2:$C$155,MATCH($B154,Rosters!$B$2:$B$155,0)),"NA")</f>
        <v>matty</v>
      </c>
      <c r="R154" t="str">
        <f t="shared" si="4"/>
        <v>matty6</v>
      </c>
      <c r="S154">
        <f>COUNTIFS(A$1:A154,A154)</f>
        <v>7</v>
      </c>
      <c r="T154" t="str">
        <f t="shared" si="5"/>
        <v>Robbie Gould6</v>
      </c>
      <c r="U154" t="str">
        <f>IF(OR(NOT(ISERROR(MATCH(T154,Finals!$K$2:$K$1801,0))),AND(A154&gt;Week,Q154&lt;&gt;"NA")),"",A154)</f>
        <v/>
      </c>
      <c r="V154" t="str">
        <f>IF(U154&lt;&gt;"",U154&amp;"-"&amp;COUNTIF(U$1:U154,U154),"")</f>
        <v/>
      </c>
    </row>
    <row r="155" spans="1:22" x14ac:dyDescent="0.25">
      <c r="A155">
        <v>17</v>
      </c>
      <c r="B155" t="s">
        <v>1108</v>
      </c>
      <c r="C155" t="s">
        <v>5149</v>
      </c>
      <c r="D155">
        <v>1.43</v>
      </c>
      <c r="E155">
        <v>1.78</v>
      </c>
      <c r="F155">
        <v>3.7</v>
      </c>
      <c r="G155">
        <v>3.74</v>
      </c>
      <c r="H155">
        <v>8.65</v>
      </c>
      <c r="I155" t="s">
        <v>32</v>
      </c>
      <c r="J155">
        <v>0.04</v>
      </c>
      <c r="K155">
        <v>0.35</v>
      </c>
      <c r="L155">
        <v>7.56</v>
      </c>
      <c r="M155">
        <v>12.76</v>
      </c>
      <c r="N155">
        <v>4.54</v>
      </c>
      <c r="O155">
        <v>4.1100000000000003</v>
      </c>
      <c r="P155">
        <v>16.892099999999999</v>
      </c>
      <c r="Q155" t="str">
        <f>IFERROR(INDEX(Rosters!$C$2:$C$155,MATCH($B155,Rosters!$B$2:$B$155,0)),"NA")</f>
        <v>seth</v>
      </c>
      <c r="R155" t="str">
        <f t="shared" si="4"/>
        <v>seth17</v>
      </c>
      <c r="S155">
        <f>COUNTIFS(A$1:A155,A155)</f>
        <v>11</v>
      </c>
      <c r="T155" t="str">
        <f t="shared" si="5"/>
        <v>Harrison Butker17</v>
      </c>
      <c r="U155" t="str">
        <f>IF(OR(NOT(ISERROR(MATCH(T155,Finals!$K$2:$K$1801,0))),AND(A155&gt;Week,Q155&lt;&gt;"NA")),"",A155)</f>
        <v/>
      </c>
      <c r="V155" t="str">
        <f>IF(U155&lt;&gt;"",U155&amp;"-"&amp;COUNTIF(U$1:U155,U155),"")</f>
        <v/>
      </c>
    </row>
    <row r="156" spans="1:22" x14ac:dyDescent="0.25">
      <c r="A156">
        <v>16</v>
      </c>
      <c r="B156" t="s">
        <v>447</v>
      </c>
      <c r="C156" t="s">
        <v>5150</v>
      </c>
      <c r="D156">
        <v>1.77</v>
      </c>
      <c r="E156">
        <v>2</v>
      </c>
      <c r="F156">
        <v>2.1800000000000002</v>
      </c>
      <c r="G156">
        <v>2.2200000000000002</v>
      </c>
      <c r="H156">
        <v>8.2899999999999991</v>
      </c>
      <c r="I156" t="s">
        <v>37</v>
      </c>
      <c r="J156">
        <v>0.04</v>
      </c>
      <c r="K156">
        <v>0.23</v>
      </c>
      <c r="L156">
        <v>7.56</v>
      </c>
      <c r="M156">
        <v>12.4</v>
      </c>
      <c r="N156">
        <v>4.18</v>
      </c>
      <c r="O156">
        <v>4.1100000000000003</v>
      </c>
      <c r="P156">
        <v>16.892099999999999</v>
      </c>
      <c r="Q156" t="str">
        <f>IFERROR(INDEX(Rosters!$C$2:$C$155,MATCH($B156,Rosters!$B$2:$B$155,0)),"NA")</f>
        <v>chad</v>
      </c>
      <c r="R156" t="str">
        <f t="shared" si="4"/>
        <v>chad16</v>
      </c>
      <c r="S156">
        <f>COUNTIFS(A$1:A156,A156)</f>
        <v>8</v>
      </c>
      <c r="T156" t="str">
        <f t="shared" si="5"/>
        <v>Justin Tucker16</v>
      </c>
      <c r="U156" t="str">
        <f>IF(OR(NOT(ISERROR(MATCH(T156,Finals!$K$2:$K$1801,0))),AND(A156&gt;Week,Q156&lt;&gt;"NA")),"",A156)</f>
        <v/>
      </c>
      <c r="V156" t="str">
        <f>IF(U156&lt;&gt;"",U156&amp;"-"&amp;COUNTIF(U$1:U156,U156),"")</f>
        <v/>
      </c>
    </row>
    <row r="157" spans="1:22" x14ac:dyDescent="0.25">
      <c r="A157">
        <v>6</v>
      </c>
      <c r="B157" t="s">
        <v>454</v>
      </c>
      <c r="C157" t="s">
        <v>5151</v>
      </c>
      <c r="D157">
        <v>1.7</v>
      </c>
      <c r="E157">
        <v>1.91</v>
      </c>
      <c r="F157">
        <v>2.4500000000000002</v>
      </c>
      <c r="G157">
        <v>2.4700000000000002</v>
      </c>
      <c r="H157">
        <v>8.1999999999999993</v>
      </c>
      <c r="I157" t="s">
        <v>51</v>
      </c>
      <c r="J157">
        <v>0.02</v>
      </c>
      <c r="K157">
        <v>0.21</v>
      </c>
      <c r="L157">
        <v>7.55</v>
      </c>
      <c r="M157">
        <v>11.75</v>
      </c>
      <c r="N157">
        <v>4.6500000000000004</v>
      </c>
      <c r="O157">
        <v>3.55</v>
      </c>
      <c r="P157">
        <v>12.602499999999999</v>
      </c>
      <c r="Q157" t="str">
        <f>IFERROR(INDEX(Rosters!$C$2:$C$155,MATCH($B157,Rosters!$B$2:$B$155,0)),"NA")</f>
        <v>NA</v>
      </c>
      <c r="R157" t="str">
        <f t="shared" si="4"/>
        <v>NA6</v>
      </c>
      <c r="S157">
        <f>COUNTIFS(A$1:A157,A157)</f>
        <v>8</v>
      </c>
      <c r="T157" t="str">
        <f t="shared" si="5"/>
        <v>Randy Bullock6</v>
      </c>
      <c r="U157">
        <f>IF(OR(NOT(ISERROR(MATCH(T157,Finals!$K$2:$K$1801,0))),AND(A157&gt;Week,Q157&lt;&gt;"NA")),"",A157)</f>
        <v>6</v>
      </c>
      <c r="V157" t="str">
        <f>IF(U157&lt;&gt;"",U157&amp;"-"&amp;COUNTIF(U$1:U157,U157),"")</f>
        <v>6-3</v>
      </c>
    </row>
    <row r="158" spans="1:22" x14ac:dyDescent="0.25">
      <c r="A158">
        <v>10</v>
      </c>
      <c r="B158" t="s">
        <v>456</v>
      </c>
      <c r="C158" t="s">
        <v>5152</v>
      </c>
      <c r="D158">
        <v>1.77</v>
      </c>
      <c r="E158">
        <v>2.0299999999999998</v>
      </c>
      <c r="F158">
        <v>2.33</v>
      </c>
      <c r="G158">
        <v>2.35</v>
      </c>
      <c r="H158">
        <v>8.34</v>
      </c>
      <c r="I158" t="s">
        <v>51</v>
      </c>
      <c r="J158">
        <v>0.02</v>
      </c>
      <c r="K158">
        <v>0.26</v>
      </c>
      <c r="L158">
        <v>7.54</v>
      </c>
      <c r="M158">
        <v>12.81</v>
      </c>
      <c r="N158">
        <v>3.87</v>
      </c>
      <c r="O158">
        <v>4.47</v>
      </c>
      <c r="P158">
        <v>19.980899999999998</v>
      </c>
      <c r="Q158" t="str">
        <f>IFERROR(INDEX(Rosters!$C$2:$C$155,MATCH($B158,Rosters!$B$2:$B$155,0)),"NA")</f>
        <v>NA</v>
      </c>
      <c r="R158" t="str">
        <f t="shared" si="4"/>
        <v>NA10</v>
      </c>
      <c r="S158">
        <f>COUNTIFS(A$1:A158,A158)</f>
        <v>8</v>
      </c>
      <c r="T158" t="str">
        <f t="shared" si="5"/>
        <v>Graham Gano10</v>
      </c>
      <c r="U158">
        <f>IF(OR(NOT(ISERROR(MATCH(T158,Finals!$K$2:$K$1801,0))),AND(A158&gt;Week,Q158&lt;&gt;"NA")),"",A158)</f>
        <v>10</v>
      </c>
      <c r="V158" t="str">
        <f>IF(U158&lt;&gt;"",U158&amp;"-"&amp;COUNTIF(U$1:U158,U158),"")</f>
        <v>10-5</v>
      </c>
    </row>
    <row r="159" spans="1:22" x14ac:dyDescent="0.25">
      <c r="A159">
        <v>4</v>
      </c>
      <c r="B159" t="s">
        <v>459</v>
      </c>
      <c r="C159" t="s">
        <v>5153</v>
      </c>
      <c r="D159">
        <v>1.83</v>
      </c>
      <c r="E159">
        <v>2.1800000000000002</v>
      </c>
      <c r="F159">
        <v>2.4500000000000002</v>
      </c>
      <c r="G159">
        <v>2.77</v>
      </c>
      <c r="H159">
        <v>8.91</v>
      </c>
      <c r="I159" t="s">
        <v>17</v>
      </c>
      <c r="J159">
        <v>0.32</v>
      </c>
      <c r="K159">
        <v>0.35</v>
      </c>
      <c r="L159">
        <v>7.54</v>
      </c>
      <c r="M159">
        <v>14.12</v>
      </c>
      <c r="N159">
        <v>3.7</v>
      </c>
      <c r="O159">
        <v>5.21</v>
      </c>
      <c r="P159">
        <v>27.144100000000002</v>
      </c>
      <c r="Q159" t="str">
        <f>IFERROR(INDEX(Rosters!$C$2:$C$155,MATCH($B159,Rosters!$B$2:$B$155,0)),"NA")</f>
        <v>NA</v>
      </c>
      <c r="R159" t="str">
        <f t="shared" si="4"/>
        <v>NA4</v>
      </c>
      <c r="S159">
        <f>COUNTIFS(A$1:A159,A159)</f>
        <v>9</v>
      </c>
      <c r="T159" t="str">
        <f t="shared" si="5"/>
        <v>Cody Parkey4</v>
      </c>
      <c r="U159">
        <f>IF(OR(NOT(ISERROR(MATCH(T159,Finals!$K$2:$K$1801,0))),AND(A159&gt;Week,Q159&lt;&gt;"NA")),"",A159)</f>
        <v>4</v>
      </c>
      <c r="V159" t="str">
        <f>IF(U159&lt;&gt;"",U159&amp;"-"&amp;COUNTIF(U$1:U159,U159),"")</f>
        <v>4-4</v>
      </c>
    </row>
    <row r="160" spans="1:22" x14ac:dyDescent="0.25">
      <c r="A160">
        <v>6</v>
      </c>
      <c r="B160" t="s">
        <v>1121</v>
      </c>
      <c r="C160" t="s">
        <v>5154</v>
      </c>
      <c r="D160">
        <v>1.63</v>
      </c>
      <c r="E160">
        <v>1.83</v>
      </c>
      <c r="F160">
        <v>2.64</v>
      </c>
      <c r="G160">
        <v>2.66</v>
      </c>
      <c r="H160">
        <v>8.15</v>
      </c>
      <c r="I160" t="s">
        <v>52</v>
      </c>
      <c r="J160">
        <v>0.02</v>
      </c>
      <c r="K160">
        <v>0.2</v>
      </c>
      <c r="L160">
        <v>7.53</v>
      </c>
      <c r="M160">
        <v>11.54</v>
      </c>
      <c r="N160">
        <v>4.76</v>
      </c>
      <c r="O160">
        <v>3.39</v>
      </c>
      <c r="P160">
        <v>11.492100000000001</v>
      </c>
      <c r="Q160" t="str">
        <f>IFERROR(INDEX(Rosters!$C$2:$C$155,MATCH($B160,Rosters!$B$2:$B$155,0)),"NA")</f>
        <v>NA</v>
      </c>
      <c r="R160" t="str">
        <f t="shared" si="4"/>
        <v>NA6</v>
      </c>
      <c r="S160">
        <f>COUNTIFS(A$1:A160,A160)</f>
        <v>9</v>
      </c>
      <c r="T160" t="str">
        <f t="shared" si="5"/>
        <v>Caleb Sturgis6</v>
      </c>
      <c r="U160">
        <f>IF(OR(NOT(ISERROR(MATCH(T160,Finals!$K$2:$K$1801,0))),AND(A160&gt;Week,Q160&lt;&gt;"NA")),"",A160)</f>
        <v>6</v>
      </c>
      <c r="V160" t="str">
        <f>IF(U160&lt;&gt;"",U160&amp;"-"&amp;COUNTIF(U$1:U160,U160),"")</f>
        <v>6-4</v>
      </c>
    </row>
    <row r="161" spans="1:22" x14ac:dyDescent="0.25">
      <c r="A161">
        <v>8</v>
      </c>
      <c r="B161" t="s">
        <v>457</v>
      </c>
      <c r="C161" t="s">
        <v>5155</v>
      </c>
      <c r="D161">
        <v>1.71</v>
      </c>
      <c r="E161">
        <v>2.04</v>
      </c>
      <c r="F161">
        <v>2.7</v>
      </c>
      <c r="G161">
        <v>2.72</v>
      </c>
      <c r="H161">
        <v>8.5399999999999991</v>
      </c>
      <c r="I161" t="s">
        <v>31</v>
      </c>
      <c r="J161">
        <v>0.02</v>
      </c>
      <c r="K161">
        <v>0.33</v>
      </c>
      <c r="L161">
        <v>7.53</v>
      </c>
      <c r="M161">
        <v>12.21</v>
      </c>
      <c r="N161">
        <v>4.87</v>
      </c>
      <c r="O161">
        <v>3.67</v>
      </c>
      <c r="P161">
        <v>13.4689</v>
      </c>
      <c r="Q161" t="str">
        <f>IFERROR(INDEX(Rosters!$C$2:$C$155,MATCH($B161,Rosters!$B$2:$B$155,0)),"NA")</f>
        <v>NA</v>
      </c>
      <c r="R161" t="str">
        <f t="shared" si="4"/>
        <v>NA8</v>
      </c>
      <c r="S161">
        <f>COUNTIFS(A$1:A161,A161)</f>
        <v>6</v>
      </c>
      <c r="T161" t="str">
        <f t="shared" si="5"/>
        <v>Chandler Catanzaro8</v>
      </c>
      <c r="U161">
        <f>IF(OR(NOT(ISERROR(MATCH(T161,Finals!$K$2:$K$1801,0))),AND(A161&gt;Week,Q161&lt;&gt;"NA")),"",A161)</f>
        <v>8</v>
      </c>
      <c r="V161" t="str">
        <f>IF(U161&lt;&gt;"",U161&amp;"-"&amp;COUNTIF(U$1:U161,U161),"")</f>
        <v>8-3</v>
      </c>
    </row>
    <row r="162" spans="1:22" x14ac:dyDescent="0.25">
      <c r="A162">
        <v>16</v>
      </c>
      <c r="B162" t="s">
        <v>462</v>
      </c>
      <c r="C162" t="s">
        <v>5156</v>
      </c>
      <c r="D162">
        <v>1.67</v>
      </c>
      <c r="E162">
        <v>1.96</v>
      </c>
      <c r="F162">
        <v>2.63</v>
      </c>
      <c r="G162">
        <v>2.75</v>
      </c>
      <c r="H162">
        <v>8.52</v>
      </c>
      <c r="I162" t="s">
        <v>51</v>
      </c>
      <c r="J162">
        <v>0.12</v>
      </c>
      <c r="K162">
        <v>0.28999999999999998</v>
      </c>
      <c r="L162">
        <v>7.53</v>
      </c>
      <c r="M162">
        <v>13.03</v>
      </c>
      <c r="N162">
        <v>4.01</v>
      </c>
      <c r="O162">
        <v>4.51</v>
      </c>
      <c r="P162">
        <v>20.3401</v>
      </c>
      <c r="Q162" t="str">
        <f>IFERROR(INDEX(Rosters!$C$2:$C$155,MATCH($B162,Rosters!$B$2:$B$155,0)),"NA")</f>
        <v>cory</v>
      </c>
      <c r="R162" t="str">
        <f t="shared" si="4"/>
        <v>cory16</v>
      </c>
      <c r="S162">
        <f>COUNTIFS(A$1:A162,A162)</f>
        <v>9</v>
      </c>
      <c r="T162" t="str">
        <f t="shared" si="5"/>
        <v>Wil Lutz16</v>
      </c>
      <c r="U162" t="str">
        <f>IF(OR(NOT(ISERROR(MATCH(T162,Finals!$K$2:$K$1801,0))),AND(A162&gt;Week,Q162&lt;&gt;"NA")),"",A162)</f>
        <v/>
      </c>
      <c r="V162" t="str">
        <f>IF(U162&lt;&gt;"",U162&amp;"-"&amp;COUNTIF(U$1:U162,U162),"")</f>
        <v/>
      </c>
    </row>
    <row r="163" spans="1:22" x14ac:dyDescent="0.25">
      <c r="A163">
        <v>17</v>
      </c>
      <c r="B163" t="s">
        <v>1107</v>
      </c>
      <c r="C163" t="s">
        <v>5157</v>
      </c>
      <c r="D163">
        <v>1.85</v>
      </c>
      <c r="E163">
        <v>2.08</v>
      </c>
      <c r="F163">
        <v>1.87</v>
      </c>
      <c r="G163">
        <v>1.89</v>
      </c>
      <c r="H163">
        <v>8.2200000000000006</v>
      </c>
      <c r="I163" t="s">
        <v>19</v>
      </c>
      <c r="J163">
        <v>1.9999999999999799E-2</v>
      </c>
      <c r="K163">
        <v>0.23</v>
      </c>
      <c r="L163">
        <v>7.51</v>
      </c>
      <c r="M163">
        <v>13.07</v>
      </c>
      <c r="N163">
        <v>3.37</v>
      </c>
      <c r="O163">
        <v>4.8499999999999996</v>
      </c>
      <c r="P163">
        <v>23.522500000000001</v>
      </c>
      <c r="Q163" t="str">
        <f>IFERROR(INDEX(Rosters!$C$2:$C$155,MATCH($B163,Rosters!$B$2:$B$155,0)),"NA")</f>
        <v>NA</v>
      </c>
      <c r="R163" t="str">
        <f t="shared" si="4"/>
        <v>NA17</v>
      </c>
      <c r="S163">
        <f>COUNTIFS(A$1:A163,A163)</f>
        <v>12</v>
      </c>
      <c r="T163" t="str">
        <f t="shared" si="5"/>
        <v>Stephen Hauschka17</v>
      </c>
      <c r="U163">
        <f>IF(OR(NOT(ISERROR(MATCH(T163,Finals!$K$2:$K$1801,0))),AND(A163&gt;Week,Q163&lt;&gt;"NA")),"",A163)</f>
        <v>17</v>
      </c>
      <c r="V163" t="str">
        <f>IF(U163&lt;&gt;"",U163&amp;"-"&amp;COUNTIF(U$1:U163,U163),"")</f>
        <v>17-6</v>
      </c>
    </row>
    <row r="164" spans="1:22" x14ac:dyDescent="0.25">
      <c r="A164">
        <v>16</v>
      </c>
      <c r="B164" t="s">
        <v>998</v>
      </c>
      <c r="C164" t="s">
        <v>5158</v>
      </c>
      <c r="D164">
        <v>1.71</v>
      </c>
      <c r="E164">
        <v>1.93</v>
      </c>
      <c r="F164">
        <v>2.44</v>
      </c>
      <c r="G164">
        <v>2.48</v>
      </c>
      <c r="H164">
        <v>8.2100000000000009</v>
      </c>
      <c r="I164" t="s">
        <v>36</v>
      </c>
      <c r="J164">
        <v>0.04</v>
      </c>
      <c r="K164">
        <v>0.22</v>
      </c>
      <c r="L164">
        <v>7.51</v>
      </c>
      <c r="M164">
        <v>12.13</v>
      </c>
      <c r="N164">
        <v>4.29</v>
      </c>
      <c r="O164">
        <v>3.92</v>
      </c>
      <c r="P164">
        <v>15.366400000000001</v>
      </c>
      <c r="Q164" t="str">
        <f>IFERROR(INDEX(Rosters!$C$2:$C$155,MATCH($B164,Rosters!$B$2:$B$155,0)),"NA")</f>
        <v>NA</v>
      </c>
      <c r="R164" t="str">
        <f t="shared" si="4"/>
        <v>NA16</v>
      </c>
      <c r="S164">
        <f>COUNTIFS(A$1:A164,A164)</f>
        <v>10</v>
      </c>
      <c r="T164" t="str">
        <f t="shared" si="5"/>
        <v>Jake Elliott16</v>
      </c>
      <c r="U164">
        <f>IF(OR(NOT(ISERROR(MATCH(T164,Finals!$K$2:$K$1801,0))),AND(A164&gt;Week,Q164&lt;&gt;"NA")),"",A164)</f>
        <v>16</v>
      </c>
      <c r="V164" t="str">
        <f>IF(U164&lt;&gt;"",U164&amp;"-"&amp;COUNTIF(U$1:U164,U164),"")</f>
        <v>16-5</v>
      </c>
    </row>
    <row r="165" spans="1:22" x14ac:dyDescent="0.25">
      <c r="A165">
        <v>17</v>
      </c>
      <c r="B165" t="s">
        <v>444</v>
      </c>
      <c r="C165" t="s">
        <v>5159</v>
      </c>
      <c r="D165">
        <v>1.66</v>
      </c>
      <c r="E165">
        <v>2.0099999999999998</v>
      </c>
      <c r="F165">
        <v>3</v>
      </c>
      <c r="G165">
        <v>3</v>
      </c>
      <c r="H165">
        <v>8.56</v>
      </c>
      <c r="I165" t="s">
        <v>34</v>
      </c>
      <c r="J165">
        <v>0</v>
      </c>
      <c r="K165">
        <v>0.35</v>
      </c>
      <c r="L165">
        <v>7.51</v>
      </c>
      <c r="M165">
        <v>12.78</v>
      </c>
      <c r="N165">
        <v>4.34</v>
      </c>
      <c r="O165">
        <v>4.22</v>
      </c>
      <c r="P165">
        <v>17.808399999999999</v>
      </c>
      <c r="Q165" t="str">
        <f>IFERROR(INDEX(Rosters!$C$2:$C$155,MATCH($B165,Rosters!$B$2:$B$155,0)),"NA")</f>
        <v>perry</v>
      </c>
      <c r="R165" t="str">
        <f t="shared" si="4"/>
        <v>perry17</v>
      </c>
      <c r="S165">
        <f>COUNTIFS(A$1:A165,A165)</f>
        <v>13</v>
      </c>
      <c r="T165" t="str">
        <f t="shared" si="5"/>
        <v>Mason Crosby17</v>
      </c>
      <c r="U165" t="str">
        <f>IF(OR(NOT(ISERROR(MATCH(T165,Finals!$K$2:$K$1801,0))),AND(A165&gt;Week,Q165&lt;&gt;"NA")),"",A165)</f>
        <v/>
      </c>
      <c r="V165" t="str">
        <f>IF(U165&lt;&gt;"",U165&amp;"-"&amp;COUNTIF(U$1:U165,U165),"")</f>
        <v/>
      </c>
    </row>
    <row r="166" spans="1:22" x14ac:dyDescent="0.25">
      <c r="A166">
        <v>6</v>
      </c>
      <c r="B166" t="s">
        <v>1119</v>
      </c>
      <c r="C166" t="s">
        <v>5160</v>
      </c>
      <c r="D166">
        <v>1.43</v>
      </c>
      <c r="E166">
        <v>1.51</v>
      </c>
      <c r="F166">
        <v>2.92</v>
      </c>
      <c r="G166">
        <v>2.95</v>
      </c>
      <c r="H166">
        <v>7.78</v>
      </c>
      <c r="I166" t="s">
        <v>22</v>
      </c>
      <c r="J166">
        <v>3.00000000000002E-2</v>
      </c>
      <c r="K166">
        <v>8.0000000000000099E-2</v>
      </c>
      <c r="L166">
        <v>7.51</v>
      </c>
      <c r="M166">
        <v>11.74</v>
      </c>
      <c r="N166">
        <v>3.82</v>
      </c>
      <c r="O166">
        <v>3.96</v>
      </c>
      <c r="P166">
        <v>15.6816</v>
      </c>
      <c r="Q166" t="str">
        <f>IFERROR(INDEX(Rosters!$C$2:$C$155,MATCH($B166,Rosters!$B$2:$B$155,0)),"NA")</f>
        <v>scott</v>
      </c>
      <c r="R166" t="str">
        <f t="shared" si="4"/>
        <v>scott6</v>
      </c>
      <c r="S166">
        <f>COUNTIFS(A$1:A166,A166)</f>
        <v>10</v>
      </c>
      <c r="T166" t="str">
        <f t="shared" si="5"/>
        <v>Josh Lambo6</v>
      </c>
      <c r="U166" t="str">
        <f>IF(OR(NOT(ISERROR(MATCH(T166,Finals!$K$2:$K$1801,0))),AND(A166&gt;Week,Q166&lt;&gt;"NA")),"",A166)</f>
        <v/>
      </c>
      <c r="V166" t="str">
        <f>IF(U166&lt;&gt;"",U166&amp;"-"&amp;COUNTIF(U$1:U166,U166),"")</f>
        <v/>
      </c>
    </row>
    <row r="167" spans="1:22" x14ac:dyDescent="0.25">
      <c r="A167">
        <v>12</v>
      </c>
      <c r="B167" t="s">
        <v>446</v>
      </c>
      <c r="C167" t="s">
        <v>5161</v>
      </c>
      <c r="D167">
        <v>1.87</v>
      </c>
      <c r="E167">
        <v>2.3199999999999998</v>
      </c>
      <c r="F167">
        <v>2.48</v>
      </c>
      <c r="G167">
        <v>2.5</v>
      </c>
      <c r="H167">
        <v>8.8699999999999992</v>
      </c>
      <c r="I167" t="s">
        <v>73</v>
      </c>
      <c r="J167">
        <v>0.02</v>
      </c>
      <c r="K167">
        <v>0.45</v>
      </c>
      <c r="L167">
        <v>7.5</v>
      </c>
      <c r="M167">
        <v>13.21</v>
      </c>
      <c r="N167">
        <v>4.53</v>
      </c>
      <c r="O167">
        <v>4.34</v>
      </c>
      <c r="P167">
        <v>18.835599999999999</v>
      </c>
      <c r="Q167" t="str">
        <f>IFERROR(INDEX(Rosters!$C$2:$C$155,MATCH($B167,Rosters!$B$2:$B$155,0)),"NA")</f>
        <v>comp</v>
      </c>
      <c r="R167" t="str">
        <f t="shared" si="4"/>
        <v>comp12</v>
      </c>
      <c r="S167">
        <f>COUNTIFS(A$1:A167,A167)</f>
        <v>10</v>
      </c>
      <c r="T167" t="str">
        <f t="shared" si="5"/>
        <v>Stephen Gostkowski12</v>
      </c>
      <c r="U167" t="str">
        <f>IF(OR(NOT(ISERROR(MATCH(T167,Finals!$K$2:$K$1801,0))),AND(A167&gt;Week,Q167&lt;&gt;"NA")),"",A167)</f>
        <v/>
      </c>
      <c r="V167" t="str">
        <f>IF(U167&lt;&gt;"",U167&amp;"-"&amp;COUNTIF(U$1:U167,U167),"")</f>
        <v/>
      </c>
    </row>
    <row r="168" spans="1:22" x14ac:dyDescent="0.25">
      <c r="A168">
        <v>7</v>
      </c>
      <c r="B168" t="s">
        <v>4164</v>
      </c>
      <c r="C168" t="s">
        <v>5162</v>
      </c>
      <c r="D168">
        <v>1.68</v>
      </c>
      <c r="E168">
        <v>1.89</v>
      </c>
      <c r="F168">
        <v>2.35</v>
      </c>
      <c r="G168">
        <v>2.39</v>
      </c>
      <c r="H168">
        <v>8.16</v>
      </c>
      <c r="I168" t="s">
        <v>60</v>
      </c>
      <c r="J168">
        <v>0.04</v>
      </c>
      <c r="K168">
        <v>0.21</v>
      </c>
      <c r="L168">
        <v>7.49</v>
      </c>
      <c r="M168">
        <v>11.8</v>
      </c>
      <c r="N168">
        <v>4.5199999999999996</v>
      </c>
      <c r="O168">
        <v>3.64</v>
      </c>
      <c r="P168">
        <v>13.249599999999999</v>
      </c>
      <c r="Q168" t="str">
        <f>IFERROR(INDEX(Rosters!$C$2:$C$155,MATCH($B168,Rosters!$B$2:$B$155,0)),"NA")</f>
        <v>NA</v>
      </c>
      <c r="R168" t="str">
        <f t="shared" si="4"/>
        <v>NA7</v>
      </c>
      <c r="S168">
        <f>COUNTIFS(A$1:A168,A168)</f>
        <v>9</v>
      </c>
      <c r="T168" t="str">
        <f t="shared" si="5"/>
        <v>Brett Maher7</v>
      </c>
      <c r="U168">
        <f>IF(OR(NOT(ISERROR(MATCH(T168,Finals!$K$2:$K$1801,0))),AND(A168&gt;Week,Q168&lt;&gt;"NA")),"",A168)</f>
        <v>7</v>
      </c>
      <c r="V168" t="str">
        <f>IF(U168&lt;&gt;"",U168&amp;"-"&amp;COUNTIF(U$1:U168,U168),"")</f>
        <v>7-3</v>
      </c>
    </row>
    <row r="169" spans="1:22" x14ac:dyDescent="0.25">
      <c r="A169">
        <v>14</v>
      </c>
      <c r="B169" t="s">
        <v>464</v>
      </c>
      <c r="C169" t="s">
        <v>5163</v>
      </c>
      <c r="D169">
        <v>1.74</v>
      </c>
      <c r="E169">
        <v>2.0699999999999998</v>
      </c>
      <c r="F169">
        <v>2.41</v>
      </c>
      <c r="G169">
        <v>2.4300000000000002</v>
      </c>
      <c r="H169">
        <v>8.5</v>
      </c>
      <c r="I169" t="s">
        <v>72</v>
      </c>
      <c r="J169">
        <v>0.02</v>
      </c>
      <c r="K169">
        <v>0.33</v>
      </c>
      <c r="L169">
        <v>7.49</v>
      </c>
      <c r="M169">
        <v>13.07</v>
      </c>
      <c r="N169">
        <v>3.93</v>
      </c>
      <c r="O169">
        <v>4.57</v>
      </c>
      <c r="P169">
        <v>20.884899999999998</v>
      </c>
      <c r="Q169" t="str">
        <f>IFERROR(INDEX(Rosters!$C$2:$C$155,MATCH($B169,Rosters!$B$2:$B$155,0)),"NA")</f>
        <v>NA</v>
      </c>
      <c r="R169" t="str">
        <f t="shared" si="4"/>
        <v>NA14</v>
      </c>
      <c r="S169">
        <f>COUNTIFS(A$1:A169,A169)</f>
        <v>10</v>
      </c>
      <c r="T169" t="str">
        <f t="shared" si="5"/>
        <v>Greg Zuerlein14</v>
      </c>
      <c r="U169">
        <f>IF(OR(NOT(ISERROR(MATCH(T169,Finals!$K$2:$K$1801,0))),AND(A169&gt;Week,Q169&lt;&gt;"NA")),"",A169)</f>
        <v>14</v>
      </c>
      <c r="V169" t="str">
        <f>IF(U169&lt;&gt;"",U169&amp;"-"&amp;COUNTIF(U$1:U169,U169),"")</f>
        <v>14-5</v>
      </c>
    </row>
    <row r="170" spans="1:22" x14ac:dyDescent="0.25">
      <c r="A170">
        <v>15</v>
      </c>
      <c r="B170" t="s">
        <v>453</v>
      </c>
      <c r="C170" t="s">
        <v>5164</v>
      </c>
      <c r="D170">
        <v>1.87</v>
      </c>
      <c r="E170">
        <v>2.2599999999999998</v>
      </c>
      <c r="F170">
        <v>2.14</v>
      </c>
      <c r="G170">
        <v>2.16</v>
      </c>
      <c r="H170">
        <v>8.68</v>
      </c>
      <c r="I170" t="s">
        <v>54</v>
      </c>
      <c r="J170">
        <v>0.02</v>
      </c>
      <c r="K170">
        <v>0.39</v>
      </c>
      <c r="L170">
        <v>7.49</v>
      </c>
      <c r="M170">
        <v>13.13</v>
      </c>
      <c r="N170">
        <v>4.2300000000000004</v>
      </c>
      <c r="O170">
        <v>4.45</v>
      </c>
      <c r="P170">
        <v>19.802499999999998</v>
      </c>
      <c r="Q170" t="str">
        <f>IFERROR(INDEX(Rosters!$C$2:$C$155,MATCH($B170,Rosters!$B$2:$B$155,0)),"NA")</f>
        <v>NA</v>
      </c>
      <c r="R170" t="str">
        <f t="shared" si="4"/>
        <v>NA15</v>
      </c>
      <c r="S170">
        <f>COUNTIFS(A$1:A170,A170)</f>
        <v>15</v>
      </c>
      <c r="T170" t="str">
        <f t="shared" si="5"/>
        <v>Ryan Succop15</v>
      </c>
      <c r="U170">
        <f>IF(OR(NOT(ISERROR(MATCH(T170,Finals!$K$2:$K$1801,0))),AND(A170&gt;Week,Q170&lt;&gt;"NA")),"",A170)</f>
        <v>15</v>
      </c>
      <c r="V170" t="str">
        <f>IF(U170&lt;&gt;"",U170&amp;"-"&amp;COUNTIF(U$1:U170,U170),"")</f>
        <v>15-10</v>
      </c>
    </row>
    <row r="171" spans="1:22" x14ac:dyDescent="0.25">
      <c r="A171">
        <v>2</v>
      </c>
      <c r="B171" t="s">
        <v>1121</v>
      </c>
      <c r="C171" t="s">
        <v>3585</v>
      </c>
      <c r="D171">
        <v>1.78</v>
      </c>
      <c r="E171">
        <v>2.08</v>
      </c>
      <c r="F171">
        <v>2.2799999999999998</v>
      </c>
      <c r="G171">
        <v>2.2799999999999998</v>
      </c>
      <c r="H171">
        <v>8.3800000000000008</v>
      </c>
      <c r="I171" t="s">
        <v>29</v>
      </c>
      <c r="J171">
        <v>0</v>
      </c>
      <c r="K171">
        <v>0.3</v>
      </c>
      <c r="L171">
        <v>7.48</v>
      </c>
      <c r="M171">
        <v>11.59</v>
      </c>
      <c r="N171">
        <v>5.17</v>
      </c>
      <c r="O171">
        <v>3.21</v>
      </c>
      <c r="P171">
        <v>10.3041</v>
      </c>
      <c r="Q171" t="str">
        <f>IFERROR(INDEX(Rosters!$C$2:$C$155,MATCH($B171,Rosters!$B$2:$B$155,0)),"NA")</f>
        <v>NA</v>
      </c>
      <c r="R171" t="str">
        <f t="shared" si="4"/>
        <v>NA2</v>
      </c>
      <c r="S171">
        <f>COUNTIFS(A$1:A171,A171)</f>
        <v>11</v>
      </c>
      <c r="T171" t="str">
        <f t="shared" si="5"/>
        <v>Caleb Sturgis2</v>
      </c>
      <c r="U171">
        <f>IF(OR(NOT(ISERROR(MATCH(T171,Finals!$K$2:$K$1801,0))),AND(A171&gt;Week,Q171&lt;&gt;"NA")),"",A171)</f>
        <v>2</v>
      </c>
      <c r="V171" t="str">
        <f>IF(U171&lt;&gt;"",U171&amp;"-"&amp;COUNTIF(U$1:U171,U171),"")</f>
        <v>2-3</v>
      </c>
    </row>
    <row r="172" spans="1:22" x14ac:dyDescent="0.25">
      <c r="A172">
        <v>10</v>
      </c>
      <c r="B172" t="s">
        <v>449</v>
      </c>
      <c r="C172" t="s">
        <v>5165</v>
      </c>
      <c r="D172">
        <v>1.55</v>
      </c>
      <c r="E172">
        <v>1.79</v>
      </c>
      <c r="F172">
        <v>2.86</v>
      </c>
      <c r="G172">
        <v>2.88</v>
      </c>
      <c r="H172">
        <v>8.2200000000000006</v>
      </c>
      <c r="I172" t="s">
        <v>52</v>
      </c>
      <c r="J172">
        <v>0.02</v>
      </c>
      <c r="K172">
        <v>0.24</v>
      </c>
      <c r="L172">
        <v>7.48</v>
      </c>
      <c r="M172">
        <v>11.56</v>
      </c>
      <c r="N172">
        <v>4.88</v>
      </c>
      <c r="O172">
        <v>3.34</v>
      </c>
      <c r="P172">
        <v>11.1556</v>
      </c>
      <c r="Q172" t="str">
        <f>IFERROR(INDEX(Rosters!$C$2:$C$155,MATCH($B172,Rosters!$B$2:$B$155,0)),"NA")</f>
        <v>lucas</v>
      </c>
      <c r="R172" t="str">
        <f t="shared" si="4"/>
        <v>lucas10</v>
      </c>
      <c r="S172">
        <f>COUNTIFS(A$1:A172,A172)</f>
        <v>9</v>
      </c>
      <c r="T172" t="str">
        <f t="shared" si="5"/>
        <v>Matt Bryant10</v>
      </c>
      <c r="U172" t="str">
        <f>IF(OR(NOT(ISERROR(MATCH(T172,Finals!$K$2:$K$1801,0))),AND(A172&gt;Week,Q172&lt;&gt;"NA")),"",A172)</f>
        <v/>
      </c>
      <c r="V172" t="str">
        <f>IF(U172&lt;&gt;"",U172&amp;"-"&amp;COUNTIF(U$1:U172,U172),"")</f>
        <v/>
      </c>
    </row>
    <row r="173" spans="1:22" x14ac:dyDescent="0.25">
      <c r="A173">
        <v>8</v>
      </c>
      <c r="B173" t="s">
        <v>5064</v>
      </c>
      <c r="C173" t="s">
        <v>5166</v>
      </c>
      <c r="D173">
        <v>1.67</v>
      </c>
      <c r="E173">
        <v>2.02</v>
      </c>
      <c r="F173">
        <v>3.1</v>
      </c>
      <c r="G173">
        <v>3.21</v>
      </c>
      <c r="H173">
        <v>8.64</v>
      </c>
      <c r="I173" t="s">
        <v>66</v>
      </c>
      <c r="J173">
        <v>0.11</v>
      </c>
      <c r="K173">
        <v>0.35</v>
      </c>
      <c r="L173">
        <v>7.48</v>
      </c>
      <c r="M173">
        <v>12.26</v>
      </c>
      <c r="N173">
        <v>5.0199999999999996</v>
      </c>
      <c r="O173">
        <v>3.62</v>
      </c>
      <c r="P173">
        <v>13.1044</v>
      </c>
      <c r="Q173" t="str">
        <f>IFERROR(INDEX(Rosters!$C$2:$C$155,MATCH($B173,Rosters!$B$2:$B$155,0)),"NA")</f>
        <v>NA</v>
      </c>
      <c r="R173" t="str">
        <f t="shared" si="4"/>
        <v>NA8</v>
      </c>
      <c r="S173">
        <f>COUNTIFS(A$1:A173,A173)</f>
        <v>7</v>
      </c>
      <c r="T173" t="str">
        <f t="shared" si="5"/>
        <v>Matt McCrane8</v>
      </c>
      <c r="U173">
        <f>IF(OR(NOT(ISERROR(MATCH(T173,Finals!$K$2:$K$1801,0))),AND(A173&gt;Week,Q173&lt;&gt;"NA")),"",A173)</f>
        <v>8</v>
      </c>
      <c r="V173" t="str">
        <f>IF(U173&lt;&gt;"",U173&amp;"-"&amp;COUNTIF(U$1:U173,U173),"")</f>
        <v>8-4</v>
      </c>
    </row>
    <row r="174" spans="1:22" x14ac:dyDescent="0.25">
      <c r="A174">
        <v>11</v>
      </c>
      <c r="B174" t="s">
        <v>453</v>
      </c>
      <c r="C174" t="s">
        <v>5167</v>
      </c>
      <c r="D174">
        <v>1.83</v>
      </c>
      <c r="E174">
        <v>2.2000000000000002</v>
      </c>
      <c r="F174">
        <v>2.25</v>
      </c>
      <c r="G174">
        <v>2.27</v>
      </c>
      <c r="H174">
        <v>8.61</v>
      </c>
      <c r="I174" t="s">
        <v>66</v>
      </c>
      <c r="J174">
        <v>0.02</v>
      </c>
      <c r="K174">
        <v>0.37</v>
      </c>
      <c r="L174">
        <v>7.48</v>
      </c>
      <c r="M174">
        <v>13.13</v>
      </c>
      <c r="N174">
        <v>4.09</v>
      </c>
      <c r="O174">
        <v>4.5199999999999996</v>
      </c>
      <c r="P174">
        <v>20.430399999999999</v>
      </c>
      <c r="Q174" t="str">
        <f>IFERROR(INDEX(Rosters!$C$2:$C$155,MATCH($B174,Rosters!$B$2:$B$155,0)),"NA")</f>
        <v>NA</v>
      </c>
      <c r="R174" t="str">
        <f t="shared" si="4"/>
        <v>NA11</v>
      </c>
      <c r="S174">
        <f>COUNTIFS(A$1:A174,A174)</f>
        <v>8</v>
      </c>
      <c r="T174" t="str">
        <f t="shared" si="5"/>
        <v>Ryan Succop11</v>
      </c>
      <c r="U174">
        <f>IF(OR(NOT(ISERROR(MATCH(T174,Finals!$K$2:$K$1801,0))),AND(A174&gt;Week,Q174&lt;&gt;"NA")),"",A174)</f>
        <v>11</v>
      </c>
      <c r="V174" t="str">
        <f>IF(U174&lt;&gt;"",U174&amp;"-"&amp;COUNTIF(U$1:U174,U174),"")</f>
        <v>11-5</v>
      </c>
    </row>
    <row r="175" spans="1:22" x14ac:dyDescent="0.25">
      <c r="A175">
        <v>6</v>
      </c>
      <c r="B175" t="s">
        <v>456</v>
      </c>
      <c r="C175" t="s">
        <v>5168</v>
      </c>
      <c r="D175">
        <v>1.73</v>
      </c>
      <c r="E175">
        <v>1.98</v>
      </c>
      <c r="F175">
        <v>2.25</v>
      </c>
      <c r="G175">
        <v>2.25</v>
      </c>
      <c r="H175">
        <v>8.2200000000000006</v>
      </c>
      <c r="I175" t="s">
        <v>60</v>
      </c>
      <c r="J175">
        <v>0</v>
      </c>
      <c r="K175">
        <v>0.25</v>
      </c>
      <c r="L175">
        <v>7.47</v>
      </c>
      <c r="M175">
        <v>12.18</v>
      </c>
      <c r="N175">
        <v>4.26</v>
      </c>
      <c r="O175">
        <v>3.96</v>
      </c>
      <c r="P175">
        <v>15.6816</v>
      </c>
      <c r="Q175" t="str">
        <f>IFERROR(INDEX(Rosters!$C$2:$C$155,MATCH($B175,Rosters!$B$2:$B$155,0)),"NA")</f>
        <v>NA</v>
      </c>
      <c r="R175" t="str">
        <f t="shared" si="4"/>
        <v>NA6</v>
      </c>
      <c r="S175">
        <f>COUNTIFS(A$1:A175,A175)</f>
        <v>11</v>
      </c>
      <c r="T175" t="str">
        <f t="shared" si="5"/>
        <v>Graham Gano6</v>
      </c>
      <c r="U175">
        <f>IF(OR(NOT(ISERROR(MATCH(T175,Finals!$K$2:$K$1801,0))),AND(A175&gt;Week,Q175&lt;&gt;"NA")),"",A175)</f>
        <v>6</v>
      </c>
      <c r="V175" t="str">
        <f>IF(U175&lt;&gt;"",U175&amp;"-"&amp;COUNTIF(U$1:U175,U175),"")</f>
        <v>6-5</v>
      </c>
    </row>
    <row r="176" spans="1:22" x14ac:dyDescent="0.25">
      <c r="A176">
        <v>16</v>
      </c>
      <c r="B176" t="s">
        <v>453</v>
      </c>
      <c r="C176" t="s">
        <v>5169</v>
      </c>
      <c r="D176">
        <v>1.81</v>
      </c>
      <c r="E176">
        <v>2.2000000000000002</v>
      </c>
      <c r="F176">
        <v>2.2799999999999998</v>
      </c>
      <c r="G176">
        <v>2.2799999999999998</v>
      </c>
      <c r="H176">
        <v>8.64</v>
      </c>
      <c r="I176" t="s">
        <v>60</v>
      </c>
      <c r="J176">
        <v>0</v>
      </c>
      <c r="K176">
        <v>0.39</v>
      </c>
      <c r="L176">
        <v>7.47</v>
      </c>
      <c r="M176">
        <v>12.71</v>
      </c>
      <c r="N176">
        <v>4.57</v>
      </c>
      <c r="O176">
        <v>4.07</v>
      </c>
      <c r="P176">
        <v>16.564900000000002</v>
      </c>
      <c r="Q176" t="str">
        <f>IFERROR(INDEX(Rosters!$C$2:$C$155,MATCH($B176,Rosters!$B$2:$B$155,0)),"NA")</f>
        <v>NA</v>
      </c>
      <c r="R176" t="str">
        <f t="shared" si="4"/>
        <v>NA16</v>
      </c>
      <c r="S176">
        <f>COUNTIFS(A$1:A176,A176)</f>
        <v>11</v>
      </c>
      <c r="T176" t="str">
        <f t="shared" si="5"/>
        <v>Ryan Succop16</v>
      </c>
      <c r="U176">
        <f>IF(OR(NOT(ISERROR(MATCH(T176,Finals!$K$2:$K$1801,0))),AND(A176&gt;Week,Q176&lt;&gt;"NA")),"",A176)</f>
        <v>16</v>
      </c>
      <c r="V176" t="str">
        <f>IF(U176&lt;&gt;"",U176&amp;"-"&amp;COUNTIF(U$1:U176,U176),"")</f>
        <v>16-6</v>
      </c>
    </row>
    <row r="177" spans="1:22" x14ac:dyDescent="0.25">
      <c r="A177">
        <v>17</v>
      </c>
      <c r="B177" t="s">
        <v>460</v>
      </c>
      <c r="C177" t="s">
        <v>5170</v>
      </c>
      <c r="D177">
        <v>1.62</v>
      </c>
      <c r="E177">
        <v>1.79</v>
      </c>
      <c r="F177">
        <v>2.46</v>
      </c>
      <c r="G177">
        <v>2.5</v>
      </c>
      <c r="H177">
        <v>8.01</v>
      </c>
      <c r="I177" t="s">
        <v>423</v>
      </c>
      <c r="J177">
        <v>0.04</v>
      </c>
      <c r="K177">
        <v>0.17</v>
      </c>
      <c r="L177">
        <v>7.46</v>
      </c>
      <c r="M177">
        <v>12.23</v>
      </c>
      <c r="N177">
        <v>3.79</v>
      </c>
      <c r="O177">
        <v>4.22</v>
      </c>
      <c r="P177">
        <v>17.808399999999999</v>
      </c>
      <c r="Q177" t="str">
        <f>IFERROR(INDEX(Rosters!$C$2:$C$155,MATCH($B177,Rosters!$B$2:$B$155,0)),"NA")</f>
        <v>NA</v>
      </c>
      <c r="R177" t="str">
        <f t="shared" si="4"/>
        <v>NA17</v>
      </c>
      <c r="S177">
        <f>COUNTIFS(A$1:A177,A177)</f>
        <v>14</v>
      </c>
      <c r="T177" t="str">
        <f t="shared" si="5"/>
        <v>Jason Myers17</v>
      </c>
      <c r="U177">
        <f>IF(OR(NOT(ISERROR(MATCH(T177,Finals!$K$2:$K$1801,0))),AND(A177&gt;Week,Q177&lt;&gt;"NA")),"",A177)</f>
        <v>17</v>
      </c>
      <c r="V177" t="str">
        <f>IF(U177&lt;&gt;"",U177&amp;"-"&amp;COUNTIF(U$1:U177,U177),"")</f>
        <v>17-7</v>
      </c>
    </row>
    <row r="178" spans="1:22" x14ac:dyDescent="0.25">
      <c r="A178">
        <v>15</v>
      </c>
      <c r="B178" t="s">
        <v>454</v>
      </c>
      <c r="C178" t="s">
        <v>5171</v>
      </c>
      <c r="D178">
        <v>1.5</v>
      </c>
      <c r="E178">
        <v>1.75</v>
      </c>
      <c r="F178">
        <v>3.09</v>
      </c>
      <c r="G178">
        <v>3.13</v>
      </c>
      <c r="H178">
        <v>8.25</v>
      </c>
      <c r="I178" t="s">
        <v>32</v>
      </c>
      <c r="J178">
        <v>0.04</v>
      </c>
      <c r="K178">
        <v>0.25</v>
      </c>
      <c r="L178">
        <v>7.46</v>
      </c>
      <c r="M178">
        <v>11.66</v>
      </c>
      <c r="N178">
        <v>4.84</v>
      </c>
      <c r="O178">
        <v>3.41</v>
      </c>
      <c r="P178">
        <v>11.6281</v>
      </c>
      <c r="Q178" t="str">
        <f>IFERROR(INDEX(Rosters!$C$2:$C$155,MATCH($B178,Rosters!$B$2:$B$155,0)),"NA")</f>
        <v>NA</v>
      </c>
      <c r="R178" t="str">
        <f t="shared" si="4"/>
        <v>NA15</v>
      </c>
      <c r="S178">
        <f>COUNTIFS(A$1:A178,A178)</f>
        <v>16</v>
      </c>
      <c r="T178" t="str">
        <f t="shared" si="5"/>
        <v>Randy Bullock15</v>
      </c>
      <c r="U178">
        <f>IF(OR(NOT(ISERROR(MATCH(T178,Finals!$K$2:$K$1801,0))),AND(A178&gt;Week,Q178&lt;&gt;"NA")),"",A178)</f>
        <v>15</v>
      </c>
      <c r="V178" t="str">
        <f>IF(U178&lt;&gt;"",U178&amp;"-"&amp;COUNTIF(U$1:U178,U178),"")</f>
        <v>15-11</v>
      </c>
    </row>
    <row r="179" spans="1:22" x14ac:dyDescent="0.25">
      <c r="A179">
        <v>8</v>
      </c>
      <c r="B179" t="s">
        <v>1107</v>
      </c>
      <c r="C179" t="s">
        <v>5172</v>
      </c>
      <c r="D179">
        <v>1.83</v>
      </c>
      <c r="E179">
        <v>2.04</v>
      </c>
      <c r="F179">
        <v>1.87</v>
      </c>
      <c r="G179">
        <v>1.89</v>
      </c>
      <c r="H179">
        <v>8.1</v>
      </c>
      <c r="I179" t="s">
        <v>423</v>
      </c>
      <c r="J179">
        <v>1.9999999999999799E-2</v>
      </c>
      <c r="K179">
        <v>0.21</v>
      </c>
      <c r="L179">
        <v>7.45</v>
      </c>
      <c r="M179">
        <v>12.7</v>
      </c>
      <c r="N179">
        <v>3.5</v>
      </c>
      <c r="O179">
        <v>4.5999999999999996</v>
      </c>
      <c r="P179">
        <v>21.16</v>
      </c>
      <c r="Q179" t="str">
        <f>IFERROR(INDEX(Rosters!$C$2:$C$155,MATCH($B179,Rosters!$B$2:$B$155,0)),"NA")</f>
        <v>NA</v>
      </c>
      <c r="R179" t="str">
        <f t="shared" si="4"/>
        <v>NA8</v>
      </c>
      <c r="S179">
        <f>COUNTIFS(A$1:A179,A179)</f>
        <v>8</v>
      </c>
      <c r="T179" t="str">
        <f t="shared" si="5"/>
        <v>Stephen Hauschka8</v>
      </c>
      <c r="U179">
        <f>IF(OR(NOT(ISERROR(MATCH(T179,Finals!$K$2:$K$1801,0))),AND(A179&gt;Week,Q179&lt;&gt;"NA")),"",A179)</f>
        <v>8</v>
      </c>
      <c r="V179" t="str">
        <f>IF(U179&lt;&gt;"",U179&amp;"-"&amp;COUNTIF(U$1:U179,U179),"")</f>
        <v>8-5</v>
      </c>
    </row>
    <row r="180" spans="1:22" x14ac:dyDescent="0.25">
      <c r="A180">
        <v>17</v>
      </c>
      <c r="B180" t="s">
        <v>465</v>
      </c>
      <c r="C180" t="s">
        <v>5173</v>
      </c>
      <c r="D180">
        <v>1.72</v>
      </c>
      <c r="E180">
        <v>1.95</v>
      </c>
      <c r="F180">
        <v>2.14</v>
      </c>
      <c r="G180">
        <v>2.16</v>
      </c>
      <c r="H180">
        <v>8.15</v>
      </c>
      <c r="I180" t="s">
        <v>37</v>
      </c>
      <c r="J180">
        <v>0.02</v>
      </c>
      <c r="K180">
        <v>0.23</v>
      </c>
      <c r="L180">
        <v>7.44</v>
      </c>
      <c r="M180">
        <v>13.05</v>
      </c>
      <c r="N180">
        <v>3.25</v>
      </c>
      <c r="O180">
        <v>4.9000000000000004</v>
      </c>
      <c r="P180">
        <v>24.01</v>
      </c>
      <c r="Q180" t="str">
        <f>IFERROR(INDEX(Rosters!$C$2:$C$155,MATCH($B180,Rosters!$B$2:$B$155,0)),"NA")</f>
        <v>NA</v>
      </c>
      <c r="R180" t="str">
        <f t="shared" si="4"/>
        <v>NA17</v>
      </c>
      <c r="S180">
        <f>COUNTIFS(A$1:A180,A180)</f>
        <v>15</v>
      </c>
      <c r="T180" t="str">
        <f t="shared" si="5"/>
        <v>Brandon McManus17</v>
      </c>
      <c r="U180">
        <f>IF(OR(NOT(ISERROR(MATCH(T180,Finals!$K$2:$K$1801,0))),AND(A180&gt;Week,Q180&lt;&gt;"NA")),"",A180)</f>
        <v>17</v>
      </c>
      <c r="V180" t="str">
        <f>IF(U180&lt;&gt;"",U180&amp;"-"&amp;COUNTIF(U$1:U180,U180),"")</f>
        <v>17-8</v>
      </c>
    </row>
    <row r="181" spans="1:22" x14ac:dyDescent="0.25">
      <c r="A181">
        <v>17</v>
      </c>
      <c r="B181" t="s">
        <v>445</v>
      </c>
      <c r="C181" t="s">
        <v>5174</v>
      </c>
      <c r="D181">
        <v>1.77</v>
      </c>
      <c r="E181">
        <v>2.02</v>
      </c>
      <c r="F181">
        <v>2.1</v>
      </c>
      <c r="G181">
        <v>2.14</v>
      </c>
      <c r="H181">
        <v>8.23</v>
      </c>
      <c r="I181" t="s">
        <v>72</v>
      </c>
      <c r="J181">
        <v>0.04</v>
      </c>
      <c r="K181">
        <v>0.25</v>
      </c>
      <c r="L181">
        <v>7.44</v>
      </c>
      <c r="M181">
        <v>12.27</v>
      </c>
      <c r="N181">
        <v>4.1900000000000004</v>
      </c>
      <c r="O181">
        <v>4.04</v>
      </c>
      <c r="P181">
        <v>16.3216</v>
      </c>
      <c r="Q181" t="str">
        <f>IFERROR(INDEX(Rosters!$C$2:$C$155,MATCH($B181,Rosters!$B$2:$B$155,0)),"NA")</f>
        <v>NA</v>
      </c>
      <c r="R181" t="str">
        <f t="shared" si="4"/>
        <v>NA17</v>
      </c>
      <c r="S181">
        <f>COUNTIFS(A$1:A181,A181)</f>
        <v>16</v>
      </c>
      <c r="T181" t="str">
        <f t="shared" si="5"/>
        <v>Dan Bailey17</v>
      </c>
      <c r="U181">
        <f>IF(OR(NOT(ISERROR(MATCH(T181,Finals!$K$2:$K$1801,0))),AND(A181&gt;Week,Q181&lt;&gt;"NA")),"",A181)</f>
        <v>17</v>
      </c>
      <c r="V181" t="str">
        <f>IF(U181&lt;&gt;"",U181&amp;"-"&amp;COUNTIF(U$1:U181,U181),"")</f>
        <v>17-9</v>
      </c>
    </row>
    <row r="182" spans="1:22" x14ac:dyDescent="0.25">
      <c r="A182">
        <v>10</v>
      </c>
      <c r="B182" t="s">
        <v>453</v>
      </c>
      <c r="C182" t="s">
        <v>5175</v>
      </c>
      <c r="D182">
        <v>1.83</v>
      </c>
      <c r="E182">
        <v>2.27</v>
      </c>
      <c r="F182">
        <v>2.2999999999999998</v>
      </c>
      <c r="G182">
        <v>2.2999999999999998</v>
      </c>
      <c r="H182">
        <v>8.75</v>
      </c>
      <c r="I182" t="s">
        <v>423</v>
      </c>
      <c r="J182">
        <v>0</v>
      </c>
      <c r="K182">
        <v>0.44</v>
      </c>
      <c r="L182">
        <v>7.43</v>
      </c>
      <c r="M182">
        <v>13.62</v>
      </c>
      <c r="N182">
        <v>3.88</v>
      </c>
      <c r="O182">
        <v>4.87</v>
      </c>
      <c r="P182">
        <v>23.716899999999999</v>
      </c>
      <c r="Q182" t="str">
        <f>IFERROR(INDEX(Rosters!$C$2:$C$155,MATCH($B182,Rosters!$B$2:$B$155,0)),"NA")</f>
        <v>NA</v>
      </c>
      <c r="R182" t="str">
        <f t="shared" si="4"/>
        <v>NA10</v>
      </c>
      <c r="S182">
        <f>COUNTIFS(A$1:A182,A182)</f>
        <v>10</v>
      </c>
      <c r="T182" t="str">
        <f t="shared" si="5"/>
        <v>Ryan Succop10</v>
      </c>
      <c r="U182">
        <f>IF(OR(NOT(ISERROR(MATCH(T182,Finals!$K$2:$K$1801,0))),AND(A182&gt;Week,Q182&lt;&gt;"NA")),"",A182)</f>
        <v>10</v>
      </c>
      <c r="V182" t="str">
        <f>IF(U182&lt;&gt;"",U182&amp;"-"&amp;COUNTIF(U$1:U182,U182),"")</f>
        <v>10-6</v>
      </c>
    </row>
    <row r="183" spans="1:22" x14ac:dyDescent="0.25">
      <c r="A183">
        <v>5</v>
      </c>
      <c r="B183" t="s">
        <v>451</v>
      </c>
      <c r="C183" t="s">
        <v>9092</v>
      </c>
      <c r="D183">
        <v>1.71</v>
      </c>
      <c r="E183">
        <v>2.1</v>
      </c>
      <c r="F183">
        <v>2.59</v>
      </c>
      <c r="G183">
        <v>2.65</v>
      </c>
      <c r="H183">
        <v>8.64</v>
      </c>
      <c r="I183" t="s">
        <v>28</v>
      </c>
      <c r="J183">
        <v>6.0000000000000102E-2</v>
      </c>
      <c r="K183">
        <v>0.39</v>
      </c>
      <c r="L183">
        <v>7.41</v>
      </c>
      <c r="M183">
        <v>13.53</v>
      </c>
      <c r="N183">
        <v>3.75</v>
      </c>
      <c r="O183">
        <v>4.8899999999999997</v>
      </c>
      <c r="P183">
        <v>23.912099999999999</v>
      </c>
      <c r="Q183" t="str">
        <f>IFERROR(INDEX(Rosters!$C$2:$C$155,MATCH($B183,Rosters!$B$2:$B$155,0)),"NA")</f>
        <v>aj</v>
      </c>
      <c r="R183" t="str">
        <f t="shared" si="4"/>
        <v>aj5</v>
      </c>
      <c r="S183">
        <f>COUNTIFS(A$1:A183,A183)</f>
        <v>11</v>
      </c>
      <c r="T183" t="str">
        <f t="shared" si="5"/>
        <v>Cairo Santos5</v>
      </c>
      <c r="U183" t="str">
        <f>IF(OR(NOT(ISERROR(MATCH(T183,Finals!$K$2:$K$1801,0))),AND(A183&gt;Week,Q183&lt;&gt;"NA")),"",A183)</f>
        <v/>
      </c>
      <c r="V183" t="str">
        <f>IF(U183&lt;&gt;"",U183&amp;"-"&amp;COUNTIF(U$1:U183,U183),"")</f>
        <v/>
      </c>
    </row>
    <row r="184" spans="1:22" x14ac:dyDescent="0.25">
      <c r="A184">
        <v>1</v>
      </c>
      <c r="B184" t="s">
        <v>453</v>
      </c>
      <c r="C184" t="s">
        <v>1754</v>
      </c>
      <c r="D184">
        <v>1.81</v>
      </c>
      <c r="E184">
        <v>2.15</v>
      </c>
      <c r="F184">
        <v>2.13</v>
      </c>
      <c r="G184">
        <v>2.13</v>
      </c>
      <c r="H184">
        <v>8.43</v>
      </c>
      <c r="I184" t="s">
        <v>19</v>
      </c>
      <c r="J184">
        <v>0</v>
      </c>
      <c r="K184">
        <v>0.34</v>
      </c>
      <c r="L184">
        <v>7.41</v>
      </c>
      <c r="M184">
        <v>12.46</v>
      </c>
      <c r="N184">
        <v>4.4000000000000004</v>
      </c>
      <c r="O184">
        <v>4.03</v>
      </c>
      <c r="P184">
        <v>16.2409</v>
      </c>
      <c r="Q184" t="str">
        <f>IFERROR(INDEX(Rosters!$C$2:$C$155,MATCH($B184,Rosters!$B$2:$B$155,0)),"NA")</f>
        <v>NA</v>
      </c>
      <c r="R184" t="str">
        <f t="shared" si="4"/>
        <v>NA1</v>
      </c>
      <c r="S184">
        <f>COUNTIFS(A$1:A184,A184)</f>
        <v>13</v>
      </c>
      <c r="T184" t="str">
        <f t="shared" si="5"/>
        <v>Ryan Succop1</v>
      </c>
      <c r="U184">
        <f>IF(OR(NOT(ISERROR(MATCH(T184,Finals!$K$2:$K$1801,0))),AND(A184&gt;Week,Q184&lt;&gt;"NA")),"",A184)</f>
        <v>1</v>
      </c>
      <c r="V184" t="str">
        <f>IF(U184&lt;&gt;"",U184&amp;"-"&amp;COUNTIF(U$1:U184,U184),"")</f>
        <v>1-4</v>
      </c>
    </row>
    <row r="185" spans="1:22" x14ac:dyDescent="0.25">
      <c r="A185">
        <v>17</v>
      </c>
      <c r="B185" t="s">
        <v>462</v>
      </c>
      <c r="C185" t="s">
        <v>5176</v>
      </c>
      <c r="D185">
        <v>1.53</v>
      </c>
      <c r="E185">
        <v>1.75</v>
      </c>
      <c r="F185">
        <v>2.86</v>
      </c>
      <c r="G185">
        <v>2.9</v>
      </c>
      <c r="H185">
        <v>8.11</v>
      </c>
      <c r="I185" t="s">
        <v>74</v>
      </c>
      <c r="J185">
        <v>0.04</v>
      </c>
      <c r="K185">
        <v>0.22</v>
      </c>
      <c r="L185">
        <v>7.41</v>
      </c>
      <c r="M185">
        <v>12.27</v>
      </c>
      <c r="N185">
        <v>3.95</v>
      </c>
      <c r="O185">
        <v>4.16</v>
      </c>
      <c r="P185">
        <v>17.305599999999998</v>
      </c>
      <c r="Q185" t="str">
        <f>IFERROR(INDEX(Rosters!$C$2:$C$155,MATCH($B185,Rosters!$B$2:$B$155,0)),"NA")</f>
        <v>cory</v>
      </c>
      <c r="R185" t="str">
        <f t="shared" si="4"/>
        <v>cory17</v>
      </c>
      <c r="S185">
        <f>COUNTIFS(A$1:A185,A185)</f>
        <v>17</v>
      </c>
      <c r="T185" t="str">
        <f t="shared" si="5"/>
        <v>Wil Lutz17</v>
      </c>
      <c r="U185" t="str">
        <f>IF(OR(NOT(ISERROR(MATCH(T185,Finals!$K$2:$K$1801,0))),AND(A185&gt;Week,Q185&lt;&gt;"NA")),"",A185)</f>
        <v/>
      </c>
      <c r="V185" t="str">
        <f>IF(U185&lt;&gt;"",U185&amp;"-"&amp;COUNTIF(U$1:U185,U185),"")</f>
        <v/>
      </c>
    </row>
    <row r="186" spans="1:22" x14ac:dyDescent="0.25">
      <c r="A186">
        <v>4</v>
      </c>
      <c r="B186" t="s">
        <v>1216</v>
      </c>
      <c r="C186" t="s">
        <v>5177</v>
      </c>
      <c r="D186">
        <v>1.84</v>
      </c>
      <c r="E186">
        <v>2.0299999999999998</v>
      </c>
      <c r="F186">
        <v>1.83</v>
      </c>
      <c r="G186">
        <v>1.83</v>
      </c>
      <c r="H186">
        <v>7.97</v>
      </c>
      <c r="I186" t="s">
        <v>58</v>
      </c>
      <c r="J186">
        <v>0</v>
      </c>
      <c r="K186">
        <v>0.19</v>
      </c>
      <c r="L186">
        <v>7.4</v>
      </c>
      <c r="M186">
        <v>12.9</v>
      </c>
      <c r="N186">
        <v>3.04</v>
      </c>
      <c r="O186">
        <v>4.93</v>
      </c>
      <c r="P186">
        <v>24.3049</v>
      </c>
      <c r="Q186" t="str">
        <f>IFERROR(INDEX(Rosters!$C$2:$C$155,MATCH($B186,Rosters!$B$2:$B$155,0)),"NA")</f>
        <v>NA</v>
      </c>
      <c r="R186" t="str">
        <f t="shared" si="4"/>
        <v>NA4</v>
      </c>
      <c r="S186">
        <f>COUNTIFS(A$1:A186,A186)</f>
        <v>10</v>
      </c>
      <c r="T186" t="str">
        <f t="shared" si="5"/>
        <v>Sebastian Janikowski4</v>
      </c>
      <c r="U186">
        <f>IF(OR(NOT(ISERROR(MATCH(T186,Finals!$K$2:$K$1801,0))),AND(A186&gt;Week,Q186&lt;&gt;"NA")),"",A186)</f>
        <v>4</v>
      </c>
      <c r="V186" t="str">
        <f>IF(U186&lt;&gt;"",U186&amp;"-"&amp;COUNTIF(U$1:U186,U186),"")</f>
        <v>4-5</v>
      </c>
    </row>
    <row r="187" spans="1:22" x14ac:dyDescent="0.25">
      <c r="A187">
        <v>4</v>
      </c>
      <c r="B187" t="s">
        <v>452</v>
      </c>
      <c r="C187" t="s">
        <v>5178</v>
      </c>
      <c r="D187">
        <v>1.58</v>
      </c>
      <c r="E187">
        <v>1.77</v>
      </c>
      <c r="F187">
        <v>2.5099999999999998</v>
      </c>
      <c r="G187">
        <v>2.5499999999999998</v>
      </c>
      <c r="H187">
        <v>8</v>
      </c>
      <c r="I187" t="s">
        <v>37</v>
      </c>
      <c r="J187">
        <v>0.04</v>
      </c>
      <c r="K187">
        <v>0.19</v>
      </c>
      <c r="L187">
        <v>7.39</v>
      </c>
      <c r="M187">
        <v>11.31</v>
      </c>
      <c r="N187">
        <v>4.6900000000000004</v>
      </c>
      <c r="O187">
        <v>3.31</v>
      </c>
      <c r="P187">
        <v>10.956099999999999</v>
      </c>
      <c r="Q187" t="str">
        <f>IFERROR(INDEX(Rosters!$C$2:$C$155,MATCH($B187,Rosters!$B$2:$B$155,0)),"NA")</f>
        <v>matty</v>
      </c>
      <c r="R187" t="str">
        <f t="shared" si="4"/>
        <v>matty4</v>
      </c>
      <c r="S187">
        <f>COUNTIFS(A$1:A187,A187)</f>
        <v>11</v>
      </c>
      <c r="T187" t="str">
        <f t="shared" si="5"/>
        <v>Robbie Gould4</v>
      </c>
      <c r="U187" t="str">
        <f>IF(OR(NOT(ISERROR(MATCH(T187,Finals!$K$2:$K$1801,0))),AND(A187&gt;Week,Q187&lt;&gt;"NA")),"",A187)</f>
        <v/>
      </c>
      <c r="V187" t="str">
        <f>IF(U187&lt;&gt;"",U187&amp;"-"&amp;COUNTIF(U$1:U187,U187),"")</f>
        <v/>
      </c>
    </row>
    <row r="188" spans="1:22" x14ac:dyDescent="0.25">
      <c r="A188">
        <v>13</v>
      </c>
      <c r="B188" t="s">
        <v>998</v>
      </c>
      <c r="C188" t="s">
        <v>5179</v>
      </c>
      <c r="D188">
        <v>1.71</v>
      </c>
      <c r="E188">
        <v>1.93</v>
      </c>
      <c r="F188">
        <v>2.1800000000000002</v>
      </c>
      <c r="G188">
        <v>2.23</v>
      </c>
      <c r="H188">
        <v>8.09</v>
      </c>
      <c r="I188" t="s">
        <v>60</v>
      </c>
      <c r="J188">
        <v>4.9999999999999802E-2</v>
      </c>
      <c r="K188">
        <v>0.22</v>
      </c>
      <c r="L188">
        <v>7.38</v>
      </c>
      <c r="M188">
        <v>13.25</v>
      </c>
      <c r="N188">
        <v>2.93</v>
      </c>
      <c r="O188">
        <v>5.16</v>
      </c>
      <c r="P188">
        <v>26.625599999999999</v>
      </c>
      <c r="Q188" t="str">
        <f>IFERROR(INDEX(Rosters!$C$2:$C$155,MATCH($B188,Rosters!$B$2:$B$155,0)),"NA")</f>
        <v>NA</v>
      </c>
      <c r="R188" t="str">
        <f t="shared" si="4"/>
        <v>NA13</v>
      </c>
      <c r="S188">
        <f>COUNTIFS(A$1:A188,A188)</f>
        <v>11</v>
      </c>
      <c r="T188" t="str">
        <f t="shared" si="5"/>
        <v>Jake Elliott13</v>
      </c>
      <c r="U188">
        <f>IF(OR(NOT(ISERROR(MATCH(T188,Finals!$K$2:$K$1801,0))),AND(A188&gt;Week,Q188&lt;&gt;"NA")),"",A188)</f>
        <v>13</v>
      </c>
      <c r="V188" t="str">
        <f>IF(U188&lt;&gt;"",U188&amp;"-"&amp;COUNTIF(U$1:U188,U188),"")</f>
        <v>13-6</v>
      </c>
    </row>
    <row r="189" spans="1:22" x14ac:dyDescent="0.25">
      <c r="A189">
        <v>7</v>
      </c>
      <c r="B189" t="s">
        <v>453</v>
      </c>
      <c r="C189" t="s">
        <v>5180</v>
      </c>
      <c r="D189">
        <v>1.79</v>
      </c>
      <c r="E189">
        <v>2.12</v>
      </c>
      <c r="F189">
        <v>1.94</v>
      </c>
      <c r="G189">
        <v>1.96</v>
      </c>
      <c r="H189">
        <v>8.3800000000000008</v>
      </c>
      <c r="I189" t="s">
        <v>37</v>
      </c>
      <c r="J189">
        <v>0.02</v>
      </c>
      <c r="K189">
        <v>0.33</v>
      </c>
      <c r="L189">
        <v>7.37</v>
      </c>
      <c r="M189">
        <v>12.21</v>
      </c>
      <c r="N189">
        <v>4.55</v>
      </c>
      <c r="O189">
        <v>3.83</v>
      </c>
      <c r="P189">
        <v>14.668900000000001</v>
      </c>
      <c r="Q189" t="str">
        <f>IFERROR(INDEX(Rosters!$C$2:$C$155,MATCH($B189,Rosters!$B$2:$B$155,0)),"NA")</f>
        <v>NA</v>
      </c>
      <c r="R189" t="str">
        <f t="shared" si="4"/>
        <v>NA7</v>
      </c>
      <c r="S189">
        <f>COUNTIFS(A$1:A189,A189)</f>
        <v>10</v>
      </c>
      <c r="T189" t="str">
        <f t="shared" si="5"/>
        <v>Ryan Succop7</v>
      </c>
      <c r="U189">
        <f>IF(OR(NOT(ISERROR(MATCH(T189,Finals!$K$2:$K$1801,0))),AND(A189&gt;Week,Q189&lt;&gt;"NA")),"",A189)</f>
        <v>7</v>
      </c>
      <c r="V189" t="str">
        <f>IF(U189&lt;&gt;"",U189&amp;"-"&amp;COUNTIF(U$1:U189,U189),"")</f>
        <v>7-4</v>
      </c>
    </row>
    <row r="190" spans="1:22" x14ac:dyDescent="0.25">
      <c r="A190">
        <v>4</v>
      </c>
      <c r="B190" t="s">
        <v>444</v>
      </c>
      <c r="C190" t="s">
        <v>5181</v>
      </c>
      <c r="D190">
        <v>1.8</v>
      </c>
      <c r="E190">
        <v>2.12</v>
      </c>
      <c r="F190">
        <v>2.2599999999999998</v>
      </c>
      <c r="G190">
        <v>2.2799999999999998</v>
      </c>
      <c r="H190">
        <v>8.35</v>
      </c>
      <c r="I190" t="s">
        <v>29</v>
      </c>
      <c r="J190">
        <v>0.02</v>
      </c>
      <c r="K190">
        <v>0.32</v>
      </c>
      <c r="L190">
        <v>7.37</v>
      </c>
      <c r="M190">
        <v>12.35</v>
      </c>
      <c r="N190">
        <v>4.3499999999999996</v>
      </c>
      <c r="O190">
        <v>4</v>
      </c>
      <c r="P190">
        <v>16</v>
      </c>
      <c r="Q190" t="str">
        <f>IFERROR(INDEX(Rosters!$C$2:$C$155,MATCH($B190,Rosters!$B$2:$B$155,0)),"NA")</f>
        <v>perry</v>
      </c>
      <c r="R190" t="str">
        <f t="shared" si="4"/>
        <v>perry4</v>
      </c>
      <c r="S190">
        <f>COUNTIFS(A$1:A190,A190)</f>
        <v>12</v>
      </c>
      <c r="T190" t="str">
        <f t="shared" si="5"/>
        <v>Mason Crosby4</v>
      </c>
      <c r="U190" t="str">
        <f>IF(OR(NOT(ISERROR(MATCH(T190,Finals!$K$2:$K$1801,0))),AND(A190&gt;Week,Q190&lt;&gt;"NA")),"",A190)</f>
        <v/>
      </c>
      <c r="V190" t="str">
        <f>IF(U190&lt;&gt;"",U190&amp;"-"&amp;COUNTIF(U$1:U190,U190),"")</f>
        <v/>
      </c>
    </row>
    <row r="191" spans="1:22" x14ac:dyDescent="0.25">
      <c r="A191">
        <v>16</v>
      </c>
      <c r="B191" t="s">
        <v>465</v>
      </c>
      <c r="C191" t="s">
        <v>5182</v>
      </c>
      <c r="D191">
        <v>1.71</v>
      </c>
      <c r="E191">
        <v>1.96</v>
      </c>
      <c r="F191">
        <v>2.31</v>
      </c>
      <c r="G191">
        <v>2.33</v>
      </c>
      <c r="H191">
        <v>8.1300000000000008</v>
      </c>
      <c r="I191" t="s">
        <v>32</v>
      </c>
      <c r="J191">
        <v>0.02</v>
      </c>
      <c r="K191">
        <v>0.25</v>
      </c>
      <c r="L191">
        <v>7.36</v>
      </c>
      <c r="M191">
        <v>12.5</v>
      </c>
      <c r="N191">
        <v>3.76</v>
      </c>
      <c r="O191">
        <v>4.37</v>
      </c>
      <c r="P191">
        <v>19.096900000000002</v>
      </c>
      <c r="Q191" t="str">
        <f>IFERROR(INDEX(Rosters!$C$2:$C$155,MATCH($B191,Rosters!$B$2:$B$155,0)),"NA")</f>
        <v>NA</v>
      </c>
      <c r="R191" t="str">
        <f t="shared" si="4"/>
        <v>NA16</v>
      </c>
      <c r="S191">
        <f>COUNTIFS(A$1:A191,A191)</f>
        <v>12</v>
      </c>
      <c r="T191" t="str">
        <f t="shared" si="5"/>
        <v>Brandon McManus16</v>
      </c>
      <c r="U191">
        <f>IF(OR(NOT(ISERROR(MATCH(T191,Finals!$K$2:$K$1801,0))),AND(A191&gt;Week,Q191&lt;&gt;"NA")),"",A191)</f>
        <v>16</v>
      </c>
      <c r="V191" t="str">
        <f>IF(U191&lt;&gt;"",U191&amp;"-"&amp;COUNTIF(U$1:U191,U191),"")</f>
        <v>16-7</v>
      </c>
    </row>
    <row r="192" spans="1:22" x14ac:dyDescent="0.25">
      <c r="A192">
        <v>1</v>
      </c>
      <c r="B192" t="s">
        <v>1108</v>
      </c>
      <c r="C192" t="s">
        <v>1755</v>
      </c>
      <c r="D192">
        <v>1.82</v>
      </c>
      <c r="E192">
        <v>2.1</v>
      </c>
      <c r="F192">
        <v>2.02</v>
      </c>
      <c r="G192">
        <v>2.06</v>
      </c>
      <c r="H192">
        <v>8.24</v>
      </c>
      <c r="I192" t="s">
        <v>37</v>
      </c>
      <c r="J192">
        <v>0.04</v>
      </c>
      <c r="K192">
        <v>0.28000000000000003</v>
      </c>
      <c r="L192">
        <v>7.36</v>
      </c>
      <c r="M192">
        <v>11.79</v>
      </c>
      <c r="N192">
        <v>4.6900000000000004</v>
      </c>
      <c r="O192">
        <v>3.55</v>
      </c>
      <c r="P192">
        <v>12.602499999999999</v>
      </c>
      <c r="Q192" t="str">
        <f>IFERROR(INDEX(Rosters!$C$2:$C$155,MATCH($B192,Rosters!$B$2:$B$155,0)),"NA")</f>
        <v>seth</v>
      </c>
      <c r="R192" t="str">
        <f t="shared" si="4"/>
        <v>seth1</v>
      </c>
      <c r="S192">
        <f>COUNTIFS(A$1:A192,A192)</f>
        <v>14</v>
      </c>
      <c r="T192" t="str">
        <f t="shared" si="5"/>
        <v>Harrison Butker1</v>
      </c>
      <c r="U192" t="str">
        <f>IF(OR(NOT(ISERROR(MATCH(T192,Finals!$K$2:$K$1801,0))),AND(A192&gt;Week,Q192&lt;&gt;"NA")),"",A192)</f>
        <v/>
      </c>
      <c r="V192" t="str">
        <f>IF(U192&lt;&gt;"",U192&amp;"-"&amp;COUNTIF(U$1:U192,U192),"")</f>
        <v/>
      </c>
    </row>
    <row r="193" spans="1:22" x14ac:dyDescent="0.25">
      <c r="A193">
        <v>2</v>
      </c>
      <c r="B193" t="s">
        <v>1108</v>
      </c>
      <c r="C193" t="s">
        <v>3586</v>
      </c>
      <c r="D193">
        <v>1.75</v>
      </c>
      <c r="E193">
        <v>2.02</v>
      </c>
      <c r="F193">
        <v>2.2400000000000002</v>
      </c>
      <c r="G193">
        <v>2.27</v>
      </c>
      <c r="H193">
        <v>8.1999999999999993</v>
      </c>
      <c r="I193" t="s">
        <v>51</v>
      </c>
      <c r="J193">
        <v>2.9999999999999801E-2</v>
      </c>
      <c r="K193">
        <v>0.27</v>
      </c>
      <c r="L193">
        <v>7.36</v>
      </c>
      <c r="M193">
        <v>11.44</v>
      </c>
      <c r="N193">
        <v>4.96</v>
      </c>
      <c r="O193">
        <v>3.24</v>
      </c>
      <c r="P193">
        <v>10.4976</v>
      </c>
      <c r="Q193" t="str">
        <f>IFERROR(INDEX(Rosters!$C$2:$C$155,MATCH($B193,Rosters!$B$2:$B$155,0)),"NA")</f>
        <v>seth</v>
      </c>
      <c r="R193" t="str">
        <f t="shared" si="4"/>
        <v>seth2</v>
      </c>
      <c r="S193">
        <f>COUNTIFS(A$1:A193,A193)</f>
        <v>12</v>
      </c>
      <c r="T193" t="str">
        <f t="shared" si="5"/>
        <v>Harrison Butker2</v>
      </c>
      <c r="U193" t="str">
        <f>IF(OR(NOT(ISERROR(MATCH(T193,Finals!$K$2:$K$1801,0))),AND(A193&gt;Week,Q193&lt;&gt;"NA")),"",A193)</f>
        <v/>
      </c>
      <c r="V193" t="str">
        <f>IF(U193&lt;&gt;"",U193&amp;"-"&amp;COUNTIF(U$1:U193,U193),"")</f>
        <v/>
      </c>
    </row>
    <row r="194" spans="1:22" x14ac:dyDescent="0.25">
      <c r="A194">
        <v>5</v>
      </c>
      <c r="B194" t="s">
        <v>999</v>
      </c>
      <c r="C194" t="s">
        <v>9093</v>
      </c>
      <c r="D194">
        <v>1.81</v>
      </c>
      <c r="E194">
        <v>2.27</v>
      </c>
      <c r="F194">
        <v>2.61</v>
      </c>
      <c r="G194">
        <v>2.62</v>
      </c>
      <c r="H194">
        <v>8.75</v>
      </c>
      <c r="I194" t="s">
        <v>22</v>
      </c>
      <c r="J194">
        <v>1.00000000000002E-2</v>
      </c>
      <c r="K194">
        <v>0.46</v>
      </c>
      <c r="L194">
        <v>7.36</v>
      </c>
      <c r="M194">
        <v>13.02</v>
      </c>
      <c r="N194">
        <v>4.4800000000000004</v>
      </c>
      <c r="O194">
        <v>4.2699999999999996</v>
      </c>
      <c r="P194">
        <v>18.232900000000001</v>
      </c>
      <c r="Q194" t="str">
        <f>IFERROR(INDEX(Rosters!$C$2:$C$155,MATCH($B194,Rosters!$B$2:$B$155,0)),"NA")</f>
        <v>NA</v>
      </c>
      <c r="R194" t="str">
        <f t="shared" si="4"/>
        <v>NA5</v>
      </c>
      <c r="S194">
        <f>COUNTIFS(A$1:A194,A194)</f>
        <v>12</v>
      </c>
      <c r="T194" t="str">
        <f t="shared" si="5"/>
        <v>Ka'imi Fairbairn5</v>
      </c>
      <c r="U194">
        <f>IF(OR(NOT(ISERROR(MATCH(T194,Finals!$K$2:$K$1801,0))),AND(A194&gt;Week,Q194&lt;&gt;"NA")),"",A194)</f>
        <v>5</v>
      </c>
      <c r="V194" t="str">
        <f>IF(U194&lt;&gt;"",U194&amp;"-"&amp;COUNTIF(U$1:U194,U194),"")</f>
        <v>5-5</v>
      </c>
    </row>
    <row r="195" spans="1:22" x14ac:dyDescent="0.25">
      <c r="A195">
        <v>8</v>
      </c>
      <c r="B195" t="s">
        <v>459</v>
      </c>
      <c r="C195" t="s">
        <v>5183</v>
      </c>
      <c r="D195">
        <v>1.89</v>
      </c>
      <c r="E195">
        <v>2.34</v>
      </c>
      <c r="F195">
        <v>2.0699999999999998</v>
      </c>
      <c r="G195">
        <v>2.0699999999999998</v>
      </c>
      <c r="H195">
        <v>8.6999999999999993</v>
      </c>
      <c r="I195" t="s">
        <v>73</v>
      </c>
      <c r="J195">
        <v>0</v>
      </c>
      <c r="K195">
        <v>0.45</v>
      </c>
      <c r="L195">
        <v>7.35</v>
      </c>
      <c r="M195">
        <v>13.26</v>
      </c>
      <c r="N195">
        <v>4.1399999999999997</v>
      </c>
      <c r="O195">
        <v>4.5599999999999996</v>
      </c>
      <c r="P195">
        <v>20.793600000000001</v>
      </c>
      <c r="Q195" t="str">
        <f>IFERROR(INDEX(Rosters!$C$2:$C$155,MATCH($B195,Rosters!$B$2:$B$155,0)),"NA")</f>
        <v>NA</v>
      </c>
      <c r="R195" t="str">
        <f t="shared" ref="R195:R258" si="6">Q195&amp;A195</f>
        <v>NA8</v>
      </c>
      <c r="S195">
        <f>COUNTIFS(A$1:A195,A195)</f>
        <v>9</v>
      </c>
      <c r="T195" t="str">
        <f t="shared" ref="T195:T258" si="7">B195&amp;A195</f>
        <v>Cody Parkey8</v>
      </c>
      <c r="U195">
        <f>IF(OR(NOT(ISERROR(MATCH(T195,Finals!$K$2:$K$1801,0))),AND(A195&gt;Week,Q195&lt;&gt;"NA")),"",A195)</f>
        <v>8</v>
      </c>
      <c r="V195" t="str">
        <f>IF(U195&lt;&gt;"",U195&amp;"-"&amp;COUNTIF(U$1:U195,U195),"")</f>
        <v>8-6</v>
      </c>
    </row>
    <row r="196" spans="1:22" x14ac:dyDescent="0.25">
      <c r="A196">
        <v>5</v>
      </c>
      <c r="B196" t="s">
        <v>998</v>
      </c>
      <c r="C196" t="s">
        <v>9094</v>
      </c>
      <c r="D196">
        <v>1.82</v>
      </c>
      <c r="E196">
        <v>2.31</v>
      </c>
      <c r="F196">
        <v>2.88</v>
      </c>
      <c r="G196">
        <v>2.98</v>
      </c>
      <c r="H196">
        <v>8.92</v>
      </c>
      <c r="I196" t="s">
        <v>25</v>
      </c>
      <c r="J196">
        <v>0.1</v>
      </c>
      <c r="K196">
        <v>0.49</v>
      </c>
      <c r="L196">
        <v>7.35</v>
      </c>
      <c r="M196">
        <v>13.8</v>
      </c>
      <c r="N196">
        <v>4.04</v>
      </c>
      <c r="O196">
        <v>4.88</v>
      </c>
      <c r="P196">
        <v>23.814399999999999</v>
      </c>
      <c r="Q196" t="str">
        <f>IFERROR(INDEX(Rosters!$C$2:$C$155,MATCH($B196,Rosters!$B$2:$B$155,0)),"NA")</f>
        <v>NA</v>
      </c>
      <c r="R196" t="str">
        <f t="shared" si="6"/>
        <v>NA5</v>
      </c>
      <c r="S196">
        <f>COUNTIFS(A$1:A196,A196)</f>
        <v>13</v>
      </c>
      <c r="T196" t="str">
        <f t="shared" si="7"/>
        <v>Jake Elliott5</v>
      </c>
      <c r="U196">
        <f>IF(OR(NOT(ISERROR(MATCH(T196,Finals!$K$2:$K$1801,0))),AND(A196&gt;Week,Q196&lt;&gt;"NA")),"",A196)</f>
        <v>5</v>
      </c>
      <c r="V196" t="str">
        <f>IF(U196&lt;&gt;"",U196&amp;"-"&amp;COUNTIF(U$1:U196,U196),"")</f>
        <v>5-6</v>
      </c>
    </row>
    <row r="197" spans="1:22" x14ac:dyDescent="0.25">
      <c r="A197">
        <v>16</v>
      </c>
      <c r="B197" t="s">
        <v>457</v>
      </c>
      <c r="C197" t="s">
        <v>5184</v>
      </c>
      <c r="D197">
        <v>1.67</v>
      </c>
      <c r="E197">
        <v>2.08</v>
      </c>
      <c r="F197">
        <v>3.01</v>
      </c>
      <c r="G197">
        <v>3.09</v>
      </c>
      <c r="H197">
        <v>8.65</v>
      </c>
      <c r="I197" t="s">
        <v>22</v>
      </c>
      <c r="J197">
        <v>8.0000000000000099E-2</v>
      </c>
      <c r="K197">
        <v>0.41</v>
      </c>
      <c r="L197">
        <v>7.34</v>
      </c>
      <c r="M197">
        <v>11.98</v>
      </c>
      <c r="N197">
        <v>5.32</v>
      </c>
      <c r="O197">
        <v>3.33</v>
      </c>
      <c r="P197">
        <v>11.088900000000001</v>
      </c>
      <c r="Q197" t="str">
        <f>IFERROR(INDEX(Rosters!$C$2:$C$155,MATCH($B197,Rosters!$B$2:$B$155,0)),"NA")</f>
        <v>NA</v>
      </c>
      <c r="R197" t="str">
        <f t="shared" si="6"/>
        <v>NA16</v>
      </c>
      <c r="S197">
        <f>COUNTIFS(A$1:A197,A197)</f>
        <v>13</v>
      </c>
      <c r="T197" t="str">
        <f t="shared" si="7"/>
        <v>Chandler Catanzaro16</v>
      </c>
      <c r="U197">
        <f>IF(OR(NOT(ISERROR(MATCH(T197,Finals!$K$2:$K$1801,0))),AND(A197&gt;Week,Q197&lt;&gt;"NA")),"",A197)</f>
        <v>16</v>
      </c>
      <c r="V197" t="str">
        <f>IF(U197&lt;&gt;"",U197&amp;"-"&amp;COUNTIF(U$1:U197,U197),"")</f>
        <v>16-8</v>
      </c>
    </row>
    <row r="198" spans="1:22" x14ac:dyDescent="0.25">
      <c r="A198">
        <v>8</v>
      </c>
      <c r="B198" t="s">
        <v>445</v>
      </c>
      <c r="C198" t="s">
        <v>5185</v>
      </c>
      <c r="D198">
        <v>1.81</v>
      </c>
      <c r="E198">
        <v>2.12</v>
      </c>
      <c r="F198">
        <v>2.2999999999999998</v>
      </c>
      <c r="G198">
        <v>2.4500000000000002</v>
      </c>
      <c r="H198">
        <v>8.41</v>
      </c>
      <c r="I198" t="s">
        <v>14</v>
      </c>
      <c r="J198">
        <v>0.15</v>
      </c>
      <c r="K198">
        <v>0.31</v>
      </c>
      <c r="L198">
        <v>7.33</v>
      </c>
      <c r="M198">
        <v>12.6</v>
      </c>
      <c r="N198">
        <v>4.22</v>
      </c>
      <c r="O198">
        <v>4.1900000000000004</v>
      </c>
      <c r="P198">
        <v>17.556100000000001</v>
      </c>
      <c r="Q198" t="str">
        <f>IFERROR(INDEX(Rosters!$C$2:$C$155,MATCH($B198,Rosters!$B$2:$B$155,0)),"NA")</f>
        <v>NA</v>
      </c>
      <c r="R198" t="str">
        <f t="shared" si="6"/>
        <v>NA8</v>
      </c>
      <c r="S198">
        <f>COUNTIFS(A$1:A198,A198)</f>
        <v>10</v>
      </c>
      <c r="T198" t="str">
        <f t="shared" si="7"/>
        <v>Dan Bailey8</v>
      </c>
      <c r="U198">
        <f>IF(OR(NOT(ISERROR(MATCH(T198,Finals!$K$2:$K$1801,0))),AND(A198&gt;Week,Q198&lt;&gt;"NA")),"",A198)</f>
        <v>8</v>
      </c>
      <c r="V198" t="str">
        <f>IF(U198&lt;&gt;"",U198&amp;"-"&amp;COUNTIF(U$1:U198,U198),"")</f>
        <v>8-7</v>
      </c>
    </row>
    <row r="199" spans="1:22" x14ac:dyDescent="0.25">
      <c r="A199">
        <v>10</v>
      </c>
      <c r="B199" t="s">
        <v>998</v>
      </c>
      <c r="C199" t="s">
        <v>5186</v>
      </c>
      <c r="D199">
        <v>1.73</v>
      </c>
      <c r="E199">
        <v>1.95</v>
      </c>
      <c r="F199">
        <v>2.37</v>
      </c>
      <c r="G199">
        <v>2.41</v>
      </c>
      <c r="H199">
        <v>8.0299999999999994</v>
      </c>
      <c r="I199" t="s">
        <v>22</v>
      </c>
      <c r="J199">
        <v>0.04</v>
      </c>
      <c r="K199">
        <v>0.22</v>
      </c>
      <c r="L199">
        <v>7.33</v>
      </c>
      <c r="M199">
        <v>12.38</v>
      </c>
      <c r="N199">
        <v>3.68</v>
      </c>
      <c r="O199">
        <v>4.3499999999999996</v>
      </c>
      <c r="P199">
        <v>18.922499999999999</v>
      </c>
      <c r="Q199" t="str">
        <f>IFERROR(INDEX(Rosters!$C$2:$C$155,MATCH($B199,Rosters!$B$2:$B$155,0)),"NA")</f>
        <v>NA</v>
      </c>
      <c r="R199" t="str">
        <f t="shared" si="6"/>
        <v>NA10</v>
      </c>
      <c r="S199">
        <f>COUNTIFS(A$1:A199,A199)</f>
        <v>11</v>
      </c>
      <c r="T199" t="str">
        <f t="shared" si="7"/>
        <v>Jake Elliott10</v>
      </c>
      <c r="U199">
        <f>IF(OR(NOT(ISERROR(MATCH(T199,Finals!$K$2:$K$1801,0))),AND(A199&gt;Week,Q199&lt;&gt;"NA")),"",A199)</f>
        <v>10</v>
      </c>
      <c r="V199" t="str">
        <f>IF(U199&lt;&gt;"",U199&amp;"-"&amp;COUNTIF(U$1:U199,U199),"")</f>
        <v>10-7</v>
      </c>
    </row>
    <row r="200" spans="1:22" x14ac:dyDescent="0.25">
      <c r="A200">
        <v>14</v>
      </c>
      <c r="B200" t="s">
        <v>1108</v>
      </c>
      <c r="C200" t="s">
        <v>5187</v>
      </c>
      <c r="D200">
        <v>1.73</v>
      </c>
      <c r="E200">
        <v>2.06</v>
      </c>
      <c r="F200">
        <v>2.1</v>
      </c>
      <c r="G200">
        <v>2.12</v>
      </c>
      <c r="H200">
        <v>8.33</v>
      </c>
      <c r="I200" t="s">
        <v>77</v>
      </c>
      <c r="J200">
        <v>0.02</v>
      </c>
      <c r="K200">
        <v>0.33</v>
      </c>
      <c r="L200">
        <v>7.32</v>
      </c>
      <c r="M200">
        <v>12.56</v>
      </c>
      <c r="N200">
        <v>4.0999999999999996</v>
      </c>
      <c r="O200">
        <v>4.2300000000000004</v>
      </c>
      <c r="P200">
        <v>17.892900000000001</v>
      </c>
      <c r="Q200" t="str">
        <f>IFERROR(INDEX(Rosters!$C$2:$C$155,MATCH($B200,Rosters!$B$2:$B$155,0)),"NA")</f>
        <v>seth</v>
      </c>
      <c r="R200" t="str">
        <f t="shared" si="6"/>
        <v>seth14</v>
      </c>
      <c r="S200">
        <f>COUNTIFS(A$1:A200,A200)</f>
        <v>11</v>
      </c>
      <c r="T200" t="str">
        <f t="shared" si="7"/>
        <v>Harrison Butker14</v>
      </c>
      <c r="U200" t="str">
        <f>IF(OR(NOT(ISERROR(MATCH(T200,Finals!$K$2:$K$1801,0))),AND(A200&gt;Week,Q200&lt;&gt;"NA")),"",A200)</f>
        <v/>
      </c>
      <c r="V200" t="str">
        <f>IF(U200&lt;&gt;"",U200&amp;"-"&amp;COUNTIF(U$1:U200,U200),"")</f>
        <v/>
      </c>
    </row>
    <row r="201" spans="1:22" x14ac:dyDescent="0.25">
      <c r="A201">
        <v>16</v>
      </c>
      <c r="B201" t="s">
        <v>1119</v>
      </c>
      <c r="C201" t="s">
        <v>5188</v>
      </c>
      <c r="D201">
        <v>1.45</v>
      </c>
      <c r="E201">
        <v>1.59</v>
      </c>
      <c r="F201">
        <v>2.74</v>
      </c>
      <c r="G201">
        <v>2.76</v>
      </c>
      <c r="H201">
        <v>7.76</v>
      </c>
      <c r="I201" t="s">
        <v>19</v>
      </c>
      <c r="J201">
        <v>1.9999999999999601E-2</v>
      </c>
      <c r="K201">
        <v>0.14000000000000001</v>
      </c>
      <c r="L201">
        <v>7.32</v>
      </c>
      <c r="M201">
        <v>11.72</v>
      </c>
      <c r="N201">
        <v>3.8</v>
      </c>
      <c r="O201">
        <v>3.96</v>
      </c>
      <c r="P201">
        <v>15.6816</v>
      </c>
      <c r="Q201" t="str">
        <f>IFERROR(INDEX(Rosters!$C$2:$C$155,MATCH($B201,Rosters!$B$2:$B$155,0)),"NA")</f>
        <v>scott</v>
      </c>
      <c r="R201" t="str">
        <f t="shared" si="6"/>
        <v>scott16</v>
      </c>
      <c r="S201">
        <f>COUNTIFS(A$1:A201,A201)</f>
        <v>14</v>
      </c>
      <c r="T201" t="str">
        <f t="shared" si="7"/>
        <v>Josh Lambo16</v>
      </c>
      <c r="U201" t="str">
        <f>IF(OR(NOT(ISERROR(MATCH(T201,Finals!$K$2:$K$1801,0))),AND(A201&gt;Week,Q201&lt;&gt;"NA")),"",A201)</f>
        <v/>
      </c>
      <c r="V201" t="str">
        <f>IF(U201&lt;&gt;"",U201&amp;"-"&amp;COUNTIF(U$1:U201,U201),"")</f>
        <v/>
      </c>
    </row>
    <row r="202" spans="1:22" x14ac:dyDescent="0.25">
      <c r="A202">
        <v>2</v>
      </c>
      <c r="B202" t="s">
        <v>450</v>
      </c>
      <c r="C202" t="s">
        <v>3587</v>
      </c>
      <c r="D202">
        <v>1.66</v>
      </c>
      <c r="E202">
        <v>1.89</v>
      </c>
      <c r="F202">
        <v>2.42</v>
      </c>
      <c r="G202">
        <v>2.42</v>
      </c>
      <c r="H202">
        <v>8.01</v>
      </c>
      <c r="I202" t="s">
        <v>30</v>
      </c>
      <c r="J202">
        <v>0</v>
      </c>
      <c r="K202">
        <v>0.23</v>
      </c>
      <c r="L202">
        <v>7.32</v>
      </c>
      <c r="M202">
        <v>11.82</v>
      </c>
      <c r="N202">
        <v>4.2</v>
      </c>
      <c r="O202">
        <v>3.81</v>
      </c>
      <c r="P202">
        <v>14.5161</v>
      </c>
      <c r="Q202" t="str">
        <f>IFERROR(INDEX(Rosters!$C$2:$C$155,MATCH($B202,Rosters!$B$2:$B$155,0)),"NA")</f>
        <v>devon</v>
      </c>
      <c r="R202" t="str">
        <f t="shared" si="6"/>
        <v>devon2</v>
      </c>
      <c r="S202">
        <f>COUNTIFS(A$1:A202,A202)</f>
        <v>13</v>
      </c>
      <c r="T202" t="str">
        <f t="shared" si="7"/>
        <v>Matt Prater2</v>
      </c>
      <c r="U202" t="str">
        <f>IF(OR(NOT(ISERROR(MATCH(T202,Finals!$K$2:$K$1801,0))),AND(A202&gt;Week,Q202&lt;&gt;"NA")),"",A202)</f>
        <v/>
      </c>
      <c r="V202" t="str">
        <f>IF(U202&lt;&gt;"",U202&amp;"-"&amp;COUNTIF(U$1:U202,U202),"")</f>
        <v/>
      </c>
    </row>
    <row r="203" spans="1:22" x14ac:dyDescent="0.25">
      <c r="A203">
        <v>13</v>
      </c>
      <c r="B203" t="s">
        <v>459</v>
      </c>
      <c r="C203" t="s">
        <v>5189</v>
      </c>
      <c r="D203">
        <v>1.66</v>
      </c>
      <c r="E203">
        <v>1.92</v>
      </c>
      <c r="F203">
        <v>2.54</v>
      </c>
      <c r="G203">
        <v>2.56</v>
      </c>
      <c r="H203">
        <v>8.1199999999999992</v>
      </c>
      <c r="I203" t="s">
        <v>54</v>
      </c>
      <c r="J203">
        <v>0.02</v>
      </c>
      <c r="K203">
        <v>0.26</v>
      </c>
      <c r="L203">
        <v>7.32</v>
      </c>
      <c r="M203">
        <v>11.82</v>
      </c>
      <c r="N203">
        <v>4.42</v>
      </c>
      <c r="O203">
        <v>3.7</v>
      </c>
      <c r="P203">
        <v>13.69</v>
      </c>
      <c r="Q203" t="str">
        <f>IFERROR(INDEX(Rosters!$C$2:$C$155,MATCH($B203,Rosters!$B$2:$B$155,0)),"NA")</f>
        <v>NA</v>
      </c>
      <c r="R203" t="str">
        <f t="shared" si="6"/>
        <v>NA13</v>
      </c>
      <c r="S203">
        <f>COUNTIFS(A$1:A203,A203)</f>
        <v>12</v>
      </c>
      <c r="T203" t="str">
        <f t="shared" si="7"/>
        <v>Cody Parkey13</v>
      </c>
      <c r="U203">
        <f>IF(OR(NOT(ISERROR(MATCH(T203,Finals!$K$2:$K$1801,0))),AND(A203&gt;Week,Q203&lt;&gt;"NA")),"",A203)</f>
        <v>13</v>
      </c>
      <c r="V203" t="str">
        <f>IF(U203&lt;&gt;"",U203&amp;"-"&amp;COUNTIF(U$1:U203,U203),"")</f>
        <v>13-7</v>
      </c>
    </row>
    <row r="204" spans="1:22" x14ac:dyDescent="0.25">
      <c r="A204">
        <v>9</v>
      </c>
      <c r="B204" t="s">
        <v>999</v>
      </c>
      <c r="C204" t="s">
        <v>5190</v>
      </c>
      <c r="D204">
        <v>1.75</v>
      </c>
      <c r="E204">
        <v>2.0299999999999998</v>
      </c>
      <c r="F204">
        <v>2.04</v>
      </c>
      <c r="G204">
        <v>2.06</v>
      </c>
      <c r="H204">
        <v>8.17</v>
      </c>
      <c r="I204" t="s">
        <v>42</v>
      </c>
      <c r="J204">
        <v>0.02</v>
      </c>
      <c r="K204">
        <v>0.28000000000000003</v>
      </c>
      <c r="L204">
        <v>7.31</v>
      </c>
      <c r="M204">
        <v>11.67</v>
      </c>
      <c r="N204">
        <v>4.67</v>
      </c>
      <c r="O204">
        <v>3.5</v>
      </c>
      <c r="P204">
        <v>12.25</v>
      </c>
      <c r="Q204" t="str">
        <f>IFERROR(INDEX(Rosters!$C$2:$C$155,MATCH($B204,Rosters!$B$2:$B$155,0)),"NA")</f>
        <v>NA</v>
      </c>
      <c r="R204" t="str">
        <f t="shared" si="6"/>
        <v>NA9</v>
      </c>
      <c r="S204">
        <f>COUNTIFS(A$1:A204,A204)</f>
        <v>9</v>
      </c>
      <c r="T204" t="str">
        <f t="shared" si="7"/>
        <v>Ka'imi Fairbairn9</v>
      </c>
      <c r="U204">
        <f>IF(OR(NOT(ISERROR(MATCH(T204,Finals!$K$2:$K$1801,0))),AND(A204&gt;Week,Q204&lt;&gt;"NA")),"",A204)</f>
        <v>9</v>
      </c>
      <c r="V204" t="str">
        <f>IF(U204&lt;&gt;"",U204&amp;"-"&amp;COUNTIF(U$1:U204,U204),"")</f>
        <v>9-4</v>
      </c>
    </row>
    <row r="205" spans="1:22" x14ac:dyDescent="0.25">
      <c r="A205">
        <v>1</v>
      </c>
      <c r="B205" t="s">
        <v>1217</v>
      </c>
      <c r="C205" t="s">
        <v>1756</v>
      </c>
      <c r="D205">
        <v>1.76</v>
      </c>
      <c r="E205">
        <v>2.12</v>
      </c>
      <c r="F205">
        <v>2.58</v>
      </c>
      <c r="G205">
        <v>2.7</v>
      </c>
      <c r="H205">
        <v>8.51</v>
      </c>
      <c r="I205" t="s">
        <v>30</v>
      </c>
      <c r="J205">
        <v>0.12</v>
      </c>
      <c r="K205">
        <v>0.36</v>
      </c>
      <c r="L205">
        <v>7.31</v>
      </c>
      <c r="M205">
        <v>12.85</v>
      </c>
      <c r="N205">
        <v>4.17</v>
      </c>
      <c r="O205">
        <v>4.34</v>
      </c>
      <c r="P205">
        <v>18.835599999999999</v>
      </c>
      <c r="Q205" t="str">
        <f>IFERROR(INDEX(Rosters!$C$2:$C$155,MATCH($B205,Rosters!$B$2:$B$155,0)),"NA")</f>
        <v>NA</v>
      </c>
      <c r="R205" t="str">
        <f t="shared" si="6"/>
        <v>NA1</v>
      </c>
      <c r="S205">
        <f>COUNTIFS(A$1:A205,A205)</f>
        <v>15</v>
      </c>
      <c r="T205" t="str">
        <f t="shared" si="7"/>
        <v>Daniel Carlson1</v>
      </c>
      <c r="U205">
        <f>IF(OR(NOT(ISERROR(MATCH(T205,Finals!$K$2:$K$1801,0))),AND(A205&gt;Week,Q205&lt;&gt;"NA")),"",A205)</f>
        <v>1</v>
      </c>
      <c r="V205" t="str">
        <f>IF(U205&lt;&gt;"",U205&amp;"-"&amp;COUNTIF(U$1:U205,U205),"")</f>
        <v>1-5</v>
      </c>
    </row>
    <row r="206" spans="1:22" x14ac:dyDescent="0.25">
      <c r="A206">
        <v>7</v>
      </c>
      <c r="B206" t="s">
        <v>1120</v>
      </c>
      <c r="C206" t="s">
        <v>5191</v>
      </c>
      <c r="D206">
        <v>1.81</v>
      </c>
      <c r="E206">
        <v>2.25</v>
      </c>
      <c r="F206">
        <v>2.57</v>
      </c>
      <c r="G206">
        <v>2.69</v>
      </c>
      <c r="H206">
        <v>8.75</v>
      </c>
      <c r="I206" t="s">
        <v>22</v>
      </c>
      <c r="J206">
        <v>0.12</v>
      </c>
      <c r="K206">
        <v>0.44</v>
      </c>
      <c r="L206">
        <v>7.31</v>
      </c>
      <c r="M206">
        <v>13.16</v>
      </c>
      <c r="N206">
        <v>4.34</v>
      </c>
      <c r="O206">
        <v>4.41</v>
      </c>
      <c r="P206">
        <v>19.4481</v>
      </c>
      <c r="Q206" t="str">
        <f>IFERROR(INDEX(Rosters!$C$2:$C$155,MATCH($B206,Rosters!$B$2:$B$155,0)),"NA")</f>
        <v>NA</v>
      </c>
      <c r="R206" t="str">
        <f t="shared" si="6"/>
        <v>NA7</v>
      </c>
      <c r="S206">
        <f>COUNTIFS(A$1:A206,A206)</f>
        <v>11</v>
      </c>
      <c r="T206" t="str">
        <f t="shared" si="7"/>
        <v>Dustin Hopkins7</v>
      </c>
      <c r="U206">
        <f>IF(OR(NOT(ISERROR(MATCH(T206,Finals!$K$2:$K$1801,0))),AND(A206&gt;Week,Q206&lt;&gt;"NA")),"",A206)</f>
        <v>7</v>
      </c>
      <c r="V206" t="str">
        <f>IF(U206&lt;&gt;"",U206&amp;"-"&amp;COUNTIF(U$1:U206,U206),"")</f>
        <v>7-5</v>
      </c>
    </row>
    <row r="207" spans="1:22" x14ac:dyDescent="0.25">
      <c r="A207">
        <v>13</v>
      </c>
      <c r="B207" t="s">
        <v>999</v>
      </c>
      <c r="C207" t="s">
        <v>5192</v>
      </c>
      <c r="D207">
        <v>1.77</v>
      </c>
      <c r="E207">
        <v>2.1</v>
      </c>
      <c r="F207">
        <v>2.0699999999999998</v>
      </c>
      <c r="G207">
        <v>2.12</v>
      </c>
      <c r="H207">
        <v>8.35</v>
      </c>
      <c r="I207" t="s">
        <v>52</v>
      </c>
      <c r="J207">
        <v>5.0000000000000301E-2</v>
      </c>
      <c r="K207">
        <v>0.33</v>
      </c>
      <c r="L207">
        <v>7.31</v>
      </c>
      <c r="M207">
        <v>12.44</v>
      </c>
      <c r="N207">
        <v>4.26</v>
      </c>
      <c r="O207">
        <v>4.09</v>
      </c>
      <c r="P207">
        <v>16.728100000000001</v>
      </c>
      <c r="Q207" t="str">
        <f>IFERROR(INDEX(Rosters!$C$2:$C$155,MATCH($B207,Rosters!$B$2:$B$155,0)),"NA")</f>
        <v>NA</v>
      </c>
      <c r="R207" t="str">
        <f t="shared" si="6"/>
        <v>NA13</v>
      </c>
      <c r="S207">
        <f>COUNTIFS(A$1:A207,A207)</f>
        <v>13</v>
      </c>
      <c r="T207" t="str">
        <f t="shared" si="7"/>
        <v>Ka'imi Fairbairn13</v>
      </c>
      <c r="U207">
        <f>IF(OR(NOT(ISERROR(MATCH(T207,Finals!$K$2:$K$1801,0))),AND(A207&gt;Week,Q207&lt;&gt;"NA")),"",A207)</f>
        <v>13</v>
      </c>
      <c r="V207" t="str">
        <f>IF(U207&lt;&gt;"",U207&amp;"-"&amp;COUNTIF(U$1:U207,U207),"")</f>
        <v>13-8</v>
      </c>
    </row>
    <row r="208" spans="1:22" x14ac:dyDescent="0.25">
      <c r="A208">
        <v>4</v>
      </c>
      <c r="B208" t="s">
        <v>448</v>
      </c>
      <c r="C208" t="s">
        <v>5002</v>
      </c>
      <c r="D208">
        <v>1.78</v>
      </c>
      <c r="E208">
        <v>2.12</v>
      </c>
      <c r="F208">
        <v>2.16</v>
      </c>
      <c r="G208">
        <v>2.19</v>
      </c>
      <c r="H208">
        <v>8.34</v>
      </c>
      <c r="I208" t="s">
        <v>36</v>
      </c>
      <c r="J208">
        <v>2.9999999999999801E-2</v>
      </c>
      <c r="K208">
        <v>0.34</v>
      </c>
      <c r="L208">
        <v>7.29</v>
      </c>
      <c r="M208">
        <v>12.24</v>
      </c>
      <c r="N208">
        <v>4.4400000000000004</v>
      </c>
      <c r="O208">
        <v>3.9</v>
      </c>
      <c r="P208">
        <v>15.21</v>
      </c>
      <c r="Q208" t="str">
        <f>IFERROR(INDEX(Rosters!$C$2:$C$155,MATCH($B208,Rosters!$B$2:$B$155,0)),"NA")</f>
        <v>NA</v>
      </c>
      <c r="R208" t="str">
        <f t="shared" si="6"/>
        <v>NA4</v>
      </c>
      <c r="S208">
        <f>COUNTIFS(A$1:A208,A208)</f>
        <v>13</v>
      </c>
      <c r="T208" t="str">
        <f t="shared" si="7"/>
        <v>Adam Vinatieri4</v>
      </c>
      <c r="U208">
        <f>IF(OR(NOT(ISERROR(MATCH(T208,Finals!$K$2:$K$1801,0))),AND(A208&gt;Week,Q208&lt;&gt;"NA")),"",A208)</f>
        <v>4</v>
      </c>
      <c r="V208" t="str">
        <f>IF(U208&lt;&gt;"",U208&amp;"-"&amp;COUNTIF(U$1:U208,U208),"")</f>
        <v>4-6</v>
      </c>
    </row>
    <row r="209" spans="1:22" x14ac:dyDescent="0.25">
      <c r="A209">
        <v>14</v>
      </c>
      <c r="B209" t="s">
        <v>1216</v>
      </c>
      <c r="C209" t="s">
        <v>5193</v>
      </c>
      <c r="D209">
        <v>1.75</v>
      </c>
      <c r="E209">
        <v>2.04</v>
      </c>
      <c r="F209">
        <v>2.2999999999999998</v>
      </c>
      <c r="G209">
        <v>2.3199999999999998</v>
      </c>
      <c r="H209">
        <v>8.18</v>
      </c>
      <c r="I209" t="s">
        <v>25</v>
      </c>
      <c r="J209">
        <v>0.02</v>
      </c>
      <c r="K209">
        <v>0.28999999999999998</v>
      </c>
      <c r="L209">
        <v>7.29</v>
      </c>
      <c r="M209">
        <v>11.88</v>
      </c>
      <c r="N209">
        <v>4.4800000000000004</v>
      </c>
      <c r="O209">
        <v>3.7</v>
      </c>
      <c r="P209">
        <v>13.69</v>
      </c>
      <c r="Q209" t="str">
        <f>IFERROR(INDEX(Rosters!$C$2:$C$155,MATCH($B209,Rosters!$B$2:$B$155,0)),"NA")</f>
        <v>NA</v>
      </c>
      <c r="R209" t="str">
        <f t="shared" si="6"/>
        <v>NA14</v>
      </c>
      <c r="S209">
        <f>COUNTIFS(A$1:A209,A209)</f>
        <v>12</v>
      </c>
      <c r="T209" t="str">
        <f t="shared" si="7"/>
        <v>Sebastian Janikowski14</v>
      </c>
      <c r="U209">
        <f>IF(OR(NOT(ISERROR(MATCH(T209,Finals!$K$2:$K$1801,0))),AND(A209&gt;Week,Q209&lt;&gt;"NA")),"",A209)</f>
        <v>14</v>
      </c>
      <c r="V209" t="str">
        <f>IF(U209&lt;&gt;"",U209&amp;"-"&amp;COUNTIF(U$1:U209,U209),"")</f>
        <v>14-6</v>
      </c>
    </row>
    <row r="210" spans="1:22" x14ac:dyDescent="0.25">
      <c r="A210">
        <v>2</v>
      </c>
      <c r="B210" t="s">
        <v>456</v>
      </c>
      <c r="C210" t="s">
        <v>3588</v>
      </c>
      <c r="D210">
        <v>1.69</v>
      </c>
      <c r="E210">
        <v>1.93</v>
      </c>
      <c r="F210">
        <v>2.2599999999999998</v>
      </c>
      <c r="G210">
        <v>2.3199999999999998</v>
      </c>
      <c r="H210">
        <v>8.0500000000000007</v>
      </c>
      <c r="I210" t="s">
        <v>46</v>
      </c>
      <c r="J210">
        <v>6.0000000000000102E-2</v>
      </c>
      <c r="K210">
        <v>0.24</v>
      </c>
      <c r="L210">
        <v>7.27</v>
      </c>
      <c r="M210">
        <v>12.05</v>
      </c>
      <c r="N210">
        <v>4.05</v>
      </c>
      <c r="O210">
        <v>4</v>
      </c>
      <c r="P210">
        <v>16</v>
      </c>
      <c r="Q210" t="str">
        <f>IFERROR(INDEX(Rosters!$C$2:$C$155,MATCH($B210,Rosters!$B$2:$B$155,0)),"NA")</f>
        <v>NA</v>
      </c>
      <c r="R210" t="str">
        <f t="shared" si="6"/>
        <v>NA2</v>
      </c>
      <c r="S210">
        <f>COUNTIFS(A$1:A210,A210)</f>
        <v>14</v>
      </c>
      <c r="T210" t="str">
        <f t="shared" si="7"/>
        <v>Graham Gano2</v>
      </c>
      <c r="U210">
        <f>IF(OR(NOT(ISERROR(MATCH(T210,Finals!$K$2:$K$1801,0))),AND(A210&gt;Week,Q210&lt;&gt;"NA")),"",A210)</f>
        <v>2</v>
      </c>
      <c r="V210" t="str">
        <f>IF(U210&lt;&gt;"",U210&amp;"-"&amp;COUNTIF(U$1:U210,U210),"")</f>
        <v>2-4</v>
      </c>
    </row>
    <row r="211" spans="1:22" x14ac:dyDescent="0.25">
      <c r="A211">
        <v>3</v>
      </c>
      <c r="B211" t="s">
        <v>445</v>
      </c>
      <c r="C211" t="s">
        <v>4165</v>
      </c>
      <c r="D211">
        <v>1.75</v>
      </c>
      <c r="E211">
        <v>2.27</v>
      </c>
      <c r="F211">
        <v>2.99</v>
      </c>
      <c r="G211">
        <v>3.08</v>
      </c>
      <c r="H211">
        <v>8.92</v>
      </c>
      <c r="I211" t="s">
        <v>29</v>
      </c>
      <c r="J211">
        <v>8.99999999999999E-2</v>
      </c>
      <c r="K211">
        <v>0.52</v>
      </c>
      <c r="L211">
        <v>7.27</v>
      </c>
      <c r="M211">
        <v>13.19</v>
      </c>
      <c r="N211">
        <v>4.6500000000000004</v>
      </c>
      <c r="O211">
        <v>4.2699999999999996</v>
      </c>
      <c r="P211">
        <v>18.232900000000001</v>
      </c>
      <c r="Q211" t="str">
        <f>IFERROR(INDEX(Rosters!$C$2:$C$155,MATCH($B211,Rosters!$B$2:$B$155,0)),"NA")</f>
        <v>NA</v>
      </c>
      <c r="R211" t="str">
        <f t="shared" si="6"/>
        <v>NA3</v>
      </c>
      <c r="S211">
        <f>COUNTIFS(A$1:A211,A211)</f>
        <v>13</v>
      </c>
      <c r="T211" t="str">
        <f t="shared" si="7"/>
        <v>Dan Bailey3</v>
      </c>
      <c r="U211" t="str">
        <f>IF(OR(NOT(ISERROR(MATCH(T211,Finals!$K$2:$K$1801,0))),AND(A211&gt;Week,Q211&lt;&gt;"NA")),"",A211)</f>
        <v/>
      </c>
      <c r="V211" t="str">
        <f>IF(U211&lt;&gt;"",U211&amp;"-"&amp;COUNTIF(U$1:U211,U211),"")</f>
        <v/>
      </c>
    </row>
    <row r="212" spans="1:22" x14ac:dyDescent="0.25">
      <c r="A212">
        <v>10</v>
      </c>
      <c r="B212" t="s">
        <v>1119</v>
      </c>
      <c r="C212" t="s">
        <v>5194</v>
      </c>
      <c r="D212">
        <v>1.4</v>
      </c>
      <c r="E212">
        <v>1.49</v>
      </c>
      <c r="F212">
        <v>2.84</v>
      </c>
      <c r="G212">
        <v>2.9</v>
      </c>
      <c r="H212">
        <v>7.6</v>
      </c>
      <c r="I212" t="s">
        <v>66</v>
      </c>
      <c r="J212">
        <v>6.0000000000000102E-2</v>
      </c>
      <c r="K212">
        <v>9.0000000000000094E-2</v>
      </c>
      <c r="L212">
        <v>7.27</v>
      </c>
      <c r="M212">
        <v>11.49</v>
      </c>
      <c r="N212">
        <v>3.71</v>
      </c>
      <c r="O212">
        <v>3.89</v>
      </c>
      <c r="P212">
        <v>15.132099999999999</v>
      </c>
      <c r="Q212" t="str">
        <f>IFERROR(INDEX(Rosters!$C$2:$C$155,MATCH($B212,Rosters!$B$2:$B$155,0)),"NA")</f>
        <v>scott</v>
      </c>
      <c r="R212" t="str">
        <f t="shared" si="6"/>
        <v>scott10</v>
      </c>
      <c r="S212">
        <f>COUNTIFS(A$1:A212,A212)</f>
        <v>12</v>
      </c>
      <c r="T212" t="str">
        <f t="shared" si="7"/>
        <v>Josh Lambo10</v>
      </c>
      <c r="U212" t="str">
        <f>IF(OR(NOT(ISERROR(MATCH(T212,Finals!$K$2:$K$1801,0))),AND(A212&gt;Week,Q212&lt;&gt;"NA")),"",A212)</f>
        <v/>
      </c>
      <c r="V212" t="str">
        <f>IF(U212&lt;&gt;"",U212&amp;"-"&amp;COUNTIF(U$1:U212,U212),"")</f>
        <v/>
      </c>
    </row>
    <row r="213" spans="1:22" x14ac:dyDescent="0.25">
      <c r="A213">
        <v>14</v>
      </c>
      <c r="B213" t="s">
        <v>452</v>
      </c>
      <c r="C213" t="s">
        <v>5195</v>
      </c>
      <c r="D213">
        <v>1.67</v>
      </c>
      <c r="E213">
        <v>1.83</v>
      </c>
      <c r="F213">
        <v>1.89</v>
      </c>
      <c r="G213">
        <v>1.89</v>
      </c>
      <c r="H213">
        <v>7.75</v>
      </c>
      <c r="I213" t="s">
        <v>42</v>
      </c>
      <c r="J213">
        <v>0</v>
      </c>
      <c r="K213">
        <v>0.16</v>
      </c>
      <c r="L213">
        <v>7.27</v>
      </c>
      <c r="M213">
        <v>12.9</v>
      </c>
      <c r="N213">
        <v>2.6</v>
      </c>
      <c r="O213">
        <v>5.15</v>
      </c>
      <c r="P213">
        <v>26.522500000000001</v>
      </c>
      <c r="Q213" t="str">
        <f>IFERROR(INDEX(Rosters!$C$2:$C$155,MATCH($B213,Rosters!$B$2:$B$155,0)),"NA")</f>
        <v>matty</v>
      </c>
      <c r="R213" t="str">
        <f t="shared" si="6"/>
        <v>matty14</v>
      </c>
      <c r="S213">
        <f>COUNTIFS(A$1:A213,A213)</f>
        <v>13</v>
      </c>
      <c r="T213" t="str">
        <f t="shared" si="7"/>
        <v>Robbie Gould14</v>
      </c>
      <c r="U213" t="str">
        <f>IF(OR(NOT(ISERROR(MATCH(T213,Finals!$K$2:$K$1801,0))),AND(A213&gt;Week,Q213&lt;&gt;"NA")),"",A213)</f>
        <v/>
      </c>
      <c r="V213" t="str">
        <f>IF(U213&lt;&gt;"",U213&amp;"-"&amp;COUNTIF(U$1:U213,U213),"")</f>
        <v/>
      </c>
    </row>
    <row r="214" spans="1:22" x14ac:dyDescent="0.25">
      <c r="A214">
        <v>5</v>
      </c>
      <c r="B214" t="s">
        <v>1108</v>
      </c>
      <c r="C214" t="s">
        <v>9095</v>
      </c>
      <c r="D214">
        <v>1.67</v>
      </c>
      <c r="E214">
        <v>1.95</v>
      </c>
      <c r="F214">
        <v>2.16</v>
      </c>
      <c r="G214">
        <v>2.19</v>
      </c>
      <c r="H214">
        <v>8.1199999999999992</v>
      </c>
      <c r="I214" t="s">
        <v>76</v>
      </c>
      <c r="J214">
        <v>2.9999999999999801E-2</v>
      </c>
      <c r="K214">
        <v>0.28000000000000003</v>
      </c>
      <c r="L214">
        <v>7.25</v>
      </c>
      <c r="M214">
        <v>12.37</v>
      </c>
      <c r="N214">
        <v>3.87</v>
      </c>
      <c r="O214">
        <v>4.25</v>
      </c>
      <c r="P214">
        <v>18.0625</v>
      </c>
      <c r="Q214" t="str">
        <f>IFERROR(INDEX(Rosters!$C$2:$C$155,MATCH($B214,Rosters!$B$2:$B$155,0)),"NA")</f>
        <v>seth</v>
      </c>
      <c r="R214" t="str">
        <f t="shared" si="6"/>
        <v>seth5</v>
      </c>
      <c r="S214">
        <f>COUNTIFS(A$1:A214,A214)</f>
        <v>14</v>
      </c>
      <c r="T214" t="str">
        <f t="shared" si="7"/>
        <v>Harrison Butker5</v>
      </c>
      <c r="U214" t="str">
        <f>IF(OR(NOT(ISERROR(MATCH(T214,Finals!$K$2:$K$1801,0))),AND(A214&gt;Week,Q214&lt;&gt;"NA")),"",A214)</f>
        <v/>
      </c>
      <c r="V214" t="str">
        <f>IF(U214&lt;&gt;"",U214&amp;"-"&amp;COUNTIF(U$1:U214,U214),"")</f>
        <v/>
      </c>
    </row>
    <row r="215" spans="1:22" x14ac:dyDescent="0.25">
      <c r="A215">
        <v>9</v>
      </c>
      <c r="B215" t="s">
        <v>453</v>
      </c>
      <c r="C215" t="s">
        <v>5196</v>
      </c>
      <c r="D215">
        <v>1.81</v>
      </c>
      <c r="E215">
        <v>2.2200000000000002</v>
      </c>
      <c r="F215">
        <v>2.19</v>
      </c>
      <c r="G215">
        <v>2.21</v>
      </c>
      <c r="H215">
        <v>8.49</v>
      </c>
      <c r="I215" t="s">
        <v>22</v>
      </c>
      <c r="J215">
        <v>0.02</v>
      </c>
      <c r="K215">
        <v>0.41</v>
      </c>
      <c r="L215">
        <v>7.24</v>
      </c>
      <c r="M215">
        <v>13.22</v>
      </c>
      <c r="N215">
        <v>3.76</v>
      </c>
      <c r="O215">
        <v>4.7300000000000004</v>
      </c>
      <c r="P215">
        <v>22.372900000000001</v>
      </c>
      <c r="Q215" t="str">
        <f>IFERROR(INDEX(Rosters!$C$2:$C$155,MATCH($B215,Rosters!$B$2:$B$155,0)),"NA")</f>
        <v>NA</v>
      </c>
      <c r="R215" t="str">
        <f t="shared" si="6"/>
        <v>NA9</v>
      </c>
      <c r="S215">
        <f>COUNTIFS(A$1:A215,A215)</f>
        <v>10</v>
      </c>
      <c r="T215" t="str">
        <f t="shared" si="7"/>
        <v>Ryan Succop9</v>
      </c>
      <c r="U215">
        <f>IF(OR(NOT(ISERROR(MATCH(T215,Finals!$K$2:$K$1801,0))),AND(A215&gt;Week,Q215&lt;&gt;"NA")),"",A215)</f>
        <v>9</v>
      </c>
      <c r="V215" t="str">
        <f>IF(U215&lt;&gt;"",U215&amp;"-"&amp;COUNTIF(U$1:U215,U215),"")</f>
        <v>9-5</v>
      </c>
    </row>
    <row r="216" spans="1:22" x14ac:dyDescent="0.25">
      <c r="A216">
        <v>3</v>
      </c>
      <c r="B216" t="s">
        <v>450</v>
      </c>
      <c r="C216" t="s">
        <v>4166</v>
      </c>
      <c r="D216">
        <v>1.71</v>
      </c>
      <c r="E216">
        <v>2.06</v>
      </c>
      <c r="F216">
        <v>2.62</v>
      </c>
      <c r="G216">
        <v>2.7</v>
      </c>
      <c r="H216">
        <v>8.35</v>
      </c>
      <c r="I216" t="s">
        <v>423</v>
      </c>
      <c r="J216">
        <v>8.0000000000000099E-2</v>
      </c>
      <c r="K216">
        <v>0.35</v>
      </c>
      <c r="L216">
        <v>7.22</v>
      </c>
      <c r="M216">
        <v>12.6</v>
      </c>
      <c r="N216">
        <v>4.0999999999999996</v>
      </c>
      <c r="O216">
        <v>4.25</v>
      </c>
      <c r="P216">
        <v>18.0625</v>
      </c>
      <c r="Q216" t="str">
        <f>IFERROR(INDEX(Rosters!$C$2:$C$155,MATCH($B216,Rosters!$B$2:$B$155,0)),"NA")</f>
        <v>devon</v>
      </c>
      <c r="R216" t="str">
        <f t="shared" si="6"/>
        <v>devon3</v>
      </c>
      <c r="S216">
        <f>COUNTIFS(A$1:A216,A216)</f>
        <v>14</v>
      </c>
      <c r="T216" t="str">
        <f t="shared" si="7"/>
        <v>Matt Prater3</v>
      </c>
      <c r="U216" t="str">
        <f>IF(OR(NOT(ISERROR(MATCH(T216,Finals!$K$2:$K$1801,0))),AND(A216&gt;Week,Q216&lt;&gt;"NA")),"",A216)</f>
        <v/>
      </c>
      <c r="V216" t="str">
        <f>IF(U216&lt;&gt;"",U216&amp;"-"&amp;COUNTIF(U$1:U216,U216),"")</f>
        <v/>
      </c>
    </row>
    <row r="217" spans="1:22" x14ac:dyDescent="0.25">
      <c r="A217">
        <v>15</v>
      </c>
      <c r="B217" t="s">
        <v>445</v>
      </c>
      <c r="C217" t="s">
        <v>5197</v>
      </c>
      <c r="D217">
        <v>1.75</v>
      </c>
      <c r="E217">
        <v>2.04</v>
      </c>
      <c r="F217">
        <v>2.2799999999999998</v>
      </c>
      <c r="G217">
        <v>2.41</v>
      </c>
      <c r="H217">
        <v>8.2100000000000009</v>
      </c>
      <c r="I217" t="s">
        <v>19</v>
      </c>
      <c r="J217">
        <v>0.13</v>
      </c>
      <c r="K217">
        <v>0.28999999999999998</v>
      </c>
      <c r="L217">
        <v>7.21</v>
      </c>
      <c r="M217">
        <v>12.47</v>
      </c>
      <c r="N217">
        <v>3.95</v>
      </c>
      <c r="O217">
        <v>4.26</v>
      </c>
      <c r="P217">
        <v>18.147600000000001</v>
      </c>
      <c r="Q217" t="str">
        <f>IFERROR(INDEX(Rosters!$C$2:$C$155,MATCH($B217,Rosters!$B$2:$B$155,0)),"NA")</f>
        <v>NA</v>
      </c>
      <c r="R217" t="str">
        <f t="shared" si="6"/>
        <v>NA15</v>
      </c>
      <c r="S217">
        <f>COUNTIFS(A$1:A217,A217)</f>
        <v>17</v>
      </c>
      <c r="T217" t="str">
        <f t="shared" si="7"/>
        <v>Dan Bailey15</v>
      </c>
      <c r="U217">
        <f>IF(OR(NOT(ISERROR(MATCH(T217,Finals!$K$2:$K$1801,0))),AND(A217&gt;Week,Q217&lt;&gt;"NA")),"",A217)</f>
        <v>15</v>
      </c>
      <c r="V217" t="str">
        <f>IF(U217&lt;&gt;"",U217&amp;"-"&amp;COUNTIF(U$1:U217,U217),"")</f>
        <v>15-12</v>
      </c>
    </row>
    <row r="218" spans="1:22" x14ac:dyDescent="0.25">
      <c r="A218">
        <v>8</v>
      </c>
      <c r="B218" t="s">
        <v>1108</v>
      </c>
      <c r="C218" t="s">
        <v>5198</v>
      </c>
      <c r="D218">
        <v>1.63</v>
      </c>
      <c r="E218">
        <v>2.02</v>
      </c>
      <c r="F218">
        <v>2.67</v>
      </c>
      <c r="G218">
        <v>2.69</v>
      </c>
      <c r="H218">
        <v>8.4</v>
      </c>
      <c r="I218" t="s">
        <v>42</v>
      </c>
      <c r="J218">
        <v>0.02</v>
      </c>
      <c r="K218">
        <v>0.39</v>
      </c>
      <c r="L218">
        <v>7.21</v>
      </c>
      <c r="M218">
        <v>12.32</v>
      </c>
      <c r="N218">
        <v>4.4800000000000004</v>
      </c>
      <c r="O218">
        <v>3.92</v>
      </c>
      <c r="P218">
        <v>15.366400000000001</v>
      </c>
      <c r="Q218" t="str">
        <f>IFERROR(INDEX(Rosters!$C$2:$C$155,MATCH($B218,Rosters!$B$2:$B$155,0)),"NA")</f>
        <v>seth</v>
      </c>
      <c r="R218" t="str">
        <f t="shared" si="6"/>
        <v>seth8</v>
      </c>
      <c r="S218">
        <f>COUNTIFS(A$1:A218,A218)</f>
        <v>11</v>
      </c>
      <c r="T218" t="str">
        <f t="shared" si="7"/>
        <v>Harrison Butker8</v>
      </c>
      <c r="U218" t="str">
        <f>IF(OR(NOT(ISERROR(MATCH(T218,Finals!$K$2:$K$1801,0))),AND(A218&gt;Week,Q218&lt;&gt;"NA")),"",A218)</f>
        <v/>
      </c>
      <c r="V218" t="str">
        <f>IF(U218&lt;&gt;"",U218&amp;"-"&amp;COUNTIF(U$1:U218,U218),"")</f>
        <v/>
      </c>
    </row>
    <row r="219" spans="1:22" x14ac:dyDescent="0.25">
      <c r="A219">
        <v>14</v>
      </c>
      <c r="B219" t="s">
        <v>999</v>
      </c>
      <c r="C219" t="s">
        <v>5199</v>
      </c>
      <c r="D219">
        <v>1.79</v>
      </c>
      <c r="E219">
        <v>2.2799999999999998</v>
      </c>
      <c r="F219">
        <v>2.72</v>
      </c>
      <c r="G219">
        <v>2.74</v>
      </c>
      <c r="H219">
        <v>8.6999999999999993</v>
      </c>
      <c r="I219" t="s">
        <v>66</v>
      </c>
      <c r="J219">
        <v>0.02</v>
      </c>
      <c r="K219">
        <v>0.49</v>
      </c>
      <c r="L219">
        <v>7.21</v>
      </c>
      <c r="M219">
        <v>12.6</v>
      </c>
      <c r="N219">
        <v>4.8</v>
      </c>
      <c r="O219">
        <v>3.9</v>
      </c>
      <c r="P219">
        <v>15.21</v>
      </c>
      <c r="Q219" t="str">
        <f>IFERROR(INDEX(Rosters!$C$2:$C$155,MATCH($B219,Rosters!$B$2:$B$155,0)),"NA")</f>
        <v>NA</v>
      </c>
      <c r="R219" t="str">
        <f t="shared" si="6"/>
        <v>NA14</v>
      </c>
      <c r="S219">
        <f>COUNTIFS(A$1:A219,A219)</f>
        <v>14</v>
      </c>
      <c r="T219" t="str">
        <f t="shared" si="7"/>
        <v>Ka'imi Fairbairn14</v>
      </c>
      <c r="U219">
        <f>IF(OR(NOT(ISERROR(MATCH(T219,Finals!$K$2:$K$1801,0))),AND(A219&gt;Week,Q219&lt;&gt;"NA")),"",A219)</f>
        <v>14</v>
      </c>
      <c r="V219" t="str">
        <f>IF(U219&lt;&gt;"",U219&amp;"-"&amp;COUNTIF(U$1:U219,U219),"")</f>
        <v>14-7</v>
      </c>
    </row>
    <row r="220" spans="1:22" x14ac:dyDescent="0.25">
      <c r="A220">
        <v>5</v>
      </c>
      <c r="B220" t="s">
        <v>1119</v>
      </c>
      <c r="C220" t="s">
        <v>9096</v>
      </c>
      <c r="D220">
        <v>1.45</v>
      </c>
      <c r="E220">
        <v>1.64</v>
      </c>
      <c r="F220">
        <v>2.85</v>
      </c>
      <c r="G220">
        <v>3</v>
      </c>
      <c r="H220">
        <v>7.93</v>
      </c>
      <c r="I220" t="s">
        <v>24</v>
      </c>
      <c r="J220">
        <v>0.15</v>
      </c>
      <c r="K220">
        <v>0.19</v>
      </c>
      <c r="L220">
        <v>7.21</v>
      </c>
      <c r="M220">
        <v>11.59</v>
      </c>
      <c r="N220">
        <v>4.2699999999999996</v>
      </c>
      <c r="O220">
        <v>3.66</v>
      </c>
      <c r="P220">
        <v>13.3956</v>
      </c>
      <c r="Q220" t="str">
        <f>IFERROR(INDEX(Rosters!$C$2:$C$155,MATCH($B220,Rosters!$B$2:$B$155,0)),"NA")</f>
        <v>scott</v>
      </c>
      <c r="R220" t="str">
        <f t="shared" si="6"/>
        <v>scott5</v>
      </c>
      <c r="S220">
        <f>COUNTIFS(A$1:A220,A220)</f>
        <v>15</v>
      </c>
      <c r="T220" t="str">
        <f t="shared" si="7"/>
        <v>Josh Lambo5</v>
      </c>
      <c r="U220" t="str">
        <f>IF(OR(NOT(ISERROR(MATCH(T220,Finals!$K$2:$K$1801,0))),AND(A220&gt;Week,Q220&lt;&gt;"NA")),"",A220)</f>
        <v/>
      </c>
      <c r="V220" t="str">
        <f>IF(U220&lt;&gt;"",U220&amp;"-"&amp;COUNTIF(U$1:U220,U220),"")</f>
        <v/>
      </c>
    </row>
    <row r="221" spans="1:22" x14ac:dyDescent="0.25">
      <c r="A221">
        <v>11</v>
      </c>
      <c r="B221" t="s">
        <v>448</v>
      </c>
      <c r="C221" t="s">
        <v>5200</v>
      </c>
      <c r="D221">
        <v>1.65</v>
      </c>
      <c r="E221">
        <v>1.89</v>
      </c>
      <c r="F221">
        <v>2.3199999999999998</v>
      </c>
      <c r="G221">
        <v>2.36</v>
      </c>
      <c r="H221">
        <v>7.96</v>
      </c>
      <c r="I221" t="s">
        <v>38</v>
      </c>
      <c r="J221">
        <v>0.04</v>
      </c>
      <c r="K221">
        <v>0.24</v>
      </c>
      <c r="L221">
        <v>7.2</v>
      </c>
      <c r="M221">
        <v>11.65</v>
      </c>
      <c r="N221">
        <v>4.2699999999999996</v>
      </c>
      <c r="O221">
        <v>3.69</v>
      </c>
      <c r="P221">
        <v>13.616099999999999</v>
      </c>
      <c r="Q221" t="str">
        <f>IFERROR(INDEX(Rosters!$C$2:$C$155,MATCH($B221,Rosters!$B$2:$B$155,0)),"NA")</f>
        <v>NA</v>
      </c>
      <c r="R221" t="str">
        <f t="shared" si="6"/>
        <v>NA11</v>
      </c>
      <c r="S221">
        <f>COUNTIFS(A$1:A221,A221)</f>
        <v>9</v>
      </c>
      <c r="T221" t="str">
        <f t="shared" si="7"/>
        <v>Adam Vinatieri11</v>
      </c>
      <c r="U221">
        <f>IF(OR(NOT(ISERROR(MATCH(T221,Finals!$K$2:$K$1801,0))),AND(A221&gt;Week,Q221&lt;&gt;"NA")),"",A221)</f>
        <v>11</v>
      </c>
      <c r="V221" t="str">
        <f>IF(U221&lt;&gt;"",U221&amp;"-"&amp;COUNTIF(U$1:U221,U221),"")</f>
        <v>11-6</v>
      </c>
    </row>
    <row r="222" spans="1:22" x14ac:dyDescent="0.25">
      <c r="A222">
        <v>13</v>
      </c>
      <c r="B222" t="s">
        <v>464</v>
      </c>
      <c r="C222" t="s">
        <v>5201</v>
      </c>
      <c r="D222">
        <v>1.34</v>
      </c>
      <c r="E222">
        <v>1.48</v>
      </c>
      <c r="F222">
        <v>3.04</v>
      </c>
      <c r="G222">
        <v>3.08</v>
      </c>
      <c r="H222">
        <v>7.66</v>
      </c>
      <c r="I222" t="s">
        <v>34</v>
      </c>
      <c r="J222">
        <v>0.04</v>
      </c>
      <c r="K222">
        <v>0.14000000000000001</v>
      </c>
      <c r="L222">
        <v>7.2</v>
      </c>
      <c r="M222">
        <v>11.37</v>
      </c>
      <c r="N222">
        <v>3.95</v>
      </c>
      <c r="O222">
        <v>3.71</v>
      </c>
      <c r="P222">
        <v>13.764099999999999</v>
      </c>
      <c r="Q222" t="str">
        <f>IFERROR(INDEX(Rosters!$C$2:$C$155,MATCH($B222,Rosters!$B$2:$B$155,0)),"NA")</f>
        <v>NA</v>
      </c>
      <c r="R222" t="str">
        <f t="shared" si="6"/>
        <v>NA13</v>
      </c>
      <c r="S222">
        <f>COUNTIFS(A$1:A222,A222)</f>
        <v>14</v>
      </c>
      <c r="T222" t="str">
        <f t="shared" si="7"/>
        <v>Greg Zuerlein13</v>
      </c>
      <c r="U222">
        <f>IF(OR(NOT(ISERROR(MATCH(T222,Finals!$K$2:$K$1801,0))),AND(A222&gt;Week,Q222&lt;&gt;"NA")),"",A222)</f>
        <v>13</v>
      </c>
      <c r="V222" t="str">
        <f>IF(U222&lt;&gt;"",U222&amp;"-"&amp;COUNTIF(U$1:U222,U222),"")</f>
        <v>13-9</v>
      </c>
    </row>
    <row r="223" spans="1:22" x14ac:dyDescent="0.25">
      <c r="A223">
        <v>16</v>
      </c>
      <c r="B223" t="s">
        <v>464</v>
      </c>
      <c r="C223" t="s">
        <v>5202</v>
      </c>
      <c r="D223">
        <v>1.68</v>
      </c>
      <c r="E223">
        <v>2.0299999999999998</v>
      </c>
      <c r="F223">
        <v>2.41</v>
      </c>
      <c r="G223">
        <v>2.4500000000000002</v>
      </c>
      <c r="H223">
        <v>8.2899999999999991</v>
      </c>
      <c r="I223" t="s">
        <v>58</v>
      </c>
      <c r="J223">
        <v>0.04</v>
      </c>
      <c r="K223">
        <v>0.35</v>
      </c>
      <c r="L223">
        <v>7.2</v>
      </c>
      <c r="M223">
        <v>12.03</v>
      </c>
      <c r="N223">
        <v>4.55</v>
      </c>
      <c r="O223">
        <v>3.74</v>
      </c>
      <c r="P223">
        <v>13.9876</v>
      </c>
      <c r="Q223" t="str">
        <f>IFERROR(INDEX(Rosters!$C$2:$C$155,MATCH($B223,Rosters!$B$2:$B$155,0)),"NA")</f>
        <v>NA</v>
      </c>
      <c r="R223" t="str">
        <f t="shared" si="6"/>
        <v>NA16</v>
      </c>
      <c r="S223">
        <f>COUNTIFS(A$1:A223,A223)</f>
        <v>15</v>
      </c>
      <c r="T223" t="str">
        <f t="shared" si="7"/>
        <v>Greg Zuerlein16</v>
      </c>
      <c r="U223">
        <f>IF(OR(NOT(ISERROR(MATCH(T223,Finals!$K$2:$K$1801,0))),AND(A223&gt;Week,Q223&lt;&gt;"NA")),"",A223)</f>
        <v>16</v>
      </c>
      <c r="V223" t="str">
        <f>IF(U223&lt;&gt;"",U223&amp;"-"&amp;COUNTIF(U$1:U223,U223),"")</f>
        <v>16-9</v>
      </c>
    </row>
    <row r="224" spans="1:22" x14ac:dyDescent="0.25">
      <c r="A224">
        <v>13</v>
      </c>
      <c r="B224" t="s">
        <v>457</v>
      </c>
      <c r="C224" t="s">
        <v>5203</v>
      </c>
      <c r="D224">
        <v>1.54</v>
      </c>
      <c r="E224">
        <v>1.83</v>
      </c>
      <c r="F224">
        <v>2.73</v>
      </c>
      <c r="G224">
        <v>2.73</v>
      </c>
      <c r="H224">
        <v>8.06</v>
      </c>
      <c r="I224" t="s">
        <v>74</v>
      </c>
      <c r="J224">
        <v>0</v>
      </c>
      <c r="K224">
        <v>0.28999999999999998</v>
      </c>
      <c r="L224">
        <v>7.19</v>
      </c>
      <c r="M224">
        <v>11.97</v>
      </c>
      <c r="N224">
        <v>4.1500000000000004</v>
      </c>
      <c r="O224">
        <v>3.91</v>
      </c>
      <c r="P224">
        <v>15.2881</v>
      </c>
      <c r="Q224" t="str">
        <f>IFERROR(INDEX(Rosters!$C$2:$C$155,MATCH($B224,Rosters!$B$2:$B$155,0)),"NA")</f>
        <v>NA</v>
      </c>
      <c r="R224" t="str">
        <f t="shared" si="6"/>
        <v>NA13</v>
      </c>
      <c r="S224">
        <f>COUNTIFS(A$1:A224,A224)</f>
        <v>15</v>
      </c>
      <c r="T224" t="str">
        <f t="shared" si="7"/>
        <v>Chandler Catanzaro13</v>
      </c>
      <c r="U224">
        <f>IF(OR(NOT(ISERROR(MATCH(T224,Finals!$K$2:$K$1801,0))),AND(A224&gt;Week,Q224&lt;&gt;"NA")),"",A224)</f>
        <v>13</v>
      </c>
      <c r="V224" t="str">
        <f>IF(U224&lt;&gt;"",U224&amp;"-"&amp;COUNTIF(U$1:U224,U224),"")</f>
        <v>13-10</v>
      </c>
    </row>
    <row r="225" spans="1:22" x14ac:dyDescent="0.25">
      <c r="A225">
        <v>8</v>
      </c>
      <c r="B225" t="s">
        <v>4167</v>
      </c>
      <c r="C225" t="s">
        <v>5204</v>
      </c>
      <c r="D225">
        <v>1.68</v>
      </c>
      <c r="E225">
        <v>1.99</v>
      </c>
      <c r="F225">
        <v>2.4500000000000002</v>
      </c>
      <c r="G225">
        <v>2.5099999999999998</v>
      </c>
      <c r="H225">
        <v>8.18</v>
      </c>
      <c r="I225" t="s">
        <v>36</v>
      </c>
      <c r="J225">
        <v>5.9999999999999602E-2</v>
      </c>
      <c r="K225">
        <v>0.31</v>
      </c>
      <c r="L225">
        <v>7.19</v>
      </c>
      <c r="M225">
        <v>11.96</v>
      </c>
      <c r="N225">
        <v>4.4000000000000004</v>
      </c>
      <c r="O225">
        <v>3.78</v>
      </c>
      <c r="P225">
        <v>14.288399999999999</v>
      </c>
      <c r="Q225" t="str">
        <f>IFERROR(INDEX(Rosters!$C$2:$C$155,MATCH($B225,Rosters!$B$2:$B$155,0)),"NA")</f>
        <v>NA</v>
      </c>
      <c r="R225" t="str">
        <f t="shared" si="6"/>
        <v>NA8</v>
      </c>
      <c r="S225">
        <f>COUNTIFS(A$1:A225,A225)</f>
        <v>12</v>
      </c>
      <c r="T225" t="str">
        <f t="shared" si="7"/>
        <v>Jason Sanders8</v>
      </c>
      <c r="U225">
        <f>IF(OR(NOT(ISERROR(MATCH(T225,Finals!$K$2:$K$1801,0))),AND(A225&gt;Week,Q225&lt;&gt;"NA")),"",A225)</f>
        <v>8</v>
      </c>
      <c r="V225" t="str">
        <f>IF(U225&lt;&gt;"",U225&amp;"-"&amp;COUNTIF(U$1:U225,U225),"")</f>
        <v>8-8</v>
      </c>
    </row>
    <row r="226" spans="1:22" x14ac:dyDescent="0.25">
      <c r="A226">
        <v>17</v>
      </c>
      <c r="B226" t="s">
        <v>1216</v>
      </c>
      <c r="C226" t="s">
        <v>5205</v>
      </c>
      <c r="D226">
        <v>1.71</v>
      </c>
      <c r="E226">
        <v>2.02</v>
      </c>
      <c r="F226">
        <v>2.35</v>
      </c>
      <c r="G226">
        <v>2.39</v>
      </c>
      <c r="H226">
        <v>8.16</v>
      </c>
      <c r="I226" t="s">
        <v>58</v>
      </c>
      <c r="J226">
        <v>0.04</v>
      </c>
      <c r="K226">
        <v>0.31</v>
      </c>
      <c r="L226">
        <v>7.19</v>
      </c>
      <c r="M226">
        <v>11.91</v>
      </c>
      <c r="N226">
        <v>4.41</v>
      </c>
      <c r="O226">
        <v>3.75</v>
      </c>
      <c r="P226">
        <v>14.0625</v>
      </c>
      <c r="Q226" t="str">
        <f>IFERROR(INDEX(Rosters!$C$2:$C$155,MATCH($B226,Rosters!$B$2:$B$155,0)),"NA")</f>
        <v>NA</v>
      </c>
      <c r="R226" t="str">
        <f t="shared" si="6"/>
        <v>NA17</v>
      </c>
      <c r="S226">
        <f>COUNTIFS(A$1:A226,A226)</f>
        <v>18</v>
      </c>
      <c r="T226" t="str">
        <f t="shared" si="7"/>
        <v>Sebastian Janikowski17</v>
      </c>
      <c r="U226">
        <f>IF(OR(NOT(ISERROR(MATCH(T226,Finals!$K$2:$K$1801,0))),AND(A226&gt;Week,Q226&lt;&gt;"NA")),"",A226)</f>
        <v>17</v>
      </c>
      <c r="V226" t="str">
        <f>IF(U226&lt;&gt;"",U226&amp;"-"&amp;COUNTIF(U$1:U226,U226),"")</f>
        <v>17-10</v>
      </c>
    </row>
    <row r="227" spans="1:22" x14ac:dyDescent="0.25">
      <c r="A227">
        <v>7</v>
      </c>
      <c r="B227" t="s">
        <v>460</v>
      </c>
      <c r="C227" t="s">
        <v>5206</v>
      </c>
      <c r="D227">
        <v>1.66</v>
      </c>
      <c r="E227">
        <v>1.93</v>
      </c>
      <c r="F227">
        <v>2.37</v>
      </c>
      <c r="G227">
        <v>2.39</v>
      </c>
      <c r="H227">
        <v>8.02</v>
      </c>
      <c r="I227" t="s">
        <v>25</v>
      </c>
      <c r="J227">
        <v>0.02</v>
      </c>
      <c r="K227">
        <v>0.27</v>
      </c>
      <c r="L227">
        <v>7.19</v>
      </c>
      <c r="M227">
        <v>11.95</v>
      </c>
      <c r="N227">
        <v>4.09</v>
      </c>
      <c r="O227">
        <v>3.93</v>
      </c>
      <c r="P227">
        <v>15.444900000000001</v>
      </c>
      <c r="Q227" t="str">
        <f>IFERROR(INDEX(Rosters!$C$2:$C$155,MATCH($B227,Rosters!$B$2:$B$155,0)),"NA")</f>
        <v>NA</v>
      </c>
      <c r="R227" t="str">
        <f t="shared" si="6"/>
        <v>NA7</v>
      </c>
      <c r="S227">
        <f>COUNTIFS(A$1:A227,A227)</f>
        <v>12</v>
      </c>
      <c r="T227" t="str">
        <f t="shared" si="7"/>
        <v>Jason Myers7</v>
      </c>
      <c r="U227">
        <f>IF(OR(NOT(ISERROR(MATCH(T227,Finals!$K$2:$K$1801,0))),AND(A227&gt;Week,Q227&lt;&gt;"NA")),"",A227)</f>
        <v>7</v>
      </c>
      <c r="V227" t="str">
        <f>IF(U227&lt;&gt;"",U227&amp;"-"&amp;COUNTIF(U$1:U227,U227),"")</f>
        <v>7-6</v>
      </c>
    </row>
    <row r="228" spans="1:22" x14ac:dyDescent="0.25">
      <c r="A228">
        <v>15</v>
      </c>
      <c r="B228" t="s">
        <v>452</v>
      </c>
      <c r="C228" t="s">
        <v>5207</v>
      </c>
      <c r="D228">
        <v>1.66</v>
      </c>
      <c r="E228">
        <v>1.83</v>
      </c>
      <c r="F228">
        <v>1.85</v>
      </c>
      <c r="G228">
        <v>1.85</v>
      </c>
      <c r="H228">
        <v>7.7</v>
      </c>
      <c r="I228" t="s">
        <v>28</v>
      </c>
      <c r="J228">
        <v>0</v>
      </c>
      <c r="K228">
        <v>0.17</v>
      </c>
      <c r="L228">
        <v>7.19</v>
      </c>
      <c r="M228">
        <v>12.9</v>
      </c>
      <c r="N228">
        <v>2.5</v>
      </c>
      <c r="O228">
        <v>5.2</v>
      </c>
      <c r="P228">
        <v>27.04</v>
      </c>
      <c r="Q228" t="str">
        <f>IFERROR(INDEX(Rosters!$C$2:$C$155,MATCH($B228,Rosters!$B$2:$B$155,0)),"NA")</f>
        <v>matty</v>
      </c>
      <c r="R228" t="str">
        <f t="shared" si="6"/>
        <v>matty15</v>
      </c>
      <c r="S228">
        <f>COUNTIFS(A$1:A228,A228)</f>
        <v>18</v>
      </c>
      <c r="T228" t="str">
        <f t="shared" si="7"/>
        <v>Robbie Gould15</v>
      </c>
      <c r="U228" t="str">
        <f>IF(OR(NOT(ISERROR(MATCH(T228,Finals!$K$2:$K$1801,0))),AND(A228&gt;Week,Q228&lt;&gt;"NA")),"",A228)</f>
        <v/>
      </c>
      <c r="V228" t="str">
        <f>IF(U228&lt;&gt;"",U228&amp;"-"&amp;COUNTIF(U$1:U228,U228),"")</f>
        <v/>
      </c>
    </row>
    <row r="229" spans="1:22" x14ac:dyDescent="0.25">
      <c r="A229">
        <v>12</v>
      </c>
      <c r="B229" t="s">
        <v>1121</v>
      </c>
      <c r="C229" t="s">
        <v>5208</v>
      </c>
      <c r="D229">
        <v>1.62</v>
      </c>
      <c r="E229">
        <v>1.89</v>
      </c>
      <c r="F229">
        <v>2.5499999999999998</v>
      </c>
      <c r="G229">
        <v>2.57</v>
      </c>
      <c r="H229">
        <v>8</v>
      </c>
      <c r="I229" t="s">
        <v>58</v>
      </c>
      <c r="J229">
        <v>0.02</v>
      </c>
      <c r="K229">
        <v>0.27</v>
      </c>
      <c r="L229">
        <v>7.17</v>
      </c>
      <c r="M229">
        <v>11.68</v>
      </c>
      <c r="N229">
        <v>4.32</v>
      </c>
      <c r="O229">
        <v>3.68</v>
      </c>
      <c r="P229">
        <v>13.542400000000001</v>
      </c>
      <c r="Q229" t="str">
        <f>IFERROR(INDEX(Rosters!$C$2:$C$155,MATCH($B229,Rosters!$B$2:$B$155,0)),"NA")</f>
        <v>NA</v>
      </c>
      <c r="R229" t="str">
        <f t="shared" si="6"/>
        <v>NA12</v>
      </c>
      <c r="S229">
        <f>COUNTIFS(A$1:A229,A229)</f>
        <v>11</v>
      </c>
      <c r="T229" t="str">
        <f t="shared" si="7"/>
        <v>Caleb Sturgis12</v>
      </c>
      <c r="U229">
        <f>IF(OR(NOT(ISERROR(MATCH(T229,Finals!$K$2:$K$1801,0))),AND(A229&gt;Week,Q229&lt;&gt;"NA")),"",A229)</f>
        <v>12</v>
      </c>
      <c r="V229" t="str">
        <f>IF(U229&lt;&gt;"",U229&amp;"-"&amp;COUNTIF(U$1:U229,U229),"")</f>
        <v>12-6</v>
      </c>
    </row>
    <row r="230" spans="1:22" x14ac:dyDescent="0.25">
      <c r="A230">
        <v>17</v>
      </c>
      <c r="B230" t="s">
        <v>457</v>
      </c>
      <c r="C230" t="s">
        <v>5209</v>
      </c>
      <c r="D230">
        <v>1.65</v>
      </c>
      <c r="E230">
        <v>2.12</v>
      </c>
      <c r="F230">
        <v>3.06</v>
      </c>
      <c r="G230">
        <v>3.14</v>
      </c>
      <c r="H230">
        <v>8.66</v>
      </c>
      <c r="I230" t="s">
        <v>46</v>
      </c>
      <c r="J230">
        <v>8.0000000000000099E-2</v>
      </c>
      <c r="K230">
        <v>0.47</v>
      </c>
      <c r="L230">
        <v>7.17</v>
      </c>
      <c r="M230">
        <v>12.57</v>
      </c>
      <c r="N230">
        <v>4.75</v>
      </c>
      <c r="O230">
        <v>3.91</v>
      </c>
      <c r="P230">
        <v>15.2881</v>
      </c>
      <c r="Q230" t="str">
        <f>IFERROR(INDEX(Rosters!$C$2:$C$155,MATCH($B230,Rosters!$B$2:$B$155,0)),"NA")</f>
        <v>NA</v>
      </c>
      <c r="R230" t="str">
        <f t="shared" si="6"/>
        <v>NA17</v>
      </c>
      <c r="S230">
        <f>COUNTIFS(A$1:A230,A230)</f>
        <v>19</v>
      </c>
      <c r="T230" t="str">
        <f t="shared" si="7"/>
        <v>Chandler Catanzaro17</v>
      </c>
      <c r="U230">
        <f>IF(OR(NOT(ISERROR(MATCH(T230,Finals!$K$2:$K$1801,0))),AND(A230&gt;Week,Q230&lt;&gt;"NA")),"",A230)</f>
        <v>17</v>
      </c>
      <c r="V230" t="str">
        <f>IF(U230&lt;&gt;"",U230&amp;"-"&amp;COUNTIF(U$1:U230,U230),"")</f>
        <v>17-11</v>
      </c>
    </row>
    <row r="231" spans="1:22" x14ac:dyDescent="0.25">
      <c r="A231">
        <v>13</v>
      </c>
      <c r="B231" t="s">
        <v>450</v>
      </c>
      <c r="C231" t="s">
        <v>4475</v>
      </c>
      <c r="D231">
        <v>1.65</v>
      </c>
      <c r="E231">
        <v>2.04</v>
      </c>
      <c r="F231">
        <v>2.69</v>
      </c>
      <c r="G231">
        <v>2.69</v>
      </c>
      <c r="H231">
        <v>8.34</v>
      </c>
      <c r="I231" t="s">
        <v>56</v>
      </c>
      <c r="J231">
        <v>0</v>
      </c>
      <c r="K231">
        <v>0.39</v>
      </c>
      <c r="L231">
        <v>7.17</v>
      </c>
      <c r="M231">
        <v>12.87</v>
      </c>
      <c r="N231">
        <v>3.81</v>
      </c>
      <c r="O231">
        <v>4.53</v>
      </c>
      <c r="P231">
        <v>20.520900000000001</v>
      </c>
      <c r="Q231" t="str">
        <f>IFERROR(INDEX(Rosters!$C$2:$C$155,MATCH($B231,Rosters!$B$2:$B$155,0)),"NA")</f>
        <v>devon</v>
      </c>
      <c r="R231" t="str">
        <f t="shared" si="6"/>
        <v>devon13</v>
      </c>
      <c r="S231">
        <f>COUNTIFS(A$1:A231,A231)</f>
        <v>16</v>
      </c>
      <c r="T231" t="str">
        <f t="shared" si="7"/>
        <v>Matt Prater13</v>
      </c>
      <c r="U231" t="str">
        <f>IF(OR(NOT(ISERROR(MATCH(T231,Finals!$K$2:$K$1801,0))),AND(A231&gt;Week,Q231&lt;&gt;"NA")),"",A231)</f>
        <v/>
      </c>
      <c r="V231" t="str">
        <f>IF(U231&lt;&gt;"",U231&amp;"-"&amp;COUNTIF(U$1:U231,U231),"")</f>
        <v/>
      </c>
    </row>
    <row r="232" spans="1:22" x14ac:dyDescent="0.25">
      <c r="A232">
        <v>11</v>
      </c>
      <c r="B232" t="s">
        <v>457</v>
      </c>
      <c r="C232" t="s">
        <v>5210</v>
      </c>
      <c r="D232">
        <v>1.65</v>
      </c>
      <c r="E232">
        <v>2.02</v>
      </c>
      <c r="F232">
        <v>2.74</v>
      </c>
      <c r="G232">
        <v>2.78</v>
      </c>
      <c r="H232">
        <v>8.31</v>
      </c>
      <c r="I232" t="s">
        <v>54</v>
      </c>
      <c r="J232">
        <v>3.9999999999999598E-2</v>
      </c>
      <c r="K232">
        <v>0.37</v>
      </c>
      <c r="L232">
        <v>7.16</v>
      </c>
      <c r="M232">
        <v>12.33</v>
      </c>
      <c r="N232">
        <v>4.29</v>
      </c>
      <c r="O232">
        <v>4.0199999999999996</v>
      </c>
      <c r="P232">
        <v>16.160399999999999</v>
      </c>
      <c r="Q232" t="str">
        <f>IFERROR(INDEX(Rosters!$C$2:$C$155,MATCH($B232,Rosters!$B$2:$B$155,0)),"NA")</f>
        <v>NA</v>
      </c>
      <c r="R232" t="str">
        <f t="shared" si="6"/>
        <v>NA11</v>
      </c>
      <c r="S232">
        <f>COUNTIFS(A$1:A232,A232)</f>
        <v>10</v>
      </c>
      <c r="T232" t="str">
        <f t="shared" si="7"/>
        <v>Chandler Catanzaro11</v>
      </c>
      <c r="U232">
        <f>IF(OR(NOT(ISERROR(MATCH(T232,Finals!$K$2:$K$1801,0))),AND(A232&gt;Week,Q232&lt;&gt;"NA")),"",A232)</f>
        <v>11</v>
      </c>
      <c r="V232" t="str">
        <f>IF(U232&lt;&gt;"",U232&amp;"-"&amp;COUNTIF(U$1:U232,U232),"")</f>
        <v>11-7</v>
      </c>
    </row>
    <row r="233" spans="1:22" x14ac:dyDescent="0.25">
      <c r="A233">
        <v>13</v>
      </c>
      <c r="B233" t="s">
        <v>1108</v>
      </c>
      <c r="C233" t="s">
        <v>5211</v>
      </c>
      <c r="D233">
        <v>1.35</v>
      </c>
      <c r="E233">
        <v>1.68</v>
      </c>
      <c r="F233">
        <v>3.5</v>
      </c>
      <c r="G233">
        <v>3.53</v>
      </c>
      <c r="H233">
        <v>8.18</v>
      </c>
      <c r="I233" t="s">
        <v>32</v>
      </c>
      <c r="J233">
        <v>2.9999999999999801E-2</v>
      </c>
      <c r="K233">
        <v>0.33</v>
      </c>
      <c r="L233">
        <v>7.16</v>
      </c>
      <c r="M233">
        <v>12.06</v>
      </c>
      <c r="N233">
        <v>4.3</v>
      </c>
      <c r="O233">
        <v>3.88</v>
      </c>
      <c r="P233">
        <v>15.054399999999999</v>
      </c>
      <c r="Q233" t="str">
        <f>IFERROR(INDEX(Rosters!$C$2:$C$155,MATCH($B233,Rosters!$B$2:$B$155,0)),"NA")</f>
        <v>seth</v>
      </c>
      <c r="R233" t="str">
        <f t="shared" si="6"/>
        <v>seth13</v>
      </c>
      <c r="S233">
        <f>COUNTIFS(A$1:A233,A233)</f>
        <v>17</v>
      </c>
      <c r="T233" t="str">
        <f t="shared" si="7"/>
        <v>Harrison Butker13</v>
      </c>
      <c r="U233" t="str">
        <f>IF(OR(NOT(ISERROR(MATCH(T233,Finals!$K$2:$K$1801,0))),AND(A233&gt;Week,Q233&lt;&gt;"NA")),"",A233)</f>
        <v/>
      </c>
      <c r="V233" t="str">
        <f>IF(U233&lt;&gt;"",U233&amp;"-"&amp;COUNTIF(U$1:U233,U233),"")</f>
        <v/>
      </c>
    </row>
    <row r="234" spans="1:22" x14ac:dyDescent="0.25">
      <c r="A234">
        <v>8</v>
      </c>
      <c r="B234" t="s">
        <v>999</v>
      </c>
      <c r="C234" t="s">
        <v>5212</v>
      </c>
      <c r="D234">
        <v>1.75</v>
      </c>
      <c r="E234">
        <v>2.2000000000000002</v>
      </c>
      <c r="F234">
        <v>2.61</v>
      </c>
      <c r="G234">
        <v>2.65</v>
      </c>
      <c r="H234">
        <v>8.5399999999999991</v>
      </c>
      <c r="I234" t="s">
        <v>19</v>
      </c>
      <c r="J234">
        <v>0.04</v>
      </c>
      <c r="K234">
        <v>0.45</v>
      </c>
      <c r="L234">
        <v>7.15</v>
      </c>
      <c r="M234">
        <v>12.79</v>
      </c>
      <c r="N234">
        <v>4.29</v>
      </c>
      <c r="O234">
        <v>4.25</v>
      </c>
      <c r="P234">
        <v>18.0625</v>
      </c>
      <c r="Q234" t="str">
        <f>IFERROR(INDEX(Rosters!$C$2:$C$155,MATCH($B234,Rosters!$B$2:$B$155,0)),"NA")</f>
        <v>NA</v>
      </c>
      <c r="R234" t="str">
        <f t="shared" si="6"/>
        <v>NA8</v>
      </c>
      <c r="S234">
        <f>COUNTIFS(A$1:A234,A234)</f>
        <v>13</v>
      </c>
      <c r="T234" t="str">
        <f t="shared" si="7"/>
        <v>Ka'imi Fairbairn8</v>
      </c>
      <c r="U234">
        <f>IF(OR(NOT(ISERROR(MATCH(T234,Finals!$K$2:$K$1801,0))),AND(A234&gt;Week,Q234&lt;&gt;"NA")),"",A234)</f>
        <v>8</v>
      </c>
      <c r="V234" t="str">
        <f>IF(U234&lt;&gt;"",U234&amp;"-"&amp;COUNTIF(U$1:U234,U234),"")</f>
        <v>8-9</v>
      </c>
    </row>
    <row r="235" spans="1:22" x14ac:dyDescent="0.25">
      <c r="A235">
        <v>16</v>
      </c>
      <c r="B235" t="s">
        <v>455</v>
      </c>
      <c r="C235" t="s">
        <v>5213</v>
      </c>
      <c r="D235">
        <v>1.61</v>
      </c>
      <c r="E235">
        <v>2</v>
      </c>
      <c r="F235">
        <v>2.94</v>
      </c>
      <c r="G235">
        <v>3.03</v>
      </c>
      <c r="H235">
        <v>8.39</v>
      </c>
      <c r="I235" t="s">
        <v>14</v>
      </c>
      <c r="J235">
        <v>8.99999999999999E-2</v>
      </c>
      <c r="K235">
        <v>0.39</v>
      </c>
      <c r="L235">
        <v>7.13</v>
      </c>
      <c r="M235">
        <v>11.58</v>
      </c>
      <c r="N235">
        <v>5.2</v>
      </c>
      <c r="O235">
        <v>3.19</v>
      </c>
      <c r="P235">
        <v>10.1761</v>
      </c>
      <c r="Q235" t="str">
        <f>IFERROR(INDEX(Rosters!$C$2:$C$155,MATCH($B235,Rosters!$B$2:$B$155,0)),"NA")</f>
        <v>NA</v>
      </c>
      <c r="R235" t="str">
        <f t="shared" si="6"/>
        <v>NA16</v>
      </c>
      <c r="S235">
        <f>COUNTIFS(A$1:A235,A235)</f>
        <v>16</v>
      </c>
      <c r="T235" t="str">
        <f t="shared" si="7"/>
        <v>Chris Boswell16</v>
      </c>
      <c r="U235">
        <f>IF(OR(NOT(ISERROR(MATCH(T235,Finals!$K$2:$K$1801,0))),AND(A235&gt;Week,Q235&lt;&gt;"NA")),"",A235)</f>
        <v>16</v>
      </c>
      <c r="V235" t="str">
        <f>IF(U235&lt;&gt;"",U235&amp;"-"&amp;COUNTIF(U$1:U235,U235),"")</f>
        <v>16-10</v>
      </c>
    </row>
    <row r="236" spans="1:22" x14ac:dyDescent="0.25">
      <c r="A236">
        <v>4</v>
      </c>
      <c r="B236" t="s">
        <v>454</v>
      </c>
      <c r="C236" t="s">
        <v>5214</v>
      </c>
      <c r="D236">
        <v>1.66</v>
      </c>
      <c r="E236">
        <v>2.0099999999999998</v>
      </c>
      <c r="F236">
        <v>2.66</v>
      </c>
      <c r="G236">
        <v>2.8</v>
      </c>
      <c r="H236">
        <v>8.32</v>
      </c>
      <c r="I236" t="s">
        <v>46</v>
      </c>
      <c r="J236">
        <v>0.14000000000000001</v>
      </c>
      <c r="K236">
        <v>0.35</v>
      </c>
      <c r="L236">
        <v>7.13</v>
      </c>
      <c r="M236">
        <v>12.95</v>
      </c>
      <c r="N236">
        <v>3.69</v>
      </c>
      <c r="O236">
        <v>4.63</v>
      </c>
      <c r="P236">
        <v>21.436900000000001</v>
      </c>
      <c r="Q236" t="str">
        <f>IFERROR(INDEX(Rosters!$C$2:$C$155,MATCH($B236,Rosters!$B$2:$B$155,0)),"NA")</f>
        <v>NA</v>
      </c>
      <c r="R236" t="str">
        <f t="shared" si="6"/>
        <v>NA4</v>
      </c>
      <c r="S236">
        <f>COUNTIFS(A$1:A236,A236)</f>
        <v>14</v>
      </c>
      <c r="T236" t="str">
        <f t="shared" si="7"/>
        <v>Randy Bullock4</v>
      </c>
      <c r="U236">
        <f>IF(OR(NOT(ISERROR(MATCH(T236,Finals!$K$2:$K$1801,0))),AND(A236&gt;Week,Q236&lt;&gt;"NA")),"",A236)</f>
        <v>4</v>
      </c>
      <c r="V236" t="str">
        <f>IF(U236&lt;&gt;"",U236&amp;"-"&amp;COUNTIF(U$1:U236,U236),"")</f>
        <v>4-7</v>
      </c>
    </row>
    <row r="237" spans="1:22" x14ac:dyDescent="0.25">
      <c r="A237">
        <v>17</v>
      </c>
      <c r="B237" t="s">
        <v>454</v>
      </c>
      <c r="C237" t="s">
        <v>5215</v>
      </c>
      <c r="D237">
        <v>1.61</v>
      </c>
      <c r="E237">
        <v>1.81</v>
      </c>
      <c r="F237">
        <v>2.31</v>
      </c>
      <c r="G237">
        <v>2.33</v>
      </c>
      <c r="H237">
        <v>7.75</v>
      </c>
      <c r="I237" t="s">
        <v>51</v>
      </c>
      <c r="J237">
        <v>0.02</v>
      </c>
      <c r="K237">
        <v>0.2</v>
      </c>
      <c r="L237">
        <v>7.13</v>
      </c>
      <c r="M237">
        <v>11.11</v>
      </c>
      <c r="N237">
        <v>4.3899999999999997</v>
      </c>
      <c r="O237">
        <v>3.36</v>
      </c>
      <c r="P237">
        <v>11.2896</v>
      </c>
      <c r="Q237" t="str">
        <f>IFERROR(INDEX(Rosters!$C$2:$C$155,MATCH($B237,Rosters!$B$2:$B$155,0)),"NA")</f>
        <v>NA</v>
      </c>
      <c r="R237" t="str">
        <f t="shared" si="6"/>
        <v>NA17</v>
      </c>
      <c r="S237">
        <f>COUNTIFS(A$1:A237,A237)</f>
        <v>20</v>
      </c>
      <c r="T237" t="str">
        <f t="shared" si="7"/>
        <v>Randy Bullock17</v>
      </c>
      <c r="U237">
        <f>IF(OR(NOT(ISERROR(MATCH(T237,Finals!$K$2:$K$1801,0))),AND(A237&gt;Week,Q237&lt;&gt;"NA")),"",A237)</f>
        <v>17</v>
      </c>
      <c r="V237" t="str">
        <f>IF(U237&lt;&gt;"",U237&amp;"-"&amp;COUNTIF(U$1:U237,U237),"")</f>
        <v>17-12</v>
      </c>
    </row>
    <row r="238" spans="1:22" x14ac:dyDescent="0.25">
      <c r="A238">
        <v>13</v>
      </c>
      <c r="B238" t="s">
        <v>1107</v>
      </c>
      <c r="C238" t="s">
        <v>5216</v>
      </c>
      <c r="D238">
        <v>1.75</v>
      </c>
      <c r="E238">
        <v>1.96</v>
      </c>
      <c r="F238">
        <v>1.77</v>
      </c>
      <c r="G238">
        <v>1.79</v>
      </c>
      <c r="H238">
        <v>7.77</v>
      </c>
      <c r="I238" t="s">
        <v>19</v>
      </c>
      <c r="J238">
        <v>0.02</v>
      </c>
      <c r="K238">
        <v>0.21</v>
      </c>
      <c r="L238">
        <v>7.12</v>
      </c>
      <c r="M238">
        <v>12.36</v>
      </c>
      <c r="N238">
        <v>3.18</v>
      </c>
      <c r="O238">
        <v>4.59</v>
      </c>
      <c r="P238">
        <v>21.068100000000001</v>
      </c>
      <c r="Q238" t="str">
        <f>IFERROR(INDEX(Rosters!$C$2:$C$155,MATCH($B238,Rosters!$B$2:$B$155,0)),"NA")</f>
        <v>NA</v>
      </c>
      <c r="R238" t="str">
        <f t="shared" si="6"/>
        <v>NA13</v>
      </c>
      <c r="S238">
        <f>COUNTIFS(A$1:A238,A238)</f>
        <v>18</v>
      </c>
      <c r="T238" t="str">
        <f t="shared" si="7"/>
        <v>Stephen Hauschka13</v>
      </c>
      <c r="U238">
        <f>IF(OR(NOT(ISERROR(MATCH(T238,Finals!$K$2:$K$1801,0))),AND(A238&gt;Week,Q238&lt;&gt;"NA")),"",A238)</f>
        <v>13</v>
      </c>
      <c r="V238" t="str">
        <f>IF(U238&lt;&gt;"",U238&amp;"-"&amp;COUNTIF(U$1:U238,U238),"")</f>
        <v>13-11</v>
      </c>
    </row>
    <row r="239" spans="1:22" x14ac:dyDescent="0.25">
      <c r="A239">
        <v>11</v>
      </c>
      <c r="B239" t="s">
        <v>463</v>
      </c>
      <c r="C239" t="s">
        <v>5217</v>
      </c>
      <c r="D239">
        <v>1.67</v>
      </c>
      <c r="E239">
        <v>1.91</v>
      </c>
      <c r="F239">
        <v>2.2000000000000002</v>
      </c>
      <c r="G239">
        <v>2.36</v>
      </c>
      <c r="H239">
        <v>7.99</v>
      </c>
      <c r="I239" t="s">
        <v>32</v>
      </c>
      <c r="J239">
        <v>0.16</v>
      </c>
      <c r="K239">
        <v>0.24</v>
      </c>
      <c r="L239">
        <v>7.11</v>
      </c>
      <c r="M239">
        <v>12.2</v>
      </c>
      <c r="N239">
        <v>3.78</v>
      </c>
      <c r="O239">
        <v>4.21</v>
      </c>
      <c r="P239">
        <v>17.7241</v>
      </c>
      <c r="Q239" t="str">
        <f>IFERROR(INDEX(Rosters!$C$2:$C$155,MATCH($B239,Rosters!$B$2:$B$155,0)),"NA")</f>
        <v>NA</v>
      </c>
      <c r="R239" t="str">
        <f t="shared" si="6"/>
        <v>NA11</v>
      </c>
      <c r="S239">
        <f>COUNTIFS(A$1:A239,A239)</f>
        <v>11</v>
      </c>
      <c r="T239" t="str">
        <f t="shared" si="7"/>
        <v>Phil Dawson11</v>
      </c>
      <c r="U239">
        <f>IF(OR(NOT(ISERROR(MATCH(T239,Finals!$K$2:$K$1801,0))),AND(A239&gt;Week,Q239&lt;&gt;"NA")),"",A239)</f>
        <v>11</v>
      </c>
      <c r="V239" t="str">
        <f>IF(U239&lt;&gt;"",U239&amp;"-"&amp;COUNTIF(U$1:U239,U239),"")</f>
        <v>11-8</v>
      </c>
    </row>
    <row r="240" spans="1:22" x14ac:dyDescent="0.25">
      <c r="A240">
        <v>8</v>
      </c>
      <c r="B240" t="s">
        <v>447</v>
      </c>
      <c r="C240" t="s">
        <v>5218</v>
      </c>
      <c r="D240">
        <v>1.6</v>
      </c>
      <c r="E240">
        <v>1.77</v>
      </c>
      <c r="F240">
        <v>2.06</v>
      </c>
      <c r="G240">
        <v>2.08</v>
      </c>
      <c r="H240">
        <v>7.64</v>
      </c>
      <c r="I240" t="s">
        <v>74</v>
      </c>
      <c r="J240">
        <v>0.02</v>
      </c>
      <c r="K240">
        <v>0.17</v>
      </c>
      <c r="L240">
        <v>7.11</v>
      </c>
      <c r="M240">
        <v>11.89</v>
      </c>
      <c r="N240">
        <v>3.39</v>
      </c>
      <c r="O240">
        <v>4.25</v>
      </c>
      <c r="P240">
        <v>18.0625</v>
      </c>
      <c r="Q240" t="str">
        <f>IFERROR(INDEX(Rosters!$C$2:$C$155,MATCH($B240,Rosters!$B$2:$B$155,0)),"NA")</f>
        <v>chad</v>
      </c>
      <c r="R240" t="str">
        <f t="shared" si="6"/>
        <v>chad8</v>
      </c>
      <c r="S240">
        <f>COUNTIFS(A$1:A240,A240)</f>
        <v>14</v>
      </c>
      <c r="T240" t="str">
        <f t="shared" si="7"/>
        <v>Justin Tucker8</v>
      </c>
      <c r="U240" t="str">
        <f>IF(OR(NOT(ISERROR(MATCH(T240,Finals!$K$2:$K$1801,0))),AND(A240&gt;Week,Q240&lt;&gt;"NA")),"",A240)</f>
        <v/>
      </c>
      <c r="V240" t="str">
        <f>IF(U240&lt;&gt;"",U240&amp;"-"&amp;COUNTIF(U$1:U240,U240),"")</f>
        <v/>
      </c>
    </row>
    <row r="241" spans="1:22" x14ac:dyDescent="0.25">
      <c r="A241">
        <v>14</v>
      </c>
      <c r="B241" t="s">
        <v>454</v>
      </c>
      <c r="C241" t="s">
        <v>5219</v>
      </c>
      <c r="D241">
        <v>1.59</v>
      </c>
      <c r="E241">
        <v>1.81</v>
      </c>
      <c r="F241">
        <v>2.39</v>
      </c>
      <c r="G241">
        <v>2.41</v>
      </c>
      <c r="H241">
        <v>7.79</v>
      </c>
      <c r="I241" t="s">
        <v>37</v>
      </c>
      <c r="J241">
        <v>0.02</v>
      </c>
      <c r="K241">
        <v>0.22</v>
      </c>
      <c r="L241">
        <v>7.11</v>
      </c>
      <c r="M241">
        <v>11.51</v>
      </c>
      <c r="N241">
        <v>4.07</v>
      </c>
      <c r="O241">
        <v>3.72</v>
      </c>
      <c r="P241">
        <v>13.8384</v>
      </c>
      <c r="Q241" t="str">
        <f>IFERROR(INDEX(Rosters!$C$2:$C$155,MATCH($B241,Rosters!$B$2:$B$155,0)),"NA")</f>
        <v>NA</v>
      </c>
      <c r="R241" t="str">
        <f t="shared" si="6"/>
        <v>NA14</v>
      </c>
      <c r="S241">
        <f>COUNTIFS(A$1:A241,A241)</f>
        <v>15</v>
      </c>
      <c r="T241" t="str">
        <f t="shared" si="7"/>
        <v>Randy Bullock14</v>
      </c>
      <c r="U241">
        <f>IF(OR(NOT(ISERROR(MATCH(T241,Finals!$K$2:$K$1801,0))),AND(A241&gt;Week,Q241&lt;&gt;"NA")),"",A241)</f>
        <v>14</v>
      </c>
      <c r="V241" t="str">
        <f>IF(U241&lt;&gt;"",U241&amp;"-"&amp;COUNTIF(U$1:U241,U241),"")</f>
        <v>14-8</v>
      </c>
    </row>
    <row r="242" spans="1:22" x14ac:dyDescent="0.25">
      <c r="A242">
        <v>12</v>
      </c>
      <c r="B242" t="s">
        <v>998</v>
      </c>
      <c r="C242" t="s">
        <v>5220</v>
      </c>
      <c r="D242">
        <v>1.64</v>
      </c>
      <c r="E242">
        <v>1.87</v>
      </c>
      <c r="F242">
        <v>2.4500000000000002</v>
      </c>
      <c r="G242">
        <v>2.5099999999999998</v>
      </c>
      <c r="H242">
        <v>7.85</v>
      </c>
      <c r="I242" t="s">
        <v>54</v>
      </c>
      <c r="J242">
        <v>5.9999999999999602E-2</v>
      </c>
      <c r="K242">
        <v>0.23</v>
      </c>
      <c r="L242">
        <v>7.1</v>
      </c>
      <c r="M242">
        <v>12.4</v>
      </c>
      <c r="N242">
        <v>3.3</v>
      </c>
      <c r="O242">
        <v>4.55</v>
      </c>
      <c r="P242">
        <v>20.702500000000001</v>
      </c>
      <c r="Q242" t="str">
        <f>IFERROR(INDEX(Rosters!$C$2:$C$155,MATCH($B242,Rosters!$B$2:$B$155,0)),"NA")</f>
        <v>NA</v>
      </c>
      <c r="R242" t="str">
        <f t="shared" si="6"/>
        <v>NA12</v>
      </c>
      <c r="S242">
        <f>COUNTIFS(A$1:A242,A242)</f>
        <v>12</v>
      </c>
      <c r="T242" t="str">
        <f t="shared" si="7"/>
        <v>Jake Elliott12</v>
      </c>
      <c r="U242">
        <f>IF(OR(NOT(ISERROR(MATCH(T242,Finals!$K$2:$K$1801,0))),AND(A242&gt;Week,Q242&lt;&gt;"NA")),"",A242)</f>
        <v>12</v>
      </c>
      <c r="V242" t="str">
        <f>IF(U242&lt;&gt;"",U242&amp;"-"&amp;COUNTIF(U$1:U242,U242),"")</f>
        <v>12-7</v>
      </c>
    </row>
    <row r="243" spans="1:22" x14ac:dyDescent="0.25">
      <c r="A243">
        <v>12</v>
      </c>
      <c r="B243" t="s">
        <v>444</v>
      </c>
      <c r="C243" t="s">
        <v>5221</v>
      </c>
      <c r="D243">
        <v>1.63</v>
      </c>
      <c r="E243">
        <v>1.85</v>
      </c>
      <c r="F243">
        <v>2.33</v>
      </c>
      <c r="G243">
        <v>2.37</v>
      </c>
      <c r="H243">
        <v>7.8</v>
      </c>
      <c r="I243" t="s">
        <v>25</v>
      </c>
      <c r="J243">
        <v>0.04</v>
      </c>
      <c r="K243">
        <v>0.22</v>
      </c>
      <c r="L243">
        <v>7.1</v>
      </c>
      <c r="M243">
        <v>11.74</v>
      </c>
      <c r="N243">
        <v>3.86</v>
      </c>
      <c r="O243">
        <v>3.94</v>
      </c>
      <c r="P243">
        <v>15.5236</v>
      </c>
      <c r="Q243" t="str">
        <f>IFERROR(INDEX(Rosters!$C$2:$C$155,MATCH($B243,Rosters!$B$2:$B$155,0)),"NA")</f>
        <v>perry</v>
      </c>
      <c r="R243" t="str">
        <f t="shared" si="6"/>
        <v>perry12</v>
      </c>
      <c r="S243">
        <f>COUNTIFS(A$1:A243,A243)</f>
        <v>13</v>
      </c>
      <c r="T243" t="str">
        <f t="shared" si="7"/>
        <v>Mason Crosby12</v>
      </c>
      <c r="U243" t="str">
        <f>IF(OR(NOT(ISERROR(MATCH(T243,Finals!$K$2:$K$1801,0))),AND(A243&gt;Week,Q243&lt;&gt;"NA")),"",A243)</f>
        <v/>
      </c>
      <c r="V243" t="str">
        <f>IF(U243&lt;&gt;"",U243&amp;"-"&amp;COUNTIF(U$1:U243,U243),"")</f>
        <v/>
      </c>
    </row>
    <row r="244" spans="1:22" x14ac:dyDescent="0.25">
      <c r="A244">
        <v>1</v>
      </c>
      <c r="B244" t="s">
        <v>459</v>
      </c>
      <c r="C244" t="s">
        <v>1757</v>
      </c>
      <c r="D244">
        <v>1.63</v>
      </c>
      <c r="E244">
        <v>1.83</v>
      </c>
      <c r="F244">
        <v>2.08</v>
      </c>
      <c r="G244">
        <v>2.12</v>
      </c>
      <c r="H244">
        <v>7.73</v>
      </c>
      <c r="I244" t="s">
        <v>41</v>
      </c>
      <c r="J244">
        <v>0.04</v>
      </c>
      <c r="K244">
        <v>0.2</v>
      </c>
      <c r="L244">
        <v>7.09</v>
      </c>
      <c r="M244">
        <v>11.66</v>
      </c>
      <c r="N244">
        <v>3.8</v>
      </c>
      <c r="O244">
        <v>3.93</v>
      </c>
      <c r="P244">
        <v>15.444900000000001</v>
      </c>
      <c r="Q244" t="str">
        <f>IFERROR(INDEX(Rosters!$C$2:$C$155,MATCH($B244,Rosters!$B$2:$B$155,0)),"NA")</f>
        <v>NA</v>
      </c>
      <c r="R244" t="str">
        <f t="shared" si="6"/>
        <v>NA1</v>
      </c>
      <c r="S244">
        <f>COUNTIFS(A$1:A244,A244)</f>
        <v>16</v>
      </c>
      <c r="T244" t="str">
        <f t="shared" si="7"/>
        <v>Cody Parkey1</v>
      </c>
      <c r="U244">
        <f>IF(OR(NOT(ISERROR(MATCH(T244,Finals!$K$2:$K$1801,0))),AND(A244&gt;Week,Q244&lt;&gt;"NA")),"",A244)</f>
        <v>1</v>
      </c>
      <c r="V244" t="str">
        <f>IF(U244&lt;&gt;"",U244&amp;"-"&amp;COUNTIF(U$1:U244,U244),"")</f>
        <v>1-6</v>
      </c>
    </row>
    <row r="245" spans="1:22" x14ac:dyDescent="0.25">
      <c r="A245">
        <v>16</v>
      </c>
      <c r="B245" t="s">
        <v>1108</v>
      </c>
      <c r="C245" t="s">
        <v>5222</v>
      </c>
      <c r="D245">
        <v>1.6</v>
      </c>
      <c r="E245">
        <v>1.95</v>
      </c>
      <c r="F245">
        <v>2.54</v>
      </c>
      <c r="G245">
        <v>2.56</v>
      </c>
      <c r="H245">
        <v>8.16</v>
      </c>
      <c r="I245" t="s">
        <v>28</v>
      </c>
      <c r="J245">
        <v>0.02</v>
      </c>
      <c r="K245">
        <v>0.35</v>
      </c>
      <c r="L245">
        <v>7.09</v>
      </c>
      <c r="M245">
        <v>11.82</v>
      </c>
      <c r="N245">
        <v>4.5</v>
      </c>
      <c r="O245">
        <v>3.66</v>
      </c>
      <c r="P245">
        <v>13.3956</v>
      </c>
      <c r="Q245" t="str">
        <f>IFERROR(INDEX(Rosters!$C$2:$C$155,MATCH($B245,Rosters!$B$2:$B$155,0)),"NA")</f>
        <v>seth</v>
      </c>
      <c r="R245" t="str">
        <f t="shared" si="6"/>
        <v>seth16</v>
      </c>
      <c r="S245">
        <f>COUNTIFS(A$1:A245,A245)</f>
        <v>17</v>
      </c>
      <c r="T245" t="str">
        <f t="shared" si="7"/>
        <v>Harrison Butker16</v>
      </c>
      <c r="U245" t="str">
        <f>IF(OR(NOT(ISERROR(MATCH(T245,Finals!$K$2:$K$1801,0))),AND(A245&gt;Week,Q245&lt;&gt;"NA")),"",A245)</f>
        <v/>
      </c>
      <c r="V245" t="str">
        <f>IF(U245&lt;&gt;"",U245&amp;"-"&amp;COUNTIF(U$1:U245,U245),"")</f>
        <v/>
      </c>
    </row>
    <row r="246" spans="1:22" x14ac:dyDescent="0.25">
      <c r="A246">
        <v>6</v>
      </c>
      <c r="B246" t="s">
        <v>444</v>
      </c>
      <c r="C246" t="s">
        <v>5223</v>
      </c>
      <c r="D246">
        <v>1.67</v>
      </c>
      <c r="E246">
        <v>2.0099999999999998</v>
      </c>
      <c r="F246">
        <v>2.6</v>
      </c>
      <c r="G246">
        <v>2.6</v>
      </c>
      <c r="H246">
        <v>8.11</v>
      </c>
      <c r="I246" t="s">
        <v>30</v>
      </c>
      <c r="J246">
        <v>0</v>
      </c>
      <c r="K246">
        <v>0.34</v>
      </c>
      <c r="L246">
        <v>7.09</v>
      </c>
      <c r="M246">
        <v>12.6</v>
      </c>
      <c r="N246">
        <v>3.62</v>
      </c>
      <c r="O246">
        <v>4.49</v>
      </c>
      <c r="P246">
        <v>20.1601</v>
      </c>
      <c r="Q246" t="str">
        <f>IFERROR(INDEX(Rosters!$C$2:$C$155,MATCH($B246,Rosters!$B$2:$B$155,0)),"NA")</f>
        <v>perry</v>
      </c>
      <c r="R246" t="str">
        <f t="shared" si="6"/>
        <v>perry6</v>
      </c>
      <c r="S246">
        <f>COUNTIFS(A$1:A246,A246)</f>
        <v>12</v>
      </c>
      <c r="T246" t="str">
        <f t="shared" si="7"/>
        <v>Mason Crosby6</v>
      </c>
      <c r="U246" t="str">
        <f>IF(OR(NOT(ISERROR(MATCH(T246,Finals!$K$2:$K$1801,0))),AND(A246&gt;Week,Q246&lt;&gt;"NA")),"",A246)</f>
        <v/>
      </c>
      <c r="V246" t="str">
        <f>IF(U246&lt;&gt;"",U246&amp;"-"&amp;COUNTIF(U$1:U246,U246),"")</f>
        <v/>
      </c>
    </row>
    <row r="247" spans="1:22" x14ac:dyDescent="0.25">
      <c r="A247">
        <v>1</v>
      </c>
      <c r="B247" t="s">
        <v>463</v>
      </c>
      <c r="C247" t="s">
        <v>1758</v>
      </c>
      <c r="D247">
        <v>1.74</v>
      </c>
      <c r="E247">
        <v>2.1</v>
      </c>
      <c r="F247">
        <v>2.2200000000000002</v>
      </c>
      <c r="G247">
        <v>2.2200000000000002</v>
      </c>
      <c r="H247">
        <v>8.17</v>
      </c>
      <c r="I247" t="s">
        <v>60</v>
      </c>
      <c r="J247">
        <v>0</v>
      </c>
      <c r="K247">
        <v>0.36</v>
      </c>
      <c r="L247">
        <v>7.09</v>
      </c>
      <c r="M247">
        <v>12.8</v>
      </c>
      <c r="N247">
        <v>3.54</v>
      </c>
      <c r="O247">
        <v>4.63</v>
      </c>
      <c r="P247">
        <v>21.436900000000001</v>
      </c>
      <c r="Q247" t="str">
        <f>IFERROR(INDEX(Rosters!$C$2:$C$155,MATCH($B247,Rosters!$B$2:$B$155,0)),"NA")</f>
        <v>NA</v>
      </c>
      <c r="R247" t="str">
        <f t="shared" si="6"/>
        <v>NA1</v>
      </c>
      <c r="S247">
        <f>COUNTIFS(A$1:A247,A247)</f>
        <v>17</v>
      </c>
      <c r="T247" t="str">
        <f t="shared" si="7"/>
        <v>Phil Dawson1</v>
      </c>
      <c r="U247">
        <f>IF(OR(NOT(ISERROR(MATCH(T247,Finals!$K$2:$K$1801,0))),AND(A247&gt;Week,Q247&lt;&gt;"NA")),"",A247)</f>
        <v>1</v>
      </c>
      <c r="V247" t="str">
        <f>IF(U247&lt;&gt;"",U247&amp;"-"&amp;COUNTIF(U$1:U247,U247),"")</f>
        <v>1-7</v>
      </c>
    </row>
    <row r="248" spans="1:22" x14ac:dyDescent="0.25">
      <c r="A248">
        <v>8</v>
      </c>
      <c r="B248" t="s">
        <v>452</v>
      </c>
      <c r="C248" t="s">
        <v>5224</v>
      </c>
      <c r="D248">
        <v>1.61</v>
      </c>
      <c r="E248">
        <v>1.79</v>
      </c>
      <c r="F248">
        <v>1.88</v>
      </c>
      <c r="G248">
        <v>1.88</v>
      </c>
      <c r="H248">
        <v>7.62</v>
      </c>
      <c r="I248" t="s">
        <v>58</v>
      </c>
      <c r="J248">
        <v>0</v>
      </c>
      <c r="K248">
        <v>0.18</v>
      </c>
      <c r="L248">
        <v>7.08</v>
      </c>
      <c r="M248">
        <v>11.98</v>
      </c>
      <c r="N248">
        <v>3.26</v>
      </c>
      <c r="O248">
        <v>4.3600000000000003</v>
      </c>
      <c r="P248">
        <v>19.009599999999999</v>
      </c>
      <c r="Q248" t="str">
        <f>IFERROR(INDEX(Rosters!$C$2:$C$155,MATCH($B248,Rosters!$B$2:$B$155,0)),"NA")</f>
        <v>matty</v>
      </c>
      <c r="R248" t="str">
        <f t="shared" si="6"/>
        <v>matty8</v>
      </c>
      <c r="S248">
        <f>COUNTIFS(A$1:A248,A248)</f>
        <v>15</v>
      </c>
      <c r="T248" t="str">
        <f t="shared" si="7"/>
        <v>Robbie Gould8</v>
      </c>
      <c r="U248" t="str">
        <f>IF(OR(NOT(ISERROR(MATCH(T248,Finals!$K$2:$K$1801,0))),AND(A248&gt;Week,Q248&lt;&gt;"NA")),"",A248)</f>
        <v/>
      </c>
      <c r="V248" t="str">
        <f>IF(U248&lt;&gt;"",U248&amp;"-"&amp;COUNTIF(U$1:U248,U248),"")</f>
        <v/>
      </c>
    </row>
    <row r="249" spans="1:22" x14ac:dyDescent="0.25">
      <c r="A249">
        <v>12</v>
      </c>
      <c r="B249" t="s">
        <v>454</v>
      </c>
      <c r="C249" t="s">
        <v>5225</v>
      </c>
      <c r="D249">
        <v>1.66</v>
      </c>
      <c r="E249">
        <v>1.99</v>
      </c>
      <c r="F249">
        <v>2.63</v>
      </c>
      <c r="G249">
        <v>2.67</v>
      </c>
      <c r="H249">
        <v>8.11</v>
      </c>
      <c r="I249" t="s">
        <v>52</v>
      </c>
      <c r="J249">
        <v>0.04</v>
      </c>
      <c r="K249">
        <v>0.33</v>
      </c>
      <c r="L249">
        <v>7.08</v>
      </c>
      <c r="M249">
        <v>12.46</v>
      </c>
      <c r="N249">
        <v>3.76</v>
      </c>
      <c r="O249">
        <v>4.3499999999999996</v>
      </c>
      <c r="P249">
        <v>18.922499999999999</v>
      </c>
      <c r="Q249" t="str">
        <f>IFERROR(INDEX(Rosters!$C$2:$C$155,MATCH($B249,Rosters!$B$2:$B$155,0)),"NA")</f>
        <v>NA</v>
      </c>
      <c r="R249" t="str">
        <f t="shared" si="6"/>
        <v>NA12</v>
      </c>
      <c r="S249">
        <f>COUNTIFS(A$1:A249,A249)</f>
        <v>14</v>
      </c>
      <c r="T249" t="str">
        <f t="shared" si="7"/>
        <v>Randy Bullock12</v>
      </c>
      <c r="U249">
        <f>IF(OR(NOT(ISERROR(MATCH(T249,Finals!$K$2:$K$1801,0))),AND(A249&gt;Week,Q249&lt;&gt;"NA")),"",A249)</f>
        <v>12</v>
      </c>
      <c r="V249" t="str">
        <f>IF(U249&lt;&gt;"",U249&amp;"-"&amp;COUNTIF(U$1:U249,U249),"")</f>
        <v>12-8</v>
      </c>
    </row>
    <row r="250" spans="1:22" x14ac:dyDescent="0.25">
      <c r="A250">
        <v>10</v>
      </c>
      <c r="B250" t="s">
        <v>444</v>
      </c>
      <c r="C250" t="s">
        <v>5226</v>
      </c>
      <c r="D250">
        <v>1.71</v>
      </c>
      <c r="E250">
        <v>2.0299999999999998</v>
      </c>
      <c r="F250">
        <v>2.4500000000000002</v>
      </c>
      <c r="G250">
        <v>2.4900000000000002</v>
      </c>
      <c r="H250">
        <v>8.07</v>
      </c>
      <c r="I250" t="s">
        <v>19</v>
      </c>
      <c r="J250">
        <v>0.04</v>
      </c>
      <c r="K250">
        <v>0.32</v>
      </c>
      <c r="L250">
        <v>7.07</v>
      </c>
      <c r="M250">
        <v>12.45</v>
      </c>
      <c r="N250">
        <v>3.69</v>
      </c>
      <c r="O250">
        <v>4.38</v>
      </c>
      <c r="P250">
        <v>19.1844</v>
      </c>
      <c r="Q250" t="str">
        <f>IFERROR(INDEX(Rosters!$C$2:$C$155,MATCH($B250,Rosters!$B$2:$B$155,0)),"NA")</f>
        <v>perry</v>
      </c>
      <c r="R250" t="str">
        <f t="shared" si="6"/>
        <v>perry10</v>
      </c>
      <c r="S250">
        <f>COUNTIFS(A$1:A250,A250)</f>
        <v>13</v>
      </c>
      <c r="T250" t="str">
        <f t="shared" si="7"/>
        <v>Mason Crosby10</v>
      </c>
      <c r="U250" t="str">
        <f>IF(OR(NOT(ISERROR(MATCH(T250,Finals!$K$2:$K$1801,0))),AND(A250&gt;Week,Q250&lt;&gt;"NA")),"",A250)</f>
        <v/>
      </c>
      <c r="V250" t="str">
        <f>IF(U250&lt;&gt;"",U250&amp;"-"&amp;COUNTIF(U$1:U250,U250),"")</f>
        <v/>
      </c>
    </row>
    <row r="251" spans="1:22" x14ac:dyDescent="0.25">
      <c r="A251">
        <v>8</v>
      </c>
      <c r="B251" t="s">
        <v>448</v>
      </c>
      <c r="C251" t="s">
        <v>5227</v>
      </c>
      <c r="D251">
        <v>1.71</v>
      </c>
      <c r="E251">
        <v>2.04</v>
      </c>
      <c r="F251">
        <v>2.31</v>
      </c>
      <c r="G251">
        <v>2.33</v>
      </c>
      <c r="H251">
        <v>8.08</v>
      </c>
      <c r="I251" t="s">
        <v>32</v>
      </c>
      <c r="J251">
        <v>0.02</v>
      </c>
      <c r="K251">
        <v>0.33</v>
      </c>
      <c r="L251">
        <v>7.07</v>
      </c>
      <c r="M251">
        <v>11.91</v>
      </c>
      <c r="N251">
        <v>4.25</v>
      </c>
      <c r="O251">
        <v>3.83</v>
      </c>
      <c r="P251">
        <v>14.668900000000001</v>
      </c>
      <c r="Q251" t="str">
        <f>IFERROR(INDEX(Rosters!$C$2:$C$155,MATCH($B251,Rosters!$B$2:$B$155,0)),"NA")</f>
        <v>NA</v>
      </c>
      <c r="R251" t="str">
        <f t="shared" si="6"/>
        <v>NA8</v>
      </c>
      <c r="S251">
        <f>COUNTIFS(A$1:A251,A251)</f>
        <v>16</v>
      </c>
      <c r="T251" t="str">
        <f t="shared" si="7"/>
        <v>Adam Vinatieri8</v>
      </c>
      <c r="U251">
        <f>IF(OR(NOT(ISERROR(MATCH(T251,Finals!$K$2:$K$1801,0))),AND(A251&gt;Week,Q251&lt;&gt;"NA")),"",A251)</f>
        <v>8</v>
      </c>
      <c r="V251" t="str">
        <f>IF(U251&lt;&gt;"",U251&amp;"-"&amp;COUNTIF(U$1:U251,U251),"")</f>
        <v>8-10</v>
      </c>
    </row>
    <row r="252" spans="1:22" x14ac:dyDescent="0.25">
      <c r="A252">
        <v>13</v>
      </c>
      <c r="B252" t="s">
        <v>465</v>
      </c>
      <c r="C252" t="s">
        <v>4384</v>
      </c>
      <c r="D252">
        <v>1.63</v>
      </c>
      <c r="E252">
        <v>1.83</v>
      </c>
      <c r="F252">
        <v>2.16</v>
      </c>
      <c r="G252">
        <v>2.1800000000000002</v>
      </c>
      <c r="H252">
        <v>7.69</v>
      </c>
      <c r="I252" t="s">
        <v>31</v>
      </c>
      <c r="J252">
        <v>0.02</v>
      </c>
      <c r="K252">
        <v>0.2</v>
      </c>
      <c r="L252">
        <v>7.07</v>
      </c>
      <c r="M252">
        <v>12.16</v>
      </c>
      <c r="N252">
        <v>3.22</v>
      </c>
      <c r="O252">
        <v>4.47</v>
      </c>
      <c r="P252">
        <v>19.980899999999998</v>
      </c>
      <c r="Q252" t="str">
        <f>IFERROR(INDEX(Rosters!$C$2:$C$155,MATCH($B252,Rosters!$B$2:$B$155,0)),"NA")</f>
        <v>NA</v>
      </c>
      <c r="R252" t="str">
        <f t="shared" si="6"/>
        <v>NA13</v>
      </c>
      <c r="S252">
        <f>COUNTIFS(A$1:A252,A252)</f>
        <v>19</v>
      </c>
      <c r="T252" t="str">
        <f t="shared" si="7"/>
        <v>Brandon McManus13</v>
      </c>
      <c r="U252">
        <f>IF(OR(NOT(ISERROR(MATCH(T252,Finals!$K$2:$K$1801,0))),AND(A252&gt;Week,Q252&lt;&gt;"NA")),"",A252)</f>
        <v>13</v>
      </c>
      <c r="V252" t="str">
        <f>IF(U252&lt;&gt;"",U252&amp;"-"&amp;COUNTIF(U$1:U252,U252),"")</f>
        <v>13-12</v>
      </c>
    </row>
    <row r="253" spans="1:22" x14ac:dyDescent="0.25">
      <c r="A253">
        <v>9</v>
      </c>
      <c r="B253" t="s">
        <v>459</v>
      </c>
      <c r="C253" t="s">
        <v>5228</v>
      </c>
      <c r="D253">
        <v>1.69</v>
      </c>
      <c r="E253">
        <v>1.98</v>
      </c>
      <c r="F253">
        <v>2.06</v>
      </c>
      <c r="G253">
        <v>2.08</v>
      </c>
      <c r="H253">
        <v>7.95</v>
      </c>
      <c r="I253" t="s">
        <v>29</v>
      </c>
      <c r="J253">
        <v>0.02</v>
      </c>
      <c r="K253">
        <v>0.28999999999999998</v>
      </c>
      <c r="L253">
        <v>7.06</v>
      </c>
      <c r="M253">
        <v>11.54</v>
      </c>
      <c r="N253">
        <v>4.3600000000000003</v>
      </c>
      <c r="O253">
        <v>3.59</v>
      </c>
      <c r="P253">
        <v>12.8881</v>
      </c>
      <c r="Q253" t="str">
        <f>IFERROR(INDEX(Rosters!$C$2:$C$155,MATCH($B253,Rosters!$B$2:$B$155,0)),"NA")</f>
        <v>NA</v>
      </c>
      <c r="R253" t="str">
        <f t="shared" si="6"/>
        <v>NA9</v>
      </c>
      <c r="S253">
        <f>COUNTIFS(A$1:A253,A253)</f>
        <v>11</v>
      </c>
      <c r="T253" t="str">
        <f t="shared" si="7"/>
        <v>Cody Parkey9</v>
      </c>
      <c r="U253">
        <f>IF(OR(NOT(ISERROR(MATCH(T253,Finals!$K$2:$K$1801,0))),AND(A253&gt;Week,Q253&lt;&gt;"NA")),"",A253)</f>
        <v>9</v>
      </c>
      <c r="V253" t="str">
        <f>IF(U253&lt;&gt;"",U253&amp;"-"&amp;COUNTIF(U$1:U253,U253),"")</f>
        <v>9-6</v>
      </c>
    </row>
    <row r="254" spans="1:22" x14ac:dyDescent="0.25">
      <c r="A254">
        <v>13</v>
      </c>
      <c r="B254" t="s">
        <v>454</v>
      </c>
      <c r="C254" t="s">
        <v>5229</v>
      </c>
      <c r="D254">
        <v>1.74</v>
      </c>
      <c r="E254">
        <v>2.09</v>
      </c>
      <c r="F254">
        <v>2.4700000000000002</v>
      </c>
      <c r="G254">
        <v>2.5499999999999998</v>
      </c>
      <c r="H254">
        <v>8.19</v>
      </c>
      <c r="I254" t="s">
        <v>42</v>
      </c>
      <c r="J254">
        <v>7.9999999999999599E-2</v>
      </c>
      <c r="K254">
        <v>0.35</v>
      </c>
      <c r="L254">
        <v>7.06</v>
      </c>
      <c r="M254">
        <v>12.79</v>
      </c>
      <c r="N254">
        <v>3.59</v>
      </c>
      <c r="O254">
        <v>4.5999999999999996</v>
      </c>
      <c r="P254">
        <v>21.16</v>
      </c>
      <c r="Q254" t="str">
        <f>IFERROR(INDEX(Rosters!$C$2:$C$155,MATCH($B254,Rosters!$B$2:$B$155,0)),"NA")</f>
        <v>NA</v>
      </c>
      <c r="R254" t="str">
        <f t="shared" si="6"/>
        <v>NA13</v>
      </c>
      <c r="S254">
        <f>COUNTIFS(A$1:A254,A254)</f>
        <v>20</v>
      </c>
      <c r="T254" t="str">
        <f t="shared" si="7"/>
        <v>Randy Bullock13</v>
      </c>
      <c r="U254">
        <f>IF(OR(NOT(ISERROR(MATCH(T254,Finals!$K$2:$K$1801,0))),AND(A254&gt;Week,Q254&lt;&gt;"NA")),"",A254)</f>
        <v>13</v>
      </c>
      <c r="V254" t="str">
        <f>IF(U254&lt;&gt;"",U254&amp;"-"&amp;COUNTIF(U$1:U254,U254),"")</f>
        <v>13-13</v>
      </c>
    </row>
    <row r="255" spans="1:22" x14ac:dyDescent="0.25">
      <c r="A255">
        <v>6</v>
      </c>
      <c r="B255" t="s">
        <v>1120</v>
      </c>
      <c r="C255" t="s">
        <v>5230</v>
      </c>
      <c r="D255">
        <v>1.71</v>
      </c>
      <c r="E255">
        <v>2.0099999999999998</v>
      </c>
      <c r="F255">
        <v>2.1800000000000002</v>
      </c>
      <c r="G255">
        <v>2.2000000000000002</v>
      </c>
      <c r="H255">
        <v>7.97</v>
      </c>
      <c r="I255" t="s">
        <v>74</v>
      </c>
      <c r="J255">
        <v>0.02</v>
      </c>
      <c r="K255">
        <v>0.3</v>
      </c>
      <c r="L255">
        <v>7.05</v>
      </c>
      <c r="M255">
        <v>12.29</v>
      </c>
      <c r="N255">
        <v>3.65</v>
      </c>
      <c r="O255">
        <v>4.32</v>
      </c>
      <c r="P255">
        <v>18.662400000000002</v>
      </c>
      <c r="Q255" t="str">
        <f>IFERROR(INDEX(Rosters!$C$2:$C$155,MATCH($B255,Rosters!$B$2:$B$155,0)),"NA")</f>
        <v>NA</v>
      </c>
      <c r="R255" t="str">
        <f t="shared" si="6"/>
        <v>NA6</v>
      </c>
      <c r="S255">
        <f>COUNTIFS(A$1:A255,A255)</f>
        <v>13</v>
      </c>
      <c r="T255" t="str">
        <f t="shared" si="7"/>
        <v>Dustin Hopkins6</v>
      </c>
      <c r="U255">
        <f>IF(OR(NOT(ISERROR(MATCH(T255,Finals!$K$2:$K$1801,0))),AND(A255&gt;Week,Q255&lt;&gt;"NA")),"",A255)</f>
        <v>6</v>
      </c>
      <c r="V255" t="str">
        <f>IF(U255&lt;&gt;"",U255&amp;"-"&amp;COUNTIF(U$1:U255,U255),"")</f>
        <v>6-6</v>
      </c>
    </row>
    <row r="256" spans="1:22" x14ac:dyDescent="0.25">
      <c r="A256">
        <v>4</v>
      </c>
      <c r="B256" t="s">
        <v>999</v>
      </c>
      <c r="C256" t="s">
        <v>5231</v>
      </c>
      <c r="D256">
        <v>1.67</v>
      </c>
      <c r="E256">
        <v>1.95</v>
      </c>
      <c r="F256">
        <v>2.69</v>
      </c>
      <c r="G256">
        <v>2.79</v>
      </c>
      <c r="H256">
        <v>7.99</v>
      </c>
      <c r="I256" t="s">
        <v>66</v>
      </c>
      <c r="J256">
        <v>0.1</v>
      </c>
      <c r="K256">
        <v>0.28000000000000003</v>
      </c>
      <c r="L256">
        <v>7.05</v>
      </c>
      <c r="M256">
        <v>12.26</v>
      </c>
      <c r="N256">
        <v>3.72</v>
      </c>
      <c r="O256">
        <v>4.2699999999999996</v>
      </c>
      <c r="P256">
        <v>18.232900000000001</v>
      </c>
      <c r="Q256" t="str">
        <f>IFERROR(INDEX(Rosters!$C$2:$C$155,MATCH($B256,Rosters!$B$2:$B$155,0)),"NA")</f>
        <v>NA</v>
      </c>
      <c r="R256" t="str">
        <f t="shared" si="6"/>
        <v>NA4</v>
      </c>
      <c r="S256">
        <f>COUNTIFS(A$1:A256,A256)</f>
        <v>15</v>
      </c>
      <c r="T256" t="str">
        <f t="shared" si="7"/>
        <v>Ka'imi Fairbairn4</v>
      </c>
      <c r="U256">
        <f>IF(OR(NOT(ISERROR(MATCH(T256,Finals!$K$2:$K$1801,0))),AND(A256&gt;Week,Q256&lt;&gt;"NA")),"",A256)</f>
        <v>4</v>
      </c>
      <c r="V256" t="str">
        <f>IF(U256&lt;&gt;"",U256&amp;"-"&amp;COUNTIF(U$1:U256,U256),"")</f>
        <v>4-8</v>
      </c>
    </row>
    <row r="257" spans="1:22" x14ac:dyDescent="0.25">
      <c r="A257">
        <v>6</v>
      </c>
      <c r="B257" t="s">
        <v>999</v>
      </c>
      <c r="C257" t="s">
        <v>5232</v>
      </c>
      <c r="D257">
        <v>1.58</v>
      </c>
      <c r="E257">
        <v>1.95</v>
      </c>
      <c r="F257">
        <v>2.69</v>
      </c>
      <c r="G257">
        <v>2.71</v>
      </c>
      <c r="H257">
        <v>8.18</v>
      </c>
      <c r="I257" t="s">
        <v>29</v>
      </c>
      <c r="J257">
        <v>0.02</v>
      </c>
      <c r="K257">
        <v>0.37</v>
      </c>
      <c r="L257">
        <v>7.05</v>
      </c>
      <c r="M257">
        <v>12.24</v>
      </c>
      <c r="N257">
        <v>4.12</v>
      </c>
      <c r="O257">
        <v>4.0599999999999996</v>
      </c>
      <c r="P257">
        <v>16.483599999999999</v>
      </c>
      <c r="Q257" t="str">
        <f>IFERROR(INDEX(Rosters!$C$2:$C$155,MATCH($B257,Rosters!$B$2:$B$155,0)),"NA")</f>
        <v>NA</v>
      </c>
      <c r="R257" t="str">
        <f t="shared" si="6"/>
        <v>NA6</v>
      </c>
      <c r="S257">
        <f>COUNTIFS(A$1:A257,A257)</f>
        <v>14</v>
      </c>
      <c r="T257" t="str">
        <f t="shared" si="7"/>
        <v>Ka'imi Fairbairn6</v>
      </c>
      <c r="U257">
        <f>IF(OR(NOT(ISERROR(MATCH(T257,Finals!$K$2:$K$1801,0))),AND(A257&gt;Week,Q257&lt;&gt;"NA")),"",A257)</f>
        <v>6</v>
      </c>
      <c r="V257" t="str">
        <f>IF(U257&lt;&gt;"",U257&amp;"-"&amp;COUNTIF(U$1:U257,U257),"")</f>
        <v>6-7</v>
      </c>
    </row>
    <row r="258" spans="1:22" x14ac:dyDescent="0.25">
      <c r="A258">
        <v>10</v>
      </c>
      <c r="B258" t="s">
        <v>454</v>
      </c>
      <c r="C258" t="s">
        <v>5233</v>
      </c>
      <c r="D258">
        <v>1.61</v>
      </c>
      <c r="E258">
        <v>1.94</v>
      </c>
      <c r="F258">
        <v>2.84</v>
      </c>
      <c r="G258">
        <v>2.88</v>
      </c>
      <c r="H258">
        <v>8.08</v>
      </c>
      <c r="I258" t="s">
        <v>14</v>
      </c>
      <c r="J258">
        <v>0.04</v>
      </c>
      <c r="K258">
        <v>0.33</v>
      </c>
      <c r="L258">
        <v>7.05</v>
      </c>
      <c r="M258">
        <v>12.15</v>
      </c>
      <c r="N258">
        <v>4.01</v>
      </c>
      <c r="O258">
        <v>4.07</v>
      </c>
      <c r="P258">
        <v>16.564900000000002</v>
      </c>
      <c r="Q258" t="str">
        <f>IFERROR(INDEX(Rosters!$C$2:$C$155,MATCH($B258,Rosters!$B$2:$B$155,0)),"NA")</f>
        <v>NA</v>
      </c>
      <c r="R258" t="str">
        <f t="shared" si="6"/>
        <v>NA10</v>
      </c>
      <c r="S258">
        <f>COUNTIFS(A$1:A258,A258)</f>
        <v>14</v>
      </c>
      <c r="T258" t="str">
        <f t="shared" si="7"/>
        <v>Randy Bullock10</v>
      </c>
      <c r="U258">
        <f>IF(OR(NOT(ISERROR(MATCH(T258,Finals!$K$2:$K$1801,0))),AND(A258&gt;Week,Q258&lt;&gt;"NA")),"",A258)</f>
        <v>10</v>
      </c>
      <c r="V258" t="str">
        <f>IF(U258&lt;&gt;"",U258&amp;"-"&amp;COUNTIF(U$1:U258,U258),"")</f>
        <v>10-8</v>
      </c>
    </row>
    <row r="259" spans="1:22" x14ac:dyDescent="0.25">
      <c r="A259">
        <v>1</v>
      </c>
      <c r="B259" t="s">
        <v>448</v>
      </c>
      <c r="C259" t="s">
        <v>1759</v>
      </c>
      <c r="D259">
        <v>1.81</v>
      </c>
      <c r="E259">
        <v>2.2000000000000002</v>
      </c>
      <c r="F259">
        <v>1.92</v>
      </c>
      <c r="G259">
        <v>1.92</v>
      </c>
      <c r="H259">
        <v>8.2100000000000009</v>
      </c>
      <c r="I259" t="s">
        <v>31</v>
      </c>
      <c r="J259">
        <v>0</v>
      </c>
      <c r="K259">
        <v>0.39</v>
      </c>
      <c r="L259">
        <v>7.04</v>
      </c>
      <c r="M259">
        <v>12.08</v>
      </c>
      <c r="N259">
        <v>4.34</v>
      </c>
      <c r="O259">
        <v>3.87</v>
      </c>
      <c r="P259">
        <v>14.976900000000001</v>
      </c>
      <c r="Q259" t="str">
        <f>IFERROR(INDEX(Rosters!$C$2:$C$155,MATCH($B259,Rosters!$B$2:$B$155,0)),"NA")</f>
        <v>NA</v>
      </c>
      <c r="R259" t="str">
        <f t="shared" ref="R259:R322" si="8">Q259&amp;A259</f>
        <v>NA1</v>
      </c>
      <c r="S259">
        <f>COUNTIFS(A$1:A259,A259)</f>
        <v>18</v>
      </c>
      <c r="T259" t="str">
        <f t="shared" ref="T259:T322" si="9">B259&amp;A259</f>
        <v>Adam Vinatieri1</v>
      </c>
      <c r="U259">
        <f>IF(OR(NOT(ISERROR(MATCH(T259,Finals!$K$2:$K$1801,0))),AND(A259&gt;Week,Q259&lt;&gt;"NA")),"",A259)</f>
        <v>1</v>
      </c>
      <c r="V259" t="str">
        <f>IF(U259&lt;&gt;"",U259&amp;"-"&amp;COUNTIF(U$1:U259,U259),"")</f>
        <v>1-8</v>
      </c>
    </row>
    <row r="260" spans="1:22" x14ac:dyDescent="0.25">
      <c r="A260">
        <v>16</v>
      </c>
      <c r="B260" t="s">
        <v>1107</v>
      </c>
      <c r="C260" t="s">
        <v>5234</v>
      </c>
      <c r="D260">
        <v>1.73</v>
      </c>
      <c r="E260">
        <v>1.93</v>
      </c>
      <c r="F260">
        <v>1.77</v>
      </c>
      <c r="G260">
        <v>1.79</v>
      </c>
      <c r="H260">
        <v>7.66</v>
      </c>
      <c r="I260" t="s">
        <v>423</v>
      </c>
      <c r="J260">
        <v>0.02</v>
      </c>
      <c r="K260">
        <v>0.2</v>
      </c>
      <c r="L260">
        <v>7.04</v>
      </c>
      <c r="M260">
        <v>12.01</v>
      </c>
      <c r="N260">
        <v>3.31</v>
      </c>
      <c r="O260">
        <v>4.3499999999999996</v>
      </c>
      <c r="P260">
        <v>18.922499999999999</v>
      </c>
      <c r="Q260" t="str">
        <f>IFERROR(INDEX(Rosters!$C$2:$C$155,MATCH($B260,Rosters!$B$2:$B$155,0)),"NA")</f>
        <v>NA</v>
      </c>
      <c r="R260" t="str">
        <f t="shared" si="8"/>
        <v>NA16</v>
      </c>
      <c r="S260">
        <f>COUNTIFS(A$1:A260,A260)</f>
        <v>18</v>
      </c>
      <c r="T260" t="str">
        <f t="shared" si="9"/>
        <v>Stephen Hauschka16</v>
      </c>
      <c r="U260">
        <f>IF(OR(NOT(ISERROR(MATCH(T260,Finals!$K$2:$K$1801,0))),AND(A260&gt;Week,Q260&lt;&gt;"NA")),"",A260)</f>
        <v>16</v>
      </c>
      <c r="V260" t="str">
        <f>IF(U260&lt;&gt;"",U260&amp;"-"&amp;COUNTIF(U$1:U260,U260),"")</f>
        <v>16-11</v>
      </c>
    </row>
    <row r="261" spans="1:22" x14ac:dyDescent="0.25">
      <c r="A261">
        <v>16</v>
      </c>
      <c r="B261" t="s">
        <v>459</v>
      </c>
      <c r="C261" t="s">
        <v>5235</v>
      </c>
      <c r="D261">
        <v>1.63</v>
      </c>
      <c r="E261">
        <v>1.92</v>
      </c>
      <c r="F261">
        <v>2.33</v>
      </c>
      <c r="G261">
        <v>2.35</v>
      </c>
      <c r="H261">
        <v>7.93</v>
      </c>
      <c r="I261" t="s">
        <v>30</v>
      </c>
      <c r="J261">
        <v>0.02</v>
      </c>
      <c r="K261">
        <v>0.28999999999999998</v>
      </c>
      <c r="L261">
        <v>7.04</v>
      </c>
      <c r="M261">
        <v>12.04</v>
      </c>
      <c r="N261">
        <v>3.82</v>
      </c>
      <c r="O261">
        <v>4.1100000000000003</v>
      </c>
      <c r="P261">
        <v>16.892099999999999</v>
      </c>
      <c r="Q261" t="str">
        <f>IFERROR(INDEX(Rosters!$C$2:$C$155,MATCH($B261,Rosters!$B$2:$B$155,0)),"NA")</f>
        <v>NA</v>
      </c>
      <c r="R261" t="str">
        <f t="shared" si="8"/>
        <v>NA16</v>
      </c>
      <c r="S261">
        <f>COUNTIFS(A$1:A261,A261)</f>
        <v>19</v>
      </c>
      <c r="T261" t="str">
        <f t="shared" si="9"/>
        <v>Cody Parkey16</v>
      </c>
      <c r="U261">
        <f>IF(OR(NOT(ISERROR(MATCH(T261,Finals!$K$2:$K$1801,0))),AND(A261&gt;Week,Q261&lt;&gt;"NA")),"",A261)</f>
        <v>16</v>
      </c>
      <c r="V261" t="str">
        <f>IF(U261&lt;&gt;"",U261&amp;"-"&amp;COUNTIF(U$1:U261,U261),"")</f>
        <v>16-12</v>
      </c>
    </row>
    <row r="262" spans="1:22" x14ac:dyDescent="0.25">
      <c r="A262">
        <v>14</v>
      </c>
      <c r="B262" t="s">
        <v>456</v>
      </c>
      <c r="C262" t="s">
        <v>5236</v>
      </c>
      <c r="D262">
        <v>1.61</v>
      </c>
      <c r="E262">
        <v>1.88</v>
      </c>
      <c r="F262">
        <v>2.4500000000000002</v>
      </c>
      <c r="G262">
        <v>2.4700000000000002</v>
      </c>
      <c r="H262">
        <v>7.86</v>
      </c>
      <c r="I262" t="s">
        <v>52</v>
      </c>
      <c r="J262">
        <v>0.02</v>
      </c>
      <c r="K262">
        <v>0.27</v>
      </c>
      <c r="L262">
        <v>7.03</v>
      </c>
      <c r="M262">
        <v>11.88</v>
      </c>
      <c r="N262">
        <v>3.84</v>
      </c>
      <c r="O262">
        <v>4.0199999999999996</v>
      </c>
      <c r="P262">
        <v>16.160399999999999</v>
      </c>
      <c r="Q262" t="str">
        <f>IFERROR(INDEX(Rosters!$C$2:$C$155,MATCH($B262,Rosters!$B$2:$B$155,0)),"NA")</f>
        <v>NA</v>
      </c>
      <c r="R262" t="str">
        <f t="shared" si="8"/>
        <v>NA14</v>
      </c>
      <c r="S262">
        <f>COUNTIFS(A$1:A262,A262)</f>
        <v>16</v>
      </c>
      <c r="T262" t="str">
        <f t="shared" si="9"/>
        <v>Graham Gano14</v>
      </c>
      <c r="U262">
        <f>IF(OR(NOT(ISERROR(MATCH(T262,Finals!$K$2:$K$1801,0))),AND(A262&gt;Week,Q262&lt;&gt;"NA")),"",A262)</f>
        <v>14</v>
      </c>
      <c r="V262" t="str">
        <f>IF(U262&lt;&gt;"",U262&amp;"-"&amp;COUNTIF(U$1:U262,U262),"")</f>
        <v>14-9</v>
      </c>
    </row>
    <row r="263" spans="1:22" x14ac:dyDescent="0.25">
      <c r="A263">
        <v>7</v>
      </c>
      <c r="B263" t="s">
        <v>4167</v>
      </c>
      <c r="C263" t="s">
        <v>5237</v>
      </c>
      <c r="D263">
        <v>1.69</v>
      </c>
      <c r="E263">
        <v>2.02</v>
      </c>
      <c r="F263">
        <v>2.4500000000000002</v>
      </c>
      <c r="G263">
        <v>2.5099999999999998</v>
      </c>
      <c r="H263">
        <v>8.08</v>
      </c>
      <c r="I263" t="s">
        <v>34</v>
      </c>
      <c r="J263">
        <v>5.9999999999999602E-2</v>
      </c>
      <c r="K263">
        <v>0.33</v>
      </c>
      <c r="L263">
        <v>7.03</v>
      </c>
      <c r="M263">
        <v>12.33</v>
      </c>
      <c r="N263">
        <v>3.83</v>
      </c>
      <c r="O263">
        <v>4.25</v>
      </c>
      <c r="P263">
        <v>18.0625</v>
      </c>
      <c r="Q263" t="str">
        <f>IFERROR(INDEX(Rosters!$C$2:$C$155,MATCH($B263,Rosters!$B$2:$B$155,0)),"NA")</f>
        <v>NA</v>
      </c>
      <c r="R263" t="str">
        <f t="shared" si="8"/>
        <v>NA7</v>
      </c>
      <c r="S263">
        <f>COUNTIFS(A$1:A263,A263)</f>
        <v>13</v>
      </c>
      <c r="T263" t="str">
        <f t="shared" si="9"/>
        <v>Jason Sanders7</v>
      </c>
      <c r="U263">
        <f>IF(OR(NOT(ISERROR(MATCH(T263,Finals!$K$2:$K$1801,0))),AND(A263&gt;Week,Q263&lt;&gt;"NA")),"",A263)</f>
        <v>7</v>
      </c>
      <c r="V263" t="str">
        <f>IF(U263&lt;&gt;"",U263&amp;"-"&amp;COUNTIF(U$1:U263,U263),"")</f>
        <v>7-7</v>
      </c>
    </row>
    <row r="264" spans="1:22" x14ac:dyDescent="0.25">
      <c r="A264">
        <v>6</v>
      </c>
      <c r="B264" t="s">
        <v>4164</v>
      </c>
      <c r="C264" t="s">
        <v>5238</v>
      </c>
      <c r="D264">
        <v>1.85</v>
      </c>
      <c r="E264">
        <v>2.21</v>
      </c>
      <c r="F264">
        <v>1.84</v>
      </c>
      <c r="G264">
        <v>1.88</v>
      </c>
      <c r="H264">
        <v>8.14</v>
      </c>
      <c r="I264" t="s">
        <v>76</v>
      </c>
      <c r="J264">
        <v>3.99999999999998E-2</v>
      </c>
      <c r="K264">
        <v>0.36</v>
      </c>
      <c r="L264">
        <v>7.02</v>
      </c>
      <c r="M264">
        <v>11.56</v>
      </c>
      <c r="N264">
        <v>4.72</v>
      </c>
      <c r="O264">
        <v>3.42</v>
      </c>
      <c r="P264">
        <v>11.696400000000001</v>
      </c>
      <c r="Q264" t="str">
        <f>IFERROR(INDEX(Rosters!$C$2:$C$155,MATCH($B264,Rosters!$B$2:$B$155,0)),"NA")</f>
        <v>NA</v>
      </c>
      <c r="R264" t="str">
        <f t="shared" si="8"/>
        <v>NA6</v>
      </c>
      <c r="S264">
        <f>COUNTIFS(A$1:A264,A264)</f>
        <v>15</v>
      </c>
      <c r="T264" t="str">
        <f t="shared" si="9"/>
        <v>Brett Maher6</v>
      </c>
      <c r="U264">
        <f>IF(OR(NOT(ISERROR(MATCH(T264,Finals!$K$2:$K$1801,0))),AND(A264&gt;Week,Q264&lt;&gt;"NA")),"",A264)</f>
        <v>6</v>
      </c>
      <c r="V264" t="str">
        <f>IF(U264&lt;&gt;"",U264&amp;"-"&amp;COUNTIF(U$1:U264,U264),"")</f>
        <v>6-8</v>
      </c>
    </row>
    <row r="265" spans="1:22" x14ac:dyDescent="0.25">
      <c r="A265">
        <v>11</v>
      </c>
      <c r="B265" t="s">
        <v>445</v>
      </c>
      <c r="C265" t="s">
        <v>5239</v>
      </c>
      <c r="D265">
        <v>1.67</v>
      </c>
      <c r="E265">
        <v>1.91</v>
      </c>
      <c r="F265">
        <v>1.98</v>
      </c>
      <c r="G265">
        <v>2.02</v>
      </c>
      <c r="H265">
        <v>7.78</v>
      </c>
      <c r="I265" t="s">
        <v>72</v>
      </c>
      <c r="J265">
        <v>0.04</v>
      </c>
      <c r="K265">
        <v>0.24</v>
      </c>
      <c r="L265">
        <v>7.02</v>
      </c>
      <c r="M265">
        <v>11.6</v>
      </c>
      <c r="N265">
        <v>3.96</v>
      </c>
      <c r="O265">
        <v>3.82</v>
      </c>
      <c r="P265">
        <v>14.5924</v>
      </c>
      <c r="Q265" t="str">
        <f>IFERROR(INDEX(Rosters!$C$2:$C$155,MATCH($B265,Rosters!$B$2:$B$155,0)),"NA")</f>
        <v>NA</v>
      </c>
      <c r="R265" t="str">
        <f t="shared" si="8"/>
        <v>NA11</v>
      </c>
      <c r="S265">
        <f>COUNTIFS(A$1:A265,A265)</f>
        <v>12</v>
      </c>
      <c r="T265" t="str">
        <f t="shared" si="9"/>
        <v>Dan Bailey11</v>
      </c>
      <c r="U265">
        <f>IF(OR(NOT(ISERROR(MATCH(T265,Finals!$K$2:$K$1801,0))),AND(A265&gt;Week,Q265&lt;&gt;"NA")),"",A265)</f>
        <v>11</v>
      </c>
      <c r="V265" t="str">
        <f>IF(U265&lt;&gt;"",U265&amp;"-"&amp;COUNTIF(U$1:U265,U265),"")</f>
        <v>11-9</v>
      </c>
    </row>
    <row r="266" spans="1:22" x14ac:dyDescent="0.25">
      <c r="A266">
        <v>11</v>
      </c>
      <c r="B266" t="s">
        <v>465</v>
      </c>
      <c r="C266" t="s">
        <v>5240</v>
      </c>
      <c r="D266">
        <v>1.63</v>
      </c>
      <c r="E266">
        <v>1.85</v>
      </c>
      <c r="F266">
        <v>2.02</v>
      </c>
      <c r="G266">
        <v>2.04</v>
      </c>
      <c r="H266">
        <v>7.7</v>
      </c>
      <c r="I266" t="s">
        <v>37</v>
      </c>
      <c r="J266">
        <v>0.02</v>
      </c>
      <c r="K266">
        <v>0.22</v>
      </c>
      <c r="L266">
        <v>7.02</v>
      </c>
      <c r="M266">
        <v>12.33</v>
      </c>
      <c r="N266">
        <v>3.07</v>
      </c>
      <c r="O266">
        <v>4.63</v>
      </c>
      <c r="P266">
        <v>21.436900000000001</v>
      </c>
      <c r="Q266" t="str">
        <f>IFERROR(INDEX(Rosters!$C$2:$C$155,MATCH($B266,Rosters!$B$2:$B$155,0)),"NA")</f>
        <v>NA</v>
      </c>
      <c r="R266" t="str">
        <f t="shared" si="8"/>
        <v>NA11</v>
      </c>
      <c r="S266">
        <f>COUNTIFS(A$1:A266,A266)</f>
        <v>13</v>
      </c>
      <c r="T266" t="str">
        <f t="shared" si="9"/>
        <v>Brandon McManus11</v>
      </c>
      <c r="U266">
        <f>IF(OR(NOT(ISERROR(MATCH(T266,Finals!$K$2:$K$1801,0))),AND(A266&gt;Week,Q266&lt;&gt;"NA")),"",A266)</f>
        <v>11</v>
      </c>
      <c r="V266" t="str">
        <f>IF(U266&lt;&gt;"",U266&amp;"-"&amp;COUNTIF(U$1:U266,U266),"")</f>
        <v>11-10</v>
      </c>
    </row>
    <row r="267" spans="1:22" x14ac:dyDescent="0.25">
      <c r="A267">
        <v>4</v>
      </c>
      <c r="B267" t="s">
        <v>4164</v>
      </c>
      <c r="C267" t="s">
        <v>5241</v>
      </c>
      <c r="D267">
        <v>1.68</v>
      </c>
      <c r="E267">
        <v>1.95</v>
      </c>
      <c r="F267">
        <v>2.16</v>
      </c>
      <c r="G267">
        <v>2.2000000000000002</v>
      </c>
      <c r="H267">
        <v>7.86</v>
      </c>
      <c r="I267" t="s">
        <v>34</v>
      </c>
      <c r="J267">
        <v>0.04</v>
      </c>
      <c r="K267">
        <v>0.27</v>
      </c>
      <c r="L267">
        <v>7.01</v>
      </c>
      <c r="M267">
        <v>11.97</v>
      </c>
      <c r="N267">
        <v>3.75</v>
      </c>
      <c r="O267">
        <v>4.1100000000000003</v>
      </c>
      <c r="P267">
        <v>16.892099999999999</v>
      </c>
      <c r="Q267" t="str">
        <f>IFERROR(INDEX(Rosters!$C$2:$C$155,MATCH($B267,Rosters!$B$2:$B$155,0)),"NA")</f>
        <v>NA</v>
      </c>
      <c r="R267" t="str">
        <f t="shared" si="8"/>
        <v>NA4</v>
      </c>
      <c r="S267">
        <f>COUNTIFS(A$1:A267,A267)</f>
        <v>16</v>
      </c>
      <c r="T267" t="str">
        <f t="shared" si="9"/>
        <v>Brett Maher4</v>
      </c>
      <c r="U267">
        <f>IF(OR(NOT(ISERROR(MATCH(T267,Finals!$K$2:$K$1801,0))),AND(A267&gt;Week,Q267&lt;&gt;"NA")),"",A267)</f>
        <v>4</v>
      </c>
      <c r="V267" t="str">
        <f>IF(U267&lt;&gt;"",U267&amp;"-"&amp;COUNTIF(U$1:U267,U267),"")</f>
        <v>4-9</v>
      </c>
    </row>
    <row r="268" spans="1:22" x14ac:dyDescent="0.25">
      <c r="A268">
        <v>3</v>
      </c>
      <c r="B268" t="s">
        <v>4167</v>
      </c>
      <c r="C268" t="s">
        <v>4376</v>
      </c>
      <c r="D268">
        <v>1.66</v>
      </c>
      <c r="E268">
        <v>2.0099999999999998</v>
      </c>
      <c r="F268">
        <v>2.1800000000000002</v>
      </c>
      <c r="G268">
        <v>2.1800000000000002</v>
      </c>
      <c r="H268">
        <v>8.06</v>
      </c>
      <c r="I268" t="s">
        <v>32</v>
      </c>
      <c r="J268">
        <v>0</v>
      </c>
      <c r="K268">
        <v>0.35</v>
      </c>
      <c r="L268">
        <v>7.01</v>
      </c>
      <c r="M268">
        <v>11.78</v>
      </c>
      <c r="N268">
        <v>4.34</v>
      </c>
      <c r="O268">
        <v>3.72</v>
      </c>
      <c r="P268">
        <v>13.8384</v>
      </c>
      <c r="Q268" t="str">
        <f>IFERROR(INDEX(Rosters!$C$2:$C$155,MATCH($B268,Rosters!$B$2:$B$155,0)),"NA")</f>
        <v>NA</v>
      </c>
      <c r="R268" t="str">
        <f t="shared" si="8"/>
        <v>NA3</v>
      </c>
      <c r="S268">
        <f>COUNTIFS(A$1:A268,A268)</f>
        <v>15</v>
      </c>
      <c r="T268" t="str">
        <f t="shared" si="9"/>
        <v>Jason Sanders3</v>
      </c>
      <c r="U268">
        <f>IF(OR(NOT(ISERROR(MATCH(T268,Finals!$K$2:$K$1801,0))),AND(A268&gt;Week,Q268&lt;&gt;"NA")),"",A268)</f>
        <v>3</v>
      </c>
      <c r="V268" t="str">
        <f>IF(U268&lt;&gt;"",U268&amp;"-"&amp;COUNTIF(U$1:U268,U268),"")</f>
        <v>3-6</v>
      </c>
    </row>
    <row r="269" spans="1:22" x14ac:dyDescent="0.25">
      <c r="A269">
        <v>5</v>
      </c>
      <c r="B269" t="s">
        <v>453</v>
      </c>
      <c r="C269" t="s">
        <v>9097</v>
      </c>
      <c r="D269">
        <v>1.84</v>
      </c>
      <c r="E269">
        <v>2.35</v>
      </c>
      <c r="F269">
        <v>1.99</v>
      </c>
      <c r="G269">
        <v>2.0099999999999998</v>
      </c>
      <c r="H269">
        <v>8.56</v>
      </c>
      <c r="I269" t="s">
        <v>29</v>
      </c>
      <c r="J269">
        <v>1.9999999999999799E-2</v>
      </c>
      <c r="K269">
        <v>0.51</v>
      </c>
      <c r="L269">
        <v>7.01</v>
      </c>
      <c r="M269">
        <v>12.86</v>
      </c>
      <c r="N269">
        <v>4.26</v>
      </c>
      <c r="O269">
        <v>4.3</v>
      </c>
      <c r="P269">
        <v>18.489999999999998</v>
      </c>
      <c r="Q269" t="str">
        <f>IFERROR(INDEX(Rosters!$C$2:$C$155,MATCH($B269,Rosters!$B$2:$B$155,0)),"NA")</f>
        <v>NA</v>
      </c>
      <c r="R269" t="str">
        <f t="shared" si="8"/>
        <v>NA5</v>
      </c>
      <c r="S269">
        <f>COUNTIFS(A$1:A269,A269)</f>
        <v>16</v>
      </c>
      <c r="T269" t="str">
        <f t="shared" si="9"/>
        <v>Ryan Succop5</v>
      </c>
      <c r="U269">
        <f>IF(OR(NOT(ISERROR(MATCH(T269,Finals!$K$2:$K$1801,0))),AND(A269&gt;Week,Q269&lt;&gt;"NA")),"",A269)</f>
        <v>5</v>
      </c>
      <c r="V269" t="str">
        <f>IF(U269&lt;&gt;"",U269&amp;"-"&amp;COUNTIF(U$1:U269,U269),"")</f>
        <v>5-7</v>
      </c>
    </row>
    <row r="270" spans="1:22" x14ac:dyDescent="0.25">
      <c r="A270">
        <v>16</v>
      </c>
      <c r="B270" t="s">
        <v>448</v>
      </c>
      <c r="C270" t="s">
        <v>5242</v>
      </c>
      <c r="D270">
        <v>1.6</v>
      </c>
      <c r="E270">
        <v>1.91</v>
      </c>
      <c r="F270">
        <v>2.5099999999999998</v>
      </c>
      <c r="G270">
        <v>2.5299999999999998</v>
      </c>
      <c r="H270">
        <v>7.96</v>
      </c>
      <c r="I270" t="s">
        <v>54</v>
      </c>
      <c r="J270">
        <v>0.02</v>
      </c>
      <c r="K270">
        <v>0.31</v>
      </c>
      <c r="L270">
        <v>7.01</v>
      </c>
      <c r="M270">
        <v>11.71</v>
      </c>
      <c r="N270">
        <v>4.21</v>
      </c>
      <c r="O270">
        <v>3.75</v>
      </c>
      <c r="P270">
        <v>14.0625</v>
      </c>
      <c r="Q270" t="str">
        <f>IFERROR(INDEX(Rosters!$C$2:$C$155,MATCH($B270,Rosters!$B$2:$B$155,0)),"NA")</f>
        <v>NA</v>
      </c>
      <c r="R270" t="str">
        <f t="shared" si="8"/>
        <v>NA16</v>
      </c>
      <c r="S270">
        <f>COUNTIFS(A$1:A270,A270)</f>
        <v>20</v>
      </c>
      <c r="T270" t="str">
        <f t="shared" si="9"/>
        <v>Adam Vinatieri16</v>
      </c>
      <c r="U270">
        <f>IF(OR(NOT(ISERROR(MATCH(T270,Finals!$K$2:$K$1801,0))),AND(A270&gt;Week,Q270&lt;&gt;"NA")),"",A270)</f>
        <v>16</v>
      </c>
      <c r="V270" t="str">
        <f>IF(U270&lt;&gt;"",U270&amp;"-"&amp;COUNTIF(U$1:U270,U270),"")</f>
        <v>16-13</v>
      </c>
    </row>
    <row r="271" spans="1:22" x14ac:dyDescent="0.25">
      <c r="A271">
        <v>14</v>
      </c>
      <c r="B271" t="s">
        <v>5064</v>
      </c>
      <c r="C271" t="s">
        <v>5243</v>
      </c>
      <c r="D271">
        <v>1.56</v>
      </c>
      <c r="E271">
        <v>1.81</v>
      </c>
      <c r="F271">
        <v>2.5499999999999998</v>
      </c>
      <c r="G271">
        <v>2.59</v>
      </c>
      <c r="H271">
        <v>7.8</v>
      </c>
      <c r="I271" t="s">
        <v>51</v>
      </c>
      <c r="J271">
        <v>0.04</v>
      </c>
      <c r="K271">
        <v>0.25</v>
      </c>
      <c r="L271">
        <v>7.01</v>
      </c>
      <c r="M271">
        <v>11.64</v>
      </c>
      <c r="N271">
        <v>3.96</v>
      </c>
      <c r="O271">
        <v>3.84</v>
      </c>
      <c r="P271">
        <v>14.7456</v>
      </c>
      <c r="Q271" t="str">
        <f>IFERROR(INDEX(Rosters!$C$2:$C$155,MATCH($B271,Rosters!$B$2:$B$155,0)),"NA")</f>
        <v>NA</v>
      </c>
      <c r="R271" t="str">
        <f t="shared" si="8"/>
        <v>NA14</v>
      </c>
      <c r="S271">
        <f>COUNTIFS(A$1:A271,A271)</f>
        <v>17</v>
      </c>
      <c r="T271" t="str">
        <f t="shared" si="9"/>
        <v>Matt McCrane14</v>
      </c>
      <c r="U271">
        <f>IF(OR(NOT(ISERROR(MATCH(T271,Finals!$K$2:$K$1801,0))),AND(A271&gt;Week,Q271&lt;&gt;"NA")),"",A271)</f>
        <v>14</v>
      </c>
      <c r="V271" t="str">
        <f>IF(U271&lt;&gt;"",U271&amp;"-"&amp;COUNTIF(U$1:U271,U271),"")</f>
        <v>14-10</v>
      </c>
    </row>
    <row r="272" spans="1:22" x14ac:dyDescent="0.25">
      <c r="A272">
        <v>11</v>
      </c>
      <c r="B272" t="s">
        <v>459</v>
      </c>
      <c r="C272" t="s">
        <v>5244</v>
      </c>
      <c r="D272">
        <v>1.79</v>
      </c>
      <c r="E272">
        <v>2.25</v>
      </c>
      <c r="F272">
        <v>2.08</v>
      </c>
      <c r="G272">
        <v>2.08</v>
      </c>
      <c r="H272">
        <v>8.3800000000000008</v>
      </c>
      <c r="I272" t="s">
        <v>25</v>
      </c>
      <c r="J272">
        <v>0</v>
      </c>
      <c r="K272">
        <v>0.46</v>
      </c>
      <c r="L272">
        <v>7</v>
      </c>
      <c r="M272">
        <v>12.12</v>
      </c>
      <c r="N272">
        <v>4.6399999999999997</v>
      </c>
      <c r="O272">
        <v>3.74</v>
      </c>
      <c r="P272">
        <v>13.9876</v>
      </c>
      <c r="Q272" t="str">
        <f>IFERROR(INDEX(Rosters!$C$2:$C$155,MATCH($B272,Rosters!$B$2:$B$155,0)),"NA")</f>
        <v>NA</v>
      </c>
      <c r="R272" t="str">
        <f t="shared" si="8"/>
        <v>NA11</v>
      </c>
      <c r="S272">
        <f>COUNTIFS(A$1:A272,A272)</f>
        <v>14</v>
      </c>
      <c r="T272" t="str">
        <f t="shared" si="9"/>
        <v>Cody Parkey11</v>
      </c>
      <c r="U272">
        <f>IF(OR(NOT(ISERROR(MATCH(T272,Finals!$K$2:$K$1801,0))),AND(A272&gt;Week,Q272&lt;&gt;"NA")),"",A272)</f>
        <v>11</v>
      </c>
      <c r="V272" t="str">
        <f>IF(U272&lt;&gt;"",U272&amp;"-"&amp;COUNTIF(U$1:U272,U272),"")</f>
        <v>11-11</v>
      </c>
    </row>
    <row r="273" spans="1:22" x14ac:dyDescent="0.25">
      <c r="A273">
        <v>9</v>
      </c>
      <c r="B273" t="s">
        <v>465</v>
      </c>
      <c r="C273" t="s">
        <v>5245</v>
      </c>
      <c r="D273">
        <v>1.73</v>
      </c>
      <c r="E273">
        <v>2.06</v>
      </c>
      <c r="F273">
        <v>2.2200000000000002</v>
      </c>
      <c r="G273">
        <v>2.2400000000000002</v>
      </c>
      <c r="H273">
        <v>8</v>
      </c>
      <c r="I273" t="s">
        <v>36</v>
      </c>
      <c r="J273">
        <v>0.02</v>
      </c>
      <c r="K273">
        <v>0.33</v>
      </c>
      <c r="L273">
        <v>6.99</v>
      </c>
      <c r="M273">
        <v>12.34</v>
      </c>
      <c r="N273">
        <v>3.66</v>
      </c>
      <c r="O273">
        <v>4.34</v>
      </c>
      <c r="P273">
        <v>18.835599999999999</v>
      </c>
      <c r="Q273" t="str">
        <f>IFERROR(INDEX(Rosters!$C$2:$C$155,MATCH($B273,Rosters!$B$2:$B$155,0)),"NA")</f>
        <v>NA</v>
      </c>
      <c r="R273" t="str">
        <f t="shared" si="8"/>
        <v>NA9</v>
      </c>
      <c r="S273">
        <f>COUNTIFS(A$1:A273,A273)</f>
        <v>12</v>
      </c>
      <c r="T273" t="str">
        <f t="shared" si="9"/>
        <v>Brandon McManus9</v>
      </c>
      <c r="U273">
        <f>IF(OR(NOT(ISERROR(MATCH(T273,Finals!$K$2:$K$1801,0))),AND(A273&gt;Week,Q273&lt;&gt;"NA")),"",A273)</f>
        <v>9</v>
      </c>
      <c r="V273" t="str">
        <f>IF(U273&lt;&gt;"",U273&amp;"-"&amp;COUNTIF(U$1:U273,U273),"")</f>
        <v>9-7</v>
      </c>
    </row>
    <row r="274" spans="1:22" x14ac:dyDescent="0.25">
      <c r="A274">
        <v>15</v>
      </c>
      <c r="B274" t="s">
        <v>448</v>
      </c>
      <c r="C274" t="s">
        <v>5246</v>
      </c>
      <c r="D274">
        <v>1.69</v>
      </c>
      <c r="E274">
        <v>2.04</v>
      </c>
      <c r="F274">
        <v>2.34</v>
      </c>
      <c r="G274">
        <v>2.36</v>
      </c>
      <c r="H274">
        <v>8.0500000000000007</v>
      </c>
      <c r="I274" t="s">
        <v>22</v>
      </c>
      <c r="J274">
        <v>0.02</v>
      </c>
      <c r="K274">
        <v>0.35</v>
      </c>
      <c r="L274">
        <v>6.98</v>
      </c>
      <c r="M274">
        <v>11.64</v>
      </c>
      <c r="N274">
        <v>4.46</v>
      </c>
      <c r="O274">
        <v>3.59</v>
      </c>
      <c r="P274">
        <v>12.8881</v>
      </c>
      <c r="Q274" t="str">
        <f>IFERROR(INDEX(Rosters!$C$2:$C$155,MATCH($B274,Rosters!$B$2:$B$155,0)),"NA")</f>
        <v>NA</v>
      </c>
      <c r="R274" t="str">
        <f t="shared" si="8"/>
        <v>NA15</v>
      </c>
      <c r="S274">
        <f>COUNTIFS(A$1:A274,A274)</f>
        <v>19</v>
      </c>
      <c r="T274" t="str">
        <f t="shared" si="9"/>
        <v>Adam Vinatieri15</v>
      </c>
      <c r="U274">
        <f>IF(OR(NOT(ISERROR(MATCH(T274,Finals!$K$2:$K$1801,0))),AND(A274&gt;Week,Q274&lt;&gt;"NA")),"",A274)</f>
        <v>15</v>
      </c>
      <c r="V274" t="str">
        <f>IF(U274&lt;&gt;"",U274&amp;"-"&amp;COUNTIF(U$1:U274,U274),"")</f>
        <v>15-13</v>
      </c>
    </row>
    <row r="275" spans="1:22" x14ac:dyDescent="0.25">
      <c r="A275">
        <v>11</v>
      </c>
      <c r="B275" t="s">
        <v>462</v>
      </c>
      <c r="C275" t="s">
        <v>5247</v>
      </c>
      <c r="D275">
        <v>1.46</v>
      </c>
      <c r="E275">
        <v>1.69</v>
      </c>
      <c r="F275">
        <v>2.7</v>
      </c>
      <c r="G275">
        <v>2.74</v>
      </c>
      <c r="H275">
        <v>7.71</v>
      </c>
      <c r="I275" t="s">
        <v>50</v>
      </c>
      <c r="J275">
        <v>0.04</v>
      </c>
      <c r="K275">
        <v>0.23</v>
      </c>
      <c r="L275">
        <v>6.98</v>
      </c>
      <c r="M275">
        <v>11.64</v>
      </c>
      <c r="N275">
        <v>3.78</v>
      </c>
      <c r="O275">
        <v>3.93</v>
      </c>
      <c r="P275">
        <v>15.444900000000001</v>
      </c>
      <c r="Q275" t="str">
        <f>IFERROR(INDEX(Rosters!$C$2:$C$155,MATCH($B275,Rosters!$B$2:$B$155,0)),"NA")</f>
        <v>cory</v>
      </c>
      <c r="R275" t="str">
        <f t="shared" si="8"/>
        <v>cory11</v>
      </c>
      <c r="S275">
        <f>COUNTIFS(A$1:A275,A275)</f>
        <v>15</v>
      </c>
      <c r="T275" t="str">
        <f t="shared" si="9"/>
        <v>Wil Lutz11</v>
      </c>
      <c r="U275" t="str">
        <f>IF(OR(NOT(ISERROR(MATCH(T275,Finals!$K$2:$K$1801,0))),AND(A275&gt;Week,Q275&lt;&gt;"NA")),"",A275)</f>
        <v/>
      </c>
      <c r="V275" t="str">
        <f>IF(U275&lt;&gt;"",U275&amp;"-"&amp;COUNTIF(U$1:U275,U275),"")</f>
        <v/>
      </c>
    </row>
    <row r="276" spans="1:22" x14ac:dyDescent="0.25">
      <c r="A276">
        <v>8</v>
      </c>
      <c r="B276" t="s">
        <v>1216</v>
      </c>
      <c r="C276" t="s">
        <v>5248</v>
      </c>
      <c r="D276">
        <v>1.7</v>
      </c>
      <c r="E276">
        <v>2.08</v>
      </c>
      <c r="F276">
        <v>2.37</v>
      </c>
      <c r="G276">
        <v>2.39</v>
      </c>
      <c r="H276">
        <v>8.1300000000000008</v>
      </c>
      <c r="I276" t="s">
        <v>34</v>
      </c>
      <c r="J276">
        <v>0.02</v>
      </c>
      <c r="K276">
        <v>0.38</v>
      </c>
      <c r="L276">
        <v>6.97</v>
      </c>
      <c r="M276">
        <v>12.36</v>
      </c>
      <c r="N276">
        <v>3.9</v>
      </c>
      <c r="O276">
        <v>4.2300000000000004</v>
      </c>
      <c r="P276">
        <v>17.892900000000001</v>
      </c>
      <c r="Q276" t="str">
        <f>IFERROR(INDEX(Rosters!$C$2:$C$155,MATCH($B276,Rosters!$B$2:$B$155,0)),"NA")</f>
        <v>NA</v>
      </c>
      <c r="R276" t="str">
        <f t="shared" si="8"/>
        <v>NA8</v>
      </c>
      <c r="S276">
        <f>COUNTIFS(A$1:A276,A276)</f>
        <v>17</v>
      </c>
      <c r="T276" t="str">
        <f t="shared" si="9"/>
        <v>Sebastian Janikowski8</v>
      </c>
      <c r="U276">
        <f>IF(OR(NOT(ISERROR(MATCH(T276,Finals!$K$2:$K$1801,0))),AND(A276&gt;Week,Q276&lt;&gt;"NA")),"",A276)</f>
        <v>8</v>
      </c>
      <c r="V276" t="str">
        <f>IF(U276&lt;&gt;"",U276&amp;"-"&amp;COUNTIF(U$1:U276,U276),"")</f>
        <v>8-11</v>
      </c>
    </row>
    <row r="277" spans="1:22" x14ac:dyDescent="0.25">
      <c r="A277">
        <v>2</v>
      </c>
      <c r="B277" t="s">
        <v>1107</v>
      </c>
      <c r="C277" t="s">
        <v>3589</v>
      </c>
      <c r="D277">
        <v>1.68</v>
      </c>
      <c r="E277">
        <v>1.97</v>
      </c>
      <c r="F277">
        <v>1.96</v>
      </c>
      <c r="G277">
        <v>1.96</v>
      </c>
      <c r="H277">
        <v>7.84</v>
      </c>
      <c r="I277" t="s">
        <v>37</v>
      </c>
      <c r="J277">
        <v>0</v>
      </c>
      <c r="K277">
        <v>0.28999999999999998</v>
      </c>
      <c r="L277">
        <v>6.97</v>
      </c>
      <c r="M277">
        <v>12.06</v>
      </c>
      <c r="N277">
        <v>3.62</v>
      </c>
      <c r="O277">
        <v>4.22</v>
      </c>
      <c r="P277">
        <v>17.808399999999999</v>
      </c>
      <c r="Q277" t="str">
        <f>IFERROR(INDEX(Rosters!$C$2:$C$155,MATCH($B277,Rosters!$B$2:$B$155,0)),"NA")</f>
        <v>NA</v>
      </c>
      <c r="R277" t="str">
        <f t="shared" si="8"/>
        <v>NA2</v>
      </c>
      <c r="S277">
        <f>COUNTIFS(A$1:A277,A277)</f>
        <v>15</v>
      </c>
      <c r="T277" t="str">
        <f t="shared" si="9"/>
        <v>Stephen Hauschka2</v>
      </c>
      <c r="U277">
        <f>IF(OR(NOT(ISERROR(MATCH(T277,Finals!$K$2:$K$1801,0))),AND(A277&gt;Week,Q277&lt;&gt;"NA")),"",A277)</f>
        <v>2</v>
      </c>
      <c r="V277" t="str">
        <f>IF(U277&lt;&gt;"",U277&amp;"-"&amp;COUNTIF(U$1:U277,U277),"")</f>
        <v>2-5</v>
      </c>
    </row>
    <row r="278" spans="1:22" x14ac:dyDescent="0.25">
      <c r="A278">
        <v>9</v>
      </c>
      <c r="B278" t="s">
        <v>4164</v>
      </c>
      <c r="C278" t="s">
        <v>5249</v>
      </c>
      <c r="D278">
        <v>1.81</v>
      </c>
      <c r="E278">
        <v>2.2999999999999998</v>
      </c>
      <c r="F278">
        <v>2.14</v>
      </c>
      <c r="G278">
        <v>2.1800000000000002</v>
      </c>
      <c r="H278">
        <v>8.4700000000000006</v>
      </c>
      <c r="I278" t="s">
        <v>38</v>
      </c>
      <c r="J278">
        <v>0.04</v>
      </c>
      <c r="K278">
        <v>0.49</v>
      </c>
      <c r="L278">
        <v>6.96</v>
      </c>
      <c r="M278">
        <v>12.7</v>
      </c>
      <c r="N278">
        <v>4.24</v>
      </c>
      <c r="O278">
        <v>4.2300000000000004</v>
      </c>
      <c r="P278">
        <v>17.892900000000001</v>
      </c>
      <c r="Q278" t="str">
        <f>IFERROR(INDEX(Rosters!$C$2:$C$155,MATCH($B278,Rosters!$B$2:$B$155,0)),"NA")</f>
        <v>NA</v>
      </c>
      <c r="R278" t="str">
        <f t="shared" si="8"/>
        <v>NA9</v>
      </c>
      <c r="S278">
        <f>COUNTIFS(A$1:A278,A278)</f>
        <v>13</v>
      </c>
      <c r="T278" t="str">
        <f t="shared" si="9"/>
        <v>Brett Maher9</v>
      </c>
      <c r="U278">
        <f>IF(OR(NOT(ISERROR(MATCH(T278,Finals!$K$2:$K$1801,0))),AND(A278&gt;Week,Q278&lt;&gt;"NA")),"",A278)</f>
        <v>9</v>
      </c>
      <c r="V278" t="str">
        <f>IF(U278&lt;&gt;"",U278&amp;"-"&amp;COUNTIF(U$1:U278,U278),"")</f>
        <v>9-8</v>
      </c>
    </row>
    <row r="279" spans="1:22" x14ac:dyDescent="0.25">
      <c r="A279">
        <v>15</v>
      </c>
      <c r="B279" t="s">
        <v>462</v>
      </c>
      <c r="C279" t="s">
        <v>5250</v>
      </c>
      <c r="D279">
        <v>1.44</v>
      </c>
      <c r="E279">
        <v>1.66</v>
      </c>
      <c r="F279">
        <v>2.7</v>
      </c>
      <c r="G279">
        <v>2.74</v>
      </c>
      <c r="H279">
        <v>7.66</v>
      </c>
      <c r="I279" t="s">
        <v>74</v>
      </c>
      <c r="J279">
        <v>0.04</v>
      </c>
      <c r="K279">
        <v>0.22</v>
      </c>
      <c r="L279">
        <v>6.96</v>
      </c>
      <c r="M279">
        <v>11.59</v>
      </c>
      <c r="N279">
        <v>3.73</v>
      </c>
      <c r="O279">
        <v>3.93</v>
      </c>
      <c r="P279">
        <v>15.444900000000001</v>
      </c>
      <c r="Q279" t="str">
        <f>IFERROR(INDEX(Rosters!$C$2:$C$155,MATCH($B279,Rosters!$B$2:$B$155,0)),"NA")</f>
        <v>cory</v>
      </c>
      <c r="R279" t="str">
        <f t="shared" si="8"/>
        <v>cory15</v>
      </c>
      <c r="S279">
        <f>COUNTIFS(A$1:A279,A279)</f>
        <v>20</v>
      </c>
      <c r="T279" t="str">
        <f t="shared" si="9"/>
        <v>Wil Lutz15</v>
      </c>
      <c r="U279" t="str">
        <f>IF(OR(NOT(ISERROR(MATCH(T279,Finals!$K$2:$K$1801,0))),AND(A279&gt;Week,Q279&lt;&gt;"NA")),"",A279)</f>
        <v/>
      </c>
      <c r="V279" t="str">
        <f>IF(U279&lt;&gt;"",U279&amp;"-"&amp;COUNTIF(U$1:U279,U279),"")</f>
        <v/>
      </c>
    </row>
    <row r="280" spans="1:22" x14ac:dyDescent="0.25">
      <c r="A280">
        <v>8</v>
      </c>
      <c r="B280" t="s">
        <v>465</v>
      </c>
      <c r="C280" t="s">
        <v>5251</v>
      </c>
      <c r="D280">
        <v>1.56</v>
      </c>
      <c r="E280">
        <v>1.83</v>
      </c>
      <c r="F280">
        <v>2.41</v>
      </c>
      <c r="G280">
        <v>2.4300000000000002</v>
      </c>
      <c r="H280">
        <v>7.78</v>
      </c>
      <c r="I280" t="s">
        <v>24</v>
      </c>
      <c r="J280">
        <v>0.02</v>
      </c>
      <c r="K280">
        <v>0.27</v>
      </c>
      <c r="L280">
        <v>6.95</v>
      </c>
      <c r="M280">
        <v>12.19</v>
      </c>
      <c r="N280">
        <v>3.37</v>
      </c>
      <c r="O280">
        <v>4.41</v>
      </c>
      <c r="P280">
        <v>19.4481</v>
      </c>
      <c r="Q280" t="str">
        <f>IFERROR(INDEX(Rosters!$C$2:$C$155,MATCH($B280,Rosters!$B$2:$B$155,0)),"NA")</f>
        <v>NA</v>
      </c>
      <c r="R280" t="str">
        <f t="shared" si="8"/>
        <v>NA8</v>
      </c>
      <c r="S280">
        <f>COUNTIFS(A$1:A280,A280)</f>
        <v>18</v>
      </c>
      <c r="T280" t="str">
        <f t="shared" si="9"/>
        <v>Brandon McManus8</v>
      </c>
      <c r="U280">
        <f>IF(OR(NOT(ISERROR(MATCH(T280,Finals!$K$2:$K$1801,0))),AND(A280&gt;Week,Q280&lt;&gt;"NA")),"",A280)</f>
        <v>8</v>
      </c>
      <c r="V280" t="str">
        <f>IF(U280&lt;&gt;"",U280&amp;"-"&amp;COUNTIF(U$1:U280,U280),"")</f>
        <v>8-12</v>
      </c>
    </row>
    <row r="281" spans="1:22" x14ac:dyDescent="0.25">
      <c r="A281">
        <v>2</v>
      </c>
      <c r="B281" t="s">
        <v>4164</v>
      </c>
      <c r="C281" t="s">
        <v>4168</v>
      </c>
      <c r="D281">
        <v>1.67</v>
      </c>
      <c r="E281">
        <v>2.0099999999999998</v>
      </c>
      <c r="F281">
        <v>2.4</v>
      </c>
      <c r="G281">
        <v>2.4300000000000002</v>
      </c>
      <c r="H281">
        <v>8</v>
      </c>
      <c r="I281" t="s">
        <v>54</v>
      </c>
      <c r="J281">
        <v>3.00000000000002E-2</v>
      </c>
      <c r="K281">
        <v>0.34</v>
      </c>
      <c r="L281">
        <v>6.95</v>
      </c>
      <c r="M281">
        <v>12.22</v>
      </c>
      <c r="N281">
        <v>3.78</v>
      </c>
      <c r="O281">
        <v>4.22</v>
      </c>
      <c r="P281">
        <v>17.808399999999999</v>
      </c>
      <c r="Q281" t="str">
        <f>IFERROR(INDEX(Rosters!$C$2:$C$155,MATCH($B281,Rosters!$B$2:$B$155,0)),"NA")</f>
        <v>NA</v>
      </c>
      <c r="R281" t="str">
        <f t="shared" si="8"/>
        <v>NA2</v>
      </c>
      <c r="S281">
        <f>COUNTIFS(A$1:A281,A281)</f>
        <v>16</v>
      </c>
      <c r="T281" t="str">
        <f t="shared" si="9"/>
        <v>Brett Maher2</v>
      </c>
      <c r="U281">
        <f>IF(OR(NOT(ISERROR(MATCH(T281,Finals!$K$2:$K$1801,0))),AND(A281&gt;Week,Q281&lt;&gt;"NA")),"",A281)</f>
        <v>2</v>
      </c>
      <c r="V281" t="str">
        <f>IF(U281&lt;&gt;"",U281&amp;"-"&amp;COUNTIF(U$1:U281,U281),"")</f>
        <v>2-6</v>
      </c>
    </row>
    <row r="282" spans="1:22" x14ac:dyDescent="0.25">
      <c r="A282">
        <v>17</v>
      </c>
      <c r="B282" t="s">
        <v>998</v>
      </c>
      <c r="C282" t="s">
        <v>5252</v>
      </c>
      <c r="D282">
        <v>1.61</v>
      </c>
      <c r="E282">
        <v>1.83</v>
      </c>
      <c r="F282">
        <v>2.06</v>
      </c>
      <c r="G282">
        <v>2.1</v>
      </c>
      <c r="H282">
        <v>7.65</v>
      </c>
      <c r="I282" t="s">
        <v>60</v>
      </c>
      <c r="J282">
        <v>0.04</v>
      </c>
      <c r="K282">
        <v>0.22</v>
      </c>
      <c r="L282">
        <v>6.95</v>
      </c>
      <c r="M282">
        <v>12.53</v>
      </c>
      <c r="N282">
        <v>2.77</v>
      </c>
      <c r="O282">
        <v>4.88</v>
      </c>
      <c r="P282">
        <v>23.814399999999999</v>
      </c>
      <c r="Q282" t="str">
        <f>IFERROR(INDEX(Rosters!$C$2:$C$155,MATCH($B282,Rosters!$B$2:$B$155,0)),"NA")</f>
        <v>NA</v>
      </c>
      <c r="R282" t="str">
        <f t="shared" si="8"/>
        <v>NA17</v>
      </c>
      <c r="S282">
        <f>COUNTIFS(A$1:A282,A282)</f>
        <v>21</v>
      </c>
      <c r="T282" t="str">
        <f t="shared" si="9"/>
        <v>Jake Elliott17</v>
      </c>
      <c r="U282">
        <f>IF(OR(NOT(ISERROR(MATCH(T282,Finals!$K$2:$K$1801,0))),AND(A282&gt;Week,Q282&lt;&gt;"NA")),"",A282)</f>
        <v>17</v>
      </c>
      <c r="V282" t="str">
        <f>IF(U282&lt;&gt;"",U282&amp;"-"&amp;COUNTIF(U$1:U282,U282),"")</f>
        <v>17-13</v>
      </c>
    </row>
    <row r="283" spans="1:22" x14ac:dyDescent="0.25">
      <c r="A283">
        <v>6</v>
      </c>
      <c r="B283" t="s">
        <v>1107</v>
      </c>
      <c r="C283" t="s">
        <v>5253</v>
      </c>
      <c r="D283">
        <v>1.61</v>
      </c>
      <c r="E283">
        <v>1.83</v>
      </c>
      <c r="F283">
        <v>2.04</v>
      </c>
      <c r="G283">
        <v>2.12</v>
      </c>
      <c r="H283">
        <v>7.69</v>
      </c>
      <c r="I283" t="s">
        <v>36</v>
      </c>
      <c r="J283">
        <v>8.0000000000000099E-2</v>
      </c>
      <c r="K283">
        <v>0.22</v>
      </c>
      <c r="L283">
        <v>6.95</v>
      </c>
      <c r="M283">
        <v>11.52</v>
      </c>
      <c r="N283">
        <v>3.86</v>
      </c>
      <c r="O283">
        <v>3.83</v>
      </c>
      <c r="P283">
        <v>14.668900000000001</v>
      </c>
      <c r="Q283" t="str">
        <f>IFERROR(INDEX(Rosters!$C$2:$C$155,MATCH($B283,Rosters!$B$2:$B$155,0)),"NA")</f>
        <v>NA</v>
      </c>
      <c r="R283" t="str">
        <f t="shared" si="8"/>
        <v>NA6</v>
      </c>
      <c r="S283">
        <f>COUNTIFS(A$1:A283,A283)</f>
        <v>16</v>
      </c>
      <c r="T283" t="str">
        <f t="shared" si="9"/>
        <v>Stephen Hauschka6</v>
      </c>
      <c r="U283">
        <f>IF(OR(NOT(ISERROR(MATCH(T283,Finals!$K$2:$K$1801,0))),AND(A283&gt;Week,Q283&lt;&gt;"NA")),"",A283)</f>
        <v>6</v>
      </c>
      <c r="V283" t="str">
        <f>IF(U283&lt;&gt;"",U283&amp;"-"&amp;COUNTIF(U$1:U283,U283),"")</f>
        <v>6-9</v>
      </c>
    </row>
    <row r="284" spans="1:22" x14ac:dyDescent="0.25">
      <c r="A284">
        <v>6</v>
      </c>
      <c r="B284" t="s">
        <v>459</v>
      </c>
      <c r="C284" t="s">
        <v>5254</v>
      </c>
      <c r="D284">
        <v>1.63</v>
      </c>
      <c r="E284">
        <v>1.94</v>
      </c>
      <c r="F284">
        <v>2.27</v>
      </c>
      <c r="G284">
        <v>2.29</v>
      </c>
      <c r="H284">
        <v>7.89</v>
      </c>
      <c r="I284" t="s">
        <v>19</v>
      </c>
      <c r="J284">
        <v>0.02</v>
      </c>
      <c r="K284">
        <v>0.31</v>
      </c>
      <c r="L284">
        <v>6.94</v>
      </c>
      <c r="M284">
        <v>11.78</v>
      </c>
      <c r="N284">
        <v>4</v>
      </c>
      <c r="O284">
        <v>3.89</v>
      </c>
      <c r="P284">
        <v>15.132099999999999</v>
      </c>
      <c r="Q284" t="str">
        <f>IFERROR(INDEX(Rosters!$C$2:$C$155,MATCH($B284,Rosters!$B$2:$B$155,0)),"NA")</f>
        <v>NA</v>
      </c>
      <c r="R284" t="str">
        <f t="shared" si="8"/>
        <v>NA6</v>
      </c>
      <c r="S284">
        <f>COUNTIFS(A$1:A284,A284)</f>
        <v>17</v>
      </c>
      <c r="T284" t="str">
        <f t="shared" si="9"/>
        <v>Cody Parkey6</v>
      </c>
      <c r="U284">
        <f>IF(OR(NOT(ISERROR(MATCH(T284,Finals!$K$2:$K$1801,0))),AND(A284&gt;Week,Q284&lt;&gt;"NA")),"",A284)</f>
        <v>6</v>
      </c>
      <c r="V284" t="str">
        <f>IF(U284&lt;&gt;"",U284&amp;"-"&amp;COUNTIF(U$1:U284,U284),"")</f>
        <v>6-10</v>
      </c>
    </row>
    <row r="285" spans="1:22" x14ac:dyDescent="0.25">
      <c r="A285">
        <v>6</v>
      </c>
      <c r="B285" t="s">
        <v>465</v>
      </c>
      <c r="C285" t="s">
        <v>5255</v>
      </c>
      <c r="D285">
        <v>1.7</v>
      </c>
      <c r="E285">
        <v>1.95</v>
      </c>
      <c r="F285">
        <v>1.87</v>
      </c>
      <c r="G285">
        <v>1.91</v>
      </c>
      <c r="H285">
        <v>7.72</v>
      </c>
      <c r="I285" t="s">
        <v>56</v>
      </c>
      <c r="J285">
        <v>3.99999999999998E-2</v>
      </c>
      <c r="K285">
        <v>0.25</v>
      </c>
      <c r="L285">
        <v>6.93</v>
      </c>
      <c r="M285">
        <v>12.26</v>
      </c>
      <c r="N285">
        <v>3.18</v>
      </c>
      <c r="O285">
        <v>4.54</v>
      </c>
      <c r="P285">
        <v>20.611599999999999</v>
      </c>
      <c r="Q285" t="str">
        <f>IFERROR(INDEX(Rosters!$C$2:$C$155,MATCH($B285,Rosters!$B$2:$B$155,0)),"NA")</f>
        <v>NA</v>
      </c>
      <c r="R285" t="str">
        <f t="shared" si="8"/>
        <v>NA6</v>
      </c>
      <c r="S285">
        <f>COUNTIFS(A$1:A285,A285)</f>
        <v>18</v>
      </c>
      <c r="T285" t="str">
        <f t="shared" si="9"/>
        <v>Brandon McManus6</v>
      </c>
      <c r="U285">
        <f>IF(OR(NOT(ISERROR(MATCH(T285,Finals!$K$2:$K$1801,0))),AND(A285&gt;Week,Q285&lt;&gt;"NA")),"",A285)</f>
        <v>6</v>
      </c>
      <c r="V285" t="str">
        <f>IF(U285&lt;&gt;"",U285&amp;"-"&amp;COUNTIF(U$1:U285,U285),"")</f>
        <v>6-11</v>
      </c>
    </row>
    <row r="286" spans="1:22" x14ac:dyDescent="0.25">
      <c r="A286">
        <v>14</v>
      </c>
      <c r="B286" t="s">
        <v>998</v>
      </c>
      <c r="C286" t="s">
        <v>5256</v>
      </c>
      <c r="D286">
        <v>1.63</v>
      </c>
      <c r="E286">
        <v>1.84</v>
      </c>
      <c r="F286">
        <v>2.2400000000000002</v>
      </c>
      <c r="G286">
        <v>2.2799999999999998</v>
      </c>
      <c r="H286">
        <v>7.6</v>
      </c>
      <c r="I286" t="s">
        <v>22</v>
      </c>
      <c r="J286">
        <v>3.9999999999999598E-2</v>
      </c>
      <c r="K286">
        <v>0.21</v>
      </c>
      <c r="L286">
        <v>6.93</v>
      </c>
      <c r="M286">
        <v>11.71</v>
      </c>
      <c r="N286">
        <v>3.49</v>
      </c>
      <c r="O286">
        <v>4.1100000000000003</v>
      </c>
      <c r="P286">
        <v>16.892099999999999</v>
      </c>
      <c r="Q286" t="str">
        <f>IFERROR(INDEX(Rosters!$C$2:$C$155,MATCH($B286,Rosters!$B$2:$B$155,0)),"NA")</f>
        <v>NA</v>
      </c>
      <c r="R286" t="str">
        <f t="shared" si="8"/>
        <v>NA14</v>
      </c>
      <c r="S286">
        <f>COUNTIFS(A$1:A286,A286)</f>
        <v>18</v>
      </c>
      <c r="T286" t="str">
        <f t="shared" si="9"/>
        <v>Jake Elliott14</v>
      </c>
      <c r="U286">
        <f>IF(OR(NOT(ISERROR(MATCH(T286,Finals!$K$2:$K$1801,0))),AND(A286&gt;Week,Q286&lt;&gt;"NA")),"",A286)</f>
        <v>14</v>
      </c>
      <c r="V286" t="str">
        <f>IF(U286&lt;&gt;"",U286&amp;"-"&amp;COUNTIF(U$1:U286,U286),"")</f>
        <v>14-11</v>
      </c>
    </row>
    <row r="287" spans="1:22" x14ac:dyDescent="0.25">
      <c r="A287">
        <v>14</v>
      </c>
      <c r="B287" t="s">
        <v>4167</v>
      </c>
      <c r="C287" t="s">
        <v>5257</v>
      </c>
      <c r="D287">
        <v>1.71</v>
      </c>
      <c r="E287">
        <v>2.1</v>
      </c>
      <c r="F287">
        <v>2.41</v>
      </c>
      <c r="G287">
        <v>2.4700000000000002</v>
      </c>
      <c r="H287">
        <v>8.16</v>
      </c>
      <c r="I287" t="s">
        <v>423</v>
      </c>
      <c r="J287">
        <v>6.0000000000000102E-2</v>
      </c>
      <c r="K287">
        <v>0.39</v>
      </c>
      <c r="L287">
        <v>6.93</v>
      </c>
      <c r="M287">
        <v>12.47</v>
      </c>
      <c r="N287">
        <v>3.85</v>
      </c>
      <c r="O287">
        <v>4.3099999999999996</v>
      </c>
      <c r="P287">
        <v>18.5761</v>
      </c>
      <c r="Q287" t="str">
        <f>IFERROR(INDEX(Rosters!$C$2:$C$155,MATCH($B287,Rosters!$B$2:$B$155,0)),"NA")</f>
        <v>NA</v>
      </c>
      <c r="R287" t="str">
        <f t="shared" si="8"/>
        <v>NA14</v>
      </c>
      <c r="S287">
        <f>COUNTIFS(A$1:A287,A287)</f>
        <v>19</v>
      </c>
      <c r="T287" t="str">
        <f t="shared" si="9"/>
        <v>Jason Sanders14</v>
      </c>
      <c r="U287">
        <f>IF(OR(NOT(ISERROR(MATCH(T287,Finals!$K$2:$K$1801,0))),AND(A287&gt;Week,Q287&lt;&gt;"NA")),"",A287)</f>
        <v>14</v>
      </c>
      <c r="V287" t="str">
        <f>IF(U287&lt;&gt;"",U287&amp;"-"&amp;COUNTIF(U$1:U287,U287),"")</f>
        <v>14-12</v>
      </c>
    </row>
    <row r="288" spans="1:22" x14ac:dyDescent="0.25">
      <c r="A288">
        <v>4</v>
      </c>
      <c r="B288" t="s">
        <v>457</v>
      </c>
      <c r="C288" t="s">
        <v>5258</v>
      </c>
      <c r="D288">
        <v>1.64</v>
      </c>
      <c r="E288">
        <v>1.98</v>
      </c>
      <c r="F288">
        <v>2.2599999999999998</v>
      </c>
      <c r="G288">
        <v>2.2799999999999998</v>
      </c>
      <c r="H288">
        <v>7.96</v>
      </c>
      <c r="I288" t="s">
        <v>72</v>
      </c>
      <c r="J288">
        <v>0.02</v>
      </c>
      <c r="K288">
        <v>0.34</v>
      </c>
      <c r="L288">
        <v>6.92</v>
      </c>
      <c r="M288">
        <v>11.72</v>
      </c>
      <c r="N288">
        <v>4.2</v>
      </c>
      <c r="O288">
        <v>3.76</v>
      </c>
      <c r="P288">
        <v>14.137600000000001</v>
      </c>
      <c r="Q288" t="str">
        <f>IFERROR(INDEX(Rosters!$C$2:$C$155,MATCH($B288,Rosters!$B$2:$B$155,0)),"NA")</f>
        <v>NA</v>
      </c>
      <c r="R288" t="str">
        <f t="shared" si="8"/>
        <v>NA4</v>
      </c>
      <c r="S288">
        <f>COUNTIFS(A$1:A288,A288)</f>
        <v>17</v>
      </c>
      <c r="T288" t="str">
        <f t="shared" si="9"/>
        <v>Chandler Catanzaro4</v>
      </c>
      <c r="U288">
        <f>IF(OR(NOT(ISERROR(MATCH(T288,Finals!$K$2:$K$1801,0))),AND(A288&gt;Week,Q288&lt;&gt;"NA")),"",A288)</f>
        <v>4</v>
      </c>
      <c r="V288" t="str">
        <f>IF(U288&lt;&gt;"",U288&amp;"-"&amp;COUNTIF(U$1:U288,U288),"")</f>
        <v>4-10</v>
      </c>
    </row>
    <row r="289" spans="1:22" x14ac:dyDescent="0.25">
      <c r="A289">
        <v>12</v>
      </c>
      <c r="B289" t="s">
        <v>1120</v>
      </c>
      <c r="C289" t="s">
        <v>5259</v>
      </c>
      <c r="D289">
        <v>1.71</v>
      </c>
      <c r="E289">
        <v>2.12</v>
      </c>
      <c r="F289">
        <v>2.4300000000000002</v>
      </c>
      <c r="G289">
        <v>2.5499999999999998</v>
      </c>
      <c r="H289">
        <v>8.27</v>
      </c>
      <c r="I289" t="s">
        <v>22</v>
      </c>
      <c r="J289">
        <v>0.12</v>
      </c>
      <c r="K289">
        <v>0.41</v>
      </c>
      <c r="L289">
        <v>6.92</v>
      </c>
      <c r="M289">
        <v>12.44</v>
      </c>
      <c r="N289">
        <v>4.0999999999999996</v>
      </c>
      <c r="O289">
        <v>4.17</v>
      </c>
      <c r="P289">
        <v>17.3889</v>
      </c>
      <c r="Q289" t="str">
        <f>IFERROR(INDEX(Rosters!$C$2:$C$155,MATCH($B289,Rosters!$B$2:$B$155,0)),"NA")</f>
        <v>NA</v>
      </c>
      <c r="R289" t="str">
        <f t="shared" si="8"/>
        <v>NA12</v>
      </c>
      <c r="S289">
        <f>COUNTIFS(A$1:A289,A289)</f>
        <v>15</v>
      </c>
      <c r="T289" t="str">
        <f t="shared" si="9"/>
        <v>Dustin Hopkins12</v>
      </c>
      <c r="U289">
        <f>IF(OR(NOT(ISERROR(MATCH(T289,Finals!$K$2:$K$1801,0))),AND(A289&gt;Week,Q289&lt;&gt;"NA")),"",A289)</f>
        <v>12</v>
      </c>
      <c r="V289" t="str">
        <f>IF(U289&lt;&gt;"",U289&amp;"-"&amp;COUNTIF(U$1:U289,U289),"")</f>
        <v>12-9</v>
      </c>
    </row>
    <row r="290" spans="1:22" x14ac:dyDescent="0.25">
      <c r="A290">
        <v>9</v>
      </c>
      <c r="B290" t="s">
        <v>5064</v>
      </c>
      <c r="C290" t="s">
        <v>5260</v>
      </c>
      <c r="D290">
        <v>1.61</v>
      </c>
      <c r="E290">
        <v>2</v>
      </c>
      <c r="F290">
        <v>2.76</v>
      </c>
      <c r="G290">
        <v>2.86</v>
      </c>
      <c r="H290">
        <v>8.19</v>
      </c>
      <c r="I290" t="s">
        <v>30</v>
      </c>
      <c r="J290">
        <v>0.1</v>
      </c>
      <c r="K290">
        <v>0.39</v>
      </c>
      <c r="L290">
        <v>6.92</v>
      </c>
      <c r="M290">
        <v>11.66</v>
      </c>
      <c r="N290">
        <v>4.72</v>
      </c>
      <c r="O290">
        <v>3.47</v>
      </c>
      <c r="P290">
        <v>12.040900000000001</v>
      </c>
      <c r="Q290" t="str">
        <f>IFERROR(INDEX(Rosters!$C$2:$C$155,MATCH($B290,Rosters!$B$2:$B$155,0)),"NA")</f>
        <v>NA</v>
      </c>
      <c r="R290" t="str">
        <f t="shared" si="8"/>
        <v>NA9</v>
      </c>
      <c r="S290">
        <f>COUNTIFS(A$1:A290,A290)</f>
        <v>14</v>
      </c>
      <c r="T290" t="str">
        <f t="shared" si="9"/>
        <v>Matt McCrane9</v>
      </c>
      <c r="U290">
        <f>IF(OR(NOT(ISERROR(MATCH(T290,Finals!$K$2:$K$1801,0))),AND(A290&gt;Week,Q290&lt;&gt;"NA")),"",A290)</f>
        <v>9</v>
      </c>
      <c r="V290" t="str">
        <f>IF(U290&lt;&gt;"",U290&amp;"-"&amp;COUNTIF(U$1:U290,U290),"")</f>
        <v>9-9</v>
      </c>
    </row>
    <row r="291" spans="1:22" x14ac:dyDescent="0.25">
      <c r="A291">
        <v>2</v>
      </c>
      <c r="B291" t="s">
        <v>453</v>
      </c>
      <c r="C291" t="s">
        <v>3547</v>
      </c>
      <c r="D291">
        <v>1.63</v>
      </c>
      <c r="E291">
        <v>1.89</v>
      </c>
      <c r="F291">
        <v>2.0099999999999998</v>
      </c>
      <c r="G291">
        <v>2.0099999999999998</v>
      </c>
      <c r="H291">
        <v>7.7</v>
      </c>
      <c r="I291" t="s">
        <v>36</v>
      </c>
      <c r="J291">
        <v>0</v>
      </c>
      <c r="K291">
        <v>0.26</v>
      </c>
      <c r="L291">
        <v>6.92</v>
      </c>
      <c r="M291">
        <v>11.36</v>
      </c>
      <c r="N291">
        <v>4.04</v>
      </c>
      <c r="O291">
        <v>3.66</v>
      </c>
      <c r="P291">
        <v>13.3956</v>
      </c>
      <c r="Q291" t="str">
        <f>IFERROR(INDEX(Rosters!$C$2:$C$155,MATCH($B291,Rosters!$B$2:$B$155,0)),"NA")</f>
        <v>NA</v>
      </c>
      <c r="R291" t="str">
        <f t="shared" si="8"/>
        <v>NA2</v>
      </c>
      <c r="S291">
        <f>COUNTIFS(A$1:A291,A291)</f>
        <v>17</v>
      </c>
      <c r="T291" t="str">
        <f t="shared" si="9"/>
        <v>Ryan Succop2</v>
      </c>
      <c r="U291">
        <f>IF(OR(NOT(ISERROR(MATCH(T291,Finals!$K$2:$K$1801,0))),AND(A291&gt;Week,Q291&lt;&gt;"NA")),"",A291)</f>
        <v>2</v>
      </c>
      <c r="V291" t="str">
        <f>IF(U291&lt;&gt;"",U291&amp;"-"&amp;COUNTIF(U$1:U291,U291),"")</f>
        <v>2-7</v>
      </c>
    </row>
    <row r="292" spans="1:22" x14ac:dyDescent="0.25">
      <c r="A292">
        <v>14</v>
      </c>
      <c r="B292" t="s">
        <v>448</v>
      </c>
      <c r="C292" t="s">
        <v>5261</v>
      </c>
      <c r="D292">
        <v>1.68</v>
      </c>
      <c r="E292">
        <v>1.97</v>
      </c>
      <c r="F292">
        <v>2.11</v>
      </c>
      <c r="G292">
        <v>2.11</v>
      </c>
      <c r="H292">
        <v>7.78</v>
      </c>
      <c r="I292" t="s">
        <v>36</v>
      </c>
      <c r="J292">
        <v>0</v>
      </c>
      <c r="K292">
        <v>0.28999999999999998</v>
      </c>
      <c r="L292">
        <v>6.91</v>
      </c>
      <c r="M292">
        <v>11.22</v>
      </c>
      <c r="N292">
        <v>4.34</v>
      </c>
      <c r="O292">
        <v>3.44</v>
      </c>
      <c r="P292">
        <v>11.833600000000001</v>
      </c>
      <c r="Q292" t="str">
        <f>IFERROR(INDEX(Rosters!$C$2:$C$155,MATCH($B292,Rosters!$B$2:$B$155,0)),"NA")</f>
        <v>NA</v>
      </c>
      <c r="R292" t="str">
        <f t="shared" si="8"/>
        <v>NA14</v>
      </c>
      <c r="S292">
        <f>COUNTIFS(A$1:A292,A292)</f>
        <v>20</v>
      </c>
      <c r="T292" t="str">
        <f t="shared" si="9"/>
        <v>Adam Vinatieri14</v>
      </c>
      <c r="U292">
        <f>IF(OR(NOT(ISERROR(MATCH(T292,Finals!$K$2:$K$1801,0))),AND(A292&gt;Week,Q292&lt;&gt;"NA")),"",A292)</f>
        <v>14</v>
      </c>
      <c r="V292" t="str">
        <f>IF(U292&lt;&gt;"",U292&amp;"-"&amp;COUNTIF(U$1:U292,U292),"")</f>
        <v>14-13</v>
      </c>
    </row>
    <row r="293" spans="1:22" x14ac:dyDescent="0.25">
      <c r="A293">
        <v>7</v>
      </c>
      <c r="B293" t="s">
        <v>457</v>
      </c>
      <c r="C293" t="s">
        <v>5262</v>
      </c>
      <c r="D293">
        <v>1.48</v>
      </c>
      <c r="E293">
        <v>1.81</v>
      </c>
      <c r="F293">
        <v>2.96</v>
      </c>
      <c r="G293">
        <v>3</v>
      </c>
      <c r="H293">
        <v>7.94</v>
      </c>
      <c r="I293" t="s">
        <v>52</v>
      </c>
      <c r="J293">
        <v>0.04</v>
      </c>
      <c r="K293">
        <v>0.33</v>
      </c>
      <c r="L293">
        <v>6.91</v>
      </c>
      <c r="M293">
        <v>11.46</v>
      </c>
      <c r="N293">
        <v>4.42</v>
      </c>
      <c r="O293">
        <v>3.52</v>
      </c>
      <c r="P293">
        <v>12.3904</v>
      </c>
      <c r="Q293" t="str">
        <f>IFERROR(INDEX(Rosters!$C$2:$C$155,MATCH($B293,Rosters!$B$2:$B$155,0)),"NA")</f>
        <v>NA</v>
      </c>
      <c r="R293" t="str">
        <f t="shared" si="8"/>
        <v>NA7</v>
      </c>
      <c r="S293">
        <f>COUNTIFS(A$1:A293,A293)</f>
        <v>14</v>
      </c>
      <c r="T293" t="str">
        <f t="shared" si="9"/>
        <v>Chandler Catanzaro7</v>
      </c>
      <c r="U293">
        <f>IF(OR(NOT(ISERROR(MATCH(T293,Finals!$K$2:$K$1801,0))),AND(A293&gt;Week,Q293&lt;&gt;"NA")),"",A293)</f>
        <v>7</v>
      </c>
      <c r="V293" t="str">
        <f>IF(U293&lt;&gt;"",U293&amp;"-"&amp;COUNTIF(U$1:U293,U293),"")</f>
        <v>7-8</v>
      </c>
    </row>
    <row r="294" spans="1:22" x14ac:dyDescent="0.25">
      <c r="A294">
        <v>3</v>
      </c>
      <c r="B294" t="s">
        <v>999</v>
      </c>
      <c r="C294" t="s">
        <v>4377</v>
      </c>
      <c r="D294">
        <v>1.74</v>
      </c>
      <c r="E294">
        <v>2.21</v>
      </c>
      <c r="F294">
        <v>2.44</v>
      </c>
      <c r="G294">
        <v>2.46</v>
      </c>
      <c r="H294">
        <v>8.34</v>
      </c>
      <c r="I294" t="s">
        <v>54</v>
      </c>
      <c r="J294">
        <v>0.02</v>
      </c>
      <c r="K294">
        <v>0.47</v>
      </c>
      <c r="L294">
        <v>6.91</v>
      </c>
      <c r="M294">
        <v>13.36</v>
      </c>
      <c r="N294">
        <v>3.32</v>
      </c>
      <c r="O294">
        <v>5.0199999999999996</v>
      </c>
      <c r="P294">
        <v>25.200399999999998</v>
      </c>
      <c r="Q294" t="str">
        <f>IFERROR(INDEX(Rosters!$C$2:$C$155,MATCH($B294,Rosters!$B$2:$B$155,0)),"NA")</f>
        <v>NA</v>
      </c>
      <c r="R294" t="str">
        <f t="shared" si="8"/>
        <v>NA3</v>
      </c>
      <c r="S294">
        <f>COUNTIFS(A$1:A294,A294)</f>
        <v>16</v>
      </c>
      <c r="T294" t="str">
        <f t="shared" si="9"/>
        <v>Ka'imi Fairbairn3</v>
      </c>
      <c r="U294">
        <f>IF(OR(NOT(ISERROR(MATCH(T294,Finals!$K$2:$K$1801,0))),AND(A294&gt;Week,Q294&lt;&gt;"NA")),"",A294)</f>
        <v>3</v>
      </c>
      <c r="V294" t="str">
        <f>IF(U294&lt;&gt;"",U294&amp;"-"&amp;COUNTIF(U$1:U294,U294),"")</f>
        <v>3-7</v>
      </c>
    </row>
    <row r="295" spans="1:22" x14ac:dyDescent="0.25">
      <c r="A295">
        <v>12</v>
      </c>
      <c r="B295" t="s">
        <v>445</v>
      </c>
      <c r="C295" t="s">
        <v>5263</v>
      </c>
      <c r="D295">
        <v>1.71</v>
      </c>
      <c r="E295">
        <v>2.06</v>
      </c>
      <c r="F295">
        <v>2.34</v>
      </c>
      <c r="G295">
        <v>2.4900000000000002</v>
      </c>
      <c r="H295">
        <v>8.11</v>
      </c>
      <c r="I295" t="s">
        <v>41</v>
      </c>
      <c r="J295">
        <v>0.15</v>
      </c>
      <c r="K295">
        <v>0.35</v>
      </c>
      <c r="L295">
        <v>6.91</v>
      </c>
      <c r="M295">
        <v>11.99</v>
      </c>
      <c r="N295">
        <v>4.2300000000000004</v>
      </c>
      <c r="O295">
        <v>3.88</v>
      </c>
      <c r="P295">
        <v>15.054399999999999</v>
      </c>
      <c r="Q295" t="str">
        <f>IFERROR(INDEX(Rosters!$C$2:$C$155,MATCH($B295,Rosters!$B$2:$B$155,0)),"NA")</f>
        <v>NA</v>
      </c>
      <c r="R295" t="str">
        <f t="shared" si="8"/>
        <v>NA12</v>
      </c>
      <c r="S295">
        <f>COUNTIFS(A$1:A295,A295)</f>
        <v>16</v>
      </c>
      <c r="T295" t="str">
        <f t="shared" si="9"/>
        <v>Dan Bailey12</v>
      </c>
      <c r="U295">
        <f>IF(OR(NOT(ISERROR(MATCH(T295,Finals!$K$2:$K$1801,0))),AND(A295&gt;Week,Q295&lt;&gt;"NA")),"",A295)</f>
        <v>12</v>
      </c>
      <c r="V295" t="str">
        <f>IF(U295&lt;&gt;"",U295&amp;"-"&amp;COUNTIF(U$1:U295,U295),"")</f>
        <v>12-10</v>
      </c>
    </row>
    <row r="296" spans="1:22" x14ac:dyDescent="0.25">
      <c r="A296">
        <v>16</v>
      </c>
      <c r="B296" t="s">
        <v>1120</v>
      </c>
      <c r="C296" t="s">
        <v>5264</v>
      </c>
      <c r="D296">
        <v>1.71</v>
      </c>
      <c r="E296">
        <v>2.0299999999999998</v>
      </c>
      <c r="F296">
        <v>2.19</v>
      </c>
      <c r="G296">
        <v>2.25</v>
      </c>
      <c r="H296">
        <v>7.92</v>
      </c>
      <c r="I296" t="s">
        <v>38</v>
      </c>
      <c r="J296">
        <v>6.0000000000000102E-2</v>
      </c>
      <c r="K296">
        <v>0.32</v>
      </c>
      <c r="L296">
        <v>6.9</v>
      </c>
      <c r="M296">
        <v>11.74</v>
      </c>
      <c r="N296">
        <v>4.0999999999999996</v>
      </c>
      <c r="O296">
        <v>3.82</v>
      </c>
      <c r="P296">
        <v>14.5924</v>
      </c>
      <c r="Q296" t="str">
        <f>IFERROR(INDEX(Rosters!$C$2:$C$155,MATCH($B296,Rosters!$B$2:$B$155,0)),"NA")</f>
        <v>NA</v>
      </c>
      <c r="R296" t="str">
        <f t="shared" si="8"/>
        <v>NA16</v>
      </c>
      <c r="S296">
        <f>COUNTIFS(A$1:A296,A296)</f>
        <v>21</v>
      </c>
      <c r="T296" t="str">
        <f t="shared" si="9"/>
        <v>Dustin Hopkins16</v>
      </c>
      <c r="U296">
        <f>IF(OR(NOT(ISERROR(MATCH(T296,Finals!$K$2:$K$1801,0))),AND(A296&gt;Week,Q296&lt;&gt;"NA")),"",A296)</f>
        <v>16</v>
      </c>
      <c r="V296" t="str">
        <f>IF(U296&lt;&gt;"",U296&amp;"-"&amp;COUNTIF(U$1:U296,U296),"")</f>
        <v>16-14</v>
      </c>
    </row>
    <row r="297" spans="1:22" x14ac:dyDescent="0.25">
      <c r="A297">
        <v>9</v>
      </c>
      <c r="B297" t="s">
        <v>460</v>
      </c>
      <c r="C297" t="s">
        <v>5265</v>
      </c>
      <c r="D297">
        <v>1.65</v>
      </c>
      <c r="E297">
        <v>1.98</v>
      </c>
      <c r="F297">
        <v>2.2400000000000002</v>
      </c>
      <c r="G297">
        <v>2.2799999999999998</v>
      </c>
      <c r="H297">
        <v>7.93</v>
      </c>
      <c r="I297" t="s">
        <v>19</v>
      </c>
      <c r="J297">
        <v>3.9999999999999598E-2</v>
      </c>
      <c r="K297">
        <v>0.33</v>
      </c>
      <c r="L297">
        <v>6.9</v>
      </c>
      <c r="M297">
        <v>12.19</v>
      </c>
      <c r="N297">
        <v>3.67</v>
      </c>
      <c r="O297">
        <v>4.26</v>
      </c>
      <c r="P297">
        <v>18.147600000000001</v>
      </c>
      <c r="Q297" t="str">
        <f>IFERROR(INDEX(Rosters!$C$2:$C$155,MATCH($B297,Rosters!$B$2:$B$155,0)),"NA")</f>
        <v>NA</v>
      </c>
      <c r="R297" t="str">
        <f t="shared" si="8"/>
        <v>NA9</v>
      </c>
      <c r="S297">
        <f>COUNTIFS(A$1:A297,A297)</f>
        <v>15</v>
      </c>
      <c r="T297" t="str">
        <f t="shared" si="9"/>
        <v>Jason Myers9</v>
      </c>
      <c r="U297">
        <f>IF(OR(NOT(ISERROR(MATCH(T297,Finals!$K$2:$K$1801,0))),AND(A297&gt;Week,Q297&lt;&gt;"NA")),"",A297)</f>
        <v>9</v>
      </c>
      <c r="V297" t="str">
        <f>IF(U297&lt;&gt;"",U297&amp;"-"&amp;COUNTIF(U$1:U297,U297),"")</f>
        <v>9-10</v>
      </c>
    </row>
    <row r="298" spans="1:22" x14ac:dyDescent="0.25">
      <c r="A298">
        <v>2</v>
      </c>
      <c r="B298" t="s">
        <v>999</v>
      </c>
      <c r="C298" t="s">
        <v>3590</v>
      </c>
      <c r="D298">
        <v>1.61</v>
      </c>
      <c r="E298">
        <v>1.97</v>
      </c>
      <c r="F298">
        <v>2.39</v>
      </c>
      <c r="G298">
        <v>2.42</v>
      </c>
      <c r="H298">
        <v>8.01</v>
      </c>
      <c r="I298" t="s">
        <v>38</v>
      </c>
      <c r="J298">
        <v>2.9999999999999801E-2</v>
      </c>
      <c r="K298">
        <v>0.36</v>
      </c>
      <c r="L298">
        <v>6.9</v>
      </c>
      <c r="M298">
        <v>13.39</v>
      </c>
      <c r="N298">
        <v>2.63</v>
      </c>
      <c r="O298">
        <v>5.38</v>
      </c>
      <c r="P298">
        <v>28.944400000000002</v>
      </c>
      <c r="Q298" t="str">
        <f>IFERROR(INDEX(Rosters!$C$2:$C$155,MATCH($B298,Rosters!$B$2:$B$155,0)),"NA")</f>
        <v>NA</v>
      </c>
      <c r="R298" t="str">
        <f t="shared" si="8"/>
        <v>NA2</v>
      </c>
      <c r="S298">
        <f>COUNTIFS(A$1:A298,A298)</f>
        <v>18</v>
      </c>
      <c r="T298" t="str">
        <f t="shared" si="9"/>
        <v>Ka'imi Fairbairn2</v>
      </c>
      <c r="U298">
        <f>IF(OR(NOT(ISERROR(MATCH(T298,Finals!$K$2:$K$1801,0))),AND(A298&gt;Week,Q298&lt;&gt;"NA")),"",A298)</f>
        <v>2</v>
      </c>
      <c r="V298" t="str">
        <f>IF(U298&lt;&gt;"",U298&amp;"-"&amp;COUNTIF(U$1:U298,U298),"")</f>
        <v>2-8</v>
      </c>
    </row>
    <row r="299" spans="1:22" x14ac:dyDescent="0.25">
      <c r="A299">
        <v>6</v>
      </c>
      <c r="B299" t="s">
        <v>445</v>
      </c>
      <c r="C299" t="s">
        <v>5266</v>
      </c>
      <c r="D299">
        <v>1.69</v>
      </c>
      <c r="E299">
        <v>2</v>
      </c>
      <c r="F299">
        <v>2.02</v>
      </c>
      <c r="G299">
        <v>2.08</v>
      </c>
      <c r="H299">
        <v>7.89</v>
      </c>
      <c r="I299" t="s">
        <v>58</v>
      </c>
      <c r="J299">
        <v>6.0000000000000102E-2</v>
      </c>
      <c r="K299">
        <v>0.31</v>
      </c>
      <c r="L299">
        <v>6.9</v>
      </c>
      <c r="M299">
        <v>11.74</v>
      </c>
      <c r="N299">
        <v>4.04</v>
      </c>
      <c r="O299">
        <v>3.85</v>
      </c>
      <c r="P299">
        <v>14.8225</v>
      </c>
      <c r="Q299" t="str">
        <f>IFERROR(INDEX(Rosters!$C$2:$C$155,MATCH($B299,Rosters!$B$2:$B$155,0)),"NA")</f>
        <v>NA</v>
      </c>
      <c r="R299" t="str">
        <f t="shared" si="8"/>
        <v>NA6</v>
      </c>
      <c r="S299">
        <f>COUNTIFS(A$1:A299,A299)</f>
        <v>19</v>
      </c>
      <c r="T299" t="str">
        <f t="shared" si="9"/>
        <v>Dan Bailey6</v>
      </c>
      <c r="U299">
        <f>IF(OR(NOT(ISERROR(MATCH(T299,Finals!$K$2:$K$1801,0))),AND(A299&gt;Week,Q299&lt;&gt;"NA")),"",A299)</f>
        <v>6</v>
      </c>
      <c r="V299" t="str">
        <f>IF(U299&lt;&gt;"",U299&amp;"-"&amp;COUNTIF(U$1:U299,U299),"")</f>
        <v>6-12</v>
      </c>
    </row>
    <row r="300" spans="1:22" x14ac:dyDescent="0.25">
      <c r="A300">
        <v>16</v>
      </c>
      <c r="B300" t="s">
        <v>1121</v>
      </c>
      <c r="C300" t="s">
        <v>5267</v>
      </c>
      <c r="D300">
        <v>1.56</v>
      </c>
      <c r="E300">
        <v>1.81</v>
      </c>
      <c r="F300">
        <v>2.31</v>
      </c>
      <c r="G300">
        <v>2.36</v>
      </c>
      <c r="H300">
        <v>7.69</v>
      </c>
      <c r="I300" t="s">
        <v>77</v>
      </c>
      <c r="J300">
        <v>4.9999999999999802E-2</v>
      </c>
      <c r="K300">
        <v>0.25</v>
      </c>
      <c r="L300">
        <v>6.89</v>
      </c>
      <c r="M300">
        <v>11.35</v>
      </c>
      <c r="N300">
        <v>4.03</v>
      </c>
      <c r="O300">
        <v>3.66</v>
      </c>
      <c r="P300">
        <v>13.3956</v>
      </c>
      <c r="Q300" t="str">
        <f>IFERROR(INDEX(Rosters!$C$2:$C$155,MATCH($B300,Rosters!$B$2:$B$155,0)),"NA")</f>
        <v>NA</v>
      </c>
      <c r="R300" t="str">
        <f t="shared" si="8"/>
        <v>NA16</v>
      </c>
      <c r="S300">
        <f>COUNTIFS(A$1:A300,A300)</f>
        <v>22</v>
      </c>
      <c r="T300" t="str">
        <f t="shared" si="9"/>
        <v>Caleb Sturgis16</v>
      </c>
      <c r="U300">
        <f>IF(OR(NOT(ISERROR(MATCH(T300,Finals!$K$2:$K$1801,0))),AND(A300&gt;Week,Q300&lt;&gt;"NA")),"",A300)</f>
        <v>16</v>
      </c>
      <c r="V300" t="str">
        <f>IF(U300&lt;&gt;"",U300&amp;"-"&amp;COUNTIF(U$1:U300,U300),"")</f>
        <v>16-15</v>
      </c>
    </row>
    <row r="301" spans="1:22" x14ac:dyDescent="0.25">
      <c r="A301">
        <v>11</v>
      </c>
      <c r="B301" t="s">
        <v>1121</v>
      </c>
      <c r="C301" t="s">
        <v>5268</v>
      </c>
      <c r="D301">
        <v>1.5</v>
      </c>
      <c r="E301">
        <v>1.71</v>
      </c>
      <c r="F301">
        <v>2.54</v>
      </c>
      <c r="G301">
        <v>2.58</v>
      </c>
      <c r="H301">
        <v>7.56</v>
      </c>
      <c r="I301" t="s">
        <v>42</v>
      </c>
      <c r="J301">
        <v>0.04</v>
      </c>
      <c r="K301">
        <v>0.21</v>
      </c>
      <c r="L301">
        <v>6.89</v>
      </c>
      <c r="M301">
        <v>10.87</v>
      </c>
      <c r="N301">
        <v>4.25</v>
      </c>
      <c r="O301">
        <v>3.31</v>
      </c>
      <c r="P301">
        <v>10.956099999999999</v>
      </c>
      <c r="Q301" t="str">
        <f>IFERROR(INDEX(Rosters!$C$2:$C$155,MATCH($B301,Rosters!$B$2:$B$155,0)),"NA")</f>
        <v>NA</v>
      </c>
      <c r="R301" t="str">
        <f t="shared" si="8"/>
        <v>NA11</v>
      </c>
      <c r="S301">
        <f>COUNTIFS(A$1:A301,A301)</f>
        <v>16</v>
      </c>
      <c r="T301" t="str">
        <f t="shared" si="9"/>
        <v>Caleb Sturgis11</v>
      </c>
      <c r="U301">
        <f>IF(OR(NOT(ISERROR(MATCH(T301,Finals!$K$2:$K$1801,0))),AND(A301&gt;Week,Q301&lt;&gt;"NA")),"",A301)</f>
        <v>11</v>
      </c>
      <c r="V301" t="str">
        <f>IF(U301&lt;&gt;"",U301&amp;"-"&amp;COUNTIF(U$1:U301,U301),"")</f>
        <v>11-12</v>
      </c>
    </row>
    <row r="302" spans="1:22" x14ac:dyDescent="0.25">
      <c r="A302">
        <v>3</v>
      </c>
      <c r="B302" t="s">
        <v>454</v>
      </c>
      <c r="C302" t="s">
        <v>4378</v>
      </c>
      <c r="D302">
        <v>1.76</v>
      </c>
      <c r="E302">
        <v>2.19</v>
      </c>
      <c r="F302">
        <v>1.86</v>
      </c>
      <c r="G302">
        <v>1.86</v>
      </c>
      <c r="H302">
        <v>8.18</v>
      </c>
      <c r="I302" t="s">
        <v>74</v>
      </c>
      <c r="J302">
        <v>0</v>
      </c>
      <c r="K302">
        <v>0.43</v>
      </c>
      <c r="L302">
        <v>6.89</v>
      </c>
      <c r="M302">
        <v>12.56</v>
      </c>
      <c r="N302">
        <v>3.8</v>
      </c>
      <c r="O302">
        <v>4.38</v>
      </c>
      <c r="P302">
        <v>19.1844</v>
      </c>
      <c r="Q302" t="str">
        <f>IFERROR(INDEX(Rosters!$C$2:$C$155,MATCH($B302,Rosters!$B$2:$B$155,0)),"NA")</f>
        <v>NA</v>
      </c>
      <c r="R302" t="str">
        <f t="shared" si="8"/>
        <v>NA3</v>
      </c>
      <c r="S302">
        <f>COUNTIFS(A$1:A302,A302)</f>
        <v>17</v>
      </c>
      <c r="T302" t="str">
        <f t="shared" si="9"/>
        <v>Randy Bullock3</v>
      </c>
      <c r="U302">
        <f>IF(OR(NOT(ISERROR(MATCH(T302,Finals!$K$2:$K$1801,0))),AND(A302&gt;Week,Q302&lt;&gt;"NA")),"",A302)</f>
        <v>3</v>
      </c>
      <c r="V302" t="str">
        <f>IF(U302&lt;&gt;"",U302&amp;"-"&amp;COUNTIF(U$1:U302,U302),"")</f>
        <v>3-8</v>
      </c>
    </row>
    <row r="303" spans="1:22" x14ac:dyDescent="0.25">
      <c r="A303">
        <v>12</v>
      </c>
      <c r="B303" t="s">
        <v>448</v>
      </c>
      <c r="C303" t="s">
        <v>5269</v>
      </c>
      <c r="D303">
        <v>1.69</v>
      </c>
      <c r="E303">
        <v>2.0299999999999998</v>
      </c>
      <c r="F303">
        <v>2.1800000000000002</v>
      </c>
      <c r="G303">
        <v>2.2000000000000002</v>
      </c>
      <c r="H303">
        <v>7.92</v>
      </c>
      <c r="I303" t="s">
        <v>19</v>
      </c>
      <c r="J303">
        <v>0.02</v>
      </c>
      <c r="K303">
        <v>0.34</v>
      </c>
      <c r="L303">
        <v>6.88</v>
      </c>
      <c r="M303">
        <v>11.55</v>
      </c>
      <c r="N303">
        <v>4.29</v>
      </c>
      <c r="O303">
        <v>3.63</v>
      </c>
      <c r="P303">
        <v>13.1769</v>
      </c>
      <c r="Q303" t="str">
        <f>IFERROR(INDEX(Rosters!$C$2:$C$155,MATCH($B303,Rosters!$B$2:$B$155,0)),"NA")</f>
        <v>NA</v>
      </c>
      <c r="R303" t="str">
        <f t="shared" si="8"/>
        <v>NA12</v>
      </c>
      <c r="S303">
        <f>COUNTIFS(A$1:A303,A303)</f>
        <v>17</v>
      </c>
      <c r="T303" t="str">
        <f t="shared" si="9"/>
        <v>Adam Vinatieri12</v>
      </c>
      <c r="U303">
        <f>IF(OR(NOT(ISERROR(MATCH(T303,Finals!$K$2:$K$1801,0))),AND(A303&gt;Week,Q303&lt;&gt;"NA")),"",A303)</f>
        <v>12</v>
      </c>
      <c r="V303" t="str">
        <f>IF(U303&lt;&gt;"",U303&amp;"-"&amp;COUNTIF(U$1:U303,U303),"")</f>
        <v>12-11</v>
      </c>
    </row>
    <row r="304" spans="1:22" x14ac:dyDescent="0.25">
      <c r="A304">
        <v>10</v>
      </c>
      <c r="B304" t="s">
        <v>446</v>
      </c>
      <c r="C304" t="s">
        <v>5270</v>
      </c>
      <c r="D304">
        <v>1.75</v>
      </c>
      <c r="E304">
        <v>2.2200000000000002</v>
      </c>
      <c r="F304">
        <v>2.4300000000000002</v>
      </c>
      <c r="G304">
        <v>2.4700000000000002</v>
      </c>
      <c r="H304">
        <v>8.33</v>
      </c>
      <c r="I304" t="s">
        <v>38</v>
      </c>
      <c r="J304">
        <v>0.04</v>
      </c>
      <c r="K304">
        <v>0.47</v>
      </c>
      <c r="L304">
        <v>6.88</v>
      </c>
      <c r="M304">
        <v>12.27</v>
      </c>
      <c r="N304">
        <v>4.3899999999999997</v>
      </c>
      <c r="O304">
        <v>3.94</v>
      </c>
      <c r="P304">
        <v>15.5236</v>
      </c>
      <c r="Q304" t="str">
        <f>IFERROR(INDEX(Rosters!$C$2:$C$155,MATCH($B304,Rosters!$B$2:$B$155,0)),"NA")</f>
        <v>comp</v>
      </c>
      <c r="R304" t="str">
        <f t="shared" si="8"/>
        <v>comp10</v>
      </c>
      <c r="S304">
        <f>COUNTIFS(A$1:A304,A304)</f>
        <v>15</v>
      </c>
      <c r="T304" t="str">
        <f t="shared" si="9"/>
        <v>Stephen Gostkowski10</v>
      </c>
      <c r="U304" t="str">
        <f>IF(OR(NOT(ISERROR(MATCH(T304,Finals!$K$2:$K$1801,0))),AND(A304&gt;Week,Q304&lt;&gt;"NA")),"",A304)</f>
        <v/>
      </c>
      <c r="V304" t="str">
        <f>IF(U304&lt;&gt;"",U304&amp;"-"&amp;COUNTIF(U$1:U304,U304),"")</f>
        <v/>
      </c>
    </row>
    <row r="305" spans="1:22" x14ac:dyDescent="0.25">
      <c r="A305">
        <v>12</v>
      </c>
      <c r="B305" t="s">
        <v>1216</v>
      </c>
      <c r="C305" t="s">
        <v>5271</v>
      </c>
      <c r="D305">
        <v>1.67</v>
      </c>
      <c r="E305">
        <v>1.98</v>
      </c>
      <c r="F305">
        <v>2.1800000000000002</v>
      </c>
      <c r="G305">
        <v>2.2400000000000002</v>
      </c>
      <c r="H305">
        <v>7.87</v>
      </c>
      <c r="I305" t="s">
        <v>74</v>
      </c>
      <c r="J305">
        <v>6.0000000000000102E-2</v>
      </c>
      <c r="K305">
        <v>0.31</v>
      </c>
      <c r="L305">
        <v>6.88</v>
      </c>
      <c r="M305">
        <v>12.2</v>
      </c>
      <c r="N305">
        <v>3.54</v>
      </c>
      <c r="O305">
        <v>4.33</v>
      </c>
      <c r="P305">
        <v>18.748899999999999</v>
      </c>
      <c r="Q305" t="str">
        <f>IFERROR(INDEX(Rosters!$C$2:$C$155,MATCH($B305,Rosters!$B$2:$B$155,0)),"NA")</f>
        <v>NA</v>
      </c>
      <c r="R305" t="str">
        <f t="shared" si="8"/>
        <v>NA12</v>
      </c>
      <c r="S305">
        <f>COUNTIFS(A$1:A305,A305)</f>
        <v>18</v>
      </c>
      <c r="T305" t="str">
        <f t="shared" si="9"/>
        <v>Sebastian Janikowski12</v>
      </c>
      <c r="U305">
        <f>IF(OR(NOT(ISERROR(MATCH(T305,Finals!$K$2:$K$1801,0))),AND(A305&gt;Week,Q305&lt;&gt;"NA")),"",A305)</f>
        <v>12</v>
      </c>
      <c r="V305" t="str">
        <f>IF(U305&lt;&gt;"",U305&amp;"-"&amp;COUNTIF(U$1:U305,U305),"")</f>
        <v>12-12</v>
      </c>
    </row>
    <row r="306" spans="1:22" x14ac:dyDescent="0.25">
      <c r="A306">
        <v>9</v>
      </c>
      <c r="B306" t="s">
        <v>1108</v>
      </c>
      <c r="C306" t="s">
        <v>5272</v>
      </c>
      <c r="D306">
        <v>1.5</v>
      </c>
      <c r="E306">
        <v>1.87</v>
      </c>
      <c r="F306">
        <v>2.76</v>
      </c>
      <c r="G306">
        <v>2.78</v>
      </c>
      <c r="H306">
        <v>8</v>
      </c>
      <c r="I306" t="s">
        <v>52</v>
      </c>
      <c r="J306">
        <v>0.02</v>
      </c>
      <c r="K306">
        <v>0.37</v>
      </c>
      <c r="L306">
        <v>6.87</v>
      </c>
      <c r="M306">
        <v>12.11</v>
      </c>
      <c r="N306">
        <v>3.89</v>
      </c>
      <c r="O306">
        <v>4.1100000000000003</v>
      </c>
      <c r="P306">
        <v>16.892099999999999</v>
      </c>
      <c r="Q306" t="str">
        <f>IFERROR(INDEX(Rosters!$C$2:$C$155,MATCH($B306,Rosters!$B$2:$B$155,0)),"NA")</f>
        <v>seth</v>
      </c>
      <c r="R306" t="str">
        <f t="shared" si="8"/>
        <v>seth9</v>
      </c>
      <c r="S306">
        <f>COUNTIFS(A$1:A306,A306)</f>
        <v>16</v>
      </c>
      <c r="T306" t="str">
        <f t="shared" si="9"/>
        <v>Harrison Butker9</v>
      </c>
      <c r="U306" t="str">
        <f>IF(OR(NOT(ISERROR(MATCH(T306,Finals!$K$2:$K$1801,0))),AND(A306&gt;Week,Q306&lt;&gt;"NA")),"",A306)</f>
        <v/>
      </c>
      <c r="V306" t="str">
        <f>IF(U306&lt;&gt;"",U306&amp;"-"&amp;COUNTIF(U$1:U306,U306),"")</f>
        <v/>
      </c>
    </row>
    <row r="307" spans="1:22" x14ac:dyDescent="0.25">
      <c r="A307">
        <v>2</v>
      </c>
      <c r="B307" t="s">
        <v>454</v>
      </c>
      <c r="C307" t="s">
        <v>3548</v>
      </c>
      <c r="D307">
        <v>1.82</v>
      </c>
      <c r="E307">
        <v>2.29</v>
      </c>
      <c r="F307">
        <v>1.82</v>
      </c>
      <c r="G307">
        <v>1.82</v>
      </c>
      <c r="H307">
        <v>8.2799999999999994</v>
      </c>
      <c r="I307" t="s">
        <v>77</v>
      </c>
      <c r="J307">
        <v>0</v>
      </c>
      <c r="K307">
        <v>0.47</v>
      </c>
      <c r="L307">
        <v>6.87</v>
      </c>
      <c r="M307">
        <v>12.61</v>
      </c>
      <c r="N307">
        <v>3.95</v>
      </c>
      <c r="O307">
        <v>4.33</v>
      </c>
      <c r="P307">
        <v>18.748899999999999</v>
      </c>
      <c r="Q307" t="str">
        <f>IFERROR(INDEX(Rosters!$C$2:$C$155,MATCH($B307,Rosters!$B$2:$B$155,0)),"NA")</f>
        <v>NA</v>
      </c>
      <c r="R307" t="str">
        <f t="shared" si="8"/>
        <v>NA2</v>
      </c>
      <c r="S307">
        <f>COUNTIFS(A$1:A307,A307)</f>
        <v>19</v>
      </c>
      <c r="T307" t="str">
        <f t="shared" si="9"/>
        <v>Randy Bullock2</v>
      </c>
      <c r="U307">
        <f>IF(OR(NOT(ISERROR(MATCH(T307,Finals!$K$2:$K$1801,0))),AND(A307&gt;Week,Q307&lt;&gt;"NA")),"",A307)</f>
        <v>2</v>
      </c>
      <c r="V307" t="str">
        <f>IF(U307&lt;&gt;"",U307&amp;"-"&amp;COUNTIF(U$1:U307,U307),"")</f>
        <v>2-9</v>
      </c>
    </row>
    <row r="308" spans="1:22" x14ac:dyDescent="0.25">
      <c r="A308">
        <v>12</v>
      </c>
      <c r="B308" t="s">
        <v>456</v>
      </c>
      <c r="C308" t="s">
        <v>4382</v>
      </c>
      <c r="D308">
        <v>1.54</v>
      </c>
      <c r="E308">
        <v>1.79</v>
      </c>
      <c r="F308">
        <v>2.4300000000000002</v>
      </c>
      <c r="G308">
        <v>2.4700000000000002</v>
      </c>
      <c r="H308">
        <v>7.65</v>
      </c>
      <c r="I308" t="s">
        <v>28</v>
      </c>
      <c r="J308">
        <v>0.04</v>
      </c>
      <c r="K308">
        <v>0.25</v>
      </c>
      <c r="L308">
        <v>6.86</v>
      </c>
      <c r="M308">
        <v>11.79</v>
      </c>
      <c r="N308">
        <v>3.51</v>
      </c>
      <c r="O308">
        <v>4.1399999999999997</v>
      </c>
      <c r="P308">
        <v>17.139600000000002</v>
      </c>
      <c r="Q308" t="str">
        <f>IFERROR(INDEX(Rosters!$C$2:$C$155,MATCH($B308,Rosters!$B$2:$B$155,0)),"NA")</f>
        <v>NA</v>
      </c>
      <c r="R308" t="str">
        <f t="shared" si="8"/>
        <v>NA12</v>
      </c>
      <c r="S308">
        <f>COUNTIFS(A$1:A308,A308)</f>
        <v>19</v>
      </c>
      <c r="T308" t="str">
        <f t="shared" si="9"/>
        <v>Graham Gano12</v>
      </c>
      <c r="U308">
        <f>IF(OR(NOT(ISERROR(MATCH(T308,Finals!$K$2:$K$1801,0))),AND(A308&gt;Week,Q308&lt;&gt;"NA")),"",A308)</f>
        <v>12</v>
      </c>
      <c r="V308" t="str">
        <f>IF(U308&lt;&gt;"",U308&amp;"-"&amp;COUNTIF(U$1:U308,U308),"")</f>
        <v>12-13</v>
      </c>
    </row>
    <row r="309" spans="1:22" x14ac:dyDescent="0.25">
      <c r="A309">
        <v>17</v>
      </c>
      <c r="B309" t="s">
        <v>1120</v>
      </c>
      <c r="C309" t="s">
        <v>5273</v>
      </c>
      <c r="D309">
        <v>1.77</v>
      </c>
      <c r="E309">
        <v>2.16</v>
      </c>
      <c r="F309">
        <v>1.87</v>
      </c>
      <c r="G309">
        <v>1.87</v>
      </c>
      <c r="H309">
        <v>8.02</v>
      </c>
      <c r="I309" t="s">
        <v>50</v>
      </c>
      <c r="J309">
        <v>0</v>
      </c>
      <c r="K309">
        <v>0.39</v>
      </c>
      <c r="L309">
        <v>6.85</v>
      </c>
      <c r="M309">
        <v>12.5</v>
      </c>
      <c r="N309">
        <v>3.54</v>
      </c>
      <c r="O309">
        <v>4.4800000000000004</v>
      </c>
      <c r="P309">
        <v>20.070399999999999</v>
      </c>
      <c r="Q309" t="str">
        <f>IFERROR(INDEX(Rosters!$C$2:$C$155,MATCH($B309,Rosters!$B$2:$B$155,0)),"NA")</f>
        <v>NA</v>
      </c>
      <c r="R309" t="str">
        <f t="shared" si="8"/>
        <v>NA17</v>
      </c>
      <c r="S309">
        <f>COUNTIFS(A$1:A309,A309)</f>
        <v>22</v>
      </c>
      <c r="T309" t="str">
        <f t="shared" si="9"/>
        <v>Dustin Hopkins17</v>
      </c>
      <c r="U309">
        <f>IF(OR(NOT(ISERROR(MATCH(T309,Finals!$K$2:$K$1801,0))),AND(A309&gt;Week,Q309&lt;&gt;"NA")),"",A309)</f>
        <v>17</v>
      </c>
      <c r="V309" t="str">
        <f>IF(U309&lt;&gt;"",U309&amp;"-"&amp;COUNTIF(U$1:U309,U309),"")</f>
        <v>17-14</v>
      </c>
    </row>
    <row r="310" spans="1:22" x14ac:dyDescent="0.25">
      <c r="A310">
        <v>1</v>
      </c>
      <c r="B310" t="s">
        <v>454</v>
      </c>
      <c r="C310" t="s">
        <v>1760</v>
      </c>
      <c r="D310">
        <v>1.44</v>
      </c>
      <c r="E310">
        <v>1.66</v>
      </c>
      <c r="F310">
        <v>2.6</v>
      </c>
      <c r="G310">
        <v>2.67</v>
      </c>
      <c r="H310">
        <v>7.58</v>
      </c>
      <c r="I310" t="s">
        <v>66</v>
      </c>
      <c r="J310">
        <v>6.9999999999999798E-2</v>
      </c>
      <c r="K310">
        <v>0.22</v>
      </c>
      <c r="L310">
        <v>6.85</v>
      </c>
      <c r="M310">
        <v>11.57</v>
      </c>
      <c r="N310">
        <v>3.59</v>
      </c>
      <c r="O310">
        <v>3.99</v>
      </c>
      <c r="P310">
        <v>15.9201</v>
      </c>
      <c r="Q310" t="str">
        <f>IFERROR(INDEX(Rosters!$C$2:$C$155,MATCH($B310,Rosters!$B$2:$B$155,0)),"NA")</f>
        <v>NA</v>
      </c>
      <c r="R310" t="str">
        <f t="shared" si="8"/>
        <v>NA1</v>
      </c>
      <c r="S310">
        <f>COUNTIFS(A$1:A310,A310)</f>
        <v>19</v>
      </c>
      <c r="T310" t="str">
        <f t="shared" si="9"/>
        <v>Randy Bullock1</v>
      </c>
      <c r="U310">
        <f>IF(OR(NOT(ISERROR(MATCH(T310,Finals!$K$2:$K$1801,0))),AND(A310&gt;Week,Q310&lt;&gt;"NA")),"",A310)</f>
        <v>1</v>
      </c>
      <c r="V310" t="str">
        <f>IF(U310&lt;&gt;"",U310&amp;"-"&amp;COUNTIF(U$1:U310,U310),"")</f>
        <v>1-9</v>
      </c>
    </row>
    <row r="311" spans="1:22" x14ac:dyDescent="0.25">
      <c r="A311">
        <v>15</v>
      </c>
      <c r="B311" t="s">
        <v>461</v>
      </c>
      <c r="C311" t="s">
        <v>5274</v>
      </c>
      <c r="D311">
        <v>1.75</v>
      </c>
      <c r="E311">
        <v>2.2400000000000002</v>
      </c>
      <c r="F311">
        <v>2.15</v>
      </c>
      <c r="G311">
        <v>2.15</v>
      </c>
      <c r="H311">
        <v>8.31</v>
      </c>
      <c r="I311" t="s">
        <v>38</v>
      </c>
      <c r="J311">
        <v>0</v>
      </c>
      <c r="K311">
        <v>0.49</v>
      </c>
      <c r="L311">
        <v>6.84</v>
      </c>
      <c r="M311">
        <v>13.05</v>
      </c>
      <c r="N311">
        <v>3.57</v>
      </c>
      <c r="O311">
        <v>4.74</v>
      </c>
      <c r="P311">
        <v>22.467600000000001</v>
      </c>
      <c r="Q311" t="str">
        <f>IFERROR(INDEX(Rosters!$C$2:$C$155,MATCH($B311,Rosters!$B$2:$B$155,0)),"NA")</f>
        <v>NA</v>
      </c>
      <c r="R311" t="str">
        <f t="shared" si="8"/>
        <v>NA15</v>
      </c>
      <c r="S311">
        <f>COUNTIFS(A$1:A311,A311)</f>
        <v>21</v>
      </c>
      <c r="T311" t="str">
        <f t="shared" si="9"/>
        <v>Aldrick Rosas15</v>
      </c>
      <c r="U311">
        <f>IF(OR(NOT(ISERROR(MATCH(T311,Finals!$K$2:$K$1801,0))),AND(A311&gt;Week,Q311&lt;&gt;"NA")),"",A311)</f>
        <v>15</v>
      </c>
      <c r="V311" t="str">
        <f>IF(U311&lt;&gt;"",U311&amp;"-"&amp;COUNTIF(U$1:U311,U311),"")</f>
        <v>15-14</v>
      </c>
    </row>
    <row r="312" spans="1:22" x14ac:dyDescent="0.25">
      <c r="A312">
        <v>15</v>
      </c>
      <c r="B312" t="s">
        <v>999</v>
      </c>
      <c r="C312" t="s">
        <v>5275</v>
      </c>
      <c r="D312">
        <v>1.63</v>
      </c>
      <c r="E312">
        <v>1.94</v>
      </c>
      <c r="F312">
        <v>2.08</v>
      </c>
      <c r="G312">
        <v>2.1</v>
      </c>
      <c r="H312">
        <v>7.79</v>
      </c>
      <c r="I312" t="s">
        <v>73</v>
      </c>
      <c r="J312">
        <v>0.02</v>
      </c>
      <c r="K312">
        <v>0.31</v>
      </c>
      <c r="L312">
        <v>6.84</v>
      </c>
      <c r="M312">
        <v>11.49</v>
      </c>
      <c r="N312">
        <v>4.09</v>
      </c>
      <c r="O312">
        <v>3.7</v>
      </c>
      <c r="P312">
        <v>13.69</v>
      </c>
      <c r="Q312" t="str">
        <f>IFERROR(INDEX(Rosters!$C$2:$C$155,MATCH($B312,Rosters!$B$2:$B$155,0)),"NA")</f>
        <v>NA</v>
      </c>
      <c r="R312" t="str">
        <f t="shared" si="8"/>
        <v>NA15</v>
      </c>
      <c r="S312">
        <f>COUNTIFS(A$1:A312,A312)</f>
        <v>22</v>
      </c>
      <c r="T312" t="str">
        <f t="shared" si="9"/>
        <v>Ka'imi Fairbairn15</v>
      </c>
      <c r="U312">
        <f>IF(OR(NOT(ISERROR(MATCH(T312,Finals!$K$2:$K$1801,0))),AND(A312&gt;Week,Q312&lt;&gt;"NA")),"",A312)</f>
        <v>15</v>
      </c>
      <c r="V312" t="str">
        <f>IF(U312&lt;&gt;"",U312&amp;"-"&amp;COUNTIF(U$1:U312,U312),"")</f>
        <v>15-15</v>
      </c>
    </row>
    <row r="313" spans="1:22" x14ac:dyDescent="0.25">
      <c r="A313">
        <v>16</v>
      </c>
      <c r="B313" t="s">
        <v>450</v>
      </c>
      <c r="C313" t="s">
        <v>5276</v>
      </c>
      <c r="D313">
        <v>1.6</v>
      </c>
      <c r="E313">
        <v>1.93</v>
      </c>
      <c r="F313">
        <v>2.5</v>
      </c>
      <c r="G313">
        <v>2.5</v>
      </c>
      <c r="H313">
        <v>7.82</v>
      </c>
      <c r="I313" t="s">
        <v>25</v>
      </c>
      <c r="J313">
        <v>0</v>
      </c>
      <c r="K313">
        <v>0.33</v>
      </c>
      <c r="L313">
        <v>6.83</v>
      </c>
      <c r="M313">
        <v>11.9</v>
      </c>
      <c r="N313">
        <v>3.74</v>
      </c>
      <c r="O313">
        <v>4.08</v>
      </c>
      <c r="P313">
        <v>16.6464</v>
      </c>
      <c r="Q313" t="str">
        <f>IFERROR(INDEX(Rosters!$C$2:$C$155,MATCH($B313,Rosters!$B$2:$B$155,0)),"NA")</f>
        <v>devon</v>
      </c>
      <c r="R313" t="str">
        <f t="shared" si="8"/>
        <v>devon16</v>
      </c>
      <c r="S313">
        <f>COUNTIFS(A$1:A313,A313)</f>
        <v>23</v>
      </c>
      <c r="T313" t="str">
        <f t="shared" si="9"/>
        <v>Matt Prater16</v>
      </c>
      <c r="U313" t="str">
        <f>IF(OR(NOT(ISERROR(MATCH(T313,Finals!$K$2:$K$1801,0))),AND(A313&gt;Week,Q313&lt;&gt;"NA")),"",A313)</f>
        <v/>
      </c>
      <c r="V313" t="str">
        <f>IF(U313&lt;&gt;"",U313&amp;"-"&amp;COUNTIF(U$1:U313,U313),"")</f>
        <v/>
      </c>
    </row>
    <row r="314" spans="1:22" x14ac:dyDescent="0.25">
      <c r="A314">
        <v>4</v>
      </c>
      <c r="B314" t="s">
        <v>450</v>
      </c>
      <c r="C314" t="s">
        <v>5277</v>
      </c>
      <c r="D314">
        <v>1.71</v>
      </c>
      <c r="E314">
        <v>2.12</v>
      </c>
      <c r="F314">
        <v>2.46</v>
      </c>
      <c r="G314">
        <v>2.5499999999999998</v>
      </c>
      <c r="H314">
        <v>8.15</v>
      </c>
      <c r="I314" t="s">
        <v>22</v>
      </c>
      <c r="J314">
        <v>8.99999999999999E-2</v>
      </c>
      <c r="K314">
        <v>0.41</v>
      </c>
      <c r="L314">
        <v>6.83</v>
      </c>
      <c r="M314">
        <v>12.91</v>
      </c>
      <c r="N314">
        <v>3.39</v>
      </c>
      <c r="O314">
        <v>4.76</v>
      </c>
      <c r="P314">
        <v>22.657599999999999</v>
      </c>
      <c r="Q314" t="str">
        <f>IFERROR(INDEX(Rosters!$C$2:$C$155,MATCH($B314,Rosters!$B$2:$B$155,0)),"NA")</f>
        <v>devon</v>
      </c>
      <c r="R314" t="str">
        <f t="shared" si="8"/>
        <v>devon4</v>
      </c>
      <c r="S314">
        <f>COUNTIFS(A$1:A314,A314)</f>
        <v>18</v>
      </c>
      <c r="T314" t="str">
        <f t="shared" si="9"/>
        <v>Matt Prater4</v>
      </c>
      <c r="U314" t="str">
        <f>IF(OR(NOT(ISERROR(MATCH(T314,Finals!$K$2:$K$1801,0))),AND(A314&gt;Week,Q314&lt;&gt;"NA")),"",A314)</f>
        <v/>
      </c>
      <c r="V314" t="str">
        <f>IF(U314&lt;&gt;"",U314&amp;"-"&amp;COUNTIF(U$1:U314,U314),"")</f>
        <v/>
      </c>
    </row>
    <row r="315" spans="1:22" x14ac:dyDescent="0.25">
      <c r="A315">
        <v>9</v>
      </c>
      <c r="B315" t="s">
        <v>1216</v>
      </c>
      <c r="C315" t="s">
        <v>5278</v>
      </c>
      <c r="D315">
        <v>1.62</v>
      </c>
      <c r="E315">
        <v>1.97</v>
      </c>
      <c r="F315">
        <v>2.39</v>
      </c>
      <c r="G315">
        <v>2.4700000000000002</v>
      </c>
      <c r="H315">
        <v>7.96</v>
      </c>
      <c r="I315" t="s">
        <v>37</v>
      </c>
      <c r="J315">
        <v>8.0000000000000099E-2</v>
      </c>
      <c r="K315">
        <v>0.35</v>
      </c>
      <c r="L315">
        <v>6.83</v>
      </c>
      <c r="M315">
        <v>12.08</v>
      </c>
      <c r="N315">
        <v>3.84</v>
      </c>
      <c r="O315">
        <v>4.12</v>
      </c>
      <c r="P315">
        <v>16.974399999999999</v>
      </c>
      <c r="Q315" t="str">
        <f>IFERROR(INDEX(Rosters!$C$2:$C$155,MATCH($B315,Rosters!$B$2:$B$155,0)),"NA")</f>
        <v>NA</v>
      </c>
      <c r="R315" t="str">
        <f t="shared" si="8"/>
        <v>NA9</v>
      </c>
      <c r="S315">
        <f>COUNTIFS(A$1:A315,A315)</f>
        <v>17</v>
      </c>
      <c r="T315" t="str">
        <f t="shared" si="9"/>
        <v>Sebastian Janikowski9</v>
      </c>
      <c r="U315">
        <f>IF(OR(NOT(ISERROR(MATCH(T315,Finals!$K$2:$K$1801,0))),AND(A315&gt;Week,Q315&lt;&gt;"NA")),"",A315)</f>
        <v>9</v>
      </c>
      <c r="V315" t="str">
        <f>IF(U315&lt;&gt;"",U315&amp;"-"&amp;COUNTIF(U$1:U315,U315),"")</f>
        <v>9-11</v>
      </c>
    </row>
    <row r="316" spans="1:22" x14ac:dyDescent="0.25">
      <c r="A316">
        <v>11</v>
      </c>
      <c r="B316" t="s">
        <v>998</v>
      </c>
      <c r="C316" t="s">
        <v>5279</v>
      </c>
      <c r="D316">
        <v>1.5</v>
      </c>
      <c r="E316">
        <v>1.67</v>
      </c>
      <c r="F316">
        <v>2.46</v>
      </c>
      <c r="G316">
        <v>2.5</v>
      </c>
      <c r="H316">
        <v>7.36</v>
      </c>
      <c r="I316" t="s">
        <v>14</v>
      </c>
      <c r="J316">
        <v>0.04</v>
      </c>
      <c r="K316">
        <v>0.17</v>
      </c>
      <c r="L316">
        <v>6.81</v>
      </c>
      <c r="M316">
        <v>11.46</v>
      </c>
      <c r="N316">
        <v>3.26</v>
      </c>
      <c r="O316">
        <v>4.0999999999999996</v>
      </c>
      <c r="P316">
        <v>16.809999999999999</v>
      </c>
      <c r="Q316" t="str">
        <f>IFERROR(INDEX(Rosters!$C$2:$C$155,MATCH($B316,Rosters!$B$2:$B$155,0)),"NA")</f>
        <v>NA</v>
      </c>
      <c r="R316" t="str">
        <f t="shared" si="8"/>
        <v>NA11</v>
      </c>
      <c r="S316">
        <f>COUNTIFS(A$1:A316,A316)</f>
        <v>17</v>
      </c>
      <c r="T316" t="str">
        <f t="shared" si="9"/>
        <v>Jake Elliott11</v>
      </c>
      <c r="U316">
        <f>IF(OR(NOT(ISERROR(MATCH(T316,Finals!$K$2:$K$1801,0))),AND(A316&gt;Week,Q316&lt;&gt;"NA")),"",A316)</f>
        <v>11</v>
      </c>
      <c r="V316" t="str">
        <f>IF(U316&lt;&gt;"",U316&amp;"-"&amp;COUNTIF(U$1:U316,U316),"")</f>
        <v>11-13</v>
      </c>
    </row>
    <row r="317" spans="1:22" x14ac:dyDescent="0.25">
      <c r="A317">
        <v>9</v>
      </c>
      <c r="B317" t="s">
        <v>445</v>
      </c>
      <c r="C317" t="s">
        <v>5280</v>
      </c>
      <c r="D317">
        <v>1.57</v>
      </c>
      <c r="E317">
        <v>1.92</v>
      </c>
      <c r="F317">
        <v>2.73</v>
      </c>
      <c r="G317">
        <v>2.9</v>
      </c>
      <c r="H317">
        <v>8.0299999999999994</v>
      </c>
      <c r="I317" t="s">
        <v>34</v>
      </c>
      <c r="J317">
        <v>0.17</v>
      </c>
      <c r="K317">
        <v>0.35</v>
      </c>
      <c r="L317">
        <v>6.81</v>
      </c>
      <c r="M317">
        <v>11.84</v>
      </c>
      <c r="N317">
        <v>4.22</v>
      </c>
      <c r="O317">
        <v>3.81</v>
      </c>
      <c r="P317">
        <v>14.5161</v>
      </c>
      <c r="Q317" t="str">
        <f>IFERROR(INDEX(Rosters!$C$2:$C$155,MATCH($B317,Rosters!$B$2:$B$155,0)),"NA")</f>
        <v>NA</v>
      </c>
      <c r="R317" t="str">
        <f t="shared" si="8"/>
        <v>NA9</v>
      </c>
      <c r="S317">
        <f>COUNTIFS(A$1:A317,A317)</f>
        <v>18</v>
      </c>
      <c r="T317" t="str">
        <f t="shared" si="9"/>
        <v>Dan Bailey9</v>
      </c>
      <c r="U317">
        <f>IF(OR(NOT(ISERROR(MATCH(T317,Finals!$K$2:$K$1801,0))),AND(A317&gt;Week,Q317&lt;&gt;"NA")),"",A317)</f>
        <v>9</v>
      </c>
      <c r="V317" t="str">
        <f>IF(U317&lt;&gt;"",U317&amp;"-"&amp;COUNTIF(U$1:U317,U317),"")</f>
        <v>9-12</v>
      </c>
    </row>
    <row r="318" spans="1:22" x14ac:dyDescent="0.25">
      <c r="A318">
        <v>17</v>
      </c>
      <c r="B318" t="s">
        <v>448</v>
      </c>
      <c r="C318" t="s">
        <v>5281</v>
      </c>
      <c r="D318">
        <v>1.56</v>
      </c>
      <c r="E318">
        <v>1.79</v>
      </c>
      <c r="F318">
        <v>2.2000000000000002</v>
      </c>
      <c r="G318">
        <v>2.23</v>
      </c>
      <c r="H318">
        <v>7.52</v>
      </c>
      <c r="I318" t="s">
        <v>38</v>
      </c>
      <c r="J318">
        <v>2.9999999999999801E-2</v>
      </c>
      <c r="K318">
        <v>0.23</v>
      </c>
      <c r="L318">
        <v>6.8</v>
      </c>
      <c r="M318">
        <v>11.01</v>
      </c>
      <c r="N318">
        <v>4.03</v>
      </c>
      <c r="O318">
        <v>3.49</v>
      </c>
      <c r="P318">
        <v>12.180099999999999</v>
      </c>
      <c r="Q318" t="str">
        <f>IFERROR(INDEX(Rosters!$C$2:$C$155,MATCH($B318,Rosters!$B$2:$B$155,0)),"NA")</f>
        <v>NA</v>
      </c>
      <c r="R318" t="str">
        <f t="shared" si="8"/>
        <v>NA17</v>
      </c>
      <c r="S318">
        <f>COUNTIFS(A$1:A318,A318)</f>
        <v>23</v>
      </c>
      <c r="T318" t="str">
        <f t="shared" si="9"/>
        <v>Adam Vinatieri17</v>
      </c>
      <c r="U318">
        <f>IF(OR(NOT(ISERROR(MATCH(T318,Finals!$K$2:$K$1801,0))),AND(A318&gt;Week,Q318&lt;&gt;"NA")),"",A318)</f>
        <v>17</v>
      </c>
      <c r="V318" t="str">
        <f>IF(U318&lt;&gt;"",U318&amp;"-"&amp;COUNTIF(U$1:U318,U318),"")</f>
        <v>17-15</v>
      </c>
    </row>
    <row r="319" spans="1:22" x14ac:dyDescent="0.25">
      <c r="A319">
        <v>4</v>
      </c>
      <c r="B319" t="s">
        <v>998</v>
      </c>
      <c r="C319" t="s">
        <v>5282</v>
      </c>
      <c r="D319">
        <v>1.72</v>
      </c>
      <c r="E319">
        <v>2.4</v>
      </c>
      <c r="F319">
        <v>3</v>
      </c>
      <c r="G319">
        <v>3.05</v>
      </c>
      <c r="H319">
        <v>8.89</v>
      </c>
      <c r="I319" t="s">
        <v>38</v>
      </c>
      <c r="J319">
        <v>4.9999999999999802E-2</v>
      </c>
      <c r="K319">
        <v>0.68</v>
      </c>
      <c r="L319">
        <v>6.8</v>
      </c>
      <c r="M319">
        <v>12.99</v>
      </c>
      <c r="N319">
        <v>4.79</v>
      </c>
      <c r="O319">
        <v>4.0999999999999996</v>
      </c>
      <c r="P319">
        <v>16.809999999999999</v>
      </c>
      <c r="Q319" t="str">
        <f>IFERROR(INDEX(Rosters!$C$2:$C$155,MATCH($B319,Rosters!$B$2:$B$155,0)),"NA")</f>
        <v>NA</v>
      </c>
      <c r="R319" t="str">
        <f t="shared" si="8"/>
        <v>NA4</v>
      </c>
      <c r="S319">
        <f>COUNTIFS(A$1:A319,A319)</f>
        <v>19</v>
      </c>
      <c r="T319" t="str">
        <f t="shared" si="9"/>
        <v>Jake Elliott4</v>
      </c>
      <c r="U319">
        <f>IF(OR(NOT(ISERROR(MATCH(T319,Finals!$K$2:$K$1801,0))),AND(A319&gt;Week,Q319&lt;&gt;"NA")),"",A319)</f>
        <v>4</v>
      </c>
      <c r="V319" t="str">
        <f>IF(U319&lt;&gt;"",U319&amp;"-"&amp;COUNTIF(U$1:U319,U319),"")</f>
        <v>4-11</v>
      </c>
    </row>
    <row r="320" spans="1:22" x14ac:dyDescent="0.25">
      <c r="A320">
        <v>13</v>
      </c>
      <c r="B320" t="s">
        <v>452</v>
      </c>
      <c r="C320" t="s">
        <v>5283</v>
      </c>
      <c r="D320">
        <v>1.57</v>
      </c>
      <c r="E320">
        <v>1.73</v>
      </c>
      <c r="F320">
        <v>1.75</v>
      </c>
      <c r="G320">
        <v>1.75</v>
      </c>
      <c r="H320">
        <v>7.28</v>
      </c>
      <c r="I320" t="s">
        <v>28</v>
      </c>
      <c r="J320">
        <v>0</v>
      </c>
      <c r="K320">
        <v>0.16</v>
      </c>
      <c r="L320">
        <v>6.8</v>
      </c>
      <c r="M320">
        <v>12.2</v>
      </c>
      <c r="N320">
        <v>2.36</v>
      </c>
      <c r="O320">
        <v>4.92</v>
      </c>
      <c r="P320">
        <v>24.206399999999999</v>
      </c>
      <c r="Q320" t="str">
        <f>IFERROR(INDEX(Rosters!$C$2:$C$155,MATCH($B320,Rosters!$B$2:$B$155,0)),"NA")</f>
        <v>matty</v>
      </c>
      <c r="R320" t="str">
        <f t="shared" si="8"/>
        <v>matty13</v>
      </c>
      <c r="S320">
        <f>COUNTIFS(A$1:A320,A320)</f>
        <v>21</v>
      </c>
      <c r="T320" t="str">
        <f t="shared" si="9"/>
        <v>Robbie Gould13</v>
      </c>
      <c r="U320" t="str">
        <f>IF(OR(NOT(ISERROR(MATCH(T320,Finals!$K$2:$K$1801,0))),AND(A320&gt;Week,Q320&lt;&gt;"NA")),"",A320)</f>
        <v/>
      </c>
      <c r="V320" t="str">
        <f>IF(U320&lt;&gt;"",U320&amp;"-"&amp;COUNTIF(U$1:U320,U320),"")</f>
        <v/>
      </c>
    </row>
    <row r="321" spans="1:22" x14ac:dyDescent="0.25">
      <c r="A321">
        <v>13</v>
      </c>
      <c r="B321" t="s">
        <v>460</v>
      </c>
      <c r="C321" t="s">
        <v>5284</v>
      </c>
      <c r="D321">
        <v>1.69</v>
      </c>
      <c r="E321">
        <v>2.08</v>
      </c>
      <c r="F321">
        <v>2.2599999999999998</v>
      </c>
      <c r="G321">
        <v>2.3199999999999998</v>
      </c>
      <c r="H321">
        <v>8.02</v>
      </c>
      <c r="I321" t="s">
        <v>38</v>
      </c>
      <c r="J321">
        <v>6.0000000000000102E-2</v>
      </c>
      <c r="K321">
        <v>0.39</v>
      </c>
      <c r="L321">
        <v>6.79</v>
      </c>
      <c r="M321">
        <v>12.13</v>
      </c>
      <c r="N321">
        <v>3.91</v>
      </c>
      <c r="O321">
        <v>4.1100000000000003</v>
      </c>
      <c r="P321">
        <v>16.892099999999999</v>
      </c>
      <c r="Q321" t="str">
        <f>IFERROR(INDEX(Rosters!$C$2:$C$155,MATCH($B321,Rosters!$B$2:$B$155,0)),"NA")</f>
        <v>NA</v>
      </c>
      <c r="R321" t="str">
        <f t="shared" si="8"/>
        <v>NA13</v>
      </c>
      <c r="S321">
        <f>COUNTIFS(A$1:A321,A321)</f>
        <v>22</v>
      </c>
      <c r="T321" t="str">
        <f t="shared" si="9"/>
        <v>Jason Myers13</v>
      </c>
      <c r="U321">
        <f>IF(OR(NOT(ISERROR(MATCH(T321,Finals!$K$2:$K$1801,0))),AND(A321&gt;Week,Q321&lt;&gt;"NA")),"",A321)</f>
        <v>13</v>
      </c>
      <c r="V321" t="str">
        <f>IF(U321&lt;&gt;"",U321&amp;"-"&amp;COUNTIF(U$1:U321,U321),"")</f>
        <v>13-14</v>
      </c>
    </row>
    <row r="322" spans="1:22" x14ac:dyDescent="0.25">
      <c r="A322">
        <v>9</v>
      </c>
      <c r="B322" t="s">
        <v>457</v>
      </c>
      <c r="C322" t="s">
        <v>5285</v>
      </c>
      <c r="D322">
        <v>1.45</v>
      </c>
      <c r="E322">
        <v>1.73</v>
      </c>
      <c r="F322">
        <v>2.58</v>
      </c>
      <c r="G322">
        <v>2.58</v>
      </c>
      <c r="H322">
        <v>7.62</v>
      </c>
      <c r="I322" t="s">
        <v>74</v>
      </c>
      <c r="J322">
        <v>0</v>
      </c>
      <c r="K322">
        <v>0.28000000000000003</v>
      </c>
      <c r="L322">
        <v>6.78</v>
      </c>
      <c r="M322">
        <v>11.31</v>
      </c>
      <c r="N322">
        <v>3.93</v>
      </c>
      <c r="O322">
        <v>3.69</v>
      </c>
      <c r="P322">
        <v>13.616099999999999</v>
      </c>
      <c r="Q322" t="str">
        <f>IFERROR(INDEX(Rosters!$C$2:$C$155,MATCH($B322,Rosters!$B$2:$B$155,0)),"NA")</f>
        <v>NA</v>
      </c>
      <c r="R322" t="str">
        <f t="shared" si="8"/>
        <v>NA9</v>
      </c>
      <c r="S322">
        <f>COUNTIFS(A$1:A322,A322)</f>
        <v>19</v>
      </c>
      <c r="T322" t="str">
        <f t="shared" si="9"/>
        <v>Chandler Catanzaro9</v>
      </c>
      <c r="U322">
        <f>IF(OR(NOT(ISERROR(MATCH(T322,Finals!$K$2:$K$1801,0))),AND(A322&gt;Week,Q322&lt;&gt;"NA")),"",A322)</f>
        <v>9</v>
      </c>
      <c r="V322" t="str">
        <f>IF(U322&lt;&gt;"",U322&amp;"-"&amp;COUNTIF(U$1:U322,U322),"")</f>
        <v>9-13</v>
      </c>
    </row>
    <row r="323" spans="1:22" x14ac:dyDescent="0.25">
      <c r="A323">
        <v>6</v>
      </c>
      <c r="B323" t="s">
        <v>457</v>
      </c>
      <c r="C323" t="s">
        <v>5193</v>
      </c>
      <c r="D323">
        <v>1.56</v>
      </c>
      <c r="E323">
        <v>2</v>
      </c>
      <c r="F323">
        <v>2.89</v>
      </c>
      <c r="G323">
        <v>2.97</v>
      </c>
      <c r="H323">
        <v>8.18</v>
      </c>
      <c r="I323" t="s">
        <v>46</v>
      </c>
      <c r="J323">
        <v>8.0000000000000099E-2</v>
      </c>
      <c r="K323">
        <v>0.44</v>
      </c>
      <c r="L323">
        <v>6.78</v>
      </c>
      <c r="M323">
        <v>11.88</v>
      </c>
      <c r="N323">
        <v>4.4800000000000004</v>
      </c>
      <c r="O323">
        <v>3.7</v>
      </c>
      <c r="P323">
        <v>13.69</v>
      </c>
      <c r="Q323" t="str">
        <f>IFERROR(INDEX(Rosters!$C$2:$C$155,MATCH($B323,Rosters!$B$2:$B$155,0)),"NA")</f>
        <v>NA</v>
      </c>
      <c r="R323" t="str">
        <f t="shared" ref="R323:R386" si="10">Q323&amp;A323</f>
        <v>NA6</v>
      </c>
      <c r="S323">
        <f>COUNTIFS(A$1:A323,A323)</f>
        <v>20</v>
      </c>
      <c r="T323" t="str">
        <f t="shared" ref="T323:T386" si="11">B323&amp;A323</f>
        <v>Chandler Catanzaro6</v>
      </c>
      <c r="U323">
        <f>IF(OR(NOT(ISERROR(MATCH(T323,Finals!$K$2:$K$1801,0))),AND(A323&gt;Week,Q323&lt;&gt;"NA")),"",A323)</f>
        <v>6</v>
      </c>
      <c r="V323" t="str">
        <f>IF(U323&lt;&gt;"",U323&amp;"-"&amp;COUNTIF(U$1:U323,U323),"")</f>
        <v>6-13</v>
      </c>
    </row>
    <row r="324" spans="1:22" x14ac:dyDescent="0.25">
      <c r="A324">
        <v>14</v>
      </c>
      <c r="B324" t="s">
        <v>1119</v>
      </c>
      <c r="C324" t="s">
        <v>5286</v>
      </c>
      <c r="D324">
        <v>1.32</v>
      </c>
      <c r="E324">
        <v>1.44</v>
      </c>
      <c r="F324">
        <v>2.7</v>
      </c>
      <c r="G324">
        <v>2.74</v>
      </c>
      <c r="H324">
        <v>7.17</v>
      </c>
      <c r="I324" t="s">
        <v>38</v>
      </c>
      <c r="J324">
        <v>0.04</v>
      </c>
      <c r="K324">
        <v>0.12</v>
      </c>
      <c r="L324">
        <v>6.77</v>
      </c>
      <c r="M324">
        <v>10.69</v>
      </c>
      <c r="N324">
        <v>3.65</v>
      </c>
      <c r="O324">
        <v>3.52</v>
      </c>
      <c r="P324">
        <v>12.3904</v>
      </c>
      <c r="Q324" t="str">
        <f>IFERROR(INDEX(Rosters!$C$2:$C$155,MATCH($B324,Rosters!$B$2:$B$155,0)),"NA")</f>
        <v>scott</v>
      </c>
      <c r="R324" t="str">
        <f t="shared" si="10"/>
        <v>scott14</v>
      </c>
      <c r="S324">
        <f>COUNTIFS(A$1:A324,A324)</f>
        <v>21</v>
      </c>
      <c r="T324" t="str">
        <f t="shared" si="11"/>
        <v>Josh Lambo14</v>
      </c>
      <c r="U324" t="str">
        <f>IF(OR(NOT(ISERROR(MATCH(T324,Finals!$K$2:$K$1801,0))),AND(A324&gt;Week,Q324&lt;&gt;"NA")),"",A324)</f>
        <v/>
      </c>
      <c r="V324" t="str">
        <f>IF(U324&lt;&gt;"",U324&amp;"-"&amp;COUNTIF(U$1:U324,U324),"")</f>
        <v/>
      </c>
    </row>
    <row r="325" spans="1:22" x14ac:dyDescent="0.25">
      <c r="A325">
        <v>12</v>
      </c>
      <c r="B325" t="s">
        <v>453</v>
      </c>
      <c r="C325" t="s">
        <v>5287</v>
      </c>
      <c r="D325">
        <v>1.6</v>
      </c>
      <c r="E325">
        <v>1.93</v>
      </c>
      <c r="F325">
        <v>2.37</v>
      </c>
      <c r="G325">
        <v>2.4500000000000002</v>
      </c>
      <c r="H325">
        <v>7.84</v>
      </c>
      <c r="I325" t="s">
        <v>36</v>
      </c>
      <c r="J325">
        <v>8.0000000000000099E-2</v>
      </c>
      <c r="K325">
        <v>0.33</v>
      </c>
      <c r="L325">
        <v>6.77</v>
      </c>
      <c r="M325">
        <v>12.29</v>
      </c>
      <c r="N325">
        <v>3.39</v>
      </c>
      <c r="O325">
        <v>4.45</v>
      </c>
      <c r="P325">
        <v>19.802499999999998</v>
      </c>
      <c r="Q325" t="str">
        <f>IFERROR(INDEX(Rosters!$C$2:$C$155,MATCH($B325,Rosters!$B$2:$B$155,0)),"NA")</f>
        <v>NA</v>
      </c>
      <c r="R325" t="str">
        <f t="shared" si="10"/>
        <v>NA12</v>
      </c>
      <c r="S325">
        <f>COUNTIFS(A$1:A325,A325)</f>
        <v>20</v>
      </c>
      <c r="T325" t="str">
        <f t="shared" si="11"/>
        <v>Ryan Succop12</v>
      </c>
      <c r="U325">
        <f>IF(OR(NOT(ISERROR(MATCH(T325,Finals!$K$2:$K$1801,0))),AND(A325&gt;Week,Q325&lt;&gt;"NA")),"",A325)</f>
        <v>12</v>
      </c>
      <c r="V325" t="str">
        <f>IF(U325&lt;&gt;"",U325&amp;"-"&amp;COUNTIF(U$1:U325,U325),"")</f>
        <v>12-14</v>
      </c>
    </row>
    <row r="326" spans="1:22" x14ac:dyDescent="0.25">
      <c r="A326">
        <v>11</v>
      </c>
      <c r="B326" t="s">
        <v>1120</v>
      </c>
      <c r="C326" t="s">
        <v>5288</v>
      </c>
      <c r="D326">
        <v>1.67</v>
      </c>
      <c r="E326">
        <v>2.16</v>
      </c>
      <c r="F326">
        <v>2.86</v>
      </c>
      <c r="G326">
        <v>3.01</v>
      </c>
      <c r="H326">
        <v>8.39</v>
      </c>
      <c r="I326" t="s">
        <v>36</v>
      </c>
      <c r="J326">
        <v>0.15</v>
      </c>
      <c r="K326">
        <v>0.49</v>
      </c>
      <c r="L326">
        <v>6.77</v>
      </c>
      <c r="M326">
        <v>12.46</v>
      </c>
      <c r="N326">
        <v>4.32</v>
      </c>
      <c r="O326">
        <v>4.07</v>
      </c>
      <c r="P326">
        <v>16.564900000000002</v>
      </c>
      <c r="Q326" t="str">
        <f>IFERROR(INDEX(Rosters!$C$2:$C$155,MATCH($B326,Rosters!$B$2:$B$155,0)),"NA")</f>
        <v>NA</v>
      </c>
      <c r="R326" t="str">
        <f t="shared" si="10"/>
        <v>NA11</v>
      </c>
      <c r="S326">
        <f>COUNTIFS(A$1:A326,A326)</f>
        <v>18</v>
      </c>
      <c r="T326" t="str">
        <f t="shared" si="11"/>
        <v>Dustin Hopkins11</v>
      </c>
      <c r="U326">
        <f>IF(OR(NOT(ISERROR(MATCH(T326,Finals!$K$2:$K$1801,0))),AND(A326&gt;Week,Q326&lt;&gt;"NA")),"",A326)</f>
        <v>11</v>
      </c>
      <c r="V326" t="str">
        <f>IF(U326&lt;&gt;"",U326&amp;"-"&amp;COUNTIF(U$1:U326,U326),"")</f>
        <v>11-14</v>
      </c>
    </row>
    <row r="327" spans="1:22" x14ac:dyDescent="0.25">
      <c r="A327">
        <v>8</v>
      </c>
      <c r="B327" t="s">
        <v>463</v>
      </c>
      <c r="C327" t="s">
        <v>5289</v>
      </c>
      <c r="D327">
        <v>1.86</v>
      </c>
      <c r="E327">
        <v>2.33</v>
      </c>
      <c r="F327">
        <v>1.78</v>
      </c>
      <c r="G327">
        <v>1.92</v>
      </c>
      <c r="H327">
        <v>8.31</v>
      </c>
      <c r="I327" t="s">
        <v>30</v>
      </c>
      <c r="J327">
        <v>0.14000000000000001</v>
      </c>
      <c r="K327">
        <v>0.47</v>
      </c>
      <c r="L327">
        <v>6.76</v>
      </c>
      <c r="M327">
        <v>12.83</v>
      </c>
      <c r="N327">
        <v>3.79</v>
      </c>
      <c r="O327">
        <v>4.5199999999999996</v>
      </c>
      <c r="P327">
        <v>20.430399999999999</v>
      </c>
      <c r="Q327" t="str">
        <f>IFERROR(INDEX(Rosters!$C$2:$C$155,MATCH($B327,Rosters!$B$2:$B$155,0)),"NA")</f>
        <v>NA</v>
      </c>
      <c r="R327" t="str">
        <f t="shared" si="10"/>
        <v>NA8</v>
      </c>
      <c r="S327">
        <f>COUNTIFS(A$1:A327,A327)</f>
        <v>19</v>
      </c>
      <c r="T327" t="str">
        <f t="shared" si="11"/>
        <v>Phil Dawson8</v>
      </c>
      <c r="U327">
        <f>IF(OR(NOT(ISERROR(MATCH(T327,Finals!$K$2:$K$1801,0))),AND(A327&gt;Week,Q327&lt;&gt;"NA")),"",A327)</f>
        <v>8</v>
      </c>
      <c r="V327" t="str">
        <f>IF(U327&lt;&gt;"",U327&amp;"-"&amp;COUNTIF(U$1:U327,U327),"")</f>
        <v>8-13</v>
      </c>
    </row>
    <row r="328" spans="1:22" x14ac:dyDescent="0.25">
      <c r="A328">
        <v>10</v>
      </c>
      <c r="B328" t="s">
        <v>460</v>
      </c>
      <c r="C328" t="s">
        <v>5290</v>
      </c>
      <c r="D328">
        <v>1.63</v>
      </c>
      <c r="E328">
        <v>1.87</v>
      </c>
      <c r="F328">
        <v>2.04</v>
      </c>
      <c r="G328">
        <v>2.06</v>
      </c>
      <c r="H328">
        <v>7.5</v>
      </c>
      <c r="I328" t="s">
        <v>29</v>
      </c>
      <c r="J328">
        <v>0.02</v>
      </c>
      <c r="K328">
        <v>0.24</v>
      </c>
      <c r="L328">
        <v>6.76</v>
      </c>
      <c r="M328">
        <v>11.96</v>
      </c>
      <c r="N328">
        <v>3.04</v>
      </c>
      <c r="O328">
        <v>4.46</v>
      </c>
      <c r="P328">
        <v>19.8916</v>
      </c>
      <c r="Q328" t="str">
        <f>IFERROR(INDEX(Rosters!$C$2:$C$155,MATCH($B328,Rosters!$B$2:$B$155,0)),"NA")</f>
        <v>NA</v>
      </c>
      <c r="R328" t="str">
        <f t="shared" si="10"/>
        <v>NA10</v>
      </c>
      <c r="S328">
        <f>COUNTIFS(A$1:A328,A328)</f>
        <v>16</v>
      </c>
      <c r="T328" t="str">
        <f t="shared" si="11"/>
        <v>Jason Myers10</v>
      </c>
      <c r="U328">
        <f>IF(OR(NOT(ISERROR(MATCH(T328,Finals!$K$2:$K$1801,0))),AND(A328&gt;Week,Q328&lt;&gt;"NA")),"",A328)</f>
        <v>10</v>
      </c>
      <c r="V328" t="str">
        <f>IF(U328&lt;&gt;"",U328&amp;"-"&amp;COUNTIF(U$1:U328,U328),"")</f>
        <v>10-9</v>
      </c>
    </row>
    <row r="329" spans="1:22" x14ac:dyDescent="0.25">
      <c r="A329">
        <v>2</v>
      </c>
      <c r="B329" t="s">
        <v>1120</v>
      </c>
      <c r="C329" t="s">
        <v>3591</v>
      </c>
      <c r="D329">
        <v>1.58</v>
      </c>
      <c r="E329">
        <v>2.09</v>
      </c>
      <c r="F329">
        <v>2.92</v>
      </c>
      <c r="G329">
        <v>2.93</v>
      </c>
      <c r="H329">
        <v>8.2899999999999991</v>
      </c>
      <c r="I329" t="s">
        <v>66</v>
      </c>
      <c r="J329">
        <v>1.00000000000002E-2</v>
      </c>
      <c r="K329">
        <v>0.51</v>
      </c>
      <c r="L329">
        <v>6.75</v>
      </c>
      <c r="M329">
        <v>11.88</v>
      </c>
      <c r="N329">
        <v>4.7</v>
      </c>
      <c r="O329">
        <v>3.59</v>
      </c>
      <c r="P329">
        <v>12.8881</v>
      </c>
      <c r="Q329" t="str">
        <f>IFERROR(INDEX(Rosters!$C$2:$C$155,MATCH($B329,Rosters!$B$2:$B$155,0)),"NA")</f>
        <v>NA</v>
      </c>
      <c r="R329" t="str">
        <f t="shared" si="10"/>
        <v>NA2</v>
      </c>
      <c r="S329">
        <f>COUNTIFS(A$1:A329,A329)</f>
        <v>20</v>
      </c>
      <c r="T329" t="str">
        <f t="shared" si="11"/>
        <v>Dustin Hopkins2</v>
      </c>
      <c r="U329">
        <f>IF(OR(NOT(ISERROR(MATCH(T329,Finals!$K$2:$K$1801,0))),AND(A329&gt;Week,Q329&lt;&gt;"NA")),"",A329)</f>
        <v>2</v>
      </c>
      <c r="V329" t="str">
        <f>IF(U329&lt;&gt;"",U329&amp;"-"&amp;COUNTIF(U$1:U329,U329),"")</f>
        <v>2-10</v>
      </c>
    </row>
    <row r="330" spans="1:22" x14ac:dyDescent="0.25">
      <c r="A330">
        <v>5</v>
      </c>
      <c r="B330" t="s">
        <v>450</v>
      </c>
      <c r="C330" t="s">
        <v>9098</v>
      </c>
      <c r="D330">
        <v>1.53</v>
      </c>
      <c r="E330">
        <v>1.8</v>
      </c>
      <c r="F330">
        <v>2.56</v>
      </c>
      <c r="G330">
        <v>2.58</v>
      </c>
      <c r="H330">
        <v>7.58</v>
      </c>
      <c r="I330" t="s">
        <v>41</v>
      </c>
      <c r="J330">
        <v>0.02</v>
      </c>
      <c r="K330">
        <v>0.27</v>
      </c>
      <c r="L330">
        <v>6.75</v>
      </c>
      <c r="M330">
        <v>11.86</v>
      </c>
      <c r="N330">
        <v>3.3</v>
      </c>
      <c r="O330">
        <v>4.28</v>
      </c>
      <c r="P330">
        <v>18.3184</v>
      </c>
      <c r="Q330" t="str">
        <f>IFERROR(INDEX(Rosters!$C$2:$C$155,MATCH($B330,Rosters!$B$2:$B$155,0)),"NA")</f>
        <v>devon</v>
      </c>
      <c r="R330" t="str">
        <f t="shared" si="10"/>
        <v>devon5</v>
      </c>
      <c r="S330">
        <f>COUNTIFS(A$1:A330,A330)</f>
        <v>17</v>
      </c>
      <c r="T330" t="str">
        <f t="shared" si="11"/>
        <v>Matt Prater5</v>
      </c>
      <c r="U330" t="str">
        <f>IF(OR(NOT(ISERROR(MATCH(T330,Finals!$K$2:$K$1801,0))),AND(A330&gt;Week,Q330&lt;&gt;"NA")),"",A330)</f>
        <v/>
      </c>
      <c r="V330" t="str">
        <f>IF(U330&lt;&gt;"",U330&amp;"-"&amp;COUNTIF(U$1:U330,U330),"")</f>
        <v/>
      </c>
    </row>
    <row r="331" spans="1:22" x14ac:dyDescent="0.25">
      <c r="A331">
        <v>14</v>
      </c>
      <c r="B331" t="s">
        <v>1120</v>
      </c>
      <c r="C331" t="s">
        <v>5291</v>
      </c>
      <c r="D331">
        <v>1.56</v>
      </c>
      <c r="E331">
        <v>1.91</v>
      </c>
      <c r="F331">
        <v>2.4900000000000002</v>
      </c>
      <c r="G331">
        <v>2.5499999999999998</v>
      </c>
      <c r="H331">
        <v>7.83</v>
      </c>
      <c r="I331" t="s">
        <v>54</v>
      </c>
      <c r="J331">
        <v>5.9999999999999602E-2</v>
      </c>
      <c r="K331">
        <v>0.35</v>
      </c>
      <c r="L331">
        <v>6.72</v>
      </c>
      <c r="M331">
        <v>11.79</v>
      </c>
      <c r="N331">
        <v>3.87</v>
      </c>
      <c r="O331">
        <v>3.96</v>
      </c>
      <c r="P331">
        <v>15.6816</v>
      </c>
      <c r="Q331" t="str">
        <f>IFERROR(INDEX(Rosters!$C$2:$C$155,MATCH($B331,Rosters!$B$2:$B$155,0)),"NA")</f>
        <v>NA</v>
      </c>
      <c r="R331" t="str">
        <f t="shared" si="10"/>
        <v>NA14</v>
      </c>
      <c r="S331">
        <f>COUNTIFS(A$1:A331,A331)</f>
        <v>22</v>
      </c>
      <c r="T331" t="str">
        <f t="shared" si="11"/>
        <v>Dustin Hopkins14</v>
      </c>
      <c r="U331">
        <f>IF(OR(NOT(ISERROR(MATCH(T331,Finals!$K$2:$K$1801,0))),AND(A331&gt;Week,Q331&lt;&gt;"NA")),"",A331)</f>
        <v>14</v>
      </c>
      <c r="V331" t="str">
        <f>IF(U331&lt;&gt;"",U331&amp;"-"&amp;COUNTIF(U$1:U331,U331),"")</f>
        <v>14-14</v>
      </c>
    </row>
    <row r="332" spans="1:22" x14ac:dyDescent="0.25">
      <c r="A332">
        <v>7</v>
      </c>
      <c r="B332" t="s">
        <v>454</v>
      </c>
      <c r="C332" t="s">
        <v>5292</v>
      </c>
      <c r="D332">
        <v>1.38</v>
      </c>
      <c r="E332">
        <v>1.63</v>
      </c>
      <c r="F332">
        <v>2.86</v>
      </c>
      <c r="G332">
        <v>2.86</v>
      </c>
      <c r="H332">
        <v>7.47</v>
      </c>
      <c r="I332" t="s">
        <v>24</v>
      </c>
      <c r="J332">
        <v>0</v>
      </c>
      <c r="K332">
        <v>0.25</v>
      </c>
      <c r="L332">
        <v>6.72</v>
      </c>
      <c r="M332">
        <v>10.89</v>
      </c>
      <c r="N332">
        <v>4.05</v>
      </c>
      <c r="O332">
        <v>3.42</v>
      </c>
      <c r="P332">
        <v>11.696400000000001</v>
      </c>
      <c r="Q332" t="str">
        <f>IFERROR(INDEX(Rosters!$C$2:$C$155,MATCH($B332,Rosters!$B$2:$B$155,0)),"NA")</f>
        <v>NA</v>
      </c>
      <c r="R332" t="str">
        <f t="shared" si="10"/>
        <v>NA7</v>
      </c>
      <c r="S332">
        <f>COUNTIFS(A$1:A332,A332)</f>
        <v>15</v>
      </c>
      <c r="T332" t="str">
        <f t="shared" si="11"/>
        <v>Randy Bullock7</v>
      </c>
      <c r="U332">
        <f>IF(OR(NOT(ISERROR(MATCH(T332,Finals!$K$2:$K$1801,0))),AND(A332&gt;Week,Q332&lt;&gt;"NA")),"",A332)</f>
        <v>7</v>
      </c>
      <c r="V332" t="str">
        <f>IF(U332&lt;&gt;"",U332&amp;"-"&amp;COUNTIF(U$1:U332,U332),"")</f>
        <v>7-9</v>
      </c>
    </row>
    <row r="333" spans="1:22" x14ac:dyDescent="0.25">
      <c r="A333">
        <v>17</v>
      </c>
      <c r="B333" t="s">
        <v>455</v>
      </c>
      <c r="C333" t="s">
        <v>5293</v>
      </c>
      <c r="D333">
        <v>1.44</v>
      </c>
      <c r="E333">
        <v>1.77</v>
      </c>
      <c r="F333">
        <v>2.98</v>
      </c>
      <c r="G333">
        <v>3.04</v>
      </c>
      <c r="H333">
        <v>7.77</v>
      </c>
      <c r="I333" t="s">
        <v>31</v>
      </c>
      <c r="J333">
        <v>6.0000000000000102E-2</v>
      </c>
      <c r="K333">
        <v>0.33</v>
      </c>
      <c r="L333">
        <v>6.72</v>
      </c>
      <c r="M333">
        <v>11.25</v>
      </c>
      <c r="N333">
        <v>4.29</v>
      </c>
      <c r="O333">
        <v>3.48</v>
      </c>
      <c r="P333">
        <v>12.1104</v>
      </c>
      <c r="Q333" t="str">
        <f>IFERROR(INDEX(Rosters!$C$2:$C$155,MATCH($B333,Rosters!$B$2:$B$155,0)),"NA")</f>
        <v>NA</v>
      </c>
      <c r="R333" t="str">
        <f t="shared" si="10"/>
        <v>NA17</v>
      </c>
      <c r="S333">
        <f>COUNTIFS(A$1:A333,A333)</f>
        <v>24</v>
      </c>
      <c r="T333" t="str">
        <f t="shared" si="11"/>
        <v>Chris Boswell17</v>
      </c>
      <c r="U333">
        <f>IF(OR(NOT(ISERROR(MATCH(T333,Finals!$K$2:$K$1801,0))),AND(A333&gt;Week,Q333&lt;&gt;"NA")),"",A333)</f>
        <v>17</v>
      </c>
      <c r="V333" t="str">
        <f>IF(U333&lt;&gt;"",U333&amp;"-"&amp;COUNTIF(U$1:U333,U333),"")</f>
        <v>17-16</v>
      </c>
    </row>
    <row r="334" spans="1:22" x14ac:dyDescent="0.25">
      <c r="A334">
        <v>15</v>
      </c>
      <c r="B334" t="s">
        <v>5064</v>
      </c>
      <c r="C334" t="s">
        <v>5294</v>
      </c>
      <c r="D334">
        <v>1.52</v>
      </c>
      <c r="E334">
        <v>1.77</v>
      </c>
      <c r="F334">
        <v>2.4500000000000002</v>
      </c>
      <c r="G334">
        <v>2.5299999999999998</v>
      </c>
      <c r="H334">
        <v>7.54</v>
      </c>
      <c r="I334" t="s">
        <v>31</v>
      </c>
      <c r="J334">
        <v>7.9999999999999599E-2</v>
      </c>
      <c r="K334">
        <v>0.25</v>
      </c>
      <c r="L334">
        <v>6.71</v>
      </c>
      <c r="M334">
        <v>11.25</v>
      </c>
      <c r="N334">
        <v>3.83</v>
      </c>
      <c r="O334">
        <v>3.71</v>
      </c>
      <c r="P334">
        <v>13.764099999999999</v>
      </c>
      <c r="Q334" t="str">
        <f>IFERROR(INDEX(Rosters!$C$2:$C$155,MATCH($B334,Rosters!$B$2:$B$155,0)),"NA")</f>
        <v>NA</v>
      </c>
      <c r="R334" t="str">
        <f t="shared" si="10"/>
        <v>NA15</v>
      </c>
      <c r="S334">
        <f>COUNTIFS(A$1:A334,A334)</f>
        <v>23</v>
      </c>
      <c r="T334" t="str">
        <f t="shared" si="11"/>
        <v>Matt McCrane15</v>
      </c>
      <c r="U334">
        <f>IF(OR(NOT(ISERROR(MATCH(T334,Finals!$K$2:$K$1801,0))),AND(A334&gt;Week,Q334&lt;&gt;"NA")),"",A334)</f>
        <v>15</v>
      </c>
      <c r="V334" t="str">
        <f>IF(U334&lt;&gt;"",U334&amp;"-"&amp;COUNTIF(U$1:U334,U334),"")</f>
        <v>15-16</v>
      </c>
    </row>
    <row r="335" spans="1:22" x14ac:dyDescent="0.25">
      <c r="A335">
        <v>9</v>
      </c>
      <c r="B335" t="s">
        <v>1121</v>
      </c>
      <c r="C335" t="s">
        <v>5295</v>
      </c>
      <c r="D335">
        <v>1.48</v>
      </c>
      <c r="E335">
        <v>1.67</v>
      </c>
      <c r="F335">
        <v>2.36</v>
      </c>
      <c r="G335">
        <v>2.4</v>
      </c>
      <c r="H335">
        <v>7.32</v>
      </c>
      <c r="I335" t="s">
        <v>28</v>
      </c>
      <c r="J335">
        <v>0.04</v>
      </c>
      <c r="K335">
        <v>0.19</v>
      </c>
      <c r="L335">
        <v>6.71</v>
      </c>
      <c r="M335">
        <v>10.6</v>
      </c>
      <c r="N335">
        <v>4.04</v>
      </c>
      <c r="O335">
        <v>3.28</v>
      </c>
      <c r="P335">
        <v>10.7584</v>
      </c>
      <c r="Q335" t="str">
        <f>IFERROR(INDEX(Rosters!$C$2:$C$155,MATCH($B335,Rosters!$B$2:$B$155,0)),"NA")</f>
        <v>NA</v>
      </c>
      <c r="R335" t="str">
        <f t="shared" si="10"/>
        <v>NA9</v>
      </c>
      <c r="S335">
        <f>COUNTIFS(A$1:A335,A335)</f>
        <v>20</v>
      </c>
      <c r="T335" t="str">
        <f t="shared" si="11"/>
        <v>Caleb Sturgis9</v>
      </c>
      <c r="U335">
        <f>IF(OR(NOT(ISERROR(MATCH(T335,Finals!$K$2:$K$1801,0))),AND(A335&gt;Week,Q335&lt;&gt;"NA")),"",A335)</f>
        <v>9</v>
      </c>
      <c r="V335" t="str">
        <f>IF(U335&lt;&gt;"",U335&amp;"-"&amp;COUNTIF(U$1:U335,U335),"")</f>
        <v>9-14</v>
      </c>
    </row>
    <row r="336" spans="1:22" x14ac:dyDescent="0.25">
      <c r="A336">
        <v>3</v>
      </c>
      <c r="B336" t="s">
        <v>1216</v>
      </c>
      <c r="C336" t="s">
        <v>4379</v>
      </c>
      <c r="D336">
        <v>1.58</v>
      </c>
      <c r="E336">
        <v>1.86</v>
      </c>
      <c r="F336">
        <v>2.37</v>
      </c>
      <c r="G336">
        <v>2.41</v>
      </c>
      <c r="H336">
        <v>7.59</v>
      </c>
      <c r="I336" t="s">
        <v>22</v>
      </c>
      <c r="J336">
        <v>0.04</v>
      </c>
      <c r="K336">
        <v>0.28000000000000003</v>
      </c>
      <c r="L336">
        <v>6.71</v>
      </c>
      <c r="M336">
        <v>11.32</v>
      </c>
      <c r="N336">
        <v>3.86</v>
      </c>
      <c r="O336">
        <v>3.73</v>
      </c>
      <c r="P336">
        <v>13.9129</v>
      </c>
      <c r="Q336" t="str">
        <f>IFERROR(INDEX(Rosters!$C$2:$C$155,MATCH($B336,Rosters!$B$2:$B$155,0)),"NA")</f>
        <v>NA</v>
      </c>
      <c r="R336" t="str">
        <f t="shared" si="10"/>
        <v>NA3</v>
      </c>
      <c r="S336">
        <f>COUNTIFS(A$1:A336,A336)</f>
        <v>18</v>
      </c>
      <c r="T336" t="str">
        <f t="shared" si="11"/>
        <v>Sebastian Janikowski3</v>
      </c>
      <c r="U336">
        <f>IF(OR(NOT(ISERROR(MATCH(T336,Finals!$K$2:$K$1801,0))),AND(A336&gt;Week,Q336&lt;&gt;"NA")),"",A336)</f>
        <v>3</v>
      </c>
      <c r="V336" t="str">
        <f>IF(U336&lt;&gt;"",U336&amp;"-"&amp;COUNTIF(U$1:U336,U336),"")</f>
        <v>3-9</v>
      </c>
    </row>
    <row r="337" spans="1:22" x14ac:dyDescent="0.25">
      <c r="A337">
        <v>14</v>
      </c>
      <c r="B337" t="s">
        <v>453</v>
      </c>
      <c r="C337" t="s">
        <v>5296</v>
      </c>
      <c r="D337">
        <v>1.89</v>
      </c>
      <c r="E337">
        <v>2.36</v>
      </c>
      <c r="F337">
        <v>1.65</v>
      </c>
      <c r="G337">
        <v>1.65</v>
      </c>
      <c r="H337">
        <v>8.1199999999999992</v>
      </c>
      <c r="I337" t="s">
        <v>76</v>
      </c>
      <c r="J337">
        <v>0</v>
      </c>
      <c r="K337">
        <v>0.47</v>
      </c>
      <c r="L337">
        <v>6.71</v>
      </c>
      <c r="M337">
        <v>11.8</v>
      </c>
      <c r="N337">
        <v>4.4400000000000004</v>
      </c>
      <c r="O337">
        <v>3.68</v>
      </c>
      <c r="P337">
        <v>13.542400000000001</v>
      </c>
      <c r="Q337" t="str">
        <f>IFERROR(INDEX(Rosters!$C$2:$C$155,MATCH($B337,Rosters!$B$2:$B$155,0)),"NA")</f>
        <v>NA</v>
      </c>
      <c r="R337" t="str">
        <f t="shared" si="10"/>
        <v>NA14</v>
      </c>
      <c r="S337">
        <f>COUNTIFS(A$1:A337,A337)</f>
        <v>23</v>
      </c>
      <c r="T337" t="str">
        <f t="shared" si="11"/>
        <v>Ryan Succop14</v>
      </c>
      <c r="U337">
        <f>IF(OR(NOT(ISERROR(MATCH(T337,Finals!$K$2:$K$1801,0))),AND(A337&gt;Week,Q337&lt;&gt;"NA")),"",A337)</f>
        <v>14</v>
      </c>
      <c r="V337" t="str">
        <f>IF(U337&lt;&gt;"",U337&amp;"-"&amp;COUNTIF(U$1:U337,U337),"")</f>
        <v>14-15</v>
      </c>
    </row>
    <row r="338" spans="1:22" x14ac:dyDescent="0.25">
      <c r="A338">
        <v>4</v>
      </c>
      <c r="B338" t="s">
        <v>1107</v>
      </c>
      <c r="C338" t="s">
        <v>5297</v>
      </c>
      <c r="D338">
        <v>1.67</v>
      </c>
      <c r="E338">
        <v>1.93</v>
      </c>
      <c r="F338">
        <v>2.0299999999999998</v>
      </c>
      <c r="G338">
        <v>2.09</v>
      </c>
      <c r="H338">
        <v>7.55</v>
      </c>
      <c r="I338" t="s">
        <v>41</v>
      </c>
      <c r="J338">
        <v>6.0000000000000102E-2</v>
      </c>
      <c r="K338">
        <v>0.26</v>
      </c>
      <c r="L338">
        <v>6.71</v>
      </c>
      <c r="M338">
        <v>11.68</v>
      </c>
      <c r="N338">
        <v>3.42</v>
      </c>
      <c r="O338">
        <v>4.13</v>
      </c>
      <c r="P338">
        <v>17.056899999999999</v>
      </c>
      <c r="Q338" t="str">
        <f>IFERROR(INDEX(Rosters!$C$2:$C$155,MATCH($B338,Rosters!$B$2:$B$155,0)),"NA")</f>
        <v>NA</v>
      </c>
      <c r="R338" t="str">
        <f t="shared" si="10"/>
        <v>NA4</v>
      </c>
      <c r="S338">
        <f>COUNTIFS(A$1:A338,A338)</f>
        <v>20</v>
      </c>
      <c r="T338" t="str">
        <f t="shared" si="11"/>
        <v>Stephen Hauschka4</v>
      </c>
      <c r="U338">
        <f>IF(OR(NOT(ISERROR(MATCH(T338,Finals!$K$2:$K$1801,0))),AND(A338&gt;Week,Q338&lt;&gt;"NA")),"",A338)</f>
        <v>4</v>
      </c>
      <c r="V338" t="str">
        <f>IF(U338&lt;&gt;"",U338&amp;"-"&amp;COUNTIF(U$1:U338,U338),"")</f>
        <v>4-12</v>
      </c>
    </row>
    <row r="339" spans="1:22" x14ac:dyDescent="0.25">
      <c r="A339">
        <v>2</v>
      </c>
      <c r="B339" t="s">
        <v>448</v>
      </c>
      <c r="C339" t="s">
        <v>3592</v>
      </c>
      <c r="D339">
        <v>1.6</v>
      </c>
      <c r="E339">
        <v>1.97</v>
      </c>
      <c r="F339">
        <v>2.19</v>
      </c>
      <c r="G339">
        <v>2.21</v>
      </c>
      <c r="H339">
        <v>7.83</v>
      </c>
      <c r="I339" t="s">
        <v>60</v>
      </c>
      <c r="J339">
        <v>0.02</v>
      </c>
      <c r="K339">
        <v>0.37</v>
      </c>
      <c r="L339">
        <v>6.7</v>
      </c>
      <c r="M339">
        <v>11.17</v>
      </c>
      <c r="N339">
        <v>4.49</v>
      </c>
      <c r="O339">
        <v>3.34</v>
      </c>
      <c r="P339">
        <v>11.1556</v>
      </c>
      <c r="Q339" t="str">
        <f>IFERROR(INDEX(Rosters!$C$2:$C$155,MATCH($B339,Rosters!$B$2:$B$155,0)),"NA")</f>
        <v>NA</v>
      </c>
      <c r="R339" t="str">
        <f t="shared" si="10"/>
        <v>NA2</v>
      </c>
      <c r="S339">
        <f>COUNTIFS(A$1:A339,A339)</f>
        <v>21</v>
      </c>
      <c r="T339" t="str">
        <f t="shared" si="11"/>
        <v>Adam Vinatieri2</v>
      </c>
      <c r="U339">
        <f>IF(OR(NOT(ISERROR(MATCH(T339,Finals!$K$2:$K$1801,0))),AND(A339&gt;Week,Q339&lt;&gt;"NA")),"",A339)</f>
        <v>2</v>
      </c>
      <c r="V339" t="str">
        <f>IF(U339&lt;&gt;"",U339&amp;"-"&amp;COUNTIF(U$1:U339,U339),"")</f>
        <v>2-11</v>
      </c>
    </row>
    <row r="340" spans="1:22" x14ac:dyDescent="0.25">
      <c r="A340">
        <v>16</v>
      </c>
      <c r="B340" t="s">
        <v>454</v>
      </c>
      <c r="C340" t="s">
        <v>4380</v>
      </c>
      <c r="D340">
        <v>1.57</v>
      </c>
      <c r="E340">
        <v>1.88</v>
      </c>
      <c r="F340">
        <v>2.4900000000000002</v>
      </c>
      <c r="G340">
        <v>2.5299999999999998</v>
      </c>
      <c r="H340">
        <v>7.67</v>
      </c>
      <c r="I340" t="s">
        <v>52</v>
      </c>
      <c r="J340">
        <v>3.9999999999999598E-2</v>
      </c>
      <c r="K340">
        <v>0.31</v>
      </c>
      <c r="L340">
        <v>6.7</v>
      </c>
      <c r="M340">
        <v>11.78</v>
      </c>
      <c r="N340">
        <v>3.56</v>
      </c>
      <c r="O340">
        <v>4.1100000000000003</v>
      </c>
      <c r="P340">
        <v>16.892099999999999</v>
      </c>
      <c r="Q340" t="str">
        <f>IFERROR(INDEX(Rosters!$C$2:$C$155,MATCH($B340,Rosters!$B$2:$B$155,0)),"NA")</f>
        <v>NA</v>
      </c>
      <c r="R340" t="str">
        <f t="shared" si="10"/>
        <v>NA16</v>
      </c>
      <c r="S340">
        <f>COUNTIFS(A$1:A340,A340)</f>
        <v>24</v>
      </c>
      <c r="T340" t="str">
        <f t="shared" si="11"/>
        <v>Randy Bullock16</v>
      </c>
      <c r="U340">
        <f>IF(OR(NOT(ISERROR(MATCH(T340,Finals!$K$2:$K$1801,0))),AND(A340&gt;Week,Q340&lt;&gt;"NA")),"",A340)</f>
        <v>16</v>
      </c>
      <c r="V340" t="str">
        <f>IF(U340&lt;&gt;"",U340&amp;"-"&amp;COUNTIF(U$1:U340,U340),"")</f>
        <v>16-16</v>
      </c>
    </row>
    <row r="341" spans="1:22" x14ac:dyDescent="0.25">
      <c r="A341">
        <v>12</v>
      </c>
      <c r="B341" t="s">
        <v>4167</v>
      </c>
      <c r="C341" t="s">
        <v>5298</v>
      </c>
      <c r="D341">
        <v>1.6</v>
      </c>
      <c r="E341">
        <v>1.95</v>
      </c>
      <c r="F341">
        <v>2.4500000000000002</v>
      </c>
      <c r="G341">
        <v>2.4900000000000002</v>
      </c>
      <c r="H341">
        <v>7.79</v>
      </c>
      <c r="I341" t="s">
        <v>66</v>
      </c>
      <c r="J341">
        <v>0.04</v>
      </c>
      <c r="K341">
        <v>0.35</v>
      </c>
      <c r="L341">
        <v>6.7</v>
      </c>
      <c r="M341">
        <v>11.48</v>
      </c>
      <c r="N341">
        <v>4.0999999999999996</v>
      </c>
      <c r="O341">
        <v>3.69</v>
      </c>
      <c r="P341">
        <v>13.616099999999999</v>
      </c>
      <c r="Q341" t="str">
        <f>IFERROR(INDEX(Rosters!$C$2:$C$155,MATCH($B341,Rosters!$B$2:$B$155,0)),"NA")</f>
        <v>NA</v>
      </c>
      <c r="R341" t="str">
        <f t="shared" si="10"/>
        <v>NA12</v>
      </c>
      <c r="S341">
        <f>COUNTIFS(A$1:A341,A341)</f>
        <v>21</v>
      </c>
      <c r="T341" t="str">
        <f t="shared" si="11"/>
        <v>Jason Sanders12</v>
      </c>
      <c r="U341">
        <f>IF(OR(NOT(ISERROR(MATCH(T341,Finals!$K$2:$K$1801,0))),AND(A341&gt;Week,Q341&lt;&gt;"NA")),"",A341)</f>
        <v>12</v>
      </c>
      <c r="V341" t="str">
        <f>IF(U341&lt;&gt;"",U341&amp;"-"&amp;COUNTIF(U$1:U341,U341),"")</f>
        <v>12-15</v>
      </c>
    </row>
    <row r="342" spans="1:22" x14ac:dyDescent="0.25">
      <c r="A342">
        <v>6</v>
      </c>
      <c r="B342" t="s">
        <v>998</v>
      </c>
      <c r="C342" t="s">
        <v>5299</v>
      </c>
      <c r="D342">
        <v>1.55</v>
      </c>
      <c r="E342">
        <v>1.77</v>
      </c>
      <c r="F342">
        <v>2.31</v>
      </c>
      <c r="G342">
        <v>2.37</v>
      </c>
      <c r="H342">
        <v>7.42</v>
      </c>
      <c r="I342" t="s">
        <v>54</v>
      </c>
      <c r="J342">
        <v>6.0000000000000102E-2</v>
      </c>
      <c r="K342">
        <v>0.22</v>
      </c>
      <c r="L342">
        <v>6.7</v>
      </c>
      <c r="M342">
        <v>11.72</v>
      </c>
      <c r="N342">
        <v>3.12</v>
      </c>
      <c r="O342">
        <v>4.3</v>
      </c>
      <c r="P342">
        <v>18.489999999999998</v>
      </c>
      <c r="Q342" t="str">
        <f>IFERROR(INDEX(Rosters!$C$2:$C$155,MATCH($B342,Rosters!$B$2:$B$155,0)),"NA")</f>
        <v>NA</v>
      </c>
      <c r="R342" t="str">
        <f t="shared" si="10"/>
        <v>NA6</v>
      </c>
      <c r="S342">
        <f>COUNTIFS(A$1:A342,A342)</f>
        <v>21</v>
      </c>
      <c r="T342" t="str">
        <f t="shared" si="11"/>
        <v>Jake Elliott6</v>
      </c>
      <c r="U342">
        <f>IF(OR(NOT(ISERROR(MATCH(T342,Finals!$K$2:$K$1801,0))),AND(A342&gt;Week,Q342&lt;&gt;"NA")),"",A342)</f>
        <v>6</v>
      </c>
      <c r="V342" t="str">
        <f>IF(U342&lt;&gt;"",U342&amp;"-"&amp;COUNTIF(U$1:U342,U342),"")</f>
        <v>6-14</v>
      </c>
    </row>
    <row r="343" spans="1:22" x14ac:dyDescent="0.25">
      <c r="A343">
        <v>11</v>
      </c>
      <c r="B343" t="s">
        <v>461</v>
      </c>
      <c r="C343" t="s">
        <v>5300</v>
      </c>
      <c r="D343">
        <v>1.54</v>
      </c>
      <c r="E343">
        <v>1.95</v>
      </c>
      <c r="F343">
        <v>2.5099999999999998</v>
      </c>
      <c r="G343">
        <v>2.5299999999999998</v>
      </c>
      <c r="H343">
        <v>7.94</v>
      </c>
      <c r="I343" t="s">
        <v>17</v>
      </c>
      <c r="J343">
        <v>0.02</v>
      </c>
      <c r="K343">
        <v>0.41</v>
      </c>
      <c r="L343">
        <v>6.69</v>
      </c>
      <c r="M343">
        <v>11.54</v>
      </c>
      <c r="N343">
        <v>4.34</v>
      </c>
      <c r="O343">
        <v>3.6</v>
      </c>
      <c r="P343">
        <v>12.96</v>
      </c>
      <c r="Q343" t="str">
        <f>IFERROR(INDEX(Rosters!$C$2:$C$155,MATCH($B343,Rosters!$B$2:$B$155,0)),"NA")</f>
        <v>NA</v>
      </c>
      <c r="R343" t="str">
        <f t="shared" si="10"/>
        <v>NA11</v>
      </c>
      <c r="S343">
        <f>COUNTIFS(A$1:A343,A343)</f>
        <v>19</v>
      </c>
      <c r="T343" t="str">
        <f t="shared" si="11"/>
        <v>Aldrick Rosas11</v>
      </c>
      <c r="U343">
        <f>IF(OR(NOT(ISERROR(MATCH(T343,Finals!$K$2:$K$1801,0))),AND(A343&gt;Week,Q343&lt;&gt;"NA")),"",A343)</f>
        <v>11</v>
      </c>
      <c r="V343" t="str">
        <f>IF(U343&lt;&gt;"",U343&amp;"-"&amp;COUNTIF(U$1:U343,U343),"")</f>
        <v>11-15</v>
      </c>
    </row>
    <row r="344" spans="1:22" x14ac:dyDescent="0.25">
      <c r="A344">
        <v>7</v>
      </c>
      <c r="B344" t="s">
        <v>448</v>
      </c>
      <c r="C344" t="s">
        <v>5301</v>
      </c>
      <c r="D344">
        <v>1.56</v>
      </c>
      <c r="E344">
        <v>1.89</v>
      </c>
      <c r="F344">
        <v>2.29</v>
      </c>
      <c r="G344">
        <v>2.33</v>
      </c>
      <c r="H344">
        <v>7.72</v>
      </c>
      <c r="I344" t="s">
        <v>29</v>
      </c>
      <c r="J344">
        <v>0.04</v>
      </c>
      <c r="K344">
        <v>0.33</v>
      </c>
      <c r="L344">
        <v>6.69</v>
      </c>
      <c r="M344">
        <v>11.42</v>
      </c>
      <c r="N344">
        <v>4.0199999999999996</v>
      </c>
      <c r="O344">
        <v>3.7</v>
      </c>
      <c r="P344">
        <v>13.69</v>
      </c>
      <c r="Q344" t="str">
        <f>IFERROR(INDEX(Rosters!$C$2:$C$155,MATCH($B344,Rosters!$B$2:$B$155,0)),"NA")</f>
        <v>NA</v>
      </c>
      <c r="R344" t="str">
        <f t="shared" si="10"/>
        <v>NA7</v>
      </c>
      <c r="S344">
        <f>COUNTIFS(A$1:A344,A344)</f>
        <v>16</v>
      </c>
      <c r="T344" t="str">
        <f t="shared" si="11"/>
        <v>Adam Vinatieri7</v>
      </c>
      <c r="U344">
        <f>IF(OR(NOT(ISERROR(MATCH(T344,Finals!$K$2:$K$1801,0))),AND(A344&gt;Week,Q344&lt;&gt;"NA")),"",A344)</f>
        <v>7</v>
      </c>
      <c r="V344" t="str">
        <f>IF(U344&lt;&gt;"",U344&amp;"-"&amp;COUNTIF(U$1:U344,U344),"")</f>
        <v>7-10</v>
      </c>
    </row>
    <row r="345" spans="1:22" x14ac:dyDescent="0.25">
      <c r="A345">
        <v>1</v>
      </c>
      <c r="B345" t="s">
        <v>4167</v>
      </c>
      <c r="C345" t="s">
        <v>4170</v>
      </c>
      <c r="D345">
        <v>1.61</v>
      </c>
      <c r="E345">
        <v>1.88</v>
      </c>
      <c r="F345">
        <v>2.04</v>
      </c>
      <c r="G345">
        <v>2.06</v>
      </c>
      <c r="H345">
        <v>7.52</v>
      </c>
      <c r="I345" t="s">
        <v>38</v>
      </c>
      <c r="J345">
        <v>0.02</v>
      </c>
      <c r="K345">
        <v>0.27</v>
      </c>
      <c r="L345">
        <v>6.69</v>
      </c>
      <c r="M345">
        <v>11.47</v>
      </c>
      <c r="N345">
        <v>3.57</v>
      </c>
      <c r="O345">
        <v>3.95</v>
      </c>
      <c r="P345">
        <v>15.602499999999999</v>
      </c>
      <c r="Q345" t="str">
        <f>IFERROR(INDEX(Rosters!$C$2:$C$155,MATCH($B345,Rosters!$B$2:$B$155,0)),"NA")</f>
        <v>NA</v>
      </c>
      <c r="R345" t="str">
        <f t="shared" si="10"/>
        <v>NA1</v>
      </c>
      <c r="S345">
        <f>COUNTIFS(A$1:A345,A345)</f>
        <v>20</v>
      </c>
      <c r="T345" t="str">
        <f t="shared" si="11"/>
        <v>Jason Sanders1</v>
      </c>
      <c r="U345">
        <f>IF(OR(NOT(ISERROR(MATCH(T345,Finals!$K$2:$K$1801,0))),AND(A345&gt;Week,Q345&lt;&gt;"NA")),"",A345)</f>
        <v>1</v>
      </c>
      <c r="V345" t="str">
        <f>IF(U345&lt;&gt;"",U345&amp;"-"&amp;COUNTIF(U$1:U345,U345),"")</f>
        <v>1-10</v>
      </c>
    </row>
    <row r="346" spans="1:22" x14ac:dyDescent="0.25">
      <c r="A346">
        <v>1</v>
      </c>
      <c r="B346" t="s">
        <v>444</v>
      </c>
      <c r="C346" t="s">
        <v>1761</v>
      </c>
      <c r="D346">
        <v>1.86</v>
      </c>
      <c r="E346">
        <v>2.42</v>
      </c>
      <c r="F346">
        <v>2.2999999999999998</v>
      </c>
      <c r="G346">
        <v>2.34</v>
      </c>
      <c r="H346">
        <v>8.4</v>
      </c>
      <c r="I346" t="s">
        <v>72</v>
      </c>
      <c r="J346">
        <v>0.04</v>
      </c>
      <c r="K346">
        <v>0.56000000000000005</v>
      </c>
      <c r="L346">
        <v>6.68</v>
      </c>
      <c r="M346">
        <v>13.37</v>
      </c>
      <c r="N346">
        <v>3.43</v>
      </c>
      <c r="O346">
        <v>4.97</v>
      </c>
      <c r="P346">
        <v>24.700900000000001</v>
      </c>
      <c r="Q346" t="str">
        <f>IFERROR(INDEX(Rosters!$C$2:$C$155,MATCH($B346,Rosters!$B$2:$B$155,0)),"NA")</f>
        <v>perry</v>
      </c>
      <c r="R346" t="str">
        <f t="shared" si="10"/>
        <v>perry1</v>
      </c>
      <c r="S346">
        <f>COUNTIFS(A$1:A346,A346)</f>
        <v>21</v>
      </c>
      <c r="T346" t="str">
        <f t="shared" si="11"/>
        <v>Mason Crosby1</v>
      </c>
      <c r="U346">
        <f>IF(OR(NOT(ISERROR(MATCH(T346,Finals!$K$2:$K$1801,0))),AND(A346&gt;Week,Q346&lt;&gt;"NA")),"",A346)</f>
        <v>1</v>
      </c>
      <c r="V346" t="str">
        <f>IF(U346&lt;&gt;"",U346&amp;"-"&amp;COUNTIF(U$1:U346,U346),"")</f>
        <v>1-11</v>
      </c>
    </row>
    <row r="347" spans="1:22" x14ac:dyDescent="0.25">
      <c r="A347">
        <v>4</v>
      </c>
      <c r="B347" t="s">
        <v>463</v>
      </c>
      <c r="C347" t="s">
        <v>5302</v>
      </c>
      <c r="D347">
        <v>1.69</v>
      </c>
      <c r="E347">
        <v>2</v>
      </c>
      <c r="F347">
        <v>1.66</v>
      </c>
      <c r="G347">
        <v>1.7</v>
      </c>
      <c r="H347">
        <v>7.65</v>
      </c>
      <c r="I347" t="s">
        <v>28</v>
      </c>
      <c r="J347">
        <v>0.04</v>
      </c>
      <c r="K347">
        <v>0.31</v>
      </c>
      <c r="L347">
        <v>6.68</v>
      </c>
      <c r="M347">
        <v>12.44</v>
      </c>
      <c r="N347">
        <v>2.86</v>
      </c>
      <c r="O347">
        <v>4.79</v>
      </c>
      <c r="P347">
        <v>22.944099999999999</v>
      </c>
      <c r="Q347" t="str">
        <f>IFERROR(INDEX(Rosters!$C$2:$C$155,MATCH($B347,Rosters!$B$2:$B$155,0)),"NA")</f>
        <v>NA</v>
      </c>
      <c r="R347" t="str">
        <f t="shared" si="10"/>
        <v>NA4</v>
      </c>
      <c r="S347">
        <f>COUNTIFS(A$1:A347,A347)</f>
        <v>21</v>
      </c>
      <c r="T347" t="str">
        <f t="shared" si="11"/>
        <v>Phil Dawson4</v>
      </c>
      <c r="U347">
        <f>IF(OR(NOT(ISERROR(MATCH(T347,Finals!$K$2:$K$1801,0))),AND(A347&gt;Week,Q347&lt;&gt;"NA")),"",A347)</f>
        <v>4</v>
      </c>
      <c r="V347" t="str">
        <f>IF(U347&lt;&gt;"",U347&amp;"-"&amp;COUNTIF(U$1:U347,U347),"")</f>
        <v>4-13</v>
      </c>
    </row>
    <row r="348" spans="1:22" x14ac:dyDescent="0.25">
      <c r="A348">
        <v>6</v>
      </c>
      <c r="B348" t="s">
        <v>453</v>
      </c>
      <c r="C348" t="s">
        <v>5303</v>
      </c>
      <c r="D348">
        <v>1.83</v>
      </c>
      <c r="E348">
        <v>2.2200000000000002</v>
      </c>
      <c r="F348">
        <v>1.63</v>
      </c>
      <c r="G348">
        <v>1.65</v>
      </c>
      <c r="H348">
        <v>7.86</v>
      </c>
      <c r="I348" t="s">
        <v>77</v>
      </c>
      <c r="J348">
        <v>0.02</v>
      </c>
      <c r="K348">
        <v>0.39</v>
      </c>
      <c r="L348">
        <v>6.67</v>
      </c>
      <c r="M348">
        <v>11.72</v>
      </c>
      <c r="N348">
        <v>4</v>
      </c>
      <c r="O348">
        <v>3.86</v>
      </c>
      <c r="P348">
        <v>14.8996</v>
      </c>
      <c r="Q348" t="str">
        <f>IFERROR(INDEX(Rosters!$C$2:$C$155,MATCH($B348,Rosters!$B$2:$B$155,0)),"NA")</f>
        <v>NA</v>
      </c>
      <c r="R348" t="str">
        <f t="shared" si="10"/>
        <v>NA6</v>
      </c>
      <c r="S348">
        <f>COUNTIFS(A$1:A348,A348)</f>
        <v>22</v>
      </c>
      <c r="T348" t="str">
        <f t="shared" si="11"/>
        <v>Ryan Succop6</v>
      </c>
      <c r="U348">
        <f>IF(OR(NOT(ISERROR(MATCH(T348,Finals!$K$2:$K$1801,0))),AND(A348&gt;Week,Q348&lt;&gt;"NA")),"",A348)</f>
        <v>6</v>
      </c>
      <c r="V348" t="str">
        <f>IF(U348&lt;&gt;"",U348&amp;"-"&amp;COUNTIF(U$1:U348,U348),"")</f>
        <v>6-15</v>
      </c>
    </row>
    <row r="349" spans="1:22" x14ac:dyDescent="0.25">
      <c r="A349">
        <v>17</v>
      </c>
      <c r="B349" t="s">
        <v>459</v>
      </c>
      <c r="C349" t="s">
        <v>5304</v>
      </c>
      <c r="D349">
        <v>1.7</v>
      </c>
      <c r="E349">
        <v>2.12</v>
      </c>
      <c r="F349">
        <v>1.96</v>
      </c>
      <c r="G349">
        <v>1.96</v>
      </c>
      <c r="H349">
        <v>7.92</v>
      </c>
      <c r="I349" t="s">
        <v>25</v>
      </c>
      <c r="J349">
        <v>0</v>
      </c>
      <c r="K349">
        <v>0.42</v>
      </c>
      <c r="L349">
        <v>6.66</v>
      </c>
      <c r="M349">
        <v>11.45</v>
      </c>
      <c r="N349">
        <v>4.3899999999999997</v>
      </c>
      <c r="O349">
        <v>3.53</v>
      </c>
      <c r="P349">
        <v>12.460900000000001</v>
      </c>
      <c r="Q349" t="str">
        <f>IFERROR(INDEX(Rosters!$C$2:$C$155,MATCH($B349,Rosters!$B$2:$B$155,0)),"NA")</f>
        <v>NA</v>
      </c>
      <c r="R349" t="str">
        <f t="shared" si="10"/>
        <v>NA17</v>
      </c>
      <c r="S349">
        <f>COUNTIFS(A$1:A349,A349)</f>
        <v>25</v>
      </c>
      <c r="T349" t="str">
        <f t="shared" si="11"/>
        <v>Cody Parkey17</v>
      </c>
      <c r="U349">
        <f>IF(OR(NOT(ISERROR(MATCH(T349,Finals!$K$2:$K$1801,0))),AND(A349&gt;Week,Q349&lt;&gt;"NA")),"",A349)</f>
        <v>17</v>
      </c>
      <c r="V349" t="str">
        <f>IF(U349&lt;&gt;"",U349&amp;"-"&amp;COUNTIF(U$1:U349,U349),"")</f>
        <v>17-17</v>
      </c>
    </row>
    <row r="350" spans="1:22" x14ac:dyDescent="0.25">
      <c r="A350">
        <v>14</v>
      </c>
      <c r="B350" t="s">
        <v>463</v>
      </c>
      <c r="C350" t="s">
        <v>5305</v>
      </c>
      <c r="D350">
        <v>1.75</v>
      </c>
      <c r="E350">
        <v>2.12</v>
      </c>
      <c r="F350">
        <v>1.88</v>
      </c>
      <c r="G350">
        <v>2.02</v>
      </c>
      <c r="H350">
        <v>7.9</v>
      </c>
      <c r="I350" t="s">
        <v>34</v>
      </c>
      <c r="J350">
        <v>0.14000000000000001</v>
      </c>
      <c r="K350">
        <v>0.37</v>
      </c>
      <c r="L350">
        <v>6.65</v>
      </c>
      <c r="M350">
        <v>11.83</v>
      </c>
      <c r="N350">
        <v>3.97</v>
      </c>
      <c r="O350">
        <v>3.93</v>
      </c>
      <c r="P350">
        <v>15.444900000000001</v>
      </c>
      <c r="Q350" t="str">
        <f>IFERROR(INDEX(Rosters!$C$2:$C$155,MATCH($B350,Rosters!$B$2:$B$155,0)),"NA")</f>
        <v>NA</v>
      </c>
      <c r="R350" t="str">
        <f t="shared" si="10"/>
        <v>NA14</v>
      </c>
      <c r="S350">
        <f>COUNTIFS(A$1:A350,A350)</f>
        <v>24</v>
      </c>
      <c r="T350" t="str">
        <f t="shared" si="11"/>
        <v>Phil Dawson14</v>
      </c>
      <c r="U350">
        <f>IF(OR(NOT(ISERROR(MATCH(T350,Finals!$K$2:$K$1801,0))),AND(A350&gt;Week,Q350&lt;&gt;"NA")),"",A350)</f>
        <v>14</v>
      </c>
      <c r="V350" t="str">
        <f>IF(U350&lt;&gt;"",U350&amp;"-"&amp;COUNTIF(U$1:U350,U350),"")</f>
        <v>14-16</v>
      </c>
    </row>
    <row r="351" spans="1:22" x14ac:dyDescent="0.25">
      <c r="A351">
        <v>12</v>
      </c>
      <c r="B351" t="s">
        <v>465</v>
      </c>
      <c r="C351" t="s">
        <v>5306</v>
      </c>
      <c r="D351">
        <v>1.52</v>
      </c>
      <c r="E351">
        <v>1.75</v>
      </c>
      <c r="F351">
        <v>2.14</v>
      </c>
      <c r="G351">
        <v>2.16</v>
      </c>
      <c r="H351">
        <v>7.34</v>
      </c>
      <c r="I351" t="s">
        <v>51</v>
      </c>
      <c r="J351">
        <v>0.02</v>
      </c>
      <c r="K351">
        <v>0.23</v>
      </c>
      <c r="L351">
        <v>6.63</v>
      </c>
      <c r="M351">
        <v>12.11</v>
      </c>
      <c r="N351">
        <v>2.57</v>
      </c>
      <c r="O351">
        <v>4.7699999999999996</v>
      </c>
      <c r="P351">
        <v>22.7529</v>
      </c>
      <c r="Q351" t="str">
        <f>IFERROR(INDEX(Rosters!$C$2:$C$155,MATCH($B351,Rosters!$B$2:$B$155,0)),"NA")</f>
        <v>NA</v>
      </c>
      <c r="R351" t="str">
        <f t="shared" si="10"/>
        <v>NA12</v>
      </c>
      <c r="S351">
        <f>COUNTIFS(A$1:A351,A351)</f>
        <v>22</v>
      </c>
      <c r="T351" t="str">
        <f t="shared" si="11"/>
        <v>Brandon McManus12</v>
      </c>
      <c r="U351">
        <f>IF(OR(NOT(ISERROR(MATCH(T351,Finals!$K$2:$K$1801,0))),AND(A351&gt;Week,Q351&lt;&gt;"NA")),"",A351)</f>
        <v>12</v>
      </c>
      <c r="V351" t="str">
        <f>IF(U351&lt;&gt;"",U351&amp;"-"&amp;COUNTIF(U$1:U351,U351),"")</f>
        <v>12-16</v>
      </c>
    </row>
    <row r="352" spans="1:22" x14ac:dyDescent="0.25">
      <c r="A352">
        <v>14</v>
      </c>
      <c r="B352" t="s">
        <v>445</v>
      </c>
      <c r="C352" t="s">
        <v>5307</v>
      </c>
      <c r="D352">
        <v>1.63</v>
      </c>
      <c r="E352">
        <v>1.91</v>
      </c>
      <c r="F352">
        <v>1.85</v>
      </c>
      <c r="G352">
        <v>1.91</v>
      </c>
      <c r="H352">
        <v>7.53</v>
      </c>
      <c r="I352" t="s">
        <v>28</v>
      </c>
      <c r="J352">
        <v>5.9999999999999797E-2</v>
      </c>
      <c r="K352">
        <v>0.28000000000000003</v>
      </c>
      <c r="L352">
        <v>6.63</v>
      </c>
      <c r="M352">
        <v>11.19</v>
      </c>
      <c r="N352">
        <v>3.87</v>
      </c>
      <c r="O352">
        <v>3.66</v>
      </c>
      <c r="P352">
        <v>13.3956</v>
      </c>
      <c r="Q352" t="str">
        <f>IFERROR(INDEX(Rosters!$C$2:$C$155,MATCH($B352,Rosters!$B$2:$B$155,0)),"NA")</f>
        <v>NA</v>
      </c>
      <c r="R352" t="str">
        <f t="shared" si="10"/>
        <v>NA14</v>
      </c>
      <c r="S352">
        <f>COUNTIFS(A$1:A352,A352)</f>
        <v>25</v>
      </c>
      <c r="T352" t="str">
        <f t="shared" si="11"/>
        <v>Dan Bailey14</v>
      </c>
      <c r="U352">
        <f>IF(OR(NOT(ISERROR(MATCH(T352,Finals!$K$2:$K$1801,0))),AND(A352&gt;Week,Q352&lt;&gt;"NA")),"",A352)</f>
        <v>14</v>
      </c>
      <c r="V352" t="str">
        <f>IF(U352&lt;&gt;"",U352&amp;"-"&amp;COUNTIF(U$1:U352,U352),"")</f>
        <v>14-17</v>
      </c>
    </row>
    <row r="353" spans="1:22" x14ac:dyDescent="0.25">
      <c r="A353">
        <v>2</v>
      </c>
      <c r="B353" t="s">
        <v>4167</v>
      </c>
      <c r="C353" t="s">
        <v>4171</v>
      </c>
      <c r="D353">
        <v>1.56</v>
      </c>
      <c r="E353">
        <v>1.82</v>
      </c>
      <c r="F353">
        <v>1.9</v>
      </c>
      <c r="G353">
        <v>1.92</v>
      </c>
      <c r="H353">
        <v>7.42</v>
      </c>
      <c r="I353" t="s">
        <v>73</v>
      </c>
      <c r="J353">
        <v>0.02</v>
      </c>
      <c r="K353">
        <v>0.26</v>
      </c>
      <c r="L353">
        <v>6.62</v>
      </c>
      <c r="M353">
        <v>11.11</v>
      </c>
      <c r="N353">
        <v>3.73</v>
      </c>
      <c r="O353">
        <v>3.69</v>
      </c>
      <c r="P353">
        <v>13.616099999999999</v>
      </c>
      <c r="Q353" t="str">
        <f>IFERROR(INDEX(Rosters!$C$2:$C$155,MATCH($B353,Rosters!$B$2:$B$155,0)),"NA")</f>
        <v>NA</v>
      </c>
      <c r="R353" t="str">
        <f t="shared" si="10"/>
        <v>NA2</v>
      </c>
      <c r="S353">
        <f>COUNTIFS(A$1:A353,A353)</f>
        <v>22</v>
      </c>
      <c r="T353" t="str">
        <f t="shared" si="11"/>
        <v>Jason Sanders2</v>
      </c>
      <c r="U353">
        <f>IF(OR(NOT(ISERROR(MATCH(T353,Finals!$K$2:$K$1801,0))),AND(A353&gt;Week,Q353&lt;&gt;"NA")),"",A353)</f>
        <v>2</v>
      </c>
      <c r="V353" t="str">
        <f>IF(U353&lt;&gt;"",U353&amp;"-"&amp;COUNTIF(U$1:U353,U353),"")</f>
        <v>2-12</v>
      </c>
    </row>
    <row r="354" spans="1:22" x14ac:dyDescent="0.25">
      <c r="A354">
        <v>2</v>
      </c>
      <c r="B354" t="s">
        <v>1216</v>
      </c>
      <c r="C354" t="s">
        <v>3593</v>
      </c>
      <c r="D354">
        <v>1.54</v>
      </c>
      <c r="E354">
        <v>1.73</v>
      </c>
      <c r="F354">
        <v>2.12</v>
      </c>
      <c r="G354">
        <v>2.1800000000000002</v>
      </c>
      <c r="H354">
        <v>7.25</v>
      </c>
      <c r="I354" t="s">
        <v>72</v>
      </c>
      <c r="J354">
        <v>6.0000000000000102E-2</v>
      </c>
      <c r="K354">
        <v>0.19</v>
      </c>
      <c r="L354">
        <v>6.62</v>
      </c>
      <c r="M354">
        <v>10.51</v>
      </c>
      <c r="N354">
        <v>3.99</v>
      </c>
      <c r="O354">
        <v>3.26</v>
      </c>
      <c r="P354">
        <v>10.627599999999999</v>
      </c>
      <c r="Q354" t="str">
        <f>IFERROR(INDEX(Rosters!$C$2:$C$155,MATCH($B354,Rosters!$B$2:$B$155,0)),"NA")</f>
        <v>NA</v>
      </c>
      <c r="R354" t="str">
        <f t="shared" si="10"/>
        <v>NA2</v>
      </c>
      <c r="S354">
        <f>COUNTIFS(A$1:A354,A354)</f>
        <v>23</v>
      </c>
      <c r="T354" t="str">
        <f t="shared" si="11"/>
        <v>Sebastian Janikowski2</v>
      </c>
      <c r="U354">
        <f>IF(OR(NOT(ISERROR(MATCH(T354,Finals!$K$2:$K$1801,0))),AND(A354&gt;Week,Q354&lt;&gt;"NA")),"",A354)</f>
        <v>2</v>
      </c>
      <c r="V354" t="str">
        <f>IF(U354&lt;&gt;"",U354&amp;"-"&amp;COUNTIF(U$1:U354,U354),"")</f>
        <v>2-13</v>
      </c>
    </row>
    <row r="355" spans="1:22" x14ac:dyDescent="0.25">
      <c r="A355">
        <v>13</v>
      </c>
      <c r="B355" t="s">
        <v>4167</v>
      </c>
      <c r="C355" t="s">
        <v>5308</v>
      </c>
      <c r="D355">
        <v>1.6</v>
      </c>
      <c r="E355">
        <v>1.87</v>
      </c>
      <c r="F355">
        <v>1.99</v>
      </c>
      <c r="G355">
        <v>2.1</v>
      </c>
      <c r="H355">
        <v>7.53</v>
      </c>
      <c r="I355" t="s">
        <v>29</v>
      </c>
      <c r="J355">
        <v>0.11</v>
      </c>
      <c r="K355">
        <v>0.27</v>
      </c>
      <c r="L355">
        <v>6.61</v>
      </c>
      <c r="M355">
        <v>12.2</v>
      </c>
      <c r="N355">
        <v>2.86</v>
      </c>
      <c r="O355">
        <v>4.67</v>
      </c>
      <c r="P355">
        <v>21.808900000000001</v>
      </c>
      <c r="Q355" t="str">
        <f>IFERROR(INDEX(Rosters!$C$2:$C$155,MATCH($B355,Rosters!$B$2:$B$155,0)),"NA")</f>
        <v>NA</v>
      </c>
      <c r="R355" t="str">
        <f t="shared" si="10"/>
        <v>NA13</v>
      </c>
      <c r="S355">
        <f>COUNTIFS(A$1:A355,A355)</f>
        <v>23</v>
      </c>
      <c r="T355" t="str">
        <f t="shared" si="11"/>
        <v>Jason Sanders13</v>
      </c>
      <c r="U355">
        <f>IF(OR(NOT(ISERROR(MATCH(T355,Finals!$K$2:$K$1801,0))),AND(A355&gt;Week,Q355&lt;&gt;"NA")),"",A355)</f>
        <v>13</v>
      </c>
      <c r="V355" t="str">
        <f>IF(U355&lt;&gt;"",U355&amp;"-"&amp;COUNTIF(U$1:U355,U355),"")</f>
        <v>13-15</v>
      </c>
    </row>
    <row r="356" spans="1:22" x14ac:dyDescent="0.25">
      <c r="A356">
        <v>15</v>
      </c>
      <c r="B356" t="s">
        <v>998</v>
      </c>
      <c r="C356" t="s">
        <v>5309</v>
      </c>
      <c r="D356">
        <v>1.6</v>
      </c>
      <c r="E356">
        <v>1.88</v>
      </c>
      <c r="F356">
        <v>2.0099999999999998</v>
      </c>
      <c r="G356">
        <v>2.0699999999999998</v>
      </c>
      <c r="H356">
        <v>7.51</v>
      </c>
      <c r="I356" t="s">
        <v>56</v>
      </c>
      <c r="J356">
        <v>6.0000000000000102E-2</v>
      </c>
      <c r="K356">
        <v>0.28000000000000003</v>
      </c>
      <c r="L356">
        <v>6.61</v>
      </c>
      <c r="M356">
        <v>12.6</v>
      </c>
      <c r="N356">
        <v>2.42</v>
      </c>
      <c r="O356">
        <v>5.09</v>
      </c>
      <c r="P356">
        <v>25.908100000000001</v>
      </c>
      <c r="Q356" t="str">
        <f>IFERROR(INDEX(Rosters!$C$2:$C$155,MATCH($B356,Rosters!$B$2:$B$155,0)),"NA")</f>
        <v>NA</v>
      </c>
      <c r="R356" t="str">
        <f t="shared" si="10"/>
        <v>NA15</v>
      </c>
      <c r="S356">
        <f>COUNTIFS(A$1:A356,A356)</f>
        <v>24</v>
      </c>
      <c r="T356" t="str">
        <f t="shared" si="11"/>
        <v>Jake Elliott15</v>
      </c>
      <c r="U356">
        <f>IF(OR(NOT(ISERROR(MATCH(T356,Finals!$K$2:$K$1801,0))),AND(A356&gt;Week,Q356&lt;&gt;"NA")),"",A356)</f>
        <v>15</v>
      </c>
      <c r="V356" t="str">
        <f>IF(U356&lt;&gt;"",U356&amp;"-"&amp;COUNTIF(U$1:U356,U356),"")</f>
        <v>15-17</v>
      </c>
    </row>
    <row r="357" spans="1:22" x14ac:dyDescent="0.25">
      <c r="A357">
        <v>14</v>
      </c>
      <c r="B357" t="s">
        <v>4164</v>
      </c>
      <c r="C357" t="s">
        <v>5310</v>
      </c>
      <c r="D357">
        <v>1.62</v>
      </c>
      <c r="E357">
        <v>1.99</v>
      </c>
      <c r="F357">
        <v>2.1</v>
      </c>
      <c r="G357">
        <v>2.14</v>
      </c>
      <c r="H357">
        <v>7.75</v>
      </c>
      <c r="I357" t="s">
        <v>50</v>
      </c>
      <c r="J357">
        <v>0.04</v>
      </c>
      <c r="K357">
        <v>0.37</v>
      </c>
      <c r="L357">
        <v>6.6</v>
      </c>
      <c r="M357">
        <v>10.93</v>
      </c>
      <c r="N357">
        <v>4.57</v>
      </c>
      <c r="O357">
        <v>3.18</v>
      </c>
      <c r="P357">
        <v>10.112399999999999</v>
      </c>
      <c r="Q357" t="str">
        <f>IFERROR(INDEX(Rosters!$C$2:$C$155,MATCH($B357,Rosters!$B$2:$B$155,0)),"NA")</f>
        <v>NA</v>
      </c>
      <c r="R357" t="str">
        <f t="shared" si="10"/>
        <v>NA14</v>
      </c>
      <c r="S357">
        <f>COUNTIFS(A$1:A357,A357)</f>
        <v>26</v>
      </c>
      <c r="T357" t="str">
        <f t="shared" si="11"/>
        <v>Brett Maher14</v>
      </c>
      <c r="U357">
        <f>IF(OR(NOT(ISERROR(MATCH(T357,Finals!$K$2:$K$1801,0))),AND(A357&gt;Week,Q357&lt;&gt;"NA")),"",A357)</f>
        <v>14</v>
      </c>
      <c r="V357" t="str">
        <f>IF(U357&lt;&gt;"",U357&amp;"-"&amp;COUNTIF(U$1:U357,U357),"")</f>
        <v>14-18</v>
      </c>
    </row>
    <row r="358" spans="1:22" x14ac:dyDescent="0.25">
      <c r="A358">
        <v>4</v>
      </c>
      <c r="B358" t="s">
        <v>453</v>
      </c>
      <c r="C358" t="s">
        <v>5311</v>
      </c>
      <c r="D358">
        <v>1.9</v>
      </c>
      <c r="E358">
        <v>2.36</v>
      </c>
      <c r="F358">
        <v>1.91</v>
      </c>
      <c r="G358">
        <v>1.98</v>
      </c>
      <c r="H358">
        <v>8.0500000000000007</v>
      </c>
      <c r="I358" t="s">
        <v>50</v>
      </c>
      <c r="J358">
        <v>7.0000000000000104E-2</v>
      </c>
      <c r="K358">
        <v>0.46</v>
      </c>
      <c r="L358">
        <v>6.6</v>
      </c>
      <c r="M358">
        <v>12.4</v>
      </c>
      <c r="N358">
        <v>3.7</v>
      </c>
      <c r="O358">
        <v>4.3499999999999996</v>
      </c>
      <c r="P358">
        <v>18.922499999999999</v>
      </c>
      <c r="Q358" t="str">
        <f>IFERROR(INDEX(Rosters!$C$2:$C$155,MATCH($B358,Rosters!$B$2:$B$155,0)),"NA")</f>
        <v>NA</v>
      </c>
      <c r="R358" t="str">
        <f t="shared" si="10"/>
        <v>NA4</v>
      </c>
      <c r="S358">
        <f>COUNTIFS(A$1:A358,A358)</f>
        <v>22</v>
      </c>
      <c r="T358" t="str">
        <f t="shared" si="11"/>
        <v>Ryan Succop4</v>
      </c>
      <c r="U358" t="str">
        <f>IF(OR(NOT(ISERROR(MATCH(T358,Finals!$K$2:$K$1801,0))),AND(A358&gt;Week,Q358&lt;&gt;"NA")),"",A358)</f>
        <v/>
      </c>
      <c r="V358" t="str">
        <f>IF(U358&lt;&gt;"",U358&amp;"-"&amp;COUNTIF(U$1:U358,U358),"")</f>
        <v/>
      </c>
    </row>
    <row r="359" spans="1:22" x14ac:dyDescent="0.25">
      <c r="A359">
        <v>1</v>
      </c>
      <c r="B359" t="s">
        <v>457</v>
      </c>
      <c r="C359" t="s">
        <v>1762</v>
      </c>
      <c r="D359">
        <v>1.61</v>
      </c>
      <c r="E359">
        <v>1.91</v>
      </c>
      <c r="F359">
        <v>2.0499999999999998</v>
      </c>
      <c r="G359">
        <v>2.09</v>
      </c>
      <c r="H359">
        <v>7.53</v>
      </c>
      <c r="I359" t="s">
        <v>14</v>
      </c>
      <c r="J359">
        <v>0.04</v>
      </c>
      <c r="K359">
        <v>0.3</v>
      </c>
      <c r="L359">
        <v>6.59</v>
      </c>
      <c r="M359">
        <v>10.9</v>
      </c>
      <c r="N359">
        <v>4.16</v>
      </c>
      <c r="O359">
        <v>3.37</v>
      </c>
      <c r="P359">
        <v>11.3569</v>
      </c>
      <c r="Q359" t="str">
        <f>IFERROR(INDEX(Rosters!$C$2:$C$155,MATCH($B359,Rosters!$B$2:$B$155,0)),"NA")</f>
        <v>NA</v>
      </c>
      <c r="R359" t="str">
        <f t="shared" si="10"/>
        <v>NA1</v>
      </c>
      <c r="S359">
        <f>COUNTIFS(A$1:A359,A359)</f>
        <v>22</v>
      </c>
      <c r="T359" t="str">
        <f t="shared" si="11"/>
        <v>Chandler Catanzaro1</v>
      </c>
      <c r="U359">
        <f>IF(OR(NOT(ISERROR(MATCH(T359,Finals!$K$2:$K$1801,0))),AND(A359&gt;Week,Q359&lt;&gt;"NA")),"",A359)</f>
        <v>1</v>
      </c>
      <c r="V359" t="str">
        <f>IF(U359&lt;&gt;"",U359&amp;"-"&amp;COUNTIF(U$1:U359,U359),"")</f>
        <v>1-12</v>
      </c>
    </row>
    <row r="360" spans="1:22" x14ac:dyDescent="0.25">
      <c r="A360">
        <v>15</v>
      </c>
      <c r="B360" t="s">
        <v>4167</v>
      </c>
      <c r="C360" t="s">
        <v>5312</v>
      </c>
      <c r="D360">
        <v>1.63</v>
      </c>
      <c r="E360">
        <v>1.92</v>
      </c>
      <c r="F360">
        <v>1.92</v>
      </c>
      <c r="G360">
        <v>1.98</v>
      </c>
      <c r="H360">
        <v>7.52</v>
      </c>
      <c r="I360" t="s">
        <v>25</v>
      </c>
      <c r="J360">
        <v>6.0000000000000102E-2</v>
      </c>
      <c r="K360">
        <v>0.28999999999999998</v>
      </c>
      <c r="L360">
        <v>6.59</v>
      </c>
      <c r="M360">
        <v>11.84</v>
      </c>
      <c r="N360">
        <v>3.2</v>
      </c>
      <c r="O360">
        <v>4.32</v>
      </c>
      <c r="P360">
        <v>18.662400000000002</v>
      </c>
      <c r="Q360" t="str">
        <f>IFERROR(INDEX(Rosters!$C$2:$C$155,MATCH($B360,Rosters!$B$2:$B$155,0)),"NA")</f>
        <v>NA</v>
      </c>
      <c r="R360" t="str">
        <f t="shared" si="10"/>
        <v>NA15</v>
      </c>
      <c r="S360">
        <f>COUNTIFS(A$1:A360,A360)</f>
        <v>25</v>
      </c>
      <c r="T360" t="str">
        <f t="shared" si="11"/>
        <v>Jason Sanders15</v>
      </c>
      <c r="U360">
        <f>IF(OR(NOT(ISERROR(MATCH(T360,Finals!$K$2:$K$1801,0))),AND(A360&gt;Week,Q360&lt;&gt;"NA")),"",A360)</f>
        <v>15</v>
      </c>
      <c r="V360" t="str">
        <f>IF(U360&lt;&gt;"",U360&amp;"-"&amp;COUNTIF(U$1:U360,U360),"")</f>
        <v>15-18</v>
      </c>
    </row>
    <row r="361" spans="1:22" x14ac:dyDescent="0.25">
      <c r="A361">
        <v>4</v>
      </c>
      <c r="B361" t="s">
        <v>5064</v>
      </c>
      <c r="C361" t="s">
        <v>5313</v>
      </c>
      <c r="D361">
        <v>1.6</v>
      </c>
      <c r="E361">
        <v>2.06</v>
      </c>
      <c r="F361">
        <v>2.59</v>
      </c>
      <c r="G361">
        <v>2.62</v>
      </c>
      <c r="H361">
        <v>8</v>
      </c>
      <c r="I361" t="s">
        <v>52</v>
      </c>
      <c r="J361">
        <v>3.00000000000002E-2</v>
      </c>
      <c r="K361">
        <v>0.46</v>
      </c>
      <c r="L361">
        <v>6.59</v>
      </c>
      <c r="M361">
        <v>12.29</v>
      </c>
      <c r="N361">
        <v>3.71</v>
      </c>
      <c r="O361">
        <v>4.29</v>
      </c>
      <c r="P361">
        <v>18.4041</v>
      </c>
      <c r="Q361" t="str">
        <f>IFERROR(INDEX(Rosters!$C$2:$C$155,MATCH($B361,Rosters!$B$2:$B$155,0)),"NA")</f>
        <v>NA</v>
      </c>
      <c r="R361" t="str">
        <f t="shared" si="10"/>
        <v>NA4</v>
      </c>
      <c r="S361">
        <f>COUNTIFS(A$1:A361,A361)</f>
        <v>23</v>
      </c>
      <c r="T361" t="str">
        <f t="shared" si="11"/>
        <v>Matt McCrane4</v>
      </c>
      <c r="U361">
        <f>IF(OR(NOT(ISERROR(MATCH(T361,Finals!$K$2:$K$1801,0))),AND(A361&gt;Week,Q361&lt;&gt;"NA")),"",A361)</f>
        <v>4</v>
      </c>
      <c r="V361" t="str">
        <f>IF(U361&lt;&gt;"",U361&amp;"-"&amp;COUNTIF(U$1:U361,U361),"")</f>
        <v>4-14</v>
      </c>
    </row>
    <row r="362" spans="1:22" x14ac:dyDescent="0.25">
      <c r="A362">
        <v>7</v>
      </c>
      <c r="B362" t="s">
        <v>1107</v>
      </c>
      <c r="C362" t="s">
        <v>5314</v>
      </c>
      <c r="D362">
        <v>1.67</v>
      </c>
      <c r="E362">
        <v>1.96</v>
      </c>
      <c r="F362">
        <v>1.7</v>
      </c>
      <c r="G362">
        <v>1.71</v>
      </c>
      <c r="H362">
        <v>7.47</v>
      </c>
      <c r="I362" t="s">
        <v>66</v>
      </c>
      <c r="J362">
        <v>0.01</v>
      </c>
      <c r="K362">
        <v>0.28999999999999998</v>
      </c>
      <c r="L362">
        <v>6.59</v>
      </c>
      <c r="M362">
        <v>11.57</v>
      </c>
      <c r="N362">
        <v>3.37</v>
      </c>
      <c r="O362">
        <v>4.0999999999999996</v>
      </c>
      <c r="P362">
        <v>16.809999999999999</v>
      </c>
      <c r="Q362" t="str">
        <f>IFERROR(INDEX(Rosters!$C$2:$C$155,MATCH($B362,Rosters!$B$2:$B$155,0)),"NA")</f>
        <v>NA</v>
      </c>
      <c r="R362" t="str">
        <f t="shared" si="10"/>
        <v>NA7</v>
      </c>
      <c r="S362">
        <f>COUNTIFS(A$1:A362,A362)</f>
        <v>17</v>
      </c>
      <c r="T362" t="str">
        <f t="shared" si="11"/>
        <v>Stephen Hauschka7</v>
      </c>
      <c r="U362">
        <f>IF(OR(NOT(ISERROR(MATCH(T362,Finals!$K$2:$K$1801,0))),AND(A362&gt;Week,Q362&lt;&gt;"NA")),"",A362)</f>
        <v>7</v>
      </c>
      <c r="V362" t="str">
        <f>IF(U362&lt;&gt;"",U362&amp;"-"&amp;COUNTIF(U$1:U362,U362),"")</f>
        <v>7-11</v>
      </c>
    </row>
    <row r="363" spans="1:22" x14ac:dyDescent="0.25">
      <c r="A363">
        <v>3</v>
      </c>
      <c r="B363" t="s">
        <v>463</v>
      </c>
      <c r="C363" t="s">
        <v>4381</v>
      </c>
      <c r="D363">
        <v>1.62</v>
      </c>
      <c r="E363">
        <v>1.91</v>
      </c>
      <c r="F363">
        <v>1.9</v>
      </c>
      <c r="G363">
        <v>1.91</v>
      </c>
      <c r="H363">
        <v>7.45</v>
      </c>
      <c r="I363" t="s">
        <v>72</v>
      </c>
      <c r="J363">
        <v>0.01</v>
      </c>
      <c r="K363">
        <v>0.28999999999999998</v>
      </c>
      <c r="L363">
        <v>6.57</v>
      </c>
      <c r="M363">
        <v>11.57</v>
      </c>
      <c r="N363">
        <v>3.33</v>
      </c>
      <c r="O363">
        <v>4.12</v>
      </c>
      <c r="P363">
        <v>16.974399999999999</v>
      </c>
      <c r="Q363" t="str">
        <f>IFERROR(INDEX(Rosters!$C$2:$C$155,MATCH($B363,Rosters!$B$2:$B$155,0)),"NA")</f>
        <v>NA</v>
      </c>
      <c r="R363" t="str">
        <f t="shared" si="10"/>
        <v>NA3</v>
      </c>
      <c r="S363">
        <f>COUNTIFS(A$1:A363,A363)</f>
        <v>19</v>
      </c>
      <c r="T363" t="str">
        <f t="shared" si="11"/>
        <v>Phil Dawson3</v>
      </c>
      <c r="U363">
        <f>IF(OR(NOT(ISERROR(MATCH(T363,Finals!$K$2:$K$1801,0))),AND(A363&gt;Week,Q363&lt;&gt;"NA")),"",A363)</f>
        <v>3</v>
      </c>
      <c r="V363" t="str">
        <f>IF(U363&lt;&gt;"",U363&amp;"-"&amp;COUNTIF(U$1:U363,U363),"")</f>
        <v>3-10</v>
      </c>
    </row>
    <row r="364" spans="1:22" x14ac:dyDescent="0.25">
      <c r="A364">
        <v>6</v>
      </c>
      <c r="B364" t="s">
        <v>448</v>
      </c>
      <c r="C364" t="s">
        <v>5315</v>
      </c>
      <c r="D364">
        <v>1.65</v>
      </c>
      <c r="E364">
        <v>2.02</v>
      </c>
      <c r="F364">
        <v>2.02</v>
      </c>
      <c r="G364">
        <v>2.06</v>
      </c>
      <c r="H364">
        <v>7.72</v>
      </c>
      <c r="I364" t="s">
        <v>73</v>
      </c>
      <c r="J364">
        <v>0.04</v>
      </c>
      <c r="K364">
        <v>0.37</v>
      </c>
      <c r="L364">
        <v>6.57</v>
      </c>
      <c r="M364">
        <v>11.81</v>
      </c>
      <c r="N364">
        <v>3.63</v>
      </c>
      <c r="O364">
        <v>4.09</v>
      </c>
      <c r="P364">
        <v>16.728100000000001</v>
      </c>
      <c r="Q364" t="str">
        <f>IFERROR(INDEX(Rosters!$C$2:$C$155,MATCH($B364,Rosters!$B$2:$B$155,0)),"NA")</f>
        <v>NA</v>
      </c>
      <c r="R364" t="str">
        <f t="shared" si="10"/>
        <v>NA6</v>
      </c>
      <c r="S364">
        <f>COUNTIFS(A$1:A364,A364)</f>
        <v>23</v>
      </c>
      <c r="T364" t="str">
        <f t="shared" si="11"/>
        <v>Adam Vinatieri6</v>
      </c>
      <c r="U364">
        <f>IF(OR(NOT(ISERROR(MATCH(T364,Finals!$K$2:$K$1801,0))),AND(A364&gt;Week,Q364&lt;&gt;"NA")),"",A364)</f>
        <v>6</v>
      </c>
      <c r="V364" t="str">
        <f>IF(U364&lt;&gt;"",U364&amp;"-"&amp;COUNTIF(U$1:U364,U364),"")</f>
        <v>6-16</v>
      </c>
    </row>
    <row r="365" spans="1:22" x14ac:dyDescent="0.25">
      <c r="A365">
        <v>10</v>
      </c>
      <c r="B365" t="s">
        <v>5064</v>
      </c>
      <c r="C365" t="s">
        <v>5316</v>
      </c>
      <c r="D365">
        <v>1.48</v>
      </c>
      <c r="E365">
        <v>1.81</v>
      </c>
      <c r="F365">
        <v>2.69</v>
      </c>
      <c r="G365">
        <v>2.73</v>
      </c>
      <c r="H365">
        <v>7.6</v>
      </c>
      <c r="I365" t="s">
        <v>37</v>
      </c>
      <c r="J365">
        <v>0.04</v>
      </c>
      <c r="K365">
        <v>0.33</v>
      </c>
      <c r="L365">
        <v>6.57</v>
      </c>
      <c r="M365">
        <v>11.01</v>
      </c>
      <c r="N365">
        <v>4.1900000000000004</v>
      </c>
      <c r="O365">
        <v>3.41</v>
      </c>
      <c r="P365">
        <v>11.6281</v>
      </c>
      <c r="Q365" t="str">
        <f>IFERROR(INDEX(Rosters!$C$2:$C$155,MATCH($B365,Rosters!$B$2:$B$155,0)),"NA")</f>
        <v>NA</v>
      </c>
      <c r="R365" t="str">
        <f t="shared" si="10"/>
        <v>NA10</v>
      </c>
      <c r="S365">
        <f>COUNTIFS(A$1:A365,A365)</f>
        <v>17</v>
      </c>
      <c r="T365" t="str">
        <f t="shared" si="11"/>
        <v>Matt McCrane10</v>
      </c>
      <c r="U365">
        <f>IF(OR(NOT(ISERROR(MATCH(T365,Finals!$K$2:$K$1801,0))),AND(A365&gt;Week,Q365&lt;&gt;"NA")),"",A365)</f>
        <v>10</v>
      </c>
      <c r="V365" t="str">
        <f>IF(U365&lt;&gt;"",U365&amp;"-"&amp;COUNTIF(U$1:U365,U365),"")</f>
        <v>10-10</v>
      </c>
    </row>
    <row r="366" spans="1:22" x14ac:dyDescent="0.25">
      <c r="A366">
        <v>5</v>
      </c>
      <c r="B366" t="s">
        <v>4164</v>
      </c>
      <c r="C366" t="s">
        <v>9099</v>
      </c>
      <c r="D366">
        <v>1.51</v>
      </c>
      <c r="E366">
        <v>1.7</v>
      </c>
      <c r="F366">
        <v>1.77</v>
      </c>
      <c r="G366">
        <v>1.84</v>
      </c>
      <c r="H366">
        <v>7.2</v>
      </c>
      <c r="I366" t="s">
        <v>36</v>
      </c>
      <c r="J366">
        <v>7.0000000000000104E-2</v>
      </c>
      <c r="K366">
        <v>0.19</v>
      </c>
      <c r="L366">
        <v>6.56</v>
      </c>
      <c r="M366">
        <v>10.220000000000001</v>
      </c>
      <c r="N366">
        <v>4.18</v>
      </c>
      <c r="O366">
        <v>3.02</v>
      </c>
      <c r="P366">
        <v>9.1204000000000001</v>
      </c>
      <c r="Q366" t="str">
        <f>IFERROR(INDEX(Rosters!$C$2:$C$155,MATCH($B366,Rosters!$B$2:$B$155,0)),"NA")</f>
        <v>NA</v>
      </c>
      <c r="R366" t="str">
        <f t="shared" si="10"/>
        <v>NA5</v>
      </c>
      <c r="S366">
        <f>COUNTIFS(A$1:A366,A366)</f>
        <v>18</v>
      </c>
      <c r="T366" t="str">
        <f t="shared" si="11"/>
        <v>Brett Maher5</v>
      </c>
      <c r="U366">
        <f>IF(OR(NOT(ISERROR(MATCH(T366,Finals!$K$2:$K$1801,0))),AND(A366&gt;Week,Q366&lt;&gt;"NA")),"",A366)</f>
        <v>5</v>
      </c>
      <c r="V366" t="str">
        <f>IF(U366&lt;&gt;"",U366&amp;"-"&amp;COUNTIF(U$1:U366,U366),"")</f>
        <v>5-8</v>
      </c>
    </row>
    <row r="367" spans="1:22" x14ac:dyDescent="0.25">
      <c r="A367">
        <v>10</v>
      </c>
      <c r="B367" t="s">
        <v>4167</v>
      </c>
      <c r="C367" t="s">
        <v>5317</v>
      </c>
      <c r="D367">
        <v>1.6</v>
      </c>
      <c r="E367">
        <v>1.97</v>
      </c>
      <c r="F367">
        <v>2.39</v>
      </c>
      <c r="G367">
        <v>2.4300000000000002</v>
      </c>
      <c r="H367">
        <v>7.71</v>
      </c>
      <c r="I367" t="s">
        <v>41</v>
      </c>
      <c r="J367">
        <v>0.04</v>
      </c>
      <c r="K367">
        <v>0.37</v>
      </c>
      <c r="L367">
        <v>6.56</v>
      </c>
      <c r="M367">
        <v>11.66</v>
      </c>
      <c r="N367">
        <v>3.76</v>
      </c>
      <c r="O367">
        <v>3.95</v>
      </c>
      <c r="P367">
        <v>15.602499999999999</v>
      </c>
      <c r="Q367" t="str">
        <f>IFERROR(INDEX(Rosters!$C$2:$C$155,MATCH($B367,Rosters!$B$2:$B$155,0)),"NA")</f>
        <v>NA</v>
      </c>
      <c r="R367" t="str">
        <f t="shared" si="10"/>
        <v>NA10</v>
      </c>
      <c r="S367">
        <f>COUNTIFS(A$1:A367,A367)</f>
        <v>18</v>
      </c>
      <c r="T367" t="str">
        <f t="shared" si="11"/>
        <v>Jason Sanders10</v>
      </c>
      <c r="U367">
        <f>IF(OR(NOT(ISERROR(MATCH(T367,Finals!$K$2:$K$1801,0))),AND(A367&gt;Week,Q367&lt;&gt;"NA")),"",A367)</f>
        <v>10</v>
      </c>
      <c r="V367" t="str">
        <f>IF(U367&lt;&gt;"",U367&amp;"-"&amp;COUNTIF(U$1:U367,U367),"")</f>
        <v>10-11</v>
      </c>
    </row>
    <row r="368" spans="1:22" x14ac:dyDescent="0.25">
      <c r="A368">
        <v>6</v>
      </c>
      <c r="B368" t="s">
        <v>4169</v>
      </c>
      <c r="C368" t="s">
        <v>5318</v>
      </c>
      <c r="D368">
        <v>1.7</v>
      </c>
      <c r="E368">
        <v>1.93</v>
      </c>
      <c r="F368">
        <v>1.56</v>
      </c>
      <c r="G368">
        <v>1.58</v>
      </c>
      <c r="H368">
        <v>7.26</v>
      </c>
      <c r="I368" t="s">
        <v>37</v>
      </c>
      <c r="J368">
        <v>0.02</v>
      </c>
      <c r="K368">
        <v>0.23</v>
      </c>
      <c r="L368">
        <v>6.55</v>
      </c>
      <c r="M368">
        <v>11.5</v>
      </c>
      <c r="N368">
        <v>3.02</v>
      </c>
      <c r="O368">
        <v>4.24</v>
      </c>
      <c r="P368">
        <v>17.977599999999999</v>
      </c>
      <c r="Q368" t="str">
        <f>IFERROR(INDEX(Rosters!$C$2:$C$155,MATCH($B368,Rosters!$B$2:$B$155,0)),"NA")</f>
        <v>NA</v>
      </c>
      <c r="R368" t="str">
        <f t="shared" si="10"/>
        <v>NA6</v>
      </c>
      <c r="S368">
        <f>COUNTIFS(A$1:A368,A368)</f>
        <v>24</v>
      </c>
      <c r="T368" t="str">
        <f t="shared" si="11"/>
        <v>Greg Joseph6</v>
      </c>
      <c r="U368">
        <f>IF(OR(NOT(ISERROR(MATCH(T368,Finals!$K$2:$K$1801,0))),AND(A368&gt;Week,Q368&lt;&gt;"NA")),"",A368)</f>
        <v>6</v>
      </c>
      <c r="V368" t="str">
        <f>IF(U368&lt;&gt;"",U368&amp;"-"&amp;COUNTIF(U$1:U368,U368),"")</f>
        <v>6-17</v>
      </c>
    </row>
    <row r="369" spans="1:22" x14ac:dyDescent="0.25">
      <c r="A369">
        <v>13</v>
      </c>
      <c r="B369" t="s">
        <v>444</v>
      </c>
      <c r="C369" t="s">
        <v>5319</v>
      </c>
      <c r="D369">
        <v>1.69</v>
      </c>
      <c r="E369">
        <v>2.04</v>
      </c>
      <c r="F369">
        <v>2.04</v>
      </c>
      <c r="G369">
        <v>2.08</v>
      </c>
      <c r="H369">
        <v>7.64</v>
      </c>
      <c r="I369" t="s">
        <v>58</v>
      </c>
      <c r="J369">
        <v>0.04</v>
      </c>
      <c r="K369">
        <v>0.35</v>
      </c>
      <c r="L369">
        <v>6.55</v>
      </c>
      <c r="M369">
        <v>12.07</v>
      </c>
      <c r="N369">
        <v>3.21</v>
      </c>
      <c r="O369">
        <v>4.43</v>
      </c>
      <c r="P369">
        <v>19.6249</v>
      </c>
      <c r="Q369" t="str">
        <f>IFERROR(INDEX(Rosters!$C$2:$C$155,MATCH($B369,Rosters!$B$2:$B$155,0)),"NA")</f>
        <v>perry</v>
      </c>
      <c r="R369" t="str">
        <f t="shared" si="10"/>
        <v>perry13</v>
      </c>
      <c r="S369">
        <f>COUNTIFS(A$1:A369,A369)</f>
        <v>24</v>
      </c>
      <c r="T369" t="str">
        <f t="shared" si="11"/>
        <v>Mason Crosby13</v>
      </c>
      <c r="U369" t="str">
        <f>IF(OR(NOT(ISERROR(MATCH(T369,Finals!$K$2:$K$1801,0))),AND(A369&gt;Week,Q369&lt;&gt;"NA")),"",A369)</f>
        <v/>
      </c>
      <c r="V369" t="str">
        <f>IF(U369&lt;&gt;"",U369&amp;"-"&amp;COUNTIF(U$1:U369,U369),"")</f>
        <v/>
      </c>
    </row>
    <row r="370" spans="1:22" x14ac:dyDescent="0.25">
      <c r="A370">
        <v>13</v>
      </c>
      <c r="B370" t="s">
        <v>445</v>
      </c>
      <c r="C370" t="s">
        <v>5320</v>
      </c>
      <c r="D370">
        <v>1.59</v>
      </c>
      <c r="E370">
        <v>1.94</v>
      </c>
      <c r="F370">
        <v>2.33</v>
      </c>
      <c r="G370">
        <v>2.5099999999999998</v>
      </c>
      <c r="H370">
        <v>7.76</v>
      </c>
      <c r="I370" t="s">
        <v>423</v>
      </c>
      <c r="J370">
        <v>0.18</v>
      </c>
      <c r="K370">
        <v>0.35</v>
      </c>
      <c r="L370">
        <v>6.53</v>
      </c>
      <c r="M370">
        <v>11.4</v>
      </c>
      <c r="N370">
        <v>4.12</v>
      </c>
      <c r="O370">
        <v>3.64</v>
      </c>
      <c r="P370">
        <v>13.249599999999999</v>
      </c>
      <c r="Q370" t="str">
        <f>IFERROR(INDEX(Rosters!$C$2:$C$155,MATCH($B370,Rosters!$B$2:$B$155,0)),"NA")</f>
        <v>NA</v>
      </c>
      <c r="R370" t="str">
        <f t="shared" si="10"/>
        <v>NA13</v>
      </c>
      <c r="S370">
        <f>COUNTIFS(A$1:A370,A370)</f>
        <v>25</v>
      </c>
      <c r="T370" t="str">
        <f t="shared" si="11"/>
        <v>Dan Bailey13</v>
      </c>
      <c r="U370">
        <f>IF(OR(NOT(ISERROR(MATCH(T370,Finals!$K$2:$K$1801,0))),AND(A370&gt;Week,Q370&lt;&gt;"NA")),"",A370)</f>
        <v>13</v>
      </c>
      <c r="V370" t="str">
        <f>IF(U370&lt;&gt;"",U370&amp;"-"&amp;COUNTIF(U$1:U370,U370),"")</f>
        <v>13-16</v>
      </c>
    </row>
    <row r="371" spans="1:22" x14ac:dyDescent="0.25">
      <c r="A371">
        <v>1</v>
      </c>
      <c r="B371" t="s">
        <v>999</v>
      </c>
      <c r="C371" t="s">
        <v>1763</v>
      </c>
      <c r="D371">
        <v>1.53</v>
      </c>
      <c r="E371">
        <v>1.78</v>
      </c>
      <c r="F371">
        <v>1.96</v>
      </c>
      <c r="G371">
        <v>1.98</v>
      </c>
      <c r="H371">
        <v>7.3</v>
      </c>
      <c r="I371" t="s">
        <v>423</v>
      </c>
      <c r="J371">
        <v>0.02</v>
      </c>
      <c r="K371">
        <v>0.25</v>
      </c>
      <c r="L371">
        <v>6.53</v>
      </c>
      <c r="M371">
        <v>11.32</v>
      </c>
      <c r="N371">
        <v>3.28</v>
      </c>
      <c r="O371">
        <v>4.0199999999999996</v>
      </c>
      <c r="P371">
        <v>16.160399999999999</v>
      </c>
      <c r="Q371" t="str">
        <f>IFERROR(INDEX(Rosters!$C$2:$C$155,MATCH($B371,Rosters!$B$2:$B$155,0)),"NA")</f>
        <v>NA</v>
      </c>
      <c r="R371" t="str">
        <f t="shared" si="10"/>
        <v>NA1</v>
      </c>
      <c r="S371">
        <f>COUNTIFS(A$1:A371,A371)</f>
        <v>23</v>
      </c>
      <c r="T371" t="str">
        <f t="shared" si="11"/>
        <v>Ka'imi Fairbairn1</v>
      </c>
      <c r="U371">
        <f>IF(OR(NOT(ISERROR(MATCH(T371,Finals!$K$2:$K$1801,0))),AND(A371&gt;Week,Q371&lt;&gt;"NA")),"",A371)</f>
        <v>1</v>
      </c>
      <c r="V371" t="str">
        <f>IF(U371&lt;&gt;"",U371&amp;"-"&amp;COUNTIF(U$1:U371,U371),"")</f>
        <v>1-13</v>
      </c>
    </row>
    <row r="372" spans="1:22" x14ac:dyDescent="0.25">
      <c r="A372">
        <v>14</v>
      </c>
      <c r="B372" t="s">
        <v>1107</v>
      </c>
      <c r="C372" t="s">
        <v>5321</v>
      </c>
      <c r="D372">
        <v>1.64</v>
      </c>
      <c r="E372">
        <v>1.95</v>
      </c>
      <c r="F372">
        <v>1.68</v>
      </c>
      <c r="G372">
        <v>1.68</v>
      </c>
      <c r="H372">
        <v>7.46</v>
      </c>
      <c r="I372" t="s">
        <v>73</v>
      </c>
      <c r="J372">
        <v>0</v>
      </c>
      <c r="K372">
        <v>0.31</v>
      </c>
      <c r="L372">
        <v>6.53</v>
      </c>
      <c r="M372">
        <v>11.94</v>
      </c>
      <c r="N372">
        <v>2.98</v>
      </c>
      <c r="O372">
        <v>4.4800000000000004</v>
      </c>
      <c r="P372">
        <v>20.070399999999999</v>
      </c>
      <c r="Q372" t="str">
        <f>IFERROR(INDEX(Rosters!$C$2:$C$155,MATCH($B372,Rosters!$B$2:$B$155,0)),"NA")</f>
        <v>NA</v>
      </c>
      <c r="R372" t="str">
        <f t="shared" si="10"/>
        <v>NA14</v>
      </c>
      <c r="S372">
        <f>COUNTIFS(A$1:A372,A372)</f>
        <v>27</v>
      </c>
      <c r="T372" t="str">
        <f t="shared" si="11"/>
        <v>Stephen Hauschka14</v>
      </c>
      <c r="U372">
        <f>IF(OR(NOT(ISERROR(MATCH(T372,Finals!$K$2:$K$1801,0))),AND(A372&gt;Week,Q372&lt;&gt;"NA")),"",A372)</f>
        <v>14</v>
      </c>
      <c r="V372" t="str">
        <f>IF(U372&lt;&gt;"",U372&amp;"-"&amp;COUNTIF(U$1:U372,U372),"")</f>
        <v>14-19</v>
      </c>
    </row>
    <row r="373" spans="1:22" x14ac:dyDescent="0.25">
      <c r="A373">
        <v>5</v>
      </c>
      <c r="B373" t="s">
        <v>448</v>
      </c>
      <c r="C373" t="s">
        <v>9100</v>
      </c>
      <c r="D373">
        <v>1.55</v>
      </c>
      <c r="E373">
        <v>1.8</v>
      </c>
      <c r="F373">
        <v>2.11</v>
      </c>
      <c r="G373">
        <v>2.13</v>
      </c>
      <c r="H373">
        <v>7.29</v>
      </c>
      <c r="I373" t="s">
        <v>423</v>
      </c>
      <c r="J373">
        <v>0.02</v>
      </c>
      <c r="K373">
        <v>0.25</v>
      </c>
      <c r="L373">
        <v>6.52</v>
      </c>
      <c r="M373">
        <v>10.4</v>
      </c>
      <c r="N373">
        <v>4.18</v>
      </c>
      <c r="O373">
        <v>3.11</v>
      </c>
      <c r="P373">
        <v>9.6721000000000004</v>
      </c>
      <c r="Q373" t="str">
        <f>IFERROR(INDEX(Rosters!$C$2:$C$155,MATCH($B373,Rosters!$B$2:$B$155,0)),"NA")</f>
        <v>NA</v>
      </c>
      <c r="R373" t="str">
        <f t="shared" si="10"/>
        <v>NA5</v>
      </c>
      <c r="S373">
        <f>COUNTIFS(A$1:A373,A373)</f>
        <v>19</v>
      </c>
      <c r="T373" t="str">
        <f t="shared" si="11"/>
        <v>Adam Vinatieri5</v>
      </c>
      <c r="U373">
        <f>IF(OR(NOT(ISERROR(MATCH(T373,Finals!$K$2:$K$1801,0))),AND(A373&gt;Week,Q373&lt;&gt;"NA")),"",A373)</f>
        <v>5</v>
      </c>
      <c r="V373" t="str">
        <f>IF(U373&lt;&gt;"",U373&amp;"-"&amp;COUNTIF(U$1:U373,U373),"")</f>
        <v>5-9</v>
      </c>
    </row>
    <row r="374" spans="1:22" x14ac:dyDescent="0.25">
      <c r="A374">
        <v>5</v>
      </c>
      <c r="B374" t="s">
        <v>460</v>
      </c>
      <c r="C374" t="s">
        <v>9101</v>
      </c>
      <c r="D374">
        <v>1.48</v>
      </c>
      <c r="E374">
        <v>1.72</v>
      </c>
      <c r="F374">
        <v>2.0699999999999998</v>
      </c>
      <c r="G374">
        <v>2.09</v>
      </c>
      <c r="H374">
        <v>7.26</v>
      </c>
      <c r="I374" t="s">
        <v>42</v>
      </c>
      <c r="J374">
        <v>0.02</v>
      </c>
      <c r="K374">
        <v>0.24</v>
      </c>
      <c r="L374">
        <v>6.52</v>
      </c>
      <c r="M374">
        <v>11.18</v>
      </c>
      <c r="N374">
        <v>3.34</v>
      </c>
      <c r="O374">
        <v>3.92</v>
      </c>
      <c r="P374">
        <v>15.366400000000001</v>
      </c>
      <c r="Q374" t="str">
        <f>IFERROR(INDEX(Rosters!$C$2:$C$155,MATCH($B374,Rosters!$B$2:$B$155,0)),"NA")</f>
        <v>NA</v>
      </c>
      <c r="R374" t="str">
        <f t="shared" si="10"/>
        <v>NA5</v>
      </c>
      <c r="S374">
        <f>COUNTIFS(A$1:A374,A374)</f>
        <v>20</v>
      </c>
      <c r="T374" t="str">
        <f t="shared" si="11"/>
        <v>Jason Myers5</v>
      </c>
      <c r="U374">
        <f>IF(OR(NOT(ISERROR(MATCH(T374,Finals!$K$2:$K$1801,0))),AND(A374&gt;Week,Q374&lt;&gt;"NA")),"",A374)</f>
        <v>5</v>
      </c>
      <c r="V374" t="str">
        <f>IF(U374&lt;&gt;"",U374&amp;"-"&amp;COUNTIF(U$1:U374,U374),"")</f>
        <v>5-10</v>
      </c>
    </row>
    <row r="375" spans="1:22" x14ac:dyDescent="0.25">
      <c r="A375">
        <v>3</v>
      </c>
      <c r="B375" t="s">
        <v>1121</v>
      </c>
      <c r="C375" t="s">
        <v>4383</v>
      </c>
      <c r="D375">
        <v>1.5</v>
      </c>
      <c r="E375">
        <v>1.71</v>
      </c>
      <c r="F375">
        <v>2</v>
      </c>
      <c r="G375">
        <v>2.02</v>
      </c>
      <c r="H375">
        <v>7.16</v>
      </c>
      <c r="I375" t="s">
        <v>56</v>
      </c>
      <c r="J375">
        <v>0.02</v>
      </c>
      <c r="K375">
        <v>0.21</v>
      </c>
      <c r="L375">
        <v>6.51</v>
      </c>
      <c r="M375">
        <v>10.39</v>
      </c>
      <c r="N375">
        <v>3.93</v>
      </c>
      <c r="O375">
        <v>3.23</v>
      </c>
      <c r="P375">
        <v>10.4329</v>
      </c>
      <c r="Q375" t="str">
        <f>IFERROR(INDEX(Rosters!$C$2:$C$155,MATCH($B375,Rosters!$B$2:$B$155,0)),"NA")</f>
        <v>NA</v>
      </c>
      <c r="R375" t="str">
        <f t="shared" si="10"/>
        <v>NA3</v>
      </c>
      <c r="S375">
        <f>COUNTIFS(A$1:A375,A375)</f>
        <v>20</v>
      </c>
      <c r="T375" t="str">
        <f t="shared" si="11"/>
        <v>Caleb Sturgis3</v>
      </c>
      <c r="U375">
        <f>IF(OR(NOT(ISERROR(MATCH(T375,Finals!$K$2:$K$1801,0))),AND(A375&gt;Week,Q375&lt;&gt;"NA")),"",A375)</f>
        <v>3</v>
      </c>
      <c r="V375" t="str">
        <f>IF(U375&lt;&gt;"",U375&amp;"-"&amp;COUNTIF(U$1:U375,U375),"")</f>
        <v>3-11</v>
      </c>
    </row>
    <row r="376" spans="1:22" x14ac:dyDescent="0.25">
      <c r="A376">
        <v>17</v>
      </c>
      <c r="B376" t="s">
        <v>1121</v>
      </c>
      <c r="C376" t="s">
        <v>5322</v>
      </c>
      <c r="D376">
        <v>1.42</v>
      </c>
      <c r="E376">
        <v>1.62</v>
      </c>
      <c r="F376">
        <v>2.4</v>
      </c>
      <c r="G376">
        <v>2.44</v>
      </c>
      <c r="H376">
        <v>7.15</v>
      </c>
      <c r="I376" t="s">
        <v>42</v>
      </c>
      <c r="J376">
        <v>0.04</v>
      </c>
      <c r="K376">
        <v>0.2</v>
      </c>
      <c r="L376">
        <v>6.51</v>
      </c>
      <c r="M376">
        <v>10.28</v>
      </c>
      <c r="N376">
        <v>4.0199999999999996</v>
      </c>
      <c r="O376">
        <v>3.13</v>
      </c>
      <c r="P376">
        <v>9.7969000000000008</v>
      </c>
      <c r="Q376" t="str">
        <f>IFERROR(INDEX(Rosters!$C$2:$C$155,MATCH($B376,Rosters!$B$2:$B$155,0)),"NA")</f>
        <v>NA</v>
      </c>
      <c r="R376" t="str">
        <f t="shared" si="10"/>
        <v>NA17</v>
      </c>
      <c r="S376">
        <f>COUNTIFS(A$1:A376,A376)</f>
        <v>26</v>
      </c>
      <c r="T376" t="str">
        <f t="shared" si="11"/>
        <v>Caleb Sturgis17</v>
      </c>
      <c r="U376">
        <f>IF(OR(NOT(ISERROR(MATCH(T376,Finals!$K$2:$K$1801,0))),AND(A376&gt;Week,Q376&lt;&gt;"NA")),"",A376)</f>
        <v>17</v>
      </c>
      <c r="V376" t="str">
        <f>IF(U376&lt;&gt;"",U376&amp;"-"&amp;COUNTIF(U$1:U376,U376),"")</f>
        <v>17-18</v>
      </c>
    </row>
    <row r="377" spans="1:22" x14ac:dyDescent="0.25">
      <c r="A377">
        <v>10</v>
      </c>
      <c r="B377" t="s">
        <v>1120</v>
      </c>
      <c r="C377" t="s">
        <v>5323</v>
      </c>
      <c r="D377">
        <v>1.55</v>
      </c>
      <c r="E377">
        <v>2.02</v>
      </c>
      <c r="F377">
        <v>2.82</v>
      </c>
      <c r="G377">
        <v>2.92</v>
      </c>
      <c r="H377">
        <v>8</v>
      </c>
      <c r="I377" t="s">
        <v>17</v>
      </c>
      <c r="J377">
        <v>0.1</v>
      </c>
      <c r="K377">
        <v>0.47</v>
      </c>
      <c r="L377">
        <v>6.49</v>
      </c>
      <c r="M377">
        <v>11.97</v>
      </c>
      <c r="N377">
        <v>4.03</v>
      </c>
      <c r="O377">
        <v>3.97</v>
      </c>
      <c r="P377">
        <v>15.760899999999999</v>
      </c>
      <c r="Q377" t="str">
        <f>IFERROR(INDEX(Rosters!$C$2:$C$155,MATCH($B377,Rosters!$B$2:$B$155,0)),"NA")</f>
        <v>NA</v>
      </c>
      <c r="R377" t="str">
        <f t="shared" si="10"/>
        <v>NA10</v>
      </c>
      <c r="S377">
        <f>COUNTIFS(A$1:A377,A377)</f>
        <v>19</v>
      </c>
      <c r="T377" t="str">
        <f t="shared" si="11"/>
        <v>Dustin Hopkins10</v>
      </c>
      <c r="U377">
        <f>IF(OR(NOT(ISERROR(MATCH(T377,Finals!$K$2:$K$1801,0))),AND(A377&gt;Week,Q377&lt;&gt;"NA")),"",A377)</f>
        <v>10</v>
      </c>
      <c r="V377" t="str">
        <f>IF(U377&lt;&gt;"",U377&amp;"-"&amp;COUNTIF(U$1:U377,U377),"")</f>
        <v>10-12</v>
      </c>
    </row>
    <row r="378" spans="1:22" x14ac:dyDescent="0.25">
      <c r="A378">
        <v>12</v>
      </c>
      <c r="B378" t="s">
        <v>1119</v>
      </c>
      <c r="C378" t="s">
        <v>5324</v>
      </c>
      <c r="D378">
        <v>1.36</v>
      </c>
      <c r="E378">
        <v>1.61</v>
      </c>
      <c r="F378">
        <v>2.56</v>
      </c>
      <c r="G378">
        <v>2.56</v>
      </c>
      <c r="H378">
        <v>7.24</v>
      </c>
      <c r="I378" t="s">
        <v>29</v>
      </c>
      <c r="J378">
        <v>0</v>
      </c>
      <c r="K378">
        <v>0.25</v>
      </c>
      <c r="L378">
        <v>6.49</v>
      </c>
      <c r="M378">
        <v>10.86</v>
      </c>
      <c r="N378">
        <v>3.62</v>
      </c>
      <c r="O378">
        <v>3.62</v>
      </c>
      <c r="P378">
        <v>13.1044</v>
      </c>
      <c r="Q378" t="str">
        <f>IFERROR(INDEX(Rosters!$C$2:$C$155,MATCH($B378,Rosters!$B$2:$B$155,0)),"NA")</f>
        <v>scott</v>
      </c>
      <c r="R378" t="str">
        <f t="shared" si="10"/>
        <v>scott12</v>
      </c>
      <c r="S378">
        <f>COUNTIFS(A$1:A378,A378)</f>
        <v>23</v>
      </c>
      <c r="T378" t="str">
        <f t="shared" si="11"/>
        <v>Josh Lambo12</v>
      </c>
      <c r="U378" t="str">
        <f>IF(OR(NOT(ISERROR(MATCH(T378,Finals!$K$2:$K$1801,0))),AND(A378&gt;Week,Q378&lt;&gt;"NA")),"",A378)</f>
        <v/>
      </c>
      <c r="V378" t="str">
        <f>IF(U378&lt;&gt;"",U378&amp;"-"&amp;COUNTIF(U$1:U378,U378),"")</f>
        <v/>
      </c>
    </row>
    <row r="379" spans="1:22" x14ac:dyDescent="0.25">
      <c r="A379">
        <v>17</v>
      </c>
      <c r="B379" t="s">
        <v>450</v>
      </c>
      <c r="C379" t="s">
        <v>5325</v>
      </c>
      <c r="D379">
        <v>1.44</v>
      </c>
      <c r="E379">
        <v>1.69</v>
      </c>
      <c r="F379">
        <v>2.4300000000000002</v>
      </c>
      <c r="G379">
        <v>2.4500000000000002</v>
      </c>
      <c r="H379">
        <v>7.25</v>
      </c>
      <c r="I379" t="s">
        <v>41</v>
      </c>
      <c r="J379">
        <v>0.02</v>
      </c>
      <c r="K379">
        <v>0.25</v>
      </c>
      <c r="L379">
        <v>6.48</v>
      </c>
      <c r="M379">
        <v>11.09</v>
      </c>
      <c r="N379">
        <v>3.41</v>
      </c>
      <c r="O379">
        <v>3.84</v>
      </c>
      <c r="P379">
        <v>14.7456</v>
      </c>
      <c r="Q379" t="str">
        <f>IFERROR(INDEX(Rosters!$C$2:$C$155,MATCH($B379,Rosters!$B$2:$B$155,0)),"NA")</f>
        <v>devon</v>
      </c>
      <c r="R379" t="str">
        <f t="shared" si="10"/>
        <v>devon17</v>
      </c>
      <c r="S379">
        <f>COUNTIFS(A$1:A379,A379)</f>
        <v>27</v>
      </c>
      <c r="T379" t="str">
        <f t="shared" si="11"/>
        <v>Matt Prater17</v>
      </c>
      <c r="U379" t="str">
        <f>IF(OR(NOT(ISERROR(MATCH(T379,Finals!$K$2:$K$1801,0))),AND(A379&gt;Week,Q379&lt;&gt;"NA")),"",A379)</f>
        <v/>
      </c>
      <c r="V379" t="str">
        <f>IF(U379&lt;&gt;"",U379&amp;"-"&amp;COUNTIF(U$1:U379,U379),"")</f>
        <v/>
      </c>
    </row>
    <row r="380" spans="1:22" x14ac:dyDescent="0.25">
      <c r="A380">
        <v>9</v>
      </c>
      <c r="B380" t="s">
        <v>450</v>
      </c>
      <c r="C380" t="s">
        <v>5326</v>
      </c>
      <c r="D380">
        <v>1.51</v>
      </c>
      <c r="E380">
        <v>1.82</v>
      </c>
      <c r="F380">
        <v>2.37</v>
      </c>
      <c r="G380">
        <v>2.37</v>
      </c>
      <c r="H380">
        <v>7.4</v>
      </c>
      <c r="I380" t="s">
        <v>25</v>
      </c>
      <c r="J380">
        <v>0</v>
      </c>
      <c r="K380">
        <v>0.31</v>
      </c>
      <c r="L380">
        <v>6.47</v>
      </c>
      <c r="M380">
        <v>11.26</v>
      </c>
      <c r="N380">
        <v>3.54</v>
      </c>
      <c r="O380">
        <v>3.86</v>
      </c>
      <c r="P380">
        <v>14.8996</v>
      </c>
      <c r="Q380" t="str">
        <f>IFERROR(INDEX(Rosters!$C$2:$C$155,MATCH($B380,Rosters!$B$2:$B$155,0)),"NA")</f>
        <v>devon</v>
      </c>
      <c r="R380" t="str">
        <f t="shared" si="10"/>
        <v>devon9</v>
      </c>
      <c r="S380">
        <f>COUNTIFS(A$1:A380,A380)</f>
        <v>21</v>
      </c>
      <c r="T380" t="str">
        <f t="shared" si="11"/>
        <v>Matt Prater9</v>
      </c>
      <c r="U380" t="str">
        <f>IF(OR(NOT(ISERROR(MATCH(T380,Finals!$K$2:$K$1801,0))),AND(A380&gt;Week,Q380&lt;&gt;"NA")),"",A380)</f>
        <v/>
      </c>
      <c r="V380" t="str">
        <f>IF(U380&lt;&gt;"",U380&amp;"-"&amp;COUNTIF(U$1:U380,U380),"")</f>
        <v/>
      </c>
    </row>
    <row r="381" spans="1:22" x14ac:dyDescent="0.25">
      <c r="A381">
        <v>13</v>
      </c>
      <c r="B381" t="s">
        <v>1120</v>
      </c>
      <c r="C381" t="s">
        <v>5327</v>
      </c>
      <c r="D381">
        <v>1.67</v>
      </c>
      <c r="E381">
        <v>2.04</v>
      </c>
      <c r="F381">
        <v>1.77</v>
      </c>
      <c r="G381">
        <v>1.77</v>
      </c>
      <c r="H381">
        <v>7.58</v>
      </c>
      <c r="I381" t="s">
        <v>50</v>
      </c>
      <c r="J381">
        <v>0</v>
      </c>
      <c r="K381">
        <v>0.37</v>
      </c>
      <c r="L381">
        <v>6.47</v>
      </c>
      <c r="M381">
        <v>11.82</v>
      </c>
      <c r="N381">
        <v>3.34</v>
      </c>
      <c r="O381">
        <v>4.24</v>
      </c>
      <c r="P381">
        <v>17.977599999999999</v>
      </c>
      <c r="Q381" t="str">
        <f>IFERROR(INDEX(Rosters!$C$2:$C$155,MATCH($B381,Rosters!$B$2:$B$155,0)),"NA")</f>
        <v>NA</v>
      </c>
      <c r="R381" t="str">
        <f t="shared" si="10"/>
        <v>NA13</v>
      </c>
      <c r="S381">
        <f>COUNTIFS(A$1:A381,A381)</f>
        <v>26</v>
      </c>
      <c r="T381" t="str">
        <f t="shared" si="11"/>
        <v>Dustin Hopkins13</v>
      </c>
      <c r="U381">
        <f>IF(OR(NOT(ISERROR(MATCH(T381,Finals!$K$2:$K$1801,0))),AND(A381&gt;Week,Q381&lt;&gt;"NA")),"",A381)</f>
        <v>13</v>
      </c>
      <c r="V381" t="str">
        <f>IF(U381&lt;&gt;"",U381&amp;"-"&amp;COUNTIF(U$1:U381,U381),"")</f>
        <v>13-17</v>
      </c>
    </row>
    <row r="382" spans="1:22" x14ac:dyDescent="0.25">
      <c r="A382">
        <v>13</v>
      </c>
      <c r="B382" t="s">
        <v>463</v>
      </c>
      <c r="C382" t="s">
        <v>5328</v>
      </c>
      <c r="D382">
        <v>1.78</v>
      </c>
      <c r="E382">
        <v>2.23</v>
      </c>
      <c r="F382">
        <v>1.7</v>
      </c>
      <c r="G382">
        <v>1.84</v>
      </c>
      <c r="H382">
        <v>7.94</v>
      </c>
      <c r="I382" t="s">
        <v>41</v>
      </c>
      <c r="J382">
        <v>0.14000000000000001</v>
      </c>
      <c r="K382">
        <v>0.45</v>
      </c>
      <c r="L382">
        <v>6.45</v>
      </c>
      <c r="M382">
        <v>12.25</v>
      </c>
      <c r="N382">
        <v>3.63</v>
      </c>
      <c r="O382">
        <v>4.3099999999999996</v>
      </c>
      <c r="P382">
        <v>18.5761</v>
      </c>
      <c r="Q382" t="str">
        <f>IFERROR(INDEX(Rosters!$C$2:$C$155,MATCH($B382,Rosters!$B$2:$B$155,0)),"NA")</f>
        <v>NA</v>
      </c>
      <c r="R382" t="str">
        <f t="shared" si="10"/>
        <v>NA13</v>
      </c>
      <c r="S382">
        <f>COUNTIFS(A$1:A382,A382)</f>
        <v>27</v>
      </c>
      <c r="T382" t="str">
        <f t="shared" si="11"/>
        <v>Phil Dawson13</v>
      </c>
      <c r="U382">
        <f>IF(OR(NOT(ISERROR(MATCH(T382,Finals!$K$2:$K$1801,0))),AND(A382&gt;Week,Q382&lt;&gt;"NA")),"",A382)</f>
        <v>13</v>
      </c>
      <c r="V382" t="str">
        <f>IF(U382&lt;&gt;"",U382&amp;"-"&amp;COUNTIF(U$1:U382,U382),"")</f>
        <v>13-18</v>
      </c>
    </row>
    <row r="383" spans="1:22" x14ac:dyDescent="0.25">
      <c r="A383">
        <v>9</v>
      </c>
      <c r="B383" t="s">
        <v>4167</v>
      </c>
      <c r="C383" t="s">
        <v>5329</v>
      </c>
      <c r="D383">
        <v>1.63</v>
      </c>
      <c r="E383">
        <v>1.91</v>
      </c>
      <c r="F383">
        <v>1.89</v>
      </c>
      <c r="G383">
        <v>1.97</v>
      </c>
      <c r="H383">
        <v>7.36</v>
      </c>
      <c r="I383" t="s">
        <v>73</v>
      </c>
      <c r="J383">
        <v>8.0000000000000099E-2</v>
      </c>
      <c r="K383">
        <v>0.28000000000000003</v>
      </c>
      <c r="L383">
        <v>6.44</v>
      </c>
      <c r="M383">
        <v>11.98</v>
      </c>
      <c r="N383">
        <v>2.74</v>
      </c>
      <c r="O383">
        <v>4.62</v>
      </c>
      <c r="P383">
        <v>21.3444</v>
      </c>
      <c r="Q383" t="str">
        <f>IFERROR(INDEX(Rosters!$C$2:$C$155,MATCH($B383,Rosters!$B$2:$B$155,0)),"NA")</f>
        <v>NA</v>
      </c>
      <c r="R383" t="str">
        <f t="shared" si="10"/>
        <v>NA9</v>
      </c>
      <c r="S383">
        <f>COUNTIFS(A$1:A383,A383)</f>
        <v>22</v>
      </c>
      <c r="T383" t="str">
        <f t="shared" si="11"/>
        <v>Jason Sanders9</v>
      </c>
      <c r="U383">
        <f>IF(OR(NOT(ISERROR(MATCH(T383,Finals!$K$2:$K$1801,0))),AND(A383&gt;Week,Q383&lt;&gt;"NA")),"",A383)</f>
        <v>9</v>
      </c>
      <c r="V383" t="str">
        <f>IF(U383&lt;&gt;"",U383&amp;"-"&amp;COUNTIF(U$1:U383,U383),"")</f>
        <v>9-15</v>
      </c>
    </row>
    <row r="384" spans="1:22" x14ac:dyDescent="0.25">
      <c r="A384">
        <v>3</v>
      </c>
      <c r="B384" t="s">
        <v>444</v>
      </c>
      <c r="C384" t="s">
        <v>4385</v>
      </c>
      <c r="D384">
        <v>1.54</v>
      </c>
      <c r="E384">
        <v>1.89</v>
      </c>
      <c r="F384">
        <v>2.1800000000000002</v>
      </c>
      <c r="G384">
        <v>2.27</v>
      </c>
      <c r="H384">
        <v>7.58</v>
      </c>
      <c r="I384" t="s">
        <v>60</v>
      </c>
      <c r="J384">
        <v>8.99999999999999E-2</v>
      </c>
      <c r="K384">
        <v>0.35</v>
      </c>
      <c r="L384">
        <v>6.44</v>
      </c>
      <c r="M384">
        <v>11.56</v>
      </c>
      <c r="N384">
        <v>3.6</v>
      </c>
      <c r="O384">
        <v>3.98</v>
      </c>
      <c r="P384">
        <v>15.840400000000001</v>
      </c>
      <c r="Q384" t="str">
        <f>IFERROR(INDEX(Rosters!$C$2:$C$155,MATCH($B384,Rosters!$B$2:$B$155,0)),"NA")</f>
        <v>perry</v>
      </c>
      <c r="R384" t="str">
        <f t="shared" si="10"/>
        <v>perry3</v>
      </c>
      <c r="S384">
        <f>COUNTIFS(A$1:A384,A384)</f>
        <v>21</v>
      </c>
      <c r="T384" t="str">
        <f t="shared" si="11"/>
        <v>Mason Crosby3</v>
      </c>
      <c r="U384">
        <f>IF(OR(NOT(ISERROR(MATCH(T384,Finals!$K$2:$K$1801,0))),AND(A384&gt;Week,Q384&lt;&gt;"NA")),"",A384)</f>
        <v>3</v>
      </c>
      <c r="V384" t="str">
        <f>IF(U384&lt;&gt;"",U384&amp;"-"&amp;COUNTIF(U$1:U384,U384),"")</f>
        <v>3-12</v>
      </c>
    </row>
    <row r="385" spans="1:22" x14ac:dyDescent="0.25">
      <c r="A385">
        <v>16</v>
      </c>
      <c r="B385" t="s">
        <v>445</v>
      </c>
      <c r="C385" t="s">
        <v>5330</v>
      </c>
      <c r="D385">
        <v>1.48</v>
      </c>
      <c r="E385">
        <v>1.81</v>
      </c>
      <c r="F385">
        <v>2.58</v>
      </c>
      <c r="G385">
        <v>2.74</v>
      </c>
      <c r="H385">
        <v>7.59</v>
      </c>
      <c r="I385" t="s">
        <v>34</v>
      </c>
      <c r="J385">
        <v>0.16</v>
      </c>
      <c r="K385">
        <v>0.33</v>
      </c>
      <c r="L385">
        <v>6.44</v>
      </c>
      <c r="M385">
        <v>11.19</v>
      </c>
      <c r="N385">
        <v>3.99</v>
      </c>
      <c r="O385">
        <v>3.6</v>
      </c>
      <c r="P385">
        <v>12.96</v>
      </c>
      <c r="Q385" t="str">
        <f>IFERROR(INDEX(Rosters!$C$2:$C$155,MATCH($B385,Rosters!$B$2:$B$155,0)),"NA")</f>
        <v>NA</v>
      </c>
      <c r="R385" t="str">
        <f t="shared" si="10"/>
        <v>NA16</v>
      </c>
      <c r="S385">
        <f>COUNTIFS(A$1:A385,A385)</f>
        <v>25</v>
      </c>
      <c r="T385" t="str">
        <f t="shared" si="11"/>
        <v>Dan Bailey16</v>
      </c>
      <c r="U385">
        <f>IF(OR(NOT(ISERROR(MATCH(T385,Finals!$K$2:$K$1801,0))),AND(A385&gt;Week,Q385&lt;&gt;"NA")),"",A385)</f>
        <v>16</v>
      </c>
      <c r="V385" t="str">
        <f>IF(U385&lt;&gt;"",U385&amp;"-"&amp;COUNTIF(U$1:U385,U385),"")</f>
        <v>16-17</v>
      </c>
    </row>
    <row r="386" spans="1:22" x14ac:dyDescent="0.25">
      <c r="A386">
        <v>1</v>
      </c>
      <c r="B386" t="s">
        <v>1107</v>
      </c>
      <c r="C386" t="s">
        <v>1764</v>
      </c>
      <c r="D386">
        <v>1.59</v>
      </c>
      <c r="E386">
        <v>1.96</v>
      </c>
      <c r="F386">
        <v>1.85</v>
      </c>
      <c r="G386">
        <v>1.85</v>
      </c>
      <c r="H386">
        <v>7.54</v>
      </c>
      <c r="I386" t="s">
        <v>77</v>
      </c>
      <c r="J386">
        <v>0</v>
      </c>
      <c r="K386">
        <v>0.37</v>
      </c>
      <c r="L386">
        <v>6.43</v>
      </c>
      <c r="M386">
        <v>12.01</v>
      </c>
      <c r="N386">
        <v>3.07</v>
      </c>
      <c r="O386">
        <v>4.47</v>
      </c>
      <c r="P386">
        <v>19.980899999999998</v>
      </c>
      <c r="Q386" t="str">
        <f>IFERROR(INDEX(Rosters!$C$2:$C$155,MATCH($B386,Rosters!$B$2:$B$155,0)),"NA")</f>
        <v>NA</v>
      </c>
      <c r="R386" t="str">
        <f t="shared" si="10"/>
        <v>NA1</v>
      </c>
      <c r="S386">
        <f>COUNTIFS(A$1:A386,A386)</f>
        <v>24</v>
      </c>
      <c r="T386" t="str">
        <f t="shared" si="11"/>
        <v>Stephen Hauschka1</v>
      </c>
      <c r="U386">
        <f>IF(OR(NOT(ISERROR(MATCH(T386,Finals!$K$2:$K$1801,0))),AND(A386&gt;Week,Q386&lt;&gt;"NA")),"",A386)</f>
        <v>1</v>
      </c>
      <c r="V386" t="str">
        <f>IF(U386&lt;&gt;"",U386&amp;"-"&amp;COUNTIF(U$1:U386,U386),"")</f>
        <v>1-14</v>
      </c>
    </row>
    <row r="387" spans="1:22" x14ac:dyDescent="0.25">
      <c r="A387">
        <v>9</v>
      </c>
      <c r="B387" t="s">
        <v>444</v>
      </c>
      <c r="C387" t="s">
        <v>5331</v>
      </c>
      <c r="D387">
        <v>1.59</v>
      </c>
      <c r="E387">
        <v>1.94</v>
      </c>
      <c r="F387">
        <v>2.2400000000000002</v>
      </c>
      <c r="G387">
        <v>2.2799999999999998</v>
      </c>
      <c r="H387">
        <v>7.52</v>
      </c>
      <c r="I387" t="s">
        <v>423</v>
      </c>
      <c r="J387">
        <v>3.9999999999999598E-2</v>
      </c>
      <c r="K387">
        <v>0.35</v>
      </c>
      <c r="L387">
        <v>6.43</v>
      </c>
      <c r="M387">
        <v>11.8</v>
      </c>
      <c r="N387">
        <v>3.24</v>
      </c>
      <c r="O387">
        <v>4.28</v>
      </c>
      <c r="P387">
        <v>18.3184</v>
      </c>
      <c r="Q387" t="str">
        <f>IFERROR(INDEX(Rosters!$C$2:$C$155,MATCH($B387,Rosters!$B$2:$B$155,0)),"NA")</f>
        <v>perry</v>
      </c>
      <c r="R387" t="str">
        <f t="shared" ref="R387:R450" si="12">Q387&amp;A387</f>
        <v>perry9</v>
      </c>
      <c r="S387">
        <f>COUNTIFS(A$1:A387,A387)</f>
        <v>23</v>
      </c>
      <c r="T387" t="str">
        <f t="shared" ref="T387:T450" si="13">B387&amp;A387</f>
        <v>Mason Crosby9</v>
      </c>
      <c r="U387" t="str">
        <f>IF(OR(NOT(ISERROR(MATCH(T387,Finals!$K$2:$K$1801,0))),AND(A387&gt;Week,Q387&lt;&gt;"NA")),"",A387)</f>
        <v/>
      </c>
      <c r="V387" t="str">
        <f>IF(U387&lt;&gt;"",U387&amp;"-"&amp;COUNTIF(U$1:U387,U387),"")</f>
        <v/>
      </c>
    </row>
    <row r="388" spans="1:22" x14ac:dyDescent="0.25">
      <c r="A388">
        <v>7</v>
      </c>
      <c r="B388" t="s">
        <v>445</v>
      </c>
      <c r="C388" t="s">
        <v>5332</v>
      </c>
      <c r="D388">
        <v>1.58</v>
      </c>
      <c r="E388">
        <v>1.87</v>
      </c>
      <c r="F388">
        <v>1.89</v>
      </c>
      <c r="G388">
        <v>1.96</v>
      </c>
      <c r="H388">
        <v>7.36</v>
      </c>
      <c r="I388" t="s">
        <v>73</v>
      </c>
      <c r="J388">
        <v>7.0000000000000104E-2</v>
      </c>
      <c r="K388">
        <v>0.28999999999999998</v>
      </c>
      <c r="L388">
        <v>6.42</v>
      </c>
      <c r="M388">
        <v>10.68</v>
      </c>
      <c r="N388">
        <v>4.04</v>
      </c>
      <c r="O388">
        <v>3.32</v>
      </c>
      <c r="P388">
        <v>11.022399999999999</v>
      </c>
      <c r="Q388" t="str">
        <f>IFERROR(INDEX(Rosters!$C$2:$C$155,MATCH($B388,Rosters!$B$2:$B$155,0)),"NA")</f>
        <v>NA</v>
      </c>
      <c r="R388" t="str">
        <f t="shared" si="12"/>
        <v>NA7</v>
      </c>
      <c r="S388">
        <f>COUNTIFS(A$1:A388,A388)</f>
        <v>18</v>
      </c>
      <c r="T388" t="str">
        <f t="shared" si="13"/>
        <v>Dan Bailey7</v>
      </c>
      <c r="U388">
        <f>IF(OR(NOT(ISERROR(MATCH(T388,Finals!$K$2:$K$1801,0))),AND(A388&gt;Week,Q388&lt;&gt;"NA")),"",A388)</f>
        <v>7</v>
      </c>
      <c r="V388" t="str">
        <f>IF(U388&lt;&gt;"",U388&amp;"-"&amp;COUNTIF(U$1:U388,U388),"")</f>
        <v>7-12</v>
      </c>
    </row>
    <row r="389" spans="1:22" x14ac:dyDescent="0.25">
      <c r="A389">
        <v>14</v>
      </c>
      <c r="B389" t="s">
        <v>465</v>
      </c>
      <c r="C389" t="s">
        <v>5333</v>
      </c>
      <c r="D389">
        <v>1.5</v>
      </c>
      <c r="E389">
        <v>1.75</v>
      </c>
      <c r="F389">
        <v>2.2000000000000002</v>
      </c>
      <c r="G389">
        <v>2.2400000000000002</v>
      </c>
      <c r="H389">
        <v>7.19</v>
      </c>
      <c r="I389" t="s">
        <v>30</v>
      </c>
      <c r="J389">
        <v>0.04</v>
      </c>
      <c r="K389">
        <v>0.25</v>
      </c>
      <c r="L389">
        <v>6.4</v>
      </c>
      <c r="M389">
        <v>11.05</v>
      </c>
      <c r="N389">
        <v>3.33</v>
      </c>
      <c r="O389">
        <v>3.86</v>
      </c>
      <c r="P389">
        <v>14.8996</v>
      </c>
      <c r="Q389" t="str">
        <f>IFERROR(INDEX(Rosters!$C$2:$C$155,MATCH($B389,Rosters!$B$2:$B$155,0)),"NA")</f>
        <v>NA</v>
      </c>
      <c r="R389" t="str">
        <f t="shared" si="12"/>
        <v>NA14</v>
      </c>
      <c r="S389">
        <f>COUNTIFS(A$1:A389,A389)</f>
        <v>28</v>
      </c>
      <c r="T389" t="str">
        <f t="shared" si="13"/>
        <v>Brandon McManus14</v>
      </c>
      <c r="U389">
        <f>IF(OR(NOT(ISERROR(MATCH(T389,Finals!$K$2:$K$1801,0))),AND(A389&gt;Week,Q389&lt;&gt;"NA")),"",A389)</f>
        <v>14</v>
      </c>
      <c r="V389" t="str">
        <f>IF(U389&lt;&gt;"",U389&amp;"-"&amp;COUNTIF(U$1:U389,U389),"")</f>
        <v>14-20</v>
      </c>
    </row>
    <row r="390" spans="1:22" x14ac:dyDescent="0.25">
      <c r="A390">
        <v>4</v>
      </c>
      <c r="B390" t="s">
        <v>4169</v>
      </c>
      <c r="C390" t="s">
        <v>5334</v>
      </c>
      <c r="D390">
        <v>1.59</v>
      </c>
      <c r="E390">
        <v>1.9</v>
      </c>
      <c r="F390">
        <v>2.14</v>
      </c>
      <c r="G390">
        <v>2.2799999999999998</v>
      </c>
      <c r="H390">
        <v>7.47</v>
      </c>
      <c r="I390" t="s">
        <v>32</v>
      </c>
      <c r="J390">
        <v>0.14000000000000001</v>
      </c>
      <c r="K390">
        <v>0.31</v>
      </c>
      <c r="L390">
        <v>6.4</v>
      </c>
      <c r="M390">
        <v>12.47</v>
      </c>
      <c r="N390">
        <v>2.4700000000000002</v>
      </c>
      <c r="O390">
        <v>5</v>
      </c>
      <c r="P390">
        <v>25</v>
      </c>
      <c r="Q390" t="str">
        <f>IFERROR(INDEX(Rosters!$C$2:$C$155,MATCH($B390,Rosters!$B$2:$B$155,0)),"NA")</f>
        <v>NA</v>
      </c>
      <c r="R390" t="str">
        <f t="shared" si="12"/>
        <v>NA4</v>
      </c>
      <c r="S390">
        <f>COUNTIFS(A$1:A390,A390)</f>
        <v>24</v>
      </c>
      <c r="T390" t="str">
        <f t="shared" si="13"/>
        <v>Greg Joseph4</v>
      </c>
      <c r="U390">
        <f>IF(OR(NOT(ISERROR(MATCH(T390,Finals!$K$2:$K$1801,0))),AND(A390&gt;Week,Q390&lt;&gt;"NA")),"",A390)</f>
        <v>4</v>
      </c>
      <c r="V390" t="str">
        <f>IF(U390&lt;&gt;"",U390&amp;"-"&amp;COUNTIF(U$1:U390,U390),"")</f>
        <v>4-15</v>
      </c>
    </row>
    <row r="391" spans="1:22" x14ac:dyDescent="0.25">
      <c r="A391">
        <v>16</v>
      </c>
      <c r="B391" t="s">
        <v>444</v>
      </c>
      <c r="C391" t="s">
        <v>5335</v>
      </c>
      <c r="D391">
        <v>1.58</v>
      </c>
      <c r="E391">
        <v>1.89</v>
      </c>
      <c r="F391">
        <v>2.04</v>
      </c>
      <c r="G391">
        <v>2.08</v>
      </c>
      <c r="H391">
        <v>7.37</v>
      </c>
      <c r="I391" t="s">
        <v>73</v>
      </c>
      <c r="J391">
        <v>0.04</v>
      </c>
      <c r="K391">
        <v>0.31</v>
      </c>
      <c r="L391">
        <v>6.4</v>
      </c>
      <c r="M391">
        <v>11.47</v>
      </c>
      <c r="N391">
        <v>3.27</v>
      </c>
      <c r="O391">
        <v>4.0999999999999996</v>
      </c>
      <c r="P391">
        <v>16.809999999999999</v>
      </c>
      <c r="Q391" t="str">
        <f>IFERROR(INDEX(Rosters!$C$2:$C$155,MATCH($B391,Rosters!$B$2:$B$155,0)),"NA")</f>
        <v>perry</v>
      </c>
      <c r="R391" t="str">
        <f t="shared" si="12"/>
        <v>perry16</v>
      </c>
      <c r="S391">
        <f>COUNTIFS(A$1:A391,A391)</f>
        <v>26</v>
      </c>
      <c r="T391" t="str">
        <f t="shared" si="13"/>
        <v>Mason Crosby16</v>
      </c>
      <c r="U391" t="str">
        <f>IF(OR(NOT(ISERROR(MATCH(T391,Finals!$K$2:$K$1801,0))),AND(A391&gt;Week,Q391&lt;&gt;"NA")),"",A391)</f>
        <v/>
      </c>
      <c r="V391" t="str">
        <f>IF(U391&lt;&gt;"",U391&amp;"-"&amp;COUNTIF(U$1:U391,U391),"")</f>
        <v/>
      </c>
    </row>
    <row r="392" spans="1:22" x14ac:dyDescent="0.25">
      <c r="A392">
        <v>7</v>
      </c>
      <c r="B392" t="s">
        <v>462</v>
      </c>
      <c r="C392" t="s">
        <v>5336</v>
      </c>
      <c r="D392">
        <v>1.36</v>
      </c>
      <c r="E392">
        <v>1.57</v>
      </c>
      <c r="F392">
        <v>2.3199999999999998</v>
      </c>
      <c r="G392">
        <v>2.36</v>
      </c>
      <c r="H392">
        <v>7.07</v>
      </c>
      <c r="I392" t="s">
        <v>77</v>
      </c>
      <c r="J392">
        <v>0.04</v>
      </c>
      <c r="K392">
        <v>0.21</v>
      </c>
      <c r="L392">
        <v>6.4</v>
      </c>
      <c r="M392">
        <v>10.79</v>
      </c>
      <c r="N392">
        <v>3.35</v>
      </c>
      <c r="O392">
        <v>3.72</v>
      </c>
      <c r="P392">
        <v>13.8384</v>
      </c>
      <c r="Q392" t="str">
        <f>IFERROR(INDEX(Rosters!$C$2:$C$155,MATCH($B392,Rosters!$B$2:$B$155,0)),"NA")</f>
        <v>cory</v>
      </c>
      <c r="R392" t="str">
        <f t="shared" si="12"/>
        <v>cory7</v>
      </c>
      <c r="S392">
        <f>COUNTIFS(A$1:A392,A392)</f>
        <v>19</v>
      </c>
      <c r="T392" t="str">
        <f t="shared" si="13"/>
        <v>Wil Lutz7</v>
      </c>
      <c r="U392" t="str">
        <f>IF(OR(NOT(ISERROR(MATCH(T392,Finals!$K$2:$K$1801,0))),AND(A392&gt;Week,Q392&lt;&gt;"NA")),"",A392)</f>
        <v/>
      </c>
      <c r="V392" t="str">
        <f>IF(U392&lt;&gt;"",U392&amp;"-"&amp;COUNTIF(U$1:U392,U392),"")</f>
        <v/>
      </c>
    </row>
    <row r="393" spans="1:22" x14ac:dyDescent="0.25">
      <c r="A393">
        <v>5</v>
      </c>
      <c r="B393" t="s">
        <v>1120</v>
      </c>
      <c r="C393" t="s">
        <v>9050</v>
      </c>
      <c r="D393">
        <v>1.56</v>
      </c>
      <c r="E393">
        <v>1.86</v>
      </c>
      <c r="F393">
        <v>2.2000000000000002</v>
      </c>
      <c r="G393">
        <v>2.29</v>
      </c>
      <c r="H393">
        <v>7.38</v>
      </c>
      <c r="I393" t="s">
        <v>14</v>
      </c>
      <c r="J393">
        <v>8.99999999999999E-2</v>
      </c>
      <c r="K393">
        <v>0.3</v>
      </c>
      <c r="L393">
        <v>6.39</v>
      </c>
      <c r="M393">
        <v>11.12</v>
      </c>
      <c r="N393">
        <v>3.64</v>
      </c>
      <c r="O393">
        <v>3.74</v>
      </c>
      <c r="P393">
        <v>13.9876</v>
      </c>
      <c r="Q393" t="str">
        <f>IFERROR(INDEX(Rosters!$C$2:$C$155,MATCH($B393,Rosters!$B$2:$B$155,0)),"NA")</f>
        <v>NA</v>
      </c>
      <c r="R393" t="str">
        <f t="shared" si="12"/>
        <v>NA5</v>
      </c>
      <c r="S393">
        <f>COUNTIFS(A$1:A393,A393)</f>
        <v>21</v>
      </c>
      <c r="T393" t="str">
        <f t="shared" si="13"/>
        <v>Dustin Hopkins5</v>
      </c>
      <c r="U393">
        <f>IF(OR(NOT(ISERROR(MATCH(T393,Finals!$K$2:$K$1801,0))),AND(A393&gt;Week,Q393&lt;&gt;"NA")),"",A393)</f>
        <v>5</v>
      </c>
      <c r="V393" t="str">
        <f>IF(U393&lt;&gt;"",U393&amp;"-"&amp;COUNTIF(U$1:U393,U393),"")</f>
        <v>5-11</v>
      </c>
    </row>
    <row r="394" spans="1:22" x14ac:dyDescent="0.25">
      <c r="A394">
        <v>14</v>
      </c>
      <c r="B394" t="s">
        <v>460</v>
      </c>
      <c r="C394" t="s">
        <v>5337</v>
      </c>
      <c r="D394">
        <v>1.54</v>
      </c>
      <c r="E394">
        <v>1.77</v>
      </c>
      <c r="F394">
        <v>1.93</v>
      </c>
      <c r="G394">
        <v>1.95</v>
      </c>
      <c r="H394">
        <v>7.09</v>
      </c>
      <c r="I394" t="s">
        <v>29</v>
      </c>
      <c r="J394">
        <v>0.02</v>
      </c>
      <c r="K394">
        <v>0.23</v>
      </c>
      <c r="L394">
        <v>6.38</v>
      </c>
      <c r="M394">
        <v>11.31</v>
      </c>
      <c r="N394">
        <v>2.87</v>
      </c>
      <c r="O394">
        <v>4.22</v>
      </c>
      <c r="P394">
        <v>17.808399999999999</v>
      </c>
      <c r="Q394" t="str">
        <f>IFERROR(INDEX(Rosters!$C$2:$C$155,MATCH($B394,Rosters!$B$2:$B$155,0)),"NA")</f>
        <v>NA</v>
      </c>
      <c r="R394" t="str">
        <f t="shared" si="12"/>
        <v>NA14</v>
      </c>
      <c r="S394">
        <f>COUNTIFS(A$1:A394,A394)</f>
        <v>29</v>
      </c>
      <c r="T394" t="str">
        <f t="shared" si="13"/>
        <v>Jason Myers14</v>
      </c>
      <c r="U394">
        <f>IF(OR(NOT(ISERROR(MATCH(T394,Finals!$K$2:$K$1801,0))),AND(A394&gt;Week,Q394&lt;&gt;"NA")),"",A394)</f>
        <v>14</v>
      </c>
      <c r="V394" t="str">
        <f>IF(U394&lt;&gt;"",U394&amp;"-"&amp;COUNTIF(U$1:U394,U394),"")</f>
        <v>14-21</v>
      </c>
    </row>
    <row r="395" spans="1:22" x14ac:dyDescent="0.25">
      <c r="A395">
        <v>2</v>
      </c>
      <c r="B395" t="s">
        <v>457</v>
      </c>
      <c r="C395" t="s">
        <v>3594</v>
      </c>
      <c r="D395">
        <v>1.69</v>
      </c>
      <c r="E395">
        <v>2.16</v>
      </c>
      <c r="F395">
        <v>2.3199999999999998</v>
      </c>
      <c r="G395">
        <v>2.39</v>
      </c>
      <c r="H395">
        <v>7.86</v>
      </c>
      <c r="I395" t="s">
        <v>50</v>
      </c>
      <c r="J395">
        <v>7.0000000000000298E-2</v>
      </c>
      <c r="K395">
        <v>0.47</v>
      </c>
      <c r="L395">
        <v>6.38</v>
      </c>
      <c r="M395">
        <v>12.3</v>
      </c>
      <c r="N395">
        <v>3.42</v>
      </c>
      <c r="O395">
        <v>4.4400000000000004</v>
      </c>
      <c r="P395">
        <v>19.7136</v>
      </c>
      <c r="Q395" t="str">
        <f>IFERROR(INDEX(Rosters!$C$2:$C$155,MATCH($B395,Rosters!$B$2:$B$155,0)),"NA")</f>
        <v>NA</v>
      </c>
      <c r="R395" t="str">
        <f t="shared" si="12"/>
        <v>NA2</v>
      </c>
      <c r="S395">
        <f>COUNTIFS(A$1:A395,A395)</f>
        <v>24</v>
      </c>
      <c r="T395" t="str">
        <f t="shared" si="13"/>
        <v>Chandler Catanzaro2</v>
      </c>
      <c r="U395">
        <f>IF(OR(NOT(ISERROR(MATCH(T395,Finals!$K$2:$K$1801,0))),AND(A395&gt;Week,Q395&lt;&gt;"NA")),"",A395)</f>
        <v>2</v>
      </c>
      <c r="V395" t="str">
        <f>IF(U395&lt;&gt;"",U395&amp;"-"&amp;COUNTIF(U$1:U395,U395),"")</f>
        <v>2-14</v>
      </c>
    </row>
    <row r="396" spans="1:22" x14ac:dyDescent="0.25">
      <c r="A396">
        <v>4</v>
      </c>
      <c r="B396" t="s">
        <v>4167</v>
      </c>
      <c r="C396" t="s">
        <v>5338</v>
      </c>
      <c r="D396">
        <v>1.51</v>
      </c>
      <c r="E396">
        <v>1.78</v>
      </c>
      <c r="F396">
        <v>2.5</v>
      </c>
      <c r="G396">
        <v>2.56</v>
      </c>
      <c r="H396">
        <v>7.25</v>
      </c>
      <c r="I396" t="s">
        <v>423</v>
      </c>
      <c r="J396">
        <v>6.0000000000000102E-2</v>
      </c>
      <c r="K396">
        <v>0.27</v>
      </c>
      <c r="L396">
        <v>6.38</v>
      </c>
      <c r="M396">
        <v>11.2</v>
      </c>
      <c r="N396">
        <v>3.3</v>
      </c>
      <c r="O396">
        <v>3.95</v>
      </c>
      <c r="P396">
        <v>15.602499999999999</v>
      </c>
      <c r="Q396" t="str">
        <f>IFERROR(INDEX(Rosters!$C$2:$C$155,MATCH($B396,Rosters!$B$2:$B$155,0)),"NA")</f>
        <v>NA</v>
      </c>
      <c r="R396" t="str">
        <f t="shared" si="12"/>
        <v>NA4</v>
      </c>
      <c r="S396">
        <f>COUNTIFS(A$1:A396,A396)</f>
        <v>25</v>
      </c>
      <c r="T396" t="str">
        <f t="shared" si="13"/>
        <v>Jason Sanders4</v>
      </c>
      <c r="U396">
        <f>IF(OR(NOT(ISERROR(MATCH(T396,Finals!$K$2:$K$1801,0))),AND(A396&gt;Week,Q396&lt;&gt;"NA")),"",A396)</f>
        <v>4</v>
      </c>
      <c r="V396" t="str">
        <f>IF(U396&lt;&gt;"",U396&amp;"-"&amp;COUNTIF(U$1:U396,U396),"")</f>
        <v>4-16</v>
      </c>
    </row>
    <row r="397" spans="1:22" x14ac:dyDescent="0.25">
      <c r="A397">
        <v>3</v>
      </c>
      <c r="B397" t="s">
        <v>4164</v>
      </c>
      <c r="C397" t="s">
        <v>4386</v>
      </c>
      <c r="D397">
        <v>1.52</v>
      </c>
      <c r="E397">
        <v>1.86</v>
      </c>
      <c r="F397">
        <v>2.29</v>
      </c>
      <c r="G397">
        <v>2.31</v>
      </c>
      <c r="H397">
        <v>7.41</v>
      </c>
      <c r="I397" t="s">
        <v>28</v>
      </c>
      <c r="J397">
        <v>0.02</v>
      </c>
      <c r="K397">
        <v>0.34</v>
      </c>
      <c r="L397">
        <v>6.37</v>
      </c>
      <c r="M397">
        <v>11.4</v>
      </c>
      <c r="N397">
        <v>3.42</v>
      </c>
      <c r="O397">
        <v>3.99</v>
      </c>
      <c r="P397">
        <v>15.9201</v>
      </c>
      <c r="Q397" t="str">
        <f>IFERROR(INDEX(Rosters!$C$2:$C$155,MATCH($B397,Rosters!$B$2:$B$155,0)),"NA")</f>
        <v>NA</v>
      </c>
      <c r="R397" t="str">
        <f t="shared" si="12"/>
        <v>NA3</v>
      </c>
      <c r="S397">
        <f>COUNTIFS(A$1:A397,A397)</f>
        <v>22</v>
      </c>
      <c r="T397" t="str">
        <f t="shared" si="13"/>
        <v>Brett Maher3</v>
      </c>
      <c r="U397">
        <f>IF(OR(NOT(ISERROR(MATCH(T397,Finals!$K$2:$K$1801,0))),AND(A397&gt;Week,Q397&lt;&gt;"NA")),"",A397)</f>
        <v>3</v>
      </c>
      <c r="V397" t="str">
        <f>IF(U397&lt;&gt;"",U397&amp;"-"&amp;COUNTIF(U$1:U397,U397),"")</f>
        <v>3-13</v>
      </c>
    </row>
    <row r="398" spans="1:22" x14ac:dyDescent="0.25">
      <c r="A398">
        <v>1</v>
      </c>
      <c r="B398" t="s">
        <v>4164</v>
      </c>
      <c r="C398" t="s">
        <v>4172</v>
      </c>
      <c r="D398">
        <v>1.52</v>
      </c>
      <c r="E398">
        <v>1.85</v>
      </c>
      <c r="F398">
        <v>2.2400000000000002</v>
      </c>
      <c r="G398">
        <v>2.2599999999999998</v>
      </c>
      <c r="H398">
        <v>7.37</v>
      </c>
      <c r="I398" t="s">
        <v>74</v>
      </c>
      <c r="J398">
        <v>1.9999999999999601E-2</v>
      </c>
      <c r="K398">
        <v>0.33</v>
      </c>
      <c r="L398">
        <v>6.36</v>
      </c>
      <c r="M398">
        <v>11.32</v>
      </c>
      <c r="N398">
        <v>3.42</v>
      </c>
      <c r="O398">
        <v>3.95</v>
      </c>
      <c r="P398">
        <v>15.602499999999999</v>
      </c>
      <c r="Q398" t="str">
        <f>IFERROR(INDEX(Rosters!$C$2:$C$155,MATCH($B398,Rosters!$B$2:$B$155,0)),"NA")</f>
        <v>NA</v>
      </c>
      <c r="R398" t="str">
        <f t="shared" si="12"/>
        <v>NA1</v>
      </c>
      <c r="S398">
        <f>COUNTIFS(A$1:A398,A398)</f>
        <v>25</v>
      </c>
      <c r="T398" t="str">
        <f t="shared" si="13"/>
        <v>Brett Maher1</v>
      </c>
      <c r="U398">
        <f>IF(OR(NOT(ISERROR(MATCH(T398,Finals!$K$2:$K$1801,0))),AND(A398&gt;Week,Q398&lt;&gt;"NA")),"",A398)</f>
        <v>1</v>
      </c>
      <c r="V398" t="str">
        <f>IF(U398&lt;&gt;"",U398&amp;"-"&amp;COUNTIF(U$1:U398,U398),"")</f>
        <v>1-15</v>
      </c>
    </row>
    <row r="399" spans="1:22" x14ac:dyDescent="0.25">
      <c r="A399">
        <v>2</v>
      </c>
      <c r="B399" t="s">
        <v>465</v>
      </c>
      <c r="C399" t="s">
        <v>3595</v>
      </c>
      <c r="D399">
        <v>1.83</v>
      </c>
      <c r="E399">
        <v>2.4500000000000002</v>
      </c>
      <c r="F399">
        <v>2.0499999999999998</v>
      </c>
      <c r="G399">
        <v>2.1</v>
      </c>
      <c r="H399">
        <v>8.27</v>
      </c>
      <c r="I399" t="s">
        <v>32</v>
      </c>
      <c r="J399">
        <v>5.0000000000000301E-2</v>
      </c>
      <c r="K399">
        <v>0.62</v>
      </c>
      <c r="L399">
        <v>6.36</v>
      </c>
      <c r="M399">
        <v>12.53</v>
      </c>
      <c r="N399">
        <v>4.01</v>
      </c>
      <c r="O399">
        <v>4.26</v>
      </c>
      <c r="P399">
        <v>18.147600000000001</v>
      </c>
      <c r="Q399" t="str">
        <f>IFERROR(INDEX(Rosters!$C$2:$C$155,MATCH($B399,Rosters!$B$2:$B$155,0)),"NA")</f>
        <v>NA</v>
      </c>
      <c r="R399" t="str">
        <f t="shared" si="12"/>
        <v>NA2</v>
      </c>
      <c r="S399">
        <f>COUNTIFS(A$1:A399,A399)</f>
        <v>25</v>
      </c>
      <c r="T399" t="str">
        <f t="shared" si="13"/>
        <v>Brandon McManus2</v>
      </c>
      <c r="U399">
        <f>IF(OR(NOT(ISERROR(MATCH(T399,Finals!$K$2:$K$1801,0))),AND(A399&gt;Week,Q399&lt;&gt;"NA")),"",A399)</f>
        <v>2</v>
      </c>
      <c r="V399" t="str">
        <f>IF(U399&lt;&gt;"",U399&amp;"-"&amp;COUNTIF(U$1:U399,U399),"")</f>
        <v>2-15</v>
      </c>
    </row>
    <row r="400" spans="1:22" x14ac:dyDescent="0.25">
      <c r="A400">
        <v>6</v>
      </c>
      <c r="B400" t="s">
        <v>455</v>
      </c>
      <c r="C400" t="s">
        <v>5339</v>
      </c>
      <c r="D400">
        <v>1.36</v>
      </c>
      <c r="E400">
        <v>1.67</v>
      </c>
      <c r="F400">
        <v>2.81</v>
      </c>
      <c r="G400">
        <v>2.87</v>
      </c>
      <c r="H400">
        <v>7.34</v>
      </c>
      <c r="I400" t="s">
        <v>31</v>
      </c>
      <c r="J400">
        <v>6.0000000000000102E-2</v>
      </c>
      <c r="K400">
        <v>0.31</v>
      </c>
      <c r="L400">
        <v>6.35</v>
      </c>
      <c r="M400">
        <v>10.63</v>
      </c>
      <c r="N400">
        <v>4.05</v>
      </c>
      <c r="O400">
        <v>3.29</v>
      </c>
      <c r="P400">
        <v>10.8241</v>
      </c>
      <c r="Q400" t="str">
        <f>IFERROR(INDEX(Rosters!$C$2:$C$155,MATCH($B400,Rosters!$B$2:$B$155,0)),"NA")</f>
        <v>NA</v>
      </c>
      <c r="R400" t="str">
        <f t="shared" si="12"/>
        <v>NA6</v>
      </c>
      <c r="S400">
        <f>COUNTIFS(A$1:A400,A400)</f>
        <v>25</v>
      </c>
      <c r="T400" t="str">
        <f t="shared" si="13"/>
        <v>Chris Boswell6</v>
      </c>
      <c r="U400">
        <f>IF(OR(NOT(ISERROR(MATCH(T400,Finals!$K$2:$K$1801,0))),AND(A400&gt;Week,Q400&lt;&gt;"NA")),"",A400)</f>
        <v>6</v>
      </c>
      <c r="V400" t="str">
        <f>IF(U400&lt;&gt;"",U400&amp;"-"&amp;COUNTIF(U$1:U400,U400),"")</f>
        <v>6-18</v>
      </c>
    </row>
    <row r="401" spans="1:22" x14ac:dyDescent="0.25">
      <c r="A401">
        <v>8</v>
      </c>
      <c r="B401" t="s">
        <v>1120</v>
      </c>
      <c r="C401" t="s">
        <v>5340</v>
      </c>
      <c r="D401">
        <v>1.48</v>
      </c>
      <c r="E401">
        <v>1.81</v>
      </c>
      <c r="F401">
        <v>2.35</v>
      </c>
      <c r="G401">
        <v>2.41</v>
      </c>
      <c r="H401">
        <v>7.4</v>
      </c>
      <c r="I401" t="s">
        <v>54</v>
      </c>
      <c r="J401">
        <v>6.0000000000000102E-2</v>
      </c>
      <c r="K401">
        <v>0.33</v>
      </c>
      <c r="L401">
        <v>6.35</v>
      </c>
      <c r="M401">
        <v>11.14</v>
      </c>
      <c r="N401">
        <v>3.66</v>
      </c>
      <c r="O401">
        <v>3.74</v>
      </c>
      <c r="P401">
        <v>13.9876</v>
      </c>
      <c r="Q401" t="str">
        <f>IFERROR(INDEX(Rosters!$C$2:$C$155,MATCH($B401,Rosters!$B$2:$B$155,0)),"NA")</f>
        <v>NA</v>
      </c>
      <c r="R401" t="str">
        <f t="shared" si="12"/>
        <v>NA8</v>
      </c>
      <c r="S401">
        <f>COUNTIFS(A$1:A401,A401)</f>
        <v>20</v>
      </c>
      <c r="T401" t="str">
        <f t="shared" si="13"/>
        <v>Dustin Hopkins8</v>
      </c>
      <c r="U401">
        <f>IF(OR(NOT(ISERROR(MATCH(T401,Finals!$K$2:$K$1801,0))),AND(A401&gt;Week,Q401&lt;&gt;"NA")),"",A401)</f>
        <v>8</v>
      </c>
      <c r="V401" t="str">
        <f>IF(U401&lt;&gt;"",U401&amp;"-"&amp;COUNTIF(U$1:U401,U401),"")</f>
        <v>8-14</v>
      </c>
    </row>
    <row r="402" spans="1:22" x14ac:dyDescent="0.25">
      <c r="A402">
        <v>11</v>
      </c>
      <c r="B402" t="s">
        <v>1119</v>
      </c>
      <c r="C402" t="s">
        <v>5341</v>
      </c>
      <c r="D402">
        <v>1.42</v>
      </c>
      <c r="E402">
        <v>1.79</v>
      </c>
      <c r="F402">
        <v>2.59</v>
      </c>
      <c r="G402">
        <v>2.59</v>
      </c>
      <c r="H402">
        <v>7.45</v>
      </c>
      <c r="I402" t="s">
        <v>51</v>
      </c>
      <c r="J402">
        <v>0</v>
      </c>
      <c r="K402">
        <v>0.37</v>
      </c>
      <c r="L402">
        <v>6.34</v>
      </c>
      <c r="M402">
        <v>11.06</v>
      </c>
      <c r="N402">
        <v>3.84</v>
      </c>
      <c r="O402">
        <v>3.61</v>
      </c>
      <c r="P402">
        <v>13.0321</v>
      </c>
      <c r="Q402" t="str">
        <f>IFERROR(INDEX(Rosters!$C$2:$C$155,MATCH($B402,Rosters!$B$2:$B$155,0)),"NA")</f>
        <v>scott</v>
      </c>
      <c r="R402" t="str">
        <f t="shared" si="12"/>
        <v>scott11</v>
      </c>
      <c r="S402">
        <f>COUNTIFS(A$1:A402,A402)</f>
        <v>20</v>
      </c>
      <c r="T402" t="str">
        <f t="shared" si="13"/>
        <v>Josh Lambo11</v>
      </c>
      <c r="U402" t="str">
        <f>IF(OR(NOT(ISERROR(MATCH(T402,Finals!$K$2:$K$1801,0))),AND(A402&gt;Week,Q402&lt;&gt;"NA")),"",A402)</f>
        <v/>
      </c>
      <c r="V402" t="str">
        <f>IF(U402&lt;&gt;"",U402&amp;"-"&amp;COUNTIF(U$1:U402,U402),"")</f>
        <v/>
      </c>
    </row>
    <row r="403" spans="1:22" x14ac:dyDescent="0.25">
      <c r="A403">
        <v>17</v>
      </c>
      <c r="B403" t="s">
        <v>999</v>
      </c>
      <c r="C403" t="s">
        <v>5342</v>
      </c>
      <c r="D403">
        <v>1.56</v>
      </c>
      <c r="E403">
        <v>1.93</v>
      </c>
      <c r="F403">
        <v>2.02</v>
      </c>
      <c r="G403">
        <v>2.08</v>
      </c>
      <c r="H403">
        <v>7.51</v>
      </c>
      <c r="I403" t="s">
        <v>76</v>
      </c>
      <c r="J403">
        <v>6.0000000000000102E-2</v>
      </c>
      <c r="K403">
        <v>0.37</v>
      </c>
      <c r="L403">
        <v>6.34</v>
      </c>
      <c r="M403">
        <v>10.97</v>
      </c>
      <c r="N403">
        <v>4.05</v>
      </c>
      <c r="O403">
        <v>3.46</v>
      </c>
      <c r="P403">
        <v>11.9716</v>
      </c>
      <c r="Q403" t="str">
        <f>IFERROR(INDEX(Rosters!$C$2:$C$155,MATCH($B403,Rosters!$B$2:$B$155,0)),"NA")</f>
        <v>NA</v>
      </c>
      <c r="R403" t="str">
        <f t="shared" si="12"/>
        <v>NA17</v>
      </c>
      <c r="S403">
        <f>COUNTIFS(A$1:A403,A403)</f>
        <v>28</v>
      </c>
      <c r="T403" t="str">
        <f t="shared" si="13"/>
        <v>Ka'imi Fairbairn17</v>
      </c>
      <c r="U403">
        <f>IF(OR(NOT(ISERROR(MATCH(T403,Finals!$K$2:$K$1801,0))),AND(A403&gt;Week,Q403&lt;&gt;"NA")),"",A403)</f>
        <v>17</v>
      </c>
      <c r="V403" t="str">
        <f>IF(U403&lt;&gt;"",U403&amp;"-"&amp;COUNTIF(U$1:U403,U403),"")</f>
        <v>17-19</v>
      </c>
    </row>
    <row r="404" spans="1:22" x14ac:dyDescent="0.25">
      <c r="A404">
        <v>5</v>
      </c>
      <c r="B404" t="s">
        <v>5064</v>
      </c>
      <c r="C404" t="s">
        <v>9069</v>
      </c>
      <c r="D404">
        <v>1.45</v>
      </c>
      <c r="E404">
        <v>1.79</v>
      </c>
      <c r="F404">
        <v>2.62</v>
      </c>
      <c r="G404">
        <v>2.66</v>
      </c>
      <c r="H404">
        <v>7.39</v>
      </c>
      <c r="I404" t="s">
        <v>37</v>
      </c>
      <c r="J404">
        <v>0.04</v>
      </c>
      <c r="K404">
        <v>0.34</v>
      </c>
      <c r="L404">
        <v>6.33</v>
      </c>
      <c r="M404">
        <v>10.86</v>
      </c>
      <c r="N404">
        <v>3.92</v>
      </c>
      <c r="O404">
        <v>3.47</v>
      </c>
      <c r="P404">
        <v>12.040900000000001</v>
      </c>
      <c r="Q404" t="str">
        <f>IFERROR(INDEX(Rosters!$C$2:$C$155,MATCH($B404,Rosters!$B$2:$B$155,0)),"NA")</f>
        <v>NA</v>
      </c>
      <c r="R404" t="str">
        <f t="shared" si="12"/>
        <v>NA5</v>
      </c>
      <c r="S404">
        <f>COUNTIFS(A$1:A404,A404)</f>
        <v>22</v>
      </c>
      <c r="T404" t="str">
        <f t="shared" si="13"/>
        <v>Matt McCrane5</v>
      </c>
      <c r="U404">
        <f>IF(OR(NOT(ISERROR(MATCH(T404,Finals!$K$2:$K$1801,0))),AND(A404&gt;Week,Q404&lt;&gt;"NA")),"",A404)</f>
        <v>5</v>
      </c>
      <c r="V404" t="str">
        <f>IF(U404&lt;&gt;"",U404&amp;"-"&amp;COUNTIF(U$1:U404,U404),"")</f>
        <v>5-12</v>
      </c>
    </row>
    <row r="405" spans="1:22" x14ac:dyDescent="0.25">
      <c r="A405">
        <v>17</v>
      </c>
      <c r="B405" t="s">
        <v>461</v>
      </c>
      <c r="C405" t="s">
        <v>5343</v>
      </c>
      <c r="D405">
        <v>1.6</v>
      </c>
      <c r="E405">
        <v>2.06</v>
      </c>
      <c r="F405">
        <v>2.0299999999999998</v>
      </c>
      <c r="G405">
        <v>2.0499999999999998</v>
      </c>
      <c r="H405">
        <v>7.71</v>
      </c>
      <c r="I405" t="s">
        <v>22</v>
      </c>
      <c r="J405">
        <v>0.02</v>
      </c>
      <c r="K405">
        <v>0.46</v>
      </c>
      <c r="L405">
        <v>6.31</v>
      </c>
      <c r="M405">
        <v>11.65</v>
      </c>
      <c r="N405">
        <v>3.77</v>
      </c>
      <c r="O405">
        <v>3.94</v>
      </c>
      <c r="P405">
        <v>15.5236</v>
      </c>
      <c r="Q405" t="str">
        <f>IFERROR(INDEX(Rosters!$C$2:$C$155,MATCH($B405,Rosters!$B$2:$B$155,0)),"NA")</f>
        <v>NA</v>
      </c>
      <c r="R405" t="str">
        <f t="shared" si="12"/>
        <v>NA17</v>
      </c>
      <c r="S405">
        <f>COUNTIFS(A$1:A405,A405)</f>
        <v>29</v>
      </c>
      <c r="T405" t="str">
        <f t="shared" si="13"/>
        <v>Aldrick Rosas17</v>
      </c>
      <c r="U405">
        <f>IF(OR(NOT(ISERROR(MATCH(T405,Finals!$K$2:$K$1801,0))),AND(A405&gt;Week,Q405&lt;&gt;"NA")),"",A405)</f>
        <v>17</v>
      </c>
      <c r="V405" t="str">
        <f>IF(U405&lt;&gt;"",U405&amp;"-"&amp;COUNTIF(U$1:U405,U405),"")</f>
        <v>17-20</v>
      </c>
    </row>
    <row r="406" spans="1:22" x14ac:dyDescent="0.25">
      <c r="A406">
        <v>2</v>
      </c>
      <c r="B406" t="s">
        <v>444</v>
      </c>
      <c r="C406" t="s">
        <v>3596</v>
      </c>
      <c r="D406">
        <v>1.56</v>
      </c>
      <c r="E406">
        <v>1.95</v>
      </c>
      <c r="F406">
        <v>2.2799999999999998</v>
      </c>
      <c r="G406">
        <v>2.3199999999999998</v>
      </c>
      <c r="H406">
        <v>7.52</v>
      </c>
      <c r="I406" t="s">
        <v>25</v>
      </c>
      <c r="J406">
        <v>0.04</v>
      </c>
      <c r="K406">
        <v>0.39</v>
      </c>
      <c r="L406">
        <v>6.31</v>
      </c>
      <c r="M406">
        <v>12.27</v>
      </c>
      <c r="N406">
        <v>2.77</v>
      </c>
      <c r="O406">
        <v>4.75</v>
      </c>
      <c r="P406">
        <v>22.5625</v>
      </c>
      <c r="Q406" t="str">
        <f>IFERROR(INDEX(Rosters!$C$2:$C$155,MATCH($B406,Rosters!$B$2:$B$155,0)),"NA")</f>
        <v>perry</v>
      </c>
      <c r="R406" t="str">
        <f t="shared" si="12"/>
        <v>perry2</v>
      </c>
      <c r="S406">
        <f>COUNTIFS(A$1:A406,A406)</f>
        <v>26</v>
      </c>
      <c r="T406" t="str">
        <f t="shared" si="13"/>
        <v>Mason Crosby2</v>
      </c>
      <c r="U406">
        <f>IF(OR(NOT(ISERROR(MATCH(T406,Finals!$K$2:$K$1801,0))),AND(A406&gt;Week,Q406&lt;&gt;"NA")),"",A406)</f>
        <v>2</v>
      </c>
      <c r="V406" t="str">
        <f>IF(U406&lt;&gt;"",U406&amp;"-"&amp;COUNTIF(U$1:U406,U406),"")</f>
        <v>2-16</v>
      </c>
    </row>
    <row r="407" spans="1:22" x14ac:dyDescent="0.25">
      <c r="A407">
        <v>4</v>
      </c>
      <c r="B407" t="s">
        <v>465</v>
      </c>
      <c r="C407" t="s">
        <v>5344</v>
      </c>
      <c r="D407">
        <v>1.49</v>
      </c>
      <c r="E407">
        <v>1.86</v>
      </c>
      <c r="F407">
        <v>2.12</v>
      </c>
      <c r="G407">
        <v>2.12</v>
      </c>
      <c r="H407">
        <v>7.41</v>
      </c>
      <c r="I407" t="s">
        <v>24</v>
      </c>
      <c r="J407">
        <v>0</v>
      </c>
      <c r="K407">
        <v>0.37</v>
      </c>
      <c r="L407">
        <v>6.3</v>
      </c>
      <c r="M407">
        <v>10.87</v>
      </c>
      <c r="N407">
        <v>3.95</v>
      </c>
      <c r="O407">
        <v>3.46</v>
      </c>
      <c r="P407">
        <v>11.9716</v>
      </c>
      <c r="Q407" t="str">
        <f>IFERROR(INDEX(Rosters!$C$2:$C$155,MATCH($B407,Rosters!$B$2:$B$155,0)),"NA")</f>
        <v>NA</v>
      </c>
      <c r="R407" t="str">
        <f t="shared" si="12"/>
        <v>NA4</v>
      </c>
      <c r="S407">
        <f>COUNTIFS(A$1:A407,A407)</f>
        <v>26</v>
      </c>
      <c r="T407" t="str">
        <f t="shared" si="13"/>
        <v>Brandon McManus4</v>
      </c>
      <c r="U407">
        <f>IF(OR(NOT(ISERROR(MATCH(T407,Finals!$K$2:$K$1801,0))),AND(A407&gt;Week,Q407&lt;&gt;"NA")),"",A407)</f>
        <v>4</v>
      </c>
      <c r="V407" t="str">
        <f>IF(U407&lt;&gt;"",U407&amp;"-"&amp;COUNTIF(U$1:U407,U407),"")</f>
        <v>4-17</v>
      </c>
    </row>
    <row r="408" spans="1:22" x14ac:dyDescent="0.25">
      <c r="A408">
        <v>15</v>
      </c>
      <c r="B408" t="s">
        <v>4169</v>
      </c>
      <c r="C408" t="s">
        <v>5345</v>
      </c>
      <c r="D408">
        <v>1.67</v>
      </c>
      <c r="E408">
        <v>1.98</v>
      </c>
      <c r="F408">
        <v>1.61</v>
      </c>
      <c r="G408">
        <v>1.65</v>
      </c>
      <c r="H408">
        <v>7.26</v>
      </c>
      <c r="I408" t="s">
        <v>42</v>
      </c>
      <c r="J408">
        <v>3.99999999999998E-2</v>
      </c>
      <c r="K408">
        <v>0.31</v>
      </c>
      <c r="L408">
        <v>6.29</v>
      </c>
      <c r="M408">
        <v>10.76</v>
      </c>
      <c r="N408">
        <v>3.76</v>
      </c>
      <c r="O408">
        <v>3.5</v>
      </c>
      <c r="P408">
        <v>12.25</v>
      </c>
      <c r="Q408" t="str">
        <f>IFERROR(INDEX(Rosters!$C$2:$C$155,MATCH($B408,Rosters!$B$2:$B$155,0)),"NA")</f>
        <v>NA</v>
      </c>
      <c r="R408" t="str">
        <f t="shared" si="12"/>
        <v>NA15</v>
      </c>
      <c r="S408">
        <f>COUNTIFS(A$1:A408,A408)</f>
        <v>26</v>
      </c>
      <c r="T408" t="str">
        <f t="shared" si="13"/>
        <v>Greg Joseph15</v>
      </c>
      <c r="U408">
        <f>IF(OR(NOT(ISERROR(MATCH(T408,Finals!$K$2:$K$1801,0))),AND(A408&gt;Week,Q408&lt;&gt;"NA")),"",A408)</f>
        <v>15</v>
      </c>
      <c r="V408" t="str">
        <f>IF(U408&lt;&gt;"",U408&amp;"-"&amp;COUNTIF(U$1:U408,U408),"")</f>
        <v>15-19</v>
      </c>
    </row>
    <row r="409" spans="1:22" x14ac:dyDescent="0.25">
      <c r="A409">
        <v>16</v>
      </c>
      <c r="B409" t="s">
        <v>999</v>
      </c>
      <c r="C409" t="s">
        <v>5346</v>
      </c>
      <c r="D409">
        <v>1.57</v>
      </c>
      <c r="E409">
        <v>1.91</v>
      </c>
      <c r="F409">
        <v>1.82</v>
      </c>
      <c r="G409">
        <v>1.86</v>
      </c>
      <c r="H409">
        <v>7.34</v>
      </c>
      <c r="I409" t="s">
        <v>50</v>
      </c>
      <c r="J409">
        <v>0.04</v>
      </c>
      <c r="K409">
        <v>0.34</v>
      </c>
      <c r="L409">
        <v>6.28</v>
      </c>
      <c r="M409">
        <v>10.95</v>
      </c>
      <c r="N409">
        <v>3.73</v>
      </c>
      <c r="O409">
        <v>3.61</v>
      </c>
      <c r="P409">
        <v>13.0321</v>
      </c>
      <c r="Q409" t="str">
        <f>IFERROR(INDEX(Rosters!$C$2:$C$155,MATCH($B409,Rosters!$B$2:$B$155,0)),"NA")</f>
        <v>NA</v>
      </c>
      <c r="R409" t="str">
        <f t="shared" si="12"/>
        <v>NA16</v>
      </c>
      <c r="S409">
        <f>COUNTIFS(A$1:A409,A409)</f>
        <v>27</v>
      </c>
      <c r="T409" t="str">
        <f t="shared" si="13"/>
        <v>Ka'imi Fairbairn16</v>
      </c>
      <c r="U409">
        <f>IF(OR(NOT(ISERROR(MATCH(T409,Finals!$K$2:$K$1801,0))),AND(A409&gt;Week,Q409&lt;&gt;"NA")),"",A409)</f>
        <v>16</v>
      </c>
      <c r="V409" t="str">
        <f>IF(U409&lt;&gt;"",U409&amp;"-"&amp;COUNTIF(U$1:U409,U409),"")</f>
        <v>16-18</v>
      </c>
    </row>
    <row r="410" spans="1:22" x14ac:dyDescent="0.25">
      <c r="A410">
        <v>8</v>
      </c>
      <c r="B410" t="s">
        <v>455</v>
      </c>
      <c r="C410" t="s">
        <v>5347</v>
      </c>
      <c r="D410">
        <v>1.38</v>
      </c>
      <c r="E410">
        <v>1.79</v>
      </c>
      <c r="F410">
        <v>2.78</v>
      </c>
      <c r="G410">
        <v>2.78</v>
      </c>
      <c r="H410">
        <v>7.51</v>
      </c>
      <c r="I410" t="s">
        <v>52</v>
      </c>
      <c r="J410">
        <v>0</v>
      </c>
      <c r="K410">
        <v>0.41</v>
      </c>
      <c r="L410">
        <v>6.28</v>
      </c>
      <c r="M410">
        <v>10.89</v>
      </c>
      <c r="N410">
        <v>4.13</v>
      </c>
      <c r="O410">
        <v>3.38</v>
      </c>
      <c r="P410">
        <v>11.4244</v>
      </c>
      <c r="Q410" t="str">
        <f>IFERROR(INDEX(Rosters!$C$2:$C$155,MATCH($B410,Rosters!$B$2:$B$155,0)),"NA")</f>
        <v>NA</v>
      </c>
      <c r="R410" t="str">
        <f t="shared" si="12"/>
        <v>NA8</v>
      </c>
      <c r="S410">
        <f>COUNTIFS(A$1:A410,A410)</f>
        <v>21</v>
      </c>
      <c r="T410" t="str">
        <f t="shared" si="13"/>
        <v>Chris Boswell8</v>
      </c>
      <c r="U410">
        <f>IF(OR(NOT(ISERROR(MATCH(T410,Finals!$K$2:$K$1801,0))),AND(A410&gt;Week,Q410&lt;&gt;"NA")),"",A410)</f>
        <v>8</v>
      </c>
      <c r="V410" t="str">
        <f>IF(U410&lt;&gt;"",U410&amp;"-"&amp;COUNTIF(U$1:U410,U410),"")</f>
        <v>8-15</v>
      </c>
    </row>
    <row r="411" spans="1:22" x14ac:dyDescent="0.25">
      <c r="A411">
        <v>16</v>
      </c>
      <c r="B411" t="s">
        <v>461</v>
      </c>
      <c r="C411" t="s">
        <v>5348</v>
      </c>
      <c r="D411">
        <v>1.56</v>
      </c>
      <c r="E411">
        <v>1.95</v>
      </c>
      <c r="F411">
        <v>1.98</v>
      </c>
      <c r="G411">
        <v>2</v>
      </c>
      <c r="H411">
        <v>7.46</v>
      </c>
      <c r="I411" t="s">
        <v>66</v>
      </c>
      <c r="J411">
        <v>0.02</v>
      </c>
      <c r="K411">
        <v>0.39</v>
      </c>
      <c r="L411">
        <v>6.27</v>
      </c>
      <c r="M411">
        <v>11.32</v>
      </c>
      <c r="N411">
        <v>3.6</v>
      </c>
      <c r="O411">
        <v>3.86</v>
      </c>
      <c r="P411">
        <v>14.8996</v>
      </c>
      <c r="Q411" t="str">
        <f>IFERROR(INDEX(Rosters!$C$2:$C$155,MATCH($B411,Rosters!$B$2:$B$155,0)),"NA")</f>
        <v>NA</v>
      </c>
      <c r="R411" t="str">
        <f t="shared" si="12"/>
        <v>NA16</v>
      </c>
      <c r="S411">
        <f>COUNTIFS(A$1:A411,A411)</f>
        <v>28</v>
      </c>
      <c r="T411" t="str">
        <f t="shared" si="13"/>
        <v>Aldrick Rosas16</v>
      </c>
      <c r="U411">
        <f>IF(OR(NOT(ISERROR(MATCH(T411,Finals!$K$2:$K$1801,0))),AND(A411&gt;Week,Q411&lt;&gt;"NA")),"",A411)</f>
        <v>16</v>
      </c>
      <c r="V411" t="str">
        <f>IF(U411&lt;&gt;"",U411&amp;"-"&amp;COUNTIF(U$1:U411,U411),"")</f>
        <v>16-19</v>
      </c>
    </row>
    <row r="412" spans="1:22" x14ac:dyDescent="0.25">
      <c r="A412">
        <v>17</v>
      </c>
      <c r="B412" t="s">
        <v>4167</v>
      </c>
      <c r="C412" t="s">
        <v>5349</v>
      </c>
      <c r="D412">
        <v>1.51</v>
      </c>
      <c r="E412">
        <v>1.76</v>
      </c>
      <c r="F412">
        <v>1.88</v>
      </c>
      <c r="G412">
        <v>1.98</v>
      </c>
      <c r="H412">
        <v>7.12</v>
      </c>
      <c r="I412" t="s">
        <v>29</v>
      </c>
      <c r="J412">
        <v>0.1</v>
      </c>
      <c r="K412">
        <v>0.25</v>
      </c>
      <c r="L412">
        <v>6.27</v>
      </c>
      <c r="M412">
        <v>11.53</v>
      </c>
      <c r="N412">
        <v>2.71</v>
      </c>
      <c r="O412">
        <v>4.41</v>
      </c>
      <c r="P412">
        <v>19.4481</v>
      </c>
      <c r="Q412" t="str">
        <f>IFERROR(INDEX(Rosters!$C$2:$C$155,MATCH($B412,Rosters!$B$2:$B$155,0)),"NA")</f>
        <v>NA</v>
      </c>
      <c r="R412" t="str">
        <f t="shared" si="12"/>
        <v>NA17</v>
      </c>
      <c r="S412">
        <f>COUNTIFS(A$1:A412,A412)</f>
        <v>30</v>
      </c>
      <c r="T412" t="str">
        <f t="shared" si="13"/>
        <v>Jason Sanders17</v>
      </c>
      <c r="U412">
        <f>IF(OR(NOT(ISERROR(MATCH(T412,Finals!$K$2:$K$1801,0))),AND(A412&gt;Week,Q412&lt;&gt;"NA")),"",A412)</f>
        <v>17</v>
      </c>
      <c r="V412" t="str">
        <f>IF(U412&lt;&gt;"",U412&amp;"-"&amp;COUNTIF(U$1:U412,U412),"")</f>
        <v>17-21</v>
      </c>
    </row>
    <row r="413" spans="1:22" x14ac:dyDescent="0.25">
      <c r="A413">
        <v>12</v>
      </c>
      <c r="B413" t="s">
        <v>1107</v>
      </c>
      <c r="C413" t="s">
        <v>5350</v>
      </c>
      <c r="D413">
        <v>1.55</v>
      </c>
      <c r="E413">
        <v>1.79</v>
      </c>
      <c r="F413">
        <v>1.33</v>
      </c>
      <c r="G413">
        <v>1.35</v>
      </c>
      <c r="H413">
        <v>7</v>
      </c>
      <c r="I413" t="s">
        <v>76</v>
      </c>
      <c r="J413">
        <v>0.02</v>
      </c>
      <c r="K413">
        <v>0.24</v>
      </c>
      <c r="L413">
        <v>6.26</v>
      </c>
      <c r="M413">
        <v>11.32</v>
      </c>
      <c r="N413">
        <v>2.68</v>
      </c>
      <c r="O413">
        <v>4.32</v>
      </c>
      <c r="P413">
        <v>18.662400000000002</v>
      </c>
      <c r="Q413" t="str">
        <f>IFERROR(INDEX(Rosters!$C$2:$C$155,MATCH($B413,Rosters!$B$2:$B$155,0)),"NA")</f>
        <v>NA</v>
      </c>
      <c r="R413" t="str">
        <f t="shared" si="12"/>
        <v>NA12</v>
      </c>
      <c r="S413">
        <f>COUNTIFS(A$1:A413,A413)</f>
        <v>24</v>
      </c>
      <c r="T413" t="str">
        <f t="shared" si="13"/>
        <v>Stephen Hauschka12</v>
      </c>
      <c r="U413">
        <f>IF(OR(NOT(ISERROR(MATCH(T413,Finals!$K$2:$K$1801,0))),AND(A413&gt;Week,Q413&lt;&gt;"NA")),"",A413)</f>
        <v>12</v>
      </c>
      <c r="V413" t="str">
        <f>IF(U413&lt;&gt;"",U413&amp;"-"&amp;COUNTIF(U$1:U413,U413),"")</f>
        <v>12-17</v>
      </c>
    </row>
    <row r="414" spans="1:22" x14ac:dyDescent="0.25">
      <c r="A414">
        <v>11</v>
      </c>
      <c r="B414" t="s">
        <v>999</v>
      </c>
      <c r="C414" t="s">
        <v>5351</v>
      </c>
      <c r="D414">
        <v>1.45</v>
      </c>
      <c r="E414">
        <v>1.78</v>
      </c>
      <c r="F414">
        <v>2.1800000000000002</v>
      </c>
      <c r="G414">
        <v>2.2000000000000002</v>
      </c>
      <c r="H414">
        <v>7.26</v>
      </c>
      <c r="I414" t="s">
        <v>60</v>
      </c>
      <c r="J414">
        <v>0.02</v>
      </c>
      <c r="K414">
        <v>0.33</v>
      </c>
      <c r="L414">
        <v>6.25</v>
      </c>
      <c r="M414">
        <v>11.41</v>
      </c>
      <c r="N414">
        <v>3.11</v>
      </c>
      <c r="O414">
        <v>4.1500000000000004</v>
      </c>
      <c r="P414">
        <v>17.2225</v>
      </c>
      <c r="Q414" t="str">
        <f>IFERROR(INDEX(Rosters!$C$2:$C$155,MATCH($B414,Rosters!$B$2:$B$155,0)),"NA")</f>
        <v>NA</v>
      </c>
      <c r="R414" t="str">
        <f t="shared" si="12"/>
        <v>NA11</v>
      </c>
      <c r="S414">
        <f>COUNTIFS(A$1:A414,A414)</f>
        <v>21</v>
      </c>
      <c r="T414" t="str">
        <f t="shared" si="13"/>
        <v>Ka'imi Fairbairn11</v>
      </c>
      <c r="U414">
        <f>IF(OR(NOT(ISERROR(MATCH(T414,Finals!$K$2:$K$1801,0))),AND(A414&gt;Week,Q414&lt;&gt;"NA")),"",A414)</f>
        <v>11</v>
      </c>
      <c r="V414" t="str">
        <f>IF(U414&lt;&gt;"",U414&amp;"-"&amp;COUNTIF(U$1:U414,U414),"")</f>
        <v>11-16</v>
      </c>
    </row>
    <row r="415" spans="1:22" x14ac:dyDescent="0.25">
      <c r="A415">
        <v>10</v>
      </c>
      <c r="B415" t="s">
        <v>4164</v>
      </c>
      <c r="C415" t="s">
        <v>5352</v>
      </c>
      <c r="D415">
        <v>1.53</v>
      </c>
      <c r="E415">
        <v>1.88</v>
      </c>
      <c r="F415">
        <v>1.99</v>
      </c>
      <c r="G415">
        <v>2.02</v>
      </c>
      <c r="H415">
        <v>7.32</v>
      </c>
      <c r="I415" t="s">
        <v>50</v>
      </c>
      <c r="J415">
        <v>0.03</v>
      </c>
      <c r="K415">
        <v>0.35</v>
      </c>
      <c r="L415">
        <v>6.24</v>
      </c>
      <c r="M415">
        <v>10.33</v>
      </c>
      <c r="N415">
        <v>4.3099999999999996</v>
      </c>
      <c r="O415">
        <v>3.01</v>
      </c>
      <c r="P415">
        <v>9.0601000000000003</v>
      </c>
      <c r="Q415" t="str">
        <f>IFERROR(INDEX(Rosters!$C$2:$C$155,MATCH($B415,Rosters!$B$2:$B$155,0)),"NA")</f>
        <v>NA</v>
      </c>
      <c r="R415" t="str">
        <f t="shared" si="12"/>
        <v>NA10</v>
      </c>
      <c r="S415">
        <f>COUNTIFS(A$1:A415,A415)</f>
        <v>20</v>
      </c>
      <c r="T415" t="str">
        <f t="shared" si="13"/>
        <v>Brett Maher10</v>
      </c>
      <c r="U415">
        <f>IF(OR(NOT(ISERROR(MATCH(T415,Finals!$K$2:$K$1801,0))),AND(A415&gt;Week,Q415&lt;&gt;"NA")),"",A415)</f>
        <v>10</v>
      </c>
      <c r="V415" t="str">
        <f>IF(U415&lt;&gt;"",U415&amp;"-"&amp;COUNTIF(U$1:U415,U415),"")</f>
        <v>10-13</v>
      </c>
    </row>
    <row r="416" spans="1:22" x14ac:dyDescent="0.25">
      <c r="A416">
        <v>13</v>
      </c>
      <c r="B416" t="s">
        <v>453</v>
      </c>
      <c r="C416" t="s">
        <v>5353</v>
      </c>
      <c r="D416">
        <v>1.63</v>
      </c>
      <c r="E416">
        <v>2.1</v>
      </c>
      <c r="F416">
        <v>1.97</v>
      </c>
      <c r="G416">
        <v>1.99</v>
      </c>
      <c r="H416">
        <v>7.67</v>
      </c>
      <c r="I416" t="s">
        <v>73</v>
      </c>
      <c r="J416">
        <v>0.02</v>
      </c>
      <c r="K416">
        <v>0.47</v>
      </c>
      <c r="L416">
        <v>6.24</v>
      </c>
      <c r="M416">
        <v>11.59</v>
      </c>
      <c r="N416">
        <v>3.75</v>
      </c>
      <c r="O416">
        <v>3.92</v>
      </c>
      <c r="P416">
        <v>15.366400000000001</v>
      </c>
      <c r="Q416" t="str">
        <f>IFERROR(INDEX(Rosters!$C$2:$C$155,MATCH($B416,Rosters!$B$2:$B$155,0)),"NA")</f>
        <v>NA</v>
      </c>
      <c r="R416" t="str">
        <f t="shared" si="12"/>
        <v>NA13</v>
      </c>
      <c r="S416">
        <f>COUNTIFS(A$1:A416,A416)</f>
        <v>28</v>
      </c>
      <c r="T416" t="str">
        <f t="shared" si="13"/>
        <v>Ryan Succop13</v>
      </c>
      <c r="U416">
        <f>IF(OR(NOT(ISERROR(MATCH(T416,Finals!$K$2:$K$1801,0))),AND(A416&gt;Week,Q416&lt;&gt;"NA")),"",A416)</f>
        <v>13</v>
      </c>
      <c r="V416" t="str">
        <f>IF(U416&lt;&gt;"",U416&amp;"-"&amp;COUNTIF(U$1:U416,U416),"")</f>
        <v>13-19</v>
      </c>
    </row>
    <row r="417" spans="1:22" x14ac:dyDescent="0.25">
      <c r="A417">
        <v>10</v>
      </c>
      <c r="B417" t="s">
        <v>463</v>
      </c>
      <c r="C417" t="s">
        <v>5354</v>
      </c>
      <c r="D417">
        <v>1.5</v>
      </c>
      <c r="E417">
        <v>1.79</v>
      </c>
      <c r="F417">
        <v>2.06</v>
      </c>
      <c r="G417">
        <v>2.1800000000000002</v>
      </c>
      <c r="H417">
        <v>7.22</v>
      </c>
      <c r="I417" t="s">
        <v>24</v>
      </c>
      <c r="J417">
        <v>0.12</v>
      </c>
      <c r="K417">
        <v>0.28999999999999998</v>
      </c>
      <c r="L417">
        <v>6.23</v>
      </c>
      <c r="M417">
        <v>11.03</v>
      </c>
      <c r="N417">
        <v>3.41</v>
      </c>
      <c r="O417">
        <v>3.81</v>
      </c>
      <c r="P417">
        <v>14.5161</v>
      </c>
      <c r="Q417" t="str">
        <f>IFERROR(INDEX(Rosters!$C$2:$C$155,MATCH($B417,Rosters!$B$2:$B$155,0)),"NA")</f>
        <v>NA</v>
      </c>
      <c r="R417" t="str">
        <f t="shared" si="12"/>
        <v>NA10</v>
      </c>
      <c r="S417">
        <f>COUNTIFS(A$1:A417,A417)</f>
        <v>21</v>
      </c>
      <c r="T417" t="str">
        <f t="shared" si="13"/>
        <v>Phil Dawson10</v>
      </c>
      <c r="U417">
        <f>IF(OR(NOT(ISERROR(MATCH(T417,Finals!$K$2:$K$1801,0))),AND(A417&gt;Week,Q417&lt;&gt;"NA")),"",A417)</f>
        <v>10</v>
      </c>
      <c r="V417" t="str">
        <f>IF(U417&lt;&gt;"",U417&amp;"-"&amp;COUNTIF(U$1:U417,U417),"")</f>
        <v>10-14</v>
      </c>
    </row>
    <row r="418" spans="1:22" x14ac:dyDescent="0.25">
      <c r="A418">
        <v>10</v>
      </c>
      <c r="B418" t="s">
        <v>1216</v>
      </c>
      <c r="C418" t="s">
        <v>5355</v>
      </c>
      <c r="D418">
        <v>1.47</v>
      </c>
      <c r="E418">
        <v>1.76</v>
      </c>
      <c r="F418">
        <v>2.14</v>
      </c>
      <c r="G418">
        <v>2.2000000000000002</v>
      </c>
      <c r="H418">
        <v>7.15</v>
      </c>
      <c r="I418" t="s">
        <v>56</v>
      </c>
      <c r="J418">
        <v>6.0000000000000102E-2</v>
      </c>
      <c r="K418">
        <v>0.28999999999999998</v>
      </c>
      <c r="L418">
        <v>6.22</v>
      </c>
      <c r="M418">
        <v>11.47</v>
      </c>
      <c r="N418">
        <v>2.83</v>
      </c>
      <c r="O418">
        <v>4.32</v>
      </c>
      <c r="P418">
        <v>18.662400000000002</v>
      </c>
      <c r="Q418" t="str">
        <f>IFERROR(INDEX(Rosters!$C$2:$C$155,MATCH($B418,Rosters!$B$2:$B$155,0)),"NA")</f>
        <v>NA</v>
      </c>
      <c r="R418" t="str">
        <f t="shared" si="12"/>
        <v>NA10</v>
      </c>
      <c r="S418">
        <f>COUNTIFS(A$1:A418,A418)</f>
        <v>22</v>
      </c>
      <c r="T418" t="str">
        <f t="shared" si="13"/>
        <v>Sebastian Janikowski10</v>
      </c>
      <c r="U418">
        <f>IF(OR(NOT(ISERROR(MATCH(T418,Finals!$K$2:$K$1801,0))),AND(A418&gt;Week,Q418&lt;&gt;"NA")),"",A418)</f>
        <v>10</v>
      </c>
      <c r="V418" t="str">
        <f>IF(U418&lt;&gt;"",U418&amp;"-"&amp;COUNTIF(U$1:U418,U418),"")</f>
        <v>10-15</v>
      </c>
    </row>
    <row r="419" spans="1:22" x14ac:dyDescent="0.25">
      <c r="A419">
        <v>3</v>
      </c>
      <c r="B419" t="s">
        <v>453</v>
      </c>
      <c r="C419" t="s">
        <v>4387</v>
      </c>
      <c r="D419">
        <v>1.62</v>
      </c>
      <c r="E419">
        <v>1.91</v>
      </c>
      <c r="F419">
        <v>1.45</v>
      </c>
      <c r="G419">
        <v>1.47</v>
      </c>
      <c r="H419">
        <v>7.1</v>
      </c>
      <c r="I419" t="s">
        <v>76</v>
      </c>
      <c r="J419">
        <v>0.02</v>
      </c>
      <c r="K419">
        <v>0.28999999999999998</v>
      </c>
      <c r="L419">
        <v>6.21</v>
      </c>
      <c r="M419">
        <v>12.12</v>
      </c>
      <c r="N419">
        <v>2.08</v>
      </c>
      <c r="O419">
        <v>5.0199999999999996</v>
      </c>
      <c r="P419">
        <v>25.200399999999998</v>
      </c>
      <c r="Q419" t="str">
        <f>IFERROR(INDEX(Rosters!$C$2:$C$155,MATCH($B419,Rosters!$B$2:$B$155,0)),"NA")</f>
        <v>NA</v>
      </c>
      <c r="R419" t="str">
        <f t="shared" si="12"/>
        <v>NA3</v>
      </c>
      <c r="S419">
        <f>COUNTIFS(A$1:A419,A419)</f>
        <v>23</v>
      </c>
      <c r="T419" t="str">
        <f t="shared" si="13"/>
        <v>Ryan Succop3</v>
      </c>
      <c r="U419">
        <f>IF(OR(NOT(ISERROR(MATCH(T419,Finals!$K$2:$K$1801,0))),AND(A419&gt;Week,Q419&lt;&gt;"NA")),"",A419)</f>
        <v>3</v>
      </c>
      <c r="V419" t="str">
        <f>IF(U419&lt;&gt;"",U419&amp;"-"&amp;COUNTIF(U$1:U419,U419),"")</f>
        <v>3-14</v>
      </c>
    </row>
    <row r="420" spans="1:22" x14ac:dyDescent="0.25">
      <c r="A420">
        <v>6</v>
      </c>
      <c r="B420" t="s">
        <v>4167</v>
      </c>
      <c r="C420" t="s">
        <v>5357</v>
      </c>
      <c r="D420">
        <v>1.58</v>
      </c>
      <c r="E420">
        <v>1.89</v>
      </c>
      <c r="F420">
        <v>1.81</v>
      </c>
      <c r="G420">
        <v>1.87</v>
      </c>
      <c r="H420">
        <v>7.19</v>
      </c>
      <c r="I420" t="s">
        <v>72</v>
      </c>
      <c r="J420">
        <v>6.0000000000000102E-2</v>
      </c>
      <c r="K420">
        <v>0.31</v>
      </c>
      <c r="L420">
        <v>6.2</v>
      </c>
      <c r="M420">
        <v>11.92</v>
      </c>
      <c r="N420">
        <v>2.46</v>
      </c>
      <c r="O420">
        <v>4.7300000000000004</v>
      </c>
      <c r="P420">
        <v>22.372900000000001</v>
      </c>
      <c r="Q420" t="str">
        <f>IFERROR(INDEX(Rosters!$C$2:$C$155,MATCH($B420,Rosters!$B$2:$B$155,0)),"NA")</f>
        <v>NA</v>
      </c>
      <c r="R420" t="str">
        <f t="shared" si="12"/>
        <v>NA6</v>
      </c>
      <c r="S420">
        <f>COUNTIFS(A$1:A420,A420)</f>
        <v>26</v>
      </c>
      <c r="T420" t="str">
        <f t="shared" si="13"/>
        <v>Jason Sanders6</v>
      </c>
      <c r="U420">
        <f>IF(OR(NOT(ISERROR(MATCH(T420,Finals!$K$2:$K$1801,0))),AND(A420&gt;Week,Q420&lt;&gt;"NA")),"",A420)</f>
        <v>6</v>
      </c>
      <c r="V420" t="str">
        <f>IF(U420&lt;&gt;"",U420&amp;"-"&amp;COUNTIF(U$1:U420,U420),"")</f>
        <v>6-19</v>
      </c>
    </row>
    <row r="421" spans="1:22" x14ac:dyDescent="0.25">
      <c r="A421">
        <v>3</v>
      </c>
      <c r="B421" t="s">
        <v>448</v>
      </c>
      <c r="C421" t="s">
        <v>4388</v>
      </c>
      <c r="D421">
        <v>1.67</v>
      </c>
      <c r="E421">
        <v>1.95</v>
      </c>
      <c r="F421">
        <v>1.39</v>
      </c>
      <c r="G421">
        <v>1.43</v>
      </c>
      <c r="H421">
        <v>7.08</v>
      </c>
      <c r="I421" t="s">
        <v>50</v>
      </c>
      <c r="J421">
        <v>0.04</v>
      </c>
      <c r="K421">
        <v>0.28000000000000003</v>
      </c>
      <c r="L421">
        <v>6.2</v>
      </c>
      <c r="M421">
        <v>12.07</v>
      </c>
      <c r="N421">
        <v>2.09</v>
      </c>
      <c r="O421">
        <v>4.99</v>
      </c>
      <c r="P421">
        <v>24.900099999999998</v>
      </c>
      <c r="Q421" t="str">
        <f>IFERROR(INDEX(Rosters!$C$2:$C$155,MATCH($B421,Rosters!$B$2:$B$155,0)),"NA")</f>
        <v>NA</v>
      </c>
      <c r="R421" t="str">
        <f t="shared" si="12"/>
        <v>NA3</v>
      </c>
      <c r="S421">
        <f>COUNTIFS(A$1:A421,A421)</f>
        <v>24</v>
      </c>
      <c r="T421" t="str">
        <f t="shared" si="13"/>
        <v>Adam Vinatieri3</v>
      </c>
      <c r="U421">
        <f>IF(OR(NOT(ISERROR(MATCH(T421,Finals!$K$2:$K$1801,0))),AND(A421&gt;Week,Q421&lt;&gt;"NA")),"",A421)</f>
        <v>3</v>
      </c>
      <c r="V421" t="str">
        <f>IF(U421&lt;&gt;"",U421&amp;"-"&amp;COUNTIF(U$1:U421,U421),"")</f>
        <v>3-15</v>
      </c>
    </row>
    <row r="422" spans="1:22" x14ac:dyDescent="0.25">
      <c r="A422">
        <v>4</v>
      </c>
      <c r="B422" t="s">
        <v>461</v>
      </c>
      <c r="C422" t="s">
        <v>5358</v>
      </c>
      <c r="D422">
        <v>1.76</v>
      </c>
      <c r="E422">
        <v>2.12</v>
      </c>
      <c r="F422">
        <v>2.0099999999999998</v>
      </c>
      <c r="G422">
        <v>2.12</v>
      </c>
      <c r="H422">
        <v>7.39</v>
      </c>
      <c r="I422" t="s">
        <v>14</v>
      </c>
      <c r="J422">
        <v>0.11</v>
      </c>
      <c r="K422">
        <v>0.36</v>
      </c>
      <c r="L422">
        <v>6.2</v>
      </c>
      <c r="M422">
        <v>12.35</v>
      </c>
      <c r="N422">
        <v>2.4300000000000002</v>
      </c>
      <c r="O422">
        <v>4.96</v>
      </c>
      <c r="P422">
        <v>24.601600000000001</v>
      </c>
      <c r="Q422" t="str">
        <f>IFERROR(INDEX(Rosters!$C$2:$C$155,MATCH($B422,Rosters!$B$2:$B$155,0)),"NA")</f>
        <v>NA</v>
      </c>
      <c r="R422" t="str">
        <f t="shared" si="12"/>
        <v>NA4</v>
      </c>
      <c r="S422">
        <f>COUNTIFS(A$1:A422,A422)</f>
        <v>27</v>
      </c>
      <c r="T422" t="str">
        <f t="shared" si="13"/>
        <v>Aldrick Rosas4</v>
      </c>
      <c r="U422">
        <f>IF(OR(NOT(ISERROR(MATCH(T422,Finals!$K$2:$K$1801,0))),AND(A422&gt;Week,Q422&lt;&gt;"NA")),"",A422)</f>
        <v>4</v>
      </c>
      <c r="V422" t="str">
        <f>IF(U422&lt;&gt;"",U422&amp;"-"&amp;COUNTIF(U$1:U422,U422),"")</f>
        <v>4-18</v>
      </c>
    </row>
    <row r="423" spans="1:22" x14ac:dyDescent="0.25">
      <c r="A423">
        <v>5</v>
      </c>
      <c r="B423" t="s">
        <v>445</v>
      </c>
      <c r="C423" t="s">
        <v>4389</v>
      </c>
      <c r="D423">
        <v>1.54</v>
      </c>
      <c r="E423">
        <v>1.79</v>
      </c>
      <c r="F423">
        <v>1.72</v>
      </c>
      <c r="G423">
        <v>1.76</v>
      </c>
      <c r="H423">
        <v>6.98</v>
      </c>
      <c r="I423" t="s">
        <v>50</v>
      </c>
      <c r="J423">
        <v>0.04</v>
      </c>
      <c r="K423">
        <v>0.25</v>
      </c>
      <c r="L423">
        <v>6.19</v>
      </c>
      <c r="M423">
        <v>10.61</v>
      </c>
      <c r="N423">
        <v>3.35</v>
      </c>
      <c r="O423">
        <v>3.63</v>
      </c>
      <c r="P423">
        <v>13.1769</v>
      </c>
      <c r="Q423" t="str">
        <f>IFERROR(INDEX(Rosters!$C$2:$C$155,MATCH($B423,Rosters!$B$2:$B$155,0)),"NA")</f>
        <v>NA</v>
      </c>
      <c r="R423" t="str">
        <f t="shared" si="12"/>
        <v>NA5</v>
      </c>
      <c r="S423">
        <f>COUNTIFS(A$1:A423,A423)</f>
        <v>23</v>
      </c>
      <c r="T423" t="str">
        <f t="shared" si="13"/>
        <v>Dan Bailey5</v>
      </c>
      <c r="U423">
        <f>IF(OR(NOT(ISERROR(MATCH(T423,Finals!$K$2:$K$1801,0))),AND(A423&gt;Week,Q423&lt;&gt;"NA")),"",A423)</f>
        <v>5</v>
      </c>
      <c r="V423" t="str">
        <f>IF(U423&lt;&gt;"",U423&amp;"-"&amp;COUNTIF(U$1:U423,U423),"")</f>
        <v>5-13</v>
      </c>
    </row>
    <row r="424" spans="1:22" x14ac:dyDescent="0.25">
      <c r="A424">
        <v>5</v>
      </c>
      <c r="B424" t="s">
        <v>1107</v>
      </c>
      <c r="C424" t="s">
        <v>9102</v>
      </c>
      <c r="D424">
        <v>1.69</v>
      </c>
      <c r="E424">
        <v>2.19</v>
      </c>
      <c r="F424">
        <v>1.87</v>
      </c>
      <c r="G424">
        <v>1.87</v>
      </c>
      <c r="H424">
        <v>7.69</v>
      </c>
      <c r="I424" t="s">
        <v>38</v>
      </c>
      <c r="J424">
        <v>0</v>
      </c>
      <c r="K424">
        <v>0.5</v>
      </c>
      <c r="L424">
        <v>6.19</v>
      </c>
      <c r="M424">
        <v>12.23</v>
      </c>
      <c r="N424">
        <v>3.15</v>
      </c>
      <c r="O424">
        <v>4.54</v>
      </c>
      <c r="P424">
        <v>20.611599999999999</v>
      </c>
      <c r="Q424" t="str">
        <f>IFERROR(INDEX(Rosters!$C$2:$C$155,MATCH($B424,Rosters!$B$2:$B$155,0)),"NA")</f>
        <v>NA</v>
      </c>
      <c r="R424" t="str">
        <f t="shared" si="12"/>
        <v>NA5</v>
      </c>
      <c r="S424">
        <f>COUNTIFS(A$1:A424,A424)</f>
        <v>24</v>
      </c>
      <c r="T424" t="str">
        <f t="shared" si="13"/>
        <v>Stephen Hauschka5</v>
      </c>
      <c r="U424">
        <f>IF(OR(NOT(ISERROR(MATCH(T424,Finals!$K$2:$K$1801,0))),AND(A424&gt;Week,Q424&lt;&gt;"NA")),"",A424)</f>
        <v>5</v>
      </c>
      <c r="V424" t="str">
        <f>IF(U424&lt;&gt;"",U424&amp;"-"&amp;COUNTIF(U$1:U424,U424),"")</f>
        <v>5-14</v>
      </c>
    </row>
    <row r="425" spans="1:22" x14ac:dyDescent="0.25">
      <c r="A425">
        <v>13</v>
      </c>
      <c r="B425" t="s">
        <v>455</v>
      </c>
      <c r="C425" t="s">
        <v>5359</v>
      </c>
      <c r="D425">
        <v>1.3</v>
      </c>
      <c r="E425">
        <v>1.61</v>
      </c>
      <c r="F425">
        <v>2.88</v>
      </c>
      <c r="G425">
        <v>2.9</v>
      </c>
      <c r="H425">
        <v>7.14</v>
      </c>
      <c r="I425" t="s">
        <v>37</v>
      </c>
      <c r="J425">
        <v>0.02</v>
      </c>
      <c r="K425">
        <v>0.31</v>
      </c>
      <c r="L425">
        <v>6.19</v>
      </c>
      <c r="M425">
        <v>10.31</v>
      </c>
      <c r="N425">
        <v>3.97</v>
      </c>
      <c r="O425">
        <v>3.17</v>
      </c>
      <c r="P425">
        <v>10.0489</v>
      </c>
      <c r="Q425" t="str">
        <f>IFERROR(INDEX(Rosters!$C$2:$C$155,MATCH($B425,Rosters!$B$2:$B$155,0)),"NA")</f>
        <v>NA</v>
      </c>
      <c r="R425" t="str">
        <f t="shared" si="12"/>
        <v>NA13</v>
      </c>
      <c r="S425">
        <f>COUNTIFS(A$1:A425,A425)</f>
        <v>29</v>
      </c>
      <c r="T425" t="str">
        <f t="shared" si="13"/>
        <v>Chris Boswell13</v>
      </c>
      <c r="U425">
        <f>IF(OR(NOT(ISERROR(MATCH(T425,Finals!$K$2:$K$1801,0))),AND(A425&gt;Week,Q425&lt;&gt;"NA")),"",A425)</f>
        <v>13</v>
      </c>
      <c r="V425" t="str">
        <f>IF(U425&lt;&gt;"",U425&amp;"-"&amp;COUNTIF(U$1:U425,U425),"")</f>
        <v>13-20</v>
      </c>
    </row>
    <row r="426" spans="1:22" x14ac:dyDescent="0.25">
      <c r="A426">
        <v>7</v>
      </c>
      <c r="B426" t="s">
        <v>456</v>
      </c>
      <c r="C426" t="s">
        <v>5360</v>
      </c>
      <c r="D426">
        <v>1.4</v>
      </c>
      <c r="E426">
        <v>1.65</v>
      </c>
      <c r="F426">
        <v>2.2599999999999998</v>
      </c>
      <c r="G426">
        <v>2.2599999999999998</v>
      </c>
      <c r="H426">
        <v>6.91</v>
      </c>
      <c r="I426" t="s">
        <v>50</v>
      </c>
      <c r="J426">
        <v>0</v>
      </c>
      <c r="K426">
        <v>0.25</v>
      </c>
      <c r="L426">
        <v>6.16</v>
      </c>
      <c r="M426">
        <v>10.66</v>
      </c>
      <c r="N426">
        <v>3.16</v>
      </c>
      <c r="O426">
        <v>3.75</v>
      </c>
      <c r="P426">
        <v>14.0625</v>
      </c>
      <c r="Q426" t="str">
        <f>IFERROR(INDEX(Rosters!$C$2:$C$155,MATCH($B426,Rosters!$B$2:$B$155,0)),"NA")</f>
        <v>NA</v>
      </c>
      <c r="R426" t="str">
        <f t="shared" si="12"/>
        <v>NA7</v>
      </c>
      <c r="S426">
        <f>COUNTIFS(A$1:A426,A426)</f>
        <v>20</v>
      </c>
      <c r="T426" t="str">
        <f t="shared" si="13"/>
        <v>Graham Gano7</v>
      </c>
      <c r="U426">
        <f>IF(OR(NOT(ISERROR(MATCH(T426,Finals!$K$2:$K$1801,0))),AND(A426&gt;Week,Q426&lt;&gt;"NA")),"",A426)</f>
        <v>7</v>
      </c>
      <c r="V426" t="str">
        <f>IF(U426&lt;&gt;"",U426&amp;"-"&amp;COUNTIF(U$1:U426,U426),"")</f>
        <v>7-13</v>
      </c>
    </row>
    <row r="427" spans="1:22" x14ac:dyDescent="0.25">
      <c r="A427">
        <v>3</v>
      </c>
      <c r="B427" t="s">
        <v>4169</v>
      </c>
      <c r="C427" t="s">
        <v>4173</v>
      </c>
      <c r="D427">
        <v>1.77</v>
      </c>
      <c r="E427">
        <v>2.33</v>
      </c>
      <c r="F427">
        <v>1.84</v>
      </c>
      <c r="G427">
        <v>1.88</v>
      </c>
      <c r="H427">
        <v>7.88</v>
      </c>
      <c r="I427" t="s">
        <v>73</v>
      </c>
      <c r="J427">
        <v>3.99999999999998E-2</v>
      </c>
      <c r="K427">
        <v>0.56000000000000005</v>
      </c>
      <c r="L427">
        <v>6.16</v>
      </c>
      <c r="M427">
        <v>13.26</v>
      </c>
      <c r="N427">
        <v>2.5</v>
      </c>
      <c r="O427">
        <v>5.38</v>
      </c>
      <c r="P427">
        <v>28.944400000000002</v>
      </c>
      <c r="Q427" t="str">
        <f>IFERROR(INDEX(Rosters!$C$2:$C$155,MATCH($B427,Rosters!$B$2:$B$155,0)),"NA")</f>
        <v>NA</v>
      </c>
      <c r="R427" t="str">
        <f t="shared" si="12"/>
        <v>NA3</v>
      </c>
      <c r="S427">
        <f>COUNTIFS(A$1:A427,A427)</f>
        <v>25</v>
      </c>
      <c r="T427" t="str">
        <f t="shared" si="13"/>
        <v>Greg Joseph3</v>
      </c>
      <c r="U427">
        <f>IF(OR(NOT(ISERROR(MATCH(T427,Finals!$K$2:$K$1801,0))),AND(A427&gt;Week,Q427&lt;&gt;"NA")),"",A427)</f>
        <v>3</v>
      </c>
      <c r="V427" t="str">
        <f>IF(U427&lt;&gt;"",U427&amp;"-"&amp;COUNTIF(U$1:U427,U427),"")</f>
        <v>3-16</v>
      </c>
    </row>
    <row r="428" spans="1:22" x14ac:dyDescent="0.25">
      <c r="A428">
        <v>10</v>
      </c>
      <c r="B428" t="s">
        <v>1107</v>
      </c>
      <c r="C428" t="s">
        <v>5361</v>
      </c>
      <c r="D428">
        <v>1.55</v>
      </c>
      <c r="E428">
        <v>1.85</v>
      </c>
      <c r="F428">
        <v>1.59</v>
      </c>
      <c r="G428">
        <v>1.59</v>
      </c>
      <c r="H428">
        <v>7.05</v>
      </c>
      <c r="I428" t="s">
        <v>73</v>
      </c>
      <c r="J428">
        <v>0</v>
      </c>
      <c r="K428">
        <v>0.3</v>
      </c>
      <c r="L428">
        <v>6.15</v>
      </c>
      <c r="M428">
        <v>11.29</v>
      </c>
      <c r="N428">
        <v>2.81</v>
      </c>
      <c r="O428">
        <v>4.24</v>
      </c>
      <c r="P428">
        <v>17.977599999999999</v>
      </c>
      <c r="Q428" t="str">
        <f>IFERROR(INDEX(Rosters!$C$2:$C$155,MATCH($B428,Rosters!$B$2:$B$155,0)),"NA")</f>
        <v>NA</v>
      </c>
      <c r="R428" t="str">
        <f t="shared" si="12"/>
        <v>NA10</v>
      </c>
      <c r="S428">
        <f>COUNTIFS(A$1:A428,A428)</f>
        <v>23</v>
      </c>
      <c r="T428" t="str">
        <f t="shared" si="13"/>
        <v>Stephen Hauschka10</v>
      </c>
      <c r="U428">
        <f>IF(OR(NOT(ISERROR(MATCH(T428,Finals!$K$2:$K$1801,0))),AND(A428&gt;Week,Q428&lt;&gt;"NA")),"",A428)</f>
        <v>10</v>
      </c>
      <c r="V428" t="str">
        <f>IF(U428&lt;&gt;"",U428&amp;"-"&amp;COUNTIF(U$1:U428,U428),"")</f>
        <v>10-16</v>
      </c>
    </row>
    <row r="429" spans="1:22" x14ac:dyDescent="0.25">
      <c r="A429">
        <v>9</v>
      </c>
      <c r="B429" t="s">
        <v>1107</v>
      </c>
      <c r="C429" t="s">
        <v>5362</v>
      </c>
      <c r="D429">
        <v>1.52</v>
      </c>
      <c r="E429">
        <v>1.81</v>
      </c>
      <c r="F429">
        <v>1.46</v>
      </c>
      <c r="G429">
        <v>1.46</v>
      </c>
      <c r="H429">
        <v>7.01</v>
      </c>
      <c r="I429" t="s">
        <v>72</v>
      </c>
      <c r="J429">
        <v>0</v>
      </c>
      <c r="K429">
        <v>0.28999999999999998</v>
      </c>
      <c r="L429">
        <v>6.14</v>
      </c>
      <c r="M429">
        <v>11.46</v>
      </c>
      <c r="N429">
        <v>2.56</v>
      </c>
      <c r="O429">
        <v>4.45</v>
      </c>
      <c r="P429">
        <v>19.802499999999998</v>
      </c>
      <c r="Q429" t="str">
        <f>IFERROR(INDEX(Rosters!$C$2:$C$155,MATCH($B429,Rosters!$B$2:$B$155,0)),"NA")</f>
        <v>NA</v>
      </c>
      <c r="R429" t="str">
        <f t="shared" si="12"/>
        <v>NA9</v>
      </c>
      <c r="S429">
        <f>COUNTIFS(A$1:A429,A429)</f>
        <v>24</v>
      </c>
      <c r="T429" t="str">
        <f t="shared" si="13"/>
        <v>Stephen Hauschka9</v>
      </c>
      <c r="U429">
        <f>IF(OR(NOT(ISERROR(MATCH(T429,Finals!$K$2:$K$1801,0))),AND(A429&gt;Week,Q429&lt;&gt;"NA")),"",A429)</f>
        <v>9</v>
      </c>
      <c r="V429" t="str">
        <f>IF(U429&lt;&gt;"",U429&amp;"-"&amp;COUNTIF(U$1:U429,U429),"")</f>
        <v>9-16</v>
      </c>
    </row>
    <row r="430" spans="1:22" x14ac:dyDescent="0.25">
      <c r="A430">
        <v>5</v>
      </c>
      <c r="B430" t="s">
        <v>465</v>
      </c>
      <c r="C430" t="s">
        <v>9103</v>
      </c>
      <c r="D430">
        <v>1.52</v>
      </c>
      <c r="E430">
        <v>1.89</v>
      </c>
      <c r="F430">
        <v>1.73</v>
      </c>
      <c r="G430">
        <v>1.79</v>
      </c>
      <c r="H430">
        <v>7.3</v>
      </c>
      <c r="I430" t="s">
        <v>73</v>
      </c>
      <c r="J430">
        <v>6.0000000000000102E-2</v>
      </c>
      <c r="K430">
        <v>0.37</v>
      </c>
      <c r="L430">
        <v>6.13</v>
      </c>
      <c r="M430">
        <v>11.63</v>
      </c>
      <c r="N430">
        <v>2.97</v>
      </c>
      <c r="O430">
        <v>4.33</v>
      </c>
      <c r="P430">
        <v>18.748899999999999</v>
      </c>
      <c r="Q430" t="str">
        <f>IFERROR(INDEX(Rosters!$C$2:$C$155,MATCH($B430,Rosters!$B$2:$B$155,0)),"NA")</f>
        <v>NA</v>
      </c>
      <c r="R430" t="str">
        <f t="shared" si="12"/>
        <v>NA5</v>
      </c>
      <c r="S430">
        <f>COUNTIFS(A$1:A430,A430)</f>
        <v>25</v>
      </c>
      <c r="T430" t="str">
        <f t="shared" si="13"/>
        <v>Brandon McManus5</v>
      </c>
      <c r="U430">
        <f>IF(OR(NOT(ISERROR(MATCH(T430,Finals!$K$2:$K$1801,0))),AND(A430&gt;Week,Q430&lt;&gt;"NA")),"",A430)</f>
        <v>5</v>
      </c>
      <c r="V430" t="str">
        <f>IF(U430&lt;&gt;"",U430&amp;"-"&amp;COUNTIF(U$1:U430,U430),"")</f>
        <v>5-15</v>
      </c>
    </row>
    <row r="431" spans="1:22" x14ac:dyDescent="0.25">
      <c r="A431">
        <v>2</v>
      </c>
      <c r="B431" t="s">
        <v>460</v>
      </c>
      <c r="C431" t="s">
        <v>3597</v>
      </c>
      <c r="D431">
        <v>1.53</v>
      </c>
      <c r="E431">
        <v>2.04</v>
      </c>
      <c r="F431">
        <v>2.4900000000000002</v>
      </c>
      <c r="G431">
        <v>2.4900000000000002</v>
      </c>
      <c r="H431">
        <v>7.63</v>
      </c>
      <c r="I431" t="s">
        <v>19</v>
      </c>
      <c r="J431">
        <v>0</v>
      </c>
      <c r="K431">
        <v>0.51</v>
      </c>
      <c r="L431">
        <v>6.1</v>
      </c>
      <c r="M431">
        <v>11.92</v>
      </c>
      <c r="N431">
        <v>3.34</v>
      </c>
      <c r="O431">
        <v>4.29</v>
      </c>
      <c r="P431">
        <v>18.4041</v>
      </c>
      <c r="Q431" t="str">
        <f>IFERROR(INDEX(Rosters!$C$2:$C$155,MATCH($B431,Rosters!$B$2:$B$155,0)),"NA")</f>
        <v>NA</v>
      </c>
      <c r="R431" t="str">
        <f t="shared" si="12"/>
        <v>NA2</v>
      </c>
      <c r="S431">
        <f>COUNTIFS(A$1:A431,A431)</f>
        <v>27</v>
      </c>
      <c r="T431" t="str">
        <f t="shared" si="13"/>
        <v>Jason Myers2</v>
      </c>
      <c r="U431">
        <f>IF(OR(NOT(ISERROR(MATCH(T431,Finals!$K$2:$K$1801,0))),AND(A431&gt;Week,Q431&lt;&gt;"NA")),"",A431)</f>
        <v>2</v>
      </c>
      <c r="V431" t="str">
        <f>IF(U431&lt;&gt;"",U431&amp;"-"&amp;COUNTIF(U$1:U431,U431),"")</f>
        <v>2-17</v>
      </c>
    </row>
    <row r="432" spans="1:22" x14ac:dyDescent="0.25">
      <c r="A432">
        <v>1</v>
      </c>
      <c r="B432" t="s">
        <v>1216</v>
      </c>
      <c r="C432" t="s">
        <v>1765</v>
      </c>
      <c r="D432">
        <v>1.55</v>
      </c>
      <c r="E432">
        <v>1.9</v>
      </c>
      <c r="F432">
        <v>1.9</v>
      </c>
      <c r="G432">
        <v>1.92</v>
      </c>
      <c r="H432">
        <v>7.17</v>
      </c>
      <c r="I432" t="s">
        <v>42</v>
      </c>
      <c r="J432">
        <v>0.02</v>
      </c>
      <c r="K432">
        <v>0.35</v>
      </c>
      <c r="L432">
        <v>6.1</v>
      </c>
      <c r="M432">
        <v>10.74</v>
      </c>
      <c r="N432">
        <v>3.6</v>
      </c>
      <c r="O432">
        <v>3.57</v>
      </c>
      <c r="P432">
        <v>12.744899999999999</v>
      </c>
      <c r="Q432" t="str">
        <f>IFERROR(INDEX(Rosters!$C$2:$C$155,MATCH($B432,Rosters!$B$2:$B$155,0)),"NA")</f>
        <v>NA</v>
      </c>
      <c r="R432" t="str">
        <f t="shared" si="12"/>
        <v>NA1</v>
      </c>
      <c r="S432">
        <f>COUNTIFS(A$1:A432,A432)</f>
        <v>26</v>
      </c>
      <c r="T432" t="str">
        <f t="shared" si="13"/>
        <v>Sebastian Janikowski1</v>
      </c>
      <c r="U432">
        <f>IF(OR(NOT(ISERROR(MATCH(T432,Finals!$K$2:$K$1801,0))),AND(A432&gt;Week,Q432&lt;&gt;"NA")),"",A432)</f>
        <v>1</v>
      </c>
      <c r="V432" t="str">
        <f>IF(U432&lt;&gt;"",U432&amp;"-"&amp;COUNTIF(U$1:U432,U432),"")</f>
        <v>1-16</v>
      </c>
    </row>
    <row r="433" spans="1:22" x14ac:dyDescent="0.25">
      <c r="A433">
        <v>14</v>
      </c>
      <c r="B433" t="s">
        <v>4169</v>
      </c>
      <c r="C433" t="s">
        <v>5363</v>
      </c>
      <c r="D433">
        <v>1.75</v>
      </c>
      <c r="E433">
        <v>2.0699999999999998</v>
      </c>
      <c r="F433">
        <v>1.21</v>
      </c>
      <c r="G433">
        <v>1.23</v>
      </c>
      <c r="H433">
        <v>7.07</v>
      </c>
      <c r="I433" t="s">
        <v>74</v>
      </c>
      <c r="J433">
        <v>0.02</v>
      </c>
      <c r="K433">
        <v>0.32</v>
      </c>
      <c r="L433">
        <v>6.09</v>
      </c>
      <c r="M433">
        <v>11.42</v>
      </c>
      <c r="N433">
        <v>2.72</v>
      </c>
      <c r="O433">
        <v>4.3499999999999996</v>
      </c>
      <c r="P433">
        <v>18.922499999999999</v>
      </c>
      <c r="Q433" t="str">
        <f>IFERROR(INDEX(Rosters!$C$2:$C$155,MATCH($B433,Rosters!$B$2:$B$155,0)),"NA")</f>
        <v>NA</v>
      </c>
      <c r="R433" t="str">
        <f t="shared" si="12"/>
        <v>NA14</v>
      </c>
      <c r="S433">
        <f>COUNTIFS(A$1:A433,A433)</f>
        <v>30</v>
      </c>
      <c r="T433" t="str">
        <f t="shared" si="13"/>
        <v>Greg Joseph14</v>
      </c>
      <c r="U433">
        <f>IF(OR(NOT(ISERROR(MATCH(T433,Finals!$K$2:$K$1801,0))),AND(A433&gt;Week,Q433&lt;&gt;"NA")),"",A433)</f>
        <v>14</v>
      </c>
      <c r="V433" t="str">
        <f>IF(U433&lt;&gt;"",U433&amp;"-"&amp;COUNTIF(U$1:U433,U433),"")</f>
        <v>14-22</v>
      </c>
    </row>
    <row r="434" spans="1:22" x14ac:dyDescent="0.25">
      <c r="A434">
        <v>5</v>
      </c>
      <c r="B434" t="s">
        <v>4167</v>
      </c>
      <c r="C434" t="s">
        <v>9104</v>
      </c>
      <c r="D434">
        <v>1.44</v>
      </c>
      <c r="E434">
        <v>1.8</v>
      </c>
      <c r="F434">
        <v>1.92</v>
      </c>
      <c r="G434">
        <v>2.0099999999999998</v>
      </c>
      <c r="H434">
        <v>7.26</v>
      </c>
      <c r="I434" t="s">
        <v>31</v>
      </c>
      <c r="J434">
        <v>8.99999999999999E-2</v>
      </c>
      <c r="K434">
        <v>0.36</v>
      </c>
      <c r="L434">
        <v>6.09</v>
      </c>
      <c r="M434">
        <v>11.65</v>
      </c>
      <c r="N434">
        <v>2.87</v>
      </c>
      <c r="O434">
        <v>4.3899999999999997</v>
      </c>
      <c r="P434">
        <v>19.272099999999998</v>
      </c>
      <c r="Q434" t="str">
        <f>IFERROR(INDEX(Rosters!$C$2:$C$155,MATCH($B434,Rosters!$B$2:$B$155,0)),"NA")</f>
        <v>NA</v>
      </c>
      <c r="R434" t="str">
        <f t="shared" si="12"/>
        <v>NA5</v>
      </c>
      <c r="S434">
        <f>COUNTIFS(A$1:A434,A434)</f>
        <v>26</v>
      </c>
      <c r="T434" t="str">
        <f t="shared" si="13"/>
        <v>Jason Sanders5</v>
      </c>
      <c r="U434">
        <f>IF(OR(NOT(ISERROR(MATCH(T434,Finals!$K$2:$K$1801,0))),AND(A434&gt;Week,Q434&lt;&gt;"NA")),"",A434)</f>
        <v>5</v>
      </c>
      <c r="V434" t="str">
        <f>IF(U434&lt;&gt;"",U434&amp;"-"&amp;COUNTIF(U$1:U434,U434),"")</f>
        <v>5-16</v>
      </c>
    </row>
    <row r="435" spans="1:22" x14ac:dyDescent="0.25">
      <c r="A435">
        <v>5</v>
      </c>
      <c r="B435" t="s">
        <v>461</v>
      </c>
      <c r="C435" t="s">
        <v>9105</v>
      </c>
      <c r="D435">
        <v>1.46</v>
      </c>
      <c r="E435">
        <v>1.68</v>
      </c>
      <c r="F435">
        <v>1.44</v>
      </c>
      <c r="G435">
        <v>1.45</v>
      </c>
      <c r="H435">
        <v>6.74</v>
      </c>
      <c r="I435" t="s">
        <v>74</v>
      </c>
      <c r="J435">
        <v>0.01</v>
      </c>
      <c r="K435">
        <v>0.22</v>
      </c>
      <c r="L435">
        <v>6.07</v>
      </c>
      <c r="M435">
        <v>10.45</v>
      </c>
      <c r="N435">
        <v>3.03</v>
      </c>
      <c r="O435">
        <v>3.71</v>
      </c>
      <c r="P435">
        <v>13.764099999999999</v>
      </c>
      <c r="Q435" t="str">
        <f>IFERROR(INDEX(Rosters!$C$2:$C$155,MATCH($B435,Rosters!$B$2:$B$155,0)),"NA")</f>
        <v>NA</v>
      </c>
      <c r="R435" t="str">
        <f t="shared" si="12"/>
        <v>NA5</v>
      </c>
      <c r="S435">
        <f>COUNTIFS(A$1:A435,A435)</f>
        <v>27</v>
      </c>
      <c r="T435" t="str">
        <f t="shared" si="13"/>
        <v>Aldrick Rosas5</v>
      </c>
      <c r="U435">
        <f>IF(OR(NOT(ISERROR(MATCH(T435,Finals!$K$2:$K$1801,0))),AND(A435&gt;Week,Q435&lt;&gt;"NA")),"",A435)</f>
        <v>5</v>
      </c>
      <c r="V435" t="str">
        <f>IF(U435&lt;&gt;"",U435&amp;"-"&amp;COUNTIF(U$1:U435,U435),"")</f>
        <v>5-17</v>
      </c>
    </row>
    <row r="436" spans="1:22" x14ac:dyDescent="0.25">
      <c r="A436">
        <v>15</v>
      </c>
      <c r="B436" t="s">
        <v>457</v>
      </c>
      <c r="C436" t="s">
        <v>5364</v>
      </c>
      <c r="D436">
        <v>1.28</v>
      </c>
      <c r="E436">
        <v>1.48</v>
      </c>
      <c r="F436">
        <v>2.39</v>
      </c>
      <c r="G436">
        <v>2.4500000000000002</v>
      </c>
      <c r="H436">
        <v>6.72</v>
      </c>
      <c r="I436" t="s">
        <v>77</v>
      </c>
      <c r="J436">
        <v>6.0000000000000102E-2</v>
      </c>
      <c r="K436">
        <v>0.2</v>
      </c>
      <c r="L436">
        <v>6.06</v>
      </c>
      <c r="M436">
        <v>10.37</v>
      </c>
      <c r="N436">
        <v>3.07</v>
      </c>
      <c r="O436">
        <v>3.65</v>
      </c>
      <c r="P436">
        <v>13.3225</v>
      </c>
      <c r="Q436" t="str">
        <f>IFERROR(INDEX(Rosters!$C$2:$C$155,MATCH($B436,Rosters!$B$2:$B$155,0)),"NA")</f>
        <v>NA</v>
      </c>
      <c r="R436" t="str">
        <f t="shared" si="12"/>
        <v>NA15</v>
      </c>
      <c r="S436">
        <f>COUNTIFS(A$1:A436,A436)</f>
        <v>27</v>
      </c>
      <c r="T436" t="str">
        <f t="shared" si="13"/>
        <v>Chandler Catanzaro15</v>
      </c>
      <c r="U436">
        <f>IF(OR(NOT(ISERROR(MATCH(T436,Finals!$K$2:$K$1801,0))),AND(A436&gt;Week,Q436&lt;&gt;"NA")),"",A436)</f>
        <v>15</v>
      </c>
      <c r="V436" t="str">
        <f>IF(U436&lt;&gt;"",U436&amp;"-"&amp;COUNTIF(U$1:U436,U436),"")</f>
        <v>15-20</v>
      </c>
    </row>
    <row r="437" spans="1:22" x14ac:dyDescent="0.25">
      <c r="A437">
        <v>16</v>
      </c>
      <c r="B437" t="s">
        <v>5064</v>
      </c>
      <c r="C437" t="s">
        <v>5365</v>
      </c>
      <c r="D437">
        <v>1.38</v>
      </c>
      <c r="E437">
        <v>1.73</v>
      </c>
      <c r="F437">
        <v>2.5099999999999998</v>
      </c>
      <c r="G437">
        <v>2.5299999999999998</v>
      </c>
      <c r="H437">
        <v>7.12</v>
      </c>
      <c r="I437" t="s">
        <v>42</v>
      </c>
      <c r="J437">
        <v>0.02</v>
      </c>
      <c r="K437">
        <v>0.35</v>
      </c>
      <c r="L437">
        <v>6.05</v>
      </c>
      <c r="M437">
        <v>10.73</v>
      </c>
      <c r="N437">
        <v>3.51</v>
      </c>
      <c r="O437">
        <v>3.61</v>
      </c>
      <c r="P437">
        <v>13.0321</v>
      </c>
      <c r="Q437" t="str">
        <f>IFERROR(INDEX(Rosters!$C$2:$C$155,MATCH($B437,Rosters!$B$2:$B$155,0)),"NA")</f>
        <v>NA</v>
      </c>
      <c r="R437" t="str">
        <f t="shared" si="12"/>
        <v>NA16</v>
      </c>
      <c r="S437">
        <f>COUNTIFS(A$1:A437,A437)</f>
        <v>29</v>
      </c>
      <c r="T437" t="str">
        <f t="shared" si="13"/>
        <v>Matt McCrane16</v>
      </c>
      <c r="U437">
        <f>IF(OR(NOT(ISERROR(MATCH(T437,Finals!$K$2:$K$1801,0))),AND(A437&gt;Week,Q437&lt;&gt;"NA")),"",A437)</f>
        <v>16</v>
      </c>
      <c r="V437" t="str">
        <f>IF(U437&lt;&gt;"",U437&amp;"-"&amp;COUNTIF(U$1:U437,U437),"")</f>
        <v>16-20</v>
      </c>
    </row>
    <row r="438" spans="1:22" x14ac:dyDescent="0.25">
      <c r="A438">
        <v>5</v>
      </c>
      <c r="B438" t="s">
        <v>1216</v>
      </c>
      <c r="C438" t="s">
        <v>9106</v>
      </c>
      <c r="D438">
        <v>1.46</v>
      </c>
      <c r="E438">
        <v>1.77</v>
      </c>
      <c r="F438">
        <v>2.13</v>
      </c>
      <c r="G438">
        <v>2.2000000000000002</v>
      </c>
      <c r="H438">
        <v>7.05</v>
      </c>
      <c r="I438" t="s">
        <v>56</v>
      </c>
      <c r="J438">
        <v>7.0000000000000298E-2</v>
      </c>
      <c r="K438">
        <v>0.31</v>
      </c>
      <c r="L438">
        <v>6.05</v>
      </c>
      <c r="M438">
        <v>11.32</v>
      </c>
      <c r="N438">
        <v>2.78</v>
      </c>
      <c r="O438">
        <v>4.2699999999999996</v>
      </c>
      <c r="P438">
        <v>18.232900000000001</v>
      </c>
      <c r="Q438" t="str">
        <f>IFERROR(INDEX(Rosters!$C$2:$C$155,MATCH($B438,Rosters!$B$2:$B$155,0)),"NA")</f>
        <v>NA</v>
      </c>
      <c r="R438" t="str">
        <f t="shared" si="12"/>
        <v>NA5</v>
      </c>
      <c r="S438">
        <f>COUNTIFS(A$1:A438,A438)</f>
        <v>28</v>
      </c>
      <c r="T438" t="str">
        <f t="shared" si="13"/>
        <v>Sebastian Janikowski5</v>
      </c>
      <c r="U438">
        <f>IF(OR(NOT(ISERROR(MATCH(T438,Finals!$K$2:$K$1801,0))),AND(A438&gt;Week,Q438&lt;&gt;"NA")),"",A438)</f>
        <v>5</v>
      </c>
      <c r="V438" t="str">
        <f>IF(U438&lt;&gt;"",U438&amp;"-"&amp;COUNTIF(U$1:U438,U438),"")</f>
        <v>5-18</v>
      </c>
    </row>
    <row r="439" spans="1:22" x14ac:dyDescent="0.25">
      <c r="A439">
        <v>11</v>
      </c>
      <c r="B439" t="s">
        <v>444</v>
      </c>
      <c r="C439" t="s">
        <v>5366</v>
      </c>
      <c r="D439">
        <v>1.46</v>
      </c>
      <c r="E439">
        <v>1.78</v>
      </c>
      <c r="F439">
        <v>2.16</v>
      </c>
      <c r="G439">
        <v>2.1800000000000002</v>
      </c>
      <c r="H439">
        <v>7.02</v>
      </c>
      <c r="I439" t="s">
        <v>28</v>
      </c>
      <c r="J439">
        <v>0.02</v>
      </c>
      <c r="K439">
        <v>0.32</v>
      </c>
      <c r="L439">
        <v>6.04</v>
      </c>
      <c r="M439">
        <v>11.14</v>
      </c>
      <c r="N439">
        <v>2.9</v>
      </c>
      <c r="O439">
        <v>4.12</v>
      </c>
      <c r="P439">
        <v>16.974399999999999</v>
      </c>
      <c r="Q439" t="str">
        <f>IFERROR(INDEX(Rosters!$C$2:$C$155,MATCH($B439,Rosters!$B$2:$B$155,0)),"NA")</f>
        <v>perry</v>
      </c>
      <c r="R439" t="str">
        <f t="shared" si="12"/>
        <v>perry11</v>
      </c>
      <c r="S439">
        <f>COUNTIFS(A$1:A439,A439)</f>
        <v>22</v>
      </c>
      <c r="T439" t="str">
        <f t="shared" si="13"/>
        <v>Mason Crosby11</v>
      </c>
      <c r="U439" t="str">
        <f>IF(OR(NOT(ISERROR(MATCH(T439,Finals!$K$2:$K$1801,0))),AND(A439&gt;Week,Q439&lt;&gt;"NA")),"",A439)</f>
        <v/>
      </c>
      <c r="V439" t="str">
        <f>IF(U439&lt;&gt;"",U439&amp;"-"&amp;COUNTIF(U$1:U439,U439),"")</f>
        <v/>
      </c>
    </row>
    <row r="440" spans="1:22" x14ac:dyDescent="0.25">
      <c r="A440">
        <v>15</v>
      </c>
      <c r="B440" t="s">
        <v>463</v>
      </c>
      <c r="C440" t="s">
        <v>5367</v>
      </c>
      <c r="D440">
        <v>1.63</v>
      </c>
      <c r="E440">
        <v>2.06</v>
      </c>
      <c r="F440">
        <v>1.83</v>
      </c>
      <c r="G440">
        <v>1.99</v>
      </c>
      <c r="H440">
        <v>7.49</v>
      </c>
      <c r="I440" t="s">
        <v>46</v>
      </c>
      <c r="J440">
        <v>0.16</v>
      </c>
      <c r="K440">
        <v>0.43</v>
      </c>
      <c r="L440">
        <v>6.04</v>
      </c>
      <c r="M440">
        <v>11.14</v>
      </c>
      <c r="N440">
        <v>3.84</v>
      </c>
      <c r="O440">
        <v>3.65</v>
      </c>
      <c r="P440">
        <v>13.3225</v>
      </c>
      <c r="Q440" t="str">
        <f>IFERROR(INDEX(Rosters!$C$2:$C$155,MATCH($B440,Rosters!$B$2:$B$155,0)),"NA")</f>
        <v>NA</v>
      </c>
      <c r="R440" t="str">
        <f t="shared" si="12"/>
        <v>NA15</v>
      </c>
      <c r="S440">
        <f>COUNTIFS(A$1:A440,A440)</f>
        <v>28</v>
      </c>
      <c r="T440" t="str">
        <f t="shared" si="13"/>
        <v>Phil Dawson15</v>
      </c>
      <c r="U440">
        <f>IF(OR(NOT(ISERROR(MATCH(T440,Finals!$K$2:$K$1801,0))),AND(A440&gt;Week,Q440&lt;&gt;"NA")),"",A440)</f>
        <v>15</v>
      </c>
      <c r="V440" t="str">
        <f>IF(U440&lt;&gt;"",U440&amp;"-"&amp;COUNTIF(U$1:U440,U440),"")</f>
        <v>15-21</v>
      </c>
    </row>
    <row r="441" spans="1:22" x14ac:dyDescent="0.25">
      <c r="A441">
        <v>1</v>
      </c>
      <c r="B441" t="s">
        <v>460</v>
      </c>
      <c r="C441" t="s">
        <v>3180</v>
      </c>
      <c r="D441">
        <v>1.51</v>
      </c>
      <c r="E441">
        <v>1.96</v>
      </c>
      <c r="F441">
        <v>2.2599999999999998</v>
      </c>
      <c r="G441">
        <v>2.2799999999999998</v>
      </c>
      <c r="H441">
        <v>7.4</v>
      </c>
      <c r="I441" t="s">
        <v>34</v>
      </c>
      <c r="J441">
        <v>0.02</v>
      </c>
      <c r="K441">
        <v>0.45</v>
      </c>
      <c r="L441">
        <v>6.03</v>
      </c>
      <c r="M441">
        <v>11.68</v>
      </c>
      <c r="N441">
        <v>3.12</v>
      </c>
      <c r="O441">
        <v>4.28</v>
      </c>
      <c r="P441">
        <v>18.3184</v>
      </c>
      <c r="Q441" t="str">
        <f>IFERROR(INDEX(Rosters!$C$2:$C$155,MATCH($B441,Rosters!$B$2:$B$155,0)),"NA")</f>
        <v>NA</v>
      </c>
      <c r="R441" t="str">
        <f t="shared" si="12"/>
        <v>NA1</v>
      </c>
      <c r="S441">
        <f>COUNTIFS(A$1:A441,A441)</f>
        <v>27</v>
      </c>
      <c r="T441" t="str">
        <f t="shared" si="13"/>
        <v>Jason Myers1</v>
      </c>
      <c r="U441">
        <f>IF(OR(NOT(ISERROR(MATCH(T441,Finals!$K$2:$K$1801,0))),AND(A441&gt;Week,Q441&lt;&gt;"NA")),"",A441)</f>
        <v>1</v>
      </c>
      <c r="V441" t="str">
        <f>IF(U441&lt;&gt;"",U441&amp;"-"&amp;COUNTIF(U$1:U441,U441),"")</f>
        <v>1-17</v>
      </c>
    </row>
    <row r="442" spans="1:22" x14ac:dyDescent="0.25">
      <c r="A442">
        <v>10</v>
      </c>
      <c r="B442" t="s">
        <v>461</v>
      </c>
      <c r="C442" t="s">
        <v>5368</v>
      </c>
      <c r="D442">
        <v>1.52</v>
      </c>
      <c r="E442">
        <v>1.95</v>
      </c>
      <c r="F442">
        <v>2.04</v>
      </c>
      <c r="G442">
        <v>2.0499999999999998</v>
      </c>
      <c r="H442">
        <v>7.31</v>
      </c>
      <c r="I442" t="s">
        <v>30</v>
      </c>
      <c r="J442">
        <v>9.9999999999997903E-3</v>
      </c>
      <c r="K442">
        <v>0.43</v>
      </c>
      <c r="L442">
        <v>6.01</v>
      </c>
      <c r="M442">
        <v>11.16</v>
      </c>
      <c r="N442">
        <v>3.46</v>
      </c>
      <c r="O442">
        <v>3.85</v>
      </c>
      <c r="P442">
        <v>14.8225</v>
      </c>
      <c r="Q442" t="str">
        <f>IFERROR(INDEX(Rosters!$C$2:$C$155,MATCH($B442,Rosters!$B$2:$B$155,0)),"NA")</f>
        <v>NA</v>
      </c>
      <c r="R442" t="str">
        <f t="shared" si="12"/>
        <v>NA10</v>
      </c>
      <c r="S442">
        <f>COUNTIFS(A$1:A442,A442)</f>
        <v>24</v>
      </c>
      <c r="T442" t="str">
        <f t="shared" si="13"/>
        <v>Aldrick Rosas10</v>
      </c>
      <c r="U442">
        <f>IF(OR(NOT(ISERROR(MATCH(T442,Finals!$K$2:$K$1801,0))),AND(A442&gt;Week,Q442&lt;&gt;"NA")),"",A442)</f>
        <v>10</v>
      </c>
      <c r="V442" t="str">
        <f>IF(U442&lt;&gt;"",U442&amp;"-"&amp;COUNTIF(U$1:U442,U442),"")</f>
        <v>10-17</v>
      </c>
    </row>
    <row r="443" spans="1:22" x14ac:dyDescent="0.25">
      <c r="A443">
        <v>3</v>
      </c>
      <c r="B443" t="s">
        <v>1107</v>
      </c>
      <c r="C443" t="s">
        <v>4174</v>
      </c>
      <c r="D443">
        <v>1.46</v>
      </c>
      <c r="E443">
        <v>1.76</v>
      </c>
      <c r="F443">
        <v>1.64</v>
      </c>
      <c r="G443">
        <v>1.64</v>
      </c>
      <c r="H443">
        <v>6.9</v>
      </c>
      <c r="I443" t="s">
        <v>25</v>
      </c>
      <c r="J443">
        <v>0</v>
      </c>
      <c r="K443">
        <v>0.3</v>
      </c>
      <c r="L443">
        <v>6</v>
      </c>
      <c r="M443">
        <v>11.15</v>
      </c>
      <c r="N443">
        <v>2.65</v>
      </c>
      <c r="O443">
        <v>4.25</v>
      </c>
      <c r="P443">
        <v>18.0625</v>
      </c>
      <c r="Q443" t="str">
        <f>IFERROR(INDEX(Rosters!$C$2:$C$155,MATCH($B443,Rosters!$B$2:$B$155,0)),"NA")</f>
        <v>NA</v>
      </c>
      <c r="R443" t="str">
        <f t="shared" si="12"/>
        <v>NA3</v>
      </c>
      <c r="S443">
        <f>COUNTIFS(A$1:A443,A443)</f>
        <v>26</v>
      </c>
      <c r="T443" t="str">
        <f t="shared" si="13"/>
        <v>Stephen Hauschka3</v>
      </c>
      <c r="U443">
        <f>IF(OR(NOT(ISERROR(MATCH(T443,Finals!$K$2:$K$1801,0))),AND(A443&gt;Week,Q443&lt;&gt;"NA")),"",A443)</f>
        <v>3</v>
      </c>
      <c r="V443" t="str">
        <f>IF(U443&lt;&gt;"",U443&amp;"-"&amp;COUNTIF(U$1:U443,U443),"")</f>
        <v>3-17</v>
      </c>
    </row>
    <row r="444" spans="1:22" x14ac:dyDescent="0.25">
      <c r="A444">
        <v>11</v>
      </c>
      <c r="B444" t="s">
        <v>454</v>
      </c>
      <c r="C444" t="s">
        <v>5369</v>
      </c>
      <c r="D444">
        <v>1.6</v>
      </c>
      <c r="E444">
        <v>1.95</v>
      </c>
      <c r="F444">
        <v>1.77</v>
      </c>
      <c r="G444">
        <v>1.79</v>
      </c>
      <c r="H444">
        <v>7.06</v>
      </c>
      <c r="I444" t="s">
        <v>77</v>
      </c>
      <c r="J444">
        <v>0.02</v>
      </c>
      <c r="K444">
        <v>0.35</v>
      </c>
      <c r="L444">
        <v>5.99</v>
      </c>
      <c r="M444">
        <v>10.53</v>
      </c>
      <c r="N444">
        <v>3.59</v>
      </c>
      <c r="O444">
        <v>3.47</v>
      </c>
      <c r="P444">
        <v>12.040900000000001</v>
      </c>
      <c r="Q444" t="str">
        <f>IFERROR(INDEX(Rosters!$C$2:$C$155,MATCH($B444,Rosters!$B$2:$B$155,0)),"NA")</f>
        <v>NA</v>
      </c>
      <c r="R444" t="str">
        <f t="shared" si="12"/>
        <v>NA11</v>
      </c>
      <c r="S444">
        <f>COUNTIFS(A$1:A444,A444)</f>
        <v>23</v>
      </c>
      <c r="T444" t="str">
        <f t="shared" si="13"/>
        <v>Randy Bullock11</v>
      </c>
      <c r="U444">
        <f>IF(OR(NOT(ISERROR(MATCH(T444,Finals!$K$2:$K$1801,0))),AND(A444&gt;Week,Q444&lt;&gt;"NA")),"",A444)</f>
        <v>11</v>
      </c>
      <c r="V444" t="str">
        <f>IF(U444&lt;&gt;"",U444&amp;"-"&amp;COUNTIF(U$1:U444,U444),"")</f>
        <v>11-17</v>
      </c>
    </row>
    <row r="445" spans="1:22" x14ac:dyDescent="0.25">
      <c r="A445">
        <v>7</v>
      </c>
      <c r="B445" t="s">
        <v>999</v>
      </c>
      <c r="C445" t="s">
        <v>5370</v>
      </c>
      <c r="D445">
        <v>1.48</v>
      </c>
      <c r="E445">
        <v>1.83</v>
      </c>
      <c r="F445">
        <v>1.91</v>
      </c>
      <c r="G445">
        <v>1.97</v>
      </c>
      <c r="H445">
        <v>7.1</v>
      </c>
      <c r="I445" t="s">
        <v>76</v>
      </c>
      <c r="J445">
        <v>6.0000000000000102E-2</v>
      </c>
      <c r="K445">
        <v>0.35</v>
      </c>
      <c r="L445">
        <v>5.99</v>
      </c>
      <c r="M445">
        <v>10.37</v>
      </c>
      <c r="N445">
        <v>3.83</v>
      </c>
      <c r="O445">
        <v>3.27</v>
      </c>
      <c r="P445">
        <v>10.6929</v>
      </c>
      <c r="Q445" t="str">
        <f>IFERROR(INDEX(Rosters!$C$2:$C$155,MATCH($B445,Rosters!$B$2:$B$155,0)),"NA")</f>
        <v>NA</v>
      </c>
      <c r="R445" t="str">
        <f t="shared" si="12"/>
        <v>NA7</v>
      </c>
      <c r="S445">
        <f>COUNTIFS(A$1:A445,A445)</f>
        <v>21</v>
      </c>
      <c r="T445" t="str">
        <f t="shared" si="13"/>
        <v>Ka'imi Fairbairn7</v>
      </c>
      <c r="U445">
        <f>IF(OR(NOT(ISERROR(MATCH(T445,Finals!$K$2:$K$1801,0))),AND(A445&gt;Week,Q445&lt;&gt;"NA")),"",A445)</f>
        <v>7</v>
      </c>
      <c r="V445" t="str">
        <f>IF(U445&lt;&gt;"",U445&amp;"-"&amp;COUNTIF(U$1:U445,U445),"")</f>
        <v>7-14</v>
      </c>
    </row>
    <row r="446" spans="1:22" x14ac:dyDescent="0.25">
      <c r="A446">
        <v>7</v>
      </c>
      <c r="B446" t="s">
        <v>450</v>
      </c>
      <c r="C446" t="s">
        <v>5371</v>
      </c>
      <c r="D446">
        <v>1.34</v>
      </c>
      <c r="E446">
        <v>1.59</v>
      </c>
      <c r="F446">
        <v>2.25</v>
      </c>
      <c r="G446">
        <v>2.27</v>
      </c>
      <c r="H446">
        <v>6.75</v>
      </c>
      <c r="I446" t="s">
        <v>19</v>
      </c>
      <c r="J446">
        <v>0.02</v>
      </c>
      <c r="K446">
        <v>0.25</v>
      </c>
      <c r="L446">
        <v>5.98</v>
      </c>
      <c r="M446">
        <v>10.38</v>
      </c>
      <c r="N446">
        <v>3.12</v>
      </c>
      <c r="O446">
        <v>3.63</v>
      </c>
      <c r="P446">
        <v>13.1769</v>
      </c>
      <c r="Q446" t="str">
        <f>IFERROR(INDEX(Rosters!$C$2:$C$155,MATCH($B446,Rosters!$B$2:$B$155,0)),"NA")</f>
        <v>devon</v>
      </c>
      <c r="R446" t="str">
        <f t="shared" si="12"/>
        <v>devon7</v>
      </c>
      <c r="S446">
        <f>COUNTIFS(A$1:A446,A446)</f>
        <v>22</v>
      </c>
      <c r="T446" t="str">
        <f t="shared" si="13"/>
        <v>Matt Prater7</v>
      </c>
      <c r="U446" t="str">
        <f>IF(OR(NOT(ISERROR(MATCH(T446,Finals!$K$2:$K$1801,0))),AND(A446&gt;Week,Q446&lt;&gt;"NA")),"",A446)</f>
        <v/>
      </c>
      <c r="V446" t="str">
        <f>IF(U446&lt;&gt;"",U446&amp;"-"&amp;COUNTIF(U$1:U446,U446),"")</f>
        <v/>
      </c>
    </row>
    <row r="447" spans="1:22" x14ac:dyDescent="0.25">
      <c r="A447">
        <v>8</v>
      </c>
      <c r="B447" t="s">
        <v>450</v>
      </c>
      <c r="C447" t="s">
        <v>5372</v>
      </c>
      <c r="D447">
        <v>1.42</v>
      </c>
      <c r="E447">
        <v>1.79</v>
      </c>
      <c r="F447">
        <v>2.2200000000000002</v>
      </c>
      <c r="G447">
        <v>2.2200000000000002</v>
      </c>
      <c r="H447">
        <v>7.09</v>
      </c>
      <c r="I447" t="s">
        <v>28</v>
      </c>
      <c r="J447">
        <v>0</v>
      </c>
      <c r="K447">
        <v>0.37</v>
      </c>
      <c r="L447">
        <v>5.98</v>
      </c>
      <c r="M447">
        <v>11.04</v>
      </c>
      <c r="N447">
        <v>3.14</v>
      </c>
      <c r="O447">
        <v>3.95</v>
      </c>
      <c r="P447">
        <v>15.602499999999999</v>
      </c>
      <c r="Q447" t="str">
        <f>IFERROR(INDEX(Rosters!$C$2:$C$155,MATCH($B447,Rosters!$B$2:$B$155,0)),"NA")</f>
        <v>devon</v>
      </c>
      <c r="R447" t="str">
        <f t="shared" si="12"/>
        <v>devon8</v>
      </c>
      <c r="S447">
        <f>COUNTIFS(A$1:A447,A447)</f>
        <v>22</v>
      </c>
      <c r="T447" t="str">
        <f t="shared" si="13"/>
        <v>Matt Prater8</v>
      </c>
      <c r="U447" t="str">
        <f>IF(OR(NOT(ISERROR(MATCH(T447,Finals!$K$2:$K$1801,0))),AND(A447&gt;Week,Q447&lt;&gt;"NA")),"",A447)</f>
        <v/>
      </c>
      <c r="V447" t="str">
        <f>IF(U447&lt;&gt;"",U447&amp;"-"&amp;COUNTIF(U$1:U447,U447),"")</f>
        <v/>
      </c>
    </row>
    <row r="448" spans="1:22" x14ac:dyDescent="0.25">
      <c r="A448">
        <v>10</v>
      </c>
      <c r="B448" t="s">
        <v>455</v>
      </c>
      <c r="C448" t="s">
        <v>5373</v>
      </c>
      <c r="D448">
        <v>1.27</v>
      </c>
      <c r="E448">
        <v>1.64</v>
      </c>
      <c r="F448">
        <v>2.76</v>
      </c>
      <c r="G448">
        <v>2.76</v>
      </c>
      <c r="H448">
        <v>7.04</v>
      </c>
      <c r="I448" t="s">
        <v>74</v>
      </c>
      <c r="J448">
        <v>0</v>
      </c>
      <c r="K448">
        <v>0.37</v>
      </c>
      <c r="L448">
        <v>5.93</v>
      </c>
      <c r="M448">
        <v>10.32</v>
      </c>
      <c r="N448">
        <v>3.76</v>
      </c>
      <c r="O448">
        <v>3.28</v>
      </c>
      <c r="P448">
        <v>10.7584</v>
      </c>
      <c r="Q448" t="str">
        <f>IFERROR(INDEX(Rosters!$C$2:$C$155,MATCH($B448,Rosters!$B$2:$B$155,0)),"NA")</f>
        <v>NA</v>
      </c>
      <c r="R448" t="str">
        <f t="shared" si="12"/>
        <v>NA10</v>
      </c>
      <c r="S448">
        <f>COUNTIFS(A$1:A448,A448)</f>
        <v>25</v>
      </c>
      <c r="T448" t="str">
        <f t="shared" si="13"/>
        <v>Chris Boswell10</v>
      </c>
      <c r="U448">
        <f>IF(OR(NOT(ISERROR(MATCH(T448,Finals!$K$2:$K$1801,0))),AND(A448&gt;Week,Q448&lt;&gt;"NA")),"",A448)</f>
        <v>10</v>
      </c>
      <c r="V448" t="str">
        <f>IF(U448&lt;&gt;"",U448&amp;"-"&amp;COUNTIF(U$1:U448,U448),"")</f>
        <v>10-18</v>
      </c>
    </row>
    <row r="449" spans="1:22" x14ac:dyDescent="0.25">
      <c r="A449">
        <v>15</v>
      </c>
      <c r="B449" t="s">
        <v>444</v>
      </c>
      <c r="C449" t="s">
        <v>5374</v>
      </c>
      <c r="D449">
        <v>1.48</v>
      </c>
      <c r="E449">
        <v>1.77</v>
      </c>
      <c r="F449">
        <v>1.87</v>
      </c>
      <c r="G449">
        <v>1.91</v>
      </c>
      <c r="H449">
        <v>6.84</v>
      </c>
      <c r="I449" t="s">
        <v>72</v>
      </c>
      <c r="J449">
        <v>3.99999999999998E-2</v>
      </c>
      <c r="K449">
        <v>0.28999999999999998</v>
      </c>
      <c r="L449">
        <v>5.93</v>
      </c>
      <c r="M449">
        <v>11.06</v>
      </c>
      <c r="N449">
        <v>2.62</v>
      </c>
      <c r="O449">
        <v>4.22</v>
      </c>
      <c r="P449">
        <v>17.808399999999999</v>
      </c>
      <c r="Q449" t="str">
        <f>IFERROR(INDEX(Rosters!$C$2:$C$155,MATCH($B449,Rosters!$B$2:$B$155,0)),"NA")</f>
        <v>perry</v>
      </c>
      <c r="R449" t="str">
        <f t="shared" si="12"/>
        <v>perry15</v>
      </c>
      <c r="S449">
        <f>COUNTIFS(A$1:A449,A449)</f>
        <v>29</v>
      </c>
      <c r="T449" t="str">
        <f t="shared" si="13"/>
        <v>Mason Crosby15</v>
      </c>
      <c r="U449" t="str">
        <f>IF(OR(NOT(ISERROR(MATCH(T449,Finals!$K$2:$K$1801,0))),AND(A449&gt;Week,Q449&lt;&gt;"NA")),"",A449)</f>
        <v/>
      </c>
      <c r="V449" t="str">
        <f>IF(U449&lt;&gt;"",U449&amp;"-"&amp;COUNTIF(U$1:U449,U449),"")</f>
        <v/>
      </c>
    </row>
    <row r="450" spans="1:22" x14ac:dyDescent="0.25">
      <c r="A450">
        <v>1</v>
      </c>
      <c r="B450" t="s">
        <v>1120</v>
      </c>
      <c r="C450" t="s">
        <v>1766</v>
      </c>
      <c r="D450">
        <v>1.59</v>
      </c>
      <c r="E450">
        <v>2.17</v>
      </c>
      <c r="F450">
        <v>2.46</v>
      </c>
      <c r="G450">
        <v>2.5099999999999998</v>
      </c>
      <c r="H450">
        <v>7.69</v>
      </c>
      <c r="I450" t="s">
        <v>58</v>
      </c>
      <c r="J450">
        <v>4.9999999999999802E-2</v>
      </c>
      <c r="K450">
        <v>0.57999999999999996</v>
      </c>
      <c r="L450">
        <v>5.9</v>
      </c>
      <c r="M450">
        <v>11.93</v>
      </c>
      <c r="N450">
        <v>3.45</v>
      </c>
      <c r="O450">
        <v>4.24</v>
      </c>
      <c r="P450">
        <v>17.977599999999999</v>
      </c>
      <c r="Q450" t="str">
        <f>IFERROR(INDEX(Rosters!$C$2:$C$155,MATCH($B450,Rosters!$B$2:$B$155,0)),"NA")</f>
        <v>NA</v>
      </c>
      <c r="R450" t="str">
        <f t="shared" si="12"/>
        <v>NA1</v>
      </c>
      <c r="S450">
        <f>COUNTIFS(A$1:A450,A450)</f>
        <v>28</v>
      </c>
      <c r="T450" t="str">
        <f t="shared" si="13"/>
        <v>Dustin Hopkins1</v>
      </c>
      <c r="U450">
        <f>IF(OR(NOT(ISERROR(MATCH(T450,Finals!$K$2:$K$1801,0))),AND(A450&gt;Week,Q450&lt;&gt;"NA")),"",A450)</f>
        <v>1</v>
      </c>
      <c r="V450" t="str">
        <f>IF(U450&lt;&gt;"",U450&amp;"-"&amp;COUNTIF(U$1:U450,U450),"")</f>
        <v>1-18</v>
      </c>
    </row>
    <row r="451" spans="1:22" x14ac:dyDescent="0.25">
      <c r="A451">
        <v>9</v>
      </c>
      <c r="B451" t="s">
        <v>4169</v>
      </c>
      <c r="C451" t="s">
        <v>5375</v>
      </c>
      <c r="D451">
        <v>1.37</v>
      </c>
      <c r="E451">
        <v>1.7</v>
      </c>
      <c r="F451">
        <v>2.2200000000000002</v>
      </c>
      <c r="G451">
        <v>2.2400000000000002</v>
      </c>
      <c r="H451">
        <v>6.9</v>
      </c>
      <c r="I451" t="s">
        <v>24</v>
      </c>
      <c r="J451">
        <v>0.02</v>
      </c>
      <c r="K451">
        <v>0.33</v>
      </c>
      <c r="L451">
        <v>5.89</v>
      </c>
      <c r="M451">
        <v>11.18</v>
      </c>
      <c r="N451">
        <v>2.62</v>
      </c>
      <c r="O451">
        <v>4.28</v>
      </c>
      <c r="P451">
        <v>18.3184</v>
      </c>
      <c r="Q451" t="str">
        <f>IFERROR(INDEX(Rosters!$C$2:$C$155,MATCH($B451,Rosters!$B$2:$B$155,0)),"NA")</f>
        <v>NA</v>
      </c>
      <c r="R451" t="str">
        <f t="shared" ref="R451:R508" si="14">Q451&amp;A451</f>
        <v>NA9</v>
      </c>
      <c r="S451">
        <f>COUNTIFS(A$1:A451,A451)</f>
        <v>25</v>
      </c>
      <c r="T451" t="str">
        <f t="shared" ref="T451:T508" si="15">B451&amp;A451</f>
        <v>Greg Joseph9</v>
      </c>
      <c r="U451">
        <f>IF(OR(NOT(ISERROR(MATCH(T451,Finals!$K$2:$K$1801,0))),AND(A451&gt;Week,Q451&lt;&gt;"NA")),"",A451)</f>
        <v>9</v>
      </c>
      <c r="V451" t="str">
        <f>IF(U451&lt;&gt;"",U451&amp;"-"&amp;COUNTIF(U$1:U451,U451),"")</f>
        <v>9-17</v>
      </c>
    </row>
    <row r="452" spans="1:22" x14ac:dyDescent="0.25">
      <c r="A452">
        <v>2</v>
      </c>
      <c r="B452" t="s">
        <v>463</v>
      </c>
      <c r="C452" t="s">
        <v>3598</v>
      </c>
      <c r="D452">
        <v>1.45</v>
      </c>
      <c r="E452">
        <v>1.72</v>
      </c>
      <c r="F452">
        <v>1.72</v>
      </c>
      <c r="G452">
        <v>1.74</v>
      </c>
      <c r="H452">
        <v>6.71</v>
      </c>
      <c r="I452" t="s">
        <v>56</v>
      </c>
      <c r="J452">
        <v>0.02</v>
      </c>
      <c r="K452">
        <v>0.27</v>
      </c>
      <c r="L452">
        <v>5.88</v>
      </c>
      <c r="M452">
        <v>10.51</v>
      </c>
      <c r="N452">
        <v>2.91</v>
      </c>
      <c r="O452">
        <v>3.8</v>
      </c>
      <c r="P452">
        <v>14.44</v>
      </c>
      <c r="Q452" t="str">
        <f>IFERROR(INDEX(Rosters!$C$2:$C$155,MATCH($B452,Rosters!$B$2:$B$155,0)),"NA")</f>
        <v>NA</v>
      </c>
      <c r="R452" t="str">
        <f t="shared" si="14"/>
        <v>NA2</v>
      </c>
      <c r="S452">
        <f>COUNTIFS(A$1:A452,A452)</f>
        <v>28</v>
      </c>
      <c r="T452" t="str">
        <f t="shared" si="15"/>
        <v>Phil Dawson2</v>
      </c>
      <c r="U452">
        <f>IF(OR(NOT(ISERROR(MATCH(T452,Finals!$K$2:$K$1801,0))),AND(A452&gt;Week,Q452&lt;&gt;"NA")),"",A452)</f>
        <v>2</v>
      </c>
      <c r="V452" t="str">
        <f>IF(U452&lt;&gt;"",U452&amp;"-"&amp;COUNTIF(U$1:U452,U452),"")</f>
        <v>2-18</v>
      </c>
    </row>
    <row r="453" spans="1:22" x14ac:dyDescent="0.25">
      <c r="A453">
        <v>8</v>
      </c>
      <c r="B453" t="s">
        <v>444</v>
      </c>
      <c r="C453" t="s">
        <v>5376</v>
      </c>
      <c r="D453">
        <v>1.42</v>
      </c>
      <c r="E453">
        <v>1.79</v>
      </c>
      <c r="F453">
        <v>2.31</v>
      </c>
      <c r="G453">
        <v>2.35</v>
      </c>
      <c r="H453">
        <v>7.03</v>
      </c>
      <c r="I453" t="s">
        <v>56</v>
      </c>
      <c r="J453">
        <v>0.04</v>
      </c>
      <c r="K453">
        <v>0.37</v>
      </c>
      <c r="L453">
        <v>5.88</v>
      </c>
      <c r="M453">
        <v>10.8</v>
      </c>
      <c r="N453">
        <v>3.26</v>
      </c>
      <c r="O453">
        <v>3.77</v>
      </c>
      <c r="P453">
        <v>14.212899999999999</v>
      </c>
      <c r="Q453" t="str">
        <f>IFERROR(INDEX(Rosters!$C$2:$C$155,MATCH($B453,Rosters!$B$2:$B$155,0)),"NA")</f>
        <v>perry</v>
      </c>
      <c r="R453" t="str">
        <f t="shared" si="14"/>
        <v>perry8</v>
      </c>
      <c r="S453">
        <f>COUNTIFS(A$1:A453,A453)</f>
        <v>23</v>
      </c>
      <c r="T453" t="str">
        <f t="shared" si="15"/>
        <v>Mason Crosby8</v>
      </c>
      <c r="U453" t="str">
        <f>IF(OR(NOT(ISERROR(MATCH(T453,Finals!$K$2:$K$1801,0))),AND(A453&gt;Week,Q453&lt;&gt;"NA")),"",A453)</f>
        <v/>
      </c>
      <c r="V453" t="str">
        <f>IF(U453&lt;&gt;"",U453&amp;"-"&amp;COUNTIF(U$1:U453,U453),"")</f>
        <v/>
      </c>
    </row>
    <row r="454" spans="1:22" x14ac:dyDescent="0.25">
      <c r="A454">
        <v>1</v>
      </c>
      <c r="B454" t="s">
        <v>465</v>
      </c>
      <c r="C454" t="s">
        <v>1767</v>
      </c>
      <c r="D454">
        <v>1.75</v>
      </c>
      <c r="E454">
        <v>2.33</v>
      </c>
      <c r="F454">
        <v>1.55</v>
      </c>
      <c r="G454">
        <v>1.6</v>
      </c>
      <c r="H454">
        <v>7.66</v>
      </c>
      <c r="I454" t="s">
        <v>28</v>
      </c>
      <c r="J454">
        <v>0.05</v>
      </c>
      <c r="K454">
        <v>0.57999999999999996</v>
      </c>
      <c r="L454">
        <v>5.87</v>
      </c>
      <c r="M454">
        <v>12.11</v>
      </c>
      <c r="N454">
        <v>3.21</v>
      </c>
      <c r="O454">
        <v>4.45</v>
      </c>
      <c r="P454">
        <v>19.802499999999998</v>
      </c>
      <c r="Q454" t="str">
        <f>IFERROR(INDEX(Rosters!$C$2:$C$155,MATCH($B454,Rosters!$B$2:$B$155,0)),"NA")</f>
        <v>NA</v>
      </c>
      <c r="R454" t="str">
        <f t="shared" si="14"/>
        <v>NA1</v>
      </c>
      <c r="S454">
        <f>COUNTIFS(A$1:A454,A454)</f>
        <v>29</v>
      </c>
      <c r="T454" t="str">
        <f t="shared" si="15"/>
        <v>Brandon McManus1</v>
      </c>
      <c r="U454">
        <f>IF(OR(NOT(ISERROR(MATCH(T454,Finals!$K$2:$K$1801,0))),AND(A454&gt;Week,Q454&lt;&gt;"NA")),"",A454)</f>
        <v>1</v>
      </c>
      <c r="V454" t="str">
        <f>IF(U454&lt;&gt;"",U454&amp;"-"&amp;COUNTIF(U$1:U454,U454),"")</f>
        <v>1-19</v>
      </c>
    </row>
    <row r="455" spans="1:22" x14ac:dyDescent="0.25">
      <c r="A455">
        <v>16</v>
      </c>
      <c r="B455" t="s">
        <v>4167</v>
      </c>
      <c r="C455" t="s">
        <v>5377</v>
      </c>
      <c r="D455">
        <v>1.58</v>
      </c>
      <c r="E455">
        <v>1.89</v>
      </c>
      <c r="F455">
        <v>1.44</v>
      </c>
      <c r="G455">
        <v>1.46</v>
      </c>
      <c r="H455">
        <v>6.81</v>
      </c>
      <c r="I455" t="s">
        <v>76</v>
      </c>
      <c r="J455">
        <v>0.02</v>
      </c>
      <c r="K455">
        <v>0.31</v>
      </c>
      <c r="L455">
        <v>5.86</v>
      </c>
      <c r="M455">
        <v>10.84</v>
      </c>
      <c r="N455">
        <v>2.78</v>
      </c>
      <c r="O455">
        <v>4.03</v>
      </c>
      <c r="P455">
        <v>16.2409</v>
      </c>
      <c r="Q455" t="str">
        <f>IFERROR(INDEX(Rosters!$C$2:$C$155,MATCH($B455,Rosters!$B$2:$B$155,0)),"NA")</f>
        <v>NA</v>
      </c>
      <c r="R455" t="str">
        <f t="shared" si="14"/>
        <v>NA16</v>
      </c>
      <c r="S455">
        <f>COUNTIFS(A$1:A455,A455)</f>
        <v>30</v>
      </c>
      <c r="T455" t="str">
        <f t="shared" si="15"/>
        <v>Jason Sanders16</v>
      </c>
      <c r="U455">
        <f>IF(OR(NOT(ISERROR(MATCH(T455,Finals!$K$2:$K$1801,0))),AND(A455&gt;Week,Q455&lt;&gt;"NA")),"",A455)</f>
        <v>16</v>
      </c>
      <c r="V455" t="str">
        <f>IF(U455&lt;&gt;"",U455&amp;"-"&amp;COUNTIF(U$1:U455,U455),"")</f>
        <v>16-21</v>
      </c>
    </row>
    <row r="456" spans="1:22" x14ac:dyDescent="0.25">
      <c r="A456">
        <v>10</v>
      </c>
      <c r="B456" t="s">
        <v>448</v>
      </c>
      <c r="C456" t="s">
        <v>5378</v>
      </c>
      <c r="D456">
        <v>1.61</v>
      </c>
      <c r="E456">
        <v>2.02</v>
      </c>
      <c r="F456">
        <v>1.46</v>
      </c>
      <c r="G456">
        <v>1.48</v>
      </c>
      <c r="H456">
        <v>7.08</v>
      </c>
      <c r="I456" t="s">
        <v>76</v>
      </c>
      <c r="J456">
        <v>0.02</v>
      </c>
      <c r="K456">
        <v>0.41</v>
      </c>
      <c r="L456">
        <v>5.83</v>
      </c>
      <c r="M456">
        <v>10.76</v>
      </c>
      <c r="N456">
        <v>3.4</v>
      </c>
      <c r="O456">
        <v>3.68</v>
      </c>
      <c r="P456">
        <v>13.542400000000001</v>
      </c>
      <c r="Q456" t="str">
        <f>IFERROR(INDEX(Rosters!$C$2:$C$155,MATCH($B456,Rosters!$B$2:$B$155,0)),"NA")</f>
        <v>NA</v>
      </c>
      <c r="R456" t="str">
        <f t="shared" si="14"/>
        <v>NA10</v>
      </c>
      <c r="S456">
        <f>COUNTIFS(A$1:A456,A456)</f>
        <v>26</v>
      </c>
      <c r="T456" t="str">
        <f t="shared" si="15"/>
        <v>Adam Vinatieri10</v>
      </c>
      <c r="U456">
        <f>IF(OR(NOT(ISERROR(MATCH(T456,Finals!$K$2:$K$1801,0))),AND(A456&gt;Week,Q456&lt;&gt;"NA")),"",A456)</f>
        <v>10</v>
      </c>
      <c r="V456" t="str">
        <f>IF(U456&lt;&gt;"",U456&amp;"-"&amp;COUNTIF(U$1:U456,U456),"")</f>
        <v>10-19</v>
      </c>
    </row>
    <row r="457" spans="1:22" x14ac:dyDescent="0.25">
      <c r="A457">
        <v>8</v>
      </c>
      <c r="B457" t="s">
        <v>4169</v>
      </c>
      <c r="C457" t="s">
        <v>5379</v>
      </c>
      <c r="D457">
        <v>1.5</v>
      </c>
      <c r="E457">
        <v>1.73</v>
      </c>
      <c r="F457">
        <v>1.51</v>
      </c>
      <c r="G457">
        <v>1.53</v>
      </c>
      <c r="H457">
        <v>6.53</v>
      </c>
      <c r="I457" t="s">
        <v>51</v>
      </c>
      <c r="J457">
        <v>0.02</v>
      </c>
      <c r="K457">
        <v>0.23</v>
      </c>
      <c r="L457">
        <v>5.82</v>
      </c>
      <c r="M457">
        <v>10.26</v>
      </c>
      <c r="N457">
        <v>2.8</v>
      </c>
      <c r="O457">
        <v>3.73</v>
      </c>
      <c r="P457">
        <v>13.9129</v>
      </c>
      <c r="Q457" t="str">
        <f>IFERROR(INDEX(Rosters!$C$2:$C$155,MATCH($B457,Rosters!$B$2:$B$155,0)),"NA")</f>
        <v>NA</v>
      </c>
      <c r="R457" t="str">
        <f t="shared" si="14"/>
        <v>NA8</v>
      </c>
      <c r="S457">
        <f>COUNTIFS(A$1:A457,A457)</f>
        <v>24</v>
      </c>
      <c r="T457" t="str">
        <f t="shared" si="15"/>
        <v>Greg Joseph8</v>
      </c>
      <c r="U457">
        <f>IF(OR(NOT(ISERROR(MATCH(T457,Finals!$K$2:$K$1801,0))),AND(A457&gt;Week,Q457&lt;&gt;"NA")),"",A457)</f>
        <v>8</v>
      </c>
      <c r="V457" t="str">
        <f>IF(U457&lt;&gt;"",U457&amp;"-"&amp;COUNTIF(U$1:U457,U457),"")</f>
        <v>8-16</v>
      </c>
    </row>
    <row r="458" spans="1:22" x14ac:dyDescent="0.25">
      <c r="A458">
        <v>7</v>
      </c>
      <c r="B458" t="s">
        <v>465</v>
      </c>
      <c r="C458" t="s">
        <v>5380</v>
      </c>
      <c r="D458">
        <v>1.59</v>
      </c>
      <c r="E458">
        <v>2.02</v>
      </c>
      <c r="F458">
        <v>1.56</v>
      </c>
      <c r="G458">
        <v>1.61</v>
      </c>
      <c r="H458">
        <v>7.14</v>
      </c>
      <c r="I458" t="s">
        <v>58</v>
      </c>
      <c r="J458">
        <v>0.05</v>
      </c>
      <c r="K458">
        <v>0.43</v>
      </c>
      <c r="L458">
        <v>5.8</v>
      </c>
      <c r="M458">
        <v>11.74</v>
      </c>
      <c r="N458">
        <v>2.54</v>
      </c>
      <c r="O458">
        <v>4.5999999999999996</v>
      </c>
      <c r="P458">
        <v>21.16</v>
      </c>
      <c r="Q458" t="str">
        <f>IFERROR(INDEX(Rosters!$C$2:$C$155,MATCH($B458,Rosters!$B$2:$B$155,0)),"NA")</f>
        <v>NA</v>
      </c>
      <c r="R458" t="str">
        <f t="shared" si="14"/>
        <v>NA7</v>
      </c>
      <c r="S458">
        <f>COUNTIFS(A$1:A458,A458)</f>
        <v>23</v>
      </c>
      <c r="T458" t="str">
        <f t="shared" si="15"/>
        <v>Brandon McManus7</v>
      </c>
      <c r="U458">
        <f>IF(OR(NOT(ISERROR(MATCH(T458,Finals!$K$2:$K$1801,0))),AND(A458&gt;Week,Q458&lt;&gt;"NA")),"",A458)</f>
        <v>7</v>
      </c>
      <c r="V458" t="str">
        <f>IF(U458&lt;&gt;"",U458&amp;"-"&amp;COUNTIF(U$1:U458,U458),"")</f>
        <v>7-15</v>
      </c>
    </row>
    <row r="459" spans="1:22" x14ac:dyDescent="0.25">
      <c r="A459">
        <v>9</v>
      </c>
      <c r="B459" t="s">
        <v>455</v>
      </c>
      <c r="C459" t="s">
        <v>5381</v>
      </c>
      <c r="D459">
        <v>1.36</v>
      </c>
      <c r="E459">
        <v>1.65</v>
      </c>
      <c r="F459">
        <v>2.14</v>
      </c>
      <c r="G459">
        <v>2.16</v>
      </c>
      <c r="H459">
        <v>6.68</v>
      </c>
      <c r="I459" t="s">
        <v>77</v>
      </c>
      <c r="J459">
        <v>0.02</v>
      </c>
      <c r="K459">
        <v>0.28999999999999998</v>
      </c>
      <c r="L459">
        <v>5.79</v>
      </c>
      <c r="M459">
        <v>10.5</v>
      </c>
      <c r="N459">
        <v>2.86</v>
      </c>
      <c r="O459">
        <v>3.82</v>
      </c>
      <c r="P459">
        <v>14.5924</v>
      </c>
      <c r="Q459" t="str">
        <f>IFERROR(INDEX(Rosters!$C$2:$C$155,MATCH($B459,Rosters!$B$2:$B$155,0)),"NA")</f>
        <v>NA</v>
      </c>
      <c r="R459" t="str">
        <f t="shared" si="14"/>
        <v>NA9</v>
      </c>
      <c r="S459">
        <f>COUNTIFS(A$1:A459,A459)</f>
        <v>26</v>
      </c>
      <c r="T459" t="str">
        <f t="shared" si="15"/>
        <v>Chris Boswell9</v>
      </c>
      <c r="U459">
        <f>IF(OR(NOT(ISERROR(MATCH(T459,Finals!$K$2:$K$1801,0))),AND(A459&gt;Week,Q459&lt;&gt;"NA")),"",A459)</f>
        <v>9</v>
      </c>
      <c r="V459" t="str">
        <f>IF(U459&lt;&gt;"",U459&amp;"-"&amp;COUNTIF(U$1:U459,U459),"")</f>
        <v>9-18</v>
      </c>
    </row>
    <row r="460" spans="1:22" x14ac:dyDescent="0.25">
      <c r="A460">
        <v>11</v>
      </c>
      <c r="B460" t="s">
        <v>455</v>
      </c>
      <c r="C460" t="s">
        <v>5382</v>
      </c>
      <c r="D460">
        <v>1.36</v>
      </c>
      <c r="E460">
        <v>1.63</v>
      </c>
      <c r="F460">
        <v>2.14</v>
      </c>
      <c r="G460">
        <v>2.16</v>
      </c>
      <c r="H460">
        <v>6.62</v>
      </c>
      <c r="I460" t="s">
        <v>76</v>
      </c>
      <c r="J460">
        <v>0.02</v>
      </c>
      <c r="K460">
        <v>0.27</v>
      </c>
      <c r="L460">
        <v>5.79</v>
      </c>
      <c r="M460">
        <v>10.28</v>
      </c>
      <c r="N460">
        <v>2.96</v>
      </c>
      <c r="O460">
        <v>3.66</v>
      </c>
      <c r="P460">
        <v>13.3956</v>
      </c>
      <c r="Q460" t="str">
        <f>IFERROR(INDEX(Rosters!$C$2:$C$155,MATCH($B460,Rosters!$B$2:$B$155,0)),"NA")</f>
        <v>NA</v>
      </c>
      <c r="R460" t="str">
        <f t="shared" si="14"/>
        <v>NA11</v>
      </c>
      <c r="S460">
        <f>COUNTIFS(A$1:A460,A460)</f>
        <v>24</v>
      </c>
      <c r="T460" t="str">
        <f t="shared" si="15"/>
        <v>Chris Boswell11</v>
      </c>
      <c r="U460">
        <f>IF(OR(NOT(ISERROR(MATCH(T460,Finals!$K$2:$K$1801,0))),AND(A460&gt;Week,Q460&lt;&gt;"NA")),"",A460)</f>
        <v>11</v>
      </c>
      <c r="V460" t="str">
        <f>IF(U460&lt;&gt;"",U460&amp;"-"&amp;COUNTIF(U$1:U460,U460),"")</f>
        <v>11-18</v>
      </c>
    </row>
    <row r="461" spans="1:22" x14ac:dyDescent="0.25">
      <c r="A461">
        <v>6</v>
      </c>
      <c r="B461" t="s">
        <v>5064</v>
      </c>
      <c r="C461" t="s">
        <v>5383</v>
      </c>
      <c r="D461">
        <v>1.31</v>
      </c>
      <c r="E461">
        <v>1.67</v>
      </c>
      <c r="F461">
        <v>2.4900000000000002</v>
      </c>
      <c r="G461">
        <v>2.5099999999999998</v>
      </c>
      <c r="H461">
        <v>6.89</v>
      </c>
      <c r="I461" t="s">
        <v>28</v>
      </c>
      <c r="J461">
        <v>1.9999999999999601E-2</v>
      </c>
      <c r="K461">
        <v>0.36</v>
      </c>
      <c r="L461">
        <v>5.79</v>
      </c>
      <c r="M461">
        <v>10.45</v>
      </c>
      <c r="N461">
        <v>3.33</v>
      </c>
      <c r="O461">
        <v>3.56</v>
      </c>
      <c r="P461">
        <v>12.6736</v>
      </c>
      <c r="Q461" t="str">
        <f>IFERROR(INDEX(Rosters!$C$2:$C$155,MATCH($B461,Rosters!$B$2:$B$155,0)),"NA")</f>
        <v>NA</v>
      </c>
      <c r="R461" t="str">
        <f t="shared" si="14"/>
        <v>NA6</v>
      </c>
      <c r="S461">
        <f>COUNTIFS(A$1:A461,A461)</f>
        <v>27</v>
      </c>
      <c r="T461" t="str">
        <f t="shared" si="15"/>
        <v>Matt McCrane6</v>
      </c>
      <c r="U461">
        <f>IF(OR(NOT(ISERROR(MATCH(T461,Finals!$K$2:$K$1801,0))),AND(A461&gt;Week,Q461&lt;&gt;"NA")),"",A461)</f>
        <v>6</v>
      </c>
      <c r="V461" t="str">
        <f>IF(U461&lt;&gt;"",U461&amp;"-"&amp;COUNTIF(U$1:U461,U461),"")</f>
        <v>6-20</v>
      </c>
    </row>
    <row r="462" spans="1:22" x14ac:dyDescent="0.25">
      <c r="A462">
        <v>7</v>
      </c>
      <c r="B462" t="s">
        <v>461</v>
      </c>
      <c r="C462" t="s">
        <v>5384</v>
      </c>
      <c r="D462">
        <v>1.44</v>
      </c>
      <c r="E462">
        <v>1.79</v>
      </c>
      <c r="F462">
        <v>1.75</v>
      </c>
      <c r="G462">
        <v>1.77</v>
      </c>
      <c r="H462">
        <v>6.85</v>
      </c>
      <c r="I462" t="s">
        <v>46</v>
      </c>
      <c r="J462">
        <v>0.02</v>
      </c>
      <c r="K462">
        <v>0.35</v>
      </c>
      <c r="L462">
        <v>5.78</v>
      </c>
      <c r="M462">
        <v>10.27</v>
      </c>
      <c r="N462">
        <v>3.43</v>
      </c>
      <c r="O462">
        <v>3.42</v>
      </c>
      <c r="P462">
        <v>11.696400000000001</v>
      </c>
      <c r="Q462" t="str">
        <f>IFERROR(INDEX(Rosters!$C$2:$C$155,MATCH($B462,Rosters!$B$2:$B$155,0)),"NA")</f>
        <v>NA</v>
      </c>
      <c r="R462" t="str">
        <f t="shared" si="14"/>
        <v>NA7</v>
      </c>
      <c r="S462">
        <f>COUNTIFS(A$1:A462,A462)</f>
        <v>24</v>
      </c>
      <c r="T462" t="str">
        <f t="shared" si="15"/>
        <v>Aldrick Rosas7</v>
      </c>
      <c r="U462">
        <f>IF(OR(NOT(ISERROR(MATCH(T462,Finals!$K$2:$K$1801,0))),AND(A462&gt;Week,Q462&lt;&gt;"NA")),"",A462)</f>
        <v>7</v>
      </c>
      <c r="V462" t="str">
        <f>IF(U462&lt;&gt;"",U462&amp;"-"&amp;COUNTIF(U$1:U462,U462),"")</f>
        <v>7-16</v>
      </c>
    </row>
    <row r="463" spans="1:22" x14ac:dyDescent="0.25">
      <c r="A463">
        <v>15</v>
      </c>
      <c r="B463" t="s">
        <v>1120</v>
      </c>
      <c r="C463" t="s">
        <v>5385</v>
      </c>
      <c r="D463">
        <v>1.46</v>
      </c>
      <c r="E463">
        <v>1.81</v>
      </c>
      <c r="F463">
        <v>1.81</v>
      </c>
      <c r="G463">
        <v>1.83</v>
      </c>
      <c r="H463">
        <v>6.85</v>
      </c>
      <c r="I463" t="s">
        <v>76</v>
      </c>
      <c r="J463">
        <v>0.02</v>
      </c>
      <c r="K463">
        <v>0.35</v>
      </c>
      <c r="L463">
        <v>5.78</v>
      </c>
      <c r="M463">
        <v>10.61</v>
      </c>
      <c r="N463">
        <v>3.09</v>
      </c>
      <c r="O463">
        <v>3.76</v>
      </c>
      <c r="P463">
        <v>14.137600000000001</v>
      </c>
      <c r="Q463" t="str">
        <f>IFERROR(INDEX(Rosters!$C$2:$C$155,MATCH($B463,Rosters!$B$2:$B$155,0)),"NA")</f>
        <v>NA</v>
      </c>
      <c r="R463" t="str">
        <f t="shared" si="14"/>
        <v>NA15</v>
      </c>
      <c r="S463">
        <f>COUNTIFS(A$1:A463,A463)</f>
        <v>30</v>
      </c>
      <c r="T463" t="str">
        <f t="shared" si="15"/>
        <v>Dustin Hopkins15</v>
      </c>
      <c r="U463">
        <f>IF(OR(NOT(ISERROR(MATCH(T463,Finals!$K$2:$K$1801,0))),AND(A463&gt;Week,Q463&lt;&gt;"NA")),"",A463)</f>
        <v>15</v>
      </c>
      <c r="V463" t="str">
        <f>IF(U463&lt;&gt;"",U463&amp;"-"&amp;COUNTIF(U$1:U463,U463),"")</f>
        <v>15-22</v>
      </c>
    </row>
    <row r="464" spans="1:22" x14ac:dyDescent="0.25">
      <c r="A464">
        <v>15</v>
      </c>
      <c r="B464" t="s">
        <v>465</v>
      </c>
      <c r="C464" t="s">
        <v>5386</v>
      </c>
      <c r="D464">
        <v>1.54</v>
      </c>
      <c r="E464">
        <v>1.98</v>
      </c>
      <c r="F464">
        <v>1.87</v>
      </c>
      <c r="G464">
        <v>1.91</v>
      </c>
      <c r="H464">
        <v>7.12</v>
      </c>
      <c r="I464" t="s">
        <v>52</v>
      </c>
      <c r="J464">
        <v>3.99999999999998E-2</v>
      </c>
      <c r="K464">
        <v>0.44</v>
      </c>
      <c r="L464">
        <v>5.76</v>
      </c>
      <c r="M464">
        <v>11.51</v>
      </c>
      <c r="N464">
        <v>2.73</v>
      </c>
      <c r="O464">
        <v>4.3899999999999997</v>
      </c>
      <c r="P464">
        <v>19.272099999999998</v>
      </c>
      <c r="Q464" t="str">
        <f>IFERROR(INDEX(Rosters!$C$2:$C$155,MATCH($B464,Rosters!$B$2:$B$155,0)),"NA")</f>
        <v>NA</v>
      </c>
      <c r="R464" t="str">
        <f t="shared" si="14"/>
        <v>NA15</v>
      </c>
      <c r="S464">
        <f>COUNTIFS(A$1:A464,A464)</f>
        <v>31</v>
      </c>
      <c r="T464" t="str">
        <f t="shared" si="15"/>
        <v>Brandon McManus15</v>
      </c>
      <c r="U464">
        <f>IF(OR(NOT(ISERROR(MATCH(T464,Finals!$K$2:$K$1801,0))),AND(A464&gt;Week,Q464&lt;&gt;"NA")),"",A464)</f>
        <v>15</v>
      </c>
      <c r="V464" t="str">
        <f>IF(U464&lt;&gt;"",U464&amp;"-"&amp;COUNTIF(U$1:U464,U464),"")</f>
        <v>15-23</v>
      </c>
    </row>
    <row r="465" spans="1:22" x14ac:dyDescent="0.25">
      <c r="A465">
        <v>12</v>
      </c>
      <c r="B465" t="s">
        <v>455</v>
      </c>
      <c r="C465" t="s">
        <v>5387</v>
      </c>
      <c r="D465">
        <v>1.28</v>
      </c>
      <c r="E465">
        <v>1.7</v>
      </c>
      <c r="F465">
        <v>2.63</v>
      </c>
      <c r="G465">
        <v>2.63</v>
      </c>
      <c r="H465">
        <v>6.99</v>
      </c>
      <c r="I465" t="s">
        <v>42</v>
      </c>
      <c r="J465">
        <v>0</v>
      </c>
      <c r="K465">
        <v>0.42</v>
      </c>
      <c r="L465">
        <v>5.73</v>
      </c>
      <c r="M465">
        <v>10.199999999999999</v>
      </c>
      <c r="N465">
        <v>3.78</v>
      </c>
      <c r="O465">
        <v>3.21</v>
      </c>
      <c r="P465">
        <v>10.3041</v>
      </c>
      <c r="Q465" t="str">
        <f>IFERROR(INDEX(Rosters!$C$2:$C$155,MATCH($B465,Rosters!$B$2:$B$155,0)),"NA")</f>
        <v>NA</v>
      </c>
      <c r="R465" t="str">
        <f t="shared" si="14"/>
        <v>NA12</v>
      </c>
      <c r="S465">
        <f>COUNTIFS(A$1:A465,A465)</f>
        <v>25</v>
      </c>
      <c r="T465" t="str">
        <f t="shared" si="15"/>
        <v>Chris Boswell12</v>
      </c>
      <c r="U465">
        <f>IF(OR(NOT(ISERROR(MATCH(T465,Finals!$K$2:$K$1801,0))),AND(A465&gt;Week,Q465&lt;&gt;"NA")),"",A465)</f>
        <v>12</v>
      </c>
      <c r="V465" t="str">
        <f>IF(U465&lt;&gt;"",U465&amp;"-"&amp;COUNTIF(U$1:U465,U465),"")</f>
        <v>12-18</v>
      </c>
    </row>
    <row r="466" spans="1:22" x14ac:dyDescent="0.25">
      <c r="A466">
        <v>7</v>
      </c>
      <c r="B466" t="s">
        <v>998</v>
      </c>
      <c r="C466" t="s">
        <v>5388</v>
      </c>
      <c r="D466">
        <v>1.52</v>
      </c>
      <c r="E466">
        <v>1.97</v>
      </c>
      <c r="F466">
        <v>2</v>
      </c>
      <c r="G466">
        <v>2.04</v>
      </c>
      <c r="H466">
        <v>7.1</v>
      </c>
      <c r="I466" t="s">
        <v>74</v>
      </c>
      <c r="J466">
        <v>0.04</v>
      </c>
      <c r="K466">
        <v>0.45</v>
      </c>
      <c r="L466">
        <v>5.71</v>
      </c>
      <c r="M466">
        <v>11.58</v>
      </c>
      <c r="N466">
        <v>2.62</v>
      </c>
      <c r="O466">
        <v>4.4800000000000004</v>
      </c>
      <c r="P466">
        <v>20.070399999999999</v>
      </c>
      <c r="Q466" t="str">
        <f>IFERROR(INDEX(Rosters!$C$2:$C$155,MATCH($B466,Rosters!$B$2:$B$155,0)),"NA")</f>
        <v>NA</v>
      </c>
      <c r="R466" t="str">
        <f t="shared" si="14"/>
        <v>NA7</v>
      </c>
      <c r="S466">
        <f>COUNTIFS(A$1:A466,A466)</f>
        <v>25</v>
      </c>
      <c r="T466" t="str">
        <f t="shared" si="15"/>
        <v>Jake Elliott7</v>
      </c>
      <c r="U466">
        <f>IF(OR(NOT(ISERROR(MATCH(T466,Finals!$K$2:$K$1801,0))),AND(A466&gt;Week,Q466&lt;&gt;"NA")),"",A466)</f>
        <v>7</v>
      </c>
      <c r="V466" t="str">
        <f>IF(U466&lt;&gt;"",U466&amp;"-"&amp;COUNTIF(U$1:U466,U466),"")</f>
        <v>7-17</v>
      </c>
    </row>
    <row r="467" spans="1:22" x14ac:dyDescent="0.25">
      <c r="A467">
        <v>10</v>
      </c>
      <c r="B467" t="s">
        <v>4169</v>
      </c>
      <c r="C467" t="s">
        <v>5389</v>
      </c>
      <c r="D467">
        <v>1.38</v>
      </c>
      <c r="E467">
        <v>1.72</v>
      </c>
      <c r="F467">
        <v>2.0099999999999998</v>
      </c>
      <c r="G467">
        <v>2.0299999999999998</v>
      </c>
      <c r="H467">
        <v>6.73</v>
      </c>
      <c r="I467" t="s">
        <v>46</v>
      </c>
      <c r="J467">
        <v>0.02</v>
      </c>
      <c r="K467">
        <v>0.34</v>
      </c>
      <c r="L467">
        <v>5.69</v>
      </c>
      <c r="M467">
        <v>11</v>
      </c>
      <c r="N467">
        <v>2.46</v>
      </c>
      <c r="O467">
        <v>4.2699999999999996</v>
      </c>
      <c r="P467">
        <v>18.232900000000001</v>
      </c>
      <c r="Q467" t="str">
        <f>IFERROR(INDEX(Rosters!$C$2:$C$155,MATCH($B467,Rosters!$B$2:$B$155,0)),"NA")</f>
        <v>NA</v>
      </c>
      <c r="R467" t="str">
        <f t="shared" si="14"/>
        <v>NA10</v>
      </c>
      <c r="S467">
        <f>COUNTIFS(A$1:A467,A467)</f>
        <v>27</v>
      </c>
      <c r="T467" t="str">
        <f t="shared" si="15"/>
        <v>Greg Joseph10</v>
      </c>
      <c r="U467">
        <f>IF(OR(NOT(ISERROR(MATCH(T467,Finals!$K$2:$K$1801,0))),AND(A467&gt;Week,Q467&lt;&gt;"NA")),"",A467)</f>
        <v>10</v>
      </c>
      <c r="V467" t="str">
        <f>IF(U467&lt;&gt;"",U467&amp;"-"&amp;COUNTIF(U$1:U467,U467),"")</f>
        <v>10-20</v>
      </c>
    </row>
    <row r="468" spans="1:22" x14ac:dyDescent="0.25">
      <c r="A468">
        <v>5</v>
      </c>
      <c r="B468" t="s">
        <v>4169</v>
      </c>
      <c r="C468" t="s">
        <v>9107</v>
      </c>
      <c r="D468">
        <v>1.85</v>
      </c>
      <c r="E468">
        <v>2.4</v>
      </c>
      <c r="F468">
        <v>1.55</v>
      </c>
      <c r="G468">
        <v>1.55</v>
      </c>
      <c r="H468">
        <v>7.33</v>
      </c>
      <c r="I468" t="s">
        <v>77</v>
      </c>
      <c r="J468">
        <v>0</v>
      </c>
      <c r="K468">
        <v>0.55000000000000004</v>
      </c>
      <c r="L468">
        <v>5.68</v>
      </c>
      <c r="M468">
        <v>11.92</v>
      </c>
      <c r="N468">
        <v>2.74</v>
      </c>
      <c r="O468">
        <v>4.59</v>
      </c>
      <c r="P468">
        <v>21.068100000000001</v>
      </c>
      <c r="Q468" t="str">
        <f>IFERROR(INDEX(Rosters!$C$2:$C$155,MATCH($B468,Rosters!$B$2:$B$155,0)),"NA")</f>
        <v>NA</v>
      </c>
      <c r="R468" t="str">
        <f t="shared" si="14"/>
        <v>NA5</v>
      </c>
      <c r="S468">
        <f>COUNTIFS(A$1:A468,A468)</f>
        <v>29</v>
      </c>
      <c r="T468" t="str">
        <f t="shared" si="15"/>
        <v>Greg Joseph5</v>
      </c>
      <c r="U468">
        <f>IF(OR(NOT(ISERROR(MATCH(T468,Finals!$K$2:$K$1801,0))),AND(A468&gt;Week,Q468&lt;&gt;"NA")),"",A468)</f>
        <v>5</v>
      </c>
      <c r="V468" t="str">
        <f>IF(U468&lt;&gt;"",U468&amp;"-"&amp;COUNTIF(U$1:U468,U468),"")</f>
        <v>5-19</v>
      </c>
    </row>
    <row r="469" spans="1:22" x14ac:dyDescent="0.25">
      <c r="A469">
        <v>8</v>
      </c>
      <c r="B469" t="s">
        <v>460</v>
      </c>
      <c r="C469" t="s">
        <v>5390</v>
      </c>
      <c r="D469">
        <v>1.36</v>
      </c>
      <c r="E469">
        <v>1.65</v>
      </c>
      <c r="F469">
        <v>1.91</v>
      </c>
      <c r="G469">
        <v>1.95</v>
      </c>
      <c r="H469">
        <v>6.57</v>
      </c>
      <c r="I469" t="s">
        <v>72</v>
      </c>
      <c r="J469">
        <v>0.04</v>
      </c>
      <c r="K469">
        <v>0.28999999999999998</v>
      </c>
      <c r="L469">
        <v>5.66</v>
      </c>
      <c r="M469">
        <v>10.77</v>
      </c>
      <c r="N469">
        <v>2.37</v>
      </c>
      <c r="O469">
        <v>4.2</v>
      </c>
      <c r="P469">
        <v>17.64</v>
      </c>
      <c r="Q469" t="str">
        <f>IFERROR(INDEX(Rosters!$C$2:$C$155,MATCH($B469,Rosters!$B$2:$B$155,0)),"NA")</f>
        <v>NA</v>
      </c>
      <c r="R469" t="str">
        <f t="shared" si="14"/>
        <v>NA8</v>
      </c>
      <c r="S469">
        <f>COUNTIFS(A$1:A469,A469)</f>
        <v>25</v>
      </c>
      <c r="T469" t="str">
        <f t="shared" si="15"/>
        <v>Jason Myers8</v>
      </c>
      <c r="U469">
        <f>IF(OR(NOT(ISERROR(MATCH(T469,Finals!$K$2:$K$1801,0))),AND(A469&gt;Week,Q469&lt;&gt;"NA")),"",A469)</f>
        <v>8</v>
      </c>
      <c r="V469" t="str">
        <f>IF(U469&lt;&gt;"",U469&amp;"-"&amp;COUNTIF(U$1:U469,U469),"")</f>
        <v>8-17</v>
      </c>
    </row>
    <row r="470" spans="1:22" x14ac:dyDescent="0.25">
      <c r="A470">
        <v>2</v>
      </c>
      <c r="B470" t="s">
        <v>461</v>
      </c>
      <c r="C470" t="s">
        <v>3599</v>
      </c>
      <c r="D470">
        <v>1.55</v>
      </c>
      <c r="E470">
        <v>2.0499999999999998</v>
      </c>
      <c r="F470">
        <v>1.95</v>
      </c>
      <c r="G470">
        <v>1.97</v>
      </c>
      <c r="H470">
        <v>7.18</v>
      </c>
      <c r="I470" t="s">
        <v>22</v>
      </c>
      <c r="J470">
        <v>0.02</v>
      </c>
      <c r="K470">
        <v>0.5</v>
      </c>
      <c r="L470">
        <v>5.66</v>
      </c>
      <c r="M470">
        <v>11.63</v>
      </c>
      <c r="N470">
        <v>2.73</v>
      </c>
      <c r="O470">
        <v>4.45</v>
      </c>
      <c r="P470">
        <v>19.802499999999998</v>
      </c>
      <c r="Q470" t="str">
        <f>IFERROR(INDEX(Rosters!$C$2:$C$155,MATCH($B470,Rosters!$B$2:$B$155,0)),"NA")</f>
        <v>NA</v>
      </c>
      <c r="R470" t="str">
        <f t="shared" si="14"/>
        <v>NA2</v>
      </c>
      <c r="S470">
        <f>COUNTIFS(A$1:A470,A470)</f>
        <v>29</v>
      </c>
      <c r="T470" t="str">
        <f t="shared" si="15"/>
        <v>Aldrick Rosas2</v>
      </c>
      <c r="U470">
        <f>IF(OR(NOT(ISERROR(MATCH(T470,Finals!$K$2:$K$1801,0))),AND(A470&gt;Week,Q470&lt;&gt;"NA")),"",A470)</f>
        <v>2</v>
      </c>
      <c r="V470" t="str">
        <f>IF(U470&lt;&gt;"",U470&amp;"-"&amp;COUNTIF(U$1:U470,U470),"")</f>
        <v>2-19</v>
      </c>
    </row>
    <row r="471" spans="1:22" x14ac:dyDescent="0.25">
      <c r="A471">
        <v>4</v>
      </c>
      <c r="B471" t="s">
        <v>445</v>
      </c>
      <c r="C471" t="s">
        <v>5003</v>
      </c>
      <c r="D471">
        <v>1.33</v>
      </c>
      <c r="E471">
        <v>1.68</v>
      </c>
      <c r="F471">
        <v>2.41</v>
      </c>
      <c r="G471">
        <v>2.44</v>
      </c>
      <c r="H471">
        <v>6.74</v>
      </c>
      <c r="I471" t="s">
        <v>56</v>
      </c>
      <c r="J471">
        <v>2.9999999999999801E-2</v>
      </c>
      <c r="K471">
        <v>0.35</v>
      </c>
      <c r="L471">
        <v>5.66</v>
      </c>
      <c r="M471">
        <v>10.61</v>
      </c>
      <c r="N471">
        <v>2.87</v>
      </c>
      <c r="O471">
        <v>3.87</v>
      </c>
      <c r="P471">
        <v>14.976900000000001</v>
      </c>
      <c r="Q471" t="str">
        <f>IFERROR(INDEX(Rosters!$C$2:$C$155,MATCH($B471,Rosters!$B$2:$B$155,0)),"NA")</f>
        <v>NA</v>
      </c>
      <c r="R471" t="str">
        <f t="shared" si="14"/>
        <v>NA4</v>
      </c>
      <c r="S471">
        <f>COUNTIFS(A$1:A471,A471)</f>
        <v>28</v>
      </c>
      <c r="T471" t="str">
        <f t="shared" si="15"/>
        <v>Dan Bailey4</v>
      </c>
      <c r="U471">
        <f>IF(OR(NOT(ISERROR(MATCH(T471,Finals!$K$2:$K$1801,0))),AND(A471&gt;Week,Q471&lt;&gt;"NA")),"",A471)</f>
        <v>4</v>
      </c>
      <c r="V471" t="str">
        <f>IF(U471&lt;&gt;"",U471&amp;"-"&amp;COUNTIF(U$1:U471,U471),"")</f>
        <v>4-19</v>
      </c>
    </row>
    <row r="472" spans="1:22" x14ac:dyDescent="0.25">
      <c r="A472">
        <v>11</v>
      </c>
      <c r="B472" t="s">
        <v>450</v>
      </c>
      <c r="C472" t="s">
        <v>5391</v>
      </c>
      <c r="D472">
        <v>1.38</v>
      </c>
      <c r="E472">
        <v>1.81</v>
      </c>
      <c r="F472">
        <v>2.37</v>
      </c>
      <c r="G472">
        <v>2.39</v>
      </c>
      <c r="H472">
        <v>6.95</v>
      </c>
      <c r="I472" t="s">
        <v>74</v>
      </c>
      <c r="J472">
        <v>0.02</v>
      </c>
      <c r="K472">
        <v>0.43</v>
      </c>
      <c r="L472">
        <v>5.64</v>
      </c>
      <c r="M472">
        <v>11.17</v>
      </c>
      <c r="N472">
        <v>2.73</v>
      </c>
      <c r="O472">
        <v>4.22</v>
      </c>
      <c r="P472">
        <v>17.808399999999999</v>
      </c>
      <c r="Q472" t="str">
        <f>IFERROR(INDEX(Rosters!$C$2:$C$155,MATCH($B472,Rosters!$B$2:$B$155,0)),"NA")</f>
        <v>devon</v>
      </c>
      <c r="R472" t="str">
        <f t="shared" si="14"/>
        <v>devon11</v>
      </c>
      <c r="S472">
        <f>COUNTIFS(A$1:A472,A472)</f>
        <v>25</v>
      </c>
      <c r="T472" t="str">
        <f t="shared" si="15"/>
        <v>Matt Prater11</v>
      </c>
      <c r="U472" t="str">
        <f>IF(OR(NOT(ISERROR(MATCH(T472,Finals!$K$2:$K$1801,0))),AND(A472&gt;Week,Q472&lt;&gt;"NA")),"",A472)</f>
        <v/>
      </c>
      <c r="V472" t="str">
        <f>IF(U472&lt;&gt;"",U472&amp;"-"&amp;COUNTIF(U$1:U472,U472),"")</f>
        <v/>
      </c>
    </row>
    <row r="473" spans="1:22" x14ac:dyDescent="0.25">
      <c r="A473">
        <v>8</v>
      </c>
      <c r="B473" t="s">
        <v>456</v>
      </c>
      <c r="C473" t="s">
        <v>5392</v>
      </c>
      <c r="D473">
        <v>1.3</v>
      </c>
      <c r="E473">
        <v>1.6</v>
      </c>
      <c r="F473">
        <v>2.2200000000000002</v>
      </c>
      <c r="G473">
        <v>2.2200000000000002</v>
      </c>
      <c r="H473">
        <v>6.54</v>
      </c>
      <c r="I473" t="s">
        <v>77</v>
      </c>
      <c r="J473">
        <v>0</v>
      </c>
      <c r="K473">
        <v>0.3</v>
      </c>
      <c r="L473">
        <v>5.64</v>
      </c>
      <c r="M473">
        <v>10.39</v>
      </c>
      <c r="N473">
        <v>2.69</v>
      </c>
      <c r="O473">
        <v>3.85</v>
      </c>
      <c r="P473">
        <v>14.8225</v>
      </c>
      <c r="Q473" t="str">
        <f>IFERROR(INDEX(Rosters!$C$2:$C$155,MATCH($B473,Rosters!$B$2:$B$155,0)),"NA")</f>
        <v>NA</v>
      </c>
      <c r="R473" t="str">
        <f t="shared" si="14"/>
        <v>NA8</v>
      </c>
      <c r="S473">
        <f>COUNTIFS(A$1:A473,A473)</f>
        <v>26</v>
      </c>
      <c r="T473" t="str">
        <f t="shared" si="15"/>
        <v>Graham Gano8</v>
      </c>
      <c r="U473">
        <f>IF(OR(NOT(ISERROR(MATCH(T473,Finals!$K$2:$K$1801,0))),AND(A473&gt;Week,Q473&lt;&gt;"NA")),"",A473)</f>
        <v>8</v>
      </c>
      <c r="V473" t="str">
        <f>IF(U473&lt;&gt;"",U473&amp;"-"&amp;COUNTIF(U$1:U473,U473),"")</f>
        <v>8-18</v>
      </c>
    </row>
    <row r="474" spans="1:22" x14ac:dyDescent="0.25">
      <c r="A474">
        <v>12</v>
      </c>
      <c r="B474" t="s">
        <v>450</v>
      </c>
      <c r="C474" t="s">
        <v>5393</v>
      </c>
      <c r="D474">
        <v>1.54</v>
      </c>
      <c r="E474">
        <v>2.0299999999999998</v>
      </c>
      <c r="F474">
        <v>1.96</v>
      </c>
      <c r="G474">
        <v>2</v>
      </c>
      <c r="H474">
        <v>7.09</v>
      </c>
      <c r="I474" t="s">
        <v>72</v>
      </c>
      <c r="J474">
        <v>0.04</v>
      </c>
      <c r="K474">
        <v>0.49</v>
      </c>
      <c r="L474">
        <v>5.58</v>
      </c>
      <c r="M474">
        <v>11.38</v>
      </c>
      <c r="N474">
        <v>2.8</v>
      </c>
      <c r="O474">
        <v>4.29</v>
      </c>
      <c r="P474">
        <v>18.4041</v>
      </c>
      <c r="Q474" t="str">
        <f>IFERROR(INDEX(Rosters!$C$2:$C$155,MATCH($B474,Rosters!$B$2:$B$155,0)),"NA")</f>
        <v>devon</v>
      </c>
      <c r="R474" t="str">
        <f t="shared" si="14"/>
        <v>devon12</v>
      </c>
      <c r="S474">
        <f>COUNTIFS(A$1:A474,A474)</f>
        <v>26</v>
      </c>
      <c r="T474" t="str">
        <f t="shared" si="15"/>
        <v>Matt Prater12</v>
      </c>
      <c r="U474" t="str">
        <f>IF(OR(NOT(ISERROR(MATCH(T474,Finals!$K$2:$K$1801,0))),AND(A474&gt;Week,Q474&lt;&gt;"NA")),"",A474)</f>
        <v/>
      </c>
      <c r="V474" t="str">
        <f>IF(U474&lt;&gt;"",U474&amp;"-"&amp;COUNTIF(U$1:U474,U474),"")</f>
        <v/>
      </c>
    </row>
    <row r="475" spans="1:22" x14ac:dyDescent="0.25">
      <c r="A475">
        <v>6</v>
      </c>
      <c r="B475" t="s">
        <v>463</v>
      </c>
      <c r="C475" t="s">
        <v>5394</v>
      </c>
      <c r="D475">
        <v>1.57</v>
      </c>
      <c r="E475">
        <v>2.02</v>
      </c>
      <c r="F475">
        <v>1.61</v>
      </c>
      <c r="G475">
        <v>1.73</v>
      </c>
      <c r="H475">
        <v>7.05</v>
      </c>
      <c r="I475" t="s">
        <v>25</v>
      </c>
      <c r="J475">
        <v>0.12</v>
      </c>
      <c r="K475">
        <v>0.45</v>
      </c>
      <c r="L475">
        <v>5.58</v>
      </c>
      <c r="M475">
        <v>11.37</v>
      </c>
      <c r="N475">
        <v>2.73</v>
      </c>
      <c r="O475">
        <v>4.32</v>
      </c>
      <c r="P475">
        <v>18.662400000000002</v>
      </c>
      <c r="Q475" t="str">
        <f>IFERROR(INDEX(Rosters!$C$2:$C$155,MATCH($B475,Rosters!$B$2:$B$155,0)),"NA")</f>
        <v>NA</v>
      </c>
      <c r="R475" t="str">
        <f t="shared" si="14"/>
        <v>NA6</v>
      </c>
      <c r="S475">
        <f>COUNTIFS(A$1:A475,A475)</f>
        <v>28</v>
      </c>
      <c r="T475" t="str">
        <f t="shared" si="15"/>
        <v>Phil Dawson6</v>
      </c>
      <c r="U475">
        <f>IF(OR(NOT(ISERROR(MATCH(T475,Finals!$K$2:$K$1801,0))),AND(A475&gt;Week,Q475&lt;&gt;"NA")),"",A475)</f>
        <v>6</v>
      </c>
      <c r="V475" t="str">
        <f>IF(U475&lt;&gt;"",U475&amp;"-"&amp;COUNTIF(U$1:U475,U475),"")</f>
        <v>6-21</v>
      </c>
    </row>
    <row r="476" spans="1:22" x14ac:dyDescent="0.25">
      <c r="A476">
        <v>8</v>
      </c>
      <c r="B476" t="s">
        <v>461</v>
      </c>
      <c r="C476" t="s">
        <v>5395</v>
      </c>
      <c r="D476">
        <v>1.47</v>
      </c>
      <c r="E476">
        <v>1.89</v>
      </c>
      <c r="F476">
        <v>1.67</v>
      </c>
      <c r="G476">
        <v>1.73</v>
      </c>
      <c r="H476">
        <v>6.89</v>
      </c>
      <c r="I476" t="s">
        <v>60</v>
      </c>
      <c r="J476">
        <v>6.0000000000000102E-2</v>
      </c>
      <c r="K476">
        <v>0.42</v>
      </c>
      <c r="L476">
        <v>5.57</v>
      </c>
      <c r="M476">
        <v>10.76</v>
      </c>
      <c r="N476">
        <v>3.02</v>
      </c>
      <c r="O476">
        <v>3.87</v>
      </c>
      <c r="P476">
        <v>14.976900000000001</v>
      </c>
      <c r="Q476" t="str">
        <f>IFERROR(INDEX(Rosters!$C$2:$C$155,MATCH($B476,Rosters!$B$2:$B$155,0)),"NA")</f>
        <v>NA</v>
      </c>
      <c r="R476" t="str">
        <f t="shared" si="14"/>
        <v>NA8</v>
      </c>
      <c r="S476">
        <f>COUNTIFS(A$1:A476,A476)</f>
        <v>27</v>
      </c>
      <c r="T476" t="str">
        <f t="shared" si="15"/>
        <v>Aldrick Rosas8</v>
      </c>
      <c r="U476">
        <f>IF(OR(NOT(ISERROR(MATCH(T476,Finals!$K$2:$K$1801,0))),AND(A476&gt;Week,Q476&lt;&gt;"NA")),"",A476)</f>
        <v>8</v>
      </c>
      <c r="V476" t="str">
        <f>IF(U476&lt;&gt;"",U476&amp;"-"&amp;COUNTIF(U$1:U476,U476),"")</f>
        <v>8-19</v>
      </c>
    </row>
    <row r="477" spans="1:22" x14ac:dyDescent="0.25">
      <c r="A477">
        <v>7</v>
      </c>
      <c r="B477" t="s">
        <v>463</v>
      </c>
      <c r="C477" t="s">
        <v>5396</v>
      </c>
      <c r="D477">
        <v>1.65</v>
      </c>
      <c r="E477">
        <v>2.16</v>
      </c>
      <c r="F477">
        <v>1.42</v>
      </c>
      <c r="G477">
        <v>1.52</v>
      </c>
      <c r="H477">
        <v>7.16</v>
      </c>
      <c r="I477" t="s">
        <v>42</v>
      </c>
      <c r="J477">
        <v>0.1</v>
      </c>
      <c r="K477">
        <v>0.51</v>
      </c>
      <c r="L477">
        <v>5.53</v>
      </c>
      <c r="M477">
        <v>11.57</v>
      </c>
      <c r="N477">
        <v>2.75</v>
      </c>
      <c r="O477">
        <v>4.41</v>
      </c>
      <c r="P477">
        <v>19.4481</v>
      </c>
      <c r="Q477" t="str">
        <f>IFERROR(INDEX(Rosters!$C$2:$C$155,MATCH($B477,Rosters!$B$2:$B$155,0)),"NA")</f>
        <v>NA</v>
      </c>
      <c r="R477" t="str">
        <f t="shared" si="14"/>
        <v>NA7</v>
      </c>
      <c r="S477">
        <f>COUNTIFS(A$1:A477,A477)</f>
        <v>26</v>
      </c>
      <c r="T477" t="str">
        <f t="shared" si="15"/>
        <v>Phil Dawson7</v>
      </c>
      <c r="U477">
        <f>IF(OR(NOT(ISERROR(MATCH(T477,Finals!$K$2:$K$1801,0))),AND(A477&gt;Week,Q477&lt;&gt;"NA")),"",A477)</f>
        <v>7</v>
      </c>
      <c r="V477" t="str">
        <f>IF(U477&lt;&gt;"",U477&amp;"-"&amp;COUNTIF(U$1:U477,U477),"")</f>
        <v>7-18</v>
      </c>
    </row>
    <row r="478" spans="1:22" x14ac:dyDescent="0.25">
      <c r="A478">
        <v>13</v>
      </c>
      <c r="B478" t="s">
        <v>448</v>
      </c>
      <c r="C478" t="s">
        <v>5397</v>
      </c>
      <c r="D478">
        <v>1.52</v>
      </c>
      <c r="E478">
        <v>1.91</v>
      </c>
      <c r="F478">
        <v>1.38</v>
      </c>
      <c r="G478">
        <v>1.4</v>
      </c>
      <c r="H478">
        <v>6.7</v>
      </c>
      <c r="I478" t="s">
        <v>76</v>
      </c>
      <c r="J478">
        <v>0.02</v>
      </c>
      <c r="K478">
        <v>0.39</v>
      </c>
      <c r="L478">
        <v>5.51</v>
      </c>
      <c r="M478">
        <v>10.18</v>
      </c>
      <c r="N478">
        <v>3.22</v>
      </c>
      <c r="O478">
        <v>3.48</v>
      </c>
      <c r="P478">
        <v>12.1104</v>
      </c>
      <c r="Q478" t="str">
        <f>IFERROR(INDEX(Rosters!$C$2:$C$155,MATCH($B478,Rosters!$B$2:$B$155,0)),"NA")</f>
        <v>NA</v>
      </c>
      <c r="R478" t="str">
        <f t="shared" si="14"/>
        <v>NA13</v>
      </c>
      <c r="S478">
        <f>COUNTIFS(A$1:A478,A478)</f>
        <v>30</v>
      </c>
      <c r="T478" t="str">
        <f t="shared" si="15"/>
        <v>Adam Vinatieri13</v>
      </c>
      <c r="U478">
        <f>IF(OR(NOT(ISERROR(MATCH(T478,Finals!$K$2:$K$1801,0))),AND(A478&gt;Week,Q478&lt;&gt;"NA")),"",A478)</f>
        <v>13</v>
      </c>
      <c r="V478" t="str">
        <f>IF(U478&lt;&gt;"",U478&amp;"-"&amp;COUNTIF(U$1:U478,U478),"")</f>
        <v>13-21</v>
      </c>
    </row>
    <row r="479" spans="1:22" x14ac:dyDescent="0.25">
      <c r="A479">
        <v>6</v>
      </c>
      <c r="B479" t="s">
        <v>461</v>
      </c>
      <c r="C479" t="s">
        <v>5398</v>
      </c>
      <c r="D479">
        <v>1.44</v>
      </c>
      <c r="E479">
        <v>1.77</v>
      </c>
      <c r="F479">
        <v>1.55</v>
      </c>
      <c r="G479">
        <v>1.55</v>
      </c>
      <c r="H479">
        <v>6.48</v>
      </c>
      <c r="I479" t="s">
        <v>50</v>
      </c>
      <c r="J479">
        <v>0</v>
      </c>
      <c r="K479">
        <v>0.33</v>
      </c>
      <c r="L479">
        <v>5.49</v>
      </c>
      <c r="M479">
        <v>10.75</v>
      </c>
      <c r="N479">
        <v>2.21</v>
      </c>
      <c r="O479">
        <v>4.2699999999999996</v>
      </c>
      <c r="P479">
        <v>18.232900000000001</v>
      </c>
      <c r="Q479" t="str">
        <f>IFERROR(INDEX(Rosters!$C$2:$C$155,MATCH($B479,Rosters!$B$2:$B$155,0)),"NA")</f>
        <v>NA</v>
      </c>
      <c r="R479" t="str">
        <f t="shared" si="14"/>
        <v>NA6</v>
      </c>
      <c r="S479">
        <f>COUNTIFS(A$1:A479,A479)</f>
        <v>29</v>
      </c>
      <c r="T479" t="str">
        <f t="shared" si="15"/>
        <v>Aldrick Rosas6</v>
      </c>
      <c r="U479">
        <f>IF(OR(NOT(ISERROR(MATCH(T479,Finals!$K$2:$K$1801,0))),AND(A479&gt;Week,Q479&lt;&gt;"NA")),"",A479)</f>
        <v>6</v>
      </c>
      <c r="V479" t="str">
        <f>IF(U479&lt;&gt;"",U479&amp;"-"&amp;COUNTIF(U$1:U479,U479),"")</f>
        <v>6-22</v>
      </c>
    </row>
    <row r="480" spans="1:22" x14ac:dyDescent="0.25">
      <c r="A480">
        <v>3</v>
      </c>
      <c r="B480" t="s">
        <v>1120</v>
      </c>
      <c r="C480" t="s">
        <v>4389</v>
      </c>
      <c r="D480">
        <v>1.37</v>
      </c>
      <c r="E480">
        <v>1.86</v>
      </c>
      <c r="F480">
        <v>2.42</v>
      </c>
      <c r="G480">
        <v>2.44</v>
      </c>
      <c r="H480">
        <v>6.98</v>
      </c>
      <c r="I480" t="s">
        <v>41</v>
      </c>
      <c r="J480">
        <v>0.02</v>
      </c>
      <c r="K480">
        <v>0.49</v>
      </c>
      <c r="L480">
        <v>5.49</v>
      </c>
      <c r="M480">
        <v>10.61</v>
      </c>
      <c r="N480">
        <v>3.35</v>
      </c>
      <c r="O480">
        <v>3.63</v>
      </c>
      <c r="P480">
        <v>13.1769</v>
      </c>
      <c r="Q480" t="str">
        <f>IFERROR(INDEX(Rosters!$C$2:$C$155,MATCH($B480,Rosters!$B$2:$B$155,0)),"NA")</f>
        <v>NA</v>
      </c>
      <c r="R480" t="str">
        <f t="shared" si="14"/>
        <v>NA3</v>
      </c>
      <c r="S480">
        <f>COUNTIFS(A$1:A480,A480)</f>
        <v>27</v>
      </c>
      <c r="T480" t="str">
        <f t="shared" si="15"/>
        <v>Dustin Hopkins3</v>
      </c>
      <c r="U480">
        <f>IF(OR(NOT(ISERROR(MATCH(T480,Finals!$K$2:$K$1801,0))),AND(A480&gt;Week,Q480&lt;&gt;"NA")),"",A480)</f>
        <v>3</v>
      </c>
      <c r="V480" t="str">
        <f>IF(U480&lt;&gt;"",U480&amp;"-"&amp;COUNTIF(U$1:U480,U480),"")</f>
        <v>3-18</v>
      </c>
    </row>
    <row r="481" spans="1:22" x14ac:dyDescent="0.25">
      <c r="A481">
        <v>7</v>
      </c>
      <c r="B481" t="s">
        <v>4169</v>
      </c>
      <c r="C481" t="s">
        <v>5399</v>
      </c>
      <c r="D481">
        <v>1.2</v>
      </c>
      <c r="E481">
        <v>1.49</v>
      </c>
      <c r="F481">
        <v>2.33</v>
      </c>
      <c r="G481">
        <v>2.41</v>
      </c>
      <c r="H481">
        <v>6.44</v>
      </c>
      <c r="I481" t="s">
        <v>17</v>
      </c>
      <c r="J481">
        <v>8.0000000000000099E-2</v>
      </c>
      <c r="K481">
        <v>0.28999999999999998</v>
      </c>
      <c r="L481">
        <v>5.49</v>
      </c>
      <c r="M481">
        <v>10.3</v>
      </c>
      <c r="N481">
        <v>2.58</v>
      </c>
      <c r="O481">
        <v>3.86</v>
      </c>
      <c r="P481">
        <v>14.8996</v>
      </c>
      <c r="Q481" t="str">
        <f>IFERROR(INDEX(Rosters!$C$2:$C$155,MATCH($B481,Rosters!$B$2:$B$155,0)),"NA")</f>
        <v>NA</v>
      </c>
      <c r="R481" t="str">
        <f t="shared" si="14"/>
        <v>NA7</v>
      </c>
      <c r="S481">
        <f>COUNTIFS(A$1:A481,A481)</f>
        <v>27</v>
      </c>
      <c r="T481" t="str">
        <f t="shared" si="15"/>
        <v>Greg Joseph7</v>
      </c>
      <c r="U481">
        <f>IF(OR(NOT(ISERROR(MATCH(T481,Finals!$K$2:$K$1801,0))),AND(A481&gt;Week,Q481&lt;&gt;"NA")),"",A481)</f>
        <v>7</v>
      </c>
      <c r="V481" t="str">
        <f>IF(U481&lt;&gt;"",U481&amp;"-"&amp;COUNTIF(U$1:U481,U481),"")</f>
        <v>7-19</v>
      </c>
    </row>
    <row r="482" spans="1:22" x14ac:dyDescent="0.25">
      <c r="A482">
        <v>3</v>
      </c>
      <c r="B482" t="s">
        <v>460</v>
      </c>
      <c r="C482" t="s">
        <v>4175</v>
      </c>
      <c r="D482">
        <v>1.4</v>
      </c>
      <c r="E482">
        <v>1.82</v>
      </c>
      <c r="F482">
        <v>2.19</v>
      </c>
      <c r="G482">
        <v>2.2999999999999998</v>
      </c>
      <c r="H482">
        <v>6.86</v>
      </c>
      <c r="I482" t="s">
        <v>52</v>
      </c>
      <c r="J482">
        <v>0.11</v>
      </c>
      <c r="K482">
        <v>0.42</v>
      </c>
      <c r="L482">
        <v>5.49</v>
      </c>
      <c r="M482">
        <v>10.56</v>
      </c>
      <c r="N482">
        <v>3.16</v>
      </c>
      <c r="O482">
        <v>3.7</v>
      </c>
      <c r="P482">
        <v>13.69</v>
      </c>
      <c r="Q482" t="str">
        <f>IFERROR(INDEX(Rosters!$C$2:$C$155,MATCH($B482,Rosters!$B$2:$B$155,0)),"NA")</f>
        <v>NA</v>
      </c>
      <c r="R482" t="str">
        <f t="shared" si="14"/>
        <v>NA3</v>
      </c>
      <c r="S482">
        <f>COUNTIFS(A$1:A482,A482)</f>
        <v>28</v>
      </c>
      <c r="T482" t="str">
        <f t="shared" si="15"/>
        <v>Jason Myers3</v>
      </c>
      <c r="U482">
        <f>IF(OR(NOT(ISERROR(MATCH(T482,Finals!$K$2:$K$1801,0))),AND(A482&gt;Week,Q482&lt;&gt;"NA")),"",A482)</f>
        <v>3</v>
      </c>
      <c r="V482" t="str">
        <f>IF(U482&lt;&gt;"",U482&amp;"-"&amp;COUNTIF(U$1:U482,U482),"")</f>
        <v>3-19</v>
      </c>
    </row>
    <row r="483" spans="1:22" x14ac:dyDescent="0.25">
      <c r="A483">
        <v>13</v>
      </c>
      <c r="B483" t="s">
        <v>4169</v>
      </c>
      <c r="C483" t="s">
        <v>5400</v>
      </c>
      <c r="D483">
        <v>1.28</v>
      </c>
      <c r="E483">
        <v>1.59</v>
      </c>
      <c r="F483">
        <v>2.1</v>
      </c>
      <c r="G483">
        <v>2.1800000000000002</v>
      </c>
      <c r="H483">
        <v>6.45</v>
      </c>
      <c r="I483" t="s">
        <v>36</v>
      </c>
      <c r="J483">
        <v>8.0000000000000099E-2</v>
      </c>
      <c r="K483">
        <v>0.31</v>
      </c>
      <c r="L483">
        <v>5.44</v>
      </c>
      <c r="M483">
        <v>10.19</v>
      </c>
      <c r="N483">
        <v>2.71</v>
      </c>
      <c r="O483">
        <v>3.74</v>
      </c>
      <c r="P483">
        <v>13.9876</v>
      </c>
      <c r="Q483" t="str">
        <f>IFERROR(INDEX(Rosters!$C$2:$C$155,MATCH($B483,Rosters!$B$2:$B$155,0)),"NA")</f>
        <v>NA</v>
      </c>
      <c r="R483" t="str">
        <f t="shared" si="14"/>
        <v>NA13</v>
      </c>
      <c r="S483">
        <f>COUNTIFS(A$1:A483,A483)</f>
        <v>31</v>
      </c>
      <c r="T483" t="str">
        <f t="shared" si="15"/>
        <v>Greg Joseph13</v>
      </c>
      <c r="U483">
        <f>IF(OR(NOT(ISERROR(MATCH(T483,Finals!$K$2:$K$1801,0))),AND(A483&gt;Week,Q483&lt;&gt;"NA")),"",A483)</f>
        <v>13</v>
      </c>
      <c r="V483" t="str">
        <f>IF(U483&lt;&gt;"",U483&amp;"-"&amp;COUNTIF(U$1:U483,U483),"")</f>
        <v>13-22</v>
      </c>
    </row>
    <row r="484" spans="1:22" x14ac:dyDescent="0.25">
      <c r="A484">
        <v>16</v>
      </c>
      <c r="B484" t="s">
        <v>4169</v>
      </c>
      <c r="C484" t="s">
        <v>5401</v>
      </c>
      <c r="D484">
        <v>1.4</v>
      </c>
      <c r="E484">
        <v>1.69</v>
      </c>
      <c r="F484">
        <v>1.66</v>
      </c>
      <c r="G484">
        <v>1.7</v>
      </c>
      <c r="H484">
        <v>6.34</v>
      </c>
      <c r="I484" t="s">
        <v>31</v>
      </c>
      <c r="J484">
        <v>0.04</v>
      </c>
      <c r="K484">
        <v>0.28999999999999998</v>
      </c>
      <c r="L484">
        <v>5.43</v>
      </c>
      <c r="M484">
        <v>10.19</v>
      </c>
      <c r="N484">
        <v>2.4900000000000002</v>
      </c>
      <c r="O484">
        <v>3.85</v>
      </c>
      <c r="P484">
        <v>14.8225</v>
      </c>
      <c r="Q484" t="str">
        <f>IFERROR(INDEX(Rosters!$C$2:$C$155,MATCH($B484,Rosters!$B$2:$B$155,0)),"NA")</f>
        <v>NA</v>
      </c>
      <c r="R484" t="str">
        <f t="shared" si="14"/>
        <v>NA16</v>
      </c>
      <c r="S484">
        <f>COUNTIFS(A$1:A484,A484)</f>
        <v>31</v>
      </c>
      <c r="T484" t="str">
        <f t="shared" si="15"/>
        <v>Greg Joseph16</v>
      </c>
      <c r="U484">
        <f>IF(OR(NOT(ISERROR(MATCH(T484,Finals!$K$2:$K$1801,0))),AND(A484&gt;Week,Q484&lt;&gt;"NA")),"",A484)</f>
        <v>16</v>
      </c>
      <c r="V484" t="str">
        <f>IF(U484&lt;&gt;"",U484&amp;"-"&amp;COUNTIF(U$1:U484,U484),"")</f>
        <v>16-22</v>
      </c>
    </row>
    <row r="485" spans="1:22" x14ac:dyDescent="0.25">
      <c r="A485">
        <v>12</v>
      </c>
      <c r="B485" t="s">
        <v>463</v>
      </c>
      <c r="C485" t="s">
        <v>5402</v>
      </c>
      <c r="D485">
        <v>1.48</v>
      </c>
      <c r="E485">
        <v>1.93</v>
      </c>
      <c r="F485">
        <v>1.79</v>
      </c>
      <c r="G485">
        <v>1.9</v>
      </c>
      <c r="H485">
        <v>6.89</v>
      </c>
      <c r="I485" t="s">
        <v>37</v>
      </c>
      <c r="J485">
        <v>0.11</v>
      </c>
      <c r="K485">
        <v>0.45</v>
      </c>
      <c r="L485">
        <v>5.43</v>
      </c>
      <c r="M485">
        <v>11.07</v>
      </c>
      <c r="N485">
        <v>2.71</v>
      </c>
      <c r="O485">
        <v>4.18</v>
      </c>
      <c r="P485">
        <v>17.4724</v>
      </c>
      <c r="Q485" t="str">
        <f>IFERROR(INDEX(Rosters!$C$2:$C$155,MATCH($B485,Rosters!$B$2:$B$155,0)),"NA")</f>
        <v>NA</v>
      </c>
      <c r="R485" t="str">
        <f t="shared" si="14"/>
        <v>NA12</v>
      </c>
      <c r="S485">
        <f>COUNTIFS(A$1:A485,A485)</f>
        <v>27</v>
      </c>
      <c r="T485" t="str">
        <f t="shared" si="15"/>
        <v>Phil Dawson12</v>
      </c>
      <c r="U485">
        <f>IF(OR(NOT(ISERROR(MATCH(T485,Finals!$K$2:$K$1801,0))),AND(A485&gt;Week,Q485&lt;&gt;"NA")),"",A485)</f>
        <v>12</v>
      </c>
      <c r="V485" t="str">
        <f>IF(U485&lt;&gt;"",U485&amp;"-"&amp;COUNTIF(U$1:U485,U485),"")</f>
        <v>12-19</v>
      </c>
    </row>
    <row r="486" spans="1:22" x14ac:dyDescent="0.25">
      <c r="A486">
        <v>13</v>
      </c>
      <c r="B486" t="s">
        <v>461</v>
      </c>
      <c r="C486" t="s">
        <v>5403</v>
      </c>
      <c r="D486">
        <v>1.46</v>
      </c>
      <c r="E486">
        <v>1.85</v>
      </c>
      <c r="F486">
        <v>1.63</v>
      </c>
      <c r="G486">
        <v>1.63</v>
      </c>
      <c r="H486">
        <v>6.58</v>
      </c>
      <c r="I486" t="s">
        <v>72</v>
      </c>
      <c r="J486">
        <v>0</v>
      </c>
      <c r="K486">
        <v>0.39</v>
      </c>
      <c r="L486">
        <v>5.41</v>
      </c>
      <c r="M486">
        <v>10.79</v>
      </c>
      <c r="N486">
        <v>2.37</v>
      </c>
      <c r="O486">
        <v>4.21</v>
      </c>
      <c r="P486">
        <v>17.7241</v>
      </c>
      <c r="Q486" t="str">
        <f>IFERROR(INDEX(Rosters!$C$2:$C$155,MATCH($B486,Rosters!$B$2:$B$155,0)),"NA")</f>
        <v>NA</v>
      </c>
      <c r="R486" t="str">
        <f t="shared" si="14"/>
        <v>NA13</v>
      </c>
      <c r="S486">
        <f>COUNTIFS(A$1:A486,A486)</f>
        <v>32</v>
      </c>
      <c r="T486" t="str">
        <f t="shared" si="15"/>
        <v>Aldrick Rosas13</v>
      </c>
      <c r="U486">
        <f>IF(OR(NOT(ISERROR(MATCH(T486,Finals!$K$2:$K$1801,0))),AND(A486&gt;Week,Q486&lt;&gt;"NA")),"",A486)</f>
        <v>13</v>
      </c>
      <c r="V486" t="str">
        <f>IF(U486&lt;&gt;"",U486&amp;"-"&amp;COUNTIF(U$1:U486,U486),"")</f>
        <v>13-23</v>
      </c>
    </row>
    <row r="487" spans="1:22" x14ac:dyDescent="0.25">
      <c r="A487">
        <v>14</v>
      </c>
      <c r="B487" t="s">
        <v>450</v>
      </c>
      <c r="C487" t="s">
        <v>5404</v>
      </c>
      <c r="D487">
        <v>1.44</v>
      </c>
      <c r="E487">
        <v>1.9</v>
      </c>
      <c r="F487">
        <v>2.0099999999999998</v>
      </c>
      <c r="G487">
        <v>2.0299999999999998</v>
      </c>
      <c r="H487">
        <v>6.8</v>
      </c>
      <c r="I487" t="s">
        <v>58</v>
      </c>
      <c r="J487">
        <v>0.02</v>
      </c>
      <c r="K487">
        <v>0.46</v>
      </c>
      <c r="L487">
        <v>5.4</v>
      </c>
      <c r="M487">
        <v>10.81</v>
      </c>
      <c r="N487">
        <v>2.79</v>
      </c>
      <c r="O487">
        <v>4.01</v>
      </c>
      <c r="P487">
        <v>16.080100000000002</v>
      </c>
      <c r="Q487" t="str">
        <f>IFERROR(INDEX(Rosters!$C$2:$C$155,MATCH($B487,Rosters!$B$2:$B$155,0)),"NA")</f>
        <v>devon</v>
      </c>
      <c r="R487" t="str">
        <f t="shared" si="14"/>
        <v>devon14</v>
      </c>
      <c r="S487">
        <f>COUNTIFS(A$1:A487,A487)</f>
        <v>31</v>
      </c>
      <c r="T487" t="str">
        <f t="shared" si="15"/>
        <v>Matt Prater14</v>
      </c>
      <c r="U487" t="str">
        <f>IF(OR(NOT(ISERROR(MATCH(T487,Finals!$K$2:$K$1801,0))),AND(A487&gt;Week,Q487&lt;&gt;"NA")),"",A487)</f>
        <v/>
      </c>
      <c r="V487" t="str">
        <f>IF(U487&lt;&gt;"",U487&amp;"-"&amp;COUNTIF(U$1:U487,U487),"")</f>
        <v/>
      </c>
    </row>
    <row r="488" spans="1:22" x14ac:dyDescent="0.25">
      <c r="A488">
        <v>4</v>
      </c>
      <c r="B488" t="s">
        <v>460</v>
      </c>
      <c r="C488" t="s">
        <v>5405</v>
      </c>
      <c r="D488">
        <v>1.41</v>
      </c>
      <c r="E488">
        <v>1.68</v>
      </c>
      <c r="F488">
        <v>1.6</v>
      </c>
      <c r="G488">
        <v>1.65</v>
      </c>
      <c r="H488">
        <v>6.21</v>
      </c>
      <c r="I488" t="s">
        <v>76</v>
      </c>
      <c r="J488">
        <v>4.9999999999999802E-2</v>
      </c>
      <c r="K488">
        <v>0.27</v>
      </c>
      <c r="L488">
        <v>5.35</v>
      </c>
      <c r="M488">
        <v>10.34</v>
      </c>
      <c r="N488">
        <v>2.08</v>
      </c>
      <c r="O488">
        <v>4.13</v>
      </c>
      <c r="P488">
        <v>17.056899999999999</v>
      </c>
      <c r="Q488" t="str">
        <f>IFERROR(INDEX(Rosters!$C$2:$C$155,MATCH($B488,Rosters!$B$2:$B$155,0)),"NA")</f>
        <v>NA</v>
      </c>
      <c r="R488" t="str">
        <f t="shared" si="14"/>
        <v>NA4</v>
      </c>
      <c r="S488">
        <f>COUNTIFS(A$1:A488,A488)</f>
        <v>29</v>
      </c>
      <c r="T488" t="str">
        <f t="shared" si="15"/>
        <v>Jason Myers4</v>
      </c>
      <c r="U488">
        <f>IF(OR(NOT(ISERROR(MATCH(T488,Finals!$K$2:$K$1801,0))),AND(A488&gt;Week,Q488&lt;&gt;"NA")),"",A488)</f>
        <v>4</v>
      </c>
      <c r="V488" t="str">
        <f>IF(U488&lt;&gt;"",U488&amp;"-"&amp;COUNTIF(U$1:U488,U488),"")</f>
        <v>4-20</v>
      </c>
    </row>
    <row r="489" spans="1:22" x14ac:dyDescent="0.25">
      <c r="A489">
        <v>17</v>
      </c>
      <c r="B489" t="s">
        <v>4169</v>
      </c>
      <c r="C489" t="s">
        <v>5406</v>
      </c>
      <c r="D489">
        <v>1.56</v>
      </c>
      <c r="E489">
        <v>1.98</v>
      </c>
      <c r="F489">
        <v>1.36</v>
      </c>
      <c r="G489">
        <v>1.36</v>
      </c>
      <c r="H489">
        <v>6.59</v>
      </c>
      <c r="I489" t="s">
        <v>77</v>
      </c>
      <c r="J489">
        <v>0</v>
      </c>
      <c r="K489">
        <v>0.42</v>
      </c>
      <c r="L489">
        <v>5.33</v>
      </c>
      <c r="M489">
        <v>10.55</v>
      </c>
      <c r="N489">
        <v>2.63</v>
      </c>
      <c r="O489">
        <v>3.96</v>
      </c>
      <c r="P489">
        <v>15.6816</v>
      </c>
      <c r="Q489" t="str">
        <f>IFERROR(INDEX(Rosters!$C$2:$C$155,MATCH($B489,Rosters!$B$2:$B$155,0)),"NA")</f>
        <v>NA</v>
      </c>
      <c r="R489" t="str">
        <f t="shared" si="14"/>
        <v>NA17</v>
      </c>
      <c r="S489">
        <f>COUNTIFS(A$1:A489,A489)</f>
        <v>31</v>
      </c>
      <c r="T489" t="str">
        <f t="shared" si="15"/>
        <v>Greg Joseph17</v>
      </c>
      <c r="U489">
        <f>IF(OR(NOT(ISERROR(MATCH(T489,Finals!$K$2:$K$1801,0))),AND(A489&gt;Week,Q489&lt;&gt;"NA")),"",A489)</f>
        <v>17</v>
      </c>
      <c r="V489" t="str">
        <f>IF(U489&lt;&gt;"",U489&amp;"-"&amp;COUNTIF(U$1:U489,U489),"")</f>
        <v>17-22</v>
      </c>
    </row>
    <row r="490" spans="1:22" x14ac:dyDescent="0.25">
      <c r="A490">
        <v>5</v>
      </c>
      <c r="B490" t="s">
        <v>463</v>
      </c>
      <c r="C490" t="s">
        <v>9108</v>
      </c>
      <c r="D490">
        <v>1.76</v>
      </c>
      <c r="E490">
        <v>2.29</v>
      </c>
      <c r="F490">
        <v>1.58</v>
      </c>
      <c r="G490">
        <v>1.89</v>
      </c>
      <c r="H490">
        <v>7.19</v>
      </c>
      <c r="I490" t="s">
        <v>30</v>
      </c>
      <c r="J490">
        <v>0.31</v>
      </c>
      <c r="K490">
        <v>0.53</v>
      </c>
      <c r="L490">
        <v>5.29</v>
      </c>
      <c r="M490">
        <v>11.56</v>
      </c>
      <c r="N490">
        <v>2.82</v>
      </c>
      <c r="O490">
        <v>4.37</v>
      </c>
      <c r="P490">
        <v>19.096900000000002</v>
      </c>
      <c r="Q490" t="str">
        <f>IFERROR(INDEX(Rosters!$C$2:$C$155,MATCH($B490,Rosters!$B$2:$B$155,0)),"NA")</f>
        <v>NA</v>
      </c>
      <c r="R490" t="str">
        <f t="shared" si="14"/>
        <v>NA5</v>
      </c>
      <c r="S490">
        <f>COUNTIFS(A$1:A490,A490)</f>
        <v>30</v>
      </c>
      <c r="T490" t="str">
        <f t="shared" si="15"/>
        <v>Phil Dawson5</v>
      </c>
      <c r="U490">
        <f>IF(OR(NOT(ISERROR(MATCH(T490,Finals!$K$2:$K$1801,0))),AND(A490&gt;Week,Q490&lt;&gt;"NA")),"",A490)</f>
        <v>5</v>
      </c>
      <c r="V490" t="str">
        <f>IF(U490&lt;&gt;"",U490&amp;"-"&amp;COUNTIF(U$1:U490,U490),"")</f>
        <v>5-20</v>
      </c>
    </row>
    <row r="491" spans="1:22" x14ac:dyDescent="0.25">
      <c r="A491">
        <v>14</v>
      </c>
      <c r="B491" t="s">
        <v>461</v>
      </c>
      <c r="C491" t="s">
        <v>5407</v>
      </c>
      <c r="D491">
        <v>1.39</v>
      </c>
      <c r="E491">
        <v>1.78</v>
      </c>
      <c r="F491">
        <v>1.58</v>
      </c>
      <c r="G491">
        <v>1.64</v>
      </c>
      <c r="H491">
        <v>6.52</v>
      </c>
      <c r="I491" t="s">
        <v>60</v>
      </c>
      <c r="J491">
        <v>5.9999999999999797E-2</v>
      </c>
      <c r="K491">
        <v>0.39</v>
      </c>
      <c r="L491">
        <v>5.29</v>
      </c>
      <c r="M491">
        <v>10.18</v>
      </c>
      <c r="N491">
        <v>2.86</v>
      </c>
      <c r="O491">
        <v>3.66</v>
      </c>
      <c r="P491">
        <v>13.3956</v>
      </c>
      <c r="Q491" t="str">
        <f>IFERROR(INDEX(Rosters!$C$2:$C$155,MATCH($B491,Rosters!$B$2:$B$155,0)),"NA")</f>
        <v>NA</v>
      </c>
      <c r="R491" t="str">
        <f t="shared" si="14"/>
        <v>NA14</v>
      </c>
      <c r="S491">
        <f>COUNTIFS(A$1:A491,A491)</f>
        <v>32</v>
      </c>
      <c r="T491" t="str">
        <f t="shared" si="15"/>
        <v>Aldrick Rosas14</v>
      </c>
      <c r="U491">
        <f>IF(OR(NOT(ISERROR(MATCH(T491,Finals!$K$2:$K$1801,0))),AND(A491&gt;Week,Q491&lt;&gt;"NA")),"",A491)</f>
        <v>14</v>
      </c>
      <c r="V491" t="str">
        <f>IF(U491&lt;&gt;"",U491&amp;"-"&amp;COUNTIF(U$1:U491,U491),"")</f>
        <v>14-23</v>
      </c>
    </row>
    <row r="492" spans="1:22" x14ac:dyDescent="0.25">
      <c r="A492">
        <v>10</v>
      </c>
      <c r="B492" t="s">
        <v>450</v>
      </c>
      <c r="C492" t="s">
        <v>5408</v>
      </c>
      <c r="D492">
        <v>1.46</v>
      </c>
      <c r="E492">
        <v>1.92</v>
      </c>
      <c r="F492">
        <v>1.85</v>
      </c>
      <c r="G492">
        <v>1.89</v>
      </c>
      <c r="H492">
        <v>6.7</v>
      </c>
      <c r="I492" t="s">
        <v>72</v>
      </c>
      <c r="J492">
        <v>3.99999999999998E-2</v>
      </c>
      <c r="K492">
        <v>0.46</v>
      </c>
      <c r="L492">
        <v>5.28</v>
      </c>
      <c r="M492">
        <v>10.76</v>
      </c>
      <c r="N492">
        <v>2.64</v>
      </c>
      <c r="O492">
        <v>4.0599999999999996</v>
      </c>
      <c r="P492">
        <v>16.483599999999999</v>
      </c>
      <c r="Q492" t="str">
        <f>IFERROR(INDEX(Rosters!$C$2:$C$155,MATCH($B492,Rosters!$B$2:$B$155,0)),"NA")</f>
        <v>devon</v>
      </c>
      <c r="R492" t="str">
        <f t="shared" si="14"/>
        <v>devon10</v>
      </c>
      <c r="S492">
        <f>COUNTIFS(A$1:A492,A492)</f>
        <v>28</v>
      </c>
      <c r="T492" t="str">
        <f t="shared" si="15"/>
        <v>Matt Prater10</v>
      </c>
      <c r="U492" t="str">
        <f>IF(OR(NOT(ISERROR(MATCH(T492,Finals!$K$2:$K$1801,0))),AND(A492&gt;Week,Q492&lt;&gt;"NA")),"",A492)</f>
        <v/>
      </c>
      <c r="V492" t="str">
        <f>IF(U492&lt;&gt;"",U492&amp;"-"&amp;COUNTIF(U$1:U492,U492),"")</f>
        <v/>
      </c>
    </row>
    <row r="493" spans="1:22" x14ac:dyDescent="0.25">
      <c r="A493">
        <v>1</v>
      </c>
      <c r="B493" t="s">
        <v>461</v>
      </c>
      <c r="C493" t="s">
        <v>1768</v>
      </c>
      <c r="D493">
        <v>1.55</v>
      </c>
      <c r="E493">
        <v>2.12</v>
      </c>
      <c r="F493">
        <v>1.75</v>
      </c>
      <c r="G493">
        <v>1.8</v>
      </c>
      <c r="H493">
        <v>6.97</v>
      </c>
      <c r="I493" t="s">
        <v>76</v>
      </c>
      <c r="J493">
        <v>0.05</v>
      </c>
      <c r="K493">
        <v>0.56999999999999995</v>
      </c>
      <c r="L493">
        <v>5.21</v>
      </c>
      <c r="M493">
        <v>11.34</v>
      </c>
      <c r="N493">
        <v>2.6</v>
      </c>
      <c r="O493">
        <v>4.37</v>
      </c>
      <c r="P493">
        <v>19.096900000000002</v>
      </c>
      <c r="Q493" t="str">
        <f>IFERROR(INDEX(Rosters!$C$2:$C$155,MATCH($B493,Rosters!$B$2:$B$155,0)),"NA")</f>
        <v>NA</v>
      </c>
      <c r="R493" t="str">
        <f t="shared" si="14"/>
        <v>NA1</v>
      </c>
      <c r="S493">
        <f>COUNTIFS(A$1:A493,A493)</f>
        <v>30</v>
      </c>
      <c r="T493" t="str">
        <f t="shared" si="15"/>
        <v>Aldrick Rosas1</v>
      </c>
      <c r="U493">
        <f>IF(OR(NOT(ISERROR(MATCH(T493,Finals!$K$2:$K$1801,0))),AND(A493&gt;Week,Q493&lt;&gt;"NA")),"",A493)</f>
        <v>1</v>
      </c>
      <c r="V493" t="str">
        <f>IF(U493&lt;&gt;"",U493&amp;"-"&amp;COUNTIF(U$1:U493,U493),"")</f>
        <v>1-20</v>
      </c>
    </row>
    <row r="494" spans="1:22" x14ac:dyDescent="0.25">
      <c r="A494">
        <v>12</v>
      </c>
      <c r="B494" t="s">
        <v>461</v>
      </c>
      <c r="C494" t="s">
        <v>5409</v>
      </c>
      <c r="D494">
        <v>1.36</v>
      </c>
      <c r="E494">
        <v>1.67</v>
      </c>
      <c r="F494">
        <v>1.47</v>
      </c>
      <c r="G494">
        <v>1.47</v>
      </c>
      <c r="H494">
        <v>6.12</v>
      </c>
      <c r="I494" t="s">
        <v>50</v>
      </c>
      <c r="J494">
        <v>0</v>
      </c>
      <c r="K494">
        <v>0.31</v>
      </c>
      <c r="L494">
        <v>5.19</v>
      </c>
      <c r="M494">
        <v>10.16</v>
      </c>
      <c r="N494">
        <v>2.08</v>
      </c>
      <c r="O494">
        <v>4.04</v>
      </c>
      <c r="P494">
        <v>16.3216</v>
      </c>
      <c r="Q494" t="str">
        <f>IFERROR(INDEX(Rosters!$C$2:$C$155,MATCH($B494,Rosters!$B$2:$B$155,0)),"NA")</f>
        <v>NA</v>
      </c>
      <c r="R494" t="str">
        <f t="shared" si="14"/>
        <v>NA12</v>
      </c>
      <c r="S494">
        <f>COUNTIFS(A$1:A494,A494)</f>
        <v>28</v>
      </c>
      <c r="T494" t="str">
        <f t="shared" si="15"/>
        <v>Aldrick Rosas12</v>
      </c>
      <c r="U494">
        <f>IF(OR(NOT(ISERROR(MATCH(T494,Finals!$K$2:$K$1801,0))),AND(A494&gt;Week,Q494&lt;&gt;"NA")),"",A494)</f>
        <v>12</v>
      </c>
      <c r="V494" t="str">
        <f>IF(U494&lt;&gt;"",U494&amp;"-"&amp;COUNTIF(U$1:U494,U494),"")</f>
        <v>12-20</v>
      </c>
    </row>
    <row r="495" spans="1:22" x14ac:dyDescent="0.25">
      <c r="A495">
        <v>12</v>
      </c>
      <c r="B495" t="s">
        <v>5064</v>
      </c>
      <c r="C495" t="s">
        <v>5410</v>
      </c>
      <c r="D495">
        <v>1.25</v>
      </c>
      <c r="E495">
        <v>1.48</v>
      </c>
      <c r="F495">
        <v>1.79</v>
      </c>
      <c r="G495">
        <v>1.85</v>
      </c>
      <c r="H495">
        <v>5.92</v>
      </c>
      <c r="I495" t="s">
        <v>77</v>
      </c>
      <c r="J495">
        <v>6.0000000000000102E-2</v>
      </c>
      <c r="K495">
        <v>0.23</v>
      </c>
      <c r="L495">
        <v>5.17</v>
      </c>
      <c r="M495">
        <v>9.7200000000000006</v>
      </c>
      <c r="N495">
        <v>2.12</v>
      </c>
      <c r="O495">
        <v>3.8</v>
      </c>
      <c r="P495">
        <v>14.44</v>
      </c>
      <c r="Q495" t="str">
        <f>IFERROR(INDEX(Rosters!$C$2:$C$155,MATCH($B495,Rosters!$B$2:$B$155,0)),"NA")</f>
        <v>NA</v>
      </c>
      <c r="R495" t="str">
        <f t="shared" si="14"/>
        <v>NA12</v>
      </c>
      <c r="S495">
        <f>COUNTIFS(A$1:A495,A495)</f>
        <v>29</v>
      </c>
      <c r="T495" t="str">
        <f t="shared" si="15"/>
        <v>Matt McCrane12</v>
      </c>
      <c r="U495">
        <f>IF(OR(NOT(ISERROR(MATCH(T495,Finals!$K$2:$K$1801,0))),AND(A495&gt;Week,Q495&lt;&gt;"NA")),"",A495)</f>
        <v>12</v>
      </c>
      <c r="V495" t="str">
        <f>IF(U495&lt;&gt;"",U495&amp;"-"&amp;COUNTIF(U$1:U495,U495),"")</f>
        <v>12-21</v>
      </c>
    </row>
    <row r="496" spans="1:22" x14ac:dyDescent="0.25">
      <c r="A496">
        <v>16</v>
      </c>
      <c r="B496" t="s">
        <v>463</v>
      </c>
      <c r="C496" t="s">
        <v>5411</v>
      </c>
      <c r="D496">
        <v>1.42</v>
      </c>
      <c r="E496">
        <v>1.95</v>
      </c>
      <c r="F496">
        <v>2.0699999999999998</v>
      </c>
      <c r="G496">
        <v>2.17</v>
      </c>
      <c r="H496">
        <v>6.85</v>
      </c>
      <c r="I496" t="s">
        <v>56</v>
      </c>
      <c r="J496">
        <v>0.1</v>
      </c>
      <c r="K496">
        <v>0.53</v>
      </c>
      <c r="L496">
        <v>5.16</v>
      </c>
      <c r="M496">
        <v>10.5</v>
      </c>
      <c r="N496">
        <v>3.2</v>
      </c>
      <c r="O496">
        <v>3.65</v>
      </c>
      <c r="P496">
        <v>13.3225</v>
      </c>
      <c r="Q496" t="str">
        <f>IFERROR(INDEX(Rosters!$C$2:$C$155,MATCH($B496,Rosters!$B$2:$B$155,0)),"NA")</f>
        <v>NA</v>
      </c>
      <c r="R496" t="str">
        <f t="shared" si="14"/>
        <v>NA16</v>
      </c>
      <c r="S496">
        <f>COUNTIFS(A$1:A496,A496)</f>
        <v>32</v>
      </c>
      <c r="T496" t="str">
        <f t="shared" si="15"/>
        <v>Phil Dawson16</v>
      </c>
      <c r="U496">
        <f>IF(OR(NOT(ISERROR(MATCH(T496,Finals!$K$2:$K$1801,0))),AND(A496&gt;Week,Q496&lt;&gt;"NA")),"",A496)</f>
        <v>16</v>
      </c>
      <c r="V496" t="str">
        <f>IF(U496&lt;&gt;"",U496&amp;"-"&amp;COUNTIF(U$1:U496,U496),"")</f>
        <v>16-23</v>
      </c>
    </row>
    <row r="497" spans="1:22" x14ac:dyDescent="0.25">
      <c r="A497">
        <v>11</v>
      </c>
      <c r="B497" t="s">
        <v>5064</v>
      </c>
      <c r="C497" t="s">
        <v>5412</v>
      </c>
      <c r="D497">
        <v>1.18</v>
      </c>
      <c r="E497">
        <v>1.51</v>
      </c>
      <c r="F497">
        <v>2.2000000000000002</v>
      </c>
      <c r="G497">
        <v>2.2200000000000002</v>
      </c>
      <c r="H497">
        <v>6.16</v>
      </c>
      <c r="I497" t="s">
        <v>58</v>
      </c>
      <c r="J497">
        <v>0.02</v>
      </c>
      <c r="K497">
        <v>0.33</v>
      </c>
      <c r="L497">
        <v>5.15</v>
      </c>
      <c r="M497">
        <v>9.44</v>
      </c>
      <c r="N497">
        <v>2.88</v>
      </c>
      <c r="O497">
        <v>3.28</v>
      </c>
      <c r="P497">
        <v>10.7584</v>
      </c>
      <c r="Q497" t="str">
        <f>IFERROR(INDEX(Rosters!$C$2:$C$155,MATCH($B497,Rosters!$B$2:$B$155,0)),"NA")</f>
        <v>NA</v>
      </c>
      <c r="R497" t="str">
        <f t="shared" si="14"/>
        <v>NA11</v>
      </c>
      <c r="S497">
        <f>COUNTIFS(A$1:A497,A497)</f>
        <v>26</v>
      </c>
      <c r="T497" t="str">
        <f t="shared" si="15"/>
        <v>Matt McCrane11</v>
      </c>
      <c r="U497">
        <f>IF(OR(NOT(ISERROR(MATCH(T497,Finals!$K$2:$K$1801,0))),AND(A497&gt;Week,Q497&lt;&gt;"NA")),"",A497)</f>
        <v>11</v>
      </c>
      <c r="V497" t="str">
        <f>IF(U497&lt;&gt;"",U497&amp;"-"&amp;COUNTIF(U$1:U497,U497),"")</f>
        <v>11-19</v>
      </c>
    </row>
    <row r="498" spans="1:22" x14ac:dyDescent="0.25">
      <c r="A498">
        <v>15</v>
      </c>
      <c r="B498" t="s">
        <v>450</v>
      </c>
      <c r="C498" t="s">
        <v>5413</v>
      </c>
      <c r="D498">
        <v>1.17</v>
      </c>
      <c r="E498">
        <v>1.48</v>
      </c>
      <c r="F498">
        <v>2.3199999999999998</v>
      </c>
      <c r="G498">
        <v>2.34</v>
      </c>
      <c r="H498">
        <v>6.1</v>
      </c>
      <c r="I498" t="s">
        <v>29</v>
      </c>
      <c r="J498">
        <v>0.02</v>
      </c>
      <c r="K498">
        <v>0.31</v>
      </c>
      <c r="L498">
        <v>5.15</v>
      </c>
      <c r="M498">
        <v>9.61</v>
      </c>
      <c r="N498">
        <v>2.59</v>
      </c>
      <c r="O498">
        <v>3.51</v>
      </c>
      <c r="P498">
        <v>12.3201</v>
      </c>
      <c r="Q498" t="str">
        <f>IFERROR(INDEX(Rosters!$C$2:$C$155,MATCH($B498,Rosters!$B$2:$B$155,0)),"NA")</f>
        <v>devon</v>
      </c>
      <c r="R498" t="str">
        <f t="shared" si="14"/>
        <v>devon15</v>
      </c>
      <c r="S498">
        <f>COUNTIFS(A$1:A498,A498)</f>
        <v>32</v>
      </c>
      <c r="T498" t="str">
        <f t="shared" si="15"/>
        <v>Matt Prater15</v>
      </c>
      <c r="U498" t="str">
        <f>IF(OR(NOT(ISERROR(MATCH(T498,Finals!$K$2:$K$1801,0))),AND(A498&gt;Week,Q498&lt;&gt;"NA")),"",A498)</f>
        <v/>
      </c>
      <c r="V498" t="str">
        <f>IF(U498&lt;&gt;"",U498&amp;"-"&amp;COUNTIF(U$1:U498,U498),"")</f>
        <v/>
      </c>
    </row>
    <row r="499" spans="1:22" x14ac:dyDescent="0.25">
      <c r="A499">
        <v>3</v>
      </c>
      <c r="B499" t="s">
        <v>461</v>
      </c>
      <c r="C499" t="s">
        <v>4391</v>
      </c>
      <c r="D499">
        <v>1.4</v>
      </c>
      <c r="E499">
        <v>1.93</v>
      </c>
      <c r="F499">
        <v>2.0099999999999998</v>
      </c>
      <c r="G499">
        <v>2.0499999999999998</v>
      </c>
      <c r="H499">
        <v>6.77</v>
      </c>
      <c r="I499" t="s">
        <v>36</v>
      </c>
      <c r="J499">
        <v>0.04</v>
      </c>
      <c r="K499">
        <v>0.53</v>
      </c>
      <c r="L499">
        <v>5.14</v>
      </c>
      <c r="M499">
        <v>11.49</v>
      </c>
      <c r="N499">
        <v>2.0499999999999998</v>
      </c>
      <c r="O499">
        <v>4.72</v>
      </c>
      <c r="P499">
        <v>22.278400000000001</v>
      </c>
      <c r="Q499" t="str">
        <f>IFERROR(INDEX(Rosters!$C$2:$C$155,MATCH($B499,Rosters!$B$2:$B$155,0)),"NA")</f>
        <v>NA</v>
      </c>
      <c r="R499" t="str">
        <f t="shared" si="14"/>
        <v>NA3</v>
      </c>
      <c r="S499">
        <f>COUNTIFS(A$1:A499,A499)</f>
        <v>29</v>
      </c>
      <c r="T499" t="str">
        <f t="shared" si="15"/>
        <v>Aldrick Rosas3</v>
      </c>
      <c r="U499">
        <f>IF(OR(NOT(ISERROR(MATCH(T499,Finals!$K$2:$K$1801,0))),AND(A499&gt;Week,Q499&lt;&gt;"NA")),"",A499)</f>
        <v>3</v>
      </c>
      <c r="V499" t="str">
        <f>IF(U499&lt;&gt;"",U499&amp;"-"&amp;COUNTIF(U$1:U499,U499),"")</f>
        <v>3-20</v>
      </c>
    </row>
    <row r="500" spans="1:22" x14ac:dyDescent="0.25">
      <c r="A500">
        <v>12</v>
      </c>
      <c r="B500" t="s">
        <v>4169</v>
      </c>
      <c r="C500" t="s">
        <v>5414</v>
      </c>
      <c r="D500">
        <v>1.32</v>
      </c>
      <c r="E500">
        <v>1.6</v>
      </c>
      <c r="F500">
        <v>1.57</v>
      </c>
      <c r="G500">
        <v>1.61</v>
      </c>
      <c r="H500">
        <v>5.99</v>
      </c>
      <c r="I500" t="s">
        <v>31</v>
      </c>
      <c r="J500">
        <v>0.04</v>
      </c>
      <c r="K500">
        <v>0.28000000000000003</v>
      </c>
      <c r="L500">
        <v>5.1100000000000003</v>
      </c>
      <c r="M500">
        <v>9.6300000000000008</v>
      </c>
      <c r="N500">
        <v>2.35</v>
      </c>
      <c r="O500">
        <v>3.64</v>
      </c>
      <c r="P500">
        <v>13.249599999999999</v>
      </c>
      <c r="Q500" t="str">
        <f>IFERROR(INDEX(Rosters!$C$2:$C$155,MATCH($B500,Rosters!$B$2:$B$155,0)),"NA")</f>
        <v>NA</v>
      </c>
      <c r="R500" t="str">
        <f t="shared" si="14"/>
        <v>NA12</v>
      </c>
      <c r="S500">
        <f>COUNTIFS(A$1:A500,A500)</f>
        <v>30</v>
      </c>
      <c r="T500" t="str">
        <f t="shared" si="15"/>
        <v>Greg Joseph12</v>
      </c>
      <c r="U500">
        <f>IF(OR(NOT(ISERROR(MATCH(T500,Finals!$K$2:$K$1801,0))),AND(A500&gt;Week,Q500&lt;&gt;"NA")),"",A500)</f>
        <v>12</v>
      </c>
      <c r="V500" t="str">
        <f>IF(U500&lt;&gt;"",U500&amp;"-"&amp;COUNTIF(U$1:U500,U500),"")</f>
        <v>12-22</v>
      </c>
    </row>
    <row r="501" spans="1:22" x14ac:dyDescent="0.25">
      <c r="A501">
        <v>8</v>
      </c>
      <c r="B501" t="s">
        <v>998</v>
      </c>
      <c r="C501" t="s">
        <v>5415</v>
      </c>
      <c r="D501">
        <v>1.54</v>
      </c>
      <c r="E501">
        <v>2.12</v>
      </c>
      <c r="F501">
        <v>1.53</v>
      </c>
      <c r="G501">
        <v>1.55</v>
      </c>
      <c r="H501">
        <v>6.79</v>
      </c>
      <c r="I501" t="s">
        <v>76</v>
      </c>
      <c r="J501">
        <v>0.02</v>
      </c>
      <c r="K501">
        <v>0.57999999999999996</v>
      </c>
      <c r="L501">
        <v>5.03</v>
      </c>
      <c r="M501">
        <v>10.56</v>
      </c>
      <c r="N501">
        <v>3.02</v>
      </c>
      <c r="O501">
        <v>3.77</v>
      </c>
      <c r="P501">
        <v>14.212899999999999</v>
      </c>
      <c r="Q501" t="str">
        <f>IFERROR(INDEX(Rosters!$C$2:$C$155,MATCH($B501,Rosters!$B$2:$B$155,0)),"NA")</f>
        <v>NA</v>
      </c>
      <c r="R501" t="str">
        <f t="shared" si="14"/>
        <v>NA8</v>
      </c>
      <c r="S501">
        <f>COUNTIFS(A$1:A501,A501)</f>
        <v>28</v>
      </c>
      <c r="T501" t="str">
        <f t="shared" si="15"/>
        <v>Jake Elliott8</v>
      </c>
      <c r="U501">
        <f>IF(OR(NOT(ISERROR(MATCH(T501,Finals!$K$2:$K$1801,0))),AND(A501&gt;Week,Q501&lt;&gt;"NA")),"",A501)</f>
        <v>8</v>
      </c>
      <c r="V501" t="str">
        <f>IF(U501&lt;&gt;"",U501&amp;"-"&amp;COUNTIF(U$1:U501,U501),"")</f>
        <v>8-20</v>
      </c>
    </row>
    <row r="502" spans="1:22" x14ac:dyDescent="0.25">
      <c r="A502">
        <v>3</v>
      </c>
      <c r="B502" t="s">
        <v>465</v>
      </c>
      <c r="C502" t="s">
        <v>4392</v>
      </c>
      <c r="D502">
        <v>1.5</v>
      </c>
      <c r="E502">
        <v>2.08</v>
      </c>
      <c r="F502">
        <v>1.4</v>
      </c>
      <c r="G502">
        <v>1.45</v>
      </c>
      <c r="H502">
        <v>6.65</v>
      </c>
      <c r="I502" t="s">
        <v>77</v>
      </c>
      <c r="J502">
        <v>0.05</v>
      </c>
      <c r="K502">
        <v>0.57999999999999996</v>
      </c>
      <c r="L502">
        <v>4.8600000000000003</v>
      </c>
      <c r="M502">
        <v>10.65</v>
      </c>
      <c r="N502">
        <v>2.65</v>
      </c>
      <c r="O502">
        <v>4</v>
      </c>
      <c r="P502">
        <v>16</v>
      </c>
      <c r="Q502" t="str">
        <f>IFERROR(INDEX(Rosters!$C$2:$C$155,MATCH($B502,Rosters!$B$2:$B$155,0)),"NA")</f>
        <v>NA</v>
      </c>
      <c r="R502" t="str">
        <f t="shared" si="14"/>
        <v>NA3</v>
      </c>
      <c r="S502">
        <f>COUNTIFS(A$1:A502,A502)</f>
        <v>30</v>
      </c>
      <c r="T502" t="str">
        <f t="shared" si="15"/>
        <v>Brandon McManus3</v>
      </c>
      <c r="U502">
        <f>IF(OR(NOT(ISERROR(MATCH(T502,Finals!$K$2:$K$1801,0))),AND(A502&gt;Week,Q502&lt;&gt;"NA")),"",A502)</f>
        <v>3</v>
      </c>
      <c r="V502" t="str">
        <f>IF(U502&lt;&gt;"",U502&amp;"-"&amp;COUNTIF(U$1:U502,U502),"")</f>
        <v>3-21</v>
      </c>
    </row>
    <row r="503" spans="1:22" x14ac:dyDescent="0.25">
      <c r="A503">
        <v>17</v>
      </c>
      <c r="B503" t="s">
        <v>463</v>
      </c>
      <c r="C503" t="s">
        <v>5416</v>
      </c>
      <c r="D503">
        <v>1.42</v>
      </c>
      <c r="E503">
        <v>1.91</v>
      </c>
      <c r="F503">
        <v>1.42</v>
      </c>
      <c r="G503">
        <v>1.53</v>
      </c>
      <c r="H503">
        <v>6.37</v>
      </c>
      <c r="I503" t="s">
        <v>28</v>
      </c>
      <c r="J503">
        <v>0.11</v>
      </c>
      <c r="K503">
        <v>0.49</v>
      </c>
      <c r="L503">
        <v>4.79</v>
      </c>
      <c r="M503">
        <v>10.5</v>
      </c>
      <c r="N503">
        <v>2.2400000000000002</v>
      </c>
      <c r="O503">
        <v>4.13</v>
      </c>
      <c r="P503">
        <v>17.056899999999999</v>
      </c>
      <c r="Q503" t="str">
        <f>IFERROR(INDEX(Rosters!$C$2:$C$155,MATCH($B503,Rosters!$B$2:$B$155,0)),"NA")</f>
        <v>NA</v>
      </c>
      <c r="R503" t="str">
        <f t="shared" si="14"/>
        <v>NA17</v>
      </c>
      <c r="S503">
        <f>COUNTIFS(A$1:A503,A503)</f>
        <v>32</v>
      </c>
      <c r="T503" t="str">
        <f t="shared" si="15"/>
        <v>Phil Dawson17</v>
      </c>
      <c r="U503">
        <f>IF(OR(NOT(ISERROR(MATCH(T503,Finals!$K$2:$K$1801,0))),AND(A503&gt;Week,Q503&lt;&gt;"NA")),"",A503)</f>
        <v>17</v>
      </c>
      <c r="V503" t="str">
        <f>IF(U503&lt;&gt;"",U503&amp;"-"&amp;COUNTIF(U$1:U503,U503),"")</f>
        <v>17-23</v>
      </c>
    </row>
    <row r="504" spans="1:22" x14ac:dyDescent="0.25">
      <c r="A504">
        <v>3</v>
      </c>
      <c r="B504" t="s">
        <v>464</v>
      </c>
      <c r="C504" t="s">
        <v>743</v>
      </c>
      <c r="D504">
        <v>0</v>
      </c>
      <c r="E504">
        <v>0</v>
      </c>
      <c r="F504">
        <v>0</v>
      </c>
      <c r="G504">
        <v>0</v>
      </c>
      <c r="H504">
        <v>0</v>
      </c>
      <c r="I504" t="s">
        <v>37</v>
      </c>
      <c r="J504">
        <v>0</v>
      </c>
      <c r="K504">
        <v>0</v>
      </c>
      <c r="L504">
        <v>0</v>
      </c>
      <c r="M504">
        <v>0</v>
      </c>
      <c r="N504">
        <v>0</v>
      </c>
      <c r="O504">
        <v>0</v>
      </c>
      <c r="P504">
        <v>0</v>
      </c>
      <c r="Q504" t="str">
        <f>IFERROR(INDEX(Rosters!$C$2:$C$155,MATCH($B504,Rosters!$B$2:$B$155,0)),"NA")</f>
        <v>NA</v>
      </c>
      <c r="R504" t="str">
        <f t="shared" si="14"/>
        <v>NA3</v>
      </c>
      <c r="S504">
        <f>COUNTIFS(A$1:A504,A504)</f>
        <v>31</v>
      </c>
      <c r="T504" t="str">
        <f t="shared" si="15"/>
        <v>Greg Zuerlein3</v>
      </c>
      <c r="U504">
        <f>IF(OR(NOT(ISERROR(MATCH(T504,Finals!$K$2:$K$1801,0))),AND(A504&gt;Week,Q504&lt;&gt;"NA")),"",A504)</f>
        <v>3</v>
      </c>
      <c r="V504" t="str">
        <f>IF(U504&lt;&gt;"",U504&amp;"-"&amp;COUNTIF(U$1:U504,U504),"")</f>
        <v>3-22</v>
      </c>
    </row>
    <row r="505" spans="1:22" x14ac:dyDescent="0.25">
      <c r="A505">
        <v>4</v>
      </c>
      <c r="B505" t="s">
        <v>464</v>
      </c>
      <c r="C505" t="s">
        <v>743</v>
      </c>
      <c r="D505">
        <v>0</v>
      </c>
      <c r="E505">
        <v>0</v>
      </c>
      <c r="F505">
        <v>0</v>
      </c>
      <c r="G505">
        <v>0</v>
      </c>
      <c r="H505">
        <v>0</v>
      </c>
      <c r="I505" t="s">
        <v>25</v>
      </c>
      <c r="J505">
        <v>0</v>
      </c>
      <c r="K505">
        <v>0</v>
      </c>
      <c r="L505">
        <v>0</v>
      </c>
      <c r="M505">
        <v>0</v>
      </c>
      <c r="N505">
        <v>0</v>
      </c>
      <c r="O505">
        <v>0</v>
      </c>
      <c r="P505">
        <v>0</v>
      </c>
      <c r="Q505" t="str">
        <f>IFERROR(INDEX(Rosters!$C$2:$C$155,MATCH($B505,Rosters!$B$2:$B$155,0)),"NA")</f>
        <v>NA</v>
      </c>
      <c r="R505" t="str">
        <f t="shared" si="14"/>
        <v>NA4</v>
      </c>
      <c r="S505">
        <f>COUNTIFS(A$1:A505,A505)</f>
        <v>30</v>
      </c>
      <c r="T505" t="str">
        <f t="shared" si="15"/>
        <v>Greg Zuerlein4</v>
      </c>
      <c r="U505">
        <f>IF(OR(NOT(ISERROR(MATCH(T505,Finals!$K$2:$K$1801,0))),AND(A505&gt;Week,Q505&lt;&gt;"NA")),"",A505)</f>
        <v>4</v>
      </c>
      <c r="V505" t="str">
        <f>IF(U505&lt;&gt;"",U505&amp;"-"&amp;COUNTIF(U$1:U505,U505),"")</f>
        <v>4-21</v>
      </c>
    </row>
    <row r="506" spans="1:22" x14ac:dyDescent="0.25">
      <c r="A506">
        <v>5</v>
      </c>
      <c r="B506" t="s">
        <v>464</v>
      </c>
      <c r="C506" t="s">
        <v>743</v>
      </c>
      <c r="D506">
        <v>0</v>
      </c>
      <c r="E506">
        <v>0</v>
      </c>
      <c r="F506">
        <v>0</v>
      </c>
      <c r="G506">
        <v>0</v>
      </c>
      <c r="H506">
        <v>0</v>
      </c>
      <c r="I506" t="s">
        <v>28</v>
      </c>
      <c r="J506">
        <v>0</v>
      </c>
      <c r="K506">
        <v>0</v>
      </c>
      <c r="L506">
        <v>0</v>
      </c>
      <c r="M506">
        <v>0</v>
      </c>
      <c r="N506">
        <v>0</v>
      </c>
      <c r="O506">
        <v>0</v>
      </c>
      <c r="P506">
        <v>0</v>
      </c>
      <c r="Q506" t="str">
        <f>IFERROR(INDEX(Rosters!$C$2:$C$155,MATCH($B506,Rosters!$B$2:$B$155,0)),"NA")</f>
        <v>NA</v>
      </c>
      <c r="R506" t="str">
        <f t="shared" si="14"/>
        <v>NA5</v>
      </c>
      <c r="S506">
        <f>COUNTIFS(A$1:A506,A506)</f>
        <v>31</v>
      </c>
      <c r="T506" t="str">
        <f t="shared" si="15"/>
        <v>Greg Zuerlein5</v>
      </c>
      <c r="U506">
        <f>IF(OR(NOT(ISERROR(MATCH(T506,Finals!$K$2:$K$1801,0))),AND(A506&gt;Week,Q506&lt;&gt;"NA")),"",A506)</f>
        <v>5</v>
      </c>
      <c r="V506" t="str">
        <f>IF(U506&lt;&gt;"",U506&amp;"-"&amp;COUNTIF(U$1:U506,U506),"")</f>
        <v>5-21</v>
      </c>
    </row>
    <row r="507" spans="1:22" x14ac:dyDescent="0.25">
      <c r="A507">
        <v>6</v>
      </c>
      <c r="B507" t="s">
        <v>464</v>
      </c>
      <c r="C507" t="s">
        <v>743</v>
      </c>
      <c r="D507">
        <v>0</v>
      </c>
      <c r="E507">
        <v>0</v>
      </c>
      <c r="F507">
        <v>0</v>
      </c>
      <c r="G507">
        <v>0</v>
      </c>
      <c r="H507">
        <v>0</v>
      </c>
      <c r="I507" t="s">
        <v>42</v>
      </c>
      <c r="J507">
        <v>0</v>
      </c>
      <c r="K507">
        <v>0</v>
      </c>
      <c r="L507">
        <v>0</v>
      </c>
      <c r="M507">
        <v>0</v>
      </c>
      <c r="N507">
        <v>0</v>
      </c>
      <c r="O507">
        <v>0</v>
      </c>
      <c r="P507">
        <v>0</v>
      </c>
      <c r="Q507" t="str">
        <f>IFERROR(INDEX(Rosters!$C$2:$C$155,MATCH($B507,Rosters!$B$2:$B$155,0)),"NA")</f>
        <v>NA</v>
      </c>
      <c r="R507" t="str">
        <f t="shared" si="14"/>
        <v>NA6</v>
      </c>
      <c r="S507">
        <f>COUNTIFS(A$1:A507,A507)</f>
        <v>30</v>
      </c>
      <c r="T507" t="str">
        <f t="shared" si="15"/>
        <v>Greg Zuerlein6</v>
      </c>
      <c r="U507">
        <f>IF(OR(NOT(ISERROR(MATCH(T507,Finals!$K$2:$K$1801,0))),AND(A507&gt;Week,Q507&lt;&gt;"NA")),"",A507)</f>
        <v>6</v>
      </c>
      <c r="V507" t="str">
        <f>IF(U507&lt;&gt;"",U507&amp;"-"&amp;COUNTIF(U$1:U507,U507),"")</f>
        <v>6-23</v>
      </c>
    </row>
    <row r="508" spans="1:22" x14ac:dyDescent="0.25">
      <c r="A508">
        <v>7</v>
      </c>
      <c r="B508" t="s">
        <v>464</v>
      </c>
      <c r="C508" t="s">
        <v>743</v>
      </c>
      <c r="D508">
        <v>0</v>
      </c>
      <c r="E508">
        <v>0</v>
      </c>
      <c r="F508">
        <v>0</v>
      </c>
      <c r="G508">
        <v>0</v>
      </c>
      <c r="H508">
        <v>0</v>
      </c>
      <c r="I508" t="s">
        <v>30</v>
      </c>
      <c r="J508">
        <v>0</v>
      </c>
      <c r="K508">
        <v>0</v>
      </c>
      <c r="L508">
        <v>0</v>
      </c>
      <c r="M508">
        <v>0</v>
      </c>
      <c r="N508">
        <v>0</v>
      </c>
      <c r="O508">
        <v>0</v>
      </c>
      <c r="P508">
        <v>0</v>
      </c>
      <c r="Q508" t="str">
        <f>IFERROR(INDEX(Rosters!$C$2:$C$155,MATCH($B508,Rosters!$B$2:$B$155,0)),"NA")</f>
        <v>NA</v>
      </c>
      <c r="R508" t="str">
        <f t="shared" si="14"/>
        <v>NA7</v>
      </c>
      <c r="S508">
        <f>COUNTIFS(A$1:A508,A508)</f>
        <v>28</v>
      </c>
      <c r="T508" t="str">
        <f t="shared" si="15"/>
        <v>Greg Zuerlein7</v>
      </c>
      <c r="U508">
        <f>IF(OR(NOT(ISERROR(MATCH(T508,Finals!$K$2:$K$1801,0))),AND(A508&gt;Week,Q508&lt;&gt;"NA")),"",A508)</f>
        <v>7</v>
      </c>
      <c r="V508" t="str">
        <f>IF(U508&lt;&gt;"",U508&amp;"-"&amp;COUNTIF(U$1:U508,U508),"")</f>
        <v>7-20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Z513"/>
  <sheetViews>
    <sheetView workbookViewId="0">
      <selection activeCell="N2" sqref="N2"/>
    </sheetView>
  </sheetViews>
  <sheetFormatPr defaultRowHeight="15" x14ac:dyDescent="0.25"/>
  <cols>
    <col min="1" max="1" width="8.42578125" bestFit="1" customWidth="1"/>
    <col min="2" max="2" width="15.7109375" bestFit="1" customWidth="1"/>
    <col min="3" max="3" width="9.85546875" bestFit="1" customWidth="1"/>
    <col min="4" max="4" width="9.140625" bestFit="1" customWidth="1"/>
    <col min="5" max="5" width="7.85546875" bestFit="1" customWidth="1"/>
    <col min="6" max="6" width="6.28515625" bestFit="1" customWidth="1"/>
    <col min="7" max="7" width="6.85546875" bestFit="1" customWidth="1"/>
    <col min="8" max="8" width="6.5703125" bestFit="1" customWidth="1"/>
    <col min="9" max="9" width="5.5703125" bestFit="1" customWidth="1"/>
    <col min="10" max="10" width="6.140625" bestFit="1" customWidth="1"/>
    <col min="11" max="11" width="7" bestFit="1" customWidth="1"/>
    <col min="12" max="12" width="6.7109375" bestFit="1" customWidth="1"/>
    <col min="13" max="13" width="6" bestFit="1" customWidth="1"/>
    <col min="14" max="14" width="8" bestFit="1" customWidth="1"/>
    <col min="15" max="15" width="13" bestFit="1" customWidth="1"/>
    <col min="16" max="16" width="14.85546875" bestFit="1" customWidth="1"/>
    <col min="17" max="17" width="10.7109375" bestFit="1" customWidth="1"/>
    <col min="18" max="18" width="14" bestFit="1" customWidth="1"/>
    <col min="19" max="19" width="16" bestFit="1" customWidth="1"/>
    <col min="20" max="20" width="11.140625" bestFit="1" customWidth="1"/>
    <col min="21" max="21" width="9.28515625" bestFit="1" customWidth="1"/>
    <col min="22" max="22" width="14.42578125" bestFit="1" customWidth="1"/>
    <col min="23" max="23" width="11.7109375" bestFit="1" customWidth="1"/>
    <col min="24" max="24" width="17.85546875" bestFit="1" customWidth="1"/>
    <col min="25" max="25" width="7.5703125" bestFit="1" customWidth="1"/>
    <col min="26" max="26" width="21.140625" bestFit="1" customWidth="1"/>
  </cols>
  <sheetData>
    <row r="1" spans="1:26" x14ac:dyDescent="0.25">
      <c r="A1" t="s">
        <v>1</v>
      </c>
      <c r="B1" t="s">
        <v>0</v>
      </c>
      <c r="C1" t="s">
        <v>2</v>
      </c>
      <c r="D1" t="s">
        <v>392</v>
      </c>
      <c r="E1" t="s">
        <v>393</v>
      </c>
      <c r="F1" t="s">
        <v>394</v>
      </c>
      <c r="G1" t="s">
        <v>395</v>
      </c>
      <c r="H1" t="s">
        <v>396</v>
      </c>
      <c r="I1" t="s">
        <v>397</v>
      </c>
      <c r="J1" t="s">
        <v>4</v>
      </c>
      <c r="K1" t="s">
        <v>6</v>
      </c>
      <c r="L1" t="s">
        <v>7</v>
      </c>
      <c r="M1" t="s">
        <v>8</v>
      </c>
      <c r="N1" t="s">
        <v>9</v>
      </c>
      <c r="O1" t="s">
        <v>398</v>
      </c>
      <c r="P1" t="s">
        <v>399</v>
      </c>
      <c r="Q1" t="s">
        <v>400</v>
      </c>
      <c r="R1" t="s">
        <v>401</v>
      </c>
      <c r="S1" t="s">
        <v>402</v>
      </c>
      <c r="T1" t="s">
        <v>403</v>
      </c>
      <c r="U1" t="s">
        <v>10</v>
      </c>
      <c r="V1" t="s">
        <v>404</v>
      </c>
      <c r="W1" t="s">
        <v>748</v>
      </c>
      <c r="X1" t="s">
        <v>749</v>
      </c>
      <c r="Y1" t="s">
        <v>720</v>
      </c>
      <c r="Z1" t="s">
        <v>12</v>
      </c>
    </row>
    <row r="2" spans="1:26" x14ac:dyDescent="0.25">
      <c r="A2">
        <v>17</v>
      </c>
      <c r="B2" t="s">
        <v>411</v>
      </c>
      <c r="C2" t="s">
        <v>5417</v>
      </c>
      <c r="D2">
        <v>13.34</v>
      </c>
      <c r="E2">
        <v>3.4</v>
      </c>
      <c r="F2">
        <v>1.44</v>
      </c>
      <c r="G2">
        <v>0.92</v>
      </c>
      <c r="H2">
        <v>0.1</v>
      </c>
      <c r="I2">
        <v>0.4</v>
      </c>
      <c r="J2" t="s">
        <v>17</v>
      </c>
      <c r="K2">
        <v>21.69</v>
      </c>
      <c r="L2">
        <v>5.65</v>
      </c>
      <c r="M2">
        <v>8.02</v>
      </c>
      <c r="N2">
        <v>64.320400000000006</v>
      </c>
      <c r="O2">
        <v>3</v>
      </c>
      <c r="P2">
        <v>3</v>
      </c>
      <c r="Q2">
        <v>299.36799999999999</v>
      </c>
      <c r="R2">
        <v>3</v>
      </c>
      <c r="S2">
        <v>2</v>
      </c>
      <c r="T2">
        <v>15.72</v>
      </c>
      <c r="U2" t="str">
        <f>IFERROR(INDEX(Rosters!$C$2:$C$155,MATCH(B2,Rosters!$B$2:$B$155,0)),"NA")</f>
        <v>lucas</v>
      </c>
      <c r="V2" t="str">
        <f>U2&amp;A2</f>
        <v>lucas17</v>
      </c>
      <c r="W2">
        <f>COUNTIFS(A$1:A2,A2)</f>
        <v>1</v>
      </c>
      <c r="X2" t="str">
        <f>B2&amp;A2</f>
        <v>Ravens D/ST17</v>
      </c>
      <c r="Y2">
        <f>COUNTIF(V$1:V2,V2)</f>
        <v>1</v>
      </c>
      <c r="Z2" t="str">
        <f>V2&amp;"-"&amp;Y2</f>
        <v>lucas17-1</v>
      </c>
    </row>
    <row r="3" spans="1:26" x14ac:dyDescent="0.25">
      <c r="A3">
        <v>12</v>
      </c>
      <c r="B3" t="s">
        <v>419</v>
      </c>
      <c r="C3" t="s">
        <v>5418</v>
      </c>
      <c r="D3">
        <v>12.67</v>
      </c>
      <c r="E3">
        <v>2.66</v>
      </c>
      <c r="F3">
        <v>1.02</v>
      </c>
      <c r="G3">
        <v>0.76</v>
      </c>
      <c r="H3">
        <v>0.06</v>
      </c>
      <c r="I3">
        <v>0.42</v>
      </c>
      <c r="J3" t="s">
        <v>24</v>
      </c>
      <c r="K3">
        <v>20.05</v>
      </c>
      <c r="L3">
        <v>4.09</v>
      </c>
      <c r="M3">
        <v>7.98</v>
      </c>
      <c r="N3">
        <v>63.680399999999999</v>
      </c>
      <c r="O3">
        <v>3</v>
      </c>
      <c r="P3">
        <v>3</v>
      </c>
      <c r="Q3">
        <v>295.88400000000001</v>
      </c>
      <c r="R3">
        <v>3</v>
      </c>
      <c r="S3">
        <v>2</v>
      </c>
      <c r="T3">
        <v>13.86</v>
      </c>
      <c r="U3" t="str">
        <f>IFERROR(INDEX(Rosters!$C$2:$C$155,MATCH(B3,Rosters!$B$2:$B$155,0)),"NA")</f>
        <v>devon</v>
      </c>
      <c r="V3" t="str">
        <f t="shared" ref="V3:V66" si="0">U3&amp;A3</f>
        <v>devon12</v>
      </c>
      <c r="W3">
        <f>COUNTIFS(A$1:A3,A3)</f>
        <v>1</v>
      </c>
      <c r="X3" t="str">
        <f t="shared" ref="X3:X66" si="1">B3&amp;A3</f>
        <v>Jaguars D/ST12</v>
      </c>
      <c r="Y3">
        <f>COUNTIF(V$1:V3,V3)</f>
        <v>1</v>
      </c>
      <c r="Z3" t="str">
        <f t="shared" ref="Z3:Z66" si="2">V3&amp;"-"&amp;Y3</f>
        <v>devon12-1</v>
      </c>
    </row>
    <row r="4" spans="1:26" x14ac:dyDescent="0.25">
      <c r="A4">
        <v>3</v>
      </c>
      <c r="B4" t="s">
        <v>406</v>
      </c>
      <c r="C4" t="s">
        <v>4176</v>
      </c>
      <c r="D4">
        <v>12.51</v>
      </c>
      <c r="E4">
        <v>2.3199999999999998</v>
      </c>
      <c r="F4">
        <v>0.89</v>
      </c>
      <c r="G4">
        <v>0.71</v>
      </c>
      <c r="H4">
        <v>0.05</v>
      </c>
      <c r="I4">
        <v>0.32</v>
      </c>
      <c r="J4" t="s">
        <v>24</v>
      </c>
      <c r="K4">
        <v>16.87</v>
      </c>
      <c r="L4">
        <v>4.71</v>
      </c>
      <c r="M4">
        <v>6.08</v>
      </c>
      <c r="N4">
        <v>36.9664</v>
      </c>
      <c r="O4">
        <v>3</v>
      </c>
      <c r="P4">
        <v>3</v>
      </c>
      <c r="Q4">
        <v>295.05200000000002</v>
      </c>
      <c r="R4">
        <v>3</v>
      </c>
      <c r="S4">
        <v>2</v>
      </c>
      <c r="T4">
        <v>12.54</v>
      </c>
      <c r="U4" t="str">
        <f>IFERROR(INDEX(Rosters!$C$2:$C$155,MATCH(B4,Rosters!$B$2:$B$155,0)),"NA")</f>
        <v>seth</v>
      </c>
      <c r="V4" t="str">
        <f t="shared" si="0"/>
        <v>seth3</v>
      </c>
      <c r="W4">
        <f>COUNTIFS(A$1:A4,A4)</f>
        <v>1</v>
      </c>
      <c r="X4" t="str">
        <f t="shared" si="1"/>
        <v>Vikings D/ST3</v>
      </c>
      <c r="Y4">
        <f>COUNTIF(V$1:V4,V4)</f>
        <v>1</v>
      </c>
      <c r="Z4" t="str">
        <f t="shared" si="2"/>
        <v>seth3-1</v>
      </c>
    </row>
    <row r="5" spans="1:26" x14ac:dyDescent="0.25">
      <c r="A5">
        <v>2</v>
      </c>
      <c r="B5" t="s">
        <v>420</v>
      </c>
      <c r="C5" t="s">
        <v>1218</v>
      </c>
      <c r="D5">
        <v>15.35</v>
      </c>
      <c r="E5">
        <v>3.54</v>
      </c>
      <c r="F5">
        <v>1.5</v>
      </c>
      <c r="G5">
        <v>0.92</v>
      </c>
      <c r="H5">
        <v>0.04</v>
      </c>
      <c r="I5">
        <v>0.42</v>
      </c>
      <c r="J5" t="s">
        <v>34</v>
      </c>
      <c r="K5">
        <v>19.84</v>
      </c>
      <c r="L5">
        <v>6.96</v>
      </c>
      <c r="M5">
        <v>6.44</v>
      </c>
      <c r="N5">
        <v>41.473599999999998</v>
      </c>
      <c r="O5">
        <v>4</v>
      </c>
      <c r="P5">
        <v>1</v>
      </c>
      <c r="Q5">
        <v>309.82</v>
      </c>
      <c r="R5">
        <v>4</v>
      </c>
      <c r="S5">
        <v>0</v>
      </c>
      <c r="T5">
        <v>11.98</v>
      </c>
      <c r="U5" t="str">
        <f>IFERROR(INDEX(Rosters!$C$2:$C$155,MATCH(B5,Rosters!$B$2:$B$155,0)),"NA")</f>
        <v>scott</v>
      </c>
      <c r="V5" t="str">
        <f t="shared" si="0"/>
        <v>scott2</v>
      </c>
      <c r="W5">
        <f>COUNTIFS(A$1:A5,A5)</f>
        <v>1</v>
      </c>
      <c r="X5" t="str">
        <f t="shared" si="1"/>
        <v>Rams D/ST2</v>
      </c>
      <c r="Y5">
        <f>COUNTIF(V$1:V5,V5)</f>
        <v>1</v>
      </c>
      <c r="Z5" t="str">
        <f t="shared" si="2"/>
        <v>scott2-1</v>
      </c>
    </row>
    <row r="6" spans="1:26" x14ac:dyDescent="0.25">
      <c r="A6">
        <v>1</v>
      </c>
      <c r="B6" t="s">
        <v>411</v>
      </c>
      <c r="C6" t="s">
        <v>1786</v>
      </c>
      <c r="D6">
        <v>16.72</v>
      </c>
      <c r="E6">
        <v>3.11</v>
      </c>
      <c r="F6">
        <v>1.56</v>
      </c>
      <c r="G6">
        <v>0.66</v>
      </c>
      <c r="H6">
        <v>0.1</v>
      </c>
      <c r="I6">
        <v>0.35</v>
      </c>
      <c r="J6" t="s">
        <v>24</v>
      </c>
      <c r="K6">
        <v>17.25</v>
      </c>
      <c r="L6">
        <v>6.47</v>
      </c>
      <c r="M6">
        <v>5.39</v>
      </c>
      <c r="N6">
        <v>29.052099999999999</v>
      </c>
      <c r="O6">
        <v>4</v>
      </c>
      <c r="P6">
        <v>1</v>
      </c>
      <c r="Q6">
        <v>316.94400000000002</v>
      </c>
      <c r="R6">
        <v>4</v>
      </c>
      <c r="S6">
        <v>0</v>
      </c>
      <c r="T6">
        <v>10.85</v>
      </c>
      <c r="U6" t="str">
        <f>IFERROR(INDEX(Rosters!$C$2:$C$155,MATCH(B6,Rosters!$B$2:$B$155,0)),"NA")</f>
        <v>lucas</v>
      </c>
      <c r="V6" t="str">
        <f t="shared" si="0"/>
        <v>lucas1</v>
      </c>
      <c r="W6">
        <f>COUNTIFS(A$1:A6,A6)</f>
        <v>1</v>
      </c>
      <c r="X6" t="str">
        <f t="shared" si="1"/>
        <v>Ravens D/ST1</v>
      </c>
      <c r="Y6">
        <f>COUNTIF(V$1:V6,V6)</f>
        <v>1</v>
      </c>
      <c r="Z6" t="str">
        <f t="shared" si="2"/>
        <v>lucas1-1</v>
      </c>
    </row>
    <row r="7" spans="1:26" x14ac:dyDescent="0.25">
      <c r="A7">
        <v>6</v>
      </c>
      <c r="B7" t="s">
        <v>414</v>
      </c>
      <c r="C7" t="s">
        <v>5419</v>
      </c>
      <c r="D7">
        <v>15.5</v>
      </c>
      <c r="E7">
        <v>2.9</v>
      </c>
      <c r="F7">
        <v>1.42</v>
      </c>
      <c r="G7">
        <v>0.92</v>
      </c>
      <c r="H7">
        <v>0.04</v>
      </c>
      <c r="I7">
        <v>0.34</v>
      </c>
      <c r="J7" t="s">
        <v>32</v>
      </c>
      <c r="K7">
        <v>18.5</v>
      </c>
      <c r="L7">
        <v>5.74</v>
      </c>
      <c r="M7">
        <v>6.38</v>
      </c>
      <c r="N7">
        <v>40.7044</v>
      </c>
      <c r="O7">
        <v>4</v>
      </c>
      <c r="P7">
        <v>1</v>
      </c>
      <c r="Q7">
        <v>310.60000000000002</v>
      </c>
      <c r="R7">
        <v>4</v>
      </c>
      <c r="S7">
        <v>0</v>
      </c>
      <c r="T7">
        <v>10.7</v>
      </c>
      <c r="U7" t="str">
        <f>IFERROR(INDEX(Rosters!$C$2:$C$155,MATCH(B7,Rosters!$B$2:$B$155,0)),"NA")</f>
        <v>comp</v>
      </c>
      <c r="V7" t="str">
        <f t="shared" si="0"/>
        <v>comp6</v>
      </c>
      <c r="W7">
        <f>COUNTIFS(A$1:A7,A7)</f>
        <v>1</v>
      </c>
      <c r="X7" t="str">
        <f t="shared" si="1"/>
        <v>Eagles D/ST6</v>
      </c>
      <c r="Y7">
        <f>COUNTIF(V$1:V7,V7)</f>
        <v>1</v>
      </c>
      <c r="Z7" t="str">
        <f t="shared" si="2"/>
        <v>comp6-1</v>
      </c>
    </row>
    <row r="8" spans="1:26" x14ac:dyDescent="0.25">
      <c r="A8">
        <v>12</v>
      </c>
      <c r="B8" t="s">
        <v>414</v>
      </c>
      <c r="C8" t="s">
        <v>5419</v>
      </c>
      <c r="D8">
        <v>15.5</v>
      </c>
      <c r="E8">
        <v>2.9</v>
      </c>
      <c r="F8">
        <v>1.42</v>
      </c>
      <c r="G8">
        <v>0.92</v>
      </c>
      <c r="H8">
        <v>0.04</v>
      </c>
      <c r="I8">
        <v>0.34</v>
      </c>
      <c r="J8" t="s">
        <v>32</v>
      </c>
      <c r="K8">
        <v>18.5</v>
      </c>
      <c r="L8">
        <v>5.74</v>
      </c>
      <c r="M8">
        <v>6.38</v>
      </c>
      <c r="N8">
        <v>40.7044</v>
      </c>
      <c r="O8">
        <v>4</v>
      </c>
      <c r="P8">
        <v>1</v>
      </c>
      <c r="Q8">
        <v>310.60000000000002</v>
      </c>
      <c r="R8">
        <v>4</v>
      </c>
      <c r="S8">
        <v>0</v>
      </c>
      <c r="T8">
        <v>10.7</v>
      </c>
      <c r="U8" t="str">
        <f>IFERROR(INDEX(Rosters!$C$2:$C$155,MATCH(B8,Rosters!$B$2:$B$155,0)),"NA")</f>
        <v>comp</v>
      </c>
      <c r="V8" t="str">
        <f t="shared" si="0"/>
        <v>comp12</v>
      </c>
      <c r="W8">
        <f>COUNTIFS(A$1:A8,A8)</f>
        <v>2</v>
      </c>
      <c r="X8" t="str">
        <f t="shared" si="1"/>
        <v>Eagles D/ST12</v>
      </c>
      <c r="Y8">
        <f>COUNTIF(V$1:V8,V8)</f>
        <v>1</v>
      </c>
      <c r="Z8" t="str">
        <f t="shared" si="2"/>
        <v>comp12-1</v>
      </c>
    </row>
    <row r="9" spans="1:26" x14ac:dyDescent="0.25">
      <c r="A9">
        <v>1</v>
      </c>
      <c r="B9" t="s">
        <v>419</v>
      </c>
      <c r="C9" t="s">
        <v>1219</v>
      </c>
      <c r="D9">
        <v>14.21</v>
      </c>
      <c r="E9">
        <v>3.18</v>
      </c>
      <c r="F9">
        <v>1.24</v>
      </c>
      <c r="G9">
        <v>0.76</v>
      </c>
      <c r="H9">
        <v>0.08</v>
      </c>
      <c r="I9">
        <v>0.34</v>
      </c>
      <c r="J9" t="s">
        <v>32</v>
      </c>
      <c r="K9">
        <v>19.260000000000002</v>
      </c>
      <c r="L9">
        <v>5.18</v>
      </c>
      <c r="M9">
        <v>7.04</v>
      </c>
      <c r="N9">
        <v>49.561599999999999</v>
      </c>
      <c r="O9">
        <v>4</v>
      </c>
      <c r="P9">
        <v>1</v>
      </c>
      <c r="Q9">
        <v>303.892</v>
      </c>
      <c r="R9">
        <v>4</v>
      </c>
      <c r="S9">
        <v>0</v>
      </c>
      <c r="T9">
        <v>10.38</v>
      </c>
      <c r="U9" t="str">
        <f>IFERROR(INDEX(Rosters!$C$2:$C$155,MATCH(B9,Rosters!$B$2:$B$155,0)),"NA")</f>
        <v>devon</v>
      </c>
      <c r="V9" t="str">
        <f t="shared" si="0"/>
        <v>devon1</v>
      </c>
      <c r="W9">
        <f>COUNTIFS(A$1:A9,A9)</f>
        <v>2</v>
      </c>
      <c r="X9" t="str">
        <f t="shared" si="1"/>
        <v>Jaguars D/ST1</v>
      </c>
      <c r="Y9">
        <f>COUNTIF(V$1:V9,V9)</f>
        <v>1</v>
      </c>
      <c r="Z9" t="str">
        <f t="shared" si="2"/>
        <v>devon1-1</v>
      </c>
    </row>
    <row r="10" spans="1:26" x14ac:dyDescent="0.25">
      <c r="A10">
        <v>5</v>
      </c>
      <c r="B10" t="s">
        <v>411</v>
      </c>
      <c r="C10" t="s">
        <v>9051</v>
      </c>
      <c r="D10">
        <v>13.34</v>
      </c>
      <c r="E10">
        <v>1.64</v>
      </c>
      <c r="F10">
        <v>0.69</v>
      </c>
      <c r="G10">
        <v>0.44</v>
      </c>
      <c r="H10">
        <v>0.04</v>
      </c>
      <c r="I10">
        <v>0.2</v>
      </c>
      <c r="J10" t="s">
        <v>17</v>
      </c>
      <c r="K10">
        <v>11.89</v>
      </c>
      <c r="L10">
        <v>4.17</v>
      </c>
      <c r="M10">
        <v>3.86</v>
      </c>
      <c r="N10">
        <v>14.8996</v>
      </c>
      <c r="O10">
        <v>3</v>
      </c>
      <c r="P10">
        <v>3</v>
      </c>
      <c r="Q10">
        <v>299.36799999999999</v>
      </c>
      <c r="R10">
        <v>3</v>
      </c>
      <c r="S10">
        <v>2</v>
      </c>
      <c r="T10">
        <v>10.18</v>
      </c>
      <c r="U10" t="str">
        <f>IFERROR(INDEX(Rosters!$C$2:$C$155,MATCH(B10,Rosters!$B$2:$B$155,0)),"NA")</f>
        <v>lucas</v>
      </c>
      <c r="V10" t="str">
        <f t="shared" si="0"/>
        <v>lucas5</v>
      </c>
      <c r="W10">
        <f>COUNTIFS(A$1:A10,A10)</f>
        <v>1</v>
      </c>
      <c r="X10" t="str">
        <f t="shared" si="1"/>
        <v>Ravens D/ST5</v>
      </c>
      <c r="Y10">
        <f>COUNTIF(V$1:V10,V10)</f>
        <v>1</v>
      </c>
      <c r="Z10" t="str">
        <f t="shared" si="2"/>
        <v>lucas5-1</v>
      </c>
    </row>
    <row r="11" spans="1:26" x14ac:dyDescent="0.25">
      <c r="A11">
        <v>1</v>
      </c>
      <c r="B11" t="s">
        <v>406</v>
      </c>
      <c r="C11" t="s">
        <v>1220</v>
      </c>
      <c r="D11">
        <v>15.49</v>
      </c>
      <c r="E11">
        <v>2.9</v>
      </c>
      <c r="F11">
        <v>1.18</v>
      </c>
      <c r="G11">
        <v>0.72</v>
      </c>
      <c r="H11">
        <v>0.04</v>
      </c>
      <c r="I11">
        <v>0.3</v>
      </c>
      <c r="J11" t="s">
        <v>14</v>
      </c>
      <c r="K11">
        <v>18.43</v>
      </c>
      <c r="L11">
        <v>4.09</v>
      </c>
      <c r="M11">
        <v>7.17</v>
      </c>
      <c r="N11">
        <v>51.408900000000003</v>
      </c>
      <c r="O11">
        <v>4</v>
      </c>
      <c r="P11">
        <v>1</v>
      </c>
      <c r="Q11">
        <v>310.548</v>
      </c>
      <c r="R11">
        <v>4</v>
      </c>
      <c r="S11">
        <v>0</v>
      </c>
      <c r="T11">
        <v>9.58</v>
      </c>
      <c r="U11" t="str">
        <f>IFERROR(INDEX(Rosters!$C$2:$C$155,MATCH(B11,Rosters!$B$2:$B$155,0)),"NA")</f>
        <v>seth</v>
      </c>
      <c r="V11" t="str">
        <f t="shared" si="0"/>
        <v>seth1</v>
      </c>
      <c r="W11">
        <f>COUNTIFS(A$1:A11,A11)</f>
        <v>3</v>
      </c>
      <c r="X11" t="str">
        <f t="shared" si="1"/>
        <v>Vikings D/ST1</v>
      </c>
      <c r="Y11">
        <f>COUNTIF(V$1:V11,V11)</f>
        <v>1</v>
      </c>
      <c r="Z11" t="str">
        <f t="shared" si="2"/>
        <v>seth1-1</v>
      </c>
    </row>
    <row r="12" spans="1:26" x14ac:dyDescent="0.25">
      <c r="A12">
        <v>1</v>
      </c>
      <c r="B12" t="s">
        <v>407</v>
      </c>
      <c r="C12" t="s">
        <v>1221</v>
      </c>
      <c r="D12">
        <v>16.34</v>
      </c>
      <c r="E12">
        <v>3.02</v>
      </c>
      <c r="F12">
        <v>1.1599999999999999</v>
      </c>
      <c r="G12">
        <v>0.72</v>
      </c>
      <c r="H12">
        <v>0.02</v>
      </c>
      <c r="I12">
        <v>0.26</v>
      </c>
      <c r="J12" t="s">
        <v>423</v>
      </c>
      <c r="K12">
        <v>16.29</v>
      </c>
      <c r="L12">
        <v>4.13</v>
      </c>
      <c r="M12">
        <v>6.08</v>
      </c>
      <c r="N12">
        <v>36.9664</v>
      </c>
      <c r="O12">
        <v>4</v>
      </c>
      <c r="P12">
        <v>1</v>
      </c>
      <c r="Q12">
        <v>314.96800000000002</v>
      </c>
      <c r="R12">
        <v>4</v>
      </c>
      <c r="S12">
        <v>0</v>
      </c>
      <c r="T12">
        <v>9.3800000000000008</v>
      </c>
      <c r="U12" t="str">
        <f>IFERROR(INDEX(Rosters!$C$2:$C$155,MATCH(B12,Rosters!$B$2:$B$155,0)),"NA")</f>
        <v>NA</v>
      </c>
      <c r="V12" t="str">
        <f t="shared" si="0"/>
        <v>NA1</v>
      </c>
      <c r="W12">
        <f>COUNTIFS(A$1:A12,A12)</f>
        <v>4</v>
      </c>
      <c r="X12" t="str">
        <f t="shared" si="1"/>
        <v>Seahawks D/ST1</v>
      </c>
      <c r="Y12">
        <f>COUNTIF(V$1:V12,V12)</f>
        <v>1</v>
      </c>
      <c r="Z12" t="str">
        <f t="shared" si="2"/>
        <v>NA1-1</v>
      </c>
    </row>
    <row r="13" spans="1:26" x14ac:dyDescent="0.25">
      <c r="A13">
        <v>8</v>
      </c>
      <c r="B13" t="s">
        <v>429</v>
      </c>
      <c r="C13" t="s">
        <v>5420</v>
      </c>
      <c r="D13">
        <v>18.260000000000002</v>
      </c>
      <c r="E13">
        <v>2.68</v>
      </c>
      <c r="F13">
        <v>1.66</v>
      </c>
      <c r="G13">
        <v>0.56000000000000005</v>
      </c>
      <c r="H13">
        <v>0.08</v>
      </c>
      <c r="I13">
        <v>0.34</v>
      </c>
      <c r="J13" t="s">
        <v>32</v>
      </c>
      <c r="K13">
        <v>17.260000000000002</v>
      </c>
      <c r="L13">
        <v>4.4800000000000004</v>
      </c>
      <c r="M13">
        <v>6.39</v>
      </c>
      <c r="N13">
        <v>40.832099999999997</v>
      </c>
      <c r="O13">
        <v>5</v>
      </c>
      <c r="P13">
        <v>0</v>
      </c>
      <c r="Q13">
        <v>324.952</v>
      </c>
      <c r="R13">
        <v>4</v>
      </c>
      <c r="S13">
        <v>0</v>
      </c>
      <c r="T13">
        <v>9.32</v>
      </c>
      <c r="U13" t="str">
        <f>IFERROR(INDEX(Rosters!$C$2:$C$155,MATCH(B13,Rosters!$B$2:$B$155,0)),"NA")</f>
        <v>NA</v>
      </c>
      <c r="V13" t="str">
        <f t="shared" si="0"/>
        <v>NA8</v>
      </c>
      <c r="W13">
        <f>COUNTIFS(A$1:A13,A13)</f>
        <v>1</v>
      </c>
      <c r="X13" t="str">
        <f t="shared" si="1"/>
        <v>Redskins D/ST8</v>
      </c>
      <c r="Y13">
        <f>COUNTIF(V$1:V13,V13)</f>
        <v>1</v>
      </c>
      <c r="Z13" t="str">
        <f t="shared" si="2"/>
        <v>NA8-1</v>
      </c>
    </row>
    <row r="14" spans="1:26" x14ac:dyDescent="0.25">
      <c r="A14">
        <v>14</v>
      </c>
      <c r="B14" t="s">
        <v>429</v>
      </c>
      <c r="C14" t="s">
        <v>5420</v>
      </c>
      <c r="D14">
        <v>18.260000000000002</v>
      </c>
      <c r="E14">
        <v>2.68</v>
      </c>
      <c r="F14">
        <v>1.66</v>
      </c>
      <c r="G14">
        <v>0.56000000000000005</v>
      </c>
      <c r="H14">
        <v>0.08</v>
      </c>
      <c r="I14">
        <v>0.34</v>
      </c>
      <c r="J14" t="s">
        <v>32</v>
      </c>
      <c r="K14">
        <v>17.260000000000002</v>
      </c>
      <c r="L14">
        <v>4.4800000000000004</v>
      </c>
      <c r="M14">
        <v>6.39</v>
      </c>
      <c r="N14">
        <v>40.832099999999997</v>
      </c>
      <c r="O14">
        <v>5</v>
      </c>
      <c r="P14">
        <v>0</v>
      </c>
      <c r="Q14">
        <v>324.952</v>
      </c>
      <c r="R14">
        <v>4</v>
      </c>
      <c r="S14">
        <v>0</v>
      </c>
      <c r="T14">
        <v>9.32</v>
      </c>
      <c r="U14" t="str">
        <f>IFERROR(INDEX(Rosters!$C$2:$C$155,MATCH(B14,Rosters!$B$2:$B$155,0)),"NA")</f>
        <v>NA</v>
      </c>
      <c r="V14" t="str">
        <f t="shared" si="0"/>
        <v>NA14</v>
      </c>
      <c r="W14">
        <f>COUNTIFS(A$1:A14,A14)</f>
        <v>1</v>
      </c>
      <c r="X14" t="str">
        <f t="shared" si="1"/>
        <v>Redskins D/ST14</v>
      </c>
      <c r="Y14">
        <f>COUNTIF(V$1:V14,V14)</f>
        <v>1</v>
      </c>
      <c r="Z14" t="str">
        <f t="shared" si="2"/>
        <v>NA14-1</v>
      </c>
    </row>
    <row r="15" spans="1:26" x14ac:dyDescent="0.25">
      <c r="A15">
        <v>7</v>
      </c>
      <c r="B15" t="s">
        <v>437</v>
      </c>
      <c r="C15" t="s">
        <v>5421</v>
      </c>
      <c r="D15">
        <v>22.29</v>
      </c>
      <c r="E15">
        <v>3.08</v>
      </c>
      <c r="F15">
        <v>1.36</v>
      </c>
      <c r="G15">
        <v>0.57999999999999996</v>
      </c>
      <c r="H15">
        <v>0.02</v>
      </c>
      <c r="I15">
        <v>0.38</v>
      </c>
      <c r="J15" t="s">
        <v>32</v>
      </c>
      <c r="K15">
        <v>16.309999999999999</v>
      </c>
      <c r="L15">
        <v>2.89</v>
      </c>
      <c r="M15">
        <v>6.71</v>
      </c>
      <c r="N15">
        <v>45.024099999999997</v>
      </c>
      <c r="O15">
        <v>5</v>
      </c>
      <c r="P15">
        <v>0</v>
      </c>
      <c r="Q15">
        <v>345.90800000000002</v>
      </c>
      <c r="R15">
        <v>4</v>
      </c>
      <c r="S15">
        <v>0</v>
      </c>
      <c r="T15">
        <v>9.2799999999999994</v>
      </c>
      <c r="U15" t="str">
        <f>IFERROR(INDEX(Rosters!$C$2:$C$155,MATCH(B15,Rosters!$B$2:$B$155,0)),"NA")</f>
        <v>NA</v>
      </c>
      <c r="V15" t="str">
        <f t="shared" si="0"/>
        <v>NA7</v>
      </c>
      <c r="W15">
        <f>COUNTIFS(A$1:A15,A15)</f>
        <v>1</v>
      </c>
      <c r="X15" t="str">
        <f t="shared" si="1"/>
        <v>Falcons D/ST7</v>
      </c>
      <c r="Y15">
        <f>COUNTIF(V$1:V15,V15)</f>
        <v>1</v>
      </c>
      <c r="Z15" t="str">
        <f t="shared" si="2"/>
        <v>NA7-1</v>
      </c>
    </row>
    <row r="16" spans="1:26" x14ac:dyDescent="0.25">
      <c r="A16">
        <v>15</v>
      </c>
      <c r="B16" t="s">
        <v>412</v>
      </c>
      <c r="C16" t="s">
        <v>5422</v>
      </c>
      <c r="D16">
        <v>17.78</v>
      </c>
      <c r="E16">
        <v>3.02</v>
      </c>
      <c r="F16">
        <v>1.1000000000000001</v>
      </c>
      <c r="G16">
        <v>1.04</v>
      </c>
      <c r="H16">
        <v>0</v>
      </c>
      <c r="I16">
        <v>0.32</v>
      </c>
      <c r="J16" t="s">
        <v>17</v>
      </c>
      <c r="K16">
        <v>17.64</v>
      </c>
      <c r="L16">
        <v>3.76</v>
      </c>
      <c r="M16">
        <v>6.94</v>
      </c>
      <c r="N16">
        <v>48.163600000000002</v>
      </c>
      <c r="O16">
        <v>5</v>
      </c>
      <c r="P16">
        <v>0</v>
      </c>
      <c r="Q16">
        <v>322.45600000000002</v>
      </c>
      <c r="R16">
        <v>4</v>
      </c>
      <c r="S16">
        <v>0</v>
      </c>
      <c r="T16">
        <v>9.2200000000000006</v>
      </c>
      <c r="U16" t="str">
        <f>IFERROR(INDEX(Rosters!$C$2:$C$155,MATCH(B16,Rosters!$B$2:$B$155,0)),"NA")</f>
        <v>chad</v>
      </c>
      <c r="V16" t="str">
        <f t="shared" si="0"/>
        <v>chad15</v>
      </c>
      <c r="W16">
        <f>COUNTIFS(A$1:A16,A16)</f>
        <v>1</v>
      </c>
      <c r="X16" t="str">
        <f t="shared" si="1"/>
        <v>Broncos D/ST15</v>
      </c>
      <c r="Y16">
        <f>COUNTIF(V$1:V16,V16)</f>
        <v>1</v>
      </c>
      <c r="Z16" t="str">
        <f t="shared" si="2"/>
        <v>chad15-1</v>
      </c>
    </row>
    <row r="17" spans="1:26" x14ac:dyDescent="0.25">
      <c r="A17">
        <v>10</v>
      </c>
      <c r="B17" t="s">
        <v>430</v>
      </c>
      <c r="C17" t="s">
        <v>5423</v>
      </c>
      <c r="D17">
        <v>16</v>
      </c>
      <c r="E17">
        <v>3.21</v>
      </c>
      <c r="F17">
        <v>1.06</v>
      </c>
      <c r="G17">
        <v>0.86</v>
      </c>
      <c r="H17">
        <v>0.02</v>
      </c>
      <c r="I17">
        <v>0.18</v>
      </c>
      <c r="J17" t="s">
        <v>24</v>
      </c>
      <c r="K17">
        <v>15.62</v>
      </c>
      <c r="L17">
        <v>5</v>
      </c>
      <c r="M17">
        <v>5.31</v>
      </c>
      <c r="N17">
        <v>28.196100000000001</v>
      </c>
      <c r="O17">
        <v>4</v>
      </c>
      <c r="P17">
        <v>1</v>
      </c>
      <c r="Q17">
        <v>313.2</v>
      </c>
      <c r="R17">
        <v>4</v>
      </c>
      <c r="S17">
        <v>0</v>
      </c>
      <c r="T17">
        <v>9.17</v>
      </c>
      <c r="U17" t="str">
        <f>IFERROR(INDEX(Rosters!$C$2:$C$155,MATCH(B17,Rosters!$B$2:$B$155,0)),"NA")</f>
        <v>NA</v>
      </c>
      <c r="V17" t="str">
        <f t="shared" si="0"/>
        <v>NA10</v>
      </c>
      <c r="W17">
        <f>COUNTIFS(A$1:A17,A17)</f>
        <v>1</v>
      </c>
      <c r="X17" t="str">
        <f t="shared" si="1"/>
        <v>Jets D/ST10</v>
      </c>
      <c r="Y17">
        <f>COUNTIF(V$1:V17,V17)</f>
        <v>1</v>
      </c>
      <c r="Z17" t="str">
        <f t="shared" si="2"/>
        <v>NA10-1</v>
      </c>
    </row>
    <row r="18" spans="1:26" x14ac:dyDescent="0.25">
      <c r="A18">
        <v>14</v>
      </c>
      <c r="B18" t="s">
        <v>430</v>
      </c>
      <c r="C18" t="s">
        <v>5423</v>
      </c>
      <c r="D18">
        <v>16</v>
      </c>
      <c r="E18">
        <v>3.21</v>
      </c>
      <c r="F18">
        <v>1.06</v>
      </c>
      <c r="G18">
        <v>0.86</v>
      </c>
      <c r="H18">
        <v>0.02</v>
      </c>
      <c r="I18">
        <v>0.18</v>
      </c>
      <c r="J18" t="s">
        <v>24</v>
      </c>
      <c r="K18">
        <v>15.62</v>
      </c>
      <c r="L18">
        <v>5</v>
      </c>
      <c r="M18">
        <v>5.31</v>
      </c>
      <c r="N18">
        <v>28.196100000000001</v>
      </c>
      <c r="O18">
        <v>4</v>
      </c>
      <c r="P18">
        <v>1</v>
      </c>
      <c r="Q18">
        <v>313.2</v>
      </c>
      <c r="R18">
        <v>4</v>
      </c>
      <c r="S18">
        <v>0</v>
      </c>
      <c r="T18">
        <v>9.17</v>
      </c>
      <c r="U18" t="str">
        <f>IFERROR(INDEX(Rosters!$C$2:$C$155,MATCH(B18,Rosters!$B$2:$B$155,0)),"NA")</f>
        <v>NA</v>
      </c>
      <c r="V18" t="str">
        <f t="shared" si="0"/>
        <v>NA14</v>
      </c>
      <c r="W18">
        <f>COUNTIFS(A$1:A18,A18)</f>
        <v>2</v>
      </c>
      <c r="X18" t="str">
        <f t="shared" si="1"/>
        <v>Jets D/ST14</v>
      </c>
      <c r="Y18">
        <f>COUNTIF(V$1:V18,V18)</f>
        <v>2</v>
      </c>
      <c r="Z18" t="str">
        <f t="shared" si="2"/>
        <v>NA14-2</v>
      </c>
    </row>
    <row r="19" spans="1:26" x14ac:dyDescent="0.25">
      <c r="A19">
        <v>9</v>
      </c>
      <c r="B19" t="s">
        <v>421</v>
      </c>
      <c r="C19" t="s">
        <v>5424</v>
      </c>
      <c r="D19">
        <v>21.52</v>
      </c>
      <c r="E19">
        <v>2.46</v>
      </c>
      <c r="F19">
        <v>1.1599999999999999</v>
      </c>
      <c r="G19">
        <v>0.96</v>
      </c>
      <c r="H19">
        <v>0</v>
      </c>
      <c r="I19">
        <v>0.4</v>
      </c>
      <c r="J19" t="s">
        <v>25</v>
      </c>
      <c r="K19">
        <v>15.78</v>
      </c>
      <c r="L19">
        <v>3.86</v>
      </c>
      <c r="M19">
        <v>5.96</v>
      </c>
      <c r="N19">
        <v>35.521599999999999</v>
      </c>
      <c r="O19">
        <v>5</v>
      </c>
      <c r="P19">
        <v>0</v>
      </c>
      <c r="Q19">
        <v>341.904</v>
      </c>
      <c r="R19">
        <v>4</v>
      </c>
      <c r="S19">
        <v>0</v>
      </c>
      <c r="T19">
        <v>9.1</v>
      </c>
      <c r="U19" t="str">
        <f>IFERROR(INDEX(Rosters!$C$2:$C$155,MATCH(B19,Rosters!$B$2:$B$155,0)),"NA")</f>
        <v>NA</v>
      </c>
      <c r="V19" t="str">
        <f t="shared" si="0"/>
        <v>NA9</v>
      </c>
      <c r="W19">
        <f>COUNTIFS(A$1:A19,A19)</f>
        <v>1</v>
      </c>
      <c r="X19" t="str">
        <f t="shared" si="1"/>
        <v>Chargers D/ST9</v>
      </c>
      <c r="Y19">
        <f>COUNTIF(V$1:V19,V19)</f>
        <v>1</v>
      </c>
      <c r="Z19" t="str">
        <f t="shared" si="2"/>
        <v>NA9-1</v>
      </c>
    </row>
    <row r="20" spans="1:26" x14ac:dyDescent="0.25">
      <c r="A20">
        <v>9</v>
      </c>
      <c r="B20" t="s">
        <v>416</v>
      </c>
      <c r="C20" t="s">
        <v>5425</v>
      </c>
      <c r="D20">
        <v>14.71</v>
      </c>
      <c r="E20">
        <v>2.98</v>
      </c>
      <c r="F20">
        <v>1.08</v>
      </c>
      <c r="G20">
        <v>0.72</v>
      </c>
      <c r="H20">
        <v>0.02</v>
      </c>
      <c r="I20">
        <v>0.24</v>
      </c>
      <c r="J20" t="s">
        <v>24</v>
      </c>
      <c r="K20">
        <v>17.12</v>
      </c>
      <c r="L20">
        <v>3.96</v>
      </c>
      <c r="M20">
        <v>6.58</v>
      </c>
      <c r="N20">
        <v>43.296399999999998</v>
      </c>
      <c r="O20">
        <v>4</v>
      </c>
      <c r="P20">
        <v>1</v>
      </c>
      <c r="Q20">
        <v>306.49200000000002</v>
      </c>
      <c r="R20">
        <v>4</v>
      </c>
      <c r="S20">
        <v>0</v>
      </c>
      <c r="T20">
        <v>9.06</v>
      </c>
      <c r="U20" t="str">
        <f>IFERROR(INDEX(Rosters!$C$2:$C$155,MATCH(B20,Rosters!$B$2:$B$155,0)),"NA")</f>
        <v>lucas</v>
      </c>
      <c r="V20" t="str">
        <f t="shared" si="0"/>
        <v>lucas9</v>
      </c>
      <c r="W20">
        <f>COUNTIFS(A$1:A20,A20)</f>
        <v>2</v>
      </c>
      <c r="X20" t="str">
        <f t="shared" si="1"/>
        <v>Bears D/ST9</v>
      </c>
      <c r="Y20">
        <f>COUNTIF(V$1:V20,V20)</f>
        <v>1</v>
      </c>
      <c r="Z20" t="str">
        <f t="shared" si="2"/>
        <v>lucas9-1</v>
      </c>
    </row>
    <row r="21" spans="1:26" x14ac:dyDescent="0.25">
      <c r="A21">
        <v>1</v>
      </c>
      <c r="B21" t="s">
        <v>429</v>
      </c>
      <c r="C21" t="s">
        <v>1787</v>
      </c>
      <c r="D21">
        <v>17.600000000000001</v>
      </c>
      <c r="E21">
        <v>2.79</v>
      </c>
      <c r="F21">
        <v>1.46</v>
      </c>
      <c r="G21">
        <v>0.53</v>
      </c>
      <c r="H21">
        <v>0.02</v>
      </c>
      <c r="I21">
        <v>0.37</v>
      </c>
      <c r="J21" t="s">
        <v>34</v>
      </c>
      <c r="K21">
        <v>16.75</v>
      </c>
      <c r="L21">
        <v>4.97</v>
      </c>
      <c r="M21">
        <v>5.89</v>
      </c>
      <c r="N21">
        <v>34.692100000000003</v>
      </c>
      <c r="O21">
        <v>5</v>
      </c>
      <c r="P21">
        <v>0</v>
      </c>
      <c r="Q21">
        <v>321.52</v>
      </c>
      <c r="R21">
        <v>4</v>
      </c>
      <c r="S21">
        <v>0</v>
      </c>
      <c r="T21">
        <v>9.0299999999999994</v>
      </c>
      <c r="U21" t="str">
        <f>IFERROR(INDEX(Rosters!$C$2:$C$155,MATCH(B21,Rosters!$B$2:$B$155,0)),"NA")</f>
        <v>NA</v>
      </c>
      <c r="V21" t="str">
        <f t="shared" si="0"/>
        <v>NA1</v>
      </c>
      <c r="W21">
        <f>COUNTIFS(A$1:A21,A21)</f>
        <v>5</v>
      </c>
      <c r="X21" t="str">
        <f t="shared" si="1"/>
        <v>Redskins D/ST1</v>
      </c>
      <c r="Y21">
        <f>COUNTIF(V$1:V21,V21)</f>
        <v>2</v>
      </c>
      <c r="Z21" t="str">
        <f t="shared" si="2"/>
        <v>NA1-2</v>
      </c>
    </row>
    <row r="22" spans="1:26" x14ac:dyDescent="0.25">
      <c r="A22">
        <v>2</v>
      </c>
      <c r="B22" t="s">
        <v>407</v>
      </c>
      <c r="C22" t="s">
        <v>1222</v>
      </c>
      <c r="D22">
        <v>16.850000000000001</v>
      </c>
      <c r="E22">
        <v>3.1</v>
      </c>
      <c r="F22">
        <v>1.1599999999999999</v>
      </c>
      <c r="G22">
        <v>0.8</v>
      </c>
      <c r="H22">
        <v>0.02</v>
      </c>
      <c r="I22">
        <v>0.14000000000000001</v>
      </c>
      <c r="J22" t="s">
        <v>58</v>
      </c>
      <c r="K22">
        <v>15.73</v>
      </c>
      <c r="L22">
        <v>3.37</v>
      </c>
      <c r="M22">
        <v>6.18</v>
      </c>
      <c r="N22">
        <v>38.192399999999999</v>
      </c>
      <c r="O22">
        <v>4</v>
      </c>
      <c r="P22">
        <v>1</v>
      </c>
      <c r="Q22">
        <v>317.62</v>
      </c>
      <c r="R22">
        <v>4</v>
      </c>
      <c r="S22">
        <v>0</v>
      </c>
      <c r="T22">
        <v>8.9</v>
      </c>
      <c r="U22" t="str">
        <f>IFERROR(INDEX(Rosters!$C$2:$C$155,MATCH(B22,Rosters!$B$2:$B$155,0)),"NA")</f>
        <v>NA</v>
      </c>
      <c r="V22" t="str">
        <f t="shared" si="0"/>
        <v>NA2</v>
      </c>
      <c r="W22">
        <f>COUNTIFS(A$1:A22,A22)</f>
        <v>2</v>
      </c>
      <c r="X22" t="str">
        <f t="shared" si="1"/>
        <v>Seahawks D/ST2</v>
      </c>
      <c r="Y22">
        <f>COUNTIF(V$1:V22,V22)</f>
        <v>1</v>
      </c>
      <c r="Z22" t="str">
        <f t="shared" si="2"/>
        <v>NA2-1</v>
      </c>
    </row>
    <row r="23" spans="1:26" x14ac:dyDescent="0.25">
      <c r="A23">
        <v>11</v>
      </c>
      <c r="B23" t="s">
        <v>421</v>
      </c>
      <c r="C23" t="s">
        <v>5426</v>
      </c>
      <c r="D23">
        <v>22.57</v>
      </c>
      <c r="E23">
        <v>2.4</v>
      </c>
      <c r="F23">
        <v>1.26</v>
      </c>
      <c r="G23">
        <v>0.62</v>
      </c>
      <c r="H23">
        <v>0.02</v>
      </c>
      <c r="I23">
        <v>0.44</v>
      </c>
      <c r="J23" t="s">
        <v>423</v>
      </c>
      <c r="K23">
        <v>14.68</v>
      </c>
      <c r="L23">
        <v>3.62</v>
      </c>
      <c r="M23">
        <v>5.53</v>
      </c>
      <c r="N23">
        <v>30.5809</v>
      </c>
      <c r="O23">
        <v>5</v>
      </c>
      <c r="P23">
        <v>0</v>
      </c>
      <c r="Q23">
        <v>347.36399999999998</v>
      </c>
      <c r="R23">
        <v>4</v>
      </c>
      <c r="S23">
        <v>0</v>
      </c>
      <c r="T23">
        <v>8.84</v>
      </c>
      <c r="U23" t="str">
        <f>IFERROR(INDEX(Rosters!$C$2:$C$155,MATCH(B23,Rosters!$B$2:$B$155,0)),"NA")</f>
        <v>NA</v>
      </c>
      <c r="V23" t="str">
        <f t="shared" si="0"/>
        <v>NA11</v>
      </c>
      <c r="W23">
        <f>COUNTIFS(A$1:A23,A23)</f>
        <v>1</v>
      </c>
      <c r="X23" t="str">
        <f t="shared" si="1"/>
        <v>Chargers D/ST11</v>
      </c>
      <c r="Y23">
        <f>COUNTIF(V$1:V23,V23)</f>
        <v>1</v>
      </c>
      <c r="Z23" t="str">
        <f t="shared" si="2"/>
        <v>NA11-1</v>
      </c>
    </row>
    <row r="24" spans="1:26" x14ac:dyDescent="0.25">
      <c r="A24">
        <v>17</v>
      </c>
      <c r="B24" t="s">
        <v>421</v>
      </c>
      <c r="C24" t="s">
        <v>5426</v>
      </c>
      <c r="D24">
        <v>22.57</v>
      </c>
      <c r="E24">
        <v>2.4</v>
      </c>
      <c r="F24">
        <v>1.26</v>
      </c>
      <c r="G24">
        <v>0.62</v>
      </c>
      <c r="H24">
        <v>0.02</v>
      </c>
      <c r="I24">
        <v>0.44</v>
      </c>
      <c r="J24" t="s">
        <v>423</v>
      </c>
      <c r="K24">
        <v>14.68</v>
      </c>
      <c r="L24">
        <v>3.62</v>
      </c>
      <c r="M24">
        <v>5.53</v>
      </c>
      <c r="N24">
        <v>30.5809</v>
      </c>
      <c r="O24">
        <v>5</v>
      </c>
      <c r="P24">
        <v>0</v>
      </c>
      <c r="Q24">
        <v>347.36399999999998</v>
      </c>
      <c r="R24">
        <v>4</v>
      </c>
      <c r="S24">
        <v>0</v>
      </c>
      <c r="T24">
        <v>8.84</v>
      </c>
      <c r="U24" t="str">
        <f>IFERROR(INDEX(Rosters!$C$2:$C$155,MATCH(B24,Rosters!$B$2:$B$155,0)),"NA")</f>
        <v>NA</v>
      </c>
      <c r="V24" t="str">
        <f t="shared" si="0"/>
        <v>NA17</v>
      </c>
      <c r="W24">
        <f>COUNTIFS(A$1:A24,A24)</f>
        <v>2</v>
      </c>
      <c r="X24" t="str">
        <f t="shared" si="1"/>
        <v>Chargers D/ST17</v>
      </c>
      <c r="Y24">
        <f>COUNTIF(V$1:V24,V24)</f>
        <v>1</v>
      </c>
      <c r="Z24" t="str">
        <f t="shared" si="2"/>
        <v>NA17-1</v>
      </c>
    </row>
    <row r="25" spans="1:26" x14ac:dyDescent="0.25">
      <c r="A25">
        <v>14</v>
      </c>
      <c r="B25" t="s">
        <v>412</v>
      </c>
      <c r="C25" t="s">
        <v>5427</v>
      </c>
      <c r="D25">
        <v>16.79</v>
      </c>
      <c r="E25">
        <v>2.66</v>
      </c>
      <c r="F25">
        <v>1.02</v>
      </c>
      <c r="G25">
        <v>0.82</v>
      </c>
      <c r="H25">
        <v>0.08</v>
      </c>
      <c r="I25">
        <v>0.22</v>
      </c>
      <c r="J25" t="s">
        <v>14</v>
      </c>
      <c r="K25">
        <v>15</v>
      </c>
      <c r="L25">
        <v>4.24</v>
      </c>
      <c r="M25">
        <v>5.38</v>
      </c>
      <c r="N25">
        <v>28.944400000000002</v>
      </c>
      <c r="O25">
        <v>4</v>
      </c>
      <c r="P25">
        <v>1</v>
      </c>
      <c r="Q25">
        <v>317.30799999999999</v>
      </c>
      <c r="R25">
        <v>4</v>
      </c>
      <c r="S25">
        <v>0</v>
      </c>
      <c r="T25">
        <v>8.82</v>
      </c>
      <c r="U25" t="str">
        <f>IFERROR(INDEX(Rosters!$C$2:$C$155,MATCH(B25,Rosters!$B$2:$B$155,0)),"NA")</f>
        <v>chad</v>
      </c>
      <c r="V25" t="str">
        <f t="shared" si="0"/>
        <v>chad14</v>
      </c>
      <c r="W25">
        <f>COUNTIFS(A$1:A25,A25)</f>
        <v>3</v>
      </c>
      <c r="X25" t="str">
        <f t="shared" si="1"/>
        <v>Broncos D/ST14</v>
      </c>
      <c r="Y25">
        <f>COUNTIF(V$1:V25,V25)</f>
        <v>1</v>
      </c>
      <c r="Z25" t="str">
        <f t="shared" si="2"/>
        <v>chad14-1</v>
      </c>
    </row>
    <row r="26" spans="1:26" x14ac:dyDescent="0.25">
      <c r="A26">
        <v>13</v>
      </c>
      <c r="B26" t="s">
        <v>407</v>
      </c>
      <c r="C26" t="s">
        <v>5428</v>
      </c>
      <c r="D26">
        <v>17.12</v>
      </c>
      <c r="E26">
        <v>2.5</v>
      </c>
      <c r="F26">
        <v>1.04</v>
      </c>
      <c r="G26">
        <v>0.82</v>
      </c>
      <c r="H26">
        <v>0.08</v>
      </c>
      <c r="I26">
        <v>0.24</v>
      </c>
      <c r="J26" t="s">
        <v>14</v>
      </c>
      <c r="K26">
        <v>15.72</v>
      </c>
      <c r="L26">
        <v>3.52</v>
      </c>
      <c r="M26">
        <v>6.1</v>
      </c>
      <c r="N26">
        <v>37.21</v>
      </c>
      <c r="O26">
        <v>4</v>
      </c>
      <c r="P26">
        <v>1</v>
      </c>
      <c r="Q26">
        <v>319.024</v>
      </c>
      <c r="R26">
        <v>4</v>
      </c>
      <c r="S26">
        <v>0</v>
      </c>
      <c r="T26">
        <v>8.82</v>
      </c>
      <c r="U26" t="str">
        <f>IFERROR(INDEX(Rosters!$C$2:$C$155,MATCH(B26,Rosters!$B$2:$B$155,0)),"NA")</f>
        <v>NA</v>
      </c>
      <c r="V26" t="str">
        <f t="shared" si="0"/>
        <v>NA13</v>
      </c>
      <c r="W26">
        <f>COUNTIFS(A$1:A26,A26)</f>
        <v>1</v>
      </c>
      <c r="X26" t="str">
        <f t="shared" si="1"/>
        <v>Seahawks D/ST13</v>
      </c>
      <c r="Y26">
        <f>COUNTIF(V$1:V26,V26)</f>
        <v>1</v>
      </c>
      <c r="Z26" t="str">
        <f t="shared" si="2"/>
        <v>NA13-1</v>
      </c>
    </row>
    <row r="27" spans="1:26" x14ac:dyDescent="0.25">
      <c r="A27">
        <v>15</v>
      </c>
      <c r="B27" t="s">
        <v>407</v>
      </c>
      <c r="C27" t="s">
        <v>5428</v>
      </c>
      <c r="D27">
        <v>17.12</v>
      </c>
      <c r="E27">
        <v>2.5</v>
      </c>
      <c r="F27">
        <v>1.04</v>
      </c>
      <c r="G27">
        <v>0.82</v>
      </c>
      <c r="H27">
        <v>0.08</v>
      </c>
      <c r="I27">
        <v>0.24</v>
      </c>
      <c r="J27" t="s">
        <v>14</v>
      </c>
      <c r="K27">
        <v>15.72</v>
      </c>
      <c r="L27">
        <v>3.52</v>
      </c>
      <c r="M27">
        <v>6.1</v>
      </c>
      <c r="N27">
        <v>37.21</v>
      </c>
      <c r="O27">
        <v>4</v>
      </c>
      <c r="P27">
        <v>1</v>
      </c>
      <c r="Q27">
        <v>319.024</v>
      </c>
      <c r="R27">
        <v>4</v>
      </c>
      <c r="S27">
        <v>0</v>
      </c>
      <c r="T27">
        <v>8.82</v>
      </c>
      <c r="U27" t="str">
        <f>IFERROR(INDEX(Rosters!$C$2:$C$155,MATCH(B27,Rosters!$B$2:$B$155,0)),"NA")</f>
        <v>NA</v>
      </c>
      <c r="V27" t="str">
        <f t="shared" si="0"/>
        <v>NA15</v>
      </c>
      <c r="W27">
        <f>COUNTIFS(A$1:A27,A27)</f>
        <v>2</v>
      </c>
      <c r="X27" t="str">
        <f t="shared" si="1"/>
        <v>Seahawks D/ST15</v>
      </c>
      <c r="Y27">
        <f>COUNTIF(V$1:V27,V27)</f>
        <v>1</v>
      </c>
      <c r="Z27" t="str">
        <f t="shared" si="2"/>
        <v>NA15-1</v>
      </c>
    </row>
    <row r="28" spans="1:26" x14ac:dyDescent="0.25">
      <c r="A28">
        <v>2</v>
      </c>
      <c r="B28" t="s">
        <v>405</v>
      </c>
      <c r="C28" t="s">
        <v>3289</v>
      </c>
      <c r="D28">
        <v>22.84</v>
      </c>
      <c r="E28">
        <v>3.42</v>
      </c>
      <c r="F28">
        <v>1.22</v>
      </c>
      <c r="G28">
        <v>1.08</v>
      </c>
      <c r="H28">
        <v>0.04</v>
      </c>
      <c r="I28">
        <v>0.12</v>
      </c>
      <c r="J28" t="s">
        <v>22</v>
      </c>
      <c r="K28">
        <v>16.23</v>
      </c>
      <c r="L28">
        <v>2.99</v>
      </c>
      <c r="M28">
        <v>6.62</v>
      </c>
      <c r="N28">
        <v>43.824399999999997</v>
      </c>
      <c r="O28">
        <v>5</v>
      </c>
      <c r="P28">
        <v>0</v>
      </c>
      <c r="Q28">
        <v>348.76799999999997</v>
      </c>
      <c r="R28">
        <v>4</v>
      </c>
      <c r="S28">
        <v>0</v>
      </c>
      <c r="T28">
        <v>8.82</v>
      </c>
      <c r="U28" t="str">
        <f>IFERROR(INDEX(Rosters!$C$2:$C$155,MATCH(B28,Rosters!$B$2:$B$155,0)),"NA")</f>
        <v>perry</v>
      </c>
      <c r="V28" t="str">
        <f t="shared" si="0"/>
        <v>perry2</v>
      </c>
      <c r="W28">
        <f>COUNTIFS(A$1:A28,A28)</f>
        <v>3</v>
      </c>
      <c r="X28" t="str">
        <f t="shared" si="1"/>
        <v>Texans D/ST2</v>
      </c>
      <c r="Y28">
        <f>COUNTIF(V$1:V28,V28)</f>
        <v>1</v>
      </c>
      <c r="Z28" t="str">
        <f t="shared" si="2"/>
        <v>perry2-1</v>
      </c>
    </row>
    <row r="29" spans="1:26" x14ac:dyDescent="0.25">
      <c r="A29">
        <v>16</v>
      </c>
      <c r="B29" t="s">
        <v>420</v>
      </c>
      <c r="C29" t="s">
        <v>5429</v>
      </c>
      <c r="D29">
        <v>17.600000000000001</v>
      </c>
      <c r="E29">
        <v>2.75</v>
      </c>
      <c r="F29">
        <v>1.42</v>
      </c>
      <c r="G29">
        <v>0.56000000000000005</v>
      </c>
      <c r="H29">
        <v>0</v>
      </c>
      <c r="I29">
        <v>0.34</v>
      </c>
      <c r="J29" t="s">
        <v>34</v>
      </c>
      <c r="K29">
        <v>17.09</v>
      </c>
      <c r="L29">
        <v>4.3099999999999996</v>
      </c>
      <c r="M29">
        <v>6.39</v>
      </c>
      <c r="N29">
        <v>40.832099999999997</v>
      </c>
      <c r="O29">
        <v>5</v>
      </c>
      <c r="P29">
        <v>0</v>
      </c>
      <c r="Q29">
        <v>321.52</v>
      </c>
      <c r="R29">
        <v>4</v>
      </c>
      <c r="S29">
        <v>0</v>
      </c>
      <c r="T29">
        <v>8.75</v>
      </c>
      <c r="U29" t="str">
        <f>IFERROR(INDEX(Rosters!$C$2:$C$155,MATCH(B29,Rosters!$B$2:$B$155,0)),"NA")</f>
        <v>scott</v>
      </c>
      <c r="V29" t="str">
        <f t="shared" si="0"/>
        <v>scott16</v>
      </c>
      <c r="W29">
        <f>COUNTIFS(A$1:A29,A29)</f>
        <v>1</v>
      </c>
      <c r="X29" t="str">
        <f t="shared" si="1"/>
        <v>Rams D/ST16</v>
      </c>
      <c r="Y29">
        <f>COUNTIF(V$1:V29,V29)</f>
        <v>1</v>
      </c>
      <c r="Z29" t="str">
        <f t="shared" si="2"/>
        <v>scott16-1</v>
      </c>
    </row>
    <row r="30" spans="1:26" x14ac:dyDescent="0.25">
      <c r="A30">
        <v>2</v>
      </c>
      <c r="B30" t="s">
        <v>412</v>
      </c>
      <c r="C30" t="s">
        <v>3290</v>
      </c>
      <c r="D30">
        <v>21.88</v>
      </c>
      <c r="E30">
        <v>2.86</v>
      </c>
      <c r="F30">
        <v>1.08</v>
      </c>
      <c r="G30">
        <v>0.66</v>
      </c>
      <c r="H30">
        <v>0.06</v>
      </c>
      <c r="I30">
        <v>0.38</v>
      </c>
      <c r="J30" t="s">
        <v>50</v>
      </c>
      <c r="K30">
        <v>15.96</v>
      </c>
      <c r="L30">
        <v>2.66</v>
      </c>
      <c r="M30">
        <v>6.65</v>
      </c>
      <c r="N30">
        <v>44.222499999999997</v>
      </c>
      <c r="O30">
        <v>5</v>
      </c>
      <c r="P30">
        <v>0</v>
      </c>
      <c r="Q30">
        <v>343.77600000000001</v>
      </c>
      <c r="R30">
        <v>4</v>
      </c>
      <c r="S30">
        <v>0</v>
      </c>
      <c r="T30">
        <v>8.74</v>
      </c>
      <c r="U30" t="str">
        <f>IFERROR(INDEX(Rosters!$C$2:$C$155,MATCH(B30,Rosters!$B$2:$B$155,0)),"NA")</f>
        <v>chad</v>
      </c>
      <c r="V30" t="str">
        <f t="shared" si="0"/>
        <v>chad2</v>
      </c>
      <c r="W30">
        <f>COUNTIFS(A$1:A30,A30)</f>
        <v>4</v>
      </c>
      <c r="X30" t="str">
        <f t="shared" si="1"/>
        <v>Broncos D/ST2</v>
      </c>
      <c r="Y30">
        <f>COUNTIF(V$1:V30,V30)</f>
        <v>1</v>
      </c>
      <c r="Z30" t="str">
        <f t="shared" si="2"/>
        <v>chad2-1</v>
      </c>
    </row>
    <row r="31" spans="1:26" x14ac:dyDescent="0.25">
      <c r="A31">
        <v>16</v>
      </c>
      <c r="B31" t="s">
        <v>419</v>
      </c>
      <c r="C31" t="s">
        <v>5430</v>
      </c>
      <c r="D31">
        <v>16.149999999999999</v>
      </c>
      <c r="E31">
        <v>2.62</v>
      </c>
      <c r="F31">
        <v>0.88</v>
      </c>
      <c r="G31">
        <v>0.9</v>
      </c>
      <c r="H31">
        <v>0.04</v>
      </c>
      <c r="I31">
        <v>0.24</v>
      </c>
      <c r="J31" t="s">
        <v>54</v>
      </c>
      <c r="K31">
        <v>16.03</v>
      </c>
      <c r="L31">
        <v>3.59</v>
      </c>
      <c r="M31">
        <v>6.22</v>
      </c>
      <c r="N31">
        <v>38.688400000000001</v>
      </c>
      <c r="O31">
        <v>4</v>
      </c>
      <c r="P31">
        <v>1</v>
      </c>
      <c r="Q31">
        <v>313.98</v>
      </c>
      <c r="R31">
        <v>4</v>
      </c>
      <c r="S31">
        <v>0</v>
      </c>
      <c r="T31">
        <v>8.6999999999999993</v>
      </c>
      <c r="U31" t="str">
        <f>IFERROR(INDEX(Rosters!$C$2:$C$155,MATCH(B31,Rosters!$B$2:$B$155,0)),"NA")</f>
        <v>devon</v>
      </c>
      <c r="V31" t="str">
        <f t="shared" si="0"/>
        <v>devon16</v>
      </c>
      <c r="W31">
        <f>COUNTIFS(A$1:A31,A31)</f>
        <v>2</v>
      </c>
      <c r="X31" t="str">
        <f t="shared" si="1"/>
        <v>Jaguars D/ST16</v>
      </c>
      <c r="Y31">
        <f>COUNTIF(V$1:V31,V31)</f>
        <v>1</v>
      </c>
      <c r="Z31" t="str">
        <f t="shared" si="2"/>
        <v>devon16-1</v>
      </c>
    </row>
    <row r="32" spans="1:26" x14ac:dyDescent="0.25">
      <c r="A32">
        <v>2</v>
      </c>
      <c r="B32" t="s">
        <v>421</v>
      </c>
      <c r="C32" t="s">
        <v>3291</v>
      </c>
      <c r="D32">
        <v>19.46</v>
      </c>
      <c r="E32">
        <v>2.77</v>
      </c>
      <c r="F32">
        <v>1.42</v>
      </c>
      <c r="G32">
        <v>0.88</v>
      </c>
      <c r="H32">
        <v>0.09</v>
      </c>
      <c r="I32">
        <v>0.19</v>
      </c>
      <c r="J32" t="s">
        <v>24</v>
      </c>
      <c r="K32">
        <v>17.850000000000001</v>
      </c>
      <c r="L32">
        <v>1.37</v>
      </c>
      <c r="M32">
        <v>8.24</v>
      </c>
      <c r="N32">
        <v>67.897599999999997</v>
      </c>
      <c r="O32">
        <v>5</v>
      </c>
      <c r="P32">
        <v>0</v>
      </c>
      <c r="Q32">
        <v>331.19200000000001</v>
      </c>
      <c r="R32">
        <v>4</v>
      </c>
      <c r="S32">
        <v>0</v>
      </c>
      <c r="T32">
        <v>8.69</v>
      </c>
      <c r="U32" t="str">
        <f>IFERROR(INDEX(Rosters!$C$2:$C$155,MATCH(B32,Rosters!$B$2:$B$155,0)),"NA")</f>
        <v>NA</v>
      </c>
      <c r="V32" t="str">
        <f t="shared" si="0"/>
        <v>NA2</v>
      </c>
      <c r="W32">
        <f>COUNTIFS(A$1:A32,A32)</f>
        <v>5</v>
      </c>
      <c r="X32" t="str">
        <f t="shared" si="1"/>
        <v>Chargers D/ST2</v>
      </c>
      <c r="Y32">
        <f>COUNTIF(V$1:V32,V32)</f>
        <v>2</v>
      </c>
      <c r="Z32" t="str">
        <f t="shared" si="2"/>
        <v>NA2-2</v>
      </c>
    </row>
    <row r="33" spans="1:26" x14ac:dyDescent="0.25">
      <c r="A33">
        <v>13</v>
      </c>
      <c r="B33" t="s">
        <v>420</v>
      </c>
      <c r="C33" t="s">
        <v>5431</v>
      </c>
      <c r="D33">
        <v>20.28</v>
      </c>
      <c r="E33">
        <v>2.48</v>
      </c>
      <c r="F33">
        <v>1.42</v>
      </c>
      <c r="G33">
        <v>0.72</v>
      </c>
      <c r="H33">
        <v>0.06</v>
      </c>
      <c r="I33">
        <v>0.3</v>
      </c>
      <c r="J33" t="s">
        <v>42</v>
      </c>
      <c r="K33">
        <v>15.33</v>
      </c>
      <c r="L33">
        <v>4.41</v>
      </c>
      <c r="M33">
        <v>5.46</v>
      </c>
      <c r="N33">
        <v>29.811599999999999</v>
      </c>
      <c r="O33">
        <v>5</v>
      </c>
      <c r="P33">
        <v>0</v>
      </c>
      <c r="Q33">
        <v>335.45600000000002</v>
      </c>
      <c r="R33">
        <v>4</v>
      </c>
      <c r="S33">
        <v>0</v>
      </c>
      <c r="T33">
        <v>8.68</v>
      </c>
      <c r="U33" t="str">
        <f>IFERROR(INDEX(Rosters!$C$2:$C$155,MATCH(B33,Rosters!$B$2:$B$155,0)),"NA")</f>
        <v>scott</v>
      </c>
      <c r="V33" t="str">
        <f t="shared" si="0"/>
        <v>scott13</v>
      </c>
      <c r="W33">
        <f>COUNTIFS(A$1:A33,A33)</f>
        <v>2</v>
      </c>
      <c r="X33" t="str">
        <f t="shared" si="1"/>
        <v>Rams D/ST13</v>
      </c>
      <c r="Y33">
        <f>COUNTIF(V$1:V33,V33)</f>
        <v>1</v>
      </c>
      <c r="Z33" t="str">
        <f t="shared" si="2"/>
        <v>scott13-1</v>
      </c>
    </row>
    <row r="34" spans="1:26" x14ac:dyDescent="0.25">
      <c r="A34">
        <v>2</v>
      </c>
      <c r="B34" t="s">
        <v>431</v>
      </c>
      <c r="C34" t="s">
        <v>3292</v>
      </c>
      <c r="D34">
        <v>17.02</v>
      </c>
      <c r="E34">
        <v>2.27</v>
      </c>
      <c r="F34">
        <v>1.17</v>
      </c>
      <c r="G34">
        <v>0.68</v>
      </c>
      <c r="H34">
        <v>0.02</v>
      </c>
      <c r="I34">
        <v>0.27</v>
      </c>
      <c r="J34" t="s">
        <v>17</v>
      </c>
      <c r="K34">
        <v>15.35</v>
      </c>
      <c r="L34">
        <v>3.61</v>
      </c>
      <c r="M34">
        <v>5.87</v>
      </c>
      <c r="N34">
        <v>34.456899999999997</v>
      </c>
      <c r="O34">
        <v>4</v>
      </c>
      <c r="P34">
        <v>1</v>
      </c>
      <c r="Q34">
        <v>318.50400000000002</v>
      </c>
      <c r="R34">
        <v>4</v>
      </c>
      <c r="S34">
        <v>0</v>
      </c>
      <c r="T34">
        <v>8.6300000000000008</v>
      </c>
      <c r="U34" t="str">
        <f>IFERROR(INDEX(Rosters!$C$2:$C$155,MATCH(B34,Rosters!$B$2:$B$155,0)),"NA")</f>
        <v>NA</v>
      </c>
      <c r="V34" t="str">
        <f t="shared" si="0"/>
        <v>NA2</v>
      </c>
      <c r="W34">
        <f>COUNTIFS(A$1:A34,A34)</f>
        <v>6</v>
      </c>
      <c r="X34" t="str">
        <f t="shared" si="1"/>
        <v>Saints D/ST2</v>
      </c>
      <c r="Y34">
        <f>COUNTIF(V$1:V34,V34)</f>
        <v>3</v>
      </c>
      <c r="Z34" t="str">
        <f t="shared" si="2"/>
        <v>NA2-3</v>
      </c>
    </row>
    <row r="35" spans="1:26" x14ac:dyDescent="0.25">
      <c r="A35">
        <v>15</v>
      </c>
      <c r="B35" t="s">
        <v>418</v>
      </c>
      <c r="C35" t="s">
        <v>5432</v>
      </c>
      <c r="D35">
        <v>22.53</v>
      </c>
      <c r="E35">
        <v>2.09</v>
      </c>
      <c r="F35">
        <v>1.4</v>
      </c>
      <c r="G35">
        <v>0.93</v>
      </c>
      <c r="H35">
        <v>0.02</v>
      </c>
      <c r="I35">
        <v>0.3</v>
      </c>
      <c r="J35" t="s">
        <v>42</v>
      </c>
      <c r="K35">
        <v>14.65</v>
      </c>
      <c r="L35">
        <v>3.27</v>
      </c>
      <c r="M35">
        <v>5.69</v>
      </c>
      <c r="N35">
        <v>32.376100000000001</v>
      </c>
      <c r="O35">
        <v>5</v>
      </c>
      <c r="P35">
        <v>0</v>
      </c>
      <c r="Q35">
        <v>347.15600000000001</v>
      </c>
      <c r="R35">
        <v>4</v>
      </c>
      <c r="S35">
        <v>0</v>
      </c>
      <c r="T35">
        <v>8.59</v>
      </c>
      <c r="U35" t="str">
        <f>IFERROR(INDEX(Rosters!$C$2:$C$155,MATCH(B35,Rosters!$B$2:$B$155,0)),"NA")</f>
        <v>NA</v>
      </c>
      <c r="V35" t="str">
        <f t="shared" si="0"/>
        <v>NA15</v>
      </c>
      <c r="W35">
        <f>COUNTIFS(A$1:A35,A35)</f>
        <v>3</v>
      </c>
      <c r="X35" t="str">
        <f t="shared" si="1"/>
        <v>Bills D/ST15</v>
      </c>
      <c r="Y35">
        <f>COUNTIF(V$1:V35,V35)</f>
        <v>2</v>
      </c>
      <c r="Z35" t="str">
        <f t="shared" si="2"/>
        <v>NA15-2</v>
      </c>
    </row>
    <row r="36" spans="1:26" x14ac:dyDescent="0.25">
      <c r="A36">
        <v>3</v>
      </c>
      <c r="B36" t="s">
        <v>419</v>
      </c>
      <c r="C36" t="s">
        <v>4177</v>
      </c>
      <c r="D36">
        <v>15.14</v>
      </c>
      <c r="E36">
        <v>2.57</v>
      </c>
      <c r="F36">
        <v>1.17</v>
      </c>
      <c r="G36">
        <v>0.49</v>
      </c>
      <c r="H36">
        <v>0.03</v>
      </c>
      <c r="I36">
        <v>0.27</v>
      </c>
      <c r="J36" t="s">
        <v>22</v>
      </c>
      <c r="K36">
        <v>14.44</v>
      </c>
      <c r="L36">
        <v>5.28</v>
      </c>
      <c r="M36">
        <v>4.58</v>
      </c>
      <c r="N36">
        <v>20.976400000000002</v>
      </c>
      <c r="O36">
        <v>4</v>
      </c>
      <c r="P36">
        <v>1</v>
      </c>
      <c r="Q36">
        <v>308.72800000000001</v>
      </c>
      <c r="R36">
        <v>4</v>
      </c>
      <c r="S36">
        <v>0</v>
      </c>
      <c r="T36">
        <v>8.57</v>
      </c>
      <c r="U36" t="str">
        <f>IFERROR(INDEX(Rosters!$C$2:$C$155,MATCH(B36,Rosters!$B$2:$B$155,0)),"NA")</f>
        <v>devon</v>
      </c>
      <c r="V36" t="str">
        <f t="shared" si="0"/>
        <v>devon3</v>
      </c>
      <c r="W36">
        <f>COUNTIFS(A$1:A36,A36)</f>
        <v>2</v>
      </c>
      <c r="X36" t="str">
        <f t="shared" si="1"/>
        <v>Jaguars D/ST3</v>
      </c>
      <c r="Y36">
        <f>COUNTIF(V$1:V36,V36)</f>
        <v>1</v>
      </c>
      <c r="Z36" t="str">
        <f t="shared" si="2"/>
        <v>devon3-1</v>
      </c>
    </row>
    <row r="37" spans="1:26" x14ac:dyDescent="0.25">
      <c r="A37">
        <v>10</v>
      </c>
      <c r="B37" t="s">
        <v>419</v>
      </c>
      <c r="C37" t="s">
        <v>5433</v>
      </c>
      <c r="D37">
        <v>18.03</v>
      </c>
      <c r="E37">
        <v>2.6</v>
      </c>
      <c r="F37">
        <v>1.24</v>
      </c>
      <c r="G37">
        <v>0.64</v>
      </c>
      <c r="H37">
        <v>0.08</v>
      </c>
      <c r="I37">
        <v>0.34</v>
      </c>
      <c r="J37" t="s">
        <v>41</v>
      </c>
      <c r="K37">
        <v>16.46</v>
      </c>
      <c r="L37">
        <v>3.54</v>
      </c>
      <c r="M37">
        <v>6.46</v>
      </c>
      <c r="N37">
        <v>41.7316</v>
      </c>
      <c r="O37">
        <v>5</v>
      </c>
      <c r="P37">
        <v>0</v>
      </c>
      <c r="Q37">
        <v>323.75599999999997</v>
      </c>
      <c r="R37">
        <v>4</v>
      </c>
      <c r="S37">
        <v>0</v>
      </c>
      <c r="T37">
        <v>8.56</v>
      </c>
      <c r="U37" t="str">
        <f>IFERROR(INDEX(Rosters!$C$2:$C$155,MATCH(B37,Rosters!$B$2:$B$155,0)),"NA")</f>
        <v>devon</v>
      </c>
      <c r="V37" t="str">
        <f t="shared" si="0"/>
        <v>devon10</v>
      </c>
      <c r="W37">
        <f>COUNTIFS(A$1:A37,A37)</f>
        <v>2</v>
      </c>
      <c r="X37" t="str">
        <f t="shared" si="1"/>
        <v>Jaguars D/ST10</v>
      </c>
      <c r="Y37">
        <f>COUNTIF(V$1:V37,V37)</f>
        <v>1</v>
      </c>
      <c r="Z37" t="str">
        <f t="shared" si="2"/>
        <v>devon10-1</v>
      </c>
    </row>
    <row r="38" spans="1:26" x14ac:dyDescent="0.25">
      <c r="A38">
        <v>13</v>
      </c>
      <c r="B38" t="s">
        <v>419</v>
      </c>
      <c r="C38" t="s">
        <v>5433</v>
      </c>
      <c r="D38">
        <v>18.03</v>
      </c>
      <c r="E38">
        <v>2.6</v>
      </c>
      <c r="F38">
        <v>1.24</v>
      </c>
      <c r="G38">
        <v>0.64</v>
      </c>
      <c r="H38">
        <v>0.08</v>
      </c>
      <c r="I38">
        <v>0.34</v>
      </c>
      <c r="J38" t="s">
        <v>41</v>
      </c>
      <c r="K38">
        <v>16.46</v>
      </c>
      <c r="L38">
        <v>3.54</v>
      </c>
      <c r="M38">
        <v>6.46</v>
      </c>
      <c r="N38">
        <v>41.7316</v>
      </c>
      <c r="O38">
        <v>5</v>
      </c>
      <c r="P38">
        <v>0</v>
      </c>
      <c r="Q38">
        <v>323.75599999999997</v>
      </c>
      <c r="R38">
        <v>4</v>
      </c>
      <c r="S38">
        <v>0</v>
      </c>
      <c r="T38">
        <v>8.56</v>
      </c>
      <c r="U38" t="str">
        <f>IFERROR(INDEX(Rosters!$C$2:$C$155,MATCH(B38,Rosters!$B$2:$B$155,0)),"NA")</f>
        <v>devon</v>
      </c>
      <c r="V38" t="str">
        <f t="shared" si="0"/>
        <v>devon13</v>
      </c>
      <c r="W38">
        <f>COUNTIFS(A$1:A38,A38)</f>
        <v>3</v>
      </c>
      <c r="X38" t="str">
        <f t="shared" si="1"/>
        <v>Jaguars D/ST13</v>
      </c>
      <c r="Y38">
        <f>COUNTIF(V$1:V38,V38)</f>
        <v>1</v>
      </c>
      <c r="Z38" t="str">
        <f t="shared" si="2"/>
        <v>devon13-1</v>
      </c>
    </row>
    <row r="39" spans="1:26" x14ac:dyDescent="0.25">
      <c r="A39">
        <v>2</v>
      </c>
      <c r="B39" t="s">
        <v>435</v>
      </c>
      <c r="C39" t="s">
        <v>1223</v>
      </c>
      <c r="D39">
        <v>21.36</v>
      </c>
      <c r="E39">
        <v>2.12</v>
      </c>
      <c r="F39">
        <v>1.4</v>
      </c>
      <c r="G39">
        <v>0.68</v>
      </c>
      <c r="H39">
        <v>0.04</v>
      </c>
      <c r="I39">
        <v>0.36</v>
      </c>
      <c r="J39" t="s">
        <v>14</v>
      </c>
      <c r="K39">
        <v>15.64</v>
      </c>
      <c r="L39">
        <v>2.72</v>
      </c>
      <c r="M39">
        <v>6.46</v>
      </c>
      <c r="N39">
        <v>41.7316</v>
      </c>
      <c r="O39">
        <v>5</v>
      </c>
      <c r="P39">
        <v>0</v>
      </c>
      <c r="Q39">
        <v>341.072</v>
      </c>
      <c r="R39">
        <v>4</v>
      </c>
      <c r="S39">
        <v>0</v>
      </c>
      <c r="T39">
        <v>8.52</v>
      </c>
      <c r="U39" t="str">
        <f>IFERROR(INDEX(Rosters!$C$2:$C$155,MATCH(B39,Rosters!$B$2:$B$155,0)),"NA")</f>
        <v>NA</v>
      </c>
      <c r="V39" t="str">
        <f t="shared" si="0"/>
        <v>NA2</v>
      </c>
      <c r="W39">
        <f>COUNTIFS(A$1:A39,A39)</f>
        <v>7</v>
      </c>
      <c r="X39" t="str">
        <f t="shared" si="1"/>
        <v>Lions D/ST2</v>
      </c>
      <c r="Y39">
        <f>COUNTIF(V$1:V39,V39)</f>
        <v>4</v>
      </c>
      <c r="Z39" t="str">
        <f t="shared" si="2"/>
        <v>NA2-4</v>
      </c>
    </row>
    <row r="40" spans="1:26" x14ac:dyDescent="0.25">
      <c r="A40">
        <v>7</v>
      </c>
      <c r="B40" t="s">
        <v>418</v>
      </c>
      <c r="C40" t="s">
        <v>5434</v>
      </c>
      <c r="D40">
        <v>19.05</v>
      </c>
      <c r="E40">
        <v>2.8</v>
      </c>
      <c r="F40">
        <v>1.4</v>
      </c>
      <c r="G40">
        <v>0.68</v>
      </c>
      <c r="H40">
        <v>0.04</v>
      </c>
      <c r="I40">
        <v>0.24</v>
      </c>
      <c r="J40" t="s">
        <v>41</v>
      </c>
      <c r="K40">
        <v>15.38</v>
      </c>
      <c r="L40">
        <v>3.74</v>
      </c>
      <c r="M40">
        <v>5.82</v>
      </c>
      <c r="N40">
        <v>33.872399999999999</v>
      </c>
      <c r="O40">
        <v>5</v>
      </c>
      <c r="P40">
        <v>0</v>
      </c>
      <c r="Q40">
        <v>329.06</v>
      </c>
      <c r="R40">
        <v>4</v>
      </c>
      <c r="S40">
        <v>0</v>
      </c>
      <c r="T40">
        <v>8.48</v>
      </c>
      <c r="U40" t="str">
        <f>IFERROR(INDEX(Rosters!$C$2:$C$155,MATCH(B40,Rosters!$B$2:$B$155,0)),"NA")</f>
        <v>NA</v>
      </c>
      <c r="V40" t="str">
        <f t="shared" si="0"/>
        <v>NA7</v>
      </c>
      <c r="W40">
        <f>COUNTIFS(A$1:A40,A40)</f>
        <v>2</v>
      </c>
      <c r="X40" t="str">
        <f t="shared" si="1"/>
        <v>Bills D/ST7</v>
      </c>
      <c r="Y40">
        <f>COUNTIF(V$1:V40,V40)</f>
        <v>2</v>
      </c>
      <c r="Z40" t="str">
        <f t="shared" si="2"/>
        <v>NA7-2</v>
      </c>
    </row>
    <row r="41" spans="1:26" x14ac:dyDescent="0.25">
      <c r="A41">
        <v>7</v>
      </c>
      <c r="B41" t="s">
        <v>409</v>
      </c>
      <c r="C41" t="s">
        <v>5435</v>
      </c>
      <c r="D41">
        <v>19.79</v>
      </c>
      <c r="E41">
        <v>2.56</v>
      </c>
      <c r="F41">
        <v>1.28</v>
      </c>
      <c r="G41">
        <v>0.76</v>
      </c>
      <c r="H41">
        <v>0.02</v>
      </c>
      <c r="I41">
        <v>0.3</v>
      </c>
      <c r="J41" t="s">
        <v>423</v>
      </c>
      <c r="K41">
        <v>16.12</v>
      </c>
      <c r="L41">
        <v>2.78</v>
      </c>
      <c r="M41">
        <v>6.67</v>
      </c>
      <c r="N41">
        <v>44.488900000000001</v>
      </c>
      <c r="O41">
        <v>5</v>
      </c>
      <c r="P41">
        <v>0</v>
      </c>
      <c r="Q41">
        <v>332.90800000000002</v>
      </c>
      <c r="R41">
        <v>4</v>
      </c>
      <c r="S41">
        <v>0</v>
      </c>
      <c r="T41">
        <v>8.48</v>
      </c>
      <c r="U41" t="str">
        <f>IFERROR(INDEX(Rosters!$C$2:$C$155,MATCH(B41,Rosters!$B$2:$B$155,0)),"NA")</f>
        <v>NA</v>
      </c>
      <c r="V41" t="str">
        <f t="shared" si="0"/>
        <v>NA7</v>
      </c>
      <c r="W41">
        <f>COUNTIFS(A$1:A41,A41)</f>
        <v>3</v>
      </c>
      <c r="X41" t="str">
        <f t="shared" si="1"/>
        <v>Cardinals D/ST7</v>
      </c>
      <c r="Y41">
        <f>COUNTIF(V$1:V41,V41)</f>
        <v>3</v>
      </c>
      <c r="Z41" t="str">
        <f t="shared" si="2"/>
        <v>NA7-3</v>
      </c>
    </row>
    <row r="42" spans="1:26" x14ac:dyDescent="0.25">
      <c r="A42">
        <v>6</v>
      </c>
      <c r="B42" t="s">
        <v>411</v>
      </c>
      <c r="C42" t="s">
        <v>5436</v>
      </c>
      <c r="D42">
        <v>15.36</v>
      </c>
      <c r="E42">
        <v>2.62</v>
      </c>
      <c r="F42">
        <v>1.1200000000000001</v>
      </c>
      <c r="G42">
        <v>0.72</v>
      </c>
      <c r="H42">
        <v>0.1</v>
      </c>
      <c r="I42">
        <v>0.16</v>
      </c>
      <c r="J42" t="s">
        <v>22</v>
      </c>
      <c r="K42">
        <v>15.74</v>
      </c>
      <c r="L42">
        <v>4.0999999999999996</v>
      </c>
      <c r="M42">
        <v>5.82</v>
      </c>
      <c r="N42">
        <v>33.872399999999999</v>
      </c>
      <c r="O42">
        <v>4</v>
      </c>
      <c r="P42">
        <v>1</v>
      </c>
      <c r="Q42">
        <v>309.87200000000001</v>
      </c>
      <c r="R42">
        <v>4</v>
      </c>
      <c r="S42">
        <v>0</v>
      </c>
      <c r="T42">
        <v>8.4600000000000009</v>
      </c>
      <c r="U42" t="str">
        <f>IFERROR(INDEX(Rosters!$C$2:$C$155,MATCH(B42,Rosters!$B$2:$B$155,0)),"NA")</f>
        <v>lucas</v>
      </c>
      <c r="V42" t="str">
        <f t="shared" si="0"/>
        <v>lucas6</v>
      </c>
      <c r="W42">
        <f>COUNTIFS(A$1:A42,A42)</f>
        <v>2</v>
      </c>
      <c r="X42" t="str">
        <f t="shared" si="1"/>
        <v>Ravens D/ST6</v>
      </c>
      <c r="Y42">
        <f>COUNTIF(V$1:V42,V42)</f>
        <v>1</v>
      </c>
      <c r="Z42" t="str">
        <f t="shared" si="2"/>
        <v>lucas6-1</v>
      </c>
    </row>
    <row r="43" spans="1:26" x14ac:dyDescent="0.25">
      <c r="A43">
        <v>11</v>
      </c>
      <c r="B43" t="s">
        <v>407</v>
      </c>
      <c r="C43" t="s">
        <v>5437</v>
      </c>
      <c r="D43">
        <v>19.02</v>
      </c>
      <c r="E43">
        <v>3.29</v>
      </c>
      <c r="F43">
        <v>1.18</v>
      </c>
      <c r="G43">
        <v>0.7</v>
      </c>
      <c r="H43">
        <v>0.04</v>
      </c>
      <c r="I43">
        <v>0.22</v>
      </c>
      <c r="J43" t="s">
        <v>30</v>
      </c>
      <c r="K43">
        <v>15.89</v>
      </c>
      <c r="L43">
        <v>3.83</v>
      </c>
      <c r="M43">
        <v>6.03</v>
      </c>
      <c r="N43">
        <v>36.360900000000001</v>
      </c>
      <c r="O43">
        <v>5</v>
      </c>
      <c r="P43">
        <v>0</v>
      </c>
      <c r="Q43">
        <v>328.904</v>
      </c>
      <c r="R43">
        <v>4</v>
      </c>
      <c r="S43">
        <v>0</v>
      </c>
      <c r="T43">
        <v>8.4499999999999993</v>
      </c>
      <c r="U43" t="str">
        <f>IFERROR(INDEX(Rosters!$C$2:$C$155,MATCH(B43,Rosters!$B$2:$B$155,0)),"NA")</f>
        <v>NA</v>
      </c>
      <c r="V43" t="str">
        <f t="shared" si="0"/>
        <v>NA11</v>
      </c>
      <c r="W43">
        <f>COUNTIFS(A$1:A43,A43)</f>
        <v>2</v>
      </c>
      <c r="X43" t="str">
        <f t="shared" si="1"/>
        <v>Seahawks D/ST11</v>
      </c>
      <c r="Y43">
        <f>COUNTIF(V$1:V43,V43)</f>
        <v>2</v>
      </c>
      <c r="Z43" t="str">
        <f t="shared" si="2"/>
        <v>NA11-2</v>
      </c>
    </row>
    <row r="44" spans="1:26" x14ac:dyDescent="0.25">
      <c r="A44">
        <v>4</v>
      </c>
      <c r="B44" t="s">
        <v>425</v>
      </c>
      <c r="C44" t="s">
        <v>5004</v>
      </c>
      <c r="D44">
        <v>22.29</v>
      </c>
      <c r="E44">
        <v>2.78</v>
      </c>
      <c r="F44">
        <v>1.07</v>
      </c>
      <c r="G44">
        <v>0.87</v>
      </c>
      <c r="H44">
        <v>7.0000000000000007E-2</v>
      </c>
      <c r="I44">
        <v>0.26</v>
      </c>
      <c r="J44" t="s">
        <v>24</v>
      </c>
      <c r="K44">
        <v>15.97</v>
      </c>
      <c r="L44">
        <v>1.43</v>
      </c>
      <c r="M44">
        <v>7.27</v>
      </c>
      <c r="N44">
        <v>52.852899999999998</v>
      </c>
      <c r="O44">
        <v>5</v>
      </c>
      <c r="P44">
        <v>0</v>
      </c>
      <c r="Q44">
        <v>345.90800000000002</v>
      </c>
      <c r="R44">
        <v>4</v>
      </c>
      <c r="S44">
        <v>0</v>
      </c>
      <c r="T44">
        <v>8.36</v>
      </c>
      <c r="U44" t="str">
        <f>IFERROR(INDEX(Rosters!$C$2:$C$155,MATCH(B44,Rosters!$B$2:$B$155,0)),"NA")</f>
        <v>NA</v>
      </c>
      <c r="V44" t="str">
        <f t="shared" si="0"/>
        <v>NA4</v>
      </c>
      <c r="W44">
        <f>COUNTIFS(A$1:A44,A44)</f>
        <v>1</v>
      </c>
      <c r="X44" t="str">
        <f t="shared" si="1"/>
        <v>Packers D/ST4</v>
      </c>
      <c r="Y44">
        <f>COUNTIF(V$1:V44,V44)</f>
        <v>1</v>
      </c>
      <c r="Z44" t="str">
        <f t="shared" si="2"/>
        <v>NA4-1</v>
      </c>
    </row>
    <row r="45" spans="1:26" x14ac:dyDescent="0.25">
      <c r="A45">
        <v>17</v>
      </c>
      <c r="B45" t="s">
        <v>407</v>
      </c>
      <c r="C45" t="s">
        <v>5438</v>
      </c>
      <c r="D45">
        <v>18.170000000000002</v>
      </c>
      <c r="E45">
        <v>2.8</v>
      </c>
      <c r="F45">
        <v>1.1000000000000001</v>
      </c>
      <c r="G45">
        <v>0.82</v>
      </c>
      <c r="H45">
        <v>0.02</v>
      </c>
      <c r="I45">
        <v>0.28000000000000003</v>
      </c>
      <c r="J45" t="s">
        <v>34</v>
      </c>
      <c r="K45">
        <v>15.64</v>
      </c>
      <c r="L45">
        <v>4.16</v>
      </c>
      <c r="M45">
        <v>5.74</v>
      </c>
      <c r="N45">
        <v>32.947600000000001</v>
      </c>
      <c r="O45">
        <v>5</v>
      </c>
      <c r="P45">
        <v>0</v>
      </c>
      <c r="Q45">
        <v>324.48399999999998</v>
      </c>
      <c r="R45">
        <v>4</v>
      </c>
      <c r="S45">
        <v>0</v>
      </c>
      <c r="T45">
        <v>8.36</v>
      </c>
      <c r="U45" t="str">
        <f>IFERROR(INDEX(Rosters!$C$2:$C$155,MATCH(B45,Rosters!$B$2:$B$155,0)),"NA")</f>
        <v>NA</v>
      </c>
      <c r="V45" t="str">
        <f t="shared" si="0"/>
        <v>NA17</v>
      </c>
      <c r="W45">
        <f>COUNTIFS(A$1:A45,A45)</f>
        <v>3</v>
      </c>
      <c r="X45" t="str">
        <f t="shared" si="1"/>
        <v>Seahawks D/ST17</v>
      </c>
      <c r="Y45">
        <f>COUNTIF(V$1:V45,V45)</f>
        <v>2</v>
      </c>
      <c r="Z45" t="str">
        <f t="shared" si="2"/>
        <v>NA17-2</v>
      </c>
    </row>
    <row r="46" spans="1:26" x14ac:dyDescent="0.25">
      <c r="A46">
        <v>2</v>
      </c>
      <c r="B46" t="s">
        <v>430</v>
      </c>
      <c r="C46" t="s">
        <v>3293</v>
      </c>
      <c r="D46">
        <v>15.78</v>
      </c>
      <c r="E46">
        <v>2.58</v>
      </c>
      <c r="F46">
        <v>1.1000000000000001</v>
      </c>
      <c r="G46">
        <v>0.72</v>
      </c>
      <c r="H46">
        <v>0.02</v>
      </c>
      <c r="I46">
        <v>0.18</v>
      </c>
      <c r="J46" t="s">
        <v>54</v>
      </c>
      <c r="K46">
        <v>14.41</v>
      </c>
      <c r="L46">
        <v>4.33</v>
      </c>
      <c r="M46">
        <v>5.04</v>
      </c>
      <c r="N46">
        <v>25.401599999999998</v>
      </c>
      <c r="O46">
        <v>4</v>
      </c>
      <c r="P46">
        <v>1</v>
      </c>
      <c r="Q46">
        <v>312.05599999999998</v>
      </c>
      <c r="R46">
        <v>4</v>
      </c>
      <c r="S46">
        <v>0</v>
      </c>
      <c r="T46">
        <v>8.34</v>
      </c>
      <c r="U46" t="str">
        <f>IFERROR(INDEX(Rosters!$C$2:$C$155,MATCH(B46,Rosters!$B$2:$B$155,0)),"NA")</f>
        <v>NA</v>
      </c>
      <c r="V46" t="str">
        <f t="shared" si="0"/>
        <v>NA2</v>
      </c>
      <c r="W46">
        <f>COUNTIFS(A$1:A46,A46)</f>
        <v>8</v>
      </c>
      <c r="X46" t="str">
        <f t="shared" si="1"/>
        <v>Jets D/ST2</v>
      </c>
      <c r="Y46">
        <f>COUNTIF(V$1:V46,V46)</f>
        <v>5</v>
      </c>
      <c r="Z46" t="str">
        <f t="shared" si="2"/>
        <v>NA2-5</v>
      </c>
    </row>
    <row r="47" spans="1:26" x14ac:dyDescent="0.25">
      <c r="A47">
        <v>6</v>
      </c>
      <c r="B47" t="s">
        <v>421</v>
      </c>
      <c r="C47" t="s">
        <v>5439</v>
      </c>
      <c r="D47">
        <v>20.87</v>
      </c>
      <c r="E47">
        <v>2.36</v>
      </c>
      <c r="F47">
        <v>1.26</v>
      </c>
      <c r="G47">
        <v>0.6</v>
      </c>
      <c r="H47">
        <v>0.02</v>
      </c>
      <c r="I47">
        <v>0.36</v>
      </c>
      <c r="J47" t="s">
        <v>17</v>
      </c>
      <c r="K47">
        <v>15.27</v>
      </c>
      <c r="L47">
        <v>3.25</v>
      </c>
      <c r="M47">
        <v>6.01</v>
      </c>
      <c r="N47">
        <v>36.120100000000001</v>
      </c>
      <c r="O47">
        <v>5</v>
      </c>
      <c r="P47">
        <v>0</v>
      </c>
      <c r="Q47">
        <v>338.524</v>
      </c>
      <c r="R47">
        <v>4</v>
      </c>
      <c r="S47">
        <v>0</v>
      </c>
      <c r="T47">
        <v>8.2799999999999994</v>
      </c>
      <c r="U47" t="str">
        <f>IFERROR(INDEX(Rosters!$C$2:$C$155,MATCH(B47,Rosters!$B$2:$B$155,0)),"NA")</f>
        <v>NA</v>
      </c>
      <c r="V47" t="str">
        <f t="shared" si="0"/>
        <v>NA6</v>
      </c>
      <c r="W47">
        <f>COUNTIFS(A$1:A47,A47)</f>
        <v>3</v>
      </c>
      <c r="X47" t="str">
        <f t="shared" si="1"/>
        <v>Chargers D/ST6</v>
      </c>
      <c r="Y47">
        <f>COUNTIF(V$1:V47,V47)</f>
        <v>1</v>
      </c>
      <c r="Z47" t="str">
        <f t="shared" si="2"/>
        <v>NA6-1</v>
      </c>
    </row>
    <row r="48" spans="1:26" x14ac:dyDescent="0.25">
      <c r="A48">
        <v>15</v>
      </c>
      <c r="B48" t="s">
        <v>434</v>
      </c>
      <c r="C48" t="s">
        <v>5440</v>
      </c>
      <c r="D48">
        <v>18.11</v>
      </c>
      <c r="E48">
        <v>2.2999999999999998</v>
      </c>
      <c r="F48">
        <v>1.1599999999999999</v>
      </c>
      <c r="G48">
        <v>0.9</v>
      </c>
      <c r="H48">
        <v>0.08</v>
      </c>
      <c r="I48">
        <v>0.28000000000000003</v>
      </c>
      <c r="J48" t="s">
        <v>423</v>
      </c>
      <c r="K48">
        <v>18.21</v>
      </c>
      <c r="L48">
        <v>1.91</v>
      </c>
      <c r="M48">
        <v>8.15</v>
      </c>
      <c r="N48">
        <v>66.422499999999999</v>
      </c>
      <c r="O48">
        <v>5</v>
      </c>
      <c r="P48">
        <v>0</v>
      </c>
      <c r="Q48">
        <v>324.17200000000003</v>
      </c>
      <c r="R48">
        <v>4</v>
      </c>
      <c r="S48">
        <v>0</v>
      </c>
      <c r="T48">
        <v>8.26</v>
      </c>
      <c r="U48" t="str">
        <f>IFERROR(INDEX(Rosters!$C$2:$C$155,MATCH(B48,Rosters!$B$2:$B$155,0)),"NA")</f>
        <v>matty</v>
      </c>
      <c r="V48" t="str">
        <f t="shared" si="0"/>
        <v>matty15</v>
      </c>
      <c r="W48">
        <f>COUNTIFS(A$1:A48,A48)</f>
        <v>4</v>
      </c>
      <c r="X48" t="str">
        <f t="shared" si="1"/>
        <v>Browns D/ST15</v>
      </c>
      <c r="Y48">
        <f>COUNTIF(V$1:V48,V48)</f>
        <v>1</v>
      </c>
      <c r="Z48" t="str">
        <f t="shared" si="2"/>
        <v>matty15-1</v>
      </c>
    </row>
    <row r="49" spans="1:26" x14ac:dyDescent="0.25">
      <c r="A49">
        <v>2</v>
      </c>
      <c r="B49" t="s">
        <v>429</v>
      </c>
      <c r="C49" t="s">
        <v>1224</v>
      </c>
      <c r="D49">
        <v>21.72</v>
      </c>
      <c r="E49">
        <v>2.12</v>
      </c>
      <c r="F49">
        <v>1.36</v>
      </c>
      <c r="G49">
        <v>0.7</v>
      </c>
      <c r="H49">
        <v>0.04</v>
      </c>
      <c r="I49">
        <v>0.32</v>
      </c>
      <c r="J49" t="s">
        <v>41</v>
      </c>
      <c r="K49">
        <v>14.82</v>
      </c>
      <c r="L49">
        <v>2.66</v>
      </c>
      <c r="M49">
        <v>6.08</v>
      </c>
      <c r="N49">
        <v>36.9664</v>
      </c>
      <c r="O49">
        <v>5</v>
      </c>
      <c r="P49">
        <v>0</v>
      </c>
      <c r="Q49">
        <v>342.94400000000002</v>
      </c>
      <c r="R49">
        <v>4</v>
      </c>
      <c r="S49">
        <v>0</v>
      </c>
      <c r="T49">
        <v>8.24</v>
      </c>
      <c r="U49" t="str">
        <f>IFERROR(INDEX(Rosters!$C$2:$C$155,MATCH(B49,Rosters!$B$2:$B$155,0)),"NA")</f>
        <v>NA</v>
      </c>
      <c r="V49" t="str">
        <f t="shared" si="0"/>
        <v>NA2</v>
      </c>
      <c r="W49">
        <f>COUNTIFS(A$1:A49,A49)</f>
        <v>9</v>
      </c>
      <c r="X49" t="str">
        <f t="shared" si="1"/>
        <v>Redskins D/ST2</v>
      </c>
      <c r="Y49">
        <f>COUNTIF(V$1:V49,V49)</f>
        <v>6</v>
      </c>
      <c r="Z49" t="str">
        <f t="shared" si="2"/>
        <v>NA2-6</v>
      </c>
    </row>
    <row r="50" spans="1:26" x14ac:dyDescent="0.25">
      <c r="A50">
        <v>9</v>
      </c>
      <c r="B50" t="s">
        <v>424</v>
      </c>
      <c r="C50" t="s">
        <v>5441</v>
      </c>
      <c r="D50">
        <v>19.18</v>
      </c>
      <c r="E50">
        <v>2.7</v>
      </c>
      <c r="F50">
        <v>1.1200000000000001</v>
      </c>
      <c r="G50">
        <v>0.68</v>
      </c>
      <c r="H50">
        <v>0</v>
      </c>
      <c r="I50">
        <v>0.32</v>
      </c>
      <c r="J50" t="s">
        <v>51</v>
      </c>
      <c r="K50">
        <v>14.96</v>
      </c>
      <c r="L50">
        <v>3.76</v>
      </c>
      <c r="M50">
        <v>5.6</v>
      </c>
      <c r="N50">
        <v>31.36</v>
      </c>
      <c r="O50">
        <v>5</v>
      </c>
      <c r="P50">
        <v>0</v>
      </c>
      <c r="Q50">
        <v>329.73599999999999</v>
      </c>
      <c r="R50">
        <v>4</v>
      </c>
      <c r="S50">
        <v>0</v>
      </c>
      <c r="T50">
        <v>8.2200000000000006</v>
      </c>
      <c r="U50" t="str">
        <f>IFERROR(INDEX(Rosters!$C$2:$C$155,MATCH(B50,Rosters!$B$2:$B$155,0)),"NA")</f>
        <v>NA</v>
      </c>
      <c r="V50" t="str">
        <f t="shared" si="0"/>
        <v>NA9</v>
      </c>
      <c r="W50">
        <f>COUNTIFS(A$1:A50,A50)</f>
        <v>3</v>
      </c>
      <c r="X50" t="str">
        <f t="shared" si="1"/>
        <v>Steelers D/ST9</v>
      </c>
      <c r="Y50">
        <f>COUNTIF(V$1:V50,V50)</f>
        <v>2</v>
      </c>
      <c r="Z50" t="str">
        <f t="shared" si="2"/>
        <v>NA9-2</v>
      </c>
    </row>
    <row r="51" spans="1:26" x14ac:dyDescent="0.25">
      <c r="A51">
        <v>6</v>
      </c>
      <c r="B51" t="s">
        <v>420</v>
      </c>
      <c r="C51" t="s">
        <v>5442</v>
      </c>
      <c r="D51">
        <v>20.5</v>
      </c>
      <c r="E51">
        <v>2.58</v>
      </c>
      <c r="F51">
        <v>1.4</v>
      </c>
      <c r="G51">
        <v>0.52</v>
      </c>
      <c r="H51">
        <v>0</v>
      </c>
      <c r="I51">
        <v>0.3</v>
      </c>
      <c r="J51" t="s">
        <v>423</v>
      </c>
      <c r="K51">
        <v>15.31</v>
      </c>
      <c r="L51">
        <v>2.83</v>
      </c>
      <c r="M51">
        <v>6.24</v>
      </c>
      <c r="N51">
        <v>38.937600000000003</v>
      </c>
      <c r="O51">
        <v>5</v>
      </c>
      <c r="P51">
        <v>0</v>
      </c>
      <c r="Q51">
        <v>336.6</v>
      </c>
      <c r="R51">
        <v>4</v>
      </c>
      <c r="S51">
        <v>0</v>
      </c>
      <c r="T51">
        <v>8.2200000000000006</v>
      </c>
      <c r="U51" t="str">
        <f>IFERROR(INDEX(Rosters!$C$2:$C$155,MATCH(B51,Rosters!$B$2:$B$155,0)),"NA")</f>
        <v>scott</v>
      </c>
      <c r="V51" t="str">
        <f t="shared" si="0"/>
        <v>scott6</v>
      </c>
      <c r="W51">
        <f>COUNTIFS(A$1:A51,A51)</f>
        <v>4</v>
      </c>
      <c r="X51" t="str">
        <f t="shared" si="1"/>
        <v>Rams D/ST6</v>
      </c>
      <c r="Y51">
        <f>COUNTIF(V$1:V51,V51)</f>
        <v>1</v>
      </c>
      <c r="Z51" t="str">
        <f t="shared" si="2"/>
        <v>scott6-1</v>
      </c>
    </row>
    <row r="52" spans="1:26" x14ac:dyDescent="0.25">
      <c r="A52">
        <v>3</v>
      </c>
      <c r="B52" t="s">
        <v>416</v>
      </c>
      <c r="C52" t="s">
        <v>4178</v>
      </c>
      <c r="D52">
        <v>16.010000000000002</v>
      </c>
      <c r="E52">
        <v>2.44</v>
      </c>
      <c r="F52">
        <v>1.0900000000000001</v>
      </c>
      <c r="G52">
        <v>0.49</v>
      </c>
      <c r="H52">
        <v>0.02</v>
      </c>
      <c r="I52">
        <v>0.26</v>
      </c>
      <c r="J52" t="s">
        <v>34</v>
      </c>
      <c r="K52">
        <v>14.46</v>
      </c>
      <c r="L52">
        <v>3.72</v>
      </c>
      <c r="M52">
        <v>5.37</v>
      </c>
      <c r="N52">
        <v>28.8369</v>
      </c>
      <c r="O52">
        <v>4</v>
      </c>
      <c r="P52">
        <v>1</v>
      </c>
      <c r="Q52">
        <v>313.25200000000001</v>
      </c>
      <c r="R52">
        <v>4</v>
      </c>
      <c r="S52">
        <v>0</v>
      </c>
      <c r="T52">
        <v>8.1999999999999993</v>
      </c>
      <c r="U52" t="str">
        <f>IFERROR(INDEX(Rosters!$C$2:$C$155,MATCH(B52,Rosters!$B$2:$B$155,0)),"NA")</f>
        <v>lucas</v>
      </c>
      <c r="V52" t="str">
        <f t="shared" si="0"/>
        <v>lucas3</v>
      </c>
      <c r="W52">
        <f>COUNTIFS(A$1:A52,A52)</f>
        <v>3</v>
      </c>
      <c r="X52" t="str">
        <f t="shared" si="1"/>
        <v>Bears D/ST3</v>
      </c>
      <c r="Y52">
        <f>COUNTIF(V$1:V52,V52)</f>
        <v>1</v>
      </c>
      <c r="Z52" t="str">
        <f t="shared" si="2"/>
        <v>lucas3-1</v>
      </c>
    </row>
    <row r="53" spans="1:26" x14ac:dyDescent="0.25">
      <c r="A53">
        <v>16</v>
      </c>
      <c r="B53" t="s">
        <v>421</v>
      </c>
      <c r="C53" t="s">
        <v>5443</v>
      </c>
      <c r="D53">
        <v>21.02</v>
      </c>
      <c r="E53">
        <v>2.46</v>
      </c>
      <c r="F53">
        <v>1.02</v>
      </c>
      <c r="G53">
        <v>0.82</v>
      </c>
      <c r="H53">
        <v>0</v>
      </c>
      <c r="I53">
        <v>0.34</v>
      </c>
      <c r="J53" t="s">
        <v>51</v>
      </c>
      <c r="K53">
        <v>14.39</v>
      </c>
      <c r="L53">
        <v>3.21</v>
      </c>
      <c r="M53">
        <v>5.59</v>
      </c>
      <c r="N53">
        <v>31.248100000000001</v>
      </c>
      <c r="O53">
        <v>5</v>
      </c>
      <c r="P53">
        <v>0</v>
      </c>
      <c r="Q53">
        <v>339.30399999999997</v>
      </c>
      <c r="R53">
        <v>4</v>
      </c>
      <c r="S53">
        <v>0</v>
      </c>
      <c r="T53">
        <v>8.18</v>
      </c>
      <c r="U53" t="str">
        <f>IFERROR(INDEX(Rosters!$C$2:$C$155,MATCH(B53,Rosters!$B$2:$B$155,0)),"NA")</f>
        <v>NA</v>
      </c>
      <c r="V53" t="str">
        <f t="shared" si="0"/>
        <v>NA16</v>
      </c>
      <c r="W53">
        <f>COUNTIFS(A$1:A53,A53)</f>
        <v>3</v>
      </c>
      <c r="X53" t="str">
        <f t="shared" si="1"/>
        <v>Chargers D/ST16</v>
      </c>
      <c r="Y53">
        <f>COUNTIF(V$1:V53,V53)</f>
        <v>1</v>
      </c>
      <c r="Z53" t="str">
        <f t="shared" si="2"/>
        <v>NA16-1</v>
      </c>
    </row>
    <row r="54" spans="1:26" x14ac:dyDescent="0.25">
      <c r="A54">
        <v>9</v>
      </c>
      <c r="B54" t="s">
        <v>430</v>
      </c>
      <c r="C54" t="s">
        <v>5444</v>
      </c>
      <c r="D54">
        <v>16.34</v>
      </c>
      <c r="E54">
        <v>2.5</v>
      </c>
      <c r="F54">
        <v>0.86</v>
      </c>
      <c r="G54">
        <v>0.82</v>
      </c>
      <c r="H54">
        <v>0.06</v>
      </c>
      <c r="I54">
        <v>0.2</v>
      </c>
      <c r="J54" t="s">
        <v>54</v>
      </c>
      <c r="K54">
        <v>13.66</v>
      </c>
      <c r="L54">
        <v>3.94</v>
      </c>
      <c r="M54">
        <v>4.8600000000000003</v>
      </c>
      <c r="N54">
        <v>23.619599999999998</v>
      </c>
      <c r="O54">
        <v>4</v>
      </c>
      <c r="P54">
        <v>1</v>
      </c>
      <c r="Q54">
        <v>314.96800000000002</v>
      </c>
      <c r="R54">
        <v>4</v>
      </c>
      <c r="S54">
        <v>0</v>
      </c>
      <c r="T54">
        <v>8.18</v>
      </c>
      <c r="U54" t="str">
        <f>IFERROR(INDEX(Rosters!$C$2:$C$155,MATCH(B54,Rosters!$B$2:$B$155,0)),"NA")</f>
        <v>NA</v>
      </c>
      <c r="V54" t="str">
        <f t="shared" si="0"/>
        <v>NA9</v>
      </c>
      <c r="W54">
        <f>COUNTIFS(A$1:A54,A54)</f>
        <v>4</v>
      </c>
      <c r="X54" t="str">
        <f t="shared" si="1"/>
        <v>Jets D/ST9</v>
      </c>
      <c r="Y54">
        <f>COUNTIF(V$1:V54,V54)</f>
        <v>3</v>
      </c>
      <c r="Z54" t="str">
        <f t="shared" si="2"/>
        <v>NA9-3</v>
      </c>
    </row>
    <row r="55" spans="1:26" x14ac:dyDescent="0.25">
      <c r="A55">
        <v>2</v>
      </c>
      <c r="B55" t="s">
        <v>406</v>
      </c>
      <c r="C55" t="s">
        <v>1225</v>
      </c>
      <c r="D55">
        <v>18.670000000000002</v>
      </c>
      <c r="E55">
        <v>2.35</v>
      </c>
      <c r="F55">
        <v>1.34</v>
      </c>
      <c r="G55">
        <v>0.8</v>
      </c>
      <c r="H55">
        <v>0.04</v>
      </c>
      <c r="I55">
        <v>0.24</v>
      </c>
      <c r="J55" t="s">
        <v>30</v>
      </c>
      <c r="K55">
        <v>16.13</v>
      </c>
      <c r="L55">
        <v>2.99</v>
      </c>
      <c r="M55">
        <v>6.57</v>
      </c>
      <c r="N55">
        <v>43.164900000000003</v>
      </c>
      <c r="O55">
        <v>5</v>
      </c>
      <c r="P55">
        <v>0</v>
      </c>
      <c r="Q55">
        <v>327.084</v>
      </c>
      <c r="R55">
        <v>4</v>
      </c>
      <c r="S55">
        <v>0</v>
      </c>
      <c r="T55">
        <v>8.15</v>
      </c>
      <c r="U55" t="str">
        <f>IFERROR(INDEX(Rosters!$C$2:$C$155,MATCH(B55,Rosters!$B$2:$B$155,0)),"NA")</f>
        <v>seth</v>
      </c>
      <c r="V55" t="str">
        <f t="shared" si="0"/>
        <v>seth2</v>
      </c>
      <c r="W55">
        <f>COUNTIFS(A$1:A55,A55)</f>
        <v>10</v>
      </c>
      <c r="X55" t="str">
        <f t="shared" si="1"/>
        <v>Vikings D/ST2</v>
      </c>
      <c r="Y55">
        <f>COUNTIF(V$1:V55,V55)</f>
        <v>1</v>
      </c>
      <c r="Z55" t="str">
        <f t="shared" si="2"/>
        <v>seth2-1</v>
      </c>
    </row>
    <row r="56" spans="1:26" x14ac:dyDescent="0.25">
      <c r="A56">
        <v>12</v>
      </c>
      <c r="B56" t="s">
        <v>421</v>
      </c>
      <c r="C56" t="s">
        <v>5445</v>
      </c>
      <c r="D56">
        <v>19.13</v>
      </c>
      <c r="E56">
        <v>2.78</v>
      </c>
      <c r="F56">
        <v>1.06</v>
      </c>
      <c r="G56">
        <v>0.88</v>
      </c>
      <c r="H56">
        <v>0.02</v>
      </c>
      <c r="I56">
        <v>0.24</v>
      </c>
      <c r="J56" t="s">
        <v>34</v>
      </c>
      <c r="K56">
        <v>15.42</v>
      </c>
      <c r="L56">
        <v>3.3</v>
      </c>
      <c r="M56">
        <v>6.06</v>
      </c>
      <c r="N56">
        <v>36.723599999999998</v>
      </c>
      <c r="O56">
        <v>5</v>
      </c>
      <c r="P56">
        <v>0</v>
      </c>
      <c r="Q56">
        <v>329.476</v>
      </c>
      <c r="R56">
        <v>4</v>
      </c>
      <c r="S56">
        <v>0</v>
      </c>
      <c r="T56">
        <v>8.14</v>
      </c>
      <c r="U56" t="str">
        <f>IFERROR(INDEX(Rosters!$C$2:$C$155,MATCH(B56,Rosters!$B$2:$B$155,0)),"NA")</f>
        <v>NA</v>
      </c>
      <c r="V56" t="str">
        <f t="shared" si="0"/>
        <v>NA12</v>
      </c>
      <c r="W56">
        <f>COUNTIFS(A$1:A56,A56)</f>
        <v>3</v>
      </c>
      <c r="X56" t="str">
        <f t="shared" si="1"/>
        <v>Chargers D/ST12</v>
      </c>
      <c r="Y56">
        <f>COUNTIF(V$1:V56,V56)</f>
        <v>1</v>
      </c>
      <c r="Z56" t="str">
        <f t="shared" si="2"/>
        <v>NA12-1</v>
      </c>
    </row>
    <row r="57" spans="1:26" x14ac:dyDescent="0.25">
      <c r="A57">
        <v>4</v>
      </c>
      <c r="B57" t="s">
        <v>419</v>
      </c>
      <c r="C57" t="s">
        <v>5005</v>
      </c>
      <c r="D57">
        <v>15.29</v>
      </c>
      <c r="E57">
        <v>2.5</v>
      </c>
      <c r="F57">
        <v>1.06</v>
      </c>
      <c r="G57">
        <v>0.61</v>
      </c>
      <c r="H57">
        <v>0.02</v>
      </c>
      <c r="I57">
        <v>0.21</v>
      </c>
      <c r="J57" t="s">
        <v>46</v>
      </c>
      <c r="K57">
        <v>14.65</v>
      </c>
      <c r="L57">
        <v>4.01</v>
      </c>
      <c r="M57">
        <v>5.32</v>
      </c>
      <c r="N57">
        <v>28.302399999999999</v>
      </c>
      <c r="O57">
        <v>4</v>
      </c>
      <c r="P57">
        <v>1</v>
      </c>
      <c r="Q57">
        <v>309.50799999999998</v>
      </c>
      <c r="R57">
        <v>4</v>
      </c>
      <c r="S57">
        <v>0</v>
      </c>
      <c r="T57">
        <v>8.14</v>
      </c>
      <c r="U57" t="str">
        <f>IFERROR(INDEX(Rosters!$C$2:$C$155,MATCH(B57,Rosters!$B$2:$B$155,0)),"NA")</f>
        <v>devon</v>
      </c>
      <c r="V57" t="str">
        <f t="shared" si="0"/>
        <v>devon4</v>
      </c>
      <c r="W57">
        <f>COUNTIFS(A$1:A57,A57)</f>
        <v>2</v>
      </c>
      <c r="X57" t="str">
        <f t="shared" si="1"/>
        <v>Jaguars D/ST4</v>
      </c>
      <c r="Y57">
        <f>COUNTIF(V$1:V57,V57)</f>
        <v>1</v>
      </c>
      <c r="Z57" t="str">
        <f t="shared" si="2"/>
        <v>devon4-1</v>
      </c>
    </row>
    <row r="58" spans="1:26" x14ac:dyDescent="0.25">
      <c r="A58">
        <v>14</v>
      </c>
      <c r="B58" t="s">
        <v>419</v>
      </c>
      <c r="C58" t="s">
        <v>5446</v>
      </c>
      <c r="D58">
        <v>15.37</v>
      </c>
      <c r="E58">
        <v>2.54</v>
      </c>
      <c r="F58">
        <v>1.18</v>
      </c>
      <c r="G58">
        <v>0.7</v>
      </c>
      <c r="H58">
        <v>0.06</v>
      </c>
      <c r="I58">
        <v>0.12</v>
      </c>
      <c r="J58" t="s">
        <v>22</v>
      </c>
      <c r="K58">
        <v>14.98</v>
      </c>
      <c r="L58">
        <v>4.26</v>
      </c>
      <c r="M58">
        <v>5.36</v>
      </c>
      <c r="N58">
        <v>28.729600000000001</v>
      </c>
      <c r="O58">
        <v>4</v>
      </c>
      <c r="P58">
        <v>1</v>
      </c>
      <c r="Q58">
        <v>309.92399999999998</v>
      </c>
      <c r="R58">
        <v>4</v>
      </c>
      <c r="S58">
        <v>0</v>
      </c>
      <c r="T58">
        <v>8.14</v>
      </c>
      <c r="U58" t="str">
        <f>IFERROR(INDEX(Rosters!$C$2:$C$155,MATCH(B58,Rosters!$B$2:$B$155,0)),"NA")</f>
        <v>devon</v>
      </c>
      <c r="V58" t="str">
        <f t="shared" si="0"/>
        <v>devon14</v>
      </c>
      <c r="W58">
        <f>COUNTIFS(A$1:A58,A58)</f>
        <v>4</v>
      </c>
      <c r="X58" t="str">
        <f t="shared" si="1"/>
        <v>Jaguars D/ST14</v>
      </c>
      <c r="Y58">
        <f>COUNTIF(V$1:V58,V58)</f>
        <v>1</v>
      </c>
      <c r="Z58" t="str">
        <f t="shared" si="2"/>
        <v>devon14-1</v>
      </c>
    </row>
    <row r="59" spans="1:26" x14ac:dyDescent="0.25">
      <c r="A59">
        <v>1</v>
      </c>
      <c r="B59" t="s">
        <v>424</v>
      </c>
      <c r="C59" t="s">
        <v>1226</v>
      </c>
      <c r="D59">
        <v>18.21</v>
      </c>
      <c r="E59">
        <v>2.46</v>
      </c>
      <c r="F59">
        <v>1.1599999999999999</v>
      </c>
      <c r="G59">
        <v>0.82</v>
      </c>
      <c r="H59">
        <v>0.02</v>
      </c>
      <c r="I59">
        <v>0.28000000000000003</v>
      </c>
      <c r="J59" t="s">
        <v>17</v>
      </c>
      <c r="K59">
        <v>16.28</v>
      </c>
      <c r="L59">
        <v>3.28</v>
      </c>
      <c r="M59">
        <v>6.5</v>
      </c>
      <c r="N59">
        <v>42.25</v>
      </c>
      <c r="O59">
        <v>5</v>
      </c>
      <c r="P59">
        <v>0</v>
      </c>
      <c r="Q59">
        <v>324.69200000000001</v>
      </c>
      <c r="R59">
        <v>4</v>
      </c>
      <c r="S59">
        <v>0</v>
      </c>
      <c r="T59">
        <v>8.14</v>
      </c>
      <c r="U59" t="str">
        <f>IFERROR(INDEX(Rosters!$C$2:$C$155,MATCH(B59,Rosters!$B$2:$B$155,0)),"NA")</f>
        <v>NA</v>
      </c>
      <c r="V59" t="str">
        <f t="shared" si="0"/>
        <v>NA1</v>
      </c>
      <c r="W59">
        <f>COUNTIFS(A$1:A59,A59)</f>
        <v>6</v>
      </c>
      <c r="X59" t="str">
        <f t="shared" si="1"/>
        <v>Steelers D/ST1</v>
      </c>
      <c r="Y59">
        <f>COUNTIF(V$1:V59,V59)</f>
        <v>3</v>
      </c>
      <c r="Z59" t="str">
        <f t="shared" si="2"/>
        <v>NA1-3</v>
      </c>
    </row>
    <row r="60" spans="1:26" x14ac:dyDescent="0.25">
      <c r="A60">
        <v>15</v>
      </c>
      <c r="B60" t="s">
        <v>435</v>
      </c>
      <c r="C60" t="s">
        <v>5447</v>
      </c>
      <c r="D60">
        <v>20.22</v>
      </c>
      <c r="E60">
        <v>2.4300000000000002</v>
      </c>
      <c r="F60">
        <v>1.18</v>
      </c>
      <c r="G60">
        <v>0.82</v>
      </c>
      <c r="H60">
        <v>0</v>
      </c>
      <c r="I60">
        <v>0.28000000000000003</v>
      </c>
      <c r="J60" t="s">
        <v>24</v>
      </c>
      <c r="K60">
        <v>15.72</v>
      </c>
      <c r="L60">
        <v>2.46</v>
      </c>
      <c r="M60">
        <v>6.63</v>
      </c>
      <c r="N60">
        <v>43.956899999999997</v>
      </c>
      <c r="O60">
        <v>5</v>
      </c>
      <c r="P60">
        <v>0</v>
      </c>
      <c r="Q60">
        <v>335.14400000000001</v>
      </c>
      <c r="R60">
        <v>4</v>
      </c>
      <c r="S60">
        <v>0</v>
      </c>
      <c r="T60">
        <v>8.11</v>
      </c>
      <c r="U60" t="str">
        <f>IFERROR(INDEX(Rosters!$C$2:$C$155,MATCH(B60,Rosters!$B$2:$B$155,0)),"NA")</f>
        <v>NA</v>
      </c>
      <c r="V60" t="str">
        <f t="shared" si="0"/>
        <v>NA15</v>
      </c>
      <c r="W60">
        <f>COUNTIFS(A$1:A60,A60)</f>
        <v>5</v>
      </c>
      <c r="X60" t="str">
        <f t="shared" si="1"/>
        <v>Lions D/ST15</v>
      </c>
      <c r="Y60">
        <f>COUNTIF(V$1:V60,V60)</f>
        <v>3</v>
      </c>
      <c r="Z60" t="str">
        <f t="shared" si="2"/>
        <v>NA15-3</v>
      </c>
    </row>
    <row r="61" spans="1:26" x14ac:dyDescent="0.25">
      <c r="A61">
        <v>1</v>
      </c>
      <c r="B61" t="s">
        <v>420</v>
      </c>
      <c r="C61" t="s">
        <v>1227</v>
      </c>
      <c r="D61">
        <v>20.04</v>
      </c>
      <c r="E61">
        <v>2.72</v>
      </c>
      <c r="F61">
        <v>1.18</v>
      </c>
      <c r="G61">
        <v>0.8</v>
      </c>
      <c r="H61">
        <v>0.04</v>
      </c>
      <c r="I61">
        <v>0.22</v>
      </c>
      <c r="J61" t="s">
        <v>50</v>
      </c>
      <c r="K61">
        <v>15</v>
      </c>
      <c r="L61">
        <v>3.44</v>
      </c>
      <c r="M61">
        <v>5.78</v>
      </c>
      <c r="N61">
        <v>33.4084</v>
      </c>
      <c r="O61">
        <v>5</v>
      </c>
      <c r="P61">
        <v>0</v>
      </c>
      <c r="Q61">
        <v>334.20800000000003</v>
      </c>
      <c r="R61">
        <v>4</v>
      </c>
      <c r="S61">
        <v>0</v>
      </c>
      <c r="T61">
        <v>8.08</v>
      </c>
      <c r="U61" t="str">
        <f>IFERROR(INDEX(Rosters!$C$2:$C$155,MATCH(B61,Rosters!$B$2:$B$155,0)),"NA")</f>
        <v>scott</v>
      </c>
      <c r="V61" t="str">
        <f t="shared" si="0"/>
        <v>scott1</v>
      </c>
      <c r="W61">
        <f>COUNTIFS(A$1:A61,A61)</f>
        <v>7</v>
      </c>
      <c r="X61" t="str">
        <f t="shared" si="1"/>
        <v>Rams D/ST1</v>
      </c>
      <c r="Y61">
        <f>COUNTIF(V$1:V61,V61)</f>
        <v>1</v>
      </c>
      <c r="Z61" t="str">
        <f t="shared" si="2"/>
        <v>scott1-1</v>
      </c>
    </row>
    <row r="62" spans="1:26" x14ac:dyDescent="0.25">
      <c r="A62">
        <v>7</v>
      </c>
      <c r="B62" t="s">
        <v>412</v>
      </c>
      <c r="C62" t="s">
        <v>5448</v>
      </c>
      <c r="D62">
        <v>17.75</v>
      </c>
      <c r="E62">
        <v>2.66</v>
      </c>
      <c r="F62">
        <v>1.2</v>
      </c>
      <c r="G62">
        <v>0.76</v>
      </c>
      <c r="H62">
        <v>0.08</v>
      </c>
      <c r="I62">
        <v>0.22</v>
      </c>
      <c r="J62" t="s">
        <v>34</v>
      </c>
      <c r="K62">
        <v>15.37</v>
      </c>
      <c r="L62">
        <v>4.1100000000000003</v>
      </c>
      <c r="M62">
        <v>5.63</v>
      </c>
      <c r="N62">
        <v>31.696899999999999</v>
      </c>
      <c r="O62">
        <v>5</v>
      </c>
      <c r="P62">
        <v>0</v>
      </c>
      <c r="Q62">
        <v>322.3</v>
      </c>
      <c r="R62">
        <v>4</v>
      </c>
      <c r="S62">
        <v>0</v>
      </c>
      <c r="T62">
        <v>8.06</v>
      </c>
      <c r="U62" t="str">
        <f>IFERROR(INDEX(Rosters!$C$2:$C$155,MATCH(B62,Rosters!$B$2:$B$155,0)),"NA")</f>
        <v>chad</v>
      </c>
      <c r="V62" t="str">
        <f t="shared" si="0"/>
        <v>chad7</v>
      </c>
      <c r="W62">
        <f>COUNTIFS(A$1:A62,A62)</f>
        <v>4</v>
      </c>
      <c r="X62" t="str">
        <f t="shared" si="1"/>
        <v>Broncos D/ST7</v>
      </c>
      <c r="Y62">
        <f>COUNTIF(V$1:V62,V62)</f>
        <v>1</v>
      </c>
      <c r="Z62" t="str">
        <f t="shared" si="2"/>
        <v>chad7-1</v>
      </c>
    </row>
    <row r="63" spans="1:26" x14ac:dyDescent="0.25">
      <c r="A63">
        <v>3</v>
      </c>
      <c r="B63" t="s">
        <v>405</v>
      </c>
      <c r="C63" t="s">
        <v>4179</v>
      </c>
      <c r="D63">
        <v>22.06</v>
      </c>
      <c r="E63">
        <v>2.56</v>
      </c>
      <c r="F63">
        <v>0.95</v>
      </c>
      <c r="G63">
        <v>0.79</v>
      </c>
      <c r="H63">
        <v>0.04</v>
      </c>
      <c r="I63">
        <v>0.32</v>
      </c>
      <c r="J63" t="s">
        <v>32</v>
      </c>
      <c r="K63">
        <v>14.63</v>
      </c>
      <c r="L63">
        <v>2.57</v>
      </c>
      <c r="M63">
        <v>6.03</v>
      </c>
      <c r="N63">
        <v>36.360900000000001</v>
      </c>
      <c r="O63">
        <v>5</v>
      </c>
      <c r="P63">
        <v>0</v>
      </c>
      <c r="Q63">
        <v>344.71199999999999</v>
      </c>
      <c r="R63">
        <v>4</v>
      </c>
      <c r="S63">
        <v>0</v>
      </c>
      <c r="T63">
        <v>8.0399999999999991</v>
      </c>
      <c r="U63" t="str">
        <f>IFERROR(INDEX(Rosters!$C$2:$C$155,MATCH(B63,Rosters!$B$2:$B$155,0)),"NA")</f>
        <v>perry</v>
      </c>
      <c r="V63" t="str">
        <f t="shared" si="0"/>
        <v>perry3</v>
      </c>
      <c r="W63">
        <f>COUNTIFS(A$1:A63,A63)</f>
        <v>4</v>
      </c>
      <c r="X63" t="str">
        <f t="shared" si="1"/>
        <v>Texans D/ST3</v>
      </c>
      <c r="Y63">
        <f>COUNTIF(V$1:V63,V63)</f>
        <v>1</v>
      </c>
      <c r="Z63" t="str">
        <f t="shared" si="2"/>
        <v>perry3-1</v>
      </c>
    </row>
    <row r="64" spans="1:26" x14ac:dyDescent="0.25">
      <c r="A64">
        <v>10</v>
      </c>
      <c r="B64" t="s">
        <v>437</v>
      </c>
      <c r="C64" t="s">
        <v>5449</v>
      </c>
      <c r="D64">
        <v>19.43</v>
      </c>
      <c r="E64">
        <v>2.2000000000000002</v>
      </c>
      <c r="F64">
        <v>1.38</v>
      </c>
      <c r="G64">
        <v>0.7</v>
      </c>
      <c r="H64">
        <v>0.06</v>
      </c>
      <c r="I64">
        <v>0.26</v>
      </c>
      <c r="J64" t="s">
        <v>17</v>
      </c>
      <c r="K64">
        <v>15.89</v>
      </c>
      <c r="L64">
        <v>2.59</v>
      </c>
      <c r="M64">
        <v>6.65</v>
      </c>
      <c r="N64">
        <v>44.222499999999997</v>
      </c>
      <c r="O64">
        <v>5</v>
      </c>
      <c r="P64">
        <v>0</v>
      </c>
      <c r="Q64">
        <v>331.036</v>
      </c>
      <c r="R64">
        <v>4</v>
      </c>
      <c r="S64">
        <v>0</v>
      </c>
      <c r="T64">
        <v>8.0399999999999991</v>
      </c>
      <c r="U64" t="str">
        <f>IFERROR(INDEX(Rosters!$C$2:$C$155,MATCH(B64,Rosters!$B$2:$B$155,0)),"NA")</f>
        <v>NA</v>
      </c>
      <c r="V64" t="str">
        <f t="shared" si="0"/>
        <v>NA10</v>
      </c>
      <c r="W64">
        <f>COUNTIFS(A$1:A64,A64)</f>
        <v>3</v>
      </c>
      <c r="X64" t="str">
        <f t="shared" si="1"/>
        <v>Falcons D/ST10</v>
      </c>
      <c r="Y64">
        <f>COUNTIF(V$1:V64,V64)</f>
        <v>2</v>
      </c>
      <c r="Z64" t="str">
        <f t="shared" si="2"/>
        <v>NA10-2</v>
      </c>
    </row>
    <row r="65" spans="1:26" x14ac:dyDescent="0.25">
      <c r="A65">
        <v>16</v>
      </c>
      <c r="B65" t="s">
        <v>408</v>
      </c>
      <c r="C65" t="s">
        <v>5450</v>
      </c>
      <c r="D65">
        <v>22.23</v>
      </c>
      <c r="E65">
        <v>2.48</v>
      </c>
      <c r="F65">
        <v>1.1399999999999999</v>
      </c>
      <c r="G65">
        <v>0.9</v>
      </c>
      <c r="H65">
        <v>0.06</v>
      </c>
      <c r="I65">
        <v>0.22</v>
      </c>
      <c r="J65" t="s">
        <v>41</v>
      </c>
      <c r="K65">
        <v>14.75</v>
      </c>
      <c r="L65">
        <v>2.33</v>
      </c>
      <c r="M65">
        <v>6.21</v>
      </c>
      <c r="N65">
        <v>38.564100000000003</v>
      </c>
      <c r="O65">
        <v>5</v>
      </c>
      <c r="P65">
        <v>0</v>
      </c>
      <c r="Q65">
        <v>345.596</v>
      </c>
      <c r="R65">
        <v>4</v>
      </c>
      <c r="S65">
        <v>0</v>
      </c>
      <c r="T65">
        <v>8</v>
      </c>
      <c r="U65" t="str">
        <f>IFERROR(INDEX(Rosters!$C$2:$C$155,MATCH(B65,Rosters!$B$2:$B$155,0)),"NA")</f>
        <v>NA</v>
      </c>
      <c r="V65" t="str">
        <f t="shared" si="0"/>
        <v>NA16</v>
      </c>
      <c r="W65">
        <f>COUNTIFS(A$1:A65,A65)</f>
        <v>4</v>
      </c>
      <c r="X65" t="str">
        <f t="shared" si="1"/>
        <v>Giants D/ST16</v>
      </c>
      <c r="Y65">
        <f>COUNTIF(V$1:V65,V65)</f>
        <v>2</v>
      </c>
      <c r="Z65" t="str">
        <f t="shared" si="2"/>
        <v>NA16-2</v>
      </c>
    </row>
    <row r="66" spans="1:26" x14ac:dyDescent="0.25">
      <c r="A66">
        <v>1</v>
      </c>
      <c r="B66" t="s">
        <v>430</v>
      </c>
      <c r="C66" t="s">
        <v>1228</v>
      </c>
      <c r="D66">
        <v>21.84</v>
      </c>
      <c r="E66">
        <v>2.2999999999999998</v>
      </c>
      <c r="F66">
        <v>1.0900000000000001</v>
      </c>
      <c r="G66">
        <v>0.8</v>
      </c>
      <c r="H66">
        <v>0</v>
      </c>
      <c r="I66">
        <v>0.32</v>
      </c>
      <c r="J66" t="s">
        <v>42</v>
      </c>
      <c r="K66">
        <v>16.829999999999998</v>
      </c>
      <c r="L66">
        <v>0.99</v>
      </c>
      <c r="M66">
        <v>7.92</v>
      </c>
      <c r="N66">
        <v>62.726399999999998</v>
      </c>
      <c r="O66">
        <v>5</v>
      </c>
      <c r="P66">
        <v>0</v>
      </c>
      <c r="Q66">
        <v>343.56799999999998</v>
      </c>
      <c r="R66">
        <v>4</v>
      </c>
      <c r="S66">
        <v>0</v>
      </c>
      <c r="T66">
        <v>8</v>
      </c>
      <c r="U66" t="str">
        <f>IFERROR(INDEX(Rosters!$C$2:$C$155,MATCH(B66,Rosters!$B$2:$B$155,0)),"NA")</f>
        <v>NA</v>
      </c>
      <c r="V66" t="str">
        <f t="shared" si="0"/>
        <v>NA1</v>
      </c>
      <c r="W66">
        <f>COUNTIFS(A$1:A66,A66)</f>
        <v>8</v>
      </c>
      <c r="X66" t="str">
        <f t="shared" si="1"/>
        <v>Jets D/ST1</v>
      </c>
      <c r="Y66">
        <f>COUNTIF(V$1:V66,V66)</f>
        <v>4</v>
      </c>
      <c r="Z66" t="str">
        <f t="shared" si="2"/>
        <v>NA1-4</v>
      </c>
    </row>
    <row r="67" spans="1:26" x14ac:dyDescent="0.25">
      <c r="A67">
        <v>6</v>
      </c>
      <c r="B67" t="s">
        <v>406</v>
      </c>
      <c r="C67" t="s">
        <v>5451</v>
      </c>
      <c r="D67">
        <v>16.64</v>
      </c>
      <c r="E67">
        <v>2.44</v>
      </c>
      <c r="F67">
        <v>0.9</v>
      </c>
      <c r="G67">
        <v>0.82</v>
      </c>
      <c r="H67">
        <v>0.08</v>
      </c>
      <c r="I67">
        <v>0.16</v>
      </c>
      <c r="J67" t="s">
        <v>34</v>
      </c>
      <c r="K67">
        <v>14.4</v>
      </c>
      <c r="L67">
        <v>3</v>
      </c>
      <c r="M67">
        <v>5.7</v>
      </c>
      <c r="N67">
        <v>32.49</v>
      </c>
      <c r="O67">
        <v>4</v>
      </c>
      <c r="P67">
        <v>1</v>
      </c>
      <c r="Q67">
        <v>316.52800000000002</v>
      </c>
      <c r="R67">
        <v>4</v>
      </c>
      <c r="S67">
        <v>0</v>
      </c>
      <c r="T67">
        <v>8</v>
      </c>
      <c r="U67" t="str">
        <f>IFERROR(INDEX(Rosters!$C$2:$C$155,MATCH(B67,Rosters!$B$2:$B$155,0)),"NA")</f>
        <v>seth</v>
      </c>
      <c r="V67" t="str">
        <f t="shared" ref="V67:V130" si="3">U67&amp;A67</f>
        <v>seth6</v>
      </c>
      <c r="W67">
        <f>COUNTIFS(A$1:A67,A67)</f>
        <v>5</v>
      </c>
      <c r="X67" t="str">
        <f t="shared" ref="X67:X130" si="4">B67&amp;A67</f>
        <v>Vikings D/ST6</v>
      </c>
      <c r="Y67">
        <f>COUNTIF(V$1:V67,V67)</f>
        <v>1</v>
      </c>
      <c r="Z67" t="str">
        <f t="shared" ref="Z67:Z130" si="5">V67&amp;"-"&amp;Y67</f>
        <v>seth6-1</v>
      </c>
    </row>
    <row r="68" spans="1:26" x14ac:dyDescent="0.25">
      <c r="A68">
        <v>16</v>
      </c>
      <c r="B68" t="s">
        <v>416</v>
      </c>
      <c r="C68" t="s">
        <v>5452</v>
      </c>
      <c r="D68">
        <v>19.14</v>
      </c>
      <c r="E68">
        <v>2.5</v>
      </c>
      <c r="F68">
        <v>1.2</v>
      </c>
      <c r="G68">
        <v>0.82</v>
      </c>
      <c r="H68">
        <v>0.06</v>
      </c>
      <c r="I68">
        <v>0.22</v>
      </c>
      <c r="J68" t="s">
        <v>14</v>
      </c>
      <c r="K68">
        <v>14.86</v>
      </c>
      <c r="L68">
        <v>2.76</v>
      </c>
      <c r="M68">
        <v>6.05</v>
      </c>
      <c r="N68">
        <v>36.602499999999999</v>
      </c>
      <c r="O68">
        <v>5</v>
      </c>
      <c r="P68">
        <v>0</v>
      </c>
      <c r="Q68">
        <v>329.52800000000002</v>
      </c>
      <c r="R68">
        <v>4</v>
      </c>
      <c r="S68">
        <v>0</v>
      </c>
      <c r="T68">
        <v>7.98</v>
      </c>
      <c r="U68" t="str">
        <f>IFERROR(INDEX(Rosters!$C$2:$C$155,MATCH(B68,Rosters!$B$2:$B$155,0)),"NA")</f>
        <v>lucas</v>
      </c>
      <c r="V68" t="str">
        <f t="shared" si="3"/>
        <v>lucas16</v>
      </c>
      <c r="W68">
        <f>COUNTIFS(A$1:A68,A68)</f>
        <v>5</v>
      </c>
      <c r="X68" t="str">
        <f t="shared" si="4"/>
        <v>Bears D/ST16</v>
      </c>
      <c r="Y68">
        <f>COUNTIF(V$1:V68,V68)</f>
        <v>1</v>
      </c>
      <c r="Z68" t="str">
        <f t="shared" si="5"/>
        <v>lucas16-1</v>
      </c>
    </row>
    <row r="69" spans="1:26" x14ac:dyDescent="0.25">
      <c r="A69">
        <v>1</v>
      </c>
      <c r="B69" t="s">
        <v>431</v>
      </c>
      <c r="C69" t="s">
        <v>1229</v>
      </c>
      <c r="D69">
        <v>22.48</v>
      </c>
      <c r="E69">
        <v>2.2999999999999998</v>
      </c>
      <c r="F69">
        <v>1.02</v>
      </c>
      <c r="G69">
        <v>0.94</v>
      </c>
      <c r="H69">
        <v>0.04</v>
      </c>
      <c r="I69">
        <v>0.28000000000000003</v>
      </c>
      <c r="J69" t="s">
        <v>74</v>
      </c>
      <c r="K69">
        <v>14.39</v>
      </c>
      <c r="L69">
        <v>2.89</v>
      </c>
      <c r="M69">
        <v>5.75</v>
      </c>
      <c r="N69">
        <v>33.0625</v>
      </c>
      <c r="O69">
        <v>5</v>
      </c>
      <c r="P69">
        <v>0</v>
      </c>
      <c r="Q69">
        <v>346.89600000000002</v>
      </c>
      <c r="R69">
        <v>4</v>
      </c>
      <c r="S69">
        <v>0</v>
      </c>
      <c r="T69">
        <v>7.98</v>
      </c>
      <c r="U69" t="str">
        <f>IFERROR(INDEX(Rosters!$C$2:$C$155,MATCH(B69,Rosters!$B$2:$B$155,0)),"NA")</f>
        <v>NA</v>
      </c>
      <c r="V69" t="str">
        <f t="shared" si="3"/>
        <v>NA1</v>
      </c>
      <c r="W69">
        <f>COUNTIFS(A$1:A69,A69)</f>
        <v>9</v>
      </c>
      <c r="X69" t="str">
        <f t="shared" si="4"/>
        <v>Saints D/ST1</v>
      </c>
      <c r="Y69">
        <f>COUNTIF(V$1:V69,V69)</f>
        <v>5</v>
      </c>
      <c r="Z69" t="str">
        <f t="shared" si="5"/>
        <v>NA1-5</v>
      </c>
    </row>
    <row r="70" spans="1:26" x14ac:dyDescent="0.25">
      <c r="A70">
        <v>15</v>
      </c>
      <c r="B70" t="s">
        <v>437</v>
      </c>
      <c r="C70" t="s">
        <v>5453</v>
      </c>
      <c r="D70">
        <v>21.87</v>
      </c>
      <c r="E70">
        <v>2.56</v>
      </c>
      <c r="F70">
        <v>1.08</v>
      </c>
      <c r="G70">
        <v>0.6</v>
      </c>
      <c r="H70">
        <v>0.06</v>
      </c>
      <c r="I70">
        <v>0.32</v>
      </c>
      <c r="J70" t="s">
        <v>34</v>
      </c>
      <c r="K70">
        <v>14.03</v>
      </c>
      <c r="L70">
        <v>2.69</v>
      </c>
      <c r="M70">
        <v>5.67</v>
      </c>
      <c r="N70">
        <v>32.148899999999998</v>
      </c>
      <c r="O70">
        <v>5</v>
      </c>
      <c r="P70">
        <v>0</v>
      </c>
      <c r="Q70">
        <v>343.72399999999999</v>
      </c>
      <c r="R70">
        <v>4</v>
      </c>
      <c r="S70">
        <v>0</v>
      </c>
      <c r="T70">
        <v>7.96</v>
      </c>
      <c r="U70" t="str">
        <f>IFERROR(INDEX(Rosters!$C$2:$C$155,MATCH(B70,Rosters!$B$2:$B$155,0)),"NA")</f>
        <v>NA</v>
      </c>
      <c r="V70" t="str">
        <f t="shared" si="3"/>
        <v>NA15</v>
      </c>
      <c r="W70">
        <f>COUNTIFS(A$1:A70,A70)</f>
        <v>6</v>
      </c>
      <c r="X70" t="str">
        <f t="shared" si="4"/>
        <v>Falcons D/ST15</v>
      </c>
      <c r="Y70">
        <f>COUNTIF(V$1:V70,V70)</f>
        <v>4</v>
      </c>
      <c r="Z70" t="str">
        <f t="shared" si="5"/>
        <v>NA15-4</v>
      </c>
    </row>
    <row r="71" spans="1:26" x14ac:dyDescent="0.25">
      <c r="A71">
        <v>13</v>
      </c>
      <c r="B71" t="s">
        <v>429</v>
      </c>
      <c r="C71" t="s">
        <v>5454</v>
      </c>
      <c r="D71">
        <v>20.71</v>
      </c>
      <c r="E71">
        <v>2.46</v>
      </c>
      <c r="F71">
        <v>1.2</v>
      </c>
      <c r="G71">
        <v>0.8</v>
      </c>
      <c r="H71">
        <v>0.02</v>
      </c>
      <c r="I71">
        <v>0.24</v>
      </c>
      <c r="J71" t="s">
        <v>36</v>
      </c>
      <c r="K71">
        <v>14.23</v>
      </c>
      <c r="L71">
        <v>3.29</v>
      </c>
      <c r="M71">
        <v>5.47</v>
      </c>
      <c r="N71">
        <v>29.9209</v>
      </c>
      <c r="O71">
        <v>5</v>
      </c>
      <c r="P71">
        <v>0</v>
      </c>
      <c r="Q71">
        <v>337.69200000000001</v>
      </c>
      <c r="R71">
        <v>4</v>
      </c>
      <c r="S71">
        <v>0</v>
      </c>
      <c r="T71">
        <v>7.94</v>
      </c>
      <c r="U71" t="str">
        <f>IFERROR(INDEX(Rosters!$C$2:$C$155,MATCH(B71,Rosters!$B$2:$B$155,0)),"NA")</f>
        <v>NA</v>
      </c>
      <c r="V71" t="str">
        <f t="shared" si="3"/>
        <v>NA13</v>
      </c>
      <c r="W71">
        <f>COUNTIFS(A$1:A71,A71)</f>
        <v>4</v>
      </c>
      <c r="X71" t="str">
        <f t="shared" si="4"/>
        <v>Redskins D/ST13</v>
      </c>
      <c r="Y71">
        <f>COUNTIF(V$1:V71,V71)</f>
        <v>2</v>
      </c>
      <c r="Z71" t="str">
        <f t="shared" si="5"/>
        <v>NA13-2</v>
      </c>
    </row>
    <row r="72" spans="1:26" x14ac:dyDescent="0.25">
      <c r="A72">
        <v>17</v>
      </c>
      <c r="B72" t="s">
        <v>429</v>
      </c>
      <c r="C72" t="s">
        <v>5454</v>
      </c>
      <c r="D72">
        <v>20.71</v>
      </c>
      <c r="E72">
        <v>2.46</v>
      </c>
      <c r="F72">
        <v>1.2</v>
      </c>
      <c r="G72">
        <v>0.8</v>
      </c>
      <c r="H72">
        <v>0.02</v>
      </c>
      <c r="I72">
        <v>0.24</v>
      </c>
      <c r="J72" t="s">
        <v>36</v>
      </c>
      <c r="K72">
        <v>14.23</v>
      </c>
      <c r="L72">
        <v>3.29</v>
      </c>
      <c r="M72">
        <v>5.47</v>
      </c>
      <c r="N72">
        <v>29.9209</v>
      </c>
      <c r="O72">
        <v>5</v>
      </c>
      <c r="P72">
        <v>0</v>
      </c>
      <c r="Q72">
        <v>337.69200000000001</v>
      </c>
      <c r="R72">
        <v>4</v>
      </c>
      <c r="S72">
        <v>0</v>
      </c>
      <c r="T72">
        <v>7.94</v>
      </c>
      <c r="U72" t="str">
        <f>IFERROR(INDEX(Rosters!$C$2:$C$155,MATCH(B72,Rosters!$B$2:$B$155,0)),"NA")</f>
        <v>NA</v>
      </c>
      <c r="V72" t="str">
        <f t="shared" si="3"/>
        <v>NA17</v>
      </c>
      <c r="W72">
        <f>COUNTIFS(A$1:A72,A72)</f>
        <v>4</v>
      </c>
      <c r="X72" t="str">
        <f t="shared" si="4"/>
        <v>Redskins D/ST17</v>
      </c>
      <c r="Y72">
        <f>COUNTIF(V$1:V72,V72)</f>
        <v>3</v>
      </c>
      <c r="Z72" t="str">
        <f t="shared" si="5"/>
        <v>NA17-3</v>
      </c>
    </row>
    <row r="73" spans="1:26" x14ac:dyDescent="0.25">
      <c r="A73">
        <v>4</v>
      </c>
      <c r="B73" t="s">
        <v>407</v>
      </c>
      <c r="C73" t="s">
        <v>4849</v>
      </c>
      <c r="D73">
        <v>15.66</v>
      </c>
      <c r="E73">
        <v>2.2400000000000002</v>
      </c>
      <c r="F73">
        <v>0.94</v>
      </c>
      <c r="G73">
        <v>0.67</v>
      </c>
      <c r="H73">
        <v>0.02</v>
      </c>
      <c r="I73">
        <v>0.23</v>
      </c>
      <c r="J73" t="s">
        <v>34</v>
      </c>
      <c r="K73">
        <v>13.39</v>
      </c>
      <c r="L73">
        <v>4.29</v>
      </c>
      <c r="M73">
        <v>4.55</v>
      </c>
      <c r="N73">
        <v>20.702500000000001</v>
      </c>
      <c r="O73">
        <v>4</v>
      </c>
      <c r="P73">
        <v>1</v>
      </c>
      <c r="Q73">
        <v>311.43200000000002</v>
      </c>
      <c r="R73">
        <v>4</v>
      </c>
      <c r="S73">
        <v>0</v>
      </c>
      <c r="T73">
        <v>7.88</v>
      </c>
      <c r="U73" t="str">
        <f>IFERROR(INDEX(Rosters!$C$2:$C$155,MATCH(B73,Rosters!$B$2:$B$155,0)),"NA")</f>
        <v>NA</v>
      </c>
      <c r="V73" t="str">
        <f t="shared" si="3"/>
        <v>NA4</v>
      </c>
      <c r="W73">
        <f>COUNTIFS(A$1:A73,A73)</f>
        <v>3</v>
      </c>
      <c r="X73" t="str">
        <f t="shared" si="4"/>
        <v>Seahawks D/ST4</v>
      </c>
      <c r="Y73">
        <f>COUNTIF(V$1:V73,V73)</f>
        <v>2</v>
      </c>
      <c r="Z73" t="str">
        <f t="shared" si="5"/>
        <v>NA4-2</v>
      </c>
    </row>
    <row r="74" spans="1:26" x14ac:dyDescent="0.25">
      <c r="A74">
        <v>2</v>
      </c>
      <c r="B74" t="s">
        <v>416</v>
      </c>
      <c r="C74" t="s">
        <v>1230</v>
      </c>
      <c r="D74">
        <v>19.47</v>
      </c>
      <c r="E74">
        <v>2.38</v>
      </c>
      <c r="F74">
        <v>1</v>
      </c>
      <c r="G74">
        <v>0.78</v>
      </c>
      <c r="H74">
        <v>0.06</v>
      </c>
      <c r="I74">
        <v>0.3</v>
      </c>
      <c r="J74" t="s">
        <v>25</v>
      </c>
      <c r="K74">
        <v>16.079999999999998</v>
      </c>
      <c r="L74">
        <v>1.92</v>
      </c>
      <c r="M74">
        <v>7.08</v>
      </c>
      <c r="N74">
        <v>50.126399999999997</v>
      </c>
      <c r="O74">
        <v>5</v>
      </c>
      <c r="P74">
        <v>0</v>
      </c>
      <c r="Q74">
        <v>331.24400000000003</v>
      </c>
      <c r="R74">
        <v>4</v>
      </c>
      <c r="S74">
        <v>0</v>
      </c>
      <c r="T74">
        <v>7.86</v>
      </c>
      <c r="U74" t="str">
        <f>IFERROR(INDEX(Rosters!$C$2:$C$155,MATCH(B74,Rosters!$B$2:$B$155,0)),"NA")</f>
        <v>lucas</v>
      </c>
      <c r="V74" t="str">
        <f t="shared" si="3"/>
        <v>lucas2</v>
      </c>
      <c r="W74">
        <f>COUNTIFS(A$1:A74,A74)</f>
        <v>11</v>
      </c>
      <c r="X74" t="str">
        <f t="shared" si="4"/>
        <v>Bears D/ST2</v>
      </c>
      <c r="Y74">
        <f>COUNTIF(V$1:V74,V74)</f>
        <v>1</v>
      </c>
      <c r="Z74" t="str">
        <f t="shared" si="5"/>
        <v>lucas2-1</v>
      </c>
    </row>
    <row r="75" spans="1:26" x14ac:dyDescent="0.25">
      <c r="A75">
        <v>8</v>
      </c>
      <c r="B75" t="s">
        <v>413</v>
      </c>
      <c r="C75" t="s">
        <v>5455</v>
      </c>
      <c r="D75">
        <v>19.91</v>
      </c>
      <c r="E75">
        <v>2.38</v>
      </c>
      <c r="F75">
        <v>1.3</v>
      </c>
      <c r="G75">
        <v>0.66</v>
      </c>
      <c r="H75">
        <v>0.06</v>
      </c>
      <c r="I75">
        <v>0.24</v>
      </c>
      <c r="J75" t="s">
        <v>51</v>
      </c>
      <c r="K75">
        <v>15.16</v>
      </c>
      <c r="L75">
        <v>2.6</v>
      </c>
      <c r="M75">
        <v>6.28</v>
      </c>
      <c r="N75">
        <v>39.438400000000001</v>
      </c>
      <c r="O75">
        <v>5</v>
      </c>
      <c r="P75">
        <v>0</v>
      </c>
      <c r="Q75">
        <v>333.53199999999998</v>
      </c>
      <c r="R75">
        <v>4</v>
      </c>
      <c r="S75">
        <v>0</v>
      </c>
      <c r="T75">
        <v>7.86</v>
      </c>
      <c r="U75" t="str">
        <f>IFERROR(INDEX(Rosters!$C$2:$C$155,MATCH(B75,Rosters!$B$2:$B$155,0)),"NA")</f>
        <v>cory</v>
      </c>
      <c r="V75" t="str">
        <f t="shared" si="3"/>
        <v>cory8</v>
      </c>
      <c r="W75">
        <f>COUNTIFS(A$1:A75,A75)</f>
        <v>2</v>
      </c>
      <c r="X75" t="str">
        <f t="shared" si="4"/>
        <v>Panthers D/ST8</v>
      </c>
      <c r="Y75">
        <f>COUNTIF(V$1:V75,V75)</f>
        <v>1</v>
      </c>
      <c r="Z75" t="str">
        <f t="shared" si="5"/>
        <v>cory8-1</v>
      </c>
    </row>
    <row r="76" spans="1:26" x14ac:dyDescent="0.25">
      <c r="A76">
        <v>8</v>
      </c>
      <c r="B76" t="s">
        <v>436</v>
      </c>
      <c r="C76" t="s">
        <v>5456</v>
      </c>
      <c r="D76">
        <v>21.45</v>
      </c>
      <c r="E76">
        <v>2.66</v>
      </c>
      <c r="F76">
        <v>0.94</v>
      </c>
      <c r="G76">
        <v>0.79</v>
      </c>
      <c r="H76">
        <v>0.02</v>
      </c>
      <c r="I76">
        <v>0.28000000000000003</v>
      </c>
      <c r="J76" t="s">
        <v>34</v>
      </c>
      <c r="K76">
        <v>14.12</v>
      </c>
      <c r="L76">
        <v>3.02</v>
      </c>
      <c r="M76">
        <v>5.55</v>
      </c>
      <c r="N76">
        <v>30.802499999999998</v>
      </c>
      <c r="O76">
        <v>5</v>
      </c>
      <c r="P76">
        <v>0</v>
      </c>
      <c r="Q76">
        <v>341.54</v>
      </c>
      <c r="R76">
        <v>4</v>
      </c>
      <c r="S76">
        <v>0</v>
      </c>
      <c r="T76">
        <v>7.84</v>
      </c>
      <c r="U76" t="str">
        <f>IFERROR(INDEX(Rosters!$C$2:$C$155,MATCH(B76,Rosters!$B$2:$B$155,0)),"NA")</f>
        <v>NA</v>
      </c>
      <c r="V76" t="str">
        <f t="shared" si="3"/>
        <v>NA8</v>
      </c>
      <c r="W76">
        <f>COUNTIFS(A$1:A76,A76)</f>
        <v>3</v>
      </c>
      <c r="X76" t="str">
        <f t="shared" si="4"/>
        <v>49ers D/ST8</v>
      </c>
      <c r="Y76">
        <f>COUNTIF(V$1:V76,V76)</f>
        <v>2</v>
      </c>
      <c r="Z76" t="str">
        <f t="shared" si="5"/>
        <v>NA8-2</v>
      </c>
    </row>
    <row r="77" spans="1:26" x14ac:dyDescent="0.25">
      <c r="A77">
        <v>5</v>
      </c>
      <c r="B77" t="s">
        <v>436</v>
      </c>
      <c r="C77" t="s">
        <v>9070</v>
      </c>
      <c r="D77">
        <v>21.45</v>
      </c>
      <c r="E77">
        <v>2.64</v>
      </c>
      <c r="F77">
        <v>0.94</v>
      </c>
      <c r="G77">
        <v>0.79</v>
      </c>
      <c r="H77">
        <v>0.02</v>
      </c>
      <c r="I77">
        <v>0.28000000000000003</v>
      </c>
      <c r="J77" t="s">
        <v>34</v>
      </c>
      <c r="K77">
        <v>14.07</v>
      </c>
      <c r="L77">
        <v>3.05</v>
      </c>
      <c r="M77">
        <v>5.51</v>
      </c>
      <c r="N77">
        <v>30.360099999999999</v>
      </c>
      <c r="O77">
        <v>5</v>
      </c>
      <c r="P77">
        <v>0</v>
      </c>
      <c r="Q77">
        <v>341.54</v>
      </c>
      <c r="R77">
        <v>4</v>
      </c>
      <c r="S77">
        <v>0</v>
      </c>
      <c r="T77">
        <v>7.82</v>
      </c>
      <c r="U77" t="str">
        <f>IFERROR(INDEX(Rosters!$C$2:$C$155,MATCH(B77,Rosters!$B$2:$B$155,0)),"NA")</f>
        <v>NA</v>
      </c>
      <c r="V77" t="str">
        <f t="shared" si="3"/>
        <v>NA5</v>
      </c>
      <c r="W77">
        <f>COUNTIFS(A$1:A77,A77)</f>
        <v>2</v>
      </c>
      <c r="X77" t="str">
        <f t="shared" si="4"/>
        <v>49ers D/ST5</v>
      </c>
      <c r="Y77">
        <f>COUNTIF(V$1:V77,V77)</f>
        <v>1</v>
      </c>
      <c r="Z77" t="str">
        <f t="shared" si="5"/>
        <v>NA5-1</v>
      </c>
    </row>
    <row r="78" spans="1:26" x14ac:dyDescent="0.25">
      <c r="A78">
        <v>4</v>
      </c>
      <c r="B78" t="s">
        <v>420</v>
      </c>
      <c r="C78" t="s">
        <v>4848</v>
      </c>
      <c r="D78">
        <v>22.92</v>
      </c>
      <c r="E78">
        <v>2.5</v>
      </c>
      <c r="F78">
        <v>1.2</v>
      </c>
      <c r="G78">
        <v>0.63</v>
      </c>
      <c r="H78">
        <v>0.02</v>
      </c>
      <c r="I78">
        <v>0.27</v>
      </c>
      <c r="J78" t="s">
        <v>29</v>
      </c>
      <c r="K78">
        <v>15.34</v>
      </c>
      <c r="L78">
        <v>1.28</v>
      </c>
      <c r="M78">
        <v>7.03</v>
      </c>
      <c r="N78">
        <v>49.420900000000003</v>
      </c>
      <c r="O78">
        <v>5</v>
      </c>
      <c r="P78">
        <v>0</v>
      </c>
      <c r="Q78">
        <v>349.18400000000003</v>
      </c>
      <c r="R78">
        <v>4</v>
      </c>
      <c r="S78">
        <v>0</v>
      </c>
      <c r="T78">
        <v>7.82</v>
      </c>
      <c r="U78" t="str">
        <f>IFERROR(INDEX(Rosters!$C$2:$C$155,MATCH(B78,Rosters!$B$2:$B$155,0)),"NA")</f>
        <v>scott</v>
      </c>
      <c r="V78" t="str">
        <f t="shared" si="3"/>
        <v>scott4</v>
      </c>
      <c r="W78">
        <f>COUNTIFS(A$1:A78,A78)</f>
        <v>4</v>
      </c>
      <c r="X78" t="str">
        <f t="shared" si="4"/>
        <v>Rams D/ST4</v>
      </c>
      <c r="Y78">
        <f>COUNTIF(V$1:V78,V78)</f>
        <v>1</v>
      </c>
      <c r="Z78" t="str">
        <f t="shared" si="5"/>
        <v>scott4-1</v>
      </c>
    </row>
    <row r="79" spans="1:26" x14ac:dyDescent="0.25">
      <c r="A79">
        <v>8</v>
      </c>
      <c r="B79" t="s">
        <v>424</v>
      </c>
      <c r="C79" t="s">
        <v>5457</v>
      </c>
      <c r="D79">
        <v>17.54</v>
      </c>
      <c r="E79">
        <v>3.12</v>
      </c>
      <c r="F79">
        <v>1.18</v>
      </c>
      <c r="G79">
        <v>0.5</v>
      </c>
      <c r="H79">
        <v>0</v>
      </c>
      <c r="I79">
        <v>0.22</v>
      </c>
      <c r="J79" t="s">
        <v>17</v>
      </c>
      <c r="K79">
        <v>14.84</v>
      </c>
      <c r="L79">
        <v>4.4400000000000004</v>
      </c>
      <c r="M79">
        <v>5.2</v>
      </c>
      <c r="N79">
        <v>27.04</v>
      </c>
      <c r="O79">
        <v>5</v>
      </c>
      <c r="P79">
        <v>0</v>
      </c>
      <c r="Q79">
        <v>321.20800000000003</v>
      </c>
      <c r="R79">
        <v>4</v>
      </c>
      <c r="S79">
        <v>0</v>
      </c>
      <c r="T79">
        <v>7.8</v>
      </c>
      <c r="U79" t="str">
        <f>IFERROR(INDEX(Rosters!$C$2:$C$155,MATCH(B79,Rosters!$B$2:$B$155,0)),"NA")</f>
        <v>NA</v>
      </c>
      <c r="V79" t="str">
        <f t="shared" si="3"/>
        <v>NA8</v>
      </c>
      <c r="W79">
        <f>COUNTIFS(A$1:A79,A79)</f>
        <v>4</v>
      </c>
      <c r="X79" t="str">
        <f t="shared" si="4"/>
        <v>Steelers D/ST8</v>
      </c>
      <c r="Y79">
        <f>COUNTIF(V$1:V79,V79)</f>
        <v>3</v>
      </c>
      <c r="Z79" t="str">
        <f t="shared" si="5"/>
        <v>NA8-3</v>
      </c>
    </row>
    <row r="80" spans="1:26" x14ac:dyDescent="0.25">
      <c r="A80">
        <v>8</v>
      </c>
      <c r="B80" t="s">
        <v>420</v>
      </c>
      <c r="C80" t="s">
        <v>5458</v>
      </c>
      <c r="D80">
        <v>21.88</v>
      </c>
      <c r="E80">
        <v>2.5499999999999998</v>
      </c>
      <c r="F80">
        <v>1.1200000000000001</v>
      </c>
      <c r="G80">
        <v>0.57999999999999996</v>
      </c>
      <c r="H80">
        <v>0.02</v>
      </c>
      <c r="I80">
        <v>0.3</v>
      </c>
      <c r="J80" t="s">
        <v>30</v>
      </c>
      <c r="K80">
        <v>13.19</v>
      </c>
      <c r="L80">
        <v>3.31</v>
      </c>
      <c r="M80">
        <v>4.9400000000000004</v>
      </c>
      <c r="N80">
        <v>24.403600000000001</v>
      </c>
      <c r="O80">
        <v>5</v>
      </c>
      <c r="P80">
        <v>0</v>
      </c>
      <c r="Q80">
        <v>343.77600000000001</v>
      </c>
      <c r="R80">
        <v>4</v>
      </c>
      <c r="S80">
        <v>0</v>
      </c>
      <c r="T80">
        <v>7.79</v>
      </c>
      <c r="U80" t="str">
        <f>IFERROR(INDEX(Rosters!$C$2:$C$155,MATCH(B80,Rosters!$B$2:$B$155,0)),"NA")</f>
        <v>scott</v>
      </c>
      <c r="V80" t="str">
        <f t="shared" si="3"/>
        <v>scott8</v>
      </c>
      <c r="W80">
        <f>COUNTIFS(A$1:A80,A80)</f>
        <v>5</v>
      </c>
      <c r="X80" t="str">
        <f t="shared" si="4"/>
        <v>Rams D/ST8</v>
      </c>
      <c r="Y80">
        <f>COUNTIF(V$1:V80,V80)</f>
        <v>1</v>
      </c>
      <c r="Z80" t="str">
        <f t="shared" si="5"/>
        <v>scott8-1</v>
      </c>
    </row>
    <row r="81" spans="1:26" x14ac:dyDescent="0.25">
      <c r="A81">
        <v>14</v>
      </c>
      <c r="B81" t="s">
        <v>435</v>
      </c>
      <c r="C81" t="s">
        <v>5459</v>
      </c>
      <c r="D81">
        <v>21.18</v>
      </c>
      <c r="E81">
        <v>2.4300000000000002</v>
      </c>
      <c r="F81">
        <v>1.1399999999999999</v>
      </c>
      <c r="G81">
        <v>0.78</v>
      </c>
      <c r="H81">
        <v>0.04</v>
      </c>
      <c r="I81">
        <v>0.24</v>
      </c>
      <c r="J81" t="s">
        <v>34</v>
      </c>
      <c r="K81">
        <v>14.66</v>
      </c>
      <c r="L81">
        <v>2.34</v>
      </c>
      <c r="M81">
        <v>6.16</v>
      </c>
      <c r="N81">
        <v>37.945599999999999</v>
      </c>
      <c r="O81">
        <v>5</v>
      </c>
      <c r="P81">
        <v>0</v>
      </c>
      <c r="Q81">
        <v>340.13600000000002</v>
      </c>
      <c r="R81">
        <v>4</v>
      </c>
      <c r="S81">
        <v>0</v>
      </c>
      <c r="T81">
        <v>7.79</v>
      </c>
      <c r="U81" t="str">
        <f>IFERROR(INDEX(Rosters!$C$2:$C$155,MATCH(B81,Rosters!$B$2:$B$155,0)),"NA")</f>
        <v>NA</v>
      </c>
      <c r="V81" t="str">
        <f t="shared" si="3"/>
        <v>NA14</v>
      </c>
      <c r="W81">
        <f>COUNTIFS(A$1:A81,A81)</f>
        <v>5</v>
      </c>
      <c r="X81" t="str">
        <f t="shared" si="4"/>
        <v>Lions D/ST14</v>
      </c>
      <c r="Y81">
        <f>COUNTIF(V$1:V81,V81)</f>
        <v>3</v>
      </c>
      <c r="Z81" t="str">
        <f t="shared" si="5"/>
        <v>NA14-3</v>
      </c>
    </row>
    <row r="82" spans="1:26" x14ac:dyDescent="0.25">
      <c r="A82">
        <v>14</v>
      </c>
      <c r="B82" t="s">
        <v>413</v>
      </c>
      <c r="C82" t="s">
        <v>5460</v>
      </c>
      <c r="D82">
        <v>21.62</v>
      </c>
      <c r="E82">
        <v>2.1</v>
      </c>
      <c r="F82">
        <v>1.1000000000000001</v>
      </c>
      <c r="G82">
        <v>0.64</v>
      </c>
      <c r="H82">
        <v>0.08</v>
      </c>
      <c r="I82">
        <v>0.34</v>
      </c>
      <c r="J82" t="s">
        <v>17</v>
      </c>
      <c r="K82">
        <v>13.88</v>
      </c>
      <c r="L82">
        <v>2.62</v>
      </c>
      <c r="M82">
        <v>5.63</v>
      </c>
      <c r="N82">
        <v>31.696899999999999</v>
      </c>
      <c r="O82">
        <v>5</v>
      </c>
      <c r="P82">
        <v>0</v>
      </c>
      <c r="Q82">
        <v>342.42399999999998</v>
      </c>
      <c r="R82">
        <v>4</v>
      </c>
      <c r="S82">
        <v>0</v>
      </c>
      <c r="T82">
        <v>7.78</v>
      </c>
      <c r="U82" t="str">
        <f>IFERROR(INDEX(Rosters!$C$2:$C$155,MATCH(B82,Rosters!$B$2:$B$155,0)),"NA")</f>
        <v>cory</v>
      </c>
      <c r="V82" t="str">
        <f t="shared" si="3"/>
        <v>cory14</v>
      </c>
      <c r="W82">
        <f>COUNTIFS(A$1:A82,A82)</f>
        <v>6</v>
      </c>
      <c r="X82" t="str">
        <f t="shared" si="4"/>
        <v>Panthers D/ST14</v>
      </c>
      <c r="Y82">
        <f>COUNTIF(V$1:V82,V82)</f>
        <v>1</v>
      </c>
      <c r="Z82" t="str">
        <f t="shared" si="5"/>
        <v>cory14-1</v>
      </c>
    </row>
    <row r="83" spans="1:26" x14ac:dyDescent="0.25">
      <c r="A83">
        <v>11</v>
      </c>
      <c r="B83" t="s">
        <v>413</v>
      </c>
      <c r="C83" t="s">
        <v>5461</v>
      </c>
      <c r="D83">
        <v>20.76</v>
      </c>
      <c r="E83">
        <v>2.73</v>
      </c>
      <c r="F83">
        <v>1.1299999999999999</v>
      </c>
      <c r="G83">
        <v>0.68</v>
      </c>
      <c r="H83">
        <v>0.04</v>
      </c>
      <c r="I83">
        <v>0.22</v>
      </c>
      <c r="J83" t="s">
        <v>42</v>
      </c>
      <c r="K83">
        <v>14.99</v>
      </c>
      <c r="L83">
        <v>2.31</v>
      </c>
      <c r="M83">
        <v>6.34</v>
      </c>
      <c r="N83">
        <v>40.195599999999999</v>
      </c>
      <c r="O83">
        <v>5</v>
      </c>
      <c r="P83">
        <v>0</v>
      </c>
      <c r="Q83">
        <v>337.952</v>
      </c>
      <c r="R83">
        <v>4</v>
      </c>
      <c r="S83">
        <v>0</v>
      </c>
      <c r="T83">
        <v>7.75</v>
      </c>
      <c r="U83" t="str">
        <f>IFERROR(INDEX(Rosters!$C$2:$C$155,MATCH(B83,Rosters!$B$2:$B$155,0)),"NA")</f>
        <v>cory</v>
      </c>
      <c r="V83" t="str">
        <f t="shared" si="3"/>
        <v>cory11</v>
      </c>
      <c r="W83">
        <f>COUNTIFS(A$1:A83,A83)</f>
        <v>3</v>
      </c>
      <c r="X83" t="str">
        <f t="shared" si="4"/>
        <v>Panthers D/ST11</v>
      </c>
      <c r="Y83">
        <f>COUNTIF(V$1:V83,V83)</f>
        <v>1</v>
      </c>
      <c r="Z83" t="str">
        <f t="shared" si="5"/>
        <v>cory11-1</v>
      </c>
    </row>
    <row r="84" spans="1:26" x14ac:dyDescent="0.25">
      <c r="A84">
        <v>9</v>
      </c>
      <c r="B84" t="s">
        <v>422</v>
      </c>
      <c r="C84" t="s">
        <v>5462</v>
      </c>
      <c r="D84">
        <v>22.61</v>
      </c>
      <c r="E84">
        <v>2.58</v>
      </c>
      <c r="F84">
        <v>1.04</v>
      </c>
      <c r="G84">
        <v>0.78</v>
      </c>
      <c r="H84">
        <v>0.04</v>
      </c>
      <c r="I84">
        <v>0.24</v>
      </c>
      <c r="J84" t="s">
        <v>46</v>
      </c>
      <c r="K84">
        <v>14.21</v>
      </c>
      <c r="L84">
        <v>1.95</v>
      </c>
      <c r="M84">
        <v>6.13</v>
      </c>
      <c r="N84">
        <v>37.576900000000002</v>
      </c>
      <c r="O84">
        <v>5</v>
      </c>
      <c r="P84">
        <v>0</v>
      </c>
      <c r="Q84">
        <v>347.572</v>
      </c>
      <c r="R84">
        <v>4</v>
      </c>
      <c r="S84">
        <v>0</v>
      </c>
      <c r="T84">
        <v>7.74</v>
      </c>
      <c r="U84" t="str">
        <f>IFERROR(INDEX(Rosters!$C$2:$C$155,MATCH(B84,Rosters!$B$2:$B$155,0)),"NA")</f>
        <v>NA</v>
      </c>
      <c r="V84" t="str">
        <f t="shared" si="3"/>
        <v>NA9</v>
      </c>
      <c r="W84">
        <f>COUNTIFS(A$1:A84,A84)</f>
        <v>5</v>
      </c>
      <c r="X84" t="str">
        <f t="shared" si="4"/>
        <v>Dolphins D/ST9</v>
      </c>
      <c r="Y84">
        <f>COUNTIF(V$1:V84,V84)</f>
        <v>4</v>
      </c>
      <c r="Z84" t="str">
        <f t="shared" si="5"/>
        <v>NA9-4</v>
      </c>
    </row>
    <row r="85" spans="1:26" x14ac:dyDescent="0.25">
      <c r="A85">
        <v>5</v>
      </c>
      <c r="B85" t="s">
        <v>413</v>
      </c>
      <c r="C85" t="s">
        <v>9071</v>
      </c>
      <c r="D85">
        <v>19.18</v>
      </c>
      <c r="E85">
        <v>2.08</v>
      </c>
      <c r="F85">
        <v>1.29</v>
      </c>
      <c r="G85">
        <v>0.55000000000000004</v>
      </c>
      <c r="H85">
        <v>0.05</v>
      </c>
      <c r="I85">
        <v>0.3</v>
      </c>
      <c r="J85" t="s">
        <v>32</v>
      </c>
      <c r="K85">
        <v>13.72</v>
      </c>
      <c r="L85">
        <v>3.7</v>
      </c>
      <c r="M85">
        <v>5.01</v>
      </c>
      <c r="N85">
        <v>25.100100000000001</v>
      </c>
      <c r="O85">
        <v>5</v>
      </c>
      <c r="P85">
        <v>0</v>
      </c>
      <c r="Q85">
        <v>329.73599999999999</v>
      </c>
      <c r="R85">
        <v>4</v>
      </c>
      <c r="S85">
        <v>0</v>
      </c>
      <c r="T85">
        <v>7.66</v>
      </c>
      <c r="U85" t="str">
        <f>IFERROR(INDEX(Rosters!$C$2:$C$155,MATCH(B85,Rosters!$B$2:$B$155,0)),"NA")</f>
        <v>cory</v>
      </c>
      <c r="V85" t="str">
        <f t="shared" si="3"/>
        <v>cory5</v>
      </c>
      <c r="W85">
        <f>COUNTIFS(A$1:A85,A85)</f>
        <v>3</v>
      </c>
      <c r="X85" t="str">
        <f t="shared" si="4"/>
        <v>Panthers D/ST5</v>
      </c>
      <c r="Y85">
        <f>COUNTIF(V$1:V85,V85)</f>
        <v>1</v>
      </c>
      <c r="Z85" t="str">
        <f t="shared" si="5"/>
        <v>cory5-1</v>
      </c>
    </row>
    <row r="86" spans="1:26" x14ac:dyDescent="0.25">
      <c r="A86">
        <v>7</v>
      </c>
      <c r="B86" t="s">
        <v>420</v>
      </c>
      <c r="C86" t="s">
        <v>5463</v>
      </c>
      <c r="D86">
        <v>20.87</v>
      </c>
      <c r="E86">
        <v>2.46</v>
      </c>
      <c r="F86">
        <v>1.42</v>
      </c>
      <c r="G86">
        <v>0.5</v>
      </c>
      <c r="H86">
        <v>0.02</v>
      </c>
      <c r="I86">
        <v>0.22</v>
      </c>
      <c r="J86" t="s">
        <v>14</v>
      </c>
      <c r="K86">
        <v>13.03</v>
      </c>
      <c r="L86">
        <v>3.67</v>
      </c>
      <c r="M86">
        <v>4.68</v>
      </c>
      <c r="N86">
        <v>21.9024</v>
      </c>
      <c r="O86">
        <v>5</v>
      </c>
      <c r="P86">
        <v>0</v>
      </c>
      <c r="Q86">
        <v>338.524</v>
      </c>
      <c r="R86">
        <v>4</v>
      </c>
      <c r="S86">
        <v>0</v>
      </c>
      <c r="T86">
        <v>7.66</v>
      </c>
      <c r="U86" t="str">
        <f>IFERROR(INDEX(Rosters!$C$2:$C$155,MATCH(B86,Rosters!$B$2:$B$155,0)),"NA")</f>
        <v>scott</v>
      </c>
      <c r="V86" t="str">
        <f t="shared" si="3"/>
        <v>scott7</v>
      </c>
      <c r="W86">
        <f>COUNTIFS(A$1:A86,A86)</f>
        <v>5</v>
      </c>
      <c r="X86" t="str">
        <f t="shared" si="4"/>
        <v>Rams D/ST7</v>
      </c>
      <c r="Y86">
        <f>COUNTIF(V$1:V86,V86)</f>
        <v>1</v>
      </c>
      <c r="Z86" t="str">
        <f t="shared" si="5"/>
        <v>scott7-1</v>
      </c>
    </row>
    <row r="87" spans="1:26" x14ac:dyDescent="0.25">
      <c r="A87">
        <v>17</v>
      </c>
      <c r="B87" t="s">
        <v>420</v>
      </c>
      <c r="C87" t="s">
        <v>5463</v>
      </c>
      <c r="D87">
        <v>20.87</v>
      </c>
      <c r="E87">
        <v>2.46</v>
      </c>
      <c r="F87">
        <v>1.42</v>
      </c>
      <c r="G87">
        <v>0.5</v>
      </c>
      <c r="H87">
        <v>0.02</v>
      </c>
      <c r="I87">
        <v>0.22</v>
      </c>
      <c r="J87" t="s">
        <v>14</v>
      </c>
      <c r="K87">
        <v>13.03</v>
      </c>
      <c r="L87">
        <v>3.67</v>
      </c>
      <c r="M87">
        <v>4.68</v>
      </c>
      <c r="N87">
        <v>21.9024</v>
      </c>
      <c r="O87">
        <v>5</v>
      </c>
      <c r="P87">
        <v>0</v>
      </c>
      <c r="Q87">
        <v>338.524</v>
      </c>
      <c r="R87">
        <v>4</v>
      </c>
      <c r="S87">
        <v>0</v>
      </c>
      <c r="T87">
        <v>7.66</v>
      </c>
      <c r="U87" t="str">
        <f>IFERROR(INDEX(Rosters!$C$2:$C$155,MATCH(B87,Rosters!$B$2:$B$155,0)),"NA")</f>
        <v>scott</v>
      </c>
      <c r="V87" t="str">
        <f t="shared" si="3"/>
        <v>scott17</v>
      </c>
      <c r="W87">
        <f>COUNTIFS(A$1:A87,A87)</f>
        <v>5</v>
      </c>
      <c r="X87" t="str">
        <f t="shared" si="4"/>
        <v>Rams D/ST17</v>
      </c>
      <c r="Y87">
        <f>COUNTIF(V$1:V87,V87)</f>
        <v>1</v>
      </c>
      <c r="Z87" t="str">
        <f t="shared" si="5"/>
        <v>scott17-1</v>
      </c>
    </row>
    <row r="88" spans="1:26" x14ac:dyDescent="0.25">
      <c r="A88">
        <v>6</v>
      </c>
      <c r="B88" t="s">
        <v>413</v>
      </c>
      <c r="C88" t="s">
        <v>5464</v>
      </c>
      <c r="D88">
        <v>22.22</v>
      </c>
      <c r="E88">
        <v>2.44</v>
      </c>
      <c r="F88">
        <v>1</v>
      </c>
      <c r="G88">
        <v>0.74</v>
      </c>
      <c r="H88">
        <v>0.08</v>
      </c>
      <c r="I88">
        <v>0.26</v>
      </c>
      <c r="J88" t="s">
        <v>38</v>
      </c>
      <c r="K88">
        <v>15.58</v>
      </c>
      <c r="L88">
        <v>0.84</v>
      </c>
      <c r="M88">
        <v>7.37</v>
      </c>
      <c r="N88">
        <v>54.316899999999997</v>
      </c>
      <c r="O88">
        <v>5</v>
      </c>
      <c r="P88">
        <v>0</v>
      </c>
      <c r="Q88">
        <v>345.54399999999998</v>
      </c>
      <c r="R88">
        <v>4</v>
      </c>
      <c r="S88">
        <v>0</v>
      </c>
      <c r="T88">
        <v>7.64</v>
      </c>
      <c r="U88" t="str">
        <f>IFERROR(INDEX(Rosters!$C$2:$C$155,MATCH(B88,Rosters!$B$2:$B$155,0)),"NA")</f>
        <v>cory</v>
      </c>
      <c r="V88" t="str">
        <f t="shared" si="3"/>
        <v>cory6</v>
      </c>
      <c r="W88">
        <f>COUNTIFS(A$1:A88,A88)</f>
        <v>6</v>
      </c>
      <c r="X88" t="str">
        <f t="shared" si="4"/>
        <v>Panthers D/ST6</v>
      </c>
      <c r="Y88">
        <f>COUNTIF(V$1:V88,V88)</f>
        <v>1</v>
      </c>
      <c r="Z88" t="str">
        <f t="shared" si="5"/>
        <v>cory6-1</v>
      </c>
    </row>
    <row r="89" spans="1:26" x14ac:dyDescent="0.25">
      <c r="A89">
        <v>16</v>
      </c>
      <c r="B89" t="s">
        <v>414</v>
      </c>
      <c r="C89" t="s">
        <v>5465</v>
      </c>
      <c r="D89">
        <v>21.94</v>
      </c>
      <c r="E89">
        <v>2.58</v>
      </c>
      <c r="F89">
        <v>0.96</v>
      </c>
      <c r="G89">
        <v>0.74</v>
      </c>
      <c r="H89">
        <v>0.04</v>
      </c>
      <c r="I89">
        <v>0.26</v>
      </c>
      <c r="J89" t="s">
        <v>56</v>
      </c>
      <c r="K89">
        <v>14.93</v>
      </c>
      <c r="L89">
        <v>1.77</v>
      </c>
      <c r="M89">
        <v>6.58</v>
      </c>
      <c r="N89">
        <v>43.296399999999998</v>
      </c>
      <c r="O89">
        <v>5</v>
      </c>
      <c r="P89">
        <v>0</v>
      </c>
      <c r="Q89">
        <v>344.08800000000002</v>
      </c>
      <c r="R89">
        <v>4</v>
      </c>
      <c r="S89">
        <v>0</v>
      </c>
      <c r="T89">
        <v>7.62</v>
      </c>
      <c r="U89" t="str">
        <f>IFERROR(INDEX(Rosters!$C$2:$C$155,MATCH(B89,Rosters!$B$2:$B$155,0)),"NA")</f>
        <v>comp</v>
      </c>
      <c r="V89" t="str">
        <f t="shared" si="3"/>
        <v>comp16</v>
      </c>
      <c r="W89">
        <f>COUNTIFS(A$1:A89,A89)</f>
        <v>6</v>
      </c>
      <c r="X89" t="str">
        <f t="shared" si="4"/>
        <v>Eagles D/ST16</v>
      </c>
      <c r="Y89">
        <f>COUNTIF(V$1:V89,V89)</f>
        <v>1</v>
      </c>
      <c r="Z89" t="str">
        <f t="shared" si="5"/>
        <v>comp16-1</v>
      </c>
    </row>
    <row r="90" spans="1:26" x14ac:dyDescent="0.25">
      <c r="A90">
        <v>12</v>
      </c>
      <c r="B90" t="s">
        <v>417</v>
      </c>
      <c r="C90" t="s">
        <v>5466</v>
      </c>
      <c r="D90">
        <v>20.34</v>
      </c>
      <c r="E90">
        <v>2.4500000000000002</v>
      </c>
      <c r="F90">
        <v>1.08</v>
      </c>
      <c r="G90">
        <v>0.7</v>
      </c>
      <c r="H90">
        <v>0.02</v>
      </c>
      <c r="I90">
        <v>0.26</v>
      </c>
      <c r="J90" t="s">
        <v>17</v>
      </c>
      <c r="K90">
        <v>14.11</v>
      </c>
      <c r="L90">
        <v>3.15</v>
      </c>
      <c r="M90">
        <v>5.48</v>
      </c>
      <c r="N90">
        <v>30.0304</v>
      </c>
      <c r="O90">
        <v>5</v>
      </c>
      <c r="P90">
        <v>0</v>
      </c>
      <c r="Q90">
        <v>335.76799999999997</v>
      </c>
      <c r="R90">
        <v>4</v>
      </c>
      <c r="S90">
        <v>0</v>
      </c>
      <c r="T90">
        <v>7.61</v>
      </c>
      <c r="U90" t="str">
        <f>IFERROR(INDEX(Rosters!$C$2:$C$155,MATCH(B90,Rosters!$B$2:$B$155,0)),"NA")</f>
        <v>NA</v>
      </c>
      <c r="V90" t="str">
        <f t="shared" si="3"/>
        <v>NA12</v>
      </c>
      <c r="W90">
        <f>COUNTIFS(A$1:A90,A90)</f>
        <v>4</v>
      </c>
      <c r="X90" t="str">
        <f t="shared" si="4"/>
        <v>Bengals D/ST12</v>
      </c>
      <c r="Y90">
        <f>COUNTIF(V$1:V90,V90)</f>
        <v>2</v>
      </c>
      <c r="Z90" t="str">
        <f t="shared" si="5"/>
        <v>NA12-2</v>
      </c>
    </row>
    <row r="91" spans="1:26" x14ac:dyDescent="0.25">
      <c r="A91">
        <v>16</v>
      </c>
      <c r="B91" t="s">
        <v>417</v>
      </c>
      <c r="C91" t="s">
        <v>5466</v>
      </c>
      <c r="D91">
        <v>20.34</v>
      </c>
      <c r="E91">
        <v>2.4500000000000002</v>
      </c>
      <c r="F91">
        <v>1.08</v>
      </c>
      <c r="G91">
        <v>0.7</v>
      </c>
      <c r="H91">
        <v>0.02</v>
      </c>
      <c r="I91">
        <v>0.26</v>
      </c>
      <c r="J91" t="s">
        <v>17</v>
      </c>
      <c r="K91">
        <v>14.11</v>
      </c>
      <c r="L91">
        <v>3.15</v>
      </c>
      <c r="M91">
        <v>5.48</v>
      </c>
      <c r="N91">
        <v>30.0304</v>
      </c>
      <c r="O91">
        <v>5</v>
      </c>
      <c r="P91">
        <v>0</v>
      </c>
      <c r="Q91">
        <v>335.76799999999997</v>
      </c>
      <c r="R91">
        <v>4</v>
      </c>
      <c r="S91">
        <v>0</v>
      </c>
      <c r="T91">
        <v>7.61</v>
      </c>
      <c r="U91" t="str">
        <f>IFERROR(INDEX(Rosters!$C$2:$C$155,MATCH(B91,Rosters!$B$2:$B$155,0)),"NA")</f>
        <v>NA</v>
      </c>
      <c r="V91" t="str">
        <f t="shared" si="3"/>
        <v>NA16</v>
      </c>
      <c r="W91">
        <f>COUNTIFS(A$1:A91,A91)</f>
        <v>7</v>
      </c>
      <c r="X91" t="str">
        <f t="shared" si="4"/>
        <v>Bengals D/ST16</v>
      </c>
      <c r="Y91">
        <f>COUNTIF(V$1:V91,V91)</f>
        <v>3</v>
      </c>
      <c r="Z91" t="str">
        <f t="shared" si="5"/>
        <v>NA16-3</v>
      </c>
    </row>
    <row r="92" spans="1:26" x14ac:dyDescent="0.25">
      <c r="A92">
        <v>2</v>
      </c>
      <c r="B92" t="s">
        <v>417</v>
      </c>
      <c r="C92" t="s">
        <v>1231</v>
      </c>
      <c r="D92">
        <v>19.989999999999998</v>
      </c>
      <c r="E92">
        <v>2.4</v>
      </c>
      <c r="F92">
        <v>1.1399999999999999</v>
      </c>
      <c r="G92">
        <v>0.66</v>
      </c>
      <c r="H92">
        <v>0.02</v>
      </c>
      <c r="I92">
        <v>0.26</v>
      </c>
      <c r="J92" t="s">
        <v>51</v>
      </c>
      <c r="K92">
        <v>14.19</v>
      </c>
      <c r="L92">
        <v>2.91</v>
      </c>
      <c r="M92">
        <v>5.64</v>
      </c>
      <c r="N92">
        <v>31.8096</v>
      </c>
      <c r="O92">
        <v>5</v>
      </c>
      <c r="P92">
        <v>0</v>
      </c>
      <c r="Q92">
        <v>333.94799999999998</v>
      </c>
      <c r="R92">
        <v>4</v>
      </c>
      <c r="S92">
        <v>0</v>
      </c>
      <c r="T92">
        <v>7.6</v>
      </c>
      <c r="U92" t="str">
        <f>IFERROR(INDEX(Rosters!$C$2:$C$155,MATCH(B92,Rosters!$B$2:$B$155,0)),"NA")</f>
        <v>NA</v>
      </c>
      <c r="V92" t="str">
        <f t="shared" si="3"/>
        <v>NA2</v>
      </c>
      <c r="W92">
        <f>COUNTIFS(A$1:A92,A92)</f>
        <v>12</v>
      </c>
      <c r="X92" t="str">
        <f t="shared" si="4"/>
        <v>Bengals D/ST2</v>
      </c>
      <c r="Y92">
        <f>COUNTIF(V$1:V92,V92)</f>
        <v>7</v>
      </c>
      <c r="Z92" t="str">
        <f t="shared" si="5"/>
        <v>NA2-7</v>
      </c>
    </row>
    <row r="93" spans="1:26" x14ac:dyDescent="0.25">
      <c r="A93">
        <v>15</v>
      </c>
      <c r="B93" t="s">
        <v>420</v>
      </c>
      <c r="C93" t="s">
        <v>5467</v>
      </c>
      <c r="D93">
        <v>19.850000000000001</v>
      </c>
      <c r="E93">
        <v>2.3199999999999998</v>
      </c>
      <c r="F93">
        <v>1.2</v>
      </c>
      <c r="G93">
        <v>0.7</v>
      </c>
      <c r="H93">
        <v>0.02</v>
      </c>
      <c r="I93">
        <v>0.24</v>
      </c>
      <c r="J93" t="s">
        <v>36</v>
      </c>
      <c r="K93">
        <v>14.62</v>
      </c>
      <c r="L93">
        <v>2.44</v>
      </c>
      <c r="M93">
        <v>6.09</v>
      </c>
      <c r="N93">
        <v>37.088099999999997</v>
      </c>
      <c r="O93">
        <v>5</v>
      </c>
      <c r="P93">
        <v>0</v>
      </c>
      <c r="Q93">
        <v>333.22</v>
      </c>
      <c r="R93">
        <v>4</v>
      </c>
      <c r="S93">
        <v>0</v>
      </c>
      <c r="T93">
        <v>7.6</v>
      </c>
      <c r="U93" t="str">
        <f>IFERROR(INDEX(Rosters!$C$2:$C$155,MATCH(B93,Rosters!$B$2:$B$155,0)),"NA")</f>
        <v>scott</v>
      </c>
      <c r="V93" t="str">
        <f t="shared" si="3"/>
        <v>scott15</v>
      </c>
      <c r="W93">
        <f>COUNTIFS(A$1:A93,A93)</f>
        <v>7</v>
      </c>
      <c r="X93" t="str">
        <f t="shared" si="4"/>
        <v>Rams D/ST15</v>
      </c>
      <c r="Y93">
        <f>COUNTIF(V$1:V93,V93)</f>
        <v>1</v>
      </c>
      <c r="Z93" t="str">
        <f t="shared" si="5"/>
        <v>scott15-1</v>
      </c>
    </row>
    <row r="94" spans="1:26" x14ac:dyDescent="0.25">
      <c r="A94">
        <v>15</v>
      </c>
      <c r="B94" t="s">
        <v>427</v>
      </c>
      <c r="C94" t="s">
        <v>5468</v>
      </c>
      <c r="D94">
        <v>17.690000000000001</v>
      </c>
      <c r="E94">
        <v>2.38</v>
      </c>
      <c r="F94">
        <v>1.1000000000000001</v>
      </c>
      <c r="G94">
        <v>0.72</v>
      </c>
      <c r="H94">
        <v>0</v>
      </c>
      <c r="I94">
        <v>0.26</v>
      </c>
      <c r="J94" t="s">
        <v>32</v>
      </c>
      <c r="K94">
        <v>15.69</v>
      </c>
      <c r="L94">
        <v>2.57</v>
      </c>
      <c r="M94">
        <v>6.56</v>
      </c>
      <c r="N94">
        <v>43.0336</v>
      </c>
      <c r="O94">
        <v>5</v>
      </c>
      <c r="P94">
        <v>0</v>
      </c>
      <c r="Q94">
        <v>321.988</v>
      </c>
      <c r="R94">
        <v>4</v>
      </c>
      <c r="S94">
        <v>0</v>
      </c>
      <c r="T94">
        <v>7.58</v>
      </c>
      <c r="U94" t="str">
        <f>IFERROR(INDEX(Rosters!$C$2:$C$155,MATCH(B94,Rosters!$B$2:$B$155,0)),"NA")</f>
        <v>aj</v>
      </c>
      <c r="V94" t="str">
        <f t="shared" si="3"/>
        <v>aj15</v>
      </c>
      <c r="W94">
        <f>COUNTIFS(A$1:A94,A94)</f>
        <v>8</v>
      </c>
      <c r="X94" t="str">
        <f t="shared" si="4"/>
        <v>Titans D/ST15</v>
      </c>
      <c r="Y94">
        <f>COUNTIF(V$1:V94,V94)</f>
        <v>1</v>
      </c>
      <c r="Z94" t="str">
        <f t="shared" si="5"/>
        <v>aj15-1</v>
      </c>
    </row>
    <row r="95" spans="1:26" x14ac:dyDescent="0.25">
      <c r="A95">
        <v>8</v>
      </c>
      <c r="B95" t="s">
        <v>416</v>
      </c>
      <c r="C95" t="s">
        <v>5469</v>
      </c>
      <c r="D95">
        <v>18.7</v>
      </c>
      <c r="E95">
        <v>2.52</v>
      </c>
      <c r="F95">
        <v>1.08</v>
      </c>
      <c r="G95">
        <v>0.76</v>
      </c>
      <c r="H95">
        <v>0.02</v>
      </c>
      <c r="I95">
        <v>0.22</v>
      </c>
      <c r="J95" t="s">
        <v>46</v>
      </c>
      <c r="K95">
        <v>15.84</v>
      </c>
      <c r="L95">
        <v>1.78</v>
      </c>
      <c r="M95">
        <v>7.03</v>
      </c>
      <c r="N95">
        <v>49.420900000000003</v>
      </c>
      <c r="O95">
        <v>5</v>
      </c>
      <c r="P95">
        <v>0</v>
      </c>
      <c r="Q95">
        <v>327.24</v>
      </c>
      <c r="R95">
        <v>4</v>
      </c>
      <c r="S95">
        <v>0</v>
      </c>
      <c r="T95">
        <v>7.56</v>
      </c>
      <c r="U95" t="str">
        <f>IFERROR(INDEX(Rosters!$C$2:$C$155,MATCH(B95,Rosters!$B$2:$B$155,0)),"NA")</f>
        <v>lucas</v>
      </c>
      <c r="V95" t="str">
        <f t="shared" si="3"/>
        <v>lucas8</v>
      </c>
      <c r="W95">
        <f>COUNTIFS(A$1:A95,A95)</f>
        <v>6</v>
      </c>
      <c r="X95" t="str">
        <f t="shared" si="4"/>
        <v>Bears D/ST8</v>
      </c>
      <c r="Y95">
        <f>COUNTIF(V$1:V95,V95)</f>
        <v>1</v>
      </c>
      <c r="Z95" t="str">
        <f t="shared" si="5"/>
        <v>lucas8-1</v>
      </c>
    </row>
    <row r="96" spans="1:26" x14ac:dyDescent="0.25">
      <c r="A96">
        <v>1</v>
      </c>
      <c r="B96" t="s">
        <v>427</v>
      </c>
      <c r="C96" t="s">
        <v>1232</v>
      </c>
      <c r="D96">
        <v>17.91</v>
      </c>
      <c r="E96">
        <v>2.76</v>
      </c>
      <c r="F96">
        <v>0.86</v>
      </c>
      <c r="G96">
        <v>0.78</v>
      </c>
      <c r="H96">
        <v>0.04</v>
      </c>
      <c r="I96">
        <v>0.24</v>
      </c>
      <c r="J96" t="s">
        <v>54</v>
      </c>
      <c r="K96">
        <v>14.83</v>
      </c>
      <c r="L96">
        <v>3.59</v>
      </c>
      <c r="M96">
        <v>5.62</v>
      </c>
      <c r="N96">
        <v>31.584399999999999</v>
      </c>
      <c r="O96">
        <v>5</v>
      </c>
      <c r="P96">
        <v>0</v>
      </c>
      <c r="Q96">
        <v>323.13200000000001</v>
      </c>
      <c r="R96">
        <v>4</v>
      </c>
      <c r="S96">
        <v>0</v>
      </c>
      <c r="T96">
        <v>7.56</v>
      </c>
      <c r="U96" t="str">
        <f>IFERROR(INDEX(Rosters!$C$2:$C$155,MATCH(B96,Rosters!$B$2:$B$155,0)),"NA")</f>
        <v>aj</v>
      </c>
      <c r="V96" t="str">
        <f t="shared" si="3"/>
        <v>aj1</v>
      </c>
      <c r="W96">
        <f>COUNTIFS(A$1:A96,A96)</f>
        <v>10</v>
      </c>
      <c r="X96" t="str">
        <f t="shared" si="4"/>
        <v>Titans D/ST1</v>
      </c>
      <c r="Y96">
        <f>COUNTIF(V$1:V96,V96)</f>
        <v>1</v>
      </c>
      <c r="Z96" t="str">
        <f t="shared" si="5"/>
        <v>aj1-1</v>
      </c>
    </row>
    <row r="97" spans="1:26" x14ac:dyDescent="0.25">
      <c r="A97">
        <v>13</v>
      </c>
      <c r="B97" t="s">
        <v>416</v>
      </c>
      <c r="C97" t="s">
        <v>5470</v>
      </c>
      <c r="D97">
        <v>18.82</v>
      </c>
      <c r="E97">
        <v>2.1800000000000002</v>
      </c>
      <c r="F97">
        <v>1.1200000000000001</v>
      </c>
      <c r="G97">
        <v>0.7</v>
      </c>
      <c r="H97">
        <v>0.08</v>
      </c>
      <c r="I97">
        <v>0.26</v>
      </c>
      <c r="J97" t="s">
        <v>32</v>
      </c>
      <c r="K97">
        <v>14.54</v>
      </c>
      <c r="L97">
        <v>3.04</v>
      </c>
      <c r="M97">
        <v>5.75</v>
      </c>
      <c r="N97">
        <v>33.0625</v>
      </c>
      <c r="O97">
        <v>5</v>
      </c>
      <c r="P97">
        <v>0</v>
      </c>
      <c r="Q97">
        <v>327.86399999999998</v>
      </c>
      <c r="R97">
        <v>4</v>
      </c>
      <c r="S97">
        <v>0</v>
      </c>
      <c r="T97">
        <v>7.54</v>
      </c>
      <c r="U97" t="str">
        <f>IFERROR(INDEX(Rosters!$C$2:$C$155,MATCH(B97,Rosters!$B$2:$B$155,0)),"NA")</f>
        <v>lucas</v>
      </c>
      <c r="V97" t="str">
        <f t="shared" si="3"/>
        <v>lucas13</v>
      </c>
      <c r="W97">
        <f>COUNTIFS(A$1:A97,A97)</f>
        <v>5</v>
      </c>
      <c r="X97" t="str">
        <f t="shared" si="4"/>
        <v>Bears D/ST13</v>
      </c>
      <c r="Y97">
        <f>COUNTIF(V$1:V97,V97)</f>
        <v>1</v>
      </c>
      <c r="Z97" t="str">
        <f t="shared" si="5"/>
        <v>lucas13-1</v>
      </c>
    </row>
    <row r="98" spans="1:26" x14ac:dyDescent="0.25">
      <c r="A98">
        <v>14</v>
      </c>
      <c r="B98" t="s">
        <v>421</v>
      </c>
      <c r="C98" t="s">
        <v>5471</v>
      </c>
      <c r="D98">
        <v>23.31</v>
      </c>
      <c r="E98">
        <v>2.2200000000000002</v>
      </c>
      <c r="F98">
        <v>1.1599999999999999</v>
      </c>
      <c r="G98">
        <v>1.02</v>
      </c>
      <c r="H98">
        <v>0.02</v>
      </c>
      <c r="I98">
        <v>0.32</v>
      </c>
      <c r="J98" t="s">
        <v>76</v>
      </c>
      <c r="K98">
        <v>13.65</v>
      </c>
      <c r="L98">
        <v>4.1500000000000004</v>
      </c>
      <c r="M98">
        <v>4.75</v>
      </c>
      <c r="N98">
        <v>22.5625</v>
      </c>
      <c r="O98">
        <v>5</v>
      </c>
      <c r="P98">
        <v>0</v>
      </c>
      <c r="Q98">
        <v>351.21199999999999</v>
      </c>
      <c r="R98">
        <v>5</v>
      </c>
      <c r="S98">
        <v>-1</v>
      </c>
      <c r="T98">
        <v>7.54</v>
      </c>
      <c r="U98" t="str">
        <f>IFERROR(INDEX(Rosters!$C$2:$C$155,MATCH(B98,Rosters!$B$2:$B$155,0)),"NA")</f>
        <v>NA</v>
      </c>
      <c r="V98" t="str">
        <f t="shared" si="3"/>
        <v>NA14</v>
      </c>
      <c r="W98">
        <f>COUNTIFS(A$1:A98,A98)</f>
        <v>7</v>
      </c>
      <c r="X98" t="str">
        <f t="shared" si="4"/>
        <v>Chargers D/ST14</v>
      </c>
      <c r="Y98">
        <f>COUNTIF(V$1:V98,V98)</f>
        <v>4</v>
      </c>
      <c r="Z98" t="str">
        <f t="shared" si="5"/>
        <v>NA14-4</v>
      </c>
    </row>
    <row r="99" spans="1:26" x14ac:dyDescent="0.25">
      <c r="A99">
        <v>12</v>
      </c>
      <c r="B99" t="s">
        <v>434</v>
      </c>
      <c r="C99" t="s">
        <v>5472</v>
      </c>
      <c r="D99">
        <v>20.3</v>
      </c>
      <c r="E99">
        <v>2.2599999999999998</v>
      </c>
      <c r="F99">
        <v>1.18</v>
      </c>
      <c r="G99">
        <v>0.8</v>
      </c>
      <c r="H99">
        <v>0.06</v>
      </c>
      <c r="I99">
        <v>0.2</v>
      </c>
      <c r="J99" t="s">
        <v>76</v>
      </c>
      <c r="K99">
        <v>14.34</v>
      </c>
      <c r="L99">
        <v>2.86</v>
      </c>
      <c r="M99">
        <v>5.74</v>
      </c>
      <c r="N99">
        <v>32.947600000000001</v>
      </c>
      <c r="O99">
        <v>5</v>
      </c>
      <c r="P99">
        <v>0</v>
      </c>
      <c r="Q99">
        <v>335.56</v>
      </c>
      <c r="R99">
        <v>4</v>
      </c>
      <c r="S99">
        <v>0</v>
      </c>
      <c r="T99">
        <v>7.54</v>
      </c>
      <c r="U99" t="str">
        <f>IFERROR(INDEX(Rosters!$C$2:$C$155,MATCH(B99,Rosters!$B$2:$B$155,0)),"NA")</f>
        <v>matty</v>
      </c>
      <c r="V99" t="str">
        <f t="shared" si="3"/>
        <v>matty12</v>
      </c>
      <c r="W99">
        <f>COUNTIFS(A$1:A99,A99)</f>
        <v>5</v>
      </c>
      <c r="X99" t="str">
        <f t="shared" si="4"/>
        <v>Browns D/ST12</v>
      </c>
      <c r="Y99">
        <f>COUNTIF(V$1:V99,V99)</f>
        <v>1</v>
      </c>
      <c r="Z99" t="str">
        <f t="shared" si="5"/>
        <v>matty12-1</v>
      </c>
    </row>
    <row r="100" spans="1:26" x14ac:dyDescent="0.25">
      <c r="A100">
        <v>16</v>
      </c>
      <c r="B100" t="s">
        <v>434</v>
      </c>
      <c r="C100" t="s">
        <v>5472</v>
      </c>
      <c r="D100">
        <v>20.3</v>
      </c>
      <c r="E100">
        <v>2.2599999999999998</v>
      </c>
      <c r="F100">
        <v>1.18</v>
      </c>
      <c r="G100">
        <v>0.8</v>
      </c>
      <c r="H100">
        <v>0.06</v>
      </c>
      <c r="I100">
        <v>0.2</v>
      </c>
      <c r="J100" t="s">
        <v>76</v>
      </c>
      <c r="K100">
        <v>14.34</v>
      </c>
      <c r="L100">
        <v>2.86</v>
      </c>
      <c r="M100">
        <v>5.74</v>
      </c>
      <c r="N100">
        <v>32.947600000000001</v>
      </c>
      <c r="O100">
        <v>5</v>
      </c>
      <c r="P100">
        <v>0</v>
      </c>
      <c r="Q100">
        <v>335.56</v>
      </c>
      <c r="R100">
        <v>4</v>
      </c>
      <c r="S100">
        <v>0</v>
      </c>
      <c r="T100">
        <v>7.54</v>
      </c>
      <c r="U100" t="str">
        <f>IFERROR(INDEX(Rosters!$C$2:$C$155,MATCH(B100,Rosters!$B$2:$B$155,0)),"NA")</f>
        <v>matty</v>
      </c>
      <c r="V100" t="str">
        <f t="shared" si="3"/>
        <v>matty16</v>
      </c>
      <c r="W100">
        <f>COUNTIFS(A$1:A100,A100)</f>
        <v>8</v>
      </c>
      <c r="X100" t="str">
        <f t="shared" si="4"/>
        <v>Browns D/ST16</v>
      </c>
      <c r="Y100">
        <f>COUNTIF(V$1:V100,V100)</f>
        <v>1</v>
      </c>
      <c r="Z100" t="str">
        <f t="shared" si="5"/>
        <v>matty16-1</v>
      </c>
    </row>
    <row r="101" spans="1:26" x14ac:dyDescent="0.25">
      <c r="A101">
        <v>1</v>
      </c>
      <c r="B101" t="s">
        <v>415</v>
      </c>
      <c r="C101" t="s">
        <v>1233</v>
      </c>
      <c r="D101">
        <v>21.84</v>
      </c>
      <c r="E101">
        <v>2.42</v>
      </c>
      <c r="F101">
        <v>1.1200000000000001</v>
      </c>
      <c r="G101">
        <v>0.7</v>
      </c>
      <c r="H101">
        <v>0.02</v>
      </c>
      <c r="I101">
        <v>0.24</v>
      </c>
      <c r="J101" t="s">
        <v>56</v>
      </c>
      <c r="K101">
        <v>13.99</v>
      </c>
      <c r="L101">
        <v>2.39</v>
      </c>
      <c r="M101">
        <v>5.8</v>
      </c>
      <c r="N101">
        <v>33.64</v>
      </c>
      <c r="O101">
        <v>5</v>
      </c>
      <c r="P101">
        <v>0</v>
      </c>
      <c r="Q101">
        <v>343.56799999999998</v>
      </c>
      <c r="R101">
        <v>4</v>
      </c>
      <c r="S101">
        <v>0</v>
      </c>
      <c r="T101">
        <v>7.54</v>
      </c>
      <c r="U101" t="str">
        <f>IFERROR(INDEX(Rosters!$C$2:$C$155,MATCH(B101,Rosters!$B$2:$B$155,0)),"NA")</f>
        <v>NA</v>
      </c>
      <c r="V101" t="str">
        <f t="shared" si="3"/>
        <v>NA1</v>
      </c>
      <c r="W101">
        <f>COUNTIFS(A$1:A101,A101)</f>
        <v>11</v>
      </c>
      <c r="X101" t="str">
        <f t="shared" si="4"/>
        <v>Patriots D/ST1</v>
      </c>
      <c r="Y101">
        <f>COUNTIF(V$1:V101,V101)</f>
        <v>6</v>
      </c>
      <c r="Z101" t="str">
        <f t="shared" si="5"/>
        <v>NA1-6</v>
      </c>
    </row>
    <row r="102" spans="1:26" x14ac:dyDescent="0.25">
      <c r="A102">
        <v>16</v>
      </c>
      <c r="B102" t="s">
        <v>430</v>
      </c>
      <c r="C102" t="s">
        <v>5473</v>
      </c>
      <c r="D102">
        <v>20.93</v>
      </c>
      <c r="E102">
        <v>2.8</v>
      </c>
      <c r="F102">
        <v>1.1000000000000001</v>
      </c>
      <c r="G102">
        <v>0.64</v>
      </c>
      <c r="H102">
        <v>0.02</v>
      </c>
      <c r="I102">
        <v>0.2</v>
      </c>
      <c r="J102" t="s">
        <v>30</v>
      </c>
      <c r="K102">
        <v>14.45</v>
      </c>
      <c r="L102">
        <v>2.91</v>
      </c>
      <c r="M102">
        <v>5.77</v>
      </c>
      <c r="N102">
        <v>33.292900000000003</v>
      </c>
      <c r="O102">
        <v>5</v>
      </c>
      <c r="P102">
        <v>0</v>
      </c>
      <c r="Q102">
        <v>338.83600000000001</v>
      </c>
      <c r="R102">
        <v>4</v>
      </c>
      <c r="S102">
        <v>0</v>
      </c>
      <c r="T102">
        <v>7.52</v>
      </c>
      <c r="U102" t="str">
        <f>IFERROR(INDEX(Rosters!$C$2:$C$155,MATCH(B102,Rosters!$B$2:$B$155,0)),"NA")</f>
        <v>NA</v>
      </c>
      <c r="V102" t="str">
        <f t="shared" si="3"/>
        <v>NA16</v>
      </c>
      <c r="W102">
        <f>COUNTIFS(A$1:A102,A102)</f>
        <v>9</v>
      </c>
      <c r="X102" t="str">
        <f t="shared" si="4"/>
        <v>Jets D/ST16</v>
      </c>
      <c r="Y102">
        <f>COUNTIF(V$1:V102,V102)</f>
        <v>4</v>
      </c>
      <c r="Z102" t="str">
        <f t="shared" si="5"/>
        <v>NA16-4</v>
      </c>
    </row>
    <row r="103" spans="1:26" x14ac:dyDescent="0.25">
      <c r="A103">
        <v>13</v>
      </c>
      <c r="B103" t="s">
        <v>414</v>
      </c>
      <c r="C103" t="s">
        <v>5474</v>
      </c>
      <c r="D103">
        <v>21.41</v>
      </c>
      <c r="E103">
        <v>2.4</v>
      </c>
      <c r="F103">
        <v>0.96</v>
      </c>
      <c r="G103">
        <v>0.76</v>
      </c>
      <c r="H103">
        <v>0.06</v>
      </c>
      <c r="I103">
        <v>0.26</v>
      </c>
      <c r="J103" t="s">
        <v>38</v>
      </c>
      <c r="K103">
        <v>14.53</v>
      </c>
      <c r="L103">
        <v>2.21</v>
      </c>
      <c r="M103">
        <v>6.16</v>
      </c>
      <c r="N103">
        <v>37.945599999999999</v>
      </c>
      <c r="O103">
        <v>5</v>
      </c>
      <c r="P103">
        <v>0</v>
      </c>
      <c r="Q103">
        <v>341.33199999999999</v>
      </c>
      <c r="R103">
        <v>4</v>
      </c>
      <c r="S103">
        <v>0</v>
      </c>
      <c r="T103">
        <v>7.52</v>
      </c>
      <c r="U103" t="str">
        <f>IFERROR(INDEX(Rosters!$C$2:$C$155,MATCH(B103,Rosters!$B$2:$B$155,0)),"NA")</f>
        <v>comp</v>
      </c>
      <c r="V103" t="str">
        <f t="shared" si="3"/>
        <v>comp13</v>
      </c>
      <c r="W103">
        <f>COUNTIFS(A$1:A103,A103)</f>
        <v>6</v>
      </c>
      <c r="X103" t="str">
        <f t="shared" si="4"/>
        <v>Eagles D/ST13</v>
      </c>
      <c r="Y103">
        <f>COUNTIF(V$1:V103,V103)</f>
        <v>1</v>
      </c>
      <c r="Z103" t="str">
        <f t="shared" si="5"/>
        <v>comp13-1</v>
      </c>
    </row>
    <row r="104" spans="1:26" x14ac:dyDescent="0.25">
      <c r="A104">
        <v>17</v>
      </c>
      <c r="B104" t="s">
        <v>414</v>
      </c>
      <c r="C104" t="s">
        <v>5474</v>
      </c>
      <c r="D104">
        <v>21.41</v>
      </c>
      <c r="E104">
        <v>2.4</v>
      </c>
      <c r="F104">
        <v>0.96</v>
      </c>
      <c r="G104">
        <v>0.76</v>
      </c>
      <c r="H104">
        <v>0.06</v>
      </c>
      <c r="I104">
        <v>0.26</v>
      </c>
      <c r="J104" t="s">
        <v>38</v>
      </c>
      <c r="K104">
        <v>14.53</v>
      </c>
      <c r="L104">
        <v>2.21</v>
      </c>
      <c r="M104">
        <v>6.16</v>
      </c>
      <c r="N104">
        <v>37.945599999999999</v>
      </c>
      <c r="O104">
        <v>5</v>
      </c>
      <c r="P104">
        <v>0</v>
      </c>
      <c r="Q104">
        <v>341.33199999999999</v>
      </c>
      <c r="R104">
        <v>4</v>
      </c>
      <c r="S104">
        <v>0</v>
      </c>
      <c r="T104">
        <v>7.52</v>
      </c>
      <c r="U104" t="str">
        <f>IFERROR(INDEX(Rosters!$C$2:$C$155,MATCH(B104,Rosters!$B$2:$B$155,0)),"NA")</f>
        <v>comp</v>
      </c>
      <c r="V104" t="str">
        <f t="shared" si="3"/>
        <v>comp17</v>
      </c>
      <c r="W104">
        <f>COUNTIFS(A$1:A104,A104)</f>
        <v>6</v>
      </c>
      <c r="X104" t="str">
        <f t="shared" si="4"/>
        <v>Eagles D/ST17</v>
      </c>
      <c r="Y104">
        <f>COUNTIF(V$1:V104,V104)</f>
        <v>1</v>
      </c>
      <c r="Z104" t="str">
        <f t="shared" si="5"/>
        <v>comp17-1</v>
      </c>
    </row>
    <row r="105" spans="1:26" x14ac:dyDescent="0.25">
      <c r="A105">
        <v>3</v>
      </c>
      <c r="B105" t="s">
        <v>410</v>
      </c>
      <c r="C105" t="s">
        <v>3893</v>
      </c>
      <c r="D105">
        <v>22.72</v>
      </c>
      <c r="E105">
        <v>2.41</v>
      </c>
      <c r="F105">
        <v>1.07</v>
      </c>
      <c r="G105">
        <v>0.66</v>
      </c>
      <c r="H105">
        <v>0.04</v>
      </c>
      <c r="I105">
        <v>0.26</v>
      </c>
      <c r="J105" t="s">
        <v>14</v>
      </c>
      <c r="K105">
        <v>13.94</v>
      </c>
      <c r="L105">
        <v>1.66</v>
      </c>
      <c r="M105">
        <v>6.14</v>
      </c>
      <c r="N105">
        <v>37.699599999999997</v>
      </c>
      <c r="O105">
        <v>5</v>
      </c>
      <c r="P105">
        <v>0</v>
      </c>
      <c r="Q105">
        <v>348.14400000000001</v>
      </c>
      <c r="R105">
        <v>4</v>
      </c>
      <c r="S105">
        <v>0</v>
      </c>
      <c r="T105">
        <v>7.51</v>
      </c>
      <c r="U105" t="str">
        <f>IFERROR(INDEX(Rosters!$C$2:$C$155,MATCH(B105,Rosters!$B$2:$B$155,0)),"NA")</f>
        <v>NA</v>
      </c>
      <c r="V105" t="str">
        <f t="shared" si="3"/>
        <v>NA3</v>
      </c>
      <c r="W105">
        <f>COUNTIFS(A$1:A105,A105)</f>
        <v>5</v>
      </c>
      <c r="X105" t="str">
        <f t="shared" si="4"/>
        <v>Chiefs D/ST3</v>
      </c>
      <c r="Y105">
        <f>COUNTIF(V$1:V105,V105)</f>
        <v>1</v>
      </c>
      <c r="Z105" t="str">
        <f t="shared" si="5"/>
        <v>NA3-1</v>
      </c>
    </row>
    <row r="106" spans="1:26" x14ac:dyDescent="0.25">
      <c r="A106">
        <v>13</v>
      </c>
      <c r="B106" t="s">
        <v>417</v>
      </c>
      <c r="C106" t="s">
        <v>5475</v>
      </c>
      <c r="D106">
        <v>21.15</v>
      </c>
      <c r="E106">
        <v>2.2999999999999998</v>
      </c>
      <c r="F106">
        <v>1.1399999999999999</v>
      </c>
      <c r="G106">
        <v>0.64</v>
      </c>
      <c r="H106">
        <v>0.04</v>
      </c>
      <c r="I106">
        <v>0.26</v>
      </c>
      <c r="J106" t="s">
        <v>423</v>
      </c>
      <c r="K106">
        <v>13.68</v>
      </c>
      <c r="L106">
        <v>2.48</v>
      </c>
      <c r="M106">
        <v>5.6</v>
      </c>
      <c r="N106">
        <v>31.36</v>
      </c>
      <c r="O106">
        <v>5</v>
      </c>
      <c r="P106">
        <v>0</v>
      </c>
      <c r="Q106">
        <v>339.98</v>
      </c>
      <c r="R106">
        <v>4</v>
      </c>
      <c r="S106">
        <v>0</v>
      </c>
      <c r="T106">
        <v>7.5</v>
      </c>
      <c r="U106" t="str">
        <f>IFERROR(INDEX(Rosters!$C$2:$C$155,MATCH(B106,Rosters!$B$2:$B$155,0)),"NA")</f>
        <v>NA</v>
      </c>
      <c r="V106" t="str">
        <f t="shared" si="3"/>
        <v>NA13</v>
      </c>
      <c r="W106">
        <f>COUNTIFS(A$1:A106,A106)</f>
        <v>7</v>
      </c>
      <c r="X106" t="str">
        <f t="shared" si="4"/>
        <v>Bengals D/ST13</v>
      </c>
      <c r="Y106">
        <f>COUNTIF(V$1:V106,V106)</f>
        <v>3</v>
      </c>
      <c r="Z106" t="str">
        <f t="shared" si="5"/>
        <v>NA13-3</v>
      </c>
    </row>
    <row r="107" spans="1:26" x14ac:dyDescent="0.25">
      <c r="A107">
        <v>5</v>
      </c>
      <c r="B107" t="s">
        <v>420</v>
      </c>
      <c r="C107" t="s">
        <v>9109</v>
      </c>
      <c r="D107">
        <v>20.34</v>
      </c>
      <c r="E107">
        <v>2.14</v>
      </c>
      <c r="F107">
        <v>1.26</v>
      </c>
      <c r="G107">
        <v>0.71</v>
      </c>
      <c r="H107">
        <v>0.04</v>
      </c>
      <c r="I107">
        <v>0.22</v>
      </c>
      <c r="J107" t="s">
        <v>25</v>
      </c>
      <c r="K107">
        <v>13.94</v>
      </c>
      <c r="L107">
        <v>2.54</v>
      </c>
      <c r="M107">
        <v>5.7</v>
      </c>
      <c r="N107">
        <v>32.49</v>
      </c>
      <c r="O107">
        <v>5</v>
      </c>
      <c r="P107">
        <v>0</v>
      </c>
      <c r="Q107">
        <v>335.76799999999997</v>
      </c>
      <c r="R107">
        <v>4</v>
      </c>
      <c r="S107">
        <v>0</v>
      </c>
      <c r="T107">
        <v>7.48</v>
      </c>
      <c r="U107" t="str">
        <f>IFERROR(INDEX(Rosters!$C$2:$C$155,MATCH(B107,Rosters!$B$2:$B$155,0)),"NA")</f>
        <v>scott</v>
      </c>
      <c r="V107" t="str">
        <f t="shared" si="3"/>
        <v>scott5</v>
      </c>
      <c r="W107">
        <f>COUNTIFS(A$1:A107,A107)</f>
        <v>4</v>
      </c>
      <c r="X107" t="str">
        <f t="shared" si="4"/>
        <v>Rams D/ST5</v>
      </c>
      <c r="Y107">
        <f>COUNTIF(V$1:V107,V107)</f>
        <v>1</v>
      </c>
      <c r="Z107" t="str">
        <f t="shared" si="5"/>
        <v>scott5-1</v>
      </c>
    </row>
    <row r="108" spans="1:26" x14ac:dyDescent="0.25">
      <c r="A108">
        <v>12</v>
      </c>
      <c r="B108" t="s">
        <v>415</v>
      </c>
      <c r="C108" t="s">
        <v>5476</v>
      </c>
      <c r="D108">
        <v>21.71</v>
      </c>
      <c r="E108">
        <v>2.12</v>
      </c>
      <c r="F108">
        <v>1.28</v>
      </c>
      <c r="G108">
        <v>0.9</v>
      </c>
      <c r="H108">
        <v>0.02</v>
      </c>
      <c r="I108">
        <v>0.16</v>
      </c>
      <c r="J108" t="s">
        <v>46</v>
      </c>
      <c r="K108">
        <v>13.86</v>
      </c>
      <c r="L108">
        <v>2.66</v>
      </c>
      <c r="M108">
        <v>5.6</v>
      </c>
      <c r="N108">
        <v>31.36</v>
      </c>
      <c r="O108">
        <v>5</v>
      </c>
      <c r="P108">
        <v>0</v>
      </c>
      <c r="Q108">
        <v>342.892</v>
      </c>
      <c r="R108">
        <v>4</v>
      </c>
      <c r="S108">
        <v>0</v>
      </c>
      <c r="T108">
        <v>7.48</v>
      </c>
      <c r="U108" t="str">
        <f>IFERROR(INDEX(Rosters!$C$2:$C$155,MATCH(B108,Rosters!$B$2:$B$155,0)),"NA")</f>
        <v>NA</v>
      </c>
      <c r="V108" t="str">
        <f t="shared" si="3"/>
        <v>NA12</v>
      </c>
      <c r="W108">
        <f>COUNTIFS(A$1:A108,A108)</f>
        <v>6</v>
      </c>
      <c r="X108" t="str">
        <f t="shared" si="4"/>
        <v>Patriots D/ST12</v>
      </c>
      <c r="Y108">
        <f>COUNTIF(V$1:V108,V108)</f>
        <v>3</v>
      </c>
      <c r="Z108" t="str">
        <f t="shared" si="5"/>
        <v>NA12-3</v>
      </c>
    </row>
    <row r="109" spans="1:26" x14ac:dyDescent="0.25">
      <c r="A109">
        <v>17</v>
      </c>
      <c r="B109" t="s">
        <v>415</v>
      </c>
      <c r="C109" t="s">
        <v>5476</v>
      </c>
      <c r="D109">
        <v>21.71</v>
      </c>
      <c r="E109">
        <v>2.12</v>
      </c>
      <c r="F109">
        <v>1.28</v>
      </c>
      <c r="G109">
        <v>0.9</v>
      </c>
      <c r="H109">
        <v>0.02</v>
      </c>
      <c r="I109">
        <v>0.16</v>
      </c>
      <c r="J109" t="s">
        <v>46</v>
      </c>
      <c r="K109">
        <v>13.86</v>
      </c>
      <c r="L109">
        <v>2.66</v>
      </c>
      <c r="M109">
        <v>5.6</v>
      </c>
      <c r="N109">
        <v>31.36</v>
      </c>
      <c r="O109">
        <v>5</v>
      </c>
      <c r="P109">
        <v>0</v>
      </c>
      <c r="Q109">
        <v>342.892</v>
      </c>
      <c r="R109">
        <v>4</v>
      </c>
      <c r="S109">
        <v>0</v>
      </c>
      <c r="T109">
        <v>7.48</v>
      </c>
      <c r="U109" t="str">
        <f>IFERROR(INDEX(Rosters!$C$2:$C$155,MATCH(B109,Rosters!$B$2:$B$155,0)),"NA")</f>
        <v>NA</v>
      </c>
      <c r="V109" t="str">
        <f t="shared" si="3"/>
        <v>NA17</v>
      </c>
      <c r="W109">
        <f>COUNTIFS(A$1:A109,A109)</f>
        <v>7</v>
      </c>
      <c r="X109" t="str">
        <f t="shared" si="4"/>
        <v>Patriots D/ST17</v>
      </c>
      <c r="Y109">
        <f>COUNTIF(V$1:V109,V109)</f>
        <v>4</v>
      </c>
      <c r="Z109" t="str">
        <f t="shared" si="5"/>
        <v>NA17-4</v>
      </c>
    </row>
    <row r="110" spans="1:26" x14ac:dyDescent="0.25">
      <c r="A110">
        <v>13</v>
      </c>
      <c r="B110" t="s">
        <v>422</v>
      </c>
      <c r="C110" t="s">
        <v>5477</v>
      </c>
      <c r="D110">
        <v>18.21</v>
      </c>
      <c r="E110">
        <v>2.34</v>
      </c>
      <c r="F110">
        <v>0.94</v>
      </c>
      <c r="G110">
        <v>0.86</v>
      </c>
      <c r="H110">
        <v>0.04</v>
      </c>
      <c r="I110">
        <v>0.24</v>
      </c>
      <c r="J110" t="s">
        <v>24</v>
      </c>
      <c r="K110">
        <v>14.74</v>
      </c>
      <c r="L110">
        <v>3.64</v>
      </c>
      <c r="M110">
        <v>5.55</v>
      </c>
      <c r="N110">
        <v>30.802499999999998</v>
      </c>
      <c r="O110">
        <v>5</v>
      </c>
      <c r="P110">
        <v>0</v>
      </c>
      <c r="Q110">
        <v>324.69200000000001</v>
      </c>
      <c r="R110">
        <v>4</v>
      </c>
      <c r="S110">
        <v>0</v>
      </c>
      <c r="T110">
        <v>7.46</v>
      </c>
      <c r="U110" t="str">
        <f>IFERROR(INDEX(Rosters!$C$2:$C$155,MATCH(B110,Rosters!$B$2:$B$155,0)),"NA")</f>
        <v>NA</v>
      </c>
      <c r="V110" t="str">
        <f t="shared" si="3"/>
        <v>NA13</v>
      </c>
      <c r="W110">
        <f>COUNTIFS(A$1:A110,A110)</f>
        <v>8</v>
      </c>
      <c r="X110" t="str">
        <f t="shared" si="4"/>
        <v>Dolphins D/ST13</v>
      </c>
      <c r="Y110">
        <f>COUNTIF(V$1:V110,V110)</f>
        <v>4</v>
      </c>
      <c r="Z110" t="str">
        <f t="shared" si="5"/>
        <v>NA13-4</v>
      </c>
    </row>
    <row r="111" spans="1:26" x14ac:dyDescent="0.25">
      <c r="A111">
        <v>17</v>
      </c>
      <c r="B111" t="s">
        <v>422</v>
      </c>
      <c r="C111" t="s">
        <v>5477</v>
      </c>
      <c r="D111">
        <v>18.21</v>
      </c>
      <c r="E111">
        <v>2.34</v>
      </c>
      <c r="F111">
        <v>0.94</v>
      </c>
      <c r="G111">
        <v>0.86</v>
      </c>
      <c r="H111">
        <v>0.04</v>
      </c>
      <c r="I111">
        <v>0.24</v>
      </c>
      <c r="J111" t="s">
        <v>24</v>
      </c>
      <c r="K111">
        <v>14.74</v>
      </c>
      <c r="L111">
        <v>3.64</v>
      </c>
      <c r="M111">
        <v>5.55</v>
      </c>
      <c r="N111">
        <v>30.802499999999998</v>
      </c>
      <c r="O111">
        <v>5</v>
      </c>
      <c r="P111">
        <v>0</v>
      </c>
      <c r="Q111">
        <v>324.69200000000001</v>
      </c>
      <c r="R111">
        <v>4</v>
      </c>
      <c r="S111">
        <v>0</v>
      </c>
      <c r="T111">
        <v>7.46</v>
      </c>
      <c r="U111" t="str">
        <f>IFERROR(INDEX(Rosters!$C$2:$C$155,MATCH(B111,Rosters!$B$2:$B$155,0)),"NA")</f>
        <v>NA</v>
      </c>
      <c r="V111" t="str">
        <f t="shared" si="3"/>
        <v>NA17</v>
      </c>
      <c r="W111">
        <f>COUNTIFS(A$1:A111,A111)</f>
        <v>8</v>
      </c>
      <c r="X111" t="str">
        <f t="shared" si="4"/>
        <v>Dolphins D/ST17</v>
      </c>
      <c r="Y111">
        <f>COUNTIF(V$1:V111,V111)</f>
        <v>5</v>
      </c>
      <c r="Z111" t="str">
        <f t="shared" si="5"/>
        <v>NA17-5</v>
      </c>
    </row>
    <row r="112" spans="1:26" x14ac:dyDescent="0.25">
      <c r="A112">
        <v>16</v>
      </c>
      <c r="B112" t="s">
        <v>429</v>
      </c>
      <c r="C112" t="s">
        <v>5478</v>
      </c>
      <c r="D112">
        <v>22.24</v>
      </c>
      <c r="E112">
        <v>2.2999999999999998</v>
      </c>
      <c r="F112">
        <v>1.1000000000000001</v>
      </c>
      <c r="G112">
        <v>0.68</v>
      </c>
      <c r="H112">
        <v>0.02</v>
      </c>
      <c r="I112">
        <v>0.26</v>
      </c>
      <c r="J112" t="s">
        <v>22</v>
      </c>
      <c r="K112">
        <v>14.06</v>
      </c>
      <c r="L112">
        <v>1.58</v>
      </c>
      <c r="M112">
        <v>6.24</v>
      </c>
      <c r="N112">
        <v>38.937600000000003</v>
      </c>
      <c r="O112">
        <v>5</v>
      </c>
      <c r="P112">
        <v>0</v>
      </c>
      <c r="Q112">
        <v>345.64800000000002</v>
      </c>
      <c r="R112">
        <v>4</v>
      </c>
      <c r="S112">
        <v>0</v>
      </c>
      <c r="T112">
        <v>7.46</v>
      </c>
      <c r="U112" t="str">
        <f>IFERROR(INDEX(Rosters!$C$2:$C$155,MATCH(B112,Rosters!$B$2:$B$155,0)),"NA")</f>
        <v>NA</v>
      </c>
      <c r="V112" t="str">
        <f t="shared" si="3"/>
        <v>NA16</v>
      </c>
      <c r="W112">
        <f>COUNTIFS(A$1:A112,A112)</f>
        <v>10</v>
      </c>
      <c r="X112" t="str">
        <f t="shared" si="4"/>
        <v>Redskins D/ST16</v>
      </c>
      <c r="Y112">
        <f>COUNTIF(V$1:V112,V112)</f>
        <v>5</v>
      </c>
      <c r="Z112" t="str">
        <f t="shared" si="5"/>
        <v>NA16-5</v>
      </c>
    </row>
    <row r="113" spans="1:26" x14ac:dyDescent="0.25">
      <c r="A113">
        <v>15</v>
      </c>
      <c r="B113" t="s">
        <v>406</v>
      </c>
      <c r="C113" t="s">
        <v>5479</v>
      </c>
      <c r="D113">
        <v>16.79</v>
      </c>
      <c r="E113">
        <v>2.34</v>
      </c>
      <c r="F113">
        <v>0.9</v>
      </c>
      <c r="G113">
        <v>0.8</v>
      </c>
      <c r="H113">
        <v>0.06</v>
      </c>
      <c r="I113">
        <v>0.1</v>
      </c>
      <c r="J113" t="s">
        <v>54</v>
      </c>
      <c r="K113">
        <v>13.6</v>
      </c>
      <c r="L113">
        <v>2.72</v>
      </c>
      <c r="M113">
        <v>5.44</v>
      </c>
      <c r="N113">
        <v>29.593599999999999</v>
      </c>
      <c r="O113">
        <v>4</v>
      </c>
      <c r="P113">
        <v>1</v>
      </c>
      <c r="Q113">
        <v>317.30799999999999</v>
      </c>
      <c r="R113">
        <v>4</v>
      </c>
      <c r="S113">
        <v>0</v>
      </c>
      <c r="T113">
        <v>7.46</v>
      </c>
      <c r="U113" t="str">
        <f>IFERROR(INDEX(Rosters!$C$2:$C$155,MATCH(B113,Rosters!$B$2:$B$155,0)),"NA")</f>
        <v>seth</v>
      </c>
      <c r="V113" t="str">
        <f t="shared" si="3"/>
        <v>seth15</v>
      </c>
      <c r="W113">
        <f>COUNTIFS(A$1:A113,A113)</f>
        <v>9</v>
      </c>
      <c r="X113" t="str">
        <f t="shared" si="4"/>
        <v>Vikings D/ST15</v>
      </c>
      <c r="Y113">
        <f>COUNTIF(V$1:V113,V113)</f>
        <v>1</v>
      </c>
      <c r="Z113" t="str">
        <f t="shared" si="5"/>
        <v>seth15-1</v>
      </c>
    </row>
    <row r="114" spans="1:26" x14ac:dyDescent="0.25">
      <c r="A114">
        <v>4</v>
      </c>
      <c r="B114" t="s">
        <v>421</v>
      </c>
      <c r="C114" t="s">
        <v>5006</v>
      </c>
      <c r="D114">
        <v>24.07</v>
      </c>
      <c r="E114">
        <v>3.22</v>
      </c>
      <c r="F114">
        <v>1.34</v>
      </c>
      <c r="G114">
        <v>0.55000000000000004</v>
      </c>
      <c r="H114">
        <v>0.03</v>
      </c>
      <c r="I114">
        <v>0.23</v>
      </c>
      <c r="J114" t="s">
        <v>14</v>
      </c>
      <c r="K114">
        <v>16.420000000000002</v>
      </c>
      <c r="L114">
        <v>0.96</v>
      </c>
      <c r="M114">
        <v>7.73</v>
      </c>
      <c r="N114">
        <v>59.752899999999997</v>
      </c>
      <c r="O114">
        <v>5</v>
      </c>
      <c r="P114">
        <v>0</v>
      </c>
      <c r="Q114">
        <v>355.16399999999999</v>
      </c>
      <c r="R114">
        <v>5</v>
      </c>
      <c r="S114">
        <v>-1</v>
      </c>
      <c r="T114">
        <v>7.44</v>
      </c>
      <c r="U114" t="str">
        <f>IFERROR(INDEX(Rosters!$C$2:$C$155,MATCH(B114,Rosters!$B$2:$B$155,0)),"NA")</f>
        <v>NA</v>
      </c>
      <c r="V114" t="str">
        <f t="shared" si="3"/>
        <v>NA4</v>
      </c>
      <c r="W114">
        <f>COUNTIFS(A$1:A114,A114)</f>
        <v>5</v>
      </c>
      <c r="X114" t="str">
        <f t="shared" si="4"/>
        <v>Chargers D/ST4</v>
      </c>
      <c r="Y114">
        <f>COUNTIF(V$1:V114,V114)</f>
        <v>3</v>
      </c>
      <c r="Z114" t="str">
        <f t="shared" si="5"/>
        <v>NA4-3</v>
      </c>
    </row>
    <row r="115" spans="1:26" x14ac:dyDescent="0.25">
      <c r="A115">
        <v>12</v>
      </c>
      <c r="B115" t="s">
        <v>424</v>
      </c>
      <c r="C115" t="s">
        <v>5480</v>
      </c>
      <c r="D115">
        <v>19.829999999999998</v>
      </c>
      <c r="E115">
        <v>2.72</v>
      </c>
      <c r="F115">
        <v>1.1000000000000001</v>
      </c>
      <c r="G115">
        <v>0.6</v>
      </c>
      <c r="H115">
        <v>0</v>
      </c>
      <c r="I115">
        <v>0.22</v>
      </c>
      <c r="J115" t="s">
        <v>423</v>
      </c>
      <c r="K115">
        <v>13.87</v>
      </c>
      <c r="L115">
        <v>3.03</v>
      </c>
      <c r="M115">
        <v>5.42</v>
      </c>
      <c r="N115">
        <v>29.3764</v>
      </c>
      <c r="O115">
        <v>5</v>
      </c>
      <c r="P115">
        <v>0</v>
      </c>
      <c r="Q115">
        <v>333.11599999999999</v>
      </c>
      <c r="R115">
        <v>4</v>
      </c>
      <c r="S115">
        <v>0</v>
      </c>
      <c r="T115">
        <v>7.44</v>
      </c>
      <c r="U115" t="str">
        <f>IFERROR(INDEX(Rosters!$C$2:$C$155,MATCH(B115,Rosters!$B$2:$B$155,0)),"NA")</f>
        <v>NA</v>
      </c>
      <c r="V115" t="str">
        <f t="shared" si="3"/>
        <v>NA12</v>
      </c>
      <c r="W115">
        <f>COUNTIFS(A$1:A115,A115)</f>
        <v>7</v>
      </c>
      <c r="X115" t="str">
        <f t="shared" si="4"/>
        <v>Steelers D/ST12</v>
      </c>
      <c r="Y115">
        <f>COUNTIF(V$1:V115,V115)</f>
        <v>4</v>
      </c>
      <c r="Z115" t="str">
        <f t="shared" si="5"/>
        <v>NA12-4</v>
      </c>
    </row>
    <row r="116" spans="1:26" x14ac:dyDescent="0.25">
      <c r="A116">
        <v>9</v>
      </c>
      <c r="B116" t="s">
        <v>413</v>
      </c>
      <c r="C116" t="s">
        <v>5481</v>
      </c>
      <c r="D116">
        <v>20.71</v>
      </c>
      <c r="E116">
        <v>2.62</v>
      </c>
      <c r="F116">
        <v>1.26</v>
      </c>
      <c r="G116">
        <v>0.56000000000000005</v>
      </c>
      <c r="H116">
        <v>0.04</v>
      </c>
      <c r="I116">
        <v>0.18</v>
      </c>
      <c r="J116" t="s">
        <v>74</v>
      </c>
      <c r="K116">
        <v>14.28</v>
      </c>
      <c r="L116">
        <v>2.74</v>
      </c>
      <c r="M116">
        <v>5.77</v>
      </c>
      <c r="N116">
        <v>33.292900000000003</v>
      </c>
      <c r="O116">
        <v>5</v>
      </c>
      <c r="P116">
        <v>0</v>
      </c>
      <c r="Q116">
        <v>337.69200000000001</v>
      </c>
      <c r="R116">
        <v>4</v>
      </c>
      <c r="S116">
        <v>0</v>
      </c>
      <c r="T116">
        <v>7.42</v>
      </c>
      <c r="U116" t="str">
        <f>IFERROR(INDEX(Rosters!$C$2:$C$155,MATCH(B116,Rosters!$B$2:$B$155,0)),"NA")</f>
        <v>cory</v>
      </c>
      <c r="V116" t="str">
        <f t="shared" si="3"/>
        <v>cory9</v>
      </c>
      <c r="W116">
        <f>COUNTIFS(A$1:A116,A116)</f>
        <v>6</v>
      </c>
      <c r="X116" t="str">
        <f t="shared" si="4"/>
        <v>Panthers D/ST9</v>
      </c>
      <c r="Y116">
        <f>COUNTIF(V$1:V116,V116)</f>
        <v>1</v>
      </c>
      <c r="Z116" t="str">
        <f t="shared" si="5"/>
        <v>cory9-1</v>
      </c>
    </row>
    <row r="117" spans="1:26" x14ac:dyDescent="0.25">
      <c r="A117">
        <v>13</v>
      </c>
      <c r="B117" t="s">
        <v>413</v>
      </c>
      <c r="C117" t="s">
        <v>5481</v>
      </c>
      <c r="D117">
        <v>20.71</v>
      </c>
      <c r="E117">
        <v>2.62</v>
      </c>
      <c r="F117">
        <v>1.26</v>
      </c>
      <c r="G117">
        <v>0.56000000000000005</v>
      </c>
      <c r="H117">
        <v>0.04</v>
      </c>
      <c r="I117">
        <v>0.18</v>
      </c>
      <c r="J117" t="s">
        <v>74</v>
      </c>
      <c r="K117">
        <v>14.28</v>
      </c>
      <c r="L117">
        <v>2.74</v>
      </c>
      <c r="M117">
        <v>5.77</v>
      </c>
      <c r="N117">
        <v>33.292900000000003</v>
      </c>
      <c r="O117">
        <v>5</v>
      </c>
      <c r="P117">
        <v>0</v>
      </c>
      <c r="Q117">
        <v>337.69200000000001</v>
      </c>
      <c r="R117">
        <v>4</v>
      </c>
      <c r="S117">
        <v>0</v>
      </c>
      <c r="T117">
        <v>7.42</v>
      </c>
      <c r="U117" t="str">
        <f>IFERROR(INDEX(Rosters!$C$2:$C$155,MATCH(B117,Rosters!$B$2:$B$155,0)),"NA")</f>
        <v>cory</v>
      </c>
      <c r="V117" t="str">
        <f t="shared" si="3"/>
        <v>cory13</v>
      </c>
      <c r="W117">
        <f>COUNTIFS(A$1:A117,A117)</f>
        <v>9</v>
      </c>
      <c r="X117" t="str">
        <f t="shared" si="4"/>
        <v>Panthers D/ST13</v>
      </c>
      <c r="Y117">
        <f>COUNTIF(V$1:V117,V117)</f>
        <v>1</v>
      </c>
      <c r="Z117" t="str">
        <f t="shared" si="5"/>
        <v>cory13-1</v>
      </c>
    </row>
    <row r="118" spans="1:26" x14ac:dyDescent="0.25">
      <c r="A118">
        <v>8</v>
      </c>
      <c r="B118" t="s">
        <v>409</v>
      </c>
      <c r="C118" t="s">
        <v>5482</v>
      </c>
      <c r="D118">
        <v>19.3</v>
      </c>
      <c r="E118">
        <v>2.34</v>
      </c>
      <c r="F118">
        <v>1.24</v>
      </c>
      <c r="G118">
        <v>0.68</v>
      </c>
      <c r="H118">
        <v>0.06</v>
      </c>
      <c r="I118">
        <v>0.18</v>
      </c>
      <c r="J118" t="s">
        <v>14</v>
      </c>
      <c r="K118">
        <v>14.29</v>
      </c>
      <c r="L118">
        <v>2.29</v>
      </c>
      <c r="M118">
        <v>6</v>
      </c>
      <c r="N118">
        <v>36</v>
      </c>
      <c r="O118">
        <v>5</v>
      </c>
      <c r="P118">
        <v>0</v>
      </c>
      <c r="Q118">
        <v>330.36</v>
      </c>
      <c r="R118">
        <v>4</v>
      </c>
      <c r="S118">
        <v>0</v>
      </c>
      <c r="T118">
        <v>7.38</v>
      </c>
      <c r="U118" t="str">
        <f>IFERROR(INDEX(Rosters!$C$2:$C$155,MATCH(B118,Rosters!$B$2:$B$155,0)),"NA")</f>
        <v>NA</v>
      </c>
      <c r="V118" t="str">
        <f t="shared" si="3"/>
        <v>NA8</v>
      </c>
      <c r="W118">
        <f>COUNTIFS(A$1:A118,A118)</f>
        <v>7</v>
      </c>
      <c r="X118" t="str">
        <f t="shared" si="4"/>
        <v>Cardinals D/ST8</v>
      </c>
      <c r="Y118">
        <f>COUNTIF(V$1:V118,V118)</f>
        <v>4</v>
      </c>
      <c r="Z118" t="str">
        <f t="shared" si="5"/>
        <v>NA8-4</v>
      </c>
    </row>
    <row r="119" spans="1:26" x14ac:dyDescent="0.25">
      <c r="A119">
        <v>7</v>
      </c>
      <c r="B119" t="s">
        <v>428</v>
      </c>
      <c r="C119" t="s">
        <v>5483</v>
      </c>
      <c r="D119">
        <v>22.67</v>
      </c>
      <c r="E119">
        <v>2.42</v>
      </c>
      <c r="F119">
        <v>1.04</v>
      </c>
      <c r="G119">
        <v>0.6</v>
      </c>
      <c r="H119">
        <v>0.06</v>
      </c>
      <c r="I119">
        <v>0.26</v>
      </c>
      <c r="J119" t="s">
        <v>17</v>
      </c>
      <c r="K119">
        <v>13.63</v>
      </c>
      <c r="L119">
        <v>2.4300000000000002</v>
      </c>
      <c r="M119">
        <v>5.6</v>
      </c>
      <c r="N119">
        <v>31.36</v>
      </c>
      <c r="O119">
        <v>5</v>
      </c>
      <c r="P119">
        <v>0</v>
      </c>
      <c r="Q119">
        <v>347.88400000000001</v>
      </c>
      <c r="R119">
        <v>4</v>
      </c>
      <c r="S119">
        <v>0</v>
      </c>
      <c r="T119">
        <v>7.38</v>
      </c>
      <c r="U119" t="str">
        <f>IFERROR(INDEX(Rosters!$C$2:$C$155,MATCH(B119,Rosters!$B$2:$B$155,0)),"NA")</f>
        <v>NA</v>
      </c>
      <c r="V119" t="str">
        <f t="shared" si="3"/>
        <v>NA7</v>
      </c>
      <c r="W119">
        <f>COUNTIFS(A$1:A119,A119)</f>
        <v>6</v>
      </c>
      <c r="X119" t="str">
        <f t="shared" si="4"/>
        <v>Buccaneers D/ST7</v>
      </c>
      <c r="Y119">
        <f>COUNTIF(V$1:V119,V119)</f>
        <v>4</v>
      </c>
      <c r="Z119" t="str">
        <f t="shared" si="5"/>
        <v>NA7-4</v>
      </c>
    </row>
    <row r="120" spans="1:26" x14ac:dyDescent="0.25">
      <c r="A120">
        <v>7</v>
      </c>
      <c r="B120" t="s">
        <v>435</v>
      </c>
      <c r="C120" t="s">
        <v>5484</v>
      </c>
      <c r="D120">
        <v>22.65</v>
      </c>
      <c r="E120">
        <v>2.2000000000000002</v>
      </c>
      <c r="F120">
        <v>1.04</v>
      </c>
      <c r="G120">
        <v>0.78</v>
      </c>
      <c r="H120">
        <v>0.04</v>
      </c>
      <c r="I120">
        <v>0.24</v>
      </c>
      <c r="J120" t="s">
        <v>54</v>
      </c>
      <c r="K120">
        <v>13.91</v>
      </c>
      <c r="L120">
        <v>1.89</v>
      </c>
      <c r="M120">
        <v>6.01</v>
      </c>
      <c r="N120">
        <v>36.120100000000001</v>
      </c>
      <c r="O120">
        <v>5</v>
      </c>
      <c r="P120">
        <v>0</v>
      </c>
      <c r="Q120">
        <v>347.78</v>
      </c>
      <c r="R120">
        <v>4</v>
      </c>
      <c r="S120">
        <v>0</v>
      </c>
      <c r="T120">
        <v>7.36</v>
      </c>
      <c r="U120" t="str">
        <f>IFERROR(INDEX(Rosters!$C$2:$C$155,MATCH(B120,Rosters!$B$2:$B$155,0)),"NA")</f>
        <v>NA</v>
      </c>
      <c r="V120" t="str">
        <f t="shared" si="3"/>
        <v>NA7</v>
      </c>
      <c r="W120">
        <f>COUNTIFS(A$1:A120,A120)</f>
        <v>7</v>
      </c>
      <c r="X120" t="str">
        <f t="shared" si="4"/>
        <v>Lions D/ST7</v>
      </c>
      <c r="Y120">
        <f>COUNTIF(V$1:V120,V120)</f>
        <v>5</v>
      </c>
      <c r="Z120" t="str">
        <f t="shared" si="5"/>
        <v>NA7-5</v>
      </c>
    </row>
    <row r="121" spans="1:26" x14ac:dyDescent="0.25">
      <c r="A121">
        <v>16</v>
      </c>
      <c r="B121" t="s">
        <v>432</v>
      </c>
      <c r="C121" t="s">
        <v>5485</v>
      </c>
      <c r="D121">
        <v>20.239999999999998</v>
      </c>
      <c r="E121">
        <v>2.48</v>
      </c>
      <c r="F121">
        <v>1.04</v>
      </c>
      <c r="G121">
        <v>0.62</v>
      </c>
      <c r="H121">
        <v>0</v>
      </c>
      <c r="I121">
        <v>0.26</v>
      </c>
      <c r="J121" t="s">
        <v>32</v>
      </c>
      <c r="K121">
        <v>13.9</v>
      </c>
      <c r="L121">
        <v>2.66</v>
      </c>
      <c r="M121">
        <v>5.62</v>
      </c>
      <c r="N121">
        <v>31.584399999999999</v>
      </c>
      <c r="O121">
        <v>5</v>
      </c>
      <c r="P121">
        <v>0</v>
      </c>
      <c r="Q121">
        <v>335.24799999999999</v>
      </c>
      <c r="R121">
        <v>4</v>
      </c>
      <c r="S121">
        <v>0</v>
      </c>
      <c r="T121">
        <v>7.36</v>
      </c>
      <c r="U121" t="str">
        <f>IFERROR(INDEX(Rosters!$C$2:$C$155,MATCH(B121,Rosters!$B$2:$B$155,0)),"NA")</f>
        <v>NA</v>
      </c>
      <c r="V121" t="str">
        <f t="shared" si="3"/>
        <v>NA16</v>
      </c>
      <c r="W121">
        <f>COUNTIFS(A$1:A121,A121)</f>
        <v>11</v>
      </c>
      <c r="X121" t="str">
        <f t="shared" si="4"/>
        <v>Colts D/ST16</v>
      </c>
      <c r="Y121">
        <f>COUNTIF(V$1:V121,V121)</f>
        <v>6</v>
      </c>
      <c r="Z121" t="str">
        <f t="shared" si="5"/>
        <v>NA16-6</v>
      </c>
    </row>
    <row r="122" spans="1:26" x14ac:dyDescent="0.25">
      <c r="A122">
        <v>6</v>
      </c>
      <c r="B122" t="s">
        <v>416</v>
      </c>
      <c r="C122" t="s">
        <v>5486</v>
      </c>
      <c r="D122">
        <v>17.600000000000001</v>
      </c>
      <c r="E122">
        <v>2.5</v>
      </c>
      <c r="F122">
        <v>0.8</v>
      </c>
      <c r="G122">
        <v>0.86</v>
      </c>
      <c r="H122">
        <v>0.04</v>
      </c>
      <c r="I122">
        <v>0.24</v>
      </c>
      <c r="J122" t="s">
        <v>54</v>
      </c>
      <c r="K122">
        <v>15.37</v>
      </c>
      <c r="L122">
        <v>2.5099999999999998</v>
      </c>
      <c r="M122">
        <v>6.43</v>
      </c>
      <c r="N122">
        <v>41.344900000000003</v>
      </c>
      <c r="O122">
        <v>5</v>
      </c>
      <c r="P122">
        <v>0</v>
      </c>
      <c r="Q122">
        <v>321.52</v>
      </c>
      <c r="R122">
        <v>4</v>
      </c>
      <c r="S122">
        <v>0</v>
      </c>
      <c r="T122">
        <v>7.34</v>
      </c>
      <c r="U122" t="str">
        <f>IFERROR(INDEX(Rosters!$C$2:$C$155,MATCH(B122,Rosters!$B$2:$B$155,0)),"NA")</f>
        <v>lucas</v>
      </c>
      <c r="V122" t="str">
        <f t="shared" si="3"/>
        <v>lucas6</v>
      </c>
      <c r="W122">
        <f>COUNTIFS(A$1:A122,A122)</f>
        <v>7</v>
      </c>
      <c r="X122" t="str">
        <f t="shared" si="4"/>
        <v>Bears D/ST6</v>
      </c>
      <c r="Y122">
        <f>COUNTIF(V$1:V122,V122)</f>
        <v>2</v>
      </c>
      <c r="Z122" t="str">
        <f t="shared" si="5"/>
        <v>lucas6-2</v>
      </c>
    </row>
    <row r="123" spans="1:26" x14ac:dyDescent="0.25">
      <c r="A123">
        <v>5</v>
      </c>
      <c r="B123" t="s">
        <v>415</v>
      </c>
      <c r="C123" t="s">
        <v>9110</v>
      </c>
      <c r="D123">
        <v>23.08</v>
      </c>
      <c r="E123">
        <v>2.8</v>
      </c>
      <c r="F123">
        <v>1.45</v>
      </c>
      <c r="G123">
        <v>0.88</v>
      </c>
      <c r="H123">
        <v>0.02</v>
      </c>
      <c r="I123">
        <v>0.14000000000000001</v>
      </c>
      <c r="J123" t="s">
        <v>41</v>
      </c>
      <c r="K123">
        <v>15.93</v>
      </c>
      <c r="L123">
        <v>1.59</v>
      </c>
      <c r="M123">
        <v>7.17</v>
      </c>
      <c r="N123">
        <v>51.408900000000003</v>
      </c>
      <c r="O123">
        <v>5</v>
      </c>
      <c r="P123">
        <v>0</v>
      </c>
      <c r="Q123">
        <v>350.01600000000002</v>
      </c>
      <c r="R123">
        <v>5</v>
      </c>
      <c r="S123">
        <v>-1</v>
      </c>
      <c r="T123">
        <v>7.34</v>
      </c>
      <c r="U123" t="str">
        <f>IFERROR(INDEX(Rosters!$C$2:$C$155,MATCH(B123,Rosters!$B$2:$B$155,0)),"NA")</f>
        <v>NA</v>
      </c>
      <c r="V123" t="str">
        <f t="shared" si="3"/>
        <v>NA5</v>
      </c>
      <c r="W123">
        <f>COUNTIFS(A$1:A123,A123)</f>
        <v>5</v>
      </c>
      <c r="X123" t="str">
        <f t="shared" si="4"/>
        <v>Patriots D/ST5</v>
      </c>
      <c r="Y123">
        <f>COUNTIF(V$1:V123,V123)</f>
        <v>2</v>
      </c>
      <c r="Z123" t="str">
        <f t="shared" si="5"/>
        <v>NA5-2</v>
      </c>
    </row>
    <row r="124" spans="1:26" x14ac:dyDescent="0.25">
      <c r="A124">
        <v>13</v>
      </c>
      <c r="B124" t="s">
        <v>405</v>
      </c>
      <c r="C124" t="s">
        <v>5487</v>
      </c>
      <c r="D124">
        <v>21.21</v>
      </c>
      <c r="E124">
        <v>2.75</v>
      </c>
      <c r="F124">
        <v>0.84</v>
      </c>
      <c r="G124">
        <v>0.77</v>
      </c>
      <c r="H124">
        <v>0.02</v>
      </c>
      <c r="I124">
        <v>0.22</v>
      </c>
      <c r="J124" t="s">
        <v>17</v>
      </c>
      <c r="K124">
        <v>14.33</v>
      </c>
      <c r="L124">
        <v>2.0499999999999998</v>
      </c>
      <c r="M124">
        <v>6.14</v>
      </c>
      <c r="N124">
        <v>37.699599999999997</v>
      </c>
      <c r="O124">
        <v>5</v>
      </c>
      <c r="P124">
        <v>0</v>
      </c>
      <c r="Q124">
        <v>340.29199999999997</v>
      </c>
      <c r="R124">
        <v>4</v>
      </c>
      <c r="S124">
        <v>0</v>
      </c>
      <c r="T124">
        <v>7.33</v>
      </c>
      <c r="U124" t="str">
        <f>IFERROR(INDEX(Rosters!$C$2:$C$155,MATCH(B124,Rosters!$B$2:$B$155,0)),"NA")</f>
        <v>perry</v>
      </c>
      <c r="V124" t="str">
        <f t="shared" si="3"/>
        <v>perry13</v>
      </c>
      <c r="W124">
        <f>COUNTIFS(A$1:A124,A124)</f>
        <v>10</v>
      </c>
      <c r="X124" t="str">
        <f t="shared" si="4"/>
        <v>Texans D/ST13</v>
      </c>
      <c r="Y124">
        <f>COUNTIF(V$1:V124,V124)</f>
        <v>1</v>
      </c>
      <c r="Z124" t="str">
        <f t="shared" si="5"/>
        <v>perry13-1</v>
      </c>
    </row>
    <row r="125" spans="1:26" x14ac:dyDescent="0.25">
      <c r="A125">
        <v>6</v>
      </c>
      <c r="B125" t="s">
        <v>430</v>
      </c>
      <c r="C125" t="s">
        <v>5488</v>
      </c>
      <c r="D125">
        <v>16.579999999999998</v>
      </c>
      <c r="E125">
        <v>2.6</v>
      </c>
      <c r="F125">
        <v>0.78</v>
      </c>
      <c r="G125">
        <v>0.68</v>
      </c>
      <c r="H125">
        <v>0.04</v>
      </c>
      <c r="I125">
        <v>0.12</v>
      </c>
      <c r="J125" t="s">
        <v>41</v>
      </c>
      <c r="K125">
        <v>13.33</v>
      </c>
      <c r="L125">
        <v>3.21</v>
      </c>
      <c r="M125">
        <v>5.0599999999999996</v>
      </c>
      <c r="N125">
        <v>25.6036</v>
      </c>
      <c r="O125">
        <v>4</v>
      </c>
      <c r="P125">
        <v>1</v>
      </c>
      <c r="Q125">
        <v>316.21600000000001</v>
      </c>
      <c r="R125">
        <v>4</v>
      </c>
      <c r="S125">
        <v>0</v>
      </c>
      <c r="T125">
        <v>7.32</v>
      </c>
      <c r="U125" t="str">
        <f>IFERROR(INDEX(Rosters!$C$2:$C$155,MATCH(B125,Rosters!$B$2:$B$155,0)),"NA")</f>
        <v>NA</v>
      </c>
      <c r="V125" t="str">
        <f t="shared" si="3"/>
        <v>NA6</v>
      </c>
      <c r="W125">
        <f>COUNTIFS(A$1:A125,A125)</f>
        <v>8</v>
      </c>
      <c r="X125" t="str">
        <f t="shared" si="4"/>
        <v>Jets D/ST6</v>
      </c>
      <c r="Y125">
        <f>COUNTIF(V$1:V125,V125)</f>
        <v>2</v>
      </c>
      <c r="Z125" t="str">
        <f t="shared" si="5"/>
        <v>NA6-2</v>
      </c>
    </row>
    <row r="126" spans="1:26" x14ac:dyDescent="0.25">
      <c r="A126">
        <v>3</v>
      </c>
      <c r="B126" t="s">
        <v>413</v>
      </c>
      <c r="C126" t="s">
        <v>4180</v>
      </c>
      <c r="D126">
        <v>20.149999999999999</v>
      </c>
      <c r="E126">
        <v>2.0299999999999998</v>
      </c>
      <c r="F126">
        <v>1</v>
      </c>
      <c r="G126">
        <v>0.72</v>
      </c>
      <c r="H126">
        <v>0.05</v>
      </c>
      <c r="I126">
        <v>0.28999999999999998</v>
      </c>
      <c r="J126" t="s">
        <v>76</v>
      </c>
      <c r="K126">
        <v>14.36</v>
      </c>
      <c r="L126">
        <v>2.08</v>
      </c>
      <c r="M126">
        <v>6.14</v>
      </c>
      <c r="N126">
        <v>37.699599999999997</v>
      </c>
      <c r="O126">
        <v>5</v>
      </c>
      <c r="P126">
        <v>0</v>
      </c>
      <c r="Q126">
        <v>334.78</v>
      </c>
      <c r="R126">
        <v>4</v>
      </c>
      <c r="S126">
        <v>0</v>
      </c>
      <c r="T126">
        <v>7.31</v>
      </c>
      <c r="U126" t="str">
        <f>IFERROR(INDEX(Rosters!$C$2:$C$155,MATCH(B126,Rosters!$B$2:$B$155,0)),"NA")</f>
        <v>cory</v>
      </c>
      <c r="V126" t="str">
        <f t="shared" si="3"/>
        <v>cory3</v>
      </c>
      <c r="W126">
        <f>COUNTIFS(A$1:A126,A126)</f>
        <v>6</v>
      </c>
      <c r="X126" t="str">
        <f t="shared" si="4"/>
        <v>Panthers D/ST3</v>
      </c>
      <c r="Y126">
        <f>COUNTIF(V$1:V126,V126)</f>
        <v>1</v>
      </c>
      <c r="Z126" t="str">
        <f t="shared" si="5"/>
        <v>cory3-1</v>
      </c>
    </row>
    <row r="127" spans="1:26" x14ac:dyDescent="0.25">
      <c r="A127">
        <v>13</v>
      </c>
      <c r="B127" t="s">
        <v>418</v>
      </c>
      <c r="C127" t="s">
        <v>5489</v>
      </c>
      <c r="D127">
        <v>19.29</v>
      </c>
      <c r="E127">
        <v>2.74</v>
      </c>
      <c r="F127">
        <v>0.94</v>
      </c>
      <c r="G127">
        <v>0.66</v>
      </c>
      <c r="H127">
        <v>0.02</v>
      </c>
      <c r="I127">
        <v>0.22</v>
      </c>
      <c r="J127" t="s">
        <v>54</v>
      </c>
      <c r="K127">
        <v>14.47</v>
      </c>
      <c r="L127">
        <v>2.91</v>
      </c>
      <c r="M127">
        <v>5.78</v>
      </c>
      <c r="N127">
        <v>33.4084</v>
      </c>
      <c r="O127">
        <v>5</v>
      </c>
      <c r="P127">
        <v>0</v>
      </c>
      <c r="Q127">
        <v>330.30799999999999</v>
      </c>
      <c r="R127">
        <v>4</v>
      </c>
      <c r="S127">
        <v>0</v>
      </c>
      <c r="T127">
        <v>7.3</v>
      </c>
      <c r="U127" t="str">
        <f>IFERROR(INDEX(Rosters!$C$2:$C$155,MATCH(B127,Rosters!$B$2:$B$155,0)),"NA")</f>
        <v>NA</v>
      </c>
      <c r="V127" t="str">
        <f t="shared" si="3"/>
        <v>NA13</v>
      </c>
      <c r="W127">
        <f>COUNTIFS(A$1:A127,A127)</f>
        <v>11</v>
      </c>
      <c r="X127" t="str">
        <f t="shared" si="4"/>
        <v>Bills D/ST13</v>
      </c>
      <c r="Y127">
        <f>COUNTIF(V$1:V127,V127)</f>
        <v>5</v>
      </c>
      <c r="Z127" t="str">
        <f t="shared" si="5"/>
        <v>NA13-5</v>
      </c>
    </row>
    <row r="128" spans="1:26" x14ac:dyDescent="0.25">
      <c r="A128">
        <v>17</v>
      </c>
      <c r="B128" t="s">
        <v>418</v>
      </c>
      <c r="C128" t="s">
        <v>5489</v>
      </c>
      <c r="D128">
        <v>19.29</v>
      </c>
      <c r="E128">
        <v>2.74</v>
      </c>
      <c r="F128">
        <v>0.94</v>
      </c>
      <c r="G128">
        <v>0.66</v>
      </c>
      <c r="H128">
        <v>0.02</v>
      </c>
      <c r="I128">
        <v>0.22</v>
      </c>
      <c r="J128" t="s">
        <v>54</v>
      </c>
      <c r="K128">
        <v>14.47</v>
      </c>
      <c r="L128">
        <v>2.91</v>
      </c>
      <c r="M128">
        <v>5.78</v>
      </c>
      <c r="N128">
        <v>33.4084</v>
      </c>
      <c r="O128">
        <v>5</v>
      </c>
      <c r="P128">
        <v>0</v>
      </c>
      <c r="Q128">
        <v>330.30799999999999</v>
      </c>
      <c r="R128">
        <v>4</v>
      </c>
      <c r="S128">
        <v>0</v>
      </c>
      <c r="T128">
        <v>7.3</v>
      </c>
      <c r="U128" t="str">
        <f>IFERROR(INDEX(Rosters!$C$2:$C$155,MATCH(B128,Rosters!$B$2:$B$155,0)),"NA")</f>
        <v>NA</v>
      </c>
      <c r="V128" t="str">
        <f t="shared" si="3"/>
        <v>NA17</v>
      </c>
      <c r="W128">
        <f>COUNTIFS(A$1:A128,A128)</f>
        <v>9</v>
      </c>
      <c r="X128" t="str">
        <f t="shared" si="4"/>
        <v>Bills D/ST17</v>
      </c>
      <c r="Y128">
        <f>COUNTIF(V$1:V128,V128)</f>
        <v>6</v>
      </c>
      <c r="Z128" t="str">
        <f t="shared" si="5"/>
        <v>NA17-6</v>
      </c>
    </row>
    <row r="129" spans="1:26" x14ac:dyDescent="0.25">
      <c r="A129">
        <v>12</v>
      </c>
      <c r="B129" t="s">
        <v>422</v>
      </c>
      <c r="C129" t="s">
        <v>5490</v>
      </c>
      <c r="D129">
        <v>21.62</v>
      </c>
      <c r="E129">
        <v>2.58</v>
      </c>
      <c r="F129">
        <v>1.1599999999999999</v>
      </c>
      <c r="G129">
        <v>0.66</v>
      </c>
      <c r="H129">
        <v>0</v>
      </c>
      <c r="I129">
        <v>0.18</v>
      </c>
      <c r="J129" t="s">
        <v>41</v>
      </c>
      <c r="K129">
        <v>13.75</v>
      </c>
      <c r="L129">
        <v>2.11</v>
      </c>
      <c r="M129">
        <v>5.82</v>
      </c>
      <c r="N129">
        <v>33.872399999999999</v>
      </c>
      <c r="O129">
        <v>5</v>
      </c>
      <c r="P129">
        <v>0</v>
      </c>
      <c r="Q129">
        <v>342.42399999999998</v>
      </c>
      <c r="R129">
        <v>4</v>
      </c>
      <c r="S129">
        <v>0</v>
      </c>
      <c r="T129">
        <v>7.3</v>
      </c>
      <c r="U129" t="str">
        <f>IFERROR(INDEX(Rosters!$C$2:$C$155,MATCH(B129,Rosters!$B$2:$B$155,0)),"NA")</f>
        <v>NA</v>
      </c>
      <c r="V129" t="str">
        <f t="shared" si="3"/>
        <v>NA12</v>
      </c>
      <c r="W129">
        <f>COUNTIFS(A$1:A129,A129)</f>
        <v>8</v>
      </c>
      <c r="X129" t="str">
        <f t="shared" si="4"/>
        <v>Dolphins D/ST12</v>
      </c>
      <c r="Y129">
        <f>COUNTIF(V$1:V129,V129)</f>
        <v>5</v>
      </c>
      <c r="Z129" t="str">
        <f t="shared" si="5"/>
        <v>NA12-5</v>
      </c>
    </row>
    <row r="130" spans="1:26" x14ac:dyDescent="0.25">
      <c r="A130">
        <v>2</v>
      </c>
      <c r="B130" t="s">
        <v>433</v>
      </c>
      <c r="C130" t="s">
        <v>1234</v>
      </c>
      <c r="D130">
        <v>20.89</v>
      </c>
      <c r="E130">
        <v>2.5</v>
      </c>
      <c r="F130">
        <v>0.86</v>
      </c>
      <c r="G130">
        <v>0.7</v>
      </c>
      <c r="H130">
        <v>0</v>
      </c>
      <c r="I130">
        <v>0.28000000000000003</v>
      </c>
      <c r="J130" t="s">
        <v>423</v>
      </c>
      <c r="K130">
        <v>13.99</v>
      </c>
      <c r="L130">
        <v>1.81</v>
      </c>
      <c r="M130">
        <v>6.09</v>
      </c>
      <c r="N130">
        <v>37.088099999999997</v>
      </c>
      <c r="O130">
        <v>5</v>
      </c>
      <c r="P130">
        <v>0</v>
      </c>
      <c r="Q130">
        <v>338.62799999999999</v>
      </c>
      <c r="R130">
        <v>4</v>
      </c>
      <c r="S130">
        <v>0</v>
      </c>
      <c r="T130">
        <v>7.3</v>
      </c>
      <c r="U130" t="str">
        <f>IFERROR(INDEX(Rosters!$C$2:$C$155,MATCH(B130,Rosters!$B$2:$B$155,0)),"NA")</f>
        <v>NA</v>
      </c>
      <c r="V130" t="str">
        <f t="shared" si="3"/>
        <v>NA2</v>
      </c>
      <c r="W130">
        <f>COUNTIFS(A$1:A130,A130)</f>
        <v>13</v>
      </c>
      <c r="X130" t="str">
        <f t="shared" si="4"/>
        <v>Raiders D/ST2</v>
      </c>
      <c r="Y130">
        <f>COUNTIF(V$1:V130,V130)</f>
        <v>8</v>
      </c>
      <c r="Z130" t="str">
        <f t="shared" si="5"/>
        <v>NA2-8</v>
      </c>
    </row>
    <row r="131" spans="1:26" x14ac:dyDescent="0.25">
      <c r="A131">
        <v>13</v>
      </c>
      <c r="B131" t="s">
        <v>412</v>
      </c>
      <c r="C131" t="s">
        <v>5491</v>
      </c>
      <c r="D131">
        <v>20.8</v>
      </c>
      <c r="E131">
        <v>2.52</v>
      </c>
      <c r="F131">
        <v>1.1599999999999999</v>
      </c>
      <c r="G131">
        <v>0.62</v>
      </c>
      <c r="H131">
        <v>0</v>
      </c>
      <c r="I131">
        <v>0.2</v>
      </c>
      <c r="J131" t="s">
        <v>76</v>
      </c>
      <c r="K131">
        <v>14.08</v>
      </c>
      <c r="L131">
        <v>2.1800000000000002</v>
      </c>
      <c r="M131">
        <v>5.95</v>
      </c>
      <c r="N131">
        <v>35.402500000000003</v>
      </c>
      <c r="O131">
        <v>5</v>
      </c>
      <c r="P131">
        <v>0</v>
      </c>
      <c r="Q131">
        <v>338.16</v>
      </c>
      <c r="R131">
        <v>4</v>
      </c>
      <c r="S131">
        <v>0</v>
      </c>
      <c r="T131">
        <v>7.28</v>
      </c>
      <c r="U131" t="str">
        <f>IFERROR(INDEX(Rosters!$C$2:$C$155,MATCH(B131,Rosters!$B$2:$B$155,0)),"NA")</f>
        <v>chad</v>
      </c>
      <c r="V131" t="str">
        <f t="shared" ref="V131:V194" si="6">U131&amp;A131</f>
        <v>chad13</v>
      </c>
      <c r="W131">
        <f>COUNTIFS(A$1:A131,A131)</f>
        <v>12</v>
      </c>
      <c r="X131" t="str">
        <f t="shared" ref="X131:X194" si="7">B131&amp;A131</f>
        <v>Broncos D/ST13</v>
      </c>
      <c r="Y131">
        <f>COUNTIF(V$1:V131,V131)</f>
        <v>1</v>
      </c>
      <c r="Z131" t="str">
        <f t="shared" ref="Z131:Z194" si="8">V131&amp;"-"&amp;Y131</f>
        <v>chad13-1</v>
      </c>
    </row>
    <row r="132" spans="1:26" x14ac:dyDescent="0.25">
      <c r="A132">
        <v>8</v>
      </c>
      <c r="B132" t="s">
        <v>407</v>
      </c>
      <c r="C132" t="s">
        <v>5492</v>
      </c>
      <c r="D132">
        <v>20.79</v>
      </c>
      <c r="E132">
        <v>2.76</v>
      </c>
      <c r="F132">
        <v>1.02</v>
      </c>
      <c r="G132">
        <v>0.74</v>
      </c>
      <c r="H132">
        <v>0.02</v>
      </c>
      <c r="I132">
        <v>0.16</v>
      </c>
      <c r="J132" t="s">
        <v>42</v>
      </c>
      <c r="K132">
        <v>13.69</v>
      </c>
      <c r="L132">
        <v>2.67</v>
      </c>
      <c r="M132">
        <v>5.51</v>
      </c>
      <c r="N132">
        <v>30.360099999999999</v>
      </c>
      <c r="O132">
        <v>5</v>
      </c>
      <c r="P132">
        <v>0</v>
      </c>
      <c r="Q132">
        <v>338.108</v>
      </c>
      <c r="R132">
        <v>4</v>
      </c>
      <c r="S132">
        <v>0</v>
      </c>
      <c r="T132">
        <v>7.28</v>
      </c>
      <c r="U132" t="str">
        <f>IFERROR(INDEX(Rosters!$C$2:$C$155,MATCH(B132,Rosters!$B$2:$B$155,0)),"NA")</f>
        <v>NA</v>
      </c>
      <c r="V132" t="str">
        <f t="shared" si="6"/>
        <v>NA8</v>
      </c>
      <c r="W132">
        <f>COUNTIFS(A$1:A132,A132)</f>
        <v>8</v>
      </c>
      <c r="X132" t="str">
        <f t="shared" si="7"/>
        <v>Seahawks D/ST8</v>
      </c>
      <c r="Y132">
        <f>COUNTIF(V$1:V132,V132)</f>
        <v>5</v>
      </c>
      <c r="Z132" t="str">
        <f t="shared" si="8"/>
        <v>NA8-5</v>
      </c>
    </row>
    <row r="133" spans="1:26" x14ac:dyDescent="0.25">
      <c r="A133">
        <v>9</v>
      </c>
      <c r="B133" t="s">
        <v>426</v>
      </c>
      <c r="C133" t="s">
        <v>5493</v>
      </c>
      <c r="D133">
        <v>23.22</v>
      </c>
      <c r="E133">
        <v>2.62</v>
      </c>
      <c r="F133">
        <v>0.88</v>
      </c>
      <c r="G133">
        <v>0.8</v>
      </c>
      <c r="H133">
        <v>0.06</v>
      </c>
      <c r="I133">
        <v>0.36</v>
      </c>
      <c r="J133" t="s">
        <v>22</v>
      </c>
      <c r="K133">
        <v>14.74</v>
      </c>
      <c r="L133">
        <v>2.2400000000000002</v>
      </c>
      <c r="M133">
        <v>6.25</v>
      </c>
      <c r="N133">
        <v>39.0625</v>
      </c>
      <c r="O133">
        <v>5</v>
      </c>
      <c r="P133">
        <v>0</v>
      </c>
      <c r="Q133">
        <v>350.74400000000003</v>
      </c>
      <c r="R133">
        <v>5</v>
      </c>
      <c r="S133">
        <v>-1</v>
      </c>
      <c r="T133">
        <v>7.26</v>
      </c>
      <c r="U133" t="str">
        <f>IFERROR(INDEX(Rosters!$C$2:$C$155,MATCH(B133,Rosters!$B$2:$B$155,0)),"NA")</f>
        <v>NA</v>
      </c>
      <c r="V133" t="str">
        <f t="shared" si="6"/>
        <v>NA9</v>
      </c>
      <c r="W133">
        <f>COUNTIFS(A$1:A133,A133)</f>
        <v>7</v>
      </c>
      <c r="X133" t="str">
        <f t="shared" si="7"/>
        <v>Cowboys D/ST9</v>
      </c>
      <c r="Y133">
        <f>COUNTIF(V$1:V133,V133)</f>
        <v>5</v>
      </c>
      <c r="Z133" t="str">
        <f t="shared" si="8"/>
        <v>NA9-5</v>
      </c>
    </row>
    <row r="134" spans="1:26" x14ac:dyDescent="0.25">
      <c r="A134">
        <v>10</v>
      </c>
      <c r="B134" t="s">
        <v>420</v>
      </c>
      <c r="C134" t="s">
        <v>5494</v>
      </c>
      <c r="D134">
        <v>20.34</v>
      </c>
      <c r="E134">
        <v>2.06</v>
      </c>
      <c r="F134">
        <v>1.22</v>
      </c>
      <c r="G134">
        <v>0.68</v>
      </c>
      <c r="H134">
        <v>0.04</v>
      </c>
      <c r="I134">
        <v>0.22</v>
      </c>
      <c r="J134" t="s">
        <v>25</v>
      </c>
      <c r="K134">
        <v>13.51</v>
      </c>
      <c r="L134">
        <v>2.5099999999999998</v>
      </c>
      <c r="M134">
        <v>5.5</v>
      </c>
      <c r="N134">
        <v>30.25</v>
      </c>
      <c r="O134">
        <v>5</v>
      </c>
      <c r="P134">
        <v>0</v>
      </c>
      <c r="Q134">
        <v>335.76799999999997</v>
      </c>
      <c r="R134">
        <v>4</v>
      </c>
      <c r="S134">
        <v>0</v>
      </c>
      <c r="T134">
        <v>7.26</v>
      </c>
      <c r="U134" t="str">
        <f>IFERROR(INDEX(Rosters!$C$2:$C$155,MATCH(B134,Rosters!$B$2:$B$155,0)),"NA")</f>
        <v>scott</v>
      </c>
      <c r="V134" t="str">
        <f t="shared" si="6"/>
        <v>scott10</v>
      </c>
      <c r="W134">
        <f>COUNTIFS(A$1:A134,A134)</f>
        <v>4</v>
      </c>
      <c r="X134" t="str">
        <f t="shared" si="7"/>
        <v>Rams D/ST10</v>
      </c>
      <c r="Y134">
        <f>COUNTIF(V$1:V134,V134)</f>
        <v>1</v>
      </c>
      <c r="Z134" t="str">
        <f t="shared" si="8"/>
        <v>scott10-1</v>
      </c>
    </row>
    <row r="135" spans="1:26" x14ac:dyDescent="0.25">
      <c r="A135">
        <v>6</v>
      </c>
      <c r="B135" t="s">
        <v>407</v>
      </c>
      <c r="C135" t="s">
        <v>5495</v>
      </c>
      <c r="D135">
        <v>20.76</v>
      </c>
      <c r="E135">
        <v>2.66</v>
      </c>
      <c r="F135">
        <v>1.08</v>
      </c>
      <c r="G135">
        <v>0.76</v>
      </c>
      <c r="H135">
        <v>0.04</v>
      </c>
      <c r="I135">
        <v>0.14000000000000001</v>
      </c>
      <c r="J135" t="s">
        <v>50</v>
      </c>
      <c r="K135">
        <v>13.59</v>
      </c>
      <c r="L135">
        <v>2.87</v>
      </c>
      <c r="M135">
        <v>5.36</v>
      </c>
      <c r="N135">
        <v>28.729600000000001</v>
      </c>
      <c r="O135">
        <v>5</v>
      </c>
      <c r="P135">
        <v>0</v>
      </c>
      <c r="Q135">
        <v>337.952</v>
      </c>
      <c r="R135">
        <v>4</v>
      </c>
      <c r="S135">
        <v>0</v>
      </c>
      <c r="T135">
        <v>7.26</v>
      </c>
      <c r="U135" t="str">
        <f>IFERROR(INDEX(Rosters!$C$2:$C$155,MATCH(B135,Rosters!$B$2:$B$155,0)),"NA")</f>
        <v>NA</v>
      </c>
      <c r="V135" t="str">
        <f t="shared" si="6"/>
        <v>NA6</v>
      </c>
      <c r="W135">
        <f>COUNTIFS(A$1:A135,A135)</f>
        <v>9</v>
      </c>
      <c r="X135" t="str">
        <f t="shared" si="7"/>
        <v>Seahawks D/ST6</v>
      </c>
      <c r="Y135">
        <f>COUNTIF(V$1:V135,V135)</f>
        <v>3</v>
      </c>
      <c r="Z135" t="str">
        <f t="shared" si="8"/>
        <v>NA6-3</v>
      </c>
    </row>
    <row r="136" spans="1:26" x14ac:dyDescent="0.25">
      <c r="A136">
        <v>14</v>
      </c>
      <c r="B136" t="s">
        <v>420</v>
      </c>
      <c r="C136" t="s">
        <v>5496</v>
      </c>
      <c r="D136">
        <v>22.79</v>
      </c>
      <c r="E136">
        <v>2.2999999999999998</v>
      </c>
      <c r="F136">
        <v>1.1399999999999999</v>
      </c>
      <c r="G136">
        <v>0.6</v>
      </c>
      <c r="H136">
        <v>0.02</v>
      </c>
      <c r="I136">
        <v>0.24</v>
      </c>
      <c r="J136" t="s">
        <v>58</v>
      </c>
      <c r="K136">
        <v>13.51</v>
      </c>
      <c r="L136">
        <v>1.31</v>
      </c>
      <c r="M136">
        <v>6.1</v>
      </c>
      <c r="N136">
        <v>37.21</v>
      </c>
      <c r="O136">
        <v>5</v>
      </c>
      <c r="P136">
        <v>0</v>
      </c>
      <c r="Q136">
        <v>348.50799999999998</v>
      </c>
      <c r="R136">
        <v>4</v>
      </c>
      <c r="S136">
        <v>0</v>
      </c>
      <c r="T136">
        <v>7.26</v>
      </c>
      <c r="U136" t="str">
        <f>IFERROR(INDEX(Rosters!$C$2:$C$155,MATCH(B136,Rosters!$B$2:$B$155,0)),"NA")</f>
        <v>scott</v>
      </c>
      <c r="V136" t="str">
        <f t="shared" si="6"/>
        <v>scott14</v>
      </c>
      <c r="W136">
        <f>COUNTIFS(A$1:A136,A136)</f>
        <v>8</v>
      </c>
      <c r="X136" t="str">
        <f t="shared" si="7"/>
        <v>Rams D/ST14</v>
      </c>
      <c r="Y136">
        <f>COUNTIF(V$1:V136,V136)</f>
        <v>1</v>
      </c>
      <c r="Z136" t="str">
        <f t="shared" si="8"/>
        <v>scott14-1</v>
      </c>
    </row>
    <row r="137" spans="1:26" x14ac:dyDescent="0.25">
      <c r="A137">
        <v>6</v>
      </c>
      <c r="B137" t="s">
        <v>425</v>
      </c>
      <c r="C137" t="s">
        <v>5497</v>
      </c>
      <c r="D137">
        <v>22.01</v>
      </c>
      <c r="E137">
        <v>2.37</v>
      </c>
      <c r="F137">
        <v>1.24</v>
      </c>
      <c r="G137">
        <v>0.66</v>
      </c>
      <c r="H137">
        <v>0.06</v>
      </c>
      <c r="I137">
        <v>0.16</v>
      </c>
      <c r="J137" t="s">
        <v>14</v>
      </c>
      <c r="K137">
        <v>13.53</v>
      </c>
      <c r="L137">
        <v>2.35</v>
      </c>
      <c r="M137">
        <v>5.59</v>
      </c>
      <c r="N137">
        <v>31.248100000000001</v>
      </c>
      <c r="O137">
        <v>5</v>
      </c>
      <c r="P137">
        <v>0</v>
      </c>
      <c r="Q137">
        <v>344.452</v>
      </c>
      <c r="R137">
        <v>4</v>
      </c>
      <c r="S137">
        <v>0</v>
      </c>
      <c r="T137">
        <v>7.25</v>
      </c>
      <c r="U137" t="str">
        <f>IFERROR(INDEX(Rosters!$C$2:$C$155,MATCH(B137,Rosters!$B$2:$B$155,0)),"NA")</f>
        <v>NA</v>
      </c>
      <c r="V137" t="str">
        <f t="shared" si="6"/>
        <v>NA6</v>
      </c>
      <c r="W137">
        <f>COUNTIFS(A$1:A137,A137)</f>
        <v>10</v>
      </c>
      <c r="X137" t="str">
        <f t="shared" si="7"/>
        <v>Packers D/ST6</v>
      </c>
      <c r="Y137">
        <f>COUNTIF(V$1:V137,V137)</f>
        <v>4</v>
      </c>
      <c r="Z137" t="str">
        <f t="shared" si="8"/>
        <v>NA6-4</v>
      </c>
    </row>
    <row r="138" spans="1:26" x14ac:dyDescent="0.25">
      <c r="A138">
        <v>7</v>
      </c>
      <c r="B138" t="s">
        <v>413</v>
      </c>
      <c r="C138" t="s">
        <v>5498</v>
      </c>
      <c r="D138">
        <v>21.22</v>
      </c>
      <c r="E138">
        <v>2.56</v>
      </c>
      <c r="F138">
        <v>1.24</v>
      </c>
      <c r="G138">
        <v>0.57999999999999996</v>
      </c>
      <c r="H138">
        <v>0.04</v>
      </c>
      <c r="I138">
        <v>0.16</v>
      </c>
      <c r="J138" t="s">
        <v>36</v>
      </c>
      <c r="K138">
        <v>13.9</v>
      </c>
      <c r="L138">
        <v>1.88</v>
      </c>
      <c r="M138">
        <v>6.01</v>
      </c>
      <c r="N138">
        <v>36.120100000000001</v>
      </c>
      <c r="O138">
        <v>5</v>
      </c>
      <c r="P138">
        <v>0</v>
      </c>
      <c r="Q138">
        <v>340.34399999999999</v>
      </c>
      <c r="R138">
        <v>4</v>
      </c>
      <c r="S138">
        <v>0</v>
      </c>
      <c r="T138">
        <v>7.24</v>
      </c>
      <c r="U138" t="str">
        <f>IFERROR(INDEX(Rosters!$C$2:$C$155,MATCH(B138,Rosters!$B$2:$B$155,0)),"NA")</f>
        <v>cory</v>
      </c>
      <c r="V138" t="str">
        <f t="shared" si="6"/>
        <v>cory7</v>
      </c>
      <c r="W138">
        <f>COUNTIFS(A$1:A138,A138)</f>
        <v>8</v>
      </c>
      <c r="X138" t="str">
        <f t="shared" si="7"/>
        <v>Panthers D/ST7</v>
      </c>
      <c r="Y138">
        <f>COUNTIF(V$1:V138,V138)</f>
        <v>1</v>
      </c>
      <c r="Z138" t="str">
        <f t="shared" si="8"/>
        <v>cory7-1</v>
      </c>
    </row>
    <row r="139" spans="1:26" x14ac:dyDescent="0.25">
      <c r="A139">
        <v>11</v>
      </c>
      <c r="B139" t="s">
        <v>411</v>
      </c>
      <c r="C139" t="s">
        <v>5499</v>
      </c>
      <c r="D139">
        <v>21.4</v>
      </c>
      <c r="E139">
        <v>2.36</v>
      </c>
      <c r="F139">
        <v>1.06</v>
      </c>
      <c r="G139">
        <v>0.57999999999999996</v>
      </c>
      <c r="H139">
        <v>0.02</v>
      </c>
      <c r="I139">
        <v>0.26</v>
      </c>
      <c r="J139" t="s">
        <v>76</v>
      </c>
      <c r="K139">
        <v>14.83</v>
      </c>
      <c r="L139">
        <v>1.35</v>
      </c>
      <c r="M139">
        <v>6.74</v>
      </c>
      <c r="N139">
        <v>45.427599999999998</v>
      </c>
      <c r="O139">
        <v>5</v>
      </c>
      <c r="P139">
        <v>0</v>
      </c>
      <c r="Q139">
        <v>341.28</v>
      </c>
      <c r="R139">
        <v>4</v>
      </c>
      <c r="S139">
        <v>0</v>
      </c>
      <c r="T139">
        <v>7.24</v>
      </c>
      <c r="U139" t="str">
        <f>IFERROR(INDEX(Rosters!$C$2:$C$155,MATCH(B139,Rosters!$B$2:$B$155,0)),"NA")</f>
        <v>lucas</v>
      </c>
      <c r="V139" t="str">
        <f t="shared" si="6"/>
        <v>lucas11</v>
      </c>
      <c r="W139">
        <f>COUNTIFS(A$1:A139,A139)</f>
        <v>4</v>
      </c>
      <c r="X139" t="str">
        <f t="shared" si="7"/>
        <v>Ravens D/ST11</v>
      </c>
      <c r="Y139">
        <f>COUNTIF(V$1:V139,V139)</f>
        <v>1</v>
      </c>
      <c r="Z139" t="str">
        <f t="shared" si="8"/>
        <v>lucas11-1</v>
      </c>
    </row>
    <row r="140" spans="1:26" x14ac:dyDescent="0.25">
      <c r="A140">
        <v>10</v>
      </c>
      <c r="B140" t="s">
        <v>436</v>
      </c>
      <c r="C140" t="s">
        <v>5500</v>
      </c>
      <c r="D140">
        <v>19.809999999999999</v>
      </c>
      <c r="E140">
        <v>2.56</v>
      </c>
      <c r="F140">
        <v>1.18</v>
      </c>
      <c r="G140">
        <v>0.6</v>
      </c>
      <c r="H140">
        <v>0</v>
      </c>
      <c r="I140">
        <v>0.18</v>
      </c>
      <c r="J140" t="s">
        <v>32</v>
      </c>
      <c r="K140">
        <v>13.34</v>
      </c>
      <c r="L140">
        <v>3.12</v>
      </c>
      <c r="M140">
        <v>5.1100000000000003</v>
      </c>
      <c r="N140">
        <v>26.112100000000002</v>
      </c>
      <c r="O140">
        <v>5</v>
      </c>
      <c r="P140">
        <v>0</v>
      </c>
      <c r="Q140">
        <v>333.012</v>
      </c>
      <c r="R140">
        <v>4</v>
      </c>
      <c r="S140">
        <v>0</v>
      </c>
      <c r="T140">
        <v>7.2</v>
      </c>
      <c r="U140" t="str">
        <f>IFERROR(INDEX(Rosters!$C$2:$C$155,MATCH(B140,Rosters!$B$2:$B$155,0)),"NA")</f>
        <v>NA</v>
      </c>
      <c r="V140" t="str">
        <f t="shared" si="6"/>
        <v>NA10</v>
      </c>
      <c r="W140">
        <f>COUNTIFS(A$1:A140,A140)</f>
        <v>5</v>
      </c>
      <c r="X140" t="str">
        <f t="shared" si="7"/>
        <v>49ers D/ST10</v>
      </c>
      <c r="Y140">
        <f>COUNTIF(V$1:V140,V140)</f>
        <v>3</v>
      </c>
      <c r="Z140" t="str">
        <f t="shared" si="8"/>
        <v>NA10-3</v>
      </c>
    </row>
    <row r="141" spans="1:26" x14ac:dyDescent="0.25">
      <c r="A141">
        <v>12</v>
      </c>
      <c r="B141" t="s">
        <v>413</v>
      </c>
      <c r="C141" t="s">
        <v>5501</v>
      </c>
      <c r="D141">
        <v>20.32</v>
      </c>
      <c r="E141">
        <v>2.36</v>
      </c>
      <c r="F141">
        <v>1.1000000000000001</v>
      </c>
      <c r="G141">
        <v>0.68</v>
      </c>
      <c r="H141">
        <v>0.04</v>
      </c>
      <c r="I141">
        <v>0.2</v>
      </c>
      <c r="J141" t="s">
        <v>25</v>
      </c>
      <c r="K141">
        <v>15.25</v>
      </c>
      <c r="L141">
        <v>1.07</v>
      </c>
      <c r="M141">
        <v>7.09</v>
      </c>
      <c r="N141">
        <v>50.268099999999997</v>
      </c>
      <c r="O141">
        <v>5</v>
      </c>
      <c r="P141">
        <v>0</v>
      </c>
      <c r="Q141">
        <v>335.66399999999999</v>
      </c>
      <c r="R141">
        <v>4</v>
      </c>
      <c r="S141">
        <v>0</v>
      </c>
      <c r="T141">
        <v>7.2</v>
      </c>
      <c r="U141" t="str">
        <f>IFERROR(INDEX(Rosters!$C$2:$C$155,MATCH(B141,Rosters!$B$2:$B$155,0)),"NA")</f>
        <v>cory</v>
      </c>
      <c r="V141" t="str">
        <f t="shared" si="6"/>
        <v>cory12</v>
      </c>
      <c r="W141">
        <f>COUNTIFS(A$1:A141,A141)</f>
        <v>9</v>
      </c>
      <c r="X141" t="str">
        <f t="shared" si="7"/>
        <v>Panthers D/ST12</v>
      </c>
      <c r="Y141">
        <f>COUNTIF(V$1:V141,V141)</f>
        <v>1</v>
      </c>
      <c r="Z141" t="str">
        <f t="shared" si="8"/>
        <v>cory12-1</v>
      </c>
    </row>
    <row r="142" spans="1:26" x14ac:dyDescent="0.25">
      <c r="A142">
        <v>3</v>
      </c>
      <c r="B142" t="s">
        <v>434</v>
      </c>
      <c r="C142" t="s">
        <v>3894</v>
      </c>
      <c r="D142">
        <v>20.76</v>
      </c>
      <c r="E142">
        <v>2.78</v>
      </c>
      <c r="F142">
        <v>0.77</v>
      </c>
      <c r="G142">
        <v>0.73</v>
      </c>
      <c r="H142">
        <v>0.02</v>
      </c>
      <c r="I142">
        <v>0.23</v>
      </c>
      <c r="J142" t="s">
        <v>46</v>
      </c>
      <c r="K142">
        <v>13.58</v>
      </c>
      <c r="L142">
        <v>2.86</v>
      </c>
      <c r="M142">
        <v>5.36</v>
      </c>
      <c r="N142">
        <v>28.729600000000001</v>
      </c>
      <c r="O142">
        <v>5</v>
      </c>
      <c r="P142">
        <v>0</v>
      </c>
      <c r="Q142">
        <v>337.952</v>
      </c>
      <c r="R142">
        <v>4</v>
      </c>
      <c r="S142">
        <v>0</v>
      </c>
      <c r="T142">
        <v>7.2</v>
      </c>
      <c r="U142" t="str">
        <f>IFERROR(INDEX(Rosters!$C$2:$C$155,MATCH(B142,Rosters!$B$2:$B$155,0)),"NA")</f>
        <v>matty</v>
      </c>
      <c r="V142" t="str">
        <f t="shared" si="6"/>
        <v>matty3</v>
      </c>
      <c r="W142">
        <f>COUNTIFS(A$1:A142,A142)</f>
        <v>7</v>
      </c>
      <c r="X142" t="str">
        <f t="shared" si="7"/>
        <v>Browns D/ST3</v>
      </c>
      <c r="Y142">
        <f>COUNTIF(V$1:V142,V142)</f>
        <v>1</v>
      </c>
      <c r="Z142" t="str">
        <f t="shared" si="8"/>
        <v>matty3-1</v>
      </c>
    </row>
    <row r="143" spans="1:26" x14ac:dyDescent="0.25">
      <c r="A143">
        <v>7</v>
      </c>
      <c r="B143" t="s">
        <v>432</v>
      </c>
      <c r="C143" t="s">
        <v>5502</v>
      </c>
      <c r="D143">
        <v>20</v>
      </c>
      <c r="E143">
        <v>2.4</v>
      </c>
      <c r="F143">
        <v>0.82</v>
      </c>
      <c r="G143">
        <v>0.76</v>
      </c>
      <c r="H143">
        <v>0.04</v>
      </c>
      <c r="I143">
        <v>0.26</v>
      </c>
      <c r="J143" t="s">
        <v>24</v>
      </c>
      <c r="K143">
        <v>13.99</v>
      </c>
      <c r="L143">
        <v>2.31</v>
      </c>
      <c r="M143">
        <v>5.84</v>
      </c>
      <c r="N143">
        <v>34.105600000000003</v>
      </c>
      <c r="O143">
        <v>5</v>
      </c>
      <c r="P143">
        <v>0</v>
      </c>
      <c r="Q143">
        <v>334</v>
      </c>
      <c r="R143">
        <v>4</v>
      </c>
      <c r="S143">
        <v>0</v>
      </c>
      <c r="T143">
        <v>7.2</v>
      </c>
      <c r="U143" t="str">
        <f>IFERROR(INDEX(Rosters!$C$2:$C$155,MATCH(B143,Rosters!$B$2:$B$155,0)),"NA")</f>
        <v>NA</v>
      </c>
      <c r="V143" t="str">
        <f t="shared" si="6"/>
        <v>NA7</v>
      </c>
      <c r="W143">
        <f>COUNTIFS(A$1:A143,A143)</f>
        <v>9</v>
      </c>
      <c r="X143" t="str">
        <f t="shared" si="7"/>
        <v>Colts D/ST7</v>
      </c>
      <c r="Y143">
        <f>COUNTIF(V$1:V143,V143)</f>
        <v>6</v>
      </c>
      <c r="Z143" t="str">
        <f t="shared" si="8"/>
        <v>NA7-6</v>
      </c>
    </row>
    <row r="144" spans="1:26" x14ac:dyDescent="0.25">
      <c r="A144">
        <v>8</v>
      </c>
      <c r="B144" t="s">
        <v>415</v>
      </c>
      <c r="C144" t="s">
        <v>5503</v>
      </c>
      <c r="D144">
        <v>17.920000000000002</v>
      </c>
      <c r="E144">
        <v>2.5499999999999998</v>
      </c>
      <c r="F144">
        <v>1.02</v>
      </c>
      <c r="G144">
        <v>0.84</v>
      </c>
      <c r="H144">
        <v>0.04</v>
      </c>
      <c r="I144">
        <v>0.14000000000000001</v>
      </c>
      <c r="J144" t="s">
        <v>24</v>
      </c>
      <c r="K144">
        <v>14.67</v>
      </c>
      <c r="L144">
        <v>3.45</v>
      </c>
      <c r="M144">
        <v>5.61</v>
      </c>
      <c r="N144">
        <v>31.472100000000001</v>
      </c>
      <c r="O144">
        <v>5</v>
      </c>
      <c r="P144">
        <v>0</v>
      </c>
      <c r="Q144">
        <v>323.18400000000003</v>
      </c>
      <c r="R144">
        <v>4</v>
      </c>
      <c r="S144">
        <v>0</v>
      </c>
      <c r="T144">
        <v>7.19</v>
      </c>
      <c r="U144" t="str">
        <f>IFERROR(INDEX(Rosters!$C$2:$C$155,MATCH(B144,Rosters!$B$2:$B$155,0)),"NA")</f>
        <v>NA</v>
      </c>
      <c r="V144" t="str">
        <f t="shared" si="6"/>
        <v>NA8</v>
      </c>
      <c r="W144">
        <f>COUNTIFS(A$1:A144,A144)</f>
        <v>9</v>
      </c>
      <c r="X144" t="str">
        <f t="shared" si="7"/>
        <v>Patriots D/ST8</v>
      </c>
      <c r="Y144">
        <f>COUNTIF(V$1:V144,V144)</f>
        <v>6</v>
      </c>
      <c r="Z144" t="str">
        <f t="shared" si="8"/>
        <v>NA8-6</v>
      </c>
    </row>
    <row r="145" spans="1:26" x14ac:dyDescent="0.25">
      <c r="A145">
        <v>16</v>
      </c>
      <c r="B145" t="s">
        <v>415</v>
      </c>
      <c r="C145" t="s">
        <v>5503</v>
      </c>
      <c r="D145">
        <v>17.920000000000002</v>
      </c>
      <c r="E145">
        <v>2.5499999999999998</v>
      </c>
      <c r="F145">
        <v>1.02</v>
      </c>
      <c r="G145">
        <v>0.84</v>
      </c>
      <c r="H145">
        <v>0.04</v>
      </c>
      <c r="I145">
        <v>0.14000000000000001</v>
      </c>
      <c r="J145" t="s">
        <v>24</v>
      </c>
      <c r="K145">
        <v>14.67</v>
      </c>
      <c r="L145">
        <v>3.45</v>
      </c>
      <c r="M145">
        <v>5.61</v>
      </c>
      <c r="N145">
        <v>31.472100000000001</v>
      </c>
      <c r="O145">
        <v>5</v>
      </c>
      <c r="P145">
        <v>0</v>
      </c>
      <c r="Q145">
        <v>323.18400000000003</v>
      </c>
      <c r="R145">
        <v>4</v>
      </c>
      <c r="S145">
        <v>0</v>
      </c>
      <c r="T145">
        <v>7.19</v>
      </c>
      <c r="U145" t="str">
        <f>IFERROR(INDEX(Rosters!$C$2:$C$155,MATCH(B145,Rosters!$B$2:$B$155,0)),"NA")</f>
        <v>NA</v>
      </c>
      <c r="V145" t="str">
        <f t="shared" si="6"/>
        <v>NA16</v>
      </c>
      <c r="W145">
        <f>COUNTIFS(A$1:A145,A145)</f>
        <v>12</v>
      </c>
      <c r="X145" t="str">
        <f t="shared" si="7"/>
        <v>Patriots D/ST16</v>
      </c>
      <c r="Y145">
        <f>COUNTIF(V$1:V145,V145)</f>
        <v>7</v>
      </c>
      <c r="Z145" t="str">
        <f t="shared" si="8"/>
        <v>NA16-7</v>
      </c>
    </row>
    <row r="146" spans="1:26" x14ac:dyDescent="0.25">
      <c r="A146">
        <v>17</v>
      </c>
      <c r="B146" t="s">
        <v>409</v>
      </c>
      <c r="C146" t="s">
        <v>5504</v>
      </c>
      <c r="D146">
        <v>18.98</v>
      </c>
      <c r="E146">
        <v>2.16</v>
      </c>
      <c r="F146">
        <v>1.18</v>
      </c>
      <c r="G146">
        <v>0.8</v>
      </c>
      <c r="H146">
        <v>0.04</v>
      </c>
      <c r="I146">
        <v>0.16</v>
      </c>
      <c r="J146" t="s">
        <v>25</v>
      </c>
      <c r="K146">
        <v>15.54</v>
      </c>
      <c r="L146">
        <v>1.02</v>
      </c>
      <c r="M146">
        <v>7.26</v>
      </c>
      <c r="N146">
        <v>52.707599999999999</v>
      </c>
      <c r="O146">
        <v>5</v>
      </c>
      <c r="P146">
        <v>0</v>
      </c>
      <c r="Q146">
        <v>328.69600000000003</v>
      </c>
      <c r="R146">
        <v>4</v>
      </c>
      <c r="S146">
        <v>0</v>
      </c>
      <c r="T146">
        <v>7.16</v>
      </c>
      <c r="U146" t="str">
        <f>IFERROR(INDEX(Rosters!$C$2:$C$155,MATCH(B146,Rosters!$B$2:$B$155,0)),"NA")</f>
        <v>NA</v>
      </c>
      <c r="V146" t="str">
        <f t="shared" si="6"/>
        <v>NA17</v>
      </c>
      <c r="W146">
        <f>COUNTIFS(A$1:A146,A146)</f>
        <v>10</v>
      </c>
      <c r="X146" t="str">
        <f t="shared" si="7"/>
        <v>Cardinals D/ST17</v>
      </c>
      <c r="Y146">
        <f>COUNTIF(V$1:V146,V146)</f>
        <v>7</v>
      </c>
      <c r="Z146" t="str">
        <f t="shared" si="8"/>
        <v>NA17-7</v>
      </c>
    </row>
    <row r="147" spans="1:26" x14ac:dyDescent="0.25">
      <c r="A147">
        <v>6</v>
      </c>
      <c r="B147" t="s">
        <v>405</v>
      </c>
      <c r="C147" t="s">
        <v>5505</v>
      </c>
      <c r="D147">
        <v>22.67</v>
      </c>
      <c r="E147">
        <v>2.52</v>
      </c>
      <c r="F147">
        <v>0.9</v>
      </c>
      <c r="G147">
        <v>0.7</v>
      </c>
      <c r="H147">
        <v>0</v>
      </c>
      <c r="I147">
        <v>0.24</v>
      </c>
      <c r="J147" t="s">
        <v>24</v>
      </c>
      <c r="K147">
        <v>13.61</v>
      </c>
      <c r="L147">
        <v>1.53</v>
      </c>
      <c r="M147">
        <v>6.04</v>
      </c>
      <c r="N147">
        <v>36.4816</v>
      </c>
      <c r="O147">
        <v>5</v>
      </c>
      <c r="P147">
        <v>0</v>
      </c>
      <c r="Q147">
        <v>347.88400000000001</v>
      </c>
      <c r="R147">
        <v>4</v>
      </c>
      <c r="S147">
        <v>0</v>
      </c>
      <c r="T147">
        <v>7.16</v>
      </c>
      <c r="U147" t="str">
        <f>IFERROR(INDEX(Rosters!$C$2:$C$155,MATCH(B147,Rosters!$B$2:$B$155,0)),"NA")</f>
        <v>perry</v>
      </c>
      <c r="V147" t="str">
        <f t="shared" si="6"/>
        <v>perry6</v>
      </c>
      <c r="W147">
        <f>COUNTIFS(A$1:A147,A147)</f>
        <v>11</v>
      </c>
      <c r="X147" t="str">
        <f t="shared" si="7"/>
        <v>Texans D/ST6</v>
      </c>
      <c r="Y147">
        <f>COUNTIF(V$1:V147,V147)</f>
        <v>1</v>
      </c>
      <c r="Z147" t="str">
        <f t="shared" si="8"/>
        <v>perry6-1</v>
      </c>
    </row>
    <row r="148" spans="1:26" x14ac:dyDescent="0.25">
      <c r="A148">
        <v>5</v>
      </c>
      <c r="B148" t="s">
        <v>427</v>
      </c>
      <c r="C148" t="s">
        <v>9111</v>
      </c>
      <c r="D148">
        <v>19.649999999999999</v>
      </c>
      <c r="E148">
        <v>2.56</v>
      </c>
      <c r="F148">
        <v>0.72</v>
      </c>
      <c r="G148">
        <v>0.85</v>
      </c>
      <c r="H148">
        <v>7.0000000000000007E-2</v>
      </c>
      <c r="I148">
        <v>0.22</v>
      </c>
      <c r="J148" t="s">
        <v>24</v>
      </c>
      <c r="K148">
        <v>14.79</v>
      </c>
      <c r="L148">
        <v>2.57</v>
      </c>
      <c r="M148">
        <v>6.11</v>
      </c>
      <c r="N148">
        <v>37.332099999999997</v>
      </c>
      <c r="O148">
        <v>5</v>
      </c>
      <c r="P148">
        <v>0</v>
      </c>
      <c r="Q148">
        <v>332.18</v>
      </c>
      <c r="R148">
        <v>4</v>
      </c>
      <c r="S148">
        <v>0</v>
      </c>
      <c r="T148">
        <v>7.16</v>
      </c>
      <c r="U148" t="str">
        <f>IFERROR(INDEX(Rosters!$C$2:$C$155,MATCH(B148,Rosters!$B$2:$B$155,0)),"NA")</f>
        <v>aj</v>
      </c>
      <c r="V148" t="str">
        <f t="shared" si="6"/>
        <v>aj5</v>
      </c>
      <c r="W148">
        <f>COUNTIFS(A$1:A148,A148)</f>
        <v>6</v>
      </c>
      <c r="X148" t="str">
        <f t="shared" si="7"/>
        <v>Titans D/ST5</v>
      </c>
      <c r="Y148">
        <f>COUNTIF(V$1:V148,V148)</f>
        <v>1</v>
      </c>
      <c r="Z148" t="str">
        <f t="shared" si="8"/>
        <v>aj5-1</v>
      </c>
    </row>
    <row r="149" spans="1:26" x14ac:dyDescent="0.25">
      <c r="A149">
        <v>2</v>
      </c>
      <c r="B149" t="s">
        <v>426</v>
      </c>
      <c r="C149" t="s">
        <v>1235</v>
      </c>
      <c r="D149">
        <v>20.48</v>
      </c>
      <c r="E149">
        <v>2.27</v>
      </c>
      <c r="F149">
        <v>1.34</v>
      </c>
      <c r="G149">
        <v>0.72</v>
      </c>
      <c r="H149">
        <v>0.02</v>
      </c>
      <c r="I149">
        <v>0.12</v>
      </c>
      <c r="J149" t="s">
        <v>32</v>
      </c>
      <c r="K149">
        <v>14.73</v>
      </c>
      <c r="L149">
        <v>1.69</v>
      </c>
      <c r="M149">
        <v>6.52</v>
      </c>
      <c r="N149">
        <v>42.510399999999997</v>
      </c>
      <c r="O149">
        <v>5</v>
      </c>
      <c r="P149">
        <v>0</v>
      </c>
      <c r="Q149">
        <v>336.49599999999998</v>
      </c>
      <c r="R149">
        <v>4</v>
      </c>
      <c r="S149">
        <v>0</v>
      </c>
      <c r="T149">
        <v>7.15</v>
      </c>
      <c r="U149" t="str">
        <f>IFERROR(INDEX(Rosters!$C$2:$C$155,MATCH(B149,Rosters!$B$2:$B$155,0)),"NA")</f>
        <v>NA</v>
      </c>
      <c r="V149" t="str">
        <f t="shared" si="6"/>
        <v>NA2</v>
      </c>
      <c r="W149">
        <f>COUNTIFS(A$1:A149,A149)</f>
        <v>14</v>
      </c>
      <c r="X149" t="str">
        <f t="shared" si="7"/>
        <v>Cowboys D/ST2</v>
      </c>
      <c r="Y149">
        <f>COUNTIF(V$1:V149,V149)</f>
        <v>9</v>
      </c>
      <c r="Z149" t="str">
        <f t="shared" si="8"/>
        <v>NA2-9</v>
      </c>
    </row>
    <row r="150" spans="1:26" x14ac:dyDescent="0.25">
      <c r="A150">
        <v>6</v>
      </c>
      <c r="B150" t="s">
        <v>419</v>
      </c>
      <c r="C150" t="s">
        <v>5506</v>
      </c>
      <c r="D150">
        <v>17.170000000000002</v>
      </c>
      <c r="E150">
        <v>2.5099999999999998</v>
      </c>
      <c r="F150">
        <v>0.9</v>
      </c>
      <c r="G150">
        <v>0.6</v>
      </c>
      <c r="H150">
        <v>0.08</v>
      </c>
      <c r="I150">
        <v>0.08</v>
      </c>
      <c r="J150" t="s">
        <v>19</v>
      </c>
      <c r="K150">
        <v>13.24</v>
      </c>
      <c r="L150">
        <v>2.88</v>
      </c>
      <c r="M150">
        <v>5.18</v>
      </c>
      <c r="N150">
        <v>26.8324</v>
      </c>
      <c r="O150">
        <v>4</v>
      </c>
      <c r="P150">
        <v>1</v>
      </c>
      <c r="Q150">
        <v>319.28399999999999</v>
      </c>
      <c r="R150">
        <v>4</v>
      </c>
      <c r="S150">
        <v>0</v>
      </c>
      <c r="T150">
        <v>7.15</v>
      </c>
      <c r="U150" t="str">
        <f>IFERROR(INDEX(Rosters!$C$2:$C$155,MATCH(B150,Rosters!$B$2:$B$155,0)),"NA")</f>
        <v>devon</v>
      </c>
      <c r="V150" t="str">
        <f t="shared" si="6"/>
        <v>devon6</v>
      </c>
      <c r="W150">
        <f>COUNTIFS(A$1:A150,A150)</f>
        <v>12</v>
      </c>
      <c r="X150" t="str">
        <f t="shared" si="7"/>
        <v>Jaguars D/ST6</v>
      </c>
      <c r="Y150">
        <f>COUNTIF(V$1:V150,V150)</f>
        <v>1</v>
      </c>
      <c r="Z150" t="str">
        <f t="shared" si="8"/>
        <v>devon6-1</v>
      </c>
    </row>
    <row r="151" spans="1:26" x14ac:dyDescent="0.25">
      <c r="A151">
        <v>2</v>
      </c>
      <c r="B151" t="s">
        <v>414</v>
      </c>
      <c r="C151" t="s">
        <v>1236</v>
      </c>
      <c r="D151">
        <v>18.59</v>
      </c>
      <c r="E151">
        <v>2.42</v>
      </c>
      <c r="F151">
        <v>1</v>
      </c>
      <c r="G151">
        <v>0.78</v>
      </c>
      <c r="H151">
        <v>0.04</v>
      </c>
      <c r="I151">
        <v>0.18</v>
      </c>
      <c r="J151" t="s">
        <v>74</v>
      </c>
      <c r="K151">
        <v>15.58</v>
      </c>
      <c r="L151">
        <v>1.88</v>
      </c>
      <c r="M151">
        <v>6.85</v>
      </c>
      <c r="N151">
        <v>46.922499999999999</v>
      </c>
      <c r="O151">
        <v>5</v>
      </c>
      <c r="P151">
        <v>0</v>
      </c>
      <c r="Q151">
        <v>326.66800000000001</v>
      </c>
      <c r="R151">
        <v>4</v>
      </c>
      <c r="S151">
        <v>0</v>
      </c>
      <c r="T151">
        <v>7.14</v>
      </c>
      <c r="U151" t="str">
        <f>IFERROR(INDEX(Rosters!$C$2:$C$155,MATCH(B151,Rosters!$B$2:$B$155,0)),"NA")</f>
        <v>comp</v>
      </c>
      <c r="V151" t="str">
        <f t="shared" si="6"/>
        <v>comp2</v>
      </c>
      <c r="W151">
        <f>COUNTIFS(A$1:A151,A151)</f>
        <v>15</v>
      </c>
      <c r="X151" t="str">
        <f t="shared" si="7"/>
        <v>Eagles D/ST2</v>
      </c>
      <c r="Y151">
        <f>COUNTIF(V$1:V151,V151)</f>
        <v>1</v>
      </c>
      <c r="Z151" t="str">
        <f t="shared" si="8"/>
        <v>comp2-1</v>
      </c>
    </row>
    <row r="152" spans="1:26" x14ac:dyDescent="0.25">
      <c r="A152">
        <v>5</v>
      </c>
      <c r="B152" t="s">
        <v>417</v>
      </c>
      <c r="C152" t="s">
        <v>9112</v>
      </c>
      <c r="D152">
        <v>19.21</v>
      </c>
      <c r="E152">
        <v>2.17</v>
      </c>
      <c r="F152">
        <v>1.06</v>
      </c>
      <c r="G152">
        <v>0.96</v>
      </c>
      <c r="H152">
        <v>0.04</v>
      </c>
      <c r="I152">
        <v>0.14000000000000001</v>
      </c>
      <c r="J152" t="s">
        <v>54</v>
      </c>
      <c r="K152">
        <v>12.77</v>
      </c>
      <c r="L152">
        <v>3.65</v>
      </c>
      <c r="M152">
        <v>4.5599999999999996</v>
      </c>
      <c r="N152">
        <v>20.793600000000001</v>
      </c>
      <c r="O152">
        <v>5</v>
      </c>
      <c r="P152">
        <v>0</v>
      </c>
      <c r="Q152">
        <v>329.892</v>
      </c>
      <c r="R152">
        <v>4</v>
      </c>
      <c r="S152">
        <v>0</v>
      </c>
      <c r="T152">
        <v>7.13</v>
      </c>
      <c r="U152" t="str">
        <f>IFERROR(INDEX(Rosters!$C$2:$C$155,MATCH(B152,Rosters!$B$2:$B$155,0)),"NA")</f>
        <v>NA</v>
      </c>
      <c r="V152" t="str">
        <f t="shared" si="6"/>
        <v>NA5</v>
      </c>
      <c r="W152">
        <f>COUNTIFS(A$1:A152,A152)</f>
        <v>7</v>
      </c>
      <c r="X152" t="str">
        <f t="shared" si="7"/>
        <v>Bengals D/ST5</v>
      </c>
      <c r="Y152">
        <f>COUNTIF(V$1:V152,V152)</f>
        <v>3</v>
      </c>
      <c r="Z152" t="str">
        <f t="shared" si="8"/>
        <v>NA5-3</v>
      </c>
    </row>
    <row r="153" spans="1:26" x14ac:dyDescent="0.25">
      <c r="A153">
        <v>7</v>
      </c>
      <c r="B153" t="s">
        <v>419</v>
      </c>
      <c r="C153" t="s">
        <v>5507</v>
      </c>
      <c r="D153">
        <v>19.63</v>
      </c>
      <c r="E153">
        <v>2.3199999999999998</v>
      </c>
      <c r="F153">
        <v>1.1000000000000001</v>
      </c>
      <c r="G153">
        <v>0.86</v>
      </c>
      <c r="H153">
        <v>0.02</v>
      </c>
      <c r="I153">
        <v>0.14000000000000001</v>
      </c>
      <c r="J153" t="s">
        <v>56</v>
      </c>
      <c r="K153">
        <v>13.79</v>
      </c>
      <c r="L153">
        <v>3.05</v>
      </c>
      <c r="M153">
        <v>5.37</v>
      </c>
      <c r="N153">
        <v>28.8369</v>
      </c>
      <c r="O153">
        <v>5</v>
      </c>
      <c r="P153">
        <v>0</v>
      </c>
      <c r="Q153">
        <v>332.07600000000002</v>
      </c>
      <c r="R153">
        <v>4</v>
      </c>
      <c r="S153">
        <v>0</v>
      </c>
      <c r="T153">
        <v>7.12</v>
      </c>
      <c r="U153" t="str">
        <f>IFERROR(INDEX(Rosters!$C$2:$C$155,MATCH(B153,Rosters!$B$2:$B$155,0)),"NA")</f>
        <v>devon</v>
      </c>
      <c r="V153" t="str">
        <f t="shared" si="6"/>
        <v>devon7</v>
      </c>
      <c r="W153">
        <f>COUNTIFS(A$1:A153,A153)</f>
        <v>10</v>
      </c>
      <c r="X153" t="str">
        <f t="shared" si="7"/>
        <v>Jaguars D/ST7</v>
      </c>
      <c r="Y153">
        <f>COUNTIF(V$1:V153,V153)</f>
        <v>1</v>
      </c>
      <c r="Z153" t="str">
        <f t="shared" si="8"/>
        <v>devon7-1</v>
      </c>
    </row>
    <row r="154" spans="1:26" x14ac:dyDescent="0.25">
      <c r="A154">
        <v>17</v>
      </c>
      <c r="B154" t="s">
        <v>419</v>
      </c>
      <c r="C154" t="s">
        <v>5507</v>
      </c>
      <c r="D154">
        <v>19.63</v>
      </c>
      <c r="E154">
        <v>2.3199999999999998</v>
      </c>
      <c r="F154">
        <v>1.1000000000000001</v>
      </c>
      <c r="G154">
        <v>0.86</v>
      </c>
      <c r="H154">
        <v>0.02</v>
      </c>
      <c r="I154">
        <v>0.14000000000000001</v>
      </c>
      <c r="J154" t="s">
        <v>56</v>
      </c>
      <c r="K154">
        <v>13.79</v>
      </c>
      <c r="L154">
        <v>3.05</v>
      </c>
      <c r="M154">
        <v>5.37</v>
      </c>
      <c r="N154">
        <v>28.8369</v>
      </c>
      <c r="O154">
        <v>5</v>
      </c>
      <c r="P154">
        <v>0</v>
      </c>
      <c r="Q154">
        <v>332.07600000000002</v>
      </c>
      <c r="R154">
        <v>4</v>
      </c>
      <c r="S154">
        <v>0</v>
      </c>
      <c r="T154">
        <v>7.12</v>
      </c>
      <c r="U154" t="str">
        <f>IFERROR(INDEX(Rosters!$C$2:$C$155,MATCH(B154,Rosters!$B$2:$B$155,0)),"NA")</f>
        <v>devon</v>
      </c>
      <c r="V154" t="str">
        <f t="shared" si="6"/>
        <v>devon17</v>
      </c>
      <c r="W154">
        <f>COUNTIFS(A$1:A154,A154)</f>
        <v>11</v>
      </c>
      <c r="X154" t="str">
        <f t="shared" si="7"/>
        <v>Jaguars D/ST17</v>
      </c>
      <c r="Y154">
        <f>COUNTIF(V$1:V154,V154)</f>
        <v>1</v>
      </c>
      <c r="Z154" t="str">
        <f t="shared" si="8"/>
        <v>devon17-1</v>
      </c>
    </row>
    <row r="155" spans="1:26" x14ac:dyDescent="0.25">
      <c r="A155">
        <v>13</v>
      </c>
      <c r="B155" t="s">
        <v>427</v>
      </c>
      <c r="C155" t="s">
        <v>5508</v>
      </c>
      <c r="D155">
        <v>21.66</v>
      </c>
      <c r="E155">
        <v>2.46</v>
      </c>
      <c r="F155">
        <v>0.78</v>
      </c>
      <c r="G155">
        <v>0.72</v>
      </c>
      <c r="H155">
        <v>0.04</v>
      </c>
      <c r="I155">
        <v>0.26</v>
      </c>
      <c r="J155" t="s">
        <v>46</v>
      </c>
      <c r="K155">
        <v>13.27</v>
      </c>
      <c r="L155">
        <v>2.39</v>
      </c>
      <c r="M155">
        <v>5.44</v>
      </c>
      <c r="N155">
        <v>29.593599999999999</v>
      </c>
      <c r="O155">
        <v>5</v>
      </c>
      <c r="P155">
        <v>0</v>
      </c>
      <c r="Q155">
        <v>342.63200000000001</v>
      </c>
      <c r="R155">
        <v>4</v>
      </c>
      <c r="S155">
        <v>0</v>
      </c>
      <c r="T155">
        <v>7.1</v>
      </c>
      <c r="U155" t="str">
        <f>IFERROR(INDEX(Rosters!$C$2:$C$155,MATCH(B155,Rosters!$B$2:$B$155,0)),"NA")</f>
        <v>aj</v>
      </c>
      <c r="V155" t="str">
        <f t="shared" si="6"/>
        <v>aj13</v>
      </c>
      <c r="W155">
        <f>COUNTIFS(A$1:A155,A155)</f>
        <v>13</v>
      </c>
      <c r="X155" t="str">
        <f t="shared" si="7"/>
        <v>Titans D/ST13</v>
      </c>
      <c r="Y155">
        <f>COUNTIF(V$1:V155,V155)</f>
        <v>1</v>
      </c>
      <c r="Z155" t="str">
        <f t="shared" si="8"/>
        <v>aj13-1</v>
      </c>
    </row>
    <row r="156" spans="1:26" x14ac:dyDescent="0.25">
      <c r="A156">
        <v>9</v>
      </c>
      <c r="B156" t="s">
        <v>418</v>
      </c>
      <c r="C156" t="s">
        <v>5509</v>
      </c>
      <c r="D156">
        <v>22.78</v>
      </c>
      <c r="E156">
        <v>2.2999999999999998</v>
      </c>
      <c r="F156">
        <v>0.94</v>
      </c>
      <c r="G156">
        <v>0.62</v>
      </c>
      <c r="H156">
        <v>0</v>
      </c>
      <c r="I156">
        <v>0.28000000000000003</v>
      </c>
      <c r="J156" t="s">
        <v>58</v>
      </c>
      <c r="K156">
        <v>12.65</v>
      </c>
      <c r="L156">
        <v>2.37</v>
      </c>
      <c r="M156">
        <v>5.14</v>
      </c>
      <c r="N156">
        <v>26.419599999999999</v>
      </c>
      <c r="O156">
        <v>5</v>
      </c>
      <c r="P156">
        <v>0</v>
      </c>
      <c r="Q156">
        <v>348.45600000000002</v>
      </c>
      <c r="R156">
        <v>4</v>
      </c>
      <c r="S156">
        <v>0</v>
      </c>
      <c r="T156">
        <v>7.1</v>
      </c>
      <c r="U156" t="str">
        <f>IFERROR(INDEX(Rosters!$C$2:$C$155,MATCH(B156,Rosters!$B$2:$B$155,0)),"NA")</f>
        <v>NA</v>
      </c>
      <c r="V156" t="str">
        <f t="shared" si="6"/>
        <v>NA9</v>
      </c>
      <c r="W156">
        <f>COUNTIFS(A$1:A156,A156)</f>
        <v>8</v>
      </c>
      <c r="X156" t="str">
        <f t="shared" si="7"/>
        <v>Bills D/ST9</v>
      </c>
      <c r="Y156">
        <f>COUNTIF(V$1:V156,V156)</f>
        <v>6</v>
      </c>
      <c r="Z156" t="str">
        <f t="shared" si="8"/>
        <v>NA9-6</v>
      </c>
    </row>
    <row r="157" spans="1:26" x14ac:dyDescent="0.25">
      <c r="A157">
        <v>13</v>
      </c>
      <c r="B157" t="s">
        <v>437</v>
      </c>
      <c r="C157" t="s">
        <v>5510</v>
      </c>
      <c r="D157">
        <v>25.48</v>
      </c>
      <c r="E157">
        <v>2.37</v>
      </c>
      <c r="F157">
        <v>0.92</v>
      </c>
      <c r="G157">
        <v>0.7</v>
      </c>
      <c r="H157">
        <v>0.04</v>
      </c>
      <c r="I157">
        <v>0.4</v>
      </c>
      <c r="J157" t="s">
        <v>51</v>
      </c>
      <c r="K157">
        <v>14.37</v>
      </c>
      <c r="L157">
        <v>1.81</v>
      </c>
      <c r="M157">
        <v>6.28</v>
      </c>
      <c r="N157">
        <v>39.438400000000001</v>
      </c>
      <c r="O157">
        <v>5</v>
      </c>
      <c r="P157">
        <v>0</v>
      </c>
      <c r="Q157">
        <v>362.49599999999998</v>
      </c>
      <c r="R157">
        <v>5</v>
      </c>
      <c r="S157">
        <v>-1</v>
      </c>
      <c r="T157">
        <v>7.09</v>
      </c>
      <c r="U157" t="str">
        <f>IFERROR(INDEX(Rosters!$C$2:$C$155,MATCH(B157,Rosters!$B$2:$B$155,0)),"NA")</f>
        <v>NA</v>
      </c>
      <c r="V157" t="str">
        <f t="shared" si="6"/>
        <v>NA13</v>
      </c>
      <c r="W157">
        <f>COUNTIFS(A$1:A157,A157)</f>
        <v>14</v>
      </c>
      <c r="X157" t="str">
        <f t="shared" si="7"/>
        <v>Falcons D/ST13</v>
      </c>
      <c r="Y157">
        <f>COUNTIF(V$1:V157,V157)</f>
        <v>6</v>
      </c>
      <c r="Z157" t="str">
        <f t="shared" si="8"/>
        <v>NA13-6</v>
      </c>
    </row>
    <row r="158" spans="1:26" x14ac:dyDescent="0.25">
      <c r="A158">
        <v>5</v>
      </c>
      <c r="B158" t="s">
        <v>430</v>
      </c>
      <c r="C158" t="s">
        <v>5511</v>
      </c>
      <c r="D158">
        <v>20.71</v>
      </c>
      <c r="E158">
        <v>2.42</v>
      </c>
      <c r="F158">
        <v>1.05</v>
      </c>
      <c r="G158">
        <v>0.75</v>
      </c>
      <c r="H158">
        <v>0.04</v>
      </c>
      <c r="I158">
        <v>0.16</v>
      </c>
      <c r="J158" t="s">
        <v>423</v>
      </c>
      <c r="K158">
        <v>14.11</v>
      </c>
      <c r="L158">
        <v>1.63</v>
      </c>
      <c r="M158">
        <v>6.24</v>
      </c>
      <c r="N158">
        <v>38.937600000000003</v>
      </c>
      <c r="O158">
        <v>5</v>
      </c>
      <c r="P158">
        <v>0</v>
      </c>
      <c r="Q158">
        <v>337.69200000000001</v>
      </c>
      <c r="R158">
        <v>4</v>
      </c>
      <c r="S158">
        <v>0</v>
      </c>
      <c r="T158">
        <v>7.06</v>
      </c>
      <c r="U158" t="str">
        <f>IFERROR(INDEX(Rosters!$C$2:$C$155,MATCH(B158,Rosters!$B$2:$B$155,0)),"NA")</f>
        <v>NA</v>
      </c>
      <c r="V158" t="str">
        <f t="shared" si="6"/>
        <v>NA5</v>
      </c>
      <c r="W158">
        <f>COUNTIFS(A$1:A158,A158)</f>
        <v>8</v>
      </c>
      <c r="X158" t="str">
        <f t="shared" si="7"/>
        <v>Jets D/ST5</v>
      </c>
      <c r="Y158">
        <f>COUNTIF(V$1:V158,V158)</f>
        <v>4</v>
      </c>
      <c r="Z158" t="str">
        <f t="shared" si="8"/>
        <v>NA5-4</v>
      </c>
    </row>
    <row r="159" spans="1:26" x14ac:dyDescent="0.25">
      <c r="A159">
        <v>11</v>
      </c>
      <c r="B159" t="s">
        <v>427</v>
      </c>
      <c r="C159" t="s">
        <v>5512</v>
      </c>
      <c r="D159">
        <v>21.13</v>
      </c>
      <c r="E159">
        <v>2.5</v>
      </c>
      <c r="F159">
        <v>0.86</v>
      </c>
      <c r="G159">
        <v>0.64</v>
      </c>
      <c r="H159">
        <v>0</v>
      </c>
      <c r="I159">
        <v>0.26</v>
      </c>
      <c r="J159" t="s">
        <v>41</v>
      </c>
      <c r="K159">
        <v>12.1</v>
      </c>
      <c r="L159">
        <v>3.2</v>
      </c>
      <c r="M159">
        <v>4.45</v>
      </c>
      <c r="N159">
        <v>19.802499999999998</v>
      </c>
      <c r="O159">
        <v>5</v>
      </c>
      <c r="P159">
        <v>0</v>
      </c>
      <c r="Q159">
        <v>339.87599999999998</v>
      </c>
      <c r="R159">
        <v>4</v>
      </c>
      <c r="S159">
        <v>0</v>
      </c>
      <c r="T159">
        <v>7.06</v>
      </c>
      <c r="U159" t="str">
        <f>IFERROR(INDEX(Rosters!$C$2:$C$155,MATCH(B159,Rosters!$B$2:$B$155,0)),"NA")</f>
        <v>aj</v>
      </c>
      <c r="V159" t="str">
        <f t="shared" si="6"/>
        <v>aj11</v>
      </c>
      <c r="W159">
        <f>COUNTIFS(A$1:A159,A159)</f>
        <v>5</v>
      </c>
      <c r="X159" t="str">
        <f t="shared" si="7"/>
        <v>Titans D/ST11</v>
      </c>
      <c r="Y159">
        <f>COUNTIF(V$1:V159,V159)</f>
        <v>1</v>
      </c>
      <c r="Z159" t="str">
        <f t="shared" si="8"/>
        <v>aj11-1</v>
      </c>
    </row>
    <row r="160" spans="1:26" x14ac:dyDescent="0.25">
      <c r="A160">
        <v>17</v>
      </c>
      <c r="B160" t="s">
        <v>427</v>
      </c>
      <c r="C160" t="s">
        <v>5512</v>
      </c>
      <c r="D160">
        <v>21.13</v>
      </c>
      <c r="E160">
        <v>2.5</v>
      </c>
      <c r="F160">
        <v>0.86</v>
      </c>
      <c r="G160">
        <v>0.64</v>
      </c>
      <c r="H160">
        <v>0</v>
      </c>
      <c r="I160">
        <v>0.26</v>
      </c>
      <c r="J160" t="s">
        <v>41</v>
      </c>
      <c r="K160">
        <v>12.1</v>
      </c>
      <c r="L160">
        <v>3.2</v>
      </c>
      <c r="M160">
        <v>4.45</v>
      </c>
      <c r="N160">
        <v>19.802499999999998</v>
      </c>
      <c r="O160">
        <v>5</v>
      </c>
      <c r="P160">
        <v>0</v>
      </c>
      <c r="Q160">
        <v>339.87599999999998</v>
      </c>
      <c r="R160">
        <v>4</v>
      </c>
      <c r="S160">
        <v>0</v>
      </c>
      <c r="T160">
        <v>7.06</v>
      </c>
      <c r="U160" t="str">
        <f>IFERROR(INDEX(Rosters!$C$2:$C$155,MATCH(B160,Rosters!$B$2:$B$155,0)),"NA")</f>
        <v>aj</v>
      </c>
      <c r="V160" t="str">
        <f t="shared" si="6"/>
        <v>aj17</v>
      </c>
      <c r="W160">
        <f>COUNTIFS(A$1:A160,A160)</f>
        <v>12</v>
      </c>
      <c r="X160" t="str">
        <f t="shared" si="7"/>
        <v>Titans D/ST17</v>
      </c>
      <c r="Y160">
        <f>COUNTIF(V$1:V160,V160)</f>
        <v>1</v>
      </c>
      <c r="Z160" t="str">
        <f t="shared" si="8"/>
        <v>aj17-1</v>
      </c>
    </row>
    <row r="161" spans="1:26" x14ac:dyDescent="0.25">
      <c r="A161">
        <v>10</v>
      </c>
      <c r="B161" t="s">
        <v>413</v>
      </c>
      <c r="C161" t="s">
        <v>5513</v>
      </c>
      <c r="D161">
        <v>22.22</v>
      </c>
      <c r="E161">
        <v>2.56</v>
      </c>
      <c r="F161">
        <v>1.18</v>
      </c>
      <c r="G161">
        <v>0.54</v>
      </c>
      <c r="H161">
        <v>0.04</v>
      </c>
      <c r="I161">
        <v>0.16</v>
      </c>
      <c r="J161" t="s">
        <v>31</v>
      </c>
      <c r="K161">
        <v>13.29</v>
      </c>
      <c r="L161">
        <v>1.81</v>
      </c>
      <c r="M161">
        <v>5.74</v>
      </c>
      <c r="N161">
        <v>32.947600000000001</v>
      </c>
      <c r="O161">
        <v>5</v>
      </c>
      <c r="P161">
        <v>0</v>
      </c>
      <c r="Q161">
        <v>345.54399999999998</v>
      </c>
      <c r="R161">
        <v>4</v>
      </c>
      <c r="S161">
        <v>0</v>
      </c>
      <c r="T161">
        <v>7.04</v>
      </c>
      <c r="U161" t="str">
        <f>IFERROR(INDEX(Rosters!$C$2:$C$155,MATCH(B161,Rosters!$B$2:$B$155,0)),"NA")</f>
        <v>cory</v>
      </c>
      <c r="V161" t="str">
        <f t="shared" si="6"/>
        <v>cory10</v>
      </c>
      <c r="W161">
        <f>COUNTIFS(A$1:A161,A161)</f>
        <v>6</v>
      </c>
      <c r="X161" t="str">
        <f t="shared" si="7"/>
        <v>Panthers D/ST10</v>
      </c>
      <c r="Y161">
        <f>COUNTIF(V$1:V161,V161)</f>
        <v>1</v>
      </c>
      <c r="Z161" t="str">
        <f t="shared" si="8"/>
        <v>cory10-1</v>
      </c>
    </row>
    <row r="162" spans="1:26" x14ac:dyDescent="0.25">
      <c r="A162">
        <v>3</v>
      </c>
      <c r="B162" t="s">
        <v>411</v>
      </c>
      <c r="C162" t="s">
        <v>4181</v>
      </c>
      <c r="D162">
        <v>13.94</v>
      </c>
      <c r="E162">
        <v>1.93</v>
      </c>
      <c r="F162">
        <v>0.96</v>
      </c>
      <c r="G162">
        <v>0.39</v>
      </c>
      <c r="H162">
        <v>0.04</v>
      </c>
      <c r="I162">
        <v>0.22</v>
      </c>
      <c r="J162" t="s">
        <v>423</v>
      </c>
      <c r="K162">
        <v>13.25</v>
      </c>
      <c r="L162">
        <v>4.17</v>
      </c>
      <c r="M162">
        <v>4.54</v>
      </c>
      <c r="N162">
        <v>20.611599999999999</v>
      </c>
      <c r="O162">
        <v>4</v>
      </c>
      <c r="P162">
        <v>1</v>
      </c>
      <c r="Q162">
        <v>302.488</v>
      </c>
      <c r="R162">
        <v>4</v>
      </c>
      <c r="S162">
        <v>0</v>
      </c>
      <c r="T162">
        <v>7.03</v>
      </c>
      <c r="U162" t="str">
        <f>IFERROR(INDEX(Rosters!$C$2:$C$155,MATCH(B162,Rosters!$B$2:$B$155,0)),"NA")</f>
        <v>lucas</v>
      </c>
      <c r="V162" t="str">
        <f t="shared" si="6"/>
        <v>lucas3</v>
      </c>
      <c r="W162">
        <f>COUNTIFS(A$1:A162,A162)</f>
        <v>8</v>
      </c>
      <c r="X162" t="str">
        <f t="shared" si="7"/>
        <v>Ravens D/ST3</v>
      </c>
      <c r="Y162">
        <f>COUNTIF(V$1:V162,V162)</f>
        <v>2</v>
      </c>
      <c r="Z162" t="str">
        <f t="shared" si="8"/>
        <v>lucas3-2</v>
      </c>
    </row>
    <row r="163" spans="1:26" x14ac:dyDescent="0.25">
      <c r="A163">
        <v>4</v>
      </c>
      <c r="B163" t="s">
        <v>435</v>
      </c>
      <c r="C163" t="s">
        <v>5007</v>
      </c>
      <c r="D163">
        <v>22.93</v>
      </c>
      <c r="E163">
        <v>2.41</v>
      </c>
      <c r="F163">
        <v>1.07</v>
      </c>
      <c r="G163">
        <v>0.63</v>
      </c>
      <c r="H163">
        <v>0</v>
      </c>
      <c r="I163">
        <v>0.2</v>
      </c>
      <c r="J163" t="s">
        <v>19</v>
      </c>
      <c r="K163">
        <v>12.68</v>
      </c>
      <c r="L163">
        <v>1.94</v>
      </c>
      <c r="M163">
        <v>5.37</v>
      </c>
      <c r="N163">
        <v>28.8369</v>
      </c>
      <c r="O163">
        <v>5</v>
      </c>
      <c r="P163">
        <v>0</v>
      </c>
      <c r="Q163">
        <v>349.23599999999999</v>
      </c>
      <c r="R163">
        <v>4</v>
      </c>
      <c r="S163">
        <v>0</v>
      </c>
      <c r="T163">
        <v>7.01</v>
      </c>
      <c r="U163" t="str">
        <f>IFERROR(INDEX(Rosters!$C$2:$C$155,MATCH(B163,Rosters!$B$2:$B$155,0)),"NA")</f>
        <v>NA</v>
      </c>
      <c r="V163" t="str">
        <f t="shared" si="6"/>
        <v>NA4</v>
      </c>
      <c r="W163">
        <f>COUNTIFS(A$1:A163,A163)</f>
        <v>6</v>
      </c>
      <c r="X163" t="str">
        <f t="shared" si="7"/>
        <v>Lions D/ST4</v>
      </c>
      <c r="Y163">
        <f>COUNTIF(V$1:V163,V163)</f>
        <v>4</v>
      </c>
      <c r="Z163" t="str">
        <f t="shared" si="8"/>
        <v>NA4-4</v>
      </c>
    </row>
    <row r="164" spans="1:26" x14ac:dyDescent="0.25">
      <c r="A164">
        <v>2</v>
      </c>
      <c r="B164" t="s">
        <v>409</v>
      </c>
      <c r="C164" t="s">
        <v>1237</v>
      </c>
      <c r="D164">
        <v>22.9</v>
      </c>
      <c r="E164">
        <v>2.2000000000000002</v>
      </c>
      <c r="F164">
        <v>1.1200000000000001</v>
      </c>
      <c r="G164">
        <v>0.66</v>
      </c>
      <c r="H164">
        <v>0.02</v>
      </c>
      <c r="I164">
        <v>0.2</v>
      </c>
      <c r="J164" t="s">
        <v>52</v>
      </c>
      <c r="K164">
        <v>13.04</v>
      </c>
      <c r="L164">
        <v>1.86</v>
      </c>
      <c r="M164">
        <v>5.59</v>
      </c>
      <c r="N164">
        <v>31.248100000000001</v>
      </c>
      <c r="O164">
        <v>5</v>
      </c>
      <c r="P164">
        <v>0</v>
      </c>
      <c r="Q164">
        <v>349.08</v>
      </c>
      <c r="R164">
        <v>4</v>
      </c>
      <c r="S164">
        <v>0</v>
      </c>
      <c r="T164">
        <v>7</v>
      </c>
      <c r="U164" t="str">
        <f>IFERROR(INDEX(Rosters!$C$2:$C$155,MATCH(B164,Rosters!$B$2:$B$155,0)),"NA")</f>
        <v>NA</v>
      </c>
      <c r="V164" t="str">
        <f t="shared" si="6"/>
        <v>NA2</v>
      </c>
      <c r="W164">
        <f>COUNTIFS(A$1:A164,A164)</f>
        <v>16</v>
      </c>
      <c r="X164" t="str">
        <f t="shared" si="7"/>
        <v>Cardinals D/ST2</v>
      </c>
      <c r="Y164">
        <f>COUNTIF(V$1:V164,V164)</f>
        <v>10</v>
      </c>
      <c r="Z164" t="str">
        <f t="shared" si="8"/>
        <v>NA2-10</v>
      </c>
    </row>
    <row r="165" spans="1:26" x14ac:dyDescent="0.25">
      <c r="A165">
        <v>16</v>
      </c>
      <c r="B165" t="s">
        <v>425</v>
      </c>
      <c r="C165" t="s">
        <v>5514</v>
      </c>
      <c r="D165">
        <v>22.34</v>
      </c>
      <c r="E165">
        <v>2.2000000000000002</v>
      </c>
      <c r="F165">
        <v>1.08</v>
      </c>
      <c r="G165">
        <v>0.82</v>
      </c>
      <c r="H165">
        <v>0.02</v>
      </c>
      <c r="I165">
        <v>0.16</v>
      </c>
      <c r="J165" t="s">
        <v>46</v>
      </c>
      <c r="K165">
        <v>12.83</v>
      </c>
      <c r="L165">
        <v>2.33</v>
      </c>
      <c r="M165">
        <v>5.25</v>
      </c>
      <c r="N165">
        <v>27.5625</v>
      </c>
      <c r="O165">
        <v>5</v>
      </c>
      <c r="P165">
        <v>0</v>
      </c>
      <c r="Q165">
        <v>346.16800000000001</v>
      </c>
      <c r="R165">
        <v>4</v>
      </c>
      <c r="S165">
        <v>0</v>
      </c>
      <c r="T165">
        <v>7</v>
      </c>
      <c r="U165" t="str">
        <f>IFERROR(INDEX(Rosters!$C$2:$C$155,MATCH(B165,Rosters!$B$2:$B$155,0)),"NA")</f>
        <v>NA</v>
      </c>
      <c r="V165" t="str">
        <f t="shared" si="6"/>
        <v>NA16</v>
      </c>
      <c r="W165">
        <f>COUNTIFS(A$1:A165,A165)</f>
        <v>13</v>
      </c>
      <c r="X165" t="str">
        <f t="shared" si="7"/>
        <v>Packers D/ST16</v>
      </c>
      <c r="Y165">
        <f>COUNTIF(V$1:V165,V165)</f>
        <v>8</v>
      </c>
      <c r="Z165" t="str">
        <f t="shared" si="8"/>
        <v>NA16-8</v>
      </c>
    </row>
    <row r="166" spans="1:26" x14ac:dyDescent="0.25">
      <c r="A166">
        <v>11</v>
      </c>
      <c r="B166" t="s">
        <v>433</v>
      </c>
      <c r="C166" t="s">
        <v>5515</v>
      </c>
      <c r="D166">
        <v>20.420000000000002</v>
      </c>
      <c r="E166">
        <v>2.12</v>
      </c>
      <c r="F166">
        <v>0.94</v>
      </c>
      <c r="G166">
        <v>0.72</v>
      </c>
      <c r="H166">
        <v>0</v>
      </c>
      <c r="I166">
        <v>0.26</v>
      </c>
      <c r="J166" t="s">
        <v>34</v>
      </c>
      <c r="K166">
        <v>13.49</v>
      </c>
      <c r="L166">
        <v>2.27</v>
      </c>
      <c r="M166">
        <v>5.61</v>
      </c>
      <c r="N166">
        <v>31.472100000000001</v>
      </c>
      <c r="O166">
        <v>5</v>
      </c>
      <c r="P166">
        <v>0</v>
      </c>
      <c r="Q166">
        <v>336.18400000000003</v>
      </c>
      <c r="R166">
        <v>4</v>
      </c>
      <c r="S166">
        <v>0</v>
      </c>
      <c r="T166">
        <v>7</v>
      </c>
      <c r="U166" t="str">
        <f>IFERROR(INDEX(Rosters!$C$2:$C$155,MATCH(B166,Rosters!$B$2:$B$155,0)),"NA")</f>
        <v>NA</v>
      </c>
      <c r="V166" t="str">
        <f t="shared" si="6"/>
        <v>NA11</v>
      </c>
      <c r="W166">
        <f>COUNTIFS(A$1:A166,A166)</f>
        <v>6</v>
      </c>
      <c r="X166" t="str">
        <f t="shared" si="7"/>
        <v>Raiders D/ST11</v>
      </c>
      <c r="Y166">
        <f>COUNTIF(V$1:V166,V166)</f>
        <v>3</v>
      </c>
      <c r="Z166" t="str">
        <f t="shared" si="8"/>
        <v>NA11-3</v>
      </c>
    </row>
    <row r="167" spans="1:26" x14ac:dyDescent="0.25">
      <c r="A167">
        <v>2</v>
      </c>
      <c r="B167" t="s">
        <v>411</v>
      </c>
      <c r="C167" t="s">
        <v>1238</v>
      </c>
      <c r="D167">
        <v>18.21</v>
      </c>
      <c r="E167">
        <v>2.36</v>
      </c>
      <c r="F167">
        <v>1.04</v>
      </c>
      <c r="G167">
        <v>0.68</v>
      </c>
      <c r="H167">
        <v>0.06</v>
      </c>
      <c r="I167">
        <v>0.18</v>
      </c>
      <c r="J167" t="s">
        <v>76</v>
      </c>
      <c r="K167">
        <v>14.68</v>
      </c>
      <c r="L167">
        <v>2.66</v>
      </c>
      <c r="M167">
        <v>6.01</v>
      </c>
      <c r="N167">
        <v>36.120100000000001</v>
      </c>
      <c r="O167">
        <v>5</v>
      </c>
      <c r="P167">
        <v>0</v>
      </c>
      <c r="Q167">
        <v>324.69200000000001</v>
      </c>
      <c r="R167">
        <v>4</v>
      </c>
      <c r="S167">
        <v>0</v>
      </c>
      <c r="T167">
        <v>7</v>
      </c>
      <c r="U167" t="str">
        <f>IFERROR(INDEX(Rosters!$C$2:$C$155,MATCH(B167,Rosters!$B$2:$B$155,0)),"NA")</f>
        <v>lucas</v>
      </c>
      <c r="V167" t="str">
        <f t="shared" si="6"/>
        <v>lucas2</v>
      </c>
      <c r="W167">
        <f>COUNTIFS(A$1:A167,A167)</f>
        <v>17</v>
      </c>
      <c r="X167" t="str">
        <f t="shared" si="7"/>
        <v>Ravens D/ST2</v>
      </c>
      <c r="Y167">
        <f>COUNTIF(V$1:V167,V167)</f>
        <v>2</v>
      </c>
      <c r="Z167" t="str">
        <f t="shared" si="8"/>
        <v>lucas2-2</v>
      </c>
    </row>
    <row r="168" spans="1:26" x14ac:dyDescent="0.25">
      <c r="A168">
        <v>12</v>
      </c>
      <c r="B168" t="s">
        <v>406</v>
      </c>
      <c r="C168" t="s">
        <v>5516</v>
      </c>
      <c r="D168">
        <v>19.79</v>
      </c>
      <c r="E168">
        <v>2.4700000000000002</v>
      </c>
      <c r="F168">
        <v>1.04</v>
      </c>
      <c r="G168">
        <v>0.68</v>
      </c>
      <c r="H168">
        <v>0.06</v>
      </c>
      <c r="I168">
        <v>0.16</v>
      </c>
      <c r="J168" t="s">
        <v>30</v>
      </c>
      <c r="K168">
        <v>13.62</v>
      </c>
      <c r="L168">
        <v>3.1</v>
      </c>
      <c r="M168">
        <v>5.26</v>
      </c>
      <c r="N168">
        <v>27.6676</v>
      </c>
      <c r="O168">
        <v>5</v>
      </c>
      <c r="P168">
        <v>0</v>
      </c>
      <c r="Q168">
        <v>332.90800000000002</v>
      </c>
      <c r="R168">
        <v>4</v>
      </c>
      <c r="S168">
        <v>0</v>
      </c>
      <c r="T168">
        <v>6.99</v>
      </c>
      <c r="U168" t="str">
        <f>IFERROR(INDEX(Rosters!$C$2:$C$155,MATCH(B168,Rosters!$B$2:$B$155,0)),"NA")</f>
        <v>seth</v>
      </c>
      <c r="V168" t="str">
        <f t="shared" si="6"/>
        <v>seth12</v>
      </c>
      <c r="W168">
        <f>COUNTIFS(A$1:A168,A168)</f>
        <v>10</v>
      </c>
      <c r="X168" t="str">
        <f t="shared" si="7"/>
        <v>Vikings D/ST12</v>
      </c>
      <c r="Y168">
        <f>COUNTIF(V$1:V168,V168)</f>
        <v>1</v>
      </c>
      <c r="Z168" t="str">
        <f t="shared" si="8"/>
        <v>seth12-1</v>
      </c>
    </row>
    <row r="169" spans="1:26" x14ac:dyDescent="0.25">
      <c r="A169">
        <v>9</v>
      </c>
      <c r="B169" t="s">
        <v>405</v>
      </c>
      <c r="C169" t="s">
        <v>5517</v>
      </c>
      <c r="D169">
        <v>21.78</v>
      </c>
      <c r="E169">
        <v>2.34</v>
      </c>
      <c r="F169">
        <v>1</v>
      </c>
      <c r="G169">
        <v>0.7</v>
      </c>
      <c r="H169">
        <v>0.02</v>
      </c>
      <c r="I169">
        <v>0.2</v>
      </c>
      <c r="J169" t="s">
        <v>423</v>
      </c>
      <c r="K169">
        <v>13.18</v>
      </c>
      <c r="L169">
        <v>2.08</v>
      </c>
      <c r="M169">
        <v>5.55</v>
      </c>
      <c r="N169">
        <v>30.802499999999998</v>
      </c>
      <c r="O169">
        <v>5</v>
      </c>
      <c r="P169">
        <v>0</v>
      </c>
      <c r="Q169">
        <v>343.25599999999997</v>
      </c>
      <c r="R169">
        <v>4</v>
      </c>
      <c r="S169">
        <v>0</v>
      </c>
      <c r="T169">
        <v>6.98</v>
      </c>
      <c r="U169" t="str">
        <f>IFERROR(INDEX(Rosters!$C$2:$C$155,MATCH(B169,Rosters!$B$2:$B$155,0)),"NA")</f>
        <v>perry</v>
      </c>
      <c r="V169" t="str">
        <f t="shared" si="6"/>
        <v>perry9</v>
      </c>
      <c r="W169">
        <f>COUNTIFS(A$1:A169,A169)</f>
        <v>9</v>
      </c>
      <c r="X169" t="str">
        <f t="shared" si="7"/>
        <v>Texans D/ST9</v>
      </c>
      <c r="Y169">
        <f>COUNTIF(V$1:V169,V169)</f>
        <v>1</v>
      </c>
      <c r="Z169" t="str">
        <f t="shared" si="8"/>
        <v>perry9-1</v>
      </c>
    </row>
    <row r="170" spans="1:26" x14ac:dyDescent="0.25">
      <c r="A170">
        <v>1</v>
      </c>
      <c r="B170" t="s">
        <v>435</v>
      </c>
      <c r="C170" t="s">
        <v>1239</v>
      </c>
      <c r="D170">
        <v>20.43</v>
      </c>
      <c r="E170">
        <v>2.2999999999999998</v>
      </c>
      <c r="F170">
        <v>1.1599999999999999</v>
      </c>
      <c r="G170">
        <v>0.74</v>
      </c>
      <c r="H170">
        <v>0.02</v>
      </c>
      <c r="I170">
        <v>0.14000000000000001</v>
      </c>
      <c r="J170" t="s">
        <v>46</v>
      </c>
      <c r="K170">
        <v>14.12</v>
      </c>
      <c r="L170">
        <v>2.34</v>
      </c>
      <c r="M170">
        <v>5.89</v>
      </c>
      <c r="N170">
        <v>34.692100000000003</v>
      </c>
      <c r="O170">
        <v>5</v>
      </c>
      <c r="P170">
        <v>0</v>
      </c>
      <c r="Q170">
        <v>336.23599999999999</v>
      </c>
      <c r="R170">
        <v>4</v>
      </c>
      <c r="S170">
        <v>0</v>
      </c>
      <c r="T170">
        <v>6.98</v>
      </c>
      <c r="U170" t="str">
        <f>IFERROR(INDEX(Rosters!$C$2:$C$155,MATCH(B170,Rosters!$B$2:$B$155,0)),"NA")</f>
        <v>NA</v>
      </c>
      <c r="V170" t="str">
        <f t="shared" si="6"/>
        <v>NA1</v>
      </c>
      <c r="W170">
        <f>COUNTIFS(A$1:A170,A170)</f>
        <v>12</v>
      </c>
      <c r="X170" t="str">
        <f t="shared" si="7"/>
        <v>Lions D/ST1</v>
      </c>
      <c r="Y170">
        <f>COUNTIF(V$1:V170,V170)</f>
        <v>7</v>
      </c>
      <c r="Z170" t="str">
        <f t="shared" si="8"/>
        <v>NA1-7</v>
      </c>
    </row>
    <row r="171" spans="1:26" x14ac:dyDescent="0.25">
      <c r="A171">
        <v>7</v>
      </c>
      <c r="B171" t="s">
        <v>429</v>
      </c>
      <c r="C171" t="s">
        <v>5518</v>
      </c>
      <c r="D171">
        <v>25.9</v>
      </c>
      <c r="E171">
        <v>2.3199999999999998</v>
      </c>
      <c r="F171">
        <v>1.1000000000000001</v>
      </c>
      <c r="G171">
        <v>0.68</v>
      </c>
      <c r="H171">
        <v>0.02</v>
      </c>
      <c r="I171">
        <v>0.34</v>
      </c>
      <c r="J171" t="s">
        <v>19</v>
      </c>
      <c r="K171">
        <v>13.42</v>
      </c>
      <c r="L171">
        <v>1.52</v>
      </c>
      <c r="M171">
        <v>5.95</v>
      </c>
      <c r="N171">
        <v>35.402500000000003</v>
      </c>
      <c r="O171">
        <v>5</v>
      </c>
      <c r="P171">
        <v>0</v>
      </c>
      <c r="Q171">
        <v>364.68</v>
      </c>
      <c r="R171">
        <v>5</v>
      </c>
      <c r="S171">
        <v>-1</v>
      </c>
      <c r="T171">
        <v>6.96</v>
      </c>
      <c r="U171" t="str">
        <f>IFERROR(INDEX(Rosters!$C$2:$C$155,MATCH(B171,Rosters!$B$2:$B$155,0)),"NA")</f>
        <v>NA</v>
      </c>
      <c r="V171" t="str">
        <f t="shared" si="6"/>
        <v>NA7</v>
      </c>
      <c r="W171">
        <f>COUNTIFS(A$1:A171,A171)</f>
        <v>11</v>
      </c>
      <c r="X171" t="str">
        <f t="shared" si="7"/>
        <v>Redskins D/ST7</v>
      </c>
      <c r="Y171">
        <f>COUNTIF(V$1:V171,V171)</f>
        <v>7</v>
      </c>
      <c r="Z171" t="str">
        <f t="shared" si="8"/>
        <v>NA7-7</v>
      </c>
    </row>
    <row r="172" spans="1:26" x14ac:dyDescent="0.25">
      <c r="A172">
        <v>12</v>
      </c>
      <c r="B172" t="s">
        <v>429</v>
      </c>
      <c r="C172" t="s">
        <v>5518</v>
      </c>
      <c r="D172">
        <v>25.9</v>
      </c>
      <c r="E172">
        <v>2.3199999999999998</v>
      </c>
      <c r="F172">
        <v>1.1000000000000001</v>
      </c>
      <c r="G172">
        <v>0.68</v>
      </c>
      <c r="H172">
        <v>0.02</v>
      </c>
      <c r="I172">
        <v>0.34</v>
      </c>
      <c r="J172" t="s">
        <v>19</v>
      </c>
      <c r="K172">
        <v>13.42</v>
      </c>
      <c r="L172">
        <v>1.52</v>
      </c>
      <c r="M172">
        <v>5.95</v>
      </c>
      <c r="N172">
        <v>35.402500000000003</v>
      </c>
      <c r="O172">
        <v>5</v>
      </c>
      <c r="P172">
        <v>0</v>
      </c>
      <c r="Q172">
        <v>364.68</v>
      </c>
      <c r="R172">
        <v>5</v>
      </c>
      <c r="S172">
        <v>-1</v>
      </c>
      <c r="T172">
        <v>6.96</v>
      </c>
      <c r="U172" t="str">
        <f>IFERROR(INDEX(Rosters!$C$2:$C$155,MATCH(B172,Rosters!$B$2:$B$155,0)),"NA")</f>
        <v>NA</v>
      </c>
      <c r="V172" t="str">
        <f t="shared" si="6"/>
        <v>NA12</v>
      </c>
      <c r="W172">
        <f>COUNTIFS(A$1:A172,A172)</f>
        <v>11</v>
      </c>
      <c r="X172" t="str">
        <f t="shared" si="7"/>
        <v>Redskins D/ST12</v>
      </c>
      <c r="Y172">
        <f>COUNTIF(V$1:V172,V172)</f>
        <v>6</v>
      </c>
      <c r="Z172" t="str">
        <f t="shared" si="8"/>
        <v>NA12-6</v>
      </c>
    </row>
    <row r="173" spans="1:26" x14ac:dyDescent="0.25">
      <c r="A173">
        <v>2</v>
      </c>
      <c r="B173" t="s">
        <v>427</v>
      </c>
      <c r="C173" t="s">
        <v>1240</v>
      </c>
      <c r="D173">
        <v>22.53</v>
      </c>
      <c r="E173">
        <v>2.68</v>
      </c>
      <c r="F173">
        <v>0.88</v>
      </c>
      <c r="G173">
        <v>0.7</v>
      </c>
      <c r="H173">
        <v>0.02</v>
      </c>
      <c r="I173">
        <v>0.18</v>
      </c>
      <c r="J173" t="s">
        <v>56</v>
      </c>
      <c r="K173">
        <v>12.69</v>
      </c>
      <c r="L173">
        <v>2.19</v>
      </c>
      <c r="M173">
        <v>5.25</v>
      </c>
      <c r="N173">
        <v>27.5625</v>
      </c>
      <c r="O173">
        <v>5</v>
      </c>
      <c r="P173">
        <v>0</v>
      </c>
      <c r="Q173">
        <v>347.15600000000001</v>
      </c>
      <c r="R173">
        <v>4</v>
      </c>
      <c r="S173">
        <v>0</v>
      </c>
      <c r="T173">
        <v>6.96</v>
      </c>
      <c r="U173" t="str">
        <f>IFERROR(INDEX(Rosters!$C$2:$C$155,MATCH(B173,Rosters!$B$2:$B$155,0)),"NA")</f>
        <v>aj</v>
      </c>
      <c r="V173" t="str">
        <f t="shared" si="6"/>
        <v>aj2</v>
      </c>
      <c r="W173">
        <f>COUNTIFS(A$1:A173,A173)</f>
        <v>18</v>
      </c>
      <c r="X173" t="str">
        <f t="shared" si="7"/>
        <v>Titans D/ST2</v>
      </c>
      <c r="Y173">
        <f>COUNTIF(V$1:V173,V173)</f>
        <v>1</v>
      </c>
      <c r="Z173" t="str">
        <f t="shared" si="8"/>
        <v>aj2-1</v>
      </c>
    </row>
    <row r="174" spans="1:26" x14ac:dyDescent="0.25">
      <c r="A174">
        <v>10</v>
      </c>
      <c r="B174" t="s">
        <v>418</v>
      </c>
      <c r="C174" t="s">
        <v>5519</v>
      </c>
      <c r="D174">
        <v>20</v>
      </c>
      <c r="E174">
        <v>2.2400000000000002</v>
      </c>
      <c r="F174">
        <v>0.88</v>
      </c>
      <c r="G174">
        <v>0.74</v>
      </c>
      <c r="H174">
        <v>0.02</v>
      </c>
      <c r="I174">
        <v>0.24</v>
      </c>
      <c r="J174" t="s">
        <v>46</v>
      </c>
      <c r="K174">
        <v>13.94</v>
      </c>
      <c r="L174">
        <v>1.8</v>
      </c>
      <c r="M174">
        <v>6.07</v>
      </c>
      <c r="N174">
        <v>36.844900000000003</v>
      </c>
      <c r="O174">
        <v>5</v>
      </c>
      <c r="P174">
        <v>0</v>
      </c>
      <c r="Q174">
        <v>334</v>
      </c>
      <c r="R174">
        <v>4</v>
      </c>
      <c r="S174">
        <v>0</v>
      </c>
      <c r="T174">
        <v>6.96</v>
      </c>
      <c r="U174" t="str">
        <f>IFERROR(INDEX(Rosters!$C$2:$C$155,MATCH(B174,Rosters!$B$2:$B$155,0)),"NA")</f>
        <v>NA</v>
      </c>
      <c r="V174" t="str">
        <f t="shared" si="6"/>
        <v>NA10</v>
      </c>
      <c r="W174">
        <f>COUNTIFS(A$1:A174,A174)</f>
        <v>7</v>
      </c>
      <c r="X174" t="str">
        <f t="shared" si="7"/>
        <v>Bills D/ST10</v>
      </c>
      <c r="Y174">
        <f>COUNTIF(V$1:V174,V174)</f>
        <v>4</v>
      </c>
      <c r="Z174" t="str">
        <f t="shared" si="8"/>
        <v>NA10-4</v>
      </c>
    </row>
    <row r="175" spans="1:26" x14ac:dyDescent="0.25">
      <c r="A175">
        <v>14</v>
      </c>
      <c r="B175" t="s">
        <v>418</v>
      </c>
      <c r="C175" t="s">
        <v>5519</v>
      </c>
      <c r="D175">
        <v>20</v>
      </c>
      <c r="E175">
        <v>2.2400000000000002</v>
      </c>
      <c r="F175">
        <v>0.88</v>
      </c>
      <c r="G175">
        <v>0.74</v>
      </c>
      <c r="H175">
        <v>0.02</v>
      </c>
      <c r="I175">
        <v>0.24</v>
      </c>
      <c r="J175" t="s">
        <v>46</v>
      </c>
      <c r="K175">
        <v>13.94</v>
      </c>
      <c r="L175">
        <v>1.8</v>
      </c>
      <c r="M175">
        <v>6.07</v>
      </c>
      <c r="N175">
        <v>36.844900000000003</v>
      </c>
      <c r="O175">
        <v>5</v>
      </c>
      <c r="P175">
        <v>0</v>
      </c>
      <c r="Q175">
        <v>334</v>
      </c>
      <c r="R175">
        <v>4</v>
      </c>
      <c r="S175">
        <v>0</v>
      </c>
      <c r="T175">
        <v>6.96</v>
      </c>
      <c r="U175" t="str">
        <f>IFERROR(INDEX(Rosters!$C$2:$C$155,MATCH(B175,Rosters!$B$2:$B$155,0)),"NA")</f>
        <v>NA</v>
      </c>
      <c r="V175" t="str">
        <f t="shared" si="6"/>
        <v>NA14</v>
      </c>
      <c r="W175">
        <f>COUNTIFS(A$1:A175,A175)</f>
        <v>9</v>
      </c>
      <c r="X175" t="str">
        <f t="shared" si="7"/>
        <v>Bills D/ST14</v>
      </c>
      <c r="Y175">
        <f>COUNTIF(V$1:V175,V175)</f>
        <v>5</v>
      </c>
      <c r="Z175" t="str">
        <f t="shared" si="8"/>
        <v>NA14-5</v>
      </c>
    </row>
    <row r="176" spans="1:26" x14ac:dyDescent="0.25">
      <c r="A176">
        <v>3</v>
      </c>
      <c r="B176" t="s">
        <v>420</v>
      </c>
      <c r="C176">
        <f>-0.99-16.57</f>
        <v>-17.559999999999999</v>
      </c>
      <c r="D176">
        <v>25.75</v>
      </c>
      <c r="E176">
        <v>2.44</v>
      </c>
      <c r="F176">
        <v>1.4</v>
      </c>
      <c r="G176">
        <v>0.7</v>
      </c>
      <c r="H176">
        <v>0</v>
      </c>
      <c r="I176">
        <v>0.22</v>
      </c>
      <c r="J176" t="s">
        <v>66</v>
      </c>
      <c r="K176">
        <v>16.57</v>
      </c>
      <c r="L176">
        <v>-0.99</v>
      </c>
      <c r="M176">
        <v>8.7799999999999994</v>
      </c>
      <c r="N176">
        <v>77.088399999999993</v>
      </c>
      <c r="O176">
        <v>5</v>
      </c>
      <c r="P176">
        <v>0</v>
      </c>
      <c r="Q176">
        <v>363.9</v>
      </c>
      <c r="R176">
        <v>5</v>
      </c>
      <c r="S176">
        <v>-1</v>
      </c>
      <c r="T176">
        <v>6.96</v>
      </c>
      <c r="U176" t="str">
        <f>IFERROR(INDEX(Rosters!$C$2:$C$155,MATCH(B176,Rosters!$B$2:$B$155,0)),"NA")</f>
        <v>scott</v>
      </c>
      <c r="V176" t="str">
        <f t="shared" si="6"/>
        <v>scott3</v>
      </c>
      <c r="W176">
        <f>COUNTIFS(A$1:A176,A176)</f>
        <v>9</v>
      </c>
      <c r="X176" t="str">
        <f t="shared" si="7"/>
        <v>Rams D/ST3</v>
      </c>
      <c r="Y176">
        <f>COUNTIF(V$1:V176,V176)</f>
        <v>1</v>
      </c>
      <c r="Z176" t="str">
        <f t="shared" si="8"/>
        <v>scott3-1</v>
      </c>
    </row>
    <row r="177" spans="1:26" x14ac:dyDescent="0.25">
      <c r="A177">
        <v>4</v>
      </c>
      <c r="B177" t="s">
        <v>405</v>
      </c>
      <c r="C177" t="s">
        <v>5008</v>
      </c>
      <c r="D177">
        <v>22.54</v>
      </c>
      <c r="E177">
        <v>2.4500000000000002</v>
      </c>
      <c r="F177">
        <v>0.81</v>
      </c>
      <c r="G177">
        <v>0.85</v>
      </c>
      <c r="H177">
        <v>0.02</v>
      </c>
      <c r="I177">
        <v>0.19</v>
      </c>
      <c r="J177" t="s">
        <v>41</v>
      </c>
      <c r="K177">
        <v>12.63</v>
      </c>
      <c r="L177">
        <v>2.11</v>
      </c>
      <c r="M177">
        <v>5.26</v>
      </c>
      <c r="N177">
        <v>27.6676</v>
      </c>
      <c r="O177">
        <v>5</v>
      </c>
      <c r="P177">
        <v>0</v>
      </c>
      <c r="Q177">
        <v>347.20800000000003</v>
      </c>
      <c r="R177">
        <v>4</v>
      </c>
      <c r="S177">
        <v>0</v>
      </c>
      <c r="T177">
        <v>6.95</v>
      </c>
      <c r="U177" t="str">
        <f>IFERROR(INDEX(Rosters!$C$2:$C$155,MATCH(B177,Rosters!$B$2:$B$155,0)),"NA")</f>
        <v>perry</v>
      </c>
      <c r="V177" t="str">
        <f t="shared" si="6"/>
        <v>perry4</v>
      </c>
      <c r="W177">
        <f>COUNTIFS(A$1:A177,A177)</f>
        <v>7</v>
      </c>
      <c r="X177" t="str">
        <f t="shared" si="7"/>
        <v>Texans D/ST4</v>
      </c>
      <c r="Y177">
        <f>COUNTIF(V$1:V177,V177)</f>
        <v>1</v>
      </c>
      <c r="Z177" t="str">
        <f t="shared" si="8"/>
        <v>perry4-1</v>
      </c>
    </row>
    <row r="178" spans="1:26" x14ac:dyDescent="0.25">
      <c r="A178">
        <v>3</v>
      </c>
      <c r="B178" t="s">
        <v>415</v>
      </c>
      <c r="C178" t="s">
        <v>4182</v>
      </c>
      <c r="D178">
        <v>19.75</v>
      </c>
      <c r="E178">
        <v>2.08</v>
      </c>
      <c r="F178">
        <v>1.07</v>
      </c>
      <c r="G178">
        <v>0.54</v>
      </c>
      <c r="H178">
        <v>0.04</v>
      </c>
      <c r="I178">
        <v>0.26</v>
      </c>
      <c r="J178" t="s">
        <v>42</v>
      </c>
      <c r="K178">
        <v>13.89</v>
      </c>
      <c r="L178">
        <v>2.0099999999999998</v>
      </c>
      <c r="M178">
        <v>5.94</v>
      </c>
      <c r="N178">
        <v>35.2836</v>
      </c>
      <c r="O178">
        <v>5</v>
      </c>
      <c r="P178">
        <v>0</v>
      </c>
      <c r="Q178">
        <v>332.7</v>
      </c>
      <c r="R178">
        <v>4</v>
      </c>
      <c r="S178">
        <v>0</v>
      </c>
      <c r="T178">
        <v>6.94</v>
      </c>
      <c r="U178" t="str">
        <f>IFERROR(INDEX(Rosters!$C$2:$C$155,MATCH(B178,Rosters!$B$2:$B$155,0)),"NA")</f>
        <v>NA</v>
      </c>
      <c r="V178" t="str">
        <f t="shared" si="6"/>
        <v>NA3</v>
      </c>
      <c r="W178">
        <f>COUNTIFS(A$1:A178,A178)</f>
        <v>10</v>
      </c>
      <c r="X178" t="str">
        <f t="shared" si="7"/>
        <v>Patriots D/ST3</v>
      </c>
      <c r="Y178">
        <f>COUNTIF(V$1:V178,V178)</f>
        <v>2</v>
      </c>
      <c r="Z178" t="str">
        <f t="shared" si="8"/>
        <v>NA3-2</v>
      </c>
    </row>
    <row r="179" spans="1:26" x14ac:dyDescent="0.25">
      <c r="A179">
        <v>14</v>
      </c>
      <c r="B179" t="s">
        <v>436</v>
      </c>
      <c r="C179" t="s">
        <v>5520</v>
      </c>
      <c r="D179">
        <v>22.33</v>
      </c>
      <c r="E179">
        <v>2.58</v>
      </c>
      <c r="F179">
        <v>1.02</v>
      </c>
      <c r="G179">
        <v>0.82</v>
      </c>
      <c r="H179">
        <v>0.04</v>
      </c>
      <c r="I179">
        <v>0.1</v>
      </c>
      <c r="J179" t="s">
        <v>423</v>
      </c>
      <c r="K179">
        <v>12.08</v>
      </c>
      <c r="L179">
        <v>3.02</v>
      </c>
      <c r="M179">
        <v>4.53</v>
      </c>
      <c r="N179">
        <v>20.520900000000001</v>
      </c>
      <c r="O179">
        <v>5</v>
      </c>
      <c r="P179">
        <v>0</v>
      </c>
      <c r="Q179">
        <v>346.11599999999999</v>
      </c>
      <c r="R179">
        <v>4</v>
      </c>
      <c r="S179">
        <v>0</v>
      </c>
      <c r="T179">
        <v>6.94</v>
      </c>
      <c r="U179" t="str">
        <f>IFERROR(INDEX(Rosters!$C$2:$C$155,MATCH(B179,Rosters!$B$2:$B$155,0)),"NA")</f>
        <v>NA</v>
      </c>
      <c r="V179" t="str">
        <f t="shared" si="6"/>
        <v>NA14</v>
      </c>
      <c r="W179">
        <f>COUNTIFS(A$1:A179,A179)</f>
        <v>10</v>
      </c>
      <c r="X179" t="str">
        <f t="shared" si="7"/>
        <v>49ers D/ST14</v>
      </c>
      <c r="Y179">
        <f>COUNTIF(V$1:V179,V179)</f>
        <v>6</v>
      </c>
      <c r="Z179" t="str">
        <f t="shared" si="8"/>
        <v>NA14-6</v>
      </c>
    </row>
    <row r="180" spans="1:26" x14ac:dyDescent="0.25">
      <c r="A180">
        <v>3</v>
      </c>
      <c r="B180" t="s">
        <v>430</v>
      </c>
      <c r="C180" t="s">
        <v>3895</v>
      </c>
      <c r="D180">
        <v>16.64</v>
      </c>
      <c r="E180">
        <v>1.83</v>
      </c>
      <c r="F180">
        <v>0.8</v>
      </c>
      <c r="G180">
        <v>0.63</v>
      </c>
      <c r="H180">
        <v>0.05</v>
      </c>
      <c r="I180">
        <v>0.19</v>
      </c>
      <c r="J180" t="s">
        <v>17</v>
      </c>
      <c r="K180">
        <v>12.03</v>
      </c>
      <c r="L180">
        <v>3.81</v>
      </c>
      <c r="M180">
        <v>4.1100000000000003</v>
      </c>
      <c r="N180">
        <v>16.892099999999999</v>
      </c>
      <c r="O180">
        <v>4</v>
      </c>
      <c r="P180">
        <v>1</v>
      </c>
      <c r="Q180">
        <v>316.52800000000002</v>
      </c>
      <c r="R180">
        <v>4</v>
      </c>
      <c r="S180">
        <v>0</v>
      </c>
      <c r="T180">
        <v>6.93</v>
      </c>
      <c r="U180" t="str">
        <f>IFERROR(INDEX(Rosters!$C$2:$C$155,MATCH(B180,Rosters!$B$2:$B$155,0)),"NA")</f>
        <v>NA</v>
      </c>
      <c r="V180" t="str">
        <f t="shared" si="6"/>
        <v>NA3</v>
      </c>
      <c r="W180">
        <f>COUNTIFS(A$1:A180,A180)</f>
        <v>11</v>
      </c>
      <c r="X180" t="str">
        <f t="shared" si="7"/>
        <v>Jets D/ST3</v>
      </c>
      <c r="Y180">
        <f>COUNTIF(V$1:V180,V180)</f>
        <v>3</v>
      </c>
      <c r="Z180" t="str">
        <f t="shared" si="8"/>
        <v>NA3-3</v>
      </c>
    </row>
    <row r="181" spans="1:26" x14ac:dyDescent="0.25">
      <c r="A181">
        <v>7</v>
      </c>
      <c r="B181" t="s">
        <v>421</v>
      </c>
      <c r="C181" t="s">
        <v>5521</v>
      </c>
      <c r="D181">
        <v>22.29</v>
      </c>
      <c r="E181">
        <v>2.2799999999999998</v>
      </c>
      <c r="F181">
        <v>0.94</v>
      </c>
      <c r="G181">
        <v>0.72</v>
      </c>
      <c r="H181">
        <v>0</v>
      </c>
      <c r="I181">
        <v>0.22</v>
      </c>
      <c r="J181" t="s">
        <v>22</v>
      </c>
      <c r="K181">
        <v>13.11</v>
      </c>
      <c r="L181">
        <v>1.89</v>
      </c>
      <c r="M181">
        <v>5.61</v>
      </c>
      <c r="N181">
        <v>31.472100000000001</v>
      </c>
      <c r="O181">
        <v>5</v>
      </c>
      <c r="P181">
        <v>0</v>
      </c>
      <c r="Q181">
        <v>345.90800000000002</v>
      </c>
      <c r="R181">
        <v>4</v>
      </c>
      <c r="S181">
        <v>0</v>
      </c>
      <c r="T181">
        <v>6.92</v>
      </c>
      <c r="U181" t="str">
        <f>IFERROR(INDEX(Rosters!$C$2:$C$155,MATCH(B181,Rosters!$B$2:$B$155,0)),"NA")</f>
        <v>NA</v>
      </c>
      <c r="V181" t="str">
        <f t="shared" si="6"/>
        <v>NA7</v>
      </c>
      <c r="W181">
        <f>COUNTIFS(A$1:A181,A181)</f>
        <v>12</v>
      </c>
      <c r="X181" t="str">
        <f t="shared" si="7"/>
        <v>Chargers D/ST7</v>
      </c>
      <c r="Y181">
        <f>COUNTIF(V$1:V181,V181)</f>
        <v>8</v>
      </c>
      <c r="Z181" t="str">
        <f t="shared" si="8"/>
        <v>NA7-8</v>
      </c>
    </row>
    <row r="182" spans="1:26" x14ac:dyDescent="0.25">
      <c r="A182">
        <v>15</v>
      </c>
      <c r="B182" t="s">
        <v>419</v>
      </c>
      <c r="C182" t="s">
        <v>5522</v>
      </c>
      <c r="D182">
        <v>19.97</v>
      </c>
      <c r="E182">
        <v>2.08</v>
      </c>
      <c r="F182">
        <v>0.9</v>
      </c>
      <c r="G182">
        <v>0.9</v>
      </c>
      <c r="H182">
        <v>0.02</v>
      </c>
      <c r="I182">
        <v>0.2</v>
      </c>
      <c r="J182" t="s">
        <v>38</v>
      </c>
      <c r="K182">
        <v>13.67</v>
      </c>
      <c r="L182">
        <v>2.93</v>
      </c>
      <c r="M182">
        <v>5.37</v>
      </c>
      <c r="N182">
        <v>28.8369</v>
      </c>
      <c r="O182">
        <v>5</v>
      </c>
      <c r="P182">
        <v>0</v>
      </c>
      <c r="Q182">
        <v>333.84399999999999</v>
      </c>
      <c r="R182">
        <v>4</v>
      </c>
      <c r="S182">
        <v>0</v>
      </c>
      <c r="T182">
        <v>6.92</v>
      </c>
      <c r="U182" t="str">
        <f>IFERROR(INDEX(Rosters!$C$2:$C$155,MATCH(B182,Rosters!$B$2:$B$155,0)),"NA")</f>
        <v>devon</v>
      </c>
      <c r="V182" t="str">
        <f t="shared" si="6"/>
        <v>devon15</v>
      </c>
      <c r="W182">
        <f>COUNTIFS(A$1:A182,A182)</f>
        <v>10</v>
      </c>
      <c r="X182" t="str">
        <f t="shared" si="7"/>
        <v>Jaguars D/ST15</v>
      </c>
      <c r="Y182">
        <f>COUNTIF(V$1:V182,V182)</f>
        <v>1</v>
      </c>
      <c r="Z182" t="str">
        <f t="shared" si="8"/>
        <v>devon15-1</v>
      </c>
    </row>
    <row r="183" spans="1:26" x14ac:dyDescent="0.25">
      <c r="A183">
        <v>5</v>
      </c>
      <c r="B183" t="s">
        <v>414</v>
      </c>
      <c r="C183" t="s">
        <v>9113</v>
      </c>
      <c r="D183">
        <v>21.28</v>
      </c>
      <c r="E183">
        <v>2.0299999999999998</v>
      </c>
      <c r="F183">
        <v>0.92</v>
      </c>
      <c r="G183">
        <v>0.9</v>
      </c>
      <c r="H183">
        <v>0.02</v>
      </c>
      <c r="I183">
        <v>0.2</v>
      </c>
      <c r="J183" t="s">
        <v>29</v>
      </c>
      <c r="K183">
        <v>13.18</v>
      </c>
      <c r="L183">
        <v>2.74</v>
      </c>
      <c r="M183">
        <v>5.22</v>
      </c>
      <c r="N183">
        <v>27.2484</v>
      </c>
      <c r="O183">
        <v>5</v>
      </c>
      <c r="P183">
        <v>0</v>
      </c>
      <c r="Q183">
        <v>340.65600000000001</v>
      </c>
      <c r="R183">
        <v>4</v>
      </c>
      <c r="S183">
        <v>0</v>
      </c>
      <c r="T183">
        <v>6.91</v>
      </c>
      <c r="U183" t="str">
        <f>IFERROR(INDEX(Rosters!$C$2:$C$155,MATCH(B183,Rosters!$B$2:$B$155,0)),"NA")</f>
        <v>comp</v>
      </c>
      <c r="V183" t="str">
        <f t="shared" si="6"/>
        <v>comp5</v>
      </c>
      <c r="W183">
        <f>COUNTIFS(A$1:A183,A183)</f>
        <v>9</v>
      </c>
      <c r="X183" t="str">
        <f t="shared" si="7"/>
        <v>Eagles D/ST5</v>
      </c>
      <c r="Y183">
        <f>COUNTIF(V$1:V183,V183)</f>
        <v>1</v>
      </c>
      <c r="Z183" t="str">
        <f t="shared" si="8"/>
        <v>comp5-1</v>
      </c>
    </row>
    <row r="184" spans="1:26" x14ac:dyDescent="0.25">
      <c r="A184">
        <v>9</v>
      </c>
      <c r="B184" t="s">
        <v>415</v>
      </c>
      <c r="C184" t="s">
        <v>5523</v>
      </c>
      <c r="D184">
        <v>26.87</v>
      </c>
      <c r="E184">
        <v>2.15</v>
      </c>
      <c r="F184">
        <v>1.48</v>
      </c>
      <c r="G184">
        <v>0.6</v>
      </c>
      <c r="H184">
        <v>0.1</v>
      </c>
      <c r="I184">
        <v>0.4</v>
      </c>
      <c r="J184" t="s">
        <v>30</v>
      </c>
      <c r="K184">
        <v>14.31</v>
      </c>
      <c r="L184">
        <v>3.01</v>
      </c>
      <c r="M184">
        <v>5.65</v>
      </c>
      <c r="N184">
        <v>31.922499999999999</v>
      </c>
      <c r="O184">
        <v>6</v>
      </c>
      <c r="P184">
        <v>-1</v>
      </c>
      <c r="Q184">
        <v>369.72399999999999</v>
      </c>
      <c r="R184">
        <v>5</v>
      </c>
      <c r="S184">
        <v>-1</v>
      </c>
      <c r="T184">
        <v>6.91</v>
      </c>
      <c r="U184" t="str">
        <f>IFERROR(INDEX(Rosters!$C$2:$C$155,MATCH(B184,Rosters!$B$2:$B$155,0)),"NA")</f>
        <v>NA</v>
      </c>
      <c r="V184" t="str">
        <f t="shared" si="6"/>
        <v>NA9</v>
      </c>
      <c r="W184">
        <f>COUNTIFS(A$1:A184,A184)</f>
        <v>10</v>
      </c>
      <c r="X184" t="str">
        <f t="shared" si="7"/>
        <v>Patriots D/ST9</v>
      </c>
      <c r="Y184">
        <f>COUNTIF(V$1:V184,V184)</f>
        <v>7</v>
      </c>
      <c r="Z184" t="str">
        <f t="shared" si="8"/>
        <v>NA9-7</v>
      </c>
    </row>
    <row r="185" spans="1:26" x14ac:dyDescent="0.25">
      <c r="A185">
        <v>16</v>
      </c>
      <c r="B185" t="s">
        <v>412</v>
      </c>
      <c r="C185" t="s">
        <v>5524</v>
      </c>
      <c r="D185">
        <v>22.3</v>
      </c>
      <c r="E185">
        <v>2.34</v>
      </c>
      <c r="F185">
        <v>1.02</v>
      </c>
      <c r="G185">
        <v>0.7</v>
      </c>
      <c r="H185">
        <v>0.02</v>
      </c>
      <c r="I185">
        <v>0.18</v>
      </c>
      <c r="J185" t="s">
        <v>50</v>
      </c>
      <c r="K185">
        <v>13.06</v>
      </c>
      <c r="L185">
        <v>2.02</v>
      </c>
      <c r="M185">
        <v>5.52</v>
      </c>
      <c r="N185">
        <v>30.470400000000001</v>
      </c>
      <c r="O185">
        <v>5</v>
      </c>
      <c r="P185">
        <v>0</v>
      </c>
      <c r="Q185">
        <v>345.96</v>
      </c>
      <c r="R185">
        <v>4</v>
      </c>
      <c r="S185">
        <v>0</v>
      </c>
      <c r="T185">
        <v>6.9</v>
      </c>
      <c r="U185" t="str">
        <f>IFERROR(INDEX(Rosters!$C$2:$C$155,MATCH(B185,Rosters!$B$2:$B$155,0)),"NA")</f>
        <v>chad</v>
      </c>
      <c r="V185" t="str">
        <f t="shared" si="6"/>
        <v>chad16</v>
      </c>
      <c r="W185">
        <f>COUNTIFS(A$1:A185,A185)</f>
        <v>14</v>
      </c>
      <c r="X185" t="str">
        <f t="shared" si="7"/>
        <v>Broncos D/ST16</v>
      </c>
      <c r="Y185">
        <f>COUNTIF(V$1:V185,V185)</f>
        <v>1</v>
      </c>
      <c r="Z185" t="str">
        <f t="shared" si="8"/>
        <v>chad16-1</v>
      </c>
    </row>
    <row r="186" spans="1:26" x14ac:dyDescent="0.25">
      <c r="A186">
        <v>2</v>
      </c>
      <c r="B186" t="s">
        <v>422</v>
      </c>
      <c r="C186" t="s">
        <v>1241</v>
      </c>
      <c r="D186">
        <v>20.86</v>
      </c>
      <c r="E186">
        <v>2.2200000000000002</v>
      </c>
      <c r="F186">
        <v>0.94</v>
      </c>
      <c r="G186">
        <v>0.7</v>
      </c>
      <c r="H186">
        <v>0.04</v>
      </c>
      <c r="I186">
        <v>0.22</v>
      </c>
      <c r="J186" t="s">
        <v>46</v>
      </c>
      <c r="K186">
        <v>12.7</v>
      </c>
      <c r="L186">
        <v>2.62</v>
      </c>
      <c r="M186">
        <v>5.04</v>
      </c>
      <c r="N186">
        <v>25.401599999999998</v>
      </c>
      <c r="O186">
        <v>5</v>
      </c>
      <c r="P186">
        <v>0</v>
      </c>
      <c r="Q186">
        <v>338.47199999999998</v>
      </c>
      <c r="R186">
        <v>4</v>
      </c>
      <c r="S186">
        <v>0</v>
      </c>
      <c r="T186">
        <v>6.9</v>
      </c>
      <c r="U186" t="str">
        <f>IFERROR(INDEX(Rosters!$C$2:$C$155,MATCH(B186,Rosters!$B$2:$B$155,0)),"NA")</f>
        <v>NA</v>
      </c>
      <c r="V186" t="str">
        <f t="shared" si="6"/>
        <v>NA2</v>
      </c>
      <c r="W186">
        <f>COUNTIFS(A$1:A186,A186)</f>
        <v>19</v>
      </c>
      <c r="X186" t="str">
        <f t="shared" si="7"/>
        <v>Dolphins D/ST2</v>
      </c>
      <c r="Y186">
        <f>COUNTIF(V$1:V186,V186)</f>
        <v>11</v>
      </c>
      <c r="Z186" t="str">
        <f t="shared" si="8"/>
        <v>NA2-11</v>
      </c>
    </row>
    <row r="187" spans="1:26" x14ac:dyDescent="0.25">
      <c r="A187">
        <v>4</v>
      </c>
      <c r="B187" t="s">
        <v>410</v>
      </c>
      <c r="C187" t="s">
        <v>5525</v>
      </c>
      <c r="D187">
        <v>22.06</v>
      </c>
      <c r="E187">
        <v>2.69</v>
      </c>
      <c r="F187">
        <v>0.93</v>
      </c>
      <c r="G187">
        <v>0.64</v>
      </c>
      <c r="H187">
        <v>0.02</v>
      </c>
      <c r="I187">
        <v>0.17</v>
      </c>
      <c r="J187" t="s">
        <v>423</v>
      </c>
      <c r="K187">
        <v>12.01</v>
      </c>
      <c r="L187">
        <v>2.57</v>
      </c>
      <c r="M187">
        <v>4.72</v>
      </c>
      <c r="N187">
        <v>22.278400000000001</v>
      </c>
      <c r="O187">
        <v>5</v>
      </c>
      <c r="P187">
        <v>0</v>
      </c>
      <c r="Q187">
        <v>344.71199999999999</v>
      </c>
      <c r="R187">
        <v>4</v>
      </c>
      <c r="S187">
        <v>0</v>
      </c>
      <c r="T187">
        <v>6.89</v>
      </c>
      <c r="U187" t="str">
        <f>IFERROR(INDEX(Rosters!$C$2:$C$155,MATCH(B187,Rosters!$B$2:$B$155,0)),"NA")</f>
        <v>NA</v>
      </c>
      <c r="V187" t="str">
        <f t="shared" si="6"/>
        <v>NA4</v>
      </c>
      <c r="W187">
        <f>COUNTIFS(A$1:A187,A187)</f>
        <v>8</v>
      </c>
      <c r="X187" t="str">
        <f t="shared" si="7"/>
        <v>Chiefs D/ST4</v>
      </c>
      <c r="Y187">
        <f>COUNTIF(V$1:V187,V187)</f>
        <v>5</v>
      </c>
      <c r="Z187" t="str">
        <f t="shared" si="8"/>
        <v>NA4-5</v>
      </c>
    </row>
    <row r="188" spans="1:26" x14ac:dyDescent="0.25">
      <c r="A188">
        <v>3</v>
      </c>
      <c r="B188" t="s">
        <v>414</v>
      </c>
      <c r="C188" t="s">
        <v>4183</v>
      </c>
      <c r="D188">
        <v>17.87</v>
      </c>
      <c r="E188">
        <v>2.29</v>
      </c>
      <c r="F188">
        <v>0.96</v>
      </c>
      <c r="G188">
        <v>0.82</v>
      </c>
      <c r="H188">
        <v>0.02</v>
      </c>
      <c r="I188">
        <v>0.16</v>
      </c>
      <c r="J188" t="s">
        <v>41</v>
      </c>
      <c r="K188">
        <v>14.66</v>
      </c>
      <c r="L188">
        <v>2.66</v>
      </c>
      <c r="M188">
        <v>6</v>
      </c>
      <c r="N188">
        <v>36</v>
      </c>
      <c r="O188">
        <v>5</v>
      </c>
      <c r="P188">
        <v>0</v>
      </c>
      <c r="Q188">
        <v>322.92399999999998</v>
      </c>
      <c r="R188">
        <v>4</v>
      </c>
      <c r="S188">
        <v>0</v>
      </c>
      <c r="T188">
        <v>6.85</v>
      </c>
      <c r="U188" t="str">
        <f>IFERROR(INDEX(Rosters!$C$2:$C$155,MATCH(B188,Rosters!$B$2:$B$155,0)),"NA")</f>
        <v>comp</v>
      </c>
      <c r="V188" t="str">
        <f t="shared" si="6"/>
        <v>comp3</v>
      </c>
      <c r="W188">
        <f>COUNTIFS(A$1:A188,A188)</f>
        <v>12</v>
      </c>
      <c r="X188" t="str">
        <f t="shared" si="7"/>
        <v>Eagles D/ST3</v>
      </c>
      <c r="Y188">
        <f>COUNTIF(V$1:V188,V188)</f>
        <v>1</v>
      </c>
      <c r="Z188" t="str">
        <f t="shared" si="8"/>
        <v>comp3-1</v>
      </c>
    </row>
    <row r="189" spans="1:26" x14ac:dyDescent="0.25">
      <c r="A189">
        <v>11</v>
      </c>
      <c r="B189" t="s">
        <v>417</v>
      </c>
      <c r="C189" t="s">
        <v>5526</v>
      </c>
      <c r="D189">
        <v>20.41</v>
      </c>
      <c r="E189">
        <v>2.2400000000000002</v>
      </c>
      <c r="F189">
        <v>0.94</v>
      </c>
      <c r="G189">
        <v>0.56000000000000005</v>
      </c>
      <c r="H189">
        <v>0.02</v>
      </c>
      <c r="I189">
        <v>0.26</v>
      </c>
      <c r="J189" t="s">
        <v>51</v>
      </c>
      <c r="K189">
        <v>13.26</v>
      </c>
      <c r="L189">
        <v>2</v>
      </c>
      <c r="M189">
        <v>5.63</v>
      </c>
      <c r="N189">
        <v>31.696899999999999</v>
      </c>
      <c r="O189">
        <v>5</v>
      </c>
      <c r="P189">
        <v>0</v>
      </c>
      <c r="Q189">
        <v>336.13200000000001</v>
      </c>
      <c r="R189">
        <v>4</v>
      </c>
      <c r="S189">
        <v>0</v>
      </c>
      <c r="T189">
        <v>6.84</v>
      </c>
      <c r="U189" t="str">
        <f>IFERROR(INDEX(Rosters!$C$2:$C$155,MATCH(B189,Rosters!$B$2:$B$155,0)),"NA")</f>
        <v>NA</v>
      </c>
      <c r="V189" t="str">
        <f t="shared" si="6"/>
        <v>NA11</v>
      </c>
      <c r="W189">
        <f>COUNTIFS(A$1:A189,A189)</f>
        <v>7</v>
      </c>
      <c r="X189" t="str">
        <f t="shared" si="7"/>
        <v>Bengals D/ST11</v>
      </c>
      <c r="Y189">
        <f>COUNTIF(V$1:V189,V189)</f>
        <v>4</v>
      </c>
      <c r="Z189" t="str">
        <f t="shared" si="8"/>
        <v>NA11-4</v>
      </c>
    </row>
    <row r="190" spans="1:26" x14ac:dyDescent="0.25">
      <c r="A190">
        <v>4</v>
      </c>
      <c r="B190" t="s">
        <v>433</v>
      </c>
      <c r="C190" t="s">
        <v>5010</v>
      </c>
      <c r="D190">
        <v>25.62</v>
      </c>
      <c r="E190">
        <v>3.24</v>
      </c>
      <c r="F190">
        <v>0.98</v>
      </c>
      <c r="G190">
        <v>0.69</v>
      </c>
      <c r="H190">
        <v>0.11</v>
      </c>
      <c r="I190">
        <v>0.17</v>
      </c>
      <c r="J190" t="s">
        <v>17</v>
      </c>
      <c r="K190">
        <v>13.56</v>
      </c>
      <c r="L190">
        <v>1.6</v>
      </c>
      <c r="M190">
        <v>5.98</v>
      </c>
      <c r="N190">
        <v>35.760399999999997</v>
      </c>
      <c r="O190">
        <v>5</v>
      </c>
      <c r="P190">
        <v>0</v>
      </c>
      <c r="Q190">
        <v>363.22399999999999</v>
      </c>
      <c r="R190">
        <v>5</v>
      </c>
      <c r="S190">
        <v>-1</v>
      </c>
      <c r="T190">
        <v>6.82</v>
      </c>
      <c r="U190" t="str">
        <f>IFERROR(INDEX(Rosters!$C$2:$C$155,MATCH(B190,Rosters!$B$2:$B$155,0)),"NA")</f>
        <v>NA</v>
      </c>
      <c r="V190" t="str">
        <f t="shared" si="6"/>
        <v>NA4</v>
      </c>
      <c r="W190">
        <f>COUNTIFS(A$1:A190,A190)</f>
        <v>9</v>
      </c>
      <c r="X190" t="str">
        <f t="shared" si="7"/>
        <v>Raiders D/ST4</v>
      </c>
      <c r="Y190">
        <f>COUNTIF(V$1:V190,V190)</f>
        <v>6</v>
      </c>
      <c r="Z190" t="str">
        <f t="shared" si="8"/>
        <v>NA4-6</v>
      </c>
    </row>
    <row r="191" spans="1:26" x14ac:dyDescent="0.25">
      <c r="A191">
        <v>11</v>
      </c>
      <c r="B191" t="s">
        <v>425</v>
      </c>
      <c r="C191" t="s">
        <v>5527</v>
      </c>
      <c r="D191">
        <v>22.52</v>
      </c>
      <c r="E191">
        <v>2.5299999999999998</v>
      </c>
      <c r="F191">
        <v>0.84</v>
      </c>
      <c r="G191">
        <v>0.84</v>
      </c>
      <c r="H191">
        <v>0.04</v>
      </c>
      <c r="I191">
        <v>0.14000000000000001</v>
      </c>
      <c r="J191" t="s">
        <v>25</v>
      </c>
      <c r="K191">
        <v>12.98</v>
      </c>
      <c r="L191">
        <v>1.62</v>
      </c>
      <c r="M191">
        <v>5.68</v>
      </c>
      <c r="N191">
        <v>32.2624</v>
      </c>
      <c r="O191">
        <v>5</v>
      </c>
      <c r="P191">
        <v>0</v>
      </c>
      <c r="Q191">
        <v>347.10399999999998</v>
      </c>
      <c r="R191">
        <v>4</v>
      </c>
      <c r="S191">
        <v>0</v>
      </c>
      <c r="T191">
        <v>6.81</v>
      </c>
      <c r="U191" t="str">
        <f>IFERROR(INDEX(Rosters!$C$2:$C$155,MATCH(B191,Rosters!$B$2:$B$155,0)),"NA")</f>
        <v>NA</v>
      </c>
      <c r="V191" t="str">
        <f t="shared" si="6"/>
        <v>NA11</v>
      </c>
      <c r="W191">
        <f>COUNTIFS(A$1:A191,A191)</f>
        <v>8</v>
      </c>
      <c r="X191" t="str">
        <f t="shared" si="7"/>
        <v>Packers D/ST11</v>
      </c>
      <c r="Y191">
        <f>COUNTIF(V$1:V191,V191)</f>
        <v>5</v>
      </c>
      <c r="Z191" t="str">
        <f t="shared" si="8"/>
        <v>NA11-5</v>
      </c>
    </row>
    <row r="192" spans="1:26" x14ac:dyDescent="0.25">
      <c r="A192">
        <v>15</v>
      </c>
      <c r="B192" t="s">
        <v>417</v>
      </c>
      <c r="C192" t="s">
        <v>5528</v>
      </c>
      <c r="D192">
        <v>24.48</v>
      </c>
      <c r="E192">
        <v>2.12</v>
      </c>
      <c r="F192">
        <v>1.02</v>
      </c>
      <c r="G192">
        <v>0.74</v>
      </c>
      <c r="H192">
        <v>0.06</v>
      </c>
      <c r="I192">
        <v>0.34</v>
      </c>
      <c r="J192" t="s">
        <v>50</v>
      </c>
      <c r="K192">
        <v>13.58</v>
      </c>
      <c r="L192">
        <v>2.42</v>
      </c>
      <c r="M192">
        <v>5.58</v>
      </c>
      <c r="N192">
        <v>31.136399999999998</v>
      </c>
      <c r="O192">
        <v>5</v>
      </c>
      <c r="P192">
        <v>0</v>
      </c>
      <c r="Q192">
        <v>357.29599999999999</v>
      </c>
      <c r="R192">
        <v>5</v>
      </c>
      <c r="S192">
        <v>-1</v>
      </c>
      <c r="T192">
        <v>6.8</v>
      </c>
      <c r="U192" t="str">
        <f>IFERROR(INDEX(Rosters!$C$2:$C$155,MATCH(B192,Rosters!$B$2:$B$155,0)),"NA")</f>
        <v>NA</v>
      </c>
      <c r="V192" t="str">
        <f t="shared" si="6"/>
        <v>NA15</v>
      </c>
      <c r="W192">
        <f>COUNTIFS(A$1:A192,A192)</f>
        <v>11</v>
      </c>
      <c r="X192" t="str">
        <f t="shared" si="7"/>
        <v>Bengals D/ST15</v>
      </c>
      <c r="Y192">
        <f>COUNTIF(V$1:V192,V192)</f>
        <v>5</v>
      </c>
      <c r="Z192" t="str">
        <f t="shared" si="8"/>
        <v>NA15-5</v>
      </c>
    </row>
    <row r="193" spans="1:26" x14ac:dyDescent="0.25">
      <c r="A193">
        <v>5</v>
      </c>
      <c r="B193" t="s">
        <v>431</v>
      </c>
      <c r="C193" t="s">
        <v>9052</v>
      </c>
      <c r="D193">
        <v>25.09</v>
      </c>
      <c r="E193">
        <v>3.2</v>
      </c>
      <c r="F193">
        <v>0.82</v>
      </c>
      <c r="G193">
        <v>0.82</v>
      </c>
      <c r="H193">
        <v>0.03</v>
      </c>
      <c r="I193">
        <v>0.21</v>
      </c>
      <c r="J193" t="s">
        <v>38</v>
      </c>
      <c r="K193">
        <v>14.54</v>
      </c>
      <c r="L193">
        <v>1.24</v>
      </c>
      <c r="M193">
        <v>6.65</v>
      </c>
      <c r="N193">
        <v>44.222499999999997</v>
      </c>
      <c r="O193">
        <v>5</v>
      </c>
      <c r="P193">
        <v>0</v>
      </c>
      <c r="Q193">
        <v>360.46800000000002</v>
      </c>
      <c r="R193">
        <v>5</v>
      </c>
      <c r="S193">
        <v>-1</v>
      </c>
      <c r="T193">
        <v>6.8</v>
      </c>
      <c r="U193" t="str">
        <f>IFERROR(INDEX(Rosters!$C$2:$C$155,MATCH(B193,Rosters!$B$2:$B$155,0)),"NA")</f>
        <v>NA</v>
      </c>
      <c r="V193" t="str">
        <f t="shared" si="6"/>
        <v>NA5</v>
      </c>
      <c r="W193">
        <f>COUNTIFS(A$1:A193,A193)</f>
        <v>10</v>
      </c>
      <c r="X193" t="str">
        <f t="shared" si="7"/>
        <v>Saints D/ST5</v>
      </c>
      <c r="Y193">
        <f>COUNTIF(V$1:V193,V193)</f>
        <v>5</v>
      </c>
      <c r="Z193" t="str">
        <f t="shared" si="8"/>
        <v>NA5-5</v>
      </c>
    </row>
    <row r="194" spans="1:26" x14ac:dyDescent="0.25">
      <c r="A194">
        <v>3</v>
      </c>
      <c r="B194" t="s">
        <v>426</v>
      </c>
      <c r="C194" t="s">
        <v>4184</v>
      </c>
      <c r="D194">
        <v>21.76</v>
      </c>
      <c r="E194">
        <v>2.27</v>
      </c>
      <c r="F194">
        <v>0.93</v>
      </c>
      <c r="G194">
        <v>0.66</v>
      </c>
      <c r="H194">
        <v>0</v>
      </c>
      <c r="I194">
        <v>0.22</v>
      </c>
      <c r="J194" t="s">
        <v>25</v>
      </c>
      <c r="K194">
        <v>13.19</v>
      </c>
      <c r="L194">
        <v>2.21</v>
      </c>
      <c r="M194">
        <v>5.49</v>
      </c>
      <c r="N194">
        <v>30.1401</v>
      </c>
      <c r="O194">
        <v>5</v>
      </c>
      <c r="P194">
        <v>0</v>
      </c>
      <c r="Q194">
        <v>343.15199999999999</v>
      </c>
      <c r="R194">
        <v>4</v>
      </c>
      <c r="S194">
        <v>0</v>
      </c>
      <c r="T194">
        <v>6.77</v>
      </c>
      <c r="U194" t="str">
        <f>IFERROR(INDEX(Rosters!$C$2:$C$155,MATCH(B194,Rosters!$B$2:$B$155,0)),"NA")</f>
        <v>NA</v>
      </c>
      <c r="V194" t="str">
        <f t="shared" si="6"/>
        <v>NA3</v>
      </c>
      <c r="W194">
        <f>COUNTIFS(A$1:A194,A194)</f>
        <v>13</v>
      </c>
      <c r="X194" t="str">
        <f t="shared" si="7"/>
        <v>Cowboys D/ST3</v>
      </c>
      <c r="Y194">
        <f>COUNTIF(V$1:V194,V194)</f>
        <v>4</v>
      </c>
      <c r="Z194" t="str">
        <f t="shared" si="8"/>
        <v>NA3-4</v>
      </c>
    </row>
    <row r="195" spans="1:26" x14ac:dyDescent="0.25">
      <c r="A195">
        <v>15</v>
      </c>
      <c r="B195" t="s">
        <v>425</v>
      </c>
      <c r="C195" t="s">
        <v>5529</v>
      </c>
      <c r="D195">
        <v>22.45</v>
      </c>
      <c r="E195">
        <v>2.2599999999999998</v>
      </c>
      <c r="F195">
        <v>0.8</v>
      </c>
      <c r="G195">
        <v>0.7</v>
      </c>
      <c r="H195">
        <v>0.08</v>
      </c>
      <c r="I195">
        <v>0.22</v>
      </c>
      <c r="J195" t="s">
        <v>58</v>
      </c>
      <c r="K195">
        <v>12.81</v>
      </c>
      <c r="L195">
        <v>1.75</v>
      </c>
      <c r="M195">
        <v>5.53</v>
      </c>
      <c r="N195">
        <v>30.5809</v>
      </c>
      <c r="O195">
        <v>5</v>
      </c>
      <c r="P195">
        <v>0</v>
      </c>
      <c r="Q195">
        <v>346.74</v>
      </c>
      <c r="R195">
        <v>4</v>
      </c>
      <c r="S195">
        <v>0</v>
      </c>
      <c r="T195">
        <v>6.74</v>
      </c>
      <c r="U195" t="str">
        <f>IFERROR(INDEX(Rosters!$C$2:$C$155,MATCH(B195,Rosters!$B$2:$B$155,0)),"NA")</f>
        <v>NA</v>
      </c>
      <c r="V195" t="str">
        <f t="shared" ref="V195:V258" si="9">U195&amp;A195</f>
        <v>NA15</v>
      </c>
      <c r="W195">
        <f>COUNTIFS(A$1:A195,A195)</f>
        <v>12</v>
      </c>
      <c r="X195" t="str">
        <f t="shared" ref="X195:X258" si="10">B195&amp;A195</f>
        <v>Packers D/ST15</v>
      </c>
      <c r="Y195">
        <f>COUNTIF(V$1:V195,V195)</f>
        <v>6</v>
      </c>
      <c r="Z195" t="str">
        <f t="shared" ref="Z195:Z258" si="11">V195&amp;"-"&amp;Y195</f>
        <v>NA15-6</v>
      </c>
    </row>
    <row r="196" spans="1:26" x14ac:dyDescent="0.25">
      <c r="A196">
        <v>4</v>
      </c>
      <c r="B196" t="s">
        <v>415</v>
      </c>
      <c r="C196" t="s">
        <v>5011</v>
      </c>
      <c r="D196">
        <v>23.11</v>
      </c>
      <c r="E196">
        <v>2.4</v>
      </c>
      <c r="F196">
        <v>1.25</v>
      </c>
      <c r="G196">
        <v>0.72</v>
      </c>
      <c r="H196">
        <v>0.04</v>
      </c>
      <c r="I196">
        <v>0.22</v>
      </c>
      <c r="J196" t="s">
        <v>54</v>
      </c>
      <c r="K196">
        <v>14.32</v>
      </c>
      <c r="L196">
        <v>1.9</v>
      </c>
      <c r="M196">
        <v>6.21</v>
      </c>
      <c r="N196">
        <v>38.564100000000003</v>
      </c>
      <c r="O196">
        <v>5</v>
      </c>
      <c r="P196">
        <v>0</v>
      </c>
      <c r="Q196">
        <v>350.17200000000003</v>
      </c>
      <c r="R196">
        <v>5</v>
      </c>
      <c r="S196">
        <v>-1</v>
      </c>
      <c r="T196">
        <v>6.74</v>
      </c>
      <c r="U196" t="str">
        <f>IFERROR(INDEX(Rosters!$C$2:$C$155,MATCH(B196,Rosters!$B$2:$B$155,0)),"NA")</f>
        <v>NA</v>
      </c>
      <c r="V196" t="str">
        <f t="shared" si="9"/>
        <v>NA4</v>
      </c>
      <c r="W196">
        <f>COUNTIFS(A$1:A196,A196)</f>
        <v>10</v>
      </c>
      <c r="X196" t="str">
        <f t="shared" si="10"/>
        <v>Patriots D/ST4</v>
      </c>
      <c r="Y196">
        <f>COUNTIF(V$1:V196,V196)</f>
        <v>7</v>
      </c>
      <c r="Z196" t="str">
        <f t="shared" si="11"/>
        <v>NA4-7</v>
      </c>
    </row>
    <row r="197" spans="1:26" x14ac:dyDescent="0.25">
      <c r="A197">
        <v>6</v>
      </c>
      <c r="B197" t="s">
        <v>424</v>
      </c>
      <c r="C197" t="s">
        <v>5530</v>
      </c>
      <c r="D197">
        <v>24.24</v>
      </c>
      <c r="E197">
        <v>2.38</v>
      </c>
      <c r="F197">
        <v>1</v>
      </c>
      <c r="G197">
        <v>0.72</v>
      </c>
      <c r="H197">
        <v>0</v>
      </c>
      <c r="I197">
        <v>0.32</v>
      </c>
      <c r="J197" t="s">
        <v>76</v>
      </c>
      <c r="K197">
        <v>13.42</v>
      </c>
      <c r="L197">
        <v>2.36</v>
      </c>
      <c r="M197">
        <v>5.53</v>
      </c>
      <c r="N197">
        <v>30.5809</v>
      </c>
      <c r="O197">
        <v>5</v>
      </c>
      <c r="P197">
        <v>0</v>
      </c>
      <c r="Q197">
        <v>356.048</v>
      </c>
      <c r="R197">
        <v>5</v>
      </c>
      <c r="S197">
        <v>-1</v>
      </c>
      <c r="T197">
        <v>6.74</v>
      </c>
      <c r="U197" t="str">
        <f>IFERROR(INDEX(Rosters!$C$2:$C$155,MATCH(B197,Rosters!$B$2:$B$155,0)),"NA")</f>
        <v>NA</v>
      </c>
      <c r="V197" t="str">
        <f t="shared" si="9"/>
        <v>NA6</v>
      </c>
      <c r="W197">
        <f>COUNTIFS(A$1:A197,A197)</f>
        <v>13</v>
      </c>
      <c r="X197" t="str">
        <f t="shared" si="10"/>
        <v>Steelers D/ST6</v>
      </c>
      <c r="Y197">
        <f>COUNTIF(V$1:V197,V197)</f>
        <v>5</v>
      </c>
      <c r="Z197" t="str">
        <f t="shared" si="11"/>
        <v>NA6-5</v>
      </c>
    </row>
    <row r="198" spans="1:26" x14ac:dyDescent="0.25">
      <c r="A198">
        <v>17</v>
      </c>
      <c r="B198" t="s">
        <v>424</v>
      </c>
      <c r="C198" t="s">
        <v>5530</v>
      </c>
      <c r="D198">
        <v>24.24</v>
      </c>
      <c r="E198">
        <v>2.38</v>
      </c>
      <c r="F198">
        <v>1</v>
      </c>
      <c r="G198">
        <v>0.72</v>
      </c>
      <c r="H198">
        <v>0</v>
      </c>
      <c r="I198">
        <v>0.32</v>
      </c>
      <c r="J198" t="s">
        <v>76</v>
      </c>
      <c r="K198">
        <v>13.42</v>
      </c>
      <c r="L198">
        <v>2.36</v>
      </c>
      <c r="M198">
        <v>5.53</v>
      </c>
      <c r="N198">
        <v>30.5809</v>
      </c>
      <c r="O198">
        <v>5</v>
      </c>
      <c r="P198">
        <v>0</v>
      </c>
      <c r="Q198">
        <v>356.048</v>
      </c>
      <c r="R198">
        <v>5</v>
      </c>
      <c r="S198">
        <v>-1</v>
      </c>
      <c r="T198">
        <v>6.74</v>
      </c>
      <c r="U198" t="str">
        <f>IFERROR(INDEX(Rosters!$C$2:$C$155,MATCH(B198,Rosters!$B$2:$B$155,0)),"NA")</f>
        <v>NA</v>
      </c>
      <c r="V198" t="str">
        <f t="shared" si="9"/>
        <v>NA17</v>
      </c>
      <c r="W198">
        <f>COUNTIFS(A$1:A198,A198)</f>
        <v>13</v>
      </c>
      <c r="X198" t="str">
        <f t="shared" si="10"/>
        <v>Steelers D/ST17</v>
      </c>
      <c r="Y198">
        <f>COUNTIF(V$1:V198,V198)</f>
        <v>8</v>
      </c>
      <c r="Z198" t="str">
        <f t="shared" si="11"/>
        <v>NA17-8</v>
      </c>
    </row>
    <row r="199" spans="1:26" x14ac:dyDescent="0.25">
      <c r="A199">
        <v>9</v>
      </c>
      <c r="B199" t="s">
        <v>406</v>
      </c>
      <c r="C199" t="s">
        <v>5531</v>
      </c>
      <c r="D199">
        <v>20.87</v>
      </c>
      <c r="E199">
        <v>2.44</v>
      </c>
      <c r="F199">
        <v>0.94</v>
      </c>
      <c r="G199">
        <v>0.68</v>
      </c>
      <c r="H199">
        <v>0.04</v>
      </c>
      <c r="I199">
        <v>0.16</v>
      </c>
      <c r="J199" t="s">
        <v>42</v>
      </c>
      <c r="K199">
        <v>13.08</v>
      </c>
      <c r="L199">
        <v>2.68</v>
      </c>
      <c r="M199">
        <v>5.2</v>
      </c>
      <c r="N199">
        <v>27.04</v>
      </c>
      <c r="O199">
        <v>5</v>
      </c>
      <c r="P199">
        <v>0</v>
      </c>
      <c r="Q199">
        <v>338.524</v>
      </c>
      <c r="R199">
        <v>4</v>
      </c>
      <c r="S199">
        <v>0</v>
      </c>
      <c r="T199">
        <v>6.72</v>
      </c>
      <c r="U199" t="str">
        <f>IFERROR(INDEX(Rosters!$C$2:$C$155,MATCH(B199,Rosters!$B$2:$B$155,0)),"NA")</f>
        <v>seth</v>
      </c>
      <c r="V199" t="str">
        <f t="shared" si="9"/>
        <v>seth9</v>
      </c>
      <c r="W199">
        <f>COUNTIFS(A$1:A199,A199)</f>
        <v>11</v>
      </c>
      <c r="X199" t="str">
        <f t="shared" si="10"/>
        <v>Vikings D/ST9</v>
      </c>
      <c r="Y199">
        <f>COUNTIF(V$1:V199,V199)</f>
        <v>1</v>
      </c>
      <c r="Z199" t="str">
        <f t="shared" si="11"/>
        <v>seth9-1</v>
      </c>
    </row>
    <row r="200" spans="1:26" x14ac:dyDescent="0.25">
      <c r="A200">
        <v>16</v>
      </c>
      <c r="B200" t="s">
        <v>406</v>
      </c>
      <c r="C200" t="s">
        <v>5531</v>
      </c>
      <c r="D200">
        <v>20.87</v>
      </c>
      <c r="E200">
        <v>2.44</v>
      </c>
      <c r="F200">
        <v>0.94</v>
      </c>
      <c r="G200">
        <v>0.68</v>
      </c>
      <c r="H200">
        <v>0.04</v>
      </c>
      <c r="I200">
        <v>0.16</v>
      </c>
      <c r="J200" t="s">
        <v>42</v>
      </c>
      <c r="K200">
        <v>13.08</v>
      </c>
      <c r="L200">
        <v>2.68</v>
      </c>
      <c r="M200">
        <v>5.2</v>
      </c>
      <c r="N200">
        <v>27.04</v>
      </c>
      <c r="O200">
        <v>5</v>
      </c>
      <c r="P200">
        <v>0</v>
      </c>
      <c r="Q200">
        <v>338.524</v>
      </c>
      <c r="R200">
        <v>4</v>
      </c>
      <c r="S200">
        <v>0</v>
      </c>
      <c r="T200">
        <v>6.72</v>
      </c>
      <c r="U200" t="str">
        <f>IFERROR(INDEX(Rosters!$C$2:$C$155,MATCH(B200,Rosters!$B$2:$B$155,0)),"NA")</f>
        <v>seth</v>
      </c>
      <c r="V200" t="str">
        <f t="shared" si="9"/>
        <v>seth16</v>
      </c>
      <c r="W200">
        <f>COUNTIFS(A$1:A200,A200)</f>
        <v>15</v>
      </c>
      <c r="X200" t="str">
        <f t="shared" si="10"/>
        <v>Vikings D/ST16</v>
      </c>
      <c r="Y200">
        <f>COUNTIF(V$1:V200,V200)</f>
        <v>1</v>
      </c>
      <c r="Z200" t="str">
        <f t="shared" si="11"/>
        <v>seth16-1</v>
      </c>
    </row>
    <row r="201" spans="1:26" x14ac:dyDescent="0.25">
      <c r="A201">
        <v>3</v>
      </c>
      <c r="B201" t="s">
        <v>407</v>
      </c>
      <c r="C201" t="s">
        <v>4185</v>
      </c>
      <c r="D201">
        <v>24.05</v>
      </c>
      <c r="E201">
        <v>2.87</v>
      </c>
      <c r="F201">
        <v>0.95</v>
      </c>
      <c r="G201">
        <v>0.64</v>
      </c>
      <c r="H201">
        <v>0.02</v>
      </c>
      <c r="I201">
        <v>0.27</v>
      </c>
      <c r="J201" t="s">
        <v>19</v>
      </c>
      <c r="K201">
        <v>14.99</v>
      </c>
      <c r="L201">
        <v>0.61</v>
      </c>
      <c r="M201">
        <v>7.19</v>
      </c>
      <c r="N201">
        <v>51.696100000000001</v>
      </c>
      <c r="O201">
        <v>5</v>
      </c>
      <c r="P201">
        <v>0</v>
      </c>
      <c r="Q201">
        <v>355.06</v>
      </c>
      <c r="R201">
        <v>5</v>
      </c>
      <c r="S201">
        <v>-1</v>
      </c>
      <c r="T201">
        <v>6.71</v>
      </c>
      <c r="U201" t="str">
        <f>IFERROR(INDEX(Rosters!$C$2:$C$155,MATCH(B201,Rosters!$B$2:$B$155,0)),"NA")</f>
        <v>NA</v>
      </c>
      <c r="V201" t="str">
        <f t="shared" si="9"/>
        <v>NA3</v>
      </c>
      <c r="W201">
        <f>COUNTIFS(A$1:A201,A201)</f>
        <v>14</v>
      </c>
      <c r="X201" t="str">
        <f t="shared" si="10"/>
        <v>Seahawks D/ST3</v>
      </c>
      <c r="Y201">
        <f>COUNTIF(V$1:V201,V201)</f>
        <v>5</v>
      </c>
      <c r="Z201" t="str">
        <f t="shared" si="11"/>
        <v>NA3-5</v>
      </c>
    </row>
    <row r="202" spans="1:26" x14ac:dyDescent="0.25">
      <c r="A202">
        <v>4</v>
      </c>
      <c r="B202" t="s">
        <v>434</v>
      </c>
      <c r="C202" t="s">
        <v>5012</v>
      </c>
      <c r="D202">
        <v>21.34</v>
      </c>
      <c r="E202">
        <v>2.02</v>
      </c>
      <c r="F202">
        <v>0.9</v>
      </c>
      <c r="G202">
        <v>0.77</v>
      </c>
      <c r="H202">
        <v>0.04</v>
      </c>
      <c r="I202">
        <v>0.21</v>
      </c>
      <c r="J202" t="s">
        <v>50</v>
      </c>
      <c r="K202">
        <v>12.98</v>
      </c>
      <c r="L202">
        <v>1.5</v>
      </c>
      <c r="M202">
        <v>5.74</v>
      </c>
      <c r="N202">
        <v>32.947600000000001</v>
      </c>
      <c r="O202">
        <v>5</v>
      </c>
      <c r="P202">
        <v>0</v>
      </c>
      <c r="Q202">
        <v>340.96800000000002</v>
      </c>
      <c r="R202">
        <v>4</v>
      </c>
      <c r="S202">
        <v>0</v>
      </c>
      <c r="T202">
        <v>6.7</v>
      </c>
      <c r="U202" t="str">
        <f>IFERROR(INDEX(Rosters!$C$2:$C$155,MATCH(B202,Rosters!$B$2:$B$155,0)),"NA")</f>
        <v>matty</v>
      </c>
      <c r="V202" t="str">
        <f t="shared" si="9"/>
        <v>matty4</v>
      </c>
      <c r="W202">
        <f>COUNTIFS(A$1:A202,A202)</f>
        <v>11</v>
      </c>
      <c r="X202" t="str">
        <f t="shared" si="10"/>
        <v>Browns D/ST4</v>
      </c>
      <c r="Y202">
        <f>COUNTIF(V$1:V202,V202)</f>
        <v>1</v>
      </c>
      <c r="Z202" t="str">
        <f t="shared" si="11"/>
        <v>matty4-1</v>
      </c>
    </row>
    <row r="203" spans="1:26" x14ac:dyDescent="0.25">
      <c r="A203">
        <v>4</v>
      </c>
      <c r="B203" t="s">
        <v>426</v>
      </c>
      <c r="C203" t="s">
        <v>5013</v>
      </c>
      <c r="D203">
        <v>23.07</v>
      </c>
      <c r="E203">
        <v>2.0499999999999998</v>
      </c>
      <c r="F203">
        <v>1.41</v>
      </c>
      <c r="G203">
        <v>0.78</v>
      </c>
      <c r="H203">
        <v>0</v>
      </c>
      <c r="I203">
        <v>0.21</v>
      </c>
      <c r="J203" t="s">
        <v>42</v>
      </c>
      <c r="K203">
        <v>14.94</v>
      </c>
      <c r="L203">
        <v>0.94</v>
      </c>
      <c r="M203">
        <v>7</v>
      </c>
      <c r="N203">
        <v>49</v>
      </c>
      <c r="O203">
        <v>5</v>
      </c>
      <c r="P203">
        <v>0</v>
      </c>
      <c r="Q203">
        <v>349.964</v>
      </c>
      <c r="R203">
        <v>5</v>
      </c>
      <c r="S203">
        <v>-1</v>
      </c>
      <c r="T203">
        <v>6.69</v>
      </c>
      <c r="U203" t="str">
        <f>IFERROR(INDEX(Rosters!$C$2:$C$155,MATCH(B203,Rosters!$B$2:$B$155,0)),"NA")</f>
        <v>NA</v>
      </c>
      <c r="V203" t="str">
        <f t="shared" si="9"/>
        <v>NA4</v>
      </c>
      <c r="W203">
        <f>COUNTIFS(A$1:A203,A203)</f>
        <v>12</v>
      </c>
      <c r="X203" t="str">
        <f t="shared" si="10"/>
        <v>Cowboys D/ST4</v>
      </c>
      <c r="Y203">
        <f>COUNTIF(V$1:V203,V203)</f>
        <v>8</v>
      </c>
      <c r="Z203" t="str">
        <f t="shared" si="11"/>
        <v>NA4-8</v>
      </c>
    </row>
    <row r="204" spans="1:26" x14ac:dyDescent="0.25">
      <c r="A204">
        <v>11</v>
      </c>
      <c r="B204" t="s">
        <v>419</v>
      </c>
      <c r="C204" t="s">
        <v>5532</v>
      </c>
      <c r="D204">
        <v>21.91</v>
      </c>
      <c r="E204">
        <v>2.2000000000000002</v>
      </c>
      <c r="F204">
        <v>0.94</v>
      </c>
      <c r="G204">
        <v>0.76</v>
      </c>
      <c r="H204">
        <v>0</v>
      </c>
      <c r="I204">
        <v>0.18</v>
      </c>
      <c r="J204" t="s">
        <v>31</v>
      </c>
      <c r="K204">
        <v>12.6</v>
      </c>
      <c r="L204">
        <v>1.62</v>
      </c>
      <c r="M204">
        <v>5.49</v>
      </c>
      <c r="N204">
        <v>30.1401</v>
      </c>
      <c r="O204">
        <v>5</v>
      </c>
      <c r="P204">
        <v>0</v>
      </c>
      <c r="Q204">
        <v>343.93200000000002</v>
      </c>
      <c r="R204">
        <v>4</v>
      </c>
      <c r="S204">
        <v>0</v>
      </c>
      <c r="T204">
        <v>6.68</v>
      </c>
      <c r="U204" t="str">
        <f>IFERROR(INDEX(Rosters!$C$2:$C$155,MATCH(B204,Rosters!$B$2:$B$155,0)),"NA")</f>
        <v>devon</v>
      </c>
      <c r="V204" t="str">
        <f t="shared" si="9"/>
        <v>devon11</v>
      </c>
      <c r="W204">
        <f>COUNTIFS(A$1:A204,A204)</f>
        <v>9</v>
      </c>
      <c r="X204" t="str">
        <f t="shared" si="10"/>
        <v>Jaguars D/ST11</v>
      </c>
      <c r="Y204">
        <f>COUNTIF(V$1:V204,V204)</f>
        <v>1</v>
      </c>
      <c r="Z204" t="str">
        <f t="shared" si="11"/>
        <v>devon11-1</v>
      </c>
    </row>
    <row r="205" spans="1:26" x14ac:dyDescent="0.25">
      <c r="A205">
        <v>10</v>
      </c>
      <c r="B205" t="s">
        <v>421</v>
      </c>
      <c r="C205" t="s">
        <v>5533</v>
      </c>
      <c r="D205">
        <v>24.29</v>
      </c>
      <c r="E205">
        <v>2.06</v>
      </c>
      <c r="F205">
        <v>1.04</v>
      </c>
      <c r="G205">
        <v>0.84</v>
      </c>
      <c r="H205">
        <v>0.02</v>
      </c>
      <c r="I205">
        <v>0.3</v>
      </c>
      <c r="J205" t="s">
        <v>50</v>
      </c>
      <c r="K205">
        <v>12.95</v>
      </c>
      <c r="L205">
        <v>2.91</v>
      </c>
      <c r="M205">
        <v>5.0199999999999996</v>
      </c>
      <c r="N205">
        <v>25.200399999999998</v>
      </c>
      <c r="O205">
        <v>5</v>
      </c>
      <c r="P205">
        <v>0</v>
      </c>
      <c r="Q205">
        <v>356.30799999999999</v>
      </c>
      <c r="R205">
        <v>5</v>
      </c>
      <c r="S205">
        <v>-1</v>
      </c>
      <c r="T205">
        <v>6.66</v>
      </c>
      <c r="U205" t="str">
        <f>IFERROR(INDEX(Rosters!$C$2:$C$155,MATCH(B205,Rosters!$B$2:$B$155,0)),"NA")</f>
        <v>NA</v>
      </c>
      <c r="V205" t="str">
        <f t="shared" si="9"/>
        <v>NA10</v>
      </c>
      <c r="W205">
        <f>COUNTIFS(A$1:A205,A205)</f>
        <v>8</v>
      </c>
      <c r="X205" t="str">
        <f t="shared" si="10"/>
        <v>Chargers D/ST10</v>
      </c>
      <c r="Y205">
        <f>COUNTIF(V$1:V205,V205)</f>
        <v>5</v>
      </c>
      <c r="Z205" t="str">
        <f t="shared" si="11"/>
        <v>NA10-5</v>
      </c>
    </row>
    <row r="206" spans="1:26" x14ac:dyDescent="0.25">
      <c r="A206">
        <v>13</v>
      </c>
      <c r="B206" t="s">
        <v>425</v>
      </c>
      <c r="C206" t="s">
        <v>5534</v>
      </c>
      <c r="D206">
        <v>22.13</v>
      </c>
      <c r="E206">
        <v>2.34</v>
      </c>
      <c r="F206">
        <v>0.94</v>
      </c>
      <c r="G206">
        <v>0.76</v>
      </c>
      <c r="H206">
        <v>0.04</v>
      </c>
      <c r="I206">
        <v>0.14000000000000001</v>
      </c>
      <c r="J206" t="s">
        <v>34</v>
      </c>
      <c r="K206">
        <v>13.07</v>
      </c>
      <c r="L206">
        <v>1.61</v>
      </c>
      <c r="M206">
        <v>5.73</v>
      </c>
      <c r="N206">
        <v>32.832900000000002</v>
      </c>
      <c r="O206">
        <v>5</v>
      </c>
      <c r="P206">
        <v>0</v>
      </c>
      <c r="Q206">
        <v>345.07600000000002</v>
      </c>
      <c r="R206">
        <v>4</v>
      </c>
      <c r="S206">
        <v>0</v>
      </c>
      <c r="T206">
        <v>6.66</v>
      </c>
      <c r="U206" t="str">
        <f>IFERROR(INDEX(Rosters!$C$2:$C$155,MATCH(B206,Rosters!$B$2:$B$155,0)),"NA")</f>
        <v>NA</v>
      </c>
      <c r="V206" t="str">
        <f t="shared" si="9"/>
        <v>NA13</v>
      </c>
      <c r="W206">
        <f>COUNTIFS(A$1:A206,A206)</f>
        <v>15</v>
      </c>
      <c r="X206" t="str">
        <f t="shared" si="10"/>
        <v>Packers D/ST13</v>
      </c>
      <c r="Y206">
        <f>COUNTIF(V$1:V206,V206)</f>
        <v>7</v>
      </c>
      <c r="Z206" t="str">
        <f t="shared" si="11"/>
        <v>NA13-7</v>
      </c>
    </row>
    <row r="207" spans="1:26" x14ac:dyDescent="0.25">
      <c r="A207">
        <v>5</v>
      </c>
      <c r="B207" t="s">
        <v>418</v>
      </c>
      <c r="C207" t="s">
        <v>9114</v>
      </c>
      <c r="D207">
        <v>21.78</v>
      </c>
      <c r="E207">
        <v>1.93</v>
      </c>
      <c r="F207">
        <v>0.89</v>
      </c>
      <c r="G207">
        <v>0.63</v>
      </c>
      <c r="H207">
        <v>0</v>
      </c>
      <c r="I207">
        <v>0.28000000000000003</v>
      </c>
      <c r="J207" t="s">
        <v>22</v>
      </c>
      <c r="K207">
        <v>12.01</v>
      </c>
      <c r="L207">
        <v>2.41</v>
      </c>
      <c r="M207">
        <v>4.8</v>
      </c>
      <c r="N207">
        <v>23.04</v>
      </c>
      <c r="O207">
        <v>5</v>
      </c>
      <c r="P207">
        <v>0</v>
      </c>
      <c r="Q207">
        <v>343.25599999999997</v>
      </c>
      <c r="R207">
        <v>4</v>
      </c>
      <c r="S207">
        <v>0</v>
      </c>
      <c r="T207">
        <v>6.65</v>
      </c>
      <c r="U207" t="str">
        <f>IFERROR(INDEX(Rosters!$C$2:$C$155,MATCH(B207,Rosters!$B$2:$B$155,0)),"NA")</f>
        <v>NA</v>
      </c>
      <c r="V207" t="str">
        <f t="shared" si="9"/>
        <v>NA5</v>
      </c>
      <c r="W207">
        <f>COUNTIFS(A$1:A207,A207)</f>
        <v>11</v>
      </c>
      <c r="X207" t="str">
        <f t="shared" si="10"/>
        <v>Bills D/ST5</v>
      </c>
      <c r="Y207">
        <f>COUNTIF(V$1:V207,V207)</f>
        <v>6</v>
      </c>
      <c r="Z207" t="str">
        <f t="shared" si="11"/>
        <v>NA5-6</v>
      </c>
    </row>
    <row r="208" spans="1:26" x14ac:dyDescent="0.25">
      <c r="A208">
        <v>5</v>
      </c>
      <c r="B208" t="s">
        <v>410</v>
      </c>
      <c r="C208" t="s">
        <v>9053</v>
      </c>
      <c r="D208">
        <v>29.09</v>
      </c>
      <c r="E208">
        <v>3.55</v>
      </c>
      <c r="F208">
        <v>0.92</v>
      </c>
      <c r="G208">
        <v>0.98</v>
      </c>
      <c r="H208">
        <v>0</v>
      </c>
      <c r="I208">
        <v>0.21</v>
      </c>
      <c r="J208" t="s">
        <v>60</v>
      </c>
      <c r="K208">
        <v>14.48</v>
      </c>
      <c r="L208">
        <v>0.72</v>
      </c>
      <c r="M208">
        <v>6.88</v>
      </c>
      <c r="N208">
        <v>47.334400000000002</v>
      </c>
      <c r="O208">
        <v>6</v>
      </c>
      <c r="P208">
        <v>-1</v>
      </c>
      <c r="Q208">
        <v>381.26799999999997</v>
      </c>
      <c r="R208">
        <v>5</v>
      </c>
      <c r="S208">
        <v>-1</v>
      </c>
      <c r="T208">
        <v>6.61</v>
      </c>
      <c r="U208" t="str">
        <f>IFERROR(INDEX(Rosters!$C$2:$C$155,MATCH(B208,Rosters!$B$2:$B$155,0)),"NA")</f>
        <v>NA</v>
      </c>
      <c r="V208" t="str">
        <f t="shared" si="9"/>
        <v>NA5</v>
      </c>
      <c r="W208">
        <f>COUNTIFS(A$1:A208,A208)</f>
        <v>12</v>
      </c>
      <c r="X208" t="str">
        <f t="shared" si="10"/>
        <v>Chiefs D/ST5</v>
      </c>
      <c r="Y208">
        <f>COUNTIF(V$1:V208,V208)</f>
        <v>7</v>
      </c>
      <c r="Z208" t="str">
        <f t="shared" si="11"/>
        <v>NA5-7</v>
      </c>
    </row>
    <row r="209" spans="1:26" x14ac:dyDescent="0.25">
      <c r="A209">
        <v>10</v>
      </c>
      <c r="B209" t="s">
        <v>410</v>
      </c>
      <c r="C209" t="s">
        <v>5535</v>
      </c>
      <c r="D209">
        <v>20.74</v>
      </c>
      <c r="E209">
        <v>2.12</v>
      </c>
      <c r="F209">
        <v>1.02</v>
      </c>
      <c r="G209">
        <v>0.66</v>
      </c>
      <c r="H209">
        <v>0.02</v>
      </c>
      <c r="I209">
        <v>0.18</v>
      </c>
      <c r="J209" t="s">
        <v>34</v>
      </c>
      <c r="K209">
        <v>13.2</v>
      </c>
      <c r="L209">
        <v>1.88</v>
      </c>
      <c r="M209">
        <v>5.66</v>
      </c>
      <c r="N209">
        <v>32.035600000000002</v>
      </c>
      <c r="O209">
        <v>5</v>
      </c>
      <c r="P209">
        <v>0</v>
      </c>
      <c r="Q209">
        <v>337.84800000000001</v>
      </c>
      <c r="R209">
        <v>4</v>
      </c>
      <c r="S209">
        <v>0</v>
      </c>
      <c r="T209">
        <v>6.6</v>
      </c>
      <c r="U209" t="str">
        <f>IFERROR(INDEX(Rosters!$C$2:$C$155,MATCH(B209,Rosters!$B$2:$B$155,0)),"NA")</f>
        <v>NA</v>
      </c>
      <c r="V209" t="str">
        <f t="shared" si="9"/>
        <v>NA10</v>
      </c>
      <c r="W209">
        <f>COUNTIFS(A$1:A209,A209)</f>
        <v>9</v>
      </c>
      <c r="X209" t="str">
        <f t="shared" si="10"/>
        <v>Chiefs D/ST10</v>
      </c>
      <c r="Y209">
        <f>COUNTIF(V$1:V209,V209)</f>
        <v>6</v>
      </c>
      <c r="Z209" t="str">
        <f t="shared" si="11"/>
        <v>NA10-6</v>
      </c>
    </row>
    <row r="210" spans="1:26" x14ac:dyDescent="0.25">
      <c r="A210">
        <v>15</v>
      </c>
      <c r="B210" t="s">
        <v>416</v>
      </c>
      <c r="C210" t="s">
        <v>5536</v>
      </c>
      <c r="D210">
        <v>19.32</v>
      </c>
      <c r="E210">
        <v>2.64</v>
      </c>
      <c r="F210">
        <v>0.98</v>
      </c>
      <c r="G210">
        <v>0.64</v>
      </c>
      <c r="H210">
        <v>0</v>
      </c>
      <c r="I210">
        <v>0.12</v>
      </c>
      <c r="J210" t="s">
        <v>30</v>
      </c>
      <c r="K210">
        <v>12.76</v>
      </c>
      <c r="L210">
        <v>2.78</v>
      </c>
      <c r="M210">
        <v>4.99</v>
      </c>
      <c r="N210">
        <v>24.900099999999998</v>
      </c>
      <c r="O210">
        <v>5</v>
      </c>
      <c r="P210">
        <v>0</v>
      </c>
      <c r="Q210">
        <v>330.464</v>
      </c>
      <c r="R210">
        <v>4</v>
      </c>
      <c r="S210">
        <v>0</v>
      </c>
      <c r="T210">
        <v>6.6</v>
      </c>
      <c r="U210" t="str">
        <f>IFERROR(INDEX(Rosters!$C$2:$C$155,MATCH(B210,Rosters!$B$2:$B$155,0)),"NA")</f>
        <v>lucas</v>
      </c>
      <c r="V210" t="str">
        <f t="shared" si="9"/>
        <v>lucas15</v>
      </c>
      <c r="W210">
        <f>COUNTIFS(A$1:A210,A210)</f>
        <v>13</v>
      </c>
      <c r="X210" t="str">
        <f t="shared" si="10"/>
        <v>Bears D/ST15</v>
      </c>
      <c r="Y210">
        <f>COUNTIF(V$1:V210,V210)</f>
        <v>1</v>
      </c>
      <c r="Z210" t="str">
        <f t="shared" si="11"/>
        <v>lucas15-1</v>
      </c>
    </row>
    <row r="211" spans="1:26" x14ac:dyDescent="0.25">
      <c r="A211">
        <v>3</v>
      </c>
      <c r="B211" t="s">
        <v>422</v>
      </c>
      <c r="C211" t="s">
        <v>4186</v>
      </c>
      <c r="D211">
        <v>17.87</v>
      </c>
      <c r="E211">
        <v>2.02</v>
      </c>
      <c r="F211">
        <v>1.02</v>
      </c>
      <c r="G211">
        <v>0.67</v>
      </c>
      <c r="H211">
        <v>0.09</v>
      </c>
      <c r="I211">
        <v>0.17</v>
      </c>
      <c r="J211" t="s">
        <v>50</v>
      </c>
      <c r="K211">
        <v>13.31</v>
      </c>
      <c r="L211">
        <v>2.89</v>
      </c>
      <c r="M211">
        <v>5.21</v>
      </c>
      <c r="N211">
        <v>27.144100000000002</v>
      </c>
      <c r="O211">
        <v>5</v>
      </c>
      <c r="P211">
        <v>0</v>
      </c>
      <c r="Q211">
        <v>322.92399999999998</v>
      </c>
      <c r="R211">
        <v>4</v>
      </c>
      <c r="S211">
        <v>0</v>
      </c>
      <c r="T211">
        <v>6.6</v>
      </c>
      <c r="U211" t="str">
        <f>IFERROR(INDEX(Rosters!$C$2:$C$155,MATCH(B211,Rosters!$B$2:$B$155,0)),"NA")</f>
        <v>NA</v>
      </c>
      <c r="V211" t="str">
        <f t="shared" si="9"/>
        <v>NA3</v>
      </c>
      <c r="W211">
        <f>COUNTIFS(A$1:A211,A211)</f>
        <v>15</v>
      </c>
      <c r="X211" t="str">
        <f t="shared" si="10"/>
        <v>Dolphins D/ST3</v>
      </c>
      <c r="Y211">
        <f>COUNTIF(V$1:V211,V211)</f>
        <v>6</v>
      </c>
      <c r="Z211" t="str">
        <f t="shared" si="11"/>
        <v>NA3-6</v>
      </c>
    </row>
    <row r="212" spans="1:26" x14ac:dyDescent="0.25">
      <c r="A212">
        <v>4</v>
      </c>
      <c r="B212" t="s">
        <v>414</v>
      </c>
      <c r="C212" t="s">
        <v>5014</v>
      </c>
      <c r="D212">
        <v>17.600000000000001</v>
      </c>
      <c r="E212">
        <v>2.1800000000000002</v>
      </c>
      <c r="F212">
        <v>0.93</v>
      </c>
      <c r="G212">
        <v>0.73</v>
      </c>
      <c r="H212">
        <v>0</v>
      </c>
      <c r="I212">
        <v>0.18</v>
      </c>
      <c r="J212" t="s">
        <v>22</v>
      </c>
      <c r="K212">
        <v>15.47</v>
      </c>
      <c r="L212">
        <v>1.37</v>
      </c>
      <c r="M212">
        <v>7.05</v>
      </c>
      <c r="N212">
        <v>49.702500000000001</v>
      </c>
      <c r="O212">
        <v>5</v>
      </c>
      <c r="P212">
        <v>0</v>
      </c>
      <c r="Q212">
        <v>321.52</v>
      </c>
      <c r="R212">
        <v>4</v>
      </c>
      <c r="S212">
        <v>0</v>
      </c>
      <c r="T212">
        <v>6.58</v>
      </c>
      <c r="U212" t="str">
        <f>IFERROR(INDEX(Rosters!$C$2:$C$155,MATCH(B212,Rosters!$B$2:$B$155,0)),"NA")</f>
        <v>comp</v>
      </c>
      <c r="V212" t="str">
        <f t="shared" si="9"/>
        <v>comp4</v>
      </c>
      <c r="W212">
        <f>COUNTIFS(A$1:A212,A212)</f>
        <v>13</v>
      </c>
      <c r="X212" t="str">
        <f t="shared" si="10"/>
        <v>Eagles D/ST4</v>
      </c>
      <c r="Y212">
        <f>COUNTIF(V$1:V212,V212)</f>
        <v>1</v>
      </c>
      <c r="Z212" t="str">
        <f t="shared" si="11"/>
        <v>comp4-1</v>
      </c>
    </row>
    <row r="213" spans="1:26" x14ac:dyDescent="0.25">
      <c r="A213">
        <v>2</v>
      </c>
      <c r="B213" t="s">
        <v>437</v>
      </c>
      <c r="C213" t="s">
        <v>1242</v>
      </c>
      <c r="D213">
        <v>22.43</v>
      </c>
      <c r="E213">
        <v>2.1</v>
      </c>
      <c r="F213">
        <v>0.98</v>
      </c>
      <c r="G213">
        <v>0.66</v>
      </c>
      <c r="H213">
        <v>0</v>
      </c>
      <c r="I213">
        <v>0.2</v>
      </c>
      <c r="J213" t="s">
        <v>37</v>
      </c>
      <c r="K213">
        <v>13.12</v>
      </c>
      <c r="L213">
        <v>0.9</v>
      </c>
      <c r="M213">
        <v>6.11</v>
      </c>
      <c r="N213">
        <v>37.332099999999997</v>
      </c>
      <c r="O213">
        <v>5</v>
      </c>
      <c r="P213">
        <v>0</v>
      </c>
      <c r="Q213">
        <v>346.63600000000002</v>
      </c>
      <c r="R213">
        <v>4</v>
      </c>
      <c r="S213">
        <v>0</v>
      </c>
      <c r="T213">
        <v>6.58</v>
      </c>
      <c r="U213" t="str">
        <f>IFERROR(INDEX(Rosters!$C$2:$C$155,MATCH(B213,Rosters!$B$2:$B$155,0)),"NA")</f>
        <v>NA</v>
      </c>
      <c r="V213" t="str">
        <f t="shared" si="9"/>
        <v>NA2</v>
      </c>
      <c r="W213">
        <f>COUNTIFS(A$1:A213,A213)</f>
        <v>20</v>
      </c>
      <c r="X213" t="str">
        <f t="shared" si="10"/>
        <v>Falcons D/ST2</v>
      </c>
      <c r="Y213">
        <f>COUNTIF(V$1:V213,V213)</f>
        <v>12</v>
      </c>
      <c r="Z213" t="str">
        <f t="shared" si="11"/>
        <v>NA2-12</v>
      </c>
    </row>
    <row r="214" spans="1:26" x14ac:dyDescent="0.25">
      <c r="A214">
        <v>13</v>
      </c>
      <c r="B214" t="s">
        <v>409</v>
      </c>
      <c r="C214" t="s">
        <v>5537</v>
      </c>
      <c r="D214">
        <v>22.07</v>
      </c>
      <c r="E214">
        <v>2.4900000000000002</v>
      </c>
      <c r="F214">
        <v>1.1000000000000001</v>
      </c>
      <c r="G214">
        <v>0.56000000000000005</v>
      </c>
      <c r="H214">
        <v>0.02</v>
      </c>
      <c r="I214">
        <v>0.12</v>
      </c>
      <c r="J214" t="s">
        <v>30</v>
      </c>
      <c r="K214">
        <v>12.29</v>
      </c>
      <c r="L214">
        <v>1.83</v>
      </c>
      <c r="M214">
        <v>5.23</v>
      </c>
      <c r="N214">
        <v>27.352900000000002</v>
      </c>
      <c r="O214">
        <v>5</v>
      </c>
      <c r="P214">
        <v>0</v>
      </c>
      <c r="Q214">
        <v>344.76400000000001</v>
      </c>
      <c r="R214">
        <v>4</v>
      </c>
      <c r="S214">
        <v>0</v>
      </c>
      <c r="T214">
        <v>6.57</v>
      </c>
      <c r="U214" t="str">
        <f>IFERROR(INDEX(Rosters!$C$2:$C$155,MATCH(B214,Rosters!$B$2:$B$155,0)),"NA")</f>
        <v>NA</v>
      </c>
      <c r="V214" t="str">
        <f t="shared" si="9"/>
        <v>NA13</v>
      </c>
      <c r="W214">
        <f>COUNTIFS(A$1:A214,A214)</f>
        <v>16</v>
      </c>
      <c r="X214" t="str">
        <f t="shared" si="10"/>
        <v>Cardinals D/ST13</v>
      </c>
      <c r="Y214">
        <f>COUNTIF(V$1:V214,V214)</f>
        <v>8</v>
      </c>
      <c r="Z214" t="str">
        <f t="shared" si="11"/>
        <v>NA13-8</v>
      </c>
    </row>
    <row r="215" spans="1:26" x14ac:dyDescent="0.25">
      <c r="A215">
        <v>8</v>
      </c>
      <c r="B215" t="s">
        <v>419</v>
      </c>
      <c r="C215" t="s">
        <v>5538</v>
      </c>
      <c r="D215">
        <v>18.850000000000001</v>
      </c>
      <c r="E215">
        <v>2.12</v>
      </c>
      <c r="F215">
        <v>1.02</v>
      </c>
      <c r="G215">
        <v>0.68</v>
      </c>
      <c r="H215">
        <v>0.04</v>
      </c>
      <c r="I215">
        <v>0.16</v>
      </c>
      <c r="J215" t="s">
        <v>36</v>
      </c>
      <c r="K215">
        <v>14.2</v>
      </c>
      <c r="L215">
        <v>1.82</v>
      </c>
      <c r="M215">
        <v>6.19</v>
      </c>
      <c r="N215">
        <v>38.316099999999999</v>
      </c>
      <c r="O215">
        <v>5</v>
      </c>
      <c r="P215">
        <v>0</v>
      </c>
      <c r="Q215">
        <v>328.02</v>
      </c>
      <c r="R215">
        <v>4</v>
      </c>
      <c r="S215">
        <v>0</v>
      </c>
      <c r="T215">
        <v>6.56</v>
      </c>
      <c r="U215" t="str">
        <f>IFERROR(INDEX(Rosters!$C$2:$C$155,MATCH(B215,Rosters!$B$2:$B$155,0)),"NA")</f>
        <v>devon</v>
      </c>
      <c r="V215" t="str">
        <f t="shared" si="9"/>
        <v>devon8</v>
      </c>
      <c r="W215">
        <f>COUNTIFS(A$1:A215,A215)</f>
        <v>10</v>
      </c>
      <c r="X215" t="str">
        <f t="shared" si="10"/>
        <v>Jaguars D/ST8</v>
      </c>
      <c r="Y215">
        <f>COUNTIF(V$1:V215,V215)</f>
        <v>1</v>
      </c>
      <c r="Z215" t="str">
        <f t="shared" si="11"/>
        <v>devon8-1</v>
      </c>
    </row>
    <row r="216" spans="1:26" x14ac:dyDescent="0.25">
      <c r="A216">
        <v>15</v>
      </c>
      <c r="B216" t="s">
        <v>411</v>
      </c>
      <c r="C216" t="s">
        <v>5539</v>
      </c>
      <c r="D216">
        <v>21.03</v>
      </c>
      <c r="E216">
        <v>2.2200000000000002</v>
      </c>
      <c r="F216">
        <v>0.9</v>
      </c>
      <c r="G216">
        <v>0.84</v>
      </c>
      <c r="H216">
        <v>0</v>
      </c>
      <c r="I216">
        <v>0.14000000000000001</v>
      </c>
      <c r="J216" t="s">
        <v>74</v>
      </c>
      <c r="K216">
        <v>13.61</v>
      </c>
      <c r="L216">
        <v>1.1499999999999999</v>
      </c>
      <c r="M216">
        <v>6.23</v>
      </c>
      <c r="N216">
        <v>38.812899999999999</v>
      </c>
      <c r="O216">
        <v>5</v>
      </c>
      <c r="P216">
        <v>0</v>
      </c>
      <c r="Q216">
        <v>339.35599999999999</v>
      </c>
      <c r="R216">
        <v>4</v>
      </c>
      <c r="S216">
        <v>0</v>
      </c>
      <c r="T216">
        <v>6.54</v>
      </c>
      <c r="U216" t="str">
        <f>IFERROR(INDEX(Rosters!$C$2:$C$155,MATCH(B216,Rosters!$B$2:$B$155,0)),"NA")</f>
        <v>lucas</v>
      </c>
      <c r="V216" t="str">
        <f t="shared" si="9"/>
        <v>lucas15</v>
      </c>
      <c r="W216">
        <f>COUNTIFS(A$1:A216,A216)</f>
        <v>14</v>
      </c>
      <c r="X216" t="str">
        <f t="shared" si="10"/>
        <v>Ravens D/ST15</v>
      </c>
      <c r="Y216">
        <f>COUNTIF(V$1:V216,V216)</f>
        <v>2</v>
      </c>
      <c r="Z216" t="str">
        <f t="shared" si="11"/>
        <v>lucas15-2</v>
      </c>
    </row>
    <row r="217" spans="1:26" x14ac:dyDescent="0.25">
      <c r="A217">
        <v>14</v>
      </c>
      <c r="B217" t="s">
        <v>406</v>
      </c>
      <c r="C217" t="s">
        <v>5540</v>
      </c>
      <c r="D217">
        <v>20.29</v>
      </c>
      <c r="E217">
        <v>1.98</v>
      </c>
      <c r="F217">
        <v>1.1200000000000001</v>
      </c>
      <c r="G217">
        <v>0.7</v>
      </c>
      <c r="H217">
        <v>0.04</v>
      </c>
      <c r="I217">
        <v>0.14000000000000001</v>
      </c>
      <c r="J217" t="s">
        <v>25</v>
      </c>
      <c r="K217">
        <v>13.44</v>
      </c>
      <c r="L217">
        <v>1.34</v>
      </c>
      <c r="M217">
        <v>6.05</v>
      </c>
      <c r="N217">
        <v>36.602499999999999</v>
      </c>
      <c r="O217">
        <v>5</v>
      </c>
      <c r="P217">
        <v>0</v>
      </c>
      <c r="Q217">
        <v>335.50799999999998</v>
      </c>
      <c r="R217">
        <v>4</v>
      </c>
      <c r="S217">
        <v>0</v>
      </c>
      <c r="T217">
        <v>6.54</v>
      </c>
      <c r="U217" t="str">
        <f>IFERROR(INDEX(Rosters!$C$2:$C$155,MATCH(B217,Rosters!$B$2:$B$155,0)),"NA")</f>
        <v>seth</v>
      </c>
      <c r="V217" t="str">
        <f t="shared" si="9"/>
        <v>seth14</v>
      </c>
      <c r="W217">
        <f>COUNTIFS(A$1:A217,A217)</f>
        <v>11</v>
      </c>
      <c r="X217" t="str">
        <f t="shared" si="10"/>
        <v>Vikings D/ST14</v>
      </c>
      <c r="Y217">
        <f>COUNTIF(V$1:V217,V217)</f>
        <v>1</v>
      </c>
      <c r="Z217" t="str">
        <f t="shared" si="11"/>
        <v>seth14-1</v>
      </c>
    </row>
    <row r="218" spans="1:26" x14ac:dyDescent="0.25">
      <c r="A218">
        <v>1</v>
      </c>
      <c r="B218" t="s">
        <v>418</v>
      </c>
      <c r="C218" t="s">
        <v>1243</v>
      </c>
      <c r="D218">
        <v>21</v>
      </c>
      <c r="E218">
        <v>2.16</v>
      </c>
      <c r="F218">
        <v>1.18</v>
      </c>
      <c r="G218">
        <v>0.44</v>
      </c>
      <c r="H218">
        <v>0.08</v>
      </c>
      <c r="I218">
        <v>0.16</v>
      </c>
      <c r="J218" t="s">
        <v>51</v>
      </c>
      <c r="K218">
        <v>11.86</v>
      </c>
      <c r="L218">
        <v>2.7</v>
      </c>
      <c r="M218">
        <v>4.58</v>
      </c>
      <c r="N218">
        <v>20.976400000000002</v>
      </c>
      <c r="O218">
        <v>5</v>
      </c>
      <c r="P218">
        <v>0</v>
      </c>
      <c r="Q218">
        <v>339.2</v>
      </c>
      <c r="R218">
        <v>4</v>
      </c>
      <c r="S218">
        <v>0</v>
      </c>
      <c r="T218">
        <v>6.52</v>
      </c>
      <c r="U218" t="str">
        <f>IFERROR(INDEX(Rosters!$C$2:$C$155,MATCH(B218,Rosters!$B$2:$B$155,0)),"NA")</f>
        <v>NA</v>
      </c>
      <c r="V218" t="str">
        <f t="shared" si="9"/>
        <v>NA1</v>
      </c>
      <c r="W218">
        <f>COUNTIFS(A$1:A218,A218)</f>
        <v>13</v>
      </c>
      <c r="X218" t="str">
        <f t="shared" si="10"/>
        <v>Bills D/ST1</v>
      </c>
      <c r="Y218">
        <f>COUNTIF(V$1:V218,V218)</f>
        <v>8</v>
      </c>
      <c r="Z218" t="str">
        <f t="shared" si="11"/>
        <v>NA1-8</v>
      </c>
    </row>
    <row r="219" spans="1:26" x14ac:dyDescent="0.25">
      <c r="A219">
        <v>10</v>
      </c>
      <c r="B219" t="s">
        <v>408</v>
      </c>
      <c r="C219" t="s">
        <v>5541</v>
      </c>
      <c r="D219">
        <v>22.84</v>
      </c>
      <c r="E219">
        <v>2.48</v>
      </c>
      <c r="F219">
        <v>0.94</v>
      </c>
      <c r="G219">
        <v>0.8</v>
      </c>
      <c r="H219">
        <v>0.04</v>
      </c>
      <c r="I219">
        <v>0.08</v>
      </c>
      <c r="J219" t="s">
        <v>14</v>
      </c>
      <c r="K219">
        <v>12.55</v>
      </c>
      <c r="L219">
        <v>0.99</v>
      </c>
      <c r="M219">
        <v>5.78</v>
      </c>
      <c r="N219">
        <v>33.4084</v>
      </c>
      <c r="O219">
        <v>5</v>
      </c>
      <c r="P219">
        <v>0</v>
      </c>
      <c r="Q219">
        <v>348.76799999999997</v>
      </c>
      <c r="R219">
        <v>4</v>
      </c>
      <c r="S219">
        <v>0</v>
      </c>
      <c r="T219">
        <v>6.52</v>
      </c>
      <c r="U219" t="str">
        <f>IFERROR(INDEX(Rosters!$C$2:$C$155,MATCH(B219,Rosters!$B$2:$B$155,0)),"NA")</f>
        <v>NA</v>
      </c>
      <c r="V219" t="str">
        <f t="shared" si="9"/>
        <v>NA10</v>
      </c>
      <c r="W219">
        <f>COUNTIFS(A$1:A219,A219)</f>
        <v>10</v>
      </c>
      <c r="X219" t="str">
        <f t="shared" si="10"/>
        <v>Giants D/ST10</v>
      </c>
      <c r="Y219">
        <f>COUNTIF(V$1:V219,V219)</f>
        <v>7</v>
      </c>
      <c r="Z219" t="str">
        <f t="shared" si="11"/>
        <v>NA10-7</v>
      </c>
    </row>
    <row r="220" spans="1:26" x14ac:dyDescent="0.25">
      <c r="A220">
        <v>13</v>
      </c>
      <c r="B220" t="s">
        <v>421</v>
      </c>
      <c r="C220" t="s">
        <v>5542</v>
      </c>
      <c r="D220">
        <v>24.77</v>
      </c>
      <c r="E220">
        <v>2.02</v>
      </c>
      <c r="F220">
        <v>0.86</v>
      </c>
      <c r="G220">
        <v>1</v>
      </c>
      <c r="H220">
        <v>0.04</v>
      </c>
      <c r="I220">
        <v>0.28000000000000003</v>
      </c>
      <c r="J220" t="s">
        <v>31</v>
      </c>
      <c r="K220">
        <v>12.78</v>
      </c>
      <c r="L220">
        <v>1.82</v>
      </c>
      <c r="M220">
        <v>5.48</v>
      </c>
      <c r="N220">
        <v>30.0304</v>
      </c>
      <c r="O220">
        <v>5</v>
      </c>
      <c r="P220">
        <v>0</v>
      </c>
      <c r="Q220">
        <v>358.80399999999997</v>
      </c>
      <c r="R220">
        <v>5</v>
      </c>
      <c r="S220">
        <v>-1</v>
      </c>
      <c r="T220">
        <v>6.5</v>
      </c>
      <c r="U220" t="str">
        <f>IFERROR(INDEX(Rosters!$C$2:$C$155,MATCH(B220,Rosters!$B$2:$B$155,0)),"NA")</f>
        <v>NA</v>
      </c>
      <c r="V220" t="str">
        <f t="shared" si="9"/>
        <v>NA13</v>
      </c>
      <c r="W220">
        <f>COUNTIFS(A$1:A220,A220)</f>
        <v>17</v>
      </c>
      <c r="X220" t="str">
        <f t="shared" si="10"/>
        <v>Chargers D/ST13</v>
      </c>
      <c r="Y220">
        <f>COUNTIF(V$1:V220,V220)</f>
        <v>9</v>
      </c>
      <c r="Z220" t="str">
        <f t="shared" si="11"/>
        <v>NA13-9</v>
      </c>
    </row>
    <row r="221" spans="1:26" x14ac:dyDescent="0.25">
      <c r="A221">
        <v>8</v>
      </c>
      <c r="B221" t="s">
        <v>411</v>
      </c>
      <c r="C221" t="s">
        <v>5543</v>
      </c>
      <c r="D221">
        <v>18.809999999999999</v>
      </c>
      <c r="E221">
        <v>2.46</v>
      </c>
      <c r="F221">
        <v>0.88</v>
      </c>
      <c r="G221">
        <v>0.64</v>
      </c>
      <c r="H221">
        <v>0.08</v>
      </c>
      <c r="I221">
        <v>0.14000000000000001</v>
      </c>
      <c r="J221" t="s">
        <v>37</v>
      </c>
      <c r="K221">
        <v>14.33</v>
      </c>
      <c r="L221">
        <v>1.85</v>
      </c>
      <c r="M221">
        <v>6.24</v>
      </c>
      <c r="N221">
        <v>38.937600000000003</v>
      </c>
      <c r="O221">
        <v>5</v>
      </c>
      <c r="P221">
        <v>0</v>
      </c>
      <c r="Q221">
        <v>327.81200000000001</v>
      </c>
      <c r="R221">
        <v>4</v>
      </c>
      <c r="S221">
        <v>0</v>
      </c>
      <c r="T221">
        <v>6.5</v>
      </c>
      <c r="U221" t="str">
        <f>IFERROR(INDEX(Rosters!$C$2:$C$155,MATCH(B221,Rosters!$B$2:$B$155,0)),"NA")</f>
        <v>lucas</v>
      </c>
      <c r="V221" t="str">
        <f t="shared" si="9"/>
        <v>lucas8</v>
      </c>
      <c r="W221">
        <f>COUNTIFS(A$1:A221,A221)</f>
        <v>11</v>
      </c>
      <c r="X221" t="str">
        <f t="shared" si="10"/>
        <v>Ravens D/ST8</v>
      </c>
      <c r="Y221">
        <f>COUNTIF(V$1:V221,V221)</f>
        <v>2</v>
      </c>
      <c r="Z221" t="str">
        <f t="shared" si="11"/>
        <v>lucas8-2</v>
      </c>
    </row>
    <row r="222" spans="1:26" x14ac:dyDescent="0.25">
      <c r="A222">
        <v>1</v>
      </c>
      <c r="B222" t="s">
        <v>409</v>
      </c>
      <c r="C222" t="s">
        <v>1244</v>
      </c>
      <c r="D222">
        <v>20.98</v>
      </c>
      <c r="E222">
        <v>2.06</v>
      </c>
      <c r="F222">
        <v>1</v>
      </c>
      <c r="G222">
        <v>0.59</v>
      </c>
      <c r="H222">
        <v>0.02</v>
      </c>
      <c r="I222">
        <v>0.2</v>
      </c>
      <c r="J222" t="s">
        <v>38</v>
      </c>
      <c r="K222">
        <v>13.52</v>
      </c>
      <c r="L222">
        <v>1.46</v>
      </c>
      <c r="M222">
        <v>6.03</v>
      </c>
      <c r="N222">
        <v>36.360900000000001</v>
      </c>
      <c r="O222">
        <v>5</v>
      </c>
      <c r="P222">
        <v>0</v>
      </c>
      <c r="Q222">
        <v>339.096</v>
      </c>
      <c r="R222">
        <v>4</v>
      </c>
      <c r="S222">
        <v>0</v>
      </c>
      <c r="T222">
        <v>6.48</v>
      </c>
      <c r="U222" t="str">
        <f>IFERROR(INDEX(Rosters!$C$2:$C$155,MATCH(B222,Rosters!$B$2:$B$155,0)),"NA")</f>
        <v>NA</v>
      </c>
      <c r="V222" t="str">
        <f t="shared" si="9"/>
        <v>NA1</v>
      </c>
      <c r="W222">
        <f>COUNTIFS(A$1:A222,A222)</f>
        <v>14</v>
      </c>
      <c r="X222" t="str">
        <f t="shared" si="10"/>
        <v>Cardinals D/ST1</v>
      </c>
      <c r="Y222">
        <f>COUNTIF(V$1:V222,V222)</f>
        <v>9</v>
      </c>
      <c r="Z222" t="str">
        <f t="shared" si="11"/>
        <v>NA1-9</v>
      </c>
    </row>
    <row r="223" spans="1:26" x14ac:dyDescent="0.25">
      <c r="A223">
        <v>5</v>
      </c>
      <c r="B223" t="s">
        <v>421</v>
      </c>
      <c r="C223" t="s">
        <v>9054</v>
      </c>
      <c r="D223">
        <v>24.29</v>
      </c>
      <c r="E223">
        <v>2</v>
      </c>
      <c r="F223">
        <v>1.01</v>
      </c>
      <c r="G223">
        <v>0.81</v>
      </c>
      <c r="H223">
        <v>0.02</v>
      </c>
      <c r="I223">
        <v>0.3</v>
      </c>
      <c r="J223" t="s">
        <v>50</v>
      </c>
      <c r="K223">
        <v>12.63</v>
      </c>
      <c r="L223">
        <v>2.87</v>
      </c>
      <c r="M223">
        <v>4.88</v>
      </c>
      <c r="N223">
        <v>23.814399999999999</v>
      </c>
      <c r="O223">
        <v>5</v>
      </c>
      <c r="P223">
        <v>0</v>
      </c>
      <c r="Q223">
        <v>356.30799999999999</v>
      </c>
      <c r="R223">
        <v>5</v>
      </c>
      <c r="S223">
        <v>-1</v>
      </c>
      <c r="T223">
        <v>6.48</v>
      </c>
      <c r="U223" t="str">
        <f>IFERROR(INDEX(Rosters!$C$2:$C$155,MATCH(B223,Rosters!$B$2:$B$155,0)),"NA")</f>
        <v>NA</v>
      </c>
      <c r="V223" t="str">
        <f t="shared" si="9"/>
        <v>NA5</v>
      </c>
      <c r="W223">
        <f>COUNTIFS(A$1:A223,A223)</f>
        <v>13</v>
      </c>
      <c r="X223" t="str">
        <f t="shared" si="10"/>
        <v>Chargers D/ST5</v>
      </c>
      <c r="Y223">
        <f>COUNTIF(V$1:V223,V223)</f>
        <v>8</v>
      </c>
      <c r="Z223" t="str">
        <f t="shared" si="11"/>
        <v>NA5-8</v>
      </c>
    </row>
    <row r="224" spans="1:26" x14ac:dyDescent="0.25">
      <c r="A224">
        <v>12</v>
      </c>
      <c r="B224" t="s">
        <v>411</v>
      </c>
      <c r="C224" t="s">
        <v>5544</v>
      </c>
      <c r="D224">
        <v>21.47</v>
      </c>
      <c r="E224">
        <v>2.36</v>
      </c>
      <c r="F224">
        <v>0.78</v>
      </c>
      <c r="G224">
        <v>0.7</v>
      </c>
      <c r="H224">
        <v>0.04</v>
      </c>
      <c r="I224">
        <v>0.18</v>
      </c>
      <c r="J224" t="s">
        <v>50</v>
      </c>
      <c r="K224">
        <v>13.04</v>
      </c>
      <c r="L224">
        <v>1.38</v>
      </c>
      <c r="M224">
        <v>5.83</v>
      </c>
      <c r="N224">
        <v>33.988900000000001</v>
      </c>
      <c r="O224">
        <v>5</v>
      </c>
      <c r="P224">
        <v>0</v>
      </c>
      <c r="Q224">
        <v>341.64400000000001</v>
      </c>
      <c r="R224">
        <v>4</v>
      </c>
      <c r="S224">
        <v>0</v>
      </c>
      <c r="T224">
        <v>6.48</v>
      </c>
      <c r="U224" t="str">
        <f>IFERROR(INDEX(Rosters!$C$2:$C$155,MATCH(B224,Rosters!$B$2:$B$155,0)),"NA")</f>
        <v>lucas</v>
      </c>
      <c r="V224" t="str">
        <f t="shared" si="9"/>
        <v>lucas12</v>
      </c>
      <c r="W224">
        <f>COUNTIFS(A$1:A224,A224)</f>
        <v>12</v>
      </c>
      <c r="X224" t="str">
        <f t="shared" si="10"/>
        <v>Ravens D/ST12</v>
      </c>
      <c r="Y224">
        <f>COUNTIF(V$1:V224,V224)</f>
        <v>1</v>
      </c>
      <c r="Z224" t="str">
        <f t="shared" si="11"/>
        <v>lucas12-1</v>
      </c>
    </row>
    <row r="225" spans="1:26" x14ac:dyDescent="0.25">
      <c r="A225">
        <v>7</v>
      </c>
      <c r="B225" t="s">
        <v>431</v>
      </c>
      <c r="C225" t="s">
        <v>5545</v>
      </c>
      <c r="D225">
        <v>23.53</v>
      </c>
      <c r="E225">
        <v>2.66</v>
      </c>
      <c r="F225">
        <v>1</v>
      </c>
      <c r="G225">
        <v>0.76</v>
      </c>
      <c r="H225">
        <v>0.04</v>
      </c>
      <c r="I225">
        <v>0.2</v>
      </c>
      <c r="J225" t="s">
        <v>51</v>
      </c>
      <c r="K225">
        <v>13.14</v>
      </c>
      <c r="L225">
        <v>2.2000000000000002</v>
      </c>
      <c r="M225">
        <v>5.47</v>
      </c>
      <c r="N225">
        <v>29.9209</v>
      </c>
      <c r="O225">
        <v>5</v>
      </c>
      <c r="P225">
        <v>0</v>
      </c>
      <c r="Q225">
        <v>352.35599999999999</v>
      </c>
      <c r="R225">
        <v>5</v>
      </c>
      <c r="S225">
        <v>-1</v>
      </c>
      <c r="T225">
        <v>6.46</v>
      </c>
      <c r="U225" t="str">
        <f>IFERROR(INDEX(Rosters!$C$2:$C$155,MATCH(B225,Rosters!$B$2:$B$155,0)),"NA")</f>
        <v>NA</v>
      </c>
      <c r="V225" t="str">
        <f t="shared" si="9"/>
        <v>NA7</v>
      </c>
      <c r="W225">
        <f>COUNTIFS(A$1:A225,A225)</f>
        <v>13</v>
      </c>
      <c r="X225" t="str">
        <f t="shared" si="10"/>
        <v>Saints D/ST7</v>
      </c>
      <c r="Y225">
        <f>COUNTIF(V$1:V225,V225)</f>
        <v>9</v>
      </c>
      <c r="Z225" t="str">
        <f t="shared" si="11"/>
        <v>NA7-9</v>
      </c>
    </row>
    <row r="226" spans="1:26" x14ac:dyDescent="0.25">
      <c r="A226">
        <v>5</v>
      </c>
      <c r="B226" t="s">
        <v>405</v>
      </c>
      <c r="C226">
        <f>-1.35-17.15</f>
        <v>-18.5</v>
      </c>
      <c r="D226">
        <v>28.9</v>
      </c>
      <c r="E226">
        <v>3.44</v>
      </c>
      <c r="F226">
        <v>0.88</v>
      </c>
      <c r="G226">
        <v>0.73</v>
      </c>
      <c r="H226">
        <v>0.03</v>
      </c>
      <c r="I226">
        <v>0.28999999999999998</v>
      </c>
      <c r="J226" t="s">
        <v>19</v>
      </c>
      <c r="K226">
        <v>17.149999999999999</v>
      </c>
      <c r="L226">
        <v>-1.35</v>
      </c>
      <c r="M226">
        <v>9.25</v>
      </c>
      <c r="N226">
        <v>85.5625</v>
      </c>
      <c r="O226">
        <v>6</v>
      </c>
      <c r="P226">
        <v>-1</v>
      </c>
      <c r="Q226">
        <v>380.28</v>
      </c>
      <c r="R226">
        <v>5</v>
      </c>
      <c r="S226">
        <v>-1</v>
      </c>
      <c r="T226">
        <v>6.46</v>
      </c>
      <c r="U226" t="str">
        <f>IFERROR(INDEX(Rosters!$C$2:$C$155,MATCH(B226,Rosters!$B$2:$B$155,0)),"NA")</f>
        <v>perry</v>
      </c>
      <c r="V226" t="str">
        <f t="shared" si="9"/>
        <v>perry5</v>
      </c>
      <c r="W226">
        <f>COUNTIFS(A$1:A226,A226)</f>
        <v>14</v>
      </c>
      <c r="X226" t="str">
        <f t="shared" si="10"/>
        <v>Texans D/ST5</v>
      </c>
      <c r="Y226">
        <f>COUNTIF(V$1:V226,V226)</f>
        <v>1</v>
      </c>
      <c r="Z226" t="str">
        <f t="shared" si="11"/>
        <v>perry5-1</v>
      </c>
    </row>
    <row r="227" spans="1:26" x14ac:dyDescent="0.25">
      <c r="A227">
        <v>13</v>
      </c>
      <c r="B227" t="s">
        <v>434</v>
      </c>
      <c r="C227" t="s">
        <v>5546</v>
      </c>
      <c r="D227">
        <v>19.79</v>
      </c>
      <c r="E227">
        <v>2.08</v>
      </c>
      <c r="F227">
        <v>1.06</v>
      </c>
      <c r="G227">
        <v>0.78</v>
      </c>
      <c r="H227">
        <v>0.04</v>
      </c>
      <c r="I227">
        <v>0.1</v>
      </c>
      <c r="J227" t="s">
        <v>56</v>
      </c>
      <c r="K227">
        <v>13.07</v>
      </c>
      <c r="L227">
        <v>1.55</v>
      </c>
      <c r="M227">
        <v>5.76</v>
      </c>
      <c r="N227">
        <v>33.177599999999998</v>
      </c>
      <c r="O227">
        <v>5</v>
      </c>
      <c r="P227">
        <v>0</v>
      </c>
      <c r="Q227">
        <v>332.90800000000002</v>
      </c>
      <c r="R227">
        <v>4</v>
      </c>
      <c r="S227">
        <v>0</v>
      </c>
      <c r="T227">
        <v>6.44</v>
      </c>
      <c r="U227" t="str">
        <f>IFERROR(INDEX(Rosters!$C$2:$C$155,MATCH(B227,Rosters!$B$2:$B$155,0)),"NA")</f>
        <v>matty</v>
      </c>
      <c r="V227" t="str">
        <f t="shared" si="9"/>
        <v>matty13</v>
      </c>
      <c r="W227">
        <f>COUNTIFS(A$1:A227,A227)</f>
        <v>18</v>
      </c>
      <c r="X227" t="str">
        <f t="shared" si="10"/>
        <v>Browns D/ST13</v>
      </c>
      <c r="Y227">
        <f>COUNTIF(V$1:V227,V227)</f>
        <v>1</v>
      </c>
      <c r="Z227" t="str">
        <f t="shared" si="11"/>
        <v>matty13-1</v>
      </c>
    </row>
    <row r="228" spans="1:26" x14ac:dyDescent="0.25">
      <c r="A228">
        <v>3</v>
      </c>
      <c r="B228" t="s">
        <v>425</v>
      </c>
      <c r="C228" t="s">
        <v>4187</v>
      </c>
      <c r="D228">
        <v>24.25</v>
      </c>
      <c r="E228">
        <v>2.9</v>
      </c>
      <c r="F228">
        <v>0.81</v>
      </c>
      <c r="G228">
        <v>0.71</v>
      </c>
      <c r="H228">
        <v>0.03</v>
      </c>
      <c r="I228">
        <v>0.24</v>
      </c>
      <c r="J228" t="s">
        <v>38</v>
      </c>
      <c r="K228">
        <v>14.22</v>
      </c>
      <c r="L228">
        <v>1</v>
      </c>
      <c r="M228">
        <v>6.61</v>
      </c>
      <c r="N228">
        <v>43.692100000000003</v>
      </c>
      <c r="O228">
        <v>5</v>
      </c>
      <c r="P228">
        <v>0</v>
      </c>
      <c r="Q228">
        <v>356.1</v>
      </c>
      <c r="R228">
        <v>5</v>
      </c>
      <c r="S228">
        <v>-1</v>
      </c>
      <c r="T228">
        <v>6.44</v>
      </c>
      <c r="U228" t="str">
        <f>IFERROR(INDEX(Rosters!$C$2:$C$155,MATCH(B228,Rosters!$B$2:$B$155,0)),"NA")</f>
        <v>NA</v>
      </c>
      <c r="V228" t="str">
        <f t="shared" si="9"/>
        <v>NA3</v>
      </c>
      <c r="W228">
        <f>COUNTIFS(A$1:A228,A228)</f>
        <v>16</v>
      </c>
      <c r="X228" t="str">
        <f t="shared" si="10"/>
        <v>Packers D/ST3</v>
      </c>
      <c r="Y228">
        <f>COUNTIF(V$1:V228,V228)</f>
        <v>7</v>
      </c>
      <c r="Z228" t="str">
        <f t="shared" si="11"/>
        <v>NA3-7</v>
      </c>
    </row>
    <row r="229" spans="1:26" x14ac:dyDescent="0.25">
      <c r="A229">
        <v>5</v>
      </c>
      <c r="B229" t="s">
        <v>409</v>
      </c>
      <c r="C229" t="s">
        <v>9072</v>
      </c>
      <c r="D229">
        <v>19.3</v>
      </c>
      <c r="E229">
        <v>2.02</v>
      </c>
      <c r="F229">
        <v>1.08</v>
      </c>
      <c r="G229">
        <v>0.59</v>
      </c>
      <c r="H229">
        <v>0.05</v>
      </c>
      <c r="I229">
        <v>0.16</v>
      </c>
      <c r="J229" t="s">
        <v>14</v>
      </c>
      <c r="K229">
        <v>12.49</v>
      </c>
      <c r="L229">
        <v>2.11</v>
      </c>
      <c r="M229">
        <v>5.19</v>
      </c>
      <c r="N229">
        <v>26.9361</v>
      </c>
      <c r="O229">
        <v>5</v>
      </c>
      <c r="P229">
        <v>0</v>
      </c>
      <c r="Q229">
        <v>330.36</v>
      </c>
      <c r="R229">
        <v>4</v>
      </c>
      <c r="S229">
        <v>0</v>
      </c>
      <c r="T229">
        <v>6.42</v>
      </c>
      <c r="U229" t="str">
        <f>IFERROR(INDEX(Rosters!$C$2:$C$155,MATCH(B229,Rosters!$B$2:$B$155,0)),"NA")</f>
        <v>NA</v>
      </c>
      <c r="V229" t="str">
        <f t="shared" si="9"/>
        <v>NA5</v>
      </c>
      <c r="W229">
        <f>COUNTIFS(A$1:A229,A229)</f>
        <v>15</v>
      </c>
      <c r="X229" t="str">
        <f t="shared" si="10"/>
        <v>Cardinals D/ST5</v>
      </c>
      <c r="Y229">
        <f>COUNTIF(V$1:V229,V229)</f>
        <v>9</v>
      </c>
      <c r="Z229" t="str">
        <f t="shared" si="11"/>
        <v>NA5-9</v>
      </c>
    </row>
    <row r="230" spans="1:26" x14ac:dyDescent="0.25">
      <c r="A230">
        <v>12</v>
      </c>
      <c r="B230" t="s">
        <v>432</v>
      </c>
      <c r="C230" t="s">
        <v>5547</v>
      </c>
      <c r="D230">
        <v>21.54</v>
      </c>
      <c r="E230">
        <v>2.4900000000000002</v>
      </c>
      <c r="F230">
        <v>0.68</v>
      </c>
      <c r="G230">
        <v>0.66</v>
      </c>
      <c r="H230">
        <v>0.02</v>
      </c>
      <c r="I230">
        <v>0.2</v>
      </c>
      <c r="J230" t="s">
        <v>54</v>
      </c>
      <c r="K230">
        <v>12.94</v>
      </c>
      <c r="L230">
        <v>1.48</v>
      </c>
      <c r="M230">
        <v>5.73</v>
      </c>
      <c r="N230">
        <v>32.832900000000002</v>
      </c>
      <c r="O230">
        <v>5</v>
      </c>
      <c r="P230">
        <v>0</v>
      </c>
      <c r="Q230">
        <v>342.00799999999998</v>
      </c>
      <c r="R230">
        <v>4</v>
      </c>
      <c r="S230">
        <v>0</v>
      </c>
      <c r="T230">
        <v>6.41</v>
      </c>
      <c r="U230" t="str">
        <f>IFERROR(INDEX(Rosters!$C$2:$C$155,MATCH(B230,Rosters!$B$2:$B$155,0)),"NA")</f>
        <v>NA</v>
      </c>
      <c r="V230" t="str">
        <f t="shared" si="9"/>
        <v>NA12</v>
      </c>
      <c r="W230">
        <f>COUNTIFS(A$1:A230,A230)</f>
        <v>13</v>
      </c>
      <c r="X230" t="str">
        <f t="shared" si="10"/>
        <v>Colts D/ST12</v>
      </c>
      <c r="Y230">
        <f>COUNTIF(V$1:V230,V230)</f>
        <v>7</v>
      </c>
      <c r="Z230" t="str">
        <f t="shared" si="11"/>
        <v>NA12-7</v>
      </c>
    </row>
    <row r="231" spans="1:26" x14ac:dyDescent="0.25">
      <c r="A231">
        <v>4</v>
      </c>
      <c r="B231" t="s">
        <v>409</v>
      </c>
      <c r="C231" t="s">
        <v>5015</v>
      </c>
      <c r="D231">
        <v>20.75</v>
      </c>
      <c r="E231">
        <v>1.99</v>
      </c>
      <c r="F231">
        <v>0.99</v>
      </c>
      <c r="G231">
        <v>0.75</v>
      </c>
      <c r="H231">
        <v>0.04</v>
      </c>
      <c r="I231">
        <v>0.14000000000000001</v>
      </c>
      <c r="J231" t="s">
        <v>25</v>
      </c>
      <c r="K231">
        <v>13.06</v>
      </c>
      <c r="L231">
        <v>1.6</v>
      </c>
      <c r="M231">
        <v>5.73</v>
      </c>
      <c r="N231">
        <v>32.832900000000002</v>
      </c>
      <c r="O231">
        <v>5</v>
      </c>
      <c r="P231">
        <v>0</v>
      </c>
      <c r="Q231">
        <v>337.9</v>
      </c>
      <c r="R231">
        <v>4</v>
      </c>
      <c r="S231">
        <v>0</v>
      </c>
      <c r="T231">
        <v>6.39</v>
      </c>
      <c r="U231" t="str">
        <f>IFERROR(INDEX(Rosters!$C$2:$C$155,MATCH(B231,Rosters!$B$2:$B$155,0)),"NA")</f>
        <v>NA</v>
      </c>
      <c r="V231" t="str">
        <f t="shared" si="9"/>
        <v>NA4</v>
      </c>
      <c r="W231">
        <f>COUNTIFS(A$1:A231,A231)</f>
        <v>14</v>
      </c>
      <c r="X231" t="str">
        <f t="shared" si="10"/>
        <v>Cardinals D/ST4</v>
      </c>
      <c r="Y231">
        <f>COUNTIF(V$1:V231,V231)</f>
        <v>9</v>
      </c>
      <c r="Z231" t="str">
        <f t="shared" si="11"/>
        <v>NA4-9</v>
      </c>
    </row>
    <row r="232" spans="1:26" x14ac:dyDescent="0.25">
      <c r="A232">
        <v>7</v>
      </c>
      <c r="B232" t="s">
        <v>422</v>
      </c>
      <c r="C232" t="s">
        <v>5548</v>
      </c>
      <c r="D232">
        <v>26.16</v>
      </c>
      <c r="E232">
        <v>1.97</v>
      </c>
      <c r="F232">
        <v>1.3</v>
      </c>
      <c r="G232">
        <v>0.72</v>
      </c>
      <c r="H232">
        <v>0.02</v>
      </c>
      <c r="I232">
        <v>0.22</v>
      </c>
      <c r="J232" t="s">
        <v>42</v>
      </c>
      <c r="K232">
        <v>12.9</v>
      </c>
      <c r="L232">
        <v>1.08</v>
      </c>
      <c r="M232">
        <v>5.91</v>
      </c>
      <c r="N232">
        <v>34.928100000000001</v>
      </c>
      <c r="O232">
        <v>5</v>
      </c>
      <c r="P232">
        <v>0</v>
      </c>
      <c r="Q232">
        <v>366.03199999999998</v>
      </c>
      <c r="R232">
        <v>5</v>
      </c>
      <c r="S232">
        <v>-1</v>
      </c>
      <c r="T232">
        <v>6.37</v>
      </c>
      <c r="U232" t="str">
        <f>IFERROR(INDEX(Rosters!$C$2:$C$155,MATCH(B232,Rosters!$B$2:$B$155,0)),"NA")</f>
        <v>NA</v>
      </c>
      <c r="V232" t="str">
        <f t="shared" si="9"/>
        <v>NA7</v>
      </c>
      <c r="W232">
        <f>COUNTIFS(A$1:A232,A232)</f>
        <v>14</v>
      </c>
      <c r="X232" t="str">
        <f t="shared" si="10"/>
        <v>Dolphins D/ST7</v>
      </c>
      <c r="Y232">
        <f>COUNTIF(V$1:V232,V232)</f>
        <v>10</v>
      </c>
      <c r="Z232" t="str">
        <f t="shared" si="11"/>
        <v>NA7-10</v>
      </c>
    </row>
    <row r="233" spans="1:26" x14ac:dyDescent="0.25">
      <c r="A233">
        <v>4</v>
      </c>
      <c r="B233" t="s">
        <v>416</v>
      </c>
      <c r="C233" t="s">
        <v>5016</v>
      </c>
      <c r="D233">
        <v>24.42</v>
      </c>
      <c r="E233">
        <v>2.4</v>
      </c>
      <c r="F233">
        <v>0.81</v>
      </c>
      <c r="G233">
        <v>0.89</v>
      </c>
      <c r="H233">
        <v>0.06</v>
      </c>
      <c r="I233">
        <v>0.24</v>
      </c>
      <c r="J233" t="s">
        <v>74</v>
      </c>
      <c r="K233">
        <v>13.34</v>
      </c>
      <c r="L233">
        <v>2.44</v>
      </c>
      <c r="M233">
        <v>5.45</v>
      </c>
      <c r="N233">
        <v>29.702500000000001</v>
      </c>
      <c r="O233">
        <v>5</v>
      </c>
      <c r="P233">
        <v>0</v>
      </c>
      <c r="Q233">
        <v>356.98399999999998</v>
      </c>
      <c r="R233">
        <v>5</v>
      </c>
      <c r="S233">
        <v>-1</v>
      </c>
      <c r="T233">
        <v>6.36</v>
      </c>
      <c r="U233" t="str">
        <f>IFERROR(INDEX(Rosters!$C$2:$C$155,MATCH(B233,Rosters!$B$2:$B$155,0)),"NA")</f>
        <v>lucas</v>
      </c>
      <c r="V233" t="str">
        <f t="shared" si="9"/>
        <v>lucas4</v>
      </c>
      <c r="W233">
        <f>COUNTIFS(A$1:A233,A233)</f>
        <v>15</v>
      </c>
      <c r="X233" t="str">
        <f t="shared" si="10"/>
        <v>Bears D/ST4</v>
      </c>
      <c r="Y233">
        <f>COUNTIF(V$1:V233,V233)</f>
        <v>1</v>
      </c>
      <c r="Z233" t="str">
        <f t="shared" si="11"/>
        <v>lucas4-1</v>
      </c>
    </row>
    <row r="234" spans="1:26" x14ac:dyDescent="0.25">
      <c r="A234">
        <v>17</v>
      </c>
      <c r="B234" t="s">
        <v>426</v>
      </c>
      <c r="C234" t="s">
        <v>5549</v>
      </c>
      <c r="D234">
        <v>21.39</v>
      </c>
      <c r="E234">
        <v>2.1</v>
      </c>
      <c r="F234">
        <v>1.02</v>
      </c>
      <c r="G234">
        <v>0.62</v>
      </c>
      <c r="H234">
        <v>0</v>
      </c>
      <c r="I234">
        <v>0.16</v>
      </c>
      <c r="J234" t="s">
        <v>32</v>
      </c>
      <c r="K234">
        <v>12.69</v>
      </c>
      <c r="L234">
        <v>1.33</v>
      </c>
      <c r="M234">
        <v>5.68</v>
      </c>
      <c r="N234">
        <v>32.2624</v>
      </c>
      <c r="O234">
        <v>5</v>
      </c>
      <c r="P234">
        <v>0</v>
      </c>
      <c r="Q234">
        <v>341.22800000000001</v>
      </c>
      <c r="R234">
        <v>4</v>
      </c>
      <c r="S234">
        <v>0</v>
      </c>
      <c r="T234">
        <v>6.34</v>
      </c>
      <c r="U234" t="str">
        <f>IFERROR(INDEX(Rosters!$C$2:$C$155,MATCH(B234,Rosters!$B$2:$B$155,0)),"NA")</f>
        <v>NA</v>
      </c>
      <c r="V234" t="str">
        <f t="shared" si="9"/>
        <v>NA17</v>
      </c>
      <c r="W234">
        <f>COUNTIFS(A$1:A234,A234)</f>
        <v>14</v>
      </c>
      <c r="X234" t="str">
        <f t="shared" si="10"/>
        <v>Cowboys D/ST17</v>
      </c>
      <c r="Y234">
        <f>COUNTIF(V$1:V234,V234)</f>
        <v>9</v>
      </c>
      <c r="Z234" t="str">
        <f t="shared" si="11"/>
        <v>NA17-9</v>
      </c>
    </row>
    <row r="235" spans="1:26" x14ac:dyDescent="0.25">
      <c r="A235">
        <v>7</v>
      </c>
      <c r="B235" t="s">
        <v>414</v>
      </c>
      <c r="C235" t="s">
        <v>5550</v>
      </c>
      <c r="D235">
        <v>22.33</v>
      </c>
      <c r="E235">
        <v>1.9</v>
      </c>
      <c r="F235">
        <v>0.86</v>
      </c>
      <c r="G235">
        <v>0.78</v>
      </c>
      <c r="H235">
        <v>0.04</v>
      </c>
      <c r="I235">
        <v>0.18</v>
      </c>
      <c r="J235" t="s">
        <v>37</v>
      </c>
      <c r="K235">
        <v>13.25</v>
      </c>
      <c r="L235">
        <v>0.51</v>
      </c>
      <c r="M235">
        <v>6.37</v>
      </c>
      <c r="N235">
        <v>40.576900000000002</v>
      </c>
      <c r="O235">
        <v>5</v>
      </c>
      <c r="P235">
        <v>0</v>
      </c>
      <c r="Q235">
        <v>346.11599999999999</v>
      </c>
      <c r="R235">
        <v>4</v>
      </c>
      <c r="S235">
        <v>0</v>
      </c>
      <c r="T235">
        <v>6.34</v>
      </c>
      <c r="U235" t="str">
        <f>IFERROR(INDEX(Rosters!$C$2:$C$155,MATCH(B235,Rosters!$B$2:$B$155,0)),"NA")</f>
        <v>comp</v>
      </c>
      <c r="V235" t="str">
        <f t="shared" si="9"/>
        <v>comp7</v>
      </c>
      <c r="W235">
        <f>COUNTIFS(A$1:A235,A235)</f>
        <v>15</v>
      </c>
      <c r="X235" t="str">
        <f t="shared" si="10"/>
        <v>Eagles D/ST7</v>
      </c>
      <c r="Y235">
        <f>COUNTIF(V$1:V235,V235)</f>
        <v>1</v>
      </c>
      <c r="Z235" t="str">
        <f t="shared" si="11"/>
        <v>comp7-1</v>
      </c>
    </row>
    <row r="236" spans="1:26" x14ac:dyDescent="0.25">
      <c r="A236">
        <v>10</v>
      </c>
      <c r="B236" t="s">
        <v>415</v>
      </c>
      <c r="C236" t="s">
        <v>5551</v>
      </c>
      <c r="D236">
        <v>22.58</v>
      </c>
      <c r="E236">
        <v>1.98</v>
      </c>
      <c r="F236">
        <v>0.82</v>
      </c>
      <c r="G236">
        <v>0.7</v>
      </c>
      <c r="H236">
        <v>0.06</v>
      </c>
      <c r="I236">
        <v>0.2</v>
      </c>
      <c r="J236" t="s">
        <v>22</v>
      </c>
      <c r="K236">
        <v>13.2</v>
      </c>
      <c r="L236">
        <v>1.08</v>
      </c>
      <c r="M236">
        <v>6.06</v>
      </c>
      <c r="N236">
        <v>36.723599999999998</v>
      </c>
      <c r="O236">
        <v>5</v>
      </c>
      <c r="P236">
        <v>0</v>
      </c>
      <c r="Q236">
        <v>347.416</v>
      </c>
      <c r="R236">
        <v>4</v>
      </c>
      <c r="S236">
        <v>0</v>
      </c>
      <c r="T236">
        <v>6.34</v>
      </c>
      <c r="U236" t="str">
        <f>IFERROR(INDEX(Rosters!$C$2:$C$155,MATCH(B236,Rosters!$B$2:$B$155,0)),"NA")</f>
        <v>NA</v>
      </c>
      <c r="V236" t="str">
        <f t="shared" si="9"/>
        <v>NA10</v>
      </c>
      <c r="W236">
        <f>COUNTIFS(A$1:A236,A236)</f>
        <v>11</v>
      </c>
      <c r="X236" t="str">
        <f t="shared" si="10"/>
        <v>Patriots D/ST10</v>
      </c>
      <c r="Y236">
        <f>COUNTIF(V$1:V236,V236)</f>
        <v>8</v>
      </c>
      <c r="Z236" t="str">
        <f t="shared" si="11"/>
        <v>NA10-8</v>
      </c>
    </row>
    <row r="237" spans="1:26" x14ac:dyDescent="0.25">
      <c r="A237">
        <v>4</v>
      </c>
      <c r="B237" t="s">
        <v>437</v>
      </c>
      <c r="C237" t="s">
        <v>4850</v>
      </c>
      <c r="D237">
        <v>24.48</v>
      </c>
      <c r="E237">
        <v>2.11</v>
      </c>
      <c r="F237">
        <v>1.1100000000000001</v>
      </c>
      <c r="G237">
        <v>0.56000000000000005</v>
      </c>
      <c r="H237">
        <v>0.04</v>
      </c>
      <c r="I237">
        <v>0.3</v>
      </c>
      <c r="J237" t="s">
        <v>76</v>
      </c>
      <c r="K237">
        <v>13.55</v>
      </c>
      <c r="L237">
        <v>1.63</v>
      </c>
      <c r="M237">
        <v>5.96</v>
      </c>
      <c r="N237">
        <v>35.521599999999999</v>
      </c>
      <c r="O237">
        <v>5</v>
      </c>
      <c r="P237">
        <v>0</v>
      </c>
      <c r="Q237">
        <v>357.29599999999999</v>
      </c>
      <c r="R237">
        <v>5</v>
      </c>
      <c r="S237">
        <v>-1</v>
      </c>
      <c r="T237">
        <v>6.33</v>
      </c>
      <c r="U237" t="str">
        <f>IFERROR(INDEX(Rosters!$C$2:$C$155,MATCH(B237,Rosters!$B$2:$B$155,0)),"NA")</f>
        <v>NA</v>
      </c>
      <c r="V237" t="str">
        <f t="shared" si="9"/>
        <v>NA4</v>
      </c>
      <c r="W237">
        <f>COUNTIFS(A$1:A237,A237)</f>
        <v>16</v>
      </c>
      <c r="X237" t="str">
        <f t="shared" si="10"/>
        <v>Falcons D/ST4</v>
      </c>
      <c r="Y237">
        <f>COUNTIF(V$1:V237,V237)</f>
        <v>10</v>
      </c>
      <c r="Z237" t="str">
        <f t="shared" si="11"/>
        <v>NA4-10</v>
      </c>
    </row>
    <row r="238" spans="1:26" x14ac:dyDescent="0.25">
      <c r="A238">
        <v>14</v>
      </c>
      <c r="B238" t="s">
        <v>405</v>
      </c>
      <c r="C238" t="s">
        <v>5552</v>
      </c>
      <c r="D238">
        <v>25.75</v>
      </c>
      <c r="E238">
        <v>2.2400000000000002</v>
      </c>
      <c r="F238">
        <v>0.76</v>
      </c>
      <c r="G238">
        <v>0.84</v>
      </c>
      <c r="H238">
        <v>0.04</v>
      </c>
      <c r="I238">
        <v>0.3</v>
      </c>
      <c r="J238" t="s">
        <v>41</v>
      </c>
      <c r="K238">
        <v>11.66</v>
      </c>
      <c r="L238">
        <v>1.82</v>
      </c>
      <c r="M238">
        <v>4.92</v>
      </c>
      <c r="N238">
        <v>24.206399999999999</v>
      </c>
      <c r="O238">
        <v>5</v>
      </c>
      <c r="P238">
        <v>0</v>
      </c>
      <c r="Q238">
        <v>363.9</v>
      </c>
      <c r="R238">
        <v>5</v>
      </c>
      <c r="S238">
        <v>-1</v>
      </c>
      <c r="T238">
        <v>6.32</v>
      </c>
      <c r="U238" t="str">
        <f>IFERROR(INDEX(Rosters!$C$2:$C$155,MATCH(B238,Rosters!$B$2:$B$155,0)),"NA")</f>
        <v>perry</v>
      </c>
      <c r="V238" t="str">
        <f t="shared" si="9"/>
        <v>perry14</v>
      </c>
      <c r="W238">
        <f>COUNTIFS(A$1:A238,A238)</f>
        <v>12</v>
      </c>
      <c r="X238" t="str">
        <f t="shared" si="10"/>
        <v>Texans D/ST14</v>
      </c>
      <c r="Y238">
        <f>COUNTIF(V$1:V238,V238)</f>
        <v>1</v>
      </c>
      <c r="Z238" t="str">
        <f t="shared" si="11"/>
        <v>perry14-1</v>
      </c>
    </row>
    <row r="239" spans="1:26" x14ac:dyDescent="0.25">
      <c r="A239">
        <v>4</v>
      </c>
      <c r="B239" t="s">
        <v>411</v>
      </c>
      <c r="C239" t="s">
        <v>4851</v>
      </c>
      <c r="D239">
        <v>22.93</v>
      </c>
      <c r="E239">
        <v>2.0299999999999998</v>
      </c>
      <c r="F239">
        <v>0.85</v>
      </c>
      <c r="G239">
        <v>0.82</v>
      </c>
      <c r="H239">
        <v>0.02</v>
      </c>
      <c r="I239">
        <v>0.15</v>
      </c>
      <c r="J239" t="s">
        <v>31</v>
      </c>
      <c r="K239">
        <v>12.57</v>
      </c>
      <c r="L239">
        <v>0.41</v>
      </c>
      <c r="M239">
        <v>6.08</v>
      </c>
      <c r="N239">
        <v>36.9664</v>
      </c>
      <c r="O239">
        <v>5</v>
      </c>
      <c r="P239">
        <v>0</v>
      </c>
      <c r="Q239">
        <v>349.23599999999999</v>
      </c>
      <c r="R239">
        <v>4</v>
      </c>
      <c r="S239">
        <v>0</v>
      </c>
      <c r="T239">
        <v>6.31</v>
      </c>
      <c r="U239" t="str">
        <f>IFERROR(INDEX(Rosters!$C$2:$C$155,MATCH(B239,Rosters!$B$2:$B$155,0)),"NA")</f>
        <v>lucas</v>
      </c>
      <c r="V239" t="str">
        <f t="shared" si="9"/>
        <v>lucas4</v>
      </c>
      <c r="W239">
        <f>COUNTIFS(A$1:A239,A239)</f>
        <v>17</v>
      </c>
      <c r="X239" t="str">
        <f t="shared" si="10"/>
        <v>Ravens D/ST4</v>
      </c>
      <c r="Y239">
        <f>COUNTIF(V$1:V239,V239)</f>
        <v>2</v>
      </c>
      <c r="Z239" t="str">
        <f t="shared" si="11"/>
        <v>lucas4-2</v>
      </c>
    </row>
    <row r="240" spans="1:26" x14ac:dyDescent="0.25">
      <c r="A240">
        <v>10</v>
      </c>
      <c r="B240" t="s">
        <v>416</v>
      </c>
      <c r="C240" t="s">
        <v>5553</v>
      </c>
      <c r="D240">
        <v>22.36</v>
      </c>
      <c r="E240">
        <v>2.2599999999999998</v>
      </c>
      <c r="F240">
        <v>0.86</v>
      </c>
      <c r="G240">
        <v>0.62</v>
      </c>
      <c r="H240">
        <v>0.06</v>
      </c>
      <c r="I240">
        <v>0.16</v>
      </c>
      <c r="J240" t="s">
        <v>42</v>
      </c>
      <c r="K240">
        <v>11.86</v>
      </c>
      <c r="L240">
        <v>2.08</v>
      </c>
      <c r="M240">
        <v>4.8899999999999997</v>
      </c>
      <c r="N240">
        <v>23.912099999999999</v>
      </c>
      <c r="O240">
        <v>5</v>
      </c>
      <c r="P240">
        <v>0</v>
      </c>
      <c r="Q240">
        <v>346.27199999999999</v>
      </c>
      <c r="R240">
        <v>4</v>
      </c>
      <c r="S240">
        <v>0</v>
      </c>
      <c r="T240">
        <v>6.3</v>
      </c>
      <c r="U240" t="str">
        <f>IFERROR(INDEX(Rosters!$C$2:$C$155,MATCH(B240,Rosters!$B$2:$B$155,0)),"NA")</f>
        <v>lucas</v>
      </c>
      <c r="V240" t="str">
        <f t="shared" si="9"/>
        <v>lucas10</v>
      </c>
      <c r="W240">
        <f>COUNTIFS(A$1:A240,A240)</f>
        <v>12</v>
      </c>
      <c r="X240" t="str">
        <f t="shared" si="10"/>
        <v>Bears D/ST10</v>
      </c>
      <c r="Y240">
        <f>COUNTIF(V$1:V240,V240)</f>
        <v>1</v>
      </c>
      <c r="Z240" t="str">
        <f t="shared" si="11"/>
        <v>lucas10-1</v>
      </c>
    </row>
    <row r="241" spans="1:26" x14ac:dyDescent="0.25">
      <c r="A241">
        <v>12</v>
      </c>
      <c r="B241" t="s">
        <v>416</v>
      </c>
      <c r="C241" t="s">
        <v>5553</v>
      </c>
      <c r="D241">
        <v>22.36</v>
      </c>
      <c r="E241">
        <v>2.2599999999999998</v>
      </c>
      <c r="F241">
        <v>0.86</v>
      </c>
      <c r="G241">
        <v>0.62</v>
      </c>
      <c r="H241">
        <v>0.06</v>
      </c>
      <c r="I241">
        <v>0.16</v>
      </c>
      <c r="J241" t="s">
        <v>42</v>
      </c>
      <c r="K241">
        <v>11.86</v>
      </c>
      <c r="L241">
        <v>2.08</v>
      </c>
      <c r="M241">
        <v>4.8899999999999997</v>
      </c>
      <c r="N241">
        <v>23.912099999999999</v>
      </c>
      <c r="O241">
        <v>5</v>
      </c>
      <c r="P241">
        <v>0</v>
      </c>
      <c r="Q241">
        <v>346.27199999999999</v>
      </c>
      <c r="R241">
        <v>4</v>
      </c>
      <c r="S241">
        <v>0</v>
      </c>
      <c r="T241">
        <v>6.3</v>
      </c>
      <c r="U241" t="str">
        <f>IFERROR(INDEX(Rosters!$C$2:$C$155,MATCH(B241,Rosters!$B$2:$B$155,0)),"NA")</f>
        <v>lucas</v>
      </c>
      <c r="V241" t="str">
        <f t="shared" si="9"/>
        <v>lucas12</v>
      </c>
      <c r="W241">
        <f>COUNTIFS(A$1:A241,A241)</f>
        <v>14</v>
      </c>
      <c r="X241" t="str">
        <f t="shared" si="10"/>
        <v>Bears D/ST12</v>
      </c>
      <c r="Y241">
        <f>COUNTIF(V$1:V241,V241)</f>
        <v>2</v>
      </c>
      <c r="Z241" t="str">
        <f t="shared" si="11"/>
        <v>lucas12-2</v>
      </c>
    </row>
    <row r="242" spans="1:26" x14ac:dyDescent="0.25">
      <c r="A242">
        <v>3</v>
      </c>
      <c r="B242" t="s">
        <v>433</v>
      </c>
      <c r="C242" t="s">
        <v>4188</v>
      </c>
      <c r="D242">
        <v>20.47</v>
      </c>
      <c r="E242">
        <v>2.0099999999999998</v>
      </c>
      <c r="F242">
        <v>0.76</v>
      </c>
      <c r="G242">
        <v>0.69</v>
      </c>
      <c r="H242">
        <v>0</v>
      </c>
      <c r="I242">
        <v>0.23</v>
      </c>
      <c r="J242" t="s">
        <v>54</v>
      </c>
      <c r="K242">
        <v>11.8</v>
      </c>
      <c r="L242">
        <v>2.56</v>
      </c>
      <c r="M242">
        <v>4.62</v>
      </c>
      <c r="N242">
        <v>21.3444</v>
      </c>
      <c r="O242">
        <v>5</v>
      </c>
      <c r="P242">
        <v>0</v>
      </c>
      <c r="Q242">
        <v>336.44400000000002</v>
      </c>
      <c r="R242">
        <v>4</v>
      </c>
      <c r="S242">
        <v>0</v>
      </c>
      <c r="T242">
        <v>6.29</v>
      </c>
      <c r="U242" t="str">
        <f>IFERROR(INDEX(Rosters!$C$2:$C$155,MATCH(B242,Rosters!$B$2:$B$155,0)),"NA")</f>
        <v>NA</v>
      </c>
      <c r="V242" t="str">
        <f t="shared" si="9"/>
        <v>NA3</v>
      </c>
      <c r="W242">
        <f>COUNTIFS(A$1:A242,A242)</f>
        <v>17</v>
      </c>
      <c r="X242" t="str">
        <f t="shared" si="10"/>
        <v>Raiders D/ST3</v>
      </c>
      <c r="Y242">
        <f>COUNTIF(V$1:V242,V242)</f>
        <v>8</v>
      </c>
      <c r="Z242" t="str">
        <f t="shared" si="11"/>
        <v>NA3-8</v>
      </c>
    </row>
    <row r="243" spans="1:26" x14ac:dyDescent="0.25">
      <c r="A243">
        <v>1</v>
      </c>
      <c r="B243" t="s">
        <v>425</v>
      </c>
      <c r="C243" t="s">
        <v>1245</v>
      </c>
      <c r="D243">
        <v>22.16</v>
      </c>
      <c r="E243">
        <v>2.36</v>
      </c>
      <c r="F243">
        <v>0.6</v>
      </c>
      <c r="G243">
        <v>0.8</v>
      </c>
      <c r="H243">
        <v>0.02</v>
      </c>
      <c r="I243">
        <v>0.18</v>
      </c>
      <c r="J243" t="s">
        <v>58</v>
      </c>
      <c r="K243">
        <v>11.45</v>
      </c>
      <c r="L243">
        <v>1.67</v>
      </c>
      <c r="M243">
        <v>4.8899999999999997</v>
      </c>
      <c r="N243">
        <v>23.912099999999999</v>
      </c>
      <c r="O243">
        <v>5</v>
      </c>
      <c r="P243">
        <v>0</v>
      </c>
      <c r="Q243">
        <v>345.23200000000003</v>
      </c>
      <c r="R243">
        <v>4</v>
      </c>
      <c r="S243">
        <v>0</v>
      </c>
      <c r="T243">
        <v>6.28</v>
      </c>
      <c r="U243" t="str">
        <f>IFERROR(INDEX(Rosters!$C$2:$C$155,MATCH(B243,Rosters!$B$2:$B$155,0)),"NA")</f>
        <v>NA</v>
      </c>
      <c r="V243" t="str">
        <f t="shared" si="9"/>
        <v>NA1</v>
      </c>
      <c r="W243">
        <f>COUNTIFS(A$1:A243,A243)</f>
        <v>15</v>
      </c>
      <c r="X243" t="str">
        <f t="shared" si="10"/>
        <v>Packers D/ST1</v>
      </c>
      <c r="Y243">
        <f>COUNTIF(V$1:V243,V243)</f>
        <v>10</v>
      </c>
      <c r="Z243" t="str">
        <f t="shared" si="11"/>
        <v>NA1-10</v>
      </c>
    </row>
    <row r="244" spans="1:26" x14ac:dyDescent="0.25">
      <c r="A244">
        <v>13</v>
      </c>
      <c r="B244" t="s">
        <v>431</v>
      </c>
      <c r="C244" t="s">
        <v>5554</v>
      </c>
      <c r="D244">
        <v>24.86</v>
      </c>
      <c r="E244">
        <v>2.56</v>
      </c>
      <c r="F244">
        <v>0.92</v>
      </c>
      <c r="G244">
        <v>0.57999999999999996</v>
      </c>
      <c r="H244">
        <v>0.08</v>
      </c>
      <c r="I244">
        <v>0.26</v>
      </c>
      <c r="J244" t="s">
        <v>19</v>
      </c>
      <c r="K244">
        <v>12.16</v>
      </c>
      <c r="L244">
        <v>2.04</v>
      </c>
      <c r="M244">
        <v>5.0599999999999996</v>
      </c>
      <c r="N244">
        <v>25.6036</v>
      </c>
      <c r="O244">
        <v>5</v>
      </c>
      <c r="P244">
        <v>0</v>
      </c>
      <c r="Q244">
        <v>359.27199999999999</v>
      </c>
      <c r="R244">
        <v>5</v>
      </c>
      <c r="S244">
        <v>-1</v>
      </c>
      <c r="T244">
        <v>6.28</v>
      </c>
      <c r="U244" t="str">
        <f>IFERROR(INDEX(Rosters!$C$2:$C$155,MATCH(B244,Rosters!$B$2:$B$155,0)),"NA")</f>
        <v>NA</v>
      </c>
      <c r="V244" t="str">
        <f t="shared" si="9"/>
        <v>NA13</v>
      </c>
      <c r="W244">
        <f>COUNTIFS(A$1:A244,A244)</f>
        <v>19</v>
      </c>
      <c r="X244" t="str">
        <f t="shared" si="10"/>
        <v>Saints D/ST13</v>
      </c>
      <c r="Y244">
        <f>COUNTIF(V$1:V244,V244)</f>
        <v>10</v>
      </c>
      <c r="Z244" t="str">
        <f t="shared" si="11"/>
        <v>NA13-10</v>
      </c>
    </row>
    <row r="245" spans="1:26" x14ac:dyDescent="0.25">
      <c r="A245">
        <v>14</v>
      </c>
      <c r="B245" t="s">
        <v>424</v>
      </c>
      <c r="C245" t="s">
        <v>5555</v>
      </c>
      <c r="D245">
        <v>24.32</v>
      </c>
      <c r="E245">
        <v>2.2200000000000002</v>
      </c>
      <c r="F245">
        <v>0.9</v>
      </c>
      <c r="G245">
        <v>0.78</v>
      </c>
      <c r="H245">
        <v>0</v>
      </c>
      <c r="I245">
        <v>0.28000000000000003</v>
      </c>
      <c r="J245" t="s">
        <v>50</v>
      </c>
      <c r="K245">
        <v>12.7</v>
      </c>
      <c r="L245">
        <v>2.1</v>
      </c>
      <c r="M245">
        <v>5.3</v>
      </c>
      <c r="N245">
        <v>28.09</v>
      </c>
      <c r="O245">
        <v>5</v>
      </c>
      <c r="P245">
        <v>0</v>
      </c>
      <c r="Q245">
        <v>356.464</v>
      </c>
      <c r="R245">
        <v>5</v>
      </c>
      <c r="S245">
        <v>-1</v>
      </c>
      <c r="T245">
        <v>6.26</v>
      </c>
      <c r="U245" t="str">
        <f>IFERROR(INDEX(Rosters!$C$2:$C$155,MATCH(B245,Rosters!$B$2:$B$155,0)),"NA")</f>
        <v>NA</v>
      </c>
      <c r="V245" t="str">
        <f t="shared" si="9"/>
        <v>NA14</v>
      </c>
      <c r="W245">
        <f>COUNTIFS(A$1:A245,A245)</f>
        <v>13</v>
      </c>
      <c r="X245" t="str">
        <f t="shared" si="10"/>
        <v>Steelers D/ST14</v>
      </c>
      <c r="Y245">
        <f>COUNTIF(V$1:V245,V245)</f>
        <v>7</v>
      </c>
      <c r="Z245" t="str">
        <f t="shared" si="11"/>
        <v>NA14-7</v>
      </c>
    </row>
    <row r="246" spans="1:26" x14ac:dyDescent="0.25">
      <c r="A246">
        <v>1</v>
      </c>
      <c r="B246" t="s">
        <v>417</v>
      </c>
      <c r="C246" t="s">
        <v>1246</v>
      </c>
      <c r="D246">
        <v>22.96</v>
      </c>
      <c r="E246">
        <v>2.14</v>
      </c>
      <c r="F246">
        <v>0.74</v>
      </c>
      <c r="G246">
        <v>0.64</v>
      </c>
      <c r="H246">
        <v>0</v>
      </c>
      <c r="I246">
        <v>0.22</v>
      </c>
      <c r="J246" t="s">
        <v>41</v>
      </c>
      <c r="K246">
        <v>11.83</v>
      </c>
      <c r="L246">
        <v>1.31</v>
      </c>
      <c r="M246">
        <v>5.26</v>
      </c>
      <c r="N246">
        <v>27.6676</v>
      </c>
      <c r="O246">
        <v>5</v>
      </c>
      <c r="P246">
        <v>0</v>
      </c>
      <c r="Q246">
        <v>349.392</v>
      </c>
      <c r="R246">
        <v>4</v>
      </c>
      <c r="S246">
        <v>0</v>
      </c>
      <c r="T246">
        <v>6.22</v>
      </c>
      <c r="U246" t="str">
        <f>IFERROR(INDEX(Rosters!$C$2:$C$155,MATCH(B246,Rosters!$B$2:$B$155,0)),"NA")</f>
        <v>NA</v>
      </c>
      <c r="V246" t="str">
        <f t="shared" si="9"/>
        <v>NA1</v>
      </c>
      <c r="W246">
        <f>COUNTIFS(A$1:A246,A246)</f>
        <v>16</v>
      </c>
      <c r="X246" t="str">
        <f t="shared" si="10"/>
        <v>Bengals D/ST1</v>
      </c>
      <c r="Y246">
        <f>COUNTIF(V$1:V246,V246)</f>
        <v>11</v>
      </c>
      <c r="Z246" t="str">
        <f t="shared" si="11"/>
        <v>NA1-11</v>
      </c>
    </row>
    <row r="247" spans="1:26" x14ac:dyDescent="0.25">
      <c r="A247">
        <v>6</v>
      </c>
      <c r="B247" t="s">
        <v>417</v>
      </c>
      <c r="C247" t="s">
        <v>5556</v>
      </c>
      <c r="D247">
        <v>23.68</v>
      </c>
      <c r="E247">
        <v>2.2200000000000002</v>
      </c>
      <c r="F247">
        <v>0.88</v>
      </c>
      <c r="G247">
        <v>0.78</v>
      </c>
      <c r="H247">
        <v>0.06</v>
      </c>
      <c r="I247">
        <v>0.26</v>
      </c>
      <c r="J247" t="s">
        <v>31</v>
      </c>
      <c r="K247">
        <v>13.4</v>
      </c>
      <c r="L247">
        <v>1.78</v>
      </c>
      <c r="M247">
        <v>5.81</v>
      </c>
      <c r="N247">
        <v>33.756100000000004</v>
      </c>
      <c r="O247">
        <v>5</v>
      </c>
      <c r="P247">
        <v>0</v>
      </c>
      <c r="Q247">
        <v>353.13600000000002</v>
      </c>
      <c r="R247">
        <v>5</v>
      </c>
      <c r="S247">
        <v>-1</v>
      </c>
      <c r="T247">
        <v>6.22</v>
      </c>
      <c r="U247" t="str">
        <f>IFERROR(INDEX(Rosters!$C$2:$C$155,MATCH(B247,Rosters!$B$2:$B$155,0)),"NA")</f>
        <v>NA</v>
      </c>
      <c r="V247" t="str">
        <f t="shared" si="9"/>
        <v>NA6</v>
      </c>
      <c r="W247">
        <f>COUNTIFS(A$1:A247,A247)</f>
        <v>14</v>
      </c>
      <c r="X247" t="str">
        <f t="shared" si="10"/>
        <v>Bengals D/ST6</v>
      </c>
      <c r="Y247">
        <f>COUNTIF(V$1:V247,V247)</f>
        <v>6</v>
      </c>
      <c r="Z247" t="str">
        <f t="shared" si="11"/>
        <v>NA6-6</v>
      </c>
    </row>
    <row r="248" spans="1:26" x14ac:dyDescent="0.25">
      <c r="A248">
        <v>17</v>
      </c>
      <c r="B248" t="s">
        <v>417</v>
      </c>
      <c r="C248" t="s">
        <v>5556</v>
      </c>
      <c r="D248">
        <v>23.68</v>
      </c>
      <c r="E248">
        <v>2.2200000000000002</v>
      </c>
      <c r="F248">
        <v>0.88</v>
      </c>
      <c r="G248">
        <v>0.78</v>
      </c>
      <c r="H248">
        <v>0.06</v>
      </c>
      <c r="I248">
        <v>0.26</v>
      </c>
      <c r="J248" t="s">
        <v>31</v>
      </c>
      <c r="K248">
        <v>13.4</v>
      </c>
      <c r="L248">
        <v>1.78</v>
      </c>
      <c r="M248">
        <v>5.81</v>
      </c>
      <c r="N248">
        <v>33.756100000000004</v>
      </c>
      <c r="O248">
        <v>5</v>
      </c>
      <c r="P248">
        <v>0</v>
      </c>
      <c r="Q248">
        <v>353.13600000000002</v>
      </c>
      <c r="R248">
        <v>5</v>
      </c>
      <c r="S248">
        <v>-1</v>
      </c>
      <c r="T248">
        <v>6.22</v>
      </c>
      <c r="U248" t="str">
        <f>IFERROR(INDEX(Rosters!$C$2:$C$155,MATCH(B248,Rosters!$B$2:$B$155,0)),"NA")</f>
        <v>NA</v>
      </c>
      <c r="V248" t="str">
        <f t="shared" si="9"/>
        <v>NA17</v>
      </c>
      <c r="W248">
        <f>COUNTIFS(A$1:A248,A248)</f>
        <v>15</v>
      </c>
      <c r="X248" t="str">
        <f t="shared" si="10"/>
        <v>Bengals D/ST17</v>
      </c>
      <c r="Y248">
        <f>COUNTIF(V$1:V248,V248)</f>
        <v>10</v>
      </c>
      <c r="Z248" t="str">
        <f t="shared" si="11"/>
        <v>NA17-10</v>
      </c>
    </row>
    <row r="249" spans="1:26" x14ac:dyDescent="0.25">
      <c r="A249">
        <v>10</v>
      </c>
      <c r="B249" t="s">
        <v>414</v>
      </c>
      <c r="C249" t="s">
        <v>5557</v>
      </c>
      <c r="D249">
        <v>20.58</v>
      </c>
      <c r="E249">
        <v>1.98</v>
      </c>
      <c r="F249">
        <v>0.86</v>
      </c>
      <c r="G249">
        <v>0.76</v>
      </c>
      <c r="H249">
        <v>0.08</v>
      </c>
      <c r="I249">
        <v>0.14000000000000001</v>
      </c>
      <c r="J249" t="s">
        <v>19</v>
      </c>
      <c r="K249">
        <v>11.83</v>
      </c>
      <c r="L249">
        <v>2.77</v>
      </c>
      <c r="M249">
        <v>4.53</v>
      </c>
      <c r="N249">
        <v>20.520900000000001</v>
      </c>
      <c r="O249">
        <v>5</v>
      </c>
      <c r="P249">
        <v>0</v>
      </c>
      <c r="Q249">
        <v>337.01600000000002</v>
      </c>
      <c r="R249">
        <v>4</v>
      </c>
      <c r="S249">
        <v>0</v>
      </c>
      <c r="T249">
        <v>6.22</v>
      </c>
      <c r="U249" t="str">
        <f>IFERROR(INDEX(Rosters!$C$2:$C$155,MATCH(B249,Rosters!$B$2:$B$155,0)),"NA")</f>
        <v>comp</v>
      </c>
      <c r="V249" t="str">
        <f t="shared" si="9"/>
        <v>comp10</v>
      </c>
      <c r="W249">
        <f>COUNTIFS(A$1:A249,A249)</f>
        <v>13</v>
      </c>
      <c r="X249" t="str">
        <f t="shared" si="10"/>
        <v>Eagles D/ST10</v>
      </c>
      <c r="Y249">
        <f>COUNTIF(V$1:V249,V249)</f>
        <v>1</v>
      </c>
      <c r="Z249" t="str">
        <f t="shared" si="11"/>
        <v>comp10-1</v>
      </c>
    </row>
    <row r="250" spans="1:26" x14ac:dyDescent="0.25">
      <c r="A250">
        <v>14</v>
      </c>
      <c r="B250" t="s">
        <v>414</v>
      </c>
      <c r="C250" t="s">
        <v>5557</v>
      </c>
      <c r="D250">
        <v>20.58</v>
      </c>
      <c r="E250">
        <v>1.98</v>
      </c>
      <c r="F250">
        <v>0.86</v>
      </c>
      <c r="G250">
        <v>0.76</v>
      </c>
      <c r="H250">
        <v>0.08</v>
      </c>
      <c r="I250">
        <v>0.14000000000000001</v>
      </c>
      <c r="J250" t="s">
        <v>19</v>
      </c>
      <c r="K250">
        <v>11.83</v>
      </c>
      <c r="L250">
        <v>2.77</v>
      </c>
      <c r="M250">
        <v>4.53</v>
      </c>
      <c r="N250">
        <v>20.520900000000001</v>
      </c>
      <c r="O250">
        <v>5</v>
      </c>
      <c r="P250">
        <v>0</v>
      </c>
      <c r="Q250">
        <v>337.01600000000002</v>
      </c>
      <c r="R250">
        <v>4</v>
      </c>
      <c r="S250">
        <v>0</v>
      </c>
      <c r="T250">
        <v>6.22</v>
      </c>
      <c r="U250" t="str">
        <f>IFERROR(INDEX(Rosters!$C$2:$C$155,MATCH(B250,Rosters!$B$2:$B$155,0)),"NA")</f>
        <v>comp</v>
      </c>
      <c r="V250" t="str">
        <f t="shared" si="9"/>
        <v>comp14</v>
      </c>
      <c r="W250">
        <f>COUNTIFS(A$1:A250,A250)</f>
        <v>14</v>
      </c>
      <c r="X250" t="str">
        <f t="shared" si="10"/>
        <v>Eagles D/ST14</v>
      </c>
      <c r="Y250">
        <f>COUNTIF(V$1:V250,V250)</f>
        <v>1</v>
      </c>
      <c r="Z250" t="str">
        <f t="shared" si="11"/>
        <v>comp14-1</v>
      </c>
    </row>
    <row r="251" spans="1:26" x14ac:dyDescent="0.25">
      <c r="A251">
        <v>5</v>
      </c>
      <c r="B251" t="s">
        <v>412</v>
      </c>
      <c r="C251" t="s">
        <v>9055</v>
      </c>
      <c r="D251">
        <v>18.57</v>
      </c>
      <c r="E251">
        <v>1.92</v>
      </c>
      <c r="F251">
        <v>0.88</v>
      </c>
      <c r="G251">
        <v>0.54</v>
      </c>
      <c r="H251">
        <v>7.0000000000000007E-2</v>
      </c>
      <c r="I251">
        <v>0.22</v>
      </c>
      <c r="J251" t="s">
        <v>46</v>
      </c>
      <c r="K251">
        <v>12.23</v>
      </c>
      <c r="L251">
        <v>2.93</v>
      </c>
      <c r="M251">
        <v>4.6500000000000004</v>
      </c>
      <c r="N251">
        <v>21.622499999999999</v>
      </c>
      <c r="O251">
        <v>5</v>
      </c>
      <c r="P251">
        <v>0</v>
      </c>
      <c r="Q251">
        <v>326.56400000000002</v>
      </c>
      <c r="R251">
        <v>4</v>
      </c>
      <c r="S251">
        <v>0</v>
      </c>
      <c r="T251">
        <v>6.22</v>
      </c>
      <c r="U251" t="str">
        <f>IFERROR(INDEX(Rosters!$C$2:$C$155,MATCH(B251,Rosters!$B$2:$B$155,0)),"NA")</f>
        <v>chad</v>
      </c>
      <c r="V251" t="str">
        <f t="shared" si="9"/>
        <v>chad5</v>
      </c>
      <c r="W251">
        <f>COUNTIFS(A$1:A251,A251)</f>
        <v>16</v>
      </c>
      <c r="X251" t="str">
        <f t="shared" si="10"/>
        <v>Broncos D/ST5</v>
      </c>
      <c r="Y251">
        <f>COUNTIF(V$1:V251,V251)</f>
        <v>1</v>
      </c>
      <c r="Z251" t="str">
        <f t="shared" si="11"/>
        <v>chad5-1</v>
      </c>
    </row>
    <row r="252" spans="1:26" x14ac:dyDescent="0.25">
      <c r="A252">
        <v>4</v>
      </c>
      <c r="B252" t="s">
        <v>431</v>
      </c>
      <c r="C252" t="s">
        <v>5017</v>
      </c>
      <c r="D252">
        <v>23.05</v>
      </c>
      <c r="E252">
        <v>2.19</v>
      </c>
      <c r="F252">
        <v>1.1399999999999999</v>
      </c>
      <c r="G252">
        <v>0.59</v>
      </c>
      <c r="H252">
        <v>0</v>
      </c>
      <c r="I252">
        <v>0.26</v>
      </c>
      <c r="J252" t="s">
        <v>32</v>
      </c>
      <c r="K252">
        <v>13.79</v>
      </c>
      <c r="L252">
        <v>1.31</v>
      </c>
      <c r="M252">
        <v>6.24</v>
      </c>
      <c r="N252">
        <v>38.937600000000003</v>
      </c>
      <c r="O252">
        <v>5</v>
      </c>
      <c r="P252">
        <v>0</v>
      </c>
      <c r="Q252">
        <v>349.86</v>
      </c>
      <c r="R252">
        <v>5</v>
      </c>
      <c r="S252">
        <v>-1</v>
      </c>
      <c r="T252">
        <v>6.21</v>
      </c>
      <c r="U252" t="str">
        <f>IFERROR(INDEX(Rosters!$C$2:$C$155,MATCH(B252,Rosters!$B$2:$B$155,0)),"NA")</f>
        <v>NA</v>
      </c>
      <c r="V252" t="str">
        <f t="shared" si="9"/>
        <v>NA4</v>
      </c>
      <c r="W252">
        <f>COUNTIFS(A$1:A252,A252)</f>
        <v>18</v>
      </c>
      <c r="X252" t="str">
        <f t="shared" si="10"/>
        <v>Saints D/ST4</v>
      </c>
      <c r="Y252">
        <f>COUNTIF(V$1:V252,V252)</f>
        <v>11</v>
      </c>
      <c r="Z252" t="str">
        <f t="shared" si="11"/>
        <v>NA4-11</v>
      </c>
    </row>
    <row r="253" spans="1:26" x14ac:dyDescent="0.25">
      <c r="A253">
        <v>3</v>
      </c>
      <c r="B253" t="s">
        <v>408</v>
      </c>
      <c r="C253" t="s">
        <v>4189</v>
      </c>
      <c r="D253">
        <v>21.06</v>
      </c>
      <c r="E253">
        <v>1.93</v>
      </c>
      <c r="F253">
        <v>0.81</v>
      </c>
      <c r="G253">
        <v>0.64</v>
      </c>
      <c r="H253">
        <v>0.02</v>
      </c>
      <c r="I253">
        <v>0.21</v>
      </c>
      <c r="J253" t="s">
        <v>56</v>
      </c>
      <c r="K253">
        <v>12.42</v>
      </c>
      <c r="L253">
        <v>1.18</v>
      </c>
      <c r="M253">
        <v>5.62</v>
      </c>
      <c r="N253">
        <v>31.584399999999999</v>
      </c>
      <c r="O253">
        <v>5</v>
      </c>
      <c r="P253">
        <v>0</v>
      </c>
      <c r="Q253">
        <v>339.512</v>
      </c>
      <c r="R253">
        <v>4</v>
      </c>
      <c r="S253">
        <v>0</v>
      </c>
      <c r="T253">
        <v>6.13</v>
      </c>
      <c r="U253" t="str">
        <f>IFERROR(INDEX(Rosters!$C$2:$C$155,MATCH(B253,Rosters!$B$2:$B$155,0)),"NA")</f>
        <v>NA</v>
      </c>
      <c r="V253" t="str">
        <f t="shared" si="9"/>
        <v>NA3</v>
      </c>
      <c r="W253">
        <f>COUNTIFS(A$1:A253,A253)</f>
        <v>18</v>
      </c>
      <c r="X253" t="str">
        <f t="shared" si="10"/>
        <v>Giants D/ST3</v>
      </c>
      <c r="Y253">
        <f>COUNTIF(V$1:V253,V253)</f>
        <v>9</v>
      </c>
      <c r="Z253" t="str">
        <f t="shared" si="11"/>
        <v>NA3-9</v>
      </c>
    </row>
    <row r="254" spans="1:26" x14ac:dyDescent="0.25">
      <c r="A254">
        <v>11</v>
      </c>
      <c r="B254" t="s">
        <v>431</v>
      </c>
      <c r="C254" t="s">
        <v>5558</v>
      </c>
      <c r="D254">
        <v>24.87</v>
      </c>
      <c r="E254">
        <v>2.5299999999999998</v>
      </c>
      <c r="F254">
        <v>0.96</v>
      </c>
      <c r="G254">
        <v>0.56000000000000005</v>
      </c>
      <c r="H254">
        <v>0.06</v>
      </c>
      <c r="I254">
        <v>0.24</v>
      </c>
      <c r="J254" t="s">
        <v>36</v>
      </c>
      <c r="K254">
        <v>12.62</v>
      </c>
      <c r="L254">
        <v>1.34</v>
      </c>
      <c r="M254">
        <v>5.64</v>
      </c>
      <c r="N254">
        <v>31.8096</v>
      </c>
      <c r="O254">
        <v>5</v>
      </c>
      <c r="P254">
        <v>0</v>
      </c>
      <c r="Q254">
        <v>359.32400000000001</v>
      </c>
      <c r="R254">
        <v>5</v>
      </c>
      <c r="S254">
        <v>-1</v>
      </c>
      <c r="T254">
        <v>6.13</v>
      </c>
      <c r="U254" t="str">
        <f>IFERROR(INDEX(Rosters!$C$2:$C$155,MATCH(B254,Rosters!$B$2:$B$155,0)),"NA")</f>
        <v>NA</v>
      </c>
      <c r="V254" t="str">
        <f t="shared" si="9"/>
        <v>NA11</v>
      </c>
      <c r="W254">
        <f>COUNTIFS(A$1:A254,A254)</f>
        <v>10</v>
      </c>
      <c r="X254" t="str">
        <f t="shared" si="10"/>
        <v>Saints D/ST11</v>
      </c>
      <c r="Y254">
        <f>COUNTIF(V$1:V254,V254)</f>
        <v>6</v>
      </c>
      <c r="Z254" t="str">
        <f t="shared" si="11"/>
        <v>NA11-6</v>
      </c>
    </row>
    <row r="255" spans="1:26" x14ac:dyDescent="0.25">
      <c r="A255">
        <v>8</v>
      </c>
      <c r="B255" t="s">
        <v>417</v>
      </c>
      <c r="C255" t="s">
        <v>5559</v>
      </c>
      <c r="D255">
        <v>23.61</v>
      </c>
      <c r="E255">
        <v>2.16</v>
      </c>
      <c r="F255">
        <v>0.84</v>
      </c>
      <c r="G255">
        <v>0.76</v>
      </c>
      <c r="H255">
        <v>0.04</v>
      </c>
      <c r="I255">
        <v>0.28000000000000003</v>
      </c>
      <c r="J255" t="s">
        <v>74</v>
      </c>
      <c r="K255">
        <v>12.55</v>
      </c>
      <c r="L255">
        <v>1.97</v>
      </c>
      <c r="M255">
        <v>5.29</v>
      </c>
      <c r="N255">
        <v>27.984100000000002</v>
      </c>
      <c r="O255">
        <v>5</v>
      </c>
      <c r="P255">
        <v>0</v>
      </c>
      <c r="Q255">
        <v>352.77199999999999</v>
      </c>
      <c r="R255">
        <v>5</v>
      </c>
      <c r="S255">
        <v>-1</v>
      </c>
      <c r="T255">
        <v>6.12</v>
      </c>
      <c r="U255" t="str">
        <f>IFERROR(INDEX(Rosters!$C$2:$C$155,MATCH(B255,Rosters!$B$2:$B$155,0)),"NA")</f>
        <v>NA</v>
      </c>
      <c r="V255" t="str">
        <f t="shared" si="9"/>
        <v>NA8</v>
      </c>
      <c r="W255">
        <f>COUNTIFS(A$1:A255,A255)</f>
        <v>12</v>
      </c>
      <c r="X255" t="str">
        <f t="shared" si="10"/>
        <v>Bengals D/ST8</v>
      </c>
      <c r="Y255">
        <f>COUNTIF(V$1:V255,V255)</f>
        <v>7</v>
      </c>
      <c r="Z255" t="str">
        <f t="shared" si="11"/>
        <v>NA8-7</v>
      </c>
    </row>
    <row r="256" spans="1:26" x14ac:dyDescent="0.25">
      <c r="A256">
        <v>17</v>
      </c>
      <c r="B256" t="s">
        <v>434</v>
      </c>
      <c r="C256" t="s">
        <v>5560</v>
      </c>
      <c r="D256">
        <v>19.440000000000001</v>
      </c>
      <c r="E256">
        <v>1.96</v>
      </c>
      <c r="F256">
        <v>0.96</v>
      </c>
      <c r="G256">
        <v>0.72</v>
      </c>
      <c r="H256">
        <v>0.04</v>
      </c>
      <c r="I256">
        <v>0.12</v>
      </c>
      <c r="J256" t="s">
        <v>51</v>
      </c>
      <c r="K256">
        <v>13.11</v>
      </c>
      <c r="L256">
        <v>1.41</v>
      </c>
      <c r="M256">
        <v>5.85</v>
      </c>
      <c r="N256">
        <v>34.222499999999997</v>
      </c>
      <c r="O256">
        <v>5</v>
      </c>
      <c r="P256">
        <v>0</v>
      </c>
      <c r="Q256">
        <v>331.08800000000002</v>
      </c>
      <c r="R256">
        <v>4</v>
      </c>
      <c r="S256">
        <v>0</v>
      </c>
      <c r="T256">
        <v>6.12</v>
      </c>
      <c r="U256" t="str">
        <f>IFERROR(INDEX(Rosters!$C$2:$C$155,MATCH(B256,Rosters!$B$2:$B$155,0)),"NA")</f>
        <v>matty</v>
      </c>
      <c r="V256" t="str">
        <f t="shared" si="9"/>
        <v>matty17</v>
      </c>
      <c r="W256">
        <f>COUNTIFS(A$1:A256,A256)</f>
        <v>16</v>
      </c>
      <c r="X256" t="str">
        <f t="shared" si="10"/>
        <v>Browns D/ST17</v>
      </c>
      <c r="Y256">
        <f>COUNTIF(V$1:V256,V256)</f>
        <v>1</v>
      </c>
      <c r="Z256" t="str">
        <f t="shared" si="11"/>
        <v>matty17-1</v>
      </c>
    </row>
    <row r="257" spans="1:26" x14ac:dyDescent="0.25">
      <c r="A257">
        <v>4</v>
      </c>
      <c r="B257" t="s">
        <v>427</v>
      </c>
      <c r="C257">
        <f>-0.1-14.28</f>
        <v>-14.379999999999999</v>
      </c>
      <c r="D257">
        <v>25.42</v>
      </c>
      <c r="E257">
        <v>2.68</v>
      </c>
      <c r="F257">
        <v>1.01</v>
      </c>
      <c r="G257">
        <v>0.72</v>
      </c>
      <c r="H257">
        <v>7.0000000000000007E-2</v>
      </c>
      <c r="I257">
        <v>0.14000000000000001</v>
      </c>
      <c r="J257" t="s">
        <v>36</v>
      </c>
      <c r="K257">
        <v>14.28</v>
      </c>
      <c r="L257">
        <v>-0.1</v>
      </c>
      <c r="M257">
        <v>7.19</v>
      </c>
      <c r="N257">
        <v>51.696100000000001</v>
      </c>
      <c r="O257">
        <v>5</v>
      </c>
      <c r="P257">
        <v>0</v>
      </c>
      <c r="Q257">
        <v>362.18400000000003</v>
      </c>
      <c r="R257">
        <v>5</v>
      </c>
      <c r="S257">
        <v>-1</v>
      </c>
      <c r="T257">
        <v>6.12</v>
      </c>
      <c r="U257" t="str">
        <f>IFERROR(INDEX(Rosters!$C$2:$C$155,MATCH(B257,Rosters!$B$2:$B$155,0)),"NA")</f>
        <v>aj</v>
      </c>
      <c r="V257" t="str">
        <f t="shared" si="9"/>
        <v>aj4</v>
      </c>
      <c r="W257">
        <f>COUNTIFS(A$1:A257,A257)</f>
        <v>19</v>
      </c>
      <c r="X257" t="str">
        <f t="shared" si="10"/>
        <v>Titans D/ST4</v>
      </c>
      <c r="Y257">
        <f>COUNTIF(V$1:V257,V257)</f>
        <v>1</v>
      </c>
      <c r="Z257" t="str">
        <f t="shared" si="11"/>
        <v>aj4-1</v>
      </c>
    </row>
    <row r="258" spans="1:26" x14ac:dyDescent="0.25">
      <c r="A258">
        <v>12</v>
      </c>
      <c r="B258" t="s">
        <v>418</v>
      </c>
      <c r="C258" t="s">
        <v>5561</v>
      </c>
      <c r="D258">
        <v>25.01</v>
      </c>
      <c r="E258">
        <v>2.2799999999999998</v>
      </c>
      <c r="F258">
        <v>0.88</v>
      </c>
      <c r="G258">
        <v>0.96</v>
      </c>
      <c r="H258">
        <v>0.08</v>
      </c>
      <c r="I258">
        <v>0.16</v>
      </c>
      <c r="J258" t="s">
        <v>60</v>
      </c>
      <c r="K258">
        <v>11.8</v>
      </c>
      <c r="L258">
        <v>2.02</v>
      </c>
      <c r="M258">
        <v>4.8899999999999997</v>
      </c>
      <c r="N258">
        <v>23.912099999999999</v>
      </c>
      <c r="O258">
        <v>5</v>
      </c>
      <c r="P258">
        <v>0</v>
      </c>
      <c r="Q258">
        <v>360.05200000000002</v>
      </c>
      <c r="R258">
        <v>5</v>
      </c>
      <c r="S258">
        <v>-1</v>
      </c>
      <c r="T258">
        <v>6.08</v>
      </c>
      <c r="U258" t="str">
        <f>IFERROR(INDEX(Rosters!$C$2:$C$155,MATCH(B258,Rosters!$B$2:$B$155,0)),"NA")</f>
        <v>NA</v>
      </c>
      <c r="V258" t="str">
        <f t="shared" si="9"/>
        <v>NA12</v>
      </c>
      <c r="W258">
        <f>COUNTIFS(A$1:A258,A258)</f>
        <v>15</v>
      </c>
      <c r="X258" t="str">
        <f t="shared" si="10"/>
        <v>Bills D/ST12</v>
      </c>
      <c r="Y258">
        <f>COUNTIF(V$1:V258,V258)</f>
        <v>8</v>
      </c>
      <c r="Z258" t="str">
        <f t="shared" si="11"/>
        <v>NA12-8</v>
      </c>
    </row>
    <row r="259" spans="1:26" x14ac:dyDescent="0.25">
      <c r="A259">
        <v>11</v>
      </c>
      <c r="B259" t="s">
        <v>408</v>
      </c>
      <c r="C259" t="s">
        <v>5562</v>
      </c>
      <c r="D259">
        <v>23.93</v>
      </c>
      <c r="E259">
        <v>1.87</v>
      </c>
      <c r="F259">
        <v>1.02</v>
      </c>
      <c r="G259">
        <v>0.78</v>
      </c>
      <c r="H259">
        <v>0.02</v>
      </c>
      <c r="I259">
        <v>0.26</v>
      </c>
      <c r="J259" t="s">
        <v>74</v>
      </c>
      <c r="K259">
        <v>13.76</v>
      </c>
      <c r="L259">
        <v>1.26</v>
      </c>
      <c r="M259">
        <v>6.25</v>
      </c>
      <c r="N259">
        <v>39.0625</v>
      </c>
      <c r="O259">
        <v>5</v>
      </c>
      <c r="P259">
        <v>0</v>
      </c>
      <c r="Q259">
        <v>354.43599999999998</v>
      </c>
      <c r="R259">
        <v>5</v>
      </c>
      <c r="S259">
        <v>-1</v>
      </c>
      <c r="T259">
        <v>6.07</v>
      </c>
      <c r="U259" t="str">
        <f>IFERROR(INDEX(Rosters!$C$2:$C$155,MATCH(B259,Rosters!$B$2:$B$155,0)),"NA")</f>
        <v>NA</v>
      </c>
      <c r="V259" t="str">
        <f t="shared" ref="V259:V322" si="12">U259&amp;A259</f>
        <v>NA11</v>
      </c>
      <c r="W259">
        <f>COUNTIFS(A$1:A259,A259)</f>
        <v>11</v>
      </c>
      <c r="X259" t="str">
        <f t="shared" ref="X259:X322" si="13">B259&amp;A259</f>
        <v>Giants D/ST11</v>
      </c>
      <c r="Y259">
        <f>COUNTIF(V$1:V259,V259)</f>
        <v>7</v>
      </c>
      <c r="Z259" t="str">
        <f t="shared" ref="Z259:Z322" si="14">V259&amp;"-"&amp;Y259</f>
        <v>NA11-7</v>
      </c>
    </row>
    <row r="260" spans="1:26" x14ac:dyDescent="0.25">
      <c r="A260">
        <v>10</v>
      </c>
      <c r="B260" t="s">
        <v>431</v>
      </c>
      <c r="C260" t="s">
        <v>5563</v>
      </c>
      <c r="D260">
        <v>24.72</v>
      </c>
      <c r="E260">
        <v>2.0299999999999998</v>
      </c>
      <c r="F260">
        <v>1.18</v>
      </c>
      <c r="G260">
        <v>0.62</v>
      </c>
      <c r="H260">
        <v>0</v>
      </c>
      <c r="I260">
        <v>0.24</v>
      </c>
      <c r="J260" t="s">
        <v>76</v>
      </c>
      <c r="K260">
        <v>13.06</v>
      </c>
      <c r="L260">
        <v>0.94</v>
      </c>
      <c r="M260">
        <v>6.06</v>
      </c>
      <c r="N260">
        <v>36.723599999999998</v>
      </c>
      <c r="O260">
        <v>5</v>
      </c>
      <c r="P260">
        <v>0</v>
      </c>
      <c r="Q260">
        <v>358.54399999999998</v>
      </c>
      <c r="R260">
        <v>5</v>
      </c>
      <c r="S260">
        <v>-1</v>
      </c>
      <c r="T260">
        <v>6.07</v>
      </c>
      <c r="U260" t="str">
        <f>IFERROR(INDEX(Rosters!$C$2:$C$155,MATCH(B260,Rosters!$B$2:$B$155,0)),"NA")</f>
        <v>NA</v>
      </c>
      <c r="V260" t="str">
        <f t="shared" si="12"/>
        <v>NA10</v>
      </c>
      <c r="W260">
        <f>COUNTIFS(A$1:A260,A260)</f>
        <v>14</v>
      </c>
      <c r="X260" t="str">
        <f t="shared" si="13"/>
        <v>Saints D/ST10</v>
      </c>
      <c r="Y260">
        <f>COUNTIF(V$1:V260,V260)</f>
        <v>9</v>
      </c>
      <c r="Z260" t="str">
        <f t="shared" si="14"/>
        <v>NA10-9</v>
      </c>
    </row>
    <row r="261" spans="1:26" x14ac:dyDescent="0.25">
      <c r="A261">
        <v>1</v>
      </c>
      <c r="B261" t="s">
        <v>426</v>
      </c>
      <c r="C261" t="s">
        <v>1247</v>
      </c>
      <c r="D261">
        <v>22.2</v>
      </c>
      <c r="E261">
        <v>1.7</v>
      </c>
      <c r="F261">
        <v>0.84</v>
      </c>
      <c r="G261">
        <v>0.64</v>
      </c>
      <c r="H261">
        <v>0.04</v>
      </c>
      <c r="I261">
        <v>0.22</v>
      </c>
      <c r="J261" t="s">
        <v>37</v>
      </c>
      <c r="K261">
        <v>12.81</v>
      </c>
      <c r="L261">
        <v>0.93</v>
      </c>
      <c r="M261">
        <v>5.94</v>
      </c>
      <c r="N261">
        <v>35.2836</v>
      </c>
      <c r="O261">
        <v>5</v>
      </c>
      <c r="P261">
        <v>0</v>
      </c>
      <c r="Q261">
        <v>345.44</v>
      </c>
      <c r="R261">
        <v>4</v>
      </c>
      <c r="S261">
        <v>0</v>
      </c>
      <c r="T261">
        <v>6.06</v>
      </c>
      <c r="U261" t="str">
        <f>IFERROR(INDEX(Rosters!$C$2:$C$155,MATCH(B261,Rosters!$B$2:$B$155,0)),"NA")</f>
        <v>NA</v>
      </c>
      <c r="V261" t="str">
        <f t="shared" si="12"/>
        <v>NA1</v>
      </c>
      <c r="W261">
        <f>COUNTIFS(A$1:A261,A261)</f>
        <v>17</v>
      </c>
      <c r="X261" t="str">
        <f t="shared" si="13"/>
        <v>Cowboys D/ST1</v>
      </c>
      <c r="Y261">
        <f>COUNTIF(V$1:V261,V261)</f>
        <v>12</v>
      </c>
      <c r="Z261" t="str">
        <f t="shared" si="14"/>
        <v>NA1-12</v>
      </c>
    </row>
    <row r="262" spans="1:26" x14ac:dyDescent="0.25">
      <c r="A262">
        <v>8</v>
      </c>
      <c r="B262" t="s">
        <v>414</v>
      </c>
      <c r="C262" t="s">
        <v>5564</v>
      </c>
      <c r="D262">
        <v>24.06</v>
      </c>
      <c r="E262">
        <v>1.86</v>
      </c>
      <c r="F262">
        <v>0.86</v>
      </c>
      <c r="G262">
        <v>0.86</v>
      </c>
      <c r="H262">
        <v>0.04</v>
      </c>
      <c r="I262">
        <v>0.28000000000000003</v>
      </c>
      <c r="J262" t="s">
        <v>60</v>
      </c>
      <c r="K262">
        <v>13.3</v>
      </c>
      <c r="L262">
        <v>0.94</v>
      </c>
      <c r="M262">
        <v>6.18</v>
      </c>
      <c r="N262">
        <v>38.192399999999999</v>
      </c>
      <c r="O262">
        <v>5</v>
      </c>
      <c r="P262">
        <v>0</v>
      </c>
      <c r="Q262">
        <v>355.11200000000002</v>
      </c>
      <c r="R262">
        <v>5</v>
      </c>
      <c r="S262">
        <v>-1</v>
      </c>
      <c r="T262">
        <v>6.06</v>
      </c>
      <c r="U262" t="str">
        <f>IFERROR(INDEX(Rosters!$C$2:$C$155,MATCH(B262,Rosters!$B$2:$B$155,0)),"NA")</f>
        <v>comp</v>
      </c>
      <c r="V262" t="str">
        <f t="shared" si="12"/>
        <v>comp8</v>
      </c>
      <c r="W262">
        <f>COUNTIFS(A$1:A262,A262)</f>
        <v>13</v>
      </c>
      <c r="X262" t="str">
        <f t="shared" si="13"/>
        <v>Eagles D/ST8</v>
      </c>
      <c r="Y262">
        <f>COUNTIF(V$1:V262,V262)</f>
        <v>1</v>
      </c>
      <c r="Z262" t="str">
        <f t="shared" si="14"/>
        <v>comp8-1</v>
      </c>
    </row>
    <row r="263" spans="1:26" x14ac:dyDescent="0.25">
      <c r="A263">
        <v>7</v>
      </c>
      <c r="B263" t="s">
        <v>415</v>
      </c>
      <c r="C263" t="s">
        <v>5565</v>
      </c>
      <c r="D263">
        <v>23.46</v>
      </c>
      <c r="E263">
        <v>2.04</v>
      </c>
      <c r="F263">
        <v>0.92</v>
      </c>
      <c r="G263">
        <v>0.68</v>
      </c>
      <c r="H263">
        <v>0.06</v>
      </c>
      <c r="I263">
        <v>0.28000000000000003</v>
      </c>
      <c r="J263" t="s">
        <v>58</v>
      </c>
      <c r="K263">
        <v>13.92</v>
      </c>
      <c r="L263">
        <v>1.38</v>
      </c>
      <c r="M263">
        <v>6.27</v>
      </c>
      <c r="N263">
        <v>39.312899999999999</v>
      </c>
      <c r="O263">
        <v>5</v>
      </c>
      <c r="P263">
        <v>0</v>
      </c>
      <c r="Q263">
        <v>351.99200000000002</v>
      </c>
      <c r="R263">
        <v>5</v>
      </c>
      <c r="S263">
        <v>-1</v>
      </c>
      <c r="T263">
        <v>6.04</v>
      </c>
      <c r="U263" t="str">
        <f>IFERROR(INDEX(Rosters!$C$2:$C$155,MATCH(B263,Rosters!$B$2:$B$155,0)),"NA")</f>
        <v>NA</v>
      </c>
      <c r="V263" t="str">
        <f t="shared" si="12"/>
        <v>NA7</v>
      </c>
      <c r="W263">
        <f>COUNTIFS(A$1:A263,A263)</f>
        <v>16</v>
      </c>
      <c r="X263" t="str">
        <f t="shared" si="13"/>
        <v>Patriots D/ST7</v>
      </c>
      <c r="Y263">
        <f>COUNTIF(V$1:V263,V263)</f>
        <v>11</v>
      </c>
      <c r="Z263" t="str">
        <f t="shared" si="14"/>
        <v>NA7-11</v>
      </c>
    </row>
    <row r="264" spans="1:26" x14ac:dyDescent="0.25">
      <c r="A264">
        <v>3</v>
      </c>
      <c r="B264" t="s">
        <v>412</v>
      </c>
      <c r="C264" t="s">
        <v>4190</v>
      </c>
      <c r="D264">
        <v>16.2</v>
      </c>
      <c r="E264">
        <v>1.68</v>
      </c>
      <c r="F264">
        <v>0.72</v>
      </c>
      <c r="G264">
        <v>0.52</v>
      </c>
      <c r="H264">
        <v>0.02</v>
      </c>
      <c r="I264">
        <v>0.14000000000000001</v>
      </c>
      <c r="J264" t="s">
        <v>51</v>
      </c>
      <c r="K264">
        <v>11.35</v>
      </c>
      <c r="L264">
        <v>3.09</v>
      </c>
      <c r="M264">
        <v>4.13</v>
      </c>
      <c r="N264">
        <v>17.056899999999999</v>
      </c>
      <c r="O264">
        <v>4</v>
      </c>
      <c r="P264">
        <v>1</v>
      </c>
      <c r="Q264">
        <v>314.24</v>
      </c>
      <c r="R264">
        <v>4</v>
      </c>
      <c r="S264">
        <v>0</v>
      </c>
      <c r="T264">
        <v>6.04</v>
      </c>
      <c r="U264" t="str">
        <f>IFERROR(INDEX(Rosters!$C$2:$C$155,MATCH(B264,Rosters!$B$2:$B$155,0)),"NA")</f>
        <v>chad</v>
      </c>
      <c r="V264" t="str">
        <f t="shared" si="12"/>
        <v>chad3</v>
      </c>
      <c r="W264">
        <f>COUNTIFS(A$1:A264,A264)</f>
        <v>19</v>
      </c>
      <c r="X264" t="str">
        <f t="shared" si="13"/>
        <v>Broncos D/ST3</v>
      </c>
      <c r="Y264">
        <f>COUNTIF(V$1:V264,V264)</f>
        <v>1</v>
      </c>
      <c r="Z264" t="str">
        <f t="shared" si="14"/>
        <v>chad3-1</v>
      </c>
    </row>
    <row r="265" spans="1:26" x14ac:dyDescent="0.25">
      <c r="A265">
        <v>17</v>
      </c>
      <c r="B265" t="s">
        <v>408</v>
      </c>
      <c r="C265" t="s">
        <v>5566</v>
      </c>
      <c r="D265">
        <v>24.37</v>
      </c>
      <c r="E265">
        <v>1.94</v>
      </c>
      <c r="F265">
        <v>1.1200000000000001</v>
      </c>
      <c r="G265">
        <v>0.56000000000000005</v>
      </c>
      <c r="H265">
        <v>0.08</v>
      </c>
      <c r="I265">
        <v>0.26</v>
      </c>
      <c r="J265" t="s">
        <v>19</v>
      </c>
      <c r="K265">
        <v>14.23</v>
      </c>
      <c r="L265">
        <v>0.23</v>
      </c>
      <c r="M265">
        <v>7</v>
      </c>
      <c r="N265">
        <v>49</v>
      </c>
      <c r="O265">
        <v>5</v>
      </c>
      <c r="P265">
        <v>0</v>
      </c>
      <c r="Q265">
        <v>356.72399999999999</v>
      </c>
      <c r="R265">
        <v>5</v>
      </c>
      <c r="S265">
        <v>-1</v>
      </c>
      <c r="T265">
        <v>6.02</v>
      </c>
      <c r="U265" t="str">
        <f>IFERROR(INDEX(Rosters!$C$2:$C$155,MATCH(B265,Rosters!$B$2:$B$155,0)),"NA")</f>
        <v>NA</v>
      </c>
      <c r="V265" t="str">
        <f t="shared" si="12"/>
        <v>NA17</v>
      </c>
      <c r="W265">
        <f>COUNTIFS(A$1:A265,A265)</f>
        <v>17</v>
      </c>
      <c r="X265" t="str">
        <f t="shared" si="13"/>
        <v>Giants D/ST17</v>
      </c>
      <c r="Y265">
        <f>COUNTIF(V$1:V265,V265)</f>
        <v>11</v>
      </c>
      <c r="Z265" t="str">
        <f t="shared" si="14"/>
        <v>NA17-11</v>
      </c>
    </row>
    <row r="266" spans="1:26" x14ac:dyDescent="0.25">
      <c r="A266">
        <v>3</v>
      </c>
      <c r="B266" t="s">
        <v>429</v>
      </c>
      <c r="C266" t="s">
        <v>4191</v>
      </c>
      <c r="D266">
        <v>18.649999999999999</v>
      </c>
      <c r="E266">
        <v>2.2200000000000002</v>
      </c>
      <c r="F266">
        <v>0.9</v>
      </c>
      <c r="G266">
        <v>0.51</v>
      </c>
      <c r="H266">
        <v>0.03</v>
      </c>
      <c r="I266">
        <v>0.15</v>
      </c>
      <c r="J266" t="s">
        <v>30</v>
      </c>
      <c r="K266">
        <v>11.63</v>
      </c>
      <c r="L266">
        <v>2.91</v>
      </c>
      <c r="M266">
        <v>4.3600000000000003</v>
      </c>
      <c r="N266">
        <v>19.009599999999999</v>
      </c>
      <c r="O266">
        <v>5</v>
      </c>
      <c r="P266">
        <v>0</v>
      </c>
      <c r="Q266">
        <v>326.98</v>
      </c>
      <c r="R266">
        <v>4</v>
      </c>
      <c r="S266">
        <v>0</v>
      </c>
      <c r="T266">
        <v>6</v>
      </c>
      <c r="U266" t="str">
        <f>IFERROR(INDEX(Rosters!$C$2:$C$155,MATCH(B266,Rosters!$B$2:$B$155,0)),"NA")</f>
        <v>NA</v>
      </c>
      <c r="V266" t="str">
        <f t="shared" si="12"/>
        <v>NA3</v>
      </c>
      <c r="W266">
        <f>COUNTIFS(A$1:A266,A266)</f>
        <v>20</v>
      </c>
      <c r="X266" t="str">
        <f t="shared" si="13"/>
        <v>Redskins D/ST3</v>
      </c>
      <c r="Y266">
        <f>COUNTIF(V$1:V266,V266)</f>
        <v>10</v>
      </c>
      <c r="Z266" t="str">
        <f t="shared" si="14"/>
        <v>NA3-10</v>
      </c>
    </row>
    <row r="267" spans="1:26" x14ac:dyDescent="0.25">
      <c r="A267">
        <v>8</v>
      </c>
      <c r="B267" t="s">
        <v>435</v>
      </c>
      <c r="C267" t="s">
        <v>5567</v>
      </c>
      <c r="D267">
        <v>24.61</v>
      </c>
      <c r="E267">
        <v>2.42</v>
      </c>
      <c r="F267">
        <v>0.64</v>
      </c>
      <c r="G267">
        <v>0.66</v>
      </c>
      <c r="H267">
        <v>0.02</v>
      </c>
      <c r="I267">
        <v>0.32</v>
      </c>
      <c r="J267" t="s">
        <v>25</v>
      </c>
      <c r="K267">
        <v>13.79</v>
      </c>
      <c r="L267">
        <v>0.33</v>
      </c>
      <c r="M267">
        <v>6.73</v>
      </c>
      <c r="N267">
        <v>45.292900000000003</v>
      </c>
      <c r="O267">
        <v>5</v>
      </c>
      <c r="P267">
        <v>0</v>
      </c>
      <c r="Q267">
        <v>357.97199999999998</v>
      </c>
      <c r="R267">
        <v>5</v>
      </c>
      <c r="S267">
        <v>-1</v>
      </c>
      <c r="T267">
        <v>5.98</v>
      </c>
      <c r="U267" t="str">
        <f>IFERROR(INDEX(Rosters!$C$2:$C$155,MATCH(B267,Rosters!$B$2:$B$155,0)),"NA")</f>
        <v>NA</v>
      </c>
      <c r="V267" t="str">
        <f t="shared" si="12"/>
        <v>NA8</v>
      </c>
      <c r="W267">
        <f>COUNTIFS(A$1:A267,A267)</f>
        <v>14</v>
      </c>
      <c r="X267" t="str">
        <f t="shared" si="13"/>
        <v>Lions D/ST8</v>
      </c>
      <c r="Y267">
        <f>COUNTIF(V$1:V267,V267)</f>
        <v>8</v>
      </c>
      <c r="Z267" t="str">
        <f t="shared" si="14"/>
        <v>NA8-8</v>
      </c>
    </row>
    <row r="268" spans="1:26" x14ac:dyDescent="0.25">
      <c r="A268">
        <v>10</v>
      </c>
      <c r="B268" t="s">
        <v>425</v>
      </c>
      <c r="C268" t="s">
        <v>5568</v>
      </c>
      <c r="D268">
        <v>22.67</v>
      </c>
      <c r="E268">
        <v>1.98</v>
      </c>
      <c r="F268">
        <v>0.92</v>
      </c>
      <c r="G268">
        <v>0.74</v>
      </c>
      <c r="H268">
        <v>0.04</v>
      </c>
      <c r="I268">
        <v>0.1</v>
      </c>
      <c r="J268" t="s">
        <v>54</v>
      </c>
      <c r="K268">
        <v>11.6</v>
      </c>
      <c r="L268">
        <v>1.5</v>
      </c>
      <c r="M268">
        <v>5.05</v>
      </c>
      <c r="N268">
        <v>25.502500000000001</v>
      </c>
      <c r="O268">
        <v>5</v>
      </c>
      <c r="P268">
        <v>0</v>
      </c>
      <c r="Q268">
        <v>347.88400000000001</v>
      </c>
      <c r="R268">
        <v>4</v>
      </c>
      <c r="S268">
        <v>0</v>
      </c>
      <c r="T268">
        <v>5.98</v>
      </c>
      <c r="U268" t="str">
        <f>IFERROR(INDEX(Rosters!$C$2:$C$155,MATCH(B268,Rosters!$B$2:$B$155,0)),"NA")</f>
        <v>NA</v>
      </c>
      <c r="V268" t="str">
        <f t="shared" si="12"/>
        <v>NA10</v>
      </c>
      <c r="W268">
        <f>COUNTIFS(A$1:A268,A268)</f>
        <v>15</v>
      </c>
      <c r="X268" t="str">
        <f t="shared" si="13"/>
        <v>Packers D/ST10</v>
      </c>
      <c r="Y268">
        <f>COUNTIF(V$1:V268,V268)</f>
        <v>10</v>
      </c>
      <c r="Z268" t="str">
        <f t="shared" si="14"/>
        <v>NA10-10</v>
      </c>
    </row>
    <row r="269" spans="1:26" x14ac:dyDescent="0.25">
      <c r="A269">
        <v>7</v>
      </c>
      <c r="B269" t="s">
        <v>406</v>
      </c>
      <c r="C269" t="s">
        <v>5569</v>
      </c>
      <c r="D269">
        <v>20.67</v>
      </c>
      <c r="E269">
        <v>1.98</v>
      </c>
      <c r="F269">
        <v>0.9</v>
      </c>
      <c r="G269">
        <v>0.57999999999999996</v>
      </c>
      <c r="H269">
        <v>0.04</v>
      </c>
      <c r="I269">
        <v>0.16</v>
      </c>
      <c r="J269" t="s">
        <v>46</v>
      </c>
      <c r="K269">
        <v>12.19</v>
      </c>
      <c r="L269">
        <v>1.31</v>
      </c>
      <c r="M269">
        <v>5.44</v>
      </c>
      <c r="N269">
        <v>29.593599999999999</v>
      </c>
      <c r="O269">
        <v>5</v>
      </c>
      <c r="P269">
        <v>0</v>
      </c>
      <c r="Q269">
        <v>337.48399999999998</v>
      </c>
      <c r="R269">
        <v>4</v>
      </c>
      <c r="S269">
        <v>0</v>
      </c>
      <c r="T269">
        <v>5.98</v>
      </c>
      <c r="U269" t="str">
        <f>IFERROR(INDEX(Rosters!$C$2:$C$155,MATCH(B269,Rosters!$B$2:$B$155,0)),"NA")</f>
        <v>seth</v>
      </c>
      <c r="V269" t="str">
        <f t="shared" si="12"/>
        <v>seth7</v>
      </c>
      <c r="W269">
        <f>COUNTIFS(A$1:A269,A269)</f>
        <v>17</v>
      </c>
      <c r="X269" t="str">
        <f t="shared" si="13"/>
        <v>Vikings D/ST7</v>
      </c>
      <c r="Y269">
        <f>COUNTIF(V$1:V269,V269)</f>
        <v>1</v>
      </c>
      <c r="Z269" t="str">
        <f t="shared" si="14"/>
        <v>seth7-1</v>
      </c>
    </row>
    <row r="270" spans="1:26" x14ac:dyDescent="0.25">
      <c r="A270">
        <v>4</v>
      </c>
      <c r="B270" t="s">
        <v>418</v>
      </c>
      <c r="C270" t="s">
        <v>5018</v>
      </c>
      <c r="D270">
        <v>22.2</v>
      </c>
      <c r="E270">
        <v>1.86</v>
      </c>
      <c r="F270">
        <v>0.91</v>
      </c>
      <c r="G270">
        <v>0.45</v>
      </c>
      <c r="H270">
        <v>0.03</v>
      </c>
      <c r="I270">
        <v>0.22</v>
      </c>
      <c r="J270" t="s">
        <v>30</v>
      </c>
      <c r="K270">
        <v>10.81</v>
      </c>
      <c r="L270">
        <v>2.59</v>
      </c>
      <c r="M270">
        <v>4.1100000000000003</v>
      </c>
      <c r="N270">
        <v>16.892099999999999</v>
      </c>
      <c r="O270">
        <v>5</v>
      </c>
      <c r="P270">
        <v>0</v>
      </c>
      <c r="Q270">
        <v>345.44</v>
      </c>
      <c r="R270">
        <v>4</v>
      </c>
      <c r="S270">
        <v>0</v>
      </c>
      <c r="T270">
        <v>5.96</v>
      </c>
      <c r="U270" t="str">
        <f>IFERROR(INDEX(Rosters!$C$2:$C$155,MATCH(B270,Rosters!$B$2:$B$155,0)),"NA")</f>
        <v>NA</v>
      </c>
      <c r="V270" t="str">
        <f t="shared" si="12"/>
        <v>NA4</v>
      </c>
      <c r="W270">
        <f>COUNTIFS(A$1:A270,A270)</f>
        <v>20</v>
      </c>
      <c r="X270" t="str">
        <f t="shared" si="13"/>
        <v>Bills D/ST4</v>
      </c>
      <c r="Y270">
        <f>COUNTIF(V$1:V270,V270)</f>
        <v>12</v>
      </c>
      <c r="Z270" t="str">
        <f t="shared" si="14"/>
        <v>NA4-12</v>
      </c>
    </row>
    <row r="271" spans="1:26" x14ac:dyDescent="0.25">
      <c r="A271">
        <v>11</v>
      </c>
      <c r="B271" t="s">
        <v>409</v>
      </c>
      <c r="C271" t="s">
        <v>5570</v>
      </c>
      <c r="D271">
        <v>21.52</v>
      </c>
      <c r="E271">
        <v>2.1800000000000002</v>
      </c>
      <c r="F271">
        <v>0.88</v>
      </c>
      <c r="G271">
        <v>0.56000000000000005</v>
      </c>
      <c r="H271">
        <v>0.08</v>
      </c>
      <c r="I271">
        <v>0.12</v>
      </c>
      <c r="J271" t="s">
        <v>50</v>
      </c>
      <c r="K271">
        <v>11.56</v>
      </c>
      <c r="L271">
        <v>1.88</v>
      </c>
      <c r="M271">
        <v>4.84</v>
      </c>
      <c r="N271">
        <v>23.425599999999999</v>
      </c>
      <c r="O271">
        <v>5</v>
      </c>
      <c r="P271">
        <v>0</v>
      </c>
      <c r="Q271">
        <v>341.904</v>
      </c>
      <c r="R271">
        <v>4</v>
      </c>
      <c r="S271">
        <v>0</v>
      </c>
      <c r="T271">
        <v>5.94</v>
      </c>
      <c r="U271" t="str">
        <f>IFERROR(INDEX(Rosters!$C$2:$C$155,MATCH(B271,Rosters!$B$2:$B$155,0)),"NA")</f>
        <v>NA</v>
      </c>
      <c r="V271" t="str">
        <f t="shared" si="12"/>
        <v>NA11</v>
      </c>
      <c r="W271">
        <f>COUNTIFS(A$1:A271,A271)</f>
        <v>12</v>
      </c>
      <c r="X271" t="str">
        <f t="shared" si="13"/>
        <v>Cardinals D/ST11</v>
      </c>
      <c r="Y271">
        <f>COUNTIF(V$1:V271,V271)</f>
        <v>8</v>
      </c>
      <c r="Z271" t="str">
        <f t="shared" si="14"/>
        <v>NA11-8</v>
      </c>
    </row>
    <row r="272" spans="1:26" x14ac:dyDescent="0.25">
      <c r="A272">
        <v>11</v>
      </c>
      <c r="B272" t="s">
        <v>429</v>
      </c>
      <c r="C272" t="s">
        <v>5571</v>
      </c>
      <c r="D272">
        <v>19.98</v>
      </c>
      <c r="E272">
        <v>2.02</v>
      </c>
      <c r="F272">
        <v>1.02</v>
      </c>
      <c r="G272">
        <v>0.52</v>
      </c>
      <c r="H272">
        <v>0.06</v>
      </c>
      <c r="I272">
        <v>0.12</v>
      </c>
      <c r="J272" t="s">
        <v>56</v>
      </c>
      <c r="K272">
        <v>12.05</v>
      </c>
      <c r="L272">
        <v>1.27</v>
      </c>
      <c r="M272">
        <v>5.39</v>
      </c>
      <c r="N272">
        <v>29.052099999999999</v>
      </c>
      <c r="O272">
        <v>5</v>
      </c>
      <c r="P272">
        <v>0</v>
      </c>
      <c r="Q272">
        <v>333.89600000000002</v>
      </c>
      <c r="R272">
        <v>4</v>
      </c>
      <c r="S272">
        <v>0</v>
      </c>
      <c r="T272">
        <v>5.94</v>
      </c>
      <c r="U272" t="str">
        <f>IFERROR(INDEX(Rosters!$C$2:$C$155,MATCH(B272,Rosters!$B$2:$B$155,0)),"NA")</f>
        <v>NA</v>
      </c>
      <c r="V272" t="str">
        <f t="shared" si="12"/>
        <v>NA11</v>
      </c>
      <c r="W272">
        <f>COUNTIFS(A$1:A272,A272)</f>
        <v>13</v>
      </c>
      <c r="X272" t="str">
        <f t="shared" si="13"/>
        <v>Redskins D/ST11</v>
      </c>
      <c r="Y272">
        <f>COUNTIF(V$1:V272,V272)</f>
        <v>9</v>
      </c>
      <c r="Z272" t="str">
        <f t="shared" si="14"/>
        <v>NA11-9</v>
      </c>
    </row>
    <row r="273" spans="1:26" x14ac:dyDescent="0.25">
      <c r="A273">
        <v>8</v>
      </c>
      <c r="B273" t="s">
        <v>405</v>
      </c>
      <c r="C273" t="s">
        <v>5572</v>
      </c>
      <c r="D273">
        <v>23.85</v>
      </c>
      <c r="E273">
        <v>2.38</v>
      </c>
      <c r="F273">
        <v>0.84</v>
      </c>
      <c r="G273">
        <v>0.68</v>
      </c>
      <c r="H273">
        <v>0.04</v>
      </c>
      <c r="I273">
        <v>0.24</v>
      </c>
      <c r="J273" t="s">
        <v>54</v>
      </c>
      <c r="K273">
        <v>11.72</v>
      </c>
      <c r="L273">
        <v>2.52</v>
      </c>
      <c r="M273">
        <v>4.5999999999999996</v>
      </c>
      <c r="N273">
        <v>21.16</v>
      </c>
      <c r="O273">
        <v>5</v>
      </c>
      <c r="P273">
        <v>0</v>
      </c>
      <c r="Q273">
        <v>354.02</v>
      </c>
      <c r="R273">
        <v>5</v>
      </c>
      <c r="S273">
        <v>-1</v>
      </c>
      <c r="T273">
        <v>5.94</v>
      </c>
      <c r="U273" t="str">
        <f>IFERROR(INDEX(Rosters!$C$2:$C$155,MATCH(B273,Rosters!$B$2:$B$155,0)),"NA")</f>
        <v>perry</v>
      </c>
      <c r="V273" t="str">
        <f t="shared" si="12"/>
        <v>perry8</v>
      </c>
      <c r="W273">
        <f>COUNTIFS(A$1:A273,A273)</f>
        <v>15</v>
      </c>
      <c r="X273" t="str">
        <f t="shared" si="13"/>
        <v>Texans D/ST8</v>
      </c>
      <c r="Y273">
        <f>COUNTIF(V$1:V273,V273)</f>
        <v>1</v>
      </c>
      <c r="Z273" t="str">
        <f t="shared" si="14"/>
        <v>perry8-1</v>
      </c>
    </row>
    <row r="274" spans="1:26" x14ac:dyDescent="0.25">
      <c r="A274">
        <v>4</v>
      </c>
      <c r="B274" t="s">
        <v>424</v>
      </c>
      <c r="C274" t="s">
        <v>4852</v>
      </c>
      <c r="D274">
        <v>23.92</v>
      </c>
      <c r="E274">
        <v>2.91</v>
      </c>
      <c r="F274">
        <v>1.04</v>
      </c>
      <c r="G274">
        <v>0.67</v>
      </c>
      <c r="H274">
        <v>0</v>
      </c>
      <c r="I274">
        <v>0.1</v>
      </c>
      <c r="J274" t="s">
        <v>51</v>
      </c>
      <c r="K274">
        <v>13.79</v>
      </c>
      <c r="L274">
        <v>0.83</v>
      </c>
      <c r="M274">
        <v>6.48</v>
      </c>
      <c r="N274">
        <v>41.990400000000001</v>
      </c>
      <c r="O274">
        <v>5</v>
      </c>
      <c r="P274">
        <v>0</v>
      </c>
      <c r="Q274">
        <v>354.38400000000001</v>
      </c>
      <c r="R274">
        <v>5</v>
      </c>
      <c r="S274">
        <v>-1</v>
      </c>
      <c r="T274">
        <v>5.93</v>
      </c>
      <c r="U274" t="str">
        <f>IFERROR(INDEX(Rosters!$C$2:$C$155,MATCH(B274,Rosters!$B$2:$B$155,0)),"NA")</f>
        <v>NA</v>
      </c>
      <c r="V274" t="str">
        <f t="shared" si="12"/>
        <v>NA4</v>
      </c>
      <c r="W274">
        <f>COUNTIFS(A$1:A274,A274)</f>
        <v>21</v>
      </c>
      <c r="X274" t="str">
        <f t="shared" si="13"/>
        <v>Steelers D/ST4</v>
      </c>
      <c r="Y274">
        <f>COUNTIF(V$1:V274,V274)</f>
        <v>13</v>
      </c>
      <c r="Z274" t="str">
        <f t="shared" si="14"/>
        <v>NA4-13</v>
      </c>
    </row>
    <row r="275" spans="1:26" x14ac:dyDescent="0.25">
      <c r="A275">
        <v>9</v>
      </c>
      <c r="B275" t="s">
        <v>412</v>
      </c>
      <c r="C275" t="s">
        <v>5573</v>
      </c>
      <c r="D275">
        <v>22.48</v>
      </c>
      <c r="E275">
        <v>2</v>
      </c>
      <c r="F275">
        <v>0.88</v>
      </c>
      <c r="G275">
        <v>0.64</v>
      </c>
      <c r="H275">
        <v>0.02</v>
      </c>
      <c r="I275">
        <v>0.14000000000000001</v>
      </c>
      <c r="J275" t="s">
        <v>56</v>
      </c>
      <c r="K275">
        <v>10.34</v>
      </c>
      <c r="L275">
        <v>1.94</v>
      </c>
      <c r="M275">
        <v>4.2</v>
      </c>
      <c r="N275">
        <v>17.64</v>
      </c>
      <c r="O275">
        <v>5</v>
      </c>
      <c r="P275">
        <v>0</v>
      </c>
      <c r="Q275">
        <v>346.89600000000002</v>
      </c>
      <c r="R275">
        <v>4</v>
      </c>
      <c r="S275">
        <v>0</v>
      </c>
      <c r="T275">
        <v>5.92</v>
      </c>
      <c r="U275" t="str">
        <f>IFERROR(INDEX(Rosters!$C$2:$C$155,MATCH(B275,Rosters!$B$2:$B$155,0)),"NA")</f>
        <v>chad</v>
      </c>
      <c r="V275" t="str">
        <f t="shared" si="12"/>
        <v>chad9</v>
      </c>
      <c r="W275">
        <f>COUNTIFS(A$1:A275,A275)</f>
        <v>12</v>
      </c>
      <c r="X275" t="str">
        <f t="shared" si="13"/>
        <v>Broncos D/ST9</v>
      </c>
      <c r="Y275">
        <f>COUNTIF(V$1:V275,V275)</f>
        <v>1</v>
      </c>
      <c r="Z275" t="str">
        <f t="shared" si="14"/>
        <v>chad9-1</v>
      </c>
    </row>
    <row r="276" spans="1:26" x14ac:dyDescent="0.25">
      <c r="A276">
        <v>13</v>
      </c>
      <c r="B276" t="s">
        <v>430</v>
      </c>
      <c r="C276" t="s">
        <v>5574</v>
      </c>
      <c r="D276">
        <v>22.51</v>
      </c>
      <c r="E276">
        <v>1.96</v>
      </c>
      <c r="F276">
        <v>0.92</v>
      </c>
      <c r="G276">
        <v>0.68</v>
      </c>
      <c r="H276">
        <v>0.02</v>
      </c>
      <c r="I276">
        <v>0.12</v>
      </c>
      <c r="J276" t="s">
        <v>22</v>
      </c>
      <c r="K276">
        <v>12.51</v>
      </c>
      <c r="L276">
        <v>0.17</v>
      </c>
      <c r="M276">
        <v>6.17</v>
      </c>
      <c r="N276">
        <v>38.068899999999999</v>
      </c>
      <c r="O276">
        <v>5</v>
      </c>
      <c r="P276">
        <v>0</v>
      </c>
      <c r="Q276">
        <v>347.05200000000002</v>
      </c>
      <c r="R276">
        <v>4</v>
      </c>
      <c r="S276">
        <v>0</v>
      </c>
      <c r="T276">
        <v>5.92</v>
      </c>
      <c r="U276" t="str">
        <f>IFERROR(INDEX(Rosters!$C$2:$C$155,MATCH(B276,Rosters!$B$2:$B$155,0)),"NA")</f>
        <v>NA</v>
      </c>
      <c r="V276" t="str">
        <f t="shared" si="12"/>
        <v>NA13</v>
      </c>
      <c r="W276">
        <f>COUNTIFS(A$1:A276,A276)</f>
        <v>20</v>
      </c>
      <c r="X276" t="str">
        <f t="shared" si="13"/>
        <v>Jets D/ST13</v>
      </c>
      <c r="Y276">
        <f>COUNTIF(V$1:V276,V276)</f>
        <v>11</v>
      </c>
      <c r="Z276" t="str">
        <f t="shared" si="14"/>
        <v>NA13-11</v>
      </c>
    </row>
    <row r="277" spans="1:26" x14ac:dyDescent="0.25">
      <c r="A277">
        <v>9</v>
      </c>
      <c r="B277" t="s">
        <v>411</v>
      </c>
      <c r="C277" t="s">
        <v>5575</v>
      </c>
      <c r="D277">
        <v>23.12</v>
      </c>
      <c r="E277">
        <v>2.54</v>
      </c>
      <c r="F277">
        <v>0.88</v>
      </c>
      <c r="G277">
        <v>0.57999999999999996</v>
      </c>
      <c r="H277">
        <v>0</v>
      </c>
      <c r="I277">
        <v>0.24</v>
      </c>
      <c r="J277" t="s">
        <v>31</v>
      </c>
      <c r="K277">
        <v>13.5</v>
      </c>
      <c r="L277">
        <v>0.9</v>
      </c>
      <c r="M277">
        <v>6.3</v>
      </c>
      <c r="N277">
        <v>39.69</v>
      </c>
      <c r="O277">
        <v>5</v>
      </c>
      <c r="P277">
        <v>0</v>
      </c>
      <c r="Q277">
        <v>350.22399999999999</v>
      </c>
      <c r="R277">
        <v>5</v>
      </c>
      <c r="S277">
        <v>-1</v>
      </c>
      <c r="T277">
        <v>5.9</v>
      </c>
      <c r="U277" t="str">
        <f>IFERROR(INDEX(Rosters!$C$2:$C$155,MATCH(B277,Rosters!$B$2:$B$155,0)),"NA")</f>
        <v>lucas</v>
      </c>
      <c r="V277" t="str">
        <f t="shared" si="12"/>
        <v>lucas9</v>
      </c>
      <c r="W277">
        <f>COUNTIFS(A$1:A277,A277)</f>
        <v>13</v>
      </c>
      <c r="X277" t="str">
        <f t="shared" si="13"/>
        <v>Ravens D/ST9</v>
      </c>
      <c r="Y277">
        <f>COUNTIF(V$1:V277,V277)</f>
        <v>2</v>
      </c>
      <c r="Z277" t="str">
        <f t="shared" si="14"/>
        <v>lucas9-2</v>
      </c>
    </row>
    <row r="278" spans="1:26" x14ac:dyDescent="0.25">
      <c r="A278">
        <v>5</v>
      </c>
      <c r="B278" t="s">
        <v>406</v>
      </c>
      <c r="C278" t="s">
        <v>9115</v>
      </c>
      <c r="D278">
        <v>20.72</v>
      </c>
      <c r="E278">
        <v>1.96</v>
      </c>
      <c r="F278">
        <v>1.0900000000000001</v>
      </c>
      <c r="G278">
        <v>0.56000000000000005</v>
      </c>
      <c r="H278">
        <v>0.02</v>
      </c>
      <c r="I278">
        <v>0.1</v>
      </c>
      <c r="J278" t="s">
        <v>36</v>
      </c>
      <c r="K278">
        <v>11.63</v>
      </c>
      <c r="L278">
        <v>2.27</v>
      </c>
      <c r="M278">
        <v>4.68</v>
      </c>
      <c r="N278">
        <v>21.9024</v>
      </c>
      <c r="O278">
        <v>5</v>
      </c>
      <c r="P278">
        <v>0</v>
      </c>
      <c r="Q278">
        <v>337.74400000000003</v>
      </c>
      <c r="R278">
        <v>4</v>
      </c>
      <c r="S278">
        <v>0</v>
      </c>
      <c r="T278">
        <v>5.9</v>
      </c>
      <c r="U278" t="str">
        <f>IFERROR(INDEX(Rosters!$C$2:$C$155,MATCH(B278,Rosters!$B$2:$B$155,0)),"NA")</f>
        <v>seth</v>
      </c>
      <c r="V278" t="str">
        <f t="shared" si="12"/>
        <v>seth5</v>
      </c>
      <c r="W278">
        <f>COUNTIFS(A$1:A278,A278)</f>
        <v>17</v>
      </c>
      <c r="X278" t="str">
        <f t="shared" si="13"/>
        <v>Vikings D/ST5</v>
      </c>
      <c r="Y278">
        <f>COUNTIF(V$1:V278,V278)</f>
        <v>1</v>
      </c>
      <c r="Z278" t="str">
        <f t="shared" si="14"/>
        <v>seth5-1</v>
      </c>
    </row>
    <row r="279" spans="1:26" x14ac:dyDescent="0.25">
      <c r="A279">
        <v>15</v>
      </c>
      <c r="B279" t="s">
        <v>415</v>
      </c>
      <c r="C279" t="s">
        <v>5576</v>
      </c>
      <c r="D279">
        <v>26.19</v>
      </c>
      <c r="E279">
        <v>1.57</v>
      </c>
      <c r="F279">
        <v>1.38</v>
      </c>
      <c r="G279">
        <v>0.68</v>
      </c>
      <c r="H279">
        <v>0</v>
      </c>
      <c r="I279">
        <v>0.2</v>
      </c>
      <c r="J279" t="s">
        <v>31</v>
      </c>
      <c r="K279">
        <v>11.97</v>
      </c>
      <c r="L279">
        <v>1.45</v>
      </c>
      <c r="M279">
        <v>5.26</v>
      </c>
      <c r="N279">
        <v>27.6676</v>
      </c>
      <c r="O279">
        <v>5</v>
      </c>
      <c r="P279">
        <v>0</v>
      </c>
      <c r="Q279">
        <v>366.18799999999999</v>
      </c>
      <c r="R279">
        <v>5</v>
      </c>
      <c r="S279">
        <v>-1</v>
      </c>
      <c r="T279">
        <v>5.89</v>
      </c>
      <c r="U279" t="str">
        <f>IFERROR(INDEX(Rosters!$C$2:$C$155,MATCH(B279,Rosters!$B$2:$B$155,0)),"NA")</f>
        <v>NA</v>
      </c>
      <c r="V279" t="str">
        <f t="shared" si="12"/>
        <v>NA15</v>
      </c>
      <c r="W279">
        <f>COUNTIFS(A$1:A279,A279)</f>
        <v>15</v>
      </c>
      <c r="X279" t="str">
        <f t="shared" si="13"/>
        <v>Patriots D/ST15</v>
      </c>
      <c r="Y279">
        <f>COUNTIF(V$1:V279,V279)</f>
        <v>7</v>
      </c>
      <c r="Z279" t="str">
        <f t="shared" si="14"/>
        <v>NA15-7</v>
      </c>
    </row>
    <row r="280" spans="1:26" x14ac:dyDescent="0.25">
      <c r="A280">
        <v>6</v>
      </c>
      <c r="B280" t="s">
        <v>418</v>
      </c>
      <c r="C280" t="s">
        <v>5577</v>
      </c>
      <c r="D280">
        <v>24.51</v>
      </c>
      <c r="E280">
        <v>2</v>
      </c>
      <c r="F280">
        <v>0.92</v>
      </c>
      <c r="G280">
        <v>0.74</v>
      </c>
      <c r="H280">
        <v>0</v>
      </c>
      <c r="I280">
        <v>0.26</v>
      </c>
      <c r="J280" t="s">
        <v>56</v>
      </c>
      <c r="K280">
        <v>12.23</v>
      </c>
      <c r="L280">
        <v>1.71</v>
      </c>
      <c r="M280">
        <v>5.26</v>
      </c>
      <c r="N280">
        <v>27.6676</v>
      </c>
      <c r="O280">
        <v>5</v>
      </c>
      <c r="P280">
        <v>0</v>
      </c>
      <c r="Q280">
        <v>357.452</v>
      </c>
      <c r="R280">
        <v>5</v>
      </c>
      <c r="S280">
        <v>-1</v>
      </c>
      <c r="T280">
        <v>5.88</v>
      </c>
      <c r="U280" t="str">
        <f>IFERROR(INDEX(Rosters!$C$2:$C$155,MATCH(B280,Rosters!$B$2:$B$155,0)),"NA")</f>
        <v>NA</v>
      </c>
      <c r="V280" t="str">
        <f t="shared" si="12"/>
        <v>NA6</v>
      </c>
      <c r="W280">
        <f>COUNTIFS(A$1:A280,A280)</f>
        <v>15</v>
      </c>
      <c r="X280" t="str">
        <f t="shared" si="13"/>
        <v>Bills D/ST6</v>
      </c>
      <c r="Y280">
        <f>COUNTIF(V$1:V280,V280)</f>
        <v>7</v>
      </c>
      <c r="Z280" t="str">
        <f t="shared" si="14"/>
        <v>NA6-7</v>
      </c>
    </row>
    <row r="281" spans="1:26" x14ac:dyDescent="0.25">
      <c r="A281">
        <v>3</v>
      </c>
      <c r="B281" t="s">
        <v>409</v>
      </c>
      <c r="C281" t="s">
        <v>4192</v>
      </c>
      <c r="D281">
        <v>18.22</v>
      </c>
      <c r="E281">
        <v>1.99</v>
      </c>
      <c r="F281">
        <v>0.82</v>
      </c>
      <c r="G281">
        <v>0.82</v>
      </c>
      <c r="H281">
        <v>0.06</v>
      </c>
      <c r="I281">
        <v>0.08</v>
      </c>
      <c r="J281" t="s">
        <v>58</v>
      </c>
      <c r="K281">
        <v>11.84</v>
      </c>
      <c r="L281">
        <v>3.1</v>
      </c>
      <c r="M281">
        <v>4.37</v>
      </c>
      <c r="N281">
        <v>19.096900000000002</v>
      </c>
      <c r="O281">
        <v>5</v>
      </c>
      <c r="P281">
        <v>0</v>
      </c>
      <c r="Q281">
        <v>324.74400000000003</v>
      </c>
      <c r="R281">
        <v>4</v>
      </c>
      <c r="S281">
        <v>0</v>
      </c>
      <c r="T281">
        <v>5.87</v>
      </c>
      <c r="U281" t="str">
        <f>IFERROR(INDEX(Rosters!$C$2:$C$155,MATCH(B281,Rosters!$B$2:$B$155,0)),"NA")</f>
        <v>NA</v>
      </c>
      <c r="V281" t="str">
        <f t="shared" si="12"/>
        <v>NA3</v>
      </c>
      <c r="W281">
        <f>COUNTIFS(A$1:A281,A281)</f>
        <v>21</v>
      </c>
      <c r="X281" t="str">
        <f t="shared" si="13"/>
        <v>Cardinals D/ST3</v>
      </c>
      <c r="Y281">
        <f>COUNTIF(V$1:V281,V281)</f>
        <v>11</v>
      </c>
      <c r="Z281" t="str">
        <f t="shared" si="14"/>
        <v>NA3-11</v>
      </c>
    </row>
    <row r="282" spans="1:26" x14ac:dyDescent="0.25">
      <c r="A282">
        <v>8</v>
      </c>
      <c r="B282" t="s">
        <v>430</v>
      </c>
      <c r="C282" t="s">
        <v>5578</v>
      </c>
      <c r="D282">
        <v>21.04</v>
      </c>
      <c r="E282">
        <v>1.84</v>
      </c>
      <c r="F282">
        <v>1.02</v>
      </c>
      <c r="G282">
        <v>0.66</v>
      </c>
      <c r="H282">
        <v>0.02</v>
      </c>
      <c r="I282">
        <v>0.1</v>
      </c>
      <c r="J282" t="s">
        <v>58</v>
      </c>
      <c r="K282">
        <v>12.97</v>
      </c>
      <c r="L282">
        <v>0.25</v>
      </c>
      <c r="M282">
        <v>6.36</v>
      </c>
      <c r="N282">
        <v>40.449599999999997</v>
      </c>
      <c r="O282">
        <v>5</v>
      </c>
      <c r="P282">
        <v>0</v>
      </c>
      <c r="Q282">
        <v>339.40800000000002</v>
      </c>
      <c r="R282">
        <v>4</v>
      </c>
      <c r="S282">
        <v>0</v>
      </c>
      <c r="T282">
        <v>5.84</v>
      </c>
      <c r="U282" t="str">
        <f>IFERROR(INDEX(Rosters!$C$2:$C$155,MATCH(B282,Rosters!$B$2:$B$155,0)),"NA")</f>
        <v>NA</v>
      </c>
      <c r="V282" t="str">
        <f t="shared" si="12"/>
        <v>NA8</v>
      </c>
      <c r="W282">
        <f>COUNTIFS(A$1:A282,A282)</f>
        <v>16</v>
      </c>
      <c r="X282" t="str">
        <f t="shared" si="13"/>
        <v>Jets D/ST8</v>
      </c>
      <c r="Y282">
        <f>COUNTIF(V$1:V282,V282)</f>
        <v>9</v>
      </c>
      <c r="Z282" t="str">
        <f t="shared" si="14"/>
        <v>NA8-9</v>
      </c>
    </row>
    <row r="283" spans="1:26" x14ac:dyDescent="0.25">
      <c r="A283">
        <v>6</v>
      </c>
      <c r="B283" t="s">
        <v>429</v>
      </c>
      <c r="C283" t="s">
        <v>4393</v>
      </c>
      <c r="D283">
        <v>23.45</v>
      </c>
      <c r="E283">
        <v>2.3199999999999998</v>
      </c>
      <c r="F283">
        <v>0.88</v>
      </c>
      <c r="G283">
        <v>0.68</v>
      </c>
      <c r="H283">
        <v>0.04</v>
      </c>
      <c r="I283">
        <v>0.22</v>
      </c>
      <c r="J283" t="s">
        <v>37</v>
      </c>
      <c r="K283">
        <v>13.1</v>
      </c>
      <c r="L283">
        <v>0.68</v>
      </c>
      <c r="M283">
        <v>6.21</v>
      </c>
      <c r="N283">
        <v>38.564100000000003</v>
      </c>
      <c r="O283">
        <v>5</v>
      </c>
      <c r="P283">
        <v>0</v>
      </c>
      <c r="Q283">
        <v>351.94</v>
      </c>
      <c r="R283">
        <v>5</v>
      </c>
      <c r="S283">
        <v>-1</v>
      </c>
      <c r="T283">
        <v>5.84</v>
      </c>
      <c r="U283" t="str">
        <f>IFERROR(INDEX(Rosters!$C$2:$C$155,MATCH(B283,Rosters!$B$2:$B$155,0)),"NA")</f>
        <v>NA</v>
      </c>
      <c r="V283" t="str">
        <f t="shared" si="12"/>
        <v>NA6</v>
      </c>
      <c r="W283">
        <f>COUNTIFS(A$1:A283,A283)</f>
        <v>16</v>
      </c>
      <c r="X283" t="str">
        <f t="shared" si="13"/>
        <v>Redskins D/ST6</v>
      </c>
      <c r="Y283">
        <f>COUNTIF(V$1:V283,V283)</f>
        <v>8</v>
      </c>
      <c r="Z283" t="str">
        <f t="shared" si="14"/>
        <v>NA6-8</v>
      </c>
    </row>
    <row r="284" spans="1:26" x14ac:dyDescent="0.25">
      <c r="A284">
        <v>1</v>
      </c>
      <c r="B284" t="s">
        <v>416</v>
      </c>
      <c r="C284" t="s">
        <v>1248</v>
      </c>
      <c r="D284">
        <v>25.53</v>
      </c>
      <c r="E284">
        <v>2.39</v>
      </c>
      <c r="F284">
        <v>1.02</v>
      </c>
      <c r="G284">
        <v>0.6</v>
      </c>
      <c r="H284">
        <v>0.06</v>
      </c>
      <c r="I284">
        <v>0.18</v>
      </c>
      <c r="J284" t="s">
        <v>30</v>
      </c>
      <c r="K284">
        <v>11.88</v>
      </c>
      <c r="L284">
        <v>1.62</v>
      </c>
      <c r="M284">
        <v>5.13</v>
      </c>
      <c r="N284">
        <v>26.3169</v>
      </c>
      <c r="O284">
        <v>5</v>
      </c>
      <c r="P284">
        <v>0</v>
      </c>
      <c r="Q284">
        <v>362.75599999999997</v>
      </c>
      <c r="R284">
        <v>5</v>
      </c>
      <c r="S284">
        <v>-1</v>
      </c>
      <c r="T284">
        <v>5.83</v>
      </c>
      <c r="U284" t="str">
        <f>IFERROR(INDEX(Rosters!$C$2:$C$155,MATCH(B284,Rosters!$B$2:$B$155,0)),"NA")</f>
        <v>lucas</v>
      </c>
      <c r="V284" t="str">
        <f t="shared" si="12"/>
        <v>lucas1</v>
      </c>
      <c r="W284">
        <f>COUNTIFS(A$1:A284,A284)</f>
        <v>18</v>
      </c>
      <c r="X284" t="str">
        <f t="shared" si="13"/>
        <v>Bears D/ST1</v>
      </c>
      <c r="Y284">
        <f>COUNTIF(V$1:V284,V284)</f>
        <v>2</v>
      </c>
      <c r="Z284" t="str">
        <f t="shared" si="14"/>
        <v>lucas1-2</v>
      </c>
    </row>
    <row r="285" spans="1:26" x14ac:dyDescent="0.25">
      <c r="A285">
        <v>5</v>
      </c>
      <c r="B285" t="s">
        <v>434</v>
      </c>
      <c r="C285" t="s">
        <v>9056</v>
      </c>
      <c r="D285">
        <v>19.440000000000001</v>
      </c>
      <c r="E285">
        <v>1.87</v>
      </c>
      <c r="F285">
        <v>0.92</v>
      </c>
      <c r="G285">
        <v>0.69</v>
      </c>
      <c r="H285">
        <v>0.04</v>
      </c>
      <c r="I285">
        <v>0.11</v>
      </c>
      <c r="J285" t="s">
        <v>51</v>
      </c>
      <c r="K285">
        <v>12.57</v>
      </c>
      <c r="L285">
        <v>1.37</v>
      </c>
      <c r="M285">
        <v>5.6</v>
      </c>
      <c r="N285">
        <v>31.36</v>
      </c>
      <c r="O285">
        <v>5</v>
      </c>
      <c r="P285">
        <v>0</v>
      </c>
      <c r="Q285">
        <v>331.08800000000002</v>
      </c>
      <c r="R285">
        <v>4</v>
      </c>
      <c r="S285">
        <v>0</v>
      </c>
      <c r="T285">
        <v>5.83</v>
      </c>
      <c r="U285" t="str">
        <f>IFERROR(INDEX(Rosters!$C$2:$C$155,MATCH(B285,Rosters!$B$2:$B$155,0)),"NA")</f>
        <v>matty</v>
      </c>
      <c r="V285" t="str">
        <f t="shared" si="12"/>
        <v>matty5</v>
      </c>
      <c r="W285">
        <f>COUNTIFS(A$1:A285,A285)</f>
        <v>18</v>
      </c>
      <c r="X285" t="str">
        <f t="shared" si="13"/>
        <v>Browns D/ST5</v>
      </c>
      <c r="Y285">
        <f>COUNTIF(V$1:V285,V285)</f>
        <v>1</v>
      </c>
      <c r="Z285" t="str">
        <f t="shared" si="14"/>
        <v>matty5-1</v>
      </c>
    </row>
    <row r="286" spans="1:26" x14ac:dyDescent="0.25">
      <c r="A286">
        <v>14</v>
      </c>
      <c r="B286" t="s">
        <v>409</v>
      </c>
      <c r="C286" t="s">
        <v>5579</v>
      </c>
      <c r="D286">
        <v>21.94</v>
      </c>
      <c r="E286">
        <v>2.27</v>
      </c>
      <c r="F286">
        <v>0.82</v>
      </c>
      <c r="G286">
        <v>0.52</v>
      </c>
      <c r="H286">
        <v>0.08</v>
      </c>
      <c r="I286">
        <v>0.12</v>
      </c>
      <c r="J286" t="s">
        <v>42</v>
      </c>
      <c r="K286">
        <v>12.42</v>
      </c>
      <c r="L286">
        <v>0.86</v>
      </c>
      <c r="M286">
        <v>5.78</v>
      </c>
      <c r="N286">
        <v>33.4084</v>
      </c>
      <c r="O286">
        <v>5</v>
      </c>
      <c r="P286">
        <v>0</v>
      </c>
      <c r="Q286">
        <v>344.08800000000002</v>
      </c>
      <c r="R286">
        <v>4</v>
      </c>
      <c r="S286">
        <v>0</v>
      </c>
      <c r="T286">
        <v>5.83</v>
      </c>
      <c r="U286" t="str">
        <f>IFERROR(INDEX(Rosters!$C$2:$C$155,MATCH(B286,Rosters!$B$2:$B$155,0)),"NA")</f>
        <v>NA</v>
      </c>
      <c r="V286" t="str">
        <f t="shared" si="12"/>
        <v>NA14</v>
      </c>
      <c r="W286">
        <f>COUNTIFS(A$1:A286,A286)</f>
        <v>15</v>
      </c>
      <c r="X286" t="str">
        <f t="shared" si="13"/>
        <v>Cardinals D/ST14</v>
      </c>
      <c r="Y286">
        <f>COUNTIF(V$1:V286,V286)</f>
        <v>8</v>
      </c>
      <c r="Z286" t="str">
        <f t="shared" si="14"/>
        <v>NA14-8</v>
      </c>
    </row>
    <row r="287" spans="1:26" x14ac:dyDescent="0.25">
      <c r="A287">
        <v>6</v>
      </c>
      <c r="B287" t="s">
        <v>432</v>
      </c>
      <c r="C287" t="s">
        <v>5580</v>
      </c>
      <c r="D287">
        <v>22.97</v>
      </c>
      <c r="E287">
        <v>2.4</v>
      </c>
      <c r="F287">
        <v>0.68</v>
      </c>
      <c r="G287">
        <v>0.7</v>
      </c>
      <c r="H287">
        <v>0.02</v>
      </c>
      <c r="I287">
        <v>0.1</v>
      </c>
      <c r="J287" t="s">
        <v>46</v>
      </c>
      <c r="K287">
        <v>12.28</v>
      </c>
      <c r="L287">
        <v>0.57999999999999996</v>
      </c>
      <c r="M287">
        <v>5.85</v>
      </c>
      <c r="N287">
        <v>34.222499999999997</v>
      </c>
      <c r="O287">
        <v>5</v>
      </c>
      <c r="P287">
        <v>0</v>
      </c>
      <c r="Q287">
        <v>349.44400000000002</v>
      </c>
      <c r="R287">
        <v>4</v>
      </c>
      <c r="S287">
        <v>0</v>
      </c>
      <c r="T287">
        <v>5.8</v>
      </c>
      <c r="U287" t="str">
        <f>IFERROR(INDEX(Rosters!$C$2:$C$155,MATCH(B287,Rosters!$B$2:$B$155,0)),"NA")</f>
        <v>NA</v>
      </c>
      <c r="V287" t="str">
        <f t="shared" si="12"/>
        <v>NA6</v>
      </c>
      <c r="W287">
        <f>COUNTIFS(A$1:A287,A287)</f>
        <v>17</v>
      </c>
      <c r="X287" t="str">
        <f t="shared" si="13"/>
        <v>Colts D/ST6</v>
      </c>
      <c r="Y287">
        <f>COUNTIF(V$1:V287,V287)</f>
        <v>9</v>
      </c>
      <c r="Z287" t="str">
        <f t="shared" si="14"/>
        <v>NA6-9</v>
      </c>
    </row>
    <row r="288" spans="1:26" x14ac:dyDescent="0.25">
      <c r="A288">
        <v>6</v>
      </c>
      <c r="B288" t="s">
        <v>422</v>
      </c>
      <c r="C288" t="s">
        <v>4502</v>
      </c>
      <c r="D288">
        <v>24.51</v>
      </c>
      <c r="E288">
        <v>2.56</v>
      </c>
      <c r="F288">
        <v>0.9</v>
      </c>
      <c r="G288">
        <v>0.56000000000000005</v>
      </c>
      <c r="H288">
        <v>0.06</v>
      </c>
      <c r="I288">
        <v>0.2</v>
      </c>
      <c r="J288" t="s">
        <v>58</v>
      </c>
      <c r="K288">
        <v>11.7</v>
      </c>
      <c r="L288">
        <v>1.92</v>
      </c>
      <c r="M288">
        <v>4.8899999999999997</v>
      </c>
      <c r="N288">
        <v>23.912099999999999</v>
      </c>
      <c r="O288">
        <v>5</v>
      </c>
      <c r="P288">
        <v>0</v>
      </c>
      <c r="Q288">
        <v>357.452</v>
      </c>
      <c r="R288">
        <v>5</v>
      </c>
      <c r="S288">
        <v>-1</v>
      </c>
      <c r="T288">
        <v>5.8</v>
      </c>
      <c r="U288" t="str">
        <f>IFERROR(INDEX(Rosters!$C$2:$C$155,MATCH(B288,Rosters!$B$2:$B$155,0)),"NA")</f>
        <v>NA</v>
      </c>
      <c r="V288" t="str">
        <f t="shared" si="12"/>
        <v>NA6</v>
      </c>
      <c r="W288">
        <f>COUNTIFS(A$1:A288,A288)</f>
        <v>18</v>
      </c>
      <c r="X288" t="str">
        <f t="shared" si="13"/>
        <v>Dolphins D/ST6</v>
      </c>
      <c r="Y288">
        <f>COUNTIF(V$1:V288,V288)</f>
        <v>10</v>
      </c>
      <c r="Z288" t="str">
        <f t="shared" si="14"/>
        <v>NA6-10</v>
      </c>
    </row>
    <row r="289" spans="1:26" x14ac:dyDescent="0.25">
      <c r="A289">
        <v>4</v>
      </c>
      <c r="B289" t="s">
        <v>432</v>
      </c>
      <c r="C289" t="s">
        <v>5019</v>
      </c>
      <c r="D289">
        <v>24.63</v>
      </c>
      <c r="E289">
        <v>2.79</v>
      </c>
      <c r="F289">
        <v>0.68</v>
      </c>
      <c r="G289">
        <v>0.7</v>
      </c>
      <c r="H289">
        <v>0.02</v>
      </c>
      <c r="I289">
        <v>0.2</v>
      </c>
      <c r="J289" t="s">
        <v>56</v>
      </c>
      <c r="K289">
        <v>13.45</v>
      </c>
      <c r="L289">
        <v>0.75</v>
      </c>
      <c r="M289">
        <v>6.35</v>
      </c>
      <c r="N289">
        <v>40.322499999999998</v>
      </c>
      <c r="O289">
        <v>5</v>
      </c>
      <c r="P289">
        <v>0</v>
      </c>
      <c r="Q289">
        <v>358.07600000000002</v>
      </c>
      <c r="R289">
        <v>5</v>
      </c>
      <c r="S289">
        <v>-1</v>
      </c>
      <c r="T289">
        <v>5.79</v>
      </c>
      <c r="U289" t="str">
        <f>IFERROR(INDEX(Rosters!$C$2:$C$155,MATCH(B289,Rosters!$B$2:$B$155,0)),"NA")</f>
        <v>NA</v>
      </c>
      <c r="V289" t="str">
        <f t="shared" si="12"/>
        <v>NA4</v>
      </c>
      <c r="W289">
        <f>COUNTIFS(A$1:A289,A289)</f>
        <v>22</v>
      </c>
      <c r="X289" t="str">
        <f t="shared" si="13"/>
        <v>Colts D/ST4</v>
      </c>
      <c r="Y289">
        <f>COUNTIF(V$1:V289,V289)</f>
        <v>14</v>
      </c>
      <c r="Z289" t="str">
        <f t="shared" si="14"/>
        <v>NA4-14</v>
      </c>
    </row>
    <row r="290" spans="1:26" x14ac:dyDescent="0.25">
      <c r="A290">
        <v>6</v>
      </c>
      <c r="B290" t="s">
        <v>408</v>
      </c>
      <c r="C290" t="s">
        <v>5581</v>
      </c>
      <c r="D290">
        <v>24.13</v>
      </c>
      <c r="E290">
        <v>2.2200000000000002</v>
      </c>
      <c r="F290">
        <v>0.98</v>
      </c>
      <c r="G290">
        <v>0.36</v>
      </c>
      <c r="H290">
        <v>0.04</v>
      </c>
      <c r="I290">
        <v>0.3</v>
      </c>
      <c r="J290" t="s">
        <v>36</v>
      </c>
      <c r="K290">
        <v>12.06</v>
      </c>
      <c r="L290">
        <v>1.78</v>
      </c>
      <c r="M290">
        <v>5.14</v>
      </c>
      <c r="N290">
        <v>26.419599999999999</v>
      </c>
      <c r="O290">
        <v>5</v>
      </c>
      <c r="P290">
        <v>0</v>
      </c>
      <c r="Q290">
        <v>355.476</v>
      </c>
      <c r="R290">
        <v>5</v>
      </c>
      <c r="S290">
        <v>-1</v>
      </c>
      <c r="T290">
        <v>5.78</v>
      </c>
      <c r="U290" t="str">
        <f>IFERROR(INDEX(Rosters!$C$2:$C$155,MATCH(B290,Rosters!$B$2:$B$155,0)),"NA")</f>
        <v>NA</v>
      </c>
      <c r="V290" t="str">
        <f t="shared" si="12"/>
        <v>NA6</v>
      </c>
      <c r="W290">
        <f>COUNTIFS(A$1:A290,A290)</f>
        <v>19</v>
      </c>
      <c r="X290" t="str">
        <f t="shared" si="13"/>
        <v>Giants D/ST6</v>
      </c>
      <c r="Y290">
        <f>COUNTIF(V$1:V290,V290)</f>
        <v>11</v>
      </c>
      <c r="Z290" t="str">
        <f t="shared" si="14"/>
        <v>NA6-11</v>
      </c>
    </row>
    <row r="291" spans="1:26" x14ac:dyDescent="0.25">
      <c r="A291">
        <v>12</v>
      </c>
      <c r="B291" t="s">
        <v>408</v>
      </c>
      <c r="C291" t="s">
        <v>5581</v>
      </c>
      <c r="D291">
        <v>24.13</v>
      </c>
      <c r="E291">
        <v>2.2200000000000002</v>
      </c>
      <c r="F291">
        <v>0.98</v>
      </c>
      <c r="G291">
        <v>0.36</v>
      </c>
      <c r="H291">
        <v>0.04</v>
      </c>
      <c r="I291">
        <v>0.3</v>
      </c>
      <c r="J291" t="s">
        <v>36</v>
      </c>
      <c r="K291">
        <v>12.06</v>
      </c>
      <c r="L291">
        <v>1.78</v>
      </c>
      <c r="M291">
        <v>5.14</v>
      </c>
      <c r="N291">
        <v>26.419599999999999</v>
      </c>
      <c r="O291">
        <v>5</v>
      </c>
      <c r="P291">
        <v>0</v>
      </c>
      <c r="Q291">
        <v>355.476</v>
      </c>
      <c r="R291">
        <v>5</v>
      </c>
      <c r="S291">
        <v>-1</v>
      </c>
      <c r="T291">
        <v>5.78</v>
      </c>
      <c r="U291" t="str">
        <f>IFERROR(INDEX(Rosters!$C$2:$C$155,MATCH(B291,Rosters!$B$2:$B$155,0)),"NA")</f>
        <v>NA</v>
      </c>
      <c r="V291" t="str">
        <f t="shared" si="12"/>
        <v>NA12</v>
      </c>
      <c r="W291">
        <f>COUNTIFS(A$1:A291,A291)</f>
        <v>16</v>
      </c>
      <c r="X291" t="str">
        <f t="shared" si="13"/>
        <v>Giants D/ST12</v>
      </c>
      <c r="Y291">
        <f>COUNTIF(V$1:V291,V291)</f>
        <v>9</v>
      </c>
      <c r="Z291" t="str">
        <f t="shared" si="14"/>
        <v>NA12-9</v>
      </c>
    </row>
    <row r="292" spans="1:26" x14ac:dyDescent="0.25">
      <c r="A292">
        <v>4</v>
      </c>
      <c r="B292" t="s">
        <v>430</v>
      </c>
      <c r="C292" t="s">
        <v>5020</v>
      </c>
      <c r="D292">
        <v>25.26</v>
      </c>
      <c r="E292">
        <v>2.5299999999999998</v>
      </c>
      <c r="F292">
        <v>1.04</v>
      </c>
      <c r="G292">
        <v>0.56000000000000005</v>
      </c>
      <c r="H292">
        <v>0.03</v>
      </c>
      <c r="I292">
        <v>0.16</v>
      </c>
      <c r="J292" t="s">
        <v>60</v>
      </c>
      <c r="K292">
        <v>11.77</v>
      </c>
      <c r="L292">
        <v>1.23</v>
      </c>
      <c r="M292">
        <v>5.27</v>
      </c>
      <c r="N292">
        <v>27.7729</v>
      </c>
      <c r="O292">
        <v>5</v>
      </c>
      <c r="P292">
        <v>0</v>
      </c>
      <c r="Q292">
        <v>361.35199999999998</v>
      </c>
      <c r="R292">
        <v>5</v>
      </c>
      <c r="S292">
        <v>-1</v>
      </c>
      <c r="T292">
        <v>5.75</v>
      </c>
      <c r="U292" t="str">
        <f>IFERROR(INDEX(Rosters!$C$2:$C$155,MATCH(B292,Rosters!$B$2:$B$155,0)),"NA")</f>
        <v>NA</v>
      </c>
      <c r="V292" t="str">
        <f t="shared" si="12"/>
        <v>NA4</v>
      </c>
      <c r="W292">
        <f>COUNTIFS(A$1:A292,A292)</f>
        <v>23</v>
      </c>
      <c r="X292" t="str">
        <f t="shared" si="13"/>
        <v>Jets D/ST4</v>
      </c>
      <c r="Y292">
        <f>COUNTIF(V$1:V292,V292)</f>
        <v>15</v>
      </c>
      <c r="Z292" t="str">
        <f t="shared" si="14"/>
        <v>NA4-15</v>
      </c>
    </row>
    <row r="293" spans="1:26" x14ac:dyDescent="0.25">
      <c r="A293">
        <v>5</v>
      </c>
      <c r="B293" t="s">
        <v>425</v>
      </c>
      <c r="C293" t="s">
        <v>9116</v>
      </c>
      <c r="D293">
        <v>27.08</v>
      </c>
      <c r="E293">
        <v>2.17</v>
      </c>
      <c r="F293">
        <v>1.25</v>
      </c>
      <c r="G293">
        <v>0.76</v>
      </c>
      <c r="H293">
        <v>0</v>
      </c>
      <c r="I293">
        <v>0.26</v>
      </c>
      <c r="J293" t="s">
        <v>42</v>
      </c>
      <c r="K293">
        <v>13.58</v>
      </c>
      <c r="L293">
        <v>0.88</v>
      </c>
      <c r="M293">
        <v>6.35</v>
      </c>
      <c r="N293">
        <v>40.322499999999998</v>
      </c>
      <c r="O293">
        <v>6</v>
      </c>
      <c r="P293">
        <v>-1</v>
      </c>
      <c r="Q293">
        <v>370.81599999999997</v>
      </c>
      <c r="R293">
        <v>5</v>
      </c>
      <c r="S293">
        <v>-1</v>
      </c>
      <c r="T293">
        <v>5.75</v>
      </c>
      <c r="U293" t="str">
        <f>IFERROR(INDEX(Rosters!$C$2:$C$155,MATCH(B293,Rosters!$B$2:$B$155,0)),"NA")</f>
        <v>NA</v>
      </c>
      <c r="V293" t="str">
        <f t="shared" si="12"/>
        <v>NA5</v>
      </c>
      <c r="W293">
        <f>COUNTIFS(A$1:A293,A293)</f>
        <v>19</v>
      </c>
      <c r="X293" t="str">
        <f t="shared" si="13"/>
        <v>Packers D/ST5</v>
      </c>
      <c r="Y293">
        <f>COUNTIF(V$1:V293,V293)</f>
        <v>10</v>
      </c>
      <c r="Z293" t="str">
        <f t="shared" si="14"/>
        <v>NA5-10</v>
      </c>
    </row>
    <row r="294" spans="1:26" x14ac:dyDescent="0.25">
      <c r="A294">
        <v>15</v>
      </c>
      <c r="B294" t="s">
        <v>408</v>
      </c>
      <c r="C294">
        <f>-0.05-13.23</f>
        <v>-13.280000000000001</v>
      </c>
      <c r="D294">
        <v>24.51</v>
      </c>
      <c r="E294">
        <v>1.98</v>
      </c>
      <c r="F294">
        <v>0.98</v>
      </c>
      <c r="G294">
        <v>0.76</v>
      </c>
      <c r="H294">
        <v>0.04</v>
      </c>
      <c r="I294">
        <v>0.2</v>
      </c>
      <c r="J294" t="s">
        <v>22</v>
      </c>
      <c r="K294">
        <v>13.23</v>
      </c>
      <c r="L294">
        <v>-0.05</v>
      </c>
      <c r="M294">
        <v>6.64</v>
      </c>
      <c r="N294">
        <v>44.089599999999997</v>
      </c>
      <c r="O294">
        <v>5</v>
      </c>
      <c r="P294">
        <v>0</v>
      </c>
      <c r="Q294">
        <v>357.452</v>
      </c>
      <c r="R294">
        <v>5</v>
      </c>
      <c r="S294">
        <v>-1</v>
      </c>
      <c r="T294">
        <v>5.74</v>
      </c>
      <c r="U294" t="str">
        <f>IFERROR(INDEX(Rosters!$C$2:$C$155,MATCH(B294,Rosters!$B$2:$B$155,0)),"NA")</f>
        <v>NA</v>
      </c>
      <c r="V294" t="str">
        <f t="shared" si="12"/>
        <v>NA15</v>
      </c>
      <c r="W294">
        <f>COUNTIFS(A$1:A294,A294)</f>
        <v>16</v>
      </c>
      <c r="X294" t="str">
        <f t="shared" si="13"/>
        <v>Giants D/ST15</v>
      </c>
      <c r="Y294">
        <f>COUNTIF(V$1:V294,V294)</f>
        <v>8</v>
      </c>
      <c r="Z294" t="str">
        <f t="shared" si="14"/>
        <v>NA15-8</v>
      </c>
    </row>
    <row r="295" spans="1:26" x14ac:dyDescent="0.25">
      <c r="A295">
        <v>15</v>
      </c>
      <c r="B295" t="s">
        <v>430</v>
      </c>
      <c r="C295" t="s">
        <v>5582</v>
      </c>
      <c r="D295">
        <v>21.86</v>
      </c>
      <c r="E295">
        <v>1.7</v>
      </c>
      <c r="F295">
        <v>1.1000000000000001</v>
      </c>
      <c r="G295">
        <v>0.64</v>
      </c>
      <c r="H295">
        <v>0.04</v>
      </c>
      <c r="I295">
        <v>0.08</v>
      </c>
      <c r="J295" t="s">
        <v>56</v>
      </c>
      <c r="K295">
        <v>11.73</v>
      </c>
      <c r="L295">
        <v>0.99</v>
      </c>
      <c r="M295">
        <v>5.37</v>
      </c>
      <c r="N295">
        <v>28.8369</v>
      </c>
      <c r="O295">
        <v>5</v>
      </c>
      <c r="P295">
        <v>0</v>
      </c>
      <c r="Q295">
        <v>343.67200000000003</v>
      </c>
      <c r="R295">
        <v>4</v>
      </c>
      <c r="S295">
        <v>0</v>
      </c>
      <c r="T295">
        <v>5.74</v>
      </c>
      <c r="U295" t="str">
        <f>IFERROR(INDEX(Rosters!$C$2:$C$155,MATCH(B295,Rosters!$B$2:$B$155,0)),"NA")</f>
        <v>NA</v>
      </c>
      <c r="V295" t="str">
        <f t="shared" si="12"/>
        <v>NA15</v>
      </c>
      <c r="W295">
        <f>COUNTIFS(A$1:A295,A295)</f>
        <v>17</v>
      </c>
      <c r="X295" t="str">
        <f t="shared" si="13"/>
        <v>Jets D/ST15</v>
      </c>
      <c r="Y295">
        <f>COUNTIF(V$1:V295,V295)</f>
        <v>9</v>
      </c>
      <c r="Z295" t="str">
        <f t="shared" si="14"/>
        <v>NA15-9</v>
      </c>
    </row>
    <row r="296" spans="1:26" x14ac:dyDescent="0.25">
      <c r="A296">
        <v>5</v>
      </c>
      <c r="B296" t="s">
        <v>424</v>
      </c>
      <c r="C296" t="s">
        <v>9073</v>
      </c>
      <c r="D296">
        <v>27.16</v>
      </c>
      <c r="E296">
        <v>2.64</v>
      </c>
      <c r="F296">
        <v>0.97</v>
      </c>
      <c r="G296">
        <v>0.92</v>
      </c>
      <c r="H296">
        <v>0.08</v>
      </c>
      <c r="I296">
        <v>0.19</v>
      </c>
      <c r="J296" t="s">
        <v>73</v>
      </c>
      <c r="K296">
        <v>13.2</v>
      </c>
      <c r="L296">
        <v>0.76</v>
      </c>
      <c r="M296">
        <v>6.22</v>
      </c>
      <c r="N296">
        <v>38.688400000000001</v>
      </c>
      <c r="O296">
        <v>6</v>
      </c>
      <c r="P296">
        <v>-1</v>
      </c>
      <c r="Q296">
        <v>371.23200000000003</v>
      </c>
      <c r="R296">
        <v>5</v>
      </c>
      <c r="S296">
        <v>-1</v>
      </c>
      <c r="T296">
        <v>5.72</v>
      </c>
      <c r="U296" t="str">
        <f>IFERROR(INDEX(Rosters!$C$2:$C$155,MATCH(B296,Rosters!$B$2:$B$155,0)),"NA")</f>
        <v>NA</v>
      </c>
      <c r="V296" t="str">
        <f t="shared" si="12"/>
        <v>NA5</v>
      </c>
      <c r="W296">
        <f>COUNTIFS(A$1:A296,A296)</f>
        <v>20</v>
      </c>
      <c r="X296" t="str">
        <f t="shared" si="13"/>
        <v>Steelers D/ST5</v>
      </c>
      <c r="Y296">
        <f>COUNTIF(V$1:V296,V296)</f>
        <v>11</v>
      </c>
      <c r="Z296" t="str">
        <f t="shared" si="14"/>
        <v>NA5-11</v>
      </c>
    </row>
    <row r="297" spans="1:26" x14ac:dyDescent="0.25">
      <c r="A297">
        <v>3</v>
      </c>
      <c r="B297" t="s">
        <v>424</v>
      </c>
      <c r="C297" t="s">
        <v>4394</v>
      </c>
      <c r="D297">
        <v>23.72</v>
      </c>
      <c r="E297">
        <v>2.17</v>
      </c>
      <c r="F297">
        <v>0.81</v>
      </c>
      <c r="G297">
        <v>0.75</v>
      </c>
      <c r="H297">
        <v>0.04</v>
      </c>
      <c r="I297">
        <v>0.22</v>
      </c>
      <c r="J297" t="s">
        <v>74</v>
      </c>
      <c r="K297">
        <v>12.19</v>
      </c>
      <c r="L297">
        <v>1.21</v>
      </c>
      <c r="M297">
        <v>5.49</v>
      </c>
      <c r="N297">
        <v>30.1401</v>
      </c>
      <c r="O297">
        <v>5</v>
      </c>
      <c r="P297">
        <v>0</v>
      </c>
      <c r="Q297">
        <v>353.34399999999999</v>
      </c>
      <c r="R297">
        <v>5</v>
      </c>
      <c r="S297">
        <v>-1</v>
      </c>
      <c r="T297">
        <v>5.69</v>
      </c>
      <c r="U297" t="str">
        <f>IFERROR(INDEX(Rosters!$C$2:$C$155,MATCH(B297,Rosters!$B$2:$B$155,0)),"NA")</f>
        <v>NA</v>
      </c>
      <c r="V297" t="str">
        <f t="shared" si="12"/>
        <v>NA3</v>
      </c>
      <c r="W297">
        <f>COUNTIFS(A$1:A297,A297)</f>
        <v>22</v>
      </c>
      <c r="X297" t="str">
        <f t="shared" si="13"/>
        <v>Steelers D/ST3</v>
      </c>
      <c r="Y297">
        <f>COUNTIF(V$1:V297,V297)</f>
        <v>12</v>
      </c>
      <c r="Z297" t="str">
        <f t="shared" si="14"/>
        <v>NA3-12</v>
      </c>
    </row>
    <row r="298" spans="1:26" x14ac:dyDescent="0.25">
      <c r="A298">
        <v>3</v>
      </c>
      <c r="B298" t="s">
        <v>417</v>
      </c>
      <c r="C298" t="s">
        <v>4193</v>
      </c>
      <c r="D298">
        <v>23.24</v>
      </c>
      <c r="E298">
        <v>2.41</v>
      </c>
      <c r="F298">
        <v>0.94</v>
      </c>
      <c r="G298">
        <v>0.62</v>
      </c>
      <c r="H298">
        <v>0</v>
      </c>
      <c r="I298">
        <v>0.19</v>
      </c>
      <c r="J298" t="s">
        <v>37</v>
      </c>
      <c r="K298">
        <v>12.68</v>
      </c>
      <c r="L298">
        <v>1.44</v>
      </c>
      <c r="M298">
        <v>5.62</v>
      </c>
      <c r="N298">
        <v>31.584399999999999</v>
      </c>
      <c r="O298">
        <v>5</v>
      </c>
      <c r="P298">
        <v>0</v>
      </c>
      <c r="Q298">
        <v>350.84800000000001</v>
      </c>
      <c r="R298">
        <v>5</v>
      </c>
      <c r="S298">
        <v>-1</v>
      </c>
      <c r="T298">
        <v>5.67</v>
      </c>
      <c r="U298" t="str">
        <f>IFERROR(INDEX(Rosters!$C$2:$C$155,MATCH(B298,Rosters!$B$2:$B$155,0)),"NA")</f>
        <v>NA</v>
      </c>
      <c r="V298" t="str">
        <f t="shared" si="12"/>
        <v>NA3</v>
      </c>
      <c r="W298">
        <f>COUNTIFS(A$1:A298,A298)</f>
        <v>23</v>
      </c>
      <c r="X298" t="str">
        <f t="shared" si="13"/>
        <v>Bengals D/ST3</v>
      </c>
      <c r="Y298">
        <f>COUNTIF(V$1:V298,V298)</f>
        <v>13</v>
      </c>
      <c r="Z298" t="str">
        <f t="shared" si="14"/>
        <v>NA3-13</v>
      </c>
    </row>
    <row r="299" spans="1:26" x14ac:dyDescent="0.25">
      <c r="A299">
        <v>11</v>
      </c>
      <c r="B299" t="s">
        <v>428</v>
      </c>
      <c r="C299" t="s">
        <v>4503</v>
      </c>
      <c r="D299">
        <v>24.82</v>
      </c>
      <c r="E299">
        <v>2.1</v>
      </c>
      <c r="F299">
        <v>1.04</v>
      </c>
      <c r="G299">
        <v>0.56000000000000005</v>
      </c>
      <c r="H299">
        <v>0.02</v>
      </c>
      <c r="I299">
        <v>0.22</v>
      </c>
      <c r="J299" t="s">
        <v>32</v>
      </c>
      <c r="K299">
        <v>11.95</v>
      </c>
      <c r="L299">
        <v>1.35</v>
      </c>
      <c r="M299">
        <v>5.3</v>
      </c>
      <c r="N299">
        <v>28.09</v>
      </c>
      <c r="O299">
        <v>5</v>
      </c>
      <c r="P299">
        <v>0</v>
      </c>
      <c r="Q299">
        <v>359.06400000000002</v>
      </c>
      <c r="R299">
        <v>5</v>
      </c>
      <c r="S299">
        <v>-1</v>
      </c>
      <c r="T299">
        <v>5.66</v>
      </c>
      <c r="U299" t="str">
        <f>IFERROR(INDEX(Rosters!$C$2:$C$155,MATCH(B299,Rosters!$B$2:$B$155,0)),"NA")</f>
        <v>NA</v>
      </c>
      <c r="V299" t="str">
        <f t="shared" si="12"/>
        <v>NA11</v>
      </c>
      <c r="W299">
        <f>COUNTIFS(A$1:A299,A299)</f>
        <v>14</v>
      </c>
      <c r="X299" t="str">
        <f t="shared" si="13"/>
        <v>Buccaneers D/ST11</v>
      </c>
      <c r="Y299">
        <f>COUNTIF(V$1:V299,V299)</f>
        <v>10</v>
      </c>
      <c r="Z299" t="str">
        <f t="shared" si="14"/>
        <v>NA11-10</v>
      </c>
    </row>
    <row r="300" spans="1:26" x14ac:dyDescent="0.25">
      <c r="A300">
        <v>11</v>
      </c>
      <c r="B300" t="s">
        <v>432</v>
      </c>
      <c r="C300" t="s">
        <v>5583</v>
      </c>
      <c r="D300">
        <v>24.81</v>
      </c>
      <c r="E300">
        <v>2.5</v>
      </c>
      <c r="F300">
        <v>0.76</v>
      </c>
      <c r="G300">
        <v>0.74</v>
      </c>
      <c r="H300">
        <v>0.04</v>
      </c>
      <c r="I300">
        <v>0.18</v>
      </c>
      <c r="J300" t="s">
        <v>22</v>
      </c>
      <c r="K300">
        <v>12.29</v>
      </c>
      <c r="L300">
        <v>1.27</v>
      </c>
      <c r="M300">
        <v>5.51</v>
      </c>
      <c r="N300">
        <v>30.360099999999999</v>
      </c>
      <c r="O300">
        <v>5</v>
      </c>
      <c r="P300">
        <v>0</v>
      </c>
      <c r="Q300">
        <v>359.012</v>
      </c>
      <c r="R300">
        <v>5</v>
      </c>
      <c r="S300">
        <v>-1</v>
      </c>
      <c r="T300">
        <v>5.66</v>
      </c>
      <c r="U300" t="str">
        <f>IFERROR(INDEX(Rosters!$C$2:$C$155,MATCH(B300,Rosters!$B$2:$B$155,0)),"NA")</f>
        <v>NA</v>
      </c>
      <c r="V300" t="str">
        <f t="shared" si="12"/>
        <v>NA11</v>
      </c>
      <c r="W300">
        <f>COUNTIFS(A$1:A300,A300)</f>
        <v>15</v>
      </c>
      <c r="X300" t="str">
        <f t="shared" si="13"/>
        <v>Colts D/ST11</v>
      </c>
      <c r="Y300">
        <f>COUNTIF(V$1:V300,V300)</f>
        <v>11</v>
      </c>
      <c r="Z300" t="str">
        <f t="shared" si="14"/>
        <v>NA11-11</v>
      </c>
    </row>
    <row r="301" spans="1:26" x14ac:dyDescent="0.25">
      <c r="A301">
        <v>17</v>
      </c>
      <c r="B301" t="s">
        <v>432</v>
      </c>
      <c r="C301" t="s">
        <v>5583</v>
      </c>
      <c r="D301">
        <v>24.81</v>
      </c>
      <c r="E301">
        <v>2.5</v>
      </c>
      <c r="F301">
        <v>0.76</v>
      </c>
      <c r="G301">
        <v>0.74</v>
      </c>
      <c r="H301">
        <v>0.04</v>
      </c>
      <c r="I301">
        <v>0.18</v>
      </c>
      <c r="J301" t="s">
        <v>22</v>
      </c>
      <c r="K301">
        <v>12.29</v>
      </c>
      <c r="L301">
        <v>1.27</v>
      </c>
      <c r="M301">
        <v>5.51</v>
      </c>
      <c r="N301">
        <v>30.360099999999999</v>
      </c>
      <c r="O301">
        <v>5</v>
      </c>
      <c r="P301">
        <v>0</v>
      </c>
      <c r="Q301">
        <v>359.012</v>
      </c>
      <c r="R301">
        <v>5</v>
      </c>
      <c r="S301">
        <v>-1</v>
      </c>
      <c r="T301">
        <v>5.66</v>
      </c>
      <c r="U301" t="str">
        <f>IFERROR(INDEX(Rosters!$C$2:$C$155,MATCH(B301,Rosters!$B$2:$B$155,0)),"NA")</f>
        <v>NA</v>
      </c>
      <c r="V301" t="str">
        <f t="shared" si="12"/>
        <v>NA17</v>
      </c>
      <c r="W301">
        <f>COUNTIFS(A$1:A301,A301)</f>
        <v>18</v>
      </c>
      <c r="X301" t="str">
        <f t="shared" si="13"/>
        <v>Colts D/ST17</v>
      </c>
      <c r="Y301">
        <f>COUNTIF(V$1:V301,V301)</f>
        <v>12</v>
      </c>
      <c r="Z301" t="str">
        <f t="shared" si="14"/>
        <v>NA17-12</v>
      </c>
    </row>
    <row r="302" spans="1:26" x14ac:dyDescent="0.25">
      <c r="A302">
        <v>5</v>
      </c>
      <c r="B302" t="s">
        <v>435</v>
      </c>
      <c r="C302" t="s">
        <v>9117</v>
      </c>
      <c r="D302">
        <v>27.23</v>
      </c>
      <c r="E302">
        <v>2.19</v>
      </c>
      <c r="F302">
        <v>1.27</v>
      </c>
      <c r="G302">
        <v>0.7</v>
      </c>
      <c r="H302">
        <v>7.0000000000000007E-2</v>
      </c>
      <c r="I302">
        <v>0.23</v>
      </c>
      <c r="J302" t="s">
        <v>30</v>
      </c>
      <c r="K302">
        <v>13.65</v>
      </c>
      <c r="L302">
        <v>0.31</v>
      </c>
      <c r="M302">
        <v>6.67</v>
      </c>
      <c r="N302">
        <v>44.488900000000001</v>
      </c>
      <c r="O302">
        <v>6</v>
      </c>
      <c r="P302">
        <v>-1</v>
      </c>
      <c r="Q302">
        <v>371.596</v>
      </c>
      <c r="R302">
        <v>5</v>
      </c>
      <c r="S302">
        <v>-1</v>
      </c>
      <c r="T302">
        <v>5.65</v>
      </c>
      <c r="U302" t="str">
        <f>IFERROR(INDEX(Rosters!$C$2:$C$155,MATCH(B302,Rosters!$B$2:$B$155,0)),"NA")</f>
        <v>NA</v>
      </c>
      <c r="V302" t="str">
        <f t="shared" si="12"/>
        <v>NA5</v>
      </c>
      <c r="W302">
        <f>COUNTIFS(A$1:A302,A302)</f>
        <v>21</v>
      </c>
      <c r="X302" t="str">
        <f t="shared" si="13"/>
        <v>Lions D/ST5</v>
      </c>
      <c r="Y302">
        <f>COUNTIF(V$1:V302,V302)</f>
        <v>12</v>
      </c>
      <c r="Z302" t="str">
        <f t="shared" si="14"/>
        <v>NA5-12</v>
      </c>
    </row>
    <row r="303" spans="1:26" x14ac:dyDescent="0.25">
      <c r="A303">
        <v>4</v>
      </c>
      <c r="B303" t="s">
        <v>428</v>
      </c>
      <c r="C303" t="s">
        <v>5021</v>
      </c>
      <c r="D303">
        <v>23.2</v>
      </c>
      <c r="E303">
        <v>2.27</v>
      </c>
      <c r="F303">
        <v>1.03</v>
      </c>
      <c r="G303">
        <v>0.59</v>
      </c>
      <c r="H303">
        <v>0.02</v>
      </c>
      <c r="I303">
        <v>0.18</v>
      </c>
      <c r="J303" t="s">
        <v>58</v>
      </c>
      <c r="K303">
        <v>12.76</v>
      </c>
      <c r="L303">
        <v>1.06</v>
      </c>
      <c r="M303">
        <v>5.85</v>
      </c>
      <c r="N303">
        <v>34.222499999999997</v>
      </c>
      <c r="O303">
        <v>5</v>
      </c>
      <c r="P303">
        <v>0</v>
      </c>
      <c r="Q303">
        <v>350.64</v>
      </c>
      <c r="R303">
        <v>5</v>
      </c>
      <c r="S303">
        <v>-1</v>
      </c>
      <c r="T303">
        <v>5.63</v>
      </c>
      <c r="U303" t="str">
        <f>IFERROR(INDEX(Rosters!$C$2:$C$155,MATCH(B303,Rosters!$B$2:$B$155,0)),"NA")</f>
        <v>NA</v>
      </c>
      <c r="V303" t="str">
        <f t="shared" si="12"/>
        <v>NA4</v>
      </c>
      <c r="W303">
        <f>COUNTIFS(A$1:A303,A303)</f>
        <v>24</v>
      </c>
      <c r="X303" t="str">
        <f t="shared" si="13"/>
        <v>Buccaneers D/ST4</v>
      </c>
      <c r="Y303">
        <f>COUNTIF(V$1:V303,V303)</f>
        <v>16</v>
      </c>
      <c r="Z303" t="str">
        <f t="shared" si="14"/>
        <v>NA4-16</v>
      </c>
    </row>
    <row r="304" spans="1:26" x14ac:dyDescent="0.25">
      <c r="A304">
        <v>14</v>
      </c>
      <c r="B304" t="s">
        <v>415</v>
      </c>
      <c r="C304" t="s">
        <v>5584</v>
      </c>
      <c r="D304">
        <v>23.68</v>
      </c>
      <c r="E304">
        <v>2.1800000000000002</v>
      </c>
      <c r="F304">
        <v>1.08</v>
      </c>
      <c r="G304">
        <v>0.7</v>
      </c>
      <c r="H304">
        <v>0.02</v>
      </c>
      <c r="I304">
        <v>0.14000000000000001</v>
      </c>
      <c r="J304" t="s">
        <v>54</v>
      </c>
      <c r="K304">
        <v>11.93</v>
      </c>
      <c r="L304">
        <v>2.0299999999999998</v>
      </c>
      <c r="M304">
        <v>4.95</v>
      </c>
      <c r="N304">
        <v>24.502500000000001</v>
      </c>
      <c r="O304">
        <v>5</v>
      </c>
      <c r="P304">
        <v>0</v>
      </c>
      <c r="Q304">
        <v>353.13600000000002</v>
      </c>
      <c r="R304">
        <v>5</v>
      </c>
      <c r="S304">
        <v>-1</v>
      </c>
      <c r="T304">
        <v>5.62</v>
      </c>
      <c r="U304" t="str">
        <f>IFERROR(INDEX(Rosters!$C$2:$C$155,MATCH(B304,Rosters!$B$2:$B$155,0)),"NA")</f>
        <v>NA</v>
      </c>
      <c r="V304" t="str">
        <f t="shared" si="12"/>
        <v>NA14</v>
      </c>
      <c r="W304">
        <f>COUNTIFS(A$1:A304,A304)</f>
        <v>16</v>
      </c>
      <c r="X304" t="str">
        <f t="shared" si="13"/>
        <v>Patriots D/ST14</v>
      </c>
      <c r="Y304">
        <f>COUNTIF(V$1:V304,V304)</f>
        <v>9</v>
      </c>
      <c r="Z304" t="str">
        <f t="shared" si="14"/>
        <v>NA14-9</v>
      </c>
    </row>
    <row r="305" spans="1:26" x14ac:dyDescent="0.25">
      <c r="A305">
        <v>10</v>
      </c>
      <c r="B305" t="s">
        <v>435</v>
      </c>
      <c r="C305" t="s">
        <v>5585</v>
      </c>
      <c r="D305">
        <v>25.9</v>
      </c>
      <c r="E305">
        <v>2.14</v>
      </c>
      <c r="F305">
        <v>0.94</v>
      </c>
      <c r="G305">
        <v>0.62</v>
      </c>
      <c r="H305">
        <v>0.02</v>
      </c>
      <c r="I305">
        <v>0.22</v>
      </c>
      <c r="J305" t="s">
        <v>58</v>
      </c>
      <c r="K305">
        <v>12.43</v>
      </c>
      <c r="L305">
        <v>0.27</v>
      </c>
      <c r="M305">
        <v>6.08</v>
      </c>
      <c r="N305">
        <v>36.9664</v>
      </c>
      <c r="O305">
        <v>5</v>
      </c>
      <c r="P305">
        <v>0</v>
      </c>
      <c r="Q305">
        <v>364.68</v>
      </c>
      <c r="R305">
        <v>5</v>
      </c>
      <c r="S305">
        <v>-1</v>
      </c>
      <c r="T305">
        <v>5.62</v>
      </c>
      <c r="U305" t="str">
        <f>IFERROR(INDEX(Rosters!$C$2:$C$155,MATCH(B305,Rosters!$B$2:$B$155,0)),"NA")</f>
        <v>NA</v>
      </c>
      <c r="V305" t="str">
        <f t="shared" si="12"/>
        <v>NA10</v>
      </c>
      <c r="W305">
        <f>COUNTIFS(A$1:A305,A305)</f>
        <v>16</v>
      </c>
      <c r="X305" t="str">
        <f t="shared" si="13"/>
        <v>Lions D/ST10</v>
      </c>
      <c r="Y305">
        <f>COUNTIF(V$1:V305,V305)</f>
        <v>11</v>
      </c>
      <c r="Z305" t="str">
        <f t="shared" si="14"/>
        <v>NA10-11</v>
      </c>
    </row>
    <row r="306" spans="1:26" x14ac:dyDescent="0.25">
      <c r="A306">
        <v>12</v>
      </c>
      <c r="B306" t="s">
        <v>435</v>
      </c>
      <c r="C306" t="s">
        <v>5585</v>
      </c>
      <c r="D306">
        <v>25.9</v>
      </c>
      <c r="E306">
        <v>2.14</v>
      </c>
      <c r="F306">
        <v>0.94</v>
      </c>
      <c r="G306">
        <v>0.62</v>
      </c>
      <c r="H306">
        <v>0.02</v>
      </c>
      <c r="I306">
        <v>0.22</v>
      </c>
      <c r="J306" t="s">
        <v>58</v>
      </c>
      <c r="K306">
        <v>12.43</v>
      </c>
      <c r="L306">
        <v>0.27</v>
      </c>
      <c r="M306">
        <v>6.08</v>
      </c>
      <c r="N306">
        <v>36.9664</v>
      </c>
      <c r="O306">
        <v>5</v>
      </c>
      <c r="P306">
        <v>0</v>
      </c>
      <c r="Q306">
        <v>364.68</v>
      </c>
      <c r="R306">
        <v>5</v>
      </c>
      <c r="S306">
        <v>-1</v>
      </c>
      <c r="T306">
        <v>5.62</v>
      </c>
      <c r="U306" t="str">
        <f>IFERROR(INDEX(Rosters!$C$2:$C$155,MATCH(B306,Rosters!$B$2:$B$155,0)),"NA")</f>
        <v>NA</v>
      </c>
      <c r="V306" t="str">
        <f t="shared" si="12"/>
        <v>NA12</v>
      </c>
      <c r="W306">
        <f>COUNTIFS(A$1:A306,A306)</f>
        <v>17</v>
      </c>
      <c r="X306" t="str">
        <f t="shared" si="13"/>
        <v>Lions D/ST12</v>
      </c>
      <c r="Y306">
        <f>COUNTIF(V$1:V306,V306)</f>
        <v>10</v>
      </c>
      <c r="Z306" t="str">
        <f t="shared" si="14"/>
        <v>NA12-10</v>
      </c>
    </row>
    <row r="307" spans="1:26" x14ac:dyDescent="0.25">
      <c r="A307">
        <v>6</v>
      </c>
      <c r="B307" t="s">
        <v>436</v>
      </c>
      <c r="C307" t="s">
        <v>5586</v>
      </c>
      <c r="D307">
        <v>25.79</v>
      </c>
      <c r="E307">
        <v>2.23</v>
      </c>
      <c r="F307">
        <v>0.84</v>
      </c>
      <c r="G307">
        <v>0.6</v>
      </c>
      <c r="H307">
        <v>0.02</v>
      </c>
      <c r="I307">
        <v>0.24</v>
      </c>
      <c r="J307" t="s">
        <v>30</v>
      </c>
      <c r="K307">
        <v>12.32</v>
      </c>
      <c r="L307">
        <v>0.1</v>
      </c>
      <c r="M307">
        <v>6.11</v>
      </c>
      <c r="N307">
        <v>37.332099999999997</v>
      </c>
      <c r="O307">
        <v>5</v>
      </c>
      <c r="P307">
        <v>0</v>
      </c>
      <c r="Q307">
        <v>364.108</v>
      </c>
      <c r="R307">
        <v>5</v>
      </c>
      <c r="S307">
        <v>-1</v>
      </c>
      <c r="T307">
        <v>5.59</v>
      </c>
      <c r="U307" t="str">
        <f>IFERROR(INDEX(Rosters!$C$2:$C$155,MATCH(B307,Rosters!$B$2:$B$155,0)),"NA")</f>
        <v>NA</v>
      </c>
      <c r="V307" t="str">
        <f t="shared" si="12"/>
        <v>NA6</v>
      </c>
      <c r="W307">
        <f>COUNTIFS(A$1:A307,A307)</f>
        <v>20</v>
      </c>
      <c r="X307" t="str">
        <f t="shared" si="13"/>
        <v>49ers D/ST6</v>
      </c>
      <c r="Y307">
        <f>COUNTIF(V$1:V307,V307)</f>
        <v>12</v>
      </c>
      <c r="Z307" t="str">
        <f t="shared" si="14"/>
        <v>NA6-12</v>
      </c>
    </row>
    <row r="308" spans="1:26" x14ac:dyDescent="0.25">
      <c r="A308">
        <v>3</v>
      </c>
      <c r="B308" t="s">
        <v>431</v>
      </c>
      <c r="C308" t="s">
        <v>4194</v>
      </c>
      <c r="D308">
        <v>26.4</v>
      </c>
      <c r="E308">
        <v>2.25</v>
      </c>
      <c r="F308">
        <v>0.9</v>
      </c>
      <c r="G308">
        <v>0.78</v>
      </c>
      <c r="H308">
        <v>7.0000000000000007E-2</v>
      </c>
      <c r="I308">
        <v>0.14000000000000001</v>
      </c>
      <c r="J308" t="s">
        <v>73</v>
      </c>
      <c r="K308">
        <v>12.06</v>
      </c>
      <c r="L308">
        <v>0.82</v>
      </c>
      <c r="M308">
        <v>5.62</v>
      </c>
      <c r="N308">
        <v>31.584399999999999</v>
      </c>
      <c r="O308">
        <v>5</v>
      </c>
      <c r="P308">
        <v>0</v>
      </c>
      <c r="Q308">
        <v>367.28</v>
      </c>
      <c r="R308">
        <v>5</v>
      </c>
      <c r="S308">
        <v>-1</v>
      </c>
      <c r="T308">
        <v>5.59</v>
      </c>
      <c r="U308" t="str">
        <f>IFERROR(INDEX(Rosters!$C$2:$C$155,MATCH(B308,Rosters!$B$2:$B$155,0)),"NA")</f>
        <v>NA</v>
      </c>
      <c r="V308" t="str">
        <f t="shared" si="12"/>
        <v>NA3</v>
      </c>
      <c r="W308">
        <f>COUNTIFS(A$1:A308,A308)</f>
        <v>24</v>
      </c>
      <c r="X308" t="str">
        <f t="shared" si="13"/>
        <v>Saints D/ST3</v>
      </c>
      <c r="Y308">
        <f>COUNTIF(V$1:V308,V308)</f>
        <v>14</v>
      </c>
      <c r="Z308" t="str">
        <f t="shared" si="14"/>
        <v>NA3-14</v>
      </c>
    </row>
    <row r="309" spans="1:26" x14ac:dyDescent="0.25">
      <c r="A309">
        <v>11</v>
      </c>
      <c r="B309" t="s">
        <v>416</v>
      </c>
      <c r="C309" t="s">
        <v>5587</v>
      </c>
      <c r="D309">
        <v>25.25</v>
      </c>
      <c r="E309">
        <v>2.0499999999999998</v>
      </c>
      <c r="F309">
        <v>0.96</v>
      </c>
      <c r="G309">
        <v>0.64</v>
      </c>
      <c r="H309">
        <v>0.06</v>
      </c>
      <c r="I309">
        <v>0.2</v>
      </c>
      <c r="J309" t="s">
        <v>29</v>
      </c>
      <c r="K309">
        <v>11.55</v>
      </c>
      <c r="L309">
        <v>1.99</v>
      </c>
      <c r="M309">
        <v>4.78</v>
      </c>
      <c r="N309">
        <v>22.848400000000002</v>
      </c>
      <c r="O309">
        <v>5</v>
      </c>
      <c r="P309">
        <v>0</v>
      </c>
      <c r="Q309">
        <v>361.3</v>
      </c>
      <c r="R309">
        <v>5</v>
      </c>
      <c r="S309">
        <v>-1</v>
      </c>
      <c r="T309">
        <v>5.57</v>
      </c>
      <c r="U309" t="str">
        <f>IFERROR(INDEX(Rosters!$C$2:$C$155,MATCH(B309,Rosters!$B$2:$B$155,0)),"NA")</f>
        <v>lucas</v>
      </c>
      <c r="V309" t="str">
        <f t="shared" si="12"/>
        <v>lucas11</v>
      </c>
      <c r="W309">
        <f>COUNTIFS(A$1:A309,A309)</f>
        <v>16</v>
      </c>
      <c r="X309" t="str">
        <f t="shared" si="13"/>
        <v>Bears D/ST11</v>
      </c>
      <c r="Y309">
        <f>COUNTIF(V$1:V309,V309)</f>
        <v>2</v>
      </c>
      <c r="Z309" t="str">
        <f t="shared" si="14"/>
        <v>lucas11-2</v>
      </c>
    </row>
    <row r="310" spans="1:26" x14ac:dyDescent="0.25">
      <c r="A310">
        <v>17</v>
      </c>
      <c r="B310" t="s">
        <v>416</v>
      </c>
      <c r="C310" t="s">
        <v>5587</v>
      </c>
      <c r="D310">
        <v>25.25</v>
      </c>
      <c r="E310">
        <v>2.0499999999999998</v>
      </c>
      <c r="F310">
        <v>0.96</v>
      </c>
      <c r="G310">
        <v>0.64</v>
      </c>
      <c r="H310">
        <v>0.06</v>
      </c>
      <c r="I310">
        <v>0.2</v>
      </c>
      <c r="J310" t="s">
        <v>29</v>
      </c>
      <c r="K310">
        <v>11.55</v>
      </c>
      <c r="L310">
        <v>1.99</v>
      </c>
      <c r="M310">
        <v>4.78</v>
      </c>
      <c r="N310">
        <v>22.848400000000002</v>
      </c>
      <c r="O310">
        <v>5</v>
      </c>
      <c r="P310">
        <v>0</v>
      </c>
      <c r="Q310">
        <v>361.3</v>
      </c>
      <c r="R310">
        <v>5</v>
      </c>
      <c r="S310">
        <v>-1</v>
      </c>
      <c r="T310">
        <v>5.57</v>
      </c>
      <c r="U310" t="str">
        <f>IFERROR(INDEX(Rosters!$C$2:$C$155,MATCH(B310,Rosters!$B$2:$B$155,0)),"NA")</f>
        <v>lucas</v>
      </c>
      <c r="V310" t="str">
        <f t="shared" si="12"/>
        <v>lucas17</v>
      </c>
      <c r="W310">
        <f>COUNTIFS(A$1:A310,A310)</f>
        <v>19</v>
      </c>
      <c r="X310" t="str">
        <f t="shared" si="13"/>
        <v>Bears D/ST17</v>
      </c>
      <c r="Y310">
        <f>COUNTIF(V$1:V310,V310)</f>
        <v>2</v>
      </c>
      <c r="Z310" t="str">
        <f t="shared" si="14"/>
        <v>lucas17-2</v>
      </c>
    </row>
    <row r="311" spans="1:26" x14ac:dyDescent="0.25">
      <c r="A311">
        <v>1</v>
      </c>
      <c r="B311" t="s">
        <v>421</v>
      </c>
      <c r="C311" t="s">
        <v>1249</v>
      </c>
      <c r="D311">
        <v>25.31</v>
      </c>
      <c r="E311">
        <v>2.2200000000000002</v>
      </c>
      <c r="F311">
        <v>1</v>
      </c>
      <c r="G311">
        <v>0.54</v>
      </c>
      <c r="H311">
        <v>0.02</v>
      </c>
      <c r="I311">
        <v>0.2</v>
      </c>
      <c r="J311" t="s">
        <v>77</v>
      </c>
      <c r="K311">
        <v>12.24</v>
      </c>
      <c r="L311">
        <v>0.26</v>
      </c>
      <c r="M311">
        <v>5.99</v>
      </c>
      <c r="N311">
        <v>35.880099999999999</v>
      </c>
      <c r="O311">
        <v>5</v>
      </c>
      <c r="P311">
        <v>0</v>
      </c>
      <c r="Q311">
        <v>361.61200000000002</v>
      </c>
      <c r="R311">
        <v>5</v>
      </c>
      <c r="S311">
        <v>-1</v>
      </c>
      <c r="T311">
        <v>5.54</v>
      </c>
      <c r="U311" t="str">
        <f>IFERROR(INDEX(Rosters!$C$2:$C$155,MATCH(B311,Rosters!$B$2:$B$155,0)),"NA")</f>
        <v>NA</v>
      </c>
      <c r="V311" t="str">
        <f t="shared" si="12"/>
        <v>NA1</v>
      </c>
      <c r="W311">
        <f>COUNTIFS(A$1:A311,A311)</f>
        <v>19</v>
      </c>
      <c r="X311" t="str">
        <f t="shared" si="13"/>
        <v>Chargers D/ST1</v>
      </c>
      <c r="Y311">
        <f>COUNTIF(V$1:V311,V311)</f>
        <v>13</v>
      </c>
      <c r="Z311" t="str">
        <f t="shared" si="14"/>
        <v>NA1-13</v>
      </c>
    </row>
    <row r="312" spans="1:26" x14ac:dyDescent="0.25">
      <c r="A312">
        <v>5</v>
      </c>
      <c r="B312" t="s">
        <v>426</v>
      </c>
      <c r="C312" t="s">
        <v>9057</v>
      </c>
      <c r="D312">
        <v>24.46</v>
      </c>
      <c r="E312">
        <v>2.84</v>
      </c>
      <c r="F312">
        <v>0.7</v>
      </c>
      <c r="G312">
        <v>0.72</v>
      </c>
      <c r="H312">
        <v>0.04</v>
      </c>
      <c r="I312">
        <v>0.13</v>
      </c>
      <c r="J312" t="s">
        <v>56</v>
      </c>
      <c r="K312">
        <v>13.67</v>
      </c>
      <c r="L312">
        <v>0.09</v>
      </c>
      <c r="M312">
        <v>6.79</v>
      </c>
      <c r="N312">
        <v>46.104100000000003</v>
      </c>
      <c r="O312">
        <v>5</v>
      </c>
      <c r="P312">
        <v>0</v>
      </c>
      <c r="Q312">
        <v>357.19200000000001</v>
      </c>
      <c r="R312">
        <v>5</v>
      </c>
      <c r="S312">
        <v>-1</v>
      </c>
      <c r="T312">
        <v>5.54</v>
      </c>
      <c r="U312" t="str">
        <f>IFERROR(INDEX(Rosters!$C$2:$C$155,MATCH(B312,Rosters!$B$2:$B$155,0)),"NA")</f>
        <v>NA</v>
      </c>
      <c r="V312" t="str">
        <f t="shared" si="12"/>
        <v>NA5</v>
      </c>
      <c r="W312">
        <f>COUNTIFS(A$1:A312,A312)</f>
        <v>22</v>
      </c>
      <c r="X312" t="str">
        <f t="shared" si="13"/>
        <v>Cowboys D/ST5</v>
      </c>
      <c r="Y312">
        <f>COUNTIF(V$1:V312,V312)</f>
        <v>13</v>
      </c>
      <c r="Z312" t="str">
        <f t="shared" si="14"/>
        <v>NA5-13</v>
      </c>
    </row>
    <row r="313" spans="1:26" x14ac:dyDescent="0.25">
      <c r="A313">
        <v>5</v>
      </c>
      <c r="B313" t="s">
        <v>419</v>
      </c>
      <c r="C313" t="s">
        <v>9058</v>
      </c>
      <c r="D313">
        <v>28.01</v>
      </c>
      <c r="E313">
        <v>2.2599999999999998</v>
      </c>
      <c r="F313">
        <v>1.3</v>
      </c>
      <c r="G313">
        <v>0.79</v>
      </c>
      <c r="H313">
        <v>0.05</v>
      </c>
      <c r="I313">
        <v>0.16</v>
      </c>
      <c r="J313" t="s">
        <v>77</v>
      </c>
      <c r="K313">
        <v>13.21</v>
      </c>
      <c r="L313">
        <v>0.09</v>
      </c>
      <c r="M313">
        <v>6.56</v>
      </c>
      <c r="N313">
        <v>43.0336</v>
      </c>
      <c r="O313">
        <v>6</v>
      </c>
      <c r="P313">
        <v>-1</v>
      </c>
      <c r="Q313">
        <v>375.65199999999999</v>
      </c>
      <c r="R313">
        <v>5</v>
      </c>
      <c r="S313">
        <v>-1</v>
      </c>
      <c r="T313">
        <v>5.5</v>
      </c>
      <c r="U313" t="str">
        <f>IFERROR(INDEX(Rosters!$C$2:$C$155,MATCH(B313,Rosters!$B$2:$B$155,0)),"NA")</f>
        <v>devon</v>
      </c>
      <c r="V313" t="str">
        <f t="shared" si="12"/>
        <v>devon5</v>
      </c>
      <c r="W313">
        <f>COUNTIFS(A$1:A313,A313)</f>
        <v>23</v>
      </c>
      <c r="X313" t="str">
        <f t="shared" si="13"/>
        <v>Jaguars D/ST5</v>
      </c>
      <c r="Y313">
        <f>COUNTIF(V$1:V313,V313)</f>
        <v>1</v>
      </c>
      <c r="Z313" t="str">
        <f t="shared" si="14"/>
        <v>devon5-1</v>
      </c>
    </row>
    <row r="314" spans="1:26" x14ac:dyDescent="0.25">
      <c r="A314">
        <v>2</v>
      </c>
      <c r="B314" t="s">
        <v>415</v>
      </c>
      <c r="C314" t="s">
        <v>3294</v>
      </c>
      <c r="D314">
        <v>26.82</v>
      </c>
      <c r="E314">
        <v>2.71</v>
      </c>
      <c r="F314">
        <v>0.99</v>
      </c>
      <c r="G314">
        <v>0.65</v>
      </c>
      <c r="H314">
        <v>0.08</v>
      </c>
      <c r="I314">
        <v>0.22</v>
      </c>
      <c r="J314" t="s">
        <v>60</v>
      </c>
      <c r="K314">
        <v>13.82</v>
      </c>
      <c r="L314">
        <v>0.57999999999999996</v>
      </c>
      <c r="M314">
        <v>6.62</v>
      </c>
      <c r="N314">
        <v>43.824399999999997</v>
      </c>
      <c r="O314">
        <v>6</v>
      </c>
      <c r="P314">
        <v>-1</v>
      </c>
      <c r="Q314">
        <v>369.464</v>
      </c>
      <c r="R314">
        <v>5</v>
      </c>
      <c r="S314">
        <v>-1</v>
      </c>
      <c r="T314">
        <v>5.47</v>
      </c>
      <c r="U314" t="str">
        <f>IFERROR(INDEX(Rosters!$C$2:$C$155,MATCH(B314,Rosters!$B$2:$B$155,0)),"NA")</f>
        <v>NA</v>
      </c>
      <c r="V314" t="str">
        <f t="shared" si="12"/>
        <v>NA2</v>
      </c>
      <c r="W314">
        <f>COUNTIFS(A$1:A314,A314)</f>
        <v>21</v>
      </c>
      <c r="X314" t="str">
        <f t="shared" si="13"/>
        <v>Patriots D/ST2</v>
      </c>
      <c r="Y314">
        <f>COUNTIF(V$1:V314,V314)</f>
        <v>13</v>
      </c>
      <c r="Z314" t="str">
        <f t="shared" si="14"/>
        <v>NA2-13</v>
      </c>
    </row>
    <row r="315" spans="1:26" x14ac:dyDescent="0.25">
      <c r="A315">
        <v>11</v>
      </c>
      <c r="B315" t="s">
        <v>406</v>
      </c>
      <c r="C315" t="s">
        <v>5588</v>
      </c>
      <c r="D315">
        <v>22.03</v>
      </c>
      <c r="E315">
        <v>2.02</v>
      </c>
      <c r="F315">
        <v>0.9</v>
      </c>
      <c r="G315">
        <v>0.56000000000000005</v>
      </c>
      <c r="H315">
        <v>0.02</v>
      </c>
      <c r="I315">
        <v>0.08</v>
      </c>
      <c r="J315" t="s">
        <v>58</v>
      </c>
      <c r="K315">
        <v>11.14</v>
      </c>
      <c r="L315">
        <v>1.06</v>
      </c>
      <c r="M315">
        <v>5.04</v>
      </c>
      <c r="N315">
        <v>25.401599999999998</v>
      </c>
      <c r="O315">
        <v>5</v>
      </c>
      <c r="P315">
        <v>0</v>
      </c>
      <c r="Q315">
        <v>344.55599999999998</v>
      </c>
      <c r="R315">
        <v>4</v>
      </c>
      <c r="S315">
        <v>0</v>
      </c>
      <c r="T315">
        <v>5.46</v>
      </c>
      <c r="U315" t="str">
        <f>IFERROR(INDEX(Rosters!$C$2:$C$155,MATCH(B315,Rosters!$B$2:$B$155,0)),"NA")</f>
        <v>seth</v>
      </c>
      <c r="V315" t="str">
        <f t="shared" si="12"/>
        <v>seth11</v>
      </c>
      <c r="W315">
        <f>COUNTIFS(A$1:A315,A315)</f>
        <v>17</v>
      </c>
      <c r="X315" t="str">
        <f t="shared" si="13"/>
        <v>Vikings D/ST11</v>
      </c>
      <c r="Y315">
        <f>COUNTIF(V$1:V315,V315)</f>
        <v>1</v>
      </c>
      <c r="Z315" t="str">
        <f t="shared" si="14"/>
        <v>seth11-1</v>
      </c>
    </row>
    <row r="316" spans="1:26" x14ac:dyDescent="0.25">
      <c r="A316">
        <v>17</v>
      </c>
      <c r="B316" t="s">
        <v>406</v>
      </c>
      <c r="C316" t="s">
        <v>5588</v>
      </c>
      <c r="D316">
        <v>22.03</v>
      </c>
      <c r="E316">
        <v>2.02</v>
      </c>
      <c r="F316">
        <v>0.9</v>
      </c>
      <c r="G316">
        <v>0.56000000000000005</v>
      </c>
      <c r="H316">
        <v>0.02</v>
      </c>
      <c r="I316">
        <v>0.08</v>
      </c>
      <c r="J316" t="s">
        <v>58</v>
      </c>
      <c r="K316">
        <v>11.14</v>
      </c>
      <c r="L316">
        <v>1.06</v>
      </c>
      <c r="M316">
        <v>5.04</v>
      </c>
      <c r="N316">
        <v>25.401599999999998</v>
      </c>
      <c r="O316">
        <v>5</v>
      </c>
      <c r="P316">
        <v>0</v>
      </c>
      <c r="Q316">
        <v>344.55599999999998</v>
      </c>
      <c r="R316">
        <v>4</v>
      </c>
      <c r="S316">
        <v>0</v>
      </c>
      <c r="T316">
        <v>5.46</v>
      </c>
      <c r="U316" t="str">
        <f>IFERROR(INDEX(Rosters!$C$2:$C$155,MATCH(B316,Rosters!$B$2:$B$155,0)),"NA")</f>
        <v>seth</v>
      </c>
      <c r="V316" t="str">
        <f t="shared" si="12"/>
        <v>seth17</v>
      </c>
      <c r="W316">
        <f>COUNTIFS(A$1:A316,A316)</f>
        <v>20</v>
      </c>
      <c r="X316" t="str">
        <f t="shared" si="13"/>
        <v>Vikings D/ST17</v>
      </c>
      <c r="Y316">
        <f>COUNTIF(V$1:V316,V316)</f>
        <v>1</v>
      </c>
      <c r="Z316" t="str">
        <f t="shared" si="14"/>
        <v>seth17-1</v>
      </c>
    </row>
    <row r="317" spans="1:26" x14ac:dyDescent="0.25">
      <c r="A317">
        <v>15</v>
      </c>
      <c r="B317" t="s">
        <v>432</v>
      </c>
      <c r="C317" t="s">
        <v>5589</v>
      </c>
      <c r="D317">
        <v>26.2</v>
      </c>
      <c r="E317">
        <v>2.5</v>
      </c>
      <c r="F317">
        <v>0.66</v>
      </c>
      <c r="G317">
        <v>0.8</v>
      </c>
      <c r="H317">
        <v>0.04</v>
      </c>
      <c r="I317">
        <v>0.16</v>
      </c>
      <c r="J317" t="s">
        <v>19</v>
      </c>
      <c r="K317">
        <v>11.4</v>
      </c>
      <c r="L317">
        <v>0.62</v>
      </c>
      <c r="M317">
        <v>5.39</v>
      </c>
      <c r="N317">
        <v>29.052099999999999</v>
      </c>
      <c r="O317">
        <v>5</v>
      </c>
      <c r="P317">
        <v>0</v>
      </c>
      <c r="Q317">
        <v>366.24</v>
      </c>
      <c r="R317">
        <v>5</v>
      </c>
      <c r="S317">
        <v>-1</v>
      </c>
      <c r="T317">
        <v>5.46</v>
      </c>
      <c r="U317" t="str">
        <f>IFERROR(INDEX(Rosters!$C$2:$C$155,MATCH(B317,Rosters!$B$2:$B$155,0)),"NA")</f>
        <v>NA</v>
      </c>
      <c r="V317" t="str">
        <f t="shared" si="12"/>
        <v>NA15</v>
      </c>
      <c r="W317">
        <f>COUNTIFS(A$1:A317,A317)</f>
        <v>18</v>
      </c>
      <c r="X317" t="str">
        <f t="shared" si="13"/>
        <v>Colts D/ST15</v>
      </c>
      <c r="Y317">
        <f>COUNTIF(V$1:V317,V317)</f>
        <v>10</v>
      </c>
      <c r="Z317" t="str">
        <f t="shared" si="14"/>
        <v>NA15-10</v>
      </c>
    </row>
    <row r="318" spans="1:26" x14ac:dyDescent="0.25">
      <c r="A318">
        <v>5</v>
      </c>
      <c r="B318" t="s">
        <v>422</v>
      </c>
      <c r="C318" t="s">
        <v>9118</v>
      </c>
      <c r="D318">
        <v>25</v>
      </c>
      <c r="E318">
        <v>1.94</v>
      </c>
      <c r="F318">
        <v>0.98</v>
      </c>
      <c r="G318">
        <v>0.65</v>
      </c>
      <c r="H318">
        <v>0</v>
      </c>
      <c r="I318">
        <v>0.21</v>
      </c>
      <c r="J318" t="s">
        <v>76</v>
      </c>
      <c r="K318">
        <v>11.47</v>
      </c>
      <c r="L318">
        <v>1.1299999999999999</v>
      </c>
      <c r="M318">
        <v>5.17</v>
      </c>
      <c r="N318">
        <v>26.728899999999999</v>
      </c>
      <c r="O318">
        <v>5</v>
      </c>
      <c r="P318">
        <v>0</v>
      </c>
      <c r="Q318">
        <v>360</v>
      </c>
      <c r="R318">
        <v>5</v>
      </c>
      <c r="S318">
        <v>-1</v>
      </c>
      <c r="T318">
        <v>5.46</v>
      </c>
      <c r="U318" t="str">
        <f>IFERROR(INDEX(Rosters!$C$2:$C$155,MATCH(B318,Rosters!$B$2:$B$155,0)),"NA")</f>
        <v>NA</v>
      </c>
      <c r="V318" t="str">
        <f t="shared" si="12"/>
        <v>NA5</v>
      </c>
      <c r="W318">
        <f>COUNTIFS(A$1:A318,A318)</f>
        <v>24</v>
      </c>
      <c r="X318" t="str">
        <f t="shared" si="13"/>
        <v>Dolphins D/ST5</v>
      </c>
      <c r="Y318">
        <f>COUNTIF(V$1:V318,V318)</f>
        <v>14</v>
      </c>
      <c r="Z318" t="str">
        <f t="shared" si="14"/>
        <v>NA5-14</v>
      </c>
    </row>
    <row r="319" spans="1:26" x14ac:dyDescent="0.25">
      <c r="A319">
        <v>8</v>
      </c>
      <c r="B319" t="s">
        <v>410</v>
      </c>
      <c r="C319" t="s">
        <v>5590</v>
      </c>
      <c r="D319">
        <v>24.15</v>
      </c>
      <c r="E319">
        <v>2.67</v>
      </c>
      <c r="F319">
        <v>0.82</v>
      </c>
      <c r="G319">
        <v>0.6</v>
      </c>
      <c r="H319">
        <v>0.04</v>
      </c>
      <c r="I319">
        <v>0.14000000000000001</v>
      </c>
      <c r="J319" t="s">
        <v>423</v>
      </c>
      <c r="K319">
        <v>11.9</v>
      </c>
      <c r="L319">
        <v>1.24</v>
      </c>
      <c r="M319">
        <v>5.33</v>
      </c>
      <c r="N319">
        <v>28.408899999999999</v>
      </c>
      <c r="O319">
        <v>5</v>
      </c>
      <c r="P319">
        <v>0</v>
      </c>
      <c r="Q319">
        <v>355.58</v>
      </c>
      <c r="R319">
        <v>5</v>
      </c>
      <c r="S319">
        <v>-1</v>
      </c>
      <c r="T319">
        <v>5.43</v>
      </c>
      <c r="U319" t="str">
        <f>IFERROR(INDEX(Rosters!$C$2:$C$155,MATCH(B319,Rosters!$B$2:$B$155,0)),"NA")</f>
        <v>NA</v>
      </c>
      <c r="V319" t="str">
        <f t="shared" si="12"/>
        <v>NA8</v>
      </c>
      <c r="W319">
        <f>COUNTIFS(A$1:A319,A319)</f>
        <v>17</v>
      </c>
      <c r="X319" t="str">
        <f t="shared" si="13"/>
        <v>Chiefs D/ST8</v>
      </c>
      <c r="Y319">
        <f>COUNTIF(V$1:V319,V319)</f>
        <v>10</v>
      </c>
      <c r="Z319" t="str">
        <f t="shared" si="14"/>
        <v>NA8-10</v>
      </c>
    </row>
    <row r="320" spans="1:26" x14ac:dyDescent="0.25">
      <c r="A320">
        <v>1</v>
      </c>
      <c r="B320" t="s">
        <v>437</v>
      </c>
      <c r="C320" t="s">
        <v>1250</v>
      </c>
      <c r="D320">
        <v>26.37</v>
      </c>
      <c r="E320">
        <v>2.2200000000000002</v>
      </c>
      <c r="F320">
        <v>0.78</v>
      </c>
      <c r="G320">
        <v>0.7</v>
      </c>
      <c r="H320">
        <v>0.08</v>
      </c>
      <c r="I320">
        <v>0.18</v>
      </c>
      <c r="J320" t="s">
        <v>36</v>
      </c>
      <c r="K320">
        <v>11.08</v>
      </c>
      <c r="L320">
        <v>1.1599999999999999</v>
      </c>
      <c r="M320">
        <v>4.96</v>
      </c>
      <c r="N320">
        <v>24.601600000000001</v>
      </c>
      <c r="O320">
        <v>5</v>
      </c>
      <c r="P320">
        <v>0</v>
      </c>
      <c r="Q320">
        <v>367.12400000000002</v>
      </c>
      <c r="R320">
        <v>5</v>
      </c>
      <c r="S320">
        <v>-1</v>
      </c>
      <c r="T320">
        <v>5.42</v>
      </c>
      <c r="U320" t="str">
        <f>IFERROR(INDEX(Rosters!$C$2:$C$155,MATCH(B320,Rosters!$B$2:$B$155,0)),"NA")</f>
        <v>NA</v>
      </c>
      <c r="V320" t="str">
        <f t="shared" si="12"/>
        <v>NA1</v>
      </c>
      <c r="W320">
        <f>COUNTIFS(A$1:A320,A320)</f>
        <v>20</v>
      </c>
      <c r="X320" t="str">
        <f t="shared" si="13"/>
        <v>Falcons D/ST1</v>
      </c>
      <c r="Y320">
        <f>COUNTIF(V$1:V320,V320)</f>
        <v>14</v>
      </c>
      <c r="Z320" t="str">
        <f t="shared" si="14"/>
        <v>NA1-14</v>
      </c>
    </row>
    <row r="321" spans="1:26" x14ac:dyDescent="0.25">
      <c r="A321">
        <v>14</v>
      </c>
      <c r="B321" t="s">
        <v>437</v>
      </c>
      <c r="C321" t="s">
        <v>5591</v>
      </c>
      <c r="D321">
        <v>26.6</v>
      </c>
      <c r="E321">
        <v>2.14</v>
      </c>
      <c r="F321">
        <v>1.1399999999999999</v>
      </c>
      <c r="G321">
        <v>0.68</v>
      </c>
      <c r="H321">
        <v>0.04</v>
      </c>
      <c r="I321">
        <v>0.26</v>
      </c>
      <c r="J321" t="s">
        <v>30</v>
      </c>
      <c r="K321">
        <v>12.93</v>
      </c>
      <c r="L321">
        <v>1.27</v>
      </c>
      <c r="M321">
        <v>5.83</v>
      </c>
      <c r="N321">
        <v>33.988900000000001</v>
      </c>
      <c r="O321">
        <v>6</v>
      </c>
      <c r="P321">
        <v>-1</v>
      </c>
      <c r="Q321">
        <v>368.32</v>
      </c>
      <c r="R321">
        <v>5</v>
      </c>
      <c r="S321">
        <v>-1</v>
      </c>
      <c r="T321">
        <v>5.42</v>
      </c>
      <c r="U321" t="str">
        <f>IFERROR(INDEX(Rosters!$C$2:$C$155,MATCH(B321,Rosters!$B$2:$B$155,0)),"NA")</f>
        <v>NA</v>
      </c>
      <c r="V321" t="str">
        <f t="shared" si="12"/>
        <v>NA14</v>
      </c>
      <c r="W321">
        <f>COUNTIFS(A$1:A321,A321)</f>
        <v>17</v>
      </c>
      <c r="X321" t="str">
        <f t="shared" si="13"/>
        <v>Falcons D/ST14</v>
      </c>
      <c r="Y321">
        <f>COUNTIF(V$1:V321,V321)</f>
        <v>10</v>
      </c>
      <c r="Z321" t="str">
        <f t="shared" si="14"/>
        <v>NA14-10</v>
      </c>
    </row>
    <row r="322" spans="1:26" x14ac:dyDescent="0.25">
      <c r="A322">
        <v>7</v>
      </c>
      <c r="B322" t="s">
        <v>411</v>
      </c>
      <c r="C322" t="s">
        <v>5592</v>
      </c>
      <c r="D322">
        <v>25.84</v>
      </c>
      <c r="E322">
        <v>1.94</v>
      </c>
      <c r="F322">
        <v>0.86</v>
      </c>
      <c r="G322">
        <v>0.76</v>
      </c>
      <c r="H322">
        <v>0.02</v>
      </c>
      <c r="I322">
        <v>0.2</v>
      </c>
      <c r="J322" t="s">
        <v>72</v>
      </c>
      <c r="K322">
        <v>12.09</v>
      </c>
      <c r="L322">
        <v>0.23</v>
      </c>
      <c r="M322">
        <v>5.93</v>
      </c>
      <c r="N322">
        <v>35.164900000000003</v>
      </c>
      <c r="O322">
        <v>5</v>
      </c>
      <c r="P322">
        <v>0</v>
      </c>
      <c r="Q322">
        <v>364.36799999999999</v>
      </c>
      <c r="R322">
        <v>5</v>
      </c>
      <c r="S322">
        <v>-1</v>
      </c>
      <c r="T322">
        <v>5.42</v>
      </c>
      <c r="U322" t="str">
        <f>IFERROR(INDEX(Rosters!$C$2:$C$155,MATCH(B322,Rosters!$B$2:$B$155,0)),"NA")</f>
        <v>lucas</v>
      </c>
      <c r="V322" t="str">
        <f t="shared" si="12"/>
        <v>lucas7</v>
      </c>
      <c r="W322">
        <f>COUNTIFS(A$1:A322,A322)</f>
        <v>18</v>
      </c>
      <c r="X322" t="str">
        <f t="shared" si="13"/>
        <v>Ravens D/ST7</v>
      </c>
      <c r="Y322">
        <f>COUNTIF(V$1:V322,V322)</f>
        <v>1</v>
      </c>
      <c r="Z322" t="str">
        <f t="shared" si="14"/>
        <v>lucas7-1</v>
      </c>
    </row>
    <row r="323" spans="1:26" x14ac:dyDescent="0.25">
      <c r="A323">
        <v>4</v>
      </c>
      <c r="B323" t="s">
        <v>417</v>
      </c>
      <c r="C323" t="s">
        <v>5022</v>
      </c>
      <c r="D323">
        <v>25.87</v>
      </c>
      <c r="E323">
        <v>2.44</v>
      </c>
      <c r="F323">
        <v>0.71</v>
      </c>
      <c r="G323">
        <v>0.71</v>
      </c>
      <c r="H323">
        <v>0.08</v>
      </c>
      <c r="I323">
        <v>0.16</v>
      </c>
      <c r="J323" t="s">
        <v>73</v>
      </c>
      <c r="K323">
        <v>11.06</v>
      </c>
      <c r="L323">
        <v>1.68</v>
      </c>
      <c r="M323">
        <v>4.6900000000000004</v>
      </c>
      <c r="N323">
        <v>21.996099999999998</v>
      </c>
      <c r="O323">
        <v>5</v>
      </c>
      <c r="P323">
        <v>0</v>
      </c>
      <c r="Q323">
        <v>364.524</v>
      </c>
      <c r="R323">
        <v>5</v>
      </c>
      <c r="S323">
        <v>-1</v>
      </c>
      <c r="T323">
        <v>5.4</v>
      </c>
      <c r="U323" t="str">
        <f>IFERROR(INDEX(Rosters!$C$2:$C$155,MATCH(B323,Rosters!$B$2:$B$155,0)),"NA")</f>
        <v>NA</v>
      </c>
      <c r="V323" t="str">
        <f t="shared" ref="V323:V386" si="15">U323&amp;A323</f>
        <v>NA4</v>
      </c>
      <c r="W323">
        <f>COUNTIFS(A$1:A323,A323)</f>
        <v>25</v>
      </c>
      <c r="X323" t="str">
        <f t="shared" ref="X323:X386" si="16">B323&amp;A323</f>
        <v>Bengals D/ST4</v>
      </c>
      <c r="Y323">
        <f>COUNTIF(V$1:V323,V323)</f>
        <v>17</v>
      </c>
      <c r="Z323" t="str">
        <f t="shared" ref="Z323:Z386" si="17">V323&amp;"-"&amp;Y323</f>
        <v>NA4-17</v>
      </c>
    </row>
    <row r="324" spans="1:26" x14ac:dyDescent="0.25">
      <c r="A324">
        <v>16</v>
      </c>
      <c r="B324" t="s">
        <v>411</v>
      </c>
      <c r="C324" t="s">
        <v>5593</v>
      </c>
      <c r="D324">
        <v>25.25</v>
      </c>
      <c r="E324">
        <v>1.99</v>
      </c>
      <c r="F324">
        <v>0.88</v>
      </c>
      <c r="G324">
        <v>0.82</v>
      </c>
      <c r="H324">
        <v>0.02</v>
      </c>
      <c r="I324">
        <v>0.16</v>
      </c>
      <c r="J324" t="s">
        <v>66</v>
      </c>
      <c r="K324">
        <v>11.64</v>
      </c>
      <c r="L324">
        <v>0.74</v>
      </c>
      <c r="M324">
        <v>5.45</v>
      </c>
      <c r="N324">
        <v>29.702500000000001</v>
      </c>
      <c r="O324">
        <v>5</v>
      </c>
      <c r="P324">
        <v>0</v>
      </c>
      <c r="Q324">
        <v>361.3</v>
      </c>
      <c r="R324">
        <v>5</v>
      </c>
      <c r="S324">
        <v>-1</v>
      </c>
      <c r="T324">
        <v>5.39</v>
      </c>
      <c r="U324" t="str">
        <f>IFERROR(INDEX(Rosters!$C$2:$C$155,MATCH(B324,Rosters!$B$2:$B$155,0)),"NA")</f>
        <v>lucas</v>
      </c>
      <c r="V324" t="str">
        <f t="shared" si="15"/>
        <v>lucas16</v>
      </c>
      <c r="W324">
        <f>COUNTIFS(A$1:A324,A324)</f>
        <v>16</v>
      </c>
      <c r="X324" t="str">
        <f t="shared" si="16"/>
        <v>Ravens D/ST16</v>
      </c>
      <c r="Y324">
        <f>COUNTIF(V$1:V324,V324)</f>
        <v>2</v>
      </c>
      <c r="Z324" t="str">
        <f t="shared" si="17"/>
        <v>lucas16-2</v>
      </c>
    </row>
    <row r="325" spans="1:26" x14ac:dyDescent="0.25">
      <c r="A325">
        <v>6</v>
      </c>
      <c r="B325" t="s">
        <v>437</v>
      </c>
      <c r="C325" t="s">
        <v>5594</v>
      </c>
      <c r="D325">
        <v>25.52</v>
      </c>
      <c r="E325">
        <v>1.76</v>
      </c>
      <c r="F325">
        <v>1.1200000000000001</v>
      </c>
      <c r="G325">
        <v>0.5</v>
      </c>
      <c r="H325">
        <v>0.02</v>
      </c>
      <c r="I325">
        <v>0.22</v>
      </c>
      <c r="J325" t="s">
        <v>74</v>
      </c>
      <c r="K325">
        <v>12.46</v>
      </c>
      <c r="L325">
        <v>0</v>
      </c>
      <c r="M325">
        <v>6.23</v>
      </c>
      <c r="N325">
        <v>38.812899999999999</v>
      </c>
      <c r="O325">
        <v>5</v>
      </c>
      <c r="P325">
        <v>0</v>
      </c>
      <c r="Q325">
        <v>362.70400000000001</v>
      </c>
      <c r="R325">
        <v>5</v>
      </c>
      <c r="S325">
        <v>-1</v>
      </c>
      <c r="T325">
        <v>5.36</v>
      </c>
      <c r="U325" t="str">
        <f>IFERROR(INDEX(Rosters!$C$2:$C$155,MATCH(B325,Rosters!$B$2:$B$155,0)),"NA")</f>
        <v>NA</v>
      </c>
      <c r="V325" t="str">
        <f t="shared" si="15"/>
        <v>NA6</v>
      </c>
      <c r="W325">
        <f>COUNTIFS(A$1:A325,A325)</f>
        <v>21</v>
      </c>
      <c r="X325" t="str">
        <f t="shared" si="16"/>
        <v>Falcons D/ST6</v>
      </c>
      <c r="Y325">
        <f>COUNTIF(V$1:V325,V325)</f>
        <v>13</v>
      </c>
      <c r="Z325" t="str">
        <f t="shared" si="17"/>
        <v>NA6-13</v>
      </c>
    </row>
    <row r="326" spans="1:26" x14ac:dyDescent="0.25">
      <c r="A326">
        <v>17</v>
      </c>
      <c r="B326" t="s">
        <v>437</v>
      </c>
      <c r="C326" t="s">
        <v>5594</v>
      </c>
      <c r="D326">
        <v>25.52</v>
      </c>
      <c r="E326">
        <v>1.76</v>
      </c>
      <c r="F326">
        <v>1.1200000000000001</v>
      </c>
      <c r="G326">
        <v>0.5</v>
      </c>
      <c r="H326">
        <v>0.02</v>
      </c>
      <c r="I326">
        <v>0.22</v>
      </c>
      <c r="J326" t="s">
        <v>74</v>
      </c>
      <c r="K326">
        <v>12.46</v>
      </c>
      <c r="L326">
        <v>0</v>
      </c>
      <c r="M326">
        <v>6.23</v>
      </c>
      <c r="N326">
        <v>38.812899999999999</v>
      </c>
      <c r="O326">
        <v>5</v>
      </c>
      <c r="P326">
        <v>0</v>
      </c>
      <c r="Q326">
        <v>362.70400000000001</v>
      </c>
      <c r="R326">
        <v>5</v>
      </c>
      <c r="S326">
        <v>-1</v>
      </c>
      <c r="T326">
        <v>5.36</v>
      </c>
      <c r="U326" t="str">
        <f>IFERROR(INDEX(Rosters!$C$2:$C$155,MATCH(B326,Rosters!$B$2:$B$155,0)),"NA")</f>
        <v>NA</v>
      </c>
      <c r="V326" t="str">
        <f t="shared" si="15"/>
        <v>NA17</v>
      </c>
      <c r="W326">
        <f>COUNTIFS(A$1:A326,A326)</f>
        <v>21</v>
      </c>
      <c r="X326" t="str">
        <f t="shared" si="16"/>
        <v>Falcons D/ST17</v>
      </c>
      <c r="Y326">
        <f>COUNTIF(V$1:V326,V326)</f>
        <v>13</v>
      </c>
      <c r="Z326" t="str">
        <f t="shared" si="17"/>
        <v>NA17-13</v>
      </c>
    </row>
    <row r="327" spans="1:26" x14ac:dyDescent="0.25">
      <c r="A327">
        <v>9</v>
      </c>
      <c r="B327" t="s">
        <v>410</v>
      </c>
      <c r="C327" t="s">
        <v>5595</v>
      </c>
      <c r="D327">
        <v>23.17</v>
      </c>
      <c r="E327">
        <v>2.74</v>
      </c>
      <c r="F327">
        <v>0.76</v>
      </c>
      <c r="G327">
        <v>0.56000000000000005</v>
      </c>
      <c r="H327">
        <v>0</v>
      </c>
      <c r="I327">
        <v>0.16</v>
      </c>
      <c r="J327" t="s">
        <v>17</v>
      </c>
      <c r="K327">
        <v>11.89</v>
      </c>
      <c r="L327">
        <v>1.55</v>
      </c>
      <c r="M327">
        <v>5.17</v>
      </c>
      <c r="N327">
        <v>26.728899999999999</v>
      </c>
      <c r="O327">
        <v>5</v>
      </c>
      <c r="P327">
        <v>0</v>
      </c>
      <c r="Q327">
        <v>350.48399999999998</v>
      </c>
      <c r="R327">
        <v>5</v>
      </c>
      <c r="S327">
        <v>-1</v>
      </c>
      <c r="T327">
        <v>5.34</v>
      </c>
      <c r="U327" t="str">
        <f>IFERROR(INDEX(Rosters!$C$2:$C$155,MATCH(B327,Rosters!$B$2:$B$155,0)),"NA")</f>
        <v>NA</v>
      </c>
      <c r="V327" t="str">
        <f t="shared" si="15"/>
        <v>NA9</v>
      </c>
      <c r="W327">
        <f>COUNTIFS(A$1:A327,A327)</f>
        <v>14</v>
      </c>
      <c r="X327" t="str">
        <f t="shared" si="16"/>
        <v>Chiefs D/ST9</v>
      </c>
      <c r="Y327">
        <f>COUNTIF(V$1:V327,V327)</f>
        <v>8</v>
      </c>
      <c r="Z327" t="str">
        <f t="shared" si="17"/>
        <v>NA9-8</v>
      </c>
    </row>
    <row r="328" spans="1:26" x14ac:dyDescent="0.25">
      <c r="A328">
        <v>15</v>
      </c>
      <c r="B328" t="s">
        <v>426</v>
      </c>
      <c r="C328" t="s">
        <v>5596</v>
      </c>
      <c r="D328">
        <v>23.79</v>
      </c>
      <c r="E328">
        <v>2.2200000000000002</v>
      </c>
      <c r="F328">
        <v>0.98</v>
      </c>
      <c r="G328">
        <v>0.6</v>
      </c>
      <c r="H328">
        <v>0</v>
      </c>
      <c r="I328">
        <v>0.16</v>
      </c>
      <c r="J328" t="s">
        <v>41</v>
      </c>
      <c r="K328">
        <v>12.36</v>
      </c>
      <c r="L328">
        <v>0.94</v>
      </c>
      <c r="M328">
        <v>5.71</v>
      </c>
      <c r="N328">
        <v>32.604100000000003</v>
      </c>
      <c r="O328">
        <v>5</v>
      </c>
      <c r="P328">
        <v>0</v>
      </c>
      <c r="Q328">
        <v>353.70800000000003</v>
      </c>
      <c r="R328">
        <v>5</v>
      </c>
      <c r="S328">
        <v>-1</v>
      </c>
      <c r="T328">
        <v>5.34</v>
      </c>
      <c r="U328" t="str">
        <f>IFERROR(INDEX(Rosters!$C$2:$C$155,MATCH(B328,Rosters!$B$2:$B$155,0)),"NA")</f>
        <v>NA</v>
      </c>
      <c r="V328" t="str">
        <f t="shared" si="15"/>
        <v>NA15</v>
      </c>
      <c r="W328">
        <f>COUNTIFS(A$1:A328,A328)</f>
        <v>19</v>
      </c>
      <c r="X328" t="str">
        <f t="shared" si="16"/>
        <v>Cowboys D/ST15</v>
      </c>
      <c r="Y328">
        <f>COUNTIF(V$1:V328,V328)</f>
        <v>11</v>
      </c>
      <c r="Z328" t="str">
        <f t="shared" si="17"/>
        <v>NA15-11</v>
      </c>
    </row>
    <row r="329" spans="1:26" x14ac:dyDescent="0.25">
      <c r="A329">
        <v>1</v>
      </c>
      <c r="B329" t="s">
        <v>412</v>
      </c>
      <c r="C329" t="s">
        <v>1251</v>
      </c>
      <c r="D329">
        <v>23.43</v>
      </c>
      <c r="E329">
        <v>1.95</v>
      </c>
      <c r="F329">
        <v>0.9</v>
      </c>
      <c r="G329">
        <v>0.66</v>
      </c>
      <c r="H329">
        <v>0.02</v>
      </c>
      <c r="I329">
        <v>0.2</v>
      </c>
      <c r="J329" t="s">
        <v>25</v>
      </c>
      <c r="K329">
        <v>12.99</v>
      </c>
      <c r="L329">
        <v>0.45</v>
      </c>
      <c r="M329">
        <v>6.27</v>
      </c>
      <c r="N329">
        <v>39.312899999999999</v>
      </c>
      <c r="O329">
        <v>5</v>
      </c>
      <c r="P329">
        <v>0</v>
      </c>
      <c r="Q329">
        <v>351.83600000000001</v>
      </c>
      <c r="R329">
        <v>5</v>
      </c>
      <c r="S329">
        <v>-1</v>
      </c>
      <c r="T329">
        <v>5.31</v>
      </c>
      <c r="U329" t="str">
        <f>IFERROR(INDEX(Rosters!$C$2:$C$155,MATCH(B329,Rosters!$B$2:$B$155,0)),"NA")</f>
        <v>chad</v>
      </c>
      <c r="V329" t="str">
        <f t="shared" si="15"/>
        <v>chad1</v>
      </c>
      <c r="W329">
        <f>COUNTIFS(A$1:A329,A329)</f>
        <v>21</v>
      </c>
      <c r="X329" t="str">
        <f t="shared" si="16"/>
        <v>Broncos D/ST1</v>
      </c>
      <c r="Y329">
        <f>COUNTIF(V$1:V329,V329)</f>
        <v>1</v>
      </c>
      <c r="Z329" t="str">
        <f t="shared" si="17"/>
        <v>chad1-1</v>
      </c>
    </row>
    <row r="330" spans="1:26" x14ac:dyDescent="0.25">
      <c r="A330">
        <v>3</v>
      </c>
      <c r="B330" t="s">
        <v>437</v>
      </c>
      <c r="C330">
        <f>-0.66-14.26</f>
        <v>-14.92</v>
      </c>
      <c r="D330">
        <v>28.17</v>
      </c>
      <c r="E330">
        <v>2.3199999999999998</v>
      </c>
      <c r="F330">
        <v>1.07</v>
      </c>
      <c r="G330">
        <v>0.79</v>
      </c>
      <c r="H330">
        <v>0</v>
      </c>
      <c r="I330">
        <v>0.21</v>
      </c>
      <c r="J330" t="s">
        <v>72</v>
      </c>
      <c r="K330">
        <v>14.26</v>
      </c>
      <c r="L330">
        <v>-0.66</v>
      </c>
      <c r="M330">
        <v>7.46</v>
      </c>
      <c r="N330">
        <v>55.651600000000002</v>
      </c>
      <c r="O330">
        <v>6</v>
      </c>
      <c r="P330">
        <v>-1</v>
      </c>
      <c r="Q330">
        <v>376.48399999999998</v>
      </c>
      <c r="R330">
        <v>5</v>
      </c>
      <c r="S330">
        <v>-1</v>
      </c>
      <c r="T330">
        <v>5.3</v>
      </c>
      <c r="U330" t="str">
        <f>IFERROR(INDEX(Rosters!$C$2:$C$155,MATCH(B330,Rosters!$B$2:$B$155,0)),"NA")</f>
        <v>NA</v>
      </c>
      <c r="V330" t="str">
        <f t="shared" si="15"/>
        <v>NA3</v>
      </c>
      <c r="W330">
        <f>COUNTIFS(A$1:A330,A330)</f>
        <v>25</v>
      </c>
      <c r="X330" t="str">
        <f t="shared" si="16"/>
        <v>Falcons D/ST3</v>
      </c>
      <c r="Y330">
        <f>COUNTIF(V$1:V330,V330)</f>
        <v>15</v>
      </c>
      <c r="Z330" t="str">
        <f t="shared" si="17"/>
        <v>NA3-15</v>
      </c>
    </row>
    <row r="331" spans="1:26" x14ac:dyDescent="0.25">
      <c r="A331">
        <v>3</v>
      </c>
      <c r="B331" t="s">
        <v>427</v>
      </c>
      <c r="C331" t="s">
        <v>4195</v>
      </c>
      <c r="D331">
        <v>23.94</v>
      </c>
      <c r="E331">
        <v>2.2200000000000002</v>
      </c>
      <c r="F331">
        <v>0.67</v>
      </c>
      <c r="G331">
        <v>0.63</v>
      </c>
      <c r="H331">
        <v>0.02</v>
      </c>
      <c r="I331">
        <v>0.24</v>
      </c>
      <c r="J331" t="s">
        <v>60</v>
      </c>
      <c r="K331">
        <v>11.98</v>
      </c>
      <c r="L331">
        <v>0.74</v>
      </c>
      <c r="M331">
        <v>5.62</v>
      </c>
      <c r="N331">
        <v>31.584399999999999</v>
      </c>
      <c r="O331">
        <v>5</v>
      </c>
      <c r="P331">
        <v>0</v>
      </c>
      <c r="Q331">
        <v>354.488</v>
      </c>
      <c r="R331">
        <v>5</v>
      </c>
      <c r="S331">
        <v>-1</v>
      </c>
      <c r="T331">
        <v>5.3</v>
      </c>
      <c r="U331" t="str">
        <f>IFERROR(INDEX(Rosters!$C$2:$C$155,MATCH(B331,Rosters!$B$2:$B$155,0)),"NA")</f>
        <v>aj</v>
      </c>
      <c r="V331" t="str">
        <f t="shared" si="15"/>
        <v>aj3</v>
      </c>
      <c r="W331">
        <f>COUNTIFS(A$1:A331,A331)</f>
        <v>26</v>
      </c>
      <c r="X331" t="str">
        <f t="shared" si="16"/>
        <v>Titans D/ST3</v>
      </c>
      <c r="Y331">
        <f>COUNTIF(V$1:V331,V331)</f>
        <v>1</v>
      </c>
      <c r="Z331" t="str">
        <f t="shared" si="17"/>
        <v>aj3-1</v>
      </c>
    </row>
    <row r="332" spans="1:26" x14ac:dyDescent="0.25">
      <c r="A332">
        <v>5</v>
      </c>
      <c r="B332" t="s">
        <v>408</v>
      </c>
      <c r="C332">
        <f>-1.2-14.26</f>
        <v>-15.459999999999999</v>
      </c>
      <c r="D332">
        <v>27.99</v>
      </c>
      <c r="E332">
        <v>1.94</v>
      </c>
      <c r="F332">
        <v>1.04</v>
      </c>
      <c r="G332">
        <v>0.7</v>
      </c>
      <c r="H332">
        <v>0.04</v>
      </c>
      <c r="I332">
        <v>0.3</v>
      </c>
      <c r="J332" t="s">
        <v>37</v>
      </c>
      <c r="K332">
        <v>14.26</v>
      </c>
      <c r="L332">
        <v>-1.2</v>
      </c>
      <c r="M332">
        <v>7.73</v>
      </c>
      <c r="N332">
        <v>59.752899999999997</v>
      </c>
      <c r="O332">
        <v>6</v>
      </c>
      <c r="P332">
        <v>-1</v>
      </c>
      <c r="Q332">
        <v>375.548</v>
      </c>
      <c r="R332">
        <v>5</v>
      </c>
      <c r="S332">
        <v>-1</v>
      </c>
      <c r="T332">
        <v>5.3</v>
      </c>
      <c r="U332" t="str">
        <f>IFERROR(INDEX(Rosters!$C$2:$C$155,MATCH(B332,Rosters!$B$2:$B$155,0)),"NA")</f>
        <v>NA</v>
      </c>
      <c r="V332" t="str">
        <f t="shared" si="15"/>
        <v>NA5</v>
      </c>
      <c r="W332">
        <f>COUNTIFS(A$1:A332,A332)</f>
        <v>25</v>
      </c>
      <c r="X332" t="str">
        <f t="shared" si="16"/>
        <v>Giants D/ST5</v>
      </c>
      <c r="Y332">
        <f>COUNTIF(V$1:V332,V332)</f>
        <v>15</v>
      </c>
      <c r="Z332" t="str">
        <f t="shared" si="17"/>
        <v>NA5-15</v>
      </c>
    </row>
    <row r="333" spans="1:26" x14ac:dyDescent="0.25">
      <c r="A333">
        <v>9</v>
      </c>
      <c r="B333" t="s">
        <v>427</v>
      </c>
      <c r="C333" t="s">
        <v>5597</v>
      </c>
      <c r="D333">
        <v>26.23</v>
      </c>
      <c r="E333">
        <v>2.2400000000000002</v>
      </c>
      <c r="F333">
        <v>0.68</v>
      </c>
      <c r="G333">
        <v>0.6</v>
      </c>
      <c r="H333">
        <v>0.02</v>
      </c>
      <c r="I333">
        <v>0.24</v>
      </c>
      <c r="J333" t="s">
        <v>19</v>
      </c>
      <c r="K333">
        <v>11.6</v>
      </c>
      <c r="L333">
        <v>0.34</v>
      </c>
      <c r="M333">
        <v>5.63</v>
      </c>
      <c r="N333">
        <v>31.696899999999999</v>
      </c>
      <c r="O333">
        <v>5</v>
      </c>
      <c r="P333">
        <v>0</v>
      </c>
      <c r="Q333">
        <v>366.39600000000002</v>
      </c>
      <c r="R333">
        <v>5</v>
      </c>
      <c r="S333">
        <v>-1</v>
      </c>
      <c r="T333">
        <v>5.28</v>
      </c>
      <c r="U333" t="str">
        <f>IFERROR(INDEX(Rosters!$C$2:$C$155,MATCH(B333,Rosters!$B$2:$B$155,0)),"NA")</f>
        <v>aj</v>
      </c>
      <c r="V333" t="str">
        <f t="shared" si="15"/>
        <v>aj9</v>
      </c>
      <c r="W333">
        <f>COUNTIFS(A$1:A333,A333)</f>
        <v>15</v>
      </c>
      <c r="X333" t="str">
        <f t="shared" si="16"/>
        <v>Titans D/ST9</v>
      </c>
      <c r="Y333">
        <f>COUNTIF(V$1:V333,V333)</f>
        <v>1</v>
      </c>
      <c r="Z333" t="str">
        <f t="shared" si="17"/>
        <v>aj9-1</v>
      </c>
    </row>
    <row r="334" spans="1:26" x14ac:dyDescent="0.25">
      <c r="A334">
        <v>3</v>
      </c>
      <c r="B334" t="s">
        <v>428</v>
      </c>
      <c r="C334">
        <f>-0.51-13.33</f>
        <v>-13.84</v>
      </c>
      <c r="D334">
        <v>30.28</v>
      </c>
      <c r="E334">
        <v>2.72</v>
      </c>
      <c r="F334">
        <v>0.82</v>
      </c>
      <c r="G334">
        <v>0.95</v>
      </c>
      <c r="H334">
        <v>0</v>
      </c>
      <c r="I334">
        <v>0.17</v>
      </c>
      <c r="J334" t="s">
        <v>31</v>
      </c>
      <c r="K334">
        <v>13.33</v>
      </c>
      <c r="L334">
        <v>-0.51</v>
      </c>
      <c r="M334">
        <v>6.92</v>
      </c>
      <c r="N334">
        <v>47.886400000000002</v>
      </c>
      <c r="O334">
        <v>6</v>
      </c>
      <c r="P334">
        <v>-1</v>
      </c>
      <c r="Q334">
        <v>387.45600000000002</v>
      </c>
      <c r="R334">
        <v>5</v>
      </c>
      <c r="S334">
        <v>-1</v>
      </c>
      <c r="T334">
        <v>5.28</v>
      </c>
      <c r="U334" t="str">
        <f>IFERROR(INDEX(Rosters!$C$2:$C$155,MATCH(B334,Rosters!$B$2:$B$155,0)),"NA")</f>
        <v>NA</v>
      </c>
      <c r="V334" t="str">
        <f t="shared" si="15"/>
        <v>NA3</v>
      </c>
      <c r="W334">
        <f>COUNTIFS(A$1:A334,A334)</f>
        <v>27</v>
      </c>
      <c r="X334" t="str">
        <f t="shared" si="16"/>
        <v>Buccaneers D/ST3</v>
      </c>
      <c r="Y334">
        <f>COUNTIF(V$1:V334,V334)</f>
        <v>16</v>
      </c>
      <c r="Z334" t="str">
        <f t="shared" si="17"/>
        <v>NA3-16</v>
      </c>
    </row>
    <row r="335" spans="1:26" x14ac:dyDescent="0.25">
      <c r="A335">
        <v>15</v>
      </c>
      <c r="B335" t="s">
        <v>405</v>
      </c>
      <c r="C335" t="s">
        <v>5598</v>
      </c>
      <c r="D335">
        <v>24.02</v>
      </c>
      <c r="E335">
        <v>2.2400000000000002</v>
      </c>
      <c r="F335">
        <v>0.82</v>
      </c>
      <c r="G335">
        <v>0.68</v>
      </c>
      <c r="H335">
        <v>0.02</v>
      </c>
      <c r="I335">
        <v>0.16</v>
      </c>
      <c r="J335" t="s">
        <v>46</v>
      </c>
      <c r="K335">
        <v>11.63</v>
      </c>
      <c r="L335">
        <v>1.19</v>
      </c>
      <c r="M335">
        <v>5.22</v>
      </c>
      <c r="N335">
        <v>27.2484</v>
      </c>
      <c r="O335">
        <v>5</v>
      </c>
      <c r="P335">
        <v>0</v>
      </c>
      <c r="Q335">
        <v>354.904</v>
      </c>
      <c r="R335">
        <v>5</v>
      </c>
      <c r="S335">
        <v>-1</v>
      </c>
      <c r="T335">
        <v>5.24</v>
      </c>
      <c r="U335" t="str">
        <f>IFERROR(INDEX(Rosters!$C$2:$C$155,MATCH(B335,Rosters!$B$2:$B$155,0)),"NA")</f>
        <v>perry</v>
      </c>
      <c r="V335" t="str">
        <f t="shared" si="15"/>
        <v>perry15</v>
      </c>
      <c r="W335">
        <f>COUNTIFS(A$1:A335,A335)</f>
        <v>20</v>
      </c>
      <c r="X335" t="str">
        <f t="shared" si="16"/>
        <v>Texans D/ST15</v>
      </c>
      <c r="Y335">
        <f>COUNTIF(V$1:V335,V335)</f>
        <v>1</v>
      </c>
      <c r="Z335" t="str">
        <f t="shared" si="17"/>
        <v>perry15-1</v>
      </c>
    </row>
    <row r="336" spans="1:26" x14ac:dyDescent="0.25">
      <c r="A336">
        <v>12</v>
      </c>
      <c r="B336" t="s">
        <v>409</v>
      </c>
      <c r="C336" t="s">
        <v>5599</v>
      </c>
      <c r="D336">
        <v>24.99</v>
      </c>
      <c r="E336">
        <v>2.06</v>
      </c>
      <c r="F336">
        <v>0.84</v>
      </c>
      <c r="G336">
        <v>0.57999999999999996</v>
      </c>
      <c r="H336">
        <v>0.06</v>
      </c>
      <c r="I336">
        <v>0.2</v>
      </c>
      <c r="J336" t="s">
        <v>66</v>
      </c>
      <c r="K336">
        <v>10.95</v>
      </c>
      <c r="L336">
        <v>0.73</v>
      </c>
      <c r="M336">
        <v>5.1100000000000003</v>
      </c>
      <c r="N336">
        <v>26.112100000000002</v>
      </c>
      <c r="O336">
        <v>5</v>
      </c>
      <c r="P336">
        <v>0</v>
      </c>
      <c r="Q336">
        <v>359.94799999999998</v>
      </c>
      <c r="R336">
        <v>5</v>
      </c>
      <c r="S336">
        <v>-1</v>
      </c>
      <c r="T336">
        <v>5.22</v>
      </c>
      <c r="U336" t="str">
        <f>IFERROR(INDEX(Rosters!$C$2:$C$155,MATCH(B336,Rosters!$B$2:$B$155,0)),"NA")</f>
        <v>NA</v>
      </c>
      <c r="V336" t="str">
        <f t="shared" si="15"/>
        <v>NA12</v>
      </c>
      <c r="W336">
        <f>COUNTIFS(A$1:A336,A336)</f>
        <v>18</v>
      </c>
      <c r="X336" t="str">
        <f t="shared" si="16"/>
        <v>Cardinals D/ST12</v>
      </c>
      <c r="Y336">
        <f>COUNTIF(V$1:V336,V336)</f>
        <v>11</v>
      </c>
      <c r="Z336" t="str">
        <f t="shared" si="17"/>
        <v>NA12-11</v>
      </c>
    </row>
    <row r="337" spans="1:26" x14ac:dyDescent="0.25">
      <c r="A337">
        <v>16</v>
      </c>
      <c r="B337" t="s">
        <v>405</v>
      </c>
      <c r="C337" t="s">
        <v>5600</v>
      </c>
      <c r="D337">
        <v>24.26</v>
      </c>
      <c r="E337">
        <v>1.86</v>
      </c>
      <c r="F337">
        <v>0.84</v>
      </c>
      <c r="G337">
        <v>0.54</v>
      </c>
      <c r="H337">
        <v>0.02</v>
      </c>
      <c r="I337">
        <v>0.26</v>
      </c>
      <c r="J337" t="s">
        <v>36</v>
      </c>
      <c r="K337">
        <v>12.32</v>
      </c>
      <c r="L337">
        <v>0.56000000000000005</v>
      </c>
      <c r="M337">
        <v>5.88</v>
      </c>
      <c r="N337">
        <v>34.574399999999997</v>
      </c>
      <c r="O337">
        <v>5</v>
      </c>
      <c r="P337">
        <v>0</v>
      </c>
      <c r="Q337">
        <v>356.15199999999999</v>
      </c>
      <c r="R337">
        <v>5</v>
      </c>
      <c r="S337">
        <v>-1</v>
      </c>
      <c r="T337">
        <v>5.22</v>
      </c>
      <c r="U337" t="str">
        <f>IFERROR(INDEX(Rosters!$C$2:$C$155,MATCH(B337,Rosters!$B$2:$B$155,0)),"NA")</f>
        <v>perry</v>
      </c>
      <c r="V337" t="str">
        <f t="shared" si="15"/>
        <v>perry16</v>
      </c>
      <c r="W337">
        <f>COUNTIFS(A$1:A337,A337)</f>
        <v>17</v>
      </c>
      <c r="X337" t="str">
        <f t="shared" si="16"/>
        <v>Texans D/ST16</v>
      </c>
      <c r="Y337">
        <f>COUNTIF(V$1:V337,V337)</f>
        <v>1</v>
      </c>
      <c r="Z337" t="str">
        <f t="shared" si="17"/>
        <v>perry16-1</v>
      </c>
    </row>
    <row r="338" spans="1:26" x14ac:dyDescent="0.25">
      <c r="A338">
        <v>16</v>
      </c>
      <c r="B338" t="s">
        <v>431</v>
      </c>
      <c r="C338">
        <f>-0.16-11.6</f>
        <v>-11.76</v>
      </c>
      <c r="D338">
        <v>26.36</v>
      </c>
      <c r="E338">
        <v>1.78</v>
      </c>
      <c r="F338">
        <v>0.88</v>
      </c>
      <c r="G338">
        <v>0.6</v>
      </c>
      <c r="H338">
        <v>0.02</v>
      </c>
      <c r="I338">
        <v>0.24</v>
      </c>
      <c r="J338" t="s">
        <v>31</v>
      </c>
      <c r="K338">
        <v>11.6</v>
      </c>
      <c r="L338">
        <v>-0.16</v>
      </c>
      <c r="M338">
        <v>5.88</v>
      </c>
      <c r="N338">
        <v>34.574399999999997</v>
      </c>
      <c r="O338">
        <v>5</v>
      </c>
      <c r="P338">
        <v>0</v>
      </c>
      <c r="Q338">
        <v>367.072</v>
      </c>
      <c r="R338">
        <v>5</v>
      </c>
      <c r="S338">
        <v>-1</v>
      </c>
      <c r="T338">
        <v>5.22</v>
      </c>
      <c r="U338" t="str">
        <f>IFERROR(INDEX(Rosters!$C$2:$C$155,MATCH(B338,Rosters!$B$2:$B$155,0)),"NA")</f>
        <v>NA</v>
      </c>
      <c r="V338" t="str">
        <f t="shared" si="15"/>
        <v>NA16</v>
      </c>
      <c r="W338">
        <f>COUNTIFS(A$1:A338,A338)</f>
        <v>18</v>
      </c>
      <c r="X338" t="str">
        <f t="shared" si="16"/>
        <v>Saints D/ST16</v>
      </c>
      <c r="Y338">
        <f>COUNTIF(V$1:V338,V338)</f>
        <v>9</v>
      </c>
      <c r="Z338" t="str">
        <f t="shared" si="17"/>
        <v>NA16-9</v>
      </c>
    </row>
    <row r="339" spans="1:26" x14ac:dyDescent="0.25">
      <c r="A339">
        <v>1</v>
      </c>
      <c r="B339" t="s">
        <v>422</v>
      </c>
      <c r="C339" t="s">
        <v>1252</v>
      </c>
      <c r="D339">
        <v>23.48</v>
      </c>
      <c r="E339">
        <v>2.2000000000000002</v>
      </c>
      <c r="F339">
        <v>0.8</v>
      </c>
      <c r="G339">
        <v>0.72</v>
      </c>
      <c r="H339">
        <v>0.06</v>
      </c>
      <c r="I339">
        <v>0.14000000000000001</v>
      </c>
      <c r="J339" t="s">
        <v>22</v>
      </c>
      <c r="K339">
        <v>10.99</v>
      </c>
      <c r="L339">
        <v>1.97</v>
      </c>
      <c r="M339">
        <v>4.51</v>
      </c>
      <c r="N339">
        <v>20.3401</v>
      </c>
      <c r="O339">
        <v>5</v>
      </c>
      <c r="P339">
        <v>0</v>
      </c>
      <c r="Q339">
        <v>352.096</v>
      </c>
      <c r="R339">
        <v>5</v>
      </c>
      <c r="S339">
        <v>-1</v>
      </c>
      <c r="T339">
        <v>5.2</v>
      </c>
      <c r="U339" t="str">
        <f>IFERROR(INDEX(Rosters!$C$2:$C$155,MATCH(B339,Rosters!$B$2:$B$155,0)),"NA")</f>
        <v>NA</v>
      </c>
      <c r="V339" t="str">
        <f t="shared" si="15"/>
        <v>NA1</v>
      </c>
      <c r="W339">
        <f>COUNTIFS(A$1:A339,A339)</f>
        <v>22</v>
      </c>
      <c r="X339" t="str">
        <f t="shared" si="16"/>
        <v>Dolphins D/ST1</v>
      </c>
      <c r="Y339">
        <f>COUNTIF(V$1:V339,V339)</f>
        <v>15</v>
      </c>
      <c r="Z339" t="str">
        <f t="shared" si="17"/>
        <v>NA1-15</v>
      </c>
    </row>
    <row r="340" spans="1:26" x14ac:dyDescent="0.25">
      <c r="A340">
        <v>17</v>
      </c>
      <c r="B340" t="s">
        <v>425</v>
      </c>
      <c r="C340" t="s">
        <v>5601</v>
      </c>
      <c r="D340">
        <v>27.08</v>
      </c>
      <c r="E340">
        <v>2.0099999999999998</v>
      </c>
      <c r="F340">
        <v>1.1599999999999999</v>
      </c>
      <c r="G340">
        <v>0.7</v>
      </c>
      <c r="H340">
        <v>0</v>
      </c>
      <c r="I340">
        <v>0.24</v>
      </c>
      <c r="J340" t="s">
        <v>42</v>
      </c>
      <c r="K340">
        <v>12.53</v>
      </c>
      <c r="L340">
        <v>0.75</v>
      </c>
      <c r="M340">
        <v>5.89</v>
      </c>
      <c r="N340">
        <v>34.692100000000003</v>
      </c>
      <c r="O340">
        <v>6</v>
      </c>
      <c r="P340">
        <v>-1</v>
      </c>
      <c r="Q340">
        <v>370.81599999999997</v>
      </c>
      <c r="R340">
        <v>5</v>
      </c>
      <c r="S340">
        <v>-1</v>
      </c>
      <c r="T340">
        <v>5.17</v>
      </c>
      <c r="U340" t="str">
        <f>IFERROR(INDEX(Rosters!$C$2:$C$155,MATCH(B340,Rosters!$B$2:$B$155,0)),"NA")</f>
        <v>NA</v>
      </c>
      <c r="V340" t="str">
        <f t="shared" si="15"/>
        <v>NA17</v>
      </c>
      <c r="W340">
        <f>COUNTIFS(A$1:A340,A340)</f>
        <v>22</v>
      </c>
      <c r="X340" t="str">
        <f t="shared" si="16"/>
        <v>Packers D/ST17</v>
      </c>
      <c r="Y340">
        <f>COUNTIF(V$1:V340,V340)</f>
        <v>14</v>
      </c>
      <c r="Z340" t="str">
        <f t="shared" si="17"/>
        <v>NA17-14</v>
      </c>
    </row>
    <row r="341" spans="1:26" x14ac:dyDescent="0.25">
      <c r="A341">
        <v>15</v>
      </c>
      <c r="B341" t="s">
        <v>409</v>
      </c>
      <c r="C341" t="s">
        <v>5602</v>
      </c>
      <c r="D341">
        <v>25.57</v>
      </c>
      <c r="E341">
        <v>2.02</v>
      </c>
      <c r="F341">
        <v>0.78</v>
      </c>
      <c r="G341">
        <v>0.68</v>
      </c>
      <c r="H341">
        <v>0.06</v>
      </c>
      <c r="I341">
        <v>0.18</v>
      </c>
      <c r="J341" t="s">
        <v>73</v>
      </c>
      <c r="K341">
        <v>10.96</v>
      </c>
      <c r="L341">
        <v>0.68</v>
      </c>
      <c r="M341">
        <v>5.14</v>
      </c>
      <c r="N341">
        <v>26.419599999999999</v>
      </c>
      <c r="O341">
        <v>5</v>
      </c>
      <c r="P341">
        <v>0</v>
      </c>
      <c r="Q341">
        <v>362.964</v>
      </c>
      <c r="R341">
        <v>5</v>
      </c>
      <c r="S341">
        <v>-1</v>
      </c>
      <c r="T341">
        <v>5.14</v>
      </c>
      <c r="U341" t="str">
        <f>IFERROR(INDEX(Rosters!$C$2:$C$155,MATCH(B341,Rosters!$B$2:$B$155,0)),"NA")</f>
        <v>NA</v>
      </c>
      <c r="V341" t="str">
        <f t="shared" si="15"/>
        <v>NA15</v>
      </c>
      <c r="W341">
        <f>COUNTIFS(A$1:A341,A341)</f>
        <v>21</v>
      </c>
      <c r="X341" t="str">
        <f t="shared" si="16"/>
        <v>Cardinals D/ST15</v>
      </c>
      <c r="Y341">
        <f>COUNTIF(V$1:V341,V341)</f>
        <v>12</v>
      </c>
      <c r="Z341" t="str">
        <f t="shared" si="17"/>
        <v>NA15-12</v>
      </c>
    </row>
    <row r="342" spans="1:26" x14ac:dyDescent="0.25">
      <c r="A342">
        <v>15</v>
      </c>
      <c r="B342" t="s">
        <v>431</v>
      </c>
      <c r="C342">
        <f>-0.01-11.33</f>
        <v>-11.34</v>
      </c>
      <c r="D342">
        <v>26.43</v>
      </c>
      <c r="E342">
        <v>2.1800000000000002</v>
      </c>
      <c r="F342">
        <v>0.78</v>
      </c>
      <c r="G342">
        <v>0.56000000000000005</v>
      </c>
      <c r="H342">
        <v>0.04</v>
      </c>
      <c r="I342">
        <v>0.2</v>
      </c>
      <c r="J342" t="s">
        <v>37</v>
      </c>
      <c r="K342">
        <v>11.33</v>
      </c>
      <c r="L342">
        <v>-0.01</v>
      </c>
      <c r="M342">
        <v>5.67</v>
      </c>
      <c r="N342">
        <v>32.148899999999998</v>
      </c>
      <c r="O342">
        <v>5</v>
      </c>
      <c r="P342">
        <v>0</v>
      </c>
      <c r="Q342">
        <v>367.43599999999998</v>
      </c>
      <c r="R342">
        <v>5</v>
      </c>
      <c r="S342">
        <v>-1</v>
      </c>
      <c r="T342">
        <v>5.14</v>
      </c>
      <c r="U342" t="str">
        <f>IFERROR(INDEX(Rosters!$C$2:$C$155,MATCH(B342,Rosters!$B$2:$B$155,0)),"NA")</f>
        <v>NA</v>
      </c>
      <c r="V342" t="str">
        <f t="shared" si="15"/>
        <v>NA15</v>
      </c>
      <c r="W342">
        <f>COUNTIFS(A$1:A342,A342)</f>
        <v>22</v>
      </c>
      <c r="X342" t="str">
        <f t="shared" si="16"/>
        <v>Saints D/ST15</v>
      </c>
      <c r="Y342">
        <f>COUNTIF(V$1:V342,V342)</f>
        <v>13</v>
      </c>
      <c r="Z342" t="str">
        <f t="shared" si="17"/>
        <v>NA15-13</v>
      </c>
    </row>
    <row r="343" spans="1:26" x14ac:dyDescent="0.25">
      <c r="A343">
        <v>17</v>
      </c>
      <c r="B343" t="s">
        <v>431</v>
      </c>
      <c r="C343">
        <f>-0.01-11.33</f>
        <v>-11.34</v>
      </c>
      <c r="D343">
        <v>26.43</v>
      </c>
      <c r="E343">
        <v>2.1800000000000002</v>
      </c>
      <c r="F343">
        <v>0.78</v>
      </c>
      <c r="G343">
        <v>0.56000000000000005</v>
      </c>
      <c r="H343">
        <v>0.04</v>
      </c>
      <c r="I343">
        <v>0.2</v>
      </c>
      <c r="J343" t="s">
        <v>37</v>
      </c>
      <c r="K343">
        <v>11.33</v>
      </c>
      <c r="L343">
        <v>-0.01</v>
      </c>
      <c r="M343">
        <v>5.67</v>
      </c>
      <c r="N343">
        <v>32.148899999999998</v>
      </c>
      <c r="O343">
        <v>5</v>
      </c>
      <c r="P343">
        <v>0</v>
      </c>
      <c r="Q343">
        <v>367.43599999999998</v>
      </c>
      <c r="R343">
        <v>5</v>
      </c>
      <c r="S343">
        <v>-1</v>
      </c>
      <c r="T343">
        <v>5.14</v>
      </c>
      <c r="U343" t="str">
        <f>IFERROR(INDEX(Rosters!$C$2:$C$155,MATCH(B343,Rosters!$B$2:$B$155,0)),"NA")</f>
        <v>NA</v>
      </c>
      <c r="V343" t="str">
        <f t="shared" si="15"/>
        <v>NA17</v>
      </c>
      <c r="W343">
        <f>COUNTIFS(A$1:A343,A343)</f>
        <v>23</v>
      </c>
      <c r="X343" t="str">
        <f t="shared" si="16"/>
        <v>Saints D/ST17</v>
      </c>
      <c r="Y343">
        <f>COUNTIF(V$1:V343,V343)</f>
        <v>15</v>
      </c>
      <c r="Z343" t="str">
        <f t="shared" si="17"/>
        <v>NA17-15</v>
      </c>
    </row>
    <row r="344" spans="1:26" x14ac:dyDescent="0.25">
      <c r="A344">
        <v>5</v>
      </c>
      <c r="B344" t="s">
        <v>429</v>
      </c>
      <c r="C344" t="s">
        <v>9059</v>
      </c>
      <c r="D344">
        <v>30.29</v>
      </c>
      <c r="E344">
        <v>2.15</v>
      </c>
      <c r="F344">
        <v>1.0900000000000001</v>
      </c>
      <c r="G344">
        <v>0.62</v>
      </c>
      <c r="H344">
        <v>0</v>
      </c>
      <c r="I344">
        <v>0.26</v>
      </c>
      <c r="J344" t="s">
        <v>72</v>
      </c>
      <c r="K344">
        <v>11.31</v>
      </c>
      <c r="L344">
        <v>0.61</v>
      </c>
      <c r="M344">
        <v>5.35</v>
      </c>
      <c r="N344">
        <v>28.622499999999999</v>
      </c>
      <c r="O344">
        <v>6</v>
      </c>
      <c r="P344">
        <v>-1</v>
      </c>
      <c r="Q344">
        <v>387.50799999999998</v>
      </c>
      <c r="R344">
        <v>5</v>
      </c>
      <c r="S344">
        <v>-1</v>
      </c>
      <c r="T344">
        <v>5.13</v>
      </c>
      <c r="U344" t="str">
        <f>IFERROR(INDEX(Rosters!$C$2:$C$155,MATCH(B344,Rosters!$B$2:$B$155,0)),"NA")</f>
        <v>NA</v>
      </c>
      <c r="V344" t="str">
        <f t="shared" si="15"/>
        <v>NA5</v>
      </c>
      <c r="W344">
        <f>COUNTIFS(A$1:A344,A344)</f>
        <v>26</v>
      </c>
      <c r="X344" t="str">
        <f t="shared" si="16"/>
        <v>Redskins D/ST5</v>
      </c>
      <c r="Y344">
        <f>COUNTIF(V$1:V344,V344)</f>
        <v>16</v>
      </c>
      <c r="Z344" t="str">
        <f t="shared" si="17"/>
        <v>NA5-16</v>
      </c>
    </row>
    <row r="345" spans="1:26" x14ac:dyDescent="0.25">
      <c r="A345">
        <v>13</v>
      </c>
      <c r="B345" t="s">
        <v>415</v>
      </c>
      <c r="C345" t="s">
        <v>5603</v>
      </c>
      <c r="D345">
        <v>24.89</v>
      </c>
      <c r="E345">
        <v>1.78</v>
      </c>
      <c r="F345">
        <v>0.92</v>
      </c>
      <c r="G345">
        <v>0.64</v>
      </c>
      <c r="H345">
        <v>0</v>
      </c>
      <c r="I345">
        <v>0.2</v>
      </c>
      <c r="J345" t="s">
        <v>29</v>
      </c>
      <c r="K345">
        <v>11.23</v>
      </c>
      <c r="L345">
        <v>0.83</v>
      </c>
      <c r="M345">
        <v>5.2</v>
      </c>
      <c r="N345">
        <v>27.04</v>
      </c>
      <c r="O345">
        <v>5</v>
      </c>
      <c r="P345">
        <v>0</v>
      </c>
      <c r="Q345">
        <v>359.428</v>
      </c>
      <c r="R345">
        <v>5</v>
      </c>
      <c r="S345">
        <v>-1</v>
      </c>
      <c r="T345">
        <v>5.0999999999999996</v>
      </c>
      <c r="U345" t="str">
        <f>IFERROR(INDEX(Rosters!$C$2:$C$155,MATCH(B345,Rosters!$B$2:$B$155,0)),"NA")</f>
        <v>NA</v>
      </c>
      <c r="V345" t="str">
        <f t="shared" si="15"/>
        <v>NA13</v>
      </c>
      <c r="W345">
        <f>COUNTIFS(A$1:A345,A345)</f>
        <v>21</v>
      </c>
      <c r="X345" t="str">
        <f t="shared" si="16"/>
        <v>Patriots D/ST13</v>
      </c>
      <c r="Y345">
        <f>COUNTIF(V$1:V345,V345)</f>
        <v>12</v>
      </c>
      <c r="Z345" t="str">
        <f t="shared" si="17"/>
        <v>NA13-12</v>
      </c>
    </row>
    <row r="346" spans="1:26" x14ac:dyDescent="0.25">
      <c r="A346">
        <v>14</v>
      </c>
      <c r="B346" t="s">
        <v>410</v>
      </c>
      <c r="C346" t="s">
        <v>5604</v>
      </c>
      <c r="D346">
        <v>25.2</v>
      </c>
      <c r="E346">
        <v>2.1</v>
      </c>
      <c r="F346">
        <v>0.8</v>
      </c>
      <c r="G346">
        <v>0.74</v>
      </c>
      <c r="H346">
        <v>0.04</v>
      </c>
      <c r="I346">
        <v>0.14000000000000001</v>
      </c>
      <c r="J346" t="s">
        <v>51</v>
      </c>
      <c r="K346">
        <v>11.42</v>
      </c>
      <c r="L346">
        <v>0.78</v>
      </c>
      <c r="M346">
        <v>5.32</v>
      </c>
      <c r="N346">
        <v>28.302399999999999</v>
      </c>
      <c r="O346">
        <v>5</v>
      </c>
      <c r="P346">
        <v>0</v>
      </c>
      <c r="Q346">
        <v>361.04</v>
      </c>
      <c r="R346">
        <v>5</v>
      </c>
      <c r="S346">
        <v>-1</v>
      </c>
      <c r="T346">
        <v>5.0999999999999996</v>
      </c>
      <c r="U346" t="str">
        <f>IFERROR(INDEX(Rosters!$C$2:$C$155,MATCH(B346,Rosters!$B$2:$B$155,0)),"NA")</f>
        <v>NA</v>
      </c>
      <c r="V346" t="str">
        <f t="shared" si="15"/>
        <v>NA14</v>
      </c>
      <c r="W346">
        <f>COUNTIFS(A$1:A346,A346)</f>
        <v>18</v>
      </c>
      <c r="X346" t="str">
        <f t="shared" si="16"/>
        <v>Chiefs D/ST14</v>
      </c>
      <c r="Y346">
        <f>COUNTIF(V$1:V346,V346)</f>
        <v>11</v>
      </c>
      <c r="Z346" t="str">
        <f t="shared" si="17"/>
        <v>NA14-11</v>
      </c>
    </row>
    <row r="347" spans="1:26" x14ac:dyDescent="0.25">
      <c r="A347">
        <v>6</v>
      </c>
      <c r="B347" t="s">
        <v>409</v>
      </c>
      <c r="C347" t="s">
        <v>5605</v>
      </c>
      <c r="D347">
        <v>24.48</v>
      </c>
      <c r="E347">
        <v>2.16</v>
      </c>
      <c r="F347">
        <v>0.74</v>
      </c>
      <c r="G347">
        <v>0.74</v>
      </c>
      <c r="H347">
        <v>0.06</v>
      </c>
      <c r="I347">
        <v>0.14000000000000001</v>
      </c>
      <c r="J347" t="s">
        <v>29</v>
      </c>
      <c r="K347">
        <v>10.93</v>
      </c>
      <c r="L347">
        <v>1.85</v>
      </c>
      <c r="M347">
        <v>4.54</v>
      </c>
      <c r="N347">
        <v>20.611599999999999</v>
      </c>
      <c r="O347">
        <v>5</v>
      </c>
      <c r="P347">
        <v>0</v>
      </c>
      <c r="Q347">
        <v>357.29599999999999</v>
      </c>
      <c r="R347">
        <v>5</v>
      </c>
      <c r="S347">
        <v>-1</v>
      </c>
      <c r="T347">
        <v>5.08</v>
      </c>
      <c r="U347" t="str">
        <f>IFERROR(INDEX(Rosters!$C$2:$C$155,MATCH(B347,Rosters!$B$2:$B$155,0)),"NA")</f>
        <v>NA</v>
      </c>
      <c r="V347" t="str">
        <f t="shared" si="15"/>
        <v>NA6</v>
      </c>
      <c r="W347">
        <f>COUNTIFS(A$1:A347,A347)</f>
        <v>22</v>
      </c>
      <c r="X347" t="str">
        <f t="shared" si="16"/>
        <v>Cardinals D/ST6</v>
      </c>
      <c r="Y347">
        <f>COUNTIF(V$1:V347,V347)</f>
        <v>14</v>
      </c>
      <c r="Z347" t="str">
        <f t="shared" si="17"/>
        <v>NA6-14</v>
      </c>
    </row>
    <row r="348" spans="1:26" x14ac:dyDescent="0.25">
      <c r="A348">
        <v>10</v>
      </c>
      <c r="B348" t="s">
        <v>422</v>
      </c>
      <c r="C348" t="s">
        <v>5606</v>
      </c>
      <c r="D348">
        <v>26.74</v>
      </c>
      <c r="E348">
        <v>2.23</v>
      </c>
      <c r="F348">
        <v>1</v>
      </c>
      <c r="G348">
        <v>0.62</v>
      </c>
      <c r="H348">
        <v>0.02</v>
      </c>
      <c r="I348">
        <v>0.26</v>
      </c>
      <c r="J348" t="s">
        <v>30</v>
      </c>
      <c r="K348">
        <v>11.82</v>
      </c>
      <c r="L348">
        <v>0.98</v>
      </c>
      <c r="M348">
        <v>5.42</v>
      </c>
      <c r="N348">
        <v>29.3764</v>
      </c>
      <c r="O348">
        <v>6</v>
      </c>
      <c r="P348">
        <v>-1</v>
      </c>
      <c r="Q348">
        <v>369.048</v>
      </c>
      <c r="R348">
        <v>5</v>
      </c>
      <c r="S348">
        <v>-1</v>
      </c>
      <c r="T348">
        <v>5.07</v>
      </c>
      <c r="U348" t="str">
        <f>IFERROR(INDEX(Rosters!$C$2:$C$155,MATCH(B348,Rosters!$B$2:$B$155,0)),"NA")</f>
        <v>NA</v>
      </c>
      <c r="V348" t="str">
        <f t="shared" si="15"/>
        <v>NA10</v>
      </c>
      <c r="W348">
        <f>COUNTIFS(A$1:A348,A348)</f>
        <v>17</v>
      </c>
      <c r="X348" t="str">
        <f t="shared" si="16"/>
        <v>Dolphins D/ST10</v>
      </c>
      <c r="Y348">
        <f>COUNTIF(V$1:V348,V348)</f>
        <v>12</v>
      </c>
      <c r="Z348" t="str">
        <f t="shared" si="17"/>
        <v>NA10-12</v>
      </c>
    </row>
    <row r="349" spans="1:26" x14ac:dyDescent="0.25">
      <c r="A349">
        <v>8</v>
      </c>
      <c r="B349" t="s">
        <v>408</v>
      </c>
      <c r="C349" t="s">
        <v>5607</v>
      </c>
      <c r="D349">
        <v>26.15</v>
      </c>
      <c r="E349">
        <v>1.54</v>
      </c>
      <c r="F349">
        <v>0.78</v>
      </c>
      <c r="G349">
        <v>0.56000000000000005</v>
      </c>
      <c r="H349">
        <v>0.02</v>
      </c>
      <c r="I349">
        <v>0.3</v>
      </c>
      <c r="J349" t="s">
        <v>38</v>
      </c>
      <c r="K349">
        <v>9.9</v>
      </c>
      <c r="L349">
        <v>1.48</v>
      </c>
      <c r="M349">
        <v>4.21</v>
      </c>
      <c r="N349">
        <v>17.7241</v>
      </c>
      <c r="O349">
        <v>5</v>
      </c>
      <c r="P349">
        <v>0</v>
      </c>
      <c r="Q349">
        <v>365.98</v>
      </c>
      <c r="R349">
        <v>5</v>
      </c>
      <c r="S349">
        <v>-1</v>
      </c>
      <c r="T349">
        <v>5.0599999999999996</v>
      </c>
      <c r="U349" t="str">
        <f>IFERROR(INDEX(Rosters!$C$2:$C$155,MATCH(B349,Rosters!$B$2:$B$155,0)),"NA")</f>
        <v>NA</v>
      </c>
      <c r="V349" t="str">
        <f t="shared" si="15"/>
        <v>NA8</v>
      </c>
      <c r="W349">
        <f>COUNTIFS(A$1:A349,A349)</f>
        <v>18</v>
      </c>
      <c r="X349" t="str">
        <f t="shared" si="16"/>
        <v>Giants D/ST8</v>
      </c>
      <c r="Y349">
        <f>COUNTIF(V$1:V349,V349)</f>
        <v>11</v>
      </c>
      <c r="Z349" t="str">
        <f t="shared" si="17"/>
        <v>NA8-11</v>
      </c>
    </row>
    <row r="350" spans="1:26" x14ac:dyDescent="0.25">
      <c r="A350">
        <v>14</v>
      </c>
      <c r="B350" t="s">
        <v>408</v>
      </c>
      <c r="C350" t="s">
        <v>5607</v>
      </c>
      <c r="D350">
        <v>26.15</v>
      </c>
      <c r="E350">
        <v>1.54</v>
      </c>
      <c r="F350">
        <v>0.78</v>
      </c>
      <c r="G350">
        <v>0.56000000000000005</v>
      </c>
      <c r="H350">
        <v>0.02</v>
      </c>
      <c r="I350">
        <v>0.3</v>
      </c>
      <c r="J350" t="s">
        <v>38</v>
      </c>
      <c r="K350">
        <v>9.9</v>
      </c>
      <c r="L350">
        <v>1.48</v>
      </c>
      <c r="M350">
        <v>4.21</v>
      </c>
      <c r="N350">
        <v>17.7241</v>
      </c>
      <c r="O350">
        <v>5</v>
      </c>
      <c r="P350">
        <v>0</v>
      </c>
      <c r="Q350">
        <v>365.98</v>
      </c>
      <c r="R350">
        <v>5</v>
      </c>
      <c r="S350">
        <v>-1</v>
      </c>
      <c r="T350">
        <v>5.0599999999999996</v>
      </c>
      <c r="U350" t="str">
        <f>IFERROR(INDEX(Rosters!$C$2:$C$155,MATCH(B350,Rosters!$B$2:$B$155,0)),"NA")</f>
        <v>NA</v>
      </c>
      <c r="V350" t="str">
        <f t="shared" si="15"/>
        <v>NA14</v>
      </c>
      <c r="W350">
        <f>COUNTIFS(A$1:A350,A350)</f>
        <v>19</v>
      </c>
      <c r="X350" t="str">
        <f t="shared" si="16"/>
        <v>Giants D/ST14</v>
      </c>
      <c r="Y350">
        <f>COUNTIF(V$1:V350,V350)</f>
        <v>12</v>
      </c>
      <c r="Z350" t="str">
        <f t="shared" si="17"/>
        <v>NA14-12</v>
      </c>
    </row>
    <row r="351" spans="1:26" x14ac:dyDescent="0.25">
      <c r="A351">
        <v>2</v>
      </c>
      <c r="B351" t="s">
        <v>424</v>
      </c>
      <c r="C351" t="s">
        <v>1253</v>
      </c>
      <c r="D351">
        <v>26.26</v>
      </c>
      <c r="E351">
        <v>2.06</v>
      </c>
      <c r="F351">
        <v>0.92</v>
      </c>
      <c r="G351">
        <v>0.48</v>
      </c>
      <c r="H351">
        <v>0</v>
      </c>
      <c r="I351">
        <v>0.2</v>
      </c>
      <c r="J351" t="s">
        <v>77</v>
      </c>
      <c r="K351">
        <v>10.46</v>
      </c>
      <c r="L351">
        <v>1.26</v>
      </c>
      <c r="M351">
        <v>4.5999999999999996</v>
      </c>
      <c r="N351">
        <v>21.16</v>
      </c>
      <c r="O351">
        <v>5</v>
      </c>
      <c r="P351">
        <v>0</v>
      </c>
      <c r="Q351">
        <v>366.55200000000002</v>
      </c>
      <c r="R351">
        <v>5</v>
      </c>
      <c r="S351">
        <v>-1</v>
      </c>
      <c r="T351">
        <v>5.0599999999999996</v>
      </c>
      <c r="U351" t="str">
        <f>IFERROR(INDEX(Rosters!$C$2:$C$155,MATCH(B351,Rosters!$B$2:$B$155,0)),"NA")</f>
        <v>NA</v>
      </c>
      <c r="V351" t="str">
        <f t="shared" si="15"/>
        <v>NA2</v>
      </c>
      <c r="W351">
        <f>COUNTIFS(A$1:A351,A351)</f>
        <v>22</v>
      </c>
      <c r="X351" t="str">
        <f t="shared" si="16"/>
        <v>Steelers D/ST2</v>
      </c>
      <c r="Y351">
        <f>COUNTIF(V$1:V351,V351)</f>
        <v>14</v>
      </c>
      <c r="Z351" t="str">
        <f t="shared" si="17"/>
        <v>NA2-14</v>
      </c>
    </row>
    <row r="352" spans="1:26" x14ac:dyDescent="0.25">
      <c r="A352">
        <v>12</v>
      </c>
      <c r="B352" t="s">
        <v>428</v>
      </c>
      <c r="C352" t="s">
        <v>5608</v>
      </c>
      <c r="D352">
        <v>26.31</v>
      </c>
      <c r="E352">
        <v>1.92</v>
      </c>
      <c r="F352">
        <v>0.98</v>
      </c>
      <c r="G352">
        <v>0.57999999999999996</v>
      </c>
      <c r="H352">
        <v>0.02</v>
      </c>
      <c r="I352">
        <v>0.16</v>
      </c>
      <c r="J352" t="s">
        <v>14</v>
      </c>
      <c r="K352">
        <v>10.99</v>
      </c>
      <c r="L352">
        <v>0.45</v>
      </c>
      <c r="M352">
        <v>5.27</v>
      </c>
      <c r="N352">
        <v>27.7729</v>
      </c>
      <c r="O352">
        <v>5</v>
      </c>
      <c r="P352">
        <v>0</v>
      </c>
      <c r="Q352">
        <v>366.81200000000001</v>
      </c>
      <c r="R352">
        <v>5</v>
      </c>
      <c r="S352">
        <v>-1</v>
      </c>
      <c r="T352">
        <v>5.04</v>
      </c>
      <c r="U352" t="str">
        <f>IFERROR(INDEX(Rosters!$C$2:$C$155,MATCH(B352,Rosters!$B$2:$B$155,0)),"NA")</f>
        <v>NA</v>
      </c>
      <c r="V352" t="str">
        <f t="shared" si="15"/>
        <v>NA12</v>
      </c>
      <c r="W352">
        <f>COUNTIFS(A$1:A352,A352)</f>
        <v>19</v>
      </c>
      <c r="X352" t="str">
        <f t="shared" si="16"/>
        <v>Buccaneers D/ST12</v>
      </c>
      <c r="Y352">
        <f>COUNTIF(V$1:V352,V352)</f>
        <v>12</v>
      </c>
      <c r="Z352" t="str">
        <f t="shared" si="17"/>
        <v>NA12-12</v>
      </c>
    </row>
    <row r="353" spans="1:26" x14ac:dyDescent="0.25">
      <c r="A353">
        <v>3</v>
      </c>
      <c r="B353" t="s">
        <v>421</v>
      </c>
      <c r="C353">
        <f>-0.7-12.16</f>
        <v>-12.86</v>
      </c>
      <c r="D353">
        <v>29.72</v>
      </c>
      <c r="E353">
        <v>2.46</v>
      </c>
      <c r="F353">
        <v>1.07</v>
      </c>
      <c r="G353">
        <v>0.59</v>
      </c>
      <c r="H353">
        <v>0.03</v>
      </c>
      <c r="I353">
        <v>0.2</v>
      </c>
      <c r="J353" t="s">
        <v>52</v>
      </c>
      <c r="K353">
        <v>12.16</v>
      </c>
      <c r="L353">
        <v>-0.7</v>
      </c>
      <c r="M353">
        <v>6.43</v>
      </c>
      <c r="N353">
        <v>41.344900000000003</v>
      </c>
      <c r="O353">
        <v>6</v>
      </c>
      <c r="P353">
        <v>-1</v>
      </c>
      <c r="Q353">
        <v>384.54399999999998</v>
      </c>
      <c r="R353">
        <v>5</v>
      </c>
      <c r="S353">
        <v>-1</v>
      </c>
      <c r="T353">
        <v>5.04</v>
      </c>
      <c r="U353" t="str">
        <f>IFERROR(INDEX(Rosters!$C$2:$C$155,MATCH(B353,Rosters!$B$2:$B$155,0)),"NA")</f>
        <v>NA</v>
      </c>
      <c r="V353" t="str">
        <f t="shared" si="15"/>
        <v>NA3</v>
      </c>
      <c r="W353">
        <f>COUNTIFS(A$1:A353,A353)</f>
        <v>28</v>
      </c>
      <c r="X353" t="str">
        <f t="shared" si="16"/>
        <v>Chargers D/ST3</v>
      </c>
      <c r="Y353">
        <f>COUNTIF(V$1:V353,V353)</f>
        <v>17</v>
      </c>
      <c r="Z353" t="str">
        <f t="shared" si="17"/>
        <v>NA3-17</v>
      </c>
    </row>
    <row r="354" spans="1:26" x14ac:dyDescent="0.25">
      <c r="A354">
        <v>5</v>
      </c>
      <c r="B354" t="s">
        <v>437</v>
      </c>
      <c r="C354" t="s">
        <v>9074</v>
      </c>
      <c r="D354">
        <v>24.86</v>
      </c>
      <c r="E354">
        <v>1.61</v>
      </c>
      <c r="F354">
        <v>1.1599999999999999</v>
      </c>
      <c r="G354">
        <v>0.46</v>
      </c>
      <c r="H354">
        <v>0.02</v>
      </c>
      <c r="I354">
        <v>0.19</v>
      </c>
      <c r="J354" t="s">
        <v>31</v>
      </c>
      <c r="K354">
        <v>11.55</v>
      </c>
      <c r="L354">
        <v>0.61</v>
      </c>
      <c r="M354">
        <v>5.47</v>
      </c>
      <c r="N354">
        <v>29.9209</v>
      </c>
      <c r="O354">
        <v>5</v>
      </c>
      <c r="P354">
        <v>0</v>
      </c>
      <c r="Q354">
        <v>359.27199999999999</v>
      </c>
      <c r="R354">
        <v>5</v>
      </c>
      <c r="S354">
        <v>-1</v>
      </c>
      <c r="T354">
        <v>5.03</v>
      </c>
      <c r="U354" t="str">
        <f>IFERROR(INDEX(Rosters!$C$2:$C$155,MATCH(B354,Rosters!$B$2:$B$155,0)),"NA")</f>
        <v>NA</v>
      </c>
      <c r="V354" t="str">
        <f t="shared" si="15"/>
        <v>NA5</v>
      </c>
      <c r="W354">
        <f>COUNTIFS(A$1:A354,A354)</f>
        <v>27</v>
      </c>
      <c r="X354" t="str">
        <f t="shared" si="16"/>
        <v>Falcons D/ST5</v>
      </c>
      <c r="Y354">
        <f>COUNTIF(V$1:V354,V354)</f>
        <v>17</v>
      </c>
      <c r="Z354" t="str">
        <f t="shared" si="17"/>
        <v>NA5-17</v>
      </c>
    </row>
    <row r="355" spans="1:26" x14ac:dyDescent="0.25">
      <c r="A355">
        <v>11</v>
      </c>
      <c r="B355" t="s">
        <v>405</v>
      </c>
      <c r="C355">
        <f>-0.12-11.32</f>
        <v>-11.44</v>
      </c>
      <c r="D355">
        <v>26.45</v>
      </c>
      <c r="E355">
        <v>1.78</v>
      </c>
      <c r="F355">
        <v>0.8</v>
      </c>
      <c r="G355">
        <v>0.68</v>
      </c>
      <c r="H355">
        <v>0.04</v>
      </c>
      <c r="I355">
        <v>0.2</v>
      </c>
      <c r="J355" t="s">
        <v>38</v>
      </c>
      <c r="K355">
        <v>11.32</v>
      </c>
      <c r="L355">
        <v>-0.12</v>
      </c>
      <c r="M355">
        <v>5.72</v>
      </c>
      <c r="N355">
        <v>32.718400000000003</v>
      </c>
      <c r="O355">
        <v>5</v>
      </c>
      <c r="P355">
        <v>0</v>
      </c>
      <c r="Q355">
        <v>367.54</v>
      </c>
      <c r="R355">
        <v>5</v>
      </c>
      <c r="S355">
        <v>-1</v>
      </c>
      <c r="T355">
        <v>5.0199999999999996</v>
      </c>
      <c r="U355" t="str">
        <f>IFERROR(INDEX(Rosters!$C$2:$C$155,MATCH(B355,Rosters!$B$2:$B$155,0)),"NA")</f>
        <v>perry</v>
      </c>
      <c r="V355" t="str">
        <f t="shared" si="15"/>
        <v>perry11</v>
      </c>
      <c r="W355">
        <f>COUNTIFS(A$1:A355,A355)</f>
        <v>18</v>
      </c>
      <c r="X355" t="str">
        <f t="shared" si="16"/>
        <v>Texans D/ST11</v>
      </c>
      <c r="Y355">
        <f>COUNTIF(V$1:V355,V355)</f>
        <v>1</v>
      </c>
      <c r="Z355" t="str">
        <f t="shared" si="17"/>
        <v>perry11-1</v>
      </c>
    </row>
    <row r="356" spans="1:26" x14ac:dyDescent="0.25">
      <c r="A356">
        <v>1</v>
      </c>
      <c r="B356" t="s">
        <v>410</v>
      </c>
      <c r="C356" t="s">
        <v>1254</v>
      </c>
      <c r="D356">
        <v>25.49</v>
      </c>
      <c r="E356">
        <v>1.76</v>
      </c>
      <c r="F356">
        <v>0.84</v>
      </c>
      <c r="G356">
        <v>0.7</v>
      </c>
      <c r="H356">
        <v>0.04</v>
      </c>
      <c r="I356">
        <v>0.18</v>
      </c>
      <c r="J356" t="s">
        <v>66</v>
      </c>
      <c r="K356">
        <v>10.91</v>
      </c>
      <c r="L356">
        <v>7.0000000000000007E-2</v>
      </c>
      <c r="M356">
        <v>5.42</v>
      </c>
      <c r="N356">
        <v>29.3764</v>
      </c>
      <c r="O356">
        <v>5</v>
      </c>
      <c r="P356">
        <v>0</v>
      </c>
      <c r="Q356">
        <v>362.548</v>
      </c>
      <c r="R356">
        <v>5</v>
      </c>
      <c r="S356">
        <v>-1</v>
      </c>
      <c r="T356">
        <v>5</v>
      </c>
      <c r="U356" t="str">
        <f>IFERROR(INDEX(Rosters!$C$2:$C$155,MATCH(B356,Rosters!$B$2:$B$155,0)),"NA")</f>
        <v>NA</v>
      </c>
      <c r="V356" t="str">
        <f t="shared" si="15"/>
        <v>NA1</v>
      </c>
      <c r="W356">
        <f>COUNTIFS(A$1:A356,A356)</f>
        <v>23</v>
      </c>
      <c r="X356" t="str">
        <f t="shared" si="16"/>
        <v>Chiefs D/ST1</v>
      </c>
      <c r="Y356">
        <f>COUNTIF(V$1:V356,V356)</f>
        <v>16</v>
      </c>
      <c r="Z356" t="str">
        <f t="shared" si="17"/>
        <v>NA1-16</v>
      </c>
    </row>
    <row r="357" spans="1:26" x14ac:dyDescent="0.25">
      <c r="A357">
        <v>9</v>
      </c>
      <c r="B357" t="s">
        <v>435</v>
      </c>
      <c r="C357">
        <f>-0.63-13.53</f>
        <v>-14.16</v>
      </c>
      <c r="D357">
        <v>27.71</v>
      </c>
      <c r="E357">
        <v>2.0699999999999998</v>
      </c>
      <c r="F357">
        <v>0.92</v>
      </c>
      <c r="G357">
        <v>0.62</v>
      </c>
      <c r="H357">
        <v>0.02</v>
      </c>
      <c r="I357">
        <v>0.3</v>
      </c>
      <c r="J357" t="s">
        <v>29</v>
      </c>
      <c r="K357">
        <v>13.53</v>
      </c>
      <c r="L357">
        <v>-0.63</v>
      </c>
      <c r="M357">
        <v>7.08</v>
      </c>
      <c r="N357">
        <v>50.126399999999997</v>
      </c>
      <c r="O357">
        <v>6</v>
      </c>
      <c r="P357">
        <v>-1</v>
      </c>
      <c r="Q357">
        <v>374.09199999999998</v>
      </c>
      <c r="R357">
        <v>5</v>
      </c>
      <c r="S357">
        <v>-1</v>
      </c>
      <c r="T357">
        <v>4.99</v>
      </c>
      <c r="U357" t="str">
        <f>IFERROR(INDEX(Rosters!$C$2:$C$155,MATCH(B357,Rosters!$B$2:$B$155,0)),"NA")</f>
        <v>NA</v>
      </c>
      <c r="V357" t="str">
        <f t="shared" si="15"/>
        <v>NA9</v>
      </c>
      <c r="W357">
        <f>COUNTIFS(A$1:A357,A357)</f>
        <v>16</v>
      </c>
      <c r="X357" t="str">
        <f t="shared" si="16"/>
        <v>Lions D/ST9</v>
      </c>
      <c r="Y357">
        <f>COUNTIF(V$1:V357,V357)</f>
        <v>9</v>
      </c>
      <c r="Z357" t="str">
        <f t="shared" si="17"/>
        <v>NA9-9</v>
      </c>
    </row>
    <row r="358" spans="1:26" x14ac:dyDescent="0.25">
      <c r="A358">
        <v>16</v>
      </c>
      <c r="B358" t="s">
        <v>435</v>
      </c>
      <c r="C358">
        <f>-0.63-13.53</f>
        <v>-14.16</v>
      </c>
      <c r="D358">
        <v>27.71</v>
      </c>
      <c r="E358">
        <v>2.0699999999999998</v>
      </c>
      <c r="F358">
        <v>0.92</v>
      </c>
      <c r="G358">
        <v>0.62</v>
      </c>
      <c r="H358">
        <v>0.02</v>
      </c>
      <c r="I358">
        <v>0.3</v>
      </c>
      <c r="J358" t="s">
        <v>29</v>
      </c>
      <c r="K358">
        <v>13.53</v>
      </c>
      <c r="L358">
        <v>-0.63</v>
      </c>
      <c r="M358">
        <v>7.08</v>
      </c>
      <c r="N358">
        <v>50.126399999999997</v>
      </c>
      <c r="O358">
        <v>6</v>
      </c>
      <c r="P358">
        <v>-1</v>
      </c>
      <c r="Q358">
        <v>374.09199999999998</v>
      </c>
      <c r="R358">
        <v>5</v>
      </c>
      <c r="S358">
        <v>-1</v>
      </c>
      <c r="T358">
        <v>4.99</v>
      </c>
      <c r="U358" t="str">
        <f>IFERROR(INDEX(Rosters!$C$2:$C$155,MATCH(B358,Rosters!$B$2:$B$155,0)),"NA")</f>
        <v>NA</v>
      </c>
      <c r="V358" t="str">
        <f t="shared" si="15"/>
        <v>NA16</v>
      </c>
      <c r="W358">
        <f>COUNTIFS(A$1:A358,A358)</f>
        <v>19</v>
      </c>
      <c r="X358" t="str">
        <f t="shared" si="16"/>
        <v>Lions D/ST16</v>
      </c>
      <c r="Y358">
        <f>COUNTIF(V$1:V358,V358)</f>
        <v>10</v>
      </c>
      <c r="Z358" t="str">
        <f t="shared" si="17"/>
        <v>NA16-10</v>
      </c>
    </row>
    <row r="359" spans="1:26" x14ac:dyDescent="0.25">
      <c r="A359">
        <v>5</v>
      </c>
      <c r="B359" t="s">
        <v>407</v>
      </c>
      <c r="C359">
        <f>-0.88-12.54</f>
        <v>-13.42</v>
      </c>
      <c r="D359">
        <v>29.77</v>
      </c>
      <c r="E359">
        <v>2.34</v>
      </c>
      <c r="F359">
        <v>0.81</v>
      </c>
      <c r="G359">
        <v>0.88</v>
      </c>
      <c r="H359">
        <v>0.02</v>
      </c>
      <c r="I359">
        <v>0.2</v>
      </c>
      <c r="J359" t="s">
        <v>52</v>
      </c>
      <c r="K359">
        <v>12.54</v>
      </c>
      <c r="L359">
        <v>-0.88</v>
      </c>
      <c r="M359">
        <v>6.71</v>
      </c>
      <c r="N359">
        <v>45.024099999999997</v>
      </c>
      <c r="O359">
        <v>6</v>
      </c>
      <c r="P359">
        <v>-1</v>
      </c>
      <c r="Q359">
        <v>384.80399999999997</v>
      </c>
      <c r="R359">
        <v>5</v>
      </c>
      <c r="S359">
        <v>-1</v>
      </c>
      <c r="T359">
        <v>4.96</v>
      </c>
      <c r="U359" t="str">
        <f>IFERROR(INDEX(Rosters!$C$2:$C$155,MATCH(B359,Rosters!$B$2:$B$155,0)),"NA")</f>
        <v>NA</v>
      </c>
      <c r="V359" t="str">
        <f t="shared" si="15"/>
        <v>NA5</v>
      </c>
      <c r="W359">
        <f>COUNTIFS(A$1:A359,A359)</f>
        <v>28</v>
      </c>
      <c r="X359" t="str">
        <f t="shared" si="16"/>
        <v>Seahawks D/ST5</v>
      </c>
      <c r="Y359">
        <f>COUNTIF(V$1:V359,V359)</f>
        <v>18</v>
      </c>
      <c r="Z359" t="str">
        <f t="shared" si="17"/>
        <v>NA5-18</v>
      </c>
    </row>
    <row r="360" spans="1:26" x14ac:dyDescent="0.25">
      <c r="A360">
        <v>5</v>
      </c>
      <c r="B360" t="s">
        <v>433</v>
      </c>
      <c r="C360">
        <f>-0.51-12.69</f>
        <v>-13.2</v>
      </c>
      <c r="D360">
        <v>29.31</v>
      </c>
      <c r="E360">
        <v>2.25</v>
      </c>
      <c r="F360">
        <v>1.06</v>
      </c>
      <c r="G360">
        <v>0.87</v>
      </c>
      <c r="H360">
        <v>0.03</v>
      </c>
      <c r="I360">
        <v>0.13</v>
      </c>
      <c r="J360" t="s">
        <v>66</v>
      </c>
      <c r="K360">
        <v>12.69</v>
      </c>
      <c r="L360">
        <v>-0.51</v>
      </c>
      <c r="M360">
        <v>6.6</v>
      </c>
      <c r="N360">
        <v>43.56</v>
      </c>
      <c r="O360">
        <v>6</v>
      </c>
      <c r="P360">
        <v>-1</v>
      </c>
      <c r="Q360">
        <v>382.41199999999998</v>
      </c>
      <c r="R360">
        <v>5</v>
      </c>
      <c r="S360">
        <v>-1</v>
      </c>
      <c r="T360">
        <v>4.95</v>
      </c>
      <c r="U360" t="str">
        <f>IFERROR(INDEX(Rosters!$C$2:$C$155,MATCH(B360,Rosters!$B$2:$B$155,0)),"NA")</f>
        <v>NA</v>
      </c>
      <c r="V360" t="str">
        <f t="shared" si="15"/>
        <v>NA5</v>
      </c>
      <c r="W360">
        <f>COUNTIFS(A$1:A360,A360)</f>
        <v>29</v>
      </c>
      <c r="X360" t="str">
        <f t="shared" si="16"/>
        <v>Raiders D/ST5</v>
      </c>
      <c r="Y360">
        <f>COUNTIF(V$1:V360,V360)</f>
        <v>19</v>
      </c>
      <c r="Z360" t="str">
        <f t="shared" si="17"/>
        <v>NA5-19</v>
      </c>
    </row>
    <row r="361" spans="1:26" x14ac:dyDescent="0.25">
      <c r="A361">
        <v>4</v>
      </c>
      <c r="B361" t="s">
        <v>408</v>
      </c>
      <c r="C361">
        <f>-0.22-12.4</f>
        <v>-12.620000000000001</v>
      </c>
      <c r="D361">
        <v>29.9</v>
      </c>
      <c r="E361">
        <v>2.2799999999999998</v>
      </c>
      <c r="F361">
        <v>1.03</v>
      </c>
      <c r="G361">
        <v>0.79</v>
      </c>
      <c r="H361">
        <v>0.03</v>
      </c>
      <c r="I361">
        <v>0.16</v>
      </c>
      <c r="J361" t="s">
        <v>72</v>
      </c>
      <c r="K361">
        <v>12.4</v>
      </c>
      <c r="L361">
        <v>-0.22</v>
      </c>
      <c r="M361">
        <v>6.31</v>
      </c>
      <c r="N361">
        <v>39.816099999999999</v>
      </c>
      <c r="O361">
        <v>6</v>
      </c>
      <c r="P361">
        <v>-1</v>
      </c>
      <c r="Q361">
        <v>385.48</v>
      </c>
      <c r="R361">
        <v>5</v>
      </c>
      <c r="S361">
        <v>-1</v>
      </c>
      <c r="T361">
        <v>4.9400000000000004</v>
      </c>
      <c r="U361" t="str">
        <f>IFERROR(INDEX(Rosters!$C$2:$C$155,MATCH(B361,Rosters!$B$2:$B$155,0)),"NA")</f>
        <v>NA</v>
      </c>
      <c r="V361" t="str">
        <f t="shared" si="15"/>
        <v>NA4</v>
      </c>
      <c r="W361">
        <f>COUNTIFS(A$1:A361,A361)</f>
        <v>26</v>
      </c>
      <c r="X361" t="str">
        <f t="shared" si="16"/>
        <v>Giants D/ST4</v>
      </c>
      <c r="Y361">
        <f>COUNTIF(V$1:V361,V361)</f>
        <v>18</v>
      </c>
      <c r="Z361" t="str">
        <f t="shared" si="17"/>
        <v>NA4-18</v>
      </c>
    </row>
    <row r="362" spans="1:26" x14ac:dyDescent="0.25">
      <c r="A362">
        <v>17</v>
      </c>
      <c r="B362" t="s">
        <v>435</v>
      </c>
      <c r="C362" t="s">
        <v>5609</v>
      </c>
      <c r="D362">
        <v>27.23</v>
      </c>
      <c r="E362">
        <v>2</v>
      </c>
      <c r="F362">
        <v>1.1599999999999999</v>
      </c>
      <c r="G362">
        <v>0.64</v>
      </c>
      <c r="H362">
        <v>0.06</v>
      </c>
      <c r="I362">
        <v>0.2</v>
      </c>
      <c r="J362" t="s">
        <v>30</v>
      </c>
      <c r="K362">
        <v>12.29</v>
      </c>
      <c r="L362">
        <v>0.11</v>
      </c>
      <c r="M362">
        <v>6.09</v>
      </c>
      <c r="N362">
        <v>37.088099999999997</v>
      </c>
      <c r="O362">
        <v>6</v>
      </c>
      <c r="P362">
        <v>-1</v>
      </c>
      <c r="Q362">
        <v>371.596</v>
      </c>
      <c r="R362">
        <v>5</v>
      </c>
      <c r="S362">
        <v>-1</v>
      </c>
      <c r="T362">
        <v>4.92</v>
      </c>
      <c r="U362" t="str">
        <f>IFERROR(INDEX(Rosters!$C$2:$C$155,MATCH(B362,Rosters!$B$2:$B$155,0)),"NA")</f>
        <v>NA</v>
      </c>
      <c r="V362" t="str">
        <f t="shared" si="15"/>
        <v>NA17</v>
      </c>
      <c r="W362">
        <f>COUNTIFS(A$1:A362,A362)</f>
        <v>24</v>
      </c>
      <c r="X362" t="str">
        <f t="shared" si="16"/>
        <v>Lions D/ST17</v>
      </c>
      <c r="Y362">
        <f>COUNTIF(V$1:V362,V362)</f>
        <v>16</v>
      </c>
      <c r="Z362" t="str">
        <f t="shared" si="17"/>
        <v>NA17-16</v>
      </c>
    </row>
    <row r="363" spans="1:26" x14ac:dyDescent="0.25">
      <c r="A363">
        <v>1</v>
      </c>
      <c r="B363" t="s">
        <v>408</v>
      </c>
      <c r="C363">
        <f>-0.32-12.3</f>
        <v>-12.620000000000001</v>
      </c>
      <c r="D363">
        <v>24.41</v>
      </c>
      <c r="E363">
        <v>1.98</v>
      </c>
      <c r="F363">
        <v>0.82</v>
      </c>
      <c r="G363">
        <v>0.52</v>
      </c>
      <c r="H363">
        <v>0</v>
      </c>
      <c r="I363">
        <v>0.2</v>
      </c>
      <c r="J363" t="s">
        <v>60</v>
      </c>
      <c r="K363">
        <v>12.3</v>
      </c>
      <c r="L363">
        <v>-0.32</v>
      </c>
      <c r="M363">
        <v>6.31</v>
      </c>
      <c r="N363">
        <v>39.816099999999999</v>
      </c>
      <c r="O363">
        <v>5</v>
      </c>
      <c r="P363">
        <v>0</v>
      </c>
      <c r="Q363">
        <v>356.93200000000002</v>
      </c>
      <c r="R363">
        <v>5</v>
      </c>
      <c r="S363">
        <v>-1</v>
      </c>
      <c r="T363">
        <v>4.8600000000000003</v>
      </c>
      <c r="U363" t="str">
        <f>IFERROR(INDEX(Rosters!$C$2:$C$155,MATCH(B363,Rosters!$B$2:$B$155,0)),"NA")</f>
        <v>NA</v>
      </c>
      <c r="V363" t="str">
        <f t="shared" si="15"/>
        <v>NA1</v>
      </c>
      <c r="W363">
        <f>COUNTIFS(A$1:A363,A363)</f>
        <v>24</v>
      </c>
      <c r="X363" t="str">
        <f t="shared" si="16"/>
        <v>Giants D/ST1</v>
      </c>
      <c r="Y363">
        <f>COUNTIF(V$1:V363,V363)</f>
        <v>17</v>
      </c>
      <c r="Z363" t="str">
        <f t="shared" si="17"/>
        <v>NA1-17</v>
      </c>
    </row>
    <row r="364" spans="1:26" x14ac:dyDescent="0.25">
      <c r="A364">
        <v>13</v>
      </c>
      <c r="B364" t="s">
        <v>411</v>
      </c>
      <c r="C364" t="s">
        <v>5610</v>
      </c>
      <c r="D364">
        <v>23.63</v>
      </c>
      <c r="E364">
        <v>1.57</v>
      </c>
      <c r="F364">
        <v>0.74</v>
      </c>
      <c r="G364">
        <v>0.92</v>
      </c>
      <c r="H364">
        <v>0</v>
      </c>
      <c r="I364">
        <v>0.16</v>
      </c>
      <c r="J364" t="s">
        <v>73</v>
      </c>
      <c r="K364">
        <v>11.18</v>
      </c>
      <c r="L364">
        <v>0.92</v>
      </c>
      <c r="M364">
        <v>5.13</v>
      </c>
      <c r="N364">
        <v>26.3169</v>
      </c>
      <c r="O364">
        <v>5</v>
      </c>
      <c r="P364">
        <v>0</v>
      </c>
      <c r="Q364">
        <v>352.87599999999998</v>
      </c>
      <c r="R364">
        <v>5</v>
      </c>
      <c r="S364">
        <v>-1</v>
      </c>
      <c r="T364">
        <v>4.8499999999999996</v>
      </c>
      <c r="U364" t="str">
        <f>IFERROR(INDEX(Rosters!$C$2:$C$155,MATCH(B364,Rosters!$B$2:$B$155,0)),"NA")</f>
        <v>lucas</v>
      </c>
      <c r="V364" t="str">
        <f t="shared" si="15"/>
        <v>lucas13</v>
      </c>
      <c r="W364">
        <f>COUNTIFS(A$1:A364,A364)</f>
        <v>22</v>
      </c>
      <c r="X364" t="str">
        <f t="shared" si="16"/>
        <v>Ravens D/ST13</v>
      </c>
      <c r="Y364">
        <f>COUNTIF(V$1:V364,V364)</f>
        <v>2</v>
      </c>
      <c r="Z364" t="str">
        <f t="shared" si="17"/>
        <v>lucas13-2</v>
      </c>
    </row>
    <row r="365" spans="1:26" x14ac:dyDescent="0.25">
      <c r="A365">
        <v>12</v>
      </c>
      <c r="B365" t="s">
        <v>412</v>
      </c>
      <c r="C365" t="s">
        <v>5611</v>
      </c>
      <c r="D365">
        <v>24.6</v>
      </c>
      <c r="E365">
        <v>2.08</v>
      </c>
      <c r="F365">
        <v>0.98</v>
      </c>
      <c r="G365">
        <v>0.64</v>
      </c>
      <c r="H365">
        <v>0.02</v>
      </c>
      <c r="I365">
        <v>0.08</v>
      </c>
      <c r="J365" t="s">
        <v>31</v>
      </c>
      <c r="K365">
        <v>11.14</v>
      </c>
      <c r="L365">
        <v>0.74</v>
      </c>
      <c r="M365">
        <v>5.2</v>
      </c>
      <c r="N365">
        <v>27.04</v>
      </c>
      <c r="O365">
        <v>5</v>
      </c>
      <c r="P365">
        <v>0</v>
      </c>
      <c r="Q365">
        <v>357.92</v>
      </c>
      <c r="R365">
        <v>5</v>
      </c>
      <c r="S365">
        <v>-1</v>
      </c>
      <c r="T365">
        <v>4.84</v>
      </c>
      <c r="U365" t="str">
        <f>IFERROR(INDEX(Rosters!$C$2:$C$155,MATCH(B365,Rosters!$B$2:$B$155,0)),"NA")</f>
        <v>chad</v>
      </c>
      <c r="V365" t="str">
        <f t="shared" si="15"/>
        <v>chad12</v>
      </c>
      <c r="W365">
        <f>COUNTIFS(A$1:A365,A365)</f>
        <v>20</v>
      </c>
      <c r="X365" t="str">
        <f t="shared" si="16"/>
        <v>Broncos D/ST12</v>
      </c>
      <c r="Y365">
        <f>COUNTIF(V$1:V365,V365)</f>
        <v>1</v>
      </c>
      <c r="Z365" t="str">
        <f t="shared" si="17"/>
        <v>chad12-1</v>
      </c>
    </row>
    <row r="366" spans="1:26" x14ac:dyDescent="0.25">
      <c r="A366">
        <v>4</v>
      </c>
      <c r="B366" t="s">
        <v>436</v>
      </c>
      <c r="C366">
        <f>-0.87-11.75</f>
        <v>-12.62</v>
      </c>
      <c r="D366">
        <v>31.69</v>
      </c>
      <c r="E366">
        <v>2.2000000000000002</v>
      </c>
      <c r="F366">
        <v>0.7</v>
      </c>
      <c r="G366">
        <v>0.98</v>
      </c>
      <c r="H366">
        <v>0.03</v>
      </c>
      <c r="I366">
        <v>0.2</v>
      </c>
      <c r="J366" t="s">
        <v>66</v>
      </c>
      <c r="K366">
        <v>11.75</v>
      </c>
      <c r="L366">
        <v>-0.87</v>
      </c>
      <c r="M366">
        <v>6.31</v>
      </c>
      <c r="N366">
        <v>39.816099999999999</v>
      </c>
      <c r="O366">
        <v>6</v>
      </c>
      <c r="P366">
        <v>-1</v>
      </c>
      <c r="Q366">
        <v>394.78800000000001</v>
      </c>
      <c r="R366">
        <v>5</v>
      </c>
      <c r="S366">
        <v>-1</v>
      </c>
      <c r="T366">
        <v>4.82</v>
      </c>
      <c r="U366" t="str">
        <f>IFERROR(INDEX(Rosters!$C$2:$C$155,MATCH(B366,Rosters!$B$2:$B$155,0)),"NA")</f>
        <v>NA</v>
      </c>
      <c r="V366" t="str">
        <f t="shared" si="15"/>
        <v>NA4</v>
      </c>
      <c r="W366">
        <f>COUNTIFS(A$1:A366,A366)</f>
        <v>27</v>
      </c>
      <c r="X366" t="str">
        <f t="shared" si="16"/>
        <v>49ers D/ST4</v>
      </c>
      <c r="Y366">
        <f>COUNTIF(V$1:V366,V366)</f>
        <v>19</v>
      </c>
      <c r="Z366" t="str">
        <f t="shared" si="17"/>
        <v>NA4-19</v>
      </c>
    </row>
    <row r="367" spans="1:26" x14ac:dyDescent="0.25">
      <c r="A367">
        <v>3</v>
      </c>
      <c r="B367" t="s">
        <v>432</v>
      </c>
      <c r="C367">
        <f>-0.33-12.61</f>
        <v>-12.94</v>
      </c>
      <c r="D367">
        <v>29.87</v>
      </c>
      <c r="E367">
        <v>2.54</v>
      </c>
      <c r="F367">
        <v>0.79</v>
      </c>
      <c r="G367">
        <v>0.87</v>
      </c>
      <c r="H367">
        <v>0.03</v>
      </c>
      <c r="I367">
        <v>0.15</v>
      </c>
      <c r="J367" t="s">
        <v>36</v>
      </c>
      <c r="K367">
        <v>12.61</v>
      </c>
      <c r="L367">
        <v>-0.33</v>
      </c>
      <c r="M367">
        <v>6.47</v>
      </c>
      <c r="N367">
        <v>41.860900000000001</v>
      </c>
      <c r="O367">
        <v>6</v>
      </c>
      <c r="P367">
        <v>-1</v>
      </c>
      <c r="Q367">
        <v>385.32400000000001</v>
      </c>
      <c r="R367">
        <v>5</v>
      </c>
      <c r="S367">
        <v>-1</v>
      </c>
      <c r="T367">
        <v>4.82</v>
      </c>
      <c r="U367" t="str">
        <f>IFERROR(INDEX(Rosters!$C$2:$C$155,MATCH(B367,Rosters!$B$2:$B$155,0)),"NA")</f>
        <v>NA</v>
      </c>
      <c r="V367" t="str">
        <f t="shared" si="15"/>
        <v>NA3</v>
      </c>
      <c r="W367">
        <f>COUNTIFS(A$1:A367,A367)</f>
        <v>29</v>
      </c>
      <c r="X367" t="str">
        <f t="shared" si="16"/>
        <v>Colts D/ST3</v>
      </c>
      <c r="Y367">
        <f>COUNTIF(V$1:V367,V367)</f>
        <v>18</v>
      </c>
      <c r="Z367" t="str">
        <f t="shared" si="17"/>
        <v>NA3-18</v>
      </c>
    </row>
    <row r="368" spans="1:26" x14ac:dyDescent="0.25">
      <c r="A368">
        <v>16</v>
      </c>
      <c r="B368" t="s">
        <v>413</v>
      </c>
      <c r="C368" t="s">
        <v>5612</v>
      </c>
      <c r="D368">
        <v>25.11</v>
      </c>
      <c r="E368">
        <v>1.94</v>
      </c>
      <c r="F368">
        <v>0.96</v>
      </c>
      <c r="G368">
        <v>0.46</v>
      </c>
      <c r="H368">
        <v>0.04</v>
      </c>
      <c r="I368">
        <v>0.16</v>
      </c>
      <c r="J368" t="s">
        <v>73</v>
      </c>
      <c r="K368">
        <v>10.6</v>
      </c>
      <c r="L368">
        <v>0.48</v>
      </c>
      <c r="M368">
        <v>5.0599999999999996</v>
      </c>
      <c r="N368">
        <v>25.6036</v>
      </c>
      <c r="O368">
        <v>5</v>
      </c>
      <c r="P368">
        <v>0</v>
      </c>
      <c r="Q368">
        <v>360.572</v>
      </c>
      <c r="R368">
        <v>5</v>
      </c>
      <c r="S368">
        <v>-1</v>
      </c>
      <c r="T368">
        <v>4.82</v>
      </c>
      <c r="U368" t="str">
        <f>IFERROR(INDEX(Rosters!$C$2:$C$155,MATCH(B368,Rosters!$B$2:$B$155,0)),"NA")</f>
        <v>cory</v>
      </c>
      <c r="V368" t="str">
        <f t="shared" si="15"/>
        <v>cory16</v>
      </c>
      <c r="W368">
        <f>COUNTIFS(A$1:A368,A368)</f>
        <v>20</v>
      </c>
      <c r="X368" t="str">
        <f t="shared" si="16"/>
        <v>Panthers D/ST16</v>
      </c>
      <c r="Y368">
        <f>COUNTIF(V$1:V368,V368)</f>
        <v>1</v>
      </c>
      <c r="Z368" t="str">
        <f t="shared" si="17"/>
        <v>cory16-1</v>
      </c>
    </row>
    <row r="369" spans="1:26" x14ac:dyDescent="0.25">
      <c r="A369">
        <v>15</v>
      </c>
      <c r="B369" t="s">
        <v>433</v>
      </c>
      <c r="C369" t="s">
        <v>5613</v>
      </c>
      <c r="D369">
        <v>25.95</v>
      </c>
      <c r="E369">
        <v>1.88</v>
      </c>
      <c r="F369">
        <v>0.8</v>
      </c>
      <c r="G369">
        <v>0.54</v>
      </c>
      <c r="H369">
        <v>0.02</v>
      </c>
      <c r="I369">
        <v>0.2</v>
      </c>
      <c r="J369" t="s">
        <v>76</v>
      </c>
      <c r="K369">
        <v>10.67</v>
      </c>
      <c r="L369">
        <v>0.31</v>
      </c>
      <c r="M369">
        <v>5.18</v>
      </c>
      <c r="N369">
        <v>26.8324</v>
      </c>
      <c r="O369">
        <v>5</v>
      </c>
      <c r="P369">
        <v>0</v>
      </c>
      <c r="Q369">
        <v>364.94</v>
      </c>
      <c r="R369">
        <v>5</v>
      </c>
      <c r="S369">
        <v>-1</v>
      </c>
      <c r="T369">
        <v>4.8</v>
      </c>
      <c r="U369" t="str">
        <f>IFERROR(INDEX(Rosters!$C$2:$C$155,MATCH(B369,Rosters!$B$2:$B$155,0)),"NA")</f>
        <v>NA</v>
      </c>
      <c r="V369" t="str">
        <f t="shared" si="15"/>
        <v>NA15</v>
      </c>
      <c r="W369">
        <f>COUNTIFS(A$1:A369,A369)</f>
        <v>23</v>
      </c>
      <c r="X369" t="str">
        <f t="shared" si="16"/>
        <v>Raiders D/ST15</v>
      </c>
      <c r="Y369">
        <f>COUNTIF(V$1:V369,V369)</f>
        <v>14</v>
      </c>
      <c r="Z369" t="str">
        <f t="shared" si="17"/>
        <v>NA15-14</v>
      </c>
    </row>
    <row r="370" spans="1:26" x14ac:dyDescent="0.25">
      <c r="A370">
        <v>4</v>
      </c>
      <c r="B370" t="s">
        <v>422</v>
      </c>
      <c r="C370" t="s">
        <v>5023</v>
      </c>
      <c r="D370">
        <v>23.81</v>
      </c>
      <c r="E370">
        <v>1.67</v>
      </c>
      <c r="F370">
        <v>0.9</v>
      </c>
      <c r="G370">
        <v>0.63</v>
      </c>
      <c r="H370">
        <v>0.02</v>
      </c>
      <c r="I370">
        <v>0.17</v>
      </c>
      <c r="J370" t="s">
        <v>28</v>
      </c>
      <c r="K370">
        <v>10.97</v>
      </c>
      <c r="L370">
        <v>0.85</v>
      </c>
      <c r="M370">
        <v>5.0599999999999996</v>
      </c>
      <c r="N370">
        <v>25.6036</v>
      </c>
      <c r="O370">
        <v>5</v>
      </c>
      <c r="P370">
        <v>0</v>
      </c>
      <c r="Q370">
        <v>353.81200000000001</v>
      </c>
      <c r="R370">
        <v>5</v>
      </c>
      <c r="S370">
        <v>-1</v>
      </c>
      <c r="T370">
        <v>4.79</v>
      </c>
      <c r="U370" t="str">
        <f>IFERROR(INDEX(Rosters!$C$2:$C$155,MATCH(B370,Rosters!$B$2:$B$155,0)),"NA")</f>
        <v>NA</v>
      </c>
      <c r="V370" t="str">
        <f t="shared" si="15"/>
        <v>NA4</v>
      </c>
      <c r="W370">
        <f>COUNTIFS(A$1:A370,A370)</f>
        <v>28</v>
      </c>
      <c r="X370" t="str">
        <f t="shared" si="16"/>
        <v>Dolphins D/ST4</v>
      </c>
      <c r="Y370">
        <f>COUNTIF(V$1:V370,V370)</f>
        <v>20</v>
      </c>
      <c r="Z370" t="str">
        <f t="shared" si="17"/>
        <v>NA4-20</v>
      </c>
    </row>
    <row r="371" spans="1:26" x14ac:dyDescent="0.25">
      <c r="A371">
        <v>12</v>
      </c>
      <c r="B371" t="s">
        <v>436</v>
      </c>
      <c r="C371">
        <f>-0.09-10.69</f>
        <v>-10.78</v>
      </c>
      <c r="D371">
        <v>26.21</v>
      </c>
      <c r="E371">
        <v>1.7</v>
      </c>
      <c r="F371">
        <v>0.75</v>
      </c>
      <c r="G371">
        <v>0.6</v>
      </c>
      <c r="H371">
        <v>0.02</v>
      </c>
      <c r="I371">
        <v>0.22</v>
      </c>
      <c r="J371" t="s">
        <v>74</v>
      </c>
      <c r="K371">
        <v>10.69</v>
      </c>
      <c r="L371">
        <v>-0.09</v>
      </c>
      <c r="M371">
        <v>5.39</v>
      </c>
      <c r="N371">
        <v>29.052099999999999</v>
      </c>
      <c r="O371">
        <v>5</v>
      </c>
      <c r="P371">
        <v>0</v>
      </c>
      <c r="Q371">
        <v>366.29199999999997</v>
      </c>
      <c r="R371">
        <v>5</v>
      </c>
      <c r="S371">
        <v>-1</v>
      </c>
      <c r="T371">
        <v>4.76</v>
      </c>
      <c r="U371" t="str">
        <f>IFERROR(INDEX(Rosters!$C$2:$C$155,MATCH(B371,Rosters!$B$2:$B$155,0)),"NA")</f>
        <v>NA</v>
      </c>
      <c r="V371" t="str">
        <f t="shared" si="15"/>
        <v>NA12</v>
      </c>
      <c r="W371">
        <f>COUNTIFS(A$1:A371,A371)</f>
        <v>21</v>
      </c>
      <c r="X371" t="str">
        <f t="shared" si="16"/>
        <v>49ers D/ST12</v>
      </c>
      <c r="Y371">
        <f>COUNTIF(V$1:V371,V371)</f>
        <v>13</v>
      </c>
      <c r="Z371" t="str">
        <f t="shared" si="17"/>
        <v>NA12-13</v>
      </c>
    </row>
    <row r="372" spans="1:26" x14ac:dyDescent="0.25">
      <c r="A372">
        <v>13</v>
      </c>
      <c r="B372" t="s">
        <v>408</v>
      </c>
      <c r="C372" t="s">
        <v>5614</v>
      </c>
      <c r="D372">
        <v>24.74</v>
      </c>
      <c r="E372">
        <v>1.96</v>
      </c>
      <c r="F372">
        <v>0.88</v>
      </c>
      <c r="G372">
        <v>0.62</v>
      </c>
      <c r="H372">
        <v>0.04</v>
      </c>
      <c r="I372">
        <v>0.12</v>
      </c>
      <c r="J372" t="s">
        <v>58</v>
      </c>
      <c r="K372">
        <v>11.01</v>
      </c>
      <c r="L372">
        <v>0.13</v>
      </c>
      <c r="M372">
        <v>5.44</v>
      </c>
      <c r="N372">
        <v>29.593599999999999</v>
      </c>
      <c r="O372">
        <v>5</v>
      </c>
      <c r="P372">
        <v>0</v>
      </c>
      <c r="Q372">
        <v>358.64800000000002</v>
      </c>
      <c r="R372">
        <v>5</v>
      </c>
      <c r="S372">
        <v>-1</v>
      </c>
      <c r="T372">
        <v>4.76</v>
      </c>
      <c r="U372" t="str">
        <f>IFERROR(INDEX(Rosters!$C$2:$C$155,MATCH(B372,Rosters!$B$2:$B$155,0)),"NA")</f>
        <v>NA</v>
      </c>
      <c r="V372" t="str">
        <f t="shared" si="15"/>
        <v>NA13</v>
      </c>
      <c r="W372">
        <f>COUNTIFS(A$1:A372,A372)</f>
        <v>23</v>
      </c>
      <c r="X372" t="str">
        <f t="shared" si="16"/>
        <v>Giants D/ST13</v>
      </c>
      <c r="Y372">
        <f>COUNTIF(V$1:V372,V372)</f>
        <v>13</v>
      </c>
      <c r="Z372" t="str">
        <f t="shared" si="17"/>
        <v>NA13-13</v>
      </c>
    </row>
    <row r="373" spans="1:26" x14ac:dyDescent="0.25">
      <c r="A373">
        <v>9</v>
      </c>
      <c r="B373" t="s">
        <v>433</v>
      </c>
      <c r="C373" t="s">
        <v>5615</v>
      </c>
      <c r="D373">
        <v>25.64</v>
      </c>
      <c r="E373">
        <v>2.16</v>
      </c>
      <c r="F373">
        <v>0.84</v>
      </c>
      <c r="G373">
        <v>0.38</v>
      </c>
      <c r="H373">
        <v>0.04</v>
      </c>
      <c r="I373">
        <v>0.18</v>
      </c>
      <c r="J373" t="s">
        <v>14</v>
      </c>
      <c r="K373">
        <v>10.7</v>
      </c>
      <c r="L373">
        <v>0.18</v>
      </c>
      <c r="M373">
        <v>5.26</v>
      </c>
      <c r="N373">
        <v>27.6676</v>
      </c>
      <c r="O373">
        <v>5</v>
      </c>
      <c r="P373">
        <v>0</v>
      </c>
      <c r="Q373">
        <v>363.32799999999997</v>
      </c>
      <c r="R373">
        <v>5</v>
      </c>
      <c r="S373">
        <v>-1</v>
      </c>
      <c r="T373">
        <v>4.76</v>
      </c>
      <c r="U373" t="str">
        <f>IFERROR(INDEX(Rosters!$C$2:$C$155,MATCH(B373,Rosters!$B$2:$B$155,0)),"NA")</f>
        <v>NA</v>
      </c>
      <c r="V373" t="str">
        <f t="shared" si="15"/>
        <v>NA9</v>
      </c>
      <c r="W373">
        <f>COUNTIFS(A$1:A373,A373)</f>
        <v>17</v>
      </c>
      <c r="X373" t="str">
        <f t="shared" si="16"/>
        <v>Raiders D/ST9</v>
      </c>
      <c r="Y373">
        <f>COUNTIF(V$1:V373,V373)</f>
        <v>10</v>
      </c>
      <c r="Z373" t="str">
        <f t="shared" si="17"/>
        <v>NA9-10</v>
      </c>
    </row>
    <row r="374" spans="1:26" x14ac:dyDescent="0.25">
      <c r="A374">
        <v>5</v>
      </c>
      <c r="B374" t="s">
        <v>432</v>
      </c>
      <c r="C374">
        <f>-0.27-11.21</f>
        <v>-11.48</v>
      </c>
      <c r="D374">
        <v>30.06</v>
      </c>
      <c r="E374">
        <v>3.17</v>
      </c>
      <c r="F374">
        <v>0.76</v>
      </c>
      <c r="G374">
        <v>0.64</v>
      </c>
      <c r="H374">
        <v>0.03</v>
      </c>
      <c r="I374">
        <v>0.12</v>
      </c>
      <c r="J374" t="s">
        <v>28</v>
      </c>
      <c r="K374">
        <v>11.21</v>
      </c>
      <c r="L374">
        <v>-0.27</v>
      </c>
      <c r="M374">
        <v>5.74</v>
      </c>
      <c r="N374">
        <v>32.947600000000001</v>
      </c>
      <c r="O374">
        <v>6</v>
      </c>
      <c r="P374">
        <v>-1</v>
      </c>
      <c r="Q374">
        <v>386.31200000000001</v>
      </c>
      <c r="R374">
        <v>5</v>
      </c>
      <c r="S374">
        <v>-1</v>
      </c>
      <c r="T374">
        <v>4.75</v>
      </c>
      <c r="U374" t="str">
        <f>IFERROR(INDEX(Rosters!$C$2:$C$155,MATCH(B374,Rosters!$B$2:$B$155,0)),"NA")</f>
        <v>NA</v>
      </c>
      <c r="V374" t="str">
        <f t="shared" si="15"/>
        <v>NA5</v>
      </c>
      <c r="W374">
        <f>COUNTIFS(A$1:A374,A374)</f>
        <v>30</v>
      </c>
      <c r="X374" t="str">
        <f t="shared" si="16"/>
        <v>Colts D/ST5</v>
      </c>
      <c r="Y374">
        <f>COUNTIF(V$1:V374,V374)</f>
        <v>20</v>
      </c>
      <c r="Z374" t="str">
        <f t="shared" si="17"/>
        <v>NA5-20</v>
      </c>
    </row>
    <row r="375" spans="1:26" x14ac:dyDescent="0.25">
      <c r="A375">
        <v>10</v>
      </c>
      <c r="B375" t="s">
        <v>426</v>
      </c>
      <c r="C375" t="s">
        <v>5616</v>
      </c>
      <c r="D375">
        <v>25.52</v>
      </c>
      <c r="E375">
        <v>2.38</v>
      </c>
      <c r="F375">
        <v>0.66</v>
      </c>
      <c r="G375">
        <v>0.64</v>
      </c>
      <c r="H375">
        <v>0.02</v>
      </c>
      <c r="I375">
        <v>0.12</v>
      </c>
      <c r="J375" t="s">
        <v>36</v>
      </c>
      <c r="K375">
        <v>10.74</v>
      </c>
      <c r="L375">
        <v>0.38</v>
      </c>
      <c r="M375">
        <v>5.18</v>
      </c>
      <c r="N375">
        <v>26.8324</v>
      </c>
      <c r="O375">
        <v>5</v>
      </c>
      <c r="P375">
        <v>0</v>
      </c>
      <c r="Q375">
        <v>362.70400000000001</v>
      </c>
      <c r="R375">
        <v>5</v>
      </c>
      <c r="S375">
        <v>-1</v>
      </c>
      <c r="T375">
        <v>4.74</v>
      </c>
      <c r="U375" t="str">
        <f>IFERROR(INDEX(Rosters!$C$2:$C$155,MATCH(B375,Rosters!$B$2:$B$155,0)),"NA")</f>
        <v>NA</v>
      </c>
      <c r="V375" t="str">
        <f t="shared" si="15"/>
        <v>NA10</v>
      </c>
      <c r="W375">
        <f>COUNTIFS(A$1:A375,A375)</f>
        <v>18</v>
      </c>
      <c r="X375" t="str">
        <f t="shared" si="16"/>
        <v>Cowboys D/ST10</v>
      </c>
      <c r="Y375">
        <f>COUNTIF(V$1:V375,V375)</f>
        <v>13</v>
      </c>
      <c r="Z375" t="str">
        <f t="shared" si="17"/>
        <v>NA10-13</v>
      </c>
    </row>
    <row r="376" spans="1:26" x14ac:dyDescent="0.25">
      <c r="A376">
        <v>14</v>
      </c>
      <c r="B376" t="s">
        <v>426</v>
      </c>
      <c r="C376" t="s">
        <v>5616</v>
      </c>
      <c r="D376">
        <v>25.52</v>
      </c>
      <c r="E376">
        <v>2.38</v>
      </c>
      <c r="F376">
        <v>0.66</v>
      </c>
      <c r="G376">
        <v>0.64</v>
      </c>
      <c r="H376">
        <v>0.02</v>
      </c>
      <c r="I376">
        <v>0.12</v>
      </c>
      <c r="J376" t="s">
        <v>36</v>
      </c>
      <c r="K376">
        <v>10.74</v>
      </c>
      <c r="L376">
        <v>0.38</v>
      </c>
      <c r="M376">
        <v>5.18</v>
      </c>
      <c r="N376">
        <v>26.8324</v>
      </c>
      <c r="O376">
        <v>5</v>
      </c>
      <c r="P376">
        <v>0</v>
      </c>
      <c r="Q376">
        <v>362.70400000000001</v>
      </c>
      <c r="R376">
        <v>5</v>
      </c>
      <c r="S376">
        <v>-1</v>
      </c>
      <c r="T376">
        <v>4.74</v>
      </c>
      <c r="U376" t="str">
        <f>IFERROR(INDEX(Rosters!$C$2:$C$155,MATCH(B376,Rosters!$B$2:$B$155,0)),"NA")</f>
        <v>NA</v>
      </c>
      <c r="V376" t="str">
        <f t="shared" si="15"/>
        <v>NA14</v>
      </c>
      <c r="W376">
        <f>COUNTIFS(A$1:A376,A376)</f>
        <v>20</v>
      </c>
      <c r="X376" t="str">
        <f t="shared" si="16"/>
        <v>Cowboys D/ST14</v>
      </c>
      <c r="Y376">
        <f>COUNTIF(V$1:V376,V376)</f>
        <v>13</v>
      </c>
      <c r="Z376" t="str">
        <f t="shared" si="17"/>
        <v>NA14-13</v>
      </c>
    </row>
    <row r="377" spans="1:26" x14ac:dyDescent="0.25">
      <c r="A377">
        <v>11</v>
      </c>
      <c r="B377" t="s">
        <v>424</v>
      </c>
      <c r="C377" t="s">
        <v>5617</v>
      </c>
      <c r="D377">
        <v>25.94</v>
      </c>
      <c r="E377">
        <v>2.2200000000000002</v>
      </c>
      <c r="F377">
        <v>0.6</v>
      </c>
      <c r="G377">
        <v>0.86</v>
      </c>
      <c r="H377">
        <v>0.06</v>
      </c>
      <c r="I377">
        <v>0.08</v>
      </c>
      <c r="J377" t="s">
        <v>60</v>
      </c>
      <c r="K377">
        <v>10.14</v>
      </c>
      <c r="L377">
        <v>0.98</v>
      </c>
      <c r="M377">
        <v>4.58</v>
      </c>
      <c r="N377">
        <v>20.976400000000002</v>
      </c>
      <c r="O377">
        <v>5</v>
      </c>
      <c r="P377">
        <v>0</v>
      </c>
      <c r="Q377">
        <v>364.88799999999998</v>
      </c>
      <c r="R377">
        <v>5</v>
      </c>
      <c r="S377">
        <v>-1</v>
      </c>
      <c r="T377">
        <v>4.74</v>
      </c>
      <c r="U377" t="str">
        <f>IFERROR(INDEX(Rosters!$C$2:$C$155,MATCH(B377,Rosters!$B$2:$B$155,0)),"NA")</f>
        <v>NA</v>
      </c>
      <c r="V377" t="str">
        <f t="shared" si="15"/>
        <v>NA11</v>
      </c>
      <c r="W377">
        <f>COUNTIFS(A$1:A377,A377)</f>
        <v>19</v>
      </c>
      <c r="X377" t="str">
        <f t="shared" si="16"/>
        <v>Steelers D/ST11</v>
      </c>
      <c r="Y377">
        <f>COUNTIF(V$1:V377,V377)</f>
        <v>12</v>
      </c>
      <c r="Z377" t="str">
        <f t="shared" si="17"/>
        <v>NA11-12</v>
      </c>
    </row>
    <row r="378" spans="1:26" x14ac:dyDescent="0.25">
      <c r="A378">
        <v>16</v>
      </c>
      <c r="B378" t="s">
        <v>436</v>
      </c>
      <c r="C378" t="s">
        <v>5618</v>
      </c>
      <c r="D378">
        <v>25.19</v>
      </c>
      <c r="E378">
        <v>2.12</v>
      </c>
      <c r="F378">
        <v>0.57999999999999996</v>
      </c>
      <c r="G378">
        <v>0.74</v>
      </c>
      <c r="H378">
        <v>0.06</v>
      </c>
      <c r="I378">
        <v>0.14000000000000001</v>
      </c>
      <c r="J378" t="s">
        <v>58</v>
      </c>
      <c r="K378">
        <v>10.220000000000001</v>
      </c>
      <c r="L378">
        <v>0.82</v>
      </c>
      <c r="M378">
        <v>4.7</v>
      </c>
      <c r="N378">
        <v>22.09</v>
      </c>
      <c r="O378">
        <v>5</v>
      </c>
      <c r="P378">
        <v>0</v>
      </c>
      <c r="Q378">
        <v>360.988</v>
      </c>
      <c r="R378">
        <v>5</v>
      </c>
      <c r="S378">
        <v>-1</v>
      </c>
      <c r="T378">
        <v>4.72</v>
      </c>
      <c r="U378" t="str">
        <f>IFERROR(INDEX(Rosters!$C$2:$C$155,MATCH(B378,Rosters!$B$2:$B$155,0)),"NA")</f>
        <v>NA</v>
      </c>
      <c r="V378" t="str">
        <f t="shared" si="15"/>
        <v>NA16</v>
      </c>
      <c r="W378">
        <f>COUNTIFS(A$1:A378,A378)</f>
        <v>21</v>
      </c>
      <c r="X378" t="str">
        <f t="shared" si="16"/>
        <v>49ers D/ST16</v>
      </c>
      <c r="Y378">
        <f>COUNTIF(V$1:V378,V378)</f>
        <v>11</v>
      </c>
      <c r="Z378" t="str">
        <f t="shared" si="17"/>
        <v>NA16-11</v>
      </c>
    </row>
    <row r="379" spans="1:26" x14ac:dyDescent="0.25">
      <c r="A379">
        <v>16</v>
      </c>
      <c r="B379" t="s">
        <v>433</v>
      </c>
      <c r="C379" t="s">
        <v>5619</v>
      </c>
      <c r="D379">
        <v>25.81</v>
      </c>
      <c r="E379">
        <v>2.2799999999999998</v>
      </c>
      <c r="F379">
        <v>0.8</v>
      </c>
      <c r="G379">
        <v>0.38</v>
      </c>
      <c r="H379">
        <v>0.06</v>
      </c>
      <c r="I379">
        <v>0.16</v>
      </c>
      <c r="J379" t="s">
        <v>423</v>
      </c>
      <c r="K379">
        <v>10.56</v>
      </c>
      <c r="L379">
        <v>0.34</v>
      </c>
      <c r="M379">
        <v>5.1100000000000003</v>
      </c>
      <c r="N379">
        <v>26.112100000000002</v>
      </c>
      <c r="O379">
        <v>5</v>
      </c>
      <c r="P379">
        <v>0</v>
      </c>
      <c r="Q379">
        <v>364.21199999999999</v>
      </c>
      <c r="R379">
        <v>5</v>
      </c>
      <c r="S379">
        <v>-1</v>
      </c>
      <c r="T379">
        <v>4.72</v>
      </c>
      <c r="U379" t="str">
        <f>IFERROR(INDEX(Rosters!$C$2:$C$155,MATCH(B379,Rosters!$B$2:$B$155,0)),"NA")</f>
        <v>NA</v>
      </c>
      <c r="V379" t="str">
        <f t="shared" si="15"/>
        <v>NA16</v>
      </c>
      <c r="W379">
        <f>COUNTIFS(A$1:A379,A379)</f>
        <v>22</v>
      </c>
      <c r="X379" t="str">
        <f t="shared" si="16"/>
        <v>Raiders D/ST16</v>
      </c>
      <c r="Y379">
        <f>COUNTIF(V$1:V379,V379)</f>
        <v>12</v>
      </c>
      <c r="Z379" t="str">
        <f t="shared" si="17"/>
        <v>NA16-12</v>
      </c>
    </row>
    <row r="380" spans="1:26" x14ac:dyDescent="0.25">
      <c r="A380">
        <v>7</v>
      </c>
      <c r="B380" t="s">
        <v>434</v>
      </c>
      <c r="C380" t="s">
        <v>5620</v>
      </c>
      <c r="D380">
        <v>25.26</v>
      </c>
      <c r="E380">
        <v>1.3</v>
      </c>
      <c r="F380">
        <v>1.04</v>
      </c>
      <c r="G380">
        <v>0.62</v>
      </c>
      <c r="H380">
        <v>0.06</v>
      </c>
      <c r="I380">
        <v>0.16</v>
      </c>
      <c r="J380" t="s">
        <v>74</v>
      </c>
      <c r="K380">
        <v>10.61</v>
      </c>
      <c r="L380">
        <v>0.55000000000000004</v>
      </c>
      <c r="M380">
        <v>5.03</v>
      </c>
      <c r="N380">
        <v>25.300899999999999</v>
      </c>
      <c r="O380">
        <v>5</v>
      </c>
      <c r="P380">
        <v>0</v>
      </c>
      <c r="Q380">
        <v>361.35199999999998</v>
      </c>
      <c r="R380">
        <v>5</v>
      </c>
      <c r="S380">
        <v>-1</v>
      </c>
      <c r="T380">
        <v>4.7</v>
      </c>
      <c r="U380" t="str">
        <f>IFERROR(INDEX(Rosters!$C$2:$C$155,MATCH(B380,Rosters!$B$2:$B$155,0)),"NA")</f>
        <v>matty</v>
      </c>
      <c r="V380" t="str">
        <f t="shared" si="15"/>
        <v>matty7</v>
      </c>
      <c r="W380">
        <f>COUNTIFS(A$1:A380,A380)</f>
        <v>19</v>
      </c>
      <c r="X380" t="str">
        <f t="shared" si="16"/>
        <v>Browns D/ST7</v>
      </c>
      <c r="Y380">
        <f>COUNTIF(V$1:V380,V380)</f>
        <v>1</v>
      </c>
      <c r="Z380" t="str">
        <f t="shared" si="17"/>
        <v>matty7-1</v>
      </c>
    </row>
    <row r="381" spans="1:26" x14ac:dyDescent="0.25">
      <c r="A381">
        <v>1</v>
      </c>
      <c r="B381" t="s">
        <v>414</v>
      </c>
      <c r="C381" t="s">
        <v>1255</v>
      </c>
      <c r="D381">
        <v>23.21</v>
      </c>
      <c r="E381">
        <v>1.66</v>
      </c>
      <c r="F381">
        <v>0.76</v>
      </c>
      <c r="G381">
        <v>0.82</v>
      </c>
      <c r="H381">
        <v>0.02</v>
      </c>
      <c r="I381">
        <v>0.14000000000000001</v>
      </c>
      <c r="J381" t="s">
        <v>73</v>
      </c>
      <c r="K381">
        <v>10.81</v>
      </c>
      <c r="L381">
        <v>0.95</v>
      </c>
      <c r="M381">
        <v>4.93</v>
      </c>
      <c r="N381">
        <v>24.3049</v>
      </c>
      <c r="O381">
        <v>5</v>
      </c>
      <c r="P381">
        <v>0</v>
      </c>
      <c r="Q381">
        <v>350.69200000000001</v>
      </c>
      <c r="R381">
        <v>5</v>
      </c>
      <c r="S381">
        <v>-1</v>
      </c>
      <c r="T381">
        <v>4.7</v>
      </c>
      <c r="U381" t="str">
        <f>IFERROR(INDEX(Rosters!$C$2:$C$155,MATCH(B381,Rosters!$B$2:$B$155,0)),"NA")</f>
        <v>comp</v>
      </c>
      <c r="V381" t="str">
        <f t="shared" si="15"/>
        <v>comp1</v>
      </c>
      <c r="W381">
        <f>COUNTIFS(A$1:A381,A381)</f>
        <v>25</v>
      </c>
      <c r="X381" t="str">
        <f t="shared" si="16"/>
        <v>Eagles D/ST1</v>
      </c>
      <c r="Y381">
        <f>COUNTIF(V$1:V381,V381)</f>
        <v>1</v>
      </c>
      <c r="Z381" t="str">
        <f t="shared" si="17"/>
        <v>comp1-1</v>
      </c>
    </row>
    <row r="382" spans="1:26" x14ac:dyDescent="0.25">
      <c r="A382">
        <v>1</v>
      </c>
      <c r="B382" t="s">
        <v>413</v>
      </c>
      <c r="C382">
        <f>-0.19-12.55</f>
        <v>-12.74</v>
      </c>
      <c r="D382">
        <v>23.37</v>
      </c>
      <c r="E382">
        <v>1.9</v>
      </c>
      <c r="F382">
        <v>0.86</v>
      </c>
      <c r="G382">
        <v>0.57999999999999996</v>
      </c>
      <c r="H382">
        <v>0.04</v>
      </c>
      <c r="I382">
        <v>0.14000000000000001</v>
      </c>
      <c r="J382" t="s">
        <v>19</v>
      </c>
      <c r="K382">
        <v>12.55</v>
      </c>
      <c r="L382">
        <v>-0.19</v>
      </c>
      <c r="M382">
        <v>6.37</v>
      </c>
      <c r="N382">
        <v>40.576900000000002</v>
      </c>
      <c r="O382">
        <v>5</v>
      </c>
      <c r="P382">
        <v>0</v>
      </c>
      <c r="Q382">
        <v>351.524</v>
      </c>
      <c r="R382">
        <v>5</v>
      </c>
      <c r="S382">
        <v>-1</v>
      </c>
      <c r="T382">
        <v>4.7</v>
      </c>
      <c r="U382" t="str">
        <f>IFERROR(INDEX(Rosters!$C$2:$C$155,MATCH(B382,Rosters!$B$2:$B$155,0)),"NA")</f>
        <v>cory</v>
      </c>
      <c r="V382" t="str">
        <f t="shared" si="15"/>
        <v>cory1</v>
      </c>
      <c r="W382">
        <f>COUNTIFS(A$1:A382,A382)</f>
        <v>26</v>
      </c>
      <c r="X382" t="str">
        <f t="shared" si="16"/>
        <v>Panthers D/ST1</v>
      </c>
      <c r="Y382">
        <f>COUNTIF(V$1:V382,V382)</f>
        <v>1</v>
      </c>
      <c r="Z382" t="str">
        <f t="shared" si="17"/>
        <v>cory1-1</v>
      </c>
    </row>
    <row r="383" spans="1:26" x14ac:dyDescent="0.25">
      <c r="A383">
        <v>4</v>
      </c>
      <c r="B383" t="s">
        <v>412</v>
      </c>
      <c r="C383">
        <f>-0.17-12.25</f>
        <v>-12.42</v>
      </c>
      <c r="D383">
        <v>27.92</v>
      </c>
      <c r="E383">
        <v>2.34</v>
      </c>
      <c r="F383">
        <v>0.83</v>
      </c>
      <c r="G383">
        <v>0.71</v>
      </c>
      <c r="H383">
        <v>0</v>
      </c>
      <c r="I383">
        <v>0.21</v>
      </c>
      <c r="J383" t="s">
        <v>77</v>
      </c>
      <c r="K383">
        <v>12.25</v>
      </c>
      <c r="L383">
        <v>-0.17</v>
      </c>
      <c r="M383">
        <v>6.21</v>
      </c>
      <c r="N383">
        <v>38.564100000000003</v>
      </c>
      <c r="O383">
        <v>6</v>
      </c>
      <c r="P383">
        <v>-1</v>
      </c>
      <c r="Q383">
        <v>375.18400000000003</v>
      </c>
      <c r="R383">
        <v>5</v>
      </c>
      <c r="S383">
        <v>-1</v>
      </c>
      <c r="T383">
        <v>4.68</v>
      </c>
      <c r="U383" t="str">
        <f>IFERROR(INDEX(Rosters!$C$2:$C$155,MATCH(B383,Rosters!$B$2:$B$155,0)),"NA")</f>
        <v>chad</v>
      </c>
      <c r="V383" t="str">
        <f t="shared" si="15"/>
        <v>chad4</v>
      </c>
      <c r="W383">
        <f>COUNTIFS(A$1:A383,A383)</f>
        <v>29</v>
      </c>
      <c r="X383" t="str">
        <f t="shared" si="16"/>
        <v>Broncos D/ST4</v>
      </c>
      <c r="Y383">
        <f>COUNTIF(V$1:V383,V383)</f>
        <v>1</v>
      </c>
      <c r="Z383" t="str">
        <f t="shared" si="17"/>
        <v>chad4-1</v>
      </c>
    </row>
    <row r="384" spans="1:26" x14ac:dyDescent="0.25">
      <c r="A384">
        <v>2</v>
      </c>
      <c r="B384" t="s">
        <v>413</v>
      </c>
      <c r="C384" t="s">
        <v>1256</v>
      </c>
      <c r="D384">
        <v>25.48</v>
      </c>
      <c r="E384">
        <v>2</v>
      </c>
      <c r="F384">
        <v>0.7</v>
      </c>
      <c r="G384">
        <v>0.74</v>
      </c>
      <c r="H384">
        <v>0.04</v>
      </c>
      <c r="I384">
        <v>0.12</v>
      </c>
      <c r="J384" t="s">
        <v>73</v>
      </c>
      <c r="K384">
        <v>10.59</v>
      </c>
      <c r="L384">
        <v>0.56999999999999995</v>
      </c>
      <c r="M384">
        <v>5.01</v>
      </c>
      <c r="N384">
        <v>25.100100000000001</v>
      </c>
      <c r="O384">
        <v>5</v>
      </c>
      <c r="P384">
        <v>0</v>
      </c>
      <c r="Q384">
        <v>362.49599999999998</v>
      </c>
      <c r="R384">
        <v>5</v>
      </c>
      <c r="S384">
        <v>-1</v>
      </c>
      <c r="T384">
        <v>4.68</v>
      </c>
      <c r="U384" t="str">
        <f>IFERROR(INDEX(Rosters!$C$2:$C$155,MATCH(B384,Rosters!$B$2:$B$155,0)),"NA")</f>
        <v>cory</v>
      </c>
      <c r="V384" t="str">
        <f t="shared" si="15"/>
        <v>cory2</v>
      </c>
      <c r="W384">
        <f>COUNTIFS(A$1:A384,A384)</f>
        <v>23</v>
      </c>
      <c r="X384" t="str">
        <f t="shared" si="16"/>
        <v>Panthers D/ST2</v>
      </c>
      <c r="Y384">
        <f>COUNTIF(V$1:V384,V384)</f>
        <v>1</v>
      </c>
      <c r="Z384" t="str">
        <f t="shared" si="17"/>
        <v>cory2-1</v>
      </c>
    </row>
    <row r="385" spans="1:26" x14ac:dyDescent="0.25">
      <c r="A385">
        <v>4</v>
      </c>
      <c r="B385" t="s">
        <v>406</v>
      </c>
      <c r="C385" t="s">
        <v>4853</v>
      </c>
      <c r="D385">
        <v>27.16</v>
      </c>
      <c r="E385">
        <v>2.2999999999999998</v>
      </c>
      <c r="F385">
        <v>0.95</v>
      </c>
      <c r="G385">
        <v>0.83</v>
      </c>
      <c r="H385">
        <v>0.05</v>
      </c>
      <c r="I385">
        <v>0.12</v>
      </c>
      <c r="J385" t="s">
        <v>52</v>
      </c>
      <c r="K385">
        <v>11.76</v>
      </c>
      <c r="L385">
        <v>0.26</v>
      </c>
      <c r="M385">
        <v>5.75</v>
      </c>
      <c r="N385">
        <v>33.0625</v>
      </c>
      <c r="O385">
        <v>6</v>
      </c>
      <c r="P385">
        <v>-1</v>
      </c>
      <c r="Q385">
        <v>371.23200000000003</v>
      </c>
      <c r="R385">
        <v>5</v>
      </c>
      <c r="S385">
        <v>-1</v>
      </c>
      <c r="T385">
        <v>4.68</v>
      </c>
      <c r="U385" t="str">
        <f>IFERROR(INDEX(Rosters!$C$2:$C$155,MATCH(B385,Rosters!$B$2:$B$155,0)),"NA")</f>
        <v>seth</v>
      </c>
      <c r="V385" t="str">
        <f t="shared" si="15"/>
        <v>seth4</v>
      </c>
      <c r="W385">
        <f>COUNTIFS(A$1:A385,A385)</f>
        <v>30</v>
      </c>
      <c r="X385" t="str">
        <f t="shared" si="16"/>
        <v>Vikings D/ST4</v>
      </c>
      <c r="Y385">
        <f>COUNTIF(V$1:V385,V385)</f>
        <v>1</v>
      </c>
      <c r="Z385" t="str">
        <f t="shared" si="17"/>
        <v>seth4-1</v>
      </c>
    </row>
    <row r="386" spans="1:26" x14ac:dyDescent="0.25">
      <c r="A386">
        <v>3</v>
      </c>
      <c r="B386" t="s">
        <v>436</v>
      </c>
      <c r="C386">
        <f>-0.92-12.08</f>
        <v>-13</v>
      </c>
      <c r="D386">
        <v>31.2</v>
      </c>
      <c r="E386">
        <v>2.65</v>
      </c>
      <c r="F386">
        <v>0.82</v>
      </c>
      <c r="G386">
        <v>0.92</v>
      </c>
      <c r="H386">
        <v>0</v>
      </c>
      <c r="I386">
        <v>0.09</v>
      </c>
      <c r="J386" t="s">
        <v>77</v>
      </c>
      <c r="K386">
        <v>12.08</v>
      </c>
      <c r="L386">
        <v>-0.92</v>
      </c>
      <c r="M386">
        <v>6.5</v>
      </c>
      <c r="N386">
        <v>42.25</v>
      </c>
      <c r="O386">
        <v>6</v>
      </c>
      <c r="P386">
        <v>-1</v>
      </c>
      <c r="Q386">
        <v>392.24</v>
      </c>
      <c r="R386">
        <v>5</v>
      </c>
      <c r="S386">
        <v>-1</v>
      </c>
      <c r="T386">
        <v>4.67</v>
      </c>
      <c r="U386" t="str">
        <f>IFERROR(INDEX(Rosters!$C$2:$C$155,MATCH(B386,Rosters!$B$2:$B$155,0)),"NA")</f>
        <v>NA</v>
      </c>
      <c r="V386" t="str">
        <f t="shared" si="15"/>
        <v>NA3</v>
      </c>
      <c r="W386">
        <f>COUNTIFS(A$1:A386,A386)</f>
        <v>30</v>
      </c>
      <c r="X386" t="str">
        <f t="shared" si="16"/>
        <v>49ers D/ST3</v>
      </c>
      <c r="Y386">
        <f>COUNTIF(V$1:V386,V386)</f>
        <v>19</v>
      </c>
      <c r="Z386" t="str">
        <f t="shared" si="17"/>
        <v>NA3-19</v>
      </c>
    </row>
    <row r="387" spans="1:26" x14ac:dyDescent="0.25">
      <c r="A387">
        <v>9</v>
      </c>
      <c r="B387" t="s">
        <v>436</v>
      </c>
      <c r="C387" t="s">
        <v>5621</v>
      </c>
      <c r="D387">
        <v>25.43</v>
      </c>
      <c r="E387">
        <v>1.58</v>
      </c>
      <c r="F387">
        <v>0.78</v>
      </c>
      <c r="G387">
        <v>0.76</v>
      </c>
      <c r="H387">
        <v>0.02</v>
      </c>
      <c r="I387">
        <v>0.16</v>
      </c>
      <c r="J387" t="s">
        <v>50</v>
      </c>
      <c r="K387">
        <v>10.050000000000001</v>
      </c>
      <c r="L387">
        <v>0.87</v>
      </c>
      <c r="M387">
        <v>4.59</v>
      </c>
      <c r="N387">
        <v>21.068100000000001</v>
      </c>
      <c r="O387">
        <v>5</v>
      </c>
      <c r="P387">
        <v>0</v>
      </c>
      <c r="Q387">
        <v>362.23599999999999</v>
      </c>
      <c r="R387">
        <v>5</v>
      </c>
      <c r="S387">
        <v>-1</v>
      </c>
      <c r="T387">
        <v>4.66</v>
      </c>
      <c r="U387" t="str">
        <f>IFERROR(INDEX(Rosters!$C$2:$C$155,MATCH(B387,Rosters!$B$2:$B$155,0)),"NA")</f>
        <v>NA</v>
      </c>
      <c r="V387" t="str">
        <f t="shared" ref="V387:V450" si="18">U387&amp;A387</f>
        <v>NA9</v>
      </c>
      <c r="W387">
        <f>COUNTIFS(A$1:A387,A387)</f>
        <v>18</v>
      </c>
      <c r="X387" t="str">
        <f t="shared" ref="X387:X450" si="19">B387&amp;A387</f>
        <v>49ers D/ST9</v>
      </c>
      <c r="Y387">
        <f>COUNTIF(V$1:V387,V387)</f>
        <v>11</v>
      </c>
      <c r="Z387" t="str">
        <f t="shared" ref="Z387:Z450" si="20">V387&amp;"-"&amp;Y387</f>
        <v>NA9-11</v>
      </c>
    </row>
    <row r="388" spans="1:26" x14ac:dyDescent="0.25">
      <c r="A388">
        <v>14</v>
      </c>
      <c r="B388" t="s">
        <v>411</v>
      </c>
      <c r="C388">
        <f>-0.1-11.72</f>
        <v>-11.82</v>
      </c>
      <c r="D388">
        <v>28.14</v>
      </c>
      <c r="E388">
        <v>1.94</v>
      </c>
      <c r="F388">
        <v>1.04</v>
      </c>
      <c r="G388">
        <v>0.66</v>
      </c>
      <c r="H388">
        <v>0.06</v>
      </c>
      <c r="I388">
        <v>0.2</v>
      </c>
      <c r="J388" t="s">
        <v>77</v>
      </c>
      <c r="K388">
        <v>11.72</v>
      </c>
      <c r="L388">
        <v>-0.1</v>
      </c>
      <c r="M388">
        <v>5.91</v>
      </c>
      <c r="N388">
        <v>34.928100000000001</v>
      </c>
      <c r="O388">
        <v>6</v>
      </c>
      <c r="P388">
        <v>-1</v>
      </c>
      <c r="Q388">
        <v>376.32799999999997</v>
      </c>
      <c r="R388">
        <v>5</v>
      </c>
      <c r="S388">
        <v>-1</v>
      </c>
      <c r="T388">
        <v>4.66</v>
      </c>
      <c r="U388" t="str">
        <f>IFERROR(INDEX(Rosters!$C$2:$C$155,MATCH(B388,Rosters!$B$2:$B$155,0)),"NA")</f>
        <v>lucas</v>
      </c>
      <c r="V388" t="str">
        <f t="shared" si="18"/>
        <v>lucas14</v>
      </c>
      <c r="W388">
        <f>COUNTIFS(A$1:A388,A388)</f>
        <v>21</v>
      </c>
      <c r="X388" t="str">
        <f t="shared" si="19"/>
        <v>Ravens D/ST14</v>
      </c>
      <c r="Y388">
        <f>COUNTIF(V$1:V388,V388)</f>
        <v>1</v>
      </c>
      <c r="Z388" t="str">
        <f t="shared" si="20"/>
        <v>lucas14-1</v>
      </c>
    </row>
    <row r="389" spans="1:26" x14ac:dyDescent="0.25">
      <c r="A389">
        <v>8</v>
      </c>
      <c r="B389" t="s">
        <v>422</v>
      </c>
      <c r="C389" t="s">
        <v>5622</v>
      </c>
      <c r="D389">
        <v>23.84</v>
      </c>
      <c r="E389">
        <v>2.2599999999999998</v>
      </c>
      <c r="F389">
        <v>0.7</v>
      </c>
      <c r="G389">
        <v>0.46</v>
      </c>
      <c r="H389">
        <v>0.04</v>
      </c>
      <c r="I389">
        <v>0.16</v>
      </c>
      <c r="J389" t="s">
        <v>56</v>
      </c>
      <c r="K389">
        <v>11.24</v>
      </c>
      <c r="L389">
        <v>0.02</v>
      </c>
      <c r="M389">
        <v>5.61</v>
      </c>
      <c r="N389">
        <v>31.472100000000001</v>
      </c>
      <c r="O389">
        <v>5</v>
      </c>
      <c r="P389">
        <v>0</v>
      </c>
      <c r="Q389">
        <v>353.96800000000002</v>
      </c>
      <c r="R389">
        <v>5</v>
      </c>
      <c r="S389">
        <v>-1</v>
      </c>
      <c r="T389">
        <v>4.62</v>
      </c>
      <c r="U389" t="str">
        <f>IFERROR(INDEX(Rosters!$C$2:$C$155,MATCH(B389,Rosters!$B$2:$B$155,0)),"NA")</f>
        <v>NA</v>
      </c>
      <c r="V389" t="str">
        <f t="shared" si="18"/>
        <v>NA8</v>
      </c>
      <c r="W389">
        <f>COUNTIFS(A$1:A389,A389)</f>
        <v>19</v>
      </c>
      <c r="X389" t="str">
        <f t="shared" si="19"/>
        <v>Dolphins D/ST8</v>
      </c>
      <c r="Y389">
        <f>COUNTIF(V$1:V389,V389)</f>
        <v>12</v>
      </c>
      <c r="Z389" t="str">
        <f t="shared" si="20"/>
        <v>NA8-12</v>
      </c>
    </row>
    <row r="390" spans="1:26" x14ac:dyDescent="0.25">
      <c r="A390">
        <v>11</v>
      </c>
      <c r="B390" t="s">
        <v>412</v>
      </c>
      <c r="C390" t="s">
        <v>5623</v>
      </c>
      <c r="D390">
        <v>28.69</v>
      </c>
      <c r="E390">
        <v>1.6</v>
      </c>
      <c r="F390">
        <v>1.1399999999999999</v>
      </c>
      <c r="G390">
        <v>0.6</v>
      </c>
      <c r="H390">
        <v>0.04</v>
      </c>
      <c r="I390">
        <v>0.24</v>
      </c>
      <c r="J390" t="s">
        <v>66</v>
      </c>
      <c r="K390">
        <v>11.43</v>
      </c>
      <c r="L390">
        <v>0.17</v>
      </c>
      <c r="M390">
        <v>5.63</v>
      </c>
      <c r="N390">
        <v>31.696899999999999</v>
      </c>
      <c r="O390">
        <v>6</v>
      </c>
      <c r="P390">
        <v>-1</v>
      </c>
      <c r="Q390">
        <v>379.18799999999999</v>
      </c>
      <c r="R390">
        <v>5</v>
      </c>
      <c r="S390">
        <v>-1</v>
      </c>
      <c r="T390">
        <v>4.5999999999999996</v>
      </c>
      <c r="U390" t="str">
        <f>IFERROR(INDEX(Rosters!$C$2:$C$155,MATCH(B390,Rosters!$B$2:$B$155,0)),"NA")</f>
        <v>chad</v>
      </c>
      <c r="V390" t="str">
        <f t="shared" si="18"/>
        <v>chad11</v>
      </c>
      <c r="W390">
        <f>COUNTIFS(A$1:A390,A390)</f>
        <v>20</v>
      </c>
      <c r="X390" t="str">
        <f t="shared" si="19"/>
        <v>Broncos D/ST11</v>
      </c>
      <c r="Y390">
        <f>COUNTIF(V$1:V390,V390)</f>
        <v>1</v>
      </c>
      <c r="Z390" t="str">
        <f t="shared" si="20"/>
        <v>chad11-1</v>
      </c>
    </row>
    <row r="391" spans="1:26" x14ac:dyDescent="0.25">
      <c r="A391">
        <v>17</v>
      </c>
      <c r="B391" t="s">
        <v>412</v>
      </c>
      <c r="C391" t="s">
        <v>5623</v>
      </c>
      <c r="D391">
        <v>28.69</v>
      </c>
      <c r="E391">
        <v>1.6</v>
      </c>
      <c r="F391">
        <v>1.1399999999999999</v>
      </c>
      <c r="G391">
        <v>0.6</v>
      </c>
      <c r="H391">
        <v>0.04</v>
      </c>
      <c r="I391">
        <v>0.24</v>
      </c>
      <c r="J391" t="s">
        <v>66</v>
      </c>
      <c r="K391">
        <v>11.43</v>
      </c>
      <c r="L391">
        <v>0.17</v>
      </c>
      <c r="M391">
        <v>5.63</v>
      </c>
      <c r="N391">
        <v>31.696899999999999</v>
      </c>
      <c r="O391">
        <v>6</v>
      </c>
      <c r="P391">
        <v>-1</v>
      </c>
      <c r="Q391">
        <v>379.18799999999999</v>
      </c>
      <c r="R391">
        <v>5</v>
      </c>
      <c r="S391">
        <v>-1</v>
      </c>
      <c r="T391">
        <v>4.5999999999999996</v>
      </c>
      <c r="U391" t="str">
        <f>IFERROR(INDEX(Rosters!$C$2:$C$155,MATCH(B391,Rosters!$B$2:$B$155,0)),"NA")</f>
        <v>chad</v>
      </c>
      <c r="V391" t="str">
        <f t="shared" si="18"/>
        <v>chad17</v>
      </c>
      <c r="W391">
        <f>COUNTIFS(A$1:A391,A391)</f>
        <v>25</v>
      </c>
      <c r="X391" t="str">
        <f t="shared" si="19"/>
        <v>Broncos D/ST17</v>
      </c>
      <c r="Y391">
        <f>COUNTIF(V$1:V391,V391)</f>
        <v>1</v>
      </c>
      <c r="Z391" t="str">
        <f t="shared" si="20"/>
        <v>chad17-1</v>
      </c>
    </row>
    <row r="392" spans="1:26" x14ac:dyDescent="0.25">
      <c r="A392">
        <v>2</v>
      </c>
      <c r="B392" t="s">
        <v>419</v>
      </c>
      <c r="C392" t="s">
        <v>1257</v>
      </c>
      <c r="D392">
        <v>27.61</v>
      </c>
      <c r="E392">
        <v>2.02</v>
      </c>
      <c r="F392">
        <v>1</v>
      </c>
      <c r="G392">
        <v>0.7</v>
      </c>
      <c r="H392">
        <v>0.04</v>
      </c>
      <c r="I392">
        <v>0.18</v>
      </c>
      <c r="J392" t="s">
        <v>28</v>
      </c>
      <c r="K392">
        <v>11.33</v>
      </c>
      <c r="L392">
        <v>0.15</v>
      </c>
      <c r="M392">
        <v>5.59</v>
      </c>
      <c r="N392">
        <v>31.248100000000001</v>
      </c>
      <c r="O392">
        <v>6</v>
      </c>
      <c r="P392">
        <v>-1</v>
      </c>
      <c r="Q392">
        <v>373.572</v>
      </c>
      <c r="R392">
        <v>5</v>
      </c>
      <c r="S392">
        <v>-1</v>
      </c>
      <c r="T392">
        <v>4.58</v>
      </c>
      <c r="U392" t="str">
        <f>IFERROR(INDEX(Rosters!$C$2:$C$155,MATCH(B392,Rosters!$B$2:$B$155,0)),"NA")</f>
        <v>devon</v>
      </c>
      <c r="V392" t="str">
        <f t="shared" si="18"/>
        <v>devon2</v>
      </c>
      <c r="W392">
        <f>COUNTIFS(A$1:A392,A392)</f>
        <v>24</v>
      </c>
      <c r="X392" t="str">
        <f t="shared" si="19"/>
        <v>Jaguars D/ST2</v>
      </c>
      <c r="Y392">
        <f>COUNTIF(V$1:V392,V392)</f>
        <v>1</v>
      </c>
      <c r="Z392" t="str">
        <f t="shared" si="20"/>
        <v>devon2-1</v>
      </c>
    </row>
    <row r="393" spans="1:26" x14ac:dyDescent="0.25">
      <c r="A393">
        <v>6</v>
      </c>
      <c r="B393" t="s">
        <v>433</v>
      </c>
      <c r="C393" t="s">
        <v>5624</v>
      </c>
      <c r="D393">
        <v>26.26</v>
      </c>
      <c r="E393">
        <v>1.9</v>
      </c>
      <c r="F393">
        <v>0.74</v>
      </c>
      <c r="G393">
        <v>0.64</v>
      </c>
      <c r="H393">
        <v>0.04</v>
      </c>
      <c r="I393">
        <v>0.14000000000000001</v>
      </c>
      <c r="J393" t="s">
        <v>25</v>
      </c>
      <c r="K393">
        <v>9.9499999999999993</v>
      </c>
      <c r="L393">
        <v>0.35</v>
      </c>
      <c r="M393">
        <v>4.8</v>
      </c>
      <c r="N393">
        <v>23.04</v>
      </c>
      <c r="O393">
        <v>5</v>
      </c>
      <c r="P393">
        <v>0</v>
      </c>
      <c r="Q393">
        <v>366.55200000000002</v>
      </c>
      <c r="R393">
        <v>5</v>
      </c>
      <c r="S393">
        <v>-1</v>
      </c>
      <c r="T393">
        <v>4.58</v>
      </c>
      <c r="U393" t="str">
        <f>IFERROR(INDEX(Rosters!$C$2:$C$155,MATCH(B393,Rosters!$B$2:$B$155,0)),"NA")</f>
        <v>NA</v>
      </c>
      <c r="V393" t="str">
        <f t="shared" si="18"/>
        <v>NA6</v>
      </c>
      <c r="W393">
        <f>COUNTIFS(A$1:A393,A393)</f>
        <v>23</v>
      </c>
      <c r="X393" t="str">
        <f t="shared" si="19"/>
        <v>Raiders D/ST6</v>
      </c>
      <c r="Y393">
        <f>COUNTIF(V$1:V393,V393)</f>
        <v>15</v>
      </c>
      <c r="Z393" t="str">
        <f t="shared" si="20"/>
        <v>NA6-15</v>
      </c>
    </row>
    <row r="394" spans="1:26" x14ac:dyDescent="0.25">
      <c r="A394">
        <v>12</v>
      </c>
      <c r="B394" t="s">
        <v>425</v>
      </c>
      <c r="C394" t="s">
        <v>5625</v>
      </c>
      <c r="D394">
        <v>25.99</v>
      </c>
      <c r="E394">
        <v>1.76</v>
      </c>
      <c r="F394">
        <v>0.64</v>
      </c>
      <c r="G394">
        <v>0.6</v>
      </c>
      <c r="H394">
        <v>0</v>
      </c>
      <c r="I394">
        <v>0.22</v>
      </c>
      <c r="J394" t="s">
        <v>29</v>
      </c>
      <c r="K394">
        <v>10</v>
      </c>
      <c r="L394">
        <v>0.1</v>
      </c>
      <c r="M394">
        <v>4.95</v>
      </c>
      <c r="N394">
        <v>24.502500000000001</v>
      </c>
      <c r="O394">
        <v>5</v>
      </c>
      <c r="P394">
        <v>0</v>
      </c>
      <c r="Q394">
        <v>365.14800000000002</v>
      </c>
      <c r="R394">
        <v>5</v>
      </c>
      <c r="S394">
        <v>-1</v>
      </c>
      <c r="T394">
        <v>4.5599999999999996</v>
      </c>
      <c r="U394" t="str">
        <f>IFERROR(INDEX(Rosters!$C$2:$C$155,MATCH(B394,Rosters!$B$2:$B$155,0)),"NA")</f>
        <v>NA</v>
      </c>
      <c r="V394" t="str">
        <f t="shared" si="18"/>
        <v>NA12</v>
      </c>
      <c r="W394">
        <f>COUNTIFS(A$1:A394,A394)</f>
        <v>22</v>
      </c>
      <c r="X394" t="str">
        <f t="shared" si="19"/>
        <v>Packers D/ST12</v>
      </c>
      <c r="Y394">
        <f>COUNTIF(V$1:V394,V394)</f>
        <v>14</v>
      </c>
      <c r="Z394" t="str">
        <f t="shared" si="20"/>
        <v>NA12-14</v>
      </c>
    </row>
    <row r="395" spans="1:26" x14ac:dyDescent="0.25">
      <c r="A395">
        <v>8</v>
      </c>
      <c r="B395" t="s">
        <v>434</v>
      </c>
      <c r="C395" t="s">
        <v>5626</v>
      </c>
      <c r="D395">
        <v>24.07</v>
      </c>
      <c r="E395">
        <v>1.8</v>
      </c>
      <c r="F395">
        <v>0.98</v>
      </c>
      <c r="G395">
        <v>0.54</v>
      </c>
      <c r="H395">
        <v>0.04</v>
      </c>
      <c r="I395">
        <v>0.1</v>
      </c>
      <c r="J395" t="s">
        <v>31</v>
      </c>
      <c r="K395">
        <v>10.14</v>
      </c>
      <c r="L395">
        <v>1.38</v>
      </c>
      <c r="M395">
        <v>4.38</v>
      </c>
      <c r="N395">
        <v>19.1844</v>
      </c>
      <c r="O395">
        <v>5</v>
      </c>
      <c r="P395">
        <v>0</v>
      </c>
      <c r="Q395">
        <v>355.16399999999999</v>
      </c>
      <c r="R395">
        <v>5</v>
      </c>
      <c r="S395">
        <v>-1</v>
      </c>
      <c r="T395">
        <v>4.5199999999999996</v>
      </c>
      <c r="U395" t="str">
        <f>IFERROR(INDEX(Rosters!$C$2:$C$155,MATCH(B395,Rosters!$B$2:$B$155,0)),"NA")</f>
        <v>matty</v>
      </c>
      <c r="V395" t="str">
        <f t="shared" si="18"/>
        <v>matty8</v>
      </c>
      <c r="W395">
        <f>COUNTIFS(A$1:A395,A395)</f>
        <v>20</v>
      </c>
      <c r="X395" t="str">
        <f t="shared" si="19"/>
        <v>Browns D/ST8</v>
      </c>
      <c r="Y395">
        <f>COUNTIF(V$1:V395,V395)</f>
        <v>1</v>
      </c>
      <c r="Z395" t="str">
        <f t="shared" si="20"/>
        <v>matty8-1</v>
      </c>
    </row>
    <row r="396" spans="1:26" x14ac:dyDescent="0.25">
      <c r="A396">
        <v>6</v>
      </c>
      <c r="B396" t="s">
        <v>427</v>
      </c>
      <c r="C396" t="s">
        <v>5627</v>
      </c>
      <c r="D396">
        <v>25.05</v>
      </c>
      <c r="E396">
        <v>2.0099999999999998</v>
      </c>
      <c r="F396">
        <v>0.54</v>
      </c>
      <c r="G396">
        <v>0.74</v>
      </c>
      <c r="H396">
        <v>0.02</v>
      </c>
      <c r="I396">
        <v>0.14000000000000001</v>
      </c>
      <c r="J396" t="s">
        <v>51</v>
      </c>
      <c r="K396">
        <v>9.6199999999999992</v>
      </c>
      <c r="L396">
        <v>0.52</v>
      </c>
      <c r="M396">
        <v>4.55</v>
      </c>
      <c r="N396">
        <v>20.702500000000001</v>
      </c>
      <c r="O396">
        <v>5</v>
      </c>
      <c r="P396">
        <v>0</v>
      </c>
      <c r="Q396">
        <v>360.26</v>
      </c>
      <c r="R396">
        <v>5</v>
      </c>
      <c r="S396">
        <v>-1</v>
      </c>
      <c r="T396">
        <v>4.45</v>
      </c>
      <c r="U396" t="str">
        <f>IFERROR(INDEX(Rosters!$C$2:$C$155,MATCH(B396,Rosters!$B$2:$B$155,0)),"NA")</f>
        <v>aj</v>
      </c>
      <c r="V396" t="str">
        <f t="shared" si="18"/>
        <v>aj6</v>
      </c>
      <c r="W396">
        <f>COUNTIFS(A$1:A396,A396)</f>
        <v>24</v>
      </c>
      <c r="X396" t="str">
        <f t="shared" si="19"/>
        <v>Titans D/ST6</v>
      </c>
      <c r="Y396">
        <f>COUNTIF(V$1:V396,V396)</f>
        <v>1</v>
      </c>
      <c r="Z396" t="str">
        <f t="shared" si="20"/>
        <v>aj6-1</v>
      </c>
    </row>
    <row r="397" spans="1:26" x14ac:dyDescent="0.25">
      <c r="A397">
        <v>11</v>
      </c>
      <c r="B397" t="s">
        <v>437</v>
      </c>
      <c r="C397" t="s">
        <v>5628</v>
      </c>
      <c r="D397">
        <v>26.96</v>
      </c>
      <c r="E397">
        <v>2.12</v>
      </c>
      <c r="F397">
        <v>0.9</v>
      </c>
      <c r="G397">
        <v>0.68</v>
      </c>
      <c r="H397">
        <v>0.1</v>
      </c>
      <c r="I397">
        <v>0.16</v>
      </c>
      <c r="J397" t="s">
        <v>19</v>
      </c>
      <c r="K397">
        <v>11.37</v>
      </c>
      <c r="L397">
        <v>0.28999999999999998</v>
      </c>
      <c r="M397">
        <v>5.54</v>
      </c>
      <c r="N397">
        <v>30.691600000000001</v>
      </c>
      <c r="O397">
        <v>6</v>
      </c>
      <c r="P397">
        <v>-1</v>
      </c>
      <c r="Q397">
        <v>370.19200000000001</v>
      </c>
      <c r="R397">
        <v>5</v>
      </c>
      <c r="S397">
        <v>-1</v>
      </c>
      <c r="T397">
        <v>4.4400000000000004</v>
      </c>
      <c r="U397" t="str">
        <f>IFERROR(INDEX(Rosters!$C$2:$C$155,MATCH(B397,Rosters!$B$2:$B$155,0)),"NA")</f>
        <v>NA</v>
      </c>
      <c r="V397" t="str">
        <f t="shared" si="18"/>
        <v>NA11</v>
      </c>
      <c r="W397">
        <f>COUNTIFS(A$1:A397,A397)</f>
        <v>21</v>
      </c>
      <c r="X397" t="str">
        <f t="shared" si="19"/>
        <v>Falcons D/ST11</v>
      </c>
      <c r="Y397">
        <f>COUNTIF(V$1:V397,V397)</f>
        <v>13</v>
      </c>
      <c r="Z397" t="str">
        <f t="shared" si="20"/>
        <v>NA11-13</v>
      </c>
    </row>
    <row r="398" spans="1:26" x14ac:dyDescent="0.25">
      <c r="A398">
        <v>13</v>
      </c>
      <c r="B398" t="s">
        <v>436</v>
      </c>
      <c r="C398" t="s">
        <v>3732</v>
      </c>
      <c r="D398">
        <v>25.22</v>
      </c>
      <c r="E398">
        <v>2.16</v>
      </c>
      <c r="F398">
        <v>0.64</v>
      </c>
      <c r="G398">
        <v>0.57999999999999996</v>
      </c>
      <c r="H398">
        <v>0.06</v>
      </c>
      <c r="I398">
        <v>0.12</v>
      </c>
      <c r="J398" t="s">
        <v>25</v>
      </c>
      <c r="K398">
        <v>10.130000000000001</v>
      </c>
      <c r="L398">
        <v>0.55000000000000004</v>
      </c>
      <c r="M398">
        <v>4.79</v>
      </c>
      <c r="N398">
        <v>22.944099999999999</v>
      </c>
      <c r="O398">
        <v>5</v>
      </c>
      <c r="P398">
        <v>0</v>
      </c>
      <c r="Q398">
        <v>361.14400000000001</v>
      </c>
      <c r="R398">
        <v>5</v>
      </c>
      <c r="S398">
        <v>-1</v>
      </c>
      <c r="T398">
        <v>4.4400000000000004</v>
      </c>
      <c r="U398" t="str">
        <f>IFERROR(INDEX(Rosters!$C$2:$C$155,MATCH(B398,Rosters!$B$2:$B$155,0)),"NA")</f>
        <v>NA</v>
      </c>
      <c r="V398" t="str">
        <f t="shared" si="18"/>
        <v>NA13</v>
      </c>
      <c r="W398">
        <f>COUNTIFS(A$1:A398,A398)</f>
        <v>24</v>
      </c>
      <c r="X398" t="str">
        <f t="shared" si="19"/>
        <v>49ers D/ST13</v>
      </c>
      <c r="Y398">
        <f>COUNTIF(V$1:V398,V398)</f>
        <v>14</v>
      </c>
      <c r="Z398" t="str">
        <f t="shared" si="20"/>
        <v>NA13-14</v>
      </c>
    </row>
    <row r="399" spans="1:26" x14ac:dyDescent="0.25">
      <c r="A399">
        <v>15</v>
      </c>
      <c r="B399" t="s">
        <v>436</v>
      </c>
      <c r="C399" t="s">
        <v>3732</v>
      </c>
      <c r="D399">
        <v>25.22</v>
      </c>
      <c r="E399">
        <v>2.16</v>
      </c>
      <c r="F399">
        <v>0.64</v>
      </c>
      <c r="G399">
        <v>0.57999999999999996</v>
      </c>
      <c r="H399">
        <v>0.06</v>
      </c>
      <c r="I399">
        <v>0.12</v>
      </c>
      <c r="J399" t="s">
        <v>25</v>
      </c>
      <c r="K399">
        <v>10.130000000000001</v>
      </c>
      <c r="L399">
        <v>0.55000000000000004</v>
      </c>
      <c r="M399">
        <v>4.79</v>
      </c>
      <c r="N399">
        <v>22.944099999999999</v>
      </c>
      <c r="O399">
        <v>5</v>
      </c>
      <c r="P399">
        <v>0</v>
      </c>
      <c r="Q399">
        <v>361.14400000000001</v>
      </c>
      <c r="R399">
        <v>5</v>
      </c>
      <c r="S399">
        <v>-1</v>
      </c>
      <c r="T399">
        <v>4.4400000000000004</v>
      </c>
      <c r="U399" t="str">
        <f>IFERROR(INDEX(Rosters!$C$2:$C$155,MATCH(B399,Rosters!$B$2:$B$155,0)),"NA")</f>
        <v>NA</v>
      </c>
      <c r="V399" t="str">
        <f t="shared" si="18"/>
        <v>NA15</v>
      </c>
      <c r="W399">
        <f>COUNTIFS(A$1:A399,A399)</f>
        <v>24</v>
      </c>
      <c r="X399" t="str">
        <f t="shared" si="19"/>
        <v>49ers D/ST15</v>
      </c>
      <c r="Y399">
        <f>COUNTIF(V$1:V399,V399)</f>
        <v>15</v>
      </c>
      <c r="Z399" t="str">
        <f t="shared" si="20"/>
        <v>NA15-15</v>
      </c>
    </row>
    <row r="400" spans="1:26" x14ac:dyDescent="0.25">
      <c r="A400">
        <v>10</v>
      </c>
      <c r="B400" t="s">
        <v>429</v>
      </c>
      <c r="C400" t="s">
        <v>5629</v>
      </c>
      <c r="D400">
        <v>27.02</v>
      </c>
      <c r="E400">
        <v>1.88</v>
      </c>
      <c r="F400">
        <v>1.02</v>
      </c>
      <c r="G400">
        <v>0.6</v>
      </c>
      <c r="H400">
        <v>0</v>
      </c>
      <c r="I400">
        <v>0.22</v>
      </c>
      <c r="J400" t="s">
        <v>74</v>
      </c>
      <c r="K400">
        <v>10.94</v>
      </c>
      <c r="L400">
        <v>0.84</v>
      </c>
      <c r="M400">
        <v>5.05</v>
      </c>
      <c r="N400">
        <v>25.502500000000001</v>
      </c>
      <c r="O400">
        <v>6</v>
      </c>
      <c r="P400">
        <v>-1</v>
      </c>
      <c r="Q400">
        <v>370.50400000000002</v>
      </c>
      <c r="R400">
        <v>5</v>
      </c>
      <c r="S400">
        <v>-1</v>
      </c>
      <c r="T400">
        <v>4.4400000000000004</v>
      </c>
      <c r="U400" t="str">
        <f>IFERROR(INDEX(Rosters!$C$2:$C$155,MATCH(B400,Rosters!$B$2:$B$155,0)),"NA")</f>
        <v>NA</v>
      </c>
      <c r="V400" t="str">
        <f t="shared" si="18"/>
        <v>NA10</v>
      </c>
      <c r="W400">
        <f>COUNTIFS(A$1:A400,A400)</f>
        <v>19</v>
      </c>
      <c r="X400" t="str">
        <f t="shared" si="19"/>
        <v>Redskins D/ST10</v>
      </c>
      <c r="Y400">
        <f>COUNTIF(V$1:V400,V400)</f>
        <v>14</v>
      </c>
      <c r="Z400" t="str">
        <f t="shared" si="20"/>
        <v>NA10-14</v>
      </c>
    </row>
    <row r="401" spans="1:26" x14ac:dyDescent="0.25">
      <c r="A401">
        <v>10</v>
      </c>
      <c r="B401" t="s">
        <v>424</v>
      </c>
      <c r="C401" t="s">
        <v>5630</v>
      </c>
      <c r="D401">
        <v>23.46</v>
      </c>
      <c r="E401">
        <v>2.2999999999999998</v>
      </c>
      <c r="F401">
        <v>0.74</v>
      </c>
      <c r="G401">
        <v>0.62</v>
      </c>
      <c r="H401">
        <v>0.02</v>
      </c>
      <c r="I401">
        <v>0.04</v>
      </c>
      <c r="J401" t="s">
        <v>37</v>
      </c>
      <c r="K401">
        <v>10.33</v>
      </c>
      <c r="L401">
        <v>0.95</v>
      </c>
      <c r="M401">
        <v>4.6900000000000004</v>
      </c>
      <c r="N401">
        <v>21.996099999999998</v>
      </c>
      <c r="O401">
        <v>5</v>
      </c>
      <c r="P401">
        <v>0</v>
      </c>
      <c r="Q401">
        <v>351.99200000000002</v>
      </c>
      <c r="R401">
        <v>5</v>
      </c>
      <c r="S401">
        <v>-1</v>
      </c>
      <c r="T401">
        <v>4.3</v>
      </c>
      <c r="U401" t="str">
        <f>IFERROR(INDEX(Rosters!$C$2:$C$155,MATCH(B401,Rosters!$B$2:$B$155,0)),"NA")</f>
        <v>NA</v>
      </c>
      <c r="V401" t="str">
        <f t="shared" si="18"/>
        <v>NA10</v>
      </c>
      <c r="W401">
        <f>COUNTIFS(A$1:A401,A401)</f>
        <v>20</v>
      </c>
      <c r="X401" t="str">
        <f t="shared" si="19"/>
        <v>Steelers D/ST10</v>
      </c>
      <c r="Y401">
        <f>COUNTIF(V$1:V401,V401)</f>
        <v>15</v>
      </c>
      <c r="Z401" t="str">
        <f t="shared" si="20"/>
        <v>NA10-15</v>
      </c>
    </row>
    <row r="402" spans="1:26" x14ac:dyDescent="0.25">
      <c r="A402">
        <v>12</v>
      </c>
      <c r="B402" t="s">
        <v>405</v>
      </c>
      <c r="C402" t="s">
        <v>5631</v>
      </c>
      <c r="D402">
        <v>24.73</v>
      </c>
      <c r="E402">
        <v>1.76</v>
      </c>
      <c r="F402">
        <v>0.78</v>
      </c>
      <c r="G402">
        <v>0.42</v>
      </c>
      <c r="H402">
        <v>0.02</v>
      </c>
      <c r="I402">
        <v>0.18</v>
      </c>
      <c r="J402" t="s">
        <v>22</v>
      </c>
      <c r="K402">
        <v>10.06</v>
      </c>
      <c r="L402">
        <v>0.66</v>
      </c>
      <c r="M402">
        <v>4.7</v>
      </c>
      <c r="N402">
        <v>22.09</v>
      </c>
      <c r="O402">
        <v>5</v>
      </c>
      <c r="P402">
        <v>0</v>
      </c>
      <c r="Q402">
        <v>358.596</v>
      </c>
      <c r="R402">
        <v>5</v>
      </c>
      <c r="S402">
        <v>-1</v>
      </c>
      <c r="T402">
        <v>4.28</v>
      </c>
      <c r="U402" t="str">
        <f>IFERROR(INDEX(Rosters!$C$2:$C$155,MATCH(B402,Rosters!$B$2:$B$155,0)),"NA")</f>
        <v>perry</v>
      </c>
      <c r="V402" t="str">
        <f t="shared" si="18"/>
        <v>perry12</v>
      </c>
      <c r="W402">
        <f>COUNTIFS(A$1:A402,A402)</f>
        <v>23</v>
      </c>
      <c r="X402" t="str">
        <f t="shared" si="19"/>
        <v>Texans D/ST12</v>
      </c>
      <c r="Y402">
        <f>COUNTIF(V$1:V402,V402)</f>
        <v>1</v>
      </c>
      <c r="Z402" t="str">
        <f t="shared" si="20"/>
        <v>perry12-1</v>
      </c>
    </row>
    <row r="403" spans="1:26" x14ac:dyDescent="0.25">
      <c r="A403">
        <v>7</v>
      </c>
      <c r="B403" t="s">
        <v>408</v>
      </c>
      <c r="C403">
        <f>-0.89-12.03</f>
        <v>-12.92</v>
      </c>
      <c r="D403">
        <v>28.12</v>
      </c>
      <c r="E403">
        <v>1.86</v>
      </c>
      <c r="F403">
        <v>0.82</v>
      </c>
      <c r="G403">
        <v>0.52</v>
      </c>
      <c r="H403">
        <v>0.04</v>
      </c>
      <c r="I403">
        <v>0.26</v>
      </c>
      <c r="J403" t="s">
        <v>73</v>
      </c>
      <c r="K403">
        <v>12.03</v>
      </c>
      <c r="L403">
        <v>-0.89</v>
      </c>
      <c r="M403">
        <v>6.46</v>
      </c>
      <c r="N403">
        <v>41.7316</v>
      </c>
      <c r="O403">
        <v>6</v>
      </c>
      <c r="P403">
        <v>-1</v>
      </c>
      <c r="Q403">
        <v>376.22399999999999</v>
      </c>
      <c r="R403">
        <v>5</v>
      </c>
      <c r="S403">
        <v>-1</v>
      </c>
      <c r="T403">
        <v>4.18</v>
      </c>
      <c r="U403" t="str">
        <f>IFERROR(INDEX(Rosters!$C$2:$C$155,MATCH(B403,Rosters!$B$2:$B$155,0)),"NA")</f>
        <v>NA</v>
      </c>
      <c r="V403" t="str">
        <f t="shared" si="18"/>
        <v>NA7</v>
      </c>
      <c r="W403">
        <f>COUNTIFS(A$1:A403,A403)</f>
        <v>20</v>
      </c>
      <c r="X403" t="str">
        <f t="shared" si="19"/>
        <v>Giants D/ST7</v>
      </c>
      <c r="Y403">
        <f>COUNTIF(V$1:V403,V403)</f>
        <v>12</v>
      </c>
      <c r="Z403" t="str">
        <f t="shared" si="20"/>
        <v>NA7-12</v>
      </c>
    </row>
    <row r="404" spans="1:26" x14ac:dyDescent="0.25">
      <c r="A404">
        <v>2</v>
      </c>
      <c r="B404" t="s">
        <v>408</v>
      </c>
      <c r="C404" t="s">
        <v>1258</v>
      </c>
      <c r="D404">
        <v>25.4</v>
      </c>
      <c r="E404">
        <v>2.1</v>
      </c>
      <c r="F404">
        <v>0.78</v>
      </c>
      <c r="G404">
        <v>0.4</v>
      </c>
      <c r="H404">
        <v>0</v>
      </c>
      <c r="I404">
        <v>0.12</v>
      </c>
      <c r="J404" t="s">
        <v>19</v>
      </c>
      <c r="K404">
        <v>9.6199999999999992</v>
      </c>
      <c r="L404">
        <v>0.36</v>
      </c>
      <c r="M404">
        <v>4.63</v>
      </c>
      <c r="N404">
        <v>21.436900000000001</v>
      </c>
      <c r="O404">
        <v>5</v>
      </c>
      <c r="P404">
        <v>0</v>
      </c>
      <c r="Q404">
        <v>362.08</v>
      </c>
      <c r="R404">
        <v>5</v>
      </c>
      <c r="S404">
        <v>-1</v>
      </c>
      <c r="T404">
        <v>4.18</v>
      </c>
      <c r="U404" t="str">
        <f>IFERROR(INDEX(Rosters!$C$2:$C$155,MATCH(B404,Rosters!$B$2:$B$155,0)),"NA")</f>
        <v>NA</v>
      </c>
      <c r="V404" t="str">
        <f t="shared" si="18"/>
        <v>NA2</v>
      </c>
      <c r="W404">
        <f>COUNTIFS(A$1:A404,A404)</f>
        <v>25</v>
      </c>
      <c r="X404" t="str">
        <f t="shared" si="19"/>
        <v>Giants D/ST2</v>
      </c>
      <c r="Y404">
        <f>COUNTIF(V$1:V404,V404)</f>
        <v>15</v>
      </c>
      <c r="Z404" t="str">
        <f t="shared" si="20"/>
        <v>NA2-15</v>
      </c>
    </row>
    <row r="405" spans="1:26" x14ac:dyDescent="0.25">
      <c r="A405">
        <v>8</v>
      </c>
      <c r="B405" t="s">
        <v>433</v>
      </c>
      <c r="C405" t="s">
        <v>5632</v>
      </c>
      <c r="D405">
        <v>24.88</v>
      </c>
      <c r="E405">
        <v>1.98</v>
      </c>
      <c r="F405">
        <v>0.92</v>
      </c>
      <c r="G405">
        <v>0.42</v>
      </c>
      <c r="H405">
        <v>0.02</v>
      </c>
      <c r="I405">
        <v>0.08</v>
      </c>
      <c r="J405" t="s">
        <v>41</v>
      </c>
      <c r="K405">
        <v>10.15</v>
      </c>
      <c r="L405">
        <v>0.31</v>
      </c>
      <c r="M405">
        <v>4.92</v>
      </c>
      <c r="N405">
        <v>24.206399999999999</v>
      </c>
      <c r="O405">
        <v>5</v>
      </c>
      <c r="P405">
        <v>0</v>
      </c>
      <c r="Q405">
        <v>359.37599999999998</v>
      </c>
      <c r="R405">
        <v>5</v>
      </c>
      <c r="S405">
        <v>-1</v>
      </c>
      <c r="T405">
        <v>4.18</v>
      </c>
      <c r="U405" t="str">
        <f>IFERROR(INDEX(Rosters!$C$2:$C$155,MATCH(B405,Rosters!$B$2:$B$155,0)),"NA")</f>
        <v>NA</v>
      </c>
      <c r="V405" t="str">
        <f t="shared" si="18"/>
        <v>NA8</v>
      </c>
      <c r="W405">
        <f>COUNTIFS(A$1:A405,A405)</f>
        <v>21</v>
      </c>
      <c r="X405" t="str">
        <f t="shared" si="19"/>
        <v>Raiders D/ST8</v>
      </c>
      <c r="Y405">
        <f>COUNTIF(V$1:V405,V405)</f>
        <v>13</v>
      </c>
      <c r="Z405" t="str">
        <f t="shared" si="20"/>
        <v>NA8-13</v>
      </c>
    </row>
    <row r="406" spans="1:26" x14ac:dyDescent="0.25">
      <c r="A406">
        <v>12</v>
      </c>
      <c r="B406" t="s">
        <v>433</v>
      </c>
      <c r="C406" t="s">
        <v>5633</v>
      </c>
      <c r="D406">
        <v>26.94</v>
      </c>
      <c r="E406">
        <v>2.12</v>
      </c>
      <c r="F406">
        <v>0.88</v>
      </c>
      <c r="G406">
        <v>0.5</v>
      </c>
      <c r="H406">
        <v>0.04</v>
      </c>
      <c r="I406">
        <v>0.2</v>
      </c>
      <c r="J406" t="s">
        <v>51</v>
      </c>
      <c r="K406">
        <v>10.94</v>
      </c>
      <c r="L406">
        <v>0.3</v>
      </c>
      <c r="M406">
        <v>5.32</v>
      </c>
      <c r="N406">
        <v>28.302399999999999</v>
      </c>
      <c r="O406">
        <v>6</v>
      </c>
      <c r="P406">
        <v>-1</v>
      </c>
      <c r="Q406">
        <v>370.08800000000002</v>
      </c>
      <c r="R406">
        <v>5</v>
      </c>
      <c r="S406">
        <v>-1</v>
      </c>
      <c r="T406">
        <v>4.16</v>
      </c>
      <c r="U406" t="str">
        <f>IFERROR(INDEX(Rosters!$C$2:$C$155,MATCH(B406,Rosters!$B$2:$B$155,0)),"NA")</f>
        <v>NA</v>
      </c>
      <c r="V406" t="str">
        <f t="shared" si="18"/>
        <v>NA12</v>
      </c>
      <c r="W406">
        <f>COUNTIFS(A$1:A406,A406)</f>
        <v>24</v>
      </c>
      <c r="X406" t="str">
        <f t="shared" si="19"/>
        <v>Raiders D/ST12</v>
      </c>
      <c r="Y406">
        <f>COUNTIF(V$1:V406,V406)</f>
        <v>15</v>
      </c>
      <c r="Z406" t="str">
        <f t="shared" si="20"/>
        <v>NA12-15</v>
      </c>
    </row>
    <row r="407" spans="1:26" x14ac:dyDescent="0.25">
      <c r="A407">
        <v>11</v>
      </c>
      <c r="B407" t="s">
        <v>414</v>
      </c>
      <c r="C407" t="s">
        <v>5634</v>
      </c>
      <c r="D407">
        <v>26.97</v>
      </c>
      <c r="E407">
        <v>1.94</v>
      </c>
      <c r="F407">
        <v>1.04</v>
      </c>
      <c r="G407">
        <v>0.52</v>
      </c>
      <c r="H407">
        <v>0</v>
      </c>
      <c r="I407">
        <v>0.18</v>
      </c>
      <c r="J407" t="s">
        <v>72</v>
      </c>
      <c r="K407">
        <v>11.17</v>
      </c>
      <c r="L407">
        <v>0.03</v>
      </c>
      <c r="M407">
        <v>5.57</v>
      </c>
      <c r="N407">
        <v>31.024899999999999</v>
      </c>
      <c r="O407">
        <v>6</v>
      </c>
      <c r="P407">
        <v>-1</v>
      </c>
      <c r="Q407">
        <v>370.24400000000003</v>
      </c>
      <c r="R407">
        <v>5</v>
      </c>
      <c r="S407">
        <v>-1</v>
      </c>
      <c r="T407">
        <v>4.1399999999999997</v>
      </c>
      <c r="U407" t="str">
        <f>IFERROR(INDEX(Rosters!$C$2:$C$155,MATCH(B407,Rosters!$B$2:$B$155,0)),"NA")</f>
        <v>comp</v>
      </c>
      <c r="V407" t="str">
        <f t="shared" si="18"/>
        <v>comp11</v>
      </c>
      <c r="W407">
        <f>COUNTIFS(A$1:A407,A407)</f>
        <v>22</v>
      </c>
      <c r="X407" t="str">
        <f t="shared" si="19"/>
        <v>Eagles D/ST11</v>
      </c>
      <c r="Y407">
        <f>COUNTIF(V$1:V407,V407)</f>
        <v>1</v>
      </c>
      <c r="Z407" t="str">
        <f t="shared" si="20"/>
        <v>comp11-1</v>
      </c>
    </row>
    <row r="408" spans="1:26" x14ac:dyDescent="0.25">
      <c r="A408">
        <v>14</v>
      </c>
      <c r="B408" t="s">
        <v>407</v>
      </c>
      <c r="C408" t="s">
        <v>5635</v>
      </c>
      <c r="D408">
        <v>26.9</v>
      </c>
      <c r="E408">
        <v>1.98</v>
      </c>
      <c r="F408">
        <v>0.7</v>
      </c>
      <c r="G408">
        <v>0.62</v>
      </c>
      <c r="H408">
        <v>0.1</v>
      </c>
      <c r="I408">
        <v>0.22</v>
      </c>
      <c r="J408" t="s">
        <v>29</v>
      </c>
      <c r="K408">
        <v>11.08</v>
      </c>
      <c r="L408">
        <v>0.9</v>
      </c>
      <c r="M408">
        <v>5.09</v>
      </c>
      <c r="N408">
        <v>25.908100000000001</v>
      </c>
      <c r="O408">
        <v>6</v>
      </c>
      <c r="P408">
        <v>-1</v>
      </c>
      <c r="Q408">
        <v>369.88</v>
      </c>
      <c r="R408">
        <v>5</v>
      </c>
      <c r="S408">
        <v>-1</v>
      </c>
      <c r="T408">
        <v>4.1399999999999997</v>
      </c>
      <c r="U408" t="str">
        <f>IFERROR(INDEX(Rosters!$C$2:$C$155,MATCH(B408,Rosters!$B$2:$B$155,0)),"NA")</f>
        <v>NA</v>
      </c>
      <c r="V408" t="str">
        <f t="shared" si="18"/>
        <v>NA14</v>
      </c>
      <c r="W408">
        <f>COUNTIFS(A$1:A408,A408)</f>
        <v>22</v>
      </c>
      <c r="X408" t="str">
        <f t="shared" si="19"/>
        <v>Seahawks D/ST14</v>
      </c>
      <c r="Y408">
        <f>COUNTIF(V$1:V408,V408)</f>
        <v>14</v>
      </c>
      <c r="Z408" t="str">
        <f t="shared" si="20"/>
        <v>NA14-14</v>
      </c>
    </row>
    <row r="409" spans="1:26" x14ac:dyDescent="0.25">
      <c r="A409">
        <v>9</v>
      </c>
      <c r="B409" t="s">
        <v>420</v>
      </c>
      <c r="C409" t="s">
        <v>5636</v>
      </c>
      <c r="D409">
        <v>30.15</v>
      </c>
      <c r="E409">
        <v>2.04</v>
      </c>
      <c r="F409">
        <v>0.84</v>
      </c>
      <c r="G409">
        <v>0.42</v>
      </c>
      <c r="H409">
        <v>0</v>
      </c>
      <c r="I409">
        <v>0.26</v>
      </c>
      <c r="J409" t="s">
        <v>72</v>
      </c>
      <c r="K409">
        <v>9.58</v>
      </c>
      <c r="L409">
        <v>0.3</v>
      </c>
      <c r="M409">
        <v>4.6399999999999997</v>
      </c>
      <c r="N409">
        <v>21.529599999999999</v>
      </c>
      <c r="O409">
        <v>6</v>
      </c>
      <c r="P409">
        <v>-1</v>
      </c>
      <c r="Q409">
        <v>386.78</v>
      </c>
      <c r="R409">
        <v>5</v>
      </c>
      <c r="S409">
        <v>-1</v>
      </c>
      <c r="T409">
        <v>4.12</v>
      </c>
      <c r="U409" t="str">
        <f>IFERROR(INDEX(Rosters!$C$2:$C$155,MATCH(B409,Rosters!$B$2:$B$155,0)),"NA")</f>
        <v>scott</v>
      </c>
      <c r="V409" t="str">
        <f t="shared" si="18"/>
        <v>scott9</v>
      </c>
      <c r="W409">
        <f>COUNTIFS(A$1:A409,A409)</f>
        <v>19</v>
      </c>
      <c r="X409" t="str">
        <f t="shared" si="19"/>
        <v>Rams D/ST9</v>
      </c>
      <c r="Y409">
        <f>COUNTIF(V$1:V409,V409)</f>
        <v>1</v>
      </c>
      <c r="Z409" t="str">
        <f t="shared" si="20"/>
        <v>scott9-1</v>
      </c>
    </row>
    <row r="410" spans="1:26" x14ac:dyDescent="0.25">
      <c r="A410">
        <v>2</v>
      </c>
      <c r="B410" t="s">
        <v>436</v>
      </c>
      <c r="C410" t="s">
        <v>1259</v>
      </c>
      <c r="D410">
        <v>26.26</v>
      </c>
      <c r="E410">
        <v>1.75</v>
      </c>
      <c r="F410">
        <v>0.78</v>
      </c>
      <c r="G410">
        <v>0.6</v>
      </c>
      <c r="H410">
        <v>0</v>
      </c>
      <c r="I410">
        <v>0.1</v>
      </c>
      <c r="J410" t="s">
        <v>42</v>
      </c>
      <c r="K410">
        <v>8.82</v>
      </c>
      <c r="L410">
        <v>0.12</v>
      </c>
      <c r="M410">
        <v>4.3499999999999996</v>
      </c>
      <c r="N410">
        <v>18.922499999999999</v>
      </c>
      <c r="O410">
        <v>5</v>
      </c>
      <c r="P410">
        <v>0</v>
      </c>
      <c r="Q410">
        <v>366.55200000000002</v>
      </c>
      <c r="R410">
        <v>5</v>
      </c>
      <c r="S410">
        <v>-1</v>
      </c>
      <c r="T410">
        <v>4.1100000000000003</v>
      </c>
      <c r="U410" t="str">
        <f>IFERROR(INDEX(Rosters!$C$2:$C$155,MATCH(B410,Rosters!$B$2:$B$155,0)),"NA")</f>
        <v>NA</v>
      </c>
      <c r="V410" t="str">
        <f t="shared" si="18"/>
        <v>NA2</v>
      </c>
      <c r="W410">
        <f>COUNTIFS(A$1:A410,A410)</f>
        <v>26</v>
      </c>
      <c r="X410" t="str">
        <f t="shared" si="19"/>
        <v>49ers D/ST2</v>
      </c>
      <c r="Y410">
        <f>COUNTIF(V$1:V410,V410)</f>
        <v>16</v>
      </c>
      <c r="Z410" t="str">
        <f t="shared" si="20"/>
        <v>NA2-16</v>
      </c>
    </row>
    <row r="411" spans="1:26" x14ac:dyDescent="0.25">
      <c r="A411">
        <v>7</v>
      </c>
      <c r="B411" t="s">
        <v>426</v>
      </c>
      <c r="C411">
        <f>-0.2-10.02</f>
        <v>-10.219999999999999</v>
      </c>
      <c r="D411">
        <v>25.96</v>
      </c>
      <c r="E411">
        <v>2.14</v>
      </c>
      <c r="F411">
        <v>0.54</v>
      </c>
      <c r="G411">
        <v>0.57999999999999996</v>
      </c>
      <c r="H411">
        <v>0.04</v>
      </c>
      <c r="I411">
        <v>0.1</v>
      </c>
      <c r="J411" t="s">
        <v>38</v>
      </c>
      <c r="K411">
        <v>10.02</v>
      </c>
      <c r="L411">
        <v>-0.2</v>
      </c>
      <c r="M411">
        <v>5.1100000000000003</v>
      </c>
      <c r="N411">
        <v>26.112100000000002</v>
      </c>
      <c r="O411">
        <v>5</v>
      </c>
      <c r="P411">
        <v>0</v>
      </c>
      <c r="Q411">
        <v>364.99200000000002</v>
      </c>
      <c r="R411">
        <v>5</v>
      </c>
      <c r="S411">
        <v>-1</v>
      </c>
      <c r="T411">
        <v>4.0599999999999996</v>
      </c>
      <c r="U411" t="str">
        <f>IFERROR(INDEX(Rosters!$C$2:$C$155,MATCH(B411,Rosters!$B$2:$B$155,0)),"NA")</f>
        <v>NA</v>
      </c>
      <c r="V411" t="str">
        <f t="shared" si="18"/>
        <v>NA7</v>
      </c>
      <c r="W411">
        <f>COUNTIFS(A$1:A411,A411)</f>
        <v>21</v>
      </c>
      <c r="X411" t="str">
        <f t="shared" si="19"/>
        <v>Cowboys D/ST7</v>
      </c>
      <c r="Y411">
        <f>COUNTIF(V$1:V411,V411)</f>
        <v>13</v>
      </c>
      <c r="Z411" t="str">
        <f t="shared" si="20"/>
        <v>NA7-13</v>
      </c>
    </row>
    <row r="412" spans="1:26" x14ac:dyDescent="0.25">
      <c r="A412">
        <v>12</v>
      </c>
      <c r="B412" t="s">
        <v>426</v>
      </c>
      <c r="C412">
        <f>-0.2-10.02</f>
        <v>-10.219999999999999</v>
      </c>
      <c r="D412">
        <v>25.96</v>
      </c>
      <c r="E412">
        <v>2.14</v>
      </c>
      <c r="F412">
        <v>0.54</v>
      </c>
      <c r="G412">
        <v>0.57999999999999996</v>
      </c>
      <c r="H412">
        <v>0.04</v>
      </c>
      <c r="I412">
        <v>0.1</v>
      </c>
      <c r="J412" t="s">
        <v>38</v>
      </c>
      <c r="K412">
        <v>10.02</v>
      </c>
      <c r="L412">
        <v>-0.2</v>
      </c>
      <c r="M412">
        <v>5.1100000000000003</v>
      </c>
      <c r="N412">
        <v>26.112100000000002</v>
      </c>
      <c r="O412">
        <v>5</v>
      </c>
      <c r="P412">
        <v>0</v>
      </c>
      <c r="Q412">
        <v>364.99200000000002</v>
      </c>
      <c r="R412">
        <v>5</v>
      </c>
      <c r="S412">
        <v>-1</v>
      </c>
      <c r="T412">
        <v>4.0599999999999996</v>
      </c>
      <c r="U412" t="str">
        <f>IFERROR(INDEX(Rosters!$C$2:$C$155,MATCH(B412,Rosters!$B$2:$B$155,0)),"NA")</f>
        <v>NA</v>
      </c>
      <c r="V412" t="str">
        <f t="shared" si="18"/>
        <v>NA12</v>
      </c>
      <c r="W412">
        <f>COUNTIFS(A$1:A412,A412)</f>
        <v>25</v>
      </c>
      <c r="X412" t="str">
        <f t="shared" si="19"/>
        <v>Cowboys D/ST12</v>
      </c>
      <c r="Y412">
        <f>COUNTIF(V$1:V412,V412)</f>
        <v>16</v>
      </c>
      <c r="Z412" t="str">
        <f t="shared" si="20"/>
        <v>NA12-16</v>
      </c>
    </row>
    <row r="413" spans="1:26" x14ac:dyDescent="0.25">
      <c r="A413">
        <v>16</v>
      </c>
      <c r="B413" t="s">
        <v>437</v>
      </c>
      <c r="C413">
        <f>-0.38-10.92</f>
        <v>-11.3</v>
      </c>
      <c r="D413">
        <v>27.14</v>
      </c>
      <c r="E413">
        <v>1.9</v>
      </c>
      <c r="F413">
        <v>0.94</v>
      </c>
      <c r="G413">
        <v>0.66</v>
      </c>
      <c r="H413">
        <v>0.06</v>
      </c>
      <c r="I413">
        <v>0.14000000000000001</v>
      </c>
      <c r="J413" t="s">
        <v>37</v>
      </c>
      <c r="K413">
        <v>10.92</v>
      </c>
      <c r="L413">
        <v>-0.38</v>
      </c>
      <c r="M413">
        <v>5.65</v>
      </c>
      <c r="N413">
        <v>31.922499999999999</v>
      </c>
      <c r="O413">
        <v>6</v>
      </c>
      <c r="P413">
        <v>-1</v>
      </c>
      <c r="Q413">
        <v>371.12799999999999</v>
      </c>
      <c r="R413">
        <v>5</v>
      </c>
      <c r="S413">
        <v>-1</v>
      </c>
      <c r="T413">
        <v>4.0599999999999996</v>
      </c>
      <c r="U413" t="str">
        <f>IFERROR(INDEX(Rosters!$C$2:$C$155,MATCH(B413,Rosters!$B$2:$B$155,0)),"NA")</f>
        <v>NA</v>
      </c>
      <c r="V413" t="str">
        <f t="shared" si="18"/>
        <v>NA16</v>
      </c>
      <c r="W413">
        <f>COUNTIFS(A$1:A413,A413)</f>
        <v>23</v>
      </c>
      <c r="X413" t="str">
        <f t="shared" si="19"/>
        <v>Falcons D/ST16</v>
      </c>
      <c r="Y413">
        <f>COUNTIF(V$1:V413,V413)</f>
        <v>13</v>
      </c>
      <c r="Z413" t="str">
        <f t="shared" si="20"/>
        <v>NA16-13</v>
      </c>
    </row>
    <row r="414" spans="1:26" x14ac:dyDescent="0.25">
      <c r="A414">
        <v>12</v>
      </c>
      <c r="B414" t="s">
        <v>407</v>
      </c>
      <c r="C414" t="s">
        <v>5637</v>
      </c>
      <c r="D414">
        <v>25.06</v>
      </c>
      <c r="E414">
        <v>1.72</v>
      </c>
      <c r="F414">
        <v>0.52</v>
      </c>
      <c r="G414">
        <v>0.72</v>
      </c>
      <c r="H414">
        <v>0</v>
      </c>
      <c r="I414">
        <v>0.14000000000000001</v>
      </c>
      <c r="J414" t="s">
        <v>37</v>
      </c>
      <c r="K414">
        <v>8.91</v>
      </c>
      <c r="L414">
        <v>0.15</v>
      </c>
      <c r="M414">
        <v>4.38</v>
      </c>
      <c r="N414">
        <v>19.1844</v>
      </c>
      <c r="O414">
        <v>5</v>
      </c>
      <c r="P414">
        <v>0</v>
      </c>
      <c r="Q414">
        <v>360.31200000000001</v>
      </c>
      <c r="R414">
        <v>5</v>
      </c>
      <c r="S414">
        <v>-1</v>
      </c>
      <c r="T414">
        <v>4.04</v>
      </c>
      <c r="U414" t="str">
        <f>IFERROR(INDEX(Rosters!$C$2:$C$155,MATCH(B414,Rosters!$B$2:$B$155,0)),"NA")</f>
        <v>NA</v>
      </c>
      <c r="V414" t="str">
        <f t="shared" si="18"/>
        <v>NA12</v>
      </c>
      <c r="W414">
        <f>COUNTIFS(A$1:A414,A414)</f>
        <v>26</v>
      </c>
      <c r="X414" t="str">
        <f t="shared" si="19"/>
        <v>Seahawks D/ST12</v>
      </c>
      <c r="Y414">
        <f>COUNTIF(V$1:V414,V414)</f>
        <v>17</v>
      </c>
      <c r="Z414" t="str">
        <f t="shared" si="20"/>
        <v>NA12-17</v>
      </c>
    </row>
    <row r="415" spans="1:26" x14ac:dyDescent="0.25">
      <c r="A415">
        <v>16</v>
      </c>
      <c r="B415" t="s">
        <v>410</v>
      </c>
      <c r="C415" t="s">
        <v>5638</v>
      </c>
      <c r="D415">
        <v>27.16</v>
      </c>
      <c r="E415">
        <v>2.1</v>
      </c>
      <c r="F415">
        <v>0.62</v>
      </c>
      <c r="G415">
        <v>0.66</v>
      </c>
      <c r="H415">
        <v>0.02</v>
      </c>
      <c r="I415">
        <v>0.22</v>
      </c>
      <c r="J415" t="s">
        <v>25</v>
      </c>
      <c r="K415">
        <v>10.56</v>
      </c>
      <c r="L415">
        <v>0.52</v>
      </c>
      <c r="M415">
        <v>5.0199999999999996</v>
      </c>
      <c r="N415">
        <v>25.200399999999998</v>
      </c>
      <c r="O415">
        <v>6</v>
      </c>
      <c r="P415">
        <v>-1</v>
      </c>
      <c r="Q415">
        <v>371.23200000000003</v>
      </c>
      <c r="R415">
        <v>5</v>
      </c>
      <c r="S415">
        <v>-1</v>
      </c>
      <c r="T415">
        <v>4.0199999999999996</v>
      </c>
      <c r="U415" t="str">
        <f>IFERROR(INDEX(Rosters!$C$2:$C$155,MATCH(B415,Rosters!$B$2:$B$155,0)),"NA")</f>
        <v>NA</v>
      </c>
      <c r="V415" t="str">
        <f t="shared" si="18"/>
        <v>NA16</v>
      </c>
      <c r="W415">
        <f>COUNTIFS(A$1:A415,A415)</f>
        <v>24</v>
      </c>
      <c r="X415" t="str">
        <f t="shared" si="19"/>
        <v>Chiefs D/ST16</v>
      </c>
      <c r="Y415">
        <f>COUNTIF(V$1:V415,V415)</f>
        <v>14</v>
      </c>
      <c r="Z415" t="str">
        <f t="shared" si="20"/>
        <v>NA16-14</v>
      </c>
    </row>
    <row r="416" spans="1:26" x14ac:dyDescent="0.25">
      <c r="A416">
        <v>1</v>
      </c>
      <c r="B416" t="s">
        <v>432</v>
      </c>
      <c r="C416">
        <f>-0.42-9.68</f>
        <v>-10.1</v>
      </c>
      <c r="D416">
        <v>26.32</v>
      </c>
      <c r="E416">
        <v>1.78</v>
      </c>
      <c r="F416">
        <v>0.86</v>
      </c>
      <c r="G416">
        <v>0.42</v>
      </c>
      <c r="H416">
        <v>0.04</v>
      </c>
      <c r="I416">
        <v>0.1</v>
      </c>
      <c r="J416" t="s">
        <v>76</v>
      </c>
      <c r="K416">
        <v>9.68</v>
      </c>
      <c r="L416">
        <v>-0.42</v>
      </c>
      <c r="M416">
        <v>5.05</v>
      </c>
      <c r="N416">
        <v>25.502500000000001</v>
      </c>
      <c r="O416">
        <v>5</v>
      </c>
      <c r="P416">
        <v>0</v>
      </c>
      <c r="Q416">
        <v>366.86399999999998</v>
      </c>
      <c r="R416">
        <v>5</v>
      </c>
      <c r="S416">
        <v>-1</v>
      </c>
      <c r="T416">
        <v>4.0199999999999996</v>
      </c>
      <c r="U416" t="str">
        <f>IFERROR(INDEX(Rosters!$C$2:$C$155,MATCH(B416,Rosters!$B$2:$B$155,0)),"NA")</f>
        <v>NA</v>
      </c>
      <c r="V416" t="str">
        <f t="shared" si="18"/>
        <v>NA1</v>
      </c>
      <c r="W416">
        <f>COUNTIFS(A$1:A416,A416)</f>
        <v>27</v>
      </c>
      <c r="X416" t="str">
        <f t="shared" si="19"/>
        <v>Colts D/ST1</v>
      </c>
      <c r="Y416">
        <f>COUNTIF(V$1:V416,V416)</f>
        <v>18</v>
      </c>
      <c r="Z416" t="str">
        <f t="shared" si="20"/>
        <v>NA1-18</v>
      </c>
    </row>
    <row r="417" spans="1:26" x14ac:dyDescent="0.25">
      <c r="A417">
        <v>3</v>
      </c>
      <c r="B417" t="s">
        <v>435</v>
      </c>
      <c r="C417">
        <f>-0.68-11.68</f>
        <v>-12.36</v>
      </c>
      <c r="D417">
        <v>27.95</v>
      </c>
      <c r="E417">
        <v>1.78</v>
      </c>
      <c r="F417">
        <v>0.93</v>
      </c>
      <c r="G417">
        <v>0.77</v>
      </c>
      <c r="H417">
        <v>0.03</v>
      </c>
      <c r="I417">
        <v>0.13</v>
      </c>
      <c r="J417" t="s">
        <v>28</v>
      </c>
      <c r="K417">
        <v>11.68</v>
      </c>
      <c r="L417">
        <v>-0.68</v>
      </c>
      <c r="M417">
        <v>6.18</v>
      </c>
      <c r="N417">
        <v>38.192399999999999</v>
      </c>
      <c r="O417">
        <v>6</v>
      </c>
      <c r="P417">
        <v>-1</v>
      </c>
      <c r="Q417">
        <v>375.34</v>
      </c>
      <c r="R417">
        <v>5</v>
      </c>
      <c r="S417">
        <v>-1</v>
      </c>
      <c r="T417">
        <v>4.0199999999999996</v>
      </c>
      <c r="U417" t="str">
        <f>IFERROR(INDEX(Rosters!$C$2:$C$155,MATCH(B417,Rosters!$B$2:$B$155,0)),"NA")</f>
        <v>NA</v>
      </c>
      <c r="V417" t="str">
        <f t="shared" si="18"/>
        <v>NA3</v>
      </c>
      <c r="W417">
        <f>COUNTIFS(A$1:A417,A417)</f>
        <v>31</v>
      </c>
      <c r="X417" t="str">
        <f t="shared" si="19"/>
        <v>Lions D/ST3</v>
      </c>
      <c r="Y417">
        <f>COUNTIF(V$1:V417,V417)</f>
        <v>20</v>
      </c>
      <c r="Z417" t="str">
        <f t="shared" si="20"/>
        <v>NA3-20</v>
      </c>
    </row>
    <row r="418" spans="1:26" x14ac:dyDescent="0.25">
      <c r="A418">
        <v>14</v>
      </c>
      <c r="B418" t="s">
        <v>432</v>
      </c>
      <c r="C418">
        <f>-0.22-11.08</f>
        <v>-11.3</v>
      </c>
      <c r="D418">
        <v>24.08</v>
      </c>
      <c r="E418">
        <v>2.54</v>
      </c>
      <c r="F418">
        <v>0.48</v>
      </c>
      <c r="G418">
        <v>0.54</v>
      </c>
      <c r="H418">
        <v>0.04</v>
      </c>
      <c r="I418">
        <v>0.06</v>
      </c>
      <c r="J418" t="s">
        <v>56</v>
      </c>
      <c r="K418">
        <v>11.08</v>
      </c>
      <c r="L418">
        <v>-0.22</v>
      </c>
      <c r="M418">
        <v>5.65</v>
      </c>
      <c r="N418">
        <v>31.922499999999999</v>
      </c>
      <c r="O418">
        <v>5</v>
      </c>
      <c r="P418">
        <v>0</v>
      </c>
      <c r="Q418">
        <v>355.21600000000001</v>
      </c>
      <c r="R418">
        <v>5</v>
      </c>
      <c r="S418">
        <v>-1</v>
      </c>
      <c r="T418">
        <v>4.0199999999999996</v>
      </c>
      <c r="U418" t="str">
        <f>IFERROR(INDEX(Rosters!$C$2:$C$155,MATCH(B418,Rosters!$B$2:$B$155,0)),"NA")</f>
        <v>NA</v>
      </c>
      <c r="V418" t="str">
        <f t="shared" si="18"/>
        <v>NA14</v>
      </c>
      <c r="W418">
        <f>COUNTIFS(A$1:A418,A418)</f>
        <v>23</v>
      </c>
      <c r="X418" t="str">
        <f t="shared" si="19"/>
        <v>Colts D/ST14</v>
      </c>
      <c r="Y418">
        <f>COUNTIF(V$1:V418,V418)</f>
        <v>15</v>
      </c>
      <c r="Z418" t="str">
        <f t="shared" si="20"/>
        <v>NA14-15</v>
      </c>
    </row>
    <row r="419" spans="1:26" x14ac:dyDescent="0.25">
      <c r="A419">
        <v>11</v>
      </c>
      <c r="B419" t="s">
        <v>420</v>
      </c>
      <c r="C419" t="s">
        <v>5639</v>
      </c>
      <c r="D419">
        <v>29.54</v>
      </c>
      <c r="E419">
        <v>2.13</v>
      </c>
      <c r="F419">
        <v>0.82</v>
      </c>
      <c r="G419">
        <v>0.46</v>
      </c>
      <c r="H419">
        <v>0</v>
      </c>
      <c r="I419">
        <v>0.22</v>
      </c>
      <c r="J419" t="s">
        <v>77</v>
      </c>
      <c r="K419">
        <v>9.3800000000000008</v>
      </c>
      <c r="L419">
        <v>0.32</v>
      </c>
      <c r="M419">
        <v>4.53</v>
      </c>
      <c r="N419">
        <v>20.520900000000001</v>
      </c>
      <c r="O419">
        <v>6</v>
      </c>
      <c r="P419">
        <v>-1</v>
      </c>
      <c r="Q419">
        <v>383.608</v>
      </c>
      <c r="R419">
        <v>5</v>
      </c>
      <c r="S419">
        <v>-1</v>
      </c>
      <c r="T419">
        <v>4.01</v>
      </c>
      <c r="U419" t="str">
        <f>IFERROR(INDEX(Rosters!$C$2:$C$155,MATCH(B419,Rosters!$B$2:$B$155,0)),"NA")</f>
        <v>scott</v>
      </c>
      <c r="V419" t="str">
        <f t="shared" si="18"/>
        <v>scott11</v>
      </c>
      <c r="W419">
        <f>COUNTIFS(A$1:A419,A419)</f>
        <v>23</v>
      </c>
      <c r="X419" t="str">
        <f t="shared" si="19"/>
        <v>Rams D/ST11</v>
      </c>
      <c r="Y419">
        <f>COUNTIF(V$1:V419,V419)</f>
        <v>1</v>
      </c>
      <c r="Z419" t="str">
        <f t="shared" si="20"/>
        <v>scott11-1</v>
      </c>
    </row>
    <row r="420" spans="1:26" x14ac:dyDescent="0.25">
      <c r="A420">
        <v>16</v>
      </c>
      <c r="B420" t="s">
        <v>426</v>
      </c>
      <c r="C420">
        <f>-0.93-11.13</f>
        <v>-12.06</v>
      </c>
      <c r="D420">
        <v>27.71</v>
      </c>
      <c r="E420">
        <v>1.74</v>
      </c>
      <c r="F420">
        <v>0.72</v>
      </c>
      <c r="G420">
        <v>0.56000000000000005</v>
      </c>
      <c r="H420">
        <v>0.06</v>
      </c>
      <c r="I420">
        <v>0.26</v>
      </c>
      <c r="J420" t="s">
        <v>74</v>
      </c>
      <c r="K420">
        <v>11.13</v>
      </c>
      <c r="L420">
        <v>-0.93</v>
      </c>
      <c r="M420">
        <v>6.03</v>
      </c>
      <c r="N420">
        <v>36.360900000000001</v>
      </c>
      <c r="O420">
        <v>6</v>
      </c>
      <c r="P420">
        <v>-1</v>
      </c>
      <c r="Q420">
        <v>374.09199999999998</v>
      </c>
      <c r="R420">
        <v>5</v>
      </c>
      <c r="S420">
        <v>-1</v>
      </c>
      <c r="T420">
        <v>3.98</v>
      </c>
      <c r="U420" t="str">
        <f>IFERROR(INDEX(Rosters!$C$2:$C$155,MATCH(B420,Rosters!$B$2:$B$155,0)),"NA")</f>
        <v>NA</v>
      </c>
      <c r="V420" t="str">
        <f t="shared" si="18"/>
        <v>NA16</v>
      </c>
      <c r="W420">
        <f>COUNTIFS(A$1:A420,A420)</f>
        <v>25</v>
      </c>
      <c r="X420" t="str">
        <f t="shared" si="19"/>
        <v>Cowboys D/ST16</v>
      </c>
      <c r="Y420">
        <f>COUNTIF(V$1:V420,V420)</f>
        <v>15</v>
      </c>
      <c r="Z420" t="str">
        <f t="shared" si="20"/>
        <v>NA16-15</v>
      </c>
    </row>
    <row r="421" spans="1:26" x14ac:dyDescent="0.25">
      <c r="A421">
        <v>2</v>
      </c>
      <c r="B421" t="s">
        <v>425</v>
      </c>
      <c r="C421" t="s">
        <v>1260</v>
      </c>
      <c r="D421">
        <v>27.56</v>
      </c>
      <c r="E421">
        <v>1.8</v>
      </c>
      <c r="F421">
        <v>0.72</v>
      </c>
      <c r="G421">
        <v>0.7</v>
      </c>
      <c r="H421">
        <v>0.06</v>
      </c>
      <c r="I421">
        <v>0.2</v>
      </c>
      <c r="J421" t="s">
        <v>29</v>
      </c>
      <c r="K421">
        <v>10.53</v>
      </c>
      <c r="L421">
        <v>0.43</v>
      </c>
      <c r="M421">
        <v>5.05</v>
      </c>
      <c r="N421">
        <v>25.502500000000001</v>
      </c>
      <c r="O421">
        <v>6</v>
      </c>
      <c r="P421">
        <v>-1</v>
      </c>
      <c r="Q421">
        <v>373.31200000000001</v>
      </c>
      <c r="R421">
        <v>5</v>
      </c>
      <c r="S421">
        <v>-1</v>
      </c>
      <c r="T421">
        <v>3.96</v>
      </c>
      <c r="U421" t="str">
        <f>IFERROR(INDEX(Rosters!$C$2:$C$155,MATCH(B421,Rosters!$B$2:$B$155,0)),"NA")</f>
        <v>NA</v>
      </c>
      <c r="V421" t="str">
        <f t="shared" si="18"/>
        <v>NA2</v>
      </c>
      <c r="W421">
        <f>COUNTIFS(A$1:A421,A421)</f>
        <v>27</v>
      </c>
      <c r="X421" t="str">
        <f t="shared" si="19"/>
        <v>Packers D/ST2</v>
      </c>
      <c r="Y421">
        <f>COUNTIF(V$1:V421,V421)</f>
        <v>17</v>
      </c>
      <c r="Z421" t="str">
        <f t="shared" si="20"/>
        <v>NA2-17</v>
      </c>
    </row>
    <row r="422" spans="1:26" x14ac:dyDescent="0.25">
      <c r="A422">
        <v>15</v>
      </c>
      <c r="B422" t="s">
        <v>429</v>
      </c>
      <c r="C422">
        <f>-0.25-10.97</f>
        <v>-11.22</v>
      </c>
      <c r="D422">
        <v>26.57</v>
      </c>
      <c r="E422">
        <v>2</v>
      </c>
      <c r="F422">
        <v>0.98</v>
      </c>
      <c r="G422">
        <v>0.42</v>
      </c>
      <c r="H422">
        <v>0.04</v>
      </c>
      <c r="I422">
        <v>0.18</v>
      </c>
      <c r="J422" t="s">
        <v>60</v>
      </c>
      <c r="K422">
        <v>10.97</v>
      </c>
      <c r="L422">
        <v>-0.25</v>
      </c>
      <c r="M422">
        <v>5.61</v>
      </c>
      <c r="N422">
        <v>31.472100000000001</v>
      </c>
      <c r="O422">
        <v>6</v>
      </c>
      <c r="P422">
        <v>-1</v>
      </c>
      <c r="Q422">
        <v>368.16399999999999</v>
      </c>
      <c r="R422">
        <v>5</v>
      </c>
      <c r="S422">
        <v>-1</v>
      </c>
      <c r="T422">
        <v>3.96</v>
      </c>
      <c r="U422" t="str">
        <f>IFERROR(INDEX(Rosters!$C$2:$C$155,MATCH(B422,Rosters!$B$2:$B$155,0)),"NA")</f>
        <v>NA</v>
      </c>
      <c r="V422" t="str">
        <f t="shared" si="18"/>
        <v>NA15</v>
      </c>
      <c r="W422">
        <f>COUNTIFS(A$1:A422,A422)</f>
        <v>25</v>
      </c>
      <c r="X422" t="str">
        <f t="shared" si="19"/>
        <v>Redskins D/ST15</v>
      </c>
      <c r="Y422">
        <f>COUNTIF(V$1:V422,V422)</f>
        <v>16</v>
      </c>
      <c r="Z422" t="str">
        <f t="shared" si="20"/>
        <v>NA15-16</v>
      </c>
    </row>
    <row r="423" spans="1:26" x14ac:dyDescent="0.25">
      <c r="A423">
        <v>14</v>
      </c>
      <c r="B423" t="s">
        <v>417</v>
      </c>
      <c r="C423" t="s">
        <v>5640</v>
      </c>
      <c r="D423">
        <v>26.69</v>
      </c>
      <c r="E423">
        <v>1.9</v>
      </c>
      <c r="F423">
        <v>0.62</v>
      </c>
      <c r="G423">
        <v>0.66</v>
      </c>
      <c r="H423">
        <v>0.08</v>
      </c>
      <c r="I423">
        <v>0.22</v>
      </c>
      <c r="J423" t="s">
        <v>66</v>
      </c>
      <c r="K423">
        <v>10.77</v>
      </c>
      <c r="L423">
        <v>0.63</v>
      </c>
      <c r="M423">
        <v>5.07</v>
      </c>
      <c r="N423">
        <v>25.704899999999999</v>
      </c>
      <c r="O423">
        <v>6</v>
      </c>
      <c r="P423">
        <v>-1</v>
      </c>
      <c r="Q423">
        <v>368.78800000000001</v>
      </c>
      <c r="R423">
        <v>5</v>
      </c>
      <c r="S423">
        <v>-1</v>
      </c>
      <c r="T423">
        <v>3.94</v>
      </c>
      <c r="U423" t="str">
        <f>IFERROR(INDEX(Rosters!$C$2:$C$155,MATCH(B423,Rosters!$B$2:$B$155,0)),"NA")</f>
        <v>NA</v>
      </c>
      <c r="V423" t="str">
        <f t="shared" si="18"/>
        <v>NA14</v>
      </c>
      <c r="W423">
        <f>COUNTIFS(A$1:A423,A423)</f>
        <v>24</v>
      </c>
      <c r="X423" t="str">
        <f t="shared" si="19"/>
        <v>Bengals D/ST14</v>
      </c>
      <c r="Y423">
        <f>COUNTIF(V$1:V423,V423)</f>
        <v>16</v>
      </c>
      <c r="Z423" t="str">
        <f t="shared" si="20"/>
        <v>NA14-16</v>
      </c>
    </row>
    <row r="424" spans="1:26" x14ac:dyDescent="0.25">
      <c r="A424">
        <v>10</v>
      </c>
      <c r="B424" t="s">
        <v>407</v>
      </c>
      <c r="C424">
        <f>-0.89-10.45</f>
        <v>-11.34</v>
      </c>
      <c r="D424">
        <v>29.77</v>
      </c>
      <c r="E424">
        <v>1.97</v>
      </c>
      <c r="F424">
        <v>0.68</v>
      </c>
      <c r="G424">
        <v>0.74</v>
      </c>
      <c r="H424">
        <v>0.02</v>
      </c>
      <c r="I424">
        <v>0.18</v>
      </c>
      <c r="J424" t="s">
        <v>52</v>
      </c>
      <c r="K424">
        <v>10.45</v>
      </c>
      <c r="L424">
        <v>-0.89</v>
      </c>
      <c r="M424">
        <v>5.67</v>
      </c>
      <c r="N424">
        <v>32.148899999999998</v>
      </c>
      <c r="O424">
        <v>6</v>
      </c>
      <c r="P424">
        <v>-1</v>
      </c>
      <c r="Q424">
        <v>384.80399999999997</v>
      </c>
      <c r="R424">
        <v>5</v>
      </c>
      <c r="S424">
        <v>-1</v>
      </c>
      <c r="T424">
        <v>3.93</v>
      </c>
      <c r="U424" t="str">
        <f>IFERROR(INDEX(Rosters!$C$2:$C$155,MATCH(B424,Rosters!$B$2:$B$155,0)),"NA")</f>
        <v>NA</v>
      </c>
      <c r="V424" t="str">
        <f t="shared" si="18"/>
        <v>NA10</v>
      </c>
      <c r="W424">
        <f>COUNTIFS(A$1:A424,A424)</f>
        <v>21</v>
      </c>
      <c r="X424" t="str">
        <f t="shared" si="19"/>
        <v>Seahawks D/ST10</v>
      </c>
      <c r="Y424">
        <f>COUNTIF(V$1:V424,V424)</f>
        <v>16</v>
      </c>
      <c r="Z424" t="str">
        <f t="shared" si="20"/>
        <v>NA10-16</v>
      </c>
    </row>
    <row r="425" spans="1:26" x14ac:dyDescent="0.25">
      <c r="A425">
        <v>8</v>
      </c>
      <c r="B425" t="s">
        <v>431</v>
      </c>
      <c r="C425">
        <f>-0.11-10.59</f>
        <v>-10.7</v>
      </c>
      <c r="D425">
        <v>26.74</v>
      </c>
      <c r="E425">
        <v>1.74</v>
      </c>
      <c r="F425">
        <v>0.68</v>
      </c>
      <c r="G425">
        <v>0.5</v>
      </c>
      <c r="H425">
        <v>0.06</v>
      </c>
      <c r="I425">
        <v>0.28000000000000003</v>
      </c>
      <c r="J425" t="s">
        <v>29</v>
      </c>
      <c r="K425">
        <v>10.59</v>
      </c>
      <c r="L425">
        <v>-0.11</v>
      </c>
      <c r="M425">
        <v>5.35</v>
      </c>
      <c r="N425">
        <v>28.622499999999999</v>
      </c>
      <c r="O425">
        <v>6</v>
      </c>
      <c r="P425">
        <v>-1</v>
      </c>
      <c r="Q425">
        <v>369.048</v>
      </c>
      <c r="R425">
        <v>5</v>
      </c>
      <c r="S425">
        <v>-1</v>
      </c>
      <c r="T425">
        <v>3.9</v>
      </c>
      <c r="U425" t="str">
        <f>IFERROR(INDEX(Rosters!$C$2:$C$155,MATCH(B425,Rosters!$B$2:$B$155,0)),"NA")</f>
        <v>NA</v>
      </c>
      <c r="V425" t="str">
        <f t="shared" si="18"/>
        <v>NA8</v>
      </c>
      <c r="W425">
        <f>COUNTIFS(A$1:A425,A425)</f>
        <v>22</v>
      </c>
      <c r="X425" t="str">
        <f t="shared" si="19"/>
        <v>Saints D/ST8</v>
      </c>
      <c r="Y425">
        <f>COUNTIF(V$1:V425,V425)</f>
        <v>14</v>
      </c>
      <c r="Z425" t="str">
        <f t="shared" si="20"/>
        <v>NA8-14</v>
      </c>
    </row>
    <row r="426" spans="1:26" x14ac:dyDescent="0.25">
      <c r="A426">
        <v>7</v>
      </c>
      <c r="B426" t="s">
        <v>410</v>
      </c>
      <c r="C426">
        <f>-0.17-10.47</f>
        <v>-10.64</v>
      </c>
      <c r="D426">
        <v>28.21</v>
      </c>
      <c r="E426">
        <v>2.0499999999999998</v>
      </c>
      <c r="F426">
        <v>0.86</v>
      </c>
      <c r="G426">
        <v>0.56000000000000005</v>
      </c>
      <c r="H426">
        <v>0.02</v>
      </c>
      <c r="I426">
        <v>0.16</v>
      </c>
      <c r="J426" t="s">
        <v>76</v>
      </c>
      <c r="K426">
        <v>10.47</v>
      </c>
      <c r="L426">
        <v>-0.17</v>
      </c>
      <c r="M426">
        <v>5.32</v>
      </c>
      <c r="N426">
        <v>28.302399999999999</v>
      </c>
      <c r="O426">
        <v>6</v>
      </c>
      <c r="P426">
        <v>-1</v>
      </c>
      <c r="Q426">
        <v>376.69200000000001</v>
      </c>
      <c r="R426">
        <v>5</v>
      </c>
      <c r="S426">
        <v>-1</v>
      </c>
      <c r="T426">
        <v>3.89</v>
      </c>
      <c r="U426" t="str">
        <f>IFERROR(INDEX(Rosters!$C$2:$C$155,MATCH(B426,Rosters!$B$2:$B$155,0)),"NA")</f>
        <v>NA</v>
      </c>
      <c r="V426" t="str">
        <f t="shared" si="18"/>
        <v>NA7</v>
      </c>
      <c r="W426">
        <f>COUNTIFS(A$1:A426,A426)</f>
        <v>22</v>
      </c>
      <c r="X426" t="str">
        <f t="shared" si="19"/>
        <v>Chiefs D/ST7</v>
      </c>
      <c r="Y426">
        <f>COUNTIF(V$1:V426,V426)</f>
        <v>14</v>
      </c>
      <c r="Z426" t="str">
        <f t="shared" si="20"/>
        <v>NA7-14</v>
      </c>
    </row>
    <row r="427" spans="1:26" x14ac:dyDescent="0.25">
      <c r="A427">
        <v>12</v>
      </c>
      <c r="B427" t="s">
        <v>427</v>
      </c>
      <c r="C427">
        <f>-0.26-9.44</f>
        <v>-9.6999999999999993</v>
      </c>
      <c r="D427">
        <v>24.54</v>
      </c>
      <c r="E427">
        <v>2.0499999999999998</v>
      </c>
      <c r="F427">
        <v>0.6</v>
      </c>
      <c r="G427">
        <v>0.72</v>
      </c>
      <c r="H427">
        <v>0.04</v>
      </c>
      <c r="I427">
        <v>0.02</v>
      </c>
      <c r="J427" t="s">
        <v>56</v>
      </c>
      <c r="K427">
        <v>9.44</v>
      </c>
      <c r="L427">
        <v>-0.26</v>
      </c>
      <c r="M427">
        <v>4.8499999999999996</v>
      </c>
      <c r="N427">
        <v>23.522500000000001</v>
      </c>
      <c r="O427">
        <v>5</v>
      </c>
      <c r="P427">
        <v>0</v>
      </c>
      <c r="Q427">
        <v>357.608</v>
      </c>
      <c r="R427">
        <v>5</v>
      </c>
      <c r="S427">
        <v>-1</v>
      </c>
      <c r="T427">
        <v>3.89</v>
      </c>
      <c r="U427" t="str">
        <f>IFERROR(INDEX(Rosters!$C$2:$C$155,MATCH(B427,Rosters!$B$2:$B$155,0)),"NA")</f>
        <v>aj</v>
      </c>
      <c r="V427" t="str">
        <f t="shared" si="18"/>
        <v>aj12</v>
      </c>
      <c r="W427">
        <f>COUNTIFS(A$1:A427,A427)</f>
        <v>27</v>
      </c>
      <c r="X427" t="str">
        <f t="shared" si="19"/>
        <v>Titans D/ST12</v>
      </c>
      <c r="Y427">
        <f>COUNTIF(V$1:V427,V427)</f>
        <v>1</v>
      </c>
      <c r="Z427" t="str">
        <f t="shared" si="20"/>
        <v>aj12-1</v>
      </c>
    </row>
    <row r="428" spans="1:26" x14ac:dyDescent="0.25">
      <c r="A428">
        <v>2</v>
      </c>
      <c r="B428" t="s">
        <v>418</v>
      </c>
      <c r="C428" t="s">
        <v>1261</v>
      </c>
      <c r="D428">
        <v>27.63</v>
      </c>
      <c r="E428">
        <v>1.88</v>
      </c>
      <c r="F428">
        <v>0.88</v>
      </c>
      <c r="G428">
        <v>0.54</v>
      </c>
      <c r="H428">
        <v>0.04</v>
      </c>
      <c r="I428">
        <v>0.18</v>
      </c>
      <c r="J428" t="s">
        <v>66</v>
      </c>
      <c r="K428">
        <v>9.4499999999999993</v>
      </c>
      <c r="L428">
        <v>0.65</v>
      </c>
      <c r="M428">
        <v>4.4000000000000004</v>
      </c>
      <c r="N428">
        <v>19.36</v>
      </c>
      <c r="O428">
        <v>6</v>
      </c>
      <c r="P428">
        <v>-1</v>
      </c>
      <c r="Q428">
        <v>373.67599999999999</v>
      </c>
      <c r="R428">
        <v>5</v>
      </c>
      <c r="S428">
        <v>-1</v>
      </c>
      <c r="T428">
        <v>3.88</v>
      </c>
      <c r="U428" t="str">
        <f>IFERROR(INDEX(Rosters!$C$2:$C$155,MATCH(B428,Rosters!$B$2:$B$155,0)),"NA")</f>
        <v>NA</v>
      </c>
      <c r="V428" t="str">
        <f t="shared" si="18"/>
        <v>NA2</v>
      </c>
      <c r="W428">
        <f>COUNTIFS(A$1:A428,A428)</f>
        <v>28</v>
      </c>
      <c r="X428" t="str">
        <f t="shared" si="19"/>
        <v>Bills D/ST2</v>
      </c>
      <c r="Y428">
        <f>COUNTIF(V$1:V428,V428)</f>
        <v>18</v>
      </c>
      <c r="Z428" t="str">
        <f t="shared" si="20"/>
        <v>NA2-18</v>
      </c>
    </row>
    <row r="429" spans="1:26" x14ac:dyDescent="0.25">
      <c r="A429">
        <v>14</v>
      </c>
      <c r="B429" t="s">
        <v>431</v>
      </c>
      <c r="C429" t="s">
        <v>5641</v>
      </c>
      <c r="D429">
        <v>26.52</v>
      </c>
      <c r="E429">
        <v>1.88</v>
      </c>
      <c r="F429">
        <v>0.72</v>
      </c>
      <c r="G429">
        <v>0.6</v>
      </c>
      <c r="H429">
        <v>0.02</v>
      </c>
      <c r="I429">
        <v>0.22</v>
      </c>
      <c r="J429" t="s">
        <v>74</v>
      </c>
      <c r="K429">
        <v>10.52</v>
      </c>
      <c r="L429">
        <v>0.1</v>
      </c>
      <c r="M429">
        <v>5.21</v>
      </c>
      <c r="N429">
        <v>27.144100000000002</v>
      </c>
      <c r="O429">
        <v>6</v>
      </c>
      <c r="P429">
        <v>-1</v>
      </c>
      <c r="Q429">
        <v>367.904</v>
      </c>
      <c r="R429">
        <v>5</v>
      </c>
      <c r="S429">
        <v>-1</v>
      </c>
      <c r="T429">
        <v>3.88</v>
      </c>
      <c r="U429" t="str">
        <f>IFERROR(INDEX(Rosters!$C$2:$C$155,MATCH(B429,Rosters!$B$2:$B$155,0)),"NA")</f>
        <v>NA</v>
      </c>
      <c r="V429" t="str">
        <f t="shared" si="18"/>
        <v>NA14</v>
      </c>
      <c r="W429">
        <f>COUNTIFS(A$1:A429,A429)</f>
        <v>25</v>
      </c>
      <c r="X429" t="str">
        <f t="shared" si="19"/>
        <v>Saints D/ST14</v>
      </c>
      <c r="Y429">
        <f>COUNTIF(V$1:V429,V429)</f>
        <v>17</v>
      </c>
      <c r="Z429" t="str">
        <f t="shared" si="20"/>
        <v>NA14-17</v>
      </c>
    </row>
    <row r="430" spans="1:26" x14ac:dyDescent="0.25">
      <c r="A430">
        <v>16</v>
      </c>
      <c r="B430" t="s">
        <v>407</v>
      </c>
      <c r="C430">
        <f>-1.06-9.88</f>
        <v>-10.940000000000001</v>
      </c>
      <c r="D430">
        <v>31.08</v>
      </c>
      <c r="E430">
        <v>1.86</v>
      </c>
      <c r="F430">
        <v>0.8</v>
      </c>
      <c r="G430">
        <v>0.62</v>
      </c>
      <c r="H430">
        <v>0.02</v>
      </c>
      <c r="I430">
        <v>0.18</v>
      </c>
      <c r="J430" t="s">
        <v>77</v>
      </c>
      <c r="K430">
        <v>9.8800000000000008</v>
      </c>
      <c r="L430">
        <v>-1.06</v>
      </c>
      <c r="M430">
        <v>5.47</v>
      </c>
      <c r="N430">
        <v>29.9209</v>
      </c>
      <c r="O430">
        <v>6</v>
      </c>
      <c r="P430">
        <v>-1</v>
      </c>
      <c r="Q430">
        <v>391.61599999999999</v>
      </c>
      <c r="R430">
        <v>5</v>
      </c>
      <c r="S430">
        <v>-1</v>
      </c>
      <c r="T430">
        <v>3.82</v>
      </c>
      <c r="U430" t="str">
        <f>IFERROR(INDEX(Rosters!$C$2:$C$155,MATCH(B430,Rosters!$B$2:$B$155,0)),"NA")</f>
        <v>NA</v>
      </c>
      <c r="V430" t="str">
        <f t="shared" si="18"/>
        <v>NA16</v>
      </c>
      <c r="W430">
        <f>COUNTIFS(A$1:A430,A430)</f>
        <v>26</v>
      </c>
      <c r="X430" t="str">
        <f t="shared" si="19"/>
        <v>Seahawks D/ST16</v>
      </c>
      <c r="Y430">
        <f>COUNTIF(V$1:V430,V430)</f>
        <v>16</v>
      </c>
      <c r="Z430" t="str">
        <f t="shared" si="20"/>
        <v>NA16-16</v>
      </c>
    </row>
    <row r="431" spans="1:26" x14ac:dyDescent="0.25">
      <c r="A431">
        <v>8</v>
      </c>
      <c r="B431" t="s">
        <v>428</v>
      </c>
      <c r="C431" t="s">
        <v>5642</v>
      </c>
      <c r="D431">
        <v>27.24</v>
      </c>
      <c r="E431">
        <v>1.84</v>
      </c>
      <c r="F431">
        <v>0.7</v>
      </c>
      <c r="G431">
        <v>0.72</v>
      </c>
      <c r="H431">
        <v>0.02</v>
      </c>
      <c r="I431">
        <v>0.18</v>
      </c>
      <c r="J431" t="s">
        <v>76</v>
      </c>
      <c r="K431">
        <v>9.67</v>
      </c>
      <c r="L431">
        <v>0.45</v>
      </c>
      <c r="M431">
        <v>4.6100000000000003</v>
      </c>
      <c r="N431">
        <v>21.252099999999999</v>
      </c>
      <c r="O431">
        <v>6</v>
      </c>
      <c r="P431">
        <v>-1</v>
      </c>
      <c r="Q431">
        <v>371.64800000000002</v>
      </c>
      <c r="R431">
        <v>5</v>
      </c>
      <c r="S431">
        <v>-1</v>
      </c>
      <c r="T431">
        <v>3.8</v>
      </c>
      <c r="U431" t="str">
        <f>IFERROR(INDEX(Rosters!$C$2:$C$155,MATCH(B431,Rosters!$B$2:$B$155,0)),"NA")</f>
        <v>NA</v>
      </c>
      <c r="V431" t="str">
        <f t="shared" si="18"/>
        <v>NA8</v>
      </c>
      <c r="W431">
        <f>COUNTIFS(A$1:A431,A431)</f>
        <v>23</v>
      </c>
      <c r="X431" t="str">
        <f t="shared" si="19"/>
        <v>Buccaneers D/ST8</v>
      </c>
      <c r="Y431">
        <f>COUNTIF(V$1:V431,V431)</f>
        <v>15</v>
      </c>
      <c r="Z431" t="str">
        <f t="shared" si="20"/>
        <v>NA8-15</v>
      </c>
    </row>
    <row r="432" spans="1:26" x14ac:dyDescent="0.25">
      <c r="A432">
        <v>13</v>
      </c>
      <c r="B432" t="s">
        <v>424</v>
      </c>
      <c r="C432" t="s">
        <v>5643</v>
      </c>
      <c r="D432">
        <v>26.72</v>
      </c>
      <c r="E432">
        <v>1.74</v>
      </c>
      <c r="F432">
        <v>0.84</v>
      </c>
      <c r="G432">
        <v>0.57999999999999996</v>
      </c>
      <c r="H432">
        <v>0.06</v>
      </c>
      <c r="I432">
        <v>0.18</v>
      </c>
      <c r="J432" t="s">
        <v>66</v>
      </c>
      <c r="K432">
        <v>9.66</v>
      </c>
      <c r="L432">
        <v>0.68</v>
      </c>
      <c r="M432">
        <v>4.49</v>
      </c>
      <c r="N432">
        <v>20.1601</v>
      </c>
      <c r="O432">
        <v>6</v>
      </c>
      <c r="P432">
        <v>-1</v>
      </c>
      <c r="Q432">
        <v>368.94400000000002</v>
      </c>
      <c r="R432">
        <v>5</v>
      </c>
      <c r="S432">
        <v>-1</v>
      </c>
      <c r="T432">
        <v>3.78</v>
      </c>
      <c r="U432" t="str">
        <f>IFERROR(INDEX(Rosters!$C$2:$C$155,MATCH(B432,Rosters!$B$2:$B$155,0)),"NA")</f>
        <v>NA</v>
      </c>
      <c r="V432" t="str">
        <f t="shared" si="18"/>
        <v>NA13</v>
      </c>
      <c r="W432">
        <f>COUNTIFS(A$1:A432,A432)</f>
        <v>25</v>
      </c>
      <c r="X432" t="str">
        <f t="shared" si="19"/>
        <v>Steelers D/ST13</v>
      </c>
      <c r="Y432">
        <f>COUNTIF(V$1:V432,V432)</f>
        <v>15</v>
      </c>
      <c r="Z432" t="str">
        <f t="shared" si="20"/>
        <v>NA13-15</v>
      </c>
    </row>
    <row r="433" spans="1:26" x14ac:dyDescent="0.25">
      <c r="A433">
        <v>10</v>
      </c>
      <c r="B433" t="s">
        <v>434</v>
      </c>
      <c r="C433">
        <f>-0.1-9.24</f>
        <v>-9.34</v>
      </c>
      <c r="D433">
        <v>25.71</v>
      </c>
      <c r="E433">
        <v>1.28</v>
      </c>
      <c r="F433">
        <v>0.9</v>
      </c>
      <c r="G433">
        <v>0.5</v>
      </c>
      <c r="H433">
        <v>0.04</v>
      </c>
      <c r="I433">
        <v>0.1</v>
      </c>
      <c r="J433" t="s">
        <v>73</v>
      </c>
      <c r="K433">
        <v>9.24</v>
      </c>
      <c r="L433">
        <v>-0.1</v>
      </c>
      <c r="M433">
        <v>4.67</v>
      </c>
      <c r="N433">
        <v>21.808900000000001</v>
      </c>
      <c r="O433">
        <v>5</v>
      </c>
      <c r="P433">
        <v>0</v>
      </c>
      <c r="Q433">
        <v>363.69200000000001</v>
      </c>
      <c r="R433">
        <v>5</v>
      </c>
      <c r="S433">
        <v>-1</v>
      </c>
      <c r="T433">
        <v>3.76</v>
      </c>
      <c r="U433" t="str">
        <f>IFERROR(INDEX(Rosters!$C$2:$C$155,MATCH(B433,Rosters!$B$2:$B$155,0)),"NA")</f>
        <v>matty</v>
      </c>
      <c r="V433" t="str">
        <f t="shared" si="18"/>
        <v>matty10</v>
      </c>
      <c r="W433">
        <f>COUNTIFS(A$1:A433,A433)</f>
        <v>22</v>
      </c>
      <c r="X433" t="str">
        <f t="shared" si="19"/>
        <v>Browns D/ST10</v>
      </c>
      <c r="Y433">
        <f>COUNTIF(V$1:V433,V433)</f>
        <v>1</v>
      </c>
      <c r="Z433" t="str">
        <f t="shared" si="20"/>
        <v>matty10-1</v>
      </c>
    </row>
    <row r="434" spans="1:26" x14ac:dyDescent="0.25">
      <c r="A434">
        <v>2</v>
      </c>
      <c r="B434" t="s">
        <v>428</v>
      </c>
      <c r="C434">
        <f>-0.1-10.24</f>
        <v>-10.34</v>
      </c>
      <c r="D434">
        <v>27.35</v>
      </c>
      <c r="E434">
        <v>1.98</v>
      </c>
      <c r="F434">
        <v>0.72</v>
      </c>
      <c r="G434">
        <v>0.64</v>
      </c>
      <c r="H434">
        <v>0.04</v>
      </c>
      <c r="I434">
        <v>0.16</v>
      </c>
      <c r="J434" t="s">
        <v>36</v>
      </c>
      <c r="K434">
        <v>10.24</v>
      </c>
      <c r="L434">
        <v>-0.1</v>
      </c>
      <c r="M434">
        <v>5.17</v>
      </c>
      <c r="N434">
        <v>26.728899999999999</v>
      </c>
      <c r="O434">
        <v>6</v>
      </c>
      <c r="P434">
        <v>-1</v>
      </c>
      <c r="Q434">
        <v>372.22</v>
      </c>
      <c r="R434">
        <v>5</v>
      </c>
      <c r="S434">
        <v>-1</v>
      </c>
      <c r="T434">
        <v>3.74</v>
      </c>
      <c r="U434" t="str">
        <f>IFERROR(INDEX(Rosters!$C$2:$C$155,MATCH(B434,Rosters!$B$2:$B$155,0)),"NA")</f>
        <v>NA</v>
      </c>
      <c r="V434" t="str">
        <f t="shared" si="18"/>
        <v>NA2</v>
      </c>
      <c r="W434">
        <f>COUNTIFS(A$1:A434,A434)</f>
        <v>29</v>
      </c>
      <c r="X434" t="str">
        <f t="shared" si="19"/>
        <v>Buccaneers D/ST2</v>
      </c>
      <c r="Y434">
        <f>COUNTIF(V$1:V434,V434)</f>
        <v>19</v>
      </c>
      <c r="Z434" t="str">
        <f t="shared" si="20"/>
        <v>NA2-19</v>
      </c>
    </row>
    <row r="435" spans="1:26" x14ac:dyDescent="0.25">
      <c r="A435">
        <v>16</v>
      </c>
      <c r="B435" t="s">
        <v>427</v>
      </c>
      <c r="C435">
        <f>-0.79-9.07</f>
        <v>-9.86</v>
      </c>
      <c r="D435">
        <v>26.09</v>
      </c>
      <c r="E435">
        <v>1.68</v>
      </c>
      <c r="F435">
        <v>0.57999999999999996</v>
      </c>
      <c r="G435">
        <v>0.74</v>
      </c>
      <c r="H435">
        <v>0.02</v>
      </c>
      <c r="I435">
        <v>0.06</v>
      </c>
      <c r="J435" t="s">
        <v>38</v>
      </c>
      <c r="K435">
        <v>9.07</v>
      </c>
      <c r="L435">
        <v>-0.79</v>
      </c>
      <c r="M435">
        <v>4.93</v>
      </c>
      <c r="N435">
        <v>24.3049</v>
      </c>
      <c r="O435">
        <v>5</v>
      </c>
      <c r="P435">
        <v>0</v>
      </c>
      <c r="Q435">
        <v>365.66800000000001</v>
      </c>
      <c r="R435">
        <v>5</v>
      </c>
      <c r="S435">
        <v>-1</v>
      </c>
      <c r="T435">
        <v>3.72</v>
      </c>
      <c r="U435" t="str">
        <f>IFERROR(INDEX(Rosters!$C$2:$C$155,MATCH(B435,Rosters!$B$2:$B$155,0)),"NA")</f>
        <v>aj</v>
      </c>
      <c r="V435" t="str">
        <f t="shared" si="18"/>
        <v>aj16</v>
      </c>
      <c r="W435">
        <f>COUNTIFS(A$1:A435,A435)</f>
        <v>27</v>
      </c>
      <c r="X435" t="str">
        <f t="shared" si="19"/>
        <v>Titans D/ST16</v>
      </c>
      <c r="Y435">
        <f>COUNTIF(V$1:V435,V435)</f>
        <v>1</v>
      </c>
      <c r="Z435" t="str">
        <f t="shared" si="20"/>
        <v>aj16-1</v>
      </c>
    </row>
    <row r="436" spans="1:26" x14ac:dyDescent="0.25">
      <c r="A436">
        <v>3</v>
      </c>
      <c r="B436" t="s">
        <v>418</v>
      </c>
      <c r="C436">
        <f>-0.91-11.17</f>
        <v>-12.08</v>
      </c>
      <c r="D436">
        <v>27.26</v>
      </c>
      <c r="E436">
        <v>1.98</v>
      </c>
      <c r="F436">
        <v>0.72</v>
      </c>
      <c r="G436">
        <v>0.79</v>
      </c>
      <c r="H436">
        <v>0.04</v>
      </c>
      <c r="I436">
        <v>0.1</v>
      </c>
      <c r="J436" t="s">
        <v>29</v>
      </c>
      <c r="K436">
        <v>11.17</v>
      </c>
      <c r="L436">
        <v>-0.91</v>
      </c>
      <c r="M436">
        <v>6.04</v>
      </c>
      <c r="N436">
        <v>36.4816</v>
      </c>
      <c r="O436">
        <v>6</v>
      </c>
      <c r="P436">
        <v>-1</v>
      </c>
      <c r="Q436">
        <v>371.75200000000001</v>
      </c>
      <c r="R436">
        <v>5</v>
      </c>
      <c r="S436">
        <v>-1</v>
      </c>
      <c r="T436">
        <v>3.68</v>
      </c>
      <c r="U436" t="str">
        <f>IFERROR(INDEX(Rosters!$C$2:$C$155,MATCH(B436,Rosters!$B$2:$B$155,0)),"NA")</f>
        <v>NA</v>
      </c>
      <c r="V436" t="str">
        <f t="shared" si="18"/>
        <v>NA3</v>
      </c>
      <c r="W436">
        <f>COUNTIFS(A$1:A436,A436)</f>
        <v>32</v>
      </c>
      <c r="X436" t="str">
        <f t="shared" si="19"/>
        <v>Bills D/ST3</v>
      </c>
      <c r="Y436">
        <f>COUNTIF(V$1:V436,V436)</f>
        <v>21</v>
      </c>
      <c r="Z436" t="str">
        <f t="shared" si="20"/>
        <v>NA3-21</v>
      </c>
    </row>
    <row r="437" spans="1:26" x14ac:dyDescent="0.25">
      <c r="A437">
        <v>15</v>
      </c>
      <c r="B437" t="s">
        <v>428</v>
      </c>
      <c r="C437">
        <f>-0.62-11.18</f>
        <v>-11.799999999999999</v>
      </c>
      <c r="D437">
        <v>26.82</v>
      </c>
      <c r="E437">
        <v>1.76</v>
      </c>
      <c r="F437">
        <v>0.86</v>
      </c>
      <c r="G437">
        <v>0.5</v>
      </c>
      <c r="H437">
        <v>0.06</v>
      </c>
      <c r="I437">
        <v>0.18</v>
      </c>
      <c r="J437" t="s">
        <v>51</v>
      </c>
      <c r="K437">
        <v>11.18</v>
      </c>
      <c r="L437">
        <v>-0.62</v>
      </c>
      <c r="M437">
        <v>5.9</v>
      </c>
      <c r="N437">
        <v>34.81</v>
      </c>
      <c r="O437">
        <v>6</v>
      </c>
      <c r="P437">
        <v>-1</v>
      </c>
      <c r="Q437">
        <v>369.464</v>
      </c>
      <c r="R437">
        <v>5</v>
      </c>
      <c r="S437">
        <v>-1</v>
      </c>
      <c r="T437">
        <v>3.68</v>
      </c>
      <c r="U437" t="str">
        <f>IFERROR(INDEX(Rosters!$C$2:$C$155,MATCH(B437,Rosters!$B$2:$B$155,0)),"NA")</f>
        <v>NA</v>
      </c>
      <c r="V437" t="str">
        <f t="shared" si="18"/>
        <v>NA15</v>
      </c>
      <c r="W437">
        <f>COUNTIFS(A$1:A437,A437)</f>
        <v>26</v>
      </c>
      <c r="X437" t="str">
        <f t="shared" si="19"/>
        <v>Buccaneers D/ST15</v>
      </c>
      <c r="Y437">
        <f>COUNTIF(V$1:V437,V437)</f>
        <v>17</v>
      </c>
      <c r="Z437" t="str">
        <f t="shared" si="20"/>
        <v>NA15-17</v>
      </c>
    </row>
    <row r="438" spans="1:26" x14ac:dyDescent="0.25">
      <c r="A438">
        <v>7</v>
      </c>
      <c r="B438" t="s">
        <v>430</v>
      </c>
      <c r="C438" t="s">
        <v>5644</v>
      </c>
      <c r="D438">
        <v>24.82</v>
      </c>
      <c r="E438">
        <v>1.78</v>
      </c>
      <c r="F438">
        <v>0.6</v>
      </c>
      <c r="G438">
        <v>0.56000000000000005</v>
      </c>
      <c r="H438">
        <v>0.04</v>
      </c>
      <c r="I438">
        <v>0.08</v>
      </c>
      <c r="J438" t="s">
        <v>29</v>
      </c>
      <c r="K438">
        <v>9.3800000000000008</v>
      </c>
      <c r="L438">
        <v>0.57999999999999996</v>
      </c>
      <c r="M438">
        <v>4.4000000000000004</v>
      </c>
      <c r="N438">
        <v>19.36</v>
      </c>
      <c r="O438">
        <v>5</v>
      </c>
      <c r="P438">
        <v>0</v>
      </c>
      <c r="Q438">
        <v>359.06400000000002</v>
      </c>
      <c r="R438">
        <v>5</v>
      </c>
      <c r="S438">
        <v>-1</v>
      </c>
      <c r="T438">
        <v>3.66</v>
      </c>
      <c r="U438" t="str">
        <f>IFERROR(INDEX(Rosters!$C$2:$C$155,MATCH(B438,Rosters!$B$2:$B$155,0)),"NA")</f>
        <v>NA</v>
      </c>
      <c r="V438" t="str">
        <f t="shared" si="18"/>
        <v>NA7</v>
      </c>
      <c r="W438">
        <f>COUNTIFS(A$1:A438,A438)</f>
        <v>23</v>
      </c>
      <c r="X438" t="str">
        <f t="shared" si="19"/>
        <v>Jets D/ST7</v>
      </c>
      <c r="Y438">
        <f>COUNTIF(V$1:V438,V438)</f>
        <v>15</v>
      </c>
      <c r="Z438" t="str">
        <f t="shared" si="20"/>
        <v>NA7-15</v>
      </c>
    </row>
    <row r="439" spans="1:26" x14ac:dyDescent="0.25">
      <c r="A439">
        <v>15</v>
      </c>
      <c r="B439" t="s">
        <v>422</v>
      </c>
      <c r="C439">
        <f>-0.28-10.62</f>
        <v>-10.899999999999999</v>
      </c>
      <c r="D439">
        <v>26.87</v>
      </c>
      <c r="E439">
        <v>1.98</v>
      </c>
      <c r="F439">
        <v>0.69</v>
      </c>
      <c r="G439">
        <v>0.5</v>
      </c>
      <c r="H439">
        <v>0.02</v>
      </c>
      <c r="I439">
        <v>0.2</v>
      </c>
      <c r="J439" t="s">
        <v>29</v>
      </c>
      <c r="K439">
        <v>10.62</v>
      </c>
      <c r="L439">
        <v>-0.28000000000000003</v>
      </c>
      <c r="M439">
        <v>5.45</v>
      </c>
      <c r="N439">
        <v>29.702500000000001</v>
      </c>
      <c r="O439">
        <v>6</v>
      </c>
      <c r="P439">
        <v>-1</v>
      </c>
      <c r="Q439">
        <v>369.72399999999999</v>
      </c>
      <c r="R439">
        <v>5</v>
      </c>
      <c r="S439">
        <v>-1</v>
      </c>
      <c r="T439">
        <v>3.6</v>
      </c>
      <c r="U439" t="str">
        <f>IFERROR(INDEX(Rosters!$C$2:$C$155,MATCH(B439,Rosters!$B$2:$B$155,0)),"NA")</f>
        <v>NA</v>
      </c>
      <c r="V439" t="str">
        <f t="shared" si="18"/>
        <v>NA15</v>
      </c>
      <c r="W439">
        <f>COUNTIFS(A$1:A439,A439)</f>
        <v>27</v>
      </c>
      <c r="X439" t="str">
        <f t="shared" si="19"/>
        <v>Dolphins D/ST15</v>
      </c>
      <c r="Y439">
        <f>COUNTIF(V$1:V439,V439)</f>
        <v>18</v>
      </c>
      <c r="Z439" t="str">
        <f t="shared" si="20"/>
        <v>NA15-18</v>
      </c>
    </row>
    <row r="440" spans="1:26" x14ac:dyDescent="0.25">
      <c r="A440">
        <v>13</v>
      </c>
      <c r="B440" t="s">
        <v>410</v>
      </c>
      <c r="C440">
        <f>-0.24-10.06</f>
        <v>-10.3</v>
      </c>
      <c r="D440">
        <v>28.1</v>
      </c>
      <c r="E440">
        <v>1.95</v>
      </c>
      <c r="F440">
        <v>0.8</v>
      </c>
      <c r="G440">
        <v>0.6</v>
      </c>
      <c r="H440">
        <v>0</v>
      </c>
      <c r="I440">
        <v>0.14000000000000001</v>
      </c>
      <c r="J440" t="s">
        <v>50</v>
      </c>
      <c r="K440">
        <v>10.06</v>
      </c>
      <c r="L440">
        <v>-0.24</v>
      </c>
      <c r="M440">
        <v>5.15</v>
      </c>
      <c r="N440">
        <v>26.522500000000001</v>
      </c>
      <c r="O440">
        <v>6</v>
      </c>
      <c r="P440">
        <v>-1</v>
      </c>
      <c r="Q440">
        <v>376.12</v>
      </c>
      <c r="R440">
        <v>5</v>
      </c>
      <c r="S440">
        <v>-1</v>
      </c>
      <c r="T440">
        <v>3.59</v>
      </c>
      <c r="U440" t="str">
        <f>IFERROR(INDEX(Rosters!$C$2:$C$155,MATCH(B440,Rosters!$B$2:$B$155,0)),"NA")</f>
        <v>NA</v>
      </c>
      <c r="V440" t="str">
        <f t="shared" si="18"/>
        <v>NA13</v>
      </c>
      <c r="W440">
        <f>COUNTIFS(A$1:A440,A440)</f>
        <v>26</v>
      </c>
      <c r="X440" t="str">
        <f t="shared" si="19"/>
        <v>Chiefs D/ST13</v>
      </c>
      <c r="Y440">
        <f>COUNTIF(V$1:V440,V440)</f>
        <v>16</v>
      </c>
      <c r="Z440" t="str">
        <f t="shared" si="20"/>
        <v>NA13-16</v>
      </c>
    </row>
    <row r="441" spans="1:26" x14ac:dyDescent="0.25">
      <c r="A441">
        <v>17</v>
      </c>
      <c r="B441" t="s">
        <v>410</v>
      </c>
      <c r="C441">
        <f>-0.24-10.06</f>
        <v>-10.3</v>
      </c>
      <c r="D441">
        <v>28.1</v>
      </c>
      <c r="E441">
        <v>1.95</v>
      </c>
      <c r="F441">
        <v>0.8</v>
      </c>
      <c r="G441">
        <v>0.6</v>
      </c>
      <c r="H441">
        <v>0</v>
      </c>
      <c r="I441">
        <v>0.14000000000000001</v>
      </c>
      <c r="J441" t="s">
        <v>50</v>
      </c>
      <c r="K441">
        <v>10.06</v>
      </c>
      <c r="L441">
        <v>-0.24</v>
      </c>
      <c r="M441">
        <v>5.15</v>
      </c>
      <c r="N441">
        <v>26.522500000000001</v>
      </c>
      <c r="O441">
        <v>6</v>
      </c>
      <c r="P441">
        <v>-1</v>
      </c>
      <c r="Q441">
        <v>376.12</v>
      </c>
      <c r="R441">
        <v>5</v>
      </c>
      <c r="S441">
        <v>-1</v>
      </c>
      <c r="T441">
        <v>3.59</v>
      </c>
      <c r="U441" t="str">
        <f>IFERROR(INDEX(Rosters!$C$2:$C$155,MATCH(B441,Rosters!$B$2:$B$155,0)),"NA")</f>
        <v>NA</v>
      </c>
      <c r="V441" t="str">
        <f t="shared" si="18"/>
        <v>NA17</v>
      </c>
      <c r="W441">
        <f>COUNTIFS(A$1:A441,A441)</f>
        <v>26</v>
      </c>
      <c r="X441" t="str">
        <f t="shared" si="19"/>
        <v>Chiefs D/ST17</v>
      </c>
      <c r="Y441">
        <f>COUNTIF(V$1:V441,V441)</f>
        <v>17</v>
      </c>
      <c r="Z441" t="str">
        <f t="shared" si="20"/>
        <v>NA17-17</v>
      </c>
    </row>
    <row r="442" spans="1:26" x14ac:dyDescent="0.25">
      <c r="A442">
        <v>10</v>
      </c>
      <c r="B442" t="s">
        <v>417</v>
      </c>
      <c r="C442" t="s">
        <v>5645</v>
      </c>
      <c r="D442">
        <v>26.59</v>
      </c>
      <c r="E442">
        <v>1.86</v>
      </c>
      <c r="F442">
        <v>0.74</v>
      </c>
      <c r="G442">
        <v>0.66</v>
      </c>
      <c r="H442">
        <v>0.04</v>
      </c>
      <c r="I442">
        <v>0.14000000000000001</v>
      </c>
      <c r="J442" t="s">
        <v>72</v>
      </c>
      <c r="K442">
        <v>10.08</v>
      </c>
      <c r="L442">
        <v>0.57999999999999996</v>
      </c>
      <c r="M442">
        <v>4.75</v>
      </c>
      <c r="N442">
        <v>22.5625</v>
      </c>
      <c r="O442">
        <v>6</v>
      </c>
      <c r="P442">
        <v>-1</v>
      </c>
      <c r="Q442">
        <v>368.26799999999997</v>
      </c>
      <c r="R442">
        <v>5</v>
      </c>
      <c r="S442">
        <v>-1</v>
      </c>
      <c r="T442">
        <v>3.58</v>
      </c>
      <c r="U442" t="str">
        <f>IFERROR(INDEX(Rosters!$C$2:$C$155,MATCH(B442,Rosters!$B$2:$B$155,0)),"NA")</f>
        <v>NA</v>
      </c>
      <c r="V442" t="str">
        <f t="shared" si="18"/>
        <v>NA10</v>
      </c>
      <c r="W442">
        <f>COUNTIFS(A$1:A442,A442)</f>
        <v>23</v>
      </c>
      <c r="X442" t="str">
        <f t="shared" si="19"/>
        <v>Bengals D/ST10</v>
      </c>
      <c r="Y442">
        <f>COUNTIF(V$1:V442,V442)</f>
        <v>17</v>
      </c>
      <c r="Z442" t="str">
        <f t="shared" si="20"/>
        <v>NA10-17</v>
      </c>
    </row>
    <row r="443" spans="1:26" x14ac:dyDescent="0.25">
      <c r="A443">
        <v>12</v>
      </c>
      <c r="B443" t="s">
        <v>437</v>
      </c>
      <c r="C443">
        <f>-2.06-10.74</f>
        <v>-12.8</v>
      </c>
      <c r="D443">
        <v>30.65</v>
      </c>
      <c r="E443">
        <v>1.5</v>
      </c>
      <c r="F443">
        <v>0.72</v>
      </c>
      <c r="G443">
        <v>0.76</v>
      </c>
      <c r="H443">
        <v>0.02</v>
      </c>
      <c r="I443">
        <v>0.18</v>
      </c>
      <c r="J443" t="s">
        <v>72</v>
      </c>
      <c r="K443">
        <v>10.74</v>
      </c>
      <c r="L443">
        <v>-2.06</v>
      </c>
      <c r="M443">
        <v>6.4</v>
      </c>
      <c r="N443">
        <v>40.96</v>
      </c>
      <c r="O443">
        <v>6</v>
      </c>
      <c r="P443">
        <v>-1</v>
      </c>
      <c r="Q443">
        <v>389.38</v>
      </c>
      <c r="R443">
        <v>5</v>
      </c>
      <c r="S443">
        <v>-1</v>
      </c>
      <c r="T443">
        <v>3.58</v>
      </c>
      <c r="U443" t="str">
        <f>IFERROR(INDEX(Rosters!$C$2:$C$155,MATCH(B443,Rosters!$B$2:$B$155,0)),"NA")</f>
        <v>NA</v>
      </c>
      <c r="V443" t="str">
        <f t="shared" si="18"/>
        <v>NA12</v>
      </c>
      <c r="W443">
        <f>COUNTIFS(A$1:A443,A443)</f>
        <v>28</v>
      </c>
      <c r="X443" t="str">
        <f t="shared" si="19"/>
        <v>Falcons D/ST12</v>
      </c>
      <c r="Y443">
        <f>COUNTIF(V$1:V443,V443)</f>
        <v>18</v>
      </c>
      <c r="Z443" t="str">
        <f t="shared" si="20"/>
        <v>NA12-18</v>
      </c>
    </row>
    <row r="444" spans="1:26" x14ac:dyDescent="0.25">
      <c r="A444">
        <v>9</v>
      </c>
      <c r="B444" t="s">
        <v>437</v>
      </c>
      <c r="C444" t="s">
        <v>4546</v>
      </c>
      <c r="D444">
        <v>27.35</v>
      </c>
      <c r="E444">
        <v>1.88</v>
      </c>
      <c r="F444">
        <v>0.54</v>
      </c>
      <c r="G444">
        <v>0.64</v>
      </c>
      <c r="H444">
        <v>0</v>
      </c>
      <c r="I444">
        <v>0.22</v>
      </c>
      <c r="J444" t="s">
        <v>38</v>
      </c>
      <c r="K444">
        <v>8.2200000000000006</v>
      </c>
      <c r="L444">
        <v>1.34</v>
      </c>
      <c r="M444">
        <v>3.44</v>
      </c>
      <c r="N444">
        <v>11.833600000000001</v>
      </c>
      <c r="O444">
        <v>6</v>
      </c>
      <c r="P444">
        <v>-1</v>
      </c>
      <c r="Q444">
        <v>372.22</v>
      </c>
      <c r="R444">
        <v>5</v>
      </c>
      <c r="S444">
        <v>-1</v>
      </c>
      <c r="T444">
        <v>3.56</v>
      </c>
      <c r="U444" t="str">
        <f>IFERROR(INDEX(Rosters!$C$2:$C$155,MATCH(B444,Rosters!$B$2:$B$155,0)),"NA")</f>
        <v>NA</v>
      </c>
      <c r="V444" t="str">
        <f t="shared" si="18"/>
        <v>NA9</v>
      </c>
      <c r="W444">
        <f>COUNTIFS(A$1:A444,A444)</f>
        <v>20</v>
      </c>
      <c r="X444" t="str">
        <f t="shared" si="19"/>
        <v>Falcons D/ST9</v>
      </c>
      <c r="Y444">
        <f>COUNTIF(V$1:V444,V444)</f>
        <v>12</v>
      </c>
      <c r="Z444" t="str">
        <f t="shared" si="20"/>
        <v>NA9-12</v>
      </c>
    </row>
    <row r="445" spans="1:26" x14ac:dyDescent="0.25">
      <c r="A445">
        <v>8</v>
      </c>
      <c r="B445" t="s">
        <v>418</v>
      </c>
      <c r="C445" t="s">
        <v>5646</v>
      </c>
      <c r="D445">
        <v>26.68</v>
      </c>
      <c r="E445">
        <v>1.9</v>
      </c>
      <c r="F445">
        <v>0.66</v>
      </c>
      <c r="G445">
        <v>0.74</v>
      </c>
      <c r="H445">
        <v>0.04</v>
      </c>
      <c r="I445">
        <v>0.12</v>
      </c>
      <c r="J445" t="s">
        <v>28</v>
      </c>
      <c r="K445">
        <v>9.73</v>
      </c>
      <c r="L445">
        <v>0.05</v>
      </c>
      <c r="M445">
        <v>4.84</v>
      </c>
      <c r="N445">
        <v>23.425599999999999</v>
      </c>
      <c r="O445">
        <v>6</v>
      </c>
      <c r="P445">
        <v>-1</v>
      </c>
      <c r="Q445">
        <v>368.73599999999999</v>
      </c>
      <c r="R445">
        <v>5</v>
      </c>
      <c r="S445">
        <v>-1</v>
      </c>
      <c r="T445">
        <v>3.5</v>
      </c>
      <c r="U445" t="str">
        <f>IFERROR(INDEX(Rosters!$C$2:$C$155,MATCH(B445,Rosters!$B$2:$B$155,0)),"NA")</f>
        <v>NA</v>
      </c>
      <c r="V445" t="str">
        <f t="shared" si="18"/>
        <v>NA8</v>
      </c>
      <c r="W445">
        <f>COUNTIFS(A$1:A445,A445)</f>
        <v>24</v>
      </c>
      <c r="X445" t="str">
        <f t="shared" si="19"/>
        <v>Bills D/ST8</v>
      </c>
      <c r="Y445">
        <f>COUNTIF(V$1:V445,V445)</f>
        <v>16</v>
      </c>
      <c r="Z445" t="str">
        <f t="shared" si="20"/>
        <v>NA8-16</v>
      </c>
    </row>
    <row r="446" spans="1:26" x14ac:dyDescent="0.25">
      <c r="A446">
        <v>16</v>
      </c>
      <c r="B446" t="s">
        <v>418</v>
      </c>
      <c r="C446" t="s">
        <v>5646</v>
      </c>
      <c r="D446">
        <v>26.68</v>
      </c>
      <c r="E446">
        <v>1.9</v>
      </c>
      <c r="F446">
        <v>0.66</v>
      </c>
      <c r="G446">
        <v>0.74</v>
      </c>
      <c r="H446">
        <v>0.04</v>
      </c>
      <c r="I446">
        <v>0.12</v>
      </c>
      <c r="J446" t="s">
        <v>28</v>
      </c>
      <c r="K446">
        <v>9.73</v>
      </c>
      <c r="L446">
        <v>0.05</v>
      </c>
      <c r="M446">
        <v>4.84</v>
      </c>
      <c r="N446">
        <v>23.425599999999999</v>
      </c>
      <c r="O446">
        <v>6</v>
      </c>
      <c r="P446">
        <v>-1</v>
      </c>
      <c r="Q446">
        <v>368.73599999999999</v>
      </c>
      <c r="R446">
        <v>5</v>
      </c>
      <c r="S446">
        <v>-1</v>
      </c>
      <c r="T446">
        <v>3.5</v>
      </c>
      <c r="U446" t="str">
        <f>IFERROR(INDEX(Rosters!$C$2:$C$155,MATCH(B446,Rosters!$B$2:$B$155,0)),"NA")</f>
        <v>NA</v>
      </c>
      <c r="V446" t="str">
        <f t="shared" si="18"/>
        <v>NA16</v>
      </c>
      <c r="W446">
        <f>COUNTIFS(A$1:A446,A446)</f>
        <v>28</v>
      </c>
      <c r="X446" t="str">
        <f t="shared" si="19"/>
        <v>Bills D/ST16</v>
      </c>
      <c r="Y446">
        <f>COUNTIF(V$1:V446,V446)</f>
        <v>17</v>
      </c>
      <c r="Z446" t="str">
        <f t="shared" si="20"/>
        <v>NA16-17</v>
      </c>
    </row>
    <row r="447" spans="1:26" x14ac:dyDescent="0.25">
      <c r="A447">
        <v>8</v>
      </c>
      <c r="B447" t="s">
        <v>412</v>
      </c>
      <c r="C447">
        <f>-1.35-10.93</f>
        <v>-12.28</v>
      </c>
      <c r="D447">
        <v>28.12</v>
      </c>
      <c r="E447">
        <v>1.78</v>
      </c>
      <c r="F447">
        <v>0.8</v>
      </c>
      <c r="G447">
        <v>0.62</v>
      </c>
      <c r="H447">
        <v>0</v>
      </c>
      <c r="I447">
        <v>0.14000000000000001</v>
      </c>
      <c r="J447" t="s">
        <v>77</v>
      </c>
      <c r="K447">
        <v>10.93</v>
      </c>
      <c r="L447">
        <v>-1.35</v>
      </c>
      <c r="M447">
        <v>6.14</v>
      </c>
      <c r="N447">
        <v>37.699599999999997</v>
      </c>
      <c r="O447">
        <v>6</v>
      </c>
      <c r="P447">
        <v>-1</v>
      </c>
      <c r="Q447">
        <v>376.22399999999999</v>
      </c>
      <c r="R447">
        <v>5</v>
      </c>
      <c r="S447">
        <v>-1</v>
      </c>
      <c r="T447">
        <v>3.46</v>
      </c>
      <c r="U447" t="str">
        <f>IFERROR(INDEX(Rosters!$C$2:$C$155,MATCH(B447,Rosters!$B$2:$B$155,0)),"NA")</f>
        <v>chad</v>
      </c>
      <c r="V447" t="str">
        <f t="shared" si="18"/>
        <v>chad8</v>
      </c>
      <c r="W447">
        <f>COUNTIFS(A$1:A447,A447)</f>
        <v>25</v>
      </c>
      <c r="X447" t="str">
        <f t="shared" si="19"/>
        <v>Broncos D/ST8</v>
      </c>
      <c r="Y447">
        <f>COUNTIF(V$1:V447,V447)</f>
        <v>1</v>
      </c>
      <c r="Z447" t="str">
        <f t="shared" si="20"/>
        <v>chad8-1</v>
      </c>
    </row>
    <row r="448" spans="1:26" x14ac:dyDescent="0.25">
      <c r="A448">
        <v>9</v>
      </c>
      <c r="B448" t="s">
        <v>434</v>
      </c>
      <c r="C448">
        <f>-0.58-10.34</f>
        <v>-10.92</v>
      </c>
      <c r="D448">
        <v>27.32</v>
      </c>
      <c r="E448">
        <v>1.38</v>
      </c>
      <c r="F448">
        <v>0.88</v>
      </c>
      <c r="G448">
        <v>0.62</v>
      </c>
      <c r="H448">
        <v>0</v>
      </c>
      <c r="I448">
        <v>0.18</v>
      </c>
      <c r="J448" t="s">
        <v>77</v>
      </c>
      <c r="K448">
        <v>10.34</v>
      </c>
      <c r="L448">
        <v>-0.57999999999999996</v>
      </c>
      <c r="M448">
        <v>5.46</v>
      </c>
      <c r="N448">
        <v>29.811599999999999</v>
      </c>
      <c r="O448">
        <v>6</v>
      </c>
      <c r="P448">
        <v>-1</v>
      </c>
      <c r="Q448">
        <v>372.06400000000002</v>
      </c>
      <c r="R448">
        <v>5</v>
      </c>
      <c r="S448">
        <v>-1</v>
      </c>
      <c r="T448">
        <v>3.46</v>
      </c>
      <c r="U448" t="str">
        <f>IFERROR(INDEX(Rosters!$C$2:$C$155,MATCH(B448,Rosters!$B$2:$B$155,0)),"NA")</f>
        <v>matty</v>
      </c>
      <c r="V448" t="str">
        <f t="shared" si="18"/>
        <v>matty9</v>
      </c>
      <c r="W448">
        <f>COUNTIFS(A$1:A448,A448)</f>
        <v>21</v>
      </c>
      <c r="X448" t="str">
        <f t="shared" si="19"/>
        <v>Browns D/ST9</v>
      </c>
      <c r="Y448">
        <f>COUNTIF(V$1:V448,V448)</f>
        <v>1</v>
      </c>
      <c r="Z448" t="str">
        <f t="shared" si="20"/>
        <v>matty9-1</v>
      </c>
    </row>
    <row r="449" spans="1:26" x14ac:dyDescent="0.25">
      <c r="A449">
        <v>9</v>
      </c>
      <c r="B449" t="s">
        <v>407</v>
      </c>
      <c r="C449">
        <f>-0.77-9.87</f>
        <v>-10.639999999999999</v>
      </c>
      <c r="D449">
        <v>28.8</v>
      </c>
      <c r="E449">
        <v>1.52</v>
      </c>
      <c r="F449">
        <v>0.88</v>
      </c>
      <c r="G449">
        <v>0.57999999999999996</v>
      </c>
      <c r="H449">
        <v>0.08</v>
      </c>
      <c r="I449">
        <v>0.14000000000000001</v>
      </c>
      <c r="J449" t="s">
        <v>66</v>
      </c>
      <c r="K449">
        <v>9.8699999999999992</v>
      </c>
      <c r="L449">
        <v>-0.77</v>
      </c>
      <c r="M449">
        <v>5.32</v>
      </c>
      <c r="N449">
        <v>28.302399999999999</v>
      </c>
      <c r="O449">
        <v>6</v>
      </c>
      <c r="P449">
        <v>-1</v>
      </c>
      <c r="Q449">
        <v>379.76</v>
      </c>
      <c r="R449">
        <v>5</v>
      </c>
      <c r="S449">
        <v>-1</v>
      </c>
      <c r="T449">
        <v>3.44</v>
      </c>
      <c r="U449" t="str">
        <f>IFERROR(INDEX(Rosters!$C$2:$C$155,MATCH(B449,Rosters!$B$2:$B$155,0)),"NA")</f>
        <v>NA</v>
      </c>
      <c r="V449" t="str">
        <f t="shared" si="18"/>
        <v>NA9</v>
      </c>
      <c r="W449">
        <f>COUNTIFS(A$1:A449,A449)</f>
        <v>22</v>
      </c>
      <c r="X449" t="str">
        <f t="shared" si="19"/>
        <v>Seahawks D/ST9</v>
      </c>
      <c r="Y449">
        <f>COUNTIF(V$1:V449,V449)</f>
        <v>13</v>
      </c>
      <c r="Z449" t="str">
        <f t="shared" si="20"/>
        <v>NA9-13</v>
      </c>
    </row>
    <row r="450" spans="1:26" x14ac:dyDescent="0.25">
      <c r="A450">
        <v>14</v>
      </c>
      <c r="B450" t="s">
        <v>433</v>
      </c>
      <c r="C450">
        <f>-0.35-9.79</f>
        <v>-10.139999999999999</v>
      </c>
      <c r="D450">
        <v>27.41</v>
      </c>
      <c r="E450">
        <v>2.2000000000000002</v>
      </c>
      <c r="F450">
        <v>0.68</v>
      </c>
      <c r="G450">
        <v>0.62</v>
      </c>
      <c r="H450">
        <v>0</v>
      </c>
      <c r="I450">
        <v>0.1</v>
      </c>
      <c r="J450" t="s">
        <v>31</v>
      </c>
      <c r="K450">
        <v>9.7899999999999991</v>
      </c>
      <c r="L450">
        <v>-0.35</v>
      </c>
      <c r="M450">
        <v>5.07</v>
      </c>
      <c r="N450">
        <v>25.704899999999999</v>
      </c>
      <c r="O450">
        <v>6</v>
      </c>
      <c r="P450">
        <v>-1</v>
      </c>
      <c r="Q450">
        <v>372.53199999999998</v>
      </c>
      <c r="R450">
        <v>5</v>
      </c>
      <c r="S450">
        <v>-1</v>
      </c>
      <c r="T450">
        <v>3.4</v>
      </c>
      <c r="U450" t="str">
        <f>IFERROR(INDEX(Rosters!$C$2:$C$155,MATCH(B450,Rosters!$B$2:$B$155,0)),"NA")</f>
        <v>NA</v>
      </c>
      <c r="V450" t="str">
        <f t="shared" si="18"/>
        <v>NA14</v>
      </c>
      <c r="W450">
        <f>COUNTIFS(A$1:A450,A450)</f>
        <v>26</v>
      </c>
      <c r="X450" t="str">
        <f t="shared" si="19"/>
        <v>Raiders D/ST14</v>
      </c>
      <c r="Y450">
        <f>COUNTIF(V$1:V450,V450)</f>
        <v>18</v>
      </c>
      <c r="Z450" t="str">
        <f t="shared" si="20"/>
        <v>NA14-18</v>
      </c>
    </row>
    <row r="451" spans="1:26" x14ac:dyDescent="0.25">
      <c r="A451">
        <v>7</v>
      </c>
      <c r="B451" t="s">
        <v>405</v>
      </c>
      <c r="C451">
        <f>-0.28-9.18</f>
        <v>-9.4599999999999991</v>
      </c>
      <c r="D451">
        <v>28.97</v>
      </c>
      <c r="E451">
        <v>1.6</v>
      </c>
      <c r="F451">
        <v>0.78</v>
      </c>
      <c r="G451">
        <v>0.6</v>
      </c>
      <c r="H451">
        <v>0.04</v>
      </c>
      <c r="I451">
        <v>0.16</v>
      </c>
      <c r="J451" t="s">
        <v>60</v>
      </c>
      <c r="K451">
        <v>9.18</v>
      </c>
      <c r="L451">
        <v>-0.28000000000000003</v>
      </c>
      <c r="M451">
        <v>4.7300000000000004</v>
      </c>
      <c r="N451">
        <v>22.372900000000001</v>
      </c>
      <c r="O451">
        <v>6</v>
      </c>
      <c r="P451">
        <v>-1</v>
      </c>
      <c r="Q451">
        <v>380.64400000000001</v>
      </c>
      <c r="R451">
        <v>5</v>
      </c>
      <c r="S451">
        <v>-1</v>
      </c>
      <c r="T451">
        <v>3.4</v>
      </c>
      <c r="U451" t="str">
        <f>IFERROR(INDEX(Rosters!$C$2:$C$155,MATCH(B451,Rosters!$B$2:$B$155,0)),"NA")</f>
        <v>perry</v>
      </c>
      <c r="V451" t="str">
        <f t="shared" ref="V451:V513" si="21">U451&amp;A451</f>
        <v>perry7</v>
      </c>
      <c r="W451">
        <f>COUNTIFS(A$1:A451,A451)</f>
        <v>24</v>
      </c>
      <c r="X451" t="str">
        <f t="shared" ref="X451:X513" si="22">B451&amp;A451</f>
        <v>Texans D/ST7</v>
      </c>
      <c r="Y451">
        <f>COUNTIF(V$1:V451,V451)</f>
        <v>1</v>
      </c>
      <c r="Z451" t="str">
        <f t="shared" ref="Z451:Z513" si="23">V451&amp;"-"&amp;Y451</f>
        <v>perry7-1</v>
      </c>
    </row>
    <row r="452" spans="1:26" x14ac:dyDescent="0.25">
      <c r="A452">
        <v>17</v>
      </c>
      <c r="B452" t="s">
        <v>405</v>
      </c>
      <c r="C452">
        <f>-0.28-9.18</f>
        <v>-9.4599999999999991</v>
      </c>
      <c r="D452">
        <v>28.97</v>
      </c>
      <c r="E452">
        <v>1.6</v>
      </c>
      <c r="F452">
        <v>0.78</v>
      </c>
      <c r="G452">
        <v>0.6</v>
      </c>
      <c r="H452">
        <v>0.04</v>
      </c>
      <c r="I452">
        <v>0.16</v>
      </c>
      <c r="J452" t="s">
        <v>60</v>
      </c>
      <c r="K452">
        <v>9.18</v>
      </c>
      <c r="L452">
        <v>-0.28000000000000003</v>
      </c>
      <c r="M452">
        <v>4.7300000000000004</v>
      </c>
      <c r="N452">
        <v>22.372900000000001</v>
      </c>
      <c r="O452">
        <v>6</v>
      </c>
      <c r="P452">
        <v>-1</v>
      </c>
      <c r="Q452">
        <v>380.64400000000001</v>
      </c>
      <c r="R452">
        <v>5</v>
      </c>
      <c r="S452">
        <v>-1</v>
      </c>
      <c r="T452">
        <v>3.4</v>
      </c>
      <c r="U452" t="str">
        <f>IFERROR(INDEX(Rosters!$C$2:$C$155,MATCH(B452,Rosters!$B$2:$B$155,0)),"NA")</f>
        <v>perry</v>
      </c>
      <c r="V452" t="str">
        <f t="shared" si="21"/>
        <v>perry17</v>
      </c>
      <c r="W452">
        <f>COUNTIFS(A$1:A452,A452)</f>
        <v>27</v>
      </c>
      <c r="X452" t="str">
        <f t="shared" si="22"/>
        <v>Texans D/ST17</v>
      </c>
      <c r="Y452">
        <f>COUNTIF(V$1:V452,V452)</f>
        <v>1</v>
      </c>
      <c r="Z452" t="str">
        <f t="shared" si="23"/>
        <v>perry17-1</v>
      </c>
    </row>
    <row r="453" spans="1:26" x14ac:dyDescent="0.25">
      <c r="A453">
        <v>14</v>
      </c>
      <c r="B453" t="s">
        <v>434</v>
      </c>
      <c r="C453" t="s">
        <v>5647</v>
      </c>
      <c r="D453">
        <v>23.97</v>
      </c>
      <c r="E453">
        <v>1.89</v>
      </c>
      <c r="F453">
        <v>0.42</v>
      </c>
      <c r="G453">
        <v>0.6</v>
      </c>
      <c r="H453">
        <v>0.02</v>
      </c>
      <c r="I453">
        <v>0.06</v>
      </c>
      <c r="J453" t="s">
        <v>37</v>
      </c>
      <c r="K453">
        <v>7.58</v>
      </c>
      <c r="L453">
        <v>0.84</v>
      </c>
      <c r="M453">
        <v>3.37</v>
      </c>
      <c r="N453">
        <v>11.3569</v>
      </c>
      <c r="O453">
        <v>5</v>
      </c>
      <c r="P453">
        <v>0</v>
      </c>
      <c r="Q453">
        <v>354.64400000000001</v>
      </c>
      <c r="R453">
        <v>5</v>
      </c>
      <c r="S453">
        <v>-1</v>
      </c>
      <c r="T453">
        <v>3.33</v>
      </c>
      <c r="U453" t="str">
        <f>IFERROR(INDEX(Rosters!$C$2:$C$155,MATCH(B453,Rosters!$B$2:$B$155,0)),"NA")</f>
        <v>matty</v>
      </c>
      <c r="V453" t="str">
        <f t="shared" si="21"/>
        <v>matty14</v>
      </c>
      <c r="W453">
        <f>COUNTIFS(A$1:A453,A453)</f>
        <v>27</v>
      </c>
      <c r="X453" t="str">
        <f t="shared" si="22"/>
        <v>Browns D/ST14</v>
      </c>
      <c r="Y453">
        <f>COUNTIF(V$1:V453,V453)</f>
        <v>1</v>
      </c>
      <c r="Z453" t="str">
        <f t="shared" si="23"/>
        <v>matty14-1</v>
      </c>
    </row>
    <row r="454" spans="1:26" x14ac:dyDescent="0.25">
      <c r="A454">
        <v>15</v>
      </c>
      <c r="B454" t="s">
        <v>414</v>
      </c>
      <c r="C454">
        <f>-0.18-9.16</f>
        <v>-9.34</v>
      </c>
      <c r="D454">
        <v>28.08</v>
      </c>
      <c r="E454">
        <v>2.06</v>
      </c>
      <c r="F454">
        <v>0.9</v>
      </c>
      <c r="G454">
        <v>0.48</v>
      </c>
      <c r="H454">
        <v>0</v>
      </c>
      <c r="I454">
        <v>0.08</v>
      </c>
      <c r="J454" t="s">
        <v>52</v>
      </c>
      <c r="K454">
        <v>9.16</v>
      </c>
      <c r="L454">
        <v>-0.18</v>
      </c>
      <c r="M454">
        <v>4.67</v>
      </c>
      <c r="N454">
        <v>21.808900000000001</v>
      </c>
      <c r="O454">
        <v>6</v>
      </c>
      <c r="P454">
        <v>-1</v>
      </c>
      <c r="Q454">
        <v>376.01600000000002</v>
      </c>
      <c r="R454">
        <v>5</v>
      </c>
      <c r="S454">
        <v>-1</v>
      </c>
      <c r="T454">
        <v>3.3</v>
      </c>
      <c r="U454" t="str">
        <f>IFERROR(INDEX(Rosters!$C$2:$C$155,MATCH(B454,Rosters!$B$2:$B$155,0)),"NA")</f>
        <v>comp</v>
      </c>
      <c r="V454" t="str">
        <f t="shared" si="21"/>
        <v>comp15</v>
      </c>
      <c r="W454">
        <f>COUNTIFS(A$1:A454,A454)</f>
        <v>28</v>
      </c>
      <c r="X454" t="str">
        <f t="shared" si="22"/>
        <v>Eagles D/ST15</v>
      </c>
      <c r="Y454">
        <f>COUNTIF(V$1:V454,V454)</f>
        <v>1</v>
      </c>
      <c r="Z454" t="str">
        <f t="shared" si="23"/>
        <v>comp15-1</v>
      </c>
    </row>
    <row r="455" spans="1:26" x14ac:dyDescent="0.25">
      <c r="A455">
        <v>1</v>
      </c>
      <c r="B455" t="s">
        <v>405</v>
      </c>
      <c r="C455">
        <f>-1.11-9.47</f>
        <v>-10.58</v>
      </c>
      <c r="D455">
        <v>29.36</v>
      </c>
      <c r="E455">
        <v>2.11</v>
      </c>
      <c r="F455">
        <v>0.62</v>
      </c>
      <c r="G455">
        <v>0.59</v>
      </c>
      <c r="H455">
        <v>7.0000000000000007E-2</v>
      </c>
      <c r="I455">
        <v>0.1</v>
      </c>
      <c r="J455" t="s">
        <v>28</v>
      </c>
      <c r="K455">
        <v>9.4700000000000006</v>
      </c>
      <c r="L455">
        <v>-1.1100000000000001</v>
      </c>
      <c r="M455">
        <v>5.29</v>
      </c>
      <c r="N455">
        <v>27.984100000000002</v>
      </c>
      <c r="O455">
        <v>6</v>
      </c>
      <c r="P455">
        <v>-1</v>
      </c>
      <c r="Q455">
        <v>382.67200000000003</v>
      </c>
      <c r="R455">
        <v>5</v>
      </c>
      <c r="S455">
        <v>-1</v>
      </c>
      <c r="T455">
        <v>3.27</v>
      </c>
      <c r="U455" t="str">
        <f>IFERROR(INDEX(Rosters!$C$2:$C$155,MATCH(B455,Rosters!$B$2:$B$155,0)),"NA")</f>
        <v>perry</v>
      </c>
      <c r="V455" t="str">
        <f t="shared" si="21"/>
        <v>perry1</v>
      </c>
      <c r="W455">
        <f>COUNTIFS(A$1:A455,A455)</f>
        <v>28</v>
      </c>
      <c r="X455" t="str">
        <f t="shared" si="22"/>
        <v>Texans D/ST1</v>
      </c>
      <c r="Y455">
        <f>COUNTIF(V$1:V455,V455)</f>
        <v>1</v>
      </c>
      <c r="Z455" t="str">
        <f t="shared" si="23"/>
        <v>perry1-1</v>
      </c>
    </row>
    <row r="456" spans="1:26" x14ac:dyDescent="0.25">
      <c r="A456">
        <v>10</v>
      </c>
      <c r="B456" t="s">
        <v>433</v>
      </c>
      <c r="C456">
        <f>-0.72-9.26</f>
        <v>-9.98</v>
      </c>
      <c r="D456">
        <v>29.31</v>
      </c>
      <c r="E456">
        <v>1.7</v>
      </c>
      <c r="F456">
        <v>0.8</v>
      </c>
      <c r="G456">
        <v>0.66</v>
      </c>
      <c r="H456">
        <v>0.02</v>
      </c>
      <c r="I456">
        <v>0.1</v>
      </c>
      <c r="J456" t="s">
        <v>66</v>
      </c>
      <c r="K456">
        <v>9.26</v>
      </c>
      <c r="L456">
        <v>-0.72</v>
      </c>
      <c r="M456">
        <v>4.99</v>
      </c>
      <c r="N456">
        <v>24.900099999999998</v>
      </c>
      <c r="O456">
        <v>6</v>
      </c>
      <c r="P456">
        <v>-1</v>
      </c>
      <c r="Q456">
        <v>382.41199999999998</v>
      </c>
      <c r="R456">
        <v>5</v>
      </c>
      <c r="S456">
        <v>-1</v>
      </c>
      <c r="T456">
        <v>3.26</v>
      </c>
      <c r="U456" t="str">
        <f>IFERROR(INDEX(Rosters!$C$2:$C$155,MATCH(B456,Rosters!$B$2:$B$155,0)),"NA")</f>
        <v>NA</v>
      </c>
      <c r="V456" t="str">
        <f t="shared" si="21"/>
        <v>NA10</v>
      </c>
      <c r="W456">
        <f>COUNTIFS(A$1:A456,A456)</f>
        <v>24</v>
      </c>
      <c r="X456" t="str">
        <f t="shared" si="22"/>
        <v>Raiders D/ST10</v>
      </c>
      <c r="Y456">
        <f>COUNTIF(V$1:V456,V456)</f>
        <v>18</v>
      </c>
      <c r="Z456" t="str">
        <f t="shared" si="23"/>
        <v>NA10-18</v>
      </c>
    </row>
    <row r="457" spans="1:26" x14ac:dyDescent="0.25">
      <c r="A457">
        <v>12</v>
      </c>
      <c r="B457" t="s">
        <v>430</v>
      </c>
      <c r="C457">
        <f>-0.81-9.49</f>
        <v>-10.3</v>
      </c>
      <c r="D457">
        <v>28.21</v>
      </c>
      <c r="E457">
        <v>1.9</v>
      </c>
      <c r="F457">
        <v>0.7</v>
      </c>
      <c r="G457">
        <v>0.6</v>
      </c>
      <c r="H457">
        <v>0</v>
      </c>
      <c r="I457">
        <v>0.12</v>
      </c>
      <c r="J457" t="s">
        <v>28</v>
      </c>
      <c r="K457">
        <v>9.49</v>
      </c>
      <c r="L457">
        <v>-0.81</v>
      </c>
      <c r="M457">
        <v>5.15</v>
      </c>
      <c r="N457">
        <v>26.522500000000001</v>
      </c>
      <c r="O457">
        <v>6</v>
      </c>
      <c r="P457">
        <v>-1</v>
      </c>
      <c r="Q457">
        <v>376.69200000000001</v>
      </c>
      <c r="R457">
        <v>5</v>
      </c>
      <c r="S457">
        <v>-1</v>
      </c>
      <c r="T457">
        <v>3.22</v>
      </c>
      <c r="U457" t="str">
        <f>IFERROR(INDEX(Rosters!$C$2:$C$155,MATCH(B457,Rosters!$B$2:$B$155,0)),"NA")</f>
        <v>NA</v>
      </c>
      <c r="V457" t="str">
        <f t="shared" si="21"/>
        <v>NA12</v>
      </c>
      <c r="W457">
        <f>COUNTIFS(A$1:A457,A457)</f>
        <v>29</v>
      </c>
      <c r="X457" t="str">
        <f t="shared" si="22"/>
        <v>Jets D/ST12</v>
      </c>
      <c r="Y457">
        <f>COUNTIF(V$1:V457,V457)</f>
        <v>19</v>
      </c>
      <c r="Z457" t="str">
        <f t="shared" si="23"/>
        <v>NA12-19</v>
      </c>
    </row>
    <row r="458" spans="1:26" x14ac:dyDescent="0.25">
      <c r="A458">
        <v>17</v>
      </c>
      <c r="B458" t="s">
        <v>430</v>
      </c>
      <c r="C458">
        <f>-0.81-9.49</f>
        <v>-10.3</v>
      </c>
      <c r="D458">
        <v>28.21</v>
      </c>
      <c r="E458">
        <v>1.9</v>
      </c>
      <c r="F458">
        <v>0.7</v>
      </c>
      <c r="G458">
        <v>0.6</v>
      </c>
      <c r="H458">
        <v>0</v>
      </c>
      <c r="I458">
        <v>0.12</v>
      </c>
      <c r="J458" t="s">
        <v>28</v>
      </c>
      <c r="K458">
        <v>9.49</v>
      </c>
      <c r="L458">
        <v>-0.81</v>
      </c>
      <c r="M458">
        <v>5.15</v>
      </c>
      <c r="N458">
        <v>26.522500000000001</v>
      </c>
      <c r="O458">
        <v>6</v>
      </c>
      <c r="P458">
        <v>-1</v>
      </c>
      <c r="Q458">
        <v>376.69200000000001</v>
      </c>
      <c r="R458">
        <v>5</v>
      </c>
      <c r="S458">
        <v>-1</v>
      </c>
      <c r="T458">
        <v>3.22</v>
      </c>
      <c r="U458" t="str">
        <f>IFERROR(INDEX(Rosters!$C$2:$C$155,MATCH(B458,Rosters!$B$2:$B$155,0)),"NA")</f>
        <v>NA</v>
      </c>
      <c r="V458" t="str">
        <f t="shared" si="21"/>
        <v>NA17</v>
      </c>
      <c r="W458">
        <f>COUNTIFS(A$1:A458,A458)</f>
        <v>28</v>
      </c>
      <c r="X458" t="str">
        <f t="shared" si="22"/>
        <v>Jets D/ST17</v>
      </c>
      <c r="Y458">
        <f>COUNTIF(V$1:V458,V458)</f>
        <v>18</v>
      </c>
      <c r="Z458" t="str">
        <f t="shared" si="23"/>
        <v>NA17-18</v>
      </c>
    </row>
    <row r="459" spans="1:26" x14ac:dyDescent="0.25">
      <c r="A459">
        <v>11</v>
      </c>
      <c r="B459" t="s">
        <v>435</v>
      </c>
      <c r="C459">
        <f>-1.11-9.33</f>
        <v>-10.44</v>
      </c>
      <c r="D459">
        <v>29.09</v>
      </c>
      <c r="E459">
        <v>2</v>
      </c>
      <c r="F459">
        <v>0.74</v>
      </c>
      <c r="G459">
        <v>0.5</v>
      </c>
      <c r="H459">
        <v>0.06</v>
      </c>
      <c r="I459">
        <v>0.1</v>
      </c>
      <c r="J459" t="s">
        <v>37</v>
      </c>
      <c r="K459">
        <v>9.33</v>
      </c>
      <c r="L459">
        <v>-1.1100000000000001</v>
      </c>
      <c r="M459">
        <v>5.22</v>
      </c>
      <c r="N459">
        <v>27.2484</v>
      </c>
      <c r="O459">
        <v>6</v>
      </c>
      <c r="P459">
        <v>-1</v>
      </c>
      <c r="Q459">
        <v>381.26799999999997</v>
      </c>
      <c r="R459">
        <v>5</v>
      </c>
      <c r="S459">
        <v>-1</v>
      </c>
      <c r="T459">
        <v>3.2</v>
      </c>
      <c r="U459" t="str">
        <f>IFERROR(INDEX(Rosters!$C$2:$C$155,MATCH(B459,Rosters!$B$2:$B$155,0)),"NA")</f>
        <v>NA</v>
      </c>
      <c r="V459" t="str">
        <f t="shared" si="21"/>
        <v>NA11</v>
      </c>
      <c r="W459">
        <f>COUNTIFS(A$1:A459,A459)</f>
        <v>24</v>
      </c>
      <c r="X459" t="str">
        <f t="shared" si="22"/>
        <v>Lions D/ST11</v>
      </c>
      <c r="Y459">
        <f>COUNTIF(V$1:V459,V459)</f>
        <v>14</v>
      </c>
      <c r="Z459" t="str">
        <f t="shared" si="23"/>
        <v>NA11-14</v>
      </c>
    </row>
    <row r="460" spans="1:26" x14ac:dyDescent="0.25">
      <c r="A460">
        <v>10</v>
      </c>
      <c r="B460" t="s">
        <v>428</v>
      </c>
      <c r="C460" t="s">
        <v>5648</v>
      </c>
      <c r="D460">
        <v>26.53</v>
      </c>
      <c r="E460">
        <v>1.86</v>
      </c>
      <c r="F460">
        <v>0.54</v>
      </c>
      <c r="G460">
        <v>0.72</v>
      </c>
      <c r="H460">
        <v>0.02</v>
      </c>
      <c r="I460">
        <v>0.12</v>
      </c>
      <c r="J460" t="s">
        <v>38</v>
      </c>
      <c r="K460">
        <v>8.59</v>
      </c>
      <c r="L460">
        <v>0.83</v>
      </c>
      <c r="M460">
        <v>3.88</v>
      </c>
      <c r="N460">
        <v>15.054399999999999</v>
      </c>
      <c r="O460">
        <v>6</v>
      </c>
      <c r="P460">
        <v>-1</v>
      </c>
      <c r="Q460">
        <v>367.95600000000002</v>
      </c>
      <c r="R460">
        <v>5</v>
      </c>
      <c r="S460">
        <v>-1</v>
      </c>
      <c r="T460">
        <v>3.14</v>
      </c>
      <c r="U460" t="str">
        <f>IFERROR(INDEX(Rosters!$C$2:$C$155,MATCH(B460,Rosters!$B$2:$B$155,0)),"NA")</f>
        <v>NA</v>
      </c>
      <c r="V460" t="str">
        <f t="shared" si="21"/>
        <v>NA10</v>
      </c>
      <c r="W460">
        <f>COUNTIFS(A$1:A460,A460)</f>
        <v>25</v>
      </c>
      <c r="X460" t="str">
        <f t="shared" si="22"/>
        <v>Buccaneers D/ST10</v>
      </c>
      <c r="Y460">
        <f>COUNTIF(V$1:V460,V460)</f>
        <v>19</v>
      </c>
      <c r="Z460" t="str">
        <f t="shared" si="23"/>
        <v>NA10-19</v>
      </c>
    </row>
    <row r="461" spans="1:26" x14ac:dyDescent="0.25">
      <c r="A461">
        <v>10</v>
      </c>
      <c r="B461" t="s">
        <v>409</v>
      </c>
      <c r="C461">
        <f>-0.02-8.6</f>
        <v>-8.6199999999999992</v>
      </c>
      <c r="D461">
        <v>28.08</v>
      </c>
      <c r="E461">
        <v>2.2799999999999998</v>
      </c>
      <c r="F461">
        <v>0.6</v>
      </c>
      <c r="G461">
        <v>0.52</v>
      </c>
      <c r="H461">
        <v>0</v>
      </c>
      <c r="I461">
        <v>0.1</v>
      </c>
      <c r="J461" t="s">
        <v>77</v>
      </c>
      <c r="K461">
        <v>8.6</v>
      </c>
      <c r="L461">
        <v>-0.02</v>
      </c>
      <c r="M461">
        <v>4.3099999999999996</v>
      </c>
      <c r="N461">
        <v>18.5761</v>
      </c>
      <c r="O461">
        <v>6</v>
      </c>
      <c r="P461">
        <v>-1</v>
      </c>
      <c r="Q461">
        <v>376.01600000000002</v>
      </c>
      <c r="R461">
        <v>5</v>
      </c>
      <c r="S461">
        <v>-1</v>
      </c>
      <c r="T461">
        <v>3.12</v>
      </c>
      <c r="U461" t="str">
        <f>IFERROR(INDEX(Rosters!$C$2:$C$155,MATCH(B461,Rosters!$B$2:$B$155,0)),"NA")</f>
        <v>NA</v>
      </c>
      <c r="V461" t="str">
        <f t="shared" si="21"/>
        <v>NA10</v>
      </c>
      <c r="W461">
        <f>COUNTIFS(A$1:A461,A461)</f>
        <v>26</v>
      </c>
      <c r="X461" t="str">
        <f t="shared" si="22"/>
        <v>Cardinals D/ST10</v>
      </c>
      <c r="Y461">
        <f>COUNTIF(V$1:V461,V461)</f>
        <v>20</v>
      </c>
      <c r="Z461" t="str">
        <f t="shared" si="23"/>
        <v>NA10-20</v>
      </c>
    </row>
    <row r="462" spans="1:26" x14ac:dyDescent="0.25">
      <c r="A462">
        <v>10</v>
      </c>
      <c r="B462" t="s">
        <v>432</v>
      </c>
      <c r="C462">
        <f>-0.1-9</f>
        <v>-9.1</v>
      </c>
      <c r="D462">
        <v>27.46</v>
      </c>
      <c r="E462">
        <v>2.34</v>
      </c>
      <c r="F462">
        <v>0.5</v>
      </c>
      <c r="G462">
        <v>0.56000000000000005</v>
      </c>
      <c r="H462">
        <v>0.02</v>
      </c>
      <c r="I462">
        <v>0.1</v>
      </c>
      <c r="J462" t="s">
        <v>60</v>
      </c>
      <c r="K462">
        <v>9</v>
      </c>
      <c r="L462">
        <v>-0.1</v>
      </c>
      <c r="M462">
        <v>4.55</v>
      </c>
      <c r="N462">
        <v>20.702500000000001</v>
      </c>
      <c r="O462">
        <v>6</v>
      </c>
      <c r="P462">
        <v>-1</v>
      </c>
      <c r="Q462">
        <v>372.79199999999997</v>
      </c>
      <c r="R462">
        <v>5</v>
      </c>
      <c r="S462">
        <v>-1</v>
      </c>
      <c r="T462">
        <v>3.1</v>
      </c>
      <c r="U462" t="str">
        <f>IFERROR(INDEX(Rosters!$C$2:$C$155,MATCH(B462,Rosters!$B$2:$B$155,0)),"NA")</f>
        <v>NA</v>
      </c>
      <c r="V462" t="str">
        <f t="shared" si="21"/>
        <v>NA10</v>
      </c>
      <c r="W462">
        <f>COUNTIFS(A$1:A462,A462)</f>
        <v>27</v>
      </c>
      <c r="X462" t="str">
        <f t="shared" si="22"/>
        <v>Colts D/ST10</v>
      </c>
      <c r="Y462">
        <f>COUNTIF(V$1:V462,V462)</f>
        <v>21</v>
      </c>
      <c r="Z462" t="str">
        <f t="shared" si="23"/>
        <v>NA10-21</v>
      </c>
    </row>
    <row r="463" spans="1:26" x14ac:dyDescent="0.25">
      <c r="A463">
        <v>13</v>
      </c>
      <c r="B463" t="s">
        <v>432</v>
      </c>
      <c r="C463">
        <f>-0.1-9</f>
        <v>-9.1</v>
      </c>
      <c r="D463">
        <v>27.46</v>
      </c>
      <c r="E463">
        <v>2.34</v>
      </c>
      <c r="F463">
        <v>0.5</v>
      </c>
      <c r="G463">
        <v>0.56000000000000005</v>
      </c>
      <c r="H463">
        <v>0.02</v>
      </c>
      <c r="I463">
        <v>0.1</v>
      </c>
      <c r="J463" t="s">
        <v>60</v>
      </c>
      <c r="K463">
        <v>9</v>
      </c>
      <c r="L463">
        <v>-0.1</v>
      </c>
      <c r="M463">
        <v>4.55</v>
      </c>
      <c r="N463">
        <v>20.702500000000001</v>
      </c>
      <c r="O463">
        <v>6</v>
      </c>
      <c r="P463">
        <v>-1</v>
      </c>
      <c r="Q463">
        <v>372.79199999999997</v>
      </c>
      <c r="R463">
        <v>5</v>
      </c>
      <c r="S463">
        <v>-1</v>
      </c>
      <c r="T463">
        <v>3.1</v>
      </c>
      <c r="U463" t="str">
        <f>IFERROR(INDEX(Rosters!$C$2:$C$155,MATCH(B463,Rosters!$B$2:$B$155,0)),"NA")</f>
        <v>NA</v>
      </c>
      <c r="V463" t="str">
        <f t="shared" si="21"/>
        <v>NA13</v>
      </c>
      <c r="W463">
        <f>COUNTIFS(A$1:A463,A463)</f>
        <v>27</v>
      </c>
      <c r="X463" t="str">
        <f t="shared" si="22"/>
        <v>Colts D/ST13</v>
      </c>
      <c r="Y463">
        <f>COUNTIF(V$1:V463,V463)</f>
        <v>17</v>
      </c>
      <c r="Z463" t="str">
        <f t="shared" si="23"/>
        <v>NA13-17</v>
      </c>
    </row>
    <row r="464" spans="1:26" x14ac:dyDescent="0.25">
      <c r="A464">
        <v>6</v>
      </c>
      <c r="B464" t="s">
        <v>415</v>
      </c>
      <c r="C464">
        <f>-1.12-9.08</f>
        <v>-10.199999999999999</v>
      </c>
      <c r="D464">
        <v>29.47</v>
      </c>
      <c r="E464">
        <v>1.6</v>
      </c>
      <c r="F464">
        <v>0.82</v>
      </c>
      <c r="G464">
        <v>0.48</v>
      </c>
      <c r="H464">
        <v>0.02</v>
      </c>
      <c r="I464">
        <v>0.14000000000000001</v>
      </c>
      <c r="J464" t="s">
        <v>77</v>
      </c>
      <c r="K464">
        <v>9.08</v>
      </c>
      <c r="L464">
        <v>-1.1200000000000001</v>
      </c>
      <c r="M464">
        <v>5.0999999999999996</v>
      </c>
      <c r="N464">
        <v>26.01</v>
      </c>
      <c r="O464">
        <v>6</v>
      </c>
      <c r="P464">
        <v>-1</v>
      </c>
      <c r="Q464">
        <v>383.24400000000003</v>
      </c>
      <c r="R464">
        <v>5</v>
      </c>
      <c r="S464">
        <v>-1</v>
      </c>
      <c r="T464">
        <v>3.08</v>
      </c>
      <c r="U464" t="str">
        <f>IFERROR(INDEX(Rosters!$C$2:$C$155,MATCH(B464,Rosters!$B$2:$B$155,0)),"NA")</f>
        <v>NA</v>
      </c>
      <c r="V464" t="str">
        <f t="shared" si="21"/>
        <v>NA6</v>
      </c>
      <c r="W464">
        <f>COUNTIFS(A$1:A464,A464)</f>
        <v>25</v>
      </c>
      <c r="X464" t="str">
        <f t="shared" si="22"/>
        <v>Patriots D/ST6</v>
      </c>
      <c r="Y464">
        <f>COUNTIF(V$1:V464,V464)</f>
        <v>16</v>
      </c>
      <c r="Z464" t="str">
        <f t="shared" si="23"/>
        <v>NA6-16</v>
      </c>
    </row>
    <row r="465" spans="1:26" x14ac:dyDescent="0.25">
      <c r="A465">
        <v>9</v>
      </c>
      <c r="B465" t="s">
        <v>428</v>
      </c>
      <c r="C465" t="s">
        <v>5649</v>
      </c>
      <c r="D465">
        <v>28.87</v>
      </c>
      <c r="E465">
        <v>1.9</v>
      </c>
      <c r="F465">
        <v>0.72</v>
      </c>
      <c r="G465">
        <v>0.42</v>
      </c>
      <c r="H465">
        <v>0.08</v>
      </c>
      <c r="I465">
        <v>0.12</v>
      </c>
      <c r="J465" t="s">
        <v>37</v>
      </c>
      <c r="K465">
        <v>7.99</v>
      </c>
      <c r="L465">
        <v>0.23</v>
      </c>
      <c r="M465">
        <v>3.88</v>
      </c>
      <c r="N465">
        <v>15.054399999999999</v>
      </c>
      <c r="O465">
        <v>6</v>
      </c>
      <c r="P465">
        <v>-1</v>
      </c>
      <c r="Q465">
        <v>380.12400000000002</v>
      </c>
      <c r="R465">
        <v>5</v>
      </c>
      <c r="S465">
        <v>-1</v>
      </c>
      <c r="T465">
        <v>3.06</v>
      </c>
      <c r="U465" t="str">
        <f>IFERROR(INDEX(Rosters!$C$2:$C$155,MATCH(B465,Rosters!$B$2:$B$155,0)),"NA")</f>
        <v>NA</v>
      </c>
      <c r="V465" t="str">
        <f t="shared" si="21"/>
        <v>NA9</v>
      </c>
      <c r="W465">
        <f>COUNTIFS(A$1:A465,A465)</f>
        <v>23</v>
      </c>
      <c r="X465" t="str">
        <f t="shared" si="22"/>
        <v>Buccaneers D/ST9</v>
      </c>
      <c r="Y465">
        <f>COUNTIF(V$1:V465,V465)</f>
        <v>14</v>
      </c>
      <c r="Z465" t="str">
        <f t="shared" si="23"/>
        <v>NA9-14</v>
      </c>
    </row>
    <row r="466" spans="1:26" x14ac:dyDescent="0.25">
      <c r="A466">
        <v>13</v>
      </c>
      <c r="B466" t="s">
        <v>428</v>
      </c>
      <c r="C466" t="s">
        <v>5649</v>
      </c>
      <c r="D466">
        <v>28.87</v>
      </c>
      <c r="E466">
        <v>1.9</v>
      </c>
      <c r="F466">
        <v>0.72</v>
      </c>
      <c r="G466">
        <v>0.42</v>
      </c>
      <c r="H466">
        <v>0.08</v>
      </c>
      <c r="I466">
        <v>0.12</v>
      </c>
      <c r="J466" t="s">
        <v>37</v>
      </c>
      <c r="K466">
        <v>7.99</v>
      </c>
      <c r="L466">
        <v>0.23</v>
      </c>
      <c r="M466">
        <v>3.88</v>
      </c>
      <c r="N466">
        <v>15.054399999999999</v>
      </c>
      <c r="O466">
        <v>6</v>
      </c>
      <c r="P466">
        <v>-1</v>
      </c>
      <c r="Q466">
        <v>380.12400000000002</v>
      </c>
      <c r="R466">
        <v>5</v>
      </c>
      <c r="S466">
        <v>-1</v>
      </c>
      <c r="T466">
        <v>3.06</v>
      </c>
      <c r="U466" t="str">
        <f>IFERROR(INDEX(Rosters!$C$2:$C$155,MATCH(B466,Rosters!$B$2:$B$155,0)),"NA")</f>
        <v>NA</v>
      </c>
      <c r="V466" t="str">
        <f t="shared" si="21"/>
        <v>NA13</v>
      </c>
      <c r="W466">
        <f>COUNTIFS(A$1:A466,A466)</f>
        <v>28</v>
      </c>
      <c r="X466" t="str">
        <f t="shared" si="22"/>
        <v>Buccaneers D/ST13</v>
      </c>
      <c r="Y466">
        <f>COUNTIF(V$1:V466,V466)</f>
        <v>18</v>
      </c>
      <c r="Z466" t="str">
        <f t="shared" si="23"/>
        <v>NA13-18</v>
      </c>
    </row>
    <row r="467" spans="1:26" x14ac:dyDescent="0.25">
      <c r="A467">
        <v>7</v>
      </c>
      <c r="B467" t="s">
        <v>416</v>
      </c>
      <c r="C467" t="s">
        <v>5650</v>
      </c>
      <c r="D467">
        <v>26.54</v>
      </c>
      <c r="E467">
        <v>1.92</v>
      </c>
      <c r="F467">
        <v>0.68</v>
      </c>
      <c r="G467">
        <v>0.56000000000000005</v>
      </c>
      <c r="H467">
        <v>0.02</v>
      </c>
      <c r="I467">
        <v>0.1</v>
      </c>
      <c r="J467" t="s">
        <v>28</v>
      </c>
      <c r="K467">
        <v>8.77</v>
      </c>
      <c r="L467">
        <v>0.11</v>
      </c>
      <c r="M467">
        <v>4.33</v>
      </c>
      <c r="N467">
        <v>18.748899999999999</v>
      </c>
      <c r="O467">
        <v>6</v>
      </c>
      <c r="P467">
        <v>-1</v>
      </c>
      <c r="Q467">
        <v>368.00799999999998</v>
      </c>
      <c r="R467">
        <v>5</v>
      </c>
      <c r="S467">
        <v>-1</v>
      </c>
      <c r="T467">
        <v>3.04</v>
      </c>
      <c r="U467" t="str">
        <f>IFERROR(INDEX(Rosters!$C$2:$C$155,MATCH(B467,Rosters!$B$2:$B$155,0)),"NA")</f>
        <v>lucas</v>
      </c>
      <c r="V467" t="str">
        <f t="shared" si="21"/>
        <v>lucas7</v>
      </c>
      <c r="W467">
        <f>COUNTIFS(A$1:A467,A467)</f>
        <v>25</v>
      </c>
      <c r="X467" t="str">
        <f t="shared" si="22"/>
        <v>Bears D/ST7</v>
      </c>
      <c r="Y467">
        <f>COUNTIF(V$1:V467,V467)</f>
        <v>2</v>
      </c>
      <c r="Z467" t="str">
        <f t="shared" si="23"/>
        <v>lucas7-2</v>
      </c>
    </row>
    <row r="468" spans="1:26" x14ac:dyDescent="0.25">
      <c r="A468">
        <v>6</v>
      </c>
      <c r="B468" t="s">
        <v>412</v>
      </c>
      <c r="C468">
        <f>-1.8-9.9</f>
        <v>-11.700000000000001</v>
      </c>
      <c r="D468">
        <v>30.91</v>
      </c>
      <c r="E468">
        <v>1.64</v>
      </c>
      <c r="F468">
        <v>0.68</v>
      </c>
      <c r="G468">
        <v>0.6</v>
      </c>
      <c r="H468">
        <v>0</v>
      </c>
      <c r="I468">
        <v>0.14000000000000001</v>
      </c>
      <c r="J468" t="s">
        <v>52</v>
      </c>
      <c r="K468">
        <v>9.9</v>
      </c>
      <c r="L468">
        <v>-1.8</v>
      </c>
      <c r="M468">
        <v>5.85</v>
      </c>
      <c r="N468">
        <v>34.222499999999997</v>
      </c>
      <c r="O468">
        <v>6</v>
      </c>
      <c r="P468">
        <v>-1</v>
      </c>
      <c r="Q468">
        <v>390.73200000000003</v>
      </c>
      <c r="R468">
        <v>5</v>
      </c>
      <c r="S468">
        <v>-1</v>
      </c>
      <c r="T468">
        <v>3.04</v>
      </c>
      <c r="U468" t="str">
        <f>IFERROR(INDEX(Rosters!$C$2:$C$155,MATCH(B468,Rosters!$B$2:$B$155,0)),"NA")</f>
        <v>chad</v>
      </c>
      <c r="V468" t="str">
        <f t="shared" si="21"/>
        <v>chad6</v>
      </c>
      <c r="W468">
        <f>COUNTIFS(A$1:A468,A468)</f>
        <v>26</v>
      </c>
      <c r="X468" t="str">
        <f t="shared" si="22"/>
        <v>Broncos D/ST6</v>
      </c>
      <c r="Y468">
        <f>COUNTIF(V$1:V468,V468)</f>
        <v>1</v>
      </c>
      <c r="Z468" t="str">
        <f t="shared" si="23"/>
        <v>chad6-1</v>
      </c>
    </row>
    <row r="469" spans="1:26" x14ac:dyDescent="0.25">
      <c r="A469">
        <v>2</v>
      </c>
      <c r="B469" t="s">
        <v>432</v>
      </c>
      <c r="C469">
        <f>-0.31-8.83</f>
        <v>-9.14</v>
      </c>
      <c r="D469">
        <v>27.83</v>
      </c>
      <c r="E469">
        <v>1.56</v>
      </c>
      <c r="F469">
        <v>0.82</v>
      </c>
      <c r="G469">
        <v>0.62</v>
      </c>
      <c r="H469">
        <v>0</v>
      </c>
      <c r="I469">
        <v>0.1</v>
      </c>
      <c r="J469" t="s">
        <v>38</v>
      </c>
      <c r="K469">
        <v>8.83</v>
      </c>
      <c r="L469">
        <v>-0.31</v>
      </c>
      <c r="M469">
        <v>4.57</v>
      </c>
      <c r="N469">
        <v>20.884899999999998</v>
      </c>
      <c r="O469">
        <v>6</v>
      </c>
      <c r="P469">
        <v>-1</v>
      </c>
      <c r="Q469">
        <v>374.71600000000001</v>
      </c>
      <c r="R469">
        <v>5</v>
      </c>
      <c r="S469">
        <v>-1</v>
      </c>
      <c r="T469">
        <v>3.04</v>
      </c>
      <c r="U469" t="str">
        <f>IFERROR(INDEX(Rosters!$C$2:$C$155,MATCH(B469,Rosters!$B$2:$B$155,0)),"NA")</f>
        <v>NA</v>
      </c>
      <c r="V469" t="str">
        <f t="shared" si="21"/>
        <v>NA2</v>
      </c>
      <c r="W469">
        <f>COUNTIFS(A$1:A469,A469)</f>
        <v>30</v>
      </c>
      <c r="X469" t="str">
        <f t="shared" si="22"/>
        <v>Colts D/ST2</v>
      </c>
      <c r="Y469">
        <f>COUNTIF(V$1:V469,V469)</f>
        <v>20</v>
      </c>
      <c r="Z469" t="str">
        <f t="shared" si="23"/>
        <v>NA2-20</v>
      </c>
    </row>
    <row r="470" spans="1:26" x14ac:dyDescent="0.25">
      <c r="A470">
        <v>6</v>
      </c>
      <c r="B470" t="s">
        <v>434</v>
      </c>
      <c r="C470">
        <f>-0.1-9.42</f>
        <v>-9.52</v>
      </c>
      <c r="D470">
        <v>27.11</v>
      </c>
      <c r="E470">
        <v>1.42</v>
      </c>
      <c r="F470">
        <v>0.86</v>
      </c>
      <c r="G470">
        <v>0.48</v>
      </c>
      <c r="H470">
        <v>0.04</v>
      </c>
      <c r="I470">
        <v>0.14000000000000001</v>
      </c>
      <c r="J470" t="s">
        <v>66</v>
      </c>
      <c r="K470">
        <v>9.42</v>
      </c>
      <c r="L470">
        <v>-0.1</v>
      </c>
      <c r="M470">
        <v>4.76</v>
      </c>
      <c r="N470">
        <v>22.657599999999999</v>
      </c>
      <c r="O470">
        <v>6</v>
      </c>
      <c r="P470">
        <v>-1</v>
      </c>
      <c r="Q470">
        <v>370.97199999999998</v>
      </c>
      <c r="R470">
        <v>5</v>
      </c>
      <c r="S470">
        <v>-1</v>
      </c>
      <c r="T470">
        <v>3.02</v>
      </c>
      <c r="U470" t="str">
        <f>IFERROR(INDEX(Rosters!$C$2:$C$155,MATCH(B470,Rosters!$B$2:$B$155,0)),"NA")</f>
        <v>matty</v>
      </c>
      <c r="V470" t="str">
        <f t="shared" si="21"/>
        <v>matty6</v>
      </c>
      <c r="W470">
        <f>COUNTIFS(A$1:A470,A470)</f>
        <v>27</v>
      </c>
      <c r="X470" t="str">
        <f t="shared" si="22"/>
        <v>Browns D/ST6</v>
      </c>
      <c r="Y470">
        <f>COUNTIF(V$1:V470,V470)</f>
        <v>1</v>
      </c>
      <c r="Z470" t="str">
        <f t="shared" si="23"/>
        <v>matty6-1</v>
      </c>
    </row>
    <row r="471" spans="1:26" x14ac:dyDescent="0.25">
      <c r="A471">
        <v>2</v>
      </c>
      <c r="B471" t="s">
        <v>410</v>
      </c>
      <c r="C471">
        <f>-1.05-8.65</f>
        <v>-9.7000000000000011</v>
      </c>
      <c r="D471">
        <v>29.79</v>
      </c>
      <c r="E471">
        <v>1.4</v>
      </c>
      <c r="F471">
        <v>0.82</v>
      </c>
      <c r="G471">
        <v>0.62</v>
      </c>
      <c r="H471">
        <v>0.04</v>
      </c>
      <c r="I471">
        <v>0.1</v>
      </c>
      <c r="J471" t="s">
        <v>31</v>
      </c>
      <c r="K471">
        <v>8.65</v>
      </c>
      <c r="L471">
        <v>-1.05</v>
      </c>
      <c r="M471">
        <v>4.8499999999999996</v>
      </c>
      <c r="N471">
        <v>23.522500000000001</v>
      </c>
      <c r="O471">
        <v>6</v>
      </c>
      <c r="P471">
        <v>-1</v>
      </c>
      <c r="Q471">
        <v>384.90800000000002</v>
      </c>
      <c r="R471">
        <v>5</v>
      </c>
      <c r="S471">
        <v>-1</v>
      </c>
      <c r="T471">
        <v>2.96</v>
      </c>
      <c r="U471" t="str">
        <f>IFERROR(INDEX(Rosters!$C$2:$C$155,MATCH(B471,Rosters!$B$2:$B$155,0)),"NA")</f>
        <v>NA</v>
      </c>
      <c r="V471" t="str">
        <f t="shared" si="21"/>
        <v>NA2</v>
      </c>
      <c r="W471">
        <f>COUNTIFS(A$1:A471,A471)</f>
        <v>31</v>
      </c>
      <c r="X471" t="str">
        <f t="shared" si="22"/>
        <v>Chiefs D/ST2</v>
      </c>
      <c r="Y471">
        <f>COUNTIF(V$1:V471,V471)</f>
        <v>21</v>
      </c>
      <c r="Z471" t="str">
        <f t="shared" si="23"/>
        <v>NA2-21</v>
      </c>
    </row>
    <row r="472" spans="1:26" x14ac:dyDescent="0.25">
      <c r="A472">
        <v>14</v>
      </c>
      <c r="B472" t="s">
        <v>416</v>
      </c>
      <c r="C472">
        <f>-0.21-8.75</f>
        <v>-8.9600000000000009</v>
      </c>
      <c r="D472">
        <v>27.39</v>
      </c>
      <c r="E472">
        <v>2.06</v>
      </c>
      <c r="F472">
        <v>0.56000000000000005</v>
      </c>
      <c r="G472">
        <v>0.64</v>
      </c>
      <c r="H472">
        <v>0</v>
      </c>
      <c r="I472">
        <v>0.08</v>
      </c>
      <c r="J472" t="s">
        <v>52</v>
      </c>
      <c r="K472">
        <v>8.75</v>
      </c>
      <c r="L472">
        <v>-0.21</v>
      </c>
      <c r="M472">
        <v>4.4800000000000004</v>
      </c>
      <c r="N472">
        <v>20.070399999999999</v>
      </c>
      <c r="O472">
        <v>6</v>
      </c>
      <c r="P472">
        <v>-1</v>
      </c>
      <c r="Q472">
        <v>372.428</v>
      </c>
      <c r="R472">
        <v>5</v>
      </c>
      <c r="S472">
        <v>-1</v>
      </c>
      <c r="T472">
        <v>2.94</v>
      </c>
      <c r="U472" t="str">
        <f>IFERROR(INDEX(Rosters!$C$2:$C$155,MATCH(B472,Rosters!$B$2:$B$155,0)),"NA")</f>
        <v>lucas</v>
      </c>
      <c r="V472" t="str">
        <f t="shared" si="21"/>
        <v>lucas14</v>
      </c>
      <c r="W472">
        <f>COUNTIFS(A$1:A472,A472)</f>
        <v>28</v>
      </c>
      <c r="X472" t="str">
        <f t="shared" si="22"/>
        <v>Bears D/ST14</v>
      </c>
      <c r="Y472">
        <f>COUNTIF(V$1:V472,V472)</f>
        <v>2</v>
      </c>
      <c r="Z472" t="str">
        <f t="shared" si="23"/>
        <v>lucas14-2</v>
      </c>
    </row>
    <row r="473" spans="1:26" x14ac:dyDescent="0.25">
      <c r="A473">
        <v>7</v>
      </c>
      <c r="B473" t="s">
        <v>417</v>
      </c>
      <c r="C473">
        <f>-0.7-8.4</f>
        <v>-9.1</v>
      </c>
      <c r="D473">
        <v>30</v>
      </c>
      <c r="E473">
        <v>1.46</v>
      </c>
      <c r="F473">
        <v>0.76</v>
      </c>
      <c r="G473">
        <v>0.56000000000000005</v>
      </c>
      <c r="H473">
        <v>0</v>
      </c>
      <c r="I473">
        <v>0.14000000000000001</v>
      </c>
      <c r="J473" t="s">
        <v>77</v>
      </c>
      <c r="K473">
        <v>8.4</v>
      </c>
      <c r="L473">
        <v>-0.7</v>
      </c>
      <c r="M473">
        <v>4.55</v>
      </c>
      <c r="N473">
        <v>20.702500000000001</v>
      </c>
      <c r="O473">
        <v>6</v>
      </c>
      <c r="P473">
        <v>-1</v>
      </c>
      <c r="Q473">
        <v>386</v>
      </c>
      <c r="R473">
        <v>5</v>
      </c>
      <c r="S473">
        <v>-1</v>
      </c>
      <c r="T473">
        <v>2.94</v>
      </c>
      <c r="U473" t="str">
        <f>IFERROR(INDEX(Rosters!$C$2:$C$155,MATCH(B473,Rosters!$B$2:$B$155,0)),"NA")</f>
        <v>NA</v>
      </c>
      <c r="V473" t="str">
        <f t="shared" si="21"/>
        <v>NA7</v>
      </c>
      <c r="W473">
        <f>COUNTIFS(A$1:A473,A473)</f>
        <v>26</v>
      </c>
      <c r="X473" t="str">
        <f t="shared" si="22"/>
        <v>Bengals D/ST7</v>
      </c>
      <c r="Y473">
        <f>COUNTIF(V$1:V473,V473)</f>
        <v>16</v>
      </c>
      <c r="Z473" t="str">
        <f t="shared" si="23"/>
        <v>NA7-16</v>
      </c>
    </row>
    <row r="474" spans="1:26" x14ac:dyDescent="0.25">
      <c r="A474">
        <v>15</v>
      </c>
      <c r="B474" t="s">
        <v>421</v>
      </c>
      <c r="C474">
        <f>-1.54-8.9</f>
        <v>-10.440000000000001</v>
      </c>
      <c r="D474">
        <v>30.21</v>
      </c>
      <c r="E474">
        <v>1.74</v>
      </c>
      <c r="F474">
        <v>0.76</v>
      </c>
      <c r="G474">
        <v>0.54</v>
      </c>
      <c r="H474">
        <v>0</v>
      </c>
      <c r="I474">
        <v>0.1</v>
      </c>
      <c r="J474" t="s">
        <v>77</v>
      </c>
      <c r="K474">
        <v>8.9</v>
      </c>
      <c r="L474">
        <v>-1.54</v>
      </c>
      <c r="M474">
        <v>5.22</v>
      </c>
      <c r="N474">
        <v>27.2484</v>
      </c>
      <c r="O474">
        <v>6</v>
      </c>
      <c r="P474">
        <v>-1</v>
      </c>
      <c r="Q474">
        <v>387.09199999999998</v>
      </c>
      <c r="R474">
        <v>5</v>
      </c>
      <c r="S474">
        <v>-1</v>
      </c>
      <c r="T474">
        <v>2.94</v>
      </c>
      <c r="U474" t="str">
        <f>IFERROR(INDEX(Rosters!$C$2:$C$155,MATCH(B474,Rosters!$B$2:$B$155,0)),"NA")</f>
        <v>NA</v>
      </c>
      <c r="V474" t="str">
        <f t="shared" si="21"/>
        <v>NA15</v>
      </c>
      <c r="W474">
        <f>COUNTIFS(A$1:A474,A474)</f>
        <v>29</v>
      </c>
      <c r="X474" t="str">
        <f t="shared" si="22"/>
        <v>Chargers D/ST15</v>
      </c>
      <c r="Y474">
        <f>COUNTIF(V$1:V474,V474)</f>
        <v>19</v>
      </c>
      <c r="Z474" t="str">
        <f t="shared" si="23"/>
        <v>NA15-19</v>
      </c>
    </row>
    <row r="475" spans="1:26" x14ac:dyDescent="0.25">
      <c r="A475">
        <v>9</v>
      </c>
      <c r="B475" t="s">
        <v>429</v>
      </c>
      <c r="C475">
        <f>-0.41-8.17</f>
        <v>-8.58</v>
      </c>
      <c r="D475">
        <v>29.11</v>
      </c>
      <c r="E475">
        <v>1.82</v>
      </c>
      <c r="F475">
        <v>0.84</v>
      </c>
      <c r="G475">
        <v>0.36</v>
      </c>
      <c r="H475">
        <v>0</v>
      </c>
      <c r="I475">
        <v>0.12</v>
      </c>
      <c r="J475" t="s">
        <v>73</v>
      </c>
      <c r="K475">
        <v>8.17</v>
      </c>
      <c r="L475">
        <v>-0.41</v>
      </c>
      <c r="M475">
        <v>4.29</v>
      </c>
      <c r="N475">
        <v>18.4041</v>
      </c>
      <c r="O475">
        <v>6</v>
      </c>
      <c r="P475">
        <v>-1</v>
      </c>
      <c r="Q475">
        <v>381.37200000000001</v>
      </c>
      <c r="R475">
        <v>5</v>
      </c>
      <c r="S475">
        <v>-1</v>
      </c>
      <c r="T475">
        <v>2.94</v>
      </c>
      <c r="U475" t="str">
        <f>IFERROR(INDEX(Rosters!$C$2:$C$155,MATCH(B475,Rosters!$B$2:$B$155,0)),"NA")</f>
        <v>NA</v>
      </c>
      <c r="V475" t="str">
        <f t="shared" si="21"/>
        <v>NA9</v>
      </c>
      <c r="W475">
        <f>COUNTIFS(A$1:A475,A475)</f>
        <v>24</v>
      </c>
      <c r="X475" t="str">
        <f t="shared" si="22"/>
        <v>Redskins D/ST9</v>
      </c>
      <c r="Y475">
        <f>COUNTIF(V$1:V475,V475)</f>
        <v>15</v>
      </c>
      <c r="Z475" t="str">
        <f t="shared" si="23"/>
        <v>NA9-15</v>
      </c>
    </row>
    <row r="476" spans="1:26" x14ac:dyDescent="0.25">
      <c r="A476">
        <v>6</v>
      </c>
      <c r="B476" t="s">
        <v>426</v>
      </c>
      <c r="C476">
        <f>-0.13-8.41</f>
        <v>-8.5400000000000009</v>
      </c>
      <c r="D476">
        <v>28.2</v>
      </c>
      <c r="E476">
        <v>2.2799999999999998</v>
      </c>
      <c r="F476">
        <v>0.5</v>
      </c>
      <c r="G476">
        <v>0.6</v>
      </c>
      <c r="H476">
        <v>0.04</v>
      </c>
      <c r="I476">
        <v>0.06</v>
      </c>
      <c r="J476" t="s">
        <v>60</v>
      </c>
      <c r="K476">
        <v>8.41</v>
      </c>
      <c r="L476">
        <v>-0.13</v>
      </c>
      <c r="M476">
        <v>4.2699999999999996</v>
      </c>
      <c r="N476">
        <v>18.232900000000001</v>
      </c>
      <c r="O476">
        <v>6</v>
      </c>
      <c r="P476">
        <v>-1</v>
      </c>
      <c r="Q476">
        <v>376.64</v>
      </c>
      <c r="R476">
        <v>5</v>
      </c>
      <c r="S476">
        <v>-1</v>
      </c>
      <c r="T476">
        <v>2.92</v>
      </c>
      <c r="U476" t="str">
        <f>IFERROR(INDEX(Rosters!$C$2:$C$155,MATCH(B476,Rosters!$B$2:$B$155,0)),"NA")</f>
        <v>NA</v>
      </c>
      <c r="V476" t="str">
        <f t="shared" si="21"/>
        <v>NA6</v>
      </c>
      <c r="W476">
        <f>COUNTIFS(A$1:A476,A476)</f>
        <v>28</v>
      </c>
      <c r="X476" t="str">
        <f t="shared" si="22"/>
        <v>Cowboys D/ST6</v>
      </c>
      <c r="Y476">
        <f>COUNTIF(V$1:V476,V476)</f>
        <v>17</v>
      </c>
      <c r="Z476" t="str">
        <f t="shared" si="23"/>
        <v>NA6-17</v>
      </c>
    </row>
    <row r="477" spans="1:26" x14ac:dyDescent="0.25">
      <c r="A477">
        <v>7</v>
      </c>
      <c r="B477" t="s">
        <v>427</v>
      </c>
      <c r="C477">
        <f>-0.84-9.9</f>
        <v>-10.74</v>
      </c>
      <c r="D477">
        <v>27.34</v>
      </c>
      <c r="E477">
        <v>1.88</v>
      </c>
      <c r="F477">
        <v>0.62</v>
      </c>
      <c r="G477">
        <v>0.48</v>
      </c>
      <c r="H477">
        <v>0</v>
      </c>
      <c r="I477">
        <v>0.14000000000000001</v>
      </c>
      <c r="J477" t="s">
        <v>66</v>
      </c>
      <c r="K477">
        <v>9.9</v>
      </c>
      <c r="L477">
        <v>-0.84</v>
      </c>
      <c r="M477">
        <v>5.37</v>
      </c>
      <c r="N477">
        <v>28.8369</v>
      </c>
      <c r="O477">
        <v>6</v>
      </c>
      <c r="P477">
        <v>-1</v>
      </c>
      <c r="Q477">
        <v>372.16800000000001</v>
      </c>
      <c r="R477">
        <v>5</v>
      </c>
      <c r="S477">
        <v>-1</v>
      </c>
      <c r="T477">
        <v>2.92</v>
      </c>
      <c r="U477" t="str">
        <f>IFERROR(INDEX(Rosters!$C$2:$C$155,MATCH(B477,Rosters!$B$2:$B$155,0)),"NA")</f>
        <v>aj</v>
      </c>
      <c r="V477" t="str">
        <f t="shared" si="21"/>
        <v>aj7</v>
      </c>
      <c r="W477">
        <f>COUNTIFS(A$1:A477,A477)</f>
        <v>27</v>
      </c>
      <c r="X477" t="str">
        <f t="shared" si="22"/>
        <v>Titans D/ST7</v>
      </c>
      <c r="Y477">
        <f>COUNTIF(V$1:V477,V477)</f>
        <v>1</v>
      </c>
      <c r="Z477" t="str">
        <f t="shared" si="23"/>
        <v>aj7-1</v>
      </c>
    </row>
    <row r="478" spans="1:26" x14ac:dyDescent="0.25">
      <c r="A478">
        <v>12</v>
      </c>
      <c r="B478" t="s">
        <v>431</v>
      </c>
      <c r="C478">
        <f>-0.59-7.65</f>
        <v>-8.24</v>
      </c>
      <c r="D478">
        <v>29.97</v>
      </c>
      <c r="E478">
        <v>1.94</v>
      </c>
      <c r="F478">
        <v>0.5</v>
      </c>
      <c r="G478">
        <v>0.54</v>
      </c>
      <c r="H478">
        <v>0.02</v>
      </c>
      <c r="I478">
        <v>0.14000000000000001</v>
      </c>
      <c r="J478" t="s">
        <v>73</v>
      </c>
      <c r="K478">
        <v>7.65</v>
      </c>
      <c r="L478">
        <v>-0.59</v>
      </c>
      <c r="M478">
        <v>4.12</v>
      </c>
      <c r="N478">
        <v>16.974399999999999</v>
      </c>
      <c r="O478">
        <v>6</v>
      </c>
      <c r="P478">
        <v>-1</v>
      </c>
      <c r="Q478">
        <v>385.84399999999999</v>
      </c>
      <c r="R478">
        <v>5</v>
      </c>
      <c r="S478">
        <v>-1</v>
      </c>
      <c r="T478">
        <v>2.9</v>
      </c>
      <c r="U478" t="str">
        <f>IFERROR(INDEX(Rosters!$C$2:$C$155,MATCH(B478,Rosters!$B$2:$B$155,0)),"NA")</f>
        <v>NA</v>
      </c>
      <c r="V478" t="str">
        <f t="shared" si="21"/>
        <v>NA12</v>
      </c>
      <c r="W478">
        <f>COUNTIFS(A$1:A478,A478)</f>
        <v>30</v>
      </c>
      <c r="X478" t="str">
        <f t="shared" si="22"/>
        <v>Saints D/ST12</v>
      </c>
      <c r="Y478">
        <f>COUNTIF(V$1:V478,V478)</f>
        <v>20</v>
      </c>
      <c r="Z478" t="str">
        <f t="shared" si="23"/>
        <v>NA12-20</v>
      </c>
    </row>
    <row r="479" spans="1:26" x14ac:dyDescent="0.25">
      <c r="A479">
        <v>8</v>
      </c>
      <c r="B479" t="s">
        <v>406</v>
      </c>
      <c r="C479">
        <f>-0.05-7.89</f>
        <v>-7.9399999999999995</v>
      </c>
      <c r="D479">
        <v>28.97</v>
      </c>
      <c r="E479">
        <v>1.7</v>
      </c>
      <c r="F479">
        <v>0.72</v>
      </c>
      <c r="G479">
        <v>0.62</v>
      </c>
      <c r="H479">
        <v>0.02</v>
      </c>
      <c r="I479">
        <v>0.08</v>
      </c>
      <c r="J479" t="s">
        <v>72</v>
      </c>
      <c r="K479">
        <v>7.89</v>
      </c>
      <c r="L479">
        <v>-0.05</v>
      </c>
      <c r="M479">
        <v>3.97</v>
      </c>
      <c r="N479">
        <v>15.760899999999999</v>
      </c>
      <c r="O479">
        <v>6</v>
      </c>
      <c r="P479">
        <v>-1</v>
      </c>
      <c r="Q479">
        <v>380.64400000000001</v>
      </c>
      <c r="R479">
        <v>5</v>
      </c>
      <c r="S479">
        <v>-1</v>
      </c>
      <c r="T479">
        <v>2.9</v>
      </c>
      <c r="U479" t="str">
        <f>IFERROR(INDEX(Rosters!$C$2:$C$155,MATCH(B479,Rosters!$B$2:$B$155,0)),"NA")</f>
        <v>seth</v>
      </c>
      <c r="V479" t="str">
        <f t="shared" si="21"/>
        <v>seth8</v>
      </c>
      <c r="W479">
        <f>COUNTIFS(A$1:A479,A479)</f>
        <v>26</v>
      </c>
      <c r="X479" t="str">
        <f t="shared" si="22"/>
        <v>Vikings D/ST8</v>
      </c>
      <c r="Y479">
        <f>COUNTIF(V$1:V479,V479)</f>
        <v>1</v>
      </c>
      <c r="Z479" t="str">
        <f t="shared" si="23"/>
        <v>seth8-1</v>
      </c>
    </row>
    <row r="480" spans="1:26" x14ac:dyDescent="0.25">
      <c r="A480">
        <v>16</v>
      </c>
      <c r="B480" t="s">
        <v>409</v>
      </c>
      <c r="C480">
        <f>-0.18-8.54</f>
        <v>-8.7199999999999989</v>
      </c>
      <c r="D480">
        <v>27.77</v>
      </c>
      <c r="E480">
        <v>2.2799999999999998</v>
      </c>
      <c r="F480">
        <v>0.56000000000000005</v>
      </c>
      <c r="G480">
        <v>0.48</v>
      </c>
      <c r="H480">
        <v>0.02</v>
      </c>
      <c r="I480">
        <v>0.08</v>
      </c>
      <c r="J480" t="s">
        <v>52</v>
      </c>
      <c r="K480">
        <v>8.5399999999999991</v>
      </c>
      <c r="L480">
        <v>-0.18</v>
      </c>
      <c r="M480">
        <v>4.3600000000000003</v>
      </c>
      <c r="N480">
        <v>19.009599999999999</v>
      </c>
      <c r="O480">
        <v>6</v>
      </c>
      <c r="P480">
        <v>-1</v>
      </c>
      <c r="Q480">
        <v>374.404</v>
      </c>
      <c r="R480">
        <v>5</v>
      </c>
      <c r="S480">
        <v>-1</v>
      </c>
      <c r="T480">
        <v>2.88</v>
      </c>
      <c r="U480" t="str">
        <f>IFERROR(INDEX(Rosters!$C$2:$C$155,MATCH(B480,Rosters!$B$2:$B$155,0)),"NA")</f>
        <v>NA</v>
      </c>
      <c r="V480" t="str">
        <f t="shared" si="21"/>
        <v>NA16</v>
      </c>
      <c r="W480">
        <f>COUNTIFS(A$1:A480,A480)</f>
        <v>29</v>
      </c>
      <c r="X480" t="str">
        <f t="shared" si="22"/>
        <v>Cardinals D/ST16</v>
      </c>
      <c r="Y480">
        <f>COUNTIF(V$1:V480,V480)</f>
        <v>18</v>
      </c>
      <c r="Z480" t="str">
        <f t="shared" si="23"/>
        <v>NA16-18</v>
      </c>
    </row>
    <row r="481" spans="1:26" x14ac:dyDescent="0.25">
      <c r="A481">
        <v>8</v>
      </c>
      <c r="B481" t="s">
        <v>432</v>
      </c>
      <c r="C481">
        <f>-0.15-8.55</f>
        <v>-8.7000000000000011</v>
      </c>
      <c r="D481">
        <v>27.58</v>
      </c>
      <c r="E481">
        <v>1.54</v>
      </c>
      <c r="F481">
        <v>0.64</v>
      </c>
      <c r="G481">
        <v>0.52</v>
      </c>
      <c r="H481">
        <v>0.02</v>
      </c>
      <c r="I481">
        <v>0.16</v>
      </c>
      <c r="J481" t="s">
        <v>50</v>
      </c>
      <c r="K481">
        <v>8.5500000000000007</v>
      </c>
      <c r="L481">
        <v>-0.15</v>
      </c>
      <c r="M481">
        <v>4.3499999999999996</v>
      </c>
      <c r="N481">
        <v>18.922499999999999</v>
      </c>
      <c r="O481">
        <v>6</v>
      </c>
      <c r="P481">
        <v>-1</v>
      </c>
      <c r="Q481">
        <v>373.416</v>
      </c>
      <c r="R481">
        <v>5</v>
      </c>
      <c r="S481">
        <v>-1</v>
      </c>
      <c r="T481">
        <v>2.86</v>
      </c>
      <c r="U481" t="str">
        <f>IFERROR(INDEX(Rosters!$C$2:$C$155,MATCH(B481,Rosters!$B$2:$B$155,0)),"NA")</f>
        <v>NA</v>
      </c>
      <c r="V481" t="str">
        <f t="shared" si="21"/>
        <v>NA8</v>
      </c>
      <c r="W481">
        <f>COUNTIFS(A$1:A481,A481)</f>
        <v>27</v>
      </c>
      <c r="X481" t="str">
        <f t="shared" si="22"/>
        <v>Colts D/ST8</v>
      </c>
      <c r="Y481">
        <f>COUNTIF(V$1:V481,V481)</f>
        <v>17</v>
      </c>
      <c r="Z481" t="str">
        <f t="shared" si="23"/>
        <v>NA8-17</v>
      </c>
    </row>
    <row r="482" spans="1:26" x14ac:dyDescent="0.25">
      <c r="A482">
        <v>14</v>
      </c>
      <c r="B482" t="s">
        <v>427</v>
      </c>
      <c r="C482">
        <f>-0.53-9.29</f>
        <v>-9.8199999999999985</v>
      </c>
      <c r="D482">
        <v>26.65</v>
      </c>
      <c r="E482">
        <v>1.82</v>
      </c>
      <c r="F482">
        <v>0.62</v>
      </c>
      <c r="G482">
        <v>0.6</v>
      </c>
      <c r="H482">
        <v>0</v>
      </c>
      <c r="I482">
        <v>0.1</v>
      </c>
      <c r="J482" t="s">
        <v>60</v>
      </c>
      <c r="K482">
        <v>9.2899999999999991</v>
      </c>
      <c r="L482">
        <v>-0.53</v>
      </c>
      <c r="M482">
        <v>4.91</v>
      </c>
      <c r="N482">
        <v>24.1081</v>
      </c>
      <c r="O482">
        <v>6</v>
      </c>
      <c r="P482">
        <v>-1</v>
      </c>
      <c r="Q482">
        <v>368.58</v>
      </c>
      <c r="R482">
        <v>5</v>
      </c>
      <c r="S482">
        <v>-1</v>
      </c>
      <c r="T482">
        <v>2.86</v>
      </c>
      <c r="U482" t="str">
        <f>IFERROR(INDEX(Rosters!$C$2:$C$155,MATCH(B482,Rosters!$B$2:$B$155,0)),"NA")</f>
        <v>aj</v>
      </c>
      <c r="V482" t="str">
        <f t="shared" si="21"/>
        <v>aj14</v>
      </c>
      <c r="W482">
        <f>COUNTIFS(A$1:A482,A482)</f>
        <v>29</v>
      </c>
      <c r="X482" t="str">
        <f t="shared" si="22"/>
        <v>Titans D/ST14</v>
      </c>
      <c r="Y482">
        <f>COUNTIF(V$1:V482,V482)</f>
        <v>1</v>
      </c>
      <c r="Z482" t="str">
        <f t="shared" si="23"/>
        <v>aj14-1</v>
      </c>
    </row>
    <row r="483" spans="1:26" x14ac:dyDescent="0.25">
      <c r="A483">
        <v>13</v>
      </c>
      <c r="B483" t="s">
        <v>406</v>
      </c>
      <c r="C483">
        <f>-0.16-8.84</f>
        <v>-9</v>
      </c>
      <c r="D483">
        <v>26.8</v>
      </c>
      <c r="E483">
        <v>1.86</v>
      </c>
      <c r="F483">
        <v>0.7</v>
      </c>
      <c r="G483">
        <v>0.56000000000000005</v>
      </c>
      <c r="H483">
        <v>0</v>
      </c>
      <c r="I483">
        <v>0.08</v>
      </c>
      <c r="J483" t="s">
        <v>28</v>
      </c>
      <c r="K483">
        <v>8.84</v>
      </c>
      <c r="L483">
        <v>-0.16</v>
      </c>
      <c r="M483">
        <v>4.5</v>
      </c>
      <c r="N483">
        <v>20.25</v>
      </c>
      <c r="O483">
        <v>6</v>
      </c>
      <c r="P483">
        <v>-1</v>
      </c>
      <c r="Q483">
        <v>369.36</v>
      </c>
      <c r="R483">
        <v>5</v>
      </c>
      <c r="S483">
        <v>-1</v>
      </c>
      <c r="T483">
        <v>2.86</v>
      </c>
      <c r="U483" t="str">
        <f>IFERROR(INDEX(Rosters!$C$2:$C$155,MATCH(B483,Rosters!$B$2:$B$155,0)),"NA")</f>
        <v>seth</v>
      </c>
      <c r="V483" t="str">
        <f t="shared" si="21"/>
        <v>seth13</v>
      </c>
      <c r="W483">
        <f>COUNTIFS(A$1:A483,A483)</f>
        <v>29</v>
      </c>
      <c r="X483" t="str">
        <f t="shared" si="22"/>
        <v>Vikings D/ST13</v>
      </c>
      <c r="Y483">
        <f>COUNTIF(V$1:V483,V483)</f>
        <v>1</v>
      </c>
      <c r="Z483" t="str">
        <f t="shared" si="23"/>
        <v>seth13-1</v>
      </c>
    </row>
    <row r="484" spans="1:26" x14ac:dyDescent="0.25">
      <c r="A484">
        <v>15</v>
      </c>
      <c r="B484" t="s">
        <v>410</v>
      </c>
      <c r="C484">
        <f>-0.98-7.36</f>
        <v>-8.34</v>
      </c>
      <c r="D484">
        <v>31.5</v>
      </c>
      <c r="E484">
        <v>1.42</v>
      </c>
      <c r="F484">
        <v>0.72</v>
      </c>
      <c r="G484">
        <v>0.64</v>
      </c>
      <c r="H484">
        <v>0</v>
      </c>
      <c r="I484">
        <v>0.12</v>
      </c>
      <c r="J484" t="s">
        <v>66</v>
      </c>
      <c r="K484">
        <v>7.36</v>
      </c>
      <c r="L484">
        <v>-0.98</v>
      </c>
      <c r="M484">
        <v>4.17</v>
      </c>
      <c r="N484">
        <v>17.3889</v>
      </c>
      <c r="O484">
        <v>6</v>
      </c>
      <c r="P484">
        <v>-1</v>
      </c>
      <c r="Q484">
        <v>393.8</v>
      </c>
      <c r="R484">
        <v>5</v>
      </c>
      <c r="S484">
        <v>-1</v>
      </c>
      <c r="T484">
        <v>2.86</v>
      </c>
      <c r="U484" t="str">
        <f>IFERROR(INDEX(Rosters!$C$2:$C$155,MATCH(B484,Rosters!$B$2:$B$155,0)),"NA")</f>
        <v>NA</v>
      </c>
      <c r="V484" t="str">
        <f t="shared" si="21"/>
        <v>NA15</v>
      </c>
      <c r="W484">
        <f>COUNTIFS(A$1:A484,A484)</f>
        <v>30</v>
      </c>
      <c r="X484" t="str">
        <f t="shared" si="22"/>
        <v>Chiefs D/ST15</v>
      </c>
      <c r="Y484">
        <f>COUNTIF(V$1:V484,V484)</f>
        <v>20</v>
      </c>
      <c r="Z484" t="str">
        <f t="shared" si="23"/>
        <v>NA15-20</v>
      </c>
    </row>
    <row r="485" spans="1:26" x14ac:dyDescent="0.25">
      <c r="A485">
        <v>14</v>
      </c>
      <c r="B485" t="s">
        <v>425</v>
      </c>
      <c r="C485">
        <f>-0.12-7.8</f>
        <v>-7.92</v>
      </c>
      <c r="D485">
        <v>28.59</v>
      </c>
      <c r="E485">
        <v>1.94</v>
      </c>
      <c r="F485">
        <v>0.5</v>
      </c>
      <c r="G485">
        <v>0.57999999999999996</v>
      </c>
      <c r="H485">
        <v>0.02</v>
      </c>
      <c r="I485">
        <v>0.12</v>
      </c>
      <c r="J485" t="s">
        <v>73</v>
      </c>
      <c r="K485">
        <v>7.8</v>
      </c>
      <c r="L485">
        <v>-0.12</v>
      </c>
      <c r="M485">
        <v>3.96</v>
      </c>
      <c r="N485">
        <v>15.6816</v>
      </c>
      <c r="O485">
        <v>6</v>
      </c>
      <c r="P485">
        <v>-1</v>
      </c>
      <c r="Q485">
        <v>378.66800000000001</v>
      </c>
      <c r="R485">
        <v>5</v>
      </c>
      <c r="S485">
        <v>-1</v>
      </c>
      <c r="T485">
        <v>2.86</v>
      </c>
      <c r="U485" t="str">
        <f>IFERROR(INDEX(Rosters!$C$2:$C$155,MATCH(B485,Rosters!$B$2:$B$155,0)),"NA")</f>
        <v>NA</v>
      </c>
      <c r="V485" t="str">
        <f t="shared" si="21"/>
        <v>NA14</v>
      </c>
      <c r="W485">
        <f>COUNTIFS(A$1:A485,A485)</f>
        <v>30</v>
      </c>
      <c r="X485" t="str">
        <f t="shared" si="22"/>
        <v>Packers D/ST14</v>
      </c>
      <c r="Y485">
        <f>COUNTIF(V$1:V485,V485)</f>
        <v>19</v>
      </c>
      <c r="Z485" t="str">
        <f t="shared" si="23"/>
        <v>NA14-19</v>
      </c>
    </row>
    <row r="486" spans="1:26" x14ac:dyDescent="0.25">
      <c r="A486">
        <v>1</v>
      </c>
      <c r="B486" t="s">
        <v>436</v>
      </c>
      <c r="C486">
        <f>-0.12-8.04</f>
        <v>-8.1599999999999984</v>
      </c>
      <c r="D486">
        <v>28.39</v>
      </c>
      <c r="E486">
        <v>1.66</v>
      </c>
      <c r="F486">
        <v>0.64</v>
      </c>
      <c r="G486">
        <v>0.68</v>
      </c>
      <c r="H486">
        <v>0.02</v>
      </c>
      <c r="I486">
        <v>0.08</v>
      </c>
      <c r="J486" t="s">
        <v>29</v>
      </c>
      <c r="K486">
        <v>8.0399999999999991</v>
      </c>
      <c r="L486">
        <v>-0.12</v>
      </c>
      <c r="M486">
        <v>4.08</v>
      </c>
      <c r="N486">
        <v>16.6464</v>
      </c>
      <c r="O486">
        <v>6</v>
      </c>
      <c r="P486">
        <v>-1</v>
      </c>
      <c r="Q486">
        <v>377.62799999999999</v>
      </c>
      <c r="R486">
        <v>5</v>
      </c>
      <c r="S486">
        <v>-1</v>
      </c>
      <c r="T486">
        <v>2.82</v>
      </c>
      <c r="U486" t="str">
        <f>IFERROR(INDEX(Rosters!$C$2:$C$155,MATCH(B486,Rosters!$B$2:$B$155,0)),"NA")</f>
        <v>NA</v>
      </c>
      <c r="V486" t="str">
        <f t="shared" si="21"/>
        <v>NA1</v>
      </c>
      <c r="W486">
        <f>COUNTIFS(A$1:A486,A486)</f>
        <v>29</v>
      </c>
      <c r="X486" t="str">
        <f t="shared" si="22"/>
        <v>49ers D/ST1</v>
      </c>
      <c r="Y486">
        <f>COUNTIF(V$1:V486,V486)</f>
        <v>19</v>
      </c>
      <c r="Z486" t="str">
        <f t="shared" si="23"/>
        <v>NA1-19</v>
      </c>
    </row>
    <row r="487" spans="1:26" x14ac:dyDescent="0.25">
      <c r="A487">
        <v>16</v>
      </c>
      <c r="B487" t="s">
        <v>424</v>
      </c>
      <c r="C487">
        <f>-0.16-8.76</f>
        <v>-8.92</v>
      </c>
      <c r="D487">
        <v>26.87</v>
      </c>
      <c r="E487">
        <v>1.8</v>
      </c>
      <c r="F487">
        <v>0.75</v>
      </c>
      <c r="G487">
        <v>0.5</v>
      </c>
      <c r="H487">
        <v>0.08</v>
      </c>
      <c r="I487">
        <v>0.06</v>
      </c>
      <c r="J487" t="s">
        <v>72</v>
      </c>
      <c r="K487">
        <v>8.76</v>
      </c>
      <c r="L487">
        <v>-0.16</v>
      </c>
      <c r="M487">
        <v>4.46</v>
      </c>
      <c r="N487">
        <v>19.8916</v>
      </c>
      <c r="O487">
        <v>6</v>
      </c>
      <c r="P487">
        <v>-1</v>
      </c>
      <c r="Q487">
        <v>369.72399999999999</v>
      </c>
      <c r="R487">
        <v>5</v>
      </c>
      <c r="S487">
        <v>-1</v>
      </c>
      <c r="T487">
        <v>2.82</v>
      </c>
      <c r="U487" t="str">
        <f>IFERROR(INDEX(Rosters!$C$2:$C$155,MATCH(B487,Rosters!$B$2:$B$155,0)),"NA")</f>
        <v>NA</v>
      </c>
      <c r="V487" t="str">
        <f t="shared" si="21"/>
        <v>NA16</v>
      </c>
      <c r="W487">
        <f>COUNTIFS(A$1:A487,A487)</f>
        <v>30</v>
      </c>
      <c r="X487" t="str">
        <f t="shared" si="22"/>
        <v>Steelers D/ST16</v>
      </c>
      <c r="Y487">
        <f>COUNTIF(V$1:V487,V487)</f>
        <v>19</v>
      </c>
      <c r="Z487" t="str">
        <f t="shared" si="23"/>
        <v>NA16-19</v>
      </c>
    </row>
    <row r="488" spans="1:26" x14ac:dyDescent="0.25">
      <c r="A488">
        <v>6</v>
      </c>
      <c r="B488" t="s">
        <v>428</v>
      </c>
      <c r="C488">
        <f>-0.59-8.27</f>
        <v>-8.86</v>
      </c>
      <c r="D488">
        <v>29.88</v>
      </c>
      <c r="E488">
        <v>1.66</v>
      </c>
      <c r="F488">
        <v>0.57999999999999996</v>
      </c>
      <c r="G488">
        <v>0.76</v>
      </c>
      <c r="H488">
        <v>0.04</v>
      </c>
      <c r="I488">
        <v>0.06</v>
      </c>
      <c r="J488" t="s">
        <v>73</v>
      </c>
      <c r="K488">
        <v>8.27</v>
      </c>
      <c r="L488">
        <v>-0.59</v>
      </c>
      <c r="M488">
        <v>4.43</v>
      </c>
      <c r="N488">
        <v>19.6249</v>
      </c>
      <c r="O488">
        <v>6</v>
      </c>
      <c r="P488">
        <v>-1</v>
      </c>
      <c r="Q488">
        <v>385.37599999999998</v>
      </c>
      <c r="R488">
        <v>5</v>
      </c>
      <c r="S488">
        <v>-1</v>
      </c>
      <c r="T488">
        <v>2.78</v>
      </c>
      <c r="U488" t="str">
        <f>IFERROR(INDEX(Rosters!$C$2:$C$155,MATCH(B488,Rosters!$B$2:$B$155,0)),"NA")</f>
        <v>NA</v>
      </c>
      <c r="V488" t="str">
        <f t="shared" si="21"/>
        <v>NA6</v>
      </c>
      <c r="W488">
        <f>COUNTIFS(A$1:A488,A488)</f>
        <v>29</v>
      </c>
      <c r="X488" t="str">
        <f t="shared" si="22"/>
        <v>Buccaneers D/ST6</v>
      </c>
      <c r="Y488">
        <f>COUNTIF(V$1:V488,V488)</f>
        <v>18</v>
      </c>
      <c r="Z488" t="str">
        <f t="shared" si="23"/>
        <v>NA6-18</v>
      </c>
    </row>
    <row r="489" spans="1:26" x14ac:dyDescent="0.25">
      <c r="A489">
        <v>17</v>
      </c>
      <c r="B489" t="s">
        <v>428</v>
      </c>
      <c r="C489">
        <f>-0.59-8.27</f>
        <v>-8.86</v>
      </c>
      <c r="D489">
        <v>29.88</v>
      </c>
      <c r="E489">
        <v>1.66</v>
      </c>
      <c r="F489">
        <v>0.57999999999999996</v>
      </c>
      <c r="G489">
        <v>0.76</v>
      </c>
      <c r="H489">
        <v>0.04</v>
      </c>
      <c r="I489">
        <v>0.06</v>
      </c>
      <c r="J489" t="s">
        <v>73</v>
      </c>
      <c r="K489">
        <v>8.27</v>
      </c>
      <c r="L489">
        <v>-0.59</v>
      </c>
      <c r="M489">
        <v>4.43</v>
      </c>
      <c r="N489">
        <v>19.6249</v>
      </c>
      <c r="O489">
        <v>6</v>
      </c>
      <c r="P489">
        <v>-1</v>
      </c>
      <c r="Q489">
        <v>385.37599999999998</v>
      </c>
      <c r="R489">
        <v>5</v>
      </c>
      <c r="S489">
        <v>-1</v>
      </c>
      <c r="T489">
        <v>2.78</v>
      </c>
      <c r="U489" t="str">
        <f>IFERROR(INDEX(Rosters!$C$2:$C$155,MATCH(B489,Rosters!$B$2:$B$155,0)),"NA")</f>
        <v>NA</v>
      </c>
      <c r="V489" t="str">
        <f t="shared" si="21"/>
        <v>NA17</v>
      </c>
      <c r="W489">
        <f>COUNTIFS(A$1:A489,A489)</f>
        <v>29</v>
      </c>
      <c r="X489" t="str">
        <f t="shared" si="22"/>
        <v>Buccaneers D/ST17</v>
      </c>
      <c r="Y489">
        <f>COUNTIF(V$1:V489,V489)</f>
        <v>19</v>
      </c>
      <c r="Z489" t="str">
        <f t="shared" si="23"/>
        <v>NA17-19</v>
      </c>
    </row>
    <row r="490" spans="1:26" x14ac:dyDescent="0.25">
      <c r="A490">
        <v>15</v>
      </c>
      <c r="B490" t="s">
        <v>413</v>
      </c>
      <c r="C490">
        <f>-0.73-8.61</f>
        <v>-9.34</v>
      </c>
      <c r="D490">
        <v>27.52</v>
      </c>
      <c r="E490">
        <v>1.78</v>
      </c>
      <c r="F490">
        <v>0.78</v>
      </c>
      <c r="G490">
        <v>0.5</v>
      </c>
      <c r="H490">
        <v>0.02</v>
      </c>
      <c r="I490">
        <v>0.06</v>
      </c>
      <c r="J490" t="s">
        <v>72</v>
      </c>
      <c r="K490">
        <v>8.61</v>
      </c>
      <c r="L490">
        <v>-0.73</v>
      </c>
      <c r="M490">
        <v>4.67</v>
      </c>
      <c r="N490">
        <v>21.808900000000001</v>
      </c>
      <c r="O490">
        <v>6</v>
      </c>
      <c r="P490">
        <v>-1</v>
      </c>
      <c r="Q490">
        <v>373.10399999999998</v>
      </c>
      <c r="R490">
        <v>5</v>
      </c>
      <c r="S490">
        <v>-1</v>
      </c>
      <c r="T490">
        <v>2.74</v>
      </c>
      <c r="U490" t="str">
        <f>IFERROR(INDEX(Rosters!$C$2:$C$155,MATCH(B490,Rosters!$B$2:$B$155,0)),"NA")</f>
        <v>cory</v>
      </c>
      <c r="V490" t="str">
        <f t="shared" si="21"/>
        <v>cory15</v>
      </c>
      <c r="W490">
        <f>COUNTIFS(A$1:A490,A490)</f>
        <v>31</v>
      </c>
      <c r="X490" t="str">
        <f t="shared" si="22"/>
        <v>Panthers D/ST15</v>
      </c>
      <c r="Y490">
        <f>COUNTIF(V$1:V490,V490)</f>
        <v>1</v>
      </c>
      <c r="Z490" t="str">
        <f t="shared" si="23"/>
        <v>cory15-1</v>
      </c>
    </row>
    <row r="491" spans="1:26" x14ac:dyDescent="0.25">
      <c r="A491">
        <v>17</v>
      </c>
      <c r="B491" t="s">
        <v>413</v>
      </c>
      <c r="C491">
        <f>-0.73-8.61</f>
        <v>-9.34</v>
      </c>
      <c r="D491">
        <v>27.52</v>
      </c>
      <c r="E491">
        <v>1.78</v>
      </c>
      <c r="F491">
        <v>0.78</v>
      </c>
      <c r="G491">
        <v>0.5</v>
      </c>
      <c r="H491">
        <v>0.02</v>
      </c>
      <c r="I491">
        <v>0.06</v>
      </c>
      <c r="J491" t="s">
        <v>72</v>
      </c>
      <c r="K491">
        <v>8.61</v>
      </c>
      <c r="L491">
        <v>-0.73</v>
      </c>
      <c r="M491">
        <v>4.67</v>
      </c>
      <c r="N491">
        <v>21.808900000000001</v>
      </c>
      <c r="O491">
        <v>6</v>
      </c>
      <c r="P491">
        <v>-1</v>
      </c>
      <c r="Q491">
        <v>373.10399999999998</v>
      </c>
      <c r="R491">
        <v>5</v>
      </c>
      <c r="S491">
        <v>-1</v>
      </c>
      <c r="T491">
        <v>2.74</v>
      </c>
      <c r="U491" t="str">
        <f>IFERROR(INDEX(Rosters!$C$2:$C$155,MATCH(B491,Rosters!$B$2:$B$155,0)),"NA")</f>
        <v>cory</v>
      </c>
      <c r="V491" t="str">
        <f t="shared" si="21"/>
        <v>cory17</v>
      </c>
      <c r="W491">
        <f>COUNTIFS(A$1:A491,A491)</f>
        <v>30</v>
      </c>
      <c r="X491" t="str">
        <f t="shared" si="22"/>
        <v>Panthers D/ST17</v>
      </c>
      <c r="Y491">
        <f>COUNTIF(V$1:V491,V491)</f>
        <v>1</v>
      </c>
      <c r="Z491" t="str">
        <f t="shared" si="23"/>
        <v>cory17-1</v>
      </c>
    </row>
    <row r="492" spans="1:26" x14ac:dyDescent="0.25">
      <c r="A492">
        <v>16</v>
      </c>
      <c r="B492" t="s">
        <v>428</v>
      </c>
      <c r="C492">
        <f>-0.21-7.59</f>
        <v>-7.8</v>
      </c>
      <c r="D492">
        <v>30.21</v>
      </c>
      <c r="E492">
        <v>1.9</v>
      </c>
      <c r="F492">
        <v>0.6</v>
      </c>
      <c r="G492">
        <v>0.38</v>
      </c>
      <c r="H492">
        <v>0.08</v>
      </c>
      <c r="I492">
        <v>0.12</v>
      </c>
      <c r="J492" t="s">
        <v>19</v>
      </c>
      <c r="K492">
        <v>7.59</v>
      </c>
      <c r="L492">
        <v>-0.21</v>
      </c>
      <c r="M492">
        <v>3.9</v>
      </c>
      <c r="N492">
        <v>15.21</v>
      </c>
      <c r="O492">
        <v>6</v>
      </c>
      <c r="P492">
        <v>-1</v>
      </c>
      <c r="Q492">
        <v>387.09199999999998</v>
      </c>
      <c r="R492">
        <v>5</v>
      </c>
      <c r="S492">
        <v>-1</v>
      </c>
      <c r="T492" s="66">
        <v>2.74</v>
      </c>
      <c r="U492" t="str">
        <f>IFERROR(INDEX(Rosters!$C$2:$C$155,MATCH(B492,Rosters!$B$2:$B$155,0)),"NA")</f>
        <v>NA</v>
      </c>
      <c r="V492" t="str">
        <f t="shared" si="21"/>
        <v>NA16</v>
      </c>
      <c r="W492">
        <f>COUNTIFS(A$1:A492,A492)</f>
        <v>31</v>
      </c>
      <c r="X492" t="str">
        <f t="shared" si="22"/>
        <v>Buccaneers D/ST16</v>
      </c>
      <c r="Y492">
        <f>COUNTIF(V$1:V492,V492)</f>
        <v>20</v>
      </c>
      <c r="Z492" t="str">
        <f t="shared" si="23"/>
        <v>NA16-20</v>
      </c>
    </row>
    <row r="493" spans="1:26" x14ac:dyDescent="0.25">
      <c r="A493">
        <v>10</v>
      </c>
      <c r="B493" t="s">
        <v>427</v>
      </c>
      <c r="C493">
        <f>-1.49-9.09</f>
        <v>-10.58</v>
      </c>
      <c r="D493">
        <v>28.46</v>
      </c>
      <c r="E493">
        <v>1.9</v>
      </c>
      <c r="F493">
        <v>0.54</v>
      </c>
      <c r="G493">
        <v>0.48</v>
      </c>
      <c r="H493">
        <v>0.02</v>
      </c>
      <c r="I493">
        <v>0.12</v>
      </c>
      <c r="J493" t="s">
        <v>28</v>
      </c>
      <c r="K493">
        <v>9.09</v>
      </c>
      <c r="L493">
        <v>-1.49</v>
      </c>
      <c r="M493">
        <v>5.29</v>
      </c>
      <c r="N493">
        <v>27.984100000000002</v>
      </c>
      <c r="O493">
        <v>6</v>
      </c>
      <c r="P493">
        <v>-1</v>
      </c>
      <c r="Q493">
        <v>377.99200000000002</v>
      </c>
      <c r="R493">
        <v>5</v>
      </c>
      <c r="S493">
        <v>-1</v>
      </c>
      <c r="T493">
        <v>2.7</v>
      </c>
      <c r="U493" t="str">
        <f>IFERROR(INDEX(Rosters!$C$2:$C$155,MATCH(B493,Rosters!$B$2:$B$155,0)),"NA")</f>
        <v>aj</v>
      </c>
      <c r="V493" t="str">
        <f t="shared" si="21"/>
        <v>aj10</v>
      </c>
      <c r="W493">
        <f>COUNTIFS(A$1:A493,A493)</f>
        <v>28</v>
      </c>
      <c r="X493" t="str">
        <f t="shared" si="22"/>
        <v>Titans D/ST10</v>
      </c>
      <c r="Y493">
        <f>COUNTIF(V$1:V493,V493)</f>
        <v>1</v>
      </c>
      <c r="Z493" t="str">
        <f t="shared" si="23"/>
        <v>aj10-1</v>
      </c>
    </row>
    <row r="494" spans="1:26" x14ac:dyDescent="0.25">
      <c r="A494">
        <v>1</v>
      </c>
      <c r="B494" t="s">
        <v>428</v>
      </c>
      <c r="C494">
        <f>-1.98-8.48</f>
        <v>-10.46</v>
      </c>
      <c r="D494">
        <v>31.37</v>
      </c>
      <c r="E494">
        <v>1.42</v>
      </c>
      <c r="F494">
        <v>0.62</v>
      </c>
      <c r="G494">
        <v>0.54</v>
      </c>
      <c r="H494">
        <v>0.02</v>
      </c>
      <c r="I494">
        <v>0.14000000000000001</v>
      </c>
      <c r="J494" t="s">
        <v>72</v>
      </c>
      <c r="K494">
        <v>8.48</v>
      </c>
      <c r="L494">
        <v>-1.98</v>
      </c>
      <c r="M494">
        <v>5.23</v>
      </c>
      <c r="N494">
        <v>27.352900000000002</v>
      </c>
      <c r="O494">
        <v>6</v>
      </c>
      <c r="P494">
        <v>-1</v>
      </c>
      <c r="Q494">
        <v>393.12400000000002</v>
      </c>
      <c r="R494">
        <v>5</v>
      </c>
      <c r="S494">
        <v>-1</v>
      </c>
      <c r="T494">
        <v>2.62</v>
      </c>
      <c r="U494" t="str">
        <f>IFERROR(INDEX(Rosters!$C$2:$C$155,MATCH(B494,Rosters!$B$2:$B$155,0)),"NA")</f>
        <v>NA</v>
      </c>
      <c r="V494" t="str">
        <f t="shared" si="21"/>
        <v>NA1</v>
      </c>
      <c r="W494">
        <f>COUNTIFS(A$1:A494,A494)</f>
        <v>30</v>
      </c>
      <c r="X494" t="str">
        <f t="shared" si="22"/>
        <v>Buccaneers D/ST1</v>
      </c>
      <c r="Y494">
        <f>COUNTIF(V$1:V494,V494)</f>
        <v>20</v>
      </c>
      <c r="Z494" t="str">
        <f t="shared" si="23"/>
        <v>NA1-20</v>
      </c>
    </row>
    <row r="495" spans="1:26" x14ac:dyDescent="0.25">
      <c r="A495">
        <v>15</v>
      </c>
      <c r="B495" t="s">
        <v>424</v>
      </c>
      <c r="C495">
        <f>-0.24-8.02</f>
        <v>-8.26</v>
      </c>
      <c r="D495">
        <v>27.01</v>
      </c>
      <c r="E495">
        <v>1.86</v>
      </c>
      <c r="F495">
        <v>0.62</v>
      </c>
      <c r="G495">
        <v>0.56000000000000005</v>
      </c>
      <c r="H495">
        <v>0.06</v>
      </c>
      <c r="I495">
        <v>0.04</v>
      </c>
      <c r="J495" t="s">
        <v>28</v>
      </c>
      <c r="K495">
        <v>8.02</v>
      </c>
      <c r="L495">
        <v>-0.24</v>
      </c>
      <c r="M495">
        <v>4.13</v>
      </c>
      <c r="N495">
        <v>17.056899999999999</v>
      </c>
      <c r="O495">
        <v>6</v>
      </c>
      <c r="P495">
        <v>-1</v>
      </c>
      <c r="Q495">
        <v>370.452</v>
      </c>
      <c r="R495">
        <v>5</v>
      </c>
      <c r="S495">
        <v>-1</v>
      </c>
      <c r="T495">
        <v>2.58</v>
      </c>
      <c r="U495" t="str">
        <f>IFERROR(INDEX(Rosters!$C$2:$C$155,MATCH(B495,Rosters!$B$2:$B$155,0)),"NA")</f>
        <v>NA</v>
      </c>
      <c r="V495" t="str">
        <f t="shared" si="21"/>
        <v>NA15</v>
      </c>
      <c r="W495">
        <f>COUNTIFS(A$1:A495,A495)</f>
        <v>32</v>
      </c>
      <c r="X495" t="str">
        <f t="shared" si="22"/>
        <v>Steelers D/ST15</v>
      </c>
      <c r="Y495">
        <f>COUNTIF(V$1:V495,V495)</f>
        <v>21</v>
      </c>
      <c r="Z495" t="str">
        <f t="shared" si="23"/>
        <v>NA15-21</v>
      </c>
    </row>
    <row r="496" spans="1:26" x14ac:dyDescent="0.25">
      <c r="A496">
        <v>11</v>
      </c>
      <c r="B496" t="s">
        <v>426</v>
      </c>
      <c r="C496">
        <f>-0.84-7.58</f>
        <v>-8.42</v>
      </c>
      <c r="D496">
        <v>28.88</v>
      </c>
      <c r="E496">
        <v>1.82</v>
      </c>
      <c r="F496">
        <v>0.46</v>
      </c>
      <c r="G496">
        <v>0.48</v>
      </c>
      <c r="H496">
        <v>0.04</v>
      </c>
      <c r="I496">
        <v>0.12</v>
      </c>
      <c r="J496" t="s">
        <v>73</v>
      </c>
      <c r="K496">
        <v>7.58</v>
      </c>
      <c r="L496">
        <v>-0.84</v>
      </c>
      <c r="M496">
        <v>4.21</v>
      </c>
      <c r="N496">
        <v>17.7241</v>
      </c>
      <c r="O496">
        <v>6</v>
      </c>
      <c r="P496">
        <v>-1</v>
      </c>
      <c r="Q496">
        <v>380.17599999999999</v>
      </c>
      <c r="R496">
        <v>5</v>
      </c>
      <c r="S496">
        <v>-1</v>
      </c>
      <c r="T496">
        <v>2.5</v>
      </c>
      <c r="U496" t="str">
        <f>IFERROR(INDEX(Rosters!$C$2:$C$155,MATCH(B496,Rosters!$B$2:$B$155,0)),"NA")</f>
        <v>NA</v>
      </c>
      <c r="V496" t="str">
        <f t="shared" si="21"/>
        <v>NA11</v>
      </c>
      <c r="W496">
        <f>COUNTIFS(A$1:A496,A496)</f>
        <v>25</v>
      </c>
      <c r="X496" t="str">
        <f t="shared" si="22"/>
        <v>Cowboys D/ST11</v>
      </c>
      <c r="Y496">
        <f>COUNTIF(V$1:V496,V496)</f>
        <v>15</v>
      </c>
      <c r="Z496" t="str">
        <f t="shared" si="23"/>
        <v>NA11-15</v>
      </c>
    </row>
    <row r="497" spans="1:26" x14ac:dyDescent="0.25">
      <c r="A497">
        <v>9</v>
      </c>
      <c r="B497" t="s">
        <v>425</v>
      </c>
      <c r="C497">
        <f>-1.42-7.48</f>
        <v>-8.9</v>
      </c>
      <c r="D497">
        <v>30.72</v>
      </c>
      <c r="E497">
        <v>1.74</v>
      </c>
      <c r="F497">
        <v>0.46</v>
      </c>
      <c r="G497">
        <v>0.56000000000000005</v>
      </c>
      <c r="H497">
        <v>0.02</v>
      </c>
      <c r="I497">
        <v>0.1</v>
      </c>
      <c r="J497" t="s">
        <v>28</v>
      </c>
      <c r="K497">
        <v>7.48</v>
      </c>
      <c r="L497">
        <v>-1.42</v>
      </c>
      <c r="M497">
        <v>4.45</v>
      </c>
      <c r="N497">
        <v>19.802499999999998</v>
      </c>
      <c r="O497">
        <v>6</v>
      </c>
      <c r="P497">
        <v>-1</v>
      </c>
      <c r="Q497">
        <v>389.74400000000003</v>
      </c>
      <c r="R497">
        <v>5</v>
      </c>
      <c r="S497">
        <v>-1</v>
      </c>
      <c r="T497">
        <v>2.42</v>
      </c>
      <c r="U497" t="str">
        <f>IFERROR(INDEX(Rosters!$C$2:$C$155,MATCH(B497,Rosters!$B$2:$B$155,0)),"NA")</f>
        <v>NA</v>
      </c>
      <c r="V497" t="str">
        <f t="shared" si="21"/>
        <v>NA9</v>
      </c>
      <c r="W497">
        <f>COUNTIFS(A$1:A497,A497)</f>
        <v>25</v>
      </c>
      <c r="X497" t="str">
        <f t="shared" si="22"/>
        <v>Packers D/ST9</v>
      </c>
      <c r="Y497">
        <f>COUNTIF(V$1:V497,V497)</f>
        <v>16</v>
      </c>
      <c r="Z497" t="str">
        <f t="shared" si="23"/>
        <v>NA9-16</v>
      </c>
    </row>
    <row r="498" spans="1:26" x14ac:dyDescent="0.25">
      <c r="A498">
        <v>14</v>
      </c>
      <c r="B498" t="s">
        <v>428</v>
      </c>
      <c r="C498">
        <f>-1.73-7.45</f>
        <v>-9.18</v>
      </c>
      <c r="D498">
        <v>31.31</v>
      </c>
      <c r="E498">
        <v>1.64</v>
      </c>
      <c r="F498">
        <v>0.56000000000000005</v>
      </c>
      <c r="G498">
        <v>0.57999999999999996</v>
      </c>
      <c r="H498">
        <v>0.04</v>
      </c>
      <c r="I498">
        <v>0.06</v>
      </c>
      <c r="J498" t="s">
        <v>72</v>
      </c>
      <c r="K498">
        <v>7.45</v>
      </c>
      <c r="L498">
        <v>-1.73</v>
      </c>
      <c r="M498">
        <v>4.59</v>
      </c>
      <c r="N498">
        <v>21.068100000000001</v>
      </c>
      <c r="O498">
        <v>6</v>
      </c>
      <c r="P498">
        <v>-1</v>
      </c>
      <c r="Q498">
        <v>392.81200000000001</v>
      </c>
      <c r="R498">
        <v>5</v>
      </c>
      <c r="S498">
        <v>-1</v>
      </c>
      <c r="T498">
        <v>2.36</v>
      </c>
      <c r="U498" t="str">
        <f>IFERROR(INDEX(Rosters!$C$2:$C$155,MATCH(B498,Rosters!$B$2:$B$155,0)),"NA")</f>
        <v>NA</v>
      </c>
      <c r="V498" t="str">
        <f t="shared" si="21"/>
        <v>NA14</v>
      </c>
      <c r="W498">
        <f>COUNTIFS(A$1:A498,A498)</f>
        <v>31</v>
      </c>
      <c r="X498" t="str">
        <f t="shared" si="22"/>
        <v>Buccaneers D/ST14</v>
      </c>
      <c r="Y498">
        <f>COUNTIF(V$1:V498,V498)</f>
        <v>20</v>
      </c>
      <c r="Z498" t="str">
        <f t="shared" si="23"/>
        <v>NA14-20</v>
      </c>
    </row>
    <row r="499" spans="1:26" x14ac:dyDescent="0.25">
      <c r="A499">
        <v>16</v>
      </c>
      <c r="B499" t="s">
        <v>422</v>
      </c>
      <c r="C499">
        <f>-0.49-7.29</f>
        <v>-7.78</v>
      </c>
      <c r="D499">
        <v>28.15</v>
      </c>
      <c r="E499">
        <v>1.84</v>
      </c>
      <c r="F499">
        <v>0.46</v>
      </c>
      <c r="G499">
        <v>0.4</v>
      </c>
      <c r="H499">
        <v>0.02</v>
      </c>
      <c r="I499">
        <v>0.12</v>
      </c>
      <c r="J499" t="s">
        <v>60</v>
      </c>
      <c r="K499">
        <v>7.29</v>
      </c>
      <c r="L499">
        <v>-0.49</v>
      </c>
      <c r="M499">
        <v>3.89</v>
      </c>
      <c r="N499">
        <v>15.132099999999999</v>
      </c>
      <c r="O499">
        <v>6</v>
      </c>
      <c r="P499">
        <v>-1</v>
      </c>
      <c r="Q499">
        <v>376.38</v>
      </c>
      <c r="R499">
        <v>5</v>
      </c>
      <c r="S499">
        <v>-1</v>
      </c>
      <c r="T499">
        <v>2.3199999999999998</v>
      </c>
      <c r="U499" t="str">
        <f>IFERROR(INDEX(Rosters!$C$2:$C$155,MATCH(B499,Rosters!$B$2:$B$155,0)),"NA")</f>
        <v>NA</v>
      </c>
      <c r="V499" t="str">
        <f t="shared" si="21"/>
        <v>NA16</v>
      </c>
      <c r="W499">
        <f>COUNTIFS(A$1:A499,A499)</f>
        <v>32</v>
      </c>
      <c r="X499" t="str">
        <f t="shared" si="22"/>
        <v>Dolphins D/ST16</v>
      </c>
      <c r="Y499">
        <f>COUNTIF(V$1:V499,V499)</f>
        <v>21</v>
      </c>
      <c r="Z499" t="str">
        <f t="shared" si="23"/>
        <v>NA16-21</v>
      </c>
    </row>
    <row r="500" spans="1:26" x14ac:dyDescent="0.25">
      <c r="A500">
        <v>8</v>
      </c>
      <c r="B500" t="s">
        <v>425</v>
      </c>
      <c r="C500">
        <f>-1.75-7.39</f>
        <v>-9.14</v>
      </c>
      <c r="D500">
        <v>31.64</v>
      </c>
      <c r="E500">
        <v>1.8</v>
      </c>
      <c r="F500">
        <v>0.52</v>
      </c>
      <c r="G500">
        <v>0.54</v>
      </c>
      <c r="H500">
        <v>0.02</v>
      </c>
      <c r="I500">
        <v>0.06</v>
      </c>
      <c r="J500" t="s">
        <v>52</v>
      </c>
      <c r="K500">
        <v>7.39</v>
      </c>
      <c r="L500">
        <v>-1.75</v>
      </c>
      <c r="M500">
        <v>4.57</v>
      </c>
      <c r="N500">
        <v>20.884899999999998</v>
      </c>
      <c r="O500">
        <v>6</v>
      </c>
      <c r="P500">
        <v>-1</v>
      </c>
      <c r="Q500">
        <v>394.52800000000002</v>
      </c>
      <c r="R500">
        <v>5</v>
      </c>
      <c r="S500">
        <v>-1</v>
      </c>
      <c r="T500">
        <v>2.3199999999999998</v>
      </c>
      <c r="U500" t="str">
        <f>IFERROR(INDEX(Rosters!$C$2:$C$155,MATCH(B500,Rosters!$B$2:$B$155,0)),"NA")</f>
        <v>NA</v>
      </c>
      <c r="V500" t="str">
        <f t="shared" si="21"/>
        <v>NA8</v>
      </c>
      <c r="W500">
        <f>COUNTIFS(A$1:A500,A500)</f>
        <v>28</v>
      </c>
      <c r="X500" t="str">
        <f t="shared" si="22"/>
        <v>Packers D/ST8</v>
      </c>
      <c r="Y500">
        <f>COUNTIF(V$1:V500,V500)</f>
        <v>18</v>
      </c>
      <c r="Z500" t="str">
        <f t="shared" si="23"/>
        <v>NA8-18</v>
      </c>
    </row>
    <row r="501" spans="1:26" x14ac:dyDescent="0.25">
      <c r="A501">
        <v>7</v>
      </c>
      <c r="B501" t="s">
        <v>436</v>
      </c>
      <c r="C501">
        <f>-1.08-6.86</f>
        <v>-7.94</v>
      </c>
      <c r="D501">
        <v>30.89</v>
      </c>
      <c r="E501">
        <v>1.82</v>
      </c>
      <c r="F501">
        <v>0.54</v>
      </c>
      <c r="G501">
        <v>0.46</v>
      </c>
      <c r="H501">
        <v>0</v>
      </c>
      <c r="I501">
        <v>0.08</v>
      </c>
      <c r="J501" t="s">
        <v>52</v>
      </c>
      <c r="K501">
        <v>6.86</v>
      </c>
      <c r="L501">
        <v>-1.08</v>
      </c>
      <c r="M501">
        <v>3.97</v>
      </c>
      <c r="N501">
        <v>15.760899999999999</v>
      </c>
      <c r="O501">
        <v>6</v>
      </c>
      <c r="P501">
        <v>-1</v>
      </c>
      <c r="Q501">
        <v>390.62799999999999</v>
      </c>
      <c r="R501">
        <v>5</v>
      </c>
      <c r="S501">
        <v>-1</v>
      </c>
      <c r="T501">
        <v>2.2999999999999998</v>
      </c>
      <c r="U501" t="str">
        <f>IFERROR(INDEX(Rosters!$C$2:$C$155,MATCH(B501,Rosters!$B$2:$B$155,0)),"NA")</f>
        <v>NA</v>
      </c>
      <c r="V501" t="str">
        <f t="shared" si="21"/>
        <v>NA7</v>
      </c>
      <c r="W501">
        <f>COUNTIFS(A$1:A501,A501)</f>
        <v>28</v>
      </c>
      <c r="X501" t="str">
        <f t="shared" si="22"/>
        <v>49ers D/ST7</v>
      </c>
      <c r="Y501">
        <f>COUNTIF(V$1:V501,V501)</f>
        <v>17</v>
      </c>
      <c r="Z501" t="str">
        <f t="shared" si="23"/>
        <v>NA7-17</v>
      </c>
    </row>
    <row r="502" spans="1:26" x14ac:dyDescent="0.25">
      <c r="A502">
        <v>17</v>
      </c>
      <c r="B502" t="s">
        <v>436</v>
      </c>
      <c r="C502">
        <f>-1.08-6.86</f>
        <v>-7.94</v>
      </c>
      <c r="D502">
        <v>30.89</v>
      </c>
      <c r="E502">
        <v>1.82</v>
      </c>
      <c r="F502">
        <v>0.54</v>
      </c>
      <c r="G502">
        <v>0.46</v>
      </c>
      <c r="H502">
        <v>0</v>
      </c>
      <c r="I502">
        <v>0.08</v>
      </c>
      <c r="J502" t="s">
        <v>52</v>
      </c>
      <c r="K502">
        <v>6.86</v>
      </c>
      <c r="L502">
        <v>-1.08</v>
      </c>
      <c r="M502">
        <v>3.97</v>
      </c>
      <c r="N502">
        <v>15.760899999999999</v>
      </c>
      <c r="O502">
        <v>6</v>
      </c>
      <c r="P502">
        <v>-1</v>
      </c>
      <c r="Q502">
        <v>390.62799999999999</v>
      </c>
      <c r="R502">
        <v>5</v>
      </c>
      <c r="S502">
        <v>-1</v>
      </c>
      <c r="T502">
        <v>2.2999999999999998</v>
      </c>
      <c r="U502" t="str">
        <f>IFERROR(INDEX(Rosters!$C$2:$C$155,MATCH(B502,Rosters!$B$2:$B$155,0)),"NA")</f>
        <v>NA</v>
      </c>
      <c r="V502" t="str">
        <f t="shared" si="21"/>
        <v>NA17</v>
      </c>
      <c r="W502">
        <f>COUNTIFS(A$1:A502,A502)</f>
        <v>31</v>
      </c>
      <c r="X502" t="str">
        <f t="shared" si="22"/>
        <v>49ers D/ST17</v>
      </c>
      <c r="Y502">
        <f>COUNTIF(V$1:V502,V502)</f>
        <v>20</v>
      </c>
      <c r="Z502" t="str">
        <f t="shared" si="23"/>
        <v>NA17-20</v>
      </c>
    </row>
    <row r="503" spans="1:26" x14ac:dyDescent="0.25">
      <c r="A503">
        <v>13</v>
      </c>
      <c r="B503" t="s">
        <v>426</v>
      </c>
      <c r="C503">
        <f>-0.39-5.91</f>
        <v>-6.3</v>
      </c>
      <c r="D503">
        <v>31.05</v>
      </c>
      <c r="E503">
        <v>2.02</v>
      </c>
      <c r="F503">
        <v>0.42</v>
      </c>
      <c r="G503">
        <v>0.5</v>
      </c>
      <c r="H503">
        <v>0.02</v>
      </c>
      <c r="I503">
        <v>0.06</v>
      </c>
      <c r="J503" t="s">
        <v>72</v>
      </c>
      <c r="K503">
        <v>5.91</v>
      </c>
      <c r="L503">
        <v>-0.39</v>
      </c>
      <c r="M503">
        <v>3.15</v>
      </c>
      <c r="N503">
        <v>9.9224999999999994</v>
      </c>
      <c r="O503">
        <v>6</v>
      </c>
      <c r="P503">
        <v>-1</v>
      </c>
      <c r="Q503">
        <v>391.46</v>
      </c>
      <c r="R503">
        <v>5</v>
      </c>
      <c r="S503">
        <v>-1</v>
      </c>
      <c r="T503">
        <v>2.2599999999999998</v>
      </c>
      <c r="U503" t="str">
        <f>IFERROR(INDEX(Rosters!$C$2:$C$155,MATCH(B503,Rosters!$B$2:$B$155,0)),"NA")</f>
        <v>NA</v>
      </c>
      <c r="V503" t="str">
        <f t="shared" si="21"/>
        <v>NA13</v>
      </c>
      <c r="W503">
        <f>COUNTIFS(A$1:A503,A503)</f>
        <v>30</v>
      </c>
      <c r="X503" t="str">
        <f t="shared" si="22"/>
        <v>Cowboys D/ST13</v>
      </c>
      <c r="Y503">
        <f>COUNTIF(V$1:V503,V503)</f>
        <v>19</v>
      </c>
      <c r="Z503" t="str">
        <f t="shared" si="23"/>
        <v>NA13-19</v>
      </c>
    </row>
    <row r="504" spans="1:26" x14ac:dyDescent="0.25">
      <c r="A504">
        <v>14</v>
      </c>
      <c r="B504" t="s">
        <v>422</v>
      </c>
      <c r="C504">
        <f>-0.89-6.75</f>
        <v>-7.64</v>
      </c>
      <c r="D504">
        <v>29.72</v>
      </c>
      <c r="E504">
        <v>1.6</v>
      </c>
      <c r="F504">
        <v>0.6</v>
      </c>
      <c r="G504">
        <v>0.34</v>
      </c>
      <c r="H504">
        <v>0.02</v>
      </c>
      <c r="I504">
        <v>0.12</v>
      </c>
      <c r="J504" t="s">
        <v>28</v>
      </c>
      <c r="K504">
        <v>6.75</v>
      </c>
      <c r="L504">
        <v>-0.89</v>
      </c>
      <c r="M504">
        <v>3.82</v>
      </c>
      <c r="N504">
        <v>14.5924</v>
      </c>
      <c r="O504">
        <v>6</v>
      </c>
      <c r="P504">
        <v>-1</v>
      </c>
      <c r="Q504">
        <v>384.54399999999998</v>
      </c>
      <c r="R504">
        <v>5</v>
      </c>
      <c r="S504">
        <v>-1</v>
      </c>
      <c r="T504">
        <v>2.2400000000000002</v>
      </c>
      <c r="U504" t="str">
        <f>IFERROR(INDEX(Rosters!$C$2:$C$155,MATCH(B504,Rosters!$B$2:$B$155,0)),"NA")</f>
        <v>NA</v>
      </c>
      <c r="V504" t="str">
        <f t="shared" si="21"/>
        <v>NA14</v>
      </c>
      <c r="W504">
        <f>COUNTIFS(A$1:A504,A504)</f>
        <v>32</v>
      </c>
      <c r="X504" t="str">
        <f t="shared" si="22"/>
        <v>Dolphins D/ST14</v>
      </c>
      <c r="Y504">
        <f>COUNTIF(V$1:V504,V504)</f>
        <v>21</v>
      </c>
      <c r="Z504" t="str">
        <f t="shared" si="23"/>
        <v>NA14-21</v>
      </c>
    </row>
    <row r="505" spans="1:26" x14ac:dyDescent="0.25">
      <c r="A505">
        <v>1</v>
      </c>
      <c r="B505" t="s">
        <v>434</v>
      </c>
      <c r="C505">
        <f>-1.42-7</f>
        <v>-8.42</v>
      </c>
      <c r="D505">
        <v>32.24</v>
      </c>
      <c r="E505">
        <v>1.4</v>
      </c>
      <c r="F505">
        <v>0.48</v>
      </c>
      <c r="G505">
        <v>0.56000000000000005</v>
      </c>
      <c r="H505">
        <v>0</v>
      </c>
      <c r="I505">
        <v>0.1</v>
      </c>
      <c r="J505" t="s">
        <v>31</v>
      </c>
      <c r="K505">
        <v>7</v>
      </c>
      <c r="L505">
        <v>-1.42</v>
      </c>
      <c r="M505">
        <v>4.21</v>
      </c>
      <c r="N505">
        <v>17.7241</v>
      </c>
      <c r="O505">
        <v>6</v>
      </c>
      <c r="P505">
        <v>-1</v>
      </c>
      <c r="Q505">
        <v>397.64800000000002</v>
      </c>
      <c r="R505">
        <v>5</v>
      </c>
      <c r="S505">
        <v>-1</v>
      </c>
      <c r="T505">
        <v>2.08</v>
      </c>
      <c r="U505" t="str">
        <f>IFERROR(INDEX(Rosters!$C$2:$C$155,MATCH(B505,Rosters!$B$2:$B$155,0)),"NA")</f>
        <v>matty</v>
      </c>
      <c r="V505" t="str">
        <f t="shared" si="21"/>
        <v>matty1</v>
      </c>
      <c r="W505">
        <f>COUNTIFS(A$1:A505,A505)</f>
        <v>31</v>
      </c>
      <c r="X505" t="str">
        <f t="shared" si="22"/>
        <v>Browns D/ST1</v>
      </c>
      <c r="Y505">
        <f>COUNTIF(V$1:V505,V505)</f>
        <v>1</v>
      </c>
      <c r="Z505" t="str">
        <f t="shared" si="23"/>
        <v>matty1-1</v>
      </c>
    </row>
    <row r="506" spans="1:26" x14ac:dyDescent="0.25">
      <c r="A506">
        <v>1</v>
      </c>
      <c r="B506" t="s">
        <v>433</v>
      </c>
      <c r="C506">
        <f>-0.79-7.99</f>
        <v>-8.7800000000000011</v>
      </c>
      <c r="D506">
        <v>28.09</v>
      </c>
      <c r="E506">
        <v>1.52</v>
      </c>
      <c r="F506">
        <v>0.52</v>
      </c>
      <c r="G506">
        <v>0.4</v>
      </c>
      <c r="H506">
        <v>0</v>
      </c>
      <c r="I506">
        <v>0.12</v>
      </c>
      <c r="J506" t="s">
        <v>52</v>
      </c>
      <c r="K506">
        <v>7.99</v>
      </c>
      <c r="L506">
        <v>-0.79</v>
      </c>
      <c r="M506">
        <v>4.3899999999999997</v>
      </c>
      <c r="N506">
        <v>19.272099999999998</v>
      </c>
      <c r="O506">
        <v>6</v>
      </c>
      <c r="P506">
        <v>-1</v>
      </c>
      <c r="Q506">
        <v>376.06799999999998</v>
      </c>
      <c r="R506">
        <v>5</v>
      </c>
      <c r="S506">
        <v>-1</v>
      </c>
      <c r="T506">
        <v>2.08</v>
      </c>
      <c r="U506" t="str">
        <f>IFERROR(INDEX(Rosters!$C$2:$C$155,MATCH(B506,Rosters!$B$2:$B$155,0)),"NA")</f>
        <v>NA</v>
      </c>
      <c r="V506" t="str">
        <f t="shared" si="21"/>
        <v>NA1</v>
      </c>
      <c r="W506">
        <f>COUNTIFS(A$1:A506,A506)</f>
        <v>32</v>
      </c>
      <c r="X506" t="str">
        <f t="shared" si="22"/>
        <v>Raiders D/ST1</v>
      </c>
      <c r="Y506">
        <f>COUNTIF(V$1:V506,V506)</f>
        <v>21</v>
      </c>
      <c r="Z506" t="str">
        <f t="shared" si="23"/>
        <v>NA1-21</v>
      </c>
    </row>
    <row r="507" spans="1:26" x14ac:dyDescent="0.25">
      <c r="A507">
        <v>9</v>
      </c>
      <c r="B507" t="s">
        <v>431</v>
      </c>
      <c r="C507">
        <f>-1.9-6.66</f>
        <v>-8.56</v>
      </c>
      <c r="D507">
        <v>32.03</v>
      </c>
      <c r="E507">
        <v>1.66</v>
      </c>
      <c r="F507">
        <v>0.5</v>
      </c>
      <c r="G507">
        <v>0.44</v>
      </c>
      <c r="H507">
        <v>0.02</v>
      </c>
      <c r="I507">
        <v>0.06</v>
      </c>
      <c r="J507" t="s">
        <v>52</v>
      </c>
      <c r="K507">
        <v>6.66</v>
      </c>
      <c r="L507">
        <v>-1.9</v>
      </c>
      <c r="M507">
        <v>4.28</v>
      </c>
      <c r="N507">
        <v>18.3184</v>
      </c>
      <c r="O507">
        <v>6</v>
      </c>
      <c r="P507">
        <v>-1</v>
      </c>
      <c r="Q507">
        <v>396.55599999999998</v>
      </c>
      <c r="R507">
        <v>5</v>
      </c>
      <c r="S507">
        <v>-1</v>
      </c>
      <c r="T507">
        <v>1.94</v>
      </c>
      <c r="U507" t="str">
        <f>IFERROR(INDEX(Rosters!$C$2:$C$155,MATCH(B507,Rosters!$B$2:$B$155,0)),"NA")</f>
        <v>NA</v>
      </c>
      <c r="V507" t="str">
        <f t="shared" si="21"/>
        <v>NA9</v>
      </c>
      <c r="W507">
        <f>COUNTIFS(A$1:A507,A507)</f>
        <v>26</v>
      </c>
      <c r="X507" t="str">
        <f t="shared" si="22"/>
        <v>Saints D/ST9</v>
      </c>
      <c r="Y507">
        <f>COUNTIF(V$1:V507,V507)</f>
        <v>17</v>
      </c>
      <c r="Z507" t="str">
        <f t="shared" si="23"/>
        <v>NA9-17</v>
      </c>
    </row>
    <row r="508" spans="1:26" x14ac:dyDescent="0.25">
      <c r="A508">
        <v>13</v>
      </c>
      <c r="B508" t="s">
        <v>435</v>
      </c>
      <c r="C508">
        <f>-2.77-8.75</f>
        <v>-11.52</v>
      </c>
      <c r="D508">
        <v>33.64</v>
      </c>
      <c r="E508">
        <v>1.7</v>
      </c>
      <c r="F508">
        <v>0.44</v>
      </c>
      <c r="G508">
        <v>0.48</v>
      </c>
      <c r="H508">
        <v>0</v>
      </c>
      <c r="I508">
        <v>0.18</v>
      </c>
      <c r="J508" t="s">
        <v>52</v>
      </c>
      <c r="K508">
        <v>8.75</v>
      </c>
      <c r="L508">
        <v>-2.77</v>
      </c>
      <c r="M508">
        <v>5.76</v>
      </c>
      <c r="N508">
        <v>33.177599999999998</v>
      </c>
      <c r="O508">
        <v>6</v>
      </c>
      <c r="P508">
        <v>-1</v>
      </c>
      <c r="Q508">
        <v>404.928</v>
      </c>
      <c r="R508">
        <v>6</v>
      </c>
      <c r="S508">
        <v>-3</v>
      </c>
      <c r="T508" s="66">
        <v>0.62</v>
      </c>
      <c r="U508" t="str">
        <f>IFERROR(INDEX(Rosters!$C$2:$C$155,MATCH(B508,Rosters!$B$2:$B$155,0)),"NA")</f>
        <v>NA</v>
      </c>
      <c r="V508" t="str">
        <f t="shared" si="21"/>
        <v>NA13</v>
      </c>
      <c r="W508">
        <f>COUNTIFS(A$1:A508,A508)</f>
        <v>31</v>
      </c>
      <c r="X508" t="str">
        <f t="shared" si="22"/>
        <v>Lions D/ST13</v>
      </c>
      <c r="Y508">
        <f>COUNTIF(V$1:V508,V508)</f>
        <v>20</v>
      </c>
      <c r="Z508" t="str">
        <f t="shared" si="23"/>
        <v>NA13-20</v>
      </c>
    </row>
    <row r="509" spans="1:26" x14ac:dyDescent="0.25">
      <c r="A509">
        <v>2</v>
      </c>
      <c r="B509" t="s">
        <v>434</v>
      </c>
      <c r="C509">
        <f>-2.64-6.62</f>
        <v>-9.26</v>
      </c>
      <c r="D509">
        <v>34.479999999999997</v>
      </c>
      <c r="E509">
        <v>1.34</v>
      </c>
      <c r="F509">
        <v>0.48</v>
      </c>
      <c r="G509">
        <v>0.54</v>
      </c>
      <c r="H509">
        <v>0</v>
      </c>
      <c r="I509">
        <v>0.08</v>
      </c>
      <c r="J509" t="s">
        <v>72</v>
      </c>
      <c r="K509">
        <v>6.62</v>
      </c>
      <c r="L509">
        <v>-2.64</v>
      </c>
      <c r="M509">
        <v>4.63</v>
      </c>
      <c r="N509">
        <v>21.436900000000001</v>
      </c>
      <c r="O509">
        <v>6</v>
      </c>
      <c r="P509">
        <v>-1</v>
      </c>
      <c r="Q509">
        <v>409.29599999999999</v>
      </c>
      <c r="R509">
        <v>6</v>
      </c>
      <c r="S509">
        <v>-3</v>
      </c>
      <c r="T509">
        <v>-0.14000000000000001</v>
      </c>
      <c r="U509" t="str">
        <f>IFERROR(INDEX(Rosters!$C$2:$C$155,MATCH(B509,Rosters!$B$2:$B$155,0)),"NA")</f>
        <v>matty</v>
      </c>
      <c r="V509" t="str">
        <f t="shared" si="21"/>
        <v>matty2</v>
      </c>
      <c r="W509">
        <f>COUNTIFS(A$1:A509,A509)</f>
        <v>32</v>
      </c>
      <c r="X509" t="str">
        <f t="shared" si="22"/>
        <v>Browns D/ST2</v>
      </c>
      <c r="Y509">
        <f>COUNTIF(V$1:V509,V509)</f>
        <v>1</v>
      </c>
      <c r="Z509" t="str">
        <f t="shared" si="23"/>
        <v>matty2-1</v>
      </c>
    </row>
    <row r="510" spans="1:26" x14ac:dyDescent="0.25">
      <c r="A510">
        <v>6</v>
      </c>
      <c r="B510" t="s">
        <v>410</v>
      </c>
      <c r="C510">
        <f>-1.78-6.92</f>
        <v>-8.6999999999999993</v>
      </c>
      <c r="D510">
        <v>34.590000000000003</v>
      </c>
      <c r="E510">
        <v>1.6</v>
      </c>
      <c r="F510">
        <v>0.64</v>
      </c>
      <c r="G510">
        <v>0.5</v>
      </c>
      <c r="H510">
        <v>0</v>
      </c>
      <c r="I510">
        <v>0.12</v>
      </c>
      <c r="J510" t="s">
        <v>28</v>
      </c>
      <c r="K510">
        <v>6.92</v>
      </c>
      <c r="L510">
        <v>-1.78</v>
      </c>
      <c r="M510">
        <v>4.3499999999999996</v>
      </c>
      <c r="N510">
        <v>18.922499999999999</v>
      </c>
      <c r="O510">
        <v>7</v>
      </c>
      <c r="P510">
        <v>-3</v>
      </c>
      <c r="Q510">
        <v>409.86799999999999</v>
      </c>
      <c r="R510">
        <v>6</v>
      </c>
      <c r="S510">
        <v>-3</v>
      </c>
      <c r="T510">
        <v>-1.4</v>
      </c>
      <c r="U510" t="str">
        <f>IFERROR(INDEX(Rosters!$C$2:$C$155,MATCH(B510,Rosters!$B$2:$B$155,0)),"NA")</f>
        <v>NA</v>
      </c>
      <c r="V510" t="str">
        <f t="shared" si="21"/>
        <v>NA6</v>
      </c>
      <c r="W510">
        <f>COUNTIFS(A$1:A510,A510)</f>
        <v>30</v>
      </c>
      <c r="X510" t="str">
        <f t="shared" si="22"/>
        <v>Chiefs D/ST6</v>
      </c>
      <c r="Y510">
        <f>COUNTIF(V$1:V510,V510)</f>
        <v>19</v>
      </c>
      <c r="Z510" t="str">
        <f t="shared" si="23"/>
        <v>NA6-19</v>
      </c>
    </row>
    <row r="511" spans="1:26" x14ac:dyDescent="0.25">
      <c r="A511">
        <v>11</v>
      </c>
      <c r="B511" t="s">
        <v>410</v>
      </c>
      <c r="C511">
        <f>-2.51-6.15</f>
        <v>-8.66</v>
      </c>
      <c r="D511">
        <v>38.020000000000003</v>
      </c>
      <c r="E511">
        <v>1.4</v>
      </c>
      <c r="F511">
        <v>0.46</v>
      </c>
      <c r="G511">
        <v>0.48</v>
      </c>
      <c r="H511">
        <v>0.02</v>
      </c>
      <c r="I511">
        <v>0.18</v>
      </c>
      <c r="J511" t="s">
        <v>52</v>
      </c>
      <c r="K511">
        <v>6.15</v>
      </c>
      <c r="L511">
        <v>-2.5099999999999998</v>
      </c>
      <c r="M511">
        <v>4.33</v>
      </c>
      <c r="N511">
        <v>18.748899999999999</v>
      </c>
      <c r="O511">
        <v>7</v>
      </c>
      <c r="P511">
        <v>-3</v>
      </c>
      <c r="Q511">
        <v>427.70400000000001</v>
      </c>
      <c r="R511">
        <v>6</v>
      </c>
      <c r="S511">
        <v>-3</v>
      </c>
      <c r="T511">
        <v>-1.6</v>
      </c>
      <c r="U511" t="str">
        <f>IFERROR(INDEX(Rosters!$C$2:$C$155,MATCH(B511,Rosters!$B$2:$B$155,0)),"NA")</f>
        <v>NA</v>
      </c>
      <c r="V511" t="str">
        <f t="shared" si="21"/>
        <v>NA11</v>
      </c>
      <c r="W511">
        <f>COUNTIFS(A$1:A511,A511)</f>
        <v>26</v>
      </c>
      <c r="X511" t="str">
        <f t="shared" si="22"/>
        <v>Chiefs D/ST11</v>
      </c>
      <c r="Y511">
        <f>COUNTIF(V$1:V511,V511)</f>
        <v>16</v>
      </c>
      <c r="Z511" t="str">
        <f t="shared" si="23"/>
        <v>NA11-16</v>
      </c>
    </row>
    <row r="512" spans="1:26" x14ac:dyDescent="0.25">
      <c r="A512">
        <v>13</v>
      </c>
      <c r="B512" t="s">
        <v>433</v>
      </c>
      <c r="C512">
        <f>-3.21-5.77</f>
        <v>-8.98</v>
      </c>
      <c r="D512">
        <v>36.1</v>
      </c>
      <c r="E512">
        <v>1.42</v>
      </c>
      <c r="F512">
        <v>0.52</v>
      </c>
      <c r="G512">
        <v>0.38</v>
      </c>
      <c r="H512">
        <v>0.02</v>
      </c>
      <c r="I512">
        <v>0.08</v>
      </c>
      <c r="J512" t="s">
        <v>77</v>
      </c>
      <c r="K512">
        <v>5.77</v>
      </c>
      <c r="L512">
        <v>-3.21</v>
      </c>
      <c r="M512">
        <v>4.49</v>
      </c>
      <c r="N512">
        <v>20.1601</v>
      </c>
      <c r="O512">
        <v>7</v>
      </c>
      <c r="P512">
        <v>-3</v>
      </c>
      <c r="Q512">
        <v>417.72</v>
      </c>
      <c r="R512">
        <v>6</v>
      </c>
      <c r="S512">
        <v>-3</v>
      </c>
      <c r="T512">
        <v>-2.2599999999999998</v>
      </c>
      <c r="U512" t="str">
        <f>IFERROR(INDEX(Rosters!$C$2:$C$155,MATCH(B512,Rosters!$B$2:$B$155,0)),"NA")</f>
        <v>NA</v>
      </c>
      <c r="V512" t="str">
        <f t="shared" si="21"/>
        <v>NA13</v>
      </c>
      <c r="W512">
        <f>COUNTIFS(A$1:A512,A512)</f>
        <v>32</v>
      </c>
      <c r="X512" t="str">
        <f t="shared" si="22"/>
        <v>Raiders D/ST13</v>
      </c>
      <c r="Y512">
        <f>COUNTIF(V$1:V512,V512)</f>
        <v>21</v>
      </c>
      <c r="Z512" t="str">
        <f t="shared" si="23"/>
        <v>NA13-21</v>
      </c>
    </row>
    <row r="513" spans="1:26" x14ac:dyDescent="0.25">
      <c r="A513">
        <v>17</v>
      </c>
      <c r="B513" t="s">
        <v>433</v>
      </c>
      <c r="C513">
        <f>-3.21-5.77</f>
        <v>-8.98</v>
      </c>
      <c r="D513">
        <v>36.1</v>
      </c>
      <c r="E513">
        <v>1.42</v>
      </c>
      <c r="F513">
        <v>0.52</v>
      </c>
      <c r="G513">
        <v>0.38</v>
      </c>
      <c r="H513">
        <v>0.02</v>
      </c>
      <c r="I513">
        <v>0.08</v>
      </c>
      <c r="J513" t="s">
        <v>77</v>
      </c>
      <c r="K513">
        <v>5.77</v>
      </c>
      <c r="L513">
        <v>-3.21</v>
      </c>
      <c r="M513">
        <v>4.49</v>
      </c>
      <c r="N513">
        <v>20.1601</v>
      </c>
      <c r="O513">
        <v>7</v>
      </c>
      <c r="P513">
        <v>-3</v>
      </c>
      <c r="Q513">
        <v>417.72</v>
      </c>
      <c r="R513">
        <v>6</v>
      </c>
      <c r="S513">
        <v>-3</v>
      </c>
      <c r="T513">
        <v>-2.2599999999999998</v>
      </c>
      <c r="U513" t="str">
        <f>IFERROR(INDEX(Rosters!$C$2:$C$155,MATCH(B513,Rosters!$B$2:$B$155,0)),"NA")</f>
        <v>NA</v>
      </c>
      <c r="V513" t="str">
        <f t="shared" si="21"/>
        <v>NA17</v>
      </c>
      <c r="W513">
        <f>COUNTIFS(A$1:A513,A513)</f>
        <v>32</v>
      </c>
      <c r="X513" t="str">
        <f t="shared" si="22"/>
        <v>Raiders D/ST17</v>
      </c>
      <c r="Y513">
        <f>COUNTIF(V$1:V513,V513)</f>
        <v>21</v>
      </c>
      <c r="Z513" t="str">
        <f t="shared" si="23"/>
        <v>NA17-21</v>
      </c>
    </row>
  </sheetData>
  <autoFilter ref="A1:Z51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7669"/>
  <sheetViews>
    <sheetView topLeftCell="C7646" workbookViewId="0">
      <selection activeCell="N2" sqref="N2"/>
    </sheetView>
  </sheetViews>
  <sheetFormatPr defaultRowHeight="15" x14ac:dyDescent="0.25"/>
  <cols>
    <col min="1" max="1" width="8.42578125" bestFit="1" customWidth="1"/>
    <col min="2" max="2" width="24.28515625" bestFit="1" customWidth="1"/>
    <col min="3" max="3" width="10.85546875" bestFit="1" customWidth="1"/>
    <col min="4" max="4" width="6.85546875" bestFit="1" customWidth="1"/>
    <col min="5" max="5" width="6.140625" customWidth="1"/>
    <col min="6" max="6" width="6.42578125" bestFit="1" customWidth="1"/>
    <col min="7" max="7" width="7" bestFit="1" customWidth="1"/>
    <col min="8" max="8" width="6.7109375" bestFit="1" customWidth="1"/>
    <col min="9" max="9" width="6" bestFit="1" customWidth="1"/>
    <col min="10" max="10" width="9" bestFit="1" customWidth="1"/>
    <col min="11" max="11" width="9.28515625" bestFit="1" customWidth="1"/>
    <col min="12" max="12" width="17.7109375" bestFit="1" customWidth="1"/>
    <col min="13" max="13" width="7.5703125" bestFit="1" customWidth="1"/>
    <col min="14" max="14" width="21.140625" bestFit="1" customWidth="1"/>
    <col min="15" max="15" width="11.7109375" bestFit="1" customWidth="1"/>
    <col min="16" max="16" width="26.42578125" bestFit="1" customWidth="1"/>
  </cols>
  <sheetData>
    <row r="1" spans="1:16" x14ac:dyDescent="0.25">
      <c r="A1" t="s">
        <v>1</v>
      </c>
      <c r="B1" t="s">
        <v>0</v>
      </c>
      <c r="C1" t="s">
        <v>2</v>
      </c>
      <c r="D1" t="s">
        <v>3</v>
      </c>
      <c r="E1" t="s">
        <v>4</v>
      </c>
      <c r="F1" t="s">
        <v>5</v>
      </c>
      <c r="G1" t="s">
        <v>6</v>
      </c>
      <c r="H1" t="s">
        <v>7</v>
      </c>
      <c r="I1" t="s">
        <v>8</v>
      </c>
      <c r="J1" t="s">
        <v>9</v>
      </c>
      <c r="K1" t="s">
        <v>10</v>
      </c>
      <c r="L1" t="s">
        <v>11</v>
      </c>
      <c r="M1" t="s">
        <v>720</v>
      </c>
      <c r="N1" t="s">
        <v>12</v>
      </c>
      <c r="O1" t="s">
        <v>748</v>
      </c>
      <c r="P1" t="s">
        <v>749</v>
      </c>
    </row>
    <row r="2" spans="1:16" x14ac:dyDescent="0.25">
      <c r="A2">
        <v>17</v>
      </c>
      <c r="B2" t="s">
        <v>302</v>
      </c>
      <c r="C2" t="s">
        <v>5651</v>
      </c>
      <c r="D2">
        <v>26.26</v>
      </c>
      <c r="E2" t="s">
        <v>32</v>
      </c>
      <c r="F2" t="s">
        <v>15</v>
      </c>
      <c r="G2">
        <v>34.22</v>
      </c>
      <c r="H2">
        <v>18.3</v>
      </c>
      <c r="I2">
        <v>7.96</v>
      </c>
      <c r="J2">
        <v>63.361600000000003</v>
      </c>
      <c r="K2" t="str">
        <f>IFERROR(INDEX(Rosters!$C$2:$C$155,MATCH($B2,Rosters!$B$2:$B$155,0)),"NA")</f>
        <v>matty</v>
      </c>
      <c r="L2" t="str">
        <f>K2&amp;A2&amp;F2</f>
        <v>matty17QB</v>
      </c>
      <c r="M2">
        <f>COUNTIF(L$1:L2,L2)</f>
        <v>1</v>
      </c>
      <c r="N2" t="str">
        <f>L2&amp;"-"&amp;M2</f>
        <v>matty17QB-1</v>
      </c>
      <c r="O2">
        <f>COUNTIFS(F$1:F2,F2,A$1:A2,A2)</f>
        <v>1</v>
      </c>
      <c r="P2" t="str">
        <f>B2&amp;A2</f>
        <v>Patrick Mahomes17</v>
      </c>
    </row>
    <row r="3" spans="1:16" x14ac:dyDescent="0.25">
      <c r="A3">
        <v>16</v>
      </c>
      <c r="B3" t="s">
        <v>80</v>
      </c>
      <c r="C3" t="s">
        <v>5652</v>
      </c>
      <c r="D3">
        <v>26.02</v>
      </c>
      <c r="E3" t="s">
        <v>36</v>
      </c>
      <c r="F3" t="s">
        <v>15</v>
      </c>
      <c r="G3">
        <v>34.520000000000003</v>
      </c>
      <c r="H3">
        <v>17.52</v>
      </c>
      <c r="I3">
        <v>8.5</v>
      </c>
      <c r="J3">
        <v>72.25</v>
      </c>
      <c r="K3" t="str">
        <f>IFERROR(INDEX(Rosters!$C$2:$C$155,MATCH($B3,Rosters!$B$2:$B$155,0)),"NA")</f>
        <v>perry</v>
      </c>
      <c r="L3" t="str">
        <f t="shared" ref="L3:L66" si="0">K3&amp;A3&amp;F3</f>
        <v>perry16QB</v>
      </c>
      <c r="M3">
        <f>COUNTIF(L$1:L3,L3)</f>
        <v>1</v>
      </c>
      <c r="N3" t="str">
        <f t="shared" ref="N3:N66" si="1">L3&amp;"-"&amp;M3</f>
        <v>perry16QB-1</v>
      </c>
      <c r="O3">
        <f>COUNTIFS(F$1:F3,F3,A$1:A3,A3)</f>
        <v>1</v>
      </c>
      <c r="P3" t="str">
        <f t="shared" ref="P3:P66" si="2">B3&amp;A3</f>
        <v>Carson Wentz16</v>
      </c>
    </row>
    <row r="4" spans="1:16" x14ac:dyDescent="0.25">
      <c r="A4">
        <v>9</v>
      </c>
      <c r="B4" t="s">
        <v>39</v>
      </c>
      <c r="C4" t="s">
        <v>5653</v>
      </c>
      <c r="D4">
        <v>25.59</v>
      </c>
      <c r="E4" t="s">
        <v>17</v>
      </c>
      <c r="F4" t="s">
        <v>15</v>
      </c>
      <c r="G4">
        <v>34.56</v>
      </c>
      <c r="H4">
        <v>16.62</v>
      </c>
      <c r="I4">
        <v>8.9700000000000006</v>
      </c>
      <c r="J4">
        <v>80.460899999999995</v>
      </c>
      <c r="K4" t="str">
        <f>IFERROR(INDEX(Rosters!$C$2:$C$155,MATCH($B4,Rosters!$B$2:$B$155,0)),"NA")</f>
        <v>devon</v>
      </c>
      <c r="L4" t="str">
        <f t="shared" si="0"/>
        <v>devon9QB</v>
      </c>
      <c r="M4">
        <f>COUNTIF(L$1:L4,L4)</f>
        <v>1</v>
      </c>
      <c r="N4" t="str">
        <f t="shared" si="1"/>
        <v>devon9QB-1</v>
      </c>
      <c r="O4">
        <f>COUNTIFS(F$1:F4,F4,A$1:A4,A4)</f>
        <v>1</v>
      </c>
      <c r="P4" t="str">
        <f t="shared" si="2"/>
        <v>Cam Newton9</v>
      </c>
    </row>
    <row r="5" spans="1:16" x14ac:dyDescent="0.25">
      <c r="A5">
        <v>11</v>
      </c>
      <c r="B5" t="s">
        <v>1100</v>
      </c>
      <c r="C5" t="s">
        <v>5654</v>
      </c>
      <c r="D5">
        <v>25.49</v>
      </c>
      <c r="E5" t="s">
        <v>24</v>
      </c>
      <c r="F5" t="s">
        <v>47</v>
      </c>
      <c r="G5">
        <v>36.020000000000003</v>
      </c>
      <c r="H5">
        <v>14.96</v>
      </c>
      <c r="I5">
        <v>10.53</v>
      </c>
      <c r="J5">
        <v>110.8809</v>
      </c>
      <c r="K5" t="str">
        <f>IFERROR(INDEX(Rosters!$C$2:$C$155,MATCH($B5,Rosters!$B$2:$B$155,0)),"NA")</f>
        <v>chad</v>
      </c>
      <c r="L5" t="str">
        <f t="shared" si="0"/>
        <v>chad11RB</v>
      </c>
      <c r="M5">
        <f>COUNTIF(L$1:L5,L5)</f>
        <v>1</v>
      </c>
      <c r="N5" t="str">
        <f t="shared" si="1"/>
        <v>chad11RB-1</v>
      </c>
      <c r="O5">
        <f>COUNTIFS(F$1:F5,F5,A$1:A5,A5)</f>
        <v>1</v>
      </c>
      <c r="P5" t="str">
        <f t="shared" si="2"/>
        <v>Todd Gurley II11</v>
      </c>
    </row>
    <row r="6" spans="1:16" x14ac:dyDescent="0.25">
      <c r="A6">
        <v>7</v>
      </c>
      <c r="B6" t="s">
        <v>302</v>
      </c>
      <c r="C6" t="s">
        <v>5655</v>
      </c>
      <c r="D6">
        <v>24.54</v>
      </c>
      <c r="E6" t="s">
        <v>31</v>
      </c>
      <c r="F6" t="s">
        <v>15</v>
      </c>
      <c r="G6">
        <v>32.340000000000003</v>
      </c>
      <c r="H6">
        <v>16.739999999999998</v>
      </c>
      <c r="I6">
        <v>7.8</v>
      </c>
      <c r="J6">
        <v>60.84</v>
      </c>
      <c r="K6" t="str">
        <f>IFERROR(INDEX(Rosters!$C$2:$C$155,MATCH($B6,Rosters!$B$2:$B$155,0)),"NA")</f>
        <v>matty</v>
      </c>
      <c r="L6" t="str">
        <f t="shared" si="0"/>
        <v>matty7QB</v>
      </c>
      <c r="M6">
        <f>COUNTIF(L$1:L6,L6)</f>
        <v>1</v>
      </c>
      <c r="N6" t="str">
        <f t="shared" si="1"/>
        <v>matty7QB-1</v>
      </c>
      <c r="O6">
        <f>COUNTIFS(F$1:F6,F6,A$1:A6,A6)</f>
        <v>1</v>
      </c>
      <c r="P6" t="str">
        <f t="shared" si="2"/>
        <v>Patrick Mahomes7</v>
      </c>
    </row>
    <row r="7" spans="1:16" x14ac:dyDescent="0.25">
      <c r="A7">
        <v>13</v>
      </c>
      <c r="B7" t="s">
        <v>302</v>
      </c>
      <c r="C7" t="s">
        <v>5656</v>
      </c>
      <c r="D7">
        <v>24.52</v>
      </c>
      <c r="E7" t="s">
        <v>32</v>
      </c>
      <c r="F7" t="s">
        <v>15</v>
      </c>
      <c r="G7">
        <v>32.479999999999997</v>
      </c>
      <c r="H7">
        <v>16.559999999999999</v>
      </c>
      <c r="I7">
        <v>7.96</v>
      </c>
      <c r="J7">
        <v>63.361600000000003</v>
      </c>
      <c r="K7" t="str">
        <f>IFERROR(INDEX(Rosters!$C$2:$C$155,MATCH($B7,Rosters!$B$2:$B$155,0)),"NA")</f>
        <v>matty</v>
      </c>
      <c r="L7" t="str">
        <f t="shared" si="0"/>
        <v>matty13QB</v>
      </c>
      <c r="M7">
        <f>COUNTIF(L$1:L7,L7)</f>
        <v>1</v>
      </c>
      <c r="N7" t="str">
        <f t="shared" si="1"/>
        <v>matty13QB-1</v>
      </c>
      <c r="O7">
        <f>COUNTIFS(F$1:F7,F7,A$1:A7,A7)</f>
        <v>1</v>
      </c>
      <c r="P7" t="str">
        <f t="shared" si="2"/>
        <v>Patrick Mahomes13</v>
      </c>
    </row>
    <row r="8" spans="1:16" x14ac:dyDescent="0.25">
      <c r="A8">
        <v>12</v>
      </c>
      <c r="B8" t="s">
        <v>179</v>
      </c>
      <c r="C8" t="s">
        <v>5657</v>
      </c>
      <c r="D8">
        <v>24.42</v>
      </c>
      <c r="E8" t="s">
        <v>38</v>
      </c>
      <c r="F8" t="s">
        <v>15</v>
      </c>
      <c r="G8">
        <v>33.83</v>
      </c>
      <c r="H8">
        <v>15.01</v>
      </c>
      <c r="I8">
        <v>9.41</v>
      </c>
      <c r="J8">
        <v>88.548100000000005</v>
      </c>
      <c r="K8" t="str">
        <f>IFERROR(INDEX(Rosters!$C$2:$C$155,MATCH($B8,Rosters!$B$2:$B$155,0)),"NA")</f>
        <v>chad</v>
      </c>
      <c r="L8" t="str">
        <f t="shared" si="0"/>
        <v>chad12QB</v>
      </c>
      <c r="M8">
        <f>COUNTIF(L$1:L8,L8)</f>
        <v>1</v>
      </c>
      <c r="N8" t="str">
        <f t="shared" si="1"/>
        <v>chad12QB-1</v>
      </c>
      <c r="O8">
        <f>COUNTIFS(F$1:F8,F8,A$1:A8,A8)</f>
        <v>1</v>
      </c>
      <c r="P8" t="str">
        <f t="shared" si="2"/>
        <v>Deshaun Watson12</v>
      </c>
    </row>
    <row r="9" spans="1:16" x14ac:dyDescent="0.25">
      <c r="A9">
        <v>1</v>
      </c>
      <c r="B9" t="s">
        <v>21</v>
      </c>
      <c r="C9" t="s">
        <v>1262</v>
      </c>
      <c r="D9">
        <v>24.06</v>
      </c>
      <c r="E9" t="s">
        <v>17</v>
      </c>
      <c r="F9" t="s">
        <v>15</v>
      </c>
      <c r="G9">
        <v>31.59</v>
      </c>
      <c r="H9">
        <v>16.53</v>
      </c>
      <c r="I9">
        <v>7.53</v>
      </c>
      <c r="J9">
        <v>56.700899999999997</v>
      </c>
      <c r="K9" t="str">
        <f>IFERROR(INDEX(Rosters!$C$2:$C$155,MATCH($B9,Rosters!$B$2:$B$155,0)),"NA")</f>
        <v>scott</v>
      </c>
      <c r="L9" t="str">
        <f t="shared" si="0"/>
        <v>scott1QB</v>
      </c>
      <c r="M9">
        <f>COUNTIF(L$1:L9,L9)</f>
        <v>1</v>
      </c>
      <c r="N9" t="str">
        <f t="shared" si="1"/>
        <v>scott1QB-1</v>
      </c>
      <c r="O9">
        <f>COUNTIFS(F$1:F9,F9,A$1:A9,A9)</f>
        <v>1</v>
      </c>
      <c r="P9" t="str">
        <f t="shared" si="2"/>
        <v>Drew Brees1</v>
      </c>
    </row>
    <row r="10" spans="1:16" x14ac:dyDescent="0.25">
      <c r="A10">
        <v>6</v>
      </c>
      <c r="B10" t="s">
        <v>26</v>
      </c>
      <c r="C10" t="s">
        <v>5658</v>
      </c>
      <c r="D10">
        <v>24.06</v>
      </c>
      <c r="E10" t="s">
        <v>17</v>
      </c>
      <c r="F10" t="s">
        <v>15</v>
      </c>
      <c r="G10">
        <v>31.45</v>
      </c>
      <c r="H10">
        <v>16.670000000000002</v>
      </c>
      <c r="I10">
        <v>7.39</v>
      </c>
      <c r="J10">
        <v>54.612099999999998</v>
      </c>
      <c r="K10" t="str">
        <f>IFERROR(INDEX(Rosters!$C$2:$C$155,MATCH($B10,Rosters!$B$2:$B$155,0)),"NA")</f>
        <v>aj</v>
      </c>
      <c r="L10" t="str">
        <f t="shared" si="0"/>
        <v>aj6QB</v>
      </c>
      <c r="M10">
        <f>COUNTIF(L$1:L10,L10)</f>
        <v>1</v>
      </c>
      <c r="N10" t="str">
        <f t="shared" si="1"/>
        <v>aj6QB-1</v>
      </c>
      <c r="O10">
        <f>COUNTIFS(F$1:F10,F10,A$1:A10,A10)</f>
        <v>1</v>
      </c>
      <c r="P10" t="str">
        <f t="shared" si="2"/>
        <v>Matt Ryan6</v>
      </c>
    </row>
    <row r="11" spans="1:16" x14ac:dyDescent="0.25">
      <c r="A11">
        <v>15</v>
      </c>
      <c r="B11" t="s">
        <v>302</v>
      </c>
      <c r="C11" t="s">
        <v>5659</v>
      </c>
      <c r="D11">
        <v>23.93</v>
      </c>
      <c r="E11" t="s">
        <v>37</v>
      </c>
      <c r="F11" t="s">
        <v>15</v>
      </c>
      <c r="G11">
        <v>32.81</v>
      </c>
      <c r="H11">
        <v>15.05</v>
      </c>
      <c r="I11">
        <v>8.8800000000000008</v>
      </c>
      <c r="J11">
        <v>78.854399999999998</v>
      </c>
      <c r="K11" t="str">
        <f>IFERROR(INDEX(Rosters!$C$2:$C$155,MATCH($B11,Rosters!$B$2:$B$155,0)),"NA")</f>
        <v>matty</v>
      </c>
      <c r="L11" t="str">
        <f t="shared" si="0"/>
        <v>matty15QB</v>
      </c>
      <c r="M11">
        <f>COUNTIF(L$1:L11,L11)</f>
        <v>1</v>
      </c>
      <c r="N11" t="str">
        <f t="shared" si="1"/>
        <v>matty15QB-1</v>
      </c>
      <c r="O11">
        <f>COUNTIFS(F$1:F11,F11,A$1:A11,A11)</f>
        <v>1</v>
      </c>
      <c r="P11" t="str">
        <f t="shared" si="2"/>
        <v>Patrick Mahomes15</v>
      </c>
    </row>
    <row r="12" spans="1:16" x14ac:dyDescent="0.25">
      <c r="A12">
        <v>2</v>
      </c>
      <c r="B12" t="s">
        <v>21</v>
      </c>
      <c r="C12" t="s">
        <v>3295</v>
      </c>
      <c r="D12">
        <v>23.92</v>
      </c>
      <c r="E12" t="s">
        <v>52</v>
      </c>
      <c r="F12" t="s">
        <v>15</v>
      </c>
      <c r="G12">
        <v>30.25</v>
      </c>
      <c r="H12">
        <v>17.59</v>
      </c>
      <c r="I12">
        <v>6.33</v>
      </c>
      <c r="J12">
        <v>40.068899999999999</v>
      </c>
      <c r="K12" t="str">
        <f>IFERROR(INDEX(Rosters!$C$2:$C$155,MATCH($B12,Rosters!$B$2:$B$155,0)),"NA")</f>
        <v>scott</v>
      </c>
      <c r="L12" t="str">
        <f t="shared" si="0"/>
        <v>scott2QB</v>
      </c>
      <c r="M12">
        <f>COUNTIF(L$1:L12,L12)</f>
        <v>1</v>
      </c>
      <c r="N12" t="str">
        <f t="shared" si="1"/>
        <v>scott2QB-1</v>
      </c>
      <c r="O12">
        <f>COUNTIFS(F$1:F12,F12,A$1:A12,A12)</f>
        <v>1</v>
      </c>
      <c r="P12" t="str">
        <f t="shared" si="2"/>
        <v>Drew Brees2</v>
      </c>
    </row>
    <row r="13" spans="1:16" x14ac:dyDescent="0.25">
      <c r="A13">
        <v>14</v>
      </c>
      <c r="B13" t="s">
        <v>13</v>
      </c>
      <c r="C13" t="s">
        <v>5660</v>
      </c>
      <c r="D13">
        <v>23.91</v>
      </c>
      <c r="E13" t="s">
        <v>46</v>
      </c>
      <c r="F13" t="s">
        <v>15</v>
      </c>
      <c r="G13">
        <v>32.44</v>
      </c>
      <c r="H13">
        <v>15.38</v>
      </c>
      <c r="I13">
        <v>8.5299999999999994</v>
      </c>
      <c r="J13">
        <v>72.760900000000007</v>
      </c>
      <c r="K13" t="str">
        <f>IFERROR(INDEX(Rosters!$C$2:$C$155,MATCH($B13,Rosters!$B$2:$B$155,0)),"NA")</f>
        <v>cory</v>
      </c>
      <c r="L13" t="str">
        <f t="shared" si="0"/>
        <v>cory14QB</v>
      </c>
      <c r="M13">
        <f>COUNTIF(L$1:L13,L13)</f>
        <v>1</v>
      </c>
      <c r="N13" t="str">
        <f t="shared" si="1"/>
        <v>cory14QB-1</v>
      </c>
      <c r="O13">
        <f>COUNTIFS(F$1:F13,F13,A$1:A13,A13)</f>
        <v>1</v>
      </c>
      <c r="P13" t="str">
        <f t="shared" si="2"/>
        <v>Aaron Rodgers14</v>
      </c>
    </row>
    <row r="14" spans="1:16" x14ac:dyDescent="0.25">
      <c r="A14">
        <v>14</v>
      </c>
      <c r="B14" t="s">
        <v>21</v>
      </c>
      <c r="C14" t="s">
        <v>5661</v>
      </c>
      <c r="D14">
        <v>23.77</v>
      </c>
      <c r="E14" t="s">
        <v>17</v>
      </c>
      <c r="F14" t="s">
        <v>15</v>
      </c>
      <c r="G14">
        <v>31.25</v>
      </c>
      <c r="H14">
        <v>16.29</v>
      </c>
      <c r="I14">
        <v>7.48</v>
      </c>
      <c r="J14">
        <v>55.950400000000002</v>
      </c>
      <c r="K14" t="str">
        <f>IFERROR(INDEX(Rosters!$C$2:$C$155,MATCH($B14,Rosters!$B$2:$B$155,0)),"NA")</f>
        <v>scott</v>
      </c>
      <c r="L14" t="str">
        <f t="shared" si="0"/>
        <v>scott14QB</v>
      </c>
      <c r="M14">
        <f>COUNTIF(L$1:L14,L14)</f>
        <v>1</v>
      </c>
      <c r="N14" t="str">
        <f t="shared" si="1"/>
        <v>scott14QB-1</v>
      </c>
      <c r="O14">
        <f>COUNTIFS(F$1:F14,F14,A$1:A14,A14)</f>
        <v>2</v>
      </c>
      <c r="P14" t="str">
        <f t="shared" si="2"/>
        <v>Drew Brees14</v>
      </c>
    </row>
    <row r="15" spans="1:16" x14ac:dyDescent="0.25">
      <c r="A15">
        <v>13</v>
      </c>
      <c r="B15" t="s">
        <v>39</v>
      </c>
      <c r="C15" t="s">
        <v>5662</v>
      </c>
      <c r="D15">
        <v>23.74</v>
      </c>
      <c r="E15" t="s">
        <v>17</v>
      </c>
      <c r="F15" t="s">
        <v>15</v>
      </c>
      <c r="G15">
        <v>32.71</v>
      </c>
      <c r="H15">
        <v>14.77</v>
      </c>
      <c r="I15">
        <v>8.9700000000000006</v>
      </c>
      <c r="J15">
        <v>80.460899999999995</v>
      </c>
      <c r="K15" t="str">
        <f>IFERROR(INDEX(Rosters!$C$2:$C$155,MATCH($B15,Rosters!$B$2:$B$155,0)),"NA")</f>
        <v>devon</v>
      </c>
      <c r="L15" t="str">
        <f t="shared" si="0"/>
        <v>devon13QB</v>
      </c>
      <c r="M15">
        <f>COUNTIF(L$1:L15,L15)</f>
        <v>1</v>
      </c>
      <c r="N15" t="str">
        <f t="shared" si="1"/>
        <v>devon13QB-1</v>
      </c>
      <c r="O15">
        <f>COUNTIFS(F$1:F15,F15,A$1:A15,A15)</f>
        <v>2</v>
      </c>
      <c r="P15" t="str">
        <f t="shared" si="2"/>
        <v>Cam Newton13</v>
      </c>
    </row>
    <row r="16" spans="1:16" x14ac:dyDescent="0.25">
      <c r="A16">
        <v>14</v>
      </c>
      <c r="B16" t="s">
        <v>179</v>
      </c>
      <c r="C16" t="s">
        <v>5663</v>
      </c>
      <c r="D16">
        <v>23.59</v>
      </c>
      <c r="E16" t="s">
        <v>66</v>
      </c>
      <c r="F16" t="s">
        <v>15</v>
      </c>
      <c r="G16">
        <v>32.49</v>
      </c>
      <c r="H16">
        <v>14.69</v>
      </c>
      <c r="I16">
        <v>8.9</v>
      </c>
      <c r="J16">
        <v>79.209999999999994</v>
      </c>
      <c r="K16" t="str">
        <f>IFERROR(INDEX(Rosters!$C$2:$C$155,MATCH($B16,Rosters!$B$2:$B$155,0)),"NA")</f>
        <v>chad</v>
      </c>
      <c r="L16" t="str">
        <f t="shared" si="0"/>
        <v>chad14QB</v>
      </c>
      <c r="M16">
        <f>COUNTIF(L$1:L16,L16)</f>
        <v>1</v>
      </c>
      <c r="N16" t="str">
        <f t="shared" si="1"/>
        <v>chad14QB-1</v>
      </c>
      <c r="O16">
        <f>COUNTIFS(F$1:F16,F16,A$1:A16,A16)</f>
        <v>3</v>
      </c>
      <c r="P16" t="str">
        <f t="shared" si="2"/>
        <v>Deshaun Watson14</v>
      </c>
    </row>
    <row r="17" spans="1:16" x14ac:dyDescent="0.25">
      <c r="A17">
        <v>12</v>
      </c>
      <c r="B17" t="s">
        <v>21</v>
      </c>
      <c r="C17" t="s">
        <v>5664</v>
      </c>
      <c r="D17">
        <v>23.55</v>
      </c>
      <c r="E17" t="s">
        <v>46</v>
      </c>
      <c r="F17" t="s">
        <v>15</v>
      </c>
      <c r="G17">
        <v>31.55</v>
      </c>
      <c r="H17">
        <v>15.55</v>
      </c>
      <c r="I17">
        <v>8</v>
      </c>
      <c r="J17">
        <v>64</v>
      </c>
      <c r="K17" t="str">
        <f>IFERROR(INDEX(Rosters!$C$2:$C$155,MATCH($B17,Rosters!$B$2:$B$155,0)),"NA")</f>
        <v>scott</v>
      </c>
      <c r="L17" t="str">
        <f t="shared" si="0"/>
        <v>scott12QB</v>
      </c>
      <c r="M17">
        <f>COUNTIF(L$1:L17,L17)</f>
        <v>1</v>
      </c>
      <c r="N17" t="str">
        <f t="shared" si="1"/>
        <v>scott12QB-1</v>
      </c>
      <c r="O17">
        <f>COUNTIFS(F$1:F17,F17,A$1:A17,A17)</f>
        <v>2</v>
      </c>
      <c r="P17" t="str">
        <f t="shared" si="2"/>
        <v>Drew Brees12</v>
      </c>
    </row>
    <row r="18" spans="1:16" x14ac:dyDescent="0.25">
      <c r="A18">
        <v>9</v>
      </c>
      <c r="B18" t="s">
        <v>18</v>
      </c>
      <c r="C18" t="s">
        <v>5665</v>
      </c>
      <c r="D18">
        <v>23.35</v>
      </c>
      <c r="E18" t="s">
        <v>41</v>
      </c>
      <c r="F18" t="s">
        <v>15</v>
      </c>
      <c r="G18">
        <v>29.99</v>
      </c>
      <c r="H18">
        <v>16.71</v>
      </c>
      <c r="I18">
        <v>6.64</v>
      </c>
      <c r="J18">
        <v>44.089599999999997</v>
      </c>
      <c r="K18" t="str">
        <f>IFERROR(INDEX(Rosters!$C$2:$C$155,MATCH($B18,Rosters!$B$2:$B$155,0)),"NA")</f>
        <v>lucas</v>
      </c>
      <c r="L18" t="str">
        <f t="shared" si="0"/>
        <v>lucas9QB</v>
      </c>
      <c r="M18">
        <f>COUNTIF(L$1:L18,L18)</f>
        <v>1</v>
      </c>
      <c r="N18" t="str">
        <f t="shared" si="1"/>
        <v>lucas9QB-1</v>
      </c>
      <c r="O18">
        <f>COUNTIFS(F$1:F18,F18,A$1:A18,A18)</f>
        <v>2</v>
      </c>
      <c r="P18" t="str">
        <f t="shared" si="2"/>
        <v>Tom Brady9</v>
      </c>
    </row>
    <row r="19" spans="1:16" x14ac:dyDescent="0.25">
      <c r="A19">
        <v>16</v>
      </c>
      <c r="B19" t="s">
        <v>39</v>
      </c>
      <c r="C19" t="s">
        <v>5666</v>
      </c>
      <c r="D19">
        <v>23.31</v>
      </c>
      <c r="E19" t="s">
        <v>46</v>
      </c>
      <c r="F19" t="s">
        <v>15</v>
      </c>
      <c r="G19">
        <v>31.38</v>
      </c>
      <c r="H19">
        <v>15.24</v>
      </c>
      <c r="I19">
        <v>8.07</v>
      </c>
      <c r="J19">
        <v>65.124899999999997</v>
      </c>
      <c r="K19" t="str">
        <f>IFERROR(INDEX(Rosters!$C$2:$C$155,MATCH($B19,Rosters!$B$2:$B$155,0)),"NA")</f>
        <v>devon</v>
      </c>
      <c r="L19" t="str">
        <f t="shared" si="0"/>
        <v>devon16QB</v>
      </c>
      <c r="M19">
        <f>COUNTIF(L$1:L19,L19)</f>
        <v>1</v>
      </c>
      <c r="N19" t="str">
        <f t="shared" si="1"/>
        <v>devon16QB-1</v>
      </c>
      <c r="O19">
        <f>COUNTIFS(F$1:F19,F19,A$1:A19,A19)</f>
        <v>2</v>
      </c>
      <c r="P19" t="str">
        <f t="shared" si="2"/>
        <v>Cam Newton16</v>
      </c>
    </row>
    <row r="20" spans="1:16" x14ac:dyDescent="0.25">
      <c r="A20">
        <v>11</v>
      </c>
      <c r="B20" t="s">
        <v>26</v>
      </c>
      <c r="C20" t="s">
        <v>5667</v>
      </c>
      <c r="D20">
        <v>23.31</v>
      </c>
      <c r="E20" t="s">
        <v>22</v>
      </c>
      <c r="F20" t="s">
        <v>15</v>
      </c>
      <c r="G20">
        <v>30.6</v>
      </c>
      <c r="H20">
        <v>16.02</v>
      </c>
      <c r="I20">
        <v>7.29</v>
      </c>
      <c r="J20">
        <v>53.144100000000002</v>
      </c>
      <c r="K20" t="str">
        <f>IFERROR(INDEX(Rosters!$C$2:$C$155,MATCH($B20,Rosters!$B$2:$B$155,0)),"NA")</f>
        <v>aj</v>
      </c>
      <c r="L20" t="str">
        <f t="shared" si="0"/>
        <v>aj11QB</v>
      </c>
      <c r="M20">
        <f>COUNTIF(L$1:L20,L20)</f>
        <v>1</v>
      </c>
      <c r="N20" t="str">
        <f t="shared" si="1"/>
        <v>aj11QB-1</v>
      </c>
      <c r="O20">
        <f>COUNTIFS(F$1:F20,F20,A$1:A20,A20)</f>
        <v>1</v>
      </c>
      <c r="P20" t="str">
        <f t="shared" si="2"/>
        <v>Matt Ryan11</v>
      </c>
    </row>
    <row r="21" spans="1:16" x14ac:dyDescent="0.25">
      <c r="A21">
        <v>5</v>
      </c>
      <c r="B21" t="s">
        <v>39</v>
      </c>
      <c r="C21" t="s">
        <v>5668</v>
      </c>
      <c r="D21">
        <v>23.25</v>
      </c>
      <c r="E21" t="s">
        <v>54</v>
      </c>
      <c r="F21" t="s">
        <v>15</v>
      </c>
      <c r="G21">
        <v>31.5</v>
      </c>
      <c r="H21">
        <v>15</v>
      </c>
      <c r="I21">
        <v>8.25</v>
      </c>
      <c r="J21">
        <v>68.0625</v>
      </c>
      <c r="K21" t="str">
        <f>IFERROR(INDEX(Rosters!$C$2:$C$155,MATCH($B21,Rosters!$B$2:$B$155,0)),"NA")</f>
        <v>devon</v>
      </c>
      <c r="L21" t="str">
        <f t="shared" si="0"/>
        <v>devon5QB</v>
      </c>
      <c r="M21">
        <f>COUNTIF(L$1:L21,L21)</f>
        <v>1</v>
      </c>
      <c r="N21" t="str">
        <f t="shared" si="1"/>
        <v>devon5QB-1</v>
      </c>
      <c r="O21">
        <f>COUNTIFS(F$1:F21,F21,A$1:A21,A21)</f>
        <v>1</v>
      </c>
      <c r="P21" t="str">
        <f t="shared" si="2"/>
        <v>Cam Newton5</v>
      </c>
    </row>
    <row r="22" spans="1:16" x14ac:dyDescent="0.25">
      <c r="A22">
        <v>5</v>
      </c>
      <c r="B22" t="s">
        <v>179</v>
      </c>
      <c r="C22" t="s">
        <v>5669</v>
      </c>
      <c r="D22">
        <v>23.21</v>
      </c>
      <c r="E22" t="s">
        <v>22</v>
      </c>
      <c r="F22" t="s">
        <v>15</v>
      </c>
      <c r="G22">
        <v>31.7</v>
      </c>
      <c r="H22">
        <v>14.72</v>
      </c>
      <c r="I22">
        <v>8.49</v>
      </c>
      <c r="J22">
        <v>72.080100000000002</v>
      </c>
      <c r="K22" t="str">
        <f>IFERROR(INDEX(Rosters!$C$2:$C$155,MATCH($B22,Rosters!$B$2:$B$155,0)),"NA")</f>
        <v>chad</v>
      </c>
      <c r="L22" t="str">
        <f t="shared" si="0"/>
        <v>chad5QB</v>
      </c>
      <c r="M22">
        <f>COUNTIF(L$1:L22,L22)</f>
        <v>1</v>
      </c>
      <c r="N22" t="str">
        <f t="shared" si="1"/>
        <v>chad5QB-1</v>
      </c>
      <c r="O22">
        <f>COUNTIFS(F$1:F22,F22,A$1:A22,A22)</f>
        <v>2</v>
      </c>
      <c r="P22" t="str">
        <f t="shared" si="2"/>
        <v>Deshaun Watson5</v>
      </c>
    </row>
    <row r="23" spans="1:16" x14ac:dyDescent="0.25">
      <c r="A23">
        <v>15</v>
      </c>
      <c r="B23" t="s">
        <v>65</v>
      </c>
      <c r="C23" t="s">
        <v>5670</v>
      </c>
      <c r="D23">
        <v>23.18</v>
      </c>
      <c r="E23" t="s">
        <v>423</v>
      </c>
      <c r="F23" t="s">
        <v>15</v>
      </c>
      <c r="G23">
        <v>29.99</v>
      </c>
      <c r="H23">
        <v>16.37</v>
      </c>
      <c r="I23">
        <v>6.81</v>
      </c>
      <c r="J23">
        <v>46.376100000000001</v>
      </c>
      <c r="K23" t="str">
        <f>IFERROR(INDEX(Rosters!$C$2:$C$155,MATCH($B23,Rosters!$B$2:$B$155,0)),"NA")</f>
        <v>lucas</v>
      </c>
      <c r="L23" t="str">
        <f t="shared" si="0"/>
        <v>lucas15QB</v>
      </c>
      <c r="M23">
        <f>COUNTIF(L$1:L23,L23)</f>
        <v>1</v>
      </c>
      <c r="N23" t="str">
        <f t="shared" si="1"/>
        <v>lucas15QB-1</v>
      </c>
      <c r="O23">
        <f>COUNTIFS(F$1:F23,F23,A$1:A23,A23)</f>
        <v>2</v>
      </c>
      <c r="P23" t="str">
        <f t="shared" si="2"/>
        <v>Ben Roethlisberger15</v>
      </c>
    </row>
    <row r="24" spans="1:16" x14ac:dyDescent="0.25">
      <c r="A24">
        <v>1</v>
      </c>
      <c r="B24" t="s">
        <v>18</v>
      </c>
      <c r="C24" t="s">
        <v>1263</v>
      </c>
      <c r="D24">
        <v>23.16</v>
      </c>
      <c r="E24" t="s">
        <v>36</v>
      </c>
      <c r="F24" t="s">
        <v>15</v>
      </c>
      <c r="G24">
        <v>30.77</v>
      </c>
      <c r="H24">
        <v>15.55</v>
      </c>
      <c r="I24">
        <v>7.61</v>
      </c>
      <c r="J24">
        <v>57.912100000000002</v>
      </c>
      <c r="K24" t="str">
        <f>IFERROR(INDEX(Rosters!$C$2:$C$155,MATCH($B24,Rosters!$B$2:$B$155,0)),"NA")</f>
        <v>lucas</v>
      </c>
      <c r="L24" t="str">
        <f t="shared" si="0"/>
        <v>lucas1QB</v>
      </c>
      <c r="M24">
        <f>COUNTIF(L$1:L24,L24)</f>
        <v>1</v>
      </c>
      <c r="N24" t="str">
        <f t="shared" si="1"/>
        <v>lucas1QB-1</v>
      </c>
      <c r="O24">
        <f>COUNTIFS(F$1:F24,F24,A$1:A24,A24)</f>
        <v>2</v>
      </c>
      <c r="P24" t="str">
        <f t="shared" si="2"/>
        <v>Tom Brady1</v>
      </c>
    </row>
    <row r="25" spans="1:16" x14ac:dyDescent="0.25">
      <c r="A25">
        <v>6</v>
      </c>
      <c r="B25" t="s">
        <v>18</v>
      </c>
      <c r="C25" t="s">
        <v>5671</v>
      </c>
      <c r="D25">
        <v>23.1</v>
      </c>
      <c r="E25" t="s">
        <v>24</v>
      </c>
      <c r="F25" t="s">
        <v>15</v>
      </c>
      <c r="G25">
        <v>29.6</v>
      </c>
      <c r="H25">
        <v>16.600000000000001</v>
      </c>
      <c r="I25">
        <v>6.5</v>
      </c>
      <c r="J25">
        <v>42.25</v>
      </c>
      <c r="K25" t="str">
        <f>IFERROR(INDEX(Rosters!$C$2:$C$155,MATCH($B25,Rosters!$B$2:$B$155,0)),"NA")</f>
        <v>lucas</v>
      </c>
      <c r="L25" t="str">
        <f t="shared" si="0"/>
        <v>lucas6QB</v>
      </c>
      <c r="M25">
        <f>COUNTIF(L$1:L25,L25)</f>
        <v>1</v>
      </c>
      <c r="N25" t="str">
        <f t="shared" si="1"/>
        <v>lucas6QB-1</v>
      </c>
      <c r="O25">
        <f>COUNTIFS(F$1:F25,F25,A$1:A25,A25)</f>
        <v>2</v>
      </c>
      <c r="P25" t="str">
        <f t="shared" si="2"/>
        <v>Tom Brady6</v>
      </c>
    </row>
    <row r="26" spans="1:16" x14ac:dyDescent="0.25">
      <c r="A26">
        <v>15</v>
      </c>
      <c r="B26" t="s">
        <v>39</v>
      </c>
      <c r="C26" t="s">
        <v>5672</v>
      </c>
      <c r="D26">
        <v>23.05</v>
      </c>
      <c r="E26" t="s">
        <v>14</v>
      </c>
      <c r="F26" t="s">
        <v>15</v>
      </c>
      <c r="G26">
        <v>32.19</v>
      </c>
      <c r="H26">
        <v>13.91</v>
      </c>
      <c r="I26">
        <v>9.14</v>
      </c>
      <c r="J26">
        <v>83.539599999999993</v>
      </c>
      <c r="K26" t="str">
        <f>IFERROR(INDEX(Rosters!$C$2:$C$155,MATCH($B26,Rosters!$B$2:$B$155,0)),"NA")</f>
        <v>devon</v>
      </c>
      <c r="L26" t="str">
        <f t="shared" si="0"/>
        <v>devon15QB</v>
      </c>
      <c r="M26">
        <f>COUNTIF(L$1:L26,L26)</f>
        <v>1</v>
      </c>
      <c r="N26" t="str">
        <f t="shared" si="1"/>
        <v>devon15QB-1</v>
      </c>
      <c r="O26">
        <f>COUNTIFS(F$1:F26,F26,A$1:A26,A26)</f>
        <v>3</v>
      </c>
      <c r="P26" t="str">
        <f t="shared" si="2"/>
        <v>Cam Newton15</v>
      </c>
    </row>
    <row r="27" spans="1:16" x14ac:dyDescent="0.25">
      <c r="A27">
        <v>17</v>
      </c>
      <c r="B27" t="s">
        <v>13</v>
      </c>
      <c r="C27" t="s">
        <v>5673</v>
      </c>
      <c r="D27">
        <v>23</v>
      </c>
      <c r="E27" t="s">
        <v>34</v>
      </c>
      <c r="F27" t="s">
        <v>15</v>
      </c>
      <c r="G27">
        <v>31</v>
      </c>
      <c r="H27">
        <v>15</v>
      </c>
      <c r="I27">
        <v>8</v>
      </c>
      <c r="J27">
        <v>64</v>
      </c>
      <c r="K27" t="str">
        <f>IFERROR(INDEX(Rosters!$C$2:$C$155,MATCH($B27,Rosters!$B$2:$B$155,0)),"NA")</f>
        <v>cory</v>
      </c>
      <c r="L27" t="str">
        <f t="shared" si="0"/>
        <v>cory17QB</v>
      </c>
      <c r="M27">
        <f>COUNTIF(L$1:L27,L27)</f>
        <v>1</v>
      </c>
      <c r="N27" t="str">
        <f t="shared" si="1"/>
        <v>cory17QB-1</v>
      </c>
      <c r="O27">
        <f>COUNTIFS(F$1:F27,F27,A$1:A27,A27)</f>
        <v>2</v>
      </c>
      <c r="P27" t="str">
        <f t="shared" si="2"/>
        <v>Aaron Rodgers17</v>
      </c>
    </row>
    <row r="28" spans="1:16" x14ac:dyDescent="0.25">
      <c r="A28">
        <v>8</v>
      </c>
      <c r="B28" t="s">
        <v>179</v>
      </c>
      <c r="C28" t="s">
        <v>5674</v>
      </c>
      <c r="D28">
        <v>22.91</v>
      </c>
      <c r="E28" t="s">
        <v>19</v>
      </c>
      <c r="F28" t="s">
        <v>15</v>
      </c>
      <c r="G28">
        <v>31.69</v>
      </c>
      <c r="H28">
        <v>14.13</v>
      </c>
      <c r="I28">
        <v>8.7799999999999994</v>
      </c>
      <c r="J28">
        <v>77.088399999999993</v>
      </c>
      <c r="K28" t="str">
        <f>IFERROR(INDEX(Rosters!$C$2:$C$155,MATCH($B28,Rosters!$B$2:$B$155,0)),"NA")</f>
        <v>chad</v>
      </c>
      <c r="L28" t="str">
        <f t="shared" si="0"/>
        <v>chad8QB</v>
      </c>
      <c r="M28">
        <f>COUNTIF(L$1:L28,L28)</f>
        <v>1</v>
      </c>
      <c r="N28" t="str">
        <f t="shared" si="1"/>
        <v>chad8QB-1</v>
      </c>
      <c r="O28">
        <f>COUNTIFS(F$1:F28,F28,A$1:A28,A28)</f>
        <v>1</v>
      </c>
      <c r="P28" t="str">
        <f t="shared" si="2"/>
        <v>Deshaun Watson8</v>
      </c>
    </row>
    <row r="29" spans="1:16" x14ac:dyDescent="0.25">
      <c r="A29">
        <v>13</v>
      </c>
      <c r="B29" t="s">
        <v>21</v>
      </c>
      <c r="C29" t="s">
        <v>5675</v>
      </c>
      <c r="D29">
        <v>22.89</v>
      </c>
      <c r="E29" t="s">
        <v>22</v>
      </c>
      <c r="F29" t="s">
        <v>15</v>
      </c>
      <c r="G29">
        <v>30.6</v>
      </c>
      <c r="H29">
        <v>15.18</v>
      </c>
      <c r="I29">
        <v>7.71</v>
      </c>
      <c r="J29">
        <v>59.444099999999999</v>
      </c>
      <c r="K29" t="str">
        <f>IFERROR(INDEX(Rosters!$C$2:$C$155,MATCH($B29,Rosters!$B$2:$B$155,0)),"NA")</f>
        <v>scott</v>
      </c>
      <c r="L29" t="str">
        <f t="shared" si="0"/>
        <v>scott13QB</v>
      </c>
      <c r="M29">
        <f>COUNTIF(L$1:L29,L29)</f>
        <v>1</v>
      </c>
      <c r="N29" t="str">
        <f t="shared" si="1"/>
        <v>scott13QB-1</v>
      </c>
      <c r="O29">
        <f>COUNTIFS(F$1:F29,F29,A$1:A29,A29)</f>
        <v>3</v>
      </c>
      <c r="P29" t="str">
        <f t="shared" si="2"/>
        <v>Drew Brees13</v>
      </c>
    </row>
    <row r="30" spans="1:16" x14ac:dyDescent="0.25">
      <c r="A30">
        <v>5</v>
      </c>
      <c r="B30" t="s">
        <v>18</v>
      </c>
      <c r="C30" t="s">
        <v>5676</v>
      </c>
      <c r="D30">
        <v>22.87</v>
      </c>
      <c r="E30" t="s">
        <v>66</v>
      </c>
      <c r="F30" t="s">
        <v>15</v>
      </c>
      <c r="G30">
        <v>30.91</v>
      </c>
      <c r="H30">
        <v>14.83</v>
      </c>
      <c r="I30">
        <v>8.0399999999999991</v>
      </c>
      <c r="J30">
        <v>64.641599999999997</v>
      </c>
      <c r="K30" t="str">
        <f>IFERROR(INDEX(Rosters!$C$2:$C$155,MATCH($B30,Rosters!$B$2:$B$155,0)),"NA")</f>
        <v>lucas</v>
      </c>
      <c r="L30" t="str">
        <f t="shared" si="0"/>
        <v>lucas5QB</v>
      </c>
      <c r="M30">
        <f>COUNTIF(L$1:L30,L30)</f>
        <v>1</v>
      </c>
      <c r="N30" t="str">
        <f t="shared" si="1"/>
        <v>lucas5QB-1</v>
      </c>
      <c r="O30">
        <f>COUNTIFS(F$1:F30,F30,A$1:A30,A30)</f>
        <v>3</v>
      </c>
      <c r="P30" t="str">
        <f t="shared" si="2"/>
        <v>Tom Brady5</v>
      </c>
    </row>
    <row r="31" spans="1:16" x14ac:dyDescent="0.25">
      <c r="A31">
        <v>5</v>
      </c>
      <c r="B31" t="s">
        <v>65</v>
      </c>
      <c r="C31" t="s">
        <v>5677</v>
      </c>
      <c r="D31">
        <v>22.82</v>
      </c>
      <c r="E31" t="s">
        <v>46</v>
      </c>
      <c r="F31" t="s">
        <v>15</v>
      </c>
      <c r="G31">
        <v>31.19</v>
      </c>
      <c r="H31">
        <v>14.45</v>
      </c>
      <c r="I31">
        <v>8.3699999999999992</v>
      </c>
      <c r="J31">
        <v>70.056899999999999</v>
      </c>
      <c r="K31" t="str">
        <f>IFERROR(INDEX(Rosters!$C$2:$C$155,MATCH($B31,Rosters!$B$2:$B$155,0)),"NA")</f>
        <v>lucas</v>
      </c>
      <c r="L31" t="str">
        <f t="shared" si="0"/>
        <v>lucas5QB</v>
      </c>
      <c r="M31">
        <f>COUNTIF(L$1:L31,L31)</f>
        <v>2</v>
      </c>
      <c r="N31" t="str">
        <f t="shared" si="1"/>
        <v>lucas5QB-2</v>
      </c>
      <c r="O31">
        <f>COUNTIFS(F$1:F31,F31,A$1:A31,A31)</f>
        <v>4</v>
      </c>
      <c r="P31" t="str">
        <f t="shared" si="2"/>
        <v>Ben Roethlisberger5</v>
      </c>
    </row>
    <row r="32" spans="1:16" x14ac:dyDescent="0.25">
      <c r="A32">
        <v>11</v>
      </c>
      <c r="B32" t="s">
        <v>39</v>
      </c>
      <c r="C32" t="s">
        <v>5678</v>
      </c>
      <c r="D32">
        <v>22.7</v>
      </c>
      <c r="E32" t="s">
        <v>34</v>
      </c>
      <c r="F32" t="s">
        <v>15</v>
      </c>
      <c r="G32">
        <v>31.8</v>
      </c>
      <c r="H32">
        <v>13.6</v>
      </c>
      <c r="I32">
        <v>9.1</v>
      </c>
      <c r="J32">
        <v>82.81</v>
      </c>
      <c r="K32" t="str">
        <f>IFERROR(INDEX(Rosters!$C$2:$C$155,MATCH($B32,Rosters!$B$2:$B$155,0)),"NA")</f>
        <v>devon</v>
      </c>
      <c r="L32" t="str">
        <f t="shared" si="0"/>
        <v>devon11QB</v>
      </c>
      <c r="M32">
        <f>COUNTIF(L$1:L32,L32)</f>
        <v>1</v>
      </c>
      <c r="N32" t="str">
        <f t="shared" si="1"/>
        <v>devon11QB-1</v>
      </c>
      <c r="O32">
        <f>COUNTIFS(F$1:F32,F32,A$1:A32,A32)</f>
        <v>2</v>
      </c>
      <c r="P32" t="str">
        <f t="shared" si="2"/>
        <v>Cam Newton11</v>
      </c>
    </row>
    <row r="33" spans="1:16" x14ac:dyDescent="0.25">
      <c r="A33">
        <v>4</v>
      </c>
      <c r="B33" t="s">
        <v>21</v>
      </c>
      <c r="C33" t="s">
        <v>4396</v>
      </c>
      <c r="D33">
        <v>22.68</v>
      </c>
      <c r="E33" t="s">
        <v>54</v>
      </c>
      <c r="F33" t="s">
        <v>15</v>
      </c>
      <c r="G33">
        <v>30.23</v>
      </c>
      <c r="H33">
        <v>15.13</v>
      </c>
      <c r="I33">
        <v>7.55</v>
      </c>
      <c r="J33">
        <v>57.002499999999998</v>
      </c>
      <c r="K33" t="str">
        <f>IFERROR(INDEX(Rosters!$C$2:$C$155,MATCH($B33,Rosters!$B$2:$B$155,0)),"NA")</f>
        <v>scott</v>
      </c>
      <c r="L33" t="str">
        <f t="shared" si="0"/>
        <v>scott4QB</v>
      </c>
      <c r="M33">
        <f>COUNTIF(L$1:L33,L33)</f>
        <v>1</v>
      </c>
      <c r="N33" t="str">
        <f t="shared" si="1"/>
        <v>scott4QB-1</v>
      </c>
      <c r="O33">
        <f>COUNTIFS(F$1:F33,F33,A$1:A33,A33)</f>
        <v>1</v>
      </c>
      <c r="P33" t="str">
        <f t="shared" si="2"/>
        <v>Drew Brees4</v>
      </c>
    </row>
    <row r="34" spans="1:16" x14ac:dyDescent="0.25">
      <c r="A34">
        <v>17</v>
      </c>
      <c r="B34" t="s">
        <v>26</v>
      </c>
      <c r="C34" t="s">
        <v>5679</v>
      </c>
      <c r="D34">
        <v>22.66</v>
      </c>
      <c r="E34" t="s">
        <v>17</v>
      </c>
      <c r="F34" t="s">
        <v>15</v>
      </c>
      <c r="G34">
        <v>30.05</v>
      </c>
      <c r="H34">
        <v>15.27</v>
      </c>
      <c r="I34">
        <v>7.39</v>
      </c>
      <c r="J34">
        <v>54.612099999999998</v>
      </c>
      <c r="K34" t="str">
        <f>IFERROR(INDEX(Rosters!$C$2:$C$155,MATCH($B34,Rosters!$B$2:$B$155,0)),"NA")</f>
        <v>aj</v>
      </c>
      <c r="L34" t="str">
        <f t="shared" si="0"/>
        <v>aj17QB</v>
      </c>
      <c r="M34">
        <f>COUNTIF(L$1:L34,L34)</f>
        <v>1</v>
      </c>
      <c r="N34" t="str">
        <f t="shared" si="1"/>
        <v>aj17QB-1</v>
      </c>
      <c r="O34">
        <f>COUNTIFS(F$1:F34,F34,A$1:A34,A34)</f>
        <v>3</v>
      </c>
      <c r="P34" t="str">
        <f t="shared" si="2"/>
        <v>Matt Ryan17</v>
      </c>
    </row>
    <row r="35" spans="1:16" x14ac:dyDescent="0.25">
      <c r="A35">
        <v>4</v>
      </c>
      <c r="B35" t="s">
        <v>13</v>
      </c>
      <c r="C35" t="s">
        <v>4397</v>
      </c>
      <c r="D35">
        <v>22.61</v>
      </c>
      <c r="E35" t="s">
        <v>29</v>
      </c>
      <c r="F35" t="s">
        <v>15</v>
      </c>
      <c r="G35">
        <v>29.71</v>
      </c>
      <c r="H35">
        <v>15.51</v>
      </c>
      <c r="I35">
        <v>7.1</v>
      </c>
      <c r="J35">
        <v>50.41</v>
      </c>
      <c r="K35" t="str">
        <f>IFERROR(INDEX(Rosters!$C$2:$C$155,MATCH($B35,Rosters!$B$2:$B$155,0)),"NA")</f>
        <v>cory</v>
      </c>
      <c r="L35" t="str">
        <f t="shared" si="0"/>
        <v>cory4QB</v>
      </c>
      <c r="M35">
        <f>COUNTIF(L$1:L35,L35)</f>
        <v>1</v>
      </c>
      <c r="N35" t="str">
        <f t="shared" si="1"/>
        <v>cory4QB-1</v>
      </c>
      <c r="O35">
        <f>COUNTIFS(F$1:F35,F35,A$1:A35,A35)</f>
        <v>2</v>
      </c>
      <c r="P35" t="str">
        <f t="shared" si="2"/>
        <v>Aaron Rodgers4</v>
      </c>
    </row>
    <row r="36" spans="1:16" x14ac:dyDescent="0.25">
      <c r="A36">
        <v>14</v>
      </c>
      <c r="B36" t="s">
        <v>65</v>
      </c>
      <c r="C36" t="s">
        <v>5680</v>
      </c>
      <c r="D36">
        <v>22.6</v>
      </c>
      <c r="E36" t="s">
        <v>32</v>
      </c>
      <c r="F36" t="s">
        <v>15</v>
      </c>
      <c r="G36">
        <v>29.68</v>
      </c>
      <c r="H36">
        <v>15.52</v>
      </c>
      <c r="I36">
        <v>7.08</v>
      </c>
      <c r="J36">
        <v>50.126399999999997</v>
      </c>
      <c r="K36" t="str">
        <f>IFERROR(INDEX(Rosters!$C$2:$C$155,MATCH($B36,Rosters!$B$2:$B$155,0)),"NA")</f>
        <v>lucas</v>
      </c>
      <c r="L36" t="str">
        <f t="shared" si="0"/>
        <v>lucas14QB</v>
      </c>
      <c r="M36">
        <f>COUNTIF(L$1:L36,L36)</f>
        <v>1</v>
      </c>
      <c r="N36" t="str">
        <f t="shared" si="1"/>
        <v>lucas14QB-1</v>
      </c>
      <c r="O36">
        <f>COUNTIFS(F$1:F36,F36,A$1:A36,A36)</f>
        <v>4</v>
      </c>
      <c r="P36" t="str">
        <f t="shared" si="2"/>
        <v>Ben Roethlisberger14</v>
      </c>
    </row>
    <row r="37" spans="1:16" x14ac:dyDescent="0.25">
      <c r="A37">
        <v>7</v>
      </c>
      <c r="B37" t="s">
        <v>79</v>
      </c>
      <c r="C37" t="s">
        <v>5681</v>
      </c>
      <c r="D37">
        <v>22.59</v>
      </c>
      <c r="E37" t="s">
        <v>36</v>
      </c>
      <c r="F37" t="s">
        <v>15</v>
      </c>
      <c r="G37">
        <v>30.45</v>
      </c>
      <c r="H37">
        <v>14.73</v>
      </c>
      <c r="I37">
        <v>7.86</v>
      </c>
      <c r="J37">
        <v>61.779600000000002</v>
      </c>
      <c r="K37" t="str">
        <f>IFERROR(INDEX(Rosters!$C$2:$C$155,MATCH($B37,Rosters!$B$2:$B$155,0)),"NA")</f>
        <v>NA</v>
      </c>
      <c r="L37" t="str">
        <f t="shared" si="0"/>
        <v>NA7QB</v>
      </c>
      <c r="M37">
        <f>COUNTIF(L$1:L37,L37)</f>
        <v>1</v>
      </c>
      <c r="N37" t="str">
        <f t="shared" si="1"/>
        <v>NA7QB-1</v>
      </c>
      <c r="O37">
        <f>COUNTIFS(F$1:F37,F37,A$1:A37,A37)</f>
        <v>2</v>
      </c>
      <c r="P37" t="str">
        <f t="shared" si="2"/>
        <v>Blake Bortles7</v>
      </c>
    </row>
    <row r="38" spans="1:16" x14ac:dyDescent="0.25">
      <c r="A38">
        <v>6</v>
      </c>
      <c r="B38" t="s">
        <v>302</v>
      </c>
      <c r="C38" t="s">
        <v>5682</v>
      </c>
      <c r="D38">
        <v>22.49</v>
      </c>
      <c r="E38" t="s">
        <v>423</v>
      </c>
      <c r="F38" t="s">
        <v>15</v>
      </c>
      <c r="G38">
        <v>29.75</v>
      </c>
      <c r="H38">
        <v>15.23</v>
      </c>
      <c r="I38">
        <v>7.26</v>
      </c>
      <c r="J38">
        <v>52.707599999999999</v>
      </c>
      <c r="K38" t="str">
        <f>IFERROR(INDEX(Rosters!$C$2:$C$155,MATCH($B38,Rosters!$B$2:$B$155,0)),"NA")</f>
        <v>matty</v>
      </c>
      <c r="L38" t="str">
        <f t="shared" si="0"/>
        <v>matty6QB</v>
      </c>
      <c r="M38">
        <f>COUNTIF(L$1:L38,L38)</f>
        <v>1</v>
      </c>
      <c r="N38" t="str">
        <f t="shared" si="1"/>
        <v>matty6QB-1</v>
      </c>
      <c r="O38">
        <f>COUNTIFS(F$1:F38,F38,A$1:A38,A38)</f>
        <v>3</v>
      </c>
      <c r="P38" t="str">
        <f t="shared" si="2"/>
        <v>Patrick Mahomes6</v>
      </c>
    </row>
    <row r="39" spans="1:16" x14ac:dyDescent="0.25">
      <c r="A39">
        <v>1</v>
      </c>
      <c r="B39" t="s">
        <v>13</v>
      </c>
      <c r="C39" t="s">
        <v>1264</v>
      </c>
      <c r="D39">
        <v>22.36</v>
      </c>
      <c r="E39" t="s">
        <v>72</v>
      </c>
      <c r="F39" t="s">
        <v>15</v>
      </c>
      <c r="G39">
        <v>31.46</v>
      </c>
      <c r="H39">
        <v>13.26</v>
      </c>
      <c r="I39">
        <v>9.1</v>
      </c>
      <c r="J39">
        <v>82.81</v>
      </c>
      <c r="K39" t="str">
        <f>IFERROR(INDEX(Rosters!$C$2:$C$155,MATCH($B39,Rosters!$B$2:$B$155,0)),"NA")</f>
        <v>cory</v>
      </c>
      <c r="L39" t="str">
        <f t="shared" si="0"/>
        <v>cory1QB</v>
      </c>
      <c r="M39">
        <f>COUNTIF(L$1:L39,L39)</f>
        <v>1</v>
      </c>
      <c r="N39" t="str">
        <f t="shared" si="1"/>
        <v>cory1QB-1</v>
      </c>
      <c r="O39">
        <f>COUNTIFS(F$1:F39,F39,A$1:A39,A39)</f>
        <v>3</v>
      </c>
      <c r="P39" t="str">
        <f t="shared" si="2"/>
        <v>Aaron Rodgers1</v>
      </c>
    </row>
    <row r="40" spans="1:16" x14ac:dyDescent="0.25">
      <c r="A40">
        <v>12</v>
      </c>
      <c r="B40" t="s">
        <v>26</v>
      </c>
      <c r="C40" t="s">
        <v>5683</v>
      </c>
      <c r="D40">
        <v>22.26</v>
      </c>
      <c r="E40" t="s">
        <v>14</v>
      </c>
      <c r="F40" t="s">
        <v>15</v>
      </c>
      <c r="G40">
        <v>29.73</v>
      </c>
      <c r="H40">
        <v>14.79</v>
      </c>
      <c r="I40">
        <v>7.47</v>
      </c>
      <c r="J40">
        <v>55.800899999999999</v>
      </c>
      <c r="K40" t="str">
        <f>IFERROR(INDEX(Rosters!$C$2:$C$155,MATCH($B40,Rosters!$B$2:$B$155,0)),"NA")</f>
        <v>aj</v>
      </c>
      <c r="L40" t="str">
        <f t="shared" si="0"/>
        <v>aj12QB</v>
      </c>
      <c r="M40">
        <f>COUNTIF(L$1:L40,L40)</f>
        <v>1</v>
      </c>
      <c r="N40" t="str">
        <f t="shared" si="1"/>
        <v>aj12QB-1</v>
      </c>
      <c r="O40">
        <f>COUNTIFS(F$1:F40,F40,A$1:A40,A40)</f>
        <v>3</v>
      </c>
      <c r="P40" t="str">
        <f t="shared" si="2"/>
        <v>Matt Ryan12</v>
      </c>
    </row>
    <row r="41" spans="1:16" x14ac:dyDescent="0.25">
      <c r="A41">
        <v>10</v>
      </c>
      <c r="B41" t="s">
        <v>80</v>
      </c>
      <c r="C41" t="s">
        <v>5684</v>
      </c>
      <c r="D41">
        <v>22.25</v>
      </c>
      <c r="E41" t="s">
        <v>22</v>
      </c>
      <c r="F41" t="s">
        <v>15</v>
      </c>
      <c r="G41">
        <v>31.02</v>
      </c>
      <c r="H41">
        <v>13.48</v>
      </c>
      <c r="I41">
        <v>8.77</v>
      </c>
      <c r="J41">
        <v>76.912899999999993</v>
      </c>
      <c r="K41" t="str">
        <f>IFERROR(INDEX(Rosters!$C$2:$C$155,MATCH($B41,Rosters!$B$2:$B$155,0)),"NA")</f>
        <v>perry</v>
      </c>
      <c r="L41" t="str">
        <f t="shared" si="0"/>
        <v>perry10QB</v>
      </c>
      <c r="M41">
        <f>COUNTIF(L$1:L41,L41)</f>
        <v>1</v>
      </c>
      <c r="N41" t="str">
        <f t="shared" si="1"/>
        <v>perry10QB-1</v>
      </c>
      <c r="O41">
        <f>COUNTIFS(F$1:F41,F41,A$1:A41,A41)</f>
        <v>1</v>
      </c>
      <c r="P41" t="str">
        <f t="shared" si="2"/>
        <v>Carson Wentz10</v>
      </c>
    </row>
    <row r="42" spans="1:16" x14ac:dyDescent="0.25">
      <c r="A42">
        <v>4</v>
      </c>
      <c r="B42" t="s">
        <v>179</v>
      </c>
      <c r="C42" t="s">
        <v>4398</v>
      </c>
      <c r="D42">
        <v>22.18</v>
      </c>
      <c r="E42" t="s">
        <v>66</v>
      </c>
      <c r="F42" t="s">
        <v>15</v>
      </c>
      <c r="G42">
        <v>30.38</v>
      </c>
      <c r="H42">
        <v>13.98</v>
      </c>
      <c r="I42">
        <v>8.1999999999999993</v>
      </c>
      <c r="J42">
        <v>67.239999999999995</v>
      </c>
      <c r="K42" t="str">
        <f>IFERROR(INDEX(Rosters!$C$2:$C$155,MATCH($B42,Rosters!$B$2:$B$155,0)),"NA")</f>
        <v>chad</v>
      </c>
      <c r="L42" t="str">
        <f t="shared" si="0"/>
        <v>chad4QB</v>
      </c>
      <c r="M42">
        <f>COUNTIF(L$1:L42,L42)</f>
        <v>1</v>
      </c>
      <c r="N42" t="str">
        <f t="shared" si="1"/>
        <v>chad4QB-1</v>
      </c>
      <c r="O42">
        <f>COUNTIFS(F$1:F42,F42,A$1:A42,A42)</f>
        <v>3</v>
      </c>
      <c r="P42" t="str">
        <f t="shared" si="2"/>
        <v>Deshaun Watson4</v>
      </c>
    </row>
    <row r="43" spans="1:16" x14ac:dyDescent="0.25">
      <c r="A43">
        <v>11</v>
      </c>
      <c r="B43" t="s">
        <v>95</v>
      </c>
      <c r="C43" t="s">
        <v>5685</v>
      </c>
      <c r="D43">
        <v>22.17</v>
      </c>
      <c r="E43" t="s">
        <v>36</v>
      </c>
      <c r="F43" t="s">
        <v>15</v>
      </c>
      <c r="G43">
        <v>30.41</v>
      </c>
      <c r="H43">
        <v>13.93</v>
      </c>
      <c r="I43">
        <v>8.24</v>
      </c>
      <c r="J43">
        <v>67.897599999999997</v>
      </c>
      <c r="K43" t="str">
        <f>IFERROR(INDEX(Rosters!$C$2:$C$155,MATCH($B43,Rosters!$B$2:$B$155,0)),"NA")</f>
        <v>matty</v>
      </c>
      <c r="L43" t="str">
        <f t="shared" si="0"/>
        <v>matty11QB</v>
      </c>
      <c r="M43">
        <f>COUNTIF(L$1:L43,L43)</f>
        <v>1</v>
      </c>
      <c r="N43" t="str">
        <f t="shared" si="1"/>
        <v>matty11QB-1</v>
      </c>
      <c r="O43">
        <f>COUNTIFS(F$1:F43,F43,A$1:A43,A43)</f>
        <v>3</v>
      </c>
      <c r="P43" t="str">
        <f t="shared" si="2"/>
        <v>Alex Smith11</v>
      </c>
    </row>
    <row r="44" spans="1:16" x14ac:dyDescent="0.25">
      <c r="A44">
        <v>12</v>
      </c>
      <c r="B44" t="s">
        <v>57</v>
      </c>
      <c r="C44" t="s">
        <v>5686</v>
      </c>
      <c r="D44">
        <v>22.12</v>
      </c>
      <c r="E44" t="s">
        <v>60</v>
      </c>
      <c r="F44" t="s">
        <v>47</v>
      </c>
      <c r="G44">
        <v>32.61</v>
      </c>
      <c r="H44">
        <v>11.63</v>
      </c>
      <c r="I44">
        <v>10.49</v>
      </c>
      <c r="J44">
        <v>110.0401</v>
      </c>
      <c r="K44" t="str">
        <f>IFERROR(INDEX(Rosters!$C$2:$C$155,MATCH($B44,Rosters!$B$2:$B$155,0)),"NA")</f>
        <v>perry</v>
      </c>
      <c r="L44" t="str">
        <f t="shared" si="0"/>
        <v>perry12RB</v>
      </c>
      <c r="M44">
        <f>COUNTIF(L$1:L44,L44)</f>
        <v>1</v>
      </c>
      <c r="N44" t="str">
        <f t="shared" si="1"/>
        <v>perry12RB-1</v>
      </c>
      <c r="O44">
        <f>COUNTIFS(F$1:F44,F44,A$1:A44,A44)</f>
        <v>1</v>
      </c>
      <c r="P44" t="str">
        <f t="shared" si="2"/>
        <v>Ezekiel Elliott12</v>
      </c>
    </row>
    <row r="45" spans="1:16" x14ac:dyDescent="0.25">
      <c r="A45">
        <v>17</v>
      </c>
      <c r="B45" t="s">
        <v>83</v>
      </c>
      <c r="C45" t="s">
        <v>5687</v>
      </c>
      <c r="D45">
        <v>22.11</v>
      </c>
      <c r="E45" t="s">
        <v>30</v>
      </c>
      <c r="F45" t="s">
        <v>15</v>
      </c>
      <c r="G45">
        <v>28.87</v>
      </c>
      <c r="H45">
        <v>15.35</v>
      </c>
      <c r="I45">
        <v>6.76</v>
      </c>
      <c r="J45">
        <v>45.697600000000001</v>
      </c>
      <c r="K45" t="str">
        <f>IFERROR(INDEX(Rosters!$C$2:$C$155,MATCH($B45,Rosters!$B$2:$B$155,0)),"NA")</f>
        <v>cory</v>
      </c>
      <c r="L45" t="str">
        <f t="shared" si="0"/>
        <v>cory17QB</v>
      </c>
      <c r="M45">
        <f>COUNTIF(L$1:L45,L45)</f>
        <v>2</v>
      </c>
      <c r="N45" t="str">
        <f t="shared" si="1"/>
        <v>cory17QB-2</v>
      </c>
      <c r="O45">
        <f>COUNTIFS(F$1:F45,F45,A$1:A45,A45)</f>
        <v>4</v>
      </c>
      <c r="P45" t="str">
        <f t="shared" si="2"/>
        <v>Jared Goff17</v>
      </c>
    </row>
    <row r="46" spans="1:16" x14ac:dyDescent="0.25">
      <c r="A46">
        <v>17</v>
      </c>
      <c r="B46" t="s">
        <v>65</v>
      </c>
      <c r="C46" t="s">
        <v>5688</v>
      </c>
      <c r="D46">
        <v>21.94</v>
      </c>
      <c r="E46" t="s">
        <v>31</v>
      </c>
      <c r="F46" t="s">
        <v>15</v>
      </c>
      <c r="G46">
        <v>29.36</v>
      </c>
      <c r="H46">
        <v>14.52</v>
      </c>
      <c r="I46">
        <v>7.42</v>
      </c>
      <c r="J46">
        <v>55.056399999999996</v>
      </c>
      <c r="K46" t="str">
        <f>IFERROR(INDEX(Rosters!$C$2:$C$155,MATCH($B46,Rosters!$B$2:$B$155,0)),"NA")</f>
        <v>lucas</v>
      </c>
      <c r="L46" t="str">
        <f t="shared" si="0"/>
        <v>lucas17QB</v>
      </c>
      <c r="M46">
        <f>COUNTIF(L$1:L46,L46)</f>
        <v>1</v>
      </c>
      <c r="N46" t="str">
        <f t="shared" si="1"/>
        <v>lucas17QB-1</v>
      </c>
      <c r="O46">
        <f>COUNTIFS(F$1:F46,F46,A$1:A46,A46)</f>
        <v>5</v>
      </c>
      <c r="P46" t="str">
        <f t="shared" si="2"/>
        <v>Ben Roethlisberger17</v>
      </c>
    </row>
    <row r="47" spans="1:16" x14ac:dyDescent="0.25">
      <c r="A47">
        <v>16</v>
      </c>
      <c r="B47" t="s">
        <v>18</v>
      </c>
      <c r="C47" t="s">
        <v>5689</v>
      </c>
      <c r="D47">
        <v>21.92</v>
      </c>
      <c r="E47" t="s">
        <v>29</v>
      </c>
      <c r="F47" t="s">
        <v>15</v>
      </c>
      <c r="G47">
        <v>28.04</v>
      </c>
      <c r="H47">
        <v>15.8</v>
      </c>
      <c r="I47">
        <v>6.12</v>
      </c>
      <c r="J47">
        <v>37.4544</v>
      </c>
      <c r="K47" t="str">
        <f>IFERROR(INDEX(Rosters!$C$2:$C$155,MATCH($B47,Rosters!$B$2:$B$155,0)),"NA")</f>
        <v>lucas</v>
      </c>
      <c r="L47" t="str">
        <f t="shared" si="0"/>
        <v>lucas16QB</v>
      </c>
      <c r="M47">
        <f>COUNTIF(L$1:L47,L47)</f>
        <v>1</v>
      </c>
      <c r="N47" t="str">
        <f t="shared" si="1"/>
        <v>lucas16QB-1</v>
      </c>
      <c r="O47">
        <f>COUNTIFS(F$1:F47,F47,A$1:A47,A47)</f>
        <v>3</v>
      </c>
      <c r="P47" t="str">
        <f t="shared" si="2"/>
        <v>Tom Brady16</v>
      </c>
    </row>
    <row r="48" spans="1:16" x14ac:dyDescent="0.25">
      <c r="A48">
        <v>4</v>
      </c>
      <c r="B48" t="s">
        <v>302</v>
      </c>
      <c r="C48" t="s">
        <v>4399</v>
      </c>
      <c r="D48">
        <v>21.9</v>
      </c>
      <c r="E48" t="s">
        <v>42</v>
      </c>
      <c r="F48" t="s">
        <v>15</v>
      </c>
      <c r="G48">
        <v>30.33</v>
      </c>
      <c r="H48">
        <v>13.47</v>
      </c>
      <c r="I48">
        <v>8.43</v>
      </c>
      <c r="J48">
        <v>71.064899999999994</v>
      </c>
      <c r="K48" t="str">
        <f>IFERROR(INDEX(Rosters!$C$2:$C$155,MATCH($B48,Rosters!$B$2:$B$155,0)),"NA")</f>
        <v>matty</v>
      </c>
      <c r="L48" t="str">
        <f t="shared" si="0"/>
        <v>matty4QB</v>
      </c>
      <c r="M48">
        <f>COUNTIF(L$1:L48,L48)</f>
        <v>1</v>
      </c>
      <c r="N48" t="str">
        <f t="shared" si="1"/>
        <v>matty4QB-1</v>
      </c>
      <c r="O48">
        <f>COUNTIFS(F$1:F48,F48,A$1:A48,A48)</f>
        <v>4</v>
      </c>
      <c r="P48" t="str">
        <f t="shared" si="2"/>
        <v>Patrick Mahomes4</v>
      </c>
    </row>
    <row r="49" spans="1:16" x14ac:dyDescent="0.25">
      <c r="A49">
        <v>8</v>
      </c>
      <c r="B49" t="s">
        <v>83</v>
      </c>
      <c r="C49" t="s">
        <v>5690</v>
      </c>
      <c r="D49">
        <v>21.82</v>
      </c>
      <c r="E49" t="s">
        <v>41</v>
      </c>
      <c r="F49" t="s">
        <v>15</v>
      </c>
      <c r="G49">
        <v>29.08</v>
      </c>
      <c r="H49">
        <v>14.56</v>
      </c>
      <c r="I49">
        <v>7.26</v>
      </c>
      <c r="J49">
        <v>52.707599999999999</v>
      </c>
      <c r="K49" t="str">
        <f>IFERROR(INDEX(Rosters!$C$2:$C$155,MATCH($B49,Rosters!$B$2:$B$155,0)),"NA")</f>
        <v>cory</v>
      </c>
      <c r="L49" t="str">
        <f t="shared" si="0"/>
        <v>cory8QB</v>
      </c>
      <c r="M49">
        <f>COUNTIF(L$1:L49,L49)</f>
        <v>1</v>
      </c>
      <c r="N49" t="str">
        <f t="shared" si="1"/>
        <v>cory8QB-1</v>
      </c>
      <c r="O49">
        <f>COUNTIFS(F$1:F49,F49,A$1:A49,A49)</f>
        <v>2</v>
      </c>
      <c r="P49" t="str">
        <f t="shared" si="2"/>
        <v>Jared Goff8</v>
      </c>
    </row>
    <row r="50" spans="1:16" x14ac:dyDescent="0.25">
      <c r="A50">
        <v>14</v>
      </c>
      <c r="B50" t="s">
        <v>26</v>
      </c>
      <c r="C50" t="s">
        <v>5691</v>
      </c>
      <c r="D50">
        <v>21.8</v>
      </c>
      <c r="E50" t="s">
        <v>41</v>
      </c>
      <c r="F50" t="s">
        <v>15</v>
      </c>
      <c r="G50">
        <v>29.02</v>
      </c>
      <c r="H50">
        <v>14.58</v>
      </c>
      <c r="I50">
        <v>7.22</v>
      </c>
      <c r="J50">
        <v>52.128399999999999</v>
      </c>
      <c r="K50" t="str">
        <f>IFERROR(INDEX(Rosters!$C$2:$C$155,MATCH($B50,Rosters!$B$2:$B$155,0)),"NA")</f>
        <v>aj</v>
      </c>
      <c r="L50" t="str">
        <f t="shared" si="0"/>
        <v>aj14QB</v>
      </c>
      <c r="M50">
        <f>COUNTIF(L$1:L50,L50)</f>
        <v>1</v>
      </c>
      <c r="N50" t="str">
        <f t="shared" si="1"/>
        <v>aj14QB-1</v>
      </c>
      <c r="O50">
        <f>COUNTIFS(F$1:F50,F50,A$1:A50,A50)</f>
        <v>5</v>
      </c>
      <c r="P50" t="str">
        <f t="shared" si="2"/>
        <v>Matt Ryan14</v>
      </c>
    </row>
    <row r="51" spans="1:16" x14ac:dyDescent="0.25">
      <c r="A51">
        <v>12</v>
      </c>
      <c r="B51" t="s">
        <v>61</v>
      </c>
      <c r="C51" t="s">
        <v>5692</v>
      </c>
      <c r="D51">
        <v>21.79</v>
      </c>
      <c r="E51" t="s">
        <v>30</v>
      </c>
      <c r="F51" t="s">
        <v>15</v>
      </c>
      <c r="G51">
        <v>29.52</v>
      </c>
      <c r="H51">
        <v>14.06</v>
      </c>
      <c r="I51">
        <v>7.73</v>
      </c>
      <c r="J51">
        <v>59.752899999999997</v>
      </c>
      <c r="K51" t="str">
        <f>IFERROR(INDEX(Rosters!$C$2:$C$155,MATCH($B51,Rosters!$B$2:$B$155,0)),"NA")</f>
        <v>NA</v>
      </c>
      <c r="L51" t="str">
        <f t="shared" si="0"/>
        <v>NA12QB</v>
      </c>
      <c r="M51">
        <f>COUNTIF(L$1:L51,L51)</f>
        <v>1</v>
      </c>
      <c r="N51" t="str">
        <f t="shared" si="1"/>
        <v>NA12QB-1</v>
      </c>
      <c r="O51">
        <f>COUNTIFS(F$1:F51,F51,A$1:A51,A51)</f>
        <v>4</v>
      </c>
      <c r="P51" t="str">
        <f t="shared" si="2"/>
        <v>Jameis Winston12</v>
      </c>
    </row>
    <row r="52" spans="1:16" x14ac:dyDescent="0.25">
      <c r="A52">
        <v>11</v>
      </c>
      <c r="B52" t="s">
        <v>83</v>
      </c>
      <c r="C52" t="s">
        <v>5693</v>
      </c>
      <c r="D52">
        <v>21.77</v>
      </c>
      <c r="E52" t="s">
        <v>24</v>
      </c>
      <c r="F52" t="s">
        <v>15</v>
      </c>
      <c r="G52">
        <v>28.78</v>
      </c>
      <c r="H52">
        <v>14.76</v>
      </c>
      <c r="I52">
        <v>7.01</v>
      </c>
      <c r="J52">
        <v>49.140099999999997</v>
      </c>
      <c r="K52" t="str">
        <f>IFERROR(INDEX(Rosters!$C$2:$C$155,MATCH($B52,Rosters!$B$2:$B$155,0)),"NA")</f>
        <v>cory</v>
      </c>
      <c r="L52" t="str">
        <f t="shared" si="0"/>
        <v>cory11QB</v>
      </c>
      <c r="M52">
        <f>COUNTIF(L$1:L52,L52)</f>
        <v>1</v>
      </c>
      <c r="N52" t="str">
        <f t="shared" si="1"/>
        <v>cory11QB-1</v>
      </c>
      <c r="O52">
        <f>COUNTIFS(F$1:F52,F52,A$1:A52,A52)</f>
        <v>4</v>
      </c>
      <c r="P52" t="str">
        <f t="shared" si="2"/>
        <v>Jared Goff11</v>
      </c>
    </row>
    <row r="53" spans="1:16" x14ac:dyDescent="0.25">
      <c r="A53">
        <v>12</v>
      </c>
      <c r="B53" t="s">
        <v>80</v>
      </c>
      <c r="C53" t="s">
        <v>5694</v>
      </c>
      <c r="D53">
        <v>21.74</v>
      </c>
      <c r="E53" t="s">
        <v>54</v>
      </c>
      <c r="F53" t="s">
        <v>15</v>
      </c>
      <c r="G53">
        <v>29.07</v>
      </c>
      <c r="H53">
        <v>14.41</v>
      </c>
      <c r="I53">
        <v>7.33</v>
      </c>
      <c r="J53">
        <v>53.728900000000003</v>
      </c>
      <c r="K53" t="str">
        <f>IFERROR(INDEX(Rosters!$C$2:$C$155,MATCH($B53,Rosters!$B$2:$B$155,0)),"NA")</f>
        <v>perry</v>
      </c>
      <c r="L53" t="str">
        <f t="shared" si="0"/>
        <v>perry12QB</v>
      </c>
      <c r="M53">
        <f>COUNTIF(L$1:L53,L53)</f>
        <v>1</v>
      </c>
      <c r="N53" t="str">
        <f t="shared" si="1"/>
        <v>perry12QB-1</v>
      </c>
      <c r="O53">
        <f>COUNTIFS(F$1:F53,F53,A$1:A53,A53)</f>
        <v>5</v>
      </c>
      <c r="P53" t="str">
        <f t="shared" si="2"/>
        <v>Carson Wentz12</v>
      </c>
    </row>
    <row r="54" spans="1:16" x14ac:dyDescent="0.25">
      <c r="A54">
        <v>14</v>
      </c>
      <c r="B54" t="s">
        <v>302</v>
      </c>
      <c r="C54" t="s">
        <v>5695</v>
      </c>
      <c r="D54">
        <v>21.69</v>
      </c>
      <c r="E54" t="s">
        <v>77</v>
      </c>
      <c r="F54" t="s">
        <v>15</v>
      </c>
      <c r="G54">
        <v>30.19</v>
      </c>
      <c r="H54">
        <v>13.19</v>
      </c>
      <c r="I54">
        <v>8.5</v>
      </c>
      <c r="J54">
        <v>72.25</v>
      </c>
      <c r="K54" t="str">
        <f>IFERROR(INDEX(Rosters!$C$2:$C$155,MATCH($B54,Rosters!$B$2:$B$155,0)),"NA")</f>
        <v>matty</v>
      </c>
      <c r="L54" t="str">
        <f t="shared" si="0"/>
        <v>matty14QB</v>
      </c>
      <c r="M54">
        <f>COUNTIF(L$1:L54,L54)</f>
        <v>1</v>
      </c>
      <c r="N54" t="str">
        <f t="shared" si="1"/>
        <v>matty14QB-1</v>
      </c>
      <c r="O54">
        <f>COUNTIFS(F$1:F54,F54,A$1:A54,A54)</f>
        <v>6</v>
      </c>
      <c r="P54" t="str">
        <f t="shared" si="2"/>
        <v>Patrick Mahomes14</v>
      </c>
    </row>
    <row r="55" spans="1:16" x14ac:dyDescent="0.25">
      <c r="A55">
        <v>7</v>
      </c>
      <c r="B55" t="s">
        <v>26</v>
      </c>
      <c r="C55" t="s">
        <v>5696</v>
      </c>
      <c r="D55">
        <v>21.68</v>
      </c>
      <c r="E55" t="s">
        <v>54</v>
      </c>
      <c r="F55" t="s">
        <v>15</v>
      </c>
      <c r="G55">
        <v>29.09</v>
      </c>
      <c r="H55">
        <v>14.27</v>
      </c>
      <c r="I55">
        <v>7.41</v>
      </c>
      <c r="J55">
        <v>54.908099999999997</v>
      </c>
      <c r="K55" t="str">
        <f>IFERROR(INDEX(Rosters!$C$2:$C$155,MATCH($B55,Rosters!$B$2:$B$155,0)),"NA")</f>
        <v>aj</v>
      </c>
      <c r="L55" t="str">
        <f t="shared" si="0"/>
        <v>aj7QB</v>
      </c>
      <c r="M55">
        <f>COUNTIF(L$1:L55,L55)</f>
        <v>1</v>
      </c>
      <c r="N55" t="str">
        <f t="shared" si="1"/>
        <v>aj7QB-1</v>
      </c>
      <c r="O55">
        <f>COUNTIFS(F$1:F55,F55,A$1:A55,A55)</f>
        <v>3</v>
      </c>
      <c r="P55" t="str">
        <f t="shared" si="2"/>
        <v>Matt Ryan7</v>
      </c>
    </row>
    <row r="56" spans="1:16" x14ac:dyDescent="0.25">
      <c r="A56">
        <v>5</v>
      </c>
      <c r="B56" t="s">
        <v>13</v>
      </c>
      <c r="C56" t="s">
        <v>5697</v>
      </c>
      <c r="D56">
        <v>21.59</v>
      </c>
      <c r="E56" t="s">
        <v>34</v>
      </c>
      <c r="F56" t="s">
        <v>15</v>
      </c>
      <c r="G56">
        <v>29.99</v>
      </c>
      <c r="H56">
        <v>13.19</v>
      </c>
      <c r="I56">
        <v>8.4</v>
      </c>
      <c r="J56">
        <v>70.56</v>
      </c>
      <c r="K56" t="str">
        <f>IFERROR(INDEX(Rosters!$C$2:$C$155,MATCH($B56,Rosters!$B$2:$B$155,0)),"NA")</f>
        <v>cory</v>
      </c>
      <c r="L56" t="str">
        <f t="shared" si="0"/>
        <v>cory5QB</v>
      </c>
      <c r="M56">
        <f>COUNTIF(L$1:L56,L56)</f>
        <v>1</v>
      </c>
      <c r="N56" t="str">
        <f t="shared" si="1"/>
        <v>cory5QB-1</v>
      </c>
      <c r="O56">
        <f>COUNTIFS(F$1:F56,F56,A$1:A56,A56)</f>
        <v>5</v>
      </c>
      <c r="P56" t="str">
        <f t="shared" si="2"/>
        <v>Aaron Rodgers5</v>
      </c>
    </row>
    <row r="57" spans="1:16" x14ac:dyDescent="0.25">
      <c r="A57">
        <v>14</v>
      </c>
      <c r="B57" t="s">
        <v>18</v>
      </c>
      <c r="C57" t="s">
        <v>5698</v>
      </c>
      <c r="D57">
        <v>21.59</v>
      </c>
      <c r="E57" t="s">
        <v>19</v>
      </c>
      <c r="F57" t="s">
        <v>15</v>
      </c>
      <c r="G57">
        <v>28.26</v>
      </c>
      <c r="H57">
        <v>14.92</v>
      </c>
      <c r="I57">
        <v>6.67</v>
      </c>
      <c r="J57">
        <v>44.488900000000001</v>
      </c>
      <c r="K57" t="str">
        <f>IFERROR(INDEX(Rosters!$C$2:$C$155,MATCH($B57,Rosters!$B$2:$B$155,0)),"NA")</f>
        <v>lucas</v>
      </c>
      <c r="L57" t="str">
        <f t="shared" si="0"/>
        <v>lucas14QB</v>
      </c>
      <c r="M57">
        <f>COUNTIF(L$1:L57,L57)</f>
        <v>2</v>
      </c>
      <c r="N57" t="str">
        <f t="shared" si="1"/>
        <v>lucas14QB-2</v>
      </c>
      <c r="O57">
        <f>COUNTIFS(F$1:F57,F57,A$1:A57,A57)</f>
        <v>7</v>
      </c>
      <c r="P57" t="str">
        <f t="shared" si="2"/>
        <v>Tom Brady14</v>
      </c>
    </row>
    <row r="58" spans="1:16" x14ac:dyDescent="0.25">
      <c r="A58">
        <v>9</v>
      </c>
      <c r="B58" t="s">
        <v>95</v>
      </c>
      <c r="C58" t="s">
        <v>5699</v>
      </c>
      <c r="D58">
        <v>21.56</v>
      </c>
      <c r="E58" t="s">
        <v>46</v>
      </c>
      <c r="F58" t="s">
        <v>15</v>
      </c>
      <c r="G58">
        <v>28.94</v>
      </c>
      <c r="H58">
        <v>14.18</v>
      </c>
      <c r="I58">
        <v>7.38</v>
      </c>
      <c r="J58">
        <v>54.464399999999998</v>
      </c>
      <c r="K58" t="str">
        <f>IFERROR(INDEX(Rosters!$C$2:$C$155,MATCH($B58,Rosters!$B$2:$B$155,0)),"NA")</f>
        <v>matty</v>
      </c>
      <c r="L58" t="str">
        <f t="shared" si="0"/>
        <v>matty9QB</v>
      </c>
      <c r="M58">
        <f>COUNTIF(L$1:L58,L58)</f>
        <v>1</v>
      </c>
      <c r="N58" t="str">
        <f t="shared" si="1"/>
        <v>matty9QB-1</v>
      </c>
      <c r="O58">
        <f>COUNTIFS(F$1:F58,F58,A$1:A58,A58)</f>
        <v>3</v>
      </c>
      <c r="P58" t="str">
        <f t="shared" si="2"/>
        <v>Alex Smith9</v>
      </c>
    </row>
    <row r="59" spans="1:16" x14ac:dyDescent="0.25">
      <c r="A59">
        <v>4</v>
      </c>
      <c r="B59" t="s">
        <v>67</v>
      </c>
      <c r="C59" t="s">
        <v>4400</v>
      </c>
      <c r="D59">
        <v>21.56</v>
      </c>
      <c r="E59" t="s">
        <v>30</v>
      </c>
      <c r="F59" t="s">
        <v>15</v>
      </c>
      <c r="G59">
        <v>28.12</v>
      </c>
      <c r="H59">
        <v>15</v>
      </c>
      <c r="I59">
        <v>6.56</v>
      </c>
      <c r="J59">
        <v>43.0336</v>
      </c>
      <c r="K59" t="str">
        <f>IFERROR(INDEX(Rosters!$C$2:$C$155,MATCH($B59,Rosters!$B$2:$B$155,0)),"NA")</f>
        <v>comp</v>
      </c>
      <c r="L59" t="str">
        <f t="shared" si="0"/>
        <v>comp4QB</v>
      </c>
      <c r="M59">
        <f>COUNTIF(L$1:L59,L59)</f>
        <v>1</v>
      </c>
      <c r="N59" t="str">
        <f t="shared" si="1"/>
        <v>comp4QB-1</v>
      </c>
      <c r="O59">
        <f>COUNTIFS(F$1:F59,F59,A$1:A59,A59)</f>
        <v>5</v>
      </c>
      <c r="P59" t="str">
        <f t="shared" si="2"/>
        <v>Philip Rivers4</v>
      </c>
    </row>
    <row r="60" spans="1:16" x14ac:dyDescent="0.25">
      <c r="A60">
        <v>7</v>
      </c>
      <c r="B60" t="s">
        <v>67</v>
      </c>
      <c r="C60" t="s">
        <v>5699</v>
      </c>
      <c r="D60">
        <v>21.56</v>
      </c>
      <c r="E60" t="s">
        <v>38</v>
      </c>
      <c r="F60" t="s">
        <v>15</v>
      </c>
      <c r="G60">
        <v>28.94</v>
      </c>
      <c r="H60">
        <v>14.18</v>
      </c>
      <c r="I60">
        <v>7.38</v>
      </c>
      <c r="J60">
        <v>54.464399999999998</v>
      </c>
      <c r="K60" t="str">
        <f>IFERROR(INDEX(Rosters!$C$2:$C$155,MATCH($B60,Rosters!$B$2:$B$155,0)),"NA")</f>
        <v>comp</v>
      </c>
      <c r="L60" t="str">
        <f t="shared" si="0"/>
        <v>comp7QB</v>
      </c>
      <c r="M60">
        <f>COUNTIF(L$1:L60,L60)</f>
        <v>1</v>
      </c>
      <c r="N60" t="str">
        <f t="shared" si="1"/>
        <v>comp7QB-1</v>
      </c>
      <c r="O60">
        <f>COUNTIFS(F$1:F60,F60,A$1:A60,A60)</f>
        <v>4</v>
      </c>
      <c r="P60" t="str">
        <f t="shared" si="2"/>
        <v>Philip Rivers7</v>
      </c>
    </row>
    <row r="61" spans="1:16" x14ac:dyDescent="0.25">
      <c r="A61">
        <v>12</v>
      </c>
      <c r="B61" t="s">
        <v>13</v>
      </c>
      <c r="C61" t="s">
        <v>5700</v>
      </c>
      <c r="D61">
        <v>21.55</v>
      </c>
      <c r="E61" t="s">
        <v>25</v>
      </c>
      <c r="F61" t="s">
        <v>15</v>
      </c>
      <c r="G61">
        <v>30.15</v>
      </c>
      <c r="H61">
        <v>12.95</v>
      </c>
      <c r="I61">
        <v>8.6</v>
      </c>
      <c r="J61">
        <v>73.959999999999994</v>
      </c>
      <c r="K61" t="str">
        <f>IFERROR(INDEX(Rosters!$C$2:$C$155,MATCH($B61,Rosters!$B$2:$B$155,0)),"NA")</f>
        <v>cory</v>
      </c>
      <c r="L61" t="str">
        <f t="shared" si="0"/>
        <v>cory12QB</v>
      </c>
      <c r="M61">
        <f>COUNTIF(L$1:L61,L61)</f>
        <v>1</v>
      </c>
      <c r="N61" t="str">
        <f t="shared" si="1"/>
        <v>cory12QB-1</v>
      </c>
      <c r="O61">
        <f>COUNTIFS(F$1:F61,F61,A$1:A61,A61)</f>
        <v>6</v>
      </c>
      <c r="P61" t="str">
        <f t="shared" si="2"/>
        <v>Aaron Rodgers12</v>
      </c>
    </row>
    <row r="62" spans="1:16" x14ac:dyDescent="0.25">
      <c r="A62">
        <v>13</v>
      </c>
      <c r="B62" t="s">
        <v>57</v>
      </c>
      <c r="C62" t="s">
        <v>5701</v>
      </c>
      <c r="D62">
        <v>21.55</v>
      </c>
      <c r="E62" t="s">
        <v>14</v>
      </c>
      <c r="F62" t="s">
        <v>47</v>
      </c>
      <c r="G62">
        <v>32.450000000000003</v>
      </c>
      <c r="H62">
        <v>10.65</v>
      </c>
      <c r="I62">
        <v>10.9</v>
      </c>
      <c r="J62">
        <v>118.81</v>
      </c>
      <c r="K62" t="str">
        <f>IFERROR(INDEX(Rosters!$C$2:$C$155,MATCH($B62,Rosters!$B$2:$B$155,0)),"NA")</f>
        <v>perry</v>
      </c>
      <c r="L62" t="str">
        <f t="shared" si="0"/>
        <v>perry13RB</v>
      </c>
      <c r="M62">
        <f>COUNTIF(L$1:L62,L62)</f>
        <v>1</v>
      </c>
      <c r="N62" t="str">
        <f t="shared" si="1"/>
        <v>perry13RB-1</v>
      </c>
      <c r="O62">
        <f>COUNTIFS(F$1:F62,F62,A$1:A62,A62)</f>
        <v>1</v>
      </c>
      <c r="P62" t="str">
        <f t="shared" si="2"/>
        <v>Ezekiel Elliott13</v>
      </c>
    </row>
    <row r="63" spans="1:16" x14ac:dyDescent="0.25">
      <c r="A63">
        <v>14</v>
      </c>
      <c r="B63" t="s">
        <v>61</v>
      </c>
      <c r="C63" t="s">
        <v>5702</v>
      </c>
      <c r="D63">
        <v>21.55</v>
      </c>
      <c r="E63" t="s">
        <v>14</v>
      </c>
      <c r="F63" t="s">
        <v>15</v>
      </c>
      <c r="G63">
        <v>28.91</v>
      </c>
      <c r="H63">
        <v>14.19</v>
      </c>
      <c r="I63">
        <v>7.36</v>
      </c>
      <c r="J63">
        <v>54.169600000000003</v>
      </c>
      <c r="K63" t="str">
        <f>IFERROR(INDEX(Rosters!$C$2:$C$155,MATCH($B63,Rosters!$B$2:$B$155,0)),"NA")</f>
        <v>NA</v>
      </c>
      <c r="L63" t="str">
        <f t="shared" si="0"/>
        <v>NA14QB</v>
      </c>
      <c r="M63">
        <f>COUNTIF(L$1:L63,L63)</f>
        <v>1</v>
      </c>
      <c r="N63" t="str">
        <f t="shared" si="1"/>
        <v>NA14QB-1</v>
      </c>
      <c r="O63">
        <f>COUNTIFS(F$1:F63,F63,A$1:A63,A63)</f>
        <v>8</v>
      </c>
      <c r="P63" t="str">
        <f t="shared" si="2"/>
        <v>Jameis Winston14</v>
      </c>
    </row>
    <row r="64" spans="1:16" x14ac:dyDescent="0.25">
      <c r="A64">
        <v>5</v>
      </c>
      <c r="B64" t="s">
        <v>26</v>
      </c>
      <c r="C64" t="s">
        <v>5703</v>
      </c>
      <c r="D64">
        <v>21.48</v>
      </c>
      <c r="E64" t="s">
        <v>51</v>
      </c>
      <c r="F64" t="s">
        <v>15</v>
      </c>
      <c r="G64">
        <v>30.49</v>
      </c>
      <c r="H64">
        <v>12.47</v>
      </c>
      <c r="I64">
        <v>9.01</v>
      </c>
      <c r="J64">
        <v>81.180099999999996</v>
      </c>
      <c r="K64" t="str">
        <f>IFERROR(INDEX(Rosters!$C$2:$C$155,MATCH($B64,Rosters!$B$2:$B$155,0)),"NA")</f>
        <v>aj</v>
      </c>
      <c r="L64" t="str">
        <f t="shared" si="0"/>
        <v>aj5QB</v>
      </c>
      <c r="M64">
        <f>COUNTIF(L$1:L64,L64)</f>
        <v>1</v>
      </c>
      <c r="N64" t="str">
        <f t="shared" si="1"/>
        <v>aj5QB-1</v>
      </c>
      <c r="O64">
        <f>COUNTIFS(F$1:F64,F64,A$1:A64,A64)</f>
        <v>6</v>
      </c>
      <c r="P64" t="str">
        <f t="shared" si="2"/>
        <v>Matt Ryan5</v>
      </c>
    </row>
    <row r="65" spans="1:16" x14ac:dyDescent="0.25">
      <c r="A65">
        <v>13</v>
      </c>
      <c r="B65" t="s">
        <v>179</v>
      </c>
      <c r="C65" t="s">
        <v>5704</v>
      </c>
      <c r="D65">
        <v>21.42</v>
      </c>
      <c r="E65" t="s">
        <v>52</v>
      </c>
      <c r="F65" t="s">
        <v>15</v>
      </c>
      <c r="G65">
        <v>29.57</v>
      </c>
      <c r="H65">
        <v>13.27</v>
      </c>
      <c r="I65">
        <v>8.15</v>
      </c>
      <c r="J65">
        <v>66.422499999999999</v>
      </c>
      <c r="K65" t="str">
        <f>IFERROR(INDEX(Rosters!$C$2:$C$155,MATCH($B65,Rosters!$B$2:$B$155,0)),"NA")</f>
        <v>chad</v>
      </c>
      <c r="L65" t="str">
        <f t="shared" si="0"/>
        <v>chad13QB</v>
      </c>
      <c r="M65">
        <f>COUNTIF(L$1:L65,L65)</f>
        <v>1</v>
      </c>
      <c r="N65" t="str">
        <f t="shared" si="1"/>
        <v>chad13QB-1</v>
      </c>
      <c r="O65">
        <f>COUNTIFS(F$1:F65,F65,A$1:A65,A65)</f>
        <v>4</v>
      </c>
      <c r="P65" t="str">
        <f t="shared" si="2"/>
        <v>Deshaun Watson13</v>
      </c>
    </row>
    <row r="66" spans="1:16" x14ac:dyDescent="0.25">
      <c r="A66">
        <v>5</v>
      </c>
      <c r="B66" t="s">
        <v>67</v>
      </c>
      <c r="C66" t="s">
        <v>5705</v>
      </c>
      <c r="D66">
        <v>21.4</v>
      </c>
      <c r="E66" t="s">
        <v>32</v>
      </c>
      <c r="F66" t="s">
        <v>15</v>
      </c>
      <c r="G66">
        <v>29.91</v>
      </c>
      <c r="H66">
        <v>12.89</v>
      </c>
      <c r="I66">
        <v>8.51</v>
      </c>
      <c r="J66">
        <v>72.420100000000005</v>
      </c>
      <c r="K66" t="str">
        <f>IFERROR(INDEX(Rosters!$C$2:$C$155,MATCH($B66,Rosters!$B$2:$B$155,0)),"NA")</f>
        <v>comp</v>
      </c>
      <c r="L66" t="str">
        <f t="shared" si="0"/>
        <v>comp5QB</v>
      </c>
      <c r="M66">
        <f>COUNTIF(L$1:L66,L66)</f>
        <v>1</v>
      </c>
      <c r="N66" t="str">
        <f t="shared" si="1"/>
        <v>comp5QB-1</v>
      </c>
      <c r="O66">
        <f>COUNTIFS(F$1:F66,F66,A$1:A66,A66)</f>
        <v>7</v>
      </c>
      <c r="P66" t="str">
        <f t="shared" si="2"/>
        <v>Philip Rivers5</v>
      </c>
    </row>
    <row r="67" spans="1:16" x14ac:dyDescent="0.25">
      <c r="A67">
        <v>4</v>
      </c>
      <c r="B67" t="s">
        <v>18</v>
      </c>
      <c r="C67" t="s">
        <v>4401</v>
      </c>
      <c r="D67">
        <v>21.4</v>
      </c>
      <c r="E67" t="s">
        <v>19</v>
      </c>
      <c r="F67" t="s">
        <v>15</v>
      </c>
      <c r="G67">
        <v>28.48</v>
      </c>
      <c r="H67">
        <v>14.32</v>
      </c>
      <c r="I67">
        <v>7.08</v>
      </c>
      <c r="J67">
        <v>50.126399999999997</v>
      </c>
      <c r="K67" t="str">
        <f>IFERROR(INDEX(Rosters!$C$2:$C$155,MATCH($B67,Rosters!$B$2:$B$155,0)),"NA")</f>
        <v>lucas</v>
      </c>
      <c r="L67" t="str">
        <f t="shared" ref="L67:L130" si="3">K67&amp;A67&amp;F67</f>
        <v>lucas4QB</v>
      </c>
      <c r="M67">
        <f>COUNTIF(L$1:L67,L67)</f>
        <v>1</v>
      </c>
      <c r="N67" t="str">
        <f t="shared" ref="N67:N130" si="4">L67&amp;"-"&amp;M67</f>
        <v>lucas4QB-1</v>
      </c>
      <c r="O67">
        <f>COUNTIFS(F$1:F67,F67,A$1:A67,A67)</f>
        <v>6</v>
      </c>
      <c r="P67" t="str">
        <f t="shared" ref="P67:P130" si="5">B67&amp;A67</f>
        <v>Tom Brady4</v>
      </c>
    </row>
    <row r="68" spans="1:16" x14ac:dyDescent="0.25">
      <c r="A68">
        <v>17</v>
      </c>
      <c r="B68" t="s">
        <v>39</v>
      </c>
      <c r="C68" t="s">
        <v>5706</v>
      </c>
      <c r="D68">
        <v>21.38</v>
      </c>
      <c r="E68" t="s">
        <v>14</v>
      </c>
      <c r="F68" t="s">
        <v>15</v>
      </c>
      <c r="G68">
        <v>30.52</v>
      </c>
      <c r="H68">
        <v>12.24</v>
      </c>
      <c r="I68">
        <v>9.14</v>
      </c>
      <c r="J68">
        <v>83.539599999999993</v>
      </c>
      <c r="K68" t="str">
        <f>IFERROR(INDEX(Rosters!$C$2:$C$155,MATCH($B68,Rosters!$B$2:$B$155,0)),"NA")</f>
        <v>devon</v>
      </c>
      <c r="L68" t="str">
        <f t="shared" si="3"/>
        <v>devon17QB</v>
      </c>
      <c r="M68">
        <f>COUNTIF(L$1:L68,L68)</f>
        <v>1</v>
      </c>
      <c r="N68" t="str">
        <f t="shared" si="4"/>
        <v>devon17QB-1</v>
      </c>
      <c r="O68">
        <f>COUNTIFS(F$1:F68,F68,A$1:A68,A68)</f>
        <v>6</v>
      </c>
      <c r="P68" t="str">
        <f t="shared" si="5"/>
        <v>Cam Newton17</v>
      </c>
    </row>
    <row r="69" spans="1:16" x14ac:dyDescent="0.25">
      <c r="A69">
        <v>3</v>
      </c>
      <c r="B69" t="s">
        <v>65</v>
      </c>
      <c r="C69" t="s">
        <v>3600</v>
      </c>
      <c r="D69">
        <v>21.35</v>
      </c>
      <c r="E69" t="s">
        <v>17</v>
      </c>
      <c r="F69" t="s">
        <v>15</v>
      </c>
      <c r="G69">
        <v>29.02</v>
      </c>
      <c r="H69">
        <v>13.68</v>
      </c>
      <c r="I69">
        <v>7.67</v>
      </c>
      <c r="J69">
        <v>58.828899999999997</v>
      </c>
      <c r="K69" t="str">
        <f>IFERROR(INDEX(Rosters!$C$2:$C$155,MATCH($B69,Rosters!$B$2:$B$155,0)),"NA")</f>
        <v>lucas</v>
      </c>
      <c r="L69" t="str">
        <f t="shared" si="3"/>
        <v>lucas3QB</v>
      </c>
      <c r="M69">
        <f>COUNTIF(L$1:L69,L69)</f>
        <v>1</v>
      </c>
      <c r="N69" t="str">
        <f t="shared" si="4"/>
        <v>lucas3QB-1</v>
      </c>
      <c r="O69">
        <f>COUNTIFS(F$1:F69,F69,A$1:A69,A69)</f>
        <v>1</v>
      </c>
      <c r="P69" t="str">
        <f t="shared" si="5"/>
        <v>Ben Roethlisberger3</v>
      </c>
    </row>
    <row r="70" spans="1:16" x14ac:dyDescent="0.25">
      <c r="A70">
        <v>15</v>
      </c>
      <c r="B70" t="s">
        <v>82</v>
      </c>
      <c r="C70" t="s">
        <v>5707</v>
      </c>
      <c r="D70">
        <v>21.31</v>
      </c>
      <c r="E70" t="s">
        <v>17</v>
      </c>
      <c r="F70" t="s">
        <v>15</v>
      </c>
      <c r="G70">
        <v>28.25</v>
      </c>
      <c r="H70">
        <v>14.37</v>
      </c>
      <c r="I70">
        <v>6.94</v>
      </c>
      <c r="J70">
        <v>48.163600000000002</v>
      </c>
      <c r="K70" t="str">
        <f>IFERROR(INDEX(Rosters!$C$2:$C$155,MATCH($B70,Rosters!$B$2:$B$155,0)),"NA")</f>
        <v>NA</v>
      </c>
      <c r="L70" t="str">
        <f t="shared" si="3"/>
        <v>NA15QB</v>
      </c>
      <c r="M70">
        <f>COUNTIF(L$1:L70,L70)</f>
        <v>1</v>
      </c>
      <c r="N70" t="str">
        <f t="shared" si="4"/>
        <v>NA15QB-1</v>
      </c>
      <c r="O70">
        <f>COUNTIFS(F$1:F70,F70,A$1:A70,A70)</f>
        <v>4</v>
      </c>
      <c r="P70" t="str">
        <f t="shared" si="5"/>
        <v>Joe Flacco15</v>
      </c>
    </row>
    <row r="71" spans="1:16" x14ac:dyDescent="0.25">
      <c r="A71">
        <v>13</v>
      </c>
      <c r="B71" t="s">
        <v>65</v>
      </c>
      <c r="C71" t="s">
        <v>5708</v>
      </c>
      <c r="D71">
        <v>21.28</v>
      </c>
      <c r="E71" t="s">
        <v>37</v>
      </c>
      <c r="F71" t="s">
        <v>15</v>
      </c>
      <c r="G71">
        <v>27.77</v>
      </c>
      <c r="H71">
        <v>14.79</v>
      </c>
      <c r="I71">
        <v>6.49</v>
      </c>
      <c r="J71">
        <v>42.120100000000001</v>
      </c>
      <c r="K71" t="str">
        <f>IFERROR(INDEX(Rosters!$C$2:$C$155,MATCH($B71,Rosters!$B$2:$B$155,0)),"NA")</f>
        <v>lucas</v>
      </c>
      <c r="L71" t="str">
        <f t="shared" si="3"/>
        <v>lucas13QB</v>
      </c>
      <c r="M71">
        <f>COUNTIF(L$1:L71,L71)</f>
        <v>1</v>
      </c>
      <c r="N71" t="str">
        <f t="shared" si="4"/>
        <v>lucas13QB-1</v>
      </c>
      <c r="O71">
        <f>COUNTIFS(F$1:F71,F71,A$1:A71,A71)</f>
        <v>5</v>
      </c>
      <c r="P71" t="str">
        <f t="shared" si="5"/>
        <v>Ben Roethlisberger13</v>
      </c>
    </row>
    <row r="72" spans="1:16" x14ac:dyDescent="0.25">
      <c r="A72">
        <v>16</v>
      </c>
      <c r="B72" t="s">
        <v>65</v>
      </c>
      <c r="C72" t="s">
        <v>5709</v>
      </c>
      <c r="D72">
        <v>21.28</v>
      </c>
      <c r="E72" t="s">
        <v>14</v>
      </c>
      <c r="F72" t="s">
        <v>15</v>
      </c>
      <c r="G72">
        <v>28.26</v>
      </c>
      <c r="H72">
        <v>14.3</v>
      </c>
      <c r="I72">
        <v>6.98</v>
      </c>
      <c r="J72">
        <v>48.720399999999998</v>
      </c>
      <c r="K72" t="str">
        <f>IFERROR(INDEX(Rosters!$C$2:$C$155,MATCH($B72,Rosters!$B$2:$B$155,0)),"NA")</f>
        <v>lucas</v>
      </c>
      <c r="L72" t="str">
        <f t="shared" si="3"/>
        <v>lucas16QB</v>
      </c>
      <c r="M72">
        <f>COUNTIF(L$1:L72,L72)</f>
        <v>2</v>
      </c>
      <c r="N72" t="str">
        <f t="shared" si="4"/>
        <v>lucas16QB-2</v>
      </c>
      <c r="O72">
        <f>COUNTIFS(F$1:F72,F72,A$1:A72,A72)</f>
        <v>4</v>
      </c>
      <c r="P72" t="str">
        <f t="shared" si="5"/>
        <v>Ben Roethlisberger16</v>
      </c>
    </row>
    <row r="73" spans="1:16" x14ac:dyDescent="0.25">
      <c r="A73">
        <v>8</v>
      </c>
      <c r="B73" t="s">
        <v>13</v>
      </c>
      <c r="C73" t="s">
        <v>5710</v>
      </c>
      <c r="D73">
        <v>21.26</v>
      </c>
      <c r="E73" t="s">
        <v>56</v>
      </c>
      <c r="F73" t="s">
        <v>15</v>
      </c>
      <c r="G73">
        <v>28.45</v>
      </c>
      <c r="H73">
        <v>14.07</v>
      </c>
      <c r="I73">
        <v>7.19</v>
      </c>
      <c r="J73">
        <v>51.696100000000001</v>
      </c>
      <c r="K73" t="str">
        <f>IFERROR(INDEX(Rosters!$C$2:$C$155,MATCH($B73,Rosters!$B$2:$B$155,0)),"NA")</f>
        <v>cory</v>
      </c>
      <c r="L73" t="str">
        <f t="shared" si="3"/>
        <v>cory8QB</v>
      </c>
      <c r="M73">
        <f>COUNTIF(L$1:L73,L73)</f>
        <v>2</v>
      </c>
      <c r="N73" t="str">
        <f t="shared" si="4"/>
        <v>cory8QB-2</v>
      </c>
      <c r="O73">
        <f>COUNTIFS(F$1:F73,F73,A$1:A73,A73)</f>
        <v>3</v>
      </c>
      <c r="P73" t="str">
        <f t="shared" si="5"/>
        <v>Aaron Rodgers8</v>
      </c>
    </row>
    <row r="74" spans="1:16" x14ac:dyDescent="0.25">
      <c r="A74">
        <v>5</v>
      </c>
      <c r="B74" t="s">
        <v>21</v>
      </c>
      <c r="C74" t="s">
        <v>5711</v>
      </c>
      <c r="D74">
        <v>21.26</v>
      </c>
      <c r="E74" t="s">
        <v>60</v>
      </c>
      <c r="F74" t="s">
        <v>15</v>
      </c>
      <c r="G74">
        <v>29.3</v>
      </c>
      <c r="H74">
        <v>13.22</v>
      </c>
      <c r="I74">
        <v>8.0399999999999991</v>
      </c>
      <c r="J74">
        <v>64.641599999999997</v>
      </c>
      <c r="K74" t="str">
        <f>IFERROR(INDEX(Rosters!$C$2:$C$155,MATCH($B74,Rosters!$B$2:$B$155,0)),"NA")</f>
        <v>scott</v>
      </c>
      <c r="L74" t="str">
        <f t="shared" si="3"/>
        <v>scott5QB</v>
      </c>
      <c r="M74">
        <f>COUNTIF(L$1:L74,L74)</f>
        <v>1</v>
      </c>
      <c r="N74" t="str">
        <f t="shared" si="4"/>
        <v>scott5QB-1</v>
      </c>
      <c r="O74">
        <f>COUNTIFS(F$1:F74,F74,A$1:A74,A74)</f>
        <v>8</v>
      </c>
      <c r="P74" t="str">
        <f t="shared" si="5"/>
        <v>Drew Brees5</v>
      </c>
    </row>
    <row r="75" spans="1:16" x14ac:dyDescent="0.25">
      <c r="A75">
        <v>6</v>
      </c>
      <c r="B75" t="s">
        <v>13</v>
      </c>
      <c r="C75" t="s">
        <v>5712</v>
      </c>
      <c r="D75">
        <v>21.25</v>
      </c>
      <c r="E75" t="s">
        <v>30</v>
      </c>
      <c r="F75" t="s">
        <v>15</v>
      </c>
      <c r="G75">
        <v>29.17</v>
      </c>
      <c r="H75">
        <v>13.33</v>
      </c>
      <c r="I75">
        <v>7.92</v>
      </c>
      <c r="J75">
        <v>62.726399999999998</v>
      </c>
      <c r="K75" t="str">
        <f>IFERROR(INDEX(Rosters!$C$2:$C$155,MATCH($B75,Rosters!$B$2:$B$155,0)),"NA")</f>
        <v>cory</v>
      </c>
      <c r="L75" t="str">
        <f t="shared" si="3"/>
        <v>cory6QB</v>
      </c>
      <c r="M75">
        <f>COUNTIF(L$1:L75,L75)</f>
        <v>1</v>
      </c>
      <c r="N75" t="str">
        <f t="shared" si="4"/>
        <v>cory6QB-1</v>
      </c>
      <c r="O75">
        <f>COUNTIFS(F$1:F75,F75,A$1:A75,A75)</f>
        <v>4</v>
      </c>
      <c r="P75" t="str">
        <f t="shared" si="5"/>
        <v>Aaron Rodgers6</v>
      </c>
    </row>
    <row r="76" spans="1:16" x14ac:dyDescent="0.25">
      <c r="A76">
        <v>8</v>
      </c>
      <c r="B76" t="s">
        <v>302</v>
      </c>
      <c r="C76" t="s">
        <v>5713</v>
      </c>
      <c r="D76">
        <v>21.25</v>
      </c>
      <c r="E76" t="s">
        <v>42</v>
      </c>
      <c r="F76" t="s">
        <v>15</v>
      </c>
      <c r="G76">
        <v>29.83</v>
      </c>
      <c r="H76">
        <v>12.67</v>
      </c>
      <c r="I76">
        <v>8.58</v>
      </c>
      <c r="J76">
        <v>73.616399999999999</v>
      </c>
      <c r="K76" t="str">
        <f>IFERROR(INDEX(Rosters!$C$2:$C$155,MATCH($B76,Rosters!$B$2:$B$155,0)),"NA")</f>
        <v>matty</v>
      </c>
      <c r="L76" t="str">
        <f t="shared" si="3"/>
        <v>matty8QB</v>
      </c>
      <c r="M76">
        <f>COUNTIF(L$1:L76,L76)</f>
        <v>1</v>
      </c>
      <c r="N76" t="str">
        <f t="shared" si="4"/>
        <v>matty8QB-1</v>
      </c>
      <c r="O76">
        <f>COUNTIFS(F$1:F76,F76,A$1:A76,A76)</f>
        <v>4</v>
      </c>
      <c r="P76" t="str">
        <f t="shared" si="5"/>
        <v>Patrick Mahomes8</v>
      </c>
    </row>
    <row r="77" spans="1:16" x14ac:dyDescent="0.25">
      <c r="A77">
        <v>10</v>
      </c>
      <c r="B77" t="s">
        <v>95</v>
      </c>
      <c r="C77" t="s">
        <v>5714</v>
      </c>
      <c r="D77">
        <v>21.24</v>
      </c>
      <c r="E77" t="s">
        <v>17</v>
      </c>
      <c r="F77" t="s">
        <v>15</v>
      </c>
      <c r="G77">
        <v>28.95</v>
      </c>
      <c r="H77">
        <v>13.53</v>
      </c>
      <c r="I77">
        <v>7.71</v>
      </c>
      <c r="J77">
        <v>59.444099999999999</v>
      </c>
      <c r="K77" t="str">
        <f>IFERROR(INDEX(Rosters!$C$2:$C$155,MATCH($B77,Rosters!$B$2:$B$155,0)),"NA")</f>
        <v>matty</v>
      </c>
      <c r="L77" t="str">
        <f t="shared" si="3"/>
        <v>matty10QB</v>
      </c>
      <c r="M77">
        <f>COUNTIF(L$1:L77,L77)</f>
        <v>1</v>
      </c>
      <c r="N77" t="str">
        <f t="shared" si="4"/>
        <v>matty10QB-1</v>
      </c>
      <c r="O77">
        <f>COUNTIFS(F$1:F77,F77,A$1:A77,A77)</f>
        <v>2</v>
      </c>
      <c r="P77" t="str">
        <f t="shared" si="5"/>
        <v>Alex Smith10</v>
      </c>
    </row>
    <row r="78" spans="1:16" x14ac:dyDescent="0.25">
      <c r="A78">
        <v>13</v>
      </c>
      <c r="B78" t="s">
        <v>83</v>
      </c>
      <c r="C78" t="s">
        <v>5715</v>
      </c>
      <c r="D78">
        <v>21.23</v>
      </c>
      <c r="E78" t="s">
        <v>34</v>
      </c>
      <c r="F78" t="s">
        <v>15</v>
      </c>
      <c r="G78">
        <v>28.76</v>
      </c>
      <c r="H78">
        <v>13.7</v>
      </c>
      <c r="I78">
        <v>7.53</v>
      </c>
      <c r="J78">
        <v>56.700899999999997</v>
      </c>
      <c r="K78" t="str">
        <f>IFERROR(INDEX(Rosters!$C$2:$C$155,MATCH($B78,Rosters!$B$2:$B$155,0)),"NA")</f>
        <v>cory</v>
      </c>
      <c r="L78" t="str">
        <f t="shared" si="3"/>
        <v>cory13QB</v>
      </c>
      <c r="M78">
        <f>COUNTIF(L$1:L78,L78)</f>
        <v>1</v>
      </c>
      <c r="N78" t="str">
        <f t="shared" si="4"/>
        <v>cory13QB-1</v>
      </c>
      <c r="O78">
        <f>COUNTIFS(F$1:F78,F78,A$1:A78,A78)</f>
        <v>6</v>
      </c>
      <c r="P78" t="str">
        <f t="shared" si="5"/>
        <v>Jared Goff13</v>
      </c>
    </row>
    <row r="79" spans="1:16" x14ac:dyDescent="0.25">
      <c r="A79">
        <v>8</v>
      </c>
      <c r="B79" t="s">
        <v>43</v>
      </c>
      <c r="C79" t="s">
        <v>5716</v>
      </c>
      <c r="D79">
        <v>21.21</v>
      </c>
      <c r="E79" t="s">
        <v>14</v>
      </c>
      <c r="F79" t="s">
        <v>15</v>
      </c>
      <c r="G79">
        <v>28.6</v>
      </c>
      <c r="H79">
        <v>13.82</v>
      </c>
      <c r="I79">
        <v>7.39</v>
      </c>
      <c r="J79">
        <v>54.612099999999998</v>
      </c>
      <c r="K79" t="str">
        <f>IFERROR(INDEX(Rosters!$C$2:$C$155,MATCH($B79,Rosters!$B$2:$B$155,0)),"NA")</f>
        <v>NA</v>
      </c>
      <c r="L79" t="str">
        <f t="shared" si="3"/>
        <v>NA8QB</v>
      </c>
      <c r="M79">
        <f>COUNTIF(L$1:L79,L79)</f>
        <v>1</v>
      </c>
      <c r="N79" t="str">
        <f t="shared" si="4"/>
        <v>NA8QB-1</v>
      </c>
      <c r="O79">
        <f>COUNTIFS(F$1:F79,F79,A$1:A79,A79)</f>
        <v>5</v>
      </c>
      <c r="P79" t="str">
        <f t="shared" si="5"/>
        <v>Kirk Cousins8</v>
      </c>
    </row>
    <row r="80" spans="1:16" x14ac:dyDescent="0.25">
      <c r="A80">
        <v>9</v>
      </c>
      <c r="B80" t="s">
        <v>21</v>
      </c>
      <c r="C80" t="s">
        <v>5717</v>
      </c>
      <c r="D80">
        <v>21.18</v>
      </c>
      <c r="E80" t="s">
        <v>56</v>
      </c>
      <c r="F80" t="s">
        <v>15</v>
      </c>
      <c r="G80">
        <v>29.27</v>
      </c>
      <c r="H80">
        <v>13.09</v>
      </c>
      <c r="I80">
        <v>8.09</v>
      </c>
      <c r="J80">
        <v>65.448099999999997</v>
      </c>
      <c r="K80" t="str">
        <f>IFERROR(INDEX(Rosters!$C$2:$C$155,MATCH($B80,Rosters!$B$2:$B$155,0)),"NA")</f>
        <v>scott</v>
      </c>
      <c r="L80" t="str">
        <f t="shared" si="3"/>
        <v>scott9QB</v>
      </c>
      <c r="M80">
        <f>COUNTIF(L$1:L80,L80)</f>
        <v>1</v>
      </c>
      <c r="N80" t="str">
        <f t="shared" si="4"/>
        <v>scott9QB-1</v>
      </c>
      <c r="O80">
        <f>COUNTIFS(F$1:F80,F80,A$1:A80,A80)</f>
        <v>4</v>
      </c>
      <c r="P80" t="str">
        <f t="shared" si="5"/>
        <v>Drew Brees9</v>
      </c>
    </row>
    <row r="81" spans="1:16" x14ac:dyDescent="0.25">
      <c r="A81">
        <v>15</v>
      </c>
      <c r="B81" t="s">
        <v>43</v>
      </c>
      <c r="C81" t="s">
        <v>5718</v>
      </c>
      <c r="D81">
        <v>21.17</v>
      </c>
      <c r="E81" t="s">
        <v>19</v>
      </c>
      <c r="F81" t="s">
        <v>15</v>
      </c>
      <c r="G81">
        <v>28.63</v>
      </c>
      <c r="H81">
        <v>13.71</v>
      </c>
      <c r="I81">
        <v>7.46</v>
      </c>
      <c r="J81">
        <v>55.651600000000002</v>
      </c>
      <c r="K81" t="str">
        <f>IFERROR(INDEX(Rosters!$C$2:$C$155,MATCH($B81,Rosters!$B$2:$B$155,0)),"NA")</f>
        <v>NA</v>
      </c>
      <c r="L81" t="str">
        <f t="shared" si="3"/>
        <v>NA15QB</v>
      </c>
      <c r="M81">
        <f>COUNTIF(L$1:L81,L81)</f>
        <v>2</v>
      </c>
      <c r="N81" t="str">
        <f t="shared" si="4"/>
        <v>NA15QB-2</v>
      </c>
      <c r="O81">
        <f>COUNTIFS(F$1:F81,F81,A$1:A81,A81)</f>
        <v>5</v>
      </c>
      <c r="P81" t="str">
        <f t="shared" si="5"/>
        <v>Kirk Cousins15</v>
      </c>
    </row>
    <row r="82" spans="1:16" x14ac:dyDescent="0.25">
      <c r="A82">
        <v>17</v>
      </c>
      <c r="B82" t="s">
        <v>79</v>
      </c>
      <c r="C82" t="s">
        <v>5719</v>
      </c>
      <c r="D82">
        <v>21.14</v>
      </c>
      <c r="E82" t="s">
        <v>36</v>
      </c>
      <c r="F82" t="s">
        <v>15</v>
      </c>
      <c r="G82">
        <v>29</v>
      </c>
      <c r="H82">
        <v>13.28</v>
      </c>
      <c r="I82">
        <v>7.86</v>
      </c>
      <c r="J82">
        <v>61.779600000000002</v>
      </c>
      <c r="K82" t="str">
        <f>IFERROR(INDEX(Rosters!$C$2:$C$155,MATCH($B82,Rosters!$B$2:$B$155,0)),"NA")</f>
        <v>NA</v>
      </c>
      <c r="L82" t="str">
        <f t="shared" si="3"/>
        <v>NA17QB</v>
      </c>
      <c r="M82">
        <f>COUNTIF(L$1:L82,L82)</f>
        <v>1</v>
      </c>
      <c r="N82" t="str">
        <f t="shared" si="4"/>
        <v>NA17QB-1</v>
      </c>
      <c r="O82">
        <f>COUNTIFS(F$1:F82,F82,A$1:A82,A82)</f>
        <v>7</v>
      </c>
      <c r="P82" t="str">
        <f t="shared" si="5"/>
        <v>Blake Bortles17</v>
      </c>
    </row>
    <row r="83" spans="1:16" x14ac:dyDescent="0.25">
      <c r="A83">
        <v>13</v>
      </c>
      <c r="B83" t="s">
        <v>18</v>
      </c>
      <c r="C83" t="s">
        <v>5720</v>
      </c>
      <c r="D83">
        <v>21.11</v>
      </c>
      <c r="E83" t="s">
        <v>25</v>
      </c>
      <c r="F83" t="s">
        <v>15</v>
      </c>
      <c r="G83">
        <v>27.41</v>
      </c>
      <c r="H83">
        <v>14.81</v>
      </c>
      <c r="I83">
        <v>6.3</v>
      </c>
      <c r="J83">
        <v>39.69</v>
      </c>
      <c r="K83" t="str">
        <f>IFERROR(INDEX(Rosters!$C$2:$C$155,MATCH($B83,Rosters!$B$2:$B$155,0)),"NA")</f>
        <v>lucas</v>
      </c>
      <c r="L83" t="str">
        <f t="shared" si="3"/>
        <v>lucas13QB</v>
      </c>
      <c r="M83">
        <f>COUNTIF(L$1:L83,L83)</f>
        <v>2</v>
      </c>
      <c r="N83" t="str">
        <f t="shared" si="4"/>
        <v>lucas13QB-2</v>
      </c>
      <c r="O83">
        <f>COUNTIFS(F$1:F83,F83,A$1:A83,A83)</f>
        <v>7</v>
      </c>
      <c r="P83" t="str">
        <f t="shared" si="5"/>
        <v>Tom Brady13</v>
      </c>
    </row>
    <row r="84" spans="1:16" x14ac:dyDescent="0.25">
      <c r="A84">
        <v>8</v>
      </c>
      <c r="B84" t="s">
        <v>65</v>
      </c>
      <c r="C84" t="s">
        <v>5721</v>
      </c>
      <c r="D84">
        <v>21.1</v>
      </c>
      <c r="E84" t="s">
        <v>52</v>
      </c>
      <c r="F84" t="s">
        <v>15</v>
      </c>
      <c r="G84">
        <v>28.1</v>
      </c>
      <c r="H84">
        <v>14.1</v>
      </c>
      <c r="I84">
        <v>7</v>
      </c>
      <c r="J84">
        <v>49</v>
      </c>
      <c r="K84" t="str">
        <f>IFERROR(INDEX(Rosters!$C$2:$C$155,MATCH($B84,Rosters!$B$2:$B$155,0)),"NA")</f>
        <v>lucas</v>
      </c>
      <c r="L84" t="str">
        <f t="shared" si="3"/>
        <v>lucas8QB</v>
      </c>
      <c r="M84">
        <f>COUNTIF(L$1:L84,L84)</f>
        <v>1</v>
      </c>
      <c r="N84" t="str">
        <f t="shared" si="4"/>
        <v>lucas8QB-1</v>
      </c>
      <c r="O84">
        <f>COUNTIFS(F$1:F84,F84,A$1:A84,A84)</f>
        <v>6</v>
      </c>
      <c r="P84" t="str">
        <f t="shared" si="5"/>
        <v>Ben Roethlisberger8</v>
      </c>
    </row>
    <row r="85" spans="1:16" x14ac:dyDescent="0.25">
      <c r="A85">
        <v>17</v>
      </c>
      <c r="B85" t="s">
        <v>18</v>
      </c>
      <c r="C85" t="s">
        <v>5722</v>
      </c>
      <c r="D85">
        <v>21.09</v>
      </c>
      <c r="E85" t="s">
        <v>73</v>
      </c>
      <c r="F85" t="s">
        <v>15</v>
      </c>
      <c r="G85">
        <v>27.92</v>
      </c>
      <c r="H85">
        <v>14.26</v>
      </c>
      <c r="I85">
        <v>6.83</v>
      </c>
      <c r="J85">
        <v>46.648899999999998</v>
      </c>
      <c r="K85" t="str">
        <f>IFERROR(INDEX(Rosters!$C$2:$C$155,MATCH($B85,Rosters!$B$2:$B$155,0)),"NA")</f>
        <v>lucas</v>
      </c>
      <c r="L85" t="str">
        <f t="shared" si="3"/>
        <v>lucas17QB</v>
      </c>
      <c r="M85">
        <f>COUNTIF(L$1:L85,L85)</f>
        <v>2</v>
      </c>
      <c r="N85" t="str">
        <f t="shared" si="4"/>
        <v>lucas17QB-2</v>
      </c>
      <c r="O85">
        <f>COUNTIFS(F$1:F85,F85,A$1:A85,A85)</f>
        <v>8</v>
      </c>
      <c r="P85" t="str">
        <f t="shared" si="5"/>
        <v>Tom Brady17</v>
      </c>
    </row>
    <row r="86" spans="1:16" x14ac:dyDescent="0.25">
      <c r="A86">
        <v>17</v>
      </c>
      <c r="B86" t="s">
        <v>61</v>
      </c>
      <c r="C86" t="s">
        <v>5723</v>
      </c>
      <c r="D86">
        <v>21.04</v>
      </c>
      <c r="E86" t="s">
        <v>46</v>
      </c>
      <c r="F86" t="s">
        <v>15</v>
      </c>
      <c r="G86">
        <v>27.48</v>
      </c>
      <c r="H86">
        <v>14.6</v>
      </c>
      <c r="I86">
        <v>6.44</v>
      </c>
      <c r="J86">
        <v>41.473599999999998</v>
      </c>
      <c r="K86" t="str">
        <f>IFERROR(INDEX(Rosters!$C$2:$C$155,MATCH($B86,Rosters!$B$2:$B$155,0)),"NA")</f>
        <v>NA</v>
      </c>
      <c r="L86" t="str">
        <f t="shared" si="3"/>
        <v>NA17QB</v>
      </c>
      <c r="M86">
        <f>COUNTIF(L$1:L86,L86)</f>
        <v>2</v>
      </c>
      <c r="N86" t="str">
        <f t="shared" si="4"/>
        <v>NA17QB-2</v>
      </c>
      <c r="O86">
        <f>COUNTIFS(F$1:F86,F86,A$1:A86,A86)</f>
        <v>9</v>
      </c>
      <c r="P86" t="str">
        <f t="shared" si="5"/>
        <v>Jameis Winston17</v>
      </c>
    </row>
    <row r="87" spans="1:16" x14ac:dyDescent="0.25">
      <c r="A87">
        <v>13</v>
      </c>
      <c r="B87" t="s">
        <v>79</v>
      </c>
      <c r="C87" t="s">
        <v>5724</v>
      </c>
      <c r="D87">
        <v>20.92</v>
      </c>
      <c r="E87" t="s">
        <v>66</v>
      </c>
      <c r="F87" t="s">
        <v>15</v>
      </c>
      <c r="G87">
        <v>29.04</v>
      </c>
      <c r="H87">
        <v>12.8</v>
      </c>
      <c r="I87">
        <v>8.1199999999999992</v>
      </c>
      <c r="J87">
        <v>65.934399999999997</v>
      </c>
      <c r="K87" t="str">
        <f>IFERROR(INDEX(Rosters!$C$2:$C$155,MATCH($B87,Rosters!$B$2:$B$155,0)),"NA")</f>
        <v>NA</v>
      </c>
      <c r="L87" t="str">
        <f t="shared" si="3"/>
        <v>NA13QB</v>
      </c>
      <c r="M87">
        <f>COUNTIF(L$1:L87,L87)</f>
        <v>1</v>
      </c>
      <c r="N87" t="str">
        <f t="shared" si="4"/>
        <v>NA13QB-1</v>
      </c>
      <c r="O87">
        <f>COUNTIFS(F$1:F87,F87,A$1:A87,A87)</f>
        <v>8</v>
      </c>
      <c r="P87" t="str">
        <f t="shared" si="5"/>
        <v>Blake Bortles13</v>
      </c>
    </row>
    <row r="88" spans="1:16" x14ac:dyDescent="0.25">
      <c r="A88">
        <v>8</v>
      </c>
      <c r="B88" t="s">
        <v>63</v>
      </c>
      <c r="C88" t="s">
        <v>5725</v>
      </c>
      <c r="D88">
        <v>20.89</v>
      </c>
      <c r="E88" t="s">
        <v>17</v>
      </c>
      <c r="F88" t="s">
        <v>15</v>
      </c>
      <c r="G88">
        <v>27.24</v>
      </c>
      <c r="H88">
        <v>14.54</v>
      </c>
      <c r="I88">
        <v>6.35</v>
      </c>
      <c r="J88">
        <v>40.322499999999998</v>
      </c>
      <c r="K88" t="str">
        <f>IFERROR(INDEX(Rosters!$C$2:$C$155,MATCH($B88,Rosters!$B$2:$B$155,0)),"NA")</f>
        <v>scott</v>
      </c>
      <c r="L88" t="str">
        <f t="shared" si="3"/>
        <v>scott8QB</v>
      </c>
      <c r="M88">
        <f>COUNTIF(L$1:L88,L88)</f>
        <v>1</v>
      </c>
      <c r="N88" t="str">
        <f t="shared" si="4"/>
        <v>scott8QB-1</v>
      </c>
      <c r="O88">
        <f>COUNTIFS(F$1:F88,F88,A$1:A88,A88)</f>
        <v>7</v>
      </c>
      <c r="P88" t="str">
        <f t="shared" si="5"/>
        <v>Andy Dalton8</v>
      </c>
    </row>
    <row r="89" spans="1:16" x14ac:dyDescent="0.25">
      <c r="A89">
        <v>10</v>
      </c>
      <c r="B89" t="s">
        <v>21</v>
      </c>
      <c r="C89" t="s">
        <v>5726</v>
      </c>
      <c r="D89">
        <v>20.86</v>
      </c>
      <c r="E89" t="s">
        <v>31</v>
      </c>
      <c r="F89" t="s">
        <v>15</v>
      </c>
      <c r="G89">
        <v>29.39</v>
      </c>
      <c r="H89">
        <v>12.33</v>
      </c>
      <c r="I89">
        <v>8.5299999999999994</v>
      </c>
      <c r="J89">
        <v>72.760900000000007</v>
      </c>
      <c r="K89" t="str">
        <f>IFERROR(INDEX(Rosters!$C$2:$C$155,MATCH($B89,Rosters!$B$2:$B$155,0)),"NA")</f>
        <v>scott</v>
      </c>
      <c r="L89" t="str">
        <f t="shared" si="3"/>
        <v>scott10QB</v>
      </c>
      <c r="M89">
        <f>COUNTIF(L$1:L89,L89)</f>
        <v>1</v>
      </c>
      <c r="N89" t="str">
        <f t="shared" si="4"/>
        <v>scott10QB-1</v>
      </c>
      <c r="O89">
        <f>COUNTIFS(F$1:F89,F89,A$1:A89,A89)</f>
        <v>3</v>
      </c>
      <c r="P89" t="str">
        <f t="shared" si="5"/>
        <v>Drew Brees10</v>
      </c>
    </row>
    <row r="90" spans="1:16" x14ac:dyDescent="0.25">
      <c r="A90">
        <v>10</v>
      </c>
      <c r="B90" t="s">
        <v>13</v>
      </c>
      <c r="C90" t="s">
        <v>5727</v>
      </c>
      <c r="D90">
        <v>20.83</v>
      </c>
      <c r="E90" t="s">
        <v>19</v>
      </c>
      <c r="F90" t="s">
        <v>15</v>
      </c>
      <c r="G90">
        <v>28.79</v>
      </c>
      <c r="H90">
        <v>12.87</v>
      </c>
      <c r="I90">
        <v>7.96</v>
      </c>
      <c r="J90">
        <v>63.361600000000003</v>
      </c>
      <c r="K90" t="str">
        <f>IFERROR(INDEX(Rosters!$C$2:$C$155,MATCH($B90,Rosters!$B$2:$B$155,0)),"NA")</f>
        <v>cory</v>
      </c>
      <c r="L90" t="str">
        <f t="shared" si="3"/>
        <v>cory10QB</v>
      </c>
      <c r="M90">
        <f>COUNTIF(L$1:L90,L90)</f>
        <v>1</v>
      </c>
      <c r="N90" t="str">
        <f t="shared" si="4"/>
        <v>cory10QB-1</v>
      </c>
      <c r="O90">
        <f>COUNTIFS(F$1:F90,F90,A$1:A90,A90)</f>
        <v>4</v>
      </c>
      <c r="P90" t="str">
        <f t="shared" si="5"/>
        <v>Aaron Rodgers10</v>
      </c>
    </row>
    <row r="91" spans="1:16" x14ac:dyDescent="0.25">
      <c r="A91">
        <v>14</v>
      </c>
      <c r="B91" t="s">
        <v>80</v>
      </c>
      <c r="C91" t="s">
        <v>5728</v>
      </c>
      <c r="D91">
        <v>20.83</v>
      </c>
      <c r="E91" t="s">
        <v>22</v>
      </c>
      <c r="F91" t="s">
        <v>15</v>
      </c>
      <c r="G91">
        <v>29.6</v>
      </c>
      <c r="H91">
        <v>12.06</v>
      </c>
      <c r="I91">
        <v>8.77</v>
      </c>
      <c r="J91">
        <v>76.912899999999993</v>
      </c>
      <c r="K91" t="str">
        <f>IFERROR(INDEX(Rosters!$C$2:$C$155,MATCH($B91,Rosters!$B$2:$B$155,0)),"NA")</f>
        <v>perry</v>
      </c>
      <c r="L91" t="str">
        <f t="shared" si="3"/>
        <v>perry14QB</v>
      </c>
      <c r="M91">
        <f>COUNTIF(L$1:L91,L91)</f>
        <v>1</v>
      </c>
      <c r="N91" t="str">
        <f t="shared" si="4"/>
        <v>perry14QB-1</v>
      </c>
      <c r="O91">
        <f>COUNTIFS(F$1:F91,F91,A$1:A91,A91)</f>
        <v>9</v>
      </c>
      <c r="P91" t="str">
        <f t="shared" si="5"/>
        <v>Carson Wentz14</v>
      </c>
    </row>
    <row r="92" spans="1:16" x14ac:dyDescent="0.25">
      <c r="A92">
        <v>7</v>
      </c>
      <c r="B92" t="s">
        <v>83</v>
      </c>
      <c r="C92" t="s">
        <v>5729</v>
      </c>
      <c r="D92">
        <v>20.82</v>
      </c>
      <c r="E92" t="s">
        <v>30</v>
      </c>
      <c r="F92" t="s">
        <v>15</v>
      </c>
      <c r="G92">
        <v>27.58</v>
      </c>
      <c r="H92">
        <v>14.06</v>
      </c>
      <c r="I92">
        <v>6.76</v>
      </c>
      <c r="J92">
        <v>45.697600000000001</v>
      </c>
      <c r="K92" t="str">
        <f>IFERROR(INDEX(Rosters!$C$2:$C$155,MATCH($B92,Rosters!$B$2:$B$155,0)),"NA")</f>
        <v>cory</v>
      </c>
      <c r="L92" t="str">
        <f t="shared" si="3"/>
        <v>cory7QB</v>
      </c>
      <c r="M92">
        <f>COUNTIF(L$1:L92,L92)</f>
        <v>1</v>
      </c>
      <c r="N92" t="str">
        <f t="shared" si="4"/>
        <v>cory7QB-1</v>
      </c>
      <c r="O92">
        <f>COUNTIFS(F$1:F92,F92,A$1:A92,A92)</f>
        <v>5</v>
      </c>
      <c r="P92" t="str">
        <f t="shared" si="5"/>
        <v>Jared Goff7</v>
      </c>
    </row>
    <row r="93" spans="1:16" x14ac:dyDescent="0.25">
      <c r="A93">
        <v>12</v>
      </c>
      <c r="B93" t="s">
        <v>43</v>
      </c>
      <c r="C93" t="s">
        <v>5730</v>
      </c>
      <c r="D93">
        <v>20.8</v>
      </c>
      <c r="E93" t="s">
        <v>41</v>
      </c>
      <c r="F93" t="s">
        <v>15</v>
      </c>
      <c r="G93">
        <v>28.39</v>
      </c>
      <c r="H93">
        <v>13.21</v>
      </c>
      <c r="I93">
        <v>7.59</v>
      </c>
      <c r="J93">
        <v>57.6081</v>
      </c>
      <c r="K93" t="str">
        <f>IFERROR(INDEX(Rosters!$C$2:$C$155,MATCH($B93,Rosters!$B$2:$B$155,0)),"NA")</f>
        <v>NA</v>
      </c>
      <c r="L93" t="str">
        <f t="shared" si="3"/>
        <v>NA12QB</v>
      </c>
      <c r="M93">
        <f>COUNTIF(L$1:L93,L93)</f>
        <v>2</v>
      </c>
      <c r="N93" t="str">
        <f t="shared" si="4"/>
        <v>NA12QB-2</v>
      </c>
      <c r="O93">
        <f>COUNTIFS(F$1:F93,F93,A$1:A93,A93)</f>
        <v>7</v>
      </c>
      <c r="P93" t="str">
        <f t="shared" si="5"/>
        <v>Kirk Cousins12</v>
      </c>
    </row>
    <row r="94" spans="1:16" x14ac:dyDescent="0.25">
      <c r="A94">
        <v>15</v>
      </c>
      <c r="B94" t="s">
        <v>18</v>
      </c>
      <c r="C94" t="s">
        <v>5731</v>
      </c>
      <c r="D94">
        <v>20.78</v>
      </c>
      <c r="E94" t="s">
        <v>51</v>
      </c>
      <c r="F94" t="s">
        <v>15</v>
      </c>
      <c r="G94">
        <v>26.87</v>
      </c>
      <c r="H94">
        <v>14.69</v>
      </c>
      <c r="I94">
        <v>6.09</v>
      </c>
      <c r="J94">
        <v>37.088099999999997</v>
      </c>
      <c r="K94" t="str">
        <f>IFERROR(INDEX(Rosters!$C$2:$C$155,MATCH($B94,Rosters!$B$2:$B$155,0)),"NA")</f>
        <v>lucas</v>
      </c>
      <c r="L94" t="str">
        <f t="shared" si="3"/>
        <v>lucas15QB</v>
      </c>
      <c r="M94">
        <f>COUNTIF(L$1:L94,L94)</f>
        <v>2</v>
      </c>
      <c r="N94" t="str">
        <f t="shared" si="4"/>
        <v>lucas15QB-2</v>
      </c>
      <c r="O94">
        <f>COUNTIFS(F$1:F94,F94,A$1:A94,A94)</f>
        <v>6</v>
      </c>
      <c r="P94" t="str">
        <f t="shared" si="5"/>
        <v>Tom Brady15</v>
      </c>
    </row>
    <row r="95" spans="1:16" x14ac:dyDescent="0.25">
      <c r="A95">
        <v>11</v>
      </c>
      <c r="B95" t="s">
        <v>67</v>
      </c>
      <c r="C95" t="s">
        <v>5732</v>
      </c>
      <c r="D95">
        <v>20.75</v>
      </c>
      <c r="E95" t="s">
        <v>42</v>
      </c>
      <c r="F95" t="s">
        <v>15</v>
      </c>
      <c r="G95">
        <v>28.8</v>
      </c>
      <c r="H95">
        <v>12.7</v>
      </c>
      <c r="I95">
        <v>8.0500000000000007</v>
      </c>
      <c r="J95">
        <v>64.802499999999995</v>
      </c>
      <c r="K95" t="str">
        <f>IFERROR(INDEX(Rosters!$C$2:$C$155,MATCH($B95,Rosters!$B$2:$B$155,0)),"NA")</f>
        <v>comp</v>
      </c>
      <c r="L95" t="str">
        <f t="shared" si="3"/>
        <v>comp11QB</v>
      </c>
      <c r="M95">
        <f>COUNTIF(L$1:L95,L95)</f>
        <v>1</v>
      </c>
      <c r="N95" t="str">
        <f t="shared" si="4"/>
        <v>comp11QB-1</v>
      </c>
      <c r="O95">
        <f>COUNTIFS(F$1:F95,F95,A$1:A95,A95)</f>
        <v>5</v>
      </c>
      <c r="P95" t="str">
        <f t="shared" si="5"/>
        <v>Philip Rivers11</v>
      </c>
    </row>
    <row r="96" spans="1:16" x14ac:dyDescent="0.25">
      <c r="A96">
        <v>6</v>
      </c>
      <c r="B96" t="s">
        <v>179</v>
      </c>
      <c r="C96" t="s">
        <v>5733</v>
      </c>
      <c r="D96">
        <v>20.74</v>
      </c>
      <c r="E96" t="s">
        <v>29</v>
      </c>
      <c r="F96" t="s">
        <v>15</v>
      </c>
      <c r="G96">
        <v>27.28</v>
      </c>
      <c r="H96">
        <v>14.2</v>
      </c>
      <c r="I96">
        <v>6.54</v>
      </c>
      <c r="J96">
        <v>42.771599999999999</v>
      </c>
      <c r="K96" t="str">
        <f>IFERROR(INDEX(Rosters!$C$2:$C$155,MATCH($B96,Rosters!$B$2:$B$155,0)),"NA")</f>
        <v>chad</v>
      </c>
      <c r="L96" t="str">
        <f t="shared" si="3"/>
        <v>chad6QB</v>
      </c>
      <c r="M96">
        <f>COUNTIF(L$1:L96,L96)</f>
        <v>1</v>
      </c>
      <c r="N96" t="str">
        <f t="shared" si="4"/>
        <v>chad6QB-1</v>
      </c>
      <c r="O96">
        <f>COUNTIFS(F$1:F96,F96,A$1:A96,A96)</f>
        <v>5</v>
      </c>
      <c r="P96" t="str">
        <f t="shared" si="5"/>
        <v>Deshaun Watson6</v>
      </c>
    </row>
    <row r="97" spans="1:16" x14ac:dyDescent="0.25">
      <c r="A97">
        <v>9</v>
      </c>
      <c r="B97" t="s">
        <v>13</v>
      </c>
      <c r="C97" t="s">
        <v>5734</v>
      </c>
      <c r="D97">
        <v>20.71</v>
      </c>
      <c r="E97" t="s">
        <v>423</v>
      </c>
      <c r="F97" t="s">
        <v>15</v>
      </c>
      <c r="G97">
        <v>28.32</v>
      </c>
      <c r="H97">
        <v>13.1</v>
      </c>
      <c r="I97">
        <v>7.61</v>
      </c>
      <c r="J97">
        <v>57.912100000000002</v>
      </c>
      <c r="K97" t="str">
        <f>IFERROR(INDEX(Rosters!$C$2:$C$155,MATCH($B97,Rosters!$B$2:$B$155,0)),"NA")</f>
        <v>cory</v>
      </c>
      <c r="L97" t="str">
        <f t="shared" si="3"/>
        <v>cory9QB</v>
      </c>
      <c r="M97">
        <f>COUNTIF(L$1:L97,L97)</f>
        <v>1</v>
      </c>
      <c r="N97" t="str">
        <f t="shared" si="4"/>
        <v>cory9QB-1</v>
      </c>
      <c r="O97">
        <f>COUNTIFS(F$1:F97,F97,A$1:A97,A97)</f>
        <v>5</v>
      </c>
      <c r="P97" t="str">
        <f t="shared" si="5"/>
        <v>Aaron Rodgers9</v>
      </c>
    </row>
    <row r="98" spans="1:16" x14ac:dyDescent="0.25">
      <c r="A98">
        <v>13</v>
      </c>
      <c r="B98" t="s">
        <v>1100</v>
      </c>
      <c r="C98" t="s">
        <v>5735</v>
      </c>
      <c r="D98">
        <v>20.71</v>
      </c>
      <c r="E98" t="s">
        <v>34</v>
      </c>
      <c r="F98" t="s">
        <v>47</v>
      </c>
      <c r="G98">
        <v>30.95</v>
      </c>
      <c r="H98">
        <v>10.47</v>
      </c>
      <c r="I98">
        <v>10.24</v>
      </c>
      <c r="J98">
        <v>104.85760000000001</v>
      </c>
      <c r="K98" t="str">
        <f>IFERROR(INDEX(Rosters!$C$2:$C$155,MATCH($B98,Rosters!$B$2:$B$155,0)),"NA")</f>
        <v>chad</v>
      </c>
      <c r="L98" t="str">
        <f t="shared" si="3"/>
        <v>chad13RB</v>
      </c>
      <c r="M98">
        <f>COUNTIF(L$1:L98,L98)</f>
        <v>1</v>
      </c>
      <c r="N98" t="str">
        <f t="shared" si="4"/>
        <v>chad13RB-1</v>
      </c>
      <c r="O98">
        <f>COUNTIFS(F$1:F98,F98,A$1:A98,A98)</f>
        <v>2</v>
      </c>
      <c r="P98" t="str">
        <f t="shared" si="5"/>
        <v>Todd Gurley II13</v>
      </c>
    </row>
    <row r="99" spans="1:16" x14ac:dyDescent="0.25">
      <c r="A99">
        <v>3</v>
      </c>
      <c r="B99" t="s">
        <v>13</v>
      </c>
      <c r="C99" t="s">
        <v>3601</v>
      </c>
      <c r="D99">
        <v>20.7</v>
      </c>
      <c r="E99" t="s">
        <v>60</v>
      </c>
      <c r="F99" t="s">
        <v>15</v>
      </c>
      <c r="G99">
        <v>28.64</v>
      </c>
      <c r="H99">
        <v>12.76</v>
      </c>
      <c r="I99">
        <v>7.94</v>
      </c>
      <c r="J99">
        <v>63.043599999999998</v>
      </c>
      <c r="K99" t="str">
        <f>IFERROR(INDEX(Rosters!$C$2:$C$155,MATCH($B99,Rosters!$B$2:$B$155,0)),"NA")</f>
        <v>cory</v>
      </c>
      <c r="L99" t="str">
        <f t="shared" si="3"/>
        <v>cory3QB</v>
      </c>
      <c r="M99">
        <f>COUNTIF(L$1:L99,L99)</f>
        <v>1</v>
      </c>
      <c r="N99" t="str">
        <f t="shared" si="4"/>
        <v>cory3QB-1</v>
      </c>
      <c r="O99">
        <f>COUNTIFS(F$1:F99,F99,A$1:A99,A99)</f>
        <v>2</v>
      </c>
      <c r="P99" t="str">
        <f t="shared" si="5"/>
        <v>Aaron Rodgers3</v>
      </c>
    </row>
    <row r="100" spans="1:16" x14ac:dyDescent="0.25">
      <c r="A100">
        <v>8</v>
      </c>
      <c r="B100" t="s">
        <v>21</v>
      </c>
      <c r="C100" t="s">
        <v>5736</v>
      </c>
      <c r="D100">
        <v>20.7</v>
      </c>
      <c r="E100" t="s">
        <v>25</v>
      </c>
      <c r="F100" t="s">
        <v>15</v>
      </c>
      <c r="G100">
        <v>29.24</v>
      </c>
      <c r="H100">
        <v>12.16</v>
      </c>
      <c r="I100">
        <v>8.5399999999999991</v>
      </c>
      <c r="J100">
        <v>72.931600000000003</v>
      </c>
      <c r="K100" t="str">
        <f>IFERROR(INDEX(Rosters!$C$2:$C$155,MATCH($B100,Rosters!$B$2:$B$155,0)),"NA")</f>
        <v>scott</v>
      </c>
      <c r="L100" t="str">
        <f t="shared" si="3"/>
        <v>scott8QB</v>
      </c>
      <c r="M100">
        <f>COUNTIF(L$1:L100,L100)</f>
        <v>2</v>
      </c>
      <c r="N100" t="str">
        <f t="shared" si="4"/>
        <v>scott8QB-2</v>
      </c>
      <c r="O100">
        <f>COUNTIFS(F$1:F100,F100,A$1:A100,A100)</f>
        <v>8</v>
      </c>
      <c r="P100" t="str">
        <f t="shared" si="5"/>
        <v>Drew Brees8</v>
      </c>
    </row>
    <row r="101" spans="1:16" x14ac:dyDescent="0.25">
      <c r="A101">
        <v>7</v>
      </c>
      <c r="B101" t="s">
        <v>95</v>
      </c>
      <c r="C101" t="s">
        <v>5737</v>
      </c>
      <c r="D101">
        <v>20.69</v>
      </c>
      <c r="E101" t="s">
        <v>22</v>
      </c>
      <c r="F101" t="s">
        <v>15</v>
      </c>
      <c r="G101">
        <v>28.78</v>
      </c>
      <c r="H101">
        <v>12.6</v>
      </c>
      <c r="I101">
        <v>8.09</v>
      </c>
      <c r="J101">
        <v>65.448099999999997</v>
      </c>
      <c r="K101" t="str">
        <f>IFERROR(INDEX(Rosters!$C$2:$C$155,MATCH($B101,Rosters!$B$2:$B$155,0)),"NA")</f>
        <v>matty</v>
      </c>
      <c r="L101" t="str">
        <f t="shared" si="3"/>
        <v>matty7QB</v>
      </c>
      <c r="M101">
        <f>COUNTIF(L$1:L101,L101)</f>
        <v>2</v>
      </c>
      <c r="N101" t="str">
        <f t="shared" si="4"/>
        <v>matty7QB-2</v>
      </c>
      <c r="O101">
        <f>COUNTIFS(F$1:F101,F101,A$1:A101,A101)</f>
        <v>6</v>
      </c>
      <c r="P101" t="str">
        <f t="shared" si="5"/>
        <v>Alex Smith7</v>
      </c>
    </row>
    <row r="102" spans="1:16" x14ac:dyDescent="0.25">
      <c r="A102">
        <v>8</v>
      </c>
      <c r="B102" t="s">
        <v>18</v>
      </c>
      <c r="C102" t="s">
        <v>5738</v>
      </c>
      <c r="D102">
        <v>20.69</v>
      </c>
      <c r="E102" t="s">
        <v>29</v>
      </c>
      <c r="F102" t="s">
        <v>15</v>
      </c>
      <c r="G102">
        <v>26.81</v>
      </c>
      <c r="H102">
        <v>14.57</v>
      </c>
      <c r="I102">
        <v>6.12</v>
      </c>
      <c r="J102">
        <v>37.4544</v>
      </c>
      <c r="K102" t="str">
        <f>IFERROR(INDEX(Rosters!$C$2:$C$155,MATCH($B102,Rosters!$B$2:$B$155,0)),"NA")</f>
        <v>lucas</v>
      </c>
      <c r="L102" t="str">
        <f t="shared" si="3"/>
        <v>lucas8QB</v>
      </c>
      <c r="M102">
        <f>COUNTIF(L$1:L102,L102)</f>
        <v>2</v>
      </c>
      <c r="N102" t="str">
        <f t="shared" si="4"/>
        <v>lucas8QB-2</v>
      </c>
      <c r="O102">
        <f>COUNTIFS(F$1:F102,F102,A$1:A102,A102)</f>
        <v>9</v>
      </c>
      <c r="P102" t="str">
        <f t="shared" si="5"/>
        <v>Tom Brady8</v>
      </c>
    </row>
    <row r="103" spans="1:16" x14ac:dyDescent="0.25">
      <c r="A103">
        <v>6</v>
      </c>
      <c r="B103" t="s">
        <v>65</v>
      </c>
      <c r="C103" t="s">
        <v>5739</v>
      </c>
      <c r="D103">
        <v>20.68</v>
      </c>
      <c r="E103" t="s">
        <v>31</v>
      </c>
      <c r="F103" t="s">
        <v>15</v>
      </c>
      <c r="G103">
        <v>28.1</v>
      </c>
      <c r="H103">
        <v>13.26</v>
      </c>
      <c r="I103">
        <v>7.42</v>
      </c>
      <c r="J103">
        <v>55.056399999999996</v>
      </c>
      <c r="K103" t="str">
        <f>IFERROR(INDEX(Rosters!$C$2:$C$155,MATCH($B103,Rosters!$B$2:$B$155,0)),"NA")</f>
        <v>lucas</v>
      </c>
      <c r="L103" t="str">
        <f t="shared" si="3"/>
        <v>lucas6QB</v>
      </c>
      <c r="M103">
        <f>COUNTIF(L$1:L103,L103)</f>
        <v>2</v>
      </c>
      <c r="N103" t="str">
        <f t="shared" si="4"/>
        <v>lucas6QB-2</v>
      </c>
      <c r="O103">
        <f>COUNTIFS(F$1:F103,F103,A$1:A103,A103)</f>
        <v>6</v>
      </c>
      <c r="P103" t="str">
        <f t="shared" si="5"/>
        <v>Ben Roethlisberger6</v>
      </c>
    </row>
    <row r="104" spans="1:16" x14ac:dyDescent="0.25">
      <c r="A104">
        <v>16</v>
      </c>
      <c r="B104" t="s">
        <v>21</v>
      </c>
      <c r="C104" t="s">
        <v>5740</v>
      </c>
      <c r="D104">
        <v>20.66</v>
      </c>
      <c r="E104" t="s">
        <v>51</v>
      </c>
      <c r="F104" t="s">
        <v>15</v>
      </c>
      <c r="G104">
        <v>28.94</v>
      </c>
      <c r="H104">
        <v>12.38</v>
      </c>
      <c r="I104">
        <v>8.2799999999999994</v>
      </c>
      <c r="J104">
        <v>68.558400000000006</v>
      </c>
      <c r="K104" t="str">
        <f>IFERROR(INDEX(Rosters!$C$2:$C$155,MATCH($B104,Rosters!$B$2:$B$155,0)),"NA")</f>
        <v>scott</v>
      </c>
      <c r="L104" t="str">
        <f t="shared" si="3"/>
        <v>scott16QB</v>
      </c>
      <c r="M104">
        <f>COUNTIF(L$1:L104,L104)</f>
        <v>1</v>
      </c>
      <c r="N104" t="str">
        <f t="shared" si="4"/>
        <v>scott16QB-1</v>
      </c>
      <c r="O104">
        <f>COUNTIFS(F$1:F104,F104,A$1:A104,A104)</f>
        <v>5</v>
      </c>
      <c r="P104" t="str">
        <f t="shared" si="5"/>
        <v>Drew Brees16</v>
      </c>
    </row>
    <row r="105" spans="1:16" x14ac:dyDescent="0.25">
      <c r="A105">
        <v>9</v>
      </c>
      <c r="B105" t="s">
        <v>43</v>
      </c>
      <c r="C105" t="s">
        <v>5741</v>
      </c>
      <c r="D105">
        <v>20.65</v>
      </c>
      <c r="E105" t="s">
        <v>34</v>
      </c>
      <c r="F105" t="s">
        <v>15</v>
      </c>
      <c r="G105">
        <v>27.31</v>
      </c>
      <c r="H105">
        <v>13.99</v>
      </c>
      <c r="I105">
        <v>6.66</v>
      </c>
      <c r="J105">
        <v>44.355600000000003</v>
      </c>
      <c r="K105" t="str">
        <f>IFERROR(INDEX(Rosters!$C$2:$C$155,MATCH($B105,Rosters!$B$2:$B$155,0)),"NA")</f>
        <v>NA</v>
      </c>
      <c r="L105" t="str">
        <f t="shared" si="3"/>
        <v>NA9QB</v>
      </c>
      <c r="M105">
        <f>COUNTIF(L$1:L105,L105)</f>
        <v>1</v>
      </c>
      <c r="N105" t="str">
        <f t="shared" si="4"/>
        <v>NA9QB-1</v>
      </c>
      <c r="O105">
        <f>COUNTIFS(F$1:F105,F105,A$1:A105,A105)</f>
        <v>6</v>
      </c>
      <c r="P105" t="str">
        <f t="shared" si="5"/>
        <v>Kirk Cousins9</v>
      </c>
    </row>
    <row r="106" spans="1:16" x14ac:dyDescent="0.25">
      <c r="A106">
        <v>11</v>
      </c>
      <c r="B106" t="s">
        <v>302</v>
      </c>
      <c r="C106" t="s">
        <v>5742</v>
      </c>
      <c r="D106">
        <v>20.63</v>
      </c>
      <c r="E106" t="s">
        <v>56</v>
      </c>
      <c r="F106" t="s">
        <v>15</v>
      </c>
      <c r="G106">
        <v>27.82</v>
      </c>
      <c r="H106">
        <v>13.44</v>
      </c>
      <c r="I106">
        <v>7.19</v>
      </c>
      <c r="J106">
        <v>51.696100000000001</v>
      </c>
      <c r="K106" t="str">
        <f>IFERROR(INDEX(Rosters!$C$2:$C$155,MATCH($B106,Rosters!$B$2:$B$155,0)),"NA")</f>
        <v>matty</v>
      </c>
      <c r="L106" t="str">
        <f t="shared" si="3"/>
        <v>matty11QB</v>
      </c>
      <c r="M106">
        <f>COUNTIF(L$1:L106,L106)</f>
        <v>2</v>
      </c>
      <c r="N106" t="str">
        <f t="shared" si="4"/>
        <v>matty11QB-2</v>
      </c>
      <c r="O106">
        <f>COUNTIFS(F$1:F106,F106,A$1:A106,A106)</f>
        <v>6</v>
      </c>
      <c r="P106" t="str">
        <f t="shared" si="5"/>
        <v>Patrick Mahomes11</v>
      </c>
    </row>
    <row r="107" spans="1:16" x14ac:dyDescent="0.25">
      <c r="A107">
        <v>16</v>
      </c>
      <c r="B107" t="s">
        <v>95</v>
      </c>
      <c r="C107" t="s">
        <v>5743</v>
      </c>
      <c r="D107">
        <v>20.61</v>
      </c>
      <c r="E107" t="s">
        <v>38</v>
      </c>
      <c r="F107" t="s">
        <v>15</v>
      </c>
      <c r="G107">
        <v>28.78</v>
      </c>
      <c r="H107">
        <v>12.44</v>
      </c>
      <c r="I107">
        <v>8.17</v>
      </c>
      <c r="J107">
        <v>66.748900000000006</v>
      </c>
      <c r="K107" t="str">
        <f>IFERROR(INDEX(Rosters!$C$2:$C$155,MATCH($B107,Rosters!$B$2:$B$155,0)),"NA")</f>
        <v>matty</v>
      </c>
      <c r="L107" t="str">
        <f t="shared" si="3"/>
        <v>matty16QB</v>
      </c>
      <c r="M107">
        <f>COUNTIF(L$1:L107,L107)</f>
        <v>1</v>
      </c>
      <c r="N107" t="str">
        <f t="shared" si="4"/>
        <v>matty16QB-1</v>
      </c>
      <c r="O107">
        <f>COUNTIFS(F$1:F107,F107,A$1:A107,A107)</f>
        <v>6</v>
      </c>
      <c r="P107" t="str">
        <f t="shared" si="5"/>
        <v>Alex Smith16</v>
      </c>
    </row>
    <row r="108" spans="1:16" x14ac:dyDescent="0.25">
      <c r="A108">
        <v>16</v>
      </c>
      <c r="B108" t="s">
        <v>53</v>
      </c>
      <c r="C108" t="s">
        <v>5744</v>
      </c>
      <c r="D108">
        <v>20.6</v>
      </c>
      <c r="E108" t="s">
        <v>24</v>
      </c>
      <c r="F108" t="s">
        <v>15</v>
      </c>
      <c r="G108">
        <v>29.19</v>
      </c>
      <c r="H108">
        <v>12.01</v>
      </c>
      <c r="I108">
        <v>8.59</v>
      </c>
      <c r="J108">
        <v>73.7881</v>
      </c>
      <c r="K108" t="str">
        <f>IFERROR(INDEX(Rosters!$C$2:$C$155,MATCH($B108,Rosters!$B$2:$B$155,0)),"NA")</f>
        <v>seth</v>
      </c>
      <c r="L108" t="str">
        <f t="shared" si="3"/>
        <v>seth16QB</v>
      </c>
      <c r="M108">
        <f>COUNTIF(L$1:L108,L108)</f>
        <v>1</v>
      </c>
      <c r="N108" t="str">
        <f t="shared" si="4"/>
        <v>seth16QB-1</v>
      </c>
      <c r="O108">
        <f>COUNTIFS(F$1:F108,F108,A$1:A108,A108)</f>
        <v>7</v>
      </c>
      <c r="P108" t="str">
        <f t="shared" si="5"/>
        <v>Russell Wilson16</v>
      </c>
    </row>
    <row r="109" spans="1:16" x14ac:dyDescent="0.25">
      <c r="A109">
        <v>13</v>
      </c>
      <c r="B109" t="s">
        <v>13</v>
      </c>
      <c r="C109" t="s">
        <v>5745</v>
      </c>
      <c r="D109">
        <v>20.54</v>
      </c>
      <c r="E109" t="s">
        <v>58</v>
      </c>
      <c r="F109" t="s">
        <v>15</v>
      </c>
      <c r="G109">
        <v>28.49</v>
      </c>
      <c r="H109">
        <v>12.59</v>
      </c>
      <c r="I109">
        <v>7.95</v>
      </c>
      <c r="J109">
        <v>63.202500000000001</v>
      </c>
      <c r="K109" t="str">
        <f>IFERROR(INDEX(Rosters!$C$2:$C$155,MATCH($B109,Rosters!$B$2:$B$155,0)),"NA")</f>
        <v>cory</v>
      </c>
      <c r="L109" t="str">
        <f t="shared" si="3"/>
        <v>cory13QB</v>
      </c>
      <c r="M109">
        <f>COUNTIF(L$1:L109,L109)</f>
        <v>2</v>
      </c>
      <c r="N109" t="str">
        <f t="shared" si="4"/>
        <v>cory13QB-2</v>
      </c>
      <c r="O109">
        <f>COUNTIFS(F$1:F109,F109,A$1:A109,A109)</f>
        <v>9</v>
      </c>
      <c r="P109" t="str">
        <f t="shared" si="5"/>
        <v>Aaron Rodgers13</v>
      </c>
    </row>
    <row r="110" spans="1:16" x14ac:dyDescent="0.25">
      <c r="A110">
        <v>8</v>
      </c>
      <c r="B110" t="s">
        <v>61</v>
      </c>
      <c r="C110" t="s">
        <v>5746</v>
      </c>
      <c r="D110">
        <v>20.48</v>
      </c>
      <c r="E110" t="s">
        <v>31</v>
      </c>
      <c r="F110" t="s">
        <v>15</v>
      </c>
      <c r="G110">
        <v>27.19</v>
      </c>
      <c r="H110">
        <v>13.77</v>
      </c>
      <c r="I110">
        <v>6.71</v>
      </c>
      <c r="J110">
        <v>45.024099999999997</v>
      </c>
      <c r="K110" t="str">
        <f>IFERROR(INDEX(Rosters!$C$2:$C$155,MATCH($B110,Rosters!$B$2:$B$155,0)),"NA")</f>
        <v>NA</v>
      </c>
      <c r="L110" t="str">
        <f t="shared" si="3"/>
        <v>NA8QB</v>
      </c>
      <c r="M110">
        <f>COUNTIF(L$1:L110,L110)</f>
        <v>2</v>
      </c>
      <c r="N110" t="str">
        <f t="shared" si="4"/>
        <v>NA8QB-2</v>
      </c>
      <c r="O110">
        <f>COUNTIFS(F$1:F110,F110,A$1:A110,A110)</f>
        <v>10</v>
      </c>
      <c r="P110" t="str">
        <f t="shared" si="5"/>
        <v>Jameis Winston8</v>
      </c>
    </row>
    <row r="111" spans="1:16" x14ac:dyDescent="0.25">
      <c r="A111">
        <v>3</v>
      </c>
      <c r="B111" t="s">
        <v>18</v>
      </c>
      <c r="C111" t="s">
        <v>3602</v>
      </c>
      <c r="D111">
        <v>20.41</v>
      </c>
      <c r="E111" t="s">
        <v>34</v>
      </c>
      <c r="F111" t="s">
        <v>15</v>
      </c>
      <c r="G111">
        <v>26.73</v>
      </c>
      <c r="H111">
        <v>14.09</v>
      </c>
      <c r="I111">
        <v>6.32</v>
      </c>
      <c r="J111">
        <v>39.942399999999999</v>
      </c>
      <c r="K111" t="str">
        <f>IFERROR(INDEX(Rosters!$C$2:$C$155,MATCH($B111,Rosters!$B$2:$B$155,0)),"NA")</f>
        <v>lucas</v>
      </c>
      <c r="L111" t="str">
        <f t="shared" si="3"/>
        <v>lucas3QB</v>
      </c>
      <c r="M111">
        <f>COUNTIF(L$1:L111,L111)</f>
        <v>2</v>
      </c>
      <c r="N111" t="str">
        <f t="shared" si="4"/>
        <v>lucas3QB-2</v>
      </c>
      <c r="O111">
        <f>COUNTIFS(F$1:F111,F111,A$1:A111,A111)</f>
        <v>3</v>
      </c>
      <c r="P111" t="str">
        <f t="shared" si="5"/>
        <v>Tom Brady3</v>
      </c>
    </row>
    <row r="112" spans="1:16" x14ac:dyDescent="0.25">
      <c r="A112">
        <v>10</v>
      </c>
      <c r="B112" t="s">
        <v>65</v>
      </c>
      <c r="C112" t="s">
        <v>5747</v>
      </c>
      <c r="D112">
        <v>20.399999999999999</v>
      </c>
      <c r="E112" t="s">
        <v>74</v>
      </c>
      <c r="F112" t="s">
        <v>15</v>
      </c>
      <c r="G112">
        <v>27.7</v>
      </c>
      <c r="H112">
        <v>13.1</v>
      </c>
      <c r="I112">
        <v>7.3</v>
      </c>
      <c r="J112">
        <v>53.29</v>
      </c>
      <c r="K112" t="str">
        <f>IFERROR(INDEX(Rosters!$C$2:$C$155,MATCH($B112,Rosters!$B$2:$B$155,0)),"NA")</f>
        <v>lucas</v>
      </c>
      <c r="L112" t="str">
        <f t="shared" si="3"/>
        <v>lucas10QB</v>
      </c>
      <c r="M112">
        <f>COUNTIF(L$1:L112,L112)</f>
        <v>1</v>
      </c>
      <c r="N112" t="str">
        <f t="shared" si="4"/>
        <v>lucas10QB-1</v>
      </c>
      <c r="O112">
        <f>COUNTIFS(F$1:F112,F112,A$1:A112,A112)</f>
        <v>5</v>
      </c>
      <c r="P112" t="str">
        <f t="shared" si="5"/>
        <v>Ben Roethlisberger10</v>
      </c>
    </row>
    <row r="113" spans="1:16" x14ac:dyDescent="0.25">
      <c r="A113">
        <v>11</v>
      </c>
      <c r="B113" t="s">
        <v>80</v>
      </c>
      <c r="C113" t="s">
        <v>5748</v>
      </c>
      <c r="D113">
        <v>20.38</v>
      </c>
      <c r="E113" t="s">
        <v>14</v>
      </c>
      <c r="F113" t="s">
        <v>15</v>
      </c>
      <c r="G113">
        <v>28.73</v>
      </c>
      <c r="H113">
        <v>12.03</v>
      </c>
      <c r="I113">
        <v>8.35</v>
      </c>
      <c r="J113">
        <v>69.722499999999997</v>
      </c>
      <c r="K113" t="str">
        <f>IFERROR(INDEX(Rosters!$C$2:$C$155,MATCH($B113,Rosters!$B$2:$B$155,0)),"NA")</f>
        <v>perry</v>
      </c>
      <c r="L113" t="str">
        <f t="shared" si="3"/>
        <v>perry11QB</v>
      </c>
      <c r="M113">
        <f>COUNTIF(L$1:L113,L113)</f>
        <v>1</v>
      </c>
      <c r="N113" t="str">
        <f t="shared" si="4"/>
        <v>perry11QB-1</v>
      </c>
      <c r="O113">
        <f>COUNTIFS(F$1:F113,F113,A$1:A113,A113)</f>
        <v>7</v>
      </c>
      <c r="P113" t="str">
        <f t="shared" si="5"/>
        <v>Carson Wentz11</v>
      </c>
    </row>
    <row r="114" spans="1:16" x14ac:dyDescent="0.25">
      <c r="A114">
        <v>7</v>
      </c>
      <c r="B114" t="s">
        <v>21</v>
      </c>
      <c r="C114" t="s">
        <v>5749</v>
      </c>
      <c r="D114">
        <v>20.38</v>
      </c>
      <c r="E114" t="s">
        <v>77</v>
      </c>
      <c r="F114" t="s">
        <v>15</v>
      </c>
      <c r="G114">
        <v>28.49</v>
      </c>
      <c r="H114">
        <v>12.27</v>
      </c>
      <c r="I114">
        <v>8.11</v>
      </c>
      <c r="J114">
        <v>65.772099999999995</v>
      </c>
      <c r="K114" t="str">
        <f>IFERROR(INDEX(Rosters!$C$2:$C$155,MATCH($B114,Rosters!$B$2:$B$155,0)),"NA")</f>
        <v>scott</v>
      </c>
      <c r="L114" t="str">
        <f t="shared" si="3"/>
        <v>scott7QB</v>
      </c>
      <c r="M114">
        <f>COUNTIF(L$1:L114,L114)</f>
        <v>1</v>
      </c>
      <c r="N114" t="str">
        <f t="shared" si="4"/>
        <v>scott7QB-1</v>
      </c>
      <c r="O114">
        <f>COUNTIFS(F$1:F114,F114,A$1:A114,A114)</f>
        <v>7</v>
      </c>
      <c r="P114" t="str">
        <f t="shared" si="5"/>
        <v>Drew Brees7</v>
      </c>
    </row>
    <row r="115" spans="1:16" x14ac:dyDescent="0.25">
      <c r="A115">
        <v>16</v>
      </c>
      <c r="B115" t="s">
        <v>57</v>
      </c>
      <c r="C115" t="s">
        <v>5750</v>
      </c>
      <c r="D115">
        <v>20.38</v>
      </c>
      <c r="E115" t="s">
        <v>17</v>
      </c>
      <c r="F115" t="s">
        <v>47</v>
      </c>
      <c r="G115">
        <v>30.37</v>
      </c>
      <c r="H115">
        <v>10.39</v>
      </c>
      <c r="I115">
        <v>9.99</v>
      </c>
      <c r="J115">
        <v>99.8001</v>
      </c>
      <c r="K115" t="str">
        <f>IFERROR(INDEX(Rosters!$C$2:$C$155,MATCH($B115,Rosters!$B$2:$B$155,0)),"NA")</f>
        <v>perry</v>
      </c>
      <c r="L115" t="str">
        <f t="shared" si="3"/>
        <v>perry16RB</v>
      </c>
      <c r="M115">
        <f>COUNTIF(L$1:L115,L115)</f>
        <v>1</v>
      </c>
      <c r="N115" t="str">
        <f t="shared" si="4"/>
        <v>perry16RB-1</v>
      </c>
      <c r="O115">
        <f>COUNTIFS(F$1:F115,F115,A$1:A115,A115)</f>
        <v>1</v>
      </c>
      <c r="P115" t="str">
        <f t="shared" si="5"/>
        <v>Ezekiel Elliott16</v>
      </c>
    </row>
    <row r="116" spans="1:16" x14ac:dyDescent="0.25">
      <c r="A116">
        <v>10</v>
      </c>
      <c r="B116" t="s">
        <v>83</v>
      </c>
      <c r="C116" t="s">
        <v>5751</v>
      </c>
      <c r="D116">
        <v>20.34</v>
      </c>
      <c r="E116" t="s">
        <v>28</v>
      </c>
      <c r="F116" t="s">
        <v>15</v>
      </c>
      <c r="G116">
        <v>29</v>
      </c>
      <c r="H116">
        <v>11.68</v>
      </c>
      <c r="I116">
        <v>8.66</v>
      </c>
      <c r="J116">
        <v>74.995599999999996</v>
      </c>
      <c r="K116" t="str">
        <f>IFERROR(INDEX(Rosters!$C$2:$C$155,MATCH($B116,Rosters!$B$2:$B$155,0)),"NA")</f>
        <v>cory</v>
      </c>
      <c r="L116" t="str">
        <f t="shared" si="3"/>
        <v>cory10QB</v>
      </c>
      <c r="M116">
        <f>COUNTIF(L$1:L116,L116)</f>
        <v>2</v>
      </c>
      <c r="N116" t="str">
        <f t="shared" si="4"/>
        <v>cory10QB-2</v>
      </c>
      <c r="O116">
        <f>COUNTIFS(F$1:F116,F116,A$1:A116,A116)</f>
        <v>6</v>
      </c>
      <c r="P116" t="str">
        <f t="shared" si="5"/>
        <v>Jared Goff10</v>
      </c>
    </row>
    <row r="117" spans="1:16" x14ac:dyDescent="0.25">
      <c r="A117">
        <v>6</v>
      </c>
      <c r="B117" t="s">
        <v>80</v>
      </c>
      <c r="C117" t="s">
        <v>5752</v>
      </c>
      <c r="D117">
        <v>20.3</v>
      </c>
      <c r="E117" t="s">
        <v>54</v>
      </c>
      <c r="F117" t="s">
        <v>15</v>
      </c>
      <c r="G117">
        <v>27.63</v>
      </c>
      <c r="H117">
        <v>12.97</v>
      </c>
      <c r="I117">
        <v>7.33</v>
      </c>
      <c r="J117">
        <v>53.728900000000003</v>
      </c>
      <c r="K117" t="str">
        <f>IFERROR(INDEX(Rosters!$C$2:$C$155,MATCH($B117,Rosters!$B$2:$B$155,0)),"NA")</f>
        <v>perry</v>
      </c>
      <c r="L117" t="str">
        <f t="shared" si="3"/>
        <v>perry6QB</v>
      </c>
      <c r="M117">
        <f>COUNTIF(L$1:L117,L117)</f>
        <v>1</v>
      </c>
      <c r="N117" t="str">
        <f t="shared" si="4"/>
        <v>perry6QB-1</v>
      </c>
      <c r="O117">
        <f>COUNTIFS(F$1:F117,F117,A$1:A117,A117)</f>
        <v>7</v>
      </c>
      <c r="P117" t="str">
        <f t="shared" si="5"/>
        <v>Carson Wentz6</v>
      </c>
    </row>
    <row r="118" spans="1:16" x14ac:dyDescent="0.25">
      <c r="A118">
        <v>10</v>
      </c>
      <c r="B118" t="s">
        <v>61</v>
      </c>
      <c r="C118" t="s">
        <v>5753</v>
      </c>
      <c r="D118">
        <v>20.29</v>
      </c>
      <c r="E118" t="s">
        <v>60</v>
      </c>
      <c r="F118" t="s">
        <v>15</v>
      </c>
      <c r="G118">
        <v>27.46</v>
      </c>
      <c r="H118">
        <v>13.12</v>
      </c>
      <c r="I118">
        <v>7.17</v>
      </c>
      <c r="J118">
        <v>51.408900000000003</v>
      </c>
      <c r="K118" t="str">
        <f>IFERROR(INDEX(Rosters!$C$2:$C$155,MATCH($B118,Rosters!$B$2:$B$155,0)),"NA")</f>
        <v>NA</v>
      </c>
      <c r="L118" t="str">
        <f t="shared" si="3"/>
        <v>NA10QB</v>
      </c>
      <c r="M118">
        <f>COUNTIF(L$1:L118,L118)</f>
        <v>1</v>
      </c>
      <c r="N118" t="str">
        <f t="shared" si="4"/>
        <v>NA10QB-1</v>
      </c>
      <c r="O118">
        <f>COUNTIFS(F$1:F118,F118,A$1:A118,A118)</f>
        <v>7</v>
      </c>
      <c r="P118" t="str">
        <f t="shared" si="5"/>
        <v>Jameis Winston10</v>
      </c>
    </row>
    <row r="119" spans="1:16" x14ac:dyDescent="0.25">
      <c r="A119">
        <v>8</v>
      </c>
      <c r="B119" t="s">
        <v>71</v>
      </c>
      <c r="C119" t="s">
        <v>5754</v>
      </c>
      <c r="D119">
        <v>20.27</v>
      </c>
      <c r="E119" t="s">
        <v>66</v>
      </c>
      <c r="F119" t="s">
        <v>15</v>
      </c>
      <c r="G119">
        <v>27.26</v>
      </c>
      <c r="H119">
        <v>13.28</v>
      </c>
      <c r="I119">
        <v>6.99</v>
      </c>
      <c r="J119">
        <v>48.860100000000003</v>
      </c>
      <c r="K119" t="str">
        <f>IFERROR(INDEX(Rosters!$C$2:$C$155,MATCH($B119,Rosters!$B$2:$B$155,0)),"NA")</f>
        <v>NA</v>
      </c>
      <c r="L119" t="str">
        <f t="shared" si="3"/>
        <v>NA8QB</v>
      </c>
      <c r="M119">
        <f>COUNTIF(L$1:L119,L119)</f>
        <v>3</v>
      </c>
      <c r="N119" t="str">
        <f t="shared" si="4"/>
        <v>NA8QB-3</v>
      </c>
      <c r="O119">
        <f>COUNTIFS(F$1:F119,F119,A$1:A119,A119)</f>
        <v>11</v>
      </c>
      <c r="P119" t="str">
        <f t="shared" si="5"/>
        <v>Derek Carr8</v>
      </c>
    </row>
    <row r="120" spans="1:16" x14ac:dyDescent="0.25">
      <c r="A120">
        <v>9</v>
      </c>
      <c r="B120" t="s">
        <v>83</v>
      </c>
      <c r="C120" t="s">
        <v>5755</v>
      </c>
      <c r="D120">
        <v>20.25</v>
      </c>
      <c r="E120" t="s">
        <v>14</v>
      </c>
      <c r="F120" t="s">
        <v>15</v>
      </c>
      <c r="G120">
        <v>27.31</v>
      </c>
      <c r="H120">
        <v>13.19</v>
      </c>
      <c r="I120">
        <v>7.06</v>
      </c>
      <c r="J120">
        <v>49.843600000000002</v>
      </c>
      <c r="K120" t="str">
        <f>IFERROR(INDEX(Rosters!$C$2:$C$155,MATCH($B120,Rosters!$B$2:$B$155,0)),"NA")</f>
        <v>cory</v>
      </c>
      <c r="L120" t="str">
        <f t="shared" si="3"/>
        <v>cory9QB</v>
      </c>
      <c r="M120">
        <f>COUNTIF(L$1:L120,L120)</f>
        <v>2</v>
      </c>
      <c r="N120" t="str">
        <f t="shared" si="4"/>
        <v>cory9QB-2</v>
      </c>
      <c r="O120">
        <f>COUNTIFS(F$1:F120,F120,A$1:A120,A120)</f>
        <v>7</v>
      </c>
      <c r="P120" t="str">
        <f t="shared" si="5"/>
        <v>Jared Goff9</v>
      </c>
    </row>
    <row r="121" spans="1:16" x14ac:dyDescent="0.25">
      <c r="A121">
        <v>2</v>
      </c>
      <c r="B121" t="s">
        <v>95</v>
      </c>
      <c r="C121" t="s">
        <v>3296</v>
      </c>
      <c r="D121">
        <v>20.239999999999998</v>
      </c>
      <c r="E121" t="s">
        <v>66</v>
      </c>
      <c r="F121" t="s">
        <v>15</v>
      </c>
      <c r="G121">
        <v>26.95</v>
      </c>
      <c r="H121">
        <v>13.53</v>
      </c>
      <c r="I121">
        <v>6.71</v>
      </c>
      <c r="J121">
        <v>45.024099999999997</v>
      </c>
      <c r="K121" t="str">
        <f>IFERROR(INDEX(Rosters!$C$2:$C$155,MATCH($B121,Rosters!$B$2:$B$155,0)),"NA")</f>
        <v>matty</v>
      </c>
      <c r="L121" t="str">
        <f t="shared" si="3"/>
        <v>matty2QB</v>
      </c>
      <c r="M121">
        <f>COUNTIF(L$1:L121,L121)</f>
        <v>1</v>
      </c>
      <c r="N121" t="str">
        <f t="shared" si="4"/>
        <v>matty2QB-1</v>
      </c>
      <c r="O121">
        <f>COUNTIFS(F$1:F121,F121,A$1:A121,A121)</f>
        <v>2</v>
      </c>
      <c r="P121" t="str">
        <f t="shared" si="5"/>
        <v>Alex Smith2</v>
      </c>
    </row>
    <row r="122" spans="1:16" x14ac:dyDescent="0.25">
      <c r="A122">
        <v>3</v>
      </c>
      <c r="B122" t="s">
        <v>302</v>
      </c>
      <c r="C122" t="s">
        <v>3603</v>
      </c>
      <c r="D122">
        <v>20.22</v>
      </c>
      <c r="E122" t="s">
        <v>30</v>
      </c>
      <c r="F122" t="s">
        <v>15</v>
      </c>
      <c r="G122">
        <v>26.24</v>
      </c>
      <c r="H122">
        <v>14.2</v>
      </c>
      <c r="I122">
        <v>6.02</v>
      </c>
      <c r="J122">
        <v>36.240400000000001</v>
      </c>
      <c r="K122" t="str">
        <f>IFERROR(INDEX(Rosters!$C$2:$C$155,MATCH($B122,Rosters!$B$2:$B$155,0)),"NA")</f>
        <v>matty</v>
      </c>
      <c r="L122" t="str">
        <f t="shared" si="3"/>
        <v>matty3QB</v>
      </c>
      <c r="M122">
        <f>COUNTIF(L$1:L122,L122)</f>
        <v>1</v>
      </c>
      <c r="N122" t="str">
        <f t="shared" si="4"/>
        <v>matty3QB-1</v>
      </c>
      <c r="O122">
        <f>COUNTIFS(F$1:F122,F122,A$1:A122,A122)</f>
        <v>4</v>
      </c>
      <c r="P122" t="str">
        <f t="shared" si="5"/>
        <v>Patrick Mahomes3</v>
      </c>
    </row>
    <row r="123" spans="1:16" x14ac:dyDescent="0.25">
      <c r="A123">
        <v>9</v>
      </c>
      <c r="B123" t="s">
        <v>302</v>
      </c>
      <c r="C123" t="s">
        <v>5756</v>
      </c>
      <c r="D123">
        <v>20.22</v>
      </c>
      <c r="E123" t="s">
        <v>52</v>
      </c>
      <c r="F123" t="s">
        <v>15</v>
      </c>
      <c r="G123">
        <v>29.44</v>
      </c>
      <c r="H123">
        <v>11</v>
      </c>
      <c r="I123">
        <v>9.2200000000000006</v>
      </c>
      <c r="J123">
        <v>85.008399999999995</v>
      </c>
      <c r="K123" t="str">
        <f>IFERROR(INDEX(Rosters!$C$2:$C$155,MATCH($B123,Rosters!$B$2:$B$155,0)),"NA")</f>
        <v>matty</v>
      </c>
      <c r="L123" t="str">
        <f t="shared" si="3"/>
        <v>matty9QB</v>
      </c>
      <c r="M123">
        <f>COUNTIF(L$1:L123,L123)</f>
        <v>2</v>
      </c>
      <c r="N123" t="str">
        <f t="shared" si="4"/>
        <v>matty9QB-2</v>
      </c>
      <c r="O123">
        <f>COUNTIFS(F$1:F123,F123,A$1:A123,A123)</f>
        <v>8</v>
      </c>
      <c r="P123" t="str">
        <f t="shared" si="5"/>
        <v>Patrick Mahomes9</v>
      </c>
    </row>
    <row r="124" spans="1:16" x14ac:dyDescent="0.25">
      <c r="A124">
        <v>10</v>
      </c>
      <c r="B124" t="s">
        <v>67</v>
      </c>
      <c r="C124" t="s">
        <v>5757</v>
      </c>
      <c r="D124">
        <v>20.22</v>
      </c>
      <c r="E124" t="s">
        <v>32</v>
      </c>
      <c r="F124" t="s">
        <v>15</v>
      </c>
      <c r="G124">
        <v>27.96</v>
      </c>
      <c r="H124">
        <v>12.48</v>
      </c>
      <c r="I124">
        <v>7.74</v>
      </c>
      <c r="J124">
        <v>59.907600000000002</v>
      </c>
      <c r="K124" t="str">
        <f>IFERROR(INDEX(Rosters!$C$2:$C$155,MATCH($B124,Rosters!$B$2:$B$155,0)),"NA")</f>
        <v>comp</v>
      </c>
      <c r="L124" t="str">
        <f t="shared" si="3"/>
        <v>comp10QB</v>
      </c>
      <c r="M124">
        <f>COUNTIF(L$1:L124,L124)</f>
        <v>1</v>
      </c>
      <c r="N124" t="str">
        <f t="shared" si="4"/>
        <v>comp10QB-1</v>
      </c>
      <c r="O124">
        <f>COUNTIFS(F$1:F124,F124,A$1:A124,A124)</f>
        <v>8</v>
      </c>
      <c r="P124" t="str">
        <f t="shared" si="5"/>
        <v>Philip Rivers10</v>
      </c>
    </row>
    <row r="125" spans="1:16" x14ac:dyDescent="0.25">
      <c r="A125">
        <v>16</v>
      </c>
      <c r="B125" t="s">
        <v>13</v>
      </c>
      <c r="C125" t="s">
        <v>5758</v>
      </c>
      <c r="D125">
        <v>20.190000000000001</v>
      </c>
      <c r="E125" t="s">
        <v>73</v>
      </c>
      <c r="F125" t="s">
        <v>15</v>
      </c>
      <c r="G125">
        <v>27.64</v>
      </c>
      <c r="H125">
        <v>12.74</v>
      </c>
      <c r="I125">
        <v>7.45</v>
      </c>
      <c r="J125">
        <v>55.502499999999998</v>
      </c>
      <c r="K125" t="str">
        <f>IFERROR(INDEX(Rosters!$C$2:$C$155,MATCH($B125,Rosters!$B$2:$B$155,0)),"NA")</f>
        <v>cory</v>
      </c>
      <c r="L125" t="str">
        <f t="shared" si="3"/>
        <v>cory16QB</v>
      </c>
      <c r="M125">
        <f>COUNTIF(L$1:L125,L125)</f>
        <v>1</v>
      </c>
      <c r="N125" t="str">
        <f t="shared" si="4"/>
        <v>cory16QB-1</v>
      </c>
      <c r="O125">
        <f>COUNTIFS(F$1:F125,F125,A$1:A125,A125)</f>
        <v>8</v>
      </c>
      <c r="P125" t="str">
        <f t="shared" si="5"/>
        <v>Aaron Rodgers16</v>
      </c>
    </row>
    <row r="126" spans="1:16" x14ac:dyDescent="0.25">
      <c r="A126">
        <v>3</v>
      </c>
      <c r="B126" t="s">
        <v>39</v>
      </c>
      <c r="C126" t="s">
        <v>3604</v>
      </c>
      <c r="D126">
        <v>20.18</v>
      </c>
      <c r="E126" t="s">
        <v>31</v>
      </c>
      <c r="F126" t="s">
        <v>15</v>
      </c>
      <c r="G126">
        <v>28.28</v>
      </c>
      <c r="H126">
        <v>12.08</v>
      </c>
      <c r="I126">
        <v>8.1</v>
      </c>
      <c r="J126">
        <v>65.61</v>
      </c>
      <c r="K126" t="str">
        <f>IFERROR(INDEX(Rosters!$C$2:$C$155,MATCH($B126,Rosters!$B$2:$B$155,0)),"NA")</f>
        <v>devon</v>
      </c>
      <c r="L126" t="str">
        <f t="shared" si="3"/>
        <v>devon3QB</v>
      </c>
      <c r="M126">
        <f>COUNTIF(L$1:L126,L126)</f>
        <v>1</v>
      </c>
      <c r="N126" t="str">
        <f t="shared" si="4"/>
        <v>devon3QB-1</v>
      </c>
      <c r="O126">
        <f>COUNTIFS(F$1:F126,F126,A$1:A126,A126)</f>
        <v>5</v>
      </c>
      <c r="P126" t="str">
        <f t="shared" si="5"/>
        <v>Cam Newton3</v>
      </c>
    </row>
    <row r="127" spans="1:16" x14ac:dyDescent="0.25">
      <c r="A127">
        <v>14</v>
      </c>
      <c r="B127" t="s">
        <v>67</v>
      </c>
      <c r="C127" t="s">
        <v>5759</v>
      </c>
      <c r="D127">
        <v>20.18</v>
      </c>
      <c r="E127" t="s">
        <v>31</v>
      </c>
      <c r="F127" t="s">
        <v>15</v>
      </c>
      <c r="G127">
        <v>27.53</v>
      </c>
      <c r="H127">
        <v>12.83</v>
      </c>
      <c r="I127">
        <v>7.35</v>
      </c>
      <c r="J127">
        <v>54.022500000000001</v>
      </c>
      <c r="K127" t="str">
        <f>IFERROR(INDEX(Rosters!$C$2:$C$155,MATCH($B127,Rosters!$B$2:$B$155,0)),"NA")</f>
        <v>comp</v>
      </c>
      <c r="L127" t="str">
        <f t="shared" si="3"/>
        <v>comp14QB</v>
      </c>
      <c r="M127">
        <f>COUNTIF(L$1:L127,L127)</f>
        <v>1</v>
      </c>
      <c r="N127" t="str">
        <f t="shared" si="4"/>
        <v>comp14QB-1</v>
      </c>
      <c r="O127">
        <f>COUNTIFS(F$1:F127,F127,A$1:A127,A127)</f>
        <v>10</v>
      </c>
      <c r="P127" t="str">
        <f t="shared" si="5"/>
        <v>Philip Rivers14</v>
      </c>
    </row>
    <row r="128" spans="1:16" x14ac:dyDescent="0.25">
      <c r="A128">
        <v>15</v>
      </c>
      <c r="B128" t="s">
        <v>1100</v>
      </c>
      <c r="C128" t="s">
        <v>5760</v>
      </c>
      <c r="D128">
        <v>20.18</v>
      </c>
      <c r="E128" t="s">
        <v>50</v>
      </c>
      <c r="F128" t="s">
        <v>47</v>
      </c>
      <c r="G128">
        <v>30.3</v>
      </c>
      <c r="H128">
        <v>10.06</v>
      </c>
      <c r="I128">
        <v>10.119999999999999</v>
      </c>
      <c r="J128">
        <v>102.4144</v>
      </c>
      <c r="K128" t="str">
        <f>IFERROR(INDEX(Rosters!$C$2:$C$155,MATCH($B128,Rosters!$B$2:$B$155,0)),"NA")</f>
        <v>chad</v>
      </c>
      <c r="L128" t="str">
        <f t="shared" si="3"/>
        <v>chad15RB</v>
      </c>
      <c r="M128">
        <f>COUNTIF(L$1:L128,L128)</f>
        <v>1</v>
      </c>
      <c r="N128" t="str">
        <f t="shared" si="4"/>
        <v>chad15RB-1</v>
      </c>
      <c r="O128">
        <f>COUNTIFS(F$1:F128,F128,A$1:A128,A128)</f>
        <v>1</v>
      </c>
      <c r="P128" t="str">
        <f t="shared" si="5"/>
        <v>Todd Gurley II15</v>
      </c>
    </row>
    <row r="129" spans="1:16" x14ac:dyDescent="0.25">
      <c r="A129">
        <v>13</v>
      </c>
      <c r="B129" t="s">
        <v>80</v>
      </c>
      <c r="C129" t="s">
        <v>5761</v>
      </c>
      <c r="D129">
        <v>20.149999999999999</v>
      </c>
      <c r="E129" t="s">
        <v>60</v>
      </c>
      <c r="F129" t="s">
        <v>15</v>
      </c>
      <c r="G129">
        <v>28.65</v>
      </c>
      <c r="H129">
        <v>11.65</v>
      </c>
      <c r="I129">
        <v>8.5</v>
      </c>
      <c r="J129">
        <v>72.25</v>
      </c>
      <c r="K129" t="str">
        <f>IFERROR(INDEX(Rosters!$C$2:$C$155,MATCH($B129,Rosters!$B$2:$B$155,0)),"NA")</f>
        <v>perry</v>
      </c>
      <c r="L129" t="str">
        <f t="shared" si="3"/>
        <v>perry13QB</v>
      </c>
      <c r="M129">
        <f>COUNTIF(L$1:L129,L129)</f>
        <v>1</v>
      </c>
      <c r="N129" t="str">
        <f t="shared" si="4"/>
        <v>perry13QB-1</v>
      </c>
      <c r="O129">
        <f>COUNTIFS(F$1:F129,F129,A$1:A129,A129)</f>
        <v>10</v>
      </c>
      <c r="P129" t="str">
        <f t="shared" si="5"/>
        <v>Carson Wentz13</v>
      </c>
    </row>
    <row r="130" spans="1:16" x14ac:dyDescent="0.25">
      <c r="A130">
        <v>5</v>
      </c>
      <c r="B130" t="s">
        <v>302</v>
      </c>
      <c r="C130" t="s">
        <v>5762</v>
      </c>
      <c r="D130">
        <v>20.13</v>
      </c>
      <c r="E130" t="s">
        <v>76</v>
      </c>
      <c r="F130" t="s">
        <v>15</v>
      </c>
      <c r="G130">
        <v>28.77</v>
      </c>
      <c r="H130">
        <v>11.49</v>
      </c>
      <c r="I130">
        <v>8.64</v>
      </c>
      <c r="J130">
        <v>74.649600000000007</v>
      </c>
      <c r="K130" t="str">
        <f>IFERROR(INDEX(Rosters!$C$2:$C$155,MATCH($B130,Rosters!$B$2:$B$155,0)),"NA")</f>
        <v>matty</v>
      </c>
      <c r="L130" t="str">
        <f t="shared" si="3"/>
        <v>matty5QB</v>
      </c>
      <c r="M130">
        <f>COUNTIF(L$1:L130,L130)</f>
        <v>1</v>
      </c>
      <c r="N130" t="str">
        <f t="shared" si="4"/>
        <v>matty5QB-1</v>
      </c>
      <c r="O130">
        <f>COUNTIFS(F$1:F130,F130,A$1:A130,A130)</f>
        <v>9</v>
      </c>
      <c r="P130" t="str">
        <f t="shared" si="5"/>
        <v>Patrick Mahomes5</v>
      </c>
    </row>
    <row r="131" spans="1:16" x14ac:dyDescent="0.25">
      <c r="A131">
        <v>14</v>
      </c>
      <c r="B131" t="s">
        <v>43</v>
      </c>
      <c r="C131" t="s">
        <v>5763</v>
      </c>
      <c r="D131">
        <v>20.11</v>
      </c>
      <c r="E131" t="s">
        <v>28</v>
      </c>
      <c r="F131" t="s">
        <v>15</v>
      </c>
      <c r="G131">
        <v>27.76</v>
      </c>
      <c r="H131">
        <v>12.46</v>
      </c>
      <c r="I131">
        <v>7.65</v>
      </c>
      <c r="J131">
        <v>58.522500000000001</v>
      </c>
      <c r="K131" t="str">
        <f>IFERROR(INDEX(Rosters!$C$2:$C$155,MATCH($B131,Rosters!$B$2:$B$155,0)),"NA")</f>
        <v>NA</v>
      </c>
      <c r="L131" t="str">
        <f t="shared" ref="L131:L194" si="6">K131&amp;A131&amp;F131</f>
        <v>NA14QB</v>
      </c>
      <c r="M131">
        <f>COUNTIF(L$1:L131,L131)</f>
        <v>2</v>
      </c>
      <c r="N131" t="str">
        <f t="shared" ref="N131:N194" si="7">L131&amp;"-"&amp;M131</f>
        <v>NA14QB-2</v>
      </c>
      <c r="O131">
        <f>COUNTIFS(F$1:F131,F131,A$1:A131,A131)</f>
        <v>11</v>
      </c>
      <c r="P131" t="str">
        <f t="shared" ref="P131:P194" si="8">B131&amp;A131</f>
        <v>Kirk Cousins14</v>
      </c>
    </row>
    <row r="132" spans="1:16" x14ac:dyDescent="0.25">
      <c r="A132">
        <v>8</v>
      </c>
      <c r="B132" t="s">
        <v>1100</v>
      </c>
      <c r="C132" t="s">
        <v>5764</v>
      </c>
      <c r="D132">
        <v>20.07</v>
      </c>
      <c r="E132" t="s">
        <v>41</v>
      </c>
      <c r="F132" t="s">
        <v>47</v>
      </c>
      <c r="G132">
        <v>30.37</v>
      </c>
      <c r="H132">
        <v>9.77</v>
      </c>
      <c r="I132">
        <v>10.3</v>
      </c>
      <c r="J132">
        <v>106.09</v>
      </c>
      <c r="K132" t="str">
        <f>IFERROR(INDEX(Rosters!$C$2:$C$155,MATCH($B132,Rosters!$B$2:$B$155,0)),"NA")</f>
        <v>chad</v>
      </c>
      <c r="L132" t="str">
        <f t="shared" si="6"/>
        <v>chad8RB</v>
      </c>
      <c r="M132">
        <f>COUNTIF(L$1:L132,L132)</f>
        <v>1</v>
      </c>
      <c r="N132" t="str">
        <f t="shared" si="7"/>
        <v>chad8RB-1</v>
      </c>
      <c r="O132">
        <f>COUNTIFS(F$1:F132,F132,A$1:A132,A132)</f>
        <v>1</v>
      </c>
      <c r="P132" t="str">
        <f t="shared" si="8"/>
        <v>Todd Gurley II8</v>
      </c>
    </row>
    <row r="133" spans="1:16" x14ac:dyDescent="0.25">
      <c r="A133">
        <v>7</v>
      </c>
      <c r="B133" t="s">
        <v>57</v>
      </c>
      <c r="C133" t="s">
        <v>5765</v>
      </c>
      <c r="D133">
        <v>20.04</v>
      </c>
      <c r="E133" t="s">
        <v>60</v>
      </c>
      <c r="F133" t="s">
        <v>47</v>
      </c>
      <c r="G133">
        <v>30.53</v>
      </c>
      <c r="H133">
        <v>9.5500000000000007</v>
      </c>
      <c r="I133">
        <v>10.49</v>
      </c>
      <c r="J133">
        <v>110.0401</v>
      </c>
      <c r="K133" t="str">
        <f>IFERROR(INDEX(Rosters!$C$2:$C$155,MATCH($B133,Rosters!$B$2:$B$155,0)),"NA")</f>
        <v>perry</v>
      </c>
      <c r="L133" t="str">
        <f t="shared" si="6"/>
        <v>perry7RB</v>
      </c>
      <c r="M133">
        <f>COUNTIF(L$1:L133,L133)</f>
        <v>1</v>
      </c>
      <c r="N133" t="str">
        <f t="shared" si="7"/>
        <v>perry7RB-1</v>
      </c>
      <c r="O133">
        <f>COUNTIFS(F$1:F133,F133,A$1:A133,A133)</f>
        <v>1</v>
      </c>
      <c r="P133" t="str">
        <f t="shared" si="8"/>
        <v>Ezekiel Elliott7</v>
      </c>
    </row>
    <row r="134" spans="1:16" x14ac:dyDescent="0.25">
      <c r="A134">
        <v>6</v>
      </c>
      <c r="B134" t="s">
        <v>39</v>
      </c>
      <c r="C134" t="s">
        <v>5766</v>
      </c>
      <c r="D134">
        <v>20.02</v>
      </c>
      <c r="E134" t="s">
        <v>60</v>
      </c>
      <c r="F134" t="s">
        <v>15</v>
      </c>
      <c r="G134">
        <v>27.69</v>
      </c>
      <c r="H134">
        <v>12.35</v>
      </c>
      <c r="I134">
        <v>7.67</v>
      </c>
      <c r="J134">
        <v>58.828899999999997</v>
      </c>
      <c r="K134" t="str">
        <f>IFERROR(INDEX(Rosters!$C$2:$C$155,MATCH($B134,Rosters!$B$2:$B$155,0)),"NA")</f>
        <v>devon</v>
      </c>
      <c r="L134" t="str">
        <f t="shared" si="6"/>
        <v>devon6QB</v>
      </c>
      <c r="M134">
        <f>COUNTIF(L$1:L134,L134)</f>
        <v>1</v>
      </c>
      <c r="N134" t="str">
        <f t="shared" si="7"/>
        <v>devon6QB-1</v>
      </c>
      <c r="O134">
        <f>COUNTIFS(F$1:F134,F134,A$1:A134,A134)</f>
        <v>8</v>
      </c>
      <c r="P134" t="str">
        <f t="shared" si="8"/>
        <v>Cam Newton6</v>
      </c>
    </row>
    <row r="135" spans="1:16" x14ac:dyDescent="0.25">
      <c r="A135">
        <v>11</v>
      </c>
      <c r="B135" t="s">
        <v>21</v>
      </c>
      <c r="C135" t="s">
        <v>5767</v>
      </c>
      <c r="D135">
        <v>20.02</v>
      </c>
      <c r="E135" t="s">
        <v>50</v>
      </c>
      <c r="F135" t="s">
        <v>15</v>
      </c>
      <c r="G135">
        <v>26.83</v>
      </c>
      <c r="H135">
        <v>13.21</v>
      </c>
      <c r="I135">
        <v>6.81</v>
      </c>
      <c r="J135">
        <v>46.376100000000001</v>
      </c>
      <c r="K135" t="str">
        <f>IFERROR(INDEX(Rosters!$C$2:$C$155,MATCH($B135,Rosters!$B$2:$B$155,0)),"NA")</f>
        <v>scott</v>
      </c>
      <c r="L135" t="str">
        <f t="shared" si="6"/>
        <v>scott11QB</v>
      </c>
      <c r="M135">
        <f>COUNTIF(L$1:L135,L135)</f>
        <v>1</v>
      </c>
      <c r="N135" t="str">
        <f t="shared" si="7"/>
        <v>scott11QB-1</v>
      </c>
      <c r="O135">
        <f>COUNTIFS(F$1:F135,F135,A$1:A135,A135)</f>
        <v>8</v>
      </c>
      <c r="P135" t="str">
        <f t="shared" si="8"/>
        <v>Drew Brees11</v>
      </c>
    </row>
    <row r="136" spans="1:16" x14ac:dyDescent="0.25">
      <c r="A136">
        <v>10</v>
      </c>
      <c r="B136" t="s">
        <v>1100</v>
      </c>
      <c r="C136" t="s">
        <v>5768</v>
      </c>
      <c r="D136">
        <v>20.02</v>
      </c>
      <c r="E136" t="s">
        <v>28</v>
      </c>
      <c r="F136" t="s">
        <v>47</v>
      </c>
      <c r="G136">
        <v>29.45</v>
      </c>
      <c r="H136">
        <v>10.59</v>
      </c>
      <c r="I136">
        <v>9.43</v>
      </c>
      <c r="J136">
        <v>88.924899999999994</v>
      </c>
      <c r="K136" t="str">
        <f>IFERROR(INDEX(Rosters!$C$2:$C$155,MATCH($B136,Rosters!$B$2:$B$155,0)),"NA")</f>
        <v>chad</v>
      </c>
      <c r="L136" t="str">
        <f t="shared" si="6"/>
        <v>chad10RB</v>
      </c>
      <c r="M136">
        <f>COUNTIF(L$1:L136,L136)</f>
        <v>1</v>
      </c>
      <c r="N136" t="str">
        <f t="shared" si="7"/>
        <v>chad10RB-1</v>
      </c>
      <c r="O136">
        <f>COUNTIFS(F$1:F136,F136,A$1:A136,A136)</f>
        <v>1</v>
      </c>
      <c r="P136" t="str">
        <f t="shared" si="8"/>
        <v>Todd Gurley II10</v>
      </c>
    </row>
    <row r="137" spans="1:16" x14ac:dyDescent="0.25">
      <c r="A137">
        <v>3</v>
      </c>
      <c r="B137" t="s">
        <v>21</v>
      </c>
      <c r="C137" t="s">
        <v>3605</v>
      </c>
      <c r="D137">
        <v>19.97</v>
      </c>
      <c r="E137" t="s">
        <v>46</v>
      </c>
      <c r="F137" t="s">
        <v>15</v>
      </c>
      <c r="G137">
        <v>27.62</v>
      </c>
      <c r="H137">
        <v>12.32</v>
      </c>
      <c r="I137">
        <v>7.65</v>
      </c>
      <c r="J137">
        <v>58.522500000000001</v>
      </c>
      <c r="K137" t="str">
        <f>IFERROR(INDEX(Rosters!$C$2:$C$155,MATCH($B137,Rosters!$B$2:$B$155,0)),"NA")</f>
        <v>scott</v>
      </c>
      <c r="L137" t="str">
        <f t="shared" si="6"/>
        <v>scott3QB</v>
      </c>
      <c r="M137">
        <f>COUNTIF(L$1:L137,L137)</f>
        <v>1</v>
      </c>
      <c r="N137" t="str">
        <f t="shared" si="7"/>
        <v>scott3QB-1</v>
      </c>
      <c r="O137">
        <f>COUNTIFS(F$1:F137,F137,A$1:A137,A137)</f>
        <v>6</v>
      </c>
      <c r="P137" t="str">
        <f t="shared" si="8"/>
        <v>Drew Brees3</v>
      </c>
    </row>
    <row r="138" spans="1:16" x14ac:dyDescent="0.25">
      <c r="A138">
        <v>14</v>
      </c>
      <c r="B138" t="s">
        <v>95</v>
      </c>
      <c r="C138" t="s">
        <v>5769</v>
      </c>
      <c r="D138">
        <v>19.96</v>
      </c>
      <c r="E138" t="s">
        <v>54</v>
      </c>
      <c r="F138" t="s">
        <v>15</v>
      </c>
      <c r="G138">
        <v>26.52</v>
      </c>
      <c r="H138">
        <v>13.4</v>
      </c>
      <c r="I138">
        <v>6.56</v>
      </c>
      <c r="J138">
        <v>43.0336</v>
      </c>
      <c r="K138" t="str">
        <f>IFERROR(INDEX(Rosters!$C$2:$C$155,MATCH($B138,Rosters!$B$2:$B$155,0)),"NA")</f>
        <v>matty</v>
      </c>
      <c r="L138" t="str">
        <f t="shared" si="6"/>
        <v>matty14QB</v>
      </c>
      <c r="M138">
        <f>COUNTIF(L$1:L138,L138)</f>
        <v>2</v>
      </c>
      <c r="N138" t="str">
        <f t="shared" si="7"/>
        <v>matty14QB-2</v>
      </c>
      <c r="O138">
        <f>COUNTIFS(F$1:F138,F138,A$1:A138,A138)</f>
        <v>12</v>
      </c>
      <c r="P138" t="str">
        <f t="shared" si="8"/>
        <v>Alex Smith14</v>
      </c>
    </row>
    <row r="139" spans="1:16" x14ac:dyDescent="0.25">
      <c r="A139">
        <v>6</v>
      </c>
      <c r="B139" t="s">
        <v>83</v>
      </c>
      <c r="C139" t="s">
        <v>5770</v>
      </c>
      <c r="D139">
        <v>19.96</v>
      </c>
      <c r="E139" t="s">
        <v>42</v>
      </c>
      <c r="F139" t="s">
        <v>15</v>
      </c>
      <c r="G139">
        <v>28.38</v>
      </c>
      <c r="H139">
        <v>11.54</v>
      </c>
      <c r="I139">
        <v>8.42</v>
      </c>
      <c r="J139">
        <v>70.8964</v>
      </c>
      <c r="K139" t="str">
        <f>IFERROR(INDEX(Rosters!$C$2:$C$155,MATCH($B139,Rosters!$B$2:$B$155,0)),"NA")</f>
        <v>cory</v>
      </c>
      <c r="L139" t="str">
        <f t="shared" si="6"/>
        <v>cory6QB</v>
      </c>
      <c r="M139">
        <f>COUNTIF(L$1:L139,L139)</f>
        <v>2</v>
      </c>
      <c r="N139" t="str">
        <f t="shared" si="7"/>
        <v>cory6QB-2</v>
      </c>
      <c r="O139">
        <f>COUNTIFS(F$1:F139,F139,A$1:A139,A139)</f>
        <v>9</v>
      </c>
      <c r="P139" t="str">
        <f t="shared" si="8"/>
        <v>Jared Goff6</v>
      </c>
    </row>
    <row r="140" spans="1:16" x14ac:dyDescent="0.25">
      <c r="A140">
        <v>15</v>
      </c>
      <c r="B140" t="s">
        <v>13</v>
      </c>
      <c r="C140" t="s">
        <v>5771</v>
      </c>
      <c r="D140">
        <v>19.95</v>
      </c>
      <c r="E140" t="s">
        <v>72</v>
      </c>
      <c r="F140" t="s">
        <v>15</v>
      </c>
      <c r="G140">
        <v>27.72</v>
      </c>
      <c r="H140">
        <v>12.18</v>
      </c>
      <c r="I140">
        <v>7.77</v>
      </c>
      <c r="J140">
        <v>60.372900000000001</v>
      </c>
      <c r="K140" t="str">
        <f>IFERROR(INDEX(Rosters!$C$2:$C$155,MATCH($B140,Rosters!$B$2:$B$155,0)),"NA")</f>
        <v>cory</v>
      </c>
      <c r="L140" t="str">
        <f t="shared" si="6"/>
        <v>cory15QB</v>
      </c>
      <c r="M140">
        <f>COUNTIF(L$1:L140,L140)</f>
        <v>1</v>
      </c>
      <c r="N140" t="str">
        <f t="shared" si="7"/>
        <v>cory15QB-1</v>
      </c>
      <c r="O140">
        <f>COUNTIFS(F$1:F140,F140,A$1:A140,A140)</f>
        <v>7</v>
      </c>
      <c r="P140" t="str">
        <f t="shared" si="8"/>
        <v>Aaron Rodgers15</v>
      </c>
    </row>
    <row r="141" spans="1:16" x14ac:dyDescent="0.25">
      <c r="A141">
        <v>3</v>
      </c>
      <c r="B141" t="s">
        <v>70</v>
      </c>
      <c r="C141" t="s">
        <v>3606</v>
      </c>
      <c r="D141">
        <v>19.940000000000001</v>
      </c>
      <c r="E141" t="s">
        <v>423</v>
      </c>
      <c r="F141" t="s">
        <v>15</v>
      </c>
      <c r="G141">
        <v>27.95</v>
      </c>
      <c r="H141">
        <v>11.93</v>
      </c>
      <c r="I141">
        <v>8.01</v>
      </c>
      <c r="J141">
        <v>64.1601</v>
      </c>
      <c r="K141" t="str">
        <f>IFERROR(INDEX(Rosters!$C$2:$C$155,MATCH($B141,Rosters!$B$2:$B$155,0)),"NA")</f>
        <v>aj</v>
      </c>
      <c r="L141" t="str">
        <f t="shared" si="6"/>
        <v>aj3QB</v>
      </c>
      <c r="M141">
        <f>COUNTIF(L$1:L141,L141)</f>
        <v>1</v>
      </c>
      <c r="N141" t="str">
        <f t="shared" si="7"/>
        <v>aj3QB-1</v>
      </c>
      <c r="O141">
        <f>COUNTIFS(F$1:F141,F141,A$1:A141,A141)</f>
        <v>7</v>
      </c>
      <c r="P141" t="str">
        <f t="shared" si="8"/>
        <v>Matthew Stafford3</v>
      </c>
    </row>
    <row r="142" spans="1:16" x14ac:dyDescent="0.25">
      <c r="A142">
        <v>1</v>
      </c>
      <c r="B142" t="s">
        <v>70</v>
      </c>
      <c r="C142" t="s">
        <v>1265</v>
      </c>
      <c r="D142">
        <v>19.89</v>
      </c>
      <c r="E142" t="s">
        <v>73</v>
      </c>
      <c r="F142" t="s">
        <v>15</v>
      </c>
      <c r="G142">
        <v>27.16</v>
      </c>
      <c r="H142">
        <v>12.62</v>
      </c>
      <c r="I142">
        <v>7.27</v>
      </c>
      <c r="J142">
        <v>52.852899999999998</v>
      </c>
      <c r="K142" t="str">
        <f>IFERROR(INDEX(Rosters!$C$2:$C$155,MATCH($B142,Rosters!$B$2:$B$155,0)),"NA")</f>
        <v>aj</v>
      </c>
      <c r="L142" t="str">
        <f t="shared" si="6"/>
        <v>aj1QB</v>
      </c>
      <c r="M142">
        <f>COUNTIF(L$1:L142,L142)</f>
        <v>1</v>
      </c>
      <c r="N142" t="str">
        <f t="shared" si="7"/>
        <v>aj1QB-1</v>
      </c>
      <c r="O142">
        <f>COUNTIFS(F$1:F142,F142,A$1:A142,A142)</f>
        <v>4</v>
      </c>
      <c r="P142" t="str">
        <f t="shared" si="8"/>
        <v>Matthew Stafford1</v>
      </c>
    </row>
    <row r="143" spans="1:16" x14ac:dyDescent="0.25">
      <c r="A143">
        <v>1</v>
      </c>
      <c r="B143" t="s">
        <v>39</v>
      </c>
      <c r="C143" t="s">
        <v>1266</v>
      </c>
      <c r="D143">
        <v>19.87</v>
      </c>
      <c r="E143" t="s">
        <v>22</v>
      </c>
      <c r="F143" t="s">
        <v>15</v>
      </c>
      <c r="G143">
        <v>26.82</v>
      </c>
      <c r="H143">
        <v>12.92</v>
      </c>
      <c r="I143">
        <v>6.95</v>
      </c>
      <c r="J143">
        <v>48.302500000000002</v>
      </c>
      <c r="K143" t="str">
        <f>IFERROR(INDEX(Rosters!$C$2:$C$155,MATCH($B143,Rosters!$B$2:$B$155,0)),"NA")</f>
        <v>devon</v>
      </c>
      <c r="L143" t="str">
        <f t="shared" si="6"/>
        <v>devon1QB</v>
      </c>
      <c r="M143">
        <f>COUNTIF(L$1:L143,L143)</f>
        <v>1</v>
      </c>
      <c r="N143" t="str">
        <f t="shared" si="7"/>
        <v>devon1QB-1</v>
      </c>
      <c r="O143">
        <f>COUNTIFS(F$1:F143,F143,A$1:A143,A143)</f>
        <v>5</v>
      </c>
      <c r="P143" t="str">
        <f t="shared" si="8"/>
        <v>Cam Newton1</v>
      </c>
    </row>
    <row r="144" spans="1:16" x14ac:dyDescent="0.25">
      <c r="A144">
        <v>3</v>
      </c>
      <c r="B144" t="s">
        <v>1100</v>
      </c>
      <c r="C144" t="s">
        <v>3607</v>
      </c>
      <c r="D144">
        <v>19.87</v>
      </c>
      <c r="E144" t="s">
        <v>37</v>
      </c>
      <c r="F144" t="s">
        <v>47</v>
      </c>
      <c r="G144">
        <v>29.06</v>
      </c>
      <c r="H144">
        <v>10.68</v>
      </c>
      <c r="I144">
        <v>9.19</v>
      </c>
      <c r="J144">
        <v>84.456100000000006</v>
      </c>
      <c r="K144" t="str">
        <f>IFERROR(INDEX(Rosters!$C$2:$C$155,MATCH($B144,Rosters!$B$2:$B$155,0)),"NA")</f>
        <v>chad</v>
      </c>
      <c r="L144" t="str">
        <f t="shared" si="6"/>
        <v>chad3RB</v>
      </c>
      <c r="M144">
        <f>COUNTIF(L$1:L144,L144)</f>
        <v>1</v>
      </c>
      <c r="N144" t="str">
        <f t="shared" si="7"/>
        <v>chad3RB-1</v>
      </c>
      <c r="O144">
        <f>COUNTIFS(F$1:F144,F144,A$1:A144,A144)</f>
        <v>1</v>
      </c>
      <c r="P144" t="str">
        <f t="shared" si="8"/>
        <v>Todd Gurley II3</v>
      </c>
    </row>
    <row r="145" spans="1:16" x14ac:dyDescent="0.25">
      <c r="A145">
        <v>12</v>
      </c>
      <c r="B145" t="s">
        <v>18</v>
      </c>
      <c r="C145" t="s">
        <v>5772</v>
      </c>
      <c r="D145">
        <v>19.87</v>
      </c>
      <c r="E145" t="s">
        <v>73</v>
      </c>
      <c r="F145" t="s">
        <v>15</v>
      </c>
      <c r="G145">
        <v>26.7</v>
      </c>
      <c r="H145">
        <v>13.04</v>
      </c>
      <c r="I145">
        <v>6.83</v>
      </c>
      <c r="J145">
        <v>46.648899999999998</v>
      </c>
      <c r="K145" t="str">
        <f>IFERROR(INDEX(Rosters!$C$2:$C$155,MATCH($B145,Rosters!$B$2:$B$155,0)),"NA")</f>
        <v>lucas</v>
      </c>
      <c r="L145" t="str">
        <f t="shared" si="6"/>
        <v>lucas12QB</v>
      </c>
      <c r="M145">
        <f>COUNTIF(L$1:L145,L145)</f>
        <v>1</v>
      </c>
      <c r="N145" t="str">
        <f t="shared" si="7"/>
        <v>lucas12QB-1</v>
      </c>
      <c r="O145">
        <f>COUNTIFS(F$1:F145,F145,A$1:A145,A145)</f>
        <v>8</v>
      </c>
      <c r="P145" t="str">
        <f t="shared" si="8"/>
        <v>Tom Brady12</v>
      </c>
    </row>
    <row r="146" spans="1:16" x14ac:dyDescent="0.25">
      <c r="A146">
        <v>4</v>
      </c>
      <c r="B146" t="s">
        <v>80</v>
      </c>
      <c r="C146" t="s">
        <v>4402</v>
      </c>
      <c r="D146">
        <v>19.86</v>
      </c>
      <c r="E146" t="s">
        <v>38</v>
      </c>
      <c r="F146" t="s">
        <v>15</v>
      </c>
      <c r="G146">
        <v>28.25</v>
      </c>
      <c r="H146">
        <v>11.47</v>
      </c>
      <c r="I146">
        <v>8.39</v>
      </c>
      <c r="J146">
        <v>70.392099999999999</v>
      </c>
      <c r="K146" t="str">
        <f>IFERROR(INDEX(Rosters!$C$2:$C$155,MATCH($B146,Rosters!$B$2:$B$155,0)),"NA")</f>
        <v>perry</v>
      </c>
      <c r="L146" t="str">
        <f t="shared" si="6"/>
        <v>perry4QB</v>
      </c>
      <c r="M146">
        <f>COUNTIF(L$1:L146,L146)</f>
        <v>1</v>
      </c>
      <c r="N146" t="str">
        <f t="shared" si="7"/>
        <v>perry4QB-1</v>
      </c>
      <c r="O146">
        <f>COUNTIFS(F$1:F146,F146,A$1:A146,A146)</f>
        <v>7</v>
      </c>
      <c r="P146" t="str">
        <f t="shared" si="8"/>
        <v>Carson Wentz4</v>
      </c>
    </row>
    <row r="147" spans="1:16" x14ac:dyDescent="0.25">
      <c r="A147">
        <v>3</v>
      </c>
      <c r="B147" t="s">
        <v>314</v>
      </c>
      <c r="C147" t="s">
        <v>3608</v>
      </c>
      <c r="D147">
        <v>19.86</v>
      </c>
      <c r="E147" t="s">
        <v>51</v>
      </c>
      <c r="F147" t="s">
        <v>15</v>
      </c>
      <c r="G147">
        <v>25.78</v>
      </c>
      <c r="H147">
        <v>13.94</v>
      </c>
      <c r="I147">
        <v>5.92</v>
      </c>
      <c r="J147">
        <v>35.046399999999998</v>
      </c>
      <c r="K147" t="str">
        <f>IFERROR(INDEX(Rosters!$C$2:$C$155,MATCH($B147,Rosters!$B$2:$B$155,0)),"NA")</f>
        <v>NA</v>
      </c>
      <c r="L147" t="str">
        <f t="shared" si="6"/>
        <v>NA3QB</v>
      </c>
      <c r="M147">
        <f>COUNTIF(L$1:L147,L147)</f>
        <v>1</v>
      </c>
      <c r="N147" t="str">
        <f t="shared" si="7"/>
        <v>NA3QB-1</v>
      </c>
      <c r="O147">
        <f>COUNTIFS(F$1:F147,F147,A$1:A147,A147)</f>
        <v>8</v>
      </c>
      <c r="P147" t="str">
        <f t="shared" si="8"/>
        <v>Ryan Fitzpatrick3</v>
      </c>
    </row>
    <row r="148" spans="1:16" x14ac:dyDescent="0.25">
      <c r="A148">
        <v>10</v>
      </c>
      <c r="B148" t="s">
        <v>39</v>
      </c>
      <c r="C148" t="s">
        <v>5773</v>
      </c>
      <c r="D148">
        <v>19.809999999999999</v>
      </c>
      <c r="E148" t="s">
        <v>51</v>
      </c>
      <c r="F148" t="s">
        <v>15</v>
      </c>
      <c r="G148">
        <v>28.1</v>
      </c>
      <c r="H148">
        <v>11.52</v>
      </c>
      <c r="I148">
        <v>8.2899999999999991</v>
      </c>
      <c r="J148">
        <v>68.724100000000007</v>
      </c>
      <c r="K148" t="str">
        <f>IFERROR(INDEX(Rosters!$C$2:$C$155,MATCH($B148,Rosters!$B$2:$B$155,0)),"NA")</f>
        <v>devon</v>
      </c>
      <c r="L148" t="str">
        <f t="shared" si="6"/>
        <v>devon10QB</v>
      </c>
      <c r="M148">
        <f>COUNTIF(L$1:L148,L148)</f>
        <v>1</v>
      </c>
      <c r="N148" t="str">
        <f t="shared" si="7"/>
        <v>devon10QB-1</v>
      </c>
      <c r="O148">
        <f>COUNTIFS(F$1:F148,F148,A$1:A148,A148)</f>
        <v>9</v>
      </c>
      <c r="P148" t="str">
        <f t="shared" si="8"/>
        <v>Cam Newton10</v>
      </c>
    </row>
    <row r="149" spans="1:16" x14ac:dyDescent="0.25">
      <c r="A149">
        <v>6</v>
      </c>
      <c r="B149" t="s">
        <v>61</v>
      </c>
      <c r="C149" t="s">
        <v>5774</v>
      </c>
      <c r="D149">
        <v>19.809999999999999</v>
      </c>
      <c r="E149" t="s">
        <v>46</v>
      </c>
      <c r="F149" t="s">
        <v>15</v>
      </c>
      <c r="G149">
        <v>26.25</v>
      </c>
      <c r="H149">
        <v>13.37</v>
      </c>
      <c r="I149">
        <v>6.44</v>
      </c>
      <c r="J149">
        <v>41.473599999999998</v>
      </c>
      <c r="K149" t="str">
        <f>IFERROR(INDEX(Rosters!$C$2:$C$155,MATCH($B149,Rosters!$B$2:$B$155,0)),"NA")</f>
        <v>NA</v>
      </c>
      <c r="L149" t="str">
        <f t="shared" si="6"/>
        <v>NA6QB</v>
      </c>
      <c r="M149">
        <f>COUNTIF(L$1:L149,L149)</f>
        <v>1</v>
      </c>
      <c r="N149" t="str">
        <f t="shared" si="7"/>
        <v>NA6QB-1</v>
      </c>
      <c r="O149">
        <f>COUNTIFS(F$1:F149,F149,A$1:A149,A149)</f>
        <v>10</v>
      </c>
      <c r="P149" t="str">
        <f t="shared" si="8"/>
        <v>Jameis Winston6</v>
      </c>
    </row>
    <row r="150" spans="1:16" x14ac:dyDescent="0.25">
      <c r="A150">
        <v>17</v>
      </c>
      <c r="B150" t="s">
        <v>115</v>
      </c>
      <c r="C150" t="s">
        <v>5775</v>
      </c>
      <c r="D150">
        <v>19.809999999999999</v>
      </c>
      <c r="E150" t="s">
        <v>32</v>
      </c>
      <c r="F150" t="s">
        <v>47</v>
      </c>
      <c r="G150">
        <v>27.91</v>
      </c>
      <c r="H150">
        <v>11.71</v>
      </c>
      <c r="I150">
        <v>8.1</v>
      </c>
      <c r="J150">
        <v>65.61</v>
      </c>
      <c r="K150" t="str">
        <f>IFERROR(INDEX(Rosters!$C$2:$C$155,MATCH($B150,Rosters!$B$2:$B$155,0)),"NA")</f>
        <v>scott</v>
      </c>
      <c r="L150" t="str">
        <f t="shared" si="6"/>
        <v>scott17RB</v>
      </c>
      <c r="M150">
        <f>COUNTIF(L$1:L150,L150)</f>
        <v>1</v>
      </c>
      <c r="N150" t="str">
        <f t="shared" si="7"/>
        <v>scott17RB-1</v>
      </c>
      <c r="O150">
        <f>COUNTIFS(F$1:F150,F150,A$1:A150,A150)</f>
        <v>1</v>
      </c>
      <c r="P150" t="str">
        <f t="shared" si="8"/>
        <v>Kareem Hunt17</v>
      </c>
    </row>
    <row r="151" spans="1:16" x14ac:dyDescent="0.25">
      <c r="A151">
        <v>13</v>
      </c>
      <c r="B151" t="s">
        <v>26</v>
      </c>
      <c r="C151" t="s">
        <v>5776</v>
      </c>
      <c r="D151">
        <v>19.809999999999999</v>
      </c>
      <c r="E151" t="s">
        <v>77</v>
      </c>
      <c r="F151" t="s">
        <v>15</v>
      </c>
      <c r="G151">
        <v>27.95</v>
      </c>
      <c r="H151">
        <v>11.67</v>
      </c>
      <c r="I151">
        <v>8.14</v>
      </c>
      <c r="J151">
        <v>66.259600000000006</v>
      </c>
      <c r="K151" t="str">
        <f>IFERROR(INDEX(Rosters!$C$2:$C$155,MATCH($B151,Rosters!$B$2:$B$155,0)),"NA")</f>
        <v>aj</v>
      </c>
      <c r="L151" t="str">
        <f t="shared" si="6"/>
        <v>aj13QB</v>
      </c>
      <c r="M151">
        <f>COUNTIF(L$1:L151,L151)</f>
        <v>1</v>
      </c>
      <c r="N151" t="str">
        <f t="shared" si="7"/>
        <v>aj13QB-1</v>
      </c>
      <c r="O151">
        <f>COUNTIFS(F$1:F151,F151,A$1:A151,A151)</f>
        <v>11</v>
      </c>
      <c r="P151" t="str">
        <f t="shared" si="8"/>
        <v>Matt Ryan13</v>
      </c>
    </row>
    <row r="152" spans="1:16" x14ac:dyDescent="0.25">
      <c r="A152">
        <v>14</v>
      </c>
      <c r="B152" t="s">
        <v>39</v>
      </c>
      <c r="C152" t="s">
        <v>5777</v>
      </c>
      <c r="D152">
        <v>19.8</v>
      </c>
      <c r="E152" t="s">
        <v>52</v>
      </c>
      <c r="F152" t="s">
        <v>15</v>
      </c>
      <c r="G152">
        <v>28.57</v>
      </c>
      <c r="H152">
        <v>11.03</v>
      </c>
      <c r="I152">
        <v>8.77</v>
      </c>
      <c r="J152">
        <v>76.912899999999993</v>
      </c>
      <c r="K152" t="str">
        <f>IFERROR(INDEX(Rosters!$C$2:$C$155,MATCH($B152,Rosters!$B$2:$B$155,0)),"NA")</f>
        <v>devon</v>
      </c>
      <c r="L152" t="str">
        <f t="shared" si="6"/>
        <v>devon14QB</v>
      </c>
      <c r="M152">
        <f>COUNTIF(L$1:L152,L152)</f>
        <v>1</v>
      </c>
      <c r="N152" t="str">
        <f t="shared" si="7"/>
        <v>devon14QB-1</v>
      </c>
      <c r="O152">
        <f>COUNTIFS(F$1:F152,F152,A$1:A152,A152)</f>
        <v>13</v>
      </c>
      <c r="P152" t="str">
        <f t="shared" si="8"/>
        <v>Cam Newton14</v>
      </c>
    </row>
    <row r="153" spans="1:16" x14ac:dyDescent="0.25">
      <c r="A153">
        <v>11</v>
      </c>
      <c r="B153" t="s">
        <v>79</v>
      </c>
      <c r="C153" t="s">
        <v>5778</v>
      </c>
      <c r="D153">
        <v>19.79</v>
      </c>
      <c r="E153" t="s">
        <v>51</v>
      </c>
      <c r="F153" t="s">
        <v>15</v>
      </c>
      <c r="G153">
        <v>26.26</v>
      </c>
      <c r="H153">
        <v>13.32</v>
      </c>
      <c r="I153">
        <v>6.47</v>
      </c>
      <c r="J153">
        <v>41.860900000000001</v>
      </c>
      <c r="K153" t="str">
        <f>IFERROR(INDEX(Rosters!$C$2:$C$155,MATCH($B153,Rosters!$B$2:$B$155,0)),"NA")</f>
        <v>NA</v>
      </c>
      <c r="L153" t="str">
        <f t="shared" si="6"/>
        <v>NA11QB</v>
      </c>
      <c r="M153">
        <f>COUNTIF(L$1:L153,L153)</f>
        <v>1</v>
      </c>
      <c r="N153" t="str">
        <f t="shared" si="7"/>
        <v>NA11QB-1</v>
      </c>
      <c r="O153">
        <f>COUNTIFS(F$1:F153,F153,A$1:A153,A153)</f>
        <v>9</v>
      </c>
      <c r="P153" t="str">
        <f t="shared" si="8"/>
        <v>Blake Bortles11</v>
      </c>
    </row>
    <row r="154" spans="1:16" x14ac:dyDescent="0.25">
      <c r="A154">
        <v>9</v>
      </c>
      <c r="B154" t="s">
        <v>179</v>
      </c>
      <c r="C154" t="s">
        <v>5779</v>
      </c>
      <c r="D154">
        <v>19.79</v>
      </c>
      <c r="E154" t="s">
        <v>42</v>
      </c>
      <c r="F154" t="s">
        <v>15</v>
      </c>
      <c r="G154">
        <v>28.19</v>
      </c>
      <c r="H154">
        <v>11.39</v>
      </c>
      <c r="I154">
        <v>8.4</v>
      </c>
      <c r="J154">
        <v>70.56</v>
      </c>
      <c r="K154" t="str">
        <f>IFERROR(INDEX(Rosters!$C$2:$C$155,MATCH($B154,Rosters!$B$2:$B$155,0)),"NA")</f>
        <v>chad</v>
      </c>
      <c r="L154" t="str">
        <f t="shared" si="6"/>
        <v>chad9QB</v>
      </c>
      <c r="M154">
        <f>COUNTIF(L$1:L154,L154)</f>
        <v>1</v>
      </c>
      <c r="N154" t="str">
        <f t="shared" si="7"/>
        <v>chad9QB-1</v>
      </c>
      <c r="O154">
        <f>COUNTIFS(F$1:F154,F154,A$1:A154,A154)</f>
        <v>9</v>
      </c>
      <c r="P154" t="str">
        <f t="shared" si="8"/>
        <v>Deshaun Watson9</v>
      </c>
    </row>
    <row r="155" spans="1:16" x14ac:dyDescent="0.25">
      <c r="A155">
        <v>5</v>
      </c>
      <c r="B155" t="s">
        <v>79</v>
      </c>
      <c r="C155" t="s">
        <v>5780</v>
      </c>
      <c r="D155">
        <v>19.78</v>
      </c>
      <c r="E155" t="s">
        <v>24</v>
      </c>
      <c r="F155" t="s">
        <v>15</v>
      </c>
      <c r="G155">
        <v>28.27</v>
      </c>
      <c r="H155">
        <v>11.29</v>
      </c>
      <c r="I155">
        <v>8.49</v>
      </c>
      <c r="J155">
        <v>72.080100000000002</v>
      </c>
      <c r="K155" t="str">
        <f>IFERROR(INDEX(Rosters!$C$2:$C$155,MATCH($B155,Rosters!$B$2:$B$155,0)),"NA")</f>
        <v>NA</v>
      </c>
      <c r="L155" t="str">
        <f t="shared" si="6"/>
        <v>NA5QB</v>
      </c>
      <c r="M155">
        <f>COUNTIF(L$1:L155,L155)</f>
        <v>1</v>
      </c>
      <c r="N155" t="str">
        <f t="shared" si="7"/>
        <v>NA5QB-1</v>
      </c>
      <c r="O155">
        <f>COUNTIFS(F$1:F155,F155,A$1:A155,A155)</f>
        <v>10</v>
      </c>
      <c r="P155" t="str">
        <f t="shared" si="8"/>
        <v>Blake Bortles5</v>
      </c>
    </row>
    <row r="156" spans="1:16" x14ac:dyDescent="0.25">
      <c r="A156">
        <v>17</v>
      </c>
      <c r="B156" t="s">
        <v>1100</v>
      </c>
      <c r="C156" t="s">
        <v>5781</v>
      </c>
      <c r="D156">
        <v>19.78</v>
      </c>
      <c r="E156" t="s">
        <v>30</v>
      </c>
      <c r="F156" t="s">
        <v>47</v>
      </c>
      <c r="G156">
        <v>29.31</v>
      </c>
      <c r="H156">
        <v>10.25</v>
      </c>
      <c r="I156">
        <v>9.5299999999999994</v>
      </c>
      <c r="J156">
        <v>90.820899999999995</v>
      </c>
      <c r="K156" t="str">
        <f>IFERROR(INDEX(Rosters!$C$2:$C$155,MATCH($B156,Rosters!$B$2:$B$155,0)),"NA")</f>
        <v>chad</v>
      </c>
      <c r="L156" t="str">
        <f t="shared" si="6"/>
        <v>chad17RB</v>
      </c>
      <c r="M156">
        <f>COUNTIF(L$1:L156,L156)</f>
        <v>1</v>
      </c>
      <c r="N156" t="str">
        <f t="shared" si="7"/>
        <v>chad17RB-1</v>
      </c>
      <c r="O156">
        <f>COUNTIFS(F$1:F156,F156,A$1:A156,A156)</f>
        <v>2</v>
      </c>
      <c r="P156" t="str">
        <f t="shared" si="8"/>
        <v>Todd Gurley II17</v>
      </c>
    </row>
    <row r="157" spans="1:16" x14ac:dyDescent="0.25">
      <c r="A157">
        <v>14</v>
      </c>
      <c r="B157" t="s">
        <v>33</v>
      </c>
      <c r="C157" t="s">
        <v>5782</v>
      </c>
      <c r="D157">
        <v>19.77</v>
      </c>
      <c r="E157" t="s">
        <v>36</v>
      </c>
      <c r="F157" t="s">
        <v>15</v>
      </c>
      <c r="G157">
        <v>24.91</v>
      </c>
      <c r="H157">
        <v>14.63</v>
      </c>
      <c r="I157">
        <v>5.14</v>
      </c>
      <c r="J157">
        <v>26.419599999999999</v>
      </c>
      <c r="K157" t="str">
        <f>IFERROR(INDEX(Rosters!$C$2:$C$155,MATCH($B157,Rosters!$B$2:$B$155,0)),"NA")</f>
        <v>comp</v>
      </c>
      <c r="L157" t="str">
        <f t="shared" si="6"/>
        <v>comp14QB</v>
      </c>
      <c r="M157">
        <f>COUNTIF(L$1:L157,L157)</f>
        <v>2</v>
      </c>
      <c r="N157" t="str">
        <f t="shared" si="7"/>
        <v>comp14QB-2</v>
      </c>
      <c r="O157">
        <f>COUNTIFS(F$1:F157,F157,A$1:A157,A157)</f>
        <v>14</v>
      </c>
      <c r="P157" t="str">
        <f t="shared" si="8"/>
        <v>Andrew Luck14</v>
      </c>
    </row>
    <row r="158" spans="1:16" x14ac:dyDescent="0.25">
      <c r="A158">
        <v>5</v>
      </c>
      <c r="B158" t="s">
        <v>95</v>
      </c>
      <c r="C158" t="s">
        <v>5783</v>
      </c>
      <c r="D158">
        <v>19.7</v>
      </c>
      <c r="E158" t="s">
        <v>14</v>
      </c>
      <c r="F158" t="s">
        <v>15</v>
      </c>
      <c r="G158">
        <v>28.13</v>
      </c>
      <c r="H158">
        <v>11.27</v>
      </c>
      <c r="I158">
        <v>8.43</v>
      </c>
      <c r="J158">
        <v>71.064899999999994</v>
      </c>
      <c r="K158" t="str">
        <f>IFERROR(INDEX(Rosters!$C$2:$C$155,MATCH($B158,Rosters!$B$2:$B$155,0)),"NA")</f>
        <v>matty</v>
      </c>
      <c r="L158" t="str">
        <f t="shared" si="6"/>
        <v>matty5QB</v>
      </c>
      <c r="M158">
        <f>COUNTIF(L$1:L158,L158)</f>
        <v>2</v>
      </c>
      <c r="N158" t="str">
        <f t="shared" si="7"/>
        <v>matty5QB-2</v>
      </c>
      <c r="O158">
        <f>COUNTIFS(F$1:F158,F158,A$1:A158,A158)</f>
        <v>11</v>
      </c>
      <c r="P158" t="str">
        <f t="shared" si="8"/>
        <v>Alex Smith5</v>
      </c>
    </row>
    <row r="159" spans="1:16" x14ac:dyDescent="0.25">
      <c r="A159">
        <v>15</v>
      </c>
      <c r="B159" t="s">
        <v>92</v>
      </c>
      <c r="C159" t="s">
        <v>5784</v>
      </c>
      <c r="D159">
        <v>19.68</v>
      </c>
      <c r="E159" t="s">
        <v>24</v>
      </c>
      <c r="F159" t="s">
        <v>47</v>
      </c>
      <c r="G159">
        <v>29.26</v>
      </c>
      <c r="H159">
        <v>10.1</v>
      </c>
      <c r="I159">
        <v>9.58</v>
      </c>
      <c r="J159">
        <v>91.776399999999995</v>
      </c>
      <c r="K159" t="str">
        <f>IFERROR(INDEX(Rosters!$C$2:$C$155,MATCH($B159,Rosters!$B$2:$B$155,0)),"NA")</f>
        <v>matty</v>
      </c>
      <c r="L159" t="str">
        <f t="shared" si="6"/>
        <v>matty15RB</v>
      </c>
      <c r="M159">
        <f>COUNTIF(L$1:L159,L159)</f>
        <v>1</v>
      </c>
      <c r="N159" t="str">
        <f t="shared" si="7"/>
        <v>matty15RB-1</v>
      </c>
      <c r="O159">
        <f>COUNTIFS(F$1:F159,F159,A$1:A159,A159)</f>
        <v>2</v>
      </c>
      <c r="P159" t="str">
        <f t="shared" si="8"/>
        <v>Melvin Gordon15</v>
      </c>
    </row>
    <row r="160" spans="1:16" x14ac:dyDescent="0.25">
      <c r="A160">
        <v>9</v>
      </c>
      <c r="B160" t="s">
        <v>57</v>
      </c>
      <c r="C160" t="s">
        <v>5785</v>
      </c>
      <c r="D160">
        <v>19.670000000000002</v>
      </c>
      <c r="E160" t="s">
        <v>38</v>
      </c>
      <c r="F160" t="s">
        <v>47</v>
      </c>
      <c r="G160">
        <v>30.1</v>
      </c>
      <c r="H160">
        <v>9.24</v>
      </c>
      <c r="I160">
        <v>10.43</v>
      </c>
      <c r="J160">
        <v>108.78489999999999</v>
      </c>
      <c r="K160" t="str">
        <f>IFERROR(INDEX(Rosters!$C$2:$C$155,MATCH($B160,Rosters!$B$2:$B$155,0)),"NA")</f>
        <v>perry</v>
      </c>
      <c r="L160" t="str">
        <f t="shared" si="6"/>
        <v>perry9RB</v>
      </c>
      <c r="M160">
        <f>COUNTIF(L$1:L160,L160)</f>
        <v>1</v>
      </c>
      <c r="N160" t="str">
        <f t="shared" si="7"/>
        <v>perry9RB-1</v>
      </c>
      <c r="O160">
        <f>COUNTIFS(F$1:F160,F160,A$1:A160,A160)</f>
        <v>1</v>
      </c>
      <c r="P160" t="str">
        <f t="shared" si="8"/>
        <v>Ezekiel Elliott9</v>
      </c>
    </row>
    <row r="161" spans="1:16" x14ac:dyDescent="0.25">
      <c r="A161">
        <v>3</v>
      </c>
      <c r="B161" t="s">
        <v>179</v>
      </c>
      <c r="C161" t="s">
        <v>3609</v>
      </c>
      <c r="D161">
        <v>19.66</v>
      </c>
      <c r="E161" t="s">
        <v>54</v>
      </c>
      <c r="F161" t="s">
        <v>15</v>
      </c>
      <c r="G161">
        <v>27.02</v>
      </c>
      <c r="H161">
        <v>12.3</v>
      </c>
      <c r="I161">
        <v>7.36</v>
      </c>
      <c r="J161">
        <v>54.169600000000003</v>
      </c>
      <c r="K161" t="str">
        <f>IFERROR(INDEX(Rosters!$C$2:$C$155,MATCH($B161,Rosters!$B$2:$B$155,0)),"NA")</f>
        <v>chad</v>
      </c>
      <c r="L161" t="str">
        <f t="shared" si="6"/>
        <v>chad3QB</v>
      </c>
      <c r="M161">
        <f>COUNTIF(L$1:L161,L161)</f>
        <v>1</v>
      </c>
      <c r="N161" t="str">
        <f t="shared" si="7"/>
        <v>chad3QB-1</v>
      </c>
      <c r="O161">
        <f>COUNTIFS(F$1:F161,F161,A$1:A161,A161)</f>
        <v>9</v>
      </c>
      <c r="P161" t="str">
        <f t="shared" si="8"/>
        <v>Deshaun Watson3</v>
      </c>
    </row>
    <row r="162" spans="1:16" x14ac:dyDescent="0.25">
      <c r="A162">
        <v>17</v>
      </c>
      <c r="B162" t="s">
        <v>43</v>
      </c>
      <c r="C162" t="s">
        <v>5786</v>
      </c>
      <c r="D162">
        <v>19.66</v>
      </c>
      <c r="E162" t="s">
        <v>72</v>
      </c>
      <c r="F162" t="s">
        <v>15</v>
      </c>
      <c r="G162">
        <v>27.23</v>
      </c>
      <c r="H162">
        <v>12.09</v>
      </c>
      <c r="I162">
        <v>7.57</v>
      </c>
      <c r="J162">
        <v>57.304900000000004</v>
      </c>
      <c r="K162" t="str">
        <f>IFERROR(INDEX(Rosters!$C$2:$C$155,MATCH($B162,Rosters!$B$2:$B$155,0)),"NA")</f>
        <v>NA</v>
      </c>
      <c r="L162" t="str">
        <f t="shared" si="6"/>
        <v>NA17QB</v>
      </c>
      <c r="M162">
        <f>COUNTIF(L$1:L162,L162)</f>
        <v>3</v>
      </c>
      <c r="N162" t="str">
        <f t="shared" si="7"/>
        <v>NA17QB-3</v>
      </c>
      <c r="O162">
        <f>COUNTIFS(F$1:F162,F162,A$1:A162,A162)</f>
        <v>10</v>
      </c>
      <c r="P162" t="str">
        <f t="shared" si="8"/>
        <v>Kirk Cousins17</v>
      </c>
    </row>
    <row r="163" spans="1:16" x14ac:dyDescent="0.25">
      <c r="A163">
        <v>10</v>
      </c>
      <c r="B163" t="s">
        <v>18</v>
      </c>
      <c r="C163" t="s">
        <v>5787</v>
      </c>
      <c r="D163">
        <v>19.649999999999999</v>
      </c>
      <c r="E163" t="s">
        <v>38</v>
      </c>
      <c r="F163" t="s">
        <v>15</v>
      </c>
      <c r="G163">
        <v>27.05</v>
      </c>
      <c r="H163">
        <v>12.25</v>
      </c>
      <c r="I163">
        <v>7.4</v>
      </c>
      <c r="J163">
        <v>54.76</v>
      </c>
      <c r="K163" t="str">
        <f>IFERROR(INDEX(Rosters!$C$2:$C$155,MATCH($B163,Rosters!$B$2:$B$155,0)),"NA")</f>
        <v>lucas</v>
      </c>
      <c r="L163" t="str">
        <f t="shared" si="6"/>
        <v>lucas10QB</v>
      </c>
      <c r="M163">
        <f>COUNTIF(L$1:L163,L163)</f>
        <v>2</v>
      </c>
      <c r="N163" t="str">
        <f t="shared" si="7"/>
        <v>lucas10QB-2</v>
      </c>
      <c r="O163">
        <f>COUNTIFS(F$1:F163,F163,A$1:A163,A163)</f>
        <v>10</v>
      </c>
      <c r="P163" t="str">
        <f t="shared" si="8"/>
        <v>Tom Brady10</v>
      </c>
    </row>
    <row r="164" spans="1:16" x14ac:dyDescent="0.25">
      <c r="A164">
        <v>16</v>
      </c>
      <c r="B164" t="s">
        <v>59</v>
      </c>
      <c r="C164" t="s">
        <v>5788</v>
      </c>
      <c r="D164">
        <v>19.600000000000001</v>
      </c>
      <c r="E164" t="s">
        <v>17</v>
      </c>
      <c r="F164" t="s">
        <v>15</v>
      </c>
      <c r="G164">
        <v>27.19</v>
      </c>
      <c r="H164">
        <v>12.01</v>
      </c>
      <c r="I164">
        <v>7.59</v>
      </c>
      <c r="J164">
        <v>57.6081</v>
      </c>
      <c r="K164" t="str">
        <f>IFERROR(INDEX(Rosters!$C$2:$C$155,MATCH($B164,Rosters!$B$2:$B$155,0)),"NA")</f>
        <v>NA</v>
      </c>
      <c r="L164" t="str">
        <f t="shared" si="6"/>
        <v>NA16QB</v>
      </c>
      <c r="M164">
        <f>COUNTIF(L$1:L164,L164)</f>
        <v>1</v>
      </c>
      <c r="N164" t="str">
        <f t="shared" si="7"/>
        <v>NA16QB-1</v>
      </c>
      <c r="O164">
        <f>COUNTIFS(F$1:F164,F164,A$1:A164,A164)</f>
        <v>9</v>
      </c>
      <c r="P164" t="str">
        <f t="shared" si="8"/>
        <v>Dak Prescott16</v>
      </c>
    </row>
    <row r="165" spans="1:16" x14ac:dyDescent="0.25">
      <c r="A165">
        <v>11</v>
      </c>
      <c r="B165" t="s">
        <v>53</v>
      </c>
      <c r="C165" t="s">
        <v>5789</v>
      </c>
      <c r="D165">
        <v>19.579999999999998</v>
      </c>
      <c r="E165" t="s">
        <v>41</v>
      </c>
      <c r="F165" t="s">
        <v>15</v>
      </c>
      <c r="G165">
        <v>28.17</v>
      </c>
      <c r="H165">
        <v>10.99</v>
      </c>
      <c r="I165">
        <v>8.59</v>
      </c>
      <c r="J165">
        <v>73.7881</v>
      </c>
      <c r="K165" t="str">
        <f>IFERROR(INDEX(Rosters!$C$2:$C$155,MATCH($B165,Rosters!$B$2:$B$155,0)),"NA")</f>
        <v>seth</v>
      </c>
      <c r="L165" t="str">
        <f t="shared" si="6"/>
        <v>seth11QB</v>
      </c>
      <c r="M165">
        <f>COUNTIF(L$1:L165,L165)</f>
        <v>1</v>
      </c>
      <c r="N165" t="str">
        <f t="shared" si="7"/>
        <v>seth11QB-1</v>
      </c>
      <c r="O165">
        <f>COUNTIFS(F$1:F165,F165,A$1:A165,A165)</f>
        <v>10</v>
      </c>
      <c r="P165" t="str">
        <f t="shared" si="8"/>
        <v>Russell Wilson11</v>
      </c>
    </row>
    <row r="166" spans="1:16" x14ac:dyDescent="0.25">
      <c r="A166">
        <v>6</v>
      </c>
      <c r="B166" t="s">
        <v>53</v>
      </c>
      <c r="C166" t="s">
        <v>5790</v>
      </c>
      <c r="D166">
        <v>19.57</v>
      </c>
      <c r="E166" t="s">
        <v>32</v>
      </c>
      <c r="F166" t="s">
        <v>15</v>
      </c>
      <c r="G166">
        <v>28</v>
      </c>
      <c r="H166">
        <v>11.14</v>
      </c>
      <c r="I166">
        <v>8.43</v>
      </c>
      <c r="J166">
        <v>71.064899999999994</v>
      </c>
      <c r="K166" t="str">
        <f>IFERROR(INDEX(Rosters!$C$2:$C$155,MATCH($B166,Rosters!$B$2:$B$155,0)),"NA")</f>
        <v>seth</v>
      </c>
      <c r="L166" t="str">
        <f t="shared" si="6"/>
        <v>seth6QB</v>
      </c>
      <c r="M166">
        <f>COUNTIF(L$1:L166,L166)</f>
        <v>1</v>
      </c>
      <c r="N166" t="str">
        <f t="shared" si="7"/>
        <v>seth6QB-1</v>
      </c>
      <c r="O166">
        <f>COUNTIFS(F$1:F166,F166,A$1:A166,A166)</f>
        <v>11</v>
      </c>
      <c r="P166" t="str">
        <f t="shared" si="8"/>
        <v>Russell Wilson6</v>
      </c>
    </row>
    <row r="167" spans="1:16" x14ac:dyDescent="0.25">
      <c r="A167">
        <v>10</v>
      </c>
      <c r="B167" t="s">
        <v>79</v>
      </c>
      <c r="C167" t="s">
        <v>5791</v>
      </c>
      <c r="D167">
        <v>19.559999999999999</v>
      </c>
      <c r="E167" t="s">
        <v>66</v>
      </c>
      <c r="F167" t="s">
        <v>15</v>
      </c>
      <c r="G167">
        <v>27.68</v>
      </c>
      <c r="H167">
        <v>11.44</v>
      </c>
      <c r="I167">
        <v>8.1199999999999992</v>
      </c>
      <c r="J167">
        <v>65.934399999999997</v>
      </c>
      <c r="K167" t="str">
        <f>IFERROR(INDEX(Rosters!$C$2:$C$155,MATCH($B167,Rosters!$B$2:$B$155,0)),"NA")</f>
        <v>NA</v>
      </c>
      <c r="L167" t="str">
        <f t="shared" si="6"/>
        <v>NA10QB</v>
      </c>
      <c r="M167">
        <f>COUNTIF(L$1:L167,L167)</f>
        <v>2</v>
      </c>
      <c r="N167" t="str">
        <f t="shared" si="7"/>
        <v>NA10QB-2</v>
      </c>
      <c r="O167">
        <f>COUNTIFS(F$1:F167,F167,A$1:A167,A167)</f>
        <v>11</v>
      </c>
      <c r="P167" t="str">
        <f t="shared" si="8"/>
        <v>Blake Bortles10</v>
      </c>
    </row>
    <row r="168" spans="1:16" x14ac:dyDescent="0.25">
      <c r="A168">
        <v>17</v>
      </c>
      <c r="B168" t="s">
        <v>67</v>
      </c>
      <c r="C168" t="s">
        <v>5792</v>
      </c>
      <c r="D168">
        <v>19.559999999999999</v>
      </c>
      <c r="E168" t="s">
        <v>42</v>
      </c>
      <c r="F168" t="s">
        <v>15</v>
      </c>
      <c r="G168">
        <v>27.61</v>
      </c>
      <c r="H168">
        <v>11.51</v>
      </c>
      <c r="I168">
        <v>8.0500000000000007</v>
      </c>
      <c r="J168">
        <v>64.802499999999995</v>
      </c>
      <c r="K168" t="str">
        <f>IFERROR(INDEX(Rosters!$C$2:$C$155,MATCH($B168,Rosters!$B$2:$B$155,0)),"NA")</f>
        <v>comp</v>
      </c>
      <c r="L168" t="str">
        <f t="shared" si="6"/>
        <v>comp17QB</v>
      </c>
      <c r="M168">
        <f>COUNTIF(L$1:L168,L168)</f>
        <v>1</v>
      </c>
      <c r="N168" t="str">
        <f t="shared" si="7"/>
        <v>comp17QB-1</v>
      </c>
      <c r="O168">
        <f>COUNTIFS(F$1:F168,F168,A$1:A168,A168)</f>
        <v>11</v>
      </c>
      <c r="P168" t="str">
        <f t="shared" si="8"/>
        <v>Philip Rivers17</v>
      </c>
    </row>
    <row r="169" spans="1:16" x14ac:dyDescent="0.25">
      <c r="A169">
        <v>15</v>
      </c>
      <c r="B169" t="s">
        <v>179</v>
      </c>
      <c r="C169" t="s">
        <v>5793</v>
      </c>
      <c r="D169">
        <v>19.55</v>
      </c>
      <c r="E169" t="s">
        <v>73</v>
      </c>
      <c r="F169" t="s">
        <v>15</v>
      </c>
      <c r="G169">
        <v>28.06</v>
      </c>
      <c r="H169">
        <v>11.04</v>
      </c>
      <c r="I169">
        <v>8.51</v>
      </c>
      <c r="J169">
        <v>72.420100000000005</v>
      </c>
      <c r="K169" t="str">
        <f>IFERROR(INDEX(Rosters!$C$2:$C$155,MATCH($B169,Rosters!$B$2:$B$155,0)),"NA")</f>
        <v>chad</v>
      </c>
      <c r="L169" t="str">
        <f t="shared" si="6"/>
        <v>chad15QB</v>
      </c>
      <c r="M169">
        <f>COUNTIF(L$1:L169,L169)</f>
        <v>1</v>
      </c>
      <c r="N169" t="str">
        <f t="shared" si="7"/>
        <v>chad15QB-1</v>
      </c>
      <c r="O169">
        <f>COUNTIFS(F$1:F169,F169,A$1:A169,A169)</f>
        <v>8</v>
      </c>
      <c r="P169" t="str">
        <f t="shared" si="8"/>
        <v>Deshaun Watson15</v>
      </c>
    </row>
    <row r="170" spans="1:16" x14ac:dyDescent="0.25">
      <c r="A170">
        <v>13</v>
      </c>
      <c r="B170" t="s">
        <v>59</v>
      </c>
      <c r="C170" t="s">
        <v>5794</v>
      </c>
      <c r="D170">
        <v>19.53</v>
      </c>
      <c r="E170" t="s">
        <v>14</v>
      </c>
      <c r="F170" t="s">
        <v>15</v>
      </c>
      <c r="G170">
        <v>26.67</v>
      </c>
      <c r="H170">
        <v>12.39</v>
      </c>
      <c r="I170">
        <v>7.14</v>
      </c>
      <c r="J170">
        <v>50.979599999999998</v>
      </c>
      <c r="K170" t="str">
        <f>IFERROR(INDEX(Rosters!$C$2:$C$155,MATCH($B170,Rosters!$B$2:$B$155,0)),"NA")</f>
        <v>NA</v>
      </c>
      <c r="L170" t="str">
        <f t="shared" si="6"/>
        <v>NA13QB</v>
      </c>
      <c r="M170">
        <f>COUNTIF(L$1:L170,L170)</f>
        <v>2</v>
      </c>
      <c r="N170" t="str">
        <f t="shared" si="7"/>
        <v>NA13QB-2</v>
      </c>
      <c r="O170">
        <f>COUNTIFS(F$1:F170,F170,A$1:A170,A170)</f>
        <v>12</v>
      </c>
      <c r="P170" t="str">
        <f t="shared" si="8"/>
        <v>Dak Prescott13</v>
      </c>
    </row>
    <row r="171" spans="1:16" x14ac:dyDescent="0.25">
      <c r="A171">
        <v>2</v>
      </c>
      <c r="B171" t="s">
        <v>13</v>
      </c>
      <c r="C171" t="s">
        <v>3549</v>
      </c>
      <c r="D171">
        <v>19.52</v>
      </c>
      <c r="E171" t="s">
        <v>25</v>
      </c>
      <c r="F171" t="s">
        <v>15</v>
      </c>
      <c r="G171">
        <v>28.31</v>
      </c>
      <c r="H171">
        <v>10.73</v>
      </c>
      <c r="I171">
        <v>8.7899999999999991</v>
      </c>
      <c r="J171">
        <v>77.264099999999999</v>
      </c>
      <c r="K171" t="str">
        <f>IFERROR(INDEX(Rosters!$C$2:$C$155,MATCH($B171,Rosters!$B$2:$B$155,0)),"NA")</f>
        <v>cory</v>
      </c>
      <c r="L171" t="str">
        <f t="shared" si="6"/>
        <v>cory2QB</v>
      </c>
      <c r="M171">
        <f>COUNTIF(L$1:L171,L171)</f>
        <v>1</v>
      </c>
      <c r="N171" t="str">
        <f t="shared" si="7"/>
        <v>cory2QB-1</v>
      </c>
      <c r="O171">
        <f>COUNTIFS(F$1:F171,F171,A$1:A171,A171)</f>
        <v>3</v>
      </c>
      <c r="P171" t="str">
        <f t="shared" si="8"/>
        <v>Aaron Rodgers2</v>
      </c>
    </row>
    <row r="172" spans="1:16" x14ac:dyDescent="0.25">
      <c r="A172">
        <v>3</v>
      </c>
      <c r="B172" t="s">
        <v>80</v>
      </c>
      <c r="C172" t="s">
        <v>3610</v>
      </c>
      <c r="D172">
        <v>19.52</v>
      </c>
      <c r="E172" t="s">
        <v>66</v>
      </c>
      <c r="F172" t="s">
        <v>15</v>
      </c>
      <c r="G172">
        <v>27.67</v>
      </c>
      <c r="H172">
        <v>11.37</v>
      </c>
      <c r="I172">
        <v>8.15</v>
      </c>
      <c r="J172">
        <v>66.422499999999999</v>
      </c>
      <c r="K172" t="str">
        <f>IFERROR(INDEX(Rosters!$C$2:$C$155,MATCH($B172,Rosters!$B$2:$B$155,0)),"NA")</f>
        <v>perry</v>
      </c>
      <c r="L172" t="str">
        <f t="shared" si="6"/>
        <v>perry3QB</v>
      </c>
      <c r="M172">
        <f>COUNTIF(L$1:L172,L172)</f>
        <v>1</v>
      </c>
      <c r="N172" t="str">
        <f t="shared" si="7"/>
        <v>perry3QB-1</v>
      </c>
      <c r="O172">
        <f>COUNTIFS(F$1:F172,F172,A$1:A172,A172)</f>
        <v>10</v>
      </c>
      <c r="P172" t="str">
        <f t="shared" si="8"/>
        <v>Carson Wentz3</v>
      </c>
    </row>
    <row r="173" spans="1:16" x14ac:dyDescent="0.25">
      <c r="A173">
        <v>17</v>
      </c>
      <c r="B173" t="s">
        <v>21</v>
      </c>
      <c r="C173" t="s">
        <v>5795</v>
      </c>
      <c r="D173">
        <v>19.510000000000002</v>
      </c>
      <c r="E173" t="s">
        <v>74</v>
      </c>
      <c r="F173" t="s">
        <v>15</v>
      </c>
      <c r="G173">
        <v>26.66</v>
      </c>
      <c r="H173">
        <v>12.36</v>
      </c>
      <c r="I173">
        <v>7.15</v>
      </c>
      <c r="J173">
        <v>51.122500000000002</v>
      </c>
      <c r="K173" t="str">
        <f>IFERROR(INDEX(Rosters!$C$2:$C$155,MATCH($B173,Rosters!$B$2:$B$155,0)),"NA")</f>
        <v>scott</v>
      </c>
      <c r="L173" t="str">
        <f t="shared" si="6"/>
        <v>scott17QB</v>
      </c>
      <c r="M173">
        <f>COUNTIF(L$1:L173,L173)</f>
        <v>1</v>
      </c>
      <c r="N173" t="str">
        <f t="shared" si="7"/>
        <v>scott17QB-1</v>
      </c>
      <c r="O173">
        <f>COUNTIFS(F$1:F173,F173,A$1:A173,A173)</f>
        <v>12</v>
      </c>
      <c r="P173" t="str">
        <f t="shared" si="8"/>
        <v>Drew Brees17</v>
      </c>
    </row>
    <row r="174" spans="1:16" x14ac:dyDescent="0.25">
      <c r="A174">
        <v>6</v>
      </c>
      <c r="B174" t="s">
        <v>79</v>
      </c>
      <c r="C174" t="s">
        <v>5796</v>
      </c>
      <c r="D174">
        <v>19.5</v>
      </c>
      <c r="E174" t="s">
        <v>22</v>
      </c>
      <c r="F174" t="s">
        <v>15</v>
      </c>
      <c r="G174">
        <v>27.33</v>
      </c>
      <c r="H174">
        <v>11.67</v>
      </c>
      <c r="I174">
        <v>7.83</v>
      </c>
      <c r="J174">
        <v>61.308900000000001</v>
      </c>
      <c r="K174" t="str">
        <f>IFERROR(INDEX(Rosters!$C$2:$C$155,MATCH($B174,Rosters!$B$2:$B$155,0)),"NA")</f>
        <v>NA</v>
      </c>
      <c r="L174" t="str">
        <f t="shared" si="6"/>
        <v>NA6QB</v>
      </c>
      <c r="M174">
        <f>COUNTIF(L$1:L174,L174)</f>
        <v>2</v>
      </c>
      <c r="N174" t="str">
        <f t="shared" si="7"/>
        <v>NA6QB-2</v>
      </c>
      <c r="O174">
        <f>COUNTIFS(F$1:F174,F174,A$1:A174,A174)</f>
        <v>12</v>
      </c>
      <c r="P174" t="str">
        <f t="shared" si="8"/>
        <v>Blake Bortles6</v>
      </c>
    </row>
    <row r="175" spans="1:16" x14ac:dyDescent="0.25">
      <c r="A175">
        <v>7</v>
      </c>
      <c r="B175" t="s">
        <v>18</v>
      </c>
      <c r="C175" t="s">
        <v>5797</v>
      </c>
      <c r="D175">
        <v>19.5</v>
      </c>
      <c r="E175" t="s">
        <v>72</v>
      </c>
      <c r="F175" t="s">
        <v>15</v>
      </c>
      <c r="G175">
        <v>26.75</v>
      </c>
      <c r="H175">
        <v>12.25</v>
      </c>
      <c r="I175">
        <v>7.25</v>
      </c>
      <c r="J175">
        <v>52.5625</v>
      </c>
      <c r="K175" t="str">
        <f>IFERROR(INDEX(Rosters!$C$2:$C$155,MATCH($B175,Rosters!$B$2:$B$155,0)),"NA")</f>
        <v>lucas</v>
      </c>
      <c r="L175" t="str">
        <f t="shared" si="6"/>
        <v>lucas7QB</v>
      </c>
      <c r="M175">
        <f>COUNTIF(L$1:L175,L175)</f>
        <v>1</v>
      </c>
      <c r="N175" t="str">
        <f t="shared" si="7"/>
        <v>lucas7QB-1</v>
      </c>
      <c r="O175">
        <f>COUNTIFS(F$1:F175,F175,A$1:A175,A175)</f>
        <v>8</v>
      </c>
      <c r="P175" t="str">
        <f t="shared" si="8"/>
        <v>Tom Brady7</v>
      </c>
    </row>
    <row r="176" spans="1:16" x14ac:dyDescent="0.25">
      <c r="A176">
        <v>6</v>
      </c>
      <c r="B176" t="s">
        <v>43</v>
      </c>
      <c r="C176" t="s">
        <v>5798</v>
      </c>
      <c r="D176">
        <v>19.489999999999998</v>
      </c>
      <c r="E176" t="s">
        <v>58</v>
      </c>
      <c r="F176" t="s">
        <v>15</v>
      </c>
      <c r="G176">
        <v>27.08</v>
      </c>
      <c r="H176">
        <v>11.9</v>
      </c>
      <c r="I176">
        <v>7.59</v>
      </c>
      <c r="J176">
        <v>57.6081</v>
      </c>
      <c r="K176" t="str">
        <f>IFERROR(INDEX(Rosters!$C$2:$C$155,MATCH($B176,Rosters!$B$2:$B$155,0)),"NA")</f>
        <v>NA</v>
      </c>
      <c r="L176" t="str">
        <f t="shared" si="6"/>
        <v>NA6QB</v>
      </c>
      <c r="M176">
        <f>COUNTIF(L$1:L176,L176)</f>
        <v>3</v>
      </c>
      <c r="N176" t="str">
        <f t="shared" si="7"/>
        <v>NA6QB-3</v>
      </c>
      <c r="O176">
        <f>COUNTIFS(F$1:F176,F176,A$1:A176,A176)</f>
        <v>13</v>
      </c>
      <c r="P176" t="str">
        <f t="shared" si="8"/>
        <v>Kirk Cousins6</v>
      </c>
    </row>
    <row r="177" spans="1:16" x14ac:dyDescent="0.25">
      <c r="A177">
        <v>16</v>
      </c>
      <c r="B177" t="s">
        <v>302</v>
      </c>
      <c r="C177" t="s">
        <v>5799</v>
      </c>
      <c r="D177">
        <v>19.47</v>
      </c>
      <c r="E177" t="s">
        <v>28</v>
      </c>
      <c r="F177" t="s">
        <v>15</v>
      </c>
      <c r="G177">
        <v>28.27</v>
      </c>
      <c r="H177">
        <v>10.67</v>
      </c>
      <c r="I177">
        <v>8.8000000000000007</v>
      </c>
      <c r="J177">
        <v>77.44</v>
      </c>
      <c r="K177" t="str">
        <f>IFERROR(INDEX(Rosters!$C$2:$C$155,MATCH($B177,Rosters!$B$2:$B$155,0)),"NA")</f>
        <v>matty</v>
      </c>
      <c r="L177" t="str">
        <f t="shared" si="6"/>
        <v>matty16QB</v>
      </c>
      <c r="M177">
        <f>COUNTIF(L$1:L177,L177)</f>
        <v>2</v>
      </c>
      <c r="N177" t="str">
        <f t="shared" si="7"/>
        <v>matty16QB-2</v>
      </c>
      <c r="O177">
        <f>COUNTIFS(F$1:F177,F177,A$1:A177,A177)</f>
        <v>10</v>
      </c>
      <c r="P177" t="str">
        <f t="shared" si="8"/>
        <v>Patrick Mahomes16</v>
      </c>
    </row>
    <row r="178" spans="1:16" x14ac:dyDescent="0.25">
      <c r="A178">
        <v>13</v>
      </c>
      <c r="B178" t="s">
        <v>43</v>
      </c>
      <c r="C178" t="s">
        <v>5800</v>
      </c>
      <c r="D178">
        <v>19.46</v>
      </c>
      <c r="E178" t="s">
        <v>423</v>
      </c>
      <c r="F178" t="s">
        <v>15</v>
      </c>
      <c r="G178">
        <v>26.79</v>
      </c>
      <c r="H178">
        <v>12.13</v>
      </c>
      <c r="I178">
        <v>7.33</v>
      </c>
      <c r="J178">
        <v>53.728900000000003</v>
      </c>
      <c r="K178" t="str">
        <f>IFERROR(INDEX(Rosters!$C$2:$C$155,MATCH($B178,Rosters!$B$2:$B$155,0)),"NA")</f>
        <v>NA</v>
      </c>
      <c r="L178" t="str">
        <f t="shared" si="6"/>
        <v>NA13QB</v>
      </c>
      <c r="M178">
        <f>COUNTIF(L$1:L178,L178)</f>
        <v>3</v>
      </c>
      <c r="N178" t="str">
        <f t="shared" si="7"/>
        <v>NA13QB-3</v>
      </c>
      <c r="O178">
        <f>COUNTIFS(F$1:F178,F178,A$1:A178,A178)</f>
        <v>13</v>
      </c>
      <c r="P178" t="str">
        <f t="shared" si="8"/>
        <v>Kirk Cousins13</v>
      </c>
    </row>
    <row r="179" spans="1:16" x14ac:dyDescent="0.25">
      <c r="A179">
        <v>12</v>
      </c>
      <c r="B179" t="s">
        <v>95</v>
      </c>
      <c r="C179" t="s">
        <v>5801</v>
      </c>
      <c r="D179">
        <v>19.440000000000001</v>
      </c>
      <c r="E179" t="s">
        <v>22</v>
      </c>
      <c r="F179" t="s">
        <v>15</v>
      </c>
      <c r="G179">
        <v>27.53</v>
      </c>
      <c r="H179">
        <v>11.35</v>
      </c>
      <c r="I179">
        <v>8.09</v>
      </c>
      <c r="J179">
        <v>65.448099999999997</v>
      </c>
      <c r="K179" t="str">
        <f>IFERROR(INDEX(Rosters!$C$2:$C$155,MATCH($B179,Rosters!$B$2:$B$155,0)),"NA")</f>
        <v>matty</v>
      </c>
      <c r="L179" t="str">
        <f t="shared" si="6"/>
        <v>matty12QB</v>
      </c>
      <c r="M179">
        <f>COUNTIF(L$1:L179,L179)</f>
        <v>1</v>
      </c>
      <c r="N179" t="str">
        <f t="shared" si="7"/>
        <v>matty12QB-1</v>
      </c>
      <c r="O179">
        <f>COUNTIFS(F$1:F179,F179,A$1:A179,A179)</f>
        <v>9</v>
      </c>
      <c r="P179" t="str">
        <f t="shared" si="8"/>
        <v>Alex Smith12</v>
      </c>
    </row>
    <row r="180" spans="1:16" x14ac:dyDescent="0.25">
      <c r="A180">
        <v>12</v>
      </c>
      <c r="B180" t="s">
        <v>82</v>
      </c>
      <c r="C180" t="s">
        <v>5802</v>
      </c>
      <c r="D180">
        <v>19.440000000000001</v>
      </c>
      <c r="E180" t="s">
        <v>32</v>
      </c>
      <c r="F180" t="s">
        <v>15</v>
      </c>
      <c r="G180">
        <v>26.85</v>
      </c>
      <c r="H180">
        <v>12.03</v>
      </c>
      <c r="I180">
        <v>7.41</v>
      </c>
      <c r="J180">
        <v>54.908099999999997</v>
      </c>
      <c r="K180" t="str">
        <f>IFERROR(INDEX(Rosters!$C$2:$C$155,MATCH($B180,Rosters!$B$2:$B$155,0)),"NA")</f>
        <v>NA</v>
      </c>
      <c r="L180" t="str">
        <f t="shared" si="6"/>
        <v>NA12QB</v>
      </c>
      <c r="M180">
        <f>COUNTIF(L$1:L180,L180)</f>
        <v>3</v>
      </c>
      <c r="N180" t="str">
        <f t="shared" si="7"/>
        <v>NA12QB-3</v>
      </c>
      <c r="O180">
        <f>COUNTIFS(F$1:F180,F180,A$1:A180,A180)</f>
        <v>10</v>
      </c>
      <c r="P180" t="str">
        <f t="shared" si="8"/>
        <v>Joe Flacco12</v>
      </c>
    </row>
    <row r="181" spans="1:16" x14ac:dyDescent="0.25">
      <c r="A181">
        <v>16</v>
      </c>
      <c r="B181" t="s">
        <v>43</v>
      </c>
      <c r="C181" t="s">
        <v>5803</v>
      </c>
      <c r="D181">
        <v>19.440000000000001</v>
      </c>
      <c r="E181" t="s">
        <v>34</v>
      </c>
      <c r="F181" t="s">
        <v>15</v>
      </c>
      <c r="G181">
        <v>26.1</v>
      </c>
      <c r="H181">
        <v>12.78</v>
      </c>
      <c r="I181">
        <v>6.66</v>
      </c>
      <c r="J181">
        <v>44.355600000000003</v>
      </c>
      <c r="K181" t="str">
        <f>IFERROR(INDEX(Rosters!$C$2:$C$155,MATCH($B181,Rosters!$B$2:$B$155,0)),"NA")</f>
        <v>NA</v>
      </c>
      <c r="L181" t="str">
        <f t="shared" si="6"/>
        <v>NA16QB</v>
      </c>
      <c r="M181">
        <f>COUNTIF(L$1:L181,L181)</f>
        <v>2</v>
      </c>
      <c r="N181" t="str">
        <f t="shared" si="7"/>
        <v>NA16QB-2</v>
      </c>
      <c r="O181">
        <f>COUNTIFS(F$1:F181,F181,A$1:A181,A181)</f>
        <v>11</v>
      </c>
      <c r="P181" t="str">
        <f t="shared" si="8"/>
        <v>Kirk Cousins16</v>
      </c>
    </row>
    <row r="182" spans="1:16" x14ac:dyDescent="0.25">
      <c r="A182">
        <v>11</v>
      </c>
      <c r="B182" t="s">
        <v>61</v>
      </c>
      <c r="C182" t="s">
        <v>5804</v>
      </c>
      <c r="D182">
        <v>19.420000000000002</v>
      </c>
      <c r="E182" t="s">
        <v>54</v>
      </c>
      <c r="F182" t="s">
        <v>15</v>
      </c>
      <c r="G182">
        <v>26.33</v>
      </c>
      <c r="H182">
        <v>12.51</v>
      </c>
      <c r="I182">
        <v>6.91</v>
      </c>
      <c r="J182">
        <v>47.748100000000001</v>
      </c>
      <c r="K182" t="str">
        <f>IFERROR(INDEX(Rosters!$C$2:$C$155,MATCH($B182,Rosters!$B$2:$B$155,0)),"NA")</f>
        <v>NA</v>
      </c>
      <c r="L182" t="str">
        <f t="shared" si="6"/>
        <v>NA11QB</v>
      </c>
      <c r="M182">
        <f>COUNTIF(L$1:L182,L182)</f>
        <v>2</v>
      </c>
      <c r="N182" t="str">
        <f t="shared" si="7"/>
        <v>NA11QB-2</v>
      </c>
      <c r="O182">
        <f>COUNTIFS(F$1:F182,F182,A$1:A182,A182)</f>
        <v>11</v>
      </c>
      <c r="P182" t="str">
        <f t="shared" si="8"/>
        <v>Jameis Winston11</v>
      </c>
    </row>
    <row r="183" spans="1:16" x14ac:dyDescent="0.25">
      <c r="A183">
        <v>11</v>
      </c>
      <c r="B183" t="s">
        <v>57</v>
      </c>
      <c r="C183" t="s">
        <v>5805</v>
      </c>
      <c r="D183">
        <v>19.41</v>
      </c>
      <c r="E183" t="s">
        <v>46</v>
      </c>
      <c r="F183" t="s">
        <v>47</v>
      </c>
      <c r="G183">
        <v>29.77</v>
      </c>
      <c r="H183">
        <v>9.0500000000000007</v>
      </c>
      <c r="I183">
        <v>10.36</v>
      </c>
      <c r="J183">
        <v>107.3296</v>
      </c>
      <c r="K183" t="str">
        <f>IFERROR(INDEX(Rosters!$C$2:$C$155,MATCH($B183,Rosters!$B$2:$B$155,0)),"NA")</f>
        <v>perry</v>
      </c>
      <c r="L183" t="str">
        <f t="shared" si="6"/>
        <v>perry11RB</v>
      </c>
      <c r="M183">
        <f>COUNTIF(L$1:L183,L183)</f>
        <v>1</v>
      </c>
      <c r="N183" t="str">
        <f t="shared" si="7"/>
        <v>perry11RB-1</v>
      </c>
      <c r="O183">
        <f>COUNTIFS(F$1:F183,F183,A$1:A183,A183)</f>
        <v>2</v>
      </c>
      <c r="P183" t="str">
        <f t="shared" si="8"/>
        <v>Ezekiel Elliott11</v>
      </c>
    </row>
    <row r="184" spans="1:16" x14ac:dyDescent="0.25">
      <c r="A184">
        <v>13</v>
      </c>
      <c r="B184" t="s">
        <v>71</v>
      </c>
      <c r="C184" t="s">
        <v>5806</v>
      </c>
      <c r="D184">
        <v>19.399999999999999</v>
      </c>
      <c r="E184" t="s">
        <v>24</v>
      </c>
      <c r="F184" t="s">
        <v>15</v>
      </c>
      <c r="G184">
        <v>26.67</v>
      </c>
      <c r="H184">
        <v>12.13</v>
      </c>
      <c r="I184">
        <v>7.27</v>
      </c>
      <c r="J184">
        <v>52.852899999999998</v>
      </c>
      <c r="K184" t="str">
        <f>IFERROR(INDEX(Rosters!$C$2:$C$155,MATCH($B184,Rosters!$B$2:$B$155,0)),"NA")</f>
        <v>NA</v>
      </c>
      <c r="L184" t="str">
        <f t="shared" si="6"/>
        <v>NA13QB</v>
      </c>
      <c r="M184">
        <f>COUNTIF(L$1:L184,L184)</f>
        <v>4</v>
      </c>
      <c r="N184" t="str">
        <f t="shared" si="7"/>
        <v>NA13QB-4</v>
      </c>
      <c r="O184">
        <f>COUNTIFS(F$1:F184,F184,A$1:A184,A184)</f>
        <v>14</v>
      </c>
      <c r="P184" t="str">
        <f t="shared" si="8"/>
        <v>Derek Carr13</v>
      </c>
    </row>
    <row r="185" spans="1:16" x14ac:dyDescent="0.25">
      <c r="A185">
        <v>8</v>
      </c>
      <c r="B185" t="s">
        <v>33</v>
      </c>
      <c r="C185" t="s">
        <v>5807</v>
      </c>
      <c r="D185">
        <v>19.39</v>
      </c>
      <c r="E185" t="s">
        <v>32</v>
      </c>
      <c r="F185" t="s">
        <v>15</v>
      </c>
      <c r="G185">
        <v>24.33</v>
      </c>
      <c r="H185">
        <v>14.45</v>
      </c>
      <c r="I185">
        <v>4.9400000000000004</v>
      </c>
      <c r="J185">
        <v>24.403600000000001</v>
      </c>
      <c r="K185" t="str">
        <f>IFERROR(INDEX(Rosters!$C$2:$C$155,MATCH($B185,Rosters!$B$2:$B$155,0)),"NA")</f>
        <v>comp</v>
      </c>
      <c r="L185" t="str">
        <f t="shared" si="6"/>
        <v>comp8QB</v>
      </c>
      <c r="M185">
        <f>COUNTIF(L$1:L185,L185)</f>
        <v>1</v>
      </c>
      <c r="N185" t="str">
        <f t="shared" si="7"/>
        <v>comp8QB-1</v>
      </c>
      <c r="O185">
        <f>COUNTIFS(F$1:F185,F185,A$1:A185,A185)</f>
        <v>12</v>
      </c>
      <c r="P185" t="str">
        <f t="shared" si="8"/>
        <v>Andrew Luck8</v>
      </c>
    </row>
    <row r="186" spans="1:16" x14ac:dyDescent="0.25">
      <c r="A186">
        <v>5</v>
      </c>
      <c r="B186" t="s">
        <v>80</v>
      </c>
      <c r="C186" t="s">
        <v>5808</v>
      </c>
      <c r="D186">
        <v>19.39</v>
      </c>
      <c r="E186" t="s">
        <v>25</v>
      </c>
      <c r="F186" t="s">
        <v>15</v>
      </c>
      <c r="G186">
        <v>27.63</v>
      </c>
      <c r="H186">
        <v>11.15</v>
      </c>
      <c r="I186">
        <v>8.24</v>
      </c>
      <c r="J186">
        <v>67.897599999999997</v>
      </c>
      <c r="K186" t="str">
        <f>IFERROR(INDEX(Rosters!$C$2:$C$155,MATCH($B186,Rosters!$B$2:$B$155,0)),"NA")</f>
        <v>perry</v>
      </c>
      <c r="L186" t="str">
        <f t="shared" si="6"/>
        <v>perry5QB</v>
      </c>
      <c r="M186">
        <f>COUNTIF(L$1:L186,L186)</f>
        <v>1</v>
      </c>
      <c r="N186" t="str">
        <f t="shared" si="7"/>
        <v>perry5QB-1</v>
      </c>
      <c r="O186">
        <f>COUNTIFS(F$1:F186,F186,A$1:A186,A186)</f>
        <v>12</v>
      </c>
      <c r="P186" t="str">
        <f t="shared" si="8"/>
        <v>Carson Wentz5</v>
      </c>
    </row>
    <row r="187" spans="1:16" x14ac:dyDescent="0.25">
      <c r="A187">
        <v>5</v>
      </c>
      <c r="B187" t="s">
        <v>70</v>
      </c>
      <c r="C187" t="s">
        <v>5809</v>
      </c>
      <c r="D187">
        <v>19.37</v>
      </c>
      <c r="E187" t="s">
        <v>41</v>
      </c>
      <c r="F187" t="s">
        <v>15</v>
      </c>
      <c r="G187">
        <v>28.59</v>
      </c>
      <c r="H187">
        <v>10.15</v>
      </c>
      <c r="I187">
        <v>9.2200000000000006</v>
      </c>
      <c r="J187">
        <v>85.008399999999995</v>
      </c>
      <c r="K187" t="str">
        <f>IFERROR(INDEX(Rosters!$C$2:$C$155,MATCH($B187,Rosters!$B$2:$B$155,0)),"NA")</f>
        <v>aj</v>
      </c>
      <c r="L187" t="str">
        <f t="shared" si="6"/>
        <v>aj5QB</v>
      </c>
      <c r="M187">
        <f>COUNTIF(L$1:L187,L187)</f>
        <v>2</v>
      </c>
      <c r="N187" t="str">
        <f t="shared" si="7"/>
        <v>aj5QB-2</v>
      </c>
      <c r="O187">
        <f>COUNTIFS(F$1:F187,F187,A$1:A187,A187)</f>
        <v>13</v>
      </c>
      <c r="P187" t="str">
        <f t="shared" si="8"/>
        <v>Matthew Stafford5</v>
      </c>
    </row>
    <row r="188" spans="1:16" x14ac:dyDescent="0.25">
      <c r="A188">
        <v>12</v>
      </c>
      <c r="B188" t="s">
        <v>79</v>
      </c>
      <c r="C188" t="s">
        <v>5810</v>
      </c>
      <c r="D188">
        <v>19.350000000000001</v>
      </c>
      <c r="E188" t="s">
        <v>29</v>
      </c>
      <c r="F188" t="s">
        <v>15</v>
      </c>
      <c r="G188">
        <v>25.79</v>
      </c>
      <c r="H188">
        <v>12.91</v>
      </c>
      <c r="I188">
        <v>6.44</v>
      </c>
      <c r="J188">
        <v>41.473599999999998</v>
      </c>
      <c r="K188" t="str">
        <f>IFERROR(INDEX(Rosters!$C$2:$C$155,MATCH($B188,Rosters!$B$2:$B$155,0)),"NA")</f>
        <v>NA</v>
      </c>
      <c r="L188" t="str">
        <f t="shared" si="6"/>
        <v>NA12QB</v>
      </c>
      <c r="M188">
        <f>COUNTIF(L$1:L188,L188)</f>
        <v>4</v>
      </c>
      <c r="N188" t="str">
        <f t="shared" si="7"/>
        <v>NA12QB-4</v>
      </c>
      <c r="O188">
        <f>COUNTIFS(F$1:F188,F188,A$1:A188,A188)</f>
        <v>11</v>
      </c>
      <c r="P188" t="str">
        <f t="shared" si="8"/>
        <v>Blake Bortles12</v>
      </c>
    </row>
    <row r="189" spans="1:16" x14ac:dyDescent="0.25">
      <c r="A189">
        <v>16</v>
      </c>
      <c r="B189" t="s">
        <v>79</v>
      </c>
      <c r="C189" t="s">
        <v>5811</v>
      </c>
      <c r="D189">
        <v>19.34</v>
      </c>
      <c r="E189" t="s">
        <v>19</v>
      </c>
      <c r="F189" t="s">
        <v>15</v>
      </c>
      <c r="G189">
        <v>26.41</v>
      </c>
      <c r="H189">
        <v>12.27</v>
      </c>
      <c r="I189">
        <v>7.07</v>
      </c>
      <c r="J189">
        <v>49.984900000000003</v>
      </c>
      <c r="K189" t="str">
        <f>IFERROR(INDEX(Rosters!$C$2:$C$155,MATCH($B189,Rosters!$B$2:$B$155,0)),"NA")</f>
        <v>NA</v>
      </c>
      <c r="L189" t="str">
        <f t="shared" si="6"/>
        <v>NA16QB</v>
      </c>
      <c r="M189">
        <f>COUNTIF(L$1:L189,L189)</f>
        <v>3</v>
      </c>
      <c r="N189" t="str">
        <f t="shared" si="7"/>
        <v>NA16QB-3</v>
      </c>
      <c r="O189">
        <f>COUNTIFS(F$1:F189,F189,A$1:A189,A189)</f>
        <v>12</v>
      </c>
      <c r="P189" t="str">
        <f t="shared" si="8"/>
        <v>Blake Bortles16</v>
      </c>
    </row>
    <row r="190" spans="1:16" x14ac:dyDescent="0.25">
      <c r="A190">
        <v>15</v>
      </c>
      <c r="B190" t="s">
        <v>80</v>
      </c>
      <c r="C190" t="s">
        <v>5812</v>
      </c>
      <c r="D190">
        <v>19.329999999999998</v>
      </c>
      <c r="E190" t="s">
        <v>56</v>
      </c>
      <c r="F190" t="s">
        <v>15</v>
      </c>
      <c r="G190">
        <v>27.87</v>
      </c>
      <c r="H190">
        <v>10.79</v>
      </c>
      <c r="I190">
        <v>8.5399999999999991</v>
      </c>
      <c r="J190">
        <v>72.931600000000003</v>
      </c>
      <c r="K190" t="str">
        <f>IFERROR(INDEX(Rosters!$C$2:$C$155,MATCH($B190,Rosters!$B$2:$B$155,0)),"NA")</f>
        <v>perry</v>
      </c>
      <c r="L190" t="str">
        <f t="shared" si="6"/>
        <v>perry15QB</v>
      </c>
      <c r="M190">
        <f>COUNTIF(L$1:L190,L190)</f>
        <v>1</v>
      </c>
      <c r="N190" t="str">
        <f t="shared" si="7"/>
        <v>perry15QB-1</v>
      </c>
      <c r="O190">
        <f>COUNTIFS(F$1:F190,F190,A$1:A190,A190)</f>
        <v>9</v>
      </c>
      <c r="P190" t="str">
        <f t="shared" si="8"/>
        <v>Carson Wentz15</v>
      </c>
    </row>
    <row r="191" spans="1:16" x14ac:dyDescent="0.25">
      <c r="A191">
        <v>1</v>
      </c>
      <c r="B191" t="s">
        <v>257</v>
      </c>
      <c r="C191" t="s">
        <v>1267</v>
      </c>
      <c r="D191">
        <v>19.29</v>
      </c>
      <c r="E191" t="s">
        <v>17</v>
      </c>
      <c r="F191" t="s">
        <v>47</v>
      </c>
      <c r="G191">
        <v>27.43</v>
      </c>
      <c r="H191">
        <v>11.15</v>
      </c>
      <c r="I191">
        <v>8.14</v>
      </c>
      <c r="J191">
        <v>66.259600000000006</v>
      </c>
      <c r="K191" t="str">
        <f>IFERROR(INDEX(Rosters!$C$2:$C$155,MATCH($B191,Rosters!$B$2:$B$155,0)),"NA")</f>
        <v>scott</v>
      </c>
      <c r="L191" t="str">
        <f t="shared" si="6"/>
        <v>scott1RB</v>
      </c>
      <c r="M191">
        <f>COUNTIF(L$1:L191,L191)</f>
        <v>1</v>
      </c>
      <c r="N191" t="str">
        <f t="shared" si="7"/>
        <v>scott1RB-1</v>
      </c>
      <c r="O191">
        <f>COUNTIFS(F$1:F191,F191,A$1:A191,A191)</f>
        <v>1</v>
      </c>
      <c r="P191" t="str">
        <f t="shared" si="8"/>
        <v>Alvin Kamara1</v>
      </c>
    </row>
    <row r="192" spans="1:16" x14ac:dyDescent="0.25">
      <c r="A192">
        <v>4</v>
      </c>
      <c r="B192" t="s">
        <v>65</v>
      </c>
      <c r="C192" t="s">
        <v>4403</v>
      </c>
      <c r="D192">
        <v>19.29</v>
      </c>
      <c r="E192" t="s">
        <v>77</v>
      </c>
      <c r="F192" t="s">
        <v>15</v>
      </c>
      <c r="G192">
        <v>26.78</v>
      </c>
      <c r="H192">
        <v>11.8</v>
      </c>
      <c r="I192">
        <v>7.49</v>
      </c>
      <c r="J192">
        <v>56.100099999999998</v>
      </c>
      <c r="K192" t="str">
        <f>IFERROR(INDEX(Rosters!$C$2:$C$155,MATCH($B192,Rosters!$B$2:$B$155,0)),"NA")</f>
        <v>lucas</v>
      </c>
      <c r="L192" t="str">
        <f t="shared" si="6"/>
        <v>lucas4QB</v>
      </c>
      <c r="M192">
        <f>COUNTIF(L$1:L192,L192)</f>
        <v>2</v>
      </c>
      <c r="N192" t="str">
        <f t="shared" si="7"/>
        <v>lucas4QB-2</v>
      </c>
      <c r="O192">
        <f>COUNTIFS(F$1:F192,F192,A$1:A192,A192)</f>
        <v>8</v>
      </c>
      <c r="P192" t="str">
        <f t="shared" si="8"/>
        <v>Ben Roethlisberger4</v>
      </c>
    </row>
    <row r="193" spans="1:16" x14ac:dyDescent="0.25">
      <c r="A193">
        <v>6</v>
      </c>
      <c r="B193" t="s">
        <v>67</v>
      </c>
      <c r="C193" t="s">
        <v>5813</v>
      </c>
      <c r="D193">
        <v>19.27</v>
      </c>
      <c r="E193" t="s">
        <v>52</v>
      </c>
      <c r="F193" t="s">
        <v>15</v>
      </c>
      <c r="G193">
        <v>26.97</v>
      </c>
      <c r="H193">
        <v>11.57</v>
      </c>
      <c r="I193">
        <v>7.7</v>
      </c>
      <c r="J193">
        <v>59.29</v>
      </c>
      <c r="K193" t="str">
        <f>IFERROR(INDEX(Rosters!$C$2:$C$155,MATCH($B193,Rosters!$B$2:$B$155,0)),"NA")</f>
        <v>comp</v>
      </c>
      <c r="L193" t="str">
        <f t="shared" si="6"/>
        <v>comp6QB</v>
      </c>
      <c r="M193">
        <f>COUNTIF(L$1:L193,L193)</f>
        <v>1</v>
      </c>
      <c r="N193" t="str">
        <f t="shared" si="7"/>
        <v>comp6QB-1</v>
      </c>
      <c r="O193">
        <f>COUNTIFS(F$1:F193,F193,A$1:A193,A193)</f>
        <v>14</v>
      </c>
      <c r="P193" t="str">
        <f t="shared" si="8"/>
        <v>Philip Rivers6</v>
      </c>
    </row>
    <row r="194" spans="1:16" x14ac:dyDescent="0.25">
      <c r="A194">
        <v>3</v>
      </c>
      <c r="B194" t="s">
        <v>26</v>
      </c>
      <c r="C194" t="s">
        <v>3611</v>
      </c>
      <c r="D194">
        <v>19.25</v>
      </c>
      <c r="E194" t="s">
        <v>14</v>
      </c>
      <c r="F194" t="s">
        <v>15</v>
      </c>
      <c r="G194">
        <v>26.03</v>
      </c>
      <c r="H194">
        <v>12.47</v>
      </c>
      <c r="I194">
        <v>6.78</v>
      </c>
      <c r="J194">
        <v>45.968400000000003</v>
      </c>
      <c r="K194" t="str">
        <f>IFERROR(INDEX(Rosters!$C$2:$C$155,MATCH($B194,Rosters!$B$2:$B$155,0)),"NA")</f>
        <v>aj</v>
      </c>
      <c r="L194" t="str">
        <f t="shared" si="6"/>
        <v>aj3QB</v>
      </c>
      <c r="M194">
        <f>COUNTIF(L$1:L194,L194)</f>
        <v>2</v>
      </c>
      <c r="N194" t="str">
        <f t="shared" si="7"/>
        <v>aj3QB-2</v>
      </c>
      <c r="O194">
        <f>COUNTIFS(F$1:F194,F194,A$1:A194,A194)</f>
        <v>11</v>
      </c>
      <c r="P194" t="str">
        <f t="shared" si="8"/>
        <v>Matt Ryan3</v>
      </c>
    </row>
    <row r="195" spans="1:16" x14ac:dyDescent="0.25">
      <c r="A195">
        <v>16</v>
      </c>
      <c r="B195" t="s">
        <v>67</v>
      </c>
      <c r="C195" t="s">
        <v>5814</v>
      </c>
      <c r="D195">
        <v>19.25</v>
      </c>
      <c r="E195" t="s">
        <v>77</v>
      </c>
      <c r="F195" t="s">
        <v>15</v>
      </c>
      <c r="G195">
        <v>27.31</v>
      </c>
      <c r="H195">
        <v>11.19</v>
      </c>
      <c r="I195">
        <v>8.06</v>
      </c>
      <c r="J195">
        <v>64.9636</v>
      </c>
      <c r="K195" t="str">
        <f>IFERROR(INDEX(Rosters!$C$2:$C$155,MATCH($B195,Rosters!$B$2:$B$155,0)),"NA")</f>
        <v>comp</v>
      </c>
      <c r="L195" t="str">
        <f t="shared" ref="L195:L258" si="9">K195&amp;A195&amp;F195</f>
        <v>comp16QB</v>
      </c>
      <c r="M195">
        <f>COUNTIF(L$1:L195,L195)</f>
        <v>1</v>
      </c>
      <c r="N195" t="str">
        <f t="shared" ref="N195:N258" si="10">L195&amp;"-"&amp;M195</f>
        <v>comp16QB-1</v>
      </c>
      <c r="O195">
        <f>COUNTIFS(F$1:F195,F195,A$1:A195,A195)</f>
        <v>13</v>
      </c>
      <c r="P195" t="str">
        <f t="shared" ref="P195:P258" si="11">B195&amp;A195</f>
        <v>Philip Rivers16</v>
      </c>
    </row>
    <row r="196" spans="1:16" x14ac:dyDescent="0.25">
      <c r="A196">
        <v>5</v>
      </c>
      <c r="B196" t="s">
        <v>83</v>
      </c>
      <c r="C196" t="s">
        <v>5815</v>
      </c>
      <c r="D196">
        <v>19.18</v>
      </c>
      <c r="E196" t="s">
        <v>28</v>
      </c>
      <c r="F196" t="s">
        <v>15</v>
      </c>
      <c r="G196">
        <v>27.84</v>
      </c>
      <c r="H196">
        <v>10.52</v>
      </c>
      <c r="I196">
        <v>8.66</v>
      </c>
      <c r="J196">
        <v>74.995599999999996</v>
      </c>
      <c r="K196" t="str">
        <f>IFERROR(INDEX(Rosters!$C$2:$C$155,MATCH($B196,Rosters!$B$2:$B$155,0)),"NA")</f>
        <v>cory</v>
      </c>
      <c r="L196" t="str">
        <f t="shared" si="9"/>
        <v>cory5QB</v>
      </c>
      <c r="M196">
        <f>COUNTIF(L$1:L196,L196)</f>
        <v>2</v>
      </c>
      <c r="N196" t="str">
        <f t="shared" si="10"/>
        <v>cory5QB-2</v>
      </c>
      <c r="O196">
        <f>COUNTIFS(F$1:F196,F196,A$1:A196,A196)</f>
        <v>14</v>
      </c>
      <c r="P196" t="str">
        <f t="shared" si="11"/>
        <v>Jared Goff5</v>
      </c>
    </row>
    <row r="197" spans="1:16" x14ac:dyDescent="0.25">
      <c r="A197">
        <v>10</v>
      </c>
      <c r="B197" t="s">
        <v>26</v>
      </c>
      <c r="C197" t="s">
        <v>5816</v>
      </c>
      <c r="D197">
        <v>19.170000000000002</v>
      </c>
      <c r="E197" t="s">
        <v>52</v>
      </c>
      <c r="F197" t="s">
        <v>15</v>
      </c>
      <c r="G197">
        <v>26.44</v>
      </c>
      <c r="H197">
        <v>11.9</v>
      </c>
      <c r="I197">
        <v>7.27</v>
      </c>
      <c r="J197">
        <v>52.852899999999998</v>
      </c>
      <c r="K197" t="str">
        <f>IFERROR(INDEX(Rosters!$C$2:$C$155,MATCH($B197,Rosters!$B$2:$B$155,0)),"NA")</f>
        <v>aj</v>
      </c>
      <c r="L197" t="str">
        <f t="shared" si="9"/>
        <v>aj10QB</v>
      </c>
      <c r="M197">
        <f>COUNTIF(L$1:L197,L197)</f>
        <v>1</v>
      </c>
      <c r="N197" t="str">
        <f t="shared" si="10"/>
        <v>aj10QB-1</v>
      </c>
      <c r="O197">
        <f>COUNTIFS(F$1:F197,F197,A$1:A197,A197)</f>
        <v>12</v>
      </c>
      <c r="P197" t="str">
        <f t="shared" si="11"/>
        <v>Matt Ryan10</v>
      </c>
    </row>
    <row r="198" spans="1:16" x14ac:dyDescent="0.25">
      <c r="A198">
        <v>1</v>
      </c>
      <c r="B198" t="s">
        <v>179</v>
      </c>
      <c r="C198" t="s">
        <v>1674</v>
      </c>
      <c r="D198">
        <v>19.16</v>
      </c>
      <c r="E198" t="s">
        <v>423</v>
      </c>
      <c r="F198" t="s">
        <v>15</v>
      </c>
      <c r="G198">
        <v>26.17</v>
      </c>
      <c r="H198">
        <v>12.15</v>
      </c>
      <c r="I198">
        <v>7.01</v>
      </c>
      <c r="J198">
        <v>49.140099999999997</v>
      </c>
      <c r="K198" t="str">
        <f>IFERROR(INDEX(Rosters!$C$2:$C$155,MATCH($B198,Rosters!$B$2:$B$155,0)),"NA")</f>
        <v>chad</v>
      </c>
      <c r="L198" t="str">
        <f t="shared" si="9"/>
        <v>chad1QB</v>
      </c>
      <c r="M198">
        <f>COUNTIF(L$1:L198,L198)</f>
        <v>1</v>
      </c>
      <c r="N198" t="str">
        <f t="shared" si="10"/>
        <v>chad1QB-1</v>
      </c>
      <c r="O198">
        <f>COUNTIFS(F$1:F198,F198,A$1:A198,A198)</f>
        <v>6</v>
      </c>
      <c r="P198" t="str">
        <f t="shared" si="11"/>
        <v>Deshaun Watson1</v>
      </c>
    </row>
    <row r="199" spans="1:16" x14ac:dyDescent="0.25">
      <c r="A199">
        <v>15</v>
      </c>
      <c r="B199" t="s">
        <v>67</v>
      </c>
      <c r="C199" t="s">
        <v>5817</v>
      </c>
      <c r="D199">
        <v>19.149999999999999</v>
      </c>
      <c r="E199" t="s">
        <v>24</v>
      </c>
      <c r="F199" t="s">
        <v>15</v>
      </c>
      <c r="G199">
        <v>26.37</v>
      </c>
      <c r="H199">
        <v>11.93</v>
      </c>
      <c r="I199">
        <v>7.22</v>
      </c>
      <c r="J199">
        <v>52.128399999999999</v>
      </c>
      <c r="K199" t="str">
        <f>IFERROR(INDEX(Rosters!$C$2:$C$155,MATCH($B199,Rosters!$B$2:$B$155,0)),"NA")</f>
        <v>comp</v>
      </c>
      <c r="L199" t="str">
        <f t="shared" si="9"/>
        <v>comp15QB</v>
      </c>
      <c r="M199">
        <f>COUNTIF(L$1:L199,L199)</f>
        <v>1</v>
      </c>
      <c r="N199" t="str">
        <f t="shared" si="10"/>
        <v>comp15QB-1</v>
      </c>
      <c r="O199">
        <f>COUNTIFS(F$1:F199,F199,A$1:A199,A199)</f>
        <v>10</v>
      </c>
      <c r="P199" t="str">
        <f t="shared" si="11"/>
        <v>Philip Rivers15</v>
      </c>
    </row>
    <row r="200" spans="1:16" x14ac:dyDescent="0.25">
      <c r="A200">
        <v>3</v>
      </c>
      <c r="B200" t="s">
        <v>53</v>
      </c>
      <c r="C200" t="s">
        <v>3612</v>
      </c>
      <c r="D200">
        <v>19.149999999999999</v>
      </c>
      <c r="E200" t="s">
        <v>22</v>
      </c>
      <c r="F200" t="s">
        <v>15</v>
      </c>
      <c r="G200">
        <v>26.2</v>
      </c>
      <c r="H200">
        <v>12.1</v>
      </c>
      <c r="I200">
        <v>7.05</v>
      </c>
      <c r="J200">
        <v>49.702500000000001</v>
      </c>
      <c r="K200" t="str">
        <f>IFERROR(INDEX(Rosters!$C$2:$C$155,MATCH($B200,Rosters!$B$2:$B$155,0)),"NA")</f>
        <v>seth</v>
      </c>
      <c r="L200" t="str">
        <f t="shared" si="9"/>
        <v>seth3QB</v>
      </c>
      <c r="M200">
        <f>COUNTIF(L$1:L200,L200)</f>
        <v>1</v>
      </c>
      <c r="N200" t="str">
        <f t="shared" si="10"/>
        <v>seth3QB-1</v>
      </c>
      <c r="O200">
        <f>COUNTIFS(F$1:F200,F200,A$1:A200,A200)</f>
        <v>12</v>
      </c>
      <c r="P200" t="str">
        <f t="shared" si="11"/>
        <v>Russell Wilson3</v>
      </c>
    </row>
    <row r="201" spans="1:16" x14ac:dyDescent="0.25">
      <c r="A201">
        <v>9</v>
      </c>
      <c r="B201" t="s">
        <v>1213</v>
      </c>
      <c r="C201" t="s">
        <v>5818</v>
      </c>
      <c r="D201">
        <v>19.14</v>
      </c>
      <c r="E201" t="s">
        <v>36</v>
      </c>
      <c r="F201" t="s">
        <v>15</v>
      </c>
      <c r="G201">
        <v>26.25</v>
      </c>
      <c r="H201">
        <v>12.03</v>
      </c>
      <c r="I201">
        <v>7.11</v>
      </c>
      <c r="J201">
        <v>50.552100000000003</v>
      </c>
      <c r="K201" t="str">
        <f>IFERROR(INDEX(Rosters!$C$2:$C$155,MATCH($B201,Rosters!$B$2:$B$155,0)),"NA")</f>
        <v>NA</v>
      </c>
      <c r="L201" t="str">
        <f t="shared" si="9"/>
        <v>NA9QB</v>
      </c>
      <c r="M201">
        <f>COUNTIF(L$1:L201,L201)</f>
        <v>2</v>
      </c>
      <c r="N201" t="str">
        <f t="shared" si="10"/>
        <v>NA9QB-2</v>
      </c>
      <c r="O201">
        <f>COUNTIFS(F$1:F201,F201,A$1:A201,A201)</f>
        <v>10</v>
      </c>
      <c r="P201" t="str">
        <f t="shared" si="11"/>
        <v>Case Keenum9</v>
      </c>
    </row>
    <row r="202" spans="1:16" x14ac:dyDescent="0.25">
      <c r="A202">
        <v>17</v>
      </c>
      <c r="B202" t="s">
        <v>57</v>
      </c>
      <c r="C202" t="s">
        <v>5819</v>
      </c>
      <c r="D202">
        <v>19.09</v>
      </c>
      <c r="E202" t="s">
        <v>54</v>
      </c>
      <c r="F202" t="s">
        <v>47</v>
      </c>
      <c r="G202">
        <v>30.15</v>
      </c>
      <c r="H202">
        <v>8.0299999999999994</v>
      </c>
      <c r="I202">
        <v>11.06</v>
      </c>
      <c r="J202">
        <v>122.3236</v>
      </c>
      <c r="K202" t="str">
        <f>IFERROR(INDEX(Rosters!$C$2:$C$155,MATCH($B202,Rosters!$B$2:$B$155,0)),"NA")</f>
        <v>perry</v>
      </c>
      <c r="L202" t="str">
        <f t="shared" si="9"/>
        <v>perry17RB</v>
      </c>
      <c r="M202">
        <f>COUNTIF(L$1:L202,L202)</f>
        <v>1</v>
      </c>
      <c r="N202" t="str">
        <f t="shared" si="10"/>
        <v>perry17RB-1</v>
      </c>
      <c r="O202">
        <f>COUNTIFS(F$1:F202,F202,A$1:A202,A202)</f>
        <v>3</v>
      </c>
      <c r="P202" t="str">
        <f t="shared" si="11"/>
        <v>Ezekiel Elliott17</v>
      </c>
    </row>
    <row r="203" spans="1:16" x14ac:dyDescent="0.25">
      <c r="A203">
        <v>1</v>
      </c>
      <c r="B203" t="s">
        <v>83</v>
      </c>
      <c r="C203" t="s">
        <v>1268</v>
      </c>
      <c r="D203">
        <v>19.079999999999998</v>
      </c>
      <c r="E203" t="s">
        <v>32</v>
      </c>
      <c r="F203" t="s">
        <v>15</v>
      </c>
      <c r="G203">
        <v>26.55</v>
      </c>
      <c r="H203">
        <v>11.61</v>
      </c>
      <c r="I203">
        <v>7.47</v>
      </c>
      <c r="J203">
        <v>55.800899999999999</v>
      </c>
      <c r="K203" t="str">
        <f>IFERROR(INDEX(Rosters!$C$2:$C$155,MATCH($B203,Rosters!$B$2:$B$155,0)),"NA")</f>
        <v>cory</v>
      </c>
      <c r="L203" t="str">
        <f t="shared" si="9"/>
        <v>cory1QB</v>
      </c>
      <c r="M203">
        <f>COUNTIF(L$1:L203,L203)</f>
        <v>2</v>
      </c>
      <c r="N203" t="str">
        <f t="shared" si="10"/>
        <v>cory1QB-2</v>
      </c>
      <c r="O203">
        <f>COUNTIFS(F$1:F203,F203,A$1:A203,A203)</f>
        <v>7</v>
      </c>
      <c r="P203" t="str">
        <f t="shared" si="11"/>
        <v>Jared Goff1</v>
      </c>
    </row>
    <row r="204" spans="1:16" x14ac:dyDescent="0.25">
      <c r="A204">
        <v>1</v>
      </c>
      <c r="B204" t="s">
        <v>43</v>
      </c>
      <c r="C204" t="s">
        <v>1675</v>
      </c>
      <c r="D204">
        <v>19.07</v>
      </c>
      <c r="E204" t="s">
        <v>30</v>
      </c>
      <c r="F204" t="s">
        <v>15</v>
      </c>
      <c r="G204">
        <v>24.28</v>
      </c>
      <c r="H204">
        <v>13.86</v>
      </c>
      <c r="I204">
        <v>5.21</v>
      </c>
      <c r="J204">
        <v>27.144100000000002</v>
      </c>
      <c r="K204" t="str">
        <f>IFERROR(INDEX(Rosters!$C$2:$C$155,MATCH($B204,Rosters!$B$2:$B$155,0)),"NA")</f>
        <v>NA</v>
      </c>
      <c r="L204" t="str">
        <f t="shared" si="9"/>
        <v>NA1QB</v>
      </c>
      <c r="M204">
        <f>COUNTIF(L$1:L204,L204)</f>
        <v>1</v>
      </c>
      <c r="N204" t="str">
        <f t="shared" si="10"/>
        <v>NA1QB-1</v>
      </c>
      <c r="O204">
        <f>COUNTIFS(F$1:F204,F204,A$1:A204,A204)</f>
        <v>8</v>
      </c>
      <c r="P204" t="str">
        <f t="shared" si="11"/>
        <v>Kirk Cousins1</v>
      </c>
    </row>
    <row r="205" spans="1:16" x14ac:dyDescent="0.25">
      <c r="A205">
        <v>15</v>
      </c>
      <c r="B205" t="s">
        <v>63</v>
      </c>
      <c r="C205" t="s">
        <v>5820</v>
      </c>
      <c r="D205">
        <v>19.059999999999999</v>
      </c>
      <c r="E205" t="s">
        <v>32</v>
      </c>
      <c r="F205" t="s">
        <v>15</v>
      </c>
      <c r="G205">
        <v>24.85</v>
      </c>
      <c r="H205">
        <v>13.27</v>
      </c>
      <c r="I205">
        <v>5.79</v>
      </c>
      <c r="J205">
        <v>33.524099999999997</v>
      </c>
      <c r="K205" t="str">
        <f>IFERROR(INDEX(Rosters!$C$2:$C$155,MATCH($B205,Rosters!$B$2:$B$155,0)),"NA")</f>
        <v>scott</v>
      </c>
      <c r="L205" t="str">
        <f t="shared" si="9"/>
        <v>scott15QB</v>
      </c>
      <c r="M205">
        <f>COUNTIF(L$1:L205,L205)</f>
        <v>1</v>
      </c>
      <c r="N205" t="str">
        <f t="shared" si="10"/>
        <v>scott15QB-1</v>
      </c>
      <c r="O205">
        <f>COUNTIFS(F$1:F205,F205,A$1:A205,A205)</f>
        <v>11</v>
      </c>
      <c r="P205" t="str">
        <f t="shared" si="11"/>
        <v>Andy Dalton15</v>
      </c>
    </row>
    <row r="206" spans="1:16" x14ac:dyDescent="0.25">
      <c r="A206">
        <v>4</v>
      </c>
      <c r="B206" t="s">
        <v>26</v>
      </c>
      <c r="C206" t="s">
        <v>4404</v>
      </c>
      <c r="D206">
        <v>19.04</v>
      </c>
      <c r="E206" t="s">
        <v>31</v>
      </c>
      <c r="F206" t="s">
        <v>15</v>
      </c>
      <c r="G206">
        <v>26.26</v>
      </c>
      <c r="H206">
        <v>11.82</v>
      </c>
      <c r="I206">
        <v>7.22</v>
      </c>
      <c r="J206">
        <v>52.128399999999999</v>
      </c>
      <c r="K206" t="str">
        <f>IFERROR(INDEX(Rosters!$C$2:$C$155,MATCH($B206,Rosters!$B$2:$B$155,0)),"NA")</f>
        <v>aj</v>
      </c>
      <c r="L206" t="str">
        <f t="shared" si="9"/>
        <v>aj4QB</v>
      </c>
      <c r="M206">
        <f>COUNTIF(L$1:L206,L206)</f>
        <v>1</v>
      </c>
      <c r="N206" t="str">
        <f t="shared" si="10"/>
        <v>aj4QB-1</v>
      </c>
      <c r="O206">
        <f>COUNTIFS(F$1:F206,F206,A$1:A206,A206)</f>
        <v>9</v>
      </c>
      <c r="P206" t="str">
        <f t="shared" si="11"/>
        <v>Matt Ryan4</v>
      </c>
    </row>
    <row r="207" spans="1:16" x14ac:dyDescent="0.25">
      <c r="A207">
        <v>8</v>
      </c>
      <c r="B207" t="s">
        <v>53</v>
      </c>
      <c r="C207" t="s">
        <v>5821</v>
      </c>
      <c r="D207">
        <v>19.02</v>
      </c>
      <c r="E207" t="s">
        <v>34</v>
      </c>
      <c r="F207" t="s">
        <v>15</v>
      </c>
      <c r="G207">
        <v>28.04</v>
      </c>
      <c r="H207">
        <v>10</v>
      </c>
      <c r="I207">
        <v>9.02</v>
      </c>
      <c r="J207">
        <v>81.360399999999998</v>
      </c>
      <c r="K207" t="str">
        <f>IFERROR(INDEX(Rosters!$C$2:$C$155,MATCH($B207,Rosters!$B$2:$B$155,0)),"NA")</f>
        <v>seth</v>
      </c>
      <c r="L207" t="str">
        <f t="shared" si="9"/>
        <v>seth8QB</v>
      </c>
      <c r="M207">
        <f>COUNTIF(L$1:L207,L207)</f>
        <v>1</v>
      </c>
      <c r="N207" t="str">
        <f t="shared" si="10"/>
        <v>seth8QB-1</v>
      </c>
      <c r="O207">
        <f>COUNTIFS(F$1:F207,F207,A$1:A207,A207)</f>
        <v>13</v>
      </c>
      <c r="P207" t="str">
        <f t="shared" si="11"/>
        <v>Russell Wilson8</v>
      </c>
    </row>
    <row r="208" spans="1:16" x14ac:dyDescent="0.25">
      <c r="A208">
        <v>17</v>
      </c>
      <c r="B208" t="s">
        <v>80</v>
      </c>
      <c r="C208" t="s">
        <v>5822</v>
      </c>
      <c r="D208">
        <v>18.989999999999998</v>
      </c>
      <c r="E208" t="s">
        <v>60</v>
      </c>
      <c r="F208" t="s">
        <v>15</v>
      </c>
      <c r="G208">
        <v>27.49</v>
      </c>
      <c r="H208">
        <v>10.49</v>
      </c>
      <c r="I208">
        <v>8.5</v>
      </c>
      <c r="J208">
        <v>72.25</v>
      </c>
      <c r="K208" t="str">
        <f>IFERROR(INDEX(Rosters!$C$2:$C$155,MATCH($B208,Rosters!$B$2:$B$155,0)),"NA")</f>
        <v>perry</v>
      </c>
      <c r="L208" t="str">
        <f t="shared" si="9"/>
        <v>perry17QB</v>
      </c>
      <c r="M208">
        <f>COUNTIF(L$1:L208,L208)</f>
        <v>1</v>
      </c>
      <c r="N208" t="str">
        <f t="shared" si="10"/>
        <v>perry17QB-1</v>
      </c>
      <c r="O208">
        <f>COUNTIFS(F$1:F208,F208,A$1:A208,A208)</f>
        <v>13</v>
      </c>
      <c r="P208" t="str">
        <f t="shared" si="11"/>
        <v>Carson Wentz17</v>
      </c>
    </row>
    <row r="209" spans="1:16" x14ac:dyDescent="0.25">
      <c r="A209">
        <v>15</v>
      </c>
      <c r="B209" t="s">
        <v>57</v>
      </c>
      <c r="C209" t="s">
        <v>5823</v>
      </c>
      <c r="D209">
        <v>18.98</v>
      </c>
      <c r="E209" t="s">
        <v>66</v>
      </c>
      <c r="F209" t="s">
        <v>47</v>
      </c>
      <c r="G209">
        <v>29.34</v>
      </c>
      <c r="H209">
        <v>8.6199999999999992</v>
      </c>
      <c r="I209">
        <v>10.36</v>
      </c>
      <c r="J209">
        <v>107.3296</v>
      </c>
      <c r="K209" t="str">
        <f>IFERROR(INDEX(Rosters!$C$2:$C$155,MATCH($B209,Rosters!$B$2:$B$155,0)),"NA")</f>
        <v>perry</v>
      </c>
      <c r="L209" t="str">
        <f t="shared" si="9"/>
        <v>perry15RB</v>
      </c>
      <c r="M209">
        <f>COUNTIF(L$1:L209,L209)</f>
        <v>1</v>
      </c>
      <c r="N209" t="str">
        <f t="shared" si="10"/>
        <v>perry15RB-1</v>
      </c>
      <c r="O209">
        <f>COUNTIFS(F$1:F209,F209,A$1:A209,A209)</f>
        <v>3</v>
      </c>
      <c r="P209" t="str">
        <f t="shared" si="11"/>
        <v>Ezekiel Elliott15</v>
      </c>
    </row>
    <row r="210" spans="1:16" x14ac:dyDescent="0.25">
      <c r="A210">
        <v>1</v>
      </c>
      <c r="B210" t="s">
        <v>1100</v>
      </c>
      <c r="C210" t="s">
        <v>1269</v>
      </c>
      <c r="D210">
        <v>18.98</v>
      </c>
      <c r="E210" t="s">
        <v>32</v>
      </c>
      <c r="F210" t="s">
        <v>47</v>
      </c>
      <c r="G210">
        <v>27.47</v>
      </c>
      <c r="H210">
        <v>10.49</v>
      </c>
      <c r="I210">
        <v>8.49</v>
      </c>
      <c r="J210">
        <v>72.080100000000002</v>
      </c>
      <c r="K210" t="str">
        <f>IFERROR(INDEX(Rosters!$C$2:$C$155,MATCH($B210,Rosters!$B$2:$B$155,0)),"NA")</f>
        <v>chad</v>
      </c>
      <c r="L210" t="str">
        <f t="shared" si="9"/>
        <v>chad1RB</v>
      </c>
      <c r="M210">
        <f>COUNTIF(L$1:L210,L210)</f>
        <v>1</v>
      </c>
      <c r="N210" t="str">
        <f t="shared" si="10"/>
        <v>chad1RB-1</v>
      </c>
      <c r="O210">
        <f>COUNTIFS(F$1:F210,F210,A$1:A210,A210)</f>
        <v>2</v>
      </c>
      <c r="P210" t="str">
        <f t="shared" si="11"/>
        <v>Todd Gurley II1</v>
      </c>
    </row>
    <row r="211" spans="1:16" x14ac:dyDescent="0.25">
      <c r="A211">
        <v>1</v>
      </c>
      <c r="B211" t="s">
        <v>53</v>
      </c>
      <c r="C211" t="s">
        <v>1270</v>
      </c>
      <c r="D211">
        <v>18.96</v>
      </c>
      <c r="E211" t="s">
        <v>42</v>
      </c>
      <c r="F211" t="s">
        <v>15</v>
      </c>
      <c r="G211">
        <v>26.73</v>
      </c>
      <c r="H211">
        <v>11.19</v>
      </c>
      <c r="I211">
        <v>7.77</v>
      </c>
      <c r="J211">
        <v>60.372900000000001</v>
      </c>
      <c r="K211" t="str">
        <f>IFERROR(INDEX(Rosters!$C$2:$C$155,MATCH($B211,Rosters!$B$2:$B$155,0)),"NA")</f>
        <v>seth</v>
      </c>
      <c r="L211" t="str">
        <f t="shared" si="9"/>
        <v>seth1QB</v>
      </c>
      <c r="M211">
        <f>COUNTIF(L$1:L211,L211)</f>
        <v>1</v>
      </c>
      <c r="N211" t="str">
        <f t="shared" si="10"/>
        <v>seth1QB-1</v>
      </c>
      <c r="O211">
        <f>COUNTIFS(F$1:F211,F211,A$1:A211,A211)</f>
        <v>9</v>
      </c>
      <c r="P211" t="str">
        <f t="shared" si="11"/>
        <v>Russell Wilson1</v>
      </c>
    </row>
    <row r="212" spans="1:16" x14ac:dyDescent="0.25">
      <c r="A212">
        <v>2</v>
      </c>
      <c r="B212" t="s">
        <v>179</v>
      </c>
      <c r="C212" t="s">
        <v>3297</v>
      </c>
      <c r="D212">
        <v>18.95</v>
      </c>
      <c r="E212" t="s">
        <v>38</v>
      </c>
      <c r="F212" t="s">
        <v>15</v>
      </c>
      <c r="G212">
        <v>25.61</v>
      </c>
      <c r="H212">
        <v>12.29</v>
      </c>
      <c r="I212">
        <v>6.66</v>
      </c>
      <c r="J212">
        <v>44.355600000000003</v>
      </c>
      <c r="K212" t="str">
        <f>IFERROR(INDEX(Rosters!$C$2:$C$155,MATCH($B212,Rosters!$B$2:$B$155,0)),"NA")</f>
        <v>chad</v>
      </c>
      <c r="L212" t="str">
        <f t="shared" si="9"/>
        <v>chad2QB</v>
      </c>
      <c r="M212">
        <f>COUNTIF(L$1:L212,L212)</f>
        <v>1</v>
      </c>
      <c r="N212" t="str">
        <f t="shared" si="10"/>
        <v>chad2QB-1</v>
      </c>
      <c r="O212">
        <f>COUNTIFS(F$1:F212,F212,A$1:A212,A212)</f>
        <v>4</v>
      </c>
      <c r="P212" t="str">
        <f t="shared" si="11"/>
        <v>Deshaun Watson2</v>
      </c>
    </row>
    <row r="213" spans="1:16" x14ac:dyDescent="0.25">
      <c r="A213">
        <v>2</v>
      </c>
      <c r="B213" t="s">
        <v>65</v>
      </c>
      <c r="C213" t="s">
        <v>3550</v>
      </c>
      <c r="D213">
        <v>18.920000000000002</v>
      </c>
      <c r="E213" t="s">
        <v>24</v>
      </c>
      <c r="F213" t="s">
        <v>15</v>
      </c>
      <c r="G213">
        <v>26.19</v>
      </c>
      <c r="H213">
        <v>11.65</v>
      </c>
      <c r="I213">
        <v>7.27</v>
      </c>
      <c r="J213">
        <v>52.852899999999998</v>
      </c>
      <c r="K213" t="str">
        <f>IFERROR(INDEX(Rosters!$C$2:$C$155,MATCH($B213,Rosters!$B$2:$B$155,0)),"NA")</f>
        <v>lucas</v>
      </c>
      <c r="L213" t="str">
        <f t="shared" si="9"/>
        <v>lucas2QB</v>
      </c>
      <c r="M213">
        <f>COUNTIF(L$1:L213,L213)</f>
        <v>1</v>
      </c>
      <c r="N213" t="str">
        <f t="shared" si="10"/>
        <v>lucas2QB-1</v>
      </c>
      <c r="O213">
        <f>COUNTIFS(F$1:F213,F213,A$1:A213,A213)</f>
        <v>5</v>
      </c>
      <c r="P213" t="str">
        <f t="shared" si="11"/>
        <v>Ben Roethlisberger2</v>
      </c>
    </row>
    <row r="214" spans="1:16" x14ac:dyDescent="0.25">
      <c r="A214">
        <v>5</v>
      </c>
      <c r="B214" t="s">
        <v>43</v>
      </c>
      <c r="C214" t="s">
        <v>5824</v>
      </c>
      <c r="D214">
        <v>18.86</v>
      </c>
      <c r="E214" t="s">
        <v>50</v>
      </c>
      <c r="F214" t="s">
        <v>15</v>
      </c>
      <c r="G214">
        <v>27.55</v>
      </c>
      <c r="H214">
        <v>10.17</v>
      </c>
      <c r="I214">
        <v>8.69</v>
      </c>
      <c r="J214">
        <v>75.516099999999994</v>
      </c>
      <c r="K214" t="str">
        <f>IFERROR(INDEX(Rosters!$C$2:$C$155,MATCH($B214,Rosters!$B$2:$B$155,0)),"NA")</f>
        <v>NA</v>
      </c>
      <c r="L214" t="str">
        <f t="shared" si="9"/>
        <v>NA5QB</v>
      </c>
      <c r="M214">
        <f>COUNTIF(L$1:L214,L214)</f>
        <v>2</v>
      </c>
      <c r="N214" t="str">
        <f t="shared" si="10"/>
        <v>NA5QB-2</v>
      </c>
      <c r="O214">
        <f>COUNTIFS(F$1:F214,F214,A$1:A214,A214)</f>
        <v>15</v>
      </c>
      <c r="P214" t="str">
        <f t="shared" si="11"/>
        <v>Kirk Cousins5</v>
      </c>
    </row>
    <row r="215" spans="1:16" x14ac:dyDescent="0.25">
      <c r="A215">
        <v>12</v>
      </c>
      <c r="B215" t="s">
        <v>69</v>
      </c>
      <c r="C215" t="s">
        <v>5825</v>
      </c>
      <c r="D215">
        <v>18.86</v>
      </c>
      <c r="E215" t="s">
        <v>36</v>
      </c>
      <c r="F215" t="s">
        <v>15</v>
      </c>
      <c r="G215">
        <v>25.45</v>
      </c>
      <c r="H215">
        <v>12.27</v>
      </c>
      <c r="I215">
        <v>6.59</v>
      </c>
      <c r="J215">
        <v>43.428100000000001</v>
      </c>
      <c r="K215" t="str">
        <f>IFERROR(INDEX(Rosters!$C$2:$C$155,MATCH($B215,Rosters!$B$2:$B$155,0)),"NA")</f>
        <v>NA</v>
      </c>
      <c r="L215" t="str">
        <f t="shared" si="9"/>
        <v>NA12QB</v>
      </c>
      <c r="M215">
        <f>COUNTIF(L$1:L215,L215)</f>
        <v>5</v>
      </c>
      <c r="N215" t="str">
        <f t="shared" si="10"/>
        <v>NA12QB-5</v>
      </c>
      <c r="O215">
        <f>COUNTIFS(F$1:F215,F215,A$1:A215,A215)</f>
        <v>12</v>
      </c>
      <c r="P215" t="str">
        <f t="shared" si="11"/>
        <v>Marcus Mariota12</v>
      </c>
    </row>
    <row r="216" spans="1:16" x14ac:dyDescent="0.25">
      <c r="A216">
        <v>9</v>
      </c>
      <c r="B216" t="s">
        <v>71</v>
      </c>
      <c r="C216" t="s">
        <v>5826</v>
      </c>
      <c r="D216">
        <v>18.850000000000001</v>
      </c>
      <c r="E216" t="s">
        <v>30</v>
      </c>
      <c r="F216" t="s">
        <v>15</v>
      </c>
      <c r="G216">
        <v>26.17</v>
      </c>
      <c r="H216">
        <v>11.53</v>
      </c>
      <c r="I216">
        <v>7.32</v>
      </c>
      <c r="J216">
        <v>53.5824</v>
      </c>
      <c r="K216" t="str">
        <f>IFERROR(INDEX(Rosters!$C$2:$C$155,MATCH($B216,Rosters!$B$2:$B$155,0)),"NA")</f>
        <v>NA</v>
      </c>
      <c r="L216" t="str">
        <f t="shared" si="9"/>
        <v>NA9QB</v>
      </c>
      <c r="M216">
        <f>COUNTIF(L$1:L216,L216)</f>
        <v>3</v>
      </c>
      <c r="N216" t="str">
        <f t="shared" si="10"/>
        <v>NA9QB-3</v>
      </c>
      <c r="O216">
        <f>COUNTIFS(F$1:F216,F216,A$1:A216,A216)</f>
        <v>11</v>
      </c>
      <c r="P216" t="str">
        <f t="shared" si="11"/>
        <v>Derek Carr9</v>
      </c>
    </row>
    <row r="217" spans="1:16" x14ac:dyDescent="0.25">
      <c r="A217">
        <v>13</v>
      </c>
      <c r="B217" t="s">
        <v>70</v>
      </c>
      <c r="C217" t="s">
        <v>5827</v>
      </c>
      <c r="D217">
        <v>18.850000000000001</v>
      </c>
      <c r="E217" t="s">
        <v>56</v>
      </c>
      <c r="F217" t="s">
        <v>15</v>
      </c>
      <c r="G217">
        <v>26.65</v>
      </c>
      <c r="H217">
        <v>11.05</v>
      </c>
      <c r="I217">
        <v>7.8</v>
      </c>
      <c r="J217">
        <v>60.84</v>
      </c>
      <c r="K217" t="str">
        <f>IFERROR(INDEX(Rosters!$C$2:$C$155,MATCH($B217,Rosters!$B$2:$B$155,0)),"NA")</f>
        <v>aj</v>
      </c>
      <c r="L217" t="str">
        <f t="shared" si="9"/>
        <v>aj13QB</v>
      </c>
      <c r="M217">
        <f>COUNTIF(L$1:L217,L217)</f>
        <v>2</v>
      </c>
      <c r="N217" t="str">
        <f t="shared" si="10"/>
        <v>aj13QB-2</v>
      </c>
      <c r="O217">
        <f>COUNTIFS(F$1:F217,F217,A$1:A217,A217)</f>
        <v>15</v>
      </c>
      <c r="P217" t="str">
        <f t="shared" si="11"/>
        <v>Matthew Stafford13</v>
      </c>
    </row>
    <row r="218" spans="1:16" x14ac:dyDescent="0.25">
      <c r="A218">
        <v>14</v>
      </c>
      <c r="B218" t="s">
        <v>79</v>
      </c>
      <c r="C218" t="s">
        <v>5828</v>
      </c>
      <c r="D218">
        <v>18.82</v>
      </c>
      <c r="E218" t="s">
        <v>38</v>
      </c>
      <c r="F218" t="s">
        <v>15</v>
      </c>
      <c r="G218">
        <v>26</v>
      </c>
      <c r="H218">
        <v>11.64</v>
      </c>
      <c r="I218">
        <v>7.18</v>
      </c>
      <c r="J218">
        <v>51.552399999999999</v>
      </c>
      <c r="K218" t="str">
        <f>IFERROR(INDEX(Rosters!$C$2:$C$155,MATCH($B218,Rosters!$B$2:$B$155,0)),"NA")</f>
        <v>NA</v>
      </c>
      <c r="L218" t="str">
        <f t="shared" si="9"/>
        <v>NA14QB</v>
      </c>
      <c r="M218">
        <f>COUNTIF(L$1:L218,L218)</f>
        <v>3</v>
      </c>
      <c r="N218" t="str">
        <f t="shared" si="10"/>
        <v>NA14QB-3</v>
      </c>
      <c r="O218">
        <f>COUNTIFS(F$1:F218,F218,A$1:A218,A218)</f>
        <v>15</v>
      </c>
      <c r="P218" t="str">
        <f t="shared" si="11"/>
        <v>Blake Bortles14</v>
      </c>
    </row>
    <row r="219" spans="1:16" x14ac:dyDescent="0.25">
      <c r="A219">
        <v>9</v>
      </c>
      <c r="B219" t="s">
        <v>67</v>
      </c>
      <c r="C219" t="s">
        <v>5829</v>
      </c>
      <c r="D219">
        <v>18.82</v>
      </c>
      <c r="E219" t="s">
        <v>28</v>
      </c>
      <c r="F219" t="s">
        <v>15</v>
      </c>
      <c r="G219">
        <v>26.92</v>
      </c>
      <c r="H219">
        <v>10.72</v>
      </c>
      <c r="I219">
        <v>8.1</v>
      </c>
      <c r="J219">
        <v>65.61</v>
      </c>
      <c r="K219" t="str">
        <f>IFERROR(INDEX(Rosters!$C$2:$C$155,MATCH($B219,Rosters!$B$2:$B$155,0)),"NA")</f>
        <v>comp</v>
      </c>
      <c r="L219" t="str">
        <f t="shared" si="9"/>
        <v>comp9QB</v>
      </c>
      <c r="M219">
        <f>COUNTIF(L$1:L219,L219)</f>
        <v>1</v>
      </c>
      <c r="N219" t="str">
        <f t="shared" si="10"/>
        <v>comp9QB-1</v>
      </c>
      <c r="O219">
        <f>COUNTIFS(F$1:F219,F219,A$1:A219,A219)</f>
        <v>12</v>
      </c>
      <c r="P219" t="str">
        <f t="shared" si="11"/>
        <v>Philip Rivers9</v>
      </c>
    </row>
    <row r="220" spans="1:16" x14ac:dyDescent="0.25">
      <c r="A220">
        <v>9</v>
      </c>
      <c r="B220" t="s">
        <v>1100</v>
      </c>
      <c r="C220" t="s">
        <v>5830</v>
      </c>
      <c r="D220">
        <v>18.82</v>
      </c>
      <c r="E220" t="s">
        <v>14</v>
      </c>
      <c r="F220" t="s">
        <v>47</v>
      </c>
      <c r="G220">
        <v>28.84</v>
      </c>
      <c r="H220">
        <v>8.8000000000000007</v>
      </c>
      <c r="I220">
        <v>10.02</v>
      </c>
      <c r="J220">
        <v>100.4004</v>
      </c>
      <c r="K220" t="str">
        <f>IFERROR(INDEX(Rosters!$C$2:$C$155,MATCH($B220,Rosters!$B$2:$B$155,0)),"NA")</f>
        <v>chad</v>
      </c>
      <c r="L220" t="str">
        <f t="shared" si="9"/>
        <v>chad9RB</v>
      </c>
      <c r="M220">
        <f>COUNTIF(L$1:L220,L220)</f>
        <v>1</v>
      </c>
      <c r="N220" t="str">
        <f t="shared" si="10"/>
        <v>chad9RB-1</v>
      </c>
      <c r="O220">
        <f>COUNTIFS(F$1:F220,F220,A$1:A220,A220)</f>
        <v>2</v>
      </c>
      <c r="P220" t="str">
        <f t="shared" si="11"/>
        <v>Todd Gurley II9</v>
      </c>
    </row>
    <row r="221" spans="1:16" x14ac:dyDescent="0.25">
      <c r="A221">
        <v>6</v>
      </c>
      <c r="B221" t="s">
        <v>95</v>
      </c>
      <c r="C221" t="s">
        <v>5831</v>
      </c>
      <c r="D221">
        <v>18.8</v>
      </c>
      <c r="E221" t="s">
        <v>74</v>
      </c>
      <c r="F221" t="s">
        <v>15</v>
      </c>
      <c r="G221">
        <v>26.54</v>
      </c>
      <c r="H221">
        <v>11.06</v>
      </c>
      <c r="I221">
        <v>7.74</v>
      </c>
      <c r="J221">
        <v>59.907600000000002</v>
      </c>
      <c r="K221" t="str">
        <f>IFERROR(INDEX(Rosters!$C$2:$C$155,MATCH($B221,Rosters!$B$2:$B$155,0)),"NA")</f>
        <v>matty</v>
      </c>
      <c r="L221" t="str">
        <f t="shared" si="9"/>
        <v>matty6QB</v>
      </c>
      <c r="M221">
        <f>COUNTIF(L$1:L221,L221)</f>
        <v>2</v>
      </c>
      <c r="N221" t="str">
        <f t="shared" si="10"/>
        <v>matty6QB-2</v>
      </c>
      <c r="O221">
        <f>COUNTIFS(F$1:F221,F221,A$1:A221,A221)</f>
        <v>15</v>
      </c>
      <c r="P221" t="str">
        <f t="shared" si="11"/>
        <v>Alex Smith6</v>
      </c>
    </row>
    <row r="222" spans="1:16" x14ac:dyDescent="0.25">
      <c r="A222">
        <v>12</v>
      </c>
      <c r="B222" t="s">
        <v>39</v>
      </c>
      <c r="C222" t="s">
        <v>5832</v>
      </c>
      <c r="D222">
        <v>18.79</v>
      </c>
      <c r="E222" t="s">
        <v>28</v>
      </c>
      <c r="F222" t="s">
        <v>15</v>
      </c>
      <c r="G222">
        <v>25.93</v>
      </c>
      <c r="H222">
        <v>11.65</v>
      </c>
      <c r="I222">
        <v>7.14</v>
      </c>
      <c r="J222">
        <v>50.979599999999998</v>
      </c>
      <c r="K222" t="str">
        <f>IFERROR(INDEX(Rosters!$C$2:$C$155,MATCH($B222,Rosters!$B$2:$B$155,0)),"NA")</f>
        <v>devon</v>
      </c>
      <c r="L222" t="str">
        <f t="shared" si="9"/>
        <v>devon12QB</v>
      </c>
      <c r="M222">
        <f>COUNTIF(L$1:L222,L222)</f>
        <v>1</v>
      </c>
      <c r="N222" t="str">
        <f t="shared" si="10"/>
        <v>devon12QB-1</v>
      </c>
      <c r="O222">
        <f>COUNTIFS(F$1:F222,F222,A$1:A222,A222)</f>
        <v>13</v>
      </c>
      <c r="P222" t="str">
        <f t="shared" si="11"/>
        <v>Cam Newton12</v>
      </c>
    </row>
    <row r="223" spans="1:16" x14ac:dyDescent="0.25">
      <c r="A223">
        <v>16</v>
      </c>
      <c r="B223" t="s">
        <v>61</v>
      </c>
      <c r="C223" t="s">
        <v>5833</v>
      </c>
      <c r="D223">
        <v>18.73</v>
      </c>
      <c r="E223" t="s">
        <v>22</v>
      </c>
      <c r="F223" t="s">
        <v>15</v>
      </c>
      <c r="G223">
        <v>26.23</v>
      </c>
      <c r="H223">
        <v>11.23</v>
      </c>
      <c r="I223">
        <v>7.5</v>
      </c>
      <c r="J223">
        <v>56.25</v>
      </c>
      <c r="K223" t="str">
        <f>IFERROR(INDEX(Rosters!$C$2:$C$155,MATCH($B223,Rosters!$B$2:$B$155,0)),"NA")</f>
        <v>NA</v>
      </c>
      <c r="L223" t="str">
        <f t="shared" si="9"/>
        <v>NA16QB</v>
      </c>
      <c r="M223">
        <f>COUNTIF(L$1:L223,L223)</f>
        <v>4</v>
      </c>
      <c r="N223" t="str">
        <f t="shared" si="10"/>
        <v>NA16QB-4</v>
      </c>
      <c r="O223">
        <f>COUNTIFS(F$1:F223,F223,A$1:A223,A223)</f>
        <v>14</v>
      </c>
      <c r="P223" t="str">
        <f t="shared" si="11"/>
        <v>Jameis Winston16</v>
      </c>
    </row>
    <row r="224" spans="1:16" x14ac:dyDescent="0.25">
      <c r="A224">
        <v>3</v>
      </c>
      <c r="B224" t="s">
        <v>95</v>
      </c>
      <c r="C224" t="s">
        <v>3613</v>
      </c>
      <c r="D224">
        <v>18.71</v>
      </c>
      <c r="E224" t="s">
        <v>41</v>
      </c>
      <c r="F224" t="s">
        <v>15</v>
      </c>
      <c r="G224">
        <v>25.55</v>
      </c>
      <c r="H224">
        <v>11.87</v>
      </c>
      <c r="I224">
        <v>6.84</v>
      </c>
      <c r="J224">
        <v>46.785600000000002</v>
      </c>
      <c r="K224" t="str">
        <f>IFERROR(INDEX(Rosters!$C$2:$C$155,MATCH($B224,Rosters!$B$2:$B$155,0)),"NA")</f>
        <v>matty</v>
      </c>
      <c r="L224" t="str">
        <f t="shared" si="9"/>
        <v>matty3QB</v>
      </c>
      <c r="M224">
        <f>COUNTIF(L$1:L224,L224)</f>
        <v>2</v>
      </c>
      <c r="N224" t="str">
        <f t="shared" si="10"/>
        <v>matty3QB-2</v>
      </c>
      <c r="O224">
        <f>COUNTIFS(F$1:F224,F224,A$1:A224,A224)</f>
        <v>13</v>
      </c>
      <c r="P224" t="str">
        <f t="shared" si="11"/>
        <v>Alex Smith3</v>
      </c>
    </row>
    <row r="225" spans="1:16" x14ac:dyDescent="0.25">
      <c r="A225">
        <v>5</v>
      </c>
      <c r="B225" t="s">
        <v>63</v>
      </c>
      <c r="C225" t="s">
        <v>5834</v>
      </c>
      <c r="D225">
        <v>18.71</v>
      </c>
      <c r="E225" t="s">
        <v>19</v>
      </c>
      <c r="F225" t="s">
        <v>15</v>
      </c>
      <c r="G225">
        <v>26.27</v>
      </c>
      <c r="H225">
        <v>11.15</v>
      </c>
      <c r="I225">
        <v>7.56</v>
      </c>
      <c r="J225">
        <v>57.153599999999997</v>
      </c>
      <c r="K225" t="str">
        <f>IFERROR(INDEX(Rosters!$C$2:$C$155,MATCH($B225,Rosters!$B$2:$B$155,0)),"NA")</f>
        <v>scott</v>
      </c>
      <c r="L225" t="str">
        <f t="shared" si="9"/>
        <v>scott5QB</v>
      </c>
      <c r="M225">
        <f>COUNTIF(L$1:L225,L225)</f>
        <v>2</v>
      </c>
      <c r="N225" t="str">
        <f t="shared" si="10"/>
        <v>scott5QB-2</v>
      </c>
      <c r="O225">
        <f>COUNTIFS(F$1:F225,F225,A$1:A225,A225)</f>
        <v>16</v>
      </c>
      <c r="P225" t="str">
        <f t="shared" si="11"/>
        <v>Andy Dalton5</v>
      </c>
    </row>
    <row r="226" spans="1:16" x14ac:dyDescent="0.25">
      <c r="A226">
        <v>2</v>
      </c>
      <c r="B226" t="s">
        <v>70</v>
      </c>
      <c r="C226" t="s">
        <v>1271</v>
      </c>
      <c r="D226">
        <v>18.68</v>
      </c>
      <c r="E226" t="s">
        <v>30</v>
      </c>
      <c r="F226" t="s">
        <v>15</v>
      </c>
      <c r="G226">
        <v>26</v>
      </c>
      <c r="H226">
        <v>11.36</v>
      </c>
      <c r="I226">
        <v>7.32</v>
      </c>
      <c r="J226">
        <v>53.5824</v>
      </c>
      <c r="K226" t="str">
        <f>IFERROR(INDEX(Rosters!$C$2:$C$155,MATCH($B226,Rosters!$B$2:$B$155,0)),"NA")</f>
        <v>aj</v>
      </c>
      <c r="L226" t="str">
        <f t="shared" si="9"/>
        <v>aj2QB</v>
      </c>
      <c r="M226">
        <f>COUNTIF(L$1:L226,L226)</f>
        <v>1</v>
      </c>
      <c r="N226" t="str">
        <f t="shared" si="10"/>
        <v>aj2QB-1</v>
      </c>
      <c r="O226">
        <f>COUNTIFS(F$1:F226,F226,A$1:A226,A226)</f>
        <v>6</v>
      </c>
      <c r="P226" t="str">
        <f t="shared" si="11"/>
        <v>Matthew Stafford2</v>
      </c>
    </row>
    <row r="227" spans="1:16" x14ac:dyDescent="0.25">
      <c r="A227">
        <v>1</v>
      </c>
      <c r="B227" t="s">
        <v>63</v>
      </c>
      <c r="C227" t="s">
        <v>3298</v>
      </c>
      <c r="D227">
        <v>18.670000000000002</v>
      </c>
      <c r="E227" t="s">
        <v>66</v>
      </c>
      <c r="F227" t="s">
        <v>15</v>
      </c>
      <c r="G227">
        <v>25.62</v>
      </c>
      <c r="H227">
        <v>11.72</v>
      </c>
      <c r="I227">
        <v>6.95</v>
      </c>
      <c r="J227">
        <v>48.302500000000002</v>
      </c>
      <c r="K227" t="str">
        <f>IFERROR(INDEX(Rosters!$C$2:$C$155,MATCH($B227,Rosters!$B$2:$B$155,0)),"NA")</f>
        <v>scott</v>
      </c>
      <c r="L227" t="str">
        <f t="shared" si="9"/>
        <v>scott1QB</v>
      </c>
      <c r="M227">
        <f>COUNTIF(L$1:L227,L227)</f>
        <v>2</v>
      </c>
      <c r="N227" t="str">
        <f t="shared" si="10"/>
        <v>scott1QB-2</v>
      </c>
      <c r="O227">
        <f>COUNTIFS(F$1:F227,F227,A$1:A227,A227)</f>
        <v>10</v>
      </c>
      <c r="P227" t="str">
        <f t="shared" si="11"/>
        <v>Andy Dalton1</v>
      </c>
    </row>
    <row r="228" spans="1:16" x14ac:dyDescent="0.25">
      <c r="A228">
        <v>7</v>
      </c>
      <c r="B228" t="s">
        <v>70</v>
      </c>
      <c r="C228" t="s">
        <v>5835</v>
      </c>
      <c r="D228">
        <v>18.66</v>
      </c>
      <c r="E228" t="s">
        <v>19</v>
      </c>
      <c r="F228" t="s">
        <v>15</v>
      </c>
      <c r="G228">
        <v>27.5</v>
      </c>
      <c r="H228">
        <v>9.82</v>
      </c>
      <c r="I228">
        <v>8.84</v>
      </c>
      <c r="J228">
        <v>78.145600000000002</v>
      </c>
      <c r="K228" t="str">
        <f>IFERROR(INDEX(Rosters!$C$2:$C$155,MATCH($B228,Rosters!$B$2:$B$155,0)),"NA")</f>
        <v>aj</v>
      </c>
      <c r="L228" t="str">
        <f t="shared" si="9"/>
        <v>aj7QB</v>
      </c>
      <c r="M228">
        <f>COUNTIF(L$1:L228,L228)</f>
        <v>2</v>
      </c>
      <c r="N228" t="str">
        <f t="shared" si="10"/>
        <v>aj7QB-2</v>
      </c>
      <c r="O228">
        <f>COUNTIFS(F$1:F228,F228,A$1:A228,A228)</f>
        <v>9</v>
      </c>
      <c r="P228" t="str">
        <f t="shared" si="11"/>
        <v>Matthew Stafford7</v>
      </c>
    </row>
    <row r="229" spans="1:16" x14ac:dyDescent="0.25">
      <c r="A229">
        <v>2</v>
      </c>
      <c r="B229" t="s">
        <v>302</v>
      </c>
      <c r="C229" t="s">
        <v>3551</v>
      </c>
      <c r="D229">
        <v>18.649999999999999</v>
      </c>
      <c r="E229" t="s">
        <v>51</v>
      </c>
      <c r="F229" t="s">
        <v>15</v>
      </c>
      <c r="G229">
        <v>26.22</v>
      </c>
      <c r="H229">
        <v>11.08</v>
      </c>
      <c r="I229">
        <v>7.57</v>
      </c>
      <c r="J229">
        <v>57.304900000000004</v>
      </c>
      <c r="K229" t="str">
        <f>IFERROR(INDEX(Rosters!$C$2:$C$155,MATCH($B229,Rosters!$B$2:$B$155,0)),"NA")</f>
        <v>matty</v>
      </c>
      <c r="L229" t="str">
        <f t="shared" si="9"/>
        <v>matty2QB</v>
      </c>
      <c r="M229">
        <f>COUNTIF(L$1:L229,L229)</f>
        <v>2</v>
      </c>
      <c r="N229" t="str">
        <f t="shared" si="10"/>
        <v>matty2QB-2</v>
      </c>
      <c r="O229">
        <f>COUNTIFS(F$1:F229,F229,A$1:A229,A229)</f>
        <v>7</v>
      </c>
      <c r="P229" t="str">
        <f t="shared" si="11"/>
        <v>Patrick Mahomes2</v>
      </c>
    </row>
    <row r="230" spans="1:16" x14ac:dyDescent="0.25">
      <c r="A230">
        <v>4</v>
      </c>
      <c r="B230" t="s">
        <v>53</v>
      </c>
      <c r="C230" t="s">
        <v>4405</v>
      </c>
      <c r="D230">
        <v>18.649999999999999</v>
      </c>
      <c r="E230" t="s">
        <v>58</v>
      </c>
      <c r="F230" t="s">
        <v>15</v>
      </c>
      <c r="G230">
        <v>26.36</v>
      </c>
      <c r="H230">
        <v>10.94</v>
      </c>
      <c r="I230">
        <v>7.71</v>
      </c>
      <c r="J230">
        <v>59.444099999999999</v>
      </c>
      <c r="K230" t="str">
        <f>IFERROR(INDEX(Rosters!$C$2:$C$155,MATCH($B230,Rosters!$B$2:$B$155,0)),"NA")</f>
        <v>seth</v>
      </c>
      <c r="L230" t="str">
        <f t="shared" si="9"/>
        <v>seth4QB</v>
      </c>
      <c r="M230">
        <f>COUNTIF(L$1:L230,L230)</f>
        <v>1</v>
      </c>
      <c r="N230" t="str">
        <f t="shared" si="10"/>
        <v>seth4QB-1</v>
      </c>
      <c r="O230">
        <f>COUNTIFS(F$1:F230,F230,A$1:A230,A230)</f>
        <v>10</v>
      </c>
      <c r="P230" t="str">
        <f t="shared" si="11"/>
        <v>Russell Wilson4</v>
      </c>
    </row>
    <row r="231" spans="1:16" x14ac:dyDescent="0.25">
      <c r="A231">
        <v>11</v>
      </c>
      <c r="B231" t="s">
        <v>13</v>
      </c>
      <c r="C231" t="s">
        <v>5836</v>
      </c>
      <c r="D231">
        <v>18.64</v>
      </c>
      <c r="E231" t="s">
        <v>28</v>
      </c>
      <c r="F231" t="s">
        <v>15</v>
      </c>
      <c r="G231">
        <v>26.82</v>
      </c>
      <c r="H231">
        <v>10.46</v>
      </c>
      <c r="I231">
        <v>8.18</v>
      </c>
      <c r="J231">
        <v>66.912400000000005</v>
      </c>
      <c r="K231" t="str">
        <f>IFERROR(INDEX(Rosters!$C$2:$C$155,MATCH($B231,Rosters!$B$2:$B$155,0)),"NA")</f>
        <v>cory</v>
      </c>
      <c r="L231" t="str">
        <f t="shared" si="9"/>
        <v>cory11QB</v>
      </c>
      <c r="M231">
        <f>COUNTIF(L$1:L231,L231)</f>
        <v>2</v>
      </c>
      <c r="N231" t="str">
        <f t="shared" si="10"/>
        <v>cory11QB-2</v>
      </c>
      <c r="O231">
        <f>COUNTIFS(F$1:F231,F231,A$1:A231,A231)</f>
        <v>12</v>
      </c>
      <c r="P231" t="str">
        <f t="shared" si="11"/>
        <v>Aaron Rodgers11</v>
      </c>
    </row>
    <row r="232" spans="1:16" x14ac:dyDescent="0.25">
      <c r="A232">
        <v>2</v>
      </c>
      <c r="B232" t="s">
        <v>67</v>
      </c>
      <c r="C232" t="s">
        <v>3299</v>
      </c>
      <c r="D232">
        <v>18.64</v>
      </c>
      <c r="E232" t="s">
        <v>29</v>
      </c>
      <c r="F232" t="s">
        <v>15</v>
      </c>
      <c r="G232">
        <v>27.05</v>
      </c>
      <c r="H232">
        <v>10.23</v>
      </c>
      <c r="I232">
        <v>8.41</v>
      </c>
      <c r="J232">
        <v>70.728099999999998</v>
      </c>
      <c r="K232" t="str">
        <f>IFERROR(INDEX(Rosters!$C$2:$C$155,MATCH($B232,Rosters!$B$2:$B$155,0)),"NA")</f>
        <v>comp</v>
      </c>
      <c r="L232" t="str">
        <f t="shared" si="9"/>
        <v>comp2QB</v>
      </c>
      <c r="M232">
        <f>COUNTIF(L$1:L232,L232)</f>
        <v>1</v>
      </c>
      <c r="N232" t="str">
        <f t="shared" si="10"/>
        <v>comp2QB-1</v>
      </c>
      <c r="O232">
        <f>COUNTIFS(F$1:F232,F232,A$1:A232,A232)</f>
        <v>8</v>
      </c>
      <c r="P232" t="str">
        <f t="shared" si="11"/>
        <v>Philip Rivers2</v>
      </c>
    </row>
    <row r="233" spans="1:16" x14ac:dyDescent="0.25">
      <c r="A233">
        <v>4</v>
      </c>
      <c r="B233" t="s">
        <v>63</v>
      </c>
      <c r="C233" t="s">
        <v>4406</v>
      </c>
      <c r="D233">
        <v>18.63</v>
      </c>
      <c r="E233" t="s">
        <v>46</v>
      </c>
      <c r="F233" t="s">
        <v>15</v>
      </c>
      <c r="G233">
        <v>25.12</v>
      </c>
      <c r="H233">
        <v>12.14</v>
      </c>
      <c r="I233">
        <v>6.49</v>
      </c>
      <c r="J233">
        <v>42.120100000000001</v>
      </c>
      <c r="K233" t="str">
        <f>IFERROR(INDEX(Rosters!$C$2:$C$155,MATCH($B233,Rosters!$B$2:$B$155,0)),"NA")</f>
        <v>scott</v>
      </c>
      <c r="L233" t="str">
        <f t="shared" si="9"/>
        <v>scott4QB</v>
      </c>
      <c r="M233">
        <f>COUNTIF(L$1:L233,L233)</f>
        <v>2</v>
      </c>
      <c r="N233" t="str">
        <f t="shared" si="10"/>
        <v>scott4QB-2</v>
      </c>
      <c r="O233">
        <f>COUNTIFS(F$1:F233,F233,A$1:A233,A233)</f>
        <v>11</v>
      </c>
      <c r="P233" t="str">
        <f t="shared" si="11"/>
        <v>Andy Dalton4</v>
      </c>
    </row>
    <row r="234" spans="1:16" x14ac:dyDescent="0.25">
      <c r="A234">
        <v>10</v>
      </c>
      <c r="B234" t="s">
        <v>302</v>
      </c>
      <c r="C234" t="s">
        <v>5837</v>
      </c>
      <c r="D234">
        <v>18.63</v>
      </c>
      <c r="E234" t="s">
        <v>58</v>
      </c>
      <c r="F234" t="s">
        <v>15</v>
      </c>
      <c r="G234">
        <v>26.91</v>
      </c>
      <c r="H234">
        <v>10.35</v>
      </c>
      <c r="I234">
        <v>8.2799999999999994</v>
      </c>
      <c r="J234">
        <v>68.558400000000006</v>
      </c>
      <c r="K234" t="str">
        <f>IFERROR(INDEX(Rosters!$C$2:$C$155,MATCH($B234,Rosters!$B$2:$B$155,0)),"NA")</f>
        <v>matty</v>
      </c>
      <c r="L234" t="str">
        <f t="shared" si="9"/>
        <v>matty10QB</v>
      </c>
      <c r="M234">
        <f>COUNTIF(L$1:L234,L234)</f>
        <v>2</v>
      </c>
      <c r="N234" t="str">
        <f t="shared" si="10"/>
        <v>matty10QB-2</v>
      </c>
      <c r="O234">
        <f>COUNTIFS(F$1:F234,F234,A$1:A234,A234)</f>
        <v>13</v>
      </c>
      <c r="P234" t="str">
        <f t="shared" si="11"/>
        <v>Patrick Mahomes10</v>
      </c>
    </row>
    <row r="235" spans="1:16" x14ac:dyDescent="0.25">
      <c r="A235">
        <v>8</v>
      </c>
      <c r="B235" t="s">
        <v>95</v>
      </c>
      <c r="C235" t="s">
        <v>5838</v>
      </c>
      <c r="D235">
        <v>18.61</v>
      </c>
      <c r="E235" t="s">
        <v>54</v>
      </c>
      <c r="F235" t="s">
        <v>15</v>
      </c>
      <c r="G235">
        <v>25.17</v>
      </c>
      <c r="H235">
        <v>12.05</v>
      </c>
      <c r="I235">
        <v>6.56</v>
      </c>
      <c r="J235">
        <v>43.0336</v>
      </c>
      <c r="K235" t="str">
        <f>IFERROR(INDEX(Rosters!$C$2:$C$155,MATCH($B235,Rosters!$B$2:$B$155,0)),"NA")</f>
        <v>matty</v>
      </c>
      <c r="L235" t="str">
        <f t="shared" si="9"/>
        <v>matty8QB</v>
      </c>
      <c r="M235">
        <f>COUNTIF(L$1:L235,L235)</f>
        <v>2</v>
      </c>
      <c r="N235" t="str">
        <f t="shared" si="10"/>
        <v>matty8QB-2</v>
      </c>
      <c r="O235">
        <f>COUNTIFS(F$1:F235,F235,A$1:A235,A235)</f>
        <v>14</v>
      </c>
      <c r="P235" t="str">
        <f t="shared" si="11"/>
        <v>Alex Smith8</v>
      </c>
    </row>
    <row r="236" spans="1:16" x14ac:dyDescent="0.25">
      <c r="A236">
        <v>15</v>
      </c>
      <c r="B236" t="s">
        <v>79</v>
      </c>
      <c r="C236" t="s">
        <v>5839</v>
      </c>
      <c r="D236">
        <v>18.61</v>
      </c>
      <c r="E236" t="s">
        <v>60</v>
      </c>
      <c r="F236" t="s">
        <v>15</v>
      </c>
      <c r="G236">
        <v>25.09</v>
      </c>
      <c r="H236">
        <v>12.13</v>
      </c>
      <c r="I236">
        <v>6.48</v>
      </c>
      <c r="J236">
        <v>41.990400000000001</v>
      </c>
      <c r="K236" t="str">
        <f>IFERROR(INDEX(Rosters!$C$2:$C$155,MATCH($B236,Rosters!$B$2:$B$155,0)),"NA")</f>
        <v>NA</v>
      </c>
      <c r="L236" t="str">
        <f t="shared" si="9"/>
        <v>NA15QB</v>
      </c>
      <c r="M236">
        <f>COUNTIF(L$1:L236,L236)</f>
        <v>3</v>
      </c>
      <c r="N236" t="str">
        <f t="shared" si="10"/>
        <v>NA15QB-3</v>
      </c>
      <c r="O236">
        <f>COUNTIFS(F$1:F236,F236,A$1:A236,A236)</f>
        <v>12</v>
      </c>
      <c r="P236" t="str">
        <f t="shared" si="11"/>
        <v>Blake Bortles15</v>
      </c>
    </row>
    <row r="237" spans="1:16" x14ac:dyDescent="0.25">
      <c r="A237">
        <v>2</v>
      </c>
      <c r="B237" t="s">
        <v>53</v>
      </c>
      <c r="C237" t="s">
        <v>3300</v>
      </c>
      <c r="D237">
        <v>18.59</v>
      </c>
      <c r="E237" t="s">
        <v>72</v>
      </c>
      <c r="F237" t="s">
        <v>15</v>
      </c>
      <c r="G237">
        <v>26.05</v>
      </c>
      <c r="H237">
        <v>11.13</v>
      </c>
      <c r="I237">
        <v>7.46</v>
      </c>
      <c r="J237">
        <v>55.651600000000002</v>
      </c>
      <c r="K237" t="str">
        <f>IFERROR(INDEX(Rosters!$C$2:$C$155,MATCH($B237,Rosters!$B$2:$B$155,0)),"NA")</f>
        <v>seth</v>
      </c>
      <c r="L237" t="str">
        <f t="shared" si="9"/>
        <v>seth2QB</v>
      </c>
      <c r="M237">
        <f>COUNTIF(L$1:L237,L237)</f>
        <v>1</v>
      </c>
      <c r="N237" t="str">
        <f t="shared" si="10"/>
        <v>seth2QB-1</v>
      </c>
      <c r="O237">
        <f>COUNTIFS(F$1:F237,F237,A$1:A237,A237)</f>
        <v>9</v>
      </c>
      <c r="P237" t="str">
        <f t="shared" si="11"/>
        <v>Russell Wilson2</v>
      </c>
    </row>
    <row r="238" spans="1:16" x14ac:dyDescent="0.25">
      <c r="A238">
        <v>11</v>
      </c>
      <c r="B238" t="s">
        <v>75</v>
      </c>
      <c r="C238" t="s">
        <v>5840</v>
      </c>
      <c r="D238">
        <v>18.57</v>
      </c>
      <c r="E238" t="s">
        <v>17</v>
      </c>
      <c r="F238" t="s">
        <v>15</v>
      </c>
      <c r="G238">
        <v>25.75</v>
      </c>
      <c r="H238">
        <v>11.39</v>
      </c>
      <c r="I238">
        <v>7.18</v>
      </c>
      <c r="J238">
        <v>51.552399999999999</v>
      </c>
      <c r="K238" t="str">
        <f>IFERROR(INDEX(Rosters!$C$2:$C$155,MATCH($B238,Rosters!$B$2:$B$155,0)),"NA")</f>
        <v>NA</v>
      </c>
      <c r="L238" t="str">
        <f t="shared" si="9"/>
        <v>NA11QB</v>
      </c>
      <c r="M238">
        <f>COUNTIF(L$1:L238,L238)</f>
        <v>3</v>
      </c>
      <c r="N238" t="str">
        <f t="shared" si="10"/>
        <v>NA11QB-3</v>
      </c>
      <c r="O238">
        <f>COUNTIFS(F$1:F238,F238,A$1:A238,A238)</f>
        <v>13</v>
      </c>
      <c r="P238" t="str">
        <f t="shared" si="11"/>
        <v>Eli Manning11</v>
      </c>
    </row>
    <row r="239" spans="1:16" x14ac:dyDescent="0.25">
      <c r="A239">
        <v>9</v>
      </c>
      <c r="B239" t="s">
        <v>65</v>
      </c>
      <c r="C239" t="s">
        <v>5841</v>
      </c>
      <c r="D239">
        <v>18.53</v>
      </c>
      <c r="E239" t="s">
        <v>77</v>
      </c>
      <c r="F239" t="s">
        <v>15</v>
      </c>
      <c r="G239">
        <v>26.58</v>
      </c>
      <c r="H239">
        <v>10.48</v>
      </c>
      <c r="I239">
        <v>8.0500000000000007</v>
      </c>
      <c r="J239">
        <v>64.802499999999995</v>
      </c>
      <c r="K239" t="str">
        <f>IFERROR(INDEX(Rosters!$C$2:$C$155,MATCH($B239,Rosters!$B$2:$B$155,0)),"NA")</f>
        <v>lucas</v>
      </c>
      <c r="L239" t="str">
        <f t="shared" si="9"/>
        <v>lucas9QB</v>
      </c>
      <c r="M239">
        <f>COUNTIF(L$1:L239,L239)</f>
        <v>2</v>
      </c>
      <c r="N239" t="str">
        <f t="shared" si="10"/>
        <v>lucas9QB-2</v>
      </c>
      <c r="O239">
        <f>COUNTIFS(F$1:F239,F239,A$1:A239,A239)</f>
        <v>13</v>
      </c>
      <c r="P239" t="str">
        <f t="shared" si="11"/>
        <v>Ben Roethlisberger9</v>
      </c>
    </row>
    <row r="240" spans="1:16" x14ac:dyDescent="0.25">
      <c r="A240">
        <v>11</v>
      </c>
      <c r="B240" t="s">
        <v>59</v>
      </c>
      <c r="C240" t="s">
        <v>5842</v>
      </c>
      <c r="D240">
        <v>18.53</v>
      </c>
      <c r="E240" t="s">
        <v>46</v>
      </c>
      <c r="F240" t="s">
        <v>15</v>
      </c>
      <c r="G240">
        <v>25.66</v>
      </c>
      <c r="H240">
        <v>11.4</v>
      </c>
      <c r="I240">
        <v>7.13</v>
      </c>
      <c r="J240">
        <v>50.8369</v>
      </c>
      <c r="K240" t="str">
        <f>IFERROR(INDEX(Rosters!$C$2:$C$155,MATCH($B240,Rosters!$B$2:$B$155,0)),"NA")</f>
        <v>NA</v>
      </c>
      <c r="L240" t="str">
        <f t="shared" si="9"/>
        <v>NA11QB</v>
      </c>
      <c r="M240">
        <f>COUNTIF(L$1:L240,L240)</f>
        <v>4</v>
      </c>
      <c r="N240" t="str">
        <f t="shared" si="10"/>
        <v>NA11QB-4</v>
      </c>
      <c r="O240">
        <f>COUNTIFS(F$1:F240,F240,A$1:A240,A240)</f>
        <v>14</v>
      </c>
      <c r="P240" t="str">
        <f t="shared" si="11"/>
        <v>Dak Prescott11</v>
      </c>
    </row>
    <row r="241" spans="1:16" x14ac:dyDescent="0.25">
      <c r="A241">
        <v>17</v>
      </c>
      <c r="B241" t="s">
        <v>59</v>
      </c>
      <c r="C241" t="s">
        <v>5843</v>
      </c>
      <c r="D241">
        <v>18.53</v>
      </c>
      <c r="E241" t="s">
        <v>54</v>
      </c>
      <c r="F241" t="s">
        <v>15</v>
      </c>
      <c r="G241">
        <v>25.83</v>
      </c>
      <c r="H241">
        <v>11.23</v>
      </c>
      <c r="I241">
        <v>7.3</v>
      </c>
      <c r="J241">
        <v>53.29</v>
      </c>
      <c r="K241" t="str">
        <f>IFERROR(INDEX(Rosters!$C$2:$C$155,MATCH($B241,Rosters!$B$2:$B$155,0)),"NA")</f>
        <v>NA</v>
      </c>
      <c r="L241" t="str">
        <f t="shared" si="9"/>
        <v>NA17QB</v>
      </c>
      <c r="M241">
        <f>COUNTIF(L$1:L241,L241)</f>
        <v>4</v>
      </c>
      <c r="N241" t="str">
        <f t="shared" si="10"/>
        <v>NA17QB-4</v>
      </c>
      <c r="O241">
        <f>COUNTIFS(F$1:F241,F241,A$1:A241,A241)</f>
        <v>14</v>
      </c>
      <c r="P241" t="str">
        <f t="shared" si="11"/>
        <v>Dak Prescott17</v>
      </c>
    </row>
    <row r="242" spans="1:16" x14ac:dyDescent="0.25">
      <c r="A242">
        <v>11</v>
      </c>
      <c r="B242" t="s">
        <v>43</v>
      </c>
      <c r="C242" t="s">
        <v>5844</v>
      </c>
      <c r="D242">
        <v>18.53</v>
      </c>
      <c r="E242" t="s">
        <v>72</v>
      </c>
      <c r="F242" t="s">
        <v>15</v>
      </c>
      <c r="G242">
        <v>26.1</v>
      </c>
      <c r="H242">
        <v>10.96</v>
      </c>
      <c r="I242">
        <v>7.57</v>
      </c>
      <c r="J242">
        <v>57.304900000000004</v>
      </c>
      <c r="K242" t="str">
        <f>IFERROR(INDEX(Rosters!$C$2:$C$155,MATCH($B242,Rosters!$B$2:$B$155,0)),"NA")</f>
        <v>NA</v>
      </c>
      <c r="L242" t="str">
        <f t="shared" si="9"/>
        <v>NA11QB</v>
      </c>
      <c r="M242">
        <f>COUNTIF(L$1:L242,L242)</f>
        <v>5</v>
      </c>
      <c r="N242" t="str">
        <f t="shared" si="10"/>
        <v>NA11QB-5</v>
      </c>
      <c r="O242">
        <f>COUNTIFS(F$1:F242,F242,A$1:A242,A242)</f>
        <v>15</v>
      </c>
      <c r="P242" t="str">
        <f t="shared" si="11"/>
        <v>Kirk Cousins11</v>
      </c>
    </row>
    <row r="243" spans="1:16" x14ac:dyDescent="0.25">
      <c r="A243">
        <v>12</v>
      </c>
      <c r="B243" t="s">
        <v>67</v>
      </c>
      <c r="C243" t="s">
        <v>5845</v>
      </c>
      <c r="D243">
        <v>18.510000000000002</v>
      </c>
      <c r="E243" t="s">
        <v>58</v>
      </c>
      <c r="F243" t="s">
        <v>15</v>
      </c>
      <c r="G243">
        <v>26.72</v>
      </c>
      <c r="H243">
        <v>10.3</v>
      </c>
      <c r="I243">
        <v>8.2100000000000009</v>
      </c>
      <c r="J243">
        <v>67.4041</v>
      </c>
      <c r="K243" t="str">
        <f>IFERROR(INDEX(Rosters!$C$2:$C$155,MATCH($B243,Rosters!$B$2:$B$155,0)),"NA")</f>
        <v>comp</v>
      </c>
      <c r="L243" t="str">
        <f t="shared" si="9"/>
        <v>comp12QB</v>
      </c>
      <c r="M243">
        <f>COUNTIF(L$1:L243,L243)</f>
        <v>1</v>
      </c>
      <c r="N243" t="str">
        <f t="shared" si="10"/>
        <v>comp12QB-1</v>
      </c>
      <c r="O243">
        <f>COUNTIFS(F$1:F243,F243,A$1:A243,A243)</f>
        <v>14</v>
      </c>
      <c r="P243" t="str">
        <f t="shared" si="11"/>
        <v>Philip Rivers12</v>
      </c>
    </row>
    <row r="244" spans="1:16" x14ac:dyDescent="0.25">
      <c r="A244">
        <v>14</v>
      </c>
      <c r="B244" t="s">
        <v>1100</v>
      </c>
      <c r="C244" t="s">
        <v>5846</v>
      </c>
      <c r="D244">
        <v>18.510000000000002</v>
      </c>
      <c r="E244" t="s">
        <v>72</v>
      </c>
      <c r="F244" t="s">
        <v>47</v>
      </c>
      <c r="G244">
        <v>27.79</v>
      </c>
      <c r="H244">
        <v>9.23</v>
      </c>
      <c r="I244">
        <v>9.2799999999999994</v>
      </c>
      <c r="J244">
        <v>86.118399999999994</v>
      </c>
      <c r="K244" t="str">
        <f>IFERROR(INDEX(Rosters!$C$2:$C$155,MATCH($B244,Rosters!$B$2:$B$155,0)),"NA")</f>
        <v>chad</v>
      </c>
      <c r="L244" t="str">
        <f t="shared" si="9"/>
        <v>chad14RB</v>
      </c>
      <c r="M244">
        <f>COUNTIF(L$1:L244,L244)</f>
        <v>1</v>
      </c>
      <c r="N244" t="str">
        <f t="shared" si="10"/>
        <v>chad14RB-1</v>
      </c>
      <c r="O244">
        <f>COUNTIFS(F$1:F244,F244,A$1:A244,A244)</f>
        <v>1</v>
      </c>
      <c r="P244" t="str">
        <f t="shared" si="11"/>
        <v>Todd Gurley II14</v>
      </c>
    </row>
    <row r="245" spans="1:16" x14ac:dyDescent="0.25">
      <c r="A245">
        <v>16</v>
      </c>
      <c r="B245" t="s">
        <v>179</v>
      </c>
      <c r="C245" t="s">
        <v>5847</v>
      </c>
      <c r="D245">
        <v>18.5</v>
      </c>
      <c r="E245" t="s">
        <v>50</v>
      </c>
      <c r="F245" t="s">
        <v>15</v>
      </c>
      <c r="G245">
        <v>25.82</v>
      </c>
      <c r="H245">
        <v>11.18</v>
      </c>
      <c r="I245">
        <v>7.32</v>
      </c>
      <c r="J245">
        <v>53.5824</v>
      </c>
      <c r="K245" t="str">
        <f>IFERROR(INDEX(Rosters!$C$2:$C$155,MATCH($B245,Rosters!$B$2:$B$155,0)),"NA")</f>
        <v>chad</v>
      </c>
      <c r="L245" t="str">
        <f t="shared" si="9"/>
        <v>chad16QB</v>
      </c>
      <c r="M245">
        <f>COUNTIF(L$1:L245,L245)</f>
        <v>1</v>
      </c>
      <c r="N245" t="str">
        <f t="shared" si="10"/>
        <v>chad16QB-1</v>
      </c>
      <c r="O245">
        <f>COUNTIFS(F$1:F245,F245,A$1:A245,A245)</f>
        <v>15</v>
      </c>
      <c r="P245" t="str">
        <f t="shared" si="11"/>
        <v>Deshaun Watson16</v>
      </c>
    </row>
    <row r="246" spans="1:16" x14ac:dyDescent="0.25">
      <c r="A246">
        <v>15</v>
      </c>
      <c r="B246" t="s">
        <v>83</v>
      </c>
      <c r="C246" t="s">
        <v>5848</v>
      </c>
      <c r="D246">
        <v>18.5</v>
      </c>
      <c r="E246" t="s">
        <v>50</v>
      </c>
      <c r="F246" t="s">
        <v>15</v>
      </c>
      <c r="G246">
        <v>26.1</v>
      </c>
      <c r="H246">
        <v>10.9</v>
      </c>
      <c r="I246">
        <v>7.6</v>
      </c>
      <c r="J246">
        <v>57.76</v>
      </c>
      <c r="K246" t="str">
        <f>IFERROR(INDEX(Rosters!$C$2:$C$155,MATCH($B246,Rosters!$B$2:$B$155,0)),"NA")</f>
        <v>cory</v>
      </c>
      <c r="L246" t="str">
        <f t="shared" si="9"/>
        <v>cory15QB</v>
      </c>
      <c r="M246">
        <f>COUNTIF(L$1:L246,L246)</f>
        <v>2</v>
      </c>
      <c r="N246" t="str">
        <f t="shared" si="10"/>
        <v>cory15QB-2</v>
      </c>
      <c r="O246">
        <f>COUNTIFS(F$1:F246,F246,A$1:A246,A246)</f>
        <v>13</v>
      </c>
      <c r="P246" t="str">
        <f t="shared" si="11"/>
        <v>Jared Goff15</v>
      </c>
    </row>
    <row r="247" spans="1:16" x14ac:dyDescent="0.25">
      <c r="A247">
        <v>2</v>
      </c>
      <c r="B247" t="s">
        <v>257</v>
      </c>
      <c r="C247" t="s">
        <v>1272</v>
      </c>
      <c r="D247">
        <v>18.489999999999998</v>
      </c>
      <c r="E247" t="s">
        <v>52</v>
      </c>
      <c r="F247" t="s">
        <v>47</v>
      </c>
      <c r="G247">
        <v>27.01</v>
      </c>
      <c r="H247">
        <v>9.9700000000000006</v>
      </c>
      <c r="I247">
        <v>8.52</v>
      </c>
      <c r="J247">
        <v>72.590400000000002</v>
      </c>
      <c r="K247" t="str">
        <f>IFERROR(INDEX(Rosters!$C$2:$C$155,MATCH($B247,Rosters!$B$2:$B$155,0)),"NA")</f>
        <v>scott</v>
      </c>
      <c r="L247" t="str">
        <f t="shared" si="9"/>
        <v>scott2RB</v>
      </c>
      <c r="M247">
        <f>COUNTIF(L$1:L247,L247)</f>
        <v>1</v>
      </c>
      <c r="N247" t="str">
        <f t="shared" si="10"/>
        <v>scott2RB-1</v>
      </c>
      <c r="O247">
        <f>COUNTIFS(F$1:F247,F247,A$1:A247,A247)</f>
        <v>1</v>
      </c>
      <c r="P247" t="str">
        <f t="shared" si="11"/>
        <v>Alvin Kamara2</v>
      </c>
    </row>
    <row r="248" spans="1:16" x14ac:dyDescent="0.25">
      <c r="A248">
        <v>2</v>
      </c>
      <c r="B248" t="s">
        <v>18</v>
      </c>
      <c r="C248" t="s">
        <v>1273</v>
      </c>
      <c r="D248">
        <v>18.48</v>
      </c>
      <c r="E248" t="s">
        <v>76</v>
      </c>
      <c r="F248" t="s">
        <v>15</v>
      </c>
      <c r="G248">
        <v>25.97</v>
      </c>
      <c r="H248">
        <v>10.99</v>
      </c>
      <c r="I248">
        <v>7.49</v>
      </c>
      <c r="J248">
        <v>56.100099999999998</v>
      </c>
      <c r="K248" t="str">
        <f>IFERROR(INDEX(Rosters!$C$2:$C$155,MATCH($B248,Rosters!$B$2:$B$155,0)),"NA")</f>
        <v>lucas</v>
      </c>
      <c r="L248" t="str">
        <f t="shared" si="9"/>
        <v>lucas2QB</v>
      </c>
      <c r="M248">
        <f>COUNTIF(L$1:L248,L248)</f>
        <v>2</v>
      </c>
      <c r="N248" t="str">
        <f t="shared" si="10"/>
        <v>lucas2QB-2</v>
      </c>
      <c r="O248">
        <f>COUNTIFS(F$1:F248,F248,A$1:A248,A248)</f>
        <v>10</v>
      </c>
      <c r="P248" t="str">
        <f t="shared" si="11"/>
        <v>Tom Brady2</v>
      </c>
    </row>
    <row r="249" spans="1:16" x14ac:dyDescent="0.25">
      <c r="A249">
        <v>17</v>
      </c>
      <c r="B249" t="s">
        <v>70</v>
      </c>
      <c r="C249" t="s">
        <v>5849</v>
      </c>
      <c r="D249">
        <v>18.45</v>
      </c>
      <c r="E249" t="s">
        <v>41</v>
      </c>
      <c r="F249" t="s">
        <v>15</v>
      </c>
      <c r="G249">
        <v>27.67</v>
      </c>
      <c r="H249">
        <v>9.23</v>
      </c>
      <c r="I249">
        <v>9.2200000000000006</v>
      </c>
      <c r="J249">
        <v>85.008399999999995</v>
      </c>
      <c r="K249" t="str">
        <f>IFERROR(INDEX(Rosters!$C$2:$C$155,MATCH($B249,Rosters!$B$2:$B$155,0)),"NA")</f>
        <v>aj</v>
      </c>
      <c r="L249" t="str">
        <f t="shared" si="9"/>
        <v>aj17QB</v>
      </c>
      <c r="M249">
        <f>COUNTIF(L$1:L249,L249)</f>
        <v>2</v>
      </c>
      <c r="N249" t="str">
        <f t="shared" si="10"/>
        <v>aj17QB-2</v>
      </c>
      <c r="O249">
        <f>COUNTIFS(F$1:F249,F249,A$1:A249,A249)</f>
        <v>15</v>
      </c>
      <c r="P249" t="str">
        <f t="shared" si="11"/>
        <v>Matthew Stafford17</v>
      </c>
    </row>
    <row r="250" spans="1:16" x14ac:dyDescent="0.25">
      <c r="A250">
        <v>12</v>
      </c>
      <c r="B250" t="s">
        <v>65</v>
      </c>
      <c r="C250" t="s">
        <v>5850</v>
      </c>
      <c r="D250">
        <v>18.440000000000001</v>
      </c>
      <c r="E250" t="s">
        <v>42</v>
      </c>
      <c r="F250" t="s">
        <v>15</v>
      </c>
      <c r="G250">
        <v>26.13</v>
      </c>
      <c r="H250">
        <v>10.75</v>
      </c>
      <c r="I250">
        <v>7.69</v>
      </c>
      <c r="J250">
        <v>59.136099999999999</v>
      </c>
      <c r="K250" t="str">
        <f>IFERROR(INDEX(Rosters!$C$2:$C$155,MATCH($B250,Rosters!$B$2:$B$155,0)),"NA")</f>
        <v>lucas</v>
      </c>
      <c r="L250" t="str">
        <f t="shared" si="9"/>
        <v>lucas12QB</v>
      </c>
      <c r="M250">
        <f>COUNTIF(L$1:L250,L250)</f>
        <v>2</v>
      </c>
      <c r="N250" t="str">
        <f t="shared" si="10"/>
        <v>lucas12QB-2</v>
      </c>
      <c r="O250">
        <f>COUNTIFS(F$1:F250,F250,A$1:A250,A250)</f>
        <v>15</v>
      </c>
      <c r="P250" t="str">
        <f t="shared" si="11"/>
        <v>Ben Roethlisberger12</v>
      </c>
    </row>
    <row r="251" spans="1:16" x14ac:dyDescent="0.25">
      <c r="A251">
        <v>1</v>
      </c>
      <c r="B251" t="s">
        <v>45</v>
      </c>
      <c r="C251" t="s">
        <v>1793</v>
      </c>
      <c r="D251">
        <v>18.440000000000001</v>
      </c>
      <c r="E251" t="s">
        <v>60</v>
      </c>
      <c r="F251" t="s">
        <v>47</v>
      </c>
      <c r="G251">
        <v>27.67</v>
      </c>
      <c r="H251">
        <v>9.2100000000000009</v>
      </c>
      <c r="I251">
        <v>9.23</v>
      </c>
      <c r="J251">
        <v>85.192899999999995</v>
      </c>
      <c r="K251" t="str">
        <f>IFERROR(INDEX(Rosters!$C$2:$C$155,MATCH($B251,Rosters!$B$2:$B$155,0)),"NA")</f>
        <v>matty</v>
      </c>
      <c r="L251" t="str">
        <f t="shared" si="9"/>
        <v>matty1RB</v>
      </c>
      <c r="M251">
        <f>COUNTIF(L$1:L251,L251)</f>
        <v>1</v>
      </c>
      <c r="N251" t="str">
        <f t="shared" si="10"/>
        <v>matty1RB-1</v>
      </c>
      <c r="O251">
        <f>COUNTIFS(F$1:F251,F251,A$1:A251,A251)</f>
        <v>3</v>
      </c>
      <c r="P251" t="str">
        <f t="shared" si="11"/>
        <v>David Johnson1</v>
      </c>
    </row>
    <row r="252" spans="1:16" x14ac:dyDescent="0.25">
      <c r="A252">
        <v>13</v>
      </c>
      <c r="B252" t="s">
        <v>53</v>
      </c>
      <c r="C252" t="s">
        <v>5851</v>
      </c>
      <c r="D252">
        <v>18.440000000000001</v>
      </c>
      <c r="E252" t="s">
        <v>30</v>
      </c>
      <c r="F252" t="s">
        <v>15</v>
      </c>
      <c r="G252">
        <v>26.11</v>
      </c>
      <c r="H252">
        <v>10.77</v>
      </c>
      <c r="I252">
        <v>7.67</v>
      </c>
      <c r="J252">
        <v>58.828899999999997</v>
      </c>
      <c r="K252" t="str">
        <f>IFERROR(INDEX(Rosters!$C$2:$C$155,MATCH($B252,Rosters!$B$2:$B$155,0)),"NA")</f>
        <v>seth</v>
      </c>
      <c r="L252" t="str">
        <f t="shared" si="9"/>
        <v>seth13QB</v>
      </c>
      <c r="M252">
        <f>COUNTIF(L$1:L252,L252)</f>
        <v>1</v>
      </c>
      <c r="N252" t="str">
        <f t="shared" si="10"/>
        <v>seth13QB-1</v>
      </c>
      <c r="O252">
        <f>COUNTIFS(F$1:F252,F252,A$1:A252,A252)</f>
        <v>16</v>
      </c>
      <c r="P252" t="str">
        <f t="shared" si="11"/>
        <v>Russell Wilson13</v>
      </c>
    </row>
    <row r="253" spans="1:16" x14ac:dyDescent="0.25">
      <c r="A253">
        <v>5</v>
      </c>
      <c r="B253" t="s">
        <v>1100</v>
      </c>
      <c r="C253" t="s">
        <v>5852</v>
      </c>
      <c r="D253">
        <v>18.43</v>
      </c>
      <c r="E253" t="s">
        <v>28</v>
      </c>
      <c r="F253" t="s">
        <v>47</v>
      </c>
      <c r="G253">
        <v>26.92</v>
      </c>
      <c r="H253">
        <v>9.94</v>
      </c>
      <c r="I253">
        <v>8.49</v>
      </c>
      <c r="J253">
        <v>72.080100000000002</v>
      </c>
      <c r="K253" t="str">
        <f>IFERROR(INDEX(Rosters!$C$2:$C$155,MATCH($B253,Rosters!$B$2:$B$155,0)),"NA")</f>
        <v>chad</v>
      </c>
      <c r="L253" t="str">
        <f t="shared" si="9"/>
        <v>chad5RB</v>
      </c>
      <c r="M253">
        <f>COUNTIF(L$1:L253,L253)</f>
        <v>1</v>
      </c>
      <c r="N253" t="str">
        <f t="shared" si="10"/>
        <v>chad5RB-1</v>
      </c>
      <c r="O253">
        <f>COUNTIFS(F$1:F253,F253,A$1:A253,A253)</f>
        <v>1</v>
      </c>
      <c r="P253" t="str">
        <f t="shared" si="11"/>
        <v>Todd Gurley II5</v>
      </c>
    </row>
    <row r="254" spans="1:16" x14ac:dyDescent="0.25">
      <c r="A254">
        <v>16</v>
      </c>
      <c r="B254" t="s">
        <v>1100</v>
      </c>
      <c r="C254" t="s">
        <v>5853</v>
      </c>
      <c r="D254">
        <v>18.399999999999999</v>
      </c>
      <c r="E254" t="s">
        <v>58</v>
      </c>
      <c r="F254" t="s">
        <v>47</v>
      </c>
      <c r="G254">
        <v>27.22</v>
      </c>
      <c r="H254">
        <v>9.58</v>
      </c>
      <c r="I254">
        <v>8.82</v>
      </c>
      <c r="J254">
        <v>77.792400000000001</v>
      </c>
      <c r="K254" t="str">
        <f>IFERROR(INDEX(Rosters!$C$2:$C$155,MATCH($B254,Rosters!$B$2:$B$155,0)),"NA")</f>
        <v>chad</v>
      </c>
      <c r="L254" t="str">
        <f t="shared" si="9"/>
        <v>chad16RB</v>
      </c>
      <c r="M254">
        <f>COUNTIF(L$1:L254,L254)</f>
        <v>1</v>
      </c>
      <c r="N254" t="str">
        <f t="shared" si="10"/>
        <v>chad16RB-1</v>
      </c>
      <c r="O254">
        <f>COUNTIFS(F$1:F254,F254,A$1:A254,A254)</f>
        <v>2</v>
      </c>
      <c r="P254" t="str">
        <f t="shared" si="11"/>
        <v>Todd Gurley II16</v>
      </c>
    </row>
    <row r="255" spans="1:16" x14ac:dyDescent="0.25">
      <c r="A255">
        <v>4</v>
      </c>
      <c r="B255" t="s">
        <v>33</v>
      </c>
      <c r="C255" t="s">
        <v>4407</v>
      </c>
      <c r="D255">
        <v>18.38</v>
      </c>
      <c r="E255" t="s">
        <v>36</v>
      </c>
      <c r="F255" t="s">
        <v>15</v>
      </c>
      <c r="G255">
        <v>26.19</v>
      </c>
      <c r="H255">
        <v>10.57</v>
      </c>
      <c r="I255">
        <v>7.81</v>
      </c>
      <c r="J255">
        <v>60.996099999999998</v>
      </c>
      <c r="K255" t="str">
        <f>IFERROR(INDEX(Rosters!$C$2:$C$155,MATCH($B255,Rosters!$B$2:$B$155,0)),"NA")</f>
        <v>comp</v>
      </c>
      <c r="L255" t="str">
        <f t="shared" si="9"/>
        <v>comp4QB</v>
      </c>
      <c r="M255">
        <f>COUNTIF(L$1:L255,L255)</f>
        <v>2</v>
      </c>
      <c r="N255" t="str">
        <f t="shared" si="10"/>
        <v>comp4QB-2</v>
      </c>
      <c r="O255">
        <f>COUNTIFS(F$1:F255,F255,A$1:A255,A255)</f>
        <v>12</v>
      </c>
      <c r="P255" t="str">
        <f t="shared" si="11"/>
        <v>Andrew Luck4</v>
      </c>
    </row>
    <row r="256" spans="1:16" x14ac:dyDescent="0.25">
      <c r="A256">
        <v>15</v>
      </c>
      <c r="B256" t="s">
        <v>21</v>
      </c>
      <c r="C256" t="s">
        <v>5854</v>
      </c>
      <c r="D256">
        <v>18.38</v>
      </c>
      <c r="E256" t="s">
        <v>74</v>
      </c>
      <c r="F256" t="s">
        <v>15</v>
      </c>
      <c r="G256">
        <v>25.53</v>
      </c>
      <c r="H256">
        <v>11.23</v>
      </c>
      <c r="I256">
        <v>7.15</v>
      </c>
      <c r="J256">
        <v>51.122500000000002</v>
      </c>
      <c r="K256" t="str">
        <f>IFERROR(INDEX(Rosters!$C$2:$C$155,MATCH($B256,Rosters!$B$2:$B$155,0)),"NA")</f>
        <v>scott</v>
      </c>
      <c r="L256" t="str">
        <f t="shared" si="9"/>
        <v>scott15QB</v>
      </c>
      <c r="M256">
        <f>COUNTIF(L$1:L256,L256)</f>
        <v>2</v>
      </c>
      <c r="N256" t="str">
        <f t="shared" si="10"/>
        <v>scott15QB-2</v>
      </c>
      <c r="O256">
        <f>COUNTIFS(F$1:F256,F256,A$1:A256,A256)</f>
        <v>14</v>
      </c>
      <c r="P256" t="str">
        <f t="shared" si="11"/>
        <v>Drew Brees15</v>
      </c>
    </row>
    <row r="257" spans="1:16" x14ac:dyDescent="0.25">
      <c r="A257">
        <v>7</v>
      </c>
      <c r="B257" t="s">
        <v>61</v>
      </c>
      <c r="C257" t="s">
        <v>5855</v>
      </c>
      <c r="D257">
        <v>18.38</v>
      </c>
      <c r="E257" t="s">
        <v>52</v>
      </c>
      <c r="F257" t="s">
        <v>15</v>
      </c>
      <c r="G257">
        <v>27.35</v>
      </c>
      <c r="H257">
        <v>9.41</v>
      </c>
      <c r="I257">
        <v>8.9700000000000006</v>
      </c>
      <c r="J257">
        <v>80.460899999999995</v>
      </c>
      <c r="K257" t="str">
        <f>IFERROR(INDEX(Rosters!$C$2:$C$155,MATCH($B257,Rosters!$B$2:$B$155,0)),"NA")</f>
        <v>NA</v>
      </c>
      <c r="L257" t="str">
        <f t="shared" si="9"/>
        <v>NA7QB</v>
      </c>
      <c r="M257">
        <f>COUNTIF(L$1:L257,L257)</f>
        <v>2</v>
      </c>
      <c r="N257" t="str">
        <f t="shared" si="10"/>
        <v>NA7QB-2</v>
      </c>
      <c r="O257">
        <f>COUNTIFS(F$1:F257,F257,A$1:A257,A257)</f>
        <v>10</v>
      </c>
      <c r="P257" t="str">
        <f t="shared" si="11"/>
        <v>Jameis Winston7</v>
      </c>
    </row>
    <row r="258" spans="1:16" x14ac:dyDescent="0.25">
      <c r="A258">
        <v>4</v>
      </c>
      <c r="B258" t="s">
        <v>1492</v>
      </c>
      <c r="C258" t="s">
        <v>4408</v>
      </c>
      <c r="D258">
        <v>18.36</v>
      </c>
      <c r="E258" t="s">
        <v>32</v>
      </c>
      <c r="F258" t="s">
        <v>15</v>
      </c>
      <c r="G258">
        <v>25.6</v>
      </c>
      <c r="H258">
        <v>11.12</v>
      </c>
      <c r="I258">
        <v>7.24</v>
      </c>
      <c r="J258">
        <v>52.4176</v>
      </c>
      <c r="K258" t="str">
        <f>IFERROR(INDEX(Rosters!$C$2:$C$155,MATCH($B258,Rosters!$B$2:$B$155,0)),"NA")</f>
        <v>perry</v>
      </c>
      <c r="L258" t="str">
        <f t="shared" si="9"/>
        <v>perry4QB</v>
      </c>
      <c r="M258">
        <f>COUNTIF(L$1:L258,L258)</f>
        <v>2</v>
      </c>
      <c r="N258" t="str">
        <f t="shared" si="10"/>
        <v>perry4QB-2</v>
      </c>
      <c r="O258">
        <f>COUNTIFS(F$1:F258,F258,A$1:A258,A258)</f>
        <v>13</v>
      </c>
      <c r="P258" t="str">
        <f t="shared" si="11"/>
        <v>Baker Mayfield4</v>
      </c>
    </row>
    <row r="259" spans="1:16" x14ac:dyDescent="0.25">
      <c r="A259">
        <v>4</v>
      </c>
      <c r="B259" t="s">
        <v>1100</v>
      </c>
      <c r="C259" t="s">
        <v>4409</v>
      </c>
      <c r="D259">
        <v>18.36</v>
      </c>
      <c r="E259" t="s">
        <v>25</v>
      </c>
      <c r="F259" t="s">
        <v>47</v>
      </c>
      <c r="G259">
        <v>26.91</v>
      </c>
      <c r="H259">
        <v>9.81</v>
      </c>
      <c r="I259">
        <v>8.5500000000000007</v>
      </c>
      <c r="J259">
        <v>73.102500000000006</v>
      </c>
      <c r="K259" t="str">
        <f>IFERROR(INDEX(Rosters!$C$2:$C$155,MATCH($B259,Rosters!$B$2:$B$155,0)),"NA")</f>
        <v>chad</v>
      </c>
      <c r="L259" t="str">
        <f t="shared" ref="L259:L322" si="12">K259&amp;A259&amp;F259</f>
        <v>chad4RB</v>
      </c>
      <c r="M259">
        <f>COUNTIF(L$1:L259,L259)</f>
        <v>1</v>
      </c>
      <c r="N259" t="str">
        <f t="shared" ref="N259:N322" si="13">L259&amp;"-"&amp;M259</f>
        <v>chad4RB-1</v>
      </c>
      <c r="O259">
        <f>COUNTIFS(F$1:F259,F259,A$1:A259,A259)</f>
        <v>1</v>
      </c>
      <c r="P259" t="str">
        <f t="shared" ref="P259:P322" si="14">B259&amp;A259</f>
        <v>Todd Gurley II4</v>
      </c>
    </row>
    <row r="260" spans="1:16" x14ac:dyDescent="0.25">
      <c r="A260">
        <v>17</v>
      </c>
      <c r="B260" t="s">
        <v>71</v>
      </c>
      <c r="C260" t="s">
        <v>5856</v>
      </c>
      <c r="D260">
        <v>18.350000000000001</v>
      </c>
      <c r="E260" t="s">
        <v>24</v>
      </c>
      <c r="F260" t="s">
        <v>15</v>
      </c>
      <c r="G260">
        <v>25.62</v>
      </c>
      <c r="H260">
        <v>11.08</v>
      </c>
      <c r="I260">
        <v>7.27</v>
      </c>
      <c r="J260">
        <v>52.852899999999998</v>
      </c>
      <c r="K260" t="str">
        <f>IFERROR(INDEX(Rosters!$C$2:$C$155,MATCH($B260,Rosters!$B$2:$B$155,0)),"NA")</f>
        <v>NA</v>
      </c>
      <c r="L260" t="str">
        <f t="shared" si="12"/>
        <v>NA17QB</v>
      </c>
      <c r="M260">
        <f>COUNTIF(L$1:L260,L260)</f>
        <v>5</v>
      </c>
      <c r="N260" t="str">
        <f t="shared" si="13"/>
        <v>NA17QB-5</v>
      </c>
      <c r="O260">
        <f>COUNTIFS(F$1:F260,F260,A$1:A260,A260)</f>
        <v>16</v>
      </c>
      <c r="P260" t="str">
        <f t="shared" si="14"/>
        <v>Derek Carr17</v>
      </c>
    </row>
    <row r="261" spans="1:16" x14ac:dyDescent="0.25">
      <c r="A261">
        <v>2</v>
      </c>
      <c r="B261" t="s">
        <v>43</v>
      </c>
      <c r="C261" t="s">
        <v>1676</v>
      </c>
      <c r="D261">
        <v>18.32</v>
      </c>
      <c r="E261" t="s">
        <v>41</v>
      </c>
      <c r="F261" t="s">
        <v>15</v>
      </c>
      <c r="G261">
        <v>24.62</v>
      </c>
      <c r="H261">
        <v>12.02</v>
      </c>
      <c r="I261">
        <v>6.3</v>
      </c>
      <c r="J261">
        <v>39.69</v>
      </c>
      <c r="K261" t="str">
        <f>IFERROR(INDEX(Rosters!$C$2:$C$155,MATCH($B261,Rosters!$B$2:$B$155,0)),"NA")</f>
        <v>NA</v>
      </c>
      <c r="L261" t="str">
        <f t="shared" si="12"/>
        <v>NA2QB</v>
      </c>
      <c r="M261">
        <f>COUNTIF(L$1:L261,L261)</f>
        <v>1</v>
      </c>
      <c r="N261" t="str">
        <f t="shared" si="13"/>
        <v>NA2QB-1</v>
      </c>
      <c r="O261">
        <f>COUNTIFS(F$1:F261,F261,A$1:A261,A261)</f>
        <v>11</v>
      </c>
      <c r="P261" t="str">
        <f t="shared" si="14"/>
        <v>Kirk Cousins2</v>
      </c>
    </row>
    <row r="262" spans="1:16" x14ac:dyDescent="0.25">
      <c r="A262">
        <v>7</v>
      </c>
      <c r="B262" t="s">
        <v>43</v>
      </c>
      <c r="C262" t="s">
        <v>5857</v>
      </c>
      <c r="D262">
        <v>18.309999999999999</v>
      </c>
      <c r="E262" t="s">
        <v>73</v>
      </c>
      <c r="F262" t="s">
        <v>15</v>
      </c>
      <c r="G262">
        <v>25.76</v>
      </c>
      <c r="H262">
        <v>10.86</v>
      </c>
      <c r="I262">
        <v>7.45</v>
      </c>
      <c r="J262">
        <v>55.502499999999998</v>
      </c>
      <c r="K262" t="str">
        <f>IFERROR(INDEX(Rosters!$C$2:$C$155,MATCH($B262,Rosters!$B$2:$B$155,0)),"NA")</f>
        <v>NA</v>
      </c>
      <c r="L262" t="str">
        <f t="shared" si="12"/>
        <v>NA7QB</v>
      </c>
      <c r="M262">
        <f>COUNTIF(L$1:L262,L262)</f>
        <v>3</v>
      </c>
      <c r="N262" t="str">
        <f t="shared" si="13"/>
        <v>NA7QB-3</v>
      </c>
      <c r="O262">
        <f>COUNTIFS(F$1:F262,F262,A$1:A262,A262)</f>
        <v>11</v>
      </c>
      <c r="P262" t="str">
        <f t="shared" si="14"/>
        <v>Kirk Cousins7</v>
      </c>
    </row>
    <row r="263" spans="1:16" x14ac:dyDescent="0.25">
      <c r="A263">
        <v>8</v>
      </c>
      <c r="B263" t="s">
        <v>39</v>
      </c>
      <c r="C263" t="s">
        <v>5858</v>
      </c>
      <c r="D263">
        <v>18.3</v>
      </c>
      <c r="E263" t="s">
        <v>77</v>
      </c>
      <c r="F263" t="s">
        <v>15</v>
      </c>
      <c r="G263">
        <v>25.98</v>
      </c>
      <c r="H263">
        <v>10.62</v>
      </c>
      <c r="I263">
        <v>7.68</v>
      </c>
      <c r="J263">
        <v>58.982399999999998</v>
      </c>
      <c r="K263" t="str">
        <f>IFERROR(INDEX(Rosters!$C$2:$C$155,MATCH($B263,Rosters!$B$2:$B$155,0)),"NA")</f>
        <v>devon</v>
      </c>
      <c r="L263" t="str">
        <f t="shared" si="12"/>
        <v>devon8QB</v>
      </c>
      <c r="M263">
        <f>COUNTIF(L$1:L263,L263)</f>
        <v>1</v>
      </c>
      <c r="N263" t="str">
        <f t="shared" si="13"/>
        <v>devon8QB-1</v>
      </c>
      <c r="O263">
        <f>COUNTIFS(F$1:F263,F263,A$1:A263,A263)</f>
        <v>15</v>
      </c>
      <c r="P263" t="str">
        <f t="shared" si="14"/>
        <v>Cam Newton8</v>
      </c>
    </row>
    <row r="264" spans="1:16" x14ac:dyDescent="0.25">
      <c r="A264">
        <v>6</v>
      </c>
      <c r="B264" t="s">
        <v>1100</v>
      </c>
      <c r="C264" t="s">
        <v>5859</v>
      </c>
      <c r="D264">
        <v>18.3</v>
      </c>
      <c r="E264" t="s">
        <v>42</v>
      </c>
      <c r="F264" t="s">
        <v>47</v>
      </c>
      <c r="G264">
        <v>27.56</v>
      </c>
      <c r="H264">
        <v>9.0399999999999991</v>
      </c>
      <c r="I264">
        <v>9.26</v>
      </c>
      <c r="J264">
        <v>85.747600000000006</v>
      </c>
      <c r="K264" t="str">
        <f>IFERROR(INDEX(Rosters!$C$2:$C$155,MATCH($B264,Rosters!$B$2:$B$155,0)),"NA")</f>
        <v>chad</v>
      </c>
      <c r="L264" t="str">
        <f t="shared" si="12"/>
        <v>chad6RB</v>
      </c>
      <c r="M264">
        <f>COUNTIF(L$1:L264,L264)</f>
        <v>1</v>
      </c>
      <c r="N264" t="str">
        <f t="shared" si="13"/>
        <v>chad6RB-1</v>
      </c>
      <c r="O264">
        <f>COUNTIFS(F$1:F264,F264,A$1:A264,A264)</f>
        <v>1</v>
      </c>
      <c r="P264" t="str">
        <f t="shared" si="14"/>
        <v>Todd Gurley II6</v>
      </c>
    </row>
    <row r="265" spans="1:16" x14ac:dyDescent="0.25">
      <c r="A265">
        <v>1</v>
      </c>
      <c r="B265" t="s">
        <v>67</v>
      </c>
      <c r="C265" t="s">
        <v>1788</v>
      </c>
      <c r="D265">
        <v>18.28</v>
      </c>
      <c r="E265" t="s">
        <v>24</v>
      </c>
      <c r="F265" t="s">
        <v>15</v>
      </c>
      <c r="G265">
        <v>25.34</v>
      </c>
      <c r="H265">
        <v>11.22</v>
      </c>
      <c r="I265">
        <v>7.06</v>
      </c>
      <c r="J265">
        <v>49.843600000000002</v>
      </c>
      <c r="K265" t="str">
        <f>IFERROR(INDEX(Rosters!$C$2:$C$155,MATCH($B265,Rosters!$B$2:$B$155,0)),"NA")</f>
        <v>comp</v>
      </c>
      <c r="L265" t="str">
        <f t="shared" si="12"/>
        <v>comp1QB</v>
      </c>
      <c r="M265">
        <f>COUNTIF(L$1:L265,L265)</f>
        <v>1</v>
      </c>
      <c r="N265" t="str">
        <f t="shared" si="13"/>
        <v>comp1QB-1</v>
      </c>
      <c r="O265">
        <f>COUNTIFS(F$1:F265,F265,A$1:A265,A265)</f>
        <v>11</v>
      </c>
      <c r="P265" t="str">
        <f t="shared" si="14"/>
        <v>Philip Rivers1</v>
      </c>
    </row>
    <row r="266" spans="1:16" x14ac:dyDescent="0.25">
      <c r="A266">
        <v>7</v>
      </c>
      <c r="B266" t="s">
        <v>1100</v>
      </c>
      <c r="C266" t="s">
        <v>5860</v>
      </c>
      <c r="D266">
        <v>18.25</v>
      </c>
      <c r="E266" t="s">
        <v>30</v>
      </c>
      <c r="F266" t="s">
        <v>47</v>
      </c>
      <c r="G266">
        <v>27.78</v>
      </c>
      <c r="H266">
        <v>8.7200000000000006</v>
      </c>
      <c r="I266">
        <v>9.5299999999999994</v>
      </c>
      <c r="J266">
        <v>90.820899999999995</v>
      </c>
      <c r="K266" t="str">
        <f>IFERROR(INDEX(Rosters!$C$2:$C$155,MATCH($B266,Rosters!$B$2:$B$155,0)),"NA")</f>
        <v>chad</v>
      </c>
      <c r="L266" t="str">
        <f t="shared" si="12"/>
        <v>chad7RB</v>
      </c>
      <c r="M266">
        <f>COUNTIF(L$1:L266,L266)</f>
        <v>1</v>
      </c>
      <c r="N266" t="str">
        <f t="shared" si="13"/>
        <v>chad7RB-1</v>
      </c>
      <c r="O266">
        <f>COUNTIFS(F$1:F266,F266,A$1:A266,A266)</f>
        <v>2</v>
      </c>
      <c r="P266" t="str">
        <f t="shared" si="14"/>
        <v>Todd Gurley II7</v>
      </c>
    </row>
    <row r="267" spans="1:16" x14ac:dyDescent="0.25">
      <c r="A267">
        <v>2</v>
      </c>
      <c r="B267" t="s">
        <v>39</v>
      </c>
      <c r="C267" t="s">
        <v>1274</v>
      </c>
      <c r="D267">
        <v>18.22</v>
      </c>
      <c r="E267" t="s">
        <v>46</v>
      </c>
      <c r="F267" t="s">
        <v>15</v>
      </c>
      <c r="G267">
        <v>25.29</v>
      </c>
      <c r="H267">
        <v>11.15</v>
      </c>
      <c r="I267">
        <v>7.07</v>
      </c>
      <c r="J267">
        <v>49.984900000000003</v>
      </c>
      <c r="K267" t="str">
        <f>IFERROR(INDEX(Rosters!$C$2:$C$155,MATCH($B267,Rosters!$B$2:$B$155,0)),"NA")</f>
        <v>devon</v>
      </c>
      <c r="L267" t="str">
        <f t="shared" si="12"/>
        <v>devon2QB</v>
      </c>
      <c r="M267">
        <f>COUNTIF(L$1:L267,L267)</f>
        <v>1</v>
      </c>
      <c r="N267" t="str">
        <f t="shared" si="13"/>
        <v>devon2QB-1</v>
      </c>
      <c r="O267">
        <f>COUNTIFS(F$1:F267,F267,A$1:A267,A267)</f>
        <v>12</v>
      </c>
      <c r="P267" t="str">
        <f t="shared" si="14"/>
        <v>Cam Newton2</v>
      </c>
    </row>
    <row r="268" spans="1:16" x14ac:dyDescent="0.25">
      <c r="A268">
        <v>17</v>
      </c>
      <c r="B268" t="s">
        <v>69</v>
      </c>
      <c r="C268" t="s">
        <v>5861</v>
      </c>
      <c r="D268">
        <v>18.22</v>
      </c>
      <c r="E268" t="s">
        <v>66</v>
      </c>
      <c r="F268" t="s">
        <v>15</v>
      </c>
      <c r="G268">
        <v>25.75</v>
      </c>
      <c r="H268">
        <v>10.69</v>
      </c>
      <c r="I268">
        <v>7.53</v>
      </c>
      <c r="J268">
        <v>56.700899999999997</v>
      </c>
      <c r="K268" t="str">
        <f>IFERROR(INDEX(Rosters!$C$2:$C$155,MATCH($B268,Rosters!$B$2:$B$155,0)),"NA")</f>
        <v>NA</v>
      </c>
      <c r="L268" t="str">
        <f t="shared" si="12"/>
        <v>NA17QB</v>
      </c>
      <c r="M268">
        <f>COUNTIF(L$1:L268,L268)</f>
        <v>6</v>
      </c>
      <c r="N268" t="str">
        <f t="shared" si="13"/>
        <v>NA17QB-6</v>
      </c>
      <c r="O268">
        <f>COUNTIFS(F$1:F268,F268,A$1:A268,A268)</f>
        <v>17</v>
      </c>
      <c r="P268" t="str">
        <f t="shared" si="14"/>
        <v>Marcus Mariota17</v>
      </c>
    </row>
    <row r="269" spans="1:16" x14ac:dyDescent="0.25">
      <c r="A269">
        <v>13</v>
      </c>
      <c r="B269" t="s">
        <v>115</v>
      </c>
      <c r="C269" t="s">
        <v>5862</v>
      </c>
      <c r="D269">
        <v>18.2</v>
      </c>
      <c r="E269" t="s">
        <v>32</v>
      </c>
      <c r="F269" t="s">
        <v>47</v>
      </c>
      <c r="G269">
        <v>26.3</v>
      </c>
      <c r="H269">
        <v>10.1</v>
      </c>
      <c r="I269">
        <v>8.1</v>
      </c>
      <c r="J269">
        <v>65.61</v>
      </c>
      <c r="K269" t="str">
        <f>IFERROR(INDEX(Rosters!$C$2:$C$155,MATCH($B269,Rosters!$B$2:$B$155,0)),"NA")</f>
        <v>scott</v>
      </c>
      <c r="L269" t="str">
        <f t="shared" si="12"/>
        <v>scott13RB</v>
      </c>
      <c r="M269">
        <f>COUNTIF(L$1:L269,L269)</f>
        <v>1</v>
      </c>
      <c r="N269" t="str">
        <f t="shared" si="13"/>
        <v>scott13RB-1</v>
      </c>
      <c r="O269">
        <f>COUNTIFS(F$1:F269,F269,A$1:A269,A269)</f>
        <v>3</v>
      </c>
      <c r="P269" t="str">
        <f t="shared" si="14"/>
        <v>Kareem Hunt13</v>
      </c>
    </row>
    <row r="270" spans="1:16" x14ac:dyDescent="0.25">
      <c r="A270">
        <v>4</v>
      </c>
      <c r="B270" t="s">
        <v>314</v>
      </c>
      <c r="C270" t="s">
        <v>5024</v>
      </c>
      <c r="D270">
        <v>18.16</v>
      </c>
      <c r="E270" t="s">
        <v>72</v>
      </c>
      <c r="F270" t="s">
        <v>15</v>
      </c>
      <c r="G270">
        <v>25.54</v>
      </c>
      <c r="H270">
        <v>10.78</v>
      </c>
      <c r="I270">
        <v>7.38</v>
      </c>
      <c r="J270">
        <v>54.464399999999998</v>
      </c>
      <c r="K270" t="str">
        <f>IFERROR(INDEX(Rosters!$C$2:$C$155,MATCH($B270,Rosters!$B$2:$B$155,0)),"NA")</f>
        <v>NA</v>
      </c>
      <c r="L270" t="str">
        <f t="shared" si="12"/>
        <v>NA4QB</v>
      </c>
      <c r="M270">
        <f>COUNTIF(L$1:L270,L270)</f>
        <v>1</v>
      </c>
      <c r="N270" t="str">
        <f t="shared" si="13"/>
        <v>NA4QB-1</v>
      </c>
      <c r="O270">
        <f>COUNTIFS(F$1:F270,F270,A$1:A270,A270)</f>
        <v>14</v>
      </c>
      <c r="P270" t="str">
        <f t="shared" si="14"/>
        <v>Ryan Fitzpatrick4</v>
      </c>
    </row>
    <row r="271" spans="1:16" x14ac:dyDescent="0.25">
      <c r="A271">
        <v>8</v>
      </c>
      <c r="B271" t="s">
        <v>1213</v>
      </c>
      <c r="C271" t="s">
        <v>5863</v>
      </c>
      <c r="D271">
        <v>18.11</v>
      </c>
      <c r="E271" t="s">
        <v>24</v>
      </c>
      <c r="F271" t="s">
        <v>15</v>
      </c>
      <c r="G271">
        <v>24.89</v>
      </c>
      <c r="H271">
        <v>11.33</v>
      </c>
      <c r="I271">
        <v>6.78</v>
      </c>
      <c r="J271">
        <v>45.968400000000003</v>
      </c>
      <c r="K271" t="str">
        <f>IFERROR(INDEX(Rosters!$C$2:$C$155,MATCH($B271,Rosters!$B$2:$B$155,0)),"NA")</f>
        <v>NA</v>
      </c>
      <c r="L271" t="str">
        <f t="shared" si="12"/>
        <v>NA8QB</v>
      </c>
      <c r="M271">
        <f>COUNTIF(L$1:L271,L271)</f>
        <v>4</v>
      </c>
      <c r="N271" t="str">
        <f t="shared" si="13"/>
        <v>NA8QB-4</v>
      </c>
      <c r="O271">
        <f>COUNTIFS(F$1:F271,F271,A$1:A271,A271)</f>
        <v>16</v>
      </c>
      <c r="P271" t="str">
        <f t="shared" si="14"/>
        <v>Case Keenum8</v>
      </c>
    </row>
    <row r="272" spans="1:16" x14ac:dyDescent="0.25">
      <c r="A272">
        <v>9</v>
      </c>
      <c r="B272" t="s">
        <v>59</v>
      </c>
      <c r="C272" t="s">
        <v>5864</v>
      </c>
      <c r="D272">
        <v>18.079999999999998</v>
      </c>
      <c r="E272" t="s">
        <v>38</v>
      </c>
      <c r="F272" t="s">
        <v>15</v>
      </c>
      <c r="G272">
        <v>25.68</v>
      </c>
      <c r="H272">
        <v>10.48</v>
      </c>
      <c r="I272">
        <v>7.6</v>
      </c>
      <c r="J272">
        <v>57.76</v>
      </c>
      <c r="K272" t="str">
        <f>IFERROR(INDEX(Rosters!$C$2:$C$155,MATCH($B272,Rosters!$B$2:$B$155,0)),"NA")</f>
        <v>NA</v>
      </c>
      <c r="L272" t="str">
        <f t="shared" si="12"/>
        <v>NA9QB</v>
      </c>
      <c r="M272">
        <f>COUNTIF(L$1:L272,L272)</f>
        <v>4</v>
      </c>
      <c r="N272" t="str">
        <f t="shared" si="13"/>
        <v>NA9QB-4</v>
      </c>
      <c r="O272">
        <f>COUNTIFS(F$1:F272,F272,A$1:A272,A272)</f>
        <v>14</v>
      </c>
      <c r="P272" t="str">
        <f t="shared" si="14"/>
        <v>Dak Prescott9</v>
      </c>
    </row>
    <row r="273" spans="1:16" x14ac:dyDescent="0.25">
      <c r="A273">
        <v>4</v>
      </c>
      <c r="B273" t="s">
        <v>75</v>
      </c>
      <c r="C273" t="s">
        <v>4410</v>
      </c>
      <c r="D273">
        <v>18.07</v>
      </c>
      <c r="E273" t="s">
        <v>14</v>
      </c>
      <c r="F273" t="s">
        <v>15</v>
      </c>
      <c r="G273">
        <v>25.6</v>
      </c>
      <c r="H273">
        <v>10.54</v>
      </c>
      <c r="I273">
        <v>7.53</v>
      </c>
      <c r="J273">
        <v>56.700899999999997</v>
      </c>
      <c r="K273" t="str">
        <f>IFERROR(INDEX(Rosters!$C$2:$C$155,MATCH($B273,Rosters!$B$2:$B$155,0)),"NA")</f>
        <v>NA</v>
      </c>
      <c r="L273" t="str">
        <f t="shared" si="12"/>
        <v>NA4QB</v>
      </c>
      <c r="M273">
        <f>COUNTIF(L$1:L273,L273)</f>
        <v>2</v>
      </c>
      <c r="N273" t="str">
        <f t="shared" si="13"/>
        <v>NA4QB-2</v>
      </c>
      <c r="O273">
        <f>COUNTIFS(F$1:F273,F273,A$1:A273,A273)</f>
        <v>15</v>
      </c>
      <c r="P273" t="str">
        <f t="shared" si="14"/>
        <v>Eli Manning4</v>
      </c>
    </row>
    <row r="274" spans="1:16" x14ac:dyDescent="0.25">
      <c r="A274">
        <v>17</v>
      </c>
      <c r="B274" t="s">
        <v>179</v>
      </c>
      <c r="C274" t="s">
        <v>5865</v>
      </c>
      <c r="D274">
        <v>18.059999999999999</v>
      </c>
      <c r="E274" t="s">
        <v>76</v>
      </c>
      <c r="F274" t="s">
        <v>15</v>
      </c>
      <c r="G274">
        <v>24.47</v>
      </c>
      <c r="H274">
        <v>11.65</v>
      </c>
      <c r="I274">
        <v>6.41</v>
      </c>
      <c r="J274">
        <v>41.088099999999997</v>
      </c>
      <c r="K274" t="str">
        <f>IFERROR(INDEX(Rosters!$C$2:$C$155,MATCH($B274,Rosters!$B$2:$B$155,0)),"NA")</f>
        <v>chad</v>
      </c>
      <c r="L274" t="str">
        <f t="shared" si="12"/>
        <v>chad17QB</v>
      </c>
      <c r="M274">
        <f>COUNTIF(L$1:L274,L274)</f>
        <v>1</v>
      </c>
      <c r="N274" t="str">
        <f t="shared" si="13"/>
        <v>chad17QB-1</v>
      </c>
      <c r="O274">
        <f>COUNTIFS(F$1:F274,F274,A$1:A274,A274)</f>
        <v>18</v>
      </c>
      <c r="P274" t="str">
        <f t="shared" si="14"/>
        <v>Deshaun Watson17</v>
      </c>
    </row>
    <row r="275" spans="1:16" x14ac:dyDescent="0.25">
      <c r="A275">
        <v>1</v>
      </c>
      <c r="B275" t="s">
        <v>33</v>
      </c>
      <c r="C275" t="s">
        <v>1677</v>
      </c>
      <c r="D275">
        <v>18.05</v>
      </c>
      <c r="E275" t="s">
        <v>31</v>
      </c>
      <c r="F275" t="s">
        <v>15</v>
      </c>
      <c r="G275">
        <v>25.45</v>
      </c>
      <c r="H275">
        <v>10.65</v>
      </c>
      <c r="I275">
        <v>7.4</v>
      </c>
      <c r="J275">
        <v>54.76</v>
      </c>
      <c r="K275" t="str">
        <f>IFERROR(INDEX(Rosters!$C$2:$C$155,MATCH($B275,Rosters!$B$2:$B$155,0)),"NA")</f>
        <v>comp</v>
      </c>
      <c r="L275" t="str">
        <f t="shared" si="12"/>
        <v>comp1QB</v>
      </c>
      <c r="M275">
        <f>COUNTIF(L$1:L275,L275)</f>
        <v>2</v>
      </c>
      <c r="N275" t="str">
        <f t="shared" si="13"/>
        <v>comp1QB-2</v>
      </c>
      <c r="O275">
        <f>COUNTIFS(F$1:F275,F275,A$1:A275,A275)</f>
        <v>12</v>
      </c>
      <c r="P275" t="str">
        <f t="shared" si="14"/>
        <v>Andrew Luck1</v>
      </c>
    </row>
    <row r="276" spans="1:16" x14ac:dyDescent="0.25">
      <c r="A276">
        <v>15</v>
      </c>
      <c r="B276" t="s">
        <v>59</v>
      </c>
      <c r="C276" t="s">
        <v>5866</v>
      </c>
      <c r="D276">
        <v>17.989999999999998</v>
      </c>
      <c r="E276" t="s">
        <v>66</v>
      </c>
      <c r="F276" t="s">
        <v>15</v>
      </c>
      <c r="G276">
        <v>25.26</v>
      </c>
      <c r="H276">
        <v>10.72</v>
      </c>
      <c r="I276">
        <v>7.27</v>
      </c>
      <c r="J276">
        <v>52.852899999999998</v>
      </c>
      <c r="K276" t="str">
        <f>IFERROR(INDEX(Rosters!$C$2:$C$155,MATCH($B276,Rosters!$B$2:$B$155,0)),"NA")</f>
        <v>NA</v>
      </c>
      <c r="L276" t="str">
        <f t="shared" si="12"/>
        <v>NA15QB</v>
      </c>
      <c r="M276">
        <f>COUNTIF(L$1:L276,L276)</f>
        <v>4</v>
      </c>
      <c r="N276" t="str">
        <f t="shared" si="13"/>
        <v>NA15QB-4</v>
      </c>
      <c r="O276">
        <f>COUNTIFS(F$1:F276,F276,A$1:A276,A276)</f>
        <v>15</v>
      </c>
      <c r="P276" t="str">
        <f t="shared" si="14"/>
        <v>Dak Prescott15</v>
      </c>
    </row>
    <row r="277" spans="1:16" x14ac:dyDescent="0.25">
      <c r="A277">
        <v>8</v>
      </c>
      <c r="B277" t="s">
        <v>79</v>
      </c>
      <c r="C277" t="s">
        <v>5867</v>
      </c>
      <c r="D277">
        <v>17.97</v>
      </c>
      <c r="E277" t="s">
        <v>50</v>
      </c>
      <c r="F277" t="s">
        <v>15</v>
      </c>
      <c r="G277">
        <v>25.14</v>
      </c>
      <c r="H277">
        <v>10.8</v>
      </c>
      <c r="I277">
        <v>7.17</v>
      </c>
      <c r="J277">
        <v>51.408900000000003</v>
      </c>
      <c r="K277" t="str">
        <f>IFERROR(INDEX(Rosters!$C$2:$C$155,MATCH($B277,Rosters!$B$2:$B$155,0)),"NA")</f>
        <v>NA</v>
      </c>
      <c r="L277" t="str">
        <f t="shared" si="12"/>
        <v>NA8QB</v>
      </c>
      <c r="M277">
        <f>COUNTIF(L$1:L277,L277)</f>
        <v>5</v>
      </c>
      <c r="N277" t="str">
        <f t="shared" si="13"/>
        <v>NA8QB-5</v>
      </c>
      <c r="O277">
        <f>COUNTIFS(F$1:F277,F277,A$1:A277,A277)</f>
        <v>17</v>
      </c>
      <c r="P277" t="str">
        <f t="shared" si="14"/>
        <v>Blake Bortles8</v>
      </c>
    </row>
    <row r="278" spans="1:16" x14ac:dyDescent="0.25">
      <c r="A278">
        <v>7</v>
      </c>
      <c r="B278" t="s">
        <v>39</v>
      </c>
      <c r="C278" t="s">
        <v>5868</v>
      </c>
      <c r="D278">
        <v>17.97</v>
      </c>
      <c r="E278" t="s">
        <v>50</v>
      </c>
      <c r="F278" t="s">
        <v>15</v>
      </c>
      <c r="G278">
        <v>25.61</v>
      </c>
      <c r="H278">
        <v>10.33</v>
      </c>
      <c r="I278">
        <v>7.64</v>
      </c>
      <c r="J278">
        <v>58.369599999999998</v>
      </c>
      <c r="K278" t="str">
        <f>IFERROR(INDEX(Rosters!$C$2:$C$155,MATCH($B278,Rosters!$B$2:$B$155,0)),"NA")</f>
        <v>devon</v>
      </c>
      <c r="L278" t="str">
        <f t="shared" si="12"/>
        <v>devon7QB</v>
      </c>
      <c r="M278">
        <f>COUNTIF(L$1:L278,L278)</f>
        <v>1</v>
      </c>
      <c r="N278" t="str">
        <f t="shared" si="13"/>
        <v>devon7QB-1</v>
      </c>
      <c r="O278">
        <f>COUNTIFS(F$1:F278,F278,A$1:A278,A278)</f>
        <v>12</v>
      </c>
      <c r="P278" t="str">
        <f t="shared" si="14"/>
        <v>Cam Newton7</v>
      </c>
    </row>
    <row r="279" spans="1:16" x14ac:dyDescent="0.25">
      <c r="A279">
        <v>7</v>
      </c>
      <c r="B279" t="s">
        <v>1492</v>
      </c>
      <c r="C279" t="s">
        <v>5869</v>
      </c>
      <c r="D279">
        <v>17.95</v>
      </c>
      <c r="E279" t="s">
        <v>17</v>
      </c>
      <c r="F279" t="s">
        <v>15</v>
      </c>
      <c r="G279">
        <v>25.14</v>
      </c>
      <c r="H279">
        <v>10.76</v>
      </c>
      <c r="I279">
        <v>7.19</v>
      </c>
      <c r="J279">
        <v>51.696100000000001</v>
      </c>
      <c r="K279" t="str">
        <f>IFERROR(INDEX(Rosters!$C$2:$C$155,MATCH($B279,Rosters!$B$2:$B$155,0)),"NA")</f>
        <v>perry</v>
      </c>
      <c r="L279" t="str">
        <f t="shared" si="12"/>
        <v>perry7QB</v>
      </c>
      <c r="M279">
        <f>COUNTIF(L$1:L279,L279)</f>
        <v>1</v>
      </c>
      <c r="N279" t="str">
        <f t="shared" si="13"/>
        <v>perry7QB-1</v>
      </c>
      <c r="O279">
        <f>COUNTIFS(F$1:F279,F279,A$1:A279,A279)</f>
        <v>13</v>
      </c>
      <c r="P279" t="str">
        <f t="shared" si="14"/>
        <v>Baker Mayfield7</v>
      </c>
    </row>
    <row r="280" spans="1:16" x14ac:dyDescent="0.25">
      <c r="A280">
        <v>10</v>
      </c>
      <c r="B280" t="s">
        <v>69</v>
      </c>
      <c r="C280" t="s">
        <v>5870</v>
      </c>
      <c r="D280">
        <v>17.940000000000001</v>
      </c>
      <c r="E280" t="s">
        <v>423</v>
      </c>
      <c r="F280" t="s">
        <v>15</v>
      </c>
      <c r="G280">
        <v>25.51</v>
      </c>
      <c r="H280">
        <v>10.37</v>
      </c>
      <c r="I280">
        <v>7.57</v>
      </c>
      <c r="J280">
        <v>57.304900000000004</v>
      </c>
      <c r="K280" t="str">
        <f>IFERROR(INDEX(Rosters!$C$2:$C$155,MATCH($B280,Rosters!$B$2:$B$155,0)),"NA")</f>
        <v>NA</v>
      </c>
      <c r="L280" t="str">
        <f t="shared" si="12"/>
        <v>NA10QB</v>
      </c>
      <c r="M280">
        <f>COUNTIF(L$1:L280,L280)</f>
        <v>3</v>
      </c>
      <c r="N280" t="str">
        <f t="shared" si="13"/>
        <v>NA10QB-3</v>
      </c>
      <c r="O280">
        <f>COUNTIFS(F$1:F280,F280,A$1:A280,A280)</f>
        <v>14</v>
      </c>
      <c r="P280" t="str">
        <f t="shared" si="14"/>
        <v>Marcus Mariota10</v>
      </c>
    </row>
    <row r="281" spans="1:16" x14ac:dyDescent="0.25">
      <c r="A281">
        <v>4</v>
      </c>
      <c r="B281" t="s">
        <v>57</v>
      </c>
      <c r="C281" t="s">
        <v>4411</v>
      </c>
      <c r="D281">
        <v>17.93</v>
      </c>
      <c r="E281" t="s">
        <v>34</v>
      </c>
      <c r="F281" t="s">
        <v>47</v>
      </c>
      <c r="G281">
        <v>26.56</v>
      </c>
      <c r="H281">
        <v>9.3000000000000007</v>
      </c>
      <c r="I281">
        <v>8.6300000000000008</v>
      </c>
      <c r="J281">
        <v>74.476900000000001</v>
      </c>
      <c r="K281" t="str">
        <f>IFERROR(INDEX(Rosters!$C$2:$C$155,MATCH($B281,Rosters!$B$2:$B$155,0)),"NA")</f>
        <v>perry</v>
      </c>
      <c r="L281" t="str">
        <f t="shared" si="12"/>
        <v>perry4RB</v>
      </c>
      <c r="M281">
        <f>COUNTIF(L$1:L281,L281)</f>
        <v>1</v>
      </c>
      <c r="N281" t="str">
        <f t="shared" si="13"/>
        <v>perry4RB-1</v>
      </c>
      <c r="O281">
        <f>COUNTIFS(F$1:F281,F281,A$1:A281,A281)</f>
        <v>2</v>
      </c>
      <c r="P281" t="str">
        <f t="shared" si="14"/>
        <v>Ezekiel Elliott4</v>
      </c>
    </row>
    <row r="282" spans="1:16" x14ac:dyDescent="0.25">
      <c r="A282">
        <v>16</v>
      </c>
      <c r="B282" t="s">
        <v>69</v>
      </c>
      <c r="C282" t="s">
        <v>5871</v>
      </c>
      <c r="D282">
        <v>17.850000000000001</v>
      </c>
      <c r="E282" t="s">
        <v>60</v>
      </c>
      <c r="F282" t="s">
        <v>15</v>
      </c>
      <c r="G282">
        <v>25.72</v>
      </c>
      <c r="H282">
        <v>9.98</v>
      </c>
      <c r="I282">
        <v>7.87</v>
      </c>
      <c r="J282">
        <v>61.936900000000001</v>
      </c>
      <c r="K282" t="str">
        <f>IFERROR(INDEX(Rosters!$C$2:$C$155,MATCH($B282,Rosters!$B$2:$B$155,0)),"NA")</f>
        <v>NA</v>
      </c>
      <c r="L282" t="str">
        <f t="shared" si="12"/>
        <v>NA16QB</v>
      </c>
      <c r="M282">
        <f>COUNTIF(L$1:L282,L282)</f>
        <v>5</v>
      </c>
      <c r="N282" t="str">
        <f t="shared" si="13"/>
        <v>NA16QB-5</v>
      </c>
      <c r="O282">
        <f>COUNTIFS(F$1:F282,F282,A$1:A282,A282)</f>
        <v>16</v>
      </c>
      <c r="P282" t="str">
        <f t="shared" si="14"/>
        <v>Marcus Mariota16</v>
      </c>
    </row>
    <row r="283" spans="1:16" x14ac:dyDescent="0.25">
      <c r="A283">
        <v>4</v>
      </c>
      <c r="B283" t="s">
        <v>1213</v>
      </c>
      <c r="C283" t="s">
        <v>4412</v>
      </c>
      <c r="D283">
        <v>17.84</v>
      </c>
      <c r="E283" t="s">
        <v>24</v>
      </c>
      <c r="F283" t="s">
        <v>15</v>
      </c>
      <c r="G283">
        <v>24.81</v>
      </c>
      <c r="H283">
        <v>10.87</v>
      </c>
      <c r="I283">
        <v>6.97</v>
      </c>
      <c r="J283">
        <v>48.5809</v>
      </c>
      <c r="K283" t="str">
        <f>IFERROR(INDEX(Rosters!$C$2:$C$155,MATCH($B283,Rosters!$B$2:$B$155,0)),"NA")</f>
        <v>NA</v>
      </c>
      <c r="L283" t="str">
        <f t="shared" si="12"/>
        <v>NA4QB</v>
      </c>
      <c r="M283">
        <f>COUNTIF(L$1:L283,L283)</f>
        <v>3</v>
      </c>
      <c r="N283" t="str">
        <f t="shared" si="13"/>
        <v>NA4QB-3</v>
      </c>
      <c r="O283">
        <f>COUNTIFS(F$1:F283,F283,A$1:A283,A283)</f>
        <v>16</v>
      </c>
      <c r="P283" t="str">
        <f t="shared" si="14"/>
        <v>Case Keenum4</v>
      </c>
    </row>
    <row r="284" spans="1:16" x14ac:dyDescent="0.25">
      <c r="A284">
        <v>4</v>
      </c>
      <c r="B284" t="s">
        <v>92</v>
      </c>
      <c r="C284" t="s">
        <v>4413</v>
      </c>
      <c r="D284">
        <v>17.79</v>
      </c>
      <c r="E284" t="s">
        <v>30</v>
      </c>
      <c r="F284" t="s">
        <v>47</v>
      </c>
      <c r="G284">
        <v>25.59</v>
      </c>
      <c r="H284">
        <v>9.99</v>
      </c>
      <c r="I284">
        <v>7.8</v>
      </c>
      <c r="J284">
        <v>60.84</v>
      </c>
      <c r="K284" t="str">
        <f>IFERROR(INDEX(Rosters!$C$2:$C$155,MATCH($B284,Rosters!$B$2:$B$155,0)),"NA")</f>
        <v>matty</v>
      </c>
      <c r="L284" t="str">
        <f t="shared" si="12"/>
        <v>matty4RB</v>
      </c>
      <c r="M284">
        <f>COUNTIF(L$1:L284,L284)</f>
        <v>1</v>
      </c>
      <c r="N284" t="str">
        <f t="shared" si="13"/>
        <v>matty4RB-1</v>
      </c>
      <c r="O284">
        <f>COUNTIFS(F$1:F284,F284,A$1:A284,A284)</f>
        <v>3</v>
      </c>
      <c r="P284" t="str">
        <f t="shared" si="14"/>
        <v>Melvin Gordon4</v>
      </c>
    </row>
    <row r="285" spans="1:16" x14ac:dyDescent="0.25">
      <c r="A285">
        <v>4</v>
      </c>
      <c r="B285" t="s">
        <v>70</v>
      </c>
      <c r="C285" t="s">
        <v>4414</v>
      </c>
      <c r="D285">
        <v>17.78</v>
      </c>
      <c r="E285" t="s">
        <v>22</v>
      </c>
      <c r="F285" t="s">
        <v>15</v>
      </c>
      <c r="G285">
        <v>26.33</v>
      </c>
      <c r="H285">
        <v>9.23</v>
      </c>
      <c r="I285">
        <v>8.5500000000000007</v>
      </c>
      <c r="J285">
        <v>73.102500000000006</v>
      </c>
      <c r="K285" t="str">
        <f>IFERROR(INDEX(Rosters!$C$2:$C$155,MATCH($B285,Rosters!$B$2:$B$155,0)),"NA")</f>
        <v>aj</v>
      </c>
      <c r="L285" t="str">
        <f t="shared" si="12"/>
        <v>aj4QB</v>
      </c>
      <c r="M285">
        <f>COUNTIF(L$1:L285,L285)</f>
        <v>2</v>
      </c>
      <c r="N285" t="str">
        <f t="shared" si="13"/>
        <v>aj4QB-2</v>
      </c>
      <c r="O285">
        <f>COUNTIFS(F$1:F285,F285,A$1:A285,A285)</f>
        <v>17</v>
      </c>
      <c r="P285" t="str">
        <f t="shared" si="14"/>
        <v>Matthew Stafford4</v>
      </c>
    </row>
    <row r="286" spans="1:16" x14ac:dyDescent="0.25">
      <c r="A286">
        <v>16</v>
      </c>
      <c r="B286" t="s">
        <v>26</v>
      </c>
      <c r="C286" t="s">
        <v>5872</v>
      </c>
      <c r="D286">
        <v>17.77</v>
      </c>
      <c r="E286" t="s">
        <v>74</v>
      </c>
      <c r="F286" t="s">
        <v>15</v>
      </c>
      <c r="G286">
        <v>24.28</v>
      </c>
      <c r="H286">
        <v>11.26</v>
      </c>
      <c r="I286">
        <v>6.51</v>
      </c>
      <c r="J286">
        <v>42.380099999999999</v>
      </c>
      <c r="K286" t="str">
        <f>IFERROR(INDEX(Rosters!$C$2:$C$155,MATCH($B286,Rosters!$B$2:$B$155,0)),"NA")</f>
        <v>aj</v>
      </c>
      <c r="L286" t="str">
        <f t="shared" si="12"/>
        <v>aj16QB</v>
      </c>
      <c r="M286">
        <f>COUNTIF(L$1:L286,L286)</f>
        <v>1</v>
      </c>
      <c r="N286" t="str">
        <f t="shared" si="13"/>
        <v>aj16QB-1</v>
      </c>
      <c r="O286">
        <f>COUNTIFS(F$1:F286,F286,A$1:A286,A286)</f>
        <v>17</v>
      </c>
      <c r="P286" t="str">
        <f t="shared" si="14"/>
        <v>Matt Ryan16</v>
      </c>
    </row>
    <row r="287" spans="1:16" x14ac:dyDescent="0.25">
      <c r="A287">
        <v>15</v>
      </c>
      <c r="B287" t="s">
        <v>26</v>
      </c>
      <c r="C287" t="s">
        <v>5873</v>
      </c>
      <c r="D287">
        <v>17.73</v>
      </c>
      <c r="E287" t="s">
        <v>58</v>
      </c>
      <c r="F287" t="s">
        <v>15</v>
      </c>
      <c r="G287">
        <v>24.12</v>
      </c>
      <c r="H287">
        <v>11.34</v>
      </c>
      <c r="I287">
        <v>6.39</v>
      </c>
      <c r="J287">
        <v>40.832099999999997</v>
      </c>
      <c r="K287" t="str">
        <f>IFERROR(INDEX(Rosters!$C$2:$C$155,MATCH($B287,Rosters!$B$2:$B$155,0)),"NA")</f>
        <v>aj</v>
      </c>
      <c r="L287" t="str">
        <f t="shared" si="12"/>
        <v>aj15QB</v>
      </c>
      <c r="M287">
        <f>COUNTIF(L$1:L287,L287)</f>
        <v>1</v>
      </c>
      <c r="N287" t="str">
        <f t="shared" si="13"/>
        <v>aj15QB-1</v>
      </c>
      <c r="O287">
        <f>COUNTIFS(F$1:F287,F287,A$1:A287,A287)</f>
        <v>16</v>
      </c>
      <c r="P287" t="str">
        <f t="shared" si="14"/>
        <v>Matt Ryan15</v>
      </c>
    </row>
    <row r="288" spans="1:16" x14ac:dyDescent="0.25">
      <c r="A288">
        <v>17</v>
      </c>
      <c r="B288" t="s">
        <v>95</v>
      </c>
      <c r="C288" t="s">
        <v>5874</v>
      </c>
      <c r="D288">
        <v>17.71</v>
      </c>
      <c r="E288" t="s">
        <v>50</v>
      </c>
      <c r="F288" t="s">
        <v>15</v>
      </c>
      <c r="G288">
        <v>25.19</v>
      </c>
      <c r="H288">
        <v>10.23</v>
      </c>
      <c r="I288">
        <v>7.48</v>
      </c>
      <c r="J288">
        <v>55.950400000000002</v>
      </c>
      <c r="K288" t="str">
        <f>IFERROR(INDEX(Rosters!$C$2:$C$155,MATCH($B288,Rosters!$B$2:$B$155,0)),"NA")</f>
        <v>matty</v>
      </c>
      <c r="L288" t="str">
        <f t="shared" si="12"/>
        <v>matty17QB</v>
      </c>
      <c r="M288">
        <f>COUNTIF(L$1:L288,L288)</f>
        <v>2</v>
      </c>
      <c r="N288" t="str">
        <f t="shared" si="13"/>
        <v>matty17QB-2</v>
      </c>
      <c r="O288">
        <f>COUNTIFS(F$1:F288,F288,A$1:A288,A288)</f>
        <v>19</v>
      </c>
      <c r="P288" t="str">
        <f t="shared" si="14"/>
        <v>Alex Smith17</v>
      </c>
    </row>
    <row r="289" spans="1:16" x14ac:dyDescent="0.25">
      <c r="A289">
        <v>14</v>
      </c>
      <c r="B289" t="s">
        <v>57</v>
      </c>
      <c r="C289" t="s">
        <v>5875</v>
      </c>
      <c r="D289">
        <v>17.71</v>
      </c>
      <c r="E289" t="s">
        <v>50</v>
      </c>
      <c r="F289" t="s">
        <v>47</v>
      </c>
      <c r="G289">
        <v>26.9</v>
      </c>
      <c r="H289">
        <v>8.52</v>
      </c>
      <c r="I289">
        <v>9.19</v>
      </c>
      <c r="J289">
        <v>84.456100000000006</v>
      </c>
      <c r="K289" t="str">
        <f>IFERROR(INDEX(Rosters!$C$2:$C$155,MATCH($B289,Rosters!$B$2:$B$155,0)),"NA")</f>
        <v>perry</v>
      </c>
      <c r="L289" t="str">
        <f t="shared" si="12"/>
        <v>perry14RB</v>
      </c>
      <c r="M289">
        <f>COUNTIF(L$1:L289,L289)</f>
        <v>1</v>
      </c>
      <c r="N289" t="str">
        <f t="shared" si="13"/>
        <v>perry14RB-1</v>
      </c>
      <c r="O289">
        <f>COUNTIFS(F$1:F289,F289,A$1:A289,A289)</f>
        <v>2</v>
      </c>
      <c r="P289" t="str">
        <f t="shared" si="14"/>
        <v>Ezekiel Elliott14</v>
      </c>
    </row>
    <row r="290" spans="1:16" x14ac:dyDescent="0.25">
      <c r="A290">
        <v>4</v>
      </c>
      <c r="B290" t="s">
        <v>83</v>
      </c>
      <c r="C290" t="s">
        <v>4415</v>
      </c>
      <c r="D290">
        <v>17.71</v>
      </c>
      <c r="E290" t="s">
        <v>25</v>
      </c>
      <c r="F290" t="s">
        <v>15</v>
      </c>
      <c r="G290">
        <v>26.06</v>
      </c>
      <c r="H290">
        <v>9.36</v>
      </c>
      <c r="I290">
        <v>8.35</v>
      </c>
      <c r="J290">
        <v>69.722499999999997</v>
      </c>
      <c r="K290" t="str">
        <f>IFERROR(INDEX(Rosters!$C$2:$C$155,MATCH($B290,Rosters!$B$2:$B$155,0)),"NA")</f>
        <v>cory</v>
      </c>
      <c r="L290" t="str">
        <f t="shared" si="12"/>
        <v>cory4QB</v>
      </c>
      <c r="M290">
        <f>COUNTIF(L$1:L290,L290)</f>
        <v>2</v>
      </c>
      <c r="N290" t="str">
        <f t="shared" si="13"/>
        <v>cory4QB-2</v>
      </c>
      <c r="O290">
        <f>COUNTIFS(F$1:F290,F290,A$1:A290,A290)</f>
        <v>18</v>
      </c>
      <c r="P290" t="str">
        <f t="shared" si="14"/>
        <v>Jared Goff4</v>
      </c>
    </row>
    <row r="291" spans="1:16" x14ac:dyDescent="0.25">
      <c r="A291">
        <v>5</v>
      </c>
      <c r="B291" t="s">
        <v>92</v>
      </c>
      <c r="C291" t="s">
        <v>5876</v>
      </c>
      <c r="D291">
        <v>17.71</v>
      </c>
      <c r="E291" t="s">
        <v>32</v>
      </c>
      <c r="F291" t="s">
        <v>47</v>
      </c>
      <c r="G291">
        <v>25.23</v>
      </c>
      <c r="H291">
        <v>10.19</v>
      </c>
      <c r="I291">
        <v>7.52</v>
      </c>
      <c r="J291">
        <v>56.550400000000003</v>
      </c>
      <c r="K291" t="str">
        <f>IFERROR(INDEX(Rosters!$C$2:$C$155,MATCH($B291,Rosters!$B$2:$B$155,0)),"NA")</f>
        <v>matty</v>
      </c>
      <c r="L291" t="str">
        <f t="shared" si="12"/>
        <v>matty5RB</v>
      </c>
      <c r="M291">
        <f>COUNTIF(L$1:L291,L291)</f>
        <v>1</v>
      </c>
      <c r="N291" t="str">
        <f t="shared" si="13"/>
        <v>matty5RB-1</v>
      </c>
      <c r="O291">
        <f>COUNTIFS(F$1:F291,F291,A$1:A291,A291)</f>
        <v>2</v>
      </c>
      <c r="P291" t="str">
        <f t="shared" si="14"/>
        <v>Melvin Gordon5</v>
      </c>
    </row>
    <row r="292" spans="1:16" x14ac:dyDescent="0.25">
      <c r="A292">
        <v>2</v>
      </c>
      <c r="B292" t="s">
        <v>1100</v>
      </c>
      <c r="C292" t="s">
        <v>3301</v>
      </c>
      <c r="D292">
        <v>17.71</v>
      </c>
      <c r="E292" t="s">
        <v>58</v>
      </c>
      <c r="F292" t="s">
        <v>47</v>
      </c>
      <c r="G292">
        <v>26.28</v>
      </c>
      <c r="H292">
        <v>9.14</v>
      </c>
      <c r="I292">
        <v>8.57</v>
      </c>
      <c r="J292">
        <v>73.444900000000004</v>
      </c>
      <c r="K292" t="str">
        <f>IFERROR(INDEX(Rosters!$C$2:$C$155,MATCH($B292,Rosters!$B$2:$B$155,0)),"NA")</f>
        <v>chad</v>
      </c>
      <c r="L292" t="str">
        <f t="shared" si="12"/>
        <v>chad2RB</v>
      </c>
      <c r="M292">
        <f>COUNTIF(L$1:L292,L292)</f>
        <v>1</v>
      </c>
      <c r="N292" t="str">
        <f t="shared" si="13"/>
        <v>chad2RB-1</v>
      </c>
      <c r="O292">
        <f>COUNTIFS(F$1:F292,F292,A$1:A292,A292)</f>
        <v>2</v>
      </c>
      <c r="P292" t="str">
        <f t="shared" si="14"/>
        <v>Todd Gurley II2</v>
      </c>
    </row>
    <row r="293" spans="1:16" x14ac:dyDescent="0.25">
      <c r="A293">
        <v>4</v>
      </c>
      <c r="B293" t="s">
        <v>257</v>
      </c>
      <c r="C293" t="s">
        <v>4416</v>
      </c>
      <c r="D293">
        <v>17.7</v>
      </c>
      <c r="E293" t="s">
        <v>54</v>
      </c>
      <c r="F293" t="s">
        <v>47</v>
      </c>
      <c r="G293">
        <v>25.48</v>
      </c>
      <c r="H293">
        <v>9.92</v>
      </c>
      <c r="I293">
        <v>7.78</v>
      </c>
      <c r="J293">
        <v>60.528399999999998</v>
      </c>
      <c r="K293" t="str">
        <f>IFERROR(INDEX(Rosters!$C$2:$C$155,MATCH($B293,Rosters!$B$2:$B$155,0)),"NA")</f>
        <v>scott</v>
      </c>
      <c r="L293" t="str">
        <f t="shared" si="12"/>
        <v>scott4RB</v>
      </c>
      <c r="M293">
        <f>COUNTIF(L$1:L293,L293)</f>
        <v>1</v>
      </c>
      <c r="N293" t="str">
        <f t="shared" si="13"/>
        <v>scott4RB-1</v>
      </c>
      <c r="O293">
        <f>COUNTIFS(F$1:F293,F293,A$1:A293,A293)</f>
        <v>4</v>
      </c>
      <c r="P293" t="str">
        <f t="shared" si="14"/>
        <v>Alvin Kamara4</v>
      </c>
    </row>
    <row r="294" spans="1:16" x14ac:dyDescent="0.25">
      <c r="A294">
        <v>13</v>
      </c>
      <c r="B294" t="s">
        <v>67</v>
      </c>
      <c r="C294" t="s">
        <v>5877</v>
      </c>
      <c r="D294">
        <v>17.7</v>
      </c>
      <c r="E294" t="s">
        <v>51</v>
      </c>
      <c r="F294" t="s">
        <v>15</v>
      </c>
      <c r="G294">
        <v>25.16</v>
      </c>
      <c r="H294">
        <v>10.24</v>
      </c>
      <c r="I294">
        <v>7.46</v>
      </c>
      <c r="J294">
        <v>55.651600000000002</v>
      </c>
      <c r="K294" t="str">
        <f>IFERROR(INDEX(Rosters!$C$2:$C$155,MATCH($B294,Rosters!$B$2:$B$155,0)),"NA")</f>
        <v>comp</v>
      </c>
      <c r="L294" t="str">
        <f t="shared" si="12"/>
        <v>comp13QB</v>
      </c>
      <c r="M294">
        <f>COUNTIF(L$1:L294,L294)</f>
        <v>1</v>
      </c>
      <c r="N294" t="str">
        <f t="shared" si="13"/>
        <v>comp13QB-1</v>
      </c>
      <c r="O294">
        <f>COUNTIFS(F$1:F294,F294,A$1:A294,A294)</f>
        <v>17</v>
      </c>
      <c r="P294" t="str">
        <f t="shared" si="14"/>
        <v>Philip Rivers13</v>
      </c>
    </row>
    <row r="295" spans="1:16" x14ac:dyDescent="0.25">
      <c r="A295">
        <v>11</v>
      </c>
      <c r="B295" t="s">
        <v>65</v>
      </c>
      <c r="C295" t="s">
        <v>5878</v>
      </c>
      <c r="D295">
        <v>17.690000000000001</v>
      </c>
      <c r="E295" t="s">
        <v>76</v>
      </c>
      <c r="F295" t="s">
        <v>15</v>
      </c>
      <c r="G295">
        <v>25.03</v>
      </c>
      <c r="H295">
        <v>10.35</v>
      </c>
      <c r="I295">
        <v>7.34</v>
      </c>
      <c r="J295">
        <v>53.875599999999999</v>
      </c>
      <c r="K295" t="str">
        <f>IFERROR(INDEX(Rosters!$C$2:$C$155,MATCH($B295,Rosters!$B$2:$B$155,0)),"NA")</f>
        <v>lucas</v>
      </c>
      <c r="L295" t="str">
        <f t="shared" si="12"/>
        <v>lucas11QB</v>
      </c>
      <c r="M295">
        <f>COUNTIF(L$1:L295,L295)</f>
        <v>1</v>
      </c>
      <c r="N295" t="str">
        <f t="shared" si="13"/>
        <v>lucas11QB-1</v>
      </c>
      <c r="O295">
        <f>COUNTIFS(F$1:F295,F295,A$1:A295,A295)</f>
        <v>16</v>
      </c>
      <c r="P295" t="str">
        <f t="shared" si="14"/>
        <v>Ben Roethlisberger11</v>
      </c>
    </row>
    <row r="296" spans="1:16" x14ac:dyDescent="0.25">
      <c r="A296">
        <v>7</v>
      </c>
      <c r="B296" t="s">
        <v>63</v>
      </c>
      <c r="C296" t="s">
        <v>5879</v>
      </c>
      <c r="D296">
        <v>17.68</v>
      </c>
      <c r="E296" t="s">
        <v>24</v>
      </c>
      <c r="F296" t="s">
        <v>15</v>
      </c>
      <c r="G296">
        <v>23.27</v>
      </c>
      <c r="H296">
        <v>12.09</v>
      </c>
      <c r="I296">
        <v>5.59</v>
      </c>
      <c r="J296">
        <v>31.248100000000001</v>
      </c>
      <c r="K296" t="str">
        <f>IFERROR(INDEX(Rosters!$C$2:$C$155,MATCH($B296,Rosters!$B$2:$B$155,0)),"NA")</f>
        <v>scott</v>
      </c>
      <c r="L296" t="str">
        <f t="shared" si="12"/>
        <v>scott7QB</v>
      </c>
      <c r="M296">
        <f>COUNTIF(L$1:L296,L296)</f>
        <v>2</v>
      </c>
      <c r="N296" t="str">
        <f t="shared" si="13"/>
        <v>scott7QB-2</v>
      </c>
      <c r="O296">
        <f>COUNTIFS(F$1:F296,F296,A$1:A296,A296)</f>
        <v>14</v>
      </c>
      <c r="P296" t="str">
        <f t="shared" si="14"/>
        <v>Andy Dalton7</v>
      </c>
    </row>
    <row r="297" spans="1:16" x14ac:dyDescent="0.25">
      <c r="A297">
        <v>10</v>
      </c>
      <c r="B297" t="s">
        <v>92</v>
      </c>
      <c r="C297" t="s">
        <v>5880</v>
      </c>
      <c r="D297">
        <v>17.600000000000001</v>
      </c>
      <c r="E297" t="s">
        <v>32</v>
      </c>
      <c r="F297" t="s">
        <v>47</v>
      </c>
      <c r="G297">
        <v>26.69</v>
      </c>
      <c r="H297">
        <v>8.51</v>
      </c>
      <c r="I297">
        <v>9.09</v>
      </c>
      <c r="J297">
        <v>82.628100000000003</v>
      </c>
      <c r="K297" t="str">
        <f>IFERROR(INDEX(Rosters!$C$2:$C$155,MATCH($B297,Rosters!$B$2:$B$155,0)),"NA")</f>
        <v>matty</v>
      </c>
      <c r="L297" t="str">
        <f t="shared" si="12"/>
        <v>matty10RB</v>
      </c>
      <c r="M297">
        <f>COUNTIF(L$1:L297,L297)</f>
        <v>1</v>
      </c>
      <c r="N297" t="str">
        <f t="shared" si="13"/>
        <v>matty10RB-1</v>
      </c>
      <c r="O297">
        <f>COUNTIFS(F$1:F297,F297,A$1:A297,A297)</f>
        <v>2</v>
      </c>
      <c r="P297" t="str">
        <f t="shared" si="14"/>
        <v>Melvin Gordon10</v>
      </c>
    </row>
    <row r="298" spans="1:16" x14ac:dyDescent="0.25">
      <c r="A298">
        <v>5</v>
      </c>
      <c r="B298" t="s">
        <v>59</v>
      </c>
      <c r="C298" t="s">
        <v>5881</v>
      </c>
      <c r="D298">
        <v>17.57</v>
      </c>
      <c r="E298" t="s">
        <v>36</v>
      </c>
      <c r="F298" t="s">
        <v>15</v>
      </c>
      <c r="G298">
        <v>24.89</v>
      </c>
      <c r="H298">
        <v>10.25</v>
      </c>
      <c r="I298">
        <v>7.32</v>
      </c>
      <c r="J298">
        <v>53.5824</v>
      </c>
      <c r="K298" t="str">
        <f>IFERROR(INDEX(Rosters!$C$2:$C$155,MATCH($B298,Rosters!$B$2:$B$155,0)),"NA")</f>
        <v>NA</v>
      </c>
      <c r="L298" t="str">
        <f t="shared" si="12"/>
        <v>NA5QB</v>
      </c>
      <c r="M298">
        <f>COUNTIF(L$1:L298,L298)</f>
        <v>3</v>
      </c>
      <c r="N298" t="str">
        <f t="shared" si="13"/>
        <v>NA5QB-3</v>
      </c>
      <c r="O298">
        <f>COUNTIFS(F$1:F298,F298,A$1:A298,A298)</f>
        <v>17</v>
      </c>
      <c r="P298" t="str">
        <f t="shared" si="14"/>
        <v>Dak Prescott5</v>
      </c>
    </row>
    <row r="299" spans="1:16" x14ac:dyDescent="0.25">
      <c r="A299">
        <v>3</v>
      </c>
      <c r="B299" t="s">
        <v>57</v>
      </c>
      <c r="C299" t="s">
        <v>3614</v>
      </c>
      <c r="D299">
        <v>17.57</v>
      </c>
      <c r="E299" t="s">
        <v>28</v>
      </c>
      <c r="F299" t="s">
        <v>47</v>
      </c>
      <c r="G299">
        <v>28</v>
      </c>
      <c r="H299">
        <v>7.14</v>
      </c>
      <c r="I299">
        <v>10.43</v>
      </c>
      <c r="J299">
        <v>108.78489999999999</v>
      </c>
      <c r="K299" t="str">
        <f>IFERROR(INDEX(Rosters!$C$2:$C$155,MATCH($B299,Rosters!$B$2:$B$155,0)),"NA")</f>
        <v>perry</v>
      </c>
      <c r="L299" t="str">
        <f t="shared" si="12"/>
        <v>perry3RB</v>
      </c>
      <c r="M299">
        <f>COUNTIF(L$1:L299,L299)</f>
        <v>1</v>
      </c>
      <c r="N299" t="str">
        <f t="shared" si="13"/>
        <v>perry3RB-1</v>
      </c>
      <c r="O299">
        <f>COUNTIFS(F$1:F299,F299,A$1:A299,A299)</f>
        <v>2</v>
      </c>
      <c r="P299" t="str">
        <f t="shared" si="14"/>
        <v>Ezekiel Elliott3</v>
      </c>
    </row>
    <row r="300" spans="1:16" x14ac:dyDescent="0.25">
      <c r="A300">
        <v>9</v>
      </c>
      <c r="B300" t="s">
        <v>26</v>
      </c>
      <c r="C300" t="s">
        <v>5882</v>
      </c>
      <c r="D300">
        <v>17.55</v>
      </c>
      <c r="E300" t="s">
        <v>60</v>
      </c>
      <c r="F300" t="s">
        <v>15</v>
      </c>
      <c r="G300">
        <v>24.29</v>
      </c>
      <c r="H300">
        <v>10.81</v>
      </c>
      <c r="I300">
        <v>6.74</v>
      </c>
      <c r="J300">
        <v>45.427599999999998</v>
      </c>
      <c r="K300" t="str">
        <f>IFERROR(INDEX(Rosters!$C$2:$C$155,MATCH($B300,Rosters!$B$2:$B$155,0)),"NA")</f>
        <v>aj</v>
      </c>
      <c r="L300" t="str">
        <f t="shared" si="12"/>
        <v>aj9QB</v>
      </c>
      <c r="M300">
        <f>COUNTIF(L$1:L300,L300)</f>
        <v>1</v>
      </c>
      <c r="N300" t="str">
        <f t="shared" si="13"/>
        <v>aj9QB-1</v>
      </c>
      <c r="O300">
        <f>COUNTIFS(F$1:F300,F300,A$1:A300,A300)</f>
        <v>15</v>
      </c>
      <c r="P300" t="str">
        <f t="shared" si="14"/>
        <v>Matt Ryan9</v>
      </c>
    </row>
    <row r="301" spans="1:16" x14ac:dyDescent="0.25">
      <c r="A301">
        <v>17</v>
      </c>
      <c r="B301" t="s">
        <v>1213</v>
      </c>
      <c r="C301" t="s">
        <v>5883</v>
      </c>
      <c r="D301">
        <v>17.54</v>
      </c>
      <c r="E301" t="s">
        <v>37</v>
      </c>
      <c r="F301" t="s">
        <v>15</v>
      </c>
      <c r="G301">
        <v>23.92</v>
      </c>
      <c r="H301">
        <v>11.16</v>
      </c>
      <c r="I301">
        <v>6.38</v>
      </c>
      <c r="J301">
        <v>40.7044</v>
      </c>
      <c r="K301" t="str">
        <f>IFERROR(INDEX(Rosters!$C$2:$C$155,MATCH($B301,Rosters!$B$2:$B$155,0)),"NA")</f>
        <v>NA</v>
      </c>
      <c r="L301" t="str">
        <f t="shared" si="12"/>
        <v>NA17QB</v>
      </c>
      <c r="M301">
        <f>COUNTIF(L$1:L301,L301)</f>
        <v>7</v>
      </c>
      <c r="N301" t="str">
        <f t="shared" si="13"/>
        <v>NA17QB-7</v>
      </c>
      <c r="O301">
        <f>COUNTIFS(F$1:F301,F301,A$1:A301,A301)</f>
        <v>20</v>
      </c>
      <c r="P301" t="str">
        <f t="shared" si="14"/>
        <v>Case Keenum17</v>
      </c>
    </row>
    <row r="302" spans="1:16" x14ac:dyDescent="0.25">
      <c r="A302">
        <v>3</v>
      </c>
      <c r="B302" t="s">
        <v>43</v>
      </c>
      <c r="C302" t="s">
        <v>3615</v>
      </c>
      <c r="D302">
        <v>17.54</v>
      </c>
      <c r="E302" t="s">
        <v>29</v>
      </c>
      <c r="F302" t="s">
        <v>15</v>
      </c>
      <c r="G302">
        <v>24.2</v>
      </c>
      <c r="H302">
        <v>10.88</v>
      </c>
      <c r="I302">
        <v>6.66</v>
      </c>
      <c r="J302">
        <v>44.355600000000003</v>
      </c>
      <c r="K302" t="str">
        <f>IFERROR(INDEX(Rosters!$C$2:$C$155,MATCH($B302,Rosters!$B$2:$B$155,0)),"NA")</f>
        <v>NA</v>
      </c>
      <c r="L302" t="str">
        <f t="shared" si="12"/>
        <v>NA3QB</v>
      </c>
      <c r="M302">
        <f>COUNTIF(L$1:L302,L302)</f>
        <v>2</v>
      </c>
      <c r="N302" t="str">
        <f t="shared" si="13"/>
        <v>NA3QB-2</v>
      </c>
      <c r="O302">
        <f>COUNTIFS(F$1:F302,F302,A$1:A302,A302)</f>
        <v>14</v>
      </c>
      <c r="P302" t="str">
        <f t="shared" si="14"/>
        <v>Kirk Cousins3</v>
      </c>
    </row>
    <row r="303" spans="1:16" x14ac:dyDescent="0.25">
      <c r="A303">
        <v>14</v>
      </c>
      <c r="B303" t="s">
        <v>92</v>
      </c>
      <c r="C303" t="s">
        <v>5884</v>
      </c>
      <c r="D303">
        <v>17.54</v>
      </c>
      <c r="E303" t="s">
        <v>31</v>
      </c>
      <c r="F303" t="s">
        <v>47</v>
      </c>
      <c r="G303">
        <v>27.03</v>
      </c>
      <c r="H303">
        <v>8.0500000000000007</v>
      </c>
      <c r="I303">
        <v>9.49</v>
      </c>
      <c r="J303">
        <v>90.060100000000006</v>
      </c>
      <c r="K303" t="str">
        <f>IFERROR(INDEX(Rosters!$C$2:$C$155,MATCH($B303,Rosters!$B$2:$B$155,0)),"NA")</f>
        <v>matty</v>
      </c>
      <c r="L303" t="str">
        <f t="shared" si="12"/>
        <v>matty14RB</v>
      </c>
      <c r="M303">
        <f>COUNTIF(L$1:L303,L303)</f>
        <v>1</v>
      </c>
      <c r="N303" t="str">
        <f t="shared" si="13"/>
        <v>matty14RB-1</v>
      </c>
      <c r="O303">
        <f>COUNTIFS(F$1:F303,F303,A$1:A303,A303)</f>
        <v>3</v>
      </c>
      <c r="P303" t="str">
        <f t="shared" si="14"/>
        <v>Melvin Gordon14</v>
      </c>
    </row>
    <row r="304" spans="1:16" x14ac:dyDescent="0.25">
      <c r="A304">
        <v>3</v>
      </c>
      <c r="B304" t="s">
        <v>79</v>
      </c>
      <c r="C304" t="s">
        <v>3616</v>
      </c>
      <c r="D304">
        <v>17.510000000000002</v>
      </c>
      <c r="E304" t="s">
        <v>38</v>
      </c>
      <c r="F304" t="s">
        <v>15</v>
      </c>
      <c r="G304">
        <v>24.77</v>
      </c>
      <c r="H304">
        <v>10.25</v>
      </c>
      <c r="I304">
        <v>7.26</v>
      </c>
      <c r="J304">
        <v>52.707599999999999</v>
      </c>
      <c r="K304" t="str">
        <f>IFERROR(INDEX(Rosters!$C$2:$C$155,MATCH($B304,Rosters!$B$2:$B$155,0)),"NA")</f>
        <v>NA</v>
      </c>
      <c r="L304" t="str">
        <f t="shared" si="12"/>
        <v>NA3QB</v>
      </c>
      <c r="M304">
        <f>COUNTIF(L$1:L304,L304)</f>
        <v>3</v>
      </c>
      <c r="N304" t="str">
        <f t="shared" si="13"/>
        <v>NA3QB-3</v>
      </c>
      <c r="O304">
        <f>COUNTIFS(F$1:F304,F304,A$1:A304,A304)</f>
        <v>15</v>
      </c>
      <c r="P304" t="str">
        <f t="shared" si="14"/>
        <v>Blake Bortles3</v>
      </c>
    </row>
    <row r="305" spans="1:16" x14ac:dyDescent="0.25">
      <c r="A305">
        <v>16</v>
      </c>
      <c r="B305" t="s">
        <v>71</v>
      </c>
      <c r="C305" t="s">
        <v>5885</v>
      </c>
      <c r="D305">
        <v>17.510000000000002</v>
      </c>
      <c r="E305" t="s">
        <v>42</v>
      </c>
      <c r="F305" t="s">
        <v>15</v>
      </c>
      <c r="G305">
        <v>25.67</v>
      </c>
      <c r="H305">
        <v>9.35</v>
      </c>
      <c r="I305">
        <v>8.16</v>
      </c>
      <c r="J305">
        <v>66.585599999999999</v>
      </c>
      <c r="K305" t="str">
        <f>IFERROR(INDEX(Rosters!$C$2:$C$155,MATCH($B305,Rosters!$B$2:$B$155,0)),"NA")</f>
        <v>NA</v>
      </c>
      <c r="L305" t="str">
        <f t="shared" si="12"/>
        <v>NA16QB</v>
      </c>
      <c r="M305">
        <f>COUNTIF(L$1:L305,L305)</f>
        <v>6</v>
      </c>
      <c r="N305" t="str">
        <f t="shared" si="13"/>
        <v>NA16QB-6</v>
      </c>
      <c r="O305">
        <f>COUNTIFS(F$1:F305,F305,A$1:A305,A305)</f>
        <v>18</v>
      </c>
      <c r="P305" t="str">
        <f t="shared" si="14"/>
        <v>Derek Carr16</v>
      </c>
    </row>
    <row r="306" spans="1:16" x14ac:dyDescent="0.25">
      <c r="A306">
        <v>13</v>
      </c>
      <c r="B306" t="s">
        <v>61</v>
      </c>
      <c r="C306" t="s">
        <v>5886</v>
      </c>
      <c r="D306">
        <v>17.510000000000002</v>
      </c>
      <c r="E306" t="s">
        <v>74</v>
      </c>
      <c r="F306" t="s">
        <v>15</v>
      </c>
      <c r="G306">
        <v>24.15</v>
      </c>
      <c r="H306">
        <v>10.87</v>
      </c>
      <c r="I306">
        <v>6.64</v>
      </c>
      <c r="J306">
        <v>44.089599999999997</v>
      </c>
      <c r="K306" t="str">
        <f>IFERROR(INDEX(Rosters!$C$2:$C$155,MATCH($B306,Rosters!$B$2:$B$155,0)),"NA")</f>
        <v>NA</v>
      </c>
      <c r="L306" t="str">
        <f t="shared" si="12"/>
        <v>NA13QB</v>
      </c>
      <c r="M306">
        <f>COUNTIF(L$1:L306,L306)</f>
        <v>5</v>
      </c>
      <c r="N306" t="str">
        <f t="shared" si="13"/>
        <v>NA13QB-5</v>
      </c>
      <c r="O306">
        <f>COUNTIFS(F$1:F306,F306,A$1:A306,A306)</f>
        <v>18</v>
      </c>
      <c r="P306" t="str">
        <f t="shared" si="14"/>
        <v>Jameis Winston13</v>
      </c>
    </row>
    <row r="307" spans="1:16" x14ac:dyDescent="0.25">
      <c r="A307">
        <v>5</v>
      </c>
      <c r="B307" t="s">
        <v>257</v>
      </c>
      <c r="C307" t="s">
        <v>5887</v>
      </c>
      <c r="D307">
        <v>17.45</v>
      </c>
      <c r="E307" t="s">
        <v>60</v>
      </c>
      <c r="F307" t="s">
        <v>47</v>
      </c>
      <c r="G307">
        <v>25.87</v>
      </c>
      <c r="H307">
        <v>9.0299999999999994</v>
      </c>
      <c r="I307">
        <v>8.42</v>
      </c>
      <c r="J307">
        <v>70.8964</v>
      </c>
      <c r="K307" t="str">
        <f>IFERROR(INDEX(Rosters!$C$2:$C$155,MATCH($B307,Rosters!$B$2:$B$155,0)),"NA")</f>
        <v>scott</v>
      </c>
      <c r="L307" t="str">
        <f t="shared" si="12"/>
        <v>scott5RB</v>
      </c>
      <c r="M307">
        <f>COUNTIF(L$1:L307,L307)</f>
        <v>1</v>
      </c>
      <c r="N307" t="str">
        <f t="shared" si="13"/>
        <v>scott5RB-1</v>
      </c>
      <c r="O307">
        <f>COUNTIFS(F$1:F307,F307,A$1:A307,A307)</f>
        <v>3</v>
      </c>
      <c r="P307" t="str">
        <f t="shared" si="14"/>
        <v>Alvin Kamara5</v>
      </c>
    </row>
    <row r="308" spans="1:16" x14ac:dyDescent="0.25">
      <c r="A308">
        <v>15</v>
      </c>
      <c r="B308" t="s">
        <v>1213</v>
      </c>
      <c r="C308" t="s">
        <v>5888</v>
      </c>
      <c r="D308">
        <v>17.45</v>
      </c>
      <c r="E308" t="s">
        <v>52</v>
      </c>
      <c r="F308" t="s">
        <v>15</v>
      </c>
      <c r="G308">
        <v>24.62</v>
      </c>
      <c r="H308">
        <v>10.28</v>
      </c>
      <c r="I308">
        <v>7.17</v>
      </c>
      <c r="J308">
        <v>51.408900000000003</v>
      </c>
      <c r="K308" t="str">
        <f>IFERROR(INDEX(Rosters!$C$2:$C$155,MATCH($B308,Rosters!$B$2:$B$155,0)),"NA")</f>
        <v>NA</v>
      </c>
      <c r="L308" t="str">
        <f t="shared" si="12"/>
        <v>NA15QB</v>
      </c>
      <c r="M308">
        <f>COUNTIF(L$1:L308,L308)</f>
        <v>5</v>
      </c>
      <c r="N308" t="str">
        <f t="shared" si="13"/>
        <v>NA15QB-5</v>
      </c>
      <c r="O308">
        <f>COUNTIFS(F$1:F308,F308,A$1:A308,A308)</f>
        <v>17</v>
      </c>
      <c r="P308" t="str">
        <f t="shared" si="14"/>
        <v>Case Keenum15</v>
      </c>
    </row>
    <row r="309" spans="1:16" x14ac:dyDescent="0.25">
      <c r="A309">
        <v>16</v>
      </c>
      <c r="B309" t="s">
        <v>83</v>
      </c>
      <c r="C309" t="s">
        <v>5889</v>
      </c>
      <c r="D309">
        <v>17.45</v>
      </c>
      <c r="E309" t="s">
        <v>58</v>
      </c>
      <c r="F309" t="s">
        <v>15</v>
      </c>
      <c r="G309">
        <v>24.12</v>
      </c>
      <c r="H309">
        <v>10.78</v>
      </c>
      <c r="I309">
        <v>6.67</v>
      </c>
      <c r="J309">
        <v>44.488900000000001</v>
      </c>
      <c r="K309" t="str">
        <f>IFERROR(INDEX(Rosters!$C$2:$C$155,MATCH($B309,Rosters!$B$2:$B$155,0)),"NA")</f>
        <v>cory</v>
      </c>
      <c r="L309" t="str">
        <f t="shared" si="12"/>
        <v>cory16QB</v>
      </c>
      <c r="M309">
        <f>COUNTIF(L$1:L309,L309)</f>
        <v>2</v>
      </c>
      <c r="N309" t="str">
        <f t="shared" si="13"/>
        <v>cory16QB-2</v>
      </c>
      <c r="O309">
        <f>COUNTIFS(F$1:F309,F309,A$1:A309,A309)</f>
        <v>19</v>
      </c>
      <c r="P309" t="str">
        <f t="shared" si="14"/>
        <v>Jared Goff16</v>
      </c>
    </row>
    <row r="310" spans="1:16" x14ac:dyDescent="0.25">
      <c r="A310">
        <v>4</v>
      </c>
      <c r="B310" t="s">
        <v>59</v>
      </c>
      <c r="C310" t="s">
        <v>4417</v>
      </c>
      <c r="D310">
        <v>17.43</v>
      </c>
      <c r="E310" t="s">
        <v>34</v>
      </c>
      <c r="F310" t="s">
        <v>15</v>
      </c>
      <c r="G310">
        <v>25.45</v>
      </c>
      <c r="H310">
        <v>9.41</v>
      </c>
      <c r="I310">
        <v>8.02</v>
      </c>
      <c r="J310">
        <v>64.320400000000006</v>
      </c>
      <c r="K310" t="str">
        <f>IFERROR(INDEX(Rosters!$C$2:$C$155,MATCH($B310,Rosters!$B$2:$B$155,0)),"NA")</f>
        <v>NA</v>
      </c>
      <c r="L310" t="str">
        <f t="shared" si="12"/>
        <v>NA4QB</v>
      </c>
      <c r="M310">
        <f>COUNTIF(L$1:L310,L310)</f>
        <v>4</v>
      </c>
      <c r="N310" t="str">
        <f t="shared" si="13"/>
        <v>NA4QB-4</v>
      </c>
      <c r="O310">
        <f>COUNTIFS(F$1:F310,F310,A$1:A310,A310)</f>
        <v>19</v>
      </c>
      <c r="P310" t="str">
        <f t="shared" si="14"/>
        <v>Dak Prescott4</v>
      </c>
    </row>
    <row r="311" spans="1:16" x14ac:dyDescent="0.25">
      <c r="A311">
        <v>2</v>
      </c>
      <c r="B311" t="s">
        <v>83</v>
      </c>
      <c r="C311" t="s">
        <v>1276</v>
      </c>
      <c r="D311">
        <v>17.420000000000002</v>
      </c>
      <c r="E311" t="s">
        <v>58</v>
      </c>
      <c r="F311" t="s">
        <v>15</v>
      </c>
      <c r="G311">
        <v>24.41</v>
      </c>
      <c r="H311">
        <v>10.43</v>
      </c>
      <c r="I311">
        <v>6.99</v>
      </c>
      <c r="J311">
        <v>48.860100000000003</v>
      </c>
      <c r="K311" t="str">
        <f>IFERROR(INDEX(Rosters!$C$2:$C$155,MATCH($B311,Rosters!$B$2:$B$155,0)),"NA")</f>
        <v>cory</v>
      </c>
      <c r="L311" t="str">
        <f t="shared" si="12"/>
        <v>cory2QB</v>
      </c>
      <c r="M311">
        <f>COUNTIF(L$1:L311,L311)</f>
        <v>2</v>
      </c>
      <c r="N311" t="str">
        <f t="shared" si="13"/>
        <v>cory2QB-2</v>
      </c>
      <c r="O311">
        <f>COUNTIFS(F$1:F311,F311,A$1:A311,A311)</f>
        <v>13</v>
      </c>
      <c r="P311" t="str">
        <f t="shared" si="14"/>
        <v>Jared Goff2</v>
      </c>
    </row>
    <row r="312" spans="1:16" x14ac:dyDescent="0.25">
      <c r="A312">
        <v>15</v>
      </c>
      <c r="B312" t="s">
        <v>53</v>
      </c>
      <c r="C312" t="s">
        <v>5890</v>
      </c>
      <c r="D312">
        <v>17.420000000000002</v>
      </c>
      <c r="E312" t="s">
        <v>30</v>
      </c>
      <c r="F312" t="s">
        <v>15</v>
      </c>
      <c r="G312">
        <v>25.09</v>
      </c>
      <c r="H312">
        <v>9.75</v>
      </c>
      <c r="I312">
        <v>7.67</v>
      </c>
      <c r="J312">
        <v>58.828899999999997</v>
      </c>
      <c r="K312" t="str">
        <f>IFERROR(INDEX(Rosters!$C$2:$C$155,MATCH($B312,Rosters!$B$2:$B$155,0)),"NA")</f>
        <v>seth</v>
      </c>
      <c r="L312" t="str">
        <f t="shared" si="12"/>
        <v>seth15QB</v>
      </c>
      <c r="M312">
        <f>COUNTIF(L$1:L312,L312)</f>
        <v>1</v>
      </c>
      <c r="N312" t="str">
        <f t="shared" si="13"/>
        <v>seth15QB-1</v>
      </c>
      <c r="O312">
        <f>COUNTIFS(F$1:F312,F312,A$1:A312,A312)</f>
        <v>18</v>
      </c>
      <c r="P312" t="str">
        <f t="shared" si="14"/>
        <v>Russell Wilson15</v>
      </c>
    </row>
    <row r="313" spans="1:16" x14ac:dyDescent="0.25">
      <c r="A313">
        <v>15</v>
      </c>
      <c r="B313" t="s">
        <v>33</v>
      </c>
      <c r="C313" t="s">
        <v>5891</v>
      </c>
      <c r="D313">
        <v>17.41</v>
      </c>
      <c r="E313" t="s">
        <v>22</v>
      </c>
      <c r="F313" t="s">
        <v>15</v>
      </c>
      <c r="G313">
        <v>23.49</v>
      </c>
      <c r="H313">
        <v>11.33</v>
      </c>
      <c r="I313">
        <v>6.08</v>
      </c>
      <c r="J313">
        <v>36.9664</v>
      </c>
      <c r="K313" t="str">
        <f>IFERROR(INDEX(Rosters!$C$2:$C$155,MATCH($B313,Rosters!$B$2:$B$155,0)),"NA")</f>
        <v>comp</v>
      </c>
      <c r="L313" t="str">
        <f t="shared" si="12"/>
        <v>comp15QB</v>
      </c>
      <c r="M313">
        <f>COUNTIF(L$1:L313,L313)</f>
        <v>2</v>
      </c>
      <c r="N313" t="str">
        <f t="shared" si="13"/>
        <v>comp15QB-2</v>
      </c>
      <c r="O313">
        <f>COUNTIFS(F$1:F313,F313,A$1:A313,A313)</f>
        <v>19</v>
      </c>
      <c r="P313" t="str">
        <f t="shared" si="14"/>
        <v>Andrew Luck15</v>
      </c>
    </row>
    <row r="314" spans="1:16" x14ac:dyDescent="0.25">
      <c r="A314">
        <v>5</v>
      </c>
      <c r="B314" t="s">
        <v>57</v>
      </c>
      <c r="C314" t="s">
        <v>5892</v>
      </c>
      <c r="D314">
        <v>17.41</v>
      </c>
      <c r="E314" t="s">
        <v>36</v>
      </c>
      <c r="F314" t="s">
        <v>47</v>
      </c>
      <c r="G314">
        <v>26.03</v>
      </c>
      <c r="H314">
        <v>8.7899999999999991</v>
      </c>
      <c r="I314">
        <v>8.6199999999999992</v>
      </c>
      <c r="J314">
        <v>74.304400000000001</v>
      </c>
      <c r="K314" t="str">
        <f>IFERROR(INDEX(Rosters!$C$2:$C$155,MATCH($B314,Rosters!$B$2:$B$155,0)),"NA")</f>
        <v>perry</v>
      </c>
      <c r="L314" t="str">
        <f t="shared" si="12"/>
        <v>perry5RB</v>
      </c>
      <c r="M314">
        <f>COUNTIF(L$1:L314,L314)</f>
        <v>1</v>
      </c>
      <c r="N314" t="str">
        <f t="shared" si="13"/>
        <v>perry5RB-1</v>
      </c>
      <c r="O314">
        <f>COUNTIFS(F$1:F314,F314,A$1:A314,A314)</f>
        <v>4</v>
      </c>
      <c r="P314" t="str">
        <f t="shared" si="14"/>
        <v>Ezekiel Elliott5</v>
      </c>
    </row>
    <row r="315" spans="1:16" x14ac:dyDescent="0.25">
      <c r="A315">
        <v>12</v>
      </c>
      <c r="B315" t="s">
        <v>1213</v>
      </c>
      <c r="C315" t="s">
        <v>5893</v>
      </c>
      <c r="D315">
        <v>17.38</v>
      </c>
      <c r="E315" t="s">
        <v>51</v>
      </c>
      <c r="F315" t="s">
        <v>15</v>
      </c>
      <c r="G315">
        <v>23.54</v>
      </c>
      <c r="H315">
        <v>11.22</v>
      </c>
      <c r="I315">
        <v>6.16</v>
      </c>
      <c r="J315">
        <v>37.945599999999999</v>
      </c>
      <c r="K315" t="str">
        <f>IFERROR(INDEX(Rosters!$C$2:$C$155,MATCH($B315,Rosters!$B$2:$B$155,0)),"NA")</f>
        <v>NA</v>
      </c>
      <c r="L315" t="str">
        <f t="shared" si="12"/>
        <v>NA12QB</v>
      </c>
      <c r="M315">
        <f>COUNTIF(L$1:L315,L315)</f>
        <v>6</v>
      </c>
      <c r="N315" t="str">
        <f t="shared" si="13"/>
        <v>NA12QB-6</v>
      </c>
      <c r="O315">
        <f>COUNTIFS(F$1:F315,F315,A$1:A315,A315)</f>
        <v>16</v>
      </c>
      <c r="P315" t="str">
        <f t="shared" si="14"/>
        <v>Case Keenum12</v>
      </c>
    </row>
    <row r="316" spans="1:16" x14ac:dyDescent="0.25">
      <c r="A316">
        <v>14</v>
      </c>
      <c r="B316" t="s">
        <v>83</v>
      </c>
      <c r="C316" t="s">
        <v>5894</v>
      </c>
      <c r="D316">
        <v>17.350000000000001</v>
      </c>
      <c r="E316" t="s">
        <v>72</v>
      </c>
      <c r="F316" t="s">
        <v>15</v>
      </c>
      <c r="G316">
        <v>24.96</v>
      </c>
      <c r="H316">
        <v>9.74</v>
      </c>
      <c r="I316">
        <v>7.61</v>
      </c>
      <c r="J316">
        <v>57.912100000000002</v>
      </c>
      <c r="K316" t="str">
        <f>IFERROR(INDEX(Rosters!$C$2:$C$155,MATCH($B316,Rosters!$B$2:$B$155,0)),"NA")</f>
        <v>cory</v>
      </c>
      <c r="L316" t="str">
        <f t="shared" si="12"/>
        <v>cory14QB</v>
      </c>
      <c r="M316">
        <f>COUNTIF(L$1:L316,L316)</f>
        <v>2</v>
      </c>
      <c r="N316" t="str">
        <f t="shared" si="13"/>
        <v>cory14QB-2</v>
      </c>
      <c r="O316">
        <f>COUNTIFS(F$1:F316,F316,A$1:A316,A316)</f>
        <v>16</v>
      </c>
      <c r="P316" t="str">
        <f t="shared" si="14"/>
        <v>Jared Goff14</v>
      </c>
    </row>
    <row r="317" spans="1:16" x14ac:dyDescent="0.25">
      <c r="A317">
        <v>4</v>
      </c>
      <c r="B317" t="s">
        <v>43</v>
      </c>
      <c r="C317" t="s">
        <v>4418</v>
      </c>
      <c r="D317">
        <v>17.309999999999999</v>
      </c>
      <c r="E317" t="s">
        <v>56</v>
      </c>
      <c r="F317" t="s">
        <v>15</v>
      </c>
      <c r="G317">
        <v>24.83</v>
      </c>
      <c r="H317">
        <v>9.7899999999999991</v>
      </c>
      <c r="I317">
        <v>7.52</v>
      </c>
      <c r="J317">
        <v>56.550400000000003</v>
      </c>
      <c r="K317" t="str">
        <f>IFERROR(INDEX(Rosters!$C$2:$C$155,MATCH($B317,Rosters!$B$2:$B$155,0)),"NA")</f>
        <v>NA</v>
      </c>
      <c r="L317" t="str">
        <f t="shared" si="12"/>
        <v>NA4QB</v>
      </c>
      <c r="M317">
        <f>COUNTIF(L$1:L317,L317)</f>
        <v>5</v>
      </c>
      <c r="N317" t="str">
        <f t="shared" si="13"/>
        <v>NA4QB-5</v>
      </c>
      <c r="O317">
        <f>COUNTIFS(F$1:F317,F317,A$1:A317,A317)</f>
        <v>20</v>
      </c>
      <c r="P317" t="str">
        <f t="shared" si="14"/>
        <v>Kirk Cousins4</v>
      </c>
    </row>
    <row r="318" spans="1:16" x14ac:dyDescent="0.25">
      <c r="A318">
        <v>15</v>
      </c>
      <c r="B318" t="s">
        <v>291</v>
      </c>
      <c r="C318" t="s">
        <v>5895</v>
      </c>
      <c r="D318">
        <v>17.309999999999999</v>
      </c>
      <c r="E318" t="s">
        <v>41</v>
      </c>
      <c r="F318" t="s">
        <v>15</v>
      </c>
      <c r="G318">
        <v>24.68</v>
      </c>
      <c r="H318">
        <v>9.94</v>
      </c>
      <c r="I318">
        <v>7.37</v>
      </c>
      <c r="J318">
        <v>54.316899999999997</v>
      </c>
      <c r="K318" t="str">
        <f>IFERROR(INDEX(Rosters!$C$2:$C$155,MATCH($B318,Rosters!$B$2:$B$155,0)),"NA")</f>
        <v>NA</v>
      </c>
      <c r="L318" t="str">
        <f t="shared" si="12"/>
        <v>NA15QB</v>
      </c>
      <c r="M318">
        <f>COUNTIF(L$1:L318,L318)</f>
        <v>6</v>
      </c>
      <c r="N318" t="str">
        <f t="shared" si="13"/>
        <v>NA15QB-6</v>
      </c>
      <c r="O318">
        <f>COUNTIFS(F$1:F318,F318,A$1:A318,A318)</f>
        <v>20</v>
      </c>
      <c r="P318" t="str">
        <f t="shared" si="14"/>
        <v>Mitchell Trubisky15</v>
      </c>
    </row>
    <row r="319" spans="1:16" x14ac:dyDescent="0.25">
      <c r="A319">
        <v>9</v>
      </c>
      <c r="B319" t="s">
        <v>257</v>
      </c>
      <c r="C319" t="s">
        <v>5896</v>
      </c>
      <c r="D319">
        <v>17.28</v>
      </c>
      <c r="E319" t="s">
        <v>56</v>
      </c>
      <c r="F319" t="s">
        <v>47</v>
      </c>
      <c r="G319">
        <v>28.68</v>
      </c>
      <c r="H319">
        <v>5.88</v>
      </c>
      <c r="I319">
        <v>11.4</v>
      </c>
      <c r="J319">
        <v>129.96</v>
      </c>
      <c r="K319" t="str">
        <f>IFERROR(INDEX(Rosters!$C$2:$C$155,MATCH($B319,Rosters!$B$2:$B$155,0)),"NA")</f>
        <v>scott</v>
      </c>
      <c r="L319" t="str">
        <f t="shared" si="12"/>
        <v>scott9RB</v>
      </c>
      <c r="M319">
        <f>COUNTIF(L$1:L319,L319)</f>
        <v>1</v>
      </c>
      <c r="N319" t="str">
        <f t="shared" si="13"/>
        <v>scott9RB-1</v>
      </c>
      <c r="O319">
        <f>COUNTIFS(F$1:F319,F319,A$1:A319,A319)</f>
        <v>3</v>
      </c>
      <c r="P319" t="str">
        <f t="shared" si="14"/>
        <v>Alvin Kamara9</v>
      </c>
    </row>
    <row r="320" spans="1:16" x14ac:dyDescent="0.25">
      <c r="A320">
        <v>11</v>
      </c>
      <c r="B320" t="s">
        <v>179</v>
      </c>
      <c r="C320" t="s">
        <v>5897</v>
      </c>
      <c r="D320">
        <v>17.260000000000002</v>
      </c>
      <c r="E320" t="s">
        <v>60</v>
      </c>
      <c r="F320" t="s">
        <v>15</v>
      </c>
      <c r="G320">
        <v>24.78</v>
      </c>
      <c r="H320">
        <v>9.74</v>
      </c>
      <c r="I320">
        <v>7.52</v>
      </c>
      <c r="J320">
        <v>56.550400000000003</v>
      </c>
      <c r="K320" t="str">
        <f>IFERROR(INDEX(Rosters!$C$2:$C$155,MATCH($B320,Rosters!$B$2:$B$155,0)),"NA")</f>
        <v>chad</v>
      </c>
      <c r="L320" t="str">
        <f t="shared" si="12"/>
        <v>chad11QB</v>
      </c>
      <c r="M320">
        <f>COUNTIF(L$1:L320,L320)</f>
        <v>1</v>
      </c>
      <c r="N320" t="str">
        <f t="shared" si="13"/>
        <v>chad11QB-1</v>
      </c>
      <c r="O320">
        <f>COUNTIFS(F$1:F320,F320,A$1:A320,A320)</f>
        <v>17</v>
      </c>
      <c r="P320" t="str">
        <f t="shared" si="14"/>
        <v>Deshaun Watson11</v>
      </c>
    </row>
    <row r="321" spans="1:16" x14ac:dyDescent="0.25">
      <c r="A321">
        <v>16</v>
      </c>
      <c r="B321" t="s">
        <v>257</v>
      </c>
      <c r="C321" t="s">
        <v>5898</v>
      </c>
      <c r="D321">
        <v>17.239999999999998</v>
      </c>
      <c r="E321" t="s">
        <v>51</v>
      </c>
      <c r="F321" t="s">
        <v>47</v>
      </c>
      <c r="G321">
        <v>28.22</v>
      </c>
      <c r="H321">
        <v>6.26</v>
      </c>
      <c r="I321">
        <v>10.98</v>
      </c>
      <c r="J321">
        <v>120.5604</v>
      </c>
      <c r="K321" t="str">
        <f>IFERROR(INDEX(Rosters!$C$2:$C$155,MATCH($B321,Rosters!$B$2:$B$155,0)),"NA")</f>
        <v>scott</v>
      </c>
      <c r="L321" t="str">
        <f t="shared" si="12"/>
        <v>scott16RB</v>
      </c>
      <c r="M321">
        <f>COUNTIF(L$1:L321,L321)</f>
        <v>1</v>
      </c>
      <c r="N321" t="str">
        <f t="shared" si="13"/>
        <v>scott16RB-1</v>
      </c>
      <c r="O321">
        <f>COUNTIFS(F$1:F321,F321,A$1:A321,A321)</f>
        <v>3</v>
      </c>
      <c r="P321" t="str">
        <f t="shared" si="14"/>
        <v>Alvin Kamara16</v>
      </c>
    </row>
    <row r="322" spans="1:16" x14ac:dyDescent="0.25">
      <c r="A322">
        <v>12</v>
      </c>
      <c r="B322" t="s">
        <v>257</v>
      </c>
      <c r="C322" t="s">
        <v>5899</v>
      </c>
      <c r="D322">
        <v>17.22</v>
      </c>
      <c r="E322" t="s">
        <v>46</v>
      </c>
      <c r="F322" t="s">
        <v>47</v>
      </c>
      <c r="G322">
        <v>28.5</v>
      </c>
      <c r="H322">
        <v>5.94</v>
      </c>
      <c r="I322">
        <v>11.28</v>
      </c>
      <c r="J322">
        <v>127.2384</v>
      </c>
      <c r="K322" t="str">
        <f>IFERROR(INDEX(Rosters!$C$2:$C$155,MATCH($B322,Rosters!$B$2:$B$155,0)),"NA")</f>
        <v>scott</v>
      </c>
      <c r="L322" t="str">
        <f t="shared" si="12"/>
        <v>scott12RB</v>
      </c>
      <c r="M322">
        <f>COUNTIF(L$1:L322,L322)</f>
        <v>1</v>
      </c>
      <c r="N322" t="str">
        <f t="shared" si="13"/>
        <v>scott12RB-1</v>
      </c>
      <c r="O322">
        <f>COUNTIFS(F$1:F322,F322,A$1:A322,A322)</f>
        <v>2</v>
      </c>
      <c r="P322" t="str">
        <f t="shared" si="14"/>
        <v>Alvin Kamara12</v>
      </c>
    </row>
    <row r="323" spans="1:16" x14ac:dyDescent="0.25">
      <c r="A323">
        <v>15</v>
      </c>
      <c r="B323" t="s">
        <v>69</v>
      </c>
      <c r="C323" t="s">
        <v>5900</v>
      </c>
      <c r="D323">
        <v>17.22</v>
      </c>
      <c r="E323" t="s">
        <v>54</v>
      </c>
      <c r="F323" t="s">
        <v>15</v>
      </c>
      <c r="G323">
        <v>25.22</v>
      </c>
      <c r="H323">
        <v>9.2200000000000006</v>
      </c>
      <c r="I323">
        <v>8</v>
      </c>
      <c r="J323">
        <v>64</v>
      </c>
      <c r="K323" t="str">
        <f>IFERROR(INDEX(Rosters!$C$2:$C$155,MATCH($B323,Rosters!$B$2:$B$155,0)),"NA")</f>
        <v>NA</v>
      </c>
      <c r="L323" t="str">
        <f t="shared" ref="L323:L386" si="15">K323&amp;A323&amp;F323</f>
        <v>NA15QB</v>
      </c>
      <c r="M323">
        <f>COUNTIF(L$1:L323,L323)</f>
        <v>7</v>
      </c>
      <c r="N323" t="str">
        <f t="shared" ref="N323:N386" si="16">L323&amp;"-"&amp;M323</f>
        <v>NA15QB-7</v>
      </c>
      <c r="O323">
        <f>COUNTIFS(F$1:F323,F323,A$1:A323,A323)</f>
        <v>21</v>
      </c>
      <c r="P323" t="str">
        <f t="shared" ref="P323:P386" si="17">B323&amp;A323</f>
        <v>Marcus Mariota15</v>
      </c>
    </row>
    <row r="324" spans="1:16" x14ac:dyDescent="0.25">
      <c r="A324">
        <v>9</v>
      </c>
      <c r="B324" t="s">
        <v>69</v>
      </c>
      <c r="C324" t="s">
        <v>5901</v>
      </c>
      <c r="D324">
        <v>17.21</v>
      </c>
      <c r="E324" t="s">
        <v>22</v>
      </c>
      <c r="F324" t="s">
        <v>15</v>
      </c>
      <c r="G324">
        <v>24.78</v>
      </c>
      <c r="H324">
        <v>9.64</v>
      </c>
      <c r="I324">
        <v>7.57</v>
      </c>
      <c r="J324">
        <v>57.304900000000004</v>
      </c>
      <c r="K324" t="str">
        <f>IFERROR(INDEX(Rosters!$C$2:$C$155,MATCH($B324,Rosters!$B$2:$B$155,0)),"NA")</f>
        <v>NA</v>
      </c>
      <c r="L324" t="str">
        <f t="shared" si="15"/>
        <v>NA9QB</v>
      </c>
      <c r="M324">
        <f>COUNTIF(L$1:L324,L324)</f>
        <v>5</v>
      </c>
      <c r="N324" t="str">
        <f t="shared" si="16"/>
        <v>NA9QB-5</v>
      </c>
      <c r="O324">
        <f>COUNTIFS(F$1:F324,F324,A$1:A324,A324)</f>
        <v>16</v>
      </c>
      <c r="P324" t="str">
        <f t="shared" si="17"/>
        <v>Marcus Mariota9</v>
      </c>
    </row>
    <row r="325" spans="1:16" x14ac:dyDescent="0.25">
      <c r="A325">
        <v>10</v>
      </c>
      <c r="B325" t="s">
        <v>291</v>
      </c>
      <c r="C325" t="s">
        <v>5902</v>
      </c>
      <c r="D325">
        <v>17.21</v>
      </c>
      <c r="E325" t="s">
        <v>34</v>
      </c>
      <c r="F325" t="s">
        <v>15</v>
      </c>
      <c r="G325">
        <v>24.99</v>
      </c>
      <c r="H325">
        <v>9.43</v>
      </c>
      <c r="I325">
        <v>7.78</v>
      </c>
      <c r="J325">
        <v>60.528399999999998</v>
      </c>
      <c r="K325" t="str">
        <f>IFERROR(INDEX(Rosters!$C$2:$C$155,MATCH($B325,Rosters!$B$2:$B$155,0)),"NA")</f>
        <v>NA</v>
      </c>
      <c r="L325" t="str">
        <f t="shared" si="15"/>
        <v>NA10QB</v>
      </c>
      <c r="M325">
        <f>COUNTIF(L$1:L325,L325)</f>
        <v>4</v>
      </c>
      <c r="N325" t="str">
        <f t="shared" si="16"/>
        <v>NA10QB-4</v>
      </c>
      <c r="O325">
        <f>COUNTIFS(F$1:F325,F325,A$1:A325,A325)</f>
        <v>15</v>
      </c>
      <c r="P325" t="str">
        <f t="shared" si="17"/>
        <v>Mitchell Trubisky10</v>
      </c>
    </row>
    <row r="326" spans="1:16" x14ac:dyDescent="0.25">
      <c r="A326">
        <v>16</v>
      </c>
      <c r="B326" t="s">
        <v>1213</v>
      </c>
      <c r="C326" t="s">
        <v>5903</v>
      </c>
      <c r="D326">
        <v>17.2</v>
      </c>
      <c r="E326" t="s">
        <v>32</v>
      </c>
      <c r="F326" t="s">
        <v>15</v>
      </c>
      <c r="G326">
        <v>24.24</v>
      </c>
      <c r="H326">
        <v>10.16</v>
      </c>
      <c r="I326">
        <v>7.04</v>
      </c>
      <c r="J326">
        <v>49.561599999999999</v>
      </c>
      <c r="K326" t="str">
        <f>IFERROR(INDEX(Rosters!$C$2:$C$155,MATCH($B326,Rosters!$B$2:$B$155,0)),"NA")</f>
        <v>NA</v>
      </c>
      <c r="L326" t="str">
        <f t="shared" si="15"/>
        <v>NA16QB</v>
      </c>
      <c r="M326">
        <f>COUNTIF(L$1:L326,L326)</f>
        <v>7</v>
      </c>
      <c r="N326" t="str">
        <f t="shared" si="16"/>
        <v>NA16QB-7</v>
      </c>
      <c r="O326">
        <f>COUNTIFS(F$1:F326,F326,A$1:A326,A326)</f>
        <v>20</v>
      </c>
      <c r="P326" t="str">
        <f t="shared" si="17"/>
        <v>Case Keenum16</v>
      </c>
    </row>
    <row r="327" spans="1:16" x14ac:dyDescent="0.25">
      <c r="A327">
        <v>7</v>
      </c>
      <c r="B327" t="s">
        <v>92</v>
      </c>
      <c r="C327" t="s">
        <v>5904</v>
      </c>
      <c r="D327">
        <v>17.2</v>
      </c>
      <c r="E327" t="s">
        <v>38</v>
      </c>
      <c r="F327" t="s">
        <v>47</v>
      </c>
      <c r="G327">
        <v>25.5</v>
      </c>
      <c r="H327">
        <v>8.9</v>
      </c>
      <c r="I327">
        <v>8.3000000000000007</v>
      </c>
      <c r="J327">
        <v>68.89</v>
      </c>
      <c r="K327" t="str">
        <f>IFERROR(INDEX(Rosters!$C$2:$C$155,MATCH($B327,Rosters!$B$2:$B$155,0)),"NA")</f>
        <v>matty</v>
      </c>
      <c r="L327" t="str">
        <f t="shared" si="15"/>
        <v>matty7RB</v>
      </c>
      <c r="M327">
        <f>COUNTIF(L$1:L327,L327)</f>
        <v>1</v>
      </c>
      <c r="N327" t="str">
        <f t="shared" si="16"/>
        <v>matty7RB-1</v>
      </c>
      <c r="O327">
        <f>COUNTIFS(F$1:F327,F327,A$1:A327,A327)</f>
        <v>3</v>
      </c>
      <c r="P327" t="str">
        <f t="shared" si="17"/>
        <v>Melvin Gordon7</v>
      </c>
    </row>
    <row r="328" spans="1:16" x14ac:dyDescent="0.25">
      <c r="A328">
        <v>9</v>
      </c>
      <c r="B328" t="s">
        <v>1492</v>
      </c>
      <c r="C328" t="s">
        <v>5905</v>
      </c>
      <c r="D328">
        <v>17.18</v>
      </c>
      <c r="E328" t="s">
        <v>24</v>
      </c>
      <c r="F328" t="s">
        <v>15</v>
      </c>
      <c r="G328">
        <v>24.25</v>
      </c>
      <c r="H328">
        <v>10.11</v>
      </c>
      <c r="I328">
        <v>7.07</v>
      </c>
      <c r="J328">
        <v>49.984900000000003</v>
      </c>
      <c r="K328" t="str">
        <f>IFERROR(INDEX(Rosters!$C$2:$C$155,MATCH($B328,Rosters!$B$2:$B$155,0)),"NA")</f>
        <v>perry</v>
      </c>
      <c r="L328" t="str">
        <f t="shared" si="15"/>
        <v>perry9QB</v>
      </c>
      <c r="M328">
        <f>COUNTIF(L$1:L328,L328)</f>
        <v>1</v>
      </c>
      <c r="N328" t="str">
        <f t="shared" si="16"/>
        <v>perry9QB-1</v>
      </c>
      <c r="O328">
        <f>COUNTIFS(F$1:F328,F328,A$1:A328,A328)</f>
        <v>17</v>
      </c>
      <c r="P328" t="str">
        <f t="shared" si="17"/>
        <v>Baker Mayfield9</v>
      </c>
    </row>
    <row r="329" spans="1:16" x14ac:dyDescent="0.25">
      <c r="A329">
        <v>15</v>
      </c>
      <c r="B329" t="s">
        <v>1275</v>
      </c>
      <c r="C329" t="s">
        <v>5906</v>
      </c>
      <c r="D329">
        <v>17.170000000000002</v>
      </c>
      <c r="E329" t="s">
        <v>36</v>
      </c>
      <c r="F329" t="s">
        <v>15</v>
      </c>
      <c r="G329">
        <v>23.52</v>
      </c>
      <c r="H329">
        <v>10.82</v>
      </c>
      <c r="I329">
        <v>6.35</v>
      </c>
      <c r="J329">
        <v>40.322499999999998</v>
      </c>
      <c r="K329" t="str">
        <f>IFERROR(INDEX(Rosters!$C$2:$C$155,MATCH($B329,Rosters!$B$2:$B$155,0)),"NA")</f>
        <v>NA</v>
      </c>
      <c r="L329" t="str">
        <f t="shared" si="15"/>
        <v>NA15QB</v>
      </c>
      <c r="M329">
        <f>COUNTIF(L$1:L329,L329)</f>
        <v>8</v>
      </c>
      <c r="N329" t="str">
        <f t="shared" si="16"/>
        <v>NA15QB-8</v>
      </c>
      <c r="O329">
        <f>COUNTIFS(F$1:F329,F329,A$1:A329,A329)</f>
        <v>22</v>
      </c>
      <c r="P329" t="str">
        <f t="shared" si="17"/>
        <v>Sam Darnold15</v>
      </c>
    </row>
    <row r="330" spans="1:16" x14ac:dyDescent="0.25">
      <c r="A330">
        <v>13</v>
      </c>
      <c r="B330" t="s">
        <v>1492</v>
      </c>
      <c r="C330" t="s">
        <v>5907</v>
      </c>
      <c r="D330">
        <v>17.16</v>
      </c>
      <c r="E330" t="s">
        <v>36</v>
      </c>
      <c r="F330" t="s">
        <v>15</v>
      </c>
      <c r="G330">
        <v>24.7</v>
      </c>
      <c r="H330">
        <v>9.6199999999999992</v>
      </c>
      <c r="I330">
        <v>7.54</v>
      </c>
      <c r="J330">
        <v>56.851599999999998</v>
      </c>
      <c r="K330" t="str">
        <f>IFERROR(INDEX(Rosters!$C$2:$C$155,MATCH($B330,Rosters!$B$2:$B$155,0)),"NA")</f>
        <v>perry</v>
      </c>
      <c r="L330" t="str">
        <f t="shared" si="15"/>
        <v>perry13QB</v>
      </c>
      <c r="M330">
        <f>COUNTIF(L$1:L330,L330)</f>
        <v>2</v>
      </c>
      <c r="N330" t="str">
        <f t="shared" si="16"/>
        <v>perry13QB-2</v>
      </c>
      <c r="O330">
        <f>COUNTIFS(F$1:F330,F330,A$1:A330,A330)</f>
        <v>19</v>
      </c>
      <c r="P330" t="str">
        <f t="shared" si="17"/>
        <v>Baker Mayfield13</v>
      </c>
    </row>
    <row r="331" spans="1:16" x14ac:dyDescent="0.25">
      <c r="A331">
        <v>14</v>
      </c>
      <c r="B331" t="s">
        <v>82</v>
      </c>
      <c r="C331" t="s">
        <v>5908</v>
      </c>
      <c r="D331">
        <v>17.16</v>
      </c>
      <c r="E331" t="s">
        <v>24</v>
      </c>
      <c r="F331" t="s">
        <v>15</v>
      </c>
      <c r="G331">
        <v>23.99</v>
      </c>
      <c r="H331">
        <v>10.33</v>
      </c>
      <c r="I331">
        <v>6.83</v>
      </c>
      <c r="J331">
        <v>46.648899999999998</v>
      </c>
      <c r="K331" t="str">
        <f>IFERROR(INDEX(Rosters!$C$2:$C$155,MATCH($B331,Rosters!$B$2:$B$155,0)),"NA")</f>
        <v>NA</v>
      </c>
      <c r="L331" t="str">
        <f t="shared" si="15"/>
        <v>NA14QB</v>
      </c>
      <c r="M331">
        <f>COUNTIF(L$1:L331,L331)</f>
        <v>4</v>
      </c>
      <c r="N331" t="str">
        <f t="shared" si="16"/>
        <v>NA14QB-4</v>
      </c>
      <c r="O331">
        <f>COUNTIFS(F$1:F331,F331,A$1:A331,A331)</f>
        <v>17</v>
      </c>
      <c r="P331" t="str">
        <f t="shared" si="17"/>
        <v>Joe Flacco14</v>
      </c>
    </row>
    <row r="332" spans="1:16" x14ac:dyDescent="0.25">
      <c r="A332">
        <v>11</v>
      </c>
      <c r="B332" t="s">
        <v>69</v>
      </c>
      <c r="C332" t="s">
        <v>5909</v>
      </c>
      <c r="D332">
        <v>17.16</v>
      </c>
      <c r="E332" t="s">
        <v>66</v>
      </c>
      <c r="F332" t="s">
        <v>15</v>
      </c>
      <c r="G332">
        <v>24.69</v>
      </c>
      <c r="H332">
        <v>9.6300000000000008</v>
      </c>
      <c r="I332">
        <v>7.53</v>
      </c>
      <c r="J332">
        <v>56.700899999999997</v>
      </c>
      <c r="K332" t="str">
        <f>IFERROR(INDEX(Rosters!$C$2:$C$155,MATCH($B332,Rosters!$B$2:$B$155,0)),"NA")</f>
        <v>NA</v>
      </c>
      <c r="L332" t="str">
        <f t="shared" si="15"/>
        <v>NA11QB</v>
      </c>
      <c r="M332">
        <f>COUNTIF(L$1:L332,L332)</f>
        <v>6</v>
      </c>
      <c r="N332" t="str">
        <f t="shared" si="16"/>
        <v>NA11QB-6</v>
      </c>
      <c r="O332">
        <f>COUNTIFS(F$1:F332,F332,A$1:A332,A332)</f>
        <v>18</v>
      </c>
      <c r="P332" t="str">
        <f t="shared" si="17"/>
        <v>Marcus Mariota11</v>
      </c>
    </row>
    <row r="333" spans="1:16" x14ac:dyDescent="0.25">
      <c r="A333">
        <v>7</v>
      </c>
      <c r="B333" t="s">
        <v>291</v>
      </c>
      <c r="C333" t="s">
        <v>5910</v>
      </c>
      <c r="D333">
        <v>17.16</v>
      </c>
      <c r="E333" t="s">
        <v>423</v>
      </c>
      <c r="F333" t="s">
        <v>15</v>
      </c>
      <c r="G333">
        <v>24.39</v>
      </c>
      <c r="H333">
        <v>9.93</v>
      </c>
      <c r="I333">
        <v>7.23</v>
      </c>
      <c r="J333">
        <v>52.2729</v>
      </c>
      <c r="K333" t="str">
        <f>IFERROR(INDEX(Rosters!$C$2:$C$155,MATCH($B333,Rosters!$B$2:$B$155,0)),"NA")</f>
        <v>NA</v>
      </c>
      <c r="L333" t="str">
        <f t="shared" si="15"/>
        <v>NA7QB</v>
      </c>
      <c r="M333">
        <f>COUNTIF(L$1:L333,L333)</f>
        <v>4</v>
      </c>
      <c r="N333" t="str">
        <f t="shared" si="16"/>
        <v>NA7QB-4</v>
      </c>
      <c r="O333">
        <f>COUNTIFS(F$1:F333,F333,A$1:A333,A333)</f>
        <v>15</v>
      </c>
      <c r="P333" t="str">
        <f t="shared" si="17"/>
        <v>Mitchell Trubisky7</v>
      </c>
    </row>
    <row r="334" spans="1:16" x14ac:dyDescent="0.25">
      <c r="A334">
        <v>8</v>
      </c>
      <c r="B334" t="s">
        <v>70</v>
      </c>
      <c r="C334" t="s">
        <v>5911</v>
      </c>
      <c r="D334">
        <v>17.100000000000001</v>
      </c>
      <c r="E334" t="s">
        <v>28</v>
      </c>
      <c r="F334" t="s">
        <v>15</v>
      </c>
      <c r="G334">
        <v>24.02</v>
      </c>
      <c r="H334">
        <v>10.18</v>
      </c>
      <c r="I334">
        <v>6.92</v>
      </c>
      <c r="J334">
        <v>47.886400000000002</v>
      </c>
      <c r="K334" t="str">
        <f>IFERROR(INDEX(Rosters!$C$2:$C$155,MATCH($B334,Rosters!$B$2:$B$155,0)),"NA")</f>
        <v>aj</v>
      </c>
      <c r="L334" t="str">
        <f t="shared" si="15"/>
        <v>aj8QB</v>
      </c>
      <c r="M334">
        <f>COUNTIF(L$1:L334,L334)</f>
        <v>1</v>
      </c>
      <c r="N334" t="str">
        <f t="shared" si="16"/>
        <v>aj8QB-1</v>
      </c>
      <c r="O334">
        <f>COUNTIFS(F$1:F334,F334,A$1:A334,A334)</f>
        <v>18</v>
      </c>
      <c r="P334" t="str">
        <f t="shared" si="17"/>
        <v>Matthew Stafford8</v>
      </c>
    </row>
    <row r="335" spans="1:16" x14ac:dyDescent="0.25">
      <c r="A335">
        <v>2</v>
      </c>
      <c r="B335" t="s">
        <v>1213</v>
      </c>
      <c r="C335" t="s">
        <v>3302</v>
      </c>
      <c r="D335">
        <v>17.079999999999998</v>
      </c>
      <c r="E335" t="s">
        <v>32</v>
      </c>
      <c r="F335" t="s">
        <v>15</v>
      </c>
      <c r="G335">
        <v>23.57</v>
      </c>
      <c r="H335">
        <v>10.59</v>
      </c>
      <c r="I335">
        <v>6.49</v>
      </c>
      <c r="J335">
        <v>42.120100000000001</v>
      </c>
      <c r="K335" t="str">
        <f>IFERROR(INDEX(Rosters!$C$2:$C$155,MATCH($B335,Rosters!$B$2:$B$155,0)),"NA")</f>
        <v>NA</v>
      </c>
      <c r="L335" t="str">
        <f t="shared" si="15"/>
        <v>NA2QB</v>
      </c>
      <c r="M335">
        <f>COUNTIF(L$1:L335,L335)</f>
        <v>2</v>
      </c>
      <c r="N335" t="str">
        <f t="shared" si="16"/>
        <v>NA2QB-2</v>
      </c>
      <c r="O335">
        <f>COUNTIFS(F$1:F335,F335,A$1:A335,A335)</f>
        <v>14</v>
      </c>
      <c r="P335" t="str">
        <f t="shared" si="17"/>
        <v>Case Keenum2</v>
      </c>
    </row>
    <row r="336" spans="1:16" x14ac:dyDescent="0.25">
      <c r="A336">
        <v>14</v>
      </c>
      <c r="B336" t="s">
        <v>1213</v>
      </c>
      <c r="C336" t="s">
        <v>5912</v>
      </c>
      <c r="D336">
        <v>17.07</v>
      </c>
      <c r="E336" t="s">
        <v>30</v>
      </c>
      <c r="F336" t="s">
        <v>15</v>
      </c>
      <c r="G336">
        <v>23.79</v>
      </c>
      <c r="H336">
        <v>10.35</v>
      </c>
      <c r="I336">
        <v>6.72</v>
      </c>
      <c r="J336">
        <v>45.1584</v>
      </c>
      <c r="K336" t="str">
        <f>IFERROR(INDEX(Rosters!$C$2:$C$155,MATCH($B336,Rosters!$B$2:$B$155,0)),"NA")</f>
        <v>NA</v>
      </c>
      <c r="L336" t="str">
        <f t="shared" si="15"/>
        <v>NA14QB</v>
      </c>
      <c r="M336">
        <f>COUNTIF(L$1:L336,L336)</f>
        <v>5</v>
      </c>
      <c r="N336" t="str">
        <f t="shared" si="16"/>
        <v>NA14QB-5</v>
      </c>
      <c r="O336">
        <f>COUNTIFS(F$1:F336,F336,A$1:A336,A336)</f>
        <v>18</v>
      </c>
      <c r="P336" t="str">
        <f t="shared" si="17"/>
        <v>Case Keenum14</v>
      </c>
    </row>
    <row r="337" spans="1:16" x14ac:dyDescent="0.25">
      <c r="A337">
        <v>11</v>
      </c>
      <c r="B337" t="s">
        <v>33</v>
      </c>
      <c r="C337" t="s">
        <v>5913</v>
      </c>
      <c r="D337">
        <v>17.059999999999999</v>
      </c>
      <c r="E337" t="s">
        <v>38</v>
      </c>
      <c r="F337" t="s">
        <v>15</v>
      </c>
      <c r="G337">
        <v>23.64</v>
      </c>
      <c r="H337">
        <v>10.48</v>
      </c>
      <c r="I337">
        <v>6.58</v>
      </c>
      <c r="J337">
        <v>43.296399999999998</v>
      </c>
      <c r="K337" t="str">
        <f>IFERROR(INDEX(Rosters!$C$2:$C$155,MATCH($B337,Rosters!$B$2:$B$155,0)),"NA")</f>
        <v>comp</v>
      </c>
      <c r="L337" t="str">
        <f t="shared" si="15"/>
        <v>comp11QB</v>
      </c>
      <c r="M337">
        <f>COUNTIF(L$1:L337,L337)</f>
        <v>2</v>
      </c>
      <c r="N337" t="str">
        <f t="shared" si="16"/>
        <v>comp11QB-2</v>
      </c>
      <c r="O337">
        <f>COUNTIFS(F$1:F337,F337,A$1:A337,A337)</f>
        <v>19</v>
      </c>
      <c r="P337" t="str">
        <f t="shared" si="17"/>
        <v>Andrew Luck11</v>
      </c>
    </row>
    <row r="338" spans="1:16" x14ac:dyDescent="0.25">
      <c r="A338">
        <v>17</v>
      </c>
      <c r="B338" t="s">
        <v>257</v>
      </c>
      <c r="C338" t="s">
        <v>5914</v>
      </c>
      <c r="D338">
        <v>17.04</v>
      </c>
      <c r="E338" t="s">
        <v>74</v>
      </c>
      <c r="F338" t="s">
        <v>47</v>
      </c>
      <c r="G338">
        <v>27.89</v>
      </c>
      <c r="H338">
        <v>6.19</v>
      </c>
      <c r="I338">
        <v>10.85</v>
      </c>
      <c r="J338">
        <v>117.7225</v>
      </c>
      <c r="K338" t="str">
        <f>IFERROR(INDEX(Rosters!$C$2:$C$155,MATCH($B338,Rosters!$B$2:$B$155,0)),"NA")</f>
        <v>scott</v>
      </c>
      <c r="L338" t="str">
        <f t="shared" si="15"/>
        <v>scott17RB</v>
      </c>
      <c r="M338">
        <f>COUNTIF(L$1:L338,L338)</f>
        <v>2</v>
      </c>
      <c r="N338" t="str">
        <f t="shared" si="16"/>
        <v>scott17RB-2</v>
      </c>
      <c r="O338">
        <f>COUNTIFS(F$1:F338,F338,A$1:A338,A338)</f>
        <v>4</v>
      </c>
      <c r="P338" t="str">
        <f t="shared" si="17"/>
        <v>Alvin Kamara17</v>
      </c>
    </row>
    <row r="339" spans="1:16" x14ac:dyDescent="0.25">
      <c r="A339">
        <v>6</v>
      </c>
      <c r="B339" t="s">
        <v>57</v>
      </c>
      <c r="C339" t="s">
        <v>5915</v>
      </c>
      <c r="D339">
        <v>16.989999999999998</v>
      </c>
      <c r="E339" t="s">
        <v>76</v>
      </c>
      <c r="F339" t="s">
        <v>47</v>
      </c>
      <c r="G339">
        <v>26.22</v>
      </c>
      <c r="H339">
        <v>7.76</v>
      </c>
      <c r="I339">
        <v>9.23</v>
      </c>
      <c r="J339">
        <v>85.192899999999995</v>
      </c>
      <c r="K339" t="str">
        <f>IFERROR(INDEX(Rosters!$C$2:$C$155,MATCH($B339,Rosters!$B$2:$B$155,0)),"NA")</f>
        <v>perry</v>
      </c>
      <c r="L339" t="str">
        <f t="shared" si="15"/>
        <v>perry6RB</v>
      </c>
      <c r="M339">
        <f>COUNTIF(L$1:L339,L339)</f>
        <v>1</v>
      </c>
      <c r="N339" t="str">
        <f t="shared" si="16"/>
        <v>perry6RB-1</v>
      </c>
      <c r="O339">
        <f>COUNTIFS(F$1:F339,F339,A$1:A339,A339)</f>
        <v>2</v>
      </c>
      <c r="P339" t="str">
        <f t="shared" si="17"/>
        <v>Ezekiel Elliott6</v>
      </c>
    </row>
    <row r="340" spans="1:16" x14ac:dyDescent="0.25">
      <c r="A340">
        <v>2</v>
      </c>
      <c r="B340" t="s">
        <v>79</v>
      </c>
      <c r="C340" t="s">
        <v>1279</v>
      </c>
      <c r="D340">
        <v>16.97</v>
      </c>
      <c r="E340" t="s">
        <v>423</v>
      </c>
      <c r="F340" t="s">
        <v>15</v>
      </c>
      <c r="G340">
        <v>24.25</v>
      </c>
      <c r="H340">
        <v>9.69</v>
      </c>
      <c r="I340">
        <v>7.28</v>
      </c>
      <c r="J340">
        <v>52.998399999999997</v>
      </c>
      <c r="K340" t="str">
        <f>IFERROR(INDEX(Rosters!$C$2:$C$155,MATCH($B340,Rosters!$B$2:$B$155,0)),"NA")</f>
        <v>NA</v>
      </c>
      <c r="L340" t="str">
        <f t="shared" si="15"/>
        <v>NA2QB</v>
      </c>
      <c r="M340">
        <f>COUNTIF(L$1:L340,L340)</f>
        <v>3</v>
      </c>
      <c r="N340" t="str">
        <f t="shared" si="16"/>
        <v>NA2QB-3</v>
      </c>
      <c r="O340">
        <f>COUNTIFS(F$1:F340,F340,A$1:A340,A340)</f>
        <v>15</v>
      </c>
      <c r="P340" t="str">
        <f t="shared" si="17"/>
        <v>Blake Bortles2</v>
      </c>
    </row>
    <row r="341" spans="1:16" x14ac:dyDescent="0.25">
      <c r="A341">
        <v>7</v>
      </c>
      <c r="B341" t="s">
        <v>179</v>
      </c>
      <c r="C341" t="s">
        <v>5916</v>
      </c>
      <c r="D341">
        <v>16.97</v>
      </c>
      <c r="E341" t="s">
        <v>76</v>
      </c>
      <c r="F341" t="s">
        <v>15</v>
      </c>
      <c r="G341">
        <v>23.38</v>
      </c>
      <c r="H341">
        <v>10.56</v>
      </c>
      <c r="I341">
        <v>6.41</v>
      </c>
      <c r="J341">
        <v>41.088099999999997</v>
      </c>
      <c r="K341" t="str">
        <f>IFERROR(INDEX(Rosters!$C$2:$C$155,MATCH($B341,Rosters!$B$2:$B$155,0)),"NA")</f>
        <v>chad</v>
      </c>
      <c r="L341" t="str">
        <f t="shared" si="15"/>
        <v>chad7QB</v>
      </c>
      <c r="M341">
        <f>COUNTIF(L$1:L341,L341)</f>
        <v>1</v>
      </c>
      <c r="N341" t="str">
        <f t="shared" si="16"/>
        <v>chad7QB-1</v>
      </c>
      <c r="O341">
        <f>COUNTIFS(F$1:F341,F341,A$1:A341,A341)</f>
        <v>16</v>
      </c>
      <c r="P341" t="str">
        <f t="shared" si="17"/>
        <v>Deshaun Watson7</v>
      </c>
    </row>
    <row r="342" spans="1:16" x14ac:dyDescent="0.25">
      <c r="A342">
        <v>2</v>
      </c>
      <c r="B342" t="s">
        <v>57</v>
      </c>
      <c r="C342" t="s">
        <v>3303</v>
      </c>
      <c r="D342">
        <v>16.97</v>
      </c>
      <c r="E342" t="s">
        <v>54</v>
      </c>
      <c r="F342" t="s">
        <v>47</v>
      </c>
      <c r="G342">
        <v>24.87</v>
      </c>
      <c r="H342">
        <v>9.07</v>
      </c>
      <c r="I342">
        <v>7.9</v>
      </c>
      <c r="J342">
        <v>62.41</v>
      </c>
      <c r="K342" t="str">
        <f>IFERROR(INDEX(Rosters!$C$2:$C$155,MATCH($B342,Rosters!$B$2:$B$155,0)),"NA")</f>
        <v>perry</v>
      </c>
      <c r="L342" t="str">
        <f t="shared" si="15"/>
        <v>perry2RB</v>
      </c>
      <c r="M342">
        <f>COUNTIF(L$1:L342,L342)</f>
        <v>1</v>
      </c>
      <c r="N342" t="str">
        <f t="shared" si="16"/>
        <v>perry2RB-1</v>
      </c>
      <c r="O342">
        <f>COUNTIFS(F$1:F342,F342,A$1:A342,A342)</f>
        <v>3</v>
      </c>
      <c r="P342" t="str">
        <f t="shared" si="17"/>
        <v>Ezekiel Elliott2</v>
      </c>
    </row>
    <row r="343" spans="1:16" x14ac:dyDescent="0.25">
      <c r="A343">
        <v>11</v>
      </c>
      <c r="B343" t="s">
        <v>257</v>
      </c>
      <c r="C343" t="s">
        <v>5917</v>
      </c>
      <c r="D343">
        <v>16.920000000000002</v>
      </c>
      <c r="E343" t="s">
        <v>50</v>
      </c>
      <c r="F343" t="s">
        <v>47</v>
      </c>
      <c r="G343">
        <v>27.64</v>
      </c>
      <c r="H343">
        <v>6.2</v>
      </c>
      <c r="I343">
        <v>10.72</v>
      </c>
      <c r="J343">
        <v>114.91840000000001</v>
      </c>
      <c r="K343" t="str">
        <f>IFERROR(INDEX(Rosters!$C$2:$C$155,MATCH($B343,Rosters!$B$2:$B$155,0)),"NA")</f>
        <v>scott</v>
      </c>
      <c r="L343" t="str">
        <f t="shared" si="15"/>
        <v>scott11RB</v>
      </c>
      <c r="M343">
        <f>COUNTIF(L$1:L343,L343)</f>
        <v>1</v>
      </c>
      <c r="N343" t="str">
        <f t="shared" si="16"/>
        <v>scott11RB-1</v>
      </c>
      <c r="O343">
        <f>COUNTIFS(F$1:F343,F343,A$1:A343,A343)</f>
        <v>3</v>
      </c>
      <c r="P343" t="str">
        <f t="shared" si="17"/>
        <v>Alvin Kamara11</v>
      </c>
    </row>
    <row r="344" spans="1:16" x14ac:dyDescent="0.25">
      <c r="A344">
        <v>5</v>
      </c>
      <c r="B344" t="s">
        <v>33</v>
      </c>
      <c r="C344" t="s">
        <v>5918</v>
      </c>
      <c r="D344">
        <v>16.920000000000002</v>
      </c>
      <c r="E344" t="s">
        <v>423</v>
      </c>
      <c r="F344" t="s">
        <v>15</v>
      </c>
      <c r="G344">
        <v>24.11</v>
      </c>
      <c r="H344">
        <v>9.73</v>
      </c>
      <c r="I344">
        <v>7.19</v>
      </c>
      <c r="J344">
        <v>51.696100000000001</v>
      </c>
      <c r="K344" t="str">
        <f>IFERROR(INDEX(Rosters!$C$2:$C$155,MATCH($B344,Rosters!$B$2:$B$155,0)),"NA")</f>
        <v>comp</v>
      </c>
      <c r="L344" t="str">
        <f t="shared" si="15"/>
        <v>comp5QB</v>
      </c>
      <c r="M344">
        <f>COUNTIF(L$1:L344,L344)</f>
        <v>2</v>
      </c>
      <c r="N344" t="str">
        <f t="shared" si="16"/>
        <v>comp5QB-2</v>
      </c>
      <c r="O344">
        <f>COUNTIFS(F$1:F344,F344,A$1:A344,A344)</f>
        <v>18</v>
      </c>
      <c r="P344" t="str">
        <f t="shared" si="17"/>
        <v>Andrew Luck5</v>
      </c>
    </row>
    <row r="345" spans="1:16" x14ac:dyDescent="0.25">
      <c r="A345">
        <v>12</v>
      </c>
      <c r="B345" t="s">
        <v>59</v>
      </c>
      <c r="C345" t="s">
        <v>5919</v>
      </c>
      <c r="D345">
        <v>16.920000000000002</v>
      </c>
      <c r="E345" t="s">
        <v>60</v>
      </c>
      <c r="F345" t="s">
        <v>15</v>
      </c>
      <c r="G345">
        <v>24.87</v>
      </c>
      <c r="H345">
        <v>8.9700000000000006</v>
      </c>
      <c r="I345">
        <v>7.95</v>
      </c>
      <c r="J345">
        <v>63.202500000000001</v>
      </c>
      <c r="K345" t="str">
        <f>IFERROR(INDEX(Rosters!$C$2:$C$155,MATCH($B345,Rosters!$B$2:$B$155,0)),"NA")</f>
        <v>NA</v>
      </c>
      <c r="L345" t="str">
        <f t="shared" si="15"/>
        <v>NA12QB</v>
      </c>
      <c r="M345">
        <f>COUNTIF(L$1:L345,L345)</f>
        <v>7</v>
      </c>
      <c r="N345" t="str">
        <f t="shared" si="16"/>
        <v>NA12QB-7</v>
      </c>
      <c r="O345">
        <f>COUNTIFS(F$1:F345,F345,A$1:A345,A345)</f>
        <v>17</v>
      </c>
      <c r="P345" t="str">
        <f t="shared" si="17"/>
        <v>Dak Prescott12</v>
      </c>
    </row>
    <row r="346" spans="1:16" x14ac:dyDescent="0.25">
      <c r="A346">
        <v>3</v>
      </c>
      <c r="B346" t="s">
        <v>67</v>
      </c>
      <c r="C346" t="s">
        <v>3617</v>
      </c>
      <c r="D346">
        <v>16.91</v>
      </c>
      <c r="E346" t="s">
        <v>56</v>
      </c>
      <c r="F346" t="s">
        <v>15</v>
      </c>
      <c r="G346">
        <v>24.38</v>
      </c>
      <c r="H346">
        <v>9.44</v>
      </c>
      <c r="I346">
        <v>7.47</v>
      </c>
      <c r="J346">
        <v>55.800899999999999</v>
      </c>
      <c r="K346" t="str">
        <f>IFERROR(INDEX(Rosters!$C$2:$C$155,MATCH($B346,Rosters!$B$2:$B$155,0)),"NA")</f>
        <v>comp</v>
      </c>
      <c r="L346" t="str">
        <f t="shared" si="15"/>
        <v>comp3QB</v>
      </c>
      <c r="M346">
        <f>COUNTIF(L$1:L346,L346)</f>
        <v>1</v>
      </c>
      <c r="N346" t="str">
        <f t="shared" si="16"/>
        <v>comp3QB-1</v>
      </c>
      <c r="O346">
        <f>COUNTIFS(F$1:F346,F346,A$1:A346,A346)</f>
        <v>16</v>
      </c>
      <c r="P346" t="str">
        <f t="shared" si="17"/>
        <v>Philip Rivers3</v>
      </c>
    </row>
    <row r="347" spans="1:16" x14ac:dyDescent="0.25">
      <c r="A347">
        <v>7</v>
      </c>
      <c r="B347" t="s">
        <v>82</v>
      </c>
      <c r="C347" t="s">
        <v>5920</v>
      </c>
      <c r="D347">
        <v>16.84</v>
      </c>
      <c r="E347" t="s">
        <v>14</v>
      </c>
      <c r="F347" t="s">
        <v>15</v>
      </c>
      <c r="G347">
        <v>24.06</v>
      </c>
      <c r="H347">
        <v>9.6199999999999992</v>
      </c>
      <c r="I347">
        <v>7.22</v>
      </c>
      <c r="J347">
        <v>52.128399999999999</v>
      </c>
      <c r="K347" t="str">
        <f>IFERROR(INDEX(Rosters!$C$2:$C$155,MATCH($B347,Rosters!$B$2:$B$155,0)),"NA")</f>
        <v>NA</v>
      </c>
      <c r="L347" t="str">
        <f t="shared" si="15"/>
        <v>NA7QB</v>
      </c>
      <c r="M347">
        <f>COUNTIF(L$1:L347,L347)</f>
        <v>5</v>
      </c>
      <c r="N347" t="str">
        <f t="shared" si="16"/>
        <v>NA7QB-5</v>
      </c>
      <c r="O347">
        <f>COUNTIFS(F$1:F347,F347,A$1:A347,A347)</f>
        <v>17</v>
      </c>
      <c r="P347" t="str">
        <f t="shared" si="17"/>
        <v>Joe Flacco7</v>
      </c>
    </row>
    <row r="348" spans="1:16" x14ac:dyDescent="0.25">
      <c r="A348">
        <v>15</v>
      </c>
      <c r="B348" t="s">
        <v>70</v>
      </c>
      <c r="C348" t="s">
        <v>5921</v>
      </c>
      <c r="D348">
        <v>16.84</v>
      </c>
      <c r="E348" t="s">
        <v>29</v>
      </c>
      <c r="F348" t="s">
        <v>15</v>
      </c>
      <c r="G348">
        <v>23.74</v>
      </c>
      <c r="H348">
        <v>9.94</v>
      </c>
      <c r="I348">
        <v>6.9</v>
      </c>
      <c r="J348">
        <v>47.61</v>
      </c>
      <c r="K348" t="str">
        <f>IFERROR(INDEX(Rosters!$C$2:$C$155,MATCH($B348,Rosters!$B$2:$B$155,0)),"NA")</f>
        <v>aj</v>
      </c>
      <c r="L348" t="str">
        <f t="shared" si="15"/>
        <v>aj15QB</v>
      </c>
      <c r="M348">
        <f>COUNTIF(L$1:L348,L348)</f>
        <v>2</v>
      </c>
      <c r="N348" t="str">
        <f t="shared" si="16"/>
        <v>aj15QB-2</v>
      </c>
      <c r="O348">
        <f>COUNTIFS(F$1:F348,F348,A$1:A348,A348)</f>
        <v>23</v>
      </c>
      <c r="P348" t="str">
        <f t="shared" si="17"/>
        <v>Matthew Stafford15</v>
      </c>
    </row>
    <row r="349" spans="1:16" x14ac:dyDescent="0.25">
      <c r="A349">
        <v>13</v>
      </c>
      <c r="B349" t="s">
        <v>82</v>
      </c>
      <c r="C349" t="s">
        <v>5922</v>
      </c>
      <c r="D349">
        <v>16.809999999999999</v>
      </c>
      <c r="E349" t="s">
        <v>46</v>
      </c>
      <c r="F349" t="s">
        <v>15</v>
      </c>
      <c r="G349">
        <v>23.81</v>
      </c>
      <c r="H349">
        <v>9.81</v>
      </c>
      <c r="I349">
        <v>7</v>
      </c>
      <c r="J349">
        <v>49</v>
      </c>
      <c r="K349" t="str">
        <f>IFERROR(INDEX(Rosters!$C$2:$C$155,MATCH($B349,Rosters!$B$2:$B$155,0)),"NA")</f>
        <v>NA</v>
      </c>
      <c r="L349" t="str">
        <f t="shared" si="15"/>
        <v>NA13QB</v>
      </c>
      <c r="M349">
        <f>COUNTIF(L$1:L349,L349)</f>
        <v>6</v>
      </c>
      <c r="N349" t="str">
        <f t="shared" si="16"/>
        <v>NA13QB-6</v>
      </c>
      <c r="O349">
        <f>COUNTIFS(F$1:F349,F349,A$1:A349,A349)</f>
        <v>20</v>
      </c>
      <c r="P349" t="str">
        <f t="shared" si="17"/>
        <v>Joe Flacco13</v>
      </c>
    </row>
    <row r="350" spans="1:16" x14ac:dyDescent="0.25">
      <c r="A350">
        <v>2</v>
      </c>
      <c r="B350" t="s">
        <v>344</v>
      </c>
      <c r="C350" t="s">
        <v>3304</v>
      </c>
      <c r="D350">
        <v>16.8</v>
      </c>
      <c r="E350" t="s">
        <v>17</v>
      </c>
      <c r="F350" t="s">
        <v>15</v>
      </c>
      <c r="G350">
        <v>23.7</v>
      </c>
      <c r="H350">
        <v>9.9</v>
      </c>
      <c r="I350">
        <v>6.9</v>
      </c>
      <c r="J350">
        <v>47.61</v>
      </c>
      <c r="K350" t="str">
        <f>IFERROR(INDEX(Rosters!$C$2:$C$155,MATCH($B350,Rosters!$B$2:$B$155,0)),"NA")</f>
        <v>NA</v>
      </c>
      <c r="L350" t="str">
        <f t="shared" si="15"/>
        <v>NA2QB</v>
      </c>
      <c r="M350">
        <f>COUNTIF(L$1:L350,L350)</f>
        <v>4</v>
      </c>
      <c r="N350" t="str">
        <f t="shared" si="16"/>
        <v>NA2QB-4</v>
      </c>
      <c r="O350">
        <f>COUNTIFS(F$1:F350,F350,A$1:A350,A350)</f>
        <v>16</v>
      </c>
      <c r="P350" t="str">
        <f t="shared" si="17"/>
        <v>Nick Foles2</v>
      </c>
    </row>
    <row r="351" spans="1:16" x14ac:dyDescent="0.25">
      <c r="A351">
        <v>3</v>
      </c>
      <c r="B351" t="s">
        <v>68</v>
      </c>
      <c r="C351" t="s">
        <v>3618</v>
      </c>
      <c r="D351">
        <v>16.8</v>
      </c>
      <c r="E351" t="s">
        <v>73</v>
      </c>
      <c r="F351" t="s">
        <v>15</v>
      </c>
      <c r="G351">
        <v>23.99</v>
      </c>
      <c r="H351">
        <v>9.61</v>
      </c>
      <c r="I351">
        <v>7.19</v>
      </c>
      <c r="J351">
        <v>51.696100000000001</v>
      </c>
      <c r="K351" t="str">
        <f>IFERROR(INDEX(Rosters!$C$2:$C$155,MATCH($B351,Rosters!$B$2:$B$155,0)),"NA")</f>
        <v>NA</v>
      </c>
      <c r="L351" t="str">
        <f t="shared" si="15"/>
        <v>NA3QB</v>
      </c>
      <c r="M351">
        <f>COUNTIF(L$1:L351,L351)</f>
        <v>4</v>
      </c>
      <c r="N351" t="str">
        <f t="shared" si="16"/>
        <v>NA3QB-4</v>
      </c>
      <c r="O351">
        <f>COUNTIFS(F$1:F351,F351,A$1:A351,A351)</f>
        <v>17</v>
      </c>
      <c r="P351" t="str">
        <f t="shared" si="17"/>
        <v>Tyrod Taylor3</v>
      </c>
    </row>
    <row r="352" spans="1:16" x14ac:dyDescent="0.25">
      <c r="A352">
        <v>16</v>
      </c>
      <c r="B352" t="s">
        <v>70</v>
      </c>
      <c r="C352" t="s">
        <v>5923</v>
      </c>
      <c r="D352">
        <v>16.78</v>
      </c>
      <c r="E352" t="s">
        <v>25</v>
      </c>
      <c r="F352" t="s">
        <v>15</v>
      </c>
      <c r="G352">
        <v>23.54</v>
      </c>
      <c r="H352">
        <v>10.02</v>
      </c>
      <c r="I352">
        <v>6.76</v>
      </c>
      <c r="J352">
        <v>45.697600000000001</v>
      </c>
      <c r="K352" t="str">
        <f>IFERROR(INDEX(Rosters!$C$2:$C$155,MATCH($B352,Rosters!$B$2:$B$155,0)),"NA")</f>
        <v>aj</v>
      </c>
      <c r="L352" t="str">
        <f t="shared" si="15"/>
        <v>aj16QB</v>
      </c>
      <c r="M352">
        <f>COUNTIF(L$1:L352,L352)</f>
        <v>2</v>
      </c>
      <c r="N352" t="str">
        <f t="shared" si="16"/>
        <v>aj16QB-2</v>
      </c>
      <c r="O352">
        <f>COUNTIFS(F$1:F352,F352,A$1:A352,A352)</f>
        <v>21</v>
      </c>
      <c r="P352" t="str">
        <f t="shared" si="17"/>
        <v>Matthew Stafford16</v>
      </c>
    </row>
    <row r="353" spans="1:16" x14ac:dyDescent="0.25">
      <c r="A353">
        <v>11</v>
      </c>
      <c r="B353" t="s">
        <v>1506</v>
      </c>
      <c r="C353" t="s">
        <v>5924</v>
      </c>
      <c r="D353">
        <v>16.760000000000002</v>
      </c>
      <c r="E353" t="s">
        <v>32</v>
      </c>
      <c r="F353" t="s">
        <v>15</v>
      </c>
      <c r="G353">
        <v>23.2</v>
      </c>
      <c r="H353">
        <v>10.32</v>
      </c>
      <c r="I353">
        <v>6.44</v>
      </c>
      <c r="J353">
        <v>41.473599999999998</v>
      </c>
      <c r="K353" t="str">
        <f>IFERROR(INDEX(Rosters!$C$2:$C$155,MATCH($B353,Rosters!$B$2:$B$155,0)),"NA")</f>
        <v>NA</v>
      </c>
      <c r="L353" t="str">
        <f t="shared" si="15"/>
        <v>NA11QB</v>
      </c>
      <c r="M353">
        <f>COUNTIF(L$1:L353,L353)</f>
        <v>7</v>
      </c>
      <c r="N353" t="str">
        <f t="shared" si="16"/>
        <v>NA11QB-7</v>
      </c>
      <c r="O353">
        <f>COUNTIFS(F$1:F353,F353,A$1:A353,A353)</f>
        <v>20</v>
      </c>
      <c r="P353" t="str">
        <f t="shared" si="17"/>
        <v>Josh Rosen11</v>
      </c>
    </row>
    <row r="354" spans="1:16" x14ac:dyDescent="0.25">
      <c r="A354">
        <v>13</v>
      </c>
      <c r="B354" t="s">
        <v>95</v>
      </c>
      <c r="C354" t="s">
        <v>5925</v>
      </c>
      <c r="D354">
        <v>16.72</v>
      </c>
      <c r="E354" t="s">
        <v>50</v>
      </c>
      <c r="F354" t="s">
        <v>15</v>
      </c>
      <c r="G354">
        <v>24.2</v>
      </c>
      <c r="H354">
        <v>9.24</v>
      </c>
      <c r="I354">
        <v>7.48</v>
      </c>
      <c r="J354">
        <v>55.950400000000002</v>
      </c>
      <c r="K354" t="str">
        <f>IFERROR(INDEX(Rosters!$C$2:$C$155,MATCH($B354,Rosters!$B$2:$B$155,0)),"NA")</f>
        <v>matty</v>
      </c>
      <c r="L354" t="str">
        <f t="shared" si="15"/>
        <v>matty13QB</v>
      </c>
      <c r="M354">
        <f>COUNTIF(L$1:L354,L354)</f>
        <v>2</v>
      </c>
      <c r="N354" t="str">
        <f t="shared" si="16"/>
        <v>matty13QB-2</v>
      </c>
      <c r="O354">
        <f>COUNTIFS(F$1:F354,F354,A$1:A354,A354)</f>
        <v>21</v>
      </c>
      <c r="P354" t="str">
        <f t="shared" si="17"/>
        <v>Alex Smith13</v>
      </c>
    </row>
    <row r="355" spans="1:16" x14ac:dyDescent="0.25">
      <c r="A355">
        <v>3</v>
      </c>
      <c r="B355" t="s">
        <v>83</v>
      </c>
      <c r="C355" t="s">
        <v>3619</v>
      </c>
      <c r="D355">
        <v>16.72</v>
      </c>
      <c r="E355" t="s">
        <v>37</v>
      </c>
      <c r="F355" t="s">
        <v>15</v>
      </c>
      <c r="G355">
        <v>24.23</v>
      </c>
      <c r="H355">
        <v>9.2100000000000009</v>
      </c>
      <c r="I355">
        <v>7.51</v>
      </c>
      <c r="J355">
        <v>56.400100000000002</v>
      </c>
      <c r="K355" t="str">
        <f>IFERROR(INDEX(Rosters!$C$2:$C$155,MATCH($B355,Rosters!$B$2:$B$155,0)),"NA")</f>
        <v>cory</v>
      </c>
      <c r="L355" t="str">
        <f t="shared" si="15"/>
        <v>cory3QB</v>
      </c>
      <c r="M355">
        <f>COUNTIF(L$1:L355,L355)</f>
        <v>2</v>
      </c>
      <c r="N355" t="str">
        <f t="shared" si="16"/>
        <v>cory3QB-2</v>
      </c>
      <c r="O355">
        <f>COUNTIFS(F$1:F355,F355,A$1:A355,A355)</f>
        <v>18</v>
      </c>
      <c r="P355" t="str">
        <f t="shared" si="17"/>
        <v>Jared Goff3</v>
      </c>
    </row>
    <row r="356" spans="1:16" x14ac:dyDescent="0.25">
      <c r="A356">
        <v>8</v>
      </c>
      <c r="B356" t="s">
        <v>115</v>
      </c>
      <c r="C356" t="s">
        <v>5926</v>
      </c>
      <c r="D356">
        <v>16.72</v>
      </c>
      <c r="E356" t="s">
        <v>42</v>
      </c>
      <c r="F356" t="s">
        <v>47</v>
      </c>
      <c r="G356">
        <v>24.9</v>
      </c>
      <c r="H356">
        <v>8.5399999999999991</v>
      </c>
      <c r="I356">
        <v>8.18</v>
      </c>
      <c r="J356">
        <v>66.912400000000005</v>
      </c>
      <c r="K356" t="str">
        <f>IFERROR(INDEX(Rosters!$C$2:$C$155,MATCH($B356,Rosters!$B$2:$B$155,0)),"NA")</f>
        <v>scott</v>
      </c>
      <c r="L356" t="str">
        <f t="shared" si="15"/>
        <v>scott8RB</v>
      </c>
      <c r="M356">
        <f>COUNTIF(L$1:L356,L356)</f>
        <v>1</v>
      </c>
      <c r="N356" t="str">
        <f t="shared" si="16"/>
        <v>scott8RB-1</v>
      </c>
      <c r="O356">
        <f>COUNTIFS(F$1:F356,F356,A$1:A356,A356)</f>
        <v>2</v>
      </c>
      <c r="P356" t="str">
        <f t="shared" si="17"/>
        <v>Kareem Hunt8</v>
      </c>
    </row>
    <row r="357" spans="1:16" x14ac:dyDescent="0.25">
      <c r="A357">
        <v>5</v>
      </c>
      <c r="B357" t="s">
        <v>53</v>
      </c>
      <c r="C357" t="s">
        <v>5927</v>
      </c>
      <c r="D357">
        <v>16.690000000000001</v>
      </c>
      <c r="E357" t="s">
        <v>56</v>
      </c>
      <c r="F357" t="s">
        <v>15</v>
      </c>
      <c r="G357">
        <v>23.82</v>
      </c>
      <c r="H357">
        <v>9.56</v>
      </c>
      <c r="I357">
        <v>7.13</v>
      </c>
      <c r="J357">
        <v>50.8369</v>
      </c>
      <c r="K357" t="str">
        <f>IFERROR(INDEX(Rosters!$C$2:$C$155,MATCH($B357,Rosters!$B$2:$B$155,0)),"NA")</f>
        <v>seth</v>
      </c>
      <c r="L357" t="str">
        <f t="shared" si="15"/>
        <v>seth5QB</v>
      </c>
      <c r="M357">
        <f>COUNTIF(L$1:L357,L357)</f>
        <v>1</v>
      </c>
      <c r="N357" t="str">
        <f t="shared" si="16"/>
        <v>seth5QB-1</v>
      </c>
      <c r="O357">
        <f>COUNTIFS(F$1:F357,F357,A$1:A357,A357)</f>
        <v>19</v>
      </c>
      <c r="P357" t="str">
        <f t="shared" si="17"/>
        <v>Russell Wilson5</v>
      </c>
    </row>
    <row r="358" spans="1:16" x14ac:dyDescent="0.25">
      <c r="A358">
        <v>1</v>
      </c>
      <c r="B358" t="s">
        <v>69</v>
      </c>
      <c r="C358" t="s">
        <v>1280</v>
      </c>
      <c r="D358">
        <v>16.670000000000002</v>
      </c>
      <c r="E358" t="s">
        <v>19</v>
      </c>
      <c r="F358" t="s">
        <v>15</v>
      </c>
      <c r="G358">
        <v>24.16</v>
      </c>
      <c r="H358">
        <v>9.18</v>
      </c>
      <c r="I358">
        <v>7.49</v>
      </c>
      <c r="J358">
        <v>56.100099999999998</v>
      </c>
      <c r="K358" t="str">
        <f>IFERROR(INDEX(Rosters!$C$2:$C$155,MATCH($B358,Rosters!$B$2:$B$155,0)),"NA")</f>
        <v>NA</v>
      </c>
      <c r="L358" t="str">
        <f t="shared" si="15"/>
        <v>NA1QB</v>
      </c>
      <c r="M358">
        <f>COUNTIF(L$1:L358,L358)</f>
        <v>2</v>
      </c>
      <c r="N358" t="str">
        <f t="shared" si="16"/>
        <v>NA1QB-2</v>
      </c>
      <c r="O358">
        <f>COUNTIFS(F$1:F358,F358,A$1:A358,A358)</f>
        <v>13</v>
      </c>
      <c r="P358" t="str">
        <f t="shared" si="17"/>
        <v>Marcus Mariota1</v>
      </c>
    </row>
    <row r="359" spans="1:16" x14ac:dyDescent="0.25">
      <c r="A359">
        <v>1</v>
      </c>
      <c r="B359" t="s">
        <v>92</v>
      </c>
      <c r="C359" t="s">
        <v>1281</v>
      </c>
      <c r="D359">
        <v>16.66</v>
      </c>
      <c r="E359" t="s">
        <v>24</v>
      </c>
      <c r="F359" t="s">
        <v>47</v>
      </c>
      <c r="G359">
        <v>25.88</v>
      </c>
      <c r="H359">
        <v>7.44</v>
      </c>
      <c r="I359">
        <v>9.2200000000000006</v>
      </c>
      <c r="J359">
        <v>85.008399999999995</v>
      </c>
      <c r="K359" t="str">
        <f>IFERROR(INDEX(Rosters!$C$2:$C$155,MATCH($B359,Rosters!$B$2:$B$155,0)),"NA")</f>
        <v>matty</v>
      </c>
      <c r="L359" t="str">
        <f t="shared" si="15"/>
        <v>matty1RB</v>
      </c>
      <c r="M359">
        <f>COUNTIF(L$1:L359,L359)</f>
        <v>2</v>
      </c>
      <c r="N359" t="str">
        <f t="shared" si="16"/>
        <v>matty1RB-2</v>
      </c>
      <c r="O359">
        <f>COUNTIFS(F$1:F359,F359,A$1:A359,A359)</f>
        <v>4</v>
      </c>
      <c r="P359" t="str">
        <f t="shared" si="17"/>
        <v>Melvin Gordon1</v>
      </c>
    </row>
    <row r="360" spans="1:16" x14ac:dyDescent="0.25">
      <c r="A360">
        <v>10</v>
      </c>
      <c r="B360" t="s">
        <v>63</v>
      </c>
      <c r="C360" t="s">
        <v>5928</v>
      </c>
      <c r="D360">
        <v>16.649999999999999</v>
      </c>
      <c r="E360" t="s">
        <v>14</v>
      </c>
      <c r="F360" t="s">
        <v>15</v>
      </c>
      <c r="G360">
        <v>23.2</v>
      </c>
      <c r="H360">
        <v>10.1</v>
      </c>
      <c r="I360">
        <v>6.55</v>
      </c>
      <c r="J360">
        <v>42.902500000000003</v>
      </c>
      <c r="K360" t="str">
        <f>IFERROR(INDEX(Rosters!$C$2:$C$155,MATCH($B360,Rosters!$B$2:$B$155,0)),"NA")</f>
        <v>scott</v>
      </c>
      <c r="L360" t="str">
        <f t="shared" si="15"/>
        <v>scott10QB</v>
      </c>
      <c r="M360">
        <f>COUNTIF(L$1:L360,L360)</f>
        <v>2</v>
      </c>
      <c r="N360" t="str">
        <f t="shared" si="16"/>
        <v>scott10QB-2</v>
      </c>
      <c r="O360">
        <f>COUNTIFS(F$1:F360,F360,A$1:A360,A360)</f>
        <v>16</v>
      </c>
      <c r="P360" t="str">
        <f t="shared" si="17"/>
        <v>Andy Dalton10</v>
      </c>
    </row>
    <row r="361" spans="1:16" x14ac:dyDescent="0.25">
      <c r="A361">
        <v>6</v>
      </c>
      <c r="B361" t="s">
        <v>1277</v>
      </c>
      <c r="C361" t="s">
        <v>5929</v>
      </c>
      <c r="D361">
        <v>16.649999999999999</v>
      </c>
      <c r="E361" t="s">
        <v>36</v>
      </c>
      <c r="F361" t="s">
        <v>15</v>
      </c>
      <c r="G361">
        <v>23.5</v>
      </c>
      <c r="H361">
        <v>9.8000000000000007</v>
      </c>
      <c r="I361">
        <v>6.85</v>
      </c>
      <c r="J361">
        <v>46.922499999999999</v>
      </c>
      <c r="K361" t="str">
        <f>IFERROR(INDEX(Rosters!$C$2:$C$155,MATCH($B361,Rosters!$B$2:$B$155,0)),"NA")</f>
        <v>NA</v>
      </c>
      <c r="L361" t="str">
        <f t="shared" si="15"/>
        <v>NA6QB</v>
      </c>
      <c r="M361">
        <f>COUNTIF(L$1:L361,L361)</f>
        <v>4</v>
      </c>
      <c r="N361" t="str">
        <f t="shared" si="16"/>
        <v>NA6QB-4</v>
      </c>
      <c r="O361">
        <f>COUNTIFS(F$1:F361,F361,A$1:A361,A361)</f>
        <v>16</v>
      </c>
      <c r="P361" t="str">
        <f t="shared" si="17"/>
        <v>Josh Allen6</v>
      </c>
    </row>
    <row r="362" spans="1:16" x14ac:dyDescent="0.25">
      <c r="A362">
        <v>7</v>
      </c>
      <c r="B362" t="s">
        <v>80</v>
      </c>
      <c r="C362" t="s">
        <v>5930</v>
      </c>
      <c r="D362">
        <v>16.64</v>
      </c>
      <c r="E362" t="s">
        <v>74</v>
      </c>
      <c r="F362" t="s">
        <v>15</v>
      </c>
      <c r="G362">
        <v>23.17</v>
      </c>
      <c r="H362">
        <v>10.11</v>
      </c>
      <c r="I362">
        <v>6.53</v>
      </c>
      <c r="J362">
        <v>42.640900000000002</v>
      </c>
      <c r="K362" t="str">
        <f>IFERROR(INDEX(Rosters!$C$2:$C$155,MATCH($B362,Rosters!$B$2:$B$155,0)),"NA")</f>
        <v>perry</v>
      </c>
      <c r="L362" t="str">
        <f t="shared" si="15"/>
        <v>perry7QB</v>
      </c>
      <c r="M362">
        <f>COUNTIF(L$1:L362,L362)</f>
        <v>2</v>
      </c>
      <c r="N362" t="str">
        <f t="shared" si="16"/>
        <v>perry7QB-2</v>
      </c>
      <c r="O362">
        <f>COUNTIFS(F$1:F362,F362,A$1:A362,A362)</f>
        <v>18</v>
      </c>
      <c r="P362" t="str">
        <f t="shared" si="17"/>
        <v>Carson Wentz7</v>
      </c>
    </row>
    <row r="363" spans="1:16" x14ac:dyDescent="0.25">
      <c r="A363">
        <v>15</v>
      </c>
      <c r="B363" t="s">
        <v>75</v>
      </c>
      <c r="C363" t="s">
        <v>5931</v>
      </c>
      <c r="D363">
        <v>16.63</v>
      </c>
      <c r="E363" t="s">
        <v>38</v>
      </c>
      <c r="F363" t="s">
        <v>15</v>
      </c>
      <c r="G363">
        <v>23.67</v>
      </c>
      <c r="H363">
        <v>9.59</v>
      </c>
      <c r="I363">
        <v>7.04</v>
      </c>
      <c r="J363">
        <v>49.561599999999999</v>
      </c>
      <c r="K363" t="str">
        <f>IFERROR(INDEX(Rosters!$C$2:$C$155,MATCH($B363,Rosters!$B$2:$B$155,0)),"NA")</f>
        <v>NA</v>
      </c>
      <c r="L363" t="str">
        <f t="shared" si="15"/>
        <v>NA15QB</v>
      </c>
      <c r="M363">
        <f>COUNTIF(L$1:L363,L363)</f>
        <v>9</v>
      </c>
      <c r="N363" t="str">
        <f t="shared" si="16"/>
        <v>NA15QB-9</v>
      </c>
      <c r="O363">
        <f>COUNTIFS(F$1:F363,F363,A$1:A363,A363)</f>
        <v>24</v>
      </c>
      <c r="P363" t="str">
        <f t="shared" si="17"/>
        <v>Eli Manning15</v>
      </c>
    </row>
    <row r="364" spans="1:16" x14ac:dyDescent="0.25">
      <c r="A364">
        <v>1</v>
      </c>
      <c r="B364" t="s">
        <v>65</v>
      </c>
      <c r="C364" t="s">
        <v>3181</v>
      </c>
      <c r="D364">
        <v>16.579999999999998</v>
      </c>
      <c r="E364" t="s">
        <v>52</v>
      </c>
      <c r="F364" t="s">
        <v>15</v>
      </c>
      <c r="G364">
        <v>23.54</v>
      </c>
      <c r="H364">
        <v>9.6199999999999992</v>
      </c>
      <c r="I364">
        <v>6.96</v>
      </c>
      <c r="J364">
        <v>48.441600000000001</v>
      </c>
      <c r="K364" t="str">
        <f>IFERROR(INDEX(Rosters!$C$2:$C$155,MATCH($B364,Rosters!$B$2:$B$155,0)),"NA")</f>
        <v>lucas</v>
      </c>
      <c r="L364" t="str">
        <f t="shared" si="15"/>
        <v>lucas1QB</v>
      </c>
      <c r="M364">
        <f>COUNTIF(L$1:L364,L364)</f>
        <v>2</v>
      </c>
      <c r="N364" t="str">
        <f t="shared" si="16"/>
        <v>lucas1QB-2</v>
      </c>
      <c r="O364">
        <f>COUNTIFS(F$1:F364,F364,A$1:A364,A364)</f>
        <v>14</v>
      </c>
      <c r="P364" t="str">
        <f t="shared" si="17"/>
        <v>Ben Roethlisberger1</v>
      </c>
    </row>
    <row r="365" spans="1:16" x14ac:dyDescent="0.25">
      <c r="A365">
        <v>4</v>
      </c>
      <c r="B365" t="s">
        <v>1277</v>
      </c>
      <c r="C365" t="s">
        <v>4419</v>
      </c>
      <c r="D365">
        <v>16.579999999999998</v>
      </c>
      <c r="E365" t="s">
        <v>41</v>
      </c>
      <c r="F365" t="s">
        <v>15</v>
      </c>
      <c r="G365">
        <v>24.05</v>
      </c>
      <c r="H365">
        <v>9.11</v>
      </c>
      <c r="I365">
        <v>7.47</v>
      </c>
      <c r="J365">
        <v>55.800899999999999</v>
      </c>
      <c r="K365" t="str">
        <f>IFERROR(INDEX(Rosters!$C$2:$C$155,MATCH($B365,Rosters!$B$2:$B$155,0)),"NA")</f>
        <v>NA</v>
      </c>
      <c r="L365" t="str">
        <f t="shared" si="15"/>
        <v>NA4QB</v>
      </c>
      <c r="M365">
        <f>COUNTIF(L$1:L365,L365)</f>
        <v>6</v>
      </c>
      <c r="N365" t="str">
        <f t="shared" si="16"/>
        <v>NA4QB-6</v>
      </c>
      <c r="O365">
        <f>COUNTIFS(F$1:F365,F365,A$1:A365,A365)</f>
        <v>21</v>
      </c>
      <c r="P365" t="str">
        <f t="shared" si="17"/>
        <v>Josh Allen4</v>
      </c>
    </row>
    <row r="366" spans="1:16" x14ac:dyDescent="0.25">
      <c r="A366">
        <v>14</v>
      </c>
      <c r="B366" t="s">
        <v>96</v>
      </c>
      <c r="C366" t="s">
        <v>5932</v>
      </c>
      <c r="D366">
        <v>16.53</v>
      </c>
      <c r="E366" t="s">
        <v>32</v>
      </c>
      <c r="F366" t="s">
        <v>87</v>
      </c>
      <c r="G366">
        <v>24.23</v>
      </c>
      <c r="H366">
        <v>8.83</v>
      </c>
      <c r="I366">
        <v>7.7</v>
      </c>
      <c r="J366">
        <v>59.29</v>
      </c>
      <c r="K366" t="str">
        <f>IFERROR(INDEX(Rosters!$C$2:$C$155,MATCH($B366,Rosters!$B$2:$B$155,0)),"NA")</f>
        <v>comp</v>
      </c>
      <c r="L366" t="str">
        <f t="shared" si="15"/>
        <v>comp14WR</v>
      </c>
      <c r="M366">
        <f>COUNTIF(L$1:L366,L366)</f>
        <v>1</v>
      </c>
      <c r="N366" t="str">
        <f t="shared" si="16"/>
        <v>comp14WR-1</v>
      </c>
      <c r="O366">
        <f>COUNTIFS(F$1:F366,F366,A$1:A366,A366)</f>
        <v>1</v>
      </c>
      <c r="P366" t="str">
        <f t="shared" si="17"/>
        <v>Antonio Brown14</v>
      </c>
    </row>
    <row r="367" spans="1:16" x14ac:dyDescent="0.25">
      <c r="A367">
        <v>9</v>
      </c>
      <c r="B367" t="s">
        <v>61</v>
      </c>
      <c r="C367" t="s">
        <v>5933</v>
      </c>
      <c r="D367">
        <v>16.53</v>
      </c>
      <c r="E367" t="s">
        <v>74</v>
      </c>
      <c r="F367" t="s">
        <v>15</v>
      </c>
      <c r="G367">
        <v>23.17</v>
      </c>
      <c r="H367">
        <v>9.89</v>
      </c>
      <c r="I367">
        <v>6.64</v>
      </c>
      <c r="J367">
        <v>44.089599999999997</v>
      </c>
      <c r="K367" t="str">
        <f>IFERROR(INDEX(Rosters!$C$2:$C$155,MATCH($B367,Rosters!$B$2:$B$155,0)),"NA")</f>
        <v>NA</v>
      </c>
      <c r="L367" t="str">
        <f t="shared" si="15"/>
        <v>NA9QB</v>
      </c>
      <c r="M367">
        <f>COUNTIF(L$1:L367,L367)</f>
        <v>6</v>
      </c>
      <c r="N367" t="str">
        <f t="shared" si="16"/>
        <v>NA9QB-6</v>
      </c>
      <c r="O367">
        <f>COUNTIFS(F$1:F367,F367,A$1:A367,A367)</f>
        <v>18</v>
      </c>
      <c r="P367" t="str">
        <f t="shared" si="17"/>
        <v>Jameis Winston9</v>
      </c>
    </row>
    <row r="368" spans="1:16" x14ac:dyDescent="0.25">
      <c r="A368">
        <v>16</v>
      </c>
      <c r="B368" t="s">
        <v>291</v>
      </c>
      <c r="C368" t="s">
        <v>5934</v>
      </c>
      <c r="D368">
        <v>16.5</v>
      </c>
      <c r="E368" t="s">
        <v>30</v>
      </c>
      <c r="F368" t="s">
        <v>15</v>
      </c>
      <c r="G368">
        <v>23.89</v>
      </c>
      <c r="H368">
        <v>9.11</v>
      </c>
      <c r="I368">
        <v>7.39</v>
      </c>
      <c r="J368">
        <v>54.612099999999998</v>
      </c>
      <c r="K368" t="str">
        <f>IFERROR(INDEX(Rosters!$C$2:$C$155,MATCH($B368,Rosters!$B$2:$B$155,0)),"NA")</f>
        <v>NA</v>
      </c>
      <c r="L368" t="str">
        <f t="shared" si="15"/>
        <v>NA16QB</v>
      </c>
      <c r="M368">
        <f>COUNTIF(L$1:L368,L368)</f>
        <v>8</v>
      </c>
      <c r="N368" t="str">
        <f t="shared" si="16"/>
        <v>NA16QB-8</v>
      </c>
      <c r="O368">
        <f>COUNTIFS(F$1:F368,F368,A$1:A368,A368)</f>
        <v>22</v>
      </c>
      <c r="P368" t="str">
        <f t="shared" si="17"/>
        <v>Mitchell Trubisky16</v>
      </c>
    </row>
    <row r="369" spans="1:16" x14ac:dyDescent="0.25">
      <c r="A369">
        <v>16</v>
      </c>
      <c r="B369" t="s">
        <v>33</v>
      </c>
      <c r="C369" t="s">
        <v>5935</v>
      </c>
      <c r="D369">
        <v>16.46</v>
      </c>
      <c r="E369" t="s">
        <v>54</v>
      </c>
      <c r="F369" t="s">
        <v>15</v>
      </c>
      <c r="G369">
        <v>21.7</v>
      </c>
      <c r="H369">
        <v>11.22</v>
      </c>
      <c r="I369">
        <v>5.24</v>
      </c>
      <c r="J369">
        <v>27.457599999999999</v>
      </c>
      <c r="K369" t="str">
        <f>IFERROR(INDEX(Rosters!$C$2:$C$155,MATCH($B369,Rosters!$B$2:$B$155,0)),"NA")</f>
        <v>comp</v>
      </c>
      <c r="L369" t="str">
        <f t="shared" si="15"/>
        <v>comp16QB</v>
      </c>
      <c r="M369">
        <f>COUNTIF(L$1:L369,L369)</f>
        <v>2</v>
      </c>
      <c r="N369" t="str">
        <f t="shared" si="16"/>
        <v>comp16QB-2</v>
      </c>
      <c r="O369">
        <f>COUNTIFS(F$1:F369,F369,A$1:A369,A369)</f>
        <v>23</v>
      </c>
      <c r="P369" t="str">
        <f t="shared" si="17"/>
        <v>Andrew Luck16</v>
      </c>
    </row>
    <row r="370" spans="1:16" x14ac:dyDescent="0.25">
      <c r="A370">
        <v>11</v>
      </c>
      <c r="B370" t="s">
        <v>1213</v>
      </c>
      <c r="C370" t="s">
        <v>5936</v>
      </c>
      <c r="D370">
        <v>16.46</v>
      </c>
      <c r="E370" t="s">
        <v>37</v>
      </c>
      <c r="F370" t="s">
        <v>15</v>
      </c>
      <c r="G370">
        <v>22.84</v>
      </c>
      <c r="H370">
        <v>10.08</v>
      </c>
      <c r="I370">
        <v>6.38</v>
      </c>
      <c r="J370">
        <v>40.7044</v>
      </c>
      <c r="K370" t="str">
        <f>IFERROR(INDEX(Rosters!$C$2:$C$155,MATCH($B370,Rosters!$B$2:$B$155,0)),"NA")</f>
        <v>NA</v>
      </c>
      <c r="L370" t="str">
        <f t="shared" si="15"/>
        <v>NA11QB</v>
      </c>
      <c r="M370">
        <f>COUNTIF(L$1:L370,L370)</f>
        <v>8</v>
      </c>
      <c r="N370" t="str">
        <f t="shared" si="16"/>
        <v>NA11QB-8</v>
      </c>
      <c r="O370">
        <f>COUNTIFS(F$1:F370,F370,A$1:A370,A370)</f>
        <v>21</v>
      </c>
      <c r="P370" t="str">
        <f t="shared" si="17"/>
        <v>Case Keenum11</v>
      </c>
    </row>
    <row r="371" spans="1:16" x14ac:dyDescent="0.25">
      <c r="A371">
        <v>11</v>
      </c>
      <c r="B371" t="s">
        <v>70</v>
      </c>
      <c r="C371" t="s">
        <v>5937</v>
      </c>
      <c r="D371">
        <v>16.45</v>
      </c>
      <c r="E371" t="s">
        <v>74</v>
      </c>
      <c r="F371" t="s">
        <v>15</v>
      </c>
      <c r="G371">
        <v>22.58</v>
      </c>
      <c r="H371">
        <v>10.32</v>
      </c>
      <c r="I371">
        <v>6.13</v>
      </c>
      <c r="J371">
        <v>37.576900000000002</v>
      </c>
      <c r="K371" t="str">
        <f>IFERROR(INDEX(Rosters!$C$2:$C$155,MATCH($B371,Rosters!$B$2:$B$155,0)),"NA")</f>
        <v>aj</v>
      </c>
      <c r="L371" t="str">
        <f t="shared" si="15"/>
        <v>aj11QB</v>
      </c>
      <c r="M371">
        <f>COUNTIF(L$1:L371,L371)</f>
        <v>2</v>
      </c>
      <c r="N371" t="str">
        <f t="shared" si="16"/>
        <v>aj11QB-2</v>
      </c>
      <c r="O371">
        <f>COUNTIFS(F$1:F371,F371,A$1:A371,A371)</f>
        <v>22</v>
      </c>
      <c r="P371" t="str">
        <f t="shared" si="17"/>
        <v>Matthew Stafford11</v>
      </c>
    </row>
    <row r="372" spans="1:16" x14ac:dyDescent="0.25">
      <c r="A372">
        <v>6</v>
      </c>
      <c r="B372" t="s">
        <v>82</v>
      </c>
      <c r="C372" t="s">
        <v>5938</v>
      </c>
      <c r="D372">
        <v>16.420000000000002</v>
      </c>
      <c r="E372" t="s">
        <v>38</v>
      </c>
      <c r="F372" t="s">
        <v>15</v>
      </c>
      <c r="G372">
        <v>23.01</v>
      </c>
      <c r="H372">
        <v>9.83</v>
      </c>
      <c r="I372">
        <v>6.59</v>
      </c>
      <c r="J372">
        <v>43.428100000000001</v>
      </c>
      <c r="K372" t="str">
        <f>IFERROR(INDEX(Rosters!$C$2:$C$155,MATCH($B372,Rosters!$B$2:$B$155,0)),"NA")</f>
        <v>NA</v>
      </c>
      <c r="L372" t="str">
        <f t="shared" si="15"/>
        <v>NA6QB</v>
      </c>
      <c r="M372">
        <f>COUNTIF(L$1:L372,L372)</f>
        <v>5</v>
      </c>
      <c r="N372" t="str">
        <f t="shared" si="16"/>
        <v>NA6QB-5</v>
      </c>
      <c r="O372">
        <f>COUNTIFS(F$1:F372,F372,A$1:A372,A372)</f>
        <v>17</v>
      </c>
      <c r="P372" t="str">
        <f t="shared" si="17"/>
        <v>Joe Flacco6</v>
      </c>
    </row>
    <row r="373" spans="1:16" x14ac:dyDescent="0.25">
      <c r="A373">
        <v>2</v>
      </c>
      <c r="B373" t="s">
        <v>68</v>
      </c>
      <c r="C373" t="s">
        <v>3305</v>
      </c>
      <c r="D373">
        <v>16.399999999999999</v>
      </c>
      <c r="E373" t="s">
        <v>14</v>
      </c>
      <c r="F373" t="s">
        <v>15</v>
      </c>
      <c r="G373">
        <v>23.2</v>
      </c>
      <c r="H373">
        <v>9.6</v>
      </c>
      <c r="I373">
        <v>6.8</v>
      </c>
      <c r="J373">
        <v>46.24</v>
      </c>
      <c r="K373" t="str">
        <f>IFERROR(INDEX(Rosters!$C$2:$C$155,MATCH($B373,Rosters!$B$2:$B$155,0)),"NA")</f>
        <v>NA</v>
      </c>
      <c r="L373" t="str">
        <f t="shared" si="15"/>
        <v>NA2QB</v>
      </c>
      <c r="M373">
        <f>COUNTIF(L$1:L373,L373)</f>
        <v>5</v>
      </c>
      <c r="N373" t="str">
        <f t="shared" si="16"/>
        <v>NA2QB-5</v>
      </c>
      <c r="O373">
        <f>COUNTIFS(F$1:F373,F373,A$1:A373,A373)</f>
        <v>17</v>
      </c>
      <c r="P373" t="str">
        <f t="shared" si="17"/>
        <v>Tyrod Taylor2</v>
      </c>
    </row>
    <row r="374" spans="1:16" x14ac:dyDescent="0.25">
      <c r="A374">
        <v>17</v>
      </c>
      <c r="B374" t="s">
        <v>75</v>
      </c>
      <c r="C374" t="s">
        <v>5939</v>
      </c>
      <c r="D374">
        <v>16.36</v>
      </c>
      <c r="E374" t="s">
        <v>22</v>
      </c>
      <c r="F374" t="s">
        <v>15</v>
      </c>
      <c r="G374">
        <v>22.94</v>
      </c>
      <c r="H374">
        <v>9.7799999999999994</v>
      </c>
      <c r="I374">
        <v>6.58</v>
      </c>
      <c r="J374">
        <v>43.296399999999998</v>
      </c>
      <c r="K374" t="str">
        <f>IFERROR(INDEX(Rosters!$C$2:$C$155,MATCH($B374,Rosters!$B$2:$B$155,0)),"NA")</f>
        <v>NA</v>
      </c>
      <c r="L374" t="str">
        <f t="shared" si="15"/>
        <v>NA17QB</v>
      </c>
      <c r="M374">
        <f>COUNTIF(L$1:L374,L374)</f>
        <v>8</v>
      </c>
      <c r="N374" t="str">
        <f t="shared" si="16"/>
        <v>NA17QB-8</v>
      </c>
      <c r="O374">
        <f>COUNTIFS(F$1:F374,F374,A$1:A374,A374)</f>
        <v>21</v>
      </c>
      <c r="P374" t="str">
        <f t="shared" si="17"/>
        <v>Eli Manning17</v>
      </c>
    </row>
    <row r="375" spans="1:16" x14ac:dyDescent="0.25">
      <c r="A375">
        <v>3</v>
      </c>
      <c r="B375" t="s">
        <v>1278</v>
      </c>
      <c r="C375" t="s">
        <v>3620</v>
      </c>
      <c r="D375">
        <v>16.36</v>
      </c>
      <c r="E375" t="s">
        <v>32</v>
      </c>
      <c r="F375" t="s">
        <v>15</v>
      </c>
      <c r="G375">
        <v>23.5</v>
      </c>
      <c r="H375">
        <v>9.2200000000000006</v>
      </c>
      <c r="I375">
        <v>7.14</v>
      </c>
      <c r="J375">
        <v>50.979599999999998</v>
      </c>
      <c r="K375" t="str">
        <f>IFERROR(INDEX(Rosters!$C$2:$C$155,MATCH($B375,Rosters!$B$2:$B$155,0)),"NA")</f>
        <v>NA</v>
      </c>
      <c r="L375" t="str">
        <f t="shared" si="15"/>
        <v>NA3QB</v>
      </c>
      <c r="M375">
        <f>COUNTIF(L$1:L375,L375)</f>
        <v>5</v>
      </c>
      <c r="N375" t="str">
        <f t="shared" si="16"/>
        <v>NA3QB-5</v>
      </c>
      <c r="O375">
        <f>COUNTIFS(F$1:F375,F375,A$1:A375,A375)</f>
        <v>19</v>
      </c>
      <c r="P375" t="str">
        <f t="shared" si="17"/>
        <v>Ryan Tannehill3</v>
      </c>
    </row>
    <row r="376" spans="1:16" x14ac:dyDescent="0.25">
      <c r="A376">
        <v>12</v>
      </c>
      <c r="B376" t="s">
        <v>92</v>
      </c>
      <c r="C376" t="s">
        <v>5940</v>
      </c>
      <c r="D376">
        <v>16.34</v>
      </c>
      <c r="E376" t="s">
        <v>58</v>
      </c>
      <c r="F376" t="s">
        <v>47</v>
      </c>
      <c r="G376">
        <v>24.69</v>
      </c>
      <c r="H376">
        <v>7.99</v>
      </c>
      <c r="I376">
        <v>8.35</v>
      </c>
      <c r="J376">
        <v>69.722499999999997</v>
      </c>
      <c r="K376" t="str">
        <f>IFERROR(INDEX(Rosters!$C$2:$C$155,MATCH($B376,Rosters!$B$2:$B$155,0)),"NA")</f>
        <v>matty</v>
      </c>
      <c r="L376" t="str">
        <f t="shared" si="15"/>
        <v>matty12RB</v>
      </c>
      <c r="M376">
        <f>COUNTIF(L$1:L376,L376)</f>
        <v>1</v>
      </c>
      <c r="N376" t="str">
        <f t="shared" si="16"/>
        <v>matty12RB-1</v>
      </c>
      <c r="O376">
        <f>COUNTIFS(F$1:F376,F376,A$1:A376,A376)</f>
        <v>3</v>
      </c>
      <c r="P376" t="str">
        <f t="shared" si="17"/>
        <v>Melvin Gordon12</v>
      </c>
    </row>
    <row r="377" spans="1:16" x14ac:dyDescent="0.25">
      <c r="A377">
        <v>10</v>
      </c>
      <c r="B377" t="s">
        <v>115</v>
      </c>
      <c r="C377" t="s">
        <v>5941</v>
      </c>
      <c r="D377">
        <v>16.329999999999998</v>
      </c>
      <c r="E377" t="s">
        <v>58</v>
      </c>
      <c r="F377" t="s">
        <v>47</v>
      </c>
      <c r="G377">
        <v>23.77</v>
      </c>
      <c r="H377">
        <v>8.89</v>
      </c>
      <c r="I377">
        <v>7.44</v>
      </c>
      <c r="J377">
        <v>55.3536</v>
      </c>
      <c r="K377" t="str">
        <f>IFERROR(INDEX(Rosters!$C$2:$C$155,MATCH($B377,Rosters!$B$2:$B$155,0)),"NA")</f>
        <v>scott</v>
      </c>
      <c r="L377" t="str">
        <f t="shared" si="15"/>
        <v>scott10RB</v>
      </c>
      <c r="M377">
        <f>COUNTIF(L$1:L377,L377)</f>
        <v>1</v>
      </c>
      <c r="N377" t="str">
        <f t="shared" si="16"/>
        <v>scott10RB-1</v>
      </c>
      <c r="O377">
        <f>COUNTIFS(F$1:F377,F377,A$1:A377,A377)</f>
        <v>3</v>
      </c>
      <c r="P377" t="str">
        <f t="shared" si="17"/>
        <v>Kareem Hunt10</v>
      </c>
    </row>
    <row r="378" spans="1:16" x14ac:dyDescent="0.25">
      <c r="A378">
        <v>13</v>
      </c>
      <c r="B378" t="s">
        <v>1213</v>
      </c>
      <c r="C378" t="s">
        <v>5942</v>
      </c>
      <c r="D378">
        <v>16.3</v>
      </c>
      <c r="E378" t="s">
        <v>31</v>
      </c>
      <c r="F378" t="s">
        <v>15</v>
      </c>
      <c r="G378">
        <v>22.62</v>
      </c>
      <c r="H378">
        <v>9.98</v>
      </c>
      <c r="I378">
        <v>6.32</v>
      </c>
      <c r="J378">
        <v>39.942399999999999</v>
      </c>
      <c r="K378" t="str">
        <f>IFERROR(INDEX(Rosters!$C$2:$C$155,MATCH($B378,Rosters!$B$2:$B$155,0)),"NA")</f>
        <v>NA</v>
      </c>
      <c r="L378" t="str">
        <f t="shared" si="15"/>
        <v>NA13QB</v>
      </c>
      <c r="M378">
        <f>COUNTIF(L$1:L378,L378)</f>
        <v>7</v>
      </c>
      <c r="N378" t="str">
        <f t="shared" si="16"/>
        <v>NA13QB-7</v>
      </c>
      <c r="O378">
        <f>COUNTIFS(F$1:F378,F378,A$1:A378,A378)</f>
        <v>22</v>
      </c>
      <c r="P378" t="str">
        <f t="shared" si="17"/>
        <v>Case Keenum13</v>
      </c>
    </row>
    <row r="379" spans="1:16" x14ac:dyDescent="0.25">
      <c r="A379">
        <v>6</v>
      </c>
      <c r="B379" t="s">
        <v>71</v>
      </c>
      <c r="C379" t="s">
        <v>5943</v>
      </c>
      <c r="D379">
        <v>16.28</v>
      </c>
      <c r="E379" t="s">
        <v>28</v>
      </c>
      <c r="F379" t="s">
        <v>15</v>
      </c>
      <c r="G379">
        <v>24.09</v>
      </c>
      <c r="H379">
        <v>8.4700000000000006</v>
      </c>
      <c r="I379">
        <v>7.81</v>
      </c>
      <c r="J379">
        <v>60.996099999999998</v>
      </c>
      <c r="K379" t="str">
        <f>IFERROR(INDEX(Rosters!$C$2:$C$155,MATCH($B379,Rosters!$B$2:$B$155,0)),"NA")</f>
        <v>NA</v>
      </c>
      <c r="L379" t="str">
        <f t="shared" si="15"/>
        <v>NA6QB</v>
      </c>
      <c r="M379">
        <f>COUNTIF(L$1:L379,L379)</f>
        <v>6</v>
      </c>
      <c r="N379" t="str">
        <f t="shared" si="16"/>
        <v>NA6QB-6</v>
      </c>
      <c r="O379">
        <f>COUNTIFS(F$1:F379,F379,A$1:A379,A379)</f>
        <v>18</v>
      </c>
      <c r="P379" t="str">
        <f t="shared" si="17"/>
        <v>Derek Carr6</v>
      </c>
    </row>
    <row r="380" spans="1:16" x14ac:dyDescent="0.25">
      <c r="A380">
        <v>17</v>
      </c>
      <c r="B380" t="s">
        <v>53</v>
      </c>
      <c r="C380" t="s">
        <v>5944</v>
      </c>
      <c r="D380">
        <v>16.239999999999998</v>
      </c>
      <c r="E380" t="s">
        <v>58</v>
      </c>
      <c r="F380" t="s">
        <v>15</v>
      </c>
      <c r="G380">
        <v>23.77</v>
      </c>
      <c r="H380">
        <v>8.7100000000000009</v>
      </c>
      <c r="I380">
        <v>7.53</v>
      </c>
      <c r="J380">
        <v>56.700899999999997</v>
      </c>
      <c r="K380" t="str">
        <f>IFERROR(INDEX(Rosters!$C$2:$C$155,MATCH($B380,Rosters!$B$2:$B$155,0)),"NA")</f>
        <v>seth</v>
      </c>
      <c r="L380" t="str">
        <f t="shared" si="15"/>
        <v>seth17QB</v>
      </c>
      <c r="M380">
        <f>COUNTIF(L$1:L380,L380)</f>
        <v>1</v>
      </c>
      <c r="N380" t="str">
        <f t="shared" si="16"/>
        <v>seth17QB-1</v>
      </c>
      <c r="O380">
        <f>COUNTIFS(F$1:F380,F380,A$1:A380,A380)</f>
        <v>22</v>
      </c>
      <c r="P380" t="str">
        <f t="shared" si="17"/>
        <v>Russell Wilson17</v>
      </c>
    </row>
    <row r="381" spans="1:16" x14ac:dyDescent="0.25">
      <c r="A381">
        <v>16</v>
      </c>
      <c r="B381" t="s">
        <v>1492</v>
      </c>
      <c r="C381" t="s">
        <v>5945</v>
      </c>
      <c r="D381">
        <v>16.22</v>
      </c>
      <c r="E381" t="s">
        <v>31</v>
      </c>
      <c r="F381" t="s">
        <v>15</v>
      </c>
      <c r="G381">
        <v>23.92</v>
      </c>
      <c r="H381">
        <v>8.52</v>
      </c>
      <c r="I381">
        <v>7.7</v>
      </c>
      <c r="J381">
        <v>59.29</v>
      </c>
      <c r="K381" t="str">
        <f>IFERROR(INDEX(Rosters!$C$2:$C$155,MATCH($B381,Rosters!$B$2:$B$155,0)),"NA")</f>
        <v>perry</v>
      </c>
      <c r="L381" t="str">
        <f t="shared" si="15"/>
        <v>perry16QB</v>
      </c>
      <c r="M381">
        <f>COUNTIF(L$1:L381,L381)</f>
        <v>2</v>
      </c>
      <c r="N381" t="str">
        <f t="shared" si="16"/>
        <v>perry16QB-2</v>
      </c>
      <c r="O381">
        <f>COUNTIFS(F$1:F381,F381,A$1:A381,A381)</f>
        <v>24</v>
      </c>
      <c r="P381" t="str">
        <f t="shared" si="17"/>
        <v>Baker Mayfield16</v>
      </c>
    </row>
    <row r="382" spans="1:16" x14ac:dyDescent="0.25">
      <c r="A382">
        <v>10</v>
      </c>
      <c r="B382" t="s">
        <v>57</v>
      </c>
      <c r="C382" t="s">
        <v>5946</v>
      </c>
      <c r="D382">
        <v>16.21</v>
      </c>
      <c r="E382" t="s">
        <v>50</v>
      </c>
      <c r="F382" t="s">
        <v>47</v>
      </c>
      <c r="G382">
        <v>25.4</v>
      </c>
      <c r="H382">
        <v>7.02</v>
      </c>
      <c r="I382">
        <v>9.19</v>
      </c>
      <c r="J382">
        <v>84.456100000000006</v>
      </c>
      <c r="K382" t="str">
        <f>IFERROR(INDEX(Rosters!$C$2:$C$155,MATCH($B382,Rosters!$B$2:$B$155,0)),"NA")</f>
        <v>perry</v>
      </c>
      <c r="L382" t="str">
        <f t="shared" si="15"/>
        <v>perry10RB</v>
      </c>
      <c r="M382">
        <f>COUNTIF(L$1:L382,L382)</f>
        <v>1</v>
      </c>
      <c r="N382" t="str">
        <f t="shared" si="16"/>
        <v>perry10RB-1</v>
      </c>
      <c r="O382">
        <f>COUNTIFS(F$1:F382,F382,A$1:A382,A382)</f>
        <v>4</v>
      </c>
      <c r="P382" t="str">
        <f t="shared" si="17"/>
        <v>Ezekiel Elliott10</v>
      </c>
    </row>
    <row r="383" spans="1:16" x14ac:dyDescent="0.25">
      <c r="A383">
        <v>4</v>
      </c>
      <c r="B383" t="s">
        <v>79</v>
      </c>
      <c r="C383" t="s">
        <v>4420</v>
      </c>
      <c r="D383">
        <v>16.2</v>
      </c>
      <c r="E383" t="s">
        <v>73</v>
      </c>
      <c r="F383" t="s">
        <v>15</v>
      </c>
      <c r="G383">
        <v>22.95</v>
      </c>
      <c r="H383">
        <v>9.4499999999999993</v>
      </c>
      <c r="I383">
        <v>6.75</v>
      </c>
      <c r="J383">
        <v>45.5625</v>
      </c>
      <c r="K383" t="str">
        <f>IFERROR(INDEX(Rosters!$C$2:$C$155,MATCH($B383,Rosters!$B$2:$B$155,0)),"NA")</f>
        <v>NA</v>
      </c>
      <c r="L383" t="str">
        <f t="shared" si="15"/>
        <v>NA4QB</v>
      </c>
      <c r="M383">
        <f>COUNTIF(L$1:L383,L383)</f>
        <v>7</v>
      </c>
      <c r="N383" t="str">
        <f t="shared" si="16"/>
        <v>NA4QB-7</v>
      </c>
      <c r="O383">
        <f>COUNTIFS(F$1:F383,F383,A$1:A383,A383)</f>
        <v>22</v>
      </c>
      <c r="P383" t="str">
        <f t="shared" si="17"/>
        <v>Blake Bortles4</v>
      </c>
    </row>
    <row r="384" spans="1:16" x14ac:dyDescent="0.25">
      <c r="A384">
        <v>16</v>
      </c>
      <c r="B384" t="s">
        <v>92</v>
      </c>
      <c r="C384" t="s">
        <v>5947</v>
      </c>
      <c r="D384">
        <v>16.2</v>
      </c>
      <c r="E384" t="s">
        <v>77</v>
      </c>
      <c r="F384" t="s">
        <v>47</v>
      </c>
      <c r="G384">
        <v>23.63</v>
      </c>
      <c r="H384">
        <v>8.77</v>
      </c>
      <c r="I384">
        <v>7.43</v>
      </c>
      <c r="J384">
        <v>55.204900000000002</v>
      </c>
      <c r="K384" t="str">
        <f>IFERROR(INDEX(Rosters!$C$2:$C$155,MATCH($B384,Rosters!$B$2:$B$155,0)),"NA")</f>
        <v>matty</v>
      </c>
      <c r="L384" t="str">
        <f t="shared" si="15"/>
        <v>matty16RB</v>
      </c>
      <c r="M384">
        <f>COUNTIF(L$1:L384,L384)</f>
        <v>1</v>
      </c>
      <c r="N384" t="str">
        <f t="shared" si="16"/>
        <v>matty16RB-1</v>
      </c>
      <c r="O384">
        <f>COUNTIFS(F$1:F384,F384,A$1:A384,A384)</f>
        <v>4</v>
      </c>
      <c r="P384" t="str">
        <f t="shared" si="17"/>
        <v>Melvin Gordon16</v>
      </c>
    </row>
    <row r="385" spans="1:16" x14ac:dyDescent="0.25">
      <c r="A385">
        <v>15</v>
      </c>
      <c r="B385" t="s">
        <v>71</v>
      </c>
      <c r="C385" t="s">
        <v>5948</v>
      </c>
      <c r="D385">
        <v>16.190000000000001</v>
      </c>
      <c r="E385" t="s">
        <v>31</v>
      </c>
      <c r="F385" t="s">
        <v>15</v>
      </c>
      <c r="G385">
        <v>23.35</v>
      </c>
      <c r="H385">
        <v>9.0299999999999994</v>
      </c>
      <c r="I385">
        <v>7.16</v>
      </c>
      <c r="J385">
        <v>51.265599999999999</v>
      </c>
      <c r="K385" t="str">
        <f>IFERROR(INDEX(Rosters!$C$2:$C$155,MATCH($B385,Rosters!$B$2:$B$155,0)),"NA")</f>
        <v>NA</v>
      </c>
      <c r="L385" t="str">
        <f t="shared" si="15"/>
        <v>NA15QB</v>
      </c>
      <c r="M385">
        <f>COUNTIF(L$1:L385,L385)</f>
        <v>10</v>
      </c>
      <c r="N385" t="str">
        <f t="shared" si="16"/>
        <v>NA15QB-10</v>
      </c>
      <c r="O385">
        <f>COUNTIFS(F$1:F385,F385,A$1:A385,A385)</f>
        <v>25</v>
      </c>
      <c r="P385" t="str">
        <f t="shared" si="17"/>
        <v>Derek Carr15</v>
      </c>
    </row>
    <row r="386" spans="1:16" x14ac:dyDescent="0.25">
      <c r="A386">
        <v>9</v>
      </c>
      <c r="B386" t="s">
        <v>53</v>
      </c>
      <c r="C386" t="s">
        <v>5949</v>
      </c>
      <c r="D386">
        <v>16.190000000000001</v>
      </c>
      <c r="E386" t="s">
        <v>37</v>
      </c>
      <c r="F386" t="s">
        <v>15</v>
      </c>
      <c r="G386">
        <v>23.44</v>
      </c>
      <c r="H386">
        <v>8.94</v>
      </c>
      <c r="I386">
        <v>7.25</v>
      </c>
      <c r="J386">
        <v>52.5625</v>
      </c>
      <c r="K386" t="str">
        <f>IFERROR(INDEX(Rosters!$C$2:$C$155,MATCH($B386,Rosters!$B$2:$B$155,0)),"NA")</f>
        <v>seth</v>
      </c>
      <c r="L386" t="str">
        <f t="shared" si="15"/>
        <v>seth9QB</v>
      </c>
      <c r="M386">
        <f>COUNTIF(L$1:L386,L386)</f>
        <v>1</v>
      </c>
      <c r="N386" t="str">
        <f t="shared" si="16"/>
        <v>seth9QB-1</v>
      </c>
      <c r="O386">
        <f>COUNTIFS(F$1:F386,F386,A$1:A386,A386)</f>
        <v>19</v>
      </c>
      <c r="P386" t="str">
        <f t="shared" si="17"/>
        <v>Russell Wilson9</v>
      </c>
    </row>
    <row r="387" spans="1:16" x14ac:dyDescent="0.25">
      <c r="A387">
        <v>12</v>
      </c>
      <c r="B387" t="s">
        <v>291</v>
      </c>
      <c r="C387" t="s">
        <v>5950</v>
      </c>
      <c r="D387">
        <v>16.14</v>
      </c>
      <c r="E387" t="s">
        <v>34</v>
      </c>
      <c r="F387" t="s">
        <v>15</v>
      </c>
      <c r="G387">
        <v>23.92</v>
      </c>
      <c r="H387">
        <v>8.36</v>
      </c>
      <c r="I387">
        <v>7.78</v>
      </c>
      <c r="J387">
        <v>60.528399999999998</v>
      </c>
      <c r="K387" t="str">
        <f>IFERROR(INDEX(Rosters!$C$2:$C$155,MATCH($B387,Rosters!$B$2:$B$155,0)),"NA")</f>
        <v>NA</v>
      </c>
      <c r="L387" t="str">
        <f t="shared" ref="L387:L450" si="18">K387&amp;A387&amp;F387</f>
        <v>NA12QB</v>
      </c>
      <c r="M387">
        <f>COUNTIF(L$1:L387,L387)</f>
        <v>8</v>
      </c>
      <c r="N387" t="str">
        <f t="shared" ref="N387:N450" si="19">L387&amp;"-"&amp;M387</f>
        <v>NA12QB-8</v>
      </c>
      <c r="O387">
        <f>COUNTIFS(F$1:F387,F387,A$1:A387,A387)</f>
        <v>18</v>
      </c>
      <c r="P387" t="str">
        <f t="shared" ref="P387:P450" si="20">B387&amp;A387</f>
        <v>Mitchell Trubisky12</v>
      </c>
    </row>
    <row r="388" spans="1:16" x14ac:dyDescent="0.25">
      <c r="A388">
        <v>14</v>
      </c>
      <c r="B388" t="s">
        <v>53</v>
      </c>
      <c r="C388" t="s">
        <v>5951</v>
      </c>
      <c r="D388">
        <v>16.14</v>
      </c>
      <c r="E388" t="s">
        <v>25</v>
      </c>
      <c r="F388" t="s">
        <v>15</v>
      </c>
      <c r="G388">
        <v>23.79</v>
      </c>
      <c r="H388">
        <v>8.49</v>
      </c>
      <c r="I388">
        <v>7.65</v>
      </c>
      <c r="J388">
        <v>58.522500000000001</v>
      </c>
      <c r="K388" t="str">
        <f>IFERROR(INDEX(Rosters!$C$2:$C$155,MATCH($B388,Rosters!$B$2:$B$155,0)),"NA")</f>
        <v>seth</v>
      </c>
      <c r="L388" t="str">
        <f t="shared" si="18"/>
        <v>seth14QB</v>
      </c>
      <c r="M388">
        <f>COUNTIF(L$1:L388,L388)</f>
        <v>1</v>
      </c>
      <c r="N388" t="str">
        <f t="shared" si="19"/>
        <v>seth14QB-1</v>
      </c>
      <c r="O388">
        <f>COUNTIFS(F$1:F388,F388,A$1:A388,A388)</f>
        <v>19</v>
      </c>
      <c r="P388" t="str">
        <f t="shared" si="20"/>
        <v>Russell Wilson14</v>
      </c>
    </row>
    <row r="389" spans="1:16" x14ac:dyDescent="0.25">
      <c r="A389">
        <v>10</v>
      </c>
      <c r="B389" t="s">
        <v>1492</v>
      </c>
      <c r="C389" t="s">
        <v>5952</v>
      </c>
      <c r="D389">
        <v>16.13</v>
      </c>
      <c r="E389" t="s">
        <v>46</v>
      </c>
      <c r="F389" t="s">
        <v>15</v>
      </c>
      <c r="G389">
        <v>23.63</v>
      </c>
      <c r="H389">
        <v>8.6300000000000008</v>
      </c>
      <c r="I389">
        <v>7.5</v>
      </c>
      <c r="J389">
        <v>56.25</v>
      </c>
      <c r="K389" t="str">
        <f>IFERROR(INDEX(Rosters!$C$2:$C$155,MATCH($B389,Rosters!$B$2:$B$155,0)),"NA")</f>
        <v>perry</v>
      </c>
      <c r="L389" t="str">
        <f t="shared" si="18"/>
        <v>perry10QB</v>
      </c>
      <c r="M389">
        <f>COUNTIF(L$1:L389,L389)</f>
        <v>2</v>
      </c>
      <c r="N389" t="str">
        <f t="shared" si="19"/>
        <v>perry10QB-2</v>
      </c>
      <c r="O389">
        <f>COUNTIFS(F$1:F389,F389,A$1:A389,A389)</f>
        <v>17</v>
      </c>
      <c r="P389" t="str">
        <f t="shared" si="20"/>
        <v>Baker Mayfield10</v>
      </c>
    </row>
    <row r="390" spans="1:16" x14ac:dyDescent="0.25">
      <c r="A390">
        <v>4</v>
      </c>
      <c r="B390" t="s">
        <v>1278</v>
      </c>
      <c r="C390" t="s">
        <v>4421</v>
      </c>
      <c r="D390">
        <v>16.09</v>
      </c>
      <c r="E390" t="s">
        <v>423</v>
      </c>
      <c r="F390" t="s">
        <v>15</v>
      </c>
      <c r="G390">
        <v>21.45</v>
      </c>
      <c r="H390">
        <v>10.73</v>
      </c>
      <c r="I390">
        <v>5.36</v>
      </c>
      <c r="J390">
        <v>28.729600000000001</v>
      </c>
      <c r="K390" t="str">
        <f>IFERROR(INDEX(Rosters!$C$2:$C$155,MATCH($B390,Rosters!$B$2:$B$155,0)),"NA")</f>
        <v>NA</v>
      </c>
      <c r="L390" t="str">
        <f t="shared" si="18"/>
        <v>NA4QB</v>
      </c>
      <c r="M390">
        <f>COUNTIF(L$1:L390,L390)</f>
        <v>8</v>
      </c>
      <c r="N390" t="str">
        <f t="shared" si="19"/>
        <v>NA4QB-8</v>
      </c>
      <c r="O390">
        <f>COUNTIFS(F$1:F390,F390,A$1:A390,A390)</f>
        <v>23</v>
      </c>
      <c r="P390" t="str">
        <f t="shared" si="20"/>
        <v>Ryan Tannehill4</v>
      </c>
    </row>
    <row r="391" spans="1:16" x14ac:dyDescent="0.25">
      <c r="A391">
        <v>3</v>
      </c>
      <c r="B391" t="s">
        <v>257</v>
      </c>
      <c r="C391" t="s">
        <v>3621</v>
      </c>
      <c r="D391">
        <v>16.059999999999999</v>
      </c>
      <c r="E391" t="s">
        <v>46</v>
      </c>
      <c r="F391" t="s">
        <v>47</v>
      </c>
      <c r="G391">
        <v>24.79</v>
      </c>
      <c r="H391">
        <v>7.33</v>
      </c>
      <c r="I391">
        <v>8.73</v>
      </c>
      <c r="J391">
        <v>76.212900000000005</v>
      </c>
      <c r="K391" t="str">
        <f>IFERROR(INDEX(Rosters!$C$2:$C$155,MATCH($B391,Rosters!$B$2:$B$155,0)),"NA")</f>
        <v>scott</v>
      </c>
      <c r="L391" t="str">
        <f t="shared" si="18"/>
        <v>scott3RB</v>
      </c>
      <c r="M391">
        <f>COUNTIF(L$1:L391,L391)</f>
        <v>1</v>
      </c>
      <c r="N391" t="str">
        <f t="shared" si="19"/>
        <v>scott3RB-1</v>
      </c>
      <c r="O391">
        <f>COUNTIFS(F$1:F391,F391,A$1:A391,A391)</f>
        <v>3</v>
      </c>
      <c r="P391" t="str">
        <f t="shared" si="20"/>
        <v>Alvin Kamara3</v>
      </c>
    </row>
    <row r="392" spans="1:16" x14ac:dyDescent="0.25">
      <c r="A392">
        <v>17</v>
      </c>
      <c r="B392" t="s">
        <v>33</v>
      </c>
      <c r="C392" t="s">
        <v>5953</v>
      </c>
      <c r="D392">
        <v>16.05</v>
      </c>
      <c r="E392" t="s">
        <v>38</v>
      </c>
      <c r="F392" t="s">
        <v>15</v>
      </c>
      <c r="G392">
        <v>22.63</v>
      </c>
      <c r="H392">
        <v>9.4700000000000006</v>
      </c>
      <c r="I392">
        <v>6.58</v>
      </c>
      <c r="J392">
        <v>43.296399999999998</v>
      </c>
      <c r="K392" t="str">
        <f>IFERROR(INDEX(Rosters!$C$2:$C$155,MATCH($B392,Rosters!$B$2:$B$155,0)),"NA")</f>
        <v>comp</v>
      </c>
      <c r="L392" t="str">
        <f t="shared" si="18"/>
        <v>comp17QB</v>
      </c>
      <c r="M392">
        <f>COUNTIF(L$1:L392,L392)</f>
        <v>2</v>
      </c>
      <c r="N392" t="str">
        <f t="shared" si="19"/>
        <v>comp17QB-2</v>
      </c>
      <c r="O392">
        <f>COUNTIFS(F$1:F392,F392,A$1:A392,A392)</f>
        <v>23</v>
      </c>
      <c r="P392" t="str">
        <f t="shared" si="20"/>
        <v>Andrew Luck17</v>
      </c>
    </row>
    <row r="393" spans="1:16" x14ac:dyDescent="0.25">
      <c r="A393">
        <v>15</v>
      </c>
      <c r="B393" t="s">
        <v>115</v>
      </c>
      <c r="C393" t="s">
        <v>5954</v>
      </c>
      <c r="D393">
        <v>16.04</v>
      </c>
      <c r="E393" t="s">
        <v>37</v>
      </c>
      <c r="F393" t="s">
        <v>47</v>
      </c>
      <c r="G393">
        <v>24.59</v>
      </c>
      <c r="H393">
        <v>7.49</v>
      </c>
      <c r="I393">
        <v>8.5500000000000007</v>
      </c>
      <c r="J393">
        <v>73.102500000000006</v>
      </c>
      <c r="K393" t="str">
        <f>IFERROR(INDEX(Rosters!$C$2:$C$155,MATCH($B393,Rosters!$B$2:$B$155,0)),"NA")</f>
        <v>scott</v>
      </c>
      <c r="L393" t="str">
        <f t="shared" si="18"/>
        <v>scott15RB</v>
      </c>
      <c r="M393">
        <f>COUNTIF(L$1:L393,L393)</f>
        <v>1</v>
      </c>
      <c r="N393" t="str">
        <f t="shared" si="19"/>
        <v>scott15RB-1</v>
      </c>
      <c r="O393">
        <f>COUNTIFS(F$1:F393,F393,A$1:A393,A393)</f>
        <v>4</v>
      </c>
      <c r="P393" t="str">
        <f t="shared" si="20"/>
        <v>Kareem Hunt15</v>
      </c>
    </row>
    <row r="394" spans="1:16" x14ac:dyDescent="0.25">
      <c r="A394">
        <v>9</v>
      </c>
      <c r="B394" t="s">
        <v>70</v>
      </c>
      <c r="C394" t="s">
        <v>5955</v>
      </c>
      <c r="D394">
        <v>16.03</v>
      </c>
      <c r="E394" t="s">
        <v>25</v>
      </c>
      <c r="F394" t="s">
        <v>15</v>
      </c>
      <c r="G394">
        <v>22.79</v>
      </c>
      <c r="H394">
        <v>9.27</v>
      </c>
      <c r="I394">
        <v>6.76</v>
      </c>
      <c r="J394">
        <v>45.697600000000001</v>
      </c>
      <c r="K394" t="str">
        <f>IFERROR(INDEX(Rosters!$C$2:$C$155,MATCH($B394,Rosters!$B$2:$B$155,0)),"NA")</f>
        <v>aj</v>
      </c>
      <c r="L394" t="str">
        <f t="shared" si="18"/>
        <v>aj9QB</v>
      </c>
      <c r="M394">
        <f>COUNTIF(L$1:L394,L394)</f>
        <v>2</v>
      </c>
      <c r="N394" t="str">
        <f t="shared" si="19"/>
        <v>aj9QB-2</v>
      </c>
      <c r="O394">
        <f>COUNTIFS(F$1:F394,F394,A$1:A394,A394)</f>
        <v>20</v>
      </c>
      <c r="P394" t="str">
        <f t="shared" si="20"/>
        <v>Matthew Stafford9</v>
      </c>
    </row>
    <row r="395" spans="1:16" x14ac:dyDescent="0.25">
      <c r="A395">
        <v>13</v>
      </c>
      <c r="B395" t="s">
        <v>92</v>
      </c>
      <c r="C395" t="s">
        <v>5956</v>
      </c>
      <c r="D395">
        <v>16.02</v>
      </c>
      <c r="E395" t="s">
        <v>51</v>
      </c>
      <c r="F395" t="s">
        <v>47</v>
      </c>
      <c r="G395">
        <v>24.29</v>
      </c>
      <c r="H395">
        <v>7.75</v>
      </c>
      <c r="I395">
        <v>8.27</v>
      </c>
      <c r="J395">
        <v>68.392899999999997</v>
      </c>
      <c r="K395" t="str">
        <f>IFERROR(INDEX(Rosters!$C$2:$C$155,MATCH($B395,Rosters!$B$2:$B$155,0)),"NA")</f>
        <v>matty</v>
      </c>
      <c r="L395" t="str">
        <f t="shared" si="18"/>
        <v>matty13RB</v>
      </c>
      <c r="M395">
        <f>COUNTIF(L$1:L395,L395)</f>
        <v>1</v>
      </c>
      <c r="N395" t="str">
        <f t="shared" si="19"/>
        <v>matty13RB-1</v>
      </c>
      <c r="O395">
        <f>COUNTIFS(F$1:F395,F395,A$1:A395,A395)</f>
        <v>4</v>
      </c>
      <c r="P395" t="str">
        <f t="shared" si="20"/>
        <v>Melvin Gordon13</v>
      </c>
    </row>
    <row r="396" spans="1:16" x14ac:dyDescent="0.25">
      <c r="A396">
        <v>2</v>
      </c>
      <c r="B396" t="s">
        <v>92</v>
      </c>
      <c r="C396" t="s">
        <v>1282</v>
      </c>
      <c r="D396">
        <v>16.010000000000002</v>
      </c>
      <c r="E396" t="s">
        <v>29</v>
      </c>
      <c r="F396" t="s">
        <v>47</v>
      </c>
      <c r="G396">
        <v>25.2</v>
      </c>
      <c r="H396">
        <v>6.82</v>
      </c>
      <c r="I396">
        <v>9.19</v>
      </c>
      <c r="J396">
        <v>84.456100000000006</v>
      </c>
      <c r="K396" t="str">
        <f>IFERROR(INDEX(Rosters!$C$2:$C$155,MATCH($B396,Rosters!$B$2:$B$155,0)),"NA")</f>
        <v>matty</v>
      </c>
      <c r="L396" t="str">
        <f t="shared" si="18"/>
        <v>matty2RB</v>
      </c>
      <c r="M396">
        <f>COUNTIF(L$1:L396,L396)</f>
        <v>1</v>
      </c>
      <c r="N396" t="str">
        <f t="shared" si="19"/>
        <v>matty2RB-1</v>
      </c>
      <c r="O396">
        <f>COUNTIFS(F$1:F396,F396,A$1:A396,A396)</f>
        <v>4</v>
      </c>
      <c r="P396" t="str">
        <f t="shared" si="20"/>
        <v>Melvin Gordon2</v>
      </c>
    </row>
    <row r="397" spans="1:16" x14ac:dyDescent="0.25">
      <c r="A397">
        <v>6</v>
      </c>
      <c r="B397" t="s">
        <v>291</v>
      </c>
      <c r="C397" t="s">
        <v>5957</v>
      </c>
      <c r="D397">
        <v>16</v>
      </c>
      <c r="E397" t="s">
        <v>19</v>
      </c>
      <c r="F397" t="s">
        <v>15</v>
      </c>
      <c r="G397">
        <v>23.6</v>
      </c>
      <c r="H397">
        <v>8.4</v>
      </c>
      <c r="I397">
        <v>7.6</v>
      </c>
      <c r="J397">
        <v>57.76</v>
      </c>
      <c r="K397" t="str">
        <f>IFERROR(INDEX(Rosters!$C$2:$C$155,MATCH($B397,Rosters!$B$2:$B$155,0)),"NA")</f>
        <v>NA</v>
      </c>
      <c r="L397" t="str">
        <f t="shared" si="18"/>
        <v>NA6QB</v>
      </c>
      <c r="M397">
        <f>COUNTIF(L$1:L397,L397)</f>
        <v>7</v>
      </c>
      <c r="N397" t="str">
        <f t="shared" si="19"/>
        <v>NA6QB-7</v>
      </c>
      <c r="O397">
        <f>COUNTIFS(F$1:F397,F397,A$1:A397,A397)</f>
        <v>19</v>
      </c>
      <c r="P397" t="str">
        <f t="shared" si="20"/>
        <v>Mitchell Trubisky6</v>
      </c>
    </row>
    <row r="398" spans="1:16" x14ac:dyDescent="0.25">
      <c r="A398">
        <v>15</v>
      </c>
      <c r="B398" t="s">
        <v>95</v>
      </c>
      <c r="C398" t="s">
        <v>5958</v>
      </c>
      <c r="D398">
        <v>15.97</v>
      </c>
      <c r="E398" t="s">
        <v>76</v>
      </c>
      <c r="F398" t="s">
        <v>15</v>
      </c>
      <c r="G398">
        <v>24.37</v>
      </c>
      <c r="H398">
        <v>7.57</v>
      </c>
      <c r="I398">
        <v>8.4</v>
      </c>
      <c r="J398">
        <v>70.56</v>
      </c>
      <c r="K398" t="str">
        <f>IFERROR(INDEX(Rosters!$C$2:$C$155,MATCH($B398,Rosters!$B$2:$B$155,0)),"NA")</f>
        <v>matty</v>
      </c>
      <c r="L398" t="str">
        <f t="shared" si="18"/>
        <v>matty15QB</v>
      </c>
      <c r="M398">
        <f>COUNTIF(L$1:L398,L398)</f>
        <v>2</v>
      </c>
      <c r="N398" t="str">
        <f t="shared" si="19"/>
        <v>matty15QB-2</v>
      </c>
      <c r="O398">
        <f>COUNTIFS(F$1:F398,F398,A$1:A398,A398)</f>
        <v>26</v>
      </c>
      <c r="P398" t="str">
        <f t="shared" si="20"/>
        <v>Alex Smith15</v>
      </c>
    </row>
    <row r="399" spans="1:16" x14ac:dyDescent="0.25">
      <c r="A399">
        <v>12</v>
      </c>
      <c r="B399" t="s">
        <v>1278</v>
      </c>
      <c r="C399" t="s">
        <v>5959</v>
      </c>
      <c r="D399">
        <v>15.96</v>
      </c>
      <c r="E399" t="s">
        <v>66</v>
      </c>
      <c r="F399" t="s">
        <v>15</v>
      </c>
      <c r="G399">
        <v>22.75</v>
      </c>
      <c r="H399">
        <v>9.17</v>
      </c>
      <c r="I399">
        <v>6.79</v>
      </c>
      <c r="J399">
        <v>46.104100000000003</v>
      </c>
      <c r="K399" t="str">
        <f>IFERROR(INDEX(Rosters!$C$2:$C$155,MATCH($B399,Rosters!$B$2:$B$155,0)),"NA")</f>
        <v>NA</v>
      </c>
      <c r="L399" t="str">
        <f t="shared" si="18"/>
        <v>NA12QB</v>
      </c>
      <c r="M399">
        <f>COUNTIF(L$1:L399,L399)</f>
        <v>9</v>
      </c>
      <c r="N399" t="str">
        <f t="shared" si="19"/>
        <v>NA12QB-9</v>
      </c>
      <c r="O399">
        <f>COUNTIFS(F$1:F399,F399,A$1:A399,A399)</f>
        <v>19</v>
      </c>
      <c r="P399" t="str">
        <f t="shared" si="20"/>
        <v>Ryan Tannehill12</v>
      </c>
    </row>
    <row r="400" spans="1:16" x14ac:dyDescent="0.25">
      <c r="A400">
        <v>4</v>
      </c>
      <c r="B400" t="s">
        <v>71</v>
      </c>
      <c r="C400" t="s">
        <v>4422</v>
      </c>
      <c r="D400">
        <v>15.92</v>
      </c>
      <c r="E400" t="s">
        <v>52</v>
      </c>
      <c r="F400" t="s">
        <v>15</v>
      </c>
      <c r="G400">
        <v>23.05</v>
      </c>
      <c r="H400">
        <v>8.7899999999999991</v>
      </c>
      <c r="I400">
        <v>7.13</v>
      </c>
      <c r="J400">
        <v>50.8369</v>
      </c>
      <c r="K400" t="str">
        <f>IFERROR(INDEX(Rosters!$C$2:$C$155,MATCH($B400,Rosters!$B$2:$B$155,0)),"NA")</f>
        <v>NA</v>
      </c>
      <c r="L400" t="str">
        <f t="shared" si="18"/>
        <v>NA4QB</v>
      </c>
      <c r="M400">
        <f>COUNTIF(L$1:L400,L400)</f>
        <v>9</v>
      </c>
      <c r="N400" t="str">
        <f t="shared" si="19"/>
        <v>NA4QB-9</v>
      </c>
      <c r="O400">
        <f>COUNTIFS(F$1:F400,F400,A$1:A400,A400)</f>
        <v>24</v>
      </c>
      <c r="P400" t="str">
        <f t="shared" si="20"/>
        <v>Derek Carr4</v>
      </c>
    </row>
    <row r="401" spans="1:16" x14ac:dyDescent="0.25">
      <c r="A401">
        <v>7</v>
      </c>
      <c r="B401" t="s">
        <v>257</v>
      </c>
      <c r="C401" t="s">
        <v>5960</v>
      </c>
      <c r="D401">
        <v>15.91</v>
      </c>
      <c r="E401" t="s">
        <v>77</v>
      </c>
      <c r="F401" t="s">
        <v>47</v>
      </c>
      <c r="G401">
        <v>26.69</v>
      </c>
      <c r="H401">
        <v>5.13</v>
      </c>
      <c r="I401">
        <v>10.78</v>
      </c>
      <c r="J401">
        <v>116.2084</v>
      </c>
      <c r="K401" t="str">
        <f>IFERROR(INDEX(Rosters!$C$2:$C$155,MATCH($B401,Rosters!$B$2:$B$155,0)),"NA")</f>
        <v>scott</v>
      </c>
      <c r="L401" t="str">
        <f t="shared" si="18"/>
        <v>scott7RB</v>
      </c>
      <c r="M401">
        <f>COUNTIF(L$1:L401,L401)</f>
        <v>1</v>
      </c>
      <c r="N401" t="str">
        <f t="shared" si="19"/>
        <v>scott7RB-1</v>
      </c>
      <c r="O401">
        <f>COUNTIFS(F$1:F401,F401,A$1:A401,A401)</f>
        <v>4</v>
      </c>
      <c r="P401" t="str">
        <f t="shared" si="20"/>
        <v>Alvin Kamara7</v>
      </c>
    </row>
    <row r="402" spans="1:16" x14ac:dyDescent="0.25">
      <c r="A402">
        <v>15</v>
      </c>
      <c r="B402" t="s">
        <v>257</v>
      </c>
      <c r="C402" t="s">
        <v>5961</v>
      </c>
      <c r="D402">
        <v>15.91</v>
      </c>
      <c r="E402" t="s">
        <v>74</v>
      </c>
      <c r="F402" t="s">
        <v>47</v>
      </c>
      <c r="G402">
        <v>26.76</v>
      </c>
      <c r="H402">
        <v>5.0599999999999996</v>
      </c>
      <c r="I402">
        <v>10.85</v>
      </c>
      <c r="J402">
        <v>117.7225</v>
      </c>
      <c r="K402" t="str">
        <f>IFERROR(INDEX(Rosters!$C$2:$C$155,MATCH($B402,Rosters!$B$2:$B$155,0)),"NA")</f>
        <v>scott</v>
      </c>
      <c r="L402" t="str">
        <f t="shared" si="18"/>
        <v>scott15RB</v>
      </c>
      <c r="M402">
        <f>COUNTIF(L$1:L402,L402)</f>
        <v>2</v>
      </c>
      <c r="N402" t="str">
        <f t="shared" si="19"/>
        <v>scott15RB-2</v>
      </c>
      <c r="O402">
        <f>COUNTIFS(F$1:F402,F402,A$1:A402,A402)</f>
        <v>5</v>
      </c>
      <c r="P402" t="str">
        <f t="shared" si="20"/>
        <v>Alvin Kamara15</v>
      </c>
    </row>
    <row r="403" spans="1:16" x14ac:dyDescent="0.25">
      <c r="A403">
        <v>6</v>
      </c>
      <c r="B403" t="s">
        <v>1213</v>
      </c>
      <c r="C403" t="s">
        <v>5962</v>
      </c>
      <c r="D403">
        <v>15.89</v>
      </c>
      <c r="E403" t="s">
        <v>56</v>
      </c>
      <c r="F403" t="s">
        <v>15</v>
      </c>
      <c r="G403">
        <v>22.69</v>
      </c>
      <c r="H403">
        <v>9.09</v>
      </c>
      <c r="I403">
        <v>6.8</v>
      </c>
      <c r="J403">
        <v>46.24</v>
      </c>
      <c r="K403" t="str">
        <f>IFERROR(INDEX(Rosters!$C$2:$C$155,MATCH($B403,Rosters!$B$2:$B$155,0)),"NA")</f>
        <v>NA</v>
      </c>
      <c r="L403" t="str">
        <f t="shared" si="18"/>
        <v>NA6QB</v>
      </c>
      <c r="M403">
        <f>COUNTIF(L$1:L403,L403)</f>
        <v>8</v>
      </c>
      <c r="N403" t="str">
        <f t="shared" si="19"/>
        <v>NA6QB-8</v>
      </c>
      <c r="O403">
        <f>COUNTIFS(F$1:F403,F403,A$1:A403,A403)</f>
        <v>20</v>
      </c>
      <c r="P403" t="str">
        <f t="shared" si="20"/>
        <v>Case Keenum6</v>
      </c>
    </row>
    <row r="404" spans="1:16" x14ac:dyDescent="0.25">
      <c r="A404">
        <v>12</v>
      </c>
      <c r="B404" t="s">
        <v>70</v>
      </c>
      <c r="C404" t="s">
        <v>5963</v>
      </c>
      <c r="D404">
        <v>15.89</v>
      </c>
      <c r="E404" t="s">
        <v>72</v>
      </c>
      <c r="F404" t="s">
        <v>15</v>
      </c>
      <c r="G404">
        <v>21.63</v>
      </c>
      <c r="H404">
        <v>10.15</v>
      </c>
      <c r="I404">
        <v>5.74</v>
      </c>
      <c r="J404">
        <v>32.947600000000001</v>
      </c>
      <c r="K404" t="str">
        <f>IFERROR(INDEX(Rosters!$C$2:$C$155,MATCH($B404,Rosters!$B$2:$B$155,0)),"NA")</f>
        <v>aj</v>
      </c>
      <c r="L404" t="str">
        <f t="shared" si="18"/>
        <v>aj12QB</v>
      </c>
      <c r="M404">
        <f>COUNTIF(L$1:L404,L404)</f>
        <v>2</v>
      </c>
      <c r="N404" t="str">
        <f t="shared" si="19"/>
        <v>aj12QB-2</v>
      </c>
      <c r="O404">
        <f>COUNTIFS(F$1:F404,F404,A$1:A404,A404)</f>
        <v>20</v>
      </c>
      <c r="P404" t="str">
        <f t="shared" si="20"/>
        <v>Matthew Stafford12</v>
      </c>
    </row>
    <row r="405" spans="1:16" x14ac:dyDescent="0.25">
      <c r="A405">
        <v>8</v>
      </c>
      <c r="B405" t="s">
        <v>257</v>
      </c>
      <c r="C405" t="s">
        <v>5964</v>
      </c>
      <c r="D405">
        <v>15.88</v>
      </c>
      <c r="E405" t="s">
        <v>25</v>
      </c>
      <c r="F405" t="s">
        <v>47</v>
      </c>
      <c r="G405">
        <v>26.64</v>
      </c>
      <c r="H405">
        <v>5.12</v>
      </c>
      <c r="I405">
        <v>10.76</v>
      </c>
      <c r="J405">
        <v>115.77760000000001</v>
      </c>
      <c r="K405" t="str">
        <f>IFERROR(INDEX(Rosters!$C$2:$C$155,MATCH($B405,Rosters!$B$2:$B$155,0)),"NA")</f>
        <v>scott</v>
      </c>
      <c r="L405" t="str">
        <f t="shared" si="18"/>
        <v>scott8RB</v>
      </c>
      <c r="M405">
        <f>COUNTIF(L$1:L405,L405)</f>
        <v>2</v>
      </c>
      <c r="N405" t="str">
        <f t="shared" si="19"/>
        <v>scott8RB-2</v>
      </c>
      <c r="O405">
        <f>COUNTIFS(F$1:F405,F405,A$1:A405,A405)</f>
        <v>3</v>
      </c>
      <c r="P405" t="str">
        <f t="shared" si="20"/>
        <v>Alvin Kamara8</v>
      </c>
    </row>
    <row r="406" spans="1:16" x14ac:dyDescent="0.25">
      <c r="A406">
        <v>2</v>
      </c>
      <c r="B406" t="s">
        <v>33</v>
      </c>
      <c r="C406" t="s">
        <v>3306</v>
      </c>
      <c r="D406">
        <v>15.88</v>
      </c>
      <c r="E406" t="s">
        <v>60</v>
      </c>
      <c r="F406" t="s">
        <v>15</v>
      </c>
      <c r="G406">
        <v>24.68</v>
      </c>
      <c r="H406">
        <v>7.08</v>
      </c>
      <c r="I406">
        <v>8.8000000000000007</v>
      </c>
      <c r="J406">
        <v>77.44</v>
      </c>
      <c r="K406" t="str">
        <f>IFERROR(INDEX(Rosters!$C$2:$C$155,MATCH($B406,Rosters!$B$2:$B$155,0)),"NA")</f>
        <v>comp</v>
      </c>
      <c r="L406" t="str">
        <f t="shared" si="18"/>
        <v>comp2QB</v>
      </c>
      <c r="M406">
        <f>COUNTIF(L$1:L406,L406)</f>
        <v>2</v>
      </c>
      <c r="N406" t="str">
        <f t="shared" si="19"/>
        <v>comp2QB-2</v>
      </c>
      <c r="O406">
        <f>COUNTIFS(F$1:F406,F406,A$1:A406,A406)</f>
        <v>18</v>
      </c>
      <c r="P406" t="str">
        <f t="shared" si="20"/>
        <v>Andrew Luck2</v>
      </c>
    </row>
    <row r="407" spans="1:16" x14ac:dyDescent="0.25">
      <c r="A407">
        <v>10</v>
      </c>
      <c r="B407" t="s">
        <v>1537</v>
      </c>
      <c r="C407" t="s">
        <v>5965</v>
      </c>
      <c r="D407">
        <v>15.88</v>
      </c>
      <c r="E407" t="s">
        <v>54</v>
      </c>
      <c r="F407" t="s">
        <v>15</v>
      </c>
      <c r="G407">
        <v>22.61</v>
      </c>
      <c r="H407">
        <v>9.15</v>
      </c>
      <c r="I407">
        <v>6.73</v>
      </c>
      <c r="J407">
        <v>45.292900000000003</v>
      </c>
      <c r="K407" t="str">
        <f>IFERROR(INDEX(Rosters!$C$2:$C$155,MATCH($B407,Rosters!$B$2:$B$155,0)),"NA")</f>
        <v>NA</v>
      </c>
      <c r="L407" t="str">
        <f t="shared" si="18"/>
        <v>NA10QB</v>
      </c>
      <c r="M407">
        <f>COUNTIF(L$1:L407,L407)</f>
        <v>5</v>
      </c>
      <c r="N407" t="str">
        <f t="shared" si="19"/>
        <v>NA10QB-5</v>
      </c>
      <c r="O407">
        <f>COUNTIFS(F$1:F407,F407,A$1:A407,A407)</f>
        <v>18</v>
      </c>
      <c r="P407" t="str">
        <f t="shared" si="20"/>
        <v>C.J. Beathard10</v>
      </c>
    </row>
    <row r="408" spans="1:16" x14ac:dyDescent="0.25">
      <c r="A408">
        <v>7</v>
      </c>
      <c r="B408" t="s">
        <v>115</v>
      </c>
      <c r="C408" t="s">
        <v>5966</v>
      </c>
      <c r="D408">
        <v>15.88</v>
      </c>
      <c r="E408" t="s">
        <v>31</v>
      </c>
      <c r="F408" t="s">
        <v>47</v>
      </c>
      <c r="G408">
        <v>23.93</v>
      </c>
      <c r="H408">
        <v>7.83</v>
      </c>
      <c r="I408">
        <v>8.0500000000000007</v>
      </c>
      <c r="J408">
        <v>64.802499999999995</v>
      </c>
      <c r="K408" t="str">
        <f>IFERROR(INDEX(Rosters!$C$2:$C$155,MATCH($B408,Rosters!$B$2:$B$155,0)),"NA")</f>
        <v>scott</v>
      </c>
      <c r="L408" t="str">
        <f t="shared" si="18"/>
        <v>scott7RB</v>
      </c>
      <c r="M408">
        <f>COUNTIF(L$1:L408,L408)</f>
        <v>2</v>
      </c>
      <c r="N408" t="str">
        <f t="shared" si="19"/>
        <v>scott7RB-2</v>
      </c>
      <c r="O408">
        <f>COUNTIFS(F$1:F408,F408,A$1:A408,A408)</f>
        <v>5</v>
      </c>
      <c r="P408" t="str">
        <f t="shared" si="20"/>
        <v>Kareem Hunt7</v>
      </c>
    </row>
    <row r="409" spans="1:16" x14ac:dyDescent="0.25">
      <c r="A409">
        <v>10</v>
      </c>
      <c r="B409" t="s">
        <v>257</v>
      </c>
      <c r="C409" t="s">
        <v>5967</v>
      </c>
      <c r="D409">
        <v>15.87</v>
      </c>
      <c r="E409" t="s">
        <v>31</v>
      </c>
      <c r="F409" t="s">
        <v>47</v>
      </c>
      <c r="G409">
        <v>26.83</v>
      </c>
      <c r="H409">
        <v>4.91</v>
      </c>
      <c r="I409">
        <v>10.96</v>
      </c>
      <c r="J409">
        <v>120.1216</v>
      </c>
      <c r="K409" t="str">
        <f>IFERROR(INDEX(Rosters!$C$2:$C$155,MATCH($B409,Rosters!$B$2:$B$155,0)),"NA")</f>
        <v>scott</v>
      </c>
      <c r="L409" t="str">
        <f t="shared" si="18"/>
        <v>scott10RB</v>
      </c>
      <c r="M409">
        <f>COUNTIF(L$1:L409,L409)</f>
        <v>2</v>
      </c>
      <c r="N409" t="str">
        <f t="shared" si="19"/>
        <v>scott10RB-2</v>
      </c>
      <c r="O409">
        <f>COUNTIFS(F$1:F409,F409,A$1:A409,A409)</f>
        <v>5</v>
      </c>
      <c r="P409" t="str">
        <f t="shared" si="20"/>
        <v>Alvin Kamara10</v>
      </c>
    </row>
    <row r="410" spans="1:16" x14ac:dyDescent="0.25">
      <c r="A410">
        <v>4</v>
      </c>
      <c r="B410" t="s">
        <v>96</v>
      </c>
      <c r="C410" t="s">
        <v>4423</v>
      </c>
      <c r="D410">
        <v>15.87</v>
      </c>
      <c r="E410" t="s">
        <v>77</v>
      </c>
      <c r="F410" t="s">
        <v>87</v>
      </c>
      <c r="G410">
        <v>24</v>
      </c>
      <c r="H410">
        <v>7.74</v>
      </c>
      <c r="I410">
        <v>8.1300000000000008</v>
      </c>
      <c r="J410">
        <v>66.096900000000005</v>
      </c>
      <c r="K410" t="str">
        <f>IFERROR(INDEX(Rosters!$C$2:$C$155,MATCH($B410,Rosters!$B$2:$B$155,0)),"NA")</f>
        <v>comp</v>
      </c>
      <c r="L410" t="str">
        <f t="shared" si="18"/>
        <v>comp4WR</v>
      </c>
      <c r="M410">
        <f>COUNTIF(L$1:L410,L410)</f>
        <v>1</v>
      </c>
      <c r="N410" t="str">
        <f t="shared" si="19"/>
        <v>comp4WR-1</v>
      </c>
      <c r="O410">
        <f>COUNTIFS(F$1:F410,F410,A$1:A410,A410)</f>
        <v>1</v>
      </c>
      <c r="P410" t="str">
        <f t="shared" si="20"/>
        <v>Antonio Brown4</v>
      </c>
    </row>
    <row r="411" spans="1:16" x14ac:dyDescent="0.25">
      <c r="A411">
        <v>4</v>
      </c>
      <c r="B411" t="s">
        <v>291</v>
      </c>
      <c r="C411" t="s">
        <v>4424</v>
      </c>
      <c r="D411">
        <v>15.87</v>
      </c>
      <c r="E411" t="s">
        <v>17</v>
      </c>
      <c r="F411" t="s">
        <v>15</v>
      </c>
      <c r="G411">
        <v>22.26</v>
      </c>
      <c r="H411">
        <v>9.48</v>
      </c>
      <c r="I411">
        <v>6.39</v>
      </c>
      <c r="J411">
        <v>40.832099999999997</v>
      </c>
      <c r="K411" t="str">
        <f>IFERROR(INDEX(Rosters!$C$2:$C$155,MATCH($B411,Rosters!$B$2:$B$155,0)),"NA")</f>
        <v>NA</v>
      </c>
      <c r="L411" t="str">
        <f t="shared" si="18"/>
        <v>NA4QB</v>
      </c>
      <c r="M411">
        <f>COUNTIF(L$1:L411,L411)</f>
        <v>10</v>
      </c>
      <c r="N411" t="str">
        <f t="shared" si="19"/>
        <v>NA4QB-10</v>
      </c>
      <c r="O411">
        <f>COUNTIFS(F$1:F411,F411,A$1:A411,A411)</f>
        <v>25</v>
      </c>
      <c r="P411" t="str">
        <f t="shared" si="20"/>
        <v>Mitchell Trubisky4</v>
      </c>
    </row>
    <row r="412" spans="1:16" x14ac:dyDescent="0.25">
      <c r="A412">
        <v>13</v>
      </c>
      <c r="B412" t="s">
        <v>257</v>
      </c>
      <c r="C412" t="s">
        <v>5968</v>
      </c>
      <c r="D412">
        <v>15.86</v>
      </c>
      <c r="E412" t="s">
        <v>22</v>
      </c>
      <c r="F412" t="s">
        <v>47</v>
      </c>
      <c r="G412">
        <v>27.02</v>
      </c>
      <c r="H412">
        <v>4.7</v>
      </c>
      <c r="I412">
        <v>11.16</v>
      </c>
      <c r="J412">
        <v>124.54559999999999</v>
      </c>
      <c r="K412" t="str">
        <f>IFERROR(INDEX(Rosters!$C$2:$C$155,MATCH($B412,Rosters!$B$2:$B$155,0)),"NA")</f>
        <v>scott</v>
      </c>
      <c r="L412" t="str">
        <f t="shared" si="18"/>
        <v>scott13RB</v>
      </c>
      <c r="M412">
        <f>COUNTIF(L$1:L412,L412)</f>
        <v>2</v>
      </c>
      <c r="N412" t="str">
        <f t="shared" si="19"/>
        <v>scott13RB-2</v>
      </c>
      <c r="O412">
        <f>COUNTIFS(F$1:F412,F412,A$1:A412,A412)</f>
        <v>5</v>
      </c>
      <c r="P412" t="str">
        <f t="shared" si="20"/>
        <v>Alvin Kamara13</v>
      </c>
    </row>
    <row r="413" spans="1:16" x14ac:dyDescent="0.25">
      <c r="A413">
        <v>6</v>
      </c>
      <c r="B413" t="s">
        <v>115</v>
      </c>
      <c r="C413" t="s">
        <v>5969</v>
      </c>
      <c r="D413">
        <v>15.86</v>
      </c>
      <c r="E413" t="s">
        <v>423</v>
      </c>
      <c r="F413" t="s">
        <v>47</v>
      </c>
      <c r="G413">
        <v>25.36</v>
      </c>
      <c r="H413">
        <v>6.36</v>
      </c>
      <c r="I413">
        <v>9.5</v>
      </c>
      <c r="J413">
        <v>90.25</v>
      </c>
      <c r="K413" t="str">
        <f>IFERROR(INDEX(Rosters!$C$2:$C$155,MATCH($B413,Rosters!$B$2:$B$155,0)),"NA")</f>
        <v>scott</v>
      </c>
      <c r="L413" t="str">
        <f t="shared" si="18"/>
        <v>scott6RB</v>
      </c>
      <c r="M413">
        <f>COUNTIF(L$1:L413,L413)</f>
        <v>1</v>
      </c>
      <c r="N413" t="str">
        <f t="shared" si="19"/>
        <v>scott6RB-1</v>
      </c>
      <c r="O413">
        <f>COUNTIFS(F$1:F413,F413,A$1:A413,A413)</f>
        <v>3</v>
      </c>
      <c r="P413" t="str">
        <f t="shared" si="20"/>
        <v>Kareem Hunt6</v>
      </c>
    </row>
    <row r="414" spans="1:16" x14ac:dyDescent="0.25">
      <c r="A414">
        <v>1</v>
      </c>
      <c r="B414" t="s">
        <v>291</v>
      </c>
      <c r="C414" t="s">
        <v>1283</v>
      </c>
      <c r="D414">
        <v>15.84</v>
      </c>
      <c r="E414" t="s">
        <v>41</v>
      </c>
      <c r="F414" t="s">
        <v>15</v>
      </c>
      <c r="G414">
        <v>21.99</v>
      </c>
      <c r="H414">
        <v>9.69</v>
      </c>
      <c r="I414">
        <v>6.15</v>
      </c>
      <c r="J414">
        <v>37.822499999999998</v>
      </c>
      <c r="K414" t="str">
        <f>IFERROR(INDEX(Rosters!$C$2:$C$155,MATCH($B414,Rosters!$B$2:$B$155,0)),"NA")</f>
        <v>NA</v>
      </c>
      <c r="L414" t="str">
        <f t="shared" si="18"/>
        <v>NA1QB</v>
      </c>
      <c r="M414">
        <f>COUNTIF(L$1:L414,L414)</f>
        <v>3</v>
      </c>
      <c r="N414" t="str">
        <f t="shared" si="19"/>
        <v>NA1QB-3</v>
      </c>
      <c r="O414">
        <f>COUNTIFS(F$1:F414,F414,A$1:A414,A414)</f>
        <v>15</v>
      </c>
      <c r="P414" t="str">
        <f t="shared" si="20"/>
        <v>Mitchell Trubisky1</v>
      </c>
    </row>
    <row r="415" spans="1:16" x14ac:dyDescent="0.25">
      <c r="A415">
        <v>14</v>
      </c>
      <c r="B415" t="s">
        <v>70</v>
      </c>
      <c r="C415" t="s">
        <v>5970</v>
      </c>
      <c r="D415">
        <v>15.83</v>
      </c>
      <c r="E415" t="s">
        <v>58</v>
      </c>
      <c r="F415" t="s">
        <v>15</v>
      </c>
      <c r="G415">
        <v>21.52</v>
      </c>
      <c r="H415">
        <v>10.14</v>
      </c>
      <c r="I415">
        <v>5.69</v>
      </c>
      <c r="J415">
        <v>32.376100000000001</v>
      </c>
      <c r="K415" t="str">
        <f>IFERROR(INDEX(Rosters!$C$2:$C$155,MATCH($B415,Rosters!$B$2:$B$155,0)),"NA")</f>
        <v>aj</v>
      </c>
      <c r="L415" t="str">
        <f t="shared" si="18"/>
        <v>aj14QB</v>
      </c>
      <c r="M415">
        <f>COUNTIF(L$1:L415,L415)</f>
        <v>2</v>
      </c>
      <c r="N415" t="str">
        <f t="shared" si="19"/>
        <v>aj14QB-2</v>
      </c>
      <c r="O415">
        <f>COUNTIFS(F$1:F415,F415,A$1:A415,A415)</f>
        <v>20</v>
      </c>
      <c r="P415" t="str">
        <f t="shared" si="20"/>
        <v>Matthew Stafford14</v>
      </c>
    </row>
    <row r="416" spans="1:16" x14ac:dyDescent="0.25">
      <c r="A416">
        <v>14</v>
      </c>
      <c r="B416" t="s">
        <v>257</v>
      </c>
      <c r="C416" t="s">
        <v>5971</v>
      </c>
      <c r="D416">
        <v>15.81</v>
      </c>
      <c r="E416" t="s">
        <v>17</v>
      </c>
      <c r="F416" t="s">
        <v>47</v>
      </c>
      <c r="G416">
        <v>27.21</v>
      </c>
      <c r="H416">
        <v>4.41</v>
      </c>
      <c r="I416">
        <v>11.4</v>
      </c>
      <c r="J416">
        <v>129.96</v>
      </c>
      <c r="K416" t="str">
        <f>IFERROR(INDEX(Rosters!$C$2:$C$155,MATCH($B416,Rosters!$B$2:$B$155,0)),"NA")</f>
        <v>scott</v>
      </c>
      <c r="L416" t="str">
        <f t="shared" si="18"/>
        <v>scott14RB</v>
      </c>
      <c r="M416">
        <f>COUNTIF(L$1:L416,L416)</f>
        <v>1</v>
      </c>
      <c r="N416" t="str">
        <f t="shared" si="19"/>
        <v>scott14RB-1</v>
      </c>
      <c r="O416">
        <f>COUNTIFS(F$1:F416,F416,A$1:A416,A416)</f>
        <v>4</v>
      </c>
      <c r="P416" t="str">
        <f t="shared" si="20"/>
        <v>Alvin Kamara14</v>
      </c>
    </row>
    <row r="417" spans="1:16" x14ac:dyDescent="0.25">
      <c r="A417">
        <v>13</v>
      </c>
      <c r="B417" t="s">
        <v>63</v>
      </c>
      <c r="C417" t="s">
        <v>5972</v>
      </c>
      <c r="D417">
        <v>15.8</v>
      </c>
      <c r="E417" t="s">
        <v>42</v>
      </c>
      <c r="F417" t="s">
        <v>15</v>
      </c>
      <c r="G417">
        <v>22.85</v>
      </c>
      <c r="H417">
        <v>8.75</v>
      </c>
      <c r="I417">
        <v>7.05</v>
      </c>
      <c r="J417">
        <v>49.702500000000001</v>
      </c>
      <c r="K417" t="str">
        <f>IFERROR(INDEX(Rosters!$C$2:$C$155,MATCH($B417,Rosters!$B$2:$B$155,0)),"NA")</f>
        <v>scott</v>
      </c>
      <c r="L417" t="str">
        <f t="shared" si="18"/>
        <v>scott13QB</v>
      </c>
      <c r="M417">
        <f>COUNTIF(L$1:L417,L417)</f>
        <v>2</v>
      </c>
      <c r="N417" t="str">
        <f t="shared" si="19"/>
        <v>scott13QB-2</v>
      </c>
      <c r="O417">
        <f>COUNTIFS(F$1:F417,F417,A$1:A417,A417)</f>
        <v>23</v>
      </c>
      <c r="P417" t="str">
        <f t="shared" si="20"/>
        <v>Andy Dalton13</v>
      </c>
    </row>
    <row r="418" spans="1:16" x14ac:dyDescent="0.25">
      <c r="A418">
        <v>7</v>
      </c>
      <c r="B418" t="s">
        <v>59</v>
      </c>
      <c r="C418" t="s">
        <v>5973</v>
      </c>
      <c r="D418">
        <v>15.77</v>
      </c>
      <c r="E418" t="s">
        <v>60</v>
      </c>
      <c r="F418" t="s">
        <v>15</v>
      </c>
      <c r="G418">
        <v>23.72</v>
      </c>
      <c r="H418">
        <v>7.82</v>
      </c>
      <c r="I418">
        <v>7.95</v>
      </c>
      <c r="J418">
        <v>63.202500000000001</v>
      </c>
      <c r="K418" t="str">
        <f>IFERROR(INDEX(Rosters!$C$2:$C$155,MATCH($B418,Rosters!$B$2:$B$155,0)),"NA")</f>
        <v>NA</v>
      </c>
      <c r="L418" t="str">
        <f t="shared" si="18"/>
        <v>NA7QB</v>
      </c>
      <c r="M418">
        <f>COUNTIF(L$1:L418,L418)</f>
        <v>6</v>
      </c>
      <c r="N418" t="str">
        <f t="shared" si="19"/>
        <v>NA7QB-6</v>
      </c>
      <c r="O418">
        <f>COUNTIFS(F$1:F418,F418,A$1:A418,A418)</f>
        <v>19</v>
      </c>
      <c r="P418" t="str">
        <f t="shared" si="20"/>
        <v>Dak Prescott7</v>
      </c>
    </row>
    <row r="419" spans="1:16" x14ac:dyDescent="0.25">
      <c r="A419">
        <v>7</v>
      </c>
      <c r="B419" t="s">
        <v>33</v>
      </c>
      <c r="C419" t="s">
        <v>5974</v>
      </c>
      <c r="D419">
        <v>15.76</v>
      </c>
      <c r="E419" t="s">
        <v>29</v>
      </c>
      <c r="F419" t="s">
        <v>15</v>
      </c>
      <c r="G419">
        <v>21.51</v>
      </c>
      <c r="H419">
        <v>10.01</v>
      </c>
      <c r="I419">
        <v>5.75</v>
      </c>
      <c r="J419">
        <v>33.0625</v>
      </c>
      <c r="K419" t="str">
        <f>IFERROR(INDEX(Rosters!$C$2:$C$155,MATCH($B419,Rosters!$B$2:$B$155,0)),"NA")</f>
        <v>comp</v>
      </c>
      <c r="L419" t="str">
        <f t="shared" si="18"/>
        <v>comp7QB</v>
      </c>
      <c r="M419">
        <f>COUNTIF(L$1:L419,L419)</f>
        <v>2</v>
      </c>
      <c r="N419" t="str">
        <f t="shared" si="19"/>
        <v>comp7QB-2</v>
      </c>
      <c r="O419">
        <f>COUNTIFS(F$1:F419,F419,A$1:A419,A419)</f>
        <v>20</v>
      </c>
      <c r="P419" t="str">
        <f t="shared" si="20"/>
        <v>Andrew Luck7</v>
      </c>
    </row>
    <row r="420" spans="1:16" x14ac:dyDescent="0.25">
      <c r="A420">
        <v>15</v>
      </c>
      <c r="B420" t="s">
        <v>1277</v>
      </c>
      <c r="C420" t="s">
        <v>5975</v>
      </c>
      <c r="D420">
        <v>15.76</v>
      </c>
      <c r="E420" t="s">
        <v>34</v>
      </c>
      <c r="F420" t="s">
        <v>15</v>
      </c>
      <c r="G420">
        <v>22.4</v>
      </c>
      <c r="H420">
        <v>9.1199999999999992</v>
      </c>
      <c r="I420">
        <v>6.64</v>
      </c>
      <c r="J420">
        <v>44.089599999999997</v>
      </c>
      <c r="K420" t="str">
        <f>IFERROR(INDEX(Rosters!$C$2:$C$155,MATCH($B420,Rosters!$B$2:$B$155,0)),"NA")</f>
        <v>NA</v>
      </c>
      <c r="L420" t="str">
        <f t="shared" si="18"/>
        <v>NA15QB</v>
      </c>
      <c r="M420">
        <f>COUNTIF(L$1:L420,L420)</f>
        <v>11</v>
      </c>
      <c r="N420" t="str">
        <f t="shared" si="19"/>
        <v>NA15QB-11</v>
      </c>
      <c r="O420">
        <f>COUNTIFS(F$1:F420,F420,A$1:A420,A420)</f>
        <v>27</v>
      </c>
      <c r="P420" t="str">
        <f t="shared" si="20"/>
        <v>Josh Allen15</v>
      </c>
    </row>
    <row r="421" spans="1:16" x14ac:dyDescent="0.25">
      <c r="A421">
        <v>16</v>
      </c>
      <c r="B421" t="s">
        <v>75</v>
      </c>
      <c r="C421" t="s">
        <v>5976</v>
      </c>
      <c r="D421">
        <v>15.74</v>
      </c>
      <c r="E421" t="s">
        <v>66</v>
      </c>
      <c r="F421" t="s">
        <v>15</v>
      </c>
      <c r="G421">
        <v>22.19</v>
      </c>
      <c r="H421">
        <v>9.2899999999999991</v>
      </c>
      <c r="I421">
        <v>6.45</v>
      </c>
      <c r="J421">
        <v>41.602499999999999</v>
      </c>
      <c r="K421" t="str">
        <f>IFERROR(INDEX(Rosters!$C$2:$C$155,MATCH($B421,Rosters!$B$2:$B$155,0)),"NA")</f>
        <v>NA</v>
      </c>
      <c r="L421" t="str">
        <f t="shared" si="18"/>
        <v>NA16QB</v>
      </c>
      <c r="M421">
        <f>COUNTIF(L$1:L421,L421)</f>
        <v>9</v>
      </c>
      <c r="N421" t="str">
        <f t="shared" si="19"/>
        <v>NA16QB-9</v>
      </c>
      <c r="O421">
        <f>COUNTIFS(F$1:F421,F421,A$1:A421,A421)</f>
        <v>25</v>
      </c>
      <c r="P421" t="str">
        <f t="shared" si="20"/>
        <v>Eli Manning16</v>
      </c>
    </row>
    <row r="422" spans="1:16" x14ac:dyDescent="0.25">
      <c r="A422">
        <v>15</v>
      </c>
      <c r="B422" t="s">
        <v>61</v>
      </c>
      <c r="C422" t="s">
        <v>5977</v>
      </c>
      <c r="D422">
        <v>15.72</v>
      </c>
      <c r="E422" t="s">
        <v>77</v>
      </c>
      <c r="F422" t="s">
        <v>15</v>
      </c>
      <c r="G422">
        <v>23.73</v>
      </c>
      <c r="H422">
        <v>7.71</v>
      </c>
      <c r="I422">
        <v>8.01</v>
      </c>
      <c r="J422">
        <v>64.1601</v>
      </c>
      <c r="K422" t="str">
        <f>IFERROR(INDEX(Rosters!$C$2:$C$155,MATCH($B422,Rosters!$B$2:$B$155,0)),"NA")</f>
        <v>NA</v>
      </c>
      <c r="L422" t="str">
        <f t="shared" si="18"/>
        <v>NA15QB</v>
      </c>
      <c r="M422">
        <f>COUNTIF(L$1:L422,L422)</f>
        <v>12</v>
      </c>
      <c r="N422" t="str">
        <f t="shared" si="19"/>
        <v>NA15QB-12</v>
      </c>
      <c r="O422">
        <f>COUNTIFS(F$1:F422,F422,A$1:A422,A422)</f>
        <v>28</v>
      </c>
      <c r="P422" t="str">
        <f t="shared" si="20"/>
        <v>Jameis Winston15</v>
      </c>
    </row>
    <row r="423" spans="1:16" x14ac:dyDescent="0.25">
      <c r="A423">
        <v>11</v>
      </c>
      <c r="B423" t="s">
        <v>82</v>
      </c>
      <c r="C423" t="s">
        <v>5978</v>
      </c>
      <c r="D423">
        <v>15.72</v>
      </c>
      <c r="E423" t="s">
        <v>31</v>
      </c>
      <c r="F423" t="s">
        <v>15</v>
      </c>
      <c r="G423">
        <v>22.64</v>
      </c>
      <c r="H423">
        <v>8.8000000000000007</v>
      </c>
      <c r="I423">
        <v>6.92</v>
      </c>
      <c r="J423">
        <v>47.886400000000002</v>
      </c>
      <c r="K423" t="str">
        <f>IFERROR(INDEX(Rosters!$C$2:$C$155,MATCH($B423,Rosters!$B$2:$B$155,0)),"NA")</f>
        <v>NA</v>
      </c>
      <c r="L423" t="str">
        <f t="shared" si="18"/>
        <v>NA11QB</v>
      </c>
      <c r="M423">
        <f>COUNTIF(L$1:L423,L423)</f>
        <v>9</v>
      </c>
      <c r="N423" t="str">
        <f t="shared" si="19"/>
        <v>NA11QB-9</v>
      </c>
      <c r="O423">
        <f>COUNTIFS(F$1:F423,F423,A$1:A423,A423)</f>
        <v>23</v>
      </c>
      <c r="P423" t="str">
        <f t="shared" si="20"/>
        <v>Joe Flacco11</v>
      </c>
    </row>
    <row r="424" spans="1:16" x14ac:dyDescent="0.25">
      <c r="A424">
        <v>5</v>
      </c>
      <c r="B424" t="s">
        <v>69</v>
      </c>
      <c r="C424" t="s">
        <v>5979</v>
      </c>
      <c r="D424">
        <v>15.71</v>
      </c>
      <c r="E424" t="s">
        <v>29</v>
      </c>
      <c r="F424" t="s">
        <v>15</v>
      </c>
      <c r="G424">
        <v>22.6</v>
      </c>
      <c r="H424">
        <v>8.82</v>
      </c>
      <c r="I424">
        <v>6.89</v>
      </c>
      <c r="J424">
        <v>47.472099999999998</v>
      </c>
      <c r="K424" t="str">
        <f>IFERROR(INDEX(Rosters!$C$2:$C$155,MATCH($B424,Rosters!$B$2:$B$155,0)),"NA")</f>
        <v>NA</v>
      </c>
      <c r="L424" t="str">
        <f t="shared" si="18"/>
        <v>NA5QB</v>
      </c>
      <c r="M424">
        <f>COUNTIF(L$1:L424,L424)</f>
        <v>4</v>
      </c>
      <c r="N424" t="str">
        <f t="shared" si="19"/>
        <v>NA5QB-4</v>
      </c>
      <c r="O424">
        <f>COUNTIFS(F$1:F424,F424,A$1:A424,A424)</f>
        <v>20</v>
      </c>
      <c r="P424" t="str">
        <f t="shared" si="20"/>
        <v>Marcus Mariota5</v>
      </c>
    </row>
    <row r="425" spans="1:16" x14ac:dyDescent="0.25">
      <c r="A425">
        <v>11</v>
      </c>
      <c r="B425" t="s">
        <v>115</v>
      </c>
      <c r="C425" t="s">
        <v>5980</v>
      </c>
      <c r="D425">
        <v>15.66</v>
      </c>
      <c r="E425" t="s">
        <v>56</v>
      </c>
      <c r="F425" t="s">
        <v>47</v>
      </c>
      <c r="G425">
        <v>23.07</v>
      </c>
      <c r="H425">
        <v>8.25</v>
      </c>
      <c r="I425">
        <v>7.41</v>
      </c>
      <c r="J425">
        <v>54.908099999999997</v>
      </c>
      <c r="K425" t="str">
        <f>IFERROR(INDEX(Rosters!$C$2:$C$155,MATCH($B425,Rosters!$B$2:$B$155,0)),"NA")</f>
        <v>scott</v>
      </c>
      <c r="L425" t="str">
        <f t="shared" si="18"/>
        <v>scott11RB</v>
      </c>
      <c r="M425">
        <f>COUNTIF(L$1:L425,L425)</f>
        <v>2</v>
      </c>
      <c r="N425" t="str">
        <f t="shared" si="19"/>
        <v>scott11RB-2</v>
      </c>
      <c r="O425">
        <f>COUNTIFS(F$1:F425,F425,A$1:A425,A425)</f>
        <v>4</v>
      </c>
      <c r="P425" t="str">
        <f t="shared" si="20"/>
        <v>Kareem Hunt11</v>
      </c>
    </row>
    <row r="426" spans="1:16" x14ac:dyDescent="0.25">
      <c r="A426">
        <v>10</v>
      </c>
      <c r="B426" t="s">
        <v>71</v>
      </c>
      <c r="C426" t="s">
        <v>5981</v>
      </c>
      <c r="D426">
        <v>15.65</v>
      </c>
      <c r="E426" t="s">
        <v>37</v>
      </c>
      <c r="F426" t="s">
        <v>15</v>
      </c>
      <c r="G426">
        <v>22.32</v>
      </c>
      <c r="H426">
        <v>8.98</v>
      </c>
      <c r="I426">
        <v>6.67</v>
      </c>
      <c r="J426">
        <v>44.488900000000001</v>
      </c>
      <c r="K426" t="str">
        <f>IFERROR(INDEX(Rosters!$C$2:$C$155,MATCH($B426,Rosters!$B$2:$B$155,0)),"NA")</f>
        <v>NA</v>
      </c>
      <c r="L426" t="str">
        <f t="shared" si="18"/>
        <v>NA10QB</v>
      </c>
      <c r="M426">
        <f>COUNTIF(L$1:L426,L426)</f>
        <v>6</v>
      </c>
      <c r="N426" t="str">
        <f t="shared" si="19"/>
        <v>NA10QB-6</v>
      </c>
      <c r="O426">
        <f>COUNTIFS(F$1:F426,F426,A$1:A426,A426)</f>
        <v>19</v>
      </c>
      <c r="P426" t="str">
        <f t="shared" si="20"/>
        <v>Derek Carr10</v>
      </c>
    </row>
    <row r="427" spans="1:16" x14ac:dyDescent="0.25">
      <c r="A427">
        <v>3</v>
      </c>
      <c r="B427" t="s">
        <v>75</v>
      </c>
      <c r="C427" t="s">
        <v>3622</v>
      </c>
      <c r="D427">
        <v>15.64</v>
      </c>
      <c r="E427" t="s">
        <v>36</v>
      </c>
      <c r="F427" t="s">
        <v>15</v>
      </c>
      <c r="G427">
        <v>22.54</v>
      </c>
      <c r="H427">
        <v>8.74</v>
      </c>
      <c r="I427">
        <v>6.9</v>
      </c>
      <c r="J427">
        <v>47.61</v>
      </c>
      <c r="K427" t="str">
        <f>IFERROR(INDEX(Rosters!$C$2:$C$155,MATCH($B427,Rosters!$B$2:$B$155,0)),"NA")</f>
        <v>NA</v>
      </c>
      <c r="L427" t="str">
        <f t="shared" si="18"/>
        <v>NA3QB</v>
      </c>
      <c r="M427">
        <f>COUNTIF(L$1:L427,L427)</f>
        <v>6</v>
      </c>
      <c r="N427" t="str">
        <f t="shared" si="19"/>
        <v>NA3QB-6</v>
      </c>
      <c r="O427">
        <f>COUNTIFS(F$1:F427,F427,A$1:A427,A427)</f>
        <v>20</v>
      </c>
      <c r="P427" t="str">
        <f t="shared" si="20"/>
        <v>Eli Manning3</v>
      </c>
    </row>
    <row r="428" spans="1:16" x14ac:dyDescent="0.25">
      <c r="A428">
        <v>10</v>
      </c>
      <c r="B428" t="s">
        <v>53</v>
      </c>
      <c r="C428" t="s">
        <v>5982</v>
      </c>
      <c r="D428">
        <v>15.63</v>
      </c>
      <c r="E428" t="s">
        <v>56</v>
      </c>
      <c r="F428" t="s">
        <v>15</v>
      </c>
      <c r="G428">
        <v>22.76</v>
      </c>
      <c r="H428">
        <v>8.5</v>
      </c>
      <c r="I428">
        <v>7.13</v>
      </c>
      <c r="J428">
        <v>50.8369</v>
      </c>
      <c r="K428" t="str">
        <f>IFERROR(INDEX(Rosters!$C$2:$C$155,MATCH($B428,Rosters!$B$2:$B$155,0)),"NA")</f>
        <v>seth</v>
      </c>
      <c r="L428" t="str">
        <f t="shared" si="18"/>
        <v>seth10QB</v>
      </c>
      <c r="M428">
        <f>COUNTIF(L$1:L428,L428)</f>
        <v>1</v>
      </c>
      <c r="N428" t="str">
        <f t="shared" si="19"/>
        <v>seth10QB-1</v>
      </c>
      <c r="O428">
        <f>COUNTIFS(F$1:F428,F428,A$1:A428,A428)</f>
        <v>20</v>
      </c>
      <c r="P428" t="str">
        <f t="shared" si="20"/>
        <v>Russell Wilson10</v>
      </c>
    </row>
    <row r="429" spans="1:16" x14ac:dyDescent="0.25">
      <c r="A429">
        <v>1</v>
      </c>
      <c r="B429" t="s">
        <v>314</v>
      </c>
      <c r="C429" t="s">
        <v>1284</v>
      </c>
      <c r="D429">
        <v>15.63</v>
      </c>
      <c r="E429" t="s">
        <v>14</v>
      </c>
      <c r="F429" t="s">
        <v>15</v>
      </c>
      <c r="G429">
        <v>21.95</v>
      </c>
      <c r="H429">
        <v>9.31</v>
      </c>
      <c r="I429">
        <v>6.32</v>
      </c>
      <c r="J429">
        <v>39.942399999999999</v>
      </c>
      <c r="K429" t="str">
        <f>IFERROR(INDEX(Rosters!$C$2:$C$155,MATCH($B429,Rosters!$B$2:$B$155,0)),"NA")</f>
        <v>NA</v>
      </c>
      <c r="L429" t="str">
        <f t="shared" si="18"/>
        <v>NA1QB</v>
      </c>
      <c r="M429">
        <f>COUNTIF(L$1:L429,L429)</f>
        <v>4</v>
      </c>
      <c r="N429" t="str">
        <f t="shared" si="19"/>
        <v>NA1QB-4</v>
      </c>
      <c r="O429">
        <f>COUNTIFS(F$1:F429,F429,A$1:A429,A429)</f>
        <v>16</v>
      </c>
      <c r="P429" t="str">
        <f t="shared" si="20"/>
        <v>Ryan Fitzpatrick1</v>
      </c>
    </row>
    <row r="430" spans="1:16" x14ac:dyDescent="0.25">
      <c r="A430">
        <v>4</v>
      </c>
      <c r="B430" t="s">
        <v>154</v>
      </c>
      <c r="C430" t="s">
        <v>4425</v>
      </c>
      <c r="D430">
        <v>15.62</v>
      </c>
      <c r="E430" t="s">
        <v>30</v>
      </c>
      <c r="F430" t="s">
        <v>87</v>
      </c>
      <c r="G430">
        <v>22.17</v>
      </c>
      <c r="H430">
        <v>9.07</v>
      </c>
      <c r="I430">
        <v>6.55</v>
      </c>
      <c r="J430">
        <v>42.902500000000003</v>
      </c>
      <c r="K430" t="str">
        <f>IFERROR(INDEX(Rosters!$C$2:$C$155,MATCH($B430,Rosters!$B$2:$B$155,0)),"NA")</f>
        <v>chad</v>
      </c>
      <c r="L430" t="str">
        <f t="shared" si="18"/>
        <v>chad4WR</v>
      </c>
      <c r="M430">
        <f>COUNTIF(L$1:L430,L430)</f>
        <v>1</v>
      </c>
      <c r="N430" t="str">
        <f t="shared" si="19"/>
        <v>chad4WR-1</v>
      </c>
      <c r="O430">
        <f>COUNTIFS(F$1:F430,F430,A$1:A430,A430)</f>
        <v>2</v>
      </c>
      <c r="P430" t="str">
        <f t="shared" si="20"/>
        <v>Keenan Allen4</v>
      </c>
    </row>
    <row r="431" spans="1:16" x14ac:dyDescent="0.25">
      <c r="A431">
        <v>16</v>
      </c>
      <c r="B431" t="s">
        <v>96</v>
      </c>
      <c r="C431" t="s">
        <v>5983</v>
      </c>
      <c r="D431">
        <v>15.61</v>
      </c>
      <c r="E431" t="s">
        <v>14</v>
      </c>
      <c r="F431" t="s">
        <v>87</v>
      </c>
      <c r="G431">
        <v>22.98</v>
      </c>
      <c r="H431">
        <v>8.24</v>
      </c>
      <c r="I431">
        <v>7.37</v>
      </c>
      <c r="J431">
        <v>54.316899999999997</v>
      </c>
      <c r="K431" t="str">
        <f>IFERROR(INDEX(Rosters!$C$2:$C$155,MATCH($B431,Rosters!$B$2:$B$155,0)),"NA")</f>
        <v>comp</v>
      </c>
      <c r="L431" t="str">
        <f t="shared" si="18"/>
        <v>comp16WR</v>
      </c>
      <c r="M431">
        <f>COUNTIF(L$1:L431,L431)</f>
        <v>1</v>
      </c>
      <c r="N431" t="str">
        <f t="shared" si="19"/>
        <v>comp16WR-1</v>
      </c>
      <c r="O431">
        <f>COUNTIFS(F$1:F431,F431,A$1:A431,A431)</f>
        <v>1</v>
      </c>
      <c r="P431" t="str">
        <f t="shared" si="20"/>
        <v>Antonio Brown16</v>
      </c>
    </row>
    <row r="432" spans="1:16" x14ac:dyDescent="0.25">
      <c r="A432">
        <v>5</v>
      </c>
      <c r="B432" t="s">
        <v>1213</v>
      </c>
      <c r="C432" t="s">
        <v>5984</v>
      </c>
      <c r="D432">
        <v>15.61</v>
      </c>
      <c r="E432" t="s">
        <v>73</v>
      </c>
      <c r="F432" t="s">
        <v>15</v>
      </c>
      <c r="G432">
        <v>22.44</v>
      </c>
      <c r="H432">
        <v>8.7799999999999994</v>
      </c>
      <c r="I432">
        <v>6.83</v>
      </c>
      <c r="J432">
        <v>46.648899999999998</v>
      </c>
      <c r="K432" t="str">
        <f>IFERROR(INDEX(Rosters!$C$2:$C$155,MATCH($B432,Rosters!$B$2:$B$155,0)),"NA")</f>
        <v>NA</v>
      </c>
      <c r="L432" t="str">
        <f t="shared" si="18"/>
        <v>NA5QB</v>
      </c>
      <c r="M432">
        <f>COUNTIF(L$1:L432,L432)</f>
        <v>5</v>
      </c>
      <c r="N432" t="str">
        <f t="shared" si="19"/>
        <v>NA5QB-5</v>
      </c>
      <c r="O432">
        <f>COUNTIFS(F$1:F432,F432,A$1:A432,A432)</f>
        <v>21</v>
      </c>
      <c r="P432" t="str">
        <f t="shared" si="20"/>
        <v>Case Keenum5</v>
      </c>
    </row>
    <row r="433" spans="1:16" x14ac:dyDescent="0.25">
      <c r="A433">
        <v>14</v>
      </c>
      <c r="B433" t="s">
        <v>120</v>
      </c>
      <c r="C433" t="s">
        <v>5985</v>
      </c>
      <c r="D433">
        <v>15.6</v>
      </c>
      <c r="E433" t="s">
        <v>66</v>
      </c>
      <c r="F433" t="s">
        <v>87</v>
      </c>
      <c r="G433">
        <v>23.14</v>
      </c>
      <c r="H433">
        <v>8.06</v>
      </c>
      <c r="I433">
        <v>7.54</v>
      </c>
      <c r="J433">
        <v>56.851599999999998</v>
      </c>
      <c r="K433" t="str">
        <f>IFERROR(INDEX(Rosters!$C$2:$C$155,MATCH($B433,Rosters!$B$2:$B$155,0)),"NA")</f>
        <v>aj</v>
      </c>
      <c r="L433" t="str">
        <f t="shared" si="18"/>
        <v>aj14WR</v>
      </c>
      <c r="M433">
        <f>COUNTIF(L$1:L433,L433)</f>
        <v>1</v>
      </c>
      <c r="N433" t="str">
        <f t="shared" si="19"/>
        <v>aj14WR-1</v>
      </c>
      <c r="O433">
        <f>COUNTIFS(F$1:F433,F433,A$1:A433,A433)</f>
        <v>2</v>
      </c>
      <c r="P433" t="str">
        <f t="shared" si="20"/>
        <v>DeAndre Hopkins14</v>
      </c>
    </row>
    <row r="434" spans="1:16" x14ac:dyDescent="0.25">
      <c r="A434">
        <v>10</v>
      </c>
      <c r="B434" t="s">
        <v>75</v>
      </c>
      <c r="C434" t="s">
        <v>5986</v>
      </c>
      <c r="D434">
        <v>15.6</v>
      </c>
      <c r="E434" t="s">
        <v>30</v>
      </c>
      <c r="F434" t="s">
        <v>15</v>
      </c>
      <c r="G434">
        <v>22.07</v>
      </c>
      <c r="H434">
        <v>9.1300000000000008</v>
      </c>
      <c r="I434">
        <v>6.47</v>
      </c>
      <c r="J434">
        <v>41.860900000000001</v>
      </c>
      <c r="K434" t="str">
        <f>IFERROR(INDEX(Rosters!$C$2:$C$155,MATCH($B434,Rosters!$B$2:$B$155,0)),"NA")</f>
        <v>NA</v>
      </c>
      <c r="L434" t="str">
        <f t="shared" si="18"/>
        <v>NA10QB</v>
      </c>
      <c r="M434">
        <f>COUNTIF(L$1:L434,L434)</f>
        <v>7</v>
      </c>
      <c r="N434" t="str">
        <f t="shared" si="19"/>
        <v>NA10QB-7</v>
      </c>
      <c r="O434">
        <f>COUNTIFS(F$1:F434,F434,A$1:A434,A434)</f>
        <v>21</v>
      </c>
      <c r="P434" t="str">
        <f t="shared" si="20"/>
        <v>Eli Manning10</v>
      </c>
    </row>
    <row r="435" spans="1:16" x14ac:dyDescent="0.25">
      <c r="A435">
        <v>5</v>
      </c>
      <c r="B435" t="s">
        <v>96</v>
      </c>
      <c r="C435" t="s">
        <v>5987</v>
      </c>
      <c r="D435">
        <v>15.59</v>
      </c>
      <c r="E435" t="s">
        <v>46</v>
      </c>
      <c r="F435" t="s">
        <v>87</v>
      </c>
      <c r="G435">
        <v>23.37</v>
      </c>
      <c r="H435">
        <v>7.81</v>
      </c>
      <c r="I435">
        <v>7.78</v>
      </c>
      <c r="J435">
        <v>60.528399999999998</v>
      </c>
      <c r="K435" t="str">
        <f>IFERROR(INDEX(Rosters!$C$2:$C$155,MATCH($B435,Rosters!$B$2:$B$155,0)),"NA")</f>
        <v>comp</v>
      </c>
      <c r="L435" t="str">
        <f t="shared" si="18"/>
        <v>comp5WR</v>
      </c>
      <c r="M435">
        <f>COUNTIF(L$1:L435,L435)</f>
        <v>1</v>
      </c>
      <c r="N435" t="str">
        <f t="shared" si="19"/>
        <v>comp5WR-1</v>
      </c>
      <c r="O435">
        <f>COUNTIFS(F$1:F435,F435,A$1:A435,A435)</f>
        <v>1</v>
      </c>
      <c r="P435" t="str">
        <f t="shared" si="20"/>
        <v>Antonio Brown5</v>
      </c>
    </row>
    <row r="436" spans="1:16" x14ac:dyDescent="0.25">
      <c r="A436">
        <v>2</v>
      </c>
      <c r="B436" t="s">
        <v>59</v>
      </c>
      <c r="C436" t="s">
        <v>3307</v>
      </c>
      <c r="D436">
        <v>15.59</v>
      </c>
      <c r="E436" t="s">
        <v>54</v>
      </c>
      <c r="F436" t="s">
        <v>15</v>
      </c>
      <c r="G436">
        <v>22.86</v>
      </c>
      <c r="H436">
        <v>8.32</v>
      </c>
      <c r="I436">
        <v>7.27</v>
      </c>
      <c r="J436">
        <v>52.852899999999998</v>
      </c>
      <c r="K436" t="str">
        <f>IFERROR(INDEX(Rosters!$C$2:$C$155,MATCH($B436,Rosters!$B$2:$B$155,0)),"NA")</f>
        <v>NA</v>
      </c>
      <c r="L436" t="str">
        <f t="shared" si="18"/>
        <v>NA2QB</v>
      </c>
      <c r="M436">
        <f>COUNTIF(L$1:L436,L436)</f>
        <v>6</v>
      </c>
      <c r="N436" t="str">
        <f t="shared" si="19"/>
        <v>NA2QB-6</v>
      </c>
      <c r="O436">
        <f>COUNTIFS(F$1:F436,F436,A$1:A436,A436)</f>
        <v>19</v>
      </c>
      <c r="P436" t="str">
        <f t="shared" si="20"/>
        <v>Dak Prescott2</v>
      </c>
    </row>
    <row r="437" spans="1:16" x14ac:dyDescent="0.25">
      <c r="A437">
        <v>15</v>
      </c>
      <c r="B437" t="s">
        <v>96</v>
      </c>
      <c r="C437" t="s">
        <v>5988</v>
      </c>
      <c r="D437">
        <v>15.58</v>
      </c>
      <c r="E437" t="s">
        <v>423</v>
      </c>
      <c r="F437" t="s">
        <v>87</v>
      </c>
      <c r="G437">
        <v>23.31</v>
      </c>
      <c r="H437">
        <v>7.85</v>
      </c>
      <c r="I437">
        <v>7.73</v>
      </c>
      <c r="J437">
        <v>59.752899999999997</v>
      </c>
      <c r="K437" t="str">
        <f>IFERROR(INDEX(Rosters!$C$2:$C$155,MATCH($B437,Rosters!$B$2:$B$155,0)),"NA")</f>
        <v>comp</v>
      </c>
      <c r="L437" t="str">
        <f t="shared" si="18"/>
        <v>comp15WR</v>
      </c>
      <c r="M437">
        <f>COUNTIF(L$1:L437,L437)</f>
        <v>1</v>
      </c>
      <c r="N437" t="str">
        <f t="shared" si="19"/>
        <v>comp15WR-1</v>
      </c>
      <c r="O437">
        <f>COUNTIFS(F$1:F437,F437,A$1:A437,A437)</f>
        <v>1</v>
      </c>
      <c r="P437" t="str">
        <f t="shared" si="20"/>
        <v>Antonio Brown15</v>
      </c>
    </row>
    <row r="438" spans="1:16" x14ac:dyDescent="0.25">
      <c r="A438">
        <v>14</v>
      </c>
      <c r="B438" t="s">
        <v>115</v>
      </c>
      <c r="C438" t="s">
        <v>5989</v>
      </c>
      <c r="D438">
        <v>15.57</v>
      </c>
      <c r="E438" t="s">
        <v>77</v>
      </c>
      <c r="F438" t="s">
        <v>47</v>
      </c>
      <c r="G438">
        <v>24.16</v>
      </c>
      <c r="H438">
        <v>6.98</v>
      </c>
      <c r="I438">
        <v>8.59</v>
      </c>
      <c r="J438">
        <v>73.7881</v>
      </c>
      <c r="K438" t="str">
        <f>IFERROR(INDEX(Rosters!$C$2:$C$155,MATCH($B438,Rosters!$B$2:$B$155,0)),"NA")</f>
        <v>scott</v>
      </c>
      <c r="L438" t="str">
        <f t="shared" si="18"/>
        <v>scott14RB</v>
      </c>
      <c r="M438">
        <f>COUNTIF(L$1:L438,L438)</f>
        <v>2</v>
      </c>
      <c r="N438" t="str">
        <f t="shared" si="19"/>
        <v>scott14RB-2</v>
      </c>
      <c r="O438">
        <f>COUNTIFS(F$1:F438,F438,A$1:A438,A438)</f>
        <v>5</v>
      </c>
      <c r="P438" t="str">
        <f t="shared" si="20"/>
        <v>Kareem Hunt14</v>
      </c>
    </row>
    <row r="439" spans="1:16" x14ac:dyDescent="0.25">
      <c r="A439">
        <v>16</v>
      </c>
      <c r="B439" t="s">
        <v>115</v>
      </c>
      <c r="C439" t="s">
        <v>5990</v>
      </c>
      <c r="D439">
        <v>15.57</v>
      </c>
      <c r="E439" t="s">
        <v>28</v>
      </c>
      <c r="F439" t="s">
        <v>47</v>
      </c>
      <c r="G439">
        <v>23.86</v>
      </c>
      <c r="H439">
        <v>7.28</v>
      </c>
      <c r="I439">
        <v>8.2899999999999991</v>
      </c>
      <c r="J439">
        <v>68.724100000000007</v>
      </c>
      <c r="K439" t="str">
        <f>IFERROR(INDEX(Rosters!$C$2:$C$155,MATCH($B439,Rosters!$B$2:$B$155,0)),"NA")</f>
        <v>scott</v>
      </c>
      <c r="L439" t="str">
        <f t="shared" si="18"/>
        <v>scott16RB</v>
      </c>
      <c r="M439">
        <f>COUNTIF(L$1:L439,L439)</f>
        <v>2</v>
      </c>
      <c r="N439" t="str">
        <f t="shared" si="19"/>
        <v>scott16RB-2</v>
      </c>
      <c r="O439">
        <f>COUNTIFS(F$1:F439,F439,A$1:A439,A439)</f>
        <v>5</v>
      </c>
      <c r="P439" t="str">
        <f t="shared" si="20"/>
        <v>Kareem Hunt16</v>
      </c>
    </row>
    <row r="440" spans="1:16" x14ac:dyDescent="0.25">
      <c r="A440">
        <v>12</v>
      </c>
      <c r="B440" t="s">
        <v>33</v>
      </c>
      <c r="C440" t="s">
        <v>5991</v>
      </c>
      <c r="D440">
        <v>15.56</v>
      </c>
      <c r="E440" t="s">
        <v>19</v>
      </c>
      <c r="F440" t="s">
        <v>15</v>
      </c>
      <c r="G440">
        <v>21.69</v>
      </c>
      <c r="H440">
        <v>9.43</v>
      </c>
      <c r="I440">
        <v>6.13</v>
      </c>
      <c r="J440">
        <v>37.576900000000002</v>
      </c>
      <c r="K440" t="str">
        <f>IFERROR(INDEX(Rosters!$C$2:$C$155,MATCH($B440,Rosters!$B$2:$B$155,0)),"NA")</f>
        <v>comp</v>
      </c>
      <c r="L440" t="str">
        <f t="shared" si="18"/>
        <v>comp12QB</v>
      </c>
      <c r="M440">
        <f>COUNTIF(L$1:L440,L440)</f>
        <v>2</v>
      </c>
      <c r="N440" t="str">
        <f t="shared" si="19"/>
        <v>comp12QB-2</v>
      </c>
      <c r="O440">
        <f>COUNTIFS(F$1:F440,F440,A$1:A440,A440)</f>
        <v>21</v>
      </c>
      <c r="P440" t="str">
        <f t="shared" si="20"/>
        <v>Andrew Luck12</v>
      </c>
    </row>
    <row r="441" spans="1:16" x14ac:dyDescent="0.25">
      <c r="A441">
        <v>14</v>
      </c>
      <c r="B441" t="s">
        <v>71</v>
      </c>
      <c r="C441" t="s">
        <v>5992</v>
      </c>
      <c r="D441">
        <v>15.56</v>
      </c>
      <c r="E441" t="s">
        <v>51</v>
      </c>
      <c r="F441" t="s">
        <v>15</v>
      </c>
      <c r="G441">
        <v>23.02</v>
      </c>
      <c r="H441">
        <v>8.1</v>
      </c>
      <c r="I441">
        <v>7.46</v>
      </c>
      <c r="J441">
        <v>55.651600000000002</v>
      </c>
      <c r="K441" t="str">
        <f>IFERROR(INDEX(Rosters!$C$2:$C$155,MATCH($B441,Rosters!$B$2:$B$155,0)),"NA")</f>
        <v>NA</v>
      </c>
      <c r="L441" t="str">
        <f t="shared" si="18"/>
        <v>NA14QB</v>
      </c>
      <c r="M441">
        <f>COUNTIF(L$1:L441,L441)</f>
        <v>6</v>
      </c>
      <c r="N441" t="str">
        <f t="shared" si="19"/>
        <v>NA14QB-6</v>
      </c>
      <c r="O441">
        <f>COUNTIFS(F$1:F441,F441,A$1:A441,A441)</f>
        <v>21</v>
      </c>
      <c r="P441" t="str">
        <f t="shared" si="20"/>
        <v>Derek Carr14</v>
      </c>
    </row>
    <row r="442" spans="1:16" x14ac:dyDescent="0.25">
      <c r="A442">
        <v>14</v>
      </c>
      <c r="B442" t="s">
        <v>1278</v>
      </c>
      <c r="C442" t="s">
        <v>5993</v>
      </c>
      <c r="D442">
        <v>15.56</v>
      </c>
      <c r="E442" t="s">
        <v>423</v>
      </c>
      <c r="F442" t="s">
        <v>15</v>
      </c>
      <c r="G442">
        <v>21.56</v>
      </c>
      <c r="H442">
        <v>9.56</v>
      </c>
      <c r="I442">
        <v>6</v>
      </c>
      <c r="J442">
        <v>36</v>
      </c>
      <c r="K442" t="str">
        <f>IFERROR(INDEX(Rosters!$C$2:$C$155,MATCH($B442,Rosters!$B$2:$B$155,0)),"NA")</f>
        <v>NA</v>
      </c>
      <c r="L442" t="str">
        <f t="shared" si="18"/>
        <v>NA14QB</v>
      </c>
      <c r="M442">
        <f>COUNTIF(L$1:L442,L442)</f>
        <v>7</v>
      </c>
      <c r="N442" t="str">
        <f t="shared" si="19"/>
        <v>NA14QB-7</v>
      </c>
      <c r="O442">
        <f>COUNTIFS(F$1:F442,F442,A$1:A442,A442)</f>
        <v>22</v>
      </c>
      <c r="P442" t="str">
        <f t="shared" si="20"/>
        <v>Ryan Tannehill14</v>
      </c>
    </row>
    <row r="443" spans="1:16" x14ac:dyDescent="0.25">
      <c r="A443">
        <v>5</v>
      </c>
      <c r="B443" t="s">
        <v>112</v>
      </c>
      <c r="C443" t="s">
        <v>5994</v>
      </c>
      <c r="D443">
        <v>15.54</v>
      </c>
      <c r="E443" t="s">
        <v>54</v>
      </c>
      <c r="F443" t="s">
        <v>47</v>
      </c>
      <c r="G443">
        <v>23.01</v>
      </c>
      <c r="H443">
        <v>8.07</v>
      </c>
      <c r="I443">
        <v>7.47</v>
      </c>
      <c r="J443">
        <v>55.800899999999999</v>
      </c>
      <c r="K443" t="str">
        <f>IFERROR(INDEX(Rosters!$C$2:$C$155,MATCH($B443,Rosters!$B$2:$B$155,0)),"NA")</f>
        <v>devon</v>
      </c>
      <c r="L443" t="str">
        <f t="shared" si="18"/>
        <v>devon5RB</v>
      </c>
      <c r="M443">
        <f>COUNTIF(L$1:L443,L443)</f>
        <v>1</v>
      </c>
      <c r="N443" t="str">
        <f t="shared" si="19"/>
        <v>devon5RB-1</v>
      </c>
      <c r="O443">
        <f>COUNTIFS(F$1:F443,F443,A$1:A443,A443)</f>
        <v>5</v>
      </c>
      <c r="P443" t="str">
        <f t="shared" si="20"/>
        <v>Christian McCaffrey5</v>
      </c>
    </row>
    <row r="444" spans="1:16" x14ac:dyDescent="0.25">
      <c r="A444">
        <v>7</v>
      </c>
      <c r="B444" t="s">
        <v>69</v>
      </c>
      <c r="C444" t="s">
        <v>5995</v>
      </c>
      <c r="D444">
        <v>15.54</v>
      </c>
      <c r="E444" t="s">
        <v>37</v>
      </c>
      <c r="F444" t="s">
        <v>15</v>
      </c>
      <c r="G444">
        <v>22.61</v>
      </c>
      <c r="H444">
        <v>8.4700000000000006</v>
      </c>
      <c r="I444">
        <v>7.07</v>
      </c>
      <c r="J444">
        <v>49.984900000000003</v>
      </c>
      <c r="K444" t="str">
        <f>IFERROR(INDEX(Rosters!$C$2:$C$155,MATCH($B444,Rosters!$B$2:$B$155,0)),"NA")</f>
        <v>NA</v>
      </c>
      <c r="L444" t="str">
        <f t="shared" si="18"/>
        <v>NA7QB</v>
      </c>
      <c r="M444">
        <f>COUNTIF(L$1:L444,L444)</f>
        <v>7</v>
      </c>
      <c r="N444" t="str">
        <f t="shared" si="19"/>
        <v>NA7QB-7</v>
      </c>
      <c r="O444">
        <f>COUNTIFS(F$1:F444,F444,A$1:A444,A444)</f>
        <v>21</v>
      </c>
      <c r="P444" t="str">
        <f t="shared" si="20"/>
        <v>Marcus Mariota7</v>
      </c>
    </row>
    <row r="445" spans="1:16" x14ac:dyDescent="0.25">
      <c r="A445">
        <v>12</v>
      </c>
      <c r="B445" t="s">
        <v>63</v>
      </c>
      <c r="C445" t="s">
        <v>5996</v>
      </c>
      <c r="D445">
        <v>15.53</v>
      </c>
      <c r="E445" t="s">
        <v>52</v>
      </c>
      <c r="F445" t="s">
        <v>15</v>
      </c>
      <c r="G445">
        <v>22.33</v>
      </c>
      <c r="H445">
        <v>8.73</v>
      </c>
      <c r="I445">
        <v>6.8</v>
      </c>
      <c r="J445">
        <v>46.24</v>
      </c>
      <c r="K445" t="str">
        <f>IFERROR(INDEX(Rosters!$C$2:$C$155,MATCH($B445,Rosters!$B$2:$B$155,0)),"NA")</f>
        <v>scott</v>
      </c>
      <c r="L445" t="str">
        <f t="shared" si="18"/>
        <v>scott12QB</v>
      </c>
      <c r="M445">
        <f>COUNTIF(L$1:L445,L445)</f>
        <v>2</v>
      </c>
      <c r="N445" t="str">
        <f t="shared" si="19"/>
        <v>scott12QB-2</v>
      </c>
      <c r="O445">
        <f>COUNTIFS(F$1:F445,F445,A$1:A445,A445)</f>
        <v>22</v>
      </c>
      <c r="P445" t="str">
        <f t="shared" si="20"/>
        <v>Andy Dalton12</v>
      </c>
    </row>
    <row r="446" spans="1:16" x14ac:dyDescent="0.25">
      <c r="A446">
        <v>8</v>
      </c>
      <c r="B446" t="s">
        <v>1288</v>
      </c>
      <c r="C446" t="s">
        <v>5997</v>
      </c>
      <c r="D446">
        <v>15.52</v>
      </c>
      <c r="E446" t="s">
        <v>60</v>
      </c>
      <c r="F446" t="s">
        <v>47</v>
      </c>
      <c r="G446">
        <v>25.05</v>
      </c>
      <c r="H446">
        <v>5.99</v>
      </c>
      <c r="I446">
        <v>9.5299999999999994</v>
      </c>
      <c r="J446">
        <v>90.820899999999995</v>
      </c>
      <c r="K446" t="str">
        <f>IFERROR(INDEX(Rosters!$C$2:$C$155,MATCH($B446,Rosters!$B$2:$B$155,0)),"NA")</f>
        <v>lucas</v>
      </c>
      <c r="L446" t="str">
        <f t="shared" si="18"/>
        <v>lucas8RB</v>
      </c>
      <c r="M446">
        <f>COUNTIF(L$1:L446,L446)</f>
        <v>1</v>
      </c>
      <c r="N446" t="str">
        <f t="shared" si="19"/>
        <v>lucas8RB-1</v>
      </c>
      <c r="O446">
        <f>COUNTIFS(F$1:F446,F446,A$1:A446,A446)</f>
        <v>4</v>
      </c>
      <c r="P446" t="str">
        <f t="shared" si="20"/>
        <v>Saquon Barkley8</v>
      </c>
    </row>
    <row r="447" spans="1:16" x14ac:dyDescent="0.25">
      <c r="A447">
        <v>9</v>
      </c>
      <c r="B447" t="s">
        <v>82</v>
      </c>
      <c r="C447" t="s">
        <v>5998</v>
      </c>
      <c r="D447">
        <v>15.51</v>
      </c>
      <c r="E447" t="s">
        <v>51</v>
      </c>
      <c r="F447" t="s">
        <v>15</v>
      </c>
      <c r="G447">
        <v>21.64</v>
      </c>
      <c r="H447">
        <v>9.3800000000000008</v>
      </c>
      <c r="I447">
        <v>6.13</v>
      </c>
      <c r="J447">
        <v>37.576900000000002</v>
      </c>
      <c r="K447" t="str">
        <f>IFERROR(INDEX(Rosters!$C$2:$C$155,MATCH($B447,Rosters!$B$2:$B$155,0)),"NA")</f>
        <v>NA</v>
      </c>
      <c r="L447" t="str">
        <f t="shared" si="18"/>
        <v>NA9QB</v>
      </c>
      <c r="M447">
        <f>COUNTIF(L$1:L447,L447)</f>
        <v>7</v>
      </c>
      <c r="N447" t="str">
        <f t="shared" si="19"/>
        <v>NA9QB-7</v>
      </c>
      <c r="O447">
        <f>COUNTIFS(F$1:F447,F447,A$1:A447,A447)</f>
        <v>21</v>
      </c>
      <c r="P447" t="str">
        <f t="shared" si="20"/>
        <v>Joe Flacco9</v>
      </c>
    </row>
    <row r="448" spans="1:16" x14ac:dyDescent="0.25">
      <c r="A448">
        <v>7</v>
      </c>
      <c r="B448" t="s">
        <v>75</v>
      </c>
      <c r="C448" t="s">
        <v>5999</v>
      </c>
      <c r="D448">
        <v>15.49</v>
      </c>
      <c r="E448" t="s">
        <v>46</v>
      </c>
      <c r="F448" t="s">
        <v>15</v>
      </c>
      <c r="G448">
        <v>21.14</v>
      </c>
      <c r="H448">
        <v>9.84</v>
      </c>
      <c r="I448">
        <v>5.65</v>
      </c>
      <c r="J448">
        <v>31.922499999999999</v>
      </c>
      <c r="K448" t="str">
        <f>IFERROR(INDEX(Rosters!$C$2:$C$155,MATCH($B448,Rosters!$B$2:$B$155,0)),"NA")</f>
        <v>NA</v>
      </c>
      <c r="L448" t="str">
        <f t="shared" si="18"/>
        <v>NA7QB</v>
      </c>
      <c r="M448">
        <f>COUNTIF(L$1:L448,L448)</f>
        <v>8</v>
      </c>
      <c r="N448" t="str">
        <f t="shared" si="19"/>
        <v>NA7QB-8</v>
      </c>
      <c r="O448">
        <f>COUNTIFS(F$1:F448,F448,A$1:A448,A448)</f>
        <v>22</v>
      </c>
      <c r="P448" t="str">
        <f t="shared" si="20"/>
        <v>Eli Manning7</v>
      </c>
    </row>
    <row r="449" spans="1:16" x14ac:dyDescent="0.25">
      <c r="A449">
        <v>6</v>
      </c>
      <c r="B449" t="s">
        <v>1492</v>
      </c>
      <c r="C449" t="s">
        <v>6000</v>
      </c>
      <c r="D449">
        <v>15.47</v>
      </c>
      <c r="E449" t="s">
        <v>37</v>
      </c>
      <c r="F449" t="s">
        <v>15</v>
      </c>
      <c r="G449">
        <v>22.75</v>
      </c>
      <c r="H449">
        <v>8.19</v>
      </c>
      <c r="I449">
        <v>7.28</v>
      </c>
      <c r="J449">
        <v>52.998399999999997</v>
      </c>
      <c r="K449" t="str">
        <f>IFERROR(INDEX(Rosters!$C$2:$C$155,MATCH($B449,Rosters!$B$2:$B$155,0)),"NA")</f>
        <v>perry</v>
      </c>
      <c r="L449" t="str">
        <f t="shared" si="18"/>
        <v>perry6QB</v>
      </c>
      <c r="M449">
        <f>COUNTIF(L$1:L449,L449)</f>
        <v>2</v>
      </c>
      <c r="N449" t="str">
        <f t="shared" si="19"/>
        <v>perry6QB-2</v>
      </c>
      <c r="O449">
        <f>COUNTIFS(F$1:F449,F449,A$1:A449,A449)</f>
        <v>21</v>
      </c>
      <c r="P449" t="str">
        <f t="shared" si="20"/>
        <v>Baker Mayfield6</v>
      </c>
    </row>
    <row r="450" spans="1:16" x14ac:dyDescent="0.25">
      <c r="A450">
        <v>3</v>
      </c>
      <c r="B450" t="s">
        <v>92</v>
      </c>
      <c r="C450" t="s">
        <v>3623</v>
      </c>
      <c r="D450">
        <v>15.47</v>
      </c>
      <c r="E450" t="s">
        <v>56</v>
      </c>
      <c r="F450" t="s">
        <v>47</v>
      </c>
      <c r="G450">
        <v>23.33</v>
      </c>
      <c r="H450">
        <v>7.61</v>
      </c>
      <c r="I450">
        <v>7.86</v>
      </c>
      <c r="J450">
        <v>61.779600000000002</v>
      </c>
      <c r="K450" t="str">
        <f>IFERROR(INDEX(Rosters!$C$2:$C$155,MATCH($B450,Rosters!$B$2:$B$155,0)),"NA")</f>
        <v>matty</v>
      </c>
      <c r="L450" t="str">
        <f t="shared" si="18"/>
        <v>matty3RB</v>
      </c>
      <c r="M450">
        <f>COUNTIF(L$1:L450,L450)</f>
        <v>1</v>
      </c>
      <c r="N450" t="str">
        <f t="shared" si="19"/>
        <v>matty3RB-1</v>
      </c>
      <c r="O450">
        <f>COUNTIFS(F$1:F450,F450,A$1:A450,A450)</f>
        <v>4</v>
      </c>
      <c r="P450" t="str">
        <f t="shared" si="20"/>
        <v>Melvin Gordon3</v>
      </c>
    </row>
    <row r="451" spans="1:16" x14ac:dyDescent="0.25">
      <c r="A451">
        <v>5</v>
      </c>
      <c r="B451" t="s">
        <v>115</v>
      </c>
      <c r="C451" t="s">
        <v>6001</v>
      </c>
      <c r="D451">
        <v>15.45</v>
      </c>
      <c r="E451" t="s">
        <v>76</v>
      </c>
      <c r="F451" t="s">
        <v>47</v>
      </c>
      <c r="G451">
        <v>23.96</v>
      </c>
      <c r="H451">
        <v>6.94</v>
      </c>
      <c r="I451">
        <v>8.51</v>
      </c>
      <c r="J451">
        <v>72.420100000000005</v>
      </c>
      <c r="K451" t="str">
        <f>IFERROR(INDEX(Rosters!$C$2:$C$155,MATCH($B451,Rosters!$B$2:$B$155,0)),"NA")</f>
        <v>scott</v>
      </c>
      <c r="L451" t="str">
        <f t="shared" ref="L451:L514" si="21">K451&amp;A451&amp;F451</f>
        <v>scott5RB</v>
      </c>
      <c r="M451">
        <f>COUNTIF(L$1:L451,L451)</f>
        <v>2</v>
      </c>
      <c r="N451" t="str">
        <f t="shared" ref="N451:N514" si="22">L451&amp;"-"&amp;M451</f>
        <v>scott5RB-2</v>
      </c>
      <c r="O451">
        <f>COUNTIFS(F$1:F451,F451,A$1:A451,A451)</f>
        <v>6</v>
      </c>
      <c r="P451" t="str">
        <f t="shared" ref="P451:P514" si="23">B451&amp;A451</f>
        <v>Kareem Hunt5</v>
      </c>
    </row>
    <row r="452" spans="1:16" x14ac:dyDescent="0.25">
      <c r="A452">
        <v>2</v>
      </c>
      <c r="B452" t="s">
        <v>75</v>
      </c>
      <c r="C452" t="s">
        <v>1285</v>
      </c>
      <c r="D452">
        <v>15.42</v>
      </c>
      <c r="E452" t="s">
        <v>22</v>
      </c>
      <c r="F452" t="s">
        <v>15</v>
      </c>
      <c r="G452">
        <v>21.96</v>
      </c>
      <c r="H452">
        <v>8.8800000000000008</v>
      </c>
      <c r="I452">
        <v>6.54</v>
      </c>
      <c r="J452">
        <v>42.771599999999999</v>
      </c>
      <c r="K452" t="str">
        <f>IFERROR(INDEX(Rosters!$C$2:$C$155,MATCH($B452,Rosters!$B$2:$B$155,0)),"NA")</f>
        <v>NA</v>
      </c>
      <c r="L452" t="str">
        <f t="shared" si="21"/>
        <v>NA2QB</v>
      </c>
      <c r="M452">
        <f>COUNTIF(L$1:L452,L452)</f>
        <v>7</v>
      </c>
      <c r="N452" t="str">
        <f t="shared" si="22"/>
        <v>NA2QB-7</v>
      </c>
      <c r="O452">
        <f>COUNTIFS(F$1:F452,F452,A$1:A452,A452)</f>
        <v>20</v>
      </c>
      <c r="P452" t="str">
        <f t="shared" si="23"/>
        <v>Eli Manning2</v>
      </c>
    </row>
    <row r="453" spans="1:16" x14ac:dyDescent="0.25">
      <c r="A453">
        <v>12</v>
      </c>
      <c r="B453" t="s">
        <v>1492</v>
      </c>
      <c r="C453" t="s">
        <v>6002</v>
      </c>
      <c r="D453">
        <v>15.39</v>
      </c>
      <c r="E453" t="s">
        <v>31</v>
      </c>
      <c r="F453" t="s">
        <v>15</v>
      </c>
      <c r="G453">
        <v>23.09</v>
      </c>
      <c r="H453">
        <v>7.69</v>
      </c>
      <c r="I453">
        <v>7.7</v>
      </c>
      <c r="J453">
        <v>59.29</v>
      </c>
      <c r="K453" t="str">
        <f>IFERROR(INDEX(Rosters!$C$2:$C$155,MATCH($B453,Rosters!$B$2:$B$155,0)),"NA")</f>
        <v>perry</v>
      </c>
      <c r="L453" t="str">
        <f t="shared" si="21"/>
        <v>perry12QB</v>
      </c>
      <c r="M453">
        <f>COUNTIF(L$1:L453,L453)</f>
        <v>2</v>
      </c>
      <c r="N453" t="str">
        <f t="shared" si="22"/>
        <v>perry12QB-2</v>
      </c>
      <c r="O453">
        <f>COUNTIFS(F$1:F453,F453,A$1:A453,A453)</f>
        <v>23</v>
      </c>
      <c r="P453" t="str">
        <f t="shared" si="23"/>
        <v>Baker Mayfield12</v>
      </c>
    </row>
    <row r="454" spans="1:16" x14ac:dyDescent="0.25">
      <c r="A454">
        <v>2</v>
      </c>
      <c r="B454" t="s">
        <v>26</v>
      </c>
      <c r="C454" t="s">
        <v>3308</v>
      </c>
      <c r="D454">
        <v>15.38</v>
      </c>
      <c r="E454" t="s">
        <v>74</v>
      </c>
      <c r="F454" t="s">
        <v>15</v>
      </c>
      <c r="G454">
        <v>21.06</v>
      </c>
      <c r="H454">
        <v>9.6999999999999993</v>
      </c>
      <c r="I454">
        <v>5.68</v>
      </c>
      <c r="J454">
        <v>32.2624</v>
      </c>
      <c r="K454" t="str">
        <f>IFERROR(INDEX(Rosters!$C$2:$C$155,MATCH($B454,Rosters!$B$2:$B$155,0)),"NA")</f>
        <v>aj</v>
      </c>
      <c r="L454" t="str">
        <f t="shared" si="21"/>
        <v>aj2QB</v>
      </c>
      <c r="M454">
        <f>COUNTIF(L$1:L454,L454)</f>
        <v>2</v>
      </c>
      <c r="N454" t="str">
        <f t="shared" si="22"/>
        <v>aj2QB-2</v>
      </c>
      <c r="O454">
        <f>COUNTIFS(F$1:F454,F454,A$1:A454,A454)</f>
        <v>21</v>
      </c>
      <c r="P454" t="str">
        <f t="shared" si="23"/>
        <v>Matt Ryan2</v>
      </c>
    </row>
    <row r="455" spans="1:16" x14ac:dyDescent="0.25">
      <c r="A455">
        <v>12</v>
      </c>
      <c r="B455" t="s">
        <v>53</v>
      </c>
      <c r="C455" t="s">
        <v>6003</v>
      </c>
      <c r="D455">
        <v>15.38</v>
      </c>
      <c r="E455" t="s">
        <v>74</v>
      </c>
      <c r="F455" t="s">
        <v>15</v>
      </c>
      <c r="G455">
        <v>22.93</v>
      </c>
      <c r="H455">
        <v>7.83</v>
      </c>
      <c r="I455">
        <v>7.55</v>
      </c>
      <c r="J455">
        <v>57.002499999999998</v>
      </c>
      <c r="K455" t="str">
        <f>IFERROR(INDEX(Rosters!$C$2:$C$155,MATCH($B455,Rosters!$B$2:$B$155,0)),"NA")</f>
        <v>seth</v>
      </c>
      <c r="L455" t="str">
        <f t="shared" si="21"/>
        <v>seth12QB</v>
      </c>
      <c r="M455">
        <f>COUNTIF(L$1:L455,L455)</f>
        <v>1</v>
      </c>
      <c r="N455" t="str">
        <f t="shared" si="22"/>
        <v>seth12QB-1</v>
      </c>
      <c r="O455">
        <f>COUNTIFS(F$1:F455,F455,A$1:A455,A455)</f>
        <v>24</v>
      </c>
      <c r="P455" t="str">
        <f t="shared" si="23"/>
        <v>Russell Wilson12</v>
      </c>
    </row>
    <row r="456" spans="1:16" x14ac:dyDescent="0.25">
      <c r="A456">
        <v>3</v>
      </c>
      <c r="B456" t="s">
        <v>96</v>
      </c>
      <c r="C456" t="s">
        <v>3624</v>
      </c>
      <c r="D456">
        <v>15.35</v>
      </c>
      <c r="E456" t="s">
        <v>17</v>
      </c>
      <c r="F456" t="s">
        <v>87</v>
      </c>
      <c r="G456">
        <v>24</v>
      </c>
      <c r="H456">
        <v>6.7</v>
      </c>
      <c r="I456">
        <v>8.65</v>
      </c>
      <c r="J456">
        <v>74.822500000000005</v>
      </c>
      <c r="K456" t="str">
        <f>IFERROR(INDEX(Rosters!$C$2:$C$155,MATCH($B456,Rosters!$B$2:$B$155,0)),"NA")</f>
        <v>comp</v>
      </c>
      <c r="L456" t="str">
        <f t="shared" si="21"/>
        <v>comp3WR</v>
      </c>
      <c r="M456">
        <f>COUNTIF(L$1:L456,L456)</f>
        <v>1</v>
      </c>
      <c r="N456" t="str">
        <f t="shared" si="22"/>
        <v>comp3WR-1</v>
      </c>
      <c r="O456">
        <f>COUNTIFS(F$1:F456,F456,A$1:A456,A456)</f>
        <v>1</v>
      </c>
      <c r="P456" t="str">
        <f t="shared" si="23"/>
        <v>Antonio Brown3</v>
      </c>
    </row>
    <row r="457" spans="1:16" x14ac:dyDescent="0.25">
      <c r="A457">
        <v>5</v>
      </c>
      <c r="B457" t="s">
        <v>1277</v>
      </c>
      <c r="C457" t="s">
        <v>6004</v>
      </c>
      <c r="D457">
        <v>15.35</v>
      </c>
      <c r="E457" t="s">
        <v>38</v>
      </c>
      <c r="F457" t="s">
        <v>15</v>
      </c>
      <c r="G457">
        <v>22.23</v>
      </c>
      <c r="H457">
        <v>8.4700000000000006</v>
      </c>
      <c r="I457">
        <v>6.88</v>
      </c>
      <c r="J457">
        <v>47.334400000000002</v>
      </c>
      <c r="K457" t="str">
        <f>IFERROR(INDEX(Rosters!$C$2:$C$155,MATCH($B457,Rosters!$B$2:$B$155,0)),"NA")</f>
        <v>NA</v>
      </c>
      <c r="L457" t="str">
        <f t="shared" si="21"/>
        <v>NA5QB</v>
      </c>
      <c r="M457">
        <f>COUNTIF(L$1:L457,L457)</f>
        <v>6</v>
      </c>
      <c r="N457" t="str">
        <f t="shared" si="22"/>
        <v>NA5QB-6</v>
      </c>
      <c r="O457">
        <f>COUNTIFS(F$1:F457,F457,A$1:A457,A457)</f>
        <v>22</v>
      </c>
      <c r="P457" t="str">
        <f t="shared" si="23"/>
        <v>Josh Allen5</v>
      </c>
    </row>
    <row r="458" spans="1:16" x14ac:dyDescent="0.25">
      <c r="A458">
        <v>6</v>
      </c>
      <c r="B458" t="s">
        <v>93</v>
      </c>
      <c r="C458" t="s">
        <v>6005</v>
      </c>
      <c r="D458">
        <v>15.34</v>
      </c>
      <c r="E458" t="s">
        <v>17</v>
      </c>
      <c r="F458" t="s">
        <v>87</v>
      </c>
      <c r="G458">
        <v>24.26</v>
      </c>
      <c r="H458">
        <v>6.42</v>
      </c>
      <c r="I458">
        <v>8.92</v>
      </c>
      <c r="J458">
        <v>79.566400000000002</v>
      </c>
      <c r="K458" t="str">
        <f>IFERROR(INDEX(Rosters!$C$2:$C$155,MATCH($B458,Rosters!$B$2:$B$155,0)),"NA")</f>
        <v>cory</v>
      </c>
      <c r="L458" t="str">
        <f t="shared" si="21"/>
        <v>cory6WR</v>
      </c>
      <c r="M458">
        <f>COUNTIF(L$1:L458,L458)</f>
        <v>1</v>
      </c>
      <c r="N458" t="str">
        <f t="shared" si="22"/>
        <v>cory6WR-1</v>
      </c>
      <c r="O458">
        <f>COUNTIFS(F$1:F458,F458,A$1:A458,A458)</f>
        <v>1</v>
      </c>
      <c r="P458" t="str">
        <f t="shared" si="23"/>
        <v>Julio Jones6</v>
      </c>
    </row>
    <row r="459" spans="1:16" x14ac:dyDescent="0.25">
      <c r="A459">
        <v>12</v>
      </c>
      <c r="B459" t="s">
        <v>1275</v>
      </c>
      <c r="C459" t="s">
        <v>6006</v>
      </c>
      <c r="D459">
        <v>15.34</v>
      </c>
      <c r="E459" t="s">
        <v>423</v>
      </c>
      <c r="F459" t="s">
        <v>15</v>
      </c>
      <c r="G459">
        <v>21.75</v>
      </c>
      <c r="H459">
        <v>8.93</v>
      </c>
      <c r="I459">
        <v>6.41</v>
      </c>
      <c r="J459">
        <v>41.088099999999997</v>
      </c>
      <c r="K459" t="str">
        <f>IFERROR(INDEX(Rosters!$C$2:$C$155,MATCH($B459,Rosters!$B$2:$B$155,0)),"NA")</f>
        <v>NA</v>
      </c>
      <c r="L459" t="str">
        <f t="shared" si="21"/>
        <v>NA12QB</v>
      </c>
      <c r="M459">
        <f>COUNTIF(L$1:L459,L459)</f>
        <v>10</v>
      </c>
      <c r="N459" t="str">
        <f t="shared" si="22"/>
        <v>NA12QB-10</v>
      </c>
      <c r="O459">
        <f>COUNTIFS(F$1:F459,F459,A$1:A459,A459)</f>
        <v>25</v>
      </c>
      <c r="P459" t="str">
        <f t="shared" si="23"/>
        <v>Sam Darnold12</v>
      </c>
    </row>
    <row r="460" spans="1:16" x14ac:dyDescent="0.25">
      <c r="A460">
        <v>5</v>
      </c>
      <c r="B460" t="s">
        <v>120</v>
      </c>
      <c r="C460" t="s">
        <v>6007</v>
      </c>
      <c r="D460">
        <v>15.31</v>
      </c>
      <c r="E460" t="s">
        <v>22</v>
      </c>
      <c r="F460" t="s">
        <v>87</v>
      </c>
      <c r="G460">
        <v>22.69</v>
      </c>
      <c r="H460">
        <v>7.93</v>
      </c>
      <c r="I460">
        <v>7.38</v>
      </c>
      <c r="J460">
        <v>54.464399999999998</v>
      </c>
      <c r="K460" t="str">
        <f>IFERROR(INDEX(Rosters!$C$2:$C$155,MATCH($B460,Rosters!$B$2:$B$155,0)),"NA")</f>
        <v>aj</v>
      </c>
      <c r="L460" t="str">
        <f t="shared" si="21"/>
        <v>aj5WR</v>
      </c>
      <c r="M460">
        <f>COUNTIF(L$1:L460,L460)</f>
        <v>1</v>
      </c>
      <c r="N460" t="str">
        <f t="shared" si="22"/>
        <v>aj5WR-1</v>
      </c>
      <c r="O460">
        <f>COUNTIFS(F$1:F460,F460,A$1:A460,A460)</f>
        <v>2</v>
      </c>
      <c r="P460" t="str">
        <f t="shared" si="23"/>
        <v>DeAndre Hopkins5</v>
      </c>
    </row>
    <row r="461" spans="1:16" x14ac:dyDescent="0.25">
      <c r="A461">
        <v>6</v>
      </c>
      <c r="B461" t="s">
        <v>33</v>
      </c>
      <c r="C461" t="s">
        <v>6008</v>
      </c>
      <c r="D461">
        <v>15.28</v>
      </c>
      <c r="E461" t="s">
        <v>73</v>
      </c>
      <c r="F461" t="s">
        <v>15</v>
      </c>
      <c r="G461">
        <v>22.23</v>
      </c>
      <c r="H461">
        <v>8.33</v>
      </c>
      <c r="I461">
        <v>6.95</v>
      </c>
      <c r="J461">
        <v>48.302500000000002</v>
      </c>
      <c r="K461" t="str">
        <f>IFERROR(INDEX(Rosters!$C$2:$C$155,MATCH($B461,Rosters!$B$2:$B$155,0)),"NA")</f>
        <v>comp</v>
      </c>
      <c r="L461" t="str">
        <f t="shared" si="21"/>
        <v>comp6QB</v>
      </c>
      <c r="M461">
        <f>COUNTIF(L$1:L461,L461)</f>
        <v>2</v>
      </c>
      <c r="N461" t="str">
        <f t="shared" si="22"/>
        <v>comp6QB-2</v>
      </c>
      <c r="O461">
        <f>COUNTIFS(F$1:F461,F461,A$1:A461,A461)</f>
        <v>22</v>
      </c>
      <c r="P461" t="str">
        <f t="shared" si="23"/>
        <v>Andrew Luck6</v>
      </c>
    </row>
    <row r="462" spans="1:16" x14ac:dyDescent="0.25">
      <c r="A462">
        <v>8</v>
      </c>
      <c r="B462" t="s">
        <v>120</v>
      </c>
      <c r="C462" t="s">
        <v>6009</v>
      </c>
      <c r="D462">
        <v>15.28</v>
      </c>
      <c r="E462" t="s">
        <v>19</v>
      </c>
      <c r="F462" t="s">
        <v>87</v>
      </c>
      <c r="G462">
        <v>23.22</v>
      </c>
      <c r="H462">
        <v>7.34</v>
      </c>
      <c r="I462">
        <v>7.94</v>
      </c>
      <c r="J462">
        <v>63.043599999999998</v>
      </c>
      <c r="K462" t="str">
        <f>IFERROR(INDEX(Rosters!$C$2:$C$155,MATCH($B462,Rosters!$B$2:$B$155,0)),"NA")</f>
        <v>aj</v>
      </c>
      <c r="L462" t="str">
        <f t="shared" si="21"/>
        <v>aj8WR</v>
      </c>
      <c r="M462">
        <f>COUNTIF(L$1:L462,L462)</f>
        <v>1</v>
      </c>
      <c r="N462" t="str">
        <f t="shared" si="22"/>
        <v>aj8WR-1</v>
      </c>
      <c r="O462">
        <f>COUNTIFS(F$1:F462,F462,A$1:A462,A462)</f>
        <v>1</v>
      </c>
      <c r="P462" t="str">
        <f t="shared" si="23"/>
        <v>DeAndre Hopkins8</v>
      </c>
    </row>
    <row r="463" spans="1:16" x14ac:dyDescent="0.25">
      <c r="A463">
        <v>7</v>
      </c>
      <c r="B463" t="s">
        <v>1213</v>
      </c>
      <c r="C463" t="s">
        <v>6010</v>
      </c>
      <c r="D463">
        <v>15.27</v>
      </c>
      <c r="E463" t="s">
        <v>58</v>
      </c>
      <c r="F463" t="s">
        <v>15</v>
      </c>
      <c r="G463">
        <v>21.76</v>
      </c>
      <c r="H463">
        <v>8.7799999999999994</v>
      </c>
      <c r="I463">
        <v>6.49</v>
      </c>
      <c r="J463">
        <v>42.120100000000001</v>
      </c>
      <c r="K463" t="str">
        <f>IFERROR(INDEX(Rosters!$C$2:$C$155,MATCH($B463,Rosters!$B$2:$B$155,0)),"NA")</f>
        <v>NA</v>
      </c>
      <c r="L463" t="str">
        <f t="shared" si="21"/>
        <v>NA7QB</v>
      </c>
      <c r="M463">
        <f>COUNTIF(L$1:L463,L463)</f>
        <v>9</v>
      </c>
      <c r="N463" t="str">
        <f t="shared" si="22"/>
        <v>NA7QB-9</v>
      </c>
      <c r="O463">
        <f>COUNTIFS(F$1:F463,F463,A$1:A463,A463)</f>
        <v>23</v>
      </c>
      <c r="P463" t="str">
        <f t="shared" si="23"/>
        <v>Case Keenum7</v>
      </c>
    </row>
    <row r="464" spans="1:16" x14ac:dyDescent="0.25">
      <c r="A464">
        <v>8</v>
      </c>
      <c r="B464" t="s">
        <v>1278</v>
      </c>
      <c r="C464" t="s">
        <v>6011</v>
      </c>
      <c r="D464">
        <v>15.27</v>
      </c>
      <c r="E464" t="s">
        <v>36</v>
      </c>
      <c r="F464" t="s">
        <v>15</v>
      </c>
      <c r="G464">
        <v>22.01</v>
      </c>
      <c r="H464">
        <v>8.5299999999999994</v>
      </c>
      <c r="I464">
        <v>6.74</v>
      </c>
      <c r="J464">
        <v>45.427599999999998</v>
      </c>
      <c r="K464" t="str">
        <f>IFERROR(INDEX(Rosters!$C$2:$C$155,MATCH($B464,Rosters!$B$2:$B$155,0)),"NA")</f>
        <v>NA</v>
      </c>
      <c r="L464" t="str">
        <f t="shared" si="21"/>
        <v>NA8QB</v>
      </c>
      <c r="M464">
        <f>COUNTIF(L$1:L464,L464)</f>
        <v>6</v>
      </c>
      <c r="N464" t="str">
        <f t="shared" si="22"/>
        <v>NA8QB-6</v>
      </c>
      <c r="O464">
        <f>COUNTIFS(F$1:F464,F464,A$1:A464,A464)</f>
        <v>19</v>
      </c>
      <c r="P464" t="str">
        <f t="shared" si="23"/>
        <v>Ryan Tannehill8</v>
      </c>
    </row>
    <row r="465" spans="1:16" x14ac:dyDescent="0.25">
      <c r="A465">
        <v>2</v>
      </c>
      <c r="B465" t="s">
        <v>1627</v>
      </c>
      <c r="C465" t="s">
        <v>3552</v>
      </c>
      <c r="D465">
        <v>15.24</v>
      </c>
      <c r="E465" t="s">
        <v>36</v>
      </c>
      <c r="F465" t="s">
        <v>15</v>
      </c>
      <c r="G465">
        <v>21.02</v>
      </c>
      <c r="H465">
        <v>9.4600000000000009</v>
      </c>
      <c r="I465">
        <v>5.78</v>
      </c>
      <c r="J465">
        <v>33.4084</v>
      </c>
      <c r="K465" t="str">
        <f>IFERROR(INDEX(Rosters!$C$2:$C$155,MATCH($B465,Rosters!$B$2:$B$155,0)),"NA")</f>
        <v>NA</v>
      </c>
      <c r="L465" t="str">
        <f t="shared" si="21"/>
        <v>NA2QB</v>
      </c>
      <c r="M465">
        <f>COUNTIF(L$1:L465,L465)</f>
        <v>8</v>
      </c>
      <c r="N465" t="str">
        <f t="shared" si="22"/>
        <v>NA2QB-8</v>
      </c>
      <c r="O465">
        <f>COUNTIFS(F$1:F465,F465,A$1:A465,A465)</f>
        <v>22</v>
      </c>
      <c r="P465" t="str">
        <f t="shared" si="23"/>
        <v>Blaine Gabbert2</v>
      </c>
    </row>
    <row r="466" spans="1:16" x14ac:dyDescent="0.25">
      <c r="A466">
        <v>8</v>
      </c>
      <c r="B466" t="s">
        <v>1277</v>
      </c>
      <c r="C466" t="s">
        <v>6012</v>
      </c>
      <c r="D466">
        <v>15.24</v>
      </c>
      <c r="E466" t="s">
        <v>423</v>
      </c>
      <c r="F466" t="s">
        <v>15</v>
      </c>
      <c r="G466">
        <v>22.22</v>
      </c>
      <c r="H466">
        <v>8.26</v>
      </c>
      <c r="I466">
        <v>6.98</v>
      </c>
      <c r="J466">
        <v>48.720399999999998</v>
      </c>
      <c r="K466" t="str">
        <f>IFERROR(INDEX(Rosters!$C$2:$C$155,MATCH($B466,Rosters!$B$2:$B$155,0)),"NA")</f>
        <v>NA</v>
      </c>
      <c r="L466" t="str">
        <f t="shared" si="21"/>
        <v>NA8QB</v>
      </c>
      <c r="M466">
        <f>COUNTIF(L$1:L466,L466)</f>
        <v>7</v>
      </c>
      <c r="N466" t="str">
        <f t="shared" si="22"/>
        <v>NA8QB-7</v>
      </c>
      <c r="O466">
        <f>COUNTIFS(F$1:F466,F466,A$1:A466,A466)</f>
        <v>20</v>
      </c>
      <c r="P466" t="str">
        <f t="shared" si="23"/>
        <v>Josh Allen8</v>
      </c>
    </row>
    <row r="467" spans="1:16" x14ac:dyDescent="0.25">
      <c r="A467">
        <v>8</v>
      </c>
      <c r="B467" t="s">
        <v>1506</v>
      </c>
      <c r="C467" t="s">
        <v>6013</v>
      </c>
      <c r="D467">
        <v>15.24</v>
      </c>
      <c r="E467" t="s">
        <v>30</v>
      </c>
      <c r="F467" t="s">
        <v>15</v>
      </c>
      <c r="G467">
        <v>21.55</v>
      </c>
      <c r="H467">
        <v>8.93</v>
      </c>
      <c r="I467">
        <v>6.31</v>
      </c>
      <c r="J467">
        <v>39.816099999999999</v>
      </c>
      <c r="K467" t="str">
        <f>IFERROR(INDEX(Rosters!$C$2:$C$155,MATCH($B467,Rosters!$B$2:$B$155,0)),"NA")</f>
        <v>NA</v>
      </c>
      <c r="L467" t="str">
        <f t="shared" si="21"/>
        <v>NA8QB</v>
      </c>
      <c r="M467">
        <f>COUNTIF(L$1:L467,L467)</f>
        <v>8</v>
      </c>
      <c r="N467" t="str">
        <f t="shared" si="22"/>
        <v>NA8QB-8</v>
      </c>
      <c r="O467">
        <f>COUNTIFS(F$1:F467,F467,A$1:A467,A467)</f>
        <v>21</v>
      </c>
      <c r="P467" t="str">
        <f t="shared" si="23"/>
        <v>Josh Rosen8</v>
      </c>
    </row>
    <row r="468" spans="1:16" x14ac:dyDescent="0.25">
      <c r="A468">
        <v>17</v>
      </c>
      <c r="B468" t="s">
        <v>1277</v>
      </c>
      <c r="C468" t="s">
        <v>6014</v>
      </c>
      <c r="D468">
        <v>15.23</v>
      </c>
      <c r="E468" t="s">
        <v>19</v>
      </c>
      <c r="F468" t="s">
        <v>15</v>
      </c>
      <c r="G468">
        <v>22.26</v>
      </c>
      <c r="H468">
        <v>8.1999999999999993</v>
      </c>
      <c r="I468">
        <v>7.03</v>
      </c>
      <c r="J468">
        <v>49.420900000000003</v>
      </c>
      <c r="K468" t="str">
        <f>IFERROR(INDEX(Rosters!$C$2:$C$155,MATCH($B468,Rosters!$B$2:$B$155,0)),"NA")</f>
        <v>NA</v>
      </c>
      <c r="L468" t="str">
        <f t="shared" si="21"/>
        <v>NA17QB</v>
      </c>
      <c r="M468">
        <f>COUNTIF(L$1:L468,L468)</f>
        <v>9</v>
      </c>
      <c r="N468" t="str">
        <f t="shared" si="22"/>
        <v>NA17QB-9</v>
      </c>
      <c r="O468">
        <f>COUNTIFS(F$1:F468,F468,A$1:A468,A468)</f>
        <v>24</v>
      </c>
      <c r="P468" t="str">
        <f t="shared" si="23"/>
        <v>Josh Allen17</v>
      </c>
    </row>
    <row r="469" spans="1:16" x14ac:dyDescent="0.25">
      <c r="A469">
        <v>1</v>
      </c>
      <c r="B469" t="s">
        <v>26</v>
      </c>
      <c r="C469" t="s">
        <v>1286</v>
      </c>
      <c r="D469">
        <v>15.23</v>
      </c>
      <c r="E469" t="s">
        <v>50</v>
      </c>
      <c r="F469" t="s">
        <v>15</v>
      </c>
      <c r="G469">
        <v>21.53</v>
      </c>
      <c r="H469">
        <v>8.93</v>
      </c>
      <c r="I469">
        <v>6.3</v>
      </c>
      <c r="J469">
        <v>39.69</v>
      </c>
      <c r="K469" t="str">
        <f>IFERROR(INDEX(Rosters!$C$2:$C$155,MATCH($B469,Rosters!$B$2:$B$155,0)),"NA")</f>
        <v>aj</v>
      </c>
      <c r="L469" t="str">
        <f t="shared" si="21"/>
        <v>aj1QB</v>
      </c>
      <c r="M469">
        <f>COUNTIF(L$1:L469,L469)</f>
        <v>2</v>
      </c>
      <c r="N469" t="str">
        <f t="shared" si="22"/>
        <v>aj1QB-2</v>
      </c>
      <c r="O469">
        <f>COUNTIFS(F$1:F469,F469,A$1:A469,A469)</f>
        <v>17</v>
      </c>
      <c r="P469" t="str">
        <f t="shared" si="23"/>
        <v>Matt Ryan1</v>
      </c>
    </row>
    <row r="470" spans="1:16" x14ac:dyDescent="0.25">
      <c r="A470">
        <v>16</v>
      </c>
      <c r="B470" t="s">
        <v>1275</v>
      </c>
      <c r="C470" t="s">
        <v>6015</v>
      </c>
      <c r="D470">
        <v>15.22</v>
      </c>
      <c r="E470" t="s">
        <v>41</v>
      </c>
      <c r="F470" t="s">
        <v>15</v>
      </c>
      <c r="G470">
        <v>21.79</v>
      </c>
      <c r="H470">
        <v>8.65</v>
      </c>
      <c r="I470">
        <v>6.57</v>
      </c>
      <c r="J470">
        <v>43.164900000000003</v>
      </c>
      <c r="K470" t="str">
        <f>IFERROR(INDEX(Rosters!$C$2:$C$155,MATCH($B470,Rosters!$B$2:$B$155,0)),"NA")</f>
        <v>NA</v>
      </c>
      <c r="L470" t="str">
        <f t="shared" si="21"/>
        <v>NA16QB</v>
      </c>
      <c r="M470">
        <f>COUNTIF(L$1:L470,L470)</f>
        <v>10</v>
      </c>
      <c r="N470" t="str">
        <f t="shared" si="22"/>
        <v>NA16QB-10</v>
      </c>
      <c r="O470">
        <f>COUNTIFS(F$1:F470,F470,A$1:A470,A470)</f>
        <v>26</v>
      </c>
      <c r="P470" t="str">
        <f t="shared" si="23"/>
        <v>Sam Darnold16</v>
      </c>
    </row>
    <row r="471" spans="1:16" x14ac:dyDescent="0.25">
      <c r="A471">
        <v>17</v>
      </c>
      <c r="B471" t="s">
        <v>82</v>
      </c>
      <c r="C471" t="s">
        <v>6016</v>
      </c>
      <c r="D471">
        <v>15.19</v>
      </c>
      <c r="E471" t="s">
        <v>52</v>
      </c>
      <c r="F471" t="s">
        <v>15</v>
      </c>
      <c r="G471">
        <v>21.67</v>
      </c>
      <c r="H471">
        <v>8.7100000000000009</v>
      </c>
      <c r="I471">
        <v>6.48</v>
      </c>
      <c r="J471">
        <v>41.990400000000001</v>
      </c>
      <c r="K471" t="str">
        <f>IFERROR(INDEX(Rosters!$C$2:$C$155,MATCH($B471,Rosters!$B$2:$B$155,0)),"NA")</f>
        <v>NA</v>
      </c>
      <c r="L471" t="str">
        <f t="shared" si="21"/>
        <v>NA17QB</v>
      </c>
      <c r="M471">
        <f>COUNTIF(L$1:L471,L471)</f>
        <v>10</v>
      </c>
      <c r="N471" t="str">
        <f t="shared" si="22"/>
        <v>NA17QB-10</v>
      </c>
      <c r="O471">
        <f>COUNTIFS(F$1:F471,F471,A$1:A471,A471)</f>
        <v>25</v>
      </c>
      <c r="P471" t="str">
        <f t="shared" si="23"/>
        <v>Joe Flacco17</v>
      </c>
    </row>
    <row r="472" spans="1:16" x14ac:dyDescent="0.25">
      <c r="A472">
        <v>5</v>
      </c>
      <c r="B472" t="s">
        <v>154</v>
      </c>
      <c r="C472" t="s">
        <v>6017</v>
      </c>
      <c r="D472">
        <v>15.17</v>
      </c>
      <c r="E472" t="s">
        <v>32</v>
      </c>
      <c r="F472" t="s">
        <v>87</v>
      </c>
      <c r="G472">
        <v>22</v>
      </c>
      <c r="H472">
        <v>8.34</v>
      </c>
      <c r="I472">
        <v>6.83</v>
      </c>
      <c r="J472">
        <v>46.648899999999998</v>
      </c>
      <c r="K472" t="str">
        <f>IFERROR(INDEX(Rosters!$C$2:$C$155,MATCH($B472,Rosters!$B$2:$B$155,0)),"NA")</f>
        <v>chad</v>
      </c>
      <c r="L472" t="str">
        <f t="shared" si="21"/>
        <v>chad5WR</v>
      </c>
      <c r="M472">
        <f>COUNTIF(L$1:L472,L472)</f>
        <v>1</v>
      </c>
      <c r="N472" t="str">
        <f t="shared" si="22"/>
        <v>chad5WR-1</v>
      </c>
      <c r="O472">
        <f>COUNTIFS(F$1:F472,F472,A$1:A472,A472)</f>
        <v>3</v>
      </c>
      <c r="P472" t="str">
        <f t="shared" si="23"/>
        <v>Keenan Allen5</v>
      </c>
    </row>
    <row r="473" spans="1:16" x14ac:dyDescent="0.25">
      <c r="A473">
        <v>11</v>
      </c>
      <c r="B473" t="s">
        <v>291</v>
      </c>
      <c r="C473" t="s">
        <v>6018</v>
      </c>
      <c r="D473">
        <v>15.15</v>
      </c>
      <c r="E473" t="s">
        <v>25</v>
      </c>
      <c r="F473" t="s">
        <v>15</v>
      </c>
      <c r="G473">
        <v>21.14</v>
      </c>
      <c r="H473">
        <v>9.16</v>
      </c>
      <c r="I473">
        <v>5.99</v>
      </c>
      <c r="J473">
        <v>35.880099999999999</v>
      </c>
      <c r="K473" t="str">
        <f>IFERROR(INDEX(Rosters!$C$2:$C$155,MATCH($B473,Rosters!$B$2:$B$155,0)),"NA")</f>
        <v>NA</v>
      </c>
      <c r="L473" t="str">
        <f t="shared" si="21"/>
        <v>NA11QB</v>
      </c>
      <c r="M473">
        <f>COUNTIF(L$1:L473,L473)</f>
        <v>10</v>
      </c>
      <c r="N473" t="str">
        <f t="shared" si="22"/>
        <v>NA11QB-10</v>
      </c>
      <c r="O473">
        <f>COUNTIFS(F$1:F473,F473,A$1:A473,A473)</f>
        <v>24</v>
      </c>
      <c r="P473" t="str">
        <f t="shared" si="23"/>
        <v>Mitchell Trubisky11</v>
      </c>
    </row>
    <row r="474" spans="1:16" x14ac:dyDescent="0.25">
      <c r="A474">
        <v>14</v>
      </c>
      <c r="B474" t="s">
        <v>1506</v>
      </c>
      <c r="C474" t="s">
        <v>6019</v>
      </c>
      <c r="D474">
        <v>15.13</v>
      </c>
      <c r="E474" t="s">
        <v>34</v>
      </c>
      <c r="F474" t="s">
        <v>15</v>
      </c>
      <c r="G474">
        <v>21.32</v>
      </c>
      <c r="H474">
        <v>8.94</v>
      </c>
      <c r="I474">
        <v>6.19</v>
      </c>
      <c r="J474">
        <v>38.316099999999999</v>
      </c>
      <c r="K474" t="str">
        <f>IFERROR(INDEX(Rosters!$C$2:$C$155,MATCH($B474,Rosters!$B$2:$B$155,0)),"NA")</f>
        <v>NA</v>
      </c>
      <c r="L474" t="str">
        <f t="shared" si="21"/>
        <v>NA14QB</v>
      </c>
      <c r="M474">
        <f>COUNTIF(L$1:L474,L474)</f>
        <v>8</v>
      </c>
      <c r="N474" t="str">
        <f t="shared" si="22"/>
        <v>NA14QB-8</v>
      </c>
      <c r="O474">
        <f>COUNTIFS(F$1:F474,F474,A$1:A474,A474)</f>
        <v>23</v>
      </c>
      <c r="P474" t="str">
        <f t="shared" si="23"/>
        <v>Josh Rosen14</v>
      </c>
    </row>
    <row r="475" spans="1:16" x14ac:dyDescent="0.25">
      <c r="A475">
        <v>10</v>
      </c>
      <c r="B475" t="s">
        <v>70</v>
      </c>
      <c r="C475" t="s">
        <v>6020</v>
      </c>
      <c r="D475">
        <v>15.13</v>
      </c>
      <c r="E475" t="s">
        <v>72</v>
      </c>
      <c r="F475" t="s">
        <v>15</v>
      </c>
      <c r="G475">
        <v>20.87</v>
      </c>
      <c r="H475">
        <v>9.39</v>
      </c>
      <c r="I475">
        <v>5.74</v>
      </c>
      <c r="J475">
        <v>32.947600000000001</v>
      </c>
      <c r="K475" t="str">
        <f>IFERROR(INDEX(Rosters!$C$2:$C$155,MATCH($B475,Rosters!$B$2:$B$155,0)),"NA")</f>
        <v>aj</v>
      </c>
      <c r="L475" t="str">
        <f t="shared" si="21"/>
        <v>aj10QB</v>
      </c>
      <c r="M475">
        <f>COUNTIF(L$1:L475,L475)</f>
        <v>2</v>
      </c>
      <c r="N475" t="str">
        <f t="shared" si="22"/>
        <v>aj10QB-2</v>
      </c>
      <c r="O475">
        <f>COUNTIFS(F$1:F475,F475,A$1:A475,A475)</f>
        <v>22</v>
      </c>
      <c r="P475" t="str">
        <f t="shared" si="23"/>
        <v>Matthew Stafford10</v>
      </c>
    </row>
    <row r="476" spans="1:16" x14ac:dyDescent="0.25">
      <c r="A476">
        <v>13</v>
      </c>
      <c r="B476" t="s">
        <v>291</v>
      </c>
      <c r="C476" t="s">
        <v>6021</v>
      </c>
      <c r="D476">
        <v>15.13</v>
      </c>
      <c r="E476" t="s">
        <v>54</v>
      </c>
      <c r="F476" t="s">
        <v>15</v>
      </c>
      <c r="G476">
        <v>22.44</v>
      </c>
      <c r="H476">
        <v>7.82</v>
      </c>
      <c r="I476">
        <v>7.31</v>
      </c>
      <c r="J476">
        <v>53.436100000000003</v>
      </c>
      <c r="K476" t="str">
        <f>IFERROR(INDEX(Rosters!$C$2:$C$155,MATCH($B476,Rosters!$B$2:$B$155,0)),"NA")</f>
        <v>NA</v>
      </c>
      <c r="L476" t="str">
        <f t="shared" si="21"/>
        <v>NA13QB</v>
      </c>
      <c r="M476">
        <f>COUNTIF(L$1:L476,L476)</f>
        <v>8</v>
      </c>
      <c r="N476" t="str">
        <f t="shared" si="22"/>
        <v>NA13QB-8</v>
      </c>
      <c r="O476">
        <f>COUNTIFS(F$1:F476,F476,A$1:A476,A476)</f>
        <v>24</v>
      </c>
      <c r="P476" t="str">
        <f t="shared" si="23"/>
        <v>Mitchell Trubisky13</v>
      </c>
    </row>
    <row r="477" spans="1:16" x14ac:dyDescent="0.25">
      <c r="A477">
        <v>14</v>
      </c>
      <c r="B477" t="s">
        <v>45</v>
      </c>
      <c r="C477" t="s">
        <v>6022</v>
      </c>
      <c r="D477">
        <v>15.11</v>
      </c>
      <c r="E477" t="s">
        <v>34</v>
      </c>
      <c r="F477" t="s">
        <v>47</v>
      </c>
      <c r="G477">
        <v>26.97</v>
      </c>
      <c r="H477">
        <v>3.25</v>
      </c>
      <c r="I477">
        <v>11.86</v>
      </c>
      <c r="J477">
        <v>140.65960000000001</v>
      </c>
      <c r="K477" t="str">
        <f>IFERROR(INDEX(Rosters!$C$2:$C$155,MATCH($B477,Rosters!$B$2:$B$155,0)),"NA")</f>
        <v>matty</v>
      </c>
      <c r="L477" t="str">
        <f t="shared" si="21"/>
        <v>matty14RB</v>
      </c>
      <c r="M477">
        <f>COUNTIF(L$1:L477,L477)</f>
        <v>2</v>
      </c>
      <c r="N477" t="str">
        <f t="shared" si="22"/>
        <v>matty14RB-2</v>
      </c>
      <c r="O477">
        <f>COUNTIFS(F$1:F477,F477,A$1:A477,A477)</f>
        <v>6</v>
      </c>
      <c r="P477" t="str">
        <f t="shared" si="23"/>
        <v>David Johnson14</v>
      </c>
    </row>
    <row r="478" spans="1:16" x14ac:dyDescent="0.25">
      <c r="A478">
        <v>4</v>
      </c>
      <c r="B478" t="s">
        <v>110</v>
      </c>
      <c r="C478" t="s">
        <v>4426</v>
      </c>
      <c r="D478">
        <v>15.1</v>
      </c>
      <c r="E478" t="s">
        <v>54</v>
      </c>
      <c r="F478" t="s">
        <v>87</v>
      </c>
      <c r="G478">
        <v>22.99</v>
      </c>
      <c r="H478">
        <v>7.21</v>
      </c>
      <c r="I478">
        <v>7.89</v>
      </c>
      <c r="J478">
        <v>62.252099999999999</v>
      </c>
      <c r="K478" t="str">
        <f>IFERROR(INDEX(Rosters!$C$2:$C$155,MATCH($B478,Rosters!$B$2:$B$155,0)),"NA")</f>
        <v>cory</v>
      </c>
      <c r="L478" t="str">
        <f t="shared" si="21"/>
        <v>cory4WR</v>
      </c>
      <c r="M478">
        <f>COUNTIF(L$1:L478,L478)</f>
        <v>1</v>
      </c>
      <c r="N478" t="str">
        <f t="shared" si="22"/>
        <v>cory4WR-1</v>
      </c>
      <c r="O478">
        <f>COUNTIFS(F$1:F478,F478,A$1:A478,A478)</f>
        <v>3</v>
      </c>
      <c r="P478" t="str">
        <f t="shared" si="23"/>
        <v>Michael Thomas4</v>
      </c>
    </row>
    <row r="479" spans="1:16" x14ac:dyDescent="0.25">
      <c r="A479">
        <v>8</v>
      </c>
      <c r="B479" t="s">
        <v>45</v>
      </c>
      <c r="C479" t="s">
        <v>6023</v>
      </c>
      <c r="D479">
        <v>15.09</v>
      </c>
      <c r="E479" t="s">
        <v>30</v>
      </c>
      <c r="F479" t="s">
        <v>47</v>
      </c>
      <c r="G479">
        <v>26.38</v>
      </c>
      <c r="H479">
        <v>3.8</v>
      </c>
      <c r="I479">
        <v>11.29</v>
      </c>
      <c r="J479">
        <v>127.4641</v>
      </c>
      <c r="K479" t="str">
        <f>IFERROR(INDEX(Rosters!$C$2:$C$155,MATCH($B479,Rosters!$B$2:$B$155,0)),"NA")</f>
        <v>matty</v>
      </c>
      <c r="L479" t="str">
        <f t="shared" si="21"/>
        <v>matty8RB</v>
      </c>
      <c r="M479">
        <f>COUNTIF(L$1:L479,L479)</f>
        <v>1</v>
      </c>
      <c r="N479" t="str">
        <f t="shared" si="22"/>
        <v>matty8RB-1</v>
      </c>
      <c r="O479">
        <f>COUNTIFS(F$1:F479,F479,A$1:A479,A479)</f>
        <v>5</v>
      </c>
      <c r="P479" t="str">
        <f t="shared" si="23"/>
        <v>David Johnson8</v>
      </c>
    </row>
    <row r="480" spans="1:16" x14ac:dyDescent="0.25">
      <c r="A480">
        <v>6</v>
      </c>
      <c r="B480" t="s">
        <v>1275</v>
      </c>
      <c r="C480" t="s">
        <v>6024</v>
      </c>
      <c r="D480">
        <v>15.09</v>
      </c>
      <c r="E480" t="s">
        <v>66</v>
      </c>
      <c r="F480" t="s">
        <v>15</v>
      </c>
      <c r="G480">
        <v>21.31</v>
      </c>
      <c r="H480">
        <v>8.8699999999999992</v>
      </c>
      <c r="I480">
        <v>6.22</v>
      </c>
      <c r="J480">
        <v>38.688400000000001</v>
      </c>
      <c r="K480" t="str">
        <f>IFERROR(INDEX(Rosters!$C$2:$C$155,MATCH($B480,Rosters!$B$2:$B$155,0)),"NA")</f>
        <v>NA</v>
      </c>
      <c r="L480" t="str">
        <f t="shared" si="21"/>
        <v>NA6QB</v>
      </c>
      <c r="M480">
        <f>COUNTIF(L$1:L480,L480)</f>
        <v>9</v>
      </c>
      <c r="N480" t="str">
        <f t="shared" si="22"/>
        <v>NA6QB-9</v>
      </c>
      <c r="O480">
        <f>COUNTIFS(F$1:F480,F480,A$1:A480,A480)</f>
        <v>23</v>
      </c>
      <c r="P480" t="str">
        <f t="shared" si="23"/>
        <v>Sam Darnold6</v>
      </c>
    </row>
    <row r="481" spans="1:16" x14ac:dyDescent="0.25">
      <c r="A481">
        <v>17</v>
      </c>
      <c r="B481" t="s">
        <v>96</v>
      </c>
      <c r="C481" t="s">
        <v>6025</v>
      </c>
      <c r="D481">
        <v>15.07</v>
      </c>
      <c r="E481" t="s">
        <v>31</v>
      </c>
      <c r="F481" t="s">
        <v>87</v>
      </c>
      <c r="G481">
        <v>23.49</v>
      </c>
      <c r="H481">
        <v>6.65</v>
      </c>
      <c r="I481">
        <v>8.42</v>
      </c>
      <c r="J481">
        <v>70.8964</v>
      </c>
      <c r="K481" t="str">
        <f>IFERROR(INDEX(Rosters!$C$2:$C$155,MATCH($B481,Rosters!$B$2:$B$155,0)),"NA")</f>
        <v>comp</v>
      </c>
      <c r="L481" t="str">
        <f t="shared" si="21"/>
        <v>comp17WR</v>
      </c>
      <c r="M481">
        <f>COUNTIF(L$1:L481,L481)</f>
        <v>1</v>
      </c>
      <c r="N481" t="str">
        <f t="shared" si="22"/>
        <v>comp17WR-1</v>
      </c>
      <c r="O481">
        <f>COUNTIFS(F$1:F481,F481,A$1:A481,A481)</f>
        <v>1</v>
      </c>
      <c r="P481" t="str">
        <f t="shared" si="23"/>
        <v>Antonio Brown17</v>
      </c>
    </row>
    <row r="482" spans="1:16" x14ac:dyDescent="0.25">
      <c r="A482">
        <v>7</v>
      </c>
      <c r="B482" t="s">
        <v>1278</v>
      </c>
      <c r="C482" t="s">
        <v>6026</v>
      </c>
      <c r="D482">
        <v>15.05</v>
      </c>
      <c r="E482" t="s">
        <v>34</v>
      </c>
      <c r="F482" t="s">
        <v>15</v>
      </c>
      <c r="G482">
        <v>21.19</v>
      </c>
      <c r="H482">
        <v>8.91</v>
      </c>
      <c r="I482">
        <v>6.14</v>
      </c>
      <c r="J482">
        <v>37.699599999999997</v>
      </c>
      <c r="K482" t="str">
        <f>IFERROR(INDEX(Rosters!$C$2:$C$155,MATCH($B482,Rosters!$B$2:$B$155,0)),"NA")</f>
        <v>NA</v>
      </c>
      <c r="L482" t="str">
        <f t="shared" si="21"/>
        <v>NA7QB</v>
      </c>
      <c r="M482">
        <f>COUNTIF(L$1:L482,L482)</f>
        <v>10</v>
      </c>
      <c r="N482" t="str">
        <f t="shared" si="22"/>
        <v>NA7QB-10</v>
      </c>
      <c r="O482">
        <f>COUNTIFS(F$1:F482,F482,A$1:A482,A482)</f>
        <v>24</v>
      </c>
      <c r="P482" t="str">
        <f t="shared" si="23"/>
        <v>Ryan Tannehill7</v>
      </c>
    </row>
    <row r="483" spans="1:16" x14ac:dyDescent="0.25">
      <c r="A483">
        <v>8</v>
      </c>
      <c r="B483" t="s">
        <v>80</v>
      </c>
      <c r="C483" t="s">
        <v>6027</v>
      </c>
      <c r="D483">
        <v>15.04</v>
      </c>
      <c r="E483" t="s">
        <v>76</v>
      </c>
      <c r="F483" t="s">
        <v>15</v>
      </c>
      <c r="G483">
        <v>23.46</v>
      </c>
      <c r="H483">
        <v>6.62</v>
      </c>
      <c r="I483">
        <v>8.42</v>
      </c>
      <c r="J483">
        <v>70.8964</v>
      </c>
      <c r="K483" t="str">
        <f>IFERROR(INDEX(Rosters!$C$2:$C$155,MATCH($B483,Rosters!$B$2:$B$155,0)),"NA")</f>
        <v>perry</v>
      </c>
      <c r="L483" t="str">
        <f t="shared" si="21"/>
        <v>perry8QB</v>
      </c>
      <c r="M483">
        <f>COUNTIF(L$1:L483,L483)</f>
        <v>1</v>
      </c>
      <c r="N483" t="str">
        <f t="shared" si="22"/>
        <v>perry8QB-1</v>
      </c>
      <c r="O483">
        <f>COUNTIFS(F$1:F483,F483,A$1:A483,A483)</f>
        <v>22</v>
      </c>
      <c r="P483" t="str">
        <f t="shared" si="23"/>
        <v>Carson Wentz8</v>
      </c>
    </row>
    <row r="484" spans="1:16" x14ac:dyDescent="0.25">
      <c r="A484">
        <v>1</v>
      </c>
      <c r="B484" t="s">
        <v>59</v>
      </c>
      <c r="C484" t="s">
        <v>3309</v>
      </c>
      <c r="D484">
        <v>15.04</v>
      </c>
      <c r="E484" t="s">
        <v>74</v>
      </c>
      <c r="F484" t="s">
        <v>15</v>
      </c>
      <c r="G484">
        <v>23.43</v>
      </c>
      <c r="H484">
        <v>6.65</v>
      </c>
      <c r="I484">
        <v>8.39</v>
      </c>
      <c r="J484">
        <v>70.392099999999999</v>
      </c>
      <c r="K484" t="str">
        <f>IFERROR(INDEX(Rosters!$C$2:$C$155,MATCH($B484,Rosters!$B$2:$B$155,0)),"NA")</f>
        <v>NA</v>
      </c>
      <c r="L484" t="str">
        <f t="shared" si="21"/>
        <v>NA1QB</v>
      </c>
      <c r="M484">
        <f>COUNTIF(L$1:L484,L484)</f>
        <v>5</v>
      </c>
      <c r="N484" t="str">
        <f t="shared" si="22"/>
        <v>NA1QB-5</v>
      </c>
      <c r="O484">
        <f>COUNTIFS(F$1:F484,F484,A$1:A484,A484)</f>
        <v>18</v>
      </c>
      <c r="P484" t="str">
        <f t="shared" si="23"/>
        <v>Dak Prescott1</v>
      </c>
    </row>
    <row r="485" spans="1:16" x14ac:dyDescent="0.25">
      <c r="A485">
        <v>11</v>
      </c>
      <c r="B485" t="s">
        <v>92</v>
      </c>
      <c r="C485" t="s">
        <v>6028</v>
      </c>
      <c r="D485">
        <v>15.02</v>
      </c>
      <c r="E485" t="s">
        <v>42</v>
      </c>
      <c r="F485" t="s">
        <v>47</v>
      </c>
      <c r="G485">
        <v>22.22</v>
      </c>
      <c r="H485">
        <v>7.82</v>
      </c>
      <c r="I485">
        <v>7.2</v>
      </c>
      <c r="J485">
        <v>51.84</v>
      </c>
      <c r="K485" t="str">
        <f>IFERROR(INDEX(Rosters!$C$2:$C$155,MATCH($B485,Rosters!$B$2:$B$155,0)),"NA")</f>
        <v>matty</v>
      </c>
      <c r="L485" t="str">
        <f t="shared" si="21"/>
        <v>matty11RB</v>
      </c>
      <c r="M485">
        <f>COUNTIF(L$1:L485,L485)</f>
        <v>1</v>
      </c>
      <c r="N485" t="str">
        <f t="shared" si="22"/>
        <v>matty11RB-1</v>
      </c>
      <c r="O485">
        <f>COUNTIFS(F$1:F485,F485,A$1:A485,A485)</f>
        <v>5</v>
      </c>
      <c r="P485" t="str">
        <f t="shared" si="23"/>
        <v>Melvin Gordon11</v>
      </c>
    </row>
    <row r="486" spans="1:16" x14ac:dyDescent="0.25">
      <c r="A486">
        <v>7</v>
      </c>
      <c r="B486" t="s">
        <v>1275</v>
      </c>
      <c r="C486" t="s">
        <v>6029</v>
      </c>
      <c r="D486">
        <v>15</v>
      </c>
      <c r="E486" t="s">
        <v>25</v>
      </c>
      <c r="F486" t="s">
        <v>15</v>
      </c>
      <c r="G486">
        <v>21.8</v>
      </c>
      <c r="H486">
        <v>8.1999999999999993</v>
      </c>
      <c r="I486">
        <v>6.8</v>
      </c>
      <c r="J486">
        <v>46.24</v>
      </c>
      <c r="K486" t="str">
        <f>IFERROR(INDEX(Rosters!$C$2:$C$155,MATCH($B486,Rosters!$B$2:$B$155,0)),"NA")</f>
        <v>NA</v>
      </c>
      <c r="L486" t="str">
        <f t="shared" si="21"/>
        <v>NA7QB</v>
      </c>
      <c r="M486">
        <f>COUNTIF(L$1:L486,L486)</f>
        <v>11</v>
      </c>
      <c r="N486" t="str">
        <f t="shared" si="22"/>
        <v>NA7QB-11</v>
      </c>
      <c r="O486">
        <f>COUNTIFS(F$1:F486,F486,A$1:A486,A486)</f>
        <v>25</v>
      </c>
      <c r="P486" t="str">
        <f t="shared" si="23"/>
        <v>Sam Darnold7</v>
      </c>
    </row>
    <row r="487" spans="1:16" x14ac:dyDescent="0.25">
      <c r="A487">
        <v>4</v>
      </c>
      <c r="B487" t="s">
        <v>86</v>
      </c>
      <c r="C487" t="s">
        <v>4427</v>
      </c>
      <c r="D487">
        <v>14.99</v>
      </c>
      <c r="E487" t="s">
        <v>14</v>
      </c>
      <c r="F487" t="s">
        <v>87</v>
      </c>
      <c r="G487">
        <v>23.16</v>
      </c>
      <c r="H487">
        <v>6.82</v>
      </c>
      <c r="I487">
        <v>8.17</v>
      </c>
      <c r="J487">
        <v>66.748900000000006</v>
      </c>
      <c r="K487" t="str">
        <f>IFERROR(INDEX(Rosters!$C$2:$C$155,MATCH($B487,Rosters!$B$2:$B$155,0)),"NA")</f>
        <v>seth</v>
      </c>
      <c r="L487" t="str">
        <f t="shared" si="21"/>
        <v>seth4WR</v>
      </c>
      <c r="M487">
        <f>COUNTIF(L$1:L487,L487)</f>
        <v>1</v>
      </c>
      <c r="N487" t="str">
        <f t="shared" si="22"/>
        <v>seth4WR-1</v>
      </c>
      <c r="O487">
        <f>COUNTIFS(F$1:F487,F487,A$1:A487,A487)</f>
        <v>4</v>
      </c>
      <c r="P487" t="str">
        <f t="shared" si="23"/>
        <v>Odell Beckham Jr.4</v>
      </c>
    </row>
    <row r="488" spans="1:16" x14ac:dyDescent="0.25">
      <c r="A488">
        <v>1</v>
      </c>
      <c r="B488" t="s">
        <v>120</v>
      </c>
      <c r="C488" t="s">
        <v>3182</v>
      </c>
      <c r="D488">
        <v>14.98</v>
      </c>
      <c r="E488" t="s">
        <v>423</v>
      </c>
      <c r="F488" t="s">
        <v>87</v>
      </c>
      <c r="G488">
        <v>21.58</v>
      </c>
      <c r="H488">
        <v>8.3800000000000008</v>
      </c>
      <c r="I488">
        <v>6.6</v>
      </c>
      <c r="J488">
        <v>43.56</v>
      </c>
      <c r="K488" t="str">
        <f>IFERROR(INDEX(Rosters!$C$2:$C$155,MATCH($B488,Rosters!$B$2:$B$155,0)),"NA")</f>
        <v>aj</v>
      </c>
      <c r="L488" t="str">
        <f t="shared" si="21"/>
        <v>aj1WR</v>
      </c>
      <c r="M488">
        <f>COUNTIF(L$1:L488,L488)</f>
        <v>1</v>
      </c>
      <c r="N488" t="str">
        <f t="shared" si="22"/>
        <v>aj1WR-1</v>
      </c>
      <c r="O488">
        <f>COUNTIFS(F$1:F488,F488,A$1:A488,A488)</f>
        <v>1</v>
      </c>
      <c r="P488" t="str">
        <f t="shared" si="23"/>
        <v>DeAndre Hopkins1</v>
      </c>
    </row>
    <row r="489" spans="1:16" x14ac:dyDescent="0.25">
      <c r="A489">
        <v>1</v>
      </c>
      <c r="B489" t="s">
        <v>95</v>
      </c>
      <c r="C489" t="s">
        <v>1287</v>
      </c>
      <c r="D489">
        <v>14.97</v>
      </c>
      <c r="E489" t="s">
        <v>58</v>
      </c>
      <c r="F489" t="s">
        <v>15</v>
      </c>
      <c r="G489">
        <v>22.22</v>
      </c>
      <c r="H489">
        <v>7.72</v>
      </c>
      <c r="I489">
        <v>7.25</v>
      </c>
      <c r="J489">
        <v>52.5625</v>
      </c>
      <c r="K489" t="str">
        <f>IFERROR(INDEX(Rosters!$C$2:$C$155,MATCH($B489,Rosters!$B$2:$B$155,0)),"NA")</f>
        <v>matty</v>
      </c>
      <c r="L489" t="str">
        <f t="shared" si="21"/>
        <v>matty1QB</v>
      </c>
      <c r="M489">
        <f>COUNTIF(L$1:L489,L489)</f>
        <v>1</v>
      </c>
      <c r="N489" t="str">
        <f t="shared" si="22"/>
        <v>matty1QB-1</v>
      </c>
      <c r="O489">
        <f>COUNTIFS(F$1:F489,F489,A$1:A489,A489)</f>
        <v>19</v>
      </c>
      <c r="P489" t="str">
        <f t="shared" si="23"/>
        <v>Alex Smith1</v>
      </c>
    </row>
    <row r="490" spans="1:16" x14ac:dyDescent="0.25">
      <c r="A490">
        <v>9</v>
      </c>
      <c r="B490" t="s">
        <v>115</v>
      </c>
      <c r="C490" t="s">
        <v>6030</v>
      </c>
      <c r="D490">
        <v>14.97</v>
      </c>
      <c r="E490" t="s">
        <v>52</v>
      </c>
      <c r="F490" t="s">
        <v>47</v>
      </c>
      <c r="G490">
        <v>22.41</v>
      </c>
      <c r="H490">
        <v>7.53</v>
      </c>
      <c r="I490">
        <v>7.44</v>
      </c>
      <c r="J490">
        <v>55.3536</v>
      </c>
      <c r="K490" t="str">
        <f>IFERROR(INDEX(Rosters!$C$2:$C$155,MATCH($B490,Rosters!$B$2:$B$155,0)),"NA")</f>
        <v>scott</v>
      </c>
      <c r="L490" t="str">
        <f t="shared" si="21"/>
        <v>scott9RB</v>
      </c>
      <c r="M490">
        <f>COUNTIF(L$1:L490,L490)</f>
        <v>2</v>
      </c>
      <c r="N490" t="str">
        <f t="shared" si="22"/>
        <v>scott9RB-2</v>
      </c>
      <c r="O490">
        <f>COUNTIFS(F$1:F490,F490,A$1:A490,A490)</f>
        <v>4</v>
      </c>
      <c r="P490" t="str">
        <f t="shared" si="23"/>
        <v>Kareem Hunt9</v>
      </c>
    </row>
    <row r="491" spans="1:16" x14ac:dyDescent="0.25">
      <c r="A491">
        <v>16</v>
      </c>
      <c r="B491" t="s">
        <v>45</v>
      </c>
      <c r="C491" t="s">
        <v>6031</v>
      </c>
      <c r="D491">
        <v>14.96</v>
      </c>
      <c r="E491" t="s">
        <v>56</v>
      </c>
      <c r="F491" t="s">
        <v>47</v>
      </c>
      <c r="G491">
        <v>26.27</v>
      </c>
      <c r="H491">
        <v>3.65</v>
      </c>
      <c r="I491">
        <v>11.31</v>
      </c>
      <c r="J491">
        <v>127.9161</v>
      </c>
      <c r="K491" t="str">
        <f>IFERROR(INDEX(Rosters!$C$2:$C$155,MATCH($B491,Rosters!$B$2:$B$155,0)),"NA")</f>
        <v>matty</v>
      </c>
      <c r="L491" t="str">
        <f t="shared" si="21"/>
        <v>matty16RB</v>
      </c>
      <c r="M491">
        <f>COUNTIF(L$1:L491,L491)</f>
        <v>2</v>
      </c>
      <c r="N491" t="str">
        <f t="shared" si="22"/>
        <v>matty16RB-2</v>
      </c>
      <c r="O491">
        <f>COUNTIFS(F$1:F491,F491,A$1:A491,A491)</f>
        <v>6</v>
      </c>
      <c r="P491" t="str">
        <f t="shared" si="23"/>
        <v>David Johnson16</v>
      </c>
    </row>
    <row r="492" spans="1:16" x14ac:dyDescent="0.25">
      <c r="A492">
        <v>6</v>
      </c>
      <c r="B492" t="s">
        <v>92</v>
      </c>
      <c r="C492" t="s">
        <v>6032</v>
      </c>
      <c r="D492">
        <v>14.94</v>
      </c>
      <c r="E492" t="s">
        <v>52</v>
      </c>
      <c r="F492" t="s">
        <v>47</v>
      </c>
      <c r="G492">
        <v>23.2</v>
      </c>
      <c r="H492">
        <v>6.68</v>
      </c>
      <c r="I492">
        <v>8.26</v>
      </c>
      <c r="J492">
        <v>68.227599999999995</v>
      </c>
      <c r="K492" t="str">
        <f>IFERROR(INDEX(Rosters!$C$2:$C$155,MATCH($B492,Rosters!$B$2:$B$155,0)),"NA")</f>
        <v>matty</v>
      </c>
      <c r="L492" t="str">
        <f t="shared" si="21"/>
        <v>matty6RB</v>
      </c>
      <c r="M492">
        <f>COUNTIF(L$1:L492,L492)</f>
        <v>1</v>
      </c>
      <c r="N492" t="str">
        <f t="shared" si="22"/>
        <v>matty6RB-1</v>
      </c>
      <c r="O492">
        <f>COUNTIFS(F$1:F492,F492,A$1:A492,A492)</f>
        <v>4</v>
      </c>
      <c r="P492" t="str">
        <f t="shared" si="23"/>
        <v>Melvin Gordon6</v>
      </c>
    </row>
    <row r="493" spans="1:16" x14ac:dyDescent="0.25">
      <c r="A493">
        <v>9</v>
      </c>
      <c r="B493" t="s">
        <v>1537</v>
      </c>
      <c r="C493" t="s">
        <v>6033</v>
      </c>
      <c r="D493">
        <v>14.93</v>
      </c>
      <c r="E493" t="s">
        <v>32</v>
      </c>
      <c r="F493" t="s">
        <v>15</v>
      </c>
      <c r="G493">
        <v>22.53</v>
      </c>
      <c r="H493">
        <v>7.33</v>
      </c>
      <c r="I493">
        <v>7.6</v>
      </c>
      <c r="J493">
        <v>57.76</v>
      </c>
      <c r="K493" t="str">
        <f>IFERROR(INDEX(Rosters!$C$2:$C$155,MATCH($B493,Rosters!$B$2:$B$155,0)),"NA")</f>
        <v>NA</v>
      </c>
      <c r="L493" t="str">
        <f t="shared" si="21"/>
        <v>NA9QB</v>
      </c>
      <c r="M493">
        <f>COUNTIF(L$1:L493,L493)</f>
        <v>8</v>
      </c>
      <c r="N493" t="str">
        <f t="shared" si="22"/>
        <v>NA9QB-8</v>
      </c>
      <c r="O493">
        <f>COUNTIFS(F$1:F493,F493,A$1:A493,A493)</f>
        <v>22</v>
      </c>
      <c r="P493" t="str">
        <f t="shared" si="23"/>
        <v>C.J. Beathard9</v>
      </c>
    </row>
    <row r="494" spans="1:16" x14ac:dyDescent="0.25">
      <c r="A494">
        <v>8</v>
      </c>
      <c r="B494" t="s">
        <v>1492</v>
      </c>
      <c r="C494" t="s">
        <v>6034</v>
      </c>
      <c r="D494">
        <v>14.91</v>
      </c>
      <c r="E494" t="s">
        <v>51</v>
      </c>
      <c r="F494" t="s">
        <v>15</v>
      </c>
      <c r="G494">
        <v>22.43</v>
      </c>
      <c r="H494">
        <v>7.39</v>
      </c>
      <c r="I494">
        <v>7.52</v>
      </c>
      <c r="J494">
        <v>56.550400000000003</v>
      </c>
      <c r="K494" t="str">
        <f>IFERROR(INDEX(Rosters!$C$2:$C$155,MATCH($B494,Rosters!$B$2:$B$155,0)),"NA")</f>
        <v>perry</v>
      </c>
      <c r="L494" t="str">
        <f t="shared" si="21"/>
        <v>perry8QB</v>
      </c>
      <c r="M494">
        <f>COUNTIF(L$1:L494,L494)</f>
        <v>2</v>
      </c>
      <c r="N494" t="str">
        <f t="shared" si="22"/>
        <v>perry8QB-2</v>
      </c>
      <c r="O494">
        <f>COUNTIFS(F$1:F494,F494,A$1:A494,A494)</f>
        <v>23</v>
      </c>
      <c r="P494" t="str">
        <f t="shared" si="23"/>
        <v>Baker Mayfield8</v>
      </c>
    </row>
    <row r="495" spans="1:16" x14ac:dyDescent="0.25">
      <c r="A495">
        <v>2</v>
      </c>
      <c r="B495" t="s">
        <v>45</v>
      </c>
      <c r="C495" t="s">
        <v>1794</v>
      </c>
      <c r="D495">
        <v>14.9</v>
      </c>
      <c r="E495" t="s">
        <v>56</v>
      </c>
      <c r="F495" t="s">
        <v>47</v>
      </c>
      <c r="G495">
        <v>24.63</v>
      </c>
      <c r="H495">
        <v>5.17</v>
      </c>
      <c r="I495">
        <v>9.73</v>
      </c>
      <c r="J495">
        <v>94.672899999999998</v>
      </c>
      <c r="K495" t="str">
        <f>IFERROR(INDEX(Rosters!$C$2:$C$155,MATCH($B495,Rosters!$B$2:$B$155,0)),"NA")</f>
        <v>matty</v>
      </c>
      <c r="L495" t="str">
        <f t="shared" si="21"/>
        <v>matty2RB</v>
      </c>
      <c r="M495">
        <f>COUNTIF(L$1:L495,L495)</f>
        <v>2</v>
      </c>
      <c r="N495" t="str">
        <f t="shared" si="22"/>
        <v>matty2RB-2</v>
      </c>
      <c r="O495">
        <f>COUNTIFS(F$1:F495,F495,A$1:A495,A495)</f>
        <v>5</v>
      </c>
      <c r="P495" t="str">
        <f t="shared" si="23"/>
        <v>David Johnson2</v>
      </c>
    </row>
    <row r="496" spans="1:16" x14ac:dyDescent="0.25">
      <c r="A496">
        <v>11</v>
      </c>
      <c r="B496" t="s">
        <v>45</v>
      </c>
      <c r="C496" t="s">
        <v>6035</v>
      </c>
      <c r="D496">
        <v>14.9</v>
      </c>
      <c r="E496" t="s">
        <v>32</v>
      </c>
      <c r="F496" t="s">
        <v>47</v>
      </c>
      <c r="G496">
        <v>26.49</v>
      </c>
      <c r="H496">
        <v>3.31</v>
      </c>
      <c r="I496">
        <v>11.59</v>
      </c>
      <c r="J496">
        <v>134.32810000000001</v>
      </c>
      <c r="K496" t="str">
        <f>IFERROR(INDEX(Rosters!$C$2:$C$155,MATCH($B496,Rosters!$B$2:$B$155,0)),"NA")</f>
        <v>matty</v>
      </c>
      <c r="L496" t="str">
        <f t="shared" si="21"/>
        <v>matty11RB</v>
      </c>
      <c r="M496">
        <f>COUNTIF(L$1:L496,L496)</f>
        <v>2</v>
      </c>
      <c r="N496" t="str">
        <f t="shared" si="22"/>
        <v>matty11RB-2</v>
      </c>
      <c r="O496">
        <f>COUNTIFS(F$1:F496,F496,A$1:A496,A496)</f>
        <v>6</v>
      </c>
      <c r="P496" t="str">
        <f t="shared" si="23"/>
        <v>David Johnson11</v>
      </c>
    </row>
    <row r="497" spans="1:16" x14ac:dyDescent="0.25">
      <c r="A497">
        <v>13</v>
      </c>
      <c r="B497" t="s">
        <v>1506</v>
      </c>
      <c r="C497" t="s">
        <v>6036</v>
      </c>
      <c r="D497">
        <v>14.87</v>
      </c>
      <c r="E497" t="s">
        <v>41</v>
      </c>
      <c r="F497" t="s">
        <v>15</v>
      </c>
      <c r="G497">
        <v>21.14</v>
      </c>
      <c r="H497">
        <v>8.6</v>
      </c>
      <c r="I497">
        <v>6.27</v>
      </c>
      <c r="J497">
        <v>39.312899999999999</v>
      </c>
      <c r="K497" t="str">
        <f>IFERROR(INDEX(Rosters!$C$2:$C$155,MATCH($B497,Rosters!$B$2:$B$155,0)),"NA")</f>
        <v>NA</v>
      </c>
      <c r="L497" t="str">
        <f t="shared" si="21"/>
        <v>NA13QB</v>
      </c>
      <c r="M497">
        <f>COUNTIF(L$1:L497,L497)</f>
        <v>9</v>
      </c>
      <c r="N497" t="str">
        <f t="shared" si="22"/>
        <v>NA13QB-9</v>
      </c>
      <c r="O497">
        <f>COUNTIFS(F$1:F497,F497,A$1:A497,A497)</f>
        <v>25</v>
      </c>
      <c r="P497" t="str">
        <f t="shared" si="23"/>
        <v>Josh Rosen13</v>
      </c>
    </row>
    <row r="498" spans="1:16" x14ac:dyDescent="0.25">
      <c r="A498">
        <v>6</v>
      </c>
      <c r="B498" t="s">
        <v>63</v>
      </c>
      <c r="C498" t="s">
        <v>6037</v>
      </c>
      <c r="D498">
        <v>14.86</v>
      </c>
      <c r="E498" t="s">
        <v>51</v>
      </c>
      <c r="F498" t="s">
        <v>15</v>
      </c>
      <c r="G498">
        <v>21.2</v>
      </c>
      <c r="H498">
        <v>8.52</v>
      </c>
      <c r="I498">
        <v>6.34</v>
      </c>
      <c r="J498">
        <v>40.195599999999999</v>
      </c>
      <c r="K498" t="str">
        <f>IFERROR(INDEX(Rosters!$C$2:$C$155,MATCH($B498,Rosters!$B$2:$B$155,0)),"NA")</f>
        <v>scott</v>
      </c>
      <c r="L498" t="str">
        <f t="shared" si="21"/>
        <v>scott6QB</v>
      </c>
      <c r="M498">
        <f>COUNTIF(L$1:L498,L498)</f>
        <v>1</v>
      </c>
      <c r="N498" t="str">
        <f t="shared" si="22"/>
        <v>scott6QB-1</v>
      </c>
      <c r="O498">
        <f>COUNTIFS(F$1:F498,F498,A$1:A498,A498)</f>
        <v>24</v>
      </c>
      <c r="P498" t="str">
        <f t="shared" si="23"/>
        <v>Andy Dalton6</v>
      </c>
    </row>
    <row r="499" spans="1:16" x14ac:dyDescent="0.25">
      <c r="A499">
        <v>17</v>
      </c>
      <c r="B499" t="s">
        <v>124</v>
      </c>
      <c r="C499" t="s">
        <v>6038</v>
      </c>
      <c r="D499">
        <v>14.86</v>
      </c>
      <c r="E499" t="s">
        <v>32</v>
      </c>
      <c r="F499" t="s">
        <v>87</v>
      </c>
      <c r="G499">
        <v>23.28</v>
      </c>
      <c r="H499">
        <v>6.44</v>
      </c>
      <c r="I499">
        <v>8.42</v>
      </c>
      <c r="J499">
        <v>70.8964</v>
      </c>
      <c r="K499" t="str">
        <f>IFERROR(INDEX(Rosters!$C$2:$C$155,MATCH($B499,Rosters!$B$2:$B$155,0)),"NA")</f>
        <v>matty</v>
      </c>
      <c r="L499" t="str">
        <f t="shared" si="21"/>
        <v>matty17WR</v>
      </c>
      <c r="M499">
        <f>COUNTIF(L$1:L499,L499)</f>
        <v>1</v>
      </c>
      <c r="N499" t="str">
        <f t="shared" si="22"/>
        <v>matty17WR-1</v>
      </c>
      <c r="O499">
        <f>COUNTIFS(F$1:F499,F499,A$1:A499,A499)</f>
        <v>2</v>
      </c>
      <c r="P499" t="str">
        <f t="shared" si="23"/>
        <v>Tyreek Hill17</v>
      </c>
    </row>
    <row r="500" spans="1:16" x14ac:dyDescent="0.25">
      <c r="A500">
        <v>5</v>
      </c>
      <c r="B500" t="s">
        <v>71</v>
      </c>
      <c r="C500" t="s">
        <v>6039</v>
      </c>
      <c r="D500">
        <v>14.83</v>
      </c>
      <c r="E500" t="s">
        <v>37</v>
      </c>
      <c r="F500" t="s">
        <v>15</v>
      </c>
      <c r="G500">
        <v>21.5</v>
      </c>
      <c r="H500">
        <v>8.16</v>
      </c>
      <c r="I500">
        <v>6.67</v>
      </c>
      <c r="J500">
        <v>44.488900000000001</v>
      </c>
      <c r="K500" t="str">
        <f>IFERROR(INDEX(Rosters!$C$2:$C$155,MATCH($B500,Rosters!$B$2:$B$155,0)),"NA")</f>
        <v>NA</v>
      </c>
      <c r="L500" t="str">
        <f t="shared" si="21"/>
        <v>NA5QB</v>
      </c>
      <c r="M500">
        <f>COUNTIF(L$1:L500,L500)</f>
        <v>7</v>
      </c>
      <c r="N500" t="str">
        <f t="shared" si="22"/>
        <v>NA5QB-7</v>
      </c>
      <c r="O500">
        <f>COUNTIFS(F$1:F500,F500,A$1:A500,A500)</f>
        <v>23</v>
      </c>
      <c r="P500" t="str">
        <f t="shared" si="23"/>
        <v>Derek Carr5</v>
      </c>
    </row>
    <row r="501" spans="1:16" x14ac:dyDescent="0.25">
      <c r="A501">
        <v>14</v>
      </c>
      <c r="B501" t="s">
        <v>291</v>
      </c>
      <c r="C501" t="s">
        <v>6040</v>
      </c>
      <c r="D501">
        <v>14.81</v>
      </c>
      <c r="E501" t="s">
        <v>56</v>
      </c>
      <c r="F501" t="s">
        <v>15</v>
      </c>
      <c r="G501">
        <v>21.97</v>
      </c>
      <c r="H501">
        <v>7.65</v>
      </c>
      <c r="I501">
        <v>7.16</v>
      </c>
      <c r="J501">
        <v>51.265599999999999</v>
      </c>
      <c r="K501" t="str">
        <f>IFERROR(INDEX(Rosters!$C$2:$C$155,MATCH($B501,Rosters!$B$2:$B$155,0)),"NA")</f>
        <v>NA</v>
      </c>
      <c r="L501" t="str">
        <f t="shared" si="21"/>
        <v>NA14QB</v>
      </c>
      <c r="M501">
        <f>COUNTIF(L$1:L501,L501)</f>
        <v>9</v>
      </c>
      <c r="N501" t="str">
        <f t="shared" si="22"/>
        <v>NA14QB-9</v>
      </c>
      <c r="O501">
        <f>COUNTIFS(F$1:F501,F501,A$1:A501,A501)</f>
        <v>24</v>
      </c>
      <c r="P501" t="str">
        <f t="shared" si="23"/>
        <v>Mitchell Trubisky14</v>
      </c>
    </row>
    <row r="502" spans="1:16" x14ac:dyDescent="0.25">
      <c r="A502">
        <v>14</v>
      </c>
      <c r="B502" t="s">
        <v>110</v>
      </c>
      <c r="C502" t="s">
        <v>6041</v>
      </c>
      <c r="D502">
        <v>14.79</v>
      </c>
      <c r="E502" t="s">
        <v>17</v>
      </c>
      <c r="F502" t="s">
        <v>87</v>
      </c>
      <c r="G502">
        <v>21.97</v>
      </c>
      <c r="H502">
        <v>7.61</v>
      </c>
      <c r="I502">
        <v>7.18</v>
      </c>
      <c r="J502">
        <v>51.552399999999999</v>
      </c>
      <c r="K502" t="str">
        <f>IFERROR(INDEX(Rosters!$C$2:$C$155,MATCH($B502,Rosters!$B$2:$B$155,0)),"NA")</f>
        <v>cory</v>
      </c>
      <c r="L502" t="str">
        <f t="shared" si="21"/>
        <v>cory14WR</v>
      </c>
      <c r="M502">
        <f>COUNTIF(L$1:L502,L502)</f>
        <v>1</v>
      </c>
      <c r="N502" t="str">
        <f t="shared" si="22"/>
        <v>cory14WR-1</v>
      </c>
      <c r="O502">
        <f>COUNTIFS(F$1:F502,F502,A$1:A502,A502)</f>
        <v>3</v>
      </c>
      <c r="P502" t="str">
        <f t="shared" si="23"/>
        <v>Michael Thomas14</v>
      </c>
    </row>
    <row r="503" spans="1:16" x14ac:dyDescent="0.25">
      <c r="A503">
        <v>6</v>
      </c>
      <c r="B503" t="s">
        <v>69</v>
      </c>
      <c r="C503" t="s">
        <v>6042</v>
      </c>
      <c r="D503">
        <v>14.77</v>
      </c>
      <c r="E503" t="s">
        <v>77</v>
      </c>
      <c r="F503" t="s">
        <v>15</v>
      </c>
      <c r="G503">
        <v>21.77</v>
      </c>
      <c r="H503">
        <v>7.77</v>
      </c>
      <c r="I503">
        <v>7</v>
      </c>
      <c r="J503">
        <v>49</v>
      </c>
      <c r="K503" t="str">
        <f>IFERROR(INDEX(Rosters!$C$2:$C$155,MATCH($B503,Rosters!$B$2:$B$155,0)),"NA")</f>
        <v>NA</v>
      </c>
      <c r="L503" t="str">
        <f t="shared" si="21"/>
        <v>NA6QB</v>
      </c>
      <c r="M503">
        <f>COUNTIF(L$1:L503,L503)</f>
        <v>10</v>
      </c>
      <c r="N503" t="str">
        <f t="shared" si="22"/>
        <v>NA6QB-10</v>
      </c>
      <c r="O503">
        <f>COUNTIFS(F$1:F503,F503,A$1:A503,A503)</f>
        <v>25</v>
      </c>
      <c r="P503" t="str">
        <f t="shared" si="23"/>
        <v>Marcus Mariota6</v>
      </c>
    </row>
    <row r="504" spans="1:16" x14ac:dyDescent="0.25">
      <c r="A504">
        <v>9</v>
      </c>
      <c r="B504" t="s">
        <v>92</v>
      </c>
      <c r="C504" t="s">
        <v>6043</v>
      </c>
      <c r="D504">
        <v>14.77</v>
      </c>
      <c r="E504" t="s">
        <v>28</v>
      </c>
      <c r="F504" t="s">
        <v>47</v>
      </c>
      <c r="G504">
        <v>22.79</v>
      </c>
      <c r="H504">
        <v>6.75</v>
      </c>
      <c r="I504">
        <v>8.02</v>
      </c>
      <c r="J504">
        <v>64.320400000000006</v>
      </c>
      <c r="K504" t="str">
        <f>IFERROR(INDEX(Rosters!$C$2:$C$155,MATCH($B504,Rosters!$B$2:$B$155,0)),"NA")</f>
        <v>matty</v>
      </c>
      <c r="L504" t="str">
        <f t="shared" si="21"/>
        <v>matty9RB</v>
      </c>
      <c r="M504">
        <f>COUNTIF(L$1:L504,L504)</f>
        <v>1</v>
      </c>
      <c r="N504" t="str">
        <f t="shared" si="22"/>
        <v>matty9RB-1</v>
      </c>
      <c r="O504">
        <f>COUNTIFS(F$1:F504,F504,A$1:A504,A504)</f>
        <v>5</v>
      </c>
      <c r="P504" t="str">
        <f t="shared" si="23"/>
        <v>Melvin Gordon9</v>
      </c>
    </row>
    <row r="505" spans="1:16" x14ac:dyDescent="0.25">
      <c r="A505">
        <v>10</v>
      </c>
      <c r="B505" t="s">
        <v>130</v>
      </c>
      <c r="C505" t="s">
        <v>6044</v>
      </c>
      <c r="D505">
        <v>14.75</v>
      </c>
      <c r="E505" t="s">
        <v>46</v>
      </c>
      <c r="F505" t="s">
        <v>47</v>
      </c>
      <c r="G505">
        <v>21.11</v>
      </c>
      <c r="H505">
        <v>8.39</v>
      </c>
      <c r="I505">
        <v>6.36</v>
      </c>
      <c r="J505">
        <v>40.449599999999997</v>
      </c>
      <c r="K505" t="str">
        <f>IFERROR(INDEX(Rosters!$C$2:$C$155,MATCH($B505,Rosters!$B$2:$B$155,0)),"NA")</f>
        <v>cory</v>
      </c>
      <c r="L505" t="str">
        <f t="shared" si="21"/>
        <v>cory10RB</v>
      </c>
      <c r="M505">
        <f>COUNTIF(L$1:L505,L505)</f>
        <v>1</v>
      </c>
      <c r="N505" t="str">
        <f t="shared" si="22"/>
        <v>cory10RB-1</v>
      </c>
      <c r="O505">
        <f>COUNTIFS(F$1:F505,F505,A$1:A505,A505)</f>
        <v>6</v>
      </c>
      <c r="P505" t="str">
        <f t="shared" si="23"/>
        <v>Carlos Hyde10</v>
      </c>
    </row>
    <row r="506" spans="1:16" x14ac:dyDescent="0.25">
      <c r="A506">
        <v>10</v>
      </c>
      <c r="B506" t="s">
        <v>97</v>
      </c>
      <c r="C506" t="s">
        <v>6045</v>
      </c>
      <c r="D506">
        <v>14.74</v>
      </c>
      <c r="E506" t="s">
        <v>34</v>
      </c>
      <c r="F506" t="s">
        <v>47</v>
      </c>
      <c r="G506">
        <v>22.38</v>
      </c>
      <c r="H506">
        <v>7.1</v>
      </c>
      <c r="I506">
        <v>7.64</v>
      </c>
      <c r="J506">
        <v>58.369599999999998</v>
      </c>
      <c r="K506" t="str">
        <f>IFERROR(INDEX(Rosters!$C$2:$C$155,MATCH($B506,Rosters!$B$2:$B$155,0)),"NA")</f>
        <v>chad</v>
      </c>
      <c r="L506" t="str">
        <f t="shared" si="21"/>
        <v>chad10RB</v>
      </c>
      <c r="M506">
        <f>COUNTIF(L$1:L506,L506)</f>
        <v>2</v>
      </c>
      <c r="N506" t="str">
        <f t="shared" si="22"/>
        <v>chad10RB-2</v>
      </c>
      <c r="O506">
        <f>COUNTIFS(F$1:F506,F506,A$1:A506,A506)</f>
        <v>7</v>
      </c>
      <c r="P506" t="str">
        <f t="shared" si="23"/>
        <v>Jordan Howard10</v>
      </c>
    </row>
    <row r="507" spans="1:16" x14ac:dyDescent="0.25">
      <c r="A507">
        <v>17</v>
      </c>
      <c r="B507" t="s">
        <v>93</v>
      </c>
      <c r="C507" t="s">
        <v>6046</v>
      </c>
      <c r="D507">
        <v>14.71</v>
      </c>
      <c r="E507" t="s">
        <v>17</v>
      </c>
      <c r="F507" t="s">
        <v>87</v>
      </c>
      <c r="G507">
        <v>23.63</v>
      </c>
      <c r="H507">
        <v>5.79</v>
      </c>
      <c r="I507">
        <v>8.92</v>
      </c>
      <c r="J507">
        <v>79.566400000000002</v>
      </c>
      <c r="K507" t="str">
        <f>IFERROR(INDEX(Rosters!$C$2:$C$155,MATCH($B507,Rosters!$B$2:$B$155,0)),"NA")</f>
        <v>cory</v>
      </c>
      <c r="L507" t="str">
        <f t="shared" si="21"/>
        <v>cory17WR</v>
      </c>
      <c r="M507">
        <f>COUNTIF(L$1:L507,L507)</f>
        <v>1</v>
      </c>
      <c r="N507" t="str">
        <f t="shared" si="22"/>
        <v>cory17WR-1</v>
      </c>
      <c r="O507">
        <f>COUNTIFS(F$1:F507,F507,A$1:A507,A507)</f>
        <v>3</v>
      </c>
      <c r="P507" t="str">
        <f t="shared" si="23"/>
        <v>Julio Jones17</v>
      </c>
    </row>
    <row r="508" spans="1:16" x14ac:dyDescent="0.25">
      <c r="A508">
        <v>2</v>
      </c>
      <c r="B508" t="s">
        <v>96</v>
      </c>
      <c r="C508" t="s">
        <v>3553</v>
      </c>
      <c r="D508">
        <v>14.65</v>
      </c>
      <c r="E508" t="s">
        <v>24</v>
      </c>
      <c r="F508" t="s">
        <v>87</v>
      </c>
      <c r="G508">
        <v>22.7</v>
      </c>
      <c r="H508">
        <v>6.6</v>
      </c>
      <c r="I508">
        <v>8.0500000000000007</v>
      </c>
      <c r="J508">
        <v>64.802499999999995</v>
      </c>
      <c r="K508" t="str">
        <f>IFERROR(INDEX(Rosters!$C$2:$C$155,MATCH($B508,Rosters!$B$2:$B$155,0)),"NA")</f>
        <v>comp</v>
      </c>
      <c r="L508" t="str">
        <f t="shared" si="21"/>
        <v>comp2WR</v>
      </c>
      <c r="M508">
        <f>COUNTIF(L$1:L508,L508)</f>
        <v>1</v>
      </c>
      <c r="N508" t="str">
        <f t="shared" si="22"/>
        <v>comp2WR-1</v>
      </c>
      <c r="O508">
        <f>COUNTIFS(F$1:F508,F508,A$1:A508,A508)</f>
        <v>1</v>
      </c>
      <c r="P508" t="str">
        <f t="shared" si="23"/>
        <v>Antonio Brown2</v>
      </c>
    </row>
    <row r="509" spans="1:16" x14ac:dyDescent="0.25">
      <c r="A509">
        <v>15</v>
      </c>
      <c r="B509" t="s">
        <v>45</v>
      </c>
      <c r="C509" t="s">
        <v>6047</v>
      </c>
      <c r="D509">
        <v>14.65</v>
      </c>
      <c r="E509" t="s">
        <v>46</v>
      </c>
      <c r="F509" t="s">
        <v>47</v>
      </c>
      <c r="G509">
        <v>26.32</v>
      </c>
      <c r="H509">
        <v>2.98</v>
      </c>
      <c r="I509">
        <v>11.67</v>
      </c>
      <c r="J509">
        <v>136.18889999999999</v>
      </c>
      <c r="K509" t="str">
        <f>IFERROR(INDEX(Rosters!$C$2:$C$155,MATCH($B509,Rosters!$B$2:$B$155,0)),"NA")</f>
        <v>matty</v>
      </c>
      <c r="L509" t="str">
        <f t="shared" si="21"/>
        <v>matty15RB</v>
      </c>
      <c r="M509">
        <f>COUNTIF(L$1:L509,L509)</f>
        <v>2</v>
      </c>
      <c r="N509" t="str">
        <f t="shared" si="22"/>
        <v>matty15RB-2</v>
      </c>
      <c r="O509">
        <f>COUNTIFS(F$1:F509,F509,A$1:A509,A509)</f>
        <v>6</v>
      </c>
      <c r="P509" t="str">
        <f t="shared" si="23"/>
        <v>David Johnson15</v>
      </c>
    </row>
    <row r="510" spans="1:16" x14ac:dyDescent="0.25">
      <c r="A510">
        <v>14</v>
      </c>
      <c r="B510" t="s">
        <v>69</v>
      </c>
      <c r="C510" t="s">
        <v>6048</v>
      </c>
      <c r="D510">
        <v>14.64</v>
      </c>
      <c r="E510" t="s">
        <v>76</v>
      </c>
      <c r="F510" t="s">
        <v>15</v>
      </c>
      <c r="G510">
        <v>21.92</v>
      </c>
      <c r="H510">
        <v>7.36</v>
      </c>
      <c r="I510">
        <v>7.28</v>
      </c>
      <c r="J510">
        <v>52.998399999999997</v>
      </c>
      <c r="K510" t="str">
        <f>IFERROR(INDEX(Rosters!$C$2:$C$155,MATCH($B510,Rosters!$B$2:$B$155,0)),"NA")</f>
        <v>NA</v>
      </c>
      <c r="L510" t="str">
        <f t="shared" si="21"/>
        <v>NA14QB</v>
      </c>
      <c r="M510">
        <f>COUNTIF(L$1:L510,L510)</f>
        <v>10</v>
      </c>
      <c r="N510" t="str">
        <f t="shared" si="22"/>
        <v>NA14QB-10</v>
      </c>
      <c r="O510">
        <f>COUNTIFS(F$1:F510,F510,A$1:A510,A510)</f>
        <v>25</v>
      </c>
      <c r="P510" t="str">
        <f t="shared" si="23"/>
        <v>Marcus Mariota14</v>
      </c>
    </row>
    <row r="511" spans="1:16" x14ac:dyDescent="0.25">
      <c r="A511">
        <v>16</v>
      </c>
      <c r="B511" t="s">
        <v>63</v>
      </c>
      <c r="C511" t="s">
        <v>6049</v>
      </c>
      <c r="D511">
        <v>14.63</v>
      </c>
      <c r="E511" t="s">
        <v>52</v>
      </c>
      <c r="F511" t="s">
        <v>15</v>
      </c>
      <c r="G511">
        <v>21.43</v>
      </c>
      <c r="H511">
        <v>7.83</v>
      </c>
      <c r="I511">
        <v>6.8</v>
      </c>
      <c r="J511">
        <v>46.24</v>
      </c>
      <c r="K511" t="str">
        <f>IFERROR(INDEX(Rosters!$C$2:$C$155,MATCH($B511,Rosters!$B$2:$B$155,0)),"NA")</f>
        <v>scott</v>
      </c>
      <c r="L511" t="str">
        <f t="shared" si="21"/>
        <v>scott16QB</v>
      </c>
      <c r="M511">
        <f>COUNTIF(L$1:L511,L511)</f>
        <v>2</v>
      </c>
      <c r="N511" t="str">
        <f t="shared" si="22"/>
        <v>scott16QB-2</v>
      </c>
      <c r="O511">
        <f>COUNTIFS(F$1:F511,F511,A$1:A511,A511)</f>
        <v>27</v>
      </c>
      <c r="P511" t="str">
        <f t="shared" si="23"/>
        <v>Andy Dalton16</v>
      </c>
    </row>
    <row r="512" spans="1:16" x14ac:dyDescent="0.25">
      <c r="A512">
        <v>15</v>
      </c>
      <c r="B512" t="s">
        <v>1288</v>
      </c>
      <c r="C512" t="s">
        <v>6050</v>
      </c>
      <c r="D512">
        <v>14.61</v>
      </c>
      <c r="E512" t="s">
        <v>38</v>
      </c>
      <c r="F512" t="s">
        <v>47</v>
      </c>
      <c r="G512">
        <v>22.74</v>
      </c>
      <c r="H512">
        <v>6.48</v>
      </c>
      <c r="I512">
        <v>8.1300000000000008</v>
      </c>
      <c r="J512">
        <v>66.096900000000005</v>
      </c>
      <c r="K512" t="str">
        <f>IFERROR(INDEX(Rosters!$C$2:$C$155,MATCH($B512,Rosters!$B$2:$B$155,0)),"NA")</f>
        <v>lucas</v>
      </c>
      <c r="L512" t="str">
        <f t="shared" si="21"/>
        <v>lucas15RB</v>
      </c>
      <c r="M512">
        <f>COUNTIF(L$1:L512,L512)</f>
        <v>1</v>
      </c>
      <c r="N512" t="str">
        <f t="shared" si="22"/>
        <v>lucas15RB-1</v>
      </c>
      <c r="O512">
        <f>COUNTIFS(F$1:F512,F512,A$1:A512,A512)</f>
        <v>7</v>
      </c>
      <c r="P512" t="str">
        <f t="shared" si="23"/>
        <v>Saquon Barkley15</v>
      </c>
    </row>
    <row r="513" spans="1:16" x14ac:dyDescent="0.25">
      <c r="A513">
        <v>10</v>
      </c>
      <c r="B513" t="s">
        <v>1506</v>
      </c>
      <c r="C513" t="s">
        <v>6051</v>
      </c>
      <c r="D513">
        <v>14.6</v>
      </c>
      <c r="E513" t="s">
        <v>24</v>
      </c>
      <c r="F513" t="s">
        <v>15</v>
      </c>
      <c r="G513">
        <v>21.49</v>
      </c>
      <c r="H513">
        <v>7.71</v>
      </c>
      <c r="I513">
        <v>6.89</v>
      </c>
      <c r="J513">
        <v>47.472099999999998</v>
      </c>
      <c r="K513" t="str">
        <f>IFERROR(INDEX(Rosters!$C$2:$C$155,MATCH($B513,Rosters!$B$2:$B$155,0)),"NA")</f>
        <v>NA</v>
      </c>
      <c r="L513" t="str">
        <f t="shared" si="21"/>
        <v>NA10QB</v>
      </c>
      <c r="M513">
        <f>COUNTIF(L$1:L513,L513)</f>
        <v>8</v>
      </c>
      <c r="N513" t="str">
        <f t="shared" si="22"/>
        <v>NA10QB-8</v>
      </c>
      <c r="O513">
        <f>COUNTIFS(F$1:F513,F513,A$1:A513,A513)</f>
        <v>23</v>
      </c>
      <c r="P513" t="str">
        <f t="shared" si="23"/>
        <v>Josh Rosen10</v>
      </c>
    </row>
    <row r="514" spans="1:16" x14ac:dyDescent="0.25">
      <c r="A514">
        <v>11</v>
      </c>
      <c r="B514" t="s">
        <v>93</v>
      </c>
      <c r="C514" t="s">
        <v>6052</v>
      </c>
      <c r="D514">
        <v>14.6</v>
      </c>
      <c r="E514" t="s">
        <v>22</v>
      </c>
      <c r="F514" t="s">
        <v>87</v>
      </c>
      <c r="G514">
        <v>23.38</v>
      </c>
      <c r="H514">
        <v>5.82</v>
      </c>
      <c r="I514">
        <v>8.7799999999999994</v>
      </c>
      <c r="J514">
        <v>77.088399999999993</v>
      </c>
      <c r="K514" t="str">
        <f>IFERROR(INDEX(Rosters!$C$2:$C$155,MATCH($B514,Rosters!$B$2:$B$155,0)),"NA")</f>
        <v>cory</v>
      </c>
      <c r="L514" t="str">
        <f t="shared" si="21"/>
        <v>cory11WR</v>
      </c>
      <c r="M514">
        <f>COUNTIF(L$1:L514,L514)</f>
        <v>1</v>
      </c>
      <c r="N514" t="str">
        <f t="shared" si="22"/>
        <v>cory11WR-1</v>
      </c>
      <c r="O514">
        <f>COUNTIFS(F$1:F514,F514,A$1:A514,A514)</f>
        <v>1</v>
      </c>
      <c r="P514" t="str">
        <f t="shared" si="23"/>
        <v>Julio Jones11</v>
      </c>
    </row>
    <row r="515" spans="1:16" x14ac:dyDescent="0.25">
      <c r="A515">
        <v>3</v>
      </c>
      <c r="B515" t="s">
        <v>115</v>
      </c>
      <c r="C515" t="s">
        <v>3625</v>
      </c>
      <c r="D515">
        <v>14.6</v>
      </c>
      <c r="E515" t="s">
        <v>30</v>
      </c>
      <c r="F515" t="s">
        <v>47</v>
      </c>
      <c r="G515">
        <v>21.91</v>
      </c>
      <c r="H515">
        <v>7.29</v>
      </c>
      <c r="I515">
        <v>7.31</v>
      </c>
      <c r="J515">
        <v>53.436100000000003</v>
      </c>
      <c r="K515" t="str">
        <f>IFERROR(INDEX(Rosters!$C$2:$C$155,MATCH($B515,Rosters!$B$2:$B$155,0)),"NA")</f>
        <v>scott</v>
      </c>
      <c r="L515" t="str">
        <f t="shared" ref="L515:L578" si="24">K515&amp;A515&amp;F515</f>
        <v>scott3RB</v>
      </c>
      <c r="M515">
        <f>COUNTIF(L$1:L515,L515)</f>
        <v>2</v>
      </c>
      <c r="N515" t="str">
        <f t="shared" ref="N515:N578" si="25">L515&amp;"-"&amp;M515</f>
        <v>scott3RB-2</v>
      </c>
      <c r="O515">
        <f>COUNTIFS(F$1:F515,F515,A$1:A515,A515)</f>
        <v>5</v>
      </c>
      <c r="P515" t="str">
        <f t="shared" ref="P515:P578" si="26">B515&amp;A515</f>
        <v>Kareem Hunt3</v>
      </c>
    </row>
    <row r="516" spans="1:16" x14ac:dyDescent="0.25">
      <c r="A516">
        <v>12</v>
      </c>
      <c r="B516" t="s">
        <v>110</v>
      </c>
      <c r="C516" t="s">
        <v>6053</v>
      </c>
      <c r="D516">
        <v>14.59</v>
      </c>
      <c r="E516" t="s">
        <v>46</v>
      </c>
      <c r="F516" t="s">
        <v>87</v>
      </c>
      <c r="G516">
        <v>21.22</v>
      </c>
      <c r="H516">
        <v>7.96</v>
      </c>
      <c r="I516">
        <v>6.63</v>
      </c>
      <c r="J516">
        <v>43.956899999999997</v>
      </c>
      <c r="K516" t="str">
        <f>IFERROR(INDEX(Rosters!$C$2:$C$155,MATCH($B516,Rosters!$B$2:$B$155,0)),"NA")</f>
        <v>cory</v>
      </c>
      <c r="L516" t="str">
        <f t="shared" si="24"/>
        <v>cory12WR</v>
      </c>
      <c r="M516">
        <f>COUNTIF(L$1:L516,L516)</f>
        <v>1</v>
      </c>
      <c r="N516" t="str">
        <f t="shared" si="25"/>
        <v>cory12WR-1</v>
      </c>
      <c r="O516">
        <f>COUNTIFS(F$1:F516,F516,A$1:A516,A516)</f>
        <v>1</v>
      </c>
      <c r="P516" t="str">
        <f t="shared" si="26"/>
        <v>Michael Thomas12</v>
      </c>
    </row>
    <row r="517" spans="1:16" x14ac:dyDescent="0.25">
      <c r="A517">
        <v>1</v>
      </c>
      <c r="B517" t="s">
        <v>79</v>
      </c>
      <c r="C517" t="s">
        <v>1289</v>
      </c>
      <c r="D517">
        <v>14.58</v>
      </c>
      <c r="E517" t="s">
        <v>54</v>
      </c>
      <c r="F517" t="s">
        <v>15</v>
      </c>
      <c r="G517">
        <v>20.68</v>
      </c>
      <c r="H517">
        <v>8.48</v>
      </c>
      <c r="I517">
        <v>6.1</v>
      </c>
      <c r="J517">
        <v>37.21</v>
      </c>
      <c r="K517" t="str">
        <f>IFERROR(INDEX(Rosters!$C$2:$C$155,MATCH($B517,Rosters!$B$2:$B$155,0)),"NA")</f>
        <v>NA</v>
      </c>
      <c r="L517" t="str">
        <f t="shared" si="24"/>
        <v>NA1QB</v>
      </c>
      <c r="M517">
        <f>COUNTIF(L$1:L517,L517)</f>
        <v>6</v>
      </c>
      <c r="N517" t="str">
        <f t="shared" si="25"/>
        <v>NA1QB-6</v>
      </c>
      <c r="O517">
        <f>COUNTIFS(F$1:F517,F517,A$1:A517,A517)</f>
        <v>20</v>
      </c>
      <c r="P517" t="str">
        <f t="shared" si="26"/>
        <v>Blake Bortles1</v>
      </c>
    </row>
    <row r="518" spans="1:16" x14ac:dyDescent="0.25">
      <c r="A518">
        <v>10</v>
      </c>
      <c r="B518" t="s">
        <v>154</v>
      </c>
      <c r="C518" t="s">
        <v>6054</v>
      </c>
      <c r="D518">
        <v>14.57</v>
      </c>
      <c r="E518" t="s">
        <v>32</v>
      </c>
      <c r="F518" t="s">
        <v>87</v>
      </c>
      <c r="G518">
        <v>21.4</v>
      </c>
      <c r="H518">
        <v>7.74</v>
      </c>
      <c r="I518">
        <v>6.83</v>
      </c>
      <c r="J518">
        <v>46.648899999999998</v>
      </c>
      <c r="K518" t="str">
        <f>IFERROR(INDEX(Rosters!$C$2:$C$155,MATCH($B518,Rosters!$B$2:$B$155,0)),"NA")</f>
        <v>chad</v>
      </c>
      <c r="L518" t="str">
        <f t="shared" si="24"/>
        <v>chad10WR</v>
      </c>
      <c r="M518">
        <f>COUNTIF(L$1:L518,L518)</f>
        <v>1</v>
      </c>
      <c r="N518" t="str">
        <f t="shared" si="25"/>
        <v>chad10WR-1</v>
      </c>
      <c r="O518">
        <f>COUNTIFS(F$1:F518,F518,A$1:A518,A518)</f>
        <v>1</v>
      </c>
      <c r="P518" t="str">
        <f t="shared" si="26"/>
        <v>Keenan Allen10</v>
      </c>
    </row>
    <row r="519" spans="1:16" x14ac:dyDescent="0.25">
      <c r="A519">
        <v>6</v>
      </c>
      <c r="B519" t="s">
        <v>96</v>
      </c>
      <c r="C519" t="s">
        <v>6055</v>
      </c>
      <c r="D519">
        <v>14.56</v>
      </c>
      <c r="E519" t="s">
        <v>31</v>
      </c>
      <c r="F519" t="s">
        <v>87</v>
      </c>
      <c r="G519">
        <v>22.98</v>
      </c>
      <c r="H519">
        <v>6.14</v>
      </c>
      <c r="I519">
        <v>8.42</v>
      </c>
      <c r="J519">
        <v>70.8964</v>
      </c>
      <c r="K519" t="str">
        <f>IFERROR(INDEX(Rosters!$C$2:$C$155,MATCH($B519,Rosters!$B$2:$B$155,0)),"NA")</f>
        <v>comp</v>
      </c>
      <c r="L519" t="str">
        <f t="shared" si="24"/>
        <v>comp6WR</v>
      </c>
      <c r="M519">
        <f>COUNTIF(L$1:L519,L519)</f>
        <v>1</v>
      </c>
      <c r="N519" t="str">
        <f t="shared" si="25"/>
        <v>comp6WR-1</v>
      </c>
      <c r="O519">
        <f>COUNTIFS(F$1:F519,F519,A$1:A519,A519)</f>
        <v>2</v>
      </c>
      <c r="P519" t="str">
        <f t="shared" si="26"/>
        <v>Antonio Brown6</v>
      </c>
    </row>
    <row r="520" spans="1:16" x14ac:dyDescent="0.25">
      <c r="A520">
        <v>1</v>
      </c>
      <c r="B520" t="s">
        <v>302</v>
      </c>
      <c r="C520" t="s">
        <v>3310</v>
      </c>
      <c r="D520">
        <v>14.56</v>
      </c>
      <c r="E520" t="s">
        <v>37</v>
      </c>
      <c r="F520" t="s">
        <v>15</v>
      </c>
      <c r="G520">
        <v>21.3</v>
      </c>
      <c r="H520">
        <v>7.82</v>
      </c>
      <c r="I520">
        <v>6.74</v>
      </c>
      <c r="J520">
        <v>45.427599999999998</v>
      </c>
      <c r="K520" t="str">
        <f>IFERROR(INDEX(Rosters!$C$2:$C$155,MATCH($B520,Rosters!$B$2:$B$155,0)),"NA")</f>
        <v>matty</v>
      </c>
      <c r="L520" t="str">
        <f t="shared" si="24"/>
        <v>matty1QB</v>
      </c>
      <c r="M520">
        <f>COUNTIF(L$1:L520,L520)</f>
        <v>2</v>
      </c>
      <c r="N520" t="str">
        <f t="shared" si="25"/>
        <v>matty1QB-2</v>
      </c>
      <c r="O520">
        <f>COUNTIFS(F$1:F520,F520,A$1:A520,A520)</f>
        <v>21</v>
      </c>
      <c r="P520" t="str">
        <f t="shared" si="26"/>
        <v>Patrick Mahomes1</v>
      </c>
    </row>
    <row r="521" spans="1:16" x14ac:dyDescent="0.25">
      <c r="A521">
        <v>4</v>
      </c>
      <c r="B521" t="s">
        <v>120</v>
      </c>
      <c r="C521" t="s">
        <v>4428</v>
      </c>
      <c r="D521">
        <v>14.53</v>
      </c>
      <c r="E521" t="s">
        <v>66</v>
      </c>
      <c r="F521" t="s">
        <v>87</v>
      </c>
      <c r="G521">
        <v>21.71</v>
      </c>
      <c r="H521">
        <v>7.35</v>
      </c>
      <c r="I521">
        <v>7.18</v>
      </c>
      <c r="J521">
        <v>51.552399999999999</v>
      </c>
      <c r="K521" t="str">
        <f>IFERROR(INDEX(Rosters!$C$2:$C$155,MATCH($B521,Rosters!$B$2:$B$155,0)),"NA")</f>
        <v>aj</v>
      </c>
      <c r="L521" t="str">
        <f t="shared" si="24"/>
        <v>aj4WR</v>
      </c>
      <c r="M521">
        <f>COUNTIF(L$1:L521,L521)</f>
        <v>1</v>
      </c>
      <c r="N521" t="str">
        <f t="shared" si="25"/>
        <v>aj4WR-1</v>
      </c>
      <c r="O521">
        <f>COUNTIFS(F$1:F521,F521,A$1:A521,A521)</f>
        <v>5</v>
      </c>
      <c r="P521" t="str">
        <f t="shared" si="26"/>
        <v>DeAndre Hopkins4</v>
      </c>
    </row>
    <row r="522" spans="1:16" x14ac:dyDescent="0.25">
      <c r="A522">
        <v>8</v>
      </c>
      <c r="B522" t="s">
        <v>82</v>
      </c>
      <c r="C522" t="s">
        <v>6056</v>
      </c>
      <c r="D522">
        <v>14.53</v>
      </c>
      <c r="E522" t="s">
        <v>74</v>
      </c>
      <c r="F522" t="s">
        <v>15</v>
      </c>
      <c r="G522">
        <v>20.41</v>
      </c>
      <c r="H522">
        <v>8.65</v>
      </c>
      <c r="I522">
        <v>5.88</v>
      </c>
      <c r="J522">
        <v>34.574399999999997</v>
      </c>
      <c r="K522" t="str">
        <f>IFERROR(INDEX(Rosters!$C$2:$C$155,MATCH($B522,Rosters!$B$2:$B$155,0)),"NA")</f>
        <v>NA</v>
      </c>
      <c r="L522" t="str">
        <f t="shared" si="24"/>
        <v>NA8QB</v>
      </c>
      <c r="M522">
        <f>COUNTIF(L$1:L522,L522)</f>
        <v>9</v>
      </c>
      <c r="N522" t="str">
        <f t="shared" si="25"/>
        <v>NA8QB-9</v>
      </c>
      <c r="O522">
        <f>COUNTIFS(F$1:F522,F522,A$1:A522,A522)</f>
        <v>24</v>
      </c>
      <c r="P522" t="str">
        <f t="shared" si="26"/>
        <v>Joe Flacco8</v>
      </c>
    </row>
    <row r="523" spans="1:16" x14ac:dyDescent="0.25">
      <c r="A523">
        <v>10</v>
      </c>
      <c r="B523" t="s">
        <v>1278</v>
      </c>
      <c r="C523" t="s">
        <v>6057</v>
      </c>
      <c r="D523">
        <v>14.52</v>
      </c>
      <c r="E523" t="s">
        <v>41</v>
      </c>
      <c r="F523" t="s">
        <v>15</v>
      </c>
      <c r="G523">
        <v>20.94</v>
      </c>
      <c r="H523">
        <v>8.1</v>
      </c>
      <c r="I523">
        <v>6.42</v>
      </c>
      <c r="J523">
        <v>41.2164</v>
      </c>
      <c r="K523" t="str">
        <f>IFERROR(INDEX(Rosters!$C$2:$C$155,MATCH($B523,Rosters!$B$2:$B$155,0)),"NA")</f>
        <v>NA</v>
      </c>
      <c r="L523" t="str">
        <f t="shared" si="24"/>
        <v>NA10QB</v>
      </c>
      <c r="M523">
        <f>COUNTIF(L$1:L523,L523)</f>
        <v>9</v>
      </c>
      <c r="N523" t="str">
        <f t="shared" si="25"/>
        <v>NA10QB-9</v>
      </c>
      <c r="O523">
        <f>COUNTIFS(F$1:F523,F523,A$1:A523,A523)</f>
        <v>24</v>
      </c>
      <c r="P523" t="str">
        <f t="shared" si="26"/>
        <v>Ryan Tannehill10</v>
      </c>
    </row>
    <row r="524" spans="1:16" x14ac:dyDescent="0.25">
      <c r="A524">
        <v>1</v>
      </c>
      <c r="B524" t="s">
        <v>57</v>
      </c>
      <c r="C524" t="s">
        <v>1795</v>
      </c>
      <c r="D524">
        <v>14.51</v>
      </c>
      <c r="E524" t="s">
        <v>74</v>
      </c>
      <c r="F524" t="s">
        <v>47</v>
      </c>
      <c r="G524">
        <v>20.96</v>
      </c>
      <c r="H524">
        <v>8.06</v>
      </c>
      <c r="I524">
        <v>6.45</v>
      </c>
      <c r="J524">
        <v>41.602499999999999</v>
      </c>
      <c r="K524" t="str">
        <f>IFERROR(INDEX(Rosters!$C$2:$C$155,MATCH($B524,Rosters!$B$2:$B$155,0)),"NA")</f>
        <v>perry</v>
      </c>
      <c r="L524" t="str">
        <f t="shared" si="24"/>
        <v>perry1RB</v>
      </c>
      <c r="M524">
        <f>COUNTIF(L$1:L524,L524)</f>
        <v>1</v>
      </c>
      <c r="N524" t="str">
        <f t="shared" si="25"/>
        <v>perry1RB-1</v>
      </c>
      <c r="O524">
        <f>COUNTIFS(F$1:F524,F524,A$1:A524,A524)</f>
        <v>5</v>
      </c>
      <c r="P524" t="str">
        <f t="shared" si="26"/>
        <v>Ezekiel Elliott1</v>
      </c>
    </row>
    <row r="525" spans="1:16" x14ac:dyDescent="0.25">
      <c r="A525">
        <v>11</v>
      </c>
      <c r="B525" t="s">
        <v>1288</v>
      </c>
      <c r="C525" t="s">
        <v>6058</v>
      </c>
      <c r="D525">
        <v>14.51</v>
      </c>
      <c r="E525" t="s">
        <v>17</v>
      </c>
      <c r="F525" t="s">
        <v>47</v>
      </c>
      <c r="G525">
        <v>23.29</v>
      </c>
      <c r="H525">
        <v>5.73</v>
      </c>
      <c r="I525">
        <v>8.7799999999999994</v>
      </c>
      <c r="J525">
        <v>77.088399999999993</v>
      </c>
      <c r="K525" t="str">
        <f>IFERROR(INDEX(Rosters!$C$2:$C$155,MATCH($B525,Rosters!$B$2:$B$155,0)),"NA")</f>
        <v>lucas</v>
      </c>
      <c r="L525" t="str">
        <f t="shared" si="24"/>
        <v>lucas11RB</v>
      </c>
      <c r="M525">
        <f>COUNTIF(L$1:L525,L525)</f>
        <v>1</v>
      </c>
      <c r="N525" t="str">
        <f t="shared" si="25"/>
        <v>lucas11RB-1</v>
      </c>
      <c r="O525">
        <f>COUNTIFS(F$1:F525,F525,A$1:A525,A525)</f>
        <v>7</v>
      </c>
      <c r="P525" t="str">
        <f t="shared" si="26"/>
        <v>Saquon Barkley11</v>
      </c>
    </row>
    <row r="526" spans="1:16" x14ac:dyDescent="0.25">
      <c r="A526">
        <v>12</v>
      </c>
      <c r="B526" t="s">
        <v>120</v>
      </c>
      <c r="C526" t="s">
        <v>6059</v>
      </c>
      <c r="D526">
        <v>14.49</v>
      </c>
      <c r="E526" t="s">
        <v>38</v>
      </c>
      <c r="F526" t="s">
        <v>87</v>
      </c>
      <c r="G526">
        <v>22.72</v>
      </c>
      <c r="H526">
        <v>6.26</v>
      </c>
      <c r="I526">
        <v>8.23</v>
      </c>
      <c r="J526">
        <v>67.732900000000001</v>
      </c>
      <c r="K526" t="str">
        <f>IFERROR(INDEX(Rosters!$C$2:$C$155,MATCH($B526,Rosters!$B$2:$B$155,0)),"NA")</f>
        <v>aj</v>
      </c>
      <c r="L526" t="str">
        <f t="shared" si="24"/>
        <v>aj12WR</v>
      </c>
      <c r="M526">
        <f>COUNTIF(L$1:L526,L526)</f>
        <v>1</v>
      </c>
      <c r="N526" t="str">
        <f t="shared" si="25"/>
        <v>aj12WR-1</v>
      </c>
      <c r="O526">
        <f>COUNTIFS(F$1:F526,F526,A$1:A526,A526)</f>
        <v>2</v>
      </c>
      <c r="P526" t="str">
        <f t="shared" si="26"/>
        <v>DeAndre Hopkins12</v>
      </c>
    </row>
    <row r="527" spans="1:16" x14ac:dyDescent="0.25">
      <c r="A527">
        <v>14</v>
      </c>
      <c r="B527" t="s">
        <v>97</v>
      </c>
      <c r="C527" t="s">
        <v>6060</v>
      </c>
      <c r="D527">
        <v>14.49</v>
      </c>
      <c r="E527" t="s">
        <v>56</v>
      </c>
      <c r="F527" t="s">
        <v>47</v>
      </c>
      <c r="G527">
        <v>22.48</v>
      </c>
      <c r="H527">
        <v>6.5</v>
      </c>
      <c r="I527">
        <v>7.99</v>
      </c>
      <c r="J527">
        <v>63.8401</v>
      </c>
      <c r="K527" t="str">
        <f>IFERROR(INDEX(Rosters!$C$2:$C$155,MATCH($B527,Rosters!$B$2:$B$155,0)),"NA")</f>
        <v>chad</v>
      </c>
      <c r="L527" t="str">
        <f t="shared" si="24"/>
        <v>chad14RB</v>
      </c>
      <c r="M527">
        <f>COUNTIF(L$1:L527,L527)</f>
        <v>2</v>
      </c>
      <c r="N527" t="str">
        <f t="shared" si="25"/>
        <v>chad14RB-2</v>
      </c>
      <c r="O527">
        <f>COUNTIFS(F$1:F527,F527,A$1:A527,A527)</f>
        <v>7</v>
      </c>
      <c r="P527" t="str">
        <f t="shared" si="26"/>
        <v>Jordan Howard14</v>
      </c>
    </row>
    <row r="528" spans="1:16" x14ac:dyDescent="0.25">
      <c r="A528">
        <v>1</v>
      </c>
      <c r="B528" t="s">
        <v>1288</v>
      </c>
      <c r="C528" t="s">
        <v>1678</v>
      </c>
      <c r="D528">
        <v>14.48</v>
      </c>
      <c r="E528" t="s">
        <v>76</v>
      </c>
      <c r="F528" t="s">
        <v>47</v>
      </c>
      <c r="G528">
        <v>22.1</v>
      </c>
      <c r="H528">
        <v>6.86</v>
      </c>
      <c r="I528">
        <v>7.62</v>
      </c>
      <c r="J528">
        <v>58.064399999999999</v>
      </c>
      <c r="K528" t="str">
        <f>IFERROR(INDEX(Rosters!$C$2:$C$155,MATCH($B528,Rosters!$B$2:$B$155,0)),"NA")</f>
        <v>lucas</v>
      </c>
      <c r="L528" t="str">
        <f t="shared" si="24"/>
        <v>lucas1RB</v>
      </c>
      <c r="M528">
        <f>COUNTIF(L$1:L528,L528)</f>
        <v>1</v>
      </c>
      <c r="N528" t="str">
        <f t="shared" si="25"/>
        <v>lucas1RB-1</v>
      </c>
      <c r="O528">
        <f>COUNTIFS(F$1:F528,F528,A$1:A528,A528)</f>
        <v>6</v>
      </c>
      <c r="P528" t="str">
        <f t="shared" si="26"/>
        <v>Saquon Barkley1</v>
      </c>
    </row>
    <row r="529" spans="1:16" x14ac:dyDescent="0.25">
      <c r="A529">
        <v>17</v>
      </c>
      <c r="B529" t="s">
        <v>1275</v>
      </c>
      <c r="C529" t="s">
        <v>6061</v>
      </c>
      <c r="D529">
        <v>14.44</v>
      </c>
      <c r="E529" t="s">
        <v>423</v>
      </c>
      <c r="F529" t="s">
        <v>15</v>
      </c>
      <c r="G529">
        <v>20.85</v>
      </c>
      <c r="H529">
        <v>8.0299999999999994</v>
      </c>
      <c r="I529">
        <v>6.41</v>
      </c>
      <c r="J529">
        <v>41.088099999999997</v>
      </c>
      <c r="K529" t="str">
        <f>IFERROR(INDEX(Rosters!$C$2:$C$155,MATCH($B529,Rosters!$B$2:$B$155,0)),"NA")</f>
        <v>NA</v>
      </c>
      <c r="L529" t="str">
        <f t="shared" si="24"/>
        <v>NA17QB</v>
      </c>
      <c r="M529">
        <f>COUNTIF(L$1:L529,L529)</f>
        <v>11</v>
      </c>
      <c r="N529" t="str">
        <f t="shared" si="25"/>
        <v>NA17QB-11</v>
      </c>
      <c r="O529">
        <f>COUNTIFS(F$1:F529,F529,A$1:A529,A529)</f>
        <v>26</v>
      </c>
      <c r="P529" t="str">
        <f t="shared" si="26"/>
        <v>Sam Darnold17</v>
      </c>
    </row>
    <row r="530" spans="1:16" x14ac:dyDescent="0.25">
      <c r="A530">
        <v>5</v>
      </c>
      <c r="B530" t="s">
        <v>1506</v>
      </c>
      <c r="C530" t="s">
        <v>6062</v>
      </c>
      <c r="D530">
        <v>14.43</v>
      </c>
      <c r="E530" t="s">
        <v>30</v>
      </c>
      <c r="F530" t="s">
        <v>15</v>
      </c>
      <c r="G530">
        <v>20.74</v>
      </c>
      <c r="H530">
        <v>8.1199999999999992</v>
      </c>
      <c r="I530">
        <v>6.31</v>
      </c>
      <c r="J530">
        <v>39.816099999999999</v>
      </c>
      <c r="K530" t="str">
        <f>IFERROR(INDEX(Rosters!$C$2:$C$155,MATCH($B530,Rosters!$B$2:$B$155,0)),"NA")</f>
        <v>NA</v>
      </c>
      <c r="L530" t="str">
        <f t="shared" si="24"/>
        <v>NA5QB</v>
      </c>
      <c r="M530">
        <f>COUNTIF(L$1:L530,L530)</f>
        <v>8</v>
      </c>
      <c r="N530" t="str">
        <f t="shared" si="25"/>
        <v>NA5QB-8</v>
      </c>
      <c r="O530">
        <f>COUNTIFS(F$1:F530,F530,A$1:A530,A530)</f>
        <v>24</v>
      </c>
      <c r="P530" t="str">
        <f t="shared" si="26"/>
        <v>Josh Rosen5</v>
      </c>
    </row>
    <row r="531" spans="1:16" x14ac:dyDescent="0.25">
      <c r="A531">
        <v>10</v>
      </c>
      <c r="B531" t="s">
        <v>96</v>
      </c>
      <c r="C531" t="s">
        <v>6063</v>
      </c>
      <c r="D531">
        <v>14.42</v>
      </c>
      <c r="E531" t="s">
        <v>74</v>
      </c>
      <c r="F531" t="s">
        <v>87</v>
      </c>
      <c r="G531">
        <v>22.23</v>
      </c>
      <c r="H531">
        <v>6.61</v>
      </c>
      <c r="I531">
        <v>7.81</v>
      </c>
      <c r="J531">
        <v>60.996099999999998</v>
      </c>
      <c r="K531" t="str">
        <f>IFERROR(INDEX(Rosters!$C$2:$C$155,MATCH($B531,Rosters!$B$2:$B$155,0)),"NA")</f>
        <v>comp</v>
      </c>
      <c r="L531" t="str">
        <f t="shared" si="24"/>
        <v>comp10WR</v>
      </c>
      <c r="M531">
        <f>COUNTIF(L$1:L531,L531)</f>
        <v>1</v>
      </c>
      <c r="N531" t="str">
        <f t="shared" si="25"/>
        <v>comp10WR-1</v>
      </c>
      <c r="O531">
        <f>COUNTIFS(F$1:F531,F531,A$1:A531,A531)</f>
        <v>2</v>
      </c>
      <c r="P531" t="str">
        <f t="shared" si="26"/>
        <v>Antonio Brown10</v>
      </c>
    </row>
    <row r="532" spans="1:16" x14ac:dyDescent="0.25">
      <c r="A532">
        <v>13</v>
      </c>
      <c r="B532" t="s">
        <v>75</v>
      </c>
      <c r="C532" t="s">
        <v>6064</v>
      </c>
      <c r="D532">
        <v>14.42</v>
      </c>
      <c r="E532" t="s">
        <v>72</v>
      </c>
      <c r="F532" t="s">
        <v>15</v>
      </c>
      <c r="G532">
        <v>21.14</v>
      </c>
      <c r="H532">
        <v>7.7</v>
      </c>
      <c r="I532">
        <v>6.72</v>
      </c>
      <c r="J532">
        <v>45.1584</v>
      </c>
      <c r="K532" t="str">
        <f>IFERROR(INDEX(Rosters!$C$2:$C$155,MATCH($B532,Rosters!$B$2:$B$155,0)),"NA")</f>
        <v>NA</v>
      </c>
      <c r="L532" t="str">
        <f t="shared" si="24"/>
        <v>NA13QB</v>
      </c>
      <c r="M532">
        <f>COUNTIF(L$1:L532,L532)</f>
        <v>10</v>
      </c>
      <c r="N532" t="str">
        <f t="shared" si="25"/>
        <v>NA13QB-10</v>
      </c>
      <c r="O532">
        <f>COUNTIFS(F$1:F532,F532,A$1:A532,A532)</f>
        <v>26</v>
      </c>
      <c r="P532" t="str">
        <f t="shared" si="26"/>
        <v>Eli Manning13</v>
      </c>
    </row>
    <row r="533" spans="1:16" x14ac:dyDescent="0.25">
      <c r="A533">
        <v>16</v>
      </c>
      <c r="B533" t="s">
        <v>82</v>
      </c>
      <c r="C533" t="s">
        <v>6065</v>
      </c>
      <c r="D533">
        <v>14.42</v>
      </c>
      <c r="E533" t="s">
        <v>37</v>
      </c>
      <c r="F533" t="s">
        <v>15</v>
      </c>
      <c r="G533">
        <v>20.18</v>
      </c>
      <c r="H533">
        <v>8.66</v>
      </c>
      <c r="I533">
        <v>5.76</v>
      </c>
      <c r="J533">
        <v>33.177599999999998</v>
      </c>
      <c r="K533" t="str">
        <f>IFERROR(INDEX(Rosters!$C$2:$C$155,MATCH($B533,Rosters!$B$2:$B$155,0)),"NA")</f>
        <v>NA</v>
      </c>
      <c r="L533" t="str">
        <f t="shared" si="24"/>
        <v>NA16QB</v>
      </c>
      <c r="M533">
        <f>COUNTIF(L$1:L533,L533)</f>
        <v>11</v>
      </c>
      <c r="N533" t="str">
        <f t="shared" si="25"/>
        <v>NA16QB-11</v>
      </c>
      <c r="O533">
        <f>COUNTIFS(F$1:F533,F533,A$1:A533,A533)</f>
        <v>28</v>
      </c>
      <c r="P533" t="str">
        <f t="shared" si="26"/>
        <v>Joe Flacco16</v>
      </c>
    </row>
    <row r="534" spans="1:16" x14ac:dyDescent="0.25">
      <c r="A534">
        <v>14</v>
      </c>
      <c r="B534" t="s">
        <v>1288</v>
      </c>
      <c r="C534" t="s">
        <v>6066</v>
      </c>
      <c r="D534">
        <v>14.42</v>
      </c>
      <c r="E534" t="s">
        <v>60</v>
      </c>
      <c r="F534" t="s">
        <v>47</v>
      </c>
      <c r="G534">
        <v>23.95</v>
      </c>
      <c r="H534">
        <v>4.8899999999999997</v>
      </c>
      <c r="I534">
        <v>9.5299999999999994</v>
      </c>
      <c r="J534">
        <v>90.820899999999995</v>
      </c>
      <c r="K534" t="str">
        <f>IFERROR(INDEX(Rosters!$C$2:$C$155,MATCH($B534,Rosters!$B$2:$B$155,0)),"NA")</f>
        <v>lucas</v>
      </c>
      <c r="L534" t="str">
        <f t="shared" si="24"/>
        <v>lucas14RB</v>
      </c>
      <c r="M534">
        <f>COUNTIF(L$1:L534,L534)</f>
        <v>1</v>
      </c>
      <c r="N534" t="str">
        <f t="shared" si="25"/>
        <v>lucas14RB-1</v>
      </c>
      <c r="O534">
        <f>COUNTIFS(F$1:F534,F534,A$1:A534,A534)</f>
        <v>8</v>
      </c>
      <c r="P534" t="str">
        <f t="shared" si="26"/>
        <v>Saquon Barkley14</v>
      </c>
    </row>
    <row r="535" spans="1:16" x14ac:dyDescent="0.25">
      <c r="A535">
        <v>7</v>
      </c>
      <c r="B535" t="s">
        <v>1277</v>
      </c>
      <c r="C535" t="s">
        <v>6067</v>
      </c>
      <c r="D535">
        <v>14.41</v>
      </c>
      <c r="E535" t="s">
        <v>66</v>
      </c>
      <c r="F535" t="s">
        <v>15</v>
      </c>
      <c r="G535">
        <v>21.53</v>
      </c>
      <c r="H535">
        <v>7.29</v>
      </c>
      <c r="I535">
        <v>7.12</v>
      </c>
      <c r="J535">
        <v>50.694400000000002</v>
      </c>
      <c r="K535" t="str">
        <f>IFERROR(INDEX(Rosters!$C$2:$C$155,MATCH($B535,Rosters!$B$2:$B$155,0)),"NA")</f>
        <v>NA</v>
      </c>
      <c r="L535" t="str">
        <f t="shared" si="24"/>
        <v>NA7QB</v>
      </c>
      <c r="M535">
        <f>COUNTIF(L$1:L535,L535)</f>
        <v>12</v>
      </c>
      <c r="N535" t="str">
        <f t="shared" si="25"/>
        <v>NA7QB-12</v>
      </c>
      <c r="O535">
        <f>COUNTIFS(F$1:F535,F535,A$1:A535,A535)</f>
        <v>26</v>
      </c>
      <c r="P535" t="str">
        <f t="shared" si="26"/>
        <v>Josh Allen7</v>
      </c>
    </row>
    <row r="536" spans="1:16" x14ac:dyDescent="0.25">
      <c r="A536">
        <v>3</v>
      </c>
      <c r="B536" t="s">
        <v>86</v>
      </c>
      <c r="C536" t="s">
        <v>3626</v>
      </c>
      <c r="D536">
        <v>14.39</v>
      </c>
      <c r="E536" t="s">
        <v>36</v>
      </c>
      <c r="F536" t="s">
        <v>87</v>
      </c>
      <c r="G536">
        <v>23.27</v>
      </c>
      <c r="H536">
        <v>5.51</v>
      </c>
      <c r="I536">
        <v>8.8800000000000008</v>
      </c>
      <c r="J536">
        <v>78.854399999999998</v>
      </c>
      <c r="K536" t="str">
        <f>IFERROR(INDEX(Rosters!$C$2:$C$155,MATCH($B536,Rosters!$B$2:$B$155,0)),"NA")</f>
        <v>seth</v>
      </c>
      <c r="L536" t="str">
        <f t="shared" si="24"/>
        <v>seth3WR</v>
      </c>
      <c r="M536">
        <f>COUNTIF(L$1:L536,L536)</f>
        <v>1</v>
      </c>
      <c r="N536" t="str">
        <f t="shared" si="25"/>
        <v>seth3WR-1</v>
      </c>
      <c r="O536">
        <f>COUNTIFS(F$1:F536,F536,A$1:A536,A536)</f>
        <v>2</v>
      </c>
      <c r="P536" t="str">
        <f t="shared" si="26"/>
        <v>Odell Beckham Jr.3</v>
      </c>
    </row>
    <row r="537" spans="1:16" x14ac:dyDescent="0.25">
      <c r="A537">
        <v>11</v>
      </c>
      <c r="B537" t="s">
        <v>71</v>
      </c>
      <c r="C537" t="s">
        <v>6068</v>
      </c>
      <c r="D537">
        <v>14.38</v>
      </c>
      <c r="E537" t="s">
        <v>58</v>
      </c>
      <c r="F537" t="s">
        <v>15</v>
      </c>
      <c r="G537">
        <v>22.2</v>
      </c>
      <c r="H537">
        <v>6.56</v>
      </c>
      <c r="I537">
        <v>7.82</v>
      </c>
      <c r="J537">
        <v>61.1524</v>
      </c>
      <c r="K537" t="str">
        <f>IFERROR(INDEX(Rosters!$C$2:$C$155,MATCH($B537,Rosters!$B$2:$B$155,0)),"NA")</f>
        <v>NA</v>
      </c>
      <c r="L537" t="str">
        <f t="shared" si="24"/>
        <v>NA11QB</v>
      </c>
      <c r="M537">
        <f>COUNTIF(L$1:L537,L537)</f>
        <v>11</v>
      </c>
      <c r="N537" t="str">
        <f t="shared" si="25"/>
        <v>NA11QB-11</v>
      </c>
      <c r="O537">
        <f>COUNTIFS(F$1:F537,F537,A$1:A537,A537)</f>
        <v>25</v>
      </c>
      <c r="P537" t="str">
        <f t="shared" si="26"/>
        <v>Derek Carr11</v>
      </c>
    </row>
    <row r="538" spans="1:16" x14ac:dyDescent="0.25">
      <c r="A538">
        <v>10</v>
      </c>
      <c r="B538" t="s">
        <v>1275</v>
      </c>
      <c r="C538" t="s">
        <v>6069</v>
      </c>
      <c r="D538">
        <v>14.38</v>
      </c>
      <c r="E538" t="s">
        <v>29</v>
      </c>
      <c r="F538" t="s">
        <v>15</v>
      </c>
      <c r="G538">
        <v>20.87</v>
      </c>
      <c r="H538">
        <v>7.89</v>
      </c>
      <c r="I538">
        <v>6.49</v>
      </c>
      <c r="J538">
        <v>42.120100000000001</v>
      </c>
      <c r="K538" t="str">
        <f>IFERROR(INDEX(Rosters!$C$2:$C$155,MATCH($B538,Rosters!$B$2:$B$155,0)),"NA")</f>
        <v>NA</v>
      </c>
      <c r="L538" t="str">
        <f t="shared" si="24"/>
        <v>NA10QB</v>
      </c>
      <c r="M538">
        <f>COUNTIF(L$1:L538,L538)</f>
        <v>10</v>
      </c>
      <c r="N538" t="str">
        <f t="shared" si="25"/>
        <v>NA10QB-10</v>
      </c>
      <c r="O538">
        <f>COUNTIFS(F$1:F538,F538,A$1:A538,A538)</f>
        <v>25</v>
      </c>
      <c r="P538" t="str">
        <f t="shared" si="26"/>
        <v>Sam Darnold10</v>
      </c>
    </row>
    <row r="539" spans="1:16" x14ac:dyDescent="0.25">
      <c r="A539">
        <v>8</v>
      </c>
      <c r="B539" t="s">
        <v>96</v>
      </c>
      <c r="C539" t="s">
        <v>6070</v>
      </c>
      <c r="D539">
        <v>14.36</v>
      </c>
      <c r="E539" t="s">
        <v>52</v>
      </c>
      <c r="F539" t="s">
        <v>87</v>
      </c>
      <c r="G539">
        <v>21.38</v>
      </c>
      <c r="H539">
        <v>7.34</v>
      </c>
      <c r="I539">
        <v>7.02</v>
      </c>
      <c r="J539">
        <v>49.2804</v>
      </c>
      <c r="K539" t="str">
        <f>IFERROR(INDEX(Rosters!$C$2:$C$155,MATCH($B539,Rosters!$B$2:$B$155,0)),"NA")</f>
        <v>comp</v>
      </c>
      <c r="L539" t="str">
        <f t="shared" si="24"/>
        <v>comp8WR</v>
      </c>
      <c r="M539">
        <f>COUNTIF(L$1:L539,L539)</f>
        <v>1</v>
      </c>
      <c r="N539" t="str">
        <f t="shared" si="25"/>
        <v>comp8WR-1</v>
      </c>
      <c r="O539">
        <f>COUNTIFS(F$1:F539,F539,A$1:A539,A539)</f>
        <v>2</v>
      </c>
      <c r="P539" t="str">
        <f t="shared" si="26"/>
        <v>Antonio Brown8</v>
      </c>
    </row>
    <row r="540" spans="1:16" x14ac:dyDescent="0.25">
      <c r="A540">
        <v>1</v>
      </c>
      <c r="B540" t="s">
        <v>1278</v>
      </c>
      <c r="C540" t="s">
        <v>1290</v>
      </c>
      <c r="D540">
        <v>14.36</v>
      </c>
      <c r="E540" t="s">
        <v>38</v>
      </c>
      <c r="F540" t="s">
        <v>15</v>
      </c>
      <c r="G540">
        <v>21.04</v>
      </c>
      <c r="H540">
        <v>7.68</v>
      </c>
      <c r="I540">
        <v>6.68</v>
      </c>
      <c r="J540">
        <v>44.622399999999999</v>
      </c>
      <c r="K540" t="str">
        <f>IFERROR(INDEX(Rosters!$C$2:$C$155,MATCH($B540,Rosters!$B$2:$B$155,0)),"NA")</f>
        <v>NA</v>
      </c>
      <c r="L540" t="str">
        <f t="shared" si="24"/>
        <v>NA1QB</v>
      </c>
      <c r="M540">
        <f>COUNTIF(L$1:L540,L540)</f>
        <v>7</v>
      </c>
      <c r="N540" t="str">
        <f t="shared" si="25"/>
        <v>NA1QB-7</v>
      </c>
      <c r="O540">
        <f>COUNTIFS(F$1:F540,F540,A$1:A540,A540)</f>
        <v>22</v>
      </c>
      <c r="P540" t="str">
        <f t="shared" si="26"/>
        <v>Ryan Tannehill1</v>
      </c>
    </row>
    <row r="541" spans="1:16" x14ac:dyDescent="0.25">
      <c r="A541">
        <v>5</v>
      </c>
      <c r="B541" t="s">
        <v>82</v>
      </c>
      <c r="C541" t="s">
        <v>6071</v>
      </c>
      <c r="D541">
        <v>14.35</v>
      </c>
      <c r="E541" t="s">
        <v>52</v>
      </c>
      <c r="F541" t="s">
        <v>15</v>
      </c>
      <c r="G541">
        <v>20.83</v>
      </c>
      <c r="H541">
        <v>7.87</v>
      </c>
      <c r="I541">
        <v>6.48</v>
      </c>
      <c r="J541">
        <v>41.990400000000001</v>
      </c>
      <c r="K541" t="str">
        <f>IFERROR(INDEX(Rosters!$C$2:$C$155,MATCH($B541,Rosters!$B$2:$B$155,0)),"NA")</f>
        <v>NA</v>
      </c>
      <c r="L541" t="str">
        <f t="shared" si="24"/>
        <v>NA5QB</v>
      </c>
      <c r="M541">
        <f>COUNTIF(L$1:L541,L541)</f>
        <v>9</v>
      </c>
      <c r="N541" t="str">
        <f t="shared" si="25"/>
        <v>NA5QB-9</v>
      </c>
      <c r="O541">
        <f>COUNTIFS(F$1:F541,F541,A$1:A541,A541)</f>
        <v>25</v>
      </c>
      <c r="P541" t="str">
        <f t="shared" si="26"/>
        <v>Joe Flacco5</v>
      </c>
    </row>
    <row r="542" spans="1:16" x14ac:dyDescent="0.25">
      <c r="A542">
        <v>13</v>
      </c>
      <c r="B542" t="s">
        <v>124</v>
      </c>
      <c r="C542" t="s">
        <v>6072</v>
      </c>
      <c r="D542">
        <v>14.33</v>
      </c>
      <c r="E542" t="s">
        <v>32</v>
      </c>
      <c r="F542" t="s">
        <v>87</v>
      </c>
      <c r="G542">
        <v>22.75</v>
      </c>
      <c r="H542">
        <v>5.91</v>
      </c>
      <c r="I542">
        <v>8.42</v>
      </c>
      <c r="J542">
        <v>70.8964</v>
      </c>
      <c r="K542" t="str">
        <f>IFERROR(INDEX(Rosters!$C$2:$C$155,MATCH($B542,Rosters!$B$2:$B$155,0)),"NA")</f>
        <v>matty</v>
      </c>
      <c r="L542" t="str">
        <f t="shared" si="24"/>
        <v>matty13WR</v>
      </c>
      <c r="M542">
        <f>COUNTIF(L$1:L542,L542)</f>
        <v>1</v>
      </c>
      <c r="N542" t="str">
        <f t="shared" si="25"/>
        <v>matty13WR-1</v>
      </c>
      <c r="O542">
        <f>COUNTIFS(F$1:F542,F542,A$1:A542,A542)</f>
        <v>1</v>
      </c>
      <c r="P542" t="str">
        <f t="shared" si="26"/>
        <v>Tyreek Hill13</v>
      </c>
    </row>
    <row r="543" spans="1:16" x14ac:dyDescent="0.25">
      <c r="A543">
        <v>13</v>
      </c>
      <c r="B543" t="s">
        <v>1277</v>
      </c>
      <c r="C543" t="s">
        <v>6073</v>
      </c>
      <c r="D543">
        <v>14.31</v>
      </c>
      <c r="E543" t="s">
        <v>19</v>
      </c>
      <c r="F543" t="s">
        <v>15</v>
      </c>
      <c r="G543">
        <v>21.34</v>
      </c>
      <c r="H543">
        <v>7.28</v>
      </c>
      <c r="I543">
        <v>7.03</v>
      </c>
      <c r="J543">
        <v>49.420900000000003</v>
      </c>
      <c r="K543" t="str">
        <f>IFERROR(INDEX(Rosters!$C$2:$C$155,MATCH($B543,Rosters!$B$2:$B$155,0)),"NA")</f>
        <v>NA</v>
      </c>
      <c r="L543" t="str">
        <f t="shared" si="24"/>
        <v>NA13QB</v>
      </c>
      <c r="M543">
        <f>COUNTIF(L$1:L543,L543)</f>
        <v>11</v>
      </c>
      <c r="N543" t="str">
        <f t="shared" si="25"/>
        <v>NA13QB-11</v>
      </c>
      <c r="O543">
        <f>COUNTIFS(F$1:F543,F543,A$1:A543,A543)</f>
        <v>27</v>
      </c>
      <c r="P543" t="str">
        <f t="shared" si="26"/>
        <v>Josh Allen13</v>
      </c>
    </row>
    <row r="544" spans="1:16" x14ac:dyDescent="0.25">
      <c r="A544">
        <v>14</v>
      </c>
      <c r="B544" t="s">
        <v>1277</v>
      </c>
      <c r="C544" t="s">
        <v>6074</v>
      </c>
      <c r="D544">
        <v>14.31</v>
      </c>
      <c r="E544" t="s">
        <v>73</v>
      </c>
      <c r="F544" t="s">
        <v>15</v>
      </c>
      <c r="G544">
        <v>21.17</v>
      </c>
      <c r="H544">
        <v>7.45</v>
      </c>
      <c r="I544">
        <v>6.86</v>
      </c>
      <c r="J544">
        <v>47.059600000000003</v>
      </c>
      <c r="K544" t="str">
        <f>IFERROR(INDEX(Rosters!$C$2:$C$155,MATCH($B544,Rosters!$B$2:$B$155,0)),"NA")</f>
        <v>NA</v>
      </c>
      <c r="L544" t="str">
        <f t="shared" si="24"/>
        <v>NA14QB</v>
      </c>
      <c r="M544">
        <f>COUNTIF(L$1:L544,L544)</f>
        <v>11</v>
      </c>
      <c r="N544" t="str">
        <f t="shared" si="25"/>
        <v>NA14QB-11</v>
      </c>
      <c r="O544">
        <f>COUNTIFS(F$1:F544,F544,A$1:A544,A544)</f>
        <v>26</v>
      </c>
      <c r="P544" t="str">
        <f t="shared" si="26"/>
        <v>Josh Allen14</v>
      </c>
    </row>
    <row r="545" spans="1:16" x14ac:dyDescent="0.25">
      <c r="A545">
        <v>15</v>
      </c>
      <c r="B545" t="s">
        <v>1506</v>
      </c>
      <c r="C545" t="s">
        <v>6075</v>
      </c>
      <c r="D545">
        <v>14.31</v>
      </c>
      <c r="E545" t="s">
        <v>46</v>
      </c>
      <c r="F545" t="s">
        <v>15</v>
      </c>
      <c r="G545">
        <v>20.78</v>
      </c>
      <c r="H545">
        <v>7.84</v>
      </c>
      <c r="I545">
        <v>6.47</v>
      </c>
      <c r="J545">
        <v>41.860900000000001</v>
      </c>
      <c r="K545" t="str">
        <f>IFERROR(INDEX(Rosters!$C$2:$C$155,MATCH($B545,Rosters!$B$2:$B$155,0)),"NA")</f>
        <v>NA</v>
      </c>
      <c r="L545" t="str">
        <f t="shared" si="24"/>
        <v>NA15QB</v>
      </c>
      <c r="M545">
        <f>COUNTIF(L$1:L545,L545)</f>
        <v>13</v>
      </c>
      <c r="N545" t="str">
        <f t="shared" si="25"/>
        <v>NA15QB-13</v>
      </c>
      <c r="O545">
        <f>COUNTIFS(F$1:F545,F545,A$1:A545,A545)</f>
        <v>29</v>
      </c>
      <c r="P545" t="str">
        <f t="shared" si="26"/>
        <v>Josh Rosen15</v>
      </c>
    </row>
    <row r="546" spans="1:16" x14ac:dyDescent="0.25">
      <c r="A546">
        <v>17</v>
      </c>
      <c r="B546" t="s">
        <v>291</v>
      </c>
      <c r="C546" t="s">
        <v>6076</v>
      </c>
      <c r="D546">
        <v>14.29</v>
      </c>
      <c r="E546" t="s">
        <v>25</v>
      </c>
      <c r="F546" t="s">
        <v>15</v>
      </c>
      <c r="G546">
        <v>20.28</v>
      </c>
      <c r="H546">
        <v>8.3000000000000007</v>
      </c>
      <c r="I546">
        <v>5.99</v>
      </c>
      <c r="J546">
        <v>35.880099999999999</v>
      </c>
      <c r="K546" t="str">
        <f>IFERROR(INDEX(Rosters!$C$2:$C$155,MATCH($B546,Rosters!$B$2:$B$155,0)),"NA")</f>
        <v>NA</v>
      </c>
      <c r="L546" t="str">
        <f t="shared" si="24"/>
        <v>NA17QB</v>
      </c>
      <c r="M546">
        <f>COUNTIF(L$1:L546,L546)</f>
        <v>12</v>
      </c>
      <c r="N546" t="str">
        <f t="shared" si="25"/>
        <v>NA17QB-12</v>
      </c>
      <c r="O546">
        <f>COUNTIFS(F$1:F546,F546,A$1:A546,A546)</f>
        <v>27</v>
      </c>
      <c r="P546" t="str">
        <f t="shared" si="26"/>
        <v>Mitchell Trubisky17</v>
      </c>
    </row>
    <row r="547" spans="1:16" x14ac:dyDescent="0.25">
      <c r="A547">
        <v>13</v>
      </c>
      <c r="B547" t="s">
        <v>1275</v>
      </c>
      <c r="C547" t="s">
        <v>6077</v>
      </c>
      <c r="D547">
        <v>14.29</v>
      </c>
      <c r="E547" t="s">
        <v>38</v>
      </c>
      <c r="F547" t="s">
        <v>15</v>
      </c>
      <c r="G547">
        <v>21.51</v>
      </c>
      <c r="H547">
        <v>7.07</v>
      </c>
      <c r="I547">
        <v>7.22</v>
      </c>
      <c r="J547">
        <v>52.128399999999999</v>
      </c>
      <c r="K547" t="str">
        <f>IFERROR(INDEX(Rosters!$C$2:$C$155,MATCH($B547,Rosters!$B$2:$B$155,0)),"NA")</f>
        <v>NA</v>
      </c>
      <c r="L547" t="str">
        <f t="shared" si="24"/>
        <v>NA13QB</v>
      </c>
      <c r="M547">
        <f>COUNTIF(L$1:L547,L547)</f>
        <v>12</v>
      </c>
      <c r="N547" t="str">
        <f t="shared" si="25"/>
        <v>NA13QB-12</v>
      </c>
      <c r="O547">
        <f>COUNTIFS(F$1:F547,F547,A$1:A547,A547)</f>
        <v>28</v>
      </c>
      <c r="P547" t="str">
        <f t="shared" si="26"/>
        <v>Sam Darnold13</v>
      </c>
    </row>
    <row r="548" spans="1:16" x14ac:dyDescent="0.25">
      <c r="A548">
        <v>16</v>
      </c>
      <c r="B548" t="s">
        <v>1277</v>
      </c>
      <c r="C548" t="s">
        <v>6078</v>
      </c>
      <c r="D548">
        <v>14.28</v>
      </c>
      <c r="E548" t="s">
        <v>423</v>
      </c>
      <c r="F548" t="s">
        <v>15</v>
      </c>
      <c r="G548">
        <v>21.26</v>
      </c>
      <c r="H548">
        <v>7.3</v>
      </c>
      <c r="I548">
        <v>6.98</v>
      </c>
      <c r="J548">
        <v>48.720399999999998</v>
      </c>
      <c r="K548" t="str">
        <f>IFERROR(INDEX(Rosters!$C$2:$C$155,MATCH($B548,Rosters!$B$2:$B$155,0)),"NA")</f>
        <v>NA</v>
      </c>
      <c r="L548" t="str">
        <f t="shared" si="24"/>
        <v>NA16QB</v>
      </c>
      <c r="M548">
        <f>COUNTIF(L$1:L548,L548)</f>
        <v>12</v>
      </c>
      <c r="N548" t="str">
        <f t="shared" si="25"/>
        <v>NA16QB-12</v>
      </c>
      <c r="O548">
        <f>COUNTIFS(F$1:F548,F548,A$1:A548,A548)</f>
        <v>29</v>
      </c>
      <c r="P548" t="str">
        <f t="shared" si="26"/>
        <v>Josh Allen16</v>
      </c>
    </row>
    <row r="549" spans="1:16" x14ac:dyDescent="0.25">
      <c r="A549">
        <v>3</v>
      </c>
      <c r="B549" t="s">
        <v>93</v>
      </c>
      <c r="C549" t="s">
        <v>3627</v>
      </c>
      <c r="D549">
        <v>14.27</v>
      </c>
      <c r="E549" t="s">
        <v>14</v>
      </c>
      <c r="F549" t="s">
        <v>87</v>
      </c>
      <c r="G549">
        <v>22.23</v>
      </c>
      <c r="H549">
        <v>6.31</v>
      </c>
      <c r="I549">
        <v>7.96</v>
      </c>
      <c r="J549">
        <v>63.361600000000003</v>
      </c>
      <c r="K549" t="str">
        <f>IFERROR(INDEX(Rosters!$C$2:$C$155,MATCH($B549,Rosters!$B$2:$B$155,0)),"NA")</f>
        <v>cory</v>
      </c>
      <c r="L549" t="str">
        <f t="shared" si="24"/>
        <v>cory3WR</v>
      </c>
      <c r="M549">
        <f>COUNTIF(L$1:L549,L549)</f>
        <v>1</v>
      </c>
      <c r="N549" t="str">
        <f t="shared" si="25"/>
        <v>cory3WR-1</v>
      </c>
      <c r="O549">
        <f>COUNTIFS(F$1:F549,F549,A$1:A549,A549)</f>
        <v>3</v>
      </c>
      <c r="P549" t="str">
        <f t="shared" si="26"/>
        <v>Julio Jones3</v>
      </c>
    </row>
    <row r="550" spans="1:16" x14ac:dyDescent="0.25">
      <c r="A550">
        <v>3</v>
      </c>
      <c r="B550" t="s">
        <v>33</v>
      </c>
      <c r="C550" t="s">
        <v>3628</v>
      </c>
      <c r="D550">
        <v>14.26</v>
      </c>
      <c r="E550" t="s">
        <v>50</v>
      </c>
      <c r="F550" t="s">
        <v>15</v>
      </c>
      <c r="G550">
        <v>21.81</v>
      </c>
      <c r="H550">
        <v>6.71</v>
      </c>
      <c r="I550">
        <v>7.55</v>
      </c>
      <c r="J550">
        <v>57.002499999999998</v>
      </c>
      <c r="K550" t="str">
        <f>IFERROR(INDEX(Rosters!$C$2:$C$155,MATCH($B550,Rosters!$B$2:$B$155,0)),"NA")</f>
        <v>comp</v>
      </c>
      <c r="L550" t="str">
        <f t="shared" si="24"/>
        <v>comp3QB</v>
      </c>
      <c r="M550">
        <f>COUNTIF(L$1:L550,L550)</f>
        <v>2</v>
      </c>
      <c r="N550" t="str">
        <f t="shared" si="25"/>
        <v>comp3QB-2</v>
      </c>
      <c r="O550">
        <f>COUNTIFS(F$1:F550,F550,A$1:A550,A550)</f>
        <v>21</v>
      </c>
      <c r="P550" t="str">
        <f t="shared" si="26"/>
        <v>Andrew Luck3</v>
      </c>
    </row>
    <row r="551" spans="1:16" x14ac:dyDescent="0.25">
      <c r="A551">
        <v>1</v>
      </c>
      <c r="B551" t="s">
        <v>71</v>
      </c>
      <c r="C551" t="s">
        <v>1291</v>
      </c>
      <c r="D551">
        <v>14.26</v>
      </c>
      <c r="E551" t="s">
        <v>56</v>
      </c>
      <c r="F551" t="s">
        <v>15</v>
      </c>
      <c r="G551">
        <v>20.13</v>
      </c>
      <c r="H551">
        <v>8.39</v>
      </c>
      <c r="I551">
        <v>5.87</v>
      </c>
      <c r="J551">
        <v>34.456899999999997</v>
      </c>
      <c r="K551" t="str">
        <f>IFERROR(INDEX(Rosters!$C$2:$C$155,MATCH($B551,Rosters!$B$2:$B$155,0)),"NA")</f>
        <v>NA</v>
      </c>
      <c r="L551" t="str">
        <f t="shared" si="24"/>
        <v>NA1QB</v>
      </c>
      <c r="M551">
        <f>COUNTIF(L$1:L551,L551)</f>
        <v>8</v>
      </c>
      <c r="N551" t="str">
        <f t="shared" si="25"/>
        <v>NA1QB-8</v>
      </c>
      <c r="O551">
        <f>COUNTIFS(F$1:F551,F551,A$1:A551,A551)</f>
        <v>23</v>
      </c>
      <c r="P551" t="str">
        <f t="shared" si="26"/>
        <v>Derek Carr1</v>
      </c>
    </row>
    <row r="552" spans="1:16" x14ac:dyDescent="0.25">
      <c r="A552">
        <v>8</v>
      </c>
      <c r="B552" t="s">
        <v>99</v>
      </c>
      <c r="C552" t="s">
        <v>6079</v>
      </c>
      <c r="D552">
        <v>14.26</v>
      </c>
      <c r="E552" t="s">
        <v>19</v>
      </c>
      <c r="F552" t="s">
        <v>47</v>
      </c>
      <c r="G552">
        <v>21.91</v>
      </c>
      <c r="H552">
        <v>6.61</v>
      </c>
      <c r="I552">
        <v>7.65</v>
      </c>
      <c r="J552">
        <v>58.522500000000001</v>
      </c>
      <c r="K552" t="str">
        <f>IFERROR(INDEX(Rosters!$C$2:$C$155,MATCH($B552,Rosters!$B$2:$B$155,0)),"NA")</f>
        <v>comp</v>
      </c>
      <c r="L552" t="str">
        <f t="shared" si="24"/>
        <v>comp8RB</v>
      </c>
      <c r="M552">
        <f>COUNTIF(L$1:L552,L552)</f>
        <v>1</v>
      </c>
      <c r="N552" t="str">
        <f t="shared" si="25"/>
        <v>comp8RB-1</v>
      </c>
      <c r="O552">
        <f>COUNTIFS(F$1:F552,F552,A$1:A552,A552)</f>
        <v>6</v>
      </c>
      <c r="P552" t="str">
        <f t="shared" si="26"/>
        <v>Lamar Miller8</v>
      </c>
    </row>
    <row r="553" spans="1:16" x14ac:dyDescent="0.25">
      <c r="A553">
        <v>9</v>
      </c>
      <c r="B553" t="s">
        <v>1275</v>
      </c>
      <c r="C553" t="s">
        <v>6080</v>
      </c>
      <c r="D553">
        <v>14.26</v>
      </c>
      <c r="E553" t="s">
        <v>19</v>
      </c>
      <c r="F553" t="s">
        <v>15</v>
      </c>
      <c r="G553">
        <v>20.71</v>
      </c>
      <c r="H553">
        <v>7.81</v>
      </c>
      <c r="I553">
        <v>6.45</v>
      </c>
      <c r="J553">
        <v>41.602499999999999</v>
      </c>
      <c r="K553" t="str">
        <f>IFERROR(INDEX(Rosters!$C$2:$C$155,MATCH($B553,Rosters!$B$2:$B$155,0)),"NA")</f>
        <v>NA</v>
      </c>
      <c r="L553" t="str">
        <f t="shared" si="24"/>
        <v>NA9QB</v>
      </c>
      <c r="M553">
        <f>COUNTIF(L$1:L553,L553)</f>
        <v>9</v>
      </c>
      <c r="N553" t="str">
        <f t="shared" si="25"/>
        <v>NA9QB-9</v>
      </c>
      <c r="O553">
        <f>COUNTIFS(F$1:F553,F553,A$1:A553,A553)</f>
        <v>23</v>
      </c>
      <c r="P553" t="str">
        <f t="shared" si="26"/>
        <v>Sam Darnold9</v>
      </c>
    </row>
    <row r="554" spans="1:16" x14ac:dyDescent="0.25">
      <c r="A554">
        <v>15</v>
      </c>
      <c r="B554" t="s">
        <v>111</v>
      </c>
      <c r="C554" t="s">
        <v>6081</v>
      </c>
      <c r="D554">
        <v>14.23</v>
      </c>
      <c r="E554" t="s">
        <v>60</v>
      </c>
      <c r="F554" t="s">
        <v>47</v>
      </c>
      <c r="G554">
        <v>21.1</v>
      </c>
      <c r="H554">
        <v>7.36</v>
      </c>
      <c r="I554">
        <v>6.87</v>
      </c>
      <c r="J554">
        <v>47.196899999999999</v>
      </c>
      <c r="K554" t="str">
        <f>IFERROR(INDEX(Rosters!$C$2:$C$155,MATCH($B554,Rosters!$B$2:$B$155,0)),"NA")</f>
        <v>seth</v>
      </c>
      <c r="L554" t="str">
        <f t="shared" si="24"/>
        <v>seth15RB</v>
      </c>
      <c r="M554">
        <f>COUNTIF(L$1:L554,L554)</f>
        <v>1</v>
      </c>
      <c r="N554" t="str">
        <f t="shared" si="25"/>
        <v>seth15RB-1</v>
      </c>
      <c r="O554">
        <f>COUNTIFS(F$1:F554,F554,A$1:A554,A554)</f>
        <v>8</v>
      </c>
      <c r="P554" t="str">
        <f t="shared" si="26"/>
        <v>Leonard Fournette15</v>
      </c>
    </row>
    <row r="555" spans="1:16" x14ac:dyDescent="0.25">
      <c r="A555">
        <v>4</v>
      </c>
      <c r="B555" t="s">
        <v>1288</v>
      </c>
      <c r="C555" t="s">
        <v>4429</v>
      </c>
      <c r="D555">
        <v>14.22</v>
      </c>
      <c r="E555" t="s">
        <v>14</v>
      </c>
      <c r="F555" t="s">
        <v>47</v>
      </c>
      <c r="G555">
        <v>22.79</v>
      </c>
      <c r="H555">
        <v>5.65</v>
      </c>
      <c r="I555">
        <v>8.57</v>
      </c>
      <c r="J555">
        <v>73.444900000000004</v>
      </c>
      <c r="K555" t="str">
        <f>IFERROR(INDEX(Rosters!$C$2:$C$155,MATCH($B555,Rosters!$B$2:$B$155,0)),"NA")</f>
        <v>lucas</v>
      </c>
      <c r="L555" t="str">
        <f t="shared" si="24"/>
        <v>lucas4RB</v>
      </c>
      <c r="M555">
        <f>COUNTIF(L$1:L555,L555)</f>
        <v>1</v>
      </c>
      <c r="N555" t="str">
        <f t="shared" si="25"/>
        <v>lucas4RB-1</v>
      </c>
      <c r="O555">
        <f>COUNTIFS(F$1:F555,F555,A$1:A555,A555)</f>
        <v>5</v>
      </c>
      <c r="P555" t="str">
        <f t="shared" si="26"/>
        <v>Saquon Barkley4</v>
      </c>
    </row>
    <row r="556" spans="1:16" x14ac:dyDescent="0.25">
      <c r="A556">
        <v>16</v>
      </c>
      <c r="B556" t="s">
        <v>1506</v>
      </c>
      <c r="C556" t="s">
        <v>6082</v>
      </c>
      <c r="D556">
        <v>14.19</v>
      </c>
      <c r="E556" t="s">
        <v>56</v>
      </c>
      <c r="F556" t="s">
        <v>15</v>
      </c>
      <c r="G556">
        <v>20.49</v>
      </c>
      <c r="H556">
        <v>7.89</v>
      </c>
      <c r="I556">
        <v>6.3</v>
      </c>
      <c r="J556">
        <v>39.69</v>
      </c>
      <c r="K556" t="str">
        <f>IFERROR(INDEX(Rosters!$C$2:$C$155,MATCH($B556,Rosters!$B$2:$B$155,0)),"NA")</f>
        <v>NA</v>
      </c>
      <c r="L556" t="str">
        <f t="shared" si="24"/>
        <v>NA16QB</v>
      </c>
      <c r="M556">
        <f>COUNTIF(L$1:L556,L556)</f>
        <v>13</v>
      </c>
      <c r="N556" t="str">
        <f t="shared" si="25"/>
        <v>NA16QB-13</v>
      </c>
      <c r="O556">
        <f>COUNTIFS(F$1:F556,F556,A$1:A556,A556)</f>
        <v>30</v>
      </c>
      <c r="P556" t="str">
        <f t="shared" si="26"/>
        <v>Josh Rosen16</v>
      </c>
    </row>
    <row r="557" spans="1:16" x14ac:dyDescent="0.25">
      <c r="A557">
        <v>12</v>
      </c>
      <c r="B557" t="s">
        <v>1537</v>
      </c>
      <c r="C557" t="s">
        <v>6083</v>
      </c>
      <c r="D557">
        <v>14.17</v>
      </c>
      <c r="E557" t="s">
        <v>17</v>
      </c>
      <c r="F557" t="s">
        <v>15</v>
      </c>
      <c r="G557">
        <v>21.66</v>
      </c>
      <c r="H557">
        <v>6.68</v>
      </c>
      <c r="I557">
        <v>7.49</v>
      </c>
      <c r="J557">
        <v>56.100099999999998</v>
      </c>
      <c r="K557" t="str">
        <f>IFERROR(INDEX(Rosters!$C$2:$C$155,MATCH($B557,Rosters!$B$2:$B$155,0)),"NA")</f>
        <v>NA</v>
      </c>
      <c r="L557" t="str">
        <f t="shared" si="24"/>
        <v>NA12QB</v>
      </c>
      <c r="M557">
        <f>COUNTIF(L$1:L557,L557)</f>
        <v>11</v>
      </c>
      <c r="N557" t="str">
        <f t="shared" si="25"/>
        <v>NA12QB-11</v>
      </c>
      <c r="O557">
        <f>COUNTIFS(F$1:F557,F557,A$1:A557,A557)</f>
        <v>26</v>
      </c>
      <c r="P557" t="str">
        <f t="shared" si="26"/>
        <v>C.J. Beathard12</v>
      </c>
    </row>
    <row r="558" spans="1:16" x14ac:dyDescent="0.25">
      <c r="A558">
        <v>5</v>
      </c>
      <c r="B558" t="s">
        <v>93</v>
      </c>
      <c r="C558" t="s">
        <v>6084</v>
      </c>
      <c r="D558">
        <v>14.17</v>
      </c>
      <c r="E558" t="s">
        <v>51</v>
      </c>
      <c r="F558" t="s">
        <v>87</v>
      </c>
      <c r="G558">
        <v>22.15</v>
      </c>
      <c r="H558">
        <v>6.19</v>
      </c>
      <c r="I558">
        <v>7.98</v>
      </c>
      <c r="J558">
        <v>63.680399999999999</v>
      </c>
      <c r="K558" t="str">
        <f>IFERROR(INDEX(Rosters!$C$2:$C$155,MATCH($B558,Rosters!$B$2:$B$155,0)),"NA")</f>
        <v>cory</v>
      </c>
      <c r="L558" t="str">
        <f t="shared" si="24"/>
        <v>cory5WR</v>
      </c>
      <c r="M558">
        <f>COUNTIF(L$1:L558,L558)</f>
        <v>1</v>
      </c>
      <c r="N558" t="str">
        <f t="shared" si="25"/>
        <v>cory5WR-1</v>
      </c>
      <c r="O558">
        <f>COUNTIFS(F$1:F558,F558,A$1:A558,A558)</f>
        <v>4</v>
      </c>
      <c r="P558" t="str">
        <f t="shared" si="26"/>
        <v>Julio Jones5</v>
      </c>
    </row>
    <row r="559" spans="1:16" x14ac:dyDescent="0.25">
      <c r="A559">
        <v>13</v>
      </c>
      <c r="B559" t="s">
        <v>45</v>
      </c>
      <c r="C559" t="s">
        <v>6085</v>
      </c>
      <c r="D559">
        <v>14.16</v>
      </c>
      <c r="E559" t="s">
        <v>41</v>
      </c>
      <c r="F559" t="s">
        <v>47</v>
      </c>
      <c r="G559">
        <v>25.63</v>
      </c>
      <c r="H559">
        <v>2.69</v>
      </c>
      <c r="I559">
        <v>11.47</v>
      </c>
      <c r="J559">
        <v>131.5609</v>
      </c>
      <c r="K559" t="str">
        <f>IFERROR(INDEX(Rosters!$C$2:$C$155,MATCH($B559,Rosters!$B$2:$B$155,0)),"NA")</f>
        <v>matty</v>
      </c>
      <c r="L559" t="str">
        <f t="shared" si="24"/>
        <v>matty13RB</v>
      </c>
      <c r="M559">
        <f>COUNTIF(L$1:L559,L559)</f>
        <v>2</v>
      </c>
      <c r="N559" t="str">
        <f t="shared" si="25"/>
        <v>matty13RB-2</v>
      </c>
      <c r="O559">
        <f>COUNTIFS(F$1:F559,F559,A$1:A559,A559)</f>
        <v>6</v>
      </c>
      <c r="P559" t="str">
        <f t="shared" si="26"/>
        <v>David Johnson13</v>
      </c>
    </row>
    <row r="560" spans="1:16" x14ac:dyDescent="0.25">
      <c r="A560">
        <v>3</v>
      </c>
      <c r="B560" t="s">
        <v>82</v>
      </c>
      <c r="C560" t="s">
        <v>3629</v>
      </c>
      <c r="D560">
        <v>14.16</v>
      </c>
      <c r="E560" t="s">
        <v>42</v>
      </c>
      <c r="F560" t="s">
        <v>15</v>
      </c>
      <c r="G560">
        <v>20.059999999999999</v>
      </c>
      <c r="H560">
        <v>8.26</v>
      </c>
      <c r="I560">
        <v>5.9</v>
      </c>
      <c r="J560">
        <v>34.81</v>
      </c>
      <c r="K560" t="str">
        <f>IFERROR(INDEX(Rosters!$C$2:$C$155,MATCH($B560,Rosters!$B$2:$B$155,0)),"NA")</f>
        <v>NA</v>
      </c>
      <c r="L560" t="str">
        <f t="shared" si="24"/>
        <v>NA3QB</v>
      </c>
      <c r="M560">
        <f>COUNTIF(L$1:L560,L560)</f>
        <v>7</v>
      </c>
      <c r="N560" t="str">
        <f t="shared" si="25"/>
        <v>NA3QB-7</v>
      </c>
      <c r="O560">
        <f>COUNTIFS(F$1:F560,F560,A$1:A560,A560)</f>
        <v>22</v>
      </c>
      <c r="P560" t="str">
        <f t="shared" si="26"/>
        <v>Joe Flacco3</v>
      </c>
    </row>
    <row r="561" spans="1:16" x14ac:dyDescent="0.25">
      <c r="A561">
        <v>1</v>
      </c>
      <c r="B561" t="s">
        <v>344</v>
      </c>
      <c r="C561" t="s">
        <v>1769</v>
      </c>
      <c r="D561">
        <v>14.15</v>
      </c>
      <c r="E561" t="s">
        <v>46</v>
      </c>
      <c r="F561" t="s">
        <v>15</v>
      </c>
      <c r="G561">
        <v>20.7</v>
      </c>
      <c r="H561">
        <v>7.6</v>
      </c>
      <c r="I561">
        <v>6.55</v>
      </c>
      <c r="J561">
        <v>42.902500000000003</v>
      </c>
      <c r="K561" t="str">
        <f>IFERROR(INDEX(Rosters!$C$2:$C$155,MATCH($B561,Rosters!$B$2:$B$155,0)),"NA")</f>
        <v>NA</v>
      </c>
      <c r="L561" t="str">
        <f t="shared" si="24"/>
        <v>NA1QB</v>
      </c>
      <c r="M561">
        <f>COUNTIF(L$1:L561,L561)</f>
        <v>9</v>
      </c>
      <c r="N561" t="str">
        <f t="shared" si="25"/>
        <v>NA1QB-9</v>
      </c>
      <c r="O561">
        <f>COUNTIFS(F$1:F561,F561,A$1:A561,A561)</f>
        <v>24</v>
      </c>
      <c r="P561" t="str">
        <f t="shared" si="26"/>
        <v>Nick Foles1</v>
      </c>
    </row>
    <row r="562" spans="1:16" x14ac:dyDescent="0.25">
      <c r="A562">
        <v>14</v>
      </c>
      <c r="B562" t="s">
        <v>1492</v>
      </c>
      <c r="C562" t="s">
        <v>6086</v>
      </c>
      <c r="D562">
        <v>14.13</v>
      </c>
      <c r="E562" t="s">
        <v>74</v>
      </c>
      <c r="F562" t="s">
        <v>15</v>
      </c>
      <c r="G562">
        <v>21.39</v>
      </c>
      <c r="H562">
        <v>6.87</v>
      </c>
      <c r="I562">
        <v>7.26</v>
      </c>
      <c r="J562">
        <v>52.707599999999999</v>
      </c>
      <c r="K562" t="str">
        <f>IFERROR(INDEX(Rosters!$C$2:$C$155,MATCH($B562,Rosters!$B$2:$B$155,0)),"NA")</f>
        <v>perry</v>
      </c>
      <c r="L562" t="str">
        <f t="shared" si="24"/>
        <v>perry14QB</v>
      </c>
      <c r="M562">
        <f>COUNTIF(L$1:L562,L562)</f>
        <v>2</v>
      </c>
      <c r="N562" t="str">
        <f t="shared" si="25"/>
        <v>perry14QB-2</v>
      </c>
      <c r="O562">
        <f>COUNTIFS(F$1:F562,F562,A$1:A562,A562)</f>
        <v>27</v>
      </c>
      <c r="P562" t="str">
        <f t="shared" si="26"/>
        <v>Baker Mayfield14</v>
      </c>
    </row>
    <row r="563" spans="1:16" x14ac:dyDescent="0.25">
      <c r="A563">
        <v>9</v>
      </c>
      <c r="B563" t="s">
        <v>112</v>
      </c>
      <c r="C563" t="s">
        <v>6087</v>
      </c>
      <c r="D563">
        <v>14.13</v>
      </c>
      <c r="E563" t="s">
        <v>17</v>
      </c>
      <c r="F563" t="s">
        <v>47</v>
      </c>
      <c r="G563">
        <v>21.4</v>
      </c>
      <c r="H563">
        <v>6.86</v>
      </c>
      <c r="I563">
        <v>7.27</v>
      </c>
      <c r="J563">
        <v>52.852899999999998</v>
      </c>
      <c r="K563" t="str">
        <f>IFERROR(INDEX(Rosters!$C$2:$C$155,MATCH($B563,Rosters!$B$2:$B$155,0)),"NA")</f>
        <v>devon</v>
      </c>
      <c r="L563" t="str">
        <f t="shared" si="24"/>
        <v>devon9RB</v>
      </c>
      <c r="M563">
        <f>COUNTIF(L$1:L563,L563)</f>
        <v>1</v>
      </c>
      <c r="N563" t="str">
        <f t="shared" si="25"/>
        <v>devon9RB-1</v>
      </c>
      <c r="O563">
        <f>COUNTIFS(F$1:F563,F563,A$1:A563,A563)</f>
        <v>6</v>
      </c>
      <c r="P563" t="str">
        <f t="shared" si="26"/>
        <v>Christian McCaffrey9</v>
      </c>
    </row>
    <row r="564" spans="1:16" x14ac:dyDescent="0.25">
      <c r="A564">
        <v>15</v>
      </c>
      <c r="B564" t="s">
        <v>1278</v>
      </c>
      <c r="C564" t="s">
        <v>6088</v>
      </c>
      <c r="D564">
        <v>14.13</v>
      </c>
      <c r="E564" t="s">
        <v>25</v>
      </c>
      <c r="F564" t="s">
        <v>15</v>
      </c>
      <c r="G564">
        <v>20.39</v>
      </c>
      <c r="H564">
        <v>7.87</v>
      </c>
      <c r="I564">
        <v>6.26</v>
      </c>
      <c r="J564">
        <v>39.187600000000003</v>
      </c>
      <c r="K564" t="str">
        <f>IFERROR(INDEX(Rosters!$C$2:$C$155,MATCH($B564,Rosters!$B$2:$B$155,0)),"NA")</f>
        <v>NA</v>
      </c>
      <c r="L564" t="str">
        <f t="shared" si="24"/>
        <v>NA15QB</v>
      </c>
      <c r="M564">
        <f>COUNTIF(L$1:L564,L564)</f>
        <v>14</v>
      </c>
      <c r="N564" t="str">
        <f t="shared" si="25"/>
        <v>NA15QB-14</v>
      </c>
      <c r="O564">
        <f>COUNTIFS(F$1:F564,F564,A$1:A564,A564)</f>
        <v>30</v>
      </c>
      <c r="P564" t="str">
        <f t="shared" si="26"/>
        <v>Ryan Tannehill15</v>
      </c>
    </row>
    <row r="565" spans="1:16" x14ac:dyDescent="0.25">
      <c r="A565">
        <v>3</v>
      </c>
      <c r="B565" t="s">
        <v>1275</v>
      </c>
      <c r="C565" t="s">
        <v>3630</v>
      </c>
      <c r="D565">
        <v>14.13</v>
      </c>
      <c r="E565" t="s">
        <v>52</v>
      </c>
      <c r="F565" t="s">
        <v>15</v>
      </c>
      <c r="G565">
        <v>20.86</v>
      </c>
      <c r="H565">
        <v>7.4</v>
      </c>
      <c r="I565">
        <v>6.73</v>
      </c>
      <c r="J565">
        <v>45.292900000000003</v>
      </c>
      <c r="K565" t="str">
        <f>IFERROR(INDEX(Rosters!$C$2:$C$155,MATCH($B565,Rosters!$B$2:$B$155,0)),"NA")</f>
        <v>NA</v>
      </c>
      <c r="L565" t="str">
        <f t="shared" si="24"/>
        <v>NA3QB</v>
      </c>
      <c r="M565">
        <f>COUNTIF(L$1:L565,L565)</f>
        <v>8</v>
      </c>
      <c r="N565" t="str">
        <f t="shared" si="25"/>
        <v>NA3QB-8</v>
      </c>
      <c r="O565">
        <f>COUNTIFS(F$1:F565,F565,A$1:A565,A565)</f>
        <v>23</v>
      </c>
      <c r="P565" t="str">
        <f t="shared" si="26"/>
        <v>Sam Darnold3</v>
      </c>
    </row>
    <row r="566" spans="1:16" x14ac:dyDescent="0.25">
      <c r="A566">
        <v>1</v>
      </c>
      <c r="B566" t="s">
        <v>112</v>
      </c>
      <c r="C566" t="s">
        <v>1679</v>
      </c>
      <c r="D566">
        <v>14.11</v>
      </c>
      <c r="E566" t="s">
        <v>22</v>
      </c>
      <c r="F566" t="s">
        <v>47</v>
      </c>
      <c r="G566">
        <v>20</v>
      </c>
      <c r="H566">
        <v>8.2200000000000006</v>
      </c>
      <c r="I566">
        <v>5.89</v>
      </c>
      <c r="J566">
        <v>34.692100000000003</v>
      </c>
      <c r="K566" t="str">
        <f>IFERROR(INDEX(Rosters!$C$2:$C$155,MATCH($B566,Rosters!$B$2:$B$155,0)),"NA")</f>
        <v>devon</v>
      </c>
      <c r="L566" t="str">
        <f t="shared" si="24"/>
        <v>devon1RB</v>
      </c>
      <c r="M566">
        <f>COUNTIF(L$1:L566,L566)</f>
        <v>1</v>
      </c>
      <c r="N566" t="str">
        <f t="shared" si="25"/>
        <v>devon1RB-1</v>
      </c>
      <c r="O566">
        <f>COUNTIFS(F$1:F566,F566,A$1:A566,A566)</f>
        <v>7</v>
      </c>
      <c r="P566" t="str">
        <f t="shared" si="26"/>
        <v>Christian McCaffrey1</v>
      </c>
    </row>
    <row r="567" spans="1:16" x14ac:dyDescent="0.25">
      <c r="A567">
        <v>14</v>
      </c>
      <c r="B567" t="s">
        <v>99</v>
      </c>
      <c r="C567" t="s">
        <v>6089</v>
      </c>
      <c r="D567">
        <v>14.11</v>
      </c>
      <c r="E567" t="s">
        <v>66</v>
      </c>
      <c r="F567" t="s">
        <v>47</v>
      </c>
      <c r="G567">
        <v>21.25</v>
      </c>
      <c r="H567">
        <v>6.97</v>
      </c>
      <c r="I567">
        <v>7.14</v>
      </c>
      <c r="J567">
        <v>50.979599999999998</v>
      </c>
      <c r="K567" t="str">
        <f>IFERROR(INDEX(Rosters!$C$2:$C$155,MATCH($B567,Rosters!$B$2:$B$155,0)),"NA")</f>
        <v>comp</v>
      </c>
      <c r="L567" t="str">
        <f t="shared" si="24"/>
        <v>comp14RB</v>
      </c>
      <c r="M567">
        <f>COUNTIF(L$1:L567,L567)</f>
        <v>1</v>
      </c>
      <c r="N567" t="str">
        <f t="shared" si="25"/>
        <v>comp14RB-1</v>
      </c>
      <c r="O567">
        <f>COUNTIFS(F$1:F567,F567,A$1:A567,A567)</f>
        <v>9</v>
      </c>
      <c r="P567" t="str">
        <f t="shared" si="26"/>
        <v>Lamar Miller14</v>
      </c>
    </row>
    <row r="568" spans="1:16" x14ac:dyDescent="0.25">
      <c r="A568">
        <v>10</v>
      </c>
      <c r="B568" t="s">
        <v>45</v>
      </c>
      <c r="C568" t="s">
        <v>6090</v>
      </c>
      <c r="D568">
        <v>14.1</v>
      </c>
      <c r="E568" t="s">
        <v>24</v>
      </c>
      <c r="F568" t="s">
        <v>47</v>
      </c>
      <c r="G568">
        <v>26.23</v>
      </c>
      <c r="H568">
        <v>1.97</v>
      </c>
      <c r="I568">
        <v>12.13</v>
      </c>
      <c r="J568">
        <v>147.1369</v>
      </c>
      <c r="K568" t="str">
        <f>IFERROR(INDEX(Rosters!$C$2:$C$155,MATCH($B568,Rosters!$B$2:$B$155,0)),"NA")</f>
        <v>matty</v>
      </c>
      <c r="L568" t="str">
        <f t="shared" si="24"/>
        <v>matty10RB</v>
      </c>
      <c r="M568">
        <f>COUNTIF(L$1:L568,L568)</f>
        <v>2</v>
      </c>
      <c r="N568" t="str">
        <f t="shared" si="25"/>
        <v>matty10RB-2</v>
      </c>
      <c r="O568">
        <f>COUNTIFS(F$1:F568,F568,A$1:A568,A568)</f>
        <v>8</v>
      </c>
      <c r="P568" t="str">
        <f t="shared" si="26"/>
        <v>David Johnson10</v>
      </c>
    </row>
    <row r="569" spans="1:16" x14ac:dyDescent="0.25">
      <c r="A569">
        <v>17</v>
      </c>
      <c r="B569" t="s">
        <v>1288</v>
      </c>
      <c r="C569" t="s">
        <v>6091</v>
      </c>
      <c r="D569">
        <v>14.09</v>
      </c>
      <c r="E569" t="s">
        <v>22</v>
      </c>
      <c r="F569" t="s">
        <v>47</v>
      </c>
      <c r="G569">
        <v>21.98</v>
      </c>
      <c r="H569">
        <v>6.2</v>
      </c>
      <c r="I569">
        <v>7.89</v>
      </c>
      <c r="J569">
        <v>62.252099999999999</v>
      </c>
      <c r="K569" t="str">
        <f>IFERROR(INDEX(Rosters!$C$2:$C$155,MATCH($B569,Rosters!$B$2:$B$155,0)),"NA")</f>
        <v>lucas</v>
      </c>
      <c r="L569" t="str">
        <f t="shared" si="24"/>
        <v>lucas17RB</v>
      </c>
      <c r="M569">
        <f>COUNTIF(L$1:L569,L569)</f>
        <v>1</v>
      </c>
      <c r="N569" t="str">
        <f t="shared" si="25"/>
        <v>lucas17RB-1</v>
      </c>
      <c r="O569">
        <f>COUNTIFS(F$1:F569,F569,A$1:A569,A569)</f>
        <v>5</v>
      </c>
      <c r="P569" t="str">
        <f t="shared" si="26"/>
        <v>Saquon Barkley17</v>
      </c>
    </row>
    <row r="570" spans="1:16" x14ac:dyDescent="0.25">
      <c r="A570">
        <v>6</v>
      </c>
      <c r="B570" t="s">
        <v>130</v>
      </c>
      <c r="C570" t="s">
        <v>6092</v>
      </c>
      <c r="D570">
        <v>14.08</v>
      </c>
      <c r="E570" t="s">
        <v>37</v>
      </c>
      <c r="F570" t="s">
        <v>47</v>
      </c>
      <c r="G570">
        <v>20.170000000000002</v>
      </c>
      <c r="H570">
        <v>7.99</v>
      </c>
      <c r="I570">
        <v>6.09</v>
      </c>
      <c r="J570">
        <v>37.088099999999997</v>
      </c>
      <c r="K570" t="str">
        <f>IFERROR(INDEX(Rosters!$C$2:$C$155,MATCH($B570,Rosters!$B$2:$B$155,0)),"NA")</f>
        <v>cory</v>
      </c>
      <c r="L570" t="str">
        <f t="shared" si="24"/>
        <v>cory6RB</v>
      </c>
      <c r="M570">
        <f>COUNTIF(L$1:L570,L570)</f>
        <v>1</v>
      </c>
      <c r="N570" t="str">
        <f t="shared" si="25"/>
        <v>cory6RB-1</v>
      </c>
      <c r="O570">
        <f>COUNTIFS(F$1:F570,F570,A$1:A570,A570)</f>
        <v>5</v>
      </c>
      <c r="P570" t="str">
        <f t="shared" si="26"/>
        <v>Carlos Hyde6</v>
      </c>
    </row>
    <row r="571" spans="1:16" x14ac:dyDescent="0.25">
      <c r="A571">
        <v>5</v>
      </c>
      <c r="B571" t="s">
        <v>45</v>
      </c>
      <c r="C571" t="s">
        <v>6093</v>
      </c>
      <c r="D571">
        <v>14.08</v>
      </c>
      <c r="E571" t="s">
        <v>30</v>
      </c>
      <c r="F571" t="s">
        <v>47</v>
      </c>
      <c r="G571">
        <v>22.21</v>
      </c>
      <c r="H571">
        <v>5.95</v>
      </c>
      <c r="I571">
        <v>8.1300000000000008</v>
      </c>
      <c r="J571">
        <v>66.096900000000005</v>
      </c>
      <c r="K571" t="str">
        <f>IFERROR(INDEX(Rosters!$C$2:$C$155,MATCH($B571,Rosters!$B$2:$B$155,0)),"NA")</f>
        <v>matty</v>
      </c>
      <c r="L571" t="str">
        <f t="shared" si="24"/>
        <v>matty5RB</v>
      </c>
      <c r="M571">
        <f>COUNTIF(L$1:L571,L571)</f>
        <v>2</v>
      </c>
      <c r="N571" t="str">
        <f t="shared" si="25"/>
        <v>matty5RB-2</v>
      </c>
      <c r="O571">
        <f>COUNTIFS(F$1:F571,F571,A$1:A571,A571)</f>
        <v>7</v>
      </c>
      <c r="P571" t="str">
        <f t="shared" si="26"/>
        <v>David Johnson5</v>
      </c>
    </row>
    <row r="572" spans="1:16" x14ac:dyDescent="0.25">
      <c r="A572">
        <v>9</v>
      </c>
      <c r="B572" t="s">
        <v>291</v>
      </c>
      <c r="C572" t="s">
        <v>6094</v>
      </c>
      <c r="D572">
        <v>14.08</v>
      </c>
      <c r="E572" t="s">
        <v>29</v>
      </c>
      <c r="F572" t="s">
        <v>15</v>
      </c>
      <c r="G572">
        <v>20.51</v>
      </c>
      <c r="H572">
        <v>7.65</v>
      </c>
      <c r="I572">
        <v>6.43</v>
      </c>
      <c r="J572">
        <v>41.344900000000003</v>
      </c>
      <c r="K572" t="str">
        <f>IFERROR(INDEX(Rosters!$C$2:$C$155,MATCH($B572,Rosters!$B$2:$B$155,0)),"NA")</f>
        <v>NA</v>
      </c>
      <c r="L572" t="str">
        <f t="shared" si="24"/>
        <v>NA9QB</v>
      </c>
      <c r="M572">
        <f>COUNTIF(L$1:L572,L572)</f>
        <v>10</v>
      </c>
      <c r="N572" t="str">
        <f t="shared" si="25"/>
        <v>NA9QB-10</v>
      </c>
      <c r="O572">
        <f>COUNTIFS(F$1:F572,F572,A$1:A572,A572)</f>
        <v>24</v>
      </c>
      <c r="P572" t="str">
        <f t="shared" si="26"/>
        <v>Mitchell Trubisky9</v>
      </c>
    </row>
    <row r="573" spans="1:16" x14ac:dyDescent="0.25">
      <c r="A573">
        <v>17</v>
      </c>
      <c r="B573" t="s">
        <v>63</v>
      </c>
      <c r="C573" t="s">
        <v>6095</v>
      </c>
      <c r="D573">
        <v>14.07</v>
      </c>
      <c r="E573" t="s">
        <v>51</v>
      </c>
      <c r="F573" t="s">
        <v>15</v>
      </c>
      <c r="G573">
        <v>20.41</v>
      </c>
      <c r="H573">
        <v>7.73</v>
      </c>
      <c r="I573">
        <v>6.34</v>
      </c>
      <c r="J573">
        <v>40.195599999999999</v>
      </c>
      <c r="K573" t="str">
        <f>IFERROR(INDEX(Rosters!$C$2:$C$155,MATCH($B573,Rosters!$B$2:$B$155,0)),"NA")</f>
        <v>scott</v>
      </c>
      <c r="L573" t="str">
        <f t="shared" si="24"/>
        <v>scott17QB</v>
      </c>
      <c r="M573">
        <f>COUNTIF(L$1:L573,L573)</f>
        <v>2</v>
      </c>
      <c r="N573" t="str">
        <f t="shared" si="25"/>
        <v>scott17QB-2</v>
      </c>
      <c r="O573">
        <f>COUNTIFS(F$1:F573,F573,A$1:A573,A573)</f>
        <v>28</v>
      </c>
      <c r="P573" t="str">
        <f t="shared" si="26"/>
        <v>Andy Dalton17</v>
      </c>
    </row>
    <row r="574" spans="1:16" x14ac:dyDescent="0.25">
      <c r="A574">
        <v>9</v>
      </c>
      <c r="B574" t="s">
        <v>130</v>
      </c>
      <c r="C574" t="s">
        <v>6096</v>
      </c>
      <c r="D574">
        <v>14.07</v>
      </c>
      <c r="E574" t="s">
        <v>24</v>
      </c>
      <c r="F574" t="s">
        <v>47</v>
      </c>
      <c r="G574">
        <v>20.62</v>
      </c>
      <c r="H574">
        <v>7.52</v>
      </c>
      <c r="I574">
        <v>6.55</v>
      </c>
      <c r="J574">
        <v>42.902500000000003</v>
      </c>
      <c r="K574" t="str">
        <f>IFERROR(INDEX(Rosters!$C$2:$C$155,MATCH($B574,Rosters!$B$2:$B$155,0)),"NA")</f>
        <v>cory</v>
      </c>
      <c r="L574" t="str">
        <f t="shared" si="24"/>
        <v>cory9RB</v>
      </c>
      <c r="M574">
        <f>COUNTIF(L$1:L574,L574)</f>
        <v>1</v>
      </c>
      <c r="N574" t="str">
        <f t="shared" si="25"/>
        <v>cory9RB-1</v>
      </c>
      <c r="O574">
        <f>COUNTIFS(F$1:F574,F574,A$1:A574,A574)</f>
        <v>7</v>
      </c>
      <c r="P574" t="str">
        <f t="shared" si="26"/>
        <v>Carlos Hyde9</v>
      </c>
    </row>
    <row r="575" spans="1:16" x14ac:dyDescent="0.25">
      <c r="A575">
        <v>16</v>
      </c>
      <c r="B575" t="s">
        <v>130</v>
      </c>
      <c r="C575" t="s">
        <v>6097</v>
      </c>
      <c r="D575">
        <v>14.06</v>
      </c>
      <c r="E575" t="s">
        <v>31</v>
      </c>
      <c r="F575" t="s">
        <v>47</v>
      </c>
      <c r="G575">
        <v>20.32</v>
      </c>
      <c r="H575">
        <v>7.8</v>
      </c>
      <c r="I575">
        <v>6.26</v>
      </c>
      <c r="J575">
        <v>39.187600000000003</v>
      </c>
      <c r="K575" t="str">
        <f>IFERROR(INDEX(Rosters!$C$2:$C$155,MATCH($B575,Rosters!$B$2:$B$155,0)),"NA")</f>
        <v>cory</v>
      </c>
      <c r="L575" t="str">
        <f t="shared" si="24"/>
        <v>cory16RB</v>
      </c>
      <c r="M575">
        <f>COUNTIF(L$1:L575,L575)</f>
        <v>1</v>
      </c>
      <c r="N575" t="str">
        <f t="shared" si="25"/>
        <v>cory16RB-1</v>
      </c>
      <c r="O575">
        <f>COUNTIFS(F$1:F575,F575,A$1:A575,A575)</f>
        <v>7</v>
      </c>
      <c r="P575" t="str">
        <f t="shared" si="26"/>
        <v>Carlos Hyde16</v>
      </c>
    </row>
    <row r="576" spans="1:16" x14ac:dyDescent="0.25">
      <c r="A576">
        <v>17</v>
      </c>
      <c r="B576" t="s">
        <v>92</v>
      </c>
      <c r="C576" t="s">
        <v>6098</v>
      </c>
      <c r="D576">
        <v>14.06</v>
      </c>
      <c r="E576" t="s">
        <v>42</v>
      </c>
      <c r="F576" t="s">
        <v>47</v>
      </c>
      <c r="G576">
        <v>21.26</v>
      </c>
      <c r="H576">
        <v>6.86</v>
      </c>
      <c r="I576">
        <v>7.2</v>
      </c>
      <c r="J576">
        <v>51.84</v>
      </c>
      <c r="K576" t="str">
        <f>IFERROR(INDEX(Rosters!$C$2:$C$155,MATCH($B576,Rosters!$B$2:$B$155,0)),"NA")</f>
        <v>matty</v>
      </c>
      <c r="L576" t="str">
        <f t="shared" si="24"/>
        <v>matty17RB</v>
      </c>
      <c r="M576">
        <f>COUNTIF(L$1:L576,L576)</f>
        <v>1</v>
      </c>
      <c r="N576" t="str">
        <f t="shared" si="25"/>
        <v>matty17RB-1</v>
      </c>
      <c r="O576">
        <f>COUNTIFS(F$1:F576,F576,A$1:A576,A576)</f>
        <v>6</v>
      </c>
      <c r="P576" t="str">
        <f t="shared" si="26"/>
        <v>Melvin Gordon17</v>
      </c>
    </row>
    <row r="577" spans="1:16" x14ac:dyDescent="0.25">
      <c r="A577">
        <v>4</v>
      </c>
      <c r="B577" t="s">
        <v>1537</v>
      </c>
      <c r="C577" t="s">
        <v>4430</v>
      </c>
      <c r="D577">
        <v>14.05</v>
      </c>
      <c r="E577" t="s">
        <v>37</v>
      </c>
      <c r="F577" t="s">
        <v>15</v>
      </c>
      <c r="G577">
        <v>20.96</v>
      </c>
      <c r="H577">
        <v>7.14</v>
      </c>
      <c r="I577">
        <v>6.91</v>
      </c>
      <c r="J577">
        <v>47.748100000000001</v>
      </c>
      <c r="K577" t="str">
        <f>IFERROR(INDEX(Rosters!$C$2:$C$155,MATCH($B577,Rosters!$B$2:$B$155,0)),"NA")</f>
        <v>NA</v>
      </c>
      <c r="L577" t="str">
        <f t="shared" si="24"/>
        <v>NA4QB</v>
      </c>
      <c r="M577">
        <f>COUNTIF(L$1:L577,L577)</f>
        <v>11</v>
      </c>
      <c r="N577" t="str">
        <f t="shared" si="25"/>
        <v>NA4QB-11</v>
      </c>
      <c r="O577">
        <f>COUNTIFS(F$1:F577,F577,A$1:A577,A577)</f>
        <v>26</v>
      </c>
      <c r="P577" t="str">
        <f t="shared" si="26"/>
        <v>C.J. Beathard4</v>
      </c>
    </row>
    <row r="578" spans="1:16" x14ac:dyDescent="0.25">
      <c r="A578">
        <v>7</v>
      </c>
      <c r="B578" t="s">
        <v>1288</v>
      </c>
      <c r="C578" t="s">
        <v>6099</v>
      </c>
      <c r="D578">
        <v>14.05</v>
      </c>
      <c r="E578" t="s">
        <v>46</v>
      </c>
      <c r="F578" t="s">
        <v>47</v>
      </c>
      <c r="G578">
        <v>23.04</v>
      </c>
      <c r="H578">
        <v>5.0599999999999996</v>
      </c>
      <c r="I578">
        <v>8.99</v>
      </c>
      <c r="J578">
        <v>80.820099999999996</v>
      </c>
      <c r="K578" t="str">
        <f>IFERROR(INDEX(Rosters!$C$2:$C$155,MATCH($B578,Rosters!$B$2:$B$155,0)),"NA")</f>
        <v>lucas</v>
      </c>
      <c r="L578" t="str">
        <f t="shared" si="24"/>
        <v>lucas7RB</v>
      </c>
      <c r="M578">
        <f>COUNTIF(L$1:L578,L578)</f>
        <v>1</v>
      </c>
      <c r="N578" t="str">
        <f t="shared" si="25"/>
        <v>lucas7RB-1</v>
      </c>
      <c r="O578">
        <f>COUNTIFS(F$1:F578,F578,A$1:A578,A578)</f>
        <v>6</v>
      </c>
      <c r="P578" t="str">
        <f t="shared" si="26"/>
        <v>Saquon Barkley7</v>
      </c>
    </row>
    <row r="579" spans="1:16" x14ac:dyDescent="0.25">
      <c r="A579">
        <v>12</v>
      </c>
      <c r="B579" t="s">
        <v>93</v>
      </c>
      <c r="C579" t="s">
        <v>6100</v>
      </c>
      <c r="D579">
        <v>14.02</v>
      </c>
      <c r="E579" t="s">
        <v>14</v>
      </c>
      <c r="F579" t="s">
        <v>87</v>
      </c>
      <c r="G579">
        <v>22.5</v>
      </c>
      <c r="H579">
        <v>5.54</v>
      </c>
      <c r="I579">
        <v>8.48</v>
      </c>
      <c r="J579">
        <v>71.910399999999996</v>
      </c>
      <c r="K579" t="str">
        <f>IFERROR(INDEX(Rosters!$C$2:$C$155,MATCH($B579,Rosters!$B$2:$B$155,0)),"NA")</f>
        <v>cory</v>
      </c>
      <c r="L579" t="str">
        <f t="shared" ref="L579:L642" si="27">K579&amp;A579&amp;F579</f>
        <v>cory12WR</v>
      </c>
      <c r="M579">
        <f>COUNTIF(L$1:L579,L579)</f>
        <v>2</v>
      </c>
      <c r="N579" t="str">
        <f t="shared" ref="N579:N642" si="28">L579&amp;"-"&amp;M579</f>
        <v>cory12WR-2</v>
      </c>
      <c r="O579">
        <f>COUNTIFS(F$1:F579,F579,A$1:A579,A579)</f>
        <v>3</v>
      </c>
      <c r="P579" t="str">
        <f t="shared" ref="P579:P642" si="29">B579&amp;A579</f>
        <v>Julio Jones12</v>
      </c>
    </row>
    <row r="580" spans="1:16" x14ac:dyDescent="0.25">
      <c r="A580">
        <v>9</v>
      </c>
      <c r="B580" t="s">
        <v>127</v>
      </c>
      <c r="C580" t="s">
        <v>6101</v>
      </c>
      <c r="D580">
        <v>13.97</v>
      </c>
      <c r="E580" t="s">
        <v>34</v>
      </c>
      <c r="F580" t="s">
        <v>47</v>
      </c>
      <c r="G580">
        <v>21</v>
      </c>
      <c r="H580">
        <v>6.94</v>
      </c>
      <c r="I580">
        <v>7.03</v>
      </c>
      <c r="J580">
        <v>49.420900000000003</v>
      </c>
      <c r="K580" t="str">
        <f>IFERROR(INDEX(Rosters!$C$2:$C$155,MATCH($B580,Rosters!$B$2:$B$155,0)),"NA")</f>
        <v>aj</v>
      </c>
      <c r="L580" t="str">
        <f t="shared" si="27"/>
        <v>aj9RB</v>
      </c>
      <c r="M580">
        <f>COUNTIF(L$1:L580,L580)</f>
        <v>1</v>
      </c>
      <c r="N580" t="str">
        <f t="shared" si="28"/>
        <v>aj9RB-1</v>
      </c>
      <c r="O580">
        <f>COUNTIFS(F$1:F580,F580,A$1:A580,A580)</f>
        <v>8</v>
      </c>
      <c r="P580" t="str">
        <f t="shared" si="29"/>
        <v>Dalvin Cook9</v>
      </c>
    </row>
    <row r="581" spans="1:16" x14ac:dyDescent="0.25">
      <c r="A581">
        <v>15</v>
      </c>
      <c r="B581" t="s">
        <v>97</v>
      </c>
      <c r="C581" t="s">
        <v>6102</v>
      </c>
      <c r="D581">
        <v>13.97</v>
      </c>
      <c r="E581" t="s">
        <v>41</v>
      </c>
      <c r="F581" t="s">
        <v>47</v>
      </c>
      <c r="G581">
        <v>21.52</v>
      </c>
      <c r="H581">
        <v>6.42</v>
      </c>
      <c r="I581">
        <v>7.55</v>
      </c>
      <c r="J581">
        <v>57.002499999999998</v>
      </c>
      <c r="K581" t="str">
        <f>IFERROR(INDEX(Rosters!$C$2:$C$155,MATCH($B581,Rosters!$B$2:$B$155,0)),"NA")</f>
        <v>chad</v>
      </c>
      <c r="L581" t="str">
        <f t="shared" si="27"/>
        <v>chad15RB</v>
      </c>
      <c r="M581">
        <f>COUNTIF(L$1:L581,L581)</f>
        <v>2</v>
      </c>
      <c r="N581" t="str">
        <f t="shared" si="28"/>
        <v>chad15RB-2</v>
      </c>
      <c r="O581">
        <f>COUNTIFS(F$1:F581,F581,A$1:A581,A581)</f>
        <v>9</v>
      </c>
      <c r="P581" t="str">
        <f t="shared" si="29"/>
        <v>Jordan Howard15</v>
      </c>
    </row>
    <row r="582" spans="1:16" x14ac:dyDescent="0.25">
      <c r="A582">
        <v>7</v>
      </c>
      <c r="B582" t="s">
        <v>93</v>
      </c>
      <c r="C582" t="s">
        <v>6103</v>
      </c>
      <c r="D582">
        <v>13.96</v>
      </c>
      <c r="E582" t="s">
        <v>54</v>
      </c>
      <c r="F582" t="s">
        <v>87</v>
      </c>
      <c r="G582">
        <v>21.91</v>
      </c>
      <c r="H582">
        <v>6.01</v>
      </c>
      <c r="I582">
        <v>7.95</v>
      </c>
      <c r="J582">
        <v>63.202500000000001</v>
      </c>
      <c r="K582" t="str">
        <f>IFERROR(INDEX(Rosters!$C$2:$C$155,MATCH($B582,Rosters!$B$2:$B$155,0)),"NA")</f>
        <v>cory</v>
      </c>
      <c r="L582" t="str">
        <f t="shared" si="27"/>
        <v>cory7WR</v>
      </c>
      <c r="M582">
        <f>COUNTIF(L$1:L582,L582)</f>
        <v>1</v>
      </c>
      <c r="N582" t="str">
        <f t="shared" si="28"/>
        <v>cory7WR-1</v>
      </c>
      <c r="O582">
        <f>COUNTIFS(F$1:F582,F582,A$1:A582,A582)</f>
        <v>1</v>
      </c>
      <c r="P582" t="str">
        <f t="shared" si="29"/>
        <v>Julio Jones7</v>
      </c>
    </row>
    <row r="583" spans="1:16" x14ac:dyDescent="0.25">
      <c r="A583">
        <v>7</v>
      </c>
      <c r="B583" t="s">
        <v>154</v>
      </c>
      <c r="C583" t="s">
        <v>6104</v>
      </c>
      <c r="D583">
        <v>13.94</v>
      </c>
      <c r="E583" t="s">
        <v>38</v>
      </c>
      <c r="F583" t="s">
        <v>87</v>
      </c>
      <c r="G583">
        <v>21.08</v>
      </c>
      <c r="H583">
        <v>6.8</v>
      </c>
      <c r="I583">
        <v>7.14</v>
      </c>
      <c r="J583">
        <v>50.979599999999998</v>
      </c>
      <c r="K583" t="str">
        <f>IFERROR(INDEX(Rosters!$C$2:$C$155,MATCH($B583,Rosters!$B$2:$B$155,0)),"NA")</f>
        <v>chad</v>
      </c>
      <c r="L583" t="str">
        <f t="shared" si="27"/>
        <v>chad7WR</v>
      </c>
      <c r="M583">
        <f>COUNTIF(L$1:L583,L583)</f>
        <v>1</v>
      </c>
      <c r="N583" t="str">
        <f t="shared" si="28"/>
        <v>chad7WR-1</v>
      </c>
      <c r="O583">
        <f>COUNTIFS(F$1:F583,F583,A$1:A583,A583)</f>
        <v>2</v>
      </c>
      <c r="P583" t="str">
        <f t="shared" si="29"/>
        <v>Keenan Allen7</v>
      </c>
    </row>
    <row r="584" spans="1:16" x14ac:dyDescent="0.25">
      <c r="A584">
        <v>3</v>
      </c>
      <c r="B584" t="s">
        <v>1288</v>
      </c>
      <c r="C584" t="s">
        <v>3631</v>
      </c>
      <c r="D584">
        <v>13.92</v>
      </c>
      <c r="E584" t="s">
        <v>36</v>
      </c>
      <c r="F584" t="s">
        <v>47</v>
      </c>
      <c r="G584">
        <v>22.39</v>
      </c>
      <c r="H584">
        <v>5.45</v>
      </c>
      <c r="I584">
        <v>8.4700000000000006</v>
      </c>
      <c r="J584">
        <v>71.740899999999996</v>
      </c>
      <c r="K584" t="str">
        <f>IFERROR(INDEX(Rosters!$C$2:$C$155,MATCH($B584,Rosters!$B$2:$B$155,0)),"NA")</f>
        <v>lucas</v>
      </c>
      <c r="L584" t="str">
        <f t="shared" si="27"/>
        <v>lucas3RB</v>
      </c>
      <c r="M584">
        <f>COUNTIF(L$1:L584,L584)</f>
        <v>1</v>
      </c>
      <c r="N584" t="str">
        <f t="shared" si="28"/>
        <v>lucas3RB-1</v>
      </c>
      <c r="O584">
        <f>COUNTIFS(F$1:F584,F584,A$1:A584,A584)</f>
        <v>6</v>
      </c>
      <c r="P584" t="str">
        <f t="shared" si="29"/>
        <v>Saquon Barkley3</v>
      </c>
    </row>
    <row r="585" spans="1:16" x14ac:dyDescent="0.25">
      <c r="A585">
        <v>14</v>
      </c>
      <c r="B585" t="s">
        <v>59</v>
      </c>
      <c r="C585" t="s">
        <v>6105</v>
      </c>
      <c r="D585">
        <v>13.91</v>
      </c>
      <c r="E585" t="s">
        <v>50</v>
      </c>
      <c r="F585" t="s">
        <v>15</v>
      </c>
      <c r="G585">
        <v>21.48</v>
      </c>
      <c r="H585">
        <v>6.34</v>
      </c>
      <c r="I585">
        <v>7.57</v>
      </c>
      <c r="J585">
        <v>57.304900000000004</v>
      </c>
      <c r="K585" t="str">
        <f>IFERROR(INDEX(Rosters!$C$2:$C$155,MATCH($B585,Rosters!$B$2:$B$155,0)),"NA")</f>
        <v>NA</v>
      </c>
      <c r="L585" t="str">
        <f t="shared" si="27"/>
        <v>NA14QB</v>
      </c>
      <c r="M585">
        <f>COUNTIF(L$1:L585,L585)</f>
        <v>12</v>
      </c>
      <c r="N585" t="str">
        <f t="shared" si="28"/>
        <v>NA14QB-12</v>
      </c>
      <c r="O585">
        <f>COUNTIFS(F$1:F585,F585,A$1:A585,A585)</f>
        <v>28</v>
      </c>
      <c r="P585" t="str">
        <f t="shared" si="29"/>
        <v>Dak Prescott14</v>
      </c>
    </row>
    <row r="586" spans="1:16" x14ac:dyDescent="0.25">
      <c r="A586">
        <v>16</v>
      </c>
      <c r="B586" t="s">
        <v>112</v>
      </c>
      <c r="C586" t="s">
        <v>6106</v>
      </c>
      <c r="D586">
        <v>13.9</v>
      </c>
      <c r="E586" t="s">
        <v>46</v>
      </c>
      <c r="F586" t="s">
        <v>47</v>
      </c>
      <c r="G586">
        <v>20.9</v>
      </c>
      <c r="H586">
        <v>6.9</v>
      </c>
      <c r="I586">
        <v>7</v>
      </c>
      <c r="J586">
        <v>49</v>
      </c>
      <c r="K586" t="str">
        <f>IFERROR(INDEX(Rosters!$C$2:$C$155,MATCH($B586,Rosters!$B$2:$B$155,0)),"NA")</f>
        <v>devon</v>
      </c>
      <c r="L586" t="str">
        <f t="shared" si="27"/>
        <v>devon16RB</v>
      </c>
      <c r="M586">
        <f>COUNTIF(L$1:L586,L586)</f>
        <v>1</v>
      </c>
      <c r="N586" t="str">
        <f t="shared" si="28"/>
        <v>devon16RB-1</v>
      </c>
      <c r="O586">
        <f>COUNTIFS(F$1:F586,F586,A$1:A586,A586)</f>
        <v>8</v>
      </c>
      <c r="P586" t="str">
        <f t="shared" si="29"/>
        <v>Christian McCaffrey16</v>
      </c>
    </row>
    <row r="587" spans="1:16" x14ac:dyDescent="0.25">
      <c r="A587">
        <v>3</v>
      </c>
      <c r="B587" t="s">
        <v>124</v>
      </c>
      <c r="C587" t="s">
        <v>3632</v>
      </c>
      <c r="D587">
        <v>13.88</v>
      </c>
      <c r="E587" t="s">
        <v>30</v>
      </c>
      <c r="F587" t="s">
        <v>87</v>
      </c>
      <c r="G587">
        <v>22.15</v>
      </c>
      <c r="H587">
        <v>5.61</v>
      </c>
      <c r="I587">
        <v>8.27</v>
      </c>
      <c r="J587">
        <v>68.392899999999997</v>
      </c>
      <c r="K587" t="str">
        <f>IFERROR(INDEX(Rosters!$C$2:$C$155,MATCH($B587,Rosters!$B$2:$B$155,0)),"NA")</f>
        <v>matty</v>
      </c>
      <c r="L587" t="str">
        <f t="shared" si="27"/>
        <v>matty3WR</v>
      </c>
      <c r="M587">
        <f>COUNTIF(L$1:L587,L587)</f>
        <v>1</v>
      </c>
      <c r="N587" t="str">
        <f t="shared" si="28"/>
        <v>matty3WR-1</v>
      </c>
      <c r="O587">
        <f>COUNTIFS(F$1:F587,F587,A$1:A587,A587)</f>
        <v>4</v>
      </c>
      <c r="P587" t="str">
        <f t="shared" si="29"/>
        <v>Tyreek Hill3</v>
      </c>
    </row>
    <row r="588" spans="1:16" x14ac:dyDescent="0.25">
      <c r="A588">
        <v>7</v>
      </c>
      <c r="B588" t="s">
        <v>97</v>
      </c>
      <c r="C588" t="s">
        <v>6107</v>
      </c>
      <c r="D588">
        <v>13.85</v>
      </c>
      <c r="E588" t="s">
        <v>423</v>
      </c>
      <c r="F588" t="s">
        <v>47</v>
      </c>
      <c r="G588">
        <v>21.5</v>
      </c>
      <c r="H588">
        <v>6.2</v>
      </c>
      <c r="I588">
        <v>7.65</v>
      </c>
      <c r="J588">
        <v>58.522500000000001</v>
      </c>
      <c r="K588" t="str">
        <f>IFERROR(INDEX(Rosters!$C$2:$C$155,MATCH($B588,Rosters!$B$2:$B$155,0)),"NA")</f>
        <v>chad</v>
      </c>
      <c r="L588" t="str">
        <f t="shared" si="27"/>
        <v>chad7RB</v>
      </c>
      <c r="M588">
        <f>COUNTIF(L$1:L588,L588)</f>
        <v>2</v>
      </c>
      <c r="N588" t="str">
        <f t="shared" si="28"/>
        <v>chad7RB-2</v>
      </c>
      <c r="O588">
        <f>COUNTIFS(F$1:F588,F588,A$1:A588,A588)</f>
        <v>7</v>
      </c>
      <c r="P588" t="str">
        <f t="shared" si="29"/>
        <v>Jordan Howard7</v>
      </c>
    </row>
    <row r="589" spans="1:16" x14ac:dyDescent="0.25">
      <c r="A589">
        <v>8</v>
      </c>
      <c r="B589" t="s">
        <v>130</v>
      </c>
      <c r="C589" t="s">
        <v>6108</v>
      </c>
      <c r="D589">
        <v>13.84</v>
      </c>
      <c r="E589" t="s">
        <v>51</v>
      </c>
      <c r="F589" t="s">
        <v>47</v>
      </c>
      <c r="G589">
        <v>20.25</v>
      </c>
      <c r="H589">
        <v>7.43</v>
      </c>
      <c r="I589">
        <v>6.41</v>
      </c>
      <c r="J589">
        <v>41.088099999999997</v>
      </c>
      <c r="K589" t="str">
        <f>IFERROR(INDEX(Rosters!$C$2:$C$155,MATCH($B589,Rosters!$B$2:$B$155,0)),"NA")</f>
        <v>cory</v>
      </c>
      <c r="L589" t="str">
        <f t="shared" si="27"/>
        <v>cory8RB</v>
      </c>
      <c r="M589">
        <f>COUNTIF(L$1:L589,L589)</f>
        <v>1</v>
      </c>
      <c r="N589" t="str">
        <f t="shared" si="28"/>
        <v>cory8RB-1</v>
      </c>
      <c r="O589">
        <f>COUNTIFS(F$1:F589,F589,A$1:A589,A589)</f>
        <v>7</v>
      </c>
      <c r="P589" t="str">
        <f t="shared" si="29"/>
        <v>Carlos Hyde8</v>
      </c>
    </row>
    <row r="590" spans="1:16" x14ac:dyDescent="0.25">
      <c r="A590">
        <v>3</v>
      </c>
      <c r="B590" t="s">
        <v>59</v>
      </c>
      <c r="C590" t="s">
        <v>3633</v>
      </c>
      <c r="D590">
        <v>13.81</v>
      </c>
      <c r="E590" t="s">
        <v>28</v>
      </c>
      <c r="F590" t="s">
        <v>15</v>
      </c>
      <c r="G590">
        <v>21.56</v>
      </c>
      <c r="H590">
        <v>6.06</v>
      </c>
      <c r="I590">
        <v>7.75</v>
      </c>
      <c r="J590">
        <v>60.0625</v>
      </c>
      <c r="K590" t="str">
        <f>IFERROR(INDEX(Rosters!$C$2:$C$155,MATCH($B590,Rosters!$B$2:$B$155,0)),"NA")</f>
        <v>NA</v>
      </c>
      <c r="L590" t="str">
        <f t="shared" si="27"/>
        <v>NA3QB</v>
      </c>
      <c r="M590">
        <f>COUNTIF(L$1:L590,L590)</f>
        <v>9</v>
      </c>
      <c r="N590" t="str">
        <f t="shared" si="28"/>
        <v>NA3QB-9</v>
      </c>
      <c r="O590">
        <f>COUNTIFS(F$1:F590,F590,A$1:A590,A590)</f>
        <v>24</v>
      </c>
      <c r="P590" t="str">
        <f t="shared" si="29"/>
        <v>Dak Prescott3</v>
      </c>
    </row>
    <row r="591" spans="1:16" x14ac:dyDescent="0.25">
      <c r="A591">
        <v>2</v>
      </c>
      <c r="B591" t="s">
        <v>1275</v>
      </c>
      <c r="C591" t="s">
        <v>1292</v>
      </c>
      <c r="D591">
        <v>13.8</v>
      </c>
      <c r="E591" t="s">
        <v>19</v>
      </c>
      <c r="F591" t="s">
        <v>15</v>
      </c>
      <c r="G591">
        <v>20.49</v>
      </c>
      <c r="H591">
        <v>7.11</v>
      </c>
      <c r="I591">
        <v>6.69</v>
      </c>
      <c r="J591">
        <v>44.756100000000004</v>
      </c>
      <c r="K591" t="str">
        <f>IFERROR(INDEX(Rosters!$C$2:$C$155,MATCH($B591,Rosters!$B$2:$B$155,0)),"NA")</f>
        <v>NA</v>
      </c>
      <c r="L591" t="str">
        <f t="shared" si="27"/>
        <v>NA2QB</v>
      </c>
      <c r="M591">
        <f>COUNTIF(L$1:L591,L591)</f>
        <v>9</v>
      </c>
      <c r="N591" t="str">
        <f t="shared" si="28"/>
        <v>NA2QB-9</v>
      </c>
      <c r="O591">
        <f>COUNTIFS(F$1:F591,F591,A$1:A591,A591)</f>
        <v>23</v>
      </c>
      <c r="P591" t="str">
        <f t="shared" si="29"/>
        <v>Sam Darnold2</v>
      </c>
    </row>
    <row r="592" spans="1:16" x14ac:dyDescent="0.25">
      <c r="A592">
        <v>11</v>
      </c>
      <c r="B592" t="s">
        <v>120</v>
      </c>
      <c r="C592" t="s">
        <v>6109</v>
      </c>
      <c r="D592">
        <v>13.79</v>
      </c>
      <c r="E592" t="s">
        <v>60</v>
      </c>
      <c r="F592" t="s">
        <v>87</v>
      </c>
      <c r="G592">
        <v>21.55</v>
      </c>
      <c r="H592">
        <v>6.03</v>
      </c>
      <c r="I592">
        <v>7.76</v>
      </c>
      <c r="J592">
        <v>60.217599999999997</v>
      </c>
      <c r="K592" t="str">
        <f>IFERROR(INDEX(Rosters!$C$2:$C$155,MATCH($B592,Rosters!$B$2:$B$155,0)),"NA")</f>
        <v>aj</v>
      </c>
      <c r="L592" t="str">
        <f t="shared" si="27"/>
        <v>aj11WR</v>
      </c>
      <c r="M592">
        <f>COUNTIF(L$1:L592,L592)</f>
        <v>1</v>
      </c>
      <c r="N592" t="str">
        <f t="shared" si="28"/>
        <v>aj11WR-1</v>
      </c>
      <c r="O592">
        <f>COUNTIFS(F$1:F592,F592,A$1:A592,A592)</f>
        <v>2</v>
      </c>
      <c r="P592" t="str">
        <f t="shared" si="29"/>
        <v>DeAndre Hopkins11</v>
      </c>
    </row>
    <row r="593" spans="1:16" x14ac:dyDescent="0.25">
      <c r="A593">
        <v>7</v>
      </c>
      <c r="B593" t="s">
        <v>86</v>
      </c>
      <c r="C593" t="s">
        <v>6110</v>
      </c>
      <c r="D593">
        <v>13.77</v>
      </c>
      <c r="E593" t="s">
        <v>46</v>
      </c>
      <c r="F593" t="s">
        <v>87</v>
      </c>
      <c r="G593">
        <v>21.14</v>
      </c>
      <c r="H593">
        <v>6.4</v>
      </c>
      <c r="I593">
        <v>7.37</v>
      </c>
      <c r="J593">
        <v>54.316899999999997</v>
      </c>
      <c r="K593" t="str">
        <f>IFERROR(INDEX(Rosters!$C$2:$C$155,MATCH($B593,Rosters!$B$2:$B$155,0)),"NA")</f>
        <v>seth</v>
      </c>
      <c r="L593" t="str">
        <f t="shared" si="27"/>
        <v>seth7WR</v>
      </c>
      <c r="M593">
        <f>COUNTIF(L$1:L593,L593)</f>
        <v>1</v>
      </c>
      <c r="N593" t="str">
        <f t="shared" si="28"/>
        <v>seth7WR-1</v>
      </c>
      <c r="O593">
        <f>COUNTIFS(F$1:F593,F593,A$1:A593,A593)</f>
        <v>3</v>
      </c>
      <c r="P593" t="str">
        <f t="shared" si="29"/>
        <v>Odell Beckham Jr.7</v>
      </c>
    </row>
    <row r="594" spans="1:16" x14ac:dyDescent="0.25">
      <c r="A594">
        <v>6</v>
      </c>
      <c r="B594" t="s">
        <v>1537</v>
      </c>
      <c r="C594" t="s">
        <v>6111</v>
      </c>
      <c r="D594">
        <v>13.75</v>
      </c>
      <c r="E594" t="s">
        <v>41</v>
      </c>
      <c r="F594" t="s">
        <v>15</v>
      </c>
      <c r="G594">
        <v>19.86</v>
      </c>
      <c r="H594">
        <v>7.64</v>
      </c>
      <c r="I594">
        <v>6.11</v>
      </c>
      <c r="J594">
        <v>37.332099999999997</v>
      </c>
      <c r="K594" t="str">
        <f>IFERROR(INDEX(Rosters!$C$2:$C$155,MATCH($B594,Rosters!$B$2:$B$155,0)),"NA")</f>
        <v>NA</v>
      </c>
      <c r="L594" t="str">
        <f t="shared" si="27"/>
        <v>NA6QB</v>
      </c>
      <c r="M594">
        <f>COUNTIF(L$1:L594,L594)</f>
        <v>11</v>
      </c>
      <c r="N594" t="str">
        <f t="shared" si="28"/>
        <v>NA6QB-11</v>
      </c>
      <c r="O594">
        <f>COUNTIFS(F$1:F594,F594,A$1:A594,A594)</f>
        <v>26</v>
      </c>
      <c r="P594" t="str">
        <f t="shared" si="29"/>
        <v>C.J. Beathard6</v>
      </c>
    </row>
    <row r="595" spans="1:16" x14ac:dyDescent="0.25">
      <c r="A595">
        <v>7</v>
      </c>
      <c r="B595" t="s">
        <v>1506</v>
      </c>
      <c r="C595" t="s">
        <v>6112</v>
      </c>
      <c r="D595">
        <v>13.75</v>
      </c>
      <c r="E595" t="s">
        <v>42</v>
      </c>
      <c r="F595" t="s">
        <v>15</v>
      </c>
      <c r="G595">
        <v>19.54</v>
      </c>
      <c r="H595">
        <v>7.96</v>
      </c>
      <c r="I595">
        <v>5.79</v>
      </c>
      <c r="J595">
        <v>33.524099999999997</v>
      </c>
      <c r="K595" t="str">
        <f>IFERROR(INDEX(Rosters!$C$2:$C$155,MATCH($B595,Rosters!$B$2:$B$155,0)),"NA")</f>
        <v>NA</v>
      </c>
      <c r="L595" t="str">
        <f t="shared" si="27"/>
        <v>NA7QB</v>
      </c>
      <c r="M595">
        <f>COUNTIF(L$1:L595,L595)</f>
        <v>13</v>
      </c>
      <c r="N595" t="str">
        <f t="shared" si="28"/>
        <v>NA7QB-13</v>
      </c>
      <c r="O595">
        <f>COUNTIFS(F$1:F595,F595,A$1:A595,A595)</f>
        <v>27</v>
      </c>
      <c r="P595" t="str">
        <f t="shared" si="29"/>
        <v>Josh Rosen7</v>
      </c>
    </row>
    <row r="596" spans="1:16" x14ac:dyDescent="0.25">
      <c r="A596">
        <v>13</v>
      </c>
      <c r="B596" t="s">
        <v>69</v>
      </c>
      <c r="C596" t="s">
        <v>6113</v>
      </c>
      <c r="D596">
        <v>13.74</v>
      </c>
      <c r="E596" t="s">
        <v>73</v>
      </c>
      <c r="F596" t="s">
        <v>15</v>
      </c>
      <c r="G596">
        <v>20.420000000000002</v>
      </c>
      <c r="H596">
        <v>7.06</v>
      </c>
      <c r="I596">
        <v>6.68</v>
      </c>
      <c r="J596">
        <v>44.622399999999999</v>
      </c>
      <c r="K596" t="str">
        <f>IFERROR(INDEX(Rosters!$C$2:$C$155,MATCH($B596,Rosters!$B$2:$B$155,0)),"NA")</f>
        <v>NA</v>
      </c>
      <c r="L596" t="str">
        <f t="shared" si="27"/>
        <v>NA13QB</v>
      </c>
      <c r="M596">
        <f>COUNTIF(L$1:L596,L596)</f>
        <v>13</v>
      </c>
      <c r="N596" t="str">
        <f t="shared" si="28"/>
        <v>NA13QB-13</v>
      </c>
      <c r="O596">
        <f>COUNTIFS(F$1:F596,F596,A$1:A596,A596)</f>
        <v>29</v>
      </c>
      <c r="P596" t="str">
        <f t="shared" si="29"/>
        <v>Marcus Mariota13</v>
      </c>
    </row>
    <row r="597" spans="1:16" x14ac:dyDescent="0.25">
      <c r="A597">
        <v>7</v>
      </c>
      <c r="B597" t="s">
        <v>124</v>
      </c>
      <c r="C597" t="s">
        <v>6114</v>
      </c>
      <c r="D597">
        <v>13.74</v>
      </c>
      <c r="E597" t="s">
        <v>31</v>
      </c>
      <c r="F597" t="s">
        <v>87</v>
      </c>
      <c r="G597">
        <v>21.48</v>
      </c>
      <c r="H597">
        <v>6</v>
      </c>
      <c r="I597">
        <v>7.74</v>
      </c>
      <c r="J597">
        <v>59.907600000000002</v>
      </c>
      <c r="K597" t="str">
        <f>IFERROR(INDEX(Rosters!$C$2:$C$155,MATCH($B597,Rosters!$B$2:$B$155,0)),"NA")</f>
        <v>matty</v>
      </c>
      <c r="L597" t="str">
        <f t="shared" si="27"/>
        <v>matty7WR</v>
      </c>
      <c r="M597">
        <f>COUNTIF(L$1:L597,L597)</f>
        <v>1</v>
      </c>
      <c r="N597" t="str">
        <f t="shared" si="28"/>
        <v>matty7WR-1</v>
      </c>
      <c r="O597">
        <f>COUNTIFS(F$1:F597,F597,A$1:A597,A597)</f>
        <v>4</v>
      </c>
      <c r="P597" t="str">
        <f t="shared" si="29"/>
        <v>Tyreek Hill7</v>
      </c>
    </row>
    <row r="598" spans="1:16" x14ac:dyDescent="0.25">
      <c r="A598">
        <v>8</v>
      </c>
      <c r="B598" t="s">
        <v>75</v>
      </c>
      <c r="C598" t="s">
        <v>6115</v>
      </c>
      <c r="D598">
        <v>13.73</v>
      </c>
      <c r="E598" t="s">
        <v>60</v>
      </c>
      <c r="F598" t="s">
        <v>15</v>
      </c>
      <c r="G598">
        <v>19.329999999999998</v>
      </c>
      <c r="H598">
        <v>8.1300000000000008</v>
      </c>
      <c r="I598">
        <v>5.6</v>
      </c>
      <c r="J598">
        <v>31.36</v>
      </c>
      <c r="K598" t="str">
        <f>IFERROR(INDEX(Rosters!$C$2:$C$155,MATCH($B598,Rosters!$B$2:$B$155,0)),"NA")</f>
        <v>NA</v>
      </c>
      <c r="L598" t="str">
        <f t="shared" si="27"/>
        <v>NA8QB</v>
      </c>
      <c r="M598">
        <f>COUNTIF(L$1:L598,L598)</f>
        <v>10</v>
      </c>
      <c r="N598" t="str">
        <f t="shared" si="28"/>
        <v>NA8QB-10</v>
      </c>
      <c r="O598">
        <f>COUNTIFS(F$1:F598,F598,A$1:A598,A598)</f>
        <v>25</v>
      </c>
      <c r="P598" t="str">
        <f t="shared" si="29"/>
        <v>Eli Manning8</v>
      </c>
    </row>
    <row r="599" spans="1:16" x14ac:dyDescent="0.25">
      <c r="A599">
        <v>1</v>
      </c>
      <c r="B599" t="s">
        <v>115</v>
      </c>
      <c r="C599" t="s">
        <v>1293</v>
      </c>
      <c r="D599">
        <v>13.73</v>
      </c>
      <c r="E599" t="s">
        <v>37</v>
      </c>
      <c r="F599" t="s">
        <v>47</v>
      </c>
      <c r="G599">
        <v>23.55</v>
      </c>
      <c r="H599">
        <v>3.91</v>
      </c>
      <c r="I599">
        <v>9.82</v>
      </c>
      <c r="J599">
        <v>96.432400000000001</v>
      </c>
      <c r="K599" t="str">
        <f>IFERROR(INDEX(Rosters!$C$2:$C$155,MATCH($B599,Rosters!$B$2:$B$155,0)),"NA")</f>
        <v>scott</v>
      </c>
      <c r="L599" t="str">
        <f t="shared" si="27"/>
        <v>scott1RB</v>
      </c>
      <c r="M599">
        <f>COUNTIF(L$1:L599,L599)</f>
        <v>2</v>
      </c>
      <c r="N599" t="str">
        <f t="shared" si="28"/>
        <v>scott1RB-2</v>
      </c>
      <c r="O599">
        <f>COUNTIFS(F$1:F599,F599,A$1:A599,A599)</f>
        <v>8</v>
      </c>
      <c r="P599" t="str">
        <f t="shared" si="29"/>
        <v>Kareem Hunt1</v>
      </c>
    </row>
    <row r="600" spans="1:16" x14ac:dyDescent="0.25">
      <c r="A600">
        <v>3</v>
      </c>
      <c r="B600" t="s">
        <v>110</v>
      </c>
      <c r="C600" t="s">
        <v>3634</v>
      </c>
      <c r="D600">
        <v>13.73</v>
      </c>
      <c r="E600" t="s">
        <v>46</v>
      </c>
      <c r="F600" t="s">
        <v>87</v>
      </c>
      <c r="G600">
        <v>21.25</v>
      </c>
      <c r="H600">
        <v>6.21</v>
      </c>
      <c r="I600">
        <v>7.52</v>
      </c>
      <c r="J600">
        <v>56.550400000000003</v>
      </c>
      <c r="K600" t="str">
        <f>IFERROR(INDEX(Rosters!$C$2:$C$155,MATCH($B600,Rosters!$B$2:$B$155,0)),"NA")</f>
        <v>cory</v>
      </c>
      <c r="L600" t="str">
        <f t="shared" si="27"/>
        <v>cory3WR</v>
      </c>
      <c r="M600">
        <f>COUNTIF(L$1:L600,L600)</f>
        <v>2</v>
      </c>
      <c r="N600" t="str">
        <f t="shared" si="28"/>
        <v>cory3WR-2</v>
      </c>
      <c r="O600">
        <f>COUNTIFS(F$1:F600,F600,A$1:A600,A600)</f>
        <v>5</v>
      </c>
      <c r="P600" t="str">
        <f t="shared" si="29"/>
        <v>Michael Thomas3</v>
      </c>
    </row>
    <row r="601" spans="1:16" x14ac:dyDescent="0.25">
      <c r="A601">
        <v>6</v>
      </c>
      <c r="B601" t="s">
        <v>75</v>
      </c>
      <c r="C601" t="s">
        <v>6116</v>
      </c>
      <c r="D601">
        <v>13.72</v>
      </c>
      <c r="E601" t="s">
        <v>50</v>
      </c>
      <c r="F601" t="s">
        <v>15</v>
      </c>
      <c r="G601">
        <v>20.04</v>
      </c>
      <c r="H601">
        <v>7.4</v>
      </c>
      <c r="I601">
        <v>6.32</v>
      </c>
      <c r="J601">
        <v>39.942399999999999</v>
      </c>
      <c r="K601" t="str">
        <f>IFERROR(INDEX(Rosters!$C$2:$C$155,MATCH($B601,Rosters!$B$2:$B$155,0)),"NA")</f>
        <v>NA</v>
      </c>
      <c r="L601" t="str">
        <f t="shared" si="27"/>
        <v>NA6QB</v>
      </c>
      <c r="M601">
        <f>COUNTIF(L$1:L601,L601)</f>
        <v>12</v>
      </c>
      <c r="N601" t="str">
        <f t="shared" si="28"/>
        <v>NA6QB-12</v>
      </c>
      <c r="O601">
        <f>COUNTIFS(F$1:F601,F601,A$1:A601,A601)</f>
        <v>27</v>
      </c>
      <c r="P601" t="str">
        <f t="shared" si="29"/>
        <v>Eli Manning6</v>
      </c>
    </row>
    <row r="602" spans="1:16" x14ac:dyDescent="0.25">
      <c r="A602">
        <v>10</v>
      </c>
      <c r="B602" t="s">
        <v>93</v>
      </c>
      <c r="C602" t="s">
        <v>6117</v>
      </c>
      <c r="D602">
        <v>13.72</v>
      </c>
      <c r="E602" t="s">
        <v>52</v>
      </c>
      <c r="F602" t="s">
        <v>87</v>
      </c>
      <c r="G602">
        <v>22.31</v>
      </c>
      <c r="H602">
        <v>5.13</v>
      </c>
      <c r="I602">
        <v>8.59</v>
      </c>
      <c r="J602">
        <v>73.7881</v>
      </c>
      <c r="K602" t="str">
        <f>IFERROR(INDEX(Rosters!$C$2:$C$155,MATCH($B602,Rosters!$B$2:$B$155,0)),"NA")</f>
        <v>cory</v>
      </c>
      <c r="L602" t="str">
        <f t="shared" si="27"/>
        <v>cory10WR</v>
      </c>
      <c r="M602">
        <f>COUNTIF(L$1:L602,L602)</f>
        <v>1</v>
      </c>
      <c r="N602" t="str">
        <f t="shared" si="28"/>
        <v>cory10WR-1</v>
      </c>
      <c r="O602">
        <f>COUNTIFS(F$1:F602,F602,A$1:A602,A602)</f>
        <v>3</v>
      </c>
      <c r="P602" t="str">
        <f t="shared" si="29"/>
        <v>Julio Jones10</v>
      </c>
    </row>
    <row r="603" spans="1:16" x14ac:dyDescent="0.25">
      <c r="A603">
        <v>4</v>
      </c>
      <c r="B603" t="s">
        <v>97</v>
      </c>
      <c r="C603" t="s">
        <v>4431</v>
      </c>
      <c r="D603">
        <v>13.71</v>
      </c>
      <c r="E603" t="s">
        <v>17</v>
      </c>
      <c r="F603" t="s">
        <v>47</v>
      </c>
      <c r="G603">
        <v>22.14</v>
      </c>
      <c r="H603">
        <v>5.28</v>
      </c>
      <c r="I603">
        <v>8.43</v>
      </c>
      <c r="J603">
        <v>71.064899999999994</v>
      </c>
      <c r="K603" t="str">
        <f>IFERROR(INDEX(Rosters!$C$2:$C$155,MATCH($B603,Rosters!$B$2:$B$155,0)),"NA")</f>
        <v>chad</v>
      </c>
      <c r="L603" t="str">
        <f t="shared" si="27"/>
        <v>chad4RB</v>
      </c>
      <c r="M603">
        <f>COUNTIF(L$1:L603,L603)</f>
        <v>2</v>
      </c>
      <c r="N603" t="str">
        <f t="shared" si="28"/>
        <v>chad4RB-2</v>
      </c>
      <c r="O603">
        <f>COUNTIFS(F$1:F603,F603,A$1:A603,A603)</f>
        <v>6</v>
      </c>
      <c r="P603" t="str">
        <f t="shared" si="29"/>
        <v>Jordan Howard4</v>
      </c>
    </row>
    <row r="604" spans="1:16" x14ac:dyDescent="0.25">
      <c r="A604">
        <v>8</v>
      </c>
      <c r="B604" t="s">
        <v>1275</v>
      </c>
      <c r="C604" t="s">
        <v>6118</v>
      </c>
      <c r="D604">
        <v>13.71</v>
      </c>
      <c r="E604" t="s">
        <v>72</v>
      </c>
      <c r="F604" t="s">
        <v>15</v>
      </c>
      <c r="G604">
        <v>20.91</v>
      </c>
      <c r="H604">
        <v>6.51</v>
      </c>
      <c r="I604">
        <v>7.2</v>
      </c>
      <c r="J604">
        <v>51.84</v>
      </c>
      <c r="K604" t="str">
        <f>IFERROR(INDEX(Rosters!$C$2:$C$155,MATCH($B604,Rosters!$B$2:$B$155,0)),"NA")</f>
        <v>NA</v>
      </c>
      <c r="L604" t="str">
        <f t="shared" si="27"/>
        <v>NA8QB</v>
      </c>
      <c r="M604">
        <f>COUNTIF(L$1:L604,L604)</f>
        <v>11</v>
      </c>
      <c r="N604" t="str">
        <f t="shared" si="28"/>
        <v>NA8QB-11</v>
      </c>
      <c r="O604">
        <f>COUNTIFS(F$1:F604,F604,A$1:A604,A604)</f>
        <v>26</v>
      </c>
      <c r="P604" t="str">
        <f t="shared" si="29"/>
        <v>Sam Darnold8</v>
      </c>
    </row>
    <row r="605" spans="1:16" x14ac:dyDescent="0.25">
      <c r="A605">
        <v>5</v>
      </c>
      <c r="B605" t="s">
        <v>75</v>
      </c>
      <c r="C605" t="s">
        <v>6119</v>
      </c>
      <c r="D605">
        <v>13.7</v>
      </c>
      <c r="E605" t="s">
        <v>74</v>
      </c>
      <c r="F605" t="s">
        <v>15</v>
      </c>
      <c r="G605">
        <v>19.47</v>
      </c>
      <c r="H605">
        <v>7.93</v>
      </c>
      <c r="I605">
        <v>5.77</v>
      </c>
      <c r="J605">
        <v>33.292900000000003</v>
      </c>
      <c r="K605" t="str">
        <f>IFERROR(INDEX(Rosters!$C$2:$C$155,MATCH($B605,Rosters!$B$2:$B$155,0)),"NA")</f>
        <v>NA</v>
      </c>
      <c r="L605" t="str">
        <f t="shared" si="27"/>
        <v>NA5QB</v>
      </c>
      <c r="M605">
        <f>COUNTIF(L$1:L605,L605)</f>
        <v>10</v>
      </c>
      <c r="N605" t="str">
        <f t="shared" si="28"/>
        <v>NA5QB-10</v>
      </c>
      <c r="O605">
        <f>COUNTIFS(F$1:F605,F605,A$1:A605,A605)</f>
        <v>26</v>
      </c>
      <c r="P605" t="str">
        <f t="shared" si="29"/>
        <v>Eli Manning5</v>
      </c>
    </row>
    <row r="606" spans="1:16" x14ac:dyDescent="0.25">
      <c r="A606">
        <v>4</v>
      </c>
      <c r="B606" t="s">
        <v>82</v>
      </c>
      <c r="C606" t="s">
        <v>4432</v>
      </c>
      <c r="D606">
        <v>13.7</v>
      </c>
      <c r="E606" t="s">
        <v>51</v>
      </c>
      <c r="F606" t="s">
        <v>15</v>
      </c>
      <c r="G606">
        <v>19.71</v>
      </c>
      <c r="H606">
        <v>7.69</v>
      </c>
      <c r="I606">
        <v>6.01</v>
      </c>
      <c r="J606">
        <v>36.120100000000001</v>
      </c>
      <c r="K606" t="str">
        <f>IFERROR(INDEX(Rosters!$C$2:$C$155,MATCH($B606,Rosters!$B$2:$B$155,0)),"NA")</f>
        <v>NA</v>
      </c>
      <c r="L606" t="str">
        <f t="shared" si="27"/>
        <v>NA4QB</v>
      </c>
      <c r="M606">
        <f>COUNTIF(L$1:L606,L606)</f>
        <v>12</v>
      </c>
      <c r="N606" t="str">
        <f t="shared" si="28"/>
        <v>NA4QB-12</v>
      </c>
      <c r="O606">
        <f>COUNTIFS(F$1:F606,F606,A$1:A606,A606)</f>
        <v>27</v>
      </c>
      <c r="P606" t="str">
        <f t="shared" si="29"/>
        <v>Joe Flacco4</v>
      </c>
    </row>
    <row r="607" spans="1:16" x14ac:dyDescent="0.25">
      <c r="A607">
        <v>2</v>
      </c>
      <c r="B607" t="s">
        <v>298</v>
      </c>
      <c r="C607" t="s">
        <v>3554</v>
      </c>
      <c r="D607">
        <v>13.69</v>
      </c>
      <c r="E607" t="s">
        <v>24</v>
      </c>
      <c r="F607" t="s">
        <v>47</v>
      </c>
      <c r="G607">
        <v>22.08</v>
      </c>
      <c r="H607">
        <v>5.3</v>
      </c>
      <c r="I607">
        <v>8.39</v>
      </c>
      <c r="J607">
        <v>70.392099999999999</v>
      </c>
      <c r="K607" t="str">
        <f>IFERROR(INDEX(Rosters!$C$2:$C$155,MATCH($B607,Rosters!$B$2:$B$155,0)),"NA")</f>
        <v>aj</v>
      </c>
      <c r="L607" t="str">
        <f t="shared" si="27"/>
        <v>aj2RB</v>
      </c>
      <c r="M607">
        <f>COUNTIF(L$1:L607,L607)</f>
        <v>1</v>
      </c>
      <c r="N607" t="str">
        <f t="shared" si="28"/>
        <v>aj2RB-1</v>
      </c>
      <c r="O607">
        <f>COUNTIFS(F$1:F607,F607,A$1:A607,A607)</f>
        <v>6</v>
      </c>
      <c r="P607" t="str">
        <f t="shared" si="29"/>
        <v>James Conner2</v>
      </c>
    </row>
    <row r="608" spans="1:16" x14ac:dyDescent="0.25">
      <c r="A608">
        <v>4</v>
      </c>
      <c r="B608" t="s">
        <v>93</v>
      </c>
      <c r="C608" t="s">
        <v>4433</v>
      </c>
      <c r="D608">
        <v>13.69</v>
      </c>
      <c r="E608" t="s">
        <v>31</v>
      </c>
      <c r="F608" t="s">
        <v>87</v>
      </c>
      <c r="G608">
        <v>21.55</v>
      </c>
      <c r="H608">
        <v>5.83</v>
      </c>
      <c r="I608">
        <v>7.86</v>
      </c>
      <c r="J608">
        <v>61.779600000000002</v>
      </c>
      <c r="K608" t="str">
        <f>IFERROR(INDEX(Rosters!$C$2:$C$155,MATCH($B608,Rosters!$B$2:$B$155,0)),"NA")</f>
        <v>cory</v>
      </c>
      <c r="L608" t="str">
        <f t="shared" si="27"/>
        <v>cory4WR</v>
      </c>
      <c r="M608">
        <f>COUNTIF(L$1:L608,L608)</f>
        <v>2</v>
      </c>
      <c r="N608" t="str">
        <f t="shared" si="28"/>
        <v>cory4WR-2</v>
      </c>
      <c r="O608">
        <f>COUNTIFS(F$1:F608,F608,A$1:A608,A608)</f>
        <v>6</v>
      </c>
      <c r="P608" t="str">
        <f t="shared" si="29"/>
        <v>Julio Jones4</v>
      </c>
    </row>
    <row r="609" spans="1:16" x14ac:dyDescent="0.25">
      <c r="A609">
        <v>8</v>
      </c>
      <c r="B609" t="s">
        <v>86</v>
      </c>
      <c r="C609" t="s">
        <v>6120</v>
      </c>
      <c r="D609">
        <v>13.69</v>
      </c>
      <c r="E609" t="s">
        <v>60</v>
      </c>
      <c r="F609" t="s">
        <v>87</v>
      </c>
      <c r="G609">
        <v>21.78</v>
      </c>
      <c r="H609">
        <v>5.6</v>
      </c>
      <c r="I609">
        <v>8.09</v>
      </c>
      <c r="J609">
        <v>65.448099999999997</v>
      </c>
      <c r="K609" t="str">
        <f>IFERROR(INDEX(Rosters!$C$2:$C$155,MATCH($B609,Rosters!$B$2:$B$155,0)),"NA")</f>
        <v>seth</v>
      </c>
      <c r="L609" t="str">
        <f t="shared" si="27"/>
        <v>seth8WR</v>
      </c>
      <c r="M609">
        <f>COUNTIF(L$1:L609,L609)</f>
        <v>1</v>
      </c>
      <c r="N609" t="str">
        <f t="shared" si="28"/>
        <v>seth8WR-1</v>
      </c>
      <c r="O609">
        <f>COUNTIFS(F$1:F609,F609,A$1:A609,A609)</f>
        <v>3</v>
      </c>
      <c r="P609" t="str">
        <f t="shared" si="29"/>
        <v>Odell Beckham Jr.8</v>
      </c>
    </row>
    <row r="610" spans="1:16" x14ac:dyDescent="0.25">
      <c r="A610">
        <v>11</v>
      </c>
      <c r="B610" t="s">
        <v>108</v>
      </c>
      <c r="C610" t="s">
        <v>6121</v>
      </c>
      <c r="D610">
        <v>13.68</v>
      </c>
      <c r="E610" t="s">
        <v>24</v>
      </c>
      <c r="F610" t="s">
        <v>87</v>
      </c>
      <c r="G610">
        <v>20.190000000000001</v>
      </c>
      <c r="H610">
        <v>7.17</v>
      </c>
      <c r="I610">
        <v>6.51</v>
      </c>
      <c r="J610">
        <v>42.380099999999999</v>
      </c>
      <c r="K610" t="str">
        <f>IFERROR(INDEX(Rosters!$C$2:$C$155,MATCH($B610,Rosters!$B$2:$B$155,0)),"NA")</f>
        <v>perry</v>
      </c>
      <c r="L610" t="str">
        <f t="shared" si="27"/>
        <v>perry11WR</v>
      </c>
      <c r="M610">
        <f>COUNTIF(L$1:L610,L610)</f>
        <v>1</v>
      </c>
      <c r="N610" t="str">
        <f t="shared" si="28"/>
        <v>perry11WR-1</v>
      </c>
      <c r="O610">
        <f>COUNTIFS(F$1:F610,F610,A$1:A610,A610)</f>
        <v>3</v>
      </c>
      <c r="P610" t="str">
        <f t="shared" si="29"/>
        <v>Brandin Cooks11</v>
      </c>
    </row>
    <row r="611" spans="1:16" x14ac:dyDescent="0.25">
      <c r="A611">
        <v>10</v>
      </c>
      <c r="B611" t="s">
        <v>1288</v>
      </c>
      <c r="C611" t="s">
        <v>6122</v>
      </c>
      <c r="D611">
        <v>13.67</v>
      </c>
      <c r="E611" t="s">
        <v>30</v>
      </c>
      <c r="F611" t="s">
        <v>47</v>
      </c>
      <c r="G611">
        <v>21.97</v>
      </c>
      <c r="H611">
        <v>5.37</v>
      </c>
      <c r="I611">
        <v>8.3000000000000007</v>
      </c>
      <c r="J611">
        <v>68.89</v>
      </c>
      <c r="K611" t="str">
        <f>IFERROR(INDEX(Rosters!$C$2:$C$155,MATCH($B611,Rosters!$B$2:$B$155,0)),"NA")</f>
        <v>lucas</v>
      </c>
      <c r="L611" t="str">
        <f t="shared" si="27"/>
        <v>lucas10RB</v>
      </c>
      <c r="M611">
        <f>COUNTIF(L$1:L611,L611)</f>
        <v>1</v>
      </c>
      <c r="N611" t="str">
        <f t="shared" si="28"/>
        <v>lucas10RB-1</v>
      </c>
      <c r="O611">
        <f>COUNTIFS(F$1:F611,F611,A$1:A611,A611)</f>
        <v>9</v>
      </c>
      <c r="P611" t="str">
        <f t="shared" si="29"/>
        <v>Saquon Barkley10</v>
      </c>
    </row>
    <row r="612" spans="1:16" x14ac:dyDescent="0.25">
      <c r="A612">
        <v>5</v>
      </c>
      <c r="B612" t="s">
        <v>1275</v>
      </c>
      <c r="C612" t="s">
        <v>6123</v>
      </c>
      <c r="D612">
        <v>13.66</v>
      </c>
      <c r="E612" t="s">
        <v>42</v>
      </c>
      <c r="F612" t="s">
        <v>15</v>
      </c>
      <c r="G612">
        <v>20.81</v>
      </c>
      <c r="H612">
        <v>6.51</v>
      </c>
      <c r="I612">
        <v>7.15</v>
      </c>
      <c r="J612">
        <v>51.122500000000002</v>
      </c>
      <c r="K612" t="str">
        <f>IFERROR(INDEX(Rosters!$C$2:$C$155,MATCH($B612,Rosters!$B$2:$B$155,0)),"NA")</f>
        <v>NA</v>
      </c>
      <c r="L612" t="str">
        <f t="shared" si="27"/>
        <v>NA5QB</v>
      </c>
      <c r="M612">
        <f>COUNTIF(L$1:L612,L612)</f>
        <v>11</v>
      </c>
      <c r="N612" t="str">
        <f t="shared" si="28"/>
        <v>NA5QB-11</v>
      </c>
      <c r="O612">
        <f>COUNTIFS(F$1:F612,F612,A$1:A612,A612)</f>
        <v>27</v>
      </c>
      <c r="P612" t="str">
        <f t="shared" si="29"/>
        <v>Sam Darnold5</v>
      </c>
    </row>
    <row r="613" spans="1:16" x14ac:dyDescent="0.25">
      <c r="A613">
        <v>12</v>
      </c>
      <c r="B613" t="s">
        <v>71</v>
      </c>
      <c r="C613" t="s">
        <v>6124</v>
      </c>
      <c r="D613">
        <v>13.64</v>
      </c>
      <c r="E613" t="s">
        <v>77</v>
      </c>
      <c r="F613" t="s">
        <v>15</v>
      </c>
      <c r="G613">
        <v>20.93</v>
      </c>
      <c r="H613">
        <v>6.35</v>
      </c>
      <c r="I613">
        <v>7.29</v>
      </c>
      <c r="J613">
        <v>53.144100000000002</v>
      </c>
      <c r="K613" t="str">
        <f>IFERROR(INDEX(Rosters!$C$2:$C$155,MATCH($B613,Rosters!$B$2:$B$155,0)),"NA")</f>
        <v>NA</v>
      </c>
      <c r="L613" t="str">
        <f t="shared" si="27"/>
        <v>NA12QB</v>
      </c>
      <c r="M613">
        <f>COUNTIF(L$1:L613,L613)</f>
        <v>12</v>
      </c>
      <c r="N613" t="str">
        <f t="shared" si="28"/>
        <v>NA12QB-12</v>
      </c>
      <c r="O613">
        <f>COUNTIFS(F$1:F613,F613,A$1:A613,A613)</f>
        <v>27</v>
      </c>
      <c r="P613" t="str">
        <f t="shared" si="29"/>
        <v>Derek Carr12</v>
      </c>
    </row>
    <row r="614" spans="1:16" x14ac:dyDescent="0.25">
      <c r="A614">
        <v>9</v>
      </c>
      <c r="B614" t="s">
        <v>93</v>
      </c>
      <c r="C614" t="s">
        <v>6125</v>
      </c>
      <c r="D614">
        <v>13.63</v>
      </c>
      <c r="E614" t="s">
        <v>60</v>
      </c>
      <c r="F614" t="s">
        <v>87</v>
      </c>
      <c r="G614">
        <v>21.92</v>
      </c>
      <c r="H614">
        <v>5.34</v>
      </c>
      <c r="I614">
        <v>8.2899999999999991</v>
      </c>
      <c r="J614">
        <v>68.724100000000007</v>
      </c>
      <c r="K614" t="str">
        <f>IFERROR(INDEX(Rosters!$C$2:$C$155,MATCH($B614,Rosters!$B$2:$B$155,0)),"NA")</f>
        <v>cory</v>
      </c>
      <c r="L614" t="str">
        <f t="shared" si="27"/>
        <v>cory9WR</v>
      </c>
      <c r="M614">
        <f>COUNTIF(L$1:L614,L614)</f>
        <v>1</v>
      </c>
      <c r="N614" t="str">
        <f t="shared" si="28"/>
        <v>cory9WR-1</v>
      </c>
      <c r="O614">
        <f>COUNTIFS(F$1:F614,F614,A$1:A614,A614)</f>
        <v>1</v>
      </c>
      <c r="P614" t="str">
        <f t="shared" si="29"/>
        <v>Julio Jones9</v>
      </c>
    </row>
    <row r="615" spans="1:16" x14ac:dyDescent="0.25">
      <c r="A615">
        <v>12</v>
      </c>
      <c r="B615" t="s">
        <v>99</v>
      </c>
      <c r="C615" t="s">
        <v>6126</v>
      </c>
      <c r="D615">
        <v>13.63</v>
      </c>
      <c r="E615" t="s">
        <v>38</v>
      </c>
      <c r="F615" t="s">
        <v>47</v>
      </c>
      <c r="G615">
        <v>21.28</v>
      </c>
      <c r="H615">
        <v>5.98</v>
      </c>
      <c r="I615">
        <v>7.65</v>
      </c>
      <c r="J615">
        <v>58.522500000000001</v>
      </c>
      <c r="K615" t="str">
        <f>IFERROR(INDEX(Rosters!$C$2:$C$155,MATCH($B615,Rosters!$B$2:$B$155,0)),"NA")</f>
        <v>comp</v>
      </c>
      <c r="L615" t="str">
        <f t="shared" si="27"/>
        <v>comp12RB</v>
      </c>
      <c r="M615">
        <f>COUNTIF(L$1:L615,L615)</f>
        <v>1</v>
      </c>
      <c r="N615" t="str">
        <f t="shared" si="28"/>
        <v>comp12RB-1</v>
      </c>
      <c r="O615">
        <f>COUNTIFS(F$1:F615,F615,A$1:A615,A615)</f>
        <v>4</v>
      </c>
      <c r="P615" t="str">
        <f t="shared" si="29"/>
        <v>Lamar Miller12</v>
      </c>
    </row>
    <row r="616" spans="1:16" x14ac:dyDescent="0.25">
      <c r="A616">
        <v>17</v>
      </c>
      <c r="B616" t="s">
        <v>110</v>
      </c>
      <c r="C616" t="s">
        <v>6127</v>
      </c>
      <c r="D616">
        <v>13.63</v>
      </c>
      <c r="E616" t="s">
        <v>74</v>
      </c>
      <c r="F616" t="s">
        <v>87</v>
      </c>
      <c r="G616">
        <v>21.2</v>
      </c>
      <c r="H616">
        <v>6.06</v>
      </c>
      <c r="I616">
        <v>7.57</v>
      </c>
      <c r="J616">
        <v>57.304900000000004</v>
      </c>
      <c r="K616" t="str">
        <f>IFERROR(INDEX(Rosters!$C$2:$C$155,MATCH($B616,Rosters!$B$2:$B$155,0)),"NA")</f>
        <v>cory</v>
      </c>
      <c r="L616" t="str">
        <f t="shared" si="27"/>
        <v>cory17WR</v>
      </c>
      <c r="M616">
        <f>COUNTIF(L$1:L616,L616)</f>
        <v>2</v>
      </c>
      <c r="N616" t="str">
        <f t="shared" si="28"/>
        <v>cory17WR-2</v>
      </c>
      <c r="O616">
        <f>COUNTIFS(F$1:F616,F616,A$1:A616,A616)</f>
        <v>4</v>
      </c>
      <c r="P616" t="str">
        <f t="shared" si="29"/>
        <v>Michael Thomas17</v>
      </c>
    </row>
    <row r="617" spans="1:16" x14ac:dyDescent="0.25">
      <c r="A617">
        <v>14</v>
      </c>
      <c r="B617" t="s">
        <v>93</v>
      </c>
      <c r="C617" t="s">
        <v>6128</v>
      </c>
      <c r="D617">
        <v>13.62</v>
      </c>
      <c r="E617" t="s">
        <v>41</v>
      </c>
      <c r="F617" t="s">
        <v>87</v>
      </c>
      <c r="G617">
        <v>21.72</v>
      </c>
      <c r="H617">
        <v>5.52</v>
      </c>
      <c r="I617">
        <v>8.1</v>
      </c>
      <c r="J617">
        <v>65.61</v>
      </c>
      <c r="K617" t="str">
        <f>IFERROR(INDEX(Rosters!$C$2:$C$155,MATCH($B617,Rosters!$B$2:$B$155,0)),"NA")</f>
        <v>cory</v>
      </c>
      <c r="L617" t="str">
        <f t="shared" si="27"/>
        <v>cory14WR</v>
      </c>
      <c r="M617">
        <f>COUNTIF(L$1:L617,L617)</f>
        <v>2</v>
      </c>
      <c r="N617" t="str">
        <f t="shared" si="28"/>
        <v>cory14WR-2</v>
      </c>
      <c r="O617">
        <f>COUNTIFS(F$1:F617,F617,A$1:A617,A617)</f>
        <v>4</v>
      </c>
      <c r="P617" t="str">
        <f t="shared" si="29"/>
        <v>Julio Jones14</v>
      </c>
    </row>
    <row r="618" spans="1:16" x14ac:dyDescent="0.25">
      <c r="A618">
        <v>14</v>
      </c>
      <c r="B618" t="s">
        <v>130</v>
      </c>
      <c r="C618" t="s">
        <v>6129</v>
      </c>
      <c r="D618">
        <v>13.61</v>
      </c>
      <c r="E618" t="s">
        <v>74</v>
      </c>
      <c r="F618" t="s">
        <v>47</v>
      </c>
      <c r="G618">
        <v>20.09</v>
      </c>
      <c r="H618">
        <v>7.13</v>
      </c>
      <c r="I618">
        <v>6.48</v>
      </c>
      <c r="J618">
        <v>41.990400000000001</v>
      </c>
      <c r="K618" t="str">
        <f>IFERROR(INDEX(Rosters!$C$2:$C$155,MATCH($B618,Rosters!$B$2:$B$155,0)),"NA")</f>
        <v>cory</v>
      </c>
      <c r="L618" t="str">
        <f t="shared" si="27"/>
        <v>cory14RB</v>
      </c>
      <c r="M618">
        <f>COUNTIF(L$1:L618,L618)</f>
        <v>1</v>
      </c>
      <c r="N618" t="str">
        <f t="shared" si="28"/>
        <v>cory14RB-1</v>
      </c>
      <c r="O618">
        <f>COUNTIFS(F$1:F618,F618,A$1:A618,A618)</f>
        <v>10</v>
      </c>
      <c r="P618" t="str">
        <f t="shared" si="29"/>
        <v>Carlos Hyde14</v>
      </c>
    </row>
    <row r="619" spans="1:16" x14ac:dyDescent="0.25">
      <c r="A619">
        <v>9</v>
      </c>
      <c r="B619" t="s">
        <v>110</v>
      </c>
      <c r="C619" t="s">
        <v>6130</v>
      </c>
      <c r="D619">
        <v>13.61</v>
      </c>
      <c r="E619" t="s">
        <v>56</v>
      </c>
      <c r="F619" t="s">
        <v>87</v>
      </c>
      <c r="G619">
        <v>21.03</v>
      </c>
      <c r="H619">
        <v>6.19</v>
      </c>
      <c r="I619">
        <v>7.42</v>
      </c>
      <c r="J619">
        <v>55.056399999999996</v>
      </c>
      <c r="K619" t="str">
        <f>IFERROR(INDEX(Rosters!$C$2:$C$155,MATCH($B619,Rosters!$B$2:$B$155,0)),"NA")</f>
        <v>cory</v>
      </c>
      <c r="L619" t="str">
        <f t="shared" si="27"/>
        <v>cory9WR</v>
      </c>
      <c r="M619">
        <f>COUNTIF(L$1:L619,L619)</f>
        <v>2</v>
      </c>
      <c r="N619" t="str">
        <f t="shared" si="28"/>
        <v>cory9WR-2</v>
      </c>
      <c r="O619">
        <f>COUNTIFS(F$1:F619,F619,A$1:A619,A619)</f>
        <v>2</v>
      </c>
      <c r="P619" t="str">
        <f t="shared" si="29"/>
        <v>Michael Thomas9</v>
      </c>
    </row>
    <row r="620" spans="1:16" x14ac:dyDescent="0.25">
      <c r="A620">
        <v>12</v>
      </c>
      <c r="B620" t="s">
        <v>112</v>
      </c>
      <c r="C620" t="s">
        <v>6131</v>
      </c>
      <c r="D620">
        <v>13.59</v>
      </c>
      <c r="E620" t="s">
        <v>28</v>
      </c>
      <c r="F620" t="s">
        <v>47</v>
      </c>
      <c r="G620">
        <v>19.53</v>
      </c>
      <c r="H620">
        <v>7.65</v>
      </c>
      <c r="I620">
        <v>5.94</v>
      </c>
      <c r="J620">
        <v>35.2836</v>
      </c>
      <c r="K620" t="str">
        <f>IFERROR(INDEX(Rosters!$C$2:$C$155,MATCH($B620,Rosters!$B$2:$B$155,0)),"NA")</f>
        <v>devon</v>
      </c>
      <c r="L620" t="str">
        <f t="shared" si="27"/>
        <v>devon12RB</v>
      </c>
      <c r="M620">
        <f>COUNTIF(L$1:L620,L620)</f>
        <v>1</v>
      </c>
      <c r="N620" t="str">
        <f t="shared" si="28"/>
        <v>devon12RB-1</v>
      </c>
      <c r="O620">
        <f>COUNTIFS(F$1:F620,F620,A$1:A620,A620)</f>
        <v>5</v>
      </c>
      <c r="P620" t="str">
        <f t="shared" si="29"/>
        <v>Christian McCaffrey12</v>
      </c>
    </row>
    <row r="621" spans="1:16" x14ac:dyDescent="0.25">
      <c r="A621">
        <v>14</v>
      </c>
      <c r="B621" t="s">
        <v>1275</v>
      </c>
      <c r="C621" t="s">
        <v>6132</v>
      </c>
      <c r="D621">
        <v>13.59</v>
      </c>
      <c r="E621" t="s">
        <v>29</v>
      </c>
      <c r="F621" t="s">
        <v>15</v>
      </c>
      <c r="G621">
        <v>20.079999999999998</v>
      </c>
      <c r="H621">
        <v>7.1</v>
      </c>
      <c r="I621">
        <v>6.49</v>
      </c>
      <c r="J621">
        <v>42.120100000000001</v>
      </c>
      <c r="K621" t="str">
        <f>IFERROR(INDEX(Rosters!$C$2:$C$155,MATCH($B621,Rosters!$B$2:$B$155,0)),"NA")</f>
        <v>NA</v>
      </c>
      <c r="L621" t="str">
        <f t="shared" si="27"/>
        <v>NA14QB</v>
      </c>
      <c r="M621">
        <f>COUNTIF(L$1:L621,L621)</f>
        <v>13</v>
      </c>
      <c r="N621" t="str">
        <f t="shared" si="28"/>
        <v>NA14QB-13</v>
      </c>
      <c r="O621">
        <f>COUNTIFS(F$1:F621,F621,A$1:A621,A621)</f>
        <v>29</v>
      </c>
      <c r="P621" t="str">
        <f t="shared" si="29"/>
        <v>Sam Darnold14</v>
      </c>
    </row>
    <row r="622" spans="1:16" x14ac:dyDescent="0.25">
      <c r="A622">
        <v>9</v>
      </c>
      <c r="B622" t="s">
        <v>1278</v>
      </c>
      <c r="C622" t="s">
        <v>6133</v>
      </c>
      <c r="D622">
        <v>13.58</v>
      </c>
      <c r="E622" t="s">
        <v>73</v>
      </c>
      <c r="F622" t="s">
        <v>15</v>
      </c>
      <c r="G622">
        <v>19.7</v>
      </c>
      <c r="H622">
        <v>7.46</v>
      </c>
      <c r="I622">
        <v>6.12</v>
      </c>
      <c r="J622">
        <v>37.4544</v>
      </c>
      <c r="K622" t="str">
        <f>IFERROR(INDEX(Rosters!$C$2:$C$155,MATCH($B622,Rosters!$B$2:$B$155,0)),"NA")</f>
        <v>NA</v>
      </c>
      <c r="L622" t="str">
        <f t="shared" si="27"/>
        <v>NA9QB</v>
      </c>
      <c r="M622">
        <f>COUNTIF(L$1:L622,L622)</f>
        <v>11</v>
      </c>
      <c r="N622" t="str">
        <f t="shared" si="28"/>
        <v>NA9QB-11</v>
      </c>
      <c r="O622">
        <f>COUNTIFS(F$1:F622,F622,A$1:A622,A622)</f>
        <v>25</v>
      </c>
      <c r="P622" t="str">
        <f t="shared" si="29"/>
        <v>Ryan Tannehill9</v>
      </c>
    </row>
    <row r="623" spans="1:16" x14ac:dyDescent="0.25">
      <c r="A623">
        <v>3</v>
      </c>
      <c r="B623" t="s">
        <v>100</v>
      </c>
      <c r="C623" t="s">
        <v>3635</v>
      </c>
      <c r="D623">
        <v>13.54</v>
      </c>
      <c r="E623" t="s">
        <v>51</v>
      </c>
      <c r="F623" t="s">
        <v>87</v>
      </c>
      <c r="G623">
        <v>22.38</v>
      </c>
      <c r="H623">
        <v>4.7</v>
      </c>
      <c r="I623">
        <v>8.84</v>
      </c>
      <c r="J623">
        <v>78.145600000000002</v>
      </c>
      <c r="K623" t="str">
        <f>IFERROR(INDEX(Rosters!$C$2:$C$155,MATCH($B623,Rosters!$B$2:$B$155,0)),"NA")</f>
        <v>aj</v>
      </c>
      <c r="L623" t="str">
        <f t="shared" si="27"/>
        <v>aj3WR</v>
      </c>
      <c r="M623">
        <f>COUNTIF(L$1:L623,L623)</f>
        <v>1</v>
      </c>
      <c r="N623" t="str">
        <f t="shared" si="28"/>
        <v>aj3WR-1</v>
      </c>
      <c r="O623">
        <f>COUNTIFS(F$1:F623,F623,A$1:A623,A623)</f>
        <v>6</v>
      </c>
      <c r="P623" t="str">
        <f t="shared" si="29"/>
        <v>Mike Evans3</v>
      </c>
    </row>
    <row r="624" spans="1:16" x14ac:dyDescent="0.25">
      <c r="A624">
        <v>13</v>
      </c>
      <c r="B624" t="s">
        <v>96</v>
      </c>
      <c r="C624" t="s">
        <v>6134</v>
      </c>
      <c r="D624">
        <v>13.53</v>
      </c>
      <c r="E624" t="s">
        <v>37</v>
      </c>
      <c r="F624" t="s">
        <v>87</v>
      </c>
      <c r="G624">
        <v>21.33</v>
      </c>
      <c r="H624">
        <v>5.73</v>
      </c>
      <c r="I624">
        <v>7.8</v>
      </c>
      <c r="J624">
        <v>60.84</v>
      </c>
      <c r="K624" t="str">
        <f>IFERROR(INDEX(Rosters!$C$2:$C$155,MATCH($B624,Rosters!$B$2:$B$155,0)),"NA")</f>
        <v>comp</v>
      </c>
      <c r="L624" t="str">
        <f t="shared" si="27"/>
        <v>comp13WR</v>
      </c>
      <c r="M624">
        <f>COUNTIF(L$1:L624,L624)</f>
        <v>1</v>
      </c>
      <c r="N624" t="str">
        <f t="shared" si="28"/>
        <v>comp13WR-1</v>
      </c>
      <c r="O624">
        <f>COUNTIFS(F$1:F624,F624,A$1:A624,A624)</f>
        <v>2</v>
      </c>
      <c r="P624" t="str">
        <f t="shared" si="29"/>
        <v>Antonio Brown13</v>
      </c>
    </row>
    <row r="625" spans="1:16" x14ac:dyDescent="0.25">
      <c r="A625">
        <v>15</v>
      </c>
      <c r="B625" t="s">
        <v>124</v>
      </c>
      <c r="C625" t="s">
        <v>6135</v>
      </c>
      <c r="D625">
        <v>13.53</v>
      </c>
      <c r="E625" t="s">
        <v>37</v>
      </c>
      <c r="F625" t="s">
        <v>87</v>
      </c>
      <c r="G625">
        <v>20.95</v>
      </c>
      <c r="H625">
        <v>6.11</v>
      </c>
      <c r="I625">
        <v>7.42</v>
      </c>
      <c r="J625">
        <v>55.056399999999996</v>
      </c>
      <c r="K625" t="str">
        <f>IFERROR(INDEX(Rosters!$C$2:$C$155,MATCH($B625,Rosters!$B$2:$B$155,0)),"NA")</f>
        <v>matty</v>
      </c>
      <c r="L625" t="str">
        <f t="shared" si="27"/>
        <v>matty15WR</v>
      </c>
      <c r="M625">
        <f>COUNTIF(L$1:L625,L625)</f>
        <v>1</v>
      </c>
      <c r="N625" t="str">
        <f t="shared" si="28"/>
        <v>matty15WR-1</v>
      </c>
      <c r="O625">
        <f>COUNTIFS(F$1:F625,F625,A$1:A625,A625)</f>
        <v>2</v>
      </c>
      <c r="P625" t="str">
        <f t="shared" si="29"/>
        <v>Tyreek Hill15</v>
      </c>
    </row>
    <row r="626" spans="1:16" x14ac:dyDescent="0.25">
      <c r="A626">
        <v>15</v>
      </c>
      <c r="B626" t="s">
        <v>1492</v>
      </c>
      <c r="C626" t="s">
        <v>6136</v>
      </c>
      <c r="D626">
        <v>13.52</v>
      </c>
      <c r="E626" t="s">
        <v>42</v>
      </c>
      <c r="F626" t="s">
        <v>15</v>
      </c>
      <c r="G626">
        <v>21.2</v>
      </c>
      <c r="H626">
        <v>5.84</v>
      </c>
      <c r="I626">
        <v>7.68</v>
      </c>
      <c r="J626">
        <v>58.982399999999998</v>
      </c>
      <c r="K626" t="str">
        <f>IFERROR(INDEX(Rosters!$C$2:$C$155,MATCH($B626,Rosters!$B$2:$B$155,0)),"NA")</f>
        <v>perry</v>
      </c>
      <c r="L626" t="str">
        <f t="shared" si="27"/>
        <v>perry15QB</v>
      </c>
      <c r="M626">
        <f>COUNTIF(L$1:L626,L626)</f>
        <v>2</v>
      </c>
      <c r="N626" t="str">
        <f t="shared" si="28"/>
        <v>perry15QB-2</v>
      </c>
      <c r="O626">
        <f>COUNTIFS(F$1:F626,F626,A$1:A626,A626)</f>
        <v>31</v>
      </c>
      <c r="P626" t="str">
        <f t="shared" si="29"/>
        <v>Baker Mayfield15</v>
      </c>
    </row>
    <row r="627" spans="1:16" x14ac:dyDescent="0.25">
      <c r="A627">
        <v>14</v>
      </c>
      <c r="B627" t="s">
        <v>63</v>
      </c>
      <c r="C627" t="s">
        <v>6137</v>
      </c>
      <c r="D627">
        <v>13.51</v>
      </c>
      <c r="E627" t="s">
        <v>37</v>
      </c>
      <c r="F627" t="s">
        <v>15</v>
      </c>
      <c r="G627">
        <v>19.809999999999999</v>
      </c>
      <c r="H627">
        <v>7.21</v>
      </c>
      <c r="I627">
        <v>6.3</v>
      </c>
      <c r="J627">
        <v>39.69</v>
      </c>
      <c r="K627" t="str">
        <f>IFERROR(INDEX(Rosters!$C$2:$C$155,MATCH($B627,Rosters!$B$2:$B$155,0)),"NA")</f>
        <v>scott</v>
      </c>
      <c r="L627" t="str">
        <f t="shared" si="27"/>
        <v>scott14QB</v>
      </c>
      <c r="M627">
        <f>COUNTIF(L$1:L627,L627)</f>
        <v>2</v>
      </c>
      <c r="N627" t="str">
        <f t="shared" si="28"/>
        <v>scott14QB-2</v>
      </c>
      <c r="O627">
        <f>COUNTIFS(F$1:F627,F627,A$1:A627,A627)</f>
        <v>30</v>
      </c>
      <c r="P627" t="str">
        <f t="shared" si="29"/>
        <v>Andy Dalton14</v>
      </c>
    </row>
    <row r="628" spans="1:16" x14ac:dyDescent="0.25">
      <c r="A628">
        <v>2</v>
      </c>
      <c r="B628" t="s">
        <v>1278</v>
      </c>
      <c r="C628" t="s">
        <v>1294</v>
      </c>
      <c r="D628">
        <v>13.49</v>
      </c>
      <c r="E628" t="s">
        <v>73</v>
      </c>
      <c r="F628" t="s">
        <v>15</v>
      </c>
      <c r="G628">
        <v>19.940000000000001</v>
      </c>
      <c r="H628">
        <v>7.04</v>
      </c>
      <c r="I628">
        <v>6.45</v>
      </c>
      <c r="J628">
        <v>41.602499999999999</v>
      </c>
      <c r="K628" t="str">
        <f>IFERROR(INDEX(Rosters!$C$2:$C$155,MATCH($B628,Rosters!$B$2:$B$155,0)),"NA")</f>
        <v>NA</v>
      </c>
      <c r="L628" t="str">
        <f t="shared" si="27"/>
        <v>NA2QB</v>
      </c>
      <c r="M628">
        <f>COUNTIF(L$1:L628,L628)</f>
        <v>10</v>
      </c>
      <c r="N628" t="str">
        <f t="shared" si="28"/>
        <v>NA2QB-10</v>
      </c>
      <c r="O628">
        <f>COUNTIFS(F$1:F628,F628,A$1:A628,A628)</f>
        <v>24</v>
      </c>
      <c r="P628" t="str">
        <f t="shared" si="29"/>
        <v>Ryan Tannehill2</v>
      </c>
    </row>
    <row r="629" spans="1:16" x14ac:dyDescent="0.25">
      <c r="A629">
        <v>13</v>
      </c>
      <c r="B629" t="s">
        <v>120</v>
      </c>
      <c r="C629" t="s">
        <v>6138</v>
      </c>
      <c r="D629">
        <v>13.47</v>
      </c>
      <c r="E629" t="s">
        <v>52</v>
      </c>
      <c r="F629" t="s">
        <v>87</v>
      </c>
      <c r="G629">
        <v>20.54</v>
      </c>
      <c r="H629">
        <v>6.4</v>
      </c>
      <c r="I629">
        <v>7.07</v>
      </c>
      <c r="J629">
        <v>49.984900000000003</v>
      </c>
      <c r="K629" t="str">
        <f>IFERROR(INDEX(Rosters!$C$2:$C$155,MATCH($B629,Rosters!$B$2:$B$155,0)),"NA")</f>
        <v>aj</v>
      </c>
      <c r="L629" t="str">
        <f t="shared" si="27"/>
        <v>aj13WR</v>
      </c>
      <c r="M629">
        <f>COUNTIF(L$1:L629,L629)</f>
        <v>1</v>
      </c>
      <c r="N629" t="str">
        <f t="shared" si="28"/>
        <v>aj13WR-1</v>
      </c>
      <c r="O629">
        <f>COUNTIFS(F$1:F629,F629,A$1:A629,A629)</f>
        <v>3</v>
      </c>
      <c r="P629" t="str">
        <f t="shared" si="29"/>
        <v>DeAndre Hopkins13</v>
      </c>
    </row>
    <row r="630" spans="1:16" x14ac:dyDescent="0.25">
      <c r="A630">
        <v>5</v>
      </c>
      <c r="B630" t="s">
        <v>110</v>
      </c>
      <c r="C630" t="s">
        <v>6139</v>
      </c>
      <c r="D630">
        <v>13.45</v>
      </c>
      <c r="E630" t="s">
        <v>60</v>
      </c>
      <c r="F630" t="s">
        <v>87</v>
      </c>
      <c r="G630">
        <v>20.65</v>
      </c>
      <c r="H630">
        <v>6.25</v>
      </c>
      <c r="I630">
        <v>7.2</v>
      </c>
      <c r="J630">
        <v>51.84</v>
      </c>
      <c r="K630" t="str">
        <f>IFERROR(INDEX(Rosters!$C$2:$C$155,MATCH($B630,Rosters!$B$2:$B$155,0)),"NA")</f>
        <v>cory</v>
      </c>
      <c r="L630" t="str">
        <f t="shared" si="27"/>
        <v>cory5WR</v>
      </c>
      <c r="M630">
        <f>COUNTIF(L$1:L630,L630)</f>
        <v>2</v>
      </c>
      <c r="N630" t="str">
        <f t="shared" si="28"/>
        <v>cory5WR-2</v>
      </c>
      <c r="O630">
        <f>COUNTIFS(F$1:F630,F630,A$1:A630,A630)</f>
        <v>5</v>
      </c>
      <c r="P630" t="str">
        <f t="shared" si="29"/>
        <v>Michael Thomas5</v>
      </c>
    </row>
    <row r="631" spans="1:16" x14ac:dyDescent="0.25">
      <c r="A631">
        <v>8</v>
      </c>
      <c r="B631" t="s">
        <v>127</v>
      </c>
      <c r="C631" t="s">
        <v>6140</v>
      </c>
      <c r="D631">
        <v>13.44</v>
      </c>
      <c r="E631" t="s">
        <v>14</v>
      </c>
      <c r="F631" t="s">
        <v>47</v>
      </c>
      <c r="G631">
        <v>20.54</v>
      </c>
      <c r="H631">
        <v>6.34</v>
      </c>
      <c r="I631">
        <v>7.1</v>
      </c>
      <c r="J631">
        <v>50.41</v>
      </c>
      <c r="K631" t="str">
        <f>IFERROR(INDEX(Rosters!$C$2:$C$155,MATCH($B631,Rosters!$B$2:$B$155,0)),"NA")</f>
        <v>aj</v>
      </c>
      <c r="L631" t="str">
        <f t="shared" si="27"/>
        <v>aj8RB</v>
      </c>
      <c r="M631">
        <f>COUNTIF(L$1:L631,L631)</f>
        <v>1</v>
      </c>
      <c r="N631" t="str">
        <f t="shared" si="28"/>
        <v>aj8RB-1</v>
      </c>
      <c r="O631">
        <f>COUNTIFS(F$1:F631,F631,A$1:A631,A631)</f>
        <v>8</v>
      </c>
      <c r="P631" t="str">
        <f t="shared" si="29"/>
        <v>Dalvin Cook8</v>
      </c>
    </row>
    <row r="632" spans="1:16" x14ac:dyDescent="0.25">
      <c r="A632">
        <v>17</v>
      </c>
      <c r="B632" t="s">
        <v>122</v>
      </c>
      <c r="C632" t="s">
        <v>6141</v>
      </c>
      <c r="D632">
        <v>13.44</v>
      </c>
      <c r="E632" t="s">
        <v>41</v>
      </c>
      <c r="F632" t="s">
        <v>87</v>
      </c>
      <c r="G632">
        <v>20.76</v>
      </c>
      <c r="H632">
        <v>6.12</v>
      </c>
      <c r="I632">
        <v>7.32</v>
      </c>
      <c r="J632">
        <v>53.5824</v>
      </c>
      <c r="K632" t="str">
        <f>IFERROR(INDEX(Rosters!$C$2:$C$155,MATCH($B632,Rosters!$B$2:$B$155,0)),"NA")</f>
        <v>devon</v>
      </c>
      <c r="L632" t="str">
        <f t="shared" si="27"/>
        <v>devon17WR</v>
      </c>
      <c r="M632">
        <f>COUNTIF(L$1:L632,L632)</f>
        <v>1</v>
      </c>
      <c r="N632" t="str">
        <f t="shared" si="28"/>
        <v>devon17WR-1</v>
      </c>
      <c r="O632">
        <f>COUNTIFS(F$1:F632,F632,A$1:A632,A632)</f>
        <v>5</v>
      </c>
      <c r="P632" t="str">
        <f t="shared" si="29"/>
        <v>Golden Tate17</v>
      </c>
    </row>
    <row r="633" spans="1:16" x14ac:dyDescent="0.25">
      <c r="A633">
        <v>10</v>
      </c>
      <c r="B633" t="s">
        <v>1277</v>
      </c>
      <c r="C633" t="s">
        <v>6142</v>
      </c>
      <c r="D633">
        <v>13.44</v>
      </c>
      <c r="E633" t="s">
        <v>73</v>
      </c>
      <c r="F633" t="s">
        <v>15</v>
      </c>
      <c r="G633">
        <v>20.3</v>
      </c>
      <c r="H633">
        <v>6.58</v>
      </c>
      <c r="I633">
        <v>6.86</v>
      </c>
      <c r="J633">
        <v>47.059600000000003</v>
      </c>
      <c r="K633" t="str">
        <f>IFERROR(INDEX(Rosters!$C$2:$C$155,MATCH($B633,Rosters!$B$2:$B$155,0)),"NA")</f>
        <v>NA</v>
      </c>
      <c r="L633" t="str">
        <f t="shared" si="27"/>
        <v>NA10QB</v>
      </c>
      <c r="M633">
        <f>COUNTIF(L$1:L633,L633)</f>
        <v>11</v>
      </c>
      <c r="N633" t="str">
        <f t="shared" si="28"/>
        <v>NA10QB-11</v>
      </c>
      <c r="O633">
        <f>COUNTIFS(F$1:F633,F633,A$1:A633,A633)</f>
        <v>26</v>
      </c>
      <c r="P633" t="str">
        <f t="shared" si="29"/>
        <v>Josh Allen10</v>
      </c>
    </row>
    <row r="634" spans="1:16" x14ac:dyDescent="0.25">
      <c r="A634">
        <v>17</v>
      </c>
      <c r="B634" t="s">
        <v>86</v>
      </c>
      <c r="C634" t="s">
        <v>6143</v>
      </c>
      <c r="D634">
        <v>13.44</v>
      </c>
      <c r="E634" t="s">
        <v>22</v>
      </c>
      <c r="F634" t="s">
        <v>87</v>
      </c>
      <c r="G634">
        <v>21.11</v>
      </c>
      <c r="H634">
        <v>5.77</v>
      </c>
      <c r="I634">
        <v>7.67</v>
      </c>
      <c r="J634">
        <v>58.828899999999997</v>
      </c>
      <c r="K634" t="str">
        <f>IFERROR(INDEX(Rosters!$C$2:$C$155,MATCH($B634,Rosters!$B$2:$B$155,0)),"NA")</f>
        <v>seth</v>
      </c>
      <c r="L634" t="str">
        <f t="shared" si="27"/>
        <v>seth17WR</v>
      </c>
      <c r="M634">
        <f>COUNTIF(L$1:L634,L634)</f>
        <v>1</v>
      </c>
      <c r="N634" t="str">
        <f t="shared" si="28"/>
        <v>seth17WR-1</v>
      </c>
      <c r="O634">
        <f>COUNTIFS(F$1:F634,F634,A$1:A634,A634)</f>
        <v>6</v>
      </c>
      <c r="P634" t="str">
        <f t="shared" si="29"/>
        <v>Odell Beckham Jr.17</v>
      </c>
    </row>
    <row r="635" spans="1:16" x14ac:dyDescent="0.25">
      <c r="A635">
        <v>1</v>
      </c>
      <c r="B635" t="s">
        <v>78</v>
      </c>
      <c r="C635" t="s">
        <v>1295</v>
      </c>
      <c r="D635">
        <v>13.44</v>
      </c>
      <c r="E635" t="s">
        <v>60</v>
      </c>
      <c r="F635" t="s">
        <v>15</v>
      </c>
      <c r="G635">
        <v>19.3</v>
      </c>
      <c r="H635">
        <v>7.58</v>
      </c>
      <c r="I635">
        <v>5.86</v>
      </c>
      <c r="J635">
        <v>34.339599999999997</v>
      </c>
      <c r="K635" t="str">
        <f>IFERROR(INDEX(Rosters!$C$2:$C$155,MATCH($B635,Rosters!$B$2:$B$155,0)),"NA")</f>
        <v>NA</v>
      </c>
      <c r="L635" t="str">
        <f t="shared" si="27"/>
        <v>NA1QB</v>
      </c>
      <c r="M635">
        <f>COUNTIF(L$1:L635,L635)</f>
        <v>10</v>
      </c>
      <c r="N635" t="str">
        <f t="shared" si="28"/>
        <v>NA1QB-10</v>
      </c>
      <c r="O635">
        <f>COUNTIFS(F$1:F635,F635,A$1:A635,A635)</f>
        <v>25</v>
      </c>
      <c r="P635" t="str">
        <f t="shared" si="29"/>
        <v>Sam Bradford1</v>
      </c>
    </row>
    <row r="636" spans="1:16" x14ac:dyDescent="0.25">
      <c r="A636">
        <v>16</v>
      </c>
      <c r="B636" t="s">
        <v>1288</v>
      </c>
      <c r="C636" t="s">
        <v>6144</v>
      </c>
      <c r="D636">
        <v>13.44</v>
      </c>
      <c r="E636" t="s">
        <v>66</v>
      </c>
      <c r="F636" t="s">
        <v>47</v>
      </c>
      <c r="G636">
        <v>21.72</v>
      </c>
      <c r="H636">
        <v>5.16</v>
      </c>
      <c r="I636">
        <v>8.2799999999999994</v>
      </c>
      <c r="J636">
        <v>68.558400000000006</v>
      </c>
      <c r="K636" t="str">
        <f>IFERROR(INDEX(Rosters!$C$2:$C$155,MATCH($B636,Rosters!$B$2:$B$155,0)),"NA")</f>
        <v>lucas</v>
      </c>
      <c r="L636" t="str">
        <f t="shared" si="27"/>
        <v>lucas16RB</v>
      </c>
      <c r="M636">
        <f>COUNTIF(L$1:L636,L636)</f>
        <v>1</v>
      </c>
      <c r="N636" t="str">
        <f t="shared" si="28"/>
        <v>lucas16RB-1</v>
      </c>
      <c r="O636">
        <f>COUNTIFS(F$1:F636,F636,A$1:A636,A636)</f>
        <v>9</v>
      </c>
      <c r="P636" t="str">
        <f t="shared" si="29"/>
        <v>Saquon Barkley16</v>
      </c>
    </row>
    <row r="637" spans="1:16" x14ac:dyDescent="0.25">
      <c r="A637">
        <v>12</v>
      </c>
      <c r="B637" t="s">
        <v>97</v>
      </c>
      <c r="C637" t="s">
        <v>6145</v>
      </c>
      <c r="D637">
        <v>13.43</v>
      </c>
      <c r="E637" t="s">
        <v>34</v>
      </c>
      <c r="F637" t="s">
        <v>47</v>
      </c>
      <c r="G637">
        <v>21.07</v>
      </c>
      <c r="H637">
        <v>5.79</v>
      </c>
      <c r="I637">
        <v>7.64</v>
      </c>
      <c r="J637">
        <v>58.369599999999998</v>
      </c>
      <c r="K637" t="str">
        <f>IFERROR(INDEX(Rosters!$C$2:$C$155,MATCH($B637,Rosters!$B$2:$B$155,0)),"NA")</f>
        <v>chad</v>
      </c>
      <c r="L637" t="str">
        <f t="shared" si="27"/>
        <v>chad12RB</v>
      </c>
      <c r="M637">
        <f>COUNTIF(L$1:L637,L637)</f>
        <v>1</v>
      </c>
      <c r="N637" t="str">
        <f t="shared" si="28"/>
        <v>chad12RB-1</v>
      </c>
      <c r="O637">
        <f>COUNTIFS(F$1:F637,F637,A$1:A637,A637)</f>
        <v>6</v>
      </c>
      <c r="P637" t="str">
        <f t="shared" si="29"/>
        <v>Jordan Howard12</v>
      </c>
    </row>
    <row r="638" spans="1:16" x14ac:dyDescent="0.25">
      <c r="A638">
        <v>1</v>
      </c>
      <c r="B638" t="s">
        <v>1275</v>
      </c>
      <c r="C638" t="s">
        <v>1296</v>
      </c>
      <c r="D638">
        <v>13.43</v>
      </c>
      <c r="E638" t="s">
        <v>34</v>
      </c>
      <c r="F638" t="s">
        <v>15</v>
      </c>
      <c r="G638">
        <v>19.89</v>
      </c>
      <c r="H638">
        <v>6.97</v>
      </c>
      <c r="I638">
        <v>6.46</v>
      </c>
      <c r="J638">
        <v>41.7316</v>
      </c>
      <c r="K638" t="str">
        <f>IFERROR(INDEX(Rosters!$C$2:$C$155,MATCH($B638,Rosters!$B$2:$B$155,0)),"NA")</f>
        <v>NA</v>
      </c>
      <c r="L638" t="str">
        <f t="shared" si="27"/>
        <v>NA1QB</v>
      </c>
      <c r="M638">
        <f>COUNTIF(L$1:L638,L638)</f>
        <v>11</v>
      </c>
      <c r="N638" t="str">
        <f t="shared" si="28"/>
        <v>NA1QB-11</v>
      </c>
      <c r="O638">
        <f>COUNTIFS(F$1:F638,F638,A$1:A638,A638)</f>
        <v>26</v>
      </c>
      <c r="P638" t="str">
        <f t="shared" si="29"/>
        <v>Sam Darnold1</v>
      </c>
    </row>
    <row r="639" spans="1:16" x14ac:dyDescent="0.25">
      <c r="A639">
        <v>10</v>
      </c>
      <c r="B639" t="s">
        <v>108</v>
      </c>
      <c r="C639" t="s">
        <v>6146</v>
      </c>
      <c r="D639">
        <v>13.41</v>
      </c>
      <c r="E639" t="s">
        <v>28</v>
      </c>
      <c r="F639" t="s">
        <v>87</v>
      </c>
      <c r="G639">
        <v>20.21</v>
      </c>
      <c r="H639">
        <v>6.61</v>
      </c>
      <c r="I639">
        <v>6.8</v>
      </c>
      <c r="J639">
        <v>46.24</v>
      </c>
      <c r="K639" t="str">
        <f>IFERROR(INDEX(Rosters!$C$2:$C$155,MATCH($B639,Rosters!$B$2:$B$155,0)),"NA")</f>
        <v>perry</v>
      </c>
      <c r="L639" t="str">
        <f t="shared" si="27"/>
        <v>perry10WR</v>
      </c>
      <c r="M639">
        <f>COUNTIF(L$1:L639,L639)</f>
        <v>1</v>
      </c>
      <c r="N639" t="str">
        <f t="shared" si="28"/>
        <v>perry10WR-1</v>
      </c>
      <c r="O639">
        <f>COUNTIFS(F$1:F639,F639,A$1:A639,A639)</f>
        <v>4</v>
      </c>
      <c r="P639" t="str">
        <f t="shared" si="29"/>
        <v>Brandin Cooks10</v>
      </c>
    </row>
    <row r="640" spans="1:16" x14ac:dyDescent="0.25">
      <c r="A640">
        <v>11</v>
      </c>
      <c r="B640" t="s">
        <v>63</v>
      </c>
      <c r="C640" t="s">
        <v>6147</v>
      </c>
      <c r="D640">
        <v>13.38</v>
      </c>
      <c r="E640" t="s">
        <v>77</v>
      </c>
      <c r="F640" t="s">
        <v>15</v>
      </c>
      <c r="G640">
        <v>19.690000000000001</v>
      </c>
      <c r="H640">
        <v>7.07</v>
      </c>
      <c r="I640">
        <v>6.31</v>
      </c>
      <c r="J640">
        <v>39.816099999999999</v>
      </c>
      <c r="K640" t="str">
        <f>IFERROR(INDEX(Rosters!$C$2:$C$155,MATCH($B640,Rosters!$B$2:$B$155,0)),"NA")</f>
        <v>scott</v>
      </c>
      <c r="L640" t="str">
        <f t="shared" si="27"/>
        <v>scott11QB</v>
      </c>
      <c r="M640">
        <f>COUNTIF(L$1:L640,L640)</f>
        <v>2</v>
      </c>
      <c r="N640" t="str">
        <f t="shared" si="28"/>
        <v>scott11QB-2</v>
      </c>
      <c r="O640">
        <f>COUNTIFS(F$1:F640,F640,A$1:A640,A640)</f>
        <v>26</v>
      </c>
      <c r="P640" t="str">
        <f t="shared" si="29"/>
        <v>Andy Dalton11</v>
      </c>
    </row>
    <row r="641" spans="1:16" x14ac:dyDescent="0.25">
      <c r="A641">
        <v>1</v>
      </c>
      <c r="B641" t="s">
        <v>127</v>
      </c>
      <c r="C641" t="s">
        <v>1796</v>
      </c>
      <c r="D641">
        <v>13.38</v>
      </c>
      <c r="E641" t="s">
        <v>30</v>
      </c>
      <c r="F641" t="s">
        <v>47</v>
      </c>
      <c r="G641">
        <v>21.15</v>
      </c>
      <c r="H641">
        <v>5.61</v>
      </c>
      <c r="I641">
        <v>7.77</v>
      </c>
      <c r="J641">
        <v>60.372900000000001</v>
      </c>
      <c r="K641" t="str">
        <f>IFERROR(INDEX(Rosters!$C$2:$C$155,MATCH($B641,Rosters!$B$2:$B$155,0)),"NA")</f>
        <v>aj</v>
      </c>
      <c r="L641" t="str">
        <f t="shared" si="27"/>
        <v>aj1RB</v>
      </c>
      <c r="M641">
        <f>COUNTIF(L$1:L641,L641)</f>
        <v>1</v>
      </c>
      <c r="N641" t="str">
        <f t="shared" si="28"/>
        <v>aj1RB-1</v>
      </c>
      <c r="O641">
        <f>COUNTIFS(F$1:F641,F641,A$1:A641,A641)</f>
        <v>9</v>
      </c>
      <c r="P641" t="str">
        <f t="shared" si="29"/>
        <v>Dalvin Cook1</v>
      </c>
    </row>
    <row r="642" spans="1:16" x14ac:dyDescent="0.25">
      <c r="A642">
        <v>6</v>
      </c>
      <c r="B642" t="s">
        <v>99</v>
      </c>
      <c r="C642" t="s">
        <v>6148</v>
      </c>
      <c r="D642">
        <v>13.38</v>
      </c>
      <c r="E642" t="s">
        <v>29</v>
      </c>
      <c r="F642" t="s">
        <v>47</v>
      </c>
      <c r="G642">
        <v>21.06</v>
      </c>
      <c r="H642">
        <v>5.7</v>
      </c>
      <c r="I642">
        <v>7.68</v>
      </c>
      <c r="J642">
        <v>58.982399999999998</v>
      </c>
      <c r="K642" t="str">
        <f>IFERROR(INDEX(Rosters!$C$2:$C$155,MATCH($B642,Rosters!$B$2:$B$155,0)),"NA")</f>
        <v>comp</v>
      </c>
      <c r="L642" t="str">
        <f t="shared" si="27"/>
        <v>comp6RB</v>
      </c>
      <c r="M642">
        <f>COUNTIF(L$1:L642,L642)</f>
        <v>1</v>
      </c>
      <c r="N642" t="str">
        <f t="shared" si="28"/>
        <v>comp6RB-1</v>
      </c>
      <c r="O642">
        <f>COUNTIFS(F$1:F642,F642,A$1:A642,A642)</f>
        <v>6</v>
      </c>
      <c r="P642" t="str">
        <f t="shared" si="29"/>
        <v>Lamar Miller6</v>
      </c>
    </row>
    <row r="643" spans="1:16" x14ac:dyDescent="0.25">
      <c r="A643">
        <v>5</v>
      </c>
      <c r="B643" t="s">
        <v>1288</v>
      </c>
      <c r="C643" t="s">
        <v>6149</v>
      </c>
      <c r="D643">
        <v>13.37</v>
      </c>
      <c r="E643" t="s">
        <v>74</v>
      </c>
      <c r="F643" t="s">
        <v>47</v>
      </c>
      <c r="G643">
        <v>21.64</v>
      </c>
      <c r="H643">
        <v>5.0999999999999996</v>
      </c>
      <c r="I643">
        <v>8.27</v>
      </c>
      <c r="J643">
        <v>68.392899999999997</v>
      </c>
      <c r="K643" t="str">
        <f>IFERROR(INDEX(Rosters!$C$2:$C$155,MATCH($B643,Rosters!$B$2:$B$155,0)),"NA")</f>
        <v>lucas</v>
      </c>
      <c r="L643" t="str">
        <f t="shared" ref="L643:L706" si="30">K643&amp;A643&amp;F643</f>
        <v>lucas5RB</v>
      </c>
      <c r="M643">
        <f>COUNTIF(L$1:L643,L643)</f>
        <v>1</v>
      </c>
      <c r="N643" t="str">
        <f t="shared" ref="N643:N706" si="31">L643&amp;"-"&amp;M643</f>
        <v>lucas5RB-1</v>
      </c>
      <c r="O643">
        <f>COUNTIFS(F$1:F643,F643,A$1:A643,A643)</f>
        <v>8</v>
      </c>
      <c r="P643" t="str">
        <f t="shared" ref="P643:P706" si="32">B643&amp;A643</f>
        <v>Saquon Barkley5</v>
      </c>
    </row>
    <row r="644" spans="1:16" x14ac:dyDescent="0.25">
      <c r="A644">
        <v>12</v>
      </c>
      <c r="B644" t="s">
        <v>127</v>
      </c>
      <c r="C644" t="s">
        <v>6150</v>
      </c>
      <c r="D644">
        <v>13.35</v>
      </c>
      <c r="E644" t="s">
        <v>41</v>
      </c>
      <c r="F644" t="s">
        <v>47</v>
      </c>
      <c r="G644">
        <v>20.25</v>
      </c>
      <c r="H644">
        <v>6.45</v>
      </c>
      <c r="I644">
        <v>6.9</v>
      </c>
      <c r="J644">
        <v>47.61</v>
      </c>
      <c r="K644" t="str">
        <f>IFERROR(INDEX(Rosters!$C$2:$C$155,MATCH($B644,Rosters!$B$2:$B$155,0)),"NA")</f>
        <v>aj</v>
      </c>
      <c r="L644" t="str">
        <f t="shared" si="30"/>
        <v>aj12RB</v>
      </c>
      <c r="M644">
        <f>COUNTIF(L$1:L644,L644)</f>
        <v>1</v>
      </c>
      <c r="N644" t="str">
        <f t="shared" si="31"/>
        <v>aj12RB-1</v>
      </c>
      <c r="O644">
        <f>COUNTIFS(F$1:F644,F644,A$1:A644,A644)</f>
        <v>7</v>
      </c>
      <c r="P644" t="str">
        <f t="shared" si="32"/>
        <v>Dalvin Cook12</v>
      </c>
    </row>
    <row r="645" spans="1:16" x14ac:dyDescent="0.25">
      <c r="A645">
        <v>15</v>
      </c>
      <c r="B645" t="s">
        <v>127</v>
      </c>
      <c r="C645" t="s">
        <v>6151</v>
      </c>
      <c r="D645">
        <v>13.34</v>
      </c>
      <c r="E645" t="s">
        <v>19</v>
      </c>
      <c r="F645" t="s">
        <v>47</v>
      </c>
      <c r="G645">
        <v>20.53</v>
      </c>
      <c r="H645">
        <v>6.15</v>
      </c>
      <c r="I645">
        <v>7.19</v>
      </c>
      <c r="J645">
        <v>51.696100000000001</v>
      </c>
      <c r="K645" t="str">
        <f>IFERROR(INDEX(Rosters!$C$2:$C$155,MATCH($B645,Rosters!$B$2:$B$155,0)),"NA")</f>
        <v>aj</v>
      </c>
      <c r="L645" t="str">
        <f t="shared" si="30"/>
        <v>aj15RB</v>
      </c>
      <c r="M645">
        <f>COUNTIF(L$1:L645,L645)</f>
        <v>1</v>
      </c>
      <c r="N645" t="str">
        <f t="shared" si="31"/>
        <v>aj15RB-1</v>
      </c>
      <c r="O645">
        <f>COUNTIFS(F$1:F645,F645,A$1:A645,A645)</f>
        <v>10</v>
      </c>
      <c r="P645" t="str">
        <f t="shared" si="32"/>
        <v>Dalvin Cook15</v>
      </c>
    </row>
    <row r="646" spans="1:16" x14ac:dyDescent="0.25">
      <c r="A646">
        <v>3</v>
      </c>
      <c r="B646" t="s">
        <v>71</v>
      </c>
      <c r="C646" t="s">
        <v>3636</v>
      </c>
      <c r="D646">
        <v>13.33</v>
      </c>
      <c r="E646" t="s">
        <v>19</v>
      </c>
      <c r="F646" t="s">
        <v>15</v>
      </c>
      <c r="G646">
        <v>20</v>
      </c>
      <c r="H646">
        <v>6.66</v>
      </c>
      <c r="I646">
        <v>6.67</v>
      </c>
      <c r="J646">
        <v>44.488900000000001</v>
      </c>
      <c r="K646" t="str">
        <f>IFERROR(INDEX(Rosters!$C$2:$C$155,MATCH($B646,Rosters!$B$2:$B$155,0)),"NA")</f>
        <v>NA</v>
      </c>
      <c r="L646" t="str">
        <f t="shared" si="30"/>
        <v>NA3QB</v>
      </c>
      <c r="M646">
        <f>COUNTIF(L$1:L646,L646)</f>
        <v>10</v>
      </c>
      <c r="N646" t="str">
        <f t="shared" si="31"/>
        <v>NA3QB-10</v>
      </c>
      <c r="O646">
        <f>COUNTIFS(F$1:F646,F646,A$1:A646,A646)</f>
        <v>25</v>
      </c>
      <c r="P646" t="str">
        <f t="shared" si="32"/>
        <v>Derek Carr3</v>
      </c>
    </row>
    <row r="647" spans="1:16" x14ac:dyDescent="0.25">
      <c r="A647">
        <v>5</v>
      </c>
      <c r="B647" t="s">
        <v>298</v>
      </c>
      <c r="C647" t="s">
        <v>6152</v>
      </c>
      <c r="D647">
        <v>13.33</v>
      </c>
      <c r="E647" t="s">
        <v>46</v>
      </c>
      <c r="F647" t="s">
        <v>47</v>
      </c>
      <c r="G647">
        <v>21.99</v>
      </c>
      <c r="H647">
        <v>4.67</v>
      </c>
      <c r="I647">
        <v>8.66</v>
      </c>
      <c r="J647">
        <v>74.995599999999996</v>
      </c>
      <c r="K647" t="str">
        <f>IFERROR(INDEX(Rosters!$C$2:$C$155,MATCH($B647,Rosters!$B$2:$B$155,0)),"NA")</f>
        <v>aj</v>
      </c>
      <c r="L647" t="str">
        <f t="shared" si="30"/>
        <v>aj5RB</v>
      </c>
      <c r="M647">
        <f>COUNTIF(L$1:L647,L647)</f>
        <v>1</v>
      </c>
      <c r="N647" t="str">
        <f t="shared" si="31"/>
        <v>aj5RB-1</v>
      </c>
      <c r="O647">
        <f>COUNTIFS(F$1:F647,F647,A$1:A647,A647)</f>
        <v>9</v>
      </c>
      <c r="P647" t="str">
        <f t="shared" si="32"/>
        <v>James Conner5</v>
      </c>
    </row>
    <row r="648" spans="1:16" x14ac:dyDescent="0.25">
      <c r="A648">
        <v>11</v>
      </c>
      <c r="B648" t="s">
        <v>154</v>
      </c>
      <c r="C648" t="s">
        <v>6153</v>
      </c>
      <c r="D648">
        <v>13.31</v>
      </c>
      <c r="E648" t="s">
        <v>42</v>
      </c>
      <c r="F648" t="s">
        <v>87</v>
      </c>
      <c r="G648">
        <v>20.67</v>
      </c>
      <c r="H648">
        <v>5.95</v>
      </c>
      <c r="I648">
        <v>7.36</v>
      </c>
      <c r="J648">
        <v>54.169600000000003</v>
      </c>
      <c r="K648" t="str">
        <f>IFERROR(INDEX(Rosters!$C$2:$C$155,MATCH($B648,Rosters!$B$2:$B$155,0)),"NA")</f>
        <v>chad</v>
      </c>
      <c r="L648" t="str">
        <f t="shared" si="30"/>
        <v>chad11WR</v>
      </c>
      <c r="M648">
        <f>COUNTIF(L$1:L648,L648)</f>
        <v>1</v>
      </c>
      <c r="N648" t="str">
        <f t="shared" si="31"/>
        <v>chad11WR-1</v>
      </c>
      <c r="O648">
        <f>COUNTIFS(F$1:F648,F648,A$1:A648,A648)</f>
        <v>4</v>
      </c>
      <c r="P648" t="str">
        <f t="shared" si="32"/>
        <v>Keenan Allen11</v>
      </c>
    </row>
    <row r="649" spans="1:16" x14ac:dyDescent="0.25">
      <c r="A649">
        <v>11</v>
      </c>
      <c r="B649" t="s">
        <v>112</v>
      </c>
      <c r="C649" t="s">
        <v>6154</v>
      </c>
      <c r="D649">
        <v>13.29</v>
      </c>
      <c r="E649" t="s">
        <v>34</v>
      </c>
      <c r="F649" t="s">
        <v>47</v>
      </c>
      <c r="G649">
        <v>20.62</v>
      </c>
      <c r="H649">
        <v>5.96</v>
      </c>
      <c r="I649">
        <v>7.33</v>
      </c>
      <c r="J649">
        <v>53.728900000000003</v>
      </c>
      <c r="K649" t="str">
        <f>IFERROR(INDEX(Rosters!$C$2:$C$155,MATCH($B649,Rosters!$B$2:$B$155,0)),"NA")</f>
        <v>devon</v>
      </c>
      <c r="L649" t="str">
        <f t="shared" si="30"/>
        <v>devon11RB</v>
      </c>
      <c r="M649">
        <f>COUNTIF(L$1:L649,L649)</f>
        <v>1</v>
      </c>
      <c r="N649" t="str">
        <f t="shared" si="31"/>
        <v>devon11RB-1</v>
      </c>
      <c r="O649">
        <f>COUNTIFS(F$1:F649,F649,A$1:A649,A649)</f>
        <v>8</v>
      </c>
      <c r="P649" t="str">
        <f t="shared" si="32"/>
        <v>Christian McCaffrey11</v>
      </c>
    </row>
    <row r="650" spans="1:16" x14ac:dyDescent="0.25">
      <c r="A650">
        <v>15</v>
      </c>
      <c r="B650" t="s">
        <v>93</v>
      </c>
      <c r="C650" t="s">
        <v>6155</v>
      </c>
      <c r="D650">
        <v>13.29</v>
      </c>
      <c r="E650" t="s">
        <v>58</v>
      </c>
      <c r="F650" t="s">
        <v>87</v>
      </c>
      <c r="G650">
        <v>20.82</v>
      </c>
      <c r="H650">
        <v>5.76</v>
      </c>
      <c r="I650">
        <v>7.53</v>
      </c>
      <c r="J650">
        <v>56.700899999999997</v>
      </c>
      <c r="K650" t="str">
        <f>IFERROR(INDEX(Rosters!$C$2:$C$155,MATCH($B650,Rosters!$B$2:$B$155,0)),"NA")</f>
        <v>cory</v>
      </c>
      <c r="L650" t="str">
        <f t="shared" si="30"/>
        <v>cory15WR</v>
      </c>
      <c r="M650">
        <f>COUNTIF(L$1:L650,L650)</f>
        <v>1</v>
      </c>
      <c r="N650" t="str">
        <f t="shared" si="31"/>
        <v>cory15WR-1</v>
      </c>
      <c r="O650">
        <f>COUNTIFS(F$1:F650,F650,A$1:A650,A650)</f>
        <v>3</v>
      </c>
      <c r="P650" t="str">
        <f t="shared" si="32"/>
        <v>Julio Jones15</v>
      </c>
    </row>
    <row r="651" spans="1:16" x14ac:dyDescent="0.25">
      <c r="A651">
        <v>4</v>
      </c>
      <c r="B651" t="s">
        <v>69</v>
      </c>
      <c r="C651" t="s">
        <v>4434</v>
      </c>
      <c r="D651">
        <v>13.28</v>
      </c>
      <c r="E651" t="s">
        <v>50</v>
      </c>
      <c r="F651" t="s">
        <v>15</v>
      </c>
      <c r="G651">
        <v>20.97</v>
      </c>
      <c r="H651">
        <v>5.59</v>
      </c>
      <c r="I651">
        <v>7.69</v>
      </c>
      <c r="J651">
        <v>59.136099999999999</v>
      </c>
      <c r="K651" t="str">
        <f>IFERROR(INDEX(Rosters!$C$2:$C$155,MATCH($B651,Rosters!$B$2:$B$155,0)),"NA")</f>
        <v>NA</v>
      </c>
      <c r="L651" t="str">
        <f t="shared" si="30"/>
        <v>NA4QB</v>
      </c>
      <c r="M651">
        <f>COUNTIF(L$1:L651,L651)</f>
        <v>13</v>
      </c>
      <c r="N651" t="str">
        <f t="shared" si="31"/>
        <v>NA4QB-13</v>
      </c>
      <c r="O651">
        <f>COUNTIFS(F$1:F651,F651,A$1:A651,A651)</f>
        <v>28</v>
      </c>
      <c r="P651" t="str">
        <f t="shared" si="32"/>
        <v>Marcus Mariota4</v>
      </c>
    </row>
    <row r="652" spans="1:16" x14ac:dyDescent="0.25">
      <c r="A652">
        <v>2</v>
      </c>
      <c r="B652" t="s">
        <v>1288</v>
      </c>
      <c r="C652" t="s">
        <v>3311</v>
      </c>
      <c r="D652">
        <v>13.28</v>
      </c>
      <c r="E652" t="s">
        <v>22</v>
      </c>
      <c r="F652" t="s">
        <v>47</v>
      </c>
      <c r="G652">
        <v>20.239999999999998</v>
      </c>
      <c r="H652">
        <v>6.32</v>
      </c>
      <c r="I652">
        <v>6.96</v>
      </c>
      <c r="J652">
        <v>48.441600000000001</v>
      </c>
      <c r="K652" t="str">
        <f>IFERROR(INDEX(Rosters!$C$2:$C$155,MATCH($B652,Rosters!$B$2:$B$155,0)),"NA")</f>
        <v>lucas</v>
      </c>
      <c r="L652" t="str">
        <f t="shared" si="30"/>
        <v>lucas2RB</v>
      </c>
      <c r="M652">
        <f>COUNTIF(L$1:L652,L652)</f>
        <v>1</v>
      </c>
      <c r="N652" t="str">
        <f t="shared" si="31"/>
        <v>lucas2RB-1</v>
      </c>
      <c r="O652">
        <f>COUNTIFS(F$1:F652,F652,A$1:A652,A652)</f>
        <v>7</v>
      </c>
      <c r="P652" t="str">
        <f t="shared" si="32"/>
        <v>Saquon Barkley2</v>
      </c>
    </row>
    <row r="653" spans="1:16" x14ac:dyDescent="0.25">
      <c r="A653">
        <v>8</v>
      </c>
      <c r="B653" t="s">
        <v>124</v>
      </c>
      <c r="C653" t="s">
        <v>6156</v>
      </c>
      <c r="D653">
        <v>13.26</v>
      </c>
      <c r="E653" t="s">
        <v>42</v>
      </c>
      <c r="F653" t="s">
        <v>87</v>
      </c>
      <c r="G653">
        <v>21.01</v>
      </c>
      <c r="H653">
        <v>5.51</v>
      </c>
      <c r="I653">
        <v>7.75</v>
      </c>
      <c r="J653">
        <v>60.0625</v>
      </c>
      <c r="K653" t="str">
        <f>IFERROR(INDEX(Rosters!$C$2:$C$155,MATCH($B653,Rosters!$B$2:$B$155,0)),"NA")</f>
        <v>matty</v>
      </c>
      <c r="L653" t="str">
        <f t="shared" si="30"/>
        <v>matty8WR</v>
      </c>
      <c r="M653">
        <f>COUNTIF(L$1:L653,L653)</f>
        <v>1</v>
      </c>
      <c r="N653" t="str">
        <f t="shared" si="31"/>
        <v>matty8WR-1</v>
      </c>
      <c r="O653">
        <f>COUNTIFS(F$1:F653,F653,A$1:A653,A653)</f>
        <v>4</v>
      </c>
      <c r="P653" t="str">
        <f t="shared" si="32"/>
        <v>Tyreek Hill8</v>
      </c>
    </row>
    <row r="654" spans="1:16" x14ac:dyDescent="0.25">
      <c r="A654">
        <v>8</v>
      </c>
      <c r="B654" t="s">
        <v>123</v>
      </c>
      <c r="C654" t="s">
        <v>6157</v>
      </c>
      <c r="D654">
        <v>13.25</v>
      </c>
      <c r="E654" t="s">
        <v>17</v>
      </c>
      <c r="F654" t="s">
        <v>47</v>
      </c>
      <c r="G654">
        <v>22.09</v>
      </c>
      <c r="H654">
        <v>4.41</v>
      </c>
      <c r="I654">
        <v>8.84</v>
      </c>
      <c r="J654">
        <v>78.145600000000002</v>
      </c>
      <c r="K654" t="str">
        <f>IFERROR(INDEX(Rosters!$C$2:$C$155,MATCH($B654,Rosters!$B$2:$B$155,0)),"NA")</f>
        <v>aj</v>
      </c>
      <c r="L654" t="str">
        <f t="shared" si="30"/>
        <v>aj8RB</v>
      </c>
      <c r="M654">
        <f>COUNTIF(L$1:L654,L654)</f>
        <v>2</v>
      </c>
      <c r="N654" t="str">
        <f t="shared" si="31"/>
        <v>aj8RB-2</v>
      </c>
      <c r="O654">
        <f>COUNTIFS(F$1:F654,F654,A$1:A654,A654)</f>
        <v>9</v>
      </c>
      <c r="P654" t="str">
        <f t="shared" si="32"/>
        <v>Joe Mixon8</v>
      </c>
    </row>
    <row r="655" spans="1:16" x14ac:dyDescent="0.25">
      <c r="A655">
        <v>16</v>
      </c>
      <c r="B655" t="s">
        <v>97</v>
      </c>
      <c r="C655" t="s">
        <v>6158</v>
      </c>
      <c r="D655">
        <v>13.25</v>
      </c>
      <c r="E655" t="s">
        <v>30</v>
      </c>
      <c r="F655" t="s">
        <v>47</v>
      </c>
      <c r="G655">
        <v>20.190000000000001</v>
      </c>
      <c r="H655">
        <v>6.31</v>
      </c>
      <c r="I655">
        <v>6.94</v>
      </c>
      <c r="J655">
        <v>48.163600000000002</v>
      </c>
      <c r="K655" t="str">
        <f>IFERROR(INDEX(Rosters!$C$2:$C$155,MATCH($B655,Rosters!$B$2:$B$155,0)),"NA")</f>
        <v>chad</v>
      </c>
      <c r="L655" t="str">
        <f t="shared" si="30"/>
        <v>chad16RB</v>
      </c>
      <c r="M655">
        <f>COUNTIF(L$1:L655,L655)</f>
        <v>2</v>
      </c>
      <c r="N655" t="str">
        <f t="shared" si="31"/>
        <v>chad16RB-2</v>
      </c>
      <c r="O655">
        <f>COUNTIFS(F$1:F655,F655,A$1:A655,A655)</f>
        <v>10</v>
      </c>
      <c r="P655" t="str">
        <f t="shared" si="32"/>
        <v>Jordan Howard16</v>
      </c>
    </row>
    <row r="656" spans="1:16" x14ac:dyDescent="0.25">
      <c r="A656">
        <v>9</v>
      </c>
      <c r="B656" t="s">
        <v>1277</v>
      </c>
      <c r="C656" t="s">
        <v>6159</v>
      </c>
      <c r="D656">
        <v>13.25</v>
      </c>
      <c r="E656" t="s">
        <v>72</v>
      </c>
      <c r="F656" t="s">
        <v>15</v>
      </c>
      <c r="G656">
        <v>19.68</v>
      </c>
      <c r="H656">
        <v>6.82</v>
      </c>
      <c r="I656">
        <v>6.43</v>
      </c>
      <c r="J656">
        <v>41.344900000000003</v>
      </c>
      <c r="K656" t="str">
        <f>IFERROR(INDEX(Rosters!$C$2:$C$155,MATCH($B656,Rosters!$B$2:$B$155,0)),"NA")</f>
        <v>NA</v>
      </c>
      <c r="L656" t="str">
        <f t="shared" si="30"/>
        <v>NA9QB</v>
      </c>
      <c r="M656">
        <f>COUNTIF(L$1:L656,L656)</f>
        <v>12</v>
      </c>
      <c r="N656" t="str">
        <f t="shared" si="31"/>
        <v>NA9QB-12</v>
      </c>
      <c r="O656">
        <f>COUNTIFS(F$1:F656,F656,A$1:A656,A656)</f>
        <v>26</v>
      </c>
      <c r="P656" t="str">
        <f t="shared" si="32"/>
        <v>Josh Allen9</v>
      </c>
    </row>
    <row r="657" spans="1:16" x14ac:dyDescent="0.25">
      <c r="A657">
        <v>6</v>
      </c>
      <c r="B657" t="s">
        <v>120</v>
      </c>
      <c r="C657" t="s">
        <v>6160</v>
      </c>
      <c r="D657">
        <v>13.24</v>
      </c>
      <c r="E657" t="s">
        <v>29</v>
      </c>
      <c r="F657" t="s">
        <v>87</v>
      </c>
      <c r="G657">
        <v>20.92</v>
      </c>
      <c r="H657">
        <v>5.56</v>
      </c>
      <c r="I657">
        <v>7.68</v>
      </c>
      <c r="J657">
        <v>58.982399999999998</v>
      </c>
      <c r="K657" t="str">
        <f>IFERROR(INDEX(Rosters!$C$2:$C$155,MATCH($B657,Rosters!$B$2:$B$155,0)),"NA")</f>
        <v>aj</v>
      </c>
      <c r="L657" t="str">
        <f t="shared" si="30"/>
        <v>aj6WR</v>
      </c>
      <c r="M657">
        <f>COUNTIF(L$1:L657,L657)</f>
        <v>1</v>
      </c>
      <c r="N657" t="str">
        <f t="shared" si="31"/>
        <v>aj6WR-1</v>
      </c>
      <c r="O657">
        <f>COUNTIFS(F$1:F657,F657,A$1:A657,A657)</f>
        <v>3</v>
      </c>
      <c r="P657" t="str">
        <f t="shared" si="32"/>
        <v>DeAndre Hopkins6</v>
      </c>
    </row>
    <row r="658" spans="1:16" x14ac:dyDescent="0.25">
      <c r="A658">
        <v>5</v>
      </c>
      <c r="B658" t="s">
        <v>1278</v>
      </c>
      <c r="C658" t="s">
        <v>6161</v>
      </c>
      <c r="D658">
        <v>13.24</v>
      </c>
      <c r="E658" t="s">
        <v>31</v>
      </c>
      <c r="F658" t="s">
        <v>15</v>
      </c>
      <c r="G658">
        <v>19.68</v>
      </c>
      <c r="H658">
        <v>6.8</v>
      </c>
      <c r="I658">
        <v>6.44</v>
      </c>
      <c r="J658">
        <v>41.473599999999998</v>
      </c>
      <c r="K658" t="str">
        <f>IFERROR(INDEX(Rosters!$C$2:$C$155,MATCH($B658,Rosters!$B$2:$B$155,0)),"NA")</f>
        <v>NA</v>
      </c>
      <c r="L658" t="str">
        <f t="shared" si="30"/>
        <v>NA5QB</v>
      </c>
      <c r="M658">
        <f>COUNTIF(L$1:L658,L658)</f>
        <v>12</v>
      </c>
      <c r="N658" t="str">
        <f t="shared" si="31"/>
        <v>NA5QB-12</v>
      </c>
      <c r="O658">
        <f>COUNTIFS(F$1:F658,F658,A$1:A658,A658)</f>
        <v>28</v>
      </c>
      <c r="P658" t="str">
        <f t="shared" si="32"/>
        <v>Ryan Tannehill5</v>
      </c>
    </row>
    <row r="659" spans="1:16" x14ac:dyDescent="0.25">
      <c r="A659">
        <v>13</v>
      </c>
      <c r="B659" t="s">
        <v>112</v>
      </c>
      <c r="C659" t="s">
        <v>6162</v>
      </c>
      <c r="D659">
        <v>13.23</v>
      </c>
      <c r="E659" t="s">
        <v>17</v>
      </c>
      <c r="F659" t="s">
        <v>47</v>
      </c>
      <c r="G659">
        <v>20.5</v>
      </c>
      <c r="H659">
        <v>5.96</v>
      </c>
      <c r="I659">
        <v>7.27</v>
      </c>
      <c r="J659">
        <v>52.852899999999998</v>
      </c>
      <c r="K659" t="str">
        <f>IFERROR(INDEX(Rosters!$C$2:$C$155,MATCH($B659,Rosters!$B$2:$B$155,0)),"NA")</f>
        <v>devon</v>
      </c>
      <c r="L659" t="str">
        <f t="shared" si="30"/>
        <v>devon13RB</v>
      </c>
      <c r="M659">
        <f>COUNTIF(L$1:L659,L659)</f>
        <v>1</v>
      </c>
      <c r="N659" t="str">
        <f t="shared" si="31"/>
        <v>devon13RB-1</v>
      </c>
      <c r="O659">
        <f>COUNTIFS(F$1:F659,F659,A$1:A659,A659)</f>
        <v>7</v>
      </c>
      <c r="P659" t="str">
        <f t="shared" si="32"/>
        <v>Christian McCaffrey13</v>
      </c>
    </row>
    <row r="660" spans="1:16" x14ac:dyDescent="0.25">
      <c r="A660">
        <v>5</v>
      </c>
      <c r="B660" t="s">
        <v>1492</v>
      </c>
      <c r="C660" t="s">
        <v>6163</v>
      </c>
      <c r="D660">
        <v>13.22</v>
      </c>
      <c r="E660" t="s">
        <v>77</v>
      </c>
      <c r="F660" t="s">
        <v>15</v>
      </c>
      <c r="G660">
        <v>20.010000000000002</v>
      </c>
      <c r="H660">
        <v>6.43</v>
      </c>
      <c r="I660">
        <v>6.79</v>
      </c>
      <c r="J660">
        <v>46.104100000000003</v>
      </c>
      <c r="K660" t="str">
        <f>IFERROR(INDEX(Rosters!$C$2:$C$155,MATCH($B660,Rosters!$B$2:$B$155,0)),"NA")</f>
        <v>perry</v>
      </c>
      <c r="L660" t="str">
        <f t="shared" si="30"/>
        <v>perry5QB</v>
      </c>
      <c r="M660">
        <f>COUNTIF(L$1:L660,L660)</f>
        <v>2</v>
      </c>
      <c r="N660" t="str">
        <f t="shared" si="31"/>
        <v>perry5QB-2</v>
      </c>
      <c r="O660">
        <f>COUNTIFS(F$1:F660,F660,A$1:A660,A660)</f>
        <v>29</v>
      </c>
      <c r="P660" t="str">
        <f t="shared" si="32"/>
        <v>Baker Mayfield5</v>
      </c>
    </row>
    <row r="661" spans="1:16" x14ac:dyDescent="0.25">
      <c r="A661">
        <v>9</v>
      </c>
      <c r="B661" t="s">
        <v>97</v>
      </c>
      <c r="C661" t="s">
        <v>6164</v>
      </c>
      <c r="D661">
        <v>13.22</v>
      </c>
      <c r="E661" t="s">
        <v>29</v>
      </c>
      <c r="F661" t="s">
        <v>47</v>
      </c>
      <c r="G661">
        <v>21.54</v>
      </c>
      <c r="H661">
        <v>4.9000000000000004</v>
      </c>
      <c r="I661">
        <v>8.32</v>
      </c>
      <c r="J661">
        <v>69.222399999999993</v>
      </c>
      <c r="K661" t="str">
        <f>IFERROR(INDEX(Rosters!$C$2:$C$155,MATCH($B661,Rosters!$B$2:$B$155,0)),"NA")</f>
        <v>chad</v>
      </c>
      <c r="L661" t="str">
        <f t="shared" si="30"/>
        <v>chad9RB</v>
      </c>
      <c r="M661">
        <f>COUNTIF(L$1:L661,L661)</f>
        <v>2</v>
      </c>
      <c r="N661" t="str">
        <f t="shared" si="31"/>
        <v>chad9RB-2</v>
      </c>
      <c r="O661">
        <f>COUNTIFS(F$1:F661,F661,A$1:A661,A661)</f>
        <v>9</v>
      </c>
      <c r="P661" t="str">
        <f t="shared" si="32"/>
        <v>Jordan Howard9</v>
      </c>
    </row>
    <row r="662" spans="1:16" x14ac:dyDescent="0.25">
      <c r="A662">
        <v>16</v>
      </c>
      <c r="B662" t="s">
        <v>110</v>
      </c>
      <c r="C662" t="s">
        <v>6165</v>
      </c>
      <c r="D662">
        <v>13.19</v>
      </c>
      <c r="E662" t="s">
        <v>51</v>
      </c>
      <c r="F662" t="s">
        <v>87</v>
      </c>
      <c r="G662">
        <v>20.260000000000002</v>
      </c>
      <c r="H662">
        <v>6.12</v>
      </c>
      <c r="I662">
        <v>7.07</v>
      </c>
      <c r="J662">
        <v>49.984900000000003</v>
      </c>
      <c r="K662" t="str">
        <f>IFERROR(INDEX(Rosters!$C$2:$C$155,MATCH($B662,Rosters!$B$2:$B$155,0)),"NA")</f>
        <v>cory</v>
      </c>
      <c r="L662" t="str">
        <f t="shared" si="30"/>
        <v>cory16WR</v>
      </c>
      <c r="M662">
        <f>COUNTIF(L$1:L662,L662)</f>
        <v>1</v>
      </c>
      <c r="N662" t="str">
        <f t="shared" si="31"/>
        <v>cory16WR-1</v>
      </c>
      <c r="O662">
        <f>COUNTIFS(F$1:F662,F662,A$1:A662,A662)</f>
        <v>2</v>
      </c>
      <c r="P662" t="str">
        <f t="shared" si="32"/>
        <v>Michael Thomas16</v>
      </c>
    </row>
    <row r="663" spans="1:16" x14ac:dyDescent="0.25">
      <c r="A663">
        <v>3</v>
      </c>
      <c r="B663" t="s">
        <v>145</v>
      </c>
      <c r="C663" t="s">
        <v>3637</v>
      </c>
      <c r="D663">
        <v>13.19</v>
      </c>
      <c r="E663" t="s">
        <v>14</v>
      </c>
      <c r="F663" t="s">
        <v>47</v>
      </c>
      <c r="G663">
        <v>21.77</v>
      </c>
      <c r="H663">
        <v>4.6100000000000003</v>
      </c>
      <c r="I663">
        <v>8.58</v>
      </c>
      <c r="J663">
        <v>73.616399999999999</v>
      </c>
      <c r="K663" t="str">
        <f>IFERROR(INDEX(Rosters!$C$2:$C$155,MATCH($B663,Rosters!$B$2:$B$155,0)),"NA")</f>
        <v>lucas</v>
      </c>
      <c r="L663" t="str">
        <f t="shared" si="30"/>
        <v>lucas3RB</v>
      </c>
      <c r="M663">
        <f>COUNTIF(L$1:L663,L663)</f>
        <v>2</v>
      </c>
      <c r="N663" t="str">
        <f t="shared" si="31"/>
        <v>lucas3RB-2</v>
      </c>
      <c r="O663">
        <f>COUNTIFS(F$1:F663,F663,A$1:A663,A663)</f>
        <v>7</v>
      </c>
      <c r="P663" t="str">
        <f t="shared" si="32"/>
        <v>Tevin Coleman3</v>
      </c>
    </row>
    <row r="664" spans="1:16" x14ac:dyDescent="0.25">
      <c r="A664">
        <v>6</v>
      </c>
      <c r="B664" t="s">
        <v>59</v>
      </c>
      <c r="C664" t="s">
        <v>6166</v>
      </c>
      <c r="D664">
        <v>13.18</v>
      </c>
      <c r="E664" t="s">
        <v>76</v>
      </c>
      <c r="F664" t="s">
        <v>15</v>
      </c>
      <c r="G664">
        <v>20.56</v>
      </c>
      <c r="H664">
        <v>5.8</v>
      </c>
      <c r="I664">
        <v>7.38</v>
      </c>
      <c r="J664">
        <v>54.464399999999998</v>
      </c>
      <c r="K664" t="str">
        <f>IFERROR(INDEX(Rosters!$C$2:$C$155,MATCH($B664,Rosters!$B$2:$B$155,0)),"NA")</f>
        <v>NA</v>
      </c>
      <c r="L664" t="str">
        <f t="shared" si="30"/>
        <v>NA6QB</v>
      </c>
      <c r="M664">
        <f>COUNTIF(L$1:L664,L664)</f>
        <v>13</v>
      </c>
      <c r="N664" t="str">
        <f t="shared" si="31"/>
        <v>NA6QB-13</v>
      </c>
      <c r="O664">
        <f>COUNTIFS(F$1:F664,F664,A$1:A664,A664)</f>
        <v>28</v>
      </c>
      <c r="P664" t="str">
        <f t="shared" si="32"/>
        <v>Dak Prescott6</v>
      </c>
    </row>
    <row r="665" spans="1:16" x14ac:dyDescent="0.25">
      <c r="A665">
        <v>12</v>
      </c>
      <c r="B665" t="s">
        <v>1105</v>
      </c>
      <c r="C665" t="s">
        <v>6167</v>
      </c>
      <c r="D665">
        <v>13.18</v>
      </c>
      <c r="E665" t="s">
        <v>42</v>
      </c>
      <c r="F665" t="s">
        <v>87</v>
      </c>
      <c r="G665">
        <v>19.48</v>
      </c>
      <c r="H665">
        <v>6.88</v>
      </c>
      <c r="I665">
        <v>6.3</v>
      </c>
      <c r="J665">
        <v>39.69</v>
      </c>
      <c r="K665" t="str">
        <f>IFERROR(INDEX(Rosters!$C$2:$C$155,MATCH($B665,Rosters!$B$2:$B$155,0)),"NA")</f>
        <v>scott</v>
      </c>
      <c r="L665" t="str">
        <f t="shared" si="30"/>
        <v>scott12WR</v>
      </c>
      <c r="M665">
        <f>COUNTIF(L$1:L665,L665)</f>
        <v>1</v>
      </c>
      <c r="N665" t="str">
        <f t="shared" si="31"/>
        <v>scott12WR-1</v>
      </c>
      <c r="O665">
        <f>COUNTIFS(F$1:F665,F665,A$1:A665,A665)</f>
        <v>4</v>
      </c>
      <c r="P665" t="str">
        <f t="shared" si="32"/>
        <v>JuJu Smith-Schuster12</v>
      </c>
    </row>
    <row r="666" spans="1:16" x14ac:dyDescent="0.25">
      <c r="A666">
        <v>3</v>
      </c>
      <c r="B666" t="s">
        <v>63</v>
      </c>
      <c r="C666" t="s">
        <v>3638</v>
      </c>
      <c r="D666">
        <v>13.15</v>
      </c>
      <c r="E666" t="s">
        <v>74</v>
      </c>
      <c r="F666" t="s">
        <v>15</v>
      </c>
      <c r="G666">
        <v>19.37</v>
      </c>
      <c r="H666">
        <v>6.93</v>
      </c>
      <c r="I666">
        <v>6.22</v>
      </c>
      <c r="J666">
        <v>38.688400000000001</v>
      </c>
      <c r="K666" t="str">
        <f>IFERROR(INDEX(Rosters!$C$2:$C$155,MATCH($B666,Rosters!$B$2:$B$155,0)),"NA")</f>
        <v>scott</v>
      </c>
      <c r="L666" t="str">
        <f t="shared" si="30"/>
        <v>scott3QB</v>
      </c>
      <c r="M666">
        <f>COUNTIF(L$1:L666,L666)</f>
        <v>2</v>
      </c>
      <c r="N666" t="str">
        <f t="shared" si="31"/>
        <v>scott3QB-2</v>
      </c>
      <c r="O666">
        <f>COUNTIFS(F$1:F666,F666,A$1:A666,A666)</f>
        <v>26</v>
      </c>
      <c r="P666" t="str">
        <f t="shared" si="32"/>
        <v>Andy Dalton3</v>
      </c>
    </row>
    <row r="667" spans="1:16" x14ac:dyDescent="0.25">
      <c r="A667">
        <v>6</v>
      </c>
      <c r="B667" t="s">
        <v>90</v>
      </c>
      <c r="C667" t="s">
        <v>6168</v>
      </c>
      <c r="D667">
        <v>13.15</v>
      </c>
      <c r="E667" t="s">
        <v>17</v>
      </c>
      <c r="F667" t="s">
        <v>47</v>
      </c>
      <c r="G667">
        <v>20.74</v>
      </c>
      <c r="H667">
        <v>5.56</v>
      </c>
      <c r="I667">
        <v>7.59</v>
      </c>
      <c r="J667">
        <v>57.6081</v>
      </c>
      <c r="K667" t="str">
        <f>IFERROR(INDEX(Rosters!$C$2:$C$155,MATCH($B667,Rosters!$B$2:$B$155,0)),"NA")</f>
        <v>devon</v>
      </c>
      <c r="L667" t="str">
        <f t="shared" si="30"/>
        <v>devon6RB</v>
      </c>
      <c r="M667">
        <f>COUNTIF(L$1:L667,L667)</f>
        <v>1</v>
      </c>
      <c r="N667" t="str">
        <f t="shared" si="31"/>
        <v>devon6RB-1</v>
      </c>
      <c r="O667">
        <f>COUNTIFS(F$1:F667,F667,A$1:A667,A667)</f>
        <v>7</v>
      </c>
      <c r="P667" t="str">
        <f t="shared" si="32"/>
        <v>Devonta Freeman6</v>
      </c>
    </row>
    <row r="668" spans="1:16" x14ac:dyDescent="0.25">
      <c r="A668">
        <v>6</v>
      </c>
      <c r="B668" t="s">
        <v>1506</v>
      </c>
      <c r="C668" t="s">
        <v>6169</v>
      </c>
      <c r="D668">
        <v>13.14</v>
      </c>
      <c r="E668" t="s">
        <v>25</v>
      </c>
      <c r="F668" t="s">
        <v>15</v>
      </c>
      <c r="G668">
        <v>18.940000000000001</v>
      </c>
      <c r="H668">
        <v>7.34</v>
      </c>
      <c r="I668">
        <v>5.8</v>
      </c>
      <c r="J668">
        <v>33.64</v>
      </c>
      <c r="K668" t="str">
        <f>IFERROR(INDEX(Rosters!$C$2:$C$155,MATCH($B668,Rosters!$B$2:$B$155,0)),"NA")</f>
        <v>NA</v>
      </c>
      <c r="L668" t="str">
        <f t="shared" si="30"/>
        <v>NA6QB</v>
      </c>
      <c r="M668">
        <f>COUNTIF(L$1:L668,L668)</f>
        <v>14</v>
      </c>
      <c r="N668" t="str">
        <f t="shared" si="31"/>
        <v>NA6QB-14</v>
      </c>
      <c r="O668">
        <f>COUNTIFS(F$1:F668,F668,A$1:A668,A668)</f>
        <v>29</v>
      </c>
      <c r="P668" t="str">
        <f t="shared" si="32"/>
        <v>Josh Rosen6</v>
      </c>
    </row>
    <row r="669" spans="1:16" x14ac:dyDescent="0.25">
      <c r="A669">
        <v>15</v>
      </c>
      <c r="B669" t="s">
        <v>110</v>
      </c>
      <c r="C669" t="s">
        <v>6170</v>
      </c>
      <c r="D669">
        <v>13.14</v>
      </c>
      <c r="E669" t="s">
        <v>74</v>
      </c>
      <c r="F669" t="s">
        <v>87</v>
      </c>
      <c r="G669">
        <v>20.71</v>
      </c>
      <c r="H669">
        <v>5.57</v>
      </c>
      <c r="I669">
        <v>7.57</v>
      </c>
      <c r="J669">
        <v>57.304900000000004</v>
      </c>
      <c r="K669" t="str">
        <f>IFERROR(INDEX(Rosters!$C$2:$C$155,MATCH($B669,Rosters!$B$2:$B$155,0)),"NA")</f>
        <v>cory</v>
      </c>
      <c r="L669" t="str">
        <f t="shared" si="30"/>
        <v>cory15WR</v>
      </c>
      <c r="M669">
        <f>COUNTIF(L$1:L669,L669)</f>
        <v>2</v>
      </c>
      <c r="N669" t="str">
        <f t="shared" si="31"/>
        <v>cory15WR-2</v>
      </c>
      <c r="O669">
        <f>COUNTIFS(F$1:F669,F669,A$1:A669,A669)</f>
        <v>4</v>
      </c>
      <c r="P669" t="str">
        <f t="shared" si="32"/>
        <v>Michael Thomas15</v>
      </c>
    </row>
    <row r="670" spans="1:16" x14ac:dyDescent="0.25">
      <c r="A670">
        <v>14</v>
      </c>
      <c r="B670" t="s">
        <v>86</v>
      </c>
      <c r="C670" t="s">
        <v>6171</v>
      </c>
      <c r="D670">
        <v>13.14</v>
      </c>
      <c r="E670" t="s">
        <v>60</v>
      </c>
      <c r="F670" t="s">
        <v>87</v>
      </c>
      <c r="G670">
        <v>21.23</v>
      </c>
      <c r="H670">
        <v>5.05</v>
      </c>
      <c r="I670">
        <v>8.09</v>
      </c>
      <c r="J670">
        <v>65.448099999999997</v>
      </c>
      <c r="K670" t="str">
        <f>IFERROR(INDEX(Rosters!$C$2:$C$155,MATCH($B670,Rosters!$B$2:$B$155,0)),"NA")</f>
        <v>seth</v>
      </c>
      <c r="L670" t="str">
        <f t="shared" si="30"/>
        <v>seth14WR</v>
      </c>
      <c r="M670">
        <f>COUNTIF(L$1:L670,L670)</f>
        <v>1</v>
      </c>
      <c r="N670" t="str">
        <f t="shared" si="31"/>
        <v>seth14WR-1</v>
      </c>
      <c r="O670">
        <f>COUNTIFS(F$1:F670,F670,A$1:A670,A670)</f>
        <v>5</v>
      </c>
      <c r="P670" t="str">
        <f t="shared" si="32"/>
        <v>Odell Beckham Jr.14</v>
      </c>
    </row>
    <row r="671" spans="1:16" x14ac:dyDescent="0.25">
      <c r="A671">
        <v>13</v>
      </c>
      <c r="B671" t="s">
        <v>1278</v>
      </c>
      <c r="C671" t="s">
        <v>6172</v>
      </c>
      <c r="D671">
        <v>13.13</v>
      </c>
      <c r="E671" t="s">
        <v>29</v>
      </c>
      <c r="F671" t="s">
        <v>15</v>
      </c>
      <c r="G671">
        <v>19.18</v>
      </c>
      <c r="H671">
        <v>7.08</v>
      </c>
      <c r="I671">
        <v>6.05</v>
      </c>
      <c r="J671">
        <v>36.602499999999999</v>
      </c>
      <c r="K671" t="str">
        <f>IFERROR(INDEX(Rosters!$C$2:$C$155,MATCH($B671,Rosters!$B$2:$B$155,0)),"NA")</f>
        <v>NA</v>
      </c>
      <c r="L671" t="str">
        <f t="shared" si="30"/>
        <v>NA13QB</v>
      </c>
      <c r="M671">
        <f>COUNTIF(L$1:L671,L671)</f>
        <v>14</v>
      </c>
      <c r="N671" t="str">
        <f t="shared" si="31"/>
        <v>NA13QB-14</v>
      </c>
      <c r="O671">
        <f>COUNTIFS(F$1:F671,F671,A$1:A671,A671)</f>
        <v>30</v>
      </c>
      <c r="P671" t="str">
        <f t="shared" si="32"/>
        <v>Ryan Tannehill13</v>
      </c>
    </row>
    <row r="672" spans="1:16" x14ac:dyDescent="0.25">
      <c r="A672">
        <v>3</v>
      </c>
      <c r="B672" t="s">
        <v>112</v>
      </c>
      <c r="C672" t="s">
        <v>3639</v>
      </c>
      <c r="D672">
        <v>13.11</v>
      </c>
      <c r="E672" t="s">
        <v>31</v>
      </c>
      <c r="F672" t="s">
        <v>47</v>
      </c>
      <c r="G672">
        <v>19.920000000000002</v>
      </c>
      <c r="H672">
        <v>6.3</v>
      </c>
      <c r="I672">
        <v>6.81</v>
      </c>
      <c r="J672">
        <v>46.376100000000001</v>
      </c>
      <c r="K672" t="str">
        <f>IFERROR(INDEX(Rosters!$C$2:$C$155,MATCH($B672,Rosters!$B$2:$B$155,0)),"NA")</f>
        <v>devon</v>
      </c>
      <c r="L672" t="str">
        <f t="shared" si="30"/>
        <v>devon3RB</v>
      </c>
      <c r="M672">
        <f>COUNTIF(L$1:L672,L672)</f>
        <v>1</v>
      </c>
      <c r="N672" t="str">
        <f t="shared" si="31"/>
        <v>devon3RB-1</v>
      </c>
      <c r="O672">
        <f>COUNTIFS(F$1:F672,F672,A$1:A672,A672)</f>
        <v>8</v>
      </c>
      <c r="P672" t="str">
        <f t="shared" si="32"/>
        <v>Christian McCaffrey3</v>
      </c>
    </row>
    <row r="673" spans="1:16" x14ac:dyDescent="0.25">
      <c r="A673">
        <v>13</v>
      </c>
      <c r="B673" t="s">
        <v>127</v>
      </c>
      <c r="C673" t="s">
        <v>6173</v>
      </c>
      <c r="D673">
        <v>13.11</v>
      </c>
      <c r="E673" t="s">
        <v>423</v>
      </c>
      <c r="F673" t="s">
        <v>47</v>
      </c>
      <c r="G673">
        <v>20.55</v>
      </c>
      <c r="H673">
        <v>5.67</v>
      </c>
      <c r="I673">
        <v>7.44</v>
      </c>
      <c r="J673">
        <v>55.3536</v>
      </c>
      <c r="K673" t="str">
        <f>IFERROR(INDEX(Rosters!$C$2:$C$155,MATCH($B673,Rosters!$B$2:$B$155,0)),"NA")</f>
        <v>aj</v>
      </c>
      <c r="L673" t="str">
        <f t="shared" si="30"/>
        <v>aj13RB</v>
      </c>
      <c r="M673">
        <f>COUNTIF(L$1:L673,L673)</f>
        <v>1</v>
      </c>
      <c r="N673" t="str">
        <f t="shared" si="31"/>
        <v>aj13RB-1</v>
      </c>
      <c r="O673">
        <f>COUNTIFS(F$1:F673,F673,A$1:A673,A673)</f>
        <v>8</v>
      </c>
      <c r="P673" t="str">
        <f t="shared" si="32"/>
        <v>Dalvin Cook13</v>
      </c>
    </row>
    <row r="674" spans="1:16" x14ac:dyDescent="0.25">
      <c r="A674">
        <v>11</v>
      </c>
      <c r="B674" t="s">
        <v>86</v>
      </c>
      <c r="C674" t="s">
        <v>6174</v>
      </c>
      <c r="D674">
        <v>13.1</v>
      </c>
      <c r="E674" t="s">
        <v>17</v>
      </c>
      <c r="F674" t="s">
        <v>87</v>
      </c>
      <c r="G674">
        <v>20.77</v>
      </c>
      <c r="H674">
        <v>5.43</v>
      </c>
      <c r="I674">
        <v>7.67</v>
      </c>
      <c r="J674">
        <v>58.828899999999997</v>
      </c>
      <c r="K674" t="str">
        <f>IFERROR(INDEX(Rosters!$C$2:$C$155,MATCH($B674,Rosters!$B$2:$B$155,0)),"NA")</f>
        <v>seth</v>
      </c>
      <c r="L674" t="str">
        <f t="shared" si="30"/>
        <v>seth11WR</v>
      </c>
      <c r="M674">
        <f>COUNTIF(L$1:L674,L674)</f>
        <v>1</v>
      </c>
      <c r="N674" t="str">
        <f t="shared" si="31"/>
        <v>seth11WR-1</v>
      </c>
      <c r="O674">
        <f>COUNTIFS(F$1:F674,F674,A$1:A674,A674)</f>
        <v>5</v>
      </c>
      <c r="P674" t="str">
        <f t="shared" si="32"/>
        <v>Odell Beckham Jr.11</v>
      </c>
    </row>
    <row r="675" spans="1:16" x14ac:dyDescent="0.25">
      <c r="A675">
        <v>11</v>
      </c>
      <c r="B675" t="s">
        <v>97</v>
      </c>
      <c r="C675" t="s">
        <v>6175</v>
      </c>
      <c r="D675">
        <v>13.09</v>
      </c>
      <c r="E675" t="s">
        <v>25</v>
      </c>
      <c r="F675" t="s">
        <v>47</v>
      </c>
      <c r="G675">
        <v>20.16</v>
      </c>
      <c r="H675">
        <v>6.02</v>
      </c>
      <c r="I675">
        <v>7.07</v>
      </c>
      <c r="J675">
        <v>49.984900000000003</v>
      </c>
      <c r="K675" t="str">
        <f>IFERROR(INDEX(Rosters!$C$2:$C$155,MATCH($B675,Rosters!$B$2:$B$155,0)),"NA")</f>
        <v>chad</v>
      </c>
      <c r="L675" t="str">
        <f t="shared" si="30"/>
        <v>chad11RB</v>
      </c>
      <c r="M675">
        <f>COUNTIF(L$1:L675,L675)</f>
        <v>2</v>
      </c>
      <c r="N675" t="str">
        <f t="shared" si="31"/>
        <v>chad11RB-2</v>
      </c>
      <c r="O675">
        <f>COUNTIFS(F$1:F675,F675,A$1:A675,A675)</f>
        <v>9</v>
      </c>
      <c r="P675" t="str">
        <f t="shared" si="32"/>
        <v>Jordan Howard11</v>
      </c>
    </row>
    <row r="676" spans="1:16" x14ac:dyDescent="0.25">
      <c r="A676">
        <v>17</v>
      </c>
      <c r="B676" t="s">
        <v>108</v>
      </c>
      <c r="C676" t="s">
        <v>6176</v>
      </c>
      <c r="D676">
        <v>13.08</v>
      </c>
      <c r="E676" t="s">
        <v>30</v>
      </c>
      <c r="F676" t="s">
        <v>87</v>
      </c>
      <c r="G676">
        <v>20.36</v>
      </c>
      <c r="H676">
        <v>5.8</v>
      </c>
      <c r="I676">
        <v>7.28</v>
      </c>
      <c r="J676">
        <v>52.998399999999997</v>
      </c>
      <c r="K676" t="str">
        <f>IFERROR(INDEX(Rosters!$C$2:$C$155,MATCH($B676,Rosters!$B$2:$B$155,0)),"NA")</f>
        <v>perry</v>
      </c>
      <c r="L676" t="str">
        <f t="shared" si="30"/>
        <v>perry17WR</v>
      </c>
      <c r="M676">
        <f>COUNTIF(L$1:L676,L676)</f>
        <v>1</v>
      </c>
      <c r="N676" t="str">
        <f t="shared" si="31"/>
        <v>perry17WR-1</v>
      </c>
      <c r="O676">
        <f>COUNTIFS(F$1:F676,F676,A$1:A676,A676)</f>
        <v>7</v>
      </c>
      <c r="P676" t="str">
        <f t="shared" si="32"/>
        <v>Brandin Cooks17</v>
      </c>
    </row>
    <row r="677" spans="1:16" x14ac:dyDescent="0.25">
      <c r="A677">
        <v>10</v>
      </c>
      <c r="B677" t="s">
        <v>59</v>
      </c>
      <c r="C677" t="s">
        <v>6177</v>
      </c>
      <c r="D677">
        <v>13.07</v>
      </c>
      <c r="E677" t="s">
        <v>50</v>
      </c>
      <c r="F677" t="s">
        <v>15</v>
      </c>
      <c r="G677">
        <v>20.64</v>
      </c>
      <c r="H677">
        <v>5.5</v>
      </c>
      <c r="I677">
        <v>7.57</v>
      </c>
      <c r="J677">
        <v>57.304900000000004</v>
      </c>
      <c r="K677" t="str">
        <f>IFERROR(INDEX(Rosters!$C$2:$C$155,MATCH($B677,Rosters!$B$2:$B$155,0)),"NA")</f>
        <v>NA</v>
      </c>
      <c r="L677" t="str">
        <f t="shared" si="30"/>
        <v>NA10QB</v>
      </c>
      <c r="M677">
        <f>COUNTIF(L$1:L677,L677)</f>
        <v>12</v>
      </c>
      <c r="N677" t="str">
        <f t="shared" si="31"/>
        <v>NA10QB-12</v>
      </c>
      <c r="O677">
        <f>COUNTIFS(F$1:F677,F677,A$1:A677,A677)</f>
        <v>27</v>
      </c>
      <c r="P677" t="str">
        <f t="shared" si="32"/>
        <v>Dak Prescott10</v>
      </c>
    </row>
    <row r="678" spans="1:16" x14ac:dyDescent="0.25">
      <c r="A678">
        <v>10</v>
      </c>
      <c r="B678" t="s">
        <v>33</v>
      </c>
      <c r="C678" t="s">
        <v>6178</v>
      </c>
      <c r="D678">
        <v>13.03</v>
      </c>
      <c r="E678" t="s">
        <v>76</v>
      </c>
      <c r="F678" t="s">
        <v>15</v>
      </c>
      <c r="G678">
        <v>19.11</v>
      </c>
      <c r="H678">
        <v>6.95</v>
      </c>
      <c r="I678">
        <v>6.08</v>
      </c>
      <c r="J678">
        <v>36.9664</v>
      </c>
      <c r="K678" t="str">
        <f>IFERROR(INDEX(Rosters!$C$2:$C$155,MATCH($B678,Rosters!$B$2:$B$155,0)),"NA")</f>
        <v>comp</v>
      </c>
      <c r="L678" t="str">
        <f t="shared" si="30"/>
        <v>comp10QB</v>
      </c>
      <c r="M678">
        <f>COUNTIF(L$1:L678,L678)</f>
        <v>2</v>
      </c>
      <c r="N678" t="str">
        <f t="shared" si="31"/>
        <v>comp10QB-2</v>
      </c>
      <c r="O678">
        <f>COUNTIFS(F$1:F678,F678,A$1:A678,A678)</f>
        <v>28</v>
      </c>
      <c r="P678" t="str">
        <f t="shared" si="32"/>
        <v>Andrew Luck10</v>
      </c>
    </row>
    <row r="679" spans="1:16" x14ac:dyDescent="0.25">
      <c r="A679">
        <v>16</v>
      </c>
      <c r="B679" t="s">
        <v>1537</v>
      </c>
      <c r="C679" t="s">
        <v>6179</v>
      </c>
      <c r="D679">
        <v>13.03</v>
      </c>
      <c r="E679" t="s">
        <v>72</v>
      </c>
      <c r="F679" t="s">
        <v>15</v>
      </c>
      <c r="G679">
        <v>19.02</v>
      </c>
      <c r="H679">
        <v>7.04</v>
      </c>
      <c r="I679">
        <v>5.99</v>
      </c>
      <c r="J679">
        <v>35.880099999999999</v>
      </c>
      <c r="K679" t="str">
        <f>IFERROR(INDEX(Rosters!$C$2:$C$155,MATCH($B679,Rosters!$B$2:$B$155,0)),"NA")</f>
        <v>NA</v>
      </c>
      <c r="L679" t="str">
        <f t="shared" si="30"/>
        <v>NA16QB</v>
      </c>
      <c r="M679">
        <f>COUNTIF(L$1:L679,L679)</f>
        <v>14</v>
      </c>
      <c r="N679" t="str">
        <f t="shared" si="31"/>
        <v>NA16QB-14</v>
      </c>
      <c r="O679">
        <f>COUNTIFS(F$1:F679,F679,A$1:A679,A679)</f>
        <v>31</v>
      </c>
      <c r="P679" t="str">
        <f t="shared" si="32"/>
        <v>C.J. Beathard16</v>
      </c>
    </row>
    <row r="680" spans="1:16" x14ac:dyDescent="0.25">
      <c r="A680">
        <v>12</v>
      </c>
      <c r="B680" t="s">
        <v>75</v>
      </c>
      <c r="C680" t="s">
        <v>6180</v>
      </c>
      <c r="D680">
        <v>13.03</v>
      </c>
      <c r="E680" t="s">
        <v>50</v>
      </c>
      <c r="F680" t="s">
        <v>15</v>
      </c>
      <c r="G680">
        <v>19.350000000000001</v>
      </c>
      <c r="H680">
        <v>6.71</v>
      </c>
      <c r="I680">
        <v>6.32</v>
      </c>
      <c r="J680">
        <v>39.942399999999999</v>
      </c>
      <c r="K680" t="str">
        <f>IFERROR(INDEX(Rosters!$C$2:$C$155,MATCH($B680,Rosters!$B$2:$B$155,0)),"NA")</f>
        <v>NA</v>
      </c>
      <c r="L680" t="str">
        <f t="shared" si="30"/>
        <v>NA12QB</v>
      </c>
      <c r="M680">
        <f>COUNTIF(L$1:L680,L680)</f>
        <v>13</v>
      </c>
      <c r="N680" t="str">
        <f t="shared" si="31"/>
        <v>NA12QB-13</v>
      </c>
      <c r="O680">
        <f>COUNTIFS(F$1:F680,F680,A$1:A680,A680)</f>
        <v>28</v>
      </c>
      <c r="P680" t="str">
        <f t="shared" si="32"/>
        <v>Eli Manning12</v>
      </c>
    </row>
    <row r="681" spans="1:16" x14ac:dyDescent="0.25">
      <c r="A681">
        <v>6</v>
      </c>
      <c r="B681" t="s">
        <v>154</v>
      </c>
      <c r="C681" t="s">
        <v>6181</v>
      </c>
      <c r="D681">
        <v>13.03</v>
      </c>
      <c r="E681" t="s">
        <v>52</v>
      </c>
      <c r="F681" t="s">
        <v>87</v>
      </c>
      <c r="G681">
        <v>20.74</v>
      </c>
      <c r="H681">
        <v>5.32</v>
      </c>
      <c r="I681">
        <v>7.71</v>
      </c>
      <c r="J681">
        <v>59.444099999999999</v>
      </c>
      <c r="K681" t="str">
        <f>IFERROR(INDEX(Rosters!$C$2:$C$155,MATCH($B681,Rosters!$B$2:$B$155,0)),"NA")</f>
        <v>chad</v>
      </c>
      <c r="L681" t="str">
        <f t="shared" si="30"/>
        <v>chad6WR</v>
      </c>
      <c r="M681">
        <f>COUNTIF(L$1:L681,L681)</f>
        <v>1</v>
      </c>
      <c r="N681" t="str">
        <f t="shared" si="31"/>
        <v>chad6WR-1</v>
      </c>
      <c r="O681">
        <f>COUNTIFS(F$1:F681,F681,A$1:A681,A681)</f>
        <v>4</v>
      </c>
      <c r="P681" t="str">
        <f t="shared" si="32"/>
        <v>Keenan Allen6</v>
      </c>
    </row>
    <row r="682" spans="1:16" x14ac:dyDescent="0.25">
      <c r="A682">
        <v>14</v>
      </c>
      <c r="B682" t="s">
        <v>75</v>
      </c>
      <c r="C682" t="s">
        <v>6182</v>
      </c>
      <c r="D682">
        <v>13.02</v>
      </c>
      <c r="E682" t="s">
        <v>60</v>
      </c>
      <c r="F682" t="s">
        <v>15</v>
      </c>
      <c r="G682">
        <v>18.62</v>
      </c>
      <c r="H682">
        <v>7.42</v>
      </c>
      <c r="I682">
        <v>5.6</v>
      </c>
      <c r="J682">
        <v>31.36</v>
      </c>
      <c r="K682" t="str">
        <f>IFERROR(INDEX(Rosters!$C$2:$C$155,MATCH($B682,Rosters!$B$2:$B$155,0)),"NA")</f>
        <v>NA</v>
      </c>
      <c r="L682" t="str">
        <f t="shared" si="30"/>
        <v>NA14QB</v>
      </c>
      <c r="M682">
        <f>COUNTIF(L$1:L682,L682)</f>
        <v>14</v>
      </c>
      <c r="N682" t="str">
        <f t="shared" si="31"/>
        <v>NA14QB-14</v>
      </c>
      <c r="O682">
        <f>COUNTIFS(F$1:F682,F682,A$1:A682,A682)</f>
        <v>31</v>
      </c>
      <c r="P682" t="str">
        <f t="shared" si="32"/>
        <v>Eli Manning14</v>
      </c>
    </row>
    <row r="683" spans="1:16" x14ac:dyDescent="0.25">
      <c r="A683">
        <v>3</v>
      </c>
      <c r="B683" t="s">
        <v>298</v>
      </c>
      <c r="C683" t="s">
        <v>3896</v>
      </c>
      <c r="D683">
        <v>13.02</v>
      </c>
      <c r="E683" t="s">
        <v>17</v>
      </c>
      <c r="F683" t="s">
        <v>47</v>
      </c>
      <c r="G683">
        <v>25.05</v>
      </c>
      <c r="H683">
        <v>0.99</v>
      </c>
      <c r="I683">
        <v>12.03</v>
      </c>
      <c r="J683">
        <v>144.7209</v>
      </c>
      <c r="K683" t="str">
        <f>IFERROR(INDEX(Rosters!$C$2:$C$155,MATCH($B683,Rosters!$B$2:$B$155,0)),"NA")</f>
        <v>aj</v>
      </c>
      <c r="L683" t="str">
        <f t="shared" si="30"/>
        <v>aj3RB</v>
      </c>
      <c r="M683">
        <f>COUNTIF(L$1:L683,L683)</f>
        <v>1</v>
      </c>
      <c r="N683" t="str">
        <f t="shared" si="31"/>
        <v>aj3RB-1</v>
      </c>
      <c r="O683">
        <f>COUNTIFS(F$1:F683,F683,A$1:A683,A683)</f>
        <v>9</v>
      </c>
      <c r="P683" t="str">
        <f t="shared" si="32"/>
        <v>James Conner3</v>
      </c>
    </row>
    <row r="684" spans="1:16" x14ac:dyDescent="0.25">
      <c r="A684">
        <v>3</v>
      </c>
      <c r="B684" t="s">
        <v>120</v>
      </c>
      <c r="C684" t="s">
        <v>3640</v>
      </c>
      <c r="D684">
        <v>13.01</v>
      </c>
      <c r="E684" t="s">
        <v>54</v>
      </c>
      <c r="F684" t="s">
        <v>87</v>
      </c>
      <c r="G684">
        <v>21.01</v>
      </c>
      <c r="H684">
        <v>5.01</v>
      </c>
      <c r="I684">
        <v>8</v>
      </c>
      <c r="J684">
        <v>64</v>
      </c>
      <c r="K684" t="str">
        <f>IFERROR(INDEX(Rosters!$C$2:$C$155,MATCH($B684,Rosters!$B$2:$B$155,0)),"NA")</f>
        <v>aj</v>
      </c>
      <c r="L684" t="str">
        <f t="shared" si="30"/>
        <v>aj3WR</v>
      </c>
      <c r="M684">
        <f>COUNTIF(L$1:L684,L684)</f>
        <v>2</v>
      </c>
      <c r="N684" t="str">
        <f t="shared" si="31"/>
        <v>aj3WR-2</v>
      </c>
      <c r="O684">
        <f>COUNTIFS(F$1:F684,F684,A$1:A684,A684)</f>
        <v>7</v>
      </c>
      <c r="P684" t="str">
        <f t="shared" si="32"/>
        <v>DeAndre Hopkins3</v>
      </c>
    </row>
    <row r="685" spans="1:16" x14ac:dyDescent="0.25">
      <c r="A685">
        <v>1</v>
      </c>
      <c r="B685" t="s">
        <v>298</v>
      </c>
      <c r="C685" t="s">
        <v>3183</v>
      </c>
      <c r="D685">
        <v>13.01</v>
      </c>
      <c r="E685" t="s">
        <v>52</v>
      </c>
      <c r="F685" t="s">
        <v>47</v>
      </c>
      <c r="G685">
        <v>21.87</v>
      </c>
      <c r="H685">
        <v>4.1500000000000004</v>
      </c>
      <c r="I685">
        <v>8.86</v>
      </c>
      <c r="J685">
        <v>78.499600000000001</v>
      </c>
      <c r="K685" t="str">
        <f>IFERROR(INDEX(Rosters!$C$2:$C$155,MATCH($B685,Rosters!$B$2:$B$155,0)),"NA")</f>
        <v>aj</v>
      </c>
      <c r="L685" t="str">
        <f t="shared" si="30"/>
        <v>aj1RB</v>
      </c>
      <c r="M685">
        <f>COUNTIF(L$1:L685,L685)</f>
        <v>2</v>
      </c>
      <c r="N685" t="str">
        <f t="shared" si="31"/>
        <v>aj1RB-2</v>
      </c>
      <c r="O685">
        <f>COUNTIFS(F$1:F685,F685,A$1:A685,A685)</f>
        <v>10</v>
      </c>
      <c r="P685" t="str">
        <f t="shared" si="32"/>
        <v>James Conner1</v>
      </c>
    </row>
    <row r="686" spans="1:16" x14ac:dyDescent="0.25">
      <c r="A686">
        <v>14</v>
      </c>
      <c r="B686" t="s">
        <v>1105</v>
      </c>
      <c r="C686" t="s">
        <v>6183</v>
      </c>
      <c r="D686">
        <v>13.01</v>
      </c>
      <c r="E686" t="s">
        <v>32</v>
      </c>
      <c r="F686" t="s">
        <v>87</v>
      </c>
      <c r="G686">
        <v>20.149999999999999</v>
      </c>
      <c r="H686">
        <v>5.87</v>
      </c>
      <c r="I686">
        <v>7.14</v>
      </c>
      <c r="J686">
        <v>50.979599999999998</v>
      </c>
      <c r="K686" t="str">
        <f>IFERROR(INDEX(Rosters!$C$2:$C$155,MATCH($B686,Rosters!$B$2:$B$155,0)),"NA")</f>
        <v>scott</v>
      </c>
      <c r="L686" t="str">
        <f t="shared" si="30"/>
        <v>scott14WR</v>
      </c>
      <c r="M686">
        <f>COUNTIF(L$1:L686,L686)</f>
        <v>1</v>
      </c>
      <c r="N686" t="str">
        <f t="shared" si="31"/>
        <v>scott14WR-1</v>
      </c>
      <c r="O686">
        <f>COUNTIFS(F$1:F686,F686,A$1:A686,A686)</f>
        <v>6</v>
      </c>
      <c r="P686" t="str">
        <f t="shared" si="32"/>
        <v>JuJu Smith-Schuster14</v>
      </c>
    </row>
    <row r="687" spans="1:16" x14ac:dyDescent="0.25">
      <c r="A687">
        <v>6</v>
      </c>
      <c r="B687" t="s">
        <v>1278</v>
      </c>
      <c r="C687" t="s">
        <v>6184</v>
      </c>
      <c r="D687">
        <v>13</v>
      </c>
      <c r="E687" t="s">
        <v>72</v>
      </c>
      <c r="F687" t="s">
        <v>15</v>
      </c>
      <c r="G687">
        <v>19.05</v>
      </c>
      <c r="H687">
        <v>6.95</v>
      </c>
      <c r="I687">
        <v>6.05</v>
      </c>
      <c r="J687">
        <v>36.602499999999999</v>
      </c>
      <c r="K687" t="str">
        <f>IFERROR(INDEX(Rosters!$C$2:$C$155,MATCH($B687,Rosters!$B$2:$B$155,0)),"NA")</f>
        <v>NA</v>
      </c>
      <c r="L687" t="str">
        <f t="shared" si="30"/>
        <v>NA6QB</v>
      </c>
      <c r="M687">
        <f>COUNTIF(L$1:L687,L687)</f>
        <v>15</v>
      </c>
      <c r="N687" t="str">
        <f t="shared" si="31"/>
        <v>NA6QB-15</v>
      </c>
      <c r="O687">
        <f>COUNTIFS(F$1:F687,F687,A$1:A687,A687)</f>
        <v>30</v>
      </c>
      <c r="P687" t="str">
        <f t="shared" si="32"/>
        <v>Ryan Tannehill6</v>
      </c>
    </row>
    <row r="688" spans="1:16" x14ac:dyDescent="0.25">
      <c r="A688">
        <v>7</v>
      </c>
      <c r="B688" t="s">
        <v>122</v>
      </c>
      <c r="C688" t="s">
        <v>6185</v>
      </c>
      <c r="D688">
        <v>12.99</v>
      </c>
      <c r="E688" t="s">
        <v>19</v>
      </c>
      <c r="F688" t="s">
        <v>87</v>
      </c>
      <c r="G688">
        <v>20.309999999999999</v>
      </c>
      <c r="H688">
        <v>5.67</v>
      </c>
      <c r="I688">
        <v>7.32</v>
      </c>
      <c r="J688">
        <v>53.5824</v>
      </c>
      <c r="K688" t="str">
        <f>IFERROR(INDEX(Rosters!$C$2:$C$155,MATCH($B688,Rosters!$B$2:$B$155,0)),"NA")</f>
        <v>devon</v>
      </c>
      <c r="L688" t="str">
        <f t="shared" si="30"/>
        <v>devon7WR</v>
      </c>
      <c r="M688">
        <f>COUNTIF(L$1:L688,L688)</f>
        <v>1</v>
      </c>
      <c r="N688" t="str">
        <f t="shared" si="31"/>
        <v>devon7WR-1</v>
      </c>
      <c r="O688">
        <f>COUNTIFS(F$1:F688,F688,A$1:A688,A688)</f>
        <v>5</v>
      </c>
      <c r="P688" t="str">
        <f t="shared" si="32"/>
        <v>Golden Tate7</v>
      </c>
    </row>
    <row r="689" spans="1:16" x14ac:dyDescent="0.25">
      <c r="A689">
        <v>4</v>
      </c>
      <c r="B689" t="s">
        <v>145</v>
      </c>
      <c r="C689" t="s">
        <v>5025</v>
      </c>
      <c r="D689">
        <v>12.99</v>
      </c>
      <c r="E689" t="s">
        <v>31</v>
      </c>
      <c r="F689" t="s">
        <v>47</v>
      </c>
      <c r="G689">
        <v>23.02</v>
      </c>
      <c r="H689">
        <v>2.96</v>
      </c>
      <c r="I689">
        <v>10.029999999999999</v>
      </c>
      <c r="J689">
        <v>100.6009</v>
      </c>
      <c r="K689" t="str">
        <f>IFERROR(INDEX(Rosters!$C$2:$C$155,MATCH($B689,Rosters!$B$2:$B$155,0)),"NA")</f>
        <v>lucas</v>
      </c>
      <c r="L689" t="str">
        <f t="shared" si="30"/>
        <v>lucas4RB</v>
      </c>
      <c r="M689">
        <f>COUNTIF(L$1:L689,L689)</f>
        <v>2</v>
      </c>
      <c r="N689" t="str">
        <f t="shared" si="31"/>
        <v>lucas4RB-2</v>
      </c>
      <c r="O689">
        <f>COUNTIFS(F$1:F689,F689,A$1:A689,A689)</f>
        <v>7</v>
      </c>
      <c r="P689" t="str">
        <f t="shared" si="32"/>
        <v>Tevin Coleman4</v>
      </c>
    </row>
    <row r="690" spans="1:16" x14ac:dyDescent="0.25">
      <c r="A690">
        <v>2</v>
      </c>
      <c r="B690" t="s">
        <v>110</v>
      </c>
      <c r="C690" t="s">
        <v>1297</v>
      </c>
      <c r="D690">
        <v>12.97</v>
      </c>
      <c r="E690" t="s">
        <v>52</v>
      </c>
      <c r="F690" t="s">
        <v>87</v>
      </c>
      <c r="G690">
        <v>19.149999999999999</v>
      </c>
      <c r="H690">
        <v>6.79</v>
      </c>
      <c r="I690">
        <v>6.18</v>
      </c>
      <c r="J690">
        <v>38.192399999999999</v>
      </c>
      <c r="K690" t="str">
        <f>IFERROR(INDEX(Rosters!$C$2:$C$155,MATCH($B690,Rosters!$B$2:$B$155,0)),"NA")</f>
        <v>cory</v>
      </c>
      <c r="L690" t="str">
        <f t="shared" si="30"/>
        <v>cory2WR</v>
      </c>
      <c r="M690">
        <f>COUNTIF(L$1:L690,L690)</f>
        <v>1</v>
      </c>
      <c r="N690" t="str">
        <f t="shared" si="31"/>
        <v>cory2WR-1</v>
      </c>
      <c r="O690">
        <f>COUNTIFS(F$1:F690,F690,A$1:A690,A690)</f>
        <v>2</v>
      </c>
      <c r="P690" t="str">
        <f t="shared" si="32"/>
        <v>Michael Thomas2</v>
      </c>
    </row>
    <row r="691" spans="1:16" x14ac:dyDescent="0.25">
      <c r="A691">
        <v>12</v>
      </c>
      <c r="B691" t="s">
        <v>130</v>
      </c>
      <c r="C691" t="s">
        <v>6186</v>
      </c>
      <c r="D691">
        <v>12.96</v>
      </c>
      <c r="E691" t="s">
        <v>31</v>
      </c>
      <c r="F691" t="s">
        <v>47</v>
      </c>
      <c r="G691">
        <v>19.22</v>
      </c>
      <c r="H691">
        <v>6.7</v>
      </c>
      <c r="I691">
        <v>6.26</v>
      </c>
      <c r="J691">
        <v>39.187600000000003</v>
      </c>
      <c r="K691" t="str">
        <f>IFERROR(INDEX(Rosters!$C$2:$C$155,MATCH($B691,Rosters!$B$2:$B$155,0)),"NA")</f>
        <v>cory</v>
      </c>
      <c r="L691" t="str">
        <f t="shared" si="30"/>
        <v>cory12RB</v>
      </c>
      <c r="M691">
        <f>COUNTIF(L$1:L691,L691)</f>
        <v>1</v>
      </c>
      <c r="N691" t="str">
        <f t="shared" si="31"/>
        <v>cory12RB-1</v>
      </c>
      <c r="O691">
        <f>COUNTIFS(F$1:F691,F691,A$1:A691,A691)</f>
        <v>8</v>
      </c>
      <c r="P691" t="str">
        <f t="shared" si="32"/>
        <v>Carlos Hyde12</v>
      </c>
    </row>
    <row r="692" spans="1:16" x14ac:dyDescent="0.25">
      <c r="A692">
        <v>2</v>
      </c>
      <c r="B692" t="s">
        <v>1277</v>
      </c>
      <c r="C692" t="s">
        <v>3534</v>
      </c>
      <c r="D692">
        <v>12.96</v>
      </c>
      <c r="E692" t="s">
        <v>37</v>
      </c>
      <c r="F692" t="s">
        <v>15</v>
      </c>
      <c r="G692">
        <v>19.809999999999999</v>
      </c>
      <c r="H692">
        <v>6.11</v>
      </c>
      <c r="I692">
        <v>6.85</v>
      </c>
      <c r="J692">
        <v>46.922499999999999</v>
      </c>
      <c r="K692" t="str">
        <f>IFERROR(INDEX(Rosters!$C$2:$C$155,MATCH($B692,Rosters!$B$2:$B$155,0)),"NA")</f>
        <v>NA</v>
      </c>
      <c r="L692" t="str">
        <f t="shared" si="30"/>
        <v>NA2QB</v>
      </c>
      <c r="M692">
        <f>COUNTIF(L$1:L692,L692)</f>
        <v>11</v>
      </c>
      <c r="N692" t="str">
        <f t="shared" si="31"/>
        <v>NA2QB-11</v>
      </c>
      <c r="O692">
        <f>COUNTIFS(F$1:F692,F692,A$1:A692,A692)</f>
        <v>25</v>
      </c>
      <c r="P692" t="str">
        <f t="shared" si="32"/>
        <v>Josh Allen2</v>
      </c>
    </row>
    <row r="693" spans="1:16" x14ac:dyDescent="0.25">
      <c r="A693">
        <v>2</v>
      </c>
      <c r="B693" t="s">
        <v>291</v>
      </c>
      <c r="C693" t="s">
        <v>1298</v>
      </c>
      <c r="D693">
        <v>12.96</v>
      </c>
      <c r="E693" t="s">
        <v>28</v>
      </c>
      <c r="F693" t="s">
        <v>15</v>
      </c>
      <c r="G693">
        <v>19.309999999999999</v>
      </c>
      <c r="H693">
        <v>6.61</v>
      </c>
      <c r="I693">
        <v>6.35</v>
      </c>
      <c r="J693">
        <v>40.322499999999998</v>
      </c>
      <c r="K693" t="str">
        <f>IFERROR(INDEX(Rosters!$C$2:$C$155,MATCH($B693,Rosters!$B$2:$B$155,0)),"NA")</f>
        <v>NA</v>
      </c>
      <c r="L693" t="str">
        <f t="shared" si="30"/>
        <v>NA2QB</v>
      </c>
      <c r="M693">
        <f>COUNTIF(L$1:L693,L693)</f>
        <v>12</v>
      </c>
      <c r="N693" t="str">
        <f t="shared" si="31"/>
        <v>NA2QB-12</v>
      </c>
      <c r="O693">
        <f>COUNTIFS(F$1:F693,F693,A$1:A693,A693)</f>
        <v>26</v>
      </c>
      <c r="P693" t="str">
        <f t="shared" si="32"/>
        <v>Mitchell Trubisky2</v>
      </c>
    </row>
    <row r="694" spans="1:16" x14ac:dyDescent="0.25">
      <c r="A694">
        <v>13</v>
      </c>
      <c r="B694" t="s">
        <v>97</v>
      </c>
      <c r="C694" t="s">
        <v>6187</v>
      </c>
      <c r="D694">
        <v>12.95</v>
      </c>
      <c r="E694" t="s">
        <v>54</v>
      </c>
      <c r="F694" t="s">
        <v>47</v>
      </c>
      <c r="G694">
        <v>20.68</v>
      </c>
      <c r="H694">
        <v>5.22</v>
      </c>
      <c r="I694">
        <v>7.73</v>
      </c>
      <c r="J694">
        <v>59.752899999999997</v>
      </c>
      <c r="K694" t="str">
        <f>IFERROR(INDEX(Rosters!$C$2:$C$155,MATCH($B694,Rosters!$B$2:$B$155,0)),"NA")</f>
        <v>chad</v>
      </c>
      <c r="L694" t="str">
        <f t="shared" si="30"/>
        <v>chad13RB</v>
      </c>
      <c r="M694">
        <f>COUNTIF(L$1:L694,L694)</f>
        <v>2</v>
      </c>
      <c r="N694" t="str">
        <f t="shared" si="31"/>
        <v>chad13RB-2</v>
      </c>
      <c r="O694">
        <f>COUNTIFS(F$1:F694,F694,A$1:A694,A694)</f>
        <v>9</v>
      </c>
      <c r="P694" t="str">
        <f t="shared" si="32"/>
        <v>Jordan Howard13</v>
      </c>
    </row>
    <row r="695" spans="1:16" x14ac:dyDescent="0.25">
      <c r="A695">
        <v>9</v>
      </c>
      <c r="B695" t="s">
        <v>1105</v>
      </c>
      <c r="C695" t="s">
        <v>6188</v>
      </c>
      <c r="D695">
        <v>12.95</v>
      </c>
      <c r="E695" t="s">
        <v>77</v>
      </c>
      <c r="F695" t="s">
        <v>87</v>
      </c>
      <c r="G695">
        <v>18.690000000000001</v>
      </c>
      <c r="H695">
        <v>7.21</v>
      </c>
      <c r="I695">
        <v>5.74</v>
      </c>
      <c r="J695">
        <v>32.947600000000001</v>
      </c>
      <c r="K695" t="str">
        <f>IFERROR(INDEX(Rosters!$C$2:$C$155,MATCH($B695,Rosters!$B$2:$B$155,0)),"NA")</f>
        <v>scott</v>
      </c>
      <c r="L695" t="str">
        <f t="shared" si="30"/>
        <v>scott9WR</v>
      </c>
      <c r="M695">
        <f>COUNTIF(L$1:L695,L695)</f>
        <v>1</v>
      </c>
      <c r="N695" t="str">
        <f t="shared" si="31"/>
        <v>scott9WR-1</v>
      </c>
      <c r="O695">
        <f>COUNTIFS(F$1:F695,F695,A$1:A695,A695)</f>
        <v>3</v>
      </c>
      <c r="P695" t="str">
        <f t="shared" si="32"/>
        <v>JuJu Smith-Schuster9</v>
      </c>
    </row>
    <row r="696" spans="1:16" x14ac:dyDescent="0.25">
      <c r="A696">
        <v>6</v>
      </c>
      <c r="B696" t="s">
        <v>1352</v>
      </c>
      <c r="C696" t="s">
        <v>6189</v>
      </c>
      <c r="D696">
        <v>12.95</v>
      </c>
      <c r="E696" t="s">
        <v>24</v>
      </c>
      <c r="F696" t="s">
        <v>47</v>
      </c>
      <c r="G696">
        <v>21.49</v>
      </c>
      <c r="H696">
        <v>4.41</v>
      </c>
      <c r="I696">
        <v>8.5399999999999991</v>
      </c>
      <c r="J696">
        <v>72.931600000000003</v>
      </c>
      <c r="K696" t="str">
        <f>IFERROR(INDEX(Rosters!$C$2:$C$155,MATCH($B696,Rosters!$B$2:$B$155,0)),"NA")</f>
        <v>devon</v>
      </c>
      <c r="L696" t="str">
        <f t="shared" si="30"/>
        <v>devon6RB</v>
      </c>
      <c r="M696">
        <f>COUNTIF(L$1:L696,L696)</f>
        <v>2</v>
      </c>
      <c r="N696" t="str">
        <f t="shared" si="31"/>
        <v>devon6RB-2</v>
      </c>
      <c r="O696">
        <f>COUNTIFS(F$1:F696,F696,A$1:A696,A696)</f>
        <v>8</v>
      </c>
      <c r="P696" t="str">
        <f t="shared" si="32"/>
        <v>Sony Michel6</v>
      </c>
    </row>
    <row r="697" spans="1:16" x14ac:dyDescent="0.25">
      <c r="A697">
        <v>1</v>
      </c>
      <c r="B697" t="s">
        <v>96</v>
      </c>
      <c r="C697" t="s">
        <v>3184</v>
      </c>
      <c r="D697">
        <v>12.94</v>
      </c>
      <c r="E697" t="s">
        <v>52</v>
      </c>
      <c r="F697" t="s">
        <v>87</v>
      </c>
      <c r="G697">
        <v>20.329999999999998</v>
      </c>
      <c r="H697">
        <v>5.55</v>
      </c>
      <c r="I697">
        <v>7.39</v>
      </c>
      <c r="J697">
        <v>54.612099999999998</v>
      </c>
      <c r="K697" t="str">
        <f>IFERROR(INDEX(Rosters!$C$2:$C$155,MATCH($B697,Rosters!$B$2:$B$155,0)),"NA")</f>
        <v>comp</v>
      </c>
      <c r="L697" t="str">
        <f t="shared" si="30"/>
        <v>comp1WR</v>
      </c>
      <c r="M697">
        <f>COUNTIF(L$1:L697,L697)</f>
        <v>1</v>
      </c>
      <c r="N697" t="str">
        <f t="shared" si="31"/>
        <v>comp1WR-1</v>
      </c>
      <c r="O697">
        <f>COUNTIFS(F$1:F697,F697,A$1:A697,A697)</f>
        <v>2</v>
      </c>
      <c r="P697" t="str">
        <f t="shared" si="32"/>
        <v>Antonio Brown1</v>
      </c>
    </row>
    <row r="698" spans="1:16" x14ac:dyDescent="0.25">
      <c r="A698">
        <v>1</v>
      </c>
      <c r="B698" t="s">
        <v>123</v>
      </c>
      <c r="C698" t="s">
        <v>3312</v>
      </c>
      <c r="D698">
        <v>12.94</v>
      </c>
      <c r="E698" t="s">
        <v>66</v>
      </c>
      <c r="F698" t="s">
        <v>47</v>
      </c>
      <c r="G698">
        <v>18.38</v>
      </c>
      <c r="H698">
        <v>7.5</v>
      </c>
      <c r="I698">
        <v>5.44</v>
      </c>
      <c r="J698">
        <v>29.593599999999999</v>
      </c>
      <c r="K698" t="str">
        <f>IFERROR(INDEX(Rosters!$C$2:$C$155,MATCH($B698,Rosters!$B$2:$B$155,0)),"NA")</f>
        <v>aj</v>
      </c>
      <c r="L698" t="str">
        <f t="shared" si="30"/>
        <v>aj1RB</v>
      </c>
      <c r="M698">
        <f>COUNTIF(L$1:L698,L698)</f>
        <v>3</v>
      </c>
      <c r="N698" t="str">
        <f t="shared" si="31"/>
        <v>aj1RB-3</v>
      </c>
      <c r="O698">
        <f>COUNTIFS(F$1:F698,F698,A$1:A698,A698)</f>
        <v>11</v>
      </c>
      <c r="P698" t="str">
        <f t="shared" si="32"/>
        <v>Joe Mixon1</v>
      </c>
    </row>
    <row r="699" spans="1:16" x14ac:dyDescent="0.25">
      <c r="A699">
        <v>10</v>
      </c>
      <c r="B699" t="s">
        <v>110</v>
      </c>
      <c r="C699" t="s">
        <v>6190</v>
      </c>
      <c r="D699">
        <v>12.94</v>
      </c>
      <c r="E699" t="s">
        <v>31</v>
      </c>
      <c r="F699" t="s">
        <v>87</v>
      </c>
      <c r="G699">
        <v>19.36</v>
      </c>
      <c r="H699">
        <v>6.52</v>
      </c>
      <c r="I699">
        <v>6.42</v>
      </c>
      <c r="J699">
        <v>41.2164</v>
      </c>
      <c r="K699" t="str">
        <f>IFERROR(INDEX(Rosters!$C$2:$C$155,MATCH($B699,Rosters!$B$2:$B$155,0)),"NA")</f>
        <v>cory</v>
      </c>
      <c r="L699" t="str">
        <f t="shared" si="30"/>
        <v>cory10WR</v>
      </c>
      <c r="M699">
        <f>COUNTIF(L$1:L699,L699)</f>
        <v>2</v>
      </c>
      <c r="N699" t="str">
        <f t="shared" si="31"/>
        <v>cory10WR-2</v>
      </c>
      <c r="O699">
        <f>COUNTIFS(F$1:F699,F699,A$1:A699,A699)</f>
        <v>5</v>
      </c>
      <c r="P699" t="str">
        <f t="shared" si="32"/>
        <v>Michael Thomas10</v>
      </c>
    </row>
    <row r="700" spans="1:16" x14ac:dyDescent="0.25">
      <c r="A700">
        <v>6</v>
      </c>
      <c r="B700" t="s">
        <v>112</v>
      </c>
      <c r="C700" t="s">
        <v>6191</v>
      </c>
      <c r="D700">
        <v>12.93</v>
      </c>
      <c r="E700" t="s">
        <v>60</v>
      </c>
      <c r="F700" t="s">
        <v>47</v>
      </c>
      <c r="G700">
        <v>19.899999999999999</v>
      </c>
      <c r="H700">
        <v>5.96</v>
      </c>
      <c r="I700">
        <v>6.97</v>
      </c>
      <c r="J700">
        <v>48.5809</v>
      </c>
      <c r="K700" t="str">
        <f>IFERROR(INDEX(Rosters!$C$2:$C$155,MATCH($B700,Rosters!$B$2:$B$155,0)),"NA")</f>
        <v>devon</v>
      </c>
      <c r="L700" t="str">
        <f t="shared" si="30"/>
        <v>devon6RB</v>
      </c>
      <c r="M700">
        <f>COUNTIF(L$1:L700,L700)</f>
        <v>3</v>
      </c>
      <c r="N700" t="str">
        <f t="shared" si="31"/>
        <v>devon6RB-3</v>
      </c>
      <c r="O700">
        <f>COUNTIFS(F$1:F700,F700,A$1:A700,A700)</f>
        <v>9</v>
      </c>
      <c r="P700" t="str">
        <f t="shared" si="32"/>
        <v>Christian McCaffrey6</v>
      </c>
    </row>
    <row r="701" spans="1:16" x14ac:dyDescent="0.25">
      <c r="A701">
        <v>5</v>
      </c>
      <c r="B701" t="s">
        <v>1537</v>
      </c>
      <c r="C701" t="s">
        <v>6192</v>
      </c>
      <c r="D701">
        <v>12.92</v>
      </c>
      <c r="E701" t="s">
        <v>58</v>
      </c>
      <c r="F701" t="s">
        <v>15</v>
      </c>
      <c r="G701">
        <v>19</v>
      </c>
      <c r="H701">
        <v>6.84</v>
      </c>
      <c r="I701">
        <v>6.08</v>
      </c>
      <c r="J701">
        <v>36.9664</v>
      </c>
      <c r="K701" t="str">
        <f>IFERROR(INDEX(Rosters!$C$2:$C$155,MATCH($B701,Rosters!$B$2:$B$155,0)),"NA")</f>
        <v>NA</v>
      </c>
      <c r="L701" t="str">
        <f t="shared" si="30"/>
        <v>NA5QB</v>
      </c>
      <c r="M701">
        <f>COUNTIF(L$1:L701,L701)</f>
        <v>13</v>
      </c>
      <c r="N701" t="str">
        <f t="shared" si="31"/>
        <v>NA5QB-13</v>
      </c>
      <c r="O701">
        <f>COUNTIFS(F$1:F701,F701,A$1:A701,A701)</f>
        <v>30</v>
      </c>
      <c r="P701" t="str">
        <f t="shared" si="32"/>
        <v>C.J. Beathard5</v>
      </c>
    </row>
    <row r="702" spans="1:16" x14ac:dyDescent="0.25">
      <c r="A702">
        <v>13</v>
      </c>
      <c r="B702" t="s">
        <v>99</v>
      </c>
      <c r="C702" t="s">
        <v>6193</v>
      </c>
      <c r="D702">
        <v>12.92</v>
      </c>
      <c r="E702" t="s">
        <v>52</v>
      </c>
      <c r="F702" t="s">
        <v>47</v>
      </c>
      <c r="G702">
        <v>20.61</v>
      </c>
      <c r="H702">
        <v>5.23</v>
      </c>
      <c r="I702">
        <v>7.69</v>
      </c>
      <c r="J702">
        <v>59.136099999999999</v>
      </c>
      <c r="K702" t="str">
        <f>IFERROR(INDEX(Rosters!$C$2:$C$155,MATCH($B702,Rosters!$B$2:$B$155,0)),"NA")</f>
        <v>comp</v>
      </c>
      <c r="L702" t="str">
        <f t="shared" si="30"/>
        <v>comp13RB</v>
      </c>
      <c r="M702">
        <f>COUNTIF(L$1:L702,L702)</f>
        <v>1</v>
      </c>
      <c r="N702" t="str">
        <f t="shared" si="31"/>
        <v>comp13RB-1</v>
      </c>
      <c r="O702">
        <f>COUNTIFS(F$1:F702,F702,A$1:A702,A702)</f>
        <v>10</v>
      </c>
      <c r="P702" t="str">
        <f t="shared" si="32"/>
        <v>Lamar Miller13</v>
      </c>
    </row>
    <row r="703" spans="1:16" x14ac:dyDescent="0.25">
      <c r="A703">
        <v>13</v>
      </c>
      <c r="B703" t="s">
        <v>111</v>
      </c>
      <c r="C703" t="s">
        <v>6194</v>
      </c>
      <c r="D703">
        <v>12.91</v>
      </c>
      <c r="E703" t="s">
        <v>66</v>
      </c>
      <c r="F703" t="s">
        <v>47</v>
      </c>
      <c r="G703">
        <v>20.260000000000002</v>
      </c>
      <c r="H703">
        <v>5.56</v>
      </c>
      <c r="I703">
        <v>7.35</v>
      </c>
      <c r="J703">
        <v>54.022500000000001</v>
      </c>
      <c r="K703" t="str">
        <f>IFERROR(INDEX(Rosters!$C$2:$C$155,MATCH($B703,Rosters!$B$2:$B$155,0)),"NA")</f>
        <v>seth</v>
      </c>
      <c r="L703" t="str">
        <f t="shared" si="30"/>
        <v>seth13RB</v>
      </c>
      <c r="M703">
        <f>COUNTIF(L$1:L703,L703)</f>
        <v>1</v>
      </c>
      <c r="N703" t="str">
        <f t="shared" si="31"/>
        <v>seth13RB-1</v>
      </c>
      <c r="O703">
        <f>COUNTIFS(F$1:F703,F703,A$1:A703,A703)</f>
        <v>11</v>
      </c>
      <c r="P703" t="str">
        <f t="shared" si="32"/>
        <v>Leonard Fournette13</v>
      </c>
    </row>
    <row r="704" spans="1:16" x14ac:dyDescent="0.25">
      <c r="A704">
        <v>12</v>
      </c>
      <c r="B704" t="s">
        <v>1506</v>
      </c>
      <c r="C704" t="s">
        <v>6195</v>
      </c>
      <c r="D704">
        <v>12.9</v>
      </c>
      <c r="E704" t="s">
        <v>37</v>
      </c>
      <c r="F704" t="s">
        <v>15</v>
      </c>
      <c r="G704">
        <v>18.68</v>
      </c>
      <c r="H704">
        <v>7.12</v>
      </c>
      <c r="I704">
        <v>5.78</v>
      </c>
      <c r="J704">
        <v>33.4084</v>
      </c>
      <c r="K704" t="str">
        <f>IFERROR(INDEX(Rosters!$C$2:$C$155,MATCH($B704,Rosters!$B$2:$B$155,0)),"NA")</f>
        <v>NA</v>
      </c>
      <c r="L704" t="str">
        <f t="shared" si="30"/>
        <v>NA12QB</v>
      </c>
      <c r="M704">
        <f>COUNTIF(L$1:L704,L704)</f>
        <v>14</v>
      </c>
      <c r="N704" t="str">
        <f t="shared" si="31"/>
        <v>NA12QB-14</v>
      </c>
      <c r="O704">
        <f>COUNTIFS(F$1:F704,F704,A$1:A704,A704)</f>
        <v>29</v>
      </c>
      <c r="P704" t="str">
        <f t="shared" si="32"/>
        <v>Josh Rosen12</v>
      </c>
    </row>
    <row r="705" spans="1:16" x14ac:dyDescent="0.25">
      <c r="A705">
        <v>15</v>
      </c>
      <c r="B705" t="s">
        <v>154</v>
      </c>
      <c r="C705" t="s">
        <v>6196</v>
      </c>
      <c r="D705">
        <v>12.9</v>
      </c>
      <c r="E705" t="s">
        <v>24</v>
      </c>
      <c r="F705" t="s">
        <v>87</v>
      </c>
      <c r="G705">
        <v>19.93</v>
      </c>
      <c r="H705">
        <v>5.87</v>
      </c>
      <c r="I705">
        <v>7.03</v>
      </c>
      <c r="J705">
        <v>49.420900000000003</v>
      </c>
      <c r="K705" t="str">
        <f>IFERROR(INDEX(Rosters!$C$2:$C$155,MATCH($B705,Rosters!$B$2:$B$155,0)),"NA")</f>
        <v>chad</v>
      </c>
      <c r="L705" t="str">
        <f t="shared" si="30"/>
        <v>chad15WR</v>
      </c>
      <c r="M705">
        <f>COUNTIF(L$1:L705,L705)</f>
        <v>1</v>
      </c>
      <c r="N705" t="str">
        <f t="shared" si="31"/>
        <v>chad15WR-1</v>
      </c>
      <c r="O705">
        <f>COUNTIFS(F$1:F705,F705,A$1:A705,A705)</f>
        <v>5</v>
      </c>
      <c r="P705" t="str">
        <f t="shared" si="32"/>
        <v>Keenan Allen15</v>
      </c>
    </row>
    <row r="706" spans="1:16" x14ac:dyDescent="0.25">
      <c r="A706">
        <v>7</v>
      </c>
      <c r="B706" t="s">
        <v>191</v>
      </c>
      <c r="C706" t="s">
        <v>6197</v>
      </c>
      <c r="D706">
        <v>12.89</v>
      </c>
      <c r="E706" t="s">
        <v>73</v>
      </c>
      <c r="F706" t="s">
        <v>87</v>
      </c>
      <c r="G706">
        <v>19.670000000000002</v>
      </c>
      <c r="H706">
        <v>6.11</v>
      </c>
      <c r="I706">
        <v>6.78</v>
      </c>
      <c r="J706">
        <v>45.968400000000003</v>
      </c>
      <c r="K706" t="str">
        <f>IFERROR(INDEX(Rosters!$C$2:$C$155,MATCH($B706,Rosters!$B$2:$B$155,0)),"NA")</f>
        <v>seth</v>
      </c>
      <c r="L706" t="str">
        <f t="shared" si="30"/>
        <v>seth7WR</v>
      </c>
      <c r="M706">
        <f>COUNTIF(L$1:L706,L706)</f>
        <v>2</v>
      </c>
      <c r="N706" t="str">
        <f t="shared" si="31"/>
        <v>seth7WR-2</v>
      </c>
      <c r="O706">
        <f>COUNTIFS(F$1:F706,F706,A$1:A706,A706)</f>
        <v>6</v>
      </c>
      <c r="P706" t="str">
        <f t="shared" si="32"/>
        <v>Adam Thielen7</v>
      </c>
    </row>
    <row r="707" spans="1:16" x14ac:dyDescent="0.25">
      <c r="A707">
        <v>12</v>
      </c>
      <c r="B707" t="s">
        <v>191</v>
      </c>
      <c r="C707" t="s">
        <v>6198</v>
      </c>
      <c r="D707">
        <v>12.88</v>
      </c>
      <c r="E707" t="s">
        <v>41</v>
      </c>
      <c r="F707" t="s">
        <v>87</v>
      </c>
      <c r="G707">
        <v>18.2</v>
      </c>
      <c r="H707">
        <v>7.56</v>
      </c>
      <c r="I707">
        <v>5.32</v>
      </c>
      <c r="J707">
        <v>28.302399999999999</v>
      </c>
      <c r="K707" t="str">
        <f>IFERROR(INDEX(Rosters!$C$2:$C$155,MATCH($B707,Rosters!$B$2:$B$155,0)),"NA")</f>
        <v>seth</v>
      </c>
      <c r="L707" t="str">
        <f t="shared" ref="L707:L770" si="33">K707&amp;A707&amp;F707</f>
        <v>seth12WR</v>
      </c>
      <c r="M707">
        <f>COUNTIF(L$1:L707,L707)</f>
        <v>1</v>
      </c>
      <c r="N707" t="str">
        <f t="shared" ref="N707:N770" si="34">L707&amp;"-"&amp;M707</f>
        <v>seth12WR-1</v>
      </c>
      <c r="O707">
        <f>COUNTIFS(F$1:F707,F707,A$1:A707,A707)</f>
        <v>5</v>
      </c>
      <c r="P707" t="str">
        <f t="shared" ref="P707:P770" si="35">B707&amp;A707</f>
        <v>Adam Thielen12</v>
      </c>
    </row>
    <row r="708" spans="1:16" x14ac:dyDescent="0.25">
      <c r="A708">
        <v>16</v>
      </c>
      <c r="B708" t="s">
        <v>127</v>
      </c>
      <c r="C708" t="s">
        <v>6199</v>
      </c>
      <c r="D708">
        <v>12.88</v>
      </c>
      <c r="E708" t="s">
        <v>34</v>
      </c>
      <c r="F708" t="s">
        <v>47</v>
      </c>
      <c r="G708">
        <v>19.91</v>
      </c>
      <c r="H708">
        <v>5.85</v>
      </c>
      <c r="I708">
        <v>7.03</v>
      </c>
      <c r="J708">
        <v>49.420900000000003</v>
      </c>
      <c r="K708" t="str">
        <f>IFERROR(INDEX(Rosters!$C$2:$C$155,MATCH($B708,Rosters!$B$2:$B$155,0)),"NA")</f>
        <v>aj</v>
      </c>
      <c r="L708" t="str">
        <f t="shared" si="33"/>
        <v>aj16RB</v>
      </c>
      <c r="M708">
        <f>COUNTIF(L$1:L708,L708)</f>
        <v>1</v>
      </c>
      <c r="N708" t="str">
        <f t="shared" si="34"/>
        <v>aj16RB-1</v>
      </c>
      <c r="O708">
        <f>COUNTIFS(F$1:F708,F708,A$1:A708,A708)</f>
        <v>11</v>
      </c>
      <c r="P708" t="str">
        <f t="shared" si="35"/>
        <v>Dalvin Cook16</v>
      </c>
    </row>
    <row r="709" spans="1:16" x14ac:dyDescent="0.25">
      <c r="A709">
        <v>11</v>
      </c>
      <c r="B709" t="s">
        <v>107</v>
      </c>
      <c r="C709" t="s">
        <v>6200</v>
      </c>
      <c r="D709">
        <v>12.88</v>
      </c>
      <c r="E709" t="s">
        <v>38</v>
      </c>
      <c r="F709" t="s">
        <v>87</v>
      </c>
      <c r="G709">
        <v>20.81</v>
      </c>
      <c r="H709">
        <v>4.95</v>
      </c>
      <c r="I709">
        <v>7.93</v>
      </c>
      <c r="J709">
        <v>62.884900000000002</v>
      </c>
      <c r="K709" t="str">
        <f>IFERROR(INDEX(Rosters!$C$2:$C$155,MATCH($B709,Rosters!$B$2:$B$155,0)),"NA")</f>
        <v>comp</v>
      </c>
      <c r="L709" t="str">
        <f t="shared" si="33"/>
        <v>comp11WR</v>
      </c>
      <c r="M709">
        <f>COUNTIF(L$1:L709,L709)</f>
        <v>1</v>
      </c>
      <c r="N709" t="str">
        <f t="shared" si="34"/>
        <v>comp11WR-1</v>
      </c>
      <c r="O709">
        <f>COUNTIFS(F$1:F709,F709,A$1:A709,A709)</f>
        <v>6</v>
      </c>
      <c r="P709" t="str">
        <f t="shared" si="35"/>
        <v>T.Y. Hilton11</v>
      </c>
    </row>
    <row r="710" spans="1:16" x14ac:dyDescent="0.25">
      <c r="A710">
        <v>12</v>
      </c>
      <c r="B710" t="s">
        <v>96</v>
      </c>
      <c r="C710" t="s">
        <v>6201</v>
      </c>
      <c r="D710">
        <v>12.86</v>
      </c>
      <c r="E710" t="s">
        <v>42</v>
      </c>
      <c r="F710" t="s">
        <v>87</v>
      </c>
      <c r="G710">
        <v>19.86</v>
      </c>
      <c r="H710">
        <v>5.86</v>
      </c>
      <c r="I710">
        <v>7</v>
      </c>
      <c r="J710">
        <v>49</v>
      </c>
      <c r="K710" t="str">
        <f>IFERROR(INDEX(Rosters!$C$2:$C$155,MATCH($B710,Rosters!$B$2:$B$155,0)),"NA")</f>
        <v>comp</v>
      </c>
      <c r="L710" t="str">
        <f t="shared" si="33"/>
        <v>comp12WR</v>
      </c>
      <c r="M710">
        <f>COUNTIF(L$1:L710,L710)</f>
        <v>1</v>
      </c>
      <c r="N710" t="str">
        <f t="shared" si="34"/>
        <v>comp12WR-1</v>
      </c>
      <c r="O710">
        <f>COUNTIFS(F$1:F710,F710,A$1:A710,A710)</f>
        <v>6</v>
      </c>
      <c r="P710" t="str">
        <f t="shared" si="35"/>
        <v>Antonio Brown12</v>
      </c>
    </row>
    <row r="711" spans="1:16" x14ac:dyDescent="0.25">
      <c r="A711">
        <v>3</v>
      </c>
      <c r="B711" t="s">
        <v>1213</v>
      </c>
      <c r="C711" t="s">
        <v>3641</v>
      </c>
      <c r="D711">
        <v>12.85</v>
      </c>
      <c r="E711" t="s">
        <v>77</v>
      </c>
      <c r="F711" t="s">
        <v>15</v>
      </c>
      <c r="G711">
        <v>20.260000000000002</v>
      </c>
      <c r="H711">
        <v>5.44</v>
      </c>
      <c r="I711">
        <v>7.41</v>
      </c>
      <c r="J711">
        <v>54.908099999999997</v>
      </c>
      <c r="K711" t="str">
        <f>IFERROR(INDEX(Rosters!$C$2:$C$155,MATCH($B711,Rosters!$B$2:$B$155,0)),"NA")</f>
        <v>NA</v>
      </c>
      <c r="L711" t="str">
        <f t="shared" si="33"/>
        <v>NA3QB</v>
      </c>
      <c r="M711">
        <f>COUNTIF(L$1:L711,L711)</f>
        <v>11</v>
      </c>
      <c r="N711" t="str">
        <f t="shared" si="34"/>
        <v>NA3QB-11</v>
      </c>
      <c r="O711">
        <f>COUNTIFS(F$1:F711,F711,A$1:A711,A711)</f>
        <v>27</v>
      </c>
      <c r="P711" t="str">
        <f t="shared" si="35"/>
        <v>Case Keenum3</v>
      </c>
    </row>
    <row r="712" spans="1:16" x14ac:dyDescent="0.25">
      <c r="A712">
        <v>12</v>
      </c>
      <c r="B712" t="s">
        <v>100</v>
      </c>
      <c r="C712" t="s">
        <v>6202</v>
      </c>
      <c r="D712">
        <v>12.85</v>
      </c>
      <c r="E712" t="s">
        <v>30</v>
      </c>
      <c r="F712" t="s">
        <v>87</v>
      </c>
      <c r="G712">
        <v>19.62</v>
      </c>
      <c r="H712">
        <v>6.08</v>
      </c>
      <c r="I712">
        <v>6.77</v>
      </c>
      <c r="J712">
        <v>45.832900000000002</v>
      </c>
      <c r="K712" t="str">
        <f>IFERROR(INDEX(Rosters!$C$2:$C$155,MATCH($B712,Rosters!$B$2:$B$155,0)),"NA")</f>
        <v>aj</v>
      </c>
      <c r="L712" t="str">
        <f t="shared" si="33"/>
        <v>aj12WR</v>
      </c>
      <c r="M712">
        <f>COUNTIF(L$1:L712,L712)</f>
        <v>2</v>
      </c>
      <c r="N712" t="str">
        <f t="shared" si="34"/>
        <v>aj12WR-2</v>
      </c>
      <c r="O712">
        <f>COUNTIFS(F$1:F712,F712,A$1:A712,A712)</f>
        <v>7</v>
      </c>
      <c r="P712" t="str">
        <f t="shared" si="35"/>
        <v>Mike Evans12</v>
      </c>
    </row>
    <row r="713" spans="1:16" x14ac:dyDescent="0.25">
      <c r="A713">
        <v>15</v>
      </c>
      <c r="B713" t="s">
        <v>112</v>
      </c>
      <c r="C713" t="s">
        <v>6203</v>
      </c>
      <c r="D713">
        <v>12.84</v>
      </c>
      <c r="E713" t="s">
        <v>14</v>
      </c>
      <c r="F713" t="s">
        <v>47</v>
      </c>
      <c r="G713">
        <v>18.829999999999998</v>
      </c>
      <c r="H713">
        <v>6.85</v>
      </c>
      <c r="I713">
        <v>5.99</v>
      </c>
      <c r="J713">
        <v>35.880099999999999</v>
      </c>
      <c r="K713" t="str">
        <f>IFERROR(INDEX(Rosters!$C$2:$C$155,MATCH($B713,Rosters!$B$2:$B$155,0)),"NA")</f>
        <v>devon</v>
      </c>
      <c r="L713" t="str">
        <f t="shared" si="33"/>
        <v>devon15RB</v>
      </c>
      <c r="M713">
        <f>COUNTIF(L$1:L713,L713)</f>
        <v>1</v>
      </c>
      <c r="N713" t="str">
        <f t="shared" si="34"/>
        <v>devon15RB-1</v>
      </c>
      <c r="O713">
        <f>COUNTIFS(F$1:F713,F713,A$1:A713,A713)</f>
        <v>11</v>
      </c>
      <c r="P713" t="str">
        <f t="shared" si="35"/>
        <v>Christian McCaffrey15</v>
      </c>
    </row>
    <row r="714" spans="1:16" x14ac:dyDescent="0.25">
      <c r="A714">
        <v>17</v>
      </c>
      <c r="B714" t="s">
        <v>154</v>
      </c>
      <c r="C714" t="s">
        <v>6204</v>
      </c>
      <c r="D714">
        <v>12.84</v>
      </c>
      <c r="E714" t="s">
        <v>42</v>
      </c>
      <c r="F714" t="s">
        <v>87</v>
      </c>
      <c r="G714">
        <v>20.2</v>
      </c>
      <c r="H714">
        <v>5.48</v>
      </c>
      <c r="I714">
        <v>7.36</v>
      </c>
      <c r="J714">
        <v>54.169600000000003</v>
      </c>
      <c r="K714" t="str">
        <f>IFERROR(INDEX(Rosters!$C$2:$C$155,MATCH($B714,Rosters!$B$2:$B$155,0)),"NA")</f>
        <v>chad</v>
      </c>
      <c r="L714" t="str">
        <f t="shared" si="33"/>
        <v>chad17WR</v>
      </c>
      <c r="M714">
        <f>COUNTIF(L$1:L714,L714)</f>
        <v>1</v>
      </c>
      <c r="N714" t="str">
        <f t="shared" si="34"/>
        <v>chad17WR-1</v>
      </c>
      <c r="O714">
        <f>COUNTIFS(F$1:F714,F714,A$1:A714,A714)</f>
        <v>8</v>
      </c>
      <c r="P714" t="str">
        <f t="shared" si="35"/>
        <v>Keenan Allen17</v>
      </c>
    </row>
    <row r="715" spans="1:16" x14ac:dyDescent="0.25">
      <c r="A715">
        <v>9</v>
      </c>
      <c r="B715" t="s">
        <v>154</v>
      </c>
      <c r="C715" t="s">
        <v>6205</v>
      </c>
      <c r="D715">
        <v>12.83</v>
      </c>
      <c r="E715" t="s">
        <v>28</v>
      </c>
      <c r="F715" t="s">
        <v>87</v>
      </c>
      <c r="G715">
        <v>19.97</v>
      </c>
      <c r="H715">
        <v>5.69</v>
      </c>
      <c r="I715">
        <v>7.14</v>
      </c>
      <c r="J715">
        <v>50.979599999999998</v>
      </c>
      <c r="K715" t="str">
        <f>IFERROR(INDEX(Rosters!$C$2:$C$155,MATCH($B715,Rosters!$B$2:$B$155,0)),"NA")</f>
        <v>chad</v>
      </c>
      <c r="L715" t="str">
        <f t="shared" si="33"/>
        <v>chad9WR</v>
      </c>
      <c r="M715">
        <f>COUNTIF(L$1:L715,L715)</f>
        <v>1</v>
      </c>
      <c r="N715" t="str">
        <f t="shared" si="34"/>
        <v>chad9WR-1</v>
      </c>
      <c r="O715">
        <f>COUNTIFS(F$1:F715,F715,A$1:A715,A715)</f>
        <v>4</v>
      </c>
      <c r="P715" t="str">
        <f t="shared" si="35"/>
        <v>Keenan Allen9</v>
      </c>
    </row>
    <row r="716" spans="1:16" x14ac:dyDescent="0.25">
      <c r="A716">
        <v>6</v>
      </c>
      <c r="B716" t="s">
        <v>124</v>
      </c>
      <c r="C716" t="s">
        <v>6206</v>
      </c>
      <c r="D716">
        <v>12.83</v>
      </c>
      <c r="E716" t="s">
        <v>423</v>
      </c>
      <c r="F716" t="s">
        <v>87</v>
      </c>
      <c r="G716">
        <v>21.73</v>
      </c>
      <c r="H716">
        <v>3.93</v>
      </c>
      <c r="I716">
        <v>8.9</v>
      </c>
      <c r="J716">
        <v>79.209999999999994</v>
      </c>
      <c r="K716" t="str">
        <f>IFERROR(INDEX(Rosters!$C$2:$C$155,MATCH($B716,Rosters!$B$2:$B$155,0)),"NA")</f>
        <v>matty</v>
      </c>
      <c r="L716" t="str">
        <f t="shared" si="33"/>
        <v>matty6WR</v>
      </c>
      <c r="M716">
        <f>COUNTIF(L$1:L716,L716)</f>
        <v>1</v>
      </c>
      <c r="N716" t="str">
        <f t="shared" si="34"/>
        <v>matty6WR-1</v>
      </c>
      <c r="O716">
        <f>COUNTIFS(F$1:F716,F716,A$1:A716,A716)</f>
        <v>5</v>
      </c>
      <c r="P716" t="str">
        <f t="shared" si="35"/>
        <v>Tyreek Hill6</v>
      </c>
    </row>
    <row r="717" spans="1:16" x14ac:dyDescent="0.25">
      <c r="A717">
        <v>2</v>
      </c>
      <c r="B717" t="s">
        <v>314</v>
      </c>
      <c r="C717" t="s">
        <v>1299</v>
      </c>
      <c r="D717">
        <v>12.82</v>
      </c>
      <c r="E717" t="s">
        <v>50</v>
      </c>
      <c r="F717" t="s">
        <v>15</v>
      </c>
      <c r="G717">
        <v>19.399999999999999</v>
      </c>
      <c r="H717">
        <v>6.24</v>
      </c>
      <c r="I717">
        <v>6.58</v>
      </c>
      <c r="J717">
        <v>43.296399999999998</v>
      </c>
      <c r="K717" t="str">
        <f>IFERROR(INDEX(Rosters!$C$2:$C$155,MATCH($B717,Rosters!$B$2:$B$155,0)),"NA")</f>
        <v>NA</v>
      </c>
      <c r="L717" t="str">
        <f t="shared" si="33"/>
        <v>NA2QB</v>
      </c>
      <c r="M717">
        <f>COUNTIF(L$1:L717,L717)</f>
        <v>13</v>
      </c>
      <c r="N717" t="str">
        <f t="shared" si="34"/>
        <v>NA2QB-13</v>
      </c>
      <c r="O717">
        <f>COUNTIFS(F$1:F717,F717,A$1:A717,A717)</f>
        <v>27</v>
      </c>
      <c r="P717" t="str">
        <f t="shared" si="35"/>
        <v>Ryan Fitzpatrick2</v>
      </c>
    </row>
    <row r="718" spans="1:16" x14ac:dyDescent="0.25">
      <c r="A718">
        <v>2</v>
      </c>
      <c r="B718" t="s">
        <v>145</v>
      </c>
      <c r="C718" t="s">
        <v>3555</v>
      </c>
      <c r="D718">
        <v>12.82</v>
      </c>
      <c r="E718" t="s">
        <v>74</v>
      </c>
      <c r="F718" t="s">
        <v>47</v>
      </c>
      <c r="G718">
        <v>21.03</v>
      </c>
      <c r="H718">
        <v>4.6100000000000003</v>
      </c>
      <c r="I718">
        <v>8.2100000000000009</v>
      </c>
      <c r="J718">
        <v>67.4041</v>
      </c>
      <c r="K718" t="str">
        <f>IFERROR(INDEX(Rosters!$C$2:$C$155,MATCH($B718,Rosters!$B$2:$B$155,0)),"NA")</f>
        <v>lucas</v>
      </c>
      <c r="L718" t="str">
        <f t="shared" si="33"/>
        <v>lucas2RB</v>
      </c>
      <c r="M718">
        <f>COUNTIF(L$1:L718,L718)</f>
        <v>2</v>
      </c>
      <c r="N718" t="str">
        <f t="shared" si="34"/>
        <v>lucas2RB-2</v>
      </c>
      <c r="O718">
        <f>COUNTIFS(F$1:F718,F718,A$1:A718,A718)</f>
        <v>8</v>
      </c>
      <c r="P718" t="str">
        <f t="shared" si="35"/>
        <v>Tevin Coleman2</v>
      </c>
    </row>
    <row r="719" spans="1:16" x14ac:dyDescent="0.25">
      <c r="A719">
        <v>14</v>
      </c>
      <c r="B719" t="s">
        <v>1537</v>
      </c>
      <c r="C719" t="s">
        <v>6207</v>
      </c>
      <c r="D719">
        <v>12.81</v>
      </c>
      <c r="E719" t="s">
        <v>42</v>
      </c>
      <c r="F719" t="s">
        <v>15</v>
      </c>
      <c r="G719">
        <v>19.48</v>
      </c>
      <c r="H719">
        <v>6.14</v>
      </c>
      <c r="I719">
        <v>6.67</v>
      </c>
      <c r="J719">
        <v>44.488900000000001</v>
      </c>
      <c r="K719" t="str">
        <f>IFERROR(INDEX(Rosters!$C$2:$C$155,MATCH($B719,Rosters!$B$2:$B$155,0)),"NA")</f>
        <v>NA</v>
      </c>
      <c r="L719" t="str">
        <f t="shared" si="33"/>
        <v>NA14QB</v>
      </c>
      <c r="M719">
        <f>COUNTIF(L$1:L719,L719)</f>
        <v>15</v>
      </c>
      <c r="N719" t="str">
        <f t="shared" si="34"/>
        <v>NA14QB-15</v>
      </c>
      <c r="O719">
        <f>COUNTIFS(F$1:F719,F719,A$1:A719,A719)</f>
        <v>32</v>
      </c>
      <c r="P719" t="str">
        <f t="shared" si="35"/>
        <v>C.J. Beathard14</v>
      </c>
    </row>
    <row r="720" spans="1:16" x14ac:dyDescent="0.25">
      <c r="A720">
        <v>2</v>
      </c>
      <c r="B720" t="s">
        <v>115</v>
      </c>
      <c r="C720" t="s">
        <v>3556</v>
      </c>
      <c r="D720">
        <v>12.81</v>
      </c>
      <c r="E720" t="s">
        <v>51</v>
      </c>
      <c r="F720" t="s">
        <v>47</v>
      </c>
      <c r="G720">
        <v>21.54</v>
      </c>
      <c r="H720">
        <v>4.08</v>
      </c>
      <c r="I720">
        <v>8.73</v>
      </c>
      <c r="J720">
        <v>76.212900000000005</v>
      </c>
      <c r="K720" t="str">
        <f>IFERROR(INDEX(Rosters!$C$2:$C$155,MATCH($B720,Rosters!$B$2:$B$155,0)),"NA")</f>
        <v>scott</v>
      </c>
      <c r="L720" t="str">
        <f t="shared" si="33"/>
        <v>scott2RB</v>
      </c>
      <c r="M720">
        <f>COUNTIF(L$1:L720,L720)</f>
        <v>2</v>
      </c>
      <c r="N720" t="str">
        <f t="shared" si="34"/>
        <v>scott2RB-2</v>
      </c>
      <c r="O720">
        <f>COUNTIFS(F$1:F720,F720,A$1:A720,A720)</f>
        <v>9</v>
      </c>
      <c r="P720" t="str">
        <f t="shared" si="35"/>
        <v>Kareem Hunt2</v>
      </c>
    </row>
    <row r="721" spans="1:16" x14ac:dyDescent="0.25">
      <c r="A721">
        <v>17</v>
      </c>
      <c r="B721" t="s">
        <v>132</v>
      </c>
      <c r="C721" t="s">
        <v>6208</v>
      </c>
      <c r="D721">
        <v>12.8</v>
      </c>
      <c r="E721" t="s">
        <v>24</v>
      </c>
      <c r="F721" t="s">
        <v>47</v>
      </c>
      <c r="G721">
        <v>20.18</v>
      </c>
      <c r="H721">
        <v>5.42</v>
      </c>
      <c r="I721">
        <v>7.38</v>
      </c>
      <c r="J721">
        <v>54.464399999999998</v>
      </c>
      <c r="K721" t="str">
        <f>IFERROR(INDEX(Rosters!$C$2:$C$155,MATCH($B721,Rosters!$B$2:$B$155,0)),"NA")</f>
        <v>scott</v>
      </c>
      <c r="L721" t="str">
        <f t="shared" si="33"/>
        <v>scott17RB</v>
      </c>
      <c r="M721">
        <f>COUNTIF(L$1:L721,L721)</f>
        <v>3</v>
      </c>
      <c r="N721" t="str">
        <f t="shared" si="34"/>
        <v>scott17RB-3</v>
      </c>
      <c r="O721">
        <f>COUNTIFS(F$1:F721,F721,A$1:A721,A721)</f>
        <v>7</v>
      </c>
      <c r="P721" t="str">
        <f t="shared" si="35"/>
        <v>Marshawn Lynch17</v>
      </c>
    </row>
    <row r="722" spans="1:16" x14ac:dyDescent="0.25">
      <c r="A722">
        <v>6</v>
      </c>
      <c r="B722" t="s">
        <v>97</v>
      </c>
      <c r="C722" t="s">
        <v>6209</v>
      </c>
      <c r="D722">
        <v>12.79</v>
      </c>
      <c r="E722" t="s">
        <v>19</v>
      </c>
      <c r="F722" t="s">
        <v>47</v>
      </c>
      <c r="G722">
        <v>20.010000000000002</v>
      </c>
      <c r="H722">
        <v>5.57</v>
      </c>
      <c r="I722">
        <v>7.22</v>
      </c>
      <c r="J722">
        <v>52.128399999999999</v>
      </c>
      <c r="K722" t="str">
        <f>IFERROR(INDEX(Rosters!$C$2:$C$155,MATCH($B722,Rosters!$B$2:$B$155,0)),"NA")</f>
        <v>chad</v>
      </c>
      <c r="L722" t="str">
        <f t="shared" si="33"/>
        <v>chad6RB</v>
      </c>
      <c r="M722">
        <f>COUNTIF(L$1:L722,L722)</f>
        <v>2</v>
      </c>
      <c r="N722" t="str">
        <f t="shared" si="34"/>
        <v>chad6RB-2</v>
      </c>
      <c r="O722">
        <f>COUNTIFS(F$1:F722,F722,A$1:A722,A722)</f>
        <v>10</v>
      </c>
      <c r="P722" t="str">
        <f t="shared" si="35"/>
        <v>Jordan Howard6</v>
      </c>
    </row>
    <row r="723" spans="1:16" x14ac:dyDescent="0.25">
      <c r="A723">
        <v>1</v>
      </c>
      <c r="B723" t="s">
        <v>68</v>
      </c>
      <c r="C723" t="s">
        <v>3185</v>
      </c>
      <c r="D723">
        <v>12.79</v>
      </c>
      <c r="E723" t="s">
        <v>51</v>
      </c>
      <c r="F723" t="s">
        <v>15</v>
      </c>
      <c r="G723">
        <v>18.149999999999999</v>
      </c>
      <c r="H723">
        <v>7.43</v>
      </c>
      <c r="I723">
        <v>5.36</v>
      </c>
      <c r="J723">
        <v>28.729600000000001</v>
      </c>
      <c r="K723" t="str">
        <f>IFERROR(INDEX(Rosters!$C$2:$C$155,MATCH($B723,Rosters!$B$2:$B$155,0)),"NA")</f>
        <v>NA</v>
      </c>
      <c r="L723" t="str">
        <f t="shared" si="33"/>
        <v>NA1QB</v>
      </c>
      <c r="M723">
        <f>COUNTIF(L$1:L723,L723)</f>
        <v>12</v>
      </c>
      <c r="N723" t="str">
        <f t="shared" si="34"/>
        <v>NA1QB-12</v>
      </c>
      <c r="O723">
        <f>COUNTIFS(F$1:F723,F723,A$1:A723,A723)</f>
        <v>27</v>
      </c>
      <c r="P723" t="str">
        <f t="shared" si="35"/>
        <v>Tyrod Taylor1</v>
      </c>
    </row>
    <row r="724" spans="1:16" x14ac:dyDescent="0.25">
      <c r="A724">
        <v>8</v>
      </c>
      <c r="B724" t="s">
        <v>191</v>
      </c>
      <c r="C724" t="s">
        <v>6210</v>
      </c>
      <c r="D724">
        <v>12.78</v>
      </c>
      <c r="E724" t="s">
        <v>14</v>
      </c>
      <c r="F724" t="s">
        <v>87</v>
      </c>
      <c r="G724">
        <v>18.13</v>
      </c>
      <c r="H724">
        <v>7.43</v>
      </c>
      <c r="I724">
        <v>5.35</v>
      </c>
      <c r="J724">
        <v>28.622499999999999</v>
      </c>
      <c r="K724" t="str">
        <f>IFERROR(INDEX(Rosters!$C$2:$C$155,MATCH($B724,Rosters!$B$2:$B$155,0)),"NA")</f>
        <v>seth</v>
      </c>
      <c r="L724" t="str">
        <f t="shared" si="33"/>
        <v>seth8WR</v>
      </c>
      <c r="M724">
        <f>COUNTIF(L$1:L724,L724)</f>
        <v>2</v>
      </c>
      <c r="N724" t="str">
        <f t="shared" si="34"/>
        <v>seth8WR-2</v>
      </c>
      <c r="O724">
        <f>COUNTIFS(F$1:F724,F724,A$1:A724,A724)</f>
        <v>5</v>
      </c>
      <c r="P724" t="str">
        <f t="shared" si="35"/>
        <v>Adam Thielen8</v>
      </c>
    </row>
    <row r="725" spans="1:16" x14ac:dyDescent="0.25">
      <c r="A725">
        <v>8</v>
      </c>
      <c r="B725" t="s">
        <v>108</v>
      </c>
      <c r="C725" t="s">
        <v>6211</v>
      </c>
      <c r="D725">
        <v>12.78</v>
      </c>
      <c r="E725" t="s">
        <v>41</v>
      </c>
      <c r="F725" t="s">
        <v>87</v>
      </c>
      <c r="G725">
        <v>19.68</v>
      </c>
      <c r="H725">
        <v>5.88</v>
      </c>
      <c r="I725">
        <v>6.9</v>
      </c>
      <c r="J725">
        <v>47.61</v>
      </c>
      <c r="K725" t="str">
        <f>IFERROR(INDEX(Rosters!$C$2:$C$155,MATCH($B725,Rosters!$B$2:$B$155,0)),"NA")</f>
        <v>perry</v>
      </c>
      <c r="L725" t="str">
        <f t="shared" si="33"/>
        <v>perry8WR</v>
      </c>
      <c r="M725">
        <f>COUNTIF(L$1:L725,L725)</f>
        <v>1</v>
      </c>
      <c r="N725" t="str">
        <f t="shared" si="34"/>
        <v>perry8WR-1</v>
      </c>
      <c r="O725">
        <f>COUNTIFS(F$1:F725,F725,A$1:A725,A725)</f>
        <v>6</v>
      </c>
      <c r="P725" t="str">
        <f t="shared" si="35"/>
        <v>Brandin Cooks8</v>
      </c>
    </row>
    <row r="726" spans="1:16" x14ac:dyDescent="0.25">
      <c r="A726">
        <v>1</v>
      </c>
      <c r="B726" t="s">
        <v>82</v>
      </c>
      <c r="C726" t="s">
        <v>1300</v>
      </c>
      <c r="D726">
        <v>12.76</v>
      </c>
      <c r="E726" t="s">
        <v>29</v>
      </c>
      <c r="F726" t="s">
        <v>15</v>
      </c>
      <c r="G726">
        <v>19.77</v>
      </c>
      <c r="H726">
        <v>5.75</v>
      </c>
      <c r="I726">
        <v>7.01</v>
      </c>
      <c r="J726">
        <v>49.140099999999997</v>
      </c>
      <c r="K726" t="str">
        <f>IFERROR(INDEX(Rosters!$C$2:$C$155,MATCH($B726,Rosters!$B$2:$B$155,0)),"NA")</f>
        <v>NA</v>
      </c>
      <c r="L726" t="str">
        <f t="shared" si="33"/>
        <v>NA1QB</v>
      </c>
      <c r="M726">
        <f>COUNTIF(L$1:L726,L726)</f>
        <v>13</v>
      </c>
      <c r="N726" t="str">
        <f t="shared" si="34"/>
        <v>NA1QB-13</v>
      </c>
      <c r="O726">
        <f>COUNTIFS(F$1:F726,F726,A$1:A726,A726)</f>
        <v>28</v>
      </c>
      <c r="P726" t="str">
        <f t="shared" si="35"/>
        <v>Joe Flacco1</v>
      </c>
    </row>
    <row r="727" spans="1:16" x14ac:dyDescent="0.25">
      <c r="A727">
        <v>11</v>
      </c>
      <c r="B727" t="s">
        <v>110</v>
      </c>
      <c r="C727" t="s">
        <v>6212</v>
      </c>
      <c r="D727">
        <v>12.76</v>
      </c>
      <c r="E727" t="s">
        <v>50</v>
      </c>
      <c r="F727" t="s">
        <v>87</v>
      </c>
      <c r="G727">
        <v>19.989999999999998</v>
      </c>
      <c r="H727">
        <v>5.53</v>
      </c>
      <c r="I727">
        <v>7.23</v>
      </c>
      <c r="J727">
        <v>52.2729</v>
      </c>
      <c r="K727" t="str">
        <f>IFERROR(INDEX(Rosters!$C$2:$C$155,MATCH($B727,Rosters!$B$2:$B$155,0)),"NA")</f>
        <v>cory</v>
      </c>
      <c r="L727" t="str">
        <f t="shared" si="33"/>
        <v>cory11WR</v>
      </c>
      <c r="M727">
        <f>COUNTIF(L$1:L727,L727)</f>
        <v>2</v>
      </c>
      <c r="N727" t="str">
        <f t="shared" si="34"/>
        <v>cory11WR-2</v>
      </c>
      <c r="O727">
        <f>COUNTIFS(F$1:F727,F727,A$1:A727,A727)</f>
        <v>7</v>
      </c>
      <c r="P727" t="str">
        <f t="shared" si="35"/>
        <v>Michael Thomas11</v>
      </c>
    </row>
    <row r="728" spans="1:16" x14ac:dyDescent="0.25">
      <c r="A728">
        <v>13</v>
      </c>
      <c r="B728" t="s">
        <v>110</v>
      </c>
      <c r="C728" t="s">
        <v>6213</v>
      </c>
      <c r="D728">
        <v>12.76</v>
      </c>
      <c r="E728" t="s">
        <v>22</v>
      </c>
      <c r="F728" t="s">
        <v>87</v>
      </c>
      <c r="G728">
        <v>19.559999999999999</v>
      </c>
      <c r="H728">
        <v>5.96</v>
      </c>
      <c r="I728">
        <v>6.8</v>
      </c>
      <c r="J728">
        <v>46.24</v>
      </c>
      <c r="K728" t="str">
        <f>IFERROR(INDEX(Rosters!$C$2:$C$155,MATCH($B728,Rosters!$B$2:$B$155,0)),"NA")</f>
        <v>cory</v>
      </c>
      <c r="L728" t="str">
        <f t="shared" si="33"/>
        <v>cory13WR</v>
      </c>
      <c r="M728">
        <f>COUNTIF(L$1:L728,L728)</f>
        <v>1</v>
      </c>
      <c r="N728" t="str">
        <f t="shared" si="34"/>
        <v>cory13WR-1</v>
      </c>
      <c r="O728">
        <f>COUNTIFS(F$1:F728,F728,A$1:A728,A728)</f>
        <v>4</v>
      </c>
      <c r="P728" t="str">
        <f t="shared" si="35"/>
        <v>Michael Thomas13</v>
      </c>
    </row>
    <row r="729" spans="1:16" x14ac:dyDescent="0.25">
      <c r="A729">
        <v>9</v>
      </c>
      <c r="B729" t="s">
        <v>191</v>
      </c>
      <c r="C729" t="s">
        <v>6214</v>
      </c>
      <c r="D729">
        <v>12.75</v>
      </c>
      <c r="E729" t="s">
        <v>34</v>
      </c>
      <c r="F729" t="s">
        <v>87</v>
      </c>
      <c r="G729">
        <v>18.12</v>
      </c>
      <c r="H729">
        <v>7.38</v>
      </c>
      <c r="I729">
        <v>5.37</v>
      </c>
      <c r="J729">
        <v>28.8369</v>
      </c>
      <c r="K729" t="str">
        <f>IFERROR(INDEX(Rosters!$C$2:$C$155,MATCH($B729,Rosters!$B$2:$B$155,0)),"NA")</f>
        <v>seth</v>
      </c>
      <c r="L729" t="str">
        <f t="shared" si="33"/>
        <v>seth9WR</v>
      </c>
      <c r="M729">
        <f>COUNTIF(L$1:L729,L729)</f>
        <v>1</v>
      </c>
      <c r="N729" t="str">
        <f t="shared" si="34"/>
        <v>seth9WR-1</v>
      </c>
      <c r="O729">
        <f>COUNTIFS(F$1:F729,F729,A$1:A729,A729)</f>
        <v>5</v>
      </c>
      <c r="P729" t="str">
        <f t="shared" si="35"/>
        <v>Adam Thielen9</v>
      </c>
    </row>
    <row r="730" spans="1:16" x14ac:dyDescent="0.25">
      <c r="A730">
        <v>15</v>
      </c>
      <c r="B730" t="s">
        <v>107</v>
      </c>
      <c r="C730" t="s">
        <v>6215</v>
      </c>
      <c r="D730">
        <v>12.75</v>
      </c>
      <c r="E730" t="s">
        <v>22</v>
      </c>
      <c r="F730" t="s">
        <v>87</v>
      </c>
      <c r="G730">
        <v>19.8</v>
      </c>
      <c r="H730">
        <v>5.7</v>
      </c>
      <c r="I730">
        <v>7.05</v>
      </c>
      <c r="J730">
        <v>49.702500000000001</v>
      </c>
      <c r="K730" t="str">
        <f>IFERROR(INDEX(Rosters!$C$2:$C$155,MATCH($B730,Rosters!$B$2:$B$155,0)),"NA")</f>
        <v>comp</v>
      </c>
      <c r="L730" t="str">
        <f t="shared" si="33"/>
        <v>comp15WR</v>
      </c>
      <c r="M730">
        <f>COUNTIF(L$1:L730,L730)</f>
        <v>2</v>
      </c>
      <c r="N730" t="str">
        <f t="shared" si="34"/>
        <v>comp15WR-2</v>
      </c>
      <c r="O730">
        <f>COUNTIFS(F$1:F730,F730,A$1:A730,A730)</f>
        <v>6</v>
      </c>
      <c r="P730" t="str">
        <f t="shared" si="35"/>
        <v>T.Y. Hilton15</v>
      </c>
    </row>
    <row r="731" spans="1:16" x14ac:dyDescent="0.25">
      <c r="A731">
        <v>15</v>
      </c>
      <c r="B731" t="s">
        <v>191</v>
      </c>
      <c r="C731" t="s">
        <v>6216</v>
      </c>
      <c r="D731">
        <v>12.74</v>
      </c>
      <c r="E731" t="s">
        <v>19</v>
      </c>
      <c r="F731" t="s">
        <v>87</v>
      </c>
      <c r="G731">
        <v>18.05</v>
      </c>
      <c r="H731">
        <v>7.43</v>
      </c>
      <c r="I731">
        <v>5.31</v>
      </c>
      <c r="J731">
        <v>28.196100000000001</v>
      </c>
      <c r="K731" t="str">
        <f>IFERROR(INDEX(Rosters!$C$2:$C$155,MATCH($B731,Rosters!$B$2:$B$155,0)),"NA")</f>
        <v>seth</v>
      </c>
      <c r="L731" t="str">
        <f t="shared" si="33"/>
        <v>seth15WR</v>
      </c>
      <c r="M731">
        <f>COUNTIF(L$1:L731,L731)</f>
        <v>1</v>
      </c>
      <c r="N731" t="str">
        <f t="shared" si="34"/>
        <v>seth15WR-1</v>
      </c>
      <c r="O731">
        <f>COUNTIFS(F$1:F731,F731,A$1:A731,A731)</f>
        <v>7</v>
      </c>
      <c r="P731" t="str">
        <f t="shared" si="35"/>
        <v>Adam Thielen15</v>
      </c>
    </row>
    <row r="732" spans="1:16" x14ac:dyDescent="0.25">
      <c r="A732">
        <v>2</v>
      </c>
      <c r="B732" t="s">
        <v>63</v>
      </c>
      <c r="C732" t="s">
        <v>3313</v>
      </c>
      <c r="D732">
        <v>12.73</v>
      </c>
      <c r="E732" t="s">
        <v>77</v>
      </c>
      <c r="F732" t="s">
        <v>15</v>
      </c>
      <c r="G732">
        <v>20.73</v>
      </c>
      <c r="H732">
        <v>4.7300000000000004</v>
      </c>
      <c r="I732">
        <v>8</v>
      </c>
      <c r="J732">
        <v>64</v>
      </c>
      <c r="K732" t="str">
        <f>IFERROR(INDEX(Rosters!$C$2:$C$155,MATCH($B732,Rosters!$B$2:$B$155,0)),"NA")</f>
        <v>scott</v>
      </c>
      <c r="L732" t="str">
        <f t="shared" si="33"/>
        <v>scott2QB</v>
      </c>
      <c r="M732">
        <f>COUNTIF(L$1:L732,L732)</f>
        <v>2</v>
      </c>
      <c r="N732" t="str">
        <f t="shared" si="34"/>
        <v>scott2QB-2</v>
      </c>
      <c r="O732">
        <f>COUNTIFS(F$1:F732,F732,A$1:A732,A732)</f>
        <v>28</v>
      </c>
      <c r="P732" t="str">
        <f t="shared" si="35"/>
        <v>Andy Dalton2</v>
      </c>
    </row>
    <row r="733" spans="1:16" x14ac:dyDescent="0.25">
      <c r="A733">
        <v>8</v>
      </c>
      <c r="B733" t="s">
        <v>112</v>
      </c>
      <c r="C733" t="s">
        <v>6217</v>
      </c>
      <c r="D733">
        <v>12.72</v>
      </c>
      <c r="E733" t="s">
        <v>77</v>
      </c>
      <c r="F733" t="s">
        <v>47</v>
      </c>
      <c r="G733">
        <v>18.05</v>
      </c>
      <c r="H733">
        <v>7.39</v>
      </c>
      <c r="I733">
        <v>5.33</v>
      </c>
      <c r="J733">
        <v>28.408899999999999</v>
      </c>
      <c r="K733" t="str">
        <f>IFERROR(INDEX(Rosters!$C$2:$C$155,MATCH($B733,Rosters!$B$2:$B$155,0)),"NA")</f>
        <v>devon</v>
      </c>
      <c r="L733" t="str">
        <f t="shared" si="33"/>
        <v>devon8RB</v>
      </c>
      <c r="M733">
        <f>COUNTIF(L$1:L733,L733)</f>
        <v>1</v>
      </c>
      <c r="N733" t="str">
        <f t="shared" si="34"/>
        <v>devon8RB-1</v>
      </c>
      <c r="O733">
        <f>COUNTIFS(F$1:F733,F733,A$1:A733,A733)</f>
        <v>10</v>
      </c>
      <c r="P733" t="str">
        <f t="shared" si="35"/>
        <v>Christian McCaffrey8</v>
      </c>
    </row>
    <row r="734" spans="1:16" x14ac:dyDescent="0.25">
      <c r="A734">
        <v>2</v>
      </c>
      <c r="B734" t="s">
        <v>127</v>
      </c>
      <c r="C734" t="s">
        <v>1797</v>
      </c>
      <c r="D734">
        <v>12.7</v>
      </c>
      <c r="E734" t="s">
        <v>41</v>
      </c>
      <c r="F734" t="s">
        <v>47</v>
      </c>
      <c r="G734">
        <v>20.68</v>
      </c>
      <c r="H734">
        <v>4.72</v>
      </c>
      <c r="I734">
        <v>7.98</v>
      </c>
      <c r="J734">
        <v>63.680399999999999</v>
      </c>
      <c r="K734" t="str">
        <f>IFERROR(INDEX(Rosters!$C$2:$C$155,MATCH($B734,Rosters!$B$2:$B$155,0)),"NA")</f>
        <v>aj</v>
      </c>
      <c r="L734" t="str">
        <f t="shared" si="33"/>
        <v>aj2RB</v>
      </c>
      <c r="M734">
        <f>COUNTIF(L$1:L734,L734)</f>
        <v>2</v>
      </c>
      <c r="N734" t="str">
        <f t="shared" si="34"/>
        <v>aj2RB-2</v>
      </c>
      <c r="O734">
        <f>COUNTIFS(F$1:F734,F734,A$1:A734,A734)</f>
        <v>10</v>
      </c>
      <c r="P734" t="str">
        <f t="shared" si="35"/>
        <v>Dalvin Cook2</v>
      </c>
    </row>
    <row r="735" spans="1:16" x14ac:dyDescent="0.25">
      <c r="A735">
        <v>6</v>
      </c>
      <c r="B735" t="s">
        <v>191</v>
      </c>
      <c r="C735" t="s">
        <v>6218</v>
      </c>
      <c r="D735">
        <v>12.69</v>
      </c>
      <c r="E735" t="s">
        <v>58</v>
      </c>
      <c r="F735" t="s">
        <v>87</v>
      </c>
      <c r="G735">
        <v>19.48</v>
      </c>
      <c r="H735">
        <v>5.9</v>
      </c>
      <c r="I735">
        <v>6.79</v>
      </c>
      <c r="J735">
        <v>46.104100000000003</v>
      </c>
      <c r="K735" t="str">
        <f>IFERROR(INDEX(Rosters!$C$2:$C$155,MATCH($B735,Rosters!$B$2:$B$155,0)),"NA")</f>
        <v>seth</v>
      </c>
      <c r="L735" t="str">
        <f t="shared" si="33"/>
        <v>seth6WR</v>
      </c>
      <c r="M735">
        <f>COUNTIF(L$1:L735,L735)</f>
        <v>1</v>
      </c>
      <c r="N735" t="str">
        <f t="shared" si="34"/>
        <v>seth6WR-1</v>
      </c>
      <c r="O735">
        <f>COUNTIFS(F$1:F735,F735,A$1:A735,A735)</f>
        <v>6</v>
      </c>
      <c r="P735" t="str">
        <f t="shared" si="35"/>
        <v>Adam Thielen6</v>
      </c>
    </row>
    <row r="736" spans="1:16" x14ac:dyDescent="0.25">
      <c r="A736">
        <v>9</v>
      </c>
      <c r="B736" t="s">
        <v>108</v>
      </c>
      <c r="C736" t="s">
        <v>6219</v>
      </c>
      <c r="D736">
        <v>12.69</v>
      </c>
      <c r="E736" t="s">
        <v>14</v>
      </c>
      <c r="F736" t="s">
        <v>87</v>
      </c>
      <c r="G736">
        <v>20.010000000000002</v>
      </c>
      <c r="H736">
        <v>5.37</v>
      </c>
      <c r="I736">
        <v>7.32</v>
      </c>
      <c r="J736">
        <v>53.5824</v>
      </c>
      <c r="K736" t="str">
        <f>IFERROR(INDEX(Rosters!$C$2:$C$155,MATCH($B736,Rosters!$B$2:$B$155,0)),"NA")</f>
        <v>perry</v>
      </c>
      <c r="L736" t="str">
        <f t="shared" si="33"/>
        <v>perry9WR</v>
      </c>
      <c r="M736">
        <f>COUNTIF(L$1:L736,L736)</f>
        <v>1</v>
      </c>
      <c r="N736" t="str">
        <f t="shared" si="34"/>
        <v>perry9WR-1</v>
      </c>
      <c r="O736">
        <f>COUNTIFS(F$1:F736,F736,A$1:A736,A736)</f>
        <v>6</v>
      </c>
      <c r="P736" t="str">
        <f t="shared" si="35"/>
        <v>Brandin Cooks9</v>
      </c>
    </row>
    <row r="737" spans="1:16" x14ac:dyDescent="0.25">
      <c r="A737">
        <v>15</v>
      </c>
      <c r="B737" t="s">
        <v>123</v>
      </c>
      <c r="C737" t="s">
        <v>6220</v>
      </c>
      <c r="D737">
        <v>12.68</v>
      </c>
      <c r="E737" t="s">
        <v>32</v>
      </c>
      <c r="F737" t="s">
        <v>47</v>
      </c>
      <c r="G737">
        <v>20.94</v>
      </c>
      <c r="H737">
        <v>4.42</v>
      </c>
      <c r="I737">
        <v>8.26</v>
      </c>
      <c r="J737">
        <v>68.227599999999995</v>
      </c>
      <c r="K737" t="str">
        <f>IFERROR(INDEX(Rosters!$C$2:$C$155,MATCH($B737,Rosters!$B$2:$B$155,0)),"NA")</f>
        <v>aj</v>
      </c>
      <c r="L737" t="str">
        <f t="shared" si="33"/>
        <v>aj15RB</v>
      </c>
      <c r="M737">
        <f>COUNTIF(L$1:L737,L737)</f>
        <v>2</v>
      </c>
      <c r="N737" t="str">
        <f t="shared" si="34"/>
        <v>aj15RB-2</v>
      </c>
      <c r="O737">
        <f>COUNTIFS(F$1:F737,F737,A$1:A737,A737)</f>
        <v>12</v>
      </c>
      <c r="P737" t="str">
        <f t="shared" si="35"/>
        <v>Joe Mixon15</v>
      </c>
    </row>
    <row r="738" spans="1:16" x14ac:dyDescent="0.25">
      <c r="A738">
        <v>8</v>
      </c>
      <c r="B738" t="s">
        <v>291</v>
      </c>
      <c r="C738" t="s">
        <v>6221</v>
      </c>
      <c r="D738">
        <v>12.68</v>
      </c>
      <c r="E738" t="s">
        <v>73</v>
      </c>
      <c r="F738" t="s">
        <v>15</v>
      </c>
      <c r="G738">
        <v>18.41</v>
      </c>
      <c r="H738">
        <v>6.95</v>
      </c>
      <c r="I738">
        <v>5.73</v>
      </c>
      <c r="J738">
        <v>32.832900000000002</v>
      </c>
      <c r="K738" t="str">
        <f>IFERROR(INDEX(Rosters!$C$2:$C$155,MATCH($B738,Rosters!$B$2:$B$155,0)),"NA")</f>
        <v>NA</v>
      </c>
      <c r="L738" t="str">
        <f t="shared" si="33"/>
        <v>NA8QB</v>
      </c>
      <c r="M738">
        <f>COUNTIF(L$1:L738,L738)</f>
        <v>12</v>
      </c>
      <c r="N738" t="str">
        <f t="shared" si="34"/>
        <v>NA8QB-12</v>
      </c>
      <c r="O738">
        <f>COUNTIFS(F$1:F738,F738,A$1:A738,A738)</f>
        <v>27</v>
      </c>
      <c r="P738" t="str">
        <f t="shared" si="35"/>
        <v>Mitchell Trubisky8</v>
      </c>
    </row>
    <row r="739" spans="1:16" x14ac:dyDescent="0.25">
      <c r="A739">
        <v>11</v>
      </c>
      <c r="B739" t="s">
        <v>248</v>
      </c>
      <c r="C739" t="s">
        <v>6222</v>
      </c>
      <c r="D739">
        <v>12.68</v>
      </c>
      <c r="E739" t="s">
        <v>24</v>
      </c>
      <c r="F739" t="s">
        <v>87</v>
      </c>
      <c r="G739">
        <v>19.93</v>
      </c>
      <c r="H739">
        <v>5.43</v>
      </c>
      <c r="I739">
        <v>7.25</v>
      </c>
      <c r="J739">
        <v>52.5625</v>
      </c>
      <c r="K739" t="str">
        <f>IFERROR(INDEX(Rosters!$C$2:$C$155,MATCH($B739,Rosters!$B$2:$B$155,0)),"NA")</f>
        <v>matty</v>
      </c>
      <c r="L739" t="str">
        <f t="shared" si="33"/>
        <v>matty11WR</v>
      </c>
      <c r="M739">
        <f>COUNTIF(L$1:L739,L739)</f>
        <v>1</v>
      </c>
      <c r="N739" t="str">
        <f t="shared" si="34"/>
        <v>matty11WR-1</v>
      </c>
      <c r="O739">
        <f>COUNTIFS(F$1:F739,F739,A$1:A739,A739)</f>
        <v>8</v>
      </c>
      <c r="P739" t="str">
        <f t="shared" si="35"/>
        <v>Robert Woods11</v>
      </c>
    </row>
    <row r="740" spans="1:16" x14ac:dyDescent="0.25">
      <c r="A740">
        <v>11</v>
      </c>
      <c r="B740" t="s">
        <v>1105</v>
      </c>
      <c r="C740" t="s">
        <v>6223</v>
      </c>
      <c r="D740">
        <v>12.67</v>
      </c>
      <c r="E740" t="s">
        <v>76</v>
      </c>
      <c r="F740" t="s">
        <v>87</v>
      </c>
      <c r="G740">
        <v>18.829999999999998</v>
      </c>
      <c r="H740">
        <v>6.51</v>
      </c>
      <c r="I740">
        <v>6.16</v>
      </c>
      <c r="J740">
        <v>37.945599999999999</v>
      </c>
      <c r="K740" t="str">
        <f>IFERROR(INDEX(Rosters!$C$2:$C$155,MATCH($B740,Rosters!$B$2:$B$155,0)),"NA")</f>
        <v>scott</v>
      </c>
      <c r="L740" t="str">
        <f t="shared" si="33"/>
        <v>scott11WR</v>
      </c>
      <c r="M740">
        <f>COUNTIF(L$1:L740,L740)</f>
        <v>1</v>
      </c>
      <c r="N740" t="str">
        <f t="shared" si="34"/>
        <v>scott11WR-1</v>
      </c>
      <c r="O740">
        <f>COUNTIFS(F$1:F740,F740,A$1:A740,A740)</f>
        <v>9</v>
      </c>
      <c r="P740" t="str">
        <f t="shared" si="35"/>
        <v>JuJu Smith-Schuster11</v>
      </c>
    </row>
    <row r="741" spans="1:16" x14ac:dyDescent="0.25">
      <c r="A741">
        <v>1</v>
      </c>
      <c r="B741" t="s">
        <v>104</v>
      </c>
      <c r="C741" t="s">
        <v>1301</v>
      </c>
      <c r="D741">
        <v>12.65</v>
      </c>
      <c r="E741" t="s">
        <v>66</v>
      </c>
      <c r="F741" t="s">
        <v>87</v>
      </c>
      <c r="G741">
        <v>19.36</v>
      </c>
      <c r="H741">
        <v>5.94</v>
      </c>
      <c r="I741">
        <v>6.71</v>
      </c>
      <c r="J741">
        <v>45.024099999999997</v>
      </c>
      <c r="K741" t="str">
        <f>IFERROR(INDEX(Rosters!$C$2:$C$155,MATCH($B741,Rosters!$B$2:$B$155,0)),"NA")</f>
        <v>devon</v>
      </c>
      <c r="L741" t="str">
        <f t="shared" si="33"/>
        <v>devon1WR</v>
      </c>
      <c r="M741">
        <f>COUNTIF(L$1:L741,L741)</f>
        <v>1</v>
      </c>
      <c r="N741" t="str">
        <f t="shared" si="34"/>
        <v>devon1WR-1</v>
      </c>
      <c r="O741">
        <f>COUNTIFS(F$1:F741,F741,A$1:A741,A741)</f>
        <v>3</v>
      </c>
      <c r="P741" t="str">
        <f t="shared" si="35"/>
        <v>A.J. Green1</v>
      </c>
    </row>
    <row r="742" spans="1:16" x14ac:dyDescent="0.25">
      <c r="A742">
        <v>13</v>
      </c>
      <c r="B742" t="s">
        <v>132</v>
      </c>
      <c r="C742" t="s">
        <v>6224</v>
      </c>
      <c r="D742">
        <v>12.64</v>
      </c>
      <c r="E742" t="s">
        <v>24</v>
      </c>
      <c r="F742" t="s">
        <v>47</v>
      </c>
      <c r="G742">
        <v>19.28</v>
      </c>
      <c r="H742">
        <v>6</v>
      </c>
      <c r="I742">
        <v>6.64</v>
      </c>
      <c r="J742">
        <v>44.089599999999997</v>
      </c>
      <c r="K742" t="str">
        <f>IFERROR(INDEX(Rosters!$C$2:$C$155,MATCH($B742,Rosters!$B$2:$B$155,0)),"NA")</f>
        <v>scott</v>
      </c>
      <c r="L742" t="str">
        <f t="shared" si="33"/>
        <v>scott13RB</v>
      </c>
      <c r="M742">
        <f>COUNTIF(L$1:L742,L742)</f>
        <v>3</v>
      </c>
      <c r="N742" t="str">
        <f t="shared" si="34"/>
        <v>scott13RB-3</v>
      </c>
      <c r="O742">
        <f>COUNTIFS(F$1:F742,F742,A$1:A742,A742)</f>
        <v>12</v>
      </c>
      <c r="P742" t="str">
        <f t="shared" si="35"/>
        <v>Marshawn Lynch13</v>
      </c>
    </row>
    <row r="743" spans="1:16" x14ac:dyDescent="0.25">
      <c r="A743">
        <v>13</v>
      </c>
      <c r="B743" t="s">
        <v>1288</v>
      </c>
      <c r="C743" t="s">
        <v>6225</v>
      </c>
      <c r="D743">
        <v>12.61</v>
      </c>
      <c r="E743" t="s">
        <v>72</v>
      </c>
      <c r="F743" t="s">
        <v>47</v>
      </c>
      <c r="G743">
        <v>20.52</v>
      </c>
      <c r="H743">
        <v>4.7</v>
      </c>
      <c r="I743">
        <v>7.91</v>
      </c>
      <c r="J743">
        <v>62.568100000000001</v>
      </c>
      <c r="K743" t="str">
        <f>IFERROR(INDEX(Rosters!$C$2:$C$155,MATCH($B743,Rosters!$B$2:$B$155,0)),"NA")</f>
        <v>lucas</v>
      </c>
      <c r="L743" t="str">
        <f t="shared" si="33"/>
        <v>lucas13RB</v>
      </c>
      <c r="M743">
        <f>COUNTIF(L$1:L743,L743)</f>
        <v>1</v>
      </c>
      <c r="N743" t="str">
        <f t="shared" si="34"/>
        <v>lucas13RB-1</v>
      </c>
      <c r="O743">
        <f>COUNTIFS(F$1:F743,F743,A$1:A743,A743)</f>
        <v>13</v>
      </c>
      <c r="P743" t="str">
        <f t="shared" si="35"/>
        <v>Saquon Barkley13</v>
      </c>
    </row>
    <row r="744" spans="1:16" x14ac:dyDescent="0.25">
      <c r="A744">
        <v>9</v>
      </c>
      <c r="B744" t="s">
        <v>124</v>
      </c>
      <c r="C744" t="s">
        <v>6226</v>
      </c>
      <c r="D744">
        <v>12.61</v>
      </c>
      <c r="E744" t="s">
        <v>52</v>
      </c>
      <c r="F744" t="s">
        <v>87</v>
      </c>
      <c r="G744">
        <v>20.37</v>
      </c>
      <c r="H744">
        <v>4.8499999999999996</v>
      </c>
      <c r="I744">
        <v>7.76</v>
      </c>
      <c r="J744">
        <v>60.217599999999997</v>
      </c>
      <c r="K744" t="str">
        <f>IFERROR(INDEX(Rosters!$C$2:$C$155,MATCH($B744,Rosters!$B$2:$B$155,0)),"NA")</f>
        <v>matty</v>
      </c>
      <c r="L744" t="str">
        <f t="shared" si="33"/>
        <v>matty9WR</v>
      </c>
      <c r="M744">
        <f>COUNTIF(L$1:L744,L744)</f>
        <v>1</v>
      </c>
      <c r="N744" t="str">
        <f t="shared" si="34"/>
        <v>matty9WR-1</v>
      </c>
      <c r="O744">
        <f>COUNTIFS(F$1:F744,F744,A$1:A744,A744)</f>
        <v>7</v>
      </c>
      <c r="P744" t="str">
        <f t="shared" si="35"/>
        <v>Tyreek Hill9</v>
      </c>
    </row>
    <row r="745" spans="1:16" x14ac:dyDescent="0.25">
      <c r="A745">
        <v>11</v>
      </c>
      <c r="B745" t="s">
        <v>111</v>
      </c>
      <c r="C745" t="s">
        <v>6227</v>
      </c>
      <c r="D745">
        <v>12.6</v>
      </c>
      <c r="E745" t="s">
        <v>51</v>
      </c>
      <c r="F745" t="s">
        <v>47</v>
      </c>
      <c r="G745">
        <v>19.059999999999999</v>
      </c>
      <c r="H745">
        <v>6.14</v>
      </c>
      <c r="I745">
        <v>6.46</v>
      </c>
      <c r="J745">
        <v>41.7316</v>
      </c>
      <c r="K745" t="str">
        <f>IFERROR(INDEX(Rosters!$C$2:$C$155,MATCH($B745,Rosters!$B$2:$B$155,0)),"NA")</f>
        <v>seth</v>
      </c>
      <c r="L745" t="str">
        <f t="shared" si="33"/>
        <v>seth11RB</v>
      </c>
      <c r="M745">
        <f>COUNTIF(L$1:L745,L745)</f>
        <v>1</v>
      </c>
      <c r="N745" t="str">
        <f t="shared" si="34"/>
        <v>seth11RB-1</v>
      </c>
      <c r="O745">
        <f>COUNTIFS(F$1:F745,F745,A$1:A745,A745)</f>
        <v>10</v>
      </c>
      <c r="P745" t="str">
        <f t="shared" si="35"/>
        <v>Leonard Fournette11</v>
      </c>
    </row>
    <row r="746" spans="1:16" x14ac:dyDescent="0.25">
      <c r="A746">
        <v>8</v>
      </c>
      <c r="B746" t="s">
        <v>104</v>
      </c>
      <c r="C746" t="s">
        <v>6228</v>
      </c>
      <c r="D746">
        <v>12.59</v>
      </c>
      <c r="E746" t="s">
        <v>17</v>
      </c>
      <c r="F746" t="s">
        <v>87</v>
      </c>
      <c r="G746">
        <v>18.809999999999999</v>
      </c>
      <c r="H746">
        <v>6.37</v>
      </c>
      <c r="I746">
        <v>6.22</v>
      </c>
      <c r="J746">
        <v>38.688400000000001</v>
      </c>
      <c r="K746" t="str">
        <f>IFERROR(INDEX(Rosters!$C$2:$C$155,MATCH($B746,Rosters!$B$2:$B$155,0)),"NA")</f>
        <v>devon</v>
      </c>
      <c r="L746" t="str">
        <f t="shared" si="33"/>
        <v>devon8WR</v>
      </c>
      <c r="M746">
        <f>COUNTIF(L$1:L746,L746)</f>
        <v>1</v>
      </c>
      <c r="N746" t="str">
        <f t="shared" si="34"/>
        <v>devon8WR-1</v>
      </c>
      <c r="O746">
        <f>COUNTIFS(F$1:F746,F746,A$1:A746,A746)</f>
        <v>7</v>
      </c>
      <c r="P746" t="str">
        <f t="shared" si="35"/>
        <v>A.J. Green8</v>
      </c>
    </row>
    <row r="747" spans="1:16" x14ac:dyDescent="0.25">
      <c r="A747">
        <v>7</v>
      </c>
      <c r="B747" t="s">
        <v>112</v>
      </c>
      <c r="C747" t="s">
        <v>6229</v>
      </c>
      <c r="D747">
        <v>12.58</v>
      </c>
      <c r="E747" t="s">
        <v>50</v>
      </c>
      <c r="F747" t="s">
        <v>47</v>
      </c>
      <c r="G747">
        <v>18.149999999999999</v>
      </c>
      <c r="H747">
        <v>7.01</v>
      </c>
      <c r="I747">
        <v>5.57</v>
      </c>
      <c r="J747">
        <v>31.024899999999999</v>
      </c>
      <c r="K747" t="str">
        <f>IFERROR(INDEX(Rosters!$C$2:$C$155,MATCH($B747,Rosters!$B$2:$B$155,0)),"NA")</f>
        <v>devon</v>
      </c>
      <c r="L747" t="str">
        <f t="shared" si="33"/>
        <v>devon7RB</v>
      </c>
      <c r="M747">
        <f>COUNTIF(L$1:L747,L747)</f>
        <v>1</v>
      </c>
      <c r="N747" t="str">
        <f t="shared" si="34"/>
        <v>devon7RB-1</v>
      </c>
      <c r="O747">
        <f>COUNTIFS(F$1:F747,F747,A$1:A747,A747)</f>
        <v>8</v>
      </c>
      <c r="P747" t="str">
        <f t="shared" si="35"/>
        <v>Christian McCaffrey7</v>
      </c>
    </row>
    <row r="748" spans="1:16" x14ac:dyDescent="0.25">
      <c r="A748">
        <v>14</v>
      </c>
      <c r="B748" t="s">
        <v>135</v>
      </c>
      <c r="C748" t="s">
        <v>6230</v>
      </c>
      <c r="D748">
        <v>12.54</v>
      </c>
      <c r="E748" t="s">
        <v>46</v>
      </c>
      <c r="F748" t="s">
        <v>87</v>
      </c>
      <c r="G748">
        <v>19.77</v>
      </c>
      <c r="H748">
        <v>5.31</v>
      </c>
      <c r="I748">
        <v>7.23</v>
      </c>
      <c r="J748">
        <v>52.2729</v>
      </c>
      <c r="K748" t="str">
        <f>IFERROR(INDEX(Rosters!$C$2:$C$155,MATCH($B748,Rosters!$B$2:$B$155,0)),"NA")</f>
        <v>perry</v>
      </c>
      <c r="L748" t="str">
        <f t="shared" si="33"/>
        <v>perry14WR</v>
      </c>
      <c r="M748">
        <f>COUNTIF(L$1:L748,L748)</f>
        <v>1</v>
      </c>
      <c r="N748" t="str">
        <f t="shared" si="34"/>
        <v>perry14WR-1</v>
      </c>
      <c r="O748">
        <f>COUNTIFS(F$1:F748,F748,A$1:A748,A748)</f>
        <v>7</v>
      </c>
      <c r="P748" t="str">
        <f t="shared" si="35"/>
        <v>Davante Adams14</v>
      </c>
    </row>
    <row r="749" spans="1:16" x14ac:dyDescent="0.25">
      <c r="A749">
        <v>12</v>
      </c>
      <c r="B749" t="s">
        <v>154</v>
      </c>
      <c r="C749" t="s">
        <v>6231</v>
      </c>
      <c r="D749">
        <v>12.54</v>
      </c>
      <c r="E749" t="s">
        <v>58</v>
      </c>
      <c r="F749" t="s">
        <v>87</v>
      </c>
      <c r="G749">
        <v>19.829999999999998</v>
      </c>
      <c r="H749">
        <v>5.25</v>
      </c>
      <c r="I749">
        <v>7.29</v>
      </c>
      <c r="J749">
        <v>53.144100000000002</v>
      </c>
      <c r="K749" t="str">
        <f>IFERROR(INDEX(Rosters!$C$2:$C$155,MATCH($B749,Rosters!$B$2:$B$155,0)),"NA")</f>
        <v>chad</v>
      </c>
      <c r="L749" t="str">
        <f t="shared" si="33"/>
        <v>chad12WR</v>
      </c>
      <c r="M749">
        <f>COUNTIF(L$1:L749,L749)</f>
        <v>1</v>
      </c>
      <c r="N749" t="str">
        <f t="shared" si="34"/>
        <v>chad12WR-1</v>
      </c>
      <c r="O749">
        <f>COUNTIFS(F$1:F749,F749,A$1:A749,A749)</f>
        <v>8</v>
      </c>
      <c r="P749" t="str">
        <f t="shared" si="35"/>
        <v>Keenan Allen12</v>
      </c>
    </row>
    <row r="750" spans="1:16" x14ac:dyDescent="0.25">
      <c r="A750">
        <v>1</v>
      </c>
      <c r="B750" t="s">
        <v>1213</v>
      </c>
      <c r="C750" t="s">
        <v>1302</v>
      </c>
      <c r="D750">
        <v>12.53</v>
      </c>
      <c r="E750" t="s">
        <v>28</v>
      </c>
      <c r="F750" t="s">
        <v>15</v>
      </c>
      <c r="G750">
        <v>18.29</v>
      </c>
      <c r="H750">
        <v>6.77</v>
      </c>
      <c r="I750">
        <v>5.76</v>
      </c>
      <c r="J750">
        <v>33.177599999999998</v>
      </c>
      <c r="K750" t="str">
        <f>IFERROR(INDEX(Rosters!$C$2:$C$155,MATCH($B750,Rosters!$B$2:$B$155,0)),"NA")</f>
        <v>NA</v>
      </c>
      <c r="L750" t="str">
        <f t="shared" si="33"/>
        <v>NA1QB</v>
      </c>
      <c r="M750">
        <f>COUNTIF(L$1:L750,L750)</f>
        <v>14</v>
      </c>
      <c r="N750" t="str">
        <f t="shared" si="34"/>
        <v>NA1QB-14</v>
      </c>
      <c r="O750">
        <f>COUNTIFS(F$1:F750,F750,A$1:A750,A750)</f>
        <v>29</v>
      </c>
      <c r="P750" t="str">
        <f t="shared" si="35"/>
        <v>Case Keenum1</v>
      </c>
    </row>
    <row r="751" spans="1:16" x14ac:dyDescent="0.25">
      <c r="A751">
        <v>1</v>
      </c>
      <c r="B751" t="s">
        <v>113</v>
      </c>
      <c r="C751" t="s">
        <v>1303</v>
      </c>
      <c r="D751">
        <v>12.53</v>
      </c>
      <c r="E751" t="s">
        <v>36</v>
      </c>
      <c r="F751" t="s">
        <v>114</v>
      </c>
      <c r="G751">
        <v>18.73</v>
      </c>
      <c r="H751">
        <v>6.33</v>
      </c>
      <c r="I751">
        <v>6.2</v>
      </c>
      <c r="J751">
        <v>38.44</v>
      </c>
      <c r="K751" t="str">
        <f>IFERROR(INDEX(Rosters!$C$2:$C$155,MATCH($B751,Rosters!$B$2:$B$155,0)),"NA")</f>
        <v>lucas</v>
      </c>
      <c r="L751" t="str">
        <f t="shared" si="33"/>
        <v>lucas1TE</v>
      </c>
      <c r="M751">
        <f>COUNTIF(L$1:L751,L751)</f>
        <v>1</v>
      </c>
      <c r="N751" t="str">
        <f t="shared" si="34"/>
        <v>lucas1TE-1</v>
      </c>
      <c r="O751">
        <f>COUNTIFS(F$1:F751,F751,A$1:A751,A751)</f>
        <v>1</v>
      </c>
      <c r="P751" t="str">
        <f t="shared" si="35"/>
        <v>Rob Gronkowski1</v>
      </c>
    </row>
    <row r="752" spans="1:16" x14ac:dyDescent="0.25">
      <c r="A752">
        <v>3</v>
      </c>
      <c r="B752" t="s">
        <v>113</v>
      </c>
      <c r="C752" t="s">
        <v>3642</v>
      </c>
      <c r="D752">
        <v>12.52</v>
      </c>
      <c r="E752" t="s">
        <v>34</v>
      </c>
      <c r="F752" t="s">
        <v>114</v>
      </c>
      <c r="G752">
        <v>18.920000000000002</v>
      </c>
      <c r="H752">
        <v>6.12</v>
      </c>
      <c r="I752">
        <v>6.4</v>
      </c>
      <c r="J752">
        <v>40.96</v>
      </c>
      <c r="K752" t="str">
        <f>IFERROR(INDEX(Rosters!$C$2:$C$155,MATCH($B752,Rosters!$B$2:$B$155,0)),"NA")</f>
        <v>lucas</v>
      </c>
      <c r="L752" t="str">
        <f t="shared" si="33"/>
        <v>lucas3TE</v>
      </c>
      <c r="M752">
        <f>COUNTIF(L$1:L752,L752)</f>
        <v>1</v>
      </c>
      <c r="N752" t="str">
        <f t="shared" si="34"/>
        <v>lucas3TE-1</v>
      </c>
      <c r="O752">
        <f>COUNTIFS(F$1:F752,F752,A$1:A752,A752)</f>
        <v>1</v>
      </c>
      <c r="P752" t="str">
        <f t="shared" si="35"/>
        <v>Rob Gronkowski3</v>
      </c>
    </row>
    <row r="753" spans="1:16" x14ac:dyDescent="0.25">
      <c r="A753">
        <v>10</v>
      </c>
      <c r="B753" t="s">
        <v>135</v>
      </c>
      <c r="C753" t="s">
        <v>6232</v>
      </c>
      <c r="D753">
        <v>12.5</v>
      </c>
      <c r="E753" t="s">
        <v>19</v>
      </c>
      <c r="F753" t="s">
        <v>87</v>
      </c>
      <c r="G753">
        <v>19.579999999999998</v>
      </c>
      <c r="H753">
        <v>5.42</v>
      </c>
      <c r="I753">
        <v>7.08</v>
      </c>
      <c r="J753">
        <v>50.126399999999997</v>
      </c>
      <c r="K753" t="str">
        <f>IFERROR(INDEX(Rosters!$C$2:$C$155,MATCH($B753,Rosters!$B$2:$B$155,0)),"NA")</f>
        <v>perry</v>
      </c>
      <c r="L753" t="str">
        <f t="shared" si="33"/>
        <v>perry10WR</v>
      </c>
      <c r="M753">
        <f>COUNTIF(L$1:L753,L753)</f>
        <v>2</v>
      </c>
      <c r="N753" t="str">
        <f t="shared" si="34"/>
        <v>perry10WR-2</v>
      </c>
      <c r="O753">
        <f>COUNTIFS(F$1:F753,F753,A$1:A753,A753)</f>
        <v>6</v>
      </c>
      <c r="P753" t="str">
        <f t="shared" si="35"/>
        <v>Davante Adams10</v>
      </c>
    </row>
    <row r="754" spans="1:16" x14ac:dyDescent="0.25">
      <c r="A754">
        <v>7</v>
      </c>
      <c r="B754" t="s">
        <v>45</v>
      </c>
      <c r="C754" t="s">
        <v>6233</v>
      </c>
      <c r="D754">
        <v>12.5</v>
      </c>
      <c r="E754" t="s">
        <v>42</v>
      </c>
      <c r="F754" t="s">
        <v>47</v>
      </c>
      <c r="G754">
        <v>20.04</v>
      </c>
      <c r="H754">
        <v>4.96</v>
      </c>
      <c r="I754">
        <v>7.54</v>
      </c>
      <c r="J754">
        <v>56.851599999999998</v>
      </c>
      <c r="K754" t="str">
        <f>IFERROR(INDEX(Rosters!$C$2:$C$155,MATCH($B754,Rosters!$B$2:$B$155,0)),"NA")</f>
        <v>matty</v>
      </c>
      <c r="L754" t="str">
        <f t="shared" si="33"/>
        <v>matty7RB</v>
      </c>
      <c r="M754">
        <f>COUNTIF(L$1:L754,L754)</f>
        <v>2</v>
      </c>
      <c r="N754" t="str">
        <f t="shared" si="34"/>
        <v>matty7RB-2</v>
      </c>
      <c r="O754">
        <f>COUNTIFS(F$1:F754,F754,A$1:A754,A754)</f>
        <v>9</v>
      </c>
      <c r="P754" t="str">
        <f t="shared" si="35"/>
        <v>David Johnson7</v>
      </c>
    </row>
    <row r="755" spans="1:16" x14ac:dyDescent="0.25">
      <c r="A755">
        <v>16</v>
      </c>
      <c r="B755" t="s">
        <v>100</v>
      </c>
      <c r="C755" t="s">
        <v>6234</v>
      </c>
      <c r="D755">
        <v>12.49</v>
      </c>
      <c r="E755" t="s">
        <v>22</v>
      </c>
      <c r="F755" t="s">
        <v>87</v>
      </c>
      <c r="G755">
        <v>19.22</v>
      </c>
      <c r="H755">
        <v>5.76</v>
      </c>
      <c r="I755">
        <v>6.73</v>
      </c>
      <c r="J755">
        <v>45.292900000000003</v>
      </c>
      <c r="K755" t="str">
        <f>IFERROR(INDEX(Rosters!$C$2:$C$155,MATCH($B755,Rosters!$B$2:$B$155,0)),"NA")</f>
        <v>aj</v>
      </c>
      <c r="L755" t="str">
        <f t="shared" si="33"/>
        <v>aj16WR</v>
      </c>
      <c r="M755">
        <f>COUNTIF(L$1:L755,L755)</f>
        <v>1</v>
      </c>
      <c r="N755" t="str">
        <f t="shared" si="34"/>
        <v>aj16WR-1</v>
      </c>
      <c r="O755">
        <f>COUNTIFS(F$1:F755,F755,A$1:A755,A755)</f>
        <v>3</v>
      </c>
      <c r="P755" t="str">
        <f t="shared" si="35"/>
        <v>Mike Evans16</v>
      </c>
    </row>
    <row r="756" spans="1:16" x14ac:dyDescent="0.25">
      <c r="A756">
        <v>7</v>
      </c>
      <c r="B756" t="s">
        <v>108</v>
      </c>
      <c r="C756" t="s">
        <v>6235</v>
      </c>
      <c r="D756">
        <v>12.48</v>
      </c>
      <c r="E756" t="s">
        <v>30</v>
      </c>
      <c r="F756" t="s">
        <v>87</v>
      </c>
      <c r="G756">
        <v>19.760000000000002</v>
      </c>
      <c r="H756">
        <v>5.2</v>
      </c>
      <c r="I756">
        <v>7.28</v>
      </c>
      <c r="J756">
        <v>52.998399999999997</v>
      </c>
      <c r="K756" t="str">
        <f>IFERROR(INDEX(Rosters!$C$2:$C$155,MATCH($B756,Rosters!$B$2:$B$155,0)),"NA")</f>
        <v>perry</v>
      </c>
      <c r="L756" t="str">
        <f t="shared" si="33"/>
        <v>perry7WR</v>
      </c>
      <c r="M756">
        <f>COUNTIF(L$1:L756,L756)</f>
        <v>1</v>
      </c>
      <c r="N756" t="str">
        <f t="shared" si="34"/>
        <v>perry7WR-1</v>
      </c>
      <c r="O756">
        <f>COUNTIFS(F$1:F756,F756,A$1:A756,A756)</f>
        <v>7</v>
      </c>
      <c r="P756" t="str">
        <f t="shared" si="35"/>
        <v>Brandin Cooks7</v>
      </c>
    </row>
    <row r="757" spans="1:16" x14ac:dyDescent="0.25">
      <c r="A757">
        <v>15</v>
      </c>
      <c r="B757" t="s">
        <v>120</v>
      </c>
      <c r="C757" t="s">
        <v>6236</v>
      </c>
      <c r="D757">
        <v>12.47</v>
      </c>
      <c r="E757" t="s">
        <v>73</v>
      </c>
      <c r="F757" t="s">
        <v>87</v>
      </c>
      <c r="G757">
        <v>18.89</v>
      </c>
      <c r="H757">
        <v>6.05</v>
      </c>
      <c r="I757">
        <v>6.42</v>
      </c>
      <c r="J757">
        <v>41.2164</v>
      </c>
      <c r="K757" t="str">
        <f>IFERROR(INDEX(Rosters!$C$2:$C$155,MATCH($B757,Rosters!$B$2:$B$155,0)),"NA")</f>
        <v>aj</v>
      </c>
      <c r="L757" t="str">
        <f t="shared" si="33"/>
        <v>aj15WR</v>
      </c>
      <c r="M757">
        <f>COUNTIF(L$1:L757,L757)</f>
        <v>1</v>
      </c>
      <c r="N757" t="str">
        <f t="shared" si="34"/>
        <v>aj15WR-1</v>
      </c>
      <c r="O757">
        <f>COUNTIFS(F$1:F757,F757,A$1:A757,A757)</f>
        <v>8</v>
      </c>
      <c r="P757" t="str">
        <f t="shared" si="35"/>
        <v>DeAndre Hopkins15</v>
      </c>
    </row>
    <row r="758" spans="1:16" x14ac:dyDescent="0.25">
      <c r="A758">
        <v>1</v>
      </c>
      <c r="B758" t="s">
        <v>97</v>
      </c>
      <c r="C758" t="s">
        <v>1304</v>
      </c>
      <c r="D758">
        <v>12.47</v>
      </c>
      <c r="E758" t="s">
        <v>41</v>
      </c>
      <c r="F758" t="s">
        <v>47</v>
      </c>
      <c r="G758">
        <v>20.69</v>
      </c>
      <c r="H758">
        <v>4.25</v>
      </c>
      <c r="I758">
        <v>8.2200000000000006</v>
      </c>
      <c r="J758">
        <v>67.568399999999997</v>
      </c>
      <c r="K758" t="str">
        <f>IFERROR(INDEX(Rosters!$C$2:$C$155,MATCH($B758,Rosters!$B$2:$B$155,0)),"NA")</f>
        <v>chad</v>
      </c>
      <c r="L758" t="str">
        <f t="shared" si="33"/>
        <v>chad1RB</v>
      </c>
      <c r="M758">
        <f>COUNTIF(L$1:L758,L758)</f>
        <v>2</v>
      </c>
      <c r="N758" t="str">
        <f t="shared" si="34"/>
        <v>chad1RB-2</v>
      </c>
      <c r="O758">
        <f>COUNTIFS(F$1:F758,F758,A$1:A758,A758)</f>
        <v>12</v>
      </c>
      <c r="P758" t="str">
        <f t="shared" si="35"/>
        <v>Jordan Howard1</v>
      </c>
    </row>
    <row r="759" spans="1:16" x14ac:dyDescent="0.25">
      <c r="A759">
        <v>16</v>
      </c>
      <c r="B759" t="s">
        <v>86</v>
      </c>
      <c r="C759" t="s">
        <v>6237</v>
      </c>
      <c r="D759">
        <v>12.46</v>
      </c>
      <c r="E759" t="s">
        <v>66</v>
      </c>
      <c r="F759" t="s">
        <v>87</v>
      </c>
      <c r="G759">
        <v>19.8</v>
      </c>
      <c r="H759">
        <v>5.12</v>
      </c>
      <c r="I759">
        <v>7.34</v>
      </c>
      <c r="J759">
        <v>53.875599999999999</v>
      </c>
      <c r="K759" t="str">
        <f>IFERROR(INDEX(Rosters!$C$2:$C$155,MATCH($B759,Rosters!$B$2:$B$155,0)),"NA")</f>
        <v>seth</v>
      </c>
      <c r="L759" t="str">
        <f t="shared" si="33"/>
        <v>seth16WR</v>
      </c>
      <c r="M759">
        <f>COUNTIF(L$1:L759,L759)</f>
        <v>1</v>
      </c>
      <c r="N759" t="str">
        <f t="shared" si="34"/>
        <v>seth16WR-1</v>
      </c>
      <c r="O759">
        <f>COUNTIFS(F$1:F759,F759,A$1:A759,A759)</f>
        <v>4</v>
      </c>
      <c r="P759" t="str">
        <f t="shared" si="35"/>
        <v>Odell Beckham Jr.16</v>
      </c>
    </row>
    <row r="760" spans="1:16" x14ac:dyDescent="0.25">
      <c r="A760">
        <v>15</v>
      </c>
      <c r="B760" t="s">
        <v>1537</v>
      </c>
      <c r="C760" t="s">
        <v>6238</v>
      </c>
      <c r="D760">
        <v>12.44</v>
      </c>
      <c r="E760" t="s">
        <v>28</v>
      </c>
      <c r="F760" t="s">
        <v>15</v>
      </c>
      <c r="G760">
        <v>19.239999999999998</v>
      </c>
      <c r="H760">
        <v>5.64</v>
      </c>
      <c r="I760">
        <v>6.8</v>
      </c>
      <c r="J760">
        <v>46.24</v>
      </c>
      <c r="K760" t="str">
        <f>IFERROR(INDEX(Rosters!$C$2:$C$155,MATCH($B760,Rosters!$B$2:$B$155,0)),"NA")</f>
        <v>NA</v>
      </c>
      <c r="L760" t="str">
        <f t="shared" si="33"/>
        <v>NA15QB</v>
      </c>
      <c r="M760">
        <f>COUNTIF(L$1:L760,L760)</f>
        <v>15</v>
      </c>
      <c r="N760" t="str">
        <f t="shared" si="34"/>
        <v>NA15QB-15</v>
      </c>
      <c r="O760">
        <f>COUNTIFS(F$1:F760,F760,A$1:A760,A760)</f>
        <v>32</v>
      </c>
      <c r="P760" t="str">
        <f t="shared" si="35"/>
        <v>C.J. Beathard15</v>
      </c>
    </row>
    <row r="761" spans="1:16" x14ac:dyDescent="0.25">
      <c r="A761">
        <v>8</v>
      </c>
      <c r="B761" t="s">
        <v>110</v>
      </c>
      <c r="C761" t="s">
        <v>6239</v>
      </c>
      <c r="D761">
        <v>12.44</v>
      </c>
      <c r="E761" t="s">
        <v>25</v>
      </c>
      <c r="F761" t="s">
        <v>87</v>
      </c>
      <c r="G761">
        <v>19.489999999999998</v>
      </c>
      <c r="H761">
        <v>5.39</v>
      </c>
      <c r="I761">
        <v>7.05</v>
      </c>
      <c r="J761">
        <v>49.702500000000001</v>
      </c>
      <c r="K761" t="str">
        <f>IFERROR(INDEX(Rosters!$C$2:$C$155,MATCH($B761,Rosters!$B$2:$B$155,0)),"NA")</f>
        <v>cory</v>
      </c>
      <c r="L761" t="str">
        <f t="shared" si="33"/>
        <v>cory8WR</v>
      </c>
      <c r="M761">
        <f>COUNTIF(L$1:L761,L761)</f>
        <v>1</v>
      </c>
      <c r="N761" t="str">
        <f t="shared" si="34"/>
        <v>cory8WR-1</v>
      </c>
      <c r="O761">
        <f>COUNTIFS(F$1:F761,F761,A$1:A761,A761)</f>
        <v>8</v>
      </c>
      <c r="P761" t="str">
        <f t="shared" si="35"/>
        <v>Michael Thomas8</v>
      </c>
    </row>
    <row r="762" spans="1:16" x14ac:dyDescent="0.25">
      <c r="A762">
        <v>14</v>
      </c>
      <c r="B762" t="s">
        <v>100</v>
      </c>
      <c r="C762" t="s">
        <v>6240</v>
      </c>
      <c r="D762">
        <v>12.44</v>
      </c>
      <c r="E762" t="s">
        <v>14</v>
      </c>
      <c r="F762" t="s">
        <v>87</v>
      </c>
      <c r="G762">
        <v>18.75</v>
      </c>
      <c r="H762">
        <v>6.13</v>
      </c>
      <c r="I762">
        <v>6.31</v>
      </c>
      <c r="J762">
        <v>39.816099999999999</v>
      </c>
      <c r="K762" t="str">
        <f>IFERROR(INDEX(Rosters!$C$2:$C$155,MATCH($B762,Rosters!$B$2:$B$155,0)),"NA")</f>
        <v>aj</v>
      </c>
      <c r="L762" t="str">
        <f t="shared" si="33"/>
        <v>aj14WR</v>
      </c>
      <c r="M762">
        <f>COUNTIF(L$1:L762,L762)</f>
        <v>2</v>
      </c>
      <c r="N762" t="str">
        <f t="shared" si="34"/>
        <v>aj14WR-2</v>
      </c>
      <c r="O762">
        <f>COUNTIFS(F$1:F762,F762,A$1:A762,A762)</f>
        <v>8</v>
      </c>
      <c r="P762" t="str">
        <f t="shared" si="35"/>
        <v>Mike Evans14</v>
      </c>
    </row>
    <row r="763" spans="1:16" x14ac:dyDescent="0.25">
      <c r="A763">
        <v>3</v>
      </c>
      <c r="B763" t="s">
        <v>78</v>
      </c>
      <c r="C763" t="s">
        <v>3643</v>
      </c>
      <c r="D763">
        <v>12.44</v>
      </c>
      <c r="E763" t="s">
        <v>72</v>
      </c>
      <c r="F763" t="s">
        <v>15</v>
      </c>
      <c r="G763">
        <v>17.39</v>
      </c>
      <c r="H763">
        <v>7.49</v>
      </c>
      <c r="I763">
        <v>4.95</v>
      </c>
      <c r="J763">
        <v>24.502500000000001</v>
      </c>
      <c r="K763" t="str">
        <f>IFERROR(INDEX(Rosters!$C$2:$C$155,MATCH($B763,Rosters!$B$2:$B$155,0)),"NA")</f>
        <v>NA</v>
      </c>
      <c r="L763" t="str">
        <f t="shared" si="33"/>
        <v>NA3QB</v>
      </c>
      <c r="M763">
        <f>COUNTIF(L$1:L763,L763)</f>
        <v>12</v>
      </c>
      <c r="N763" t="str">
        <f t="shared" si="34"/>
        <v>NA3QB-12</v>
      </c>
      <c r="O763">
        <f>COUNTIFS(F$1:F763,F763,A$1:A763,A763)</f>
        <v>28</v>
      </c>
      <c r="P763" t="str">
        <f t="shared" si="35"/>
        <v>Sam Bradford3</v>
      </c>
    </row>
    <row r="764" spans="1:16" x14ac:dyDescent="0.25">
      <c r="A764">
        <v>16</v>
      </c>
      <c r="B764" t="s">
        <v>124</v>
      </c>
      <c r="C764" t="s">
        <v>6241</v>
      </c>
      <c r="D764">
        <v>12.43</v>
      </c>
      <c r="E764" t="s">
        <v>28</v>
      </c>
      <c r="F764" t="s">
        <v>87</v>
      </c>
      <c r="G764">
        <v>19.75</v>
      </c>
      <c r="H764">
        <v>5.1100000000000003</v>
      </c>
      <c r="I764">
        <v>7.32</v>
      </c>
      <c r="J764">
        <v>53.5824</v>
      </c>
      <c r="K764" t="str">
        <f>IFERROR(INDEX(Rosters!$C$2:$C$155,MATCH($B764,Rosters!$B$2:$B$155,0)),"NA")</f>
        <v>matty</v>
      </c>
      <c r="L764" t="str">
        <f t="shared" si="33"/>
        <v>matty16WR</v>
      </c>
      <c r="M764">
        <f>COUNTIF(L$1:L764,L764)</f>
        <v>1</v>
      </c>
      <c r="N764" t="str">
        <f t="shared" si="34"/>
        <v>matty16WR-1</v>
      </c>
      <c r="O764">
        <f>COUNTIFS(F$1:F764,F764,A$1:A764,A764)</f>
        <v>5</v>
      </c>
      <c r="P764" t="str">
        <f t="shared" si="35"/>
        <v>Tyreek Hill16</v>
      </c>
    </row>
    <row r="765" spans="1:16" x14ac:dyDescent="0.25">
      <c r="A765">
        <v>14</v>
      </c>
      <c r="B765" t="s">
        <v>112</v>
      </c>
      <c r="C765" t="s">
        <v>6242</v>
      </c>
      <c r="D765">
        <v>12.42</v>
      </c>
      <c r="E765" t="s">
        <v>52</v>
      </c>
      <c r="F765" t="s">
        <v>47</v>
      </c>
      <c r="G765">
        <v>18.38</v>
      </c>
      <c r="H765">
        <v>6.46</v>
      </c>
      <c r="I765">
        <v>5.96</v>
      </c>
      <c r="J765">
        <v>35.521599999999999</v>
      </c>
      <c r="K765" t="str">
        <f>IFERROR(INDEX(Rosters!$C$2:$C$155,MATCH($B765,Rosters!$B$2:$B$155,0)),"NA")</f>
        <v>devon</v>
      </c>
      <c r="L765" t="str">
        <f t="shared" si="33"/>
        <v>devon14RB</v>
      </c>
      <c r="M765">
        <f>COUNTIF(L$1:L765,L765)</f>
        <v>1</v>
      </c>
      <c r="N765" t="str">
        <f t="shared" si="34"/>
        <v>devon14RB-1</v>
      </c>
      <c r="O765">
        <f>COUNTIFS(F$1:F765,F765,A$1:A765,A765)</f>
        <v>11</v>
      </c>
      <c r="P765" t="str">
        <f t="shared" si="35"/>
        <v>Christian McCaffrey14</v>
      </c>
    </row>
    <row r="766" spans="1:16" x14ac:dyDescent="0.25">
      <c r="A766">
        <v>17</v>
      </c>
      <c r="B766" t="s">
        <v>1278</v>
      </c>
      <c r="C766" t="s">
        <v>6243</v>
      </c>
      <c r="D766">
        <v>12.41</v>
      </c>
      <c r="E766" t="s">
        <v>29</v>
      </c>
      <c r="F766" t="s">
        <v>15</v>
      </c>
      <c r="G766">
        <v>18.46</v>
      </c>
      <c r="H766">
        <v>6.36</v>
      </c>
      <c r="I766">
        <v>6.05</v>
      </c>
      <c r="J766">
        <v>36.602499999999999</v>
      </c>
      <c r="K766" t="str">
        <f>IFERROR(INDEX(Rosters!$C$2:$C$155,MATCH($B766,Rosters!$B$2:$B$155,0)),"NA")</f>
        <v>NA</v>
      </c>
      <c r="L766" t="str">
        <f t="shared" si="33"/>
        <v>NA17QB</v>
      </c>
      <c r="M766">
        <f>COUNTIF(L$1:L766,L766)</f>
        <v>13</v>
      </c>
      <c r="N766" t="str">
        <f t="shared" si="34"/>
        <v>NA17QB-13</v>
      </c>
      <c r="O766">
        <f>COUNTIFS(F$1:F766,F766,A$1:A766,A766)</f>
        <v>29</v>
      </c>
      <c r="P766" t="str">
        <f t="shared" si="35"/>
        <v>Ryan Tannehill17</v>
      </c>
    </row>
    <row r="767" spans="1:16" x14ac:dyDescent="0.25">
      <c r="A767">
        <v>12</v>
      </c>
      <c r="B767" t="s">
        <v>107</v>
      </c>
      <c r="C767" t="s">
        <v>6244</v>
      </c>
      <c r="D767">
        <v>12.41</v>
      </c>
      <c r="E767" t="s">
        <v>19</v>
      </c>
      <c r="F767" t="s">
        <v>87</v>
      </c>
      <c r="G767">
        <v>19.21</v>
      </c>
      <c r="H767">
        <v>5.61</v>
      </c>
      <c r="I767">
        <v>6.8</v>
      </c>
      <c r="J767">
        <v>46.24</v>
      </c>
      <c r="K767" t="str">
        <f>IFERROR(INDEX(Rosters!$C$2:$C$155,MATCH($B767,Rosters!$B$2:$B$155,0)),"NA")</f>
        <v>comp</v>
      </c>
      <c r="L767" t="str">
        <f t="shared" si="33"/>
        <v>comp12WR</v>
      </c>
      <c r="M767">
        <f>COUNTIF(L$1:L767,L767)</f>
        <v>2</v>
      </c>
      <c r="N767" t="str">
        <f t="shared" si="34"/>
        <v>comp12WR-2</v>
      </c>
      <c r="O767">
        <f>COUNTIFS(F$1:F767,F767,A$1:A767,A767)</f>
        <v>9</v>
      </c>
      <c r="P767" t="str">
        <f t="shared" si="35"/>
        <v>T.Y. Hilton12</v>
      </c>
    </row>
    <row r="768" spans="1:16" x14ac:dyDescent="0.25">
      <c r="A768">
        <v>9</v>
      </c>
      <c r="B768" t="s">
        <v>135</v>
      </c>
      <c r="C768" t="s">
        <v>6245</v>
      </c>
      <c r="D768">
        <v>12.4</v>
      </c>
      <c r="E768" t="s">
        <v>423</v>
      </c>
      <c r="F768" t="s">
        <v>87</v>
      </c>
      <c r="G768">
        <v>20.149999999999999</v>
      </c>
      <c r="H768">
        <v>4.6500000000000004</v>
      </c>
      <c r="I768">
        <v>7.75</v>
      </c>
      <c r="J768">
        <v>60.0625</v>
      </c>
      <c r="K768" t="str">
        <f>IFERROR(INDEX(Rosters!$C$2:$C$155,MATCH($B768,Rosters!$B$2:$B$155,0)),"NA")</f>
        <v>perry</v>
      </c>
      <c r="L768" t="str">
        <f t="shared" si="33"/>
        <v>perry9WR</v>
      </c>
      <c r="M768">
        <f>COUNTIF(L$1:L768,L768)</f>
        <v>2</v>
      </c>
      <c r="N768" t="str">
        <f t="shared" si="34"/>
        <v>perry9WR-2</v>
      </c>
      <c r="O768">
        <f>COUNTIFS(F$1:F768,F768,A$1:A768,A768)</f>
        <v>8</v>
      </c>
      <c r="P768" t="str">
        <f t="shared" si="35"/>
        <v>Davante Adams9</v>
      </c>
    </row>
    <row r="769" spans="1:16" x14ac:dyDescent="0.25">
      <c r="A769">
        <v>2</v>
      </c>
      <c r="B769" t="s">
        <v>120</v>
      </c>
      <c r="C769" t="s">
        <v>1305</v>
      </c>
      <c r="D769">
        <v>12.4</v>
      </c>
      <c r="E769" t="s">
        <v>38</v>
      </c>
      <c r="F769" t="s">
        <v>87</v>
      </c>
      <c r="G769">
        <v>19.47</v>
      </c>
      <c r="H769">
        <v>5.33</v>
      </c>
      <c r="I769">
        <v>7.07</v>
      </c>
      <c r="J769">
        <v>49.984900000000003</v>
      </c>
      <c r="K769" t="str">
        <f>IFERROR(INDEX(Rosters!$C$2:$C$155,MATCH($B769,Rosters!$B$2:$B$155,0)),"NA")</f>
        <v>aj</v>
      </c>
      <c r="L769" t="str">
        <f t="shared" si="33"/>
        <v>aj2WR</v>
      </c>
      <c r="M769">
        <f>COUNTIF(L$1:L769,L769)</f>
        <v>1</v>
      </c>
      <c r="N769" t="str">
        <f t="shared" si="34"/>
        <v>aj2WR-1</v>
      </c>
      <c r="O769">
        <f>COUNTIFS(F$1:F769,F769,A$1:A769,A769)</f>
        <v>3</v>
      </c>
      <c r="P769" t="str">
        <f t="shared" si="35"/>
        <v>DeAndre Hopkins2</v>
      </c>
    </row>
    <row r="770" spans="1:16" x14ac:dyDescent="0.25">
      <c r="A770">
        <v>17</v>
      </c>
      <c r="B770" t="s">
        <v>1506</v>
      </c>
      <c r="C770" t="s">
        <v>6246</v>
      </c>
      <c r="D770">
        <v>12.39</v>
      </c>
      <c r="E770" t="s">
        <v>28</v>
      </c>
      <c r="F770" t="s">
        <v>15</v>
      </c>
      <c r="G770">
        <v>18.239999999999998</v>
      </c>
      <c r="H770">
        <v>6.54</v>
      </c>
      <c r="I770">
        <v>5.85</v>
      </c>
      <c r="J770">
        <v>34.222499999999997</v>
      </c>
      <c r="K770" t="str">
        <f>IFERROR(INDEX(Rosters!$C$2:$C$155,MATCH($B770,Rosters!$B$2:$B$155,0)),"NA")</f>
        <v>NA</v>
      </c>
      <c r="L770" t="str">
        <f t="shared" si="33"/>
        <v>NA17QB</v>
      </c>
      <c r="M770">
        <f>COUNTIF(L$1:L770,L770)</f>
        <v>14</v>
      </c>
      <c r="N770" t="str">
        <f t="shared" si="34"/>
        <v>NA17QB-14</v>
      </c>
      <c r="O770">
        <f>COUNTIFS(F$1:F770,F770,A$1:A770,A770)</f>
        <v>30</v>
      </c>
      <c r="P770" t="str">
        <f t="shared" si="35"/>
        <v>Josh Rosen17</v>
      </c>
    </row>
    <row r="771" spans="1:16" x14ac:dyDescent="0.25">
      <c r="A771">
        <v>17</v>
      </c>
      <c r="B771" t="s">
        <v>107</v>
      </c>
      <c r="C771" t="s">
        <v>6247</v>
      </c>
      <c r="D771">
        <v>12.39</v>
      </c>
      <c r="E771" t="s">
        <v>38</v>
      </c>
      <c r="F771" t="s">
        <v>87</v>
      </c>
      <c r="G771">
        <v>20.32</v>
      </c>
      <c r="H771">
        <v>4.46</v>
      </c>
      <c r="I771">
        <v>7.93</v>
      </c>
      <c r="J771">
        <v>62.884900000000002</v>
      </c>
      <c r="K771" t="str">
        <f>IFERROR(INDEX(Rosters!$C$2:$C$155,MATCH($B771,Rosters!$B$2:$B$155,0)),"NA")</f>
        <v>comp</v>
      </c>
      <c r="L771" t="str">
        <f t="shared" ref="L771:L834" si="36">K771&amp;A771&amp;F771</f>
        <v>comp17WR</v>
      </c>
      <c r="M771">
        <f>COUNTIF(L$1:L771,L771)</f>
        <v>2</v>
      </c>
      <c r="N771" t="str">
        <f t="shared" ref="N771:N834" si="37">L771&amp;"-"&amp;M771</f>
        <v>comp17WR-2</v>
      </c>
      <c r="O771">
        <f>COUNTIFS(F$1:F771,F771,A$1:A771,A771)</f>
        <v>9</v>
      </c>
      <c r="P771" t="str">
        <f t="shared" ref="P771:P834" si="38">B771&amp;A771</f>
        <v>T.Y. Hilton17</v>
      </c>
    </row>
    <row r="772" spans="1:16" x14ac:dyDescent="0.25">
      <c r="A772">
        <v>10</v>
      </c>
      <c r="B772" t="s">
        <v>86</v>
      </c>
      <c r="C772" t="s">
        <v>6248</v>
      </c>
      <c r="D772">
        <v>12.38</v>
      </c>
      <c r="E772" t="s">
        <v>30</v>
      </c>
      <c r="F772" t="s">
        <v>87</v>
      </c>
      <c r="G772">
        <v>19.55</v>
      </c>
      <c r="H772">
        <v>5.21</v>
      </c>
      <c r="I772">
        <v>7.17</v>
      </c>
      <c r="J772">
        <v>51.408900000000003</v>
      </c>
      <c r="K772" t="str">
        <f>IFERROR(INDEX(Rosters!$C$2:$C$155,MATCH($B772,Rosters!$B$2:$B$155,0)),"NA")</f>
        <v>seth</v>
      </c>
      <c r="L772" t="str">
        <f t="shared" si="36"/>
        <v>seth10WR</v>
      </c>
      <c r="M772">
        <f>COUNTIF(L$1:L772,L772)</f>
        <v>1</v>
      </c>
      <c r="N772" t="str">
        <f t="shared" si="37"/>
        <v>seth10WR-1</v>
      </c>
      <c r="O772">
        <f>COUNTIFS(F$1:F772,F772,A$1:A772,A772)</f>
        <v>7</v>
      </c>
      <c r="P772" t="str">
        <f t="shared" si="38"/>
        <v>Odell Beckham Jr.10</v>
      </c>
    </row>
    <row r="773" spans="1:16" x14ac:dyDescent="0.25">
      <c r="A773">
        <v>11</v>
      </c>
      <c r="B773" t="s">
        <v>99</v>
      </c>
      <c r="C773" t="s">
        <v>6249</v>
      </c>
      <c r="D773">
        <v>12.36</v>
      </c>
      <c r="E773" t="s">
        <v>60</v>
      </c>
      <c r="F773" t="s">
        <v>47</v>
      </c>
      <c r="G773">
        <v>19.059999999999999</v>
      </c>
      <c r="H773">
        <v>5.66</v>
      </c>
      <c r="I773">
        <v>6.7</v>
      </c>
      <c r="J773">
        <v>44.89</v>
      </c>
      <c r="K773" t="str">
        <f>IFERROR(INDEX(Rosters!$C$2:$C$155,MATCH($B773,Rosters!$B$2:$B$155,0)),"NA")</f>
        <v>comp</v>
      </c>
      <c r="L773" t="str">
        <f t="shared" si="36"/>
        <v>comp11RB</v>
      </c>
      <c r="M773">
        <f>COUNTIF(L$1:L773,L773)</f>
        <v>1</v>
      </c>
      <c r="N773" t="str">
        <f t="shared" si="37"/>
        <v>comp11RB-1</v>
      </c>
      <c r="O773">
        <f>COUNTIFS(F$1:F773,F773,A$1:A773,A773)</f>
        <v>11</v>
      </c>
      <c r="P773" t="str">
        <f t="shared" si="38"/>
        <v>Lamar Miller11</v>
      </c>
    </row>
    <row r="774" spans="1:16" x14ac:dyDescent="0.25">
      <c r="A774">
        <v>2</v>
      </c>
      <c r="B774" t="s">
        <v>112</v>
      </c>
      <c r="C774" t="s">
        <v>1680</v>
      </c>
      <c r="D774">
        <v>12.35</v>
      </c>
      <c r="E774" t="s">
        <v>46</v>
      </c>
      <c r="F774" t="s">
        <v>47</v>
      </c>
      <c r="G774">
        <v>18.690000000000001</v>
      </c>
      <c r="H774">
        <v>6.01</v>
      </c>
      <c r="I774">
        <v>6.34</v>
      </c>
      <c r="J774">
        <v>40.195599999999999</v>
      </c>
      <c r="K774" t="str">
        <f>IFERROR(INDEX(Rosters!$C$2:$C$155,MATCH($B774,Rosters!$B$2:$B$155,0)),"NA")</f>
        <v>devon</v>
      </c>
      <c r="L774" t="str">
        <f t="shared" si="36"/>
        <v>devon2RB</v>
      </c>
      <c r="M774">
        <f>COUNTIF(L$1:L774,L774)</f>
        <v>1</v>
      </c>
      <c r="N774" t="str">
        <f t="shared" si="37"/>
        <v>devon2RB-1</v>
      </c>
      <c r="O774">
        <f>COUNTIFS(F$1:F774,F774,A$1:A774,A774)</f>
        <v>11</v>
      </c>
      <c r="P774" t="str">
        <f t="shared" si="38"/>
        <v>Christian McCaffrey2</v>
      </c>
    </row>
    <row r="775" spans="1:16" x14ac:dyDescent="0.25">
      <c r="A775">
        <v>1</v>
      </c>
      <c r="B775" t="s">
        <v>100</v>
      </c>
      <c r="C775" t="s">
        <v>1306</v>
      </c>
      <c r="D775">
        <v>12.34</v>
      </c>
      <c r="E775" t="s">
        <v>14</v>
      </c>
      <c r="F775" t="s">
        <v>87</v>
      </c>
      <c r="G775">
        <v>20.55</v>
      </c>
      <c r="H775">
        <v>4.13</v>
      </c>
      <c r="I775">
        <v>8.2100000000000009</v>
      </c>
      <c r="J775">
        <v>67.4041</v>
      </c>
      <c r="K775" t="str">
        <f>IFERROR(INDEX(Rosters!$C$2:$C$155,MATCH($B775,Rosters!$B$2:$B$155,0)),"NA")</f>
        <v>aj</v>
      </c>
      <c r="L775" t="str">
        <f t="shared" si="36"/>
        <v>aj1WR</v>
      </c>
      <c r="M775">
        <f>COUNTIF(L$1:L775,L775)</f>
        <v>2</v>
      </c>
      <c r="N775" t="str">
        <f t="shared" si="37"/>
        <v>aj1WR-2</v>
      </c>
      <c r="O775">
        <f>COUNTIFS(F$1:F775,F775,A$1:A775,A775)</f>
        <v>4</v>
      </c>
      <c r="P775" t="str">
        <f t="shared" si="38"/>
        <v>Mike Evans1</v>
      </c>
    </row>
    <row r="776" spans="1:16" x14ac:dyDescent="0.25">
      <c r="A776">
        <v>6</v>
      </c>
      <c r="B776" t="s">
        <v>298</v>
      </c>
      <c r="C776" t="s">
        <v>6250</v>
      </c>
      <c r="D776">
        <v>12.33</v>
      </c>
      <c r="E776" t="s">
        <v>31</v>
      </c>
      <c r="F776" t="s">
        <v>47</v>
      </c>
      <c r="G776">
        <v>21.31</v>
      </c>
      <c r="H776">
        <v>3.35</v>
      </c>
      <c r="I776">
        <v>8.98</v>
      </c>
      <c r="J776">
        <v>80.6404</v>
      </c>
      <c r="K776" t="str">
        <f>IFERROR(INDEX(Rosters!$C$2:$C$155,MATCH($B776,Rosters!$B$2:$B$155,0)),"NA")</f>
        <v>aj</v>
      </c>
      <c r="L776" t="str">
        <f t="shared" si="36"/>
        <v>aj6RB</v>
      </c>
      <c r="M776">
        <f>COUNTIF(L$1:L776,L776)</f>
        <v>1</v>
      </c>
      <c r="N776" t="str">
        <f t="shared" si="37"/>
        <v>aj6RB-1</v>
      </c>
      <c r="O776">
        <f>COUNTIFS(F$1:F776,F776,A$1:A776,A776)</f>
        <v>11</v>
      </c>
      <c r="P776" t="str">
        <f t="shared" si="38"/>
        <v>James Conner6</v>
      </c>
    </row>
    <row r="777" spans="1:16" x14ac:dyDescent="0.25">
      <c r="A777">
        <v>16</v>
      </c>
      <c r="B777" t="s">
        <v>107</v>
      </c>
      <c r="C777" t="s">
        <v>6251</v>
      </c>
      <c r="D777">
        <v>12.32</v>
      </c>
      <c r="E777" t="s">
        <v>54</v>
      </c>
      <c r="F777" t="s">
        <v>87</v>
      </c>
      <c r="G777">
        <v>18.98</v>
      </c>
      <c r="H777">
        <v>5.66</v>
      </c>
      <c r="I777">
        <v>6.66</v>
      </c>
      <c r="J777">
        <v>44.355600000000003</v>
      </c>
      <c r="K777" t="str">
        <f>IFERROR(INDEX(Rosters!$C$2:$C$155,MATCH($B777,Rosters!$B$2:$B$155,0)),"NA")</f>
        <v>comp</v>
      </c>
      <c r="L777" t="str">
        <f t="shared" si="36"/>
        <v>comp16WR</v>
      </c>
      <c r="M777">
        <f>COUNTIF(L$1:L777,L777)</f>
        <v>2</v>
      </c>
      <c r="N777" t="str">
        <f t="shared" si="37"/>
        <v>comp16WR-2</v>
      </c>
      <c r="O777">
        <f>COUNTIFS(F$1:F777,F777,A$1:A777,A777)</f>
        <v>6</v>
      </c>
      <c r="P777" t="str">
        <f t="shared" si="38"/>
        <v>T.Y. Hilton16</v>
      </c>
    </row>
    <row r="778" spans="1:16" x14ac:dyDescent="0.25">
      <c r="A778">
        <v>6</v>
      </c>
      <c r="B778" t="s">
        <v>108</v>
      </c>
      <c r="C778" t="s">
        <v>6252</v>
      </c>
      <c r="D778">
        <v>12.31</v>
      </c>
      <c r="E778" t="s">
        <v>42</v>
      </c>
      <c r="F778" t="s">
        <v>87</v>
      </c>
      <c r="G778">
        <v>19.11</v>
      </c>
      <c r="H778">
        <v>5.51</v>
      </c>
      <c r="I778">
        <v>6.8</v>
      </c>
      <c r="J778">
        <v>46.24</v>
      </c>
      <c r="K778" t="str">
        <f>IFERROR(INDEX(Rosters!$C$2:$C$155,MATCH($B778,Rosters!$B$2:$B$155,0)),"NA")</f>
        <v>perry</v>
      </c>
      <c r="L778" t="str">
        <f t="shared" si="36"/>
        <v>perry6WR</v>
      </c>
      <c r="M778">
        <f>COUNTIF(L$1:L778,L778)</f>
        <v>1</v>
      </c>
      <c r="N778" t="str">
        <f t="shared" si="37"/>
        <v>perry6WR-1</v>
      </c>
      <c r="O778">
        <f>COUNTIFS(F$1:F778,F778,A$1:A778,A778)</f>
        <v>7</v>
      </c>
      <c r="P778" t="str">
        <f t="shared" si="38"/>
        <v>Brandin Cooks6</v>
      </c>
    </row>
    <row r="779" spans="1:16" x14ac:dyDescent="0.25">
      <c r="A779">
        <v>16</v>
      </c>
      <c r="B779" t="s">
        <v>108</v>
      </c>
      <c r="C779" t="s">
        <v>6253</v>
      </c>
      <c r="D779">
        <v>12.3</v>
      </c>
      <c r="E779" t="s">
        <v>58</v>
      </c>
      <c r="F779" t="s">
        <v>87</v>
      </c>
      <c r="G779">
        <v>18.600000000000001</v>
      </c>
      <c r="H779">
        <v>6</v>
      </c>
      <c r="I779">
        <v>6.3</v>
      </c>
      <c r="J779">
        <v>39.69</v>
      </c>
      <c r="K779" t="str">
        <f>IFERROR(INDEX(Rosters!$C$2:$C$155,MATCH($B779,Rosters!$B$2:$B$155,0)),"NA")</f>
        <v>perry</v>
      </c>
      <c r="L779" t="str">
        <f t="shared" si="36"/>
        <v>perry16WR</v>
      </c>
      <c r="M779">
        <f>COUNTIF(L$1:L779,L779)</f>
        <v>1</v>
      </c>
      <c r="N779" t="str">
        <f t="shared" si="37"/>
        <v>perry16WR-1</v>
      </c>
      <c r="O779">
        <f>COUNTIFS(F$1:F779,F779,A$1:A779,A779)</f>
        <v>7</v>
      </c>
      <c r="P779" t="str">
        <f t="shared" si="38"/>
        <v>Brandin Cooks16</v>
      </c>
    </row>
    <row r="780" spans="1:16" x14ac:dyDescent="0.25">
      <c r="A780">
        <v>6</v>
      </c>
      <c r="B780" t="s">
        <v>135</v>
      </c>
      <c r="C780" t="s">
        <v>6254</v>
      </c>
      <c r="D780">
        <v>12.3</v>
      </c>
      <c r="E780" t="s">
        <v>30</v>
      </c>
      <c r="F780" t="s">
        <v>87</v>
      </c>
      <c r="G780">
        <v>19.61</v>
      </c>
      <c r="H780">
        <v>4.99</v>
      </c>
      <c r="I780">
        <v>7.31</v>
      </c>
      <c r="J780">
        <v>53.436100000000003</v>
      </c>
      <c r="K780" t="str">
        <f>IFERROR(INDEX(Rosters!$C$2:$C$155,MATCH($B780,Rosters!$B$2:$B$155,0)),"NA")</f>
        <v>perry</v>
      </c>
      <c r="L780" t="str">
        <f t="shared" si="36"/>
        <v>perry6WR</v>
      </c>
      <c r="M780">
        <f>COUNTIF(L$1:L780,L780)</f>
        <v>2</v>
      </c>
      <c r="N780" t="str">
        <f t="shared" si="37"/>
        <v>perry6WR-2</v>
      </c>
      <c r="O780">
        <f>COUNTIFS(F$1:F780,F780,A$1:A780,A780)</f>
        <v>8</v>
      </c>
      <c r="P780" t="str">
        <f t="shared" si="38"/>
        <v>Davante Adams6</v>
      </c>
    </row>
    <row r="781" spans="1:16" x14ac:dyDescent="0.25">
      <c r="A781">
        <v>16</v>
      </c>
      <c r="B781" t="s">
        <v>89</v>
      </c>
      <c r="C781" t="s">
        <v>6255</v>
      </c>
      <c r="D781">
        <v>12.3</v>
      </c>
      <c r="E781" t="s">
        <v>36</v>
      </c>
      <c r="F781" t="s">
        <v>47</v>
      </c>
      <c r="G781">
        <v>20.6</v>
      </c>
      <c r="H781">
        <v>4</v>
      </c>
      <c r="I781">
        <v>8.3000000000000007</v>
      </c>
      <c r="J781">
        <v>68.89</v>
      </c>
      <c r="K781" t="str">
        <f>IFERROR(INDEX(Rosters!$C$2:$C$155,MATCH($B781,Rosters!$B$2:$B$155,0)),"NA")</f>
        <v>matty</v>
      </c>
      <c r="L781" t="str">
        <f t="shared" si="36"/>
        <v>matty16RB</v>
      </c>
      <c r="M781">
        <f>COUNTIF(L$1:L781,L781)</f>
        <v>3</v>
      </c>
      <c r="N781" t="str">
        <f t="shared" si="37"/>
        <v>matty16RB-3</v>
      </c>
      <c r="O781">
        <f>COUNTIFS(F$1:F781,F781,A$1:A781,A781)</f>
        <v>12</v>
      </c>
      <c r="P781" t="str">
        <f t="shared" si="38"/>
        <v>Jay Ajayi16</v>
      </c>
    </row>
    <row r="782" spans="1:16" x14ac:dyDescent="0.25">
      <c r="A782">
        <v>17</v>
      </c>
      <c r="B782" t="s">
        <v>135</v>
      </c>
      <c r="C782" t="s">
        <v>6256</v>
      </c>
      <c r="D782">
        <v>12.29</v>
      </c>
      <c r="E782" t="s">
        <v>34</v>
      </c>
      <c r="F782" t="s">
        <v>87</v>
      </c>
      <c r="G782">
        <v>18.670000000000002</v>
      </c>
      <c r="H782">
        <v>5.91</v>
      </c>
      <c r="I782">
        <v>6.38</v>
      </c>
      <c r="J782">
        <v>40.7044</v>
      </c>
      <c r="K782" t="str">
        <f>IFERROR(INDEX(Rosters!$C$2:$C$155,MATCH($B782,Rosters!$B$2:$B$155,0)),"NA")</f>
        <v>perry</v>
      </c>
      <c r="L782" t="str">
        <f t="shared" si="36"/>
        <v>perry17WR</v>
      </c>
      <c r="M782">
        <f>COUNTIF(L$1:L782,L782)</f>
        <v>2</v>
      </c>
      <c r="N782" t="str">
        <f t="shared" si="37"/>
        <v>perry17WR-2</v>
      </c>
      <c r="O782">
        <f>COUNTIFS(F$1:F782,F782,A$1:A782,A782)</f>
        <v>10</v>
      </c>
      <c r="P782" t="str">
        <f t="shared" si="38"/>
        <v>Davante Adams17</v>
      </c>
    </row>
    <row r="783" spans="1:16" x14ac:dyDescent="0.25">
      <c r="A783">
        <v>8</v>
      </c>
      <c r="B783" t="s">
        <v>97</v>
      </c>
      <c r="C783" t="s">
        <v>6257</v>
      </c>
      <c r="D783">
        <v>12.29</v>
      </c>
      <c r="E783" t="s">
        <v>73</v>
      </c>
      <c r="F783" t="s">
        <v>47</v>
      </c>
      <c r="G783">
        <v>18.940000000000001</v>
      </c>
      <c r="H783">
        <v>5.64</v>
      </c>
      <c r="I783">
        <v>6.65</v>
      </c>
      <c r="J783">
        <v>44.222499999999997</v>
      </c>
      <c r="K783" t="str">
        <f>IFERROR(INDEX(Rosters!$C$2:$C$155,MATCH($B783,Rosters!$B$2:$B$155,0)),"NA")</f>
        <v>chad</v>
      </c>
      <c r="L783" t="str">
        <f t="shared" si="36"/>
        <v>chad8RB</v>
      </c>
      <c r="M783">
        <f>COUNTIF(L$1:L783,L783)</f>
        <v>2</v>
      </c>
      <c r="N783" t="str">
        <f t="shared" si="37"/>
        <v>chad8RB-2</v>
      </c>
      <c r="O783">
        <f>COUNTIFS(F$1:F783,F783,A$1:A783,A783)</f>
        <v>11</v>
      </c>
      <c r="P783" t="str">
        <f t="shared" si="38"/>
        <v>Jordan Howard8</v>
      </c>
    </row>
    <row r="784" spans="1:16" x14ac:dyDescent="0.25">
      <c r="A784">
        <v>2</v>
      </c>
      <c r="B784" t="s">
        <v>78</v>
      </c>
      <c r="C784" t="s">
        <v>1307</v>
      </c>
      <c r="D784">
        <v>12.29</v>
      </c>
      <c r="E784" t="s">
        <v>56</v>
      </c>
      <c r="F784" t="s">
        <v>15</v>
      </c>
      <c r="G784">
        <v>18.12</v>
      </c>
      <c r="H784">
        <v>6.46</v>
      </c>
      <c r="I784">
        <v>5.83</v>
      </c>
      <c r="J784">
        <v>33.988900000000001</v>
      </c>
      <c r="K784" t="str">
        <f>IFERROR(INDEX(Rosters!$C$2:$C$155,MATCH($B784,Rosters!$B$2:$B$155,0)),"NA")</f>
        <v>NA</v>
      </c>
      <c r="L784" t="str">
        <f t="shared" si="36"/>
        <v>NA2QB</v>
      </c>
      <c r="M784">
        <f>COUNTIF(L$1:L784,L784)</f>
        <v>14</v>
      </c>
      <c r="N784" t="str">
        <f t="shared" si="37"/>
        <v>NA2QB-14</v>
      </c>
      <c r="O784">
        <f>COUNTIFS(F$1:F784,F784,A$1:A784,A784)</f>
        <v>29</v>
      </c>
      <c r="P784" t="str">
        <f t="shared" si="38"/>
        <v>Sam Bradford2</v>
      </c>
    </row>
    <row r="785" spans="1:16" x14ac:dyDescent="0.25">
      <c r="A785">
        <v>11</v>
      </c>
      <c r="B785" t="s">
        <v>124</v>
      </c>
      <c r="C785" t="s">
        <v>6258</v>
      </c>
      <c r="D785">
        <v>12.29</v>
      </c>
      <c r="E785" t="s">
        <v>56</v>
      </c>
      <c r="F785" t="s">
        <v>87</v>
      </c>
      <c r="G785">
        <v>19.22</v>
      </c>
      <c r="H785">
        <v>5.36</v>
      </c>
      <c r="I785">
        <v>6.93</v>
      </c>
      <c r="J785">
        <v>48.024900000000002</v>
      </c>
      <c r="K785" t="str">
        <f>IFERROR(INDEX(Rosters!$C$2:$C$155,MATCH($B785,Rosters!$B$2:$B$155,0)),"NA")</f>
        <v>matty</v>
      </c>
      <c r="L785" t="str">
        <f t="shared" si="36"/>
        <v>matty11WR</v>
      </c>
      <c r="M785">
        <f>COUNTIF(L$1:L785,L785)</f>
        <v>2</v>
      </c>
      <c r="N785" t="str">
        <f t="shared" si="37"/>
        <v>matty11WR-2</v>
      </c>
      <c r="O785">
        <f>COUNTIFS(F$1:F785,F785,A$1:A785,A785)</f>
        <v>10</v>
      </c>
      <c r="P785" t="str">
        <f t="shared" si="38"/>
        <v>Tyreek Hill11</v>
      </c>
    </row>
    <row r="786" spans="1:16" x14ac:dyDescent="0.25">
      <c r="A786">
        <v>5</v>
      </c>
      <c r="B786" t="s">
        <v>191</v>
      </c>
      <c r="C786" t="s">
        <v>6259</v>
      </c>
      <c r="D786">
        <v>12.27</v>
      </c>
      <c r="E786" t="s">
        <v>50</v>
      </c>
      <c r="F786" t="s">
        <v>87</v>
      </c>
      <c r="G786">
        <v>19.38</v>
      </c>
      <c r="H786">
        <v>5.16</v>
      </c>
      <c r="I786">
        <v>7.11</v>
      </c>
      <c r="J786">
        <v>50.552100000000003</v>
      </c>
      <c r="K786" t="str">
        <f>IFERROR(INDEX(Rosters!$C$2:$C$155,MATCH($B786,Rosters!$B$2:$B$155,0)),"NA")</f>
        <v>seth</v>
      </c>
      <c r="L786" t="str">
        <f t="shared" si="36"/>
        <v>seth5WR</v>
      </c>
      <c r="M786">
        <f>COUNTIF(L$1:L786,L786)</f>
        <v>1</v>
      </c>
      <c r="N786" t="str">
        <f t="shared" si="37"/>
        <v>seth5WR-1</v>
      </c>
      <c r="O786">
        <f>COUNTIFS(F$1:F786,F786,A$1:A786,A786)</f>
        <v>6</v>
      </c>
      <c r="P786" t="str">
        <f t="shared" si="38"/>
        <v>Adam Thielen5</v>
      </c>
    </row>
    <row r="787" spans="1:16" x14ac:dyDescent="0.25">
      <c r="A787">
        <v>16</v>
      </c>
      <c r="B787" t="s">
        <v>191</v>
      </c>
      <c r="C787" t="s">
        <v>6260</v>
      </c>
      <c r="D787">
        <v>12.27</v>
      </c>
      <c r="E787" t="s">
        <v>34</v>
      </c>
      <c r="F787" t="s">
        <v>87</v>
      </c>
      <c r="G787">
        <v>17.64</v>
      </c>
      <c r="H787">
        <v>6.9</v>
      </c>
      <c r="I787">
        <v>5.37</v>
      </c>
      <c r="J787">
        <v>28.8369</v>
      </c>
      <c r="K787" t="str">
        <f>IFERROR(INDEX(Rosters!$C$2:$C$155,MATCH($B787,Rosters!$B$2:$B$155,0)),"NA")</f>
        <v>seth</v>
      </c>
      <c r="L787" t="str">
        <f t="shared" si="36"/>
        <v>seth16WR</v>
      </c>
      <c r="M787">
        <f>COUNTIF(L$1:L787,L787)</f>
        <v>2</v>
      </c>
      <c r="N787" t="str">
        <f t="shared" si="37"/>
        <v>seth16WR-2</v>
      </c>
      <c r="O787">
        <f>COUNTIFS(F$1:F787,F787,A$1:A787,A787)</f>
        <v>8</v>
      </c>
      <c r="P787" t="str">
        <f t="shared" si="38"/>
        <v>Adam Thielen16</v>
      </c>
    </row>
    <row r="788" spans="1:16" x14ac:dyDescent="0.25">
      <c r="A788">
        <v>11</v>
      </c>
      <c r="B788" t="s">
        <v>96</v>
      </c>
      <c r="C788" t="s">
        <v>6261</v>
      </c>
      <c r="D788">
        <v>12.27</v>
      </c>
      <c r="E788" t="s">
        <v>76</v>
      </c>
      <c r="F788" t="s">
        <v>87</v>
      </c>
      <c r="G788">
        <v>19.88</v>
      </c>
      <c r="H788">
        <v>4.66</v>
      </c>
      <c r="I788">
        <v>7.61</v>
      </c>
      <c r="J788">
        <v>57.912100000000002</v>
      </c>
      <c r="K788" t="str">
        <f>IFERROR(INDEX(Rosters!$C$2:$C$155,MATCH($B788,Rosters!$B$2:$B$155,0)),"NA")</f>
        <v>comp</v>
      </c>
      <c r="L788" t="str">
        <f t="shared" si="36"/>
        <v>comp11WR</v>
      </c>
      <c r="M788">
        <f>COUNTIF(L$1:L788,L788)</f>
        <v>2</v>
      </c>
      <c r="N788" t="str">
        <f t="shared" si="37"/>
        <v>comp11WR-2</v>
      </c>
      <c r="O788">
        <f>COUNTIFS(F$1:F788,F788,A$1:A788,A788)</f>
        <v>11</v>
      </c>
      <c r="P788" t="str">
        <f t="shared" si="38"/>
        <v>Antonio Brown11</v>
      </c>
    </row>
    <row r="789" spans="1:16" x14ac:dyDescent="0.25">
      <c r="A789">
        <v>9</v>
      </c>
      <c r="B789" t="s">
        <v>96</v>
      </c>
      <c r="C789" t="s">
        <v>6262</v>
      </c>
      <c r="D789">
        <v>12.26</v>
      </c>
      <c r="E789" t="s">
        <v>77</v>
      </c>
      <c r="F789" t="s">
        <v>87</v>
      </c>
      <c r="G789">
        <v>19.95</v>
      </c>
      <c r="H789">
        <v>4.57</v>
      </c>
      <c r="I789">
        <v>7.69</v>
      </c>
      <c r="J789">
        <v>59.136099999999999</v>
      </c>
      <c r="K789" t="str">
        <f>IFERROR(INDEX(Rosters!$C$2:$C$155,MATCH($B789,Rosters!$B$2:$B$155,0)),"NA")</f>
        <v>comp</v>
      </c>
      <c r="L789" t="str">
        <f t="shared" si="36"/>
        <v>comp9WR</v>
      </c>
      <c r="M789">
        <f>COUNTIF(L$1:L789,L789)</f>
        <v>1</v>
      </c>
      <c r="N789" t="str">
        <f t="shared" si="37"/>
        <v>comp9WR-1</v>
      </c>
      <c r="O789">
        <f>COUNTIFS(F$1:F789,F789,A$1:A789,A789)</f>
        <v>9</v>
      </c>
      <c r="P789" t="str">
        <f t="shared" si="38"/>
        <v>Antonio Brown9</v>
      </c>
    </row>
    <row r="790" spans="1:16" x14ac:dyDescent="0.25">
      <c r="A790">
        <v>8</v>
      </c>
      <c r="B790" t="s">
        <v>132</v>
      </c>
      <c r="C790" t="s">
        <v>6263</v>
      </c>
      <c r="D790">
        <v>12.26</v>
      </c>
      <c r="E790" t="s">
        <v>66</v>
      </c>
      <c r="F790" t="s">
        <v>47</v>
      </c>
      <c r="G790">
        <v>19.48</v>
      </c>
      <c r="H790">
        <v>5.04</v>
      </c>
      <c r="I790">
        <v>7.22</v>
      </c>
      <c r="J790">
        <v>52.128399999999999</v>
      </c>
      <c r="K790" t="str">
        <f>IFERROR(INDEX(Rosters!$C$2:$C$155,MATCH($B790,Rosters!$B$2:$B$155,0)),"NA")</f>
        <v>scott</v>
      </c>
      <c r="L790" t="str">
        <f t="shared" si="36"/>
        <v>scott8RB</v>
      </c>
      <c r="M790">
        <f>COUNTIF(L$1:L790,L790)</f>
        <v>3</v>
      </c>
      <c r="N790" t="str">
        <f t="shared" si="37"/>
        <v>scott8RB-3</v>
      </c>
      <c r="O790">
        <f>COUNTIFS(F$1:F790,F790,A$1:A790,A790)</f>
        <v>12</v>
      </c>
      <c r="P790" t="str">
        <f t="shared" si="38"/>
        <v>Marshawn Lynch8</v>
      </c>
    </row>
    <row r="791" spans="1:16" x14ac:dyDescent="0.25">
      <c r="A791">
        <v>7</v>
      </c>
      <c r="B791" t="s">
        <v>130</v>
      </c>
      <c r="C791" t="s">
        <v>6264</v>
      </c>
      <c r="D791">
        <v>12.25</v>
      </c>
      <c r="E791" t="s">
        <v>17</v>
      </c>
      <c r="F791" t="s">
        <v>47</v>
      </c>
      <c r="G791">
        <v>18.21</v>
      </c>
      <c r="H791">
        <v>6.29</v>
      </c>
      <c r="I791">
        <v>5.96</v>
      </c>
      <c r="J791">
        <v>35.521599999999999</v>
      </c>
      <c r="K791" t="str">
        <f>IFERROR(INDEX(Rosters!$C$2:$C$155,MATCH($B791,Rosters!$B$2:$B$155,0)),"NA")</f>
        <v>cory</v>
      </c>
      <c r="L791" t="str">
        <f t="shared" si="36"/>
        <v>cory7RB</v>
      </c>
      <c r="M791">
        <f>COUNTIF(L$1:L791,L791)</f>
        <v>1</v>
      </c>
      <c r="N791" t="str">
        <f t="shared" si="37"/>
        <v>cory7RB-1</v>
      </c>
      <c r="O791">
        <f>COUNTIFS(F$1:F791,F791,A$1:A791,A791)</f>
        <v>10</v>
      </c>
      <c r="P791" t="str">
        <f t="shared" si="38"/>
        <v>Carlos Hyde7</v>
      </c>
    </row>
    <row r="792" spans="1:16" x14ac:dyDescent="0.25">
      <c r="A792">
        <v>15</v>
      </c>
      <c r="B792" t="s">
        <v>108</v>
      </c>
      <c r="C792" t="s">
        <v>6265</v>
      </c>
      <c r="D792">
        <v>12.23</v>
      </c>
      <c r="E792" t="s">
        <v>50</v>
      </c>
      <c r="F792" t="s">
        <v>87</v>
      </c>
      <c r="G792">
        <v>17.86</v>
      </c>
      <c r="H792">
        <v>6.6</v>
      </c>
      <c r="I792">
        <v>5.63</v>
      </c>
      <c r="J792">
        <v>31.696899999999999</v>
      </c>
      <c r="K792" t="str">
        <f>IFERROR(INDEX(Rosters!$C$2:$C$155,MATCH($B792,Rosters!$B$2:$B$155,0)),"NA")</f>
        <v>perry</v>
      </c>
      <c r="L792" t="str">
        <f t="shared" si="36"/>
        <v>perry15WR</v>
      </c>
      <c r="M792">
        <f>COUNTIF(L$1:L792,L792)</f>
        <v>1</v>
      </c>
      <c r="N792" t="str">
        <f t="shared" si="37"/>
        <v>perry15WR-1</v>
      </c>
      <c r="O792">
        <f>COUNTIFS(F$1:F792,F792,A$1:A792,A792)</f>
        <v>9</v>
      </c>
      <c r="P792" t="str">
        <f t="shared" si="38"/>
        <v>Brandin Cooks15</v>
      </c>
    </row>
    <row r="793" spans="1:16" x14ac:dyDescent="0.25">
      <c r="A793">
        <v>5</v>
      </c>
      <c r="B793" t="s">
        <v>1352</v>
      </c>
      <c r="C793" t="s">
        <v>6266</v>
      </c>
      <c r="D793">
        <v>12.22</v>
      </c>
      <c r="E793" t="s">
        <v>66</v>
      </c>
      <c r="F793" t="s">
        <v>47</v>
      </c>
      <c r="G793">
        <v>19.79</v>
      </c>
      <c r="H793">
        <v>4.6500000000000004</v>
      </c>
      <c r="I793">
        <v>7.57</v>
      </c>
      <c r="J793">
        <v>57.304900000000004</v>
      </c>
      <c r="K793" t="str">
        <f>IFERROR(INDEX(Rosters!$C$2:$C$155,MATCH($B793,Rosters!$B$2:$B$155,0)),"NA")</f>
        <v>devon</v>
      </c>
      <c r="L793" t="str">
        <f t="shared" si="36"/>
        <v>devon5RB</v>
      </c>
      <c r="M793">
        <f>COUNTIF(L$1:L793,L793)</f>
        <v>2</v>
      </c>
      <c r="N793" t="str">
        <f t="shared" si="37"/>
        <v>devon5RB-2</v>
      </c>
      <c r="O793">
        <f>COUNTIFS(F$1:F793,F793,A$1:A793,A793)</f>
        <v>10</v>
      </c>
      <c r="P793" t="str">
        <f t="shared" si="38"/>
        <v>Sony Michel5</v>
      </c>
    </row>
    <row r="794" spans="1:16" x14ac:dyDescent="0.25">
      <c r="A794">
        <v>12</v>
      </c>
      <c r="B794" t="s">
        <v>45</v>
      </c>
      <c r="C794" t="s">
        <v>6267</v>
      </c>
      <c r="D794">
        <v>12.21</v>
      </c>
      <c r="E794" t="s">
        <v>37</v>
      </c>
      <c r="F794" t="s">
        <v>47</v>
      </c>
      <c r="G794">
        <v>20.239999999999998</v>
      </c>
      <c r="H794">
        <v>4.18</v>
      </c>
      <c r="I794">
        <v>8.0299999999999994</v>
      </c>
      <c r="J794">
        <v>64.480900000000005</v>
      </c>
      <c r="K794" t="str">
        <f>IFERROR(INDEX(Rosters!$C$2:$C$155,MATCH($B794,Rosters!$B$2:$B$155,0)),"NA")</f>
        <v>matty</v>
      </c>
      <c r="L794" t="str">
        <f t="shared" si="36"/>
        <v>matty12RB</v>
      </c>
      <c r="M794">
        <f>COUNTIF(L$1:L794,L794)</f>
        <v>2</v>
      </c>
      <c r="N794" t="str">
        <f t="shared" si="37"/>
        <v>matty12RB-2</v>
      </c>
      <c r="O794">
        <f>COUNTIFS(F$1:F794,F794,A$1:A794,A794)</f>
        <v>9</v>
      </c>
      <c r="P794" t="str">
        <f t="shared" si="38"/>
        <v>David Johnson12</v>
      </c>
    </row>
    <row r="795" spans="1:16" x14ac:dyDescent="0.25">
      <c r="A795">
        <v>8</v>
      </c>
      <c r="B795" t="s">
        <v>1105</v>
      </c>
      <c r="C795" t="s">
        <v>6268</v>
      </c>
      <c r="D795">
        <v>12.21</v>
      </c>
      <c r="E795" t="s">
        <v>52</v>
      </c>
      <c r="F795" t="s">
        <v>87</v>
      </c>
      <c r="G795">
        <v>18.829999999999998</v>
      </c>
      <c r="H795">
        <v>5.59</v>
      </c>
      <c r="I795">
        <v>6.62</v>
      </c>
      <c r="J795">
        <v>43.824399999999997</v>
      </c>
      <c r="K795" t="str">
        <f>IFERROR(INDEX(Rosters!$C$2:$C$155,MATCH($B795,Rosters!$B$2:$B$155,0)),"NA")</f>
        <v>scott</v>
      </c>
      <c r="L795" t="str">
        <f t="shared" si="36"/>
        <v>scott8WR</v>
      </c>
      <c r="M795">
        <f>COUNTIF(L$1:L795,L795)</f>
        <v>1</v>
      </c>
      <c r="N795" t="str">
        <f t="shared" si="37"/>
        <v>scott8WR-1</v>
      </c>
      <c r="O795">
        <f>COUNTIFS(F$1:F795,F795,A$1:A795,A795)</f>
        <v>9</v>
      </c>
      <c r="P795" t="str">
        <f t="shared" si="38"/>
        <v>JuJu Smith-Schuster8</v>
      </c>
    </row>
    <row r="796" spans="1:16" x14ac:dyDescent="0.25">
      <c r="A796">
        <v>5</v>
      </c>
      <c r="B796" t="s">
        <v>86</v>
      </c>
      <c r="C796" t="s">
        <v>6269</v>
      </c>
      <c r="D796">
        <v>12.21</v>
      </c>
      <c r="E796" t="s">
        <v>74</v>
      </c>
      <c r="F796" t="s">
        <v>87</v>
      </c>
      <c r="G796">
        <v>19.73</v>
      </c>
      <c r="H796">
        <v>4.6900000000000004</v>
      </c>
      <c r="I796">
        <v>7.52</v>
      </c>
      <c r="J796">
        <v>56.550400000000003</v>
      </c>
      <c r="K796" t="str">
        <f>IFERROR(INDEX(Rosters!$C$2:$C$155,MATCH($B796,Rosters!$B$2:$B$155,0)),"NA")</f>
        <v>seth</v>
      </c>
      <c r="L796" t="str">
        <f t="shared" si="36"/>
        <v>seth5WR</v>
      </c>
      <c r="M796">
        <f>COUNTIF(L$1:L796,L796)</f>
        <v>2</v>
      </c>
      <c r="N796" t="str">
        <f t="shared" si="37"/>
        <v>seth5WR-2</v>
      </c>
      <c r="O796">
        <f>COUNTIFS(F$1:F796,F796,A$1:A796,A796)</f>
        <v>7</v>
      </c>
      <c r="P796" t="str">
        <f t="shared" si="38"/>
        <v>Odell Beckham Jr.5</v>
      </c>
    </row>
    <row r="797" spans="1:16" x14ac:dyDescent="0.25">
      <c r="A797">
        <v>15</v>
      </c>
      <c r="B797" t="s">
        <v>104</v>
      </c>
      <c r="C797" t="s">
        <v>6270</v>
      </c>
      <c r="D797">
        <v>12.2</v>
      </c>
      <c r="E797" t="s">
        <v>32</v>
      </c>
      <c r="F797" t="s">
        <v>87</v>
      </c>
      <c r="G797">
        <v>17.739999999999998</v>
      </c>
      <c r="H797">
        <v>6.66</v>
      </c>
      <c r="I797">
        <v>5.54</v>
      </c>
      <c r="J797">
        <v>30.691600000000001</v>
      </c>
      <c r="K797" t="str">
        <f>IFERROR(INDEX(Rosters!$C$2:$C$155,MATCH($B797,Rosters!$B$2:$B$155,0)),"NA")</f>
        <v>devon</v>
      </c>
      <c r="L797" t="str">
        <f t="shared" si="36"/>
        <v>devon15WR</v>
      </c>
      <c r="M797">
        <f>COUNTIF(L$1:L797,L797)</f>
        <v>1</v>
      </c>
      <c r="N797" t="str">
        <f t="shared" si="37"/>
        <v>devon15WR-1</v>
      </c>
      <c r="O797">
        <f>COUNTIFS(F$1:F797,F797,A$1:A797,A797)</f>
        <v>10</v>
      </c>
      <c r="P797" t="str">
        <f t="shared" si="38"/>
        <v>A.J. Green15</v>
      </c>
    </row>
    <row r="798" spans="1:16" x14ac:dyDescent="0.25">
      <c r="A798">
        <v>13</v>
      </c>
      <c r="B798" t="s">
        <v>33</v>
      </c>
      <c r="C798" t="s">
        <v>6271</v>
      </c>
      <c r="D798">
        <v>12.2</v>
      </c>
      <c r="E798" t="s">
        <v>76</v>
      </c>
      <c r="F798" t="s">
        <v>15</v>
      </c>
      <c r="G798">
        <v>18.28</v>
      </c>
      <c r="H798">
        <v>6.12</v>
      </c>
      <c r="I798">
        <v>6.08</v>
      </c>
      <c r="J798">
        <v>36.9664</v>
      </c>
      <c r="K798" t="str">
        <f>IFERROR(INDEX(Rosters!$C$2:$C$155,MATCH($B798,Rosters!$B$2:$B$155,0)),"NA")</f>
        <v>comp</v>
      </c>
      <c r="L798" t="str">
        <f t="shared" si="36"/>
        <v>comp13QB</v>
      </c>
      <c r="M798">
        <f>COUNTIF(L$1:L798,L798)</f>
        <v>2</v>
      </c>
      <c r="N798" t="str">
        <f t="shared" si="37"/>
        <v>comp13QB-2</v>
      </c>
      <c r="O798">
        <f>COUNTIFS(F$1:F798,F798,A$1:A798,A798)</f>
        <v>31</v>
      </c>
      <c r="P798" t="str">
        <f t="shared" si="38"/>
        <v>Andrew Luck13</v>
      </c>
    </row>
    <row r="799" spans="1:16" x14ac:dyDescent="0.25">
      <c r="A799">
        <v>13</v>
      </c>
      <c r="B799" t="s">
        <v>108</v>
      </c>
      <c r="C799" t="s">
        <v>6272</v>
      </c>
      <c r="D799">
        <v>12.2</v>
      </c>
      <c r="E799" t="s">
        <v>34</v>
      </c>
      <c r="F799" t="s">
        <v>87</v>
      </c>
      <c r="G799">
        <v>18.690000000000001</v>
      </c>
      <c r="H799">
        <v>5.71</v>
      </c>
      <c r="I799">
        <v>6.49</v>
      </c>
      <c r="J799">
        <v>42.120100000000001</v>
      </c>
      <c r="K799" t="str">
        <f>IFERROR(INDEX(Rosters!$C$2:$C$155,MATCH($B799,Rosters!$B$2:$B$155,0)),"NA")</f>
        <v>perry</v>
      </c>
      <c r="L799" t="str">
        <f t="shared" si="36"/>
        <v>perry13WR</v>
      </c>
      <c r="M799">
        <f>COUNTIF(L$1:L799,L799)</f>
        <v>1</v>
      </c>
      <c r="N799" t="str">
        <f t="shared" si="37"/>
        <v>perry13WR-1</v>
      </c>
      <c r="O799">
        <f>COUNTIFS(F$1:F799,F799,A$1:A799,A799)</f>
        <v>5</v>
      </c>
      <c r="P799" t="str">
        <f t="shared" si="38"/>
        <v>Brandin Cooks13</v>
      </c>
    </row>
    <row r="800" spans="1:16" x14ac:dyDescent="0.25">
      <c r="A800">
        <v>8</v>
      </c>
      <c r="B800" t="s">
        <v>1537</v>
      </c>
      <c r="C800" t="s">
        <v>6271</v>
      </c>
      <c r="D800">
        <v>12.2</v>
      </c>
      <c r="E800" t="s">
        <v>58</v>
      </c>
      <c r="F800" t="s">
        <v>15</v>
      </c>
      <c r="G800">
        <v>18.28</v>
      </c>
      <c r="H800">
        <v>6.12</v>
      </c>
      <c r="I800">
        <v>6.08</v>
      </c>
      <c r="J800">
        <v>36.9664</v>
      </c>
      <c r="K800" t="str">
        <f>IFERROR(INDEX(Rosters!$C$2:$C$155,MATCH($B800,Rosters!$B$2:$B$155,0)),"NA")</f>
        <v>NA</v>
      </c>
      <c r="L800" t="str">
        <f t="shared" si="36"/>
        <v>NA8QB</v>
      </c>
      <c r="M800">
        <f>COUNTIF(L$1:L800,L800)</f>
        <v>13</v>
      </c>
      <c r="N800" t="str">
        <f t="shared" si="37"/>
        <v>NA8QB-13</v>
      </c>
      <c r="O800">
        <f>COUNTIFS(F$1:F800,F800,A$1:A800,A800)</f>
        <v>28</v>
      </c>
      <c r="P800" t="str">
        <f t="shared" si="38"/>
        <v>C.J. Beathard8</v>
      </c>
    </row>
    <row r="801" spans="1:16" x14ac:dyDescent="0.25">
      <c r="A801">
        <v>10</v>
      </c>
      <c r="B801" t="s">
        <v>124</v>
      </c>
      <c r="C801" t="s">
        <v>6273</v>
      </c>
      <c r="D801">
        <v>12.2</v>
      </c>
      <c r="E801" t="s">
        <v>58</v>
      </c>
      <c r="F801" t="s">
        <v>87</v>
      </c>
      <c r="G801">
        <v>18.89</v>
      </c>
      <c r="H801">
        <v>5.51</v>
      </c>
      <c r="I801">
        <v>6.69</v>
      </c>
      <c r="J801">
        <v>44.756100000000004</v>
      </c>
      <c r="K801" t="str">
        <f>IFERROR(INDEX(Rosters!$C$2:$C$155,MATCH($B801,Rosters!$B$2:$B$155,0)),"NA")</f>
        <v>matty</v>
      </c>
      <c r="L801" t="str">
        <f t="shared" si="36"/>
        <v>matty10WR</v>
      </c>
      <c r="M801">
        <f>COUNTIF(L$1:L801,L801)</f>
        <v>1</v>
      </c>
      <c r="N801" t="str">
        <f t="shared" si="37"/>
        <v>matty10WR-1</v>
      </c>
      <c r="O801">
        <f>COUNTIFS(F$1:F801,F801,A$1:A801,A801)</f>
        <v>8</v>
      </c>
      <c r="P801" t="str">
        <f t="shared" si="38"/>
        <v>Tyreek Hill10</v>
      </c>
    </row>
    <row r="802" spans="1:16" x14ac:dyDescent="0.25">
      <c r="A802">
        <v>16</v>
      </c>
      <c r="B802" t="s">
        <v>93</v>
      </c>
      <c r="C802" t="s">
        <v>6274</v>
      </c>
      <c r="D802">
        <v>12.18</v>
      </c>
      <c r="E802" t="s">
        <v>74</v>
      </c>
      <c r="F802" t="s">
        <v>87</v>
      </c>
      <c r="G802">
        <v>19.57</v>
      </c>
      <c r="H802">
        <v>4.79</v>
      </c>
      <c r="I802">
        <v>7.39</v>
      </c>
      <c r="J802">
        <v>54.612099999999998</v>
      </c>
      <c r="K802" t="str">
        <f>IFERROR(INDEX(Rosters!$C$2:$C$155,MATCH($B802,Rosters!$B$2:$B$155,0)),"NA")</f>
        <v>cory</v>
      </c>
      <c r="L802" t="str">
        <f t="shared" si="36"/>
        <v>cory16WR</v>
      </c>
      <c r="M802">
        <f>COUNTIF(L$1:L802,L802)</f>
        <v>2</v>
      </c>
      <c r="N802" t="str">
        <f t="shared" si="37"/>
        <v>cory16WR-2</v>
      </c>
      <c r="O802">
        <f>COUNTIFS(F$1:F802,F802,A$1:A802,A802)</f>
        <v>9</v>
      </c>
      <c r="P802" t="str">
        <f t="shared" si="38"/>
        <v>Julio Jones16</v>
      </c>
    </row>
    <row r="803" spans="1:16" x14ac:dyDescent="0.25">
      <c r="A803">
        <v>5</v>
      </c>
      <c r="B803" t="s">
        <v>108</v>
      </c>
      <c r="C803" t="s">
        <v>6275</v>
      </c>
      <c r="D803">
        <v>12.13</v>
      </c>
      <c r="E803" t="s">
        <v>28</v>
      </c>
      <c r="F803" t="s">
        <v>87</v>
      </c>
      <c r="G803">
        <v>19.46</v>
      </c>
      <c r="H803">
        <v>4.8</v>
      </c>
      <c r="I803">
        <v>7.33</v>
      </c>
      <c r="J803">
        <v>53.728900000000003</v>
      </c>
      <c r="K803" t="str">
        <f>IFERROR(INDEX(Rosters!$C$2:$C$155,MATCH($B803,Rosters!$B$2:$B$155,0)),"NA")</f>
        <v>perry</v>
      </c>
      <c r="L803" t="str">
        <f t="shared" si="36"/>
        <v>perry5WR</v>
      </c>
      <c r="M803">
        <f>COUNTIF(L$1:L803,L803)</f>
        <v>1</v>
      </c>
      <c r="N803" t="str">
        <f t="shared" si="37"/>
        <v>perry5WR-1</v>
      </c>
      <c r="O803">
        <f>COUNTIFS(F$1:F803,F803,A$1:A803,A803)</f>
        <v>8</v>
      </c>
      <c r="P803" t="str">
        <f t="shared" si="38"/>
        <v>Brandin Cooks5</v>
      </c>
    </row>
    <row r="804" spans="1:16" x14ac:dyDescent="0.25">
      <c r="A804">
        <v>17</v>
      </c>
      <c r="B804" t="s">
        <v>111</v>
      </c>
      <c r="C804" t="s">
        <v>6276</v>
      </c>
      <c r="D804">
        <v>12.13</v>
      </c>
      <c r="E804" t="s">
        <v>36</v>
      </c>
      <c r="F804" t="s">
        <v>47</v>
      </c>
      <c r="G804">
        <v>19.920000000000002</v>
      </c>
      <c r="H804">
        <v>4.34</v>
      </c>
      <c r="I804">
        <v>7.79</v>
      </c>
      <c r="J804">
        <v>60.684100000000001</v>
      </c>
      <c r="K804" t="str">
        <f>IFERROR(INDEX(Rosters!$C$2:$C$155,MATCH($B804,Rosters!$B$2:$B$155,0)),"NA")</f>
        <v>seth</v>
      </c>
      <c r="L804" t="str">
        <f t="shared" si="36"/>
        <v>seth17RB</v>
      </c>
      <c r="M804">
        <f>COUNTIF(L$1:L804,L804)</f>
        <v>1</v>
      </c>
      <c r="N804" t="str">
        <f t="shared" si="37"/>
        <v>seth17RB-1</v>
      </c>
      <c r="O804">
        <f>COUNTIFS(F$1:F804,F804,A$1:A804,A804)</f>
        <v>8</v>
      </c>
      <c r="P804" t="str">
        <f t="shared" si="38"/>
        <v>Leonard Fournette17</v>
      </c>
    </row>
    <row r="805" spans="1:16" x14ac:dyDescent="0.25">
      <c r="A805">
        <v>2</v>
      </c>
      <c r="B805" t="s">
        <v>82</v>
      </c>
      <c r="C805" t="s">
        <v>1308</v>
      </c>
      <c r="D805">
        <v>12.12</v>
      </c>
      <c r="E805" t="s">
        <v>31</v>
      </c>
      <c r="F805" t="s">
        <v>15</v>
      </c>
      <c r="G805">
        <v>18.25</v>
      </c>
      <c r="H805">
        <v>5.99</v>
      </c>
      <c r="I805">
        <v>6.13</v>
      </c>
      <c r="J805">
        <v>37.576900000000002</v>
      </c>
      <c r="K805" t="str">
        <f>IFERROR(INDEX(Rosters!$C$2:$C$155,MATCH($B805,Rosters!$B$2:$B$155,0)),"NA")</f>
        <v>NA</v>
      </c>
      <c r="L805" t="str">
        <f t="shared" si="36"/>
        <v>NA2QB</v>
      </c>
      <c r="M805">
        <f>COUNTIF(L$1:L805,L805)</f>
        <v>15</v>
      </c>
      <c r="N805" t="str">
        <f t="shared" si="37"/>
        <v>NA2QB-15</v>
      </c>
      <c r="O805">
        <f>COUNTIFS(F$1:F805,F805,A$1:A805,A805)</f>
        <v>30</v>
      </c>
      <c r="P805" t="str">
        <f t="shared" si="38"/>
        <v>Joe Flacco2</v>
      </c>
    </row>
    <row r="806" spans="1:16" x14ac:dyDescent="0.25">
      <c r="A806">
        <v>3</v>
      </c>
      <c r="B806" t="s">
        <v>154</v>
      </c>
      <c r="C806" t="s">
        <v>3644</v>
      </c>
      <c r="D806">
        <v>12.12</v>
      </c>
      <c r="E806" t="s">
        <v>56</v>
      </c>
      <c r="F806" t="s">
        <v>87</v>
      </c>
      <c r="G806">
        <v>20.37</v>
      </c>
      <c r="H806">
        <v>3.87</v>
      </c>
      <c r="I806">
        <v>8.25</v>
      </c>
      <c r="J806">
        <v>68.0625</v>
      </c>
      <c r="K806" t="str">
        <f>IFERROR(INDEX(Rosters!$C$2:$C$155,MATCH($B806,Rosters!$B$2:$B$155,0)),"NA")</f>
        <v>chad</v>
      </c>
      <c r="L806" t="str">
        <f t="shared" si="36"/>
        <v>chad3WR</v>
      </c>
      <c r="M806">
        <f>COUNTIF(L$1:L806,L806)</f>
        <v>1</v>
      </c>
      <c r="N806" t="str">
        <f t="shared" si="37"/>
        <v>chad3WR-1</v>
      </c>
      <c r="O806">
        <f>COUNTIFS(F$1:F806,F806,A$1:A806,A806)</f>
        <v>8</v>
      </c>
      <c r="P806" t="str">
        <f t="shared" si="38"/>
        <v>Keenan Allen3</v>
      </c>
    </row>
    <row r="807" spans="1:16" x14ac:dyDescent="0.25">
      <c r="A807">
        <v>14</v>
      </c>
      <c r="B807" t="s">
        <v>108</v>
      </c>
      <c r="C807" t="s">
        <v>6277</v>
      </c>
      <c r="D807">
        <v>12.11</v>
      </c>
      <c r="E807" t="s">
        <v>72</v>
      </c>
      <c r="F807" t="s">
        <v>87</v>
      </c>
      <c r="G807">
        <v>17.43</v>
      </c>
      <c r="H807">
        <v>6.79</v>
      </c>
      <c r="I807">
        <v>5.32</v>
      </c>
      <c r="J807">
        <v>28.302399999999999</v>
      </c>
      <c r="K807" t="str">
        <f>IFERROR(INDEX(Rosters!$C$2:$C$155,MATCH($B807,Rosters!$B$2:$B$155,0)),"NA")</f>
        <v>perry</v>
      </c>
      <c r="L807" t="str">
        <f t="shared" si="36"/>
        <v>perry14WR</v>
      </c>
      <c r="M807">
        <f>COUNTIF(L$1:L807,L807)</f>
        <v>2</v>
      </c>
      <c r="N807" t="str">
        <f t="shared" si="37"/>
        <v>perry14WR-2</v>
      </c>
      <c r="O807">
        <f>COUNTIFS(F$1:F807,F807,A$1:A807,A807)</f>
        <v>9</v>
      </c>
      <c r="P807" t="str">
        <f t="shared" si="38"/>
        <v>Brandin Cooks14</v>
      </c>
    </row>
    <row r="808" spans="1:16" x14ac:dyDescent="0.25">
      <c r="A808">
        <v>5</v>
      </c>
      <c r="B808" t="s">
        <v>245</v>
      </c>
      <c r="C808" t="s">
        <v>6278</v>
      </c>
      <c r="D808">
        <v>12.09</v>
      </c>
      <c r="E808" t="s">
        <v>24</v>
      </c>
      <c r="F808" t="s">
        <v>47</v>
      </c>
      <c r="G808">
        <v>20.11</v>
      </c>
      <c r="H808">
        <v>4.07</v>
      </c>
      <c r="I808">
        <v>8.02</v>
      </c>
      <c r="J808">
        <v>64.320400000000006</v>
      </c>
      <c r="K808" t="str">
        <f>IFERROR(INDEX(Rosters!$C$2:$C$155,MATCH($B808,Rosters!$B$2:$B$155,0)),"NA")</f>
        <v>seth</v>
      </c>
      <c r="L808" t="str">
        <f t="shared" si="36"/>
        <v>seth5RB</v>
      </c>
      <c r="M808">
        <f>COUNTIF(L$1:L808,L808)</f>
        <v>1</v>
      </c>
      <c r="N808" t="str">
        <f t="shared" si="37"/>
        <v>seth5RB-1</v>
      </c>
      <c r="O808">
        <f>COUNTIFS(F$1:F808,F808,A$1:A808,A808)</f>
        <v>11</v>
      </c>
      <c r="P808" t="str">
        <f t="shared" si="38"/>
        <v>T.J. Yeldon5</v>
      </c>
    </row>
    <row r="809" spans="1:16" x14ac:dyDescent="0.25">
      <c r="A809">
        <v>17</v>
      </c>
      <c r="B809" t="s">
        <v>120</v>
      </c>
      <c r="C809" t="s">
        <v>6279</v>
      </c>
      <c r="D809">
        <v>12.08</v>
      </c>
      <c r="E809" t="s">
        <v>76</v>
      </c>
      <c r="F809" t="s">
        <v>87</v>
      </c>
      <c r="G809">
        <v>18.27</v>
      </c>
      <c r="H809">
        <v>5.89</v>
      </c>
      <c r="I809">
        <v>6.19</v>
      </c>
      <c r="J809">
        <v>38.316099999999999</v>
      </c>
      <c r="K809" t="str">
        <f>IFERROR(INDEX(Rosters!$C$2:$C$155,MATCH($B809,Rosters!$B$2:$B$155,0)),"NA")</f>
        <v>aj</v>
      </c>
      <c r="L809" t="str">
        <f t="shared" si="36"/>
        <v>aj17WR</v>
      </c>
      <c r="M809">
        <f>COUNTIF(L$1:L809,L809)</f>
        <v>1</v>
      </c>
      <c r="N809" t="str">
        <f t="shared" si="37"/>
        <v>aj17WR-1</v>
      </c>
      <c r="O809">
        <f>COUNTIFS(F$1:F809,F809,A$1:A809,A809)</f>
        <v>11</v>
      </c>
      <c r="P809" t="str">
        <f t="shared" si="38"/>
        <v>DeAndre Hopkins17</v>
      </c>
    </row>
    <row r="810" spans="1:16" x14ac:dyDescent="0.25">
      <c r="A810">
        <v>7</v>
      </c>
      <c r="B810" t="s">
        <v>123</v>
      </c>
      <c r="C810" t="s">
        <v>6280</v>
      </c>
      <c r="D810">
        <v>12.08</v>
      </c>
      <c r="E810" t="s">
        <v>24</v>
      </c>
      <c r="F810" t="s">
        <v>47</v>
      </c>
      <c r="G810">
        <v>20.55</v>
      </c>
      <c r="H810">
        <v>3.61</v>
      </c>
      <c r="I810">
        <v>8.4700000000000006</v>
      </c>
      <c r="J810">
        <v>71.740899999999996</v>
      </c>
      <c r="K810" t="str">
        <f>IFERROR(INDEX(Rosters!$C$2:$C$155,MATCH($B810,Rosters!$B$2:$B$155,0)),"NA")</f>
        <v>aj</v>
      </c>
      <c r="L810" t="str">
        <f t="shared" si="36"/>
        <v>aj7RB</v>
      </c>
      <c r="M810">
        <f>COUNTIF(L$1:L810,L810)</f>
        <v>1</v>
      </c>
      <c r="N810" t="str">
        <f t="shared" si="37"/>
        <v>aj7RB-1</v>
      </c>
      <c r="O810">
        <f>COUNTIFS(F$1:F810,F810,A$1:A810,A810)</f>
        <v>11</v>
      </c>
      <c r="P810" t="str">
        <f t="shared" si="38"/>
        <v>Joe Mixon7</v>
      </c>
    </row>
    <row r="811" spans="1:16" x14ac:dyDescent="0.25">
      <c r="A811">
        <v>17</v>
      </c>
      <c r="B811" t="s">
        <v>127</v>
      </c>
      <c r="C811" t="s">
        <v>6281</v>
      </c>
      <c r="D811">
        <v>12.06</v>
      </c>
      <c r="E811" t="s">
        <v>72</v>
      </c>
      <c r="F811" t="s">
        <v>47</v>
      </c>
      <c r="G811">
        <v>20.04</v>
      </c>
      <c r="H811">
        <v>4.08</v>
      </c>
      <c r="I811">
        <v>7.98</v>
      </c>
      <c r="J811">
        <v>63.680399999999999</v>
      </c>
      <c r="K811" t="str">
        <f>IFERROR(INDEX(Rosters!$C$2:$C$155,MATCH($B811,Rosters!$B$2:$B$155,0)),"NA")</f>
        <v>aj</v>
      </c>
      <c r="L811" t="str">
        <f t="shared" si="36"/>
        <v>aj17RB</v>
      </c>
      <c r="M811">
        <f>COUNTIF(L$1:L811,L811)</f>
        <v>1</v>
      </c>
      <c r="N811" t="str">
        <f t="shared" si="37"/>
        <v>aj17RB-1</v>
      </c>
      <c r="O811">
        <f>COUNTIFS(F$1:F811,F811,A$1:A811,A811)</f>
        <v>9</v>
      </c>
      <c r="P811" t="str">
        <f t="shared" si="38"/>
        <v>Dalvin Cook17</v>
      </c>
    </row>
    <row r="812" spans="1:16" x14ac:dyDescent="0.25">
      <c r="A812">
        <v>4</v>
      </c>
      <c r="B812" t="s">
        <v>1506</v>
      </c>
      <c r="C812" t="s">
        <v>4435</v>
      </c>
      <c r="D812">
        <v>12.06</v>
      </c>
      <c r="E812" t="s">
        <v>28</v>
      </c>
      <c r="F812" t="s">
        <v>15</v>
      </c>
      <c r="G812">
        <v>18.489999999999998</v>
      </c>
      <c r="H812">
        <v>5.63</v>
      </c>
      <c r="I812">
        <v>6.43</v>
      </c>
      <c r="J812">
        <v>41.344900000000003</v>
      </c>
      <c r="K812" t="str">
        <f>IFERROR(INDEX(Rosters!$C$2:$C$155,MATCH($B812,Rosters!$B$2:$B$155,0)),"NA")</f>
        <v>NA</v>
      </c>
      <c r="L812" t="str">
        <f t="shared" si="36"/>
        <v>NA4QB</v>
      </c>
      <c r="M812">
        <f>COUNTIF(L$1:L812,L812)</f>
        <v>14</v>
      </c>
      <c r="N812" t="str">
        <f t="shared" si="37"/>
        <v>NA4QB-14</v>
      </c>
      <c r="O812">
        <f>COUNTIFS(F$1:F812,F812,A$1:A812,A812)</f>
        <v>29</v>
      </c>
      <c r="P812" t="str">
        <f t="shared" si="38"/>
        <v>Josh Rosen4</v>
      </c>
    </row>
    <row r="813" spans="1:16" x14ac:dyDescent="0.25">
      <c r="A813">
        <v>17</v>
      </c>
      <c r="B813" t="s">
        <v>112</v>
      </c>
      <c r="C813" t="s">
        <v>6282</v>
      </c>
      <c r="D813">
        <v>12.03</v>
      </c>
      <c r="E813" t="s">
        <v>14</v>
      </c>
      <c r="F813" t="s">
        <v>47</v>
      </c>
      <c r="G813">
        <v>18.02</v>
      </c>
      <c r="H813">
        <v>6.04</v>
      </c>
      <c r="I813">
        <v>5.99</v>
      </c>
      <c r="J813">
        <v>35.880099999999999</v>
      </c>
      <c r="K813" t="str">
        <f>IFERROR(INDEX(Rosters!$C$2:$C$155,MATCH($B813,Rosters!$B$2:$B$155,0)),"NA")</f>
        <v>devon</v>
      </c>
      <c r="L813" t="str">
        <f t="shared" si="36"/>
        <v>devon17RB</v>
      </c>
      <c r="M813">
        <f>COUNTIF(L$1:L813,L813)</f>
        <v>1</v>
      </c>
      <c r="N813" t="str">
        <f t="shared" si="37"/>
        <v>devon17RB-1</v>
      </c>
      <c r="O813">
        <f>COUNTIFS(F$1:F813,F813,A$1:A813,A813)</f>
        <v>10</v>
      </c>
      <c r="P813" t="str">
        <f t="shared" si="38"/>
        <v>Christian McCaffrey17</v>
      </c>
    </row>
    <row r="814" spans="1:16" x14ac:dyDescent="0.25">
      <c r="A814">
        <v>3</v>
      </c>
      <c r="B814" t="s">
        <v>97</v>
      </c>
      <c r="C814" t="s">
        <v>3645</v>
      </c>
      <c r="D814">
        <v>12.03</v>
      </c>
      <c r="E814" t="s">
        <v>58</v>
      </c>
      <c r="F814" t="s">
        <v>47</v>
      </c>
      <c r="G814">
        <v>18.440000000000001</v>
      </c>
      <c r="H814">
        <v>5.62</v>
      </c>
      <c r="I814">
        <v>6.41</v>
      </c>
      <c r="J814">
        <v>41.088099999999997</v>
      </c>
      <c r="K814" t="str">
        <f>IFERROR(INDEX(Rosters!$C$2:$C$155,MATCH($B814,Rosters!$B$2:$B$155,0)),"NA")</f>
        <v>chad</v>
      </c>
      <c r="L814" t="str">
        <f t="shared" si="36"/>
        <v>chad3RB</v>
      </c>
      <c r="M814">
        <f>COUNTIF(L$1:L814,L814)</f>
        <v>2</v>
      </c>
      <c r="N814" t="str">
        <f t="shared" si="37"/>
        <v>chad3RB-2</v>
      </c>
      <c r="O814">
        <f>COUNTIFS(F$1:F814,F814,A$1:A814,A814)</f>
        <v>10</v>
      </c>
      <c r="P814" t="str">
        <f t="shared" si="38"/>
        <v>Jordan Howard3</v>
      </c>
    </row>
    <row r="815" spans="1:16" x14ac:dyDescent="0.25">
      <c r="A815">
        <v>6</v>
      </c>
      <c r="B815" t="s">
        <v>127</v>
      </c>
      <c r="C815" t="s">
        <v>6283</v>
      </c>
      <c r="D815">
        <v>12.02</v>
      </c>
      <c r="E815" t="s">
        <v>58</v>
      </c>
      <c r="F815" t="s">
        <v>47</v>
      </c>
      <c r="G815">
        <v>20.12</v>
      </c>
      <c r="H815">
        <v>3.92</v>
      </c>
      <c r="I815">
        <v>8.1</v>
      </c>
      <c r="J815">
        <v>65.61</v>
      </c>
      <c r="K815" t="str">
        <f>IFERROR(INDEX(Rosters!$C$2:$C$155,MATCH($B815,Rosters!$B$2:$B$155,0)),"NA")</f>
        <v>aj</v>
      </c>
      <c r="L815" t="str">
        <f t="shared" si="36"/>
        <v>aj6RB</v>
      </c>
      <c r="M815">
        <f>COUNTIF(L$1:L815,L815)</f>
        <v>2</v>
      </c>
      <c r="N815" t="str">
        <f t="shared" si="37"/>
        <v>aj6RB-2</v>
      </c>
      <c r="O815">
        <f>COUNTIFS(F$1:F815,F815,A$1:A815,A815)</f>
        <v>12</v>
      </c>
      <c r="P815" t="str">
        <f t="shared" si="38"/>
        <v>Dalvin Cook6</v>
      </c>
    </row>
    <row r="816" spans="1:16" x14ac:dyDescent="0.25">
      <c r="A816">
        <v>2</v>
      </c>
      <c r="B816" t="s">
        <v>86</v>
      </c>
      <c r="C816" t="s">
        <v>3646</v>
      </c>
      <c r="D816">
        <v>12.02</v>
      </c>
      <c r="E816" t="s">
        <v>22</v>
      </c>
      <c r="F816" t="s">
        <v>87</v>
      </c>
      <c r="G816">
        <v>19.670000000000002</v>
      </c>
      <c r="H816">
        <v>4.37</v>
      </c>
      <c r="I816">
        <v>7.65</v>
      </c>
      <c r="J816">
        <v>58.522500000000001</v>
      </c>
      <c r="K816" t="str">
        <f>IFERROR(INDEX(Rosters!$C$2:$C$155,MATCH($B816,Rosters!$B$2:$B$155,0)),"NA")</f>
        <v>seth</v>
      </c>
      <c r="L816" t="str">
        <f t="shared" si="36"/>
        <v>seth2WR</v>
      </c>
      <c r="M816">
        <f>COUNTIF(L$1:L816,L816)</f>
        <v>1</v>
      </c>
      <c r="N816" t="str">
        <f t="shared" si="37"/>
        <v>seth2WR-1</v>
      </c>
      <c r="O816">
        <f>COUNTIFS(F$1:F816,F816,A$1:A816,A816)</f>
        <v>4</v>
      </c>
      <c r="P816" t="str">
        <f t="shared" si="38"/>
        <v>Odell Beckham Jr.2</v>
      </c>
    </row>
    <row r="817" spans="1:16" x14ac:dyDescent="0.25">
      <c r="A817">
        <v>17</v>
      </c>
      <c r="B817" t="s">
        <v>90</v>
      </c>
      <c r="C817" t="s">
        <v>6284</v>
      </c>
      <c r="D817">
        <v>12</v>
      </c>
      <c r="E817" t="s">
        <v>17</v>
      </c>
      <c r="F817" t="s">
        <v>47</v>
      </c>
      <c r="G817">
        <v>19.59</v>
      </c>
      <c r="H817">
        <v>4.41</v>
      </c>
      <c r="I817">
        <v>7.59</v>
      </c>
      <c r="J817">
        <v>57.6081</v>
      </c>
      <c r="K817" t="str">
        <f>IFERROR(INDEX(Rosters!$C$2:$C$155,MATCH($B817,Rosters!$B$2:$B$155,0)),"NA")</f>
        <v>devon</v>
      </c>
      <c r="L817" t="str">
        <f t="shared" si="36"/>
        <v>devon17RB</v>
      </c>
      <c r="M817">
        <f>COUNTIF(L$1:L817,L817)</f>
        <v>2</v>
      </c>
      <c r="N817" t="str">
        <f t="shared" si="37"/>
        <v>devon17RB-2</v>
      </c>
      <c r="O817">
        <f>COUNTIFS(F$1:F817,F817,A$1:A817,A817)</f>
        <v>11</v>
      </c>
      <c r="P817" t="str">
        <f t="shared" si="38"/>
        <v>Devonta Freeman17</v>
      </c>
    </row>
    <row r="818" spans="1:16" x14ac:dyDescent="0.25">
      <c r="A818">
        <v>2</v>
      </c>
      <c r="B818" t="s">
        <v>71</v>
      </c>
      <c r="C818" t="s">
        <v>1309</v>
      </c>
      <c r="D818">
        <v>11.98</v>
      </c>
      <c r="E818" t="s">
        <v>42</v>
      </c>
      <c r="F818" t="s">
        <v>15</v>
      </c>
      <c r="G818">
        <v>17.809999999999999</v>
      </c>
      <c r="H818">
        <v>6.15</v>
      </c>
      <c r="I818">
        <v>5.83</v>
      </c>
      <c r="J818">
        <v>33.988900000000001</v>
      </c>
      <c r="K818" t="str">
        <f>IFERROR(INDEX(Rosters!$C$2:$C$155,MATCH($B818,Rosters!$B$2:$B$155,0)),"NA")</f>
        <v>NA</v>
      </c>
      <c r="L818" t="str">
        <f t="shared" si="36"/>
        <v>NA2QB</v>
      </c>
      <c r="M818">
        <f>COUNTIF(L$1:L818,L818)</f>
        <v>16</v>
      </c>
      <c r="N818" t="str">
        <f t="shared" si="37"/>
        <v>NA2QB-16</v>
      </c>
      <c r="O818">
        <f>COUNTIFS(F$1:F818,F818,A$1:A818,A818)</f>
        <v>31</v>
      </c>
      <c r="P818" t="str">
        <f t="shared" si="38"/>
        <v>Derek Carr2</v>
      </c>
    </row>
    <row r="819" spans="1:16" x14ac:dyDescent="0.25">
      <c r="A819">
        <v>17</v>
      </c>
      <c r="B819" t="s">
        <v>45</v>
      </c>
      <c r="C819" t="s">
        <v>6285</v>
      </c>
      <c r="D819">
        <v>11.97</v>
      </c>
      <c r="E819" t="s">
        <v>28</v>
      </c>
      <c r="F819" t="s">
        <v>47</v>
      </c>
      <c r="G819">
        <v>19.37</v>
      </c>
      <c r="H819">
        <v>4.57</v>
      </c>
      <c r="I819">
        <v>7.4</v>
      </c>
      <c r="J819">
        <v>54.76</v>
      </c>
      <c r="K819" t="str">
        <f>IFERROR(INDEX(Rosters!$C$2:$C$155,MATCH($B819,Rosters!$B$2:$B$155,0)),"NA")</f>
        <v>matty</v>
      </c>
      <c r="L819" t="str">
        <f t="shared" si="36"/>
        <v>matty17RB</v>
      </c>
      <c r="M819">
        <f>COUNTIF(L$1:L819,L819)</f>
        <v>2</v>
      </c>
      <c r="N819" t="str">
        <f t="shared" si="37"/>
        <v>matty17RB-2</v>
      </c>
      <c r="O819">
        <f>COUNTIFS(F$1:F819,F819,A$1:A819,A819)</f>
        <v>12</v>
      </c>
      <c r="P819" t="str">
        <f t="shared" si="38"/>
        <v>David Johnson17</v>
      </c>
    </row>
    <row r="820" spans="1:16" x14ac:dyDescent="0.25">
      <c r="A820">
        <v>12</v>
      </c>
      <c r="B820" t="s">
        <v>123</v>
      </c>
      <c r="C820" t="s">
        <v>6286</v>
      </c>
      <c r="D820">
        <v>11.97</v>
      </c>
      <c r="E820" t="s">
        <v>52</v>
      </c>
      <c r="F820" t="s">
        <v>47</v>
      </c>
      <c r="G820">
        <v>20.67</v>
      </c>
      <c r="H820">
        <v>3.27</v>
      </c>
      <c r="I820">
        <v>8.6999999999999993</v>
      </c>
      <c r="J820">
        <v>75.69</v>
      </c>
      <c r="K820" t="str">
        <f>IFERROR(INDEX(Rosters!$C$2:$C$155,MATCH($B820,Rosters!$B$2:$B$155,0)),"NA")</f>
        <v>aj</v>
      </c>
      <c r="L820" t="str">
        <f t="shared" si="36"/>
        <v>aj12RB</v>
      </c>
      <c r="M820">
        <f>COUNTIF(L$1:L820,L820)</f>
        <v>2</v>
      </c>
      <c r="N820" t="str">
        <f t="shared" si="37"/>
        <v>aj12RB-2</v>
      </c>
      <c r="O820">
        <f>COUNTIFS(F$1:F820,F820,A$1:A820,A820)</f>
        <v>10</v>
      </c>
      <c r="P820" t="str">
        <f t="shared" si="38"/>
        <v>Joe Mixon12</v>
      </c>
    </row>
    <row r="821" spans="1:16" x14ac:dyDescent="0.25">
      <c r="A821">
        <v>3</v>
      </c>
      <c r="B821" t="s">
        <v>104</v>
      </c>
      <c r="C821" t="s">
        <v>3647</v>
      </c>
      <c r="D821">
        <v>11.96</v>
      </c>
      <c r="E821" t="s">
        <v>74</v>
      </c>
      <c r="F821" t="s">
        <v>87</v>
      </c>
      <c r="G821">
        <v>18.57</v>
      </c>
      <c r="H821">
        <v>5.35</v>
      </c>
      <c r="I821">
        <v>6.61</v>
      </c>
      <c r="J821">
        <v>43.692100000000003</v>
      </c>
      <c r="K821" t="str">
        <f>IFERROR(INDEX(Rosters!$C$2:$C$155,MATCH($B821,Rosters!$B$2:$B$155,0)),"NA")</f>
        <v>devon</v>
      </c>
      <c r="L821" t="str">
        <f t="shared" si="36"/>
        <v>devon3WR</v>
      </c>
      <c r="M821">
        <f>COUNTIF(L$1:L821,L821)</f>
        <v>1</v>
      </c>
      <c r="N821" t="str">
        <f t="shared" si="37"/>
        <v>devon3WR-1</v>
      </c>
      <c r="O821">
        <f>COUNTIFS(F$1:F821,F821,A$1:A821,A821)</f>
        <v>9</v>
      </c>
      <c r="P821" t="str">
        <f t="shared" si="38"/>
        <v>A.J. Green3</v>
      </c>
    </row>
    <row r="822" spans="1:16" x14ac:dyDescent="0.25">
      <c r="A822">
        <v>17</v>
      </c>
      <c r="B822" t="s">
        <v>100</v>
      </c>
      <c r="C822" t="s">
        <v>6287</v>
      </c>
      <c r="D822">
        <v>11.95</v>
      </c>
      <c r="E822" t="s">
        <v>46</v>
      </c>
      <c r="F822" t="s">
        <v>87</v>
      </c>
      <c r="G822">
        <v>17.87</v>
      </c>
      <c r="H822">
        <v>6.03</v>
      </c>
      <c r="I822">
        <v>5.92</v>
      </c>
      <c r="J822">
        <v>35.046399999999998</v>
      </c>
      <c r="K822" t="str">
        <f>IFERROR(INDEX(Rosters!$C$2:$C$155,MATCH($B822,Rosters!$B$2:$B$155,0)),"NA")</f>
        <v>aj</v>
      </c>
      <c r="L822" t="str">
        <f t="shared" si="36"/>
        <v>aj17WR</v>
      </c>
      <c r="M822">
        <f>COUNTIF(L$1:L822,L822)</f>
        <v>2</v>
      </c>
      <c r="N822" t="str">
        <f t="shared" si="37"/>
        <v>aj17WR-2</v>
      </c>
      <c r="O822">
        <f>COUNTIFS(F$1:F822,F822,A$1:A822,A822)</f>
        <v>12</v>
      </c>
      <c r="P822" t="str">
        <f t="shared" si="38"/>
        <v>Mike Evans17</v>
      </c>
    </row>
    <row r="823" spans="1:16" x14ac:dyDescent="0.25">
      <c r="A823">
        <v>14</v>
      </c>
      <c r="B823" t="s">
        <v>113</v>
      </c>
      <c r="C823" t="s">
        <v>6288</v>
      </c>
      <c r="D823">
        <v>11.94</v>
      </c>
      <c r="E823" t="s">
        <v>19</v>
      </c>
      <c r="F823" t="s">
        <v>114</v>
      </c>
      <c r="G823">
        <v>19.09</v>
      </c>
      <c r="H823">
        <v>4.79</v>
      </c>
      <c r="I823">
        <v>7.15</v>
      </c>
      <c r="J823">
        <v>51.122500000000002</v>
      </c>
      <c r="K823" t="str">
        <f>IFERROR(INDEX(Rosters!$C$2:$C$155,MATCH($B823,Rosters!$B$2:$B$155,0)),"NA")</f>
        <v>lucas</v>
      </c>
      <c r="L823" t="str">
        <f t="shared" si="36"/>
        <v>lucas14TE</v>
      </c>
      <c r="M823">
        <f>COUNTIF(L$1:L823,L823)</f>
        <v>1</v>
      </c>
      <c r="N823" t="str">
        <f t="shared" si="37"/>
        <v>lucas14TE-1</v>
      </c>
      <c r="O823">
        <f>COUNTIFS(F$1:F823,F823,A$1:A823,A823)</f>
        <v>1</v>
      </c>
      <c r="P823" t="str">
        <f t="shared" si="38"/>
        <v>Rob Gronkowski14</v>
      </c>
    </row>
    <row r="824" spans="1:16" x14ac:dyDescent="0.25">
      <c r="A824">
        <v>4</v>
      </c>
      <c r="B824" t="s">
        <v>298</v>
      </c>
      <c r="C824" t="s">
        <v>4436</v>
      </c>
      <c r="D824">
        <v>11.91</v>
      </c>
      <c r="E824" t="s">
        <v>77</v>
      </c>
      <c r="F824" t="s">
        <v>47</v>
      </c>
      <c r="G824">
        <v>20.88</v>
      </c>
      <c r="H824">
        <v>2.94</v>
      </c>
      <c r="I824">
        <v>8.9700000000000006</v>
      </c>
      <c r="J824">
        <v>80.460899999999995</v>
      </c>
      <c r="K824" t="str">
        <f>IFERROR(INDEX(Rosters!$C$2:$C$155,MATCH($B824,Rosters!$B$2:$B$155,0)),"NA")</f>
        <v>aj</v>
      </c>
      <c r="L824" t="str">
        <f t="shared" si="36"/>
        <v>aj4RB</v>
      </c>
      <c r="M824">
        <f>COUNTIF(L$1:L824,L824)</f>
        <v>1</v>
      </c>
      <c r="N824" t="str">
        <f t="shared" si="37"/>
        <v>aj4RB-1</v>
      </c>
      <c r="O824">
        <f>COUNTIFS(F$1:F824,F824,A$1:A824,A824)</f>
        <v>8</v>
      </c>
      <c r="P824" t="str">
        <f t="shared" si="38"/>
        <v>James Conner4</v>
      </c>
    </row>
    <row r="825" spans="1:16" x14ac:dyDescent="0.25">
      <c r="A825">
        <v>4</v>
      </c>
      <c r="B825" t="s">
        <v>115</v>
      </c>
      <c r="C825" t="s">
        <v>4437</v>
      </c>
      <c r="D825">
        <v>11.91</v>
      </c>
      <c r="E825" t="s">
        <v>42</v>
      </c>
      <c r="F825" t="s">
        <v>47</v>
      </c>
      <c r="G825">
        <v>21.43</v>
      </c>
      <c r="H825">
        <v>2.39</v>
      </c>
      <c r="I825">
        <v>9.52</v>
      </c>
      <c r="J825">
        <v>90.630399999999995</v>
      </c>
      <c r="K825" t="str">
        <f>IFERROR(INDEX(Rosters!$C$2:$C$155,MATCH($B825,Rosters!$B$2:$B$155,0)),"NA")</f>
        <v>scott</v>
      </c>
      <c r="L825" t="str">
        <f t="shared" si="36"/>
        <v>scott4RB</v>
      </c>
      <c r="M825">
        <f>COUNTIF(L$1:L825,L825)</f>
        <v>2</v>
      </c>
      <c r="N825" t="str">
        <f t="shared" si="37"/>
        <v>scott4RB-2</v>
      </c>
      <c r="O825">
        <f>COUNTIFS(F$1:F825,F825,A$1:A825,A825)</f>
        <v>9</v>
      </c>
      <c r="P825" t="str">
        <f t="shared" si="38"/>
        <v>Kareem Hunt4</v>
      </c>
    </row>
    <row r="826" spans="1:16" x14ac:dyDescent="0.25">
      <c r="A826">
        <v>14</v>
      </c>
      <c r="B826" t="s">
        <v>191</v>
      </c>
      <c r="C826" t="s">
        <v>6289</v>
      </c>
      <c r="D826">
        <v>11.89</v>
      </c>
      <c r="E826" t="s">
        <v>28</v>
      </c>
      <c r="F826" t="s">
        <v>87</v>
      </c>
      <c r="G826">
        <v>18.23</v>
      </c>
      <c r="H826">
        <v>5.55</v>
      </c>
      <c r="I826">
        <v>6.34</v>
      </c>
      <c r="J826">
        <v>40.195599999999999</v>
      </c>
      <c r="K826" t="str">
        <f>IFERROR(INDEX(Rosters!$C$2:$C$155,MATCH($B826,Rosters!$B$2:$B$155,0)),"NA")</f>
        <v>seth</v>
      </c>
      <c r="L826" t="str">
        <f t="shared" si="36"/>
        <v>seth14WR</v>
      </c>
      <c r="M826">
        <f>COUNTIF(L$1:L826,L826)</f>
        <v>2</v>
      </c>
      <c r="N826" t="str">
        <f t="shared" si="37"/>
        <v>seth14WR-2</v>
      </c>
      <c r="O826">
        <f>COUNTIFS(F$1:F826,F826,A$1:A826,A826)</f>
        <v>10</v>
      </c>
      <c r="P826" t="str">
        <f t="shared" si="38"/>
        <v>Adam Thielen14</v>
      </c>
    </row>
    <row r="827" spans="1:16" x14ac:dyDescent="0.25">
      <c r="A827">
        <v>16</v>
      </c>
      <c r="B827" t="s">
        <v>111</v>
      </c>
      <c r="C827" t="s">
        <v>6290</v>
      </c>
      <c r="D827">
        <v>11.89</v>
      </c>
      <c r="E827" t="s">
        <v>19</v>
      </c>
      <c r="F827" t="s">
        <v>47</v>
      </c>
      <c r="G827">
        <v>19.46</v>
      </c>
      <c r="H827">
        <v>4.32</v>
      </c>
      <c r="I827">
        <v>7.57</v>
      </c>
      <c r="J827">
        <v>57.304900000000004</v>
      </c>
      <c r="K827" t="str">
        <f>IFERROR(INDEX(Rosters!$C$2:$C$155,MATCH($B827,Rosters!$B$2:$B$155,0)),"NA")</f>
        <v>seth</v>
      </c>
      <c r="L827" t="str">
        <f t="shared" si="36"/>
        <v>seth16RB</v>
      </c>
      <c r="M827">
        <f>COUNTIF(L$1:L827,L827)</f>
        <v>1</v>
      </c>
      <c r="N827" t="str">
        <f t="shared" si="37"/>
        <v>seth16RB-1</v>
      </c>
      <c r="O827">
        <f>COUNTIFS(F$1:F827,F827,A$1:A827,A827)</f>
        <v>13</v>
      </c>
      <c r="P827" t="str">
        <f t="shared" si="38"/>
        <v>Leonard Fournette16</v>
      </c>
    </row>
    <row r="828" spans="1:16" x14ac:dyDescent="0.25">
      <c r="A828">
        <v>2</v>
      </c>
      <c r="B828" t="s">
        <v>245</v>
      </c>
      <c r="C828" t="s">
        <v>3557</v>
      </c>
      <c r="D828">
        <v>11.89</v>
      </c>
      <c r="E828" t="s">
        <v>423</v>
      </c>
      <c r="F828" t="s">
        <v>47</v>
      </c>
      <c r="G828">
        <v>22.69</v>
      </c>
      <c r="H828">
        <v>1.0900000000000001</v>
      </c>
      <c r="I828">
        <v>10.8</v>
      </c>
      <c r="J828">
        <v>116.64</v>
      </c>
      <c r="K828" t="str">
        <f>IFERROR(INDEX(Rosters!$C$2:$C$155,MATCH($B828,Rosters!$B$2:$B$155,0)),"NA")</f>
        <v>seth</v>
      </c>
      <c r="L828" t="str">
        <f t="shared" si="36"/>
        <v>seth2RB</v>
      </c>
      <c r="M828">
        <f>COUNTIF(L$1:L828,L828)</f>
        <v>1</v>
      </c>
      <c r="N828" t="str">
        <f t="shared" si="37"/>
        <v>seth2RB-1</v>
      </c>
      <c r="O828">
        <f>COUNTIFS(F$1:F828,F828,A$1:A828,A828)</f>
        <v>12</v>
      </c>
      <c r="P828" t="str">
        <f t="shared" si="38"/>
        <v>T.J. Yeldon2</v>
      </c>
    </row>
    <row r="829" spans="1:16" x14ac:dyDescent="0.25">
      <c r="A829">
        <v>15</v>
      </c>
      <c r="B829" t="s">
        <v>100</v>
      </c>
      <c r="C829" t="s">
        <v>6291</v>
      </c>
      <c r="D829">
        <v>11.88</v>
      </c>
      <c r="E829" t="s">
        <v>77</v>
      </c>
      <c r="F829" t="s">
        <v>87</v>
      </c>
      <c r="G829">
        <v>19</v>
      </c>
      <c r="H829">
        <v>4.76</v>
      </c>
      <c r="I829">
        <v>7.12</v>
      </c>
      <c r="J829">
        <v>50.694400000000002</v>
      </c>
      <c r="K829" t="str">
        <f>IFERROR(INDEX(Rosters!$C$2:$C$155,MATCH($B829,Rosters!$B$2:$B$155,0)),"NA")</f>
        <v>aj</v>
      </c>
      <c r="L829" t="str">
        <f t="shared" si="36"/>
        <v>aj15WR</v>
      </c>
      <c r="M829">
        <f>COUNTIF(L$1:L829,L829)</f>
        <v>2</v>
      </c>
      <c r="N829" t="str">
        <f t="shared" si="37"/>
        <v>aj15WR-2</v>
      </c>
      <c r="O829">
        <f>COUNTIFS(F$1:F829,F829,A$1:A829,A829)</f>
        <v>11</v>
      </c>
      <c r="P829" t="str">
        <f t="shared" si="38"/>
        <v>Mike Evans15</v>
      </c>
    </row>
    <row r="830" spans="1:16" x14ac:dyDescent="0.25">
      <c r="A830">
        <v>2</v>
      </c>
      <c r="B830" t="s">
        <v>97</v>
      </c>
      <c r="C830" t="s">
        <v>3314</v>
      </c>
      <c r="D830">
        <v>11.86</v>
      </c>
      <c r="E830" t="s">
        <v>28</v>
      </c>
      <c r="F830" t="s">
        <v>47</v>
      </c>
      <c r="G830">
        <v>18.47</v>
      </c>
      <c r="H830">
        <v>5.25</v>
      </c>
      <c r="I830">
        <v>6.61</v>
      </c>
      <c r="J830">
        <v>43.692100000000003</v>
      </c>
      <c r="K830" t="str">
        <f>IFERROR(INDEX(Rosters!$C$2:$C$155,MATCH($B830,Rosters!$B$2:$B$155,0)),"NA")</f>
        <v>chad</v>
      </c>
      <c r="L830" t="str">
        <f t="shared" si="36"/>
        <v>chad2RB</v>
      </c>
      <c r="M830">
        <f>COUNTIF(L$1:L830,L830)</f>
        <v>2</v>
      </c>
      <c r="N830" t="str">
        <f t="shared" si="37"/>
        <v>chad2RB-2</v>
      </c>
      <c r="O830">
        <f>COUNTIFS(F$1:F830,F830,A$1:A830,A830)</f>
        <v>13</v>
      </c>
      <c r="P830" t="str">
        <f t="shared" si="38"/>
        <v>Jordan Howard2</v>
      </c>
    </row>
    <row r="831" spans="1:16" x14ac:dyDescent="0.25">
      <c r="A831">
        <v>1</v>
      </c>
      <c r="B831" t="s">
        <v>110</v>
      </c>
      <c r="C831" t="s">
        <v>1114</v>
      </c>
      <c r="D831">
        <v>11.86</v>
      </c>
      <c r="E831" t="s">
        <v>17</v>
      </c>
      <c r="F831" t="s">
        <v>87</v>
      </c>
      <c r="G831">
        <v>18.41</v>
      </c>
      <c r="H831">
        <v>5.31</v>
      </c>
      <c r="I831">
        <v>6.55</v>
      </c>
      <c r="J831">
        <v>42.902500000000003</v>
      </c>
      <c r="K831" t="str">
        <f>IFERROR(INDEX(Rosters!$C$2:$C$155,MATCH($B831,Rosters!$B$2:$B$155,0)),"NA")</f>
        <v>cory</v>
      </c>
      <c r="L831" t="str">
        <f t="shared" si="36"/>
        <v>cory1WR</v>
      </c>
      <c r="M831">
        <f>COUNTIF(L$1:L831,L831)</f>
        <v>1</v>
      </c>
      <c r="N831" t="str">
        <f t="shared" si="37"/>
        <v>cory1WR-1</v>
      </c>
      <c r="O831">
        <f>COUNTIFS(F$1:F831,F831,A$1:A831,A831)</f>
        <v>5</v>
      </c>
      <c r="P831" t="str">
        <f t="shared" si="38"/>
        <v>Michael Thomas1</v>
      </c>
    </row>
    <row r="832" spans="1:16" x14ac:dyDescent="0.25">
      <c r="A832">
        <v>4</v>
      </c>
      <c r="B832" t="s">
        <v>135</v>
      </c>
      <c r="C832" t="s">
        <v>4438</v>
      </c>
      <c r="D832">
        <v>11.85</v>
      </c>
      <c r="E832" t="s">
        <v>29</v>
      </c>
      <c r="F832" t="s">
        <v>87</v>
      </c>
      <c r="G832">
        <v>19.32</v>
      </c>
      <c r="H832">
        <v>4.38</v>
      </c>
      <c r="I832">
        <v>7.47</v>
      </c>
      <c r="J832">
        <v>55.800899999999999</v>
      </c>
      <c r="K832" t="str">
        <f>IFERROR(INDEX(Rosters!$C$2:$C$155,MATCH($B832,Rosters!$B$2:$B$155,0)),"NA")</f>
        <v>perry</v>
      </c>
      <c r="L832" t="str">
        <f t="shared" si="36"/>
        <v>perry4WR</v>
      </c>
      <c r="M832">
        <f>COUNTIF(L$1:L832,L832)</f>
        <v>1</v>
      </c>
      <c r="N832" t="str">
        <f t="shared" si="37"/>
        <v>perry4WR-1</v>
      </c>
      <c r="O832">
        <f>COUNTIFS(F$1:F832,F832,A$1:A832,A832)</f>
        <v>7</v>
      </c>
      <c r="P832" t="str">
        <f t="shared" si="38"/>
        <v>Davante Adams4</v>
      </c>
    </row>
    <row r="833" spans="1:16" x14ac:dyDescent="0.25">
      <c r="A833">
        <v>17</v>
      </c>
      <c r="B833" t="s">
        <v>97</v>
      </c>
      <c r="C833" t="s">
        <v>6292</v>
      </c>
      <c r="D833">
        <v>11.85</v>
      </c>
      <c r="E833" t="s">
        <v>25</v>
      </c>
      <c r="F833" t="s">
        <v>47</v>
      </c>
      <c r="G833">
        <v>18.920000000000002</v>
      </c>
      <c r="H833">
        <v>4.78</v>
      </c>
      <c r="I833">
        <v>7.07</v>
      </c>
      <c r="J833">
        <v>49.984900000000003</v>
      </c>
      <c r="K833" t="str">
        <f>IFERROR(INDEX(Rosters!$C$2:$C$155,MATCH($B833,Rosters!$B$2:$B$155,0)),"NA")</f>
        <v>chad</v>
      </c>
      <c r="L833" t="str">
        <f t="shared" si="36"/>
        <v>chad17RB</v>
      </c>
      <c r="M833">
        <f>COUNTIF(L$1:L833,L833)</f>
        <v>2</v>
      </c>
      <c r="N833" t="str">
        <f t="shared" si="37"/>
        <v>chad17RB-2</v>
      </c>
      <c r="O833">
        <f>COUNTIFS(F$1:F833,F833,A$1:A833,A833)</f>
        <v>13</v>
      </c>
      <c r="P833" t="str">
        <f t="shared" si="38"/>
        <v>Jordan Howard17</v>
      </c>
    </row>
    <row r="834" spans="1:16" x14ac:dyDescent="0.25">
      <c r="A834">
        <v>10</v>
      </c>
      <c r="B834" t="s">
        <v>111</v>
      </c>
      <c r="C834" t="s">
        <v>6293</v>
      </c>
      <c r="D834">
        <v>11.84</v>
      </c>
      <c r="E834" t="s">
        <v>66</v>
      </c>
      <c r="F834" t="s">
        <v>47</v>
      </c>
      <c r="G834">
        <v>19.190000000000001</v>
      </c>
      <c r="H834">
        <v>4.49</v>
      </c>
      <c r="I834">
        <v>7.35</v>
      </c>
      <c r="J834">
        <v>54.022500000000001</v>
      </c>
      <c r="K834" t="str">
        <f>IFERROR(INDEX(Rosters!$C$2:$C$155,MATCH($B834,Rosters!$B$2:$B$155,0)),"NA")</f>
        <v>seth</v>
      </c>
      <c r="L834" t="str">
        <f t="shared" si="36"/>
        <v>seth10RB</v>
      </c>
      <c r="M834">
        <f>COUNTIF(L$1:L834,L834)</f>
        <v>1</v>
      </c>
      <c r="N834" t="str">
        <f t="shared" si="37"/>
        <v>seth10RB-1</v>
      </c>
      <c r="O834">
        <f>COUNTIFS(F$1:F834,F834,A$1:A834,A834)</f>
        <v>10</v>
      </c>
      <c r="P834" t="str">
        <f t="shared" si="38"/>
        <v>Leonard Fournette10</v>
      </c>
    </row>
    <row r="835" spans="1:16" x14ac:dyDescent="0.25">
      <c r="A835">
        <v>5</v>
      </c>
      <c r="B835" t="s">
        <v>124</v>
      </c>
      <c r="C835" t="s">
        <v>6294</v>
      </c>
      <c r="D835">
        <v>11.83</v>
      </c>
      <c r="E835" t="s">
        <v>76</v>
      </c>
      <c r="F835" t="s">
        <v>87</v>
      </c>
      <c r="G835">
        <v>19.95</v>
      </c>
      <c r="H835">
        <v>3.71</v>
      </c>
      <c r="I835">
        <v>8.1199999999999992</v>
      </c>
      <c r="J835">
        <v>65.934399999999997</v>
      </c>
      <c r="K835" t="str">
        <f>IFERROR(INDEX(Rosters!$C$2:$C$155,MATCH($B835,Rosters!$B$2:$B$155,0)),"NA")</f>
        <v>matty</v>
      </c>
      <c r="L835" t="str">
        <f t="shared" ref="L835:L898" si="39">K835&amp;A835&amp;F835</f>
        <v>matty5WR</v>
      </c>
      <c r="M835">
        <f>COUNTIF(L$1:L835,L835)</f>
        <v>1</v>
      </c>
      <c r="N835" t="str">
        <f t="shared" ref="N835:N898" si="40">L835&amp;"-"&amp;M835</f>
        <v>matty5WR-1</v>
      </c>
      <c r="O835">
        <f>COUNTIFS(F$1:F835,F835,A$1:A835,A835)</f>
        <v>9</v>
      </c>
      <c r="P835" t="str">
        <f t="shared" ref="P835:P898" si="41">B835&amp;A835</f>
        <v>Tyreek Hill5</v>
      </c>
    </row>
    <row r="836" spans="1:16" x14ac:dyDescent="0.25">
      <c r="A836">
        <v>5</v>
      </c>
      <c r="B836" t="s">
        <v>99</v>
      </c>
      <c r="C836" t="s">
        <v>6295</v>
      </c>
      <c r="D836">
        <v>11.82</v>
      </c>
      <c r="E836" t="s">
        <v>22</v>
      </c>
      <c r="F836" t="s">
        <v>47</v>
      </c>
      <c r="G836">
        <v>18.23</v>
      </c>
      <c r="H836">
        <v>5.41</v>
      </c>
      <c r="I836">
        <v>6.41</v>
      </c>
      <c r="J836">
        <v>41.088099999999997</v>
      </c>
      <c r="K836" t="str">
        <f>IFERROR(INDEX(Rosters!$C$2:$C$155,MATCH($B836,Rosters!$B$2:$B$155,0)),"NA")</f>
        <v>comp</v>
      </c>
      <c r="L836" t="str">
        <f t="shared" si="39"/>
        <v>comp5RB</v>
      </c>
      <c r="M836">
        <f>COUNTIF(L$1:L836,L836)</f>
        <v>1</v>
      </c>
      <c r="N836" t="str">
        <f t="shared" si="40"/>
        <v>comp5RB-1</v>
      </c>
      <c r="O836">
        <f>COUNTIFS(F$1:F836,F836,A$1:A836,A836)</f>
        <v>12</v>
      </c>
      <c r="P836" t="str">
        <f t="shared" si="41"/>
        <v>Lamar Miller5</v>
      </c>
    </row>
    <row r="837" spans="1:16" x14ac:dyDescent="0.25">
      <c r="A837">
        <v>7</v>
      </c>
      <c r="B837" t="s">
        <v>120</v>
      </c>
      <c r="C837" t="s">
        <v>6296</v>
      </c>
      <c r="D837">
        <v>11.79</v>
      </c>
      <c r="E837" t="s">
        <v>76</v>
      </c>
      <c r="F837" t="s">
        <v>87</v>
      </c>
      <c r="G837">
        <v>17.98</v>
      </c>
      <c r="H837">
        <v>5.6</v>
      </c>
      <c r="I837">
        <v>6.19</v>
      </c>
      <c r="J837">
        <v>38.316099999999999</v>
      </c>
      <c r="K837" t="str">
        <f>IFERROR(INDEX(Rosters!$C$2:$C$155,MATCH($B837,Rosters!$B$2:$B$155,0)),"NA")</f>
        <v>aj</v>
      </c>
      <c r="L837" t="str">
        <f t="shared" si="39"/>
        <v>aj7WR</v>
      </c>
      <c r="M837">
        <f>COUNTIF(L$1:L837,L837)</f>
        <v>1</v>
      </c>
      <c r="N837" t="str">
        <f t="shared" si="40"/>
        <v>aj7WR-1</v>
      </c>
      <c r="O837">
        <f>COUNTIFS(F$1:F837,F837,A$1:A837,A837)</f>
        <v>8</v>
      </c>
      <c r="P837" t="str">
        <f t="shared" si="41"/>
        <v>DeAndre Hopkins7</v>
      </c>
    </row>
    <row r="838" spans="1:16" x14ac:dyDescent="0.25">
      <c r="A838">
        <v>5</v>
      </c>
      <c r="B838" t="s">
        <v>123</v>
      </c>
      <c r="C838">
        <f>-3.69-27.25</f>
        <v>-30.94</v>
      </c>
      <c r="D838">
        <v>11.78</v>
      </c>
      <c r="E838" t="s">
        <v>19</v>
      </c>
      <c r="F838" t="s">
        <v>47</v>
      </c>
      <c r="G838">
        <v>27.25</v>
      </c>
      <c r="H838">
        <v>-3.69</v>
      </c>
      <c r="I838">
        <v>15.47</v>
      </c>
      <c r="J838">
        <v>239.32089999999999</v>
      </c>
      <c r="K838" t="str">
        <f>IFERROR(INDEX(Rosters!$C$2:$C$155,MATCH($B838,Rosters!$B$2:$B$155,0)),"NA")</f>
        <v>aj</v>
      </c>
      <c r="L838" t="str">
        <f t="shared" si="39"/>
        <v>aj5RB</v>
      </c>
      <c r="M838">
        <f>COUNTIF(L$1:L838,L838)</f>
        <v>2</v>
      </c>
      <c r="N838" t="str">
        <f t="shared" si="40"/>
        <v>aj5RB-2</v>
      </c>
      <c r="O838">
        <f>COUNTIFS(F$1:F838,F838,A$1:A838,A838)</f>
        <v>13</v>
      </c>
      <c r="P838" t="str">
        <f t="shared" si="41"/>
        <v>Joe Mixon5</v>
      </c>
    </row>
    <row r="839" spans="1:16" x14ac:dyDescent="0.25">
      <c r="A839">
        <v>3</v>
      </c>
      <c r="B839" t="s">
        <v>187</v>
      </c>
      <c r="C839" t="s">
        <v>4196</v>
      </c>
      <c r="D839">
        <v>11.78</v>
      </c>
      <c r="E839" t="s">
        <v>29</v>
      </c>
      <c r="F839" t="s">
        <v>47</v>
      </c>
      <c r="G839">
        <v>20.65</v>
      </c>
      <c r="H839">
        <v>2.91</v>
      </c>
      <c r="I839">
        <v>8.8699999999999992</v>
      </c>
      <c r="J839">
        <v>78.676900000000003</v>
      </c>
      <c r="K839" t="str">
        <f>IFERROR(INDEX(Rosters!$C$2:$C$155,MATCH($B839,Rosters!$B$2:$B$155,0)),"NA")</f>
        <v>seth</v>
      </c>
      <c r="L839" t="str">
        <f t="shared" si="39"/>
        <v>seth3RB</v>
      </c>
      <c r="M839">
        <f>COUNTIF(L$1:L839,L839)</f>
        <v>1</v>
      </c>
      <c r="N839" t="str">
        <f t="shared" si="40"/>
        <v>seth3RB-1</v>
      </c>
      <c r="O839">
        <f>COUNTIFS(F$1:F839,F839,A$1:A839,A839)</f>
        <v>11</v>
      </c>
      <c r="P839" t="str">
        <f t="shared" si="41"/>
        <v>Latavius Murray3</v>
      </c>
    </row>
    <row r="840" spans="1:16" x14ac:dyDescent="0.25">
      <c r="A840">
        <v>2</v>
      </c>
      <c r="B840" t="s">
        <v>93</v>
      </c>
      <c r="C840" t="s">
        <v>1310</v>
      </c>
      <c r="D840">
        <v>11.77</v>
      </c>
      <c r="E840" t="s">
        <v>74</v>
      </c>
      <c r="F840" t="s">
        <v>87</v>
      </c>
      <c r="G840">
        <v>20.61</v>
      </c>
      <c r="H840">
        <v>2.93</v>
      </c>
      <c r="I840">
        <v>8.84</v>
      </c>
      <c r="J840">
        <v>78.145600000000002</v>
      </c>
      <c r="K840" t="str">
        <f>IFERROR(INDEX(Rosters!$C$2:$C$155,MATCH($B840,Rosters!$B$2:$B$155,0)),"NA")</f>
        <v>cory</v>
      </c>
      <c r="L840" t="str">
        <f t="shared" si="39"/>
        <v>cory2WR</v>
      </c>
      <c r="M840">
        <f>COUNTIF(L$1:L840,L840)</f>
        <v>2</v>
      </c>
      <c r="N840" t="str">
        <f t="shared" si="40"/>
        <v>cory2WR-2</v>
      </c>
      <c r="O840">
        <f>COUNTIFS(F$1:F840,F840,A$1:A840,A840)</f>
        <v>5</v>
      </c>
      <c r="P840" t="str">
        <f t="shared" si="41"/>
        <v>Julio Jones2</v>
      </c>
    </row>
    <row r="841" spans="1:16" x14ac:dyDescent="0.25">
      <c r="A841">
        <v>16</v>
      </c>
      <c r="B841" t="s">
        <v>99</v>
      </c>
      <c r="C841" t="s">
        <v>6297</v>
      </c>
      <c r="D841">
        <v>11.77</v>
      </c>
      <c r="E841" t="s">
        <v>50</v>
      </c>
      <c r="F841" t="s">
        <v>47</v>
      </c>
      <c r="G841">
        <v>19</v>
      </c>
      <c r="H841">
        <v>4.54</v>
      </c>
      <c r="I841">
        <v>7.23</v>
      </c>
      <c r="J841">
        <v>52.2729</v>
      </c>
      <c r="K841" t="str">
        <f>IFERROR(INDEX(Rosters!$C$2:$C$155,MATCH($B841,Rosters!$B$2:$B$155,0)),"NA")</f>
        <v>comp</v>
      </c>
      <c r="L841" t="str">
        <f t="shared" si="39"/>
        <v>comp16RB</v>
      </c>
      <c r="M841">
        <f>COUNTIF(L$1:L841,L841)</f>
        <v>1</v>
      </c>
      <c r="N841" t="str">
        <f t="shared" si="40"/>
        <v>comp16RB-1</v>
      </c>
      <c r="O841">
        <f>COUNTIFS(F$1:F841,F841,A$1:A841,A841)</f>
        <v>14</v>
      </c>
      <c r="P841" t="str">
        <f t="shared" si="41"/>
        <v>Lamar Miller16</v>
      </c>
    </row>
    <row r="842" spans="1:16" x14ac:dyDescent="0.25">
      <c r="A842">
        <v>7</v>
      </c>
      <c r="B842" t="s">
        <v>1537</v>
      </c>
      <c r="C842" t="s">
        <v>6298</v>
      </c>
      <c r="D842">
        <v>11.76</v>
      </c>
      <c r="E842" t="s">
        <v>56</v>
      </c>
      <c r="F842" t="s">
        <v>15</v>
      </c>
      <c r="G842">
        <v>17.54</v>
      </c>
      <c r="H842">
        <v>5.98</v>
      </c>
      <c r="I842">
        <v>5.78</v>
      </c>
      <c r="J842">
        <v>33.4084</v>
      </c>
      <c r="K842" t="str">
        <f>IFERROR(INDEX(Rosters!$C$2:$C$155,MATCH($B842,Rosters!$B$2:$B$155,0)),"NA")</f>
        <v>NA</v>
      </c>
      <c r="L842" t="str">
        <f t="shared" si="39"/>
        <v>NA7QB</v>
      </c>
      <c r="M842">
        <f>COUNTIF(L$1:L842,L842)</f>
        <v>14</v>
      </c>
      <c r="N842" t="str">
        <f t="shared" si="40"/>
        <v>NA7QB-14</v>
      </c>
      <c r="O842">
        <f>COUNTIFS(F$1:F842,F842,A$1:A842,A842)</f>
        <v>28</v>
      </c>
      <c r="P842" t="str">
        <f t="shared" si="41"/>
        <v>C.J. Beathard7</v>
      </c>
    </row>
    <row r="843" spans="1:16" x14ac:dyDescent="0.25">
      <c r="A843">
        <v>13</v>
      </c>
      <c r="B843" t="s">
        <v>123</v>
      </c>
      <c r="C843" t="s">
        <v>6299</v>
      </c>
      <c r="D843">
        <v>11.75</v>
      </c>
      <c r="E843" t="s">
        <v>42</v>
      </c>
      <c r="F843" t="s">
        <v>47</v>
      </c>
      <c r="G843">
        <v>19.53</v>
      </c>
      <c r="H843">
        <v>3.97</v>
      </c>
      <c r="I843">
        <v>7.78</v>
      </c>
      <c r="J843">
        <v>60.528399999999998</v>
      </c>
      <c r="K843" t="str">
        <f>IFERROR(INDEX(Rosters!$C$2:$C$155,MATCH($B843,Rosters!$B$2:$B$155,0)),"NA")</f>
        <v>aj</v>
      </c>
      <c r="L843" t="str">
        <f t="shared" si="39"/>
        <v>aj13RB</v>
      </c>
      <c r="M843">
        <f>COUNTIF(L$1:L843,L843)</f>
        <v>2</v>
      </c>
      <c r="N843" t="str">
        <f t="shared" si="40"/>
        <v>aj13RB-2</v>
      </c>
      <c r="O843">
        <f>COUNTIFS(F$1:F843,F843,A$1:A843,A843)</f>
        <v>14</v>
      </c>
      <c r="P843" t="str">
        <f t="shared" si="41"/>
        <v>Joe Mixon13</v>
      </c>
    </row>
    <row r="844" spans="1:16" x14ac:dyDescent="0.25">
      <c r="A844">
        <v>9</v>
      </c>
      <c r="B844" t="s">
        <v>99</v>
      </c>
      <c r="C844" t="s">
        <v>6300</v>
      </c>
      <c r="D844">
        <v>11.75</v>
      </c>
      <c r="E844" t="s">
        <v>42</v>
      </c>
      <c r="F844" t="s">
        <v>47</v>
      </c>
      <c r="G844">
        <v>19.27</v>
      </c>
      <c r="H844">
        <v>4.2300000000000004</v>
      </c>
      <c r="I844">
        <v>7.52</v>
      </c>
      <c r="J844">
        <v>56.550400000000003</v>
      </c>
      <c r="K844" t="str">
        <f>IFERROR(INDEX(Rosters!$C$2:$C$155,MATCH($B844,Rosters!$B$2:$B$155,0)),"NA")</f>
        <v>comp</v>
      </c>
      <c r="L844" t="str">
        <f t="shared" si="39"/>
        <v>comp9RB</v>
      </c>
      <c r="M844">
        <f>COUNTIF(L$1:L844,L844)</f>
        <v>1</v>
      </c>
      <c r="N844" t="str">
        <f t="shared" si="40"/>
        <v>comp9RB-1</v>
      </c>
      <c r="O844">
        <f>COUNTIFS(F$1:F844,F844,A$1:A844,A844)</f>
        <v>10</v>
      </c>
      <c r="P844" t="str">
        <f t="shared" si="41"/>
        <v>Lamar Miller9</v>
      </c>
    </row>
    <row r="845" spans="1:16" x14ac:dyDescent="0.25">
      <c r="A845">
        <v>7</v>
      </c>
      <c r="B845" t="s">
        <v>107</v>
      </c>
      <c r="C845" t="s">
        <v>6301</v>
      </c>
      <c r="D845">
        <v>11.75</v>
      </c>
      <c r="E845" t="s">
        <v>29</v>
      </c>
      <c r="F845" t="s">
        <v>87</v>
      </c>
      <c r="G845">
        <v>18.86</v>
      </c>
      <c r="H845">
        <v>4.6399999999999997</v>
      </c>
      <c r="I845">
        <v>7.11</v>
      </c>
      <c r="J845">
        <v>50.552100000000003</v>
      </c>
      <c r="K845" t="str">
        <f>IFERROR(INDEX(Rosters!$C$2:$C$155,MATCH($B845,Rosters!$B$2:$B$155,0)),"NA")</f>
        <v>comp</v>
      </c>
      <c r="L845" t="str">
        <f t="shared" si="39"/>
        <v>comp7WR</v>
      </c>
      <c r="M845">
        <f>COUNTIF(L$1:L845,L845)</f>
        <v>1</v>
      </c>
      <c r="N845" t="str">
        <f t="shared" si="40"/>
        <v>comp7WR-1</v>
      </c>
      <c r="O845">
        <f>COUNTIFS(F$1:F845,F845,A$1:A845,A845)</f>
        <v>9</v>
      </c>
      <c r="P845" t="str">
        <f t="shared" si="41"/>
        <v>T.Y. Hilton7</v>
      </c>
    </row>
    <row r="846" spans="1:16" x14ac:dyDescent="0.25">
      <c r="A846">
        <v>16</v>
      </c>
      <c r="B846" t="s">
        <v>113</v>
      </c>
      <c r="C846" t="s">
        <v>6302</v>
      </c>
      <c r="D846">
        <v>11.74</v>
      </c>
      <c r="E846" t="s">
        <v>29</v>
      </c>
      <c r="F846" t="s">
        <v>114</v>
      </c>
      <c r="G846">
        <v>17.64</v>
      </c>
      <c r="H846">
        <v>5.84</v>
      </c>
      <c r="I846">
        <v>5.9</v>
      </c>
      <c r="J846">
        <v>34.81</v>
      </c>
      <c r="K846" t="str">
        <f>IFERROR(INDEX(Rosters!$C$2:$C$155,MATCH($B846,Rosters!$B$2:$B$155,0)),"NA")</f>
        <v>lucas</v>
      </c>
      <c r="L846" t="str">
        <f t="shared" si="39"/>
        <v>lucas16TE</v>
      </c>
      <c r="M846">
        <f>COUNTIF(L$1:L846,L846)</f>
        <v>1</v>
      </c>
      <c r="N846" t="str">
        <f t="shared" si="40"/>
        <v>lucas16TE-1</v>
      </c>
      <c r="O846">
        <f>COUNTIFS(F$1:F846,F846,A$1:A846,A846)</f>
        <v>1</v>
      </c>
      <c r="P846" t="str">
        <f t="shared" si="41"/>
        <v>Rob Gronkowski16</v>
      </c>
    </row>
    <row r="847" spans="1:16" x14ac:dyDescent="0.25">
      <c r="A847">
        <v>6</v>
      </c>
      <c r="B847" t="s">
        <v>245</v>
      </c>
      <c r="C847" t="s">
        <v>6303</v>
      </c>
      <c r="D847">
        <v>11.74</v>
      </c>
      <c r="E847" t="s">
        <v>22</v>
      </c>
      <c r="F847" t="s">
        <v>47</v>
      </c>
      <c r="G847">
        <v>23.32</v>
      </c>
      <c r="H847">
        <v>0.16</v>
      </c>
      <c r="I847">
        <v>11.58</v>
      </c>
      <c r="J847">
        <v>134.09639999999999</v>
      </c>
      <c r="K847" t="str">
        <f>IFERROR(INDEX(Rosters!$C$2:$C$155,MATCH($B847,Rosters!$B$2:$B$155,0)),"NA")</f>
        <v>seth</v>
      </c>
      <c r="L847" t="str">
        <f t="shared" si="39"/>
        <v>seth6RB</v>
      </c>
      <c r="M847">
        <f>COUNTIF(L$1:L847,L847)</f>
        <v>1</v>
      </c>
      <c r="N847" t="str">
        <f t="shared" si="40"/>
        <v>seth6RB-1</v>
      </c>
      <c r="O847">
        <f>COUNTIFS(F$1:F847,F847,A$1:A847,A847)</f>
        <v>13</v>
      </c>
      <c r="P847" t="str">
        <f t="shared" si="41"/>
        <v>T.J. Yeldon6</v>
      </c>
    </row>
    <row r="848" spans="1:16" x14ac:dyDescent="0.25">
      <c r="A848">
        <v>4</v>
      </c>
      <c r="B848" t="s">
        <v>107</v>
      </c>
      <c r="C848" t="s">
        <v>4439</v>
      </c>
      <c r="D848">
        <v>11.74</v>
      </c>
      <c r="E848" t="s">
        <v>36</v>
      </c>
      <c r="F848" t="s">
        <v>87</v>
      </c>
      <c r="G848">
        <v>19.12</v>
      </c>
      <c r="H848">
        <v>4.3600000000000003</v>
      </c>
      <c r="I848">
        <v>7.38</v>
      </c>
      <c r="J848">
        <v>54.464399999999998</v>
      </c>
      <c r="K848" t="str">
        <f>IFERROR(INDEX(Rosters!$C$2:$C$155,MATCH($B848,Rosters!$B$2:$B$155,0)),"NA")</f>
        <v>comp</v>
      </c>
      <c r="L848" t="str">
        <f t="shared" si="39"/>
        <v>comp4WR</v>
      </c>
      <c r="M848">
        <f>COUNTIF(L$1:L848,L848)</f>
        <v>2</v>
      </c>
      <c r="N848" t="str">
        <f t="shared" si="40"/>
        <v>comp4WR-2</v>
      </c>
      <c r="O848">
        <f>COUNTIFS(F$1:F848,F848,A$1:A848,A848)</f>
        <v>8</v>
      </c>
      <c r="P848" t="str">
        <f t="shared" si="41"/>
        <v>T.Y. Hilton4</v>
      </c>
    </row>
    <row r="849" spans="1:16" x14ac:dyDescent="0.25">
      <c r="A849">
        <v>13</v>
      </c>
      <c r="B849" t="s">
        <v>1537</v>
      </c>
      <c r="C849" t="s">
        <v>6304</v>
      </c>
      <c r="D849">
        <v>11.73</v>
      </c>
      <c r="E849" t="s">
        <v>28</v>
      </c>
      <c r="F849" t="s">
        <v>15</v>
      </c>
      <c r="G849">
        <v>18.53</v>
      </c>
      <c r="H849">
        <v>4.93</v>
      </c>
      <c r="I849">
        <v>6.8</v>
      </c>
      <c r="J849">
        <v>46.24</v>
      </c>
      <c r="K849" t="str">
        <f>IFERROR(INDEX(Rosters!$C$2:$C$155,MATCH($B849,Rosters!$B$2:$B$155,0)),"NA")</f>
        <v>NA</v>
      </c>
      <c r="L849" t="str">
        <f t="shared" si="39"/>
        <v>NA13QB</v>
      </c>
      <c r="M849">
        <f>COUNTIF(L$1:L849,L849)</f>
        <v>15</v>
      </c>
      <c r="N849" t="str">
        <f t="shared" si="40"/>
        <v>NA13QB-15</v>
      </c>
      <c r="O849">
        <f>COUNTIFS(F$1:F849,F849,A$1:A849,A849)</f>
        <v>32</v>
      </c>
      <c r="P849" t="str">
        <f t="shared" si="41"/>
        <v>C.J. Beathard13</v>
      </c>
    </row>
    <row r="850" spans="1:16" x14ac:dyDescent="0.25">
      <c r="A850">
        <v>16</v>
      </c>
      <c r="B850" t="s">
        <v>1278</v>
      </c>
      <c r="C850" t="s">
        <v>6305</v>
      </c>
      <c r="D850">
        <v>11.73</v>
      </c>
      <c r="E850" t="s">
        <v>76</v>
      </c>
      <c r="F850" t="s">
        <v>15</v>
      </c>
      <c r="G850">
        <v>17.05</v>
      </c>
      <c r="H850">
        <v>6.41</v>
      </c>
      <c r="I850">
        <v>5.32</v>
      </c>
      <c r="J850">
        <v>28.302399999999999</v>
      </c>
      <c r="K850" t="str">
        <f>IFERROR(INDEX(Rosters!$C$2:$C$155,MATCH($B850,Rosters!$B$2:$B$155,0)),"NA")</f>
        <v>NA</v>
      </c>
      <c r="L850" t="str">
        <f t="shared" si="39"/>
        <v>NA16QB</v>
      </c>
      <c r="M850">
        <f>COUNTIF(L$1:L850,L850)</f>
        <v>15</v>
      </c>
      <c r="N850" t="str">
        <f t="shared" si="40"/>
        <v>NA16QB-15</v>
      </c>
      <c r="O850">
        <f>COUNTIFS(F$1:F850,F850,A$1:A850,A850)</f>
        <v>32</v>
      </c>
      <c r="P850" t="str">
        <f t="shared" si="41"/>
        <v>Ryan Tannehill16</v>
      </c>
    </row>
    <row r="851" spans="1:16" x14ac:dyDescent="0.25">
      <c r="A851">
        <v>14</v>
      </c>
      <c r="B851" t="s">
        <v>107</v>
      </c>
      <c r="C851" t="s">
        <v>6306</v>
      </c>
      <c r="D851">
        <v>11.72</v>
      </c>
      <c r="E851" t="s">
        <v>36</v>
      </c>
      <c r="F851" t="s">
        <v>87</v>
      </c>
      <c r="G851">
        <v>19.46</v>
      </c>
      <c r="H851">
        <v>3.98</v>
      </c>
      <c r="I851">
        <v>7.74</v>
      </c>
      <c r="J851">
        <v>59.907600000000002</v>
      </c>
      <c r="K851" t="str">
        <f>IFERROR(INDEX(Rosters!$C$2:$C$155,MATCH($B851,Rosters!$B$2:$B$155,0)),"NA")</f>
        <v>comp</v>
      </c>
      <c r="L851" t="str">
        <f t="shared" si="39"/>
        <v>comp14WR</v>
      </c>
      <c r="M851">
        <f>COUNTIF(L$1:L851,L851)</f>
        <v>2</v>
      </c>
      <c r="N851" t="str">
        <f t="shared" si="40"/>
        <v>comp14WR-2</v>
      </c>
      <c r="O851">
        <f>COUNTIFS(F$1:F851,F851,A$1:A851,A851)</f>
        <v>11</v>
      </c>
      <c r="P851" t="str">
        <f t="shared" si="41"/>
        <v>T.Y. Hilton14</v>
      </c>
    </row>
    <row r="852" spans="1:16" x14ac:dyDescent="0.25">
      <c r="A852">
        <v>13</v>
      </c>
      <c r="B852" t="s">
        <v>93</v>
      </c>
      <c r="C852" t="s">
        <v>6307</v>
      </c>
      <c r="D852">
        <v>11.71</v>
      </c>
      <c r="E852" t="s">
        <v>77</v>
      </c>
      <c r="F852" t="s">
        <v>87</v>
      </c>
      <c r="G852">
        <v>17.940000000000001</v>
      </c>
      <c r="H852">
        <v>5.48</v>
      </c>
      <c r="I852">
        <v>6.23</v>
      </c>
      <c r="J852">
        <v>38.812899999999999</v>
      </c>
      <c r="K852" t="str">
        <f>IFERROR(INDEX(Rosters!$C$2:$C$155,MATCH($B852,Rosters!$B$2:$B$155,0)),"NA")</f>
        <v>cory</v>
      </c>
      <c r="L852" t="str">
        <f t="shared" si="39"/>
        <v>cory13WR</v>
      </c>
      <c r="M852">
        <f>COUNTIF(L$1:L852,L852)</f>
        <v>2</v>
      </c>
      <c r="N852" t="str">
        <f t="shared" si="40"/>
        <v>cory13WR-2</v>
      </c>
      <c r="O852">
        <f>COUNTIFS(F$1:F852,F852,A$1:A852,A852)</f>
        <v>6</v>
      </c>
      <c r="P852" t="str">
        <f t="shared" si="41"/>
        <v>Julio Jones13</v>
      </c>
    </row>
    <row r="853" spans="1:16" x14ac:dyDescent="0.25">
      <c r="A853">
        <v>4</v>
      </c>
      <c r="B853" t="s">
        <v>130</v>
      </c>
      <c r="C853" t="s">
        <v>4440</v>
      </c>
      <c r="D853">
        <v>11.7</v>
      </c>
      <c r="E853" t="s">
        <v>32</v>
      </c>
      <c r="F853" t="s">
        <v>47</v>
      </c>
      <c r="G853">
        <v>19.09</v>
      </c>
      <c r="H853">
        <v>4.3099999999999996</v>
      </c>
      <c r="I853">
        <v>7.39</v>
      </c>
      <c r="J853">
        <v>54.612099999999998</v>
      </c>
      <c r="K853" t="str">
        <f>IFERROR(INDEX(Rosters!$C$2:$C$155,MATCH($B853,Rosters!$B$2:$B$155,0)),"NA")</f>
        <v>cory</v>
      </c>
      <c r="L853" t="str">
        <f t="shared" si="39"/>
        <v>cory4RB</v>
      </c>
      <c r="M853">
        <f>COUNTIF(L$1:L853,L853)</f>
        <v>1</v>
      </c>
      <c r="N853" t="str">
        <f t="shared" si="40"/>
        <v>cory4RB-1</v>
      </c>
      <c r="O853">
        <f>COUNTIFS(F$1:F853,F853,A$1:A853,A853)</f>
        <v>10</v>
      </c>
      <c r="P853" t="str">
        <f t="shared" si="41"/>
        <v>Carlos Hyde4</v>
      </c>
    </row>
    <row r="854" spans="1:16" x14ac:dyDescent="0.25">
      <c r="A854">
        <v>8</v>
      </c>
      <c r="B854" t="s">
        <v>107</v>
      </c>
      <c r="C854" t="s">
        <v>6308</v>
      </c>
      <c r="D854">
        <v>11.7</v>
      </c>
      <c r="E854" t="s">
        <v>32</v>
      </c>
      <c r="F854" t="s">
        <v>87</v>
      </c>
      <c r="G854">
        <v>18.78</v>
      </c>
      <c r="H854">
        <v>4.62</v>
      </c>
      <c r="I854">
        <v>7.08</v>
      </c>
      <c r="J854">
        <v>50.126399999999997</v>
      </c>
      <c r="K854" t="str">
        <f>IFERROR(INDEX(Rosters!$C$2:$C$155,MATCH($B854,Rosters!$B$2:$B$155,0)),"NA")</f>
        <v>comp</v>
      </c>
      <c r="L854" t="str">
        <f t="shared" si="39"/>
        <v>comp8WR</v>
      </c>
      <c r="M854">
        <f>COUNTIF(L$1:L854,L854)</f>
        <v>2</v>
      </c>
      <c r="N854" t="str">
        <f t="shared" si="40"/>
        <v>comp8WR-2</v>
      </c>
      <c r="O854">
        <f>COUNTIFS(F$1:F854,F854,A$1:A854,A854)</f>
        <v>10</v>
      </c>
      <c r="P854" t="str">
        <f t="shared" si="41"/>
        <v>T.Y. Hilton8</v>
      </c>
    </row>
    <row r="855" spans="1:16" x14ac:dyDescent="0.25">
      <c r="A855">
        <v>1</v>
      </c>
      <c r="B855" t="s">
        <v>111</v>
      </c>
      <c r="C855" t="s">
        <v>1681</v>
      </c>
      <c r="D855">
        <v>11.69</v>
      </c>
      <c r="E855" t="s">
        <v>54</v>
      </c>
      <c r="F855" t="s">
        <v>47</v>
      </c>
      <c r="G855">
        <v>19.72</v>
      </c>
      <c r="H855">
        <v>3.66</v>
      </c>
      <c r="I855">
        <v>8.0299999999999994</v>
      </c>
      <c r="J855">
        <v>64.480900000000005</v>
      </c>
      <c r="K855" t="str">
        <f>IFERROR(INDEX(Rosters!$C$2:$C$155,MATCH($B855,Rosters!$B$2:$B$155,0)),"NA")</f>
        <v>seth</v>
      </c>
      <c r="L855" t="str">
        <f t="shared" si="39"/>
        <v>seth1RB</v>
      </c>
      <c r="M855">
        <f>COUNTIF(L$1:L855,L855)</f>
        <v>1</v>
      </c>
      <c r="N855" t="str">
        <f t="shared" si="40"/>
        <v>seth1RB-1</v>
      </c>
      <c r="O855">
        <f>COUNTIFS(F$1:F855,F855,A$1:A855,A855)</f>
        <v>13</v>
      </c>
      <c r="P855" t="str">
        <f t="shared" si="41"/>
        <v>Leonard Fournette1</v>
      </c>
    </row>
    <row r="856" spans="1:16" x14ac:dyDescent="0.25">
      <c r="A856">
        <v>13</v>
      </c>
      <c r="B856" t="s">
        <v>130</v>
      </c>
      <c r="C856" t="s">
        <v>6309</v>
      </c>
      <c r="D856">
        <v>11.68</v>
      </c>
      <c r="E856" t="s">
        <v>36</v>
      </c>
      <c r="F856" t="s">
        <v>47</v>
      </c>
      <c r="G856">
        <v>17.760000000000002</v>
      </c>
      <c r="H856">
        <v>5.6</v>
      </c>
      <c r="I856">
        <v>6.08</v>
      </c>
      <c r="J856">
        <v>36.9664</v>
      </c>
      <c r="K856" t="str">
        <f>IFERROR(INDEX(Rosters!$C$2:$C$155,MATCH($B856,Rosters!$B$2:$B$155,0)),"NA")</f>
        <v>cory</v>
      </c>
      <c r="L856" t="str">
        <f t="shared" si="39"/>
        <v>cory13RB</v>
      </c>
      <c r="M856">
        <f>COUNTIF(L$1:L856,L856)</f>
        <v>1</v>
      </c>
      <c r="N856" t="str">
        <f t="shared" si="40"/>
        <v>cory13RB-1</v>
      </c>
      <c r="O856">
        <f>COUNTIFS(F$1:F856,F856,A$1:A856,A856)</f>
        <v>15</v>
      </c>
      <c r="P856" t="str">
        <f t="shared" si="41"/>
        <v>Carlos Hyde13</v>
      </c>
    </row>
    <row r="857" spans="1:16" x14ac:dyDescent="0.25">
      <c r="A857">
        <v>12</v>
      </c>
      <c r="B857" t="s">
        <v>1277</v>
      </c>
      <c r="C857" t="s">
        <v>6310</v>
      </c>
      <c r="D857">
        <v>11.68</v>
      </c>
      <c r="E857" t="s">
        <v>76</v>
      </c>
      <c r="F857" t="s">
        <v>15</v>
      </c>
      <c r="G857">
        <v>17.87</v>
      </c>
      <c r="H857">
        <v>5.49</v>
      </c>
      <c r="I857">
        <v>6.19</v>
      </c>
      <c r="J857">
        <v>38.316099999999999</v>
      </c>
      <c r="K857" t="str">
        <f>IFERROR(INDEX(Rosters!$C$2:$C$155,MATCH($B857,Rosters!$B$2:$B$155,0)),"NA")</f>
        <v>NA</v>
      </c>
      <c r="L857" t="str">
        <f t="shared" si="39"/>
        <v>NA12QB</v>
      </c>
      <c r="M857">
        <f>COUNTIF(L$1:L857,L857)</f>
        <v>15</v>
      </c>
      <c r="N857" t="str">
        <f t="shared" si="40"/>
        <v>NA12QB-15</v>
      </c>
      <c r="O857">
        <f>COUNTIFS(F$1:F857,F857,A$1:A857,A857)</f>
        <v>30</v>
      </c>
      <c r="P857" t="str">
        <f t="shared" si="41"/>
        <v>Josh Allen12</v>
      </c>
    </row>
    <row r="858" spans="1:16" x14ac:dyDescent="0.25">
      <c r="A858">
        <v>4</v>
      </c>
      <c r="B858" t="s">
        <v>99</v>
      </c>
      <c r="C858" t="s">
        <v>4441</v>
      </c>
      <c r="D858">
        <v>11.68</v>
      </c>
      <c r="E858" t="s">
        <v>66</v>
      </c>
      <c r="F858" t="s">
        <v>47</v>
      </c>
      <c r="G858">
        <v>19.11</v>
      </c>
      <c r="H858">
        <v>4.25</v>
      </c>
      <c r="I858">
        <v>7.43</v>
      </c>
      <c r="J858">
        <v>55.204900000000002</v>
      </c>
      <c r="K858" t="str">
        <f>IFERROR(INDEX(Rosters!$C$2:$C$155,MATCH($B858,Rosters!$B$2:$B$155,0)),"NA")</f>
        <v>comp</v>
      </c>
      <c r="L858" t="str">
        <f t="shared" si="39"/>
        <v>comp4RB</v>
      </c>
      <c r="M858">
        <f>COUNTIF(L$1:L858,L858)</f>
        <v>1</v>
      </c>
      <c r="N858" t="str">
        <f t="shared" si="40"/>
        <v>comp4RB-1</v>
      </c>
      <c r="O858">
        <f>COUNTIFS(F$1:F858,F858,A$1:A858,A858)</f>
        <v>11</v>
      </c>
      <c r="P858" t="str">
        <f t="shared" si="41"/>
        <v>Lamar Miller4</v>
      </c>
    </row>
    <row r="859" spans="1:16" x14ac:dyDescent="0.25">
      <c r="A859">
        <v>4</v>
      </c>
      <c r="B859" t="s">
        <v>196</v>
      </c>
      <c r="C859" t="s">
        <v>4442</v>
      </c>
      <c r="D859">
        <v>11.66</v>
      </c>
      <c r="E859" t="s">
        <v>46</v>
      </c>
      <c r="F859" t="s">
        <v>47</v>
      </c>
      <c r="G859">
        <v>19.52</v>
      </c>
      <c r="H859">
        <v>3.8</v>
      </c>
      <c r="I859">
        <v>7.86</v>
      </c>
      <c r="J859">
        <v>61.779600000000002</v>
      </c>
      <c r="K859" t="str">
        <f>IFERROR(INDEX(Rosters!$C$2:$C$155,MATCH($B859,Rosters!$B$2:$B$155,0)),"NA")</f>
        <v>NA</v>
      </c>
      <c r="L859" t="str">
        <f t="shared" si="39"/>
        <v>NA4RB</v>
      </c>
      <c r="M859">
        <f>COUNTIF(L$1:L859,L859)</f>
        <v>1</v>
      </c>
      <c r="N859" t="str">
        <f t="shared" si="40"/>
        <v>NA4RB-1</v>
      </c>
      <c r="O859">
        <f>COUNTIFS(F$1:F859,F859,A$1:A859,A859)</f>
        <v>12</v>
      </c>
      <c r="P859" t="str">
        <f t="shared" si="41"/>
        <v>Giovani Bernard4</v>
      </c>
    </row>
    <row r="860" spans="1:16" x14ac:dyDescent="0.25">
      <c r="A860">
        <v>4</v>
      </c>
      <c r="B860" t="s">
        <v>111</v>
      </c>
      <c r="C860" t="s">
        <v>5026</v>
      </c>
      <c r="D860">
        <v>11.65</v>
      </c>
      <c r="E860" t="s">
        <v>73</v>
      </c>
      <c r="F860" t="s">
        <v>47</v>
      </c>
      <c r="G860">
        <v>21.25</v>
      </c>
      <c r="H860">
        <v>2.0499999999999998</v>
      </c>
      <c r="I860">
        <v>9.6</v>
      </c>
      <c r="J860">
        <v>92.16</v>
      </c>
      <c r="K860" t="str">
        <f>IFERROR(INDEX(Rosters!$C$2:$C$155,MATCH($B860,Rosters!$B$2:$B$155,0)),"NA")</f>
        <v>seth</v>
      </c>
      <c r="L860" t="str">
        <f t="shared" si="39"/>
        <v>seth4RB</v>
      </c>
      <c r="M860">
        <f>COUNTIF(L$1:L860,L860)</f>
        <v>1</v>
      </c>
      <c r="N860" t="str">
        <f t="shared" si="40"/>
        <v>seth4RB-1</v>
      </c>
      <c r="O860">
        <f>COUNTIFS(F$1:F860,F860,A$1:A860,A860)</f>
        <v>13</v>
      </c>
      <c r="P860" t="str">
        <f t="shared" si="41"/>
        <v>Leonard Fournette4</v>
      </c>
    </row>
    <row r="861" spans="1:16" x14ac:dyDescent="0.25">
      <c r="A861">
        <v>15</v>
      </c>
      <c r="B861" t="s">
        <v>99</v>
      </c>
      <c r="C861" t="s">
        <v>6311</v>
      </c>
      <c r="D861">
        <v>11.64</v>
      </c>
      <c r="E861" t="s">
        <v>73</v>
      </c>
      <c r="F861" t="s">
        <v>47</v>
      </c>
      <c r="G861">
        <v>19.34</v>
      </c>
      <c r="H861">
        <v>3.94</v>
      </c>
      <c r="I861">
        <v>7.7</v>
      </c>
      <c r="J861">
        <v>59.29</v>
      </c>
      <c r="K861" t="str">
        <f>IFERROR(INDEX(Rosters!$C$2:$C$155,MATCH($B861,Rosters!$B$2:$B$155,0)),"NA")</f>
        <v>comp</v>
      </c>
      <c r="L861" t="str">
        <f t="shared" si="39"/>
        <v>comp15RB</v>
      </c>
      <c r="M861">
        <f>COUNTIF(L$1:L861,L861)</f>
        <v>1</v>
      </c>
      <c r="N861" t="str">
        <f t="shared" si="40"/>
        <v>comp15RB-1</v>
      </c>
      <c r="O861">
        <f>COUNTIFS(F$1:F861,F861,A$1:A861,A861)</f>
        <v>13</v>
      </c>
      <c r="P861" t="str">
        <f t="shared" si="41"/>
        <v>Lamar Miller15</v>
      </c>
    </row>
    <row r="862" spans="1:16" x14ac:dyDescent="0.25">
      <c r="A862">
        <v>14</v>
      </c>
      <c r="B862" t="s">
        <v>154</v>
      </c>
      <c r="C862" t="s">
        <v>6312</v>
      </c>
      <c r="D862">
        <v>11.61</v>
      </c>
      <c r="E862" t="s">
        <v>31</v>
      </c>
      <c r="F862" t="s">
        <v>87</v>
      </c>
      <c r="G862">
        <v>17.829999999999998</v>
      </c>
      <c r="H862">
        <v>5.39</v>
      </c>
      <c r="I862">
        <v>6.22</v>
      </c>
      <c r="J862">
        <v>38.688400000000001</v>
      </c>
      <c r="K862" t="str">
        <f>IFERROR(INDEX(Rosters!$C$2:$C$155,MATCH($B862,Rosters!$B$2:$B$155,0)),"NA")</f>
        <v>chad</v>
      </c>
      <c r="L862" t="str">
        <f t="shared" si="39"/>
        <v>chad14WR</v>
      </c>
      <c r="M862">
        <f>COUNTIF(L$1:L862,L862)</f>
        <v>1</v>
      </c>
      <c r="N862" t="str">
        <f t="shared" si="40"/>
        <v>chad14WR-1</v>
      </c>
      <c r="O862">
        <f>COUNTIFS(F$1:F862,F862,A$1:A862,A862)</f>
        <v>12</v>
      </c>
      <c r="P862" t="str">
        <f t="shared" si="41"/>
        <v>Keenan Allen14</v>
      </c>
    </row>
    <row r="863" spans="1:16" x14ac:dyDescent="0.25">
      <c r="A863">
        <v>12</v>
      </c>
      <c r="B863" t="s">
        <v>133</v>
      </c>
      <c r="C863" t="s">
        <v>6313</v>
      </c>
      <c r="D863">
        <v>11.61</v>
      </c>
      <c r="E863" t="s">
        <v>41</v>
      </c>
      <c r="F863" t="s">
        <v>87</v>
      </c>
      <c r="G863">
        <v>18.07</v>
      </c>
      <c r="H863">
        <v>5.15</v>
      </c>
      <c r="I863">
        <v>6.46</v>
      </c>
      <c r="J863">
        <v>41.7316</v>
      </c>
      <c r="K863" t="str">
        <f>IFERROR(INDEX(Rosters!$C$2:$C$155,MATCH($B863,Rosters!$B$2:$B$155,0)),"NA")</f>
        <v>aj</v>
      </c>
      <c r="L863" t="str">
        <f t="shared" si="39"/>
        <v>aj12WR</v>
      </c>
      <c r="M863">
        <f>COUNTIF(L$1:L863,L863)</f>
        <v>3</v>
      </c>
      <c r="N863" t="str">
        <f t="shared" si="40"/>
        <v>aj12WR-3</v>
      </c>
      <c r="O863">
        <f>COUNTIFS(F$1:F863,F863,A$1:A863,A863)</f>
        <v>10</v>
      </c>
      <c r="P863" t="str">
        <f t="shared" si="41"/>
        <v>Stefon Diggs12</v>
      </c>
    </row>
    <row r="864" spans="1:16" x14ac:dyDescent="0.25">
      <c r="A864">
        <v>6</v>
      </c>
      <c r="B864" t="s">
        <v>100</v>
      </c>
      <c r="C864" t="s">
        <v>6314</v>
      </c>
      <c r="D864">
        <v>11.59</v>
      </c>
      <c r="E864" t="s">
        <v>46</v>
      </c>
      <c r="F864" t="s">
        <v>87</v>
      </c>
      <c r="G864">
        <v>17.510000000000002</v>
      </c>
      <c r="H864">
        <v>5.67</v>
      </c>
      <c r="I864">
        <v>5.92</v>
      </c>
      <c r="J864">
        <v>35.046399999999998</v>
      </c>
      <c r="K864" t="str">
        <f>IFERROR(INDEX(Rosters!$C$2:$C$155,MATCH($B864,Rosters!$B$2:$B$155,0)),"NA")</f>
        <v>aj</v>
      </c>
      <c r="L864" t="str">
        <f t="shared" si="39"/>
        <v>aj6WR</v>
      </c>
      <c r="M864">
        <f>COUNTIF(L$1:L864,L864)</f>
        <v>2</v>
      </c>
      <c r="N864" t="str">
        <f t="shared" si="40"/>
        <v>aj6WR-2</v>
      </c>
      <c r="O864">
        <f>COUNTIFS(F$1:F864,F864,A$1:A864,A864)</f>
        <v>9</v>
      </c>
      <c r="P864" t="str">
        <f t="shared" si="41"/>
        <v>Mike Evans6</v>
      </c>
    </row>
    <row r="865" spans="1:16" x14ac:dyDescent="0.25">
      <c r="A865">
        <v>5</v>
      </c>
      <c r="B865" t="s">
        <v>122</v>
      </c>
      <c r="C865" t="s">
        <v>6315</v>
      </c>
      <c r="D865">
        <v>11.58</v>
      </c>
      <c r="E865" t="s">
        <v>41</v>
      </c>
      <c r="F865" t="s">
        <v>87</v>
      </c>
      <c r="G865">
        <v>18.170000000000002</v>
      </c>
      <c r="H865">
        <v>4.99</v>
      </c>
      <c r="I865">
        <v>6.59</v>
      </c>
      <c r="J865">
        <v>43.428100000000001</v>
      </c>
      <c r="K865" t="str">
        <f>IFERROR(INDEX(Rosters!$C$2:$C$155,MATCH($B865,Rosters!$B$2:$B$155,0)),"NA")</f>
        <v>devon</v>
      </c>
      <c r="L865" t="str">
        <f t="shared" si="39"/>
        <v>devon5WR</v>
      </c>
      <c r="M865">
        <f>COUNTIF(L$1:L865,L865)</f>
        <v>1</v>
      </c>
      <c r="N865" t="str">
        <f t="shared" si="40"/>
        <v>devon5WR-1</v>
      </c>
      <c r="O865">
        <f>COUNTIFS(F$1:F865,F865,A$1:A865,A865)</f>
        <v>10</v>
      </c>
      <c r="P865" t="str">
        <f t="shared" si="41"/>
        <v>Golden Tate5</v>
      </c>
    </row>
    <row r="866" spans="1:16" x14ac:dyDescent="0.25">
      <c r="A866">
        <v>9</v>
      </c>
      <c r="B866" t="s">
        <v>1352</v>
      </c>
      <c r="C866" t="s">
        <v>6316</v>
      </c>
      <c r="D866">
        <v>11.58</v>
      </c>
      <c r="E866" t="s">
        <v>41</v>
      </c>
      <c r="F866" t="s">
        <v>47</v>
      </c>
      <c r="G866">
        <v>19.13</v>
      </c>
      <c r="H866">
        <v>4.03</v>
      </c>
      <c r="I866">
        <v>7.55</v>
      </c>
      <c r="J866">
        <v>57.002499999999998</v>
      </c>
      <c r="K866" t="str">
        <f>IFERROR(INDEX(Rosters!$C$2:$C$155,MATCH($B866,Rosters!$B$2:$B$155,0)),"NA")</f>
        <v>devon</v>
      </c>
      <c r="L866" t="str">
        <f t="shared" si="39"/>
        <v>devon9RB</v>
      </c>
      <c r="M866">
        <f>COUNTIF(L$1:L866,L866)</f>
        <v>2</v>
      </c>
      <c r="N866" t="str">
        <f t="shared" si="40"/>
        <v>devon9RB-2</v>
      </c>
      <c r="O866">
        <f>COUNTIFS(F$1:F866,F866,A$1:A866,A866)</f>
        <v>11</v>
      </c>
      <c r="P866" t="str">
        <f t="shared" si="41"/>
        <v>Sony Michel9</v>
      </c>
    </row>
    <row r="867" spans="1:16" x14ac:dyDescent="0.25">
      <c r="A867">
        <v>6</v>
      </c>
      <c r="B867" t="s">
        <v>123</v>
      </c>
      <c r="C867" t="s">
        <v>6317</v>
      </c>
      <c r="D867">
        <v>11.57</v>
      </c>
      <c r="E867" t="s">
        <v>51</v>
      </c>
      <c r="F867" t="s">
        <v>47</v>
      </c>
      <c r="G867">
        <v>20.29</v>
      </c>
      <c r="H867">
        <v>2.85</v>
      </c>
      <c r="I867">
        <v>8.7200000000000006</v>
      </c>
      <c r="J867">
        <v>76.038399999999996</v>
      </c>
      <c r="K867" t="str">
        <f>IFERROR(INDEX(Rosters!$C$2:$C$155,MATCH($B867,Rosters!$B$2:$B$155,0)),"NA")</f>
        <v>aj</v>
      </c>
      <c r="L867" t="str">
        <f t="shared" si="39"/>
        <v>aj6RB</v>
      </c>
      <c r="M867">
        <f>COUNTIF(L$1:L867,L867)</f>
        <v>3</v>
      </c>
      <c r="N867" t="str">
        <f t="shared" si="40"/>
        <v>aj6RB-3</v>
      </c>
      <c r="O867">
        <f>COUNTIFS(F$1:F867,F867,A$1:A867,A867)</f>
        <v>14</v>
      </c>
      <c r="P867" t="str">
        <f t="shared" si="41"/>
        <v>Joe Mixon6</v>
      </c>
    </row>
    <row r="868" spans="1:16" x14ac:dyDescent="0.25">
      <c r="A868">
        <v>4</v>
      </c>
      <c r="B868" t="s">
        <v>100</v>
      </c>
      <c r="C868" t="s">
        <v>4443</v>
      </c>
      <c r="D868">
        <v>11.57</v>
      </c>
      <c r="E868" t="s">
        <v>72</v>
      </c>
      <c r="F868" t="s">
        <v>87</v>
      </c>
      <c r="G868">
        <v>19.05</v>
      </c>
      <c r="H868">
        <v>4.09</v>
      </c>
      <c r="I868">
        <v>7.48</v>
      </c>
      <c r="J868">
        <v>55.950400000000002</v>
      </c>
      <c r="K868" t="str">
        <f>IFERROR(INDEX(Rosters!$C$2:$C$155,MATCH($B868,Rosters!$B$2:$B$155,0)),"NA")</f>
        <v>aj</v>
      </c>
      <c r="L868" t="str">
        <f t="shared" si="39"/>
        <v>aj4WR</v>
      </c>
      <c r="M868">
        <f>COUNTIF(L$1:L868,L868)</f>
        <v>2</v>
      </c>
      <c r="N868" t="str">
        <f t="shared" si="40"/>
        <v>aj4WR-2</v>
      </c>
      <c r="O868">
        <f>COUNTIFS(F$1:F868,F868,A$1:A868,A868)</f>
        <v>9</v>
      </c>
      <c r="P868" t="str">
        <f t="shared" si="41"/>
        <v>Mike Evans4</v>
      </c>
    </row>
    <row r="869" spans="1:16" x14ac:dyDescent="0.25">
      <c r="A869">
        <v>7</v>
      </c>
      <c r="B869" t="s">
        <v>100</v>
      </c>
      <c r="C869" t="s">
        <v>6318</v>
      </c>
      <c r="D869">
        <v>11.57</v>
      </c>
      <c r="E869" t="s">
        <v>52</v>
      </c>
      <c r="F869" t="s">
        <v>87</v>
      </c>
      <c r="G869">
        <v>18.39</v>
      </c>
      <c r="H869">
        <v>4.75</v>
      </c>
      <c r="I869">
        <v>6.82</v>
      </c>
      <c r="J869">
        <v>46.5124</v>
      </c>
      <c r="K869" t="str">
        <f>IFERROR(INDEX(Rosters!$C$2:$C$155,MATCH($B869,Rosters!$B$2:$B$155,0)),"NA")</f>
        <v>aj</v>
      </c>
      <c r="L869" t="str">
        <f t="shared" si="39"/>
        <v>aj7WR</v>
      </c>
      <c r="M869">
        <f>COUNTIF(L$1:L869,L869)</f>
        <v>2</v>
      </c>
      <c r="N869" t="str">
        <f t="shared" si="40"/>
        <v>aj7WR-2</v>
      </c>
      <c r="O869">
        <f>COUNTIFS(F$1:F869,F869,A$1:A869,A869)</f>
        <v>10</v>
      </c>
      <c r="P869" t="str">
        <f t="shared" si="41"/>
        <v>Mike Evans7</v>
      </c>
    </row>
    <row r="870" spans="1:16" x14ac:dyDescent="0.25">
      <c r="A870">
        <v>3</v>
      </c>
      <c r="B870" t="s">
        <v>291</v>
      </c>
      <c r="C870" t="s">
        <v>3648</v>
      </c>
      <c r="D870">
        <v>11.57</v>
      </c>
      <c r="E870" t="s">
        <v>58</v>
      </c>
      <c r="F870" t="s">
        <v>15</v>
      </c>
      <c r="G870">
        <v>19.420000000000002</v>
      </c>
      <c r="H870">
        <v>3.72</v>
      </c>
      <c r="I870">
        <v>7.85</v>
      </c>
      <c r="J870">
        <v>61.622500000000002</v>
      </c>
      <c r="K870" t="str">
        <f>IFERROR(INDEX(Rosters!$C$2:$C$155,MATCH($B870,Rosters!$B$2:$B$155,0)),"NA")</f>
        <v>NA</v>
      </c>
      <c r="L870" t="str">
        <f t="shared" si="39"/>
        <v>NA3QB</v>
      </c>
      <c r="M870">
        <f>COUNTIF(L$1:L870,L870)</f>
        <v>13</v>
      </c>
      <c r="N870" t="str">
        <f t="shared" si="40"/>
        <v>NA3QB-13</v>
      </c>
      <c r="O870">
        <f>COUNTIFS(F$1:F870,F870,A$1:A870,A870)</f>
        <v>29</v>
      </c>
      <c r="P870" t="str">
        <f t="shared" si="41"/>
        <v>Mitchell Trubisky3</v>
      </c>
    </row>
    <row r="871" spans="1:16" x14ac:dyDescent="0.25">
      <c r="A871">
        <v>11</v>
      </c>
      <c r="B871" t="s">
        <v>158</v>
      </c>
      <c r="C871" t="s">
        <v>6319</v>
      </c>
      <c r="D871">
        <v>11.55</v>
      </c>
      <c r="E871" t="s">
        <v>36</v>
      </c>
      <c r="F871" t="s">
        <v>47</v>
      </c>
      <c r="G871">
        <v>17.670000000000002</v>
      </c>
      <c r="H871">
        <v>5.43</v>
      </c>
      <c r="I871">
        <v>6.12</v>
      </c>
      <c r="J871">
        <v>37.4544</v>
      </c>
      <c r="K871" t="str">
        <f>IFERROR(INDEX(Rosters!$C$2:$C$155,MATCH($B871,Rosters!$B$2:$B$155,0)),"NA")</f>
        <v>comp</v>
      </c>
      <c r="L871" t="str">
        <f t="shared" si="39"/>
        <v>comp11RB</v>
      </c>
      <c r="M871">
        <f>COUNTIF(L$1:L871,L871)</f>
        <v>2</v>
      </c>
      <c r="N871" t="str">
        <f t="shared" si="40"/>
        <v>comp11RB-2</v>
      </c>
      <c r="O871">
        <f>COUNTIFS(F$1:F871,F871,A$1:A871,A871)</f>
        <v>12</v>
      </c>
      <c r="P871" t="str">
        <f t="shared" si="41"/>
        <v>Adrian Peterson11</v>
      </c>
    </row>
    <row r="872" spans="1:16" x14ac:dyDescent="0.25">
      <c r="A872">
        <v>14</v>
      </c>
      <c r="B872" t="s">
        <v>132</v>
      </c>
      <c r="C872" t="s">
        <v>6320</v>
      </c>
      <c r="D872">
        <v>11.53</v>
      </c>
      <c r="E872" t="s">
        <v>51</v>
      </c>
      <c r="F872" t="s">
        <v>47</v>
      </c>
      <c r="G872">
        <v>19.38</v>
      </c>
      <c r="H872">
        <v>3.68</v>
      </c>
      <c r="I872">
        <v>7.85</v>
      </c>
      <c r="J872">
        <v>61.622500000000002</v>
      </c>
      <c r="K872" t="str">
        <f>IFERROR(INDEX(Rosters!$C$2:$C$155,MATCH($B872,Rosters!$B$2:$B$155,0)),"NA")</f>
        <v>scott</v>
      </c>
      <c r="L872" t="str">
        <f t="shared" si="39"/>
        <v>scott14RB</v>
      </c>
      <c r="M872">
        <f>COUNTIF(L$1:L872,L872)</f>
        <v>3</v>
      </c>
      <c r="N872" t="str">
        <f t="shared" si="40"/>
        <v>scott14RB-3</v>
      </c>
      <c r="O872">
        <f>COUNTIFS(F$1:F872,F872,A$1:A872,A872)</f>
        <v>12</v>
      </c>
      <c r="P872" t="str">
        <f t="shared" si="41"/>
        <v>Marshawn Lynch14</v>
      </c>
    </row>
    <row r="873" spans="1:16" x14ac:dyDescent="0.25">
      <c r="A873">
        <v>16</v>
      </c>
      <c r="B873" t="s">
        <v>120</v>
      </c>
      <c r="C873" t="s">
        <v>6321</v>
      </c>
      <c r="D873">
        <v>11.5</v>
      </c>
      <c r="E873" t="s">
        <v>50</v>
      </c>
      <c r="F873" t="s">
        <v>87</v>
      </c>
      <c r="G873">
        <v>16.86</v>
      </c>
      <c r="H873">
        <v>6.14</v>
      </c>
      <c r="I873">
        <v>5.36</v>
      </c>
      <c r="J873">
        <v>28.729600000000001</v>
      </c>
      <c r="K873" t="str">
        <f>IFERROR(INDEX(Rosters!$C$2:$C$155,MATCH($B873,Rosters!$B$2:$B$155,0)),"NA")</f>
        <v>aj</v>
      </c>
      <c r="L873" t="str">
        <f t="shared" si="39"/>
        <v>aj16WR</v>
      </c>
      <c r="M873">
        <f>COUNTIF(L$1:L873,L873)</f>
        <v>2</v>
      </c>
      <c r="N873" t="str">
        <f t="shared" si="40"/>
        <v>aj16WR-2</v>
      </c>
      <c r="O873">
        <f>COUNTIFS(F$1:F873,F873,A$1:A873,A873)</f>
        <v>10</v>
      </c>
      <c r="P873" t="str">
        <f t="shared" si="41"/>
        <v>DeAndre Hopkins16</v>
      </c>
    </row>
    <row r="874" spans="1:16" x14ac:dyDescent="0.25">
      <c r="A874">
        <v>13</v>
      </c>
      <c r="B874" t="s">
        <v>89</v>
      </c>
      <c r="C874" t="s">
        <v>6322</v>
      </c>
      <c r="D874">
        <v>11.47</v>
      </c>
      <c r="E874" t="s">
        <v>60</v>
      </c>
      <c r="F874" t="s">
        <v>47</v>
      </c>
      <c r="G874">
        <v>19.45</v>
      </c>
      <c r="H874">
        <v>3.49</v>
      </c>
      <c r="I874">
        <v>7.98</v>
      </c>
      <c r="J874">
        <v>63.680399999999999</v>
      </c>
      <c r="K874" t="str">
        <f>IFERROR(INDEX(Rosters!$C$2:$C$155,MATCH($B874,Rosters!$B$2:$B$155,0)),"NA")</f>
        <v>matty</v>
      </c>
      <c r="L874" t="str">
        <f t="shared" si="39"/>
        <v>matty13RB</v>
      </c>
      <c r="M874">
        <f>COUNTIF(L$1:L874,L874)</f>
        <v>3</v>
      </c>
      <c r="N874" t="str">
        <f t="shared" si="40"/>
        <v>matty13RB-3</v>
      </c>
      <c r="O874">
        <f>COUNTIFS(F$1:F874,F874,A$1:A874,A874)</f>
        <v>16</v>
      </c>
      <c r="P874" t="str">
        <f t="shared" si="41"/>
        <v>Jay Ajayi13</v>
      </c>
    </row>
    <row r="875" spans="1:16" x14ac:dyDescent="0.25">
      <c r="A875">
        <v>16</v>
      </c>
      <c r="B875" t="s">
        <v>1352</v>
      </c>
      <c r="C875" t="s">
        <v>6323</v>
      </c>
      <c r="D875">
        <v>11.43</v>
      </c>
      <c r="E875" t="s">
        <v>29</v>
      </c>
      <c r="F875" t="s">
        <v>47</v>
      </c>
      <c r="G875">
        <v>18.02</v>
      </c>
      <c r="H875">
        <v>4.84</v>
      </c>
      <c r="I875">
        <v>6.59</v>
      </c>
      <c r="J875">
        <v>43.428100000000001</v>
      </c>
      <c r="K875" t="str">
        <f>IFERROR(INDEX(Rosters!$C$2:$C$155,MATCH($B875,Rosters!$B$2:$B$155,0)),"NA")</f>
        <v>devon</v>
      </c>
      <c r="L875" t="str">
        <f t="shared" si="39"/>
        <v>devon16RB</v>
      </c>
      <c r="M875">
        <f>COUNTIF(L$1:L875,L875)</f>
        <v>2</v>
      </c>
      <c r="N875" t="str">
        <f t="shared" si="40"/>
        <v>devon16RB-2</v>
      </c>
      <c r="O875">
        <f>COUNTIFS(F$1:F875,F875,A$1:A875,A875)</f>
        <v>15</v>
      </c>
      <c r="P875" t="str">
        <f t="shared" si="41"/>
        <v>Sony Michel16</v>
      </c>
    </row>
    <row r="876" spans="1:16" x14ac:dyDescent="0.25">
      <c r="A876">
        <v>10</v>
      </c>
      <c r="B876" t="s">
        <v>89</v>
      </c>
      <c r="C876" t="s">
        <v>6324</v>
      </c>
      <c r="D876">
        <v>11.42</v>
      </c>
      <c r="E876" t="s">
        <v>22</v>
      </c>
      <c r="F876" t="s">
        <v>47</v>
      </c>
      <c r="G876">
        <v>18.920000000000002</v>
      </c>
      <c r="H876">
        <v>3.92</v>
      </c>
      <c r="I876">
        <v>7.5</v>
      </c>
      <c r="J876">
        <v>56.25</v>
      </c>
      <c r="K876" t="str">
        <f>IFERROR(INDEX(Rosters!$C$2:$C$155,MATCH($B876,Rosters!$B$2:$B$155,0)),"NA")</f>
        <v>matty</v>
      </c>
      <c r="L876" t="str">
        <f t="shared" si="39"/>
        <v>matty10RB</v>
      </c>
      <c r="M876">
        <f>COUNTIF(L$1:L876,L876)</f>
        <v>3</v>
      </c>
      <c r="N876" t="str">
        <f t="shared" si="40"/>
        <v>matty10RB-3</v>
      </c>
      <c r="O876">
        <f>COUNTIFS(F$1:F876,F876,A$1:A876,A876)</f>
        <v>11</v>
      </c>
      <c r="P876" t="str">
        <f t="shared" si="41"/>
        <v>Jay Ajayi10</v>
      </c>
    </row>
    <row r="877" spans="1:16" x14ac:dyDescent="0.25">
      <c r="A877">
        <v>9</v>
      </c>
      <c r="B877" t="s">
        <v>133</v>
      </c>
      <c r="C877" t="s">
        <v>6325</v>
      </c>
      <c r="D877">
        <v>11.42</v>
      </c>
      <c r="E877" t="s">
        <v>34</v>
      </c>
      <c r="F877" t="s">
        <v>87</v>
      </c>
      <c r="G877">
        <v>17.39</v>
      </c>
      <c r="H877">
        <v>5.45</v>
      </c>
      <c r="I877">
        <v>5.97</v>
      </c>
      <c r="J877">
        <v>35.640900000000002</v>
      </c>
      <c r="K877" t="str">
        <f>IFERROR(INDEX(Rosters!$C$2:$C$155,MATCH($B877,Rosters!$B$2:$B$155,0)),"NA")</f>
        <v>aj</v>
      </c>
      <c r="L877" t="str">
        <f t="shared" si="39"/>
        <v>aj9WR</v>
      </c>
      <c r="M877">
        <f>COUNTIF(L$1:L877,L877)</f>
        <v>1</v>
      </c>
      <c r="N877" t="str">
        <f t="shared" si="40"/>
        <v>aj9WR-1</v>
      </c>
      <c r="O877">
        <f>COUNTIFS(F$1:F877,F877,A$1:A877,A877)</f>
        <v>10</v>
      </c>
      <c r="P877" t="str">
        <f t="shared" si="41"/>
        <v>Stefon Diggs9</v>
      </c>
    </row>
    <row r="878" spans="1:16" x14ac:dyDescent="0.25">
      <c r="A878">
        <v>14</v>
      </c>
      <c r="B878" t="s">
        <v>124</v>
      </c>
      <c r="C878" t="s">
        <v>6326</v>
      </c>
      <c r="D878">
        <v>11.41</v>
      </c>
      <c r="E878" t="s">
        <v>77</v>
      </c>
      <c r="F878" t="s">
        <v>87</v>
      </c>
      <c r="G878">
        <v>19.16</v>
      </c>
      <c r="H878">
        <v>3.66</v>
      </c>
      <c r="I878">
        <v>7.75</v>
      </c>
      <c r="J878">
        <v>60.0625</v>
      </c>
      <c r="K878" t="str">
        <f>IFERROR(INDEX(Rosters!$C$2:$C$155,MATCH($B878,Rosters!$B$2:$B$155,0)),"NA")</f>
        <v>matty</v>
      </c>
      <c r="L878" t="str">
        <f t="shared" si="39"/>
        <v>matty14WR</v>
      </c>
      <c r="M878">
        <f>COUNTIF(L$1:L878,L878)</f>
        <v>1</v>
      </c>
      <c r="N878" t="str">
        <f t="shared" si="40"/>
        <v>matty14WR-1</v>
      </c>
      <c r="O878">
        <f>COUNTIFS(F$1:F878,F878,A$1:A878,A878)</f>
        <v>13</v>
      </c>
      <c r="P878" t="str">
        <f t="shared" si="41"/>
        <v>Tyreek Hill14</v>
      </c>
    </row>
    <row r="879" spans="1:16" x14ac:dyDescent="0.25">
      <c r="A879">
        <v>1</v>
      </c>
      <c r="B879" t="s">
        <v>154</v>
      </c>
      <c r="C879" t="s">
        <v>1311</v>
      </c>
      <c r="D879">
        <v>11.4</v>
      </c>
      <c r="E879" t="s">
        <v>24</v>
      </c>
      <c r="F879" t="s">
        <v>87</v>
      </c>
      <c r="G879">
        <v>17.510000000000002</v>
      </c>
      <c r="H879">
        <v>5.29</v>
      </c>
      <c r="I879">
        <v>6.11</v>
      </c>
      <c r="J879">
        <v>37.332099999999997</v>
      </c>
      <c r="K879" t="str">
        <f>IFERROR(INDEX(Rosters!$C$2:$C$155,MATCH($B879,Rosters!$B$2:$B$155,0)),"NA")</f>
        <v>chad</v>
      </c>
      <c r="L879" t="str">
        <f t="shared" si="39"/>
        <v>chad1WR</v>
      </c>
      <c r="M879">
        <f>COUNTIF(L$1:L879,L879)</f>
        <v>1</v>
      </c>
      <c r="N879" t="str">
        <f t="shared" si="40"/>
        <v>chad1WR-1</v>
      </c>
      <c r="O879">
        <f>COUNTIFS(F$1:F879,F879,A$1:A879,A879)</f>
        <v>6</v>
      </c>
      <c r="P879" t="str">
        <f t="shared" si="41"/>
        <v>Keenan Allen1</v>
      </c>
    </row>
    <row r="880" spans="1:16" x14ac:dyDescent="0.25">
      <c r="A880">
        <v>10</v>
      </c>
      <c r="B880" t="s">
        <v>123</v>
      </c>
      <c r="C880" t="s">
        <v>6327</v>
      </c>
      <c r="D880">
        <v>11.37</v>
      </c>
      <c r="E880" t="s">
        <v>14</v>
      </c>
      <c r="F880" t="s">
        <v>47</v>
      </c>
      <c r="G880">
        <v>20.51</v>
      </c>
      <c r="H880">
        <v>2.23</v>
      </c>
      <c r="I880">
        <v>9.14</v>
      </c>
      <c r="J880">
        <v>83.539599999999993</v>
      </c>
      <c r="K880" t="str">
        <f>IFERROR(INDEX(Rosters!$C$2:$C$155,MATCH($B880,Rosters!$B$2:$B$155,0)),"NA")</f>
        <v>aj</v>
      </c>
      <c r="L880" t="str">
        <f t="shared" si="39"/>
        <v>aj10RB</v>
      </c>
      <c r="M880">
        <f>COUNTIF(L$1:L880,L880)</f>
        <v>1</v>
      </c>
      <c r="N880" t="str">
        <f t="shared" si="40"/>
        <v>aj10RB-1</v>
      </c>
      <c r="O880">
        <f>COUNTIFS(F$1:F880,F880,A$1:A880,A880)</f>
        <v>12</v>
      </c>
      <c r="P880" t="str">
        <f t="shared" si="41"/>
        <v>Joe Mixon10</v>
      </c>
    </row>
    <row r="881" spans="1:16" x14ac:dyDescent="0.25">
      <c r="A881">
        <v>3</v>
      </c>
      <c r="B881" t="s">
        <v>99</v>
      </c>
      <c r="C881" t="s">
        <v>3649</v>
      </c>
      <c r="D881">
        <v>11.37</v>
      </c>
      <c r="E881" t="s">
        <v>54</v>
      </c>
      <c r="F881" t="s">
        <v>47</v>
      </c>
      <c r="G881">
        <v>18.170000000000002</v>
      </c>
      <c r="H881">
        <v>4.57</v>
      </c>
      <c r="I881">
        <v>6.8</v>
      </c>
      <c r="J881">
        <v>46.24</v>
      </c>
      <c r="K881" t="str">
        <f>IFERROR(INDEX(Rosters!$C$2:$C$155,MATCH($B881,Rosters!$B$2:$B$155,0)),"NA")</f>
        <v>comp</v>
      </c>
      <c r="L881" t="str">
        <f t="shared" si="39"/>
        <v>comp3RB</v>
      </c>
      <c r="M881">
        <f>COUNTIF(L$1:L881,L881)</f>
        <v>1</v>
      </c>
      <c r="N881" t="str">
        <f t="shared" si="40"/>
        <v>comp3RB-1</v>
      </c>
      <c r="O881">
        <f>COUNTIFS(F$1:F881,F881,A$1:A881,A881)</f>
        <v>12</v>
      </c>
      <c r="P881" t="str">
        <f t="shared" si="41"/>
        <v>Lamar Miller3</v>
      </c>
    </row>
    <row r="882" spans="1:16" x14ac:dyDescent="0.25">
      <c r="A882">
        <v>3</v>
      </c>
      <c r="B882" t="s">
        <v>191</v>
      </c>
      <c r="C882" t="s">
        <v>3650</v>
      </c>
      <c r="D882">
        <v>11.35</v>
      </c>
      <c r="E882" t="s">
        <v>29</v>
      </c>
      <c r="F882" t="s">
        <v>87</v>
      </c>
      <c r="G882">
        <v>17.86</v>
      </c>
      <c r="H882">
        <v>4.84</v>
      </c>
      <c r="I882">
        <v>6.51</v>
      </c>
      <c r="J882">
        <v>42.380099999999999</v>
      </c>
      <c r="K882" t="str">
        <f>IFERROR(INDEX(Rosters!$C$2:$C$155,MATCH($B882,Rosters!$B$2:$B$155,0)),"NA")</f>
        <v>seth</v>
      </c>
      <c r="L882" t="str">
        <f t="shared" si="39"/>
        <v>seth3WR</v>
      </c>
      <c r="M882">
        <f>COUNTIF(L$1:L882,L882)</f>
        <v>2</v>
      </c>
      <c r="N882" t="str">
        <f t="shared" si="40"/>
        <v>seth3WR-2</v>
      </c>
      <c r="O882">
        <f>COUNTIFS(F$1:F882,F882,A$1:A882,A882)</f>
        <v>10</v>
      </c>
      <c r="P882" t="str">
        <f t="shared" si="41"/>
        <v>Adam Thielen3</v>
      </c>
    </row>
    <row r="883" spans="1:16" x14ac:dyDescent="0.25">
      <c r="A883">
        <v>10</v>
      </c>
      <c r="B883" t="s">
        <v>112</v>
      </c>
      <c r="C883" t="s">
        <v>6328</v>
      </c>
      <c r="D883">
        <v>11.35</v>
      </c>
      <c r="E883" t="s">
        <v>51</v>
      </c>
      <c r="F883" t="s">
        <v>47</v>
      </c>
      <c r="G883">
        <v>16.95</v>
      </c>
      <c r="H883">
        <v>5.75</v>
      </c>
      <c r="I883">
        <v>5.6</v>
      </c>
      <c r="J883">
        <v>31.36</v>
      </c>
      <c r="K883" t="str">
        <f>IFERROR(INDEX(Rosters!$C$2:$C$155,MATCH($B883,Rosters!$B$2:$B$155,0)),"NA")</f>
        <v>devon</v>
      </c>
      <c r="L883" t="str">
        <f t="shared" si="39"/>
        <v>devon10RB</v>
      </c>
      <c r="M883">
        <f>COUNTIF(L$1:L883,L883)</f>
        <v>1</v>
      </c>
      <c r="N883" t="str">
        <f t="shared" si="40"/>
        <v>devon10RB-1</v>
      </c>
      <c r="O883">
        <f>COUNTIFS(F$1:F883,F883,A$1:A883,A883)</f>
        <v>13</v>
      </c>
      <c r="P883" t="str">
        <f t="shared" si="41"/>
        <v>Christian McCaffrey10</v>
      </c>
    </row>
    <row r="884" spans="1:16" x14ac:dyDescent="0.25">
      <c r="A884">
        <v>3</v>
      </c>
      <c r="B884" t="s">
        <v>135</v>
      </c>
      <c r="C884" t="s">
        <v>3651</v>
      </c>
      <c r="D884">
        <v>11.35</v>
      </c>
      <c r="E884" t="s">
        <v>60</v>
      </c>
      <c r="F884" t="s">
        <v>87</v>
      </c>
      <c r="G884">
        <v>18.48</v>
      </c>
      <c r="H884">
        <v>4.22</v>
      </c>
      <c r="I884">
        <v>7.13</v>
      </c>
      <c r="J884">
        <v>50.8369</v>
      </c>
      <c r="K884" t="str">
        <f>IFERROR(INDEX(Rosters!$C$2:$C$155,MATCH($B884,Rosters!$B$2:$B$155,0)),"NA")</f>
        <v>perry</v>
      </c>
      <c r="L884" t="str">
        <f t="shared" si="39"/>
        <v>perry3WR</v>
      </c>
      <c r="M884">
        <f>COUNTIF(L$1:L884,L884)</f>
        <v>1</v>
      </c>
      <c r="N884" t="str">
        <f t="shared" si="40"/>
        <v>perry3WR-1</v>
      </c>
      <c r="O884">
        <f>COUNTIFS(F$1:F884,F884,A$1:A884,A884)</f>
        <v>11</v>
      </c>
      <c r="P884" t="str">
        <f t="shared" si="41"/>
        <v>Davante Adams3</v>
      </c>
    </row>
    <row r="885" spans="1:16" x14ac:dyDescent="0.25">
      <c r="A885">
        <v>3</v>
      </c>
      <c r="B885" t="s">
        <v>45</v>
      </c>
      <c r="C885" t="s">
        <v>3652</v>
      </c>
      <c r="D885">
        <v>11.35</v>
      </c>
      <c r="E885" t="s">
        <v>72</v>
      </c>
      <c r="F885" t="s">
        <v>47</v>
      </c>
      <c r="G885">
        <v>17.18</v>
      </c>
      <c r="H885">
        <v>5.52</v>
      </c>
      <c r="I885">
        <v>5.83</v>
      </c>
      <c r="J885">
        <v>33.988900000000001</v>
      </c>
      <c r="K885" t="str">
        <f>IFERROR(INDEX(Rosters!$C$2:$C$155,MATCH($B885,Rosters!$B$2:$B$155,0)),"NA")</f>
        <v>matty</v>
      </c>
      <c r="L885" t="str">
        <f t="shared" si="39"/>
        <v>matty3RB</v>
      </c>
      <c r="M885">
        <f>COUNTIF(L$1:L885,L885)</f>
        <v>2</v>
      </c>
      <c r="N885" t="str">
        <f t="shared" si="40"/>
        <v>matty3RB-2</v>
      </c>
      <c r="O885">
        <f>COUNTIFS(F$1:F885,F885,A$1:A885,A885)</f>
        <v>13</v>
      </c>
      <c r="P885" t="str">
        <f t="shared" si="41"/>
        <v>David Johnson3</v>
      </c>
    </row>
    <row r="886" spans="1:16" x14ac:dyDescent="0.25">
      <c r="A886">
        <v>5</v>
      </c>
      <c r="B886" t="s">
        <v>1105</v>
      </c>
      <c r="C886" t="s">
        <v>6329</v>
      </c>
      <c r="D886">
        <v>11.35</v>
      </c>
      <c r="E886" t="s">
        <v>46</v>
      </c>
      <c r="F886" t="s">
        <v>87</v>
      </c>
      <c r="G886">
        <v>18.71</v>
      </c>
      <c r="H886">
        <v>3.99</v>
      </c>
      <c r="I886">
        <v>7.36</v>
      </c>
      <c r="J886">
        <v>54.169600000000003</v>
      </c>
      <c r="K886" t="str">
        <f>IFERROR(INDEX(Rosters!$C$2:$C$155,MATCH($B886,Rosters!$B$2:$B$155,0)),"NA")</f>
        <v>scott</v>
      </c>
      <c r="L886" t="str">
        <f t="shared" si="39"/>
        <v>scott5WR</v>
      </c>
      <c r="M886">
        <f>COUNTIF(L$1:L886,L886)</f>
        <v>1</v>
      </c>
      <c r="N886" t="str">
        <f t="shared" si="40"/>
        <v>scott5WR-1</v>
      </c>
      <c r="O886">
        <f>COUNTIFS(F$1:F886,F886,A$1:A886,A886)</f>
        <v>11</v>
      </c>
      <c r="P886" t="str">
        <f t="shared" si="41"/>
        <v>JuJu Smith-Schuster5</v>
      </c>
    </row>
    <row r="887" spans="1:16" x14ac:dyDescent="0.25">
      <c r="A887">
        <v>15</v>
      </c>
      <c r="B887" t="s">
        <v>133</v>
      </c>
      <c r="C887" t="s">
        <v>6330</v>
      </c>
      <c r="D887">
        <v>11.34</v>
      </c>
      <c r="E887" t="s">
        <v>19</v>
      </c>
      <c r="F887" t="s">
        <v>87</v>
      </c>
      <c r="G887">
        <v>18.38</v>
      </c>
      <c r="H887">
        <v>4.3</v>
      </c>
      <c r="I887">
        <v>7.04</v>
      </c>
      <c r="J887">
        <v>49.561599999999999</v>
      </c>
      <c r="K887" t="str">
        <f>IFERROR(INDEX(Rosters!$C$2:$C$155,MATCH($B887,Rosters!$B$2:$B$155,0)),"NA")</f>
        <v>aj</v>
      </c>
      <c r="L887" t="str">
        <f t="shared" si="39"/>
        <v>aj15WR</v>
      </c>
      <c r="M887">
        <f>COUNTIF(L$1:L887,L887)</f>
        <v>3</v>
      </c>
      <c r="N887" t="str">
        <f t="shared" si="40"/>
        <v>aj15WR-3</v>
      </c>
      <c r="O887">
        <f>COUNTIFS(F$1:F887,F887,A$1:A887,A887)</f>
        <v>12</v>
      </c>
      <c r="P887" t="str">
        <f t="shared" si="41"/>
        <v>Stefon Diggs15</v>
      </c>
    </row>
    <row r="888" spans="1:16" x14ac:dyDescent="0.25">
      <c r="A888">
        <v>15</v>
      </c>
      <c r="B888" t="s">
        <v>151</v>
      </c>
      <c r="C888" t="s">
        <v>6331</v>
      </c>
      <c r="D888">
        <v>11.33</v>
      </c>
      <c r="E888" t="s">
        <v>37</v>
      </c>
      <c r="F888" t="s">
        <v>114</v>
      </c>
      <c r="G888">
        <v>17.86</v>
      </c>
      <c r="H888">
        <v>4.8</v>
      </c>
      <c r="I888">
        <v>6.53</v>
      </c>
      <c r="J888">
        <v>42.640900000000002</v>
      </c>
      <c r="K888" t="str">
        <f>IFERROR(INDEX(Rosters!$C$2:$C$155,MATCH($B888,Rosters!$B$2:$B$155,0)),"NA")</f>
        <v>aj</v>
      </c>
      <c r="L888" t="str">
        <f t="shared" si="39"/>
        <v>aj15TE</v>
      </c>
      <c r="M888">
        <f>COUNTIF(L$1:L888,L888)</f>
        <v>1</v>
      </c>
      <c r="N888" t="str">
        <f t="shared" si="40"/>
        <v>aj15TE-1</v>
      </c>
      <c r="O888">
        <f>COUNTIFS(F$1:F888,F888,A$1:A888,A888)</f>
        <v>1</v>
      </c>
      <c r="P888" t="str">
        <f t="shared" si="41"/>
        <v>Travis Kelce15</v>
      </c>
    </row>
    <row r="889" spans="1:16" x14ac:dyDescent="0.25">
      <c r="A889">
        <v>17</v>
      </c>
      <c r="B889" t="s">
        <v>191</v>
      </c>
      <c r="C889" t="s">
        <v>6332</v>
      </c>
      <c r="D889">
        <v>11.32</v>
      </c>
      <c r="E889" t="s">
        <v>72</v>
      </c>
      <c r="F889" t="s">
        <v>87</v>
      </c>
      <c r="G889">
        <v>17.61</v>
      </c>
      <c r="H889">
        <v>5.03</v>
      </c>
      <c r="I889">
        <v>6.29</v>
      </c>
      <c r="J889">
        <v>39.564100000000003</v>
      </c>
      <c r="K889" t="str">
        <f>IFERROR(INDEX(Rosters!$C$2:$C$155,MATCH($B889,Rosters!$B$2:$B$155,0)),"NA")</f>
        <v>seth</v>
      </c>
      <c r="L889" t="str">
        <f t="shared" si="39"/>
        <v>seth17WR</v>
      </c>
      <c r="M889">
        <f>COUNTIF(L$1:L889,L889)</f>
        <v>2</v>
      </c>
      <c r="N889" t="str">
        <f t="shared" si="40"/>
        <v>seth17WR-2</v>
      </c>
      <c r="O889">
        <f>COUNTIFS(F$1:F889,F889,A$1:A889,A889)</f>
        <v>13</v>
      </c>
      <c r="P889" t="str">
        <f t="shared" si="41"/>
        <v>Adam Thielen17</v>
      </c>
    </row>
    <row r="890" spans="1:16" x14ac:dyDescent="0.25">
      <c r="A890">
        <v>14</v>
      </c>
      <c r="B890" t="s">
        <v>127</v>
      </c>
      <c r="C890" t="s">
        <v>6333</v>
      </c>
      <c r="D890">
        <v>11.32</v>
      </c>
      <c r="E890" t="s">
        <v>28</v>
      </c>
      <c r="F890" t="s">
        <v>47</v>
      </c>
      <c r="G890">
        <v>19</v>
      </c>
      <c r="H890">
        <v>3.64</v>
      </c>
      <c r="I890">
        <v>7.68</v>
      </c>
      <c r="J890">
        <v>58.982399999999998</v>
      </c>
      <c r="K890" t="str">
        <f>IFERROR(INDEX(Rosters!$C$2:$C$155,MATCH($B890,Rosters!$B$2:$B$155,0)),"NA")</f>
        <v>aj</v>
      </c>
      <c r="L890" t="str">
        <f t="shared" si="39"/>
        <v>aj14RB</v>
      </c>
      <c r="M890">
        <f>COUNTIF(L$1:L890,L890)</f>
        <v>1</v>
      </c>
      <c r="N890" t="str">
        <f t="shared" si="40"/>
        <v>aj14RB-1</v>
      </c>
      <c r="O890">
        <f>COUNTIFS(F$1:F890,F890,A$1:A890,A890)</f>
        <v>13</v>
      </c>
      <c r="P890" t="str">
        <f t="shared" si="41"/>
        <v>Dalvin Cook14</v>
      </c>
    </row>
    <row r="891" spans="1:16" x14ac:dyDescent="0.25">
      <c r="A891">
        <v>17</v>
      </c>
      <c r="B891" t="s">
        <v>1492</v>
      </c>
      <c r="C891" t="s">
        <v>6334</v>
      </c>
      <c r="D891">
        <v>11.3</v>
      </c>
      <c r="E891" t="s">
        <v>77</v>
      </c>
      <c r="F891" t="s">
        <v>15</v>
      </c>
      <c r="G891">
        <v>18.09</v>
      </c>
      <c r="H891">
        <v>4.51</v>
      </c>
      <c r="I891">
        <v>6.79</v>
      </c>
      <c r="J891">
        <v>46.104100000000003</v>
      </c>
      <c r="K891" t="str">
        <f>IFERROR(INDEX(Rosters!$C$2:$C$155,MATCH($B891,Rosters!$B$2:$B$155,0)),"NA")</f>
        <v>perry</v>
      </c>
      <c r="L891" t="str">
        <f t="shared" si="39"/>
        <v>perry17QB</v>
      </c>
      <c r="M891">
        <f>COUNTIF(L$1:L891,L891)</f>
        <v>2</v>
      </c>
      <c r="N891" t="str">
        <f t="shared" si="40"/>
        <v>perry17QB-2</v>
      </c>
      <c r="O891">
        <f>COUNTIFS(F$1:F891,F891,A$1:A891,A891)</f>
        <v>31</v>
      </c>
      <c r="P891" t="str">
        <f t="shared" si="41"/>
        <v>Baker Mayfield17</v>
      </c>
    </row>
    <row r="892" spans="1:16" x14ac:dyDescent="0.25">
      <c r="A892">
        <v>12</v>
      </c>
      <c r="B892" t="s">
        <v>111</v>
      </c>
      <c r="C892" t="s">
        <v>6335</v>
      </c>
      <c r="D892">
        <v>11.3</v>
      </c>
      <c r="E892" t="s">
        <v>29</v>
      </c>
      <c r="F892" t="s">
        <v>47</v>
      </c>
      <c r="G892">
        <v>17.670000000000002</v>
      </c>
      <c r="H892">
        <v>4.93</v>
      </c>
      <c r="I892">
        <v>6.37</v>
      </c>
      <c r="J892">
        <v>40.576900000000002</v>
      </c>
      <c r="K892" t="str">
        <f>IFERROR(INDEX(Rosters!$C$2:$C$155,MATCH($B892,Rosters!$B$2:$B$155,0)),"NA")</f>
        <v>seth</v>
      </c>
      <c r="L892" t="str">
        <f t="shared" si="39"/>
        <v>seth12RB</v>
      </c>
      <c r="M892">
        <f>COUNTIF(L$1:L892,L892)</f>
        <v>1</v>
      </c>
      <c r="N892" t="str">
        <f t="shared" si="40"/>
        <v>seth12RB-1</v>
      </c>
      <c r="O892">
        <f>COUNTIFS(F$1:F892,F892,A$1:A892,A892)</f>
        <v>11</v>
      </c>
      <c r="P892" t="str">
        <f t="shared" si="41"/>
        <v>Leonard Fournette12</v>
      </c>
    </row>
    <row r="893" spans="1:16" x14ac:dyDescent="0.25">
      <c r="A893">
        <v>2</v>
      </c>
      <c r="B893" t="s">
        <v>99</v>
      </c>
      <c r="C893" t="s">
        <v>3315</v>
      </c>
      <c r="D893">
        <v>11.29</v>
      </c>
      <c r="E893" t="s">
        <v>38</v>
      </c>
      <c r="F893" t="s">
        <v>47</v>
      </c>
      <c r="G893">
        <v>17.600000000000001</v>
      </c>
      <c r="H893">
        <v>4.9800000000000004</v>
      </c>
      <c r="I893">
        <v>6.31</v>
      </c>
      <c r="J893">
        <v>39.816099999999999</v>
      </c>
      <c r="K893" t="str">
        <f>IFERROR(INDEX(Rosters!$C$2:$C$155,MATCH($B893,Rosters!$B$2:$B$155,0)),"NA")</f>
        <v>comp</v>
      </c>
      <c r="L893" t="str">
        <f t="shared" si="39"/>
        <v>comp2RB</v>
      </c>
      <c r="M893">
        <f>COUNTIF(L$1:L893,L893)</f>
        <v>1</v>
      </c>
      <c r="N893" t="str">
        <f t="shared" si="40"/>
        <v>comp2RB-1</v>
      </c>
      <c r="O893">
        <f>COUNTIFS(F$1:F893,F893,A$1:A893,A893)</f>
        <v>14</v>
      </c>
      <c r="P893" t="str">
        <f t="shared" si="41"/>
        <v>Lamar Miller2</v>
      </c>
    </row>
    <row r="894" spans="1:16" x14ac:dyDescent="0.25">
      <c r="A894">
        <v>7</v>
      </c>
      <c r="B894" t="s">
        <v>158</v>
      </c>
      <c r="C894" t="s">
        <v>6336</v>
      </c>
      <c r="D894">
        <v>11.28</v>
      </c>
      <c r="E894" t="s">
        <v>22</v>
      </c>
      <c r="F894" t="s">
        <v>47</v>
      </c>
      <c r="G894">
        <v>16.8</v>
      </c>
      <c r="H894">
        <v>5.76</v>
      </c>
      <c r="I894">
        <v>5.52</v>
      </c>
      <c r="J894">
        <v>30.470400000000001</v>
      </c>
      <c r="K894" t="str">
        <f>IFERROR(INDEX(Rosters!$C$2:$C$155,MATCH($B894,Rosters!$B$2:$B$155,0)),"NA")</f>
        <v>comp</v>
      </c>
      <c r="L894" t="str">
        <f t="shared" si="39"/>
        <v>comp7RB</v>
      </c>
      <c r="M894">
        <f>COUNTIF(L$1:L894,L894)</f>
        <v>1</v>
      </c>
      <c r="N894" t="str">
        <f t="shared" si="40"/>
        <v>comp7RB-1</v>
      </c>
      <c r="O894">
        <f>COUNTIFS(F$1:F894,F894,A$1:A894,A894)</f>
        <v>12</v>
      </c>
      <c r="P894" t="str">
        <f t="shared" si="41"/>
        <v>Adrian Peterson7</v>
      </c>
    </row>
    <row r="895" spans="1:16" x14ac:dyDescent="0.25">
      <c r="A895">
        <v>6</v>
      </c>
      <c r="B895" t="s">
        <v>132</v>
      </c>
      <c r="C895" t="s">
        <v>6337</v>
      </c>
      <c r="D895">
        <v>11.26</v>
      </c>
      <c r="E895" t="s">
        <v>28</v>
      </c>
      <c r="F895" t="s">
        <v>47</v>
      </c>
      <c r="G895">
        <v>18.739999999999998</v>
      </c>
      <c r="H895">
        <v>3.78</v>
      </c>
      <c r="I895">
        <v>7.48</v>
      </c>
      <c r="J895">
        <v>55.950400000000002</v>
      </c>
      <c r="K895" t="str">
        <f>IFERROR(INDEX(Rosters!$C$2:$C$155,MATCH($B895,Rosters!$B$2:$B$155,0)),"NA")</f>
        <v>scott</v>
      </c>
      <c r="L895" t="str">
        <f t="shared" si="39"/>
        <v>scott6RB</v>
      </c>
      <c r="M895">
        <f>COUNTIF(L$1:L895,L895)</f>
        <v>2</v>
      </c>
      <c r="N895" t="str">
        <f t="shared" si="40"/>
        <v>scott6RB-2</v>
      </c>
      <c r="O895">
        <f>COUNTIFS(F$1:F895,F895,A$1:A895,A895)</f>
        <v>15</v>
      </c>
      <c r="P895" t="str">
        <f t="shared" si="41"/>
        <v>Marshawn Lynch6</v>
      </c>
    </row>
    <row r="896" spans="1:16" x14ac:dyDescent="0.25">
      <c r="A896">
        <v>13</v>
      </c>
      <c r="B896" t="s">
        <v>103</v>
      </c>
      <c r="C896" t="s">
        <v>6338</v>
      </c>
      <c r="D896">
        <v>11.25</v>
      </c>
      <c r="E896" t="s">
        <v>24</v>
      </c>
      <c r="F896" t="s">
        <v>87</v>
      </c>
      <c r="G896">
        <v>19.04</v>
      </c>
      <c r="H896">
        <v>3.46</v>
      </c>
      <c r="I896">
        <v>7.79</v>
      </c>
      <c r="J896">
        <v>60.684100000000001</v>
      </c>
      <c r="K896" t="str">
        <f>IFERROR(INDEX(Rosters!$C$2:$C$155,MATCH($B896,Rosters!$B$2:$B$155,0)),"NA")</f>
        <v>comp</v>
      </c>
      <c r="L896" t="str">
        <f t="shared" si="39"/>
        <v>comp13WR</v>
      </c>
      <c r="M896">
        <f>COUNTIF(L$1:L896,L896)</f>
        <v>2</v>
      </c>
      <c r="N896" t="str">
        <f t="shared" si="40"/>
        <v>comp13WR-2</v>
      </c>
      <c r="O896">
        <f>COUNTIFS(F$1:F896,F896,A$1:A896,A896)</f>
        <v>7</v>
      </c>
      <c r="P896" t="str">
        <f t="shared" si="41"/>
        <v>Amari Cooper13</v>
      </c>
    </row>
    <row r="897" spans="1:16" x14ac:dyDescent="0.25">
      <c r="A897">
        <v>9</v>
      </c>
      <c r="B897" t="s">
        <v>158</v>
      </c>
      <c r="C897" t="s">
        <v>6339</v>
      </c>
      <c r="D897">
        <v>11.24</v>
      </c>
      <c r="E897" t="s">
        <v>46</v>
      </c>
      <c r="F897" t="s">
        <v>47</v>
      </c>
      <c r="G897">
        <v>16.72</v>
      </c>
      <c r="H897">
        <v>5.76</v>
      </c>
      <c r="I897">
        <v>5.48</v>
      </c>
      <c r="J897">
        <v>30.0304</v>
      </c>
      <c r="K897" t="str">
        <f>IFERROR(INDEX(Rosters!$C$2:$C$155,MATCH($B897,Rosters!$B$2:$B$155,0)),"NA")</f>
        <v>comp</v>
      </c>
      <c r="L897" t="str">
        <f t="shared" si="39"/>
        <v>comp9RB</v>
      </c>
      <c r="M897">
        <f>COUNTIF(L$1:L897,L897)</f>
        <v>2</v>
      </c>
      <c r="N897" t="str">
        <f t="shared" si="40"/>
        <v>comp9RB-2</v>
      </c>
      <c r="O897">
        <f>COUNTIFS(F$1:F897,F897,A$1:A897,A897)</f>
        <v>12</v>
      </c>
      <c r="P897" t="str">
        <f t="shared" si="41"/>
        <v>Adrian Peterson9</v>
      </c>
    </row>
    <row r="898" spans="1:16" x14ac:dyDescent="0.25">
      <c r="A898">
        <v>14</v>
      </c>
      <c r="B898" t="s">
        <v>158</v>
      </c>
      <c r="C898" t="s">
        <v>6340</v>
      </c>
      <c r="D898">
        <v>11.24</v>
      </c>
      <c r="E898" t="s">
        <v>54</v>
      </c>
      <c r="F898" t="s">
        <v>47</v>
      </c>
      <c r="G898">
        <v>17.059999999999999</v>
      </c>
      <c r="H898">
        <v>5.42</v>
      </c>
      <c r="I898">
        <v>5.82</v>
      </c>
      <c r="J898">
        <v>33.872399999999999</v>
      </c>
      <c r="K898" t="str">
        <f>IFERROR(INDEX(Rosters!$C$2:$C$155,MATCH($B898,Rosters!$B$2:$B$155,0)),"NA")</f>
        <v>comp</v>
      </c>
      <c r="L898" t="str">
        <f t="shared" si="39"/>
        <v>comp14RB</v>
      </c>
      <c r="M898">
        <f>COUNTIF(L$1:L898,L898)</f>
        <v>2</v>
      </c>
      <c r="N898" t="str">
        <f t="shared" si="40"/>
        <v>comp14RB-2</v>
      </c>
      <c r="O898">
        <f>COUNTIFS(F$1:F898,F898,A$1:A898,A898)</f>
        <v>14</v>
      </c>
      <c r="P898" t="str">
        <f t="shared" si="41"/>
        <v>Adrian Peterson14</v>
      </c>
    </row>
    <row r="899" spans="1:16" x14ac:dyDescent="0.25">
      <c r="A899">
        <v>3</v>
      </c>
      <c r="B899" t="s">
        <v>130</v>
      </c>
      <c r="C899" t="s">
        <v>3653</v>
      </c>
      <c r="D899">
        <v>11.24</v>
      </c>
      <c r="E899" t="s">
        <v>73</v>
      </c>
      <c r="F899" t="s">
        <v>47</v>
      </c>
      <c r="G899">
        <v>16.850000000000001</v>
      </c>
      <c r="H899">
        <v>5.63</v>
      </c>
      <c r="I899">
        <v>5.61</v>
      </c>
      <c r="J899">
        <v>31.472100000000001</v>
      </c>
      <c r="K899" t="str">
        <f>IFERROR(INDEX(Rosters!$C$2:$C$155,MATCH($B899,Rosters!$B$2:$B$155,0)),"NA")</f>
        <v>cory</v>
      </c>
      <c r="L899" t="str">
        <f t="shared" ref="L899:L962" si="42">K899&amp;A899&amp;F899</f>
        <v>cory3RB</v>
      </c>
      <c r="M899">
        <f>COUNTIF(L$1:L899,L899)</f>
        <v>1</v>
      </c>
      <c r="N899" t="str">
        <f t="shared" ref="N899:N962" si="43">L899&amp;"-"&amp;M899</f>
        <v>cory3RB-1</v>
      </c>
      <c r="O899">
        <f>COUNTIFS(F$1:F899,F899,A$1:A899,A899)</f>
        <v>14</v>
      </c>
      <c r="P899" t="str">
        <f t="shared" ref="P899:P962" si="44">B899&amp;A899</f>
        <v>Carlos Hyde3</v>
      </c>
    </row>
    <row r="900" spans="1:16" x14ac:dyDescent="0.25">
      <c r="A900">
        <v>7</v>
      </c>
      <c r="B900" t="s">
        <v>90</v>
      </c>
      <c r="C900" t="s">
        <v>6341</v>
      </c>
      <c r="D900">
        <v>11.23</v>
      </c>
      <c r="E900" t="s">
        <v>54</v>
      </c>
      <c r="F900" t="s">
        <v>47</v>
      </c>
      <c r="G900">
        <v>18.3</v>
      </c>
      <c r="H900">
        <v>4.16</v>
      </c>
      <c r="I900">
        <v>7.07</v>
      </c>
      <c r="J900">
        <v>49.984900000000003</v>
      </c>
      <c r="K900" t="str">
        <f>IFERROR(INDEX(Rosters!$C$2:$C$155,MATCH($B900,Rosters!$B$2:$B$155,0)),"NA")</f>
        <v>devon</v>
      </c>
      <c r="L900" t="str">
        <f t="shared" si="42"/>
        <v>devon7RB</v>
      </c>
      <c r="M900">
        <f>COUNTIF(L$1:L900,L900)</f>
        <v>2</v>
      </c>
      <c r="N900" t="str">
        <f t="shared" si="43"/>
        <v>devon7RB-2</v>
      </c>
      <c r="O900">
        <f>COUNTIFS(F$1:F900,F900,A$1:A900,A900)</f>
        <v>13</v>
      </c>
      <c r="P900" t="str">
        <f t="shared" si="44"/>
        <v>Devonta Freeman7</v>
      </c>
    </row>
    <row r="901" spans="1:16" x14ac:dyDescent="0.25">
      <c r="A901">
        <v>6</v>
      </c>
      <c r="B901" t="s">
        <v>1288</v>
      </c>
      <c r="C901" t="s">
        <v>6342</v>
      </c>
      <c r="D901">
        <v>11.23</v>
      </c>
      <c r="E901" t="s">
        <v>50</v>
      </c>
      <c r="F901" t="s">
        <v>47</v>
      </c>
      <c r="G901">
        <v>18.03</v>
      </c>
      <c r="H901">
        <v>4.43</v>
      </c>
      <c r="I901">
        <v>6.8</v>
      </c>
      <c r="J901">
        <v>46.24</v>
      </c>
      <c r="K901" t="str">
        <f>IFERROR(INDEX(Rosters!$C$2:$C$155,MATCH($B901,Rosters!$B$2:$B$155,0)),"NA")</f>
        <v>lucas</v>
      </c>
      <c r="L901" t="str">
        <f t="shared" si="42"/>
        <v>lucas6RB</v>
      </c>
      <c r="M901">
        <f>COUNTIF(L$1:L901,L901)</f>
        <v>1</v>
      </c>
      <c r="N901" t="str">
        <f t="shared" si="43"/>
        <v>lucas6RB-1</v>
      </c>
      <c r="O901">
        <f>COUNTIFS(F$1:F901,F901,A$1:A901,A901)</f>
        <v>16</v>
      </c>
      <c r="P901" t="str">
        <f t="shared" si="44"/>
        <v>Saquon Barkley6</v>
      </c>
    </row>
    <row r="902" spans="1:16" x14ac:dyDescent="0.25">
      <c r="A902">
        <v>8</v>
      </c>
      <c r="B902" t="s">
        <v>133</v>
      </c>
      <c r="C902" t="s">
        <v>6343</v>
      </c>
      <c r="D902">
        <v>11.21</v>
      </c>
      <c r="E902" t="s">
        <v>14</v>
      </c>
      <c r="F902" t="s">
        <v>87</v>
      </c>
      <c r="G902">
        <v>17.91</v>
      </c>
      <c r="H902">
        <v>4.51</v>
      </c>
      <c r="I902">
        <v>6.7</v>
      </c>
      <c r="J902">
        <v>44.89</v>
      </c>
      <c r="K902" t="str">
        <f>IFERROR(INDEX(Rosters!$C$2:$C$155,MATCH($B902,Rosters!$B$2:$B$155,0)),"NA")</f>
        <v>aj</v>
      </c>
      <c r="L902" t="str">
        <f t="shared" si="42"/>
        <v>aj8WR</v>
      </c>
      <c r="M902">
        <f>COUNTIF(L$1:L902,L902)</f>
        <v>2</v>
      </c>
      <c r="N902" t="str">
        <f t="shared" si="43"/>
        <v>aj8WR-2</v>
      </c>
      <c r="O902">
        <f>COUNTIFS(F$1:F902,F902,A$1:A902,A902)</f>
        <v>11</v>
      </c>
      <c r="P902" t="str">
        <f t="shared" si="44"/>
        <v>Stefon Diggs8</v>
      </c>
    </row>
    <row r="903" spans="1:16" x14ac:dyDescent="0.25">
      <c r="A903">
        <v>16</v>
      </c>
      <c r="B903" t="s">
        <v>177</v>
      </c>
      <c r="C903" t="s">
        <v>6344</v>
      </c>
      <c r="D903">
        <v>11.21</v>
      </c>
      <c r="E903" t="s">
        <v>36</v>
      </c>
      <c r="F903" t="s">
        <v>114</v>
      </c>
      <c r="G903">
        <v>16.16</v>
      </c>
      <c r="H903">
        <v>6.26</v>
      </c>
      <c r="I903">
        <v>4.95</v>
      </c>
      <c r="J903">
        <v>24.502500000000001</v>
      </c>
      <c r="K903" t="str">
        <f>IFERROR(INDEX(Rosters!$C$2:$C$155,MATCH($B903,Rosters!$B$2:$B$155,0)),"NA")</f>
        <v>perry</v>
      </c>
      <c r="L903" t="str">
        <f t="shared" si="42"/>
        <v>perry16TE</v>
      </c>
      <c r="M903">
        <f>COUNTIF(L$1:L903,L903)</f>
        <v>1</v>
      </c>
      <c r="N903" t="str">
        <f t="shared" si="43"/>
        <v>perry16TE-1</v>
      </c>
      <c r="O903">
        <f>COUNTIFS(F$1:F903,F903,A$1:A903,A903)</f>
        <v>2</v>
      </c>
      <c r="P903" t="str">
        <f t="shared" si="44"/>
        <v>Zach Ertz16</v>
      </c>
    </row>
    <row r="904" spans="1:16" x14ac:dyDescent="0.25">
      <c r="A904">
        <v>10</v>
      </c>
      <c r="B904" t="s">
        <v>100</v>
      </c>
      <c r="C904" t="s">
        <v>6345</v>
      </c>
      <c r="D904">
        <v>11.2</v>
      </c>
      <c r="E904" t="s">
        <v>60</v>
      </c>
      <c r="F904" t="s">
        <v>87</v>
      </c>
      <c r="G904">
        <v>17.82</v>
      </c>
      <c r="H904">
        <v>4.58</v>
      </c>
      <c r="I904">
        <v>6.62</v>
      </c>
      <c r="J904">
        <v>43.824399999999997</v>
      </c>
      <c r="K904" t="str">
        <f>IFERROR(INDEX(Rosters!$C$2:$C$155,MATCH($B904,Rosters!$B$2:$B$155,0)),"NA")</f>
        <v>aj</v>
      </c>
      <c r="L904" t="str">
        <f t="shared" si="42"/>
        <v>aj10WR</v>
      </c>
      <c r="M904">
        <f>COUNTIF(L$1:L904,L904)</f>
        <v>1</v>
      </c>
      <c r="N904" t="str">
        <f t="shared" si="43"/>
        <v>aj10WR-1</v>
      </c>
      <c r="O904">
        <f>COUNTIFS(F$1:F904,F904,A$1:A904,A904)</f>
        <v>9</v>
      </c>
      <c r="P904" t="str">
        <f t="shared" si="44"/>
        <v>Mike Evans10</v>
      </c>
    </row>
    <row r="905" spans="1:16" x14ac:dyDescent="0.25">
      <c r="A905">
        <v>6</v>
      </c>
      <c r="B905" t="s">
        <v>45</v>
      </c>
      <c r="C905" t="s">
        <v>6346</v>
      </c>
      <c r="D905">
        <v>11.18</v>
      </c>
      <c r="E905" t="s">
        <v>25</v>
      </c>
      <c r="F905" t="s">
        <v>47</v>
      </c>
      <c r="G905">
        <v>18.579999999999998</v>
      </c>
      <c r="H905">
        <v>3.78</v>
      </c>
      <c r="I905">
        <v>7.4</v>
      </c>
      <c r="J905">
        <v>54.76</v>
      </c>
      <c r="K905" t="str">
        <f>IFERROR(INDEX(Rosters!$C$2:$C$155,MATCH($B905,Rosters!$B$2:$B$155,0)),"NA")</f>
        <v>matty</v>
      </c>
      <c r="L905" t="str">
        <f t="shared" si="42"/>
        <v>matty6RB</v>
      </c>
      <c r="M905">
        <f>COUNTIF(L$1:L905,L905)</f>
        <v>2</v>
      </c>
      <c r="N905" t="str">
        <f t="shared" si="43"/>
        <v>matty6RB-2</v>
      </c>
      <c r="O905">
        <f>COUNTIFS(F$1:F905,F905,A$1:A905,A905)</f>
        <v>17</v>
      </c>
      <c r="P905" t="str">
        <f t="shared" si="44"/>
        <v>David Johnson6</v>
      </c>
    </row>
    <row r="906" spans="1:16" x14ac:dyDescent="0.25">
      <c r="A906">
        <v>5</v>
      </c>
      <c r="B906" t="s">
        <v>104</v>
      </c>
      <c r="C906" t="s">
        <v>6347</v>
      </c>
      <c r="D906">
        <v>11.17</v>
      </c>
      <c r="E906" t="s">
        <v>19</v>
      </c>
      <c r="F906" t="s">
        <v>87</v>
      </c>
      <c r="G906">
        <v>18.5</v>
      </c>
      <c r="H906">
        <v>3.84</v>
      </c>
      <c r="I906">
        <v>7.33</v>
      </c>
      <c r="J906">
        <v>53.728900000000003</v>
      </c>
      <c r="K906" t="str">
        <f>IFERROR(INDEX(Rosters!$C$2:$C$155,MATCH($B906,Rosters!$B$2:$B$155,0)),"NA")</f>
        <v>devon</v>
      </c>
      <c r="L906" t="str">
        <f t="shared" si="42"/>
        <v>devon5WR</v>
      </c>
      <c r="M906">
        <f>COUNTIF(L$1:L906,L906)</f>
        <v>2</v>
      </c>
      <c r="N906" t="str">
        <f t="shared" si="43"/>
        <v>devon5WR-2</v>
      </c>
      <c r="O906">
        <f>COUNTIFS(F$1:F906,F906,A$1:A906,A906)</f>
        <v>12</v>
      </c>
      <c r="P906" t="str">
        <f t="shared" si="44"/>
        <v>A.J. Green5</v>
      </c>
    </row>
    <row r="907" spans="1:16" x14ac:dyDescent="0.25">
      <c r="A907">
        <v>13</v>
      </c>
      <c r="B907" t="s">
        <v>154</v>
      </c>
      <c r="C907" t="s">
        <v>6348</v>
      </c>
      <c r="D907">
        <v>11.17</v>
      </c>
      <c r="E907" t="s">
        <v>51</v>
      </c>
      <c r="F907" t="s">
        <v>87</v>
      </c>
      <c r="G907">
        <v>17.760000000000002</v>
      </c>
      <c r="H907">
        <v>4.58</v>
      </c>
      <c r="I907">
        <v>6.59</v>
      </c>
      <c r="J907">
        <v>43.428100000000001</v>
      </c>
      <c r="K907" t="str">
        <f>IFERROR(INDEX(Rosters!$C$2:$C$155,MATCH($B907,Rosters!$B$2:$B$155,0)),"NA")</f>
        <v>chad</v>
      </c>
      <c r="L907" t="str">
        <f t="shared" si="42"/>
        <v>chad13WR</v>
      </c>
      <c r="M907">
        <f>COUNTIF(L$1:L907,L907)</f>
        <v>1</v>
      </c>
      <c r="N907" t="str">
        <f t="shared" si="43"/>
        <v>chad13WR-1</v>
      </c>
      <c r="O907">
        <f>COUNTIFS(F$1:F907,F907,A$1:A907,A907)</f>
        <v>8</v>
      </c>
      <c r="P907" t="str">
        <f t="shared" si="44"/>
        <v>Keenan Allen13</v>
      </c>
    </row>
    <row r="908" spans="1:16" x14ac:dyDescent="0.25">
      <c r="A908">
        <v>9</v>
      </c>
      <c r="B908" t="s">
        <v>113</v>
      </c>
      <c r="C908" t="s">
        <v>6349</v>
      </c>
      <c r="D908">
        <v>11.17</v>
      </c>
      <c r="E908" t="s">
        <v>41</v>
      </c>
      <c r="F908" t="s">
        <v>114</v>
      </c>
      <c r="G908">
        <v>18.03</v>
      </c>
      <c r="H908">
        <v>4.3099999999999996</v>
      </c>
      <c r="I908">
        <v>6.86</v>
      </c>
      <c r="J908">
        <v>47.059600000000003</v>
      </c>
      <c r="K908" t="str">
        <f>IFERROR(INDEX(Rosters!$C$2:$C$155,MATCH($B908,Rosters!$B$2:$B$155,0)),"NA")</f>
        <v>lucas</v>
      </c>
      <c r="L908" t="str">
        <f t="shared" si="42"/>
        <v>lucas9TE</v>
      </c>
      <c r="M908">
        <f>COUNTIF(L$1:L908,L908)</f>
        <v>1</v>
      </c>
      <c r="N908" t="str">
        <f t="shared" si="43"/>
        <v>lucas9TE-1</v>
      </c>
      <c r="O908">
        <f>COUNTIFS(F$1:F908,F908,A$1:A908,A908)</f>
        <v>1</v>
      </c>
      <c r="P908" t="str">
        <f t="shared" si="44"/>
        <v>Rob Gronkowski9</v>
      </c>
    </row>
    <row r="909" spans="1:16" x14ac:dyDescent="0.25">
      <c r="A909">
        <v>17</v>
      </c>
      <c r="B909" t="s">
        <v>1537</v>
      </c>
      <c r="C909" t="s">
        <v>6350</v>
      </c>
      <c r="D909">
        <v>11.14</v>
      </c>
      <c r="E909" t="s">
        <v>56</v>
      </c>
      <c r="F909" t="s">
        <v>15</v>
      </c>
      <c r="G909">
        <v>16.920000000000002</v>
      </c>
      <c r="H909">
        <v>5.36</v>
      </c>
      <c r="I909">
        <v>5.78</v>
      </c>
      <c r="J909">
        <v>33.4084</v>
      </c>
      <c r="K909" t="str">
        <f>IFERROR(INDEX(Rosters!$C$2:$C$155,MATCH($B909,Rosters!$B$2:$B$155,0)),"NA")</f>
        <v>NA</v>
      </c>
      <c r="L909" t="str">
        <f t="shared" si="42"/>
        <v>NA17QB</v>
      </c>
      <c r="M909">
        <f>COUNTIF(L$1:L909,L909)</f>
        <v>15</v>
      </c>
      <c r="N909" t="str">
        <f t="shared" si="43"/>
        <v>NA17QB-15</v>
      </c>
      <c r="O909">
        <f>COUNTIFS(F$1:F909,F909,A$1:A909,A909)</f>
        <v>32</v>
      </c>
      <c r="P909" t="str">
        <f t="shared" si="44"/>
        <v>C.J. Beathard17</v>
      </c>
    </row>
    <row r="910" spans="1:16" x14ac:dyDescent="0.25">
      <c r="A910">
        <v>16</v>
      </c>
      <c r="B910" t="s">
        <v>201</v>
      </c>
      <c r="C910" t="s">
        <v>6351</v>
      </c>
      <c r="D910">
        <v>11.14</v>
      </c>
      <c r="E910" t="s">
        <v>60</v>
      </c>
      <c r="F910" t="s">
        <v>47</v>
      </c>
      <c r="G910">
        <v>18.46</v>
      </c>
      <c r="H910">
        <v>3.82</v>
      </c>
      <c r="I910">
        <v>7.32</v>
      </c>
      <c r="J910">
        <v>53.5824</v>
      </c>
      <c r="K910" t="str">
        <f>IFERROR(INDEX(Rosters!$C$2:$C$155,MATCH($B910,Rosters!$B$2:$B$155,0)),"NA")</f>
        <v>seth</v>
      </c>
      <c r="L910" t="str">
        <f t="shared" si="42"/>
        <v>seth16RB</v>
      </c>
      <c r="M910">
        <f>COUNTIF(L$1:L910,L910)</f>
        <v>2</v>
      </c>
      <c r="N910" t="str">
        <f t="shared" si="43"/>
        <v>seth16RB-2</v>
      </c>
      <c r="O910">
        <f>COUNTIFS(F$1:F910,F910,A$1:A910,A910)</f>
        <v>16</v>
      </c>
      <c r="P910" t="str">
        <f t="shared" si="44"/>
        <v>Derrick Henry16</v>
      </c>
    </row>
    <row r="911" spans="1:16" x14ac:dyDescent="0.25">
      <c r="A911">
        <v>15</v>
      </c>
      <c r="B911" t="s">
        <v>113</v>
      </c>
      <c r="C911" t="s">
        <v>6352</v>
      </c>
      <c r="D911">
        <v>11.14</v>
      </c>
      <c r="E911" t="s">
        <v>51</v>
      </c>
      <c r="F911" t="s">
        <v>114</v>
      </c>
      <c r="G911">
        <v>17.77</v>
      </c>
      <c r="H911">
        <v>4.51</v>
      </c>
      <c r="I911">
        <v>6.63</v>
      </c>
      <c r="J911">
        <v>43.956899999999997</v>
      </c>
      <c r="K911" t="str">
        <f>IFERROR(INDEX(Rosters!$C$2:$C$155,MATCH($B911,Rosters!$B$2:$B$155,0)),"NA")</f>
        <v>lucas</v>
      </c>
      <c r="L911" t="str">
        <f t="shared" si="42"/>
        <v>lucas15TE</v>
      </c>
      <c r="M911">
        <f>COUNTIF(L$1:L911,L911)</f>
        <v>1</v>
      </c>
      <c r="N911" t="str">
        <f t="shared" si="43"/>
        <v>lucas15TE-1</v>
      </c>
      <c r="O911">
        <f>COUNTIFS(F$1:F911,F911,A$1:A911,A911)</f>
        <v>2</v>
      </c>
      <c r="P911" t="str">
        <f t="shared" si="44"/>
        <v>Rob Gronkowski15</v>
      </c>
    </row>
    <row r="912" spans="1:16" x14ac:dyDescent="0.25">
      <c r="A912">
        <v>7</v>
      </c>
      <c r="B912" t="s">
        <v>104</v>
      </c>
      <c r="C912" t="s">
        <v>6353</v>
      </c>
      <c r="D912">
        <v>11.13</v>
      </c>
      <c r="E912" t="s">
        <v>24</v>
      </c>
      <c r="F912" t="s">
        <v>87</v>
      </c>
      <c r="G912">
        <v>16.760000000000002</v>
      </c>
      <c r="H912">
        <v>5.5</v>
      </c>
      <c r="I912">
        <v>5.63</v>
      </c>
      <c r="J912">
        <v>31.696899999999999</v>
      </c>
      <c r="K912" t="str">
        <f>IFERROR(INDEX(Rosters!$C$2:$C$155,MATCH($B912,Rosters!$B$2:$B$155,0)),"NA")</f>
        <v>devon</v>
      </c>
      <c r="L912" t="str">
        <f t="shared" si="42"/>
        <v>devon7WR</v>
      </c>
      <c r="M912">
        <f>COUNTIF(L$1:L912,L912)</f>
        <v>2</v>
      </c>
      <c r="N912" t="str">
        <f t="shared" si="43"/>
        <v>devon7WR-2</v>
      </c>
      <c r="O912">
        <f>COUNTIFS(F$1:F912,F912,A$1:A912,A912)</f>
        <v>11</v>
      </c>
      <c r="P912" t="str">
        <f t="shared" si="44"/>
        <v>A.J. Green7</v>
      </c>
    </row>
    <row r="913" spans="1:16" x14ac:dyDescent="0.25">
      <c r="A913">
        <v>11</v>
      </c>
      <c r="B913" t="s">
        <v>127</v>
      </c>
      <c r="C913" t="s">
        <v>6354</v>
      </c>
      <c r="D913">
        <v>11.12</v>
      </c>
      <c r="E913" t="s">
        <v>72</v>
      </c>
      <c r="F913" t="s">
        <v>47</v>
      </c>
      <c r="G913">
        <v>19.100000000000001</v>
      </c>
      <c r="H913">
        <v>3.14</v>
      </c>
      <c r="I913">
        <v>7.98</v>
      </c>
      <c r="J913">
        <v>63.680399999999999</v>
      </c>
      <c r="K913" t="str">
        <f>IFERROR(INDEX(Rosters!$C$2:$C$155,MATCH($B913,Rosters!$B$2:$B$155,0)),"NA")</f>
        <v>aj</v>
      </c>
      <c r="L913" t="str">
        <f t="shared" si="42"/>
        <v>aj11RB</v>
      </c>
      <c r="M913">
        <f>COUNTIF(L$1:L913,L913)</f>
        <v>1</v>
      </c>
      <c r="N913" t="str">
        <f t="shared" si="43"/>
        <v>aj11RB-1</v>
      </c>
      <c r="O913">
        <f>COUNTIFS(F$1:F913,F913,A$1:A913,A913)</f>
        <v>13</v>
      </c>
      <c r="P913" t="str">
        <f t="shared" si="44"/>
        <v>Dalvin Cook11</v>
      </c>
    </row>
    <row r="914" spans="1:16" x14ac:dyDescent="0.25">
      <c r="A914">
        <v>9</v>
      </c>
      <c r="B914" t="s">
        <v>120</v>
      </c>
      <c r="C914" t="s">
        <v>6355</v>
      </c>
      <c r="D914">
        <v>11.12</v>
      </c>
      <c r="E914" t="s">
        <v>42</v>
      </c>
      <c r="F914" t="s">
        <v>87</v>
      </c>
      <c r="G914">
        <v>17.11</v>
      </c>
      <c r="H914">
        <v>5.13</v>
      </c>
      <c r="I914">
        <v>5.99</v>
      </c>
      <c r="J914">
        <v>35.880099999999999</v>
      </c>
      <c r="K914" t="str">
        <f>IFERROR(INDEX(Rosters!$C$2:$C$155,MATCH($B914,Rosters!$B$2:$B$155,0)),"NA")</f>
        <v>aj</v>
      </c>
      <c r="L914" t="str">
        <f t="shared" si="42"/>
        <v>aj9WR</v>
      </c>
      <c r="M914">
        <f>COUNTIF(L$1:L914,L914)</f>
        <v>2</v>
      </c>
      <c r="N914" t="str">
        <f t="shared" si="43"/>
        <v>aj9WR-2</v>
      </c>
      <c r="O914">
        <f>COUNTIFS(F$1:F914,F914,A$1:A914,A914)</f>
        <v>11</v>
      </c>
      <c r="P914" t="str">
        <f t="shared" si="44"/>
        <v>DeAndre Hopkins9</v>
      </c>
    </row>
    <row r="915" spans="1:16" x14ac:dyDescent="0.25">
      <c r="A915">
        <v>11</v>
      </c>
      <c r="B915" t="s">
        <v>104</v>
      </c>
      <c r="C915" t="s">
        <v>6356</v>
      </c>
      <c r="D915">
        <v>11.09</v>
      </c>
      <c r="E915" t="s">
        <v>77</v>
      </c>
      <c r="F915" t="s">
        <v>87</v>
      </c>
      <c r="G915">
        <v>17.21</v>
      </c>
      <c r="H915">
        <v>4.97</v>
      </c>
      <c r="I915">
        <v>6.12</v>
      </c>
      <c r="J915">
        <v>37.4544</v>
      </c>
      <c r="K915" t="str">
        <f>IFERROR(INDEX(Rosters!$C$2:$C$155,MATCH($B915,Rosters!$B$2:$B$155,0)),"NA")</f>
        <v>devon</v>
      </c>
      <c r="L915" t="str">
        <f t="shared" si="42"/>
        <v>devon11WR</v>
      </c>
      <c r="M915">
        <f>COUNTIF(L$1:L915,L915)</f>
        <v>1</v>
      </c>
      <c r="N915" t="str">
        <f t="shared" si="43"/>
        <v>devon11WR-1</v>
      </c>
      <c r="O915">
        <f>COUNTIFS(F$1:F915,F915,A$1:A915,A915)</f>
        <v>12</v>
      </c>
      <c r="P915" t="str">
        <f t="shared" si="44"/>
        <v>A.J. Green11</v>
      </c>
    </row>
    <row r="916" spans="1:16" x14ac:dyDescent="0.25">
      <c r="A916">
        <v>16</v>
      </c>
      <c r="B916" t="s">
        <v>1105</v>
      </c>
      <c r="C916" t="s">
        <v>6357</v>
      </c>
      <c r="D916">
        <v>11.09</v>
      </c>
      <c r="E916" t="s">
        <v>14</v>
      </c>
      <c r="F916" t="s">
        <v>87</v>
      </c>
      <c r="G916">
        <v>16.96</v>
      </c>
      <c r="H916">
        <v>5.22</v>
      </c>
      <c r="I916">
        <v>5.87</v>
      </c>
      <c r="J916">
        <v>34.456899999999997</v>
      </c>
      <c r="K916" t="str">
        <f>IFERROR(INDEX(Rosters!$C$2:$C$155,MATCH($B916,Rosters!$B$2:$B$155,0)),"NA")</f>
        <v>scott</v>
      </c>
      <c r="L916" t="str">
        <f t="shared" si="42"/>
        <v>scott16WR</v>
      </c>
      <c r="M916">
        <f>COUNTIF(L$1:L916,L916)</f>
        <v>1</v>
      </c>
      <c r="N916" t="str">
        <f t="shared" si="43"/>
        <v>scott16WR-1</v>
      </c>
      <c r="O916">
        <f>COUNTIFS(F$1:F916,F916,A$1:A916,A916)</f>
        <v>11</v>
      </c>
      <c r="P916" t="str">
        <f t="shared" si="44"/>
        <v>JuJu Smith-Schuster16</v>
      </c>
    </row>
    <row r="917" spans="1:16" x14ac:dyDescent="0.25">
      <c r="A917">
        <v>9</v>
      </c>
      <c r="B917" t="s">
        <v>134</v>
      </c>
      <c r="C917" t="s">
        <v>6358</v>
      </c>
      <c r="D917">
        <v>11.07</v>
      </c>
      <c r="E917" t="s">
        <v>24</v>
      </c>
      <c r="F917" t="s">
        <v>87</v>
      </c>
      <c r="G917">
        <v>17.8</v>
      </c>
      <c r="H917">
        <v>4.34</v>
      </c>
      <c r="I917">
        <v>6.73</v>
      </c>
      <c r="J917">
        <v>45.292900000000003</v>
      </c>
      <c r="K917" t="str">
        <f>IFERROR(INDEX(Rosters!$C$2:$C$155,MATCH($B917,Rosters!$B$2:$B$155,0)),"NA")</f>
        <v>cory</v>
      </c>
      <c r="L917" t="str">
        <f t="shared" si="42"/>
        <v>cory9WR</v>
      </c>
      <c r="M917">
        <f>COUNTIF(L$1:L917,L917)</f>
        <v>3</v>
      </c>
      <c r="N917" t="str">
        <f t="shared" si="43"/>
        <v>cory9WR-3</v>
      </c>
      <c r="O917">
        <f>COUNTIFS(F$1:F917,F917,A$1:A917,A917)</f>
        <v>12</v>
      </c>
      <c r="P917" t="str">
        <f t="shared" si="44"/>
        <v>Jarvis Landry9</v>
      </c>
    </row>
    <row r="918" spans="1:16" x14ac:dyDescent="0.25">
      <c r="A918">
        <v>13</v>
      </c>
      <c r="B918" t="s">
        <v>191</v>
      </c>
      <c r="C918" t="s">
        <v>6359</v>
      </c>
      <c r="D918">
        <v>11.06</v>
      </c>
      <c r="E918" t="s">
        <v>423</v>
      </c>
      <c r="F918" t="s">
        <v>87</v>
      </c>
      <c r="G918">
        <v>16.28</v>
      </c>
      <c r="H918">
        <v>5.84</v>
      </c>
      <c r="I918">
        <v>5.22</v>
      </c>
      <c r="J918">
        <v>27.2484</v>
      </c>
      <c r="K918" t="str">
        <f>IFERROR(INDEX(Rosters!$C$2:$C$155,MATCH($B918,Rosters!$B$2:$B$155,0)),"NA")</f>
        <v>seth</v>
      </c>
      <c r="L918" t="str">
        <f t="shared" si="42"/>
        <v>seth13WR</v>
      </c>
      <c r="M918">
        <f>COUNTIF(L$1:L918,L918)</f>
        <v>1</v>
      </c>
      <c r="N918" t="str">
        <f t="shared" si="43"/>
        <v>seth13WR-1</v>
      </c>
      <c r="O918">
        <f>COUNTIFS(F$1:F918,F918,A$1:A918,A918)</f>
        <v>9</v>
      </c>
      <c r="P918" t="str">
        <f t="shared" si="44"/>
        <v>Adam Thielen13</v>
      </c>
    </row>
    <row r="919" spans="1:16" x14ac:dyDescent="0.25">
      <c r="A919">
        <v>1</v>
      </c>
      <c r="B919" t="s">
        <v>191</v>
      </c>
      <c r="C919" t="s">
        <v>1312</v>
      </c>
      <c r="D919">
        <v>11.05</v>
      </c>
      <c r="E919" t="s">
        <v>30</v>
      </c>
      <c r="F919" t="s">
        <v>87</v>
      </c>
      <c r="G919">
        <v>18.82</v>
      </c>
      <c r="H919">
        <v>3.28</v>
      </c>
      <c r="I919">
        <v>7.77</v>
      </c>
      <c r="J919">
        <v>60.372900000000001</v>
      </c>
      <c r="K919" t="str">
        <f>IFERROR(INDEX(Rosters!$C$2:$C$155,MATCH($B919,Rosters!$B$2:$B$155,0)),"NA")</f>
        <v>seth</v>
      </c>
      <c r="L919" t="str">
        <f t="shared" si="42"/>
        <v>seth1WR</v>
      </c>
      <c r="M919">
        <f>COUNTIF(L$1:L919,L919)</f>
        <v>1</v>
      </c>
      <c r="N919" t="str">
        <f t="shared" si="43"/>
        <v>seth1WR-1</v>
      </c>
      <c r="O919">
        <f>COUNTIFS(F$1:F919,F919,A$1:A919,A919)</f>
        <v>7</v>
      </c>
      <c r="P919" t="str">
        <f t="shared" si="44"/>
        <v>Adam Thielen1</v>
      </c>
    </row>
    <row r="920" spans="1:16" x14ac:dyDescent="0.25">
      <c r="A920">
        <v>16</v>
      </c>
      <c r="B920" t="s">
        <v>133</v>
      </c>
      <c r="C920" t="s">
        <v>6360</v>
      </c>
      <c r="D920">
        <v>11.05</v>
      </c>
      <c r="E920" t="s">
        <v>34</v>
      </c>
      <c r="F920" t="s">
        <v>87</v>
      </c>
      <c r="G920">
        <v>17.02</v>
      </c>
      <c r="H920">
        <v>5.08</v>
      </c>
      <c r="I920">
        <v>5.97</v>
      </c>
      <c r="J920">
        <v>35.640900000000002</v>
      </c>
      <c r="K920" t="str">
        <f>IFERROR(INDEX(Rosters!$C$2:$C$155,MATCH($B920,Rosters!$B$2:$B$155,0)),"NA")</f>
        <v>aj</v>
      </c>
      <c r="L920" t="str">
        <f t="shared" si="42"/>
        <v>aj16WR</v>
      </c>
      <c r="M920">
        <f>COUNTIF(L$1:L920,L920)</f>
        <v>3</v>
      </c>
      <c r="N920" t="str">
        <f t="shared" si="43"/>
        <v>aj16WR-3</v>
      </c>
      <c r="O920">
        <f>COUNTIFS(F$1:F920,F920,A$1:A920,A920)</f>
        <v>12</v>
      </c>
      <c r="P920" t="str">
        <f t="shared" si="44"/>
        <v>Stefon Diggs16</v>
      </c>
    </row>
    <row r="921" spans="1:16" x14ac:dyDescent="0.25">
      <c r="A921">
        <v>17</v>
      </c>
      <c r="B921" t="s">
        <v>248</v>
      </c>
      <c r="C921" t="s">
        <v>6361</v>
      </c>
      <c r="D921">
        <v>10.99</v>
      </c>
      <c r="E921" t="s">
        <v>30</v>
      </c>
      <c r="F921" t="s">
        <v>87</v>
      </c>
      <c r="G921">
        <v>17.75</v>
      </c>
      <c r="H921">
        <v>4.2300000000000004</v>
      </c>
      <c r="I921">
        <v>6.76</v>
      </c>
      <c r="J921">
        <v>45.697600000000001</v>
      </c>
      <c r="K921" t="str">
        <f>IFERROR(INDEX(Rosters!$C$2:$C$155,MATCH($B921,Rosters!$B$2:$B$155,0)),"NA")</f>
        <v>matty</v>
      </c>
      <c r="L921" t="str">
        <f t="shared" si="42"/>
        <v>matty17WR</v>
      </c>
      <c r="M921">
        <f>COUNTIF(L$1:L921,L921)</f>
        <v>2</v>
      </c>
      <c r="N921" t="str">
        <f t="shared" si="43"/>
        <v>matty17WR-2</v>
      </c>
      <c r="O921">
        <f>COUNTIFS(F$1:F921,F921,A$1:A921,A921)</f>
        <v>14</v>
      </c>
      <c r="P921" t="str">
        <f t="shared" si="44"/>
        <v>Robert Woods17</v>
      </c>
    </row>
    <row r="922" spans="1:16" x14ac:dyDescent="0.25">
      <c r="A922">
        <v>11</v>
      </c>
      <c r="B922" t="s">
        <v>135</v>
      </c>
      <c r="C922" t="s">
        <v>6362</v>
      </c>
      <c r="D922">
        <v>10.97</v>
      </c>
      <c r="E922" t="s">
        <v>28</v>
      </c>
      <c r="F922" t="s">
        <v>87</v>
      </c>
      <c r="G922">
        <v>16.649999999999999</v>
      </c>
      <c r="H922">
        <v>5.29</v>
      </c>
      <c r="I922">
        <v>5.68</v>
      </c>
      <c r="J922">
        <v>32.2624</v>
      </c>
      <c r="K922" t="str">
        <f>IFERROR(INDEX(Rosters!$C$2:$C$155,MATCH($B922,Rosters!$B$2:$B$155,0)),"NA")</f>
        <v>perry</v>
      </c>
      <c r="L922" t="str">
        <f t="shared" si="42"/>
        <v>perry11WR</v>
      </c>
      <c r="M922">
        <f>COUNTIF(L$1:L922,L922)</f>
        <v>2</v>
      </c>
      <c r="N922" t="str">
        <f t="shared" si="43"/>
        <v>perry11WR-2</v>
      </c>
      <c r="O922">
        <f>COUNTIFS(F$1:F922,F922,A$1:A922,A922)</f>
        <v>13</v>
      </c>
      <c r="P922" t="str">
        <f t="shared" si="44"/>
        <v>Davante Adams11</v>
      </c>
    </row>
    <row r="923" spans="1:16" x14ac:dyDescent="0.25">
      <c r="A923">
        <v>13</v>
      </c>
      <c r="B923" t="s">
        <v>122</v>
      </c>
      <c r="C923" t="s">
        <v>6363</v>
      </c>
      <c r="D923">
        <v>10.96</v>
      </c>
      <c r="E923" t="s">
        <v>56</v>
      </c>
      <c r="F923" t="s">
        <v>87</v>
      </c>
      <c r="G923">
        <v>17.399999999999999</v>
      </c>
      <c r="H923">
        <v>4.5199999999999996</v>
      </c>
      <c r="I923">
        <v>6.44</v>
      </c>
      <c r="J923">
        <v>41.473599999999998</v>
      </c>
      <c r="K923" t="str">
        <f>IFERROR(INDEX(Rosters!$C$2:$C$155,MATCH($B923,Rosters!$B$2:$B$155,0)),"NA")</f>
        <v>devon</v>
      </c>
      <c r="L923" t="str">
        <f t="shared" si="42"/>
        <v>devon13WR</v>
      </c>
      <c r="M923">
        <f>COUNTIF(L$1:L923,L923)</f>
        <v>1</v>
      </c>
      <c r="N923" t="str">
        <f t="shared" si="43"/>
        <v>devon13WR-1</v>
      </c>
      <c r="O923">
        <f>COUNTIFS(F$1:F923,F923,A$1:A923,A923)</f>
        <v>10</v>
      </c>
      <c r="P923" t="str">
        <f t="shared" si="44"/>
        <v>Golden Tate13</v>
      </c>
    </row>
    <row r="924" spans="1:16" x14ac:dyDescent="0.25">
      <c r="A924">
        <v>14</v>
      </c>
      <c r="B924" t="s">
        <v>111</v>
      </c>
      <c r="C924" t="s">
        <v>6364</v>
      </c>
      <c r="D924">
        <v>10.96</v>
      </c>
      <c r="E924" t="s">
        <v>38</v>
      </c>
      <c r="F924" t="s">
        <v>47</v>
      </c>
      <c r="G924">
        <v>18.18</v>
      </c>
      <c r="H924">
        <v>3.74</v>
      </c>
      <c r="I924">
        <v>7.22</v>
      </c>
      <c r="J924">
        <v>52.128399999999999</v>
      </c>
      <c r="K924" t="str">
        <f>IFERROR(INDEX(Rosters!$C$2:$C$155,MATCH($B924,Rosters!$B$2:$B$155,0)),"NA")</f>
        <v>seth</v>
      </c>
      <c r="L924" t="str">
        <f t="shared" si="42"/>
        <v>seth14RB</v>
      </c>
      <c r="M924">
        <f>COUNTIF(L$1:L924,L924)</f>
        <v>1</v>
      </c>
      <c r="N924" t="str">
        <f t="shared" si="43"/>
        <v>seth14RB-1</v>
      </c>
      <c r="O924">
        <f>COUNTIFS(F$1:F924,F924,A$1:A924,A924)</f>
        <v>15</v>
      </c>
      <c r="P924" t="str">
        <f t="shared" si="44"/>
        <v>Leonard Fournette14</v>
      </c>
    </row>
    <row r="925" spans="1:16" x14ac:dyDescent="0.25">
      <c r="A925">
        <v>16</v>
      </c>
      <c r="B925" t="s">
        <v>123</v>
      </c>
      <c r="C925" t="s">
        <v>6365</v>
      </c>
      <c r="D925">
        <v>10.95</v>
      </c>
      <c r="E925" t="s">
        <v>52</v>
      </c>
      <c r="F925" t="s">
        <v>47</v>
      </c>
      <c r="G925">
        <v>19.649999999999999</v>
      </c>
      <c r="H925">
        <v>2.25</v>
      </c>
      <c r="I925">
        <v>8.6999999999999993</v>
      </c>
      <c r="J925">
        <v>75.69</v>
      </c>
      <c r="K925" t="str">
        <f>IFERROR(INDEX(Rosters!$C$2:$C$155,MATCH($B925,Rosters!$B$2:$B$155,0)),"NA")</f>
        <v>aj</v>
      </c>
      <c r="L925" t="str">
        <f t="shared" si="42"/>
        <v>aj16RB</v>
      </c>
      <c r="M925">
        <f>COUNTIF(L$1:L925,L925)</f>
        <v>2</v>
      </c>
      <c r="N925" t="str">
        <f t="shared" si="43"/>
        <v>aj16RB-2</v>
      </c>
      <c r="O925">
        <f>COUNTIFS(F$1:F925,F925,A$1:A925,A925)</f>
        <v>17</v>
      </c>
      <c r="P925" t="str">
        <f t="shared" si="44"/>
        <v>Joe Mixon16</v>
      </c>
    </row>
    <row r="926" spans="1:16" x14ac:dyDescent="0.25">
      <c r="A926">
        <v>3</v>
      </c>
      <c r="B926" t="s">
        <v>133</v>
      </c>
      <c r="C926" t="s">
        <v>3654</v>
      </c>
      <c r="D926">
        <v>10.95</v>
      </c>
      <c r="E926" t="s">
        <v>29</v>
      </c>
      <c r="F926" t="s">
        <v>87</v>
      </c>
      <c r="G926">
        <v>18.39</v>
      </c>
      <c r="H926">
        <v>3.51</v>
      </c>
      <c r="I926">
        <v>7.44</v>
      </c>
      <c r="J926">
        <v>55.3536</v>
      </c>
      <c r="K926" t="str">
        <f>IFERROR(INDEX(Rosters!$C$2:$C$155,MATCH($B926,Rosters!$B$2:$B$155,0)),"NA")</f>
        <v>aj</v>
      </c>
      <c r="L926" t="str">
        <f t="shared" si="42"/>
        <v>aj3WR</v>
      </c>
      <c r="M926">
        <f>COUNTIF(L$1:L926,L926)</f>
        <v>3</v>
      </c>
      <c r="N926" t="str">
        <f t="shared" si="43"/>
        <v>aj3WR-3</v>
      </c>
      <c r="O926">
        <f>COUNTIFS(F$1:F926,F926,A$1:A926,A926)</f>
        <v>12</v>
      </c>
      <c r="P926" t="str">
        <f t="shared" si="44"/>
        <v>Stefon Diggs3</v>
      </c>
    </row>
    <row r="927" spans="1:16" x14ac:dyDescent="0.25">
      <c r="A927">
        <v>11</v>
      </c>
      <c r="B927" t="s">
        <v>191</v>
      </c>
      <c r="C927" t="s">
        <v>6366</v>
      </c>
      <c r="D927">
        <v>10.94</v>
      </c>
      <c r="E927" t="s">
        <v>72</v>
      </c>
      <c r="F927" t="s">
        <v>87</v>
      </c>
      <c r="G927">
        <v>17.23</v>
      </c>
      <c r="H927">
        <v>4.6500000000000004</v>
      </c>
      <c r="I927">
        <v>6.29</v>
      </c>
      <c r="J927">
        <v>39.564100000000003</v>
      </c>
      <c r="K927" t="str">
        <f>IFERROR(INDEX(Rosters!$C$2:$C$155,MATCH($B927,Rosters!$B$2:$B$155,0)),"NA")</f>
        <v>seth</v>
      </c>
      <c r="L927" t="str">
        <f t="shared" si="42"/>
        <v>seth11WR</v>
      </c>
      <c r="M927">
        <f>COUNTIF(L$1:L927,L927)</f>
        <v>2</v>
      </c>
      <c r="N927" t="str">
        <f t="shared" si="43"/>
        <v>seth11WR-2</v>
      </c>
      <c r="O927">
        <f>COUNTIFS(F$1:F927,F927,A$1:A927,A927)</f>
        <v>14</v>
      </c>
      <c r="P927" t="str">
        <f t="shared" si="44"/>
        <v>Adam Thielen11</v>
      </c>
    </row>
    <row r="928" spans="1:16" x14ac:dyDescent="0.25">
      <c r="A928">
        <v>13</v>
      </c>
      <c r="B928" t="s">
        <v>100</v>
      </c>
      <c r="C928" t="s">
        <v>6367</v>
      </c>
      <c r="D928">
        <v>10.94</v>
      </c>
      <c r="E928" t="s">
        <v>74</v>
      </c>
      <c r="F928" t="s">
        <v>87</v>
      </c>
      <c r="G928">
        <v>17.66</v>
      </c>
      <c r="H928">
        <v>4.22</v>
      </c>
      <c r="I928">
        <v>6.72</v>
      </c>
      <c r="J928">
        <v>45.1584</v>
      </c>
      <c r="K928" t="str">
        <f>IFERROR(INDEX(Rosters!$C$2:$C$155,MATCH($B928,Rosters!$B$2:$B$155,0)),"NA")</f>
        <v>aj</v>
      </c>
      <c r="L928" t="str">
        <f t="shared" si="42"/>
        <v>aj13WR</v>
      </c>
      <c r="M928">
        <f>COUNTIF(L$1:L928,L928)</f>
        <v>2</v>
      </c>
      <c r="N928" t="str">
        <f t="shared" si="43"/>
        <v>aj13WR-2</v>
      </c>
      <c r="O928">
        <f>COUNTIFS(F$1:F928,F928,A$1:A928,A928)</f>
        <v>11</v>
      </c>
      <c r="P928" t="str">
        <f t="shared" si="44"/>
        <v>Mike Evans13</v>
      </c>
    </row>
    <row r="929" spans="1:16" x14ac:dyDescent="0.25">
      <c r="A929">
        <v>12</v>
      </c>
      <c r="B929" t="s">
        <v>613</v>
      </c>
      <c r="C929" t="s">
        <v>6368</v>
      </c>
      <c r="D929">
        <v>10.93</v>
      </c>
      <c r="E929" t="s">
        <v>72</v>
      </c>
      <c r="F929" t="s">
        <v>87</v>
      </c>
      <c r="G929">
        <v>17.72</v>
      </c>
      <c r="H929">
        <v>4.1399999999999997</v>
      </c>
      <c r="I929">
        <v>6.79</v>
      </c>
      <c r="J929">
        <v>46.104100000000003</v>
      </c>
      <c r="K929" t="str">
        <f>IFERROR(INDEX(Rosters!$C$2:$C$155,MATCH($B929,Rosters!$B$2:$B$155,0)),"NA")</f>
        <v>matty</v>
      </c>
      <c r="L929" t="str">
        <f t="shared" si="42"/>
        <v>matty12WR</v>
      </c>
      <c r="M929">
        <f>COUNTIF(L$1:L929,L929)</f>
        <v>1</v>
      </c>
      <c r="N929" t="str">
        <f t="shared" si="43"/>
        <v>matty12WR-1</v>
      </c>
      <c r="O929">
        <f>COUNTIFS(F$1:F929,F929,A$1:A929,A929)</f>
        <v>11</v>
      </c>
      <c r="P929" t="str">
        <f t="shared" si="44"/>
        <v>Marvin Jones Jr.12</v>
      </c>
    </row>
    <row r="930" spans="1:16" x14ac:dyDescent="0.25">
      <c r="A930">
        <v>17</v>
      </c>
      <c r="B930" t="s">
        <v>103</v>
      </c>
      <c r="C930" t="s">
        <v>6369</v>
      </c>
      <c r="D930">
        <v>10.92</v>
      </c>
      <c r="E930" t="s">
        <v>24</v>
      </c>
      <c r="F930" t="s">
        <v>87</v>
      </c>
      <c r="G930">
        <v>18.71</v>
      </c>
      <c r="H930">
        <v>3.13</v>
      </c>
      <c r="I930">
        <v>7.79</v>
      </c>
      <c r="J930">
        <v>60.684100000000001</v>
      </c>
      <c r="K930" t="str">
        <f>IFERROR(INDEX(Rosters!$C$2:$C$155,MATCH($B930,Rosters!$B$2:$B$155,0)),"NA")</f>
        <v>comp</v>
      </c>
      <c r="L930" t="str">
        <f t="shared" si="42"/>
        <v>comp17WR</v>
      </c>
      <c r="M930">
        <f>COUNTIF(L$1:L930,L930)</f>
        <v>3</v>
      </c>
      <c r="N930" t="str">
        <f t="shared" si="43"/>
        <v>comp17WR-3</v>
      </c>
      <c r="O930">
        <f>COUNTIFS(F$1:F930,F930,A$1:A930,A930)</f>
        <v>15</v>
      </c>
      <c r="P930" t="str">
        <f t="shared" si="44"/>
        <v>Amari Cooper17</v>
      </c>
    </row>
    <row r="931" spans="1:16" x14ac:dyDescent="0.25">
      <c r="A931">
        <v>7</v>
      </c>
      <c r="B931" t="s">
        <v>127</v>
      </c>
      <c r="C931" t="s">
        <v>6370</v>
      </c>
      <c r="D931">
        <v>10.91</v>
      </c>
      <c r="E931" t="s">
        <v>73</v>
      </c>
      <c r="F931" t="s">
        <v>47</v>
      </c>
      <c r="G931">
        <v>18.579999999999998</v>
      </c>
      <c r="H931">
        <v>3.24</v>
      </c>
      <c r="I931">
        <v>7.67</v>
      </c>
      <c r="J931">
        <v>58.828899999999997</v>
      </c>
      <c r="K931" t="str">
        <f>IFERROR(INDEX(Rosters!$C$2:$C$155,MATCH($B931,Rosters!$B$2:$B$155,0)),"NA")</f>
        <v>aj</v>
      </c>
      <c r="L931" t="str">
        <f t="shared" si="42"/>
        <v>aj7RB</v>
      </c>
      <c r="M931">
        <f>COUNTIF(L$1:L931,L931)</f>
        <v>2</v>
      </c>
      <c r="N931" t="str">
        <f t="shared" si="43"/>
        <v>aj7RB-2</v>
      </c>
      <c r="O931">
        <f>COUNTIFS(F$1:F931,F931,A$1:A931,A931)</f>
        <v>14</v>
      </c>
      <c r="P931" t="str">
        <f t="shared" si="44"/>
        <v>Dalvin Cook7</v>
      </c>
    </row>
    <row r="932" spans="1:16" x14ac:dyDescent="0.25">
      <c r="A932">
        <v>6</v>
      </c>
      <c r="B932" t="s">
        <v>1105</v>
      </c>
      <c r="C932" t="s">
        <v>6371</v>
      </c>
      <c r="D932">
        <v>10.91</v>
      </c>
      <c r="E932" t="s">
        <v>31</v>
      </c>
      <c r="F932" t="s">
        <v>87</v>
      </c>
      <c r="G932">
        <v>17.02</v>
      </c>
      <c r="H932">
        <v>4.8</v>
      </c>
      <c r="I932">
        <v>6.11</v>
      </c>
      <c r="J932">
        <v>37.332099999999997</v>
      </c>
      <c r="K932" t="str">
        <f>IFERROR(INDEX(Rosters!$C$2:$C$155,MATCH($B932,Rosters!$B$2:$B$155,0)),"NA")</f>
        <v>scott</v>
      </c>
      <c r="L932" t="str">
        <f t="shared" si="42"/>
        <v>scott6WR</v>
      </c>
      <c r="M932">
        <f>COUNTIF(L$1:L932,L932)</f>
        <v>1</v>
      </c>
      <c r="N932" t="str">
        <f t="shared" si="43"/>
        <v>scott6WR-1</v>
      </c>
      <c r="O932">
        <f>COUNTIFS(F$1:F932,F932,A$1:A932,A932)</f>
        <v>10</v>
      </c>
      <c r="P932" t="str">
        <f t="shared" si="44"/>
        <v>JuJu Smith-Schuster6</v>
      </c>
    </row>
    <row r="933" spans="1:16" x14ac:dyDescent="0.25">
      <c r="A933">
        <v>5</v>
      </c>
      <c r="B933" t="s">
        <v>151</v>
      </c>
      <c r="C933" t="s">
        <v>6372</v>
      </c>
      <c r="D933">
        <v>10.91</v>
      </c>
      <c r="E933" t="s">
        <v>76</v>
      </c>
      <c r="F933" t="s">
        <v>114</v>
      </c>
      <c r="G933">
        <v>16.71</v>
      </c>
      <c r="H933">
        <v>5.1100000000000003</v>
      </c>
      <c r="I933">
        <v>5.8</v>
      </c>
      <c r="J933">
        <v>33.64</v>
      </c>
      <c r="K933" t="str">
        <f>IFERROR(INDEX(Rosters!$C$2:$C$155,MATCH($B933,Rosters!$B$2:$B$155,0)),"NA")</f>
        <v>aj</v>
      </c>
      <c r="L933" t="str">
        <f t="shared" si="42"/>
        <v>aj5TE</v>
      </c>
      <c r="M933">
        <f>COUNTIF(L$1:L933,L933)</f>
        <v>1</v>
      </c>
      <c r="N933" t="str">
        <f t="shared" si="43"/>
        <v>aj5TE-1</v>
      </c>
      <c r="O933">
        <f>COUNTIFS(F$1:F933,F933,A$1:A933,A933)</f>
        <v>1</v>
      </c>
      <c r="P933" t="str">
        <f t="shared" si="44"/>
        <v>Travis Kelce5</v>
      </c>
    </row>
    <row r="934" spans="1:16" x14ac:dyDescent="0.25">
      <c r="A934">
        <v>4</v>
      </c>
      <c r="B934" t="s">
        <v>124</v>
      </c>
      <c r="C934" t="s">
        <v>4444</v>
      </c>
      <c r="D934">
        <v>10.91</v>
      </c>
      <c r="E934" t="s">
        <v>42</v>
      </c>
      <c r="F934" t="s">
        <v>87</v>
      </c>
      <c r="G934">
        <v>18.23</v>
      </c>
      <c r="H934">
        <v>3.59</v>
      </c>
      <c r="I934">
        <v>7.32</v>
      </c>
      <c r="J934">
        <v>53.5824</v>
      </c>
      <c r="K934" t="str">
        <f>IFERROR(INDEX(Rosters!$C$2:$C$155,MATCH($B934,Rosters!$B$2:$B$155,0)),"NA")</f>
        <v>matty</v>
      </c>
      <c r="L934" t="str">
        <f t="shared" si="42"/>
        <v>matty4WR</v>
      </c>
      <c r="M934">
        <f>COUNTIF(L$1:L934,L934)</f>
        <v>1</v>
      </c>
      <c r="N934" t="str">
        <f t="shared" si="43"/>
        <v>matty4WR-1</v>
      </c>
      <c r="O934">
        <f>COUNTIFS(F$1:F934,F934,A$1:A934,A934)</f>
        <v>10</v>
      </c>
      <c r="P934" t="str">
        <f t="shared" si="44"/>
        <v>Tyreek Hill4</v>
      </c>
    </row>
    <row r="935" spans="1:16" x14ac:dyDescent="0.25">
      <c r="A935">
        <v>1</v>
      </c>
      <c r="B935" t="s">
        <v>75</v>
      </c>
      <c r="C935" t="s">
        <v>1313</v>
      </c>
      <c r="D935">
        <v>10.9</v>
      </c>
      <c r="E935" t="s">
        <v>76</v>
      </c>
      <c r="F935" t="s">
        <v>15</v>
      </c>
      <c r="G935">
        <v>17.36</v>
      </c>
      <c r="H935">
        <v>4.4400000000000004</v>
      </c>
      <c r="I935">
        <v>6.46</v>
      </c>
      <c r="J935">
        <v>41.7316</v>
      </c>
      <c r="K935" t="str">
        <f>IFERROR(INDEX(Rosters!$C$2:$C$155,MATCH($B935,Rosters!$B$2:$B$155,0)),"NA")</f>
        <v>NA</v>
      </c>
      <c r="L935" t="str">
        <f t="shared" si="42"/>
        <v>NA1QB</v>
      </c>
      <c r="M935">
        <f>COUNTIF(L$1:L935,L935)</f>
        <v>15</v>
      </c>
      <c r="N935" t="str">
        <f t="shared" si="43"/>
        <v>NA1QB-15</v>
      </c>
      <c r="O935">
        <f>COUNTIFS(F$1:F935,F935,A$1:A935,A935)</f>
        <v>30</v>
      </c>
      <c r="P935" t="str">
        <f t="shared" si="44"/>
        <v>Eli Manning1</v>
      </c>
    </row>
    <row r="936" spans="1:16" x14ac:dyDescent="0.25">
      <c r="A936">
        <v>10</v>
      </c>
      <c r="B936" t="s">
        <v>1105</v>
      </c>
      <c r="C936" t="s">
        <v>6373</v>
      </c>
      <c r="D936">
        <v>10.88</v>
      </c>
      <c r="E936" t="s">
        <v>74</v>
      </c>
      <c r="F936" t="s">
        <v>87</v>
      </c>
      <c r="G936">
        <v>16.98</v>
      </c>
      <c r="H936">
        <v>4.78</v>
      </c>
      <c r="I936">
        <v>6.1</v>
      </c>
      <c r="J936">
        <v>37.21</v>
      </c>
      <c r="K936" t="str">
        <f>IFERROR(INDEX(Rosters!$C$2:$C$155,MATCH($B936,Rosters!$B$2:$B$155,0)),"NA")</f>
        <v>scott</v>
      </c>
      <c r="L936" t="str">
        <f t="shared" si="42"/>
        <v>scott10WR</v>
      </c>
      <c r="M936">
        <f>COUNTIF(L$1:L936,L936)</f>
        <v>1</v>
      </c>
      <c r="N936" t="str">
        <f t="shared" si="43"/>
        <v>scott10WR-1</v>
      </c>
      <c r="O936">
        <f>COUNTIFS(F$1:F936,F936,A$1:A936,A936)</f>
        <v>10</v>
      </c>
      <c r="P936" t="str">
        <f t="shared" si="44"/>
        <v>JuJu Smith-Schuster10</v>
      </c>
    </row>
    <row r="937" spans="1:16" x14ac:dyDescent="0.25">
      <c r="A937">
        <v>17</v>
      </c>
      <c r="B937" t="s">
        <v>99</v>
      </c>
      <c r="C937" t="s">
        <v>6374</v>
      </c>
      <c r="D937">
        <v>10.88</v>
      </c>
      <c r="E937" t="s">
        <v>76</v>
      </c>
      <c r="F937" t="s">
        <v>47</v>
      </c>
      <c r="G937">
        <v>16.920000000000002</v>
      </c>
      <c r="H937">
        <v>4.84</v>
      </c>
      <c r="I937">
        <v>6.04</v>
      </c>
      <c r="J937">
        <v>36.4816</v>
      </c>
      <c r="K937" t="str">
        <f>IFERROR(INDEX(Rosters!$C$2:$C$155,MATCH($B937,Rosters!$B$2:$B$155,0)),"NA")</f>
        <v>comp</v>
      </c>
      <c r="L937" t="str">
        <f t="shared" si="42"/>
        <v>comp17RB</v>
      </c>
      <c r="M937">
        <f>COUNTIF(L$1:L937,L937)</f>
        <v>1</v>
      </c>
      <c r="N937" t="str">
        <f t="shared" si="43"/>
        <v>comp17RB-1</v>
      </c>
      <c r="O937">
        <f>COUNTIFS(F$1:F937,F937,A$1:A937,A937)</f>
        <v>14</v>
      </c>
      <c r="P937" t="str">
        <f t="shared" si="44"/>
        <v>Lamar Miller17</v>
      </c>
    </row>
    <row r="938" spans="1:16" x14ac:dyDescent="0.25">
      <c r="A938">
        <v>5</v>
      </c>
      <c r="B938" t="s">
        <v>132</v>
      </c>
      <c r="C938" t="s">
        <v>6375</v>
      </c>
      <c r="D938">
        <v>10.88</v>
      </c>
      <c r="E938" t="s">
        <v>37</v>
      </c>
      <c r="F938" t="s">
        <v>47</v>
      </c>
      <c r="G938">
        <v>18.510000000000002</v>
      </c>
      <c r="H938">
        <v>3.25</v>
      </c>
      <c r="I938">
        <v>7.63</v>
      </c>
      <c r="J938">
        <v>58.216900000000003</v>
      </c>
      <c r="K938" t="str">
        <f>IFERROR(INDEX(Rosters!$C$2:$C$155,MATCH($B938,Rosters!$B$2:$B$155,0)),"NA")</f>
        <v>scott</v>
      </c>
      <c r="L938" t="str">
        <f t="shared" si="42"/>
        <v>scott5RB</v>
      </c>
      <c r="M938">
        <f>COUNTIF(L$1:L938,L938)</f>
        <v>3</v>
      </c>
      <c r="N938" t="str">
        <f t="shared" si="43"/>
        <v>scott5RB-3</v>
      </c>
      <c r="O938">
        <f>COUNTIFS(F$1:F938,F938,A$1:A938,A938)</f>
        <v>14</v>
      </c>
      <c r="P938" t="str">
        <f t="shared" si="44"/>
        <v>Marshawn Lynch5</v>
      </c>
    </row>
    <row r="939" spans="1:16" x14ac:dyDescent="0.25">
      <c r="A939">
        <v>3</v>
      </c>
      <c r="B939" t="s">
        <v>122</v>
      </c>
      <c r="C939" t="s">
        <v>3655</v>
      </c>
      <c r="D939">
        <v>10.87</v>
      </c>
      <c r="E939" t="s">
        <v>423</v>
      </c>
      <c r="F939" t="s">
        <v>87</v>
      </c>
      <c r="G939">
        <v>16.989999999999998</v>
      </c>
      <c r="H939">
        <v>4.75</v>
      </c>
      <c r="I939">
        <v>6.12</v>
      </c>
      <c r="J939">
        <v>37.4544</v>
      </c>
      <c r="K939" t="str">
        <f>IFERROR(INDEX(Rosters!$C$2:$C$155,MATCH($B939,Rosters!$B$2:$B$155,0)),"NA")</f>
        <v>devon</v>
      </c>
      <c r="L939" t="str">
        <f t="shared" si="42"/>
        <v>devon3WR</v>
      </c>
      <c r="M939">
        <f>COUNTIF(L$1:L939,L939)</f>
        <v>2</v>
      </c>
      <c r="N939" t="str">
        <f t="shared" si="43"/>
        <v>devon3WR-2</v>
      </c>
      <c r="O939">
        <f>COUNTIFS(F$1:F939,F939,A$1:A939,A939)</f>
        <v>13</v>
      </c>
      <c r="P939" t="str">
        <f t="shared" si="44"/>
        <v>Golden Tate3</v>
      </c>
    </row>
    <row r="940" spans="1:16" x14ac:dyDescent="0.25">
      <c r="A940">
        <v>9</v>
      </c>
      <c r="B940" t="s">
        <v>248</v>
      </c>
      <c r="C940" t="s">
        <v>6376</v>
      </c>
      <c r="D940">
        <v>10.86</v>
      </c>
      <c r="E940" t="s">
        <v>14</v>
      </c>
      <c r="F940" t="s">
        <v>87</v>
      </c>
      <c r="G940">
        <v>17.63</v>
      </c>
      <c r="H940">
        <v>4.09</v>
      </c>
      <c r="I940">
        <v>6.77</v>
      </c>
      <c r="J940">
        <v>45.832900000000002</v>
      </c>
      <c r="K940" t="str">
        <f>IFERROR(INDEX(Rosters!$C$2:$C$155,MATCH($B940,Rosters!$B$2:$B$155,0)),"NA")</f>
        <v>matty</v>
      </c>
      <c r="L940" t="str">
        <f t="shared" si="42"/>
        <v>matty9WR</v>
      </c>
      <c r="M940">
        <f>COUNTIF(L$1:L940,L940)</f>
        <v>2</v>
      </c>
      <c r="N940" t="str">
        <f t="shared" si="43"/>
        <v>matty9WR-2</v>
      </c>
      <c r="O940">
        <f>COUNTIFS(F$1:F940,F940,A$1:A940,A940)</f>
        <v>13</v>
      </c>
      <c r="P940" t="str">
        <f t="shared" si="44"/>
        <v>Robert Woods9</v>
      </c>
    </row>
    <row r="941" spans="1:16" x14ac:dyDescent="0.25">
      <c r="A941">
        <v>13</v>
      </c>
      <c r="B941" t="s">
        <v>1352</v>
      </c>
      <c r="C941" t="s">
        <v>6377</v>
      </c>
      <c r="D941">
        <v>10.86</v>
      </c>
      <c r="E941" t="s">
        <v>25</v>
      </c>
      <c r="F941" t="s">
        <v>47</v>
      </c>
      <c r="G941">
        <v>17.600000000000001</v>
      </c>
      <c r="H941">
        <v>4.12</v>
      </c>
      <c r="I941">
        <v>6.74</v>
      </c>
      <c r="J941">
        <v>45.427599999999998</v>
      </c>
      <c r="K941" t="str">
        <f>IFERROR(INDEX(Rosters!$C$2:$C$155,MATCH($B941,Rosters!$B$2:$B$155,0)),"NA")</f>
        <v>devon</v>
      </c>
      <c r="L941" t="str">
        <f t="shared" si="42"/>
        <v>devon13RB</v>
      </c>
      <c r="M941">
        <f>COUNTIF(L$1:L941,L941)</f>
        <v>2</v>
      </c>
      <c r="N941" t="str">
        <f t="shared" si="43"/>
        <v>devon13RB-2</v>
      </c>
      <c r="O941">
        <f>COUNTIFS(F$1:F941,F941,A$1:A941,A941)</f>
        <v>17</v>
      </c>
      <c r="P941" t="str">
        <f t="shared" si="44"/>
        <v>Sony Michel13</v>
      </c>
    </row>
    <row r="942" spans="1:16" x14ac:dyDescent="0.25">
      <c r="A942">
        <v>4</v>
      </c>
      <c r="B942" t="s">
        <v>133</v>
      </c>
      <c r="C942" t="s">
        <v>4445</v>
      </c>
      <c r="D942">
        <v>10.86</v>
      </c>
      <c r="E942" t="s">
        <v>56</v>
      </c>
      <c r="F942" t="s">
        <v>87</v>
      </c>
      <c r="G942">
        <v>17.39</v>
      </c>
      <c r="H942">
        <v>4.33</v>
      </c>
      <c r="I942">
        <v>6.53</v>
      </c>
      <c r="J942">
        <v>42.640900000000002</v>
      </c>
      <c r="K942" t="str">
        <f>IFERROR(INDEX(Rosters!$C$2:$C$155,MATCH($B942,Rosters!$B$2:$B$155,0)),"NA")</f>
        <v>aj</v>
      </c>
      <c r="L942" t="str">
        <f t="shared" si="42"/>
        <v>aj4WR</v>
      </c>
      <c r="M942">
        <f>COUNTIF(L$1:L942,L942)</f>
        <v>3</v>
      </c>
      <c r="N942" t="str">
        <f t="shared" si="43"/>
        <v>aj4WR-3</v>
      </c>
      <c r="O942">
        <f>COUNTIFS(F$1:F942,F942,A$1:A942,A942)</f>
        <v>11</v>
      </c>
      <c r="P942" t="str">
        <f t="shared" si="44"/>
        <v>Stefon Diggs4</v>
      </c>
    </row>
    <row r="943" spans="1:16" x14ac:dyDescent="0.25">
      <c r="A943">
        <v>14</v>
      </c>
      <c r="B943" t="s">
        <v>151</v>
      </c>
      <c r="C943" t="s">
        <v>6378</v>
      </c>
      <c r="D943">
        <v>10.86</v>
      </c>
      <c r="E943" t="s">
        <v>77</v>
      </c>
      <c r="F943" t="s">
        <v>114</v>
      </c>
      <c r="G943">
        <v>16.62</v>
      </c>
      <c r="H943">
        <v>5.0999999999999996</v>
      </c>
      <c r="I943">
        <v>5.76</v>
      </c>
      <c r="J943">
        <v>33.177599999999998</v>
      </c>
      <c r="K943" t="str">
        <f>IFERROR(INDEX(Rosters!$C$2:$C$155,MATCH($B943,Rosters!$B$2:$B$155,0)),"NA")</f>
        <v>aj</v>
      </c>
      <c r="L943" t="str">
        <f t="shared" si="42"/>
        <v>aj14TE</v>
      </c>
      <c r="M943">
        <f>COUNTIF(L$1:L943,L943)</f>
        <v>1</v>
      </c>
      <c r="N943" t="str">
        <f t="shared" si="43"/>
        <v>aj14TE-1</v>
      </c>
      <c r="O943">
        <f>COUNTIFS(F$1:F943,F943,A$1:A943,A943)</f>
        <v>2</v>
      </c>
      <c r="P943" t="str">
        <f t="shared" si="44"/>
        <v>Travis Kelce14</v>
      </c>
    </row>
    <row r="944" spans="1:16" x14ac:dyDescent="0.25">
      <c r="A944">
        <v>4</v>
      </c>
      <c r="B944" t="s">
        <v>108</v>
      </c>
      <c r="C944" t="s">
        <v>4446</v>
      </c>
      <c r="D944">
        <v>10.84</v>
      </c>
      <c r="E944" t="s">
        <v>25</v>
      </c>
      <c r="F944" t="s">
        <v>87</v>
      </c>
      <c r="G944">
        <v>18.03</v>
      </c>
      <c r="H944">
        <v>3.65</v>
      </c>
      <c r="I944">
        <v>7.19</v>
      </c>
      <c r="J944">
        <v>51.696100000000001</v>
      </c>
      <c r="K944" t="str">
        <f>IFERROR(INDEX(Rosters!$C$2:$C$155,MATCH($B944,Rosters!$B$2:$B$155,0)),"NA")</f>
        <v>perry</v>
      </c>
      <c r="L944" t="str">
        <f t="shared" si="42"/>
        <v>perry4WR</v>
      </c>
      <c r="M944">
        <f>COUNTIF(L$1:L944,L944)</f>
        <v>2</v>
      </c>
      <c r="N944" t="str">
        <f t="shared" si="43"/>
        <v>perry4WR-2</v>
      </c>
      <c r="O944">
        <f>COUNTIFS(F$1:F944,F944,A$1:A944,A944)</f>
        <v>12</v>
      </c>
      <c r="P944" t="str">
        <f t="shared" si="44"/>
        <v>Brandin Cooks4</v>
      </c>
    </row>
    <row r="945" spans="1:16" x14ac:dyDescent="0.25">
      <c r="A945">
        <v>2</v>
      </c>
      <c r="B945" t="s">
        <v>124</v>
      </c>
      <c r="C945" t="s">
        <v>3558</v>
      </c>
      <c r="D945">
        <v>10.84</v>
      </c>
      <c r="E945" t="s">
        <v>51</v>
      </c>
      <c r="F945" t="s">
        <v>87</v>
      </c>
      <c r="G945">
        <v>16.88</v>
      </c>
      <c r="H945">
        <v>4.8</v>
      </c>
      <c r="I945">
        <v>6.04</v>
      </c>
      <c r="J945">
        <v>36.4816</v>
      </c>
      <c r="K945" t="str">
        <f>IFERROR(INDEX(Rosters!$C$2:$C$155,MATCH($B945,Rosters!$B$2:$B$155,0)),"NA")</f>
        <v>matty</v>
      </c>
      <c r="L945" t="str">
        <f t="shared" si="42"/>
        <v>matty2WR</v>
      </c>
      <c r="M945">
        <f>COUNTIF(L$1:L945,L945)</f>
        <v>1</v>
      </c>
      <c r="N945" t="str">
        <f t="shared" si="43"/>
        <v>matty2WR-1</v>
      </c>
      <c r="O945">
        <f>COUNTIFS(F$1:F945,F945,A$1:A945,A945)</f>
        <v>6</v>
      </c>
      <c r="P945" t="str">
        <f t="shared" si="44"/>
        <v>Tyreek Hill2</v>
      </c>
    </row>
    <row r="946" spans="1:16" x14ac:dyDescent="0.25">
      <c r="A946">
        <v>9</v>
      </c>
      <c r="B946" t="s">
        <v>193</v>
      </c>
      <c r="C946" t="s">
        <v>6379</v>
      </c>
      <c r="D946">
        <v>10.81</v>
      </c>
      <c r="E946" t="s">
        <v>41</v>
      </c>
      <c r="F946" t="s">
        <v>47</v>
      </c>
      <c r="G946">
        <v>16.25</v>
      </c>
      <c r="H946">
        <v>5.37</v>
      </c>
      <c r="I946">
        <v>5.44</v>
      </c>
      <c r="J946">
        <v>29.593599999999999</v>
      </c>
      <c r="K946" t="str">
        <f>IFERROR(INDEX(Rosters!$C$2:$C$155,MATCH($B946,Rosters!$B$2:$B$155,0)),"NA")</f>
        <v>cory</v>
      </c>
      <c r="L946" t="str">
        <f t="shared" si="42"/>
        <v>cory9RB</v>
      </c>
      <c r="M946">
        <f>COUNTIF(L$1:L946,L946)</f>
        <v>2</v>
      </c>
      <c r="N946" t="str">
        <f t="shared" si="43"/>
        <v>cory9RB-2</v>
      </c>
      <c r="O946">
        <f>COUNTIFS(F$1:F946,F946,A$1:A946,A946)</f>
        <v>13</v>
      </c>
      <c r="P946" t="str">
        <f t="shared" si="44"/>
        <v>James White9</v>
      </c>
    </row>
    <row r="947" spans="1:16" x14ac:dyDescent="0.25">
      <c r="A947">
        <v>1</v>
      </c>
      <c r="B947" t="s">
        <v>205</v>
      </c>
      <c r="C947" t="s">
        <v>1682</v>
      </c>
      <c r="D947">
        <v>10.8</v>
      </c>
      <c r="E947" t="s">
        <v>72</v>
      </c>
      <c r="F947" t="s">
        <v>47</v>
      </c>
      <c r="G947">
        <v>16.989999999999998</v>
      </c>
      <c r="H947">
        <v>4.6100000000000003</v>
      </c>
      <c r="I947">
        <v>6.19</v>
      </c>
      <c r="J947">
        <v>38.316099999999999</v>
      </c>
      <c r="K947" t="str">
        <f>IFERROR(INDEX(Rosters!$C$2:$C$155,MATCH($B947,Rosters!$B$2:$B$155,0)),"NA")</f>
        <v>NA</v>
      </c>
      <c r="L947" t="str">
        <f t="shared" si="42"/>
        <v>NA1RB</v>
      </c>
      <c r="M947">
        <f>COUNTIF(L$1:L947,L947)</f>
        <v>1</v>
      </c>
      <c r="N947" t="str">
        <f t="shared" si="43"/>
        <v>NA1RB-1</v>
      </c>
      <c r="O947">
        <f>COUNTIFS(F$1:F947,F947,A$1:A947,A947)</f>
        <v>14</v>
      </c>
      <c r="P947" t="str">
        <f t="shared" si="44"/>
        <v>Jamaal Williams1</v>
      </c>
    </row>
    <row r="948" spans="1:16" x14ac:dyDescent="0.25">
      <c r="A948">
        <v>17</v>
      </c>
      <c r="B948" t="s">
        <v>1352</v>
      </c>
      <c r="C948" t="s">
        <v>6380</v>
      </c>
      <c r="D948">
        <v>10.79</v>
      </c>
      <c r="E948" t="s">
        <v>73</v>
      </c>
      <c r="F948" t="s">
        <v>47</v>
      </c>
      <c r="G948">
        <v>17.48</v>
      </c>
      <c r="H948">
        <v>4.0999999999999996</v>
      </c>
      <c r="I948">
        <v>6.69</v>
      </c>
      <c r="J948">
        <v>44.756100000000004</v>
      </c>
      <c r="K948" t="str">
        <f>IFERROR(INDEX(Rosters!$C$2:$C$155,MATCH($B948,Rosters!$B$2:$B$155,0)),"NA")</f>
        <v>devon</v>
      </c>
      <c r="L948" t="str">
        <f t="shared" si="42"/>
        <v>devon17RB</v>
      </c>
      <c r="M948">
        <f>COUNTIF(L$1:L948,L948)</f>
        <v>3</v>
      </c>
      <c r="N948" t="str">
        <f t="shared" si="43"/>
        <v>devon17RB-3</v>
      </c>
      <c r="O948">
        <f>COUNTIFS(F$1:F948,F948,A$1:A948,A948)</f>
        <v>15</v>
      </c>
      <c r="P948" t="str">
        <f t="shared" si="44"/>
        <v>Sony Michel17</v>
      </c>
    </row>
    <row r="949" spans="1:16" x14ac:dyDescent="0.25">
      <c r="A949">
        <v>4</v>
      </c>
      <c r="B949" t="s">
        <v>113</v>
      </c>
      <c r="C949" t="s">
        <v>4447</v>
      </c>
      <c r="D949">
        <v>10.78</v>
      </c>
      <c r="E949" t="s">
        <v>19</v>
      </c>
      <c r="F949" t="s">
        <v>114</v>
      </c>
      <c r="G949">
        <v>16.5</v>
      </c>
      <c r="H949">
        <v>5.0599999999999996</v>
      </c>
      <c r="I949">
        <v>5.72</v>
      </c>
      <c r="J949">
        <v>32.718400000000003</v>
      </c>
      <c r="K949" t="str">
        <f>IFERROR(INDEX(Rosters!$C$2:$C$155,MATCH($B949,Rosters!$B$2:$B$155,0)),"NA")</f>
        <v>lucas</v>
      </c>
      <c r="L949" t="str">
        <f t="shared" si="42"/>
        <v>lucas4TE</v>
      </c>
      <c r="M949">
        <f>COUNTIF(L$1:L949,L949)</f>
        <v>1</v>
      </c>
      <c r="N949" t="str">
        <f t="shared" si="43"/>
        <v>lucas4TE-1</v>
      </c>
      <c r="O949">
        <f>COUNTIFS(F$1:F949,F949,A$1:A949,A949)</f>
        <v>1</v>
      </c>
      <c r="P949" t="str">
        <f t="shared" si="44"/>
        <v>Rob Gronkowski4</v>
      </c>
    </row>
    <row r="950" spans="1:16" x14ac:dyDescent="0.25">
      <c r="A950">
        <v>15</v>
      </c>
      <c r="B950" t="s">
        <v>130</v>
      </c>
      <c r="C950" t="s">
        <v>6381</v>
      </c>
      <c r="D950">
        <v>10.75</v>
      </c>
      <c r="E950" t="s">
        <v>42</v>
      </c>
      <c r="F950" t="s">
        <v>47</v>
      </c>
      <c r="G950">
        <v>16.54</v>
      </c>
      <c r="H950">
        <v>4.96</v>
      </c>
      <c r="I950">
        <v>5.79</v>
      </c>
      <c r="J950">
        <v>33.524099999999997</v>
      </c>
      <c r="K950" t="str">
        <f>IFERROR(INDEX(Rosters!$C$2:$C$155,MATCH($B950,Rosters!$B$2:$B$155,0)),"NA")</f>
        <v>cory</v>
      </c>
      <c r="L950" t="str">
        <f t="shared" si="42"/>
        <v>cory15RB</v>
      </c>
      <c r="M950">
        <f>COUNTIF(L$1:L950,L950)</f>
        <v>1</v>
      </c>
      <c r="N950" t="str">
        <f t="shared" si="43"/>
        <v>cory15RB-1</v>
      </c>
      <c r="O950">
        <f>COUNTIFS(F$1:F950,F950,A$1:A950,A950)</f>
        <v>14</v>
      </c>
      <c r="P950" t="str">
        <f t="shared" si="44"/>
        <v>Carlos Hyde15</v>
      </c>
    </row>
    <row r="951" spans="1:16" x14ac:dyDescent="0.25">
      <c r="A951">
        <v>14</v>
      </c>
      <c r="B951" t="s">
        <v>1352</v>
      </c>
      <c r="C951" t="s">
        <v>6382</v>
      </c>
      <c r="D951">
        <v>10.75</v>
      </c>
      <c r="E951" t="s">
        <v>19</v>
      </c>
      <c r="F951" t="s">
        <v>47</v>
      </c>
      <c r="G951">
        <v>18.5</v>
      </c>
      <c r="H951">
        <v>3</v>
      </c>
      <c r="I951">
        <v>7.75</v>
      </c>
      <c r="J951">
        <v>60.0625</v>
      </c>
      <c r="K951" t="str">
        <f>IFERROR(INDEX(Rosters!$C$2:$C$155,MATCH($B951,Rosters!$B$2:$B$155,0)),"NA")</f>
        <v>devon</v>
      </c>
      <c r="L951" t="str">
        <f t="shared" si="42"/>
        <v>devon14RB</v>
      </c>
      <c r="M951">
        <f>COUNTIF(L$1:L951,L951)</f>
        <v>2</v>
      </c>
      <c r="N951" t="str">
        <f t="shared" si="43"/>
        <v>devon14RB-2</v>
      </c>
      <c r="O951">
        <f>COUNTIFS(F$1:F951,F951,A$1:A951,A951)</f>
        <v>16</v>
      </c>
      <c r="P951" t="str">
        <f t="shared" si="44"/>
        <v>Sony Michel14</v>
      </c>
    </row>
    <row r="952" spans="1:16" x14ac:dyDescent="0.25">
      <c r="A952">
        <v>4</v>
      </c>
      <c r="B952" t="s">
        <v>151</v>
      </c>
      <c r="C952" t="s">
        <v>4448</v>
      </c>
      <c r="D952">
        <v>10.75</v>
      </c>
      <c r="E952" t="s">
        <v>42</v>
      </c>
      <c r="F952" t="s">
        <v>114</v>
      </c>
      <c r="G952">
        <v>16.5</v>
      </c>
      <c r="H952">
        <v>5</v>
      </c>
      <c r="I952">
        <v>5.75</v>
      </c>
      <c r="J952">
        <v>33.0625</v>
      </c>
      <c r="K952" t="str">
        <f>IFERROR(INDEX(Rosters!$C$2:$C$155,MATCH($B952,Rosters!$B$2:$B$155,0)),"NA")</f>
        <v>aj</v>
      </c>
      <c r="L952" t="str">
        <f t="shared" si="42"/>
        <v>aj4TE</v>
      </c>
      <c r="M952">
        <f>COUNTIF(L$1:L952,L952)</f>
        <v>1</v>
      </c>
      <c r="N952" t="str">
        <f t="shared" si="43"/>
        <v>aj4TE-1</v>
      </c>
      <c r="O952">
        <f>COUNTIFS(F$1:F952,F952,A$1:A952,A952)</f>
        <v>2</v>
      </c>
      <c r="P952" t="str">
        <f t="shared" si="44"/>
        <v>Travis Kelce4</v>
      </c>
    </row>
    <row r="953" spans="1:16" x14ac:dyDescent="0.25">
      <c r="A953">
        <v>2</v>
      </c>
      <c r="B953" t="s">
        <v>134</v>
      </c>
      <c r="C953" t="s">
        <v>3559</v>
      </c>
      <c r="D953">
        <v>10.74</v>
      </c>
      <c r="E953" t="s">
        <v>14</v>
      </c>
      <c r="F953" t="s">
        <v>87</v>
      </c>
      <c r="G953">
        <v>17.66</v>
      </c>
      <c r="H953">
        <v>3.82</v>
      </c>
      <c r="I953">
        <v>6.92</v>
      </c>
      <c r="J953">
        <v>47.886400000000002</v>
      </c>
      <c r="K953" t="str">
        <f>IFERROR(INDEX(Rosters!$C$2:$C$155,MATCH($B953,Rosters!$B$2:$B$155,0)),"NA")</f>
        <v>cory</v>
      </c>
      <c r="L953" t="str">
        <f t="shared" si="42"/>
        <v>cory2WR</v>
      </c>
      <c r="M953">
        <f>COUNTIF(L$1:L953,L953)</f>
        <v>3</v>
      </c>
      <c r="N953" t="str">
        <f t="shared" si="43"/>
        <v>cory2WR-3</v>
      </c>
      <c r="O953">
        <f>COUNTIFS(F$1:F953,F953,A$1:A953,A953)</f>
        <v>7</v>
      </c>
      <c r="P953" t="str">
        <f t="shared" si="44"/>
        <v>Jarvis Landry2</v>
      </c>
    </row>
    <row r="954" spans="1:16" x14ac:dyDescent="0.25">
      <c r="A954">
        <v>4</v>
      </c>
      <c r="B954" t="s">
        <v>45</v>
      </c>
      <c r="C954" t="s">
        <v>4449</v>
      </c>
      <c r="D954">
        <v>10.72</v>
      </c>
      <c r="E954" t="s">
        <v>28</v>
      </c>
      <c r="F954" t="s">
        <v>47</v>
      </c>
      <c r="G954">
        <v>18.87</v>
      </c>
      <c r="H954">
        <v>2.57</v>
      </c>
      <c r="I954">
        <v>8.15</v>
      </c>
      <c r="J954">
        <v>66.422499999999999</v>
      </c>
      <c r="K954" t="str">
        <f>IFERROR(INDEX(Rosters!$C$2:$C$155,MATCH($B954,Rosters!$B$2:$B$155,0)),"NA")</f>
        <v>matty</v>
      </c>
      <c r="L954" t="str">
        <f t="shared" si="42"/>
        <v>matty4RB</v>
      </c>
      <c r="M954">
        <f>COUNTIF(L$1:L954,L954)</f>
        <v>2</v>
      </c>
      <c r="N954" t="str">
        <f t="shared" si="43"/>
        <v>matty4RB-2</v>
      </c>
      <c r="O954">
        <f>COUNTIFS(F$1:F954,F954,A$1:A954,A954)</f>
        <v>14</v>
      </c>
      <c r="P954" t="str">
        <f t="shared" si="44"/>
        <v>David Johnson4</v>
      </c>
    </row>
    <row r="955" spans="1:16" x14ac:dyDescent="0.25">
      <c r="A955">
        <v>16</v>
      </c>
      <c r="B955" t="s">
        <v>248</v>
      </c>
      <c r="C955" t="s">
        <v>6383</v>
      </c>
      <c r="D955">
        <v>10.72</v>
      </c>
      <c r="E955" t="s">
        <v>58</v>
      </c>
      <c r="F955" t="s">
        <v>87</v>
      </c>
      <c r="G955">
        <v>16.829999999999998</v>
      </c>
      <c r="H955">
        <v>4.6100000000000003</v>
      </c>
      <c r="I955">
        <v>6.11</v>
      </c>
      <c r="J955">
        <v>37.332099999999997</v>
      </c>
      <c r="K955" t="str">
        <f>IFERROR(INDEX(Rosters!$C$2:$C$155,MATCH($B955,Rosters!$B$2:$B$155,0)),"NA")</f>
        <v>matty</v>
      </c>
      <c r="L955" t="str">
        <f t="shared" si="42"/>
        <v>matty16WR</v>
      </c>
      <c r="M955">
        <f>COUNTIF(L$1:L955,L955)</f>
        <v>2</v>
      </c>
      <c r="N955" t="str">
        <f t="shared" si="43"/>
        <v>matty16WR-2</v>
      </c>
      <c r="O955">
        <f>COUNTIFS(F$1:F955,F955,A$1:A955,A955)</f>
        <v>13</v>
      </c>
      <c r="P955" t="str">
        <f t="shared" si="44"/>
        <v>Robert Woods16</v>
      </c>
    </row>
    <row r="956" spans="1:16" x14ac:dyDescent="0.25">
      <c r="A956">
        <v>17</v>
      </c>
      <c r="B956" t="s">
        <v>201</v>
      </c>
      <c r="C956" t="s">
        <v>6384</v>
      </c>
      <c r="D956">
        <v>10.71</v>
      </c>
      <c r="E956" t="s">
        <v>66</v>
      </c>
      <c r="F956" t="s">
        <v>47</v>
      </c>
      <c r="G956">
        <v>18.010000000000002</v>
      </c>
      <c r="H956">
        <v>3.41</v>
      </c>
      <c r="I956">
        <v>7.3</v>
      </c>
      <c r="J956">
        <v>53.29</v>
      </c>
      <c r="K956" t="str">
        <f>IFERROR(INDEX(Rosters!$C$2:$C$155,MATCH($B956,Rosters!$B$2:$B$155,0)),"NA")</f>
        <v>seth</v>
      </c>
      <c r="L956" t="str">
        <f t="shared" si="42"/>
        <v>seth17RB</v>
      </c>
      <c r="M956">
        <f>COUNTIF(L$1:L956,L956)</f>
        <v>2</v>
      </c>
      <c r="N956" t="str">
        <f t="shared" si="43"/>
        <v>seth17RB-2</v>
      </c>
      <c r="O956">
        <f>COUNTIFS(F$1:F956,F956,A$1:A956,A956)</f>
        <v>16</v>
      </c>
      <c r="P956" t="str">
        <f t="shared" si="44"/>
        <v>Derrick Henry17</v>
      </c>
    </row>
    <row r="957" spans="1:16" x14ac:dyDescent="0.25">
      <c r="A957">
        <v>2</v>
      </c>
      <c r="B957" t="s">
        <v>104</v>
      </c>
      <c r="C957" t="s">
        <v>3656</v>
      </c>
      <c r="D957">
        <v>10.69</v>
      </c>
      <c r="E957" t="s">
        <v>77</v>
      </c>
      <c r="F957" t="s">
        <v>87</v>
      </c>
      <c r="G957">
        <v>18.010000000000002</v>
      </c>
      <c r="H957">
        <v>3.37</v>
      </c>
      <c r="I957">
        <v>7.32</v>
      </c>
      <c r="J957">
        <v>53.5824</v>
      </c>
      <c r="K957" t="str">
        <f>IFERROR(INDEX(Rosters!$C$2:$C$155,MATCH($B957,Rosters!$B$2:$B$155,0)),"NA")</f>
        <v>devon</v>
      </c>
      <c r="L957" t="str">
        <f t="shared" si="42"/>
        <v>devon2WR</v>
      </c>
      <c r="M957">
        <f>COUNTIF(L$1:L957,L957)</f>
        <v>1</v>
      </c>
      <c r="N957" t="str">
        <f t="shared" si="43"/>
        <v>devon2WR-1</v>
      </c>
      <c r="O957">
        <f>COUNTIFS(F$1:F957,F957,A$1:A957,A957)</f>
        <v>8</v>
      </c>
      <c r="P957" t="str">
        <f t="shared" si="44"/>
        <v>A.J. Green2</v>
      </c>
    </row>
    <row r="958" spans="1:16" x14ac:dyDescent="0.25">
      <c r="A958">
        <v>5</v>
      </c>
      <c r="B958" t="s">
        <v>1647</v>
      </c>
      <c r="C958" t="s">
        <v>6385</v>
      </c>
      <c r="D958">
        <v>10.69</v>
      </c>
      <c r="E958" t="s">
        <v>60</v>
      </c>
      <c r="F958" t="s">
        <v>47</v>
      </c>
      <c r="G958">
        <v>19.23</v>
      </c>
      <c r="H958">
        <v>2.15</v>
      </c>
      <c r="I958">
        <v>8.5399999999999991</v>
      </c>
      <c r="J958">
        <v>72.931600000000003</v>
      </c>
      <c r="K958" t="str">
        <f>IFERROR(INDEX(Rosters!$C$2:$C$155,MATCH($B958,Rosters!$B$2:$B$155,0)),"NA")</f>
        <v>cory</v>
      </c>
      <c r="L958" t="str">
        <f t="shared" si="42"/>
        <v>cory5RB</v>
      </c>
      <c r="M958">
        <f>COUNTIF(L$1:L958,L958)</f>
        <v>1</v>
      </c>
      <c r="N958" t="str">
        <f t="shared" si="43"/>
        <v>cory5RB-1</v>
      </c>
      <c r="O958">
        <f>COUNTIFS(F$1:F958,F958,A$1:A958,A958)</f>
        <v>15</v>
      </c>
      <c r="P958" t="str">
        <f t="shared" si="44"/>
        <v>Mark Ingram II5</v>
      </c>
    </row>
    <row r="959" spans="1:16" x14ac:dyDescent="0.25">
      <c r="A959">
        <v>1</v>
      </c>
      <c r="B959" t="s">
        <v>133</v>
      </c>
      <c r="C959" t="s">
        <v>1314</v>
      </c>
      <c r="D959">
        <v>10.69</v>
      </c>
      <c r="E959" t="s">
        <v>30</v>
      </c>
      <c r="F959" t="s">
        <v>87</v>
      </c>
      <c r="G959">
        <v>18.05</v>
      </c>
      <c r="H959">
        <v>3.33</v>
      </c>
      <c r="I959">
        <v>7.36</v>
      </c>
      <c r="J959">
        <v>54.169600000000003</v>
      </c>
      <c r="K959" t="str">
        <f>IFERROR(INDEX(Rosters!$C$2:$C$155,MATCH($B959,Rosters!$B$2:$B$155,0)),"NA")</f>
        <v>aj</v>
      </c>
      <c r="L959" t="str">
        <f t="shared" si="42"/>
        <v>aj1WR</v>
      </c>
      <c r="M959">
        <f>COUNTIF(L$1:L959,L959)</f>
        <v>3</v>
      </c>
      <c r="N959" t="str">
        <f t="shared" si="43"/>
        <v>aj1WR-3</v>
      </c>
      <c r="O959">
        <f>COUNTIFS(F$1:F959,F959,A$1:A959,A959)</f>
        <v>8</v>
      </c>
      <c r="P959" t="str">
        <f t="shared" si="44"/>
        <v>Stefon Diggs1</v>
      </c>
    </row>
    <row r="960" spans="1:16" x14ac:dyDescent="0.25">
      <c r="A960">
        <v>17</v>
      </c>
      <c r="B960" t="s">
        <v>1105</v>
      </c>
      <c r="C960" t="s">
        <v>6386</v>
      </c>
      <c r="D960">
        <v>10.68</v>
      </c>
      <c r="E960" t="s">
        <v>31</v>
      </c>
      <c r="F960" t="s">
        <v>87</v>
      </c>
      <c r="G960">
        <v>16.48</v>
      </c>
      <c r="H960">
        <v>4.88</v>
      </c>
      <c r="I960">
        <v>5.8</v>
      </c>
      <c r="J960">
        <v>33.64</v>
      </c>
      <c r="K960" t="str">
        <f>IFERROR(INDEX(Rosters!$C$2:$C$155,MATCH($B960,Rosters!$B$2:$B$155,0)),"NA")</f>
        <v>scott</v>
      </c>
      <c r="L960" t="str">
        <f t="shared" si="42"/>
        <v>scott17WR</v>
      </c>
      <c r="M960">
        <f>COUNTIF(L$1:L960,L960)</f>
        <v>1</v>
      </c>
      <c r="N960" t="str">
        <f t="shared" si="43"/>
        <v>scott17WR-1</v>
      </c>
      <c r="O960">
        <f>COUNTIFS(F$1:F960,F960,A$1:A960,A960)</f>
        <v>16</v>
      </c>
      <c r="P960" t="str">
        <f t="shared" si="44"/>
        <v>JuJu Smith-Schuster17</v>
      </c>
    </row>
    <row r="961" spans="1:16" x14ac:dyDescent="0.25">
      <c r="A961">
        <v>12</v>
      </c>
      <c r="B961" t="s">
        <v>1647</v>
      </c>
      <c r="C961" t="s">
        <v>6387</v>
      </c>
      <c r="D961">
        <v>10.68</v>
      </c>
      <c r="E961" t="s">
        <v>46</v>
      </c>
      <c r="F961" t="s">
        <v>47</v>
      </c>
      <c r="G961">
        <v>16.329999999999998</v>
      </c>
      <c r="H961">
        <v>5.03</v>
      </c>
      <c r="I961">
        <v>5.65</v>
      </c>
      <c r="J961">
        <v>31.922499999999999</v>
      </c>
      <c r="K961" t="str">
        <f>IFERROR(INDEX(Rosters!$C$2:$C$155,MATCH($B961,Rosters!$B$2:$B$155,0)),"NA")</f>
        <v>cory</v>
      </c>
      <c r="L961" t="str">
        <f t="shared" si="42"/>
        <v>cory12RB</v>
      </c>
      <c r="M961">
        <f>COUNTIF(L$1:L961,L961)</f>
        <v>2</v>
      </c>
      <c r="N961" t="str">
        <f t="shared" si="43"/>
        <v>cory12RB-2</v>
      </c>
      <c r="O961">
        <f>COUNTIFS(F$1:F961,F961,A$1:A961,A961)</f>
        <v>12</v>
      </c>
      <c r="P961" t="str">
        <f t="shared" si="44"/>
        <v>Mark Ingram II12</v>
      </c>
    </row>
    <row r="962" spans="1:16" x14ac:dyDescent="0.25">
      <c r="A962">
        <v>2</v>
      </c>
      <c r="B962" t="s">
        <v>100</v>
      </c>
      <c r="C962" t="s">
        <v>3316</v>
      </c>
      <c r="D962">
        <v>10.67</v>
      </c>
      <c r="E962" t="s">
        <v>50</v>
      </c>
      <c r="F962" t="s">
        <v>87</v>
      </c>
      <c r="G962">
        <v>17.18</v>
      </c>
      <c r="H962">
        <v>4.16</v>
      </c>
      <c r="I962">
        <v>6.51</v>
      </c>
      <c r="J962">
        <v>42.380099999999999</v>
      </c>
      <c r="K962" t="str">
        <f>IFERROR(INDEX(Rosters!$C$2:$C$155,MATCH($B962,Rosters!$B$2:$B$155,0)),"NA")</f>
        <v>aj</v>
      </c>
      <c r="L962" t="str">
        <f t="shared" si="42"/>
        <v>aj2WR</v>
      </c>
      <c r="M962">
        <f>COUNTIF(L$1:L962,L962)</f>
        <v>2</v>
      </c>
      <c r="N962" t="str">
        <f t="shared" si="43"/>
        <v>aj2WR-2</v>
      </c>
      <c r="O962">
        <f>COUNTIFS(F$1:F962,F962,A$1:A962,A962)</f>
        <v>9</v>
      </c>
      <c r="P962" t="str">
        <f t="shared" si="44"/>
        <v>Mike Evans2</v>
      </c>
    </row>
    <row r="963" spans="1:16" x14ac:dyDescent="0.25">
      <c r="A963">
        <v>16</v>
      </c>
      <c r="B963" t="s">
        <v>613</v>
      </c>
      <c r="C963" t="s">
        <v>6388</v>
      </c>
      <c r="D963">
        <v>10.66</v>
      </c>
      <c r="E963" t="s">
        <v>25</v>
      </c>
      <c r="F963" t="s">
        <v>87</v>
      </c>
      <c r="G963">
        <v>17.04</v>
      </c>
      <c r="H963">
        <v>4.28</v>
      </c>
      <c r="I963">
        <v>6.38</v>
      </c>
      <c r="J963">
        <v>40.7044</v>
      </c>
      <c r="K963" t="str">
        <f>IFERROR(INDEX(Rosters!$C$2:$C$155,MATCH($B963,Rosters!$B$2:$B$155,0)),"NA")</f>
        <v>matty</v>
      </c>
      <c r="L963" t="str">
        <f t="shared" ref="L963:L1026" si="45">K963&amp;A963&amp;F963</f>
        <v>matty16WR</v>
      </c>
      <c r="M963">
        <f>COUNTIF(L$1:L963,L963)</f>
        <v>3</v>
      </c>
      <c r="N963" t="str">
        <f t="shared" ref="N963:N1026" si="46">L963&amp;"-"&amp;M963</f>
        <v>matty16WR-3</v>
      </c>
      <c r="O963">
        <f>COUNTIFS(F$1:F963,F963,A$1:A963,A963)</f>
        <v>14</v>
      </c>
      <c r="P963" t="str">
        <f t="shared" ref="P963:P1026" si="47">B963&amp;A963</f>
        <v>Marvin Jones Jr.16</v>
      </c>
    </row>
    <row r="964" spans="1:16" x14ac:dyDescent="0.25">
      <c r="A964">
        <v>6</v>
      </c>
      <c r="B964" t="s">
        <v>113</v>
      </c>
      <c r="C964" t="s">
        <v>6389</v>
      </c>
      <c r="D964">
        <v>10.66</v>
      </c>
      <c r="E964" t="s">
        <v>24</v>
      </c>
      <c r="F964" t="s">
        <v>114</v>
      </c>
      <c r="G964">
        <v>17.09</v>
      </c>
      <c r="H964">
        <v>4.2300000000000004</v>
      </c>
      <c r="I964">
        <v>6.43</v>
      </c>
      <c r="J964">
        <v>41.344900000000003</v>
      </c>
      <c r="K964" t="str">
        <f>IFERROR(INDEX(Rosters!$C$2:$C$155,MATCH($B964,Rosters!$B$2:$B$155,0)),"NA")</f>
        <v>lucas</v>
      </c>
      <c r="L964" t="str">
        <f t="shared" si="45"/>
        <v>lucas6TE</v>
      </c>
      <c r="M964">
        <f>COUNTIF(L$1:L964,L964)</f>
        <v>1</v>
      </c>
      <c r="N964" t="str">
        <f t="shared" si="46"/>
        <v>lucas6TE-1</v>
      </c>
      <c r="O964">
        <f>COUNTIFS(F$1:F964,F964,A$1:A964,A964)</f>
        <v>1</v>
      </c>
      <c r="P964" t="str">
        <f t="shared" si="47"/>
        <v>Rob Gronkowski6</v>
      </c>
    </row>
    <row r="965" spans="1:16" x14ac:dyDescent="0.25">
      <c r="A965">
        <v>12</v>
      </c>
      <c r="B965" t="s">
        <v>89</v>
      </c>
      <c r="C965" t="s">
        <v>6390</v>
      </c>
      <c r="D965">
        <v>10.64</v>
      </c>
      <c r="E965" t="s">
        <v>54</v>
      </c>
      <c r="F965" t="s">
        <v>47</v>
      </c>
      <c r="G965">
        <v>18.399999999999999</v>
      </c>
      <c r="H965">
        <v>2.88</v>
      </c>
      <c r="I965">
        <v>7.76</v>
      </c>
      <c r="J965">
        <v>60.217599999999997</v>
      </c>
      <c r="K965" t="str">
        <f>IFERROR(INDEX(Rosters!$C$2:$C$155,MATCH($B965,Rosters!$B$2:$B$155,0)),"NA")</f>
        <v>matty</v>
      </c>
      <c r="L965" t="str">
        <f t="shared" si="45"/>
        <v>matty12RB</v>
      </c>
      <c r="M965">
        <f>COUNTIF(L$1:L965,L965)</f>
        <v>3</v>
      </c>
      <c r="N965" t="str">
        <f t="shared" si="46"/>
        <v>matty12RB-3</v>
      </c>
      <c r="O965">
        <f>COUNTIFS(F$1:F965,F965,A$1:A965,A965)</f>
        <v>13</v>
      </c>
      <c r="P965" t="str">
        <f t="shared" si="47"/>
        <v>Jay Ajayi12</v>
      </c>
    </row>
    <row r="966" spans="1:16" x14ac:dyDescent="0.25">
      <c r="A966">
        <v>10</v>
      </c>
      <c r="B966" t="s">
        <v>132</v>
      </c>
      <c r="C966" t="s">
        <v>6391</v>
      </c>
      <c r="D966">
        <v>10.64</v>
      </c>
      <c r="E966" t="s">
        <v>37</v>
      </c>
      <c r="F966" t="s">
        <v>47</v>
      </c>
      <c r="G966">
        <v>17.510000000000002</v>
      </c>
      <c r="H966">
        <v>3.77</v>
      </c>
      <c r="I966">
        <v>6.87</v>
      </c>
      <c r="J966">
        <v>47.196899999999999</v>
      </c>
      <c r="K966" t="str">
        <f>IFERROR(INDEX(Rosters!$C$2:$C$155,MATCH($B966,Rosters!$B$2:$B$155,0)),"NA")</f>
        <v>scott</v>
      </c>
      <c r="L966" t="str">
        <f t="shared" si="45"/>
        <v>scott10RB</v>
      </c>
      <c r="M966">
        <f>COUNTIF(L$1:L966,L966)</f>
        <v>3</v>
      </c>
      <c r="N966" t="str">
        <f t="shared" si="46"/>
        <v>scott10RB-3</v>
      </c>
      <c r="O966">
        <f>COUNTIFS(F$1:F966,F966,A$1:A966,A966)</f>
        <v>14</v>
      </c>
      <c r="P966" t="str">
        <f t="shared" si="47"/>
        <v>Marshawn Lynch10</v>
      </c>
    </row>
    <row r="967" spans="1:16" x14ac:dyDescent="0.25">
      <c r="A967">
        <v>15</v>
      </c>
      <c r="B967" t="s">
        <v>1352</v>
      </c>
      <c r="C967" t="s">
        <v>6392</v>
      </c>
      <c r="D967">
        <v>10.64</v>
      </c>
      <c r="E967" t="s">
        <v>51</v>
      </c>
      <c r="F967" t="s">
        <v>47</v>
      </c>
      <c r="G967">
        <v>17.41</v>
      </c>
      <c r="H967">
        <v>3.87</v>
      </c>
      <c r="I967">
        <v>6.77</v>
      </c>
      <c r="J967">
        <v>45.832900000000002</v>
      </c>
      <c r="K967" t="str">
        <f>IFERROR(INDEX(Rosters!$C$2:$C$155,MATCH($B967,Rosters!$B$2:$B$155,0)),"NA")</f>
        <v>devon</v>
      </c>
      <c r="L967" t="str">
        <f t="shared" si="45"/>
        <v>devon15RB</v>
      </c>
      <c r="M967">
        <f>COUNTIF(L$1:L967,L967)</f>
        <v>2</v>
      </c>
      <c r="N967" t="str">
        <f t="shared" si="46"/>
        <v>devon15RB-2</v>
      </c>
      <c r="O967">
        <f>COUNTIFS(F$1:F967,F967,A$1:A967,A967)</f>
        <v>15</v>
      </c>
      <c r="P967" t="str">
        <f t="shared" si="47"/>
        <v>Sony Michel15</v>
      </c>
    </row>
    <row r="968" spans="1:16" x14ac:dyDescent="0.25">
      <c r="A968">
        <v>7</v>
      </c>
      <c r="B968" t="s">
        <v>151</v>
      </c>
      <c r="C968" t="s">
        <v>6393</v>
      </c>
      <c r="D968">
        <v>10.64</v>
      </c>
      <c r="E968" t="s">
        <v>31</v>
      </c>
      <c r="F968" t="s">
        <v>114</v>
      </c>
      <c r="G968">
        <v>16.5</v>
      </c>
      <c r="H968">
        <v>4.78</v>
      </c>
      <c r="I968">
        <v>5.86</v>
      </c>
      <c r="J968">
        <v>34.339599999999997</v>
      </c>
      <c r="K968" t="str">
        <f>IFERROR(INDEX(Rosters!$C$2:$C$155,MATCH($B968,Rosters!$B$2:$B$155,0)),"NA")</f>
        <v>aj</v>
      </c>
      <c r="L968" t="str">
        <f t="shared" si="45"/>
        <v>aj7TE</v>
      </c>
      <c r="M968">
        <f>COUNTIF(L$1:L968,L968)</f>
        <v>1</v>
      </c>
      <c r="N968" t="str">
        <f t="shared" si="46"/>
        <v>aj7TE-1</v>
      </c>
      <c r="O968">
        <f>COUNTIFS(F$1:F968,F968,A$1:A968,A968)</f>
        <v>1</v>
      </c>
      <c r="P968" t="str">
        <f t="shared" si="47"/>
        <v>Travis Kelce7</v>
      </c>
    </row>
    <row r="969" spans="1:16" x14ac:dyDescent="0.25">
      <c r="A969">
        <v>16</v>
      </c>
      <c r="B969" t="s">
        <v>154</v>
      </c>
      <c r="C969" t="s">
        <v>6394</v>
      </c>
      <c r="D969">
        <v>10.63</v>
      </c>
      <c r="E969" t="s">
        <v>77</v>
      </c>
      <c r="F969" t="s">
        <v>87</v>
      </c>
      <c r="G969">
        <v>16.940000000000001</v>
      </c>
      <c r="H969">
        <v>4.32</v>
      </c>
      <c r="I969">
        <v>6.31</v>
      </c>
      <c r="J969">
        <v>39.816099999999999</v>
      </c>
      <c r="K969" t="str">
        <f>IFERROR(INDEX(Rosters!$C$2:$C$155,MATCH($B969,Rosters!$B$2:$B$155,0)),"NA")</f>
        <v>chad</v>
      </c>
      <c r="L969" t="str">
        <f t="shared" si="45"/>
        <v>chad16WR</v>
      </c>
      <c r="M969">
        <f>COUNTIF(L$1:L969,L969)</f>
        <v>1</v>
      </c>
      <c r="N969" t="str">
        <f t="shared" si="46"/>
        <v>chad16WR-1</v>
      </c>
      <c r="O969">
        <f>COUNTIFS(F$1:F969,F969,A$1:A969,A969)</f>
        <v>15</v>
      </c>
      <c r="P969" t="str">
        <f t="shared" si="47"/>
        <v>Keenan Allen16</v>
      </c>
    </row>
    <row r="970" spans="1:16" x14ac:dyDescent="0.25">
      <c r="A970">
        <v>10</v>
      </c>
      <c r="B970" t="s">
        <v>113</v>
      </c>
      <c r="C970" t="s">
        <v>6395</v>
      </c>
      <c r="D970">
        <v>10.63</v>
      </c>
      <c r="E970" t="s">
        <v>38</v>
      </c>
      <c r="F970" t="s">
        <v>114</v>
      </c>
      <c r="G970">
        <v>16.559999999999999</v>
      </c>
      <c r="H970">
        <v>4.7</v>
      </c>
      <c r="I970">
        <v>5.93</v>
      </c>
      <c r="J970">
        <v>35.164900000000003</v>
      </c>
      <c r="K970" t="str">
        <f>IFERROR(INDEX(Rosters!$C$2:$C$155,MATCH($B970,Rosters!$B$2:$B$155,0)),"NA")</f>
        <v>lucas</v>
      </c>
      <c r="L970" t="str">
        <f t="shared" si="45"/>
        <v>lucas10TE</v>
      </c>
      <c r="M970">
        <f>COUNTIF(L$1:L970,L970)</f>
        <v>1</v>
      </c>
      <c r="N970" t="str">
        <f t="shared" si="46"/>
        <v>lucas10TE-1</v>
      </c>
      <c r="O970">
        <f>COUNTIFS(F$1:F970,F970,A$1:A970,A970)</f>
        <v>1</v>
      </c>
      <c r="P970" t="str">
        <f t="shared" si="47"/>
        <v>Rob Gronkowski10</v>
      </c>
    </row>
    <row r="971" spans="1:16" x14ac:dyDescent="0.25">
      <c r="A971">
        <v>5</v>
      </c>
      <c r="B971" t="s">
        <v>113</v>
      </c>
      <c r="C971" t="s">
        <v>9075</v>
      </c>
      <c r="D971">
        <v>10.62</v>
      </c>
      <c r="E971" t="s">
        <v>66</v>
      </c>
      <c r="F971" t="s">
        <v>114</v>
      </c>
      <c r="G971">
        <v>16.989999999999998</v>
      </c>
      <c r="H971">
        <v>4.25</v>
      </c>
      <c r="I971">
        <v>6.37</v>
      </c>
      <c r="J971">
        <v>40.576900000000002</v>
      </c>
      <c r="K971" t="str">
        <f>IFERROR(INDEX(Rosters!$C$2:$C$155,MATCH($B971,Rosters!$B$2:$B$155,0)),"NA")</f>
        <v>lucas</v>
      </c>
      <c r="L971" t="str">
        <f t="shared" si="45"/>
        <v>lucas5TE</v>
      </c>
      <c r="M971">
        <f>COUNTIF(L$1:L971,L971)</f>
        <v>1</v>
      </c>
      <c r="N971" t="str">
        <f t="shared" si="46"/>
        <v>lucas5TE-1</v>
      </c>
      <c r="O971">
        <f>COUNTIFS(F$1:F971,F971,A$1:A971,A971)</f>
        <v>2</v>
      </c>
      <c r="P971" t="str">
        <f t="shared" si="47"/>
        <v>Rob Gronkowski5</v>
      </c>
    </row>
    <row r="972" spans="1:16" x14ac:dyDescent="0.25">
      <c r="A972">
        <v>10</v>
      </c>
      <c r="B972" t="s">
        <v>240</v>
      </c>
      <c r="C972" t="s">
        <v>6396</v>
      </c>
      <c r="D972">
        <v>10.6</v>
      </c>
      <c r="E972" t="s">
        <v>22</v>
      </c>
      <c r="F972" t="s">
        <v>87</v>
      </c>
      <c r="G972">
        <v>17.059999999999999</v>
      </c>
      <c r="H972">
        <v>4.1399999999999997</v>
      </c>
      <c r="I972">
        <v>6.46</v>
      </c>
      <c r="J972">
        <v>41.7316</v>
      </c>
      <c r="K972" t="str">
        <f>IFERROR(INDEX(Rosters!$C$2:$C$155,MATCH($B972,Rosters!$B$2:$B$155,0)),"NA")</f>
        <v>aj</v>
      </c>
      <c r="L972" t="str">
        <f t="shared" si="45"/>
        <v>aj10WR</v>
      </c>
      <c r="M972">
        <f>COUNTIF(L$1:L972,L972)</f>
        <v>2</v>
      </c>
      <c r="N972" t="str">
        <f t="shared" si="46"/>
        <v>aj10WR-2</v>
      </c>
      <c r="O972">
        <f>COUNTIFS(F$1:F972,F972,A$1:A972,A972)</f>
        <v>11</v>
      </c>
      <c r="P972" t="str">
        <f t="shared" si="47"/>
        <v>Nelson Agholor10</v>
      </c>
    </row>
    <row r="973" spans="1:16" x14ac:dyDescent="0.25">
      <c r="A973">
        <v>11</v>
      </c>
      <c r="B973" t="s">
        <v>90</v>
      </c>
      <c r="C973" t="s">
        <v>6397</v>
      </c>
      <c r="D973">
        <v>10.59</v>
      </c>
      <c r="E973" t="s">
        <v>22</v>
      </c>
      <c r="F973" t="s">
        <v>47</v>
      </c>
      <c r="G973">
        <v>17.170000000000002</v>
      </c>
      <c r="H973">
        <v>4.01</v>
      </c>
      <c r="I973">
        <v>6.58</v>
      </c>
      <c r="J973">
        <v>43.296399999999998</v>
      </c>
      <c r="K973" t="str">
        <f>IFERROR(INDEX(Rosters!$C$2:$C$155,MATCH($B973,Rosters!$B$2:$B$155,0)),"NA")</f>
        <v>devon</v>
      </c>
      <c r="L973" t="str">
        <f t="shared" si="45"/>
        <v>devon11RB</v>
      </c>
      <c r="M973">
        <f>COUNTIF(L$1:L973,L973)</f>
        <v>2</v>
      </c>
      <c r="N973" t="str">
        <f t="shared" si="46"/>
        <v>devon11RB-2</v>
      </c>
      <c r="O973">
        <f>COUNTIFS(F$1:F973,F973,A$1:A973,A973)</f>
        <v>14</v>
      </c>
      <c r="P973" t="str">
        <f t="shared" si="47"/>
        <v>Devonta Freeman11</v>
      </c>
    </row>
    <row r="974" spans="1:16" x14ac:dyDescent="0.25">
      <c r="A974">
        <v>9</v>
      </c>
      <c r="B974" t="s">
        <v>100</v>
      </c>
      <c r="C974" t="s">
        <v>6398</v>
      </c>
      <c r="D974">
        <v>10.59</v>
      </c>
      <c r="E974" t="s">
        <v>74</v>
      </c>
      <c r="F974" t="s">
        <v>87</v>
      </c>
      <c r="G974">
        <v>17.309999999999999</v>
      </c>
      <c r="H974">
        <v>3.87</v>
      </c>
      <c r="I974">
        <v>6.72</v>
      </c>
      <c r="J974">
        <v>45.1584</v>
      </c>
      <c r="K974" t="str">
        <f>IFERROR(INDEX(Rosters!$C$2:$C$155,MATCH($B974,Rosters!$B$2:$B$155,0)),"NA")</f>
        <v>aj</v>
      </c>
      <c r="L974" t="str">
        <f t="shared" si="45"/>
        <v>aj9WR</v>
      </c>
      <c r="M974">
        <f>COUNTIF(L$1:L974,L974)</f>
        <v>3</v>
      </c>
      <c r="N974" t="str">
        <f t="shared" si="46"/>
        <v>aj9WR-3</v>
      </c>
      <c r="O974">
        <f>COUNTIFS(F$1:F974,F974,A$1:A974,A974)</f>
        <v>14</v>
      </c>
      <c r="P974" t="str">
        <f t="shared" si="47"/>
        <v>Mike Evans9</v>
      </c>
    </row>
    <row r="975" spans="1:16" x14ac:dyDescent="0.25">
      <c r="A975">
        <v>6</v>
      </c>
      <c r="B975" t="s">
        <v>107</v>
      </c>
      <c r="C975" t="s">
        <v>6399</v>
      </c>
      <c r="D975">
        <v>10.59</v>
      </c>
      <c r="E975" t="s">
        <v>73</v>
      </c>
      <c r="F975" t="s">
        <v>87</v>
      </c>
      <c r="G975">
        <v>18.02</v>
      </c>
      <c r="H975">
        <v>3.16</v>
      </c>
      <c r="I975">
        <v>7.43</v>
      </c>
      <c r="J975">
        <v>55.204900000000002</v>
      </c>
      <c r="K975" t="str">
        <f>IFERROR(INDEX(Rosters!$C$2:$C$155,MATCH($B975,Rosters!$B$2:$B$155,0)),"NA")</f>
        <v>comp</v>
      </c>
      <c r="L975" t="str">
        <f t="shared" si="45"/>
        <v>comp6WR</v>
      </c>
      <c r="M975">
        <f>COUNTIF(L$1:L975,L975)</f>
        <v>2</v>
      </c>
      <c r="N975" t="str">
        <f t="shared" si="46"/>
        <v>comp6WR-2</v>
      </c>
      <c r="O975">
        <f>COUNTIFS(F$1:F975,F975,A$1:A975,A975)</f>
        <v>11</v>
      </c>
      <c r="P975" t="str">
        <f t="shared" si="47"/>
        <v>T.Y. Hilton6</v>
      </c>
    </row>
    <row r="976" spans="1:16" x14ac:dyDescent="0.25">
      <c r="A976">
        <v>8</v>
      </c>
      <c r="B976" t="s">
        <v>151</v>
      </c>
      <c r="C976" t="s">
        <v>6400</v>
      </c>
      <c r="D976">
        <v>10.59</v>
      </c>
      <c r="E976" t="s">
        <v>42</v>
      </c>
      <c r="F976" t="s">
        <v>114</v>
      </c>
      <c r="G976">
        <v>16.32</v>
      </c>
      <c r="H976">
        <v>4.8600000000000003</v>
      </c>
      <c r="I976">
        <v>5.73</v>
      </c>
      <c r="J976">
        <v>32.832900000000002</v>
      </c>
      <c r="K976" t="str">
        <f>IFERROR(INDEX(Rosters!$C$2:$C$155,MATCH($B976,Rosters!$B$2:$B$155,0)),"NA")</f>
        <v>aj</v>
      </c>
      <c r="L976" t="str">
        <f t="shared" si="45"/>
        <v>aj8TE</v>
      </c>
      <c r="M976">
        <f>COUNTIF(L$1:L976,L976)</f>
        <v>1</v>
      </c>
      <c r="N976" t="str">
        <f t="shared" si="46"/>
        <v>aj8TE-1</v>
      </c>
      <c r="O976">
        <f>COUNTIFS(F$1:F976,F976,A$1:A976,A976)</f>
        <v>1</v>
      </c>
      <c r="P976" t="str">
        <f t="shared" si="47"/>
        <v>Travis Kelce8</v>
      </c>
    </row>
    <row r="977" spans="1:16" x14ac:dyDescent="0.25">
      <c r="A977">
        <v>15</v>
      </c>
      <c r="B977" t="s">
        <v>86</v>
      </c>
      <c r="C977" t="s">
        <v>6401</v>
      </c>
      <c r="D977">
        <v>10.58</v>
      </c>
      <c r="E977" t="s">
        <v>38</v>
      </c>
      <c r="F977" t="s">
        <v>87</v>
      </c>
      <c r="G977">
        <v>17.02</v>
      </c>
      <c r="H977">
        <v>4.1399999999999997</v>
      </c>
      <c r="I977">
        <v>6.44</v>
      </c>
      <c r="J977">
        <v>41.473599999999998</v>
      </c>
      <c r="K977" t="str">
        <f>IFERROR(INDEX(Rosters!$C$2:$C$155,MATCH($B977,Rosters!$B$2:$B$155,0)),"NA")</f>
        <v>seth</v>
      </c>
      <c r="L977" t="str">
        <f t="shared" si="45"/>
        <v>seth15WR</v>
      </c>
      <c r="M977">
        <f>COUNTIF(L$1:L977,L977)</f>
        <v>2</v>
      </c>
      <c r="N977" t="str">
        <f t="shared" si="46"/>
        <v>seth15WR-2</v>
      </c>
      <c r="O977">
        <f>COUNTIFS(F$1:F977,F977,A$1:A977,A977)</f>
        <v>13</v>
      </c>
      <c r="P977" t="str">
        <f t="shared" si="47"/>
        <v>Odell Beckham Jr.15</v>
      </c>
    </row>
    <row r="978" spans="1:16" x14ac:dyDescent="0.25">
      <c r="A978">
        <v>7</v>
      </c>
      <c r="B978" t="s">
        <v>110</v>
      </c>
      <c r="C978" t="s">
        <v>6402</v>
      </c>
      <c r="D978">
        <v>10.57</v>
      </c>
      <c r="E978" t="s">
        <v>77</v>
      </c>
      <c r="F978" t="s">
        <v>87</v>
      </c>
      <c r="G978">
        <v>17.25</v>
      </c>
      <c r="H978">
        <v>3.89</v>
      </c>
      <c r="I978">
        <v>6.68</v>
      </c>
      <c r="J978">
        <v>44.622399999999999</v>
      </c>
      <c r="K978" t="str">
        <f>IFERROR(INDEX(Rosters!$C$2:$C$155,MATCH($B978,Rosters!$B$2:$B$155,0)),"NA")</f>
        <v>cory</v>
      </c>
      <c r="L978" t="str">
        <f t="shared" si="45"/>
        <v>cory7WR</v>
      </c>
      <c r="M978">
        <f>COUNTIF(L$1:L978,L978)</f>
        <v>2</v>
      </c>
      <c r="N978" t="str">
        <f t="shared" si="46"/>
        <v>cory7WR-2</v>
      </c>
      <c r="O978">
        <f>COUNTIFS(F$1:F978,F978,A$1:A978,A978)</f>
        <v>12</v>
      </c>
      <c r="P978" t="str">
        <f t="shared" si="47"/>
        <v>Michael Thomas7</v>
      </c>
    </row>
    <row r="979" spans="1:16" x14ac:dyDescent="0.25">
      <c r="A979">
        <v>7</v>
      </c>
      <c r="B979" t="s">
        <v>89</v>
      </c>
      <c r="C979" t="s">
        <v>6403</v>
      </c>
      <c r="D979">
        <v>10.56</v>
      </c>
      <c r="E979" t="s">
        <v>74</v>
      </c>
      <c r="F979" t="s">
        <v>47</v>
      </c>
      <c r="G979">
        <v>17.989999999999998</v>
      </c>
      <c r="H979">
        <v>3.13</v>
      </c>
      <c r="I979">
        <v>7.43</v>
      </c>
      <c r="J979">
        <v>55.204900000000002</v>
      </c>
      <c r="K979" t="str">
        <f>IFERROR(INDEX(Rosters!$C$2:$C$155,MATCH($B979,Rosters!$B$2:$B$155,0)),"NA")</f>
        <v>matty</v>
      </c>
      <c r="L979" t="str">
        <f t="shared" si="45"/>
        <v>matty7RB</v>
      </c>
      <c r="M979">
        <f>COUNTIF(L$1:L979,L979)</f>
        <v>3</v>
      </c>
      <c r="N979" t="str">
        <f t="shared" si="46"/>
        <v>matty7RB-3</v>
      </c>
      <c r="O979">
        <f>COUNTIFS(F$1:F979,F979,A$1:A979,A979)</f>
        <v>15</v>
      </c>
      <c r="P979" t="str">
        <f t="shared" si="47"/>
        <v>Jay Ajayi7</v>
      </c>
    </row>
    <row r="980" spans="1:16" x14ac:dyDescent="0.25">
      <c r="A980">
        <v>11</v>
      </c>
      <c r="B980" t="s">
        <v>89</v>
      </c>
      <c r="C980" t="s">
        <v>6404</v>
      </c>
      <c r="D980">
        <v>10.55</v>
      </c>
      <c r="E980" t="s">
        <v>14</v>
      </c>
      <c r="F980" t="s">
        <v>47</v>
      </c>
      <c r="G980">
        <v>17.53</v>
      </c>
      <c r="H980">
        <v>3.57</v>
      </c>
      <c r="I980">
        <v>6.98</v>
      </c>
      <c r="J980">
        <v>48.720399999999998</v>
      </c>
      <c r="K980" t="str">
        <f>IFERROR(INDEX(Rosters!$C$2:$C$155,MATCH($B980,Rosters!$B$2:$B$155,0)),"NA")</f>
        <v>matty</v>
      </c>
      <c r="L980" t="str">
        <f t="shared" si="45"/>
        <v>matty11RB</v>
      </c>
      <c r="M980">
        <f>COUNTIF(L$1:L980,L980)</f>
        <v>3</v>
      </c>
      <c r="N980" t="str">
        <f t="shared" si="46"/>
        <v>matty11RB-3</v>
      </c>
      <c r="O980">
        <f>COUNTIFS(F$1:F980,F980,A$1:A980,A980)</f>
        <v>15</v>
      </c>
      <c r="P980" t="str">
        <f t="shared" si="47"/>
        <v>Jay Ajayi11</v>
      </c>
    </row>
    <row r="981" spans="1:16" x14ac:dyDescent="0.25">
      <c r="A981">
        <v>7</v>
      </c>
      <c r="B981" t="s">
        <v>248</v>
      </c>
      <c r="C981" t="s">
        <v>6405</v>
      </c>
      <c r="D981">
        <v>10.55</v>
      </c>
      <c r="E981" t="s">
        <v>30</v>
      </c>
      <c r="F981" t="s">
        <v>87</v>
      </c>
      <c r="G981">
        <v>17.309999999999999</v>
      </c>
      <c r="H981">
        <v>3.79</v>
      </c>
      <c r="I981">
        <v>6.76</v>
      </c>
      <c r="J981">
        <v>45.697600000000001</v>
      </c>
      <c r="K981" t="str">
        <f>IFERROR(INDEX(Rosters!$C$2:$C$155,MATCH($B981,Rosters!$B$2:$B$155,0)),"NA")</f>
        <v>matty</v>
      </c>
      <c r="L981" t="str">
        <f t="shared" si="45"/>
        <v>matty7WR</v>
      </c>
      <c r="M981">
        <f>COUNTIF(L$1:L981,L981)</f>
        <v>2</v>
      </c>
      <c r="N981" t="str">
        <f t="shared" si="46"/>
        <v>matty7WR-2</v>
      </c>
      <c r="O981">
        <f>COUNTIFS(F$1:F981,F981,A$1:A981,A981)</f>
        <v>13</v>
      </c>
      <c r="P981" t="str">
        <f t="shared" si="47"/>
        <v>Robert Woods7</v>
      </c>
    </row>
    <row r="982" spans="1:16" x14ac:dyDescent="0.25">
      <c r="A982">
        <v>1</v>
      </c>
      <c r="B982" t="s">
        <v>159</v>
      </c>
      <c r="C982" t="s">
        <v>1683</v>
      </c>
      <c r="D982">
        <v>10.52</v>
      </c>
      <c r="E982" t="s">
        <v>36</v>
      </c>
      <c r="F982" t="s">
        <v>87</v>
      </c>
      <c r="G982">
        <v>16.940000000000001</v>
      </c>
      <c r="H982">
        <v>4.0999999999999996</v>
      </c>
      <c r="I982">
        <v>6.42</v>
      </c>
      <c r="J982">
        <v>41.2164</v>
      </c>
      <c r="K982" t="str">
        <f>IFERROR(INDEX(Rosters!$C$2:$C$155,MATCH($B982,Rosters!$B$2:$B$155,0)),"NA")</f>
        <v>perry</v>
      </c>
      <c r="L982" t="str">
        <f t="shared" si="45"/>
        <v>perry1WR</v>
      </c>
      <c r="M982">
        <f>COUNTIF(L$1:L982,L982)</f>
        <v>1</v>
      </c>
      <c r="N982" t="str">
        <f t="shared" si="46"/>
        <v>perry1WR-1</v>
      </c>
      <c r="O982">
        <f>COUNTIFS(F$1:F982,F982,A$1:A982,A982)</f>
        <v>9</v>
      </c>
      <c r="P982" t="str">
        <f t="shared" si="47"/>
        <v>Chris Hogan1</v>
      </c>
    </row>
    <row r="983" spans="1:16" x14ac:dyDescent="0.25">
      <c r="A983">
        <v>2</v>
      </c>
      <c r="B983" t="s">
        <v>81</v>
      </c>
      <c r="C983" t="s">
        <v>3317</v>
      </c>
      <c r="D983">
        <v>10.52</v>
      </c>
      <c r="E983" t="s">
        <v>37</v>
      </c>
      <c r="F983" t="s">
        <v>47</v>
      </c>
      <c r="G983">
        <v>17.760000000000002</v>
      </c>
      <c r="H983">
        <v>3.28</v>
      </c>
      <c r="I983">
        <v>7.24</v>
      </c>
      <c r="J983">
        <v>52.4176</v>
      </c>
      <c r="K983" t="str">
        <f>IFERROR(INDEX(Rosters!$C$2:$C$155,MATCH($B983,Rosters!$B$2:$B$155,0)),"NA")</f>
        <v>aj</v>
      </c>
      <c r="L983" t="str">
        <f t="shared" si="45"/>
        <v>aj2RB</v>
      </c>
      <c r="M983">
        <f>COUNTIF(L$1:L983,L983)</f>
        <v>3</v>
      </c>
      <c r="N983" t="str">
        <f t="shared" si="46"/>
        <v>aj2RB-3</v>
      </c>
      <c r="O983">
        <f>COUNTIFS(F$1:F983,F983,A$1:A983,A983)</f>
        <v>15</v>
      </c>
      <c r="P983" t="str">
        <f t="shared" si="47"/>
        <v>LeSean McCoy2</v>
      </c>
    </row>
    <row r="984" spans="1:16" x14ac:dyDescent="0.25">
      <c r="A984">
        <v>9</v>
      </c>
      <c r="B984" t="s">
        <v>132</v>
      </c>
      <c r="C984" t="s">
        <v>6406</v>
      </c>
      <c r="D984">
        <v>10.52</v>
      </c>
      <c r="E984" t="s">
        <v>30</v>
      </c>
      <c r="F984" t="s">
        <v>47</v>
      </c>
      <c r="G984">
        <v>17.32</v>
      </c>
      <c r="H984">
        <v>3.72</v>
      </c>
      <c r="I984">
        <v>6.8</v>
      </c>
      <c r="J984">
        <v>46.24</v>
      </c>
      <c r="K984" t="str">
        <f>IFERROR(INDEX(Rosters!$C$2:$C$155,MATCH($B984,Rosters!$B$2:$B$155,0)),"NA")</f>
        <v>scott</v>
      </c>
      <c r="L984" t="str">
        <f t="shared" si="45"/>
        <v>scott9RB</v>
      </c>
      <c r="M984">
        <f>COUNTIF(L$1:L984,L984)</f>
        <v>3</v>
      </c>
      <c r="N984" t="str">
        <f t="shared" si="46"/>
        <v>scott9RB-3</v>
      </c>
      <c r="O984">
        <f>COUNTIFS(F$1:F984,F984,A$1:A984,A984)</f>
        <v>14</v>
      </c>
      <c r="P984" t="str">
        <f t="shared" si="47"/>
        <v>Marshawn Lynch9</v>
      </c>
    </row>
    <row r="985" spans="1:16" x14ac:dyDescent="0.25">
      <c r="A985">
        <v>8</v>
      </c>
      <c r="B985" t="s">
        <v>248</v>
      </c>
      <c r="C985" t="s">
        <v>6407</v>
      </c>
      <c r="D985">
        <v>10.52</v>
      </c>
      <c r="E985" t="s">
        <v>41</v>
      </c>
      <c r="F985" t="s">
        <v>87</v>
      </c>
      <c r="G985">
        <v>16.87</v>
      </c>
      <c r="H985">
        <v>4.17</v>
      </c>
      <c r="I985">
        <v>6.35</v>
      </c>
      <c r="J985">
        <v>40.322499999999998</v>
      </c>
      <c r="K985" t="str">
        <f>IFERROR(INDEX(Rosters!$C$2:$C$155,MATCH($B985,Rosters!$B$2:$B$155,0)),"NA")</f>
        <v>matty</v>
      </c>
      <c r="L985" t="str">
        <f t="shared" si="45"/>
        <v>matty8WR</v>
      </c>
      <c r="M985">
        <f>COUNTIF(L$1:L985,L985)</f>
        <v>2</v>
      </c>
      <c r="N985" t="str">
        <f t="shared" si="46"/>
        <v>matty8WR-2</v>
      </c>
      <c r="O985">
        <f>COUNTIFS(F$1:F985,F985,A$1:A985,A985)</f>
        <v>12</v>
      </c>
      <c r="P985" t="str">
        <f t="shared" si="47"/>
        <v>Robert Woods8</v>
      </c>
    </row>
    <row r="986" spans="1:16" x14ac:dyDescent="0.25">
      <c r="A986">
        <v>16</v>
      </c>
      <c r="B986" t="s">
        <v>1647</v>
      </c>
      <c r="C986" t="s">
        <v>6408</v>
      </c>
      <c r="D986">
        <v>10.51</v>
      </c>
      <c r="E986" t="s">
        <v>51</v>
      </c>
      <c r="F986" t="s">
        <v>47</v>
      </c>
      <c r="G986">
        <v>16.36</v>
      </c>
      <c r="H986">
        <v>4.66</v>
      </c>
      <c r="I986">
        <v>5.85</v>
      </c>
      <c r="J986">
        <v>34.222499999999997</v>
      </c>
      <c r="K986" t="str">
        <f>IFERROR(INDEX(Rosters!$C$2:$C$155,MATCH($B986,Rosters!$B$2:$B$155,0)),"NA")</f>
        <v>cory</v>
      </c>
      <c r="L986" t="str">
        <f t="shared" si="45"/>
        <v>cory16RB</v>
      </c>
      <c r="M986">
        <f>COUNTIF(L$1:L986,L986)</f>
        <v>2</v>
      </c>
      <c r="N986" t="str">
        <f t="shared" si="46"/>
        <v>cory16RB-2</v>
      </c>
      <c r="O986">
        <f>COUNTIFS(F$1:F986,F986,A$1:A986,A986)</f>
        <v>18</v>
      </c>
      <c r="P986" t="str">
        <f t="shared" si="47"/>
        <v>Mark Ingram II16</v>
      </c>
    </row>
    <row r="987" spans="1:16" x14ac:dyDescent="0.25">
      <c r="A987">
        <v>7</v>
      </c>
      <c r="B987" t="s">
        <v>228</v>
      </c>
      <c r="C987" t="s">
        <v>6409</v>
      </c>
      <c r="D987">
        <v>10.51</v>
      </c>
      <c r="E987" t="s">
        <v>56</v>
      </c>
      <c r="F987" t="s">
        <v>47</v>
      </c>
      <c r="G987">
        <v>16.47</v>
      </c>
      <c r="H987">
        <v>4.55</v>
      </c>
      <c r="I987">
        <v>5.96</v>
      </c>
      <c r="J987">
        <v>35.521599999999999</v>
      </c>
      <c r="K987" t="str">
        <f>IFERROR(INDEX(Rosters!$C$2:$C$155,MATCH($B987,Rosters!$B$2:$B$155,0)),"NA")</f>
        <v>perry</v>
      </c>
      <c r="L987" t="str">
        <f t="shared" si="45"/>
        <v>perry7RB</v>
      </c>
      <c r="M987">
        <f>COUNTIF(L$1:L987,L987)</f>
        <v>2</v>
      </c>
      <c r="N987" t="str">
        <f t="shared" si="46"/>
        <v>perry7RB-2</v>
      </c>
      <c r="O987">
        <f>COUNTIFS(F$1:F987,F987,A$1:A987,A987)</f>
        <v>16</v>
      </c>
      <c r="P987" t="str">
        <f t="shared" si="47"/>
        <v>Matt Breida7</v>
      </c>
    </row>
    <row r="988" spans="1:16" x14ac:dyDescent="0.25">
      <c r="A988">
        <v>4</v>
      </c>
      <c r="B988" t="s">
        <v>122</v>
      </c>
      <c r="C988" t="s">
        <v>4450</v>
      </c>
      <c r="D988">
        <v>10.5</v>
      </c>
      <c r="E988" t="s">
        <v>22</v>
      </c>
      <c r="F988" t="s">
        <v>87</v>
      </c>
      <c r="G988">
        <v>17.059999999999999</v>
      </c>
      <c r="H988">
        <v>3.94</v>
      </c>
      <c r="I988">
        <v>6.56</v>
      </c>
      <c r="J988">
        <v>43.0336</v>
      </c>
      <c r="K988" t="str">
        <f>IFERROR(INDEX(Rosters!$C$2:$C$155,MATCH($B988,Rosters!$B$2:$B$155,0)),"NA")</f>
        <v>devon</v>
      </c>
      <c r="L988" t="str">
        <f t="shared" si="45"/>
        <v>devon4WR</v>
      </c>
      <c r="M988">
        <f>COUNTIF(L$1:L988,L988)</f>
        <v>1</v>
      </c>
      <c r="N988" t="str">
        <f t="shared" si="46"/>
        <v>devon4WR-1</v>
      </c>
      <c r="O988">
        <f>COUNTIFS(F$1:F988,F988,A$1:A988,A988)</f>
        <v>13</v>
      </c>
      <c r="P988" t="str">
        <f t="shared" si="47"/>
        <v>Golden Tate4</v>
      </c>
    </row>
    <row r="989" spans="1:16" x14ac:dyDescent="0.25">
      <c r="A989">
        <v>13</v>
      </c>
      <c r="B989" t="s">
        <v>104</v>
      </c>
      <c r="C989" t="s">
        <v>6410</v>
      </c>
      <c r="D989">
        <v>10.49</v>
      </c>
      <c r="E989" t="s">
        <v>42</v>
      </c>
      <c r="F989" t="s">
        <v>87</v>
      </c>
      <c r="G989">
        <v>16.510000000000002</v>
      </c>
      <c r="H989">
        <v>4.47</v>
      </c>
      <c r="I989">
        <v>6.02</v>
      </c>
      <c r="J989">
        <v>36.240400000000001</v>
      </c>
      <c r="K989" t="str">
        <f>IFERROR(INDEX(Rosters!$C$2:$C$155,MATCH($B989,Rosters!$B$2:$B$155,0)),"NA")</f>
        <v>devon</v>
      </c>
      <c r="L989" t="str">
        <f t="shared" si="45"/>
        <v>devon13WR</v>
      </c>
      <c r="M989">
        <f>COUNTIF(L$1:L989,L989)</f>
        <v>2</v>
      </c>
      <c r="N989" t="str">
        <f t="shared" si="46"/>
        <v>devon13WR-2</v>
      </c>
      <c r="O989">
        <f>COUNTIFS(F$1:F989,F989,A$1:A989,A989)</f>
        <v>12</v>
      </c>
      <c r="P989" t="str">
        <f t="shared" si="47"/>
        <v>A.J. Green13</v>
      </c>
    </row>
    <row r="990" spans="1:16" x14ac:dyDescent="0.25">
      <c r="A990">
        <v>15</v>
      </c>
      <c r="B990" t="s">
        <v>1105</v>
      </c>
      <c r="C990" t="s">
        <v>6411</v>
      </c>
      <c r="D990">
        <v>10.49</v>
      </c>
      <c r="E990" t="s">
        <v>423</v>
      </c>
      <c r="F990" t="s">
        <v>87</v>
      </c>
      <c r="G990">
        <v>16.170000000000002</v>
      </c>
      <c r="H990">
        <v>4.8099999999999996</v>
      </c>
      <c r="I990">
        <v>5.68</v>
      </c>
      <c r="J990">
        <v>32.2624</v>
      </c>
      <c r="K990" t="str">
        <f>IFERROR(INDEX(Rosters!$C$2:$C$155,MATCH($B990,Rosters!$B$2:$B$155,0)),"NA")</f>
        <v>scott</v>
      </c>
      <c r="L990" t="str">
        <f t="shared" si="45"/>
        <v>scott15WR</v>
      </c>
      <c r="M990">
        <f>COUNTIF(L$1:L990,L990)</f>
        <v>1</v>
      </c>
      <c r="N990" t="str">
        <f t="shared" si="46"/>
        <v>scott15WR-1</v>
      </c>
      <c r="O990">
        <f>COUNTIFS(F$1:F990,F990,A$1:A990,A990)</f>
        <v>14</v>
      </c>
      <c r="P990" t="str">
        <f t="shared" si="47"/>
        <v>JuJu Smith-Schuster15</v>
      </c>
    </row>
    <row r="991" spans="1:16" x14ac:dyDescent="0.25">
      <c r="A991">
        <v>1</v>
      </c>
      <c r="B991" t="s">
        <v>81</v>
      </c>
      <c r="C991" t="s">
        <v>1315</v>
      </c>
      <c r="D991">
        <v>10.49</v>
      </c>
      <c r="E991" t="s">
        <v>77</v>
      </c>
      <c r="F991" t="s">
        <v>47</v>
      </c>
      <c r="G991">
        <v>18.100000000000001</v>
      </c>
      <c r="H991">
        <v>2.88</v>
      </c>
      <c r="I991">
        <v>7.61</v>
      </c>
      <c r="J991">
        <v>57.912100000000002</v>
      </c>
      <c r="K991" t="str">
        <f>IFERROR(INDEX(Rosters!$C$2:$C$155,MATCH($B991,Rosters!$B$2:$B$155,0)),"NA")</f>
        <v>aj</v>
      </c>
      <c r="L991" t="str">
        <f t="shared" si="45"/>
        <v>aj1RB</v>
      </c>
      <c r="M991">
        <f>COUNTIF(L$1:L991,L991)</f>
        <v>4</v>
      </c>
      <c r="N991" t="str">
        <f t="shared" si="46"/>
        <v>aj1RB-4</v>
      </c>
      <c r="O991">
        <f>COUNTIFS(F$1:F991,F991,A$1:A991,A991)</f>
        <v>15</v>
      </c>
      <c r="P991" t="str">
        <f t="shared" si="47"/>
        <v>LeSean McCoy1</v>
      </c>
    </row>
    <row r="992" spans="1:16" x14ac:dyDescent="0.25">
      <c r="A992">
        <v>8</v>
      </c>
      <c r="B992" t="s">
        <v>613</v>
      </c>
      <c r="C992" t="s">
        <v>6412</v>
      </c>
      <c r="D992">
        <v>10.47</v>
      </c>
      <c r="E992" t="s">
        <v>28</v>
      </c>
      <c r="F992" t="s">
        <v>87</v>
      </c>
      <c r="G992">
        <v>16.899999999999999</v>
      </c>
      <c r="H992">
        <v>4.04</v>
      </c>
      <c r="I992">
        <v>6.43</v>
      </c>
      <c r="J992">
        <v>41.344900000000003</v>
      </c>
      <c r="K992" t="str">
        <f>IFERROR(INDEX(Rosters!$C$2:$C$155,MATCH($B992,Rosters!$B$2:$B$155,0)),"NA")</f>
        <v>matty</v>
      </c>
      <c r="L992" t="str">
        <f t="shared" si="45"/>
        <v>matty8WR</v>
      </c>
      <c r="M992">
        <f>COUNTIF(L$1:L992,L992)</f>
        <v>3</v>
      </c>
      <c r="N992" t="str">
        <f t="shared" si="46"/>
        <v>matty8WR-3</v>
      </c>
      <c r="O992">
        <f>COUNTIFS(F$1:F992,F992,A$1:A992,A992)</f>
        <v>13</v>
      </c>
      <c r="P992" t="str">
        <f t="shared" si="47"/>
        <v>Marvin Jones Jr.8</v>
      </c>
    </row>
    <row r="993" spans="1:16" x14ac:dyDescent="0.25">
      <c r="A993">
        <v>4</v>
      </c>
      <c r="B993" t="s">
        <v>1275</v>
      </c>
      <c r="C993" t="s">
        <v>4451</v>
      </c>
      <c r="D993">
        <v>10.47</v>
      </c>
      <c r="E993" t="s">
        <v>76</v>
      </c>
      <c r="F993" t="s">
        <v>15</v>
      </c>
      <c r="G993">
        <v>16.420000000000002</v>
      </c>
      <c r="H993">
        <v>4.5199999999999996</v>
      </c>
      <c r="I993">
        <v>5.95</v>
      </c>
      <c r="J993">
        <v>35.402500000000003</v>
      </c>
      <c r="K993" t="str">
        <f>IFERROR(INDEX(Rosters!$C$2:$C$155,MATCH($B993,Rosters!$B$2:$B$155,0)),"NA")</f>
        <v>NA</v>
      </c>
      <c r="L993" t="str">
        <f t="shared" si="45"/>
        <v>NA4QB</v>
      </c>
      <c r="M993">
        <f>COUNTIF(L$1:L993,L993)</f>
        <v>15</v>
      </c>
      <c r="N993" t="str">
        <f t="shared" si="46"/>
        <v>NA4QB-15</v>
      </c>
      <c r="O993">
        <f>COUNTIFS(F$1:F993,F993,A$1:A993,A993)</f>
        <v>30</v>
      </c>
      <c r="P993" t="str">
        <f t="shared" si="47"/>
        <v>Sam Darnold4</v>
      </c>
    </row>
    <row r="994" spans="1:16" x14ac:dyDescent="0.25">
      <c r="A994">
        <v>14</v>
      </c>
      <c r="B994" t="s">
        <v>123</v>
      </c>
      <c r="C994" t="s">
        <v>6413</v>
      </c>
      <c r="D994">
        <v>10.45</v>
      </c>
      <c r="E994" t="s">
        <v>37</v>
      </c>
      <c r="F994" t="s">
        <v>47</v>
      </c>
      <c r="G994">
        <v>19.48</v>
      </c>
      <c r="H994">
        <v>1.42</v>
      </c>
      <c r="I994">
        <v>9.0299999999999994</v>
      </c>
      <c r="J994">
        <v>81.540899999999993</v>
      </c>
      <c r="K994" t="str">
        <f>IFERROR(INDEX(Rosters!$C$2:$C$155,MATCH($B994,Rosters!$B$2:$B$155,0)),"NA")</f>
        <v>aj</v>
      </c>
      <c r="L994" t="str">
        <f t="shared" si="45"/>
        <v>aj14RB</v>
      </c>
      <c r="M994">
        <f>COUNTIF(L$1:L994,L994)</f>
        <v>2</v>
      </c>
      <c r="N994" t="str">
        <f t="shared" si="46"/>
        <v>aj14RB-2</v>
      </c>
      <c r="O994">
        <f>COUNTIFS(F$1:F994,F994,A$1:A994,A994)</f>
        <v>17</v>
      </c>
      <c r="P994" t="str">
        <f t="shared" si="47"/>
        <v>Joe Mixon14</v>
      </c>
    </row>
    <row r="995" spans="1:16" x14ac:dyDescent="0.25">
      <c r="A995">
        <v>12</v>
      </c>
      <c r="B995" t="s">
        <v>1288</v>
      </c>
      <c r="C995" t="s">
        <v>6414</v>
      </c>
      <c r="D995">
        <v>10.44</v>
      </c>
      <c r="E995" t="s">
        <v>50</v>
      </c>
      <c r="F995" t="s">
        <v>47</v>
      </c>
      <c r="G995">
        <v>17.239999999999998</v>
      </c>
      <c r="H995">
        <v>3.64</v>
      </c>
      <c r="I995">
        <v>6.8</v>
      </c>
      <c r="J995">
        <v>46.24</v>
      </c>
      <c r="K995" t="str">
        <f>IFERROR(INDEX(Rosters!$C$2:$C$155,MATCH($B995,Rosters!$B$2:$B$155,0)),"NA")</f>
        <v>lucas</v>
      </c>
      <c r="L995" t="str">
        <f t="shared" si="45"/>
        <v>lucas12RB</v>
      </c>
      <c r="M995">
        <f>COUNTIF(L$1:L995,L995)</f>
        <v>1</v>
      </c>
      <c r="N995" t="str">
        <f t="shared" si="46"/>
        <v>lucas12RB-1</v>
      </c>
      <c r="O995">
        <f>COUNTIFS(F$1:F995,F995,A$1:A995,A995)</f>
        <v>14</v>
      </c>
      <c r="P995" t="str">
        <f t="shared" si="47"/>
        <v>Saquon Barkley12</v>
      </c>
    </row>
    <row r="996" spans="1:16" x14ac:dyDescent="0.25">
      <c r="A996">
        <v>17</v>
      </c>
      <c r="B996" t="s">
        <v>256</v>
      </c>
      <c r="C996" t="s">
        <v>6415</v>
      </c>
      <c r="D996">
        <v>10.43</v>
      </c>
      <c r="E996" t="s">
        <v>30</v>
      </c>
      <c r="F996" t="s">
        <v>87</v>
      </c>
      <c r="G996">
        <v>17.07</v>
      </c>
      <c r="H996">
        <v>3.79</v>
      </c>
      <c r="I996">
        <v>6.64</v>
      </c>
      <c r="J996">
        <v>44.089599999999997</v>
      </c>
      <c r="K996" t="str">
        <f>IFERROR(INDEX(Rosters!$C$2:$C$155,MATCH($B996,Rosters!$B$2:$B$155,0)),"NA")</f>
        <v>lucas</v>
      </c>
      <c r="L996" t="str">
        <f t="shared" si="45"/>
        <v>lucas17WR</v>
      </c>
      <c r="M996">
        <f>COUNTIF(L$1:L996,L996)</f>
        <v>1</v>
      </c>
      <c r="N996" t="str">
        <f t="shared" si="46"/>
        <v>lucas17WR-1</v>
      </c>
      <c r="O996">
        <f>COUNTIFS(F$1:F996,F996,A$1:A996,A996)</f>
        <v>17</v>
      </c>
      <c r="P996" t="str">
        <f t="shared" si="47"/>
        <v>Cooper Kupp17</v>
      </c>
    </row>
    <row r="997" spans="1:16" x14ac:dyDescent="0.25">
      <c r="A997">
        <v>14</v>
      </c>
      <c r="B997" t="s">
        <v>89</v>
      </c>
      <c r="C997" t="s">
        <v>6416</v>
      </c>
      <c r="D997">
        <v>10.42</v>
      </c>
      <c r="E997" t="s">
        <v>22</v>
      </c>
      <c r="F997" t="s">
        <v>47</v>
      </c>
      <c r="G997">
        <v>17.920000000000002</v>
      </c>
      <c r="H997">
        <v>2.92</v>
      </c>
      <c r="I997">
        <v>7.5</v>
      </c>
      <c r="J997">
        <v>56.25</v>
      </c>
      <c r="K997" t="str">
        <f>IFERROR(INDEX(Rosters!$C$2:$C$155,MATCH($B997,Rosters!$B$2:$B$155,0)),"NA")</f>
        <v>matty</v>
      </c>
      <c r="L997" t="str">
        <f t="shared" si="45"/>
        <v>matty14RB</v>
      </c>
      <c r="M997">
        <f>COUNTIF(L$1:L997,L997)</f>
        <v>3</v>
      </c>
      <c r="N997" t="str">
        <f t="shared" si="46"/>
        <v>matty14RB-3</v>
      </c>
      <c r="O997">
        <f>COUNTIFS(F$1:F997,F997,A$1:A997,A997)</f>
        <v>18</v>
      </c>
      <c r="P997" t="str">
        <f t="shared" si="47"/>
        <v>Jay Ajayi14</v>
      </c>
    </row>
    <row r="998" spans="1:16" x14ac:dyDescent="0.25">
      <c r="A998">
        <v>2</v>
      </c>
      <c r="B998" t="s">
        <v>154</v>
      </c>
      <c r="C998" t="s">
        <v>1316</v>
      </c>
      <c r="D998">
        <v>10.42</v>
      </c>
      <c r="E998" t="s">
        <v>29</v>
      </c>
      <c r="F998" t="s">
        <v>87</v>
      </c>
      <c r="G998">
        <v>16.62</v>
      </c>
      <c r="H998">
        <v>4.22</v>
      </c>
      <c r="I998">
        <v>6.2</v>
      </c>
      <c r="J998">
        <v>38.44</v>
      </c>
      <c r="K998" t="str">
        <f>IFERROR(INDEX(Rosters!$C$2:$C$155,MATCH($B998,Rosters!$B$2:$B$155,0)),"NA")</f>
        <v>chad</v>
      </c>
      <c r="L998" t="str">
        <f t="shared" si="45"/>
        <v>chad2WR</v>
      </c>
      <c r="M998">
        <f>COUNTIF(L$1:L998,L998)</f>
        <v>1</v>
      </c>
      <c r="N998" t="str">
        <f t="shared" si="46"/>
        <v>chad2WR-1</v>
      </c>
      <c r="O998">
        <f>COUNTIFS(F$1:F998,F998,A$1:A998,A998)</f>
        <v>10</v>
      </c>
      <c r="P998" t="str">
        <f t="shared" si="47"/>
        <v>Keenan Allen2</v>
      </c>
    </row>
    <row r="999" spans="1:16" x14ac:dyDescent="0.25">
      <c r="A999">
        <v>14</v>
      </c>
      <c r="B999" t="s">
        <v>248</v>
      </c>
      <c r="C999" t="s">
        <v>6417</v>
      </c>
      <c r="D999">
        <v>10.41</v>
      </c>
      <c r="E999" t="s">
        <v>72</v>
      </c>
      <c r="F999" t="s">
        <v>87</v>
      </c>
      <c r="G999">
        <v>16.13</v>
      </c>
      <c r="H999">
        <v>4.6900000000000004</v>
      </c>
      <c r="I999">
        <v>5.72</v>
      </c>
      <c r="J999">
        <v>32.718400000000003</v>
      </c>
      <c r="K999" t="str">
        <f>IFERROR(INDEX(Rosters!$C$2:$C$155,MATCH($B999,Rosters!$B$2:$B$155,0)),"NA")</f>
        <v>matty</v>
      </c>
      <c r="L999" t="str">
        <f t="shared" si="45"/>
        <v>matty14WR</v>
      </c>
      <c r="M999">
        <f>COUNTIF(L$1:L999,L999)</f>
        <v>2</v>
      </c>
      <c r="N999" t="str">
        <f t="shared" si="46"/>
        <v>matty14WR-2</v>
      </c>
      <c r="O999">
        <f>COUNTIFS(F$1:F999,F999,A$1:A999,A999)</f>
        <v>14</v>
      </c>
      <c r="P999" t="str">
        <f t="shared" si="47"/>
        <v>Robert Woods14</v>
      </c>
    </row>
    <row r="1000" spans="1:16" x14ac:dyDescent="0.25">
      <c r="A1000">
        <v>3</v>
      </c>
      <c r="B1000" t="s">
        <v>1387</v>
      </c>
      <c r="C1000" t="s">
        <v>4197</v>
      </c>
      <c r="D1000">
        <v>10.4</v>
      </c>
      <c r="E1000" t="s">
        <v>66</v>
      </c>
      <c r="F1000" t="s">
        <v>47</v>
      </c>
      <c r="G1000">
        <v>18.21</v>
      </c>
      <c r="H1000">
        <v>2.59</v>
      </c>
      <c r="I1000">
        <v>7.81</v>
      </c>
      <c r="J1000">
        <v>60.996099999999998</v>
      </c>
      <c r="K1000" t="str">
        <f>IFERROR(INDEX(Rosters!$C$2:$C$155,MATCH($B1000,Rosters!$B$2:$B$155,0)),"NA")</f>
        <v>NA</v>
      </c>
      <c r="L1000" t="str">
        <f t="shared" si="45"/>
        <v>NA3RB</v>
      </c>
      <c r="M1000">
        <f>COUNTIF(L$1:L1000,L1000)</f>
        <v>1</v>
      </c>
      <c r="N1000" t="str">
        <f t="shared" si="46"/>
        <v>NA3RB-1</v>
      </c>
      <c r="O1000">
        <f>COUNTIFS(F$1:F1000,F1000,A$1:A1000,A1000)</f>
        <v>15</v>
      </c>
      <c r="P1000" t="str">
        <f t="shared" si="47"/>
        <v>Corey Clement3</v>
      </c>
    </row>
    <row r="1001" spans="1:16" x14ac:dyDescent="0.25">
      <c r="A1001">
        <v>4</v>
      </c>
      <c r="B1001" t="s">
        <v>1105</v>
      </c>
      <c r="C1001" t="s">
        <v>4452</v>
      </c>
      <c r="D1001">
        <v>10.4</v>
      </c>
      <c r="E1001" t="s">
        <v>77</v>
      </c>
      <c r="F1001" t="s">
        <v>87</v>
      </c>
      <c r="G1001">
        <v>16.11</v>
      </c>
      <c r="H1001">
        <v>4.6900000000000004</v>
      </c>
      <c r="I1001">
        <v>5.71</v>
      </c>
      <c r="J1001">
        <v>32.604100000000003</v>
      </c>
      <c r="K1001" t="str">
        <f>IFERROR(INDEX(Rosters!$C$2:$C$155,MATCH($B1001,Rosters!$B$2:$B$155,0)),"NA")</f>
        <v>scott</v>
      </c>
      <c r="L1001" t="str">
        <f t="shared" si="45"/>
        <v>scott4WR</v>
      </c>
      <c r="M1001">
        <f>COUNTIF(L$1:L1001,L1001)</f>
        <v>1</v>
      </c>
      <c r="N1001" t="str">
        <f t="shared" si="46"/>
        <v>scott4WR-1</v>
      </c>
      <c r="O1001">
        <f>COUNTIFS(F$1:F1001,F1001,A$1:A1001,A1001)</f>
        <v>14</v>
      </c>
      <c r="P1001" t="str">
        <f t="shared" si="47"/>
        <v>JuJu Smith-Schuster4</v>
      </c>
    </row>
    <row r="1002" spans="1:16" x14ac:dyDescent="0.25">
      <c r="A1002">
        <v>15</v>
      </c>
      <c r="B1002" t="s">
        <v>132</v>
      </c>
      <c r="C1002" t="s">
        <v>6418</v>
      </c>
      <c r="D1002">
        <v>10.4</v>
      </c>
      <c r="E1002" t="s">
        <v>31</v>
      </c>
      <c r="F1002" t="s">
        <v>47</v>
      </c>
      <c r="G1002">
        <v>17.329999999999998</v>
      </c>
      <c r="H1002">
        <v>3.47</v>
      </c>
      <c r="I1002">
        <v>6.93</v>
      </c>
      <c r="J1002">
        <v>48.024900000000002</v>
      </c>
      <c r="K1002" t="str">
        <f>IFERROR(INDEX(Rosters!$C$2:$C$155,MATCH($B1002,Rosters!$B$2:$B$155,0)),"NA")</f>
        <v>scott</v>
      </c>
      <c r="L1002" t="str">
        <f t="shared" si="45"/>
        <v>scott15RB</v>
      </c>
      <c r="M1002">
        <f>COUNTIF(L$1:L1002,L1002)</f>
        <v>3</v>
      </c>
      <c r="N1002" t="str">
        <f t="shared" si="46"/>
        <v>scott15RB-3</v>
      </c>
      <c r="O1002">
        <f>COUNTIFS(F$1:F1002,F1002,A$1:A1002,A1002)</f>
        <v>16</v>
      </c>
      <c r="P1002" t="str">
        <f t="shared" si="47"/>
        <v>Marshawn Lynch15</v>
      </c>
    </row>
    <row r="1003" spans="1:16" x14ac:dyDescent="0.25">
      <c r="A1003">
        <v>5</v>
      </c>
      <c r="B1003" t="s">
        <v>130</v>
      </c>
      <c r="C1003" t="s">
        <v>6419</v>
      </c>
      <c r="D1003">
        <v>10.39</v>
      </c>
      <c r="E1003" t="s">
        <v>77</v>
      </c>
      <c r="F1003" t="s">
        <v>47</v>
      </c>
      <c r="G1003">
        <v>16.059999999999999</v>
      </c>
      <c r="H1003">
        <v>4.72</v>
      </c>
      <c r="I1003">
        <v>5.67</v>
      </c>
      <c r="J1003">
        <v>32.148899999999998</v>
      </c>
      <c r="K1003" t="str">
        <f>IFERROR(INDEX(Rosters!$C$2:$C$155,MATCH($B1003,Rosters!$B$2:$B$155,0)),"NA")</f>
        <v>cory</v>
      </c>
      <c r="L1003" t="str">
        <f t="shared" si="45"/>
        <v>cory5RB</v>
      </c>
      <c r="M1003">
        <f>COUNTIF(L$1:L1003,L1003)</f>
        <v>2</v>
      </c>
      <c r="N1003" t="str">
        <f t="shared" si="46"/>
        <v>cory5RB-2</v>
      </c>
      <c r="O1003">
        <f>COUNTIFS(F$1:F1003,F1003,A$1:A1003,A1003)</f>
        <v>16</v>
      </c>
      <c r="P1003" t="str">
        <f t="shared" si="47"/>
        <v>Carlos Hyde5</v>
      </c>
    </row>
    <row r="1004" spans="1:16" x14ac:dyDescent="0.25">
      <c r="A1004">
        <v>1</v>
      </c>
      <c r="B1004" t="s">
        <v>90</v>
      </c>
      <c r="C1004" t="s">
        <v>1317</v>
      </c>
      <c r="D1004">
        <v>10.38</v>
      </c>
      <c r="E1004" t="s">
        <v>50</v>
      </c>
      <c r="F1004" t="s">
        <v>47</v>
      </c>
      <c r="G1004">
        <v>16.440000000000001</v>
      </c>
      <c r="H1004">
        <v>4.32</v>
      </c>
      <c r="I1004">
        <v>6.06</v>
      </c>
      <c r="J1004">
        <v>36.723599999999998</v>
      </c>
      <c r="K1004" t="str">
        <f>IFERROR(INDEX(Rosters!$C$2:$C$155,MATCH($B1004,Rosters!$B$2:$B$155,0)),"NA")</f>
        <v>devon</v>
      </c>
      <c r="L1004" t="str">
        <f t="shared" si="45"/>
        <v>devon1RB</v>
      </c>
      <c r="M1004">
        <f>COUNTIF(L$1:L1004,L1004)</f>
        <v>2</v>
      </c>
      <c r="N1004" t="str">
        <f t="shared" si="46"/>
        <v>devon1RB-2</v>
      </c>
      <c r="O1004">
        <f>COUNTIFS(F$1:F1004,F1004,A$1:A1004,A1004)</f>
        <v>16</v>
      </c>
      <c r="P1004" t="str">
        <f t="shared" si="47"/>
        <v>Devonta Freeman1</v>
      </c>
    </row>
    <row r="1005" spans="1:16" x14ac:dyDescent="0.25">
      <c r="A1005">
        <v>10</v>
      </c>
      <c r="B1005" t="s">
        <v>134</v>
      </c>
      <c r="C1005" t="s">
        <v>6420</v>
      </c>
      <c r="D1005">
        <v>10.38</v>
      </c>
      <c r="E1005" t="s">
        <v>46</v>
      </c>
      <c r="F1005" t="s">
        <v>87</v>
      </c>
      <c r="G1005">
        <v>17.260000000000002</v>
      </c>
      <c r="H1005">
        <v>3.5</v>
      </c>
      <c r="I1005">
        <v>6.88</v>
      </c>
      <c r="J1005">
        <v>47.334400000000002</v>
      </c>
      <c r="K1005" t="str">
        <f>IFERROR(INDEX(Rosters!$C$2:$C$155,MATCH($B1005,Rosters!$B$2:$B$155,0)),"NA")</f>
        <v>cory</v>
      </c>
      <c r="L1005" t="str">
        <f t="shared" si="45"/>
        <v>cory10WR</v>
      </c>
      <c r="M1005">
        <f>COUNTIF(L$1:L1005,L1005)</f>
        <v>3</v>
      </c>
      <c r="N1005" t="str">
        <f t="shared" si="46"/>
        <v>cory10WR-3</v>
      </c>
      <c r="O1005">
        <f>COUNTIFS(F$1:F1005,F1005,A$1:A1005,A1005)</f>
        <v>12</v>
      </c>
      <c r="P1005" t="str">
        <f t="shared" si="47"/>
        <v>Jarvis Landry10</v>
      </c>
    </row>
    <row r="1006" spans="1:16" x14ac:dyDescent="0.25">
      <c r="A1006">
        <v>8</v>
      </c>
      <c r="B1006" t="s">
        <v>1352</v>
      </c>
      <c r="C1006" t="s">
        <v>6421</v>
      </c>
      <c r="D1006">
        <v>10.38</v>
      </c>
      <c r="E1006" t="s">
        <v>29</v>
      </c>
      <c r="F1006" t="s">
        <v>47</v>
      </c>
      <c r="G1006">
        <v>16.97</v>
      </c>
      <c r="H1006">
        <v>3.79</v>
      </c>
      <c r="I1006">
        <v>6.59</v>
      </c>
      <c r="J1006">
        <v>43.428100000000001</v>
      </c>
      <c r="K1006" t="str">
        <f>IFERROR(INDEX(Rosters!$C$2:$C$155,MATCH($B1006,Rosters!$B$2:$B$155,0)),"NA")</f>
        <v>devon</v>
      </c>
      <c r="L1006" t="str">
        <f t="shared" si="45"/>
        <v>devon8RB</v>
      </c>
      <c r="M1006">
        <f>COUNTIF(L$1:L1006,L1006)</f>
        <v>2</v>
      </c>
      <c r="N1006" t="str">
        <f t="shared" si="46"/>
        <v>devon8RB-2</v>
      </c>
      <c r="O1006">
        <f>COUNTIFS(F$1:F1006,F1006,A$1:A1006,A1006)</f>
        <v>13</v>
      </c>
      <c r="P1006" t="str">
        <f t="shared" si="47"/>
        <v>Sony Michel8</v>
      </c>
    </row>
    <row r="1007" spans="1:16" x14ac:dyDescent="0.25">
      <c r="A1007">
        <v>5</v>
      </c>
      <c r="B1007" t="s">
        <v>133</v>
      </c>
      <c r="C1007" t="s">
        <v>6422</v>
      </c>
      <c r="D1007">
        <v>10.38</v>
      </c>
      <c r="E1007" t="s">
        <v>50</v>
      </c>
      <c r="F1007" t="s">
        <v>87</v>
      </c>
      <c r="G1007">
        <v>17.5</v>
      </c>
      <c r="H1007">
        <v>3.26</v>
      </c>
      <c r="I1007">
        <v>7.12</v>
      </c>
      <c r="J1007">
        <v>50.694400000000002</v>
      </c>
      <c r="K1007" t="str">
        <f>IFERROR(INDEX(Rosters!$C$2:$C$155,MATCH($B1007,Rosters!$B$2:$B$155,0)),"NA")</f>
        <v>aj</v>
      </c>
      <c r="L1007" t="str">
        <f t="shared" si="45"/>
        <v>aj5WR</v>
      </c>
      <c r="M1007">
        <f>COUNTIF(L$1:L1007,L1007)</f>
        <v>2</v>
      </c>
      <c r="N1007" t="str">
        <f t="shared" si="46"/>
        <v>aj5WR-2</v>
      </c>
      <c r="O1007">
        <f>COUNTIFS(F$1:F1007,F1007,A$1:A1007,A1007)</f>
        <v>13</v>
      </c>
      <c r="P1007" t="str">
        <f t="shared" si="47"/>
        <v>Stefon Diggs5</v>
      </c>
    </row>
    <row r="1008" spans="1:16" x14ac:dyDescent="0.25">
      <c r="A1008">
        <v>10</v>
      </c>
      <c r="B1008" t="s">
        <v>104</v>
      </c>
      <c r="C1008" t="s">
        <v>6423</v>
      </c>
      <c r="D1008">
        <v>10.37</v>
      </c>
      <c r="E1008" t="s">
        <v>14</v>
      </c>
      <c r="F1008" t="s">
        <v>87</v>
      </c>
      <c r="G1008">
        <v>15.88</v>
      </c>
      <c r="H1008">
        <v>4.8600000000000003</v>
      </c>
      <c r="I1008">
        <v>5.51</v>
      </c>
      <c r="J1008">
        <v>30.360099999999999</v>
      </c>
      <c r="K1008" t="str">
        <f>IFERROR(INDEX(Rosters!$C$2:$C$155,MATCH($B1008,Rosters!$B$2:$B$155,0)),"NA")</f>
        <v>devon</v>
      </c>
      <c r="L1008" t="str">
        <f t="shared" si="45"/>
        <v>devon10WR</v>
      </c>
      <c r="M1008">
        <f>COUNTIF(L$1:L1008,L1008)</f>
        <v>1</v>
      </c>
      <c r="N1008" t="str">
        <f t="shared" si="46"/>
        <v>devon10WR-1</v>
      </c>
      <c r="O1008">
        <f>COUNTIFS(F$1:F1008,F1008,A$1:A1008,A1008)</f>
        <v>13</v>
      </c>
      <c r="P1008" t="str">
        <f t="shared" si="47"/>
        <v>A.J. Green10</v>
      </c>
    </row>
    <row r="1009" spans="1:16" x14ac:dyDescent="0.25">
      <c r="A1009">
        <v>17</v>
      </c>
      <c r="B1009" t="s">
        <v>89</v>
      </c>
      <c r="C1009" t="s">
        <v>6424</v>
      </c>
      <c r="D1009">
        <v>10.37</v>
      </c>
      <c r="E1009" t="s">
        <v>60</v>
      </c>
      <c r="F1009" t="s">
        <v>47</v>
      </c>
      <c r="G1009">
        <v>18.350000000000001</v>
      </c>
      <c r="H1009">
        <v>2.39</v>
      </c>
      <c r="I1009">
        <v>7.98</v>
      </c>
      <c r="J1009">
        <v>63.680399999999999</v>
      </c>
      <c r="K1009" t="str">
        <f>IFERROR(INDEX(Rosters!$C$2:$C$155,MATCH($B1009,Rosters!$B$2:$B$155,0)),"NA")</f>
        <v>matty</v>
      </c>
      <c r="L1009" t="str">
        <f t="shared" si="45"/>
        <v>matty17RB</v>
      </c>
      <c r="M1009">
        <f>COUNTIF(L$1:L1009,L1009)</f>
        <v>3</v>
      </c>
      <c r="N1009" t="str">
        <f t="shared" si="46"/>
        <v>matty17RB-3</v>
      </c>
      <c r="O1009">
        <f>COUNTIFS(F$1:F1009,F1009,A$1:A1009,A1009)</f>
        <v>17</v>
      </c>
      <c r="P1009" t="str">
        <f t="shared" si="47"/>
        <v>Jay Ajayi17</v>
      </c>
    </row>
    <row r="1010" spans="1:16" x14ac:dyDescent="0.25">
      <c r="A1010">
        <v>10</v>
      </c>
      <c r="B1010" t="s">
        <v>151</v>
      </c>
      <c r="C1010" t="s">
        <v>6425</v>
      </c>
      <c r="D1010">
        <v>10.37</v>
      </c>
      <c r="E1010" t="s">
        <v>58</v>
      </c>
      <c r="F1010" t="s">
        <v>114</v>
      </c>
      <c r="G1010">
        <v>15.98</v>
      </c>
      <c r="H1010">
        <v>4.76</v>
      </c>
      <c r="I1010">
        <v>5.61</v>
      </c>
      <c r="J1010">
        <v>31.472100000000001</v>
      </c>
      <c r="K1010" t="str">
        <f>IFERROR(INDEX(Rosters!$C$2:$C$155,MATCH($B1010,Rosters!$B$2:$B$155,0)),"NA")</f>
        <v>aj</v>
      </c>
      <c r="L1010" t="str">
        <f t="shared" si="45"/>
        <v>aj10TE</v>
      </c>
      <c r="M1010">
        <f>COUNTIF(L$1:L1010,L1010)</f>
        <v>1</v>
      </c>
      <c r="N1010" t="str">
        <f t="shared" si="46"/>
        <v>aj10TE-1</v>
      </c>
      <c r="O1010">
        <f>COUNTIFS(F$1:F1010,F1010,A$1:A1010,A1010)</f>
        <v>2</v>
      </c>
      <c r="P1010" t="str">
        <f t="shared" si="47"/>
        <v>Travis Kelce10</v>
      </c>
    </row>
    <row r="1011" spans="1:16" x14ac:dyDescent="0.25">
      <c r="A1011">
        <v>4</v>
      </c>
      <c r="B1011" t="s">
        <v>132</v>
      </c>
      <c r="C1011" t="s">
        <v>4453</v>
      </c>
      <c r="D1011">
        <v>10.35</v>
      </c>
      <c r="E1011" t="s">
        <v>52</v>
      </c>
      <c r="F1011" t="s">
        <v>47</v>
      </c>
      <c r="G1011">
        <v>18.5</v>
      </c>
      <c r="H1011">
        <v>2.2000000000000002</v>
      </c>
      <c r="I1011">
        <v>8.15</v>
      </c>
      <c r="J1011">
        <v>66.422499999999999</v>
      </c>
      <c r="K1011" t="str">
        <f>IFERROR(INDEX(Rosters!$C$2:$C$155,MATCH($B1011,Rosters!$B$2:$B$155,0)),"NA")</f>
        <v>scott</v>
      </c>
      <c r="L1011" t="str">
        <f t="shared" si="45"/>
        <v>scott4RB</v>
      </c>
      <c r="M1011">
        <f>COUNTIF(L$1:L1011,L1011)</f>
        <v>3</v>
      </c>
      <c r="N1011" t="str">
        <f t="shared" si="46"/>
        <v>scott4RB-3</v>
      </c>
      <c r="O1011">
        <f>COUNTIFS(F$1:F1011,F1011,A$1:A1011,A1011)</f>
        <v>15</v>
      </c>
      <c r="P1011" t="str">
        <f t="shared" si="47"/>
        <v>Marshawn Lynch4</v>
      </c>
    </row>
    <row r="1012" spans="1:16" x14ac:dyDescent="0.25">
      <c r="A1012">
        <v>12</v>
      </c>
      <c r="B1012" t="s">
        <v>104</v>
      </c>
      <c r="C1012" t="s">
        <v>6426</v>
      </c>
      <c r="D1012">
        <v>10.34</v>
      </c>
      <c r="E1012" t="s">
        <v>52</v>
      </c>
      <c r="F1012" t="s">
        <v>87</v>
      </c>
      <c r="G1012">
        <v>15.95</v>
      </c>
      <c r="H1012">
        <v>4.7300000000000004</v>
      </c>
      <c r="I1012">
        <v>5.61</v>
      </c>
      <c r="J1012">
        <v>31.472100000000001</v>
      </c>
      <c r="K1012" t="str">
        <f>IFERROR(INDEX(Rosters!$C$2:$C$155,MATCH($B1012,Rosters!$B$2:$B$155,0)),"NA")</f>
        <v>devon</v>
      </c>
      <c r="L1012" t="str">
        <f t="shared" si="45"/>
        <v>devon12WR</v>
      </c>
      <c r="M1012">
        <f>COUNTIF(L$1:L1012,L1012)</f>
        <v>1</v>
      </c>
      <c r="N1012" t="str">
        <f t="shared" si="46"/>
        <v>devon12WR-1</v>
      </c>
      <c r="O1012">
        <f>COUNTIFS(F$1:F1012,F1012,A$1:A1012,A1012)</f>
        <v>12</v>
      </c>
      <c r="P1012" t="str">
        <f t="shared" si="47"/>
        <v>A.J. Green12</v>
      </c>
    </row>
    <row r="1013" spans="1:16" x14ac:dyDescent="0.25">
      <c r="A1013">
        <v>10</v>
      </c>
      <c r="B1013" t="s">
        <v>158</v>
      </c>
      <c r="C1013" t="s">
        <v>6427</v>
      </c>
      <c r="D1013">
        <v>10.34</v>
      </c>
      <c r="E1013" t="s">
        <v>17</v>
      </c>
      <c r="F1013" t="s">
        <v>47</v>
      </c>
      <c r="G1013">
        <v>16.2</v>
      </c>
      <c r="H1013">
        <v>4.4800000000000004</v>
      </c>
      <c r="I1013">
        <v>5.86</v>
      </c>
      <c r="J1013">
        <v>34.339599999999997</v>
      </c>
      <c r="K1013" t="str">
        <f>IFERROR(INDEX(Rosters!$C$2:$C$155,MATCH($B1013,Rosters!$B$2:$B$155,0)),"NA")</f>
        <v>comp</v>
      </c>
      <c r="L1013" t="str">
        <f t="shared" si="45"/>
        <v>comp10RB</v>
      </c>
      <c r="M1013">
        <f>COUNTIF(L$1:L1013,L1013)</f>
        <v>1</v>
      </c>
      <c r="N1013" t="str">
        <f t="shared" si="46"/>
        <v>comp10RB-1</v>
      </c>
      <c r="O1013">
        <f>COUNTIFS(F$1:F1013,F1013,A$1:A1013,A1013)</f>
        <v>15</v>
      </c>
      <c r="P1013" t="str">
        <f t="shared" si="47"/>
        <v>Adrian Peterson10</v>
      </c>
    </row>
    <row r="1014" spans="1:16" x14ac:dyDescent="0.25">
      <c r="A1014">
        <v>8</v>
      </c>
      <c r="B1014" t="s">
        <v>122</v>
      </c>
      <c r="C1014" t="s">
        <v>6428</v>
      </c>
      <c r="D1014">
        <v>10.34</v>
      </c>
      <c r="E1014" t="s">
        <v>28</v>
      </c>
      <c r="F1014" t="s">
        <v>87</v>
      </c>
      <c r="G1014">
        <v>15.81</v>
      </c>
      <c r="H1014">
        <v>4.87</v>
      </c>
      <c r="I1014">
        <v>5.47</v>
      </c>
      <c r="J1014">
        <v>29.9209</v>
      </c>
      <c r="K1014" t="str">
        <f>IFERROR(INDEX(Rosters!$C$2:$C$155,MATCH($B1014,Rosters!$B$2:$B$155,0)),"NA")</f>
        <v>devon</v>
      </c>
      <c r="L1014" t="str">
        <f t="shared" si="45"/>
        <v>devon8WR</v>
      </c>
      <c r="M1014">
        <f>COUNTIF(L$1:L1014,L1014)</f>
        <v>2</v>
      </c>
      <c r="N1014" t="str">
        <f t="shared" si="46"/>
        <v>devon8WR-2</v>
      </c>
      <c r="O1014">
        <f>COUNTIFS(F$1:F1014,F1014,A$1:A1014,A1014)</f>
        <v>14</v>
      </c>
      <c r="P1014" t="str">
        <f t="shared" si="47"/>
        <v>Golden Tate8</v>
      </c>
    </row>
    <row r="1015" spans="1:16" x14ac:dyDescent="0.25">
      <c r="A1015">
        <v>5</v>
      </c>
      <c r="B1015" t="s">
        <v>193</v>
      </c>
      <c r="C1015" t="s">
        <v>6429</v>
      </c>
      <c r="D1015">
        <v>10.33</v>
      </c>
      <c r="E1015" t="s">
        <v>66</v>
      </c>
      <c r="F1015" t="s">
        <v>47</v>
      </c>
      <c r="G1015">
        <v>15.76</v>
      </c>
      <c r="H1015">
        <v>4.9000000000000004</v>
      </c>
      <c r="I1015">
        <v>5.43</v>
      </c>
      <c r="J1015">
        <v>29.4849</v>
      </c>
      <c r="K1015" t="str">
        <f>IFERROR(INDEX(Rosters!$C$2:$C$155,MATCH($B1015,Rosters!$B$2:$B$155,0)),"NA")</f>
        <v>cory</v>
      </c>
      <c r="L1015" t="str">
        <f t="shared" si="45"/>
        <v>cory5RB</v>
      </c>
      <c r="M1015">
        <f>COUNTIF(L$1:L1015,L1015)</f>
        <v>3</v>
      </c>
      <c r="N1015" t="str">
        <f t="shared" si="46"/>
        <v>cory5RB-3</v>
      </c>
      <c r="O1015">
        <f>COUNTIFS(F$1:F1015,F1015,A$1:A1015,A1015)</f>
        <v>17</v>
      </c>
      <c r="P1015" t="str">
        <f t="shared" si="47"/>
        <v>James White5</v>
      </c>
    </row>
    <row r="1016" spans="1:16" x14ac:dyDescent="0.25">
      <c r="A1016">
        <v>11</v>
      </c>
      <c r="B1016" t="s">
        <v>123</v>
      </c>
      <c r="C1016" t="s">
        <v>6430</v>
      </c>
      <c r="D1016">
        <v>10.32</v>
      </c>
      <c r="E1016" t="s">
        <v>77</v>
      </c>
      <c r="F1016" t="s">
        <v>47</v>
      </c>
      <c r="G1016">
        <v>19.260000000000002</v>
      </c>
      <c r="H1016">
        <v>1.38</v>
      </c>
      <c r="I1016">
        <v>8.94</v>
      </c>
      <c r="J1016">
        <v>79.923599999999993</v>
      </c>
      <c r="K1016" t="str">
        <f>IFERROR(INDEX(Rosters!$C$2:$C$155,MATCH($B1016,Rosters!$B$2:$B$155,0)),"NA")</f>
        <v>aj</v>
      </c>
      <c r="L1016" t="str">
        <f t="shared" si="45"/>
        <v>aj11RB</v>
      </c>
      <c r="M1016">
        <f>COUNTIF(L$1:L1016,L1016)</f>
        <v>2</v>
      </c>
      <c r="N1016" t="str">
        <f t="shared" si="46"/>
        <v>aj11RB-2</v>
      </c>
      <c r="O1016">
        <f>COUNTIFS(F$1:F1016,F1016,A$1:A1016,A1016)</f>
        <v>16</v>
      </c>
      <c r="P1016" t="str">
        <f t="shared" si="47"/>
        <v>Joe Mixon11</v>
      </c>
    </row>
    <row r="1017" spans="1:16" x14ac:dyDescent="0.25">
      <c r="A1017">
        <v>6</v>
      </c>
      <c r="B1017" t="s">
        <v>1330</v>
      </c>
      <c r="C1017" t="s">
        <v>6431</v>
      </c>
      <c r="D1017">
        <v>10.32</v>
      </c>
      <c r="E1017" t="s">
        <v>24</v>
      </c>
      <c r="F1017" t="s">
        <v>87</v>
      </c>
      <c r="G1017">
        <v>16.420000000000002</v>
      </c>
      <c r="H1017">
        <v>4.22</v>
      </c>
      <c r="I1017">
        <v>6.1</v>
      </c>
      <c r="J1017">
        <v>37.21</v>
      </c>
      <c r="K1017" t="str">
        <f>IFERROR(INDEX(Rosters!$C$2:$C$155,MATCH($B1017,Rosters!$B$2:$B$155,0)),"NA")</f>
        <v>chad</v>
      </c>
      <c r="L1017" t="str">
        <f t="shared" si="45"/>
        <v>chad6WR</v>
      </c>
      <c r="M1017">
        <f>COUNTIF(L$1:L1017,L1017)</f>
        <v>2</v>
      </c>
      <c r="N1017" t="str">
        <f t="shared" si="46"/>
        <v>chad6WR-2</v>
      </c>
      <c r="O1017">
        <f>COUNTIFS(F$1:F1017,F1017,A$1:A1017,A1017)</f>
        <v>12</v>
      </c>
      <c r="P1017" t="str">
        <f t="shared" si="47"/>
        <v>Julian Edelman6</v>
      </c>
    </row>
    <row r="1018" spans="1:16" x14ac:dyDescent="0.25">
      <c r="A1018">
        <v>8</v>
      </c>
      <c r="B1018" t="s">
        <v>158</v>
      </c>
      <c r="C1018" t="s">
        <v>6432</v>
      </c>
      <c r="D1018">
        <v>10.31</v>
      </c>
      <c r="E1018" t="s">
        <v>54</v>
      </c>
      <c r="F1018" t="s">
        <v>47</v>
      </c>
      <c r="G1018">
        <v>16.13</v>
      </c>
      <c r="H1018">
        <v>4.49</v>
      </c>
      <c r="I1018">
        <v>5.82</v>
      </c>
      <c r="J1018">
        <v>33.872399999999999</v>
      </c>
      <c r="K1018" t="str">
        <f>IFERROR(INDEX(Rosters!$C$2:$C$155,MATCH($B1018,Rosters!$B$2:$B$155,0)),"NA")</f>
        <v>comp</v>
      </c>
      <c r="L1018" t="str">
        <f t="shared" si="45"/>
        <v>comp8RB</v>
      </c>
      <c r="M1018">
        <f>COUNTIF(L$1:L1018,L1018)</f>
        <v>2</v>
      </c>
      <c r="N1018" t="str">
        <f t="shared" si="46"/>
        <v>comp8RB-2</v>
      </c>
      <c r="O1018">
        <f>COUNTIFS(F$1:F1018,F1018,A$1:A1018,A1018)</f>
        <v>14</v>
      </c>
      <c r="P1018" t="str">
        <f t="shared" si="47"/>
        <v>Adrian Peterson8</v>
      </c>
    </row>
    <row r="1019" spans="1:16" x14ac:dyDescent="0.25">
      <c r="A1019">
        <v>12</v>
      </c>
      <c r="B1019" t="s">
        <v>158</v>
      </c>
      <c r="C1019" t="s">
        <v>6433</v>
      </c>
      <c r="D1019">
        <v>10.31</v>
      </c>
      <c r="E1019" t="s">
        <v>22</v>
      </c>
      <c r="F1019" t="s">
        <v>47</v>
      </c>
      <c r="G1019">
        <v>15.83</v>
      </c>
      <c r="H1019">
        <v>4.79</v>
      </c>
      <c r="I1019">
        <v>5.52</v>
      </c>
      <c r="J1019">
        <v>30.470400000000001</v>
      </c>
      <c r="K1019" t="str">
        <f>IFERROR(INDEX(Rosters!$C$2:$C$155,MATCH($B1019,Rosters!$B$2:$B$155,0)),"NA")</f>
        <v>comp</v>
      </c>
      <c r="L1019" t="str">
        <f t="shared" si="45"/>
        <v>comp12RB</v>
      </c>
      <c r="M1019">
        <f>COUNTIF(L$1:L1019,L1019)</f>
        <v>2</v>
      </c>
      <c r="N1019" t="str">
        <f t="shared" si="46"/>
        <v>comp12RB-2</v>
      </c>
      <c r="O1019">
        <f>COUNTIFS(F$1:F1019,F1019,A$1:A1019,A1019)</f>
        <v>15</v>
      </c>
      <c r="P1019" t="str">
        <f t="shared" si="47"/>
        <v>Adrian Peterson12</v>
      </c>
    </row>
    <row r="1020" spans="1:16" x14ac:dyDescent="0.25">
      <c r="A1020">
        <v>10</v>
      </c>
      <c r="B1020" t="s">
        <v>1352</v>
      </c>
      <c r="C1020" t="s">
        <v>6434</v>
      </c>
      <c r="D1020">
        <v>10.31</v>
      </c>
      <c r="E1020" t="s">
        <v>38</v>
      </c>
      <c r="F1020" t="s">
        <v>47</v>
      </c>
      <c r="G1020">
        <v>17.68</v>
      </c>
      <c r="H1020">
        <v>2.94</v>
      </c>
      <c r="I1020">
        <v>7.37</v>
      </c>
      <c r="J1020">
        <v>54.316899999999997</v>
      </c>
      <c r="K1020" t="str">
        <f>IFERROR(INDEX(Rosters!$C$2:$C$155,MATCH($B1020,Rosters!$B$2:$B$155,0)),"NA")</f>
        <v>devon</v>
      </c>
      <c r="L1020" t="str">
        <f t="shared" si="45"/>
        <v>devon10RB</v>
      </c>
      <c r="M1020">
        <f>COUNTIF(L$1:L1020,L1020)</f>
        <v>2</v>
      </c>
      <c r="N1020" t="str">
        <f t="shared" si="46"/>
        <v>devon10RB-2</v>
      </c>
      <c r="O1020">
        <f>COUNTIFS(F$1:F1020,F1020,A$1:A1020,A1020)</f>
        <v>16</v>
      </c>
      <c r="P1020" t="str">
        <f t="shared" si="47"/>
        <v>Sony Michel10</v>
      </c>
    </row>
    <row r="1021" spans="1:16" x14ac:dyDescent="0.25">
      <c r="A1021">
        <v>7</v>
      </c>
      <c r="B1021" t="s">
        <v>134</v>
      </c>
      <c r="C1021" t="s">
        <v>6435</v>
      </c>
      <c r="D1021">
        <v>10.3</v>
      </c>
      <c r="E1021" t="s">
        <v>17</v>
      </c>
      <c r="F1021" t="s">
        <v>87</v>
      </c>
      <c r="G1021">
        <v>16.329999999999998</v>
      </c>
      <c r="H1021">
        <v>4.2699999999999996</v>
      </c>
      <c r="I1021">
        <v>6.03</v>
      </c>
      <c r="J1021">
        <v>36.360900000000001</v>
      </c>
      <c r="K1021" t="str">
        <f>IFERROR(INDEX(Rosters!$C$2:$C$155,MATCH($B1021,Rosters!$B$2:$B$155,0)),"NA")</f>
        <v>cory</v>
      </c>
      <c r="L1021" t="str">
        <f t="shared" si="45"/>
        <v>cory7WR</v>
      </c>
      <c r="M1021">
        <f>COUNTIF(L$1:L1021,L1021)</f>
        <v>3</v>
      </c>
      <c r="N1021" t="str">
        <f t="shared" si="46"/>
        <v>cory7WR-3</v>
      </c>
      <c r="O1021">
        <f>COUNTIFS(F$1:F1021,F1021,A$1:A1021,A1021)</f>
        <v>14</v>
      </c>
      <c r="P1021" t="str">
        <f t="shared" si="47"/>
        <v>Jarvis Landry7</v>
      </c>
    </row>
    <row r="1022" spans="1:16" x14ac:dyDescent="0.25">
      <c r="A1022">
        <v>3</v>
      </c>
      <c r="B1022" t="s">
        <v>1105</v>
      </c>
      <c r="C1022" t="s">
        <v>3657</v>
      </c>
      <c r="D1022">
        <v>10.3</v>
      </c>
      <c r="E1022" t="s">
        <v>17</v>
      </c>
      <c r="F1022" t="s">
        <v>87</v>
      </c>
      <c r="G1022">
        <v>16.399999999999999</v>
      </c>
      <c r="H1022">
        <v>4.2</v>
      </c>
      <c r="I1022">
        <v>6.1</v>
      </c>
      <c r="J1022">
        <v>37.21</v>
      </c>
      <c r="K1022" t="str">
        <f>IFERROR(INDEX(Rosters!$C$2:$C$155,MATCH($B1022,Rosters!$B$2:$B$155,0)),"NA")</f>
        <v>scott</v>
      </c>
      <c r="L1022" t="str">
        <f t="shared" si="45"/>
        <v>scott3WR</v>
      </c>
      <c r="M1022">
        <f>COUNTIF(L$1:L1022,L1022)</f>
        <v>1</v>
      </c>
      <c r="N1022" t="str">
        <f t="shared" si="46"/>
        <v>scott3WR-1</v>
      </c>
      <c r="O1022">
        <f>COUNTIFS(F$1:F1022,F1022,A$1:A1022,A1022)</f>
        <v>14</v>
      </c>
      <c r="P1022" t="str">
        <f t="shared" si="47"/>
        <v>JuJu Smith-Schuster3</v>
      </c>
    </row>
    <row r="1023" spans="1:16" x14ac:dyDescent="0.25">
      <c r="A1023">
        <v>17</v>
      </c>
      <c r="B1023" t="s">
        <v>133</v>
      </c>
      <c r="C1023" t="s">
        <v>6436</v>
      </c>
      <c r="D1023">
        <v>10.29</v>
      </c>
      <c r="E1023" t="s">
        <v>72</v>
      </c>
      <c r="F1023" t="s">
        <v>87</v>
      </c>
      <c r="G1023">
        <v>16.649999999999999</v>
      </c>
      <c r="H1023">
        <v>3.93</v>
      </c>
      <c r="I1023">
        <v>6.36</v>
      </c>
      <c r="J1023">
        <v>40.449599999999997</v>
      </c>
      <c r="K1023" t="str">
        <f>IFERROR(INDEX(Rosters!$C$2:$C$155,MATCH($B1023,Rosters!$B$2:$B$155,0)),"NA")</f>
        <v>aj</v>
      </c>
      <c r="L1023" t="str">
        <f t="shared" si="45"/>
        <v>aj17WR</v>
      </c>
      <c r="M1023">
        <f>COUNTIF(L$1:L1023,L1023)</f>
        <v>3</v>
      </c>
      <c r="N1023" t="str">
        <f t="shared" si="46"/>
        <v>aj17WR-3</v>
      </c>
      <c r="O1023">
        <f>COUNTIFS(F$1:F1023,F1023,A$1:A1023,A1023)</f>
        <v>18</v>
      </c>
      <c r="P1023" t="str">
        <f t="shared" si="47"/>
        <v>Stefon Diggs17</v>
      </c>
    </row>
    <row r="1024" spans="1:16" x14ac:dyDescent="0.25">
      <c r="A1024">
        <v>17</v>
      </c>
      <c r="B1024" t="s">
        <v>151</v>
      </c>
      <c r="C1024" t="s">
        <v>6437</v>
      </c>
      <c r="D1024">
        <v>10.29</v>
      </c>
      <c r="E1024" t="s">
        <v>32</v>
      </c>
      <c r="F1024" t="s">
        <v>114</v>
      </c>
      <c r="G1024">
        <v>15.32</v>
      </c>
      <c r="H1024">
        <v>5.26</v>
      </c>
      <c r="I1024">
        <v>5.03</v>
      </c>
      <c r="J1024">
        <v>25.300899999999999</v>
      </c>
      <c r="K1024" t="str">
        <f>IFERROR(INDEX(Rosters!$C$2:$C$155,MATCH($B1024,Rosters!$B$2:$B$155,0)),"NA")</f>
        <v>aj</v>
      </c>
      <c r="L1024" t="str">
        <f t="shared" si="45"/>
        <v>aj17TE</v>
      </c>
      <c r="M1024">
        <f>COUNTIF(L$1:L1024,L1024)</f>
        <v>1</v>
      </c>
      <c r="N1024" t="str">
        <f t="shared" si="46"/>
        <v>aj17TE-1</v>
      </c>
      <c r="O1024">
        <f>COUNTIFS(F$1:F1024,F1024,A$1:A1024,A1024)</f>
        <v>1</v>
      </c>
      <c r="P1024" t="str">
        <f t="shared" si="47"/>
        <v>Travis Kelce17</v>
      </c>
    </row>
    <row r="1025" spans="1:16" x14ac:dyDescent="0.25">
      <c r="A1025">
        <v>1</v>
      </c>
      <c r="B1025" t="s">
        <v>796</v>
      </c>
      <c r="C1025" t="s">
        <v>1318</v>
      </c>
      <c r="D1025">
        <v>10.28</v>
      </c>
      <c r="E1025" t="s">
        <v>29</v>
      </c>
      <c r="F1025" t="s">
        <v>47</v>
      </c>
      <c r="G1025">
        <v>19.260000000000002</v>
      </c>
      <c r="H1025">
        <v>1.3</v>
      </c>
      <c r="I1025">
        <v>8.98</v>
      </c>
      <c r="J1025">
        <v>80.6404</v>
      </c>
      <c r="K1025" t="str">
        <f>IFERROR(INDEX(Rosters!$C$2:$C$155,MATCH($B1025,Rosters!$B$2:$B$155,0)),"NA")</f>
        <v>seth</v>
      </c>
      <c r="L1025" t="str">
        <f t="shared" si="45"/>
        <v>seth1RB</v>
      </c>
      <c r="M1025">
        <f>COUNTIF(L$1:L1025,L1025)</f>
        <v>2</v>
      </c>
      <c r="N1025" t="str">
        <f t="shared" si="46"/>
        <v>seth1RB-2</v>
      </c>
      <c r="O1025">
        <f>COUNTIFS(F$1:F1025,F1025,A$1:A1025,A1025)</f>
        <v>17</v>
      </c>
      <c r="P1025" t="str">
        <f t="shared" si="47"/>
        <v>Alex Collins1</v>
      </c>
    </row>
    <row r="1026" spans="1:16" x14ac:dyDescent="0.25">
      <c r="A1026">
        <v>7</v>
      </c>
      <c r="B1026" t="s">
        <v>1352</v>
      </c>
      <c r="C1026" t="s">
        <v>6438</v>
      </c>
      <c r="D1026">
        <v>10.28</v>
      </c>
      <c r="E1026" t="s">
        <v>72</v>
      </c>
      <c r="F1026" t="s">
        <v>47</v>
      </c>
      <c r="G1026">
        <v>16.82</v>
      </c>
      <c r="H1026">
        <v>3.74</v>
      </c>
      <c r="I1026">
        <v>6.54</v>
      </c>
      <c r="J1026">
        <v>42.771599999999999</v>
      </c>
      <c r="K1026" t="str">
        <f>IFERROR(INDEX(Rosters!$C$2:$C$155,MATCH($B1026,Rosters!$B$2:$B$155,0)),"NA")</f>
        <v>devon</v>
      </c>
      <c r="L1026" t="str">
        <f t="shared" si="45"/>
        <v>devon7RB</v>
      </c>
      <c r="M1026">
        <f>COUNTIF(L$1:L1026,L1026)</f>
        <v>3</v>
      </c>
      <c r="N1026" t="str">
        <f t="shared" si="46"/>
        <v>devon7RB-3</v>
      </c>
      <c r="O1026">
        <f>COUNTIFS(F$1:F1026,F1026,A$1:A1026,A1026)</f>
        <v>17</v>
      </c>
      <c r="P1026" t="str">
        <f t="shared" si="47"/>
        <v>Sony Michel7</v>
      </c>
    </row>
    <row r="1027" spans="1:16" x14ac:dyDescent="0.25">
      <c r="A1027">
        <v>11</v>
      </c>
      <c r="B1027" t="s">
        <v>105</v>
      </c>
      <c r="C1027" t="s">
        <v>6439</v>
      </c>
      <c r="D1027">
        <v>10.26</v>
      </c>
      <c r="E1027" t="s">
        <v>41</v>
      </c>
      <c r="F1027" t="s">
        <v>87</v>
      </c>
      <c r="G1027">
        <v>17.37</v>
      </c>
      <c r="H1027">
        <v>3.15</v>
      </c>
      <c r="I1027">
        <v>7.11</v>
      </c>
      <c r="J1027">
        <v>50.552100000000003</v>
      </c>
      <c r="K1027" t="str">
        <f>IFERROR(INDEX(Rosters!$C$2:$C$155,MATCH($B1027,Rosters!$B$2:$B$155,0)),"NA")</f>
        <v>chad</v>
      </c>
      <c r="L1027" t="str">
        <f t="shared" ref="L1027:L1090" si="48">K1027&amp;A1027&amp;F1027</f>
        <v>chad11WR</v>
      </c>
      <c r="M1027">
        <f>COUNTIF(L$1:L1027,L1027)</f>
        <v>2</v>
      </c>
      <c r="N1027" t="str">
        <f t="shared" ref="N1027:N1090" si="49">L1027&amp;"-"&amp;M1027</f>
        <v>chad11WR-2</v>
      </c>
      <c r="O1027">
        <f>COUNTIFS(F$1:F1027,F1027,A$1:A1027,A1027)</f>
        <v>15</v>
      </c>
      <c r="P1027" t="str">
        <f t="shared" ref="P1027:P1090" si="50">B1027&amp;A1027</f>
        <v>Doug Baldwin11</v>
      </c>
    </row>
    <row r="1028" spans="1:16" x14ac:dyDescent="0.25">
      <c r="A1028">
        <v>15</v>
      </c>
      <c r="B1028" t="s">
        <v>89</v>
      </c>
      <c r="C1028" t="s">
        <v>6440</v>
      </c>
      <c r="D1028">
        <v>10.26</v>
      </c>
      <c r="E1028" t="s">
        <v>56</v>
      </c>
      <c r="F1028" t="s">
        <v>47</v>
      </c>
      <c r="G1028">
        <v>18.25</v>
      </c>
      <c r="H1028">
        <v>2.27</v>
      </c>
      <c r="I1028">
        <v>7.99</v>
      </c>
      <c r="J1028">
        <v>63.8401</v>
      </c>
      <c r="K1028" t="str">
        <f>IFERROR(INDEX(Rosters!$C$2:$C$155,MATCH($B1028,Rosters!$B$2:$B$155,0)),"NA")</f>
        <v>matty</v>
      </c>
      <c r="L1028" t="str">
        <f t="shared" si="48"/>
        <v>matty15RB</v>
      </c>
      <c r="M1028">
        <f>COUNTIF(L$1:L1028,L1028)</f>
        <v>3</v>
      </c>
      <c r="N1028" t="str">
        <f t="shared" si="49"/>
        <v>matty15RB-3</v>
      </c>
      <c r="O1028">
        <f>COUNTIFS(F$1:F1028,F1028,A$1:A1028,A1028)</f>
        <v>17</v>
      </c>
      <c r="P1028" t="str">
        <f t="shared" si="50"/>
        <v>Jay Ajayi15</v>
      </c>
    </row>
    <row r="1029" spans="1:16" x14ac:dyDescent="0.25">
      <c r="A1029">
        <v>4</v>
      </c>
      <c r="B1029" t="s">
        <v>81</v>
      </c>
      <c r="C1029" t="s">
        <v>4454</v>
      </c>
      <c r="D1029">
        <v>10.26</v>
      </c>
      <c r="E1029" t="s">
        <v>41</v>
      </c>
      <c r="F1029" t="s">
        <v>47</v>
      </c>
      <c r="G1029">
        <v>17.010000000000002</v>
      </c>
      <c r="H1029">
        <v>3.51</v>
      </c>
      <c r="I1029">
        <v>6.75</v>
      </c>
      <c r="J1029">
        <v>45.5625</v>
      </c>
      <c r="K1029" t="str">
        <f>IFERROR(INDEX(Rosters!$C$2:$C$155,MATCH($B1029,Rosters!$B$2:$B$155,0)),"NA")</f>
        <v>aj</v>
      </c>
      <c r="L1029" t="str">
        <f t="shared" si="48"/>
        <v>aj4RB</v>
      </c>
      <c r="M1029">
        <f>COUNTIF(L$1:L1029,L1029)</f>
        <v>2</v>
      </c>
      <c r="N1029" t="str">
        <f t="shared" si="49"/>
        <v>aj4RB-2</v>
      </c>
      <c r="O1029">
        <f>COUNTIFS(F$1:F1029,F1029,A$1:A1029,A1029)</f>
        <v>16</v>
      </c>
      <c r="P1029" t="str">
        <f t="shared" si="50"/>
        <v>LeSean McCoy4</v>
      </c>
    </row>
    <row r="1030" spans="1:16" x14ac:dyDescent="0.25">
      <c r="A1030">
        <v>7</v>
      </c>
      <c r="B1030" t="s">
        <v>99</v>
      </c>
      <c r="C1030" t="s">
        <v>6441</v>
      </c>
      <c r="D1030">
        <v>10.25</v>
      </c>
      <c r="E1030" t="s">
        <v>76</v>
      </c>
      <c r="F1030" t="s">
        <v>47</v>
      </c>
      <c r="G1030">
        <v>16.29</v>
      </c>
      <c r="H1030">
        <v>4.21</v>
      </c>
      <c r="I1030">
        <v>6.04</v>
      </c>
      <c r="J1030">
        <v>36.4816</v>
      </c>
      <c r="K1030" t="str">
        <f>IFERROR(INDEX(Rosters!$C$2:$C$155,MATCH($B1030,Rosters!$B$2:$B$155,0)),"NA")</f>
        <v>comp</v>
      </c>
      <c r="L1030" t="str">
        <f t="shared" si="48"/>
        <v>comp7RB</v>
      </c>
      <c r="M1030">
        <f>COUNTIF(L$1:L1030,L1030)</f>
        <v>2</v>
      </c>
      <c r="N1030" t="str">
        <f t="shared" si="49"/>
        <v>comp7RB-2</v>
      </c>
      <c r="O1030">
        <f>COUNTIFS(F$1:F1030,F1030,A$1:A1030,A1030)</f>
        <v>18</v>
      </c>
      <c r="P1030" t="str">
        <f t="shared" si="50"/>
        <v>Lamar Miller7</v>
      </c>
    </row>
    <row r="1031" spans="1:16" x14ac:dyDescent="0.25">
      <c r="A1031">
        <v>15</v>
      </c>
      <c r="B1031" t="s">
        <v>122</v>
      </c>
      <c r="C1031" t="s">
        <v>6442</v>
      </c>
      <c r="D1031">
        <v>10.24</v>
      </c>
      <c r="E1031" t="s">
        <v>29</v>
      </c>
      <c r="F1031" t="s">
        <v>87</v>
      </c>
      <c r="G1031">
        <v>16.96</v>
      </c>
      <c r="H1031">
        <v>3.52</v>
      </c>
      <c r="I1031">
        <v>6.72</v>
      </c>
      <c r="J1031">
        <v>45.1584</v>
      </c>
      <c r="K1031" t="str">
        <f>IFERROR(INDEX(Rosters!$C$2:$C$155,MATCH($B1031,Rosters!$B$2:$B$155,0)),"NA")</f>
        <v>devon</v>
      </c>
      <c r="L1031" t="str">
        <f t="shared" si="48"/>
        <v>devon15WR</v>
      </c>
      <c r="M1031">
        <f>COUNTIF(L$1:L1031,L1031)</f>
        <v>2</v>
      </c>
      <c r="N1031" t="str">
        <f t="shared" si="49"/>
        <v>devon15WR-2</v>
      </c>
      <c r="O1031">
        <f>COUNTIFS(F$1:F1031,F1031,A$1:A1031,A1031)</f>
        <v>15</v>
      </c>
      <c r="P1031" t="str">
        <f t="shared" si="50"/>
        <v>Golden Tate15</v>
      </c>
    </row>
    <row r="1032" spans="1:16" x14ac:dyDescent="0.25">
      <c r="A1032">
        <v>2</v>
      </c>
      <c r="B1032" t="s">
        <v>89</v>
      </c>
      <c r="C1032" t="s">
        <v>3560</v>
      </c>
      <c r="D1032">
        <v>10.24</v>
      </c>
      <c r="E1032" t="s">
        <v>17</v>
      </c>
      <c r="F1032" t="s">
        <v>47</v>
      </c>
      <c r="G1032">
        <v>16.77</v>
      </c>
      <c r="H1032">
        <v>3.71</v>
      </c>
      <c r="I1032">
        <v>6.53</v>
      </c>
      <c r="J1032">
        <v>42.640900000000002</v>
      </c>
      <c r="K1032" t="str">
        <f>IFERROR(INDEX(Rosters!$C$2:$C$155,MATCH($B1032,Rosters!$B$2:$B$155,0)),"NA")</f>
        <v>matty</v>
      </c>
      <c r="L1032" t="str">
        <f t="shared" si="48"/>
        <v>matty2RB</v>
      </c>
      <c r="M1032">
        <f>COUNTIF(L$1:L1032,L1032)</f>
        <v>3</v>
      </c>
      <c r="N1032" t="str">
        <f t="shared" si="49"/>
        <v>matty2RB-3</v>
      </c>
      <c r="O1032">
        <f>COUNTIFS(F$1:F1032,F1032,A$1:A1032,A1032)</f>
        <v>16</v>
      </c>
      <c r="P1032" t="str">
        <f t="shared" si="50"/>
        <v>Jay Ajayi2</v>
      </c>
    </row>
    <row r="1033" spans="1:16" x14ac:dyDescent="0.25">
      <c r="A1033">
        <v>10</v>
      </c>
      <c r="B1033" t="s">
        <v>228</v>
      </c>
      <c r="C1033" t="s">
        <v>6443</v>
      </c>
      <c r="D1033">
        <v>10.24</v>
      </c>
      <c r="E1033" t="s">
        <v>54</v>
      </c>
      <c r="F1033" t="s">
        <v>47</v>
      </c>
      <c r="G1033">
        <v>15.96</v>
      </c>
      <c r="H1033">
        <v>4.5199999999999996</v>
      </c>
      <c r="I1033">
        <v>5.72</v>
      </c>
      <c r="J1033">
        <v>32.718400000000003</v>
      </c>
      <c r="K1033" t="str">
        <f>IFERROR(INDEX(Rosters!$C$2:$C$155,MATCH($B1033,Rosters!$B$2:$B$155,0)),"NA")</f>
        <v>perry</v>
      </c>
      <c r="L1033" t="str">
        <f t="shared" si="48"/>
        <v>perry10RB</v>
      </c>
      <c r="M1033">
        <f>COUNTIF(L$1:L1033,L1033)</f>
        <v>2</v>
      </c>
      <c r="N1033" t="str">
        <f t="shared" si="49"/>
        <v>perry10RB-2</v>
      </c>
      <c r="O1033">
        <f>COUNTIFS(F$1:F1033,F1033,A$1:A1033,A1033)</f>
        <v>17</v>
      </c>
      <c r="P1033" t="str">
        <f t="shared" si="50"/>
        <v>Matt Breida10</v>
      </c>
    </row>
    <row r="1034" spans="1:16" x14ac:dyDescent="0.25">
      <c r="A1034">
        <v>15</v>
      </c>
      <c r="B1034" t="s">
        <v>90</v>
      </c>
      <c r="C1034" t="s">
        <v>6444</v>
      </c>
      <c r="D1034">
        <v>10.23</v>
      </c>
      <c r="E1034" t="s">
        <v>58</v>
      </c>
      <c r="F1034" t="s">
        <v>47</v>
      </c>
      <c r="G1034">
        <v>16.37</v>
      </c>
      <c r="H1034">
        <v>4.09</v>
      </c>
      <c r="I1034">
        <v>6.14</v>
      </c>
      <c r="J1034">
        <v>37.699599999999997</v>
      </c>
      <c r="K1034" t="str">
        <f>IFERROR(INDEX(Rosters!$C$2:$C$155,MATCH($B1034,Rosters!$B$2:$B$155,0)),"NA")</f>
        <v>devon</v>
      </c>
      <c r="L1034" t="str">
        <f t="shared" si="48"/>
        <v>devon15RB</v>
      </c>
      <c r="M1034">
        <f>COUNTIF(L$1:L1034,L1034)</f>
        <v>3</v>
      </c>
      <c r="N1034" t="str">
        <f t="shared" si="49"/>
        <v>devon15RB-3</v>
      </c>
      <c r="O1034">
        <f>COUNTIFS(F$1:F1034,F1034,A$1:A1034,A1034)</f>
        <v>18</v>
      </c>
      <c r="P1034" t="str">
        <f t="shared" si="50"/>
        <v>Devonta Freeman15</v>
      </c>
    </row>
    <row r="1035" spans="1:16" x14ac:dyDescent="0.25">
      <c r="A1035">
        <v>1</v>
      </c>
      <c r="B1035" t="s">
        <v>99</v>
      </c>
      <c r="C1035" t="s">
        <v>1684</v>
      </c>
      <c r="D1035">
        <v>10.23</v>
      </c>
      <c r="E1035" t="s">
        <v>423</v>
      </c>
      <c r="F1035" t="s">
        <v>47</v>
      </c>
      <c r="G1035">
        <v>15.92</v>
      </c>
      <c r="H1035">
        <v>4.54</v>
      </c>
      <c r="I1035">
        <v>5.69</v>
      </c>
      <c r="J1035">
        <v>32.376100000000001</v>
      </c>
      <c r="K1035" t="str">
        <f>IFERROR(INDEX(Rosters!$C$2:$C$155,MATCH($B1035,Rosters!$B$2:$B$155,0)),"NA")</f>
        <v>comp</v>
      </c>
      <c r="L1035" t="str">
        <f t="shared" si="48"/>
        <v>comp1RB</v>
      </c>
      <c r="M1035">
        <f>COUNTIF(L$1:L1035,L1035)</f>
        <v>1</v>
      </c>
      <c r="N1035" t="str">
        <f t="shared" si="49"/>
        <v>comp1RB-1</v>
      </c>
      <c r="O1035">
        <f>COUNTIFS(F$1:F1035,F1035,A$1:A1035,A1035)</f>
        <v>18</v>
      </c>
      <c r="P1035" t="str">
        <f t="shared" si="50"/>
        <v>Lamar Miller1</v>
      </c>
    </row>
    <row r="1036" spans="1:16" x14ac:dyDescent="0.25">
      <c r="A1036">
        <v>12</v>
      </c>
      <c r="B1036" t="s">
        <v>201</v>
      </c>
      <c r="C1036" t="s">
        <v>6445</v>
      </c>
      <c r="D1036">
        <v>10.199999999999999</v>
      </c>
      <c r="E1036" t="s">
        <v>36</v>
      </c>
      <c r="F1036" t="s">
        <v>47</v>
      </c>
      <c r="G1036">
        <v>16.149999999999999</v>
      </c>
      <c r="H1036">
        <v>4.25</v>
      </c>
      <c r="I1036">
        <v>5.95</v>
      </c>
      <c r="J1036">
        <v>35.402500000000003</v>
      </c>
      <c r="K1036" t="str">
        <f>IFERROR(INDEX(Rosters!$C$2:$C$155,MATCH($B1036,Rosters!$B$2:$B$155,0)),"NA")</f>
        <v>seth</v>
      </c>
      <c r="L1036" t="str">
        <f t="shared" si="48"/>
        <v>seth12RB</v>
      </c>
      <c r="M1036">
        <f>COUNTIF(L$1:L1036,L1036)</f>
        <v>2</v>
      </c>
      <c r="N1036" t="str">
        <f t="shared" si="49"/>
        <v>seth12RB-2</v>
      </c>
      <c r="O1036">
        <f>COUNTIFS(F$1:F1036,F1036,A$1:A1036,A1036)</f>
        <v>16</v>
      </c>
      <c r="P1036" t="str">
        <f t="shared" si="50"/>
        <v>Derrick Henry12</v>
      </c>
    </row>
    <row r="1037" spans="1:16" x14ac:dyDescent="0.25">
      <c r="A1037">
        <v>6</v>
      </c>
      <c r="B1037" t="s">
        <v>193</v>
      </c>
      <c r="C1037" t="s">
        <v>6446</v>
      </c>
      <c r="D1037">
        <v>10.199999999999999</v>
      </c>
      <c r="E1037" t="s">
        <v>24</v>
      </c>
      <c r="F1037" t="s">
        <v>47</v>
      </c>
      <c r="G1037">
        <v>15.27</v>
      </c>
      <c r="H1037">
        <v>5.13</v>
      </c>
      <c r="I1037">
        <v>5.07</v>
      </c>
      <c r="J1037">
        <v>25.704899999999999</v>
      </c>
      <c r="K1037" t="str">
        <f>IFERROR(INDEX(Rosters!$C$2:$C$155,MATCH($B1037,Rosters!$B$2:$B$155,0)),"NA")</f>
        <v>cory</v>
      </c>
      <c r="L1037" t="str">
        <f t="shared" si="48"/>
        <v>cory6RB</v>
      </c>
      <c r="M1037">
        <f>COUNTIF(L$1:L1037,L1037)</f>
        <v>2</v>
      </c>
      <c r="N1037" t="str">
        <f t="shared" si="49"/>
        <v>cory6RB-2</v>
      </c>
      <c r="O1037">
        <f>COUNTIFS(F$1:F1037,F1037,A$1:A1037,A1037)</f>
        <v>18</v>
      </c>
      <c r="P1037" t="str">
        <f t="shared" si="50"/>
        <v>James White6</v>
      </c>
    </row>
    <row r="1038" spans="1:16" x14ac:dyDescent="0.25">
      <c r="A1038">
        <v>8</v>
      </c>
      <c r="B1038" t="s">
        <v>113</v>
      </c>
      <c r="C1038" t="s">
        <v>6447</v>
      </c>
      <c r="D1038">
        <v>10.199999999999999</v>
      </c>
      <c r="E1038" t="s">
        <v>29</v>
      </c>
      <c r="F1038" t="s">
        <v>114</v>
      </c>
      <c r="G1038">
        <v>15.56</v>
      </c>
      <c r="H1038">
        <v>4.84</v>
      </c>
      <c r="I1038">
        <v>5.36</v>
      </c>
      <c r="J1038">
        <v>28.729600000000001</v>
      </c>
      <c r="K1038" t="str">
        <f>IFERROR(INDEX(Rosters!$C$2:$C$155,MATCH($B1038,Rosters!$B$2:$B$155,0)),"NA")</f>
        <v>lucas</v>
      </c>
      <c r="L1038" t="str">
        <f t="shared" si="48"/>
        <v>lucas8TE</v>
      </c>
      <c r="M1038">
        <f>COUNTIF(L$1:L1038,L1038)</f>
        <v>1</v>
      </c>
      <c r="N1038" t="str">
        <f t="shared" si="49"/>
        <v>lucas8TE-1</v>
      </c>
      <c r="O1038">
        <f>COUNTIFS(F$1:F1038,F1038,A$1:A1038,A1038)</f>
        <v>2</v>
      </c>
      <c r="P1038" t="str">
        <f t="shared" si="50"/>
        <v>Rob Gronkowski8</v>
      </c>
    </row>
    <row r="1039" spans="1:16" x14ac:dyDescent="0.25">
      <c r="A1039">
        <v>2</v>
      </c>
      <c r="B1039" t="s">
        <v>123</v>
      </c>
      <c r="C1039" t="s">
        <v>3318</v>
      </c>
      <c r="D1039">
        <v>10.18</v>
      </c>
      <c r="E1039" t="s">
        <v>77</v>
      </c>
      <c r="F1039" t="s">
        <v>47</v>
      </c>
      <c r="G1039">
        <v>15.67</v>
      </c>
      <c r="H1039">
        <v>4.6900000000000004</v>
      </c>
      <c r="I1039">
        <v>5.49</v>
      </c>
      <c r="J1039">
        <v>30.1401</v>
      </c>
      <c r="K1039" t="str">
        <f>IFERROR(INDEX(Rosters!$C$2:$C$155,MATCH($B1039,Rosters!$B$2:$B$155,0)),"NA")</f>
        <v>aj</v>
      </c>
      <c r="L1039" t="str">
        <f t="shared" si="48"/>
        <v>aj2RB</v>
      </c>
      <c r="M1039">
        <f>COUNTIF(L$1:L1039,L1039)</f>
        <v>4</v>
      </c>
      <c r="N1039" t="str">
        <f t="shared" si="49"/>
        <v>aj2RB-4</v>
      </c>
      <c r="O1039">
        <f>COUNTIFS(F$1:F1039,F1039,A$1:A1039,A1039)</f>
        <v>17</v>
      </c>
      <c r="P1039" t="str">
        <f t="shared" si="50"/>
        <v>Joe Mixon2</v>
      </c>
    </row>
    <row r="1040" spans="1:16" x14ac:dyDescent="0.25">
      <c r="A1040">
        <v>11</v>
      </c>
      <c r="B1040" t="s">
        <v>100</v>
      </c>
      <c r="C1040" t="s">
        <v>6448</v>
      </c>
      <c r="D1040">
        <v>10.18</v>
      </c>
      <c r="E1040" t="s">
        <v>54</v>
      </c>
      <c r="F1040" t="s">
        <v>87</v>
      </c>
      <c r="G1040">
        <v>16.25</v>
      </c>
      <c r="H1040">
        <v>4.1100000000000003</v>
      </c>
      <c r="I1040">
        <v>6.07</v>
      </c>
      <c r="J1040">
        <v>36.844900000000003</v>
      </c>
      <c r="K1040" t="str">
        <f>IFERROR(INDEX(Rosters!$C$2:$C$155,MATCH($B1040,Rosters!$B$2:$B$155,0)),"NA")</f>
        <v>aj</v>
      </c>
      <c r="L1040" t="str">
        <f t="shared" si="48"/>
        <v>aj11WR</v>
      </c>
      <c r="M1040">
        <f>COUNTIF(L$1:L1040,L1040)</f>
        <v>2</v>
      </c>
      <c r="N1040" t="str">
        <f t="shared" si="49"/>
        <v>aj11WR-2</v>
      </c>
      <c r="O1040">
        <f>COUNTIFS(F$1:F1040,F1040,A$1:A1040,A1040)</f>
        <v>16</v>
      </c>
      <c r="P1040" t="str">
        <f t="shared" si="50"/>
        <v>Mike Evans11</v>
      </c>
    </row>
    <row r="1041" spans="1:16" x14ac:dyDescent="0.25">
      <c r="A1041">
        <v>14</v>
      </c>
      <c r="B1041" t="s">
        <v>240</v>
      </c>
      <c r="C1041" t="s">
        <v>6449</v>
      </c>
      <c r="D1041">
        <v>10.18</v>
      </c>
      <c r="E1041" t="s">
        <v>22</v>
      </c>
      <c r="F1041" t="s">
        <v>87</v>
      </c>
      <c r="G1041">
        <v>16.64</v>
      </c>
      <c r="H1041">
        <v>3.72</v>
      </c>
      <c r="I1041">
        <v>6.46</v>
      </c>
      <c r="J1041">
        <v>41.7316</v>
      </c>
      <c r="K1041" t="str">
        <f>IFERROR(INDEX(Rosters!$C$2:$C$155,MATCH($B1041,Rosters!$B$2:$B$155,0)),"NA")</f>
        <v>aj</v>
      </c>
      <c r="L1041" t="str">
        <f t="shared" si="48"/>
        <v>aj14WR</v>
      </c>
      <c r="M1041">
        <f>COUNTIF(L$1:L1041,L1041)</f>
        <v>3</v>
      </c>
      <c r="N1041" t="str">
        <f t="shared" si="49"/>
        <v>aj14WR-3</v>
      </c>
      <c r="O1041">
        <f>COUNTIFS(F$1:F1041,F1041,A$1:A1041,A1041)</f>
        <v>15</v>
      </c>
      <c r="P1041" t="str">
        <f t="shared" si="50"/>
        <v>Nelson Agholor14</v>
      </c>
    </row>
    <row r="1042" spans="1:16" x14ac:dyDescent="0.25">
      <c r="A1042">
        <v>9</v>
      </c>
      <c r="B1042" t="s">
        <v>90</v>
      </c>
      <c r="C1042" t="s">
        <v>6450</v>
      </c>
      <c r="D1042">
        <v>10.17</v>
      </c>
      <c r="E1042" t="s">
        <v>60</v>
      </c>
      <c r="F1042" t="s">
        <v>47</v>
      </c>
      <c r="G1042">
        <v>16.45</v>
      </c>
      <c r="H1042">
        <v>3.89</v>
      </c>
      <c r="I1042">
        <v>6.28</v>
      </c>
      <c r="J1042">
        <v>39.438400000000001</v>
      </c>
      <c r="K1042" t="str">
        <f>IFERROR(INDEX(Rosters!$C$2:$C$155,MATCH($B1042,Rosters!$B$2:$B$155,0)),"NA")</f>
        <v>devon</v>
      </c>
      <c r="L1042" t="str">
        <f t="shared" si="48"/>
        <v>devon9RB</v>
      </c>
      <c r="M1042">
        <f>COUNTIF(L$1:L1042,L1042)</f>
        <v>3</v>
      </c>
      <c r="N1042" t="str">
        <f t="shared" si="49"/>
        <v>devon9RB-3</v>
      </c>
      <c r="O1042">
        <f>COUNTIFS(F$1:F1042,F1042,A$1:A1042,A1042)</f>
        <v>15</v>
      </c>
      <c r="P1042" t="str">
        <f t="shared" si="50"/>
        <v>Devonta Freeman9</v>
      </c>
    </row>
    <row r="1043" spans="1:16" x14ac:dyDescent="0.25">
      <c r="A1043">
        <v>12</v>
      </c>
      <c r="B1043" t="s">
        <v>1372</v>
      </c>
      <c r="C1043" t="s">
        <v>6451</v>
      </c>
      <c r="D1043">
        <v>10.17</v>
      </c>
      <c r="E1043" t="s">
        <v>423</v>
      </c>
      <c r="F1043" t="s">
        <v>87</v>
      </c>
      <c r="G1043">
        <v>15.73</v>
      </c>
      <c r="H1043">
        <v>4.6100000000000003</v>
      </c>
      <c r="I1043">
        <v>5.56</v>
      </c>
      <c r="J1043">
        <v>30.913599999999999</v>
      </c>
      <c r="K1043" t="str">
        <f>IFERROR(INDEX(Rosters!$C$2:$C$155,MATCH($B1043,Rosters!$B$2:$B$155,0)),"NA")</f>
        <v>lucas</v>
      </c>
      <c r="L1043" t="str">
        <f t="shared" si="48"/>
        <v>lucas12WR</v>
      </c>
      <c r="M1043">
        <f>COUNTIF(L$1:L1043,L1043)</f>
        <v>1</v>
      </c>
      <c r="N1043" t="str">
        <f t="shared" si="49"/>
        <v>lucas12WR-1</v>
      </c>
      <c r="O1043">
        <f>COUNTIFS(F$1:F1043,F1043,A$1:A1043,A1043)</f>
        <v>13</v>
      </c>
      <c r="P1043" t="str">
        <f t="shared" si="50"/>
        <v>Quincy Enunwa12</v>
      </c>
    </row>
    <row r="1044" spans="1:16" x14ac:dyDescent="0.25">
      <c r="A1044">
        <v>3</v>
      </c>
      <c r="B1044" t="s">
        <v>151</v>
      </c>
      <c r="C1044" t="s">
        <v>3658</v>
      </c>
      <c r="D1044">
        <v>10.17</v>
      </c>
      <c r="E1044" t="s">
        <v>30</v>
      </c>
      <c r="F1044" t="s">
        <v>114</v>
      </c>
      <c r="G1044">
        <v>16.809999999999999</v>
      </c>
      <c r="H1044">
        <v>3.53</v>
      </c>
      <c r="I1044">
        <v>6.64</v>
      </c>
      <c r="J1044">
        <v>44.089599999999997</v>
      </c>
      <c r="K1044" t="str">
        <f>IFERROR(INDEX(Rosters!$C$2:$C$155,MATCH($B1044,Rosters!$B$2:$B$155,0)),"NA")</f>
        <v>aj</v>
      </c>
      <c r="L1044" t="str">
        <f t="shared" si="48"/>
        <v>aj3TE</v>
      </c>
      <c r="M1044">
        <f>COUNTIF(L$1:L1044,L1044)</f>
        <v>1</v>
      </c>
      <c r="N1044" t="str">
        <f t="shared" si="49"/>
        <v>aj3TE-1</v>
      </c>
      <c r="O1044">
        <f>COUNTIFS(F$1:F1044,F1044,A$1:A1044,A1044)</f>
        <v>2</v>
      </c>
      <c r="P1044" t="str">
        <f t="shared" si="50"/>
        <v>Travis Kelce3</v>
      </c>
    </row>
    <row r="1045" spans="1:16" x14ac:dyDescent="0.25">
      <c r="A1045">
        <v>11</v>
      </c>
      <c r="B1045" t="s">
        <v>151</v>
      </c>
      <c r="C1045" t="s">
        <v>6452</v>
      </c>
      <c r="D1045">
        <v>10.17</v>
      </c>
      <c r="E1045" t="s">
        <v>56</v>
      </c>
      <c r="F1045" t="s">
        <v>114</v>
      </c>
      <c r="G1045">
        <v>16.36</v>
      </c>
      <c r="H1045">
        <v>3.98</v>
      </c>
      <c r="I1045">
        <v>6.19</v>
      </c>
      <c r="J1045">
        <v>38.316099999999999</v>
      </c>
      <c r="K1045" t="str">
        <f>IFERROR(INDEX(Rosters!$C$2:$C$155,MATCH($B1045,Rosters!$B$2:$B$155,0)),"NA")</f>
        <v>aj</v>
      </c>
      <c r="L1045" t="str">
        <f t="shared" si="48"/>
        <v>aj11TE</v>
      </c>
      <c r="M1045">
        <f>COUNTIF(L$1:L1045,L1045)</f>
        <v>1</v>
      </c>
      <c r="N1045" t="str">
        <f t="shared" si="49"/>
        <v>aj11TE-1</v>
      </c>
      <c r="O1045">
        <f>COUNTIFS(F$1:F1045,F1045,A$1:A1045,A1045)</f>
        <v>1</v>
      </c>
      <c r="P1045" t="str">
        <f t="shared" si="50"/>
        <v>Travis Kelce11</v>
      </c>
    </row>
    <row r="1046" spans="1:16" x14ac:dyDescent="0.25">
      <c r="A1046">
        <v>1</v>
      </c>
      <c r="B1046" t="s">
        <v>177</v>
      </c>
      <c r="C1046" t="s">
        <v>1685</v>
      </c>
      <c r="D1046">
        <v>10.17</v>
      </c>
      <c r="E1046" t="s">
        <v>46</v>
      </c>
      <c r="F1046" t="s">
        <v>114</v>
      </c>
      <c r="G1046">
        <v>16.39</v>
      </c>
      <c r="H1046">
        <v>3.95</v>
      </c>
      <c r="I1046">
        <v>6.22</v>
      </c>
      <c r="J1046">
        <v>38.688400000000001</v>
      </c>
      <c r="K1046" t="str">
        <f>IFERROR(INDEX(Rosters!$C$2:$C$155,MATCH($B1046,Rosters!$B$2:$B$155,0)),"NA")</f>
        <v>perry</v>
      </c>
      <c r="L1046" t="str">
        <f t="shared" si="48"/>
        <v>perry1TE</v>
      </c>
      <c r="M1046">
        <f>COUNTIF(L$1:L1046,L1046)</f>
        <v>1</v>
      </c>
      <c r="N1046" t="str">
        <f t="shared" si="49"/>
        <v>perry1TE-1</v>
      </c>
      <c r="O1046">
        <f>COUNTIFS(F$1:F1046,F1046,A$1:A1046,A1046)</f>
        <v>2</v>
      </c>
      <c r="P1046" t="str">
        <f t="shared" si="50"/>
        <v>Zach Ertz1</v>
      </c>
    </row>
    <row r="1047" spans="1:16" x14ac:dyDescent="0.25">
      <c r="A1047">
        <v>3</v>
      </c>
      <c r="B1047" t="s">
        <v>290</v>
      </c>
      <c r="C1047" t="s">
        <v>3659</v>
      </c>
      <c r="D1047">
        <v>10.16</v>
      </c>
      <c r="E1047" t="s">
        <v>32</v>
      </c>
      <c r="F1047" t="s">
        <v>47</v>
      </c>
      <c r="G1047">
        <v>16.28</v>
      </c>
      <c r="H1047">
        <v>4.04</v>
      </c>
      <c r="I1047">
        <v>6.12</v>
      </c>
      <c r="J1047">
        <v>37.4544</v>
      </c>
      <c r="K1047" t="str">
        <f>IFERROR(INDEX(Rosters!$C$2:$C$155,MATCH($B1047,Rosters!$B$2:$B$155,0)),"NA")</f>
        <v>lucas</v>
      </c>
      <c r="L1047" t="str">
        <f t="shared" si="48"/>
        <v>lucas3RB</v>
      </c>
      <c r="M1047">
        <f>COUNTIF(L$1:L1047,L1047)</f>
        <v>3</v>
      </c>
      <c r="N1047" t="str">
        <f t="shared" si="49"/>
        <v>lucas3RB-3</v>
      </c>
      <c r="O1047">
        <f>COUNTIFS(F$1:F1047,F1047,A$1:A1047,A1047)</f>
        <v>16</v>
      </c>
      <c r="P1047" t="str">
        <f t="shared" si="50"/>
        <v>Kenyan Drake3</v>
      </c>
    </row>
    <row r="1048" spans="1:16" x14ac:dyDescent="0.25">
      <c r="A1048">
        <v>5</v>
      </c>
      <c r="B1048" t="s">
        <v>248</v>
      </c>
      <c r="C1048" t="s">
        <v>6453</v>
      </c>
      <c r="D1048">
        <v>10.16</v>
      </c>
      <c r="E1048" t="s">
        <v>28</v>
      </c>
      <c r="F1048" t="s">
        <v>87</v>
      </c>
      <c r="G1048">
        <v>16.600000000000001</v>
      </c>
      <c r="H1048">
        <v>3.72</v>
      </c>
      <c r="I1048">
        <v>6.44</v>
      </c>
      <c r="J1048">
        <v>41.473599999999998</v>
      </c>
      <c r="K1048" t="str">
        <f>IFERROR(INDEX(Rosters!$C$2:$C$155,MATCH($B1048,Rosters!$B$2:$B$155,0)),"NA")</f>
        <v>matty</v>
      </c>
      <c r="L1048" t="str">
        <f t="shared" si="48"/>
        <v>matty5WR</v>
      </c>
      <c r="M1048">
        <f>COUNTIF(L$1:L1048,L1048)</f>
        <v>2</v>
      </c>
      <c r="N1048" t="str">
        <f t="shared" si="49"/>
        <v>matty5WR-2</v>
      </c>
      <c r="O1048">
        <f>COUNTIFS(F$1:F1048,F1048,A$1:A1048,A1048)</f>
        <v>14</v>
      </c>
      <c r="P1048" t="str">
        <f t="shared" si="50"/>
        <v>Robert Woods5</v>
      </c>
    </row>
    <row r="1049" spans="1:16" x14ac:dyDescent="0.25">
      <c r="A1049">
        <v>17</v>
      </c>
      <c r="B1049" t="s">
        <v>123</v>
      </c>
      <c r="C1049" t="s">
        <v>6454</v>
      </c>
      <c r="D1049" s="39">
        <v>10.119999999999999</v>
      </c>
      <c r="E1049" t="s">
        <v>51</v>
      </c>
      <c r="F1049" t="s">
        <v>47</v>
      </c>
      <c r="G1049">
        <v>18.37</v>
      </c>
      <c r="H1049">
        <v>1.87</v>
      </c>
      <c r="I1049">
        <v>8.25</v>
      </c>
      <c r="J1049">
        <v>68.0625</v>
      </c>
      <c r="K1049" t="str">
        <f>IFERROR(INDEX(Rosters!$C$2:$C$155,MATCH($B1049,Rosters!$B$2:$B$155,0)),"NA")</f>
        <v>aj</v>
      </c>
      <c r="L1049" t="str">
        <f t="shared" si="48"/>
        <v>aj17RB</v>
      </c>
      <c r="M1049">
        <f>COUNTIF(L$1:L1049,L1049)</f>
        <v>2</v>
      </c>
      <c r="N1049" t="str">
        <f t="shared" si="49"/>
        <v>aj17RB-2</v>
      </c>
      <c r="O1049">
        <f>COUNTIFS(F$1:F1049,F1049,A$1:A1049,A1049)</f>
        <v>18</v>
      </c>
      <c r="P1049" t="str">
        <f t="shared" si="50"/>
        <v>Joe Mixon17</v>
      </c>
    </row>
    <row r="1050" spans="1:16" x14ac:dyDescent="0.25">
      <c r="A1050">
        <v>3</v>
      </c>
      <c r="B1050" t="s">
        <v>1277</v>
      </c>
      <c r="C1050" t="s">
        <v>3660</v>
      </c>
      <c r="D1050">
        <v>10.119999999999999</v>
      </c>
      <c r="E1050" t="s">
        <v>25</v>
      </c>
      <c r="F1050" t="s">
        <v>15</v>
      </c>
      <c r="G1050">
        <v>16.29</v>
      </c>
      <c r="H1050">
        <v>3.95</v>
      </c>
      <c r="I1050">
        <v>6.17</v>
      </c>
      <c r="J1050">
        <v>38.068899999999999</v>
      </c>
      <c r="K1050" t="str">
        <f>IFERROR(INDEX(Rosters!$C$2:$C$155,MATCH($B1050,Rosters!$B$2:$B$155,0)),"NA")</f>
        <v>NA</v>
      </c>
      <c r="L1050" t="str">
        <f t="shared" si="48"/>
        <v>NA3QB</v>
      </c>
      <c r="M1050">
        <f>COUNTIF(L$1:L1050,L1050)</f>
        <v>14</v>
      </c>
      <c r="N1050" t="str">
        <f t="shared" si="49"/>
        <v>NA3QB-14</v>
      </c>
      <c r="O1050">
        <f>COUNTIFS(F$1:F1050,F1050,A$1:A1050,A1050)</f>
        <v>30</v>
      </c>
      <c r="P1050" t="str">
        <f t="shared" si="50"/>
        <v>Josh Allen3</v>
      </c>
    </row>
    <row r="1051" spans="1:16" x14ac:dyDescent="0.25">
      <c r="A1051">
        <v>16</v>
      </c>
      <c r="B1051" t="s">
        <v>132</v>
      </c>
      <c r="C1051" t="s">
        <v>6455</v>
      </c>
      <c r="D1051">
        <v>10.11</v>
      </c>
      <c r="E1051" t="s">
        <v>42</v>
      </c>
      <c r="F1051" t="s">
        <v>47</v>
      </c>
      <c r="G1051">
        <v>16.829999999999998</v>
      </c>
      <c r="H1051">
        <v>3.39</v>
      </c>
      <c r="I1051">
        <v>6.72</v>
      </c>
      <c r="J1051">
        <v>45.1584</v>
      </c>
      <c r="K1051" t="str">
        <f>IFERROR(INDEX(Rosters!$C$2:$C$155,MATCH($B1051,Rosters!$B$2:$B$155,0)),"NA")</f>
        <v>scott</v>
      </c>
      <c r="L1051" t="str">
        <f t="shared" si="48"/>
        <v>scott16RB</v>
      </c>
      <c r="M1051">
        <f>COUNTIF(L$1:L1051,L1051)</f>
        <v>3</v>
      </c>
      <c r="N1051" t="str">
        <f t="shared" si="49"/>
        <v>scott16RB-3</v>
      </c>
      <c r="O1051">
        <f>COUNTIFS(F$1:F1051,F1051,A$1:A1051,A1051)</f>
        <v>19</v>
      </c>
      <c r="P1051" t="str">
        <f t="shared" si="50"/>
        <v>Marshawn Lynch16</v>
      </c>
    </row>
    <row r="1052" spans="1:16" x14ac:dyDescent="0.25">
      <c r="A1052">
        <v>4</v>
      </c>
      <c r="B1052" t="s">
        <v>103</v>
      </c>
      <c r="C1052" t="s">
        <v>4455</v>
      </c>
      <c r="D1052">
        <v>10.1</v>
      </c>
      <c r="E1052" t="s">
        <v>52</v>
      </c>
      <c r="F1052" t="s">
        <v>87</v>
      </c>
      <c r="G1052">
        <v>16.62</v>
      </c>
      <c r="H1052">
        <v>3.58</v>
      </c>
      <c r="I1052">
        <v>6.52</v>
      </c>
      <c r="J1052">
        <v>42.510399999999997</v>
      </c>
      <c r="K1052" t="str">
        <f>IFERROR(INDEX(Rosters!$C$2:$C$155,MATCH($B1052,Rosters!$B$2:$B$155,0)),"NA")</f>
        <v>comp</v>
      </c>
      <c r="L1052" t="str">
        <f t="shared" si="48"/>
        <v>comp4WR</v>
      </c>
      <c r="M1052">
        <f>COUNTIF(L$1:L1052,L1052)</f>
        <v>3</v>
      </c>
      <c r="N1052" t="str">
        <f t="shared" si="49"/>
        <v>comp4WR-3</v>
      </c>
      <c r="O1052">
        <f>COUNTIFS(F$1:F1052,F1052,A$1:A1052,A1052)</f>
        <v>15</v>
      </c>
      <c r="P1052" t="str">
        <f t="shared" si="50"/>
        <v>Amari Cooper4</v>
      </c>
    </row>
    <row r="1053" spans="1:16" x14ac:dyDescent="0.25">
      <c r="A1053">
        <v>11</v>
      </c>
      <c r="B1053" t="s">
        <v>256</v>
      </c>
      <c r="C1053" t="s">
        <v>6456</v>
      </c>
      <c r="D1053">
        <v>10.08</v>
      </c>
      <c r="E1053" t="s">
        <v>24</v>
      </c>
      <c r="F1053" t="s">
        <v>87</v>
      </c>
      <c r="G1053">
        <v>15.97</v>
      </c>
      <c r="H1053">
        <v>4.1900000000000004</v>
      </c>
      <c r="I1053">
        <v>5.89</v>
      </c>
      <c r="J1053">
        <v>34.692100000000003</v>
      </c>
      <c r="K1053" t="str">
        <f>IFERROR(INDEX(Rosters!$C$2:$C$155,MATCH($B1053,Rosters!$B$2:$B$155,0)),"NA")</f>
        <v>lucas</v>
      </c>
      <c r="L1053" t="str">
        <f t="shared" si="48"/>
        <v>lucas11WR</v>
      </c>
      <c r="M1053">
        <f>COUNTIF(L$1:L1053,L1053)</f>
        <v>1</v>
      </c>
      <c r="N1053" t="str">
        <f t="shared" si="49"/>
        <v>lucas11WR-1</v>
      </c>
      <c r="O1053">
        <f>COUNTIFS(F$1:F1053,F1053,A$1:A1053,A1053)</f>
        <v>17</v>
      </c>
      <c r="P1053" t="str">
        <f t="shared" si="50"/>
        <v>Cooper Kupp11</v>
      </c>
    </row>
    <row r="1054" spans="1:16" x14ac:dyDescent="0.25">
      <c r="A1054">
        <v>12</v>
      </c>
      <c r="B1054" t="s">
        <v>90</v>
      </c>
      <c r="C1054" t="s">
        <v>6457</v>
      </c>
      <c r="D1054">
        <v>10.08</v>
      </c>
      <c r="E1054" t="s">
        <v>14</v>
      </c>
      <c r="F1054" t="s">
        <v>47</v>
      </c>
      <c r="G1054">
        <v>17.010000000000002</v>
      </c>
      <c r="H1054">
        <v>3.15</v>
      </c>
      <c r="I1054">
        <v>6.93</v>
      </c>
      <c r="J1054">
        <v>48.024900000000002</v>
      </c>
      <c r="K1054" t="str">
        <f>IFERROR(INDEX(Rosters!$C$2:$C$155,MATCH($B1054,Rosters!$B$2:$B$155,0)),"NA")</f>
        <v>devon</v>
      </c>
      <c r="L1054" t="str">
        <f t="shared" si="48"/>
        <v>devon12RB</v>
      </c>
      <c r="M1054">
        <f>COUNTIF(L$1:L1054,L1054)</f>
        <v>2</v>
      </c>
      <c r="N1054" t="str">
        <f t="shared" si="49"/>
        <v>devon12RB-2</v>
      </c>
      <c r="O1054">
        <f>COUNTIFS(F$1:F1054,F1054,A$1:A1054,A1054)</f>
        <v>17</v>
      </c>
      <c r="P1054" t="str">
        <f t="shared" si="50"/>
        <v>Devonta Freeman12</v>
      </c>
    </row>
    <row r="1055" spans="1:16" x14ac:dyDescent="0.25">
      <c r="A1055">
        <v>13</v>
      </c>
      <c r="B1055" t="s">
        <v>1330</v>
      </c>
      <c r="C1055" t="s">
        <v>6458</v>
      </c>
      <c r="D1055">
        <v>10.08</v>
      </c>
      <c r="E1055" t="s">
        <v>25</v>
      </c>
      <c r="F1055" t="s">
        <v>87</v>
      </c>
      <c r="G1055">
        <v>16.18</v>
      </c>
      <c r="H1055">
        <v>3.98</v>
      </c>
      <c r="I1055">
        <v>6.1</v>
      </c>
      <c r="J1055">
        <v>37.21</v>
      </c>
      <c r="K1055" t="str">
        <f>IFERROR(INDEX(Rosters!$C$2:$C$155,MATCH($B1055,Rosters!$B$2:$B$155,0)),"NA")</f>
        <v>chad</v>
      </c>
      <c r="L1055" t="str">
        <f t="shared" si="48"/>
        <v>chad13WR</v>
      </c>
      <c r="M1055">
        <f>COUNTIF(L$1:L1055,L1055)</f>
        <v>2</v>
      </c>
      <c r="N1055" t="str">
        <f t="shared" si="49"/>
        <v>chad13WR-2</v>
      </c>
      <c r="O1055">
        <f>COUNTIFS(F$1:F1055,F1055,A$1:A1055,A1055)</f>
        <v>13</v>
      </c>
      <c r="P1055" t="str">
        <f t="shared" si="50"/>
        <v>Julian Edelman13</v>
      </c>
    </row>
    <row r="1056" spans="1:16" x14ac:dyDescent="0.25">
      <c r="A1056">
        <v>9</v>
      </c>
      <c r="B1056" t="s">
        <v>1647</v>
      </c>
      <c r="C1056" t="s">
        <v>6459</v>
      </c>
      <c r="D1056">
        <v>10.07</v>
      </c>
      <c r="E1056" t="s">
        <v>56</v>
      </c>
      <c r="F1056" t="s">
        <v>47</v>
      </c>
      <c r="G1056">
        <v>16.149999999999999</v>
      </c>
      <c r="H1056">
        <v>3.99</v>
      </c>
      <c r="I1056">
        <v>6.08</v>
      </c>
      <c r="J1056">
        <v>36.9664</v>
      </c>
      <c r="K1056" t="str">
        <f>IFERROR(INDEX(Rosters!$C$2:$C$155,MATCH($B1056,Rosters!$B$2:$B$155,0)),"NA")</f>
        <v>cory</v>
      </c>
      <c r="L1056" t="str">
        <f t="shared" si="48"/>
        <v>cory9RB</v>
      </c>
      <c r="M1056">
        <f>COUNTIF(L$1:L1056,L1056)</f>
        <v>3</v>
      </c>
      <c r="N1056" t="str">
        <f t="shared" si="49"/>
        <v>cory9RB-3</v>
      </c>
      <c r="O1056">
        <f>COUNTIFS(F$1:F1056,F1056,A$1:A1056,A1056)</f>
        <v>16</v>
      </c>
      <c r="P1056" t="str">
        <f t="shared" si="50"/>
        <v>Mark Ingram II9</v>
      </c>
    </row>
    <row r="1057" spans="1:16" x14ac:dyDescent="0.25">
      <c r="A1057">
        <v>14</v>
      </c>
      <c r="B1057" t="s">
        <v>1647</v>
      </c>
      <c r="C1057" t="s">
        <v>6460</v>
      </c>
      <c r="D1057">
        <v>10.050000000000001</v>
      </c>
      <c r="E1057" t="s">
        <v>17</v>
      </c>
      <c r="F1057" t="s">
        <v>47</v>
      </c>
      <c r="G1057">
        <v>16.86</v>
      </c>
      <c r="H1057">
        <v>3.24</v>
      </c>
      <c r="I1057">
        <v>6.81</v>
      </c>
      <c r="J1057">
        <v>46.376100000000001</v>
      </c>
      <c r="K1057" t="str">
        <f>IFERROR(INDEX(Rosters!$C$2:$C$155,MATCH($B1057,Rosters!$B$2:$B$155,0)),"NA")</f>
        <v>cory</v>
      </c>
      <c r="L1057" t="str">
        <f t="shared" si="48"/>
        <v>cory14RB</v>
      </c>
      <c r="M1057">
        <f>COUNTIF(L$1:L1057,L1057)</f>
        <v>2</v>
      </c>
      <c r="N1057" t="str">
        <f t="shared" si="49"/>
        <v>cory14RB-2</v>
      </c>
      <c r="O1057">
        <f>COUNTIFS(F$1:F1057,F1057,A$1:A1057,A1057)</f>
        <v>19</v>
      </c>
      <c r="P1057" t="str">
        <f t="shared" si="50"/>
        <v>Mark Ingram II14</v>
      </c>
    </row>
    <row r="1058" spans="1:16" x14ac:dyDescent="0.25">
      <c r="A1058">
        <v>13</v>
      </c>
      <c r="B1058" t="s">
        <v>613</v>
      </c>
      <c r="C1058" t="s">
        <v>6461</v>
      </c>
      <c r="D1058">
        <v>10.050000000000001</v>
      </c>
      <c r="E1058" t="s">
        <v>56</v>
      </c>
      <c r="F1058" t="s">
        <v>87</v>
      </c>
      <c r="G1058">
        <v>16.89</v>
      </c>
      <c r="H1058">
        <v>3.21</v>
      </c>
      <c r="I1058">
        <v>6.84</v>
      </c>
      <c r="J1058">
        <v>46.785600000000002</v>
      </c>
      <c r="K1058" t="str">
        <f>IFERROR(INDEX(Rosters!$C$2:$C$155,MATCH($B1058,Rosters!$B$2:$B$155,0)),"NA")</f>
        <v>matty</v>
      </c>
      <c r="L1058" t="str">
        <f t="shared" si="48"/>
        <v>matty13WR</v>
      </c>
      <c r="M1058">
        <f>COUNTIF(L$1:L1058,L1058)</f>
        <v>2</v>
      </c>
      <c r="N1058" t="str">
        <f t="shared" si="49"/>
        <v>matty13WR-2</v>
      </c>
      <c r="O1058">
        <f>COUNTIFS(F$1:F1058,F1058,A$1:A1058,A1058)</f>
        <v>14</v>
      </c>
      <c r="P1058" t="str">
        <f t="shared" si="50"/>
        <v>Marvin Jones Jr.13</v>
      </c>
    </row>
    <row r="1059" spans="1:16" x14ac:dyDescent="0.25">
      <c r="A1059">
        <v>8</v>
      </c>
      <c r="B1059" t="s">
        <v>134</v>
      </c>
      <c r="C1059" t="s">
        <v>6462</v>
      </c>
      <c r="D1059">
        <v>10.039999999999999</v>
      </c>
      <c r="E1059" t="s">
        <v>51</v>
      </c>
      <c r="F1059" t="s">
        <v>87</v>
      </c>
      <c r="G1059">
        <v>16.64</v>
      </c>
      <c r="H1059">
        <v>3.44</v>
      </c>
      <c r="I1059">
        <v>6.6</v>
      </c>
      <c r="J1059">
        <v>43.56</v>
      </c>
      <c r="K1059" t="str">
        <f>IFERROR(INDEX(Rosters!$C$2:$C$155,MATCH($B1059,Rosters!$B$2:$B$155,0)),"NA")</f>
        <v>cory</v>
      </c>
      <c r="L1059" t="str">
        <f t="shared" si="48"/>
        <v>cory8WR</v>
      </c>
      <c r="M1059">
        <f>COUNTIF(L$1:L1059,L1059)</f>
        <v>2</v>
      </c>
      <c r="N1059" t="str">
        <f t="shared" si="49"/>
        <v>cory8WR-2</v>
      </c>
      <c r="O1059">
        <f>COUNTIFS(F$1:F1059,F1059,A$1:A1059,A1059)</f>
        <v>15</v>
      </c>
      <c r="P1059" t="str">
        <f t="shared" si="50"/>
        <v>Jarvis Landry8</v>
      </c>
    </row>
    <row r="1060" spans="1:16" x14ac:dyDescent="0.25">
      <c r="A1060">
        <v>7</v>
      </c>
      <c r="B1060" t="s">
        <v>1330</v>
      </c>
      <c r="C1060" t="s">
        <v>6463</v>
      </c>
      <c r="D1060">
        <v>10.039999999999999</v>
      </c>
      <c r="E1060" t="s">
        <v>72</v>
      </c>
      <c r="F1060" t="s">
        <v>87</v>
      </c>
      <c r="G1060">
        <v>16.43</v>
      </c>
      <c r="H1060">
        <v>3.65</v>
      </c>
      <c r="I1060">
        <v>6.39</v>
      </c>
      <c r="J1060">
        <v>40.832099999999997</v>
      </c>
      <c r="K1060" t="str">
        <f>IFERROR(INDEX(Rosters!$C$2:$C$155,MATCH($B1060,Rosters!$B$2:$B$155,0)),"NA")</f>
        <v>chad</v>
      </c>
      <c r="L1060" t="str">
        <f t="shared" si="48"/>
        <v>chad7WR</v>
      </c>
      <c r="M1060">
        <f>COUNTIF(L$1:L1060,L1060)</f>
        <v>2</v>
      </c>
      <c r="N1060" t="str">
        <f t="shared" si="49"/>
        <v>chad7WR-2</v>
      </c>
      <c r="O1060">
        <f>COUNTIFS(F$1:F1060,F1060,A$1:A1060,A1060)</f>
        <v>15</v>
      </c>
      <c r="P1060" t="str">
        <f t="shared" si="50"/>
        <v>Julian Edelman7</v>
      </c>
    </row>
    <row r="1061" spans="1:16" x14ac:dyDescent="0.25">
      <c r="A1061">
        <v>2</v>
      </c>
      <c r="B1061" t="s">
        <v>191</v>
      </c>
      <c r="C1061" t="s">
        <v>1320</v>
      </c>
      <c r="D1061">
        <v>10.029999999999999</v>
      </c>
      <c r="E1061" t="s">
        <v>41</v>
      </c>
      <c r="F1061" t="s">
        <v>87</v>
      </c>
      <c r="G1061">
        <v>17.579999999999998</v>
      </c>
      <c r="H1061">
        <v>2.48</v>
      </c>
      <c r="I1061">
        <v>7.55</v>
      </c>
      <c r="J1061">
        <v>57.002499999999998</v>
      </c>
      <c r="K1061" t="str">
        <f>IFERROR(INDEX(Rosters!$C$2:$C$155,MATCH($B1061,Rosters!$B$2:$B$155,0)),"NA")</f>
        <v>seth</v>
      </c>
      <c r="L1061" t="str">
        <f t="shared" si="48"/>
        <v>seth2WR</v>
      </c>
      <c r="M1061">
        <f>COUNTIF(L$1:L1061,L1061)</f>
        <v>2</v>
      </c>
      <c r="N1061" t="str">
        <f t="shared" si="49"/>
        <v>seth2WR-2</v>
      </c>
      <c r="O1061">
        <f>COUNTIFS(F$1:F1061,F1061,A$1:A1061,A1061)</f>
        <v>11</v>
      </c>
      <c r="P1061" t="str">
        <f t="shared" si="50"/>
        <v>Adam Thielen2</v>
      </c>
    </row>
    <row r="1062" spans="1:16" x14ac:dyDescent="0.25">
      <c r="A1062">
        <v>2</v>
      </c>
      <c r="B1062" t="s">
        <v>130</v>
      </c>
      <c r="C1062" t="s">
        <v>3319</v>
      </c>
      <c r="D1062">
        <v>10.029999999999999</v>
      </c>
      <c r="E1062" t="s">
        <v>14</v>
      </c>
      <c r="F1062" t="s">
        <v>47</v>
      </c>
      <c r="G1062">
        <v>16.37</v>
      </c>
      <c r="H1062">
        <v>3.69</v>
      </c>
      <c r="I1062">
        <v>6.34</v>
      </c>
      <c r="J1062">
        <v>40.195599999999999</v>
      </c>
      <c r="K1062" t="str">
        <f>IFERROR(INDEX(Rosters!$C$2:$C$155,MATCH($B1062,Rosters!$B$2:$B$155,0)),"NA")</f>
        <v>cory</v>
      </c>
      <c r="L1062" t="str">
        <f t="shared" si="48"/>
        <v>cory2RB</v>
      </c>
      <c r="M1062">
        <f>COUNTIF(L$1:L1062,L1062)</f>
        <v>1</v>
      </c>
      <c r="N1062" t="str">
        <f t="shared" si="49"/>
        <v>cory2RB-1</v>
      </c>
      <c r="O1062">
        <f>COUNTIFS(F$1:F1062,F1062,A$1:A1062,A1062)</f>
        <v>18</v>
      </c>
      <c r="P1062" t="str">
        <f t="shared" si="50"/>
        <v>Carlos Hyde2</v>
      </c>
    </row>
    <row r="1063" spans="1:16" x14ac:dyDescent="0.25">
      <c r="A1063">
        <v>5</v>
      </c>
      <c r="B1063" t="s">
        <v>201</v>
      </c>
      <c r="C1063" t="s">
        <v>6464</v>
      </c>
      <c r="D1063">
        <v>10.029999999999999</v>
      </c>
      <c r="E1063" t="s">
        <v>29</v>
      </c>
      <c r="F1063" t="s">
        <v>47</v>
      </c>
      <c r="G1063">
        <v>17.8</v>
      </c>
      <c r="H1063">
        <v>2.2599999999999998</v>
      </c>
      <c r="I1063">
        <v>7.77</v>
      </c>
      <c r="J1063">
        <v>60.372900000000001</v>
      </c>
      <c r="K1063" t="str">
        <f>IFERROR(INDEX(Rosters!$C$2:$C$155,MATCH($B1063,Rosters!$B$2:$B$155,0)),"NA")</f>
        <v>seth</v>
      </c>
      <c r="L1063" t="str">
        <f t="shared" si="48"/>
        <v>seth5RB</v>
      </c>
      <c r="M1063">
        <f>COUNTIF(L$1:L1063,L1063)</f>
        <v>2</v>
      </c>
      <c r="N1063" t="str">
        <f t="shared" si="49"/>
        <v>seth5RB-2</v>
      </c>
      <c r="O1063">
        <f>COUNTIFS(F$1:F1063,F1063,A$1:A1063,A1063)</f>
        <v>18</v>
      </c>
      <c r="P1063" t="str">
        <f t="shared" si="50"/>
        <v>Derrick Henry5</v>
      </c>
    </row>
    <row r="1064" spans="1:16" x14ac:dyDescent="0.25">
      <c r="A1064">
        <v>6</v>
      </c>
      <c r="B1064" t="s">
        <v>1372</v>
      </c>
      <c r="C1064" t="s">
        <v>6465</v>
      </c>
      <c r="D1064">
        <v>10.02</v>
      </c>
      <c r="E1064" t="s">
        <v>66</v>
      </c>
      <c r="F1064" t="s">
        <v>87</v>
      </c>
      <c r="G1064">
        <v>15.26</v>
      </c>
      <c r="H1064">
        <v>4.78</v>
      </c>
      <c r="I1064">
        <v>5.24</v>
      </c>
      <c r="J1064">
        <v>27.457599999999999</v>
      </c>
      <c r="K1064" t="str">
        <f>IFERROR(INDEX(Rosters!$C$2:$C$155,MATCH($B1064,Rosters!$B$2:$B$155,0)),"NA")</f>
        <v>lucas</v>
      </c>
      <c r="L1064" t="str">
        <f t="shared" si="48"/>
        <v>lucas6WR</v>
      </c>
      <c r="M1064">
        <f>COUNTIF(L$1:L1064,L1064)</f>
        <v>1</v>
      </c>
      <c r="N1064" t="str">
        <f t="shared" si="49"/>
        <v>lucas6WR-1</v>
      </c>
      <c r="O1064">
        <f>COUNTIFS(F$1:F1064,F1064,A$1:A1064,A1064)</f>
        <v>13</v>
      </c>
      <c r="P1064" t="str">
        <f t="shared" si="50"/>
        <v>Quincy Enunwa6</v>
      </c>
    </row>
    <row r="1065" spans="1:16" x14ac:dyDescent="0.25">
      <c r="A1065">
        <v>14</v>
      </c>
      <c r="B1065" t="s">
        <v>266</v>
      </c>
      <c r="C1065" t="s">
        <v>6466</v>
      </c>
      <c r="D1065">
        <v>10.02</v>
      </c>
      <c r="E1065" t="s">
        <v>66</v>
      </c>
      <c r="F1065" t="s">
        <v>87</v>
      </c>
      <c r="G1065">
        <v>17.059999999999999</v>
      </c>
      <c r="H1065">
        <v>2.98</v>
      </c>
      <c r="I1065">
        <v>7.04</v>
      </c>
      <c r="J1065">
        <v>49.561599999999999</v>
      </c>
      <c r="K1065" t="str">
        <f>IFERROR(INDEX(Rosters!$C$2:$C$155,MATCH($B1065,Rosters!$B$2:$B$155,0)),"NA")</f>
        <v>perry</v>
      </c>
      <c r="L1065" t="str">
        <f t="shared" si="48"/>
        <v>perry14WR</v>
      </c>
      <c r="M1065">
        <f>COUNTIF(L$1:L1065,L1065)</f>
        <v>3</v>
      </c>
      <c r="N1065" t="str">
        <f t="shared" si="49"/>
        <v>perry14WR-3</v>
      </c>
      <c r="O1065">
        <f>COUNTIFS(F$1:F1065,F1065,A$1:A1065,A1065)</f>
        <v>16</v>
      </c>
      <c r="P1065" t="str">
        <f t="shared" si="50"/>
        <v>Will Fuller V14</v>
      </c>
    </row>
    <row r="1066" spans="1:16" x14ac:dyDescent="0.25">
      <c r="A1066">
        <v>10</v>
      </c>
      <c r="B1066" t="s">
        <v>248</v>
      </c>
      <c r="C1066" t="s">
        <v>6467</v>
      </c>
      <c r="D1066">
        <v>10.01</v>
      </c>
      <c r="E1066" t="s">
        <v>28</v>
      </c>
      <c r="F1066" t="s">
        <v>87</v>
      </c>
      <c r="G1066">
        <v>16.11</v>
      </c>
      <c r="H1066">
        <v>3.91</v>
      </c>
      <c r="I1066">
        <v>6.1</v>
      </c>
      <c r="J1066">
        <v>37.21</v>
      </c>
      <c r="K1066" t="str">
        <f>IFERROR(INDEX(Rosters!$C$2:$C$155,MATCH($B1066,Rosters!$B$2:$B$155,0)),"NA")</f>
        <v>matty</v>
      </c>
      <c r="L1066" t="str">
        <f t="shared" si="48"/>
        <v>matty10WR</v>
      </c>
      <c r="M1066">
        <f>COUNTIF(L$1:L1066,L1066)</f>
        <v>2</v>
      </c>
      <c r="N1066" t="str">
        <f t="shared" si="49"/>
        <v>matty10WR-2</v>
      </c>
      <c r="O1066">
        <f>COUNTIFS(F$1:F1066,F1066,A$1:A1066,A1066)</f>
        <v>14</v>
      </c>
      <c r="P1066" t="str">
        <f t="shared" si="50"/>
        <v>Robert Woods10</v>
      </c>
    </row>
    <row r="1067" spans="1:16" x14ac:dyDescent="0.25">
      <c r="A1067">
        <v>7</v>
      </c>
      <c r="B1067" t="s">
        <v>256</v>
      </c>
      <c r="C1067" t="s">
        <v>6468</v>
      </c>
      <c r="D1067">
        <v>10</v>
      </c>
      <c r="E1067" t="s">
        <v>30</v>
      </c>
      <c r="F1067" t="s">
        <v>87</v>
      </c>
      <c r="G1067">
        <v>16.64</v>
      </c>
      <c r="H1067">
        <v>3.36</v>
      </c>
      <c r="I1067">
        <v>6.64</v>
      </c>
      <c r="J1067">
        <v>44.089599999999997</v>
      </c>
      <c r="K1067" t="str">
        <f>IFERROR(INDEX(Rosters!$C$2:$C$155,MATCH($B1067,Rosters!$B$2:$B$155,0)),"NA")</f>
        <v>lucas</v>
      </c>
      <c r="L1067" t="str">
        <f t="shared" si="48"/>
        <v>lucas7WR</v>
      </c>
      <c r="M1067">
        <f>COUNTIF(L$1:L1067,L1067)</f>
        <v>1</v>
      </c>
      <c r="N1067" t="str">
        <f t="shared" si="49"/>
        <v>lucas7WR-1</v>
      </c>
      <c r="O1067">
        <f>COUNTIFS(F$1:F1067,F1067,A$1:A1067,A1067)</f>
        <v>16</v>
      </c>
      <c r="P1067" t="str">
        <f t="shared" si="50"/>
        <v>Cooper Kupp7</v>
      </c>
    </row>
    <row r="1068" spans="1:16" x14ac:dyDescent="0.25">
      <c r="A1068">
        <v>10</v>
      </c>
      <c r="B1068" t="s">
        <v>256</v>
      </c>
      <c r="C1068" t="s">
        <v>6469</v>
      </c>
      <c r="D1068">
        <v>10</v>
      </c>
      <c r="E1068" t="s">
        <v>28</v>
      </c>
      <c r="F1068" t="s">
        <v>87</v>
      </c>
      <c r="G1068">
        <v>15.69</v>
      </c>
      <c r="H1068">
        <v>4.3099999999999996</v>
      </c>
      <c r="I1068">
        <v>5.69</v>
      </c>
      <c r="J1068">
        <v>32.376100000000001</v>
      </c>
      <c r="K1068" t="str">
        <f>IFERROR(INDEX(Rosters!$C$2:$C$155,MATCH($B1068,Rosters!$B$2:$B$155,0)),"NA")</f>
        <v>lucas</v>
      </c>
      <c r="L1068" t="str">
        <f t="shared" si="48"/>
        <v>lucas10WR</v>
      </c>
      <c r="M1068">
        <f>COUNTIF(L$1:L1068,L1068)</f>
        <v>1</v>
      </c>
      <c r="N1068" t="str">
        <f t="shared" si="49"/>
        <v>lucas10WR-1</v>
      </c>
      <c r="O1068">
        <f>COUNTIFS(F$1:F1068,F1068,A$1:A1068,A1068)</f>
        <v>15</v>
      </c>
      <c r="P1068" t="str">
        <f t="shared" si="50"/>
        <v>Cooper Kupp10</v>
      </c>
    </row>
    <row r="1069" spans="1:16" x14ac:dyDescent="0.25">
      <c r="A1069">
        <v>2</v>
      </c>
      <c r="B1069" t="s">
        <v>205</v>
      </c>
      <c r="C1069" t="s">
        <v>3320</v>
      </c>
      <c r="D1069">
        <v>10</v>
      </c>
      <c r="E1069" t="s">
        <v>25</v>
      </c>
      <c r="F1069" t="s">
        <v>47</v>
      </c>
      <c r="G1069">
        <v>15.65</v>
      </c>
      <c r="H1069">
        <v>4.3499999999999996</v>
      </c>
      <c r="I1069">
        <v>5.65</v>
      </c>
      <c r="J1069">
        <v>31.922499999999999</v>
      </c>
      <c r="K1069" t="str">
        <f>IFERROR(INDEX(Rosters!$C$2:$C$155,MATCH($B1069,Rosters!$B$2:$B$155,0)),"NA")</f>
        <v>NA</v>
      </c>
      <c r="L1069" t="str">
        <f t="shared" si="48"/>
        <v>NA2RB</v>
      </c>
      <c r="M1069">
        <f>COUNTIF(L$1:L1069,L1069)</f>
        <v>1</v>
      </c>
      <c r="N1069" t="str">
        <f t="shared" si="49"/>
        <v>NA2RB-1</v>
      </c>
      <c r="O1069">
        <f>COUNTIFS(F$1:F1069,F1069,A$1:A1069,A1069)</f>
        <v>19</v>
      </c>
      <c r="P1069" t="str">
        <f t="shared" si="50"/>
        <v>Jamaal Williams2</v>
      </c>
    </row>
    <row r="1070" spans="1:16" x14ac:dyDescent="0.25">
      <c r="A1070">
        <v>13</v>
      </c>
      <c r="B1070" t="s">
        <v>133</v>
      </c>
      <c r="C1070" t="s">
        <v>6470</v>
      </c>
      <c r="D1070">
        <v>10</v>
      </c>
      <c r="E1070" t="s">
        <v>423</v>
      </c>
      <c r="F1070" t="s">
        <v>87</v>
      </c>
      <c r="G1070">
        <v>15.89</v>
      </c>
      <c r="H1070">
        <v>4.1100000000000003</v>
      </c>
      <c r="I1070">
        <v>5.89</v>
      </c>
      <c r="J1070">
        <v>34.692100000000003</v>
      </c>
      <c r="K1070" t="str">
        <f>IFERROR(INDEX(Rosters!$C$2:$C$155,MATCH($B1070,Rosters!$B$2:$B$155,0)),"NA")</f>
        <v>aj</v>
      </c>
      <c r="L1070" t="str">
        <f t="shared" si="48"/>
        <v>aj13WR</v>
      </c>
      <c r="M1070">
        <f>COUNTIF(L$1:L1070,L1070)</f>
        <v>3</v>
      </c>
      <c r="N1070" t="str">
        <f t="shared" si="49"/>
        <v>aj13WR-3</v>
      </c>
      <c r="O1070">
        <f>COUNTIFS(F$1:F1070,F1070,A$1:A1070,A1070)</f>
        <v>15</v>
      </c>
      <c r="P1070" t="str">
        <f t="shared" si="50"/>
        <v>Stefon Diggs13</v>
      </c>
    </row>
    <row r="1071" spans="1:16" x14ac:dyDescent="0.25">
      <c r="A1071">
        <v>9</v>
      </c>
      <c r="B1071" t="s">
        <v>151</v>
      </c>
      <c r="C1071" t="s">
        <v>6471</v>
      </c>
      <c r="D1071">
        <v>10</v>
      </c>
      <c r="E1071" t="s">
        <v>52</v>
      </c>
      <c r="F1071" t="s">
        <v>114</v>
      </c>
      <c r="G1071">
        <v>15.43</v>
      </c>
      <c r="H1071">
        <v>4.57</v>
      </c>
      <c r="I1071">
        <v>5.43</v>
      </c>
      <c r="J1071">
        <v>29.4849</v>
      </c>
      <c r="K1071" t="str">
        <f>IFERROR(INDEX(Rosters!$C$2:$C$155,MATCH($B1071,Rosters!$B$2:$B$155,0)),"NA")</f>
        <v>aj</v>
      </c>
      <c r="L1071" t="str">
        <f t="shared" si="48"/>
        <v>aj9TE</v>
      </c>
      <c r="M1071">
        <f>COUNTIF(L$1:L1071,L1071)</f>
        <v>1</v>
      </c>
      <c r="N1071" t="str">
        <f t="shared" si="49"/>
        <v>aj9TE-1</v>
      </c>
      <c r="O1071">
        <f>COUNTIFS(F$1:F1071,F1071,A$1:A1071,A1071)</f>
        <v>2</v>
      </c>
      <c r="P1071" t="str">
        <f t="shared" si="50"/>
        <v>Travis Kelce9</v>
      </c>
    </row>
    <row r="1072" spans="1:16" x14ac:dyDescent="0.25">
      <c r="A1072">
        <v>14</v>
      </c>
      <c r="B1072" t="s">
        <v>104</v>
      </c>
      <c r="C1072" t="s">
        <v>6472</v>
      </c>
      <c r="D1072">
        <v>9.99</v>
      </c>
      <c r="E1072" t="s">
        <v>37</v>
      </c>
      <c r="F1072" t="s">
        <v>87</v>
      </c>
      <c r="G1072">
        <v>16.43</v>
      </c>
      <c r="H1072">
        <v>3.55</v>
      </c>
      <c r="I1072">
        <v>6.44</v>
      </c>
      <c r="J1072">
        <v>41.473599999999998</v>
      </c>
      <c r="K1072" t="str">
        <f>IFERROR(INDEX(Rosters!$C$2:$C$155,MATCH($B1072,Rosters!$B$2:$B$155,0)),"NA")</f>
        <v>devon</v>
      </c>
      <c r="L1072" t="str">
        <f t="shared" si="48"/>
        <v>devon14WR</v>
      </c>
      <c r="M1072">
        <f>COUNTIF(L$1:L1072,L1072)</f>
        <v>1</v>
      </c>
      <c r="N1072" t="str">
        <f t="shared" si="49"/>
        <v>devon14WR-1</v>
      </c>
      <c r="O1072">
        <f>COUNTIFS(F$1:F1072,F1072,A$1:A1072,A1072)</f>
        <v>17</v>
      </c>
      <c r="P1072" t="str">
        <f t="shared" si="50"/>
        <v>A.J. Green14</v>
      </c>
    </row>
    <row r="1073" spans="1:16" x14ac:dyDescent="0.25">
      <c r="A1073">
        <v>8</v>
      </c>
      <c r="B1073" t="s">
        <v>256</v>
      </c>
      <c r="C1073" t="s">
        <v>6473</v>
      </c>
      <c r="D1073">
        <v>9.99</v>
      </c>
      <c r="E1073" t="s">
        <v>41</v>
      </c>
      <c r="F1073" t="s">
        <v>87</v>
      </c>
      <c r="G1073">
        <v>16.27</v>
      </c>
      <c r="H1073">
        <v>3.71</v>
      </c>
      <c r="I1073">
        <v>6.28</v>
      </c>
      <c r="J1073">
        <v>39.438400000000001</v>
      </c>
      <c r="K1073" t="str">
        <f>IFERROR(INDEX(Rosters!$C$2:$C$155,MATCH($B1073,Rosters!$B$2:$B$155,0)),"NA")</f>
        <v>lucas</v>
      </c>
      <c r="L1073" t="str">
        <f t="shared" si="48"/>
        <v>lucas8WR</v>
      </c>
      <c r="M1073">
        <f>COUNTIF(L$1:L1073,L1073)</f>
        <v>1</v>
      </c>
      <c r="N1073" t="str">
        <f t="shared" si="49"/>
        <v>lucas8WR-1</v>
      </c>
      <c r="O1073">
        <f>COUNTIFS(F$1:F1073,F1073,A$1:A1073,A1073)</f>
        <v>16</v>
      </c>
      <c r="P1073" t="str">
        <f t="shared" si="50"/>
        <v>Cooper Kupp8</v>
      </c>
    </row>
    <row r="1074" spans="1:16" x14ac:dyDescent="0.25">
      <c r="A1074">
        <v>1</v>
      </c>
      <c r="B1074" t="s">
        <v>135</v>
      </c>
      <c r="C1074" t="s">
        <v>1321</v>
      </c>
      <c r="D1074">
        <v>9.99</v>
      </c>
      <c r="E1074" t="s">
        <v>72</v>
      </c>
      <c r="F1074" t="s">
        <v>87</v>
      </c>
      <c r="G1074">
        <v>16.29</v>
      </c>
      <c r="H1074">
        <v>3.69</v>
      </c>
      <c r="I1074">
        <v>6.3</v>
      </c>
      <c r="J1074">
        <v>39.69</v>
      </c>
      <c r="K1074" t="str">
        <f>IFERROR(INDEX(Rosters!$C$2:$C$155,MATCH($B1074,Rosters!$B$2:$B$155,0)),"NA")</f>
        <v>perry</v>
      </c>
      <c r="L1074" t="str">
        <f t="shared" si="48"/>
        <v>perry1WR</v>
      </c>
      <c r="M1074">
        <f>COUNTIF(L$1:L1074,L1074)</f>
        <v>2</v>
      </c>
      <c r="N1074" t="str">
        <f t="shared" si="49"/>
        <v>perry1WR-2</v>
      </c>
      <c r="O1074">
        <f>COUNTIFS(F$1:F1074,F1074,A$1:A1074,A1074)</f>
        <v>10</v>
      </c>
      <c r="P1074" t="str">
        <f t="shared" si="50"/>
        <v>Davante Adams1</v>
      </c>
    </row>
    <row r="1075" spans="1:16" x14ac:dyDescent="0.25">
      <c r="A1075">
        <v>3</v>
      </c>
      <c r="B1075" t="s">
        <v>196</v>
      </c>
      <c r="C1075" t="s">
        <v>3897</v>
      </c>
      <c r="D1075">
        <v>9.99</v>
      </c>
      <c r="E1075" t="s">
        <v>74</v>
      </c>
      <c r="F1075" t="s">
        <v>47</v>
      </c>
      <c r="G1075">
        <v>16.34</v>
      </c>
      <c r="H1075">
        <v>3.64</v>
      </c>
      <c r="I1075">
        <v>6.35</v>
      </c>
      <c r="J1075">
        <v>40.322499999999998</v>
      </c>
      <c r="K1075" t="str">
        <f>IFERROR(INDEX(Rosters!$C$2:$C$155,MATCH($B1075,Rosters!$B$2:$B$155,0)),"NA")</f>
        <v>NA</v>
      </c>
      <c r="L1075" t="str">
        <f t="shared" si="48"/>
        <v>NA3RB</v>
      </c>
      <c r="M1075">
        <f>COUNTIF(L$1:L1075,L1075)</f>
        <v>2</v>
      </c>
      <c r="N1075" t="str">
        <f t="shared" si="49"/>
        <v>NA3RB-2</v>
      </c>
      <c r="O1075">
        <f>COUNTIFS(F$1:F1075,F1075,A$1:A1075,A1075)</f>
        <v>17</v>
      </c>
      <c r="P1075" t="str">
        <f t="shared" si="50"/>
        <v>Giovani Bernard3</v>
      </c>
    </row>
    <row r="1076" spans="1:16" x14ac:dyDescent="0.25">
      <c r="A1076">
        <v>12</v>
      </c>
      <c r="B1076" t="s">
        <v>103</v>
      </c>
      <c r="C1076" t="s">
        <v>6474</v>
      </c>
      <c r="D1076">
        <v>9.98</v>
      </c>
      <c r="E1076" t="s">
        <v>77</v>
      </c>
      <c r="F1076" t="s">
        <v>87</v>
      </c>
      <c r="G1076">
        <v>17.21</v>
      </c>
      <c r="H1076">
        <v>2.75</v>
      </c>
      <c r="I1076">
        <v>7.23</v>
      </c>
      <c r="J1076">
        <v>52.2729</v>
      </c>
      <c r="K1076" t="str">
        <f>IFERROR(INDEX(Rosters!$C$2:$C$155,MATCH($B1076,Rosters!$B$2:$B$155,0)),"NA")</f>
        <v>comp</v>
      </c>
      <c r="L1076" t="str">
        <f t="shared" si="48"/>
        <v>comp12WR</v>
      </c>
      <c r="M1076">
        <f>COUNTIF(L$1:L1076,L1076)</f>
        <v>3</v>
      </c>
      <c r="N1076" t="str">
        <f t="shared" si="49"/>
        <v>comp12WR-3</v>
      </c>
      <c r="O1076">
        <f>COUNTIFS(F$1:F1076,F1076,A$1:A1076,A1076)</f>
        <v>14</v>
      </c>
      <c r="P1076" t="str">
        <f t="shared" si="50"/>
        <v>Amari Cooper12</v>
      </c>
    </row>
    <row r="1077" spans="1:16" x14ac:dyDescent="0.25">
      <c r="A1077">
        <v>4</v>
      </c>
      <c r="B1077" t="s">
        <v>796</v>
      </c>
      <c r="C1077" t="s">
        <v>4456</v>
      </c>
      <c r="D1077">
        <v>9.9700000000000006</v>
      </c>
      <c r="E1077" t="s">
        <v>51</v>
      </c>
      <c r="F1077" t="s">
        <v>47</v>
      </c>
      <c r="G1077">
        <v>16.78</v>
      </c>
      <c r="H1077">
        <v>3.16</v>
      </c>
      <c r="I1077">
        <v>6.81</v>
      </c>
      <c r="J1077">
        <v>46.376100000000001</v>
      </c>
      <c r="K1077" t="str">
        <f>IFERROR(INDEX(Rosters!$C$2:$C$155,MATCH($B1077,Rosters!$B$2:$B$155,0)),"NA")</f>
        <v>seth</v>
      </c>
      <c r="L1077" t="str">
        <f t="shared" si="48"/>
        <v>seth4RB</v>
      </c>
      <c r="M1077">
        <f>COUNTIF(L$1:L1077,L1077)</f>
        <v>2</v>
      </c>
      <c r="N1077" t="str">
        <f t="shared" si="49"/>
        <v>seth4RB-2</v>
      </c>
      <c r="O1077">
        <f>COUNTIFS(F$1:F1077,F1077,A$1:A1077,A1077)</f>
        <v>17</v>
      </c>
      <c r="P1077" t="str">
        <f t="shared" si="50"/>
        <v>Alex Collins4</v>
      </c>
    </row>
    <row r="1078" spans="1:16" x14ac:dyDescent="0.25">
      <c r="A1078">
        <v>10</v>
      </c>
      <c r="B1078" t="s">
        <v>201</v>
      </c>
      <c r="C1078" t="s">
        <v>6475</v>
      </c>
      <c r="D1078">
        <v>9.9700000000000006</v>
      </c>
      <c r="E1078" t="s">
        <v>423</v>
      </c>
      <c r="F1078" t="s">
        <v>47</v>
      </c>
      <c r="G1078">
        <v>17</v>
      </c>
      <c r="H1078">
        <v>2.94</v>
      </c>
      <c r="I1078">
        <v>7.03</v>
      </c>
      <c r="J1078">
        <v>49.420900000000003</v>
      </c>
      <c r="K1078" t="str">
        <f>IFERROR(INDEX(Rosters!$C$2:$C$155,MATCH($B1078,Rosters!$B$2:$B$155,0)),"NA")</f>
        <v>seth</v>
      </c>
      <c r="L1078" t="str">
        <f t="shared" si="48"/>
        <v>seth10RB</v>
      </c>
      <c r="M1078">
        <f>COUNTIF(L$1:L1078,L1078)</f>
        <v>2</v>
      </c>
      <c r="N1078" t="str">
        <f t="shared" si="49"/>
        <v>seth10RB-2</v>
      </c>
      <c r="O1078">
        <f>COUNTIFS(F$1:F1078,F1078,A$1:A1078,A1078)</f>
        <v>18</v>
      </c>
      <c r="P1078" t="str">
        <f t="shared" si="50"/>
        <v>Derrick Henry10</v>
      </c>
    </row>
    <row r="1079" spans="1:16" x14ac:dyDescent="0.25">
      <c r="A1079">
        <v>6</v>
      </c>
      <c r="B1079" t="s">
        <v>248</v>
      </c>
      <c r="C1079" t="s">
        <v>6476</v>
      </c>
      <c r="D1079">
        <v>9.9700000000000006</v>
      </c>
      <c r="E1079" t="s">
        <v>42</v>
      </c>
      <c r="F1079" t="s">
        <v>87</v>
      </c>
      <c r="G1079">
        <v>16.07</v>
      </c>
      <c r="H1079">
        <v>3.87</v>
      </c>
      <c r="I1079">
        <v>6.1</v>
      </c>
      <c r="J1079">
        <v>37.21</v>
      </c>
      <c r="K1079" t="str">
        <f>IFERROR(INDEX(Rosters!$C$2:$C$155,MATCH($B1079,Rosters!$B$2:$B$155,0)),"NA")</f>
        <v>matty</v>
      </c>
      <c r="L1079" t="str">
        <f t="shared" si="48"/>
        <v>matty6WR</v>
      </c>
      <c r="M1079">
        <f>COUNTIF(L$1:L1079,L1079)</f>
        <v>2</v>
      </c>
      <c r="N1079" t="str">
        <f t="shared" si="49"/>
        <v>matty6WR-2</v>
      </c>
      <c r="O1079">
        <f>COUNTIFS(F$1:F1079,F1079,A$1:A1079,A1079)</f>
        <v>14</v>
      </c>
      <c r="P1079" t="str">
        <f t="shared" si="50"/>
        <v>Robert Woods6</v>
      </c>
    </row>
    <row r="1080" spans="1:16" x14ac:dyDescent="0.25">
      <c r="A1080">
        <v>3</v>
      </c>
      <c r="B1080" t="s">
        <v>107</v>
      </c>
      <c r="C1080" t="s">
        <v>3661</v>
      </c>
      <c r="D1080">
        <v>9.9700000000000006</v>
      </c>
      <c r="E1080" t="s">
        <v>50</v>
      </c>
      <c r="F1080" t="s">
        <v>87</v>
      </c>
      <c r="G1080">
        <v>17.63</v>
      </c>
      <c r="H1080">
        <v>2.31</v>
      </c>
      <c r="I1080">
        <v>7.66</v>
      </c>
      <c r="J1080">
        <v>58.675600000000003</v>
      </c>
      <c r="K1080" t="str">
        <f>IFERROR(INDEX(Rosters!$C$2:$C$155,MATCH($B1080,Rosters!$B$2:$B$155,0)),"NA")</f>
        <v>comp</v>
      </c>
      <c r="L1080" t="str">
        <f t="shared" si="48"/>
        <v>comp3WR</v>
      </c>
      <c r="M1080">
        <f>COUNTIF(L$1:L1080,L1080)</f>
        <v>2</v>
      </c>
      <c r="N1080" t="str">
        <f t="shared" si="49"/>
        <v>comp3WR-2</v>
      </c>
      <c r="O1080">
        <f>COUNTIFS(F$1:F1080,F1080,A$1:A1080,A1080)</f>
        <v>15</v>
      </c>
      <c r="P1080" t="str">
        <f t="shared" si="50"/>
        <v>T.Y. Hilton3</v>
      </c>
    </row>
    <row r="1081" spans="1:16" x14ac:dyDescent="0.25">
      <c r="A1081">
        <v>10</v>
      </c>
      <c r="B1081" t="s">
        <v>107</v>
      </c>
      <c r="C1081" t="s">
        <v>6477</v>
      </c>
      <c r="D1081">
        <v>9.9700000000000006</v>
      </c>
      <c r="E1081" t="s">
        <v>76</v>
      </c>
      <c r="F1081" t="s">
        <v>87</v>
      </c>
      <c r="G1081">
        <v>15.59</v>
      </c>
      <c r="H1081">
        <v>4.3499999999999996</v>
      </c>
      <c r="I1081">
        <v>5.62</v>
      </c>
      <c r="J1081">
        <v>31.584399999999999</v>
      </c>
      <c r="K1081" t="str">
        <f>IFERROR(INDEX(Rosters!$C$2:$C$155,MATCH($B1081,Rosters!$B$2:$B$155,0)),"NA")</f>
        <v>comp</v>
      </c>
      <c r="L1081" t="str">
        <f t="shared" si="48"/>
        <v>comp10WR</v>
      </c>
      <c r="M1081">
        <f>COUNTIF(L$1:L1081,L1081)</f>
        <v>2</v>
      </c>
      <c r="N1081" t="str">
        <f t="shared" si="49"/>
        <v>comp10WR-2</v>
      </c>
      <c r="O1081">
        <f>COUNTIFS(F$1:F1081,F1081,A$1:A1081,A1081)</f>
        <v>16</v>
      </c>
      <c r="P1081" t="str">
        <f t="shared" si="50"/>
        <v>T.Y. Hilton10</v>
      </c>
    </row>
    <row r="1082" spans="1:16" x14ac:dyDescent="0.25">
      <c r="A1082">
        <v>16</v>
      </c>
      <c r="B1082" t="s">
        <v>104</v>
      </c>
      <c r="C1082" t="s">
        <v>6478</v>
      </c>
      <c r="D1082">
        <v>9.9600000000000009</v>
      </c>
      <c r="E1082" t="s">
        <v>52</v>
      </c>
      <c r="F1082" t="s">
        <v>87</v>
      </c>
      <c r="G1082">
        <v>15.57</v>
      </c>
      <c r="H1082">
        <v>4.3499999999999996</v>
      </c>
      <c r="I1082">
        <v>5.61</v>
      </c>
      <c r="J1082">
        <v>31.472100000000001</v>
      </c>
      <c r="K1082" t="str">
        <f>IFERROR(INDEX(Rosters!$C$2:$C$155,MATCH($B1082,Rosters!$B$2:$B$155,0)),"NA")</f>
        <v>devon</v>
      </c>
      <c r="L1082" t="str">
        <f t="shared" si="48"/>
        <v>devon16WR</v>
      </c>
      <c r="M1082">
        <f>COUNTIF(L$1:L1082,L1082)</f>
        <v>1</v>
      </c>
      <c r="N1082" t="str">
        <f t="shared" si="49"/>
        <v>devon16WR-1</v>
      </c>
      <c r="O1082">
        <f>COUNTIFS(F$1:F1082,F1082,A$1:A1082,A1082)</f>
        <v>16</v>
      </c>
      <c r="P1082" t="str">
        <f t="shared" si="50"/>
        <v>A.J. Green16</v>
      </c>
    </row>
    <row r="1083" spans="1:16" x14ac:dyDescent="0.25">
      <c r="A1083">
        <v>3</v>
      </c>
      <c r="B1083" t="s">
        <v>108</v>
      </c>
      <c r="C1083" t="s">
        <v>3662</v>
      </c>
      <c r="D1083">
        <v>9.9600000000000009</v>
      </c>
      <c r="E1083" t="s">
        <v>37</v>
      </c>
      <c r="F1083" t="s">
        <v>87</v>
      </c>
      <c r="G1083">
        <v>15.23</v>
      </c>
      <c r="H1083">
        <v>4.6900000000000004</v>
      </c>
      <c r="I1083">
        <v>5.27</v>
      </c>
      <c r="J1083">
        <v>27.7729</v>
      </c>
      <c r="K1083" t="str">
        <f>IFERROR(INDEX(Rosters!$C$2:$C$155,MATCH($B1083,Rosters!$B$2:$B$155,0)),"NA")</f>
        <v>perry</v>
      </c>
      <c r="L1083" t="str">
        <f t="shared" si="48"/>
        <v>perry3WR</v>
      </c>
      <c r="M1083">
        <f>COUNTIF(L$1:L1083,L1083)</f>
        <v>2</v>
      </c>
      <c r="N1083" t="str">
        <f t="shared" si="49"/>
        <v>perry3WR-2</v>
      </c>
      <c r="O1083">
        <f>COUNTIFS(F$1:F1083,F1083,A$1:A1083,A1083)</f>
        <v>16</v>
      </c>
      <c r="P1083" t="str">
        <f t="shared" si="50"/>
        <v>Brandin Cooks3</v>
      </c>
    </row>
    <row r="1084" spans="1:16" x14ac:dyDescent="0.25">
      <c r="A1084">
        <v>2</v>
      </c>
      <c r="B1084" t="s">
        <v>202</v>
      </c>
      <c r="C1084" t="s">
        <v>1686</v>
      </c>
      <c r="D1084">
        <v>9.9499999999999993</v>
      </c>
      <c r="E1084" t="s">
        <v>66</v>
      </c>
      <c r="F1084" t="s">
        <v>47</v>
      </c>
      <c r="G1084">
        <v>16.399999999999999</v>
      </c>
      <c r="H1084">
        <v>3.5</v>
      </c>
      <c r="I1084">
        <v>6.45</v>
      </c>
      <c r="J1084">
        <v>41.602499999999999</v>
      </c>
      <c r="K1084" t="str">
        <f>IFERROR(INDEX(Rosters!$C$2:$C$155,MATCH($B1084,Rosters!$B$2:$B$155,0)),"NA")</f>
        <v>lucas</v>
      </c>
      <c r="L1084" t="str">
        <f t="shared" si="48"/>
        <v>lucas2RB</v>
      </c>
      <c r="M1084">
        <f>COUNTIF(L$1:L1084,L1084)</f>
        <v>3</v>
      </c>
      <c r="N1084" t="str">
        <f t="shared" si="49"/>
        <v>lucas2RB-3</v>
      </c>
      <c r="O1084">
        <f>COUNTIFS(F$1:F1084,F1084,A$1:A1084,A1084)</f>
        <v>20</v>
      </c>
      <c r="P1084" t="str">
        <f t="shared" si="50"/>
        <v>Chris Thompson2</v>
      </c>
    </row>
    <row r="1085" spans="1:16" x14ac:dyDescent="0.25">
      <c r="A1085">
        <v>15</v>
      </c>
      <c r="B1085" t="s">
        <v>193</v>
      </c>
      <c r="C1085" t="s">
        <v>6479</v>
      </c>
      <c r="D1085">
        <v>9.9499999999999993</v>
      </c>
      <c r="E1085" t="s">
        <v>51</v>
      </c>
      <c r="F1085" t="s">
        <v>47</v>
      </c>
      <c r="G1085">
        <v>15.91</v>
      </c>
      <c r="H1085">
        <v>3.99</v>
      </c>
      <c r="I1085">
        <v>5.96</v>
      </c>
      <c r="J1085">
        <v>35.521599999999999</v>
      </c>
      <c r="K1085" t="str">
        <f>IFERROR(INDEX(Rosters!$C$2:$C$155,MATCH($B1085,Rosters!$B$2:$B$155,0)),"NA")</f>
        <v>cory</v>
      </c>
      <c r="L1085" t="str">
        <f t="shared" si="48"/>
        <v>cory15RB</v>
      </c>
      <c r="M1085">
        <f>COUNTIF(L$1:L1085,L1085)</f>
        <v>2</v>
      </c>
      <c r="N1085" t="str">
        <f t="shared" si="49"/>
        <v>cory15RB-2</v>
      </c>
      <c r="O1085">
        <f>COUNTIFS(F$1:F1085,F1085,A$1:A1085,A1085)</f>
        <v>19</v>
      </c>
      <c r="P1085" t="str">
        <f t="shared" si="50"/>
        <v>James White15</v>
      </c>
    </row>
    <row r="1086" spans="1:16" x14ac:dyDescent="0.25">
      <c r="A1086">
        <v>13</v>
      </c>
      <c r="B1086" t="s">
        <v>134</v>
      </c>
      <c r="C1086" t="s">
        <v>6480</v>
      </c>
      <c r="D1086">
        <v>9.9499999999999993</v>
      </c>
      <c r="E1086" t="s">
        <v>36</v>
      </c>
      <c r="F1086" t="s">
        <v>87</v>
      </c>
      <c r="G1086">
        <v>15.75</v>
      </c>
      <c r="H1086">
        <v>4.1500000000000004</v>
      </c>
      <c r="I1086">
        <v>5.8</v>
      </c>
      <c r="J1086">
        <v>33.64</v>
      </c>
      <c r="K1086" t="str">
        <f>IFERROR(INDEX(Rosters!$C$2:$C$155,MATCH($B1086,Rosters!$B$2:$B$155,0)),"NA")</f>
        <v>cory</v>
      </c>
      <c r="L1086" t="str">
        <f t="shared" si="48"/>
        <v>cory13WR</v>
      </c>
      <c r="M1086">
        <f>COUNTIF(L$1:L1086,L1086)</f>
        <v>3</v>
      </c>
      <c r="N1086" t="str">
        <f t="shared" si="49"/>
        <v>cory13WR-3</v>
      </c>
      <c r="O1086">
        <f>COUNTIFS(F$1:F1086,F1086,A$1:A1086,A1086)</f>
        <v>16</v>
      </c>
      <c r="P1086" t="str">
        <f t="shared" si="50"/>
        <v>Jarvis Landry13</v>
      </c>
    </row>
    <row r="1087" spans="1:16" x14ac:dyDescent="0.25">
      <c r="A1087">
        <v>16</v>
      </c>
      <c r="B1087" t="s">
        <v>1372</v>
      </c>
      <c r="C1087" t="s">
        <v>6481</v>
      </c>
      <c r="D1087">
        <v>9.9499999999999993</v>
      </c>
      <c r="E1087" t="s">
        <v>41</v>
      </c>
      <c r="F1087" t="s">
        <v>87</v>
      </c>
      <c r="G1087">
        <v>15.59</v>
      </c>
      <c r="H1087">
        <v>4.3099999999999996</v>
      </c>
      <c r="I1087">
        <v>5.64</v>
      </c>
      <c r="J1087">
        <v>31.8096</v>
      </c>
      <c r="K1087" t="str">
        <f>IFERROR(INDEX(Rosters!$C$2:$C$155,MATCH($B1087,Rosters!$B$2:$B$155,0)),"NA")</f>
        <v>lucas</v>
      </c>
      <c r="L1087" t="str">
        <f t="shared" si="48"/>
        <v>lucas16WR</v>
      </c>
      <c r="M1087">
        <f>COUNTIF(L$1:L1087,L1087)</f>
        <v>1</v>
      </c>
      <c r="N1087" t="str">
        <f t="shared" si="49"/>
        <v>lucas16WR-1</v>
      </c>
      <c r="O1087">
        <f>COUNTIFS(F$1:F1087,F1087,A$1:A1087,A1087)</f>
        <v>17</v>
      </c>
      <c r="P1087" t="str">
        <f t="shared" si="50"/>
        <v>Quincy Enunwa16</v>
      </c>
    </row>
    <row r="1088" spans="1:16" x14ac:dyDescent="0.25">
      <c r="A1088">
        <v>15</v>
      </c>
      <c r="B1088" t="s">
        <v>248</v>
      </c>
      <c r="C1088" t="s">
        <v>6482</v>
      </c>
      <c r="D1088">
        <v>9.9499999999999993</v>
      </c>
      <c r="E1088" t="s">
        <v>50</v>
      </c>
      <c r="F1088" t="s">
        <v>87</v>
      </c>
      <c r="G1088">
        <v>15.4</v>
      </c>
      <c r="H1088">
        <v>4.5</v>
      </c>
      <c r="I1088">
        <v>5.45</v>
      </c>
      <c r="J1088">
        <v>29.702500000000001</v>
      </c>
      <c r="K1088" t="str">
        <f>IFERROR(INDEX(Rosters!$C$2:$C$155,MATCH($B1088,Rosters!$B$2:$B$155,0)),"NA")</f>
        <v>matty</v>
      </c>
      <c r="L1088" t="str">
        <f t="shared" si="48"/>
        <v>matty15WR</v>
      </c>
      <c r="M1088">
        <f>COUNTIF(L$1:L1088,L1088)</f>
        <v>2</v>
      </c>
      <c r="N1088" t="str">
        <f t="shared" si="49"/>
        <v>matty15WR-2</v>
      </c>
      <c r="O1088">
        <f>COUNTIFS(F$1:F1088,F1088,A$1:A1088,A1088)</f>
        <v>16</v>
      </c>
      <c r="P1088" t="str">
        <f t="shared" si="50"/>
        <v>Robert Woods15</v>
      </c>
    </row>
    <row r="1089" spans="1:16" x14ac:dyDescent="0.25">
      <c r="A1089">
        <v>11</v>
      </c>
      <c r="B1089" t="s">
        <v>133</v>
      </c>
      <c r="C1089" t="s">
        <v>6483</v>
      </c>
      <c r="D1089">
        <v>9.9499999999999993</v>
      </c>
      <c r="E1089" t="s">
        <v>72</v>
      </c>
      <c r="F1089" t="s">
        <v>87</v>
      </c>
      <c r="G1089">
        <v>16.309999999999999</v>
      </c>
      <c r="H1089">
        <v>3.59</v>
      </c>
      <c r="I1089">
        <v>6.36</v>
      </c>
      <c r="J1089">
        <v>40.449599999999997</v>
      </c>
      <c r="K1089" t="str">
        <f>IFERROR(INDEX(Rosters!$C$2:$C$155,MATCH($B1089,Rosters!$B$2:$B$155,0)),"NA")</f>
        <v>aj</v>
      </c>
      <c r="L1089" t="str">
        <f t="shared" si="48"/>
        <v>aj11WR</v>
      </c>
      <c r="M1089">
        <f>COUNTIF(L$1:L1089,L1089)</f>
        <v>3</v>
      </c>
      <c r="N1089" t="str">
        <f t="shared" si="49"/>
        <v>aj11WR-3</v>
      </c>
      <c r="O1089">
        <f>COUNTIFS(F$1:F1089,F1089,A$1:A1089,A1089)</f>
        <v>18</v>
      </c>
      <c r="P1089" t="str">
        <f t="shared" si="50"/>
        <v>Stefon Diggs11</v>
      </c>
    </row>
    <row r="1090" spans="1:16" x14ac:dyDescent="0.25">
      <c r="A1090">
        <v>6</v>
      </c>
      <c r="B1090" t="s">
        <v>158</v>
      </c>
      <c r="C1090" t="s">
        <v>6484</v>
      </c>
      <c r="D1090">
        <v>9.93</v>
      </c>
      <c r="E1090" t="s">
        <v>74</v>
      </c>
      <c r="F1090" t="s">
        <v>47</v>
      </c>
      <c r="G1090">
        <v>15.16</v>
      </c>
      <c r="H1090">
        <v>4.7</v>
      </c>
      <c r="I1090">
        <v>5.23</v>
      </c>
      <c r="J1090">
        <v>27.352900000000002</v>
      </c>
      <c r="K1090" t="str">
        <f>IFERROR(INDEX(Rosters!$C$2:$C$155,MATCH($B1090,Rosters!$B$2:$B$155,0)),"NA")</f>
        <v>comp</v>
      </c>
      <c r="L1090" t="str">
        <f t="shared" si="48"/>
        <v>comp6RB</v>
      </c>
      <c r="M1090">
        <f>COUNTIF(L$1:L1090,L1090)</f>
        <v>2</v>
      </c>
      <c r="N1090" t="str">
        <f t="shared" si="49"/>
        <v>comp6RB-2</v>
      </c>
      <c r="O1090">
        <f>COUNTIFS(F$1:F1090,F1090,A$1:A1090,A1090)</f>
        <v>19</v>
      </c>
      <c r="P1090" t="str">
        <f t="shared" si="50"/>
        <v>Adrian Peterson6</v>
      </c>
    </row>
    <row r="1091" spans="1:16" x14ac:dyDescent="0.25">
      <c r="A1091">
        <v>3</v>
      </c>
      <c r="B1091" t="s">
        <v>796</v>
      </c>
      <c r="C1091" t="s">
        <v>3663</v>
      </c>
      <c r="D1091">
        <v>9.93</v>
      </c>
      <c r="E1091" t="s">
        <v>42</v>
      </c>
      <c r="F1091" t="s">
        <v>47</v>
      </c>
      <c r="G1091">
        <v>16.37</v>
      </c>
      <c r="H1091">
        <v>3.49</v>
      </c>
      <c r="I1091">
        <v>6.44</v>
      </c>
      <c r="J1091">
        <v>41.473599999999998</v>
      </c>
      <c r="K1091" t="str">
        <f>IFERROR(INDEX(Rosters!$C$2:$C$155,MATCH($B1091,Rosters!$B$2:$B$155,0)),"NA")</f>
        <v>seth</v>
      </c>
      <c r="L1091" t="str">
        <f t="shared" ref="L1091:L1154" si="51">K1091&amp;A1091&amp;F1091</f>
        <v>seth3RB</v>
      </c>
      <c r="M1091">
        <f>COUNTIF(L$1:L1091,L1091)</f>
        <v>2</v>
      </c>
      <c r="N1091" t="str">
        <f t="shared" ref="N1091:N1154" si="52">L1091&amp;"-"&amp;M1091</f>
        <v>seth3RB-2</v>
      </c>
      <c r="O1091">
        <f>COUNTIFS(F$1:F1091,F1091,A$1:A1091,A1091)</f>
        <v>18</v>
      </c>
      <c r="P1091" t="str">
        <f t="shared" ref="P1091:P1154" si="53">B1091&amp;A1091</f>
        <v>Alex Collins3</v>
      </c>
    </row>
    <row r="1092" spans="1:16" x14ac:dyDescent="0.25">
      <c r="A1092">
        <v>4</v>
      </c>
      <c r="B1092" t="s">
        <v>149</v>
      </c>
      <c r="C1092" t="s">
        <v>4457</v>
      </c>
      <c r="D1092">
        <v>9.93</v>
      </c>
      <c r="E1092" t="s">
        <v>24</v>
      </c>
      <c r="F1092" t="s">
        <v>87</v>
      </c>
      <c r="G1092">
        <v>15.37</v>
      </c>
      <c r="H1092">
        <v>4.49</v>
      </c>
      <c r="I1092">
        <v>5.44</v>
      </c>
      <c r="J1092">
        <v>29.593599999999999</v>
      </c>
      <c r="K1092" t="str">
        <f>IFERROR(INDEX(Rosters!$C$2:$C$155,MATCH($B1092,Rosters!$B$2:$B$155,0)),"NA")</f>
        <v>comp</v>
      </c>
      <c r="L1092" t="str">
        <f t="shared" si="51"/>
        <v>comp4WR</v>
      </c>
      <c r="M1092">
        <f>COUNTIF(L$1:L1092,L1092)</f>
        <v>4</v>
      </c>
      <c r="N1092" t="str">
        <f t="shared" si="52"/>
        <v>comp4WR-4</v>
      </c>
      <c r="O1092">
        <f>COUNTIFS(F$1:F1092,F1092,A$1:A1092,A1092)</f>
        <v>16</v>
      </c>
      <c r="P1092" t="str">
        <f t="shared" si="53"/>
        <v>Emmanuel Sanders4</v>
      </c>
    </row>
    <row r="1093" spans="1:16" x14ac:dyDescent="0.25">
      <c r="A1093">
        <v>6</v>
      </c>
      <c r="B1093" t="s">
        <v>134</v>
      </c>
      <c r="C1093" t="s">
        <v>6485</v>
      </c>
      <c r="D1093">
        <v>9.93</v>
      </c>
      <c r="E1093" t="s">
        <v>37</v>
      </c>
      <c r="F1093" t="s">
        <v>87</v>
      </c>
      <c r="G1093">
        <v>16.68</v>
      </c>
      <c r="H1093">
        <v>3.18</v>
      </c>
      <c r="I1093">
        <v>6.75</v>
      </c>
      <c r="J1093">
        <v>45.5625</v>
      </c>
      <c r="K1093" t="str">
        <f>IFERROR(INDEX(Rosters!$C$2:$C$155,MATCH($B1093,Rosters!$B$2:$B$155,0)),"NA")</f>
        <v>cory</v>
      </c>
      <c r="L1093" t="str">
        <f t="shared" si="51"/>
        <v>cory6WR</v>
      </c>
      <c r="M1093">
        <f>COUNTIF(L$1:L1093,L1093)</f>
        <v>2</v>
      </c>
      <c r="N1093" t="str">
        <f t="shared" si="52"/>
        <v>cory6WR-2</v>
      </c>
      <c r="O1093">
        <f>COUNTIFS(F$1:F1093,F1093,A$1:A1093,A1093)</f>
        <v>15</v>
      </c>
      <c r="P1093" t="str">
        <f t="shared" si="53"/>
        <v>Jarvis Landry6</v>
      </c>
    </row>
    <row r="1094" spans="1:16" x14ac:dyDescent="0.25">
      <c r="A1094">
        <v>11</v>
      </c>
      <c r="B1094" t="s">
        <v>201</v>
      </c>
      <c r="C1094" t="s">
        <v>6486</v>
      </c>
      <c r="D1094">
        <v>9.91</v>
      </c>
      <c r="E1094" t="s">
        <v>66</v>
      </c>
      <c r="F1094" t="s">
        <v>47</v>
      </c>
      <c r="G1094">
        <v>17.21</v>
      </c>
      <c r="H1094">
        <v>2.61</v>
      </c>
      <c r="I1094">
        <v>7.3</v>
      </c>
      <c r="J1094">
        <v>53.29</v>
      </c>
      <c r="K1094" t="str">
        <f>IFERROR(INDEX(Rosters!$C$2:$C$155,MATCH($B1094,Rosters!$B$2:$B$155,0)),"NA")</f>
        <v>seth</v>
      </c>
      <c r="L1094" t="str">
        <f t="shared" si="51"/>
        <v>seth11RB</v>
      </c>
      <c r="M1094">
        <f>COUNTIF(L$1:L1094,L1094)</f>
        <v>2</v>
      </c>
      <c r="N1094" t="str">
        <f t="shared" si="52"/>
        <v>seth11RB-2</v>
      </c>
      <c r="O1094">
        <f>COUNTIFS(F$1:F1094,F1094,A$1:A1094,A1094)</f>
        <v>17</v>
      </c>
      <c r="P1094" t="str">
        <f t="shared" si="53"/>
        <v>Derrick Henry11</v>
      </c>
    </row>
    <row r="1095" spans="1:16" x14ac:dyDescent="0.25">
      <c r="A1095">
        <v>16</v>
      </c>
      <c r="B1095" t="s">
        <v>122</v>
      </c>
      <c r="C1095" t="s">
        <v>6487</v>
      </c>
      <c r="D1095">
        <v>9.91</v>
      </c>
      <c r="E1095" t="s">
        <v>25</v>
      </c>
      <c r="F1095" t="s">
        <v>87</v>
      </c>
      <c r="G1095">
        <v>15.33</v>
      </c>
      <c r="H1095">
        <v>4.49</v>
      </c>
      <c r="I1095">
        <v>5.42</v>
      </c>
      <c r="J1095">
        <v>29.3764</v>
      </c>
      <c r="K1095" t="str">
        <f>IFERROR(INDEX(Rosters!$C$2:$C$155,MATCH($B1095,Rosters!$B$2:$B$155,0)),"NA")</f>
        <v>devon</v>
      </c>
      <c r="L1095" t="str">
        <f t="shared" si="51"/>
        <v>devon16WR</v>
      </c>
      <c r="M1095">
        <f>COUNTIF(L$1:L1095,L1095)</f>
        <v>2</v>
      </c>
      <c r="N1095" t="str">
        <f t="shared" si="52"/>
        <v>devon16WR-2</v>
      </c>
      <c r="O1095">
        <f>COUNTIFS(F$1:F1095,F1095,A$1:A1095,A1095)</f>
        <v>18</v>
      </c>
      <c r="P1095" t="str">
        <f t="shared" si="53"/>
        <v>Golden Tate16</v>
      </c>
    </row>
    <row r="1096" spans="1:16" x14ac:dyDescent="0.25">
      <c r="A1096">
        <v>13</v>
      </c>
      <c r="B1096" t="s">
        <v>90</v>
      </c>
      <c r="C1096" t="s">
        <v>6488</v>
      </c>
      <c r="D1096">
        <v>9.9</v>
      </c>
      <c r="E1096" t="s">
        <v>77</v>
      </c>
      <c r="F1096" t="s">
        <v>47</v>
      </c>
      <c r="G1096">
        <v>16.350000000000001</v>
      </c>
      <c r="H1096">
        <v>3.45</v>
      </c>
      <c r="I1096">
        <v>6.45</v>
      </c>
      <c r="J1096">
        <v>41.602499999999999</v>
      </c>
      <c r="K1096" t="str">
        <f>IFERROR(INDEX(Rosters!$C$2:$C$155,MATCH($B1096,Rosters!$B$2:$B$155,0)),"NA")</f>
        <v>devon</v>
      </c>
      <c r="L1096" t="str">
        <f t="shared" si="51"/>
        <v>devon13RB</v>
      </c>
      <c r="M1096">
        <f>COUNTIF(L$1:L1096,L1096)</f>
        <v>3</v>
      </c>
      <c r="N1096" t="str">
        <f t="shared" si="52"/>
        <v>devon13RB-3</v>
      </c>
      <c r="O1096">
        <f>COUNTIFS(F$1:F1096,F1096,A$1:A1096,A1096)</f>
        <v>18</v>
      </c>
      <c r="P1096" t="str">
        <f t="shared" si="53"/>
        <v>Devonta Freeman13</v>
      </c>
    </row>
    <row r="1097" spans="1:16" x14ac:dyDescent="0.25">
      <c r="A1097">
        <v>14</v>
      </c>
      <c r="B1097" t="s">
        <v>90</v>
      </c>
      <c r="C1097" t="s">
        <v>6489</v>
      </c>
      <c r="D1097">
        <v>9.9</v>
      </c>
      <c r="E1097" t="s">
        <v>41</v>
      </c>
      <c r="F1097" t="s">
        <v>47</v>
      </c>
      <c r="G1097">
        <v>16.73</v>
      </c>
      <c r="H1097">
        <v>3.07</v>
      </c>
      <c r="I1097">
        <v>6.83</v>
      </c>
      <c r="J1097">
        <v>46.648899999999998</v>
      </c>
      <c r="K1097" t="str">
        <f>IFERROR(INDEX(Rosters!$C$2:$C$155,MATCH($B1097,Rosters!$B$2:$B$155,0)),"NA")</f>
        <v>devon</v>
      </c>
      <c r="L1097" t="str">
        <f t="shared" si="51"/>
        <v>devon14RB</v>
      </c>
      <c r="M1097">
        <f>COUNTIF(L$1:L1097,L1097)</f>
        <v>3</v>
      </c>
      <c r="N1097" t="str">
        <f t="shared" si="52"/>
        <v>devon14RB-3</v>
      </c>
      <c r="O1097">
        <f>COUNTIFS(F$1:F1097,F1097,A$1:A1097,A1097)</f>
        <v>20</v>
      </c>
      <c r="P1097" t="str">
        <f t="shared" si="53"/>
        <v>Devonta Freeman14</v>
      </c>
    </row>
    <row r="1098" spans="1:16" x14ac:dyDescent="0.25">
      <c r="A1098">
        <v>9</v>
      </c>
      <c r="B1098" t="s">
        <v>149</v>
      </c>
      <c r="C1098" t="s">
        <v>6490</v>
      </c>
      <c r="D1098">
        <v>9.89</v>
      </c>
      <c r="E1098" t="s">
        <v>36</v>
      </c>
      <c r="F1098" t="s">
        <v>87</v>
      </c>
      <c r="G1098">
        <v>16.07</v>
      </c>
      <c r="H1098">
        <v>3.71</v>
      </c>
      <c r="I1098">
        <v>6.18</v>
      </c>
      <c r="J1098">
        <v>38.192399999999999</v>
      </c>
      <c r="K1098" t="str">
        <f>IFERROR(INDEX(Rosters!$C$2:$C$155,MATCH($B1098,Rosters!$B$2:$B$155,0)),"NA")</f>
        <v>comp</v>
      </c>
      <c r="L1098" t="str">
        <f t="shared" si="51"/>
        <v>comp9WR</v>
      </c>
      <c r="M1098">
        <f>COUNTIF(L$1:L1098,L1098)</f>
        <v>2</v>
      </c>
      <c r="N1098" t="str">
        <f t="shared" si="52"/>
        <v>comp9WR-2</v>
      </c>
      <c r="O1098">
        <f>COUNTIFS(F$1:F1098,F1098,A$1:A1098,A1098)</f>
        <v>15</v>
      </c>
      <c r="P1098" t="str">
        <f t="shared" si="53"/>
        <v>Emmanuel Sanders9</v>
      </c>
    </row>
    <row r="1099" spans="1:16" x14ac:dyDescent="0.25">
      <c r="A1099">
        <v>13</v>
      </c>
      <c r="B1099" t="s">
        <v>1105</v>
      </c>
      <c r="C1099" t="s">
        <v>6491</v>
      </c>
      <c r="D1099">
        <v>9.89</v>
      </c>
      <c r="E1099" t="s">
        <v>37</v>
      </c>
      <c r="F1099" t="s">
        <v>87</v>
      </c>
      <c r="G1099">
        <v>15.39</v>
      </c>
      <c r="H1099">
        <v>4.3899999999999997</v>
      </c>
      <c r="I1099">
        <v>5.5</v>
      </c>
      <c r="J1099">
        <v>30.25</v>
      </c>
      <c r="K1099" t="str">
        <f>IFERROR(INDEX(Rosters!$C$2:$C$155,MATCH($B1099,Rosters!$B$2:$B$155,0)),"NA")</f>
        <v>scott</v>
      </c>
      <c r="L1099" t="str">
        <f t="shared" si="51"/>
        <v>scott13WR</v>
      </c>
      <c r="M1099">
        <f>COUNTIF(L$1:L1099,L1099)</f>
        <v>1</v>
      </c>
      <c r="N1099" t="str">
        <f t="shared" si="52"/>
        <v>scott13WR-1</v>
      </c>
      <c r="O1099">
        <f>COUNTIFS(F$1:F1099,F1099,A$1:A1099,A1099)</f>
        <v>17</v>
      </c>
      <c r="P1099" t="str">
        <f t="shared" si="53"/>
        <v>JuJu Smith-Schuster13</v>
      </c>
    </row>
    <row r="1100" spans="1:16" x14ac:dyDescent="0.25">
      <c r="A1100">
        <v>1</v>
      </c>
      <c r="B1100" t="s">
        <v>1570</v>
      </c>
      <c r="C1100" t="s">
        <v>1789</v>
      </c>
      <c r="D1100">
        <v>9.89</v>
      </c>
      <c r="E1100" t="s">
        <v>77</v>
      </c>
      <c r="F1100" t="s">
        <v>15</v>
      </c>
      <c r="G1100">
        <v>16.22</v>
      </c>
      <c r="H1100">
        <v>3.56</v>
      </c>
      <c r="I1100">
        <v>6.33</v>
      </c>
      <c r="J1100">
        <v>40.068899999999999</v>
      </c>
      <c r="K1100" t="str">
        <f>IFERROR(INDEX(Rosters!$C$2:$C$155,MATCH($B1100,Rosters!$B$2:$B$155,0)),"NA")</f>
        <v>NA</v>
      </c>
      <c r="L1100" t="str">
        <f t="shared" si="51"/>
        <v>NA1QB</v>
      </c>
      <c r="M1100">
        <f>COUNTIF(L$1:L1100,L1100)</f>
        <v>16</v>
      </c>
      <c r="N1100" t="str">
        <f t="shared" si="52"/>
        <v>NA1QB-16</v>
      </c>
      <c r="O1100">
        <f>COUNTIFS(F$1:F1100,F1100,A$1:A1100,A1100)</f>
        <v>31</v>
      </c>
      <c r="P1100" t="str">
        <f t="shared" si="53"/>
        <v>Nathan Peterman1</v>
      </c>
    </row>
    <row r="1101" spans="1:16" x14ac:dyDescent="0.25">
      <c r="A1101">
        <v>12</v>
      </c>
      <c r="B1101" t="s">
        <v>122</v>
      </c>
      <c r="C1101" t="s">
        <v>6492</v>
      </c>
      <c r="D1101">
        <v>9.8800000000000008</v>
      </c>
      <c r="E1101" t="s">
        <v>72</v>
      </c>
      <c r="F1101" t="s">
        <v>87</v>
      </c>
      <c r="G1101">
        <v>15.24</v>
      </c>
      <c r="H1101">
        <v>4.5199999999999996</v>
      </c>
      <c r="I1101">
        <v>5.36</v>
      </c>
      <c r="J1101">
        <v>28.729600000000001</v>
      </c>
      <c r="K1101" t="str">
        <f>IFERROR(INDEX(Rosters!$C$2:$C$155,MATCH($B1101,Rosters!$B$2:$B$155,0)),"NA")</f>
        <v>devon</v>
      </c>
      <c r="L1101" t="str">
        <f t="shared" si="51"/>
        <v>devon12WR</v>
      </c>
      <c r="M1101">
        <f>COUNTIF(L$1:L1101,L1101)</f>
        <v>2</v>
      </c>
      <c r="N1101" t="str">
        <f t="shared" si="52"/>
        <v>devon12WR-2</v>
      </c>
      <c r="O1101">
        <f>COUNTIFS(F$1:F1101,F1101,A$1:A1101,A1101)</f>
        <v>15</v>
      </c>
      <c r="P1101" t="str">
        <f t="shared" si="53"/>
        <v>Golden Tate12</v>
      </c>
    </row>
    <row r="1102" spans="1:16" x14ac:dyDescent="0.25">
      <c r="A1102">
        <v>15</v>
      </c>
      <c r="B1102" t="s">
        <v>185</v>
      </c>
      <c r="C1102" t="s">
        <v>6493</v>
      </c>
      <c r="D1102">
        <v>9.8800000000000008</v>
      </c>
      <c r="E1102" t="s">
        <v>17</v>
      </c>
      <c r="F1102" t="s">
        <v>87</v>
      </c>
      <c r="G1102">
        <v>15.42</v>
      </c>
      <c r="H1102">
        <v>4.34</v>
      </c>
      <c r="I1102">
        <v>5.54</v>
      </c>
      <c r="J1102">
        <v>30.691600000000001</v>
      </c>
      <c r="K1102" t="str">
        <f>IFERROR(INDEX(Rosters!$C$2:$C$155,MATCH($B1102,Rosters!$B$2:$B$155,0)),"NA")</f>
        <v>scott</v>
      </c>
      <c r="L1102" t="str">
        <f t="shared" si="51"/>
        <v>scott15WR</v>
      </c>
      <c r="M1102">
        <f>COUNTIF(L$1:L1102,L1102)</f>
        <v>2</v>
      </c>
      <c r="N1102" t="str">
        <f t="shared" si="52"/>
        <v>scott15WR-2</v>
      </c>
      <c r="O1102">
        <f>COUNTIFS(F$1:F1102,F1102,A$1:A1102,A1102)</f>
        <v>17</v>
      </c>
      <c r="P1102" t="str">
        <f t="shared" si="53"/>
        <v>John Brown15</v>
      </c>
    </row>
    <row r="1103" spans="1:16" x14ac:dyDescent="0.25">
      <c r="A1103">
        <v>14</v>
      </c>
      <c r="B1103" t="s">
        <v>613</v>
      </c>
      <c r="C1103" t="s">
        <v>6494</v>
      </c>
      <c r="D1103">
        <v>9.8800000000000008</v>
      </c>
      <c r="E1103" t="s">
        <v>58</v>
      </c>
      <c r="F1103" t="s">
        <v>87</v>
      </c>
      <c r="G1103">
        <v>16.46</v>
      </c>
      <c r="H1103">
        <v>3.3</v>
      </c>
      <c r="I1103">
        <v>6.58</v>
      </c>
      <c r="J1103">
        <v>43.296399999999998</v>
      </c>
      <c r="K1103" t="str">
        <f>IFERROR(INDEX(Rosters!$C$2:$C$155,MATCH($B1103,Rosters!$B$2:$B$155,0)),"NA")</f>
        <v>matty</v>
      </c>
      <c r="L1103" t="str">
        <f t="shared" si="51"/>
        <v>matty14WR</v>
      </c>
      <c r="M1103">
        <f>COUNTIF(L$1:L1103,L1103)</f>
        <v>3</v>
      </c>
      <c r="N1103" t="str">
        <f t="shared" si="52"/>
        <v>matty14WR-3</v>
      </c>
      <c r="O1103">
        <f>COUNTIFS(F$1:F1103,F1103,A$1:A1103,A1103)</f>
        <v>18</v>
      </c>
      <c r="P1103" t="str">
        <f t="shared" si="53"/>
        <v>Marvin Jones Jr.14</v>
      </c>
    </row>
    <row r="1104" spans="1:16" x14ac:dyDescent="0.25">
      <c r="A1104">
        <v>1</v>
      </c>
      <c r="B1104" t="s">
        <v>93</v>
      </c>
      <c r="C1104" t="s">
        <v>1322</v>
      </c>
      <c r="D1104">
        <v>9.8699999999999992</v>
      </c>
      <c r="E1104" t="s">
        <v>50</v>
      </c>
      <c r="F1104" t="s">
        <v>87</v>
      </c>
      <c r="G1104">
        <v>18</v>
      </c>
      <c r="H1104">
        <v>1.74</v>
      </c>
      <c r="I1104">
        <v>8.1300000000000008</v>
      </c>
      <c r="J1104">
        <v>66.096900000000005</v>
      </c>
      <c r="K1104" t="str">
        <f>IFERROR(INDEX(Rosters!$C$2:$C$155,MATCH($B1104,Rosters!$B$2:$B$155,0)),"NA")</f>
        <v>cory</v>
      </c>
      <c r="L1104" t="str">
        <f t="shared" si="51"/>
        <v>cory1WR</v>
      </c>
      <c r="M1104">
        <f>COUNTIF(L$1:L1104,L1104)</f>
        <v>2</v>
      </c>
      <c r="N1104" t="str">
        <f t="shared" si="52"/>
        <v>cory1WR-2</v>
      </c>
      <c r="O1104">
        <f>COUNTIFS(F$1:F1104,F1104,A$1:A1104,A1104)</f>
        <v>11</v>
      </c>
      <c r="P1104" t="str">
        <f t="shared" si="53"/>
        <v>Julio Jones1</v>
      </c>
    </row>
    <row r="1105" spans="1:16" x14ac:dyDescent="0.25">
      <c r="A1105">
        <v>13</v>
      </c>
      <c r="B1105" t="s">
        <v>151</v>
      </c>
      <c r="C1105" t="s">
        <v>6495</v>
      </c>
      <c r="D1105">
        <v>9.8699999999999992</v>
      </c>
      <c r="E1105" t="s">
        <v>32</v>
      </c>
      <c r="F1105" t="s">
        <v>114</v>
      </c>
      <c r="G1105">
        <v>14.9</v>
      </c>
      <c r="H1105">
        <v>4.84</v>
      </c>
      <c r="I1105">
        <v>5.03</v>
      </c>
      <c r="J1105">
        <v>25.300899999999999</v>
      </c>
      <c r="K1105" t="str">
        <f>IFERROR(INDEX(Rosters!$C$2:$C$155,MATCH($B1105,Rosters!$B$2:$B$155,0)),"NA")</f>
        <v>aj</v>
      </c>
      <c r="L1105" t="str">
        <f t="shared" si="51"/>
        <v>aj13TE</v>
      </c>
      <c r="M1105">
        <f>COUNTIF(L$1:L1105,L1105)</f>
        <v>1</v>
      </c>
      <c r="N1105" t="str">
        <f t="shared" si="52"/>
        <v>aj13TE-1</v>
      </c>
      <c r="O1105">
        <f>COUNTIFS(F$1:F1105,F1105,A$1:A1105,A1105)</f>
        <v>1</v>
      </c>
      <c r="P1105" t="str">
        <f t="shared" si="53"/>
        <v>Travis Kelce13</v>
      </c>
    </row>
    <row r="1106" spans="1:16" x14ac:dyDescent="0.25">
      <c r="A1106">
        <v>13</v>
      </c>
      <c r="B1106" t="s">
        <v>86</v>
      </c>
      <c r="C1106" t="s">
        <v>6496</v>
      </c>
      <c r="D1106">
        <v>9.86</v>
      </c>
      <c r="E1106" t="s">
        <v>72</v>
      </c>
      <c r="F1106" t="s">
        <v>87</v>
      </c>
      <c r="G1106">
        <v>15.64</v>
      </c>
      <c r="H1106">
        <v>4.08</v>
      </c>
      <c r="I1106">
        <v>5.78</v>
      </c>
      <c r="J1106">
        <v>33.4084</v>
      </c>
      <c r="K1106" t="str">
        <f>IFERROR(INDEX(Rosters!$C$2:$C$155,MATCH($B1106,Rosters!$B$2:$B$155,0)),"NA")</f>
        <v>seth</v>
      </c>
      <c r="L1106" t="str">
        <f t="shared" si="51"/>
        <v>seth13WR</v>
      </c>
      <c r="M1106">
        <f>COUNTIF(L$1:L1106,L1106)</f>
        <v>2</v>
      </c>
      <c r="N1106" t="str">
        <f t="shared" si="52"/>
        <v>seth13WR-2</v>
      </c>
      <c r="O1106">
        <f>COUNTIFS(F$1:F1106,F1106,A$1:A1106,A1106)</f>
        <v>18</v>
      </c>
      <c r="P1106" t="str">
        <f t="shared" si="53"/>
        <v>Odell Beckham Jr.13</v>
      </c>
    </row>
    <row r="1107" spans="1:16" x14ac:dyDescent="0.25">
      <c r="A1107">
        <v>6</v>
      </c>
      <c r="B1107" t="s">
        <v>133</v>
      </c>
      <c r="C1107" t="s">
        <v>6497</v>
      </c>
      <c r="D1107">
        <v>9.86</v>
      </c>
      <c r="E1107" t="s">
        <v>58</v>
      </c>
      <c r="F1107" t="s">
        <v>87</v>
      </c>
      <c r="G1107">
        <v>16.5</v>
      </c>
      <c r="H1107">
        <v>3.22</v>
      </c>
      <c r="I1107">
        <v>6.64</v>
      </c>
      <c r="J1107">
        <v>44.089599999999997</v>
      </c>
      <c r="K1107" t="str">
        <f>IFERROR(INDEX(Rosters!$C$2:$C$155,MATCH($B1107,Rosters!$B$2:$B$155,0)),"NA")</f>
        <v>aj</v>
      </c>
      <c r="L1107" t="str">
        <f t="shared" si="51"/>
        <v>aj6WR</v>
      </c>
      <c r="M1107">
        <f>COUNTIF(L$1:L1107,L1107)</f>
        <v>3</v>
      </c>
      <c r="N1107" t="str">
        <f t="shared" si="52"/>
        <v>aj6WR-3</v>
      </c>
      <c r="O1107">
        <f>COUNTIFS(F$1:F1107,F1107,A$1:A1107,A1107)</f>
        <v>16</v>
      </c>
      <c r="P1107" t="str">
        <f t="shared" si="53"/>
        <v>Stefon Diggs6</v>
      </c>
    </row>
    <row r="1108" spans="1:16" x14ac:dyDescent="0.25">
      <c r="A1108">
        <v>17</v>
      </c>
      <c r="B1108" t="s">
        <v>1330</v>
      </c>
      <c r="C1108" t="s">
        <v>6498</v>
      </c>
      <c r="D1108">
        <v>9.85</v>
      </c>
      <c r="E1108" t="s">
        <v>73</v>
      </c>
      <c r="F1108" t="s">
        <v>87</v>
      </c>
      <c r="G1108">
        <v>15.94</v>
      </c>
      <c r="H1108">
        <v>3.76</v>
      </c>
      <c r="I1108">
        <v>6.09</v>
      </c>
      <c r="J1108">
        <v>37.088099999999997</v>
      </c>
      <c r="K1108" t="str">
        <f>IFERROR(INDEX(Rosters!$C$2:$C$155,MATCH($B1108,Rosters!$B$2:$B$155,0)),"NA")</f>
        <v>chad</v>
      </c>
      <c r="L1108" t="str">
        <f t="shared" si="51"/>
        <v>chad17WR</v>
      </c>
      <c r="M1108">
        <f>COUNTIF(L$1:L1108,L1108)</f>
        <v>2</v>
      </c>
      <c r="N1108" t="str">
        <f t="shared" si="52"/>
        <v>chad17WR-2</v>
      </c>
      <c r="O1108">
        <f>COUNTIFS(F$1:F1108,F1108,A$1:A1108,A1108)</f>
        <v>19</v>
      </c>
      <c r="P1108" t="str">
        <f t="shared" si="53"/>
        <v>Julian Edelman17</v>
      </c>
    </row>
    <row r="1109" spans="1:16" x14ac:dyDescent="0.25">
      <c r="A1109">
        <v>12</v>
      </c>
      <c r="B1109" t="s">
        <v>1352</v>
      </c>
      <c r="C1109" t="s">
        <v>6499</v>
      </c>
      <c r="D1109">
        <v>9.84</v>
      </c>
      <c r="E1109" t="s">
        <v>73</v>
      </c>
      <c r="F1109" t="s">
        <v>47</v>
      </c>
      <c r="G1109">
        <v>16.53</v>
      </c>
      <c r="H1109">
        <v>3.15</v>
      </c>
      <c r="I1109">
        <v>6.69</v>
      </c>
      <c r="J1109">
        <v>44.756100000000004</v>
      </c>
      <c r="K1109" t="str">
        <f>IFERROR(INDEX(Rosters!$C$2:$C$155,MATCH($B1109,Rosters!$B$2:$B$155,0)),"NA")</f>
        <v>devon</v>
      </c>
      <c r="L1109" t="str">
        <f t="shared" si="51"/>
        <v>devon12RB</v>
      </c>
      <c r="M1109">
        <f>COUNTIF(L$1:L1109,L1109)</f>
        <v>3</v>
      </c>
      <c r="N1109" t="str">
        <f t="shared" si="52"/>
        <v>devon12RB-3</v>
      </c>
      <c r="O1109">
        <f>COUNTIFS(F$1:F1109,F1109,A$1:A1109,A1109)</f>
        <v>18</v>
      </c>
      <c r="P1109" t="str">
        <f t="shared" si="53"/>
        <v>Sony Michel12</v>
      </c>
    </row>
    <row r="1110" spans="1:16" x14ac:dyDescent="0.25">
      <c r="A1110">
        <v>16</v>
      </c>
      <c r="B1110" t="s">
        <v>126</v>
      </c>
      <c r="C1110" t="s">
        <v>6500</v>
      </c>
      <c r="D1110">
        <v>9.83</v>
      </c>
      <c r="E1110" t="s">
        <v>36</v>
      </c>
      <c r="F1110" t="s">
        <v>87</v>
      </c>
      <c r="G1110">
        <v>16.68</v>
      </c>
      <c r="H1110">
        <v>2.98</v>
      </c>
      <c r="I1110">
        <v>6.85</v>
      </c>
      <c r="J1110">
        <v>46.922499999999999</v>
      </c>
      <c r="K1110" t="str">
        <f>IFERROR(INDEX(Rosters!$C$2:$C$155,MATCH($B1110,Rosters!$B$2:$B$155,0)),"NA")</f>
        <v>devon</v>
      </c>
      <c r="L1110" t="str">
        <f t="shared" si="51"/>
        <v>devon16WR</v>
      </c>
      <c r="M1110">
        <f>COUNTIF(L$1:L1110,L1110)</f>
        <v>3</v>
      </c>
      <c r="N1110" t="str">
        <f t="shared" si="52"/>
        <v>devon16WR-3</v>
      </c>
      <c r="O1110">
        <f>COUNTIFS(F$1:F1110,F1110,A$1:A1110,A1110)</f>
        <v>19</v>
      </c>
      <c r="P1110" t="str">
        <f t="shared" si="53"/>
        <v>Alshon Jeffery16</v>
      </c>
    </row>
    <row r="1111" spans="1:16" x14ac:dyDescent="0.25">
      <c r="A1111">
        <v>9</v>
      </c>
      <c r="B1111" t="s">
        <v>201</v>
      </c>
      <c r="C1111" t="s">
        <v>6501</v>
      </c>
      <c r="D1111">
        <v>9.82</v>
      </c>
      <c r="E1111" t="s">
        <v>22</v>
      </c>
      <c r="F1111" t="s">
        <v>47</v>
      </c>
      <c r="G1111">
        <v>16.91</v>
      </c>
      <c r="H1111">
        <v>2.73</v>
      </c>
      <c r="I1111">
        <v>7.09</v>
      </c>
      <c r="J1111">
        <v>50.268099999999997</v>
      </c>
      <c r="K1111" t="str">
        <f>IFERROR(INDEX(Rosters!$C$2:$C$155,MATCH($B1111,Rosters!$B$2:$B$155,0)),"NA")</f>
        <v>seth</v>
      </c>
      <c r="L1111" t="str">
        <f t="shared" si="51"/>
        <v>seth9RB</v>
      </c>
      <c r="M1111">
        <f>COUNTIF(L$1:L1111,L1111)</f>
        <v>1</v>
      </c>
      <c r="N1111" t="str">
        <f t="shared" si="52"/>
        <v>seth9RB-1</v>
      </c>
      <c r="O1111">
        <f>COUNTIFS(F$1:F1111,F1111,A$1:A1111,A1111)</f>
        <v>17</v>
      </c>
      <c r="P1111" t="str">
        <f t="shared" si="53"/>
        <v>Derrick Henry9</v>
      </c>
    </row>
    <row r="1112" spans="1:16" x14ac:dyDescent="0.25">
      <c r="A1112">
        <v>1</v>
      </c>
      <c r="B1112" t="s">
        <v>122</v>
      </c>
      <c r="C1112" t="s">
        <v>1323</v>
      </c>
      <c r="D1112">
        <v>9.82</v>
      </c>
      <c r="E1112" t="s">
        <v>73</v>
      </c>
      <c r="F1112" t="s">
        <v>87</v>
      </c>
      <c r="G1112">
        <v>16.86</v>
      </c>
      <c r="H1112">
        <v>2.78</v>
      </c>
      <c r="I1112">
        <v>7.04</v>
      </c>
      <c r="J1112">
        <v>49.561599999999999</v>
      </c>
      <c r="K1112" t="str">
        <f>IFERROR(INDEX(Rosters!$C$2:$C$155,MATCH($B1112,Rosters!$B$2:$B$155,0)),"NA")</f>
        <v>devon</v>
      </c>
      <c r="L1112" t="str">
        <f t="shared" si="51"/>
        <v>devon1WR</v>
      </c>
      <c r="M1112">
        <f>COUNTIF(L$1:L1112,L1112)</f>
        <v>2</v>
      </c>
      <c r="N1112" t="str">
        <f t="shared" si="52"/>
        <v>devon1WR-2</v>
      </c>
      <c r="O1112">
        <f>COUNTIFS(F$1:F1112,F1112,A$1:A1112,A1112)</f>
        <v>12</v>
      </c>
      <c r="P1112" t="str">
        <f t="shared" si="53"/>
        <v>Golden Tate1</v>
      </c>
    </row>
    <row r="1113" spans="1:16" x14ac:dyDescent="0.25">
      <c r="A1113">
        <v>14</v>
      </c>
      <c r="B1113" t="s">
        <v>193</v>
      </c>
      <c r="C1113" t="s">
        <v>6502</v>
      </c>
      <c r="D1113">
        <v>9.82</v>
      </c>
      <c r="E1113" t="s">
        <v>19</v>
      </c>
      <c r="F1113" t="s">
        <v>47</v>
      </c>
      <c r="G1113">
        <v>15.35</v>
      </c>
      <c r="H1113">
        <v>4.29</v>
      </c>
      <c r="I1113">
        <v>5.53</v>
      </c>
      <c r="J1113">
        <v>30.5809</v>
      </c>
      <c r="K1113" t="str">
        <f>IFERROR(INDEX(Rosters!$C$2:$C$155,MATCH($B1113,Rosters!$B$2:$B$155,0)),"NA")</f>
        <v>cory</v>
      </c>
      <c r="L1113" t="str">
        <f t="shared" si="51"/>
        <v>cory14RB</v>
      </c>
      <c r="M1113">
        <f>COUNTIF(L$1:L1113,L1113)</f>
        <v>3</v>
      </c>
      <c r="N1113" t="str">
        <f t="shared" si="52"/>
        <v>cory14RB-3</v>
      </c>
      <c r="O1113">
        <f>COUNTIFS(F$1:F1113,F1113,A$1:A1113,A1113)</f>
        <v>21</v>
      </c>
      <c r="P1113" t="str">
        <f t="shared" si="53"/>
        <v>James White14</v>
      </c>
    </row>
    <row r="1114" spans="1:16" x14ac:dyDescent="0.25">
      <c r="A1114">
        <v>11</v>
      </c>
      <c r="B1114" t="s">
        <v>132</v>
      </c>
      <c r="C1114" t="s">
        <v>6503</v>
      </c>
      <c r="D1114">
        <v>9.82</v>
      </c>
      <c r="E1114" t="s">
        <v>58</v>
      </c>
      <c r="F1114" t="s">
        <v>47</v>
      </c>
      <c r="G1114">
        <v>16.489999999999998</v>
      </c>
      <c r="H1114">
        <v>3.15</v>
      </c>
      <c r="I1114">
        <v>6.67</v>
      </c>
      <c r="J1114">
        <v>44.488900000000001</v>
      </c>
      <c r="K1114" t="str">
        <f>IFERROR(INDEX(Rosters!$C$2:$C$155,MATCH($B1114,Rosters!$B$2:$B$155,0)),"NA")</f>
        <v>scott</v>
      </c>
      <c r="L1114" t="str">
        <f t="shared" si="51"/>
        <v>scott11RB</v>
      </c>
      <c r="M1114">
        <f>COUNTIF(L$1:L1114,L1114)</f>
        <v>3</v>
      </c>
      <c r="N1114" t="str">
        <f t="shared" si="52"/>
        <v>scott11RB-3</v>
      </c>
      <c r="O1114">
        <f>COUNTIFS(F$1:F1114,F1114,A$1:A1114,A1114)</f>
        <v>18</v>
      </c>
      <c r="P1114" t="str">
        <f t="shared" si="53"/>
        <v>Marshawn Lynch11</v>
      </c>
    </row>
    <row r="1115" spans="1:16" x14ac:dyDescent="0.25">
      <c r="A1115">
        <v>17</v>
      </c>
      <c r="B1115" t="s">
        <v>228</v>
      </c>
      <c r="C1115" t="s">
        <v>5424</v>
      </c>
      <c r="D1115">
        <v>9.82</v>
      </c>
      <c r="E1115" t="s">
        <v>56</v>
      </c>
      <c r="F1115" t="s">
        <v>47</v>
      </c>
      <c r="G1115">
        <v>15.78</v>
      </c>
      <c r="H1115">
        <v>3.86</v>
      </c>
      <c r="I1115">
        <v>5.96</v>
      </c>
      <c r="J1115">
        <v>35.521599999999999</v>
      </c>
      <c r="K1115" t="str">
        <f>IFERROR(INDEX(Rosters!$C$2:$C$155,MATCH($B1115,Rosters!$B$2:$B$155,0)),"NA")</f>
        <v>perry</v>
      </c>
      <c r="L1115" t="str">
        <f t="shared" si="51"/>
        <v>perry17RB</v>
      </c>
      <c r="M1115">
        <f>COUNTIF(L$1:L1115,L1115)</f>
        <v>2</v>
      </c>
      <c r="N1115" t="str">
        <f t="shared" si="52"/>
        <v>perry17RB-2</v>
      </c>
      <c r="O1115">
        <f>COUNTIFS(F$1:F1115,F1115,A$1:A1115,A1115)</f>
        <v>19</v>
      </c>
      <c r="P1115" t="str">
        <f t="shared" si="53"/>
        <v>Matt Breida17</v>
      </c>
    </row>
    <row r="1116" spans="1:16" x14ac:dyDescent="0.25">
      <c r="A1116">
        <v>3</v>
      </c>
      <c r="B1116" t="s">
        <v>1372</v>
      </c>
      <c r="C1116" t="s">
        <v>3664</v>
      </c>
      <c r="D1116">
        <v>9.82</v>
      </c>
      <c r="E1116" t="s">
        <v>52</v>
      </c>
      <c r="F1116" t="s">
        <v>87</v>
      </c>
      <c r="G1116">
        <v>15.67</v>
      </c>
      <c r="H1116">
        <v>3.97</v>
      </c>
      <c r="I1116">
        <v>5.85</v>
      </c>
      <c r="J1116">
        <v>34.222499999999997</v>
      </c>
      <c r="K1116" t="str">
        <f>IFERROR(INDEX(Rosters!$C$2:$C$155,MATCH($B1116,Rosters!$B$2:$B$155,0)),"NA")</f>
        <v>lucas</v>
      </c>
      <c r="L1116" t="str">
        <f t="shared" si="51"/>
        <v>lucas3WR</v>
      </c>
      <c r="M1116">
        <f>COUNTIF(L$1:L1116,L1116)</f>
        <v>1</v>
      </c>
      <c r="N1116" t="str">
        <f t="shared" si="52"/>
        <v>lucas3WR-1</v>
      </c>
      <c r="O1116">
        <f>COUNTIFS(F$1:F1116,F1116,A$1:A1116,A1116)</f>
        <v>17</v>
      </c>
      <c r="P1116" t="str">
        <f t="shared" si="53"/>
        <v>Quincy Enunwa3</v>
      </c>
    </row>
    <row r="1117" spans="1:16" x14ac:dyDescent="0.25">
      <c r="A1117">
        <v>6</v>
      </c>
      <c r="B1117" t="s">
        <v>256</v>
      </c>
      <c r="C1117" t="s">
        <v>6504</v>
      </c>
      <c r="D1117">
        <v>9.81</v>
      </c>
      <c r="E1117" t="s">
        <v>42</v>
      </c>
      <c r="F1117" t="s">
        <v>87</v>
      </c>
      <c r="G1117">
        <v>15.66</v>
      </c>
      <c r="H1117">
        <v>3.96</v>
      </c>
      <c r="I1117">
        <v>5.85</v>
      </c>
      <c r="J1117">
        <v>34.222499999999997</v>
      </c>
      <c r="K1117" t="str">
        <f>IFERROR(INDEX(Rosters!$C$2:$C$155,MATCH($B1117,Rosters!$B$2:$B$155,0)),"NA")</f>
        <v>lucas</v>
      </c>
      <c r="L1117" t="str">
        <f t="shared" si="51"/>
        <v>lucas6WR</v>
      </c>
      <c r="M1117">
        <f>COUNTIF(L$1:L1117,L1117)</f>
        <v>2</v>
      </c>
      <c r="N1117" t="str">
        <f t="shared" si="52"/>
        <v>lucas6WR-2</v>
      </c>
      <c r="O1117">
        <f>COUNTIFS(F$1:F1117,F1117,A$1:A1117,A1117)</f>
        <v>17</v>
      </c>
      <c r="P1117" t="str">
        <f t="shared" si="53"/>
        <v>Cooper Kupp6</v>
      </c>
    </row>
    <row r="1118" spans="1:16" x14ac:dyDescent="0.25">
      <c r="A1118">
        <v>5</v>
      </c>
      <c r="B1118" t="s">
        <v>1330</v>
      </c>
      <c r="C1118" t="s">
        <v>6505</v>
      </c>
      <c r="D1118">
        <v>9.81</v>
      </c>
      <c r="E1118" t="s">
        <v>66</v>
      </c>
      <c r="F1118" t="s">
        <v>87</v>
      </c>
      <c r="G1118">
        <v>16.48</v>
      </c>
      <c r="H1118">
        <v>3.14</v>
      </c>
      <c r="I1118">
        <v>6.67</v>
      </c>
      <c r="J1118">
        <v>44.488900000000001</v>
      </c>
      <c r="K1118" t="str">
        <f>IFERROR(INDEX(Rosters!$C$2:$C$155,MATCH($B1118,Rosters!$B$2:$B$155,0)),"NA")</f>
        <v>chad</v>
      </c>
      <c r="L1118" t="str">
        <f t="shared" si="51"/>
        <v>chad5WR</v>
      </c>
      <c r="M1118">
        <f>COUNTIF(L$1:L1118,L1118)</f>
        <v>2</v>
      </c>
      <c r="N1118" t="str">
        <f t="shared" si="52"/>
        <v>chad5WR-2</v>
      </c>
      <c r="O1118">
        <f>COUNTIFS(F$1:F1118,F1118,A$1:A1118,A1118)</f>
        <v>15</v>
      </c>
      <c r="P1118" t="str">
        <f t="shared" si="53"/>
        <v>Julian Edelman5</v>
      </c>
    </row>
    <row r="1119" spans="1:16" x14ac:dyDescent="0.25">
      <c r="A1119">
        <v>3</v>
      </c>
      <c r="B1119" t="s">
        <v>245</v>
      </c>
      <c r="C1119" t="s">
        <v>4198</v>
      </c>
      <c r="D1119">
        <v>9.8000000000000007</v>
      </c>
      <c r="E1119" t="s">
        <v>38</v>
      </c>
      <c r="F1119" t="s">
        <v>47</v>
      </c>
      <c r="G1119">
        <v>15.69</v>
      </c>
      <c r="H1119">
        <v>3.91</v>
      </c>
      <c r="I1119">
        <v>5.89</v>
      </c>
      <c r="J1119">
        <v>34.692100000000003</v>
      </c>
      <c r="K1119" t="str">
        <f>IFERROR(INDEX(Rosters!$C$2:$C$155,MATCH($B1119,Rosters!$B$2:$B$155,0)),"NA")</f>
        <v>seth</v>
      </c>
      <c r="L1119" t="str">
        <f t="shared" si="51"/>
        <v>seth3RB</v>
      </c>
      <c r="M1119">
        <f>COUNTIF(L$1:L1119,L1119)</f>
        <v>3</v>
      </c>
      <c r="N1119" t="str">
        <f t="shared" si="52"/>
        <v>seth3RB-3</v>
      </c>
      <c r="O1119">
        <f>COUNTIFS(F$1:F1119,F1119,A$1:A1119,A1119)</f>
        <v>19</v>
      </c>
      <c r="P1119" t="str">
        <f t="shared" si="53"/>
        <v>T.J. Yeldon3</v>
      </c>
    </row>
    <row r="1120" spans="1:16" x14ac:dyDescent="0.25">
      <c r="A1120">
        <v>9</v>
      </c>
      <c r="B1120" t="s">
        <v>256</v>
      </c>
      <c r="C1120" t="s">
        <v>6506</v>
      </c>
      <c r="D1120">
        <v>9.7899999999999991</v>
      </c>
      <c r="E1120" t="s">
        <v>14</v>
      </c>
      <c r="F1120" t="s">
        <v>87</v>
      </c>
      <c r="G1120">
        <v>15.97</v>
      </c>
      <c r="H1120">
        <v>3.61</v>
      </c>
      <c r="I1120">
        <v>6.18</v>
      </c>
      <c r="J1120">
        <v>38.192399999999999</v>
      </c>
      <c r="K1120" t="str">
        <f>IFERROR(INDEX(Rosters!$C$2:$C$155,MATCH($B1120,Rosters!$B$2:$B$155,0)),"NA")</f>
        <v>lucas</v>
      </c>
      <c r="L1120" t="str">
        <f t="shared" si="51"/>
        <v>lucas9WR</v>
      </c>
      <c r="M1120">
        <f>COUNTIF(L$1:L1120,L1120)</f>
        <v>1</v>
      </c>
      <c r="N1120" t="str">
        <f t="shared" si="52"/>
        <v>lucas9WR-1</v>
      </c>
      <c r="O1120">
        <f>COUNTIFS(F$1:F1120,F1120,A$1:A1120,A1120)</f>
        <v>16</v>
      </c>
      <c r="P1120" t="str">
        <f t="shared" si="53"/>
        <v>Cooper Kupp9</v>
      </c>
    </row>
    <row r="1121" spans="1:16" x14ac:dyDescent="0.25">
      <c r="A1121">
        <v>4</v>
      </c>
      <c r="B1121" t="s">
        <v>191</v>
      </c>
      <c r="C1121" t="s">
        <v>4458</v>
      </c>
      <c r="D1121">
        <v>9.7799999999999994</v>
      </c>
      <c r="E1121" t="s">
        <v>56</v>
      </c>
      <c r="F1121" t="s">
        <v>87</v>
      </c>
      <c r="G1121">
        <v>14.92</v>
      </c>
      <c r="H1121">
        <v>4.6399999999999997</v>
      </c>
      <c r="I1121">
        <v>5.14</v>
      </c>
      <c r="J1121">
        <v>26.419599999999999</v>
      </c>
      <c r="K1121" t="str">
        <f>IFERROR(INDEX(Rosters!$C$2:$C$155,MATCH($B1121,Rosters!$B$2:$B$155,0)),"NA")</f>
        <v>seth</v>
      </c>
      <c r="L1121" t="str">
        <f t="shared" si="51"/>
        <v>seth4WR</v>
      </c>
      <c r="M1121">
        <f>COUNTIF(L$1:L1121,L1121)</f>
        <v>2</v>
      </c>
      <c r="N1121" t="str">
        <f t="shared" si="52"/>
        <v>seth4WR-2</v>
      </c>
      <c r="O1121">
        <f>COUNTIFS(F$1:F1121,F1121,A$1:A1121,A1121)</f>
        <v>17</v>
      </c>
      <c r="P1121" t="str">
        <f t="shared" si="53"/>
        <v>Adam Thielen4</v>
      </c>
    </row>
    <row r="1122" spans="1:16" x14ac:dyDescent="0.25">
      <c r="A1122">
        <v>9</v>
      </c>
      <c r="B1122" t="s">
        <v>1330</v>
      </c>
      <c r="C1122" t="s">
        <v>6507</v>
      </c>
      <c r="D1122">
        <v>9.7799999999999994</v>
      </c>
      <c r="E1122" t="s">
        <v>41</v>
      </c>
      <c r="F1122" t="s">
        <v>87</v>
      </c>
      <c r="G1122">
        <v>15.67</v>
      </c>
      <c r="H1122">
        <v>3.89</v>
      </c>
      <c r="I1122">
        <v>5.89</v>
      </c>
      <c r="J1122">
        <v>34.692100000000003</v>
      </c>
      <c r="K1122" t="str">
        <f>IFERROR(INDEX(Rosters!$C$2:$C$155,MATCH($B1122,Rosters!$B$2:$B$155,0)),"NA")</f>
        <v>chad</v>
      </c>
      <c r="L1122" t="str">
        <f t="shared" si="51"/>
        <v>chad9WR</v>
      </c>
      <c r="M1122">
        <f>COUNTIF(L$1:L1122,L1122)</f>
        <v>2</v>
      </c>
      <c r="N1122" t="str">
        <f t="shared" si="52"/>
        <v>chad9WR-2</v>
      </c>
      <c r="O1122">
        <f>COUNTIFS(F$1:F1122,F1122,A$1:A1122,A1122)</f>
        <v>17</v>
      </c>
      <c r="P1122" t="str">
        <f t="shared" si="53"/>
        <v>Julian Edelman9</v>
      </c>
    </row>
    <row r="1123" spans="1:16" x14ac:dyDescent="0.25">
      <c r="A1123">
        <v>17</v>
      </c>
      <c r="B1123" t="s">
        <v>1647</v>
      </c>
      <c r="C1123" t="s">
        <v>6508</v>
      </c>
      <c r="D1123">
        <v>9.7799999999999994</v>
      </c>
      <c r="E1123" t="s">
        <v>74</v>
      </c>
      <c r="F1123" t="s">
        <v>47</v>
      </c>
      <c r="G1123">
        <v>15.74</v>
      </c>
      <c r="H1123">
        <v>3.82</v>
      </c>
      <c r="I1123">
        <v>5.96</v>
      </c>
      <c r="J1123">
        <v>35.521599999999999</v>
      </c>
      <c r="K1123" t="str">
        <f>IFERROR(INDEX(Rosters!$C$2:$C$155,MATCH($B1123,Rosters!$B$2:$B$155,0)),"NA")</f>
        <v>cory</v>
      </c>
      <c r="L1123" t="str">
        <f t="shared" si="51"/>
        <v>cory17RB</v>
      </c>
      <c r="M1123">
        <f>COUNTIF(L$1:L1123,L1123)</f>
        <v>1</v>
      </c>
      <c r="N1123" t="str">
        <f t="shared" si="52"/>
        <v>cory17RB-1</v>
      </c>
      <c r="O1123">
        <f>COUNTIFS(F$1:F1123,F1123,A$1:A1123,A1123)</f>
        <v>20</v>
      </c>
      <c r="P1123" t="str">
        <f t="shared" si="53"/>
        <v>Mark Ingram II17</v>
      </c>
    </row>
    <row r="1124" spans="1:16" x14ac:dyDescent="0.25">
      <c r="A1124">
        <v>2</v>
      </c>
      <c r="B1124" t="s">
        <v>107</v>
      </c>
      <c r="C1124" t="s">
        <v>3321</v>
      </c>
      <c r="D1124">
        <v>9.7799999999999994</v>
      </c>
      <c r="E1124" t="s">
        <v>60</v>
      </c>
      <c r="F1124" t="s">
        <v>87</v>
      </c>
      <c r="G1124">
        <v>15.81</v>
      </c>
      <c r="H1124">
        <v>3.75</v>
      </c>
      <c r="I1124">
        <v>6.03</v>
      </c>
      <c r="J1124">
        <v>36.360900000000001</v>
      </c>
      <c r="K1124" t="str">
        <f>IFERROR(INDEX(Rosters!$C$2:$C$155,MATCH($B1124,Rosters!$B$2:$B$155,0)),"NA")</f>
        <v>comp</v>
      </c>
      <c r="L1124" t="str">
        <f t="shared" si="51"/>
        <v>comp2WR</v>
      </c>
      <c r="M1124">
        <f>COUNTIF(L$1:L1124,L1124)</f>
        <v>2</v>
      </c>
      <c r="N1124" t="str">
        <f t="shared" si="52"/>
        <v>comp2WR-2</v>
      </c>
      <c r="O1124">
        <f>COUNTIFS(F$1:F1124,F1124,A$1:A1124,A1124)</f>
        <v>12</v>
      </c>
      <c r="P1124" t="str">
        <f t="shared" si="53"/>
        <v>T.Y. Hilton2</v>
      </c>
    </row>
    <row r="1125" spans="1:16" x14ac:dyDescent="0.25">
      <c r="A1125">
        <v>2</v>
      </c>
      <c r="B1125" t="s">
        <v>108</v>
      </c>
      <c r="C1125" t="s">
        <v>1324</v>
      </c>
      <c r="D1125">
        <v>9.77</v>
      </c>
      <c r="E1125" t="s">
        <v>58</v>
      </c>
      <c r="F1125" t="s">
        <v>87</v>
      </c>
      <c r="G1125">
        <v>16.59</v>
      </c>
      <c r="H1125">
        <v>2.95</v>
      </c>
      <c r="I1125">
        <v>6.82</v>
      </c>
      <c r="J1125">
        <v>46.5124</v>
      </c>
      <c r="K1125" t="str">
        <f>IFERROR(INDEX(Rosters!$C$2:$C$155,MATCH($B1125,Rosters!$B$2:$B$155,0)),"NA")</f>
        <v>perry</v>
      </c>
      <c r="L1125" t="str">
        <f t="shared" si="51"/>
        <v>perry2WR</v>
      </c>
      <c r="M1125">
        <f>COUNTIF(L$1:L1125,L1125)</f>
        <v>1</v>
      </c>
      <c r="N1125" t="str">
        <f t="shared" si="52"/>
        <v>perry2WR-1</v>
      </c>
      <c r="O1125">
        <f>COUNTIFS(F$1:F1125,F1125,A$1:A1125,A1125)</f>
        <v>13</v>
      </c>
      <c r="P1125" t="str">
        <f t="shared" si="53"/>
        <v>Brandin Cooks2</v>
      </c>
    </row>
    <row r="1126" spans="1:16" x14ac:dyDescent="0.25">
      <c r="A1126">
        <v>8</v>
      </c>
      <c r="B1126" t="s">
        <v>100</v>
      </c>
      <c r="C1126" t="s">
        <v>6509</v>
      </c>
      <c r="D1126">
        <v>9.77</v>
      </c>
      <c r="E1126" t="s">
        <v>31</v>
      </c>
      <c r="F1126" t="s">
        <v>87</v>
      </c>
      <c r="G1126">
        <v>16.7</v>
      </c>
      <c r="H1126">
        <v>2.84</v>
      </c>
      <c r="I1126">
        <v>6.93</v>
      </c>
      <c r="J1126">
        <v>48.024900000000002</v>
      </c>
      <c r="K1126" t="str">
        <f>IFERROR(INDEX(Rosters!$C$2:$C$155,MATCH($B1126,Rosters!$B$2:$B$155,0)),"NA")</f>
        <v>aj</v>
      </c>
      <c r="L1126" t="str">
        <f t="shared" si="51"/>
        <v>aj8WR</v>
      </c>
      <c r="M1126">
        <f>COUNTIF(L$1:L1126,L1126)</f>
        <v>3</v>
      </c>
      <c r="N1126" t="str">
        <f t="shared" si="52"/>
        <v>aj8WR-3</v>
      </c>
      <c r="O1126">
        <f>COUNTIFS(F$1:F1126,F1126,A$1:A1126,A1126)</f>
        <v>17</v>
      </c>
      <c r="P1126" t="str">
        <f t="shared" si="53"/>
        <v>Mike Evans8</v>
      </c>
    </row>
    <row r="1127" spans="1:16" x14ac:dyDescent="0.25">
      <c r="A1127">
        <v>6</v>
      </c>
      <c r="B1127" t="s">
        <v>86</v>
      </c>
      <c r="C1127" t="s">
        <v>6510</v>
      </c>
      <c r="D1127">
        <v>9.77</v>
      </c>
      <c r="E1127" t="s">
        <v>50</v>
      </c>
      <c r="F1127" t="s">
        <v>87</v>
      </c>
      <c r="G1127">
        <v>15.9</v>
      </c>
      <c r="H1127">
        <v>3.64</v>
      </c>
      <c r="I1127">
        <v>6.13</v>
      </c>
      <c r="J1127">
        <v>37.576900000000002</v>
      </c>
      <c r="K1127" t="str">
        <f>IFERROR(INDEX(Rosters!$C$2:$C$155,MATCH($B1127,Rosters!$B$2:$B$155,0)),"NA")</f>
        <v>seth</v>
      </c>
      <c r="L1127" t="str">
        <f t="shared" si="51"/>
        <v>seth6WR</v>
      </c>
      <c r="M1127">
        <f>COUNTIF(L$1:L1127,L1127)</f>
        <v>2</v>
      </c>
      <c r="N1127" t="str">
        <f t="shared" si="52"/>
        <v>seth6WR-2</v>
      </c>
      <c r="O1127">
        <f>COUNTIFS(F$1:F1127,F1127,A$1:A1127,A1127)</f>
        <v>18</v>
      </c>
      <c r="P1127" t="str">
        <f t="shared" si="53"/>
        <v>Odell Beckham Jr.6</v>
      </c>
    </row>
    <row r="1128" spans="1:16" x14ac:dyDescent="0.25">
      <c r="A1128">
        <v>17</v>
      </c>
      <c r="B1128" t="s">
        <v>1372</v>
      </c>
      <c r="C1128" t="s">
        <v>6511</v>
      </c>
      <c r="D1128">
        <v>9.77</v>
      </c>
      <c r="E1128" t="s">
        <v>423</v>
      </c>
      <c r="F1128" t="s">
        <v>87</v>
      </c>
      <c r="G1128">
        <v>15.33</v>
      </c>
      <c r="H1128">
        <v>4.21</v>
      </c>
      <c r="I1128">
        <v>5.56</v>
      </c>
      <c r="J1128">
        <v>30.913599999999999</v>
      </c>
      <c r="K1128" t="str">
        <f>IFERROR(INDEX(Rosters!$C$2:$C$155,MATCH($B1128,Rosters!$B$2:$B$155,0)),"NA")</f>
        <v>lucas</v>
      </c>
      <c r="L1128" t="str">
        <f t="shared" si="51"/>
        <v>lucas17WR</v>
      </c>
      <c r="M1128">
        <f>COUNTIF(L$1:L1128,L1128)</f>
        <v>2</v>
      </c>
      <c r="N1128" t="str">
        <f t="shared" si="52"/>
        <v>lucas17WR-2</v>
      </c>
      <c r="O1128">
        <f>COUNTIFS(F$1:F1128,F1128,A$1:A1128,A1128)</f>
        <v>20</v>
      </c>
      <c r="P1128" t="str">
        <f t="shared" si="53"/>
        <v>Quincy Enunwa17</v>
      </c>
    </row>
    <row r="1129" spans="1:16" x14ac:dyDescent="0.25">
      <c r="A1129">
        <v>16</v>
      </c>
      <c r="B1129" t="s">
        <v>207</v>
      </c>
      <c r="C1129" t="s">
        <v>6512</v>
      </c>
      <c r="D1129">
        <v>9.76</v>
      </c>
      <c r="E1129" t="s">
        <v>60</v>
      </c>
      <c r="F1129" t="s">
        <v>47</v>
      </c>
      <c r="G1129">
        <v>17.14</v>
      </c>
      <c r="H1129">
        <v>2.38</v>
      </c>
      <c r="I1129">
        <v>7.38</v>
      </c>
      <c r="J1129">
        <v>54.464399999999998</v>
      </c>
      <c r="K1129" t="str">
        <f>IFERROR(INDEX(Rosters!$C$2:$C$155,MATCH($B1129,Rosters!$B$2:$B$155,0)),"NA")</f>
        <v>chad</v>
      </c>
      <c r="L1129" t="str">
        <f t="shared" si="51"/>
        <v>chad16RB</v>
      </c>
      <c r="M1129">
        <f>COUNTIF(L$1:L1129,L1129)</f>
        <v>3</v>
      </c>
      <c r="N1129" t="str">
        <f t="shared" si="52"/>
        <v>chad16RB-3</v>
      </c>
      <c r="O1129">
        <f>COUNTIFS(F$1:F1129,F1129,A$1:A1129,A1129)</f>
        <v>20</v>
      </c>
      <c r="P1129" t="str">
        <f t="shared" si="53"/>
        <v>Dion Lewis16</v>
      </c>
    </row>
    <row r="1130" spans="1:16" x14ac:dyDescent="0.25">
      <c r="A1130">
        <v>13</v>
      </c>
      <c r="B1130" t="s">
        <v>248</v>
      </c>
      <c r="C1130" t="s">
        <v>6513</v>
      </c>
      <c r="D1130">
        <v>9.76</v>
      </c>
      <c r="E1130" t="s">
        <v>34</v>
      </c>
      <c r="F1130" t="s">
        <v>87</v>
      </c>
      <c r="G1130">
        <v>15.43</v>
      </c>
      <c r="H1130">
        <v>4.09</v>
      </c>
      <c r="I1130">
        <v>5.67</v>
      </c>
      <c r="J1130">
        <v>32.148899999999998</v>
      </c>
      <c r="K1130" t="str">
        <f>IFERROR(INDEX(Rosters!$C$2:$C$155,MATCH($B1130,Rosters!$B$2:$B$155,0)),"NA")</f>
        <v>matty</v>
      </c>
      <c r="L1130" t="str">
        <f t="shared" si="51"/>
        <v>matty13WR</v>
      </c>
      <c r="M1130">
        <f>COUNTIF(L$1:L1130,L1130)</f>
        <v>3</v>
      </c>
      <c r="N1130" t="str">
        <f t="shared" si="52"/>
        <v>matty13WR-3</v>
      </c>
      <c r="O1130">
        <f>COUNTIFS(F$1:F1130,F1130,A$1:A1130,A1130)</f>
        <v>19</v>
      </c>
      <c r="P1130" t="str">
        <f t="shared" si="53"/>
        <v>Robert Woods13</v>
      </c>
    </row>
    <row r="1131" spans="1:16" x14ac:dyDescent="0.25">
      <c r="A1131">
        <v>13</v>
      </c>
      <c r="B1131" t="s">
        <v>171</v>
      </c>
      <c r="C1131" t="s">
        <v>6514</v>
      </c>
      <c r="D1131">
        <v>9.75</v>
      </c>
      <c r="E1131" t="s">
        <v>73</v>
      </c>
      <c r="F1131" t="s">
        <v>87</v>
      </c>
      <c r="G1131">
        <v>16.53</v>
      </c>
      <c r="H1131">
        <v>2.97</v>
      </c>
      <c r="I1131">
        <v>6.78</v>
      </c>
      <c r="J1131">
        <v>45.968400000000003</v>
      </c>
      <c r="K1131" t="str">
        <f>IFERROR(INDEX(Rosters!$C$2:$C$155,MATCH($B1131,Rosters!$B$2:$B$155,0)),"NA")</f>
        <v>matty</v>
      </c>
      <c r="L1131" t="str">
        <f t="shared" si="51"/>
        <v>matty13WR</v>
      </c>
      <c r="M1131">
        <f>COUNTIF(L$1:L1131,L1131)</f>
        <v>4</v>
      </c>
      <c r="N1131" t="str">
        <f t="shared" si="52"/>
        <v>matty13WR-4</v>
      </c>
      <c r="O1131">
        <f>COUNTIFS(F$1:F1131,F1131,A$1:A1131,A1131)</f>
        <v>20</v>
      </c>
      <c r="P1131" t="str">
        <f t="shared" si="53"/>
        <v>Corey Davis13</v>
      </c>
    </row>
    <row r="1132" spans="1:16" x14ac:dyDescent="0.25">
      <c r="A1132">
        <v>1</v>
      </c>
      <c r="B1132" t="s">
        <v>107</v>
      </c>
      <c r="C1132" t="s">
        <v>1738</v>
      </c>
      <c r="D1132">
        <v>9.75</v>
      </c>
      <c r="E1132" t="s">
        <v>31</v>
      </c>
      <c r="F1132" t="s">
        <v>87</v>
      </c>
      <c r="G1132">
        <v>15.36</v>
      </c>
      <c r="H1132">
        <v>4.1399999999999997</v>
      </c>
      <c r="I1132">
        <v>5.61</v>
      </c>
      <c r="J1132">
        <v>31.472100000000001</v>
      </c>
      <c r="K1132" t="str">
        <f>IFERROR(INDEX(Rosters!$C$2:$C$155,MATCH($B1132,Rosters!$B$2:$B$155,0)),"NA")</f>
        <v>comp</v>
      </c>
      <c r="L1132" t="str">
        <f t="shared" si="51"/>
        <v>comp1WR</v>
      </c>
      <c r="M1132">
        <f>COUNTIF(L$1:L1132,L1132)</f>
        <v>2</v>
      </c>
      <c r="N1132" t="str">
        <f t="shared" si="52"/>
        <v>comp1WR-2</v>
      </c>
      <c r="O1132">
        <f>COUNTIFS(F$1:F1132,F1132,A$1:A1132,A1132)</f>
        <v>13</v>
      </c>
      <c r="P1132" t="str">
        <f t="shared" si="53"/>
        <v>T.Y. Hilton1</v>
      </c>
    </row>
    <row r="1133" spans="1:16" x14ac:dyDescent="0.25">
      <c r="A1133">
        <v>2</v>
      </c>
      <c r="B1133" t="s">
        <v>136</v>
      </c>
      <c r="C1133" t="s">
        <v>1325</v>
      </c>
      <c r="D1133">
        <v>9.74</v>
      </c>
      <c r="E1133" t="s">
        <v>32</v>
      </c>
      <c r="F1133" t="s">
        <v>87</v>
      </c>
      <c r="G1133">
        <v>14.38</v>
      </c>
      <c r="H1133">
        <v>5.0999999999999996</v>
      </c>
      <c r="I1133">
        <v>4.6399999999999997</v>
      </c>
      <c r="J1133">
        <v>21.529599999999999</v>
      </c>
      <c r="K1133" t="str">
        <f>IFERROR(INDEX(Rosters!$C$2:$C$155,MATCH($B1133,Rosters!$B$2:$B$155,0)),"NA")</f>
        <v>devon</v>
      </c>
      <c r="L1133" t="str">
        <f t="shared" si="51"/>
        <v>devon2WR</v>
      </c>
      <c r="M1133">
        <f>COUNTIF(L$1:L1133,L1133)</f>
        <v>2</v>
      </c>
      <c r="N1133" t="str">
        <f t="shared" si="52"/>
        <v>devon2WR-2</v>
      </c>
      <c r="O1133">
        <f>COUNTIFS(F$1:F1133,F1133,A$1:A1133,A1133)</f>
        <v>14</v>
      </c>
      <c r="P1133" t="str">
        <f t="shared" si="53"/>
        <v>Demaryius Thomas2</v>
      </c>
    </row>
    <row r="1134" spans="1:16" x14ac:dyDescent="0.25">
      <c r="A1134">
        <v>4</v>
      </c>
      <c r="B1134" t="s">
        <v>134</v>
      </c>
      <c r="C1134" t="s">
        <v>4459</v>
      </c>
      <c r="D1134">
        <v>9.74</v>
      </c>
      <c r="E1134" t="s">
        <v>32</v>
      </c>
      <c r="F1134" t="s">
        <v>87</v>
      </c>
      <c r="G1134">
        <v>16.170000000000002</v>
      </c>
      <c r="H1134">
        <v>3.31</v>
      </c>
      <c r="I1134">
        <v>6.43</v>
      </c>
      <c r="J1134">
        <v>41.344900000000003</v>
      </c>
      <c r="K1134" t="str">
        <f>IFERROR(INDEX(Rosters!$C$2:$C$155,MATCH($B1134,Rosters!$B$2:$B$155,0)),"NA")</f>
        <v>cory</v>
      </c>
      <c r="L1134" t="str">
        <f t="shared" si="51"/>
        <v>cory4WR</v>
      </c>
      <c r="M1134">
        <f>COUNTIF(L$1:L1134,L1134)</f>
        <v>3</v>
      </c>
      <c r="N1134" t="str">
        <f t="shared" si="52"/>
        <v>cory4WR-3</v>
      </c>
      <c r="O1134">
        <f>COUNTIFS(F$1:F1134,F1134,A$1:A1134,A1134)</f>
        <v>18</v>
      </c>
      <c r="P1134" t="str">
        <f t="shared" si="53"/>
        <v>Jarvis Landry4</v>
      </c>
    </row>
    <row r="1135" spans="1:16" x14ac:dyDescent="0.25">
      <c r="A1135">
        <v>3</v>
      </c>
      <c r="B1135" t="s">
        <v>240</v>
      </c>
      <c r="C1135" t="s">
        <v>3665</v>
      </c>
      <c r="D1135">
        <v>9.74</v>
      </c>
      <c r="E1135" t="s">
        <v>66</v>
      </c>
      <c r="F1135" t="s">
        <v>87</v>
      </c>
      <c r="G1135">
        <v>16.02</v>
      </c>
      <c r="H1135">
        <v>3.46</v>
      </c>
      <c r="I1135">
        <v>6.28</v>
      </c>
      <c r="J1135">
        <v>39.438400000000001</v>
      </c>
      <c r="K1135" t="str">
        <f>IFERROR(INDEX(Rosters!$C$2:$C$155,MATCH($B1135,Rosters!$B$2:$B$155,0)),"NA")</f>
        <v>aj</v>
      </c>
      <c r="L1135" t="str">
        <f t="shared" si="51"/>
        <v>aj3WR</v>
      </c>
      <c r="M1135">
        <f>COUNTIF(L$1:L1135,L1135)</f>
        <v>4</v>
      </c>
      <c r="N1135" t="str">
        <f t="shared" si="52"/>
        <v>aj3WR-4</v>
      </c>
      <c r="O1135">
        <f>COUNTIFS(F$1:F1135,F1135,A$1:A1135,A1135)</f>
        <v>18</v>
      </c>
      <c r="P1135" t="str">
        <f t="shared" si="53"/>
        <v>Nelson Agholor3</v>
      </c>
    </row>
    <row r="1136" spans="1:16" x14ac:dyDescent="0.25">
      <c r="A1136">
        <v>12</v>
      </c>
      <c r="B1136" t="s">
        <v>113</v>
      </c>
      <c r="C1136" t="s">
        <v>6515</v>
      </c>
      <c r="D1136">
        <v>9.74</v>
      </c>
      <c r="E1136" t="s">
        <v>73</v>
      </c>
      <c r="F1136" t="s">
        <v>114</v>
      </c>
      <c r="G1136">
        <v>16.23</v>
      </c>
      <c r="H1136">
        <v>3.25</v>
      </c>
      <c r="I1136">
        <v>6.49</v>
      </c>
      <c r="J1136">
        <v>42.120100000000001</v>
      </c>
      <c r="K1136" t="str">
        <f>IFERROR(INDEX(Rosters!$C$2:$C$155,MATCH($B1136,Rosters!$B$2:$B$155,0)),"NA")</f>
        <v>lucas</v>
      </c>
      <c r="L1136" t="str">
        <f t="shared" si="51"/>
        <v>lucas12TE</v>
      </c>
      <c r="M1136">
        <f>COUNTIF(L$1:L1136,L1136)</f>
        <v>1</v>
      </c>
      <c r="N1136" t="str">
        <f t="shared" si="52"/>
        <v>lucas12TE-1</v>
      </c>
      <c r="O1136">
        <f>COUNTIFS(F$1:F1136,F1136,A$1:A1136,A1136)</f>
        <v>1</v>
      </c>
      <c r="P1136" t="str">
        <f t="shared" si="53"/>
        <v>Rob Gronkowski12</v>
      </c>
    </row>
    <row r="1137" spans="1:16" x14ac:dyDescent="0.25">
      <c r="A1137">
        <v>8</v>
      </c>
      <c r="B1137" t="s">
        <v>103</v>
      </c>
      <c r="C1137" t="s">
        <v>6516</v>
      </c>
      <c r="D1137">
        <v>9.7200000000000006</v>
      </c>
      <c r="E1137" t="s">
        <v>66</v>
      </c>
      <c r="F1137" t="s">
        <v>87</v>
      </c>
      <c r="G1137">
        <v>16.16</v>
      </c>
      <c r="H1137">
        <v>3.28</v>
      </c>
      <c r="I1137">
        <v>6.44</v>
      </c>
      <c r="J1137">
        <v>41.473599999999998</v>
      </c>
      <c r="K1137" t="str">
        <f>IFERROR(INDEX(Rosters!$C$2:$C$155,MATCH($B1137,Rosters!$B$2:$B$155,0)),"NA")</f>
        <v>comp</v>
      </c>
      <c r="L1137" t="str">
        <f t="shared" si="51"/>
        <v>comp8WR</v>
      </c>
      <c r="M1137">
        <f>COUNTIF(L$1:L1137,L1137)</f>
        <v>3</v>
      </c>
      <c r="N1137" t="str">
        <f t="shared" si="52"/>
        <v>comp8WR-3</v>
      </c>
      <c r="O1137">
        <f>COUNTIFS(F$1:F1137,F1137,A$1:A1137,A1137)</f>
        <v>18</v>
      </c>
      <c r="P1137" t="str">
        <f t="shared" si="53"/>
        <v>Amari Cooper8</v>
      </c>
    </row>
    <row r="1138" spans="1:16" x14ac:dyDescent="0.25">
      <c r="A1138">
        <v>3</v>
      </c>
      <c r="B1138" t="s">
        <v>1627</v>
      </c>
      <c r="C1138" t="s">
        <v>4199</v>
      </c>
      <c r="D1138">
        <v>9.7200000000000006</v>
      </c>
      <c r="E1138" t="s">
        <v>76</v>
      </c>
      <c r="F1138" t="s">
        <v>15</v>
      </c>
      <c r="G1138">
        <v>17.149999999999999</v>
      </c>
      <c r="H1138">
        <v>2.29</v>
      </c>
      <c r="I1138">
        <v>7.43</v>
      </c>
      <c r="J1138">
        <v>55.204900000000002</v>
      </c>
      <c r="K1138" t="str">
        <f>IFERROR(INDEX(Rosters!$C$2:$C$155,MATCH($B1138,Rosters!$B$2:$B$155,0)),"NA")</f>
        <v>NA</v>
      </c>
      <c r="L1138" t="str">
        <f t="shared" si="51"/>
        <v>NA3QB</v>
      </c>
      <c r="M1138">
        <f>COUNTIF(L$1:L1138,L1138)</f>
        <v>15</v>
      </c>
      <c r="N1138" t="str">
        <f t="shared" si="52"/>
        <v>NA3QB-15</v>
      </c>
      <c r="O1138">
        <f>COUNTIFS(F$1:F1138,F1138,A$1:A1138,A1138)</f>
        <v>31</v>
      </c>
      <c r="P1138" t="str">
        <f t="shared" si="53"/>
        <v>Blaine Gabbert3</v>
      </c>
    </row>
    <row r="1139" spans="1:16" x14ac:dyDescent="0.25">
      <c r="A1139">
        <v>2</v>
      </c>
      <c r="B1139" t="s">
        <v>135</v>
      </c>
      <c r="C1139" t="s">
        <v>3322</v>
      </c>
      <c r="D1139">
        <v>9.7100000000000009</v>
      </c>
      <c r="E1139" t="s">
        <v>25</v>
      </c>
      <c r="F1139" t="s">
        <v>87</v>
      </c>
      <c r="G1139">
        <v>15.14</v>
      </c>
      <c r="H1139">
        <v>4.28</v>
      </c>
      <c r="I1139">
        <v>5.43</v>
      </c>
      <c r="J1139">
        <v>29.4849</v>
      </c>
      <c r="K1139" t="str">
        <f>IFERROR(INDEX(Rosters!$C$2:$C$155,MATCH($B1139,Rosters!$B$2:$B$155,0)),"NA")</f>
        <v>perry</v>
      </c>
      <c r="L1139" t="str">
        <f t="shared" si="51"/>
        <v>perry2WR</v>
      </c>
      <c r="M1139">
        <f>COUNTIF(L$1:L1139,L1139)</f>
        <v>2</v>
      </c>
      <c r="N1139" t="str">
        <f t="shared" si="52"/>
        <v>perry2WR-2</v>
      </c>
      <c r="O1139">
        <f>COUNTIFS(F$1:F1139,F1139,A$1:A1139,A1139)</f>
        <v>15</v>
      </c>
      <c r="P1139" t="str">
        <f t="shared" si="53"/>
        <v>Davante Adams2</v>
      </c>
    </row>
    <row r="1140" spans="1:16" x14ac:dyDescent="0.25">
      <c r="A1140">
        <v>6</v>
      </c>
      <c r="B1140" t="s">
        <v>89</v>
      </c>
      <c r="C1140" t="s">
        <v>6517</v>
      </c>
      <c r="D1140">
        <v>9.7100000000000009</v>
      </c>
      <c r="E1140" t="s">
        <v>54</v>
      </c>
      <c r="F1140" t="s">
        <v>47</v>
      </c>
      <c r="G1140">
        <v>17.47</v>
      </c>
      <c r="H1140">
        <v>1.95</v>
      </c>
      <c r="I1140">
        <v>7.76</v>
      </c>
      <c r="J1140">
        <v>60.217599999999997</v>
      </c>
      <c r="K1140" t="str">
        <f>IFERROR(INDEX(Rosters!$C$2:$C$155,MATCH($B1140,Rosters!$B$2:$B$155,0)),"NA")</f>
        <v>matty</v>
      </c>
      <c r="L1140" t="str">
        <f t="shared" si="51"/>
        <v>matty6RB</v>
      </c>
      <c r="M1140">
        <f>COUNTIF(L$1:L1140,L1140)</f>
        <v>3</v>
      </c>
      <c r="N1140" t="str">
        <f t="shared" si="52"/>
        <v>matty6RB-3</v>
      </c>
      <c r="O1140">
        <f>COUNTIFS(F$1:F1140,F1140,A$1:A1140,A1140)</f>
        <v>20</v>
      </c>
      <c r="P1140" t="str">
        <f t="shared" si="53"/>
        <v>Jay Ajayi6</v>
      </c>
    </row>
    <row r="1141" spans="1:16" x14ac:dyDescent="0.25">
      <c r="A1141">
        <v>9</v>
      </c>
      <c r="B1141" t="s">
        <v>136</v>
      </c>
      <c r="C1141" t="s">
        <v>6518</v>
      </c>
      <c r="D1141">
        <v>9.6999999999999993</v>
      </c>
      <c r="E1141" t="s">
        <v>36</v>
      </c>
      <c r="F1141" t="s">
        <v>87</v>
      </c>
      <c r="G1141">
        <v>15.91</v>
      </c>
      <c r="H1141">
        <v>3.49</v>
      </c>
      <c r="I1141">
        <v>6.21</v>
      </c>
      <c r="J1141">
        <v>38.564100000000003</v>
      </c>
      <c r="K1141" t="str">
        <f>IFERROR(INDEX(Rosters!$C$2:$C$155,MATCH($B1141,Rosters!$B$2:$B$155,0)),"NA")</f>
        <v>devon</v>
      </c>
      <c r="L1141" t="str">
        <f t="shared" si="51"/>
        <v>devon9WR</v>
      </c>
      <c r="M1141">
        <f>COUNTIF(L$1:L1141,L1141)</f>
        <v>1</v>
      </c>
      <c r="N1141" t="str">
        <f t="shared" si="52"/>
        <v>devon9WR-1</v>
      </c>
      <c r="O1141">
        <f>COUNTIFS(F$1:F1141,F1141,A$1:A1141,A1141)</f>
        <v>18</v>
      </c>
      <c r="P1141" t="str">
        <f t="shared" si="53"/>
        <v>Demaryius Thomas9</v>
      </c>
    </row>
    <row r="1142" spans="1:16" x14ac:dyDescent="0.25">
      <c r="A1142">
        <v>5</v>
      </c>
      <c r="B1142" t="s">
        <v>158</v>
      </c>
      <c r="C1142" t="s">
        <v>6519</v>
      </c>
      <c r="D1142">
        <v>9.69</v>
      </c>
      <c r="E1142" t="s">
        <v>14</v>
      </c>
      <c r="F1142" t="s">
        <v>47</v>
      </c>
      <c r="G1142">
        <v>18.940000000000001</v>
      </c>
      <c r="H1142">
        <v>0.44</v>
      </c>
      <c r="I1142">
        <v>9.25</v>
      </c>
      <c r="J1142">
        <v>85.5625</v>
      </c>
      <c r="K1142" t="str">
        <f>IFERROR(INDEX(Rosters!$C$2:$C$155,MATCH($B1142,Rosters!$B$2:$B$155,0)),"NA")</f>
        <v>comp</v>
      </c>
      <c r="L1142" t="str">
        <f t="shared" si="51"/>
        <v>comp5RB</v>
      </c>
      <c r="M1142">
        <f>COUNTIF(L$1:L1142,L1142)</f>
        <v>2</v>
      </c>
      <c r="N1142" t="str">
        <f t="shared" si="52"/>
        <v>comp5RB-2</v>
      </c>
      <c r="O1142">
        <f>COUNTIFS(F$1:F1142,F1142,A$1:A1142,A1142)</f>
        <v>19</v>
      </c>
      <c r="P1142" t="str">
        <f t="shared" si="53"/>
        <v>Adrian Peterson5</v>
      </c>
    </row>
    <row r="1143" spans="1:16" x14ac:dyDescent="0.25">
      <c r="A1143">
        <v>13</v>
      </c>
      <c r="B1143" t="s">
        <v>107</v>
      </c>
      <c r="C1143" t="s">
        <v>6520</v>
      </c>
      <c r="D1143">
        <v>9.69</v>
      </c>
      <c r="E1143" t="s">
        <v>76</v>
      </c>
      <c r="F1143" t="s">
        <v>87</v>
      </c>
      <c r="G1143">
        <v>15.31</v>
      </c>
      <c r="H1143">
        <v>4.07</v>
      </c>
      <c r="I1143">
        <v>5.62</v>
      </c>
      <c r="J1143">
        <v>31.584399999999999</v>
      </c>
      <c r="K1143" t="str">
        <f>IFERROR(INDEX(Rosters!$C$2:$C$155,MATCH($B1143,Rosters!$B$2:$B$155,0)),"NA")</f>
        <v>comp</v>
      </c>
      <c r="L1143" t="str">
        <f t="shared" si="51"/>
        <v>comp13WR</v>
      </c>
      <c r="M1143">
        <f>COUNTIF(L$1:L1143,L1143)</f>
        <v>3</v>
      </c>
      <c r="N1143" t="str">
        <f t="shared" si="52"/>
        <v>comp13WR-3</v>
      </c>
      <c r="O1143">
        <f>COUNTIFS(F$1:F1143,F1143,A$1:A1143,A1143)</f>
        <v>21</v>
      </c>
      <c r="P1143" t="str">
        <f t="shared" si="53"/>
        <v>T.Y. Hilton13</v>
      </c>
    </row>
    <row r="1144" spans="1:16" x14ac:dyDescent="0.25">
      <c r="A1144">
        <v>6</v>
      </c>
      <c r="B1144" t="s">
        <v>3533</v>
      </c>
      <c r="C1144" t="s">
        <v>6521</v>
      </c>
      <c r="D1144">
        <v>9.67</v>
      </c>
      <c r="E1144" t="s">
        <v>56</v>
      </c>
      <c r="F1144" t="s">
        <v>47</v>
      </c>
      <c r="G1144">
        <v>16.16</v>
      </c>
      <c r="H1144">
        <v>3.18</v>
      </c>
      <c r="I1144">
        <v>6.49</v>
      </c>
      <c r="J1144">
        <v>42.120100000000001</v>
      </c>
      <c r="K1144" t="str">
        <f>IFERROR(INDEX(Rosters!$C$2:$C$155,MATCH($B1144,Rosters!$B$2:$B$155,0)),"NA")</f>
        <v>perry</v>
      </c>
      <c r="L1144" t="str">
        <f t="shared" si="51"/>
        <v>perry6RB</v>
      </c>
      <c r="M1144">
        <f>COUNTIF(L$1:L1144,L1144)</f>
        <v>2</v>
      </c>
      <c r="N1144" t="str">
        <f t="shared" si="52"/>
        <v>perry6RB-2</v>
      </c>
      <c r="O1144">
        <f>COUNTIFS(F$1:F1144,F1144,A$1:A1144,A1144)</f>
        <v>21</v>
      </c>
      <c r="P1144" t="str">
        <f t="shared" si="53"/>
        <v>Phillip Lindsay6</v>
      </c>
    </row>
    <row r="1145" spans="1:16" x14ac:dyDescent="0.25">
      <c r="A1145">
        <v>10</v>
      </c>
      <c r="B1145" t="s">
        <v>119</v>
      </c>
      <c r="C1145" t="s">
        <v>6522</v>
      </c>
      <c r="D1145">
        <v>9.66</v>
      </c>
      <c r="E1145" t="s">
        <v>34</v>
      </c>
      <c r="F1145" t="s">
        <v>87</v>
      </c>
      <c r="G1145">
        <v>15.8</v>
      </c>
      <c r="H1145">
        <v>3.52</v>
      </c>
      <c r="I1145">
        <v>6.14</v>
      </c>
      <c r="J1145">
        <v>37.699599999999997</v>
      </c>
      <c r="K1145" t="str">
        <f>IFERROR(INDEX(Rosters!$C$2:$C$155,MATCH($B1145,Rosters!$B$2:$B$155,0)),"NA")</f>
        <v>lucas</v>
      </c>
      <c r="L1145" t="str">
        <f t="shared" si="51"/>
        <v>lucas10WR</v>
      </c>
      <c r="M1145">
        <f>COUNTIF(L$1:L1145,L1145)</f>
        <v>2</v>
      </c>
      <c r="N1145" t="str">
        <f t="shared" si="52"/>
        <v>lucas10WR-2</v>
      </c>
      <c r="O1145">
        <f>COUNTIFS(F$1:F1145,F1145,A$1:A1145,A1145)</f>
        <v>17</v>
      </c>
      <c r="P1145" t="str">
        <f t="shared" si="53"/>
        <v>Allen Robinson10</v>
      </c>
    </row>
    <row r="1146" spans="1:16" x14ac:dyDescent="0.25">
      <c r="A1146">
        <v>12</v>
      </c>
      <c r="B1146" t="s">
        <v>135</v>
      </c>
      <c r="C1146" t="s">
        <v>6523</v>
      </c>
      <c r="D1146">
        <v>9.66</v>
      </c>
      <c r="E1146" t="s">
        <v>25</v>
      </c>
      <c r="F1146" t="s">
        <v>87</v>
      </c>
      <c r="G1146">
        <v>15.22</v>
      </c>
      <c r="H1146">
        <v>4.0999999999999996</v>
      </c>
      <c r="I1146">
        <v>5.56</v>
      </c>
      <c r="J1146">
        <v>30.913599999999999</v>
      </c>
      <c r="K1146" t="str">
        <f>IFERROR(INDEX(Rosters!$C$2:$C$155,MATCH($B1146,Rosters!$B$2:$B$155,0)),"NA")</f>
        <v>perry</v>
      </c>
      <c r="L1146" t="str">
        <f t="shared" si="51"/>
        <v>perry12WR</v>
      </c>
      <c r="M1146">
        <f>COUNTIF(L$1:L1146,L1146)</f>
        <v>1</v>
      </c>
      <c r="N1146" t="str">
        <f t="shared" si="52"/>
        <v>perry12WR-1</v>
      </c>
      <c r="O1146">
        <f>COUNTIFS(F$1:F1146,F1146,A$1:A1146,A1146)</f>
        <v>16</v>
      </c>
      <c r="P1146" t="str">
        <f t="shared" si="53"/>
        <v>Davante Adams12</v>
      </c>
    </row>
    <row r="1147" spans="1:16" x14ac:dyDescent="0.25">
      <c r="A1147">
        <v>17</v>
      </c>
      <c r="B1147" t="s">
        <v>3533</v>
      </c>
      <c r="C1147" t="s">
        <v>6524</v>
      </c>
      <c r="D1147">
        <v>9.66</v>
      </c>
      <c r="E1147" t="s">
        <v>37</v>
      </c>
      <c r="F1147" t="s">
        <v>47</v>
      </c>
      <c r="G1147">
        <v>17.66</v>
      </c>
      <c r="H1147">
        <v>1.66</v>
      </c>
      <c r="I1147">
        <v>8</v>
      </c>
      <c r="J1147">
        <v>64</v>
      </c>
      <c r="K1147" t="str">
        <f>IFERROR(INDEX(Rosters!$C$2:$C$155,MATCH($B1147,Rosters!$B$2:$B$155,0)),"NA")</f>
        <v>perry</v>
      </c>
      <c r="L1147" t="str">
        <f t="shared" si="51"/>
        <v>perry17RB</v>
      </c>
      <c r="M1147">
        <f>COUNTIF(L$1:L1147,L1147)</f>
        <v>3</v>
      </c>
      <c r="N1147" t="str">
        <f t="shared" si="52"/>
        <v>perry17RB-3</v>
      </c>
      <c r="O1147">
        <f>COUNTIFS(F$1:F1147,F1147,A$1:A1147,A1147)</f>
        <v>21</v>
      </c>
      <c r="P1147" t="str">
        <f t="shared" si="53"/>
        <v>Phillip Lindsay17</v>
      </c>
    </row>
    <row r="1148" spans="1:16" x14ac:dyDescent="0.25">
      <c r="A1148">
        <v>9</v>
      </c>
      <c r="B1148" t="s">
        <v>122</v>
      </c>
      <c r="C1148" t="s">
        <v>6525</v>
      </c>
      <c r="D1148">
        <v>9.65</v>
      </c>
      <c r="E1148" t="s">
        <v>25</v>
      </c>
      <c r="F1148" t="s">
        <v>87</v>
      </c>
      <c r="G1148">
        <v>15.07</v>
      </c>
      <c r="H1148">
        <v>4.2300000000000004</v>
      </c>
      <c r="I1148">
        <v>5.42</v>
      </c>
      <c r="J1148">
        <v>29.3764</v>
      </c>
      <c r="K1148" t="str">
        <f>IFERROR(INDEX(Rosters!$C$2:$C$155,MATCH($B1148,Rosters!$B$2:$B$155,0)),"NA")</f>
        <v>devon</v>
      </c>
      <c r="L1148" t="str">
        <f t="shared" si="51"/>
        <v>devon9WR</v>
      </c>
      <c r="M1148">
        <f>COUNTIF(L$1:L1148,L1148)</f>
        <v>2</v>
      </c>
      <c r="N1148" t="str">
        <f t="shared" si="52"/>
        <v>devon9WR-2</v>
      </c>
      <c r="O1148">
        <f>COUNTIFS(F$1:F1148,F1148,A$1:A1148,A1148)</f>
        <v>19</v>
      </c>
      <c r="P1148" t="str">
        <f t="shared" si="53"/>
        <v>Golden Tate9</v>
      </c>
    </row>
    <row r="1149" spans="1:16" x14ac:dyDescent="0.25">
      <c r="A1149">
        <v>7</v>
      </c>
      <c r="B1149" t="s">
        <v>113</v>
      </c>
      <c r="C1149" t="s">
        <v>6526</v>
      </c>
      <c r="D1149">
        <v>9.65</v>
      </c>
      <c r="E1149" t="s">
        <v>72</v>
      </c>
      <c r="F1149" t="s">
        <v>114</v>
      </c>
      <c r="G1149">
        <v>16.05</v>
      </c>
      <c r="H1149">
        <v>3.25</v>
      </c>
      <c r="I1149">
        <v>6.4</v>
      </c>
      <c r="J1149">
        <v>40.96</v>
      </c>
      <c r="K1149" t="str">
        <f>IFERROR(INDEX(Rosters!$C$2:$C$155,MATCH($B1149,Rosters!$B$2:$B$155,0)),"NA")</f>
        <v>lucas</v>
      </c>
      <c r="L1149" t="str">
        <f t="shared" si="51"/>
        <v>lucas7TE</v>
      </c>
      <c r="M1149">
        <f>COUNTIF(L$1:L1149,L1149)</f>
        <v>1</v>
      </c>
      <c r="N1149" t="str">
        <f t="shared" si="52"/>
        <v>lucas7TE-1</v>
      </c>
      <c r="O1149">
        <f>COUNTIFS(F$1:F1149,F1149,A$1:A1149,A1149)</f>
        <v>2</v>
      </c>
      <c r="P1149" t="str">
        <f t="shared" si="53"/>
        <v>Rob Gronkowski7</v>
      </c>
    </row>
    <row r="1150" spans="1:16" x14ac:dyDescent="0.25">
      <c r="A1150">
        <v>2</v>
      </c>
      <c r="B1150" t="s">
        <v>133</v>
      </c>
      <c r="C1150" t="s">
        <v>3323</v>
      </c>
      <c r="D1150">
        <v>9.65</v>
      </c>
      <c r="E1150" t="s">
        <v>41</v>
      </c>
      <c r="F1150" t="s">
        <v>87</v>
      </c>
      <c r="G1150">
        <v>15.96</v>
      </c>
      <c r="H1150">
        <v>3.34</v>
      </c>
      <c r="I1150">
        <v>6.31</v>
      </c>
      <c r="J1150">
        <v>39.816099999999999</v>
      </c>
      <c r="K1150" t="str">
        <f>IFERROR(INDEX(Rosters!$C$2:$C$155,MATCH($B1150,Rosters!$B$2:$B$155,0)),"NA")</f>
        <v>aj</v>
      </c>
      <c r="L1150" t="str">
        <f t="shared" si="51"/>
        <v>aj2WR</v>
      </c>
      <c r="M1150">
        <f>COUNTIF(L$1:L1150,L1150)</f>
        <v>3</v>
      </c>
      <c r="N1150" t="str">
        <f t="shared" si="52"/>
        <v>aj2WR-3</v>
      </c>
      <c r="O1150">
        <f>COUNTIFS(F$1:F1150,F1150,A$1:A1150,A1150)</f>
        <v>16</v>
      </c>
      <c r="P1150" t="str">
        <f t="shared" si="53"/>
        <v>Stefon Diggs2</v>
      </c>
    </row>
    <row r="1151" spans="1:16" x14ac:dyDescent="0.25">
      <c r="A1151">
        <v>11</v>
      </c>
      <c r="B1151" t="s">
        <v>613</v>
      </c>
      <c r="C1151" t="s">
        <v>6527</v>
      </c>
      <c r="D1151">
        <v>9.64</v>
      </c>
      <c r="E1151" t="s">
        <v>74</v>
      </c>
      <c r="F1151" t="s">
        <v>87</v>
      </c>
      <c r="G1151">
        <v>15.73</v>
      </c>
      <c r="H1151">
        <v>3.55</v>
      </c>
      <c r="I1151">
        <v>6.09</v>
      </c>
      <c r="J1151">
        <v>37.088099999999997</v>
      </c>
      <c r="K1151" t="str">
        <f>IFERROR(INDEX(Rosters!$C$2:$C$155,MATCH($B1151,Rosters!$B$2:$B$155,0)),"NA")</f>
        <v>matty</v>
      </c>
      <c r="L1151" t="str">
        <f t="shared" si="51"/>
        <v>matty11WR</v>
      </c>
      <c r="M1151">
        <f>COUNTIF(L$1:L1151,L1151)</f>
        <v>3</v>
      </c>
      <c r="N1151" t="str">
        <f t="shared" si="52"/>
        <v>matty11WR-3</v>
      </c>
      <c r="O1151">
        <f>COUNTIFS(F$1:F1151,F1151,A$1:A1151,A1151)</f>
        <v>19</v>
      </c>
      <c r="P1151" t="str">
        <f t="shared" si="53"/>
        <v>Marvin Jones Jr.11</v>
      </c>
    </row>
    <row r="1152" spans="1:16" x14ac:dyDescent="0.25">
      <c r="A1152">
        <v>13</v>
      </c>
      <c r="B1152" t="s">
        <v>1326</v>
      </c>
      <c r="C1152" t="s">
        <v>6528</v>
      </c>
      <c r="D1152">
        <v>9.6300000000000008</v>
      </c>
      <c r="E1152" t="s">
        <v>56</v>
      </c>
      <c r="F1152" t="s">
        <v>47</v>
      </c>
      <c r="G1152">
        <v>16.420000000000002</v>
      </c>
      <c r="H1152">
        <v>2.84</v>
      </c>
      <c r="I1152">
        <v>6.79</v>
      </c>
      <c r="J1152">
        <v>46.104100000000003</v>
      </c>
      <c r="K1152" t="str">
        <f>IFERROR(INDEX(Rosters!$C$2:$C$155,MATCH($B1152,Rosters!$B$2:$B$155,0)),"NA")</f>
        <v>devon</v>
      </c>
      <c r="L1152" t="str">
        <f t="shared" si="51"/>
        <v>devon13RB</v>
      </c>
      <c r="M1152">
        <f>COUNTIF(L$1:L1152,L1152)</f>
        <v>4</v>
      </c>
      <c r="N1152" t="str">
        <f t="shared" si="52"/>
        <v>devon13RB-4</v>
      </c>
      <c r="O1152">
        <f>COUNTIFS(F$1:F1152,F1152,A$1:A1152,A1152)</f>
        <v>19</v>
      </c>
      <c r="P1152" t="str">
        <f t="shared" si="53"/>
        <v>Kerryon Johnson13</v>
      </c>
    </row>
    <row r="1153" spans="1:16" x14ac:dyDescent="0.25">
      <c r="A1153">
        <v>3</v>
      </c>
      <c r="B1153" t="s">
        <v>613</v>
      </c>
      <c r="C1153" t="s">
        <v>3666</v>
      </c>
      <c r="D1153">
        <v>9.6300000000000008</v>
      </c>
      <c r="E1153" t="s">
        <v>423</v>
      </c>
      <c r="F1153" t="s">
        <v>87</v>
      </c>
      <c r="G1153">
        <v>15.2</v>
      </c>
      <c r="H1153">
        <v>4.0599999999999996</v>
      </c>
      <c r="I1153">
        <v>5.57</v>
      </c>
      <c r="J1153">
        <v>31.024899999999999</v>
      </c>
      <c r="K1153" t="str">
        <f>IFERROR(INDEX(Rosters!$C$2:$C$155,MATCH($B1153,Rosters!$B$2:$B$155,0)),"NA")</f>
        <v>matty</v>
      </c>
      <c r="L1153" t="str">
        <f t="shared" si="51"/>
        <v>matty3WR</v>
      </c>
      <c r="M1153">
        <f>COUNTIF(L$1:L1153,L1153)</f>
        <v>2</v>
      </c>
      <c r="N1153" t="str">
        <f t="shared" si="52"/>
        <v>matty3WR-2</v>
      </c>
      <c r="O1153">
        <f>COUNTIFS(F$1:F1153,F1153,A$1:A1153,A1153)</f>
        <v>19</v>
      </c>
      <c r="P1153" t="str">
        <f t="shared" si="53"/>
        <v>Marvin Jones Jr.3</v>
      </c>
    </row>
    <row r="1154" spans="1:16" x14ac:dyDescent="0.25">
      <c r="A1154">
        <v>16</v>
      </c>
      <c r="B1154" t="s">
        <v>136</v>
      </c>
      <c r="C1154" t="s">
        <v>6529</v>
      </c>
      <c r="D1154">
        <v>9.6199999999999992</v>
      </c>
      <c r="E1154" t="s">
        <v>32</v>
      </c>
      <c r="F1154" t="s">
        <v>87</v>
      </c>
      <c r="G1154">
        <v>14.79</v>
      </c>
      <c r="H1154">
        <v>4.45</v>
      </c>
      <c r="I1154">
        <v>5.17</v>
      </c>
      <c r="J1154">
        <v>26.728899999999999</v>
      </c>
      <c r="K1154" t="str">
        <f>IFERROR(INDEX(Rosters!$C$2:$C$155,MATCH($B1154,Rosters!$B$2:$B$155,0)),"NA")</f>
        <v>devon</v>
      </c>
      <c r="L1154" t="str">
        <f t="shared" si="51"/>
        <v>devon16WR</v>
      </c>
      <c r="M1154">
        <f>COUNTIF(L$1:L1154,L1154)</f>
        <v>4</v>
      </c>
      <c r="N1154" t="str">
        <f t="shared" si="52"/>
        <v>devon16WR-4</v>
      </c>
      <c r="O1154">
        <f>COUNTIFS(F$1:F1154,F1154,A$1:A1154,A1154)</f>
        <v>20</v>
      </c>
      <c r="P1154" t="str">
        <f t="shared" si="53"/>
        <v>Demaryius Thomas16</v>
      </c>
    </row>
    <row r="1155" spans="1:16" x14ac:dyDescent="0.25">
      <c r="A1155">
        <v>17</v>
      </c>
      <c r="B1155" t="s">
        <v>298</v>
      </c>
      <c r="C1155" t="s">
        <v>6530</v>
      </c>
      <c r="D1155">
        <v>9.6199999999999992</v>
      </c>
      <c r="E1155" t="s">
        <v>31</v>
      </c>
      <c r="F1155" t="s">
        <v>47</v>
      </c>
      <c r="G1155">
        <v>15.98</v>
      </c>
      <c r="H1155">
        <v>3.26</v>
      </c>
      <c r="I1155">
        <v>6.36</v>
      </c>
      <c r="J1155">
        <v>40.449599999999997</v>
      </c>
      <c r="K1155" t="str">
        <f>IFERROR(INDEX(Rosters!$C$2:$C$155,MATCH($B1155,Rosters!$B$2:$B$155,0)),"NA")</f>
        <v>aj</v>
      </c>
      <c r="L1155" t="str">
        <f t="shared" ref="L1155:L1218" si="54">K1155&amp;A1155&amp;F1155</f>
        <v>aj17RB</v>
      </c>
      <c r="M1155">
        <f>COUNTIF(L$1:L1155,L1155)</f>
        <v>3</v>
      </c>
      <c r="N1155" t="str">
        <f t="shared" ref="N1155:N1218" si="55">L1155&amp;"-"&amp;M1155</f>
        <v>aj17RB-3</v>
      </c>
      <c r="O1155">
        <f>COUNTIFS(F$1:F1155,F1155,A$1:A1155,A1155)</f>
        <v>22</v>
      </c>
      <c r="P1155" t="str">
        <f t="shared" ref="P1155:P1218" si="56">B1155&amp;A1155</f>
        <v>James Conner17</v>
      </c>
    </row>
    <row r="1156" spans="1:16" x14ac:dyDescent="0.25">
      <c r="A1156">
        <v>5</v>
      </c>
      <c r="B1156" t="s">
        <v>134</v>
      </c>
      <c r="C1156" t="s">
        <v>5446</v>
      </c>
      <c r="D1156">
        <v>9.6199999999999992</v>
      </c>
      <c r="E1156" t="s">
        <v>77</v>
      </c>
      <c r="F1156" t="s">
        <v>87</v>
      </c>
      <c r="G1156">
        <v>14.98</v>
      </c>
      <c r="H1156">
        <v>4.26</v>
      </c>
      <c r="I1156">
        <v>5.36</v>
      </c>
      <c r="J1156">
        <v>28.729600000000001</v>
      </c>
      <c r="K1156" t="str">
        <f>IFERROR(INDEX(Rosters!$C$2:$C$155,MATCH($B1156,Rosters!$B$2:$B$155,0)),"NA")</f>
        <v>cory</v>
      </c>
      <c r="L1156" t="str">
        <f t="shared" si="54"/>
        <v>cory5WR</v>
      </c>
      <c r="M1156">
        <f>COUNTIF(L$1:L1156,L1156)</f>
        <v>3</v>
      </c>
      <c r="N1156" t="str">
        <f t="shared" si="55"/>
        <v>cory5WR-3</v>
      </c>
      <c r="O1156">
        <f>COUNTIFS(F$1:F1156,F1156,A$1:A1156,A1156)</f>
        <v>16</v>
      </c>
      <c r="P1156" t="str">
        <f t="shared" si="56"/>
        <v>Jarvis Landry5</v>
      </c>
    </row>
    <row r="1157" spans="1:16" x14ac:dyDescent="0.25">
      <c r="A1157">
        <v>16</v>
      </c>
      <c r="B1157" t="s">
        <v>134</v>
      </c>
      <c r="C1157" t="s">
        <v>6531</v>
      </c>
      <c r="D1157">
        <v>9.6199999999999992</v>
      </c>
      <c r="E1157" t="s">
        <v>31</v>
      </c>
      <c r="F1157" t="s">
        <v>87</v>
      </c>
      <c r="G1157">
        <v>16.350000000000001</v>
      </c>
      <c r="H1157">
        <v>2.89</v>
      </c>
      <c r="I1157">
        <v>6.73</v>
      </c>
      <c r="J1157">
        <v>45.292900000000003</v>
      </c>
      <c r="K1157" t="str">
        <f>IFERROR(INDEX(Rosters!$C$2:$C$155,MATCH($B1157,Rosters!$B$2:$B$155,0)),"NA")</f>
        <v>cory</v>
      </c>
      <c r="L1157" t="str">
        <f t="shared" si="54"/>
        <v>cory16WR</v>
      </c>
      <c r="M1157">
        <f>COUNTIF(L$1:L1157,L1157)</f>
        <v>3</v>
      </c>
      <c r="N1157" t="str">
        <f t="shared" si="55"/>
        <v>cory16WR-3</v>
      </c>
      <c r="O1157">
        <f>COUNTIFS(F$1:F1157,F1157,A$1:A1157,A1157)</f>
        <v>21</v>
      </c>
      <c r="P1157" t="str">
        <f t="shared" si="56"/>
        <v>Jarvis Landry16</v>
      </c>
    </row>
    <row r="1158" spans="1:16" x14ac:dyDescent="0.25">
      <c r="A1158">
        <v>10</v>
      </c>
      <c r="B1158" t="s">
        <v>1647</v>
      </c>
      <c r="C1158" t="s">
        <v>6532</v>
      </c>
      <c r="D1158">
        <v>9.6199999999999992</v>
      </c>
      <c r="E1158" t="s">
        <v>31</v>
      </c>
      <c r="F1158" t="s">
        <v>47</v>
      </c>
      <c r="G1158">
        <v>15.43</v>
      </c>
      <c r="H1158">
        <v>3.81</v>
      </c>
      <c r="I1158">
        <v>5.81</v>
      </c>
      <c r="J1158">
        <v>33.756100000000004</v>
      </c>
      <c r="K1158" t="str">
        <f>IFERROR(INDEX(Rosters!$C$2:$C$155,MATCH($B1158,Rosters!$B$2:$B$155,0)),"NA")</f>
        <v>cory</v>
      </c>
      <c r="L1158" t="str">
        <f t="shared" si="54"/>
        <v>cory10RB</v>
      </c>
      <c r="M1158">
        <f>COUNTIF(L$1:L1158,L1158)</f>
        <v>2</v>
      </c>
      <c r="N1158" t="str">
        <f t="shared" si="55"/>
        <v>cory10RB-2</v>
      </c>
      <c r="O1158">
        <f>COUNTIFS(F$1:F1158,F1158,A$1:A1158,A1158)</f>
        <v>19</v>
      </c>
      <c r="P1158" t="str">
        <f t="shared" si="56"/>
        <v>Mark Ingram II10</v>
      </c>
    </row>
    <row r="1159" spans="1:16" x14ac:dyDescent="0.25">
      <c r="A1159">
        <v>10</v>
      </c>
      <c r="B1159" t="s">
        <v>122</v>
      </c>
      <c r="C1159" t="s">
        <v>6533</v>
      </c>
      <c r="D1159">
        <v>9.61</v>
      </c>
      <c r="E1159" t="s">
        <v>72</v>
      </c>
      <c r="F1159" t="s">
        <v>87</v>
      </c>
      <c r="G1159">
        <v>14.97</v>
      </c>
      <c r="H1159">
        <v>4.25</v>
      </c>
      <c r="I1159">
        <v>5.36</v>
      </c>
      <c r="J1159">
        <v>28.729600000000001</v>
      </c>
      <c r="K1159" t="str">
        <f>IFERROR(INDEX(Rosters!$C$2:$C$155,MATCH($B1159,Rosters!$B$2:$B$155,0)),"NA")</f>
        <v>devon</v>
      </c>
      <c r="L1159" t="str">
        <f t="shared" si="54"/>
        <v>devon10WR</v>
      </c>
      <c r="M1159">
        <f>COUNTIF(L$1:L1159,L1159)</f>
        <v>2</v>
      </c>
      <c r="N1159" t="str">
        <f t="shared" si="55"/>
        <v>devon10WR-2</v>
      </c>
      <c r="O1159">
        <f>COUNTIFS(F$1:F1159,F1159,A$1:A1159,A1159)</f>
        <v>18</v>
      </c>
      <c r="P1159" t="str">
        <f t="shared" si="56"/>
        <v>Golden Tate10</v>
      </c>
    </row>
    <row r="1160" spans="1:16" x14ac:dyDescent="0.25">
      <c r="A1160">
        <v>12</v>
      </c>
      <c r="B1160" t="s">
        <v>1330</v>
      </c>
      <c r="C1160" t="s">
        <v>6534</v>
      </c>
      <c r="D1160">
        <v>9.61</v>
      </c>
      <c r="E1160" t="s">
        <v>73</v>
      </c>
      <c r="F1160" t="s">
        <v>87</v>
      </c>
      <c r="G1160">
        <v>15.7</v>
      </c>
      <c r="H1160">
        <v>3.52</v>
      </c>
      <c r="I1160">
        <v>6.09</v>
      </c>
      <c r="J1160">
        <v>37.088099999999997</v>
      </c>
      <c r="K1160" t="str">
        <f>IFERROR(INDEX(Rosters!$C$2:$C$155,MATCH($B1160,Rosters!$B$2:$B$155,0)),"NA")</f>
        <v>chad</v>
      </c>
      <c r="L1160" t="str">
        <f t="shared" si="54"/>
        <v>chad12WR</v>
      </c>
      <c r="M1160">
        <f>COUNTIF(L$1:L1160,L1160)</f>
        <v>2</v>
      </c>
      <c r="N1160" t="str">
        <f t="shared" si="55"/>
        <v>chad12WR-2</v>
      </c>
      <c r="O1160">
        <f>COUNTIFS(F$1:F1160,F1160,A$1:A1160,A1160)</f>
        <v>17</v>
      </c>
      <c r="P1160" t="str">
        <f t="shared" si="56"/>
        <v>Julian Edelman12</v>
      </c>
    </row>
    <row r="1161" spans="1:16" x14ac:dyDescent="0.25">
      <c r="A1161">
        <v>5</v>
      </c>
      <c r="B1161" t="s">
        <v>177</v>
      </c>
      <c r="C1161" t="s">
        <v>6535</v>
      </c>
      <c r="D1161">
        <v>9.61</v>
      </c>
      <c r="E1161" t="s">
        <v>25</v>
      </c>
      <c r="F1161" t="s">
        <v>114</v>
      </c>
      <c r="G1161">
        <v>14.83</v>
      </c>
      <c r="H1161">
        <v>4.3899999999999997</v>
      </c>
      <c r="I1161">
        <v>5.22</v>
      </c>
      <c r="J1161">
        <v>27.2484</v>
      </c>
      <c r="K1161" t="str">
        <f>IFERROR(INDEX(Rosters!$C$2:$C$155,MATCH($B1161,Rosters!$B$2:$B$155,0)),"NA")</f>
        <v>perry</v>
      </c>
      <c r="L1161" t="str">
        <f t="shared" si="54"/>
        <v>perry5TE</v>
      </c>
      <c r="M1161">
        <f>COUNTIF(L$1:L1161,L1161)</f>
        <v>1</v>
      </c>
      <c r="N1161" t="str">
        <f t="shared" si="55"/>
        <v>perry5TE-1</v>
      </c>
      <c r="O1161">
        <f>COUNTIFS(F$1:F1161,F1161,A$1:A1161,A1161)</f>
        <v>3</v>
      </c>
      <c r="P1161" t="str">
        <f t="shared" si="56"/>
        <v>Zach Ertz5</v>
      </c>
    </row>
    <row r="1162" spans="1:16" x14ac:dyDescent="0.25">
      <c r="A1162">
        <v>4</v>
      </c>
      <c r="B1162" t="s">
        <v>104</v>
      </c>
      <c r="C1162" t="s">
        <v>4460</v>
      </c>
      <c r="D1162">
        <v>9.6</v>
      </c>
      <c r="E1162" t="s">
        <v>46</v>
      </c>
      <c r="F1162" t="s">
        <v>87</v>
      </c>
      <c r="G1162">
        <v>15.3</v>
      </c>
      <c r="H1162">
        <v>3.9</v>
      </c>
      <c r="I1162">
        <v>5.7</v>
      </c>
      <c r="J1162">
        <v>32.49</v>
      </c>
      <c r="K1162" t="str">
        <f>IFERROR(INDEX(Rosters!$C$2:$C$155,MATCH($B1162,Rosters!$B$2:$B$155,0)),"NA")</f>
        <v>devon</v>
      </c>
      <c r="L1162" t="str">
        <f t="shared" si="54"/>
        <v>devon4WR</v>
      </c>
      <c r="M1162">
        <f>COUNTIF(L$1:L1162,L1162)</f>
        <v>2</v>
      </c>
      <c r="N1162" t="str">
        <f t="shared" si="55"/>
        <v>devon4WR-2</v>
      </c>
      <c r="O1162">
        <f>COUNTIFS(F$1:F1162,F1162,A$1:A1162,A1162)</f>
        <v>19</v>
      </c>
      <c r="P1162" t="str">
        <f t="shared" si="56"/>
        <v>A.J. Green4</v>
      </c>
    </row>
    <row r="1163" spans="1:16" x14ac:dyDescent="0.25">
      <c r="A1163">
        <v>6</v>
      </c>
      <c r="B1163" t="s">
        <v>104</v>
      </c>
      <c r="C1163" t="s">
        <v>6536</v>
      </c>
      <c r="D1163">
        <v>9.6</v>
      </c>
      <c r="E1163" t="s">
        <v>51</v>
      </c>
      <c r="F1163" t="s">
        <v>87</v>
      </c>
      <c r="G1163">
        <v>15.45</v>
      </c>
      <c r="H1163">
        <v>3.75</v>
      </c>
      <c r="I1163">
        <v>5.85</v>
      </c>
      <c r="J1163">
        <v>34.222499999999997</v>
      </c>
      <c r="K1163" t="str">
        <f>IFERROR(INDEX(Rosters!$C$2:$C$155,MATCH($B1163,Rosters!$B$2:$B$155,0)),"NA")</f>
        <v>devon</v>
      </c>
      <c r="L1163" t="str">
        <f t="shared" si="54"/>
        <v>devon6WR</v>
      </c>
      <c r="M1163">
        <f>COUNTIF(L$1:L1163,L1163)</f>
        <v>1</v>
      </c>
      <c r="N1163" t="str">
        <f t="shared" si="55"/>
        <v>devon6WR-1</v>
      </c>
      <c r="O1163">
        <f>COUNTIFS(F$1:F1163,F1163,A$1:A1163,A1163)</f>
        <v>19</v>
      </c>
      <c r="P1163" t="str">
        <f t="shared" si="56"/>
        <v>A.J. Green6</v>
      </c>
    </row>
    <row r="1164" spans="1:16" x14ac:dyDescent="0.25">
      <c r="A1164">
        <v>5</v>
      </c>
      <c r="B1164" t="s">
        <v>89</v>
      </c>
      <c r="C1164" t="s">
        <v>6537</v>
      </c>
      <c r="D1164">
        <v>9.6</v>
      </c>
      <c r="E1164" t="s">
        <v>25</v>
      </c>
      <c r="F1164" t="s">
        <v>47</v>
      </c>
      <c r="G1164">
        <v>15.93</v>
      </c>
      <c r="H1164">
        <v>3.27</v>
      </c>
      <c r="I1164">
        <v>6.33</v>
      </c>
      <c r="J1164">
        <v>40.068899999999999</v>
      </c>
      <c r="K1164" t="str">
        <f>IFERROR(INDEX(Rosters!$C$2:$C$155,MATCH($B1164,Rosters!$B$2:$B$155,0)),"NA")</f>
        <v>matty</v>
      </c>
      <c r="L1164" t="str">
        <f t="shared" si="54"/>
        <v>matty5RB</v>
      </c>
      <c r="M1164">
        <f>COUNTIF(L$1:L1164,L1164)</f>
        <v>3</v>
      </c>
      <c r="N1164" t="str">
        <f t="shared" si="55"/>
        <v>matty5RB-3</v>
      </c>
      <c r="O1164">
        <f>COUNTIFS(F$1:F1164,F1164,A$1:A1164,A1164)</f>
        <v>20</v>
      </c>
      <c r="P1164" t="str">
        <f t="shared" si="56"/>
        <v>Jay Ajayi5</v>
      </c>
    </row>
    <row r="1165" spans="1:16" x14ac:dyDescent="0.25">
      <c r="A1165">
        <v>17</v>
      </c>
      <c r="B1165" t="s">
        <v>98</v>
      </c>
      <c r="C1165" t="s">
        <v>6538</v>
      </c>
      <c r="D1165">
        <v>9.59</v>
      </c>
      <c r="E1165" t="s">
        <v>24</v>
      </c>
      <c r="F1165" t="s">
        <v>87</v>
      </c>
      <c r="G1165">
        <v>15.67</v>
      </c>
      <c r="H1165">
        <v>3.51</v>
      </c>
      <c r="I1165">
        <v>6.08</v>
      </c>
      <c r="J1165">
        <v>36.9664</v>
      </c>
      <c r="K1165" t="str">
        <f>IFERROR(INDEX(Rosters!$C$2:$C$155,MATCH($B1165,Rosters!$B$2:$B$155,0)),"NA")</f>
        <v>seth</v>
      </c>
      <c r="L1165" t="str">
        <f t="shared" si="54"/>
        <v>seth17WR</v>
      </c>
      <c r="M1165">
        <f>COUNTIF(L$1:L1165,L1165)</f>
        <v>3</v>
      </c>
      <c r="N1165" t="str">
        <f t="shared" si="55"/>
        <v>seth17WR-3</v>
      </c>
      <c r="O1165">
        <f>COUNTIFS(F$1:F1165,F1165,A$1:A1165,A1165)</f>
        <v>21</v>
      </c>
      <c r="P1165" t="str">
        <f t="shared" si="56"/>
        <v>Jordy Nelson17</v>
      </c>
    </row>
    <row r="1166" spans="1:16" x14ac:dyDescent="0.25">
      <c r="A1166">
        <v>9</v>
      </c>
      <c r="B1166" t="s">
        <v>228</v>
      </c>
      <c r="C1166" t="s">
        <v>6539</v>
      </c>
      <c r="D1166">
        <v>9.59</v>
      </c>
      <c r="E1166" t="s">
        <v>32</v>
      </c>
      <c r="F1166" t="s">
        <v>47</v>
      </c>
      <c r="G1166">
        <v>14.21</v>
      </c>
      <c r="H1166">
        <v>4.97</v>
      </c>
      <c r="I1166">
        <v>4.62</v>
      </c>
      <c r="J1166">
        <v>21.3444</v>
      </c>
      <c r="K1166" t="str">
        <f>IFERROR(INDEX(Rosters!$C$2:$C$155,MATCH($B1166,Rosters!$B$2:$B$155,0)),"NA")</f>
        <v>perry</v>
      </c>
      <c r="L1166" t="str">
        <f t="shared" si="54"/>
        <v>perry9RB</v>
      </c>
      <c r="M1166">
        <f>COUNTIF(L$1:L1166,L1166)</f>
        <v>2</v>
      </c>
      <c r="N1166" t="str">
        <f t="shared" si="55"/>
        <v>perry9RB-2</v>
      </c>
      <c r="O1166">
        <f>COUNTIFS(F$1:F1166,F1166,A$1:A1166,A1166)</f>
        <v>18</v>
      </c>
      <c r="P1166" t="str">
        <f t="shared" si="56"/>
        <v>Matt Breida9</v>
      </c>
    </row>
    <row r="1167" spans="1:16" x14ac:dyDescent="0.25">
      <c r="A1167">
        <v>5</v>
      </c>
      <c r="B1167" t="s">
        <v>256</v>
      </c>
      <c r="C1167" t="s">
        <v>6540</v>
      </c>
      <c r="D1167">
        <v>9.57</v>
      </c>
      <c r="E1167" t="s">
        <v>28</v>
      </c>
      <c r="F1167" t="s">
        <v>87</v>
      </c>
      <c r="G1167">
        <v>15.26</v>
      </c>
      <c r="H1167">
        <v>3.88</v>
      </c>
      <c r="I1167">
        <v>5.69</v>
      </c>
      <c r="J1167">
        <v>32.376100000000001</v>
      </c>
      <c r="K1167" t="str">
        <f>IFERROR(INDEX(Rosters!$C$2:$C$155,MATCH($B1167,Rosters!$B$2:$B$155,0)),"NA")</f>
        <v>lucas</v>
      </c>
      <c r="L1167" t="str">
        <f t="shared" si="54"/>
        <v>lucas5WR</v>
      </c>
      <c r="M1167">
        <f>COUNTIF(L$1:L1167,L1167)</f>
        <v>1</v>
      </c>
      <c r="N1167" t="str">
        <f t="shared" si="55"/>
        <v>lucas5WR-1</v>
      </c>
      <c r="O1167">
        <f>COUNTIFS(F$1:F1167,F1167,A$1:A1167,A1167)</f>
        <v>17</v>
      </c>
      <c r="P1167" t="str">
        <f t="shared" si="56"/>
        <v>Cooper Kupp5</v>
      </c>
    </row>
    <row r="1168" spans="1:16" x14ac:dyDescent="0.25">
      <c r="A1168">
        <v>12</v>
      </c>
      <c r="B1168" t="s">
        <v>86</v>
      </c>
      <c r="C1168" t="s">
        <v>6541</v>
      </c>
      <c r="D1168">
        <v>9.57</v>
      </c>
      <c r="E1168" t="s">
        <v>50</v>
      </c>
      <c r="F1168" t="s">
        <v>87</v>
      </c>
      <c r="G1168">
        <v>15.65</v>
      </c>
      <c r="H1168">
        <v>3.49</v>
      </c>
      <c r="I1168">
        <v>6.08</v>
      </c>
      <c r="J1168">
        <v>36.9664</v>
      </c>
      <c r="K1168" t="str">
        <f>IFERROR(INDEX(Rosters!$C$2:$C$155,MATCH($B1168,Rosters!$B$2:$B$155,0)),"NA")</f>
        <v>seth</v>
      </c>
      <c r="L1168" t="str">
        <f t="shared" si="54"/>
        <v>seth12WR</v>
      </c>
      <c r="M1168">
        <f>COUNTIF(L$1:L1168,L1168)</f>
        <v>2</v>
      </c>
      <c r="N1168" t="str">
        <f t="shared" si="55"/>
        <v>seth12WR-2</v>
      </c>
      <c r="O1168">
        <f>COUNTIFS(F$1:F1168,F1168,A$1:A1168,A1168)</f>
        <v>18</v>
      </c>
      <c r="P1168" t="str">
        <f t="shared" si="56"/>
        <v>Odell Beckham Jr.12</v>
      </c>
    </row>
    <row r="1169" spans="1:16" x14ac:dyDescent="0.25">
      <c r="A1169">
        <v>15</v>
      </c>
      <c r="B1169" t="s">
        <v>1372</v>
      </c>
      <c r="C1169" t="s">
        <v>6542</v>
      </c>
      <c r="D1169">
        <v>9.57</v>
      </c>
      <c r="E1169" t="s">
        <v>36</v>
      </c>
      <c r="F1169" t="s">
        <v>87</v>
      </c>
      <c r="G1169">
        <v>15.48</v>
      </c>
      <c r="H1169">
        <v>3.66</v>
      </c>
      <c r="I1169">
        <v>5.91</v>
      </c>
      <c r="J1169">
        <v>34.928100000000001</v>
      </c>
      <c r="K1169" t="str">
        <f>IFERROR(INDEX(Rosters!$C$2:$C$155,MATCH($B1169,Rosters!$B$2:$B$155,0)),"NA")</f>
        <v>lucas</v>
      </c>
      <c r="L1169" t="str">
        <f t="shared" si="54"/>
        <v>lucas15WR</v>
      </c>
      <c r="M1169">
        <f>COUNTIF(L$1:L1169,L1169)</f>
        <v>1</v>
      </c>
      <c r="N1169" t="str">
        <f t="shared" si="55"/>
        <v>lucas15WR-1</v>
      </c>
      <c r="O1169">
        <f>COUNTIFS(F$1:F1169,F1169,A$1:A1169,A1169)</f>
        <v>18</v>
      </c>
      <c r="P1169" t="str">
        <f t="shared" si="56"/>
        <v>Quincy Enunwa15</v>
      </c>
    </row>
    <row r="1170" spans="1:16" x14ac:dyDescent="0.25">
      <c r="A1170">
        <v>7</v>
      </c>
      <c r="B1170" t="s">
        <v>177</v>
      </c>
      <c r="C1170" t="s">
        <v>6543</v>
      </c>
      <c r="D1170">
        <v>9.57</v>
      </c>
      <c r="E1170" t="s">
        <v>74</v>
      </c>
      <c r="F1170" t="s">
        <v>114</v>
      </c>
      <c r="G1170">
        <v>14.63</v>
      </c>
      <c r="H1170">
        <v>4.51</v>
      </c>
      <c r="I1170">
        <v>5.0599999999999996</v>
      </c>
      <c r="J1170">
        <v>25.6036</v>
      </c>
      <c r="K1170" t="str">
        <f>IFERROR(INDEX(Rosters!$C$2:$C$155,MATCH($B1170,Rosters!$B$2:$B$155,0)),"NA")</f>
        <v>perry</v>
      </c>
      <c r="L1170" t="str">
        <f t="shared" si="54"/>
        <v>perry7TE</v>
      </c>
      <c r="M1170">
        <f>COUNTIF(L$1:L1170,L1170)</f>
        <v>1</v>
      </c>
      <c r="N1170" t="str">
        <f t="shared" si="55"/>
        <v>perry7TE-1</v>
      </c>
      <c r="O1170">
        <f>COUNTIFS(F$1:F1170,F1170,A$1:A1170,A1170)</f>
        <v>3</v>
      </c>
      <c r="P1170" t="str">
        <f t="shared" si="56"/>
        <v>Zach Ertz7</v>
      </c>
    </row>
    <row r="1171" spans="1:16" x14ac:dyDescent="0.25">
      <c r="A1171">
        <v>16</v>
      </c>
      <c r="B1171" t="s">
        <v>149</v>
      </c>
      <c r="C1171" t="s">
        <v>6544</v>
      </c>
      <c r="D1171">
        <v>9.56</v>
      </c>
      <c r="E1171" t="s">
        <v>32</v>
      </c>
      <c r="F1171" t="s">
        <v>87</v>
      </c>
      <c r="G1171">
        <v>15.25</v>
      </c>
      <c r="H1171">
        <v>3.87</v>
      </c>
      <c r="I1171">
        <v>5.69</v>
      </c>
      <c r="J1171">
        <v>32.376100000000001</v>
      </c>
      <c r="K1171" t="str">
        <f>IFERROR(INDEX(Rosters!$C$2:$C$155,MATCH($B1171,Rosters!$B$2:$B$155,0)),"NA")</f>
        <v>comp</v>
      </c>
      <c r="L1171" t="str">
        <f t="shared" si="54"/>
        <v>comp16WR</v>
      </c>
      <c r="M1171">
        <f>COUNTIF(L$1:L1171,L1171)</f>
        <v>3</v>
      </c>
      <c r="N1171" t="str">
        <f t="shared" si="55"/>
        <v>comp16WR-3</v>
      </c>
      <c r="O1171">
        <f>COUNTIFS(F$1:F1171,F1171,A$1:A1171,A1171)</f>
        <v>22</v>
      </c>
      <c r="P1171" t="str">
        <f t="shared" si="56"/>
        <v>Emmanuel Sanders16</v>
      </c>
    </row>
    <row r="1172" spans="1:16" x14ac:dyDescent="0.25">
      <c r="A1172">
        <v>3</v>
      </c>
      <c r="B1172" t="s">
        <v>134</v>
      </c>
      <c r="C1172" t="s">
        <v>3667</v>
      </c>
      <c r="D1172">
        <v>9.56</v>
      </c>
      <c r="E1172" t="s">
        <v>73</v>
      </c>
      <c r="F1172" t="s">
        <v>87</v>
      </c>
      <c r="G1172">
        <v>15.41</v>
      </c>
      <c r="H1172">
        <v>3.71</v>
      </c>
      <c r="I1172">
        <v>5.85</v>
      </c>
      <c r="J1172">
        <v>34.222499999999997</v>
      </c>
      <c r="K1172" t="str">
        <f>IFERROR(INDEX(Rosters!$C$2:$C$155,MATCH($B1172,Rosters!$B$2:$B$155,0)),"NA")</f>
        <v>cory</v>
      </c>
      <c r="L1172" t="str">
        <f t="shared" si="54"/>
        <v>cory3WR</v>
      </c>
      <c r="M1172">
        <f>COUNTIF(L$1:L1172,L1172)</f>
        <v>3</v>
      </c>
      <c r="N1172" t="str">
        <f t="shared" si="55"/>
        <v>cory3WR-3</v>
      </c>
      <c r="O1172">
        <f>COUNTIFS(F$1:F1172,F1172,A$1:A1172,A1172)</f>
        <v>20</v>
      </c>
      <c r="P1172" t="str">
        <f t="shared" si="56"/>
        <v>Jarvis Landry3</v>
      </c>
    </row>
    <row r="1173" spans="1:16" x14ac:dyDescent="0.25">
      <c r="A1173">
        <v>2</v>
      </c>
      <c r="B1173" t="s">
        <v>159</v>
      </c>
      <c r="C1173" t="s">
        <v>3324</v>
      </c>
      <c r="D1173">
        <v>9.5500000000000007</v>
      </c>
      <c r="E1173" t="s">
        <v>76</v>
      </c>
      <c r="F1173" t="s">
        <v>87</v>
      </c>
      <c r="G1173">
        <v>16.420000000000002</v>
      </c>
      <c r="H1173">
        <v>2.68</v>
      </c>
      <c r="I1173">
        <v>6.87</v>
      </c>
      <c r="J1173">
        <v>47.196899999999999</v>
      </c>
      <c r="K1173" t="str">
        <f>IFERROR(INDEX(Rosters!$C$2:$C$155,MATCH($B1173,Rosters!$B$2:$B$155,0)),"NA")</f>
        <v>perry</v>
      </c>
      <c r="L1173" t="str">
        <f t="shared" si="54"/>
        <v>perry2WR</v>
      </c>
      <c r="M1173">
        <f>COUNTIF(L$1:L1173,L1173)</f>
        <v>3</v>
      </c>
      <c r="N1173" t="str">
        <f t="shared" si="55"/>
        <v>perry2WR-3</v>
      </c>
      <c r="O1173">
        <f>COUNTIFS(F$1:F1173,F1173,A$1:A1173,A1173)</f>
        <v>17</v>
      </c>
      <c r="P1173" t="str">
        <f t="shared" si="56"/>
        <v>Chris Hogan2</v>
      </c>
    </row>
    <row r="1174" spans="1:16" x14ac:dyDescent="0.25">
      <c r="A1174">
        <v>8</v>
      </c>
      <c r="B1174" t="s">
        <v>266</v>
      </c>
      <c r="C1174" t="s">
        <v>6545</v>
      </c>
      <c r="D1174">
        <v>9.5500000000000007</v>
      </c>
      <c r="E1174" t="s">
        <v>19</v>
      </c>
      <c r="F1174" t="s">
        <v>87</v>
      </c>
      <c r="G1174">
        <v>16.45</v>
      </c>
      <c r="H1174">
        <v>2.65</v>
      </c>
      <c r="I1174">
        <v>6.9</v>
      </c>
      <c r="J1174">
        <v>47.61</v>
      </c>
      <c r="K1174" t="str">
        <f>IFERROR(INDEX(Rosters!$C$2:$C$155,MATCH($B1174,Rosters!$B$2:$B$155,0)),"NA")</f>
        <v>perry</v>
      </c>
      <c r="L1174" t="str">
        <f t="shared" si="54"/>
        <v>perry8WR</v>
      </c>
      <c r="M1174">
        <f>COUNTIF(L$1:L1174,L1174)</f>
        <v>2</v>
      </c>
      <c r="N1174" t="str">
        <f t="shared" si="55"/>
        <v>perry8WR-2</v>
      </c>
      <c r="O1174">
        <f>COUNTIFS(F$1:F1174,F1174,A$1:A1174,A1174)</f>
        <v>19</v>
      </c>
      <c r="P1174" t="str">
        <f t="shared" si="56"/>
        <v>Will Fuller V8</v>
      </c>
    </row>
    <row r="1175" spans="1:16" x14ac:dyDescent="0.25">
      <c r="A1175">
        <v>14</v>
      </c>
      <c r="B1175" t="s">
        <v>103</v>
      </c>
      <c r="C1175" t="s">
        <v>6546</v>
      </c>
      <c r="D1175">
        <v>9.5299999999999994</v>
      </c>
      <c r="E1175" t="s">
        <v>51</v>
      </c>
      <c r="F1175" t="s">
        <v>87</v>
      </c>
      <c r="G1175">
        <v>15.76</v>
      </c>
      <c r="H1175">
        <v>3.3</v>
      </c>
      <c r="I1175">
        <v>6.23</v>
      </c>
      <c r="J1175">
        <v>38.812899999999999</v>
      </c>
      <c r="K1175" t="str">
        <f>IFERROR(INDEX(Rosters!$C$2:$C$155,MATCH($B1175,Rosters!$B$2:$B$155,0)),"NA")</f>
        <v>comp</v>
      </c>
      <c r="L1175" t="str">
        <f t="shared" si="54"/>
        <v>comp14WR</v>
      </c>
      <c r="M1175">
        <f>COUNTIF(L$1:L1175,L1175)</f>
        <v>3</v>
      </c>
      <c r="N1175" t="str">
        <f t="shared" si="55"/>
        <v>comp14WR-3</v>
      </c>
      <c r="O1175">
        <f>COUNTIFS(F$1:F1175,F1175,A$1:A1175,A1175)</f>
        <v>19</v>
      </c>
      <c r="P1175" t="str">
        <f t="shared" si="56"/>
        <v>Amari Cooper14</v>
      </c>
    </row>
    <row r="1176" spans="1:16" x14ac:dyDescent="0.25">
      <c r="A1176">
        <v>5</v>
      </c>
      <c r="B1176" t="s">
        <v>251</v>
      </c>
      <c r="C1176" t="s">
        <v>6547</v>
      </c>
      <c r="D1176">
        <v>9.5299999999999994</v>
      </c>
      <c r="E1176" t="s">
        <v>54</v>
      </c>
      <c r="F1176" t="s">
        <v>87</v>
      </c>
      <c r="G1176">
        <v>15.78</v>
      </c>
      <c r="H1176">
        <v>3.28</v>
      </c>
      <c r="I1176">
        <v>6.25</v>
      </c>
      <c r="J1176">
        <v>39.0625</v>
      </c>
      <c r="K1176" t="str">
        <f>IFERROR(INDEX(Rosters!$C$2:$C$155,MATCH($B1176,Rosters!$B$2:$B$155,0)),"NA")</f>
        <v>chad</v>
      </c>
      <c r="L1176" t="str">
        <f t="shared" si="54"/>
        <v>chad5WR</v>
      </c>
      <c r="M1176">
        <f>COUNTIF(L$1:L1176,L1176)</f>
        <v>3</v>
      </c>
      <c r="N1176" t="str">
        <f t="shared" si="55"/>
        <v>chad5WR-3</v>
      </c>
      <c r="O1176">
        <f>COUNTIFS(F$1:F1176,F1176,A$1:A1176,A1176)</f>
        <v>18</v>
      </c>
      <c r="P1176" t="str">
        <f t="shared" si="56"/>
        <v>Devin Funchess5</v>
      </c>
    </row>
    <row r="1177" spans="1:16" x14ac:dyDescent="0.25">
      <c r="A1177">
        <v>12</v>
      </c>
      <c r="B1177" t="s">
        <v>185</v>
      </c>
      <c r="C1177" t="s">
        <v>6548</v>
      </c>
      <c r="D1177">
        <v>9.5299999999999994</v>
      </c>
      <c r="E1177" t="s">
        <v>32</v>
      </c>
      <c r="F1177" t="s">
        <v>87</v>
      </c>
      <c r="G1177">
        <v>15.21</v>
      </c>
      <c r="H1177">
        <v>3.85</v>
      </c>
      <c r="I1177">
        <v>5.68</v>
      </c>
      <c r="J1177">
        <v>32.2624</v>
      </c>
      <c r="K1177" t="str">
        <f>IFERROR(INDEX(Rosters!$C$2:$C$155,MATCH($B1177,Rosters!$B$2:$B$155,0)),"NA")</f>
        <v>scott</v>
      </c>
      <c r="L1177" t="str">
        <f t="shared" si="54"/>
        <v>scott12WR</v>
      </c>
      <c r="M1177">
        <f>COUNTIF(L$1:L1177,L1177)</f>
        <v>2</v>
      </c>
      <c r="N1177" t="str">
        <f t="shared" si="55"/>
        <v>scott12WR-2</v>
      </c>
      <c r="O1177">
        <f>COUNTIFS(F$1:F1177,F1177,A$1:A1177,A1177)</f>
        <v>19</v>
      </c>
      <c r="P1177" t="str">
        <f t="shared" si="56"/>
        <v>John Brown12</v>
      </c>
    </row>
    <row r="1178" spans="1:16" x14ac:dyDescent="0.25">
      <c r="A1178">
        <v>14</v>
      </c>
      <c r="B1178" t="s">
        <v>171</v>
      </c>
      <c r="C1178" t="s">
        <v>6549</v>
      </c>
      <c r="D1178">
        <v>9.52</v>
      </c>
      <c r="E1178" t="s">
        <v>76</v>
      </c>
      <c r="F1178" t="s">
        <v>87</v>
      </c>
      <c r="G1178">
        <v>16.03</v>
      </c>
      <c r="H1178">
        <v>3.01</v>
      </c>
      <c r="I1178">
        <v>6.51</v>
      </c>
      <c r="J1178">
        <v>42.380099999999999</v>
      </c>
      <c r="K1178" t="str">
        <f>IFERROR(INDEX(Rosters!$C$2:$C$155,MATCH($B1178,Rosters!$B$2:$B$155,0)),"NA")</f>
        <v>matty</v>
      </c>
      <c r="L1178" t="str">
        <f t="shared" si="54"/>
        <v>matty14WR</v>
      </c>
      <c r="M1178">
        <f>COUNTIF(L$1:L1178,L1178)</f>
        <v>4</v>
      </c>
      <c r="N1178" t="str">
        <f t="shared" si="55"/>
        <v>matty14WR-4</v>
      </c>
      <c r="O1178">
        <f>COUNTIFS(F$1:F1178,F1178,A$1:A1178,A1178)</f>
        <v>20</v>
      </c>
      <c r="P1178" t="str">
        <f t="shared" si="56"/>
        <v>Corey Davis14</v>
      </c>
    </row>
    <row r="1179" spans="1:16" x14ac:dyDescent="0.25">
      <c r="A1179">
        <v>15</v>
      </c>
      <c r="B1179" t="s">
        <v>201</v>
      </c>
      <c r="C1179" t="s">
        <v>6550</v>
      </c>
      <c r="D1179">
        <v>9.52</v>
      </c>
      <c r="E1179" t="s">
        <v>54</v>
      </c>
      <c r="F1179" t="s">
        <v>47</v>
      </c>
      <c r="G1179">
        <v>16.420000000000002</v>
      </c>
      <c r="H1179">
        <v>2.62</v>
      </c>
      <c r="I1179">
        <v>6.9</v>
      </c>
      <c r="J1179">
        <v>47.61</v>
      </c>
      <c r="K1179" t="str">
        <f>IFERROR(INDEX(Rosters!$C$2:$C$155,MATCH($B1179,Rosters!$B$2:$B$155,0)),"NA")</f>
        <v>seth</v>
      </c>
      <c r="L1179" t="str">
        <f t="shared" si="54"/>
        <v>seth15RB</v>
      </c>
      <c r="M1179">
        <f>COUNTIF(L$1:L1179,L1179)</f>
        <v>2</v>
      </c>
      <c r="N1179" t="str">
        <f t="shared" si="55"/>
        <v>seth15RB-2</v>
      </c>
      <c r="O1179">
        <f>COUNTIFS(F$1:F1179,F1179,A$1:A1179,A1179)</f>
        <v>20</v>
      </c>
      <c r="P1179" t="str">
        <f t="shared" si="56"/>
        <v>Derrick Henry15</v>
      </c>
    </row>
    <row r="1180" spans="1:16" x14ac:dyDescent="0.25">
      <c r="A1180">
        <v>8</v>
      </c>
      <c r="B1180" t="s">
        <v>98</v>
      </c>
      <c r="C1180" t="s">
        <v>6551</v>
      </c>
      <c r="D1180">
        <v>9.52</v>
      </c>
      <c r="E1180" t="s">
        <v>66</v>
      </c>
      <c r="F1180" t="s">
        <v>87</v>
      </c>
      <c r="G1180">
        <v>15.96</v>
      </c>
      <c r="H1180">
        <v>3.08</v>
      </c>
      <c r="I1180">
        <v>6.44</v>
      </c>
      <c r="J1180">
        <v>41.473599999999998</v>
      </c>
      <c r="K1180" t="str">
        <f>IFERROR(INDEX(Rosters!$C$2:$C$155,MATCH($B1180,Rosters!$B$2:$B$155,0)),"NA")</f>
        <v>seth</v>
      </c>
      <c r="L1180" t="str">
        <f t="shared" si="54"/>
        <v>seth8WR</v>
      </c>
      <c r="M1180">
        <f>COUNTIF(L$1:L1180,L1180)</f>
        <v>3</v>
      </c>
      <c r="N1180" t="str">
        <f t="shared" si="55"/>
        <v>seth8WR-3</v>
      </c>
      <c r="O1180">
        <f>COUNTIFS(F$1:F1180,F1180,A$1:A1180,A1180)</f>
        <v>20</v>
      </c>
      <c r="P1180" t="str">
        <f t="shared" si="56"/>
        <v>Jordy Nelson8</v>
      </c>
    </row>
    <row r="1181" spans="1:16" x14ac:dyDescent="0.25">
      <c r="A1181">
        <v>8</v>
      </c>
      <c r="B1181" t="s">
        <v>1647</v>
      </c>
      <c r="C1181" t="s">
        <v>6552</v>
      </c>
      <c r="D1181">
        <v>9.52</v>
      </c>
      <c r="E1181" t="s">
        <v>25</v>
      </c>
      <c r="F1181" t="s">
        <v>47</v>
      </c>
      <c r="G1181">
        <v>16.16</v>
      </c>
      <c r="H1181">
        <v>2.88</v>
      </c>
      <c r="I1181">
        <v>6.64</v>
      </c>
      <c r="J1181">
        <v>44.089599999999997</v>
      </c>
      <c r="K1181" t="str">
        <f>IFERROR(INDEX(Rosters!$C$2:$C$155,MATCH($B1181,Rosters!$B$2:$B$155,0)),"NA")</f>
        <v>cory</v>
      </c>
      <c r="L1181" t="str">
        <f t="shared" si="54"/>
        <v>cory8RB</v>
      </c>
      <c r="M1181">
        <f>COUNTIF(L$1:L1181,L1181)</f>
        <v>2</v>
      </c>
      <c r="N1181" t="str">
        <f t="shared" si="55"/>
        <v>cory8RB-2</v>
      </c>
      <c r="O1181">
        <f>COUNTIFS(F$1:F1181,F1181,A$1:A1181,A1181)</f>
        <v>15</v>
      </c>
      <c r="P1181" t="str">
        <f t="shared" si="56"/>
        <v>Mark Ingram II8</v>
      </c>
    </row>
    <row r="1182" spans="1:16" x14ac:dyDescent="0.25">
      <c r="A1182">
        <v>11</v>
      </c>
      <c r="B1182" t="s">
        <v>1647</v>
      </c>
      <c r="C1182" t="s">
        <v>6553</v>
      </c>
      <c r="D1182">
        <v>9.52</v>
      </c>
      <c r="E1182" t="s">
        <v>50</v>
      </c>
      <c r="F1182" t="s">
        <v>47</v>
      </c>
      <c r="G1182">
        <v>15.44</v>
      </c>
      <c r="H1182">
        <v>3.6</v>
      </c>
      <c r="I1182">
        <v>5.92</v>
      </c>
      <c r="J1182">
        <v>35.046399999999998</v>
      </c>
      <c r="K1182" t="str">
        <f>IFERROR(INDEX(Rosters!$C$2:$C$155,MATCH($B1182,Rosters!$B$2:$B$155,0)),"NA")</f>
        <v>cory</v>
      </c>
      <c r="L1182" t="str">
        <f t="shared" si="54"/>
        <v>cory11RB</v>
      </c>
      <c r="M1182">
        <f>COUNTIF(L$1:L1182,L1182)</f>
        <v>1</v>
      </c>
      <c r="N1182" t="str">
        <f t="shared" si="55"/>
        <v>cory11RB-1</v>
      </c>
      <c r="O1182">
        <f>COUNTIFS(F$1:F1182,F1182,A$1:A1182,A1182)</f>
        <v>19</v>
      </c>
      <c r="P1182" t="str">
        <f t="shared" si="56"/>
        <v>Mark Ingram II11</v>
      </c>
    </row>
    <row r="1183" spans="1:16" x14ac:dyDescent="0.25">
      <c r="A1183">
        <v>1</v>
      </c>
      <c r="B1183" t="s">
        <v>141</v>
      </c>
      <c r="C1183" t="s">
        <v>1798</v>
      </c>
      <c r="D1183">
        <v>9.51</v>
      </c>
      <c r="E1183" t="s">
        <v>22</v>
      </c>
      <c r="F1183" t="s">
        <v>114</v>
      </c>
      <c r="G1183">
        <v>16.260000000000002</v>
      </c>
      <c r="H1183">
        <v>2.76</v>
      </c>
      <c r="I1183">
        <v>6.75</v>
      </c>
      <c r="J1183">
        <v>45.5625</v>
      </c>
      <c r="K1183" t="str">
        <f>IFERROR(INDEX(Rosters!$C$2:$C$155,MATCH($B1183,Rosters!$B$2:$B$155,0)),"NA")</f>
        <v>aj</v>
      </c>
      <c r="L1183" t="str">
        <f t="shared" si="54"/>
        <v>aj1TE</v>
      </c>
      <c r="M1183">
        <f>COUNTIF(L$1:L1183,L1183)</f>
        <v>1</v>
      </c>
      <c r="N1183" t="str">
        <f t="shared" si="55"/>
        <v>aj1TE-1</v>
      </c>
      <c r="O1183">
        <f>COUNTIFS(F$1:F1183,F1183,A$1:A1183,A1183)</f>
        <v>3</v>
      </c>
      <c r="P1183" t="str">
        <f t="shared" si="56"/>
        <v>Greg Olsen1</v>
      </c>
    </row>
    <row r="1184" spans="1:16" x14ac:dyDescent="0.25">
      <c r="A1184">
        <v>16</v>
      </c>
      <c r="B1184" t="s">
        <v>193</v>
      </c>
      <c r="C1184" t="s">
        <v>6554</v>
      </c>
      <c r="D1184">
        <v>9.49</v>
      </c>
      <c r="E1184" t="s">
        <v>29</v>
      </c>
      <c r="F1184" t="s">
        <v>47</v>
      </c>
      <c r="G1184">
        <v>14.93</v>
      </c>
      <c r="H1184">
        <v>4.05</v>
      </c>
      <c r="I1184">
        <v>5.44</v>
      </c>
      <c r="J1184">
        <v>29.593599999999999</v>
      </c>
      <c r="K1184" t="str">
        <f>IFERROR(INDEX(Rosters!$C$2:$C$155,MATCH($B1184,Rosters!$B$2:$B$155,0)),"NA")</f>
        <v>cory</v>
      </c>
      <c r="L1184" t="str">
        <f t="shared" si="54"/>
        <v>cory16RB</v>
      </c>
      <c r="M1184">
        <f>COUNTIF(L$1:L1184,L1184)</f>
        <v>3</v>
      </c>
      <c r="N1184" t="str">
        <f t="shared" si="55"/>
        <v>cory16RB-3</v>
      </c>
      <c r="O1184">
        <f>COUNTIFS(F$1:F1184,F1184,A$1:A1184,A1184)</f>
        <v>21</v>
      </c>
      <c r="P1184" t="str">
        <f t="shared" si="56"/>
        <v>James White16</v>
      </c>
    </row>
    <row r="1185" spans="1:16" x14ac:dyDescent="0.25">
      <c r="A1185">
        <v>10</v>
      </c>
      <c r="B1185" t="s">
        <v>613</v>
      </c>
      <c r="C1185" t="s">
        <v>6555</v>
      </c>
      <c r="D1185">
        <v>9.49</v>
      </c>
      <c r="E1185" t="s">
        <v>72</v>
      </c>
      <c r="F1185" t="s">
        <v>87</v>
      </c>
      <c r="G1185">
        <v>15.6</v>
      </c>
      <c r="H1185">
        <v>3.38</v>
      </c>
      <c r="I1185">
        <v>6.11</v>
      </c>
      <c r="J1185">
        <v>37.332099999999997</v>
      </c>
      <c r="K1185" t="str">
        <f>IFERROR(INDEX(Rosters!$C$2:$C$155,MATCH($B1185,Rosters!$B$2:$B$155,0)),"NA")</f>
        <v>matty</v>
      </c>
      <c r="L1185" t="str">
        <f t="shared" si="54"/>
        <v>matty10WR</v>
      </c>
      <c r="M1185">
        <f>COUNTIF(L$1:L1185,L1185)</f>
        <v>3</v>
      </c>
      <c r="N1185" t="str">
        <f t="shared" si="55"/>
        <v>matty10WR-3</v>
      </c>
      <c r="O1185">
        <f>COUNTIFS(F$1:F1185,F1185,A$1:A1185,A1185)</f>
        <v>19</v>
      </c>
      <c r="P1185" t="str">
        <f t="shared" si="56"/>
        <v>Marvin Jones Jr.10</v>
      </c>
    </row>
    <row r="1186" spans="1:16" x14ac:dyDescent="0.25">
      <c r="A1186">
        <v>16</v>
      </c>
      <c r="B1186" t="s">
        <v>135</v>
      </c>
      <c r="C1186" t="s">
        <v>6556</v>
      </c>
      <c r="D1186">
        <v>9.48</v>
      </c>
      <c r="E1186" t="s">
        <v>73</v>
      </c>
      <c r="F1186" t="s">
        <v>87</v>
      </c>
      <c r="G1186">
        <v>14.92</v>
      </c>
      <c r="H1186">
        <v>4.04</v>
      </c>
      <c r="I1186">
        <v>5.44</v>
      </c>
      <c r="J1186">
        <v>29.593599999999999</v>
      </c>
      <c r="K1186" t="str">
        <f>IFERROR(INDEX(Rosters!$C$2:$C$155,MATCH($B1186,Rosters!$B$2:$B$155,0)),"NA")</f>
        <v>perry</v>
      </c>
      <c r="L1186" t="str">
        <f t="shared" si="54"/>
        <v>perry16WR</v>
      </c>
      <c r="M1186">
        <f>COUNTIF(L$1:L1186,L1186)</f>
        <v>2</v>
      </c>
      <c r="N1186" t="str">
        <f t="shared" si="55"/>
        <v>perry16WR-2</v>
      </c>
      <c r="O1186">
        <f>COUNTIFS(F$1:F1186,F1186,A$1:A1186,A1186)</f>
        <v>23</v>
      </c>
      <c r="P1186" t="str">
        <f t="shared" si="56"/>
        <v>Davante Adams16</v>
      </c>
    </row>
    <row r="1187" spans="1:16" x14ac:dyDescent="0.25">
      <c r="A1187">
        <v>4</v>
      </c>
      <c r="B1187" t="s">
        <v>266</v>
      </c>
      <c r="C1187" t="s">
        <v>4461</v>
      </c>
      <c r="D1187">
        <v>9.48</v>
      </c>
      <c r="E1187" t="s">
        <v>66</v>
      </c>
      <c r="F1187" t="s">
        <v>87</v>
      </c>
      <c r="G1187">
        <v>16.45</v>
      </c>
      <c r="H1187">
        <v>2.5099999999999998</v>
      </c>
      <c r="I1187">
        <v>6.97</v>
      </c>
      <c r="J1187">
        <v>48.5809</v>
      </c>
      <c r="K1187" t="str">
        <f>IFERROR(INDEX(Rosters!$C$2:$C$155,MATCH($B1187,Rosters!$B$2:$B$155,0)),"NA")</f>
        <v>perry</v>
      </c>
      <c r="L1187" t="str">
        <f t="shared" si="54"/>
        <v>perry4WR</v>
      </c>
      <c r="M1187">
        <f>COUNTIF(L$1:L1187,L1187)</f>
        <v>3</v>
      </c>
      <c r="N1187" t="str">
        <f t="shared" si="55"/>
        <v>perry4WR-3</v>
      </c>
      <c r="O1187">
        <f>COUNTIFS(F$1:F1187,F1187,A$1:A1187,A1187)</f>
        <v>20</v>
      </c>
      <c r="P1187" t="str">
        <f t="shared" si="56"/>
        <v>Will Fuller V4</v>
      </c>
    </row>
    <row r="1188" spans="1:16" x14ac:dyDescent="0.25">
      <c r="A1188">
        <v>9</v>
      </c>
      <c r="B1188" t="s">
        <v>251</v>
      </c>
      <c r="C1188" t="s">
        <v>6557</v>
      </c>
      <c r="D1188">
        <v>9.4700000000000006</v>
      </c>
      <c r="E1188" t="s">
        <v>17</v>
      </c>
      <c r="F1188" t="s">
        <v>87</v>
      </c>
      <c r="G1188">
        <v>16.239999999999998</v>
      </c>
      <c r="H1188">
        <v>2.7</v>
      </c>
      <c r="I1188">
        <v>6.77</v>
      </c>
      <c r="J1188">
        <v>45.832900000000002</v>
      </c>
      <c r="K1188" t="str">
        <f>IFERROR(INDEX(Rosters!$C$2:$C$155,MATCH($B1188,Rosters!$B$2:$B$155,0)),"NA")</f>
        <v>chad</v>
      </c>
      <c r="L1188" t="str">
        <f t="shared" si="54"/>
        <v>chad9WR</v>
      </c>
      <c r="M1188">
        <f>COUNTIF(L$1:L1188,L1188)</f>
        <v>3</v>
      </c>
      <c r="N1188" t="str">
        <f t="shared" si="55"/>
        <v>chad9WR-3</v>
      </c>
      <c r="O1188">
        <f>COUNTIFS(F$1:F1188,F1188,A$1:A1188,A1188)</f>
        <v>20</v>
      </c>
      <c r="P1188" t="str">
        <f t="shared" si="56"/>
        <v>Devin Funchess9</v>
      </c>
    </row>
    <row r="1189" spans="1:16" x14ac:dyDescent="0.25">
      <c r="A1189">
        <v>10</v>
      </c>
      <c r="B1189" t="s">
        <v>177</v>
      </c>
      <c r="C1189" t="s">
        <v>6558</v>
      </c>
      <c r="D1189">
        <v>9.4700000000000006</v>
      </c>
      <c r="E1189" t="s">
        <v>22</v>
      </c>
      <c r="F1189" t="s">
        <v>114</v>
      </c>
      <c r="G1189">
        <v>14.76</v>
      </c>
      <c r="H1189">
        <v>4.18</v>
      </c>
      <c r="I1189">
        <v>5.29</v>
      </c>
      <c r="J1189">
        <v>27.984100000000002</v>
      </c>
      <c r="K1189" t="str">
        <f>IFERROR(INDEX(Rosters!$C$2:$C$155,MATCH($B1189,Rosters!$B$2:$B$155,0)),"NA")</f>
        <v>perry</v>
      </c>
      <c r="L1189" t="str">
        <f t="shared" si="54"/>
        <v>perry10TE</v>
      </c>
      <c r="M1189">
        <f>COUNTIF(L$1:L1189,L1189)</f>
        <v>1</v>
      </c>
      <c r="N1189" t="str">
        <f t="shared" si="55"/>
        <v>perry10TE-1</v>
      </c>
      <c r="O1189">
        <f>COUNTIFS(F$1:F1189,F1189,A$1:A1189,A1189)</f>
        <v>3</v>
      </c>
      <c r="P1189" t="str">
        <f t="shared" si="56"/>
        <v>Zach Ertz10</v>
      </c>
    </row>
    <row r="1190" spans="1:16" x14ac:dyDescent="0.25">
      <c r="A1190">
        <v>13</v>
      </c>
      <c r="B1190" t="s">
        <v>208</v>
      </c>
      <c r="C1190" t="s">
        <v>6559</v>
      </c>
      <c r="D1190">
        <v>9.4600000000000009</v>
      </c>
      <c r="E1190" t="s">
        <v>24</v>
      </c>
      <c r="F1190" t="s">
        <v>114</v>
      </c>
      <c r="G1190">
        <v>16.21</v>
      </c>
      <c r="H1190">
        <v>2.71</v>
      </c>
      <c r="I1190">
        <v>6.75</v>
      </c>
      <c r="J1190">
        <v>45.5625</v>
      </c>
      <c r="K1190" t="str">
        <f>IFERROR(INDEX(Rosters!$C$2:$C$155,MATCH($B1190,Rosters!$B$2:$B$155,0)),"NA")</f>
        <v>chad</v>
      </c>
      <c r="L1190" t="str">
        <f t="shared" si="54"/>
        <v>chad13TE</v>
      </c>
      <c r="M1190">
        <f>COUNTIF(L$1:L1190,L1190)</f>
        <v>1</v>
      </c>
      <c r="N1190" t="str">
        <f t="shared" si="55"/>
        <v>chad13TE-1</v>
      </c>
      <c r="O1190">
        <f>COUNTIFS(F$1:F1190,F1190,A$1:A1190,A1190)</f>
        <v>2</v>
      </c>
      <c r="P1190" t="str">
        <f t="shared" si="56"/>
        <v>Jared Cook13</v>
      </c>
    </row>
    <row r="1191" spans="1:16" x14ac:dyDescent="0.25">
      <c r="A1191">
        <v>13</v>
      </c>
      <c r="B1191" t="s">
        <v>113</v>
      </c>
      <c r="C1191" t="s">
        <v>6560</v>
      </c>
      <c r="D1191">
        <v>9.44</v>
      </c>
      <c r="E1191" t="s">
        <v>25</v>
      </c>
      <c r="F1191" t="s">
        <v>114</v>
      </c>
      <c r="G1191">
        <v>15.26</v>
      </c>
      <c r="H1191">
        <v>3.62</v>
      </c>
      <c r="I1191">
        <v>5.82</v>
      </c>
      <c r="J1191">
        <v>33.872399999999999</v>
      </c>
      <c r="K1191" t="str">
        <f>IFERROR(INDEX(Rosters!$C$2:$C$155,MATCH($B1191,Rosters!$B$2:$B$155,0)),"NA")</f>
        <v>lucas</v>
      </c>
      <c r="L1191" t="str">
        <f t="shared" si="54"/>
        <v>lucas13TE</v>
      </c>
      <c r="M1191">
        <f>COUNTIF(L$1:L1191,L1191)</f>
        <v>1</v>
      </c>
      <c r="N1191" t="str">
        <f t="shared" si="55"/>
        <v>lucas13TE-1</v>
      </c>
      <c r="O1191">
        <f>COUNTIFS(F$1:F1191,F1191,A$1:A1191,A1191)</f>
        <v>3</v>
      </c>
      <c r="P1191" t="str">
        <f t="shared" si="56"/>
        <v>Rob Gronkowski13</v>
      </c>
    </row>
    <row r="1192" spans="1:16" x14ac:dyDescent="0.25">
      <c r="A1192">
        <v>8</v>
      </c>
      <c r="B1192" t="s">
        <v>136</v>
      </c>
      <c r="C1192" t="s">
        <v>6561</v>
      </c>
      <c r="D1192">
        <v>9.43</v>
      </c>
      <c r="E1192" t="s">
        <v>24</v>
      </c>
      <c r="F1192" t="s">
        <v>87</v>
      </c>
      <c r="G1192">
        <v>14.49</v>
      </c>
      <c r="H1192">
        <v>4.37</v>
      </c>
      <c r="I1192">
        <v>5.0599999999999996</v>
      </c>
      <c r="J1192">
        <v>25.6036</v>
      </c>
      <c r="K1192" t="str">
        <f>IFERROR(INDEX(Rosters!$C$2:$C$155,MATCH($B1192,Rosters!$B$2:$B$155,0)),"NA")</f>
        <v>devon</v>
      </c>
      <c r="L1192" t="str">
        <f t="shared" si="54"/>
        <v>devon8WR</v>
      </c>
      <c r="M1192">
        <f>COUNTIF(L$1:L1192,L1192)</f>
        <v>3</v>
      </c>
      <c r="N1192" t="str">
        <f t="shared" si="55"/>
        <v>devon8WR-3</v>
      </c>
      <c r="O1192">
        <f>COUNTIFS(F$1:F1192,F1192,A$1:A1192,A1192)</f>
        <v>21</v>
      </c>
      <c r="P1192" t="str">
        <f t="shared" si="56"/>
        <v>Demaryius Thomas8</v>
      </c>
    </row>
    <row r="1193" spans="1:16" x14ac:dyDescent="0.25">
      <c r="A1193">
        <v>8</v>
      </c>
      <c r="B1193" t="s">
        <v>140</v>
      </c>
      <c r="C1193" t="s">
        <v>6562</v>
      </c>
      <c r="D1193">
        <v>9.42</v>
      </c>
      <c r="E1193" t="s">
        <v>30</v>
      </c>
      <c r="F1193" t="s">
        <v>87</v>
      </c>
      <c r="G1193">
        <v>15.67</v>
      </c>
      <c r="H1193">
        <v>3.17</v>
      </c>
      <c r="I1193">
        <v>6.25</v>
      </c>
      <c r="J1193">
        <v>39.0625</v>
      </c>
      <c r="K1193" t="str">
        <f>IFERROR(INDEX(Rosters!$C$2:$C$155,MATCH($B1193,Rosters!$B$2:$B$155,0)),"NA")</f>
        <v>seth</v>
      </c>
      <c r="L1193" t="str">
        <f t="shared" si="54"/>
        <v>seth8WR</v>
      </c>
      <c r="M1193">
        <f>COUNTIF(L$1:L1193,L1193)</f>
        <v>4</v>
      </c>
      <c r="N1193" t="str">
        <f t="shared" si="55"/>
        <v>seth8WR-4</v>
      </c>
      <c r="O1193">
        <f>COUNTIFS(F$1:F1193,F1193,A$1:A1193,A1193)</f>
        <v>22</v>
      </c>
      <c r="P1193" t="str">
        <f t="shared" si="56"/>
        <v>Larry Fitzgerald8</v>
      </c>
    </row>
    <row r="1194" spans="1:16" x14ac:dyDescent="0.25">
      <c r="A1194">
        <v>6</v>
      </c>
      <c r="B1194" t="s">
        <v>151</v>
      </c>
      <c r="C1194" t="s">
        <v>6563</v>
      </c>
      <c r="D1194">
        <v>9.42</v>
      </c>
      <c r="E1194" t="s">
        <v>423</v>
      </c>
      <c r="F1194" t="s">
        <v>114</v>
      </c>
      <c r="G1194">
        <v>14.73</v>
      </c>
      <c r="H1194">
        <v>4.1100000000000003</v>
      </c>
      <c r="I1194">
        <v>5.31</v>
      </c>
      <c r="J1194">
        <v>28.196100000000001</v>
      </c>
      <c r="K1194" t="str">
        <f>IFERROR(INDEX(Rosters!$C$2:$C$155,MATCH($B1194,Rosters!$B$2:$B$155,0)),"NA")</f>
        <v>aj</v>
      </c>
      <c r="L1194" t="str">
        <f t="shared" si="54"/>
        <v>aj6TE</v>
      </c>
      <c r="M1194">
        <f>COUNTIF(L$1:L1194,L1194)</f>
        <v>1</v>
      </c>
      <c r="N1194" t="str">
        <f t="shared" si="55"/>
        <v>aj6TE-1</v>
      </c>
      <c r="O1194">
        <f>COUNTIFS(F$1:F1194,F1194,A$1:A1194,A1194)</f>
        <v>2</v>
      </c>
      <c r="P1194" t="str">
        <f t="shared" si="56"/>
        <v>Travis Kelce6</v>
      </c>
    </row>
    <row r="1195" spans="1:16" x14ac:dyDescent="0.25">
      <c r="A1195">
        <v>1</v>
      </c>
      <c r="B1195" t="s">
        <v>201</v>
      </c>
      <c r="C1195" t="s">
        <v>1327</v>
      </c>
      <c r="D1195">
        <v>9.4</v>
      </c>
      <c r="E1195" t="s">
        <v>19</v>
      </c>
      <c r="F1195" t="s">
        <v>47</v>
      </c>
      <c r="G1195">
        <v>15.06</v>
      </c>
      <c r="H1195">
        <v>3.74</v>
      </c>
      <c r="I1195">
        <v>5.66</v>
      </c>
      <c r="J1195">
        <v>32.035600000000002</v>
      </c>
      <c r="K1195" t="str">
        <f>IFERROR(INDEX(Rosters!$C$2:$C$155,MATCH($B1195,Rosters!$B$2:$B$155,0)),"NA")</f>
        <v>seth</v>
      </c>
      <c r="L1195" t="str">
        <f t="shared" si="54"/>
        <v>seth1RB</v>
      </c>
      <c r="M1195">
        <f>COUNTIF(L$1:L1195,L1195)</f>
        <v>3</v>
      </c>
      <c r="N1195" t="str">
        <f t="shared" si="55"/>
        <v>seth1RB-3</v>
      </c>
      <c r="O1195">
        <f>COUNTIFS(F$1:F1195,F1195,A$1:A1195,A1195)</f>
        <v>19</v>
      </c>
      <c r="P1195" t="str">
        <f t="shared" si="56"/>
        <v>Derrick Henry1</v>
      </c>
    </row>
    <row r="1196" spans="1:16" x14ac:dyDescent="0.25">
      <c r="A1196">
        <v>15</v>
      </c>
      <c r="B1196" t="s">
        <v>613</v>
      </c>
      <c r="C1196" t="s">
        <v>6564</v>
      </c>
      <c r="D1196">
        <v>9.4</v>
      </c>
      <c r="E1196" t="s">
        <v>29</v>
      </c>
      <c r="F1196" t="s">
        <v>87</v>
      </c>
      <c r="G1196">
        <v>15.34</v>
      </c>
      <c r="H1196">
        <v>3.46</v>
      </c>
      <c r="I1196">
        <v>5.94</v>
      </c>
      <c r="J1196">
        <v>35.2836</v>
      </c>
      <c r="K1196" t="str">
        <f>IFERROR(INDEX(Rosters!$C$2:$C$155,MATCH($B1196,Rosters!$B$2:$B$155,0)),"NA")</f>
        <v>matty</v>
      </c>
      <c r="L1196" t="str">
        <f t="shared" si="54"/>
        <v>matty15WR</v>
      </c>
      <c r="M1196">
        <f>COUNTIF(L$1:L1196,L1196)</f>
        <v>3</v>
      </c>
      <c r="N1196" t="str">
        <f t="shared" si="55"/>
        <v>matty15WR-3</v>
      </c>
      <c r="O1196">
        <f>COUNTIFS(F$1:F1196,F1196,A$1:A1196,A1196)</f>
        <v>19</v>
      </c>
      <c r="P1196" t="str">
        <f t="shared" si="56"/>
        <v>Marvin Jones Jr.15</v>
      </c>
    </row>
    <row r="1197" spans="1:16" x14ac:dyDescent="0.25">
      <c r="A1197">
        <v>12</v>
      </c>
      <c r="B1197" t="s">
        <v>119</v>
      </c>
      <c r="C1197" t="s">
        <v>6565</v>
      </c>
      <c r="D1197">
        <v>9.39</v>
      </c>
      <c r="E1197" t="s">
        <v>34</v>
      </c>
      <c r="F1197" t="s">
        <v>87</v>
      </c>
      <c r="G1197">
        <v>15.53</v>
      </c>
      <c r="H1197">
        <v>3.25</v>
      </c>
      <c r="I1197">
        <v>6.14</v>
      </c>
      <c r="J1197">
        <v>37.699599999999997</v>
      </c>
      <c r="K1197" t="str">
        <f>IFERROR(INDEX(Rosters!$C$2:$C$155,MATCH($B1197,Rosters!$B$2:$B$155,0)),"NA")</f>
        <v>lucas</v>
      </c>
      <c r="L1197" t="str">
        <f t="shared" si="54"/>
        <v>lucas12WR</v>
      </c>
      <c r="M1197">
        <f>COUNTIF(L$1:L1197,L1197)</f>
        <v>2</v>
      </c>
      <c r="N1197" t="str">
        <f t="shared" si="55"/>
        <v>lucas12WR-2</v>
      </c>
      <c r="O1197">
        <f>COUNTIFS(F$1:F1197,F1197,A$1:A1197,A1197)</f>
        <v>20</v>
      </c>
      <c r="P1197" t="str">
        <f t="shared" si="56"/>
        <v>Allen Robinson12</v>
      </c>
    </row>
    <row r="1198" spans="1:16" x14ac:dyDescent="0.25">
      <c r="A1198">
        <v>4</v>
      </c>
      <c r="B1198" t="s">
        <v>177</v>
      </c>
      <c r="C1198" t="s">
        <v>4462</v>
      </c>
      <c r="D1198">
        <v>9.39</v>
      </c>
      <c r="E1198" t="s">
        <v>38</v>
      </c>
      <c r="F1198" t="s">
        <v>114</v>
      </c>
      <c r="G1198">
        <v>14.25</v>
      </c>
      <c r="H1198">
        <v>4.53</v>
      </c>
      <c r="I1198">
        <v>4.8600000000000003</v>
      </c>
      <c r="J1198">
        <v>23.619599999999998</v>
      </c>
      <c r="K1198" t="str">
        <f>IFERROR(INDEX(Rosters!$C$2:$C$155,MATCH($B1198,Rosters!$B$2:$B$155,0)),"NA")</f>
        <v>perry</v>
      </c>
      <c r="L1198" t="str">
        <f t="shared" si="54"/>
        <v>perry4TE</v>
      </c>
      <c r="M1198">
        <f>COUNTIF(L$1:L1198,L1198)</f>
        <v>1</v>
      </c>
      <c r="N1198" t="str">
        <f t="shared" si="55"/>
        <v>perry4TE-1</v>
      </c>
      <c r="O1198">
        <f>COUNTIFS(F$1:F1198,F1198,A$1:A1198,A1198)</f>
        <v>3</v>
      </c>
      <c r="P1198" t="str">
        <f t="shared" si="56"/>
        <v>Zach Ertz4</v>
      </c>
    </row>
    <row r="1199" spans="1:16" x14ac:dyDescent="0.25">
      <c r="A1199">
        <v>1</v>
      </c>
      <c r="B1199" t="s">
        <v>290</v>
      </c>
      <c r="C1199" t="s">
        <v>1328</v>
      </c>
      <c r="D1199">
        <v>9.3800000000000008</v>
      </c>
      <c r="E1199" t="s">
        <v>38</v>
      </c>
      <c r="F1199" t="s">
        <v>47</v>
      </c>
      <c r="G1199">
        <v>15.13</v>
      </c>
      <c r="H1199">
        <v>3.63</v>
      </c>
      <c r="I1199">
        <v>5.75</v>
      </c>
      <c r="J1199">
        <v>33.0625</v>
      </c>
      <c r="K1199" t="str">
        <f>IFERROR(INDEX(Rosters!$C$2:$C$155,MATCH($B1199,Rosters!$B$2:$B$155,0)),"NA")</f>
        <v>lucas</v>
      </c>
      <c r="L1199" t="str">
        <f t="shared" si="54"/>
        <v>lucas1RB</v>
      </c>
      <c r="M1199">
        <f>COUNTIF(L$1:L1199,L1199)</f>
        <v>2</v>
      </c>
      <c r="N1199" t="str">
        <f t="shared" si="55"/>
        <v>lucas1RB-2</v>
      </c>
      <c r="O1199">
        <f>COUNTIFS(F$1:F1199,F1199,A$1:A1199,A1199)</f>
        <v>20</v>
      </c>
      <c r="P1199" t="str">
        <f t="shared" si="56"/>
        <v>Kenyan Drake1</v>
      </c>
    </row>
    <row r="1200" spans="1:16" x14ac:dyDescent="0.25">
      <c r="A1200">
        <v>14</v>
      </c>
      <c r="B1200" t="s">
        <v>133</v>
      </c>
      <c r="C1200" t="s">
        <v>6566</v>
      </c>
      <c r="D1200">
        <v>9.3699999999999992</v>
      </c>
      <c r="E1200" t="s">
        <v>28</v>
      </c>
      <c r="F1200" t="s">
        <v>87</v>
      </c>
      <c r="G1200">
        <v>15.86</v>
      </c>
      <c r="H1200">
        <v>2.88</v>
      </c>
      <c r="I1200">
        <v>6.49</v>
      </c>
      <c r="J1200">
        <v>42.120100000000001</v>
      </c>
      <c r="K1200" t="str">
        <f>IFERROR(INDEX(Rosters!$C$2:$C$155,MATCH($B1200,Rosters!$B$2:$B$155,0)),"NA")</f>
        <v>aj</v>
      </c>
      <c r="L1200" t="str">
        <f t="shared" si="54"/>
        <v>aj14WR</v>
      </c>
      <c r="M1200">
        <f>COUNTIF(L$1:L1200,L1200)</f>
        <v>4</v>
      </c>
      <c r="N1200" t="str">
        <f t="shared" si="55"/>
        <v>aj14WR-4</v>
      </c>
      <c r="O1200">
        <f>COUNTIFS(F$1:F1200,F1200,A$1:A1200,A1200)</f>
        <v>21</v>
      </c>
      <c r="P1200" t="str">
        <f t="shared" si="56"/>
        <v>Stefon Diggs14</v>
      </c>
    </row>
    <row r="1201" spans="1:16" x14ac:dyDescent="0.25">
      <c r="A1201">
        <v>2</v>
      </c>
      <c r="B1201" t="s">
        <v>122</v>
      </c>
      <c r="C1201" t="s">
        <v>3325</v>
      </c>
      <c r="D1201">
        <v>9.36</v>
      </c>
      <c r="E1201" t="s">
        <v>30</v>
      </c>
      <c r="F1201" t="s">
        <v>87</v>
      </c>
      <c r="G1201">
        <v>15.5</v>
      </c>
      <c r="H1201">
        <v>3.22</v>
      </c>
      <c r="I1201">
        <v>6.14</v>
      </c>
      <c r="J1201">
        <v>37.699599999999997</v>
      </c>
      <c r="K1201" t="str">
        <f>IFERROR(INDEX(Rosters!$C$2:$C$155,MATCH($B1201,Rosters!$B$2:$B$155,0)),"NA")</f>
        <v>devon</v>
      </c>
      <c r="L1201" t="str">
        <f t="shared" si="54"/>
        <v>devon2WR</v>
      </c>
      <c r="M1201">
        <f>COUNTIF(L$1:L1201,L1201)</f>
        <v>3</v>
      </c>
      <c r="N1201" t="str">
        <f t="shared" si="55"/>
        <v>devon2WR-3</v>
      </c>
      <c r="O1201">
        <f>COUNTIFS(F$1:F1201,F1201,A$1:A1201,A1201)</f>
        <v>18</v>
      </c>
      <c r="P1201" t="str">
        <f t="shared" si="56"/>
        <v>Golden Tate2</v>
      </c>
    </row>
    <row r="1202" spans="1:16" x14ac:dyDescent="0.25">
      <c r="A1202">
        <v>3</v>
      </c>
      <c r="B1202" t="s">
        <v>132</v>
      </c>
      <c r="C1202" t="s">
        <v>3668</v>
      </c>
      <c r="D1202">
        <v>9.36</v>
      </c>
      <c r="E1202" t="s">
        <v>19</v>
      </c>
      <c r="F1202" t="s">
        <v>47</v>
      </c>
      <c r="G1202">
        <v>17.13</v>
      </c>
      <c r="H1202">
        <v>1.59</v>
      </c>
      <c r="I1202">
        <v>7.77</v>
      </c>
      <c r="J1202">
        <v>60.372900000000001</v>
      </c>
      <c r="K1202" t="str">
        <f>IFERROR(INDEX(Rosters!$C$2:$C$155,MATCH($B1202,Rosters!$B$2:$B$155,0)),"NA")</f>
        <v>scott</v>
      </c>
      <c r="L1202" t="str">
        <f t="shared" si="54"/>
        <v>scott3RB</v>
      </c>
      <c r="M1202">
        <f>COUNTIF(L$1:L1202,L1202)</f>
        <v>3</v>
      </c>
      <c r="N1202" t="str">
        <f t="shared" si="55"/>
        <v>scott3RB-3</v>
      </c>
      <c r="O1202">
        <f>COUNTIFS(F$1:F1202,F1202,A$1:A1202,A1202)</f>
        <v>20</v>
      </c>
      <c r="P1202" t="str">
        <f t="shared" si="56"/>
        <v>Marshawn Lynch3</v>
      </c>
    </row>
    <row r="1203" spans="1:16" x14ac:dyDescent="0.25">
      <c r="A1203">
        <v>2</v>
      </c>
      <c r="B1203" t="s">
        <v>158</v>
      </c>
      <c r="C1203" t="s">
        <v>3326</v>
      </c>
      <c r="D1203">
        <v>9.35</v>
      </c>
      <c r="E1203" t="s">
        <v>66</v>
      </c>
      <c r="F1203" t="s">
        <v>47</v>
      </c>
      <c r="G1203">
        <v>17.96</v>
      </c>
      <c r="H1203">
        <v>0.74</v>
      </c>
      <c r="I1203">
        <v>8.61</v>
      </c>
      <c r="J1203">
        <v>74.132099999999994</v>
      </c>
      <c r="K1203" t="str">
        <f>IFERROR(INDEX(Rosters!$C$2:$C$155,MATCH($B1203,Rosters!$B$2:$B$155,0)),"NA")</f>
        <v>comp</v>
      </c>
      <c r="L1203" t="str">
        <f t="shared" si="54"/>
        <v>comp2RB</v>
      </c>
      <c r="M1203">
        <f>COUNTIF(L$1:L1203,L1203)</f>
        <v>2</v>
      </c>
      <c r="N1203" t="str">
        <f t="shared" si="55"/>
        <v>comp2RB-2</v>
      </c>
      <c r="O1203">
        <f>COUNTIFS(F$1:F1203,F1203,A$1:A1203,A1203)</f>
        <v>21</v>
      </c>
      <c r="P1203" t="str">
        <f t="shared" si="56"/>
        <v>Adrian Peterson2</v>
      </c>
    </row>
    <row r="1204" spans="1:16" x14ac:dyDescent="0.25">
      <c r="A1204">
        <v>10</v>
      </c>
      <c r="B1204" t="s">
        <v>90</v>
      </c>
      <c r="C1204" t="s">
        <v>6567</v>
      </c>
      <c r="D1204">
        <v>9.35</v>
      </c>
      <c r="E1204" t="s">
        <v>52</v>
      </c>
      <c r="F1204" t="s">
        <v>47</v>
      </c>
      <c r="G1204">
        <v>16.190000000000001</v>
      </c>
      <c r="H1204">
        <v>2.5099999999999998</v>
      </c>
      <c r="I1204">
        <v>6.84</v>
      </c>
      <c r="J1204">
        <v>46.785600000000002</v>
      </c>
      <c r="K1204" t="str">
        <f>IFERROR(INDEX(Rosters!$C$2:$C$155,MATCH($B1204,Rosters!$B$2:$B$155,0)),"NA")</f>
        <v>devon</v>
      </c>
      <c r="L1204" t="str">
        <f t="shared" si="54"/>
        <v>devon10RB</v>
      </c>
      <c r="M1204">
        <f>COUNTIF(L$1:L1204,L1204)</f>
        <v>3</v>
      </c>
      <c r="N1204" t="str">
        <f t="shared" si="55"/>
        <v>devon10RB-3</v>
      </c>
      <c r="O1204">
        <f>COUNTIFS(F$1:F1204,F1204,A$1:A1204,A1204)</f>
        <v>20</v>
      </c>
      <c r="P1204" t="str">
        <f t="shared" si="56"/>
        <v>Devonta Freeman10</v>
      </c>
    </row>
    <row r="1205" spans="1:16" x14ac:dyDescent="0.25">
      <c r="A1205">
        <v>12</v>
      </c>
      <c r="B1205" t="s">
        <v>134</v>
      </c>
      <c r="C1205" t="s">
        <v>6568</v>
      </c>
      <c r="D1205">
        <v>9.35</v>
      </c>
      <c r="E1205" t="s">
        <v>31</v>
      </c>
      <c r="F1205" t="s">
        <v>87</v>
      </c>
      <c r="G1205">
        <v>16.079999999999998</v>
      </c>
      <c r="H1205">
        <v>2.62</v>
      </c>
      <c r="I1205">
        <v>6.73</v>
      </c>
      <c r="J1205">
        <v>45.292900000000003</v>
      </c>
      <c r="K1205" t="str">
        <f>IFERROR(INDEX(Rosters!$C$2:$C$155,MATCH($B1205,Rosters!$B$2:$B$155,0)),"NA")</f>
        <v>cory</v>
      </c>
      <c r="L1205" t="str">
        <f t="shared" si="54"/>
        <v>cory12WR</v>
      </c>
      <c r="M1205">
        <f>COUNTIF(L$1:L1205,L1205)</f>
        <v>3</v>
      </c>
      <c r="N1205" t="str">
        <f t="shared" si="55"/>
        <v>cory12WR-3</v>
      </c>
      <c r="O1205">
        <f>COUNTIFS(F$1:F1205,F1205,A$1:A1205,A1205)</f>
        <v>21</v>
      </c>
      <c r="P1205" t="str">
        <f t="shared" si="56"/>
        <v>Jarvis Landry12</v>
      </c>
    </row>
    <row r="1206" spans="1:16" x14ac:dyDescent="0.25">
      <c r="A1206">
        <v>1</v>
      </c>
      <c r="B1206" t="s">
        <v>613</v>
      </c>
      <c r="C1206" t="s">
        <v>1329</v>
      </c>
      <c r="D1206">
        <v>9.35</v>
      </c>
      <c r="E1206" t="s">
        <v>73</v>
      </c>
      <c r="F1206" t="s">
        <v>87</v>
      </c>
      <c r="G1206">
        <v>15.59</v>
      </c>
      <c r="H1206">
        <v>3.11</v>
      </c>
      <c r="I1206">
        <v>6.24</v>
      </c>
      <c r="J1206">
        <v>38.937600000000003</v>
      </c>
      <c r="K1206" t="str">
        <f>IFERROR(INDEX(Rosters!$C$2:$C$155,MATCH($B1206,Rosters!$B$2:$B$155,0)),"NA")</f>
        <v>matty</v>
      </c>
      <c r="L1206" t="str">
        <f t="shared" si="54"/>
        <v>matty1WR</v>
      </c>
      <c r="M1206">
        <f>COUNTIF(L$1:L1206,L1206)</f>
        <v>1</v>
      </c>
      <c r="N1206" t="str">
        <f t="shared" si="55"/>
        <v>matty1WR-1</v>
      </c>
      <c r="O1206">
        <f>COUNTIFS(F$1:F1206,F1206,A$1:A1206,A1206)</f>
        <v>14</v>
      </c>
      <c r="P1206" t="str">
        <f t="shared" si="56"/>
        <v>Marvin Jones Jr.1</v>
      </c>
    </row>
    <row r="1207" spans="1:16" x14ac:dyDescent="0.25">
      <c r="A1207">
        <v>13</v>
      </c>
      <c r="B1207" t="s">
        <v>135</v>
      </c>
      <c r="C1207" t="s">
        <v>6569</v>
      </c>
      <c r="D1207">
        <v>9.34</v>
      </c>
      <c r="E1207" t="s">
        <v>58</v>
      </c>
      <c r="F1207" t="s">
        <v>87</v>
      </c>
      <c r="G1207">
        <v>14.13</v>
      </c>
      <c r="H1207">
        <v>4.55</v>
      </c>
      <c r="I1207">
        <v>4.79</v>
      </c>
      <c r="J1207">
        <v>22.944099999999999</v>
      </c>
      <c r="K1207" t="str">
        <f>IFERROR(INDEX(Rosters!$C$2:$C$155,MATCH($B1207,Rosters!$B$2:$B$155,0)),"NA")</f>
        <v>perry</v>
      </c>
      <c r="L1207" t="str">
        <f t="shared" si="54"/>
        <v>perry13WR</v>
      </c>
      <c r="M1207">
        <f>COUNTIF(L$1:L1207,L1207)</f>
        <v>2</v>
      </c>
      <c r="N1207" t="str">
        <f t="shared" si="55"/>
        <v>perry13WR-2</v>
      </c>
      <c r="O1207">
        <f>COUNTIFS(F$1:F1207,F1207,A$1:A1207,A1207)</f>
        <v>22</v>
      </c>
      <c r="P1207" t="str">
        <f t="shared" si="56"/>
        <v>Davante Adams13</v>
      </c>
    </row>
    <row r="1208" spans="1:16" x14ac:dyDescent="0.25">
      <c r="A1208">
        <v>14</v>
      </c>
      <c r="B1208" t="s">
        <v>185</v>
      </c>
      <c r="C1208" t="s">
        <v>6570</v>
      </c>
      <c r="D1208">
        <v>9.33</v>
      </c>
      <c r="E1208" t="s">
        <v>24</v>
      </c>
      <c r="F1208" t="s">
        <v>87</v>
      </c>
      <c r="G1208">
        <v>15.01</v>
      </c>
      <c r="H1208">
        <v>3.65</v>
      </c>
      <c r="I1208">
        <v>5.68</v>
      </c>
      <c r="J1208">
        <v>32.2624</v>
      </c>
      <c r="K1208" t="str">
        <f>IFERROR(INDEX(Rosters!$C$2:$C$155,MATCH($B1208,Rosters!$B$2:$B$155,0)),"NA")</f>
        <v>scott</v>
      </c>
      <c r="L1208" t="str">
        <f t="shared" si="54"/>
        <v>scott14WR</v>
      </c>
      <c r="M1208">
        <f>COUNTIF(L$1:L1208,L1208)</f>
        <v>2</v>
      </c>
      <c r="N1208" t="str">
        <f t="shared" si="55"/>
        <v>scott14WR-2</v>
      </c>
      <c r="O1208">
        <f>COUNTIFS(F$1:F1208,F1208,A$1:A1208,A1208)</f>
        <v>22</v>
      </c>
      <c r="P1208" t="str">
        <f t="shared" si="56"/>
        <v>John Brown14</v>
      </c>
    </row>
    <row r="1209" spans="1:16" x14ac:dyDescent="0.25">
      <c r="A1209">
        <v>12</v>
      </c>
      <c r="B1209" t="s">
        <v>116</v>
      </c>
      <c r="C1209" t="s">
        <v>6571</v>
      </c>
      <c r="D1209">
        <v>9.33</v>
      </c>
      <c r="E1209" t="s">
        <v>32</v>
      </c>
      <c r="F1209" t="s">
        <v>87</v>
      </c>
      <c r="G1209">
        <v>15.27</v>
      </c>
      <c r="H1209">
        <v>3.39</v>
      </c>
      <c r="I1209">
        <v>5.94</v>
      </c>
      <c r="J1209">
        <v>35.2836</v>
      </c>
      <c r="K1209" t="str">
        <f>IFERROR(INDEX(Rosters!$C$2:$C$155,MATCH($B1209,Rosters!$B$2:$B$155,0)),"NA")</f>
        <v>aj</v>
      </c>
      <c r="L1209" t="str">
        <f t="shared" si="54"/>
        <v>aj12WR</v>
      </c>
      <c r="M1209">
        <f>COUNTIF(L$1:L1209,L1209)</f>
        <v>4</v>
      </c>
      <c r="N1209" t="str">
        <f t="shared" si="55"/>
        <v>aj12WR-4</v>
      </c>
      <c r="O1209">
        <f>COUNTIFS(F$1:F1209,F1209,A$1:A1209,A1209)</f>
        <v>22</v>
      </c>
      <c r="P1209" t="str">
        <f t="shared" si="56"/>
        <v>Michael Crabtree12</v>
      </c>
    </row>
    <row r="1210" spans="1:16" x14ac:dyDescent="0.25">
      <c r="A1210">
        <v>3</v>
      </c>
      <c r="B1210" t="s">
        <v>158</v>
      </c>
      <c r="C1210" t="s">
        <v>3898</v>
      </c>
      <c r="D1210">
        <v>9.32</v>
      </c>
      <c r="E1210" t="s">
        <v>41</v>
      </c>
      <c r="F1210" t="s">
        <v>47</v>
      </c>
      <c r="G1210">
        <v>13.71</v>
      </c>
      <c r="H1210">
        <v>4.93</v>
      </c>
      <c r="I1210">
        <v>4.3899999999999997</v>
      </c>
      <c r="J1210">
        <v>19.272099999999998</v>
      </c>
      <c r="K1210" t="str">
        <f>IFERROR(INDEX(Rosters!$C$2:$C$155,MATCH($B1210,Rosters!$B$2:$B$155,0)),"NA")</f>
        <v>comp</v>
      </c>
      <c r="L1210" t="str">
        <f t="shared" si="54"/>
        <v>comp3RB</v>
      </c>
      <c r="M1210">
        <f>COUNTIF(L$1:L1210,L1210)</f>
        <v>2</v>
      </c>
      <c r="N1210" t="str">
        <f t="shared" si="55"/>
        <v>comp3RB-2</v>
      </c>
      <c r="O1210">
        <f>COUNTIFS(F$1:F1210,F1210,A$1:A1210,A1210)</f>
        <v>21</v>
      </c>
      <c r="P1210" t="str">
        <f t="shared" si="56"/>
        <v>Adrian Peterson3</v>
      </c>
    </row>
    <row r="1211" spans="1:16" x14ac:dyDescent="0.25">
      <c r="A1211">
        <v>15</v>
      </c>
      <c r="B1211" t="s">
        <v>135</v>
      </c>
      <c r="C1211" t="s">
        <v>6572</v>
      </c>
      <c r="D1211">
        <v>9.32</v>
      </c>
      <c r="E1211" t="s">
        <v>72</v>
      </c>
      <c r="F1211" t="s">
        <v>87</v>
      </c>
      <c r="G1211">
        <v>14.3</v>
      </c>
      <c r="H1211">
        <v>4.34</v>
      </c>
      <c r="I1211">
        <v>4.9800000000000004</v>
      </c>
      <c r="J1211">
        <v>24.8004</v>
      </c>
      <c r="K1211" t="str">
        <f>IFERROR(INDEX(Rosters!$C$2:$C$155,MATCH($B1211,Rosters!$B$2:$B$155,0)),"NA")</f>
        <v>perry</v>
      </c>
      <c r="L1211" t="str">
        <f t="shared" si="54"/>
        <v>perry15WR</v>
      </c>
      <c r="M1211">
        <f>COUNTIF(L$1:L1211,L1211)</f>
        <v>2</v>
      </c>
      <c r="N1211" t="str">
        <f t="shared" si="55"/>
        <v>perry15WR-2</v>
      </c>
      <c r="O1211">
        <f>COUNTIFS(F$1:F1211,F1211,A$1:A1211,A1211)</f>
        <v>20</v>
      </c>
      <c r="P1211" t="str">
        <f t="shared" si="56"/>
        <v>Davante Adams15</v>
      </c>
    </row>
    <row r="1212" spans="1:16" x14ac:dyDescent="0.25">
      <c r="A1212">
        <v>4</v>
      </c>
      <c r="B1212" t="s">
        <v>89</v>
      </c>
      <c r="C1212" t="s">
        <v>4463</v>
      </c>
      <c r="D1212">
        <v>9.32</v>
      </c>
      <c r="E1212" t="s">
        <v>38</v>
      </c>
      <c r="F1212" t="s">
        <v>47</v>
      </c>
      <c r="G1212">
        <v>16.670000000000002</v>
      </c>
      <c r="H1212">
        <v>1.97</v>
      </c>
      <c r="I1212">
        <v>7.35</v>
      </c>
      <c r="J1212">
        <v>54.022500000000001</v>
      </c>
      <c r="K1212" t="str">
        <f>IFERROR(INDEX(Rosters!$C$2:$C$155,MATCH($B1212,Rosters!$B$2:$B$155,0)),"NA")</f>
        <v>matty</v>
      </c>
      <c r="L1212" t="str">
        <f t="shared" si="54"/>
        <v>matty4RB</v>
      </c>
      <c r="M1212">
        <f>COUNTIF(L$1:L1212,L1212)</f>
        <v>3</v>
      </c>
      <c r="N1212" t="str">
        <f t="shared" si="55"/>
        <v>matty4RB-3</v>
      </c>
      <c r="O1212">
        <f>COUNTIFS(F$1:F1212,F1212,A$1:A1212,A1212)</f>
        <v>18</v>
      </c>
      <c r="P1212" t="str">
        <f t="shared" si="56"/>
        <v>Jay Ajayi4</v>
      </c>
    </row>
    <row r="1213" spans="1:16" x14ac:dyDescent="0.25">
      <c r="A1213">
        <v>4</v>
      </c>
      <c r="B1213" t="s">
        <v>228</v>
      </c>
      <c r="C1213" t="s">
        <v>4464</v>
      </c>
      <c r="D1213">
        <v>9.31</v>
      </c>
      <c r="E1213" t="s">
        <v>37</v>
      </c>
      <c r="F1213" t="s">
        <v>47</v>
      </c>
      <c r="G1213">
        <v>14.18</v>
      </c>
      <c r="H1213">
        <v>4.4400000000000004</v>
      </c>
      <c r="I1213">
        <v>4.87</v>
      </c>
      <c r="J1213">
        <v>23.716899999999999</v>
      </c>
      <c r="K1213" t="str">
        <f>IFERROR(INDEX(Rosters!$C$2:$C$155,MATCH($B1213,Rosters!$B$2:$B$155,0)),"NA")</f>
        <v>perry</v>
      </c>
      <c r="L1213" t="str">
        <f t="shared" si="54"/>
        <v>perry4RB</v>
      </c>
      <c r="M1213">
        <f>COUNTIF(L$1:L1213,L1213)</f>
        <v>2</v>
      </c>
      <c r="N1213" t="str">
        <f t="shared" si="55"/>
        <v>perry4RB-2</v>
      </c>
      <c r="O1213">
        <f>COUNTIFS(F$1:F1213,F1213,A$1:A1213,A1213)</f>
        <v>19</v>
      </c>
      <c r="P1213" t="str">
        <f t="shared" si="56"/>
        <v>Matt Breida4</v>
      </c>
    </row>
    <row r="1214" spans="1:16" x14ac:dyDescent="0.25">
      <c r="A1214">
        <v>16</v>
      </c>
      <c r="B1214" t="s">
        <v>151</v>
      </c>
      <c r="C1214" t="s">
        <v>6573</v>
      </c>
      <c r="D1214">
        <v>9.3000000000000007</v>
      </c>
      <c r="E1214" t="s">
        <v>28</v>
      </c>
      <c r="F1214" t="s">
        <v>114</v>
      </c>
      <c r="G1214">
        <v>14.04</v>
      </c>
      <c r="H1214">
        <v>4.5599999999999996</v>
      </c>
      <c r="I1214">
        <v>4.74</v>
      </c>
      <c r="J1214">
        <v>22.467600000000001</v>
      </c>
      <c r="K1214" t="str">
        <f>IFERROR(INDEX(Rosters!$C$2:$C$155,MATCH($B1214,Rosters!$B$2:$B$155,0)),"NA")</f>
        <v>aj</v>
      </c>
      <c r="L1214" t="str">
        <f t="shared" si="54"/>
        <v>aj16TE</v>
      </c>
      <c r="M1214">
        <f>COUNTIF(L$1:L1214,L1214)</f>
        <v>1</v>
      </c>
      <c r="N1214" t="str">
        <f t="shared" si="55"/>
        <v>aj16TE-1</v>
      </c>
      <c r="O1214">
        <f>COUNTIFS(F$1:F1214,F1214,A$1:A1214,A1214)</f>
        <v>3</v>
      </c>
      <c r="P1214" t="str">
        <f t="shared" si="56"/>
        <v>Travis Kelce16</v>
      </c>
    </row>
    <row r="1215" spans="1:16" x14ac:dyDescent="0.25">
      <c r="A1215">
        <v>17</v>
      </c>
      <c r="B1215" t="s">
        <v>104</v>
      </c>
      <c r="C1215" t="s">
        <v>6574</v>
      </c>
      <c r="D1215">
        <v>9.2899999999999991</v>
      </c>
      <c r="E1215" t="s">
        <v>51</v>
      </c>
      <c r="F1215" t="s">
        <v>87</v>
      </c>
      <c r="G1215">
        <v>15.14</v>
      </c>
      <c r="H1215">
        <v>3.44</v>
      </c>
      <c r="I1215">
        <v>5.85</v>
      </c>
      <c r="J1215">
        <v>34.222499999999997</v>
      </c>
      <c r="K1215" t="str">
        <f>IFERROR(INDEX(Rosters!$C$2:$C$155,MATCH($B1215,Rosters!$B$2:$B$155,0)),"NA")</f>
        <v>devon</v>
      </c>
      <c r="L1215" t="str">
        <f t="shared" si="54"/>
        <v>devon17WR</v>
      </c>
      <c r="M1215">
        <f>COUNTIF(L$1:L1215,L1215)</f>
        <v>2</v>
      </c>
      <c r="N1215" t="str">
        <f t="shared" si="55"/>
        <v>devon17WR-2</v>
      </c>
      <c r="O1215">
        <f>COUNTIFS(F$1:F1215,F1215,A$1:A1215,A1215)</f>
        <v>22</v>
      </c>
      <c r="P1215" t="str">
        <f t="shared" si="56"/>
        <v>A.J. Green17</v>
      </c>
    </row>
    <row r="1216" spans="1:16" x14ac:dyDescent="0.25">
      <c r="A1216">
        <v>14</v>
      </c>
      <c r="B1216" t="s">
        <v>140</v>
      </c>
      <c r="C1216" t="s">
        <v>6575</v>
      </c>
      <c r="D1216">
        <v>9.2899999999999991</v>
      </c>
      <c r="E1216" t="s">
        <v>34</v>
      </c>
      <c r="F1216" t="s">
        <v>87</v>
      </c>
      <c r="G1216">
        <v>15.37</v>
      </c>
      <c r="H1216">
        <v>3.21</v>
      </c>
      <c r="I1216">
        <v>6.08</v>
      </c>
      <c r="J1216">
        <v>36.9664</v>
      </c>
      <c r="K1216" t="str">
        <f>IFERROR(INDEX(Rosters!$C$2:$C$155,MATCH($B1216,Rosters!$B$2:$B$155,0)),"NA")</f>
        <v>seth</v>
      </c>
      <c r="L1216" t="str">
        <f t="shared" si="54"/>
        <v>seth14WR</v>
      </c>
      <c r="M1216">
        <f>COUNTIF(L$1:L1216,L1216)</f>
        <v>3</v>
      </c>
      <c r="N1216" t="str">
        <f t="shared" si="55"/>
        <v>seth14WR-3</v>
      </c>
      <c r="O1216">
        <f>COUNTIFS(F$1:F1216,F1216,A$1:A1216,A1216)</f>
        <v>23</v>
      </c>
      <c r="P1216" t="str">
        <f t="shared" si="56"/>
        <v>Larry Fitzgerald14</v>
      </c>
    </row>
    <row r="1217" spans="1:16" x14ac:dyDescent="0.25">
      <c r="A1217">
        <v>11</v>
      </c>
      <c r="B1217" t="s">
        <v>126</v>
      </c>
      <c r="C1217" t="s">
        <v>6576</v>
      </c>
      <c r="D1217">
        <v>9.27</v>
      </c>
      <c r="E1217" t="s">
        <v>14</v>
      </c>
      <c r="F1217" t="s">
        <v>87</v>
      </c>
      <c r="G1217">
        <v>16.32</v>
      </c>
      <c r="H1217">
        <v>2.2200000000000002</v>
      </c>
      <c r="I1217">
        <v>7.05</v>
      </c>
      <c r="J1217">
        <v>49.702500000000001</v>
      </c>
      <c r="K1217" t="str">
        <f>IFERROR(INDEX(Rosters!$C$2:$C$155,MATCH($B1217,Rosters!$B$2:$B$155,0)),"NA")</f>
        <v>devon</v>
      </c>
      <c r="L1217" t="str">
        <f t="shared" si="54"/>
        <v>devon11WR</v>
      </c>
      <c r="M1217">
        <f>COUNTIF(L$1:L1217,L1217)</f>
        <v>2</v>
      </c>
      <c r="N1217" t="str">
        <f t="shared" si="55"/>
        <v>devon11WR-2</v>
      </c>
      <c r="O1217">
        <f>COUNTIFS(F$1:F1217,F1217,A$1:A1217,A1217)</f>
        <v>20</v>
      </c>
      <c r="P1217" t="str">
        <f t="shared" si="56"/>
        <v>Alshon Jeffery11</v>
      </c>
    </row>
    <row r="1218" spans="1:16" x14ac:dyDescent="0.25">
      <c r="A1218">
        <v>1</v>
      </c>
      <c r="B1218" t="s">
        <v>105</v>
      </c>
      <c r="C1218" t="s">
        <v>1331</v>
      </c>
      <c r="D1218">
        <v>9.27</v>
      </c>
      <c r="E1218" t="s">
        <v>42</v>
      </c>
      <c r="F1218" t="s">
        <v>87</v>
      </c>
      <c r="G1218">
        <v>14.74</v>
      </c>
      <c r="H1218">
        <v>3.8</v>
      </c>
      <c r="I1218">
        <v>5.47</v>
      </c>
      <c r="J1218">
        <v>29.9209</v>
      </c>
      <c r="K1218" t="str">
        <f>IFERROR(INDEX(Rosters!$C$2:$C$155,MATCH($B1218,Rosters!$B$2:$B$155,0)),"NA")</f>
        <v>chad</v>
      </c>
      <c r="L1218" t="str">
        <f t="shared" si="54"/>
        <v>chad1WR</v>
      </c>
      <c r="M1218">
        <f>COUNTIF(L$1:L1218,L1218)</f>
        <v>2</v>
      </c>
      <c r="N1218" t="str">
        <f t="shared" si="55"/>
        <v>chad1WR-2</v>
      </c>
      <c r="O1218">
        <f>COUNTIFS(F$1:F1218,F1218,A$1:A1218,A1218)</f>
        <v>15</v>
      </c>
      <c r="P1218" t="str">
        <f t="shared" si="56"/>
        <v>Doug Baldwin1</v>
      </c>
    </row>
    <row r="1219" spans="1:16" x14ac:dyDescent="0.25">
      <c r="A1219">
        <v>12</v>
      </c>
      <c r="B1219" t="s">
        <v>240</v>
      </c>
      <c r="C1219" t="s">
        <v>6577</v>
      </c>
      <c r="D1219">
        <v>9.27</v>
      </c>
      <c r="E1219" t="s">
        <v>54</v>
      </c>
      <c r="F1219" t="s">
        <v>87</v>
      </c>
      <c r="G1219">
        <v>15.57</v>
      </c>
      <c r="H1219">
        <v>2.97</v>
      </c>
      <c r="I1219">
        <v>6.3</v>
      </c>
      <c r="J1219">
        <v>39.69</v>
      </c>
      <c r="K1219" t="str">
        <f>IFERROR(INDEX(Rosters!$C$2:$C$155,MATCH($B1219,Rosters!$B$2:$B$155,0)),"NA")</f>
        <v>aj</v>
      </c>
      <c r="L1219" t="str">
        <f t="shared" ref="L1219:L1282" si="57">K1219&amp;A1219&amp;F1219</f>
        <v>aj12WR</v>
      </c>
      <c r="M1219">
        <f>COUNTIF(L$1:L1219,L1219)</f>
        <v>5</v>
      </c>
      <c r="N1219" t="str">
        <f t="shared" ref="N1219:N1282" si="58">L1219&amp;"-"&amp;M1219</f>
        <v>aj12WR-5</v>
      </c>
      <c r="O1219">
        <f>COUNTIFS(F$1:F1219,F1219,A$1:A1219,A1219)</f>
        <v>23</v>
      </c>
      <c r="P1219" t="str">
        <f t="shared" ref="P1219:P1282" si="59">B1219&amp;A1219</f>
        <v>Nelson Agholor12</v>
      </c>
    </row>
    <row r="1220" spans="1:16" x14ac:dyDescent="0.25">
      <c r="A1220">
        <v>7</v>
      </c>
      <c r="B1220" t="s">
        <v>1372</v>
      </c>
      <c r="C1220" t="s">
        <v>6578</v>
      </c>
      <c r="D1220">
        <v>9.26</v>
      </c>
      <c r="E1220" t="s">
        <v>25</v>
      </c>
      <c r="F1220" t="s">
        <v>87</v>
      </c>
      <c r="G1220">
        <v>14.43</v>
      </c>
      <c r="H1220">
        <v>4.09</v>
      </c>
      <c r="I1220">
        <v>5.17</v>
      </c>
      <c r="J1220">
        <v>26.728899999999999</v>
      </c>
      <c r="K1220" t="str">
        <f>IFERROR(INDEX(Rosters!$C$2:$C$155,MATCH($B1220,Rosters!$B$2:$B$155,0)),"NA")</f>
        <v>lucas</v>
      </c>
      <c r="L1220" t="str">
        <f t="shared" si="57"/>
        <v>lucas7WR</v>
      </c>
      <c r="M1220">
        <f>COUNTIF(L$1:L1220,L1220)</f>
        <v>2</v>
      </c>
      <c r="N1220" t="str">
        <f t="shared" si="58"/>
        <v>lucas7WR-2</v>
      </c>
      <c r="O1220">
        <f>COUNTIFS(F$1:F1220,F1220,A$1:A1220,A1220)</f>
        <v>17</v>
      </c>
      <c r="P1220" t="str">
        <f t="shared" si="59"/>
        <v>Quincy Enunwa7</v>
      </c>
    </row>
    <row r="1221" spans="1:16" x14ac:dyDescent="0.25">
      <c r="A1221">
        <v>13</v>
      </c>
      <c r="B1221" t="s">
        <v>105</v>
      </c>
      <c r="C1221" t="s">
        <v>6579</v>
      </c>
      <c r="D1221">
        <v>9.25</v>
      </c>
      <c r="E1221" t="s">
        <v>30</v>
      </c>
      <c r="F1221" t="s">
        <v>87</v>
      </c>
      <c r="G1221">
        <v>15.82</v>
      </c>
      <c r="H1221">
        <v>2.68</v>
      </c>
      <c r="I1221">
        <v>6.57</v>
      </c>
      <c r="J1221">
        <v>43.164900000000003</v>
      </c>
      <c r="K1221" t="str">
        <f>IFERROR(INDEX(Rosters!$C$2:$C$155,MATCH($B1221,Rosters!$B$2:$B$155,0)),"NA")</f>
        <v>chad</v>
      </c>
      <c r="L1221" t="str">
        <f t="shared" si="57"/>
        <v>chad13WR</v>
      </c>
      <c r="M1221">
        <f>COUNTIF(L$1:L1221,L1221)</f>
        <v>3</v>
      </c>
      <c r="N1221" t="str">
        <f t="shared" si="58"/>
        <v>chad13WR-3</v>
      </c>
      <c r="O1221">
        <f>COUNTIFS(F$1:F1221,F1221,A$1:A1221,A1221)</f>
        <v>23</v>
      </c>
      <c r="P1221" t="str">
        <f t="shared" si="59"/>
        <v>Doug Baldwin13</v>
      </c>
    </row>
    <row r="1222" spans="1:16" x14ac:dyDescent="0.25">
      <c r="A1222">
        <v>14</v>
      </c>
      <c r="B1222" t="s">
        <v>116</v>
      </c>
      <c r="C1222" t="s">
        <v>6580</v>
      </c>
      <c r="D1222">
        <v>9.25</v>
      </c>
      <c r="E1222" t="s">
        <v>24</v>
      </c>
      <c r="F1222" t="s">
        <v>87</v>
      </c>
      <c r="G1222">
        <v>14.99</v>
      </c>
      <c r="H1222">
        <v>3.51</v>
      </c>
      <c r="I1222">
        <v>5.74</v>
      </c>
      <c r="J1222">
        <v>32.947600000000001</v>
      </c>
      <c r="K1222" t="str">
        <f>IFERROR(INDEX(Rosters!$C$2:$C$155,MATCH($B1222,Rosters!$B$2:$B$155,0)),"NA")</f>
        <v>aj</v>
      </c>
      <c r="L1222" t="str">
        <f t="shared" si="57"/>
        <v>aj14WR</v>
      </c>
      <c r="M1222">
        <f>COUNTIF(L$1:L1222,L1222)</f>
        <v>5</v>
      </c>
      <c r="N1222" t="str">
        <f t="shared" si="58"/>
        <v>aj14WR-5</v>
      </c>
      <c r="O1222">
        <f>COUNTIFS(F$1:F1222,F1222,A$1:A1222,A1222)</f>
        <v>24</v>
      </c>
      <c r="P1222" t="str">
        <f t="shared" si="59"/>
        <v>Michael Crabtree14</v>
      </c>
    </row>
    <row r="1223" spans="1:16" x14ac:dyDescent="0.25">
      <c r="A1223">
        <v>8</v>
      </c>
      <c r="B1223" t="s">
        <v>3533</v>
      </c>
      <c r="C1223" t="s">
        <v>6581</v>
      </c>
      <c r="D1223">
        <v>9.25</v>
      </c>
      <c r="E1223" t="s">
        <v>24</v>
      </c>
      <c r="F1223" t="s">
        <v>47</v>
      </c>
      <c r="G1223">
        <v>17.559999999999999</v>
      </c>
      <c r="H1223">
        <v>0.94</v>
      </c>
      <c r="I1223">
        <v>8.31</v>
      </c>
      <c r="J1223">
        <v>69.056100000000001</v>
      </c>
      <c r="K1223" t="str">
        <f>IFERROR(INDEX(Rosters!$C$2:$C$155,MATCH($B1223,Rosters!$B$2:$B$155,0)),"NA")</f>
        <v>perry</v>
      </c>
      <c r="L1223" t="str">
        <f t="shared" si="57"/>
        <v>perry8RB</v>
      </c>
      <c r="M1223">
        <f>COUNTIF(L$1:L1223,L1223)</f>
        <v>1</v>
      </c>
      <c r="N1223" t="str">
        <f t="shared" si="58"/>
        <v>perry8RB-1</v>
      </c>
      <c r="O1223">
        <f>COUNTIFS(F$1:F1223,F1223,A$1:A1223,A1223)</f>
        <v>16</v>
      </c>
      <c r="P1223" t="str">
        <f t="shared" si="59"/>
        <v>Phillip Lindsay8</v>
      </c>
    </row>
    <row r="1224" spans="1:16" x14ac:dyDescent="0.25">
      <c r="A1224">
        <v>17</v>
      </c>
      <c r="B1224" t="s">
        <v>113</v>
      </c>
      <c r="C1224" t="s">
        <v>6582</v>
      </c>
      <c r="D1224">
        <v>9.25</v>
      </c>
      <c r="E1224" t="s">
        <v>73</v>
      </c>
      <c r="F1224" t="s">
        <v>114</v>
      </c>
      <c r="G1224">
        <v>15.15</v>
      </c>
      <c r="H1224">
        <v>3.35</v>
      </c>
      <c r="I1224">
        <v>5.9</v>
      </c>
      <c r="J1224">
        <v>34.81</v>
      </c>
      <c r="K1224" t="str">
        <f>IFERROR(INDEX(Rosters!$C$2:$C$155,MATCH($B1224,Rosters!$B$2:$B$155,0)),"NA")</f>
        <v>lucas</v>
      </c>
      <c r="L1224" t="str">
        <f t="shared" si="57"/>
        <v>lucas17TE</v>
      </c>
      <c r="M1224">
        <f>COUNTIF(L$1:L1224,L1224)</f>
        <v>1</v>
      </c>
      <c r="N1224" t="str">
        <f t="shared" si="58"/>
        <v>lucas17TE-1</v>
      </c>
      <c r="O1224">
        <f>COUNTIFS(F$1:F1224,F1224,A$1:A1224,A1224)</f>
        <v>2</v>
      </c>
      <c r="P1224" t="str">
        <f t="shared" si="59"/>
        <v>Rob Gronkowski17</v>
      </c>
    </row>
    <row r="1225" spans="1:16" x14ac:dyDescent="0.25">
      <c r="A1225">
        <v>13</v>
      </c>
      <c r="B1225" t="s">
        <v>256</v>
      </c>
      <c r="C1225" t="s">
        <v>6583</v>
      </c>
      <c r="D1225">
        <v>9.24</v>
      </c>
      <c r="E1225" t="s">
        <v>34</v>
      </c>
      <c r="F1225" t="s">
        <v>87</v>
      </c>
      <c r="G1225">
        <v>15.41</v>
      </c>
      <c r="H1225">
        <v>3.07</v>
      </c>
      <c r="I1225">
        <v>6.17</v>
      </c>
      <c r="J1225">
        <v>38.068899999999999</v>
      </c>
      <c r="K1225" t="str">
        <f>IFERROR(INDEX(Rosters!$C$2:$C$155,MATCH($B1225,Rosters!$B$2:$B$155,0)),"NA")</f>
        <v>lucas</v>
      </c>
      <c r="L1225" t="str">
        <f t="shared" si="57"/>
        <v>lucas13WR</v>
      </c>
      <c r="M1225">
        <f>COUNTIF(L$1:L1225,L1225)</f>
        <v>1</v>
      </c>
      <c r="N1225" t="str">
        <f t="shared" si="58"/>
        <v>lucas13WR-1</v>
      </c>
      <c r="O1225">
        <f>COUNTIFS(F$1:F1225,F1225,A$1:A1225,A1225)</f>
        <v>24</v>
      </c>
      <c r="P1225" t="str">
        <f t="shared" si="59"/>
        <v>Cooper Kupp13</v>
      </c>
    </row>
    <row r="1226" spans="1:16" x14ac:dyDescent="0.25">
      <c r="A1226">
        <v>15</v>
      </c>
      <c r="B1226" t="s">
        <v>298</v>
      </c>
      <c r="C1226" t="s">
        <v>6584</v>
      </c>
      <c r="D1226">
        <v>9.24</v>
      </c>
      <c r="E1226" t="s">
        <v>423</v>
      </c>
      <c r="F1226" t="s">
        <v>47</v>
      </c>
      <c r="G1226">
        <v>15.64</v>
      </c>
      <c r="H1226">
        <v>2.84</v>
      </c>
      <c r="I1226">
        <v>6.4</v>
      </c>
      <c r="J1226">
        <v>40.96</v>
      </c>
      <c r="K1226" t="str">
        <f>IFERROR(INDEX(Rosters!$C$2:$C$155,MATCH($B1226,Rosters!$B$2:$B$155,0)),"NA")</f>
        <v>aj</v>
      </c>
      <c r="L1226" t="str">
        <f t="shared" si="57"/>
        <v>aj15RB</v>
      </c>
      <c r="M1226">
        <f>COUNTIF(L$1:L1226,L1226)</f>
        <v>3</v>
      </c>
      <c r="N1226" t="str">
        <f t="shared" si="58"/>
        <v>aj15RB-3</v>
      </c>
      <c r="O1226">
        <f>COUNTIFS(F$1:F1226,F1226,A$1:A1226,A1226)</f>
        <v>21</v>
      </c>
      <c r="P1226" t="str">
        <f t="shared" si="59"/>
        <v>James Conner15</v>
      </c>
    </row>
    <row r="1227" spans="1:16" x14ac:dyDescent="0.25">
      <c r="A1227">
        <v>5</v>
      </c>
      <c r="B1227" t="s">
        <v>81</v>
      </c>
      <c r="C1227" t="s">
        <v>6585</v>
      </c>
      <c r="D1227">
        <v>9.24</v>
      </c>
      <c r="E1227" t="s">
        <v>38</v>
      </c>
      <c r="F1227" t="s">
        <v>47</v>
      </c>
      <c r="G1227">
        <v>14.8</v>
      </c>
      <c r="H1227">
        <v>3.68</v>
      </c>
      <c r="I1227">
        <v>5.56</v>
      </c>
      <c r="J1227">
        <v>30.913599999999999</v>
      </c>
      <c r="K1227" t="str">
        <f>IFERROR(INDEX(Rosters!$C$2:$C$155,MATCH($B1227,Rosters!$B$2:$B$155,0)),"NA")</f>
        <v>aj</v>
      </c>
      <c r="L1227" t="str">
        <f t="shared" si="57"/>
        <v>aj5RB</v>
      </c>
      <c r="M1227">
        <f>COUNTIF(L$1:L1227,L1227)</f>
        <v>3</v>
      </c>
      <c r="N1227" t="str">
        <f t="shared" si="58"/>
        <v>aj5RB-3</v>
      </c>
      <c r="O1227">
        <f>COUNTIFS(F$1:F1227,F1227,A$1:A1227,A1227)</f>
        <v>21</v>
      </c>
      <c r="P1227" t="str">
        <f t="shared" si="59"/>
        <v>LeSean McCoy5</v>
      </c>
    </row>
    <row r="1228" spans="1:16" x14ac:dyDescent="0.25">
      <c r="A1228">
        <v>3</v>
      </c>
      <c r="B1228" t="s">
        <v>228</v>
      </c>
      <c r="C1228" t="s">
        <v>3899</v>
      </c>
      <c r="D1228">
        <v>9.23</v>
      </c>
      <c r="E1228" t="s">
        <v>24</v>
      </c>
      <c r="F1228" t="s">
        <v>47</v>
      </c>
      <c r="G1228">
        <v>15.65</v>
      </c>
      <c r="H1228">
        <v>2.81</v>
      </c>
      <c r="I1228">
        <v>6.42</v>
      </c>
      <c r="J1228">
        <v>41.2164</v>
      </c>
      <c r="K1228" t="str">
        <f>IFERROR(INDEX(Rosters!$C$2:$C$155,MATCH($B1228,Rosters!$B$2:$B$155,0)),"NA")</f>
        <v>perry</v>
      </c>
      <c r="L1228" t="str">
        <f t="shared" si="57"/>
        <v>perry3RB</v>
      </c>
      <c r="M1228">
        <f>COUNTIF(L$1:L1228,L1228)</f>
        <v>2</v>
      </c>
      <c r="N1228" t="str">
        <f t="shared" si="58"/>
        <v>perry3RB-2</v>
      </c>
      <c r="O1228">
        <f>COUNTIFS(F$1:F1228,F1228,A$1:A1228,A1228)</f>
        <v>22</v>
      </c>
      <c r="P1228" t="str">
        <f t="shared" si="59"/>
        <v>Matt Breida3</v>
      </c>
    </row>
    <row r="1229" spans="1:16" x14ac:dyDescent="0.25">
      <c r="A1229">
        <v>8</v>
      </c>
      <c r="B1229" t="s">
        <v>125</v>
      </c>
      <c r="C1229" t="s">
        <v>6586</v>
      </c>
      <c r="D1229">
        <v>9.23</v>
      </c>
      <c r="E1229" t="s">
        <v>42</v>
      </c>
      <c r="F1229" t="s">
        <v>87</v>
      </c>
      <c r="G1229">
        <v>14.89</v>
      </c>
      <c r="H1229">
        <v>3.57</v>
      </c>
      <c r="I1229">
        <v>5.66</v>
      </c>
      <c r="J1229">
        <v>32.035600000000002</v>
      </c>
      <c r="K1229" t="str">
        <f>IFERROR(INDEX(Rosters!$C$2:$C$155,MATCH($B1229,Rosters!$B$2:$B$155,0)),"NA")</f>
        <v>scott</v>
      </c>
      <c r="L1229" t="str">
        <f t="shared" si="57"/>
        <v>scott8WR</v>
      </c>
      <c r="M1229">
        <f>COUNTIF(L$1:L1229,L1229)</f>
        <v>2</v>
      </c>
      <c r="N1229" t="str">
        <f t="shared" si="58"/>
        <v>scott8WR-2</v>
      </c>
      <c r="O1229">
        <f>COUNTIFS(F$1:F1229,F1229,A$1:A1229,A1229)</f>
        <v>23</v>
      </c>
      <c r="P1229" t="str">
        <f t="shared" si="59"/>
        <v>Sammy Watkins8</v>
      </c>
    </row>
    <row r="1230" spans="1:16" x14ac:dyDescent="0.25">
      <c r="A1230">
        <v>12</v>
      </c>
      <c r="B1230" t="s">
        <v>136</v>
      </c>
      <c r="C1230" t="s">
        <v>6587</v>
      </c>
      <c r="D1230">
        <v>9.2200000000000006</v>
      </c>
      <c r="E1230" t="s">
        <v>51</v>
      </c>
      <c r="F1230" t="s">
        <v>87</v>
      </c>
      <c r="G1230">
        <v>14.46</v>
      </c>
      <c r="H1230">
        <v>3.98</v>
      </c>
      <c r="I1230">
        <v>5.24</v>
      </c>
      <c r="J1230">
        <v>27.457599999999999</v>
      </c>
      <c r="K1230" t="str">
        <f>IFERROR(INDEX(Rosters!$C$2:$C$155,MATCH($B1230,Rosters!$B$2:$B$155,0)),"NA")</f>
        <v>devon</v>
      </c>
      <c r="L1230" t="str">
        <f t="shared" si="57"/>
        <v>devon12WR</v>
      </c>
      <c r="M1230">
        <f>COUNTIF(L$1:L1230,L1230)</f>
        <v>3</v>
      </c>
      <c r="N1230" t="str">
        <f t="shared" si="58"/>
        <v>devon12WR-3</v>
      </c>
      <c r="O1230">
        <f>COUNTIFS(F$1:F1230,F1230,A$1:A1230,A1230)</f>
        <v>24</v>
      </c>
      <c r="P1230" t="str">
        <f t="shared" si="59"/>
        <v>Demaryius Thomas12</v>
      </c>
    </row>
    <row r="1231" spans="1:16" x14ac:dyDescent="0.25">
      <c r="A1231">
        <v>9</v>
      </c>
      <c r="B1231" t="s">
        <v>613</v>
      </c>
      <c r="C1231" t="s">
        <v>6588</v>
      </c>
      <c r="D1231">
        <v>9.2200000000000006</v>
      </c>
      <c r="E1231" t="s">
        <v>25</v>
      </c>
      <c r="F1231" t="s">
        <v>87</v>
      </c>
      <c r="G1231">
        <v>14.96</v>
      </c>
      <c r="H1231">
        <v>3.48</v>
      </c>
      <c r="I1231">
        <v>5.74</v>
      </c>
      <c r="J1231">
        <v>32.947600000000001</v>
      </c>
      <c r="K1231" t="str">
        <f>IFERROR(INDEX(Rosters!$C$2:$C$155,MATCH($B1231,Rosters!$B$2:$B$155,0)),"NA")</f>
        <v>matty</v>
      </c>
      <c r="L1231" t="str">
        <f t="shared" si="57"/>
        <v>matty9WR</v>
      </c>
      <c r="M1231">
        <f>COUNTIF(L$1:L1231,L1231)</f>
        <v>3</v>
      </c>
      <c r="N1231" t="str">
        <f t="shared" si="58"/>
        <v>matty9WR-3</v>
      </c>
      <c r="O1231">
        <f>COUNTIFS(F$1:F1231,F1231,A$1:A1231,A1231)</f>
        <v>21</v>
      </c>
      <c r="P1231" t="str">
        <f t="shared" si="59"/>
        <v>Marvin Jones Jr.9</v>
      </c>
    </row>
    <row r="1232" spans="1:16" x14ac:dyDescent="0.25">
      <c r="A1232">
        <v>10</v>
      </c>
      <c r="B1232" t="s">
        <v>105</v>
      </c>
      <c r="C1232" t="s">
        <v>6589</v>
      </c>
      <c r="D1232">
        <v>9.2100000000000009</v>
      </c>
      <c r="E1232" t="s">
        <v>56</v>
      </c>
      <c r="F1232" t="s">
        <v>87</v>
      </c>
      <c r="G1232">
        <v>16.55</v>
      </c>
      <c r="H1232">
        <v>1.87</v>
      </c>
      <c r="I1232">
        <v>7.34</v>
      </c>
      <c r="J1232">
        <v>53.875599999999999</v>
      </c>
      <c r="K1232" t="str">
        <f>IFERROR(INDEX(Rosters!$C$2:$C$155,MATCH($B1232,Rosters!$B$2:$B$155,0)),"NA")</f>
        <v>chad</v>
      </c>
      <c r="L1232" t="str">
        <f t="shared" si="57"/>
        <v>chad10WR</v>
      </c>
      <c r="M1232">
        <f>COUNTIF(L$1:L1232,L1232)</f>
        <v>2</v>
      </c>
      <c r="N1232" t="str">
        <f t="shared" si="58"/>
        <v>chad10WR-2</v>
      </c>
      <c r="O1232">
        <f>COUNTIFS(F$1:F1232,F1232,A$1:A1232,A1232)</f>
        <v>20</v>
      </c>
      <c r="P1232" t="str">
        <f t="shared" si="59"/>
        <v>Doug Baldwin10</v>
      </c>
    </row>
    <row r="1233" spans="1:16" x14ac:dyDescent="0.25">
      <c r="A1233">
        <v>1</v>
      </c>
      <c r="B1233" t="s">
        <v>151</v>
      </c>
      <c r="C1233" t="s">
        <v>1332</v>
      </c>
      <c r="D1233">
        <v>9.2100000000000009</v>
      </c>
      <c r="E1233" t="s">
        <v>37</v>
      </c>
      <c r="F1233" t="s">
        <v>114</v>
      </c>
      <c r="G1233">
        <v>15.23</v>
      </c>
      <c r="H1233">
        <v>3.19</v>
      </c>
      <c r="I1233">
        <v>6.02</v>
      </c>
      <c r="J1233">
        <v>36.240400000000001</v>
      </c>
      <c r="K1233" t="str">
        <f>IFERROR(INDEX(Rosters!$C$2:$C$155,MATCH($B1233,Rosters!$B$2:$B$155,0)),"NA")</f>
        <v>aj</v>
      </c>
      <c r="L1233" t="str">
        <f t="shared" si="57"/>
        <v>aj1TE</v>
      </c>
      <c r="M1233">
        <f>COUNTIF(L$1:L1233,L1233)</f>
        <v>2</v>
      </c>
      <c r="N1233" t="str">
        <f t="shared" si="58"/>
        <v>aj1TE-2</v>
      </c>
      <c r="O1233">
        <f>COUNTIFS(F$1:F1233,F1233,A$1:A1233,A1233)</f>
        <v>4</v>
      </c>
      <c r="P1233" t="str">
        <f t="shared" si="59"/>
        <v>Travis Kelce1</v>
      </c>
    </row>
    <row r="1234" spans="1:16" x14ac:dyDescent="0.25">
      <c r="A1234">
        <v>16</v>
      </c>
      <c r="B1234" t="s">
        <v>251</v>
      </c>
      <c r="C1234" t="s">
        <v>6590</v>
      </c>
      <c r="D1234">
        <v>9.1999999999999993</v>
      </c>
      <c r="E1234" t="s">
        <v>46</v>
      </c>
      <c r="F1234" t="s">
        <v>87</v>
      </c>
      <c r="G1234">
        <v>15.53</v>
      </c>
      <c r="H1234">
        <v>2.87</v>
      </c>
      <c r="I1234">
        <v>6.33</v>
      </c>
      <c r="J1234">
        <v>40.068899999999999</v>
      </c>
      <c r="K1234" t="str">
        <f>IFERROR(INDEX(Rosters!$C$2:$C$155,MATCH($B1234,Rosters!$B$2:$B$155,0)),"NA")</f>
        <v>chad</v>
      </c>
      <c r="L1234" t="str">
        <f t="shared" si="57"/>
        <v>chad16WR</v>
      </c>
      <c r="M1234">
        <f>COUNTIF(L$1:L1234,L1234)</f>
        <v>2</v>
      </c>
      <c r="N1234" t="str">
        <f t="shared" si="58"/>
        <v>chad16WR-2</v>
      </c>
      <c r="O1234">
        <f>COUNTIFS(F$1:F1234,F1234,A$1:A1234,A1234)</f>
        <v>24</v>
      </c>
      <c r="P1234" t="str">
        <f t="shared" si="59"/>
        <v>Devin Funchess16</v>
      </c>
    </row>
    <row r="1235" spans="1:16" x14ac:dyDescent="0.25">
      <c r="A1235">
        <v>12</v>
      </c>
      <c r="B1235" t="s">
        <v>3533</v>
      </c>
      <c r="C1235" t="s">
        <v>6591</v>
      </c>
      <c r="D1235">
        <v>9.1999999999999993</v>
      </c>
      <c r="E1235" t="s">
        <v>51</v>
      </c>
      <c r="F1235" t="s">
        <v>47</v>
      </c>
      <c r="G1235">
        <v>16.14</v>
      </c>
      <c r="H1235">
        <v>2.2599999999999998</v>
      </c>
      <c r="I1235">
        <v>6.94</v>
      </c>
      <c r="J1235">
        <v>48.163600000000002</v>
      </c>
      <c r="K1235" t="str">
        <f>IFERROR(INDEX(Rosters!$C$2:$C$155,MATCH($B1235,Rosters!$B$2:$B$155,0)),"NA")</f>
        <v>perry</v>
      </c>
      <c r="L1235" t="str">
        <f t="shared" si="57"/>
        <v>perry12RB</v>
      </c>
      <c r="M1235">
        <f>COUNTIF(L$1:L1235,L1235)</f>
        <v>2</v>
      </c>
      <c r="N1235" t="str">
        <f t="shared" si="58"/>
        <v>perry12RB-2</v>
      </c>
      <c r="O1235">
        <f>COUNTIFS(F$1:F1235,F1235,A$1:A1235,A1235)</f>
        <v>19</v>
      </c>
      <c r="P1235" t="str">
        <f t="shared" si="59"/>
        <v>Phillip Lindsay12</v>
      </c>
    </row>
    <row r="1236" spans="1:16" x14ac:dyDescent="0.25">
      <c r="A1236">
        <v>5</v>
      </c>
      <c r="B1236" t="s">
        <v>126</v>
      </c>
      <c r="C1236" t="s">
        <v>6592</v>
      </c>
      <c r="D1236">
        <v>9.19</v>
      </c>
      <c r="E1236" t="s">
        <v>25</v>
      </c>
      <c r="F1236" t="s">
        <v>87</v>
      </c>
      <c r="G1236">
        <v>16.43</v>
      </c>
      <c r="H1236">
        <v>1.95</v>
      </c>
      <c r="I1236">
        <v>7.24</v>
      </c>
      <c r="J1236">
        <v>52.4176</v>
      </c>
      <c r="K1236" t="str">
        <f>IFERROR(INDEX(Rosters!$C$2:$C$155,MATCH($B1236,Rosters!$B$2:$B$155,0)),"NA")</f>
        <v>devon</v>
      </c>
      <c r="L1236" t="str">
        <f t="shared" si="57"/>
        <v>devon5WR</v>
      </c>
      <c r="M1236">
        <f>COUNTIF(L$1:L1236,L1236)</f>
        <v>3</v>
      </c>
      <c r="N1236" t="str">
        <f t="shared" si="58"/>
        <v>devon5WR-3</v>
      </c>
      <c r="O1236">
        <f>COUNTIFS(F$1:F1236,F1236,A$1:A1236,A1236)</f>
        <v>19</v>
      </c>
      <c r="P1236" t="str">
        <f t="shared" si="59"/>
        <v>Alshon Jeffery5</v>
      </c>
    </row>
    <row r="1237" spans="1:16" x14ac:dyDescent="0.25">
      <c r="A1237">
        <v>2</v>
      </c>
      <c r="B1237" t="s">
        <v>290</v>
      </c>
      <c r="C1237" t="s">
        <v>1333</v>
      </c>
      <c r="D1237">
        <v>9.19</v>
      </c>
      <c r="E1237" t="s">
        <v>73</v>
      </c>
      <c r="F1237" t="s">
        <v>47</v>
      </c>
      <c r="G1237">
        <v>16.010000000000002</v>
      </c>
      <c r="H1237">
        <v>2.37</v>
      </c>
      <c r="I1237">
        <v>6.82</v>
      </c>
      <c r="J1237">
        <v>46.5124</v>
      </c>
      <c r="K1237" t="str">
        <f>IFERROR(INDEX(Rosters!$C$2:$C$155,MATCH($B1237,Rosters!$B$2:$B$155,0)),"NA")</f>
        <v>lucas</v>
      </c>
      <c r="L1237" t="str">
        <f t="shared" si="57"/>
        <v>lucas2RB</v>
      </c>
      <c r="M1237">
        <f>COUNTIF(L$1:L1237,L1237)</f>
        <v>4</v>
      </c>
      <c r="N1237" t="str">
        <f t="shared" si="58"/>
        <v>lucas2RB-4</v>
      </c>
      <c r="O1237">
        <f>COUNTIFS(F$1:F1237,F1237,A$1:A1237,A1237)</f>
        <v>22</v>
      </c>
      <c r="P1237" t="str">
        <f t="shared" si="59"/>
        <v>Kenyan Drake2</v>
      </c>
    </row>
    <row r="1238" spans="1:16" x14ac:dyDescent="0.25">
      <c r="A1238">
        <v>1</v>
      </c>
      <c r="B1238" t="s">
        <v>140</v>
      </c>
      <c r="C1238" t="s">
        <v>1334</v>
      </c>
      <c r="D1238">
        <v>9.18</v>
      </c>
      <c r="E1238" t="s">
        <v>60</v>
      </c>
      <c r="F1238" t="s">
        <v>87</v>
      </c>
      <c r="G1238">
        <v>14.03</v>
      </c>
      <c r="H1238">
        <v>4.33</v>
      </c>
      <c r="I1238">
        <v>4.8499999999999996</v>
      </c>
      <c r="J1238">
        <v>23.522500000000001</v>
      </c>
      <c r="K1238" t="str">
        <f>IFERROR(INDEX(Rosters!$C$2:$C$155,MATCH($B1238,Rosters!$B$2:$B$155,0)),"NA")</f>
        <v>seth</v>
      </c>
      <c r="L1238" t="str">
        <f t="shared" si="57"/>
        <v>seth1WR</v>
      </c>
      <c r="M1238">
        <f>COUNTIF(L$1:L1238,L1238)</f>
        <v>2</v>
      </c>
      <c r="N1238" t="str">
        <f t="shared" si="58"/>
        <v>seth1WR-2</v>
      </c>
      <c r="O1238">
        <f>COUNTIFS(F$1:F1238,F1238,A$1:A1238,A1238)</f>
        <v>16</v>
      </c>
      <c r="P1238" t="str">
        <f t="shared" si="59"/>
        <v>Larry Fitzgerald1</v>
      </c>
    </row>
    <row r="1239" spans="1:16" x14ac:dyDescent="0.25">
      <c r="A1239">
        <v>13</v>
      </c>
      <c r="B1239" t="s">
        <v>251</v>
      </c>
      <c r="C1239" t="s">
        <v>6593</v>
      </c>
      <c r="D1239">
        <v>9.17</v>
      </c>
      <c r="E1239" t="s">
        <v>17</v>
      </c>
      <c r="F1239" t="s">
        <v>87</v>
      </c>
      <c r="G1239">
        <v>15.94</v>
      </c>
      <c r="H1239">
        <v>2.4</v>
      </c>
      <c r="I1239">
        <v>6.77</v>
      </c>
      <c r="J1239">
        <v>45.832900000000002</v>
      </c>
      <c r="K1239" t="str">
        <f>IFERROR(INDEX(Rosters!$C$2:$C$155,MATCH($B1239,Rosters!$B$2:$B$155,0)),"NA")</f>
        <v>chad</v>
      </c>
      <c r="L1239" t="str">
        <f t="shared" si="57"/>
        <v>chad13WR</v>
      </c>
      <c r="M1239">
        <f>COUNTIF(L$1:L1239,L1239)</f>
        <v>4</v>
      </c>
      <c r="N1239" t="str">
        <f t="shared" si="58"/>
        <v>chad13WR-4</v>
      </c>
      <c r="O1239">
        <f>COUNTIFS(F$1:F1239,F1239,A$1:A1239,A1239)</f>
        <v>25</v>
      </c>
      <c r="P1239" t="str">
        <f t="shared" si="59"/>
        <v>Devin Funchess13</v>
      </c>
    </row>
    <row r="1240" spans="1:16" x14ac:dyDescent="0.25">
      <c r="A1240">
        <v>11</v>
      </c>
      <c r="B1240" t="s">
        <v>122</v>
      </c>
      <c r="C1240" t="s">
        <v>6594</v>
      </c>
      <c r="D1240">
        <v>9.17</v>
      </c>
      <c r="E1240" t="s">
        <v>74</v>
      </c>
      <c r="F1240" t="s">
        <v>87</v>
      </c>
      <c r="G1240">
        <v>14.45</v>
      </c>
      <c r="H1240">
        <v>3.89</v>
      </c>
      <c r="I1240">
        <v>5.28</v>
      </c>
      <c r="J1240">
        <v>27.878399999999999</v>
      </c>
      <c r="K1240" t="str">
        <f>IFERROR(INDEX(Rosters!$C$2:$C$155,MATCH($B1240,Rosters!$B$2:$B$155,0)),"NA")</f>
        <v>devon</v>
      </c>
      <c r="L1240" t="str">
        <f t="shared" si="57"/>
        <v>devon11WR</v>
      </c>
      <c r="M1240">
        <f>COUNTIF(L$1:L1240,L1240)</f>
        <v>3</v>
      </c>
      <c r="N1240" t="str">
        <f t="shared" si="58"/>
        <v>devon11WR-3</v>
      </c>
      <c r="O1240">
        <f>COUNTIFS(F$1:F1240,F1240,A$1:A1240,A1240)</f>
        <v>21</v>
      </c>
      <c r="P1240" t="str">
        <f t="shared" si="59"/>
        <v>Golden Tate11</v>
      </c>
    </row>
    <row r="1241" spans="1:16" x14ac:dyDescent="0.25">
      <c r="A1241">
        <v>14</v>
      </c>
      <c r="B1241" t="s">
        <v>177</v>
      </c>
      <c r="C1241" t="s">
        <v>6595</v>
      </c>
      <c r="D1241">
        <v>9.17</v>
      </c>
      <c r="E1241" t="s">
        <v>22</v>
      </c>
      <c r="F1241" t="s">
        <v>114</v>
      </c>
      <c r="G1241">
        <v>14.46</v>
      </c>
      <c r="H1241">
        <v>3.88</v>
      </c>
      <c r="I1241">
        <v>5.29</v>
      </c>
      <c r="J1241">
        <v>27.984100000000002</v>
      </c>
      <c r="K1241" t="str">
        <f>IFERROR(INDEX(Rosters!$C$2:$C$155,MATCH($B1241,Rosters!$B$2:$B$155,0)),"NA")</f>
        <v>perry</v>
      </c>
      <c r="L1241" t="str">
        <f t="shared" si="57"/>
        <v>perry14TE</v>
      </c>
      <c r="M1241">
        <f>COUNTIF(L$1:L1241,L1241)</f>
        <v>1</v>
      </c>
      <c r="N1241" t="str">
        <f t="shared" si="58"/>
        <v>perry14TE-1</v>
      </c>
      <c r="O1241">
        <f>COUNTIFS(F$1:F1241,F1241,A$1:A1241,A1241)</f>
        <v>3</v>
      </c>
      <c r="P1241" t="str">
        <f t="shared" si="59"/>
        <v>Zach Ertz14</v>
      </c>
    </row>
    <row r="1242" spans="1:16" x14ac:dyDescent="0.25">
      <c r="A1242">
        <v>5</v>
      </c>
      <c r="B1242" t="s">
        <v>171</v>
      </c>
      <c r="C1242" t="s">
        <v>6596</v>
      </c>
      <c r="D1242">
        <v>9.16</v>
      </c>
      <c r="E1242" t="s">
        <v>29</v>
      </c>
      <c r="F1242" t="s">
        <v>87</v>
      </c>
      <c r="G1242">
        <v>16.79</v>
      </c>
      <c r="H1242">
        <v>1.53</v>
      </c>
      <c r="I1242">
        <v>7.63</v>
      </c>
      <c r="J1242">
        <v>58.216900000000003</v>
      </c>
      <c r="K1242" t="str">
        <f>IFERROR(INDEX(Rosters!$C$2:$C$155,MATCH($B1242,Rosters!$B$2:$B$155,0)),"NA")</f>
        <v>matty</v>
      </c>
      <c r="L1242" t="str">
        <f t="shared" si="57"/>
        <v>matty5WR</v>
      </c>
      <c r="M1242">
        <f>COUNTIF(L$1:L1242,L1242)</f>
        <v>3</v>
      </c>
      <c r="N1242" t="str">
        <f t="shared" si="58"/>
        <v>matty5WR-3</v>
      </c>
      <c r="O1242">
        <f>COUNTIFS(F$1:F1242,F1242,A$1:A1242,A1242)</f>
        <v>20</v>
      </c>
      <c r="P1242" t="str">
        <f t="shared" si="59"/>
        <v>Corey Davis5</v>
      </c>
    </row>
    <row r="1243" spans="1:16" x14ac:dyDescent="0.25">
      <c r="A1243">
        <v>6</v>
      </c>
      <c r="B1243" t="s">
        <v>171</v>
      </c>
      <c r="C1243" t="s">
        <v>6597</v>
      </c>
      <c r="D1243">
        <v>9.16</v>
      </c>
      <c r="E1243" t="s">
        <v>77</v>
      </c>
      <c r="F1243" t="s">
        <v>87</v>
      </c>
      <c r="G1243">
        <v>15.66</v>
      </c>
      <c r="H1243">
        <v>2.66</v>
      </c>
      <c r="I1243">
        <v>6.5</v>
      </c>
      <c r="J1243">
        <v>42.25</v>
      </c>
      <c r="K1243" t="str">
        <f>IFERROR(INDEX(Rosters!$C$2:$C$155,MATCH($B1243,Rosters!$B$2:$B$155,0)),"NA")</f>
        <v>matty</v>
      </c>
      <c r="L1243" t="str">
        <f t="shared" si="57"/>
        <v>matty6WR</v>
      </c>
      <c r="M1243">
        <f>COUNTIF(L$1:L1243,L1243)</f>
        <v>3</v>
      </c>
      <c r="N1243" t="str">
        <f t="shared" si="58"/>
        <v>matty6WR-3</v>
      </c>
      <c r="O1243">
        <f>COUNTIFS(F$1:F1243,F1243,A$1:A1243,A1243)</f>
        <v>20</v>
      </c>
      <c r="P1243" t="str">
        <f t="shared" si="59"/>
        <v>Corey Davis6</v>
      </c>
    </row>
    <row r="1244" spans="1:16" x14ac:dyDescent="0.25">
      <c r="A1244">
        <v>2</v>
      </c>
      <c r="B1244" t="s">
        <v>201</v>
      </c>
      <c r="C1244" t="s">
        <v>3327</v>
      </c>
      <c r="D1244">
        <v>9.16</v>
      </c>
      <c r="E1244" t="s">
        <v>36</v>
      </c>
      <c r="F1244" t="s">
        <v>47</v>
      </c>
      <c r="G1244">
        <v>14.29</v>
      </c>
      <c r="H1244">
        <v>4.03</v>
      </c>
      <c r="I1244">
        <v>5.13</v>
      </c>
      <c r="J1244">
        <v>26.3169</v>
      </c>
      <c r="K1244" t="str">
        <f>IFERROR(INDEX(Rosters!$C$2:$C$155,MATCH($B1244,Rosters!$B$2:$B$155,0)),"NA")</f>
        <v>seth</v>
      </c>
      <c r="L1244" t="str">
        <f t="shared" si="57"/>
        <v>seth2RB</v>
      </c>
      <c r="M1244">
        <f>COUNTIF(L$1:L1244,L1244)</f>
        <v>2</v>
      </c>
      <c r="N1244" t="str">
        <f t="shared" si="58"/>
        <v>seth2RB-2</v>
      </c>
      <c r="O1244">
        <f>COUNTIFS(F$1:F1244,F1244,A$1:A1244,A1244)</f>
        <v>23</v>
      </c>
      <c r="P1244" t="str">
        <f t="shared" si="59"/>
        <v>Derrick Henry2</v>
      </c>
    </row>
    <row r="1245" spans="1:16" x14ac:dyDescent="0.25">
      <c r="A1245">
        <v>4</v>
      </c>
      <c r="B1245" t="s">
        <v>290</v>
      </c>
      <c r="C1245" t="s">
        <v>4465</v>
      </c>
      <c r="D1245">
        <v>9.16</v>
      </c>
      <c r="E1245" t="s">
        <v>423</v>
      </c>
      <c r="F1245" t="s">
        <v>47</v>
      </c>
      <c r="G1245">
        <v>16.87</v>
      </c>
      <c r="H1245">
        <v>1.45</v>
      </c>
      <c r="I1245">
        <v>7.71</v>
      </c>
      <c r="J1245">
        <v>59.444099999999999</v>
      </c>
      <c r="K1245" t="str">
        <f>IFERROR(INDEX(Rosters!$C$2:$C$155,MATCH($B1245,Rosters!$B$2:$B$155,0)),"NA")</f>
        <v>lucas</v>
      </c>
      <c r="L1245" t="str">
        <f t="shared" si="57"/>
        <v>lucas4RB</v>
      </c>
      <c r="M1245">
        <f>COUNTIF(L$1:L1245,L1245)</f>
        <v>3</v>
      </c>
      <c r="N1245" t="str">
        <f t="shared" si="58"/>
        <v>lucas4RB-3</v>
      </c>
      <c r="O1245">
        <f>COUNTIFS(F$1:F1245,F1245,A$1:A1245,A1245)</f>
        <v>20</v>
      </c>
      <c r="P1245" t="str">
        <f t="shared" si="59"/>
        <v>Kenyan Drake4</v>
      </c>
    </row>
    <row r="1246" spans="1:16" x14ac:dyDescent="0.25">
      <c r="A1246">
        <v>13</v>
      </c>
      <c r="B1246" t="s">
        <v>140</v>
      </c>
      <c r="C1246" t="s">
        <v>6598</v>
      </c>
      <c r="D1246">
        <v>9.16</v>
      </c>
      <c r="E1246" t="s">
        <v>41</v>
      </c>
      <c r="F1246" t="s">
        <v>87</v>
      </c>
      <c r="G1246">
        <v>15.17</v>
      </c>
      <c r="H1246">
        <v>3.15</v>
      </c>
      <c r="I1246">
        <v>6.01</v>
      </c>
      <c r="J1246">
        <v>36.120100000000001</v>
      </c>
      <c r="K1246" t="str">
        <f>IFERROR(INDEX(Rosters!$C$2:$C$155,MATCH($B1246,Rosters!$B$2:$B$155,0)),"NA")</f>
        <v>seth</v>
      </c>
      <c r="L1246" t="str">
        <f t="shared" si="57"/>
        <v>seth13WR</v>
      </c>
      <c r="M1246">
        <f>COUNTIF(L$1:L1246,L1246)</f>
        <v>3</v>
      </c>
      <c r="N1246" t="str">
        <f t="shared" si="58"/>
        <v>seth13WR-3</v>
      </c>
      <c r="O1246">
        <f>COUNTIFS(F$1:F1246,F1246,A$1:A1246,A1246)</f>
        <v>26</v>
      </c>
      <c r="P1246" t="str">
        <f t="shared" si="59"/>
        <v>Larry Fitzgerald13</v>
      </c>
    </row>
    <row r="1247" spans="1:16" x14ac:dyDescent="0.25">
      <c r="A1247">
        <v>1</v>
      </c>
      <c r="B1247" t="s">
        <v>86</v>
      </c>
      <c r="C1247" t="s">
        <v>1799</v>
      </c>
      <c r="D1247">
        <v>9.16</v>
      </c>
      <c r="E1247" t="s">
        <v>76</v>
      </c>
      <c r="F1247" t="s">
        <v>87</v>
      </c>
      <c r="G1247">
        <v>15.31</v>
      </c>
      <c r="H1247">
        <v>3.01</v>
      </c>
      <c r="I1247">
        <v>6.15</v>
      </c>
      <c r="J1247">
        <v>37.822499999999998</v>
      </c>
      <c r="K1247" t="str">
        <f>IFERROR(INDEX(Rosters!$C$2:$C$155,MATCH($B1247,Rosters!$B$2:$B$155,0)),"NA")</f>
        <v>seth</v>
      </c>
      <c r="L1247" t="str">
        <f t="shared" si="57"/>
        <v>seth1WR</v>
      </c>
      <c r="M1247">
        <f>COUNTIF(L$1:L1247,L1247)</f>
        <v>3</v>
      </c>
      <c r="N1247" t="str">
        <f t="shared" si="58"/>
        <v>seth1WR-3</v>
      </c>
      <c r="O1247">
        <f>COUNTIFS(F$1:F1247,F1247,A$1:A1247,A1247)</f>
        <v>17</v>
      </c>
      <c r="P1247" t="str">
        <f t="shared" si="59"/>
        <v>Odell Beckham Jr.1</v>
      </c>
    </row>
    <row r="1248" spans="1:16" x14ac:dyDescent="0.25">
      <c r="A1248">
        <v>16</v>
      </c>
      <c r="B1248" t="s">
        <v>90</v>
      </c>
      <c r="C1248" t="s">
        <v>6599</v>
      </c>
      <c r="D1248">
        <v>9.15</v>
      </c>
      <c r="E1248" t="s">
        <v>74</v>
      </c>
      <c r="F1248" t="s">
        <v>47</v>
      </c>
      <c r="G1248">
        <v>15.03</v>
      </c>
      <c r="H1248">
        <v>3.27</v>
      </c>
      <c r="I1248">
        <v>5.88</v>
      </c>
      <c r="J1248">
        <v>34.574399999999997</v>
      </c>
      <c r="K1248" t="str">
        <f>IFERROR(INDEX(Rosters!$C$2:$C$155,MATCH($B1248,Rosters!$B$2:$B$155,0)),"NA")</f>
        <v>devon</v>
      </c>
      <c r="L1248" t="str">
        <f t="shared" si="57"/>
        <v>devon16RB</v>
      </c>
      <c r="M1248">
        <f>COUNTIF(L$1:L1248,L1248)</f>
        <v>3</v>
      </c>
      <c r="N1248" t="str">
        <f t="shared" si="58"/>
        <v>devon16RB-3</v>
      </c>
      <c r="O1248">
        <f>COUNTIFS(F$1:F1248,F1248,A$1:A1248,A1248)</f>
        <v>22</v>
      </c>
      <c r="P1248" t="str">
        <f t="shared" si="59"/>
        <v>Devonta Freeman16</v>
      </c>
    </row>
    <row r="1249" spans="1:16" x14ac:dyDescent="0.25">
      <c r="A1249">
        <v>3</v>
      </c>
      <c r="B1249" t="s">
        <v>177</v>
      </c>
      <c r="C1249" t="s">
        <v>3669</v>
      </c>
      <c r="D1249">
        <v>9.15</v>
      </c>
      <c r="E1249" t="s">
        <v>66</v>
      </c>
      <c r="F1249" t="s">
        <v>114</v>
      </c>
      <c r="G1249">
        <v>14.54</v>
      </c>
      <c r="H1249">
        <v>3.76</v>
      </c>
      <c r="I1249">
        <v>5.39</v>
      </c>
      <c r="J1249">
        <v>29.052099999999999</v>
      </c>
      <c r="K1249" t="str">
        <f>IFERROR(INDEX(Rosters!$C$2:$C$155,MATCH($B1249,Rosters!$B$2:$B$155,0)),"NA")</f>
        <v>perry</v>
      </c>
      <c r="L1249" t="str">
        <f t="shared" si="57"/>
        <v>perry3TE</v>
      </c>
      <c r="M1249">
        <f>COUNTIF(L$1:L1249,L1249)</f>
        <v>1</v>
      </c>
      <c r="N1249" t="str">
        <f t="shared" si="58"/>
        <v>perry3TE-1</v>
      </c>
      <c r="O1249">
        <f>COUNTIFS(F$1:F1249,F1249,A$1:A1249,A1249)</f>
        <v>3</v>
      </c>
      <c r="P1249" t="str">
        <f t="shared" si="59"/>
        <v>Zach Ertz3</v>
      </c>
    </row>
    <row r="1250" spans="1:16" x14ac:dyDescent="0.25">
      <c r="A1250">
        <v>8</v>
      </c>
      <c r="B1250" t="s">
        <v>221</v>
      </c>
      <c r="C1250" t="s">
        <v>6600</v>
      </c>
      <c r="D1250">
        <v>9.1300000000000008</v>
      </c>
      <c r="E1250" t="s">
        <v>17</v>
      </c>
      <c r="F1250" t="s">
        <v>87</v>
      </c>
      <c r="G1250">
        <v>14.81</v>
      </c>
      <c r="H1250">
        <v>3.45</v>
      </c>
      <c r="I1250">
        <v>5.68</v>
      </c>
      <c r="J1250">
        <v>32.2624</v>
      </c>
      <c r="K1250" t="str">
        <f>IFERROR(INDEX(Rosters!$C$2:$C$155,MATCH($B1250,Rosters!$B$2:$B$155,0)),"NA")</f>
        <v>cory</v>
      </c>
      <c r="L1250" t="str">
        <f t="shared" si="57"/>
        <v>cory8WR</v>
      </c>
      <c r="M1250">
        <f>COUNTIF(L$1:L1250,L1250)</f>
        <v>3</v>
      </c>
      <c r="N1250" t="str">
        <f t="shared" si="58"/>
        <v>cory8WR-3</v>
      </c>
      <c r="O1250">
        <f>COUNTIFS(F$1:F1250,F1250,A$1:A1250,A1250)</f>
        <v>24</v>
      </c>
      <c r="P1250" t="str">
        <f t="shared" si="59"/>
        <v>Tyler Boyd8</v>
      </c>
    </row>
    <row r="1251" spans="1:16" x14ac:dyDescent="0.25">
      <c r="A1251">
        <v>8</v>
      </c>
      <c r="B1251" t="s">
        <v>135</v>
      </c>
      <c r="C1251" t="s">
        <v>6601</v>
      </c>
      <c r="D1251">
        <v>9.1199999999999992</v>
      </c>
      <c r="E1251" t="s">
        <v>56</v>
      </c>
      <c r="F1251" t="s">
        <v>87</v>
      </c>
      <c r="G1251">
        <v>14.88</v>
      </c>
      <c r="H1251">
        <v>3.36</v>
      </c>
      <c r="I1251">
        <v>5.76</v>
      </c>
      <c r="J1251">
        <v>33.177599999999998</v>
      </c>
      <c r="K1251" t="str">
        <f>IFERROR(INDEX(Rosters!$C$2:$C$155,MATCH($B1251,Rosters!$B$2:$B$155,0)),"NA")</f>
        <v>perry</v>
      </c>
      <c r="L1251" t="str">
        <f t="shared" si="57"/>
        <v>perry8WR</v>
      </c>
      <c r="M1251">
        <f>COUNTIF(L$1:L1251,L1251)</f>
        <v>3</v>
      </c>
      <c r="N1251" t="str">
        <f t="shared" si="58"/>
        <v>perry8WR-3</v>
      </c>
      <c r="O1251">
        <f>COUNTIFS(F$1:F1251,F1251,A$1:A1251,A1251)</f>
        <v>25</v>
      </c>
      <c r="P1251" t="str">
        <f t="shared" si="59"/>
        <v>Davante Adams8</v>
      </c>
    </row>
    <row r="1252" spans="1:16" x14ac:dyDescent="0.25">
      <c r="A1252">
        <v>17</v>
      </c>
      <c r="B1252" t="s">
        <v>130</v>
      </c>
      <c r="C1252" t="s">
        <v>6602</v>
      </c>
      <c r="D1252">
        <v>9.11</v>
      </c>
      <c r="E1252" t="s">
        <v>77</v>
      </c>
      <c r="F1252" t="s">
        <v>47</v>
      </c>
      <c r="G1252">
        <v>14.78</v>
      </c>
      <c r="H1252">
        <v>3.44</v>
      </c>
      <c r="I1252">
        <v>5.67</v>
      </c>
      <c r="J1252">
        <v>32.148899999999998</v>
      </c>
      <c r="K1252" t="str">
        <f>IFERROR(INDEX(Rosters!$C$2:$C$155,MATCH($B1252,Rosters!$B$2:$B$155,0)),"NA")</f>
        <v>cory</v>
      </c>
      <c r="L1252" t="str">
        <f t="shared" si="57"/>
        <v>cory17RB</v>
      </c>
      <c r="M1252">
        <f>COUNTIF(L$1:L1252,L1252)</f>
        <v>2</v>
      </c>
      <c r="N1252" t="str">
        <f t="shared" si="58"/>
        <v>cory17RB-2</v>
      </c>
      <c r="O1252">
        <f>COUNTIFS(F$1:F1252,F1252,A$1:A1252,A1252)</f>
        <v>23</v>
      </c>
      <c r="P1252" t="str">
        <f t="shared" si="59"/>
        <v>Carlos Hyde17</v>
      </c>
    </row>
    <row r="1253" spans="1:16" x14ac:dyDescent="0.25">
      <c r="A1253">
        <v>4</v>
      </c>
      <c r="B1253" t="s">
        <v>240</v>
      </c>
      <c r="C1253" t="s">
        <v>4466</v>
      </c>
      <c r="D1253">
        <v>9.11</v>
      </c>
      <c r="E1253" t="s">
        <v>38</v>
      </c>
      <c r="F1253" t="s">
        <v>87</v>
      </c>
      <c r="G1253">
        <v>15.15</v>
      </c>
      <c r="H1253">
        <v>3.07</v>
      </c>
      <c r="I1253">
        <v>6.04</v>
      </c>
      <c r="J1253">
        <v>36.4816</v>
      </c>
      <c r="K1253" t="str">
        <f>IFERROR(INDEX(Rosters!$C$2:$C$155,MATCH($B1253,Rosters!$B$2:$B$155,0)),"NA")</f>
        <v>aj</v>
      </c>
      <c r="L1253" t="str">
        <f t="shared" si="57"/>
        <v>aj4WR</v>
      </c>
      <c r="M1253">
        <f>COUNTIF(L$1:L1253,L1253)</f>
        <v>4</v>
      </c>
      <c r="N1253" t="str">
        <f t="shared" si="58"/>
        <v>aj4WR-4</v>
      </c>
      <c r="O1253">
        <f>COUNTIFS(F$1:F1253,F1253,A$1:A1253,A1253)</f>
        <v>21</v>
      </c>
      <c r="P1253" t="str">
        <f t="shared" si="59"/>
        <v>Nelson Agholor4</v>
      </c>
    </row>
    <row r="1254" spans="1:16" x14ac:dyDescent="0.25">
      <c r="A1254">
        <v>2</v>
      </c>
      <c r="B1254" t="s">
        <v>1105</v>
      </c>
      <c r="C1254" t="s">
        <v>3328</v>
      </c>
      <c r="D1254">
        <v>9.1</v>
      </c>
      <c r="E1254" t="s">
        <v>24</v>
      </c>
      <c r="F1254" t="s">
        <v>87</v>
      </c>
      <c r="G1254">
        <v>14.65</v>
      </c>
      <c r="H1254">
        <v>3.55</v>
      </c>
      <c r="I1254">
        <v>5.55</v>
      </c>
      <c r="J1254">
        <v>30.802499999999998</v>
      </c>
      <c r="K1254" t="str">
        <f>IFERROR(INDEX(Rosters!$C$2:$C$155,MATCH($B1254,Rosters!$B$2:$B$155,0)),"NA")</f>
        <v>scott</v>
      </c>
      <c r="L1254" t="str">
        <f t="shared" si="57"/>
        <v>scott2WR</v>
      </c>
      <c r="M1254">
        <f>COUNTIF(L$1:L1254,L1254)</f>
        <v>1</v>
      </c>
      <c r="N1254" t="str">
        <f t="shared" si="58"/>
        <v>scott2WR-1</v>
      </c>
      <c r="O1254">
        <f>COUNTIFS(F$1:F1254,F1254,A$1:A1254,A1254)</f>
        <v>19</v>
      </c>
      <c r="P1254" t="str">
        <f t="shared" si="59"/>
        <v>JuJu Smith-Schuster2</v>
      </c>
    </row>
    <row r="1255" spans="1:16" x14ac:dyDescent="0.25">
      <c r="A1255">
        <v>17</v>
      </c>
      <c r="B1255" t="s">
        <v>208</v>
      </c>
      <c r="C1255" t="s">
        <v>6603</v>
      </c>
      <c r="D1255">
        <v>9.09</v>
      </c>
      <c r="E1255" t="s">
        <v>24</v>
      </c>
      <c r="F1255" t="s">
        <v>114</v>
      </c>
      <c r="G1255">
        <v>15.84</v>
      </c>
      <c r="H1255">
        <v>2.34</v>
      </c>
      <c r="I1255">
        <v>6.75</v>
      </c>
      <c r="J1255">
        <v>45.5625</v>
      </c>
      <c r="K1255" t="str">
        <f>IFERROR(INDEX(Rosters!$C$2:$C$155,MATCH($B1255,Rosters!$B$2:$B$155,0)),"NA")</f>
        <v>chad</v>
      </c>
      <c r="L1255" t="str">
        <f t="shared" si="57"/>
        <v>chad17TE</v>
      </c>
      <c r="M1255">
        <f>COUNTIF(L$1:L1255,L1255)</f>
        <v>1</v>
      </c>
      <c r="N1255" t="str">
        <f t="shared" si="58"/>
        <v>chad17TE-1</v>
      </c>
      <c r="O1255">
        <f>COUNTIFS(F$1:F1255,F1255,A$1:A1255,A1255)</f>
        <v>3</v>
      </c>
      <c r="P1255" t="str">
        <f t="shared" si="59"/>
        <v>Jared Cook17</v>
      </c>
    </row>
    <row r="1256" spans="1:16" x14ac:dyDescent="0.25">
      <c r="A1256">
        <v>1</v>
      </c>
      <c r="B1256" t="s">
        <v>89</v>
      </c>
      <c r="C1256" t="s">
        <v>1770</v>
      </c>
      <c r="D1256">
        <v>9.09</v>
      </c>
      <c r="E1256" t="s">
        <v>46</v>
      </c>
      <c r="F1256" t="s">
        <v>47</v>
      </c>
      <c r="G1256">
        <v>14.75</v>
      </c>
      <c r="H1256">
        <v>3.43</v>
      </c>
      <c r="I1256">
        <v>5.66</v>
      </c>
      <c r="J1256">
        <v>32.035600000000002</v>
      </c>
      <c r="K1256" t="str">
        <f>IFERROR(INDEX(Rosters!$C$2:$C$155,MATCH($B1256,Rosters!$B$2:$B$155,0)),"NA")</f>
        <v>matty</v>
      </c>
      <c r="L1256" t="str">
        <f t="shared" si="57"/>
        <v>matty1RB</v>
      </c>
      <c r="M1256">
        <f>COUNTIF(L$1:L1256,L1256)</f>
        <v>3</v>
      </c>
      <c r="N1256" t="str">
        <f t="shared" si="58"/>
        <v>matty1RB-3</v>
      </c>
      <c r="O1256">
        <f>COUNTIFS(F$1:F1256,F1256,A$1:A1256,A1256)</f>
        <v>21</v>
      </c>
      <c r="P1256" t="str">
        <f t="shared" si="59"/>
        <v>Jay Ajayi1</v>
      </c>
    </row>
    <row r="1257" spans="1:16" x14ac:dyDescent="0.25">
      <c r="A1257">
        <v>7</v>
      </c>
      <c r="B1257" t="s">
        <v>245</v>
      </c>
      <c r="C1257" t="s">
        <v>6604</v>
      </c>
      <c r="D1257">
        <v>9.09</v>
      </c>
      <c r="E1257" t="s">
        <v>36</v>
      </c>
      <c r="F1257" t="s">
        <v>47</v>
      </c>
      <c r="G1257">
        <v>15.81</v>
      </c>
      <c r="H1257">
        <v>2.37</v>
      </c>
      <c r="I1257">
        <v>6.72</v>
      </c>
      <c r="J1257">
        <v>45.1584</v>
      </c>
      <c r="K1257" t="str">
        <f>IFERROR(INDEX(Rosters!$C$2:$C$155,MATCH($B1257,Rosters!$B$2:$B$155,0)),"NA")</f>
        <v>seth</v>
      </c>
      <c r="L1257" t="str">
        <f t="shared" si="57"/>
        <v>seth7RB</v>
      </c>
      <c r="M1257">
        <f>COUNTIF(L$1:L1257,L1257)</f>
        <v>1</v>
      </c>
      <c r="N1257" t="str">
        <f t="shared" si="58"/>
        <v>seth7RB-1</v>
      </c>
      <c r="O1257">
        <f>COUNTIFS(F$1:F1257,F1257,A$1:A1257,A1257)</f>
        <v>19</v>
      </c>
      <c r="P1257" t="str">
        <f t="shared" si="59"/>
        <v>T.J. Yeldon7</v>
      </c>
    </row>
    <row r="1258" spans="1:16" x14ac:dyDescent="0.25">
      <c r="A1258">
        <v>10</v>
      </c>
      <c r="B1258" t="s">
        <v>126</v>
      </c>
      <c r="C1258" t="s">
        <v>6605</v>
      </c>
      <c r="D1258">
        <v>9.07</v>
      </c>
      <c r="E1258" t="s">
        <v>22</v>
      </c>
      <c r="F1258" t="s">
        <v>87</v>
      </c>
      <c r="G1258">
        <v>16.649999999999999</v>
      </c>
      <c r="H1258">
        <v>1.49</v>
      </c>
      <c r="I1258">
        <v>7.58</v>
      </c>
      <c r="J1258">
        <v>57.456400000000002</v>
      </c>
      <c r="K1258" t="str">
        <f>IFERROR(INDEX(Rosters!$C$2:$C$155,MATCH($B1258,Rosters!$B$2:$B$155,0)),"NA")</f>
        <v>devon</v>
      </c>
      <c r="L1258" t="str">
        <f t="shared" si="57"/>
        <v>devon10WR</v>
      </c>
      <c r="M1258">
        <f>COUNTIF(L$1:L1258,L1258)</f>
        <v>3</v>
      </c>
      <c r="N1258" t="str">
        <f t="shared" si="58"/>
        <v>devon10WR-3</v>
      </c>
      <c r="O1258">
        <f>COUNTIFS(F$1:F1258,F1258,A$1:A1258,A1258)</f>
        <v>21</v>
      </c>
      <c r="P1258" t="str">
        <f t="shared" si="59"/>
        <v>Alshon Jeffery10</v>
      </c>
    </row>
    <row r="1259" spans="1:16" x14ac:dyDescent="0.25">
      <c r="A1259">
        <v>13</v>
      </c>
      <c r="B1259" t="s">
        <v>126</v>
      </c>
      <c r="C1259" t="s">
        <v>6606</v>
      </c>
      <c r="D1259">
        <v>9.07</v>
      </c>
      <c r="E1259" t="s">
        <v>60</v>
      </c>
      <c r="F1259" t="s">
        <v>87</v>
      </c>
      <c r="G1259">
        <v>14.92</v>
      </c>
      <c r="H1259">
        <v>3.22</v>
      </c>
      <c r="I1259">
        <v>5.85</v>
      </c>
      <c r="J1259">
        <v>34.222499999999997</v>
      </c>
      <c r="K1259" t="str">
        <f>IFERROR(INDEX(Rosters!$C$2:$C$155,MATCH($B1259,Rosters!$B$2:$B$155,0)),"NA")</f>
        <v>devon</v>
      </c>
      <c r="L1259" t="str">
        <f t="shared" si="57"/>
        <v>devon13WR</v>
      </c>
      <c r="M1259">
        <f>COUNTIF(L$1:L1259,L1259)</f>
        <v>3</v>
      </c>
      <c r="N1259" t="str">
        <f t="shared" si="58"/>
        <v>devon13WR-3</v>
      </c>
      <c r="O1259">
        <f>COUNTIFS(F$1:F1259,F1259,A$1:A1259,A1259)</f>
        <v>27</v>
      </c>
      <c r="P1259" t="str">
        <f t="shared" si="59"/>
        <v>Alshon Jeffery13</v>
      </c>
    </row>
    <row r="1260" spans="1:16" x14ac:dyDescent="0.25">
      <c r="A1260">
        <v>17</v>
      </c>
      <c r="B1260" t="s">
        <v>207</v>
      </c>
      <c r="C1260" t="s">
        <v>6607</v>
      </c>
      <c r="D1260">
        <v>9.07</v>
      </c>
      <c r="E1260" t="s">
        <v>66</v>
      </c>
      <c r="F1260" t="s">
        <v>47</v>
      </c>
      <c r="G1260">
        <v>14.56</v>
      </c>
      <c r="H1260">
        <v>3.58</v>
      </c>
      <c r="I1260">
        <v>5.49</v>
      </c>
      <c r="J1260">
        <v>30.1401</v>
      </c>
      <c r="K1260" t="str">
        <f>IFERROR(INDEX(Rosters!$C$2:$C$155,MATCH($B1260,Rosters!$B$2:$B$155,0)),"NA")</f>
        <v>chad</v>
      </c>
      <c r="L1260" t="str">
        <f t="shared" si="57"/>
        <v>chad17RB</v>
      </c>
      <c r="M1260">
        <f>COUNTIF(L$1:L1260,L1260)</f>
        <v>3</v>
      </c>
      <c r="N1260" t="str">
        <f t="shared" si="58"/>
        <v>chad17RB-3</v>
      </c>
      <c r="O1260">
        <f>COUNTIFS(F$1:F1260,F1260,A$1:A1260,A1260)</f>
        <v>24</v>
      </c>
      <c r="P1260" t="str">
        <f t="shared" si="59"/>
        <v>Dion Lewis17</v>
      </c>
    </row>
    <row r="1261" spans="1:16" x14ac:dyDescent="0.25">
      <c r="A1261">
        <v>17</v>
      </c>
      <c r="B1261" t="s">
        <v>355</v>
      </c>
      <c r="C1261" t="s">
        <v>6608</v>
      </c>
      <c r="D1261">
        <v>9.07</v>
      </c>
      <c r="E1261" t="s">
        <v>46</v>
      </c>
      <c r="F1261" t="s">
        <v>47</v>
      </c>
      <c r="G1261">
        <v>14.67</v>
      </c>
      <c r="H1261">
        <v>3.47</v>
      </c>
      <c r="I1261">
        <v>5.6</v>
      </c>
      <c r="J1261">
        <v>31.36</v>
      </c>
      <c r="K1261" t="str">
        <f>IFERROR(INDEX(Rosters!$C$2:$C$155,MATCH($B1261,Rosters!$B$2:$B$155,0)),"NA")</f>
        <v>devon</v>
      </c>
      <c r="L1261" t="str">
        <f t="shared" si="57"/>
        <v>devon17RB</v>
      </c>
      <c r="M1261">
        <f>COUNTIF(L$1:L1261,L1261)</f>
        <v>4</v>
      </c>
      <c r="N1261" t="str">
        <f t="shared" si="58"/>
        <v>devon17RB-4</v>
      </c>
      <c r="O1261">
        <f>COUNTIFS(F$1:F1261,F1261,A$1:A1261,A1261)</f>
        <v>25</v>
      </c>
      <c r="P1261" t="str">
        <f t="shared" si="59"/>
        <v>Peyton Barber17</v>
      </c>
    </row>
    <row r="1262" spans="1:16" x14ac:dyDescent="0.25">
      <c r="A1262">
        <v>15</v>
      </c>
      <c r="B1262" t="s">
        <v>256</v>
      </c>
      <c r="C1262" t="s">
        <v>6609</v>
      </c>
      <c r="D1262">
        <v>9.06</v>
      </c>
      <c r="E1262" t="s">
        <v>50</v>
      </c>
      <c r="F1262" t="s">
        <v>87</v>
      </c>
      <c r="G1262">
        <v>14.64</v>
      </c>
      <c r="H1262">
        <v>3.48</v>
      </c>
      <c r="I1262">
        <v>5.58</v>
      </c>
      <c r="J1262">
        <v>31.136399999999998</v>
      </c>
      <c r="K1262" t="str">
        <f>IFERROR(INDEX(Rosters!$C$2:$C$155,MATCH($B1262,Rosters!$B$2:$B$155,0)),"NA")</f>
        <v>lucas</v>
      </c>
      <c r="L1262" t="str">
        <f t="shared" si="57"/>
        <v>lucas15WR</v>
      </c>
      <c r="M1262">
        <f>COUNTIF(L$1:L1262,L1262)</f>
        <v>2</v>
      </c>
      <c r="N1262" t="str">
        <f t="shared" si="58"/>
        <v>lucas15WR-2</v>
      </c>
      <c r="O1262">
        <f>COUNTIFS(F$1:F1262,F1262,A$1:A1262,A1262)</f>
        <v>21</v>
      </c>
      <c r="P1262" t="str">
        <f t="shared" si="59"/>
        <v>Cooper Kupp15</v>
      </c>
    </row>
    <row r="1263" spans="1:16" x14ac:dyDescent="0.25">
      <c r="A1263">
        <v>5</v>
      </c>
      <c r="B1263" t="s">
        <v>105</v>
      </c>
      <c r="C1263" t="s">
        <v>6610</v>
      </c>
      <c r="D1263">
        <v>9.06</v>
      </c>
      <c r="E1263" t="s">
        <v>56</v>
      </c>
      <c r="F1263" t="s">
        <v>87</v>
      </c>
      <c r="G1263">
        <v>16.48</v>
      </c>
      <c r="H1263">
        <v>1.64</v>
      </c>
      <c r="I1263">
        <v>7.42</v>
      </c>
      <c r="J1263">
        <v>55.056399999999996</v>
      </c>
      <c r="K1263" t="str">
        <f>IFERROR(INDEX(Rosters!$C$2:$C$155,MATCH($B1263,Rosters!$B$2:$B$155,0)),"NA")</f>
        <v>chad</v>
      </c>
      <c r="L1263" t="str">
        <f t="shared" si="57"/>
        <v>chad5WR</v>
      </c>
      <c r="M1263">
        <f>COUNTIF(L$1:L1263,L1263)</f>
        <v>4</v>
      </c>
      <c r="N1263" t="str">
        <f t="shared" si="58"/>
        <v>chad5WR-4</v>
      </c>
      <c r="O1263">
        <f>COUNTIFS(F$1:F1263,F1263,A$1:A1263,A1263)</f>
        <v>21</v>
      </c>
      <c r="P1263" t="str">
        <f t="shared" si="59"/>
        <v>Doug Baldwin5</v>
      </c>
    </row>
    <row r="1264" spans="1:16" x14ac:dyDescent="0.25">
      <c r="A1264">
        <v>8</v>
      </c>
      <c r="B1264" t="s">
        <v>105</v>
      </c>
      <c r="C1264" t="s">
        <v>6611</v>
      </c>
      <c r="D1264">
        <v>9.0500000000000007</v>
      </c>
      <c r="E1264" t="s">
        <v>34</v>
      </c>
      <c r="F1264" t="s">
        <v>87</v>
      </c>
      <c r="G1264">
        <v>15.78</v>
      </c>
      <c r="H1264">
        <v>2.3199999999999998</v>
      </c>
      <c r="I1264">
        <v>6.73</v>
      </c>
      <c r="J1264">
        <v>45.292900000000003</v>
      </c>
      <c r="K1264" t="str">
        <f>IFERROR(INDEX(Rosters!$C$2:$C$155,MATCH($B1264,Rosters!$B$2:$B$155,0)),"NA")</f>
        <v>chad</v>
      </c>
      <c r="L1264" t="str">
        <f t="shared" si="57"/>
        <v>chad8WR</v>
      </c>
      <c r="M1264">
        <f>COUNTIF(L$1:L1264,L1264)</f>
        <v>1</v>
      </c>
      <c r="N1264" t="str">
        <f t="shared" si="58"/>
        <v>chad8WR-1</v>
      </c>
      <c r="O1264">
        <f>COUNTIFS(F$1:F1264,F1264,A$1:A1264,A1264)</f>
        <v>26</v>
      </c>
      <c r="P1264" t="str">
        <f t="shared" si="59"/>
        <v>Doug Baldwin8</v>
      </c>
    </row>
    <row r="1265" spans="1:16" x14ac:dyDescent="0.25">
      <c r="A1265">
        <v>8</v>
      </c>
      <c r="B1265" t="s">
        <v>220</v>
      </c>
      <c r="C1265" t="s">
        <v>6612</v>
      </c>
      <c r="D1265">
        <v>9.0500000000000007</v>
      </c>
      <c r="E1265" t="s">
        <v>36</v>
      </c>
      <c r="F1265" t="s">
        <v>87</v>
      </c>
      <c r="G1265">
        <v>16.62</v>
      </c>
      <c r="H1265">
        <v>1.48</v>
      </c>
      <c r="I1265">
        <v>7.57</v>
      </c>
      <c r="J1265">
        <v>57.304900000000004</v>
      </c>
      <c r="K1265" t="str">
        <f>IFERROR(INDEX(Rosters!$C$2:$C$155,MATCH($B1265,Rosters!$B$2:$B$155,0)),"NA")</f>
        <v>comp</v>
      </c>
      <c r="L1265" t="str">
        <f t="shared" si="57"/>
        <v>comp8WR</v>
      </c>
      <c r="M1265">
        <f>COUNTIF(L$1:L1265,L1265)</f>
        <v>4</v>
      </c>
      <c r="N1265" t="str">
        <f t="shared" si="58"/>
        <v>comp8WR-4</v>
      </c>
      <c r="O1265">
        <f>COUNTIFS(F$1:F1265,F1265,A$1:A1265,A1265)</f>
        <v>27</v>
      </c>
      <c r="P1265" t="str">
        <f t="shared" si="59"/>
        <v>Kenny Stills8</v>
      </c>
    </row>
    <row r="1266" spans="1:16" x14ac:dyDescent="0.25">
      <c r="A1266">
        <v>12</v>
      </c>
      <c r="B1266" t="s">
        <v>251</v>
      </c>
      <c r="C1266" t="s">
        <v>6613</v>
      </c>
      <c r="D1266">
        <v>9.0399999999999991</v>
      </c>
      <c r="E1266" t="s">
        <v>28</v>
      </c>
      <c r="F1266" t="s">
        <v>87</v>
      </c>
      <c r="G1266">
        <v>15.42</v>
      </c>
      <c r="H1266">
        <v>2.66</v>
      </c>
      <c r="I1266">
        <v>6.38</v>
      </c>
      <c r="J1266">
        <v>40.7044</v>
      </c>
      <c r="K1266" t="str">
        <f>IFERROR(INDEX(Rosters!$C$2:$C$155,MATCH($B1266,Rosters!$B$2:$B$155,0)),"NA")</f>
        <v>chad</v>
      </c>
      <c r="L1266" t="str">
        <f t="shared" si="57"/>
        <v>chad12WR</v>
      </c>
      <c r="M1266">
        <f>COUNTIF(L$1:L1266,L1266)</f>
        <v>3</v>
      </c>
      <c r="N1266" t="str">
        <f t="shared" si="58"/>
        <v>chad12WR-3</v>
      </c>
      <c r="O1266">
        <f>COUNTIFS(F$1:F1266,F1266,A$1:A1266,A1266)</f>
        <v>25</v>
      </c>
      <c r="P1266" t="str">
        <f t="shared" si="59"/>
        <v>Devin Funchess12</v>
      </c>
    </row>
    <row r="1267" spans="1:16" x14ac:dyDescent="0.25">
      <c r="A1267">
        <v>15</v>
      </c>
      <c r="B1267" t="s">
        <v>140</v>
      </c>
      <c r="C1267" t="s">
        <v>6614</v>
      </c>
      <c r="D1267">
        <v>9.0299999999999994</v>
      </c>
      <c r="E1267" t="s">
        <v>46</v>
      </c>
      <c r="F1267" t="s">
        <v>87</v>
      </c>
      <c r="G1267">
        <v>15.01</v>
      </c>
      <c r="H1267">
        <v>3.05</v>
      </c>
      <c r="I1267">
        <v>5.98</v>
      </c>
      <c r="J1267">
        <v>35.760399999999997</v>
      </c>
      <c r="K1267" t="str">
        <f>IFERROR(INDEX(Rosters!$C$2:$C$155,MATCH($B1267,Rosters!$B$2:$B$155,0)),"NA")</f>
        <v>seth</v>
      </c>
      <c r="L1267" t="str">
        <f t="shared" si="57"/>
        <v>seth15WR</v>
      </c>
      <c r="M1267">
        <f>COUNTIF(L$1:L1267,L1267)</f>
        <v>3</v>
      </c>
      <c r="N1267" t="str">
        <f t="shared" si="58"/>
        <v>seth15WR-3</v>
      </c>
      <c r="O1267">
        <f>COUNTIFS(F$1:F1267,F1267,A$1:A1267,A1267)</f>
        <v>22</v>
      </c>
      <c r="P1267" t="str">
        <f t="shared" si="59"/>
        <v>Larry Fitzgerald15</v>
      </c>
    </row>
    <row r="1268" spans="1:16" x14ac:dyDescent="0.25">
      <c r="A1268">
        <v>5</v>
      </c>
      <c r="B1268" t="s">
        <v>103</v>
      </c>
      <c r="C1268" t="s">
        <v>4467</v>
      </c>
      <c r="D1268">
        <v>9.01</v>
      </c>
      <c r="E1268" t="s">
        <v>37</v>
      </c>
      <c r="F1268" t="s">
        <v>87</v>
      </c>
      <c r="G1268">
        <v>15.09</v>
      </c>
      <c r="H1268">
        <v>2.93</v>
      </c>
      <c r="I1268">
        <v>6.08</v>
      </c>
      <c r="J1268">
        <v>36.9664</v>
      </c>
      <c r="K1268" t="str">
        <f>IFERROR(INDEX(Rosters!$C$2:$C$155,MATCH($B1268,Rosters!$B$2:$B$155,0)),"NA")</f>
        <v>comp</v>
      </c>
      <c r="L1268" t="str">
        <f t="shared" si="57"/>
        <v>comp5WR</v>
      </c>
      <c r="M1268">
        <f>COUNTIF(L$1:L1268,L1268)</f>
        <v>2</v>
      </c>
      <c r="N1268" t="str">
        <f t="shared" si="58"/>
        <v>comp5WR-2</v>
      </c>
      <c r="O1268">
        <f>COUNTIFS(F$1:F1268,F1268,A$1:A1268,A1268)</f>
        <v>22</v>
      </c>
      <c r="P1268" t="str">
        <f t="shared" si="59"/>
        <v>Amari Cooper5</v>
      </c>
    </row>
    <row r="1269" spans="1:16" x14ac:dyDescent="0.25">
      <c r="A1269">
        <v>10</v>
      </c>
      <c r="B1269" t="s">
        <v>1419</v>
      </c>
      <c r="C1269" t="s">
        <v>6615</v>
      </c>
      <c r="D1269">
        <v>9</v>
      </c>
      <c r="E1269" t="s">
        <v>46</v>
      </c>
      <c r="F1269" t="s">
        <v>87</v>
      </c>
      <c r="G1269">
        <v>15.56</v>
      </c>
      <c r="H1269">
        <v>2.44</v>
      </c>
      <c r="I1269">
        <v>6.56</v>
      </c>
      <c r="J1269">
        <v>43.0336</v>
      </c>
      <c r="K1269" t="str">
        <f>IFERROR(INDEX(Rosters!$C$2:$C$155,MATCH($B1269,Rosters!$B$2:$B$155,0)),"NA")</f>
        <v>chad</v>
      </c>
      <c r="L1269" t="str">
        <f t="shared" si="57"/>
        <v>chad10WR</v>
      </c>
      <c r="M1269">
        <f>COUNTIF(L$1:L1269,L1269)</f>
        <v>3</v>
      </c>
      <c r="N1269" t="str">
        <f t="shared" si="58"/>
        <v>chad10WR-3</v>
      </c>
      <c r="O1269">
        <f>COUNTIFS(F$1:F1269,F1269,A$1:A1269,A1269)</f>
        <v>22</v>
      </c>
      <c r="P1269" t="str">
        <f t="shared" si="59"/>
        <v>Antonio Callaway10</v>
      </c>
    </row>
    <row r="1270" spans="1:16" x14ac:dyDescent="0.25">
      <c r="A1270">
        <v>14</v>
      </c>
      <c r="B1270" t="s">
        <v>251</v>
      </c>
      <c r="C1270" t="s">
        <v>6616</v>
      </c>
      <c r="D1270">
        <v>9</v>
      </c>
      <c r="E1270" t="s">
        <v>52</v>
      </c>
      <c r="F1270" t="s">
        <v>87</v>
      </c>
      <c r="G1270">
        <v>15.08</v>
      </c>
      <c r="H1270">
        <v>2.92</v>
      </c>
      <c r="I1270">
        <v>6.08</v>
      </c>
      <c r="J1270">
        <v>36.9664</v>
      </c>
      <c r="K1270" t="str">
        <f>IFERROR(INDEX(Rosters!$C$2:$C$155,MATCH($B1270,Rosters!$B$2:$B$155,0)),"NA")</f>
        <v>chad</v>
      </c>
      <c r="L1270" t="str">
        <f t="shared" si="57"/>
        <v>chad14WR</v>
      </c>
      <c r="M1270">
        <f>COUNTIF(L$1:L1270,L1270)</f>
        <v>2</v>
      </c>
      <c r="N1270" t="str">
        <f t="shared" si="58"/>
        <v>chad14WR-2</v>
      </c>
      <c r="O1270">
        <f>COUNTIFS(F$1:F1270,F1270,A$1:A1270,A1270)</f>
        <v>25</v>
      </c>
      <c r="P1270" t="str">
        <f t="shared" si="59"/>
        <v>Devin Funchess14</v>
      </c>
    </row>
    <row r="1271" spans="1:16" x14ac:dyDescent="0.25">
      <c r="A1271">
        <v>6</v>
      </c>
      <c r="B1271" t="s">
        <v>136</v>
      </c>
      <c r="C1271" t="s">
        <v>6617</v>
      </c>
      <c r="D1271">
        <v>8.99</v>
      </c>
      <c r="E1271" t="s">
        <v>56</v>
      </c>
      <c r="F1271" t="s">
        <v>87</v>
      </c>
      <c r="G1271">
        <v>14.19</v>
      </c>
      <c r="H1271">
        <v>3.79</v>
      </c>
      <c r="I1271">
        <v>5.2</v>
      </c>
      <c r="J1271">
        <v>27.04</v>
      </c>
      <c r="K1271" t="str">
        <f>IFERROR(INDEX(Rosters!$C$2:$C$155,MATCH($B1271,Rosters!$B$2:$B$155,0)),"NA")</f>
        <v>devon</v>
      </c>
      <c r="L1271" t="str">
        <f t="shared" si="57"/>
        <v>devon6WR</v>
      </c>
      <c r="M1271">
        <f>COUNTIF(L$1:L1271,L1271)</f>
        <v>2</v>
      </c>
      <c r="N1271" t="str">
        <f t="shared" si="58"/>
        <v>devon6WR-2</v>
      </c>
      <c r="O1271">
        <f>COUNTIFS(F$1:F1271,F1271,A$1:A1271,A1271)</f>
        <v>21</v>
      </c>
      <c r="P1271" t="str">
        <f t="shared" si="59"/>
        <v>Demaryius Thomas6</v>
      </c>
    </row>
    <row r="1272" spans="1:16" x14ac:dyDescent="0.25">
      <c r="A1272">
        <v>3</v>
      </c>
      <c r="B1272" t="s">
        <v>201</v>
      </c>
      <c r="C1272" t="s">
        <v>3670</v>
      </c>
      <c r="D1272">
        <v>8.99</v>
      </c>
      <c r="E1272" t="s">
        <v>76</v>
      </c>
      <c r="F1272" t="s">
        <v>47</v>
      </c>
      <c r="G1272">
        <v>16.82</v>
      </c>
      <c r="H1272">
        <v>1.1599999999999999</v>
      </c>
      <c r="I1272">
        <v>7.83</v>
      </c>
      <c r="J1272">
        <v>61.308900000000001</v>
      </c>
      <c r="K1272" t="str">
        <f>IFERROR(INDEX(Rosters!$C$2:$C$155,MATCH($B1272,Rosters!$B$2:$B$155,0)),"NA")</f>
        <v>seth</v>
      </c>
      <c r="L1272" t="str">
        <f t="shared" si="57"/>
        <v>seth3RB</v>
      </c>
      <c r="M1272">
        <f>COUNTIF(L$1:L1272,L1272)</f>
        <v>4</v>
      </c>
      <c r="N1272" t="str">
        <f t="shared" si="58"/>
        <v>seth3RB-4</v>
      </c>
      <c r="O1272">
        <f>COUNTIFS(F$1:F1272,F1272,A$1:A1272,A1272)</f>
        <v>23</v>
      </c>
      <c r="P1272" t="str">
        <f t="shared" si="59"/>
        <v>Derrick Henry3</v>
      </c>
    </row>
    <row r="1273" spans="1:16" x14ac:dyDescent="0.25">
      <c r="A1273">
        <v>3</v>
      </c>
      <c r="B1273" t="s">
        <v>202</v>
      </c>
      <c r="C1273" t="s">
        <v>3671</v>
      </c>
      <c r="D1273">
        <v>8.98</v>
      </c>
      <c r="E1273" t="s">
        <v>41</v>
      </c>
      <c r="F1273" t="s">
        <v>47</v>
      </c>
      <c r="G1273">
        <v>13.86</v>
      </c>
      <c r="H1273">
        <v>4.0999999999999996</v>
      </c>
      <c r="I1273">
        <v>4.88</v>
      </c>
      <c r="J1273">
        <v>23.814399999999999</v>
      </c>
      <c r="K1273" t="str">
        <f>IFERROR(INDEX(Rosters!$C$2:$C$155,MATCH($B1273,Rosters!$B$2:$B$155,0)),"NA")</f>
        <v>lucas</v>
      </c>
      <c r="L1273" t="str">
        <f t="shared" si="57"/>
        <v>lucas3RB</v>
      </c>
      <c r="M1273">
        <f>COUNTIF(L$1:L1273,L1273)</f>
        <v>4</v>
      </c>
      <c r="N1273" t="str">
        <f t="shared" si="58"/>
        <v>lucas3RB-4</v>
      </c>
      <c r="O1273">
        <f>COUNTIFS(F$1:F1273,F1273,A$1:A1273,A1273)</f>
        <v>24</v>
      </c>
      <c r="P1273" t="str">
        <f t="shared" si="59"/>
        <v>Chris Thompson3</v>
      </c>
    </row>
    <row r="1274" spans="1:16" x14ac:dyDescent="0.25">
      <c r="A1274">
        <v>14</v>
      </c>
      <c r="B1274" t="s">
        <v>220</v>
      </c>
      <c r="C1274" t="s">
        <v>6618</v>
      </c>
      <c r="D1274">
        <v>8.98</v>
      </c>
      <c r="E1274" t="s">
        <v>423</v>
      </c>
      <c r="F1274" t="s">
        <v>87</v>
      </c>
      <c r="G1274">
        <v>15.21</v>
      </c>
      <c r="H1274">
        <v>2.75</v>
      </c>
      <c r="I1274">
        <v>6.23</v>
      </c>
      <c r="J1274">
        <v>38.812899999999999</v>
      </c>
      <c r="K1274" t="str">
        <f>IFERROR(INDEX(Rosters!$C$2:$C$155,MATCH($B1274,Rosters!$B$2:$B$155,0)),"NA")</f>
        <v>comp</v>
      </c>
      <c r="L1274" t="str">
        <f t="shared" si="57"/>
        <v>comp14WR</v>
      </c>
      <c r="M1274">
        <f>COUNTIF(L$1:L1274,L1274)</f>
        <v>4</v>
      </c>
      <c r="N1274" t="str">
        <f t="shared" si="58"/>
        <v>comp14WR-4</v>
      </c>
      <c r="O1274">
        <f>COUNTIFS(F$1:F1274,F1274,A$1:A1274,A1274)</f>
        <v>26</v>
      </c>
      <c r="P1274" t="str">
        <f t="shared" si="59"/>
        <v>Kenny Stills14</v>
      </c>
    </row>
    <row r="1275" spans="1:16" x14ac:dyDescent="0.25">
      <c r="A1275">
        <v>2</v>
      </c>
      <c r="B1275" t="s">
        <v>113</v>
      </c>
      <c r="C1275" t="s">
        <v>1335</v>
      </c>
      <c r="D1275">
        <v>8.9700000000000006</v>
      </c>
      <c r="E1275" t="s">
        <v>76</v>
      </c>
      <c r="F1275" t="s">
        <v>114</v>
      </c>
      <c r="G1275">
        <v>14.94</v>
      </c>
      <c r="H1275">
        <v>3</v>
      </c>
      <c r="I1275">
        <v>5.97</v>
      </c>
      <c r="J1275">
        <v>35.640900000000002</v>
      </c>
      <c r="K1275" t="str">
        <f>IFERROR(INDEX(Rosters!$C$2:$C$155,MATCH($B1275,Rosters!$B$2:$B$155,0)),"NA")</f>
        <v>lucas</v>
      </c>
      <c r="L1275" t="str">
        <f t="shared" si="57"/>
        <v>lucas2TE</v>
      </c>
      <c r="M1275">
        <f>COUNTIF(L$1:L1275,L1275)</f>
        <v>1</v>
      </c>
      <c r="N1275" t="str">
        <f t="shared" si="58"/>
        <v>lucas2TE-1</v>
      </c>
      <c r="O1275">
        <f>COUNTIFS(F$1:F1275,F1275,A$1:A1275,A1275)</f>
        <v>1</v>
      </c>
      <c r="P1275" t="str">
        <f t="shared" si="59"/>
        <v>Rob Gronkowski2</v>
      </c>
    </row>
    <row r="1276" spans="1:16" x14ac:dyDescent="0.25">
      <c r="A1276">
        <v>10</v>
      </c>
      <c r="B1276" t="s">
        <v>207</v>
      </c>
      <c r="C1276" t="s">
        <v>6619</v>
      </c>
      <c r="D1276">
        <v>8.9600000000000009</v>
      </c>
      <c r="E1276" t="s">
        <v>423</v>
      </c>
      <c r="F1276" t="s">
        <v>47</v>
      </c>
      <c r="G1276">
        <v>15.54</v>
      </c>
      <c r="H1276">
        <v>2.38</v>
      </c>
      <c r="I1276">
        <v>6.58</v>
      </c>
      <c r="J1276">
        <v>43.296399999999998</v>
      </c>
      <c r="K1276" t="str">
        <f>IFERROR(INDEX(Rosters!$C$2:$C$155,MATCH($B1276,Rosters!$B$2:$B$155,0)),"NA")</f>
        <v>chad</v>
      </c>
      <c r="L1276" t="str">
        <f t="shared" si="57"/>
        <v>chad10RB</v>
      </c>
      <c r="M1276">
        <f>COUNTIF(L$1:L1276,L1276)</f>
        <v>3</v>
      </c>
      <c r="N1276" t="str">
        <f t="shared" si="58"/>
        <v>chad10RB-3</v>
      </c>
      <c r="O1276">
        <f>COUNTIFS(F$1:F1276,F1276,A$1:A1276,A1276)</f>
        <v>21</v>
      </c>
      <c r="P1276" t="str">
        <f t="shared" si="59"/>
        <v>Dion Lewis10</v>
      </c>
    </row>
    <row r="1277" spans="1:16" x14ac:dyDescent="0.25">
      <c r="A1277">
        <v>9</v>
      </c>
      <c r="B1277" t="s">
        <v>105</v>
      </c>
      <c r="C1277" t="s">
        <v>6620</v>
      </c>
      <c r="D1277">
        <v>8.9600000000000009</v>
      </c>
      <c r="E1277" t="s">
        <v>37</v>
      </c>
      <c r="F1277" t="s">
        <v>87</v>
      </c>
      <c r="G1277">
        <v>15.4</v>
      </c>
      <c r="H1277">
        <v>2.52</v>
      </c>
      <c r="I1277">
        <v>6.44</v>
      </c>
      <c r="J1277">
        <v>41.473599999999998</v>
      </c>
      <c r="K1277" t="str">
        <f>IFERROR(INDEX(Rosters!$C$2:$C$155,MATCH($B1277,Rosters!$B$2:$B$155,0)),"NA")</f>
        <v>chad</v>
      </c>
      <c r="L1277" t="str">
        <f t="shared" si="57"/>
        <v>chad9WR</v>
      </c>
      <c r="M1277">
        <f>COUNTIF(L$1:L1277,L1277)</f>
        <v>4</v>
      </c>
      <c r="N1277" t="str">
        <f t="shared" si="58"/>
        <v>chad9WR-4</v>
      </c>
      <c r="O1277">
        <f>COUNTIFS(F$1:F1277,F1277,A$1:A1277,A1277)</f>
        <v>22</v>
      </c>
      <c r="P1277" t="str">
        <f t="shared" si="59"/>
        <v>Doug Baldwin9</v>
      </c>
    </row>
    <row r="1278" spans="1:16" x14ac:dyDescent="0.25">
      <c r="A1278">
        <v>13</v>
      </c>
      <c r="B1278" t="s">
        <v>298</v>
      </c>
      <c r="C1278" t="s">
        <v>6621</v>
      </c>
      <c r="D1278">
        <v>8.9600000000000009</v>
      </c>
      <c r="E1278" t="s">
        <v>37</v>
      </c>
      <c r="F1278" t="s">
        <v>47</v>
      </c>
      <c r="G1278">
        <v>14.02</v>
      </c>
      <c r="H1278">
        <v>3.9</v>
      </c>
      <c r="I1278">
        <v>5.0599999999999996</v>
      </c>
      <c r="J1278">
        <v>25.6036</v>
      </c>
      <c r="K1278" t="str">
        <f>IFERROR(INDEX(Rosters!$C$2:$C$155,MATCH($B1278,Rosters!$B$2:$B$155,0)),"NA")</f>
        <v>aj</v>
      </c>
      <c r="L1278" t="str">
        <f t="shared" si="57"/>
        <v>aj13RB</v>
      </c>
      <c r="M1278">
        <f>COUNTIF(L$1:L1278,L1278)</f>
        <v>3</v>
      </c>
      <c r="N1278" t="str">
        <f t="shared" si="58"/>
        <v>aj13RB-3</v>
      </c>
      <c r="O1278">
        <f>COUNTIFS(F$1:F1278,F1278,A$1:A1278,A1278)</f>
        <v>20</v>
      </c>
      <c r="P1278" t="str">
        <f t="shared" si="59"/>
        <v>James Conner13</v>
      </c>
    </row>
    <row r="1279" spans="1:16" x14ac:dyDescent="0.25">
      <c r="A1279">
        <v>14</v>
      </c>
      <c r="B1279" t="s">
        <v>1330</v>
      </c>
      <c r="C1279" t="s">
        <v>6622</v>
      </c>
      <c r="D1279">
        <v>8.9600000000000009</v>
      </c>
      <c r="E1279" t="s">
        <v>19</v>
      </c>
      <c r="F1279" t="s">
        <v>87</v>
      </c>
      <c r="G1279">
        <v>14.78</v>
      </c>
      <c r="H1279">
        <v>3.14</v>
      </c>
      <c r="I1279">
        <v>5.82</v>
      </c>
      <c r="J1279">
        <v>33.872399999999999</v>
      </c>
      <c r="K1279" t="str">
        <f>IFERROR(INDEX(Rosters!$C$2:$C$155,MATCH($B1279,Rosters!$B$2:$B$155,0)),"NA")</f>
        <v>chad</v>
      </c>
      <c r="L1279" t="str">
        <f t="shared" si="57"/>
        <v>chad14WR</v>
      </c>
      <c r="M1279">
        <f>COUNTIF(L$1:L1279,L1279)</f>
        <v>3</v>
      </c>
      <c r="N1279" t="str">
        <f t="shared" si="58"/>
        <v>chad14WR-3</v>
      </c>
      <c r="O1279">
        <f>COUNTIFS(F$1:F1279,F1279,A$1:A1279,A1279)</f>
        <v>27</v>
      </c>
      <c r="P1279" t="str">
        <f t="shared" si="59"/>
        <v>Julian Edelman14</v>
      </c>
    </row>
    <row r="1280" spans="1:16" x14ac:dyDescent="0.25">
      <c r="A1280">
        <v>17</v>
      </c>
      <c r="B1280" t="s">
        <v>145</v>
      </c>
      <c r="C1280" t="s">
        <v>6623</v>
      </c>
      <c r="D1280">
        <v>8.9600000000000009</v>
      </c>
      <c r="E1280" t="s">
        <v>17</v>
      </c>
      <c r="F1280" t="s">
        <v>47</v>
      </c>
      <c r="G1280">
        <v>16.07</v>
      </c>
      <c r="H1280">
        <v>1.85</v>
      </c>
      <c r="I1280">
        <v>7.11</v>
      </c>
      <c r="J1280">
        <v>50.552100000000003</v>
      </c>
      <c r="K1280" t="str">
        <f>IFERROR(INDEX(Rosters!$C$2:$C$155,MATCH($B1280,Rosters!$B$2:$B$155,0)),"NA")</f>
        <v>lucas</v>
      </c>
      <c r="L1280" t="str">
        <f t="shared" si="57"/>
        <v>lucas17RB</v>
      </c>
      <c r="M1280">
        <f>COUNTIF(L$1:L1280,L1280)</f>
        <v>2</v>
      </c>
      <c r="N1280" t="str">
        <f t="shared" si="58"/>
        <v>lucas17RB-2</v>
      </c>
      <c r="O1280">
        <f>COUNTIFS(F$1:F1280,F1280,A$1:A1280,A1280)</f>
        <v>26</v>
      </c>
      <c r="P1280" t="str">
        <f t="shared" si="59"/>
        <v>Tevin Coleman17</v>
      </c>
    </row>
    <row r="1281" spans="1:16" x14ac:dyDescent="0.25">
      <c r="A1281">
        <v>9</v>
      </c>
      <c r="B1281" t="s">
        <v>1419</v>
      </c>
      <c r="C1281" t="s">
        <v>6624</v>
      </c>
      <c r="D1281">
        <v>8.9499999999999993</v>
      </c>
      <c r="E1281" t="s">
        <v>24</v>
      </c>
      <c r="F1281" t="s">
        <v>87</v>
      </c>
      <c r="G1281">
        <v>15.15</v>
      </c>
      <c r="H1281">
        <v>2.75</v>
      </c>
      <c r="I1281">
        <v>6.2</v>
      </c>
      <c r="J1281">
        <v>38.44</v>
      </c>
      <c r="K1281" t="str">
        <f>IFERROR(INDEX(Rosters!$C$2:$C$155,MATCH($B1281,Rosters!$B$2:$B$155,0)),"NA")</f>
        <v>chad</v>
      </c>
      <c r="L1281" t="str">
        <f t="shared" si="57"/>
        <v>chad9WR</v>
      </c>
      <c r="M1281">
        <f>COUNTIF(L$1:L1281,L1281)</f>
        <v>5</v>
      </c>
      <c r="N1281" t="str">
        <f t="shared" si="58"/>
        <v>chad9WR-5</v>
      </c>
      <c r="O1281">
        <f>COUNTIFS(F$1:F1281,F1281,A$1:A1281,A1281)</f>
        <v>23</v>
      </c>
      <c r="P1281" t="str">
        <f t="shared" si="59"/>
        <v>Antonio Callaway9</v>
      </c>
    </row>
    <row r="1282" spans="1:16" x14ac:dyDescent="0.25">
      <c r="A1282">
        <v>5</v>
      </c>
      <c r="B1282" t="s">
        <v>90</v>
      </c>
      <c r="C1282" t="s">
        <v>6625</v>
      </c>
      <c r="D1282">
        <v>8.9499999999999993</v>
      </c>
      <c r="E1282" t="s">
        <v>51</v>
      </c>
      <c r="F1282" t="s">
        <v>47</v>
      </c>
      <c r="G1282">
        <v>17.71</v>
      </c>
      <c r="H1282">
        <v>0.19</v>
      </c>
      <c r="I1282">
        <v>8.76</v>
      </c>
      <c r="J1282">
        <v>76.7376</v>
      </c>
      <c r="K1282" t="str">
        <f>IFERROR(INDEX(Rosters!$C$2:$C$155,MATCH($B1282,Rosters!$B$2:$B$155,0)),"NA")</f>
        <v>devon</v>
      </c>
      <c r="L1282" t="str">
        <f t="shared" si="57"/>
        <v>devon5RB</v>
      </c>
      <c r="M1282">
        <f>COUNTIF(L$1:L1282,L1282)</f>
        <v>3</v>
      </c>
      <c r="N1282" t="str">
        <f t="shared" si="58"/>
        <v>devon5RB-3</v>
      </c>
      <c r="O1282">
        <f>COUNTIFS(F$1:F1282,F1282,A$1:A1282,A1282)</f>
        <v>22</v>
      </c>
      <c r="P1282" t="str">
        <f t="shared" si="59"/>
        <v>Devonta Freeman5</v>
      </c>
    </row>
    <row r="1283" spans="1:16" x14ac:dyDescent="0.25">
      <c r="A1283">
        <v>8</v>
      </c>
      <c r="B1283" t="s">
        <v>193</v>
      </c>
      <c r="C1283" t="s">
        <v>6626</v>
      </c>
      <c r="D1283">
        <v>8.9499999999999993</v>
      </c>
      <c r="E1283" t="s">
        <v>29</v>
      </c>
      <c r="F1283" t="s">
        <v>47</v>
      </c>
      <c r="G1283">
        <v>14.39</v>
      </c>
      <c r="H1283">
        <v>3.51</v>
      </c>
      <c r="I1283">
        <v>5.44</v>
      </c>
      <c r="J1283">
        <v>29.593599999999999</v>
      </c>
      <c r="K1283" t="str">
        <f>IFERROR(INDEX(Rosters!$C$2:$C$155,MATCH($B1283,Rosters!$B$2:$B$155,0)),"NA")</f>
        <v>cory</v>
      </c>
      <c r="L1283" t="str">
        <f t="shared" ref="L1283:L1346" si="60">K1283&amp;A1283&amp;F1283</f>
        <v>cory8RB</v>
      </c>
      <c r="M1283">
        <f>COUNTIF(L$1:L1283,L1283)</f>
        <v>3</v>
      </c>
      <c r="N1283" t="str">
        <f t="shared" ref="N1283:N1346" si="61">L1283&amp;"-"&amp;M1283</f>
        <v>cory8RB-3</v>
      </c>
      <c r="O1283">
        <f>COUNTIFS(F$1:F1283,F1283,A$1:A1283,A1283)</f>
        <v>17</v>
      </c>
      <c r="P1283" t="str">
        <f t="shared" ref="P1283:P1346" si="62">B1283&amp;A1283</f>
        <v>James White8</v>
      </c>
    </row>
    <row r="1284" spans="1:16" x14ac:dyDescent="0.25">
      <c r="A1284">
        <v>6</v>
      </c>
      <c r="B1284" t="s">
        <v>240</v>
      </c>
      <c r="C1284" t="s">
        <v>6627</v>
      </c>
      <c r="D1284">
        <v>8.9499999999999993</v>
      </c>
      <c r="E1284" t="s">
        <v>54</v>
      </c>
      <c r="F1284" t="s">
        <v>87</v>
      </c>
      <c r="G1284">
        <v>15.25</v>
      </c>
      <c r="H1284">
        <v>2.65</v>
      </c>
      <c r="I1284">
        <v>6.3</v>
      </c>
      <c r="J1284">
        <v>39.69</v>
      </c>
      <c r="K1284" t="str">
        <f>IFERROR(INDEX(Rosters!$C$2:$C$155,MATCH($B1284,Rosters!$B$2:$B$155,0)),"NA")</f>
        <v>aj</v>
      </c>
      <c r="L1284" t="str">
        <f t="shared" si="60"/>
        <v>aj6WR</v>
      </c>
      <c r="M1284">
        <f>COUNTIF(L$1:L1284,L1284)</f>
        <v>4</v>
      </c>
      <c r="N1284" t="str">
        <f t="shared" si="61"/>
        <v>aj6WR-4</v>
      </c>
      <c r="O1284">
        <f>COUNTIFS(F$1:F1284,F1284,A$1:A1284,A1284)</f>
        <v>22</v>
      </c>
      <c r="P1284" t="str">
        <f t="shared" si="62"/>
        <v>Nelson Agholor6</v>
      </c>
    </row>
    <row r="1285" spans="1:16" x14ac:dyDescent="0.25">
      <c r="A1285">
        <v>9</v>
      </c>
      <c r="B1285" t="s">
        <v>1372</v>
      </c>
      <c r="C1285" t="s">
        <v>6628</v>
      </c>
      <c r="D1285">
        <v>8.9499999999999993</v>
      </c>
      <c r="E1285" t="s">
        <v>19</v>
      </c>
      <c r="F1285" t="s">
        <v>87</v>
      </c>
      <c r="G1285">
        <v>14.2</v>
      </c>
      <c r="H1285">
        <v>3.7</v>
      </c>
      <c r="I1285">
        <v>5.25</v>
      </c>
      <c r="J1285">
        <v>27.5625</v>
      </c>
      <c r="K1285" t="str">
        <f>IFERROR(INDEX(Rosters!$C$2:$C$155,MATCH($B1285,Rosters!$B$2:$B$155,0)),"NA")</f>
        <v>lucas</v>
      </c>
      <c r="L1285" t="str">
        <f t="shared" si="60"/>
        <v>lucas9WR</v>
      </c>
      <c r="M1285">
        <f>COUNTIF(L$1:L1285,L1285)</f>
        <v>2</v>
      </c>
      <c r="N1285" t="str">
        <f t="shared" si="61"/>
        <v>lucas9WR-2</v>
      </c>
      <c r="O1285">
        <f>COUNTIFS(F$1:F1285,F1285,A$1:A1285,A1285)</f>
        <v>24</v>
      </c>
      <c r="P1285" t="str">
        <f t="shared" si="62"/>
        <v>Quincy Enunwa9</v>
      </c>
    </row>
    <row r="1286" spans="1:16" x14ac:dyDescent="0.25">
      <c r="A1286">
        <v>9</v>
      </c>
      <c r="B1286" t="s">
        <v>202</v>
      </c>
      <c r="C1286" t="s">
        <v>6629</v>
      </c>
      <c r="D1286">
        <v>8.93</v>
      </c>
      <c r="E1286" t="s">
        <v>46</v>
      </c>
      <c r="F1286" t="s">
        <v>47</v>
      </c>
      <c r="G1286">
        <v>14.75</v>
      </c>
      <c r="H1286">
        <v>3.11</v>
      </c>
      <c r="I1286">
        <v>5.82</v>
      </c>
      <c r="J1286">
        <v>33.872399999999999</v>
      </c>
      <c r="K1286" t="str">
        <f>IFERROR(INDEX(Rosters!$C$2:$C$155,MATCH($B1286,Rosters!$B$2:$B$155,0)),"NA")</f>
        <v>lucas</v>
      </c>
      <c r="L1286" t="str">
        <f t="shared" si="60"/>
        <v>lucas9RB</v>
      </c>
      <c r="M1286">
        <f>COUNTIF(L$1:L1286,L1286)</f>
        <v>1</v>
      </c>
      <c r="N1286" t="str">
        <f t="shared" si="61"/>
        <v>lucas9RB-1</v>
      </c>
      <c r="O1286">
        <f>COUNTIFS(F$1:F1286,F1286,A$1:A1286,A1286)</f>
        <v>19</v>
      </c>
      <c r="P1286" t="str">
        <f t="shared" si="62"/>
        <v>Chris Thompson9</v>
      </c>
    </row>
    <row r="1287" spans="1:16" x14ac:dyDescent="0.25">
      <c r="A1287">
        <v>15</v>
      </c>
      <c r="B1287" t="s">
        <v>105</v>
      </c>
      <c r="C1287" t="s">
        <v>6630</v>
      </c>
      <c r="D1287">
        <v>8.93</v>
      </c>
      <c r="E1287" t="s">
        <v>30</v>
      </c>
      <c r="F1287" t="s">
        <v>87</v>
      </c>
      <c r="G1287">
        <v>15.5</v>
      </c>
      <c r="H1287">
        <v>2.36</v>
      </c>
      <c r="I1287">
        <v>6.57</v>
      </c>
      <c r="J1287">
        <v>43.164900000000003</v>
      </c>
      <c r="K1287" t="str">
        <f>IFERROR(INDEX(Rosters!$C$2:$C$155,MATCH($B1287,Rosters!$B$2:$B$155,0)),"NA")</f>
        <v>chad</v>
      </c>
      <c r="L1287" t="str">
        <f t="shared" si="60"/>
        <v>chad15WR</v>
      </c>
      <c r="M1287">
        <f>COUNTIF(L$1:L1287,L1287)</f>
        <v>2</v>
      </c>
      <c r="N1287" t="str">
        <f t="shared" si="61"/>
        <v>chad15WR-2</v>
      </c>
      <c r="O1287">
        <f>COUNTIFS(F$1:F1287,F1287,A$1:A1287,A1287)</f>
        <v>23</v>
      </c>
      <c r="P1287" t="str">
        <f t="shared" si="62"/>
        <v>Doug Baldwin15</v>
      </c>
    </row>
    <row r="1288" spans="1:16" x14ac:dyDescent="0.25">
      <c r="A1288">
        <v>15</v>
      </c>
      <c r="B1288" t="s">
        <v>1647</v>
      </c>
      <c r="C1288" t="s">
        <v>6631</v>
      </c>
      <c r="D1288">
        <v>8.93</v>
      </c>
      <c r="E1288" t="s">
        <v>74</v>
      </c>
      <c r="F1288" t="s">
        <v>47</v>
      </c>
      <c r="G1288">
        <v>14.89</v>
      </c>
      <c r="H1288">
        <v>2.97</v>
      </c>
      <c r="I1288">
        <v>5.96</v>
      </c>
      <c r="J1288">
        <v>35.521599999999999</v>
      </c>
      <c r="K1288" t="str">
        <f>IFERROR(INDEX(Rosters!$C$2:$C$155,MATCH($B1288,Rosters!$B$2:$B$155,0)),"NA")</f>
        <v>cory</v>
      </c>
      <c r="L1288" t="str">
        <f t="shared" si="60"/>
        <v>cory15RB</v>
      </c>
      <c r="M1288">
        <f>COUNTIF(L$1:L1288,L1288)</f>
        <v>3</v>
      </c>
      <c r="N1288" t="str">
        <f t="shared" si="61"/>
        <v>cory15RB-3</v>
      </c>
      <c r="O1288">
        <f>COUNTIFS(F$1:F1288,F1288,A$1:A1288,A1288)</f>
        <v>22</v>
      </c>
      <c r="P1288" t="str">
        <f t="shared" si="62"/>
        <v>Mark Ingram II15</v>
      </c>
    </row>
    <row r="1289" spans="1:16" x14ac:dyDescent="0.25">
      <c r="A1289">
        <v>16</v>
      </c>
      <c r="B1289" t="s">
        <v>240</v>
      </c>
      <c r="C1289" t="s">
        <v>6631</v>
      </c>
      <c r="D1289">
        <v>8.93</v>
      </c>
      <c r="E1289" t="s">
        <v>36</v>
      </c>
      <c r="F1289" t="s">
        <v>87</v>
      </c>
      <c r="G1289">
        <v>14.89</v>
      </c>
      <c r="H1289">
        <v>2.97</v>
      </c>
      <c r="I1289">
        <v>5.96</v>
      </c>
      <c r="J1289">
        <v>35.521599999999999</v>
      </c>
      <c r="K1289" t="str">
        <f>IFERROR(INDEX(Rosters!$C$2:$C$155,MATCH($B1289,Rosters!$B$2:$B$155,0)),"NA")</f>
        <v>aj</v>
      </c>
      <c r="L1289" t="str">
        <f t="shared" si="60"/>
        <v>aj16WR</v>
      </c>
      <c r="M1289">
        <f>COUNTIF(L$1:L1289,L1289)</f>
        <v>4</v>
      </c>
      <c r="N1289" t="str">
        <f t="shared" si="61"/>
        <v>aj16WR-4</v>
      </c>
      <c r="O1289">
        <f>COUNTIFS(F$1:F1289,F1289,A$1:A1289,A1289)</f>
        <v>25</v>
      </c>
      <c r="P1289" t="str">
        <f t="shared" si="62"/>
        <v>Nelson Agholor16</v>
      </c>
    </row>
    <row r="1290" spans="1:16" x14ac:dyDescent="0.25">
      <c r="A1290">
        <v>13</v>
      </c>
      <c r="B1290" t="s">
        <v>3533</v>
      </c>
      <c r="C1290" t="s">
        <v>6632</v>
      </c>
      <c r="D1290">
        <v>8.92</v>
      </c>
      <c r="E1290" t="s">
        <v>31</v>
      </c>
      <c r="F1290" t="s">
        <v>47</v>
      </c>
      <c r="G1290">
        <v>16.79</v>
      </c>
      <c r="H1290">
        <v>1.05</v>
      </c>
      <c r="I1290">
        <v>7.87</v>
      </c>
      <c r="J1290">
        <v>61.936900000000001</v>
      </c>
      <c r="K1290" t="str">
        <f>IFERROR(INDEX(Rosters!$C$2:$C$155,MATCH($B1290,Rosters!$B$2:$B$155,0)),"NA")</f>
        <v>perry</v>
      </c>
      <c r="L1290" t="str">
        <f t="shared" si="60"/>
        <v>perry13RB</v>
      </c>
      <c r="M1290">
        <f>COUNTIF(L$1:L1290,L1290)</f>
        <v>2</v>
      </c>
      <c r="N1290" t="str">
        <f t="shared" si="61"/>
        <v>perry13RB-2</v>
      </c>
      <c r="O1290">
        <f>COUNTIFS(F$1:F1290,F1290,A$1:A1290,A1290)</f>
        <v>21</v>
      </c>
      <c r="P1290" t="str">
        <f t="shared" si="62"/>
        <v>Phillip Lindsay13</v>
      </c>
    </row>
    <row r="1291" spans="1:16" x14ac:dyDescent="0.25">
      <c r="A1291">
        <v>10</v>
      </c>
      <c r="B1291" t="s">
        <v>1372</v>
      </c>
      <c r="C1291" t="s">
        <v>6633</v>
      </c>
      <c r="D1291">
        <v>8.92</v>
      </c>
      <c r="E1291" t="s">
        <v>29</v>
      </c>
      <c r="F1291" t="s">
        <v>87</v>
      </c>
      <c r="G1291">
        <v>14.83</v>
      </c>
      <c r="H1291">
        <v>3.01</v>
      </c>
      <c r="I1291">
        <v>5.91</v>
      </c>
      <c r="J1291">
        <v>34.928100000000001</v>
      </c>
      <c r="K1291" t="str">
        <f>IFERROR(INDEX(Rosters!$C$2:$C$155,MATCH($B1291,Rosters!$B$2:$B$155,0)),"NA")</f>
        <v>lucas</v>
      </c>
      <c r="L1291" t="str">
        <f t="shared" si="60"/>
        <v>lucas10WR</v>
      </c>
      <c r="M1291">
        <f>COUNTIF(L$1:L1291,L1291)</f>
        <v>3</v>
      </c>
      <c r="N1291" t="str">
        <f t="shared" si="61"/>
        <v>lucas10WR-3</v>
      </c>
      <c r="O1291">
        <f>COUNTIFS(F$1:F1291,F1291,A$1:A1291,A1291)</f>
        <v>23</v>
      </c>
      <c r="P1291" t="str">
        <f t="shared" si="62"/>
        <v>Quincy Enunwa10</v>
      </c>
    </row>
    <row r="1292" spans="1:16" x14ac:dyDescent="0.25">
      <c r="A1292">
        <v>14</v>
      </c>
      <c r="B1292" t="s">
        <v>122</v>
      </c>
      <c r="C1292" t="s">
        <v>6634</v>
      </c>
      <c r="D1292">
        <v>8.91</v>
      </c>
      <c r="E1292" t="s">
        <v>58</v>
      </c>
      <c r="F1292" t="s">
        <v>87</v>
      </c>
      <c r="G1292">
        <v>14.16</v>
      </c>
      <c r="H1292">
        <v>3.66</v>
      </c>
      <c r="I1292">
        <v>5.25</v>
      </c>
      <c r="J1292">
        <v>27.5625</v>
      </c>
      <c r="K1292" t="str">
        <f>IFERROR(INDEX(Rosters!$C$2:$C$155,MATCH($B1292,Rosters!$B$2:$B$155,0)),"NA")</f>
        <v>devon</v>
      </c>
      <c r="L1292" t="str">
        <f t="shared" si="60"/>
        <v>devon14WR</v>
      </c>
      <c r="M1292">
        <f>COUNTIF(L$1:L1292,L1292)</f>
        <v>2</v>
      </c>
      <c r="N1292" t="str">
        <f t="shared" si="61"/>
        <v>devon14WR-2</v>
      </c>
      <c r="O1292">
        <f>COUNTIFS(F$1:F1292,F1292,A$1:A1292,A1292)</f>
        <v>28</v>
      </c>
      <c r="P1292" t="str">
        <f t="shared" si="62"/>
        <v>Golden Tate14</v>
      </c>
    </row>
    <row r="1293" spans="1:16" x14ac:dyDescent="0.25">
      <c r="A1293">
        <v>8</v>
      </c>
      <c r="B1293" t="s">
        <v>81</v>
      </c>
      <c r="C1293" t="s">
        <v>6635</v>
      </c>
      <c r="D1293">
        <v>8.91</v>
      </c>
      <c r="E1293" t="s">
        <v>423</v>
      </c>
      <c r="F1293" t="s">
        <v>47</v>
      </c>
      <c r="G1293">
        <v>14.93</v>
      </c>
      <c r="H1293">
        <v>2.89</v>
      </c>
      <c r="I1293">
        <v>6.02</v>
      </c>
      <c r="J1293">
        <v>36.240400000000001</v>
      </c>
      <c r="K1293" t="str">
        <f>IFERROR(INDEX(Rosters!$C$2:$C$155,MATCH($B1293,Rosters!$B$2:$B$155,0)),"NA")</f>
        <v>aj</v>
      </c>
      <c r="L1293" t="str">
        <f t="shared" si="60"/>
        <v>aj8RB</v>
      </c>
      <c r="M1293">
        <f>COUNTIF(L$1:L1293,L1293)</f>
        <v>3</v>
      </c>
      <c r="N1293" t="str">
        <f t="shared" si="61"/>
        <v>aj8RB-3</v>
      </c>
      <c r="O1293">
        <f>COUNTIFS(F$1:F1293,F1293,A$1:A1293,A1293)</f>
        <v>18</v>
      </c>
      <c r="P1293" t="str">
        <f t="shared" si="62"/>
        <v>LeSean McCoy8</v>
      </c>
    </row>
    <row r="1294" spans="1:16" x14ac:dyDescent="0.25">
      <c r="A1294">
        <v>17</v>
      </c>
      <c r="B1294" t="s">
        <v>171</v>
      </c>
      <c r="C1294" t="s">
        <v>6636</v>
      </c>
      <c r="D1294">
        <v>8.89</v>
      </c>
      <c r="E1294" t="s">
        <v>66</v>
      </c>
      <c r="F1294" t="s">
        <v>87</v>
      </c>
      <c r="G1294">
        <v>17.27</v>
      </c>
      <c r="H1294">
        <v>0.51</v>
      </c>
      <c r="I1294">
        <v>8.3800000000000008</v>
      </c>
      <c r="J1294">
        <v>70.224400000000003</v>
      </c>
      <c r="K1294" t="str">
        <f>IFERROR(INDEX(Rosters!$C$2:$C$155,MATCH($B1294,Rosters!$B$2:$B$155,0)),"NA")</f>
        <v>matty</v>
      </c>
      <c r="L1294" t="str">
        <f t="shared" si="60"/>
        <v>matty17WR</v>
      </c>
      <c r="M1294">
        <f>COUNTIF(L$1:L1294,L1294)</f>
        <v>3</v>
      </c>
      <c r="N1294" t="str">
        <f t="shared" si="61"/>
        <v>matty17WR-3</v>
      </c>
      <c r="O1294">
        <f>COUNTIFS(F$1:F1294,F1294,A$1:A1294,A1294)</f>
        <v>23</v>
      </c>
      <c r="P1294" t="str">
        <f t="shared" si="62"/>
        <v>Corey Davis17</v>
      </c>
    </row>
    <row r="1295" spans="1:16" x14ac:dyDescent="0.25">
      <c r="A1295">
        <v>17</v>
      </c>
      <c r="B1295" t="s">
        <v>136</v>
      </c>
      <c r="C1295" t="s">
        <v>6637</v>
      </c>
      <c r="D1295">
        <v>8.89</v>
      </c>
      <c r="E1295" t="s">
        <v>37</v>
      </c>
      <c r="F1295" t="s">
        <v>87</v>
      </c>
      <c r="G1295">
        <v>13.8</v>
      </c>
      <c r="H1295">
        <v>3.98</v>
      </c>
      <c r="I1295">
        <v>4.91</v>
      </c>
      <c r="J1295">
        <v>24.1081</v>
      </c>
      <c r="K1295" t="str">
        <f>IFERROR(INDEX(Rosters!$C$2:$C$155,MATCH($B1295,Rosters!$B$2:$B$155,0)),"NA")</f>
        <v>devon</v>
      </c>
      <c r="L1295" t="str">
        <f t="shared" si="60"/>
        <v>devon17WR</v>
      </c>
      <c r="M1295">
        <f>COUNTIF(L$1:L1295,L1295)</f>
        <v>3</v>
      </c>
      <c r="N1295" t="str">
        <f t="shared" si="61"/>
        <v>devon17WR-3</v>
      </c>
      <c r="O1295">
        <f>COUNTIFS(F$1:F1295,F1295,A$1:A1295,A1295)</f>
        <v>24</v>
      </c>
      <c r="P1295" t="str">
        <f t="shared" si="62"/>
        <v>Demaryius Thomas17</v>
      </c>
    </row>
    <row r="1296" spans="1:16" x14ac:dyDescent="0.25">
      <c r="A1296">
        <v>3</v>
      </c>
      <c r="B1296" t="s">
        <v>207</v>
      </c>
      <c r="C1296" t="s">
        <v>3672</v>
      </c>
      <c r="D1296">
        <v>8.89</v>
      </c>
      <c r="E1296" t="s">
        <v>76</v>
      </c>
      <c r="F1296" t="s">
        <v>47</v>
      </c>
      <c r="G1296">
        <v>13.16</v>
      </c>
      <c r="H1296">
        <v>4.62</v>
      </c>
      <c r="I1296">
        <v>4.2699999999999996</v>
      </c>
      <c r="J1296">
        <v>18.232900000000001</v>
      </c>
      <c r="K1296" t="str">
        <f>IFERROR(INDEX(Rosters!$C$2:$C$155,MATCH($B1296,Rosters!$B$2:$B$155,0)),"NA")</f>
        <v>chad</v>
      </c>
      <c r="L1296" t="str">
        <f t="shared" si="60"/>
        <v>chad3RB</v>
      </c>
      <c r="M1296">
        <f>COUNTIF(L$1:L1296,L1296)</f>
        <v>3</v>
      </c>
      <c r="N1296" t="str">
        <f t="shared" si="61"/>
        <v>chad3RB-3</v>
      </c>
      <c r="O1296">
        <f>COUNTIFS(F$1:F1296,F1296,A$1:A1296,A1296)</f>
        <v>25</v>
      </c>
      <c r="P1296" t="str">
        <f t="shared" si="62"/>
        <v>Dion Lewis3</v>
      </c>
    </row>
    <row r="1297" spans="1:16" x14ac:dyDescent="0.25">
      <c r="A1297">
        <v>2</v>
      </c>
      <c r="B1297" t="s">
        <v>149</v>
      </c>
      <c r="C1297" t="s">
        <v>3673</v>
      </c>
      <c r="D1297">
        <v>8.89</v>
      </c>
      <c r="E1297" t="s">
        <v>32</v>
      </c>
      <c r="F1297" t="s">
        <v>87</v>
      </c>
      <c r="G1297">
        <v>14.91</v>
      </c>
      <c r="H1297">
        <v>2.87</v>
      </c>
      <c r="I1297">
        <v>6.02</v>
      </c>
      <c r="J1297">
        <v>36.240400000000001</v>
      </c>
      <c r="K1297" t="str">
        <f>IFERROR(INDEX(Rosters!$C$2:$C$155,MATCH($B1297,Rosters!$B$2:$B$155,0)),"NA")</f>
        <v>comp</v>
      </c>
      <c r="L1297" t="str">
        <f t="shared" si="60"/>
        <v>comp2WR</v>
      </c>
      <c r="M1297">
        <f>COUNTIF(L$1:L1297,L1297)</f>
        <v>3</v>
      </c>
      <c r="N1297" t="str">
        <f t="shared" si="61"/>
        <v>comp2WR-3</v>
      </c>
      <c r="O1297">
        <f>COUNTIFS(F$1:F1297,F1297,A$1:A1297,A1297)</f>
        <v>20</v>
      </c>
      <c r="P1297" t="str">
        <f t="shared" si="62"/>
        <v>Emmanuel Sanders2</v>
      </c>
    </row>
    <row r="1298" spans="1:16" x14ac:dyDescent="0.25">
      <c r="A1298">
        <v>7</v>
      </c>
      <c r="B1298" t="s">
        <v>133</v>
      </c>
      <c r="C1298" t="s">
        <v>6638</v>
      </c>
      <c r="D1298">
        <v>8.89</v>
      </c>
      <c r="E1298" t="s">
        <v>73</v>
      </c>
      <c r="F1298" t="s">
        <v>87</v>
      </c>
      <c r="G1298">
        <v>15.59</v>
      </c>
      <c r="H1298">
        <v>2.19</v>
      </c>
      <c r="I1298">
        <v>6.7</v>
      </c>
      <c r="J1298">
        <v>44.89</v>
      </c>
      <c r="K1298" t="str">
        <f>IFERROR(INDEX(Rosters!$C$2:$C$155,MATCH($B1298,Rosters!$B$2:$B$155,0)),"NA")</f>
        <v>aj</v>
      </c>
      <c r="L1298" t="str">
        <f t="shared" si="60"/>
        <v>aj7WR</v>
      </c>
      <c r="M1298">
        <f>COUNTIF(L$1:L1298,L1298)</f>
        <v>3</v>
      </c>
      <c r="N1298" t="str">
        <f t="shared" si="61"/>
        <v>aj7WR-3</v>
      </c>
      <c r="O1298">
        <f>COUNTIFS(F$1:F1298,F1298,A$1:A1298,A1298)</f>
        <v>18</v>
      </c>
      <c r="P1298" t="str">
        <f t="shared" si="62"/>
        <v>Stefon Diggs7</v>
      </c>
    </row>
    <row r="1299" spans="1:16" x14ac:dyDescent="0.25">
      <c r="A1299">
        <v>2</v>
      </c>
      <c r="B1299" t="s">
        <v>177</v>
      </c>
      <c r="C1299" t="s">
        <v>1687</v>
      </c>
      <c r="D1299">
        <v>8.89</v>
      </c>
      <c r="E1299" t="s">
        <v>17</v>
      </c>
      <c r="F1299" t="s">
        <v>114</v>
      </c>
      <c r="G1299">
        <v>14.06</v>
      </c>
      <c r="H1299">
        <v>3.72</v>
      </c>
      <c r="I1299">
        <v>5.17</v>
      </c>
      <c r="J1299">
        <v>26.728899999999999</v>
      </c>
      <c r="K1299" t="str">
        <f>IFERROR(INDEX(Rosters!$C$2:$C$155,MATCH($B1299,Rosters!$B$2:$B$155,0)),"NA")</f>
        <v>perry</v>
      </c>
      <c r="L1299" t="str">
        <f t="shared" si="60"/>
        <v>perry2TE</v>
      </c>
      <c r="M1299">
        <f>COUNTIF(L$1:L1299,L1299)</f>
        <v>1</v>
      </c>
      <c r="N1299" t="str">
        <f t="shared" si="61"/>
        <v>perry2TE-1</v>
      </c>
      <c r="O1299">
        <f>COUNTIFS(F$1:F1299,F1299,A$1:A1299,A1299)</f>
        <v>2</v>
      </c>
      <c r="P1299" t="str">
        <f t="shared" si="62"/>
        <v>Zach Ertz2</v>
      </c>
    </row>
    <row r="1300" spans="1:16" x14ac:dyDescent="0.25">
      <c r="A1300">
        <v>10</v>
      </c>
      <c r="B1300" t="s">
        <v>171</v>
      </c>
      <c r="C1300" t="s">
        <v>6639</v>
      </c>
      <c r="D1300">
        <v>8.8699999999999992</v>
      </c>
      <c r="E1300" t="s">
        <v>423</v>
      </c>
      <c r="F1300" t="s">
        <v>87</v>
      </c>
      <c r="G1300">
        <v>16.260000000000002</v>
      </c>
      <c r="H1300">
        <v>1.48</v>
      </c>
      <c r="I1300">
        <v>7.39</v>
      </c>
      <c r="J1300">
        <v>54.612099999999998</v>
      </c>
      <c r="K1300" t="str">
        <f>IFERROR(INDEX(Rosters!$C$2:$C$155,MATCH($B1300,Rosters!$B$2:$B$155,0)),"NA")</f>
        <v>matty</v>
      </c>
      <c r="L1300" t="str">
        <f t="shared" si="60"/>
        <v>matty10WR</v>
      </c>
      <c r="M1300">
        <f>COUNTIF(L$1:L1300,L1300)</f>
        <v>4</v>
      </c>
      <c r="N1300" t="str">
        <f t="shared" si="61"/>
        <v>matty10WR-4</v>
      </c>
      <c r="O1300">
        <f>COUNTIFS(F$1:F1300,F1300,A$1:A1300,A1300)</f>
        <v>24</v>
      </c>
      <c r="P1300" t="str">
        <f t="shared" si="62"/>
        <v>Corey Davis10</v>
      </c>
    </row>
    <row r="1301" spans="1:16" x14ac:dyDescent="0.25">
      <c r="A1301">
        <v>9</v>
      </c>
      <c r="B1301" t="s">
        <v>81</v>
      </c>
      <c r="C1301" t="s">
        <v>6640</v>
      </c>
      <c r="D1301">
        <v>8.8699999999999992</v>
      </c>
      <c r="E1301" t="s">
        <v>72</v>
      </c>
      <c r="F1301" t="s">
        <v>47</v>
      </c>
      <c r="G1301">
        <v>14.65</v>
      </c>
      <c r="H1301">
        <v>3.09</v>
      </c>
      <c r="I1301">
        <v>5.78</v>
      </c>
      <c r="J1301">
        <v>33.4084</v>
      </c>
      <c r="K1301" t="str">
        <f>IFERROR(INDEX(Rosters!$C$2:$C$155,MATCH($B1301,Rosters!$B$2:$B$155,0)),"NA")</f>
        <v>aj</v>
      </c>
      <c r="L1301" t="str">
        <f t="shared" si="60"/>
        <v>aj9RB</v>
      </c>
      <c r="M1301">
        <f>COUNTIF(L$1:L1301,L1301)</f>
        <v>2</v>
      </c>
      <c r="N1301" t="str">
        <f t="shared" si="61"/>
        <v>aj9RB-2</v>
      </c>
      <c r="O1301">
        <f>COUNTIFS(F$1:F1301,F1301,A$1:A1301,A1301)</f>
        <v>20</v>
      </c>
      <c r="P1301" t="str">
        <f t="shared" si="62"/>
        <v>LeSean McCoy9</v>
      </c>
    </row>
    <row r="1302" spans="1:16" x14ac:dyDescent="0.25">
      <c r="A1302">
        <v>11</v>
      </c>
      <c r="B1302" t="s">
        <v>177</v>
      </c>
      <c r="C1302" t="s">
        <v>6641</v>
      </c>
      <c r="D1302">
        <v>8.86</v>
      </c>
      <c r="E1302" t="s">
        <v>14</v>
      </c>
      <c r="F1302" t="s">
        <v>114</v>
      </c>
      <c r="G1302">
        <v>14.12</v>
      </c>
      <c r="H1302">
        <v>3.6</v>
      </c>
      <c r="I1302">
        <v>5.26</v>
      </c>
      <c r="J1302">
        <v>27.6676</v>
      </c>
      <c r="K1302" t="str">
        <f>IFERROR(INDEX(Rosters!$C$2:$C$155,MATCH($B1302,Rosters!$B$2:$B$155,0)),"NA")</f>
        <v>perry</v>
      </c>
      <c r="L1302" t="str">
        <f t="shared" si="60"/>
        <v>perry11TE</v>
      </c>
      <c r="M1302">
        <f>COUNTIF(L$1:L1302,L1302)</f>
        <v>1</v>
      </c>
      <c r="N1302" t="str">
        <f t="shared" si="61"/>
        <v>perry11TE-1</v>
      </c>
      <c r="O1302">
        <f>COUNTIFS(F$1:F1302,F1302,A$1:A1302,A1302)</f>
        <v>2</v>
      </c>
      <c r="P1302" t="str">
        <f t="shared" si="62"/>
        <v>Zach Ertz11</v>
      </c>
    </row>
    <row r="1303" spans="1:16" x14ac:dyDescent="0.25">
      <c r="A1303">
        <v>9</v>
      </c>
      <c r="B1303" t="s">
        <v>103</v>
      </c>
      <c r="C1303" t="s">
        <v>6642</v>
      </c>
      <c r="D1303">
        <v>8.85</v>
      </c>
      <c r="E1303" t="s">
        <v>30</v>
      </c>
      <c r="F1303" t="s">
        <v>87</v>
      </c>
      <c r="G1303">
        <v>15.27</v>
      </c>
      <c r="H1303">
        <v>2.4300000000000002</v>
      </c>
      <c r="I1303">
        <v>6.42</v>
      </c>
      <c r="J1303">
        <v>41.2164</v>
      </c>
      <c r="K1303" t="str">
        <f>IFERROR(INDEX(Rosters!$C$2:$C$155,MATCH($B1303,Rosters!$B$2:$B$155,0)),"NA")</f>
        <v>comp</v>
      </c>
      <c r="L1303" t="str">
        <f t="shared" si="60"/>
        <v>comp9WR</v>
      </c>
      <c r="M1303">
        <f>COUNTIF(L$1:L1303,L1303)</f>
        <v>3</v>
      </c>
      <c r="N1303" t="str">
        <f t="shared" si="61"/>
        <v>comp9WR-3</v>
      </c>
      <c r="O1303">
        <f>COUNTIFS(F$1:F1303,F1303,A$1:A1303,A1303)</f>
        <v>25</v>
      </c>
      <c r="P1303" t="str">
        <f t="shared" si="62"/>
        <v>Amari Cooper9</v>
      </c>
    </row>
    <row r="1304" spans="1:16" x14ac:dyDescent="0.25">
      <c r="A1304">
        <v>11</v>
      </c>
      <c r="B1304" t="s">
        <v>3533</v>
      </c>
      <c r="C1304" t="s">
        <v>6643</v>
      </c>
      <c r="D1304">
        <v>8.85</v>
      </c>
      <c r="E1304" t="s">
        <v>37</v>
      </c>
      <c r="F1304" t="s">
        <v>47</v>
      </c>
      <c r="G1304">
        <v>16.850000000000001</v>
      </c>
      <c r="H1304">
        <v>0.85</v>
      </c>
      <c r="I1304">
        <v>8</v>
      </c>
      <c r="J1304">
        <v>64</v>
      </c>
      <c r="K1304" t="str">
        <f>IFERROR(INDEX(Rosters!$C$2:$C$155,MATCH($B1304,Rosters!$B$2:$B$155,0)),"NA")</f>
        <v>perry</v>
      </c>
      <c r="L1304" t="str">
        <f t="shared" si="60"/>
        <v>perry11RB</v>
      </c>
      <c r="M1304">
        <f>COUNTIF(L$1:L1304,L1304)</f>
        <v>2</v>
      </c>
      <c r="N1304" t="str">
        <f t="shared" si="61"/>
        <v>perry11RB-2</v>
      </c>
      <c r="O1304">
        <f>COUNTIFS(F$1:F1304,F1304,A$1:A1304,A1304)</f>
        <v>20</v>
      </c>
      <c r="P1304" t="str">
        <f t="shared" si="62"/>
        <v>Phillip Lindsay11</v>
      </c>
    </row>
    <row r="1305" spans="1:16" x14ac:dyDescent="0.25">
      <c r="A1305">
        <v>12</v>
      </c>
      <c r="B1305" t="s">
        <v>177</v>
      </c>
      <c r="C1305" t="s">
        <v>6644</v>
      </c>
      <c r="D1305">
        <v>8.85</v>
      </c>
      <c r="E1305" t="s">
        <v>54</v>
      </c>
      <c r="F1305" t="s">
        <v>114</v>
      </c>
      <c r="G1305">
        <v>14.12</v>
      </c>
      <c r="H1305">
        <v>3.58</v>
      </c>
      <c r="I1305">
        <v>5.27</v>
      </c>
      <c r="J1305">
        <v>27.7729</v>
      </c>
      <c r="K1305" t="str">
        <f>IFERROR(INDEX(Rosters!$C$2:$C$155,MATCH($B1305,Rosters!$B$2:$B$155,0)),"NA")</f>
        <v>perry</v>
      </c>
      <c r="L1305" t="str">
        <f t="shared" si="60"/>
        <v>perry12TE</v>
      </c>
      <c r="M1305">
        <f>COUNTIF(L$1:L1305,L1305)</f>
        <v>1</v>
      </c>
      <c r="N1305" t="str">
        <f t="shared" si="61"/>
        <v>perry12TE-1</v>
      </c>
      <c r="O1305">
        <f>COUNTIFS(F$1:F1305,F1305,A$1:A1305,A1305)</f>
        <v>2</v>
      </c>
      <c r="P1305" t="str">
        <f t="shared" si="62"/>
        <v>Zach Ertz12</v>
      </c>
    </row>
    <row r="1306" spans="1:16" x14ac:dyDescent="0.25">
      <c r="A1306">
        <v>16</v>
      </c>
      <c r="B1306" t="s">
        <v>158</v>
      </c>
      <c r="C1306" t="s">
        <v>6645</v>
      </c>
      <c r="D1306">
        <v>8.84</v>
      </c>
      <c r="E1306" t="s">
        <v>38</v>
      </c>
      <c r="F1306" t="s">
        <v>47</v>
      </c>
      <c r="G1306">
        <v>14.79</v>
      </c>
      <c r="H1306">
        <v>2.89</v>
      </c>
      <c r="I1306">
        <v>5.95</v>
      </c>
      <c r="J1306">
        <v>35.402500000000003</v>
      </c>
      <c r="K1306" t="str">
        <f>IFERROR(INDEX(Rosters!$C$2:$C$155,MATCH($B1306,Rosters!$B$2:$B$155,0)),"NA")</f>
        <v>comp</v>
      </c>
      <c r="L1306" t="str">
        <f t="shared" si="60"/>
        <v>comp16RB</v>
      </c>
      <c r="M1306">
        <f>COUNTIF(L$1:L1306,L1306)</f>
        <v>2</v>
      </c>
      <c r="N1306" t="str">
        <f t="shared" si="61"/>
        <v>comp16RB-2</v>
      </c>
      <c r="O1306">
        <f>COUNTIFS(F$1:F1306,F1306,A$1:A1306,A1306)</f>
        <v>23</v>
      </c>
      <c r="P1306" t="str">
        <f t="shared" si="62"/>
        <v>Adrian Peterson16</v>
      </c>
    </row>
    <row r="1307" spans="1:16" x14ac:dyDescent="0.25">
      <c r="A1307">
        <v>13</v>
      </c>
      <c r="B1307" t="s">
        <v>98</v>
      </c>
      <c r="C1307" t="s">
        <v>6646</v>
      </c>
      <c r="D1307">
        <v>8.84</v>
      </c>
      <c r="E1307" t="s">
        <v>24</v>
      </c>
      <c r="F1307" t="s">
        <v>87</v>
      </c>
      <c r="G1307">
        <v>14.31</v>
      </c>
      <c r="H1307">
        <v>3.37</v>
      </c>
      <c r="I1307">
        <v>5.47</v>
      </c>
      <c r="J1307">
        <v>29.9209</v>
      </c>
      <c r="K1307" t="str">
        <f>IFERROR(INDEX(Rosters!$C$2:$C$155,MATCH($B1307,Rosters!$B$2:$B$155,0)),"NA")</f>
        <v>seth</v>
      </c>
      <c r="L1307" t="str">
        <f t="shared" si="60"/>
        <v>seth13WR</v>
      </c>
      <c r="M1307">
        <f>COUNTIF(L$1:L1307,L1307)</f>
        <v>4</v>
      </c>
      <c r="N1307" t="str">
        <f t="shared" si="61"/>
        <v>seth13WR-4</v>
      </c>
      <c r="O1307">
        <f>COUNTIFS(F$1:F1307,F1307,A$1:A1307,A1307)</f>
        <v>28</v>
      </c>
      <c r="P1307" t="str">
        <f t="shared" si="62"/>
        <v>Jordy Nelson13</v>
      </c>
    </row>
    <row r="1308" spans="1:16" x14ac:dyDescent="0.25">
      <c r="A1308">
        <v>16</v>
      </c>
      <c r="B1308" t="s">
        <v>125</v>
      </c>
      <c r="C1308" t="s">
        <v>6647</v>
      </c>
      <c r="D1308">
        <v>8.84</v>
      </c>
      <c r="E1308" t="s">
        <v>28</v>
      </c>
      <c r="F1308" t="s">
        <v>87</v>
      </c>
      <c r="G1308">
        <v>14.46</v>
      </c>
      <c r="H1308">
        <v>3.22</v>
      </c>
      <c r="I1308">
        <v>5.62</v>
      </c>
      <c r="J1308">
        <v>31.584399999999999</v>
      </c>
      <c r="K1308" t="str">
        <f>IFERROR(INDEX(Rosters!$C$2:$C$155,MATCH($B1308,Rosters!$B$2:$B$155,0)),"NA")</f>
        <v>scott</v>
      </c>
      <c r="L1308" t="str">
        <f t="shared" si="60"/>
        <v>scott16WR</v>
      </c>
      <c r="M1308">
        <f>COUNTIF(L$1:L1308,L1308)</f>
        <v>2</v>
      </c>
      <c r="N1308" t="str">
        <f t="shared" si="61"/>
        <v>scott16WR-2</v>
      </c>
      <c r="O1308">
        <f>COUNTIFS(F$1:F1308,F1308,A$1:A1308,A1308)</f>
        <v>26</v>
      </c>
      <c r="P1308" t="str">
        <f t="shared" si="62"/>
        <v>Sammy Watkins16</v>
      </c>
    </row>
    <row r="1309" spans="1:16" x14ac:dyDescent="0.25">
      <c r="A1309">
        <v>8</v>
      </c>
      <c r="B1309" t="s">
        <v>149</v>
      </c>
      <c r="C1309" t="s">
        <v>6648</v>
      </c>
      <c r="D1309">
        <v>8.83</v>
      </c>
      <c r="E1309" t="s">
        <v>24</v>
      </c>
      <c r="F1309" t="s">
        <v>87</v>
      </c>
      <c r="G1309">
        <v>14.3</v>
      </c>
      <c r="H1309">
        <v>3.36</v>
      </c>
      <c r="I1309">
        <v>5.47</v>
      </c>
      <c r="J1309">
        <v>29.9209</v>
      </c>
      <c r="K1309" t="str">
        <f>IFERROR(INDEX(Rosters!$C$2:$C$155,MATCH($B1309,Rosters!$B$2:$B$155,0)),"NA")</f>
        <v>comp</v>
      </c>
      <c r="L1309" t="str">
        <f t="shared" si="60"/>
        <v>comp8WR</v>
      </c>
      <c r="M1309">
        <f>COUNTIF(L$1:L1309,L1309)</f>
        <v>5</v>
      </c>
      <c r="N1309" t="str">
        <f t="shared" si="61"/>
        <v>comp8WR-5</v>
      </c>
      <c r="O1309">
        <f>COUNTIFS(F$1:F1309,F1309,A$1:A1309,A1309)</f>
        <v>28</v>
      </c>
      <c r="P1309" t="str">
        <f t="shared" si="62"/>
        <v>Emmanuel Sanders8</v>
      </c>
    </row>
    <row r="1310" spans="1:16" x14ac:dyDescent="0.25">
      <c r="A1310">
        <v>13</v>
      </c>
      <c r="B1310" t="s">
        <v>266</v>
      </c>
      <c r="C1310" t="s">
        <v>6649</v>
      </c>
      <c r="D1310">
        <v>8.83</v>
      </c>
      <c r="E1310" t="s">
        <v>52</v>
      </c>
      <c r="F1310" t="s">
        <v>87</v>
      </c>
      <c r="G1310">
        <v>15.11</v>
      </c>
      <c r="H1310">
        <v>2.5499999999999998</v>
      </c>
      <c r="I1310">
        <v>6.28</v>
      </c>
      <c r="J1310">
        <v>39.438400000000001</v>
      </c>
      <c r="K1310" t="str">
        <f>IFERROR(INDEX(Rosters!$C$2:$C$155,MATCH($B1310,Rosters!$B$2:$B$155,0)),"NA")</f>
        <v>perry</v>
      </c>
      <c r="L1310" t="str">
        <f t="shared" si="60"/>
        <v>perry13WR</v>
      </c>
      <c r="M1310">
        <f>COUNTIF(L$1:L1310,L1310)</f>
        <v>3</v>
      </c>
      <c r="N1310" t="str">
        <f t="shared" si="61"/>
        <v>perry13WR-3</v>
      </c>
      <c r="O1310">
        <f>COUNTIFS(F$1:F1310,F1310,A$1:A1310,A1310)</f>
        <v>29</v>
      </c>
      <c r="P1310" t="str">
        <f t="shared" si="62"/>
        <v>Will Fuller V13</v>
      </c>
    </row>
    <row r="1311" spans="1:16" x14ac:dyDescent="0.25">
      <c r="A1311">
        <v>16</v>
      </c>
      <c r="B1311" t="s">
        <v>1419</v>
      </c>
      <c r="C1311" t="s">
        <v>6650</v>
      </c>
      <c r="D1311">
        <v>8.82</v>
      </c>
      <c r="E1311" t="s">
        <v>31</v>
      </c>
      <c r="F1311" t="s">
        <v>87</v>
      </c>
      <c r="G1311">
        <v>15.71</v>
      </c>
      <c r="H1311">
        <v>1.93</v>
      </c>
      <c r="I1311">
        <v>6.89</v>
      </c>
      <c r="J1311">
        <v>47.472099999999998</v>
      </c>
      <c r="K1311" t="str">
        <f>IFERROR(INDEX(Rosters!$C$2:$C$155,MATCH($B1311,Rosters!$B$2:$B$155,0)),"NA")</f>
        <v>chad</v>
      </c>
      <c r="L1311" t="str">
        <f t="shared" si="60"/>
        <v>chad16WR</v>
      </c>
      <c r="M1311">
        <f>COUNTIF(L$1:L1311,L1311)</f>
        <v>3</v>
      </c>
      <c r="N1311" t="str">
        <f t="shared" si="61"/>
        <v>chad16WR-3</v>
      </c>
      <c r="O1311">
        <f>COUNTIFS(F$1:F1311,F1311,A$1:A1311,A1311)</f>
        <v>27</v>
      </c>
      <c r="P1311" t="str">
        <f t="shared" si="62"/>
        <v>Antonio Callaway16</v>
      </c>
    </row>
    <row r="1312" spans="1:16" x14ac:dyDescent="0.25">
      <c r="A1312">
        <v>17</v>
      </c>
      <c r="B1312" t="s">
        <v>185</v>
      </c>
      <c r="C1312" t="s">
        <v>6651</v>
      </c>
      <c r="D1312">
        <v>8.81</v>
      </c>
      <c r="E1312" t="s">
        <v>52</v>
      </c>
      <c r="F1312" t="s">
        <v>87</v>
      </c>
      <c r="G1312">
        <v>15.6</v>
      </c>
      <c r="H1312">
        <v>2.02</v>
      </c>
      <c r="I1312">
        <v>6.79</v>
      </c>
      <c r="J1312">
        <v>46.104100000000003</v>
      </c>
      <c r="K1312" t="str">
        <f>IFERROR(INDEX(Rosters!$C$2:$C$155,MATCH($B1312,Rosters!$B$2:$B$155,0)),"NA")</f>
        <v>scott</v>
      </c>
      <c r="L1312" t="str">
        <f t="shared" si="60"/>
        <v>scott17WR</v>
      </c>
      <c r="M1312">
        <f>COUNTIF(L$1:L1312,L1312)</f>
        <v>2</v>
      </c>
      <c r="N1312" t="str">
        <f t="shared" si="61"/>
        <v>scott17WR-2</v>
      </c>
      <c r="O1312">
        <f>COUNTIFS(F$1:F1312,F1312,A$1:A1312,A1312)</f>
        <v>25</v>
      </c>
      <c r="P1312" t="str">
        <f t="shared" si="62"/>
        <v>John Brown17</v>
      </c>
    </row>
    <row r="1313" spans="1:16" x14ac:dyDescent="0.25">
      <c r="A1313">
        <v>14</v>
      </c>
      <c r="B1313" t="s">
        <v>126</v>
      </c>
      <c r="C1313" t="s">
        <v>6652</v>
      </c>
      <c r="D1313">
        <v>8.8000000000000007</v>
      </c>
      <c r="E1313" t="s">
        <v>22</v>
      </c>
      <c r="F1313" t="s">
        <v>87</v>
      </c>
      <c r="G1313">
        <v>16.38</v>
      </c>
      <c r="H1313">
        <v>1.22</v>
      </c>
      <c r="I1313">
        <v>7.58</v>
      </c>
      <c r="J1313">
        <v>57.456400000000002</v>
      </c>
      <c r="K1313" t="str">
        <f>IFERROR(INDEX(Rosters!$C$2:$C$155,MATCH($B1313,Rosters!$B$2:$B$155,0)),"NA")</f>
        <v>devon</v>
      </c>
      <c r="L1313" t="str">
        <f t="shared" si="60"/>
        <v>devon14WR</v>
      </c>
      <c r="M1313">
        <f>COUNTIF(L$1:L1313,L1313)</f>
        <v>3</v>
      </c>
      <c r="N1313" t="str">
        <f t="shared" si="61"/>
        <v>devon14WR-3</v>
      </c>
      <c r="O1313">
        <f>COUNTIFS(F$1:F1313,F1313,A$1:A1313,A1313)</f>
        <v>29</v>
      </c>
      <c r="P1313" t="str">
        <f t="shared" si="62"/>
        <v>Alshon Jeffery14</v>
      </c>
    </row>
    <row r="1314" spans="1:16" x14ac:dyDescent="0.25">
      <c r="A1314">
        <v>5</v>
      </c>
      <c r="B1314" t="s">
        <v>202</v>
      </c>
      <c r="C1314" t="s">
        <v>6653</v>
      </c>
      <c r="D1314">
        <v>8.8000000000000007</v>
      </c>
      <c r="E1314" t="s">
        <v>14</v>
      </c>
      <c r="F1314" t="s">
        <v>47</v>
      </c>
      <c r="G1314">
        <v>14.77</v>
      </c>
      <c r="H1314">
        <v>2.83</v>
      </c>
      <c r="I1314">
        <v>5.97</v>
      </c>
      <c r="J1314">
        <v>35.640900000000002</v>
      </c>
      <c r="K1314" t="str">
        <f>IFERROR(INDEX(Rosters!$C$2:$C$155,MATCH($B1314,Rosters!$B$2:$B$155,0)),"NA")</f>
        <v>lucas</v>
      </c>
      <c r="L1314" t="str">
        <f t="shared" si="60"/>
        <v>lucas5RB</v>
      </c>
      <c r="M1314">
        <f>COUNTIF(L$1:L1314,L1314)</f>
        <v>2</v>
      </c>
      <c r="N1314" t="str">
        <f t="shared" si="61"/>
        <v>lucas5RB-2</v>
      </c>
      <c r="O1314">
        <f>COUNTIFS(F$1:F1314,F1314,A$1:A1314,A1314)</f>
        <v>23</v>
      </c>
      <c r="P1314" t="str">
        <f t="shared" si="62"/>
        <v>Chris Thompson5</v>
      </c>
    </row>
    <row r="1315" spans="1:16" x14ac:dyDescent="0.25">
      <c r="A1315">
        <v>11</v>
      </c>
      <c r="B1315" t="s">
        <v>145</v>
      </c>
      <c r="C1315" t="s">
        <v>6654</v>
      </c>
      <c r="D1315">
        <v>8.8000000000000007</v>
      </c>
      <c r="E1315" t="s">
        <v>22</v>
      </c>
      <c r="F1315" t="s">
        <v>47</v>
      </c>
      <c r="G1315">
        <v>15.26</v>
      </c>
      <c r="H1315">
        <v>2.34</v>
      </c>
      <c r="I1315">
        <v>6.46</v>
      </c>
      <c r="J1315">
        <v>41.7316</v>
      </c>
      <c r="K1315" t="str">
        <f>IFERROR(INDEX(Rosters!$C$2:$C$155,MATCH($B1315,Rosters!$B$2:$B$155,0)),"NA")</f>
        <v>lucas</v>
      </c>
      <c r="L1315" t="str">
        <f t="shared" si="60"/>
        <v>lucas11RB</v>
      </c>
      <c r="M1315">
        <f>COUNTIF(L$1:L1315,L1315)</f>
        <v>2</v>
      </c>
      <c r="N1315" t="str">
        <f t="shared" si="61"/>
        <v>lucas11RB-2</v>
      </c>
      <c r="O1315">
        <f>COUNTIFS(F$1:F1315,F1315,A$1:A1315,A1315)</f>
        <v>21</v>
      </c>
      <c r="P1315" t="str">
        <f t="shared" si="62"/>
        <v>Tevin Coleman11</v>
      </c>
    </row>
    <row r="1316" spans="1:16" x14ac:dyDescent="0.25">
      <c r="A1316">
        <v>12</v>
      </c>
      <c r="B1316" t="s">
        <v>140</v>
      </c>
      <c r="C1316" t="s">
        <v>6655</v>
      </c>
      <c r="D1316">
        <v>8.7899999999999991</v>
      </c>
      <c r="E1316" t="s">
        <v>37</v>
      </c>
      <c r="F1316" t="s">
        <v>87</v>
      </c>
      <c r="G1316">
        <v>14.47</v>
      </c>
      <c r="H1316">
        <v>3.11</v>
      </c>
      <c r="I1316">
        <v>5.68</v>
      </c>
      <c r="J1316">
        <v>32.2624</v>
      </c>
      <c r="K1316" t="str">
        <f>IFERROR(INDEX(Rosters!$C$2:$C$155,MATCH($B1316,Rosters!$B$2:$B$155,0)),"NA")</f>
        <v>seth</v>
      </c>
      <c r="L1316" t="str">
        <f t="shared" si="60"/>
        <v>seth12WR</v>
      </c>
      <c r="M1316">
        <f>COUNTIF(L$1:L1316,L1316)</f>
        <v>3</v>
      </c>
      <c r="N1316" t="str">
        <f t="shared" si="61"/>
        <v>seth12WR-3</v>
      </c>
      <c r="O1316">
        <f>COUNTIFS(F$1:F1316,F1316,A$1:A1316,A1316)</f>
        <v>26</v>
      </c>
      <c r="P1316" t="str">
        <f t="shared" si="62"/>
        <v>Larry Fitzgerald12</v>
      </c>
    </row>
    <row r="1317" spans="1:16" x14ac:dyDescent="0.25">
      <c r="A1317">
        <v>4</v>
      </c>
      <c r="B1317" t="s">
        <v>136</v>
      </c>
      <c r="C1317" t="s">
        <v>4468</v>
      </c>
      <c r="D1317">
        <v>8.7799999999999994</v>
      </c>
      <c r="E1317" t="s">
        <v>24</v>
      </c>
      <c r="F1317" t="s">
        <v>87</v>
      </c>
      <c r="G1317">
        <v>12.69</v>
      </c>
      <c r="H1317">
        <v>4.87</v>
      </c>
      <c r="I1317">
        <v>3.91</v>
      </c>
      <c r="J1317">
        <v>15.2881</v>
      </c>
      <c r="K1317" t="str">
        <f>IFERROR(INDEX(Rosters!$C$2:$C$155,MATCH($B1317,Rosters!$B$2:$B$155,0)),"NA")</f>
        <v>devon</v>
      </c>
      <c r="L1317" t="str">
        <f t="shared" si="60"/>
        <v>devon4WR</v>
      </c>
      <c r="M1317">
        <f>COUNTIF(L$1:L1317,L1317)</f>
        <v>3</v>
      </c>
      <c r="N1317" t="str">
        <f t="shared" si="61"/>
        <v>devon4WR-3</v>
      </c>
      <c r="O1317">
        <f>COUNTIFS(F$1:F1317,F1317,A$1:A1317,A1317)</f>
        <v>22</v>
      </c>
      <c r="P1317" t="str">
        <f t="shared" si="62"/>
        <v>Demaryius Thomas4</v>
      </c>
    </row>
    <row r="1318" spans="1:16" x14ac:dyDescent="0.25">
      <c r="A1318">
        <v>15</v>
      </c>
      <c r="B1318" t="s">
        <v>134</v>
      </c>
      <c r="C1318" t="s">
        <v>6656</v>
      </c>
      <c r="D1318">
        <v>8.7799999999999994</v>
      </c>
      <c r="E1318" t="s">
        <v>42</v>
      </c>
      <c r="F1318" t="s">
        <v>87</v>
      </c>
      <c r="G1318">
        <v>13.76</v>
      </c>
      <c r="H1318">
        <v>3.8</v>
      </c>
      <c r="I1318">
        <v>4.9800000000000004</v>
      </c>
      <c r="J1318">
        <v>24.8004</v>
      </c>
      <c r="K1318" t="str">
        <f>IFERROR(INDEX(Rosters!$C$2:$C$155,MATCH($B1318,Rosters!$B$2:$B$155,0)),"NA")</f>
        <v>cory</v>
      </c>
      <c r="L1318" t="str">
        <f t="shared" si="60"/>
        <v>cory15WR</v>
      </c>
      <c r="M1318">
        <f>COUNTIF(L$1:L1318,L1318)</f>
        <v>3</v>
      </c>
      <c r="N1318" t="str">
        <f t="shared" si="61"/>
        <v>cory15WR-3</v>
      </c>
      <c r="O1318">
        <f>COUNTIFS(F$1:F1318,F1318,A$1:A1318,A1318)</f>
        <v>24</v>
      </c>
      <c r="P1318" t="str">
        <f t="shared" si="62"/>
        <v>Jarvis Landry15</v>
      </c>
    </row>
    <row r="1319" spans="1:16" x14ac:dyDescent="0.25">
      <c r="A1319">
        <v>7</v>
      </c>
      <c r="B1319" t="s">
        <v>202</v>
      </c>
      <c r="C1319" t="s">
        <v>6657</v>
      </c>
      <c r="D1319">
        <v>8.77</v>
      </c>
      <c r="E1319" t="s">
        <v>22</v>
      </c>
      <c r="F1319" t="s">
        <v>47</v>
      </c>
      <c r="G1319">
        <v>14.2</v>
      </c>
      <c r="H1319">
        <v>3.34</v>
      </c>
      <c r="I1319">
        <v>5.43</v>
      </c>
      <c r="J1319">
        <v>29.4849</v>
      </c>
      <c r="K1319" t="str">
        <f>IFERROR(INDEX(Rosters!$C$2:$C$155,MATCH($B1319,Rosters!$B$2:$B$155,0)),"NA")</f>
        <v>lucas</v>
      </c>
      <c r="L1319" t="str">
        <f t="shared" si="60"/>
        <v>lucas7RB</v>
      </c>
      <c r="M1319">
        <f>COUNTIF(L$1:L1319,L1319)</f>
        <v>2</v>
      </c>
      <c r="N1319" t="str">
        <f t="shared" si="61"/>
        <v>lucas7RB-2</v>
      </c>
      <c r="O1319">
        <f>COUNTIFS(F$1:F1319,F1319,A$1:A1319,A1319)</f>
        <v>20</v>
      </c>
      <c r="P1319" t="str">
        <f t="shared" si="62"/>
        <v>Chris Thompson7</v>
      </c>
    </row>
    <row r="1320" spans="1:16" x14ac:dyDescent="0.25">
      <c r="A1320">
        <v>7</v>
      </c>
      <c r="B1320" t="s">
        <v>171</v>
      </c>
      <c r="C1320" t="s">
        <v>6658</v>
      </c>
      <c r="D1320">
        <v>8.77</v>
      </c>
      <c r="E1320" t="s">
        <v>37</v>
      </c>
      <c r="F1320" t="s">
        <v>87</v>
      </c>
      <c r="G1320">
        <v>15.9</v>
      </c>
      <c r="H1320">
        <v>1.64</v>
      </c>
      <c r="I1320">
        <v>7.13</v>
      </c>
      <c r="J1320">
        <v>50.8369</v>
      </c>
      <c r="K1320" t="str">
        <f>IFERROR(INDEX(Rosters!$C$2:$C$155,MATCH($B1320,Rosters!$B$2:$B$155,0)),"NA")</f>
        <v>matty</v>
      </c>
      <c r="L1320" t="str">
        <f t="shared" si="60"/>
        <v>matty7WR</v>
      </c>
      <c r="M1320">
        <f>COUNTIF(L$1:L1320,L1320)</f>
        <v>3</v>
      </c>
      <c r="N1320" t="str">
        <f t="shared" si="61"/>
        <v>matty7WR-3</v>
      </c>
      <c r="O1320">
        <f>COUNTIFS(F$1:F1320,F1320,A$1:A1320,A1320)</f>
        <v>19</v>
      </c>
      <c r="P1320" t="str">
        <f t="shared" si="62"/>
        <v>Corey Davis7</v>
      </c>
    </row>
    <row r="1321" spans="1:16" x14ac:dyDescent="0.25">
      <c r="A1321">
        <v>5</v>
      </c>
      <c r="B1321" t="s">
        <v>281</v>
      </c>
      <c r="C1321" t="s">
        <v>9076</v>
      </c>
      <c r="D1321">
        <v>8.76</v>
      </c>
      <c r="E1321" t="s">
        <v>34</v>
      </c>
      <c r="F1321" t="s">
        <v>47</v>
      </c>
      <c r="G1321">
        <v>17.29</v>
      </c>
      <c r="H1321">
        <v>0.23</v>
      </c>
      <c r="I1321">
        <v>8.5299999999999994</v>
      </c>
      <c r="J1321">
        <v>72.760900000000007</v>
      </c>
      <c r="K1321" t="str">
        <f>IFERROR(INDEX(Rosters!$C$2:$C$155,MATCH($B1321,Rosters!$B$2:$B$155,0)),"NA")</f>
        <v>aj</v>
      </c>
      <c r="L1321" t="str">
        <f t="shared" si="60"/>
        <v>aj5RB</v>
      </c>
      <c r="M1321">
        <f>COUNTIF(L$1:L1321,L1321)</f>
        <v>4</v>
      </c>
      <c r="N1321" t="str">
        <f t="shared" si="61"/>
        <v>aj5RB-4</v>
      </c>
      <c r="O1321">
        <f>COUNTIFS(F$1:F1321,F1321,A$1:A1321,A1321)</f>
        <v>24</v>
      </c>
      <c r="P1321" t="str">
        <f t="shared" si="62"/>
        <v>Aaron Jones5</v>
      </c>
    </row>
    <row r="1322" spans="1:16" x14ac:dyDescent="0.25">
      <c r="A1322">
        <v>11</v>
      </c>
      <c r="B1322" t="s">
        <v>251</v>
      </c>
      <c r="C1322" t="s">
        <v>6659</v>
      </c>
      <c r="D1322">
        <v>8.76</v>
      </c>
      <c r="E1322" t="s">
        <v>34</v>
      </c>
      <c r="F1322" t="s">
        <v>87</v>
      </c>
      <c r="G1322">
        <v>15.38</v>
      </c>
      <c r="H1322">
        <v>2.14</v>
      </c>
      <c r="I1322">
        <v>6.62</v>
      </c>
      <c r="J1322">
        <v>43.824399999999997</v>
      </c>
      <c r="K1322" t="str">
        <f>IFERROR(INDEX(Rosters!$C$2:$C$155,MATCH($B1322,Rosters!$B$2:$B$155,0)),"NA")</f>
        <v>chad</v>
      </c>
      <c r="L1322" t="str">
        <f t="shared" si="60"/>
        <v>chad11WR</v>
      </c>
      <c r="M1322">
        <f>COUNTIF(L$1:L1322,L1322)</f>
        <v>3</v>
      </c>
      <c r="N1322" t="str">
        <f t="shared" si="61"/>
        <v>chad11WR-3</v>
      </c>
      <c r="O1322">
        <f>COUNTIFS(F$1:F1322,F1322,A$1:A1322,A1322)</f>
        <v>22</v>
      </c>
      <c r="P1322" t="str">
        <f t="shared" si="62"/>
        <v>Devin Funchess11</v>
      </c>
    </row>
    <row r="1323" spans="1:16" x14ac:dyDescent="0.25">
      <c r="A1323">
        <v>15</v>
      </c>
      <c r="B1323" t="s">
        <v>1330</v>
      </c>
      <c r="C1323" t="s">
        <v>6660</v>
      </c>
      <c r="D1323">
        <v>8.76</v>
      </c>
      <c r="E1323" t="s">
        <v>51</v>
      </c>
      <c r="F1323" t="s">
        <v>87</v>
      </c>
      <c r="G1323">
        <v>14.8</v>
      </c>
      <c r="H1323">
        <v>2.72</v>
      </c>
      <c r="I1323">
        <v>6.04</v>
      </c>
      <c r="J1323">
        <v>36.4816</v>
      </c>
      <c r="K1323" t="str">
        <f>IFERROR(INDEX(Rosters!$C$2:$C$155,MATCH($B1323,Rosters!$B$2:$B$155,0)),"NA")</f>
        <v>chad</v>
      </c>
      <c r="L1323" t="str">
        <f t="shared" si="60"/>
        <v>chad15WR</v>
      </c>
      <c r="M1323">
        <f>COUNTIF(L$1:L1323,L1323)</f>
        <v>3</v>
      </c>
      <c r="N1323" t="str">
        <f t="shared" si="61"/>
        <v>chad15WR-3</v>
      </c>
      <c r="O1323">
        <f>COUNTIFS(F$1:F1323,F1323,A$1:A1323,A1323)</f>
        <v>25</v>
      </c>
      <c r="P1323" t="str">
        <f t="shared" si="62"/>
        <v>Julian Edelman15</v>
      </c>
    </row>
    <row r="1324" spans="1:16" x14ac:dyDescent="0.25">
      <c r="A1324">
        <v>16</v>
      </c>
      <c r="B1324" t="s">
        <v>105</v>
      </c>
      <c r="C1324" t="s">
        <v>6661</v>
      </c>
      <c r="D1324">
        <v>8.75</v>
      </c>
      <c r="E1324" t="s">
        <v>24</v>
      </c>
      <c r="F1324" t="s">
        <v>87</v>
      </c>
      <c r="G1324">
        <v>15.33</v>
      </c>
      <c r="H1324">
        <v>2.17</v>
      </c>
      <c r="I1324">
        <v>6.58</v>
      </c>
      <c r="J1324">
        <v>43.296399999999998</v>
      </c>
      <c r="K1324" t="str">
        <f>IFERROR(INDEX(Rosters!$C$2:$C$155,MATCH($B1324,Rosters!$B$2:$B$155,0)),"NA")</f>
        <v>chad</v>
      </c>
      <c r="L1324" t="str">
        <f t="shared" si="60"/>
        <v>chad16WR</v>
      </c>
      <c r="M1324">
        <f>COUNTIF(L$1:L1324,L1324)</f>
        <v>4</v>
      </c>
      <c r="N1324" t="str">
        <f t="shared" si="61"/>
        <v>chad16WR-4</v>
      </c>
      <c r="O1324">
        <f>COUNTIFS(F$1:F1324,F1324,A$1:A1324,A1324)</f>
        <v>28</v>
      </c>
      <c r="P1324" t="str">
        <f t="shared" si="62"/>
        <v>Doug Baldwin16</v>
      </c>
    </row>
    <row r="1325" spans="1:16" x14ac:dyDescent="0.25">
      <c r="A1325">
        <v>14</v>
      </c>
      <c r="B1325" t="s">
        <v>81</v>
      </c>
      <c r="C1325" t="s">
        <v>6662</v>
      </c>
      <c r="D1325">
        <v>8.75</v>
      </c>
      <c r="E1325" t="s">
        <v>73</v>
      </c>
      <c r="F1325" t="s">
        <v>47</v>
      </c>
      <c r="G1325">
        <v>14.9</v>
      </c>
      <c r="H1325">
        <v>2.6</v>
      </c>
      <c r="I1325">
        <v>6.15</v>
      </c>
      <c r="J1325">
        <v>37.822499999999998</v>
      </c>
      <c r="K1325" t="str">
        <f>IFERROR(INDEX(Rosters!$C$2:$C$155,MATCH($B1325,Rosters!$B$2:$B$155,0)),"NA")</f>
        <v>aj</v>
      </c>
      <c r="L1325" t="str">
        <f t="shared" si="60"/>
        <v>aj14RB</v>
      </c>
      <c r="M1325">
        <f>COUNTIF(L$1:L1325,L1325)</f>
        <v>3</v>
      </c>
      <c r="N1325" t="str">
        <f t="shared" si="61"/>
        <v>aj14RB-3</v>
      </c>
      <c r="O1325">
        <f>COUNTIFS(F$1:F1325,F1325,A$1:A1325,A1325)</f>
        <v>22</v>
      </c>
      <c r="P1325" t="str">
        <f t="shared" si="62"/>
        <v>LeSean McCoy14</v>
      </c>
    </row>
    <row r="1326" spans="1:16" x14ac:dyDescent="0.25">
      <c r="A1326">
        <v>17</v>
      </c>
      <c r="B1326" t="s">
        <v>126</v>
      </c>
      <c r="C1326" t="s">
        <v>6663</v>
      </c>
      <c r="D1326">
        <v>8.74</v>
      </c>
      <c r="E1326" t="s">
        <v>60</v>
      </c>
      <c r="F1326" t="s">
        <v>87</v>
      </c>
      <c r="G1326">
        <v>14.59</v>
      </c>
      <c r="H1326">
        <v>2.89</v>
      </c>
      <c r="I1326">
        <v>5.85</v>
      </c>
      <c r="J1326">
        <v>34.222499999999997</v>
      </c>
      <c r="K1326" t="str">
        <f>IFERROR(INDEX(Rosters!$C$2:$C$155,MATCH($B1326,Rosters!$B$2:$B$155,0)),"NA")</f>
        <v>devon</v>
      </c>
      <c r="L1326" t="str">
        <f t="shared" si="60"/>
        <v>devon17WR</v>
      </c>
      <c r="M1326">
        <f>COUNTIF(L$1:L1326,L1326)</f>
        <v>4</v>
      </c>
      <c r="N1326" t="str">
        <f t="shared" si="61"/>
        <v>devon17WR-4</v>
      </c>
      <c r="O1326">
        <f>COUNTIFS(F$1:F1326,F1326,A$1:A1326,A1326)</f>
        <v>26</v>
      </c>
      <c r="P1326" t="str">
        <f t="shared" si="62"/>
        <v>Alshon Jeffery17</v>
      </c>
    </row>
    <row r="1327" spans="1:16" x14ac:dyDescent="0.25">
      <c r="A1327">
        <v>4</v>
      </c>
      <c r="B1327" t="s">
        <v>201</v>
      </c>
      <c r="C1327" t="s">
        <v>4469</v>
      </c>
      <c r="D1327">
        <v>8.74</v>
      </c>
      <c r="E1327" t="s">
        <v>50</v>
      </c>
      <c r="F1327" t="s">
        <v>47</v>
      </c>
      <c r="G1327">
        <v>14.16</v>
      </c>
      <c r="H1327">
        <v>3.32</v>
      </c>
      <c r="I1327">
        <v>5.42</v>
      </c>
      <c r="J1327">
        <v>29.3764</v>
      </c>
      <c r="K1327" t="str">
        <f>IFERROR(INDEX(Rosters!$C$2:$C$155,MATCH($B1327,Rosters!$B$2:$B$155,0)),"NA")</f>
        <v>seth</v>
      </c>
      <c r="L1327" t="str">
        <f t="shared" si="60"/>
        <v>seth4RB</v>
      </c>
      <c r="M1327">
        <f>COUNTIF(L$1:L1327,L1327)</f>
        <v>3</v>
      </c>
      <c r="N1327" t="str">
        <f t="shared" si="61"/>
        <v>seth4RB-3</v>
      </c>
      <c r="O1327">
        <f>COUNTIFS(F$1:F1327,F1327,A$1:A1327,A1327)</f>
        <v>21</v>
      </c>
      <c r="P1327" t="str">
        <f t="shared" si="62"/>
        <v>Derrick Henry4</v>
      </c>
    </row>
    <row r="1328" spans="1:16" x14ac:dyDescent="0.25">
      <c r="A1328">
        <v>2</v>
      </c>
      <c r="B1328" t="s">
        <v>613</v>
      </c>
      <c r="C1328" t="s">
        <v>3674</v>
      </c>
      <c r="D1328">
        <v>8.74</v>
      </c>
      <c r="E1328" t="s">
        <v>30</v>
      </c>
      <c r="F1328" t="s">
        <v>87</v>
      </c>
      <c r="G1328">
        <v>14.57</v>
      </c>
      <c r="H1328">
        <v>2.91</v>
      </c>
      <c r="I1328">
        <v>5.83</v>
      </c>
      <c r="J1328">
        <v>33.988900000000001</v>
      </c>
      <c r="K1328" t="str">
        <f>IFERROR(INDEX(Rosters!$C$2:$C$155,MATCH($B1328,Rosters!$B$2:$B$155,0)),"NA")</f>
        <v>matty</v>
      </c>
      <c r="L1328" t="str">
        <f t="shared" si="60"/>
        <v>matty2WR</v>
      </c>
      <c r="M1328">
        <f>COUNTIF(L$1:L1328,L1328)</f>
        <v>2</v>
      </c>
      <c r="N1328" t="str">
        <f t="shared" si="61"/>
        <v>matty2WR-2</v>
      </c>
      <c r="O1328">
        <f>COUNTIFS(F$1:F1328,F1328,A$1:A1328,A1328)</f>
        <v>21</v>
      </c>
      <c r="P1328" t="str">
        <f t="shared" si="62"/>
        <v>Marvin Jones Jr.2</v>
      </c>
    </row>
    <row r="1329" spans="1:16" x14ac:dyDescent="0.25">
      <c r="A1329">
        <v>1</v>
      </c>
      <c r="B1329" t="s">
        <v>136</v>
      </c>
      <c r="C1329" t="s">
        <v>1337</v>
      </c>
      <c r="D1329">
        <v>8.73</v>
      </c>
      <c r="E1329" t="s">
        <v>28</v>
      </c>
      <c r="F1329" t="s">
        <v>87</v>
      </c>
      <c r="G1329">
        <v>13.45</v>
      </c>
      <c r="H1329">
        <v>4.01</v>
      </c>
      <c r="I1329">
        <v>4.72</v>
      </c>
      <c r="J1329">
        <v>22.278400000000001</v>
      </c>
      <c r="K1329" t="str">
        <f>IFERROR(INDEX(Rosters!$C$2:$C$155,MATCH($B1329,Rosters!$B$2:$B$155,0)),"NA")</f>
        <v>devon</v>
      </c>
      <c r="L1329" t="str">
        <f t="shared" si="60"/>
        <v>devon1WR</v>
      </c>
      <c r="M1329">
        <f>COUNTIF(L$1:L1329,L1329)</f>
        <v>3</v>
      </c>
      <c r="N1329" t="str">
        <f t="shared" si="61"/>
        <v>devon1WR-3</v>
      </c>
      <c r="O1329">
        <f>COUNTIFS(F$1:F1329,F1329,A$1:A1329,A1329)</f>
        <v>18</v>
      </c>
      <c r="P1329" t="str">
        <f t="shared" si="62"/>
        <v>Demaryius Thomas1</v>
      </c>
    </row>
    <row r="1330" spans="1:16" x14ac:dyDescent="0.25">
      <c r="A1330">
        <v>3</v>
      </c>
      <c r="B1330" t="s">
        <v>140</v>
      </c>
      <c r="C1330" t="s">
        <v>3900</v>
      </c>
      <c r="D1330">
        <v>8.73</v>
      </c>
      <c r="E1330" t="s">
        <v>72</v>
      </c>
      <c r="F1330" t="s">
        <v>87</v>
      </c>
      <c r="G1330">
        <v>13.4</v>
      </c>
      <c r="H1330">
        <v>4.0599999999999996</v>
      </c>
      <c r="I1330">
        <v>4.67</v>
      </c>
      <c r="J1330">
        <v>21.808900000000001</v>
      </c>
      <c r="K1330" t="str">
        <f>IFERROR(INDEX(Rosters!$C$2:$C$155,MATCH($B1330,Rosters!$B$2:$B$155,0)),"NA")</f>
        <v>seth</v>
      </c>
      <c r="L1330" t="str">
        <f t="shared" si="60"/>
        <v>seth3WR</v>
      </c>
      <c r="M1330">
        <f>COUNTIF(L$1:L1330,L1330)</f>
        <v>3</v>
      </c>
      <c r="N1330" t="str">
        <f t="shared" si="61"/>
        <v>seth3WR-3</v>
      </c>
      <c r="O1330">
        <f>COUNTIFS(F$1:F1330,F1330,A$1:A1330,A1330)</f>
        <v>21</v>
      </c>
      <c r="P1330" t="str">
        <f t="shared" si="62"/>
        <v>Larry Fitzgerald3</v>
      </c>
    </row>
    <row r="1331" spans="1:16" x14ac:dyDescent="0.25">
      <c r="A1331">
        <v>1</v>
      </c>
      <c r="B1331" t="s">
        <v>124</v>
      </c>
      <c r="C1331" t="s">
        <v>1338</v>
      </c>
      <c r="D1331">
        <v>8.7100000000000009</v>
      </c>
      <c r="E1331" t="s">
        <v>37</v>
      </c>
      <c r="F1331" t="s">
        <v>87</v>
      </c>
      <c r="G1331">
        <v>14.7</v>
      </c>
      <c r="H1331">
        <v>2.72</v>
      </c>
      <c r="I1331">
        <v>5.99</v>
      </c>
      <c r="J1331">
        <v>35.880099999999999</v>
      </c>
      <c r="K1331" t="str">
        <f>IFERROR(INDEX(Rosters!$C$2:$C$155,MATCH($B1331,Rosters!$B$2:$B$155,0)),"NA")</f>
        <v>matty</v>
      </c>
      <c r="L1331" t="str">
        <f t="shared" si="60"/>
        <v>matty1WR</v>
      </c>
      <c r="M1331">
        <f>COUNTIF(L$1:L1331,L1331)</f>
        <v>2</v>
      </c>
      <c r="N1331" t="str">
        <f t="shared" si="61"/>
        <v>matty1WR-2</v>
      </c>
      <c r="O1331">
        <f>COUNTIFS(F$1:F1331,F1331,A$1:A1331,A1331)</f>
        <v>19</v>
      </c>
      <c r="P1331" t="str">
        <f t="shared" si="62"/>
        <v>Tyreek Hill1</v>
      </c>
    </row>
    <row r="1332" spans="1:16" x14ac:dyDescent="0.25">
      <c r="A1332">
        <v>16</v>
      </c>
      <c r="B1332" t="s">
        <v>256</v>
      </c>
      <c r="C1332" t="s">
        <v>6664</v>
      </c>
      <c r="D1332">
        <v>8.6999999999999993</v>
      </c>
      <c r="E1332" t="s">
        <v>58</v>
      </c>
      <c r="F1332" t="s">
        <v>87</v>
      </c>
      <c r="G1332">
        <v>13.72</v>
      </c>
      <c r="H1332">
        <v>3.68</v>
      </c>
      <c r="I1332">
        <v>5.0199999999999996</v>
      </c>
      <c r="J1332">
        <v>25.200399999999998</v>
      </c>
      <c r="K1332" t="str">
        <f>IFERROR(INDEX(Rosters!$C$2:$C$155,MATCH($B1332,Rosters!$B$2:$B$155,0)),"NA")</f>
        <v>lucas</v>
      </c>
      <c r="L1332" t="str">
        <f t="shared" si="60"/>
        <v>lucas16WR</v>
      </c>
      <c r="M1332">
        <f>COUNTIF(L$1:L1332,L1332)</f>
        <v>2</v>
      </c>
      <c r="N1332" t="str">
        <f t="shared" si="61"/>
        <v>lucas16WR-2</v>
      </c>
      <c r="O1332">
        <f>COUNTIFS(F$1:F1332,F1332,A$1:A1332,A1332)</f>
        <v>29</v>
      </c>
      <c r="P1332" t="str">
        <f t="shared" si="62"/>
        <v>Cooper Kupp16</v>
      </c>
    </row>
    <row r="1333" spans="1:16" x14ac:dyDescent="0.25">
      <c r="A1333">
        <v>4</v>
      </c>
      <c r="B1333" t="s">
        <v>195</v>
      </c>
      <c r="C1333" t="s">
        <v>4470</v>
      </c>
      <c r="D1333">
        <v>8.69</v>
      </c>
      <c r="E1333" t="s">
        <v>22</v>
      </c>
      <c r="F1333" t="s">
        <v>87</v>
      </c>
      <c r="G1333">
        <v>15.99</v>
      </c>
      <c r="H1333">
        <v>1.39</v>
      </c>
      <c r="I1333">
        <v>7.3</v>
      </c>
      <c r="J1333">
        <v>53.29</v>
      </c>
      <c r="K1333" t="str">
        <f>IFERROR(INDEX(Rosters!$C$2:$C$155,MATCH($B1333,Rosters!$B$2:$B$155,0)),"NA")</f>
        <v>scott</v>
      </c>
      <c r="L1333" t="str">
        <f t="shared" si="60"/>
        <v>scott4WR</v>
      </c>
      <c r="M1333">
        <f>COUNTIF(L$1:L1333,L1333)</f>
        <v>2</v>
      </c>
      <c r="N1333" t="str">
        <f t="shared" si="61"/>
        <v>scott4WR-2</v>
      </c>
      <c r="O1333">
        <f>COUNTIFS(F$1:F1333,F1333,A$1:A1333,A1333)</f>
        <v>23</v>
      </c>
      <c r="P1333" t="str">
        <f t="shared" si="62"/>
        <v>Kenny Golladay4</v>
      </c>
    </row>
    <row r="1334" spans="1:16" x14ac:dyDescent="0.25">
      <c r="A1334">
        <v>15</v>
      </c>
      <c r="B1334" t="s">
        <v>116</v>
      </c>
      <c r="C1334" t="s">
        <v>6665</v>
      </c>
      <c r="D1334">
        <v>8.69</v>
      </c>
      <c r="E1334" t="s">
        <v>17</v>
      </c>
      <c r="F1334" t="s">
        <v>87</v>
      </c>
      <c r="G1334">
        <v>14.72</v>
      </c>
      <c r="H1334">
        <v>2.66</v>
      </c>
      <c r="I1334">
        <v>6.03</v>
      </c>
      <c r="J1334">
        <v>36.360900000000001</v>
      </c>
      <c r="K1334" t="str">
        <f>IFERROR(INDEX(Rosters!$C$2:$C$155,MATCH($B1334,Rosters!$B$2:$B$155,0)),"NA")</f>
        <v>aj</v>
      </c>
      <c r="L1334" t="str">
        <f t="shared" si="60"/>
        <v>aj15WR</v>
      </c>
      <c r="M1334">
        <f>COUNTIF(L$1:L1334,L1334)</f>
        <v>4</v>
      </c>
      <c r="N1334" t="str">
        <f t="shared" si="61"/>
        <v>aj15WR-4</v>
      </c>
      <c r="O1334">
        <f>COUNTIFS(F$1:F1334,F1334,A$1:A1334,A1334)</f>
        <v>26</v>
      </c>
      <c r="P1334" t="str">
        <f t="shared" si="62"/>
        <v>Michael Crabtree15</v>
      </c>
    </row>
    <row r="1335" spans="1:16" x14ac:dyDescent="0.25">
      <c r="A1335">
        <v>2</v>
      </c>
      <c r="B1335" t="s">
        <v>240</v>
      </c>
      <c r="C1335" t="s">
        <v>3329</v>
      </c>
      <c r="D1335">
        <v>8.69</v>
      </c>
      <c r="E1335" t="s">
        <v>17</v>
      </c>
      <c r="F1335" t="s">
        <v>87</v>
      </c>
      <c r="G1335">
        <v>15.58</v>
      </c>
      <c r="H1335">
        <v>1.8</v>
      </c>
      <c r="I1335">
        <v>6.89</v>
      </c>
      <c r="J1335">
        <v>47.472099999999998</v>
      </c>
      <c r="K1335" t="str">
        <f>IFERROR(INDEX(Rosters!$C$2:$C$155,MATCH($B1335,Rosters!$B$2:$B$155,0)),"NA")</f>
        <v>aj</v>
      </c>
      <c r="L1335" t="str">
        <f t="shared" si="60"/>
        <v>aj2WR</v>
      </c>
      <c r="M1335">
        <f>COUNTIF(L$1:L1335,L1335)</f>
        <v>4</v>
      </c>
      <c r="N1335" t="str">
        <f t="shared" si="61"/>
        <v>aj2WR-4</v>
      </c>
      <c r="O1335">
        <f>COUNTIFS(F$1:F1335,F1335,A$1:A1335,A1335)</f>
        <v>22</v>
      </c>
      <c r="P1335" t="str">
        <f t="shared" si="62"/>
        <v>Nelson Agholor2</v>
      </c>
    </row>
    <row r="1336" spans="1:16" x14ac:dyDescent="0.25">
      <c r="A1336">
        <v>7</v>
      </c>
      <c r="B1336" t="s">
        <v>221</v>
      </c>
      <c r="C1336" t="s">
        <v>6666</v>
      </c>
      <c r="D1336">
        <v>8.69</v>
      </c>
      <c r="E1336" t="s">
        <v>24</v>
      </c>
      <c r="F1336" t="s">
        <v>87</v>
      </c>
      <c r="G1336">
        <v>13.25</v>
      </c>
      <c r="H1336">
        <v>4.13</v>
      </c>
      <c r="I1336">
        <v>4.5599999999999996</v>
      </c>
      <c r="J1336">
        <v>20.793600000000001</v>
      </c>
      <c r="K1336" t="str">
        <f>IFERROR(INDEX(Rosters!$C$2:$C$155,MATCH($B1336,Rosters!$B$2:$B$155,0)),"NA")</f>
        <v>cory</v>
      </c>
      <c r="L1336" t="str">
        <f t="shared" si="60"/>
        <v>cory7WR</v>
      </c>
      <c r="M1336">
        <f>COUNTIF(L$1:L1336,L1336)</f>
        <v>4</v>
      </c>
      <c r="N1336" t="str">
        <f t="shared" si="61"/>
        <v>cory7WR-4</v>
      </c>
      <c r="O1336">
        <f>COUNTIFS(F$1:F1336,F1336,A$1:A1336,A1336)</f>
        <v>20</v>
      </c>
      <c r="P1336" t="str">
        <f t="shared" si="62"/>
        <v>Tyler Boyd7</v>
      </c>
    </row>
    <row r="1337" spans="1:16" x14ac:dyDescent="0.25">
      <c r="A1337">
        <v>5</v>
      </c>
      <c r="B1337" t="s">
        <v>266</v>
      </c>
      <c r="C1337" t="s">
        <v>6667</v>
      </c>
      <c r="D1337">
        <v>8.69</v>
      </c>
      <c r="E1337" t="s">
        <v>22</v>
      </c>
      <c r="F1337" t="s">
        <v>87</v>
      </c>
      <c r="G1337">
        <v>15.49</v>
      </c>
      <c r="H1337">
        <v>1.89</v>
      </c>
      <c r="I1337">
        <v>6.8</v>
      </c>
      <c r="J1337">
        <v>46.24</v>
      </c>
      <c r="K1337" t="str">
        <f>IFERROR(INDEX(Rosters!$C$2:$C$155,MATCH($B1337,Rosters!$B$2:$B$155,0)),"NA")</f>
        <v>perry</v>
      </c>
      <c r="L1337" t="str">
        <f t="shared" si="60"/>
        <v>perry5WR</v>
      </c>
      <c r="M1337">
        <f>COUNTIF(L$1:L1337,L1337)</f>
        <v>2</v>
      </c>
      <c r="N1337" t="str">
        <f t="shared" si="61"/>
        <v>perry5WR-2</v>
      </c>
      <c r="O1337">
        <f>COUNTIFS(F$1:F1337,F1337,A$1:A1337,A1337)</f>
        <v>23</v>
      </c>
      <c r="P1337" t="str">
        <f t="shared" si="62"/>
        <v>Will Fuller V5</v>
      </c>
    </row>
    <row r="1338" spans="1:16" x14ac:dyDescent="0.25">
      <c r="A1338">
        <v>15</v>
      </c>
      <c r="B1338" t="s">
        <v>207</v>
      </c>
      <c r="C1338" t="s">
        <v>6668</v>
      </c>
      <c r="D1338">
        <v>8.68</v>
      </c>
      <c r="E1338" t="s">
        <v>54</v>
      </c>
      <c r="F1338" t="s">
        <v>47</v>
      </c>
      <c r="G1338">
        <v>15.43</v>
      </c>
      <c r="H1338">
        <v>1.93</v>
      </c>
      <c r="I1338">
        <v>6.75</v>
      </c>
      <c r="J1338">
        <v>45.5625</v>
      </c>
      <c r="K1338" t="str">
        <f>IFERROR(INDEX(Rosters!$C$2:$C$155,MATCH($B1338,Rosters!$B$2:$B$155,0)),"NA")</f>
        <v>chad</v>
      </c>
      <c r="L1338" t="str">
        <f t="shared" si="60"/>
        <v>chad15RB</v>
      </c>
      <c r="M1338">
        <f>COUNTIF(L$1:L1338,L1338)</f>
        <v>3</v>
      </c>
      <c r="N1338" t="str">
        <f t="shared" si="61"/>
        <v>chad15RB-3</v>
      </c>
      <c r="O1338">
        <f>COUNTIFS(F$1:F1338,F1338,A$1:A1338,A1338)</f>
        <v>23</v>
      </c>
      <c r="P1338" t="str">
        <f t="shared" si="62"/>
        <v>Dion Lewis15</v>
      </c>
    </row>
    <row r="1339" spans="1:16" x14ac:dyDescent="0.25">
      <c r="A1339">
        <v>11</v>
      </c>
      <c r="B1339" t="s">
        <v>195</v>
      </c>
      <c r="C1339" t="s">
        <v>6669</v>
      </c>
      <c r="D1339">
        <v>8.68</v>
      </c>
      <c r="E1339" t="s">
        <v>74</v>
      </c>
      <c r="F1339" t="s">
        <v>87</v>
      </c>
      <c r="G1339">
        <v>15.35</v>
      </c>
      <c r="H1339">
        <v>2.0099999999999998</v>
      </c>
      <c r="I1339">
        <v>6.67</v>
      </c>
      <c r="J1339">
        <v>44.488900000000001</v>
      </c>
      <c r="K1339" t="str">
        <f>IFERROR(INDEX(Rosters!$C$2:$C$155,MATCH($B1339,Rosters!$B$2:$B$155,0)),"NA")</f>
        <v>scott</v>
      </c>
      <c r="L1339" t="str">
        <f t="shared" si="60"/>
        <v>scott11WR</v>
      </c>
      <c r="M1339">
        <f>COUNTIF(L$1:L1339,L1339)</f>
        <v>2</v>
      </c>
      <c r="N1339" t="str">
        <f t="shared" si="61"/>
        <v>scott11WR-2</v>
      </c>
      <c r="O1339">
        <f>COUNTIFS(F$1:F1339,F1339,A$1:A1339,A1339)</f>
        <v>23</v>
      </c>
      <c r="P1339" t="str">
        <f t="shared" si="62"/>
        <v>Kenny Golladay11</v>
      </c>
    </row>
    <row r="1340" spans="1:16" x14ac:dyDescent="0.25">
      <c r="A1340">
        <v>17</v>
      </c>
      <c r="B1340" t="s">
        <v>81</v>
      </c>
      <c r="C1340" t="s">
        <v>6670</v>
      </c>
      <c r="D1340">
        <v>8.68</v>
      </c>
      <c r="E1340" t="s">
        <v>19</v>
      </c>
      <c r="F1340" t="s">
        <v>47</v>
      </c>
      <c r="G1340">
        <v>15.02</v>
      </c>
      <c r="H1340">
        <v>2.34</v>
      </c>
      <c r="I1340">
        <v>6.34</v>
      </c>
      <c r="J1340">
        <v>40.195599999999999</v>
      </c>
      <c r="K1340" t="str">
        <f>IFERROR(INDEX(Rosters!$C$2:$C$155,MATCH($B1340,Rosters!$B$2:$B$155,0)),"NA")</f>
        <v>aj</v>
      </c>
      <c r="L1340" t="str">
        <f t="shared" si="60"/>
        <v>aj17RB</v>
      </c>
      <c r="M1340">
        <f>COUNTIF(L$1:L1340,L1340)</f>
        <v>4</v>
      </c>
      <c r="N1340" t="str">
        <f t="shared" si="61"/>
        <v>aj17RB-4</v>
      </c>
      <c r="O1340">
        <f>COUNTIFS(F$1:F1340,F1340,A$1:A1340,A1340)</f>
        <v>27</v>
      </c>
      <c r="P1340" t="str">
        <f t="shared" si="62"/>
        <v>LeSean McCoy17</v>
      </c>
    </row>
    <row r="1341" spans="1:16" x14ac:dyDescent="0.25">
      <c r="A1341">
        <v>6</v>
      </c>
      <c r="B1341" t="s">
        <v>145</v>
      </c>
      <c r="C1341" t="s">
        <v>6671</v>
      </c>
      <c r="D1341">
        <v>8.68</v>
      </c>
      <c r="E1341" t="s">
        <v>17</v>
      </c>
      <c r="F1341" t="s">
        <v>47</v>
      </c>
      <c r="G1341">
        <v>15.09</v>
      </c>
      <c r="H1341">
        <v>2.27</v>
      </c>
      <c r="I1341">
        <v>6.41</v>
      </c>
      <c r="J1341">
        <v>41.088099999999997</v>
      </c>
      <c r="K1341" t="str">
        <f>IFERROR(INDEX(Rosters!$C$2:$C$155,MATCH($B1341,Rosters!$B$2:$B$155,0)),"NA")</f>
        <v>lucas</v>
      </c>
      <c r="L1341" t="str">
        <f t="shared" si="60"/>
        <v>lucas6RB</v>
      </c>
      <c r="M1341">
        <f>COUNTIF(L$1:L1341,L1341)</f>
        <v>2</v>
      </c>
      <c r="N1341" t="str">
        <f t="shared" si="61"/>
        <v>lucas6RB-2</v>
      </c>
      <c r="O1341">
        <f>COUNTIFS(F$1:F1341,F1341,A$1:A1341,A1341)</f>
        <v>22</v>
      </c>
      <c r="P1341" t="str">
        <f t="shared" si="62"/>
        <v>Tevin Coleman6</v>
      </c>
    </row>
    <row r="1342" spans="1:16" x14ac:dyDescent="0.25">
      <c r="A1342">
        <v>3</v>
      </c>
      <c r="B1342" t="s">
        <v>149</v>
      </c>
      <c r="C1342" t="s">
        <v>3675</v>
      </c>
      <c r="D1342">
        <v>8.67</v>
      </c>
      <c r="E1342" t="s">
        <v>77</v>
      </c>
      <c r="F1342" t="s">
        <v>87</v>
      </c>
      <c r="G1342">
        <v>15.08</v>
      </c>
      <c r="H1342">
        <v>2.2599999999999998</v>
      </c>
      <c r="I1342">
        <v>6.41</v>
      </c>
      <c r="J1342">
        <v>41.088099999999997</v>
      </c>
      <c r="K1342" t="str">
        <f>IFERROR(INDEX(Rosters!$C$2:$C$155,MATCH($B1342,Rosters!$B$2:$B$155,0)),"NA")</f>
        <v>comp</v>
      </c>
      <c r="L1342" t="str">
        <f t="shared" si="60"/>
        <v>comp3WR</v>
      </c>
      <c r="M1342">
        <f>COUNTIF(L$1:L1342,L1342)</f>
        <v>3</v>
      </c>
      <c r="N1342" t="str">
        <f t="shared" si="61"/>
        <v>comp3WR-3</v>
      </c>
      <c r="O1342">
        <f>COUNTIFS(F$1:F1342,F1342,A$1:A1342,A1342)</f>
        <v>22</v>
      </c>
      <c r="P1342" t="str">
        <f t="shared" si="62"/>
        <v>Emmanuel Sanders3</v>
      </c>
    </row>
    <row r="1343" spans="1:16" x14ac:dyDescent="0.25">
      <c r="A1343">
        <v>10</v>
      </c>
      <c r="B1343" t="s">
        <v>220</v>
      </c>
      <c r="C1343" t="s">
        <v>6672</v>
      </c>
      <c r="D1343">
        <v>8.67</v>
      </c>
      <c r="E1343" t="s">
        <v>41</v>
      </c>
      <c r="F1343" t="s">
        <v>87</v>
      </c>
      <c r="G1343">
        <v>14.98</v>
      </c>
      <c r="H1343">
        <v>2.36</v>
      </c>
      <c r="I1343">
        <v>6.31</v>
      </c>
      <c r="J1343">
        <v>39.816099999999999</v>
      </c>
      <c r="K1343" t="str">
        <f>IFERROR(INDEX(Rosters!$C$2:$C$155,MATCH($B1343,Rosters!$B$2:$B$155,0)),"NA")</f>
        <v>comp</v>
      </c>
      <c r="L1343" t="str">
        <f t="shared" si="60"/>
        <v>comp10WR</v>
      </c>
      <c r="M1343">
        <f>COUNTIF(L$1:L1343,L1343)</f>
        <v>3</v>
      </c>
      <c r="N1343" t="str">
        <f t="shared" si="61"/>
        <v>comp10WR-3</v>
      </c>
      <c r="O1343">
        <f>COUNTIFS(F$1:F1343,F1343,A$1:A1343,A1343)</f>
        <v>25</v>
      </c>
      <c r="P1343" t="str">
        <f t="shared" si="62"/>
        <v>Kenny Stills10</v>
      </c>
    </row>
    <row r="1344" spans="1:16" x14ac:dyDescent="0.25">
      <c r="A1344">
        <v>5</v>
      </c>
      <c r="B1344" t="s">
        <v>1326</v>
      </c>
      <c r="C1344" t="s">
        <v>6673</v>
      </c>
      <c r="D1344">
        <v>8.67</v>
      </c>
      <c r="E1344" t="s">
        <v>41</v>
      </c>
      <c r="F1344" t="s">
        <v>47</v>
      </c>
      <c r="G1344">
        <v>15.33</v>
      </c>
      <c r="H1344">
        <v>2.0099999999999998</v>
      </c>
      <c r="I1344">
        <v>6.66</v>
      </c>
      <c r="J1344">
        <v>44.355600000000003</v>
      </c>
      <c r="K1344" t="str">
        <f>IFERROR(INDEX(Rosters!$C$2:$C$155,MATCH($B1344,Rosters!$B$2:$B$155,0)),"NA")</f>
        <v>devon</v>
      </c>
      <c r="L1344" t="str">
        <f t="shared" si="60"/>
        <v>devon5RB</v>
      </c>
      <c r="M1344">
        <f>COUNTIF(L$1:L1344,L1344)</f>
        <v>4</v>
      </c>
      <c r="N1344" t="str">
        <f t="shared" si="61"/>
        <v>devon5RB-4</v>
      </c>
      <c r="O1344">
        <f>COUNTIFS(F$1:F1344,F1344,A$1:A1344,A1344)</f>
        <v>25</v>
      </c>
      <c r="P1344" t="str">
        <f t="shared" si="62"/>
        <v>Kerryon Johnson5</v>
      </c>
    </row>
    <row r="1345" spans="1:16" x14ac:dyDescent="0.25">
      <c r="A1345">
        <v>10</v>
      </c>
      <c r="B1345" t="s">
        <v>1422</v>
      </c>
      <c r="C1345" t="s">
        <v>4471</v>
      </c>
      <c r="D1345">
        <v>8.66</v>
      </c>
      <c r="E1345" t="s">
        <v>52</v>
      </c>
      <c r="F1345" t="s">
        <v>87</v>
      </c>
      <c r="G1345">
        <v>14.78</v>
      </c>
      <c r="H1345">
        <v>2.54</v>
      </c>
      <c r="I1345">
        <v>6.12</v>
      </c>
      <c r="J1345">
        <v>37.4544</v>
      </c>
      <c r="K1345" t="str">
        <f>IFERROR(INDEX(Rosters!$C$2:$C$155,MATCH($B1345,Rosters!$B$2:$B$155,0)),"NA")</f>
        <v>comp</v>
      </c>
      <c r="L1345" t="str">
        <f t="shared" si="60"/>
        <v>comp10WR</v>
      </c>
      <c r="M1345">
        <f>COUNTIF(L$1:L1345,L1345)</f>
        <v>4</v>
      </c>
      <c r="N1345" t="str">
        <f t="shared" si="61"/>
        <v>comp10WR-4</v>
      </c>
      <c r="O1345">
        <f>COUNTIFS(F$1:F1345,F1345,A$1:A1345,A1345)</f>
        <v>26</v>
      </c>
      <c r="P1345" t="str">
        <f t="shared" si="62"/>
        <v>Calvin Ridley10</v>
      </c>
    </row>
    <row r="1346" spans="1:16" x14ac:dyDescent="0.25">
      <c r="A1346">
        <v>1</v>
      </c>
      <c r="B1346" t="s">
        <v>132</v>
      </c>
      <c r="C1346" t="s">
        <v>1339</v>
      </c>
      <c r="D1346">
        <v>8.66</v>
      </c>
      <c r="E1346" t="s">
        <v>56</v>
      </c>
      <c r="F1346" t="s">
        <v>47</v>
      </c>
      <c r="G1346">
        <v>15.35</v>
      </c>
      <c r="H1346">
        <v>1.97</v>
      </c>
      <c r="I1346">
        <v>6.69</v>
      </c>
      <c r="J1346">
        <v>44.756100000000004</v>
      </c>
      <c r="K1346" t="str">
        <f>IFERROR(INDEX(Rosters!$C$2:$C$155,MATCH($B1346,Rosters!$B$2:$B$155,0)),"NA")</f>
        <v>scott</v>
      </c>
      <c r="L1346" t="str">
        <f t="shared" si="60"/>
        <v>scott1RB</v>
      </c>
      <c r="M1346">
        <f>COUNTIF(L$1:L1346,L1346)</f>
        <v>3</v>
      </c>
      <c r="N1346" t="str">
        <f t="shared" si="61"/>
        <v>scott1RB-3</v>
      </c>
      <c r="O1346">
        <f>COUNTIFS(F$1:F1346,F1346,A$1:A1346,A1346)</f>
        <v>22</v>
      </c>
      <c r="P1346" t="str">
        <f t="shared" si="62"/>
        <v>Marshawn Lynch1</v>
      </c>
    </row>
    <row r="1347" spans="1:16" x14ac:dyDescent="0.25">
      <c r="A1347">
        <v>5</v>
      </c>
      <c r="B1347" t="s">
        <v>162</v>
      </c>
      <c r="C1347" t="s">
        <v>9077</v>
      </c>
      <c r="D1347">
        <v>8.65</v>
      </c>
      <c r="E1347" t="s">
        <v>34</v>
      </c>
      <c r="F1347" t="s">
        <v>114</v>
      </c>
      <c r="G1347">
        <v>15.25</v>
      </c>
      <c r="H1347">
        <v>2.0499999999999998</v>
      </c>
      <c r="I1347">
        <v>6.6</v>
      </c>
      <c r="J1347">
        <v>43.56</v>
      </c>
      <c r="K1347" t="str">
        <f>IFERROR(INDEX(Rosters!$C$2:$C$155,MATCH($B1347,Rosters!$B$2:$B$155,0)),"NA")</f>
        <v>seth</v>
      </c>
      <c r="L1347" t="str">
        <f t="shared" ref="L1347:L1410" si="63">K1347&amp;A1347&amp;F1347</f>
        <v>seth5TE</v>
      </c>
      <c r="M1347">
        <f>COUNTIF(L$1:L1347,L1347)</f>
        <v>1</v>
      </c>
      <c r="N1347" t="str">
        <f t="shared" ref="N1347:N1410" si="64">L1347&amp;"-"&amp;M1347</f>
        <v>seth5TE-1</v>
      </c>
      <c r="O1347">
        <f>COUNTIFS(F$1:F1347,F1347,A$1:A1347,A1347)</f>
        <v>4</v>
      </c>
      <c r="P1347" t="str">
        <f t="shared" ref="P1347:P1410" si="65">B1347&amp;A1347</f>
        <v>Jimmy Graham5</v>
      </c>
    </row>
    <row r="1348" spans="1:16" x14ac:dyDescent="0.25">
      <c r="A1348">
        <v>12</v>
      </c>
      <c r="B1348" t="s">
        <v>132</v>
      </c>
      <c r="C1348" t="s">
        <v>6674</v>
      </c>
      <c r="D1348">
        <v>8.65</v>
      </c>
      <c r="E1348" t="s">
        <v>77</v>
      </c>
      <c r="F1348" t="s">
        <v>47</v>
      </c>
      <c r="G1348">
        <v>14.96</v>
      </c>
      <c r="H1348">
        <v>2.34</v>
      </c>
      <c r="I1348">
        <v>6.31</v>
      </c>
      <c r="J1348">
        <v>39.816099999999999</v>
      </c>
      <c r="K1348" t="str">
        <f>IFERROR(INDEX(Rosters!$C$2:$C$155,MATCH($B1348,Rosters!$B$2:$B$155,0)),"NA")</f>
        <v>scott</v>
      </c>
      <c r="L1348" t="str">
        <f t="shared" si="63"/>
        <v>scott12RB</v>
      </c>
      <c r="M1348">
        <f>COUNTIF(L$1:L1348,L1348)</f>
        <v>2</v>
      </c>
      <c r="N1348" t="str">
        <f t="shared" si="64"/>
        <v>scott12RB-2</v>
      </c>
      <c r="O1348">
        <f>COUNTIFS(F$1:F1348,F1348,A$1:A1348,A1348)</f>
        <v>20</v>
      </c>
      <c r="P1348" t="str">
        <f t="shared" si="65"/>
        <v>Marshawn Lynch12</v>
      </c>
    </row>
    <row r="1349" spans="1:16" x14ac:dyDescent="0.25">
      <c r="A1349">
        <v>5</v>
      </c>
      <c r="B1349" t="s">
        <v>1372</v>
      </c>
      <c r="C1349" t="s">
        <v>6675</v>
      </c>
      <c r="D1349">
        <v>8.65</v>
      </c>
      <c r="E1349" t="s">
        <v>42</v>
      </c>
      <c r="F1349" t="s">
        <v>87</v>
      </c>
      <c r="G1349">
        <v>13.62</v>
      </c>
      <c r="H1349">
        <v>3.68</v>
      </c>
      <c r="I1349">
        <v>4.97</v>
      </c>
      <c r="J1349">
        <v>24.700900000000001</v>
      </c>
      <c r="K1349" t="str">
        <f>IFERROR(INDEX(Rosters!$C$2:$C$155,MATCH($B1349,Rosters!$B$2:$B$155,0)),"NA")</f>
        <v>lucas</v>
      </c>
      <c r="L1349" t="str">
        <f t="shared" si="63"/>
        <v>lucas5WR</v>
      </c>
      <c r="M1349">
        <f>COUNTIF(L$1:L1349,L1349)</f>
        <v>2</v>
      </c>
      <c r="N1349" t="str">
        <f t="shared" si="64"/>
        <v>lucas5WR-2</v>
      </c>
      <c r="O1349">
        <f>COUNTIFS(F$1:F1349,F1349,A$1:A1349,A1349)</f>
        <v>24</v>
      </c>
      <c r="P1349" t="str">
        <f t="shared" si="65"/>
        <v>Quincy Enunwa5</v>
      </c>
    </row>
    <row r="1350" spans="1:16" x14ac:dyDescent="0.25">
      <c r="A1350">
        <v>4</v>
      </c>
      <c r="B1350" t="s">
        <v>248</v>
      </c>
      <c r="C1350" t="s">
        <v>4472</v>
      </c>
      <c r="D1350">
        <v>8.65</v>
      </c>
      <c r="E1350" t="s">
        <v>25</v>
      </c>
      <c r="F1350" t="s">
        <v>87</v>
      </c>
      <c r="G1350">
        <v>13.38</v>
      </c>
      <c r="H1350">
        <v>3.92</v>
      </c>
      <c r="I1350">
        <v>4.7300000000000004</v>
      </c>
      <c r="J1350">
        <v>22.372900000000001</v>
      </c>
      <c r="K1350" t="str">
        <f>IFERROR(INDEX(Rosters!$C$2:$C$155,MATCH($B1350,Rosters!$B$2:$B$155,0)),"NA")</f>
        <v>matty</v>
      </c>
      <c r="L1350" t="str">
        <f t="shared" si="63"/>
        <v>matty4WR</v>
      </c>
      <c r="M1350">
        <f>COUNTIF(L$1:L1350,L1350)</f>
        <v>2</v>
      </c>
      <c r="N1350" t="str">
        <f t="shared" si="64"/>
        <v>matty4WR-2</v>
      </c>
      <c r="O1350">
        <f>COUNTIFS(F$1:F1350,F1350,A$1:A1350,A1350)</f>
        <v>24</v>
      </c>
      <c r="P1350" t="str">
        <f t="shared" si="65"/>
        <v>Robert Woods4</v>
      </c>
    </row>
    <row r="1351" spans="1:16" x14ac:dyDescent="0.25">
      <c r="A1351">
        <v>1</v>
      </c>
      <c r="B1351" t="s">
        <v>108</v>
      </c>
      <c r="C1351" t="s">
        <v>1340</v>
      </c>
      <c r="D1351">
        <v>8.64</v>
      </c>
      <c r="E1351" t="s">
        <v>32</v>
      </c>
      <c r="F1351" t="s">
        <v>87</v>
      </c>
      <c r="G1351">
        <v>13.8</v>
      </c>
      <c r="H1351">
        <v>3.48</v>
      </c>
      <c r="I1351">
        <v>5.16</v>
      </c>
      <c r="J1351">
        <v>26.625599999999999</v>
      </c>
      <c r="K1351" t="str">
        <f>IFERROR(INDEX(Rosters!$C$2:$C$155,MATCH($B1351,Rosters!$B$2:$B$155,0)),"NA")</f>
        <v>perry</v>
      </c>
      <c r="L1351" t="str">
        <f t="shared" si="63"/>
        <v>perry1WR</v>
      </c>
      <c r="M1351">
        <f>COUNTIF(L$1:L1351,L1351)</f>
        <v>3</v>
      </c>
      <c r="N1351" t="str">
        <f t="shared" si="64"/>
        <v>perry1WR-3</v>
      </c>
      <c r="O1351">
        <f>COUNTIFS(F$1:F1351,F1351,A$1:A1351,A1351)</f>
        <v>20</v>
      </c>
      <c r="P1351" t="str">
        <f t="shared" si="65"/>
        <v>Brandin Cooks1</v>
      </c>
    </row>
    <row r="1352" spans="1:16" x14ac:dyDescent="0.25">
      <c r="A1352">
        <v>11</v>
      </c>
      <c r="B1352" t="s">
        <v>171</v>
      </c>
      <c r="C1352" t="s">
        <v>6676</v>
      </c>
      <c r="D1352">
        <v>8.64</v>
      </c>
      <c r="E1352" t="s">
        <v>66</v>
      </c>
      <c r="F1352" t="s">
        <v>87</v>
      </c>
      <c r="G1352">
        <v>17.02</v>
      </c>
      <c r="H1352">
        <v>0.26</v>
      </c>
      <c r="I1352">
        <v>8.3800000000000008</v>
      </c>
      <c r="J1352">
        <v>70.224400000000003</v>
      </c>
      <c r="K1352" t="str">
        <f>IFERROR(INDEX(Rosters!$C$2:$C$155,MATCH($B1352,Rosters!$B$2:$B$155,0)),"NA")</f>
        <v>matty</v>
      </c>
      <c r="L1352" t="str">
        <f t="shared" si="63"/>
        <v>matty11WR</v>
      </c>
      <c r="M1352">
        <f>COUNTIF(L$1:L1352,L1352)</f>
        <v>4</v>
      </c>
      <c r="N1352" t="str">
        <f t="shared" si="64"/>
        <v>matty11WR-4</v>
      </c>
      <c r="O1352">
        <f>COUNTIFS(F$1:F1352,F1352,A$1:A1352,A1352)</f>
        <v>24</v>
      </c>
      <c r="P1352" t="str">
        <f t="shared" si="65"/>
        <v>Corey Davis11</v>
      </c>
    </row>
    <row r="1353" spans="1:16" x14ac:dyDescent="0.25">
      <c r="A1353">
        <v>10</v>
      </c>
      <c r="B1353" t="s">
        <v>355</v>
      </c>
      <c r="C1353" t="s">
        <v>6677</v>
      </c>
      <c r="D1353">
        <v>8.64</v>
      </c>
      <c r="E1353" t="s">
        <v>60</v>
      </c>
      <c r="F1353" t="s">
        <v>47</v>
      </c>
      <c r="G1353">
        <v>14.33</v>
      </c>
      <c r="H1353">
        <v>2.95</v>
      </c>
      <c r="I1353">
        <v>5.69</v>
      </c>
      <c r="J1353">
        <v>32.376100000000001</v>
      </c>
      <c r="K1353" t="str">
        <f>IFERROR(INDEX(Rosters!$C$2:$C$155,MATCH($B1353,Rosters!$B$2:$B$155,0)),"NA")</f>
        <v>devon</v>
      </c>
      <c r="L1353" t="str">
        <f t="shared" si="63"/>
        <v>devon10RB</v>
      </c>
      <c r="M1353">
        <f>COUNTIF(L$1:L1353,L1353)</f>
        <v>4</v>
      </c>
      <c r="N1353" t="str">
        <f t="shared" si="64"/>
        <v>devon10RB-4</v>
      </c>
      <c r="O1353">
        <f>COUNTIFS(F$1:F1353,F1353,A$1:A1353,A1353)</f>
        <v>22</v>
      </c>
      <c r="P1353" t="str">
        <f t="shared" si="65"/>
        <v>Peyton Barber10</v>
      </c>
    </row>
    <row r="1354" spans="1:16" x14ac:dyDescent="0.25">
      <c r="A1354">
        <v>12</v>
      </c>
      <c r="B1354" t="s">
        <v>145</v>
      </c>
      <c r="C1354" t="s">
        <v>6678</v>
      </c>
      <c r="D1354">
        <v>8.64</v>
      </c>
      <c r="E1354" t="s">
        <v>14</v>
      </c>
      <c r="F1354" t="s">
        <v>47</v>
      </c>
      <c r="G1354">
        <v>15.14</v>
      </c>
      <c r="H1354">
        <v>2.14</v>
      </c>
      <c r="I1354">
        <v>6.5</v>
      </c>
      <c r="J1354">
        <v>42.25</v>
      </c>
      <c r="K1354" t="str">
        <f>IFERROR(INDEX(Rosters!$C$2:$C$155,MATCH($B1354,Rosters!$B$2:$B$155,0)),"NA")</f>
        <v>lucas</v>
      </c>
      <c r="L1354" t="str">
        <f t="shared" si="63"/>
        <v>lucas12RB</v>
      </c>
      <c r="M1354">
        <f>COUNTIF(L$1:L1354,L1354)</f>
        <v>2</v>
      </c>
      <c r="N1354" t="str">
        <f t="shared" si="64"/>
        <v>lucas12RB-2</v>
      </c>
      <c r="O1354">
        <f>COUNTIFS(F$1:F1354,F1354,A$1:A1354,A1354)</f>
        <v>21</v>
      </c>
      <c r="P1354" t="str">
        <f t="shared" si="65"/>
        <v>Tevin Coleman12</v>
      </c>
    </row>
    <row r="1355" spans="1:16" x14ac:dyDescent="0.25">
      <c r="A1355">
        <v>7</v>
      </c>
      <c r="B1355" t="s">
        <v>119</v>
      </c>
      <c r="C1355" t="s">
        <v>6679</v>
      </c>
      <c r="D1355">
        <v>8.6300000000000008</v>
      </c>
      <c r="E1355" t="s">
        <v>423</v>
      </c>
      <c r="F1355" t="s">
        <v>87</v>
      </c>
      <c r="G1355">
        <v>14.8</v>
      </c>
      <c r="H1355">
        <v>2.46</v>
      </c>
      <c r="I1355">
        <v>6.17</v>
      </c>
      <c r="J1355">
        <v>38.068899999999999</v>
      </c>
      <c r="K1355" t="str">
        <f>IFERROR(INDEX(Rosters!$C$2:$C$155,MATCH($B1355,Rosters!$B$2:$B$155,0)),"NA")</f>
        <v>lucas</v>
      </c>
      <c r="L1355" t="str">
        <f t="shared" si="63"/>
        <v>lucas7WR</v>
      </c>
      <c r="M1355">
        <f>COUNTIF(L$1:L1355,L1355)</f>
        <v>3</v>
      </c>
      <c r="N1355" t="str">
        <f t="shared" si="64"/>
        <v>lucas7WR-3</v>
      </c>
      <c r="O1355">
        <f>COUNTIFS(F$1:F1355,F1355,A$1:A1355,A1355)</f>
        <v>21</v>
      </c>
      <c r="P1355" t="str">
        <f t="shared" si="65"/>
        <v>Allen Robinson7</v>
      </c>
    </row>
    <row r="1356" spans="1:16" x14ac:dyDescent="0.25">
      <c r="A1356">
        <v>2</v>
      </c>
      <c r="B1356" t="s">
        <v>140</v>
      </c>
      <c r="C1356" t="s">
        <v>1341</v>
      </c>
      <c r="D1356">
        <v>8.6300000000000008</v>
      </c>
      <c r="E1356" t="s">
        <v>56</v>
      </c>
      <c r="F1356" t="s">
        <v>87</v>
      </c>
      <c r="G1356">
        <v>13.43</v>
      </c>
      <c r="H1356">
        <v>3.83</v>
      </c>
      <c r="I1356">
        <v>4.8</v>
      </c>
      <c r="J1356">
        <v>23.04</v>
      </c>
      <c r="K1356" t="str">
        <f>IFERROR(INDEX(Rosters!$C$2:$C$155,MATCH($B1356,Rosters!$B$2:$B$155,0)),"NA")</f>
        <v>seth</v>
      </c>
      <c r="L1356" t="str">
        <f t="shared" si="63"/>
        <v>seth2WR</v>
      </c>
      <c r="M1356">
        <f>COUNTIF(L$1:L1356,L1356)</f>
        <v>3</v>
      </c>
      <c r="N1356" t="str">
        <f t="shared" si="64"/>
        <v>seth2WR-3</v>
      </c>
      <c r="O1356">
        <f>COUNTIFS(F$1:F1356,F1356,A$1:A1356,A1356)</f>
        <v>23</v>
      </c>
      <c r="P1356" t="str">
        <f t="shared" si="65"/>
        <v>Larry Fitzgerald2</v>
      </c>
    </row>
    <row r="1357" spans="1:16" x14ac:dyDescent="0.25">
      <c r="A1357">
        <v>14</v>
      </c>
      <c r="B1357" t="s">
        <v>1372</v>
      </c>
      <c r="C1357" t="s">
        <v>6680</v>
      </c>
      <c r="D1357">
        <v>8.6300000000000008</v>
      </c>
      <c r="E1357" t="s">
        <v>29</v>
      </c>
      <c r="F1357" t="s">
        <v>87</v>
      </c>
      <c r="G1357">
        <v>14.54</v>
      </c>
      <c r="H1357">
        <v>2.72</v>
      </c>
      <c r="I1357">
        <v>5.91</v>
      </c>
      <c r="J1357">
        <v>34.928100000000001</v>
      </c>
      <c r="K1357" t="str">
        <f>IFERROR(INDEX(Rosters!$C$2:$C$155,MATCH($B1357,Rosters!$B$2:$B$155,0)),"NA")</f>
        <v>lucas</v>
      </c>
      <c r="L1357" t="str">
        <f t="shared" si="63"/>
        <v>lucas14WR</v>
      </c>
      <c r="M1357">
        <f>COUNTIF(L$1:L1357,L1357)</f>
        <v>1</v>
      </c>
      <c r="N1357" t="str">
        <f t="shared" si="64"/>
        <v>lucas14WR-1</v>
      </c>
      <c r="O1357">
        <f>COUNTIFS(F$1:F1357,F1357,A$1:A1357,A1357)</f>
        <v>30</v>
      </c>
      <c r="P1357" t="str">
        <f t="shared" si="65"/>
        <v>Quincy Enunwa14</v>
      </c>
    </row>
    <row r="1358" spans="1:16" x14ac:dyDescent="0.25">
      <c r="A1358">
        <v>10</v>
      </c>
      <c r="B1358" t="s">
        <v>193</v>
      </c>
      <c r="C1358" t="s">
        <v>6681</v>
      </c>
      <c r="D1358">
        <v>8.6199999999999992</v>
      </c>
      <c r="E1358" t="s">
        <v>38</v>
      </c>
      <c r="F1358" t="s">
        <v>47</v>
      </c>
      <c r="G1358">
        <v>13.46</v>
      </c>
      <c r="H1358">
        <v>3.78</v>
      </c>
      <c r="I1358">
        <v>4.84</v>
      </c>
      <c r="J1358">
        <v>23.425599999999999</v>
      </c>
      <c r="K1358" t="str">
        <f>IFERROR(INDEX(Rosters!$C$2:$C$155,MATCH($B1358,Rosters!$B$2:$B$155,0)),"NA")</f>
        <v>cory</v>
      </c>
      <c r="L1358" t="str">
        <f t="shared" si="63"/>
        <v>cory10RB</v>
      </c>
      <c r="M1358">
        <f>COUNTIF(L$1:L1358,L1358)</f>
        <v>3</v>
      </c>
      <c r="N1358" t="str">
        <f t="shared" si="64"/>
        <v>cory10RB-3</v>
      </c>
      <c r="O1358">
        <f>COUNTIFS(F$1:F1358,F1358,A$1:A1358,A1358)</f>
        <v>23</v>
      </c>
      <c r="P1358" t="str">
        <f t="shared" si="65"/>
        <v>James White10</v>
      </c>
    </row>
    <row r="1359" spans="1:16" x14ac:dyDescent="0.25">
      <c r="A1359">
        <v>15</v>
      </c>
      <c r="B1359" t="s">
        <v>796</v>
      </c>
      <c r="C1359" t="s">
        <v>6682</v>
      </c>
      <c r="D1359">
        <v>8.61</v>
      </c>
      <c r="E1359" t="s">
        <v>17</v>
      </c>
      <c r="F1359" t="s">
        <v>47</v>
      </c>
      <c r="G1359">
        <v>14</v>
      </c>
      <c r="H1359">
        <v>3.22</v>
      </c>
      <c r="I1359">
        <v>5.39</v>
      </c>
      <c r="J1359">
        <v>29.052099999999999</v>
      </c>
      <c r="K1359" t="str">
        <f>IFERROR(INDEX(Rosters!$C$2:$C$155,MATCH($B1359,Rosters!$B$2:$B$155,0)),"NA")</f>
        <v>seth</v>
      </c>
      <c r="L1359" t="str">
        <f t="shared" si="63"/>
        <v>seth15RB</v>
      </c>
      <c r="M1359">
        <f>COUNTIF(L$1:L1359,L1359)</f>
        <v>3</v>
      </c>
      <c r="N1359" t="str">
        <f t="shared" si="64"/>
        <v>seth15RB-3</v>
      </c>
      <c r="O1359">
        <f>COUNTIFS(F$1:F1359,F1359,A$1:A1359,A1359)</f>
        <v>24</v>
      </c>
      <c r="P1359" t="str">
        <f t="shared" si="65"/>
        <v>Alex Collins15</v>
      </c>
    </row>
    <row r="1360" spans="1:16" x14ac:dyDescent="0.25">
      <c r="A1360">
        <v>12</v>
      </c>
      <c r="B1360" t="s">
        <v>1419</v>
      </c>
      <c r="C1360" t="s">
        <v>6683</v>
      </c>
      <c r="D1360">
        <v>8.61</v>
      </c>
      <c r="E1360" t="s">
        <v>31</v>
      </c>
      <c r="F1360" t="s">
        <v>87</v>
      </c>
      <c r="G1360">
        <v>15.5</v>
      </c>
      <c r="H1360">
        <v>1.72</v>
      </c>
      <c r="I1360">
        <v>6.89</v>
      </c>
      <c r="J1360">
        <v>47.472099999999998</v>
      </c>
      <c r="K1360" t="str">
        <f>IFERROR(INDEX(Rosters!$C$2:$C$155,MATCH($B1360,Rosters!$B$2:$B$155,0)),"NA")</f>
        <v>chad</v>
      </c>
      <c r="L1360" t="str">
        <f t="shared" si="63"/>
        <v>chad12WR</v>
      </c>
      <c r="M1360">
        <f>COUNTIF(L$1:L1360,L1360)</f>
        <v>4</v>
      </c>
      <c r="N1360" t="str">
        <f t="shared" si="64"/>
        <v>chad12WR-4</v>
      </c>
      <c r="O1360">
        <f>COUNTIFS(F$1:F1360,F1360,A$1:A1360,A1360)</f>
        <v>27</v>
      </c>
      <c r="P1360" t="str">
        <f t="shared" si="65"/>
        <v>Antonio Callaway12</v>
      </c>
    </row>
    <row r="1361" spans="1:16" x14ac:dyDescent="0.25">
      <c r="A1361">
        <v>14</v>
      </c>
      <c r="B1361" t="s">
        <v>298</v>
      </c>
      <c r="C1361" t="s">
        <v>6684</v>
      </c>
      <c r="D1361">
        <v>8.61</v>
      </c>
      <c r="E1361" t="s">
        <v>32</v>
      </c>
      <c r="F1361" t="s">
        <v>47</v>
      </c>
      <c r="G1361">
        <v>14.23</v>
      </c>
      <c r="H1361">
        <v>2.99</v>
      </c>
      <c r="I1361">
        <v>5.62</v>
      </c>
      <c r="J1361">
        <v>31.584399999999999</v>
      </c>
      <c r="K1361" t="str">
        <f>IFERROR(INDEX(Rosters!$C$2:$C$155,MATCH($B1361,Rosters!$B$2:$B$155,0)),"NA")</f>
        <v>aj</v>
      </c>
      <c r="L1361" t="str">
        <f t="shared" si="63"/>
        <v>aj14RB</v>
      </c>
      <c r="M1361">
        <f>COUNTIF(L$1:L1361,L1361)</f>
        <v>4</v>
      </c>
      <c r="N1361" t="str">
        <f t="shared" si="64"/>
        <v>aj14RB-4</v>
      </c>
      <c r="O1361">
        <f>COUNTIFS(F$1:F1361,F1361,A$1:A1361,A1361)</f>
        <v>23</v>
      </c>
      <c r="P1361" t="str">
        <f t="shared" si="65"/>
        <v>James Conner14</v>
      </c>
    </row>
    <row r="1362" spans="1:16" x14ac:dyDescent="0.25">
      <c r="A1362">
        <v>6</v>
      </c>
      <c r="B1362" t="s">
        <v>1158</v>
      </c>
      <c r="C1362" t="s">
        <v>6685</v>
      </c>
      <c r="D1362">
        <v>8.61</v>
      </c>
      <c r="E1362" t="s">
        <v>24</v>
      </c>
      <c r="F1362" t="s">
        <v>87</v>
      </c>
      <c r="G1362">
        <v>16.18</v>
      </c>
      <c r="H1362">
        <v>1.04</v>
      </c>
      <c r="I1362">
        <v>7.57</v>
      </c>
      <c r="J1362">
        <v>57.304900000000004</v>
      </c>
      <c r="K1362" t="str">
        <f>IFERROR(INDEX(Rosters!$C$2:$C$155,MATCH($B1362,Rosters!$B$2:$B$155,0)),"NA")</f>
        <v>chad</v>
      </c>
      <c r="L1362" t="str">
        <f t="shared" si="63"/>
        <v>chad6WR</v>
      </c>
      <c r="M1362">
        <f>COUNTIF(L$1:L1362,L1362)</f>
        <v>3</v>
      </c>
      <c r="N1362" t="str">
        <f t="shared" si="64"/>
        <v>chad6WR-3</v>
      </c>
      <c r="O1362">
        <f>COUNTIFS(F$1:F1362,F1362,A$1:A1362,A1362)</f>
        <v>23</v>
      </c>
      <c r="P1362" t="str">
        <f t="shared" si="65"/>
        <v>Josh Gordon6</v>
      </c>
    </row>
    <row r="1363" spans="1:16" x14ac:dyDescent="0.25">
      <c r="A1363">
        <v>14</v>
      </c>
      <c r="B1363" t="s">
        <v>134</v>
      </c>
      <c r="C1363" t="s">
        <v>6686</v>
      </c>
      <c r="D1363">
        <v>8.6</v>
      </c>
      <c r="E1363" t="s">
        <v>74</v>
      </c>
      <c r="F1363" t="s">
        <v>87</v>
      </c>
      <c r="G1363">
        <v>13.24</v>
      </c>
      <c r="H1363">
        <v>3.96</v>
      </c>
      <c r="I1363">
        <v>4.6399999999999997</v>
      </c>
      <c r="J1363">
        <v>21.529599999999999</v>
      </c>
      <c r="K1363" t="str">
        <f>IFERROR(INDEX(Rosters!$C$2:$C$155,MATCH($B1363,Rosters!$B$2:$B$155,0)),"NA")</f>
        <v>cory</v>
      </c>
      <c r="L1363" t="str">
        <f t="shared" si="63"/>
        <v>cory14WR</v>
      </c>
      <c r="M1363">
        <f>COUNTIF(L$1:L1363,L1363)</f>
        <v>3</v>
      </c>
      <c r="N1363" t="str">
        <f t="shared" si="64"/>
        <v>cory14WR-3</v>
      </c>
      <c r="O1363">
        <f>COUNTIFS(F$1:F1363,F1363,A$1:A1363,A1363)</f>
        <v>31</v>
      </c>
      <c r="P1363" t="str">
        <f t="shared" si="65"/>
        <v>Jarvis Landry14</v>
      </c>
    </row>
    <row r="1364" spans="1:16" x14ac:dyDescent="0.25">
      <c r="A1364">
        <v>2</v>
      </c>
      <c r="B1364" t="s">
        <v>220</v>
      </c>
      <c r="C1364" t="s">
        <v>3330</v>
      </c>
      <c r="D1364">
        <v>8.6</v>
      </c>
      <c r="E1364" t="s">
        <v>73</v>
      </c>
      <c r="F1364" t="s">
        <v>87</v>
      </c>
      <c r="G1364">
        <v>15.19</v>
      </c>
      <c r="H1364">
        <v>2.0099999999999998</v>
      </c>
      <c r="I1364">
        <v>6.59</v>
      </c>
      <c r="J1364">
        <v>43.428100000000001</v>
      </c>
      <c r="K1364" t="str">
        <f>IFERROR(INDEX(Rosters!$C$2:$C$155,MATCH($B1364,Rosters!$B$2:$B$155,0)),"NA")</f>
        <v>comp</v>
      </c>
      <c r="L1364" t="str">
        <f t="shared" si="63"/>
        <v>comp2WR</v>
      </c>
      <c r="M1364">
        <f>COUNTIF(L$1:L1364,L1364)</f>
        <v>4</v>
      </c>
      <c r="N1364" t="str">
        <f t="shared" si="64"/>
        <v>comp2WR-4</v>
      </c>
      <c r="O1364">
        <f>COUNTIFS(F$1:F1364,F1364,A$1:A1364,A1364)</f>
        <v>24</v>
      </c>
      <c r="P1364" t="str">
        <f t="shared" si="65"/>
        <v>Kenny Stills2</v>
      </c>
    </row>
    <row r="1365" spans="1:16" x14ac:dyDescent="0.25">
      <c r="A1365">
        <v>14</v>
      </c>
      <c r="B1365" t="s">
        <v>3533</v>
      </c>
      <c r="C1365" t="s">
        <v>6687</v>
      </c>
      <c r="D1365">
        <v>8.6</v>
      </c>
      <c r="E1365" t="s">
        <v>30</v>
      </c>
      <c r="F1365" t="s">
        <v>47</v>
      </c>
      <c r="G1365">
        <v>16.350000000000001</v>
      </c>
      <c r="H1365">
        <v>0.85</v>
      </c>
      <c r="I1365">
        <v>7.75</v>
      </c>
      <c r="J1365">
        <v>60.0625</v>
      </c>
      <c r="K1365" t="str">
        <f>IFERROR(INDEX(Rosters!$C$2:$C$155,MATCH($B1365,Rosters!$B$2:$B$155,0)),"NA")</f>
        <v>perry</v>
      </c>
      <c r="L1365" t="str">
        <f t="shared" si="63"/>
        <v>perry14RB</v>
      </c>
      <c r="M1365">
        <f>COUNTIF(L$1:L1365,L1365)</f>
        <v>2</v>
      </c>
      <c r="N1365" t="str">
        <f t="shared" si="64"/>
        <v>perry14RB-2</v>
      </c>
      <c r="O1365">
        <f>COUNTIFS(F$1:F1365,F1365,A$1:A1365,A1365)</f>
        <v>24</v>
      </c>
      <c r="P1365" t="str">
        <f t="shared" si="65"/>
        <v>Phillip Lindsay14</v>
      </c>
    </row>
    <row r="1366" spans="1:16" x14ac:dyDescent="0.25">
      <c r="A1366">
        <v>1</v>
      </c>
      <c r="B1366" t="s">
        <v>130</v>
      </c>
      <c r="C1366" t="s">
        <v>1342</v>
      </c>
      <c r="D1366">
        <v>8.59</v>
      </c>
      <c r="E1366" t="s">
        <v>51</v>
      </c>
      <c r="F1366" t="s">
        <v>47</v>
      </c>
      <c r="G1366">
        <v>13.4</v>
      </c>
      <c r="H1366">
        <v>3.78</v>
      </c>
      <c r="I1366">
        <v>4.8099999999999996</v>
      </c>
      <c r="J1366">
        <v>23.136099999999999</v>
      </c>
      <c r="K1366" t="str">
        <f>IFERROR(INDEX(Rosters!$C$2:$C$155,MATCH($B1366,Rosters!$B$2:$B$155,0)),"NA")</f>
        <v>cory</v>
      </c>
      <c r="L1366" t="str">
        <f t="shared" si="63"/>
        <v>cory1RB</v>
      </c>
      <c r="M1366">
        <f>COUNTIF(L$1:L1366,L1366)</f>
        <v>1</v>
      </c>
      <c r="N1366" t="str">
        <f t="shared" si="64"/>
        <v>cory1RB-1</v>
      </c>
      <c r="O1366">
        <f>COUNTIFS(F$1:F1366,F1366,A$1:A1366,A1366)</f>
        <v>23</v>
      </c>
      <c r="P1366" t="str">
        <f t="shared" si="65"/>
        <v>Carlos Hyde1</v>
      </c>
    </row>
    <row r="1367" spans="1:16" x14ac:dyDescent="0.25">
      <c r="A1367">
        <v>11</v>
      </c>
      <c r="B1367" t="s">
        <v>136</v>
      </c>
      <c r="C1367" t="s">
        <v>6688</v>
      </c>
      <c r="D1367">
        <v>8.59</v>
      </c>
      <c r="E1367" t="s">
        <v>37</v>
      </c>
      <c r="F1367" t="s">
        <v>87</v>
      </c>
      <c r="G1367">
        <v>13.5</v>
      </c>
      <c r="H1367">
        <v>3.68</v>
      </c>
      <c r="I1367">
        <v>4.91</v>
      </c>
      <c r="J1367">
        <v>24.1081</v>
      </c>
      <c r="K1367" t="str">
        <f>IFERROR(INDEX(Rosters!$C$2:$C$155,MATCH($B1367,Rosters!$B$2:$B$155,0)),"NA")</f>
        <v>devon</v>
      </c>
      <c r="L1367" t="str">
        <f t="shared" si="63"/>
        <v>devon11WR</v>
      </c>
      <c r="M1367">
        <f>COUNTIF(L$1:L1367,L1367)</f>
        <v>4</v>
      </c>
      <c r="N1367" t="str">
        <f t="shared" si="64"/>
        <v>devon11WR-4</v>
      </c>
      <c r="O1367">
        <f>COUNTIFS(F$1:F1367,F1367,A$1:A1367,A1367)</f>
        <v>25</v>
      </c>
      <c r="P1367" t="str">
        <f t="shared" si="65"/>
        <v>Demaryius Thomas11</v>
      </c>
    </row>
    <row r="1368" spans="1:16" x14ac:dyDescent="0.25">
      <c r="A1368">
        <v>8</v>
      </c>
      <c r="B1368" t="s">
        <v>89</v>
      </c>
      <c r="C1368" t="s">
        <v>6689</v>
      </c>
      <c r="D1368">
        <v>8.59</v>
      </c>
      <c r="E1368" t="s">
        <v>76</v>
      </c>
      <c r="F1368" t="s">
        <v>47</v>
      </c>
      <c r="G1368">
        <v>14.95</v>
      </c>
      <c r="H1368">
        <v>2.23</v>
      </c>
      <c r="I1368">
        <v>6.36</v>
      </c>
      <c r="J1368">
        <v>40.449599999999997</v>
      </c>
      <c r="K1368" t="str">
        <f>IFERROR(INDEX(Rosters!$C$2:$C$155,MATCH($B1368,Rosters!$B$2:$B$155,0)),"NA")</f>
        <v>matty</v>
      </c>
      <c r="L1368" t="str">
        <f t="shared" si="63"/>
        <v>matty8RB</v>
      </c>
      <c r="M1368">
        <f>COUNTIF(L$1:L1368,L1368)</f>
        <v>2</v>
      </c>
      <c r="N1368" t="str">
        <f t="shared" si="64"/>
        <v>matty8RB-2</v>
      </c>
      <c r="O1368">
        <f>COUNTIFS(F$1:F1368,F1368,A$1:A1368,A1368)</f>
        <v>19</v>
      </c>
      <c r="P1368" t="str">
        <f t="shared" si="65"/>
        <v>Jay Ajayi8</v>
      </c>
    </row>
    <row r="1369" spans="1:16" x14ac:dyDescent="0.25">
      <c r="A1369">
        <v>13</v>
      </c>
      <c r="B1369" t="s">
        <v>195</v>
      </c>
      <c r="C1369" t="s">
        <v>6690</v>
      </c>
      <c r="D1369">
        <v>8.58</v>
      </c>
      <c r="E1369" t="s">
        <v>56</v>
      </c>
      <c r="F1369" t="s">
        <v>87</v>
      </c>
      <c r="G1369">
        <v>14.71</v>
      </c>
      <c r="H1369">
        <v>2.4500000000000002</v>
      </c>
      <c r="I1369">
        <v>6.13</v>
      </c>
      <c r="J1369">
        <v>37.576900000000002</v>
      </c>
      <c r="K1369" t="str">
        <f>IFERROR(INDEX(Rosters!$C$2:$C$155,MATCH($B1369,Rosters!$B$2:$B$155,0)),"NA")</f>
        <v>scott</v>
      </c>
      <c r="L1369" t="str">
        <f t="shared" si="63"/>
        <v>scott13WR</v>
      </c>
      <c r="M1369">
        <f>COUNTIF(L$1:L1369,L1369)</f>
        <v>2</v>
      </c>
      <c r="N1369" t="str">
        <f t="shared" si="64"/>
        <v>scott13WR-2</v>
      </c>
      <c r="O1369">
        <f>COUNTIFS(F$1:F1369,F1369,A$1:A1369,A1369)</f>
        <v>30</v>
      </c>
      <c r="P1369" t="str">
        <f t="shared" si="65"/>
        <v>Kenny Golladay13</v>
      </c>
    </row>
    <row r="1370" spans="1:16" x14ac:dyDescent="0.25">
      <c r="A1370">
        <v>6</v>
      </c>
      <c r="B1370" t="s">
        <v>177</v>
      </c>
      <c r="C1370" t="s">
        <v>6691</v>
      </c>
      <c r="D1370">
        <v>8.58</v>
      </c>
      <c r="E1370" t="s">
        <v>54</v>
      </c>
      <c r="F1370" t="s">
        <v>114</v>
      </c>
      <c r="G1370">
        <v>13.85</v>
      </c>
      <c r="H1370">
        <v>3.31</v>
      </c>
      <c r="I1370">
        <v>5.27</v>
      </c>
      <c r="J1370">
        <v>27.7729</v>
      </c>
      <c r="K1370" t="str">
        <f>IFERROR(INDEX(Rosters!$C$2:$C$155,MATCH($B1370,Rosters!$B$2:$B$155,0)),"NA")</f>
        <v>perry</v>
      </c>
      <c r="L1370" t="str">
        <f t="shared" si="63"/>
        <v>perry6TE</v>
      </c>
      <c r="M1370">
        <f>COUNTIF(L$1:L1370,L1370)</f>
        <v>1</v>
      </c>
      <c r="N1370" t="str">
        <f t="shared" si="64"/>
        <v>perry6TE-1</v>
      </c>
      <c r="O1370">
        <f>COUNTIFS(F$1:F1370,F1370,A$1:A1370,A1370)</f>
        <v>3</v>
      </c>
      <c r="P1370" t="str">
        <f t="shared" si="65"/>
        <v>Zach Ertz6</v>
      </c>
    </row>
    <row r="1371" spans="1:16" x14ac:dyDescent="0.25">
      <c r="A1371">
        <v>14</v>
      </c>
      <c r="B1371" t="s">
        <v>145</v>
      </c>
      <c r="C1371" t="s">
        <v>6692</v>
      </c>
      <c r="D1371">
        <v>8.57</v>
      </c>
      <c r="E1371" t="s">
        <v>41</v>
      </c>
      <c r="F1371" t="s">
        <v>47</v>
      </c>
      <c r="G1371">
        <v>15.14</v>
      </c>
      <c r="H1371">
        <v>2</v>
      </c>
      <c r="I1371">
        <v>6.57</v>
      </c>
      <c r="J1371">
        <v>43.164900000000003</v>
      </c>
      <c r="K1371" t="str">
        <f>IFERROR(INDEX(Rosters!$C$2:$C$155,MATCH($B1371,Rosters!$B$2:$B$155,0)),"NA")</f>
        <v>lucas</v>
      </c>
      <c r="L1371" t="str">
        <f t="shared" si="63"/>
        <v>lucas14RB</v>
      </c>
      <c r="M1371">
        <f>COUNTIF(L$1:L1371,L1371)</f>
        <v>2</v>
      </c>
      <c r="N1371" t="str">
        <f t="shared" si="64"/>
        <v>lucas14RB-2</v>
      </c>
      <c r="O1371">
        <f>COUNTIFS(F$1:F1371,F1371,A$1:A1371,A1371)</f>
        <v>25</v>
      </c>
      <c r="P1371" t="str">
        <f t="shared" si="65"/>
        <v>Tevin Coleman14</v>
      </c>
    </row>
    <row r="1372" spans="1:16" x14ac:dyDescent="0.25">
      <c r="A1372">
        <v>1</v>
      </c>
      <c r="B1372" t="s">
        <v>119</v>
      </c>
      <c r="C1372" t="s">
        <v>1343</v>
      </c>
      <c r="D1372">
        <v>8.56</v>
      </c>
      <c r="E1372" t="s">
        <v>41</v>
      </c>
      <c r="F1372" t="s">
        <v>87</v>
      </c>
      <c r="G1372">
        <v>14.39</v>
      </c>
      <c r="H1372">
        <v>2.73</v>
      </c>
      <c r="I1372">
        <v>5.83</v>
      </c>
      <c r="J1372">
        <v>33.988900000000001</v>
      </c>
      <c r="K1372" t="str">
        <f>IFERROR(INDEX(Rosters!$C$2:$C$155,MATCH($B1372,Rosters!$B$2:$B$155,0)),"NA")</f>
        <v>lucas</v>
      </c>
      <c r="L1372" t="str">
        <f t="shared" si="63"/>
        <v>lucas1WR</v>
      </c>
      <c r="M1372">
        <f>COUNTIF(L$1:L1372,L1372)</f>
        <v>1</v>
      </c>
      <c r="N1372" t="str">
        <f t="shared" si="64"/>
        <v>lucas1WR-1</v>
      </c>
      <c r="O1372">
        <f>COUNTIFS(F$1:F1372,F1372,A$1:A1372,A1372)</f>
        <v>21</v>
      </c>
      <c r="P1372" t="str">
        <f t="shared" si="65"/>
        <v>Allen Robinson1</v>
      </c>
    </row>
    <row r="1373" spans="1:16" x14ac:dyDescent="0.25">
      <c r="A1373">
        <v>17</v>
      </c>
      <c r="B1373" t="s">
        <v>193</v>
      </c>
      <c r="C1373" t="s">
        <v>6693</v>
      </c>
      <c r="D1373">
        <v>8.56</v>
      </c>
      <c r="E1373" t="s">
        <v>73</v>
      </c>
      <c r="F1373" t="s">
        <v>47</v>
      </c>
      <c r="G1373">
        <v>12.8</v>
      </c>
      <c r="H1373">
        <v>4.32</v>
      </c>
      <c r="I1373">
        <v>4.24</v>
      </c>
      <c r="J1373">
        <v>17.977599999999999</v>
      </c>
      <c r="K1373" t="str">
        <f>IFERROR(INDEX(Rosters!$C$2:$C$155,MATCH($B1373,Rosters!$B$2:$B$155,0)),"NA")</f>
        <v>cory</v>
      </c>
      <c r="L1373" t="str">
        <f t="shared" si="63"/>
        <v>cory17RB</v>
      </c>
      <c r="M1373">
        <f>COUNTIF(L$1:L1373,L1373)</f>
        <v>3</v>
      </c>
      <c r="N1373" t="str">
        <f t="shared" si="64"/>
        <v>cory17RB-3</v>
      </c>
      <c r="O1373">
        <f>COUNTIFS(F$1:F1373,F1373,A$1:A1373,A1373)</f>
        <v>28</v>
      </c>
      <c r="P1373" t="str">
        <f t="shared" si="65"/>
        <v>James White17</v>
      </c>
    </row>
    <row r="1374" spans="1:16" x14ac:dyDescent="0.25">
      <c r="A1374">
        <v>14</v>
      </c>
      <c r="B1374" t="s">
        <v>256</v>
      </c>
      <c r="C1374" t="s">
        <v>6694</v>
      </c>
      <c r="D1374">
        <v>8.5500000000000007</v>
      </c>
      <c r="E1374" t="s">
        <v>72</v>
      </c>
      <c r="F1374" t="s">
        <v>87</v>
      </c>
      <c r="G1374">
        <v>13.51</v>
      </c>
      <c r="H1374">
        <v>3.59</v>
      </c>
      <c r="I1374">
        <v>4.96</v>
      </c>
      <c r="J1374">
        <v>24.601600000000001</v>
      </c>
      <c r="K1374" t="str">
        <f>IFERROR(INDEX(Rosters!$C$2:$C$155,MATCH($B1374,Rosters!$B$2:$B$155,0)),"NA")</f>
        <v>lucas</v>
      </c>
      <c r="L1374" t="str">
        <f t="shared" si="63"/>
        <v>lucas14WR</v>
      </c>
      <c r="M1374">
        <f>COUNTIF(L$1:L1374,L1374)</f>
        <v>2</v>
      </c>
      <c r="N1374" t="str">
        <f t="shared" si="64"/>
        <v>lucas14WR-2</v>
      </c>
      <c r="O1374">
        <f>COUNTIFS(F$1:F1374,F1374,A$1:A1374,A1374)</f>
        <v>32</v>
      </c>
      <c r="P1374" t="str">
        <f t="shared" si="65"/>
        <v>Cooper Kupp14</v>
      </c>
    </row>
    <row r="1375" spans="1:16" x14ac:dyDescent="0.25">
      <c r="A1375">
        <v>9</v>
      </c>
      <c r="B1375" t="s">
        <v>3533</v>
      </c>
      <c r="C1375" t="s">
        <v>6695</v>
      </c>
      <c r="D1375">
        <v>8.5500000000000007</v>
      </c>
      <c r="E1375" t="s">
        <v>36</v>
      </c>
      <c r="F1375" t="s">
        <v>47</v>
      </c>
      <c r="G1375">
        <v>16.350000000000001</v>
      </c>
      <c r="H1375">
        <v>0.75</v>
      </c>
      <c r="I1375">
        <v>7.8</v>
      </c>
      <c r="J1375">
        <v>60.84</v>
      </c>
      <c r="K1375" t="str">
        <f>IFERROR(INDEX(Rosters!$C$2:$C$155,MATCH($B1375,Rosters!$B$2:$B$155,0)),"NA")</f>
        <v>perry</v>
      </c>
      <c r="L1375" t="str">
        <f t="shared" si="63"/>
        <v>perry9RB</v>
      </c>
      <c r="M1375">
        <f>COUNTIF(L$1:L1375,L1375)</f>
        <v>3</v>
      </c>
      <c r="N1375" t="str">
        <f t="shared" si="64"/>
        <v>perry9RB-3</v>
      </c>
      <c r="O1375">
        <f>COUNTIFS(F$1:F1375,F1375,A$1:A1375,A1375)</f>
        <v>21</v>
      </c>
      <c r="P1375" t="str">
        <f t="shared" si="65"/>
        <v>Phillip Lindsay9</v>
      </c>
    </row>
    <row r="1376" spans="1:16" x14ac:dyDescent="0.25">
      <c r="A1376">
        <v>15</v>
      </c>
      <c r="B1376" t="s">
        <v>136</v>
      </c>
      <c r="C1376" t="s">
        <v>6696</v>
      </c>
      <c r="D1376">
        <v>8.5399999999999991</v>
      </c>
      <c r="E1376" t="s">
        <v>52</v>
      </c>
      <c r="F1376" t="s">
        <v>87</v>
      </c>
      <c r="G1376">
        <v>13.27</v>
      </c>
      <c r="H1376">
        <v>3.81</v>
      </c>
      <c r="I1376">
        <v>4.7300000000000004</v>
      </c>
      <c r="J1376">
        <v>22.372900000000001</v>
      </c>
      <c r="K1376" t="str">
        <f>IFERROR(INDEX(Rosters!$C$2:$C$155,MATCH($B1376,Rosters!$B$2:$B$155,0)),"NA")</f>
        <v>devon</v>
      </c>
      <c r="L1376" t="str">
        <f t="shared" si="63"/>
        <v>devon15WR</v>
      </c>
      <c r="M1376">
        <f>COUNTIF(L$1:L1376,L1376)</f>
        <v>3</v>
      </c>
      <c r="N1376" t="str">
        <f t="shared" si="64"/>
        <v>devon15WR-3</v>
      </c>
      <c r="O1376">
        <f>COUNTIFS(F$1:F1376,F1376,A$1:A1376,A1376)</f>
        <v>27</v>
      </c>
      <c r="P1376" t="str">
        <f t="shared" si="65"/>
        <v>Demaryius Thomas15</v>
      </c>
    </row>
    <row r="1377" spans="1:16" x14ac:dyDescent="0.25">
      <c r="A1377">
        <v>15</v>
      </c>
      <c r="B1377" t="s">
        <v>81</v>
      </c>
      <c r="C1377" t="s">
        <v>6697</v>
      </c>
      <c r="D1377">
        <v>8.5399999999999991</v>
      </c>
      <c r="E1377" t="s">
        <v>34</v>
      </c>
      <c r="F1377" t="s">
        <v>47</v>
      </c>
      <c r="G1377">
        <v>13.87</v>
      </c>
      <c r="H1377">
        <v>3.21</v>
      </c>
      <c r="I1377">
        <v>5.33</v>
      </c>
      <c r="J1377">
        <v>28.408899999999999</v>
      </c>
      <c r="K1377" t="str">
        <f>IFERROR(INDEX(Rosters!$C$2:$C$155,MATCH($B1377,Rosters!$B$2:$B$155,0)),"NA")</f>
        <v>aj</v>
      </c>
      <c r="L1377" t="str">
        <f t="shared" si="63"/>
        <v>aj15RB</v>
      </c>
      <c r="M1377">
        <f>COUNTIF(L$1:L1377,L1377)</f>
        <v>4</v>
      </c>
      <c r="N1377" t="str">
        <f t="shared" si="64"/>
        <v>aj15RB-4</v>
      </c>
      <c r="O1377">
        <f>COUNTIFS(F$1:F1377,F1377,A$1:A1377,A1377)</f>
        <v>25</v>
      </c>
      <c r="P1377" t="str">
        <f t="shared" si="65"/>
        <v>LeSean McCoy15</v>
      </c>
    </row>
    <row r="1378" spans="1:16" x14ac:dyDescent="0.25">
      <c r="A1378">
        <v>7</v>
      </c>
      <c r="B1378" t="s">
        <v>796</v>
      </c>
      <c r="C1378" t="s">
        <v>6698</v>
      </c>
      <c r="D1378">
        <v>8.5299999999999994</v>
      </c>
      <c r="E1378" t="s">
        <v>14</v>
      </c>
      <c r="F1378" t="s">
        <v>47</v>
      </c>
      <c r="G1378">
        <v>15.28</v>
      </c>
      <c r="H1378">
        <v>1.78</v>
      </c>
      <c r="I1378">
        <v>6.75</v>
      </c>
      <c r="J1378">
        <v>45.5625</v>
      </c>
      <c r="K1378" t="str">
        <f>IFERROR(INDEX(Rosters!$C$2:$C$155,MATCH($B1378,Rosters!$B$2:$B$155,0)),"NA")</f>
        <v>seth</v>
      </c>
      <c r="L1378" t="str">
        <f t="shared" si="63"/>
        <v>seth7RB</v>
      </c>
      <c r="M1378">
        <f>COUNTIF(L$1:L1378,L1378)</f>
        <v>2</v>
      </c>
      <c r="N1378" t="str">
        <f t="shared" si="64"/>
        <v>seth7RB-2</v>
      </c>
      <c r="O1378">
        <f>COUNTIFS(F$1:F1378,F1378,A$1:A1378,A1378)</f>
        <v>21</v>
      </c>
      <c r="P1378" t="str">
        <f t="shared" si="65"/>
        <v>Alex Collins7</v>
      </c>
    </row>
    <row r="1379" spans="1:16" x14ac:dyDescent="0.25">
      <c r="A1379">
        <v>13</v>
      </c>
      <c r="B1379" t="s">
        <v>136</v>
      </c>
      <c r="C1379" t="s">
        <v>6699</v>
      </c>
      <c r="D1379">
        <v>8.5299999999999994</v>
      </c>
      <c r="E1379" t="s">
        <v>31</v>
      </c>
      <c r="F1379" t="s">
        <v>87</v>
      </c>
      <c r="G1379">
        <v>13.37</v>
      </c>
      <c r="H1379">
        <v>3.69</v>
      </c>
      <c r="I1379">
        <v>4.84</v>
      </c>
      <c r="J1379">
        <v>23.425599999999999</v>
      </c>
      <c r="K1379" t="str">
        <f>IFERROR(INDEX(Rosters!$C$2:$C$155,MATCH($B1379,Rosters!$B$2:$B$155,0)),"NA")</f>
        <v>devon</v>
      </c>
      <c r="L1379" t="str">
        <f t="shared" si="63"/>
        <v>devon13WR</v>
      </c>
      <c r="M1379">
        <f>COUNTIF(L$1:L1379,L1379)</f>
        <v>4</v>
      </c>
      <c r="N1379" t="str">
        <f t="shared" si="64"/>
        <v>devon13WR-4</v>
      </c>
      <c r="O1379">
        <f>COUNTIFS(F$1:F1379,F1379,A$1:A1379,A1379)</f>
        <v>31</v>
      </c>
      <c r="P1379" t="str">
        <f t="shared" si="65"/>
        <v>Demaryius Thomas13</v>
      </c>
    </row>
    <row r="1380" spans="1:16" x14ac:dyDescent="0.25">
      <c r="A1380">
        <v>12</v>
      </c>
      <c r="B1380" t="s">
        <v>207</v>
      </c>
      <c r="C1380" t="s">
        <v>6700</v>
      </c>
      <c r="D1380">
        <v>8.5299999999999994</v>
      </c>
      <c r="E1380" t="s">
        <v>36</v>
      </c>
      <c r="F1380" t="s">
        <v>47</v>
      </c>
      <c r="G1380">
        <v>14.34</v>
      </c>
      <c r="H1380">
        <v>2.72</v>
      </c>
      <c r="I1380">
        <v>5.81</v>
      </c>
      <c r="J1380">
        <v>33.756100000000004</v>
      </c>
      <c r="K1380" t="str">
        <f>IFERROR(INDEX(Rosters!$C$2:$C$155,MATCH($B1380,Rosters!$B$2:$B$155,0)),"NA")</f>
        <v>chad</v>
      </c>
      <c r="L1380" t="str">
        <f t="shared" si="63"/>
        <v>chad12RB</v>
      </c>
      <c r="M1380">
        <f>COUNTIF(L$1:L1380,L1380)</f>
        <v>2</v>
      </c>
      <c r="N1380" t="str">
        <f t="shared" si="64"/>
        <v>chad12RB-2</v>
      </c>
      <c r="O1380">
        <f>COUNTIFS(F$1:F1380,F1380,A$1:A1380,A1380)</f>
        <v>22</v>
      </c>
      <c r="P1380" t="str">
        <f t="shared" si="65"/>
        <v>Dion Lewis12</v>
      </c>
    </row>
    <row r="1381" spans="1:16" x14ac:dyDescent="0.25">
      <c r="A1381">
        <v>2</v>
      </c>
      <c r="B1381" t="s">
        <v>228</v>
      </c>
      <c r="C1381" t="s">
        <v>1771</v>
      </c>
      <c r="D1381">
        <v>8.5299999999999994</v>
      </c>
      <c r="E1381" t="s">
        <v>34</v>
      </c>
      <c r="F1381" t="s">
        <v>47</v>
      </c>
      <c r="G1381">
        <v>15.41</v>
      </c>
      <c r="H1381">
        <v>1.65</v>
      </c>
      <c r="I1381">
        <v>6.88</v>
      </c>
      <c r="J1381">
        <v>47.334400000000002</v>
      </c>
      <c r="K1381" t="str">
        <f>IFERROR(INDEX(Rosters!$C$2:$C$155,MATCH($B1381,Rosters!$B$2:$B$155,0)),"NA")</f>
        <v>perry</v>
      </c>
      <c r="L1381" t="str">
        <f t="shared" si="63"/>
        <v>perry2RB</v>
      </c>
      <c r="M1381">
        <f>COUNTIF(L$1:L1381,L1381)</f>
        <v>2</v>
      </c>
      <c r="N1381" t="str">
        <f t="shared" si="64"/>
        <v>perry2RB-2</v>
      </c>
      <c r="O1381">
        <f>COUNTIFS(F$1:F1381,F1381,A$1:A1381,A1381)</f>
        <v>24</v>
      </c>
      <c r="P1381" t="str">
        <f t="shared" si="65"/>
        <v>Matt Breida2</v>
      </c>
    </row>
    <row r="1382" spans="1:16" x14ac:dyDescent="0.25">
      <c r="A1382">
        <v>12</v>
      </c>
      <c r="B1382" t="s">
        <v>228</v>
      </c>
      <c r="C1382" t="s">
        <v>6701</v>
      </c>
      <c r="D1382">
        <v>8.5299999999999994</v>
      </c>
      <c r="E1382" t="s">
        <v>17</v>
      </c>
      <c r="F1382" t="s">
        <v>47</v>
      </c>
      <c r="G1382">
        <v>13.33</v>
      </c>
      <c r="H1382">
        <v>3.73</v>
      </c>
      <c r="I1382">
        <v>4.8</v>
      </c>
      <c r="J1382">
        <v>23.04</v>
      </c>
      <c r="K1382" t="str">
        <f>IFERROR(INDEX(Rosters!$C$2:$C$155,MATCH($B1382,Rosters!$B$2:$B$155,0)),"NA")</f>
        <v>perry</v>
      </c>
      <c r="L1382" t="str">
        <f t="shared" si="63"/>
        <v>perry12RB</v>
      </c>
      <c r="M1382">
        <f>COUNTIF(L$1:L1382,L1382)</f>
        <v>3</v>
      </c>
      <c r="N1382" t="str">
        <f t="shared" si="64"/>
        <v>perry12RB-3</v>
      </c>
      <c r="O1382">
        <f>COUNTIFS(F$1:F1382,F1382,A$1:A1382,A1382)</f>
        <v>23</v>
      </c>
      <c r="P1382" t="str">
        <f t="shared" si="65"/>
        <v>Matt Breida12</v>
      </c>
    </row>
    <row r="1383" spans="1:16" x14ac:dyDescent="0.25">
      <c r="A1383">
        <v>16</v>
      </c>
      <c r="B1383" t="s">
        <v>3533</v>
      </c>
      <c r="C1383">
        <f>-0.05-17.11</f>
        <v>-17.16</v>
      </c>
      <c r="D1383">
        <v>8.5299999999999994</v>
      </c>
      <c r="E1383" t="s">
        <v>32</v>
      </c>
      <c r="F1383" t="s">
        <v>47</v>
      </c>
      <c r="G1383">
        <v>17.11</v>
      </c>
      <c r="H1383">
        <v>-0.05</v>
      </c>
      <c r="I1383">
        <v>8.58</v>
      </c>
      <c r="J1383">
        <v>73.616399999999999</v>
      </c>
      <c r="K1383" t="str">
        <f>IFERROR(INDEX(Rosters!$C$2:$C$155,MATCH($B1383,Rosters!$B$2:$B$155,0)),"NA")</f>
        <v>perry</v>
      </c>
      <c r="L1383" t="str">
        <f t="shared" si="63"/>
        <v>perry16RB</v>
      </c>
      <c r="M1383">
        <f>COUNTIF(L$1:L1383,L1383)</f>
        <v>2</v>
      </c>
      <c r="N1383" t="str">
        <f t="shared" si="64"/>
        <v>perry16RB-2</v>
      </c>
      <c r="O1383">
        <f>COUNTIFS(F$1:F1383,F1383,A$1:A1383,A1383)</f>
        <v>24</v>
      </c>
      <c r="P1383" t="str">
        <f t="shared" si="65"/>
        <v>Phillip Lindsay16</v>
      </c>
    </row>
    <row r="1384" spans="1:16" x14ac:dyDescent="0.25">
      <c r="A1384">
        <v>15</v>
      </c>
      <c r="B1384" t="s">
        <v>221</v>
      </c>
      <c r="C1384" t="s">
        <v>6702</v>
      </c>
      <c r="D1384">
        <v>8.5299999999999994</v>
      </c>
      <c r="E1384" t="s">
        <v>32</v>
      </c>
      <c r="F1384" t="s">
        <v>87</v>
      </c>
      <c r="G1384">
        <v>13.13</v>
      </c>
      <c r="H1384">
        <v>3.93</v>
      </c>
      <c r="I1384">
        <v>4.5999999999999996</v>
      </c>
      <c r="J1384">
        <v>21.16</v>
      </c>
      <c r="K1384" t="str">
        <f>IFERROR(INDEX(Rosters!$C$2:$C$155,MATCH($B1384,Rosters!$B$2:$B$155,0)),"NA")</f>
        <v>cory</v>
      </c>
      <c r="L1384" t="str">
        <f t="shared" si="63"/>
        <v>cory15WR</v>
      </c>
      <c r="M1384">
        <f>COUNTIF(L$1:L1384,L1384)</f>
        <v>4</v>
      </c>
      <c r="N1384" t="str">
        <f t="shared" si="64"/>
        <v>cory15WR-4</v>
      </c>
      <c r="O1384">
        <f>COUNTIFS(F$1:F1384,F1384,A$1:A1384,A1384)</f>
        <v>28</v>
      </c>
      <c r="P1384" t="str">
        <f t="shared" si="65"/>
        <v>Tyler Boyd15</v>
      </c>
    </row>
    <row r="1385" spans="1:16" x14ac:dyDescent="0.25">
      <c r="A1385">
        <v>15</v>
      </c>
      <c r="B1385" t="s">
        <v>119</v>
      </c>
      <c r="C1385" t="s">
        <v>6703</v>
      </c>
      <c r="D1385">
        <v>8.52</v>
      </c>
      <c r="E1385" t="s">
        <v>41</v>
      </c>
      <c r="F1385" t="s">
        <v>87</v>
      </c>
      <c r="G1385">
        <v>14.66</v>
      </c>
      <c r="H1385">
        <v>2.38</v>
      </c>
      <c r="I1385">
        <v>6.14</v>
      </c>
      <c r="J1385">
        <v>37.699599999999997</v>
      </c>
      <c r="K1385" t="str">
        <f>IFERROR(INDEX(Rosters!$C$2:$C$155,MATCH($B1385,Rosters!$B$2:$B$155,0)),"NA")</f>
        <v>lucas</v>
      </c>
      <c r="L1385" t="str">
        <f t="shared" si="63"/>
        <v>lucas15WR</v>
      </c>
      <c r="M1385">
        <f>COUNTIF(L$1:L1385,L1385)</f>
        <v>3</v>
      </c>
      <c r="N1385" t="str">
        <f t="shared" si="64"/>
        <v>lucas15WR-3</v>
      </c>
      <c r="O1385">
        <f>COUNTIFS(F$1:F1385,F1385,A$1:A1385,A1385)</f>
        <v>29</v>
      </c>
      <c r="P1385" t="str">
        <f t="shared" si="65"/>
        <v>Allen Robinson15</v>
      </c>
    </row>
    <row r="1386" spans="1:16" x14ac:dyDescent="0.25">
      <c r="A1386">
        <v>9</v>
      </c>
      <c r="B1386" t="s">
        <v>98</v>
      </c>
      <c r="C1386" t="s">
        <v>6704</v>
      </c>
      <c r="D1386">
        <v>8.52</v>
      </c>
      <c r="E1386" t="s">
        <v>30</v>
      </c>
      <c r="F1386" t="s">
        <v>87</v>
      </c>
      <c r="G1386">
        <v>14.57</v>
      </c>
      <c r="H1386">
        <v>2.4700000000000002</v>
      </c>
      <c r="I1386">
        <v>6.05</v>
      </c>
      <c r="J1386">
        <v>36.602499999999999</v>
      </c>
      <c r="K1386" t="str">
        <f>IFERROR(INDEX(Rosters!$C$2:$C$155,MATCH($B1386,Rosters!$B$2:$B$155,0)),"NA")</f>
        <v>seth</v>
      </c>
      <c r="L1386" t="str">
        <f t="shared" si="63"/>
        <v>seth9WR</v>
      </c>
      <c r="M1386">
        <f>COUNTIF(L$1:L1386,L1386)</f>
        <v>2</v>
      </c>
      <c r="N1386" t="str">
        <f t="shared" si="64"/>
        <v>seth9WR-2</v>
      </c>
      <c r="O1386">
        <f>COUNTIFS(F$1:F1386,F1386,A$1:A1386,A1386)</f>
        <v>26</v>
      </c>
      <c r="P1386" t="str">
        <f t="shared" si="65"/>
        <v>Jordy Nelson9</v>
      </c>
    </row>
    <row r="1387" spans="1:16" x14ac:dyDescent="0.25">
      <c r="A1387">
        <v>9</v>
      </c>
      <c r="B1387" t="s">
        <v>166</v>
      </c>
      <c r="C1387" t="s">
        <v>6705</v>
      </c>
      <c r="D1387">
        <v>8.52</v>
      </c>
      <c r="E1387" t="s">
        <v>423</v>
      </c>
      <c r="F1387" t="s">
        <v>87</v>
      </c>
      <c r="G1387">
        <v>14.33</v>
      </c>
      <c r="H1387">
        <v>2.71</v>
      </c>
      <c r="I1387">
        <v>5.81</v>
      </c>
      <c r="J1387">
        <v>33.756100000000004</v>
      </c>
      <c r="K1387" t="str">
        <f>IFERROR(INDEX(Rosters!$C$2:$C$155,MATCH($B1387,Rosters!$B$2:$B$155,0)),"NA")</f>
        <v>seth</v>
      </c>
      <c r="L1387" t="str">
        <f t="shared" si="63"/>
        <v>seth9WR</v>
      </c>
      <c r="M1387">
        <f>COUNTIF(L$1:L1387,L1387)</f>
        <v>3</v>
      </c>
      <c r="N1387" t="str">
        <f t="shared" si="64"/>
        <v>seth9WR-3</v>
      </c>
      <c r="O1387">
        <f>COUNTIFS(F$1:F1387,F1387,A$1:A1387,A1387)</f>
        <v>27</v>
      </c>
      <c r="P1387" t="str">
        <f t="shared" si="65"/>
        <v>Randall Cobb9</v>
      </c>
    </row>
    <row r="1388" spans="1:16" x14ac:dyDescent="0.25">
      <c r="A1388">
        <v>6</v>
      </c>
      <c r="B1388" t="s">
        <v>103</v>
      </c>
      <c r="C1388" t="s">
        <v>6706</v>
      </c>
      <c r="D1388">
        <v>8.51</v>
      </c>
      <c r="E1388" t="s">
        <v>28</v>
      </c>
      <c r="F1388" t="s">
        <v>87</v>
      </c>
      <c r="G1388">
        <v>14.34</v>
      </c>
      <c r="H1388">
        <v>2.68</v>
      </c>
      <c r="I1388">
        <v>5.83</v>
      </c>
      <c r="J1388">
        <v>33.988900000000001</v>
      </c>
      <c r="K1388" t="str">
        <f>IFERROR(INDEX(Rosters!$C$2:$C$155,MATCH($B1388,Rosters!$B$2:$B$155,0)),"NA")</f>
        <v>comp</v>
      </c>
      <c r="L1388" t="str">
        <f t="shared" si="63"/>
        <v>comp6WR</v>
      </c>
      <c r="M1388">
        <f>COUNTIF(L$1:L1388,L1388)</f>
        <v>3</v>
      </c>
      <c r="N1388" t="str">
        <f t="shared" si="64"/>
        <v>comp6WR-3</v>
      </c>
      <c r="O1388">
        <f>COUNTIFS(F$1:F1388,F1388,A$1:A1388,A1388)</f>
        <v>24</v>
      </c>
      <c r="P1388" t="str">
        <f t="shared" si="65"/>
        <v>Amari Cooper6</v>
      </c>
    </row>
    <row r="1389" spans="1:16" x14ac:dyDescent="0.25">
      <c r="A1389">
        <v>7</v>
      </c>
      <c r="B1389" t="s">
        <v>1419</v>
      </c>
      <c r="C1389" t="s">
        <v>6707</v>
      </c>
      <c r="D1389">
        <v>8.51</v>
      </c>
      <c r="E1389" t="s">
        <v>17</v>
      </c>
      <c r="F1389" t="s">
        <v>87</v>
      </c>
      <c r="G1389">
        <v>15.73</v>
      </c>
      <c r="H1389">
        <v>1.29</v>
      </c>
      <c r="I1389">
        <v>7.22</v>
      </c>
      <c r="J1389">
        <v>52.128399999999999</v>
      </c>
      <c r="K1389" t="str">
        <f>IFERROR(INDEX(Rosters!$C$2:$C$155,MATCH($B1389,Rosters!$B$2:$B$155,0)),"NA")</f>
        <v>chad</v>
      </c>
      <c r="L1389" t="str">
        <f t="shared" si="63"/>
        <v>chad7WR</v>
      </c>
      <c r="M1389">
        <f>COUNTIF(L$1:L1389,L1389)</f>
        <v>3</v>
      </c>
      <c r="N1389" t="str">
        <f t="shared" si="64"/>
        <v>chad7WR-3</v>
      </c>
      <c r="O1389">
        <f>COUNTIFS(F$1:F1389,F1389,A$1:A1389,A1389)</f>
        <v>22</v>
      </c>
      <c r="P1389" t="str">
        <f t="shared" si="65"/>
        <v>Antonio Callaway7</v>
      </c>
    </row>
    <row r="1390" spans="1:16" x14ac:dyDescent="0.25">
      <c r="A1390">
        <v>3</v>
      </c>
      <c r="B1390" t="s">
        <v>136</v>
      </c>
      <c r="C1390" t="s">
        <v>3676</v>
      </c>
      <c r="D1390">
        <v>8.51</v>
      </c>
      <c r="E1390" t="s">
        <v>77</v>
      </c>
      <c r="F1390" t="s">
        <v>87</v>
      </c>
      <c r="G1390">
        <v>13.58</v>
      </c>
      <c r="H1390">
        <v>3.44</v>
      </c>
      <c r="I1390">
        <v>5.07</v>
      </c>
      <c r="J1390">
        <v>25.704899999999999</v>
      </c>
      <c r="K1390" t="str">
        <f>IFERROR(INDEX(Rosters!$C$2:$C$155,MATCH($B1390,Rosters!$B$2:$B$155,0)),"NA")</f>
        <v>devon</v>
      </c>
      <c r="L1390" t="str">
        <f t="shared" si="63"/>
        <v>devon3WR</v>
      </c>
      <c r="M1390">
        <f>COUNTIF(L$1:L1390,L1390)</f>
        <v>3</v>
      </c>
      <c r="N1390" t="str">
        <f t="shared" si="64"/>
        <v>devon3WR-3</v>
      </c>
      <c r="O1390">
        <f>COUNTIFS(F$1:F1390,F1390,A$1:A1390,A1390)</f>
        <v>23</v>
      </c>
      <c r="P1390" t="str">
        <f t="shared" si="65"/>
        <v>Demaryius Thomas3</v>
      </c>
    </row>
    <row r="1391" spans="1:16" x14ac:dyDescent="0.25">
      <c r="A1391">
        <v>11</v>
      </c>
      <c r="B1391" t="s">
        <v>240</v>
      </c>
      <c r="C1391" t="s">
        <v>6708</v>
      </c>
      <c r="D1391">
        <v>8.51</v>
      </c>
      <c r="E1391" t="s">
        <v>14</v>
      </c>
      <c r="F1391" t="s">
        <v>87</v>
      </c>
      <c r="G1391">
        <v>14.79</v>
      </c>
      <c r="H1391">
        <v>2.23</v>
      </c>
      <c r="I1391">
        <v>6.28</v>
      </c>
      <c r="J1391">
        <v>39.438400000000001</v>
      </c>
      <c r="K1391" t="str">
        <f>IFERROR(INDEX(Rosters!$C$2:$C$155,MATCH($B1391,Rosters!$B$2:$B$155,0)),"NA")</f>
        <v>aj</v>
      </c>
      <c r="L1391" t="str">
        <f t="shared" si="63"/>
        <v>aj11WR</v>
      </c>
      <c r="M1391">
        <f>COUNTIF(L$1:L1391,L1391)</f>
        <v>4</v>
      </c>
      <c r="N1391" t="str">
        <f t="shared" si="64"/>
        <v>aj11WR-4</v>
      </c>
      <c r="O1391">
        <f>COUNTIFS(F$1:F1391,F1391,A$1:A1391,A1391)</f>
        <v>26</v>
      </c>
      <c r="P1391" t="str">
        <f t="shared" si="65"/>
        <v>Nelson Agholor11</v>
      </c>
    </row>
    <row r="1392" spans="1:16" x14ac:dyDescent="0.25">
      <c r="A1392">
        <v>2</v>
      </c>
      <c r="B1392" t="s">
        <v>160</v>
      </c>
      <c r="C1392" t="s">
        <v>3561</v>
      </c>
      <c r="D1392">
        <v>8.51</v>
      </c>
      <c r="E1392" t="s">
        <v>34</v>
      </c>
      <c r="F1392" t="s">
        <v>87</v>
      </c>
      <c r="G1392">
        <v>15.42</v>
      </c>
      <c r="H1392">
        <v>1.6</v>
      </c>
      <c r="I1392">
        <v>6.91</v>
      </c>
      <c r="J1392">
        <v>47.748100000000001</v>
      </c>
      <c r="K1392" t="str">
        <f>IFERROR(INDEX(Rosters!$C$2:$C$155,MATCH($B1392,Rosters!$B$2:$B$155,0)),"NA")</f>
        <v>NA</v>
      </c>
      <c r="L1392" t="str">
        <f t="shared" si="63"/>
        <v>NA2WR</v>
      </c>
      <c r="M1392">
        <f>COUNTIF(L$1:L1392,L1392)</f>
        <v>1</v>
      </c>
      <c r="N1392" t="str">
        <f t="shared" si="64"/>
        <v>NA2WR-1</v>
      </c>
      <c r="O1392">
        <f>COUNTIFS(F$1:F1392,F1392,A$1:A1392,A1392)</f>
        <v>25</v>
      </c>
      <c r="P1392" t="str">
        <f t="shared" si="65"/>
        <v>Pierre Garcon2</v>
      </c>
    </row>
    <row r="1393" spans="1:16" x14ac:dyDescent="0.25">
      <c r="A1393">
        <v>7</v>
      </c>
      <c r="B1393" t="s">
        <v>1647</v>
      </c>
      <c r="C1393" t="s">
        <v>6709</v>
      </c>
      <c r="D1393">
        <v>8.5</v>
      </c>
      <c r="E1393" t="s">
        <v>77</v>
      </c>
      <c r="F1393" t="s">
        <v>47</v>
      </c>
      <c r="G1393">
        <v>15.19</v>
      </c>
      <c r="H1393">
        <v>1.81</v>
      </c>
      <c r="I1393">
        <v>6.69</v>
      </c>
      <c r="J1393">
        <v>44.756100000000004</v>
      </c>
      <c r="K1393" t="str">
        <f>IFERROR(INDEX(Rosters!$C$2:$C$155,MATCH($B1393,Rosters!$B$2:$B$155,0)),"NA")</f>
        <v>cory</v>
      </c>
      <c r="L1393" t="str">
        <f t="shared" si="63"/>
        <v>cory7RB</v>
      </c>
      <c r="M1393">
        <f>COUNTIF(L$1:L1393,L1393)</f>
        <v>2</v>
      </c>
      <c r="N1393" t="str">
        <f t="shared" si="64"/>
        <v>cory7RB-2</v>
      </c>
      <c r="O1393">
        <f>COUNTIFS(F$1:F1393,F1393,A$1:A1393,A1393)</f>
        <v>22</v>
      </c>
      <c r="P1393" t="str">
        <f t="shared" si="65"/>
        <v>Mark Ingram II7</v>
      </c>
    </row>
    <row r="1394" spans="1:16" x14ac:dyDescent="0.25">
      <c r="A1394">
        <v>7</v>
      </c>
      <c r="B1394" t="s">
        <v>116</v>
      </c>
      <c r="C1394" t="s">
        <v>6710</v>
      </c>
      <c r="D1394">
        <v>8.5</v>
      </c>
      <c r="E1394" t="s">
        <v>14</v>
      </c>
      <c r="F1394" t="s">
        <v>87</v>
      </c>
      <c r="G1394">
        <v>15.48</v>
      </c>
      <c r="H1394">
        <v>1.52</v>
      </c>
      <c r="I1394">
        <v>6.98</v>
      </c>
      <c r="J1394">
        <v>48.720399999999998</v>
      </c>
      <c r="K1394" t="str">
        <f>IFERROR(INDEX(Rosters!$C$2:$C$155,MATCH($B1394,Rosters!$B$2:$B$155,0)),"NA")</f>
        <v>aj</v>
      </c>
      <c r="L1394" t="str">
        <f t="shared" si="63"/>
        <v>aj7WR</v>
      </c>
      <c r="M1394">
        <f>COUNTIF(L$1:L1394,L1394)</f>
        <v>4</v>
      </c>
      <c r="N1394" t="str">
        <f t="shared" si="64"/>
        <v>aj7WR-4</v>
      </c>
      <c r="O1394">
        <f>COUNTIFS(F$1:F1394,F1394,A$1:A1394,A1394)</f>
        <v>23</v>
      </c>
      <c r="P1394" t="str">
        <f t="shared" si="65"/>
        <v>Michael Crabtree7</v>
      </c>
    </row>
    <row r="1395" spans="1:16" x14ac:dyDescent="0.25">
      <c r="A1395">
        <v>1</v>
      </c>
      <c r="B1395" t="s">
        <v>240</v>
      </c>
      <c r="C1395" t="s">
        <v>1688</v>
      </c>
      <c r="D1395">
        <v>8.5</v>
      </c>
      <c r="E1395" t="s">
        <v>46</v>
      </c>
      <c r="F1395" t="s">
        <v>87</v>
      </c>
      <c r="G1395">
        <v>15.55</v>
      </c>
      <c r="H1395">
        <v>1.45</v>
      </c>
      <c r="I1395">
        <v>7.05</v>
      </c>
      <c r="J1395">
        <v>49.702500000000001</v>
      </c>
      <c r="K1395" t="str">
        <f>IFERROR(INDEX(Rosters!$C$2:$C$155,MATCH($B1395,Rosters!$B$2:$B$155,0)),"NA")</f>
        <v>aj</v>
      </c>
      <c r="L1395" t="str">
        <f t="shared" si="63"/>
        <v>aj1WR</v>
      </c>
      <c r="M1395">
        <f>COUNTIF(L$1:L1395,L1395)</f>
        <v>4</v>
      </c>
      <c r="N1395" t="str">
        <f t="shared" si="64"/>
        <v>aj1WR-4</v>
      </c>
      <c r="O1395">
        <f>COUNTIFS(F$1:F1395,F1395,A$1:A1395,A1395)</f>
        <v>22</v>
      </c>
      <c r="P1395" t="str">
        <f t="shared" si="65"/>
        <v>Nelson Agholor1</v>
      </c>
    </row>
    <row r="1396" spans="1:16" x14ac:dyDescent="0.25">
      <c r="A1396">
        <v>11</v>
      </c>
      <c r="B1396" t="s">
        <v>207</v>
      </c>
      <c r="C1396" t="s">
        <v>6711</v>
      </c>
      <c r="D1396">
        <v>8.49</v>
      </c>
      <c r="E1396" t="s">
        <v>66</v>
      </c>
      <c r="F1396" t="s">
        <v>47</v>
      </c>
      <c r="G1396">
        <v>13.98</v>
      </c>
      <c r="H1396">
        <v>3</v>
      </c>
      <c r="I1396">
        <v>5.49</v>
      </c>
      <c r="J1396">
        <v>30.1401</v>
      </c>
      <c r="K1396" t="str">
        <f>IFERROR(INDEX(Rosters!$C$2:$C$155,MATCH($B1396,Rosters!$B$2:$B$155,0)),"NA")</f>
        <v>chad</v>
      </c>
      <c r="L1396" t="str">
        <f t="shared" si="63"/>
        <v>chad11RB</v>
      </c>
      <c r="M1396">
        <f>COUNTIF(L$1:L1396,L1396)</f>
        <v>3</v>
      </c>
      <c r="N1396" t="str">
        <f t="shared" si="64"/>
        <v>chad11RB-3</v>
      </c>
      <c r="O1396">
        <f>COUNTIFS(F$1:F1396,F1396,A$1:A1396,A1396)</f>
        <v>22</v>
      </c>
      <c r="P1396" t="str">
        <f t="shared" si="65"/>
        <v>Dion Lewis11</v>
      </c>
    </row>
    <row r="1397" spans="1:16" x14ac:dyDescent="0.25">
      <c r="A1397">
        <v>14</v>
      </c>
      <c r="B1397" t="s">
        <v>149</v>
      </c>
      <c r="C1397" t="s">
        <v>6712</v>
      </c>
      <c r="D1397">
        <v>8.49</v>
      </c>
      <c r="E1397" t="s">
        <v>30</v>
      </c>
      <c r="F1397" t="s">
        <v>87</v>
      </c>
      <c r="G1397">
        <v>13.87</v>
      </c>
      <c r="H1397">
        <v>3.11</v>
      </c>
      <c r="I1397">
        <v>5.38</v>
      </c>
      <c r="J1397">
        <v>28.944400000000002</v>
      </c>
      <c r="K1397" t="str">
        <f>IFERROR(INDEX(Rosters!$C$2:$C$155,MATCH($B1397,Rosters!$B$2:$B$155,0)),"NA")</f>
        <v>comp</v>
      </c>
      <c r="L1397" t="str">
        <f t="shared" si="63"/>
        <v>comp14WR</v>
      </c>
      <c r="M1397">
        <f>COUNTIF(L$1:L1397,L1397)</f>
        <v>5</v>
      </c>
      <c r="N1397" t="str">
        <f t="shared" si="64"/>
        <v>comp14WR-5</v>
      </c>
      <c r="O1397">
        <f>COUNTIFS(F$1:F1397,F1397,A$1:A1397,A1397)</f>
        <v>33</v>
      </c>
      <c r="P1397" t="str">
        <f t="shared" si="65"/>
        <v>Emmanuel Sanders14</v>
      </c>
    </row>
    <row r="1398" spans="1:16" x14ac:dyDescent="0.25">
      <c r="A1398">
        <v>1</v>
      </c>
      <c r="B1398" t="s">
        <v>134</v>
      </c>
      <c r="C1398" t="s">
        <v>3186</v>
      </c>
      <c r="D1398">
        <v>8.49</v>
      </c>
      <c r="E1398" t="s">
        <v>51</v>
      </c>
      <c r="F1398" t="s">
        <v>87</v>
      </c>
      <c r="G1398">
        <v>14.39</v>
      </c>
      <c r="H1398">
        <v>2.59</v>
      </c>
      <c r="I1398">
        <v>5.9</v>
      </c>
      <c r="J1398">
        <v>34.81</v>
      </c>
      <c r="K1398" t="str">
        <f>IFERROR(INDEX(Rosters!$C$2:$C$155,MATCH($B1398,Rosters!$B$2:$B$155,0)),"NA")</f>
        <v>cory</v>
      </c>
      <c r="L1398" t="str">
        <f t="shared" si="63"/>
        <v>cory1WR</v>
      </c>
      <c r="M1398">
        <f>COUNTIF(L$1:L1398,L1398)</f>
        <v>3</v>
      </c>
      <c r="N1398" t="str">
        <f t="shared" si="64"/>
        <v>cory1WR-3</v>
      </c>
      <c r="O1398">
        <f>COUNTIFS(F$1:F1398,F1398,A$1:A1398,A1398)</f>
        <v>23</v>
      </c>
      <c r="P1398" t="str">
        <f t="shared" si="65"/>
        <v>Jarvis Landry1</v>
      </c>
    </row>
    <row r="1399" spans="1:16" x14ac:dyDescent="0.25">
      <c r="A1399">
        <v>4</v>
      </c>
      <c r="B1399" t="s">
        <v>1336</v>
      </c>
      <c r="C1399" t="s">
        <v>5027</v>
      </c>
      <c r="D1399">
        <v>8.49</v>
      </c>
      <c r="E1399" t="s">
        <v>58</v>
      </c>
      <c r="F1399" t="s">
        <v>47</v>
      </c>
      <c r="G1399">
        <v>15.05</v>
      </c>
      <c r="H1399">
        <v>1.93</v>
      </c>
      <c r="I1399">
        <v>6.56</v>
      </c>
      <c r="J1399">
        <v>43.0336</v>
      </c>
      <c r="K1399" t="str">
        <f>IFERROR(INDEX(Rosters!$C$2:$C$155,MATCH($B1399,Rosters!$B$2:$B$155,0)),"NA")</f>
        <v>NA</v>
      </c>
      <c r="L1399" t="str">
        <f t="shared" si="63"/>
        <v>NA4RB</v>
      </c>
      <c r="M1399">
        <f>COUNTIF(L$1:L1399,L1399)</f>
        <v>2</v>
      </c>
      <c r="N1399" t="str">
        <f t="shared" si="64"/>
        <v>NA4RB-2</v>
      </c>
      <c r="O1399">
        <f>COUNTIFS(F$1:F1399,F1399,A$1:A1399,A1399)</f>
        <v>22</v>
      </c>
      <c r="P1399" t="str">
        <f t="shared" si="65"/>
        <v>Rashaad Penny4</v>
      </c>
    </row>
    <row r="1400" spans="1:16" x14ac:dyDescent="0.25">
      <c r="A1400">
        <v>3</v>
      </c>
      <c r="B1400" t="s">
        <v>159</v>
      </c>
      <c r="C1400" t="s">
        <v>3677</v>
      </c>
      <c r="D1400">
        <v>8.48</v>
      </c>
      <c r="E1400" t="s">
        <v>34</v>
      </c>
      <c r="F1400" t="s">
        <v>87</v>
      </c>
      <c r="G1400">
        <v>14.31</v>
      </c>
      <c r="H1400">
        <v>2.65</v>
      </c>
      <c r="I1400">
        <v>5.83</v>
      </c>
      <c r="J1400">
        <v>33.988900000000001</v>
      </c>
      <c r="K1400" t="str">
        <f>IFERROR(INDEX(Rosters!$C$2:$C$155,MATCH($B1400,Rosters!$B$2:$B$155,0)),"NA")</f>
        <v>perry</v>
      </c>
      <c r="L1400" t="str">
        <f t="shared" si="63"/>
        <v>perry3WR</v>
      </c>
      <c r="M1400">
        <f>COUNTIF(L$1:L1400,L1400)</f>
        <v>3</v>
      </c>
      <c r="N1400" t="str">
        <f t="shared" si="64"/>
        <v>perry3WR-3</v>
      </c>
      <c r="O1400">
        <f>COUNTIFS(F$1:F1400,F1400,A$1:A1400,A1400)</f>
        <v>24</v>
      </c>
      <c r="P1400" t="str">
        <f t="shared" si="65"/>
        <v>Chris Hogan3</v>
      </c>
    </row>
    <row r="1401" spans="1:16" x14ac:dyDescent="0.25">
      <c r="A1401">
        <v>14</v>
      </c>
      <c r="B1401" t="s">
        <v>136</v>
      </c>
      <c r="C1401" t="s">
        <v>6713</v>
      </c>
      <c r="D1401">
        <v>8.48</v>
      </c>
      <c r="E1401" t="s">
        <v>30</v>
      </c>
      <c r="F1401" t="s">
        <v>87</v>
      </c>
      <c r="G1401">
        <v>13.41</v>
      </c>
      <c r="H1401">
        <v>3.55</v>
      </c>
      <c r="I1401">
        <v>4.93</v>
      </c>
      <c r="J1401">
        <v>24.3049</v>
      </c>
      <c r="K1401" t="str">
        <f>IFERROR(INDEX(Rosters!$C$2:$C$155,MATCH($B1401,Rosters!$B$2:$B$155,0)),"NA")</f>
        <v>devon</v>
      </c>
      <c r="L1401" t="str">
        <f t="shared" si="63"/>
        <v>devon14WR</v>
      </c>
      <c r="M1401">
        <f>COUNTIF(L$1:L1401,L1401)</f>
        <v>4</v>
      </c>
      <c r="N1401" t="str">
        <f t="shared" si="64"/>
        <v>devon14WR-4</v>
      </c>
      <c r="O1401">
        <f>COUNTIFS(F$1:F1401,F1401,A$1:A1401,A1401)</f>
        <v>34</v>
      </c>
      <c r="P1401" t="str">
        <f t="shared" si="65"/>
        <v>Demaryius Thomas14</v>
      </c>
    </row>
    <row r="1402" spans="1:16" x14ac:dyDescent="0.25">
      <c r="A1402">
        <v>12</v>
      </c>
      <c r="B1402" t="s">
        <v>220</v>
      </c>
      <c r="C1402" t="s">
        <v>6714</v>
      </c>
      <c r="D1402">
        <v>8.48</v>
      </c>
      <c r="E1402" t="s">
        <v>66</v>
      </c>
      <c r="F1402" t="s">
        <v>87</v>
      </c>
      <c r="G1402">
        <v>14.7</v>
      </c>
      <c r="H1402">
        <v>2.2599999999999998</v>
      </c>
      <c r="I1402">
        <v>6.22</v>
      </c>
      <c r="J1402">
        <v>38.688400000000001</v>
      </c>
      <c r="K1402" t="str">
        <f>IFERROR(INDEX(Rosters!$C$2:$C$155,MATCH($B1402,Rosters!$B$2:$B$155,0)),"NA")</f>
        <v>comp</v>
      </c>
      <c r="L1402" t="str">
        <f t="shared" si="63"/>
        <v>comp12WR</v>
      </c>
      <c r="M1402">
        <f>COUNTIF(L$1:L1402,L1402)</f>
        <v>4</v>
      </c>
      <c r="N1402" t="str">
        <f t="shared" si="64"/>
        <v>comp12WR-4</v>
      </c>
      <c r="O1402">
        <f>COUNTIFS(F$1:F1402,F1402,A$1:A1402,A1402)</f>
        <v>28</v>
      </c>
      <c r="P1402" t="str">
        <f t="shared" si="65"/>
        <v>Kenny Stills12</v>
      </c>
    </row>
    <row r="1403" spans="1:16" x14ac:dyDescent="0.25">
      <c r="A1403">
        <v>13</v>
      </c>
      <c r="B1403" t="s">
        <v>1372</v>
      </c>
      <c r="C1403" t="s">
        <v>6715</v>
      </c>
      <c r="D1403">
        <v>8.4700000000000006</v>
      </c>
      <c r="E1403" t="s">
        <v>38</v>
      </c>
      <c r="F1403" t="s">
        <v>87</v>
      </c>
      <c r="G1403">
        <v>13.48</v>
      </c>
      <c r="H1403">
        <v>3.46</v>
      </c>
      <c r="I1403">
        <v>5.01</v>
      </c>
      <c r="J1403">
        <v>25.100100000000001</v>
      </c>
      <c r="K1403" t="str">
        <f>IFERROR(INDEX(Rosters!$C$2:$C$155,MATCH($B1403,Rosters!$B$2:$B$155,0)),"NA")</f>
        <v>lucas</v>
      </c>
      <c r="L1403" t="str">
        <f t="shared" si="63"/>
        <v>lucas13WR</v>
      </c>
      <c r="M1403">
        <f>COUNTIF(L$1:L1403,L1403)</f>
        <v>2</v>
      </c>
      <c r="N1403" t="str">
        <f t="shared" si="64"/>
        <v>lucas13WR-2</v>
      </c>
      <c r="O1403">
        <f>COUNTIFS(F$1:F1403,F1403,A$1:A1403,A1403)</f>
        <v>32</v>
      </c>
      <c r="P1403" t="str">
        <f t="shared" si="65"/>
        <v>Quincy Enunwa13</v>
      </c>
    </row>
    <row r="1404" spans="1:16" x14ac:dyDescent="0.25">
      <c r="A1404">
        <v>2</v>
      </c>
      <c r="B1404" t="s">
        <v>119</v>
      </c>
      <c r="C1404" t="s">
        <v>1344</v>
      </c>
      <c r="D1404">
        <v>8.4600000000000009</v>
      </c>
      <c r="E1404" t="s">
        <v>28</v>
      </c>
      <c r="F1404" t="s">
        <v>87</v>
      </c>
      <c r="G1404">
        <v>14.03</v>
      </c>
      <c r="H1404">
        <v>2.89</v>
      </c>
      <c r="I1404">
        <v>5.57</v>
      </c>
      <c r="J1404">
        <v>31.024899999999999</v>
      </c>
      <c r="K1404" t="str">
        <f>IFERROR(INDEX(Rosters!$C$2:$C$155,MATCH($B1404,Rosters!$B$2:$B$155,0)),"NA")</f>
        <v>lucas</v>
      </c>
      <c r="L1404" t="str">
        <f t="shared" si="63"/>
        <v>lucas2WR</v>
      </c>
      <c r="M1404">
        <f>COUNTIF(L$1:L1404,L1404)</f>
        <v>1</v>
      </c>
      <c r="N1404" t="str">
        <f t="shared" si="64"/>
        <v>lucas2WR-1</v>
      </c>
      <c r="O1404">
        <f>COUNTIFS(F$1:F1404,F1404,A$1:A1404,A1404)</f>
        <v>26</v>
      </c>
      <c r="P1404" t="str">
        <f t="shared" si="65"/>
        <v>Allen Robinson2</v>
      </c>
    </row>
    <row r="1405" spans="1:16" x14ac:dyDescent="0.25">
      <c r="A1405">
        <v>2</v>
      </c>
      <c r="B1405" t="s">
        <v>103</v>
      </c>
      <c r="C1405" t="s">
        <v>3678</v>
      </c>
      <c r="D1405">
        <v>8.4499999999999993</v>
      </c>
      <c r="E1405" t="s">
        <v>42</v>
      </c>
      <c r="F1405" t="s">
        <v>87</v>
      </c>
      <c r="G1405">
        <v>13.69</v>
      </c>
      <c r="H1405">
        <v>3.21</v>
      </c>
      <c r="I1405">
        <v>5.24</v>
      </c>
      <c r="J1405">
        <v>27.457599999999999</v>
      </c>
      <c r="K1405" t="str">
        <f>IFERROR(INDEX(Rosters!$C$2:$C$155,MATCH($B1405,Rosters!$B$2:$B$155,0)),"NA")</f>
        <v>comp</v>
      </c>
      <c r="L1405" t="str">
        <f t="shared" si="63"/>
        <v>comp2WR</v>
      </c>
      <c r="M1405">
        <f>COUNTIF(L$1:L1405,L1405)</f>
        <v>5</v>
      </c>
      <c r="N1405" t="str">
        <f t="shared" si="64"/>
        <v>comp2WR-5</v>
      </c>
      <c r="O1405">
        <f>COUNTIFS(F$1:F1405,F1405,A$1:A1405,A1405)</f>
        <v>27</v>
      </c>
      <c r="P1405" t="str">
        <f t="shared" si="65"/>
        <v>Amari Cooper2</v>
      </c>
    </row>
    <row r="1406" spans="1:16" x14ac:dyDescent="0.25">
      <c r="A1406">
        <v>4</v>
      </c>
      <c r="B1406" t="s">
        <v>207</v>
      </c>
      <c r="C1406" t="s">
        <v>4473</v>
      </c>
      <c r="D1406">
        <v>8.4499999999999993</v>
      </c>
      <c r="E1406" t="s">
        <v>50</v>
      </c>
      <c r="F1406" t="s">
        <v>47</v>
      </c>
      <c r="G1406">
        <v>14.3</v>
      </c>
      <c r="H1406">
        <v>2.6</v>
      </c>
      <c r="I1406">
        <v>5.85</v>
      </c>
      <c r="J1406">
        <v>34.222499999999997</v>
      </c>
      <c r="K1406" t="str">
        <f>IFERROR(INDEX(Rosters!$C$2:$C$155,MATCH($B1406,Rosters!$B$2:$B$155,0)),"NA")</f>
        <v>chad</v>
      </c>
      <c r="L1406" t="str">
        <f t="shared" si="63"/>
        <v>chad4RB</v>
      </c>
      <c r="M1406">
        <f>COUNTIF(L$1:L1406,L1406)</f>
        <v>3</v>
      </c>
      <c r="N1406" t="str">
        <f t="shared" si="64"/>
        <v>chad4RB-3</v>
      </c>
      <c r="O1406">
        <f>COUNTIFS(F$1:F1406,F1406,A$1:A1406,A1406)</f>
        <v>23</v>
      </c>
      <c r="P1406" t="str">
        <f t="shared" si="65"/>
        <v>Dion Lewis4</v>
      </c>
    </row>
    <row r="1407" spans="1:16" x14ac:dyDescent="0.25">
      <c r="A1407">
        <v>5</v>
      </c>
      <c r="B1407" t="s">
        <v>185</v>
      </c>
      <c r="C1407" t="s">
        <v>6716</v>
      </c>
      <c r="D1407">
        <v>8.4499999999999993</v>
      </c>
      <c r="E1407" t="s">
        <v>52</v>
      </c>
      <c r="F1407" t="s">
        <v>87</v>
      </c>
      <c r="G1407">
        <v>15.24</v>
      </c>
      <c r="H1407">
        <v>1.66</v>
      </c>
      <c r="I1407">
        <v>6.79</v>
      </c>
      <c r="J1407">
        <v>46.104100000000003</v>
      </c>
      <c r="K1407" t="str">
        <f>IFERROR(INDEX(Rosters!$C$2:$C$155,MATCH($B1407,Rosters!$B$2:$B$155,0)),"NA")</f>
        <v>scott</v>
      </c>
      <c r="L1407" t="str">
        <f t="shared" si="63"/>
        <v>scott5WR</v>
      </c>
      <c r="M1407">
        <f>COUNTIF(L$1:L1407,L1407)</f>
        <v>2</v>
      </c>
      <c r="N1407" t="str">
        <f t="shared" si="64"/>
        <v>scott5WR-2</v>
      </c>
      <c r="O1407">
        <f>COUNTIFS(F$1:F1407,F1407,A$1:A1407,A1407)</f>
        <v>25</v>
      </c>
      <c r="P1407" t="str">
        <f t="shared" si="65"/>
        <v>John Brown5</v>
      </c>
    </row>
    <row r="1408" spans="1:16" x14ac:dyDescent="0.25">
      <c r="A1408">
        <v>5</v>
      </c>
      <c r="B1408" t="s">
        <v>613</v>
      </c>
      <c r="C1408" t="s">
        <v>6717</v>
      </c>
      <c r="D1408">
        <v>8.4499999999999993</v>
      </c>
      <c r="E1408" t="s">
        <v>41</v>
      </c>
      <c r="F1408" t="s">
        <v>87</v>
      </c>
      <c r="G1408">
        <v>13.82</v>
      </c>
      <c r="H1408">
        <v>3.08</v>
      </c>
      <c r="I1408">
        <v>5.37</v>
      </c>
      <c r="J1408">
        <v>28.8369</v>
      </c>
      <c r="K1408" t="str">
        <f>IFERROR(INDEX(Rosters!$C$2:$C$155,MATCH($B1408,Rosters!$B$2:$B$155,0)),"NA")</f>
        <v>matty</v>
      </c>
      <c r="L1408" t="str">
        <f t="shared" si="63"/>
        <v>matty5WR</v>
      </c>
      <c r="M1408">
        <f>COUNTIF(L$1:L1408,L1408)</f>
        <v>4</v>
      </c>
      <c r="N1408" t="str">
        <f t="shared" si="64"/>
        <v>matty5WR-4</v>
      </c>
      <c r="O1408">
        <f>COUNTIFS(F$1:F1408,F1408,A$1:A1408,A1408)</f>
        <v>26</v>
      </c>
      <c r="P1408" t="str">
        <f t="shared" si="65"/>
        <v>Marvin Jones Jr.5</v>
      </c>
    </row>
    <row r="1409" spans="1:16" x14ac:dyDescent="0.25">
      <c r="A1409">
        <v>2</v>
      </c>
      <c r="B1409" t="s">
        <v>116</v>
      </c>
      <c r="C1409" t="s">
        <v>3331</v>
      </c>
      <c r="D1409">
        <v>8.4499999999999993</v>
      </c>
      <c r="E1409" t="s">
        <v>31</v>
      </c>
      <c r="F1409" t="s">
        <v>87</v>
      </c>
      <c r="G1409">
        <v>12.8</v>
      </c>
      <c r="H1409">
        <v>4.0999999999999996</v>
      </c>
      <c r="I1409">
        <v>4.3499999999999996</v>
      </c>
      <c r="J1409">
        <v>18.922499999999999</v>
      </c>
      <c r="K1409" t="str">
        <f>IFERROR(INDEX(Rosters!$C$2:$C$155,MATCH($B1409,Rosters!$B$2:$B$155,0)),"NA")</f>
        <v>aj</v>
      </c>
      <c r="L1409" t="str">
        <f t="shared" si="63"/>
        <v>aj2WR</v>
      </c>
      <c r="M1409">
        <f>COUNTIF(L$1:L1409,L1409)</f>
        <v>5</v>
      </c>
      <c r="N1409" t="str">
        <f t="shared" si="64"/>
        <v>aj2WR-5</v>
      </c>
      <c r="O1409">
        <f>COUNTIFS(F$1:F1409,F1409,A$1:A1409,A1409)</f>
        <v>28</v>
      </c>
      <c r="P1409" t="str">
        <f t="shared" si="65"/>
        <v>Michael Crabtree2</v>
      </c>
    </row>
    <row r="1410" spans="1:16" x14ac:dyDescent="0.25">
      <c r="A1410">
        <v>4</v>
      </c>
      <c r="B1410" t="s">
        <v>355</v>
      </c>
      <c r="C1410" t="s">
        <v>4474</v>
      </c>
      <c r="D1410">
        <v>8.4499999999999993</v>
      </c>
      <c r="E1410" t="s">
        <v>72</v>
      </c>
      <c r="F1410" t="s">
        <v>47</v>
      </c>
      <c r="G1410">
        <v>14.28</v>
      </c>
      <c r="H1410">
        <v>2.62</v>
      </c>
      <c r="I1410">
        <v>5.83</v>
      </c>
      <c r="J1410">
        <v>33.988900000000001</v>
      </c>
      <c r="K1410" t="str">
        <f>IFERROR(INDEX(Rosters!$C$2:$C$155,MATCH($B1410,Rosters!$B$2:$B$155,0)),"NA")</f>
        <v>devon</v>
      </c>
      <c r="L1410" t="str">
        <f t="shared" si="63"/>
        <v>devon4RB</v>
      </c>
      <c r="M1410">
        <f>COUNTIF(L$1:L1410,L1410)</f>
        <v>1</v>
      </c>
      <c r="N1410" t="str">
        <f t="shared" si="64"/>
        <v>devon4RB-1</v>
      </c>
      <c r="O1410">
        <f>COUNTIFS(F$1:F1410,F1410,A$1:A1410,A1410)</f>
        <v>24</v>
      </c>
      <c r="P1410" t="str">
        <f t="shared" si="65"/>
        <v>Peyton Barber4</v>
      </c>
    </row>
    <row r="1411" spans="1:16" x14ac:dyDescent="0.25">
      <c r="A1411">
        <v>10</v>
      </c>
      <c r="B1411" t="s">
        <v>103</v>
      </c>
      <c r="C1411" t="s">
        <v>6718</v>
      </c>
      <c r="D1411">
        <v>8.44</v>
      </c>
      <c r="E1411" t="s">
        <v>37</v>
      </c>
      <c r="F1411" t="s">
        <v>87</v>
      </c>
      <c r="G1411">
        <v>14.18</v>
      </c>
      <c r="H1411">
        <v>2.7</v>
      </c>
      <c r="I1411">
        <v>5.74</v>
      </c>
      <c r="J1411">
        <v>32.947600000000001</v>
      </c>
      <c r="K1411" t="str">
        <f>IFERROR(INDEX(Rosters!$C$2:$C$155,MATCH($B1411,Rosters!$B$2:$B$155,0)),"NA")</f>
        <v>comp</v>
      </c>
      <c r="L1411" t="str">
        <f t="shared" ref="L1411:L1474" si="66">K1411&amp;A1411&amp;F1411</f>
        <v>comp10WR</v>
      </c>
      <c r="M1411">
        <f>COUNTIF(L$1:L1411,L1411)</f>
        <v>5</v>
      </c>
      <c r="N1411" t="str">
        <f t="shared" ref="N1411:N1474" si="67">L1411&amp;"-"&amp;M1411</f>
        <v>comp10WR-5</v>
      </c>
      <c r="O1411">
        <f>COUNTIFS(F$1:F1411,F1411,A$1:A1411,A1411)</f>
        <v>27</v>
      </c>
      <c r="P1411" t="str">
        <f t="shared" ref="P1411:P1474" si="68">B1411&amp;A1411</f>
        <v>Amari Cooper10</v>
      </c>
    </row>
    <row r="1412" spans="1:16" x14ac:dyDescent="0.25">
      <c r="A1412">
        <v>7</v>
      </c>
      <c r="B1412" t="s">
        <v>613</v>
      </c>
      <c r="C1412" t="s">
        <v>6719</v>
      </c>
      <c r="D1412">
        <v>8.44</v>
      </c>
      <c r="E1412" t="s">
        <v>19</v>
      </c>
      <c r="F1412" t="s">
        <v>87</v>
      </c>
      <c r="G1412">
        <v>14.14</v>
      </c>
      <c r="H1412">
        <v>2.74</v>
      </c>
      <c r="I1412">
        <v>5.7</v>
      </c>
      <c r="J1412">
        <v>32.49</v>
      </c>
      <c r="K1412" t="str">
        <f>IFERROR(INDEX(Rosters!$C$2:$C$155,MATCH($B1412,Rosters!$B$2:$B$155,0)),"NA")</f>
        <v>matty</v>
      </c>
      <c r="L1412" t="str">
        <f t="shared" si="66"/>
        <v>matty7WR</v>
      </c>
      <c r="M1412">
        <f>COUNTIF(L$1:L1412,L1412)</f>
        <v>4</v>
      </c>
      <c r="N1412" t="str">
        <f t="shared" si="67"/>
        <v>matty7WR-4</v>
      </c>
      <c r="O1412">
        <f>COUNTIFS(F$1:F1412,F1412,A$1:A1412,A1412)</f>
        <v>24</v>
      </c>
      <c r="P1412" t="str">
        <f t="shared" si="68"/>
        <v>Marvin Jones Jr.7</v>
      </c>
    </row>
    <row r="1413" spans="1:16" x14ac:dyDescent="0.25">
      <c r="A1413">
        <v>7</v>
      </c>
      <c r="B1413" t="s">
        <v>185</v>
      </c>
      <c r="C1413" t="s">
        <v>6720</v>
      </c>
      <c r="D1413">
        <v>8.43</v>
      </c>
      <c r="E1413" t="s">
        <v>14</v>
      </c>
      <c r="F1413" t="s">
        <v>87</v>
      </c>
      <c r="G1413">
        <v>15.3</v>
      </c>
      <c r="H1413">
        <v>1.56</v>
      </c>
      <c r="I1413">
        <v>6.87</v>
      </c>
      <c r="J1413">
        <v>47.196899999999999</v>
      </c>
      <c r="K1413" t="str">
        <f>IFERROR(INDEX(Rosters!$C$2:$C$155,MATCH($B1413,Rosters!$B$2:$B$155,0)),"NA")</f>
        <v>scott</v>
      </c>
      <c r="L1413" t="str">
        <f t="shared" si="66"/>
        <v>scott7WR</v>
      </c>
      <c r="M1413">
        <f>COUNTIF(L$1:L1413,L1413)</f>
        <v>1</v>
      </c>
      <c r="N1413" t="str">
        <f t="shared" si="67"/>
        <v>scott7WR-1</v>
      </c>
      <c r="O1413">
        <f>COUNTIFS(F$1:F1413,F1413,A$1:A1413,A1413)</f>
        <v>25</v>
      </c>
      <c r="P1413" t="str">
        <f t="shared" si="68"/>
        <v>John Brown7</v>
      </c>
    </row>
    <row r="1414" spans="1:16" x14ac:dyDescent="0.25">
      <c r="A1414">
        <v>7</v>
      </c>
      <c r="B1414" t="s">
        <v>145</v>
      </c>
      <c r="C1414" t="s">
        <v>6721</v>
      </c>
      <c r="D1414">
        <v>8.43</v>
      </c>
      <c r="E1414" t="s">
        <v>54</v>
      </c>
      <c r="F1414" t="s">
        <v>47</v>
      </c>
      <c r="G1414">
        <v>13.96</v>
      </c>
      <c r="H1414">
        <v>2.9</v>
      </c>
      <c r="I1414">
        <v>5.53</v>
      </c>
      <c r="J1414">
        <v>30.5809</v>
      </c>
      <c r="K1414" t="str">
        <f>IFERROR(INDEX(Rosters!$C$2:$C$155,MATCH($B1414,Rosters!$B$2:$B$155,0)),"NA")</f>
        <v>lucas</v>
      </c>
      <c r="L1414" t="str">
        <f t="shared" si="66"/>
        <v>lucas7RB</v>
      </c>
      <c r="M1414">
        <f>COUNTIF(L$1:L1414,L1414)</f>
        <v>3</v>
      </c>
      <c r="N1414" t="str">
        <f t="shared" si="67"/>
        <v>lucas7RB-3</v>
      </c>
      <c r="O1414">
        <f>COUNTIFS(F$1:F1414,F1414,A$1:A1414,A1414)</f>
        <v>23</v>
      </c>
      <c r="P1414" t="str">
        <f t="shared" si="68"/>
        <v>Tevin Coleman7</v>
      </c>
    </row>
    <row r="1415" spans="1:16" x14ac:dyDescent="0.25">
      <c r="A1415">
        <v>2</v>
      </c>
      <c r="B1415" t="s">
        <v>151</v>
      </c>
      <c r="C1415" t="s">
        <v>3562</v>
      </c>
      <c r="D1415">
        <v>8.43</v>
      </c>
      <c r="E1415" t="s">
        <v>51</v>
      </c>
      <c r="F1415" t="s">
        <v>114</v>
      </c>
      <c r="G1415">
        <v>14.38</v>
      </c>
      <c r="H1415">
        <v>2.48</v>
      </c>
      <c r="I1415">
        <v>5.95</v>
      </c>
      <c r="J1415">
        <v>35.402500000000003</v>
      </c>
      <c r="K1415" t="str">
        <f>IFERROR(INDEX(Rosters!$C$2:$C$155,MATCH($B1415,Rosters!$B$2:$B$155,0)),"NA")</f>
        <v>aj</v>
      </c>
      <c r="L1415" t="str">
        <f t="shared" si="66"/>
        <v>aj2TE</v>
      </c>
      <c r="M1415">
        <f>COUNTIF(L$1:L1415,L1415)</f>
        <v>1</v>
      </c>
      <c r="N1415" t="str">
        <f t="shared" si="67"/>
        <v>aj2TE-1</v>
      </c>
      <c r="O1415">
        <f>COUNTIFS(F$1:F1415,F1415,A$1:A1415,A1415)</f>
        <v>3</v>
      </c>
      <c r="P1415" t="str">
        <f t="shared" si="68"/>
        <v>Travis Kelce2</v>
      </c>
    </row>
    <row r="1416" spans="1:16" x14ac:dyDescent="0.25">
      <c r="A1416">
        <v>12</v>
      </c>
      <c r="B1416" t="s">
        <v>126</v>
      </c>
      <c r="C1416" t="s">
        <v>6722</v>
      </c>
      <c r="D1416">
        <v>8.42</v>
      </c>
      <c r="E1416" t="s">
        <v>54</v>
      </c>
      <c r="F1416" t="s">
        <v>87</v>
      </c>
      <c r="G1416">
        <v>14.67</v>
      </c>
      <c r="H1416">
        <v>2.17</v>
      </c>
      <c r="I1416">
        <v>6.25</v>
      </c>
      <c r="J1416">
        <v>39.0625</v>
      </c>
      <c r="K1416" t="str">
        <f>IFERROR(INDEX(Rosters!$C$2:$C$155,MATCH($B1416,Rosters!$B$2:$B$155,0)),"NA")</f>
        <v>devon</v>
      </c>
      <c r="L1416" t="str">
        <f t="shared" si="66"/>
        <v>devon12WR</v>
      </c>
      <c r="M1416">
        <f>COUNTIF(L$1:L1416,L1416)</f>
        <v>4</v>
      </c>
      <c r="N1416" t="str">
        <f t="shared" si="67"/>
        <v>devon12WR-4</v>
      </c>
      <c r="O1416">
        <f>COUNTIFS(F$1:F1416,F1416,A$1:A1416,A1416)</f>
        <v>29</v>
      </c>
      <c r="P1416" t="str">
        <f t="shared" si="68"/>
        <v>Alshon Jeffery12</v>
      </c>
    </row>
    <row r="1417" spans="1:16" x14ac:dyDescent="0.25">
      <c r="A1417">
        <v>3</v>
      </c>
      <c r="B1417" t="s">
        <v>119</v>
      </c>
      <c r="C1417" t="s">
        <v>3679</v>
      </c>
      <c r="D1417">
        <v>8.4</v>
      </c>
      <c r="E1417" t="s">
        <v>58</v>
      </c>
      <c r="F1417" t="s">
        <v>87</v>
      </c>
      <c r="G1417">
        <v>14.3</v>
      </c>
      <c r="H1417">
        <v>2.5</v>
      </c>
      <c r="I1417">
        <v>5.9</v>
      </c>
      <c r="J1417">
        <v>34.81</v>
      </c>
      <c r="K1417" t="str">
        <f>IFERROR(INDEX(Rosters!$C$2:$C$155,MATCH($B1417,Rosters!$B$2:$B$155,0)),"NA")</f>
        <v>lucas</v>
      </c>
      <c r="L1417" t="str">
        <f t="shared" si="66"/>
        <v>lucas3WR</v>
      </c>
      <c r="M1417">
        <f>COUNTIF(L$1:L1417,L1417)</f>
        <v>2</v>
      </c>
      <c r="N1417" t="str">
        <f t="shared" si="67"/>
        <v>lucas3WR-2</v>
      </c>
      <c r="O1417">
        <f>COUNTIFS(F$1:F1417,F1417,A$1:A1417,A1417)</f>
        <v>25</v>
      </c>
      <c r="P1417" t="str">
        <f t="shared" si="68"/>
        <v>Allen Robinson3</v>
      </c>
    </row>
    <row r="1418" spans="1:16" x14ac:dyDescent="0.25">
      <c r="A1418">
        <v>16</v>
      </c>
      <c r="B1418" t="s">
        <v>171</v>
      </c>
      <c r="C1418" t="s">
        <v>6723</v>
      </c>
      <c r="D1418">
        <v>8.4</v>
      </c>
      <c r="E1418" t="s">
        <v>60</v>
      </c>
      <c r="F1418" t="s">
        <v>87</v>
      </c>
      <c r="G1418">
        <v>14.56</v>
      </c>
      <c r="H1418">
        <v>2.2400000000000002</v>
      </c>
      <c r="I1418">
        <v>6.16</v>
      </c>
      <c r="J1418">
        <v>37.945599999999999</v>
      </c>
      <c r="K1418" t="str">
        <f>IFERROR(INDEX(Rosters!$C$2:$C$155,MATCH($B1418,Rosters!$B$2:$B$155,0)),"NA")</f>
        <v>matty</v>
      </c>
      <c r="L1418" t="str">
        <f t="shared" si="66"/>
        <v>matty16WR</v>
      </c>
      <c r="M1418">
        <f>COUNTIF(L$1:L1418,L1418)</f>
        <v>4</v>
      </c>
      <c r="N1418" t="str">
        <f t="shared" si="67"/>
        <v>matty16WR-4</v>
      </c>
      <c r="O1418">
        <f>COUNTIFS(F$1:F1418,F1418,A$1:A1418,A1418)</f>
        <v>30</v>
      </c>
      <c r="P1418" t="str">
        <f t="shared" si="68"/>
        <v>Corey Davis16</v>
      </c>
    </row>
    <row r="1419" spans="1:16" x14ac:dyDescent="0.25">
      <c r="A1419">
        <v>13</v>
      </c>
      <c r="B1419" t="s">
        <v>1647</v>
      </c>
      <c r="C1419" t="s">
        <v>6724</v>
      </c>
      <c r="D1419">
        <v>8.4</v>
      </c>
      <c r="E1419" t="s">
        <v>22</v>
      </c>
      <c r="F1419" t="s">
        <v>47</v>
      </c>
      <c r="G1419">
        <v>13.85</v>
      </c>
      <c r="H1419">
        <v>2.95</v>
      </c>
      <c r="I1419">
        <v>5.45</v>
      </c>
      <c r="J1419">
        <v>29.702500000000001</v>
      </c>
      <c r="K1419" t="str">
        <f>IFERROR(INDEX(Rosters!$C$2:$C$155,MATCH($B1419,Rosters!$B$2:$B$155,0)),"NA")</f>
        <v>cory</v>
      </c>
      <c r="L1419" t="str">
        <f t="shared" si="66"/>
        <v>cory13RB</v>
      </c>
      <c r="M1419">
        <f>COUNTIF(L$1:L1419,L1419)</f>
        <v>2</v>
      </c>
      <c r="N1419" t="str">
        <f t="shared" si="67"/>
        <v>cory13RB-2</v>
      </c>
      <c r="O1419">
        <f>COUNTIFS(F$1:F1419,F1419,A$1:A1419,A1419)</f>
        <v>22</v>
      </c>
      <c r="P1419" t="str">
        <f t="shared" si="68"/>
        <v>Mark Ingram II13</v>
      </c>
    </row>
    <row r="1420" spans="1:16" x14ac:dyDescent="0.25">
      <c r="A1420">
        <v>16</v>
      </c>
      <c r="B1420" t="s">
        <v>298</v>
      </c>
      <c r="C1420" t="s">
        <v>6725</v>
      </c>
      <c r="D1420">
        <v>8.39</v>
      </c>
      <c r="E1420" t="s">
        <v>14</v>
      </c>
      <c r="F1420" t="s">
        <v>47</v>
      </c>
      <c r="G1420">
        <v>14.54</v>
      </c>
      <c r="H1420">
        <v>2.2400000000000002</v>
      </c>
      <c r="I1420">
        <v>6.15</v>
      </c>
      <c r="J1420">
        <v>37.822499999999998</v>
      </c>
      <c r="K1420" t="str">
        <f>IFERROR(INDEX(Rosters!$C$2:$C$155,MATCH($B1420,Rosters!$B$2:$B$155,0)),"NA")</f>
        <v>aj</v>
      </c>
      <c r="L1420" t="str">
        <f t="shared" si="66"/>
        <v>aj16RB</v>
      </c>
      <c r="M1420">
        <f>COUNTIF(L$1:L1420,L1420)</f>
        <v>3</v>
      </c>
      <c r="N1420" t="str">
        <f t="shared" si="67"/>
        <v>aj16RB-3</v>
      </c>
      <c r="O1420">
        <f>COUNTIFS(F$1:F1420,F1420,A$1:A1420,A1420)</f>
        <v>25</v>
      </c>
      <c r="P1420" t="str">
        <f t="shared" si="68"/>
        <v>James Conner16</v>
      </c>
    </row>
    <row r="1421" spans="1:16" x14ac:dyDescent="0.25">
      <c r="A1421">
        <v>6</v>
      </c>
      <c r="B1421" t="s">
        <v>118</v>
      </c>
      <c r="C1421" t="s">
        <v>6726</v>
      </c>
      <c r="D1421">
        <v>8.3800000000000008</v>
      </c>
      <c r="E1421" t="s">
        <v>74</v>
      </c>
      <c r="F1421" t="s">
        <v>114</v>
      </c>
      <c r="G1421">
        <v>15.87</v>
      </c>
      <c r="H1421">
        <v>0.89</v>
      </c>
      <c r="I1421">
        <v>7.49</v>
      </c>
      <c r="J1421">
        <v>56.100099999999998</v>
      </c>
      <c r="K1421" t="str">
        <f>IFERROR(INDEX(Rosters!$C$2:$C$155,MATCH($B1421,Rosters!$B$2:$B$155,0)),"NA")</f>
        <v>matty</v>
      </c>
      <c r="L1421" t="str">
        <f t="shared" si="66"/>
        <v>matty6TE</v>
      </c>
      <c r="M1421">
        <f>COUNTIF(L$1:L1421,L1421)</f>
        <v>1</v>
      </c>
      <c r="N1421" t="str">
        <f t="shared" si="67"/>
        <v>matty6TE-1</v>
      </c>
      <c r="O1421">
        <f>COUNTIFS(F$1:F1421,F1421,A$1:A1421,A1421)</f>
        <v>4</v>
      </c>
      <c r="P1421" t="str">
        <f t="shared" si="68"/>
        <v>Jordan Reed6</v>
      </c>
    </row>
    <row r="1422" spans="1:16" x14ac:dyDescent="0.25">
      <c r="A1422">
        <v>3</v>
      </c>
      <c r="B1422" t="s">
        <v>1388</v>
      </c>
      <c r="C1422" t="s">
        <v>4200</v>
      </c>
      <c r="D1422">
        <v>8.3800000000000008</v>
      </c>
      <c r="E1422" t="s">
        <v>50</v>
      </c>
      <c r="F1422" t="s">
        <v>47</v>
      </c>
      <c r="G1422">
        <v>16.12</v>
      </c>
      <c r="H1422">
        <v>0.64</v>
      </c>
      <c r="I1422">
        <v>7.74</v>
      </c>
      <c r="J1422">
        <v>59.907600000000002</v>
      </c>
      <c r="K1422" t="str">
        <f>IFERROR(INDEX(Rosters!$C$2:$C$155,MATCH($B1422,Rosters!$B$2:$B$155,0)),"NA")</f>
        <v>NA</v>
      </c>
      <c r="L1422" t="str">
        <f t="shared" si="66"/>
        <v>NA3RB</v>
      </c>
      <c r="M1422">
        <f>COUNTIF(L$1:L1422,L1422)</f>
        <v>3</v>
      </c>
      <c r="N1422" t="str">
        <f t="shared" si="67"/>
        <v>NA3RB-3</v>
      </c>
      <c r="O1422">
        <f>COUNTIFS(F$1:F1422,F1422,A$1:A1422,A1422)</f>
        <v>26</v>
      </c>
      <c r="P1422" t="str">
        <f t="shared" si="68"/>
        <v>Jordan Wilkins3</v>
      </c>
    </row>
    <row r="1423" spans="1:16" x14ac:dyDescent="0.25">
      <c r="A1423">
        <v>14</v>
      </c>
      <c r="B1423" t="s">
        <v>166</v>
      </c>
      <c r="C1423" t="s">
        <v>6727</v>
      </c>
      <c r="D1423">
        <v>8.3800000000000008</v>
      </c>
      <c r="E1423" t="s">
        <v>46</v>
      </c>
      <c r="F1423" t="s">
        <v>87</v>
      </c>
      <c r="G1423">
        <v>13.9</v>
      </c>
      <c r="H1423">
        <v>2.86</v>
      </c>
      <c r="I1423">
        <v>5.52</v>
      </c>
      <c r="J1423">
        <v>30.470400000000001</v>
      </c>
      <c r="K1423" t="str">
        <f>IFERROR(INDEX(Rosters!$C$2:$C$155,MATCH($B1423,Rosters!$B$2:$B$155,0)),"NA")</f>
        <v>seth</v>
      </c>
      <c r="L1423" t="str">
        <f t="shared" si="66"/>
        <v>seth14WR</v>
      </c>
      <c r="M1423">
        <f>COUNTIF(L$1:L1423,L1423)</f>
        <v>4</v>
      </c>
      <c r="N1423" t="str">
        <f t="shared" si="67"/>
        <v>seth14WR-4</v>
      </c>
      <c r="O1423">
        <f>COUNTIFS(F$1:F1423,F1423,A$1:A1423,A1423)</f>
        <v>35</v>
      </c>
      <c r="P1423" t="str">
        <f t="shared" si="68"/>
        <v>Randall Cobb14</v>
      </c>
    </row>
    <row r="1424" spans="1:16" x14ac:dyDescent="0.25">
      <c r="A1424">
        <v>10</v>
      </c>
      <c r="B1424" t="s">
        <v>298</v>
      </c>
      <c r="C1424" t="s">
        <v>6728</v>
      </c>
      <c r="D1424">
        <v>8.3699999999999992</v>
      </c>
      <c r="E1424" t="s">
        <v>74</v>
      </c>
      <c r="F1424" t="s">
        <v>47</v>
      </c>
      <c r="G1424">
        <v>13.13</v>
      </c>
      <c r="H1424">
        <v>3.61</v>
      </c>
      <c r="I1424">
        <v>4.76</v>
      </c>
      <c r="J1424">
        <v>22.657599999999999</v>
      </c>
      <c r="K1424" t="str">
        <f>IFERROR(INDEX(Rosters!$C$2:$C$155,MATCH($B1424,Rosters!$B$2:$B$155,0)),"NA")</f>
        <v>aj</v>
      </c>
      <c r="L1424" t="str">
        <f t="shared" si="66"/>
        <v>aj10RB</v>
      </c>
      <c r="M1424">
        <f>COUNTIF(L$1:L1424,L1424)</f>
        <v>2</v>
      </c>
      <c r="N1424" t="str">
        <f t="shared" si="67"/>
        <v>aj10RB-2</v>
      </c>
      <c r="O1424">
        <f>COUNTIFS(F$1:F1424,F1424,A$1:A1424,A1424)</f>
        <v>24</v>
      </c>
      <c r="P1424" t="str">
        <f t="shared" si="68"/>
        <v>James Conner10</v>
      </c>
    </row>
    <row r="1425" spans="1:16" x14ac:dyDescent="0.25">
      <c r="A1425">
        <v>17</v>
      </c>
      <c r="B1425" t="s">
        <v>1158</v>
      </c>
      <c r="C1425" t="s">
        <v>6729</v>
      </c>
      <c r="D1425">
        <v>8.3699999999999992</v>
      </c>
      <c r="E1425" t="s">
        <v>73</v>
      </c>
      <c r="F1425" t="s">
        <v>87</v>
      </c>
      <c r="G1425">
        <v>15.32</v>
      </c>
      <c r="H1425">
        <v>1.42</v>
      </c>
      <c r="I1425">
        <v>6.95</v>
      </c>
      <c r="J1425">
        <v>48.302500000000002</v>
      </c>
      <c r="K1425" t="str">
        <f>IFERROR(INDEX(Rosters!$C$2:$C$155,MATCH($B1425,Rosters!$B$2:$B$155,0)),"NA")</f>
        <v>chad</v>
      </c>
      <c r="L1425" t="str">
        <f t="shared" si="66"/>
        <v>chad17WR</v>
      </c>
      <c r="M1425">
        <f>COUNTIF(L$1:L1425,L1425)</f>
        <v>3</v>
      </c>
      <c r="N1425" t="str">
        <f t="shared" si="67"/>
        <v>chad17WR-3</v>
      </c>
      <c r="O1425">
        <f>COUNTIFS(F$1:F1425,F1425,A$1:A1425,A1425)</f>
        <v>27</v>
      </c>
      <c r="P1425" t="str">
        <f t="shared" si="68"/>
        <v>Josh Gordon17</v>
      </c>
    </row>
    <row r="1426" spans="1:16" x14ac:dyDescent="0.25">
      <c r="A1426">
        <v>7</v>
      </c>
      <c r="B1426" t="s">
        <v>220</v>
      </c>
      <c r="C1426" t="s">
        <v>6730</v>
      </c>
      <c r="D1426">
        <v>8.3699999999999992</v>
      </c>
      <c r="E1426" t="s">
        <v>34</v>
      </c>
      <c r="F1426" t="s">
        <v>87</v>
      </c>
      <c r="G1426">
        <v>14.63</v>
      </c>
      <c r="H1426">
        <v>2.11</v>
      </c>
      <c r="I1426">
        <v>6.26</v>
      </c>
      <c r="J1426">
        <v>39.187600000000003</v>
      </c>
      <c r="K1426" t="str">
        <f>IFERROR(INDEX(Rosters!$C$2:$C$155,MATCH($B1426,Rosters!$B$2:$B$155,0)),"NA")</f>
        <v>comp</v>
      </c>
      <c r="L1426" t="str">
        <f t="shared" si="66"/>
        <v>comp7WR</v>
      </c>
      <c r="M1426">
        <f>COUNTIF(L$1:L1426,L1426)</f>
        <v>2</v>
      </c>
      <c r="N1426" t="str">
        <f t="shared" si="67"/>
        <v>comp7WR-2</v>
      </c>
      <c r="O1426">
        <f>COUNTIFS(F$1:F1426,F1426,A$1:A1426,A1426)</f>
        <v>26</v>
      </c>
      <c r="P1426" t="str">
        <f t="shared" si="68"/>
        <v>Kenny Stills7</v>
      </c>
    </row>
    <row r="1427" spans="1:16" x14ac:dyDescent="0.25">
      <c r="A1427">
        <v>14</v>
      </c>
      <c r="B1427" t="s">
        <v>281</v>
      </c>
      <c r="C1427" t="s">
        <v>6731</v>
      </c>
      <c r="D1427">
        <v>8.36</v>
      </c>
      <c r="E1427" t="s">
        <v>46</v>
      </c>
      <c r="F1427" t="s">
        <v>47</v>
      </c>
      <c r="G1427">
        <v>16.14</v>
      </c>
      <c r="H1427">
        <v>0.57999999999999996</v>
      </c>
      <c r="I1427">
        <v>7.78</v>
      </c>
      <c r="J1427">
        <v>60.528399999999998</v>
      </c>
      <c r="K1427" t="str">
        <f>IFERROR(INDEX(Rosters!$C$2:$C$155,MATCH($B1427,Rosters!$B$2:$B$155,0)),"NA")</f>
        <v>aj</v>
      </c>
      <c r="L1427" t="str">
        <f t="shared" si="66"/>
        <v>aj14RB</v>
      </c>
      <c r="M1427">
        <f>COUNTIF(L$1:L1427,L1427)</f>
        <v>5</v>
      </c>
      <c r="N1427" t="str">
        <f t="shared" si="67"/>
        <v>aj14RB-5</v>
      </c>
      <c r="O1427">
        <f>COUNTIFS(F$1:F1427,F1427,A$1:A1427,A1427)</f>
        <v>26</v>
      </c>
      <c r="P1427" t="str">
        <f t="shared" si="68"/>
        <v>Aaron Jones14</v>
      </c>
    </row>
    <row r="1428" spans="1:16" x14ac:dyDescent="0.25">
      <c r="A1428">
        <v>9</v>
      </c>
      <c r="B1428" t="s">
        <v>207</v>
      </c>
      <c r="C1428" t="s">
        <v>6732</v>
      </c>
      <c r="D1428">
        <v>8.36</v>
      </c>
      <c r="E1428" t="s">
        <v>22</v>
      </c>
      <c r="F1428" t="s">
        <v>47</v>
      </c>
      <c r="G1428">
        <v>13.49</v>
      </c>
      <c r="H1428">
        <v>3.23</v>
      </c>
      <c r="I1428">
        <v>5.13</v>
      </c>
      <c r="J1428">
        <v>26.3169</v>
      </c>
      <c r="K1428" t="str">
        <f>IFERROR(INDEX(Rosters!$C$2:$C$155,MATCH($B1428,Rosters!$B$2:$B$155,0)),"NA")</f>
        <v>chad</v>
      </c>
      <c r="L1428" t="str">
        <f t="shared" si="66"/>
        <v>chad9RB</v>
      </c>
      <c r="M1428">
        <f>COUNTIF(L$1:L1428,L1428)</f>
        <v>3</v>
      </c>
      <c r="N1428" t="str">
        <f t="shared" si="67"/>
        <v>chad9RB-3</v>
      </c>
      <c r="O1428">
        <f>COUNTIFS(F$1:F1428,F1428,A$1:A1428,A1428)</f>
        <v>22</v>
      </c>
      <c r="P1428" t="str">
        <f t="shared" si="68"/>
        <v>Dion Lewis9</v>
      </c>
    </row>
    <row r="1429" spans="1:16" x14ac:dyDescent="0.25">
      <c r="A1429">
        <v>3</v>
      </c>
      <c r="B1429" t="s">
        <v>212</v>
      </c>
      <c r="C1429" t="s">
        <v>3680</v>
      </c>
      <c r="D1429">
        <v>8.35</v>
      </c>
      <c r="E1429" t="s">
        <v>24</v>
      </c>
      <c r="F1429" t="s">
        <v>47</v>
      </c>
      <c r="G1429">
        <v>15.21</v>
      </c>
      <c r="H1429">
        <v>1.49</v>
      </c>
      <c r="I1429">
        <v>6.86</v>
      </c>
      <c r="J1429">
        <v>47.059600000000003</v>
      </c>
      <c r="K1429" t="str">
        <f>IFERROR(INDEX(Rosters!$C$2:$C$155,MATCH($B1429,Rosters!$B$2:$B$155,0)),"NA")</f>
        <v>seth</v>
      </c>
      <c r="L1429" t="str">
        <f t="shared" si="66"/>
        <v>seth3RB</v>
      </c>
      <c r="M1429">
        <f>COUNTIF(L$1:L1429,L1429)</f>
        <v>5</v>
      </c>
      <c r="N1429" t="str">
        <f t="shared" si="67"/>
        <v>seth3RB-5</v>
      </c>
      <c r="O1429">
        <f>COUNTIFS(F$1:F1429,F1429,A$1:A1429,A1429)</f>
        <v>27</v>
      </c>
      <c r="P1429" t="str">
        <f t="shared" si="68"/>
        <v>Alfred Morris3</v>
      </c>
    </row>
    <row r="1430" spans="1:16" x14ac:dyDescent="0.25">
      <c r="A1430">
        <v>1</v>
      </c>
      <c r="B1430" t="s">
        <v>103</v>
      </c>
      <c r="C1430" t="s">
        <v>1800</v>
      </c>
      <c r="D1430">
        <v>8.35</v>
      </c>
      <c r="E1430" t="s">
        <v>56</v>
      </c>
      <c r="F1430" t="s">
        <v>87</v>
      </c>
      <c r="G1430">
        <v>16.13</v>
      </c>
      <c r="H1430">
        <v>0.56999999999999995</v>
      </c>
      <c r="I1430">
        <v>7.78</v>
      </c>
      <c r="J1430">
        <v>60.528399999999998</v>
      </c>
      <c r="K1430" t="str">
        <f>IFERROR(INDEX(Rosters!$C$2:$C$155,MATCH($B1430,Rosters!$B$2:$B$155,0)),"NA")</f>
        <v>comp</v>
      </c>
      <c r="L1430" t="str">
        <f t="shared" si="66"/>
        <v>comp1WR</v>
      </c>
      <c r="M1430">
        <f>COUNTIF(L$1:L1430,L1430)</f>
        <v>3</v>
      </c>
      <c r="N1430" t="str">
        <f t="shared" si="67"/>
        <v>comp1WR-3</v>
      </c>
      <c r="O1430">
        <f>COUNTIFS(F$1:F1430,F1430,A$1:A1430,A1430)</f>
        <v>24</v>
      </c>
      <c r="P1430" t="str">
        <f t="shared" si="68"/>
        <v>Amari Cooper1</v>
      </c>
    </row>
    <row r="1431" spans="1:16" x14ac:dyDescent="0.25">
      <c r="A1431">
        <v>4</v>
      </c>
      <c r="B1431" t="s">
        <v>171</v>
      </c>
      <c r="C1431" t="s">
        <v>4854</v>
      </c>
      <c r="D1431">
        <v>8.35</v>
      </c>
      <c r="E1431" t="s">
        <v>50</v>
      </c>
      <c r="F1431" t="s">
        <v>87</v>
      </c>
      <c r="G1431">
        <v>15.35</v>
      </c>
      <c r="H1431">
        <v>1.35</v>
      </c>
      <c r="I1431">
        <v>7</v>
      </c>
      <c r="J1431">
        <v>49</v>
      </c>
      <c r="K1431" t="str">
        <f>IFERROR(INDEX(Rosters!$C$2:$C$155,MATCH($B1431,Rosters!$B$2:$B$155,0)),"NA")</f>
        <v>matty</v>
      </c>
      <c r="L1431" t="str">
        <f t="shared" si="66"/>
        <v>matty4WR</v>
      </c>
      <c r="M1431">
        <f>COUNTIF(L$1:L1431,L1431)</f>
        <v>3</v>
      </c>
      <c r="N1431" t="str">
        <f t="shared" si="67"/>
        <v>matty4WR-3</v>
      </c>
      <c r="O1431">
        <f>COUNTIFS(F$1:F1431,F1431,A$1:A1431,A1431)</f>
        <v>25</v>
      </c>
      <c r="P1431" t="str">
        <f t="shared" si="68"/>
        <v>Corey Davis4</v>
      </c>
    </row>
    <row r="1432" spans="1:16" x14ac:dyDescent="0.25">
      <c r="A1432">
        <v>5</v>
      </c>
      <c r="B1432" t="s">
        <v>149</v>
      </c>
      <c r="C1432" t="s">
        <v>6733</v>
      </c>
      <c r="D1432">
        <v>8.33</v>
      </c>
      <c r="E1432" t="s">
        <v>73</v>
      </c>
      <c r="F1432" t="s">
        <v>87</v>
      </c>
      <c r="G1432">
        <v>12.54</v>
      </c>
      <c r="H1432">
        <v>4.12</v>
      </c>
      <c r="I1432">
        <v>4.21</v>
      </c>
      <c r="J1432">
        <v>17.7241</v>
      </c>
      <c r="K1432" t="str">
        <f>IFERROR(INDEX(Rosters!$C$2:$C$155,MATCH($B1432,Rosters!$B$2:$B$155,0)),"NA")</f>
        <v>comp</v>
      </c>
      <c r="L1432" t="str">
        <f t="shared" si="66"/>
        <v>comp5WR</v>
      </c>
      <c r="M1432">
        <f>COUNTIF(L$1:L1432,L1432)</f>
        <v>3</v>
      </c>
      <c r="N1432" t="str">
        <f t="shared" si="67"/>
        <v>comp5WR-3</v>
      </c>
      <c r="O1432">
        <f>COUNTIFS(F$1:F1432,F1432,A$1:A1432,A1432)</f>
        <v>27</v>
      </c>
      <c r="P1432" t="str">
        <f t="shared" si="68"/>
        <v>Emmanuel Sanders5</v>
      </c>
    </row>
    <row r="1433" spans="1:16" x14ac:dyDescent="0.25">
      <c r="A1433">
        <v>16</v>
      </c>
      <c r="B1433" t="s">
        <v>81</v>
      </c>
      <c r="C1433" t="s">
        <v>6734</v>
      </c>
      <c r="D1433">
        <v>8.33</v>
      </c>
      <c r="E1433" t="s">
        <v>423</v>
      </c>
      <c r="F1433" t="s">
        <v>47</v>
      </c>
      <c r="G1433">
        <v>14.35</v>
      </c>
      <c r="H1433">
        <v>2.31</v>
      </c>
      <c r="I1433">
        <v>6.02</v>
      </c>
      <c r="J1433">
        <v>36.240400000000001</v>
      </c>
      <c r="K1433" t="str">
        <f>IFERROR(INDEX(Rosters!$C$2:$C$155,MATCH($B1433,Rosters!$B$2:$B$155,0)),"NA")</f>
        <v>aj</v>
      </c>
      <c r="L1433" t="str">
        <f t="shared" si="66"/>
        <v>aj16RB</v>
      </c>
      <c r="M1433">
        <f>COUNTIF(L$1:L1433,L1433)</f>
        <v>4</v>
      </c>
      <c r="N1433" t="str">
        <f t="shared" si="67"/>
        <v>aj16RB-4</v>
      </c>
      <c r="O1433">
        <f>COUNTIFS(F$1:F1433,F1433,A$1:A1433,A1433)</f>
        <v>26</v>
      </c>
      <c r="P1433" t="str">
        <f t="shared" si="68"/>
        <v>LeSean McCoy16</v>
      </c>
    </row>
    <row r="1434" spans="1:16" x14ac:dyDescent="0.25">
      <c r="A1434">
        <v>10</v>
      </c>
      <c r="B1434" t="s">
        <v>166</v>
      </c>
      <c r="C1434" t="s">
        <v>6735</v>
      </c>
      <c r="D1434">
        <v>8.33</v>
      </c>
      <c r="E1434" t="s">
        <v>19</v>
      </c>
      <c r="F1434" t="s">
        <v>87</v>
      </c>
      <c r="G1434">
        <v>14.34</v>
      </c>
      <c r="H1434">
        <v>2.3199999999999998</v>
      </c>
      <c r="I1434">
        <v>6.01</v>
      </c>
      <c r="J1434">
        <v>36.120100000000001</v>
      </c>
      <c r="K1434" t="str">
        <f>IFERROR(INDEX(Rosters!$C$2:$C$155,MATCH($B1434,Rosters!$B$2:$B$155,0)),"NA")</f>
        <v>seth</v>
      </c>
      <c r="L1434" t="str">
        <f t="shared" si="66"/>
        <v>seth10WR</v>
      </c>
      <c r="M1434">
        <f>COUNTIF(L$1:L1434,L1434)</f>
        <v>2</v>
      </c>
      <c r="N1434" t="str">
        <f t="shared" si="67"/>
        <v>seth10WR-2</v>
      </c>
      <c r="O1434">
        <f>COUNTIFS(F$1:F1434,F1434,A$1:A1434,A1434)</f>
        <v>28</v>
      </c>
      <c r="P1434" t="str">
        <f t="shared" si="68"/>
        <v>Randall Cobb10</v>
      </c>
    </row>
    <row r="1435" spans="1:16" x14ac:dyDescent="0.25">
      <c r="A1435">
        <v>7</v>
      </c>
      <c r="B1435" t="s">
        <v>126</v>
      </c>
      <c r="C1435" t="s">
        <v>6736</v>
      </c>
      <c r="D1435">
        <v>8.32</v>
      </c>
      <c r="E1435" t="s">
        <v>74</v>
      </c>
      <c r="F1435" t="s">
        <v>87</v>
      </c>
      <c r="G1435">
        <v>15</v>
      </c>
      <c r="H1435">
        <v>1.64</v>
      </c>
      <c r="I1435">
        <v>6.68</v>
      </c>
      <c r="J1435">
        <v>44.622399999999999</v>
      </c>
      <c r="K1435" t="str">
        <f>IFERROR(INDEX(Rosters!$C$2:$C$155,MATCH($B1435,Rosters!$B$2:$B$155,0)),"NA")</f>
        <v>devon</v>
      </c>
      <c r="L1435" t="str">
        <f t="shared" si="66"/>
        <v>devon7WR</v>
      </c>
      <c r="M1435">
        <f>COUNTIF(L$1:L1435,L1435)</f>
        <v>3</v>
      </c>
      <c r="N1435" t="str">
        <f t="shared" si="67"/>
        <v>devon7WR-3</v>
      </c>
      <c r="O1435">
        <f>COUNTIFS(F$1:F1435,F1435,A$1:A1435,A1435)</f>
        <v>27</v>
      </c>
      <c r="P1435" t="str">
        <f t="shared" si="68"/>
        <v>Alshon Jeffery7</v>
      </c>
    </row>
    <row r="1436" spans="1:16" x14ac:dyDescent="0.25">
      <c r="A1436">
        <v>6</v>
      </c>
      <c r="B1436" t="s">
        <v>105</v>
      </c>
      <c r="C1436" t="s">
        <v>6737</v>
      </c>
      <c r="D1436">
        <v>8.32</v>
      </c>
      <c r="E1436" t="s">
        <v>32</v>
      </c>
      <c r="F1436" t="s">
        <v>87</v>
      </c>
      <c r="G1436">
        <v>14.96</v>
      </c>
      <c r="H1436">
        <v>1.68</v>
      </c>
      <c r="I1436">
        <v>6.64</v>
      </c>
      <c r="J1436">
        <v>44.089599999999997</v>
      </c>
      <c r="K1436" t="str">
        <f>IFERROR(INDEX(Rosters!$C$2:$C$155,MATCH($B1436,Rosters!$B$2:$B$155,0)),"NA")</f>
        <v>chad</v>
      </c>
      <c r="L1436" t="str">
        <f t="shared" si="66"/>
        <v>chad6WR</v>
      </c>
      <c r="M1436">
        <f>COUNTIF(L$1:L1436,L1436)</f>
        <v>4</v>
      </c>
      <c r="N1436" t="str">
        <f t="shared" si="67"/>
        <v>chad6WR-4</v>
      </c>
      <c r="O1436">
        <f>COUNTIFS(F$1:F1436,F1436,A$1:A1436,A1436)</f>
        <v>25</v>
      </c>
      <c r="P1436" t="str">
        <f t="shared" si="68"/>
        <v>Doug Baldwin6</v>
      </c>
    </row>
    <row r="1437" spans="1:16" x14ac:dyDescent="0.25">
      <c r="A1437">
        <v>6</v>
      </c>
      <c r="B1437" t="s">
        <v>1346</v>
      </c>
      <c r="C1437" t="s">
        <v>6738</v>
      </c>
      <c r="D1437">
        <v>8.32</v>
      </c>
      <c r="E1437" t="s">
        <v>56</v>
      </c>
      <c r="F1437" t="s">
        <v>47</v>
      </c>
      <c r="G1437">
        <v>13.98</v>
      </c>
      <c r="H1437">
        <v>2.66</v>
      </c>
      <c r="I1437">
        <v>5.66</v>
      </c>
      <c r="J1437">
        <v>32.035600000000002</v>
      </c>
      <c r="K1437" t="str">
        <f>IFERROR(INDEX(Rosters!$C$2:$C$155,MATCH($B1437,Rosters!$B$2:$B$155,0)),"NA")</f>
        <v>comp</v>
      </c>
      <c r="L1437" t="str">
        <f t="shared" si="66"/>
        <v>comp6RB</v>
      </c>
      <c r="M1437">
        <f>COUNTIF(L$1:L1437,L1437)</f>
        <v>3</v>
      </c>
      <c r="N1437" t="str">
        <f t="shared" si="67"/>
        <v>comp6RB-3</v>
      </c>
      <c r="O1437">
        <f>COUNTIFS(F$1:F1437,F1437,A$1:A1437,A1437)</f>
        <v>23</v>
      </c>
      <c r="P1437" t="str">
        <f t="shared" si="68"/>
        <v>Royce Freeman6</v>
      </c>
    </row>
    <row r="1438" spans="1:16" x14ac:dyDescent="0.25">
      <c r="A1438">
        <v>14</v>
      </c>
      <c r="B1438" t="s">
        <v>118</v>
      </c>
      <c r="C1438" t="s">
        <v>6739</v>
      </c>
      <c r="D1438">
        <v>8.31</v>
      </c>
      <c r="E1438" t="s">
        <v>54</v>
      </c>
      <c r="F1438" t="s">
        <v>114</v>
      </c>
      <c r="G1438">
        <v>15.75</v>
      </c>
      <c r="H1438">
        <v>0.87</v>
      </c>
      <c r="I1438">
        <v>7.44</v>
      </c>
      <c r="J1438">
        <v>55.3536</v>
      </c>
      <c r="K1438" t="str">
        <f>IFERROR(INDEX(Rosters!$C$2:$C$155,MATCH($B1438,Rosters!$B$2:$B$155,0)),"NA")</f>
        <v>matty</v>
      </c>
      <c r="L1438" t="str">
        <f t="shared" si="66"/>
        <v>matty14TE</v>
      </c>
      <c r="M1438">
        <f>COUNTIF(L$1:L1438,L1438)</f>
        <v>1</v>
      </c>
      <c r="N1438" t="str">
        <f t="shared" si="67"/>
        <v>matty14TE-1</v>
      </c>
      <c r="O1438">
        <f>COUNTIFS(F$1:F1438,F1438,A$1:A1438,A1438)</f>
        <v>4</v>
      </c>
      <c r="P1438" t="str">
        <f t="shared" si="68"/>
        <v>Jordan Reed14</v>
      </c>
    </row>
    <row r="1439" spans="1:16" x14ac:dyDescent="0.25">
      <c r="A1439">
        <v>4</v>
      </c>
      <c r="B1439" t="s">
        <v>125</v>
      </c>
      <c r="C1439" t="s">
        <v>4476</v>
      </c>
      <c r="D1439">
        <v>8.31</v>
      </c>
      <c r="E1439" t="s">
        <v>42</v>
      </c>
      <c r="F1439" t="s">
        <v>87</v>
      </c>
      <c r="G1439">
        <v>14.98</v>
      </c>
      <c r="H1439">
        <v>1.64</v>
      </c>
      <c r="I1439">
        <v>6.67</v>
      </c>
      <c r="J1439">
        <v>44.488900000000001</v>
      </c>
      <c r="K1439" t="str">
        <f>IFERROR(INDEX(Rosters!$C$2:$C$155,MATCH($B1439,Rosters!$B$2:$B$155,0)),"NA")</f>
        <v>scott</v>
      </c>
      <c r="L1439" t="str">
        <f t="shared" si="66"/>
        <v>scott4WR</v>
      </c>
      <c r="M1439">
        <f>COUNTIF(L$1:L1439,L1439)</f>
        <v>3</v>
      </c>
      <c r="N1439" t="str">
        <f t="shared" si="67"/>
        <v>scott4WR-3</v>
      </c>
      <c r="O1439">
        <f>COUNTIFS(F$1:F1439,F1439,A$1:A1439,A1439)</f>
        <v>26</v>
      </c>
      <c r="P1439" t="str">
        <f t="shared" si="68"/>
        <v>Sammy Watkins4</v>
      </c>
    </row>
    <row r="1440" spans="1:16" x14ac:dyDescent="0.25">
      <c r="A1440">
        <v>14</v>
      </c>
      <c r="B1440" t="s">
        <v>202</v>
      </c>
      <c r="C1440" t="s">
        <v>6740</v>
      </c>
      <c r="D1440">
        <v>8.3000000000000007</v>
      </c>
      <c r="E1440" t="s">
        <v>54</v>
      </c>
      <c r="F1440" t="s">
        <v>47</v>
      </c>
      <c r="G1440">
        <v>13.9</v>
      </c>
      <c r="H1440">
        <v>2.7</v>
      </c>
      <c r="I1440">
        <v>5.6</v>
      </c>
      <c r="J1440">
        <v>31.36</v>
      </c>
      <c r="K1440" t="str">
        <f>IFERROR(INDEX(Rosters!$C$2:$C$155,MATCH($B1440,Rosters!$B$2:$B$155,0)),"NA")</f>
        <v>lucas</v>
      </c>
      <c r="L1440" t="str">
        <f t="shared" si="66"/>
        <v>lucas14RB</v>
      </c>
      <c r="M1440">
        <f>COUNTIF(L$1:L1440,L1440)</f>
        <v>3</v>
      </c>
      <c r="N1440" t="str">
        <f t="shared" si="67"/>
        <v>lucas14RB-3</v>
      </c>
      <c r="O1440">
        <f>COUNTIFS(F$1:F1440,F1440,A$1:A1440,A1440)</f>
        <v>27</v>
      </c>
      <c r="P1440" t="str">
        <f t="shared" si="68"/>
        <v>Chris Thompson14</v>
      </c>
    </row>
    <row r="1441" spans="1:16" x14ac:dyDescent="0.25">
      <c r="A1441">
        <v>11</v>
      </c>
      <c r="B1441" t="s">
        <v>140</v>
      </c>
      <c r="C1441" t="s">
        <v>6741</v>
      </c>
      <c r="D1441">
        <v>8.3000000000000007</v>
      </c>
      <c r="E1441" t="s">
        <v>32</v>
      </c>
      <c r="F1441" t="s">
        <v>87</v>
      </c>
      <c r="G1441">
        <v>14.15</v>
      </c>
      <c r="H1441">
        <v>2.4500000000000002</v>
      </c>
      <c r="I1441">
        <v>5.85</v>
      </c>
      <c r="J1441">
        <v>34.222499999999997</v>
      </c>
      <c r="K1441" t="str">
        <f>IFERROR(INDEX(Rosters!$C$2:$C$155,MATCH($B1441,Rosters!$B$2:$B$155,0)),"NA")</f>
        <v>seth</v>
      </c>
      <c r="L1441" t="str">
        <f t="shared" si="66"/>
        <v>seth11WR</v>
      </c>
      <c r="M1441">
        <f>COUNTIF(L$1:L1441,L1441)</f>
        <v>3</v>
      </c>
      <c r="N1441" t="str">
        <f t="shared" si="67"/>
        <v>seth11WR-3</v>
      </c>
      <c r="O1441">
        <f>COUNTIFS(F$1:F1441,F1441,A$1:A1441,A1441)</f>
        <v>27</v>
      </c>
      <c r="P1441" t="str">
        <f t="shared" si="68"/>
        <v>Larry Fitzgerald11</v>
      </c>
    </row>
    <row r="1442" spans="1:16" x14ac:dyDescent="0.25">
      <c r="A1442">
        <v>17</v>
      </c>
      <c r="B1442" t="s">
        <v>158</v>
      </c>
      <c r="C1442" t="s">
        <v>6742</v>
      </c>
      <c r="D1442">
        <v>8.2899999999999991</v>
      </c>
      <c r="E1442" t="s">
        <v>50</v>
      </c>
      <c r="F1442" t="s">
        <v>47</v>
      </c>
      <c r="G1442">
        <v>12.78</v>
      </c>
      <c r="H1442">
        <v>3.8</v>
      </c>
      <c r="I1442">
        <v>4.49</v>
      </c>
      <c r="J1442">
        <v>20.1601</v>
      </c>
      <c r="K1442" t="str">
        <f>IFERROR(INDEX(Rosters!$C$2:$C$155,MATCH($B1442,Rosters!$B$2:$B$155,0)),"NA")</f>
        <v>comp</v>
      </c>
      <c r="L1442" t="str">
        <f t="shared" si="66"/>
        <v>comp17RB</v>
      </c>
      <c r="M1442">
        <f>COUNTIF(L$1:L1442,L1442)</f>
        <v>2</v>
      </c>
      <c r="N1442" t="str">
        <f t="shared" si="67"/>
        <v>comp17RB-2</v>
      </c>
      <c r="O1442">
        <f>COUNTIFS(F$1:F1442,F1442,A$1:A1442,A1442)</f>
        <v>29</v>
      </c>
      <c r="P1442" t="str">
        <f t="shared" si="68"/>
        <v>Adrian Peterson17</v>
      </c>
    </row>
    <row r="1443" spans="1:16" x14ac:dyDescent="0.25">
      <c r="A1443">
        <v>16</v>
      </c>
      <c r="B1443" t="s">
        <v>1422</v>
      </c>
      <c r="C1443" t="s">
        <v>6743</v>
      </c>
      <c r="D1443">
        <v>8.2899999999999991</v>
      </c>
      <c r="E1443" t="s">
        <v>74</v>
      </c>
      <c r="F1443" t="s">
        <v>87</v>
      </c>
      <c r="G1443">
        <v>13.87</v>
      </c>
      <c r="H1443">
        <v>2.71</v>
      </c>
      <c r="I1443">
        <v>5.58</v>
      </c>
      <c r="J1443">
        <v>31.136399999999998</v>
      </c>
      <c r="K1443" t="str">
        <f>IFERROR(INDEX(Rosters!$C$2:$C$155,MATCH($B1443,Rosters!$B$2:$B$155,0)),"NA")</f>
        <v>comp</v>
      </c>
      <c r="L1443" t="str">
        <f t="shared" si="66"/>
        <v>comp16WR</v>
      </c>
      <c r="M1443">
        <f>COUNTIF(L$1:L1443,L1443)</f>
        <v>4</v>
      </c>
      <c r="N1443" t="str">
        <f t="shared" si="67"/>
        <v>comp16WR-4</v>
      </c>
      <c r="O1443">
        <f>COUNTIFS(F$1:F1443,F1443,A$1:A1443,A1443)</f>
        <v>31</v>
      </c>
      <c r="P1443" t="str">
        <f t="shared" si="68"/>
        <v>Calvin Ridley16</v>
      </c>
    </row>
    <row r="1444" spans="1:16" x14ac:dyDescent="0.25">
      <c r="A1444">
        <v>15</v>
      </c>
      <c r="B1444" t="s">
        <v>220</v>
      </c>
      <c r="C1444" t="s">
        <v>6744</v>
      </c>
      <c r="D1444">
        <v>8.2899999999999991</v>
      </c>
      <c r="E1444" t="s">
        <v>25</v>
      </c>
      <c r="F1444" t="s">
        <v>87</v>
      </c>
      <c r="G1444">
        <v>14.89</v>
      </c>
      <c r="H1444">
        <v>1.69</v>
      </c>
      <c r="I1444">
        <v>6.6</v>
      </c>
      <c r="J1444">
        <v>43.56</v>
      </c>
      <c r="K1444" t="str">
        <f>IFERROR(INDEX(Rosters!$C$2:$C$155,MATCH($B1444,Rosters!$B$2:$B$155,0)),"NA")</f>
        <v>comp</v>
      </c>
      <c r="L1444" t="str">
        <f t="shared" si="66"/>
        <v>comp15WR</v>
      </c>
      <c r="M1444">
        <f>COUNTIF(L$1:L1444,L1444)</f>
        <v>3</v>
      </c>
      <c r="N1444" t="str">
        <f t="shared" si="67"/>
        <v>comp15WR-3</v>
      </c>
      <c r="O1444">
        <f>COUNTIFS(F$1:F1444,F1444,A$1:A1444,A1444)</f>
        <v>30</v>
      </c>
      <c r="P1444" t="str">
        <f t="shared" si="68"/>
        <v>Kenny Stills15</v>
      </c>
    </row>
    <row r="1445" spans="1:16" x14ac:dyDescent="0.25">
      <c r="A1445">
        <v>6</v>
      </c>
      <c r="B1445" t="s">
        <v>281</v>
      </c>
      <c r="C1445" t="s">
        <v>6745</v>
      </c>
      <c r="D1445">
        <v>8.2799999999999994</v>
      </c>
      <c r="E1445" t="s">
        <v>30</v>
      </c>
      <c r="F1445" t="s">
        <v>47</v>
      </c>
      <c r="G1445">
        <v>15.21</v>
      </c>
      <c r="H1445">
        <v>1.35</v>
      </c>
      <c r="I1445">
        <v>6.93</v>
      </c>
      <c r="J1445">
        <v>48.024900000000002</v>
      </c>
      <c r="K1445" t="str">
        <f>IFERROR(INDEX(Rosters!$C$2:$C$155,MATCH($B1445,Rosters!$B$2:$B$155,0)),"NA")</f>
        <v>aj</v>
      </c>
      <c r="L1445" t="str">
        <f t="shared" si="66"/>
        <v>aj6RB</v>
      </c>
      <c r="M1445">
        <f>COUNTIF(L$1:L1445,L1445)</f>
        <v>4</v>
      </c>
      <c r="N1445" t="str">
        <f t="shared" si="67"/>
        <v>aj6RB-4</v>
      </c>
      <c r="O1445">
        <f>COUNTIFS(F$1:F1445,F1445,A$1:A1445,A1445)</f>
        <v>24</v>
      </c>
      <c r="P1445" t="str">
        <f t="shared" si="68"/>
        <v>Aaron Jones6</v>
      </c>
    </row>
    <row r="1446" spans="1:16" x14ac:dyDescent="0.25">
      <c r="A1446">
        <v>10</v>
      </c>
      <c r="B1446" t="s">
        <v>251</v>
      </c>
      <c r="C1446" t="s">
        <v>6746</v>
      </c>
      <c r="D1446">
        <v>8.2799999999999994</v>
      </c>
      <c r="E1446" t="s">
        <v>51</v>
      </c>
      <c r="F1446" t="s">
        <v>87</v>
      </c>
      <c r="G1446">
        <v>13.43</v>
      </c>
      <c r="H1446">
        <v>3.13</v>
      </c>
      <c r="I1446">
        <v>5.15</v>
      </c>
      <c r="J1446">
        <v>26.522500000000001</v>
      </c>
      <c r="K1446" t="str">
        <f>IFERROR(INDEX(Rosters!$C$2:$C$155,MATCH($B1446,Rosters!$B$2:$B$155,0)),"NA")</f>
        <v>chad</v>
      </c>
      <c r="L1446" t="str">
        <f t="shared" si="66"/>
        <v>chad10WR</v>
      </c>
      <c r="M1446">
        <f>COUNTIF(L$1:L1446,L1446)</f>
        <v>4</v>
      </c>
      <c r="N1446" t="str">
        <f t="shared" si="67"/>
        <v>chad10WR-4</v>
      </c>
      <c r="O1446">
        <f>COUNTIFS(F$1:F1446,F1446,A$1:A1446,A1446)</f>
        <v>29</v>
      </c>
      <c r="P1446" t="str">
        <f t="shared" si="68"/>
        <v>Devin Funchess10</v>
      </c>
    </row>
    <row r="1447" spans="1:16" x14ac:dyDescent="0.25">
      <c r="A1447">
        <v>5</v>
      </c>
      <c r="B1447" t="s">
        <v>207</v>
      </c>
      <c r="C1447" t="s">
        <v>6747</v>
      </c>
      <c r="D1447">
        <v>8.2799999999999994</v>
      </c>
      <c r="E1447" t="s">
        <v>29</v>
      </c>
      <c r="F1447" t="s">
        <v>47</v>
      </c>
      <c r="G1447">
        <v>14.72</v>
      </c>
      <c r="H1447">
        <v>1.84</v>
      </c>
      <c r="I1447">
        <v>6.44</v>
      </c>
      <c r="J1447">
        <v>41.473599999999998</v>
      </c>
      <c r="K1447" t="str">
        <f>IFERROR(INDEX(Rosters!$C$2:$C$155,MATCH($B1447,Rosters!$B$2:$B$155,0)),"NA")</f>
        <v>chad</v>
      </c>
      <c r="L1447" t="str">
        <f t="shared" si="66"/>
        <v>chad5RB</v>
      </c>
      <c r="M1447">
        <f>COUNTIF(L$1:L1447,L1447)</f>
        <v>2</v>
      </c>
      <c r="N1447" t="str">
        <f t="shared" si="67"/>
        <v>chad5RB-2</v>
      </c>
      <c r="O1447">
        <f>COUNTIFS(F$1:F1447,F1447,A$1:A1447,A1447)</f>
        <v>26</v>
      </c>
      <c r="P1447" t="str">
        <f t="shared" si="68"/>
        <v>Dion Lewis5</v>
      </c>
    </row>
    <row r="1448" spans="1:16" x14ac:dyDescent="0.25">
      <c r="A1448">
        <v>14</v>
      </c>
      <c r="B1448" t="s">
        <v>105</v>
      </c>
      <c r="C1448" t="s">
        <v>6748</v>
      </c>
      <c r="D1448">
        <v>8.2799999999999994</v>
      </c>
      <c r="E1448" t="s">
        <v>25</v>
      </c>
      <c r="F1448" t="s">
        <v>87</v>
      </c>
      <c r="G1448">
        <v>14.02</v>
      </c>
      <c r="H1448">
        <v>2.54</v>
      </c>
      <c r="I1448">
        <v>5.74</v>
      </c>
      <c r="J1448">
        <v>32.947600000000001</v>
      </c>
      <c r="K1448" t="str">
        <f>IFERROR(INDEX(Rosters!$C$2:$C$155,MATCH($B1448,Rosters!$B$2:$B$155,0)),"NA")</f>
        <v>chad</v>
      </c>
      <c r="L1448" t="str">
        <f t="shared" si="66"/>
        <v>chad14WR</v>
      </c>
      <c r="M1448">
        <f>COUNTIF(L$1:L1448,L1448)</f>
        <v>4</v>
      </c>
      <c r="N1448" t="str">
        <f t="shared" si="67"/>
        <v>chad14WR-4</v>
      </c>
      <c r="O1448">
        <f>COUNTIFS(F$1:F1448,F1448,A$1:A1448,A1448)</f>
        <v>36</v>
      </c>
      <c r="P1448" t="str">
        <f t="shared" si="68"/>
        <v>Doug Baldwin14</v>
      </c>
    </row>
    <row r="1449" spans="1:16" x14ac:dyDescent="0.25">
      <c r="A1449">
        <v>16</v>
      </c>
      <c r="B1449" t="s">
        <v>1330</v>
      </c>
      <c r="C1449" t="s">
        <v>6749</v>
      </c>
      <c r="D1449">
        <v>8.2799999999999994</v>
      </c>
      <c r="E1449" t="s">
        <v>29</v>
      </c>
      <c r="F1449" t="s">
        <v>87</v>
      </c>
      <c r="G1449">
        <v>14.01</v>
      </c>
      <c r="H1449">
        <v>2.5499999999999998</v>
      </c>
      <c r="I1449">
        <v>5.73</v>
      </c>
      <c r="J1449">
        <v>32.832900000000002</v>
      </c>
      <c r="K1449" t="str">
        <f>IFERROR(INDEX(Rosters!$C$2:$C$155,MATCH($B1449,Rosters!$B$2:$B$155,0)),"NA")</f>
        <v>chad</v>
      </c>
      <c r="L1449" t="str">
        <f t="shared" si="66"/>
        <v>chad16WR</v>
      </c>
      <c r="M1449">
        <f>COUNTIF(L$1:L1449,L1449)</f>
        <v>5</v>
      </c>
      <c r="N1449" t="str">
        <f t="shared" si="67"/>
        <v>chad16WR-5</v>
      </c>
      <c r="O1449">
        <f>COUNTIFS(F$1:F1449,F1449,A$1:A1449,A1449)</f>
        <v>32</v>
      </c>
      <c r="P1449" t="str">
        <f t="shared" si="68"/>
        <v>Julian Edelman16</v>
      </c>
    </row>
    <row r="1450" spans="1:16" x14ac:dyDescent="0.25">
      <c r="A1450">
        <v>6</v>
      </c>
      <c r="B1450" t="s">
        <v>140</v>
      </c>
      <c r="C1450" t="s">
        <v>6750</v>
      </c>
      <c r="D1450">
        <v>8.2799999999999994</v>
      </c>
      <c r="E1450" t="s">
        <v>25</v>
      </c>
      <c r="F1450" t="s">
        <v>87</v>
      </c>
      <c r="G1450">
        <v>14.38</v>
      </c>
      <c r="H1450">
        <v>2.1800000000000002</v>
      </c>
      <c r="I1450">
        <v>6.1</v>
      </c>
      <c r="J1450">
        <v>37.21</v>
      </c>
      <c r="K1450" t="str">
        <f>IFERROR(INDEX(Rosters!$C$2:$C$155,MATCH($B1450,Rosters!$B$2:$B$155,0)),"NA")</f>
        <v>seth</v>
      </c>
      <c r="L1450" t="str">
        <f t="shared" si="66"/>
        <v>seth6WR</v>
      </c>
      <c r="M1450">
        <f>COUNTIF(L$1:L1450,L1450)</f>
        <v>3</v>
      </c>
      <c r="N1450" t="str">
        <f t="shared" si="67"/>
        <v>seth6WR-3</v>
      </c>
      <c r="O1450">
        <f>COUNTIFS(F$1:F1450,F1450,A$1:A1450,A1450)</f>
        <v>26</v>
      </c>
      <c r="P1450" t="str">
        <f t="shared" si="68"/>
        <v>Larry Fitzgerald6</v>
      </c>
    </row>
    <row r="1451" spans="1:16" x14ac:dyDescent="0.25">
      <c r="A1451">
        <v>3</v>
      </c>
      <c r="B1451" t="s">
        <v>251</v>
      </c>
      <c r="C1451" t="s">
        <v>3681</v>
      </c>
      <c r="D1451">
        <v>8.26</v>
      </c>
      <c r="E1451" t="s">
        <v>31</v>
      </c>
      <c r="F1451" t="s">
        <v>87</v>
      </c>
      <c r="G1451">
        <v>12.69</v>
      </c>
      <c r="H1451">
        <v>3.83</v>
      </c>
      <c r="I1451">
        <v>4.43</v>
      </c>
      <c r="J1451">
        <v>19.6249</v>
      </c>
      <c r="K1451" t="str">
        <f>IFERROR(INDEX(Rosters!$C$2:$C$155,MATCH($B1451,Rosters!$B$2:$B$155,0)),"NA")</f>
        <v>chad</v>
      </c>
      <c r="L1451" t="str">
        <f t="shared" si="66"/>
        <v>chad3WR</v>
      </c>
      <c r="M1451">
        <f>COUNTIF(L$1:L1451,L1451)</f>
        <v>2</v>
      </c>
      <c r="N1451" t="str">
        <f t="shared" si="67"/>
        <v>chad3WR-2</v>
      </c>
      <c r="O1451">
        <f>COUNTIFS(F$1:F1451,F1451,A$1:A1451,A1451)</f>
        <v>26</v>
      </c>
      <c r="P1451" t="str">
        <f t="shared" si="68"/>
        <v>Devin Funchess3</v>
      </c>
    </row>
    <row r="1452" spans="1:16" x14ac:dyDescent="0.25">
      <c r="A1452">
        <v>6</v>
      </c>
      <c r="B1452" t="s">
        <v>355</v>
      </c>
      <c r="C1452" t="s">
        <v>5476</v>
      </c>
      <c r="D1452">
        <v>8.26</v>
      </c>
      <c r="E1452" t="s">
        <v>46</v>
      </c>
      <c r="F1452" t="s">
        <v>47</v>
      </c>
      <c r="G1452">
        <v>13.86</v>
      </c>
      <c r="H1452">
        <v>2.66</v>
      </c>
      <c r="I1452">
        <v>5.6</v>
      </c>
      <c r="J1452">
        <v>31.36</v>
      </c>
      <c r="K1452" t="str">
        <f>IFERROR(INDEX(Rosters!$C$2:$C$155,MATCH($B1452,Rosters!$B$2:$B$155,0)),"NA")</f>
        <v>devon</v>
      </c>
      <c r="L1452" t="str">
        <f t="shared" si="66"/>
        <v>devon6RB</v>
      </c>
      <c r="M1452">
        <f>COUNTIF(L$1:L1452,L1452)</f>
        <v>4</v>
      </c>
      <c r="N1452" t="str">
        <f t="shared" si="67"/>
        <v>devon6RB-4</v>
      </c>
      <c r="O1452">
        <f>COUNTIFS(F$1:F1452,F1452,A$1:A1452,A1452)</f>
        <v>25</v>
      </c>
      <c r="P1452" t="str">
        <f t="shared" si="68"/>
        <v>Peyton Barber6</v>
      </c>
    </row>
    <row r="1453" spans="1:16" x14ac:dyDescent="0.25">
      <c r="A1453">
        <v>3</v>
      </c>
      <c r="B1453" t="s">
        <v>103</v>
      </c>
      <c r="C1453" t="s">
        <v>3682</v>
      </c>
      <c r="D1453">
        <v>8.25</v>
      </c>
      <c r="E1453" t="s">
        <v>19</v>
      </c>
      <c r="F1453" t="s">
        <v>87</v>
      </c>
      <c r="G1453">
        <v>15.49</v>
      </c>
      <c r="H1453">
        <v>1.01</v>
      </c>
      <c r="I1453">
        <v>7.24</v>
      </c>
      <c r="J1453">
        <v>52.4176</v>
      </c>
      <c r="K1453" t="str">
        <f>IFERROR(INDEX(Rosters!$C$2:$C$155,MATCH($B1453,Rosters!$B$2:$B$155,0)),"NA")</f>
        <v>comp</v>
      </c>
      <c r="L1453" t="str">
        <f t="shared" si="66"/>
        <v>comp3WR</v>
      </c>
      <c r="M1453">
        <f>COUNTIF(L$1:L1453,L1453)</f>
        <v>4</v>
      </c>
      <c r="N1453" t="str">
        <f t="shared" si="67"/>
        <v>comp3WR-4</v>
      </c>
      <c r="O1453">
        <f>COUNTIFS(F$1:F1453,F1453,A$1:A1453,A1453)</f>
        <v>27</v>
      </c>
      <c r="P1453" t="str">
        <f t="shared" si="68"/>
        <v>Amari Cooper3</v>
      </c>
    </row>
    <row r="1454" spans="1:16" x14ac:dyDescent="0.25">
      <c r="A1454">
        <v>2</v>
      </c>
      <c r="B1454" t="s">
        <v>171</v>
      </c>
      <c r="C1454" t="s">
        <v>1345</v>
      </c>
      <c r="D1454">
        <v>8.25</v>
      </c>
      <c r="E1454" t="s">
        <v>36</v>
      </c>
      <c r="F1454" t="s">
        <v>87</v>
      </c>
      <c r="G1454">
        <v>15.45</v>
      </c>
      <c r="H1454">
        <v>1.05</v>
      </c>
      <c r="I1454">
        <v>7.2</v>
      </c>
      <c r="J1454">
        <v>51.84</v>
      </c>
      <c r="K1454" t="str">
        <f>IFERROR(INDEX(Rosters!$C$2:$C$155,MATCH($B1454,Rosters!$B$2:$B$155,0)),"NA")</f>
        <v>matty</v>
      </c>
      <c r="L1454" t="str">
        <f t="shared" si="66"/>
        <v>matty2WR</v>
      </c>
      <c r="M1454">
        <f>COUNTIF(L$1:L1454,L1454)</f>
        <v>3</v>
      </c>
      <c r="N1454" t="str">
        <f t="shared" si="67"/>
        <v>matty2WR-3</v>
      </c>
      <c r="O1454">
        <f>COUNTIFS(F$1:F1454,F1454,A$1:A1454,A1454)</f>
        <v>29</v>
      </c>
      <c r="P1454" t="str">
        <f t="shared" si="68"/>
        <v>Corey Davis2</v>
      </c>
    </row>
    <row r="1455" spans="1:16" x14ac:dyDescent="0.25">
      <c r="A1455">
        <v>7</v>
      </c>
      <c r="B1455" t="s">
        <v>81</v>
      </c>
      <c r="C1455" t="s">
        <v>6751</v>
      </c>
      <c r="D1455">
        <v>8.25</v>
      </c>
      <c r="E1455" t="s">
        <v>66</v>
      </c>
      <c r="F1455" t="s">
        <v>47</v>
      </c>
      <c r="G1455">
        <v>13.67</v>
      </c>
      <c r="H1455">
        <v>2.83</v>
      </c>
      <c r="I1455">
        <v>5.42</v>
      </c>
      <c r="J1455">
        <v>29.3764</v>
      </c>
      <c r="K1455" t="str">
        <f>IFERROR(INDEX(Rosters!$C$2:$C$155,MATCH($B1455,Rosters!$B$2:$B$155,0)),"NA")</f>
        <v>aj</v>
      </c>
      <c r="L1455" t="str">
        <f t="shared" si="66"/>
        <v>aj7RB</v>
      </c>
      <c r="M1455">
        <f>COUNTIF(L$1:L1455,L1455)</f>
        <v>3</v>
      </c>
      <c r="N1455" t="str">
        <f t="shared" si="67"/>
        <v>aj7RB-3</v>
      </c>
      <c r="O1455">
        <f>COUNTIFS(F$1:F1455,F1455,A$1:A1455,A1455)</f>
        <v>24</v>
      </c>
      <c r="P1455" t="str">
        <f t="shared" si="68"/>
        <v>LeSean McCoy7</v>
      </c>
    </row>
    <row r="1456" spans="1:16" x14ac:dyDescent="0.25">
      <c r="A1456">
        <v>17</v>
      </c>
      <c r="B1456" t="s">
        <v>613</v>
      </c>
      <c r="C1456" t="s">
        <v>6752</v>
      </c>
      <c r="D1456">
        <v>8.25</v>
      </c>
      <c r="E1456" t="s">
        <v>41</v>
      </c>
      <c r="F1456" t="s">
        <v>87</v>
      </c>
      <c r="G1456">
        <v>13.62</v>
      </c>
      <c r="H1456">
        <v>2.88</v>
      </c>
      <c r="I1456">
        <v>5.37</v>
      </c>
      <c r="J1456">
        <v>28.8369</v>
      </c>
      <c r="K1456" t="str">
        <f>IFERROR(INDEX(Rosters!$C$2:$C$155,MATCH($B1456,Rosters!$B$2:$B$155,0)),"NA")</f>
        <v>matty</v>
      </c>
      <c r="L1456" t="str">
        <f t="shared" si="66"/>
        <v>matty17WR</v>
      </c>
      <c r="M1456">
        <f>COUNTIF(L$1:L1456,L1456)</f>
        <v>4</v>
      </c>
      <c r="N1456" t="str">
        <f t="shared" si="67"/>
        <v>matty17WR-4</v>
      </c>
      <c r="O1456">
        <f>COUNTIFS(F$1:F1456,F1456,A$1:A1456,A1456)</f>
        <v>28</v>
      </c>
      <c r="P1456" t="str">
        <f t="shared" si="68"/>
        <v>Marvin Jones Jr.17</v>
      </c>
    </row>
    <row r="1457" spans="1:16" x14ac:dyDescent="0.25">
      <c r="A1457">
        <v>11</v>
      </c>
      <c r="B1457" t="s">
        <v>221</v>
      </c>
      <c r="C1457" t="s">
        <v>6753</v>
      </c>
      <c r="D1457">
        <v>8.25</v>
      </c>
      <c r="E1457" t="s">
        <v>77</v>
      </c>
      <c r="F1457" t="s">
        <v>87</v>
      </c>
      <c r="G1457">
        <v>13.52</v>
      </c>
      <c r="H1457">
        <v>2.98</v>
      </c>
      <c r="I1457">
        <v>5.27</v>
      </c>
      <c r="J1457">
        <v>27.7729</v>
      </c>
      <c r="K1457" t="str">
        <f>IFERROR(INDEX(Rosters!$C$2:$C$155,MATCH($B1457,Rosters!$B$2:$B$155,0)),"NA")</f>
        <v>cory</v>
      </c>
      <c r="L1457" t="str">
        <f t="shared" si="66"/>
        <v>cory11WR</v>
      </c>
      <c r="M1457">
        <f>COUNTIF(L$1:L1457,L1457)</f>
        <v>3</v>
      </c>
      <c r="N1457" t="str">
        <f t="shared" si="67"/>
        <v>cory11WR-3</v>
      </c>
      <c r="O1457">
        <f>COUNTIFS(F$1:F1457,F1457,A$1:A1457,A1457)</f>
        <v>28</v>
      </c>
      <c r="P1457" t="str">
        <f t="shared" si="68"/>
        <v>Tyler Boyd11</v>
      </c>
    </row>
    <row r="1458" spans="1:16" x14ac:dyDescent="0.25">
      <c r="A1458">
        <v>11</v>
      </c>
      <c r="B1458" t="s">
        <v>266</v>
      </c>
      <c r="C1458" t="s">
        <v>6754</v>
      </c>
      <c r="D1458">
        <v>8.25</v>
      </c>
      <c r="E1458" t="s">
        <v>60</v>
      </c>
      <c r="F1458" t="s">
        <v>87</v>
      </c>
      <c r="G1458">
        <v>15.35</v>
      </c>
      <c r="H1458">
        <v>1.1499999999999999</v>
      </c>
      <c r="I1458">
        <v>7.1</v>
      </c>
      <c r="J1458">
        <v>50.41</v>
      </c>
      <c r="K1458" t="str">
        <f>IFERROR(INDEX(Rosters!$C$2:$C$155,MATCH($B1458,Rosters!$B$2:$B$155,0)),"NA")</f>
        <v>perry</v>
      </c>
      <c r="L1458" t="str">
        <f t="shared" si="66"/>
        <v>perry11WR</v>
      </c>
      <c r="M1458">
        <f>COUNTIF(L$1:L1458,L1458)</f>
        <v>3</v>
      </c>
      <c r="N1458" t="str">
        <f t="shared" si="67"/>
        <v>perry11WR-3</v>
      </c>
      <c r="O1458">
        <f>COUNTIFS(F$1:F1458,F1458,A$1:A1458,A1458)</f>
        <v>29</v>
      </c>
      <c r="P1458" t="str">
        <f t="shared" si="68"/>
        <v>Will Fuller V11</v>
      </c>
    </row>
    <row r="1459" spans="1:16" x14ac:dyDescent="0.25">
      <c r="A1459">
        <v>15</v>
      </c>
      <c r="B1459" t="s">
        <v>103</v>
      </c>
      <c r="C1459" t="s">
        <v>6755</v>
      </c>
      <c r="D1459">
        <v>8.24</v>
      </c>
      <c r="E1459" t="s">
        <v>31</v>
      </c>
      <c r="F1459" t="s">
        <v>87</v>
      </c>
      <c r="G1459">
        <v>13.96</v>
      </c>
      <c r="H1459">
        <v>2.52</v>
      </c>
      <c r="I1459">
        <v>5.72</v>
      </c>
      <c r="J1459">
        <v>32.718400000000003</v>
      </c>
      <c r="K1459" t="str">
        <f>IFERROR(INDEX(Rosters!$C$2:$C$155,MATCH($B1459,Rosters!$B$2:$B$155,0)),"NA")</f>
        <v>comp</v>
      </c>
      <c r="L1459" t="str">
        <f t="shared" si="66"/>
        <v>comp15WR</v>
      </c>
      <c r="M1459">
        <f>COUNTIF(L$1:L1459,L1459)</f>
        <v>4</v>
      </c>
      <c r="N1459" t="str">
        <f t="shared" si="67"/>
        <v>comp15WR-4</v>
      </c>
      <c r="O1459">
        <f>COUNTIFS(F$1:F1459,F1459,A$1:A1459,A1459)</f>
        <v>31</v>
      </c>
      <c r="P1459" t="str">
        <f t="shared" si="68"/>
        <v>Amari Cooper15</v>
      </c>
    </row>
    <row r="1460" spans="1:16" x14ac:dyDescent="0.25">
      <c r="A1460">
        <v>16</v>
      </c>
      <c r="B1460" t="s">
        <v>103</v>
      </c>
      <c r="C1460" t="s">
        <v>6756</v>
      </c>
      <c r="D1460">
        <v>8.23</v>
      </c>
      <c r="E1460" t="s">
        <v>42</v>
      </c>
      <c r="F1460" t="s">
        <v>87</v>
      </c>
      <c r="G1460">
        <v>14.17</v>
      </c>
      <c r="H1460">
        <v>2.29</v>
      </c>
      <c r="I1460">
        <v>5.94</v>
      </c>
      <c r="J1460">
        <v>35.2836</v>
      </c>
      <c r="K1460" t="str">
        <f>IFERROR(INDEX(Rosters!$C$2:$C$155,MATCH($B1460,Rosters!$B$2:$B$155,0)),"NA")</f>
        <v>comp</v>
      </c>
      <c r="L1460" t="str">
        <f t="shared" si="66"/>
        <v>comp16WR</v>
      </c>
      <c r="M1460">
        <f>COUNTIF(L$1:L1460,L1460)</f>
        <v>5</v>
      </c>
      <c r="N1460" t="str">
        <f t="shared" si="67"/>
        <v>comp16WR-5</v>
      </c>
      <c r="O1460">
        <f>COUNTIFS(F$1:F1460,F1460,A$1:A1460,A1460)</f>
        <v>33</v>
      </c>
      <c r="P1460" t="str">
        <f t="shared" si="68"/>
        <v>Amari Cooper16</v>
      </c>
    </row>
    <row r="1461" spans="1:16" x14ac:dyDescent="0.25">
      <c r="A1461">
        <v>10</v>
      </c>
      <c r="B1461" t="s">
        <v>1158</v>
      </c>
      <c r="C1461" t="s">
        <v>6757</v>
      </c>
      <c r="D1461">
        <v>8.23</v>
      </c>
      <c r="E1461" t="s">
        <v>38</v>
      </c>
      <c r="F1461" t="s">
        <v>87</v>
      </c>
      <c r="G1461">
        <v>15.57</v>
      </c>
      <c r="H1461">
        <v>0.89</v>
      </c>
      <c r="I1461">
        <v>7.34</v>
      </c>
      <c r="J1461">
        <v>53.875599999999999</v>
      </c>
      <c r="K1461" t="str">
        <f>IFERROR(INDEX(Rosters!$C$2:$C$155,MATCH($B1461,Rosters!$B$2:$B$155,0)),"NA")</f>
        <v>chad</v>
      </c>
      <c r="L1461" t="str">
        <f t="shared" si="66"/>
        <v>chad10WR</v>
      </c>
      <c r="M1461">
        <f>COUNTIF(L$1:L1461,L1461)</f>
        <v>5</v>
      </c>
      <c r="N1461" t="str">
        <f t="shared" si="67"/>
        <v>chad10WR-5</v>
      </c>
      <c r="O1461">
        <f>COUNTIFS(F$1:F1461,F1461,A$1:A1461,A1461)</f>
        <v>30</v>
      </c>
      <c r="P1461" t="str">
        <f t="shared" si="68"/>
        <v>Josh Gordon10</v>
      </c>
    </row>
    <row r="1462" spans="1:16" x14ac:dyDescent="0.25">
      <c r="A1462">
        <v>4</v>
      </c>
      <c r="B1462" t="s">
        <v>613</v>
      </c>
      <c r="C1462" t="s">
        <v>4477</v>
      </c>
      <c r="D1462">
        <v>8.23</v>
      </c>
      <c r="E1462" t="s">
        <v>22</v>
      </c>
      <c r="F1462" t="s">
        <v>87</v>
      </c>
      <c r="G1462">
        <v>13.46</v>
      </c>
      <c r="H1462">
        <v>3</v>
      </c>
      <c r="I1462">
        <v>5.23</v>
      </c>
      <c r="J1462">
        <v>27.352900000000002</v>
      </c>
      <c r="K1462" t="str">
        <f>IFERROR(INDEX(Rosters!$C$2:$C$155,MATCH($B1462,Rosters!$B$2:$B$155,0)),"NA")</f>
        <v>matty</v>
      </c>
      <c r="L1462" t="str">
        <f t="shared" si="66"/>
        <v>matty4WR</v>
      </c>
      <c r="M1462">
        <f>COUNTIF(L$1:L1462,L1462)</f>
        <v>4</v>
      </c>
      <c r="N1462" t="str">
        <f t="shared" si="67"/>
        <v>matty4WR-4</v>
      </c>
      <c r="O1462">
        <f>COUNTIFS(F$1:F1462,F1462,A$1:A1462,A1462)</f>
        <v>27</v>
      </c>
      <c r="P1462" t="str">
        <f t="shared" si="68"/>
        <v>Marvin Jones Jr.4</v>
      </c>
    </row>
    <row r="1463" spans="1:16" x14ac:dyDescent="0.25">
      <c r="A1463">
        <v>16</v>
      </c>
      <c r="B1463" t="s">
        <v>166</v>
      </c>
      <c r="C1463" t="s">
        <v>6758</v>
      </c>
      <c r="D1463">
        <v>8.23</v>
      </c>
      <c r="E1463" t="s">
        <v>73</v>
      </c>
      <c r="F1463" t="s">
        <v>87</v>
      </c>
      <c r="G1463">
        <v>13.95</v>
      </c>
      <c r="H1463">
        <v>2.5099999999999998</v>
      </c>
      <c r="I1463">
        <v>5.72</v>
      </c>
      <c r="J1463">
        <v>32.718400000000003</v>
      </c>
      <c r="K1463" t="str">
        <f>IFERROR(INDEX(Rosters!$C$2:$C$155,MATCH($B1463,Rosters!$B$2:$B$155,0)),"NA")</f>
        <v>seth</v>
      </c>
      <c r="L1463" t="str">
        <f t="shared" si="66"/>
        <v>seth16WR</v>
      </c>
      <c r="M1463">
        <f>COUNTIF(L$1:L1463,L1463)</f>
        <v>3</v>
      </c>
      <c r="N1463" t="str">
        <f t="shared" si="67"/>
        <v>seth16WR-3</v>
      </c>
      <c r="O1463">
        <f>COUNTIFS(F$1:F1463,F1463,A$1:A1463,A1463)</f>
        <v>34</v>
      </c>
      <c r="P1463" t="str">
        <f t="shared" si="68"/>
        <v>Randall Cobb16</v>
      </c>
    </row>
    <row r="1464" spans="1:16" x14ac:dyDescent="0.25">
      <c r="A1464">
        <v>3</v>
      </c>
      <c r="B1464" t="s">
        <v>125</v>
      </c>
      <c r="C1464" t="s">
        <v>3683</v>
      </c>
      <c r="D1464">
        <v>8.23</v>
      </c>
      <c r="E1464" t="s">
        <v>30</v>
      </c>
      <c r="F1464" t="s">
        <v>87</v>
      </c>
      <c r="G1464">
        <v>14.95</v>
      </c>
      <c r="H1464">
        <v>1.51</v>
      </c>
      <c r="I1464">
        <v>6.72</v>
      </c>
      <c r="J1464">
        <v>45.1584</v>
      </c>
      <c r="K1464" t="str">
        <f>IFERROR(INDEX(Rosters!$C$2:$C$155,MATCH($B1464,Rosters!$B$2:$B$155,0)),"NA")</f>
        <v>scott</v>
      </c>
      <c r="L1464" t="str">
        <f t="shared" si="66"/>
        <v>scott3WR</v>
      </c>
      <c r="M1464">
        <f>COUNTIF(L$1:L1464,L1464)</f>
        <v>2</v>
      </c>
      <c r="N1464" t="str">
        <f t="shared" si="67"/>
        <v>scott3WR-2</v>
      </c>
      <c r="O1464">
        <f>COUNTIFS(F$1:F1464,F1464,A$1:A1464,A1464)</f>
        <v>28</v>
      </c>
      <c r="P1464" t="str">
        <f t="shared" si="68"/>
        <v>Sammy Watkins3</v>
      </c>
    </row>
    <row r="1465" spans="1:16" x14ac:dyDescent="0.25">
      <c r="A1465">
        <v>13</v>
      </c>
      <c r="B1465" t="s">
        <v>185</v>
      </c>
      <c r="C1465" t="s">
        <v>6759</v>
      </c>
      <c r="D1465">
        <v>8.2200000000000006</v>
      </c>
      <c r="E1465" t="s">
        <v>46</v>
      </c>
      <c r="F1465" t="s">
        <v>87</v>
      </c>
      <c r="G1465">
        <v>14.71</v>
      </c>
      <c r="H1465">
        <v>1.73</v>
      </c>
      <c r="I1465">
        <v>6.49</v>
      </c>
      <c r="J1465">
        <v>42.120100000000001</v>
      </c>
      <c r="K1465" t="str">
        <f>IFERROR(INDEX(Rosters!$C$2:$C$155,MATCH($B1465,Rosters!$B$2:$B$155,0)),"NA")</f>
        <v>scott</v>
      </c>
      <c r="L1465" t="str">
        <f t="shared" si="66"/>
        <v>scott13WR</v>
      </c>
      <c r="M1465">
        <f>COUNTIF(L$1:L1465,L1465)</f>
        <v>3</v>
      </c>
      <c r="N1465" t="str">
        <f t="shared" si="67"/>
        <v>scott13WR-3</v>
      </c>
      <c r="O1465">
        <f>COUNTIFS(F$1:F1465,F1465,A$1:A1465,A1465)</f>
        <v>33</v>
      </c>
      <c r="P1465" t="str">
        <f t="shared" si="68"/>
        <v>John Brown13</v>
      </c>
    </row>
    <row r="1466" spans="1:16" x14ac:dyDescent="0.25">
      <c r="A1466">
        <v>14</v>
      </c>
      <c r="B1466" t="s">
        <v>119</v>
      </c>
      <c r="C1466" t="s">
        <v>6760</v>
      </c>
      <c r="D1466">
        <v>8.2100000000000009</v>
      </c>
      <c r="E1466" t="s">
        <v>56</v>
      </c>
      <c r="F1466" t="s">
        <v>87</v>
      </c>
      <c r="G1466">
        <v>14.04</v>
      </c>
      <c r="H1466">
        <v>2.38</v>
      </c>
      <c r="I1466">
        <v>5.83</v>
      </c>
      <c r="J1466">
        <v>33.988900000000001</v>
      </c>
      <c r="K1466" t="str">
        <f>IFERROR(INDEX(Rosters!$C$2:$C$155,MATCH($B1466,Rosters!$B$2:$B$155,0)),"NA")</f>
        <v>lucas</v>
      </c>
      <c r="L1466" t="str">
        <f t="shared" si="66"/>
        <v>lucas14WR</v>
      </c>
      <c r="M1466">
        <f>COUNTIF(L$1:L1466,L1466)</f>
        <v>3</v>
      </c>
      <c r="N1466" t="str">
        <f t="shared" si="67"/>
        <v>lucas14WR-3</v>
      </c>
      <c r="O1466">
        <f>COUNTIFS(F$1:F1466,F1466,A$1:A1466,A1466)</f>
        <v>37</v>
      </c>
      <c r="P1466" t="str">
        <f t="shared" si="68"/>
        <v>Allen Robinson14</v>
      </c>
    </row>
    <row r="1467" spans="1:16" x14ac:dyDescent="0.25">
      <c r="A1467">
        <v>5</v>
      </c>
      <c r="B1467" t="s">
        <v>306</v>
      </c>
      <c r="C1467" t="s">
        <v>9078</v>
      </c>
      <c r="D1467">
        <v>8.2100000000000009</v>
      </c>
      <c r="E1467" t="s">
        <v>52</v>
      </c>
      <c r="F1467" t="s">
        <v>47</v>
      </c>
      <c r="G1467">
        <v>14.1</v>
      </c>
      <c r="H1467">
        <v>2.3199999999999998</v>
      </c>
      <c r="I1467">
        <v>5.89</v>
      </c>
      <c r="J1467">
        <v>34.692100000000003</v>
      </c>
      <c r="K1467" t="str">
        <f>IFERROR(INDEX(Rosters!$C$2:$C$155,MATCH($B1467,Rosters!$B$2:$B$155,0)),"NA")</f>
        <v>chad</v>
      </c>
      <c r="L1467" t="str">
        <f t="shared" si="66"/>
        <v>chad5RB</v>
      </c>
      <c r="M1467">
        <f>COUNTIF(L$1:L1467,L1467)</f>
        <v>3</v>
      </c>
      <c r="N1467" t="str">
        <f t="shared" si="67"/>
        <v>chad5RB-3</v>
      </c>
      <c r="O1467">
        <f>COUNTIFS(F$1:F1467,F1467,A$1:A1467,A1467)</f>
        <v>27</v>
      </c>
      <c r="P1467" t="str">
        <f t="shared" si="68"/>
        <v>Javorius Allen5</v>
      </c>
    </row>
    <row r="1468" spans="1:16" x14ac:dyDescent="0.25">
      <c r="A1468">
        <v>5</v>
      </c>
      <c r="B1468" t="s">
        <v>140</v>
      </c>
      <c r="C1468" t="s">
        <v>6761</v>
      </c>
      <c r="D1468">
        <v>8.2100000000000009</v>
      </c>
      <c r="E1468" t="s">
        <v>30</v>
      </c>
      <c r="F1468" t="s">
        <v>87</v>
      </c>
      <c r="G1468">
        <v>13.84</v>
      </c>
      <c r="H1468">
        <v>2.58</v>
      </c>
      <c r="I1468">
        <v>5.63</v>
      </c>
      <c r="J1468">
        <v>31.696899999999999</v>
      </c>
      <c r="K1468" t="str">
        <f>IFERROR(INDEX(Rosters!$C$2:$C$155,MATCH($B1468,Rosters!$B$2:$B$155,0)),"NA")</f>
        <v>seth</v>
      </c>
      <c r="L1468" t="str">
        <f t="shared" si="66"/>
        <v>seth5WR</v>
      </c>
      <c r="M1468">
        <f>COUNTIF(L$1:L1468,L1468)</f>
        <v>3</v>
      </c>
      <c r="N1468" t="str">
        <f t="shared" si="67"/>
        <v>seth5WR-3</v>
      </c>
      <c r="O1468">
        <f>COUNTIFS(F$1:F1468,F1468,A$1:A1468,A1468)</f>
        <v>28</v>
      </c>
      <c r="P1468" t="str">
        <f t="shared" si="68"/>
        <v>Larry Fitzgerald5</v>
      </c>
    </row>
    <row r="1469" spans="1:16" x14ac:dyDescent="0.25">
      <c r="A1469">
        <v>12</v>
      </c>
      <c r="B1469" t="s">
        <v>202</v>
      </c>
      <c r="C1469" t="s">
        <v>6762</v>
      </c>
      <c r="D1469">
        <v>8.1999999999999993</v>
      </c>
      <c r="E1469" t="s">
        <v>22</v>
      </c>
      <c r="F1469" t="s">
        <v>47</v>
      </c>
      <c r="G1469">
        <v>13.63</v>
      </c>
      <c r="H1469">
        <v>2.77</v>
      </c>
      <c r="I1469">
        <v>5.43</v>
      </c>
      <c r="J1469">
        <v>29.4849</v>
      </c>
      <c r="K1469" t="str">
        <f>IFERROR(INDEX(Rosters!$C$2:$C$155,MATCH($B1469,Rosters!$B$2:$B$155,0)),"NA")</f>
        <v>lucas</v>
      </c>
      <c r="L1469" t="str">
        <f t="shared" si="66"/>
        <v>lucas12RB</v>
      </c>
      <c r="M1469">
        <f>COUNTIF(L$1:L1469,L1469)</f>
        <v>3</v>
      </c>
      <c r="N1469" t="str">
        <f t="shared" si="67"/>
        <v>lucas12RB-3</v>
      </c>
      <c r="O1469">
        <f>COUNTIFS(F$1:F1469,F1469,A$1:A1469,A1469)</f>
        <v>24</v>
      </c>
      <c r="P1469" t="str">
        <f t="shared" si="68"/>
        <v>Chris Thompson12</v>
      </c>
    </row>
    <row r="1470" spans="1:16" x14ac:dyDescent="0.25">
      <c r="A1470">
        <v>7</v>
      </c>
      <c r="B1470" t="s">
        <v>193</v>
      </c>
      <c r="C1470" t="s">
        <v>6763</v>
      </c>
      <c r="D1470">
        <v>8.1999999999999993</v>
      </c>
      <c r="E1470" t="s">
        <v>72</v>
      </c>
      <c r="F1470" t="s">
        <v>47</v>
      </c>
      <c r="G1470">
        <v>12.14</v>
      </c>
      <c r="H1470">
        <v>4.26</v>
      </c>
      <c r="I1470">
        <v>3.94</v>
      </c>
      <c r="J1470">
        <v>15.5236</v>
      </c>
      <c r="K1470" t="str">
        <f>IFERROR(INDEX(Rosters!$C$2:$C$155,MATCH($B1470,Rosters!$B$2:$B$155,0)),"NA")</f>
        <v>cory</v>
      </c>
      <c r="L1470" t="str">
        <f t="shared" si="66"/>
        <v>cory7RB</v>
      </c>
      <c r="M1470">
        <f>COUNTIF(L$1:L1470,L1470)</f>
        <v>3</v>
      </c>
      <c r="N1470" t="str">
        <f t="shared" si="67"/>
        <v>cory7RB-3</v>
      </c>
      <c r="O1470">
        <f>COUNTIFS(F$1:F1470,F1470,A$1:A1470,A1470)</f>
        <v>25</v>
      </c>
      <c r="P1470" t="str">
        <f t="shared" si="68"/>
        <v>James White7</v>
      </c>
    </row>
    <row r="1471" spans="1:16" x14ac:dyDescent="0.25">
      <c r="A1471">
        <v>3</v>
      </c>
      <c r="B1471" t="s">
        <v>155</v>
      </c>
      <c r="C1471" t="s">
        <v>3684</v>
      </c>
      <c r="D1471">
        <v>8.1999999999999993</v>
      </c>
      <c r="E1471" t="s">
        <v>423</v>
      </c>
      <c r="F1471" t="s">
        <v>47</v>
      </c>
      <c r="G1471">
        <v>12.96</v>
      </c>
      <c r="H1471">
        <v>3.44</v>
      </c>
      <c r="I1471">
        <v>4.76</v>
      </c>
      <c r="J1471">
        <v>22.657599999999999</v>
      </c>
      <c r="K1471" t="str">
        <f>IFERROR(INDEX(Rosters!$C$2:$C$155,MATCH($B1471,Rosters!$B$2:$B$155,0)),"NA")</f>
        <v>NA</v>
      </c>
      <c r="L1471" t="str">
        <f t="shared" si="66"/>
        <v>NA3RB</v>
      </c>
      <c r="M1471">
        <f>COUNTIF(L$1:L1471,L1471)</f>
        <v>4</v>
      </c>
      <c r="N1471" t="str">
        <f t="shared" si="67"/>
        <v>NA3RB-4</v>
      </c>
      <c r="O1471">
        <f>COUNTIFS(F$1:F1471,F1471,A$1:A1471,A1471)</f>
        <v>28</v>
      </c>
      <c r="P1471" t="str">
        <f t="shared" si="68"/>
        <v>Theo Riddick3</v>
      </c>
    </row>
    <row r="1472" spans="1:16" x14ac:dyDescent="0.25">
      <c r="A1472">
        <v>7</v>
      </c>
      <c r="B1472" t="s">
        <v>251</v>
      </c>
      <c r="C1472" t="s">
        <v>6764</v>
      </c>
      <c r="D1472">
        <v>8.19</v>
      </c>
      <c r="E1472" t="s">
        <v>50</v>
      </c>
      <c r="F1472" t="s">
        <v>87</v>
      </c>
      <c r="G1472">
        <v>14.85</v>
      </c>
      <c r="H1472">
        <v>1.53</v>
      </c>
      <c r="I1472">
        <v>6.66</v>
      </c>
      <c r="J1472">
        <v>44.355600000000003</v>
      </c>
      <c r="K1472" t="str">
        <f>IFERROR(INDEX(Rosters!$C$2:$C$155,MATCH($B1472,Rosters!$B$2:$B$155,0)),"NA")</f>
        <v>chad</v>
      </c>
      <c r="L1472" t="str">
        <f t="shared" si="66"/>
        <v>chad7WR</v>
      </c>
      <c r="M1472">
        <f>COUNTIF(L$1:L1472,L1472)</f>
        <v>4</v>
      </c>
      <c r="N1472" t="str">
        <f t="shared" si="67"/>
        <v>chad7WR-4</v>
      </c>
      <c r="O1472">
        <f>COUNTIFS(F$1:F1472,F1472,A$1:A1472,A1472)</f>
        <v>28</v>
      </c>
      <c r="P1472" t="str">
        <f t="shared" si="68"/>
        <v>Devin Funchess7</v>
      </c>
    </row>
    <row r="1473" spans="1:16" x14ac:dyDescent="0.25">
      <c r="A1473">
        <v>1</v>
      </c>
      <c r="B1473" t="s">
        <v>166</v>
      </c>
      <c r="C1473" t="s">
        <v>1689</v>
      </c>
      <c r="D1473">
        <v>8.19</v>
      </c>
      <c r="E1473" t="s">
        <v>72</v>
      </c>
      <c r="F1473" t="s">
        <v>87</v>
      </c>
      <c r="G1473">
        <v>13</v>
      </c>
      <c r="H1473">
        <v>3.38</v>
      </c>
      <c r="I1473">
        <v>4.8099999999999996</v>
      </c>
      <c r="J1473">
        <v>23.136099999999999</v>
      </c>
      <c r="K1473" t="str">
        <f>IFERROR(INDEX(Rosters!$C$2:$C$155,MATCH($B1473,Rosters!$B$2:$B$155,0)),"NA")</f>
        <v>seth</v>
      </c>
      <c r="L1473" t="str">
        <f t="shared" si="66"/>
        <v>seth1WR</v>
      </c>
      <c r="M1473">
        <f>COUNTIF(L$1:L1473,L1473)</f>
        <v>4</v>
      </c>
      <c r="N1473" t="str">
        <f t="shared" si="67"/>
        <v>seth1WR-4</v>
      </c>
      <c r="O1473">
        <f>COUNTIFS(F$1:F1473,F1473,A$1:A1473,A1473)</f>
        <v>25</v>
      </c>
      <c r="P1473" t="str">
        <f t="shared" si="68"/>
        <v>Randall Cobb1</v>
      </c>
    </row>
    <row r="1474" spans="1:16" x14ac:dyDescent="0.25">
      <c r="A1474">
        <v>12</v>
      </c>
      <c r="B1474" t="s">
        <v>1346</v>
      </c>
      <c r="C1474" t="s">
        <v>6765</v>
      </c>
      <c r="D1474" s="20">
        <v>8.19</v>
      </c>
      <c r="E1474" t="s">
        <v>51</v>
      </c>
      <c r="F1474" t="s">
        <v>47</v>
      </c>
      <c r="G1474">
        <v>14.53</v>
      </c>
      <c r="H1474">
        <v>1.85</v>
      </c>
      <c r="I1474">
        <v>6.34</v>
      </c>
      <c r="J1474">
        <v>40.195599999999999</v>
      </c>
      <c r="K1474" t="str">
        <f>IFERROR(INDEX(Rosters!$C$2:$C$155,MATCH($B1474,Rosters!$B$2:$B$155,0)),"NA")</f>
        <v>comp</v>
      </c>
      <c r="L1474" t="str">
        <f t="shared" si="66"/>
        <v>comp12RB</v>
      </c>
      <c r="M1474">
        <f>COUNTIF(L$1:L1474,L1474)</f>
        <v>3</v>
      </c>
      <c r="N1474" t="str">
        <f t="shared" si="67"/>
        <v>comp12RB-3</v>
      </c>
      <c r="O1474">
        <f>COUNTIFS(F$1:F1474,F1474,A$1:A1474,A1474)</f>
        <v>25</v>
      </c>
      <c r="P1474" t="str">
        <f t="shared" si="68"/>
        <v>Royce Freeman12</v>
      </c>
    </row>
    <row r="1475" spans="1:16" x14ac:dyDescent="0.25">
      <c r="A1475">
        <v>8</v>
      </c>
      <c r="B1475" t="s">
        <v>195</v>
      </c>
      <c r="C1475" t="s">
        <v>6766</v>
      </c>
      <c r="D1475">
        <v>8.18</v>
      </c>
      <c r="E1475" t="s">
        <v>28</v>
      </c>
      <c r="F1475" t="s">
        <v>87</v>
      </c>
      <c r="G1475">
        <v>14.3</v>
      </c>
      <c r="H1475">
        <v>2.06</v>
      </c>
      <c r="I1475">
        <v>6.12</v>
      </c>
      <c r="J1475">
        <v>37.4544</v>
      </c>
      <c r="K1475" t="str">
        <f>IFERROR(INDEX(Rosters!$C$2:$C$155,MATCH($B1475,Rosters!$B$2:$B$155,0)),"NA")</f>
        <v>scott</v>
      </c>
      <c r="L1475" t="str">
        <f t="shared" ref="L1475:L1538" si="69">K1475&amp;A1475&amp;F1475</f>
        <v>scott8WR</v>
      </c>
      <c r="M1475">
        <f>COUNTIF(L$1:L1475,L1475)</f>
        <v>3</v>
      </c>
      <c r="N1475" t="str">
        <f t="shared" ref="N1475:N1538" si="70">L1475&amp;"-"&amp;M1475</f>
        <v>scott8WR-3</v>
      </c>
      <c r="O1475">
        <f>COUNTIFS(F$1:F1475,F1475,A$1:A1475,A1475)</f>
        <v>29</v>
      </c>
      <c r="P1475" t="str">
        <f t="shared" ref="P1475:P1538" si="71">B1475&amp;A1475</f>
        <v>Kenny Golladay8</v>
      </c>
    </row>
    <row r="1476" spans="1:16" x14ac:dyDescent="0.25">
      <c r="A1476">
        <v>4</v>
      </c>
      <c r="B1476" t="s">
        <v>116</v>
      </c>
      <c r="C1476" t="s">
        <v>4478</v>
      </c>
      <c r="D1476">
        <v>8.18</v>
      </c>
      <c r="E1476" t="s">
        <v>51</v>
      </c>
      <c r="F1476" t="s">
        <v>87</v>
      </c>
      <c r="G1476">
        <v>13.73</v>
      </c>
      <c r="H1476">
        <v>2.63</v>
      </c>
      <c r="I1476">
        <v>5.55</v>
      </c>
      <c r="J1476">
        <v>30.802499999999998</v>
      </c>
      <c r="K1476" t="str">
        <f>IFERROR(INDEX(Rosters!$C$2:$C$155,MATCH($B1476,Rosters!$B$2:$B$155,0)),"NA")</f>
        <v>aj</v>
      </c>
      <c r="L1476" t="str">
        <f t="shared" si="69"/>
        <v>aj4WR</v>
      </c>
      <c r="M1476">
        <f>COUNTIF(L$1:L1476,L1476)</f>
        <v>5</v>
      </c>
      <c r="N1476" t="str">
        <f t="shared" si="70"/>
        <v>aj4WR-5</v>
      </c>
      <c r="O1476">
        <f>COUNTIFS(F$1:F1476,F1476,A$1:A1476,A1476)</f>
        <v>28</v>
      </c>
      <c r="P1476" t="str">
        <f t="shared" si="71"/>
        <v>Michael Crabtree4</v>
      </c>
    </row>
    <row r="1477" spans="1:16" x14ac:dyDescent="0.25">
      <c r="A1477">
        <v>15</v>
      </c>
      <c r="B1477" t="s">
        <v>177</v>
      </c>
      <c r="C1477" t="s">
        <v>6767</v>
      </c>
      <c r="D1477">
        <v>8.18</v>
      </c>
      <c r="E1477" t="s">
        <v>56</v>
      </c>
      <c r="F1477" t="s">
        <v>114</v>
      </c>
      <c r="G1477">
        <v>13.81</v>
      </c>
      <c r="H1477">
        <v>2.5499999999999998</v>
      </c>
      <c r="I1477">
        <v>5.63</v>
      </c>
      <c r="J1477">
        <v>31.696899999999999</v>
      </c>
      <c r="K1477" t="str">
        <f>IFERROR(INDEX(Rosters!$C$2:$C$155,MATCH($B1477,Rosters!$B$2:$B$155,0)),"NA")</f>
        <v>perry</v>
      </c>
      <c r="L1477" t="str">
        <f t="shared" si="69"/>
        <v>perry15TE</v>
      </c>
      <c r="M1477">
        <f>COUNTIF(L$1:L1477,L1477)</f>
        <v>1</v>
      </c>
      <c r="N1477" t="str">
        <f t="shared" si="70"/>
        <v>perry15TE-1</v>
      </c>
      <c r="O1477">
        <f>COUNTIFS(F$1:F1477,F1477,A$1:A1477,A1477)</f>
        <v>3</v>
      </c>
      <c r="P1477" t="str">
        <f t="shared" si="71"/>
        <v>Zach Ertz15</v>
      </c>
    </row>
    <row r="1478" spans="1:16" x14ac:dyDescent="0.25">
      <c r="A1478">
        <v>15</v>
      </c>
      <c r="B1478" t="s">
        <v>139</v>
      </c>
      <c r="C1478" t="s">
        <v>6768</v>
      </c>
      <c r="D1478">
        <v>8.17</v>
      </c>
      <c r="E1478" t="s">
        <v>36</v>
      </c>
      <c r="F1478" t="s">
        <v>47</v>
      </c>
      <c r="G1478">
        <v>13.45</v>
      </c>
      <c r="H1478">
        <v>2.89</v>
      </c>
      <c r="I1478">
        <v>5.28</v>
      </c>
      <c r="J1478">
        <v>27.878399999999999</v>
      </c>
      <c r="K1478" t="str">
        <f>IFERROR(INDEX(Rosters!$C$2:$C$155,MATCH($B1478,Rosters!$B$2:$B$155,0)),"NA")</f>
        <v>cory</v>
      </c>
      <c r="L1478" t="str">
        <f t="shared" si="69"/>
        <v>cory15RB</v>
      </c>
      <c r="M1478">
        <f>COUNTIF(L$1:L1478,L1478)</f>
        <v>4</v>
      </c>
      <c r="N1478" t="str">
        <f t="shared" si="70"/>
        <v>cory15RB-4</v>
      </c>
      <c r="O1478">
        <f>COUNTIFS(F$1:F1478,F1478,A$1:A1478,A1478)</f>
        <v>26</v>
      </c>
      <c r="P1478" t="str">
        <f t="shared" si="71"/>
        <v>Bilal Powell15</v>
      </c>
    </row>
    <row r="1479" spans="1:16" x14ac:dyDescent="0.25">
      <c r="A1479">
        <v>1</v>
      </c>
      <c r="B1479" t="s">
        <v>149</v>
      </c>
      <c r="C1479" t="s">
        <v>1690</v>
      </c>
      <c r="D1479">
        <v>8.17</v>
      </c>
      <c r="E1479" t="s">
        <v>28</v>
      </c>
      <c r="F1479" t="s">
        <v>87</v>
      </c>
      <c r="G1479">
        <v>14.24</v>
      </c>
      <c r="H1479">
        <v>2.1</v>
      </c>
      <c r="I1479">
        <v>6.07</v>
      </c>
      <c r="J1479">
        <v>36.844900000000003</v>
      </c>
      <c r="K1479" t="str">
        <f>IFERROR(INDEX(Rosters!$C$2:$C$155,MATCH($B1479,Rosters!$B$2:$B$155,0)),"NA")</f>
        <v>comp</v>
      </c>
      <c r="L1479" t="str">
        <f t="shared" si="69"/>
        <v>comp1WR</v>
      </c>
      <c r="M1479">
        <f>COUNTIF(L$1:L1479,L1479)</f>
        <v>4</v>
      </c>
      <c r="N1479" t="str">
        <f t="shared" si="70"/>
        <v>comp1WR-4</v>
      </c>
      <c r="O1479">
        <f>COUNTIFS(F$1:F1479,F1479,A$1:A1479,A1479)</f>
        <v>26</v>
      </c>
      <c r="P1479" t="str">
        <f t="shared" si="71"/>
        <v>Emmanuel Sanders1</v>
      </c>
    </row>
    <row r="1480" spans="1:16" x14ac:dyDescent="0.25">
      <c r="A1480">
        <v>3</v>
      </c>
      <c r="B1480" t="s">
        <v>116</v>
      </c>
      <c r="C1480" t="s">
        <v>3685</v>
      </c>
      <c r="D1480">
        <v>8.17</v>
      </c>
      <c r="E1480" t="s">
        <v>42</v>
      </c>
      <c r="F1480" t="s">
        <v>87</v>
      </c>
      <c r="G1480">
        <v>13.59</v>
      </c>
      <c r="H1480">
        <v>2.75</v>
      </c>
      <c r="I1480">
        <v>5.42</v>
      </c>
      <c r="J1480">
        <v>29.3764</v>
      </c>
      <c r="K1480" t="str">
        <f>IFERROR(INDEX(Rosters!$C$2:$C$155,MATCH($B1480,Rosters!$B$2:$B$155,0)),"NA")</f>
        <v>aj</v>
      </c>
      <c r="L1480" t="str">
        <f t="shared" si="69"/>
        <v>aj3WR</v>
      </c>
      <c r="M1480">
        <f>COUNTIF(L$1:L1480,L1480)</f>
        <v>5</v>
      </c>
      <c r="N1480" t="str">
        <f t="shared" si="70"/>
        <v>aj3WR-5</v>
      </c>
      <c r="O1480">
        <f>COUNTIFS(F$1:F1480,F1480,A$1:A1480,A1480)</f>
        <v>29</v>
      </c>
      <c r="P1480" t="str">
        <f t="shared" si="71"/>
        <v>Michael Crabtree3</v>
      </c>
    </row>
    <row r="1481" spans="1:16" x14ac:dyDescent="0.25">
      <c r="A1481">
        <v>9</v>
      </c>
      <c r="B1481" t="s">
        <v>266</v>
      </c>
      <c r="C1481" t="s">
        <v>6769</v>
      </c>
      <c r="D1481">
        <v>8.17</v>
      </c>
      <c r="E1481" t="s">
        <v>42</v>
      </c>
      <c r="F1481" t="s">
        <v>87</v>
      </c>
      <c r="G1481">
        <v>14.69</v>
      </c>
      <c r="H1481">
        <v>1.65</v>
      </c>
      <c r="I1481">
        <v>6.52</v>
      </c>
      <c r="J1481">
        <v>42.510399999999997</v>
      </c>
      <c r="K1481" t="str">
        <f>IFERROR(INDEX(Rosters!$C$2:$C$155,MATCH($B1481,Rosters!$B$2:$B$155,0)),"NA")</f>
        <v>perry</v>
      </c>
      <c r="L1481" t="str">
        <f t="shared" si="69"/>
        <v>perry9WR</v>
      </c>
      <c r="M1481">
        <f>COUNTIF(L$1:L1481,L1481)</f>
        <v>3</v>
      </c>
      <c r="N1481" t="str">
        <f t="shared" si="70"/>
        <v>perry9WR-3</v>
      </c>
      <c r="O1481">
        <f>COUNTIFS(F$1:F1481,F1481,A$1:A1481,A1481)</f>
        <v>28</v>
      </c>
      <c r="P1481" t="str">
        <f t="shared" si="71"/>
        <v>Will Fuller V9</v>
      </c>
    </row>
    <row r="1482" spans="1:16" x14ac:dyDescent="0.25">
      <c r="A1482">
        <v>6</v>
      </c>
      <c r="B1482" t="s">
        <v>126</v>
      </c>
      <c r="C1482" t="s">
        <v>6770</v>
      </c>
      <c r="D1482">
        <v>8.16</v>
      </c>
      <c r="E1482" t="s">
        <v>54</v>
      </c>
      <c r="F1482" t="s">
        <v>87</v>
      </c>
      <c r="G1482">
        <v>14.41</v>
      </c>
      <c r="H1482">
        <v>1.91</v>
      </c>
      <c r="I1482">
        <v>6.25</v>
      </c>
      <c r="J1482">
        <v>39.0625</v>
      </c>
      <c r="K1482" t="str">
        <f>IFERROR(INDEX(Rosters!$C$2:$C$155,MATCH($B1482,Rosters!$B$2:$B$155,0)),"NA")</f>
        <v>devon</v>
      </c>
      <c r="L1482" t="str">
        <f t="shared" si="69"/>
        <v>devon6WR</v>
      </c>
      <c r="M1482">
        <f>COUNTIF(L$1:L1482,L1482)</f>
        <v>3</v>
      </c>
      <c r="N1482" t="str">
        <f t="shared" si="70"/>
        <v>devon6WR-3</v>
      </c>
      <c r="O1482">
        <f>COUNTIFS(F$1:F1482,F1482,A$1:A1482,A1482)</f>
        <v>27</v>
      </c>
      <c r="P1482" t="str">
        <f t="shared" si="71"/>
        <v>Alshon Jeffery6</v>
      </c>
    </row>
    <row r="1483" spans="1:16" x14ac:dyDescent="0.25">
      <c r="A1483">
        <v>5</v>
      </c>
      <c r="B1483" t="s">
        <v>195</v>
      </c>
      <c r="C1483" t="s">
        <v>6771</v>
      </c>
      <c r="D1483">
        <v>8.16</v>
      </c>
      <c r="E1483" t="s">
        <v>41</v>
      </c>
      <c r="F1483" t="s">
        <v>87</v>
      </c>
      <c r="G1483">
        <v>15.79</v>
      </c>
      <c r="H1483">
        <v>0.53</v>
      </c>
      <c r="I1483">
        <v>7.63</v>
      </c>
      <c r="J1483">
        <v>58.216900000000003</v>
      </c>
      <c r="K1483" t="str">
        <f>IFERROR(INDEX(Rosters!$C$2:$C$155,MATCH($B1483,Rosters!$B$2:$B$155,0)),"NA")</f>
        <v>scott</v>
      </c>
      <c r="L1483" t="str">
        <f t="shared" si="69"/>
        <v>scott5WR</v>
      </c>
      <c r="M1483">
        <f>COUNTIF(L$1:L1483,L1483)</f>
        <v>3</v>
      </c>
      <c r="N1483" t="str">
        <f t="shared" si="70"/>
        <v>scott5WR-3</v>
      </c>
      <c r="O1483">
        <f>COUNTIFS(F$1:F1483,F1483,A$1:A1483,A1483)</f>
        <v>29</v>
      </c>
      <c r="P1483" t="str">
        <f t="shared" si="71"/>
        <v>Kenny Golladay5</v>
      </c>
    </row>
    <row r="1484" spans="1:16" x14ac:dyDescent="0.25">
      <c r="A1484">
        <v>4</v>
      </c>
      <c r="B1484" t="s">
        <v>3533</v>
      </c>
      <c r="C1484" t="s">
        <v>4855</v>
      </c>
      <c r="D1484">
        <v>8.16</v>
      </c>
      <c r="E1484" t="s">
        <v>24</v>
      </c>
      <c r="F1484" t="s">
        <v>47</v>
      </c>
      <c r="G1484">
        <v>13.79</v>
      </c>
      <c r="H1484">
        <v>2.5299999999999998</v>
      </c>
      <c r="I1484">
        <v>5.63</v>
      </c>
      <c r="J1484">
        <v>31.696899999999999</v>
      </c>
      <c r="K1484" t="str">
        <f>IFERROR(INDEX(Rosters!$C$2:$C$155,MATCH($B1484,Rosters!$B$2:$B$155,0)),"NA")</f>
        <v>perry</v>
      </c>
      <c r="L1484" t="str">
        <f t="shared" si="69"/>
        <v>perry4RB</v>
      </c>
      <c r="M1484">
        <f>COUNTIF(L$1:L1484,L1484)</f>
        <v>3</v>
      </c>
      <c r="N1484" t="str">
        <f t="shared" si="70"/>
        <v>perry4RB-3</v>
      </c>
      <c r="O1484">
        <f>COUNTIFS(F$1:F1484,F1484,A$1:A1484,A1484)</f>
        <v>25</v>
      </c>
      <c r="P1484" t="str">
        <f t="shared" si="71"/>
        <v>Phillip Lindsay4</v>
      </c>
    </row>
    <row r="1485" spans="1:16" x14ac:dyDescent="0.25">
      <c r="A1485">
        <v>9</v>
      </c>
      <c r="B1485" t="s">
        <v>125</v>
      </c>
      <c r="C1485" t="s">
        <v>6772</v>
      </c>
      <c r="D1485">
        <v>8.16</v>
      </c>
      <c r="E1485" t="s">
        <v>52</v>
      </c>
      <c r="F1485" t="s">
        <v>87</v>
      </c>
      <c r="G1485">
        <v>12.72</v>
      </c>
      <c r="H1485">
        <v>3.6</v>
      </c>
      <c r="I1485">
        <v>4.5599999999999996</v>
      </c>
      <c r="J1485">
        <v>20.793600000000001</v>
      </c>
      <c r="K1485" t="str">
        <f>IFERROR(INDEX(Rosters!$C$2:$C$155,MATCH($B1485,Rosters!$B$2:$B$155,0)),"NA")</f>
        <v>scott</v>
      </c>
      <c r="L1485" t="str">
        <f t="shared" si="69"/>
        <v>scott9WR</v>
      </c>
      <c r="M1485">
        <f>COUNTIF(L$1:L1485,L1485)</f>
        <v>2</v>
      </c>
      <c r="N1485" t="str">
        <f t="shared" si="70"/>
        <v>scott9WR-2</v>
      </c>
      <c r="O1485">
        <f>COUNTIFS(F$1:F1485,F1485,A$1:A1485,A1485)</f>
        <v>29</v>
      </c>
      <c r="P1485" t="str">
        <f t="shared" si="71"/>
        <v>Sammy Watkins9</v>
      </c>
    </row>
    <row r="1486" spans="1:16" x14ac:dyDescent="0.25">
      <c r="A1486">
        <v>8</v>
      </c>
      <c r="B1486" t="s">
        <v>126</v>
      </c>
      <c r="C1486" t="s">
        <v>6773</v>
      </c>
      <c r="D1486">
        <v>8.15</v>
      </c>
      <c r="E1486" t="s">
        <v>76</v>
      </c>
      <c r="F1486" t="s">
        <v>87</v>
      </c>
      <c r="G1486">
        <v>16.07</v>
      </c>
      <c r="H1486">
        <v>0.23</v>
      </c>
      <c r="I1486">
        <v>7.92</v>
      </c>
      <c r="J1486">
        <v>62.726399999999998</v>
      </c>
      <c r="K1486" t="str">
        <f>IFERROR(INDEX(Rosters!$C$2:$C$155,MATCH($B1486,Rosters!$B$2:$B$155,0)),"NA")</f>
        <v>devon</v>
      </c>
      <c r="L1486" t="str">
        <f t="shared" si="69"/>
        <v>devon8WR</v>
      </c>
      <c r="M1486">
        <f>COUNTIF(L$1:L1486,L1486)</f>
        <v>4</v>
      </c>
      <c r="N1486" t="str">
        <f t="shared" si="70"/>
        <v>devon8WR-4</v>
      </c>
      <c r="O1486">
        <f>COUNTIFS(F$1:F1486,F1486,A$1:A1486,A1486)</f>
        <v>30</v>
      </c>
      <c r="P1486" t="str">
        <f t="shared" si="71"/>
        <v>Alshon Jeffery8</v>
      </c>
    </row>
    <row r="1487" spans="1:16" x14ac:dyDescent="0.25">
      <c r="A1487">
        <v>3</v>
      </c>
      <c r="B1487" t="s">
        <v>162</v>
      </c>
      <c r="C1487" t="s">
        <v>3686</v>
      </c>
      <c r="D1487">
        <v>8.15</v>
      </c>
      <c r="E1487" t="s">
        <v>60</v>
      </c>
      <c r="F1487" t="s">
        <v>114</v>
      </c>
      <c r="G1487">
        <v>14.14</v>
      </c>
      <c r="H1487">
        <v>2.16</v>
      </c>
      <c r="I1487">
        <v>5.99</v>
      </c>
      <c r="J1487">
        <v>35.880099999999999</v>
      </c>
      <c r="K1487" t="str">
        <f>IFERROR(INDEX(Rosters!$C$2:$C$155,MATCH($B1487,Rosters!$B$2:$B$155,0)),"NA")</f>
        <v>seth</v>
      </c>
      <c r="L1487" t="str">
        <f t="shared" si="69"/>
        <v>seth3TE</v>
      </c>
      <c r="M1487">
        <f>COUNTIF(L$1:L1487,L1487)</f>
        <v>1</v>
      </c>
      <c r="N1487" t="str">
        <f t="shared" si="70"/>
        <v>seth3TE-1</v>
      </c>
      <c r="O1487">
        <f>COUNTIFS(F$1:F1487,F1487,A$1:A1487,A1487)</f>
        <v>4</v>
      </c>
      <c r="P1487" t="str">
        <f t="shared" si="71"/>
        <v>Jimmy Graham3</v>
      </c>
    </row>
    <row r="1488" spans="1:16" x14ac:dyDescent="0.25">
      <c r="A1488">
        <v>4</v>
      </c>
      <c r="B1488" t="s">
        <v>1372</v>
      </c>
      <c r="C1488" t="s">
        <v>4479</v>
      </c>
      <c r="D1488">
        <v>8.15</v>
      </c>
      <c r="E1488" t="s">
        <v>76</v>
      </c>
      <c r="F1488" t="s">
        <v>87</v>
      </c>
      <c r="G1488">
        <v>14.67</v>
      </c>
      <c r="H1488">
        <v>1.63</v>
      </c>
      <c r="I1488">
        <v>6.52</v>
      </c>
      <c r="J1488">
        <v>42.510399999999997</v>
      </c>
      <c r="K1488" t="str">
        <f>IFERROR(INDEX(Rosters!$C$2:$C$155,MATCH($B1488,Rosters!$B$2:$B$155,0)),"NA")</f>
        <v>lucas</v>
      </c>
      <c r="L1488" t="str">
        <f t="shared" si="69"/>
        <v>lucas4WR</v>
      </c>
      <c r="M1488">
        <f>COUNTIF(L$1:L1488,L1488)</f>
        <v>1</v>
      </c>
      <c r="N1488" t="str">
        <f t="shared" si="70"/>
        <v>lucas4WR-1</v>
      </c>
      <c r="O1488">
        <f>COUNTIFS(F$1:F1488,F1488,A$1:A1488,A1488)</f>
        <v>29</v>
      </c>
      <c r="P1488" t="str">
        <f t="shared" si="71"/>
        <v>Quincy Enunwa4</v>
      </c>
    </row>
    <row r="1489" spans="1:16" x14ac:dyDescent="0.25">
      <c r="A1489">
        <v>6</v>
      </c>
      <c r="B1489" t="s">
        <v>185</v>
      </c>
      <c r="C1489" t="s">
        <v>6774</v>
      </c>
      <c r="D1489">
        <v>8.14</v>
      </c>
      <c r="E1489" t="s">
        <v>38</v>
      </c>
      <c r="F1489" t="s">
        <v>87</v>
      </c>
      <c r="G1489">
        <v>14.51</v>
      </c>
      <c r="H1489">
        <v>1.77</v>
      </c>
      <c r="I1489">
        <v>6.37</v>
      </c>
      <c r="J1489">
        <v>40.576900000000002</v>
      </c>
      <c r="K1489" t="str">
        <f>IFERROR(INDEX(Rosters!$C$2:$C$155,MATCH($B1489,Rosters!$B$2:$B$155,0)),"NA")</f>
        <v>scott</v>
      </c>
      <c r="L1489" t="str">
        <f t="shared" si="69"/>
        <v>scott6WR</v>
      </c>
      <c r="M1489">
        <f>COUNTIF(L$1:L1489,L1489)</f>
        <v>2</v>
      </c>
      <c r="N1489" t="str">
        <f t="shared" si="70"/>
        <v>scott6WR-2</v>
      </c>
      <c r="O1489">
        <f>COUNTIFS(F$1:F1489,F1489,A$1:A1489,A1489)</f>
        <v>28</v>
      </c>
      <c r="P1489" t="str">
        <f t="shared" si="71"/>
        <v>John Brown6</v>
      </c>
    </row>
    <row r="1490" spans="1:16" x14ac:dyDescent="0.25">
      <c r="A1490">
        <v>15</v>
      </c>
      <c r="B1490" t="s">
        <v>48</v>
      </c>
      <c r="C1490" t="s">
        <v>6775</v>
      </c>
      <c r="D1490">
        <v>8.14</v>
      </c>
      <c r="E1490" t="s">
        <v>423</v>
      </c>
      <c r="F1490" t="s">
        <v>47</v>
      </c>
      <c r="G1490">
        <v>13.65</v>
      </c>
      <c r="H1490">
        <v>2.63</v>
      </c>
      <c r="I1490">
        <v>5.51</v>
      </c>
      <c r="J1490">
        <v>30.360099999999999</v>
      </c>
      <c r="K1490" t="str">
        <f>IFERROR(INDEX(Rosters!$C$2:$C$155,MATCH($B1490,Rosters!$B$2:$B$155,0)),"NA")</f>
        <v>devon</v>
      </c>
      <c r="L1490" t="str">
        <f t="shared" si="69"/>
        <v>devon15RB</v>
      </c>
      <c r="M1490">
        <f>COUNTIF(L$1:L1490,L1490)</f>
        <v>4</v>
      </c>
      <c r="N1490" t="str">
        <f t="shared" si="70"/>
        <v>devon15RB-4</v>
      </c>
      <c r="O1490">
        <f>COUNTIFS(F$1:F1490,F1490,A$1:A1490,A1490)</f>
        <v>27</v>
      </c>
      <c r="P1490" t="str">
        <f t="shared" si="71"/>
        <v>Le'Veon Bell15</v>
      </c>
    </row>
    <row r="1491" spans="1:16" x14ac:dyDescent="0.25">
      <c r="A1491">
        <v>1</v>
      </c>
      <c r="B1491" t="s">
        <v>248</v>
      </c>
      <c r="C1491" t="s">
        <v>1347</v>
      </c>
      <c r="D1491">
        <v>8.14</v>
      </c>
      <c r="E1491" t="s">
        <v>32</v>
      </c>
      <c r="F1491" t="s">
        <v>87</v>
      </c>
      <c r="G1491">
        <v>13.62</v>
      </c>
      <c r="H1491">
        <v>2.66</v>
      </c>
      <c r="I1491">
        <v>5.48</v>
      </c>
      <c r="J1491">
        <v>30.0304</v>
      </c>
      <c r="K1491" t="str">
        <f>IFERROR(INDEX(Rosters!$C$2:$C$155,MATCH($B1491,Rosters!$B$2:$B$155,0)),"NA")</f>
        <v>matty</v>
      </c>
      <c r="L1491" t="str">
        <f t="shared" si="69"/>
        <v>matty1WR</v>
      </c>
      <c r="M1491">
        <f>COUNTIF(L$1:L1491,L1491)</f>
        <v>3</v>
      </c>
      <c r="N1491" t="str">
        <f t="shared" si="70"/>
        <v>matty1WR-3</v>
      </c>
      <c r="O1491">
        <f>COUNTIFS(F$1:F1491,F1491,A$1:A1491,A1491)</f>
        <v>27</v>
      </c>
      <c r="P1491" t="str">
        <f t="shared" si="71"/>
        <v>Robert Woods1</v>
      </c>
    </row>
    <row r="1492" spans="1:16" x14ac:dyDescent="0.25">
      <c r="A1492">
        <v>14</v>
      </c>
      <c r="B1492" t="s">
        <v>1373</v>
      </c>
      <c r="C1492" t="s">
        <v>6776</v>
      </c>
      <c r="D1492">
        <v>8.1300000000000008</v>
      </c>
      <c r="E1492" t="s">
        <v>31</v>
      </c>
      <c r="F1492" t="s">
        <v>47</v>
      </c>
      <c r="G1492">
        <v>14.32</v>
      </c>
      <c r="H1492">
        <v>1.94</v>
      </c>
      <c r="I1492">
        <v>6.19</v>
      </c>
      <c r="J1492">
        <v>38.316099999999999</v>
      </c>
      <c r="K1492" t="str">
        <f>IFERROR(INDEX(Rosters!$C$2:$C$155,MATCH($B1492,Rosters!$B$2:$B$155,0)),"NA")</f>
        <v>matty</v>
      </c>
      <c r="L1492" t="str">
        <f t="shared" si="69"/>
        <v>matty14RB</v>
      </c>
      <c r="M1492">
        <f>COUNTIF(L$1:L1492,L1492)</f>
        <v>4</v>
      </c>
      <c r="N1492" t="str">
        <f t="shared" si="70"/>
        <v>matty14RB-4</v>
      </c>
      <c r="O1492">
        <f>COUNTIFS(F$1:F1492,F1492,A$1:A1492,A1492)</f>
        <v>28</v>
      </c>
      <c r="P1492" t="str">
        <f t="shared" si="71"/>
        <v>Austin Ekeler14</v>
      </c>
    </row>
    <row r="1493" spans="1:16" x14ac:dyDescent="0.25">
      <c r="A1493">
        <v>11</v>
      </c>
      <c r="B1493" t="s">
        <v>202</v>
      </c>
      <c r="C1493" t="s">
        <v>6777</v>
      </c>
      <c r="D1493">
        <v>8.1300000000000008</v>
      </c>
      <c r="E1493" t="s">
        <v>36</v>
      </c>
      <c r="F1493" t="s">
        <v>47</v>
      </c>
      <c r="G1493">
        <v>13.78</v>
      </c>
      <c r="H1493">
        <v>2.48</v>
      </c>
      <c r="I1493">
        <v>5.65</v>
      </c>
      <c r="J1493">
        <v>31.922499999999999</v>
      </c>
      <c r="K1493" t="str">
        <f>IFERROR(INDEX(Rosters!$C$2:$C$155,MATCH($B1493,Rosters!$B$2:$B$155,0)),"NA")</f>
        <v>lucas</v>
      </c>
      <c r="L1493" t="str">
        <f t="shared" si="69"/>
        <v>lucas11RB</v>
      </c>
      <c r="M1493">
        <f>COUNTIF(L$1:L1493,L1493)</f>
        <v>3</v>
      </c>
      <c r="N1493" t="str">
        <f t="shared" si="70"/>
        <v>lucas11RB-3</v>
      </c>
      <c r="O1493">
        <f>COUNTIFS(F$1:F1493,F1493,A$1:A1493,A1493)</f>
        <v>23</v>
      </c>
      <c r="P1493" t="str">
        <f t="shared" si="71"/>
        <v>Chris Thompson11</v>
      </c>
    </row>
    <row r="1494" spans="1:16" x14ac:dyDescent="0.25">
      <c r="A1494">
        <v>6</v>
      </c>
      <c r="B1494" t="s">
        <v>81</v>
      </c>
      <c r="C1494" t="s">
        <v>6778</v>
      </c>
      <c r="D1494">
        <v>8.1300000000000008</v>
      </c>
      <c r="E1494" t="s">
        <v>36</v>
      </c>
      <c r="F1494" t="s">
        <v>47</v>
      </c>
      <c r="G1494">
        <v>13.57</v>
      </c>
      <c r="H1494">
        <v>2.69</v>
      </c>
      <c r="I1494">
        <v>5.44</v>
      </c>
      <c r="J1494">
        <v>29.593599999999999</v>
      </c>
      <c r="K1494" t="str">
        <f>IFERROR(INDEX(Rosters!$C$2:$C$155,MATCH($B1494,Rosters!$B$2:$B$155,0)),"NA")</f>
        <v>aj</v>
      </c>
      <c r="L1494" t="str">
        <f t="shared" si="69"/>
        <v>aj6RB</v>
      </c>
      <c r="M1494">
        <f>COUNTIF(L$1:L1494,L1494)</f>
        <v>5</v>
      </c>
      <c r="N1494" t="str">
        <f t="shared" si="70"/>
        <v>aj6RB-5</v>
      </c>
      <c r="O1494">
        <f>COUNTIFS(F$1:F1494,F1494,A$1:A1494,A1494)</f>
        <v>26</v>
      </c>
      <c r="P1494" t="str">
        <f t="shared" si="71"/>
        <v>LeSean McCoy6</v>
      </c>
    </row>
    <row r="1495" spans="1:16" x14ac:dyDescent="0.25">
      <c r="A1495">
        <v>12</v>
      </c>
      <c r="B1495" t="s">
        <v>266</v>
      </c>
      <c r="C1495" t="s">
        <v>6779</v>
      </c>
      <c r="D1495">
        <v>8.1300000000000008</v>
      </c>
      <c r="E1495" t="s">
        <v>38</v>
      </c>
      <c r="F1495" t="s">
        <v>87</v>
      </c>
      <c r="G1495">
        <v>14.03</v>
      </c>
      <c r="H1495">
        <v>2.23</v>
      </c>
      <c r="I1495">
        <v>5.9</v>
      </c>
      <c r="J1495">
        <v>34.81</v>
      </c>
      <c r="K1495" t="str">
        <f>IFERROR(INDEX(Rosters!$C$2:$C$155,MATCH($B1495,Rosters!$B$2:$B$155,0)),"NA")</f>
        <v>perry</v>
      </c>
      <c r="L1495" t="str">
        <f t="shared" si="69"/>
        <v>perry12WR</v>
      </c>
      <c r="M1495">
        <f>COUNTIF(L$1:L1495,L1495)</f>
        <v>2</v>
      </c>
      <c r="N1495" t="str">
        <f t="shared" si="70"/>
        <v>perry12WR-2</v>
      </c>
      <c r="O1495">
        <f>COUNTIFS(F$1:F1495,F1495,A$1:A1495,A1495)</f>
        <v>30</v>
      </c>
      <c r="P1495" t="str">
        <f t="shared" si="71"/>
        <v>Will Fuller V12</v>
      </c>
    </row>
    <row r="1496" spans="1:16" x14ac:dyDescent="0.25">
      <c r="A1496">
        <v>13</v>
      </c>
      <c r="B1496" t="s">
        <v>177</v>
      </c>
      <c r="C1496" t="s">
        <v>6780</v>
      </c>
      <c r="D1496">
        <v>8.1300000000000008</v>
      </c>
      <c r="E1496" t="s">
        <v>60</v>
      </c>
      <c r="F1496" t="s">
        <v>114</v>
      </c>
      <c r="G1496">
        <v>13.01</v>
      </c>
      <c r="H1496">
        <v>3.25</v>
      </c>
      <c r="I1496">
        <v>4.88</v>
      </c>
      <c r="J1496">
        <v>23.814399999999999</v>
      </c>
      <c r="K1496" t="str">
        <f>IFERROR(INDEX(Rosters!$C$2:$C$155,MATCH($B1496,Rosters!$B$2:$B$155,0)),"NA")</f>
        <v>perry</v>
      </c>
      <c r="L1496" t="str">
        <f t="shared" si="69"/>
        <v>perry13TE</v>
      </c>
      <c r="M1496">
        <f>COUNTIF(L$1:L1496,L1496)</f>
        <v>1</v>
      </c>
      <c r="N1496" t="str">
        <f t="shared" si="70"/>
        <v>perry13TE-1</v>
      </c>
      <c r="O1496">
        <f>COUNTIFS(F$1:F1496,F1496,A$1:A1496,A1496)</f>
        <v>4</v>
      </c>
      <c r="P1496" t="str">
        <f t="shared" si="71"/>
        <v>Zach Ertz13</v>
      </c>
    </row>
    <row r="1497" spans="1:16" x14ac:dyDescent="0.25">
      <c r="A1497">
        <v>12</v>
      </c>
      <c r="B1497" t="s">
        <v>796</v>
      </c>
      <c r="C1497" t="s">
        <v>6781</v>
      </c>
      <c r="D1497">
        <v>8.1199999999999992</v>
      </c>
      <c r="E1497" t="s">
        <v>32</v>
      </c>
      <c r="F1497" t="s">
        <v>47</v>
      </c>
      <c r="G1497">
        <v>13.63</v>
      </c>
      <c r="H1497">
        <v>2.61</v>
      </c>
      <c r="I1497">
        <v>5.51</v>
      </c>
      <c r="J1497">
        <v>30.360099999999999</v>
      </c>
      <c r="K1497" t="str">
        <f>IFERROR(INDEX(Rosters!$C$2:$C$155,MATCH($B1497,Rosters!$B$2:$B$155,0)),"NA")</f>
        <v>seth</v>
      </c>
      <c r="L1497" t="str">
        <f t="shared" si="69"/>
        <v>seth12RB</v>
      </c>
      <c r="M1497">
        <f>COUNTIF(L$1:L1497,L1497)</f>
        <v>3</v>
      </c>
      <c r="N1497" t="str">
        <f t="shared" si="70"/>
        <v>seth12RB-3</v>
      </c>
      <c r="O1497">
        <f>COUNTIFS(F$1:F1497,F1497,A$1:A1497,A1497)</f>
        <v>26</v>
      </c>
      <c r="P1497" t="str">
        <f t="shared" si="71"/>
        <v>Alex Collins12</v>
      </c>
    </row>
    <row r="1498" spans="1:16" x14ac:dyDescent="0.25">
      <c r="A1498">
        <v>15</v>
      </c>
      <c r="B1498" t="s">
        <v>1422</v>
      </c>
      <c r="C1498" t="s">
        <v>6782</v>
      </c>
      <c r="D1498">
        <v>8.1199999999999992</v>
      </c>
      <c r="E1498" t="s">
        <v>58</v>
      </c>
      <c r="F1498" t="s">
        <v>87</v>
      </c>
      <c r="G1498">
        <v>13.73</v>
      </c>
      <c r="H1498">
        <v>2.5099999999999998</v>
      </c>
      <c r="I1498">
        <v>5.61</v>
      </c>
      <c r="J1498">
        <v>31.472100000000001</v>
      </c>
      <c r="K1498" t="str">
        <f>IFERROR(INDEX(Rosters!$C$2:$C$155,MATCH($B1498,Rosters!$B$2:$B$155,0)),"NA")</f>
        <v>comp</v>
      </c>
      <c r="L1498" t="str">
        <f t="shared" si="69"/>
        <v>comp15WR</v>
      </c>
      <c r="M1498">
        <f>COUNTIF(L$1:L1498,L1498)</f>
        <v>5</v>
      </c>
      <c r="N1498" t="str">
        <f t="shared" si="70"/>
        <v>comp15WR-5</v>
      </c>
      <c r="O1498">
        <f>COUNTIFS(F$1:F1498,F1498,A$1:A1498,A1498)</f>
        <v>32</v>
      </c>
      <c r="P1498" t="str">
        <f t="shared" si="71"/>
        <v>Calvin Ridley15</v>
      </c>
    </row>
    <row r="1499" spans="1:16" x14ac:dyDescent="0.25">
      <c r="A1499">
        <v>12</v>
      </c>
      <c r="B1499" t="s">
        <v>166</v>
      </c>
      <c r="C1499" t="s">
        <v>6783</v>
      </c>
      <c r="D1499">
        <v>8.1199999999999992</v>
      </c>
      <c r="E1499" t="s">
        <v>25</v>
      </c>
      <c r="F1499" t="s">
        <v>87</v>
      </c>
      <c r="G1499">
        <v>14.14</v>
      </c>
      <c r="H1499">
        <v>2.1</v>
      </c>
      <c r="I1499">
        <v>6.02</v>
      </c>
      <c r="J1499">
        <v>36.240400000000001</v>
      </c>
      <c r="K1499" t="str">
        <f>IFERROR(INDEX(Rosters!$C$2:$C$155,MATCH($B1499,Rosters!$B$2:$B$155,0)),"NA")</f>
        <v>seth</v>
      </c>
      <c r="L1499" t="str">
        <f t="shared" si="69"/>
        <v>seth12WR</v>
      </c>
      <c r="M1499">
        <f>COUNTIF(L$1:L1499,L1499)</f>
        <v>4</v>
      </c>
      <c r="N1499" t="str">
        <f t="shared" si="70"/>
        <v>seth12WR-4</v>
      </c>
      <c r="O1499">
        <f>COUNTIFS(F$1:F1499,F1499,A$1:A1499,A1499)</f>
        <v>31</v>
      </c>
      <c r="P1499" t="str">
        <f t="shared" si="71"/>
        <v>Randall Cobb12</v>
      </c>
    </row>
    <row r="1500" spans="1:16" x14ac:dyDescent="0.25">
      <c r="A1500">
        <v>9</v>
      </c>
      <c r="B1500" t="s">
        <v>171</v>
      </c>
      <c r="C1500" t="s">
        <v>6784</v>
      </c>
      <c r="D1500">
        <v>8.11</v>
      </c>
      <c r="E1500" t="s">
        <v>22</v>
      </c>
      <c r="F1500" t="s">
        <v>87</v>
      </c>
      <c r="G1500">
        <v>15.42</v>
      </c>
      <c r="H1500">
        <v>0.8</v>
      </c>
      <c r="I1500">
        <v>7.31</v>
      </c>
      <c r="J1500">
        <v>53.436100000000003</v>
      </c>
      <c r="K1500" t="str">
        <f>IFERROR(INDEX(Rosters!$C$2:$C$155,MATCH($B1500,Rosters!$B$2:$B$155,0)),"NA")</f>
        <v>matty</v>
      </c>
      <c r="L1500" t="str">
        <f t="shared" si="69"/>
        <v>matty9WR</v>
      </c>
      <c r="M1500">
        <f>COUNTIF(L$1:L1500,L1500)</f>
        <v>4</v>
      </c>
      <c r="N1500" t="str">
        <f t="shared" si="70"/>
        <v>matty9WR-4</v>
      </c>
      <c r="O1500">
        <f>COUNTIFS(F$1:F1500,F1500,A$1:A1500,A1500)</f>
        <v>30</v>
      </c>
      <c r="P1500" t="str">
        <f t="shared" si="71"/>
        <v>Corey Davis9</v>
      </c>
    </row>
    <row r="1501" spans="1:16" x14ac:dyDescent="0.25">
      <c r="A1501">
        <v>1</v>
      </c>
      <c r="B1501" t="s">
        <v>1388</v>
      </c>
      <c r="C1501" t="s">
        <v>3187</v>
      </c>
      <c r="D1501">
        <v>8.11</v>
      </c>
      <c r="E1501" t="s">
        <v>31</v>
      </c>
      <c r="F1501" t="s">
        <v>47</v>
      </c>
      <c r="G1501">
        <v>14.15</v>
      </c>
      <c r="H1501">
        <v>2.0699999999999998</v>
      </c>
      <c r="I1501">
        <v>6.04</v>
      </c>
      <c r="J1501">
        <v>36.4816</v>
      </c>
      <c r="K1501" t="str">
        <f>IFERROR(INDEX(Rosters!$C$2:$C$155,MATCH($B1501,Rosters!$B$2:$B$155,0)),"NA")</f>
        <v>NA</v>
      </c>
      <c r="L1501" t="str">
        <f t="shared" si="69"/>
        <v>NA1RB</v>
      </c>
      <c r="M1501">
        <f>COUNTIF(L$1:L1501,L1501)</f>
        <v>2</v>
      </c>
      <c r="N1501" t="str">
        <f t="shared" si="70"/>
        <v>NA1RB-2</v>
      </c>
      <c r="O1501">
        <f>COUNTIFS(F$1:F1501,F1501,A$1:A1501,A1501)</f>
        <v>24</v>
      </c>
      <c r="P1501" t="str">
        <f t="shared" si="71"/>
        <v>Jordan Wilkins1</v>
      </c>
    </row>
    <row r="1502" spans="1:16" x14ac:dyDescent="0.25">
      <c r="A1502">
        <v>13</v>
      </c>
      <c r="B1502" t="s">
        <v>81</v>
      </c>
      <c r="C1502" t="s">
        <v>6785</v>
      </c>
      <c r="D1502">
        <v>8.11</v>
      </c>
      <c r="E1502" t="s">
        <v>19</v>
      </c>
      <c r="F1502" t="s">
        <v>47</v>
      </c>
      <c r="G1502">
        <v>14.45</v>
      </c>
      <c r="H1502">
        <v>1.77</v>
      </c>
      <c r="I1502">
        <v>6.34</v>
      </c>
      <c r="J1502">
        <v>40.195599999999999</v>
      </c>
      <c r="K1502" t="str">
        <f>IFERROR(INDEX(Rosters!$C$2:$C$155,MATCH($B1502,Rosters!$B$2:$B$155,0)),"NA")</f>
        <v>aj</v>
      </c>
      <c r="L1502" t="str">
        <f t="shared" si="69"/>
        <v>aj13RB</v>
      </c>
      <c r="M1502">
        <f>COUNTIF(L$1:L1502,L1502)</f>
        <v>4</v>
      </c>
      <c r="N1502" t="str">
        <f t="shared" si="70"/>
        <v>aj13RB-4</v>
      </c>
      <c r="O1502">
        <f>COUNTIFS(F$1:F1502,F1502,A$1:A1502,A1502)</f>
        <v>23</v>
      </c>
      <c r="P1502" t="str">
        <f t="shared" si="71"/>
        <v>LeSean McCoy13</v>
      </c>
    </row>
    <row r="1503" spans="1:16" x14ac:dyDescent="0.25">
      <c r="A1503">
        <v>13</v>
      </c>
      <c r="B1503" t="s">
        <v>116</v>
      </c>
      <c r="C1503" t="s">
        <v>6786</v>
      </c>
      <c r="D1503">
        <v>8.11</v>
      </c>
      <c r="E1503" t="s">
        <v>46</v>
      </c>
      <c r="F1503" t="s">
        <v>87</v>
      </c>
      <c r="G1503">
        <v>13.95</v>
      </c>
      <c r="H1503">
        <v>2.27</v>
      </c>
      <c r="I1503">
        <v>5.84</v>
      </c>
      <c r="J1503">
        <v>34.105600000000003</v>
      </c>
      <c r="K1503" t="str">
        <f>IFERROR(INDEX(Rosters!$C$2:$C$155,MATCH($B1503,Rosters!$B$2:$B$155,0)),"NA")</f>
        <v>aj</v>
      </c>
      <c r="L1503" t="str">
        <f t="shared" si="69"/>
        <v>aj13WR</v>
      </c>
      <c r="M1503">
        <f>COUNTIF(L$1:L1503,L1503)</f>
        <v>4</v>
      </c>
      <c r="N1503" t="str">
        <f t="shared" si="70"/>
        <v>aj13WR-4</v>
      </c>
      <c r="O1503">
        <f>COUNTIFS(F$1:F1503,F1503,A$1:A1503,A1503)</f>
        <v>34</v>
      </c>
      <c r="P1503" t="str">
        <f t="shared" si="71"/>
        <v>Michael Crabtree13</v>
      </c>
    </row>
    <row r="1504" spans="1:16" x14ac:dyDescent="0.25">
      <c r="A1504">
        <v>8</v>
      </c>
      <c r="B1504" t="s">
        <v>1346</v>
      </c>
      <c r="C1504" t="s">
        <v>6787</v>
      </c>
      <c r="D1504">
        <v>8.11</v>
      </c>
      <c r="E1504" t="s">
        <v>24</v>
      </c>
      <c r="F1504" t="s">
        <v>47</v>
      </c>
      <c r="G1504">
        <v>13.97</v>
      </c>
      <c r="H1504">
        <v>2.25</v>
      </c>
      <c r="I1504">
        <v>5.86</v>
      </c>
      <c r="J1504">
        <v>34.339599999999997</v>
      </c>
      <c r="K1504" t="str">
        <f>IFERROR(INDEX(Rosters!$C$2:$C$155,MATCH($B1504,Rosters!$B$2:$B$155,0)),"NA")</f>
        <v>comp</v>
      </c>
      <c r="L1504" t="str">
        <f t="shared" si="69"/>
        <v>comp8RB</v>
      </c>
      <c r="M1504">
        <f>COUNTIF(L$1:L1504,L1504)</f>
        <v>3</v>
      </c>
      <c r="N1504" t="str">
        <f t="shared" si="70"/>
        <v>comp8RB-3</v>
      </c>
      <c r="O1504">
        <f>COUNTIFS(F$1:F1504,F1504,A$1:A1504,A1504)</f>
        <v>20</v>
      </c>
      <c r="P1504" t="str">
        <f t="shared" si="71"/>
        <v>Royce Freeman8</v>
      </c>
    </row>
    <row r="1505" spans="1:16" x14ac:dyDescent="0.25">
      <c r="A1505">
        <v>2</v>
      </c>
      <c r="B1505" t="s">
        <v>796</v>
      </c>
      <c r="C1505" t="s">
        <v>1348</v>
      </c>
      <c r="D1505">
        <v>8.1</v>
      </c>
      <c r="E1505" t="s">
        <v>31</v>
      </c>
      <c r="F1505" t="s">
        <v>47</v>
      </c>
      <c r="G1505">
        <v>15.04</v>
      </c>
      <c r="H1505">
        <v>1.1599999999999999</v>
      </c>
      <c r="I1505">
        <v>6.94</v>
      </c>
      <c r="J1505">
        <v>48.163600000000002</v>
      </c>
      <c r="K1505" t="str">
        <f>IFERROR(INDEX(Rosters!$C$2:$C$155,MATCH($B1505,Rosters!$B$2:$B$155,0)),"NA")</f>
        <v>seth</v>
      </c>
      <c r="L1505" t="str">
        <f t="shared" si="69"/>
        <v>seth2RB</v>
      </c>
      <c r="M1505">
        <f>COUNTIF(L$1:L1505,L1505)</f>
        <v>3</v>
      </c>
      <c r="N1505" t="str">
        <f t="shared" si="70"/>
        <v>seth2RB-3</v>
      </c>
      <c r="O1505">
        <f>COUNTIFS(F$1:F1505,F1505,A$1:A1505,A1505)</f>
        <v>25</v>
      </c>
      <c r="P1505" t="str">
        <f t="shared" si="71"/>
        <v>Alex Collins2</v>
      </c>
    </row>
    <row r="1506" spans="1:16" x14ac:dyDescent="0.25">
      <c r="A1506">
        <v>11</v>
      </c>
      <c r="B1506" t="s">
        <v>103</v>
      </c>
      <c r="C1506" t="s">
        <v>6788</v>
      </c>
      <c r="D1506">
        <v>8.1</v>
      </c>
      <c r="E1506" t="s">
        <v>58</v>
      </c>
      <c r="F1506" t="s">
        <v>87</v>
      </c>
      <c r="G1506">
        <v>13.72</v>
      </c>
      <c r="H1506">
        <v>2.48</v>
      </c>
      <c r="I1506">
        <v>5.62</v>
      </c>
      <c r="J1506">
        <v>31.584399999999999</v>
      </c>
      <c r="K1506" t="str">
        <f>IFERROR(INDEX(Rosters!$C$2:$C$155,MATCH($B1506,Rosters!$B$2:$B$155,0)),"NA")</f>
        <v>comp</v>
      </c>
      <c r="L1506" t="str">
        <f t="shared" si="69"/>
        <v>comp11WR</v>
      </c>
      <c r="M1506">
        <f>COUNTIF(L$1:L1506,L1506)</f>
        <v>3</v>
      </c>
      <c r="N1506" t="str">
        <f t="shared" si="70"/>
        <v>comp11WR-3</v>
      </c>
      <c r="O1506">
        <f>COUNTIFS(F$1:F1506,F1506,A$1:A1506,A1506)</f>
        <v>30</v>
      </c>
      <c r="P1506" t="str">
        <f t="shared" si="71"/>
        <v>Amari Cooper11</v>
      </c>
    </row>
    <row r="1507" spans="1:16" x14ac:dyDescent="0.25">
      <c r="A1507">
        <v>12</v>
      </c>
      <c r="B1507" t="s">
        <v>139</v>
      </c>
      <c r="C1507" t="s">
        <v>6789</v>
      </c>
      <c r="D1507">
        <v>8.1</v>
      </c>
      <c r="E1507" t="s">
        <v>423</v>
      </c>
      <c r="F1507" t="s">
        <v>47</v>
      </c>
      <c r="G1507">
        <v>13.23</v>
      </c>
      <c r="H1507">
        <v>2.97</v>
      </c>
      <c r="I1507">
        <v>5.13</v>
      </c>
      <c r="J1507">
        <v>26.3169</v>
      </c>
      <c r="K1507" t="str">
        <f>IFERROR(INDEX(Rosters!$C$2:$C$155,MATCH($B1507,Rosters!$B$2:$B$155,0)),"NA")</f>
        <v>cory</v>
      </c>
      <c r="L1507" t="str">
        <f t="shared" si="69"/>
        <v>cory12RB</v>
      </c>
      <c r="M1507">
        <f>COUNTIF(L$1:L1507,L1507)</f>
        <v>3</v>
      </c>
      <c r="N1507" t="str">
        <f t="shared" si="70"/>
        <v>cory12RB-3</v>
      </c>
      <c r="O1507">
        <f>COUNTIFS(F$1:F1507,F1507,A$1:A1507,A1507)</f>
        <v>27</v>
      </c>
      <c r="P1507" t="str">
        <f t="shared" si="71"/>
        <v>Bilal Powell12</v>
      </c>
    </row>
    <row r="1508" spans="1:16" x14ac:dyDescent="0.25">
      <c r="A1508">
        <v>12</v>
      </c>
      <c r="B1508" t="s">
        <v>1158</v>
      </c>
      <c r="C1508" t="s">
        <v>6790</v>
      </c>
      <c r="D1508">
        <v>8.1</v>
      </c>
      <c r="E1508" t="s">
        <v>73</v>
      </c>
      <c r="F1508" t="s">
        <v>87</v>
      </c>
      <c r="G1508">
        <v>15.05</v>
      </c>
      <c r="H1508">
        <v>1.1499999999999999</v>
      </c>
      <c r="I1508">
        <v>6.95</v>
      </c>
      <c r="J1508">
        <v>48.302500000000002</v>
      </c>
      <c r="K1508" t="str">
        <f>IFERROR(INDEX(Rosters!$C$2:$C$155,MATCH($B1508,Rosters!$B$2:$B$155,0)),"NA")</f>
        <v>chad</v>
      </c>
      <c r="L1508" t="str">
        <f t="shared" si="69"/>
        <v>chad12WR</v>
      </c>
      <c r="M1508">
        <f>COUNTIF(L$1:L1508,L1508)</f>
        <v>5</v>
      </c>
      <c r="N1508" t="str">
        <f t="shared" si="70"/>
        <v>chad12WR-5</v>
      </c>
      <c r="O1508">
        <f>COUNTIFS(F$1:F1508,F1508,A$1:A1508,A1508)</f>
        <v>32</v>
      </c>
      <c r="P1508" t="str">
        <f t="shared" si="71"/>
        <v>Josh Gordon12</v>
      </c>
    </row>
    <row r="1509" spans="1:16" x14ac:dyDescent="0.25">
      <c r="A1509">
        <v>15</v>
      </c>
      <c r="B1509" t="s">
        <v>266</v>
      </c>
      <c r="C1509" t="s">
        <v>6791</v>
      </c>
      <c r="D1509">
        <v>8.1</v>
      </c>
      <c r="E1509" t="s">
        <v>73</v>
      </c>
      <c r="F1509" t="s">
        <v>87</v>
      </c>
      <c r="G1509">
        <v>14.47</v>
      </c>
      <c r="H1509">
        <v>1.73</v>
      </c>
      <c r="I1509">
        <v>6.37</v>
      </c>
      <c r="J1509">
        <v>40.576900000000002</v>
      </c>
      <c r="K1509" t="str">
        <f>IFERROR(INDEX(Rosters!$C$2:$C$155,MATCH($B1509,Rosters!$B$2:$B$155,0)),"NA")</f>
        <v>perry</v>
      </c>
      <c r="L1509" t="str">
        <f t="shared" si="69"/>
        <v>perry15WR</v>
      </c>
      <c r="M1509">
        <f>COUNTIF(L$1:L1509,L1509)</f>
        <v>3</v>
      </c>
      <c r="N1509" t="str">
        <f t="shared" si="70"/>
        <v>perry15WR-3</v>
      </c>
      <c r="O1509">
        <f>COUNTIFS(F$1:F1509,F1509,A$1:A1509,A1509)</f>
        <v>33</v>
      </c>
      <c r="P1509" t="str">
        <f t="shared" si="71"/>
        <v>Will Fuller V15</v>
      </c>
    </row>
    <row r="1510" spans="1:16" x14ac:dyDescent="0.25">
      <c r="A1510">
        <v>6</v>
      </c>
      <c r="B1510" t="s">
        <v>139</v>
      </c>
      <c r="C1510" t="s">
        <v>6792</v>
      </c>
      <c r="D1510">
        <v>8.09</v>
      </c>
      <c r="E1510" t="s">
        <v>66</v>
      </c>
      <c r="F1510" t="s">
        <v>47</v>
      </c>
      <c r="G1510">
        <v>13.22</v>
      </c>
      <c r="H1510">
        <v>2.96</v>
      </c>
      <c r="I1510">
        <v>5.13</v>
      </c>
      <c r="J1510">
        <v>26.3169</v>
      </c>
      <c r="K1510" t="str">
        <f>IFERROR(INDEX(Rosters!$C$2:$C$155,MATCH($B1510,Rosters!$B$2:$B$155,0)),"NA")</f>
        <v>cory</v>
      </c>
      <c r="L1510" t="str">
        <f t="shared" si="69"/>
        <v>cory6RB</v>
      </c>
      <c r="M1510">
        <f>COUNTIF(L$1:L1510,L1510)</f>
        <v>3</v>
      </c>
      <c r="N1510" t="str">
        <f t="shared" si="70"/>
        <v>cory6RB-3</v>
      </c>
      <c r="O1510">
        <f>COUNTIFS(F$1:F1510,F1510,A$1:A1510,A1510)</f>
        <v>27</v>
      </c>
      <c r="P1510" t="str">
        <f t="shared" si="71"/>
        <v>Bilal Powell6</v>
      </c>
    </row>
    <row r="1511" spans="1:16" x14ac:dyDescent="0.25">
      <c r="A1511">
        <v>13</v>
      </c>
      <c r="B1511" t="s">
        <v>1158</v>
      </c>
      <c r="C1511" t="s">
        <v>6793</v>
      </c>
      <c r="D1511">
        <v>8.08</v>
      </c>
      <c r="E1511" t="s">
        <v>25</v>
      </c>
      <c r="F1511" t="s">
        <v>87</v>
      </c>
      <c r="G1511">
        <v>15.09</v>
      </c>
      <c r="H1511">
        <v>1.07</v>
      </c>
      <c r="I1511">
        <v>7.01</v>
      </c>
      <c r="J1511">
        <v>49.140099999999997</v>
      </c>
      <c r="K1511" t="str">
        <f>IFERROR(INDEX(Rosters!$C$2:$C$155,MATCH($B1511,Rosters!$B$2:$B$155,0)),"NA")</f>
        <v>chad</v>
      </c>
      <c r="L1511" t="str">
        <f t="shared" si="69"/>
        <v>chad13WR</v>
      </c>
      <c r="M1511">
        <f>COUNTIF(L$1:L1511,L1511)</f>
        <v>5</v>
      </c>
      <c r="N1511" t="str">
        <f t="shared" si="70"/>
        <v>chad13WR-5</v>
      </c>
      <c r="O1511">
        <f>COUNTIFS(F$1:F1511,F1511,A$1:A1511,A1511)</f>
        <v>35</v>
      </c>
      <c r="P1511" t="str">
        <f t="shared" si="71"/>
        <v>Josh Gordon13</v>
      </c>
    </row>
    <row r="1512" spans="1:16" x14ac:dyDescent="0.25">
      <c r="A1512">
        <v>10</v>
      </c>
      <c r="B1512" t="s">
        <v>81</v>
      </c>
      <c r="C1512" t="s">
        <v>6794</v>
      </c>
      <c r="D1512">
        <v>8.08</v>
      </c>
      <c r="E1512" t="s">
        <v>73</v>
      </c>
      <c r="F1512" t="s">
        <v>47</v>
      </c>
      <c r="G1512">
        <v>14.23</v>
      </c>
      <c r="H1512">
        <v>1.93</v>
      </c>
      <c r="I1512">
        <v>6.15</v>
      </c>
      <c r="J1512">
        <v>37.822499999999998</v>
      </c>
      <c r="K1512" t="str">
        <f>IFERROR(INDEX(Rosters!$C$2:$C$155,MATCH($B1512,Rosters!$B$2:$B$155,0)),"NA")</f>
        <v>aj</v>
      </c>
      <c r="L1512" t="str">
        <f t="shared" si="69"/>
        <v>aj10RB</v>
      </c>
      <c r="M1512">
        <f>COUNTIF(L$1:L1512,L1512)</f>
        <v>3</v>
      </c>
      <c r="N1512" t="str">
        <f t="shared" si="70"/>
        <v>aj10RB-3</v>
      </c>
      <c r="O1512">
        <f>COUNTIFS(F$1:F1512,F1512,A$1:A1512,A1512)</f>
        <v>25</v>
      </c>
      <c r="P1512" t="str">
        <f t="shared" si="71"/>
        <v>LeSean McCoy10</v>
      </c>
    </row>
    <row r="1513" spans="1:16" x14ac:dyDescent="0.25">
      <c r="A1513">
        <v>3</v>
      </c>
      <c r="B1513" t="s">
        <v>355</v>
      </c>
      <c r="C1513" t="s">
        <v>3687</v>
      </c>
      <c r="D1513">
        <v>8.08</v>
      </c>
      <c r="E1513" t="s">
        <v>51</v>
      </c>
      <c r="F1513" t="s">
        <v>47</v>
      </c>
      <c r="G1513">
        <v>13.39</v>
      </c>
      <c r="H1513">
        <v>2.77</v>
      </c>
      <c r="I1513">
        <v>5.31</v>
      </c>
      <c r="J1513">
        <v>28.196100000000001</v>
      </c>
      <c r="K1513" t="str">
        <f>IFERROR(INDEX(Rosters!$C$2:$C$155,MATCH($B1513,Rosters!$B$2:$B$155,0)),"NA")</f>
        <v>devon</v>
      </c>
      <c r="L1513" t="str">
        <f t="shared" si="69"/>
        <v>devon3RB</v>
      </c>
      <c r="M1513">
        <f>COUNTIF(L$1:L1513,L1513)</f>
        <v>2</v>
      </c>
      <c r="N1513" t="str">
        <f t="shared" si="70"/>
        <v>devon3RB-2</v>
      </c>
      <c r="O1513">
        <f>COUNTIFS(F$1:F1513,F1513,A$1:A1513,A1513)</f>
        <v>29</v>
      </c>
      <c r="P1513" t="str">
        <f t="shared" si="71"/>
        <v>Peyton Barber3</v>
      </c>
    </row>
    <row r="1514" spans="1:16" x14ac:dyDescent="0.25">
      <c r="A1514">
        <v>4</v>
      </c>
      <c r="B1514" t="s">
        <v>127</v>
      </c>
      <c r="C1514" t="s">
        <v>4856</v>
      </c>
      <c r="D1514">
        <v>8.07</v>
      </c>
      <c r="E1514" t="s">
        <v>56</v>
      </c>
      <c r="F1514" t="s">
        <v>47</v>
      </c>
      <c r="G1514">
        <v>12.99</v>
      </c>
      <c r="H1514">
        <v>3.15</v>
      </c>
      <c r="I1514">
        <v>4.92</v>
      </c>
      <c r="J1514">
        <v>24.206399999999999</v>
      </c>
      <c r="K1514" t="str">
        <f>IFERROR(INDEX(Rosters!$C$2:$C$155,MATCH($B1514,Rosters!$B$2:$B$155,0)),"NA")</f>
        <v>aj</v>
      </c>
      <c r="L1514" t="str">
        <f t="shared" si="69"/>
        <v>aj4RB</v>
      </c>
      <c r="M1514">
        <f>COUNTIF(L$1:L1514,L1514)</f>
        <v>3</v>
      </c>
      <c r="N1514" t="str">
        <f t="shared" si="70"/>
        <v>aj4RB-3</v>
      </c>
      <c r="O1514">
        <f>COUNTIFS(F$1:F1514,F1514,A$1:A1514,A1514)</f>
        <v>26</v>
      </c>
      <c r="P1514" t="str">
        <f t="shared" si="71"/>
        <v>Dalvin Cook4</v>
      </c>
    </row>
    <row r="1515" spans="1:16" x14ac:dyDescent="0.25">
      <c r="A1515">
        <v>10</v>
      </c>
      <c r="B1515" t="s">
        <v>1330</v>
      </c>
      <c r="C1515" t="s">
        <v>6795</v>
      </c>
      <c r="D1515">
        <v>8.06</v>
      </c>
      <c r="E1515" t="s">
        <v>38</v>
      </c>
      <c r="F1515" t="s">
        <v>87</v>
      </c>
      <c r="G1515">
        <v>13.48</v>
      </c>
      <c r="H1515">
        <v>2.64</v>
      </c>
      <c r="I1515">
        <v>5.42</v>
      </c>
      <c r="J1515">
        <v>29.3764</v>
      </c>
      <c r="K1515" t="str">
        <f>IFERROR(INDEX(Rosters!$C$2:$C$155,MATCH($B1515,Rosters!$B$2:$B$155,0)),"NA")</f>
        <v>chad</v>
      </c>
      <c r="L1515" t="str">
        <f t="shared" si="69"/>
        <v>chad10WR</v>
      </c>
      <c r="M1515">
        <f>COUNTIF(L$1:L1515,L1515)</f>
        <v>6</v>
      </c>
      <c r="N1515" t="str">
        <f t="shared" si="70"/>
        <v>chad10WR-6</v>
      </c>
      <c r="O1515">
        <f>COUNTIFS(F$1:F1515,F1515,A$1:A1515,A1515)</f>
        <v>31</v>
      </c>
      <c r="P1515" t="str">
        <f t="shared" si="71"/>
        <v>Julian Edelman10</v>
      </c>
    </row>
    <row r="1516" spans="1:16" x14ac:dyDescent="0.25">
      <c r="A1516">
        <v>17</v>
      </c>
      <c r="B1516" t="s">
        <v>116</v>
      </c>
      <c r="C1516" t="s">
        <v>6796</v>
      </c>
      <c r="D1516">
        <v>8.06</v>
      </c>
      <c r="E1516" t="s">
        <v>52</v>
      </c>
      <c r="F1516" t="s">
        <v>87</v>
      </c>
      <c r="G1516">
        <v>14.1</v>
      </c>
      <c r="H1516">
        <v>2.02</v>
      </c>
      <c r="I1516">
        <v>6.04</v>
      </c>
      <c r="J1516">
        <v>36.4816</v>
      </c>
      <c r="K1516" t="str">
        <f>IFERROR(INDEX(Rosters!$C$2:$C$155,MATCH($B1516,Rosters!$B$2:$B$155,0)),"NA")</f>
        <v>aj</v>
      </c>
      <c r="L1516" t="str">
        <f t="shared" si="69"/>
        <v>aj17WR</v>
      </c>
      <c r="M1516">
        <f>COUNTIF(L$1:L1516,L1516)</f>
        <v>4</v>
      </c>
      <c r="N1516" t="str">
        <f t="shared" si="70"/>
        <v>aj17WR-4</v>
      </c>
      <c r="O1516">
        <f>COUNTIFS(F$1:F1516,F1516,A$1:A1516,A1516)</f>
        <v>29</v>
      </c>
      <c r="P1516" t="str">
        <f t="shared" si="71"/>
        <v>Michael Crabtree17</v>
      </c>
    </row>
    <row r="1517" spans="1:16" x14ac:dyDescent="0.25">
      <c r="A1517">
        <v>10</v>
      </c>
      <c r="B1517" t="s">
        <v>281</v>
      </c>
      <c r="C1517" t="s">
        <v>6797</v>
      </c>
      <c r="D1517">
        <v>8.0500000000000007</v>
      </c>
      <c r="E1517" t="s">
        <v>19</v>
      </c>
      <c r="F1517" t="s">
        <v>47</v>
      </c>
      <c r="G1517">
        <v>14.78</v>
      </c>
      <c r="H1517">
        <v>1.32</v>
      </c>
      <c r="I1517">
        <v>6.73</v>
      </c>
      <c r="J1517">
        <v>45.292900000000003</v>
      </c>
      <c r="K1517" t="str">
        <f>IFERROR(INDEX(Rosters!$C$2:$C$155,MATCH($B1517,Rosters!$B$2:$B$155,0)),"NA")</f>
        <v>aj</v>
      </c>
      <c r="L1517" t="str">
        <f t="shared" si="69"/>
        <v>aj10RB</v>
      </c>
      <c r="M1517">
        <f>COUNTIF(L$1:L1517,L1517)</f>
        <v>4</v>
      </c>
      <c r="N1517" t="str">
        <f t="shared" si="70"/>
        <v>aj10RB-4</v>
      </c>
      <c r="O1517">
        <f>COUNTIFS(F$1:F1517,F1517,A$1:A1517,A1517)</f>
        <v>26</v>
      </c>
      <c r="P1517" t="str">
        <f t="shared" si="71"/>
        <v>Aaron Jones10</v>
      </c>
    </row>
    <row r="1518" spans="1:16" x14ac:dyDescent="0.25">
      <c r="A1518">
        <v>5</v>
      </c>
      <c r="B1518" t="s">
        <v>139</v>
      </c>
      <c r="C1518" t="s">
        <v>6798</v>
      </c>
      <c r="D1518">
        <v>8.0500000000000007</v>
      </c>
      <c r="E1518" t="s">
        <v>42</v>
      </c>
      <c r="F1518" t="s">
        <v>47</v>
      </c>
      <c r="G1518">
        <v>13.79</v>
      </c>
      <c r="H1518">
        <v>2.31</v>
      </c>
      <c r="I1518">
        <v>5.74</v>
      </c>
      <c r="J1518">
        <v>32.947600000000001</v>
      </c>
      <c r="K1518" t="str">
        <f>IFERROR(INDEX(Rosters!$C$2:$C$155,MATCH($B1518,Rosters!$B$2:$B$155,0)),"NA")</f>
        <v>cory</v>
      </c>
      <c r="L1518" t="str">
        <f t="shared" si="69"/>
        <v>cory5RB</v>
      </c>
      <c r="M1518">
        <f>COUNTIF(L$1:L1518,L1518)</f>
        <v>4</v>
      </c>
      <c r="N1518" t="str">
        <f t="shared" si="70"/>
        <v>cory5RB-4</v>
      </c>
      <c r="O1518">
        <f>COUNTIFS(F$1:F1518,F1518,A$1:A1518,A1518)</f>
        <v>28</v>
      </c>
      <c r="P1518" t="str">
        <f t="shared" si="71"/>
        <v>Bilal Powell5</v>
      </c>
    </row>
    <row r="1519" spans="1:16" x14ac:dyDescent="0.25">
      <c r="A1519">
        <v>17</v>
      </c>
      <c r="B1519" t="s">
        <v>105</v>
      </c>
      <c r="C1519" t="s">
        <v>6799</v>
      </c>
      <c r="D1519">
        <v>8.0500000000000007</v>
      </c>
      <c r="E1519" t="s">
        <v>58</v>
      </c>
      <c r="F1519" t="s">
        <v>87</v>
      </c>
      <c r="G1519">
        <v>14.3</v>
      </c>
      <c r="H1519">
        <v>1.8</v>
      </c>
      <c r="I1519">
        <v>6.25</v>
      </c>
      <c r="J1519">
        <v>39.0625</v>
      </c>
      <c r="K1519" t="str">
        <f>IFERROR(INDEX(Rosters!$C$2:$C$155,MATCH($B1519,Rosters!$B$2:$B$155,0)),"NA")</f>
        <v>chad</v>
      </c>
      <c r="L1519" t="str">
        <f t="shared" si="69"/>
        <v>chad17WR</v>
      </c>
      <c r="M1519">
        <f>COUNTIF(L$1:L1519,L1519)</f>
        <v>4</v>
      </c>
      <c r="N1519" t="str">
        <f t="shared" si="70"/>
        <v>chad17WR-4</v>
      </c>
      <c r="O1519">
        <f>COUNTIFS(F$1:F1519,F1519,A$1:A1519,A1519)</f>
        <v>30</v>
      </c>
      <c r="P1519" t="str">
        <f t="shared" si="71"/>
        <v>Doug Baldwin17</v>
      </c>
    </row>
    <row r="1520" spans="1:16" x14ac:dyDescent="0.25">
      <c r="A1520">
        <v>5</v>
      </c>
      <c r="B1520" t="s">
        <v>228</v>
      </c>
      <c r="C1520" t="s">
        <v>6800</v>
      </c>
      <c r="D1520">
        <v>8.0500000000000007</v>
      </c>
      <c r="E1520" t="s">
        <v>58</v>
      </c>
      <c r="F1520" t="s">
        <v>47</v>
      </c>
      <c r="G1520">
        <v>14.05</v>
      </c>
      <c r="H1520">
        <v>2.0499999999999998</v>
      </c>
      <c r="I1520">
        <v>6</v>
      </c>
      <c r="J1520">
        <v>36</v>
      </c>
      <c r="K1520" t="str">
        <f>IFERROR(INDEX(Rosters!$C$2:$C$155,MATCH($B1520,Rosters!$B$2:$B$155,0)),"NA")</f>
        <v>perry</v>
      </c>
      <c r="L1520" t="str">
        <f t="shared" si="69"/>
        <v>perry5RB</v>
      </c>
      <c r="M1520">
        <f>COUNTIF(L$1:L1520,L1520)</f>
        <v>2</v>
      </c>
      <c r="N1520" t="str">
        <f t="shared" si="70"/>
        <v>perry5RB-2</v>
      </c>
      <c r="O1520">
        <f>COUNTIFS(F$1:F1520,F1520,A$1:A1520,A1520)</f>
        <v>29</v>
      </c>
      <c r="P1520" t="str">
        <f t="shared" si="71"/>
        <v>Matt Breida5</v>
      </c>
    </row>
    <row r="1521" spans="1:16" x14ac:dyDescent="0.25">
      <c r="A1521">
        <v>2</v>
      </c>
      <c r="B1521" t="s">
        <v>166</v>
      </c>
      <c r="C1521" t="s">
        <v>1691</v>
      </c>
      <c r="D1521">
        <v>8.0500000000000007</v>
      </c>
      <c r="E1521" t="s">
        <v>25</v>
      </c>
      <c r="F1521" t="s">
        <v>87</v>
      </c>
      <c r="G1521">
        <v>13.29</v>
      </c>
      <c r="H1521">
        <v>2.81</v>
      </c>
      <c r="I1521">
        <v>5.24</v>
      </c>
      <c r="J1521">
        <v>27.457599999999999</v>
      </c>
      <c r="K1521" t="str">
        <f>IFERROR(INDEX(Rosters!$C$2:$C$155,MATCH($B1521,Rosters!$B$2:$B$155,0)),"NA")</f>
        <v>seth</v>
      </c>
      <c r="L1521" t="str">
        <f t="shared" si="69"/>
        <v>seth2WR</v>
      </c>
      <c r="M1521">
        <f>COUNTIF(L$1:L1521,L1521)</f>
        <v>4</v>
      </c>
      <c r="N1521" t="str">
        <f t="shared" si="70"/>
        <v>seth2WR-4</v>
      </c>
      <c r="O1521">
        <f>COUNTIFS(F$1:F1521,F1521,A$1:A1521,A1521)</f>
        <v>30</v>
      </c>
      <c r="P1521" t="str">
        <f t="shared" si="71"/>
        <v>Randall Cobb2</v>
      </c>
    </row>
    <row r="1522" spans="1:16" x14ac:dyDescent="0.25">
      <c r="A1522">
        <v>5</v>
      </c>
      <c r="B1522" t="s">
        <v>221</v>
      </c>
      <c r="C1522" t="s">
        <v>6801</v>
      </c>
      <c r="D1522">
        <v>8.0500000000000007</v>
      </c>
      <c r="E1522" t="s">
        <v>19</v>
      </c>
      <c r="F1522" t="s">
        <v>87</v>
      </c>
      <c r="G1522">
        <v>12.5</v>
      </c>
      <c r="H1522">
        <v>3.6</v>
      </c>
      <c r="I1522">
        <v>4.45</v>
      </c>
      <c r="J1522">
        <v>19.802499999999998</v>
      </c>
      <c r="K1522" t="str">
        <f>IFERROR(INDEX(Rosters!$C$2:$C$155,MATCH($B1522,Rosters!$B$2:$B$155,0)),"NA")</f>
        <v>cory</v>
      </c>
      <c r="L1522" t="str">
        <f t="shared" si="69"/>
        <v>cory5WR</v>
      </c>
      <c r="M1522">
        <f>COUNTIF(L$1:L1522,L1522)</f>
        <v>4</v>
      </c>
      <c r="N1522" t="str">
        <f t="shared" si="70"/>
        <v>cory5WR-4</v>
      </c>
      <c r="O1522">
        <f>COUNTIFS(F$1:F1522,F1522,A$1:A1522,A1522)</f>
        <v>30</v>
      </c>
      <c r="P1522" t="str">
        <f t="shared" si="71"/>
        <v>Tyler Boyd5</v>
      </c>
    </row>
    <row r="1523" spans="1:16" x14ac:dyDescent="0.25">
      <c r="A1523">
        <v>17</v>
      </c>
      <c r="B1523" t="s">
        <v>281</v>
      </c>
      <c r="C1523" t="s">
        <v>6802</v>
      </c>
      <c r="D1523">
        <v>8.0399999999999991</v>
      </c>
      <c r="E1523" t="s">
        <v>34</v>
      </c>
      <c r="F1523" t="s">
        <v>47</v>
      </c>
      <c r="G1523">
        <v>15.79</v>
      </c>
      <c r="H1523">
        <v>0.28999999999999998</v>
      </c>
      <c r="I1523">
        <v>7.75</v>
      </c>
      <c r="J1523">
        <v>60.0625</v>
      </c>
      <c r="K1523" t="str">
        <f>IFERROR(INDEX(Rosters!$C$2:$C$155,MATCH($B1523,Rosters!$B$2:$B$155,0)),"NA")</f>
        <v>aj</v>
      </c>
      <c r="L1523" t="str">
        <f t="shared" si="69"/>
        <v>aj17RB</v>
      </c>
      <c r="M1523">
        <f>COUNTIF(L$1:L1523,L1523)</f>
        <v>5</v>
      </c>
      <c r="N1523" t="str">
        <f t="shared" si="70"/>
        <v>aj17RB-5</v>
      </c>
      <c r="O1523">
        <f>COUNTIFS(F$1:F1523,F1523,A$1:A1523,A1523)</f>
        <v>30</v>
      </c>
      <c r="P1523" t="str">
        <f t="shared" si="71"/>
        <v>Aaron Jones17</v>
      </c>
    </row>
    <row r="1524" spans="1:16" x14ac:dyDescent="0.25">
      <c r="A1524">
        <v>16</v>
      </c>
      <c r="B1524" t="s">
        <v>834</v>
      </c>
      <c r="C1524" t="s">
        <v>6803</v>
      </c>
      <c r="D1524">
        <v>8.0399999999999991</v>
      </c>
      <c r="E1524" t="s">
        <v>24</v>
      </c>
      <c r="F1524" t="s">
        <v>47</v>
      </c>
      <c r="G1524">
        <v>14.38</v>
      </c>
      <c r="H1524">
        <v>1.7</v>
      </c>
      <c r="I1524">
        <v>6.34</v>
      </c>
      <c r="J1524">
        <v>40.195599999999999</v>
      </c>
      <c r="K1524" t="str">
        <f>IFERROR(INDEX(Rosters!$C$2:$C$155,MATCH($B1524,Rosters!$B$2:$B$155,0)),"NA")</f>
        <v>lucas</v>
      </c>
      <c r="L1524" t="str">
        <f t="shared" si="69"/>
        <v>lucas16RB</v>
      </c>
      <c r="M1524">
        <f>COUNTIF(L$1:L1524,L1524)</f>
        <v>2</v>
      </c>
      <c r="N1524" t="str">
        <f t="shared" si="70"/>
        <v>lucas16RB-2</v>
      </c>
      <c r="O1524">
        <f>COUNTIFS(F$1:F1524,F1524,A$1:A1524,A1524)</f>
        <v>27</v>
      </c>
      <c r="P1524" t="str">
        <f t="shared" si="71"/>
        <v>Chris Carson16</v>
      </c>
    </row>
    <row r="1525" spans="1:16" x14ac:dyDescent="0.25">
      <c r="A1525">
        <v>2</v>
      </c>
      <c r="B1525" t="s">
        <v>207</v>
      </c>
      <c r="C1525" t="s">
        <v>3332</v>
      </c>
      <c r="D1525">
        <v>8.0399999999999991</v>
      </c>
      <c r="E1525" t="s">
        <v>36</v>
      </c>
      <c r="F1525" t="s">
        <v>47</v>
      </c>
      <c r="G1525">
        <v>13.78</v>
      </c>
      <c r="H1525">
        <v>2.2999999999999998</v>
      </c>
      <c r="I1525">
        <v>5.74</v>
      </c>
      <c r="J1525">
        <v>32.947600000000001</v>
      </c>
      <c r="K1525" t="str">
        <f>IFERROR(INDEX(Rosters!$C$2:$C$155,MATCH($B1525,Rosters!$B$2:$B$155,0)),"NA")</f>
        <v>chad</v>
      </c>
      <c r="L1525" t="str">
        <f t="shared" si="69"/>
        <v>chad2RB</v>
      </c>
      <c r="M1525">
        <f>COUNTIF(L$1:L1525,L1525)</f>
        <v>3</v>
      </c>
      <c r="N1525" t="str">
        <f t="shared" si="70"/>
        <v>chad2RB-3</v>
      </c>
      <c r="O1525">
        <f>COUNTIFS(F$1:F1525,F1525,A$1:A1525,A1525)</f>
        <v>26</v>
      </c>
      <c r="P1525" t="str">
        <f t="shared" si="71"/>
        <v>Dion Lewis2</v>
      </c>
    </row>
    <row r="1526" spans="1:16" x14ac:dyDescent="0.25">
      <c r="A1526">
        <v>8</v>
      </c>
      <c r="B1526" t="s">
        <v>1330</v>
      </c>
      <c r="C1526" t="s">
        <v>6804</v>
      </c>
      <c r="D1526">
        <v>8.0399999999999991</v>
      </c>
      <c r="E1526" t="s">
        <v>29</v>
      </c>
      <c r="F1526" t="s">
        <v>87</v>
      </c>
      <c r="G1526">
        <v>13.77</v>
      </c>
      <c r="H1526">
        <v>2.31</v>
      </c>
      <c r="I1526">
        <v>5.73</v>
      </c>
      <c r="J1526">
        <v>32.832900000000002</v>
      </c>
      <c r="K1526" t="str">
        <f>IFERROR(INDEX(Rosters!$C$2:$C$155,MATCH($B1526,Rosters!$B$2:$B$155,0)),"NA")</f>
        <v>chad</v>
      </c>
      <c r="L1526" t="str">
        <f t="shared" si="69"/>
        <v>chad8WR</v>
      </c>
      <c r="M1526">
        <f>COUNTIF(L$1:L1526,L1526)</f>
        <v>2</v>
      </c>
      <c r="N1526" t="str">
        <f t="shared" si="70"/>
        <v>chad8WR-2</v>
      </c>
      <c r="O1526">
        <f>COUNTIFS(F$1:F1526,F1526,A$1:A1526,A1526)</f>
        <v>31</v>
      </c>
      <c r="P1526" t="str">
        <f t="shared" si="71"/>
        <v>Julian Edelman8</v>
      </c>
    </row>
    <row r="1527" spans="1:16" x14ac:dyDescent="0.25">
      <c r="A1527">
        <v>3</v>
      </c>
      <c r="B1527" t="s">
        <v>171</v>
      </c>
      <c r="C1527" t="s">
        <v>3688</v>
      </c>
      <c r="D1527">
        <v>8.0299999999999994</v>
      </c>
      <c r="E1527" t="s">
        <v>76</v>
      </c>
      <c r="F1527" t="s">
        <v>87</v>
      </c>
      <c r="G1527">
        <v>15.66</v>
      </c>
      <c r="H1527">
        <v>0.4</v>
      </c>
      <c r="I1527">
        <v>7.63</v>
      </c>
      <c r="J1527">
        <v>58.216900000000003</v>
      </c>
      <c r="K1527" t="str">
        <f>IFERROR(INDEX(Rosters!$C$2:$C$155,MATCH($B1527,Rosters!$B$2:$B$155,0)),"NA")</f>
        <v>matty</v>
      </c>
      <c r="L1527" t="str">
        <f t="shared" si="69"/>
        <v>matty3WR</v>
      </c>
      <c r="M1527">
        <f>COUNTIF(L$1:L1527,L1527)</f>
        <v>3</v>
      </c>
      <c r="N1527" t="str">
        <f t="shared" si="70"/>
        <v>matty3WR-3</v>
      </c>
      <c r="O1527">
        <f>COUNTIFS(F$1:F1527,F1527,A$1:A1527,A1527)</f>
        <v>30</v>
      </c>
      <c r="P1527" t="str">
        <f t="shared" si="71"/>
        <v>Corey Davis3</v>
      </c>
    </row>
    <row r="1528" spans="1:16" x14ac:dyDescent="0.25">
      <c r="A1528">
        <v>12</v>
      </c>
      <c r="B1528" t="s">
        <v>193</v>
      </c>
      <c r="C1528" t="s">
        <v>6805</v>
      </c>
      <c r="D1528">
        <v>8.0299999999999994</v>
      </c>
      <c r="E1528" t="s">
        <v>73</v>
      </c>
      <c r="F1528" t="s">
        <v>47</v>
      </c>
      <c r="G1528">
        <v>12.27</v>
      </c>
      <c r="H1528">
        <v>3.79</v>
      </c>
      <c r="I1528">
        <v>4.24</v>
      </c>
      <c r="J1528">
        <v>17.977599999999999</v>
      </c>
      <c r="K1528" t="str">
        <f>IFERROR(INDEX(Rosters!$C$2:$C$155,MATCH($B1528,Rosters!$B$2:$B$155,0)),"NA")</f>
        <v>cory</v>
      </c>
      <c r="L1528" t="str">
        <f t="shared" si="69"/>
        <v>cory12RB</v>
      </c>
      <c r="M1528">
        <f>COUNTIF(L$1:L1528,L1528)</f>
        <v>4</v>
      </c>
      <c r="N1528" t="str">
        <f t="shared" si="70"/>
        <v>cory12RB-4</v>
      </c>
      <c r="O1528">
        <f>COUNTIFS(F$1:F1528,F1528,A$1:A1528,A1528)</f>
        <v>28</v>
      </c>
      <c r="P1528" t="str">
        <f t="shared" si="71"/>
        <v>James White12</v>
      </c>
    </row>
    <row r="1529" spans="1:16" x14ac:dyDescent="0.25">
      <c r="A1529">
        <v>7</v>
      </c>
      <c r="B1529" t="s">
        <v>1158</v>
      </c>
      <c r="C1529" t="s">
        <v>6806</v>
      </c>
      <c r="D1529">
        <v>8.0299999999999994</v>
      </c>
      <c r="E1529" t="s">
        <v>72</v>
      </c>
      <c r="F1529" t="s">
        <v>87</v>
      </c>
      <c r="G1529">
        <v>15.07</v>
      </c>
      <c r="H1529">
        <v>0.99</v>
      </c>
      <c r="I1529">
        <v>7.04</v>
      </c>
      <c r="J1529">
        <v>49.561599999999999</v>
      </c>
      <c r="K1529" t="str">
        <f>IFERROR(INDEX(Rosters!$C$2:$C$155,MATCH($B1529,Rosters!$B$2:$B$155,0)),"NA")</f>
        <v>chad</v>
      </c>
      <c r="L1529" t="str">
        <f t="shared" si="69"/>
        <v>chad7WR</v>
      </c>
      <c r="M1529">
        <f>COUNTIF(L$1:L1529,L1529)</f>
        <v>5</v>
      </c>
      <c r="N1529" t="str">
        <f t="shared" si="70"/>
        <v>chad7WR-5</v>
      </c>
      <c r="O1529">
        <f>COUNTIFS(F$1:F1529,F1529,A$1:A1529,A1529)</f>
        <v>29</v>
      </c>
      <c r="P1529" t="str">
        <f t="shared" si="71"/>
        <v>Josh Gordon7</v>
      </c>
    </row>
    <row r="1530" spans="1:16" x14ac:dyDescent="0.25">
      <c r="A1530">
        <v>8</v>
      </c>
      <c r="B1530" t="s">
        <v>1372</v>
      </c>
      <c r="C1530" t="s">
        <v>6807</v>
      </c>
      <c r="D1530">
        <v>8.0299999999999994</v>
      </c>
      <c r="E1530" t="s">
        <v>72</v>
      </c>
      <c r="F1530" t="s">
        <v>87</v>
      </c>
      <c r="G1530">
        <v>13.44</v>
      </c>
      <c r="H1530">
        <v>2.62</v>
      </c>
      <c r="I1530">
        <v>5.41</v>
      </c>
      <c r="J1530">
        <v>29.2681</v>
      </c>
      <c r="K1530" t="str">
        <f>IFERROR(INDEX(Rosters!$C$2:$C$155,MATCH($B1530,Rosters!$B$2:$B$155,0)),"NA")</f>
        <v>lucas</v>
      </c>
      <c r="L1530" t="str">
        <f t="shared" si="69"/>
        <v>lucas8WR</v>
      </c>
      <c r="M1530">
        <f>COUNTIF(L$1:L1530,L1530)</f>
        <v>2</v>
      </c>
      <c r="N1530" t="str">
        <f t="shared" si="70"/>
        <v>lucas8WR-2</v>
      </c>
      <c r="O1530">
        <f>COUNTIFS(F$1:F1530,F1530,A$1:A1530,A1530)</f>
        <v>32</v>
      </c>
      <c r="P1530" t="str">
        <f t="shared" si="71"/>
        <v>Quincy Enunwa8</v>
      </c>
    </row>
    <row r="1531" spans="1:16" x14ac:dyDescent="0.25">
      <c r="A1531">
        <v>4</v>
      </c>
      <c r="B1531" t="s">
        <v>256</v>
      </c>
      <c r="C1531" t="s">
        <v>4480</v>
      </c>
      <c r="D1531">
        <v>8.02</v>
      </c>
      <c r="E1531" t="s">
        <v>25</v>
      </c>
      <c r="F1531" t="s">
        <v>87</v>
      </c>
      <c r="G1531">
        <v>12.96</v>
      </c>
      <c r="H1531">
        <v>3.08</v>
      </c>
      <c r="I1531">
        <v>4.9400000000000004</v>
      </c>
      <c r="J1531">
        <v>24.403600000000001</v>
      </c>
      <c r="K1531" t="str">
        <f>IFERROR(INDEX(Rosters!$C$2:$C$155,MATCH($B1531,Rosters!$B$2:$B$155,0)),"NA")</f>
        <v>lucas</v>
      </c>
      <c r="L1531" t="str">
        <f t="shared" si="69"/>
        <v>lucas4WR</v>
      </c>
      <c r="M1531">
        <f>COUNTIF(L$1:L1531,L1531)</f>
        <v>2</v>
      </c>
      <c r="N1531" t="str">
        <f t="shared" si="70"/>
        <v>lucas4WR-2</v>
      </c>
      <c r="O1531">
        <f>COUNTIFS(F$1:F1531,F1531,A$1:A1531,A1531)</f>
        <v>30</v>
      </c>
      <c r="P1531" t="str">
        <f t="shared" si="71"/>
        <v>Cooper Kupp4</v>
      </c>
    </row>
    <row r="1532" spans="1:16" x14ac:dyDescent="0.25">
      <c r="A1532">
        <v>6</v>
      </c>
      <c r="B1532" t="s">
        <v>149</v>
      </c>
      <c r="C1532" t="s">
        <v>6808</v>
      </c>
      <c r="D1532">
        <v>8.02</v>
      </c>
      <c r="E1532" t="s">
        <v>56</v>
      </c>
      <c r="F1532" t="s">
        <v>87</v>
      </c>
      <c r="G1532">
        <v>13.41</v>
      </c>
      <c r="H1532">
        <v>2.63</v>
      </c>
      <c r="I1532">
        <v>5.39</v>
      </c>
      <c r="J1532">
        <v>29.052099999999999</v>
      </c>
      <c r="K1532" t="str">
        <f>IFERROR(INDEX(Rosters!$C$2:$C$155,MATCH($B1532,Rosters!$B$2:$B$155,0)),"NA")</f>
        <v>comp</v>
      </c>
      <c r="L1532" t="str">
        <f t="shared" si="69"/>
        <v>comp6WR</v>
      </c>
      <c r="M1532">
        <f>COUNTIF(L$1:L1532,L1532)</f>
        <v>4</v>
      </c>
      <c r="N1532" t="str">
        <f t="shared" si="70"/>
        <v>comp6WR-4</v>
      </c>
      <c r="O1532">
        <f>COUNTIFS(F$1:F1532,F1532,A$1:A1532,A1532)</f>
        <v>29</v>
      </c>
      <c r="P1532" t="str">
        <f t="shared" si="71"/>
        <v>Emmanuel Sanders6</v>
      </c>
    </row>
    <row r="1533" spans="1:16" x14ac:dyDescent="0.25">
      <c r="A1533">
        <v>17</v>
      </c>
      <c r="B1533" t="s">
        <v>1326</v>
      </c>
      <c r="C1533" t="s">
        <v>6809</v>
      </c>
      <c r="D1533">
        <v>8.02</v>
      </c>
      <c r="E1533" t="s">
        <v>41</v>
      </c>
      <c r="F1533" t="s">
        <v>47</v>
      </c>
      <c r="G1533">
        <v>14.68</v>
      </c>
      <c r="H1533">
        <v>1.36</v>
      </c>
      <c r="I1533">
        <v>6.66</v>
      </c>
      <c r="J1533">
        <v>44.355600000000003</v>
      </c>
      <c r="K1533" t="str">
        <f>IFERROR(INDEX(Rosters!$C$2:$C$155,MATCH($B1533,Rosters!$B$2:$B$155,0)),"NA")</f>
        <v>devon</v>
      </c>
      <c r="L1533" t="str">
        <f t="shared" si="69"/>
        <v>devon17RB</v>
      </c>
      <c r="M1533">
        <f>COUNTIF(L$1:L1533,L1533)</f>
        <v>5</v>
      </c>
      <c r="N1533" t="str">
        <f t="shared" si="70"/>
        <v>devon17RB-5</v>
      </c>
      <c r="O1533">
        <f>COUNTIFS(F$1:F1533,F1533,A$1:A1533,A1533)</f>
        <v>31</v>
      </c>
      <c r="P1533" t="str">
        <f t="shared" si="71"/>
        <v>Kerryon Johnson17</v>
      </c>
    </row>
    <row r="1534" spans="1:16" x14ac:dyDescent="0.25">
      <c r="A1534">
        <v>15</v>
      </c>
      <c r="B1534" t="s">
        <v>125</v>
      </c>
      <c r="C1534" t="s">
        <v>6810</v>
      </c>
      <c r="D1534">
        <v>8.02</v>
      </c>
      <c r="E1534" t="s">
        <v>37</v>
      </c>
      <c r="F1534" t="s">
        <v>87</v>
      </c>
      <c r="G1534">
        <v>12.98</v>
      </c>
      <c r="H1534">
        <v>3.06</v>
      </c>
      <c r="I1534">
        <v>4.96</v>
      </c>
      <c r="J1534">
        <v>24.601600000000001</v>
      </c>
      <c r="K1534" t="str">
        <f>IFERROR(INDEX(Rosters!$C$2:$C$155,MATCH($B1534,Rosters!$B$2:$B$155,0)),"NA")</f>
        <v>scott</v>
      </c>
      <c r="L1534" t="str">
        <f t="shared" si="69"/>
        <v>scott15WR</v>
      </c>
      <c r="M1534">
        <f>COUNTIF(L$1:L1534,L1534)</f>
        <v>3</v>
      </c>
      <c r="N1534" t="str">
        <f t="shared" si="70"/>
        <v>scott15WR-3</v>
      </c>
      <c r="O1534">
        <f>COUNTIFS(F$1:F1534,F1534,A$1:A1534,A1534)</f>
        <v>34</v>
      </c>
      <c r="P1534" t="str">
        <f t="shared" si="71"/>
        <v>Sammy Watkins15</v>
      </c>
    </row>
    <row r="1535" spans="1:16" x14ac:dyDescent="0.25">
      <c r="A1535">
        <v>4</v>
      </c>
      <c r="B1535" t="s">
        <v>180</v>
      </c>
      <c r="C1535" t="s">
        <v>4481</v>
      </c>
      <c r="D1535">
        <v>8.02</v>
      </c>
      <c r="E1535" t="s">
        <v>58</v>
      </c>
      <c r="F1535" t="s">
        <v>87</v>
      </c>
      <c r="G1535">
        <v>13.81</v>
      </c>
      <c r="H1535">
        <v>2.23</v>
      </c>
      <c r="I1535">
        <v>5.79</v>
      </c>
      <c r="J1535">
        <v>33.524099999999997</v>
      </c>
      <c r="K1535" t="str">
        <f>IFERROR(INDEX(Rosters!$C$2:$C$155,MATCH($B1535,Rosters!$B$2:$B$155,0)),"NA")</f>
        <v>NA</v>
      </c>
      <c r="L1535" t="str">
        <f t="shared" si="69"/>
        <v>NA4WR</v>
      </c>
      <c r="M1535">
        <f>COUNTIF(L$1:L1535,L1535)</f>
        <v>1</v>
      </c>
      <c r="N1535" t="str">
        <f t="shared" si="70"/>
        <v>NA4WR-1</v>
      </c>
      <c r="O1535">
        <f>COUNTIFS(F$1:F1535,F1535,A$1:A1535,A1535)</f>
        <v>31</v>
      </c>
      <c r="P1535" t="str">
        <f t="shared" si="71"/>
        <v>Tyler Lockett4</v>
      </c>
    </row>
    <row r="1536" spans="1:16" x14ac:dyDescent="0.25">
      <c r="A1536">
        <v>15</v>
      </c>
      <c r="B1536" t="s">
        <v>126</v>
      </c>
      <c r="C1536" t="s">
        <v>6811</v>
      </c>
      <c r="D1536">
        <v>8.01</v>
      </c>
      <c r="E1536" t="s">
        <v>56</v>
      </c>
      <c r="F1536" t="s">
        <v>87</v>
      </c>
      <c r="G1536">
        <v>13.7</v>
      </c>
      <c r="H1536">
        <v>2.3199999999999998</v>
      </c>
      <c r="I1536">
        <v>5.69</v>
      </c>
      <c r="J1536">
        <v>32.376100000000001</v>
      </c>
      <c r="K1536" t="str">
        <f>IFERROR(INDEX(Rosters!$C$2:$C$155,MATCH($B1536,Rosters!$B$2:$B$155,0)),"NA")</f>
        <v>devon</v>
      </c>
      <c r="L1536" t="str">
        <f t="shared" si="69"/>
        <v>devon15WR</v>
      </c>
      <c r="M1536">
        <f>COUNTIF(L$1:L1536,L1536)</f>
        <v>4</v>
      </c>
      <c r="N1536" t="str">
        <f t="shared" si="70"/>
        <v>devon15WR-4</v>
      </c>
      <c r="O1536">
        <f>COUNTIFS(F$1:F1536,F1536,A$1:A1536,A1536)</f>
        <v>35</v>
      </c>
      <c r="P1536" t="str">
        <f t="shared" si="71"/>
        <v>Alshon Jeffery15</v>
      </c>
    </row>
    <row r="1537" spans="1:16" x14ac:dyDescent="0.25">
      <c r="A1537">
        <v>10</v>
      </c>
      <c r="B1537" t="s">
        <v>139</v>
      </c>
      <c r="C1537" t="s">
        <v>6812</v>
      </c>
      <c r="D1537">
        <v>8.01</v>
      </c>
      <c r="E1537" t="s">
        <v>29</v>
      </c>
      <c r="F1537" t="s">
        <v>47</v>
      </c>
      <c r="G1537">
        <v>13.29</v>
      </c>
      <c r="H1537">
        <v>2.73</v>
      </c>
      <c r="I1537">
        <v>5.28</v>
      </c>
      <c r="J1537">
        <v>27.878399999999999</v>
      </c>
      <c r="K1537" t="str">
        <f>IFERROR(INDEX(Rosters!$C$2:$C$155,MATCH($B1537,Rosters!$B$2:$B$155,0)),"NA")</f>
        <v>cory</v>
      </c>
      <c r="L1537" t="str">
        <f t="shared" si="69"/>
        <v>cory10RB</v>
      </c>
      <c r="M1537">
        <f>COUNTIF(L$1:L1537,L1537)</f>
        <v>4</v>
      </c>
      <c r="N1537" t="str">
        <f t="shared" si="70"/>
        <v>cory10RB-4</v>
      </c>
      <c r="O1537">
        <f>COUNTIFS(F$1:F1537,F1537,A$1:A1537,A1537)</f>
        <v>27</v>
      </c>
      <c r="P1537" t="str">
        <f t="shared" si="71"/>
        <v>Bilal Powell10</v>
      </c>
    </row>
    <row r="1538" spans="1:16" x14ac:dyDescent="0.25">
      <c r="A1538">
        <v>6</v>
      </c>
      <c r="B1538" t="s">
        <v>98</v>
      </c>
      <c r="C1538" t="s">
        <v>6813</v>
      </c>
      <c r="D1538">
        <v>8</v>
      </c>
      <c r="E1538" t="s">
        <v>28</v>
      </c>
      <c r="F1538" t="s">
        <v>87</v>
      </c>
      <c r="G1538">
        <v>13.65</v>
      </c>
      <c r="H1538">
        <v>2.35</v>
      </c>
      <c r="I1538">
        <v>5.65</v>
      </c>
      <c r="J1538">
        <v>31.922499999999999</v>
      </c>
      <c r="K1538" t="str">
        <f>IFERROR(INDEX(Rosters!$C$2:$C$155,MATCH($B1538,Rosters!$B$2:$B$155,0)),"NA")</f>
        <v>seth</v>
      </c>
      <c r="L1538" t="str">
        <f t="shared" si="69"/>
        <v>seth6WR</v>
      </c>
      <c r="M1538">
        <f>COUNTIF(L$1:L1538,L1538)</f>
        <v>4</v>
      </c>
      <c r="N1538" t="str">
        <f t="shared" si="70"/>
        <v>seth6WR-4</v>
      </c>
      <c r="O1538">
        <f>COUNTIFS(F$1:F1538,F1538,A$1:A1538,A1538)</f>
        <v>30</v>
      </c>
      <c r="P1538" t="str">
        <f t="shared" si="71"/>
        <v>Jordy Nelson6</v>
      </c>
    </row>
    <row r="1539" spans="1:16" x14ac:dyDescent="0.25">
      <c r="A1539">
        <v>4</v>
      </c>
      <c r="B1539" t="s">
        <v>1326</v>
      </c>
      <c r="C1539" t="s">
        <v>4482</v>
      </c>
      <c r="D1539">
        <v>8</v>
      </c>
      <c r="E1539" t="s">
        <v>22</v>
      </c>
      <c r="F1539" t="s">
        <v>47</v>
      </c>
      <c r="G1539">
        <v>14.34</v>
      </c>
      <c r="H1539">
        <v>1.66</v>
      </c>
      <c r="I1539">
        <v>6.34</v>
      </c>
      <c r="J1539">
        <v>40.195599999999999</v>
      </c>
      <c r="K1539" t="str">
        <f>IFERROR(INDEX(Rosters!$C$2:$C$155,MATCH($B1539,Rosters!$B$2:$B$155,0)),"NA")</f>
        <v>devon</v>
      </c>
      <c r="L1539" t="str">
        <f t="shared" ref="L1539:L1602" si="72">K1539&amp;A1539&amp;F1539</f>
        <v>devon4RB</v>
      </c>
      <c r="M1539">
        <f>COUNTIF(L$1:L1539,L1539)</f>
        <v>2</v>
      </c>
      <c r="N1539" t="str">
        <f t="shared" ref="N1539:N1602" si="73">L1539&amp;"-"&amp;M1539</f>
        <v>devon4RB-2</v>
      </c>
      <c r="O1539">
        <f>COUNTIFS(F$1:F1539,F1539,A$1:A1539,A1539)</f>
        <v>27</v>
      </c>
      <c r="P1539" t="str">
        <f t="shared" ref="P1539:P1602" si="74">B1539&amp;A1539</f>
        <v>Kerryon Johnson4</v>
      </c>
    </row>
    <row r="1540" spans="1:16" x14ac:dyDescent="0.25">
      <c r="A1540">
        <v>13</v>
      </c>
      <c r="B1540" t="s">
        <v>207</v>
      </c>
      <c r="C1540" t="s">
        <v>6814</v>
      </c>
      <c r="D1540">
        <v>7.99</v>
      </c>
      <c r="E1540" t="s">
        <v>73</v>
      </c>
      <c r="F1540" t="s">
        <v>47</v>
      </c>
      <c r="G1540">
        <v>12.71</v>
      </c>
      <c r="H1540">
        <v>3.27</v>
      </c>
      <c r="I1540">
        <v>4.72</v>
      </c>
      <c r="J1540">
        <v>22.278400000000001</v>
      </c>
      <c r="K1540" t="str">
        <f>IFERROR(INDEX(Rosters!$C$2:$C$155,MATCH($B1540,Rosters!$B$2:$B$155,0)),"NA")</f>
        <v>chad</v>
      </c>
      <c r="L1540" t="str">
        <f t="shared" si="72"/>
        <v>chad13RB</v>
      </c>
      <c r="M1540">
        <f>COUNTIF(L$1:L1540,L1540)</f>
        <v>3</v>
      </c>
      <c r="N1540" t="str">
        <f t="shared" si="73"/>
        <v>chad13RB-3</v>
      </c>
      <c r="O1540">
        <f>COUNTIFS(F$1:F1540,F1540,A$1:A1540,A1540)</f>
        <v>24</v>
      </c>
      <c r="P1540" t="str">
        <f t="shared" si="74"/>
        <v>Dion Lewis13</v>
      </c>
    </row>
    <row r="1541" spans="1:16" x14ac:dyDescent="0.25">
      <c r="A1541">
        <v>15</v>
      </c>
      <c r="B1541" t="s">
        <v>1326</v>
      </c>
      <c r="C1541" t="s">
        <v>6815</v>
      </c>
      <c r="D1541">
        <v>7.99</v>
      </c>
      <c r="E1541" t="s">
        <v>29</v>
      </c>
      <c r="F1541" t="s">
        <v>47</v>
      </c>
      <c r="G1541">
        <v>13.96</v>
      </c>
      <c r="H1541">
        <v>2.02</v>
      </c>
      <c r="I1541">
        <v>5.97</v>
      </c>
      <c r="J1541">
        <v>35.640900000000002</v>
      </c>
      <c r="K1541" t="str">
        <f>IFERROR(INDEX(Rosters!$C$2:$C$155,MATCH($B1541,Rosters!$B$2:$B$155,0)),"NA")</f>
        <v>devon</v>
      </c>
      <c r="L1541" t="str">
        <f t="shared" si="72"/>
        <v>devon15RB</v>
      </c>
      <c r="M1541">
        <f>COUNTIF(L$1:L1541,L1541)</f>
        <v>5</v>
      </c>
      <c r="N1541" t="str">
        <f t="shared" si="73"/>
        <v>devon15RB-5</v>
      </c>
      <c r="O1541">
        <f>COUNTIFS(F$1:F1541,F1541,A$1:A1541,A1541)</f>
        <v>28</v>
      </c>
      <c r="P1541" t="str">
        <f t="shared" si="74"/>
        <v>Kerryon Johnson15</v>
      </c>
    </row>
    <row r="1542" spans="1:16" x14ac:dyDescent="0.25">
      <c r="A1542">
        <v>14</v>
      </c>
      <c r="B1542" t="s">
        <v>228</v>
      </c>
      <c r="C1542" t="s">
        <v>6816</v>
      </c>
      <c r="D1542">
        <v>7.99</v>
      </c>
      <c r="E1542" t="s">
        <v>42</v>
      </c>
      <c r="F1542" t="s">
        <v>47</v>
      </c>
      <c r="G1542">
        <v>13.58</v>
      </c>
      <c r="H1542">
        <v>2.4</v>
      </c>
      <c r="I1542">
        <v>5.59</v>
      </c>
      <c r="J1542">
        <v>31.248100000000001</v>
      </c>
      <c r="K1542" t="str">
        <f>IFERROR(INDEX(Rosters!$C$2:$C$155,MATCH($B1542,Rosters!$B$2:$B$155,0)),"NA")</f>
        <v>perry</v>
      </c>
      <c r="L1542" t="str">
        <f t="shared" si="72"/>
        <v>perry14RB</v>
      </c>
      <c r="M1542">
        <f>COUNTIF(L$1:L1542,L1542)</f>
        <v>3</v>
      </c>
      <c r="N1542" t="str">
        <f t="shared" si="73"/>
        <v>perry14RB-3</v>
      </c>
      <c r="O1542">
        <f>COUNTIFS(F$1:F1542,F1542,A$1:A1542,A1542)</f>
        <v>29</v>
      </c>
      <c r="P1542" t="str">
        <f t="shared" si="74"/>
        <v>Matt Breida14</v>
      </c>
    </row>
    <row r="1543" spans="1:16" x14ac:dyDescent="0.25">
      <c r="A1543">
        <v>17</v>
      </c>
      <c r="B1543" t="s">
        <v>266</v>
      </c>
      <c r="C1543" t="s">
        <v>6817</v>
      </c>
      <c r="D1543">
        <v>7.99</v>
      </c>
      <c r="E1543" t="s">
        <v>76</v>
      </c>
      <c r="F1543" t="s">
        <v>87</v>
      </c>
      <c r="G1543">
        <v>14.62</v>
      </c>
      <c r="H1543">
        <v>1.36</v>
      </c>
      <c r="I1543">
        <v>6.63</v>
      </c>
      <c r="J1543">
        <v>43.956899999999997</v>
      </c>
      <c r="K1543" t="str">
        <f>IFERROR(INDEX(Rosters!$C$2:$C$155,MATCH($B1543,Rosters!$B$2:$B$155,0)),"NA")</f>
        <v>perry</v>
      </c>
      <c r="L1543" t="str">
        <f t="shared" si="72"/>
        <v>perry17WR</v>
      </c>
      <c r="M1543">
        <f>COUNTIF(L$1:L1543,L1543)</f>
        <v>3</v>
      </c>
      <c r="N1543" t="str">
        <f t="shared" si="73"/>
        <v>perry17WR-3</v>
      </c>
      <c r="O1543">
        <f>COUNTIFS(F$1:F1543,F1543,A$1:A1543,A1543)</f>
        <v>31</v>
      </c>
      <c r="P1543" t="str">
        <f t="shared" si="74"/>
        <v>Will Fuller V17</v>
      </c>
    </row>
    <row r="1544" spans="1:16" x14ac:dyDescent="0.25">
      <c r="A1544">
        <v>8</v>
      </c>
      <c r="B1544" t="s">
        <v>1419</v>
      </c>
      <c r="C1544" t="s">
        <v>6818</v>
      </c>
      <c r="D1544">
        <v>7.98</v>
      </c>
      <c r="E1544" t="s">
        <v>51</v>
      </c>
      <c r="F1544" t="s">
        <v>87</v>
      </c>
      <c r="G1544">
        <v>14.47</v>
      </c>
      <c r="H1544">
        <v>1.49</v>
      </c>
      <c r="I1544">
        <v>6.49</v>
      </c>
      <c r="J1544">
        <v>42.120100000000001</v>
      </c>
      <c r="K1544" t="str">
        <f>IFERROR(INDEX(Rosters!$C$2:$C$155,MATCH($B1544,Rosters!$B$2:$B$155,0)),"NA")</f>
        <v>chad</v>
      </c>
      <c r="L1544" t="str">
        <f t="shared" si="72"/>
        <v>chad8WR</v>
      </c>
      <c r="M1544">
        <f>COUNTIF(L$1:L1544,L1544)</f>
        <v>3</v>
      </c>
      <c r="N1544" t="str">
        <f t="shared" si="73"/>
        <v>chad8WR-3</v>
      </c>
      <c r="O1544">
        <f>COUNTIFS(F$1:F1544,F1544,A$1:A1544,A1544)</f>
        <v>33</v>
      </c>
      <c r="P1544" t="str">
        <f t="shared" si="74"/>
        <v>Antonio Callaway8</v>
      </c>
    </row>
    <row r="1545" spans="1:16" x14ac:dyDescent="0.25">
      <c r="A1545">
        <v>2</v>
      </c>
      <c r="B1545" t="s">
        <v>834</v>
      </c>
      <c r="C1545" t="s">
        <v>1349</v>
      </c>
      <c r="D1545">
        <v>7.98</v>
      </c>
      <c r="E1545" t="s">
        <v>72</v>
      </c>
      <c r="F1545" t="s">
        <v>47</v>
      </c>
      <c r="G1545">
        <v>15.43</v>
      </c>
      <c r="H1545">
        <v>0.53</v>
      </c>
      <c r="I1545">
        <v>7.45</v>
      </c>
      <c r="J1545">
        <v>55.502499999999998</v>
      </c>
      <c r="K1545" t="str">
        <f>IFERROR(INDEX(Rosters!$C$2:$C$155,MATCH($B1545,Rosters!$B$2:$B$155,0)),"NA")</f>
        <v>lucas</v>
      </c>
      <c r="L1545" t="str">
        <f t="shared" si="72"/>
        <v>lucas2RB</v>
      </c>
      <c r="M1545">
        <f>COUNTIF(L$1:L1545,L1545)</f>
        <v>5</v>
      </c>
      <c r="N1545" t="str">
        <f t="shared" si="73"/>
        <v>lucas2RB-5</v>
      </c>
      <c r="O1545">
        <f>COUNTIFS(F$1:F1545,F1545,A$1:A1545,A1545)</f>
        <v>27</v>
      </c>
      <c r="P1545" t="str">
        <f t="shared" si="74"/>
        <v>Chris Carson2</v>
      </c>
    </row>
    <row r="1546" spans="1:16" x14ac:dyDescent="0.25">
      <c r="A1546">
        <v>4</v>
      </c>
      <c r="B1546" t="s">
        <v>162</v>
      </c>
      <c r="C1546" t="s">
        <v>5028</v>
      </c>
      <c r="D1546">
        <v>7.97</v>
      </c>
      <c r="E1546" t="s">
        <v>29</v>
      </c>
      <c r="F1546" t="s">
        <v>114</v>
      </c>
      <c r="G1546">
        <v>14.24</v>
      </c>
      <c r="H1546">
        <v>1.7</v>
      </c>
      <c r="I1546">
        <v>6.27</v>
      </c>
      <c r="J1546">
        <v>39.312899999999999</v>
      </c>
      <c r="K1546" t="str">
        <f>IFERROR(INDEX(Rosters!$C$2:$C$155,MATCH($B1546,Rosters!$B$2:$B$155,0)),"NA")</f>
        <v>seth</v>
      </c>
      <c r="L1546" t="str">
        <f t="shared" si="72"/>
        <v>seth4TE</v>
      </c>
      <c r="M1546">
        <f>COUNTIF(L$1:L1546,L1546)</f>
        <v>1</v>
      </c>
      <c r="N1546" t="str">
        <f t="shared" si="73"/>
        <v>seth4TE-1</v>
      </c>
      <c r="O1546">
        <f>COUNTIFS(F$1:F1546,F1546,A$1:A1546,A1546)</f>
        <v>4</v>
      </c>
      <c r="P1546" t="str">
        <f t="shared" si="74"/>
        <v>Jimmy Graham4</v>
      </c>
    </row>
    <row r="1547" spans="1:16" x14ac:dyDescent="0.25">
      <c r="A1547">
        <v>16</v>
      </c>
      <c r="B1547" t="s">
        <v>119</v>
      </c>
      <c r="C1547" t="s">
        <v>6819</v>
      </c>
      <c r="D1547">
        <v>7.96</v>
      </c>
      <c r="E1547" t="s">
        <v>30</v>
      </c>
      <c r="F1547" t="s">
        <v>87</v>
      </c>
      <c r="G1547">
        <v>13.85</v>
      </c>
      <c r="H1547">
        <v>2.0699999999999998</v>
      </c>
      <c r="I1547">
        <v>5.89</v>
      </c>
      <c r="J1547">
        <v>34.692100000000003</v>
      </c>
      <c r="K1547" t="str">
        <f>IFERROR(INDEX(Rosters!$C$2:$C$155,MATCH($B1547,Rosters!$B$2:$B$155,0)),"NA")</f>
        <v>lucas</v>
      </c>
      <c r="L1547" t="str">
        <f t="shared" si="72"/>
        <v>lucas16WR</v>
      </c>
      <c r="M1547">
        <f>COUNTIF(L$1:L1547,L1547)</f>
        <v>3</v>
      </c>
      <c r="N1547" t="str">
        <f t="shared" si="73"/>
        <v>lucas16WR-3</v>
      </c>
      <c r="O1547">
        <f>COUNTIFS(F$1:F1547,F1547,A$1:A1547,A1547)</f>
        <v>35</v>
      </c>
      <c r="P1547" t="str">
        <f t="shared" si="74"/>
        <v>Allen Robinson16</v>
      </c>
    </row>
    <row r="1548" spans="1:16" x14ac:dyDescent="0.25">
      <c r="A1548">
        <v>16</v>
      </c>
      <c r="B1548" t="s">
        <v>139</v>
      </c>
      <c r="C1548" t="s">
        <v>6820</v>
      </c>
      <c r="D1548">
        <v>7.96</v>
      </c>
      <c r="E1548" t="s">
        <v>41</v>
      </c>
      <c r="F1548" t="s">
        <v>47</v>
      </c>
      <c r="G1548">
        <v>12.97</v>
      </c>
      <c r="H1548">
        <v>2.95</v>
      </c>
      <c r="I1548">
        <v>5.01</v>
      </c>
      <c r="J1548">
        <v>25.100100000000001</v>
      </c>
      <c r="K1548" t="str">
        <f>IFERROR(INDEX(Rosters!$C$2:$C$155,MATCH($B1548,Rosters!$B$2:$B$155,0)),"NA")</f>
        <v>cory</v>
      </c>
      <c r="L1548" t="str">
        <f t="shared" si="72"/>
        <v>cory16RB</v>
      </c>
      <c r="M1548">
        <f>COUNTIF(L$1:L1548,L1548)</f>
        <v>4</v>
      </c>
      <c r="N1548" t="str">
        <f t="shared" si="73"/>
        <v>cory16RB-4</v>
      </c>
      <c r="O1548">
        <f>COUNTIFS(F$1:F1548,F1548,A$1:A1548,A1548)</f>
        <v>28</v>
      </c>
      <c r="P1548" t="str">
        <f t="shared" si="74"/>
        <v>Bilal Powell16</v>
      </c>
    </row>
    <row r="1549" spans="1:16" x14ac:dyDescent="0.25">
      <c r="A1549">
        <v>7</v>
      </c>
      <c r="B1549" t="s">
        <v>3533</v>
      </c>
      <c r="C1549" t="s">
        <v>6821</v>
      </c>
      <c r="D1549">
        <v>7.96</v>
      </c>
      <c r="E1549" t="s">
        <v>58</v>
      </c>
      <c r="F1549" t="s">
        <v>47</v>
      </c>
      <c r="G1549">
        <v>14.21</v>
      </c>
      <c r="H1549">
        <v>1.71</v>
      </c>
      <c r="I1549">
        <v>6.25</v>
      </c>
      <c r="J1549">
        <v>39.0625</v>
      </c>
      <c r="K1549" t="str">
        <f>IFERROR(INDEX(Rosters!$C$2:$C$155,MATCH($B1549,Rosters!$B$2:$B$155,0)),"NA")</f>
        <v>perry</v>
      </c>
      <c r="L1549" t="str">
        <f t="shared" si="72"/>
        <v>perry7RB</v>
      </c>
      <c r="M1549">
        <f>COUNTIF(L$1:L1549,L1549)</f>
        <v>3</v>
      </c>
      <c r="N1549" t="str">
        <f t="shared" si="73"/>
        <v>perry7RB-3</v>
      </c>
      <c r="O1549">
        <f>COUNTIFS(F$1:F1549,F1549,A$1:A1549,A1549)</f>
        <v>26</v>
      </c>
      <c r="P1549" t="str">
        <f t="shared" si="74"/>
        <v>Phillip Lindsay7</v>
      </c>
    </row>
    <row r="1550" spans="1:16" x14ac:dyDescent="0.25">
      <c r="A1550">
        <v>10</v>
      </c>
      <c r="B1550" t="s">
        <v>125</v>
      </c>
      <c r="C1550" t="s">
        <v>6822</v>
      </c>
      <c r="D1550">
        <v>7.96</v>
      </c>
      <c r="E1550" t="s">
        <v>58</v>
      </c>
      <c r="F1550" t="s">
        <v>87</v>
      </c>
      <c r="G1550">
        <v>13.64</v>
      </c>
      <c r="H1550">
        <v>2.2799999999999998</v>
      </c>
      <c r="I1550">
        <v>5.68</v>
      </c>
      <c r="J1550">
        <v>32.2624</v>
      </c>
      <c r="K1550" t="str">
        <f>IFERROR(INDEX(Rosters!$C$2:$C$155,MATCH($B1550,Rosters!$B$2:$B$155,0)),"NA")</f>
        <v>scott</v>
      </c>
      <c r="L1550" t="str">
        <f t="shared" si="72"/>
        <v>scott10WR</v>
      </c>
      <c r="M1550">
        <f>COUNTIF(L$1:L1550,L1550)</f>
        <v>2</v>
      </c>
      <c r="N1550" t="str">
        <f t="shared" si="73"/>
        <v>scott10WR-2</v>
      </c>
      <c r="O1550">
        <f>COUNTIFS(F$1:F1550,F1550,A$1:A1550,A1550)</f>
        <v>32</v>
      </c>
      <c r="P1550" t="str">
        <f t="shared" si="74"/>
        <v>Sammy Watkins10</v>
      </c>
    </row>
    <row r="1551" spans="1:16" x14ac:dyDescent="0.25">
      <c r="A1551">
        <v>11</v>
      </c>
      <c r="B1551" t="s">
        <v>192</v>
      </c>
      <c r="C1551" t="s">
        <v>6823</v>
      </c>
      <c r="D1551">
        <v>7.96</v>
      </c>
      <c r="E1551" t="s">
        <v>17</v>
      </c>
      <c r="F1551" t="s">
        <v>87</v>
      </c>
      <c r="G1551">
        <v>13.3</v>
      </c>
      <c r="H1551">
        <v>2.62</v>
      </c>
      <c r="I1551">
        <v>5.34</v>
      </c>
      <c r="J1551">
        <v>28.515599999999999</v>
      </c>
      <c r="K1551" t="str">
        <f>IFERROR(INDEX(Rosters!$C$2:$C$155,MATCH($B1551,Rosters!$B$2:$B$155,0)),"NA")</f>
        <v>cory</v>
      </c>
      <c r="L1551" t="str">
        <f t="shared" si="72"/>
        <v>cory11WR</v>
      </c>
      <c r="M1551">
        <f>COUNTIF(L$1:L1551,L1551)</f>
        <v>4</v>
      </c>
      <c r="N1551" t="str">
        <f t="shared" si="73"/>
        <v>cory11WR-4</v>
      </c>
      <c r="O1551">
        <f>COUNTIFS(F$1:F1551,F1551,A$1:A1551,A1551)</f>
        <v>31</v>
      </c>
      <c r="P1551" t="str">
        <f t="shared" si="74"/>
        <v>Sterling Shepard11</v>
      </c>
    </row>
    <row r="1552" spans="1:16" x14ac:dyDescent="0.25">
      <c r="A1552">
        <v>13</v>
      </c>
      <c r="B1552" t="s">
        <v>221</v>
      </c>
      <c r="C1552" t="s">
        <v>6824</v>
      </c>
      <c r="D1552">
        <v>7.96</v>
      </c>
      <c r="E1552" t="s">
        <v>42</v>
      </c>
      <c r="F1552" t="s">
        <v>87</v>
      </c>
      <c r="G1552">
        <v>12.04</v>
      </c>
      <c r="H1552">
        <v>3.88</v>
      </c>
      <c r="I1552">
        <v>4.08</v>
      </c>
      <c r="J1552">
        <v>16.6464</v>
      </c>
      <c r="K1552" t="str">
        <f>IFERROR(INDEX(Rosters!$C$2:$C$155,MATCH($B1552,Rosters!$B$2:$B$155,0)),"NA")</f>
        <v>cory</v>
      </c>
      <c r="L1552" t="str">
        <f t="shared" si="72"/>
        <v>cory13WR</v>
      </c>
      <c r="M1552">
        <f>COUNTIF(L$1:L1552,L1552)</f>
        <v>4</v>
      </c>
      <c r="N1552" t="str">
        <f t="shared" si="73"/>
        <v>cory13WR-4</v>
      </c>
      <c r="O1552">
        <f>COUNTIFS(F$1:F1552,F1552,A$1:A1552,A1552)</f>
        <v>36</v>
      </c>
      <c r="P1552" t="str">
        <f t="shared" si="74"/>
        <v>Tyler Boyd13</v>
      </c>
    </row>
    <row r="1553" spans="1:16" x14ac:dyDescent="0.25">
      <c r="A1553">
        <v>8</v>
      </c>
      <c r="B1553" t="s">
        <v>251</v>
      </c>
      <c r="C1553" t="s">
        <v>6825</v>
      </c>
      <c r="D1553">
        <v>7.95</v>
      </c>
      <c r="E1553" t="s">
        <v>77</v>
      </c>
      <c r="F1553" t="s">
        <v>87</v>
      </c>
      <c r="G1553">
        <v>14.13</v>
      </c>
      <c r="H1553">
        <v>1.77</v>
      </c>
      <c r="I1553">
        <v>6.18</v>
      </c>
      <c r="J1553">
        <v>38.192399999999999</v>
      </c>
      <c r="K1553" t="str">
        <f>IFERROR(INDEX(Rosters!$C$2:$C$155,MATCH($B1553,Rosters!$B$2:$B$155,0)),"NA")</f>
        <v>chad</v>
      </c>
      <c r="L1553" t="str">
        <f t="shared" si="72"/>
        <v>chad8WR</v>
      </c>
      <c r="M1553">
        <f>COUNTIF(L$1:L1553,L1553)</f>
        <v>4</v>
      </c>
      <c r="N1553" t="str">
        <f t="shared" si="73"/>
        <v>chad8WR-4</v>
      </c>
      <c r="O1553">
        <f>COUNTIFS(F$1:F1553,F1553,A$1:A1553,A1553)</f>
        <v>34</v>
      </c>
      <c r="P1553" t="str">
        <f t="shared" si="74"/>
        <v>Devin Funchess8</v>
      </c>
    </row>
    <row r="1554" spans="1:16" x14ac:dyDescent="0.25">
      <c r="A1554">
        <v>8</v>
      </c>
      <c r="B1554" t="s">
        <v>118</v>
      </c>
      <c r="C1554" t="s">
        <v>6826</v>
      </c>
      <c r="D1554">
        <v>7.95</v>
      </c>
      <c r="E1554" t="s">
        <v>54</v>
      </c>
      <c r="F1554" t="s">
        <v>114</v>
      </c>
      <c r="G1554">
        <v>15.39</v>
      </c>
      <c r="H1554">
        <v>0.51</v>
      </c>
      <c r="I1554">
        <v>7.44</v>
      </c>
      <c r="J1554">
        <v>55.3536</v>
      </c>
      <c r="K1554" t="str">
        <f>IFERROR(INDEX(Rosters!$C$2:$C$155,MATCH($B1554,Rosters!$B$2:$B$155,0)),"NA")</f>
        <v>matty</v>
      </c>
      <c r="L1554" t="str">
        <f t="shared" si="72"/>
        <v>matty8TE</v>
      </c>
      <c r="M1554">
        <f>COUNTIF(L$1:L1554,L1554)</f>
        <v>1</v>
      </c>
      <c r="N1554" t="str">
        <f t="shared" si="73"/>
        <v>matty8TE-1</v>
      </c>
      <c r="O1554">
        <f>COUNTIFS(F$1:F1554,F1554,A$1:A1554,A1554)</f>
        <v>3</v>
      </c>
      <c r="P1554" t="str">
        <f t="shared" si="74"/>
        <v>Jordan Reed8</v>
      </c>
    </row>
    <row r="1555" spans="1:16" x14ac:dyDescent="0.25">
      <c r="A1555">
        <v>13</v>
      </c>
      <c r="B1555" t="s">
        <v>355</v>
      </c>
      <c r="C1555" t="s">
        <v>6827</v>
      </c>
      <c r="D1555">
        <v>7.95</v>
      </c>
      <c r="E1555" t="s">
        <v>74</v>
      </c>
      <c r="F1555" t="s">
        <v>47</v>
      </c>
      <c r="G1555">
        <v>13.53</v>
      </c>
      <c r="H1555">
        <v>2.37</v>
      </c>
      <c r="I1555">
        <v>5.58</v>
      </c>
      <c r="J1555">
        <v>31.136399999999998</v>
      </c>
      <c r="K1555" t="str">
        <f>IFERROR(INDEX(Rosters!$C$2:$C$155,MATCH($B1555,Rosters!$B$2:$B$155,0)),"NA")</f>
        <v>devon</v>
      </c>
      <c r="L1555" t="str">
        <f t="shared" si="72"/>
        <v>devon13RB</v>
      </c>
      <c r="M1555">
        <f>COUNTIF(L$1:L1555,L1555)</f>
        <v>5</v>
      </c>
      <c r="N1555" t="str">
        <f t="shared" si="73"/>
        <v>devon13RB-5</v>
      </c>
      <c r="O1555">
        <f>COUNTIFS(F$1:F1555,F1555,A$1:A1555,A1555)</f>
        <v>25</v>
      </c>
      <c r="P1555" t="str">
        <f t="shared" si="74"/>
        <v>Peyton Barber13</v>
      </c>
    </row>
    <row r="1556" spans="1:16" x14ac:dyDescent="0.25">
      <c r="A1556">
        <v>5</v>
      </c>
      <c r="B1556" t="s">
        <v>3533</v>
      </c>
      <c r="C1556" t="s">
        <v>6828</v>
      </c>
      <c r="D1556">
        <v>7.95</v>
      </c>
      <c r="E1556" t="s">
        <v>73</v>
      </c>
      <c r="F1556" t="s">
        <v>47</v>
      </c>
      <c r="G1556">
        <v>14.94</v>
      </c>
      <c r="H1556">
        <v>0.96</v>
      </c>
      <c r="I1556">
        <v>6.99</v>
      </c>
      <c r="J1556">
        <v>48.860100000000003</v>
      </c>
      <c r="K1556" t="str">
        <f>IFERROR(INDEX(Rosters!$C$2:$C$155,MATCH($B1556,Rosters!$B$2:$B$155,0)),"NA")</f>
        <v>perry</v>
      </c>
      <c r="L1556" t="str">
        <f t="shared" si="72"/>
        <v>perry5RB</v>
      </c>
      <c r="M1556">
        <f>COUNTIF(L$1:L1556,L1556)</f>
        <v>3</v>
      </c>
      <c r="N1556" t="str">
        <f t="shared" si="73"/>
        <v>perry5RB-3</v>
      </c>
      <c r="O1556">
        <f>COUNTIFS(F$1:F1556,F1556,A$1:A1556,A1556)</f>
        <v>30</v>
      </c>
      <c r="P1556" t="str">
        <f t="shared" si="74"/>
        <v>Phillip Lindsay5</v>
      </c>
    </row>
    <row r="1557" spans="1:16" x14ac:dyDescent="0.25">
      <c r="A1557">
        <v>16</v>
      </c>
      <c r="B1557" t="s">
        <v>195</v>
      </c>
      <c r="C1557" t="s">
        <v>6829</v>
      </c>
      <c r="D1557">
        <v>7.94</v>
      </c>
      <c r="E1557" t="s">
        <v>25</v>
      </c>
      <c r="F1557" t="s">
        <v>87</v>
      </c>
      <c r="G1557">
        <v>14.66</v>
      </c>
      <c r="H1557">
        <v>1.22</v>
      </c>
      <c r="I1557">
        <v>6.72</v>
      </c>
      <c r="J1557">
        <v>45.1584</v>
      </c>
      <c r="K1557" t="str">
        <f>IFERROR(INDEX(Rosters!$C$2:$C$155,MATCH($B1557,Rosters!$B$2:$B$155,0)),"NA")</f>
        <v>scott</v>
      </c>
      <c r="L1557" t="str">
        <f t="shared" si="72"/>
        <v>scott16WR</v>
      </c>
      <c r="M1557">
        <f>COUNTIF(L$1:L1557,L1557)</f>
        <v>3</v>
      </c>
      <c r="N1557" t="str">
        <f t="shared" si="73"/>
        <v>scott16WR-3</v>
      </c>
      <c r="O1557">
        <f>COUNTIFS(F$1:F1557,F1557,A$1:A1557,A1557)</f>
        <v>36</v>
      </c>
      <c r="P1557" t="str">
        <f t="shared" si="74"/>
        <v>Kenny Golladay16</v>
      </c>
    </row>
    <row r="1558" spans="1:16" x14ac:dyDescent="0.25">
      <c r="A1558">
        <v>17</v>
      </c>
      <c r="B1558" t="s">
        <v>177</v>
      </c>
      <c r="C1558" t="s">
        <v>6830</v>
      </c>
      <c r="D1558">
        <v>7.94</v>
      </c>
      <c r="E1558" t="s">
        <v>60</v>
      </c>
      <c r="F1558" t="s">
        <v>114</v>
      </c>
      <c r="G1558">
        <v>12.82</v>
      </c>
      <c r="H1558">
        <v>3.06</v>
      </c>
      <c r="I1558">
        <v>4.88</v>
      </c>
      <c r="J1558">
        <v>23.814399999999999</v>
      </c>
      <c r="K1558" t="str">
        <f>IFERROR(INDEX(Rosters!$C$2:$C$155,MATCH($B1558,Rosters!$B$2:$B$155,0)),"NA")</f>
        <v>perry</v>
      </c>
      <c r="L1558" t="str">
        <f t="shared" si="72"/>
        <v>perry17TE</v>
      </c>
      <c r="M1558">
        <f>COUNTIF(L$1:L1558,L1558)</f>
        <v>1</v>
      </c>
      <c r="N1558" t="str">
        <f t="shared" si="73"/>
        <v>perry17TE-1</v>
      </c>
      <c r="O1558">
        <f>COUNTIFS(F$1:F1558,F1558,A$1:A1558,A1558)</f>
        <v>4</v>
      </c>
      <c r="P1558" t="str">
        <f t="shared" si="74"/>
        <v>Zach Ertz17</v>
      </c>
    </row>
    <row r="1559" spans="1:16" x14ac:dyDescent="0.25">
      <c r="A1559">
        <v>7</v>
      </c>
      <c r="B1559" t="s">
        <v>136</v>
      </c>
      <c r="C1559" t="s">
        <v>6831</v>
      </c>
      <c r="D1559">
        <v>7.93</v>
      </c>
      <c r="E1559" t="s">
        <v>58</v>
      </c>
      <c r="F1559" t="s">
        <v>87</v>
      </c>
      <c r="G1559">
        <v>13.19</v>
      </c>
      <c r="H1559">
        <v>2.67</v>
      </c>
      <c r="I1559">
        <v>5.26</v>
      </c>
      <c r="J1559">
        <v>27.6676</v>
      </c>
      <c r="K1559" t="str">
        <f>IFERROR(INDEX(Rosters!$C$2:$C$155,MATCH($B1559,Rosters!$B$2:$B$155,0)),"NA")</f>
        <v>devon</v>
      </c>
      <c r="L1559" t="str">
        <f t="shared" si="72"/>
        <v>devon7WR</v>
      </c>
      <c r="M1559">
        <f>COUNTIF(L$1:L1559,L1559)</f>
        <v>4</v>
      </c>
      <c r="N1559" t="str">
        <f t="shared" si="73"/>
        <v>devon7WR-4</v>
      </c>
      <c r="O1559">
        <f>COUNTIFS(F$1:F1559,F1559,A$1:A1559,A1559)</f>
        <v>30</v>
      </c>
      <c r="P1559" t="str">
        <f t="shared" si="74"/>
        <v>Demaryius Thomas7</v>
      </c>
    </row>
    <row r="1560" spans="1:16" x14ac:dyDescent="0.25">
      <c r="A1560">
        <v>13</v>
      </c>
      <c r="B1560" t="s">
        <v>201</v>
      </c>
      <c r="C1560" t="s">
        <v>6832</v>
      </c>
      <c r="D1560">
        <v>7.93</v>
      </c>
      <c r="E1560" t="s">
        <v>73</v>
      </c>
      <c r="F1560" t="s">
        <v>47</v>
      </c>
      <c r="G1560">
        <v>13.98</v>
      </c>
      <c r="H1560">
        <v>1.88</v>
      </c>
      <c r="I1560">
        <v>6.05</v>
      </c>
      <c r="J1560">
        <v>36.602499999999999</v>
      </c>
      <c r="K1560" t="str">
        <f>IFERROR(INDEX(Rosters!$C$2:$C$155,MATCH($B1560,Rosters!$B$2:$B$155,0)),"NA")</f>
        <v>seth</v>
      </c>
      <c r="L1560" t="str">
        <f t="shared" si="72"/>
        <v>seth13RB</v>
      </c>
      <c r="M1560">
        <f>COUNTIF(L$1:L1560,L1560)</f>
        <v>2</v>
      </c>
      <c r="N1560" t="str">
        <f t="shared" si="73"/>
        <v>seth13RB-2</v>
      </c>
      <c r="O1560">
        <f>COUNTIFS(F$1:F1560,F1560,A$1:A1560,A1560)</f>
        <v>26</v>
      </c>
      <c r="P1560" t="str">
        <f t="shared" si="74"/>
        <v>Derrick Henry13</v>
      </c>
    </row>
    <row r="1561" spans="1:16" x14ac:dyDescent="0.25">
      <c r="A1561">
        <v>12</v>
      </c>
      <c r="B1561" t="s">
        <v>105</v>
      </c>
      <c r="C1561" t="s">
        <v>6833</v>
      </c>
      <c r="D1561">
        <v>7.93</v>
      </c>
      <c r="E1561" t="s">
        <v>74</v>
      </c>
      <c r="F1561" t="s">
        <v>87</v>
      </c>
      <c r="G1561">
        <v>13.62</v>
      </c>
      <c r="H1561">
        <v>2.2400000000000002</v>
      </c>
      <c r="I1561">
        <v>5.69</v>
      </c>
      <c r="J1561">
        <v>32.376100000000001</v>
      </c>
      <c r="K1561" t="str">
        <f>IFERROR(INDEX(Rosters!$C$2:$C$155,MATCH($B1561,Rosters!$B$2:$B$155,0)),"NA")</f>
        <v>chad</v>
      </c>
      <c r="L1561" t="str">
        <f t="shared" si="72"/>
        <v>chad12WR</v>
      </c>
      <c r="M1561">
        <f>COUNTIF(L$1:L1561,L1561)</f>
        <v>6</v>
      </c>
      <c r="N1561" t="str">
        <f t="shared" si="73"/>
        <v>chad12WR-6</v>
      </c>
      <c r="O1561">
        <f>COUNTIFS(F$1:F1561,F1561,A$1:A1561,A1561)</f>
        <v>33</v>
      </c>
      <c r="P1561" t="str">
        <f t="shared" si="74"/>
        <v>Doug Baldwin12</v>
      </c>
    </row>
    <row r="1562" spans="1:16" x14ac:dyDescent="0.25">
      <c r="A1562">
        <v>2</v>
      </c>
      <c r="B1562" t="s">
        <v>224</v>
      </c>
      <c r="C1562" t="s">
        <v>3333</v>
      </c>
      <c r="D1562">
        <v>7.93</v>
      </c>
      <c r="E1562" t="s">
        <v>60</v>
      </c>
      <c r="F1562" t="s">
        <v>47</v>
      </c>
      <c r="G1562">
        <v>13.89</v>
      </c>
      <c r="H1562">
        <v>1.97</v>
      </c>
      <c r="I1562">
        <v>5.96</v>
      </c>
      <c r="J1562">
        <v>35.521599999999999</v>
      </c>
      <c r="K1562" t="str">
        <f>IFERROR(INDEX(Rosters!$C$2:$C$155,MATCH($B1562,Rosters!$B$2:$B$155,0)),"NA")</f>
        <v>NA</v>
      </c>
      <c r="L1562" t="str">
        <f t="shared" si="72"/>
        <v>NA2RB</v>
      </c>
      <c r="M1562">
        <f>COUNTIF(L$1:L1562,L1562)</f>
        <v>2</v>
      </c>
      <c r="N1562" t="str">
        <f t="shared" si="73"/>
        <v>NA2RB-2</v>
      </c>
      <c r="O1562">
        <f>COUNTIFS(F$1:F1562,F1562,A$1:A1562,A1562)</f>
        <v>28</v>
      </c>
      <c r="P1562" t="str">
        <f t="shared" si="74"/>
        <v>Marlon Mack2</v>
      </c>
    </row>
    <row r="1563" spans="1:16" x14ac:dyDescent="0.25">
      <c r="A1563">
        <v>9</v>
      </c>
      <c r="B1563" t="s">
        <v>119</v>
      </c>
      <c r="C1563" t="s">
        <v>6834</v>
      </c>
      <c r="D1563">
        <v>7.92</v>
      </c>
      <c r="E1563" t="s">
        <v>29</v>
      </c>
      <c r="F1563" t="s">
        <v>87</v>
      </c>
      <c r="G1563">
        <v>13.68</v>
      </c>
      <c r="H1563">
        <v>2.16</v>
      </c>
      <c r="I1563">
        <v>5.76</v>
      </c>
      <c r="J1563">
        <v>33.177599999999998</v>
      </c>
      <c r="K1563" t="str">
        <f>IFERROR(INDEX(Rosters!$C$2:$C$155,MATCH($B1563,Rosters!$B$2:$B$155,0)),"NA")</f>
        <v>lucas</v>
      </c>
      <c r="L1563" t="str">
        <f t="shared" si="72"/>
        <v>lucas9WR</v>
      </c>
      <c r="M1563">
        <f>COUNTIF(L$1:L1563,L1563)</f>
        <v>3</v>
      </c>
      <c r="N1563" t="str">
        <f t="shared" si="73"/>
        <v>lucas9WR-3</v>
      </c>
      <c r="O1563">
        <f>COUNTIFS(F$1:F1563,F1563,A$1:A1563,A1563)</f>
        <v>31</v>
      </c>
      <c r="P1563" t="str">
        <f t="shared" si="74"/>
        <v>Allen Robinson9</v>
      </c>
    </row>
    <row r="1564" spans="1:16" x14ac:dyDescent="0.25">
      <c r="A1564">
        <v>5</v>
      </c>
      <c r="B1564" t="s">
        <v>136</v>
      </c>
      <c r="C1564" t="s">
        <v>6835</v>
      </c>
      <c r="D1564">
        <v>7.92</v>
      </c>
      <c r="E1564" t="s">
        <v>73</v>
      </c>
      <c r="F1564" t="s">
        <v>87</v>
      </c>
      <c r="G1564">
        <v>12.8</v>
      </c>
      <c r="H1564">
        <v>3.04</v>
      </c>
      <c r="I1564">
        <v>4.88</v>
      </c>
      <c r="J1564">
        <v>23.814399999999999</v>
      </c>
      <c r="K1564" t="str">
        <f>IFERROR(INDEX(Rosters!$C$2:$C$155,MATCH($B1564,Rosters!$B$2:$B$155,0)),"NA")</f>
        <v>devon</v>
      </c>
      <c r="L1564" t="str">
        <f t="shared" si="72"/>
        <v>devon5WR</v>
      </c>
      <c r="M1564">
        <f>COUNTIF(L$1:L1564,L1564)</f>
        <v>4</v>
      </c>
      <c r="N1564" t="str">
        <f t="shared" si="73"/>
        <v>devon5WR-4</v>
      </c>
      <c r="O1564">
        <f>COUNTIFS(F$1:F1564,F1564,A$1:A1564,A1564)</f>
        <v>31</v>
      </c>
      <c r="P1564" t="str">
        <f t="shared" si="74"/>
        <v>Demaryius Thomas5</v>
      </c>
    </row>
    <row r="1565" spans="1:16" x14ac:dyDescent="0.25">
      <c r="A1565">
        <v>3</v>
      </c>
      <c r="B1565" t="s">
        <v>166</v>
      </c>
      <c r="C1565" t="s">
        <v>3689</v>
      </c>
      <c r="D1565">
        <v>7.92</v>
      </c>
      <c r="E1565" t="s">
        <v>60</v>
      </c>
      <c r="F1565" t="s">
        <v>87</v>
      </c>
      <c r="G1565">
        <v>13.38</v>
      </c>
      <c r="H1565">
        <v>2.46</v>
      </c>
      <c r="I1565">
        <v>5.46</v>
      </c>
      <c r="J1565">
        <v>29.811599999999999</v>
      </c>
      <c r="K1565" t="str">
        <f>IFERROR(INDEX(Rosters!$C$2:$C$155,MATCH($B1565,Rosters!$B$2:$B$155,0)),"NA")</f>
        <v>seth</v>
      </c>
      <c r="L1565" t="str">
        <f t="shared" si="72"/>
        <v>seth3WR</v>
      </c>
      <c r="M1565">
        <f>COUNTIF(L$1:L1565,L1565)</f>
        <v>4</v>
      </c>
      <c r="N1565" t="str">
        <f t="shared" si="73"/>
        <v>seth3WR-4</v>
      </c>
      <c r="O1565">
        <f>COUNTIFS(F$1:F1565,F1565,A$1:A1565,A1565)</f>
        <v>31</v>
      </c>
      <c r="P1565" t="str">
        <f t="shared" si="74"/>
        <v>Randall Cobb3</v>
      </c>
    </row>
    <row r="1566" spans="1:16" x14ac:dyDescent="0.25">
      <c r="A1566">
        <v>11</v>
      </c>
      <c r="B1566" t="s">
        <v>119</v>
      </c>
      <c r="C1566" t="s">
        <v>6836</v>
      </c>
      <c r="D1566">
        <v>7.91</v>
      </c>
      <c r="E1566" t="s">
        <v>25</v>
      </c>
      <c r="F1566" t="s">
        <v>87</v>
      </c>
      <c r="G1566">
        <v>13.74</v>
      </c>
      <c r="H1566">
        <v>2.08</v>
      </c>
      <c r="I1566">
        <v>5.83</v>
      </c>
      <c r="J1566">
        <v>33.988900000000001</v>
      </c>
      <c r="K1566" t="str">
        <f>IFERROR(INDEX(Rosters!$C$2:$C$155,MATCH($B1566,Rosters!$B$2:$B$155,0)),"NA")</f>
        <v>lucas</v>
      </c>
      <c r="L1566" t="str">
        <f t="shared" si="72"/>
        <v>lucas11WR</v>
      </c>
      <c r="M1566">
        <f>COUNTIF(L$1:L1566,L1566)</f>
        <v>2</v>
      </c>
      <c r="N1566" t="str">
        <f t="shared" si="73"/>
        <v>lucas11WR-2</v>
      </c>
      <c r="O1566">
        <f>COUNTIFS(F$1:F1566,F1566,A$1:A1566,A1566)</f>
        <v>32</v>
      </c>
      <c r="P1566" t="str">
        <f t="shared" si="74"/>
        <v>Allen Robinson11</v>
      </c>
    </row>
    <row r="1567" spans="1:16" x14ac:dyDescent="0.25">
      <c r="A1567">
        <v>8</v>
      </c>
      <c r="B1567" t="s">
        <v>271</v>
      </c>
      <c r="C1567" t="s">
        <v>6837</v>
      </c>
      <c r="D1567">
        <v>7.91</v>
      </c>
      <c r="E1567" t="s">
        <v>56</v>
      </c>
      <c r="F1567" t="s">
        <v>87</v>
      </c>
      <c r="G1567">
        <v>13.92</v>
      </c>
      <c r="H1567">
        <v>1.9</v>
      </c>
      <c r="I1567">
        <v>6.01</v>
      </c>
      <c r="J1567">
        <v>36.120100000000001</v>
      </c>
      <c r="K1567" t="str">
        <f>IFERROR(INDEX(Rosters!$C$2:$C$155,MATCH($B1567,Rosters!$B$2:$B$155,0)),"NA")</f>
        <v>matty</v>
      </c>
      <c r="L1567" t="str">
        <f t="shared" si="72"/>
        <v>matty8WR</v>
      </c>
      <c r="M1567">
        <f>COUNTIF(L$1:L1567,L1567)</f>
        <v>4</v>
      </c>
      <c r="N1567" t="str">
        <f t="shared" si="73"/>
        <v>matty8WR-4</v>
      </c>
      <c r="O1567">
        <f>COUNTIFS(F$1:F1567,F1567,A$1:A1567,A1567)</f>
        <v>35</v>
      </c>
      <c r="P1567" t="str">
        <f t="shared" si="74"/>
        <v>Geronimo Allison8</v>
      </c>
    </row>
    <row r="1568" spans="1:16" x14ac:dyDescent="0.25">
      <c r="A1568">
        <v>1</v>
      </c>
      <c r="B1568" t="s">
        <v>251</v>
      </c>
      <c r="C1568" t="s">
        <v>1350</v>
      </c>
      <c r="D1568">
        <v>7.9</v>
      </c>
      <c r="E1568" t="s">
        <v>22</v>
      </c>
      <c r="F1568" t="s">
        <v>87</v>
      </c>
      <c r="G1568">
        <v>13.4</v>
      </c>
      <c r="H1568">
        <v>2.4</v>
      </c>
      <c r="I1568">
        <v>5.5</v>
      </c>
      <c r="J1568">
        <v>30.25</v>
      </c>
      <c r="K1568" t="str">
        <f>IFERROR(INDEX(Rosters!$C$2:$C$155,MATCH($B1568,Rosters!$B$2:$B$155,0)),"NA")</f>
        <v>chad</v>
      </c>
      <c r="L1568" t="str">
        <f t="shared" si="72"/>
        <v>chad1WR</v>
      </c>
      <c r="M1568">
        <f>COUNTIF(L$1:L1568,L1568)</f>
        <v>3</v>
      </c>
      <c r="N1568" t="str">
        <f t="shared" si="73"/>
        <v>chad1WR-3</v>
      </c>
      <c r="O1568">
        <f>COUNTIFS(F$1:F1568,F1568,A$1:A1568,A1568)</f>
        <v>28</v>
      </c>
      <c r="P1568" t="str">
        <f t="shared" si="74"/>
        <v>Devin Funchess1</v>
      </c>
    </row>
    <row r="1569" spans="1:16" x14ac:dyDescent="0.25">
      <c r="A1569">
        <v>8</v>
      </c>
      <c r="B1569" t="s">
        <v>298</v>
      </c>
      <c r="C1569" t="s">
        <v>6838</v>
      </c>
      <c r="D1569">
        <v>7.9</v>
      </c>
      <c r="E1569" t="s">
        <v>52</v>
      </c>
      <c r="F1569" t="s">
        <v>47</v>
      </c>
      <c r="G1569">
        <v>13.46</v>
      </c>
      <c r="H1569">
        <v>2.34</v>
      </c>
      <c r="I1569">
        <v>5.56</v>
      </c>
      <c r="J1569">
        <v>30.913599999999999</v>
      </c>
      <c r="K1569" t="str">
        <f>IFERROR(INDEX(Rosters!$C$2:$C$155,MATCH($B1569,Rosters!$B$2:$B$155,0)),"NA")</f>
        <v>aj</v>
      </c>
      <c r="L1569" t="str">
        <f t="shared" si="72"/>
        <v>aj8RB</v>
      </c>
      <c r="M1569">
        <f>COUNTIF(L$1:L1569,L1569)</f>
        <v>4</v>
      </c>
      <c r="N1569" t="str">
        <f t="shared" si="73"/>
        <v>aj8RB-4</v>
      </c>
      <c r="O1569">
        <f>COUNTIFS(F$1:F1569,F1569,A$1:A1569,A1569)</f>
        <v>21</v>
      </c>
      <c r="P1569" t="str">
        <f t="shared" si="74"/>
        <v>James Conner8</v>
      </c>
    </row>
    <row r="1570" spans="1:16" x14ac:dyDescent="0.25">
      <c r="A1570">
        <v>14</v>
      </c>
      <c r="B1570" t="s">
        <v>208</v>
      </c>
      <c r="C1570" t="s">
        <v>6839</v>
      </c>
      <c r="D1570">
        <v>7.9</v>
      </c>
      <c r="E1570" t="s">
        <v>51</v>
      </c>
      <c r="F1570" t="s">
        <v>114</v>
      </c>
      <c r="G1570">
        <v>13.05</v>
      </c>
      <c r="H1570">
        <v>2.75</v>
      </c>
      <c r="I1570">
        <v>5.15</v>
      </c>
      <c r="J1570">
        <v>26.522500000000001</v>
      </c>
      <c r="K1570" t="str">
        <f>IFERROR(INDEX(Rosters!$C$2:$C$155,MATCH($B1570,Rosters!$B$2:$B$155,0)),"NA")</f>
        <v>chad</v>
      </c>
      <c r="L1570" t="str">
        <f t="shared" si="72"/>
        <v>chad14TE</v>
      </c>
      <c r="M1570">
        <f>COUNTIF(L$1:L1570,L1570)</f>
        <v>1</v>
      </c>
      <c r="N1570" t="str">
        <f t="shared" si="73"/>
        <v>chad14TE-1</v>
      </c>
      <c r="O1570">
        <f>COUNTIFS(F$1:F1570,F1570,A$1:A1570,A1570)</f>
        <v>5</v>
      </c>
      <c r="P1570" t="str">
        <f t="shared" si="74"/>
        <v>Jared Cook14</v>
      </c>
    </row>
    <row r="1571" spans="1:16" x14ac:dyDescent="0.25">
      <c r="A1571">
        <v>16</v>
      </c>
      <c r="B1571" t="s">
        <v>98</v>
      </c>
      <c r="C1571" t="s">
        <v>6840</v>
      </c>
      <c r="D1571">
        <v>7.9</v>
      </c>
      <c r="E1571" t="s">
        <v>42</v>
      </c>
      <c r="F1571" t="s">
        <v>87</v>
      </c>
      <c r="G1571">
        <v>13.56</v>
      </c>
      <c r="H1571">
        <v>2.2400000000000002</v>
      </c>
      <c r="I1571">
        <v>5.66</v>
      </c>
      <c r="J1571">
        <v>32.035600000000002</v>
      </c>
      <c r="K1571" t="str">
        <f>IFERROR(INDEX(Rosters!$C$2:$C$155,MATCH($B1571,Rosters!$B$2:$B$155,0)),"NA")</f>
        <v>seth</v>
      </c>
      <c r="L1571" t="str">
        <f t="shared" si="72"/>
        <v>seth16WR</v>
      </c>
      <c r="M1571">
        <f>COUNTIF(L$1:L1571,L1571)</f>
        <v>4</v>
      </c>
      <c r="N1571" t="str">
        <f t="shared" si="73"/>
        <v>seth16WR-4</v>
      </c>
      <c r="O1571">
        <f>COUNTIFS(F$1:F1571,F1571,A$1:A1571,A1571)</f>
        <v>37</v>
      </c>
      <c r="P1571" t="str">
        <f t="shared" si="74"/>
        <v>Jordy Nelson16</v>
      </c>
    </row>
    <row r="1572" spans="1:16" x14ac:dyDescent="0.25">
      <c r="A1572">
        <v>16</v>
      </c>
      <c r="B1572" t="s">
        <v>228</v>
      </c>
      <c r="C1572" t="s">
        <v>6841</v>
      </c>
      <c r="D1572">
        <v>7.9</v>
      </c>
      <c r="E1572" t="s">
        <v>72</v>
      </c>
      <c r="F1572" t="s">
        <v>47</v>
      </c>
      <c r="G1572">
        <v>13.6</v>
      </c>
      <c r="H1572">
        <v>2.2000000000000002</v>
      </c>
      <c r="I1572">
        <v>5.7</v>
      </c>
      <c r="J1572">
        <v>32.49</v>
      </c>
      <c r="K1572" t="str">
        <f>IFERROR(INDEX(Rosters!$C$2:$C$155,MATCH($B1572,Rosters!$B$2:$B$155,0)),"NA")</f>
        <v>perry</v>
      </c>
      <c r="L1572" t="str">
        <f t="shared" si="72"/>
        <v>perry16RB</v>
      </c>
      <c r="M1572">
        <f>COUNTIF(L$1:L1572,L1572)</f>
        <v>3</v>
      </c>
      <c r="N1572" t="str">
        <f t="shared" si="73"/>
        <v>perry16RB-3</v>
      </c>
      <c r="O1572">
        <f>COUNTIFS(F$1:F1572,F1572,A$1:A1572,A1572)</f>
        <v>29</v>
      </c>
      <c r="P1572" t="str">
        <f t="shared" si="74"/>
        <v>Matt Breida16</v>
      </c>
    </row>
    <row r="1573" spans="1:16" x14ac:dyDescent="0.25">
      <c r="A1573">
        <v>9</v>
      </c>
      <c r="B1573" t="s">
        <v>796</v>
      </c>
      <c r="C1573" t="s">
        <v>6842</v>
      </c>
      <c r="D1573">
        <v>7.89</v>
      </c>
      <c r="E1573" t="s">
        <v>51</v>
      </c>
      <c r="F1573" t="s">
        <v>47</v>
      </c>
      <c r="G1573">
        <v>14.38</v>
      </c>
      <c r="H1573">
        <v>1.4</v>
      </c>
      <c r="I1573">
        <v>6.49</v>
      </c>
      <c r="J1573">
        <v>42.120100000000001</v>
      </c>
      <c r="K1573" t="str">
        <f>IFERROR(INDEX(Rosters!$C$2:$C$155,MATCH($B1573,Rosters!$B$2:$B$155,0)),"NA")</f>
        <v>seth</v>
      </c>
      <c r="L1573" t="str">
        <f t="shared" si="72"/>
        <v>seth9RB</v>
      </c>
      <c r="M1573">
        <f>COUNTIF(L$1:L1573,L1573)</f>
        <v>2</v>
      </c>
      <c r="N1573" t="str">
        <f t="shared" si="73"/>
        <v>seth9RB-2</v>
      </c>
      <c r="O1573">
        <f>COUNTIFS(F$1:F1573,F1573,A$1:A1573,A1573)</f>
        <v>23</v>
      </c>
      <c r="P1573" t="str">
        <f t="shared" si="74"/>
        <v>Alex Collins9</v>
      </c>
    </row>
    <row r="1574" spans="1:16" x14ac:dyDescent="0.25">
      <c r="A1574">
        <v>14</v>
      </c>
      <c r="B1574" t="s">
        <v>207</v>
      </c>
      <c r="C1574" t="s">
        <v>1351</v>
      </c>
      <c r="D1574">
        <v>7.89</v>
      </c>
      <c r="E1574" t="s">
        <v>76</v>
      </c>
      <c r="F1574" t="s">
        <v>47</v>
      </c>
      <c r="G1574">
        <v>13.38</v>
      </c>
      <c r="H1574">
        <v>2.4</v>
      </c>
      <c r="I1574">
        <v>5.49</v>
      </c>
      <c r="J1574">
        <v>30.1401</v>
      </c>
      <c r="K1574" t="str">
        <f>IFERROR(INDEX(Rosters!$C$2:$C$155,MATCH($B1574,Rosters!$B$2:$B$155,0)),"NA")</f>
        <v>chad</v>
      </c>
      <c r="L1574" t="str">
        <f t="shared" si="72"/>
        <v>chad14RB</v>
      </c>
      <c r="M1574">
        <f>COUNTIF(L$1:L1574,L1574)</f>
        <v>3</v>
      </c>
      <c r="N1574" t="str">
        <f t="shared" si="73"/>
        <v>chad14RB-3</v>
      </c>
      <c r="O1574">
        <f>COUNTIFS(F$1:F1574,F1574,A$1:A1574,A1574)</f>
        <v>30</v>
      </c>
      <c r="P1574" t="str">
        <f t="shared" si="74"/>
        <v>Dion Lewis14</v>
      </c>
    </row>
    <row r="1575" spans="1:16" x14ac:dyDescent="0.25">
      <c r="A1575">
        <v>8</v>
      </c>
      <c r="B1575" t="s">
        <v>208</v>
      </c>
      <c r="C1575" t="s">
        <v>6843</v>
      </c>
      <c r="D1575">
        <v>7.89</v>
      </c>
      <c r="E1575" t="s">
        <v>66</v>
      </c>
      <c r="F1575" t="s">
        <v>114</v>
      </c>
      <c r="G1575">
        <v>13.04</v>
      </c>
      <c r="H1575">
        <v>2.74</v>
      </c>
      <c r="I1575">
        <v>5.15</v>
      </c>
      <c r="J1575">
        <v>26.522500000000001</v>
      </c>
      <c r="K1575" t="str">
        <f>IFERROR(INDEX(Rosters!$C$2:$C$155,MATCH($B1575,Rosters!$B$2:$B$155,0)),"NA")</f>
        <v>chad</v>
      </c>
      <c r="L1575" t="str">
        <f t="shared" si="72"/>
        <v>chad8TE</v>
      </c>
      <c r="M1575">
        <f>COUNTIF(L$1:L1575,L1575)</f>
        <v>1</v>
      </c>
      <c r="N1575" t="str">
        <f t="shared" si="73"/>
        <v>chad8TE-1</v>
      </c>
      <c r="O1575">
        <f>COUNTIFS(F$1:F1575,F1575,A$1:A1575,A1575)</f>
        <v>4</v>
      </c>
      <c r="P1575" t="str">
        <f t="shared" si="74"/>
        <v>Jared Cook8</v>
      </c>
    </row>
    <row r="1576" spans="1:16" x14ac:dyDescent="0.25">
      <c r="A1576">
        <v>1</v>
      </c>
      <c r="B1576" t="s">
        <v>162</v>
      </c>
      <c r="C1576" t="s">
        <v>1351</v>
      </c>
      <c r="D1576">
        <v>7.89</v>
      </c>
      <c r="E1576" t="s">
        <v>72</v>
      </c>
      <c r="F1576" t="s">
        <v>114</v>
      </c>
      <c r="G1576">
        <v>13.38</v>
      </c>
      <c r="H1576">
        <v>2.4</v>
      </c>
      <c r="I1576">
        <v>5.49</v>
      </c>
      <c r="J1576">
        <v>30.1401</v>
      </c>
      <c r="K1576" t="str">
        <f>IFERROR(INDEX(Rosters!$C$2:$C$155,MATCH($B1576,Rosters!$B$2:$B$155,0)),"NA")</f>
        <v>seth</v>
      </c>
      <c r="L1576" t="str">
        <f t="shared" si="72"/>
        <v>seth1TE</v>
      </c>
      <c r="M1576">
        <f>COUNTIF(L$1:L1576,L1576)</f>
        <v>1</v>
      </c>
      <c r="N1576" t="str">
        <f t="shared" si="73"/>
        <v>seth1TE-1</v>
      </c>
      <c r="O1576">
        <f>COUNTIFS(F$1:F1576,F1576,A$1:A1576,A1576)</f>
        <v>5</v>
      </c>
      <c r="P1576" t="str">
        <f t="shared" si="74"/>
        <v>Jimmy Graham1</v>
      </c>
    </row>
    <row r="1577" spans="1:16" x14ac:dyDescent="0.25">
      <c r="A1577">
        <v>6</v>
      </c>
      <c r="B1577" t="s">
        <v>266</v>
      </c>
      <c r="C1577" t="s">
        <v>6844</v>
      </c>
      <c r="D1577">
        <v>7.89</v>
      </c>
      <c r="E1577" t="s">
        <v>29</v>
      </c>
      <c r="F1577" t="s">
        <v>87</v>
      </c>
      <c r="G1577">
        <v>13.72</v>
      </c>
      <c r="H1577">
        <v>2.06</v>
      </c>
      <c r="I1577">
        <v>5.83</v>
      </c>
      <c r="J1577">
        <v>33.988900000000001</v>
      </c>
      <c r="K1577" t="str">
        <f>IFERROR(INDEX(Rosters!$C$2:$C$155,MATCH($B1577,Rosters!$B$2:$B$155,0)),"NA")</f>
        <v>perry</v>
      </c>
      <c r="L1577" t="str">
        <f t="shared" si="72"/>
        <v>perry6WR</v>
      </c>
      <c r="M1577">
        <f>COUNTIF(L$1:L1577,L1577)</f>
        <v>3</v>
      </c>
      <c r="N1577" t="str">
        <f t="shared" si="73"/>
        <v>perry6WR-3</v>
      </c>
      <c r="O1577">
        <f>COUNTIFS(F$1:F1577,F1577,A$1:A1577,A1577)</f>
        <v>31</v>
      </c>
      <c r="P1577" t="str">
        <f t="shared" si="74"/>
        <v>Will Fuller V6</v>
      </c>
    </row>
    <row r="1578" spans="1:16" x14ac:dyDescent="0.25">
      <c r="A1578">
        <v>15</v>
      </c>
      <c r="B1578" t="s">
        <v>251</v>
      </c>
      <c r="C1578" t="s">
        <v>6845</v>
      </c>
      <c r="D1578">
        <v>7.87</v>
      </c>
      <c r="E1578" t="s">
        <v>14</v>
      </c>
      <c r="F1578" t="s">
        <v>87</v>
      </c>
      <c r="G1578">
        <v>13.03</v>
      </c>
      <c r="H1578">
        <v>2.71</v>
      </c>
      <c r="I1578">
        <v>5.16</v>
      </c>
      <c r="J1578">
        <v>26.625599999999999</v>
      </c>
      <c r="K1578" t="str">
        <f>IFERROR(INDEX(Rosters!$C$2:$C$155,MATCH($B1578,Rosters!$B$2:$B$155,0)),"NA")</f>
        <v>chad</v>
      </c>
      <c r="L1578" t="str">
        <f t="shared" si="72"/>
        <v>chad15WR</v>
      </c>
      <c r="M1578">
        <f>COUNTIF(L$1:L1578,L1578)</f>
        <v>4</v>
      </c>
      <c r="N1578" t="str">
        <f t="shared" si="73"/>
        <v>chad15WR-4</v>
      </c>
      <c r="O1578">
        <f>COUNTIFS(F$1:F1578,F1578,A$1:A1578,A1578)</f>
        <v>36</v>
      </c>
      <c r="P1578" t="str">
        <f t="shared" si="74"/>
        <v>Devin Funchess15</v>
      </c>
    </row>
    <row r="1579" spans="1:16" x14ac:dyDescent="0.25">
      <c r="A1579">
        <v>13</v>
      </c>
      <c r="B1579" t="s">
        <v>1419</v>
      </c>
      <c r="C1579" t="s">
        <v>6846</v>
      </c>
      <c r="D1579">
        <v>7.86</v>
      </c>
      <c r="E1579" t="s">
        <v>36</v>
      </c>
      <c r="F1579" t="s">
        <v>87</v>
      </c>
      <c r="G1579">
        <v>14.85</v>
      </c>
      <c r="H1579">
        <v>0.87</v>
      </c>
      <c r="I1579">
        <v>6.99</v>
      </c>
      <c r="J1579">
        <v>48.860100000000003</v>
      </c>
      <c r="K1579" t="str">
        <f>IFERROR(INDEX(Rosters!$C$2:$C$155,MATCH($B1579,Rosters!$B$2:$B$155,0)),"NA")</f>
        <v>chad</v>
      </c>
      <c r="L1579" t="str">
        <f t="shared" si="72"/>
        <v>chad13WR</v>
      </c>
      <c r="M1579">
        <f>COUNTIF(L$1:L1579,L1579)</f>
        <v>6</v>
      </c>
      <c r="N1579" t="str">
        <f t="shared" si="73"/>
        <v>chad13WR-6</v>
      </c>
      <c r="O1579">
        <f>COUNTIFS(F$1:F1579,F1579,A$1:A1579,A1579)</f>
        <v>37</v>
      </c>
      <c r="P1579" t="str">
        <f t="shared" si="74"/>
        <v>Antonio Callaway13</v>
      </c>
    </row>
    <row r="1580" spans="1:16" x14ac:dyDescent="0.25">
      <c r="A1580">
        <v>6</v>
      </c>
      <c r="B1580" t="s">
        <v>201</v>
      </c>
      <c r="C1580" t="s">
        <v>6847</v>
      </c>
      <c r="D1580">
        <v>7.86</v>
      </c>
      <c r="E1580" t="s">
        <v>77</v>
      </c>
      <c r="F1580" t="s">
        <v>47</v>
      </c>
      <c r="G1580">
        <v>13.36</v>
      </c>
      <c r="H1580">
        <v>2.36</v>
      </c>
      <c r="I1580">
        <v>5.5</v>
      </c>
      <c r="J1580">
        <v>30.25</v>
      </c>
      <c r="K1580" t="str">
        <f>IFERROR(INDEX(Rosters!$C$2:$C$155,MATCH($B1580,Rosters!$B$2:$B$155,0)),"NA")</f>
        <v>seth</v>
      </c>
      <c r="L1580" t="str">
        <f t="shared" si="72"/>
        <v>seth6RB</v>
      </c>
      <c r="M1580">
        <f>COUNTIF(L$1:L1580,L1580)</f>
        <v>2</v>
      </c>
      <c r="N1580" t="str">
        <f t="shared" si="73"/>
        <v>seth6RB-2</v>
      </c>
      <c r="O1580">
        <f>COUNTIFS(F$1:F1580,F1580,A$1:A1580,A1580)</f>
        <v>28</v>
      </c>
      <c r="P1580" t="str">
        <f t="shared" si="74"/>
        <v>Derrick Henry6</v>
      </c>
    </row>
    <row r="1581" spans="1:16" x14ac:dyDescent="0.25">
      <c r="A1581">
        <v>11</v>
      </c>
      <c r="B1581" t="s">
        <v>1422</v>
      </c>
      <c r="C1581" t="s">
        <v>6848</v>
      </c>
      <c r="D1581">
        <v>7.85</v>
      </c>
      <c r="E1581" t="s">
        <v>22</v>
      </c>
      <c r="F1581" t="s">
        <v>87</v>
      </c>
      <c r="G1581">
        <v>13.61</v>
      </c>
      <c r="H1581">
        <v>2.09</v>
      </c>
      <c r="I1581">
        <v>5.76</v>
      </c>
      <c r="J1581">
        <v>33.177599999999998</v>
      </c>
      <c r="K1581" t="str">
        <f>IFERROR(INDEX(Rosters!$C$2:$C$155,MATCH($B1581,Rosters!$B$2:$B$155,0)),"NA")</f>
        <v>comp</v>
      </c>
      <c r="L1581" t="str">
        <f t="shared" si="72"/>
        <v>comp11WR</v>
      </c>
      <c r="M1581">
        <f>COUNTIF(L$1:L1581,L1581)</f>
        <v>4</v>
      </c>
      <c r="N1581" t="str">
        <f t="shared" si="73"/>
        <v>comp11WR-4</v>
      </c>
      <c r="O1581">
        <f>COUNTIFS(F$1:F1581,F1581,A$1:A1581,A1581)</f>
        <v>33</v>
      </c>
      <c r="P1581" t="str">
        <f t="shared" si="74"/>
        <v>Calvin Ridley11</v>
      </c>
    </row>
    <row r="1582" spans="1:16" x14ac:dyDescent="0.25">
      <c r="A1582">
        <v>15</v>
      </c>
      <c r="B1582" t="s">
        <v>228</v>
      </c>
      <c r="C1582" t="s">
        <v>6849</v>
      </c>
      <c r="D1582">
        <v>7.85</v>
      </c>
      <c r="E1582" t="s">
        <v>28</v>
      </c>
      <c r="F1582" t="s">
        <v>47</v>
      </c>
      <c r="G1582">
        <v>13.42</v>
      </c>
      <c r="H1582">
        <v>2.2799999999999998</v>
      </c>
      <c r="I1582">
        <v>5.57</v>
      </c>
      <c r="J1582">
        <v>31.024899999999999</v>
      </c>
      <c r="K1582" t="str">
        <f>IFERROR(INDEX(Rosters!$C$2:$C$155,MATCH($B1582,Rosters!$B$2:$B$155,0)),"NA")</f>
        <v>perry</v>
      </c>
      <c r="L1582" t="str">
        <f t="shared" si="72"/>
        <v>perry15RB</v>
      </c>
      <c r="M1582">
        <f>COUNTIF(L$1:L1582,L1582)</f>
        <v>2</v>
      </c>
      <c r="N1582" t="str">
        <f t="shared" si="73"/>
        <v>perry15RB-2</v>
      </c>
      <c r="O1582">
        <f>COUNTIFS(F$1:F1582,F1582,A$1:A1582,A1582)</f>
        <v>29</v>
      </c>
      <c r="P1582" t="str">
        <f t="shared" si="74"/>
        <v>Matt Breida15</v>
      </c>
    </row>
    <row r="1583" spans="1:16" x14ac:dyDescent="0.25">
      <c r="A1583">
        <v>6</v>
      </c>
      <c r="B1583" t="s">
        <v>116</v>
      </c>
      <c r="C1583" t="s">
        <v>6850</v>
      </c>
      <c r="D1583">
        <v>7.85</v>
      </c>
      <c r="E1583" t="s">
        <v>38</v>
      </c>
      <c r="F1583" t="s">
        <v>87</v>
      </c>
      <c r="G1583">
        <v>14.22</v>
      </c>
      <c r="H1583">
        <v>1.48</v>
      </c>
      <c r="I1583">
        <v>6.37</v>
      </c>
      <c r="J1583">
        <v>40.576900000000002</v>
      </c>
      <c r="K1583" t="str">
        <f>IFERROR(INDEX(Rosters!$C$2:$C$155,MATCH($B1583,Rosters!$B$2:$B$155,0)),"NA")</f>
        <v>aj</v>
      </c>
      <c r="L1583" t="str">
        <f t="shared" si="72"/>
        <v>aj6WR</v>
      </c>
      <c r="M1583">
        <f>COUNTIF(L$1:L1583,L1583)</f>
        <v>5</v>
      </c>
      <c r="N1583" t="str">
        <f t="shared" si="73"/>
        <v>aj6WR-5</v>
      </c>
      <c r="O1583">
        <f>COUNTIFS(F$1:F1583,F1583,A$1:A1583,A1583)</f>
        <v>32</v>
      </c>
      <c r="P1583" t="str">
        <f t="shared" si="74"/>
        <v>Michael Crabtree6</v>
      </c>
    </row>
    <row r="1584" spans="1:16" x14ac:dyDescent="0.25">
      <c r="A1584">
        <v>6</v>
      </c>
      <c r="B1584" t="s">
        <v>251</v>
      </c>
      <c r="C1584" t="s">
        <v>6851</v>
      </c>
      <c r="D1584">
        <v>7.84</v>
      </c>
      <c r="E1584" t="s">
        <v>60</v>
      </c>
      <c r="F1584" t="s">
        <v>87</v>
      </c>
      <c r="G1584">
        <v>11.78</v>
      </c>
      <c r="H1584">
        <v>3.9</v>
      </c>
      <c r="I1584">
        <v>3.94</v>
      </c>
      <c r="J1584">
        <v>15.5236</v>
      </c>
      <c r="K1584" t="str">
        <f>IFERROR(INDEX(Rosters!$C$2:$C$155,MATCH($B1584,Rosters!$B$2:$B$155,0)),"NA")</f>
        <v>chad</v>
      </c>
      <c r="L1584" t="str">
        <f t="shared" si="72"/>
        <v>chad6WR</v>
      </c>
      <c r="M1584">
        <f>COUNTIF(L$1:L1584,L1584)</f>
        <v>5</v>
      </c>
      <c r="N1584" t="str">
        <f t="shared" si="73"/>
        <v>chad6WR-5</v>
      </c>
      <c r="O1584">
        <f>COUNTIFS(F$1:F1584,F1584,A$1:A1584,A1584)</f>
        <v>33</v>
      </c>
      <c r="P1584" t="str">
        <f t="shared" si="74"/>
        <v>Devin Funchess6</v>
      </c>
    </row>
    <row r="1585" spans="1:16" x14ac:dyDescent="0.25">
      <c r="A1585">
        <v>3</v>
      </c>
      <c r="B1585" t="s">
        <v>220</v>
      </c>
      <c r="C1585" t="s">
        <v>3690</v>
      </c>
      <c r="D1585">
        <v>7.84</v>
      </c>
      <c r="E1585" t="s">
        <v>32</v>
      </c>
      <c r="F1585" t="s">
        <v>87</v>
      </c>
      <c r="G1585">
        <v>14.03</v>
      </c>
      <c r="H1585">
        <v>1.65</v>
      </c>
      <c r="I1585">
        <v>6.19</v>
      </c>
      <c r="J1585">
        <v>38.316099999999999</v>
      </c>
      <c r="K1585" t="str">
        <f>IFERROR(INDEX(Rosters!$C$2:$C$155,MATCH($B1585,Rosters!$B$2:$B$155,0)),"NA")</f>
        <v>comp</v>
      </c>
      <c r="L1585" t="str">
        <f t="shared" si="72"/>
        <v>comp3WR</v>
      </c>
      <c r="M1585">
        <f>COUNTIF(L$1:L1585,L1585)</f>
        <v>5</v>
      </c>
      <c r="N1585" t="str">
        <f t="shared" si="73"/>
        <v>comp3WR-5</v>
      </c>
      <c r="O1585">
        <f>COUNTIFS(F$1:F1585,F1585,A$1:A1585,A1585)</f>
        <v>32</v>
      </c>
      <c r="P1585" t="str">
        <f t="shared" si="74"/>
        <v>Kenny Stills3</v>
      </c>
    </row>
    <row r="1586" spans="1:16" x14ac:dyDescent="0.25">
      <c r="A1586">
        <v>12</v>
      </c>
      <c r="B1586" t="s">
        <v>203</v>
      </c>
      <c r="C1586" t="s">
        <v>6852</v>
      </c>
      <c r="D1586">
        <v>7.84</v>
      </c>
      <c r="E1586" t="s">
        <v>423</v>
      </c>
      <c r="F1586" t="s">
        <v>87</v>
      </c>
      <c r="G1586">
        <v>12.89</v>
      </c>
      <c r="H1586">
        <v>2.79</v>
      </c>
      <c r="I1586">
        <v>5.05</v>
      </c>
      <c r="J1586">
        <v>25.502500000000001</v>
      </c>
      <c r="K1586" t="str">
        <f>IFERROR(INDEX(Rosters!$C$2:$C$155,MATCH($B1586,Rosters!$B$2:$B$155,0)),"NA")</f>
        <v>NA</v>
      </c>
      <c r="L1586" t="str">
        <f t="shared" si="72"/>
        <v>NA12WR</v>
      </c>
      <c r="M1586">
        <f>COUNTIF(L$1:L1586,L1586)</f>
        <v>1</v>
      </c>
      <c r="N1586" t="str">
        <f t="shared" si="73"/>
        <v>NA12WR-1</v>
      </c>
      <c r="O1586">
        <f>COUNTIFS(F$1:F1586,F1586,A$1:A1586,A1586)</f>
        <v>34</v>
      </c>
      <c r="P1586" t="str">
        <f t="shared" si="74"/>
        <v>Robby Anderson12</v>
      </c>
    </row>
    <row r="1587" spans="1:16" x14ac:dyDescent="0.25">
      <c r="A1587">
        <v>4</v>
      </c>
      <c r="B1587" t="s">
        <v>105</v>
      </c>
      <c r="C1587">
        <f>-1.09-16.75</f>
        <v>-17.84</v>
      </c>
      <c r="D1587">
        <v>7.83</v>
      </c>
      <c r="E1587" t="s">
        <v>58</v>
      </c>
      <c r="F1587" t="s">
        <v>87</v>
      </c>
      <c r="G1587">
        <v>16.75</v>
      </c>
      <c r="H1587">
        <v>-1.0900000000000001</v>
      </c>
      <c r="I1587">
        <v>8.92</v>
      </c>
      <c r="J1587">
        <v>79.566400000000002</v>
      </c>
      <c r="K1587" t="str">
        <f>IFERROR(INDEX(Rosters!$C$2:$C$155,MATCH($B1587,Rosters!$B$2:$B$155,0)),"NA")</f>
        <v>chad</v>
      </c>
      <c r="L1587" t="str">
        <f t="shared" si="72"/>
        <v>chad4WR</v>
      </c>
      <c r="M1587">
        <f>COUNTIF(L$1:L1587,L1587)</f>
        <v>2</v>
      </c>
      <c r="N1587" t="str">
        <f t="shared" si="73"/>
        <v>chad4WR-2</v>
      </c>
      <c r="O1587">
        <f>COUNTIFS(F$1:F1587,F1587,A$1:A1587,A1587)</f>
        <v>32</v>
      </c>
      <c r="P1587" t="str">
        <f t="shared" si="74"/>
        <v>Doug Baldwin4</v>
      </c>
    </row>
    <row r="1588" spans="1:16" x14ac:dyDescent="0.25">
      <c r="A1588">
        <v>1</v>
      </c>
      <c r="B1588" t="s">
        <v>116</v>
      </c>
      <c r="C1588" t="s">
        <v>1353</v>
      </c>
      <c r="D1588">
        <v>7.83</v>
      </c>
      <c r="E1588" t="s">
        <v>29</v>
      </c>
      <c r="F1588" t="s">
        <v>87</v>
      </c>
      <c r="G1588">
        <v>12.89</v>
      </c>
      <c r="H1588">
        <v>2.77</v>
      </c>
      <c r="I1588">
        <v>5.0599999999999996</v>
      </c>
      <c r="J1588">
        <v>25.6036</v>
      </c>
      <c r="K1588" t="str">
        <f>IFERROR(INDEX(Rosters!$C$2:$C$155,MATCH($B1588,Rosters!$B$2:$B$155,0)),"NA")</f>
        <v>aj</v>
      </c>
      <c r="L1588" t="str">
        <f t="shared" si="72"/>
        <v>aj1WR</v>
      </c>
      <c r="M1588">
        <f>COUNTIF(L$1:L1588,L1588)</f>
        <v>5</v>
      </c>
      <c r="N1588" t="str">
        <f t="shared" si="73"/>
        <v>aj1WR-5</v>
      </c>
      <c r="O1588">
        <f>COUNTIFS(F$1:F1588,F1588,A$1:A1588,A1588)</f>
        <v>29</v>
      </c>
      <c r="P1588" t="str">
        <f t="shared" si="74"/>
        <v>Michael Crabtree1</v>
      </c>
    </row>
    <row r="1589" spans="1:16" x14ac:dyDescent="0.25">
      <c r="A1589">
        <v>16</v>
      </c>
      <c r="B1589" t="s">
        <v>266</v>
      </c>
      <c r="C1589" t="s">
        <v>6853</v>
      </c>
      <c r="D1589">
        <v>7.83</v>
      </c>
      <c r="E1589" t="s">
        <v>50</v>
      </c>
      <c r="F1589" t="s">
        <v>87</v>
      </c>
      <c r="G1589">
        <v>13.99</v>
      </c>
      <c r="H1589">
        <v>1.67</v>
      </c>
      <c r="I1589">
        <v>6.16</v>
      </c>
      <c r="J1589">
        <v>37.945599999999999</v>
      </c>
      <c r="K1589" t="str">
        <f>IFERROR(INDEX(Rosters!$C$2:$C$155,MATCH($B1589,Rosters!$B$2:$B$155,0)),"NA")</f>
        <v>perry</v>
      </c>
      <c r="L1589" t="str">
        <f t="shared" si="72"/>
        <v>perry16WR</v>
      </c>
      <c r="M1589">
        <f>COUNTIF(L$1:L1589,L1589)</f>
        <v>3</v>
      </c>
      <c r="N1589" t="str">
        <f t="shared" si="73"/>
        <v>perry16WR-3</v>
      </c>
      <c r="O1589">
        <f>COUNTIFS(F$1:F1589,F1589,A$1:A1589,A1589)</f>
        <v>38</v>
      </c>
      <c r="P1589" t="str">
        <f t="shared" si="74"/>
        <v>Will Fuller V16</v>
      </c>
    </row>
    <row r="1590" spans="1:16" x14ac:dyDescent="0.25">
      <c r="A1590">
        <v>6</v>
      </c>
      <c r="B1590" t="s">
        <v>119</v>
      </c>
      <c r="C1590" t="s">
        <v>6854</v>
      </c>
      <c r="D1590">
        <v>7.82</v>
      </c>
      <c r="E1590" t="s">
        <v>19</v>
      </c>
      <c r="F1590" t="s">
        <v>87</v>
      </c>
      <c r="G1590">
        <v>13.42</v>
      </c>
      <c r="H1590">
        <v>2.2200000000000002</v>
      </c>
      <c r="I1590">
        <v>5.6</v>
      </c>
      <c r="J1590">
        <v>31.36</v>
      </c>
      <c r="K1590" t="str">
        <f>IFERROR(INDEX(Rosters!$C$2:$C$155,MATCH($B1590,Rosters!$B$2:$B$155,0)),"NA")</f>
        <v>lucas</v>
      </c>
      <c r="L1590" t="str">
        <f t="shared" si="72"/>
        <v>lucas6WR</v>
      </c>
      <c r="M1590">
        <f>COUNTIF(L$1:L1590,L1590)</f>
        <v>3</v>
      </c>
      <c r="N1590" t="str">
        <f t="shared" si="73"/>
        <v>lucas6WR-3</v>
      </c>
      <c r="O1590">
        <f>COUNTIFS(F$1:F1590,F1590,A$1:A1590,A1590)</f>
        <v>34</v>
      </c>
      <c r="P1590" t="str">
        <f t="shared" si="74"/>
        <v>Allen Robinson6</v>
      </c>
    </row>
    <row r="1591" spans="1:16" x14ac:dyDescent="0.25">
      <c r="A1591">
        <v>7</v>
      </c>
      <c r="B1591" t="s">
        <v>140</v>
      </c>
      <c r="C1591" t="s">
        <v>6855</v>
      </c>
      <c r="D1591">
        <v>7.82</v>
      </c>
      <c r="E1591" t="s">
        <v>42</v>
      </c>
      <c r="F1591" t="s">
        <v>87</v>
      </c>
      <c r="G1591">
        <v>13.3</v>
      </c>
      <c r="H1591">
        <v>2.34</v>
      </c>
      <c r="I1591">
        <v>5.48</v>
      </c>
      <c r="J1591">
        <v>30.0304</v>
      </c>
      <c r="K1591" t="str">
        <f>IFERROR(INDEX(Rosters!$C$2:$C$155,MATCH($B1591,Rosters!$B$2:$B$155,0)),"NA")</f>
        <v>seth</v>
      </c>
      <c r="L1591" t="str">
        <f t="shared" si="72"/>
        <v>seth7WR</v>
      </c>
      <c r="M1591">
        <f>COUNTIF(L$1:L1591,L1591)</f>
        <v>3</v>
      </c>
      <c r="N1591" t="str">
        <f t="shared" si="73"/>
        <v>seth7WR-3</v>
      </c>
      <c r="O1591">
        <f>COUNTIFS(F$1:F1591,F1591,A$1:A1591,A1591)</f>
        <v>31</v>
      </c>
      <c r="P1591" t="str">
        <f t="shared" si="74"/>
        <v>Larry Fitzgerald7</v>
      </c>
    </row>
    <row r="1592" spans="1:16" x14ac:dyDescent="0.25">
      <c r="A1592">
        <v>6</v>
      </c>
      <c r="B1592" t="s">
        <v>228</v>
      </c>
      <c r="C1592" t="s">
        <v>6856</v>
      </c>
      <c r="D1592">
        <v>7.82</v>
      </c>
      <c r="E1592" t="s">
        <v>41</v>
      </c>
      <c r="F1592" t="s">
        <v>47</v>
      </c>
      <c r="G1592">
        <v>13.6</v>
      </c>
      <c r="H1592">
        <v>2.04</v>
      </c>
      <c r="I1592">
        <v>5.78</v>
      </c>
      <c r="J1592">
        <v>33.4084</v>
      </c>
      <c r="K1592" t="str">
        <f>IFERROR(INDEX(Rosters!$C$2:$C$155,MATCH($B1592,Rosters!$B$2:$B$155,0)),"NA")</f>
        <v>perry</v>
      </c>
      <c r="L1592" t="str">
        <f t="shared" si="72"/>
        <v>perry6RB</v>
      </c>
      <c r="M1592">
        <f>COUNTIF(L$1:L1592,L1592)</f>
        <v>3</v>
      </c>
      <c r="N1592" t="str">
        <f t="shared" si="73"/>
        <v>perry6RB-3</v>
      </c>
      <c r="O1592">
        <f>COUNTIFS(F$1:F1592,F1592,A$1:A1592,A1592)</f>
        <v>29</v>
      </c>
      <c r="P1592" t="str">
        <f t="shared" si="74"/>
        <v>Matt Breida6</v>
      </c>
    </row>
    <row r="1593" spans="1:16" x14ac:dyDescent="0.25">
      <c r="A1593">
        <v>5</v>
      </c>
      <c r="B1593" t="s">
        <v>116</v>
      </c>
      <c r="C1593" t="s">
        <v>3334</v>
      </c>
      <c r="D1593">
        <v>7.81</v>
      </c>
      <c r="E1593" t="s">
        <v>52</v>
      </c>
      <c r="F1593" t="s">
        <v>87</v>
      </c>
      <c r="G1593">
        <v>13.85</v>
      </c>
      <c r="H1593">
        <v>1.77</v>
      </c>
      <c r="I1593">
        <v>6.04</v>
      </c>
      <c r="J1593">
        <v>36.4816</v>
      </c>
      <c r="K1593" t="str">
        <f>IFERROR(INDEX(Rosters!$C$2:$C$155,MATCH($B1593,Rosters!$B$2:$B$155,0)),"NA")</f>
        <v>aj</v>
      </c>
      <c r="L1593" t="str">
        <f t="shared" si="72"/>
        <v>aj5WR</v>
      </c>
      <c r="M1593">
        <f>COUNTIF(L$1:L1593,L1593)</f>
        <v>3</v>
      </c>
      <c r="N1593" t="str">
        <f t="shared" si="73"/>
        <v>aj5WR-3</v>
      </c>
      <c r="O1593">
        <f>COUNTIFS(F$1:F1593,F1593,A$1:A1593,A1593)</f>
        <v>32</v>
      </c>
      <c r="P1593" t="str">
        <f t="shared" si="74"/>
        <v>Michael Crabtree5</v>
      </c>
    </row>
    <row r="1594" spans="1:16" x14ac:dyDescent="0.25">
      <c r="A1594">
        <v>2</v>
      </c>
      <c r="B1594" t="s">
        <v>1372</v>
      </c>
      <c r="C1594" t="s">
        <v>3334</v>
      </c>
      <c r="D1594">
        <v>7.81</v>
      </c>
      <c r="E1594" t="s">
        <v>19</v>
      </c>
      <c r="F1594" t="s">
        <v>87</v>
      </c>
      <c r="G1594">
        <v>13.85</v>
      </c>
      <c r="H1594">
        <v>1.77</v>
      </c>
      <c r="I1594">
        <v>6.04</v>
      </c>
      <c r="J1594">
        <v>36.4816</v>
      </c>
      <c r="K1594" t="str">
        <f>IFERROR(INDEX(Rosters!$C$2:$C$155,MATCH($B1594,Rosters!$B$2:$B$155,0)),"NA")</f>
        <v>lucas</v>
      </c>
      <c r="L1594" t="str">
        <f t="shared" si="72"/>
        <v>lucas2WR</v>
      </c>
      <c r="M1594">
        <f>COUNTIF(L$1:L1594,L1594)</f>
        <v>2</v>
      </c>
      <c r="N1594" t="str">
        <f t="shared" si="73"/>
        <v>lucas2WR-2</v>
      </c>
      <c r="O1594">
        <f>COUNTIFS(F$1:F1594,F1594,A$1:A1594,A1594)</f>
        <v>31</v>
      </c>
      <c r="P1594" t="str">
        <f t="shared" si="74"/>
        <v>Quincy Enunwa2</v>
      </c>
    </row>
    <row r="1595" spans="1:16" x14ac:dyDescent="0.25">
      <c r="A1595">
        <v>1</v>
      </c>
      <c r="B1595" t="s">
        <v>834</v>
      </c>
      <c r="C1595" t="s">
        <v>1692</v>
      </c>
      <c r="D1595">
        <v>7.79</v>
      </c>
      <c r="E1595" t="s">
        <v>42</v>
      </c>
      <c r="F1595" t="s">
        <v>47</v>
      </c>
      <c r="G1595">
        <v>12.95</v>
      </c>
      <c r="H1595">
        <v>2.63</v>
      </c>
      <c r="I1595">
        <v>5.16</v>
      </c>
      <c r="J1595">
        <v>26.625599999999999</v>
      </c>
      <c r="K1595" t="str">
        <f>IFERROR(INDEX(Rosters!$C$2:$C$155,MATCH($B1595,Rosters!$B$2:$B$155,0)),"NA")</f>
        <v>lucas</v>
      </c>
      <c r="L1595" t="str">
        <f t="shared" si="72"/>
        <v>lucas1RB</v>
      </c>
      <c r="M1595">
        <f>COUNTIF(L$1:L1595,L1595)</f>
        <v>3</v>
      </c>
      <c r="N1595" t="str">
        <f t="shared" si="73"/>
        <v>lucas1RB-3</v>
      </c>
      <c r="O1595">
        <f>COUNTIFS(F$1:F1595,F1595,A$1:A1595,A1595)</f>
        <v>25</v>
      </c>
      <c r="P1595" t="str">
        <f t="shared" si="74"/>
        <v>Chris Carson1</v>
      </c>
    </row>
    <row r="1596" spans="1:16" x14ac:dyDescent="0.25">
      <c r="A1596">
        <v>9</v>
      </c>
      <c r="B1596" t="s">
        <v>306</v>
      </c>
      <c r="C1596" t="s">
        <v>6857</v>
      </c>
      <c r="D1596">
        <v>7.79</v>
      </c>
      <c r="E1596" t="s">
        <v>51</v>
      </c>
      <c r="F1596" t="s">
        <v>47</v>
      </c>
      <c r="G1596">
        <v>12.35</v>
      </c>
      <c r="H1596">
        <v>3.23</v>
      </c>
      <c r="I1596">
        <v>4.5599999999999996</v>
      </c>
      <c r="J1596">
        <v>20.793600000000001</v>
      </c>
      <c r="K1596" t="str">
        <f>IFERROR(INDEX(Rosters!$C$2:$C$155,MATCH($B1596,Rosters!$B$2:$B$155,0)),"NA")</f>
        <v>chad</v>
      </c>
      <c r="L1596" t="str">
        <f t="shared" si="72"/>
        <v>chad9RB</v>
      </c>
      <c r="M1596">
        <f>COUNTIF(L$1:L1596,L1596)</f>
        <v>4</v>
      </c>
      <c r="N1596" t="str">
        <f t="shared" si="73"/>
        <v>chad9RB-4</v>
      </c>
      <c r="O1596">
        <f>COUNTIFS(F$1:F1596,F1596,A$1:A1596,A1596)</f>
        <v>24</v>
      </c>
      <c r="P1596" t="str">
        <f t="shared" si="74"/>
        <v>Javorius Allen9</v>
      </c>
    </row>
    <row r="1597" spans="1:16" x14ac:dyDescent="0.25">
      <c r="A1597">
        <v>2</v>
      </c>
      <c r="B1597" t="s">
        <v>1346</v>
      </c>
      <c r="C1597" t="s">
        <v>3335</v>
      </c>
      <c r="D1597">
        <v>7.79</v>
      </c>
      <c r="E1597" t="s">
        <v>32</v>
      </c>
      <c r="F1597" t="s">
        <v>47</v>
      </c>
      <c r="G1597">
        <v>12.18</v>
      </c>
      <c r="H1597">
        <v>3.4</v>
      </c>
      <c r="I1597">
        <v>4.3899999999999997</v>
      </c>
      <c r="J1597">
        <v>19.272099999999998</v>
      </c>
      <c r="K1597" t="str">
        <f>IFERROR(INDEX(Rosters!$C$2:$C$155,MATCH($B1597,Rosters!$B$2:$B$155,0)),"NA")</f>
        <v>comp</v>
      </c>
      <c r="L1597" t="str">
        <f t="shared" si="72"/>
        <v>comp2RB</v>
      </c>
      <c r="M1597">
        <f>COUNTIF(L$1:L1597,L1597)</f>
        <v>3</v>
      </c>
      <c r="N1597" t="str">
        <f t="shared" si="73"/>
        <v>comp2RB-3</v>
      </c>
      <c r="O1597">
        <f>COUNTIFS(F$1:F1597,F1597,A$1:A1597,A1597)</f>
        <v>29</v>
      </c>
      <c r="P1597" t="str">
        <f t="shared" si="74"/>
        <v>Royce Freeman2</v>
      </c>
    </row>
    <row r="1598" spans="1:16" x14ac:dyDescent="0.25">
      <c r="A1598">
        <v>6</v>
      </c>
      <c r="B1598" t="s">
        <v>1422</v>
      </c>
      <c r="C1598" t="s">
        <v>6858</v>
      </c>
      <c r="D1598">
        <v>7.78</v>
      </c>
      <c r="E1598" t="s">
        <v>17</v>
      </c>
      <c r="F1598" t="s">
        <v>87</v>
      </c>
      <c r="G1598">
        <v>13.52</v>
      </c>
      <c r="H1598">
        <v>2.04</v>
      </c>
      <c r="I1598">
        <v>5.74</v>
      </c>
      <c r="J1598">
        <v>32.947600000000001</v>
      </c>
      <c r="K1598" t="str">
        <f>IFERROR(INDEX(Rosters!$C$2:$C$155,MATCH($B1598,Rosters!$B$2:$B$155,0)),"NA")</f>
        <v>comp</v>
      </c>
      <c r="L1598" t="str">
        <f t="shared" si="72"/>
        <v>comp6WR</v>
      </c>
      <c r="M1598">
        <f>COUNTIF(L$1:L1598,L1598)</f>
        <v>5</v>
      </c>
      <c r="N1598" t="str">
        <f t="shared" si="73"/>
        <v>comp6WR-5</v>
      </c>
      <c r="O1598">
        <f>COUNTIFS(F$1:F1598,F1598,A$1:A1598,A1598)</f>
        <v>35</v>
      </c>
      <c r="P1598" t="str">
        <f t="shared" si="74"/>
        <v>Calvin Ridley6</v>
      </c>
    </row>
    <row r="1599" spans="1:16" x14ac:dyDescent="0.25">
      <c r="A1599">
        <v>7</v>
      </c>
      <c r="B1599" t="s">
        <v>149</v>
      </c>
      <c r="C1599" t="s">
        <v>4483</v>
      </c>
      <c r="D1599">
        <v>7.77</v>
      </c>
      <c r="E1599" t="s">
        <v>58</v>
      </c>
      <c r="F1599" t="s">
        <v>87</v>
      </c>
      <c r="G1599">
        <v>12.63</v>
      </c>
      <c r="H1599">
        <v>2.91</v>
      </c>
      <c r="I1599">
        <v>4.8600000000000003</v>
      </c>
      <c r="J1599">
        <v>23.619599999999998</v>
      </c>
      <c r="K1599" t="str">
        <f>IFERROR(INDEX(Rosters!$C$2:$C$155,MATCH($B1599,Rosters!$B$2:$B$155,0)),"NA")</f>
        <v>comp</v>
      </c>
      <c r="L1599" t="str">
        <f t="shared" si="72"/>
        <v>comp7WR</v>
      </c>
      <c r="M1599">
        <f>COUNTIF(L$1:L1599,L1599)</f>
        <v>3</v>
      </c>
      <c r="N1599" t="str">
        <f t="shared" si="73"/>
        <v>comp7WR-3</v>
      </c>
      <c r="O1599">
        <f>COUNTIFS(F$1:F1599,F1599,A$1:A1599,A1599)</f>
        <v>32</v>
      </c>
      <c r="P1599" t="str">
        <f t="shared" si="74"/>
        <v>Emmanuel Sanders7</v>
      </c>
    </row>
    <row r="1600" spans="1:16" x14ac:dyDescent="0.25">
      <c r="A1600">
        <v>13</v>
      </c>
      <c r="B1600" t="s">
        <v>1346</v>
      </c>
      <c r="C1600" t="s">
        <v>6859</v>
      </c>
      <c r="D1600">
        <v>7.77</v>
      </c>
      <c r="E1600" t="s">
        <v>31</v>
      </c>
      <c r="F1600" t="s">
        <v>47</v>
      </c>
      <c r="G1600">
        <v>14.17</v>
      </c>
      <c r="H1600">
        <v>1.37</v>
      </c>
      <c r="I1600">
        <v>6.4</v>
      </c>
      <c r="J1600">
        <v>40.96</v>
      </c>
      <c r="K1600" t="str">
        <f>IFERROR(INDEX(Rosters!$C$2:$C$155,MATCH($B1600,Rosters!$B$2:$B$155,0)),"NA")</f>
        <v>comp</v>
      </c>
      <c r="L1600" t="str">
        <f t="shared" si="72"/>
        <v>comp13RB</v>
      </c>
      <c r="M1600">
        <f>COUNTIF(L$1:L1600,L1600)</f>
        <v>2</v>
      </c>
      <c r="N1600" t="str">
        <f t="shared" si="73"/>
        <v>comp13RB-2</v>
      </c>
      <c r="O1600">
        <f>COUNTIFS(F$1:F1600,F1600,A$1:A1600,A1600)</f>
        <v>27</v>
      </c>
      <c r="P1600" t="str">
        <f t="shared" si="74"/>
        <v>Royce Freeman13</v>
      </c>
    </row>
    <row r="1601" spans="1:16" x14ac:dyDescent="0.25">
      <c r="A1601">
        <v>8</v>
      </c>
      <c r="B1601" t="s">
        <v>119</v>
      </c>
      <c r="C1601" t="s">
        <v>6860</v>
      </c>
      <c r="D1601">
        <v>7.76</v>
      </c>
      <c r="E1601" t="s">
        <v>73</v>
      </c>
      <c r="F1601" t="s">
        <v>87</v>
      </c>
      <c r="G1601">
        <v>13.51</v>
      </c>
      <c r="H1601">
        <v>2.0099999999999998</v>
      </c>
      <c r="I1601">
        <v>5.75</v>
      </c>
      <c r="J1601">
        <v>33.0625</v>
      </c>
      <c r="K1601" t="str">
        <f>IFERROR(INDEX(Rosters!$C$2:$C$155,MATCH($B1601,Rosters!$B$2:$B$155,0)),"NA")</f>
        <v>lucas</v>
      </c>
      <c r="L1601" t="str">
        <f t="shared" si="72"/>
        <v>lucas8WR</v>
      </c>
      <c r="M1601">
        <f>COUNTIF(L$1:L1601,L1601)</f>
        <v>3</v>
      </c>
      <c r="N1601" t="str">
        <f t="shared" si="73"/>
        <v>lucas8WR-3</v>
      </c>
      <c r="O1601">
        <f>COUNTIFS(F$1:F1601,F1601,A$1:A1601,A1601)</f>
        <v>36</v>
      </c>
      <c r="P1601" t="str">
        <f t="shared" si="74"/>
        <v>Allen Robinson8</v>
      </c>
    </row>
    <row r="1602" spans="1:16" x14ac:dyDescent="0.25">
      <c r="A1602">
        <v>6</v>
      </c>
      <c r="B1602" t="s">
        <v>207</v>
      </c>
      <c r="C1602" t="s">
        <v>6861</v>
      </c>
      <c r="D1602">
        <v>7.76</v>
      </c>
      <c r="E1602" t="s">
        <v>77</v>
      </c>
      <c r="F1602" t="s">
        <v>47</v>
      </c>
      <c r="G1602">
        <v>13.33</v>
      </c>
      <c r="H1602">
        <v>2.19</v>
      </c>
      <c r="I1602">
        <v>5.57</v>
      </c>
      <c r="J1602">
        <v>31.024899999999999</v>
      </c>
      <c r="K1602" t="str">
        <f>IFERROR(INDEX(Rosters!$C$2:$C$155,MATCH($B1602,Rosters!$B$2:$B$155,0)),"NA")</f>
        <v>chad</v>
      </c>
      <c r="L1602" t="str">
        <f t="shared" si="72"/>
        <v>chad6RB</v>
      </c>
      <c r="M1602">
        <f>COUNTIF(L$1:L1602,L1602)</f>
        <v>3</v>
      </c>
      <c r="N1602" t="str">
        <f t="shared" si="73"/>
        <v>chad6RB-3</v>
      </c>
      <c r="O1602">
        <f>COUNTIFS(F$1:F1602,F1602,A$1:A1602,A1602)</f>
        <v>30</v>
      </c>
      <c r="P1602" t="str">
        <f t="shared" si="74"/>
        <v>Dion Lewis6</v>
      </c>
    </row>
    <row r="1603" spans="1:16" x14ac:dyDescent="0.25">
      <c r="A1603">
        <v>1</v>
      </c>
      <c r="B1603" t="s">
        <v>193</v>
      </c>
      <c r="C1603" t="s">
        <v>3188</v>
      </c>
      <c r="D1603">
        <v>7.76</v>
      </c>
      <c r="E1603" t="s">
        <v>36</v>
      </c>
      <c r="F1603" t="s">
        <v>47</v>
      </c>
      <c r="G1603">
        <v>13.35</v>
      </c>
      <c r="H1603">
        <v>2.17</v>
      </c>
      <c r="I1603">
        <v>5.59</v>
      </c>
      <c r="J1603">
        <v>31.248100000000001</v>
      </c>
      <c r="K1603" t="str">
        <f>IFERROR(INDEX(Rosters!$C$2:$C$155,MATCH($B1603,Rosters!$B$2:$B$155,0)),"NA")</f>
        <v>cory</v>
      </c>
      <c r="L1603" t="str">
        <f t="shared" ref="L1603:L1666" si="75">K1603&amp;A1603&amp;F1603</f>
        <v>cory1RB</v>
      </c>
      <c r="M1603">
        <f>COUNTIF(L$1:L1603,L1603)</f>
        <v>2</v>
      </c>
      <c r="N1603" t="str">
        <f t="shared" ref="N1603:N1666" si="76">L1603&amp;"-"&amp;M1603</f>
        <v>cory1RB-2</v>
      </c>
      <c r="O1603">
        <f>COUNTIFS(F$1:F1603,F1603,A$1:A1603,A1603)</f>
        <v>26</v>
      </c>
      <c r="P1603" t="str">
        <f t="shared" ref="P1603:P1666" si="77">B1603&amp;A1603</f>
        <v>James White1</v>
      </c>
    </row>
    <row r="1604" spans="1:16" x14ac:dyDescent="0.25">
      <c r="A1604">
        <v>9</v>
      </c>
      <c r="B1604" t="s">
        <v>208</v>
      </c>
      <c r="C1604" t="s">
        <v>6862</v>
      </c>
      <c r="D1604">
        <v>7.76</v>
      </c>
      <c r="E1604" t="s">
        <v>30</v>
      </c>
      <c r="F1604" t="s">
        <v>114</v>
      </c>
      <c r="G1604">
        <v>12.9</v>
      </c>
      <c r="H1604">
        <v>2.62</v>
      </c>
      <c r="I1604">
        <v>5.14</v>
      </c>
      <c r="J1604">
        <v>26.419599999999999</v>
      </c>
      <c r="K1604" t="str">
        <f>IFERROR(INDEX(Rosters!$C$2:$C$155,MATCH($B1604,Rosters!$B$2:$B$155,0)),"NA")</f>
        <v>chad</v>
      </c>
      <c r="L1604" t="str">
        <f t="shared" si="75"/>
        <v>chad9TE</v>
      </c>
      <c r="M1604">
        <f>COUNTIF(L$1:L1604,L1604)</f>
        <v>1</v>
      </c>
      <c r="N1604" t="str">
        <f t="shared" si="76"/>
        <v>chad9TE-1</v>
      </c>
      <c r="O1604">
        <f>COUNTIFS(F$1:F1604,F1604,A$1:A1604,A1604)</f>
        <v>3</v>
      </c>
      <c r="P1604" t="str">
        <f t="shared" si="77"/>
        <v>Jared Cook9</v>
      </c>
    </row>
    <row r="1605" spans="1:16" x14ac:dyDescent="0.25">
      <c r="A1605">
        <v>17</v>
      </c>
      <c r="B1605" t="s">
        <v>134</v>
      </c>
      <c r="C1605" t="s">
        <v>6863</v>
      </c>
      <c r="D1605">
        <v>7.76</v>
      </c>
      <c r="E1605" t="s">
        <v>77</v>
      </c>
      <c r="F1605" t="s">
        <v>87</v>
      </c>
      <c r="G1605">
        <v>12.19</v>
      </c>
      <c r="H1605">
        <v>3.33</v>
      </c>
      <c r="I1605">
        <v>4.43</v>
      </c>
      <c r="J1605">
        <v>19.6249</v>
      </c>
      <c r="K1605" t="str">
        <f>IFERROR(INDEX(Rosters!$C$2:$C$155,MATCH($B1605,Rosters!$B$2:$B$155,0)),"NA")</f>
        <v>cory</v>
      </c>
      <c r="L1605" t="str">
        <f t="shared" si="75"/>
        <v>cory17WR</v>
      </c>
      <c r="M1605">
        <f>COUNTIF(L$1:L1605,L1605)</f>
        <v>3</v>
      </c>
      <c r="N1605" t="str">
        <f t="shared" si="76"/>
        <v>cory17WR-3</v>
      </c>
      <c r="O1605">
        <f>COUNTIFS(F$1:F1605,F1605,A$1:A1605,A1605)</f>
        <v>32</v>
      </c>
      <c r="P1605" t="str">
        <f t="shared" si="77"/>
        <v>Jarvis Landry17</v>
      </c>
    </row>
    <row r="1606" spans="1:16" x14ac:dyDescent="0.25">
      <c r="A1606">
        <v>13</v>
      </c>
      <c r="B1606" t="s">
        <v>158</v>
      </c>
      <c r="C1606" t="s">
        <v>6864</v>
      </c>
      <c r="D1606">
        <v>7.75</v>
      </c>
      <c r="E1606" t="s">
        <v>50</v>
      </c>
      <c r="F1606" t="s">
        <v>47</v>
      </c>
      <c r="G1606">
        <v>12.24</v>
      </c>
      <c r="H1606">
        <v>3.26</v>
      </c>
      <c r="I1606">
        <v>4.49</v>
      </c>
      <c r="J1606">
        <v>20.1601</v>
      </c>
      <c r="K1606" t="str">
        <f>IFERROR(INDEX(Rosters!$C$2:$C$155,MATCH($B1606,Rosters!$B$2:$B$155,0)),"NA")</f>
        <v>comp</v>
      </c>
      <c r="L1606" t="str">
        <f t="shared" si="75"/>
        <v>comp13RB</v>
      </c>
      <c r="M1606">
        <f>COUNTIF(L$1:L1606,L1606)</f>
        <v>3</v>
      </c>
      <c r="N1606" t="str">
        <f t="shared" si="76"/>
        <v>comp13RB-3</v>
      </c>
      <c r="O1606">
        <f>COUNTIFS(F$1:F1606,F1606,A$1:A1606,A1606)</f>
        <v>28</v>
      </c>
      <c r="P1606" t="str">
        <f t="shared" si="77"/>
        <v>Adrian Peterson13</v>
      </c>
    </row>
    <row r="1607" spans="1:16" x14ac:dyDescent="0.25">
      <c r="A1607">
        <v>5</v>
      </c>
      <c r="B1607" t="s">
        <v>1422</v>
      </c>
      <c r="C1607" t="s">
        <v>6865</v>
      </c>
      <c r="D1607">
        <v>7.75</v>
      </c>
      <c r="E1607" t="s">
        <v>51</v>
      </c>
      <c r="F1607" t="s">
        <v>87</v>
      </c>
      <c r="G1607">
        <v>13.29</v>
      </c>
      <c r="H1607">
        <v>2.21</v>
      </c>
      <c r="I1607">
        <v>5.54</v>
      </c>
      <c r="J1607">
        <v>30.691600000000001</v>
      </c>
      <c r="K1607" t="str">
        <f>IFERROR(INDEX(Rosters!$C$2:$C$155,MATCH($B1607,Rosters!$B$2:$B$155,0)),"NA")</f>
        <v>comp</v>
      </c>
      <c r="L1607" t="str">
        <f t="shared" si="75"/>
        <v>comp5WR</v>
      </c>
      <c r="M1607">
        <f>COUNTIF(L$1:L1607,L1607)</f>
        <v>4</v>
      </c>
      <c r="N1607" t="str">
        <f t="shared" si="76"/>
        <v>comp5WR-4</v>
      </c>
      <c r="O1607">
        <f>COUNTIFS(F$1:F1607,F1607,A$1:A1607,A1607)</f>
        <v>33</v>
      </c>
      <c r="P1607" t="str">
        <f t="shared" si="77"/>
        <v>Calvin Ridley5</v>
      </c>
    </row>
    <row r="1608" spans="1:16" x14ac:dyDescent="0.25">
      <c r="A1608">
        <v>8</v>
      </c>
      <c r="B1608" t="s">
        <v>202</v>
      </c>
      <c r="C1608" t="s">
        <v>6866</v>
      </c>
      <c r="D1608">
        <v>7.75</v>
      </c>
      <c r="E1608" t="s">
        <v>54</v>
      </c>
      <c r="F1608" t="s">
        <v>47</v>
      </c>
      <c r="G1608">
        <v>13.35</v>
      </c>
      <c r="H1608">
        <v>2.15</v>
      </c>
      <c r="I1608">
        <v>5.6</v>
      </c>
      <c r="J1608">
        <v>31.36</v>
      </c>
      <c r="K1608" t="str">
        <f>IFERROR(INDEX(Rosters!$C$2:$C$155,MATCH($B1608,Rosters!$B$2:$B$155,0)),"NA")</f>
        <v>lucas</v>
      </c>
      <c r="L1608" t="str">
        <f t="shared" si="75"/>
        <v>lucas8RB</v>
      </c>
      <c r="M1608">
        <f>COUNTIF(L$1:L1608,L1608)</f>
        <v>2</v>
      </c>
      <c r="N1608" t="str">
        <f t="shared" si="76"/>
        <v>lucas8RB-2</v>
      </c>
      <c r="O1608">
        <f>COUNTIFS(F$1:F1608,F1608,A$1:A1608,A1608)</f>
        <v>22</v>
      </c>
      <c r="P1608" t="str">
        <f t="shared" si="77"/>
        <v>Chris Thompson8</v>
      </c>
    </row>
    <row r="1609" spans="1:16" x14ac:dyDescent="0.25">
      <c r="A1609">
        <v>14</v>
      </c>
      <c r="B1609" t="s">
        <v>271</v>
      </c>
      <c r="C1609" t="s">
        <v>6867</v>
      </c>
      <c r="D1609">
        <v>7.75</v>
      </c>
      <c r="E1609" t="s">
        <v>46</v>
      </c>
      <c r="F1609" t="s">
        <v>87</v>
      </c>
      <c r="G1609">
        <v>13.37</v>
      </c>
      <c r="H1609">
        <v>2.13</v>
      </c>
      <c r="I1609">
        <v>5.62</v>
      </c>
      <c r="J1609">
        <v>31.584399999999999</v>
      </c>
      <c r="K1609" t="str">
        <f>IFERROR(INDEX(Rosters!$C$2:$C$155,MATCH($B1609,Rosters!$B$2:$B$155,0)),"NA")</f>
        <v>matty</v>
      </c>
      <c r="L1609" t="str">
        <f t="shared" si="75"/>
        <v>matty14WR</v>
      </c>
      <c r="M1609">
        <f>COUNTIF(L$1:L1609,L1609)</f>
        <v>5</v>
      </c>
      <c r="N1609" t="str">
        <f t="shared" si="76"/>
        <v>matty14WR-5</v>
      </c>
      <c r="O1609">
        <f>COUNTIFS(F$1:F1609,F1609,A$1:A1609,A1609)</f>
        <v>38</v>
      </c>
      <c r="P1609" t="str">
        <f t="shared" si="77"/>
        <v>Geronimo Allison14</v>
      </c>
    </row>
    <row r="1610" spans="1:16" x14ac:dyDescent="0.25">
      <c r="A1610">
        <v>9</v>
      </c>
      <c r="B1610" t="s">
        <v>195</v>
      </c>
      <c r="C1610" t="s">
        <v>6868</v>
      </c>
      <c r="D1610">
        <v>7.74</v>
      </c>
      <c r="E1610" t="s">
        <v>25</v>
      </c>
      <c r="F1610" t="s">
        <v>87</v>
      </c>
      <c r="G1610">
        <v>14.46</v>
      </c>
      <c r="H1610">
        <v>1.02</v>
      </c>
      <c r="I1610">
        <v>6.72</v>
      </c>
      <c r="J1610">
        <v>45.1584</v>
      </c>
      <c r="K1610" t="str">
        <f>IFERROR(INDEX(Rosters!$C$2:$C$155,MATCH($B1610,Rosters!$B$2:$B$155,0)),"NA")</f>
        <v>scott</v>
      </c>
      <c r="L1610" t="str">
        <f t="shared" si="75"/>
        <v>scott9WR</v>
      </c>
      <c r="M1610">
        <f>COUNTIF(L$1:L1610,L1610)</f>
        <v>3</v>
      </c>
      <c r="N1610" t="str">
        <f t="shared" si="76"/>
        <v>scott9WR-3</v>
      </c>
      <c r="O1610">
        <f>COUNTIFS(F$1:F1610,F1610,A$1:A1610,A1610)</f>
        <v>32</v>
      </c>
      <c r="P1610" t="str">
        <f t="shared" si="77"/>
        <v>Kenny Golladay9</v>
      </c>
    </row>
    <row r="1611" spans="1:16" x14ac:dyDescent="0.25">
      <c r="A1611">
        <v>7</v>
      </c>
      <c r="B1611" t="s">
        <v>1326</v>
      </c>
      <c r="C1611" t="s">
        <v>6869</v>
      </c>
      <c r="D1611">
        <v>7.74</v>
      </c>
      <c r="E1611" t="s">
        <v>19</v>
      </c>
      <c r="F1611" t="s">
        <v>47</v>
      </c>
      <c r="G1611">
        <v>14.51</v>
      </c>
      <c r="H1611">
        <v>0.97</v>
      </c>
      <c r="I1611">
        <v>6.77</v>
      </c>
      <c r="J1611">
        <v>45.832900000000002</v>
      </c>
      <c r="K1611" t="str">
        <f>IFERROR(INDEX(Rosters!$C$2:$C$155,MATCH($B1611,Rosters!$B$2:$B$155,0)),"NA")</f>
        <v>devon</v>
      </c>
      <c r="L1611" t="str">
        <f t="shared" si="75"/>
        <v>devon7RB</v>
      </c>
      <c r="M1611">
        <f>COUNTIF(L$1:L1611,L1611)</f>
        <v>4</v>
      </c>
      <c r="N1611" t="str">
        <f t="shared" si="76"/>
        <v>devon7RB-4</v>
      </c>
      <c r="O1611">
        <f>COUNTIFS(F$1:F1611,F1611,A$1:A1611,A1611)</f>
        <v>27</v>
      </c>
      <c r="P1611" t="str">
        <f t="shared" si="77"/>
        <v>Kerryon Johnson7</v>
      </c>
    </row>
    <row r="1612" spans="1:16" x14ac:dyDescent="0.25">
      <c r="A1612">
        <v>2</v>
      </c>
      <c r="B1612" t="s">
        <v>251</v>
      </c>
      <c r="C1612" t="s">
        <v>3691</v>
      </c>
      <c r="D1612">
        <v>7.73</v>
      </c>
      <c r="E1612" t="s">
        <v>46</v>
      </c>
      <c r="F1612" t="s">
        <v>87</v>
      </c>
      <c r="G1612">
        <v>13.24</v>
      </c>
      <c r="H1612">
        <v>2.2200000000000002</v>
      </c>
      <c r="I1612">
        <v>5.51</v>
      </c>
      <c r="J1612">
        <v>30.360099999999999</v>
      </c>
      <c r="K1612" t="str">
        <f>IFERROR(INDEX(Rosters!$C$2:$C$155,MATCH($B1612,Rosters!$B$2:$B$155,0)),"NA")</f>
        <v>chad</v>
      </c>
      <c r="L1612" t="str">
        <f t="shared" si="75"/>
        <v>chad2WR</v>
      </c>
      <c r="M1612">
        <f>COUNTIF(L$1:L1612,L1612)</f>
        <v>2</v>
      </c>
      <c r="N1612" t="str">
        <f t="shared" si="76"/>
        <v>chad2WR-2</v>
      </c>
      <c r="O1612">
        <f>COUNTIFS(F$1:F1612,F1612,A$1:A1612,A1612)</f>
        <v>32</v>
      </c>
      <c r="P1612" t="str">
        <f t="shared" si="77"/>
        <v>Devin Funchess2</v>
      </c>
    </row>
    <row r="1613" spans="1:16" x14ac:dyDescent="0.25">
      <c r="A1613">
        <v>11</v>
      </c>
      <c r="B1613" t="s">
        <v>166</v>
      </c>
      <c r="C1613" t="s">
        <v>6870</v>
      </c>
      <c r="D1613">
        <v>7.73</v>
      </c>
      <c r="E1613" t="s">
        <v>28</v>
      </c>
      <c r="F1613" t="s">
        <v>87</v>
      </c>
      <c r="G1613">
        <v>13.56</v>
      </c>
      <c r="H1613">
        <v>1.9</v>
      </c>
      <c r="I1613">
        <v>5.83</v>
      </c>
      <c r="J1613">
        <v>33.988900000000001</v>
      </c>
      <c r="K1613" t="str">
        <f>IFERROR(INDEX(Rosters!$C$2:$C$155,MATCH($B1613,Rosters!$B$2:$B$155,0)),"NA")</f>
        <v>seth</v>
      </c>
      <c r="L1613" t="str">
        <f t="shared" si="75"/>
        <v>seth11WR</v>
      </c>
      <c r="M1613">
        <f>COUNTIF(L$1:L1613,L1613)</f>
        <v>4</v>
      </c>
      <c r="N1613" t="str">
        <f t="shared" si="76"/>
        <v>seth11WR-4</v>
      </c>
      <c r="O1613">
        <f>COUNTIFS(F$1:F1613,F1613,A$1:A1613,A1613)</f>
        <v>34</v>
      </c>
      <c r="P1613" t="str">
        <f t="shared" si="77"/>
        <v>Randall Cobb11</v>
      </c>
    </row>
    <row r="1614" spans="1:16" x14ac:dyDescent="0.25">
      <c r="A1614">
        <v>12</v>
      </c>
      <c r="B1614" t="s">
        <v>221</v>
      </c>
      <c r="C1614" t="s">
        <v>6871</v>
      </c>
      <c r="D1614">
        <v>7.73</v>
      </c>
      <c r="E1614" t="s">
        <v>52</v>
      </c>
      <c r="F1614" t="s">
        <v>87</v>
      </c>
      <c r="G1614">
        <v>12.62</v>
      </c>
      <c r="H1614">
        <v>2.84</v>
      </c>
      <c r="I1614">
        <v>4.8899999999999997</v>
      </c>
      <c r="J1614">
        <v>23.912099999999999</v>
      </c>
      <c r="K1614" t="str">
        <f>IFERROR(INDEX(Rosters!$C$2:$C$155,MATCH($B1614,Rosters!$B$2:$B$155,0)),"NA")</f>
        <v>cory</v>
      </c>
      <c r="L1614" t="str">
        <f t="shared" si="75"/>
        <v>cory12WR</v>
      </c>
      <c r="M1614">
        <f>COUNTIF(L$1:L1614,L1614)</f>
        <v>4</v>
      </c>
      <c r="N1614" t="str">
        <f t="shared" si="76"/>
        <v>cory12WR-4</v>
      </c>
      <c r="O1614">
        <f>COUNTIFS(F$1:F1614,F1614,A$1:A1614,A1614)</f>
        <v>35</v>
      </c>
      <c r="P1614" t="str">
        <f t="shared" si="77"/>
        <v>Tyler Boyd12</v>
      </c>
    </row>
    <row r="1615" spans="1:16" x14ac:dyDescent="0.25">
      <c r="A1615">
        <v>7</v>
      </c>
      <c r="B1615" t="s">
        <v>266</v>
      </c>
      <c r="C1615" t="s">
        <v>6872</v>
      </c>
      <c r="D1615">
        <v>7.73</v>
      </c>
      <c r="E1615" t="s">
        <v>76</v>
      </c>
      <c r="F1615" t="s">
        <v>87</v>
      </c>
      <c r="G1615">
        <v>14.36</v>
      </c>
      <c r="H1615">
        <v>1.1000000000000001</v>
      </c>
      <c r="I1615">
        <v>6.63</v>
      </c>
      <c r="J1615">
        <v>43.956899999999997</v>
      </c>
      <c r="K1615" t="str">
        <f>IFERROR(INDEX(Rosters!$C$2:$C$155,MATCH($B1615,Rosters!$B$2:$B$155,0)),"NA")</f>
        <v>perry</v>
      </c>
      <c r="L1615" t="str">
        <f t="shared" si="75"/>
        <v>perry7WR</v>
      </c>
      <c r="M1615">
        <f>COUNTIF(L$1:L1615,L1615)</f>
        <v>2</v>
      </c>
      <c r="N1615" t="str">
        <f t="shared" si="76"/>
        <v>perry7WR-2</v>
      </c>
      <c r="O1615">
        <f>COUNTIFS(F$1:F1615,F1615,A$1:A1615,A1615)</f>
        <v>33</v>
      </c>
      <c r="P1615" t="str">
        <f t="shared" si="77"/>
        <v>Will Fuller V7</v>
      </c>
    </row>
    <row r="1616" spans="1:16" x14ac:dyDescent="0.25">
      <c r="A1616">
        <v>9</v>
      </c>
      <c r="B1616" t="s">
        <v>220</v>
      </c>
      <c r="C1616" t="s">
        <v>6873</v>
      </c>
      <c r="D1616">
        <v>7.72</v>
      </c>
      <c r="E1616" t="s">
        <v>73</v>
      </c>
      <c r="F1616" t="s">
        <v>87</v>
      </c>
      <c r="G1616">
        <v>14.12</v>
      </c>
      <c r="H1616">
        <v>1.32</v>
      </c>
      <c r="I1616">
        <v>6.4</v>
      </c>
      <c r="J1616">
        <v>40.96</v>
      </c>
      <c r="K1616" t="str">
        <f>IFERROR(INDEX(Rosters!$C$2:$C$155,MATCH($B1616,Rosters!$B$2:$B$155,0)),"NA")</f>
        <v>comp</v>
      </c>
      <c r="L1616" t="str">
        <f t="shared" si="75"/>
        <v>comp9WR</v>
      </c>
      <c r="M1616">
        <f>COUNTIF(L$1:L1616,L1616)</f>
        <v>4</v>
      </c>
      <c r="N1616" t="str">
        <f t="shared" si="76"/>
        <v>comp9WR-4</v>
      </c>
      <c r="O1616">
        <f>COUNTIFS(F$1:F1616,F1616,A$1:A1616,A1616)</f>
        <v>33</v>
      </c>
      <c r="P1616" t="str">
        <f t="shared" si="77"/>
        <v>Kenny Stills9</v>
      </c>
    </row>
    <row r="1617" spans="1:16" x14ac:dyDescent="0.25">
      <c r="A1617">
        <v>4</v>
      </c>
      <c r="B1617" t="s">
        <v>119</v>
      </c>
      <c r="C1617" t="s">
        <v>4484</v>
      </c>
      <c r="D1617">
        <v>7.7</v>
      </c>
      <c r="E1617" t="s">
        <v>17</v>
      </c>
      <c r="F1617" t="s">
        <v>87</v>
      </c>
      <c r="G1617">
        <v>12.8</v>
      </c>
      <c r="H1617">
        <v>2.6</v>
      </c>
      <c r="I1617">
        <v>5.0999999999999996</v>
      </c>
      <c r="J1617">
        <v>26.01</v>
      </c>
      <c r="K1617" t="str">
        <f>IFERROR(INDEX(Rosters!$C$2:$C$155,MATCH($B1617,Rosters!$B$2:$B$155,0)),"NA")</f>
        <v>lucas</v>
      </c>
      <c r="L1617" t="str">
        <f t="shared" si="75"/>
        <v>lucas4WR</v>
      </c>
      <c r="M1617">
        <f>COUNTIF(L$1:L1617,L1617)</f>
        <v>3</v>
      </c>
      <c r="N1617" t="str">
        <f t="shared" si="76"/>
        <v>lucas4WR-3</v>
      </c>
      <c r="O1617">
        <f>COUNTIFS(F$1:F1617,F1617,A$1:A1617,A1617)</f>
        <v>33</v>
      </c>
      <c r="P1617" t="str">
        <f t="shared" si="77"/>
        <v>Allen Robinson4</v>
      </c>
    </row>
    <row r="1618" spans="1:16" x14ac:dyDescent="0.25">
      <c r="A1618">
        <v>13</v>
      </c>
      <c r="B1618" t="s">
        <v>271</v>
      </c>
      <c r="C1618" t="s">
        <v>6874</v>
      </c>
      <c r="D1618">
        <v>7.69</v>
      </c>
      <c r="E1618" t="s">
        <v>58</v>
      </c>
      <c r="F1618" t="s">
        <v>87</v>
      </c>
      <c r="G1618">
        <v>14.22</v>
      </c>
      <c r="H1618">
        <v>1.1599999999999999</v>
      </c>
      <c r="I1618">
        <v>6.53</v>
      </c>
      <c r="J1618">
        <v>42.640900000000002</v>
      </c>
      <c r="K1618" t="str">
        <f>IFERROR(INDEX(Rosters!$C$2:$C$155,MATCH($B1618,Rosters!$B$2:$B$155,0)),"NA")</f>
        <v>matty</v>
      </c>
      <c r="L1618" t="str">
        <f t="shared" si="75"/>
        <v>matty13WR</v>
      </c>
      <c r="M1618">
        <f>COUNTIF(L$1:L1618,L1618)</f>
        <v>5</v>
      </c>
      <c r="N1618" t="str">
        <f t="shared" si="76"/>
        <v>matty13WR-5</v>
      </c>
      <c r="O1618">
        <f>COUNTIFS(F$1:F1618,F1618,A$1:A1618,A1618)</f>
        <v>38</v>
      </c>
      <c r="P1618" t="str">
        <f t="shared" si="77"/>
        <v>Geronimo Allison13</v>
      </c>
    </row>
    <row r="1619" spans="1:16" x14ac:dyDescent="0.25">
      <c r="A1619">
        <v>10</v>
      </c>
      <c r="B1619" t="s">
        <v>208</v>
      </c>
      <c r="C1619" t="s">
        <v>6875</v>
      </c>
      <c r="D1619">
        <v>7.69</v>
      </c>
      <c r="E1619" t="s">
        <v>37</v>
      </c>
      <c r="F1619" t="s">
        <v>114</v>
      </c>
      <c r="G1619">
        <v>12.12</v>
      </c>
      <c r="H1619">
        <v>3.26</v>
      </c>
      <c r="I1619">
        <v>4.43</v>
      </c>
      <c r="J1619">
        <v>19.6249</v>
      </c>
      <c r="K1619" t="str">
        <f>IFERROR(INDEX(Rosters!$C$2:$C$155,MATCH($B1619,Rosters!$B$2:$B$155,0)),"NA")</f>
        <v>chad</v>
      </c>
      <c r="L1619" t="str">
        <f t="shared" si="75"/>
        <v>chad10TE</v>
      </c>
      <c r="M1619">
        <f>COUNTIF(L$1:L1619,L1619)</f>
        <v>1</v>
      </c>
      <c r="N1619" t="str">
        <f t="shared" si="76"/>
        <v>chad10TE-1</v>
      </c>
      <c r="O1619">
        <f>COUNTIFS(F$1:F1619,F1619,A$1:A1619,A1619)</f>
        <v>4</v>
      </c>
      <c r="P1619" t="str">
        <f t="shared" si="77"/>
        <v>Jared Cook10</v>
      </c>
    </row>
    <row r="1620" spans="1:16" x14ac:dyDescent="0.25">
      <c r="A1620">
        <v>11</v>
      </c>
      <c r="B1620" t="s">
        <v>306</v>
      </c>
      <c r="C1620" t="s">
        <v>6876</v>
      </c>
      <c r="D1620">
        <v>7.69</v>
      </c>
      <c r="E1620" t="s">
        <v>31</v>
      </c>
      <c r="F1620" t="s">
        <v>47</v>
      </c>
      <c r="G1620">
        <v>12.36</v>
      </c>
      <c r="H1620">
        <v>3.02</v>
      </c>
      <c r="I1620">
        <v>4.67</v>
      </c>
      <c r="J1620">
        <v>21.808900000000001</v>
      </c>
      <c r="K1620" t="str">
        <f>IFERROR(INDEX(Rosters!$C$2:$C$155,MATCH($B1620,Rosters!$B$2:$B$155,0)),"NA")</f>
        <v>chad</v>
      </c>
      <c r="L1620" t="str">
        <f t="shared" si="75"/>
        <v>chad11RB</v>
      </c>
      <c r="M1620">
        <f>COUNTIF(L$1:L1620,L1620)</f>
        <v>4</v>
      </c>
      <c r="N1620" t="str">
        <f t="shared" si="76"/>
        <v>chad11RB-4</v>
      </c>
      <c r="O1620">
        <f>COUNTIFS(F$1:F1620,F1620,A$1:A1620,A1620)</f>
        <v>24</v>
      </c>
      <c r="P1620" t="str">
        <f t="shared" si="77"/>
        <v>Javorius Allen11</v>
      </c>
    </row>
    <row r="1621" spans="1:16" x14ac:dyDescent="0.25">
      <c r="A1621">
        <v>11</v>
      </c>
      <c r="B1621" t="s">
        <v>1326</v>
      </c>
      <c r="C1621" t="s">
        <v>6877</v>
      </c>
      <c r="D1621">
        <v>7.69</v>
      </c>
      <c r="E1621" t="s">
        <v>74</v>
      </c>
      <c r="F1621" t="s">
        <v>47</v>
      </c>
      <c r="G1621">
        <v>13.4</v>
      </c>
      <c r="H1621">
        <v>1.98</v>
      </c>
      <c r="I1621">
        <v>5.71</v>
      </c>
      <c r="J1621">
        <v>32.604100000000003</v>
      </c>
      <c r="K1621" t="str">
        <f>IFERROR(INDEX(Rosters!$C$2:$C$155,MATCH($B1621,Rosters!$B$2:$B$155,0)),"NA")</f>
        <v>devon</v>
      </c>
      <c r="L1621" t="str">
        <f t="shared" si="75"/>
        <v>devon11RB</v>
      </c>
      <c r="M1621">
        <f>COUNTIF(L$1:L1621,L1621)</f>
        <v>3</v>
      </c>
      <c r="N1621" t="str">
        <f t="shared" si="76"/>
        <v>devon11RB-3</v>
      </c>
      <c r="O1621">
        <f>COUNTIFS(F$1:F1621,F1621,A$1:A1621,A1621)</f>
        <v>25</v>
      </c>
      <c r="P1621" t="str">
        <f t="shared" si="77"/>
        <v>Kerryon Johnson11</v>
      </c>
    </row>
    <row r="1622" spans="1:16" x14ac:dyDescent="0.25">
      <c r="A1622">
        <v>2</v>
      </c>
      <c r="B1622" t="s">
        <v>248</v>
      </c>
      <c r="C1622" t="s">
        <v>3692</v>
      </c>
      <c r="D1622">
        <v>7.69</v>
      </c>
      <c r="E1622" t="s">
        <v>58</v>
      </c>
      <c r="F1622" t="s">
        <v>87</v>
      </c>
      <c r="G1622">
        <v>12.79</v>
      </c>
      <c r="H1622">
        <v>2.59</v>
      </c>
      <c r="I1622">
        <v>5.0999999999999996</v>
      </c>
      <c r="J1622">
        <v>26.01</v>
      </c>
      <c r="K1622" t="str">
        <f>IFERROR(INDEX(Rosters!$C$2:$C$155,MATCH($B1622,Rosters!$B$2:$B$155,0)),"NA")</f>
        <v>matty</v>
      </c>
      <c r="L1622" t="str">
        <f t="shared" si="75"/>
        <v>matty2WR</v>
      </c>
      <c r="M1622">
        <f>COUNTIF(L$1:L1622,L1622)</f>
        <v>4</v>
      </c>
      <c r="N1622" t="str">
        <f t="shared" si="76"/>
        <v>matty2WR-4</v>
      </c>
      <c r="O1622">
        <f>COUNTIFS(F$1:F1622,F1622,A$1:A1622,A1622)</f>
        <v>33</v>
      </c>
      <c r="P1622" t="str">
        <f t="shared" si="77"/>
        <v>Robert Woods2</v>
      </c>
    </row>
    <row r="1623" spans="1:16" x14ac:dyDescent="0.25">
      <c r="A1623">
        <v>15</v>
      </c>
      <c r="B1623" t="s">
        <v>245</v>
      </c>
      <c r="C1623" t="s">
        <v>6878</v>
      </c>
      <c r="D1623">
        <v>7.69</v>
      </c>
      <c r="E1623" t="s">
        <v>60</v>
      </c>
      <c r="F1623" t="s">
        <v>47</v>
      </c>
      <c r="G1623">
        <v>13.79</v>
      </c>
      <c r="H1623">
        <v>1.59</v>
      </c>
      <c r="I1623">
        <v>6.1</v>
      </c>
      <c r="J1623">
        <v>37.21</v>
      </c>
      <c r="K1623" t="str">
        <f>IFERROR(INDEX(Rosters!$C$2:$C$155,MATCH($B1623,Rosters!$B$2:$B$155,0)),"NA")</f>
        <v>seth</v>
      </c>
      <c r="L1623" t="str">
        <f t="shared" si="75"/>
        <v>seth15RB</v>
      </c>
      <c r="M1623">
        <f>COUNTIF(L$1:L1623,L1623)</f>
        <v>4</v>
      </c>
      <c r="N1623" t="str">
        <f t="shared" si="76"/>
        <v>seth15RB-4</v>
      </c>
      <c r="O1623">
        <f>COUNTIFS(F$1:F1623,F1623,A$1:A1623,A1623)</f>
        <v>30</v>
      </c>
      <c r="P1623" t="str">
        <f t="shared" si="77"/>
        <v>T.J. Yeldon15</v>
      </c>
    </row>
    <row r="1624" spans="1:16" x14ac:dyDescent="0.25">
      <c r="A1624">
        <v>3</v>
      </c>
      <c r="B1624" t="s">
        <v>205</v>
      </c>
      <c r="C1624" t="s">
        <v>3693</v>
      </c>
      <c r="D1624">
        <v>7.68</v>
      </c>
      <c r="E1624" t="s">
        <v>60</v>
      </c>
      <c r="F1624" t="s">
        <v>47</v>
      </c>
      <c r="G1624">
        <v>14.1</v>
      </c>
      <c r="H1624">
        <v>1.26</v>
      </c>
      <c r="I1624">
        <v>6.42</v>
      </c>
      <c r="J1624">
        <v>41.2164</v>
      </c>
      <c r="K1624" t="str">
        <f>IFERROR(INDEX(Rosters!$C$2:$C$155,MATCH($B1624,Rosters!$B$2:$B$155,0)),"NA")</f>
        <v>NA</v>
      </c>
      <c r="L1624" t="str">
        <f t="shared" si="75"/>
        <v>NA3RB</v>
      </c>
      <c r="M1624">
        <f>COUNTIF(L$1:L1624,L1624)</f>
        <v>5</v>
      </c>
      <c r="N1624" t="str">
        <f t="shared" si="76"/>
        <v>NA3RB-5</v>
      </c>
      <c r="O1624">
        <f>COUNTIFS(F$1:F1624,F1624,A$1:A1624,A1624)</f>
        <v>30</v>
      </c>
      <c r="P1624" t="str">
        <f t="shared" si="77"/>
        <v>Jamaal Williams3</v>
      </c>
    </row>
    <row r="1625" spans="1:16" x14ac:dyDescent="0.25">
      <c r="A1625">
        <v>6</v>
      </c>
      <c r="B1625" t="s">
        <v>796</v>
      </c>
      <c r="C1625" t="s">
        <v>6879</v>
      </c>
      <c r="D1625">
        <v>7.67</v>
      </c>
      <c r="E1625" t="s">
        <v>38</v>
      </c>
      <c r="F1625" t="s">
        <v>47</v>
      </c>
      <c r="G1625">
        <v>13.93</v>
      </c>
      <c r="H1625">
        <v>1.41</v>
      </c>
      <c r="I1625">
        <v>6.26</v>
      </c>
      <c r="J1625">
        <v>39.187600000000003</v>
      </c>
      <c r="K1625" t="str">
        <f>IFERROR(INDEX(Rosters!$C$2:$C$155,MATCH($B1625,Rosters!$B$2:$B$155,0)),"NA")</f>
        <v>seth</v>
      </c>
      <c r="L1625" t="str">
        <f t="shared" si="75"/>
        <v>seth6RB</v>
      </c>
      <c r="M1625">
        <f>COUNTIF(L$1:L1625,L1625)</f>
        <v>3</v>
      </c>
      <c r="N1625" t="str">
        <f t="shared" si="76"/>
        <v>seth6RB-3</v>
      </c>
      <c r="O1625">
        <f>COUNTIFS(F$1:F1625,F1625,A$1:A1625,A1625)</f>
        <v>31</v>
      </c>
      <c r="P1625" t="str">
        <f t="shared" si="77"/>
        <v>Alex Collins6</v>
      </c>
    </row>
    <row r="1626" spans="1:16" x14ac:dyDescent="0.25">
      <c r="A1626">
        <v>14</v>
      </c>
      <c r="B1626" t="s">
        <v>201</v>
      </c>
      <c r="C1626" t="s">
        <v>6880</v>
      </c>
      <c r="D1626">
        <v>7.67</v>
      </c>
      <c r="E1626" t="s">
        <v>76</v>
      </c>
      <c r="F1626" t="s">
        <v>47</v>
      </c>
      <c r="G1626">
        <v>13.29</v>
      </c>
      <c r="H1626">
        <v>2.0499999999999998</v>
      </c>
      <c r="I1626">
        <v>5.62</v>
      </c>
      <c r="J1626">
        <v>31.584399999999999</v>
      </c>
      <c r="K1626" t="str">
        <f>IFERROR(INDEX(Rosters!$C$2:$C$155,MATCH($B1626,Rosters!$B$2:$B$155,0)),"NA")</f>
        <v>seth</v>
      </c>
      <c r="L1626" t="str">
        <f t="shared" si="75"/>
        <v>seth14RB</v>
      </c>
      <c r="M1626">
        <f>COUNTIF(L$1:L1626,L1626)</f>
        <v>2</v>
      </c>
      <c r="N1626" t="str">
        <f t="shared" si="76"/>
        <v>seth14RB-2</v>
      </c>
      <c r="O1626">
        <f>COUNTIFS(F$1:F1626,F1626,A$1:A1626,A1626)</f>
        <v>31</v>
      </c>
      <c r="P1626" t="str">
        <f t="shared" si="77"/>
        <v>Derrick Henry14</v>
      </c>
    </row>
    <row r="1627" spans="1:16" x14ac:dyDescent="0.25">
      <c r="A1627">
        <v>4</v>
      </c>
      <c r="B1627" t="s">
        <v>1388</v>
      </c>
      <c r="C1627" t="s">
        <v>9060</v>
      </c>
      <c r="D1627">
        <v>7.67</v>
      </c>
      <c r="E1627" t="s">
        <v>36</v>
      </c>
      <c r="F1627" t="s">
        <v>47</v>
      </c>
      <c r="G1627">
        <v>14.6</v>
      </c>
      <c r="H1627">
        <v>0.74</v>
      </c>
      <c r="I1627">
        <v>6.93</v>
      </c>
      <c r="J1627">
        <v>48.024900000000002</v>
      </c>
      <c r="K1627" t="str">
        <f>IFERROR(INDEX(Rosters!$C$2:$C$155,MATCH($B1627,Rosters!$B$2:$B$155,0)),"NA")</f>
        <v>NA</v>
      </c>
      <c r="L1627" t="str">
        <f t="shared" si="75"/>
        <v>NA4RB</v>
      </c>
      <c r="M1627">
        <f>COUNTIF(L$1:L1627,L1627)</f>
        <v>3</v>
      </c>
      <c r="N1627" t="str">
        <f t="shared" si="76"/>
        <v>NA4RB-3</v>
      </c>
      <c r="O1627">
        <f>COUNTIFS(F$1:F1627,F1627,A$1:A1627,A1627)</f>
        <v>28</v>
      </c>
      <c r="P1627" t="str">
        <f t="shared" si="77"/>
        <v>Jordan Wilkins4</v>
      </c>
    </row>
    <row r="1628" spans="1:16" x14ac:dyDescent="0.25">
      <c r="A1628">
        <v>7</v>
      </c>
      <c r="B1628" t="s">
        <v>212</v>
      </c>
      <c r="C1628" t="s">
        <v>6881</v>
      </c>
      <c r="D1628">
        <v>7.66</v>
      </c>
      <c r="E1628" t="s">
        <v>56</v>
      </c>
      <c r="F1628" t="s">
        <v>47</v>
      </c>
      <c r="G1628">
        <v>13.1</v>
      </c>
      <c r="H1628">
        <v>2.2200000000000002</v>
      </c>
      <c r="I1628">
        <v>5.44</v>
      </c>
      <c r="J1628">
        <v>29.593599999999999</v>
      </c>
      <c r="K1628" t="str">
        <f>IFERROR(INDEX(Rosters!$C$2:$C$155,MATCH($B1628,Rosters!$B$2:$B$155,0)),"NA")</f>
        <v>seth</v>
      </c>
      <c r="L1628" t="str">
        <f t="shared" si="75"/>
        <v>seth7RB</v>
      </c>
      <c r="M1628">
        <f>COUNTIF(L$1:L1628,L1628)</f>
        <v>3</v>
      </c>
      <c r="N1628" t="str">
        <f t="shared" si="76"/>
        <v>seth7RB-3</v>
      </c>
      <c r="O1628">
        <f>COUNTIFS(F$1:F1628,F1628,A$1:A1628,A1628)</f>
        <v>28</v>
      </c>
      <c r="P1628" t="str">
        <f t="shared" si="77"/>
        <v>Alfred Morris7</v>
      </c>
    </row>
    <row r="1629" spans="1:16" x14ac:dyDescent="0.25">
      <c r="A1629">
        <v>11</v>
      </c>
      <c r="B1629" t="s">
        <v>235</v>
      </c>
      <c r="C1629" t="s">
        <v>6882</v>
      </c>
      <c r="D1629">
        <v>7.66</v>
      </c>
      <c r="E1629" t="s">
        <v>17</v>
      </c>
      <c r="F1629" t="s">
        <v>114</v>
      </c>
      <c r="G1629">
        <v>12.73</v>
      </c>
      <c r="H1629">
        <v>2.59</v>
      </c>
      <c r="I1629">
        <v>5.07</v>
      </c>
      <c r="J1629">
        <v>25.704899999999999</v>
      </c>
      <c r="K1629" t="str">
        <f>IFERROR(INDEX(Rosters!$C$2:$C$155,MATCH($B1629,Rosters!$B$2:$B$155,0)),"NA")</f>
        <v>devon</v>
      </c>
      <c r="L1629" t="str">
        <f t="shared" si="75"/>
        <v>devon11TE</v>
      </c>
      <c r="M1629">
        <f>COUNTIF(L$1:L1629,L1629)</f>
        <v>1</v>
      </c>
      <c r="N1629" t="str">
        <f t="shared" si="76"/>
        <v>devon11TE-1</v>
      </c>
      <c r="O1629">
        <f>COUNTIFS(F$1:F1629,F1629,A$1:A1629,A1629)</f>
        <v>3</v>
      </c>
      <c r="P1629" t="str">
        <f t="shared" si="77"/>
        <v>Evan Engram11</v>
      </c>
    </row>
    <row r="1630" spans="1:16" x14ac:dyDescent="0.25">
      <c r="A1630">
        <v>17</v>
      </c>
      <c r="B1630" t="s">
        <v>119</v>
      </c>
      <c r="C1630" t="s">
        <v>6883</v>
      </c>
      <c r="D1630">
        <v>7.65</v>
      </c>
      <c r="E1630" t="s">
        <v>25</v>
      </c>
      <c r="F1630" t="s">
        <v>87</v>
      </c>
      <c r="G1630">
        <v>13.48</v>
      </c>
      <c r="H1630">
        <v>1.82</v>
      </c>
      <c r="I1630">
        <v>5.83</v>
      </c>
      <c r="J1630">
        <v>33.988900000000001</v>
      </c>
      <c r="K1630" t="str">
        <f>IFERROR(INDEX(Rosters!$C$2:$C$155,MATCH($B1630,Rosters!$B$2:$B$155,0)),"NA")</f>
        <v>lucas</v>
      </c>
      <c r="L1630" t="str">
        <f t="shared" si="75"/>
        <v>lucas17WR</v>
      </c>
      <c r="M1630">
        <f>COUNTIF(L$1:L1630,L1630)</f>
        <v>3</v>
      </c>
      <c r="N1630" t="str">
        <f t="shared" si="76"/>
        <v>lucas17WR-3</v>
      </c>
      <c r="O1630">
        <f>COUNTIFS(F$1:F1630,F1630,A$1:A1630,A1630)</f>
        <v>33</v>
      </c>
      <c r="P1630" t="str">
        <f t="shared" si="77"/>
        <v>Allen Robinson17</v>
      </c>
    </row>
    <row r="1631" spans="1:16" x14ac:dyDescent="0.25">
      <c r="A1631">
        <v>16</v>
      </c>
      <c r="B1631" t="s">
        <v>48</v>
      </c>
      <c r="C1631" t="s">
        <v>6884</v>
      </c>
      <c r="D1631">
        <v>7.65</v>
      </c>
      <c r="E1631" t="s">
        <v>14</v>
      </c>
      <c r="F1631" t="s">
        <v>47</v>
      </c>
      <c r="G1631">
        <v>13.6</v>
      </c>
      <c r="H1631">
        <v>1.7</v>
      </c>
      <c r="I1631">
        <v>5.95</v>
      </c>
      <c r="J1631">
        <v>35.402500000000003</v>
      </c>
      <c r="K1631" t="str">
        <f>IFERROR(INDEX(Rosters!$C$2:$C$155,MATCH($B1631,Rosters!$B$2:$B$155,0)),"NA")</f>
        <v>devon</v>
      </c>
      <c r="L1631" t="str">
        <f t="shared" si="75"/>
        <v>devon16RB</v>
      </c>
      <c r="M1631">
        <f>COUNTIF(L$1:L1631,L1631)</f>
        <v>4</v>
      </c>
      <c r="N1631" t="str">
        <f t="shared" si="76"/>
        <v>devon16RB-4</v>
      </c>
      <c r="O1631">
        <f>COUNTIFS(F$1:F1631,F1631,A$1:A1631,A1631)</f>
        <v>30</v>
      </c>
      <c r="P1631" t="str">
        <f t="shared" si="77"/>
        <v>Le'Veon Bell16</v>
      </c>
    </row>
    <row r="1632" spans="1:16" x14ac:dyDescent="0.25">
      <c r="A1632">
        <v>8</v>
      </c>
      <c r="B1632" t="s">
        <v>116</v>
      </c>
      <c r="C1632" t="s">
        <v>6885</v>
      </c>
      <c r="D1632">
        <v>7.65</v>
      </c>
      <c r="E1632" t="s">
        <v>74</v>
      </c>
      <c r="F1632" t="s">
        <v>87</v>
      </c>
      <c r="G1632">
        <v>12.57</v>
      </c>
      <c r="H1632">
        <v>2.73</v>
      </c>
      <c r="I1632">
        <v>4.92</v>
      </c>
      <c r="J1632">
        <v>24.206399999999999</v>
      </c>
      <c r="K1632" t="str">
        <f>IFERROR(INDEX(Rosters!$C$2:$C$155,MATCH($B1632,Rosters!$B$2:$B$155,0)),"NA")</f>
        <v>aj</v>
      </c>
      <c r="L1632" t="str">
        <f t="shared" si="75"/>
        <v>aj8WR</v>
      </c>
      <c r="M1632">
        <f>COUNTIF(L$1:L1632,L1632)</f>
        <v>4</v>
      </c>
      <c r="N1632" t="str">
        <f t="shared" si="76"/>
        <v>aj8WR-4</v>
      </c>
      <c r="O1632">
        <f>COUNTIFS(F$1:F1632,F1632,A$1:A1632,A1632)</f>
        <v>37</v>
      </c>
      <c r="P1632" t="str">
        <f t="shared" si="77"/>
        <v>Michael Crabtree8</v>
      </c>
    </row>
    <row r="1633" spans="1:16" x14ac:dyDescent="0.25">
      <c r="A1633">
        <v>12</v>
      </c>
      <c r="B1633" t="s">
        <v>303</v>
      </c>
      <c r="C1633" t="s">
        <v>6883</v>
      </c>
      <c r="D1633">
        <v>7.65</v>
      </c>
      <c r="E1633" t="s">
        <v>36</v>
      </c>
      <c r="F1633" t="s">
        <v>87</v>
      </c>
      <c r="G1633">
        <v>13.48</v>
      </c>
      <c r="H1633">
        <v>1.82</v>
      </c>
      <c r="I1633">
        <v>5.83</v>
      </c>
      <c r="J1633">
        <v>33.988900000000001</v>
      </c>
      <c r="K1633" t="str">
        <f>IFERROR(INDEX(Rosters!$C$2:$C$155,MATCH($B1633,Rosters!$B$2:$B$155,0)),"NA")</f>
        <v>NA</v>
      </c>
      <c r="L1633" t="str">
        <f t="shared" si="75"/>
        <v>NA12WR</v>
      </c>
      <c r="M1633">
        <f>COUNTIF(L$1:L1633,L1633)</f>
        <v>2</v>
      </c>
      <c r="N1633" t="str">
        <f t="shared" si="76"/>
        <v>NA12WR-2</v>
      </c>
      <c r="O1633">
        <f>COUNTIFS(F$1:F1633,F1633,A$1:A1633,A1633)</f>
        <v>36</v>
      </c>
      <c r="P1633" t="str">
        <f t="shared" si="77"/>
        <v>Taywan Taylor12</v>
      </c>
    </row>
    <row r="1634" spans="1:16" x14ac:dyDescent="0.25">
      <c r="A1634">
        <v>12</v>
      </c>
      <c r="B1634" t="s">
        <v>1422</v>
      </c>
      <c r="C1634" t="s">
        <v>6886</v>
      </c>
      <c r="D1634">
        <v>7.64</v>
      </c>
      <c r="E1634" t="s">
        <v>14</v>
      </c>
      <c r="F1634" t="s">
        <v>87</v>
      </c>
      <c r="G1634">
        <v>13.71</v>
      </c>
      <c r="H1634">
        <v>1.57</v>
      </c>
      <c r="I1634">
        <v>6.07</v>
      </c>
      <c r="J1634">
        <v>36.844900000000003</v>
      </c>
      <c r="K1634" t="str">
        <f>IFERROR(INDEX(Rosters!$C$2:$C$155,MATCH($B1634,Rosters!$B$2:$B$155,0)),"NA")</f>
        <v>comp</v>
      </c>
      <c r="L1634" t="str">
        <f t="shared" si="75"/>
        <v>comp12WR</v>
      </c>
      <c r="M1634">
        <f>COUNTIF(L$1:L1634,L1634)</f>
        <v>5</v>
      </c>
      <c r="N1634" t="str">
        <f t="shared" si="76"/>
        <v>comp12WR-5</v>
      </c>
      <c r="O1634">
        <f>COUNTIFS(F$1:F1634,F1634,A$1:A1634,A1634)</f>
        <v>37</v>
      </c>
      <c r="P1634" t="str">
        <f t="shared" si="77"/>
        <v>Calvin Ridley12</v>
      </c>
    </row>
    <row r="1635" spans="1:16" x14ac:dyDescent="0.25">
      <c r="A1635">
        <v>9</v>
      </c>
      <c r="B1635" t="s">
        <v>834</v>
      </c>
      <c r="C1635" t="s">
        <v>6887</v>
      </c>
      <c r="D1635">
        <v>7.64</v>
      </c>
      <c r="E1635" t="s">
        <v>37</v>
      </c>
      <c r="F1635" t="s">
        <v>47</v>
      </c>
      <c r="G1635">
        <v>13.48</v>
      </c>
      <c r="H1635">
        <v>1.8</v>
      </c>
      <c r="I1635">
        <v>5.84</v>
      </c>
      <c r="J1635">
        <v>34.105600000000003</v>
      </c>
      <c r="K1635" t="str">
        <f>IFERROR(INDEX(Rosters!$C$2:$C$155,MATCH($B1635,Rosters!$B$2:$B$155,0)),"NA")</f>
        <v>lucas</v>
      </c>
      <c r="L1635" t="str">
        <f t="shared" si="75"/>
        <v>lucas9RB</v>
      </c>
      <c r="M1635">
        <f>COUNTIF(L$1:L1635,L1635)</f>
        <v>2</v>
      </c>
      <c r="N1635" t="str">
        <f t="shared" si="76"/>
        <v>lucas9RB-2</v>
      </c>
      <c r="O1635">
        <f>COUNTIFS(F$1:F1635,F1635,A$1:A1635,A1635)</f>
        <v>25</v>
      </c>
      <c r="P1635" t="str">
        <f t="shared" si="77"/>
        <v>Chris Carson9</v>
      </c>
    </row>
    <row r="1636" spans="1:16" x14ac:dyDescent="0.25">
      <c r="A1636">
        <v>12</v>
      </c>
      <c r="B1636" t="s">
        <v>149</v>
      </c>
      <c r="C1636" t="s">
        <v>6888</v>
      </c>
      <c r="D1636">
        <v>7.64</v>
      </c>
      <c r="E1636" t="s">
        <v>51</v>
      </c>
      <c r="F1636" t="s">
        <v>87</v>
      </c>
      <c r="G1636">
        <v>12.71</v>
      </c>
      <c r="H1636">
        <v>2.57</v>
      </c>
      <c r="I1636">
        <v>5.07</v>
      </c>
      <c r="J1636">
        <v>25.704899999999999</v>
      </c>
      <c r="K1636" t="str">
        <f>IFERROR(INDEX(Rosters!$C$2:$C$155,MATCH($B1636,Rosters!$B$2:$B$155,0)),"NA")</f>
        <v>comp</v>
      </c>
      <c r="L1636" t="str">
        <f t="shared" si="75"/>
        <v>comp12WR</v>
      </c>
      <c r="M1636">
        <f>COUNTIF(L$1:L1636,L1636)</f>
        <v>6</v>
      </c>
      <c r="N1636" t="str">
        <f t="shared" si="76"/>
        <v>comp12WR-6</v>
      </c>
      <c r="O1636">
        <f>COUNTIFS(F$1:F1636,F1636,A$1:A1636,A1636)</f>
        <v>38</v>
      </c>
      <c r="P1636" t="str">
        <f t="shared" si="77"/>
        <v>Emmanuel Sanders12</v>
      </c>
    </row>
    <row r="1637" spans="1:16" x14ac:dyDescent="0.25">
      <c r="A1637">
        <v>8</v>
      </c>
      <c r="B1637" t="s">
        <v>166</v>
      </c>
      <c r="C1637" t="s">
        <v>6889</v>
      </c>
      <c r="D1637">
        <v>7.64</v>
      </c>
      <c r="E1637" t="s">
        <v>56</v>
      </c>
      <c r="F1637" t="s">
        <v>87</v>
      </c>
      <c r="G1637">
        <v>12.85</v>
      </c>
      <c r="H1637">
        <v>2.4300000000000002</v>
      </c>
      <c r="I1637">
        <v>5.21</v>
      </c>
      <c r="J1637">
        <v>27.144100000000002</v>
      </c>
      <c r="K1637" t="str">
        <f>IFERROR(INDEX(Rosters!$C$2:$C$155,MATCH($B1637,Rosters!$B$2:$B$155,0)),"NA")</f>
        <v>seth</v>
      </c>
      <c r="L1637" t="str">
        <f t="shared" si="75"/>
        <v>seth8WR</v>
      </c>
      <c r="M1637">
        <f>COUNTIF(L$1:L1637,L1637)</f>
        <v>5</v>
      </c>
      <c r="N1637" t="str">
        <f t="shared" si="76"/>
        <v>seth8WR-5</v>
      </c>
      <c r="O1637">
        <f>COUNTIFS(F$1:F1637,F1637,A$1:A1637,A1637)</f>
        <v>38</v>
      </c>
      <c r="P1637" t="str">
        <f t="shared" si="77"/>
        <v>Randall Cobb8</v>
      </c>
    </row>
    <row r="1638" spans="1:16" x14ac:dyDescent="0.25">
      <c r="A1638">
        <v>17</v>
      </c>
      <c r="B1638" t="s">
        <v>48</v>
      </c>
      <c r="C1638" t="s">
        <v>6890</v>
      </c>
      <c r="D1638">
        <v>7.63</v>
      </c>
      <c r="E1638" t="s">
        <v>31</v>
      </c>
      <c r="F1638" t="s">
        <v>47</v>
      </c>
      <c r="G1638">
        <v>12.81</v>
      </c>
      <c r="H1638">
        <v>2.4500000000000002</v>
      </c>
      <c r="I1638">
        <v>5.18</v>
      </c>
      <c r="J1638">
        <v>26.8324</v>
      </c>
      <c r="K1638" t="str">
        <f>IFERROR(INDEX(Rosters!$C$2:$C$155,MATCH($B1638,Rosters!$B$2:$B$155,0)),"NA")</f>
        <v>devon</v>
      </c>
      <c r="L1638" t="str">
        <f t="shared" si="75"/>
        <v>devon17RB</v>
      </c>
      <c r="M1638">
        <f>COUNTIF(L$1:L1638,L1638)</f>
        <v>6</v>
      </c>
      <c r="N1638" t="str">
        <f t="shared" si="76"/>
        <v>devon17RB-6</v>
      </c>
      <c r="O1638">
        <f>COUNTIFS(F$1:F1638,F1638,A$1:A1638,A1638)</f>
        <v>32</v>
      </c>
      <c r="P1638" t="str">
        <f t="shared" si="77"/>
        <v>Le'Veon Bell17</v>
      </c>
    </row>
    <row r="1639" spans="1:16" x14ac:dyDescent="0.25">
      <c r="A1639">
        <v>17</v>
      </c>
      <c r="B1639" t="s">
        <v>251</v>
      </c>
      <c r="C1639" t="s">
        <v>6891</v>
      </c>
      <c r="D1639">
        <v>7.62</v>
      </c>
      <c r="E1639" t="s">
        <v>14</v>
      </c>
      <c r="F1639" t="s">
        <v>87</v>
      </c>
      <c r="G1639">
        <v>12.78</v>
      </c>
      <c r="H1639">
        <v>2.46</v>
      </c>
      <c r="I1639">
        <v>5.16</v>
      </c>
      <c r="J1639">
        <v>26.625599999999999</v>
      </c>
      <c r="K1639" t="str">
        <f>IFERROR(INDEX(Rosters!$C$2:$C$155,MATCH($B1639,Rosters!$B$2:$B$155,0)),"NA")</f>
        <v>chad</v>
      </c>
      <c r="L1639" t="str">
        <f t="shared" si="75"/>
        <v>chad17WR</v>
      </c>
      <c r="M1639">
        <f>COUNTIF(L$1:L1639,L1639)</f>
        <v>5</v>
      </c>
      <c r="N1639" t="str">
        <f t="shared" si="76"/>
        <v>chad17WR-5</v>
      </c>
      <c r="O1639">
        <f>COUNTIFS(F$1:F1639,F1639,A$1:A1639,A1639)</f>
        <v>34</v>
      </c>
      <c r="P1639" t="str">
        <f t="shared" si="77"/>
        <v>Devin Funchess17</v>
      </c>
    </row>
    <row r="1640" spans="1:16" x14ac:dyDescent="0.25">
      <c r="A1640">
        <v>3</v>
      </c>
      <c r="B1640" t="s">
        <v>195</v>
      </c>
      <c r="C1640" t="s">
        <v>3694</v>
      </c>
      <c r="D1640">
        <v>7.62</v>
      </c>
      <c r="E1640" t="s">
        <v>423</v>
      </c>
      <c r="F1640" t="s">
        <v>87</v>
      </c>
      <c r="G1640">
        <v>13.43</v>
      </c>
      <c r="H1640">
        <v>1.81</v>
      </c>
      <c r="I1640">
        <v>5.81</v>
      </c>
      <c r="J1640">
        <v>33.756100000000004</v>
      </c>
      <c r="K1640" t="str">
        <f>IFERROR(INDEX(Rosters!$C$2:$C$155,MATCH($B1640,Rosters!$B$2:$B$155,0)),"NA")</f>
        <v>scott</v>
      </c>
      <c r="L1640" t="str">
        <f t="shared" si="75"/>
        <v>scott3WR</v>
      </c>
      <c r="M1640">
        <f>COUNTIF(L$1:L1640,L1640)</f>
        <v>3</v>
      </c>
      <c r="N1640" t="str">
        <f t="shared" si="76"/>
        <v>scott3WR-3</v>
      </c>
      <c r="O1640">
        <f>COUNTIFS(F$1:F1640,F1640,A$1:A1640,A1640)</f>
        <v>33</v>
      </c>
      <c r="P1640" t="str">
        <f t="shared" si="77"/>
        <v>Kenny Golladay3</v>
      </c>
    </row>
    <row r="1641" spans="1:16" x14ac:dyDescent="0.25">
      <c r="A1641">
        <v>13</v>
      </c>
      <c r="B1641" t="s">
        <v>139</v>
      </c>
      <c r="C1641" t="s">
        <v>6892</v>
      </c>
      <c r="D1641">
        <v>7.61</v>
      </c>
      <c r="E1641" t="s">
        <v>38</v>
      </c>
      <c r="F1641" t="s">
        <v>47</v>
      </c>
      <c r="G1641">
        <v>12.72</v>
      </c>
      <c r="H1641">
        <v>2.5</v>
      </c>
      <c r="I1641">
        <v>5.1100000000000003</v>
      </c>
      <c r="J1641">
        <v>26.112100000000002</v>
      </c>
      <c r="K1641" t="str">
        <f>IFERROR(INDEX(Rosters!$C$2:$C$155,MATCH($B1641,Rosters!$B$2:$B$155,0)),"NA")</f>
        <v>cory</v>
      </c>
      <c r="L1641" t="str">
        <f t="shared" si="75"/>
        <v>cory13RB</v>
      </c>
      <c r="M1641">
        <f>COUNTIF(L$1:L1641,L1641)</f>
        <v>3</v>
      </c>
      <c r="N1641" t="str">
        <f t="shared" si="76"/>
        <v>cory13RB-3</v>
      </c>
      <c r="O1641">
        <f>COUNTIFS(F$1:F1641,F1641,A$1:A1641,A1641)</f>
        <v>29</v>
      </c>
      <c r="P1641" t="str">
        <f t="shared" si="77"/>
        <v>Bilal Powell13</v>
      </c>
    </row>
    <row r="1642" spans="1:16" x14ac:dyDescent="0.25">
      <c r="A1642">
        <v>1</v>
      </c>
      <c r="B1642" t="s">
        <v>171</v>
      </c>
      <c r="C1642" t="s">
        <v>1354</v>
      </c>
      <c r="D1642">
        <v>7.61</v>
      </c>
      <c r="E1642" t="s">
        <v>19</v>
      </c>
      <c r="F1642" t="s">
        <v>87</v>
      </c>
      <c r="G1642">
        <v>14.57</v>
      </c>
      <c r="H1642">
        <v>0.65</v>
      </c>
      <c r="I1642">
        <v>6.96</v>
      </c>
      <c r="J1642">
        <v>48.441600000000001</v>
      </c>
      <c r="K1642" t="str">
        <f>IFERROR(INDEX(Rosters!$C$2:$C$155,MATCH($B1642,Rosters!$B$2:$B$155,0)),"NA")</f>
        <v>matty</v>
      </c>
      <c r="L1642" t="str">
        <f t="shared" si="75"/>
        <v>matty1WR</v>
      </c>
      <c r="M1642">
        <f>COUNTIF(L$1:L1642,L1642)</f>
        <v>4</v>
      </c>
      <c r="N1642" t="str">
        <f t="shared" si="76"/>
        <v>matty1WR-4</v>
      </c>
      <c r="O1642">
        <f>COUNTIFS(F$1:F1642,F1642,A$1:A1642,A1642)</f>
        <v>30</v>
      </c>
      <c r="P1642" t="str">
        <f t="shared" si="77"/>
        <v>Corey Davis1</v>
      </c>
    </row>
    <row r="1643" spans="1:16" x14ac:dyDescent="0.25">
      <c r="A1643">
        <v>6</v>
      </c>
      <c r="B1643" t="s">
        <v>208</v>
      </c>
      <c r="C1643" t="s">
        <v>6893</v>
      </c>
      <c r="D1643">
        <v>7.61</v>
      </c>
      <c r="E1643" t="s">
        <v>28</v>
      </c>
      <c r="F1643" t="s">
        <v>114</v>
      </c>
      <c r="G1643">
        <v>12.68</v>
      </c>
      <c r="H1643">
        <v>2.54</v>
      </c>
      <c r="I1643">
        <v>5.07</v>
      </c>
      <c r="J1643">
        <v>25.704899999999999</v>
      </c>
      <c r="K1643" t="str">
        <f>IFERROR(INDEX(Rosters!$C$2:$C$155,MATCH($B1643,Rosters!$B$2:$B$155,0)),"NA")</f>
        <v>chad</v>
      </c>
      <c r="L1643" t="str">
        <f t="shared" si="75"/>
        <v>chad6TE</v>
      </c>
      <c r="M1643">
        <f>COUNTIF(L$1:L1643,L1643)</f>
        <v>1</v>
      </c>
      <c r="N1643" t="str">
        <f t="shared" si="76"/>
        <v>chad6TE-1</v>
      </c>
      <c r="O1643">
        <f>COUNTIFS(F$1:F1643,F1643,A$1:A1643,A1643)</f>
        <v>5</v>
      </c>
      <c r="P1643" t="str">
        <f t="shared" si="77"/>
        <v>Jared Cook6</v>
      </c>
    </row>
    <row r="1644" spans="1:16" x14ac:dyDescent="0.25">
      <c r="A1644">
        <v>14</v>
      </c>
      <c r="B1644" t="s">
        <v>48</v>
      </c>
      <c r="C1644" t="s">
        <v>6894</v>
      </c>
      <c r="D1644">
        <v>7.61</v>
      </c>
      <c r="E1644" t="s">
        <v>32</v>
      </c>
      <c r="F1644" t="s">
        <v>47</v>
      </c>
      <c r="G1644">
        <v>13</v>
      </c>
      <c r="H1644">
        <v>2.2200000000000002</v>
      </c>
      <c r="I1644">
        <v>5.39</v>
      </c>
      <c r="J1644">
        <v>29.052099999999999</v>
      </c>
      <c r="K1644" t="str">
        <f>IFERROR(INDEX(Rosters!$C$2:$C$155,MATCH($B1644,Rosters!$B$2:$B$155,0)),"NA")</f>
        <v>devon</v>
      </c>
      <c r="L1644" t="str">
        <f t="shared" si="75"/>
        <v>devon14RB</v>
      </c>
      <c r="M1644">
        <f>COUNTIF(L$1:L1644,L1644)</f>
        <v>4</v>
      </c>
      <c r="N1644" t="str">
        <f t="shared" si="76"/>
        <v>devon14RB-4</v>
      </c>
      <c r="O1644">
        <f>COUNTIFS(F$1:F1644,F1644,A$1:A1644,A1644)</f>
        <v>32</v>
      </c>
      <c r="P1644" t="str">
        <f t="shared" si="77"/>
        <v>Le'Veon Bell14</v>
      </c>
    </row>
    <row r="1645" spans="1:16" x14ac:dyDescent="0.25">
      <c r="A1645">
        <v>16</v>
      </c>
      <c r="B1645" t="s">
        <v>192</v>
      </c>
      <c r="C1645" t="s">
        <v>6895</v>
      </c>
      <c r="D1645">
        <v>7.6</v>
      </c>
      <c r="E1645" t="s">
        <v>66</v>
      </c>
      <c r="F1645" t="s">
        <v>87</v>
      </c>
      <c r="G1645">
        <v>12.8</v>
      </c>
      <c r="H1645">
        <v>2.4</v>
      </c>
      <c r="I1645">
        <v>5.2</v>
      </c>
      <c r="J1645">
        <v>27.04</v>
      </c>
      <c r="K1645" t="str">
        <f>IFERROR(INDEX(Rosters!$C$2:$C$155,MATCH($B1645,Rosters!$B$2:$B$155,0)),"NA")</f>
        <v>cory</v>
      </c>
      <c r="L1645" t="str">
        <f t="shared" si="75"/>
        <v>cory16WR</v>
      </c>
      <c r="M1645">
        <f>COUNTIF(L$1:L1645,L1645)</f>
        <v>4</v>
      </c>
      <c r="N1645" t="str">
        <f t="shared" si="76"/>
        <v>cory16WR-4</v>
      </c>
      <c r="O1645">
        <f>COUNTIFS(F$1:F1645,F1645,A$1:A1645,A1645)</f>
        <v>39</v>
      </c>
      <c r="P1645" t="str">
        <f t="shared" si="77"/>
        <v>Sterling Shepard16</v>
      </c>
    </row>
    <row r="1646" spans="1:16" x14ac:dyDescent="0.25">
      <c r="A1646">
        <v>1</v>
      </c>
      <c r="B1646" t="s">
        <v>256</v>
      </c>
      <c r="C1646" t="s">
        <v>1355</v>
      </c>
      <c r="D1646">
        <v>7.59</v>
      </c>
      <c r="E1646" t="s">
        <v>32</v>
      </c>
      <c r="F1646" t="s">
        <v>87</v>
      </c>
      <c r="G1646">
        <v>13.21</v>
      </c>
      <c r="H1646">
        <v>1.97</v>
      </c>
      <c r="I1646">
        <v>5.62</v>
      </c>
      <c r="J1646">
        <v>31.584399999999999</v>
      </c>
      <c r="K1646" t="str">
        <f>IFERROR(INDEX(Rosters!$C$2:$C$155,MATCH($B1646,Rosters!$B$2:$B$155,0)),"NA")</f>
        <v>lucas</v>
      </c>
      <c r="L1646" t="str">
        <f t="shared" si="75"/>
        <v>lucas1WR</v>
      </c>
      <c r="M1646">
        <f>COUNTIF(L$1:L1646,L1646)</f>
        <v>2</v>
      </c>
      <c r="N1646" t="str">
        <f t="shared" si="76"/>
        <v>lucas1WR-2</v>
      </c>
      <c r="O1646">
        <f>COUNTIFS(F$1:F1646,F1646,A$1:A1646,A1646)</f>
        <v>31</v>
      </c>
      <c r="P1646" t="str">
        <f t="shared" si="77"/>
        <v>Cooper Kupp1</v>
      </c>
    </row>
    <row r="1647" spans="1:16" x14ac:dyDescent="0.25">
      <c r="A1647">
        <v>14</v>
      </c>
      <c r="B1647" t="s">
        <v>205</v>
      </c>
      <c r="C1647" t="s">
        <v>6896</v>
      </c>
      <c r="D1647">
        <v>7.59</v>
      </c>
      <c r="E1647" t="s">
        <v>46</v>
      </c>
      <c r="F1647" t="s">
        <v>47</v>
      </c>
      <c r="G1647">
        <v>13.07</v>
      </c>
      <c r="H1647">
        <v>2.11</v>
      </c>
      <c r="I1647">
        <v>5.48</v>
      </c>
      <c r="J1647">
        <v>30.0304</v>
      </c>
      <c r="K1647" t="str">
        <f>IFERROR(INDEX(Rosters!$C$2:$C$155,MATCH($B1647,Rosters!$B$2:$B$155,0)),"NA")</f>
        <v>NA</v>
      </c>
      <c r="L1647" t="str">
        <f t="shared" si="75"/>
        <v>NA14RB</v>
      </c>
      <c r="M1647">
        <f>COUNTIF(L$1:L1647,L1647)</f>
        <v>1</v>
      </c>
      <c r="N1647" t="str">
        <f t="shared" si="76"/>
        <v>NA14RB-1</v>
      </c>
      <c r="O1647">
        <f>COUNTIFS(F$1:F1647,F1647,A$1:A1647,A1647)</f>
        <v>33</v>
      </c>
      <c r="P1647" t="str">
        <f t="shared" si="77"/>
        <v>Jamaal Williams14</v>
      </c>
    </row>
    <row r="1648" spans="1:16" x14ac:dyDescent="0.25">
      <c r="A1648">
        <v>4</v>
      </c>
      <c r="B1648" t="s">
        <v>220</v>
      </c>
      <c r="C1648" t="s">
        <v>4485</v>
      </c>
      <c r="D1648">
        <v>7.59</v>
      </c>
      <c r="E1648" t="s">
        <v>423</v>
      </c>
      <c r="F1648" t="s">
        <v>87</v>
      </c>
      <c r="G1648">
        <v>12.48</v>
      </c>
      <c r="H1648">
        <v>2.7</v>
      </c>
      <c r="I1648">
        <v>4.8899999999999997</v>
      </c>
      <c r="J1648">
        <v>23.912099999999999</v>
      </c>
      <c r="K1648" t="str">
        <f>IFERROR(INDEX(Rosters!$C$2:$C$155,MATCH($B1648,Rosters!$B$2:$B$155,0)),"NA")</f>
        <v>comp</v>
      </c>
      <c r="L1648" t="str">
        <f t="shared" si="75"/>
        <v>comp4WR</v>
      </c>
      <c r="M1648">
        <f>COUNTIF(L$1:L1648,L1648)</f>
        <v>5</v>
      </c>
      <c r="N1648" t="str">
        <f t="shared" si="76"/>
        <v>comp4WR-5</v>
      </c>
      <c r="O1648">
        <f>COUNTIFS(F$1:F1648,F1648,A$1:A1648,A1648)</f>
        <v>34</v>
      </c>
      <c r="P1648" t="str">
        <f t="shared" si="77"/>
        <v>Kenny Stills4</v>
      </c>
    </row>
    <row r="1649" spans="1:16" x14ac:dyDescent="0.25">
      <c r="A1649">
        <v>11</v>
      </c>
      <c r="B1649" t="s">
        <v>116</v>
      </c>
      <c r="C1649" t="s">
        <v>6897</v>
      </c>
      <c r="D1649">
        <v>7.59</v>
      </c>
      <c r="E1649" t="s">
        <v>31</v>
      </c>
      <c r="F1649" t="s">
        <v>87</v>
      </c>
      <c r="G1649">
        <v>13.12</v>
      </c>
      <c r="H1649">
        <v>2.06</v>
      </c>
      <c r="I1649">
        <v>5.53</v>
      </c>
      <c r="J1649">
        <v>30.5809</v>
      </c>
      <c r="K1649" t="str">
        <f>IFERROR(INDEX(Rosters!$C$2:$C$155,MATCH($B1649,Rosters!$B$2:$B$155,0)),"NA")</f>
        <v>aj</v>
      </c>
      <c r="L1649" t="str">
        <f t="shared" si="75"/>
        <v>aj11WR</v>
      </c>
      <c r="M1649">
        <f>COUNTIF(L$1:L1649,L1649)</f>
        <v>5</v>
      </c>
      <c r="N1649" t="str">
        <f t="shared" si="76"/>
        <v>aj11WR-5</v>
      </c>
      <c r="O1649">
        <f>COUNTIFS(F$1:F1649,F1649,A$1:A1649,A1649)</f>
        <v>35</v>
      </c>
      <c r="P1649" t="str">
        <f t="shared" si="77"/>
        <v>Michael Crabtree11</v>
      </c>
    </row>
    <row r="1650" spans="1:16" x14ac:dyDescent="0.25">
      <c r="A1650">
        <v>15</v>
      </c>
      <c r="B1650" t="s">
        <v>192</v>
      </c>
      <c r="C1650" t="s">
        <v>6898</v>
      </c>
      <c r="D1650">
        <v>7.58</v>
      </c>
      <c r="E1650" t="s">
        <v>38</v>
      </c>
      <c r="F1650" t="s">
        <v>87</v>
      </c>
      <c r="G1650">
        <v>12.67</v>
      </c>
      <c r="H1650">
        <v>2.4900000000000002</v>
      </c>
      <c r="I1650">
        <v>5.09</v>
      </c>
      <c r="J1650">
        <v>25.908100000000001</v>
      </c>
      <c r="K1650" t="str">
        <f>IFERROR(INDEX(Rosters!$C$2:$C$155,MATCH($B1650,Rosters!$B$2:$B$155,0)),"NA")</f>
        <v>cory</v>
      </c>
      <c r="L1650" t="str">
        <f t="shared" si="75"/>
        <v>cory15WR</v>
      </c>
      <c r="M1650">
        <f>COUNTIF(L$1:L1650,L1650)</f>
        <v>5</v>
      </c>
      <c r="N1650" t="str">
        <f t="shared" si="76"/>
        <v>cory15WR-5</v>
      </c>
      <c r="O1650">
        <f>COUNTIFS(F$1:F1650,F1650,A$1:A1650,A1650)</f>
        <v>37</v>
      </c>
      <c r="P1650" t="str">
        <f t="shared" si="77"/>
        <v>Sterling Shepard15</v>
      </c>
    </row>
    <row r="1651" spans="1:16" x14ac:dyDescent="0.25">
      <c r="A1651">
        <v>7</v>
      </c>
      <c r="B1651" t="s">
        <v>196</v>
      </c>
      <c r="C1651" t="s">
        <v>6899</v>
      </c>
      <c r="D1651">
        <v>7.57</v>
      </c>
      <c r="E1651" t="s">
        <v>24</v>
      </c>
      <c r="F1651" t="s">
        <v>47</v>
      </c>
      <c r="G1651">
        <v>13.91</v>
      </c>
      <c r="H1651">
        <v>1.23</v>
      </c>
      <c r="I1651">
        <v>6.34</v>
      </c>
      <c r="J1651">
        <v>40.195599999999999</v>
      </c>
      <c r="K1651" t="str">
        <f>IFERROR(INDEX(Rosters!$C$2:$C$155,MATCH($B1651,Rosters!$B$2:$B$155,0)),"NA")</f>
        <v>NA</v>
      </c>
      <c r="L1651" t="str">
        <f t="shared" si="75"/>
        <v>NA7RB</v>
      </c>
      <c r="M1651">
        <f>COUNTIF(L$1:L1651,L1651)</f>
        <v>1</v>
      </c>
      <c r="N1651" t="str">
        <f t="shared" si="76"/>
        <v>NA7RB-1</v>
      </c>
      <c r="O1651">
        <f>COUNTIFS(F$1:F1651,F1651,A$1:A1651,A1651)</f>
        <v>29</v>
      </c>
      <c r="P1651" t="str">
        <f t="shared" si="77"/>
        <v>Giovani Bernard7</v>
      </c>
    </row>
    <row r="1652" spans="1:16" x14ac:dyDescent="0.25">
      <c r="A1652">
        <v>5</v>
      </c>
      <c r="B1652" t="s">
        <v>118</v>
      </c>
      <c r="C1652" t="s">
        <v>6900</v>
      </c>
      <c r="D1652">
        <v>7.57</v>
      </c>
      <c r="E1652" t="s">
        <v>14</v>
      </c>
      <c r="F1652" t="s">
        <v>114</v>
      </c>
      <c r="G1652">
        <v>13.3</v>
      </c>
      <c r="H1652">
        <v>1.84</v>
      </c>
      <c r="I1652">
        <v>5.73</v>
      </c>
      <c r="J1652">
        <v>32.832900000000002</v>
      </c>
      <c r="K1652" t="str">
        <f>IFERROR(INDEX(Rosters!$C$2:$C$155,MATCH($B1652,Rosters!$B$2:$B$155,0)),"NA")</f>
        <v>matty</v>
      </c>
      <c r="L1652" t="str">
        <f t="shared" si="75"/>
        <v>matty5TE</v>
      </c>
      <c r="M1652">
        <f>COUNTIF(L$1:L1652,L1652)</f>
        <v>1</v>
      </c>
      <c r="N1652" t="str">
        <f t="shared" si="76"/>
        <v>matty5TE-1</v>
      </c>
      <c r="O1652">
        <f>COUNTIFS(F$1:F1652,F1652,A$1:A1652,A1652)</f>
        <v>5</v>
      </c>
      <c r="P1652" t="str">
        <f t="shared" si="77"/>
        <v>Jordan Reed5</v>
      </c>
    </row>
    <row r="1653" spans="1:16" x14ac:dyDescent="0.25">
      <c r="A1653">
        <v>13</v>
      </c>
      <c r="B1653" t="s">
        <v>119</v>
      </c>
      <c r="C1653" t="s">
        <v>6901</v>
      </c>
      <c r="D1653">
        <v>7.56</v>
      </c>
      <c r="E1653" t="s">
        <v>54</v>
      </c>
      <c r="F1653" t="s">
        <v>87</v>
      </c>
      <c r="G1653">
        <v>13.09</v>
      </c>
      <c r="H1653">
        <v>2.0299999999999998</v>
      </c>
      <c r="I1653">
        <v>5.53</v>
      </c>
      <c r="J1653">
        <v>30.5809</v>
      </c>
      <c r="K1653" t="str">
        <f>IFERROR(INDEX(Rosters!$C$2:$C$155,MATCH($B1653,Rosters!$B$2:$B$155,0)),"NA")</f>
        <v>lucas</v>
      </c>
      <c r="L1653" t="str">
        <f t="shared" si="75"/>
        <v>lucas13WR</v>
      </c>
      <c r="M1653">
        <f>COUNTIF(L$1:L1653,L1653)</f>
        <v>3</v>
      </c>
      <c r="N1653" t="str">
        <f t="shared" si="76"/>
        <v>lucas13WR-3</v>
      </c>
      <c r="O1653">
        <f>COUNTIFS(F$1:F1653,F1653,A$1:A1653,A1653)</f>
        <v>39</v>
      </c>
      <c r="P1653" t="str">
        <f t="shared" si="77"/>
        <v>Allen Robinson13</v>
      </c>
    </row>
    <row r="1654" spans="1:16" x14ac:dyDescent="0.25">
      <c r="A1654">
        <v>5</v>
      </c>
      <c r="B1654" t="s">
        <v>220</v>
      </c>
      <c r="C1654" t="s">
        <v>6902</v>
      </c>
      <c r="D1654">
        <v>7.56</v>
      </c>
      <c r="E1654" t="s">
        <v>31</v>
      </c>
      <c r="F1654" t="s">
        <v>87</v>
      </c>
      <c r="G1654">
        <v>13.25</v>
      </c>
      <c r="H1654">
        <v>1.87</v>
      </c>
      <c r="I1654">
        <v>5.69</v>
      </c>
      <c r="J1654">
        <v>32.376100000000001</v>
      </c>
      <c r="K1654" t="str">
        <f>IFERROR(INDEX(Rosters!$C$2:$C$155,MATCH($B1654,Rosters!$B$2:$B$155,0)),"NA")</f>
        <v>comp</v>
      </c>
      <c r="L1654" t="str">
        <f t="shared" si="75"/>
        <v>comp5WR</v>
      </c>
      <c r="M1654">
        <f>COUNTIF(L$1:L1654,L1654)</f>
        <v>5</v>
      </c>
      <c r="N1654" t="str">
        <f t="shared" si="76"/>
        <v>comp5WR-5</v>
      </c>
      <c r="O1654">
        <f>COUNTIFS(F$1:F1654,F1654,A$1:A1654,A1654)</f>
        <v>34</v>
      </c>
      <c r="P1654" t="str">
        <f t="shared" si="77"/>
        <v>Kenny Stills5</v>
      </c>
    </row>
    <row r="1655" spans="1:16" x14ac:dyDescent="0.25">
      <c r="A1655">
        <v>13</v>
      </c>
      <c r="B1655" t="s">
        <v>168</v>
      </c>
      <c r="C1655" t="s">
        <v>6903</v>
      </c>
      <c r="D1655">
        <v>7.56</v>
      </c>
      <c r="E1655" t="s">
        <v>22</v>
      </c>
      <c r="F1655" t="s">
        <v>87</v>
      </c>
      <c r="G1655">
        <v>12.54</v>
      </c>
      <c r="H1655">
        <v>2.58</v>
      </c>
      <c r="I1655">
        <v>4.9800000000000004</v>
      </c>
      <c r="J1655">
        <v>24.8004</v>
      </c>
      <c r="K1655" t="str">
        <f>IFERROR(INDEX(Rosters!$C$2:$C$155,MATCH($B1655,Rosters!$B$2:$B$155,0)),"NA")</f>
        <v>NA</v>
      </c>
      <c r="L1655" t="str">
        <f t="shared" si="75"/>
        <v>NA13WR</v>
      </c>
      <c r="M1655">
        <f>COUNTIF(L$1:L1655,L1655)</f>
        <v>1</v>
      </c>
      <c r="N1655" t="str">
        <f t="shared" si="76"/>
        <v>NA13WR-1</v>
      </c>
      <c r="O1655">
        <f>COUNTIFS(F$1:F1655,F1655,A$1:A1655,A1655)</f>
        <v>40</v>
      </c>
      <c r="P1655" t="str">
        <f t="shared" si="77"/>
        <v>Ted Ginn Jr.13</v>
      </c>
    </row>
    <row r="1656" spans="1:16" x14ac:dyDescent="0.25">
      <c r="A1656">
        <v>5</v>
      </c>
      <c r="B1656" t="s">
        <v>145</v>
      </c>
      <c r="C1656" t="s">
        <v>6904</v>
      </c>
      <c r="D1656">
        <v>7.55</v>
      </c>
      <c r="E1656" t="s">
        <v>51</v>
      </c>
      <c r="F1656" t="s">
        <v>47</v>
      </c>
      <c r="G1656">
        <v>13.41</v>
      </c>
      <c r="H1656">
        <v>1.69</v>
      </c>
      <c r="I1656">
        <v>5.86</v>
      </c>
      <c r="J1656">
        <v>34.339599999999997</v>
      </c>
      <c r="K1656" t="str">
        <f>IFERROR(INDEX(Rosters!$C$2:$C$155,MATCH($B1656,Rosters!$B$2:$B$155,0)),"NA")</f>
        <v>lucas</v>
      </c>
      <c r="L1656" t="str">
        <f t="shared" si="75"/>
        <v>lucas5RB</v>
      </c>
      <c r="M1656">
        <f>COUNTIF(L$1:L1656,L1656)</f>
        <v>3</v>
      </c>
      <c r="N1656" t="str">
        <f t="shared" si="76"/>
        <v>lucas5RB-3</v>
      </c>
      <c r="O1656">
        <f>COUNTIFS(F$1:F1656,F1656,A$1:A1656,A1656)</f>
        <v>31</v>
      </c>
      <c r="P1656" t="str">
        <f t="shared" si="77"/>
        <v>Tevin Coleman5</v>
      </c>
    </row>
    <row r="1657" spans="1:16" x14ac:dyDescent="0.25">
      <c r="A1657">
        <v>6</v>
      </c>
      <c r="B1657" t="s">
        <v>137</v>
      </c>
      <c r="C1657" t="s">
        <v>6905</v>
      </c>
      <c r="D1657">
        <v>7.54</v>
      </c>
      <c r="E1657" t="s">
        <v>74</v>
      </c>
      <c r="F1657" t="s">
        <v>87</v>
      </c>
      <c r="G1657">
        <v>12.31</v>
      </c>
      <c r="H1657">
        <v>2.77</v>
      </c>
      <c r="I1657">
        <v>4.7699999999999996</v>
      </c>
      <c r="J1657">
        <v>22.7529</v>
      </c>
      <c r="K1657" t="str">
        <f>IFERROR(INDEX(Rosters!$C$2:$C$155,MATCH($B1657,Rosters!$B$2:$B$155,0)),"NA")</f>
        <v>lucas</v>
      </c>
      <c r="L1657" t="str">
        <f t="shared" si="75"/>
        <v>lucas6WR</v>
      </c>
      <c r="M1657">
        <f>COUNTIF(L$1:L1657,L1657)</f>
        <v>4</v>
      </c>
      <c r="N1657" t="str">
        <f t="shared" si="76"/>
        <v>lucas6WR-4</v>
      </c>
      <c r="O1657">
        <f>COUNTIFS(F$1:F1657,F1657,A$1:A1657,A1657)</f>
        <v>36</v>
      </c>
      <c r="P1657" t="str">
        <f t="shared" si="77"/>
        <v>Jamison Crowder6</v>
      </c>
    </row>
    <row r="1658" spans="1:16" x14ac:dyDescent="0.25">
      <c r="A1658">
        <v>11</v>
      </c>
      <c r="B1658" t="s">
        <v>185</v>
      </c>
      <c r="C1658" t="s">
        <v>6906</v>
      </c>
      <c r="D1658">
        <v>7.54</v>
      </c>
      <c r="E1658" t="s">
        <v>31</v>
      </c>
      <c r="F1658" t="s">
        <v>87</v>
      </c>
      <c r="G1658">
        <v>13.99</v>
      </c>
      <c r="H1658">
        <v>1.0900000000000001</v>
      </c>
      <c r="I1658">
        <v>6.45</v>
      </c>
      <c r="J1658">
        <v>41.602499999999999</v>
      </c>
      <c r="K1658" t="str">
        <f>IFERROR(INDEX(Rosters!$C$2:$C$155,MATCH($B1658,Rosters!$B$2:$B$155,0)),"NA")</f>
        <v>scott</v>
      </c>
      <c r="L1658" t="str">
        <f t="shared" si="75"/>
        <v>scott11WR</v>
      </c>
      <c r="M1658">
        <f>COUNTIF(L$1:L1658,L1658)</f>
        <v>3</v>
      </c>
      <c r="N1658" t="str">
        <f t="shared" si="76"/>
        <v>scott11WR-3</v>
      </c>
      <c r="O1658">
        <f>COUNTIFS(F$1:F1658,F1658,A$1:A1658,A1658)</f>
        <v>36</v>
      </c>
      <c r="P1658" t="str">
        <f t="shared" si="77"/>
        <v>John Brown11</v>
      </c>
    </row>
    <row r="1659" spans="1:16" x14ac:dyDescent="0.25">
      <c r="A1659">
        <v>3</v>
      </c>
      <c r="B1659" t="s">
        <v>248</v>
      </c>
      <c r="C1659" t="s">
        <v>3695</v>
      </c>
      <c r="D1659">
        <v>7.54</v>
      </c>
      <c r="E1659" t="s">
        <v>37</v>
      </c>
      <c r="F1659" t="s">
        <v>87</v>
      </c>
      <c r="G1659">
        <v>13.28</v>
      </c>
      <c r="H1659">
        <v>1.8</v>
      </c>
      <c r="I1659">
        <v>5.74</v>
      </c>
      <c r="J1659">
        <v>32.947600000000001</v>
      </c>
      <c r="K1659" t="str">
        <f>IFERROR(INDEX(Rosters!$C$2:$C$155,MATCH($B1659,Rosters!$B$2:$B$155,0)),"NA")</f>
        <v>matty</v>
      </c>
      <c r="L1659" t="str">
        <f t="shared" si="75"/>
        <v>matty3WR</v>
      </c>
      <c r="M1659">
        <f>COUNTIF(L$1:L1659,L1659)</f>
        <v>4</v>
      </c>
      <c r="N1659" t="str">
        <f t="shared" si="76"/>
        <v>matty3WR-4</v>
      </c>
      <c r="O1659">
        <f>COUNTIFS(F$1:F1659,F1659,A$1:A1659,A1659)</f>
        <v>34</v>
      </c>
      <c r="P1659" t="str">
        <f t="shared" si="77"/>
        <v>Robert Woods3</v>
      </c>
    </row>
    <row r="1660" spans="1:16" x14ac:dyDescent="0.25">
      <c r="A1660">
        <v>9</v>
      </c>
      <c r="B1660" t="s">
        <v>139</v>
      </c>
      <c r="C1660" t="s">
        <v>6907</v>
      </c>
      <c r="D1660">
        <v>7.53</v>
      </c>
      <c r="E1660" t="s">
        <v>19</v>
      </c>
      <c r="F1660" t="s">
        <v>47</v>
      </c>
      <c r="G1660">
        <v>12.66</v>
      </c>
      <c r="H1660">
        <v>2.4</v>
      </c>
      <c r="I1660">
        <v>5.13</v>
      </c>
      <c r="J1660">
        <v>26.3169</v>
      </c>
      <c r="K1660" t="str">
        <f>IFERROR(INDEX(Rosters!$C$2:$C$155,MATCH($B1660,Rosters!$B$2:$B$155,0)),"NA")</f>
        <v>cory</v>
      </c>
      <c r="L1660" t="str">
        <f t="shared" si="75"/>
        <v>cory9RB</v>
      </c>
      <c r="M1660">
        <f>COUNTIF(L$1:L1660,L1660)</f>
        <v>4</v>
      </c>
      <c r="N1660" t="str">
        <f t="shared" si="76"/>
        <v>cory9RB-4</v>
      </c>
      <c r="O1660">
        <f>COUNTIFS(F$1:F1660,F1660,A$1:A1660,A1660)</f>
        <v>26</v>
      </c>
      <c r="P1660" t="str">
        <f t="shared" si="77"/>
        <v>Bilal Powell9</v>
      </c>
    </row>
    <row r="1661" spans="1:16" x14ac:dyDescent="0.25">
      <c r="A1661">
        <v>1</v>
      </c>
      <c r="B1661" t="s">
        <v>220</v>
      </c>
      <c r="C1661" t="s">
        <v>2270</v>
      </c>
      <c r="D1661">
        <v>7.53</v>
      </c>
      <c r="E1661" t="s">
        <v>38</v>
      </c>
      <c r="F1661" t="s">
        <v>87</v>
      </c>
      <c r="G1661">
        <v>14</v>
      </c>
      <c r="H1661">
        <v>1.06</v>
      </c>
      <c r="I1661">
        <v>6.47</v>
      </c>
      <c r="J1661">
        <v>41.860900000000001</v>
      </c>
      <c r="K1661" t="str">
        <f>IFERROR(INDEX(Rosters!$C$2:$C$155,MATCH($B1661,Rosters!$B$2:$B$155,0)),"NA")</f>
        <v>comp</v>
      </c>
      <c r="L1661" t="str">
        <f t="shared" si="75"/>
        <v>comp1WR</v>
      </c>
      <c r="M1661">
        <f>COUNTIF(L$1:L1661,L1661)</f>
        <v>5</v>
      </c>
      <c r="N1661" t="str">
        <f t="shared" si="76"/>
        <v>comp1WR-5</v>
      </c>
      <c r="O1661">
        <f>COUNTIFS(F$1:F1661,F1661,A$1:A1661,A1661)</f>
        <v>32</v>
      </c>
      <c r="P1661" t="str">
        <f t="shared" si="77"/>
        <v>Kenny Stills1</v>
      </c>
    </row>
    <row r="1662" spans="1:16" x14ac:dyDescent="0.25">
      <c r="A1662">
        <v>17</v>
      </c>
      <c r="B1662" t="s">
        <v>203</v>
      </c>
      <c r="C1662" t="s">
        <v>6908</v>
      </c>
      <c r="D1662">
        <v>7.53</v>
      </c>
      <c r="E1662" t="s">
        <v>423</v>
      </c>
      <c r="F1662" t="s">
        <v>87</v>
      </c>
      <c r="G1662">
        <v>12.58</v>
      </c>
      <c r="H1662">
        <v>2.48</v>
      </c>
      <c r="I1662">
        <v>5.05</v>
      </c>
      <c r="J1662">
        <v>25.502500000000001</v>
      </c>
      <c r="K1662" t="str">
        <f>IFERROR(INDEX(Rosters!$C$2:$C$155,MATCH($B1662,Rosters!$B$2:$B$155,0)),"NA")</f>
        <v>NA</v>
      </c>
      <c r="L1662" t="str">
        <f t="shared" si="75"/>
        <v>NA17WR</v>
      </c>
      <c r="M1662">
        <f>COUNTIF(L$1:L1662,L1662)</f>
        <v>1</v>
      </c>
      <c r="N1662" t="str">
        <f t="shared" si="76"/>
        <v>NA17WR-1</v>
      </c>
      <c r="O1662">
        <f>COUNTIFS(F$1:F1662,F1662,A$1:A1662,A1662)</f>
        <v>35</v>
      </c>
      <c r="P1662" t="str">
        <f t="shared" si="77"/>
        <v>Robby Anderson17</v>
      </c>
    </row>
    <row r="1663" spans="1:16" x14ac:dyDescent="0.25">
      <c r="A1663">
        <v>5</v>
      </c>
      <c r="B1663" t="s">
        <v>381</v>
      </c>
      <c r="C1663" t="s">
        <v>9061</v>
      </c>
      <c r="D1663">
        <v>7.53</v>
      </c>
      <c r="E1663" t="s">
        <v>423</v>
      </c>
      <c r="F1663" t="s">
        <v>87</v>
      </c>
      <c r="G1663">
        <v>13.23</v>
      </c>
      <c r="H1663">
        <v>1.83</v>
      </c>
      <c r="I1663">
        <v>5.7</v>
      </c>
      <c r="J1663">
        <v>32.49</v>
      </c>
      <c r="K1663" t="str">
        <f>IFERROR(INDEX(Rosters!$C$2:$C$155,MATCH($B1663,Rosters!$B$2:$B$155,0)),"NA")</f>
        <v>perry</v>
      </c>
      <c r="L1663" t="str">
        <f t="shared" si="75"/>
        <v>perry5WR</v>
      </c>
      <c r="M1663">
        <f>COUNTIF(L$1:L1663,L1663)</f>
        <v>3</v>
      </c>
      <c r="N1663" t="str">
        <f t="shared" si="76"/>
        <v>perry5WR-3</v>
      </c>
      <c r="O1663">
        <f>COUNTIFS(F$1:F1663,F1663,A$1:A1663,A1663)</f>
        <v>35</v>
      </c>
      <c r="P1663" t="str">
        <f t="shared" si="77"/>
        <v>Ryan Grant5</v>
      </c>
    </row>
    <row r="1664" spans="1:16" x14ac:dyDescent="0.25">
      <c r="A1664">
        <v>13</v>
      </c>
      <c r="B1664" t="s">
        <v>796</v>
      </c>
      <c r="C1664" t="s">
        <v>6909</v>
      </c>
      <c r="D1664">
        <v>7.52</v>
      </c>
      <c r="E1664" t="s">
        <v>46</v>
      </c>
      <c r="F1664" t="s">
        <v>47</v>
      </c>
      <c r="G1664">
        <v>12.95</v>
      </c>
      <c r="H1664">
        <v>2.09</v>
      </c>
      <c r="I1664">
        <v>5.43</v>
      </c>
      <c r="J1664">
        <v>29.4849</v>
      </c>
      <c r="K1664" t="str">
        <f>IFERROR(INDEX(Rosters!$C$2:$C$155,MATCH($B1664,Rosters!$B$2:$B$155,0)),"NA")</f>
        <v>seth</v>
      </c>
      <c r="L1664" t="str">
        <f t="shared" si="75"/>
        <v>seth13RB</v>
      </c>
      <c r="M1664">
        <f>COUNTIF(L$1:L1664,L1664)</f>
        <v>3</v>
      </c>
      <c r="N1664" t="str">
        <f t="shared" si="76"/>
        <v>seth13RB-3</v>
      </c>
      <c r="O1664">
        <f>COUNTIFS(F$1:F1664,F1664,A$1:A1664,A1664)</f>
        <v>30</v>
      </c>
      <c r="P1664" t="str">
        <f t="shared" si="77"/>
        <v>Alex Collins13</v>
      </c>
    </row>
    <row r="1665" spans="1:16" x14ac:dyDescent="0.25">
      <c r="A1665">
        <v>17</v>
      </c>
      <c r="B1665" t="s">
        <v>235</v>
      </c>
      <c r="C1665" t="s">
        <v>3596</v>
      </c>
      <c r="D1665">
        <v>7.52</v>
      </c>
      <c r="E1665" t="s">
        <v>22</v>
      </c>
      <c r="F1665" t="s">
        <v>114</v>
      </c>
      <c r="G1665">
        <v>12.27</v>
      </c>
      <c r="H1665">
        <v>2.77</v>
      </c>
      <c r="I1665">
        <v>4.75</v>
      </c>
      <c r="J1665">
        <v>22.5625</v>
      </c>
      <c r="K1665" t="str">
        <f>IFERROR(INDEX(Rosters!$C$2:$C$155,MATCH($B1665,Rosters!$B$2:$B$155,0)),"NA")</f>
        <v>devon</v>
      </c>
      <c r="L1665" t="str">
        <f t="shared" si="75"/>
        <v>devon17TE</v>
      </c>
      <c r="M1665">
        <f>COUNTIF(L$1:L1665,L1665)</f>
        <v>1</v>
      </c>
      <c r="N1665" t="str">
        <f t="shared" si="76"/>
        <v>devon17TE-1</v>
      </c>
      <c r="O1665">
        <f>COUNTIFS(F$1:F1665,F1665,A$1:A1665,A1665)</f>
        <v>5</v>
      </c>
      <c r="P1665" t="str">
        <f t="shared" si="77"/>
        <v>Evan Engram17</v>
      </c>
    </row>
    <row r="1666" spans="1:16" x14ac:dyDescent="0.25">
      <c r="A1666">
        <v>16</v>
      </c>
      <c r="B1666" t="s">
        <v>306</v>
      </c>
      <c r="C1666" t="s">
        <v>6910</v>
      </c>
      <c r="D1666">
        <v>7.52</v>
      </c>
      <c r="E1666" t="s">
        <v>37</v>
      </c>
      <c r="F1666" t="s">
        <v>47</v>
      </c>
      <c r="G1666">
        <v>12.07</v>
      </c>
      <c r="H1666">
        <v>2.97</v>
      </c>
      <c r="I1666">
        <v>4.55</v>
      </c>
      <c r="J1666">
        <v>20.702500000000001</v>
      </c>
      <c r="K1666" t="str">
        <f>IFERROR(INDEX(Rosters!$C$2:$C$155,MATCH($B1666,Rosters!$B$2:$B$155,0)),"NA")</f>
        <v>chad</v>
      </c>
      <c r="L1666" t="str">
        <f t="shared" si="75"/>
        <v>chad16RB</v>
      </c>
      <c r="M1666">
        <f>COUNTIF(L$1:L1666,L1666)</f>
        <v>4</v>
      </c>
      <c r="N1666" t="str">
        <f t="shared" si="76"/>
        <v>chad16RB-4</v>
      </c>
      <c r="O1666">
        <f>COUNTIFS(F$1:F1666,F1666,A$1:A1666,A1666)</f>
        <v>31</v>
      </c>
      <c r="P1666" t="str">
        <f t="shared" si="77"/>
        <v>Javorius Allen16</v>
      </c>
    </row>
    <row r="1667" spans="1:16" x14ac:dyDescent="0.25">
      <c r="A1667">
        <v>17</v>
      </c>
      <c r="B1667" t="s">
        <v>303</v>
      </c>
      <c r="C1667" t="s">
        <v>6911</v>
      </c>
      <c r="D1667">
        <v>7.52</v>
      </c>
      <c r="E1667" t="s">
        <v>66</v>
      </c>
      <c r="F1667" t="s">
        <v>87</v>
      </c>
      <c r="G1667">
        <v>12.63</v>
      </c>
      <c r="H1667">
        <v>2.41</v>
      </c>
      <c r="I1667">
        <v>5.1100000000000003</v>
      </c>
      <c r="J1667">
        <v>26.112100000000002</v>
      </c>
      <c r="K1667" t="str">
        <f>IFERROR(INDEX(Rosters!$C$2:$C$155,MATCH($B1667,Rosters!$B$2:$B$155,0)),"NA")</f>
        <v>NA</v>
      </c>
      <c r="L1667" t="str">
        <f t="shared" ref="L1667:L1730" si="78">K1667&amp;A1667&amp;F1667</f>
        <v>NA17WR</v>
      </c>
      <c r="M1667">
        <f>COUNTIF(L$1:L1667,L1667)</f>
        <v>2</v>
      </c>
      <c r="N1667" t="str">
        <f t="shared" ref="N1667:N1730" si="79">L1667&amp;"-"&amp;M1667</f>
        <v>NA17WR-2</v>
      </c>
      <c r="O1667">
        <f>COUNTIFS(F$1:F1667,F1667,A$1:A1667,A1667)</f>
        <v>36</v>
      </c>
      <c r="P1667" t="str">
        <f t="shared" ref="P1667:P1730" si="80">B1667&amp;A1667</f>
        <v>Taywan Taylor17</v>
      </c>
    </row>
    <row r="1668" spans="1:16" x14ac:dyDescent="0.25">
      <c r="A1668">
        <v>15</v>
      </c>
      <c r="B1668" t="s">
        <v>1373</v>
      </c>
      <c r="C1668" t="s">
        <v>6912</v>
      </c>
      <c r="D1668">
        <v>7.51</v>
      </c>
      <c r="E1668" t="s">
        <v>24</v>
      </c>
      <c r="F1668" t="s">
        <v>47</v>
      </c>
      <c r="G1668">
        <v>13.57</v>
      </c>
      <c r="H1668">
        <v>1.45</v>
      </c>
      <c r="I1668">
        <v>6.06</v>
      </c>
      <c r="J1668">
        <v>36.723599999999998</v>
      </c>
      <c r="K1668" t="str">
        <f>IFERROR(INDEX(Rosters!$C$2:$C$155,MATCH($B1668,Rosters!$B$2:$B$155,0)),"NA")</f>
        <v>matty</v>
      </c>
      <c r="L1668" t="str">
        <f t="shared" si="78"/>
        <v>matty15RB</v>
      </c>
      <c r="M1668">
        <f>COUNTIF(L$1:L1668,L1668)</f>
        <v>4</v>
      </c>
      <c r="N1668" t="str">
        <f t="shared" si="79"/>
        <v>matty15RB-4</v>
      </c>
      <c r="O1668">
        <f>COUNTIFS(F$1:F1668,F1668,A$1:A1668,A1668)</f>
        <v>31</v>
      </c>
      <c r="P1668" t="str">
        <f t="shared" si="80"/>
        <v>Austin Ekeler15</v>
      </c>
    </row>
    <row r="1669" spans="1:16" x14ac:dyDescent="0.25">
      <c r="A1669">
        <v>3</v>
      </c>
      <c r="B1669" t="s">
        <v>316</v>
      </c>
      <c r="C1669" t="s">
        <v>4201</v>
      </c>
      <c r="D1669">
        <v>7.51</v>
      </c>
      <c r="E1669" t="s">
        <v>38</v>
      </c>
      <c r="F1669" t="s">
        <v>47</v>
      </c>
      <c r="G1669">
        <v>12.41</v>
      </c>
      <c r="H1669">
        <v>2.61</v>
      </c>
      <c r="I1669">
        <v>4.9000000000000004</v>
      </c>
      <c r="J1669">
        <v>24.01</v>
      </c>
      <c r="K1669" t="str">
        <f>IFERROR(INDEX(Rosters!$C$2:$C$155,MATCH($B1669,Rosters!$B$2:$B$155,0)),"NA")</f>
        <v>NA</v>
      </c>
      <c r="L1669" t="str">
        <f t="shared" si="78"/>
        <v>NA3RB</v>
      </c>
      <c r="M1669">
        <f>COUNTIF(L$1:L1669,L1669)</f>
        <v>6</v>
      </c>
      <c r="N1669" t="str">
        <f t="shared" si="79"/>
        <v>NA3RB-6</v>
      </c>
      <c r="O1669">
        <f>COUNTIFS(F$1:F1669,F1669,A$1:A1669,A1669)</f>
        <v>31</v>
      </c>
      <c r="P1669" t="str">
        <f t="shared" si="80"/>
        <v>Corey Grant3</v>
      </c>
    </row>
    <row r="1670" spans="1:16" x14ac:dyDescent="0.25">
      <c r="A1670">
        <v>16</v>
      </c>
      <c r="B1670" t="s">
        <v>1326</v>
      </c>
      <c r="C1670" t="s">
        <v>6913</v>
      </c>
      <c r="D1670">
        <v>7.51</v>
      </c>
      <c r="E1670" t="s">
        <v>25</v>
      </c>
      <c r="F1670" t="s">
        <v>47</v>
      </c>
      <c r="G1670">
        <v>13.47</v>
      </c>
      <c r="H1670">
        <v>1.55</v>
      </c>
      <c r="I1670">
        <v>5.96</v>
      </c>
      <c r="J1670">
        <v>35.521599999999999</v>
      </c>
      <c r="K1670" t="str">
        <f>IFERROR(INDEX(Rosters!$C$2:$C$155,MATCH($B1670,Rosters!$B$2:$B$155,0)),"NA")</f>
        <v>devon</v>
      </c>
      <c r="L1670" t="str">
        <f t="shared" si="78"/>
        <v>devon16RB</v>
      </c>
      <c r="M1670">
        <f>COUNTIF(L$1:L1670,L1670)</f>
        <v>5</v>
      </c>
      <c r="N1670" t="str">
        <f t="shared" si="79"/>
        <v>devon16RB-5</v>
      </c>
      <c r="O1670">
        <f>COUNTIFS(F$1:F1670,F1670,A$1:A1670,A1670)</f>
        <v>32</v>
      </c>
      <c r="P1670" t="str">
        <f t="shared" si="80"/>
        <v>Kerryon Johnson16</v>
      </c>
    </row>
    <row r="1671" spans="1:16" x14ac:dyDescent="0.25">
      <c r="A1671">
        <v>6</v>
      </c>
      <c r="B1671" t="s">
        <v>1419</v>
      </c>
      <c r="C1671" t="s">
        <v>6914</v>
      </c>
      <c r="D1671">
        <v>7.5</v>
      </c>
      <c r="E1671" t="s">
        <v>37</v>
      </c>
      <c r="F1671" t="s">
        <v>87</v>
      </c>
      <c r="G1671">
        <v>13.73</v>
      </c>
      <c r="H1671">
        <v>1.27</v>
      </c>
      <c r="I1671">
        <v>6.23</v>
      </c>
      <c r="J1671">
        <v>38.812899999999999</v>
      </c>
      <c r="K1671" t="str">
        <f>IFERROR(INDEX(Rosters!$C$2:$C$155,MATCH($B1671,Rosters!$B$2:$B$155,0)),"NA")</f>
        <v>chad</v>
      </c>
      <c r="L1671" t="str">
        <f t="shared" si="78"/>
        <v>chad6WR</v>
      </c>
      <c r="M1671">
        <f>COUNTIF(L$1:L1671,L1671)</f>
        <v>6</v>
      </c>
      <c r="N1671" t="str">
        <f t="shared" si="79"/>
        <v>chad6WR-6</v>
      </c>
      <c r="O1671">
        <f>COUNTIFS(F$1:F1671,F1671,A$1:A1671,A1671)</f>
        <v>37</v>
      </c>
      <c r="P1671" t="str">
        <f t="shared" si="80"/>
        <v>Antonio Callaway6</v>
      </c>
    </row>
    <row r="1672" spans="1:16" x14ac:dyDescent="0.25">
      <c r="A1672">
        <v>17</v>
      </c>
      <c r="B1672" t="s">
        <v>139</v>
      </c>
      <c r="C1672" t="s">
        <v>6915</v>
      </c>
      <c r="D1672">
        <v>7.5</v>
      </c>
      <c r="E1672" t="s">
        <v>423</v>
      </c>
      <c r="F1672" t="s">
        <v>47</v>
      </c>
      <c r="G1672">
        <v>12.63</v>
      </c>
      <c r="H1672">
        <v>2.37</v>
      </c>
      <c r="I1672">
        <v>5.13</v>
      </c>
      <c r="J1672">
        <v>26.3169</v>
      </c>
      <c r="K1672" t="str">
        <f>IFERROR(INDEX(Rosters!$C$2:$C$155,MATCH($B1672,Rosters!$B$2:$B$155,0)),"NA")</f>
        <v>cory</v>
      </c>
      <c r="L1672" t="str">
        <f t="shared" si="78"/>
        <v>cory17RB</v>
      </c>
      <c r="M1672">
        <f>COUNTIF(L$1:L1672,L1672)</f>
        <v>4</v>
      </c>
      <c r="N1672" t="str">
        <f t="shared" si="79"/>
        <v>cory17RB-4</v>
      </c>
      <c r="O1672">
        <f>COUNTIFS(F$1:F1672,F1672,A$1:A1672,A1672)</f>
        <v>33</v>
      </c>
      <c r="P1672" t="str">
        <f t="shared" si="80"/>
        <v>Bilal Powell17</v>
      </c>
    </row>
    <row r="1673" spans="1:16" x14ac:dyDescent="0.25">
      <c r="A1673">
        <v>17</v>
      </c>
      <c r="B1673" t="s">
        <v>1422</v>
      </c>
      <c r="C1673" t="s">
        <v>6916</v>
      </c>
      <c r="D1673">
        <v>7.5</v>
      </c>
      <c r="E1673" t="s">
        <v>17</v>
      </c>
      <c r="F1673" t="s">
        <v>87</v>
      </c>
      <c r="G1673">
        <v>13.24</v>
      </c>
      <c r="H1673">
        <v>1.76</v>
      </c>
      <c r="I1673">
        <v>5.74</v>
      </c>
      <c r="J1673">
        <v>32.947600000000001</v>
      </c>
      <c r="K1673" t="str">
        <f>IFERROR(INDEX(Rosters!$C$2:$C$155,MATCH($B1673,Rosters!$B$2:$B$155,0)),"NA")</f>
        <v>comp</v>
      </c>
      <c r="L1673" t="str">
        <f t="shared" si="78"/>
        <v>comp17WR</v>
      </c>
      <c r="M1673">
        <f>COUNTIF(L$1:L1673,L1673)</f>
        <v>4</v>
      </c>
      <c r="N1673" t="str">
        <f t="shared" si="79"/>
        <v>comp17WR-4</v>
      </c>
      <c r="O1673">
        <f>COUNTIFS(F$1:F1673,F1673,A$1:A1673,A1673)</f>
        <v>37</v>
      </c>
      <c r="P1673" t="str">
        <f t="shared" si="80"/>
        <v>Calvin Ridley17</v>
      </c>
    </row>
    <row r="1674" spans="1:16" x14ac:dyDescent="0.25">
      <c r="A1674">
        <v>1</v>
      </c>
      <c r="B1674" t="s">
        <v>183</v>
      </c>
      <c r="C1674" t="s">
        <v>1356</v>
      </c>
      <c r="D1674">
        <v>7.5</v>
      </c>
      <c r="E1674" t="s">
        <v>51</v>
      </c>
      <c r="F1674" t="s">
        <v>47</v>
      </c>
      <c r="G1674">
        <v>11.95</v>
      </c>
      <c r="H1674">
        <v>3.05</v>
      </c>
      <c r="I1674">
        <v>4.45</v>
      </c>
      <c r="J1674">
        <v>19.802499999999998</v>
      </c>
      <c r="K1674" t="str">
        <f>IFERROR(INDEX(Rosters!$C$2:$C$155,MATCH($B1674,Rosters!$B$2:$B$155,0)),"NA")</f>
        <v>NA</v>
      </c>
      <c r="L1674" t="str">
        <f t="shared" si="78"/>
        <v>NA1RB</v>
      </c>
      <c r="M1674">
        <f>COUNTIF(L$1:L1674,L1674)</f>
        <v>3</v>
      </c>
      <c r="N1674" t="str">
        <f t="shared" si="79"/>
        <v>NA1RB-3</v>
      </c>
      <c r="O1674">
        <f>COUNTIFS(F$1:F1674,F1674,A$1:A1674,A1674)</f>
        <v>27</v>
      </c>
      <c r="P1674" t="str">
        <f t="shared" si="80"/>
        <v>Duke Johnson Jr.1</v>
      </c>
    </row>
    <row r="1675" spans="1:16" x14ac:dyDescent="0.25">
      <c r="A1675">
        <v>13</v>
      </c>
      <c r="B1675" t="s">
        <v>193</v>
      </c>
      <c r="C1675" t="s">
        <v>6917</v>
      </c>
      <c r="D1675">
        <v>7.5</v>
      </c>
      <c r="E1675" t="s">
        <v>25</v>
      </c>
      <c r="F1675" t="s">
        <v>47</v>
      </c>
      <c r="G1675">
        <v>11.29</v>
      </c>
      <c r="H1675">
        <v>3.71</v>
      </c>
      <c r="I1675">
        <v>3.79</v>
      </c>
      <c r="J1675">
        <v>14.364100000000001</v>
      </c>
      <c r="K1675" t="str">
        <f>IFERROR(INDEX(Rosters!$C$2:$C$155,MATCH($B1675,Rosters!$B$2:$B$155,0)),"NA")</f>
        <v>cory</v>
      </c>
      <c r="L1675" t="str">
        <f t="shared" si="78"/>
        <v>cory13RB</v>
      </c>
      <c r="M1675">
        <f>COUNTIF(L$1:L1675,L1675)</f>
        <v>4</v>
      </c>
      <c r="N1675" t="str">
        <f t="shared" si="79"/>
        <v>cory13RB-4</v>
      </c>
      <c r="O1675">
        <f>COUNTIFS(F$1:F1675,F1675,A$1:A1675,A1675)</f>
        <v>31</v>
      </c>
      <c r="P1675" t="str">
        <f t="shared" si="80"/>
        <v>James White13</v>
      </c>
    </row>
    <row r="1676" spans="1:16" x14ac:dyDescent="0.25">
      <c r="A1676">
        <v>15</v>
      </c>
      <c r="B1676" t="s">
        <v>158</v>
      </c>
      <c r="C1676" t="s">
        <v>6918</v>
      </c>
      <c r="D1676">
        <v>7.49</v>
      </c>
      <c r="E1676" t="s">
        <v>76</v>
      </c>
      <c r="F1676" t="s">
        <v>47</v>
      </c>
      <c r="G1676">
        <v>11.83</v>
      </c>
      <c r="H1676">
        <v>3.15</v>
      </c>
      <c r="I1676">
        <v>4.34</v>
      </c>
      <c r="J1676">
        <v>18.835599999999999</v>
      </c>
      <c r="K1676" t="str">
        <f>IFERROR(INDEX(Rosters!$C$2:$C$155,MATCH($B1676,Rosters!$B$2:$B$155,0)),"NA")</f>
        <v>comp</v>
      </c>
      <c r="L1676" t="str">
        <f t="shared" si="78"/>
        <v>comp15RB</v>
      </c>
      <c r="M1676">
        <f>COUNTIF(L$1:L1676,L1676)</f>
        <v>2</v>
      </c>
      <c r="N1676" t="str">
        <f t="shared" si="79"/>
        <v>comp15RB-2</v>
      </c>
      <c r="O1676">
        <f>COUNTIFS(F$1:F1676,F1676,A$1:A1676,A1676)</f>
        <v>32</v>
      </c>
      <c r="P1676" t="str">
        <f t="shared" si="80"/>
        <v>Adrian Peterson15</v>
      </c>
    </row>
    <row r="1677" spans="1:16" x14ac:dyDescent="0.25">
      <c r="A1677">
        <v>7</v>
      </c>
      <c r="B1677" t="s">
        <v>355</v>
      </c>
      <c r="C1677" t="s">
        <v>6919</v>
      </c>
      <c r="D1677">
        <v>7.49</v>
      </c>
      <c r="E1677" t="s">
        <v>52</v>
      </c>
      <c r="F1677" t="s">
        <v>47</v>
      </c>
      <c r="G1677">
        <v>12.99</v>
      </c>
      <c r="H1677">
        <v>1.99</v>
      </c>
      <c r="I1677">
        <v>5.5</v>
      </c>
      <c r="J1677">
        <v>30.25</v>
      </c>
      <c r="K1677" t="str">
        <f>IFERROR(INDEX(Rosters!$C$2:$C$155,MATCH($B1677,Rosters!$B$2:$B$155,0)),"NA")</f>
        <v>devon</v>
      </c>
      <c r="L1677" t="str">
        <f t="shared" si="78"/>
        <v>devon7RB</v>
      </c>
      <c r="M1677">
        <f>COUNTIF(L$1:L1677,L1677)</f>
        <v>5</v>
      </c>
      <c r="N1677" t="str">
        <f t="shared" si="79"/>
        <v>devon7RB-5</v>
      </c>
      <c r="O1677">
        <f>COUNTIFS(F$1:F1677,F1677,A$1:A1677,A1677)</f>
        <v>30</v>
      </c>
      <c r="P1677" t="str">
        <f t="shared" si="80"/>
        <v>Peyton Barber7</v>
      </c>
    </row>
    <row r="1678" spans="1:16" x14ac:dyDescent="0.25">
      <c r="A1678">
        <v>7</v>
      </c>
      <c r="B1678" t="s">
        <v>125</v>
      </c>
      <c r="C1678" t="s">
        <v>6920</v>
      </c>
      <c r="D1678">
        <v>7.49</v>
      </c>
      <c r="E1678" t="s">
        <v>31</v>
      </c>
      <c r="F1678" t="s">
        <v>87</v>
      </c>
      <c r="G1678">
        <v>12.33</v>
      </c>
      <c r="H1678">
        <v>2.65</v>
      </c>
      <c r="I1678">
        <v>4.84</v>
      </c>
      <c r="J1678">
        <v>23.425599999999999</v>
      </c>
      <c r="K1678" t="str">
        <f>IFERROR(INDEX(Rosters!$C$2:$C$155,MATCH($B1678,Rosters!$B$2:$B$155,0)),"NA")</f>
        <v>scott</v>
      </c>
      <c r="L1678" t="str">
        <f t="shared" si="78"/>
        <v>scott7WR</v>
      </c>
      <c r="M1678">
        <f>COUNTIF(L$1:L1678,L1678)</f>
        <v>2</v>
      </c>
      <c r="N1678" t="str">
        <f t="shared" si="79"/>
        <v>scott7WR-2</v>
      </c>
      <c r="O1678">
        <f>COUNTIFS(F$1:F1678,F1678,A$1:A1678,A1678)</f>
        <v>34</v>
      </c>
      <c r="P1678" t="str">
        <f t="shared" si="80"/>
        <v>Sammy Watkins7</v>
      </c>
    </row>
    <row r="1679" spans="1:16" x14ac:dyDescent="0.25">
      <c r="A1679">
        <v>2</v>
      </c>
      <c r="B1679" t="s">
        <v>212</v>
      </c>
      <c r="C1679" t="s">
        <v>3336</v>
      </c>
      <c r="D1679">
        <v>7.48</v>
      </c>
      <c r="E1679" t="s">
        <v>34</v>
      </c>
      <c r="F1679" t="s">
        <v>47</v>
      </c>
      <c r="G1679">
        <v>14.14</v>
      </c>
      <c r="H1679">
        <v>0.82</v>
      </c>
      <c r="I1679">
        <v>6.66</v>
      </c>
      <c r="J1679">
        <v>44.355600000000003</v>
      </c>
      <c r="K1679" t="str">
        <f>IFERROR(INDEX(Rosters!$C$2:$C$155,MATCH($B1679,Rosters!$B$2:$B$155,0)),"NA")</f>
        <v>seth</v>
      </c>
      <c r="L1679" t="str">
        <f t="shared" si="78"/>
        <v>seth2RB</v>
      </c>
      <c r="M1679">
        <f>COUNTIF(L$1:L1679,L1679)</f>
        <v>4</v>
      </c>
      <c r="N1679" t="str">
        <f t="shared" si="79"/>
        <v>seth2RB-4</v>
      </c>
      <c r="O1679">
        <f>COUNTIFS(F$1:F1679,F1679,A$1:A1679,A1679)</f>
        <v>30</v>
      </c>
      <c r="P1679" t="str">
        <f t="shared" si="80"/>
        <v>Alfred Morris2</v>
      </c>
    </row>
    <row r="1680" spans="1:16" x14ac:dyDescent="0.25">
      <c r="A1680">
        <v>3</v>
      </c>
      <c r="B1680" t="s">
        <v>117</v>
      </c>
      <c r="C1680" t="s">
        <v>3696</v>
      </c>
      <c r="D1680">
        <v>7.48</v>
      </c>
      <c r="E1680" t="s">
        <v>52</v>
      </c>
      <c r="F1680" t="s">
        <v>47</v>
      </c>
      <c r="G1680">
        <v>14.23</v>
      </c>
      <c r="H1680">
        <v>0.73</v>
      </c>
      <c r="I1680">
        <v>6.75</v>
      </c>
      <c r="J1680">
        <v>45.5625</v>
      </c>
      <c r="K1680" t="str">
        <f>IFERROR(INDEX(Rosters!$C$2:$C$155,MATCH($B1680,Rosters!$B$2:$B$155,0)),"NA")</f>
        <v>chad</v>
      </c>
      <c r="L1680" t="str">
        <f t="shared" si="78"/>
        <v>chad3RB</v>
      </c>
      <c r="M1680">
        <f>COUNTIF(L$1:L1680,L1680)</f>
        <v>4</v>
      </c>
      <c r="N1680" t="str">
        <f t="shared" si="79"/>
        <v>chad3RB-4</v>
      </c>
      <c r="O1680">
        <f>COUNTIFS(F$1:F1680,F1680,A$1:A1680,A1680)</f>
        <v>32</v>
      </c>
      <c r="P1680" t="str">
        <f t="shared" si="80"/>
        <v>Isaiah Crowell3</v>
      </c>
    </row>
    <row r="1681" spans="1:16" x14ac:dyDescent="0.25">
      <c r="A1681">
        <v>5</v>
      </c>
      <c r="B1681" t="s">
        <v>208</v>
      </c>
      <c r="C1681" t="s">
        <v>6921</v>
      </c>
      <c r="D1681">
        <v>7.48</v>
      </c>
      <c r="E1681" t="s">
        <v>37</v>
      </c>
      <c r="F1681" t="s">
        <v>114</v>
      </c>
      <c r="G1681">
        <v>11.91</v>
      </c>
      <c r="H1681">
        <v>3.05</v>
      </c>
      <c r="I1681">
        <v>4.43</v>
      </c>
      <c r="J1681">
        <v>19.6249</v>
      </c>
      <c r="K1681" t="str">
        <f>IFERROR(INDEX(Rosters!$C$2:$C$155,MATCH($B1681,Rosters!$B$2:$B$155,0)),"NA")</f>
        <v>chad</v>
      </c>
      <c r="L1681" t="str">
        <f t="shared" si="78"/>
        <v>chad5TE</v>
      </c>
      <c r="M1681">
        <f>COUNTIF(L$1:L1681,L1681)</f>
        <v>1</v>
      </c>
      <c r="N1681" t="str">
        <f t="shared" si="79"/>
        <v>chad5TE-1</v>
      </c>
      <c r="O1681">
        <f>COUNTIFS(F$1:F1681,F1681,A$1:A1681,A1681)</f>
        <v>6</v>
      </c>
      <c r="P1681" t="str">
        <f t="shared" si="80"/>
        <v>Jared Cook5</v>
      </c>
    </row>
    <row r="1682" spans="1:16" x14ac:dyDescent="0.25">
      <c r="A1682">
        <v>17</v>
      </c>
      <c r="B1682" t="s">
        <v>140</v>
      </c>
      <c r="C1682" t="s">
        <v>6922</v>
      </c>
      <c r="D1682">
        <v>7.48</v>
      </c>
      <c r="E1682" t="s">
        <v>28</v>
      </c>
      <c r="F1682" t="s">
        <v>87</v>
      </c>
      <c r="G1682">
        <v>12.8</v>
      </c>
      <c r="H1682">
        <v>2.16</v>
      </c>
      <c r="I1682">
        <v>5.32</v>
      </c>
      <c r="J1682">
        <v>28.302399999999999</v>
      </c>
      <c r="K1682" t="str">
        <f>IFERROR(INDEX(Rosters!$C$2:$C$155,MATCH($B1682,Rosters!$B$2:$B$155,0)),"NA")</f>
        <v>seth</v>
      </c>
      <c r="L1682" t="str">
        <f t="shared" si="78"/>
        <v>seth17WR</v>
      </c>
      <c r="M1682">
        <f>COUNTIF(L$1:L1682,L1682)</f>
        <v>4</v>
      </c>
      <c r="N1682" t="str">
        <f t="shared" si="79"/>
        <v>seth17WR-4</v>
      </c>
      <c r="O1682">
        <f>COUNTIFS(F$1:F1682,F1682,A$1:A1682,A1682)</f>
        <v>38</v>
      </c>
      <c r="P1682" t="str">
        <f t="shared" si="80"/>
        <v>Larry Fitzgerald17</v>
      </c>
    </row>
    <row r="1683" spans="1:16" x14ac:dyDescent="0.25">
      <c r="A1683">
        <v>17</v>
      </c>
      <c r="B1683" t="s">
        <v>166</v>
      </c>
      <c r="C1683" t="s">
        <v>6923</v>
      </c>
      <c r="D1683">
        <v>7.48</v>
      </c>
      <c r="E1683" t="s">
        <v>34</v>
      </c>
      <c r="F1683" t="s">
        <v>87</v>
      </c>
      <c r="G1683">
        <v>12.84</v>
      </c>
      <c r="H1683">
        <v>2.12</v>
      </c>
      <c r="I1683">
        <v>5.36</v>
      </c>
      <c r="J1683">
        <v>28.729600000000001</v>
      </c>
      <c r="K1683" t="str">
        <f>IFERROR(INDEX(Rosters!$C$2:$C$155,MATCH($B1683,Rosters!$B$2:$B$155,0)),"NA")</f>
        <v>seth</v>
      </c>
      <c r="L1683" t="str">
        <f t="shared" si="78"/>
        <v>seth17WR</v>
      </c>
      <c r="M1683">
        <f>COUNTIF(L$1:L1683,L1683)</f>
        <v>5</v>
      </c>
      <c r="N1683" t="str">
        <f t="shared" si="79"/>
        <v>seth17WR-5</v>
      </c>
      <c r="O1683">
        <f>COUNTIFS(F$1:F1683,F1683,A$1:A1683,A1683)</f>
        <v>39</v>
      </c>
      <c r="P1683" t="str">
        <f t="shared" si="80"/>
        <v>Randall Cobb17</v>
      </c>
    </row>
    <row r="1684" spans="1:16" x14ac:dyDescent="0.25">
      <c r="A1684">
        <v>8</v>
      </c>
      <c r="B1684" t="s">
        <v>228</v>
      </c>
      <c r="C1684" t="s">
        <v>6924</v>
      </c>
      <c r="D1684">
        <v>7.47</v>
      </c>
      <c r="E1684" t="s">
        <v>58</v>
      </c>
      <c r="F1684" t="s">
        <v>47</v>
      </c>
      <c r="G1684">
        <v>13.47</v>
      </c>
      <c r="H1684">
        <v>1.47</v>
      </c>
      <c r="I1684">
        <v>6</v>
      </c>
      <c r="J1684">
        <v>36</v>
      </c>
      <c r="K1684" t="str">
        <f>IFERROR(INDEX(Rosters!$C$2:$C$155,MATCH($B1684,Rosters!$B$2:$B$155,0)),"NA")</f>
        <v>perry</v>
      </c>
      <c r="L1684" t="str">
        <f t="shared" si="78"/>
        <v>perry8RB</v>
      </c>
      <c r="M1684">
        <f>COUNTIF(L$1:L1684,L1684)</f>
        <v>2</v>
      </c>
      <c r="N1684" t="str">
        <f t="shared" si="79"/>
        <v>perry8RB-2</v>
      </c>
      <c r="O1684">
        <f>COUNTIFS(F$1:F1684,F1684,A$1:A1684,A1684)</f>
        <v>23</v>
      </c>
      <c r="P1684" t="str">
        <f t="shared" si="80"/>
        <v>Matt Breida8</v>
      </c>
    </row>
    <row r="1685" spans="1:16" x14ac:dyDescent="0.25">
      <c r="A1685">
        <v>8</v>
      </c>
      <c r="B1685" t="s">
        <v>177</v>
      </c>
      <c r="C1685" t="s">
        <v>6925</v>
      </c>
      <c r="D1685">
        <v>7.47</v>
      </c>
      <c r="E1685" t="s">
        <v>76</v>
      </c>
      <c r="F1685" t="s">
        <v>114</v>
      </c>
      <c r="G1685">
        <v>11.92</v>
      </c>
      <c r="H1685">
        <v>3.02</v>
      </c>
      <c r="I1685">
        <v>4.45</v>
      </c>
      <c r="J1685">
        <v>19.802499999999998</v>
      </c>
      <c r="K1685" t="str">
        <f>IFERROR(INDEX(Rosters!$C$2:$C$155,MATCH($B1685,Rosters!$B$2:$B$155,0)),"NA")</f>
        <v>perry</v>
      </c>
      <c r="L1685" t="str">
        <f t="shared" si="78"/>
        <v>perry8TE</v>
      </c>
      <c r="M1685">
        <f>COUNTIF(L$1:L1685,L1685)</f>
        <v>1</v>
      </c>
      <c r="N1685" t="str">
        <f t="shared" si="79"/>
        <v>perry8TE-1</v>
      </c>
      <c r="O1685">
        <f>COUNTIFS(F$1:F1685,F1685,A$1:A1685,A1685)</f>
        <v>5</v>
      </c>
      <c r="P1685" t="str">
        <f t="shared" si="80"/>
        <v>Zach Ertz8</v>
      </c>
    </row>
    <row r="1686" spans="1:16" x14ac:dyDescent="0.25">
      <c r="A1686">
        <v>14</v>
      </c>
      <c r="B1686" t="s">
        <v>139</v>
      </c>
      <c r="C1686" t="s">
        <v>6926</v>
      </c>
      <c r="D1686">
        <v>7.46</v>
      </c>
      <c r="E1686" t="s">
        <v>29</v>
      </c>
      <c r="F1686" t="s">
        <v>47</v>
      </c>
      <c r="G1686">
        <v>12.74</v>
      </c>
      <c r="H1686">
        <v>2.1800000000000002</v>
      </c>
      <c r="I1686">
        <v>5.28</v>
      </c>
      <c r="J1686">
        <v>27.878399999999999</v>
      </c>
      <c r="K1686" t="str">
        <f>IFERROR(INDEX(Rosters!$C$2:$C$155,MATCH($B1686,Rosters!$B$2:$B$155,0)),"NA")</f>
        <v>cory</v>
      </c>
      <c r="L1686" t="str">
        <f t="shared" si="78"/>
        <v>cory14RB</v>
      </c>
      <c r="M1686">
        <f>COUNTIF(L$1:L1686,L1686)</f>
        <v>4</v>
      </c>
      <c r="N1686" t="str">
        <f t="shared" si="79"/>
        <v>cory14RB-4</v>
      </c>
      <c r="O1686">
        <f>COUNTIFS(F$1:F1686,F1686,A$1:A1686,A1686)</f>
        <v>34</v>
      </c>
      <c r="P1686" t="str">
        <f t="shared" si="80"/>
        <v>Bilal Powell14</v>
      </c>
    </row>
    <row r="1687" spans="1:16" x14ac:dyDescent="0.25">
      <c r="A1687">
        <v>5</v>
      </c>
      <c r="B1687" t="s">
        <v>98</v>
      </c>
      <c r="C1687" t="s">
        <v>6927</v>
      </c>
      <c r="D1687">
        <v>7.46</v>
      </c>
      <c r="E1687" t="s">
        <v>37</v>
      </c>
      <c r="F1687" t="s">
        <v>87</v>
      </c>
      <c r="G1687">
        <v>14.18</v>
      </c>
      <c r="H1687">
        <v>0.74</v>
      </c>
      <c r="I1687">
        <v>6.72</v>
      </c>
      <c r="J1687">
        <v>45.1584</v>
      </c>
      <c r="K1687" t="str">
        <f>IFERROR(INDEX(Rosters!$C$2:$C$155,MATCH($B1687,Rosters!$B$2:$B$155,0)),"NA")</f>
        <v>seth</v>
      </c>
      <c r="L1687" t="str">
        <f t="shared" si="78"/>
        <v>seth5WR</v>
      </c>
      <c r="M1687">
        <f>COUNTIF(L$1:L1687,L1687)</f>
        <v>4</v>
      </c>
      <c r="N1687" t="str">
        <f t="shared" si="79"/>
        <v>seth5WR-4</v>
      </c>
      <c r="O1687">
        <f>COUNTIFS(F$1:F1687,F1687,A$1:A1687,A1687)</f>
        <v>36</v>
      </c>
      <c r="P1687" t="str">
        <f t="shared" si="80"/>
        <v>Jordy Nelson5</v>
      </c>
    </row>
    <row r="1688" spans="1:16" x14ac:dyDescent="0.25">
      <c r="A1688">
        <v>10</v>
      </c>
      <c r="B1688" t="s">
        <v>192</v>
      </c>
      <c r="C1688" t="s">
        <v>6928</v>
      </c>
      <c r="D1688">
        <v>7.46</v>
      </c>
      <c r="E1688" t="s">
        <v>30</v>
      </c>
      <c r="F1688" t="s">
        <v>87</v>
      </c>
      <c r="G1688">
        <v>12.31</v>
      </c>
      <c r="H1688">
        <v>2.61</v>
      </c>
      <c r="I1688">
        <v>4.8499999999999996</v>
      </c>
      <c r="J1688">
        <v>23.522500000000001</v>
      </c>
      <c r="K1688" t="str">
        <f>IFERROR(INDEX(Rosters!$C$2:$C$155,MATCH($B1688,Rosters!$B$2:$B$155,0)),"NA")</f>
        <v>cory</v>
      </c>
      <c r="L1688" t="str">
        <f t="shared" si="78"/>
        <v>cory10WR</v>
      </c>
      <c r="M1688">
        <f>COUNTIF(L$1:L1688,L1688)</f>
        <v>4</v>
      </c>
      <c r="N1688" t="str">
        <f t="shared" si="79"/>
        <v>cory10WR-4</v>
      </c>
      <c r="O1688">
        <f>COUNTIFS(F$1:F1688,F1688,A$1:A1688,A1688)</f>
        <v>33</v>
      </c>
      <c r="P1688" t="str">
        <f t="shared" si="80"/>
        <v>Sterling Shepard10</v>
      </c>
    </row>
    <row r="1689" spans="1:16" x14ac:dyDescent="0.25">
      <c r="A1689">
        <v>9</v>
      </c>
      <c r="B1689" t="s">
        <v>303</v>
      </c>
      <c r="C1689" t="s">
        <v>6929</v>
      </c>
      <c r="D1689">
        <v>7.46</v>
      </c>
      <c r="E1689" t="s">
        <v>22</v>
      </c>
      <c r="F1689" t="s">
        <v>87</v>
      </c>
      <c r="G1689">
        <v>12.5</v>
      </c>
      <c r="H1689">
        <v>2.42</v>
      </c>
      <c r="I1689">
        <v>5.04</v>
      </c>
      <c r="J1689">
        <v>25.401599999999998</v>
      </c>
      <c r="K1689" t="str">
        <f>IFERROR(INDEX(Rosters!$C$2:$C$155,MATCH($B1689,Rosters!$B$2:$B$155,0)),"NA")</f>
        <v>NA</v>
      </c>
      <c r="L1689" t="str">
        <f t="shared" si="78"/>
        <v>NA9WR</v>
      </c>
      <c r="M1689">
        <f>COUNTIF(L$1:L1689,L1689)</f>
        <v>1</v>
      </c>
      <c r="N1689" t="str">
        <f t="shared" si="79"/>
        <v>NA9WR-1</v>
      </c>
      <c r="O1689">
        <f>COUNTIFS(F$1:F1689,F1689,A$1:A1689,A1689)</f>
        <v>34</v>
      </c>
      <c r="P1689" t="str">
        <f t="shared" si="80"/>
        <v>Taywan Taylor9</v>
      </c>
    </row>
    <row r="1690" spans="1:16" x14ac:dyDescent="0.25">
      <c r="A1690">
        <v>13</v>
      </c>
      <c r="B1690" t="s">
        <v>290</v>
      </c>
      <c r="C1690" t="s">
        <v>6930</v>
      </c>
      <c r="D1690">
        <v>7.45</v>
      </c>
      <c r="E1690" t="s">
        <v>29</v>
      </c>
      <c r="F1690" t="s">
        <v>47</v>
      </c>
      <c r="G1690">
        <v>13.07</v>
      </c>
      <c r="H1690">
        <v>1.83</v>
      </c>
      <c r="I1690">
        <v>5.62</v>
      </c>
      <c r="J1690">
        <v>31.584399999999999</v>
      </c>
      <c r="K1690" t="str">
        <f>IFERROR(INDEX(Rosters!$C$2:$C$155,MATCH($B1690,Rosters!$B$2:$B$155,0)),"NA")</f>
        <v>lucas</v>
      </c>
      <c r="L1690" t="str">
        <f t="shared" si="78"/>
        <v>lucas13RB</v>
      </c>
      <c r="M1690">
        <f>COUNTIF(L$1:L1690,L1690)</f>
        <v>2</v>
      </c>
      <c r="N1690" t="str">
        <f t="shared" si="79"/>
        <v>lucas13RB-2</v>
      </c>
      <c r="O1690">
        <f>COUNTIFS(F$1:F1690,F1690,A$1:A1690,A1690)</f>
        <v>32</v>
      </c>
      <c r="P1690" t="str">
        <f t="shared" si="80"/>
        <v>Kenyan Drake13</v>
      </c>
    </row>
    <row r="1691" spans="1:16" x14ac:dyDescent="0.25">
      <c r="A1691">
        <v>5</v>
      </c>
      <c r="B1691" t="s">
        <v>240</v>
      </c>
      <c r="C1691" t="s">
        <v>6931</v>
      </c>
      <c r="D1691">
        <v>7.45</v>
      </c>
      <c r="E1691" t="s">
        <v>25</v>
      </c>
      <c r="F1691" t="s">
        <v>87</v>
      </c>
      <c r="G1691">
        <v>13.02</v>
      </c>
      <c r="H1691">
        <v>1.88</v>
      </c>
      <c r="I1691">
        <v>5.57</v>
      </c>
      <c r="J1691">
        <v>31.024899999999999</v>
      </c>
      <c r="K1691" t="str">
        <f>IFERROR(INDEX(Rosters!$C$2:$C$155,MATCH($B1691,Rosters!$B$2:$B$155,0)),"NA")</f>
        <v>aj</v>
      </c>
      <c r="L1691" t="str">
        <f t="shared" si="78"/>
        <v>aj5WR</v>
      </c>
      <c r="M1691">
        <f>COUNTIF(L$1:L1691,L1691)</f>
        <v>4</v>
      </c>
      <c r="N1691" t="str">
        <f t="shared" si="79"/>
        <v>aj5WR-4</v>
      </c>
      <c r="O1691">
        <f>COUNTIFS(F$1:F1691,F1691,A$1:A1691,A1691)</f>
        <v>37</v>
      </c>
      <c r="P1691" t="str">
        <f t="shared" si="80"/>
        <v>Nelson Agholor5</v>
      </c>
    </row>
    <row r="1692" spans="1:16" x14ac:dyDescent="0.25">
      <c r="A1692">
        <v>15</v>
      </c>
      <c r="B1692" t="s">
        <v>166</v>
      </c>
      <c r="C1692" t="s">
        <v>6932</v>
      </c>
      <c r="D1692">
        <v>7.45</v>
      </c>
      <c r="E1692" t="s">
        <v>72</v>
      </c>
      <c r="F1692" t="s">
        <v>87</v>
      </c>
      <c r="G1692">
        <v>12.67</v>
      </c>
      <c r="H1692">
        <v>2.23</v>
      </c>
      <c r="I1692">
        <v>5.22</v>
      </c>
      <c r="J1692">
        <v>27.2484</v>
      </c>
      <c r="K1692" t="str">
        <f>IFERROR(INDEX(Rosters!$C$2:$C$155,MATCH($B1692,Rosters!$B$2:$B$155,0)),"NA")</f>
        <v>seth</v>
      </c>
      <c r="L1692" t="str">
        <f t="shared" si="78"/>
        <v>seth15WR</v>
      </c>
      <c r="M1692">
        <f>COUNTIF(L$1:L1692,L1692)</f>
        <v>4</v>
      </c>
      <c r="N1692" t="str">
        <f t="shared" si="79"/>
        <v>seth15WR-4</v>
      </c>
      <c r="O1692">
        <f>COUNTIFS(F$1:F1692,F1692,A$1:A1692,A1692)</f>
        <v>38</v>
      </c>
      <c r="P1692" t="str">
        <f t="shared" si="80"/>
        <v>Randall Cobb15</v>
      </c>
    </row>
    <row r="1693" spans="1:16" x14ac:dyDescent="0.25">
      <c r="A1693">
        <v>12</v>
      </c>
      <c r="B1693" t="s">
        <v>171</v>
      </c>
      <c r="C1693" t="s">
        <v>6933</v>
      </c>
      <c r="D1693">
        <v>7.44</v>
      </c>
      <c r="E1693" t="s">
        <v>36</v>
      </c>
      <c r="F1693" t="s">
        <v>87</v>
      </c>
      <c r="G1693">
        <v>13.69</v>
      </c>
      <c r="H1693">
        <v>1.19</v>
      </c>
      <c r="I1693">
        <v>6.25</v>
      </c>
      <c r="J1693">
        <v>39.0625</v>
      </c>
      <c r="K1693" t="str">
        <f>IFERROR(INDEX(Rosters!$C$2:$C$155,MATCH($B1693,Rosters!$B$2:$B$155,0)),"NA")</f>
        <v>matty</v>
      </c>
      <c r="L1693" t="str">
        <f t="shared" si="78"/>
        <v>matty12WR</v>
      </c>
      <c r="M1693">
        <f>COUNTIF(L$1:L1693,L1693)</f>
        <v>2</v>
      </c>
      <c r="N1693" t="str">
        <f t="shared" si="79"/>
        <v>matty12WR-2</v>
      </c>
      <c r="O1693">
        <f>COUNTIFS(F$1:F1693,F1693,A$1:A1693,A1693)</f>
        <v>39</v>
      </c>
      <c r="P1693" t="str">
        <f t="shared" si="80"/>
        <v>Corey Davis12</v>
      </c>
    </row>
    <row r="1694" spans="1:16" x14ac:dyDescent="0.25">
      <c r="A1694">
        <v>10</v>
      </c>
      <c r="B1694" t="s">
        <v>137</v>
      </c>
      <c r="C1694" t="s">
        <v>6934</v>
      </c>
      <c r="D1694">
        <v>7.44</v>
      </c>
      <c r="E1694" t="s">
        <v>17</v>
      </c>
      <c r="F1694" t="s">
        <v>87</v>
      </c>
      <c r="G1694">
        <v>12.93</v>
      </c>
      <c r="H1694">
        <v>1.95</v>
      </c>
      <c r="I1694">
        <v>5.49</v>
      </c>
      <c r="J1694">
        <v>30.1401</v>
      </c>
      <c r="K1694" t="str">
        <f>IFERROR(INDEX(Rosters!$C$2:$C$155,MATCH($B1694,Rosters!$B$2:$B$155,0)),"NA")</f>
        <v>lucas</v>
      </c>
      <c r="L1694" t="str">
        <f t="shared" si="78"/>
        <v>lucas10WR</v>
      </c>
      <c r="M1694">
        <f>COUNTIF(L$1:L1694,L1694)</f>
        <v>4</v>
      </c>
      <c r="N1694" t="str">
        <f t="shared" si="79"/>
        <v>lucas10WR-4</v>
      </c>
      <c r="O1694">
        <f>COUNTIFS(F$1:F1694,F1694,A$1:A1694,A1694)</f>
        <v>34</v>
      </c>
      <c r="P1694" t="str">
        <f t="shared" si="80"/>
        <v>Jamison Crowder10</v>
      </c>
    </row>
    <row r="1695" spans="1:16" x14ac:dyDescent="0.25">
      <c r="A1695">
        <v>13</v>
      </c>
      <c r="B1695" t="s">
        <v>205</v>
      </c>
      <c r="C1695" t="s">
        <v>6935</v>
      </c>
      <c r="D1695">
        <v>7.43</v>
      </c>
      <c r="E1695" t="s">
        <v>58</v>
      </c>
      <c r="F1695" t="s">
        <v>47</v>
      </c>
      <c r="G1695">
        <v>11.72</v>
      </c>
      <c r="H1695">
        <v>3.14</v>
      </c>
      <c r="I1695">
        <v>4.29</v>
      </c>
      <c r="J1695">
        <v>18.4041</v>
      </c>
      <c r="K1695" t="str">
        <f>IFERROR(INDEX(Rosters!$C$2:$C$155,MATCH($B1695,Rosters!$B$2:$B$155,0)),"NA")</f>
        <v>NA</v>
      </c>
      <c r="L1695" t="str">
        <f t="shared" si="78"/>
        <v>NA13RB</v>
      </c>
      <c r="M1695">
        <f>COUNTIF(L$1:L1695,L1695)</f>
        <v>1</v>
      </c>
      <c r="N1695" t="str">
        <f t="shared" si="79"/>
        <v>NA13RB-1</v>
      </c>
      <c r="O1695">
        <f>COUNTIFS(F$1:F1695,F1695,A$1:A1695,A1695)</f>
        <v>33</v>
      </c>
      <c r="P1695" t="str">
        <f t="shared" si="80"/>
        <v>Jamaal Williams13</v>
      </c>
    </row>
    <row r="1696" spans="1:16" x14ac:dyDescent="0.25">
      <c r="A1696">
        <v>15</v>
      </c>
      <c r="B1696" t="s">
        <v>208</v>
      </c>
      <c r="C1696" t="s">
        <v>6936</v>
      </c>
      <c r="D1696">
        <v>7.43</v>
      </c>
      <c r="E1696" t="s">
        <v>31</v>
      </c>
      <c r="F1696" t="s">
        <v>114</v>
      </c>
      <c r="G1696">
        <v>12.44</v>
      </c>
      <c r="H1696">
        <v>2.42</v>
      </c>
      <c r="I1696">
        <v>5.01</v>
      </c>
      <c r="J1696">
        <v>25.100100000000001</v>
      </c>
      <c r="K1696" t="str">
        <f>IFERROR(INDEX(Rosters!$C$2:$C$155,MATCH($B1696,Rosters!$B$2:$B$155,0)),"NA")</f>
        <v>chad</v>
      </c>
      <c r="L1696" t="str">
        <f t="shared" si="78"/>
        <v>chad15TE</v>
      </c>
      <c r="M1696">
        <f>COUNTIF(L$1:L1696,L1696)</f>
        <v>1</v>
      </c>
      <c r="N1696" t="str">
        <f t="shared" si="79"/>
        <v>chad15TE-1</v>
      </c>
      <c r="O1696">
        <f>COUNTIFS(F$1:F1696,F1696,A$1:A1696,A1696)</f>
        <v>4</v>
      </c>
      <c r="P1696" t="str">
        <f t="shared" si="80"/>
        <v>Jared Cook15</v>
      </c>
    </row>
    <row r="1697" spans="1:16" x14ac:dyDescent="0.25">
      <c r="A1697">
        <v>17</v>
      </c>
      <c r="B1697" t="s">
        <v>192</v>
      </c>
      <c r="C1697" t="s">
        <v>6937</v>
      </c>
      <c r="D1697">
        <v>7.43</v>
      </c>
      <c r="E1697" t="s">
        <v>22</v>
      </c>
      <c r="F1697" t="s">
        <v>87</v>
      </c>
      <c r="G1697">
        <v>12.58</v>
      </c>
      <c r="H1697">
        <v>2.2799999999999998</v>
      </c>
      <c r="I1697">
        <v>5.15</v>
      </c>
      <c r="J1697">
        <v>26.522500000000001</v>
      </c>
      <c r="K1697" t="str">
        <f>IFERROR(INDEX(Rosters!$C$2:$C$155,MATCH($B1697,Rosters!$B$2:$B$155,0)),"NA")</f>
        <v>cory</v>
      </c>
      <c r="L1697" t="str">
        <f t="shared" si="78"/>
        <v>cory17WR</v>
      </c>
      <c r="M1697">
        <f>COUNTIF(L$1:L1697,L1697)</f>
        <v>4</v>
      </c>
      <c r="N1697" t="str">
        <f t="shared" si="79"/>
        <v>cory17WR-4</v>
      </c>
      <c r="O1697">
        <f>COUNTIFS(F$1:F1697,F1697,A$1:A1697,A1697)</f>
        <v>40</v>
      </c>
      <c r="P1697" t="str">
        <f t="shared" si="80"/>
        <v>Sterling Shepard17</v>
      </c>
    </row>
    <row r="1698" spans="1:16" x14ac:dyDescent="0.25">
      <c r="A1698">
        <v>5</v>
      </c>
      <c r="B1698" t="s">
        <v>1373</v>
      </c>
      <c r="C1698" t="s">
        <v>6938</v>
      </c>
      <c r="D1698">
        <v>7.42</v>
      </c>
      <c r="E1698" t="s">
        <v>32</v>
      </c>
      <c r="F1698" t="s">
        <v>47</v>
      </c>
      <c r="G1698">
        <v>12.58</v>
      </c>
      <c r="H1698">
        <v>2.2599999999999998</v>
      </c>
      <c r="I1698">
        <v>5.16</v>
      </c>
      <c r="J1698">
        <v>26.625599999999999</v>
      </c>
      <c r="K1698" t="str">
        <f>IFERROR(INDEX(Rosters!$C$2:$C$155,MATCH($B1698,Rosters!$B$2:$B$155,0)),"NA")</f>
        <v>matty</v>
      </c>
      <c r="L1698" t="str">
        <f t="shared" si="78"/>
        <v>matty5RB</v>
      </c>
      <c r="M1698">
        <f>COUNTIF(L$1:L1698,L1698)</f>
        <v>4</v>
      </c>
      <c r="N1698" t="str">
        <f t="shared" si="79"/>
        <v>matty5RB-4</v>
      </c>
      <c r="O1698">
        <f>COUNTIFS(F$1:F1698,F1698,A$1:A1698,A1698)</f>
        <v>32</v>
      </c>
      <c r="P1698" t="str">
        <f t="shared" si="80"/>
        <v>Austin Ekeler5</v>
      </c>
    </row>
    <row r="1699" spans="1:16" x14ac:dyDescent="0.25">
      <c r="A1699">
        <v>11</v>
      </c>
      <c r="B1699" t="s">
        <v>834</v>
      </c>
      <c r="C1699" t="s">
        <v>6939</v>
      </c>
      <c r="D1699">
        <v>7.42</v>
      </c>
      <c r="E1699" t="s">
        <v>41</v>
      </c>
      <c r="F1699" t="s">
        <v>47</v>
      </c>
      <c r="G1699">
        <v>13.25</v>
      </c>
      <c r="H1699">
        <v>1.59</v>
      </c>
      <c r="I1699">
        <v>5.83</v>
      </c>
      <c r="J1699">
        <v>33.988900000000001</v>
      </c>
      <c r="K1699" t="str">
        <f>IFERROR(INDEX(Rosters!$C$2:$C$155,MATCH($B1699,Rosters!$B$2:$B$155,0)),"NA")</f>
        <v>lucas</v>
      </c>
      <c r="L1699" t="str">
        <f t="shared" si="78"/>
        <v>lucas11RB</v>
      </c>
      <c r="M1699">
        <f>COUNTIF(L$1:L1699,L1699)</f>
        <v>4</v>
      </c>
      <c r="N1699" t="str">
        <f t="shared" si="79"/>
        <v>lucas11RB-4</v>
      </c>
      <c r="O1699">
        <f>COUNTIFS(F$1:F1699,F1699,A$1:A1699,A1699)</f>
        <v>26</v>
      </c>
      <c r="P1699" t="str">
        <f t="shared" si="80"/>
        <v>Chris Carson11</v>
      </c>
    </row>
    <row r="1700" spans="1:16" x14ac:dyDescent="0.25">
      <c r="A1700">
        <v>2</v>
      </c>
      <c r="B1700" t="s">
        <v>117</v>
      </c>
      <c r="C1700" t="s">
        <v>3337</v>
      </c>
      <c r="D1700">
        <v>7.42</v>
      </c>
      <c r="E1700" t="s">
        <v>19</v>
      </c>
      <c r="F1700" t="s">
        <v>47</v>
      </c>
      <c r="G1700">
        <v>11.94</v>
      </c>
      <c r="H1700">
        <v>2.9</v>
      </c>
      <c r="I1700">
        <v>4.5199999999999996</v>
      </c>
      <c r="J1700">
        <v>20.430399999999999</v>
      </c>
      <c r="K1700" t="str">
        <f>IFERROR(INDEX(Rosters!$C$2:$C$155,MATCH($B1700,Rosters!$B$2:$B$155,0)),"NA")</f>
        <v>chad</v>
      </c>
      <c r="L1700" t="str">
        <f t="shared" si="78"/>
        <v>chad2RB</v>
      </c>
      <c r="M1700">
        <f>COUNTIF(L$1:L1700,L1700)</f>
        <v>4</v>
      </c>
      <c r="N1700" t="str">
        <f t="shared" si="79"/>
        <v>chad2RB-4</v>
      </c>
      <c r="O1700">
        <f>COUNTIFS(F$1:F1700,F1700,A$1:A1700,A1700)</f>
        <v>31</v>
      </c>
      <c r="P1700" t="str">
        <f t="shared" si="80"/>
        <v>Isaiah Crowell2</v>
      </c>
    </row>
    <row r="1701" spans="1:16" x14ac:dyDescent="0.25">
      <c r="A1701">
        <v>16</v>
      </c>
      <c r="B1701" t="s">
        <v>221</v>
      </c>
      <c r="C1701" t="s">
        <v>6940</v>
      </c>
      <c r="D1701">
        <v>7.42</v>
      </c>
      <c r="E1701" t="s">
        <v>52</v>
      </c>
      <c r="F1701" t="s">
        <v>87</v>
      </c>
      <c r="G1701">
        <v>12.31</v>
      </c>
      <c r="H1701">
        <v>2.5299999999999998</v>
      </c>
      <c r="I1701">
        <v>4.8899999999999997</v>
      </c>
      <c r="J1701">
        <v>23.912099999999999</v>
      </c>
      <c r="K1701" t="str">
        <f>IFERROR(INDEX(Rosters!$C$2:$C$155,MATCH($B1701,Rosters!$B$2:$B$155,0)),"NA")</f>
        <v>cory</v>
      </c>
      <c r="L1701" t="str">
        <f t="shared" si="78"/>
        <v>cory16WR</v>
      </c>
      <c r="M1701">
        <f>COUNTIF(L$1:L1701,L1701)</f>
        <v>5</v>
      </c>
      <c r="N1701" t="str">
        <f t="shared" si="79"/>
        <v>cory16WR-5</v>
      </c>
      <c r="O1701">
        <f>COUNTIFS(F$1:F1701,F1701,A$1:A1701,A1701)</f>
        <v>40</v>
      </c>
      <c r="P1701" t="str">
        <f t="shared" si="80"/>
        <v>Tyler Boyd16</v>
      </c>
    </row>
    <row r="1702" spans="1:16" x14ac:dyDescent="0.25">
      <c r="A1702">
        <v>5</v>
      </c>
      <c r="B1702" t="s">
        <v>1395</v>
      </c>
      <c r="C1702" t="s">
        <v>9062</v>
      </c>
      <c r="D1702">
        <v>7.41</v>
      </c>
      <c r="E1702" t="s">
        <v>423</v>
      </c>
      <c r="F1702" t="s">
        <v>47</v>
      </c>
      <c r="G1702">
        <v>12.54</v>
      </c>
      <c r="H1702">
        <v>2.2799999999999998</v>
      </c>
      <c r="I1702">
        <v>5.13</v>
      </c>
      <c r="J1702">
        <v>26.3169</v>
      </c>
      <c r="K1702" t="str">
        <f>IFERROR(INDEX(Rosters!$C$2:$C$155,MATCH($B1702,Rosters!$B$2:$B$155,0)),"NA")</f>
        <v>cory</v>
      </c>
      <c r="L1702" t="str">
        <f t="shared" si="78"/>
        <v>cory5RB</v>
      </c>
      <c r="M1702">
        <f>COUNTIF(L$1:L1702,L1702)</f>
        <v>5</v>
      </c>
      <c r="N1702" t="str">
        <f t="shared" si="79"/>
        <v>cory5RB-5</v>
      </c>
      <c r="O1702">
        <f>COUNTIFS(F$1:F1702,F1702,A$1:A1702,A1702)</f>
        <v>33</v>
      </c>
      <c r="P1702" t="str">
        <f t="shared" si="80"/>
        <v>Nyheim Hines5</v>
      </c>
    </row>
    <row r="1703" spans="1:16" x14ac:dyDescent="0.25">
      <c r="A1703">
        <v>13</v>
      </c>
      <c r="B1703" t="s">
        <v>215</v>
      </c>
      <c r="C1703" t="s">
        <v>4486</v>
      </c>
      <c r="D1703">
        <v>7.4</v>
      </c>
      <c r="E1703" t="s">
        <v>36</v>
      </c>
      <c r="F1703" t="s">
        <v>114</v>
      </c>
      <c r="G1703">
        <v>12.91</v>
      </c>
      <c r="H1703">
        <v>1.89</v>
      </c>
      <c r="I1703">
        <v>5.51</v>
      </c>
      <c r="J1703">
        <v>30.360099999999999</v>
      </c>
      <c r="K1703" t="str">
        <f>IFERROR(INDEX(Rosters!$C$2:$C$155,MATCH($B1703,Rosters!$B$2:$B$155,0)),"NA")</f>
        <v>NA</v>
      </c>
      <c r="L1703" t="str">
        <f t="shared" si="78"/>
        <v>NA13TE</v>
      </c>
      <c r="M1703">
        <f>COUNTIF(L$1:L1703,L1703)</f>
        <v>1</v>
      </c>
      <c r="N1703" t="str">
        <f t="shared" si="79"/>
        <v>NA13TE-1</v>
      </c>
      <c r="O1703">
        <f>COUNTIFS(F$1:F1703,F1703,A$1:A1703,A1703)</f>
        <v>5</v>
      </c>
      <c r="P1703" t="str">
        <f t="shared" si="80"/>
        <v>David Njoku13</v>
      </c>
    </row>
    <row r="1704" spans="1:16" x14ac:dyDescent="0.25">
      <c r="A1704">
        <v>3</v>
      </c>
      <c r="B1704" t="s">
        <v>1336</v>
      </c>
      <c r="C1704" t="s">
        <v>3697</v>
      </c>
      <c r="D1704">
        <v>7.4</v>
      </c>
      <c r="E1704" t="s">
        <v>22</v>
      </c>
      <c r="F1704" t="s">
        <v>47</v>
      </c>
      <c r="G1704">
        <v>14.6</v>
      </c>
      <c r="H1704">
        <v>0.2</v>
      </c>
      <c r="I1704">
        <v>7.2</v>
      </c>
      <c r="J1704">
        <v>51.84</v>
      </c>
      <c r="K1704" t="str">
        <f>IFERROR(INDEX(Rosters!$C$2:$C$155,MATCH($B1704,Rosters!$B$2:$B$155,0)),"NA")</f>
        <v>NA</v>
      </c>
      <c r="L1704" t="str">
        <f t="shared" si="78"/>
        <v>NA3RB</v>
      </c>
      <c r="M1704">
        <f>COUNTIF(L$1:L1704,L1704)</f>
        <v>7</v>
      </c>
      <c r="N1704" t="str">
        <f t="shared" si="79"/>
        <v>NA3RB-7</v>
      </c>
      <c r="O1704">
        <f>COUNTIFS(F$1:F1704,F1704,A$1:A1704,A1704)</f>
        <v>33</v>
      </c>
      <c r="P1704" t="str">
        <f t="shared" si="80"/>
        <v>Rashaad Penny3</v>
      </c>
    </row>
    <row r="1705" spans="1:16" x14ac:dyDescent="0.25">
      <c r="A1705">
        <v>16</v>
      </c>
      <c r="B1705" t="s">
        <v>271</v>
      </c>
      <c r="C1705" t="s">
        <v>6941</v>
      </c>
      <c r="D1705">
        <v>7.39</v>
      </c>
      <c r="E1705" t="s">
        <v>73</v>
      </c>
      <c r="F1705" t="s">
        <v>87</v>
      </c>
      <c r="G1705">
        <v>13.62</v>
      </c>
      <c r="H1705">
        <v>1.1599999999999999</v>
      </c>
      <c r="I1705">
        <v>6.23</v>
      </c>
      <c r="J1705">
        <v>38.812899999999999</v>
      </c>
      <c r="K1705" t="str">
        <f>IFERROR(INDEX(Rosters!$C$2:$C$155,MATCH($B1705,Rosters!$B$2:$B$155,0)),"NA")</f>
        <v>matty</v>
      </c>
      <c r="L1705" t="str">
        <f t="shared" si="78"/>
        <v>matty16WR</v>
      </c>
      <c r="M1705">
        <f>COUNTIF(L$1:L1705,L1705)</f>
        <v>5</v>
      </c>
      <c r="N1705" t="str">
        <f t="shared" si="79"/>
        <v>matty16WR-5</v>
      </c>
      <c r="O1705">
        <f>COUNTIFS(F$1:F1705,F1705,A$1:A1705,A1705)</f>
        <v>41</v>
      </c>
      <c r="P1705" t="str">
        <f t="shared" si="80"/>
        <v>Geronimo Allison16</v>
      </c>
    </row>
    <row r="1706" spans="1:16" x14ac:dyDescent="0.25">
      <c r="A1706">
        <v>15</v>
      </c>
      <c r="B1706" t="s">
        <v>195</v>
      </c>
      <c r="C1706" t="s">
        <v>6942</v>
      </c>
      <c r="D1706">
        <v>7.39</v>
      </c>
      <c r="E1706" t="s">
        <v>29</v>
      </c>
      <c r="F1706" t="s">
        <v>87</v>
      </c>
      <c r="G1706">
        <v>14.36</v>
      </c>
      <c r="H1706">
        <v>0.42</v>
      </c>
      <c r="I1706">
        <v>6.97</v>
      </c>
      <c r="J1706">
        <v>48.5809</v>
      </c>
      <c r="K1706" t="str">
        <f>IFERROR(INDEX(Rosters!$C$2:$C$155,MATCH($B1706,Rosters!$B$2:$B$155,0)),"NA")</f>
        <v>scott</v>
      </c>
      <c r="L1706" t="str">
        <f t="shared" si="78"/>
        <v>scott15WR</v>
      </c>
      <c r="M1706">
        <f>COUNTIF(L$1:L1706,L1706)</f>
        <v>4</v>
      </c>
      <c r="N1706" t="str">
        <f t="shared" si="79"/>
        <v>scott15WR-4</v>
      </c>
      <c r="O1706">
        <f>COUNTIFS(F$1:F1706,F1706,A$1:A1706,A1706)</f>
        <v>39</v>
      </c>
      <c r="P1706" t="str">
        <f t="shared" si="80"/>
        <v>Kenny Golladay15</v>
      </c>
    </row>
    <row r="1707" spans="1:16" x14ac:dyDescent="0.25">
      <c r="A1707">
        <v>16</v>
      </c>
      <c r="B1707" t="s">
        <v>235</v>
      </c>
      <c r="C1707" t="s">
        <v>6943</v>
      </c>
      <c r="D1707">
        <v>7.38</v>
      </c>
      <c r="E1707" t="s">
        <v>66</v>
      </c>
      <c r="F1707" t="s">
        <v>114</v>
      </c>
      <c r="G1707">
        <v>12.29</v>
      </c>
      <c r="H1707">
        <v>2.4700000000000002</v>
      </c>
      <c r="I1707">
        <v>4.91</v>
      </c>
      <c r="J1707">
        <v>24.1081</v>
      </c>
      <c r="K1707" t="str">
        <f>IFERROR(INDEX(Rosters!$C$2:$C$155,MATCH($B1707,Rosters!$B$2:$B$155,0)),"NA")</f>
        <v>devon</v>
      </c>
      <c r="L1707" t="str">
        <f t="shared" si="78"/>
        <v>devon16TE</v>
      </c>
      <c r="M1707">
        <f>COUNTIF(L$1:L1707,L1707)</f>
        <v>1</v>
      </c>
      <c r="N1707" t="str">
        <f t="shared" si="79"/>
        <v>devon16TE-1</v>
      </c>
      <c r="O1707">
        <f>COUNTIFS(F$1:F1707,F1707,A$1:A1707,A1707)</f>
        <v>4</v>
      </c>
      <c r="P1707" t="str">
        <f t="shared" si="80"/>
        <v>Evan Engram16</v>
      </c>
    </row>
    <row r="1708" spans="1:16" x14ac:dyDescent="0.25">
      <c r="A1708">
        <v>8</v>
      </c>
      <c r="B1708" t="s">
        <v>196</v>
      </c>
      <c r="C1708" t="s">
        <v>6944</v>
      </c>
      <c r="D1708">
        <v>7.38</v>
      </c>
      <c r="E1708" t="s">
        <v>17</v>
      </c>
      <c r="F1708" t="s">
        <v>47</v>
      </c>
      <c r="G1708">
        <v>13.06</v>
      </c>
      <c r="H1708">
        <v>1.7</v>
      </c>
      <c r="I1708">
        <v>5.68</v>
      </c>
      <c r="J1708">
        <v>32.2624</v>
      </c>
      <c r="K1708" t="str">
        <f>IFERROR(INDEX(Rosters!$C$2:$C$155,MATCH($B1708,Rosters!$B$2:$B$155,0)),"NA")</f>
        <v>NA</v>
      </c>
      <c r="L1708" t="str">
        <f t="shared" si="78"/>
        <v>NA8RB</v>
      </c>
      <c r="M1708">
        <f>COUNTIF(L$1:L1708,L1708)</f>
        <v>1</v>
      </c>
      <c r="N1708" t="str">
        <f t="shared" si="79"/>
        <v>NA8RB-1</v>
      </c>
      <c r="O1708">
        <f>COUNTIFS(F$1:F1708,F1708,A$1:A1708,A1708)</f>
        <v>24</v>
      </c>
      <c r="P1708" t="str">
        <f t="shared" si="80"/>
        <v>Giovani Bernard8</v>
      </c>
    </row>
    <row r="1709" spans="1:16" x14ac:dyDescent="0.25">
      <c r="A1709">
        <v>8</v>
      </c>
      <c r="B1709" t="s">
        <v>306</v>
      </c>
      <c r="C1709" t="s">
        <v>6945</v>
      </c>
      <c r="D1709">
        <v>7.38</v>
      </c>
      <c r="E1709" t="s">
        <v>74</v>
      </c>
      <c r="F1709" t="s">
        <v>47</v>
      </c>
      <c r="G1709">
        <v>11.28</v>
      </c>
      <c r="H1709">
        <v>3.48</v>
      </c>
      <c r="I1709">
        <v>3.9</v>
      </c>
      <c r="J1709">
        <v>15.21</v>
      </c>
      <c r="K1709" t="str">
        <f>IFERROR(INDEX(Rosters!$C$2:$C$155,MATCH($B1709,Rosters!$B$2:$B$155,0)),"NA")</f>
        <v>chad</v>
      </c>
      <c r="L1709" t="str">
        <f t="shared" si="78"/>
        <v>chad8RB</v>
      </c>
      <c r="M1709">
        <f>COUNTIF(L$1:L1709,L1709)</f>
        <v>3</v>
      </c>
      <c r="N1709" t="str">
        <f t="shared" si="79"/>
        <v>chad8RB-3</v>
      </c>
      <c r="O1709">
        <f>COUNTIFS(F$1:F1709,F1709,A$1:A1709,A1709)</f>
        <v>25</v>
      </c>
      <c r="P1709" t="str">
        <f t="shared" si="80"/>
        <v>Javorius Allen8</v>
      </c>
    </row>
    <row r="1710" spans="1:16" x14ac:dyDescent="0.25">
      <c r="A1710">
        <v>2</v>
      </c>
      <c r="B1710" t="s">
        <v>132</v>
      </c>
      <c r="C1710" t="s">
        <v>3338</v>
      </c>
      <c r="D1710">
        <v>7.38</v>
      </c>
      <c r="E1710" t="s">
        <v>42</v>
      </c>
      <c r="F1710" t="s">
        <v>47</v>
      </c>
      <c r="G1710">
        <v>13.44</v>
      </c>
      <c r="H1710">
        <v>1.32</v>
      </c>
      <c r="I1710">
        <v>6.06</v>
      </c>
      <c r="J1710">
        <v>36.723599999999998</v>
      </c>
      <c r="K1710" t="str">
        <f>IFERROR(INDEX(Rosters!$C$2:$C$155,MATCH($B1710,Rosters!$B$2:$B$155,0)),"NA")</f>
        <v>scott</v>
      </c>
      <c r="L1710" t="str">
        <f t="shared" si="78"/>
        <v>scott2RB</v>
      </c>
      <c r="M1710">
        <f>COUNTIF(L$1:L1710,L1710)</f>
        <v>3</v>
      </c>
      <c r="N1710" t="str">
        <f t="shared" si="79"/>
        <v>scott2RB-3</v>
      </c>
      <c r="O1710">
        <f>COUNTIFS(F$1:F1710,F1710,A$1:A1710,A1710)</f>
        <v>32</v>
      </c>
      <c r="P1710" t="str">
        <f t="shared" si="80"/>
        <v>Marshawn Lynch2</v>
      </c>
    </row>
    <row r="1711" spans="1:16" x14ac:dyDescent="0.25">
      <c r="A1711">
        <v>17</v>
      </c>
      <c r="B1711" t="s">
        <v>271</v>
      </c>
      <c r="C1711" t="s">
        <v>6946</v>
      </c>
      <c r="D1711">
        <v>7.37</v>
      </c>
      <c r="E1711" t="s">
        <v>34</v>
      </c>
      <c r="F1711" t="s">
        <v>87</v>
      </c>
      <c r="G1711">
        <v>13.16</v>
      </c>
      <c r="H1711">
        <v>1.58</v>
      </c>
      <c r="I1711">
        <v>5.79</v>
      </c>
      <c r="J1711">
        <v>33.524099999999997</v>
      </c>
      <c r="K1711" t="str">
        <f>IFERROR(INDEX(Rosters!$C$2:$C$155,MATCH($B1711,Rosters!$B$2:$B$155,0)),"NA")</f>
        <v>matty</v>
      </c>
      <c r="L1711" t="str">
        <f t="shared" si="78"/>
        <v>matty17WR</v>
      </c>
      <c r="M1711">
        <f>COUNTIF(L$1:L1711,L1711)</f>
        <v>5</v>
      </c>
      <c r="N1711" t="str">
        <f t="shared" si="79"/>
        <v>matty17WR-5</v>
      </c>
      <c r="O1711">
        <f>COUNTIFS(F$1:F1711,F1711,A$1:A1711,A1711)</f>
        <v>41</v>
      </c>
      <c r="P1711" t="str">
        <f t="shared" si="80"/>
        <v>Geronimo Allison17</v>
      </c>
    </row>
    <row r="1712" spans="1:16" x14ac:dyDescent="0.25">
      <c r="A1712">
        <v>2</v>
      </c>
      <c r="B1712" t="s">
        <v>355</v>
      </c>
      <c r="C1712" t="s">
        <v>3339</v>
      </c>
      <c r="D1712">
        <v>7.37</v>
      </c>
      <c r="E1712" t="s">
        <v>50</v>
      </c>
      <c r="F1712" t="s">
        <v>47</v>
      </c>
      <c r="G1712">
        <v>10.47</v>
      </c>
      <c r="H1712">
        <v>4.2699999999999996</v>
      </c>
      <c r="I1712">
        <v>3.1</v>
      </c>
      <c r="J1712">
        <v>9.61</v>
      </c>
      <c r="K1712" t="str">
        <f>IFERROR(INDEX(Rosters!$C$2:$C$155,MATCH($B1712,Rosters!$B$2:$B$155,0)),"NA")</f>
        <v>devon</v>
      </c>
      <c r="L1712" t="str">
        <f t="shared" si="78"/>
        <v>devon2RB</v>
      </c>
      <c r="M1712">
        <f>COUNTIF(L$1:L1712,L1712)</f>
        <v>2</v>
      </c>
      <c r="N1712" t="str">
        <f t="shared" si="79"/>
        <v>devon2RB-2</v>
      </c>
      <c r="O1712">
        <f>COUNTIFS(F$1:F1712,F1712,A$1:A1712,A1712)</f>
        <v>33</v>
      </c>
      <c r="P1712" t="str">
        <f t="shared" si="80"/>
        <v>Peyton Barber2</v>
      </c>
    </row>
    <row r="1713" spans="1:16" x14ac:dyDescent="0.25">
      <c r="A1713">
        <v>14</v>
      </c>
      <c r="B1713" t="s">
        <v>1422</v>
      </c>
      <c r="C1713" t="s">
        <v>6947</v>
      </c>
      <c r="D1713">
        <v>7.36</v>
      </c>
      <c r="E1713" t="s">
        <v>41</v>
      </c>
      <c r="F1713" t="s">
        <v>87</v>
      </c>
      <c r="G1713">
        <v>13.16</v>
      </c>
      <c r="H1713">
        <v>1.56</v>
      </c>
      <c r="I1713">
        <v>5.8</v>
      </c>
      <c r="J1713">
        <v>33.64</v>
      </c>
      <c r="K1713" t="str">
        <f>IFERROR(INDEX(Rosters!$C$2:$C$155,MATCH($B1713,Rosters!$B$2:$B$155,0)),"NA")</f>
        <v>comp</v>
      </c>
      <c r="L1713" t="str">
        <f t="shared" si="78"/>
        <v>comp14WR</v>
      </c>
      <c r="M1713">
        <f>COUNTIF(L$1:L1713,L1713)</f>
        <v>6</v>
      </c>
      <c r="N1713" t="str">
        <f t="shared" si="79"/>
        <v>comp14WR-6</v>
      </c>
      <c r="O1713">
        <f>COUNTIFS(F$1:F1713,F1713,A$1:A1713,A1713)</f>
        <v>39</v>
      </c>
      <c r="P1713" t="str">
        <f t="shared" si="80"/>
        <v>Calvin Ridley14</v>
      </c>
    </row>
    <row r="1714" spans="1:16" x14ac:dyDescent="0.25">
      <c r="A1714">
        <v>6</v>
      </c>
      <c r="B1714" t="s">
        <v>202</v>
      </c>
      <c r="C1714" t="s">
        <v>6948</v>
      </c>
      <c r="D1714">
        <v>7.36</v>
      </c>
      <c r="E1714" t="s">
        <v>74</v>
      </c>
      <c r="F1714" t="s">
        <v>47</v>
      </c>
      <c r="G1714">
        <v>12.06</v>
      </c>
      <c r="H1714">
        <v>2.66</v>
      </c>
      <c r="I1714">
        <v>4.7</v>
      </c>
      <c r="J1714">
        <v>22.09</v>
      </c>
      <c r="K1714" t="str">
        <f>IFERROR(INDEX(Rosters!$C$2:$C$155,MATCH($B1714,Rosters!$B$2:$B$155,0)),"NA")</f>
        <v>lucas</v>
      </c>
      <c r="L1714" t="str">
        <f t="shared" si="78"/>
        <v>lucas6RB</v>
      </c>
      <c r="M1714">
        <f>COUNTIF(L$1:L1714,L1714)</f>
        <v>3</v>
      </c>
      <c r="N1714" t="str">
        <f t="shared" si="79"/>
        <v>lucas6RB-3</v>
      </c>
      <c r="O1714">
        <f>COUNTIFS(F$1:F1714,F1714,A$1:A1714,A1714)</f>
        <v>32</v>
      </c>
      <c r="P1714" t="str">
        <f t="shared" si="80"/>
        <v>Chris Thompson6</v>
      </c>
    </row>
    <row r="1715" spans="1:16" x14ac:dyDescent="0.25">
      <c r="A1715">
        <v>17</v>
      </c>
      <c r="B1715" t="s">
        <v>195</v>
      </c>
      <c r="C1715" t="s">
        <v>6949</v>
      </c>
      <c r="D1715">
        <v>7.36</v>
      </c>
      <c r="E1715" t="s">
        <v>41</v>
      </c>
      <c r="F1715" t="s">
        <v>87</v>
      </c>
      <c r="G1715">
        <v>14.14</v>
      </c>
      <c r="H1715">
        <v>0.57999999999999996</v>
      </c>
      <c r="I1715">
        <v>6.78</v>
      </c>
      <c r="J1715">
        <v>45.968400000000003</v>
      </c>
      <c r="K1715" t="str">
        <f>IFERROR(INDEX(Rosters!$C$2:$C$155,MATCH($B1715,Rosters!$B$2:$B$155,0)),"NA")</f>
        <v>scott</v>
      </c>
      <c r="L1715" t="str">
        <f t="shared" si="78"/>
        <v>scott17WR</v>
      </c>
      <c r="M1715">
        <f>COUNTIF(L$1:L1715,L1715)</f>
        <v>3</v>
      </c>
      <c r="N1715" t="str">
        <f t="shared" si="79"/>
        <v>scott17WR-3</v>
      </c>
      <c r="O1715">
        <f>COUNTIFS(F$1:F1715,F1715,A$1:A1715,A1715)</f>
        <v>42</v>
      </c>
      <c r="P1715" t="str">
        <f t="shared" si="80"/>
        <v>Kenny Golladay17</v>
      </c>
    </row>
    <row r="1716" spans="1:16" x14ac:dyDescent="0.25">
      <c r="A1716">
        <v>4</v>
      </c>
      <c r="B1716" t="s">
        <v>221</v>
      </c>
      <c r="C1716" t="s">
        <v>4857</v>
      </c>
      <c r="D1716">
        <v>7.36</v>
      </c>
      <c r="E1716" t="s">
        <v>46</v>
      </c>
      <c r="F1716" t="s">
        <v>87</v>
      </c>
      <c r="G1716">
        <v>13.33</v>
      </c>
      <c r="H1716">
        <v>1.39</v>
      </c>
      <c r="I1716">
        <v>5.97</v>
      </c>
      <c r="J1716">
        <v>35.640900000000002</v>
      </c>
      <c r="K1716" t="str">
        <f>IFERROR(INDEX(Rosters!$C$2:$C$155,MATCH($B1716,Rosters!$B$2:$B$155,0)),"NA")</f>
        <v>cory</v>
      </c>
      <c r="L1716" t="str">
        <f t="shared" si="78"/>
        <v>cory4WR</v>
      </c>
      <c r="M1716">
        <f>COUNTIF(L$1:L1716,L1716)</f>
        <v>4</v>
      </c>
      <c r="N1716" t="str">
        <f t="shared" si="79"/>
        <v>cory4WR-4</v>
      </c>
      <c r="O1716">
        <f>COUNTIFS(F$1:F1716,F1716,A$1:A1716,A1716)</f>
        <v>35</v>
      </c>
      <c r="P1716" t="str">
        <f t="shared" si="80"/>
        <v>Tyler Boyd4</v>
      </c>
    </row>
    <row r="1717" spans="1:16" x14ac:dyDescent="0.25">
      <c r="A1717">
        <v>7</v>
      </c>
      <c r="B1717" t="s">
        <v>1422</v>
      </c>
      <c r="C1717" t="s">
        <v>6950</v>
      </c>
      <c r="D1717">
        <v>7.35</v>
      </c>
      <c r="E1717" t="s">
        <v>54</v>
      </c>
      <c r="F1717" t="s">
        <v>87</v>
      </c>
      <c r="G1717">
        <v>12.81</v>
      </c>
      <c r="H1717">
        <v>1.89</v>
      </c>
      <c r="I1717">
        <v>5.46</v>
      </c>
      <c r="J1717">
        <v>29.811599999999999</v>
      </c>
      <c r="K1717" t="str">
        <f>IFERROR(INDEX(Rosters!$C$2:$C$155,MATCH($B1717,Rosters!$B$2:$B$155,0)),"NA")</f>
        <v>comp</v>
      </c>
      <c r="L1717" t="str">
        <f t="shared" si="78"/>
        <v>comp7WR</v>
      </c>
      <c r="M1717">
        <f>COUNTIF(L$1:L1717,L1717)</f>
        <v>4</v>
      </c>
      <c r="N1717" t="str">
        <f t="shared" si="79"/>
        <v>comp7WR-4</v>
      </c>
      <c r="O1717">
        <f>COUNTIFS(F$1:F1717,F1717,A$1:A1717,A1717)</f>
        <v>35</v>
      </c>
      <c r="P1717" t="str">
        <f t="shared" si="80"/>
        <v>Calvin Ridley7</v>
      </c>
    </row>
    <row r="1718" spans="1:16" x14ac:dyDescent="0.25">
      <c r="A1718">
        <v>5</v>
      </c>
      <c r="B1718" t="s">
        <v>834</v>
      </c>
      <c r="C1718" t="s">
        <v>6951</v>
      </c>
      <c r="D1718">
        <v>7.35</v>
      </c>
      <c r="E1718" t="s">
        <v>56</v>
      </c>
      <c r="F1718" t="s">
        <v>47</v>
      </c>
      <c r="G1718">
        <v>12.89</v>
      </c>
      <c r="H1718">
        <v>1.81</v>
      </c>
      <c r="I1718">
        <v>5.54</v>
      </c>
      <c r="J1718">
        <v>30.691600000000001</v>
      </c>
      <c r="K1718" t="str">
        <f>IFERROR(INDEX(Rosters!$C$2:$C$155,MATCH($B1718,Rosters!$B$2:$B$155,0)),"NA")</f>
        <v>lucas</v>
      </c>
      <c r="L1718" t="str">
        <f t="shared" si="78"/>
        <v>lucas5RB</v>
      </c>
      <c r="M1718">
        <f>COUNTIF(L$1:L1718,L1718)</f>
        <v>4</v>
      </c>
      <c r="N1718" t="str">
        <f t="shared" si="79"/>
        <v>lucas5RB-4</v>
      </c>
      <c r="O1718">
        <f>COUNTIFS(F$1:F1718,F1718,A$1:A1718,A1718)</f>
        <v>34</v>
      </c>
      <c r="P1718" t="str">
        <f t="shared" si="80"/>
        <v>Chris Carson5</v>
      </c>
    </row>
    <row r="1719" spans="1:16" x14ac:dyDescent="0.25">
      <c r="A1719">
        <v>15</v>
      </c>
      <c r="B1719" t="s">
        <v>149</v>
      </c>
      <c r="C1719" t="s">
        <v>6952</v>
      </c>
      <c r="D1719">
        <v>7.35</v>
      </c>
      <c r="E1719" t="s">
        <v>52</v>
      </c>
      <c r="F1719" t="s">
        <v>87</v>
      </c>
      <c r="G1719">
        <v>12.28</v>
      </c>
      <c r="H1719">
        <v>2.42</v>
      </c>
      <c r="I1719">
        <v>4.93</v>
      </c>
      <c r="J1719">
        <v>24.3049</v>
      </c>
      <c r="K1719" t="str">
        <f>IFERROR(INDEX(Rosters!$C$2:$C$155,MATCH($B1719,Rosters!$B$2:$B$155,0)),"NA")</f>
        <v>comp</v>
      </c>
      <c r="L1719" t="str">
        <f t="shared" si="78"/>
        <v>comp15WR</v>
      </c>
      <c r="M1719">
        <f>COUNTIF(L$1:L1719,L1719)</f>
        <v>6</v>
      </c>
      <c r="N1719" t="str">
        <f t="shared" si="79"/>
        <v>comp15WR-6</v>
      </c>
      <c r="O1719">
        <f>COUNTIFS(F$1:F1719,F1719,A$1:A1719,A1719)</f>
        <v>40</v>
      </c>
      <c r="P1719" t="str">
        <f t="shared" si="80"/>
        <v>Emmanuel Sanders15</v>
      </c>
    </row>
    <row r="1720" spans="1:16" x14ac:dyDescent="0.25">
      <c r="A1720">
        <v>16</v>
      </c>
      <c r="B1720" t="s">
        <v>116</v>
      </c>
      <c r="C1720" t="s">
        <v>6953</v>
      </c>
      <c r="D1720">
        <v>7.35</v>
      </c>
      <c r="E1720" t="s">
        <v>37</v>
      </c>
      <c r="F1720" t="s">
        <v>87</v>
      </c>
      <c r="G1720">
        <v>12.12</v>
      </c>
      <c r="H1720">
        <v>2.58</v>
      </c>
      <c r="I1720">
        <v>4.7699999999999996</v>
      </c>
      <c r="J1720">
        <v>22.7529</v>
      </c>
      <c r="K1720" t="str">
        <f>IFERROR(INDEX(Rosters!$C$2:$C$155,MATCH($B1720,Rosters!$B$2:$B$155,0)),"NA")</f>
        <v>aj</v>
      </c>
      <c r="L1720" t="str">
        <f t="shared" si="78"/>
        <v>aj16WR</v>
      </c>
      <c r="M1720">
        <f>COUNTIF(L$1:L1720,L1720)</f>
        <v>5</v>
      </c>
      <c r="N1720" t="str">
        <f t="shared" si="79"/>
        <v>aj16WR-5</v>
      </c>
      <c r="O1720">
        <f>COUNTIFS(F$1:F1720,F1720,A$1:A1720,A1720)</f>
        <v>42</v>
      </c>
      <c r="P1720" t="str">
        <f t="shared" si="80"/>
        <v>Michael Crabtree16</v>
      </c>
    </row>
    <row r="1721" spans="1:16" x14ac:dyDescent="0.25">
      <c r="A1721">
        <v>9</v>
      </c>
      <c r="B1721" t="s">
        <v>203</v>
      </c>
      <c r="C1721" t="s">
        <v>6954</v>
      </c>
      <c r="D1721">
        <v>7.35</v>
      </c>
      <c r="E1721" t="s">
        <v>19</v>
      </c>
      <c r="F1721" t="s">
        <v>87</v>
      </c>
      <c r="G1721">
        <v>12.47</v>
      </c>
      <c r="H1721">
        <v>2.23</v>
      </c>
      <c r="I1721">
        <v>5.12</v>
      </c>
      <c r="J1721">
        <v>26.214400000000001</v>
      </c>
      <c r="K1721" t="str">
        <f>IFERROR(INDEX(Rosters!$C$2:$C$155,MATCH($B1721,Rosters!$B$2:$B$155,0)),"NA")</f>
        <v>NA</v>
      </c>
      <c r="L1721" t="str">
        <f t="shared" si="78"/>
        <v>NA9WR</v>
      </c>
      <c r="M1721">
        <f>COUNTIF(L$1:L1721,L1721)</f>
        <v>2</v>
      </c>
      <c r="N1721" t="str">
        <f t="shared" si="79"/>
        <v>NA9WR-2</v>
      </c>
      <c r="O1721">
        <f>COUNTIFS(F$1:F1721,F1721,A$1:A1721,A1721)</f>
        <v>35</v>
      </c>
      <c r="P1721" t="str">
        <f t="shared" si="80"/>
        <v>Robby Anderson9</v>
      </c>
    </row>
    <row r="1722" spans="1:16" x14ac:dyDescent="0.25">
      <c r="A1722">
        <v>10</v>
      </c>
      <c r="B1722" t="s">
        <v>221</v>
      </c>
      <c r="C1722" t="s">
        <v>6955</v>
      </c>
      <c r="D1722">
        <v>7.35</v>
      </c>
      <c r="E1722" t="s">
        <v>14</v>
      </c>
      <c r="F1722" t="s">
        <v>87</v>
      </c>
      <c r="G1722">
        <v>11.67</v>
      </c>
      <c r="H1722">
        <v>3.03</v>
      </c>
      <c r="I1722">
        <v>4.32</v>
      </c>
      <c r="J1722">
        <v>18.662400000000002</v>
      </c>
      <c r="K1722" t="str">
        <f>IFERROR(INDEX(Rosters!$C$2:$C$155,MATCH($B1722,Rosters!$B$2:$B$155,0)),"NA")</f>
        <v>cory</v>
      </c>
      <c r="L1722" t="str">
        <f t="shared" si="78"/>
        <v>cory10WR</v>
      </c>
      <c r="M1722">
        <f>COUNTIF(L$1:L1722,L1722)</f>
        <v>5</v>
      </c>
      <c r="N1722" t="str">
        <f t="shared" si="79"/>
        <v>cory10WR-5</v>
      </c>
      <c r="O1722">
        <f>COUNTIFS(F$1:F1722,F1722,A$1:A1722,A1722)</f>
        <v>35</v>
      </c>
      <c r="P1722" t="str">
        <f t="shared" si="80"/>
        <v>Tyler Boyd10</v>
      </c>
    </row>
    <row r="1723" spans="1:16" x14ac:dyDescent="0.25">
      <c r="A1723">
        <v>3</v>
      </c>
      <c r="B1723" t="s">
        <v>1352</v>
      </c>
      <c r="C1723">
        <f>-0.58-15.26</f>
        <v>-15.84</v>
      </c>
      <c r="D1723">
        <v>7.34</v>
      </c>
      <c r="E1723" t="s">
        <v>34</v>
      </c>
      <c r="F1723" t="s">
        <v>47</v>
      </c>
      <c r="G1723">
        <v>15.26</v>
      </c>
      <c r="H1723">
        <v>-0.57999999999999996</v>
      </c>
      <c r="I1723">
        <v>7.92</v>
      </c>
      <c r="J1723">
        <v>62.726399999999998</v>
      </c>
      <c r="K1723" t="str">
        <f>IFERROR(INDEX(Rosters!$C$2:$C$155,MATCH($B1723,Rosters!$B$2:$B$155,0)),"NA")</f>
        <v>devon</v>
      </c>
      <c r="L1723" t="str">
        <f t="shared" si="78"/>
        <v>devon3RB</v>
      </c>
      <c r="M1723">
        <f>COUNTIF(L$1:L1723,L1723)</f>
        <v>3</v>
      </c>
      <c r="N1723" t="str">
        <f t="shared" si="79"/>
        <v>devon3RB-3</v>
      </c>
      <c r="O1723">
        <f>COUNTIFS(F$1:F1723,F1723,A$1:A1723,A1723)</f>
        <v>34</v>
      </c>
      <c r="P1723" t="str">
        <f t="shared" si="80"/>
        <v>Sony Michel3</v>
      </c>
    </row>
    <row r="1724" spans="1:16" x14ac:dyDescent="0.25">
      <c r="A1724">
        <v>1</v>
      </c>
      <c r="B1724" t="s">
        <v>355</v>
      </c>
      <c r="C1724" t="s">
        <v>3189</v>
      </c>
      <c r="D1724">
        <v>7.33</v>
      </c>
      <c r="E1724" t="s">
        <v>14</v>
      </c>
      <c r="F1724" t="s">
        <v>47</v>
      </c>
      <c r="G1724">
        <v>11.01</v>
      </c>
      <c r="H1724">
        <v>3.65</v>
      </c>
      <c r="I1724">
        <v>3.68</v>
      </c>
      <c r="J1724">
        <v>13.542400000000001</v>
      </c>
      <c r="K1724" t="str">
        <f>IFERROR(INDEX(Rosters!$C$2:$C$155,MATCH($B1724,Rosters!$B$2:$B$155,0)),"NA")</f>
        <v>devon</v>
      </c>
      <c r="L1724" t="str">
        <f t="shared" si="78"/>
        <v>devon1RB</v>
      </c>
      <c r="M1724">
        <f>COUNTIF(L$1:L1724,L1724)</f>
        <v>3</v>
      </c>
      <c r="N1724" t="str">
        <f t="shared" si="79"/>
        <v>devon1RB-3</v>
      </c>
      <c r="O1724">
        <f>COUNTIFS(F$1:F1724,F1724,A$1:A1724,A1724)</f>
        <v>28</v>
      </c>
      <c r="P1724" t="str">
        <f t="shared" si="80"/>
        <v>Peyton Barber1</v>
      </c>
    </row>
    <row r="1725" spans="1:16" x14ac:dyDescent="0.25">
      <c r="A1725">
        <v>7</v>
      </c>
      <c r="B1725" t="s">
        <v>139</v>
      </c>
      <c r="C1725" t="s">
        <v>6956</v>
      </c>
      <c r="D1725">
        <v>7.32</v>
      </c>
      <c r="E1725" t="s">
        <v>25</v>
      </c>
      <c r="F1725" t="s">
        <v>47</v>
      </c>
      <c r="G1725">
        <v>12.06</v>
      </c>
      <c r="H1725">
        <v>2.58</v>
      </c>
      <c r="I1725">
        <v>4.74</v>
      </c>
      <c r="J1725">
        <v>22.467600000000001</v>
      </c>
      <c r="K1725" t="str">
        <f>IFERROR(INDEX(Rosters!$C$2:$C$155,MATCH($B1725,Rosters!$B$2:$B$155,0)),"NA")</f>
        <v>cory</v>
      </c>
      <c r="L1725" t="str">
        <f t="shared" si="78"/>
        <v>cory7RB</v>
      </c>
      <c r="M1725">
        <f>COUNTIF(L$1:L1725,L1725)</f>
        <v>4</v>
      </c>
      <c r="N1725" t="str">
        <f t="shared" si="79"/>
        <v>cory7RB-4</v>
      </c>
      <c r="O1725">
        <f>COUNTIFS(F$1:F1725,F1725,A$1:A1725,A1725)</f>
        <v>31</v>
      </c>
      <c r="P1725" t="str">
        <f t="shared" si="80"/>
        <v>Bilal Powell7</v>
      </c>
    </row>
    <row r="1726" spans="1:16" x14ac:dyDescent="0.25">
      <c r="A1726">
        <v>3</v>
      </c>
      <c r="B1726" t="s">
        <v>1368</v>
      </c>
      <c r="C1726" t="s">
        <v>3698</v>
      </c>
      <c r="D1726">
        <v>7.32</v>
      </c>
      <c r="E1726" t="s">
        <v>38</v>
      </c>
      <c r="F1726" t="s">
        <v>87</v>
      </c>
      <c r="G1726">
        <v>12.39</v>
      </c>
      <c r="H1726">
        <v>2.25</v>
      </c>
      <c r="I1726">
        <v>5.07</v>
      </c>
      <c r="J1726">
        <v>25.704899999999999</v>
      </c>
      <c r="K1726" t="str">
        <f>IFERROR(INDEX(Rosters!$C$2:$C$155,MATCH($B1726,Rosters!$B$2:$B$155,0)),"NA")</f>
        <v>scott</v>
      </c>
      <c r="L1726" t="str">
        <f t="shared" si="78"/>
        <v>scott3WR</v>
      </c>
      <c r="M1726">
        <f>COUNTIF(L$1:L1726,L1726)</f>
        <v>4</v>
      </c>
      <c r="N1726" t="str">
        <f t="shared" si="79"/>
        <v>scott3WR-4</v>
      </c>
      <c r="O1726">
        <f>COUNTIFS(F$1:F1726,F1726,A$1:A1726,A1726)</f>
        <v>35</v>
      </c>
      <c r="P1726" t="str">
        <f t="shared" si="80"/>
        <v>Keelan Cole3</v>
      </c>
    </row>
    <row r="1727" spans="1:16" x14ac:dyDescent="0.25">
      <c r="A1727">
        <v>10</v>
      </c>
      <c r="B1727" t="s">
        <v>140</v>
      </c>
      <c r="C1727" t="s">
        <v>6957</v>
      </c>
      <c r="D1727">
        <v>7.32</v>
      </c>
      <c r="E1727" t="s">
        <v>24</v>
      </c>
      <c r="F1727" t="s">
        <v>87</v>
      </c>
      <c r="G1727">
        <v>12.95</v>
      </c>
      <c r="H1727">
        <v>1.69</v>
      </c>
      <c r="I1727">
        <v>5.63</v>
      </c>
      <c r="J1727">
        <v>31.696899999999999</v>
      </c>
      <c r="K1727" t="str">
        <f>IFERROR(INDEX(Rosters!$C$2:$C$155,MATCH($B1727,Rosters!$B$2:$B$155,0)),"NA")</f>
        <v>seth</v>
      </c>
      <c r="L1727" t="str">
        <f t="shared" si="78"/>
        <v>seth10WR</v>
      </c>
      <c r="M1727">
        <f>COUNTIF(L$1:L1727,L1727)</f>
        <v>3</v>
      </c>
      <c r="N1727" t="str">
        <f t="shared" si="79"/>
        <v>seth10WR-3</v>
      </c>
      <c r="O1727">
        <f>COUNTIFS(F$1:F1727,F1727,A$1:A1727,A1727)</f>
        <v>36</v>
      </c>
      <c r="P1727" t="str">
        <f t="shared" si="80"/>
        <v>Larry Fitzgerald10</v>
      </c>
    </row>
    <row r="1728" spans="1:16" x14ac:dyDescent="0.25">
      <c r="A1728">
        <v>4</v>
      </c>
      <c r="B1728" t="s">
        <v>1368</v>
      </c>
      <c r="C1728" t="s">
        <v>4487</v>
      </c>
      <c r="D1728">
        <v>7.31</v>
      </c>
      <c r="E1728" t="s">
        <v>73</v>
      </c>
      <c r="F1728" t="s">
        <v>87</v>
      </c>
      <c r="G1728">
        <v>11.85</v>
      </c>
      <c r="H1728">
        <v>2.77</v>
      </c>
      <c r="I1728">
        <v>4.54</v>
      </c>
      <c r="J1728">
        <v>20.611599999999999</v>
      </c>
      <c r="K1728" t="str">
        <f>IFERROR(INDEX(Rosters!$C$2:$C$155,MATCH($B1728,Rosters!$B$2:$B$155,0)),"NA")</f>
        <v>scott</v>
      </c>
      <c r="L1728" t="str">
        <f t="shared" si="78"/>
        <v>scott4WR</v>
      </c>
      <c r="M1728">
        <f>COUNTIF(L$1:L1728,L1728)</f>
        <v>4</v>
      </c>
      <c r="N1728" t="str">
        <f t="shared" si="79"/>
        <v>scott4WR-4</v>
      </c>
      <c r="O1728">
        <f>COUNTIFS(F$1:F1728,F1728,A$1:A1728,A1728)</f>
        <v>36</v>
      </c>
      <c r="P1728" t="str">
        <f t="shared" si="80"/>
        <v>Keelan Cole4</v>
      </c>
    </row>
    <row r="1729" spans="1:16" x14ac:dyDescent="0.25">
      <c r="A1729">
        <v>3</v>
      </c>
      <c r="B1729" t="s">
        <v>3533</v>
      </c>
      <c r="C1729" t="s">
        <v>3699</v>
      </c>
      <c r="D1729">
        <v>7.31</v>
      </c>
      <c r="E1729" t="s">
        <v>77</v>
      </c>
      <c r="F1729" t="s">
        <v>47</v>
      </c>
      <c r="G1729">
        <v>13.21</v>
      </c>
      <c r="H1729">
        <v>1.41</v>
      </c>
      <c r="I1729">
        <v>5.9</v>
      </c>
      <c r="J1729">
        <v>34.81</v>
      </c>
      <c r="K1729" t="str">
        <f>IFERROR(INDEX(Rosters!$C$2:$C$155,MATCH($B1729,Rosters!$B$2:$B$155,0)),"NA")</f>
        <v>perry</v>
      </c>
      <c r="L1729" t="str">
        <f t="shared" si="78"/>
        <v>perry3RB</v>
      </c>
      <c r="M1729">
        <f>COUNTIF(L$1:L1729,L1729)</f>
        <v>3</v>
      </c>
      <c r="N1729" t="str">
        <f t="shared" si="79"/>
        <v>perry3RB-3</v>
      </c>
      <c r="O1729">
        <f>COUNTIFS(F$1:F1729,F1729,A$1:A1729,A1729)</f>
        <v>35</v>
      </c>
      <c r="P1729" t="str">
        <f t="shared" si="80"/>
        <v>Phillip Lindsay3</v>
      </c>
    </row>
    <row r="1730" spans="1:16" x14ac:dyDescent="0.25">
      <c r="A1730">
        <v>11</v>
      </c>
      <c r="B1730" t="s">
        <v>149</v>
      </c>
      <c r="C1730" t="s">
        <v>6958</v>
      </c>
      <c r="D1730">
        <v>7.3</v>
      </c>
      <c r="E1730" t="s">
        <v>37</v>
      </c>
      <c r="F1730" t="s">
        <v>87</v>
      </c>
      <c r="G1730">
        <v>12.65</v>
      </c>
      <c r="H1730">
        <v>1.95</v>
      </c>
      <c r="I1730">
        <v>5.35</v>
      </c>
      <c r="J1730">
        <v>28.622499999999999</v>
      </c>
      <c r="K1730" t="str">
        <f>IFERROR(INDEX(Rosters!$C$2:$C$155,MATCH($B1730,Rosters!$B$2:$B$155,0)),"NA")</f>
        <v>comp</v>
      </c>
      <c r="L1730" t="str">
        <f t="shared" si="78"/>
        <v>comp11WR</v>
      </c>
      <c r="M1730">
        <f>COUNTIF(L$1:L1730,L1730)</f>
        <v>5</v>
      </c>
      <c r="N1730" t="str">
        <f t="shared" si="79"/>
        <v>comp11WR-5</v>
      </c>
      <c r="O1730">
        <f>COUNTIFS(F$1:F1730,F1730,A$1:A1730,A1730)</f>
        <v>37</v>
      </c>
      <c r="P1730" t="str">
        <f t="shared" si="80"/>
        <v>Emmanuel Sanders11</v>
      </c>
    </row>
    <row r="1731" spans="1:16" x14ac:dyDescent="0.25">
      <c r="A1731">
        <v>17</v>
      </c>
      <c r="B1731" t="s">
        <v>118</v>
      </c>
      <c r="C1731" t="s">
        <v>6959</v>
      </c>
      <c r="D1731">
        <v>7.3</v>
      </c>
      <c r="E1731" t="s">
        <v>50</v>
      </c>
      <c r="F1731" t="s">
        <v>114</v>
      </c>
      <c r="G1731">
        <v>14.13</v>
      </c>
      <c r="H1731">
        <v>0.47</v>
      </c>
      <c r="I1731">
        <v>6.83</v>
      </c>
      <c r="J1731">
        <v>46.648899999999998</v>
      </c>
      <c r="K1731" t="str">
        <f>IFERROR(INDEX(Rosters!$C$2:$C$155,MATCH($B1731,Rosters!$B$2:$B$155,0)),"NA")</f>
        <v>matty</v>
      </c>
      <c r="L1731" t="str">
        <f t="shared" ref="L1731:L1794" si="81">K1731&amp;A1731&amp;F1731</f>
        <v>matty17TE</v>
      </c>
      <c r="M1731">
        <f>COUNTIF(L$1:L1731,L1731)</f>
        <v>1</v>
      </c>
      <c r="N1731" t="str">
        <f t="shared" ref="N1731:N1794" si="82">L1731&amp;"-"&amp;M1731</f>
        <v>matty17TE-1</v>
      </c>
      <c r="O1731">
        <f>COUNTIFS(F$1:F1731,F1731,A$1:A1731,A1731)</f>
        <v>6</v>
      </c>
      <c r="P1731" t="str">
        <f t="shared" ref="P1731:P1794" si="83">B1731&amp;A1731</f>
        <v>Jordan Reed17</v>
      </c>
    </row>
    <row r="1732" spans="1:16" x14ac:dyDescent="0.25">
      <c r="A1732">
        <v>4</v>
      </c>
      <c r="B1732" t="s">
        <v>192</v>
      </c>
      <c r="C1732" t="s">
        <v>4488</v>
      </c>
      <c r="D1732">
        <v>7.3</v>
      </c>
      <c r="E1732" t="s">
        <v>14</v>
      </c>
      <c r="F1732" t="s">
        <v>87</v>
      </c>
      <c r="G1732">
        <v>12.16</v>
      </c>
      <c r="H1732">
        <v>2.44</v>
      </c>
      <c r="I1732">
        <v>4.8600000000000003</v>
      </c>
      <c r="J1732">
        <v>23.619599999999998</v>
      </c>
      <c r="K1732" t="str">
        <f>IFERROR(INDEX(Rosters!$C$2:$C$155,MATCH($B1732,Rosters!$B$2:$B$155,0)),"NA")</f>
        <v>cory</v>
      </c>
      <c r="L1732" t="str">
        <f t="shared" si="81"/>
        <v>cory4WR</v>
      </c>
      <c r="M1732">
        <f>COUNTIF(L$1:L1732,L1732)</f>
        <v>5</v>
      </c>
      <c r="N1732" t="str">
        <f t="shared" si="82"/>
        <v>cory4WR-5</v>
      </c>
      <c r="O1732">
        <f>COUNTIFS(F$1:F1732,F1732,A$1:A1732,A1732)</f>
        <v>37</v>
      </c>
      <c r="P1732" t="str">
        <f t="shared" si="83"/>
        <v>Sterling Shepard4</v>
      </c>
    </row>
    <row r="1733" spans="1:16" x14ac:dyDescent="0.25">
      <c r="A1733">
        <v>15</v>
      </c>
      <c r="B1733" t="s">
        <v>171</v>
      </c>
      <c r="C1733" t="s">
        <v>6960</v>
      </c>
      <c r="D1733">
        <v>7.29</v>
      </c>
      <c r="E1733" t="s">
        <v>54</v>
      </c>
      <c r="F1733" t="s">
        <v>87</v>
      </c>
      <c r="G1733">
        <v>13.94</v>
      </c>
      <c r="H1733">
        <v>0.64</v>
      </c>
      <c r="I1733">
        <v>6.65</v>
      </c>
      <c r="J1733">
        <v>44.222499999999997</v>
      </c>
      <c r="K1733" t="str">
        <f>IFERROR(INDEX(Rosters!$C$2:$C$155,MATCH($B1733,Rosters!$B$2:$B$155,0)),"NA")</f>
        <v>matty</v>
      </c>
      <c r="L1733" t="str">
        <f t="shared" si="81"/>
        <v>matty15WR</v>
      </c>
      <c r="M1733">
        <f>COUNTIF(L$1:L1733,L1733)</f>
        <v>4</v>
      </c>
      <c r="N1733" t="str">
        <f t="shared" si="82"/>
        <v>matty15WR-4</v>
      </c>
      <c r="O1733">
        <f>COUNTIFS(F$1:F1733,F1733,A$1:A1733,A1733)</f>
        <v>41</v>
      </c>
      <c r="P1733" t="str">
        <f t="shared" si="83"/>
        <v>Corey Davis15</v>
      </c>
    </row>
    <row r="1734" spans="1:16" x14ac:dyDescent="0.25">
      <c r="A1734">
        <v>13</v>
      </c>
      <c r="B1734" t="s">
        <v>834</v>
      </c>
      <c r="C1734" t="s">
        <v>6961</v>
      </c>
      <c r="D1734">
        <v>7.28</v>
      </c>
      <c r="E1734" t="s">
        <v>30</v>
      </c>
      <c r="F1734" t="s">
        <v>47</v>
      </c>
      <c r="G1734">
        <v>12.82</v>
      </c>
      <c r="H1734">
        <v>1.74</v>
      </c>
      <c r="I1734">
        <v>5.54</v>
      </c>
      <c r="J1734">
        <v>30.691600000000001</v>
      </c>
      <c r="K1734" t="str">
        <f>IFERROR(INDEX(Rosters!$C$2:$C$155,MATCH($B1734,Rosters!$B$2:$B$155,0)),"NA")</f>
        <v>lucas</v>
      </c>
      <c r="L1734" t="str">
        <f t="shared" si="81"/>
        <v>lucas13RB</v>
      </c>
      <c r="M1734">
        <f>COUNTIF(L$1:L1734,L1734)</f>
        <v>3</v>
      </c>
      <c r="N1734" t="str">
        <f t="shared" si="82"/>
        <v>lucas13RB-3</v>
      </c>
      <c r="O1734">
        <f>COUNTIFS(F$1:F1734,F1734,A$1:A1734,A1734)</f>
        <v>34</v>
      </c>
      <c r="P1734" t="str">
        <f t="shared" si="83"/>
        <v>Chris Carson13</v>
      </c>
    </row>
    <row r="1735" spans="1:16" x14ac:dyDescent="0.25">
      <c r="A1735">
        <v>7</v>
      </c>
      <c r="B1735" t="s">
        <v>215</v>
      </c>
      <c r="C1735" t="s">
        <v>6962</v>
      </c>
      <c r="D1735">
        <v>7.28</v>
      </c>
      <c r="E1735" t="s">
        <v>17</v>
      </c>
      <c r="F1735" t="s">
        <v>114</v>
      </c>
      <c r="G1735">
        <v>12.94</v>
      </c>
      <c r="H1735">
        <v>1.62</v>
      </c>
      <c r="I1735">
        <v>5.66</v>
      </c>
      <c r="J1735">
        <v>32.035600000000002</v>
      </c>
      <c r="K1735" t="str">
        <f>IFERROR(INDEX(Rosters!$C$2:$C$155,MATCH($B1735,Rosters!$B$2:$B$155,0)),"NA")</f>
        <v>NA</v>
      </c>
      <c r="L1735" t="str">
        <f t="shared" si="81"/>
        <v>NA7TE</v>
      </c>
      <c r="M1735">
        <f>COUNTIF(L$1:L1735,L1735)</f>
        <v>1</v>
      </c>
      <c r="N1735" t="str">
        <f t="shared" si="82"/>
        <v>NA7TE-1</v>
      </c>
      <c r="O1735">
        <f>COUNTIFS(F$1:F1735,F1735,A$1:A1735,A1735)</f>
        <v>4</v>
      </c>
      <c r="P1735" t="str">
        <f t="shared" si="83"/>
        <v>David Njoku7</v>
      </c>
    </row>
    <row r="1736" spans="1:16" x14ac:dyDescent="0.25">
      <c r="A1736">
        <v>13</v>
      </c>
      <c r="B1736" t="s">
        <v>149</v>
      </c>
      <c r="C1736" t="s">
        <v>6963</v>
      </c>
      <c r="D1736">
        <v>7.28</v>
      </c>
      <c r="E1736" t="s">
        <v>31</v>
      </c>
      <c r="F1736" t="s">
        <v>87</v>
      </c>
      <c r="G1736">
        <v>11.68</v>
      </c>
      <c r="H1736">
        <v>2.88</v>
      </c>
      <c r="I1736">
        <v>4.4000000000000004</v>
      </c>
      <c r="J1736">
        <v>19.36</v>
      </c>
      <c r="K1736" t="str">
        <f>IFERROR(INDEX(Rosters!$C$2:$C$155,MATCH($B1736,Rosters!$B$2:$B$155,0)),"NA")</f>
        <v>comp</v>
      </c>
      <c r="L1736" t="str">
        <f t="shared" si="81"/>
        <v>comp13WR</v>
      </c>
      <c r="M1736">
        <f>COUNTIF(L$1:L1736,L1736)</f>
        <v>4</v>
      </c>
      <c r="N1736" t="str">
        <f t="shared" si="82"/>
        <v>comp13WR-4</v>
      </c>
      <c r="O1736">
        <f>COUNTIFS(F$1:F1736,F1736,A$1:A1736,A1736)</f>
        <v>41</v>
      </c>
      <c r="P1736" t="str">
        <f t="shared" si="83"/>
        <v>Emmanuel Sanders13</v>
      </c>
    </row>
    <row r="1737" spans="1:16" x14ac:dyDescent="0.25">
      <c r="A1737">
        <v>12</v>
      </c>
      <c r="B1737" t="s">
        <v>298</v>
      </c>
      <c r="C1737" t="s">
        <v>6964</v>
      </c>
      <c r="D1737">
        <v>7.28</v>
      </c>
      <c r="E1737" t="s">
        <v>42</v>
      </c>
      <c r="F1737" t="s">
        <v>47</v>
      </c>
      <c r="G1737">
        <v>12.69</v>
      </c>
      <c r="H1737">
        <v>1.87</v>
      </c>
      <c r="I1737">
        <v>5.41</v>
      </c>
      <c r="J1737">
        <v>29.2681</v>
      </c>
      <c r="K1737" t="str">
        <f>IFERROR(INDEX(Rosters!$C$2:$C$155,MATCH($B1737,Rosters!$B$2:$B$155,0)),"NA")</f>
        <v>aj</v>
      </c>
      <c r="L1737" t="str">
        <f t="shared" si="81"/>
        <v>aj12RB</v>
      </c>
      <c r="M1737">
        <f>COUNTIF(L$1:L1737,L1737)</f>
        <v>3</v>
      </c>
      <c r="N1737" t="str">
        <f t="shared" si="82"/>
        <v>aj12RB-3</v>
      </c>
      <c r="O1737">
        <f>COUNTIFS(F$1:F1737,F1737,A$1:A1737,A1737)</f>
        <v>29</v>
      </c>
      <c r="P1737" t="str">
        <f t="shared" si="83"/>
        <v>James Conner12</v>
      </c>
    </row>
    <row r="1738" spans="1:16" x14ac:dyDescent="0.25">
      <c r="A1738">
        <v>5</v>
      </c>
      <c r="B1738" t="s">
        <v>187</v>
      </c>
      <c r="C1738" t="s">
        <v>9079</v>
      </c>
      <c r="D1738">
        <v>7.28</v>
      </c>
      <c r="E1738" t="s">
        <v>50</v>
      </c>
      <c r="F1738" t="s">
        <v>47</v>
      </c>
      <c r="G1738">
        <v>13.55</v>
      </c>
      <c r="H1738">
        <v>1.01</v>
      </c>
      <c r="I1738">
        <v>6.27</v>
      </c>
      <c r="J1738">
        <v>39.312899999999999</v>
      </c>
      <c r="K1738" t="str">
        <f>IFERROR(INDEX(Rosters!$C$2:$C$155,MATCH($B1738,Rosters!$B$2:$B$155,0)),"NA")</f>
        <v>seth</v>
      </c>
      <c r="L1738" t="str">
        <f t="shared" si="81"/>
        <v>seth5RB</v>
      </c>
      <c r="M1738">
        <f>COUNTIF(L$1:L1738,L1738)</f>
        <v>3</v>
      </c>
      <c r="N1738" t="str">
        <f t="shared" si="82"/>
        <v>seth5RB-3</v>
      </c>
      <c r="O1738">
        <f>COUNTIFS(F$1:F1738,F1738,A$1:A1738,A1738)</f>
        <v>35</v>
      </c>
      <c r="P1738" t="str">
        <f t="shared" si="83"/>
        <v>Latavius Murray5</v>
      </c>
    </row>
    <row r="1739" spans="1:16" x14ac:dyDescent="0.25">
      <c r="A1739">
        <v>13</v>
      </c>
      <c r="B1739" t="s">
        <v>166</v>
      </c>
      <c r="C1739" t="s">
        <v>6965</v>
      </c>
      <c r="D1739">
        <v>7.28</v>
      </c>
      <c r="E1739" t="s">
        <v>58</v>
      </c>
      <c r="F1739" t="s">
        <v>87</v>
      </c>
      <c r="G1739">
        <v>11.96</v>
      </c>
      <c r="H1739">
        <v>2.6</v>
      </c>
      <c r="I1739">
        <v>4.68</v>
      </c>
      <c r="J1739">
        <v>21.9024</v>
      </c>
      <c r="K1739" t="str">
        <f>IFERROR(INDEX(Rosters!$C$2:$C$155,MATCH($B1739,Rosters!$B$2:$B$155,0)),"NA")</f>
        <v>seth</v>
      </c>
      <c r="L1739" t="str">
        <f t="shared" si="81"/>
        <v>seth13WR</v>
      </c>
      <c r="M1739">
        <f>COUNTIF(L$1:L1739,L1739)</f>
        <v>5</v>
      </c>
      <c r="N1739" t="str">
        <f t="shared" si="82"/>
        <v>seth13WR-5</v>
      </c>
      <c r="O1739">
        <f>COUNTIFS(F$1:F1739,F1739,A$1:A1739,A1739)</f>
        <v>42</v>
      </c>
      <c r="P1739" t="str">
        <f t="shared" si="83"/>
        <v>Randall Cobb13</v>
      </c>
    </row>
    <row r="1740" spans="1:16" x14ac:dyDescent="0.25">
      <c r="A1740">
        <v>14</v>
      </c>
      <c r="B1740" t="s">
        <v>128</v>
      </c>
      <c r="C1740" t="s">
        <v>6966</v>
      </c>
      <c r="D1740">
        <v>7.27</v>
      </c>
      <c r="E1740" t="s">
        <v>423</v>
      </c>
      <c r="F1740" t="s">
        <v>47</v>
      </c>
      <c r="G1740">
        <v>12.17</v>
      </c>
      <c r="H1740">
        <v>2.37</v>
      </c>
      <c r="I1740">
        <v>4.9000000000000004</v>
      </c>
      <c r="J1740">
        <v>24.01</v>
      </c>
      <c r="K1740" t="str">
        <f>IFERROR(INDEX(Rosters!$C$2:$C$155,MATCH($B1740,Rosters!$B$2:$B$155,0)),"NA")</f>
        <v>NA</v>
      </c>
      <c r="L1740" t="str">
        <f t="shared" si="81"/>
        <v>NA14RB</v>
      </c>
      <c r="M1740">
        <f>COUNTIF(L$1:L1740,L1740)</f>
        <v>2</v>
      </c>
      <c r="N1740" t="str">
        <f t="shared" si="82"/>
        <v>NA14RB-2</v>
      </c>
      <c r="O1740">
        <f>COUNTIFS(F$1:F1740,F1740,A$1:A1740,A1740)</f>
        <v>35</v>
      </c>
      <c r="P1740" t="str">
        <f t="shared" si="83"/>
        <v>Frank Gore14</v>
      </c>
    </row>
    <row r="1741" spans="1:16" x14ac:dyDescent="0.25">
      <c r="A1741">
        <v>16</v>
      </c>
      <c r="B1741" t="s">
        <v>162</v>
      </c>
      <c r="C1741" t="s">
        <v>6967</v>
      </c>
      <c r="D1741">
        <v>7.27</v>
      </c>
      <c r="E1741" t="s">
        <v>73</v>
      </c>
      <c r="F1741" t="s">
        <v>114</v>
      </c>
      <c r="G1741">
        <v>12.65</v>
      </c>
      <c r="H1741">
        <v>1.89</v>
      </c>
      <c r="I1741">
        <v>5.38</v>
      </c>
      <c r="J1741">
        <v>28.944400000000002</v>
      </c>
      <c r="K1741" t="str">
        <f>IFERROR(INDEX(Rosters!$C$2:$C$155,MATCH($B1741,Rosters!$B$2:$B$155,0)),"NA")</f>
        <v>seth</v>
      </c>
      <c r="L1741" t="str">
        <f t="shared" si="81"/>
        <v>seth16TE</v>
      </c>
      <c r="M1741">
        <f>COUNTIF(L$1:L1741,L1741)</f>
        <v>1</v>
      </c>
      <c r="N1741" t="str">
        <f t="shared" si="82"/>
        <v>seth16TE-1</v>
      </c>
      <c r="O1741">
        <f>COUNTIFS(F$1:F1741,F1741,A$1:A1741,A1741)</f>
        <v>5</v>
      </c>
      <c r="P1741" t="str">
        <f t="shared" si="83"/>
        <v>Jimmy Graham16</v>
      </c>
    </row>
    <row r="1742" spans="1:16" x14ac:dyDescent="0.25">
      <c r="A1742">
        <v>8</v>
      </c>
      <c r="B1742" t="s">
        <v>185</v>
      </c>
      <c r="C1742" t="s">
        <v>6968</v>
      </c>
      <c r="D1742">
        <v>7.27</v>
      </c>
      <c r="E1742" t="s">
        <v>74</v>
      </c>
      <c r="F1742" t="s">
        <v>87</v>
      </c>
      <c r="G1742">
        <v>14.24</v>
      </c>
      <c r="H1742">
        <v>0.3</v>
      </c>
      <c r="I1742">
        <v>6.97</v>
      </c>
      <c r="J1742">
        <v>48.5809</v>
      </c>
      <c r="K1742" t="str">
        <f>IFERROR(INDEX(Rosters!$C$2:$C$155,MATCH($B1742,Rosters!$B$2:$B$155,0)),"NA")</f>
        <v>scott</v>
      </c>
      <c r="L1742" t="str">
        <f t="shared" si="81"/>
        <v>scott8WR</v>
      </c>
      <c r="M1742">
        <f>COUNTIF(L$1:L1742,L1742)</f>
        <v>4</v>
      </c>
      <c r="N1742" t="str">
        <f t="shared" si="82"/>
        <v>scott8WR-4</v>
      </c>
      <c r="O1742">
        <f>COUNTIFS(F$1:F1742,F1742,A$1:A1742,A1742)</f>
        <v>39</v>
      </c>
      <c r="P1742" t="str">
        <f t="shared" si="83"/>
        <v>John Brown8</v>
      </c>
    </row>
    <row r="1743" spans="1:16" x14ac:dyDescent="0.25">
      <c r="A1743">
        <v>14</v>
      </c>
      <c r="B1743" t="s">
        <v>229</v>
      </c>
      <c r="C1743" t="s">
        <v>6969</v>
      </c>
      <c r="D1743">
        <v>7.27</v>
      </c>
      <c r="E1743" t="s">
        <v>14</v>
      </c>
      <c r="F1743" t="s">
        <v>114</v>
      </c>
      <c r="G1743">
        <v>12.85</v>
      </c>
      <c r="H1743">
        <v>1.69</v>
      </c>
      <c r="I1743">
        <v>5.58</v>
      </c>
      <c r="J1743">
        <v>31.136399999999998</v>
      </c>
      <c r="K1743" t="str">
        <f>IFERROR(INDEX(Rosters!$C$2:$C$155,MATCH($B1743,Rosters!$B$2:$B$155,0)),"NA")</f>
        <v>NA</v>
      </c>
      <c r="L1743" t="str">
        <f t="shared" si="81"/>
        <v>NA14TE</v>
      </c>
      <c r="M1743">
        <f>COUNTIF(L$1:L1743,L1743)</f>
        <v>1</v>
      </c>
      <c r="N1743" t="str">
        <f t="shared" si="82"/>
        <v>NA14TE-1</v>
      </c>
      <c r="O1743">
        <f>COUNTIFS(F$1:F1743,F1743,A$1:A1743,A1743)</f>
        <v>6</v>
      </c>
      <c r="P1743" t="str">
        <f t="shared" si="83"/>
        <v>O.J. Howard14</v>
      </c>
    </row>
    <row r="1744" spans="1:16" x14ac:dyDescent="0.25">
      <c r="A1744">
        <v>11</v>
      </c>
      <c r="B1744" t="s">
        <v>796</v>
      </c>
      <c r="C1744" t="s">
        <v>6970</v>
      </c>
      <c r="D1744">
        <v>7.26</v>
      </c>
      <c r="E1744" t="s">
        <v>31</v>
      </c>
      <c r="F1744" t="s">
        <v>47</v>
      </c>
      <c r="G1744">
        <v>13.41</v>
      </c>
      <c r="H1744">
        <v>1.1100000000000001</v>
      </c>
      <c r="I1744">
        <v>6.15</v>
      </c>
      <c r="J1744">
        <v>37.822499999999998</v>
      </c>
      <c r="K1744" t="str">
        <f>IFERROR(INDEX(Rosters!$C$2:$C$155,MATCH($B1744,Rosters!$B$2:$B$155,0)),"NA")</f>
        <v>seth</v>
      </c>
      <c r="L1744" t="str">
        <f t="shared" si="81"/>
        <v>seth11RB</v>
      </c>
      <c r="M1744">
        <f>COUNTIF(L$1:L1744,L1744)</f>
        <v>3</v>
      </c>
      <c r="N1744" t="str">
        <f t="shared" si="82"/>
        <v>seth11RB-3</v>
      </c>
      <c r="O1744">
        <f>COUNTIFS(F$1:F1744,F1744,A$1:A1744,A1744)</f>
        <v>27</v>
      </c>
      <c r="P1744" t="str">
        <f t="shared" si="83"/>
        <v>Alex Collins11</v>
      </c>
    </row>
    <row r="1745" spans="1:16" x14ac:dyDescent="0.25">
      <c r="A1745">
        <v>6</v>
      </c>
      <c r="B1745" t="s">
        <v>834</v>
      </c>
      <c r="C1745" t="s">
        <v>6971</v>
      </c>
      <c r="D1745">
        <v>7.26</v>
      </c>
      <c r="E1745" t="s">
        <v>32</v>
      </c>
      <c r="F1745" t="s">
        <v>47</v>
      </c>
      <c r="G1745">
        <v>14.16</v>
      </c>
      <c r="H1745">
        <v>0.36</v>
      </c>
      <c r="I1745">
        <v>6.9</v>
      </c>
      <c r="J1745">
        <v>47.61</v>
      </c>
      <c r="K1745" t="str">
        <f>IFERROR(INDEX(Rosters!$C$2:$C$155,MATCH($B1745,Rosters!$B$2:$B$155,0)),"NA")</f>
        <v>lucas</v>
      </c>
      <c r="L1745" t="str">
        <f t="shared" si="81"/>
        <v>lucas6RB</v>
      </c>
      <c r="M1745">
        <f>COUNTIF(L$1:L1745,L1745)</f>
        <v>4</v>
      </c>
      <c r="N1745" t="str">
        <f t="shared" si="82"/>
        <v>lucas6RB-4</v>
      </c>
      <c r="O1745">
        <f>COUNTIFS(F$1:F1745,F1745,A$1:A1745,A1745)</f>
        <v>33</v>
      </c>
      <c r="P1745" t="str">
        <f t="shared" si="83"/>
        <v>Chris Carson6</v>
      </c>
    </row>
    <row r="1746" spans="1:16" x14ac:dyDescent="0.25">
      <c r="A1746">
        <v>3</v>
      </c>
      <c r="B1746" t="s">
        <v>235</v>
      </c>
      <c r="C1746" t="s">
        <v>3700</v>
      </c>
      <c r="D1746">
        <v>7.25</v>
      </c>
      <c r="E1746" t="s">
        <v>36</v>
      </c>
      <c r="F1746" t="s">
        <v>114</v>
      </c>
      <c r="G1746">
        <v>11.79</v>
      </c>
      <c r="H1746">
        <v>2.71</v>
      </c>
      <c r="I1746">
        <v>4.54</v>
      </c>
      <c r="J1746">
        <v>20.611599999999999</v>
      </c>
      <c r="K1746" t="str">
        <f>IFERROR(INDEX(Rosters!$C$2:$C$155,MATCH($B1746,Rosters!$B$2:$B$155,0)),"NA")</f>
        <v>devon</v>
      </c>
      <c r="L1746" t="str">
        <f t="shared" si="81"/>
        <v>devon3TE</v>
      </c>
      <c r="M1746">
        <f>COUNTIF(L$1:L1746,L1746)</f>
        <v>1</v>
      </c>
      <c r="N1746" t="str">
        <f t="shared" si="82"/>
        <v>devon3TE-1</v>
      </c>
      <c r="O1746">
        <f>COUNTIFS(F$1:F1746,F1746,A$1:A1746,A1746)</f>
        <v>5</v>
      </c>
      <c r="P1746" t="str">
        <f t="shared" si="83"/>
        <v>Evan Engram3</v>
      </c>
    </row>
    <row r="1747" spans="1:16" x14ac:dyDescent="0.25">
      <c r="A1747">
        <v>11</v>
      </c>
      <c r="B1747" t="s">
        <v>303</v>
      </c>
      <c r="C1747" t="s">
        <v>6972</v>
      </c>
      <c r="D1747">
        <v>7.25</v>
      </c>
      <c r="E1747" t="s">
        <v>66</v>
      </c>
      <c r="F1747" t="s">
        <v>87</v>
      </c>
      <c r="G1747">
        <v>12.36</v>
      </c>
      <c r="H1747">
        <v>2.14</v>
      </c>
      <c r="I1747">
        <v>5.1100000000000003</v>
      </c>
      <c r="J1747">
        <v>26.112100000000002</v>
      </c>
      <c r="K1747" t="str">
        <f>IFERROR(INDEX(Rosters!$C$2:$C$155,MATCH($B1747,Rosters!$B$2:$B$155,0)),"NA")</f>
        <v>NA</v>
      </c>
      <c r="L1747" t="str">
        <f t="shared" si="81"/>
        <v>NA11WR</v>
      </c>
      <c r="M1747">
        <f>COUNTIF(L$1:L1747,L1747)</f>
        <v>1</v>
      </c>
      <c r="N1747" t="str">
        <f t="shared" si="82"/>
        <v>NA11WR-1</v>
      </c>
      <c r="O1747">
        <f>COUNTIFS(F$1:F1747,F1747,A$1:A1747,A1747)</f>
        <v>38</v>
      </c>
      <c r="P1747" t="str">
        <f t="shared" si="83"/>
        <v>Taywan Taylor11</v>
      </c>
    </row>
    <row r="1748" spans="1:16" x14ac:dyDescent="0.25">
      <c r="A1748">
        <v>10</v>
      </c>
      <c r="B1748" t="s">
        <v>212</v>
      </c>
      <c r="C1748" t="s">
        <v>6973</v>
      </c>
      <c r="D1748">
        <v>7.24</v>
      </c>
      <c r="E1748" t="s">
        <v>54</v>
      </c>
      <c r="F1748" t="s">
        <v>47</v>
      </c>
      <c r="G1748">
        <v>12.22</v>
      </c>
      <c r="H1748">
        <v>2.2599999999999998</v>
      </c>
      <c r="I1748">
        <v>4.9800000000000004</v>
      </c>
      <c r="J1748">
        <v>24.8004</v>
      </c>
      <c r="K1748" t="str">
        <f>IFERROR(INDEX(Rosters!$C$2:$C$155,MATCH($B1748,Rosters!$B$2:$B$155,0)),"NA")</f>
        <v>seth</v>
      </c>
      <c r="L1748" t="str">
        <f t="shared" si="81"/>
        <v>seth10RB</v>
      </c>
      <c r="M1748">
        <f>COUNTIF(L$1:L1748,L1748)</f>
        <v>3</v>
      </c>
      <c r="N1748" t="str">
        <f t="shared" si="82"/>
        <v>seth10RB-3</v>
      </c>
      <c r="O1748">
        <f>COUNTIFS(F$1:F1748,F1748,A$1:A1748,A1748)</f>
        <v>28</v>
      </c>
      <c r="P1748" t="str">
        <f t="shared" si="83"/>
        <v>Alfred Morris10</v>
      </c>
    </row>
    <row r="1749" spans="1:16" x14ac:dyDescent="0.25">
      <c r="A1749">
        <v>7</v>
      </c>
      <c r="B1749" t="s">
        <v>201</v>
      </c>
      <c r="C1749" t="s">
        <v>6974</v>
      </c>
      <c r="D1749">
        <v>7.24</v>
      </c>
      <c r="E1749" t="s">
        <v>37</v>
      </c>
      <c r="F1749" t="s">
        <v>47</v>
      </c>
      <c r="G1749">
        <v>13.79</v>
      </c>
      <c r="H1749">
        <v>0.69</v>
      </c>
      <c r="I1749">
        <v>6.55</v>
      </c>
      <c r="J1749">
        <v>42.902500000000003</v>
      </c>
      <c r="K1749" t="str">
        <f>IFERROR(INDEX(Rosters!$C$2:$C$155,MATCH($B1749,Rosters!$B$2:$B$155,0)),"NA")</f>
        <v>seth</v>
      </c>
      <c r="L1749" t="str">
        <f t="shared" si="81"/>
        <v>seth7RB</v>
      </c>
      <c r="M1749">
        <f>COUNTIF(L$1:L1749,L1749)</f>
        <v>4</v>
      </c>
      <c r="N1749" t="str">
        <f t="shared" si="82"/>
        <v>seth7RB-4</v>
      </c>
      <c r="O1749">
        <f>COUNTIFS(F$1:F1749,F1749,A$1:A1749,A1749)</f>
        <v>32</v>
      </c>
      <c r="P1749" t="str">
        <f t="shared" si="83"/>
        <v>Derrick Henry7</v>
      </c>
    </row>
    <row r="1750" spans="1:16" x14ac:dyDescent="0.25">
      <c r="A1750">
        <v>8</v>
      </c>
      <c r="B1750" t="s">
        <v>205</v>
      </c>
      <c r="C1750" t="s">
        <v>6975</v>
      </c>
      <c r="D1750">
        <v>7.24</v>
      </c>
      <c r="E1750" t="s">
        <v>56</v>
      </c>
      <c r="F1750" t="s">
        <v>47</v>
      </c>
      <c r="G1750">
        <v>12.28</v>
      </c>
      <c r="H1750">
        <v>2.2000000000000002</v>
      </c>
      <c r="I1750">
        <v>5.04</v>
      </c>
      <c r="J1750">
        <v>25.401599999999998</v>
      </c>
      <c r="K1750" t="str">
        <f>IFERROR(INDEX(Rosters!$C$2:$C$155,MATCH($B1750,Rosters!$B$2:$B$155,0)),"NA")</f>
        <v>NA</v>
      </c>
      <c r="L1750" t="str">
        <f t="shared" si="81"/>
        <v>NA8RB</v>
      </c>
      <c r="M1750">
        <f>COUNTIF(L$1:L1750,L1750)</f>
        <v>2</v>
      </c>
      <c r="N1750" t="str">
        <f t="shared" si="82"/>
        <v>NA8RB-2</v>
      </c>
      <c r="O1750">
        <f>COUNTIFS(F$1:F1750,F1750,A$1:A1750,A1750)</f>
        <v>26</v>
      </c>
      <c r="P1750" t="str">
        <f t="shared" si="83"/>
        <v>Jamaal Williams8</v>
      </c>
    </row>
    <row r="1751" spans="1:16" x14ac:dyDescent="0.25">
      <c r="A1751">
        <v>13</v>
      </c>
      <c r="B1751" t="s">
        <v>1422</v>
      </c>
      <c r="C1751" t="s">
        <v>5009</v>
      </c>
      <c r="D1751">
        <v>7.23</v>
      </c>
      <c r="E1751" t="s">
        <v>77</v>
      </c>
      <c r="F1751" t="s">
        <v>87</v>
      </c>
      <c r="G1751">
        <v>11.9</v>
      </c>
      <c r="H1751">
        <v>2.56</v>
      </c>
      <c r="I1751">
        <v>4.67</v>
      </c>
      <c r="J1751">
        <v>21.808900000000001</v>
      </c>
      <c r="K1751" t="str">
        <f>IFERROR(INDEX(Rosters!$C$2:$C$155,MATCH($B1751,Rosters!$B$2:$B$155,0)),"NA")</f>
        <v>comp</v>
      </c>
      <c r="L1751" t="str">
        <f t="shared" si="81"/>
        <v>comp13WR</v>
      </c>
      <c r="M1751">
        <f>COUNTIF(L$1:L1751,L1751)</f>
        <v>5</v>
      </c>
      <c r="N1751" t="str">
        <f t="shared" si="82"/>
        <v>comp13WR-5</v>
      </c>
      <c r="O1751">
        <f>COUNTIFS(F$1:F1751,F1751,A$1:A1751,A1751)</f>
        <v>43</v>
      </c>
      <c r="P1751" t="str">
        <f t="shared" si="83"/>
        <v>Calvin Ridley13</v>
      </c>
    </row>
    <row r="1752" spans="1:16" x14ac:dyDescent="0.25">
      <c r="A1752">
        <v>2</v>
      </c>
      <c r="B1752" t="s">
        <v>264</v>
      </c>
      <c r="C1752" t="s">
        <v>3563</v>
      </c>
      <c r="D1752">
        <v>7.23</v>
      </c>
      <c r="E1752" t="s">
        <v>34</v>
      </c>
      <c r="F1752" t="s">
        <v>114</v>
      </c>
      <c r="G1752">
        <v>13.52</v>
      </c>
      <c r="H1752">
        <v>0.94</v>
      </c>
      <c r="I1752">
        <v>6.29</v>
      </c>
      <c r="J1752">
        <v>39.564100000000003</v>
      </c>
      <c r="K1752" t="str">
        <f>IFERROR(INDEX(Rosters!$C$2:$C$155,MATCH($B1752,Rosters!$B$2:$B$155,0)),"NA")</f>
        <v>scott</v>
      </c>
      <c r="L1752" t="str">
        <f t="shared" si="81"/>
        <v>scott2TE</v>
      </c>
      <c r="M1752">
        <f>COUNTIF(L$1:L1752,L1752)</f>
        <v>1</v>
      </c>
      <c r="N1752" t="str">
        <f t="shared" si="82"/>
        <v>scott2TE-1</v>
      </c>
      <c r="O1752">
        <f>COUNTIFS(F$1:F1752,F1752,A$1:A1752,A1752)</f>
        <v>4</v>
      </c>
      <c r="P1752" t="str">
        <f t="shared" si="83"/>
        <v>George Kittle2</v>
      </c>
    </row>
    <row r="1753" spans="1:16" x14ac:dyDescent="0.25">
      <c r="A1753">
        <v>15</v>
      </c>
      <c r="B1753" t="s">
        <v>271</v>
      </c>
      <c r="C1753" t="s">
        <v>6976</v>
      </c>
      <c r="D1753">
        <v>7.23</v>
      </c>
      <c r="E1753" t="s">
        <v>72</v>
      </c>
      <c r="F1753" t="s">
        <v>87</v>
      </c>
      <c r="G1753">
        <v>13.36</v>
      </c>
      <c r="H1753">
        <v>1.1000000000000001</v>
      </c>
      <c r="I1753">
        <v>6.13</v>
      </c>
      <c r="J1753">
        <v>37.576900000000002</v>
      </c>
      <c r="K1753" t="str">
        <f>IFERROR(INDEX(Rosters!$C$2:$C$155,MATCH($B1753,Rosters!$B$2:$B$155,0)),"NA")</f>
        <v>matty</v>
      </c>
      <c r="L1753" t="str">
        <f t="shared" si="81"/>
        <v>matty15WR</v>
      </c>
      <c r="M1753">
        <f>COUNTIF(L$1:L1753,L1753)</f>
        <v>5</v>
      </c>
      <c r="N1753" t="str">
        <f t="shared" si="82"/>
        <v>matty15WR-5</v>
      </c>
      <c r="O1753">
        <f>COUNTIFS(F$1:F1753,F1753,A$1:A1753,A1753)</f>
        <v>42</v>
      </c>
      <c r="P1753" t="str">
        <f t="shared" si="83"/>
        <v>Geronimo Allison15</v>
      </c>
    </row>
    <row r="1754" spans="1:16" x14ac:dyDescent="0.25">
      <c r="A1754">
        <v>2</v>
      </c>
      <c r="B1754" t="s">
        <v>266</v>
      </c>
      <c r="C1754" t="s">
        <v>3340</v>
      </c>
      <c r="D1754">
        <v>7.23</v>
      </c>
      <c r="E1754" t="s">
        <v>38</v>
      </c>
      <c r="F1754" t="s">
        <v>87</v>
      </c>
      <c r="G1754">
        <v>13.93</v>
      </c>
      <c r="H1754">
        <v>0.53</v>
      </c>
      <c r="I1754">
        <v>6.7</v>
      </c>
      <c r="J1754">
        <v>44.89</v>
      </c>
      <c r="K1754" t="str">
        <f>IFERROR(INDEX(Rosters!$C$2:$C$155,MATCH($B1754,Rosters!$B$2:$B$155,0)),"NA")</f>
        <v>perry</v>
      </c>
      <c r="L1754" t="str">
        <f t="shared" si="81"/>
        <v>perry2WR</v>
      </c>
      <c r="M1754">
        <f>COUNTIF(L$1:L1754,L1754)</f>
        <v>4</v>
      </c>
      <c r="N1754" t="str">
        <f t="shared" si="82"/>
        <v>perry2WR-4</v>
      </c>
      <c r="O1754">
        <f>COUNTIFS(F$1:F1754,F1754,A$1:A1754,A1754)</f>
        <v>34</v>
      </c>
      <c r="P1754" t="str">
        <f t="shared" si="83"/>
        <v>Will Fuller V2</v>
      </c>
    </row>
    <row r="1755" spans="1:16" x14ac:dyDescent="0.25">
      <c r="A1755">
        <v>1</v>
      </c>
      <c r="B1755" t="s">
        <v>117</v>
      </c>
      <c r="C1755" t="s">
        <v>1357</v>
      </c>
      <c r="D1755">
        <v>7.22</v>
      </c>
      <c r="E1755" t="s">
        <v>34</v>
      </c>
      <c r="F1755" t="s">
        <v>47</v>
      </c>
      <c r="G1755">
        <v>12.07</v>
      </c>
      <c r="H1755">
        <v>2.37</v>
      </c>
      <c r="I1755">
        <v>4.8499999999999996</v>
      </c>
      <c r="J1755">
        <v>23.522500000000001</v>
      </c>
      <c r="K1755" t="str">
        <f>IFERROR(INDEX(Rosters!$C$2:$C$155,MATCH($B1755,Rosters!$B$2:$B$155,0)),"NA")</f>
        <v>chad</v>
      </c>
      <c r="L1755" t="str">
        <f t="shared" si="81"/>
        <v>chad1RB</v>
      </c>
      <c r="M1755">
        <f>COUNTIF(L$1:L1755,L1755)</f>
        <v>3</v>
      </c>
      <c r="N1755" t="str">
        <f t="shared" si="82"/>
        <v>chad1RB-3</v>
      </c>
      <c r="O1755">
        <f>COUNTIFS(F$1:F1755,F1755,A$1:A1755,A1755)</f>
        <v>29</v>
      </c>
      <c r="P1755" t="str">
        <f t="shared" si="83"/>
        <v>Isaiah Crowell1</v>
      </c>
    </row>
    <row r="1756" spans="1:16" x14ac:dyDescent="0.25">
      <c r="A1756">
        <v>7</v>
      </c>
      <c r="B1756" t="s">
        <v>195</v>
      </c>
      <c r="C1756" t="s">
        <v>6977</v>
      </c>
      <c r="D1756">
        <v>7.22</v>
      </c>
      <c r="E1756" t="s">
        <v>19</v>
      </c>
      <c r="F1756" t="s">
        <v>87</v>
      </c>
      <c r="G1756">
        <v>13.82</v>
      </c>
      <c r="H1756">
        <v>0.62</v>
      </c>
      <c r="I1756">
        <v>6.6</v>
      </c>
      <c r="J1756">
        <v>43.56</v>
      </c>
      <c r="K1756" t="str">
        <f>IFERROR(INDEX(Rosters!$C$2:$C$155,MATCH($B1756,Rosters!$B$2:$B$155,0)),"NA")</f>
        <v>scott</v>
      </c>
      <c r="L1756" t="str">
        <f t="shared" si="81"/>
        <v>scott7WR</v>
      </c>
      <c r="M1756">
        <f>COUNTIF(L$1:L1756,L1756)</f>
        <v>3</v>
      </c>
      <c r="N1756" t="str">
        <f t="shared" si="82"/>
        <v>scott7WR-3</v>
      </c>
      <c r="O1756">
        <f>COUNTIFS(F$1:F1756,F1756,A$1:A1756,A1756)</f>
        <v>36</v>
      </c>
      <c r="P1756" t="str">
        <f t="shared" si="83"/>
        <v>Kenny Golladay7</v>
      </c>
    </row>
    <row r="1757" spans="1:16" x14ac:dyDescent="0.25">
      <c r="A1757">
        <v>12</v>
      </c>
      <c r="B1757" t="s">
        <v>195</v>
      </c>
      <c r="C1757" t="s">
        <v>6978</v>
      </c>
      <c r="D1757">
        <v>7.22</v>
      </c>
      <c r="E1757" t="s">
        <v>72</v>
      </c>
      <c r="F1757" t="s">
        <v>87</v>
      </c>
      <c r="G1757">
        <v>12.98</v>
      </c>
      <c r="H1757">
        <v>1.46</v>
      </c>
      <c r="I1757">
        <v>5.76</v>
      </c>
      <c r="J1757">
        <v>33.177599999999998</v>
      </c>
      <c r="K1757" t="str">
        <f>IFERROR(INDEX(Rosters!$C$2:$C$155,MATCH($B1757,Rosters!$B$2:$B$155,0)),"NA")</f>
        <v>scott</v>
      </c>
      <c r="L1757" t="str">
        <f t="shared" si="81"/>
        <v>scott12WR</v>
      </c>
      <c r="M1757">
        <f>COUNTIF(L$1:L1757,L1757)</f>
        <v>3</v>
      </c>
      <c r="N1757" t="str">
        <f t="shared" si="82"/>
        <v>scott12WR-3</v>
      </c>
      <c r="O1757">
        <f>COUNTIFS(F$1:F1757,F1757,A$1:A1757,A1757)</f>
        <v>40</v>
      </c>
      <c r="P1757" t="str">
        <f t="shared" si="83"/>
        <v>Kenny Golladay12</v>
      </c>
    </row>
    <row r="1758" spans="1:16" x14ac:dyDescent="0.25">
      <c r="A1758">
        <v>9</v>
      </c>
      <c r="B1758" t="s">
        <v>187</v>
      </c>
      <c r="C1758" t="s">
        <v>6979</v>
      </c>
      <c r="D1758">
        <v>7.22</v>
      </c>
      <c r="E1758" t="s">
        <v>34</v>
      </c>
      <c r="F1758" t="s">
        <v>47</v>
      </c>
      <c r="G1758">
        <v>11.55</v>
      </c>
      <c r="H1758">
        <v>2.89</v>
      </c>
      <c r="I1758">
        <v>4.33</v>
      </c>
      <c r="J1758">
        <v>18.748899999999999</v>
      </c>
      <c r="K1758" t="str">
        <f>IFERROR(INDEX(Rosters!$C$2:$C$155,MATCH($B1758,Rosters!$B$2:$B$155,0)),"NA")</f>
        <v>seth</v>
      </c>
      <c r="L1758" t="str">
        <f t="shared" si="81"/>
        <v>seth9RB</v>
      </c>
      <c r="M1758">
        <f>COUNTIF(L$1:L1758,L1758)</f>
        <v>3</v>
      </c>
      <c r="N1758" t="str">
        <f t="shared" si="82"/>
        <v>seth9RB-3</v>
      </c>
      <c r="O1758">
        <f>COUNTIFS(F$1:F1758,F1758,A$1:A1758,A1758)</f>
        <v>27</v>
      </c>
      <c r="P1758" t="str">
        <f t="shared" si="83"/>
        <v>Latavius Murray9</v>
      </c>
    </row>
    <row r="1759" spans="1:16" x14ac:dyDescent="0.25">
      <c r="A1759">
        <v>9</v>
      </c>
      <c r="B1759" t="s">
        <v>355</v>
      </c>
      <c r="C1759" t="s">
        <v>6980</v>
      </c>
      <c r="D1759">
        <v>7.22</v>
      </c>
      <c r="E1759" t="s">
        <v>74</v>
      </c>
      <c r="F1759" t="s">
        <v>47</v>
      </c>
      <c r="G1759">
        <v>12.8</v>
      </c>
      <c r="H1759">
        <v>1.64</v>
      </c>
      <c r="I1759">
        <v>5.58</v>
      </c>
      <c r="J1759">
        <v>31.136399999999998</v>
      </c>
      <c r="K1759" t="str">
        <f>IFERROR(INDEX(Rosters!$C$2:$C$155,MATCH($B1759,Rosters!$B$2:$B$155,0)),"NA")</f>
        <v>devon</v>
      </c>
      <c r="L1759" t="str">
        <f t="shared" si="81"/>
        <v>devon9RB</v>
      </c>
      <c r="M1759">
        <f>COUNTIF(L$1:L1759,L1759)</f>
        <v>4</v>
      </c>
      <c r="N1759" t="str">
        <f t="shared" si="82"/>
        <v>devon9RB-4</v>
      </c>
      <c r="O1759">
        <f>COUNTIFS(F$1:F1759,F1759,A$1:A1759,A1759)</f>
        <v>28</v>
      </c>
      <c r="P1759" t="str">
        <f t="shared" si="83"/>
        <v>Peyton Barber9</v>
      </c>
    </row>
    <row r="1760" spans="1:16" x14ac:dyDescent="0.25">
      <c r="A1760">
        <v>14</v>
      </c>
      <c r="B1760" t="s">
        <v>355</v>
      </c>
      <c r="C1760" t="s">
        <v>6981</v>
      </c>
      <c r="D1760">
        <v>7.22</v>
      </c>
      <c r="E1760" t="s">
        <v>14</v>
      </c>
      <c r="F1760" t="s">
        <v>47</v>
      </c>
      <c r="G1760">
        <v>12.97</v>
      </c>
      <c r="H1760">
        <v>1.47</v>
      </c>
      <c r="I1760">
        <v>5.75</v>
      </c>
      <c r="J1760">
        <v>33.0625</v>
      </c>
      <c r="K1760" t="str">
        <f>IFERROR(INDEX(Rosters!$C$2:$C$155,MATCH($B1760,Rosters!$B$2:$B$155,0)),"NA")</f>
        <v>devon</v>
      </c>
      <c r="L1760" t="str">
        <f t="shared" si="81"/>
        <v>devon14RB</v>
      </c>
      <c r="M1760">
        <f>COUNTIF(L$1:L1760,L1760)</f>
        <v>5</v>
      </c>
      <c r="N1760" t="str">
        <f t="shared" si="82"/>
        <v>devon14RB-5</v>
      </c>
      <c r="O1760">
        <f>COUNTIFS(F$1:F1760,F1760,A$1:A1760,A1760)</f>
        <v>36</v>
      </c>
      <c r="P1760" t="str">
        <f t="shared" si="83"/>
        <v>Peyton Barber14</v>
      </c>
    </row>
    <row r="1761" spans="1:16" x14ac:dyDescent="0.25">
      <c r="A1761">
        <v>1</v>
      </c>
      <c r="B1761" t="s">
        <v>1346</v>
      </c>
      <c r="C1761" t="s">
        <v>1693</v>
      </c>
      <c r="D1761">
        <v>7.22</v>
      </c>
      <c r="E1761" t="s">
        <v>28</v>
      </c>
      <c r="F1761" t="s">
        <v>47</v>
      </c>
      <c r="G1761">
        <v>11.94</v>
      </c>
      <c r="H1761">
        <v>2.5</v>
      </c>
      <c r="I1761">
        <v>4.72</v>
      </c>
      <c r="J1761">
        <v>22.278400000000001</v>
      </c>
      <c r="K1761" t="str">
        <f>IFERROR(INDEX(Rosters!$C$2:$C$155,MATCH($B1761,Rosters!$B$2:$B$155,0)),"NA")</f>
        <v>comp</v>
      </c>
      <c r="L1761" t="str">
        <f t="shared" si="81"/>
        <v>comp1RB</v>
      </c>
      <c r="M1761">
        <f>COUNTIF(L$1:L1761,L1761)</f>
        <v>2</v>
      </c>
      <c r="N1761" t="str">
        <f t="shared" si="82"/>
        <v>comp1RB-2</v>
      </c>
      <c r="O1761">
        <f>COUNTIFS(F$1:F1761,F1761,A$1:A1761,A1761)</f>
        <v>30</v>
      </c>
      <c r="P1761" t="str">
        <f t="shared" si="83"/>
        <v>Royce Freeman1</v>
      </c>
    </row>
    <row r="1762" spans="1:16" x14ac:dyDescent="0.25">
      <c r="A1762">
        <v>14</v>
      </c>
      <c r="B1762" t="s">
        <v>195</v>
      </c>
      <c r="C1762" t="s">
        <v>6982</v>
      </c>
      <c r="D1762">
        <v>7.2</v>
      </c>
      <c r="E1762" t="s">
        <v>58</v>
      </c>
      <c r="F1762" t="s">
        <v>87</v>
      </c>
      <c r="G1762">
        <v>13.15</v>
      </c>
      <c r="H1762">
        <v>1.25</v>
      </c>
      <c r="I1762">
        <v>5.95</v>
      </c>
      <c r="J1762">
        <v>35.402500000000003</v>
      </c>
      <c r="K1762" t="str">
        <f>IFERROR(INDEX(Rosters!$C$2:$C$155,MATCH($B1762,Rosters!$B$2:$B$155,0)),"NA")</f>
        <v>scott</v>
      </c>
      <c r="L1762" t="str">
        <f t="shared" si="81"/>
        <v>scott14WR</v>
      </c>
      <c r="M1762">
        <f>COUNTIF(L$1:L1762,L1762)</f>
        <v>3</v>
      </c>
      <c r="N1762" t="str">
        <f t="shared" si="82"/>
        <v>scott14WR-3</v>
      </c>
      <c r="O1762">
        <f>COUNTIFS(F$1:F1762,F1762,A$1:A1762,A1762)</f>
        <v>40</v>
      </c>
      <c r="P1762" t="str">
        <f t="shared" si="83"/>
        <v>Kenny Golladay14</v>
      </c>
    </row>
    <row r="1763" spans="1:16" x14ac:dyDescent="0.25">
      <c r="A1763">
        <v>1</v>
      </c>
      <c r="B1763" t="s">
        <v>181</v>
      </c>
      <c r="C1763" t="s">
        <v>1358</v>
      </c>
      <c r="D1763">
        <v>7.2</v>
      </c>
      <c r="E1763" t="s">
        <v>30</v>
      </c>
      <c r="F1763" t="s">
        <v>114</v>
      </c>
      <c r="G1763">
        <v>12.2</v>
      </c>
      <c r="H1763">
        <v>2.2000000000000002</v>
      </c>
      <c r="I1763">
        <v>5</v>
      </c>
      <c r="J1763">
        <v>25</v>
      </c>
      <c r="K1763" t="str">
        <f>IFERROR(INDEX(Rosters!$C$2:$C$155,MATCH($B1763,Rosters!$B$2:$B$155,0)),"NA")</f>
        <v>cory</v>
      </c>
      <c r="L1763" t="str">
        <f t="shared" si="81"/>
        <v>cory1TE</v>
      </c>
      <c r="M1763">
        <f>COUNTIF(L$1:L1763,L1763)</f>
        <v>1</v>
      </c>
      <c r="N1763" t="str">
        <f t="shared" si="82"/>
        <v>cory1TE-1</v>
      </c>
      <c r="O1763">
        <f>COUNTIFS(F$1:F1763,F1763,A$1:A1763,A1763)</f>
        <v>6</v>
      </c>
      <c r="P1763" t="str">
        <f t="shared" si="83"/>
        <v>Kyle Rudolph1</v>
      </c>
    </row>
    <row r="1764" spans="1:16" x14ac:dyDescent="0.25">
      <c r="A1764">
        <v>7</v>
      </c>
      <c r="B1764" t="s">
        <v>285</v>
      </c>
      <c r="C1764" t="s">
        <v>6983</v>
      </c>
      <c r="D1764">
        <v>7.2</v>
      </c>
      <c r="E1764" t="s">
        <v>423</v>
      </c>
      <c r="F1764" t="s">
        <v>47</v>
      </c>
      <c r="G1764">
        <v>12.7</v>
      </c>
      <c r="H1764">
        <v>1.7</v>
      </c>
      <c r="I1764">
        <v>5.5</v>
      </c>
      <c r="J1764">
        <v>30.25</v>
      </c>
      <c r="K1764" t="str">
        <f>IFERROR(INDEX(Rosters!$C$2:$C$155,MATCH($B1764,Rosters!$B$2:$B$155,0)),"NA")</f>
        <v>NA</v>
      </c>
      <c r="L1764" t="str">
        <f t="shared" si="81"/>
        <v>NA7RB</v>
      </c>
      <c r="M1764">
        <f>COUNTIF(L$1:L1764,L1764)</f>
        <v>2</v>
      </c>
      <c r="N1764" t="str">
        <f t="shared" si="82"/>
        <v>NA7RB-2</v>
      </c>
      <c r="O1764">
        <f>COUNTIFS(F$1:F1764,F1764,A$1:A1764,A1764)</f>
        <v>33</v>
      </c>
      <c r="P1764" t="str">
        <f t="shared" si="83"/>
        <v>Tarik Cohen7</v>
      </c>
    </row>
    <row r="1765" spans="1:16" x14ac:dyDescent="0.25">
      <c r="A1765">
        <v>11</v>
      </c>
      <c r="B1765" t="s">
        <v>98</v>
      </c>
      <c r="C1765" t="s">
        <v>6984</v>
      </c>
      <c r="D1765">
        <v>7.19</v>
      </c>
      <c r="E1765" t="s">
        <v>58</v>
      </c>
      <c r="F1765" t="s">
        <v>87</v>
      </c>
      <c r="G1765">
        <v>12.96</v>
      </c>
      <c r="H1765">
        <v>1.42</v>
      </c>
      <c r="I1765">
        <v>5.77</v>
      </c>
      <c r="J1765">
        <v>33.292900000000003</v>
      </c>
      <c r="K1765" t="str">
        <f>IFERROR(INDEX(Rosters!$C$2:$C$155,MATCH($B1765,Rosters!$B$2:$B$155,0)),"NA")</f>
        <v>seth</v>
      </c>
      <c r="L1765" t="str">
        <f t="shared" si="81"/>
        <v>seth11WR</v>
      </c>
      <c r="M1765">
        <f>COUNTIF(L$1:L1765,L1765)</f>
        <v>5</v>
      </c>
      <c r="N1765" t="str">
        <f t="shared" si="82"/>
        <v>seth11WR-5</v>
      </c>
      <c r="O1765">
        <f>COUNTIFS(F$1:F1765,F1765,A$1:A1765,A1765)</f>
        <v>39</v>
      </c>
      <c r="P1765" t="str">
        <f t="shared" si="83"/>
        <v>Jordy Nelson11</v>
      </c>
    </row>
    <row r="1766" spans="1:16" x14ac:dyDescent="0.25">
      <c r="A1766">
        <v>9</v>
      </c>
      <c r="B1766" t="s">
        <v>116</v>
      </c>
      <c r="C1766" t="s">
        <v>6985</v>
      </c>
      <c r="D1766">
        <v>7.19</v>
      </c>
      <c r="E1766" t="s">
        <v>51</v>
      </c>
      <c r="F1766" t="s">
        <v>87</v>
      </c>
      <c r="G1766">
        <v>12.16</v>
      </c>
      <c r="H1766">
        <v>2.2200000000000002</v>
      </c>
      <c r="I1766">
        <v>4.97</v>
      </c>
      <c r="J1766">
        <v>24.700900000000001</v>
      </c>
      <c r="K1766" t="str">
        <f>IFERROR(INDEX(Rosters!$C$2:$C$155,MATCH($B1766,Rosters!$B$2:$B$155,0)),"NA")</f>
        <v>aj</v>
      </c>
      <c r="L1766" t="str">
        <f t="shared" si="81"/>
        <v>aj9WR</v>
      </c>
      <c r="M1766">
        <f>COUNTIF(L$1:L1766,L1766)</f>
        <v>4</v>
      </c>
      <c r="N1766" t="str">
        <f t="shared" si="82"/>
        <v>aj9WR-4</v>
      </c>
      <c r="O1766">
        <f>COUNTIFS(F$1:F1766,F1766,A$1:A1766,A1766)</f>
        <v>36</v>
      </c>
      <c r="P1766" t="str">
        <f t="shared" si="83"/>
        <v>Michael Crabtree9</v>
      </c>
    </row>
    <row r="1767" spans="1:16" x14ac:dyDescent="0.25">
      <c r="A1767">
        <v>11</v>
      </c>
      <c r="B1767" t="s">
        <v>355</v>
      </c>
      <c r="C1767" t="s">
        <v>6986</v>
      </c>
      <c r="D1767">
        <v>7.19</v>
      </c>
      <c r="E1767" t="s">
        <v>54</v>
      </c>
      <c r="F1767" t="s">
        <v>47</v>
      </c>
      <c r="G1767">
        <v>12.51</v>
      </c>
      <c r="H1767">
        <v>1.87</v>
      </c>
      <c r="I1767">
        <v>5.32</v>
      </c>
      <c r="J1767">
        <v>28.302399999999999</v>
      </c>
      <c r="K1767" t="str">
        <f>IFERROR(INDEX(Rosters!$C$2:$C$155,MATCH($B1767,Rosters!$B$2:$B$155,0)),"NA")</f>
        <v>devon</v>
      </c>
      <c r="L1767" t="str">
        <f t="shared" si="81"/>
        <v>devon11RB</v>
      </c>
      <c r="M1767">
        <f>COUNTIF(L$1:L1767,L1767)</f>
        <v>4</v>
      </c>
      <c r="N1767" t="str">
        <f t="shared" si="82"/>
        <v>devon11RB-4</v>
      </c>
      <c r="O1767">
        <f>COUNTIFS(F$1:F1767,F1767,A$1:A1767,A1767)</f>
        <v>28</v>
      </c>
      <c r="P1767" t="str">
        <f t="shared" si="83"/>
        <v>Peyton Barber11</v>
      </c>
    </row>
    <row r="1768" spans="1:16" x14ac:dyDescent="0.25">
      <c r="A1768">
        <v>14</v>
      </c>
      <c r="B1768" t="s">
        <v>1346</v>
      </c>
      <c r="C1768" t="s">
        <v>6987</v>
      </c>
      <c r="D1768">
        <v>7.19</v>
      </c>
      <c r="E1768" t="s">
        <v>30</v>
      </c>
      <c r="F1768" t="s">
        <v>47</v>
      </c>
      <c r="G1768">
        <v>13.65</v>
      </c>
      <c r="H1768">
        <v>0.73</v>
      </c>
      <c r="I1768">
        <v>6.46</v>
      </c>
      <c r="J1768">
        <v>41.7316</v>
      </c>
      <c r="K1768" t="str">
        <f>IFERROR(INDEX(Rosters!$C$2:$C$155,MATCH($B1768,Rosters!$B$2:$B$155,0)),"NA")</f>
        <v>comp</v>
      </c>
      <c r="L1768" t="str">
        <f t="shared" si="81"/>
        <v>comp14RB</v>
      </c>
      <c r="M1768">
        <f>COUNTIF(L$1:L1768,L1768)</f>
        <v>3</v>
      </c>
      <c r="N1768" t="str">
        <f t="shared" si="82"/>
        <v>comp14RB-3</v>
      </c>
      <c r="O1768">
        <f>COUNTIFS(F$1:F1768,F1768,A$1:A1768,A1768)</f>
        <v>37</v>
      </c>
      <c r="P1768" t="str">
        <f t="shared" si="83"/>
        <v>Royce Freeman14</v>
      </c>
    </row>
    <row r="1769" spans="1:16" x14ac:dyDescent="0.25">
      <c r="A1769">
        <v>14</v>
      </c>
      <c r="B1769" t="s">
        <v>796</v>
      </c>
      <c r="C1769" t="s">
        <v>6988</v>
      </c>
      <c r="D1769">
        <v>7.18</v>
      </c>
      <c r="E1769" t="s">
        <v>24</v>
      </c>
      <c r="F1769" t="s">
        <v>47</v>
      </c>
      <c r="G1769">
        <v>11.86</v>
      </c>
      <c r="H1769">
        <v>2.5</v>
      </c>
      <c r="I1769">
        <v>4.68</v>
      </c>
      <c r="J1769">
        <v>21.9024</v>
      </c>
      <c r="K1769" t="str">
        <f>IFERROR(INDEX(Rosters!$C$2:$C$155,MATCH($B1769,Rosters!$B$2:$B$155,0)),"NA")</f>
        <v>seth</v>
      </c>
      <c r="L1769" t="str">
        <f t="shared" si="81"/>
        <v>seth14RB</v>
      </c>
      <c r="M1769">
        <f>COUNTIF(L$1:L1769,L1769)</f>
        <v>3</v>
      </c>
      <c r="N1769" t="str">
        <f t="shared" si="82"/>
        <v>seth14RB-3</v>
      </c>
      <c r="O1769">
        <f>COUNTIFS(F$1:F1769,F1769,A$1:A1769,A1769)</f>
        <v>38</v>
      </c>
      <c r="P1769" t="str">
        <f t="shared" si="83"/>
        <v>Alex Collins14</v>
      </c>
    </row>
    <row r="1770" spans="1:16" x14ac:dyDescent="0.25">
      <c r="A1770">
        <v>9</v>
      </c>
      <c r="B1770" t="s">
        <v>1422</v>
      </c>
      <c r="C1770" t="s">
        <v>6989</v>
      </c>
      <c r="D1770">
        <v>7.18</v>
      </c>
      <c r="E1770" t="s">
        <v>60</v>
      </c>
      <c r="F1770" t="s">
        <v>87</v>
      </c>
      <c r="G1770">
        <v>11.65</v>
      </c>
      <c r="H1770">
        <v>2.71</v>
      </c>
      <c r="I1770">
        <v>4.47</v>
      </c>
      <c r="J1770">
        <v>19.980899999999998</v>
      </c>
      <c r="K1770" t="str">
        <f>IFERROR(INDEX(Rosters!$C$2:$C$155,MATCH($B1770,Rosters!$B$2:$B$155,0)),"NA")</f>
        <v>comp</v>
      </c>
      <c r="L1770" t="str">
        <f t="shared" si="81"/>
        <v>comp9WR</v>
      </c>
      <c r="M1770">
        <f>COUNTIF(L$1:L1770,L1770)</f>
        <v>5</v>
      </c>
      <c r="N1770" t="str">
        <f t="shared" si="82"/>
        <v>comp9WR-5</v>
      </c>
      <c r="O1770">
        <f>COUNTIFS(F$1:F1770,F1770,A$1:A1770,A1770)</f>
        <v>37</v>
      </c>
      <c r="P1770" t="str">
        <f t="shared" si="83"/>
        <v>Calvin Ridley9</v>
      </c>
    </row>
    <row r="1771" spans="1:16" x14ac:dyDescent="0.25">
      <c r="A1771">
        <v>7</v>
      </c>
      <c r="B1771" t="s">
        <v>207</v>
      </c>
      <c r="C1771" t="s">
        <v>4489</v>
      </c>
      <c r="D1771">
        <v>7.18</v>
      </c>
      <c r="E1771" t="s">
        <v>37</v>
      </c>
      <c r="F1771" t="s">
        <v>47</v>
      </c>
      <c r="G1771">
        <v>12.28</v>
      </c>
      <c r="H1771">
        <v>2.08</v>
      </c>
      <c r="I1771">
        <v>5.0999999999999996</v>
      </c>
      <c r="J1771">
        <v>26.01</v>
      </c>
      <c r="K1771" t="str">
        <f>IFERROR(INDEX(Rosters!$C$2:$C$155,MATCH($B1771,Rosters!$B$2:$B$155,0)),"NA")</f>
        <v>chad</v>
      </c>
      <c r="L1771" t="str">
        <f t="shared" si="81"/>
        <v>chad7RB</v>
      </c>
      <c r="M1771">
        <f>COUNTIF(L$1:L1771,L1771)</f>
        <v>3</v>
      </c>
      <c r="N1771" t="str">
        <f t="shared" si="82"/>
        <v>chad7RB-3</v>
      </c>
      <c r="O1771">
        <f>COUNTIFS(F$1:F1771,F1771,A$1:A1771,A1771)</f>
        <v>34</v>
      </c>
      <c r="P1771" t="str">
        <f t="shared" si="83"/>
        <v>Dion Lewis7</v>
      </c>
    </row>
    <row r="1772" spans="1:16" x14ac:dyDescent="0.25">
      <c r="A1772">
        <v>3</v>
      </c>
      <c r="B1772" t="s">
        <v>128</v>
      </c>
      <c r="C1772" t="s">
        <v>3701</v>
      </c>
      <c r="D1772">
        <v>7.18</v>
      </c>
      <c r="E1772" t="s">
        <v>32</v>
      </c>
      <c r="F1772" t="s">
        <v>47</v>
      </c>
      <c r="G1772">
        <v>12.6</v>
      </c>
      <c r="H1772">
        <v>1.76</v>
      </c>
      <c r="I1772">
        <v>5.42</v>
      </c>
      <c r="J1772">
        <v>29.3764</v>
      </c>
      <c r="K1772" t="str">
        <f>IFERROR(INDEX(Rosters!$C$2:$C$155,MATCH($B1772,Rosters!$B$2:$B$155,0)),"NA")</f>
        <v>NA</v>
      </c>
      <c r="L1772" t="str">
        <f t="shared" si="81"/>
        <v>NA3RB</v>
      </c>
      <c r="M1772">
        <f>COUNTIF(L$1:L1772,L1772)</f>
        <v>8</v>
      </c>
      <c r="N1772" t="str">
        <f t="shared" si="82"/>
        <v>NA3RB-8</v>
      </c>
      <c r="O1772">
        <f>COUNTIFS(F$1:F1772,F1772,A$1:A1772,A1772)</f>
        <v>36</v>
      </c>
      <c r="P1772" t="str">
        <f t="shared" si="83"/>
        <v>Frank Gore3</v>
      </c>
    </row>
    <row r="1773" spans="1:16" x14ac:dyDescent="0.25">
      <c r="A1773">
        <v>7</v>
      </c>
      <c r="B1773" t="s">
        <v>306</v>
      </c>
      <c r="C1773" t="s">
        <v>6990</v>
      </c>
      <c r="D1773">
        <v>7.18</v>
      </c>
      <c r="E1773" t="s">
        <v>14</v>
      </c>
      <c r="F1773" t="s">
        <v>47</v>
      </c>
      <c r="G1773">
        <v>12.25</v>
      </c>
      <c r="H1773">
        <v>2.11</v>
      </c>
      <c r="I1773">
        <v>5.07</v>
      </c>
      <c r="J1773">
        <v>25.704899999999999</v>
      </c>
      <c r="K1773" t="str">
        <f>IFERROR(INDEX(Rosters!$C$2:$C$155,MATCH($B1773,Rosters!$B$2:$B$155,0)),"NA")</f>
        <v>chad</v>
      </c>
      <c r="L1773" t="str">
        <f t="shared" si="81"/>
        <v>chad7RB</v>
      </c>
      <c r="M1773">
        <f>COUNTIF(L$1:L1773,L1773)</f>
        <v>4</v>
      </c>
      <c r="N1773" t="str">
        <f t="shared" si="82"/>
        <v>chad7RB-4</v>
      </c>
      <c r="O1773">
        <f>COUNTIFS(F$1:F1773,F1773,A$1:A1773,A1773)</f>
        <v>35</v>
      </c>
      <c r="P1773" t="str">
        <f t="shared" si="83"/>
        <v>Javorius Allen7</v>
      </c>
    </row>
    <row r="1774" spans="1:16" x14ac:dyDescent="0.25">
      <c r="A1774">
        <v>17</v>
      </c>
      <c r="B1774" t="s">
        <v>306</v>
      </c>
      <c r="C1774" t="s">
        <v>6991</v>
      </c>
      <c r="D1774">
        <v>7.18</v>
      </c>
      <c r="E1774" t="s">
        <v>52</v>
      </c>
      <c r="F1774" t="s">
        <v>47</v>
      </c>
      <c r="G1774">
        <v>11.64</v>
      </c>
      <c r="H1774">
        <v>2.72</v>
      </c>
      <c r="I1774">
        <v>4.46</v>
      </c>
      <c r="J1774">
        <v>19.8916</v>
      </c>
      <c r="K1774" t="str">
        <f>IFERROR(INDEX(Rosters!$C$2:$C$155,MATCH($B1774,Rosters!$B$2:$B$155,0)),"NA")</f>
        <v>chad</v>
      </c>
      <c r="L1774" t="str">
        <f t="shared" si="81"/>
        <v>chad17RB</v>
      </c>
      <c r="M1774">
        <f>COUNTIF(L$1:L1774,L1774)</f>
        <v>4</v>
      </c>
      <c r="N1774" t="str">
        <f t="shared" si="82"/>
        <v>chad17RB-4</v>
      </c>
      <c r="O1774">
        <f>COUNTIFS(F$1:F1774,F1774,A$1:A1774,A1774)</f>
        <v>34</v>
      </c>
      <c r="P1774" t="str">
        <f t="shared" si="83"/>
        <v>Javorius Allen17</v>
      </c>
    </row>
    <row r="1775" spans="1:16" x14ac:dyDescent="0.25">
      <c r="A1775">
        <v>12</v>
      </c>
      <c r="B1775" t="s">
        <v>162</v>
      </c>
      <c r="C1775" t="s">
        <v>6992</v>
      </c>
      <c r="D1775">
        <v>7.18</v>
      </c>
      <c r="E1775" t="s">
        <v>25</v>
      </c>
      <c r="F1775" t="s">
        <v>114</v>
      </c>
      <c r="G1775">
        <v>12.58</v>
      </c>
      <c r="H1775">
        <v>1.78</v>
      </c>
      <c r="I1775">
        <v>5.4</v>
      </c>
      <c r="J1775">
        <v>29.16</v>
      </c>
      <c r="K1775" t="str">
        <f>IFERROR(INDEX(Rosters!$C$2:$C$155,MATCH($B1775,Rosters!$B$2:$B$155,0)),"NA")</f>
        <v>seth</v>
      </c>
      <c r="L1775" t="str">
        <f t="shared" si="81"/>
        <v>seth12TE</v>
      </c>
      <c r="M1775">
        <f>COUNTIF(L$1:L1775,L1775)</f>
        <v>1</v>
      </c>
      <c r="N1775" t="str">
        <f t="shared" si="82"/>
        <v>seth12TE-1</v>
      </c>
      <c r="O1775">
        <f>COUNTIFS(F$1:F1775,F1775,A$1:A1775,A1775)</f>
        <v>3</v>
      </c>
      <c r="P1775" t="str">
        <f t="shared" si="83"/>
        <v>Jimmy Graham12</v>
      </c>
    </row>
    <row r="1776" spans="1:16" x14ac:dyDescent="0.25">
      <c r="A1776">
        <v>8</v>
      </c>
      <c r="B1776" t="s">
        <v>1326</v>
      </c>
      <c r="C1776" t="s">
        <v>6993</v>
      </c>
      <c r="D1776">
        <v>7.18</v>
      </c>
      <c r="E1776" t="s">
        <v>28</v>
      </c>
      <c r="F1776" t="s">
        <v>47</v>
      </c>
      <c r="G1776">
        <v>12.9</v>
      </c>
      <c r="H1776">
        <v>1.46</v>
      </c>
      <c r="I1776">
        <v>5.72</v>
      </c>
      <c r="J1776">
        <v>32.718400000000003</v>
      </c>
      <c r="K1776" t="str">
        <f>IFERROR(INDEX(Rosters!$C$2:$C$155,MATCH($B1776,Rosters!$B$2:$B$155,0)),"NA")</f>
        <v>devon</v>
      </c>
      <c r="L1776" t="str">
        <f t="shared" si="81"/>
        <v>devon8RB</v>
      </c>
      <c r="M1776">
        <f>COUNTIF(L$1:L1776,L1776)</f>
        <v>3</v>
      </c>
      <c r="N1776" t="str">
        <f t="shared" si="82"/>
        <v>devon8RB-3</v>
      </c>
      <c r="O1776">
        <f>COUNTIFS(F$1:F1776,F1776,A$1:A1776,A1776)</f>
        <v>27</v>
      </c>
      <c r="P1776" t="str">
        <f t="shared" si="83"/>
        <v>Kerryon Johnson8</v>
      </c>
    </row>
    <row r="1777" spans="1:16" x14ac:dyDescent="0.25">
      <c r="A1777">
        <v>12</v>
      </c>
      <c r="B1777" t="s">
        <v>48</v>
      </c>
      <c r="C1777" t="s">
        <v>5356</v>
      </c>
      <c r="D1777">
        <v>7.18</v>
      </c>
      <c r="E1777" t="s">
        <v>42</v>
      </c>
      <c r="F1777" t="s">
        <v>47</v>
      </c>
      <c r="G1777">
        <v>11.61</v>
      </c>
      <c r="H1777">
        <v>2.75</v>
      </c>
      <c r="I1777">
        <v>4.43</v>
      </c>
      <c r="J1777">
        <v>19.6249</v>
      </c>
      <c r="K1777" t="str">
        <f>IFERROR(INDEX(Rosters!$C$2:$C$155,MATCH($B1777,Rosters!$B$2:$B$155,0)),"NA")</f>
        <v>devon</v>
      </c>
      <c r="L1777" t="str">
        <f t="shared" si="81"/>
        <v>devon12RB</v>
      </c>
      <c r="M1777">
        <f>COUNTIF(L$1:L1777,L1777)</f>
        <v>4</v>
      </c>
      <c r="N1777" t="str">
        <f t="shared" si="82"/>
        <v>devon12RB-4</v>
      </c>
      <c r="O1777">
        <f>COUNTIFS(F$1:F1777,F1777,A$1:A1777,A1777)</f>
        <v>30</v>
      </c>
      <c r="P1777" t="str">
        <f t="shared" si="83"/>
        <v>Le'Veon Bell12</v>
      </c>
    </row>
    <row r="1778" spans="1:16" x14ac:dyDescent="0.25">
      <c r="A1778">
        <v>13</v>
      </c>
      <c r="B1778" t="s">
        <v>228</v>
      </c>
      <c r="C1778" t="s">
        <v>6994</v>
      </c>
      <c r="D1778">
        <v>7.18</v>
      </c>
      <c r="E1778" t="s">
        <v>28</v>
      </c>
      <c r="F1778" t="s">
        <v>47</v>
      </c>
      <c r="G1778">
        <v>12.75</v>
      </c>
      <c r="H1778">
        <v>1.61</v>
      </c>
      <c r="I1778">
        <v>5.57</v>
      </c>
      <c r="J1778">
        <v>31.024899999999999</v>
      </c>
      <c r="K1778" t="str">
        <f>IFERROR(INDEX(Rosters!$C$2:$C$155,MATCH($B1778,Rosters!$B$2:$B$155,0)),"NA")</f>
        <v>perry</v>
      </c>
      <c r="L1778" t="str">
        <f t="shared" si="81"/>
        <v>perry13RB</v>
      </c>
      <c r="M1778">
        <f>COUNTIF(L$1:L1778,L1778)</f>
        <v>3</v>
      </c>
      <c r="N1778" t="str">
        <f t="shared" si="82"/>
        <v>perry13RB-3</v>
      </c>
      <c r="O1778">
        <f>COUNTIFS(F$1:F1778,F1778,A$1:A1778,A1778)</f>
        <v>35</v>
      </c>
      <c r="P1778" t="str">
        <f t="shared" si="83"/>
        <v>Matt Breida13</v>
      </c>
    </row>
    <row r="1779" spans="1:16" x14ac:dyDescent="0.25">
      <c r="A1779">
        <v>16</v>
      </c>
      <c r="B1779" t="s">
        <v>203</v>
      </c>
      <c r="C1779" t="s">
        <v>6995</v>
      </c>
      <c r="D1779">
        <v>7.18</v>
      </c>
      <c r="E1779" t="s">
        <v>41</v>
      </c>
      <c r="F1779" t="s">
        <v>87</v>
      </c>
      <c r="G1779">
        <v>12.13</v>
      </c>
      <c r="H1779">
        <v>2.23</v>
      </c>
      <c r="I1779">
        <v>4.95</v>
      </c>
      <c r="J1779">
        <v>24.502500000000001</v>
      </c>
      <c r="K1779" t="str">
        <f>IFERROR(INDEX(Rosters!$C$2:$C$155,MATCH($B1779,Rosters!$B$2:$B$155,0)),"NA")</f>
        <v>NA</v>
      </c>
      <c r="L1779" t="str">
        <f t="shared" si="81"/>
        <v>NA16WR</v>
      </c>
      <c r="M1779">
        <f>COUNTIF(L$1:L1779,L1779)</f>
        <v>1</v>
      </c>
      <c r="N1779" t="str">
        <f t="shared" si="82"/>
        <v>NA16WR-1</v>
      </c>
      <c r="O1779">
        <f>COUNTIFS(F$1:F1779,F1779,A$1:A1779,A1779)</f>
        <v>43</v>
      </c>
      <c r="P1779" t="str">
        <f t="shared" si="83"/>
        <v>Robby Anderson16</v>
      </c>
    </row>
    <row r="1780" spans="1:16" x14ac:dyDescent="0.25">
      <c r="A1780">
        <v>9</v>
      </c>
      <c r="B1780" t="s">
        <v>131</v>
      </c>
      <c r="C1780" t="s">
        <v>6996</v>
      </c>
      <c r="D1780">
        <v>7.17</v>
      </c>
      <c r="E1780" t="s">
        <v>17</v>
      </c>
      <c r="F1780" t="s">
        <v>47</v>
      </c>
      <c r="G1780">
        <v>11.72</v>
      </c>
      <c r="H1780">
        <v>2.62</v>
      </c>
      <c r="I1780">
        <v>4.55</v>
      </c>
      <c r="J1780">
        <v>20.702500000000001</v>
      </c>
      <c r="K1780" t="str">
        <f>IFERROR(INDEX(Rosters!$C$2:$C$155,MATCH($B1780,Rosters!$B$2:$B$155,0)),"NA")</f>
        <v>NA</v>
      </c>
      <c r="L1780" t="str">
        <f t="shared" si="81"/>
        <v>NA9RB</v>
      </c>
      <c r="M1780">
        <f>COUNTIF(L$1:L1780,L1780)</f>
        <v>1</v>
      </c>
      <c r="N1780" t="str">
        <f t="shared" si="82"/>
        <v>NA9RB-1</v>
      </c>
      <c r="O1780">
        <f>COUNTIFS(F$1:F1780,F1780,A$1:A1780,A1780)</f>
        <v>29</v>
      </c>
      <c r="P1780" t="str">
        <f t="shared" si="83"/>
        <v>C.J. Anderson9</v>
      </c>
    </row>
    <row r="1781" spans="1:16" x14ac:dyDescent="0.25">
      <c r="A1781">
        <v>11</v>
      </c>
      <c r="B1781" t="s">
        <v>271</v>
      </c>
      <c r="C1781" t="s">
        <v>6997</v>
      </c>
      <c r="D1781">
        <v>7.16</v>
      </c>
      <c r="E1781" t="s">
        <v>28</v>
      </c>
      <c r="F1781" t="s">
        <v>87</v>
      </c>
      <c r="G1781">
        <v>13.25</v>
      </c>
      <c r="H1781">
        <v>1.07</v>
      </c>
      <c r="I1781">
        <v>6.09</v>
      </c>
      <c r="J1781">
        <v>37.088099999999997</v>
      </c>
      <c r="K1781" t="str">
        <f>IFERROR(INDEX(Rosters!$C$2:$C$155,MATCH($B1781,Rosters!$B$2:$B$155,0)),"NA")</f>
        <v>matty</v>
      </c>
      <c r="L1781" t="str">
        <f t="shared" si="81"/>
        <v>matty11WR</v>
      </c>
      <c r="M1781">
        <f>COUNTIF(L$1:L1781,L1781)</f>
        <v>5</v>
      </c>
      <c r="N1781" t="str">
        <f t="shared" si="82"/>
        <v>matty11WR-5</v>
      </c>
      <c r="O1781">
        <f>COUNTIFS(F$1:F1781,F1781,A$1:A1781,A1781)</f>
        <v>40</v>
      </c>
      <c r="P1781" t="str">
        <f t="shared" si="83"/>
        <v>Geronimo Allison11</v>
      </c>
    </row>
    <row r="1782" spans="1:16" x14ac:dyDescent="0.25">
      <c r="A1782">
        <v>5</v>
      </c>
      <c r="B1782" t="s">
        <v>1158</v>
      </c>
      <c r="C1782" t="s">
        <v>6998</v>
      </c>
      <c r="D1782">
        <v>7.16</v>
      </c>
      <c r="E1782" t="s">
        <v>66</v>
      </c>
      <c r="F1782" t="s">
        <v>87</v>
      </c>
      <c r="G1782">
        <v>14.01</v>
      </c>
      <c r="H1782">
        <v>0.31</v>
      </c>
      <c r="I1782">
        <v>6.85</v>
      </c>
      <c r="J1782">
        <v>46.922499999999999</v>
      </c>
      <c r="K1782" t="str">
        <f>IFERROR(INDEX(Rosters!$C$2:$C$155,MATCH($B1782,Rosters!$B$2:$B$155,0)),"NA")</f>
        <v>chad</v>
      </c>
      <c r="L1782" t="str">
        <f t="shared" si="81"/>
        <v>chad5WR</v>
      </c>
      <c r="M1782">
        <f>COUNTIF(L$1:L1782,L1782)</f>
        <v>5</v>
      </c>
      <c r="N1782" t="str">
        <f t="shared" si="82"/>
        <v>chad5WR-5</v>
      </c>
      <c r="O1782">
        <f>COUNTIFS(F$1:F1782,F1782,A$1:A1782,A1782)</f>
        <v>38</v>
      </c>
      <c r="P1782" t="str">
        <f t="shared" si="83"/>
        <v>Josh Gordon5</v>
      </c>
    </row>
    <row r="1783" spans="1:16" x14ac:dyDescent="0.25">
      <c r="A1783">
        <v>10</v>
      </c>
      <c r="B1783" t="s">
        <v>160</v>
      </c>
      <c r="C1783" t="s">
        <v>6999</v>
      </c>
      <c r="D1783">
        <v>7.16</v>
      </c>
      <c r="E1783" t="s">
        <v>54</v>
      </c>
      <c r="F1783" t="s">
        <v>87</v>
      </c>
      <c r="G1783">
        <v>13.22</v>
      </c>
      <c r="H1783">
        <v>1.1000000000000001</v>
      </c>
      <c r="I1783">
        <v>6.06</v>
      </c>
      <c r="J1783">
        <v>36.723599999999998</v>
      </c>
      <c r="K1783" t="str">
        <f>IFERROR(INDEX(Rosters!$C$2:$C$155,MATCH($B1783,Rosters!$B$2:$B$155,0)),"NA")</f>
        <v>NA</v>
      </c>
      <c r="L1783" t="str">
        <f t="shared" si="81"/>
        <v>NA10WR</v>
      </c>
      <c r="M1783">
        <f>COUNTIF(L$1:L1783,L1783)</f>
        <v>1</v>
      </c>
      <c r="N1783" t="str">
        <f t="shared" si="82"/>
        <v>NA10WR-1</v>
      </c>
      <c r="O1783">
        <f>COUNTIFS(F$1:F1783,F1783,A$1:A1783,A1783)</f>
        <v>37</v>
      </c>
      <c r="P1783" t="str">
        <f t="shared" si="83"/>
        <v>Pierre Garcon10</v>
      </c>
    </row>
    <row r="1784" spans="1:16" x14ac:dyDescent="0.25">
      <c r="A1784">
        <v>16</v>
      </c>
      <c r="B1784" t="s">
        <v>1346</v>
      </c>
      <c r="C1784" t="s">
        <v>7000</v>
      </c>
      <c r="D1784">
        <v>7.16</v>
      </c>
      <c r="E1784" t="s">
        <v>32</v>
      </c>
      <c r="F1784" t="s">
        <v>47</v>
      </c>
      <c r="G1784">
        <v>12.83</v>
      </c>
      <c r="H1784">
        <v>1.49</v>
      </c>
      <c r="I1784">
        <v>5.67</v>
      </c>
      <c r="J1784">
        <v>32.148899999999998</v>
      </c>
      <c r="K1784" t="str">
        <f>IFERROR(INDEX(Rosters!$C$2:$C$155,MATCH($B1784,Rosters!$B$2:$B$155,0)),"NA")</f>
        <v>comp</v>
      </c>
      <c r="L1784" t="str">
        <f t="shared" si="81"/>
        <v>comp16RB</v>
      </c>
      <c r="M1784">
        <f>COUNTIF(L$1:L1784,L1784)</f>
        <v>3</v>
      </c>
      <c r="N1784" t="str">
        <f t="shared" si="82"/>
        <v>comp16RB-3</v>
      </c>
      <c r="O1784">
        <f>COUNTIFS(F$1:F1784,F1784,A$1:A1784,A1784)</f>
        <v>33</v>
      </c>
      <c r="P1784" t="str">
        <f t="shared" si="83"/>
        <v>Royce Freeman16</v>
      </c>
    </row>
    <row r="1785" spans="1:16" x14ac:dyDescent="0.25">
      <c r="A1785">
        <v>3</v>
      </c>
      <c r="B1785" t="s">
        <v>266</v>
      </c>
      <c r="C1785" t="s">
        <v>3901</v>
      </c>
      <c r="D1785">
        <v>7.16</v>
      </c>
      <c r="E1785" t="s">
        <v>54</v>
      </c>
      <c r="F1785" t="s">
        <v>87</v>
      </c>
      <c r="G1785">
        <v>13.47</v>
      </c>
      <c r="H1785">
        <v>0.85</v>
      </c>
      <c r="I1785">
        <v>6.31</v>
      </c>
      <c r="J1785">
        <v>39.816099999999999</v>
      </c>
      <c r="K1785" t="str">
        <f>IFERROR(INDEX(Rosters!$C$2:$C$155,MATCH($B1785,Rosters!$B$2:$B$155,0)),"NA")</f>
        <v>perry</v>
      </c>
      <c r="L1785" t="str">
        <f t="shared" si="81"/>
        <v>perry3WR</v>
      </c>
      <c r="M1785">
        <f>COUNTIF(L$1:L1785,L1785)</f>
        <v>4</v>
      </c>
      <c r="N1785" t="str">
        <f t="shared" si="82"/>
        <v>perry3WR-4</v>
      </c>
      <c r="O1785">
        <f>COUNTIFS(F$1:F1785,F1785,A$1:A1785,A1785)</f>
        <v>36</v>
      </c>
      <c r="P1785" t="str">
        <f t="shared" si="83"/>
        <v>Will Fuller V3</v>
      </c>
    </row>
    <row r="1786" spans="1:16" x14ac:dyDescent="0.25">
      <c r="A1786">
        <v>17</v>
      </c>
      <c r="B1786" t="s">
        <v>163</v>
      </c>
      <c r="C1786" t="s">
        <v>7001</v>
      </c>
      <c r="D1786">
        <v>7.15</v>
      </c>
      <c r="E1786" t="s">
        <v>46</v>
      </c>
      <c r="F1786" t="s">
        <v>87</v>
      </c>
      <c r="G1786">
        <v>12.11</v>
      </c>
      <c r="H1786">
        <v>2.19</v>
      </c>
      <c r="I1786">
        <v>4.96</v>
      </c>
      <c r="J1786">
        <v>24.601600000000001</v>
      </c>
      <c r="K1786" t="str">
        <f>IFERROR(INDEX(Rosters!$C$2:$C$155,MATCH($B1786,Rosters!$B$2:$B$155,0)),"NA")</f>
        <v>scott</v>
      </c>
      <c r="L1786" t="str">
        <f t="shared" si="81"/>
        <v>scott17WR</v>
      </c>
      <c r="M1786">
        <f>COUNTIF(L$1:L1786,L1786)</f>
        <v>4</v>
      </c>
      <c r="N1786" t="str">
        <f t="shared" si="82"/>
        <v>scott17WR-4</v>
      </c>
      <c r="O1786">
        <f>COUNTIFS(F$1:F1786,F1786,A$1:A1786,A1786)</f>
        <v>43</v>
      </c>
      <c r="P1786" t="str">
        <f t="shared" si="83"/>
        <v>DeSean Jackson17</v>
      </c>
    </row>
    <row r="1787" spans="1:16" x14ac:dyDescent="0.25">
      <c r="A1787">
        <v>10</v>
      </c>
      <c r="B1787" t="s">
        <v>117</v>
      </c>
      <c r="C1787" t="s">
        <v>7002</v>
      </c>
      <c r="D1787">
        <v>7.15</v>
      </c>
      <c r="E1787" t="s">
        <v>29</v>
      </c>
      <c r="F1787" t="s">
        <v>47</v>
      </c>
      <c r="G1787">
        <v>12.57</v>
      </c>
      <c r="H1787">
        <v>1.73</v>
      </c>
      <c r="I1787">
        <v>5.42</v>
      </c>
      <c r="J1787">
        <v>29.3764</v>
      </c>
      <c r="K1787" t="str">
        <f>IFERROR(INDEX(Rosters!$C$2:$C$155,MATCH($B1787,Rosters!$B$2:$B$155,0)),"NA")</f>
        <v>chad</v>
      </c>
      <c r="L1787" t="str">
        <f t="shared" si="81"/>
        <v>chad10RB</v>
      </c>
      <c r="M1787">
        <f>COUNTIF(L$1:L1787,L1787)</f>
        <v>4</v>
      </c>
      <c r="N1787" t="str">
        <f t="shared" si="82"/>
        <v>chad10RB-4</v>
      </c>
      <c r="O1787">
        <f>COUNTIFS(F$1:F1787,F1787,A$1:A1787,A1787)</f>
        <v>29</v>
      </c>
      <c r="P1787" t="str">
        <f t="shared" si="83"/>
        <v>Isaiah Crowell10</v>
      </c>
    </row>
    <row r="1788" spans="1:16" x14ac:dyDescent="0.25">
      <c r="A1788">
        <v>7</v>
      </c>
      <c r="B1788" t="s">
        <v>1368</v>
      </c>
      <c r="C1788" t="s">
        <v>7003</v>
      </c>
      <c r="D1788">
        <v>7.15</v>
      </c>
      <c r="E1788" t="s">
        <v>36</v>
      </c>
      <c r="F1788" t="s">
        <v>87</v>
      </c>
      <c r="G1788">
        <v>11.86</v>
      </c>
      <c r="H1788">
        <v>2.44</v>
      </c>
      <c r="I1788">
        <v>4.71</v>
      </c>
      <c r="J1788">
        <v>22.184100000000001</v>
      </c>
      <c r="K1788" t="str">
        <f>IFERROR(INDEX(Rosters!$C$2:$C$155,MATCH($B1788,Rosters!$B$2:$B$155,0)),"NA")</f>
        <v>scott</v>
      </c>
      <c r="L1788" t="str">
        <f t="shared" si="81"/>
        <v>scott7WR</v>
      </c>
      <c r="M1788">
        <f>COUNTIF(L$1:L1788,L1788)</f>
        <v>4</v>
      </c>
      <c r="N1788" t="str">
        <f t="shared" si="82"/>
        <v>scott7WR-4</v>
      </c>
      <c r="O1788">
        <f>COUNTIFS(F$1:F1788,F1788,A$1:A1788,A1788)</f>
        <v>37</v>
      </c>
      <c r="P1788" t="str">
        <f t="shared" si="83"/>
        <v>Keelan Cole7</v>
      </c>
    </row>
    <row r="1789" spans="1:16" x14ac:dyDescent="0.25">
      <c r="A1789">
        <v>3</v>
      </c>
      <c r="B1789" t="s">
        <v>181</v>
      </c>
      <c r="C1789" t="s">
        <v>3702</v>
      </c>
      <c r="D1789">
        <v>7.14</v>
      </c>
      <c r="E1789" t="s">
        <v>29</v>
      </c>
      <c r="F1789" t="s">
        <v>114</v>
      </c>
      <c r="G1789">
        <v>11.06</v>
      </c>
      <c r="H1789">
        <v>3.22</v>
      </c>
      <c r="I1789">
        <v>3.92</v>
      </c>
      <c r="J1789">
        <v>15.366400000000001</v>
      </c>
      <c r="K1789" t="str">
        <f>IFERROR(INDEX(Rosters!$C$2:$C$155,MATCH($B1789,Rosters!$B$2:$B$155,0)),"NA")</f>
        <v>cory</v>
      </c>
      <c r="L1789" t="str">
        <f t="shared" si="81"/>
        <v>cory3TE</v>
      </c>
      <c r="M1789">
        <f>COUNTIF(L$1:L1789,L1789)</f>
        <v>1</v>
      </c>
      <c r="N1789" t="str">
        <f t="shared" si="82"/>
        <v>cory3TE-1</v>
      </c>
      <c r="O1789">
        <f>COUNTIFS(F$1:F1789,F1789,A$1:A1789,A1789)</f>
        <v>6</v>
      </c>
      <c r="P1789" t="str">
        <f t="shared" si="83"/>
        <v>Kyle Rudolph3</v>
      </c>
    </row>
    <row r="1790" spans="1:16" x14ac:dyDescent="0.25">
      <c r="A1790">
        <v>5</v>
      </c>
      <c r="B1790" t="s">
        <v>155</v>
      </c>
      <c r="C1790" t="s">
        <v>7004</v>
      </c>
      <c r="D1790">
        <v>7.14</v>
      </c>
      <c r="E1790" t="s">
        <v>41</v>
      </c>
      <c r="F1790" t="s">
        <v>47</v>
      </c>
      <c r="G1790">
        <v>12.29</v>
      </c>
      <c r="H1790">
        <v>1.99</v>
      </c>
      <c r="I1790">
        <v>5.15</v>
      </c>
      <c r="J1790">
        <v>26.522500000000001</v>
      </c>
      <c r="K1790" t="str">
        <f>IFERROR(INDEX(Rosters!$C$2:$C$155,MATCH($B1790,Rosters!$B$2:$B$155,0)),"NA")</f>
        <v>NA</v>
      </c>
      <c r="L1790" t="str">
        <f t="shared" si="81"/>
        <v>NA5RB</v>
      </c>
      <c r="M1790">
        <f>COUNTIF(L$1:L1790,L1790)</f>
        <v>1</v>
      </c>
      <c r="N1790" t="str">
        <f t="shared" si="82"/>
        <v>NA5RB-1</v>
      </c>
      <c r="O1790">
        <f>COUNTIFS(F$1:F1790,F1790,A$1:A1790,A1790)</f>
        <v>36</v>
      </c>
      <c r="P1790" t="str">
        <f t="shared" si="83"/>
        <v>Theo Riddick5</v>
      </c>
    </row>
    <row r="1791" spans="1:16" x14ac:dyDescent="0.25">
      <c r="A1791">
        <v>16</v>
      </c>
      <c r="B1791" t="s">
        <v>202</v>
      </c>
      <c r="C1791" t="s">
        <v>7005</v>
      </c>
      <c r="D1791">
        <v>7.13</v>
      </c>
      <c r="E1791" t="s">
        <v>38</v>
      </c>
      <c r="F1791" t="s">
        <v>47</v>
      </c>
      <c r="G1791">
        <v>12.52</v>
      </c>
      <c r="H1791">
        <v>1.74</v>
      </c>
      <c r="I1791">
        <v>5.39</v>
      </c>
      <c r="J1791">
        <v>29.052099999999999</v>
      </c>
      <c r="K1791" t="str">
        <f>IFERROR(INDEX(Rosters!$C$2:$C$155,MATCH($B1791,Rosters!$B$2:$B$155,0)),"NA")</f>
        <v>lucas</v>
      </c>
      <c r="L1791" t="str">
        <f t="shared" si="81"/>
        <v>lucas16RB</v>
      </c>
      <c r="M1791">
        <f>COUNTIF(L$1:L1791,L1791)</f>
        <v>3</v>
      </c>
      <c r="N1791" t="str">
        <f t="shared" si="82"/>
        <v>lucas16RB-3</v>
      </c>
      <c r="O1791">
        <f>COUNTIFS(F$1:F1791,F1791,A$1:A1791,A1791)</f>
        <v>34</v>
      </c>
      <c r="P1791" t="str">
        <f t="shared" si="83"/>
        <v>Chris Thompson16</v>
      </c>
    </row>
    <row r="1792" spans="1:16" x14ac:dyDescent="0.25">
      <c r="A1792">
        <v>10</v>
      </c>
      <c r="B1792" t="s">
        <v>162</v>
      </c>
      <c r="C1792" t="s">
        <v>7006</v>
      </c>
      <c r="D1792">
        <v>7.13</v>
      </c>
      <c r="E1792" t="s">
        <v>19</v>
      </c>
      <c r="F1792" t="s">
        <v>114</v>
      </c>
      <c r="G1792">
        <v>12.59</v>
      </c>
      <c r="H1792">
        <v>1.67</v>
      </c>
      <c r="I1792">
        <v>5.46</v>
      </c>
      <c r="J1792">
        <v>29.811599999999999</v>
      </c>
      <c r="K1792" t="str">
        <f>IFERROR(INDEX(Rosters!$C$2:$C$155,MATCH($B1792,Rosters!$B$2:$B$155,0)),"NA")</f>
        <v>seth</v>
      </c>
      <c r="L1792" t="str">
        <f t="shared" si="81"/>
        <v>seth10TE</v>
      </c>
      <c r="M1792">
        <f>COUNTIF(L$1:L1792,L1792)</f>
        <v>1</v>
      </c>
      <c r="N1792" t="str">
        <f t="shared" si="82"/>
        <v>seth10TE-1</v>
      </c>
      <c r="O1792">
        <f>COUNTIFS(F$1:F1792,F1792,A$1:A1792,A1792)</f>
        <v>5</v>
      </c>
      <c r="P1792" t="str">
        <f t="shared" si="83"/>
        <v>Jimmy Graham10</v>
      </c>
    </row>
    <row r="1793" spans="1:16" x14ac:dyDescent="0.25">
      <c r="A1793">
        <v>14</v>
      </c>
      <c r="B1793" t="s">
        <v>168</v>
      </c>
      <c r="C1793" t="s">
        <v>7007</v>
      </c>
      <c r="D1793">
        <v>7.13</v>
      </c>
      <c r="E1793" t="s">
        <v>17</v>
      </c>
      <c r="F1793" t="s">
        <v>87</v>
      </c>
      <c r="G1793">
        <v>12.44</v>
      </c>
      <c r="H1793">
        <v>1.82</v>
      </c>
      <c r="I1793">
        <v>5.31</v>
      </c>
      <c r="J1793">
        <v>28.196100000000001</v>
      </c>
      <c r="K1793" t="str">
        <f>IFERROR(INDEX(Rosters!$C$2:$C$155,MATCH($B1793,Rosters!$B$2:$B$155,0)),"NA")</f>
        <v>NA</v>
      </c>
      <c r="L1793" t="str">
        <f t="shared" si="81"/>
        <v>NA14WR</v>
      </c>
      <c r="M1793">
        <f>COUNTIF(L$1:L1793,L1793)</f>
        <v>1</v>
      </c>
      <c r="N1793" t="str">
        <f t="shared" si="82"/>
        <v>NA14WR-1</v>
      </c>
      <c r="O1793">
        <f>COUNTIFS(F$1:F1793,F1793,A$1:A1793,A1793)</f>
        <v>41</v>
      </c>
      <c r="P1793" t="str">
        <f t="shared" si="83"/>
        <v>Ted Ginn Jr.14</v>
      </c>
    </row>
    <row r="1794" spans="1:16" x14ac:dyDescent="0.25">
      <c r="A1794">
        <v>4</v>
      </c>
      <c r="B1794" t="s">
        <v>140</v>
      </c>
      <c r="C1794" t="s">
        <v>4490</v>
      </c>
      <c r="D1794">
        <v>7.12</v>
      </c>
      <c r="E1794" t="s">
        <v>28</v>
      </c>
      <c r="F1794" t="s">
        <v>87</v>
      </c>
      <c r="G1794">
        <v>10.83</v>
      </c>
      <c r="H1794">
        <v>3.41</v>
      </c>
      <c r="I1794">
        <v>3.71</v>
      </c>
      <c r="J1794">
        <v>13.764099999999999</v>
      </c>
      <c r="K1794" t="str">
        <f>IFERROR(INDEX(Rosters!$C$2:$C$155,MATCH($B1794,Rosters!$B$2:$B$155,0)),"NA")</f>
        <v>seth</v>
      </c>
      <c r="L1794" t="str">
        <f t="shared" si="81"/>
        <v>seth4WR</v>
      </c>
      <c r="M1794">
        <f>COUNTIF(L$1:L1794,L1794)</f>
        <v>3</v>
      </c>
      <c r="N1794" t="str">
        <f t="shared" si="82"/>
        <v>seth4WR-3</v>
      </c>
      <c r="O1794">
        <f>COUNTIFS(F$1:F1794,F1794,A$1:A1794,A1794)</f>
        <v>38</v>
      </c>
      <c r="P1794" t="str">
        <f t="shared" si="83"/>
        <v>Larry Fitzgerald4</v>
      </c>
    </row>
    <row r="1795" spans="1:16" x14ac:dyDescent="0.25">
      <c r="A1795">
        <v>8</v>
      </c>
      <c r="B1795" t="s">
        <v>240</v>
      </c>
      <c r="C1795" t="s">
        <v>7008</v>
      </c>
      <c r="D1795">
        <v>7.12</v>
      </c>
      <c r="E1795" t="s">
        <v>76</v>
      </c>
      <c r="F1795" t="s">
        <v>87</v>
      </c>
      <c r="G1795">
        <v>12.81</v>
      </c>
      <c r="H1795">
        <v>1.43</v>
      </c>
      <c r="I1795">
        <v>5.69</v>
      </c>
      <c r="J1795">
        <v>32.376100000000001</v>
      </c>
      <c r="K1795" t="str">
        <f>IFERROR(INDEX(Rosters!$C$2:$C$155,MATCH($B1795,Rosters!$B$2:$B$155,0)),"NA")</f>
        <v>aj</v>
      </c>
      <c r="L1795" t="str">
        <f t="shared" ref="L1795:L1858" si="84">K1795&amp;A1795&amp;F1795</f>
        <v>aj8WR</v>
      </c>
      <c r="M1795">
        <f>COUNTIF(L$1:L1795,L1795)</f>
        <v>5</v>
      </c>
      <c r="N1795" t="str">
        <f t="shared" ref="N1795:N1858" si="85">L1795&amp;"-"&amp;M1795</f>
        <v>aj8WR-5</v>
      </c>
      <c r="O1795">
        <f>COUNTIFS(F$1:F1795,F1795,A$1:A1795,A1795)</f>
        <v>40</v>
      </c>
      <c r="P1795" t="str">
        <f t="shared" ref="P1795:P1858" si="86">B1795&amp;A1795</f>
        <v>Nelson Agholor8</v>
      </c>
    </row>
    <row r="1796" spans="1:16" x14ac:dyDescent="0.25">
      <c r="A1796">
        <v>12</v>
      </c>
      <c r="B1796" t="s">
        <v>168</v>
      </c>
      <c r="C1796" t="s">
        <v>7009</v>
      </c>
      <c r="D1796">
        <v>7.12</v>
      </c>
      <c r="E1796" t="s">
        <v>46</v>
      </c>
      <c r="F1796" t="s">
        <v>87</v>
      </c>
      <c r="G1796">
        <v>11.83</v>
      </c>
      <c r="H1796">
        <v>2.41</v>
      </c>
      <c r="I1796">
        <v>4.71</v>
      </c>
      <c r="J1796">
        <v>22.184100000000001</v>
      </c>
      <c r="K1796" t="str">
        <f>IFERROR(INDEX(Rosters!$C$2:$C$155,MATCH($B1796,Rosters!$B$2:$B$155,0)),"NA")</f>
        <v>NA</v>
      </c>
      <c r="L1796" t="str">
        <f t="shared" si="84"/>
        <v>NA12WR</v>
      </c>
      <c r="M1796">
        <f>COUNTIF(L$1:L1796,L1796)</f>
        <v>3</v>
      </c>
      <c r="N1796" t="str">
        <f t="shared" si="85"/>
        <v>NA12WR-3</v>
      </c>
      <c r="O1796">
        <f>COUNTIFS(F$1:F1796,F1796,A$1:A1796,A1796)</f>
        <v>41</v>
      </c>
      <c r="P1796" t="str">
        <f t="shared" si="86"/>
        <v>Ted Ginn Jr.12</v>
      </c>
    </row>
    <row r="1797" spans="1:16" x14ac:dyDescent="0.25">
      <c r="A1797">
        <v>17</v>
      </c>
      <c r="B1797" t="s">
        <v>180</v>
      </c>
      <c r="C1797" t="s">
        <v>7010</v>
      </c>
      <c r="D1797">
        <v>7.12</v>
      </c>
      <c r="E1797" t="s">
        <v>58</v>
      </c>
      <c r="F1797" t="s">
        <v>87</v>
      </c>
      <c r="G1797">
        <v>12.44</v>
      </c>
      <c r="H1797">
        <v>1.8</v>
      </c>
      <c r="I1797">
        <v>5.32</v>
      </c>
      <c r="J1797">
        <v>28.302399999999999</v>
      </c>
      <c r="K1797" t="str">
        <f>IFERROR(INDEX(Rosters!$C$2:$C$155,MATCH($B1797,Rosters!$B$2:$B$155,0)),"NA")</f>
        <v>NA</v>
      </c>
      <c r="L1797" t="str">
        <f t="shared" si="84"/>
        <v>NA17WR</v>
      </c>
      <c r="M1797">
        <f>COUNTIF(L$1:L1797,L1797)</f>
        <v>3</v>
      </c>
      <c r="N1797" t="str">
        <f t="shared" si="85"/>
        <v>NA17WR-3</v>
      </c>
      <c r="O1797">
        <f>COUNTIFS(F$1:F1797,F1797,A$1:A1797,A1797)</f>
        <v>44</v>
      </c>
      <c r="P1797" t="str">
        <f t="shared" si="86"/>
        <v>Tyler Lockett17</v>
      </c>
    </row>
    <row r="1798" spans="1:16" x14ac:dyDescent="0.25">
      <c r="A1798">
        <v>10</v>
      </c>
      <c r="B1798" t="s">
        <v>834</v>
      </c>
      <c r="C1798" t="s">
        <v>7011</v>
      </c>
      <c r="D1798">
        <v>7.11</v>
      </c>
      <c r="E1798" t="s">
        <v>56</v>
      </c>
      <c r="F1798" t="s">
        <v>47</v>
      </c>
      <c r="G1798">
        <v>12.58</v>
      </c>
      <c r="H1798">
        <v>1.64</v>
      </c>
      <c r="I1798">
        <v>5.47</v>
      </c>
      <c r="J1798">
        <v>29.9209</v>
      </c>
      <c r="K1798" t="str">
        <f>IFERROR(INDEX(Rosters!$C$2:$C$155,MATCH($B1798,Rosters!$B$2:$B$155,0)),"NA")</f>
        <v>lucas</v>
      </c>
      <c r="L1798" t="str">
        <f t="shared" si="84"/>
        <v>lucas10RB</v>
      </c>
      <c r="M1798">
        <f>COUNTIF(L$1:L1798,L1798)</f>
        <v>2</v>
      </c>
      <c r="N1798" t="str">
        <f t="shared" si="85"/>
        <v>lucas10RB-2</v>
      </c>
      <c r="O1798">
        <f>COUNTIFS(F$1:F1798,F1798,A$1:A1798,A1798)</f>
        <v>30</v>
      </c>
      <c r="P1798" t="str">
        <f t="shared" si="86"/>
        <v>Chris Carson10</v>
      </c>
    </row>
    <row r="1799" spans="1:16" x14ac:dyDescent="0.25">
      <c r="A1799">
        <v>4</v>
      </c>
      <c r="B1799" t="s">
        <v>208</v>
      </c>
      <c r="C1799" t="s">
        <v>4491</v>
      </c>
      <c r="D1799">
        <v>7.11</v>
      </c>
      <c r="E1799" t="s">
        <v>52</v>
      </c>
      <c r="F1799" t="s">
        <v>114</v>
      </c>
      <c r="G1799">
        <v>11.7</v>
      </c>
      <c r="H1799">
        <v>2.52</v>
      </c>
      <c r="I1799">
        <v>4.59</v>
      </c>
      <c r="J1799">
        <v>21.068100000000001</v>
      </c>
      <c r="K1799" t="str">
        <f>IFERROR(INDEX(Rosters!$C$2:$C$155,MATCH($B1799,Rosters!$B$2:$B$155,0)),"NA")</f>
        <v>chad</v>
      </c>
      <c r="L1799" t="str">
        <f t="shared" si="84"/>
        <v>chad4TE</v>
      </c>
      <c r="M1799">
        <f>COUNTIF(L$1:L1799,L1799)</f>
        <v>1</v>
      </c>
      <c r="N1799" t="str">
        <f t="shared" si="85"/>
        <v>chad4TE-1</v>
      </c>
      <c r="O1799">
        <f>COUNTIFS(F$1:F1799,F1799,A$1:A1799,A1799)</f>
        <v>5</v>
      </c>
      <c r="P1799" t="str">
        <f t="shared" si="86"/>
        <v>Jared Cook4</v>
      </c>
    </row>
    <row r="1800" spans="1:16" x14ac:dyDescent="0.25">
      <c r="A1800">
        <v>15</v>
      </c>
      <c r="B1800" t="s">
        <v>306</v>
      </c>
      <c r="C1800" t="s">
        <v>7012</v>
      </c>
      <c r="D1800">
        <v>7.11</v>
      </c>
      <c r="E1800" t="s">
        <v>17</v>
      </c>
      <c r="F1800" t="s">
        <v>47</v>
      </c>
      <c r="G1800">
        <v>12.31</v>
      </c>
      <c r="H1800">
        <v>1.91</v>
      </c>
      <c r="I1800">
        <v>5.2</v>
      </c>
      <c r="J1800">
        <v>27.04</v>
      </c>
      <c r="K1800" t="str">
        <f>IFERROR(INDEX(Rosters!$C$2:$C$155,MATCH($B1800,Rosters!$B$2:$B$155,0)),"NA")</f>
        <v>chad</v>
      </c>
      <c r="L1800" t="str">
        <f t="shared" si="84"/>
        <v>chad15RB</v>
      </c>
      <c r="M1800">
        <f>COUNTIF(L$1:L1800,L1800)</f>
        <v>4</v>
      </c>
      <c r="N1800" t="str">
        <f t="shared" si="85"/>
        <v>chad15RB-4</v>
      </c>
      <c r="O1800">
        <f>COUNTIFS(F$1:F1800,F1800,A$1:A1800,A1800)</f>
        <v>33</v>
      </c>
      <c r="P1800" t="str">
        <f t="shared" si="86"/>
        <v>Javorius Allen15</v>
      </c>
    </row>
    <row r="1801" spans="1:16" x14ac:dyDescent="0.25">
      <c r="A1801">
        <v>2</v>
      </c>
      <c r="B1801" t="s">
        <v>118</v>
      </c>
      <c r="C1801" t="s">
        <v>1694</v>
      </c>
      <c r="D1801">
        <v>7.1</v>
      </c>
      <c r="E1801" t="s">
        <v>66</v>
      </c>
      <c r="F1801" t="s">
        <v>114</v>
      </c>
      <c r="G1801">
        <v>13.07</v>
      </c>
      <c r="H1801">
        <v>1.1299999999999999</v>
      </c>
      <c r="I1801">
        <v>5.97</v>
      </c>
      <c r="J1801">
        <v>35.640900000000002</v>
      </c>
      <c r="K1801" t="str">
        <f>IFERROR(INDEX(Rosters!$C$2:$C$155,MATCH($B1801,Rosters!$B$2:$B$155,0)),"NA")</f>
        <v>matty</v>
      </c>
      <c r="L1801" t="str">
        <f t="shared" si="84"/>
        <v>matty2TE</v>
      </c>
      <c r="M1801">
        <f>COUNTIF(L$1:L1801,L1801)</f>
        <v>1</v>
      </c>
      <c r="N1801" t="str">
        <f t="shared" si="85"/>
        <v>matty2TE-1</v>
      </c>
      <c r="O1801">
        <f>COUNTIFS(F$1:F1801,F1801,A$1:A1801,A1801)</f>
        <v>5</v>
      </c>
      <c r="P1801" t="str">
        <f t="shared" si="86"/>
        <v>Jordan Reed2</v>
      </c>
    </row>
    <row r="1802" spans="1:16" x14ac:dyDescent="0.25">
      <c r="A1802">
        <v>9</v>
      </c>
      <c r="B1802" t="s">
        <v>185</v>
      </c>
      <c r="C1802" t="s">
        <v>7013</v>
      </c>
      <c r="D1802">
        <v>7.09</v>
      </c>
      <c r="E1802" t="s">
        <v>51</v>
      </c>
      <c r="F1802" t="s">
        <v>87</v>
      </c>
      <c r="G1802">
        <v>13.25</v>
      </c>
      <c r="H1802">
        <v>0.93</v>
      </c>
      <c r="I1802">
        <v>6.16</v>
      </c>
      <c r="J1802">
        <v>37.945599999999999</v>
      </c>
      <c r="K1802" t="str">
        <f>IFERROR(INDEX(Rosters!$C$2:$C$155,MATCH($B1802,Rosters!$B$2:$B$155,0)),"NA")</f>
        <v>scott</v>
      </c>
      <c r="L1802" t="str">
        <f t="shared" si="84"/>
        <v>scott9WR</v>
      </c>
      <c r="M1802">
        <f>COUNTIF(L$1:L1802,L1802)</f>
        <v>4</v>
      </c>
      <c r="N1802" t="str">
        <f t="shared" si="85"/>
        <v>scott9WR-4</v>
      </c>
      <c r="O1802">
        <f>COUNTIFS(F$1:F1802,F1802,A$1:A1802,A1802)</f>
        <v>38</v>
      </c>
      <c r="P1802" t="str">
        <f t="shared" si="86"/>
        <v>John Brown9</v>
      </c>
    </row>
    <row r="1803" spans="1:16" x14ac:dyDescent="0.25">
      <c r="A1803">
        <v>4</v>
      </c>
      <c r="B1803" t="s">
        <v>1158</v>
      </c>
      <c r="C1803" t="s">
        <v>5029</v>
      </c>
      <c r="D1803">
        <v>7.09</v>
      </c>
      <c r="E1803" t="s">
        <v>19</v>
      </c>
      <c r="F1803" t="s">
        <v>87</v>
      </c>
      <c r="G1803">
        <v>14.07</v>
      </c>
      <c r="H1803">
        <v>0.11</v>
      </c>
      <c r="I1803">
        <v>6.98</v>
      </c>
      <c r="J1803">
        <v>48.720399999999998</v>
      </c>
      <c r="K1803" t="str">
        <f>IFERROR(INDEX(Rosters!$C$2:$C$155,MATCH($B1803,Rosters!$B$2:$B$155,0)),"NA")</f>
        <v>chad</v>
      </c>
      <c r="L1803" t="str">
        <f t="shared" si="84"/>
        <v>chad4WR</v>
      </c>
      <c r="M1803">
        <f>COUNTIF(L$1:L1803,L1803)</f>
        <v>3</v>
      </c>
      <c r="N1803" t="str">
        <f t="shared" si="85"/>
        <v>chad4WR-3</v>
      </c>
      <c r="O1803">
        <f>COUNTIFS(F$1:F1803,F1803,A$1:A1803,A1803)</f>
        <v>39</v>
      </c>
      <c r="P1803" t="str">
        <f t="shared" si="86"/>
        <v>Josh Gordon4</v>
      </c>
    </row>
    <row r="1804" spans="1:16" x14ac:dyDescent="0.25">
      <c r="A1804">
        <v>10</v>
      </c>
      <c r="B1804" t="s">
        <v>195</v>
      </c>
      <c r="C1804" t="s">
        <v>7014</v>
      </c>
      <c r="D1804">
        <v>7.09</v>
      </c>
      <c r="E1804" t="s">
        <v>72</v>
      </c>
      <c r="F1804" t="s">
        <v>87</v>
      </c>
      <c r="G1804">
        <v>12.85</v>
      </c>
      <c r="H1804">
        <v>1.33</v>
      </c>
      <c r="I1804">
        <v>5.76</v>
      </c>
      <c r="J1804">
        <v>33.177599999999998</v>
      </c>
      <c r="K1804" t="str">
        <f>IFERROR(INDEX(Rosters!$C$2:$C$155,MATCH($B1804,Rosters!$B$2:$B$155,0)),"NA")</f>
        <v>scott</v>
      </c>
      <c r="L1804" t="str">
        <f t="shared" si="84"/>
        <v>scott10WR</v>
      </c>
      <c r="M1804">
        <f>COUNTIF(L$1:L1804,L1804)</f>
        <v>3</v>
      </c>
      <c r="N1804" t="str">
        <f t="shared" si="85"/>
        <v>scott10WR-3</v>
      </c>
      <c r="O1804">
        <f>COUNTIFS(F$1:F1804,F1804,A$1:A1804,A1804)</f>
        <v>38</v>
      </c>
      <c r="P1804" t="str">
        <f t="shared" si="86"/>
        <v>Kenny Golladay10</v>
      </c>
    </row>
    <row r="1805" spans="1:16" x14ac:dyDescent="0.25">
      <c r="A1805">
        <v>9</v>
      </c>
      <c r="B1805" t="s">
        <v>1346</v>
      </c>
      <c r="C1805" t="s">
        <v>7015</v>
      </c>
      <c r="D1805">
        <v>7.09</v>
      </c>
      <c r="E1805" t="s">
        <v>36</v>
      </c>
      <c r="F1805" t="s">
        <v>47</v>
      </c>
      <c r="G1805">
        <v>12.51</v>
      </c>
      <c r="H1805">
        <v>1.67</v>
      </c>
      <c r="I1805">
        <v>5.42</v>
      </c>
      <c r="J1805">
        <v>29.3764</v>
      </c>
      <c r="K1805" t="str">
        <f>IFERROR(INDEX(Rosters!$C$2:$C$155,MATCH($B1805,Rosters!$B$2:$B$155,0)),"NA")</f>
        <v>comp</v>
      </c>
      <c r="L1805" t="str">
        <f t="shared" si="84"/>
        <v>comp9RB</v>
      </c>
      <c r="M1805">
        <f>COUNTIF(L$1:L1805,L1805)</f>
        <v>3</v>
      </c>
      <c r="N1805" t="str">
        <f t="shared" si="85"/>
        <v>comp9RB-3</v>
      </c>
      <c r="O1805">
        <f>COUNTIFS(F$1:F1805,F1805,A$1:A1805,A1805)</f>
        <v>30</v>
      </c>
      <c r="P1805" t="str">
        <f t="shared" si="86"/>
        <v>Royce Freeman9</v>
      </c>
    </row>
    <row r="1806" spans="1:16" x14ac:dyDescent="0.25">
      <c r="A1806">
        <v>1</v>
      </c>
      <c r="B1806" t="s">
        <v>109</v>
      </c>
      <c r="C1806" t="s">
        <v>1695</v>
      </c>
      <c r="D1806">
        <v>7.09</v>
      </c>
      <c r="E1806" t="s">
        <v>72</v>
      </c>
      <c r="F1806" t="s">
        <v>47</v>
      </c>
      <c r="G1806">
        <v>12.96</v>
      </c>
      <c r="H1806">
        <v>1.22</v>
      </c>
      <c r="I1806">
        <v>5.87</v>
      </c>
      <c r="J1806">
        <v>34.456899999999997</v>
      </c>
      <c r="K1806" t="str">
        <f>IFERROR(INDEX(Rosters!$C$2:$C$155,MATCH($B1806,Rosters!$B$2:$B$155,0)),"NA")</f>
        <v>seth</v>
      </c>
      <c r="L1806" t="str">
        <f t="shared" si="84"/>
        <v>seth1RB</v>
      </c>
      <c r="M1806">
        <f>COUNTIF(L$1:L1806,L1806)</f>
        <v>4</v>
      </c>
      <c r="N1806" t="str">
        <f t="shared" si="85"/>
        <v>seth1RB-4</v>
      </c>
      <c r="O1806">
        <f>COUNTIFS(F$1:F1806,F1806,A$1:A1806,A1806)</f>
        <v>31</v>
      </c>
      <c r="P1806" t="str">
        <f t="shared" si="86"/>
        <v>Ty Montgomery1</v>
      </c>
    </row>
    <row r="1807" spans="1:16" x14ac:dyDescent="0.25">
      <c r="A1807">
        <v>14</v>
      </c>
      <c r="B1807" t="s">
        <v>1419</v>
      </c>
      <c r="C1807" t="s">
        <v>7016</v>
      </c>
      <c r="D1807">
        <v>7.08</v>
      </c>
      <c r="E1807" t="s">
        <v>74</v>
      </c>
      <c r="F1807" t="s">
        <v>87</v>
      </c>
      <c r="G1807">
        <v>13.04</v>
      </c>
      <c r="H1807">
        <v>1.1200000000000001</v>
      </c>
      <c r="I1807">
        <v>5.96</v>
      </c>
      <c r="J1807">
        <v>35.521599999999999</v>
      </c>
      <c r="K1807" t="str">
        <f>IFERROR(INDEX(Rosters!$C$2:$C$155,MATCH($B1807,Rosters!$B$2:$B$155,0)),"NA")</f>
        <v>chad</v>
      </c>
      <c r="L1807" t="str">
        <f t="shared" si="84"/>
        <v>chad14WR</v>
      </c>
      <c r="M1807">
        <f>COUNTIF(L$1:L1807,L1807)</f>
        <v>5</v>
      </c>
      <c r="N1807" t="str">
        <f t="shared" si="85"/>
        <v>chad14WR-5</v>
      </c>
      <c r="O1807">
        <f>COUNTIFS(F$1:F1807,F1807,A$1:A1807,A1807)</f>
        <v>42</v>
      </c>
      <c r="P1807" t="str">
        <f t="shared" si="86"/>
        <v>Antonio Callaway14</v>
      </c>
    </row>
    <row r="1808" spans="1:16" x14ac:dyDescent="0.25">
      <c r="A1808">
        <v>8</v>
      </c>
      <c r="B1808" t="s">
        <v>834</v>
      </c>
      <c r="C1808" t="s">
        <v>7017</v>
      </c>
      <c r="D1808">
        <v>7.08</v>
      </c>
      <c r="E1808" t="s">
        <v>34</v>
      </c>
      <c r="F1808" t="s">
        <v>47</v>
      </c>
      <c r="G1808">
        <v>13.1</v>
      </c>
      <c r="H1808">
        <v>1.06</v>
      </c>
      <c r="I1808">
        <v>6.02</v>
      </c>
      <c r="J1808">
        <v>36.240400000000001</v>
      </c>
      <c r="K1808" t="str">
        <f>IFERROR(INDEX(Rosters!$C$2:$C$155,MATCH($B1808,Rosters!$B$2:$B$155,0)),"NA")</f>
        <v>lucas</v>
      </c>
      <c r="L1808" t="str">
        <f t="shared" si="84"/>
        <v>lucas8RB</v>
      </c>
      <c r="M1808">
        <f>COUNTIF(L$1:L1808,L1808)</f>
        <v>3</v>
      </c>
      <c r="N1808" t="str">
        <f t="shared" si="85"/>
        <v>lucas8RB-3</v>
      </c>
      <c r="O1808">
        <f>COUNTIFS(F$1:F1808,F1808,A$1:A1808,A1808)</f>
        <v>28</v>
      </c>
      <c r="P1808" t="str">
        <f t="shared" si="86"/>
        <v>Chris Carson8</v>
      </c>
    </row>
    <row r="1809" spans="1:16" x14ac:dyDescent="0.25">
      <c r="A1809">
        <v>9</v>
      </c>
      <c r="B1809" t="s">
        <v>1158</v>
      </c>
      <c r="C1809" t="s">
        <v>7018</v>
      </c>
      <c r="D1809">
        <v>7.08</v>
      </c>
      <c r="E1809" t="s">
        <v>41</v>
      </c>
      <c r="F1809" t="s">
        <v>87</v>
      </c>
      <c r="G1809">
        <v>13.85</v>
      </c>
      <c r="H1809">
        <v>0.31</v>
      </c>
      <c r="I1809">
        <v>6.77</v>
      </c>
      <c r="J1809">
        <v>45.832900000000002</v>
      </c>
      <c r="K1809" t="str">
        <f>IFERROR(INDEX(Rosters!$C$2:$C$155,MATCH($B1809,Rosters!$B$2:$B$155,0)),"NA")</f>
        <v>chad</v>
      </c>
      <c r="L1809" t="str">
        <f t="shared" si="84"/>
        <v>chad9WR</v>
      </c>
      <c r="M1809">
        <f>COUNTIF(L$1:L1809,L1809)</f>
        <v>6</v>
      </c>
      <c r="N1809" t="str">
        <f t="shared" si="85"/>
        <v>chad9WR-6</v>
      </c>
      <c r="O1809">
        <f>COUNTIFS(F$1:F1809,F1809,A$1:A1809,A1809)</f>
        <v>39</v>
      </c>
      <c r="P1809" t="str">
        <f t="shared" si="86"/>
        <v>Josh Gordon9</v>
      </c>
    </row>
    <row r="1810" spans="1:16" x14ac:dyDescent="0.25">
      <c r="A1810">
        <v>17</v>
      </c>
      <c r="B1810" t="s">
        <v>1346</v>
      </c>
      <c r="C1810" t="s">
        <v>7019</v>
      </c>
      <c r="D1810">
        <v>7.08</v>
      </c>
      <c r="E1810" t="s">
        <v>37</v>
      </c>
      <c r="F1810" t="s">
        <v>47</v>
      </c>
      <c r="G1810">
        <v>13.03</v>
      </c>
      <c r="H1810">
        <v>1.1299999999999999</v>
      </c>
      <c r="I1810">
        <v>5.95</v>
      </c>
      <c r="J1810">
        <v>35.402500000000003</v>
      </c>
      <c r="K1810" t="str">
        <f>IFERROR(INDEX(Rosters!$C$2:$C$155,MATCH($B1810,Rosters!$B$2:$B$155,0)),"NA")</f>
        <v>comp</v>
      </c>
      <c r="L1810" t="str">
        <f t="shared" si="84"/>
        <v>comp17RB</v>
      </c>
      <c r="M1810">
        <f>COUNTIF(L$1:L1810,L1810)</f>
        <v>3</v>
      </c>
      <c r="N1810" t="str">
        <f t="shared" si="85"/>
        <v>comp17RB-3</v>
      </c>
      <c r="O1810">
        <f>COUNTIFS(F$1:F1810,F1810,A$1:A1810,A1810)</f>
        <v>35</v>
      </c>
      <c r="P1810" t="str">
        <f t="shared" si="86"/>
        <v>Royce Freeman17</v>
      </c>
    </row>
    <row r="1811" spans="1:16" x14ac:dyDescent="0.25">
      <c r="A1811">
        <v>17</v>
      </c>
      <c r="B1811" t="s">
        <v>245</v>
      </c>
      <c r="C1811" t="s">
        <v>7020</v>
      </c>
      <c r="D1811">
        <v>7.07</v>
      </c>
      <c r="E1811" t="s">
        <v>36</v>
      </c>
      <c r="F1811" t="s">
        <v>47</v>
      </c>
      <c r="G1811">
        <v>12.67</v>
      </c>
      <c r="H1811">
        <v>1.47</v>
      </c>
      <c r="I1811">
        <v>5.6</v>
      </c>
      <c r="J1811">
        <v>31.36</v>
      </c>
      <c r="K1811" t="str">
        <f>IFERROR(INDEX(Rosters!$C$2:$C$155,MATCH($B1811,Rosters!$B$2:$B$155,0)),"NA")</f>
        <v>seth</v>
      </c>
      <c r="L1811" t="str">
        <f t="shared" si="84"/>
        <v>seth17RB</v>
      </c>
      <c r="M1811">
        <f>COUNTIF(L$1:L1811,L1811)</f>
        <v>3</v>
      </c>
      <c r="N1811" t="str">
        <f t="shared" si="85"/>
        <v>seth17RB-3</v>
      </c>
      <c r="O1811">
        <f>COUNTIFS(F$1:F1811,F1811,A$1:A1811,A1811)</f>
        <v>36</v>
      </c>
      <c r="P1811" t="str">
        <f t="shared" si="86"/>
        <v>T.J. Yeldon17</v>
      </c>
    </row>
    <row r="1812" spans="1:16" x14ac:dyDescent="0.25">
      <c r="A1812">
        <v>12</v>
      </c>
      <c r="B1812" t="s">
        <v>180</v>
      </c>
      <c r="C1812" t="s">
        <v>7021</v>
      </c>
      <c r="D1812">
        <v>7.07</v>
      </c>
      <c r="E1812" t="s">
        <v>74</v>
      </c>
      <c r="F1812" t="s">
        <v>87</v>
      </c>
      <c r="G1812">
        <v>12.95</v>
      </c>
      <c r="H1812">
        <v>1.19</v>
      </c>
      <c r="I1812">
        <v>5.88</v>
      </c>
      <c r="J1812">
        <v>34.574399999999997</v>
      </c>
      <c r="K1812" t="str">
        <f>IFERROR(INDEX(Rosters!$C$2:$C$155,MATCH($B1812,Rosters!$B$2:$B$155,0)),"NA")</f>
        <v>NA</v>
      </c>
      <c r="L1812" t="str">
        <f t="shared" si="84"/>
        <v>NA12WR</v>
      </c>
      <c r="M1812">
        <f>COUNTIF(L$1:L1812,L1812)</f>
        <v>4</v>
      </c>
      <c r="N1812" t="str">
        <f t="shared" si="85"/>
        <v>NA12WR-4</v>
      </c>
      <c r="O1812">
        <f>COUNTIFS(F$1:F1812,F1812,A$1:A1812,A1812)</f>
        <v>42</v>
      </c>
      <c r="P1812" t="str">
        <f t="shared" si="86"/>
        <v>Tyler Lockett12</v>
      </c>
    </row>
    <row r="1813" spans="1:16" x14ac:dyDescent="0.25">
      <c r="A1813">
        <v>3</v>
      </c>
      <c r="B1813" t="s">
        <v>255</v>
      </c>
      <c r="C1813" t="s">
        <v>4202</v>
      </c>
      <c r="D1813">
        <v>7.06</v>
      </c>
      <c r="E1813" t="s">
        <v>24</v>
      </c>
      <c r="F1813" t="s">
        <v>87</v>
      </c>
      <c r="G1813">
        <v>12.88</v>
      </c>
      <c r="H1813">
        <v>1.24</v>
      </c>
      <c r="I1813">
        <v>5.82</v>
      </c>
      <c r="J1813">
        <v>33.872399999999999</v>
      </c>
      <c r="K1813" t="str">
        <f>IFERROR(INDEX(Rosters!$C$2:$C$155,MATCH($B1813,Rosters!$B$2:$B$155,0)),"NA")</f>
        <v>NA</v>
      </c>
      <c r="L1813" t="str">
        <f t="shared" si="84"/>
        <v>NA3WR</v>
      </c>
      <c r="M1813">
        <f>COUNTIF(L$1:L1813,L1813)</f>
        <v>1</v>
      </c>
      <c r="N1813" t="str">
        <f t="shared" si="85"/>
        <v>NA3WR-1</v>
      </c>
      <c r="O1813">
        <f>COUNTIFS(F$1:F1813,F1813,A$1:A1813,A1813)</f>
        <v>37</v>
      </c>
      <c r="P1813" t="str">
        <f t="shared" si="86"/>
        <v>Marquise Goodwin3</v>
      </c>
    </row>
    <row r="1814" spans="1:16" x14ac:dyDescent="0.25">
      <c r="A1814">
        <v>5</v>
      </c>
      <c r="B1814" t="s">
        <v>203</v>
      </c>
      <c r="C1814" t="s">
        <v>7022</v>
      </c>
      <c r="D1814">
        <v>7.06</v>
      </c>
      <c r="E1814" t="s">
        <v>42</v>
      </c>
      <c r="F1814" t="s">
        <v>87</v>
      </c>
      <c r="G1814">
        <v>12.04</v>
      </c>
      <c r="H1814">
        <v>2.08</v>
      </c>
      <c r="I1814">
        <v>4.9800000000000004</v>
      </c>
      <c r="J1814">
        <v>24.8004</v>
      </c>
      <c r="K1814" t="str">
        <f>IFERROR(INDEX(Rosters!$C$2:$C$155,MATCH($B1814,Rosters!$B$2:$B$155,0)),"NA")</f>
        <v>NA</v>
      </c>
      <c r="L1814" t="str">
        <f t="shared" si="84"/>
        <v>NA5WR</v>
      </c>
      <c r="M1814">
        <f>COUNTIF(L$1:L1814,L1814)</f>
        <v>1</v>
      </c>
      <c r="N1814" t="str">
        <f t="shared" si="85"/>
        <v>NA5WR-1</v>
      </c>
      <c r="O1814">
        <f>COUNTIFS(F$1:F1814,F1814,A$1:A1814,A1814)</f>
        <v>39</v>
      </c>
      <c r="P1814" t="str">
        <f t="shared" si="86"/>
        <v>Robby Anderson5</v>
      </c>
    </row>
    <row r="1815" spans="1:16" x14ac:dyDescent="0.25">
      <c r="A1815">
        <v>17</v>
      </c>
      <c r="B1815" t="s">
        <v>212</v>
      </c>
      <c r="C1815" t="s">
        <v>7023</v>
      </c>
      <c r="D1815">
        <v>7.05</v>
      </c>
      <c r="E1815" t="s">
        <v>56</v>
      </c>
      <c r="F1815" t="s">
        <v>47</v>
      </c>
      <c r="G1815">
        <v>12.49</v>
      </c>
      <c r="H1815">
        <v>1.61</v>
      </c>
      <c r="I1815">
        <v>5.44</v>
      </c>
      <c r="J1815">
        <v>29.593599999999999</v>
      </c>
      <c r="K1815" t="str">
        <f>IFERROR(INDEX(Rosters!$C$2:$C$155,MATCH($B1815,Rosters!$B$2:$B$155,0)),"NA")</f>
        <v>seth</v>
      </c>
      <c r="L1815" t="str">
        <f t="shared" si="84"/>
        <v>seth17RB</v>
      </c>
      <c r="M1815">
        <f>COUNTIF(L$1:L1815,L1815)</f>
        <v>4</v>
      </c>
      <c r="N1815" t="str">
        <f t="shared" si="85"/>
        <v>seth17RB-4</v>
      </c>
      <c r="O1815">
        <f>COUNTIFS(F$1:F1815,F1815,A$1:A1815,A1815)</f>
        <v>37</v>
      </c>
      <c r="P1815" t="str">
        <f t="shared" si="86"/>
        <v>Alfred Morris17</v>
      </c>
    </row>
    <row r="1816" spans="1:16" x14ac:dyDescent="0.25">
      <c r="A1816">
        <v>16</v>
      </c>
      <c r="B1816" t="s">
        <v>118</v>
      </c>
      <c r="C1816" t="s">
        <v>7024</v>
      </c>
      <c r="D1816">
        <v>7.05</v>
      </c>
      <c r="E1816" t="s">
        <v>38</v>
      </c>
      <c r="F1816" t="s">
        <v>114</v>
      </c>
      <c r="G1816">
        <v>14.06</v>
      </c>
      <c r="H1816">
        <v>0.04</v>
      </c>
      <c r="I1816">
        <v>7.01</v>
      </c>
      <c r="J1816">
        <v>49.140099999999997</v>
      </c>
      <c r="K1816" t="str">
        <f>IFERROR(INDEX(Rosters!$C$2:$C$155,MATCH($B1816,Rosters!$B$2:$B$155,0)),"NA")</f>
        <v>matty</v>
      </c>
      <c r="L1816" t="str">
        <f t="shared" si="84"/>
        <v>matty16TE</v>
      </c>
      <c r="M1816">
        <f>COUNTIF(L$1:L1816,L1816)</f>
        <v>1</v>
      </c>
      <c r="N1816" t="str">
        <f t="shared" si="85"/>
        <v>matty16TE-1</v>
      </c>
      <c r="O1816">
        <f>COUNTIFS(F$1:F1816,F1816,A$1:A1816,A1816)</f>
        <v>6</v>
      </c>
      <c r="P1816" t="str">
        <f t="shared" si="86"/>
        <v>Jordan Reed16</v>
      </c>
    </row>
    <row r="1817" spans="1:16" x14ac:dyDescent="0.25">
      <c r="A1817">
        <v>12</v>
      </c>
      <c r="B1817" t="s">
        <v>98</v>
      </c>
      <c r="C1817" t="s">
        <v>7025</v>
      </c>
      <c r="D1817">
        <v>7.05</v>
      </c>
      <c r="E1817" t="s">
        <v>77</v>
      </c>
      <c r="F1817" t="s">
        <v>87</v>
      </c>
      <c r="G1817">
        <v>12.77</v>
      </c>
      <c r="H1817">
        <v>1.33</v>
      </c>
      <c r="I1817">
        <v>5.72</v>
      </c>
      <c r="J1817">
        <v>32.718400000000003</v>
      </c>
      <c r="K1817" t="str">
        <f>IFERROR(INDEX(Rosters!$C$2:$C$155,MATCH($B1817,Rosters!$B$2:$B$155,0)),"NA")</f>
        <v>seth</v>
      </c>
      <c r="L1817" t="str">
        <f t="shared" si="84"/>
        <v>seth12WR</v>
      </c>
      <c r="M1817">
        <f>COUNTIF(L$1:L1817,L1817)</f>
        <v>5</v>
      </c>
      <c r="N1817" t="str">
        <f t="shared" si="85"/>
        <v>seth12WR-5</v>
      </c>
      <c r="O1817">
        <f>COUNTIFS(F$1:F1817,F1817,A$1:A1817,A1817)</f>
        <v>43</v>
      </c>
      <c r="P1817" t="str">
        <f t="shared" si="86"/>
        <v>Jordy Nelson12</v>
      </c>
    </row>
    <row r="1818" spans="1:16" x14ac:dyDescent="0.25">
      <c r="A1818">
        <v>6</v>
      </c>
      <c r="B1818" t="s">
        <v>203</v>
      </c>
      <c r="C1818" t="s">
        <v>7026</v>
      </c>
      <c r="D1818">
        <v>7.05</v>
      </c>
      <c r="E1818" t="s">
        <v>66</v>
      </c>
      <c r="F1818" t="s">
        <v>87</v>
      </c>
      <c r="G1818">
        <v>12.03</v>
      </c>
      <c r="H1818">
        <v>2.0699999999999998</v>
      </c>
      <c r="I1818">
        <v>4.9800000000000004</v>
      </c>
      <c r="J1818">
        <v>24.8004</v>
      </c>
      <c r="K1818" t="str">
        <f>IFERROR(INDEX(Rosters!$C$2:$C$155,MATCH($B1818,Rosters!$B$2:$B$155,0)),"NA")</f>
        <v>NA</v>
      </c>
      <c r="L1818" t="str">
        <f t="shared" si="84"/>
        <v>NA6WR</v>
      </c>
      <c r="M1818">
        <f>COUNTIF(L$1:L1818,L1818)</f>
        <v>1</v>
      </c>
      <c r="N1818" t="str">
        <f t="shared" si="85"/>
        <v>NA6WR-1</v>
      </c>
      <c r="O1818">
        <f>COUNTIFS(F$1:F1818,F1818,A$1:A1818,A1818)</f>
        <v>38</v>
      </c>
      <c r="P1818" t="str">
        <f t="shared" si="86"/>
        <v>Robby Anderson6</v>
      </c>
    </row>
    <row r="1819" spans="1:16" x14ac:dyDescent="0.25">
      <c r="A1819">
        <v>13</v>
      </c>
      <c r="B1819" t="s">
        <v>1373</v>
      </c>
      <c r="C1819" t="s">
        <v>7027</v>
      </c>
      <c r="D1819">
        <v>7.04</v>
      </c>
      <c r="E1819" t="s">
        <v>51</v>
      </c>
      <c r="F1819" t="s">
        <v>47</v>
      </c>
      <c r="G1819">
        <v>12.87</v>
      </c>
      <c r="H1819">
        <v>1.21</v>
      </c>
      <c r="I1819">
        <v>5.83</v>
      </c>
      <c r="J1819">
        <v>33.988900000000001</v>
      </c>
      <c r="K1819" t="str">
        <f>IFERROR(INDEX(Rosters!$C$2:$C$155,MATCH($B1819,Rosters!$B$2:$B$155,0)),"NA")</f>
        <v>matty</v>
      </c>
      <c r="L1819" t="str">
        <f t="shared" si="84"/>
        <v>matty13RB</v>
      </c>
      <c r="M1819">
        <f>COUNTIF(L$1:L1819,L1819)</f>
        <v>4</v>
      </c>
      <c r="N1819" t="str">
        <f t="shared" si="85"/>
        <v>matty13RB-4</v>
      </c>
      <c r="O1819">
        <f>COUNTIFS(F$1:F1819,F1819,A$1:A1819,A1819)</f>
        <v>36</v>
      </c>
      <c r="P1819" t="str">
        <f t="shared" si="86"/>
        <v>Austin Ekeler13</v>
      </c>
    </row>
    <row r="1820" spans="1:16" x14ac:dyDescent="0.25">
      <c r="A1820">
        <v>4</v>
      </c>
      <c r="B1820" t="s">
        <v>128</v>
      </c>
      <c r="C1820" t="s">
        <v>4492</v>
      </c>
      <c r="D1820">
        <v>7.04</v>
      </c>
      <c r="E1820" t="s">
        <v>423</v>
      </c>
      <c r="F1820" t="s">
        <v>47</v>
      </c>
      <c r="G1820">
        <v>11.92</v>
      </c>
      <c r="H1820">
        <v>2.16</v>
      </c>
      <c r="I1820">
        <v>4.88</v>
      </c>
      <c r="J1820">
        <v>23.814399999999999</v>
      </c>
      <c r="K1820" t="str">
        <f>IFERROR(INDEX(Rosters!$C$2:$C$155,MATCH($B1820,Rosters!$B$2:$B$155,0)),"NA")</f>
        <v>NA</v>
      </c>
      <c r="L1820" t="str">
        <f t="shared" si="84"/>
        <v>NA4RB</v>
      </c>
      <c r="M1820">
        <f>COUNTIF(L$1:L1820,L1820)</f>
        <v>4</v>
      </c>
      <c r="N1820" t="str">
        <f t="shared" si="85"/>
        <v>NA4RB-4</v>
      </c>
      <c r="O1820">
        <f>COUNTIFS(F$1:F1820,F1820,A$1:A1820,A1820)</f>
        <v>29</v>
      </c>
      <c r="P1820" t="str">
        <f t="shared" si="86"/>
        <v>Frank Gore4</v>
      </c>
    </row>
    <row r="1821" spans="1:16" x14ac:dyDescent="0.25">
      <c r="A1821">
        <v>4</v>
      </c>
      <c r="B1821" t="s">
        <v>98</v>
      </c>
      <c r="C1821" t="s">
        <v>4493</v>
      </c>
      <c r="D1821">
        <v>7.03</v>
      </c>
      <c r="E1821" t="s">
        <v>52</v>
      </c>
      <c r="F1821" t="s">
        <v>87</v>
      </c>
      <c r="G1821">
        <v>12.05</v>
      </c>
      <c r="H1821">
        <v>2.0099999999999998</v>
      </c>
      <c r="I1821">
        <v>5.0199999999999996</v>
      </c>
      <c r="J1821">
        <v>25.200399999999998</v>
      </c>
      <c r="K1821" t="str">
        <f>IFERROR(INDEX(Rosters!$C$2:$C$155,MATCH($B1821,Rosters!$B$2:$B$155,0)),"NA")</f>
        <v>seth</v>
      </c>
      <c r="L1821" t="str">
        <f t="shared" si="84"/>
        <v>seth4WR</v>
      </c>
      <c r="M1821">
        <f>COUNTIF(L$1:L1821,L1821)</f>
        <v>4</v>
      </c>
      <c r="N1821" t="str">
        <f t="shared" si="85"/>
        <v>seth4WR-4</v>
      </c>
      <c r="O1821">
        <f>COUNTIFS(F$1:F1821,F1821,A$1:A1821,A1821)</f>
        <v>40</v>
      </c>
      <c r="P1821" t="str">
        <f t="shared" si="86"/>
        <v>Jordy Nelson4</v>
      </c>
    </row>
    <row r="1822" spans="1:16" x14ac:dyDescent="0.25">
      <c r="A1822">
        <v>12</v>
      </c>
      <c r="B1822" t="s">
        <v>1326</v>
      </c>
      <c r="C1822" t="s">
        <v>7028</v>
      </c>
      <c r="D1822">
        <v>7.03</v>
      </c>
      <c r="E1822" t="s">
        <v>72</v>
      </c>
      <c r="F1822" t="s">
        <v>47</v>
      </c>
      <c r="G1822">
        <v>12.76</v>
      </c>
      <c r="H1822">
        <v>1.3</v>
      </c>
      <c r="I1822">
        <v>5.73</v>
      </c>
      <c r="J1822">
        <v>32.832900000000002</v>
      </c>
      <c r="K1822" t="str">
        <f>IFERROR(INDEX(Rosters!$C$2:$C$155,MATCH($B1822,Rosters!$B$2:$B$155,0)),"NA")</f>
        <v>devon</v>
      </c>
      <c r="L1822" t="str">
        <f t="shared" si="84"/>
        <v>devon12RB</v>
      </c>
      <c r="M1822">
        <f>COUNTIF(L$1:L1822,L1822)</f>
        <v>5</v>
      </c>
      <c r="N1822" t="str">
        <f t="shared" si="85"/>
        <v>devon12RB-5</v>
      </c>
      <c r="O1822">
        <f>COUNTIFS(F$1:F1822,F1822,A$1:A1822,A1822)</f>
        <v>31</v>
      </c>
      <c r="P1822" t="str">
        <f t="shared" si="86"/>
        <v>Kerryon Johnson12</v>
      </c>
    </row>
    <row r="1823" spans="1:16" x14ac:dyDescent="0.25">
      <c r="A1823">
        <v>8</v>
      </c>
      <c r="B1823" t="s">
        <v>1158</v>
      </c>
      <c r="C1823" t="s">
        <v>7029</v>
      </c>
      <c r="D1823">
        <v>7.02</v>
      </c>
      <c r="E1823" t="s">
        <v>29</v>
      </c>
      <c r="F1823" t="s">
        <v>87</v>
      </c>
      <c r="G1823">
        <v>13.64</v>
      </c>
      <c r="H1823">
        <v>0.4</v>
      </c>
      <c r="I1823">
        <v>6.62</v>
      </c>
      <c r="J1823">
        <v>43.824399999999997</v>
      </c>
      <c r="K1823" t="str">
        <f>IFERROR(INDEX(Rosters!$C$2:$C$155,MATCH($B1823,Rosters!$B$2:$B$155,0)),"NA")</f>
        <v>chad</v>
      </c>
      <c r="L1823" t="str">
        <f t="shared" si="84"/>
        <v>chad8WR</v>
      </c>
      <c r="M1823">
        <f>COUNTIF(L$1:L1823,L1823)</f>
        <v>5</v>
      </c>
      <c r="N1823" t="str">
        <f t="shared" si="85"/>
        <v>chad8WR-5</v>
      </c>
      <c r="O1823">
        <f>COUNTIFS(F$1:F1823,F1823,A$1:A1823,A1823)</f>
        <v>41</v>
      </c>
      <c r="P1823" t="str">
        <f t="shared" si="86"/>
        <v>Josh Gordon8</v>
      </c>
    </row>
    <row r="1824" spans="1:16" x14ac:dyDescent="0.25">
      <c r="A1824">
        <v>11</v>
      </c>
      <c r="B1824" t="s">
        <v>285</v>
      </c>
      <c r="C1824" t="s">
        <v>7030</v>
      </c>
      <c r="D1824">
        <v>7.02</v>
      </c>
      <c r="E1824" t="s">
        <v>25</v>
      </c>
      <c r="F1824" t="s">
        <v>47</v>
      </c>
      <c r="G1824">
        <v>11.25</v>
      </c>
      <c r="H1824">
        <v>2.79</v>
      </c>
      <c r="I1824">
        <v>4.2300000000000004</v>
      </c>
      <c r="J1824">
        <v>17.892900000000001</v>
      </c>
      <c r="K1824" t="str">
        <f>IFERROR(INDEX(Rosters!$C$2:$C$155,MATCH($B1824,Rosters!$B$2:$B$155,0)),"NA")</f>
        <v>NA</v>
      </c>
      <c r="L1824" t="str">
        <f t="shared" si="84"/>
        <v>NA11RB</v>
      </c>
      <c r="M1824">
        <f>COUNTIF(L$1:L1824,L1824)</f>
        <v>1</v>
      </c>
      <c r="N1824" t="str">
        <f t="shared" si="85"/>
        <v>NA11RB-1</v>
      </c>
      <c r="O1824">
        <f>COUNTIFS(F$1:F1824,F1824,A$1:A1824,A1824)</f>
        <v>29</v>
      </c>
      <c r="P1824" t="str">
        <f t="shared" si="86"/>
        <v>Tarik Cohen11</v>
      </c>
    </row>
    <row r="1825" spans="1:16" x14ac:dyDescent="0.25">
      <c r="A1825">
        <v>10</v>
      </c>
      <c r="B1825" t="s">
        <v>1373</v>
      </c>
      <c r="C1825" t="s">
        <v>4494</v>
      </c>
      <c r="D1825">
        <v>7.01</v>
      </c>
      <c r="E1825" t="s">
        <v>32</v>
      </c>
      <c r="F1825" t="s">
        <v>47</v>
      </c>
      <c r="G1825">
        <v>12.33</v>
      </c>
      <c r="H1825">
        <v>1.69</v>
      </c>
      <c r="I1825">
        <v>5.32</v>
      </c>
      <c r="J1825">
        <v>28.302399999999999</v>
      </c>
      <c r="K1825" t="str">
        <f>IFERROR(INDEX(Rosters!$C$2:$C$155,MATCH($B1825,Rosters!$B$2:$B$155,0)),"NA")</f>
        <v>matty</v>
      </c>
      <c r="L1825" t="str">
        <f t="shared" si="84"/>
        <v>matty10RB</v>
      </c>
      <c r="M1825">
        <f>COUNTIF(L$1:L1825,L1825)</f>
        <v>4</v>
      </c>
      <c r="N1825" t="str">
        <f t="shared" si="85"/>
        <v>matty10RB-4</v>
      </c>
      <c r="O1825">
        <f>COUNTIFS(F$1:F1825,F1825,A$1:A1825,A1825)</f>
        <v>31</v>
      </c>
      <c r="P1825" t="str">
        <f t="shared" si="86"/>
        <v>Austin Ekeler10</v>
      </c>
    </row>
    <row r="1826" spans="1:16" x14ac:dyDescent="0.25">
      <c r="A1826">
        <v>12</v>
      </c>
      <c r="B1826" t="s">
        <v>81</v>
      </c>
      <c r="C1826" t="s">
        <v>7031</v>
      </c>
      <c r="D1826">
        <v>7.01</v>
      </c>
      <c r="E1826" t="s">
        <v>76</v>
      </c>
      <c r="F1826" t="s">
        <v>47</v>
      </c>
      <c r="G1826">
        <v>11.83</v>
      </c>
      <c r="H1826">
        <v>2.19</v>
      </c>
      <c r="I1826">
        <v>4.82</v>
      </c>
      <c r="J1826">
        <v>23.232399999999998</v>
      </c>
      <c r="K1826" t="str">
        <f>IFERROR(INDEX(Rosters!$C$2:$C$155,MATCH($B1826,Rosters!$B$2:$B$155,0)),"NA")</f>
        <v>aj</v>
      </c>
      <c r="L1826" t="str">
        <f t="shared" si="84"/>
        <v>aj12RB</v>
      </c>
      <c r="M1826">
        <f>COUNTIF(L$1:L1826,L1826)</f>
        <v>4</v>
      </c>
      <c r="N1826" t="str">
        <f t="shared" si="85"/>
        <v>aj12RB-4</v>
      </c>
      <c r="O1826">
        <f>COUNTIFS(F$1:F1826,F1826,A$1:A1826,A1826)</f>
        <v>32</v>
      </c>
      <c r="P1826" t="str">
        <f t="shared" si="86"/>
        <v>LeSean McCoy12</v>
      </c>
    </row>
    <row r="1827" spans="1:16" x14ac:dyDescent="0.25">
      <c r="A1827">
        <v>8</v>
      </c>
      <c r="B1827" t="s">
        <v>355</v>
      </c>
      <c r="C1827" t="s">
        <v>7032</v>
      </c>
      <c r="D1827">
        <v>7.01</v>
      </c>
      <c r="E1827" t="s">
        <v>31</v>
      </c>
      <c r="F1827" t="s">
        <v>47</v>
      </c>
      <c r="G1827">
        <v>12.18</v>
      </c>
      <c r="H1827">
        <v>1.84</v>
      </c>
      <c r="I1827">
        <v>5.17</v>
      </c>
      <c r="J1827">
        <v>26.728899999999999</v>
      </c>
      <c r="K1827" t="str">
        <f>IFERROR(INDEX(Rosters!$C$2:$C$155,MATCH($B1827,Rosters!$B$2:$B$155,0)),"NA")</f>
        <v>devon</v>
      </c>
      <c r="L1827" t="str">
        <f t="shared" si="84"/>
        <v>devon8RB</v>
      </c>
      <c r="M1827">
        <f>COUNTIF(L$1:L1827,L1827)</f>
        <v>4</v>
      </c>
      <c r="N1827" t="str">
        <f t="shared" si="85"/>
        <v>devon8RB-4</v>
      </c>
      <c r="O1827">
        <f>COUNTIFS(F$1:F1827,F1827,A$1:A1827,A1827)</f>
        <v>29</v>
      </c>
      <c r="P1827" t="str">
        <f t="shared" si="86"/>
        <v>Peyton Barber8</v>
      </c>
    </row>
    <row r="1828" spans="1:16" x14ac:dyDescent="0.25">
      <c r="A1828">
        <v>14</v>
      </c>
      <c r="B1828" t="s">
        <v>125</v>
      </c>
      <c r="C1828" t="s">
        <v>7033</v>
      </c>
      <c r="D1828">
        <v>7</v>
      </c>
      <c r="E1828" t="s">
        <v>77</v>
      </c>
      <c r="F1828" t="s">
        <v>87</v>
      </c>
      <c r="G1828">
        <v>12.99</v>
      </c>
      <c r="H1828">
        <v>1.01</v>
      </c>
      <c r="I1828">
        <v>5.99</v>
      </c>
      <c r="J1828">
        <v>35.880099999999999</v>
      </c>
      <c r="K1828" t="str">
        <f>IFERROR(INDEX(Rosters!$C$2:$C$155,MATCH($B1828,Rosters!$B$2:$B$155,0)),"NA")</f>
        <v>scott</v>
      </c>
      <c r="L1828" t="str">
        <f t="shared" si="84"/>
        <v>scott14WR</v>
      </c>
      <c r="M1828">
        <f>COUNTIF(L$1:L1828,L1828)</f>
        <v>4</v>
      </c>
      <c r="N1828" t="str">
        <f t="shared" si="85"/>
        <v>scott14WR-4</v>
      </c>
      <c r="O1828">
        <f>COUNTIFS(F$1:F1828,F1828,A$1:A1828,A1828)</f>
        <v>43</v>
      </c>
      <c r="P1828" t="str">
        <f t="shared" si="86"/>
        <v>Sammy Watkins14</v>
      </c>
    </row>
    <row r="1829" spans="1:16" x14ac:dyDescent="0.25">
      <c r="A1829">
        <v>16</v>
      </c>
      <c r="B1829" t="s">
        <v>208</v>
      </c>
      <c r="C1829" t="s">
        <v>7034</v>
      </c>
      <c r="D1829">
        <v>6.99</v>
      </c>
      <c r="E1829" t="s">
        <v>42</v>
      </c>
      <c r="F1829" t="s">
        <v>114</v>
      </c>
      <c r="G1829">
        <v>11.75</v>
      </c>
      <c r="H1829">
        <v>2.23</v>
      </c>
      <c r="I1829">
        <v>4.76</v>
      </c>
      <c r="J1829">
        <v>22.657599999999999</v>
      </c>
      <c r="K1829" t="str">
        <f>IFERROR(INDEX(Rosters!$C$2:$C$155,MATCH($B1829,Rosters!$B$2:$B$155,0)),"NA")</f>
        <v>chad</v>
      </c>
      <c r="L1829" t="str">
        <f t="shared" si="84"/>
        <v>chad16TE</v>
      </c>
      <c r="M1829">
        <f>COUNTIF(L$1:L1829,L1829)</f>
        <v>1</v>
      </c>
      <c r="N1829" t="str">
        <f t="shared" si="85"/>
        <v>chad16TE-1</v>
      </c>
      <c r="O1829">
        <f>COUNTIFS(F$1:F1829,F1829,A$1:A1829,A1829)</f>
        <v>7</v>
      </c>
      <c r="P1829" t="str">
        <f t="shared" si="86"/>
        <v>Jared Cook16</v>
      </c>
    </row>
    <row r="1830" spans="1:16" x14ac:dyDescent="0.25">
      <c r="A1830">
        <v>13</v>
      </c>
      <c r="B1830" t="s">
        <v>220</v>
      </c>
      <c r="C1830" t="s">
        <v>7035</v>
      </c>
      <c r="D1830">
        <v>6.99</v>
      </c>
      <c r="E1830" t="s">
        <v>29</v>
      </c>
      <c r="F1830" t="s">
        <v>87</v>
      </c>
      <c r="G1830">
        <v>12.24</v>
      </c>
      <c r="H1830">
        <v>1.74</v>
      </c>
      <c r="I1830">
        <v>5.25</v>
      </c>
      <c r="J1830">
        <v>27.5625</v>
      </c>
      <c r="K1830" t="str">
        <f>IFERROR(INDEX(Rosters!$C$2:$C$155,MATCH($B1830,Rosters!$B$2:$B$155,0)),"NA")</f>
        <v>comp</v>
      </c>
      <c r="L1830" t="str">
        <f t="shared" si="84"/>
        <v>comp13WR</v>
      </c>
      <c r="M1830">
        <f>COUNTIF(L$1:L1830,L1830)</f>
        <v>6</v>
      </c>
      <c r="N1830" t="str">
        <f t="shared" si="85"/>
        <v>comp13WR-6</v>
      </c>
      <c r="O1830">
        <f>COUNTIFS(F$1:F1830,F1830,A$1:A1830,A1830)</f>
        <v>44</v>
      </c>
      <c r="P1830" t="str">
        <f t="shared" si="86"/>
        <v>Kenny Stills13</v>
      </c>
    </row>
    <row r="1831" spans="1:16" x14ac:dyDescent="0.25">
      <c r="A1831">
        <v>16</v>
      </c>
      <c r="B1831" t="s">
        <v>355</v>
      </c>
      <c r="C1831" t="s">
        <v>7036</v>
      </c>
      <c r="D1831">
        <v>6.99</v>
      </c>
      <c r="E1831" t="s">
        <v>22</v>
      </c>
      <c r="F1831" t="s">
        <v>47</v>
      </c>
      <c r="G1831">
        <v>12.73</v>
      </c>
      <c r="H1831">
        <v>1.25</v>
      </c>
      <c r="I1831">
        <v>5.74</v>
      </c>
      <c r="J1831">
        <v>32.947600000000001</v>
      </c>
      <c r="K1831" t="str">
        <f>IFERROR(INDEX(Rosters!$C$2:$C$155,MATCH($B1831,Rosters!$B$2:$B$155,0)),"NA")</f>
        <v>devon</v>
      </c>
      <c r="L1831" t="str">
        <f t="shared" si="84"/>
        <v>devon16RB</v>
      </c>
      <c r="M1831">
        <f>COUNTIF(L$1:L1831,L1831)</f>
        <v>6</v>
      </c>
      <c r="N1831" t="str">
        <f t="shared" si="85"/>
        <v>devon16RB-6</v>
      </c>
      <c r="O1831">
        <f>COUNTIFS(F$1:F1831,F1831,A$1:A1831,A1831)</f>
        <v>35</v>
      </c>
      <c r="P1831" t="str">
        <f t="shared" si="86"/>
        <v>Peyton Barber16</v>
      </c>
    </row>
    <row r="1832" spans="1:16" x14ac:dyDescent="0.25">
      <c r="A1832">
        <v>11</v>
      </c>
      <c r="B1832" t="s">
        <v>137</v>
      </c>
      <c r="C1832" t="s">
        <v>7037</v>
      </c>
      <c r="D1832">
        <v>6.98</v>
      </c>
      <c r="E1832" t="s">
        <v>36</v>
      </c>
      <c r="F1832" t="s">
        <v>87</v>
      </c>
      <c r="G1832">
        <v>11.42</v>
      </c>
      <c r="H1832">
        <v>2.54</v>
      </c>
      <c r="I1832">
        <v>4.4400000000000004</v>
      </c>
      <c r="J1832">
        <v>19.7136</v>
      </c>
      <c r="K1832" t="str">
        <f>IFERROR(INDEX(Rosters!$C$2:$C$155,MATCH($B1832,Rosters!$B$2:$B$155,0)),"NA")</f>
        <v>lucas</v>
      </c>
      <c r="L1832" t="str">
        <f t="shared" si="84"/>
        <v>lucas11WR</v>
      </c>
      <c r="M1832">
        <f>COUNTIF(L$1:L1832,L1832)</f>
        <v>3</v>
      </c>
      <c r="N1832" t="str">
        <f t="shared" si="85"/>
        <v>lucas11WR-3</v>
      </c>
      <c r="O1832">
        <f>COUNTIFS(F$1:F1832,F1832,A$1:A1832,A1832)</f>
        <v>41</v>
      </c>
      <c r="P1832" t="str">
        <f t="shared" si="86"/>
        <v>Jamison Crowder11</v>
      </c>
    </row>
    <row r="1833" spans="1:16" x14ac:dyDescent="0.25">
      <c r="A1833">
        <v>16</v>
      </c>
      <c r="B1833" t="s">
        <v>137</v>
      </c>
      <c r="C1833" t="s">
        <v>7038</v>
      </c>
      <c r="D1833">
        <v>6.98</v>
      </c>
      <c r="E1833" t="s">
        <v>38</v>
      </c>
      <c r="F1833" t="s">
        <v>87</v>
      </c>
      <c r="G1833">
        <v>13.02</v>
      </c>
      <c r="H1833">
        <v>0.94</v>
      </c>
      <c r="I1833">
        <v>6.04</v>
      </c>
      <c r="J1833">
        <v>36.4816</v>
      </c>
      <c r="K1833" t="str">
        <f>IFERROR(INDEX(Rosters!$C$2:$C$155,MATCH($B1833,Rosters!$B$2:$B$155,0)),"NA")</f>
        <v>lucas</v>
      </c>
      <c r="L1833" t="str">
        <f t="shared" si="84"/>
        <v>lucas16WR</v>
      </c>
      <c r="M1833">
        <f>COUNTIF(L$1:L1833,L1833)</f>
        <v>4</v>
      </c>
      <c r="N1833" t="str">
        <f t="shared" si="85"/>
        <v>lucas16WR-4</v>
      </c>
      <c r="O1833">
        <f>COUNTIFS(F$1:F1833,F1833,A$1:A1833,A1833)</f>
        <v>44</v>
      </c>
      <c r="P1833" t="str">
        <f t="shared" si="86"/>
        <v>Jamison Crowder16</v>
      </c>
    </row>
    <row r="1834" spans="1:16" x14ac:dyDescent="0.25">
      <c r="A1834">
        <v>9</v>
      </c>
      <c r="B1834" t="s">
        <v>1326</v>
      </c>
      <c r="C1834" t="s">
        <v>7039</v>
      </c>
      <c r="D1834">
        <v>6.98</v>
      </c>
      <c r="E1834" t="s">
        <v>25</v>
      </c>
      <c r="F1834" t="s">
        <v>47</v>
      </c>
      <c r="G1834">
        <v>12.94</v>
      </c>
      <c r="H1834">
        <v>1.02</v>
      </c>
      <c r="I1834">
        <v>5.96</v>
      </c>
      <c r="J1834">
        <v>35.521599999999999</v>
      </c>
      <c r="K1834" t="str">
        <f>IFERROR(INDEX(Rosters!$C$2:$C$155,MATCH($B1834,Rosters!$B$2:$B$155,0)),"NA")</f>
        <v>devon</v>
      </c>
      <c r="L1834" t="str">
        <f t="shared" si="84"/>
        <v>devon9RB</v>
      </c>
      <c r="M1834">
        <f>COUNTIF(L$1:L1834,L1834)</f>
        <v>5</v>
      </c>
      <c r="N1834" t="str">
        <f t="shared" si="85"/>
        <v>devon9RB-5</v>
      </c>
      <c r="O1834">
        <f>COUNTIFS(F$1:F1834,F1834,A$1:A1834,A1834)</f>
        <v>31</v>
      </c>
      <c r="P1834" t="str">
        <f t="shared" si="86"/>
        <v>Kerryon Johnson9</v>
      </c>
    </row>
    <row r="1835" spans="1:16" x14ac:dyDescent="0.25">
      <c r="A1835">
        <v>10</v>
      </c>
      <c r="B1835" t="s">
        <v>203</v>
      </c>
      <c r="C1835" t="s">
        <v>7040</v>
      </c>
      <c r="D1835">
        <v>6.98</v>
      </c>
      <c r="E1835" t="s">
        <v>29</v>
      </c>
      <c r="F1835" t="s">
        <v>87</v>
      </c>
      <c r="G1835">
        <v>12.03</v>
      </c>
      <c r="H1835">
        <v>1.93</v>
      </c>
      <c r="I1835">
        <v>5.05</v>
      </c>
      <c r="J1835">
        <v>25.502500000000001</v>
      </c>
      <c r="K1835" t="str">
        <f>IFERROR(INDEX(Rosters!$C$2:$C$155,MATCH($B1835,Rosters!$B$2:$B$155,0)),"NA")</f>
        <v>NA</v>
      </c>
      <c r="L1835" t="str">
        <f t="shared" si="84"/>
        <v>NA10WR</v>
      </c>
      <c r="M1835">
        <f>COUNTIF(L$1:L1835,L1835)</f>
        <v>2</v>
      </c>
      <c r="N1835" t="str">
        <f t="shared" si="85"/>
        <v>NA10WR-2</v>
      </c>
      <c r="O1835">
        <f>COUNTIFS(F$1:F1835,F1835,A$1:A1835,A1835)</f>
        <v>39</v>
      </c>
      <c r="P1835" t="str">
        <f t="shared" si="86"/>
        <v>Robby Anderson10</v>
      </c>
    </row>
    <row r="1836" spans="1:16" x14ac:dyDescent="0.25">
      <c r="A1836">
        <v>5</v>
      </c>
      <c r="B1836" t="s">
        <v>1346</v>
      </c>
      <c r="C1836" t="s">
        <v>7041</v>
      </c>
      <c r="D1836">
        <v>6.98</v>
      </c>
      <c r="E1836" t="s">
        <v>73</v>
      </c>
      <c r="F1836" t="s">
        <v>47</v>
      </c>
      <c r="G1836">
        <v>13.78</v>
      </c>
      <c r="H1836">
        <v>0.18</v>
      </c>
      <c r="I1836">
        <v>6.8</v>
      </c>
      <c r="J1836">
        <v>46.24</v>
      </c>
      <c r="K1836" t="str">
        <f>IFERROR(INDEX(Rosters!$C$2:$C$155,MATCH($B1836,Rosters!$B$2:$B$155,0)),"NA")</f>
        <v>comp</v>
      </c>
      <c r="L1836" t="str">
        <f t="shared" si="84"/>
        <v>comp5RB</v>
      </c>
      <c r="M1836">
        <f>COUNTIF(L$1:L1836,L1836)</f>
        <v>3</v>
      </c>
      <c r="N1836" t="str">
        <f t="shared" si="85"/>
        <v>comp5RB-3</v>
      </c>
      <c r="O1836">
        <f>COUNTIFS(F$1:F1836,F1836,A$1:A1836,A1836)</f>
        <v>37</v>
      </c>
      <c r="P1836" t="str">
        <f t="shared" si="86"/>
        <v>Royce Freeman5</v>
      </c>
    </row>
    <row r="1837" spans="1:16" x14ac:dyDescent="0.25">
      <c r="A1837">
        <v>3</v>
      </c>
      <c r="B1837" t="s">
        <v>163</v>
      </c>
      <c r="C1837" t="s">
        <v>3703</v>
      </c>
      <c r="D1837">
        <v>6.97</v>
      </c>
      <c r="E1837" t="s">
        <v>51</v>
      </c>
      <c r="F1837" t="s">
        <v>87</v>
      </c>
      <c r="G1837">
        <v>11.17</v>
      </c>
      <c r="H1837">
        <v>2.77</v>
      </c>
      <c r="I1837">
        <v>4.2</v>
      </c>
      <c r="J1837">
        <v>17.64</v>
      </c>
      <c r="K1837" t="str">
        <f>IFERROR(INDEX(Rosters!$C$2:$C$155,MATCH($B1837,Rosters!$B$2:$B$155,0)),"NA")</f>
        <v>scott</v>
      </c>
      <c r="L1837" t="str">
        <f t="shared" si="84"/>
        <v>scott3WR</v>
      </c>
      <c r="M1837">
        <f>COUNTIF(L$1:L1837,L1837)</f>
        <v>5</v>
      </c>
      <c r="N1837" t="str">
        <f t="shared" si="85"/>
        <v>scott3WR-5</v>
      </c>
      <c r="O1837">
        <f>COUNTIFS(F$1:F1837,F1837,A$1:A1837,A1837)</f>
        <v>38</v>
      </c>
      <c r="P1837" t="str">
        <f t="shared" si="86"/>
        <v>DeSean Jackson3</v>
      </c>
    </row>
    <row r="1838" spans="1:16" x14ac:dyDescent="0.25">
      <c r="A1838">
        <v>9</v>
      </c>
      <c r="B1838" t="s">
        <v>271</v>
      </c>
      <c r="C1838" t="s">
        <v>7042</v>
      </c>
      <c r="D1838">
        <v>6.97</v>
      </c>
      <c r="E1838" t="s">
        <v>423</v>
      </c>
      <c r="F1838" t="s">
        <v>87</v>
      </c>
      <c r="G1838">
        <v>12.86</v>
      </c>
      <c r="H1838">
        <v>1.08</v>
      </c>
      <c r="I1838">
        <v>5.89</v>
      </c>
      <c r="J1838">
        <v>34.692100000000003</v>
      </c>
      <c r="K1838" t="str">
        <f>IFERROR(INDEX(Rosters!$C$2:$C$155,MATCH($B1838,Rosters!$B$2:$B$155,0)),"NA")</f>
        <v>matty</v>
      </c>
      <c r="L1838" t="str">
        <f t="shared" si="84"/>
        <v>matty9WR</v>
      </c>
      <c r="M1838">
        <f>COUNTIF(L$1:L1838,L1838)</f>
        <v>5</v>
      </c>
      <c r="N1838" t="str">
        <f t="shared" si="85"/>
        <v>matty9WR-5</v>
      </c>
      <c r="O1838">
        <f>COUNTIFS(F$1:F1838,F1838,A$1:A1838,A1838)</f>
        <v>40</v>
      </c>
      <c r="P1838" t="str">
        <f t="shared" si="86"/>
        <v>Geronimo Allison9</v>
      </c>
    </row>
    <row r="1839" spans="1:16" x14ac:dyDescent="0.25">
      <c r="A1839">
        <v>12</v>
      </c>
      <c r="B1839" t="s">
        <v>355</v>
      </c>
      <c r="C1839" t="s">
        <v>7043</v>
      </c>
      <c r="D1839">
        <v>6.97</v>
      </c>
      <c r="E1839" t="s">
        <v>30</v>
      </c>
      <c r="F1839" t="s">
        <v>47</v>
      </c>
      <c r="G1839">
        <v>12.73</v>
      </c>
      <c r="H1839">
        <v>1.21</v>
      </c>
      <c r="I1839">
        <v>5.76</v>
      </c>
      <c r="J1839">
        <v>33.177599999999998</v>
      </c>
      <c r="K1839" t="str">
        <f>IFERROR(INDEX(Rosters!$C$2:$C$155,MATCH($B1839,Rosters!$B$2:$B$155,0)),"NA")</f>
        <v>devon</v>
      </c>
      <c r="L1839" t="str">
        <f t="shared" si="84"/>
        <v>devon12RB</v>
      </c>
      <c r="M1839">
        <f>COUNTIF(L$1:L1839,L1839)</f>
        <v>6</v>
      </c>
      <c r="N1839" t="str">
        <f t="shared" si="85"/>
        <v>devon12RB-6</v>
      </c>
      <c r="O1839">
        <f>COUNTIFS(F$1:F1839,F1839,A$1:A1839,A1839)</f>
        <v>33</v>
      </c>
      <c r="P1839" t="str">
        <f t="shared" si="86"/>
        <v>Peyton Barber12</v>
      </c>
    </row>
    <row r="1840" spans="1:16" x14ac:dyDescent="0.25">
      <c r="A1840">
        <v>13</v>
      </c>
      <c r="B1840" t="s">
        <v>245</v>
      </c>
      <c r="C1840" t="s">
        <v>7044</v>
      </c>
      <c r="D1840">
        <v>6.97</v>
      </c>
      <c r="E1840" t="s">
        <v>66</v>
      </c>
      <c r="F1840" t="s">
        <v>47</v>
      </c>
      <c r="G1840">
        <v>12.58</v>
      </c>
      <c r="H1840">
        <v>1.36</v>
      </c>
      <c r="I1840">
        <v>5.61</v>
      </c>
      <c r="J1840">
        <v>31.472100000000001</v>
      </c>
      <c r="K1840" t="str">
        <f>IFERROR(INDEX(Rosters!$C$2:$C$155,MATCH($B1840,Rosters!$B$2:$B$155,0)),"NA")</f>
        <v>seth</v>
      </c>
      <c r="L1840" t="str">
        <f t="shared" si="84"/>
        <v>seth13RB</v>
      </c>
      <c r="M1840">
        <f>COUNTIF(L$1:L1840,L1840)</f>
        <v>4</v>
      </c>
      <c r="N1840" t="str">
        <f t="shared" si="85"/>
        <v>seth13RB-4</v>
      </c>
      <c r="O1840">
        <f>COUNTIFS(F$1:F1840,F1840,A$1:A1840,A1840)</f>
        <v>37</v>
      </c>
      <c r="P1840" t="str">
        <f t="shared" si="86"/>
        <v>T.J. Yeldon13</v>
      </c>
    </row>
    <row r="1841" spans="1:16" x14ac:dyDescent="0.25">
      <c r="A1841">
        <v>5</v>
      </c>
      <c r="B1841" t="s">
        <v>180</v>
      </c>
      <c r="C1841" t="s">
        <v>7045</v>
      </c>
      <c r="D1841">
        <v>6.97</v>
      </c>
      <c r="E1841" t="s">
        <v>56</v>
      </c>
      <c r="F1841" t="s">
        <v>87</v>
      </c>
      <c r="G1841">
        <v>11.82</v>
      </c>
      <c r="H1841">
        <v>2.12</v>
      </c>
      <c r="I1841">
        <v>4.8499999999999996</v>
      </c>
      <c r="J1841">
        <v>23.522500000000001</v>
      </c>
      <c r="K1841" t="str">
        <f>IFERROR(INDEX(Rosters!$C$2:$C$155,MATCH($B1841,Rosters!$B$2:$B$155,0)),"NA")</f>
        <v>NA</v>
      </c>
      <c r="L1841" t="str">
        <f t="shared" si="84"/>
        <v>NA5WR</v>
      </c>
      <c r="M1841">
        <f>COUNTIF(L$1:L1841,L1841)</f>
        <v>2</v>
      </c>
      <c r="N1841" t="str">
        <f t="shared" si="85"/>
        <v>NA5WR-2</v>
      </c>
      <c r="O1841">
        <f>COUNTIFS(F$1:F1841,F1841,A$1:A1841,A1841)</f>
        <v>40</v>
      </c>
      <c r="P1841" t="str">
        <f t="shared" si="86"/>
        <v>Tyler Lockett5</v>
      </c>
    </row>
    <row r="1842" spans="1:16" x14ac:dyDescent="0.25">
      <c r="A1842">
        <v>4</v>
      </c>
      <c r="B1842" t="s">
        <v>212</v>
      </c>
      <c r="C1842" t="s">
        <v>4495</v>
      </c>
      <c r="D1842">
        <v>6.96</v>
      </c>
      <c r="E1842" t="s">
        <v>37</v>
      </c>
      <c r="F1842" t="s">
        <v>47</v>
      </c>
      <c r="G1842">
        <v>11.95</v>
      </c>
      <c r="H1842">
        <v>1.97</v>
      </c>
      <c r="I1842">
        <v>4.99</v>
      </c>
      <c r="J1842">
        <v>24.900099999999998</v>
      </c>
      <c r="K1842" t="str">
        <f>IFERROR(INDEX(Rosters!$C$2:$C$155,MATCH($B1842,Rosters!$B$2:$B$155,0)),"NA")</f>
        <v>seth</v>
      </c>
      <c r="L1842" t="str">
        <f t="shared" si="84"/>
        <v>seth4RB</v>
      </c>
      <c r="M1842">
        <f>COUNTIF(L$1:L1842,L1842)</f>
        <v>4</v>
      </c>
      <c r="N1842" t="str">
        <f t="shared" si="85"/>
        <v>seth4RB-4</v>
      </c>
      <c r="O1842">
        <f>COUNTIFS(F$1:F1842,F1842,A$1:A1842,A1842)</f>
        <v>30</v>
      </c>
      <c r="P1842" t="str">
        <f t="shared" si="86"/>
        <v>Alfred Morris4</v>
      </c>
    </row>
    <row r="1843" spans="1:16" x14ac:dyDescent="0.25">
      <c r="A1843">
        <v>5</v>
      </c>
      <c r="B1843" t="s">
        <v>1388</v>
      </c>
      <c r="C1843" t="s">
        <v>9063</v>
      </c>
      <c r="D1843">
        <v>6.96</v>
      </c>
      <c r="E1843" t="s">
        <v>423</v>
      </c>
      <c r="F1843" t="s">
        <v>47</v>
      </c>
      <c r="G1843">
        <v>11.71</v>
      </c>
      <c r="H1843">
        <v>2.21</v>
      </c>
      <c r="I1843">
        <v>4.75</v>
      </c>
      <c r="J1843">
        <v>22.5625</v>
      </c>
      <c r="K1843" t="str">
        <f>IFERROR(INDEX(Rosters!$C$2:$C$155,MATCH($B1843,Rosters!$B$2:$B$155,0)),"NA")</f>
        <v>NA</v>
      </c>
      <c r="L1843" t="str">
        <f t="shared" si="84"/>
        <v>NA5RB</v>
      </c>
      <c r="M1843">
        <f>COUNTIF(L$1:L1843,L1843)</f>
        <v>2</v>
      </c>
      <c r="N1843" t="str">
        <f t="shared" si="85"/>
        <v>NA5RB-2</v>
      </c>
      <c r="O1843">
        <f>COUNTIFS(F$1:F1843,F1843,A$1:A1843,A1843)</f>
        <v>38</v>
      </c>
      <c r="P1843" t="str">
        <f t="shared" si="86"/>
        <v>Jordan Wilkins5</v>
      </c>
    </row>
    <row r="1844" spans="1:16" x14ac:dyDescent="0.25">
      <c r="A1844">
        <v>1</v>
      </c>
      <c r="B1844" t="s">
        <v>195</v>
      </c>
      <c r="C1844" t="s">
        <v>1359</v>
      </c>
      <c r="D1844">
        <v>6.96</v>
      </c>
      <c r="E1844" t="s">
        <v>73</v>
      </c>
      <c r="F1844" t="s">
        <v>87</v>
      </c>
      <c r="G1844">
        <v>12.93</v>
      </c>
      <c r="H1844">
        <v>0.99</v>
      </c>
      <c r="I1844">
        <v>5.97</v>
      </c>
      <c r="J1844">
        <v>35.640900000000002</v>
      </c>
      <c r="K1844" t="str">
        <f>IFERROR(INDEX(Rosters!$C$2:$C$155,MATCH($B1844,Rosters!$B$2:$B$155,0)),"NA")</f>
        <v>scott</v>
      </c>
      <c r="L1844" t="str">
        <f t="shared" si="84"/>
        <v>scott1WR</v>
      </c>
      <c r="M1844">
        <f>COUNTIF(L$1:L1844,L1844)</f>
        <v>1</v>
      </c>
      <c r="N1844" t="str">
        <f t="shared" si="85"/>
        <v>scott1WR-1</v>
      </c>
      <c r="O1844">
        <f>COUNTIFS(F$1:F1844,F1844,A$1:A1844,A1844)</f>
        <v>33</v>
      </c>
      <c r="P1844" t="str">
        <f t="shared" si="86"/>
        <v>Kenny Golladay1</v>
      </c>
    </row>
    <row r="1845" spans="1:16" x14ac:dyDescent="0.25">
      <c r="A1845">
        <v>13</v>
      </c>
      <c r="B1845" t="s">
        <v>48</v>
      </c>
      <c r="C1845" t="s">
        <v>7046</v>
      </c>
      <c r="D1845">
        <v>6.96</v>
      </c>
      <c r="E1845" t="s">
        <v>37</v>
      </c>
      <c r="F1845" t="s">
        <v>47</v>
      </c>
      <c r="G1845">
        <v>11.48</v>
      </c>
      <c r="H1845">
        <v>2.44</v>
      </c>
      <c r="I1845">
        <v>4.5199999999999996</v>
      </c>
      <c r="J1845">
        <v>20.430399999999999</v>
      </c>
      <c r="K1845" t="str">
        <f>IFERROR(INDEX(Rosters!$C$2:$C$155,MATCH($B1845,Rosters!$B$2:$B$155,0)),"NA")</f>
        <v>devon</v>
      </c>
      <c r="L1845" t="str">
        <f t="shared" si="84"/>
        <v>devon13RB</v>
      </c>
      <c r="M1845">
        <f>COUNTIF(L$1:L1845,L1845)</f>
        <v>6</v>
      </c>
      <c r="N1845" t="str">
        <f t="shared" si="85"/>
        <v>devon13RB-6</v>
      </c>
      <c r="O1845">
        <f>COUNTIFS(F$1:F1845,F1845,A$1:A1845,A1845)</f>
        <v>38</v>
      </c>
      <c r="P1845" t="str">
        <f t="shared" si="86"/>
        <v>Le'Veon Bell13</v>
      </c>
    </row>
    <row r="1846" spans="1:16" x14ac:dyDescent="0.25">
      <c r="A1846">
        <v>2</v>
      </c>
      <c r="B1846" t="s">
        <v>192</v>
      </c>
      <c r="C1846" t="s">
        <v>1360</v>
      </c>
      <c r="D1846">
        <v>6.96</v>
      </c>
      <c r="E1846" t="s">
        <v>22</v>
      </c>
      <c r="F1846" t="s">
        <v>87</v>
      </c>
      <c r="G1846">
        <v>12.06</v>
      </c>
      <c r="H1846">
        <v>1.86</v>
      </c>
      <c r="I1846">
        <v>5.0999999999999996</v>
      </c>
      <c r="J1846">
        <v>26.01</v>
      </c>
      <c r="K1846" t="str">
        <f>IFERROR(INDEX(Rosters!$C$2:$C$155,MATCH($B1846,Rosters!$B$2:$B$155,0)),"NA")</f>
        <v>cory</v>
      </c>
      <c r="L1846" t="str">
        <f t="shared" si="84"/>
        <v>cory2WR</v>
      </c>
      <c r="M1846">
        <f>COUNTIF(L$1:L1846,L1846)</f>
        <v>4</v>
      </c>
      <c r="N1846" t="str">
        <f t="shared" si="85"/>
        <v>cory2WR-4</v>
      </c>
      <c r="O1846">
        <f>COUNTIFS(F$1:F1846,F1846,A$1:A1846,A1846)</f>
        <v>35</v>
      </c>
      <c r="P1846" t="str">
        <f t="shared" si="86"/>
        <v>Sterling Shepard2</v>
      </c>
    </row>
    <row r="1847" spans="1:16" x14ac:dyDescent="0.25">
      <c r="A1847">
        <v>10</v>
      </c>
      <c r="B1847" t="s">
        <v>202</v>
      </c>
      <c r="C1847" t="s">
        <v>7047</v>
      </c>
      <c r="D1847">
        <v>6.95</v>
      </c>
      <c r="E1847" t="s">
        <v>17</v>
      </c>
      <c r="F1847" t="s">
        <v>47</v>
      </c>
      <c r="G1847">
        <v>12.21</v>
      </c>
      <c r="H1847">
        <v>1.69</v>
      </c>
      <c r="I1847">
        <v>5.26</v>
      </c>
      <c r="J1847">
        <v>27.6676</v>
      </c>
      <c r="K1847" t="str">
        <f>IFERROR(INDEX(Rosters!$C$2:$C$155,MATCH($B1847,Rosters!$B$2:$B$155,0)),"NA")</f>
        <v>lucas</v>
      </c>
      <c r="L1847" t="str">
        <f t="shared" si="84"/>
        <v>lucas10RB</v>
      </c>
      <c r="M1847">
        <f>COUNTIF(L$1:L1847,L1847)</f>
        <v>3</v>
      </c>
      <c r="N1847" t="str">
        <f t="shared" si="85"/>
        <v>lucas10RB-3</v>
      </c>
      <c r="O1847">
        <f>COUNTIFS(F$1:F1847,F1847,A$1:A1847,A1847)</f>
        <v>32</v>
      </c>
      <c r="P1847" t="str">
        <f t="shared" si="86"/>
        <v>Chris Thompson10</v>
      </c>
    </row>
    <row r="1848" spans="1:16" x14ac:dyDescent="0.25">
      <c r="A1848">
        <v>7</v>
      </c>
      <c r="B1848" t="s">
        <v>118</v>
      </c>
      <c r="C1848" t="s">
        <v>7048</v>
      </c>
      <c r="D1848">
        <v>6.95</v>
      </c>
      <c r="E1848" t="s">
        <v>22</v>
      </c>
      <c r="F1848" t="s">
        <v>114</v>
      </c>
      <c r="G1848">
        <v>13.79</v>
      </c>
      <c r="H1848">
        <v>0.11</v>
      </c>
      <c r="I1848">
        <v>6.84</v>
      </c>
      <c r="J1848">
        <v>46.785600000000002</v>
      </c>
      <c r="K1848" t="str">
        <f>IFERROR(INDEX(Rosters!$C$2:$C$155,MATCH($B1848,Rosters!$B$2:$B$155,0)),"NA")</f>
        <v>matty</v>
      </c>
      <c r="L1848" t="str">
        <f t="shared" si="84"/>
        <v>matty7TE</v>
      </c>
      <c r="M1848">
        <f>COUNTIF(L$1:L1848,L1848)</f>
        <v>1</v>
      </c>
      <c r="N1848" t="str">
        <f t="shared" si="85"/>
        <v>matty7TE-1</v>
      </c>
      <c r="O1848">
        <f>COUNTIFS(F$1:F1848,F1848,A$1:A1848,A1848)</f>
        <v>5</v>
      </c>
      <c r="P1848" t="str">
        <f t="shared" si="86"/>
        <v>Jordan Reed7</v>
      </c>
    </row>
    <row r="1849" spans="1:16" x14ac:dyDescent="0.25">
      <c r="A1849">
        <v>12</v>
      </c>
      <c r="B1849" t="s">
        <v>181</v>
      </c>
      <c r="C1849" t="s">
        <v>7049</v>
      </c>
      <c r="D1849">
        <v>6.95</v>
      </c>
      <c r="E1849" t="s">
        <v>41</v>
      </c>
      <c r="F1849" t="s">
        <v>114</v>
      </c>
      <c r="G1849">
        <v>10.7</v>
      </c>
      <c r="H1849">
        <v>3.2</v>
      </c>
      <c r="I1849">
        <v>3.75</v>
      </c>
      <c r="J1849">
        <v>14.0625</v>
      </c>
      <c r="K1849" t="str">
        <f>IFERROR(INDEX(Rosters!$C$2:$C$155,MATCH($B1849,Rosters!$B$2:$B$155,0)),"NA")</f>
        <v>cory</v>
      </c>
      <c r="L1849" t="str">
        <f t="shared" si="84"/>
        <v>cory12TE</v>
      </c>
      <c r="M1849">
        <f>COUNTIF(L$1:L1849,L1849)</f>
        <v>1</v>
      </c>
      <c r="N1849" t="str">
        <f t="shared" si="85"/>
        <v>cory12TE-1</v>
      </c>
      <c r="O1849">
        <f>COUNTIFS(F$1:F1849,F1849,A$1:A1849,A1849)</f>
        <v>4</v>
      </c>
      <c r="P1849" t="str">
        <f t="shared" si="86"/>
        <v>Kyle Rudolph12</v>
      </c>
    </row>
    <row r="1850" spans="1:16" x14ac:dyDescent="0.25">
      <c r="A1850">
        <v>17</v>
      </c>
      <c r="B1850" t="s">
        <v>205</v>
      </c>
      <c r="C1850" t="s">
        <v>7050</v>
      </c>
      <c r="D1850">
        <v>6.94</v>
      </c>
      <c r="E1850" t="s">
        <v>34</v>
      </c>
      <c r="F1850" t="s">
        <v>47</v>
      </c>
      <c r="G1850">
        <v>12.31</v>
      </c>
      <c r="H1850">
        <v>1.57</v>
      </c>
      <c r="I1850">
        <v>5.37</v>
      </c>
      <c r="J1850">
        <v>28.8369</v>
      </c>
      <c r="K1850" t="str">
        <f>IFERROR(INDEX(Rosters!$C$2:$C$155,MATCH($B1850,Rosters!$B$2:$B$155,0)),"NA")</f>
        <v>NA</v>
      </c>
      <c r="L1850" t="str">
        <f t="shared" si="84"/>
        <v>NA17RB</v>
      </c>
      <c r="M1850">
        <f>COUNTIF(L$1:L1850,L1850)</f>
        <v>1</v>
      </c>
      <c r="N1850" t="str">
        <f t="shared" si="85"/>
        <v>NA17RB-1</v>
      </c>
      <c r="O1850">
        <f>COUNTIFS(F$1:F1850,F1850,A$1:A1850,A1850)</f>
        <v>38</v>
      </c>
      <c r="P1850" t="str">
        <f t="shared" si="86"/>
        <v>Jamaal Williams17</v>
      </c>
    </row>
    <row r="1851" spans="1:16" x14ac:dyDescent="0.25">
      <c r="A1851">
        <v>13</v>
      </c>
      <c r="B1851" t="s">
        <v>118</v>
      </c>
      <c r="C1851" t="s">
        <v>7051</v>
      </c>
      <c r="D1851">
        <v>6.94</v>
      </c>
      <c r="E1851" t="s">
        <v>50</v>
      </c>
      <c r="F1851" t="s">
        <v>114</v>
      </c>
      <c r="G1851">
        <v>13.77</v>
      </c>
      <c r="H1851">
        <v>0.11</v>
      </c>
      <c r="I1851">
        <v>6.83</v>
      </c>
      <c r="J1851">
        <v>46.648899999999998</v>
      </c>
      <c r="K1851" t="str">
        <f>IFERROR(INDEX(Rosters!$C$2:$C$155,MATCH($B1851,Rosters!$B$2:$B$155,0)),"NA")</f>
        <v>matty</v>
      </c>
      <c r="L1851" t="str">
        <f t="shared" si="84"/>
        <v>matty13TE</v>
      </c>
      <c r="M1851">
        <f>COUNTIF(L$1:L1851,L1851)</f>
        <v>1</v>
      </c>
      <c r="N1851" t="str">
        <f t="shared" si="85"/>
        <v>matty13TE-1</v>
      </c>
      <c r="O1851">
        <f>COUNTIFS(F$1:F1851,F1851,A$1:A1851,A1851)</f>
        <v>6</v>
      </c>
      <c r="P1851" t="str">
        <f t="shared" si="86"/>
        <v>Jordan Reed13</v>
      </c>
    </row>
    <row r="1852" spans="1:16" x14ac:dyDescent="0.25">
      <c r="A1852">
        <v>2</v>
      </c>
      <c r="B1852" t="s">
        <v>98</v>
      </c>
      <c r="C1852" t="s">
        <v>3341</v>
      </c>
      <c r="D1852">
        <v>6.94</v>
      </c>
      <c r="E1852" t="s">
        <v>42</v>
      </c>
      <c r="F1852" t="s">
        <v>87</v>
      </c>
      <c r="G1852">
        <v>11.03</v>
      </c>
      <c r="H1852">
        <v>2.85</v>
      </c>
      <c r="I1852">
        <v>4.09</v>
      </c>
      <c r="J1852">
        <v>16.728100000000001</v>
      </c>
      <c r="K1852" t="str">
        <f>IFERROR(INDEX(Rosters!$C$2:$C$155,MATCH($B1852,Rosters!$B$2:$B$155,0)),"NA")</f>
        <v>seth</v>
      </c>
      <c r="L1852" t="str">
        <f t="shared" si="84"/>
        <v>seth2WR</v>
      </c>
      <c r="M1852">
        <f>COUNTIF(L$1:L1852,L1852)</f>
        <v>5</v>
      </c>
      <c r="N1852" t="str">
        <f t="shared" si="85"/>
        <v>seth2WR-5</v>
      </c>
      <c r="O1852">
        <f>COUNTIFS(F$1:F1852,F1852,A$1:A1852,A1852)</f>
        <v>36</v>
      </c>
      <c r="P1852" t="str">
        <f t="shared" si="86"/>
        <v>Jordy Nelson2</v>
      </c>
    </row>
    <row r="1853" spans="1:16" x14ac:dyDescent="0.25">
      <c r="A1853">
        <v>4</v>
      </c>
      <c r="B1853" t="s">
        <v>1352</v>
      </c>
      <c r="C1853" t="s">
        <v>4496</v>
      </c>
      <c r="D1853">
        <v>6.94</v>
      </c>
      <c r="E1853" t="s">
        <v>19</v>
      </c>
      <c r="F1853" t="s">
        <v>47</v>
      </c>
      <c r="G1853">
        <v>12.81</v>
      </c>
      <c r="H1853">
        <v>1.07</v>
      </c>
      <c r="I1853">
        <v>5.87</v>
      </c>
      <c r="J1853">
        <v>34.456899999999997</v>
      </c>
      <c r="K1853" t="str">
        <f>IFERROR(INDEX(Rosters!$C$2:$C$155,MATCH($B1853,Rosters!$B$2:$B$155,0)),"NA")</f>
        <v>devon</v>
      </c>
      <c r="L1853" t="str">
        <f t="shared" si="84"/>
        <v>devon4RB</v>
      </c>
      <c r="M1853">
        <f>COUNTIF(L$1:L1853,L1853)</f>
        <v>3</v>
      </c>
      <c r="N1853" t="str">
        <f t="shared" si="85"/>
        <v>devon4RB-3</v>
      </c>
      <c r="O1853">
        <f>COUNTIFS(F$1:F1853,F1853,A$1:A1853,A1853)</f>
        <v>31</v>
      </c>
      <c r="P1853" t="str">
        <f t="shared" si="86"/>
        <v>Sony Michel4</v>
      </c>
    </row>
    <row r="1854" spans="1:16" x14ac:dyDescent="0.25">
      <c r="A1854">
        <v>8</v>
      </c>
      <c r="B1854" t="s">
        <v>796</v>
      </c>
      <c r="C1854" t="s">
        <v>7052</v>
      </c>
      <c r="D1854">
        <v>6.93</v>
      </c>
      <c r="E1854" t="s">
        <v>74</v>
      </c>
      <c r="F1854" t="s">
        <v>47</v>
      </c>
      <c r="G1854">
        <v>13.09</v>
      </c>
      <c r="H1854">
        <v>0.77</v>
      </c>
      <c r="I1854">
        <v>6.16</v>
      </c>
      <c r="J1854">
        <v>37.945599999999999</v>
      </c>
      <c r="K1854" t="str">
        <f>IFERROR(INDEX(Rosters!$C$2:$C$155,MATCH($B1854,Rosters!$B$2:$B$155,0)),"NA")</f>
        <v>seth</v>
      </c>
      <c r="L1854" t="str">
        <f t="shared" si="84"/>
        <v>seth8RB</v>
      </c>
      <c r="M1854">
        <f>COUNTIF(L$1:L1854,L1854)</f>
        <v>1</v>
      </c>
      <c r="N1854" t="str">
        <f t="shared" si="85"/>
        <v>seth8RB-1</v>
      </c>
      <c r="O1854">
        <f>COUNTIFS(F$1:F1854,F1854,A$1:A1854,A1854)</f>
        <v>30</v>
      </c>
      <c r="P1854" t="str">
        <f t="shared" si="86"/>
        <v>Alex Collins8</v>
      </c>
    </row>
    <row r="1855" spans="1:16" x14ac:dyDescent="0.25">
      <c r="A1855">
        <v>6</v>
      </c>
      <c r="B1855" t="s">
        <v>163</v>
      </c>
      <c r="C1855" t="s">
        <v>7053</v>
      </c>
      <c r="D1855">
        <v>6.93</v>
      </c>
      <c r="E1855" t="s">
        <v>46</v>
      </c>
      <c r="F1855" t="s">
        <v>87</v>
      </c>
      <c r="G1855">
        <v>11.89</v>
      </c>
      <c r="H1855">
        <v>1.97</v>
      </c>
      <c r="I1855">
        <v>4.96</v>
      </c>
      <c r="J1855">
        <v>24.601600000000001</v>
      </c>
      <c r="K1855" t="str">
        <f>IFERROR(INDEX(Rosters!$C$2:$C$155,MATCH($B1855,Rosters!$B$2:$B$155,0)),"NA")</f>
        <v>scott</v>
      </c>
      <c r="L1855" t="str">
        <f t="shared" si="84"/>
        <v>scott6WR</v>
      </c>
      <c r="M1855">
        <f>COUNTIF(L$1:L1855,L1855)</f>
        <v>3</v>
      </c>
      <c r="N1855" t="str">
        <f t="shared" si="85"/>
        <v>scott6WR-3</v>
      </c>
      <c r="O1855">
        <f>COUNTIFS(F$1:F1855,F1855,A$1:A1855,A1855)</f>
        <v>39</v>
      </c>
      <c r="P1855" t="str">
        <f t="shared" si="86"/>
        <v>DeSean Jackson6</v>
      </c>
    </row>
    <row r="1856" spans="1:16" x14ac:dyDescent="0.25">
      <c r="A1856">
        <v>12</v>
      </c>
      <c r="B1856" t="s">
        <v>271</v>
      </c>
      <c r="C1856" t="s">
        <v>7054</v>
      </c>
      <c r="D1856">
        <v>6.93</v>
      </c>
      <c r="E1856" t="s">
        <v>25</v>
      </c>
      <c r="F1856" t="s">
        <v>87</v>
      </c>
      <c r="G1856">
        <v>12.89</v>
      </c>
      <c r="H1856">
        <v>0.97</v>
      </c>
      <c r="I1856">
        <v>5.96</v>
      </c>
      <c r="J1856">
        <v>35.521599999999999</v>
      </c>
      <c r="K1856" t="str">
        <f>IFERROR(INDEX(Rosters!$C$2:$C$155,MATCH($B1856,Rosters!$B$2:$B$155,0)),"NA")</f>
        <v>matty</v>
      </c>
      <c r="L1856" t="str">
        <f t="shared" si="84"/>
        <v>matty12WR</v>
      </c>
      <c r="M1856">
        <f>COUNTIF(L$1:L1856,L1856)</f>
        <v>3</v>
      </c>
      <c r="N1856" t="str">
        <f t="shared" si="85"/>
        <v>matty12WR-3</v>
      </c>
      <c r="O1856">
        <f>COUNTIFS(F$1:F1856,F1856,A$1:A1856,A1856)</f>
        <v>44</v>
      </c>
      <c r="P1856" t="str">
        <f t="shared" si="86"/>
        <v>Geronimo Allison12</v>
      </c>
    </row>
    <row r="1857" spans="1:16" x14ac:dyDescent="0.25">
      <c r="A1857">
        <v>6</v>
      </c>
      <c r="B1857" t="s">
        <v>211</v>
      </c>
      <c r="C1857" t="s">
        <v>7055</v>
      </c>
      <c r="D1857">
        <v>6.92</v>
      </c>
      <c r="E1857" t="s">
        <v>17</v>
      </c>
      <c r="F1857" t="s">
        <v>114</v>
      </c>
      <c r="G1857">
        <v>13.03</v>
      </c>
      <c r="H1857">
        <v>0.81</v>
      </c>
      <c r="I1857">
        <v>6.11</v>
      </c>
      <c r="J1857">
        <v>37.332099999999997</v>
      </c>
      <c r="K1857" t="str">
        <f>IFERROR(INDEX(Rosters!$C$2:$C$155,MATCH($B1857,Rosters!$B$2:$B$155,0)),"NA")</f>
        <v>comp</v>
      </c>
      <c r="L1857" t="str">
        <f t="shared" si="84"/>
        <v>comp6TE</v>
      </c>
      <c r="M1857">
        <f>COUNTIF(L$1:L1857,L1857)</f>
        <v>1</v>
      </c>
      <c r="N1857" t="str">
        <f t="shared" si="85"/>
        <v>comp6TE-1</v>
      </c>
      <c r="O1857">
        <f>COUNTIFS(F$1:F1857,F1857,A$1:A1857,A1857)</f>
        <v>6</v>
      </c>
      <c r="P1857" t="str">
        <f t="shared" si="86"/>
        <v>Austin Hooper6</v>
      </c>
    </row>
    <row r="1858" spans="1:16" x14ac:dyDescent="0.25">
      <c r="A1858">
        <v>3</v>
      </c>
      <c r="B1858" t="s">
        <v>139</v>
      </c>
      <c r="C1858" t="s">
        <v>3704</v>
      </c>
      <c r="D1858">
        <v>6.92</v>
      </c>
      <c r="E1858" t="s">
        <v>52</v>
      </c>
      <c r="F1858" t="s">
        <v>47</v>
      </c>
      <c r="G1858">
        <v>12.78</v>
      </c>
      <c r="H1858">
        <v>1.06</v>
      </c>
      <c r="I1858">
        <v>5.86</v>
      </c>
      <c r="J1858">
        <v>34.339599999999997</v>
      </c>
      <c r="K1858" t="str">
        <f>IFERROR(INDEX(Rosters!$C$2:$C$155,MATCH($B1858,Rosters!$B$2:$B$155,0)),"NA")</f>
        <v>cory</v>
      </c>
      <c r="L1858" t="str">
        <f t="shared" si="84"/>
        <v>cory3RB</v>
      </c>
      <c r="M1858">
        <f>COUNTIF(L$1:L1858,L1858)</f>
        <v>2</v>
      </c>
      <c r="N1858" t="str">
        <f t="shared" si="85"/>
        <v>cory3RB-2</v>
      </c>
      <c r="O1858">
        <f>COUNTIFS(F$1:F1858,F1858,A$1:A1858,A1858)</f>
        <v>37</v>
      </c>
      <c r="P1858" t="str">
        <f t="shared" si="86"/>
        <v>Bilal Powell3</v>
      </c>
    </row>
    <row r="1859" spans="1:16" x14ac:dyDescent="0.25">
      <c r="A1859">
        <v>14</v>
      </c>
      <c r="B1859" t="s">
        <v>290</v>
      </c>
      <c r="C1859" t="s">
        <v>7056</v>
      </c>
      <c r="D1859">
        <v>6.92</v>
      </c>
      <c r="E1859" t="s">
        <v>423</v>
      </c>
      <c r="F1859" t="s">
        <v>47</v>
      </c>
      <c r="G1859">
        <v>11.88</v>
      </c>
      <c r="H1859">
        <v>1.96</v>
      </c>
      <c r="I1859">
        <v>4.96</v>
      </c>
      <c r="J1859">
        <v>24.601600000000001</v>
      </c>
      <c r="K1859" t="str">
        <f>IFERROR(INDEX(Rosters!$C$2:$C$155,MATCH($B1859,Rosters!$B$2:$B$155,0)),"NA")</f>
        <v>lucas</v>
      </c>
      <c r="L1859" t="str">
        <f t="shared" ref="L1859:L1922" si="87">K1859&amp;A1859&amp;F1859</f>
        <v>lucas14RB</v>
      </c>
      <c r="M1859">
        <f>COUNTIF(L$1:L1859,L1859)</f>
        <v>4</v>
      </c>
      <c r="N1859" t="str">
        <f t="shared" ref="N1859:N1922" si="88">L1859&amp;"-"&amp;M1859</f>
        <v>lucas14RB-4</v>
      </c>
      <c r="O1859">
        <f>COUNTIFS(F$1:F1859,F1859,A$1:A1859,A1859)</f>
        <v>39</v>
      </c>
      <c r="P1859" t="str">
        <f t="shared" ref="P1859:P1922" si="89">B1859&amp;A1859</f>
        <v>Kenyan Drake14</v>
      </c>
    </row>
    <row r="1860" spans="1:16" x14ac:dyDescent="0.25">
      <c r="A1860">
        <v>17</v>
      </c>
      <c r="B1860" t="s">
        <v>125</v>
      </c>
      <c r="C1860" t="s">
        <v>7057</v>
      </c>
      <c r="D1860">
        <v>6.92</v>
      </c>
      <c r="E1860" t="s">
        <v>32</v>
      </c>
      <c r="F1860" t="s">
        <v>87</v>
      </c>
      <c r="G1860">
        <v>11.41</v>
      </c>
      <c r="H1860">
        <v>2.4300000000000002</v>
      </c>
      <c r="I1860">
        <v>4.49</v>
      </c>
      <c r="J1860">
        <v>20.1601</v>
      </c>
      <c r="K1860" t="str">
        <f>IFERROR(INDEX(Rosters!$C$2:$C$155,MATCH($B1860,Rosters!$B$2:$B$155,0)),"NA")</f>
        <v>scott</v>
      </c>
      <c r="L1860" t="str">
        <f t="shared" si="87"/>
        <v>scott17WR</v>
      </c>
      <c r="M1860">
        <f>COUNTIF(L$1:L1860,L1860)</f>
        <v>5</v>
      </c>
      <c r="N1860" t="str">
        <f t="shared" si="88"/>
        <v>scott17WR-5</v>
      </c>
      <c r="O1860">
        <f>COUNTIFS(F$1:F1860,F1860,A$1:A1860,A1860)</f>
        <v>45</v>
      </c>
      <c r="P1860" t="str">
        <f t="shared" si="89"/>
        <v>Sammy Watkins17</v>
      </c>
    </row>
    <row r="1861" spans="1:16" x14ac:dyDescent="0.25">
      <c r="A1861">
        <v>9</v>
      </c>
      <c r="B1861" t="s">
        <v>281</v>
      </c>
      <c r="C1861" t="s">
        <v>7058</v>
      </c>
      <c r="D1861">
        <v>6.91</v>
      </c>
      <c r="E1861" t="s">
        <v>423</v>
      </c>
      <c r="F1861" t="s">
        <v>47</v>
      </c>
      <c r="G1861">
        <v>13.21</v>
      </c>
      <c r="H1861">
        <v>0.61</v>
      </c>
      <c r="I1861">
        <v>6.3</v>
      </c>
      <c r="J1861">
        <v>39.69</v>
      </c>
      <c r="K1861" t="str">
        <f>IFERROR(INDEX(Rosters!$C$2:$C$155,MATCH($B1861,Rosters!$B$2:$B$155,0)),"NA")</f>
        <v>aj</v>
      </c>
      <c r="L1861" t="str">
        <f t="shared" si="87"/>
        <v>aj9RB</v>
      </c>
      <c r="M1861">
        <f>COUNTIF(L$1:L1861,L1861)</f>
        <v>3</v>
      </c>
      <c r="N1861" t="str">
        <f t="shared" si="88"/>
        <v>aj9RB-3</v>
      </c>
      <c r="O1861">
        <f>COUNTIFS(F$1:F1861,F1861,A$1:A1861,A1861)</f>
        <v>32</v>
      </c>
      <c r="P1861" t="str">
        <f t="shared" si="89"/>
        <v>Aaron Jones9</v>
      </c>
    </row>
    <row r="1862" spans="1:16" x14ac:dyDescent="0.25">
      <c r="A1862">
        <v>16</v>
      </c>
      <c r="B1862" t="s">
        <v>796</v>
      </c>
      <c r="C1862" t="s">
        <v>7059</v>
      </c>
      <c r="D1862">
        <v>6.91</v>
      </c>
      <c r="E1862" t="s">
        <v>37</v>
      </c>
      <c r="F1862" t="s">
        <v>47</v>
      </c>
      <c r="G1862">
        <v>13.48</v>
      </c>
      <c r="H1862">
        <v>0.34</v>
      </c>
      <c r="I1862">
        <v>6.57</v>
      </c>
      <c r="J1862">
        <v>43.164900000000003</v>
      </c>
      <c r="K1862" t="str">
        <f>IFERROR(INDEX(Rosters!$C$2:$C$155,MATCH($B1862,Rosters!$B$2:$B$155,0)),"NA")</f>
        <v>seth</v>
      </c>
      <c r="L1862" t="str">
        <f t="shared" si="87"/>
        <v>seth16RB</v>
      </c>
      <c r="M1862">
        <f>COUNTIF(L$1:L1862,L1862)</f>
        <v>3</v>
      </c>
      <c r="N1862" t="str">
        <f t="shared" si="88"/>
        <v>seth16RB-3</v>
      </c>
      <c r="O1862">
        <f>COUNTIFS(F$1:F1862,F1862,A$1:A1862,A1862)</f>
        <v>36</v>
      </c>
      <c r="P1862" t="str">
        <f t="shared" si="89"/>
        <v>Alex Collins16</v>
      </c>
    </row>
    <row r="1863" spans="1:16" x14ac:dyDescent="0.25">
      <c r="A1863">
        <v>16</v>
      </c>
      <c r="B1863" t="s">
        <v>140</v>
      </c>
      <c r="C1863" t="s">
        <v>7060</v>
      </c>
      <c r="D1863">
        <v>6.91</v>
      </c>
      <c r="E1863" t="s">
        <v>56</v>
      </c>
      <c r="F1863" t="s">
        <v>87</v>
      </c>
      <c r="G1863">
        <v>11.62</v>
      </c>
      <c r="H1863">
        <v>2.2000000000000002</v>
      </c>
      <c r="I1863">
        <v>4.71</v>
      </c>
      <c r="J1863">
        <v>22.184100000000001</v>
      </c>
      <c r="K1863" t="str">
        <f>IFERROR(INDEX(Rosters!$C$2:$C$155,MATCH($B1863,Rosters!$B$2:$B$155,0)),"NA")</f>
        <v>seth</v>
      </c>
      <c r="L1863" t="str">
        <f t="shared" si="87"/>
        <v>seth16WR</v>
      </c>
      <c r="M1863">
        <f>COUNTIF(L$1:L1863,L1863)</f>
        <v>5</v>
      </c>
      <c r="N1863" t="str">
        <f t="shared" si="88"/>
        <v>seth16WR-5</v>
      </c>
      <c r="O1863">
        <f>COUNTIFS(F$1:F1863,F1863,A$1:A1863,A1863)</f>
        <v>45</v>
      </c>
      <c r="P1863" t="str">
        <f t="shared" si="89"/>
        <v>Larry Fitzgerald16</v>
      </c>
    </row>
    <row r="1864" spans="1:16" x14ac:dyDescent="0.25">
      <c r="A1864">
        <v>2</v>
      </c>
      <c r="B1864" t="s">
        <v>203</v>
      </c>
      <c r="C1864" t="s">
        <v>1361</v>
      </c>
      <c r="D1864">
        <v>6.91</v>
      </c>
      <c r="E1864" t="s">
        <v>19</v>
      </c>
      <c r="F1864" t="s">
        <v>87</v>
      </c>
      <c r="G1864">
        <v>12.17</v>
      </c>
      <c r="H1864">
        <v>1.65</v>
      </c>
      <c r="I1864">
        <v>5.26</v>
      </c>
      <c r="J1864">
        <v>27.6676</v>
      </c>
      <c r="K1864" t="str">
        <f>IFERROR(INDEX(Rosters!$C$2:$C$155,MATCH($B1864,Rosters!$B$2:$B$155,0)),"NA")</f>
        <v>NA</v>
      </c>
      <c r="L1864" t="str">
        <f t="shared" si="87"/>
        <v>NA2WR</v>
      </c>
      <c r="M1864">
        <f>COUNTIF(L$1:L1864,L1864)</f>
        <v>2</v>
      </c>
      <c r="N1864" t="str">
        <f t="shared" si="88"/>
        <v>NA2WR-2</v>
      </c>
      <c r="O1864">
        <f>COUNTIFS(F$1:F1864,F1864,A$1:A1864,A1864)</f>
        <v>37</v>
      </c>
      <c r="P1864" t="str">
        <f t="shared" si="89"/>
        <v>Robby Anderson2</v>
      </c>
    </row>
    <row r="1865" spans="1:16" x14ac:dyDescent="0.25">
      <c r="A1865">
        <v>7</v>
      </c>
      <c r="B1865" t="s">
        <v>192</v>
      </c>
      <c r="C1865" t="s">
        <v>7061</v>
      </c>
      <c r="D1865">
        <v>6.91</v>
      </c>
      <c r="E1865" t="s">
        <v>46</v>
      </c>
      <c r="F1865" t="s">
        <v>87</v>
      </c>
      <c r="G1865">
        <v>12.09</v>
      </c>
      <c r="H1865">
        <v>1.73</v>
      </c>
      <c r="I1865">
        <v>5.18</v>
      </c>
      <c r="J1865">
        <v>26.8324</v>
      </c>
      <c r="K1865" t="str">
        <f>IFERROR(INDEX(Rosters!$C$2:$C$155,MATCH($B1865,Rosters!$B$2:$B$155,0)),"NA")</f>
        <v>cory</v>
      </c>
      <c r="L1865" t="str">
        <f t="shared" si="87"/>
        <v>cory7WR</v>
      </c>
      <c r="M1865">
        <f>COUNTIF(L$1:L1865,L1865)</f>
        <v>5</v>
      </c>
      <c r="N1865" t="str">
        <f t="shared" si="88"/>
        <v>cory7WR-5</v>
      </c>
      <c r="O1865">
        <f>COUNTIFS(F$1:F1865,F1865,A$1:A1865,A1865)</f>
        <v>38</v>
      </c>
      <c r="P1865" t="str">
        <f t="shared" si="89"/>
        <v>Sterling Shepard7</v>
      </c>
    </row>
    <row r="1866" spans="1:16" x14ac:dyDescent="0.25">
      <c r="A1866">
        <v>6</v>
      </c>
      <c r="B1866" t="s">
        <v>221</v>
      </c>
      <c r="C1866" t="s">
        <v>7062</v>
      </c>
      <c r="D1866">
        <v>6.91</v>
      </c>
      <c r="E1866" t="s">
        <v>51</v>
      </c>
      <c r="F1866" t="s">
        <v>87</v>
      </c>
      <c r="G1866">
        <v>10.79</v>
      </c>
      <c r="H1866">
        <v>3.03</v>
      </c>
      <c r="I1866">
        <v>3.88</v>
      </c>
      <c r="J1866">
        <v>15.054399999999999</v>
      </c>
      <c r="K1866" t="str">
        <f>IFERROR(INDEX(Rosters!$C$2:$C$155,MATCH($B1866,Rosters!$B$2:$B$155,0)),"NA")</f>
        <v>cory</v>
      </c>
      <c r="L1866" t="str">
        <f t="shared" si="87"/>
        <v>cory6WR</v>
      </c>
      <c r="M1866">
        <f>COUNTIF(L$1:L1866,L1866)</f>
        <v>3</v>
      </c>
      <c r="N1866" t="str">
        <f t="shared" si="88"/>
        <v>cory6WR-3</v>
      </c>
      <c r="O1866">
        <f>COUNTIFS(F$1:F1866,F1866,A$1:A1866,A1866)</f>
        <v>40</v>
      </c>
      <c r="P1866" t="str">
        <f t="shared" si="89"/>
        <v>Tyler Boyd6</v>
      </c>
    </row>
    <row r="1867" spans="1:16" x14ac:dyDescent="0.25">
      <c r="A1867">
        <v>13</v>
      </c>
      <c r="B1867" t="s">
        <v>202</v>
      </c>
      <c r="C1867" t="s">
        <v>7063</v>
      </c>
      <c r="D1867">
        <v>6.9</v>
      </c>
      <c r="E1867" t="s">
        <v>50</v>
      </c>
      <c r="F1867" t="s">
        <v>47</v>
      </c>
      <c r="G1867">
        <v>10.86</v>
      </c>
      <c r="H1867">
        <v>2.94</v>
      </c>
      <c r="I1867">
        <v>3.96</v>
      </c>
      <c r="J1867">
        <v>15.6816</v>
      </c>
      <c r="K1867" t="str">
        <f>IFERROR(INDEX(Rosters!$C$2:$C$155,MATCH($B1867,Rosters!$B$2:$B$155,0)),"NA")</f>
        <v>lucas</v>
      </c>
      <c r="L1867" t="str">
        <f t="shared" si="87"/>
        <v>lucas13RB</v>
      </c>
      <c r="M1867">
        <f>COUNTIF(L$1:L1867,L1867)</f>
        <v>4</v>
      </c>
      <c r="N1867" t="str">
        <f t="shared" si="88"/>
        <v>lucas13RB-4</v>
      </c>
      <c r="O1867">
        <f>COUNTIFS(F$1:F1867,F1867,A$1:A1867,A1867)</f>
        <v>39</v>
      </c>
      <c r="P1867" t="str">
        <f t="shared" si="89"/>
        <v>Chris Thompson13</v>
      </c>
    </row>
    <row r="1868" spans="1:16" x14ac:dyDescent="0.25">
      <c r="A1868">
        <v>9</v>
      </c>
      <c r="B1868" t="s">
        <v>205</v>
      </c>
      <c r="C1868" t="s">
        <v>7064</v>
      </c>
      <c r="D1868">
        <v>6.9</v>
      </c>
      <c r="E1868" t="s">
        <v>423</v>
      </c>
      <c r="F1868" t="s">
        <v>47</v>
      </c>
      <c r="G1868">
        <v>12.08</v>
      </c>
      <c r="H1868">
        <v>1.72</v>
      </c>
      <c r="I1868">
        <v>5.18</v>
      </c>
      <c r="J1868">
        <v>26.8324</v>
      </c>
      <c r="K1868" t="str">
        <f>IFERROR(INDEX(Rosters!$C$2:$C$155,MATCH($B1868,Rosters!$B$2:$B$155,0)),"NA")</f>
        <v>NA</v>
      </c>
      <c r="L1868" t="str">
        <f t="shared" si="87"/>
        <v>NA9RB</v>
      </c>
      <c r="M1868">
        <f>COUNTIF(L$1:L1868,L1868)</f>
        <v>2</v>
      </c>
      <c r="N1868" t="str">
        <f t="shared" si="88"/>
        <v>NA9RB-2</v>
      </c>
      <c r="O1868">
        <f>COUNTIFS(F$1:F1868,F1868,A$1:A1868,A1868)</f>
        <v>33</v>
      </c>
      <c r="P1868" t="str">
        <f t="shared" si="89"/>
        <v>Jamaal Williams9</v>
      </c>
    </row>
    <row r="1869" spans="1:16" x14ac:dyDescent="0.25">
      <c r="A1869">
        <v>9</v>
      </c>
      <c r="B1869" t="s">
        <v>137</v>
      </c>
      <c r="C1869" t="s">
        <v>7065</v>
      </c>
      <c r="D1869">
        <v>6.9</v>
      </c>
      <c r="E1869" t="s">
        <v>46</v>
      </c>
      <c r="F1869" t="s">
        <v>87</v>
      </c>
      <c r="G1869">
        <v>11.7</v>
      </c>
      <c r="H1869">
        <v>2.1</v>
      </c>
      <c r="I1869">
        <v>4.8</v>
      </c>
      <c r="J1869">
        <v>23.04</v>
      </c>
      <c r="K1869" t="str">
        <f>IFERROR(INDEX(Rosters!$C$2:$C$155,MATCH($B1869,Rosters!$B$2:$B$155,0)),"NA")</f>
        <v>lucas</v>
      </c>
      <c r="L1869" t="str">
        <f t="shared" si="87"/>
        <v>lucas9WR</v>
      </c>
      <c r="M1869">
        <f>COUNTIF(L$1:L1869,L1869)</f>
        <v>4</v>
      </c>
      <c r="N1869" t="str">
        <f t="shared" si="88"/>
        <v>lucas9WR-4</v>
      </c>
      <c r="O1869">
        <f>COUNTIFS(F$1:F1869,F1869,A$1:A1869,A1869)</f>
        <v>41</v>
      </c>
      <c r="P1869" t="str">
        <f t="shared" si="89"/>
        <v>Jamison Crowder9</v>
      </c>
    </row>
    <row r="1870" spans="1:16" x14ac:dyDescent="0.25">
      <c r="A1870">
        <v>17</v>
      </c>
      <c r="B1870" t="s">
        <v>290</v>
      </c>
      <c r="C1870" t="s">
        <v>7066</v>
      </c>
      <c r="D1870">
        <v>6.9</v>
      </c>
      <c r="E1870" t="s">
        <v>29</v>
      </c>
      <c r="F1870" t="s">
        <v>47</v>
      </c>
      <c r="G1870">
        <v>12.52</v>
      </c>
      <c r="H1870">
        <v>1.28</v>
      </c>
      <c r="I1870">
        <v>5.62</v>
      </c>
      <c r="J1870">
        <v>31.584399999999999</v>
      </c>
      <c r="K1870" t="str">
        <f>IFERROR(INDEX(Rosters!$C$2:$C$155,MATCH($B1870,Rosters!$B$2:$B$155,0)),"NA")</f>
        <v>lucas</v>
      </c>
      <c r="L1870" t="str">
        <f t="shared" si="87"/>
        <v>lucas17RB</v>
      </c>
      <c r="M1870">
        <f>COUNTIF(L$1:L1870,L1870)</f>
        <v>3</v>
      </c>
      <c r="N1870" t="str">
        <f t="shared" si="88"/>
        <v>lucas17RB-3</v>
      </c>
      <c r="O1870">
        <f>COUNTIFS(F$1:F1870,F1870,A$1:A1870,A1870)</f>
        <v>39</v>
      </c>
      <c r="P1870" t="str">
        <f t="shared" si="89"/>
        <v>Kenyan Drake17</v>
      </c>
    </row>
    <row r="1871" spans="1:16" x14ac:dyDescent="0.25">
      <c r="A1871">
        <v>8</v>
      </c>
      <c r="B1871" t="s">
        <v>181</v>
      </c>
      <c r="C1871" t="s">
        <v>7067</v>
      </c>
      <c r="D1871">
        <v>6.9</v>
      </c>
      <c r="E1871" t="s">
        <v>14</v>
      </c>
      <c r="F1871" t="s">
        <v>114</v>
      </c>
      <c r="G1871">
        <v>10.72</v>
      </c>
      <c r="H1871">
        <v>3.08</v>
      </c>
      <c r="I1871">
        <v>3.82</v>
      </c>
      <c r="J1871">
        <v>14.5924</v>
      </c>
      <c r="K1871" t="str">
        <f>IFERROR(INDEX(Rosters!$C$2:$C$155,MATCH($B1871,Rosters!$B$2:$B$155,0)),"NA")</f>
        <v>cory</v>
      </c>
      <c r="L1871" t="str">
        <f t="shared" si="87"/>
        <v>cory8TE</v>
      </c>
      <c r="M1871">
        <f>COUNTIF(L$1:L1871,L1871)</f>
        <v>1</v>
      </c>
      <c r="N1871" t="str">
        <f t="shared" si="88"/>
        <v>cory8TE-1</v>
      </c>
      <c r="O1871">
        <f>COUNTIFS(F$1:F1871,F1871,A$1:A1871,A1871)</f>
        <v>6</v>
      </c>
      <c r="P1871" t="str">
        <f t="shared" si="89"/>
        <v>Kyle Rudolph8</v>
      </c>
    </row>
    <row r="1872" spans="1:16" x14ac:dyDescent="0.25">
      <c r="A1872">
        <v>12</v>
      </c>
      <c r="B1872" t="s">
        <v>264</v>
      </c>
      <c r="C1872" t="s">
        <v>7068</v>
      </c>
      <c r="D1872">
        <v>6.89</v>
      </c>
      <c r="E1872" t="s">
        <v>17</v>
      </c>
      <c r="F1872" t="s">
        <v>114</v>
      </c>
      <c r="G1872">
        <v>11.41</v>
      </c>
      <c r="H1872">
        <v>2.37</v>
      </c>
      <c r="I1872">
        <v>4.5199999999999996</v>
      </c>
      <c r="J1872">
        <v>20.430399999999999</v>
      </c>
      <c r="K1872" t="str">
        <f>IFERROR(INDEX(Rosters!$C$2:$C$155,MATCH($B1872,Rosters!$B$2:$B$155,0)),"NA")</f>
        <v>scott</v>
      </c>
      <c r="L1872" t="str">
        <f t="shared" si="87"/>
        <v>scott12TE</v>
      </c>
      <c r="M1872">
        <f>COUNTIF(L$1:L1872,L1872)</f>
        <v>1</v>
      </c>
      <c r="N1872" t="str">
        <f t="shared" si="88"/>
        <v>scott12TE-1</v>
      </c>
      <c r="O1872">
        <f>COUNTIFS(F$1:F1872,F1872,A$1:A1872,A1872)</f>
        <v>5</v>
      </c>
      <c r="P1872" t="str">
        <f t="shared" si="89"/>
        <v>George Kittle12</v>
      </c>
    </row>
    <row r="1873" spans="1:16" x14ac:dyDescent="0.25">
      <c r="A1873">
        <v>17</v>
      </c>
      <c r="B1873" t="s">
        <v>229</v>
      </c>
      <c r="C1873" t="s">
        <v>7069</v>
      </c>
      <c r="D1873">
        <v>6.89</v>
      </c>
      <c r="E1873" t="s">
        <v>46</v>
      </c>
      <c r="F1873" t="s">
        <v>114</v>
      </c>
      <c r="G1873">
        <v>12.08</v>
      </c>
      <c r="H1873">
        <v>1.7</v>
      </c>
      <c r="I1873">
        <v>5.19</v>
      </c>
      <c r="J1873">
        <v>26.9361</v>
      </c>
      <c r="K1873" t="str">
        <f>IFERROR(INDEX(Rosters!$C$2:$C$155,MATCH($B1873,Rosters!$B$2:$B$155,0)),"NA")</f>
        <v>NA</v>
      </c>
      <c r="L1873" t="str">
        <f t="shared" si="87"/>
        <v>NA17TE</v>
      </c>
      <c r="M1873">
        <f>COUNTIF(L$1:L1873,L1873)</f>
        <v>1</v>
      </c>
      <c r="N1873" t="str">
        <f t="shared" si="88"/>
        <v>NA17TE-1</v>
      </c>
      <c r="O1873">
        <f>COUNTIFS(F$1:F1873,F1873,A$1:A1873,A1873)</f>
        <v>7</v>
      </c>
      <c r="P1873" t="str">
        <f t="shared" si="89"/>
        <v>O.J. Howard17</v>
      </c>
    </row>
    <row r="1874" spans="1:16" x14ac:dyDescent="0.25">
      <c r="A1874">
        <v>6</v>
      </c>
      <c r="B1874" t="s">
        <v>117</v>
      </c>
      <c r="C1874" t="s">
        <v>7070</v>
      </c>
      <c r="D1874">
        <v>6.88</v>
      </c>
      <c r="E1874" t="s">
        <v>66</v>
      </c>
      <c r="F1874" t="s">
        <v>47</v>
      </c>
      <c r="G1874">
        <v>11.63</v>
      </c>
      <c r="H1874">
        <v>2.13</v>
      </c>
      <c r="I1874">
        <v>4.75</v>
      </c>
      <c r="J1874">
        <v>22.5625</v>
      </c>
      <c r="K1874" t="str">
        <f>IFERROR(INDEX(Rosters!$C$2:$C$155,MATCH($B1874,Rosters!$B$2:$B$155,0)),"NA")</f>
        <v>chad</v>
      </c>
      <c r="L1874" t="str">
        <f t="shared" si="87"/>
        <v>chad6RB</v>
      </c>
      <c r="M1874">
        <f>COUNTIF(L$1:L1874,L1874)</f>
        <v>4</v>
      </c>
      <c r="N1874" t="str">
        <f t="shared" si="88"/>
        <v>chad6RB-4</v>
      </c>
      <c r="O1874">
        <f>COUNTIFS(F$1:F1874,F1874,A$1:A1874,A1874)</f>
        <v>34</v>
      </c>
      <c r="P1874" t="str">
        <f t="shared" si="89"/>
        <v>Isaiah Crowell6</v>
      </c>
    </row>
    <row r="1875" spans="1:16" x14ac:dyDescent="0.25">
      <c r="A1875">
        <v>17</v>
      </c>
      <c r="B1875" t="s">
        <v>1368</v>
      </c>
      <c r="C1875" t="s">
        <v>7071</v>
      </c>
      <c r="D1875">
        <v>6.88</v>
      </c>
      <c r="E1875" t="s">
        <v>36</v>
      </c>
      <c r="F1875" t="s">
        <v>87</v>
      </c>
      <c r="G1875">
        <v>11.59</v>
      </c>
      <c r="H1875">
        <v>2.17</v>
      </c>
      <c r="I1875">
        <v>4.71</v>
      </c>
      <c r="J1875">
        <v>22.184100000000001</v>
      </c>
      <c r="K1875" t="str">
        <f>IFERROR(INDEX(Rosters!$C$2:$C$155,MATCH($B1875,Rosters!$B$2:$B$155,0)),"NA")</f>
        <v>scott</v>
      </c>
      <c r="L1875" t="str">
        <f t="shared" si="87"/>
        <v>scott17WR</v>
      </c>
      <c r="M1875">
        <f>COUNTIF(L$1:L1875,L1875)</f>
        <v>6</v>
      </c>
      <c r="N1875" t="str">
        <f t="shared" si="88"/>
        <v>scott17WR-6</v>
      </c>
      <c r="O1875">
        <f>COUNTIFS(F$1:F1875,F1875,A$1:A1875,A1875)</f>
        <v>46</v>
      </c>
      <c r="P1875" t="str">
        <f t="shared" si="89"/>
        <v>Keelan Cole17</v>
      </c>
    </row>
    <row r="1876" spans="1:16" x14ac:dyDescent="0.25">
      <c r="A1876">
        <v>12</v>
      </c>
      <c r="B1876" t="s">
        <v>229</v>
      </c>
      <c r="C1876" t="s">
        <v>7072</v>
      </c>
      <c r="D1876">
        <v>6.88</v>
      </c>
      <c r="E1876" t="s">
        <v>30</v>
      </c>
      <c r="F1876" t="s">
        <v>114</v>
      </c>
      <c r="G1876">
        <v>12.53</v>
      </c>
      <c r="H1876">
        <v>1.23</v>
      </c>
      <c r="I1876">
        <v>5.65</v>
      </c>
      <c r="J1876">
        <v>31.922499999999999</v>
      </c>
      <c r="K1876" t="str">
        <f>IFERROR(INDEX(Rosters!$C$2:$C$155,MATCH($B1876,Rosters!$B$2:$B$155,0)),"NA")</f>
        <v>NA</v>
      </c>
      <c r="L1876" t="str">
        <f t="shared" si="87"/>
        <v>NA12TE</v>
      </c>
      <c r="M1876">
        <f>COUNTIF(L$1:L1876,L1876)</f>
        <v>1</v>
      </c>
      <c r="N1876" t="str">
        <f t="shared" si="88"/>
        <v>NA12TE-1</v>
      </c>
      <c r="O1876">
        <f>COUNTIFS(F$1:F1876,F1876,A$1:A1876,A1876)</f>
        <v>6</v>
      </c>
      <c r="P1876" t="str">
        <f t="shared" si="89"/>
        <v>O.J. Howard12</v>
      </c>
    </row>
    <row r="1877" spans="1:16" x14ac:dyDescent="0.25">
      <c r="A1877">
        <v>14</v>
      </c>
      <c r="B1877" t="s">
        <v>303</v>
      </c>
      <c r="C1877" t="s">
        <v>7073</v>
      </c>
      <c r="D1877">
        <v>6.88</v>
      </c>
      <c r="E1877" t="s">
        <v>76</v>
      </c>
      <c r="F1877" t="s">
        <v>87</v>
      </c>
      <c r="G1877">
        <v>11.32</v>
      </c>
      <c r="H1877">
        <v>2.44</v>
      </c>
      <c r="I1877">
        <v>4.4400000000000004</v>
      </c>
      <c r="J1877">
        <v>19.7136</v>
      </c>
      <c r="K1877" t="str">
        <f>IFERROR(INDEX(Rosters!$C$2:$C$155,MATCH($B1877,Rosters!$B$2:$B$155,0)),"NA")</f>
        <v>NA</v>
      </c>
      <c r="L1877" t="str">
        <f t="shared" si="87"/>
        <v>NA14WR</v>
      </c>
      <c r="M1877">
        <f>COUNTIF(L$1:L1877,L1877)</f>
        <v>2</v>
      </c>
      <c r="N1877" t="str">
        <f t="shared" si="88"/>
        <v>NA14WR-2</v>
      </c>
      <c r="O1877">
        <f>COUNTIFS(F$1:F1877,F1877,A$1:A1877,A1877)</f>
        <v>44</v>
      </c>
      <c r="P1877" t="str">
        <f t="shared" si="89"/>
        <v>Taywan Taylor14</v>
      </c>
    </row>
    <row r="1878" spans="1:16" x14ac:dyDescent="0.25">
      <c r="A1878">
        <v>13</v>
      </c>
      <c r="B1878" t="s">
        <v>240</v>
      </c>
      <c r="C1878" t="s">
        <v>7074</v>
      </c>
      <c r="D1878">
        <v>6.87</v>
      </c>
      <c r="E1878" t="s">
        <v>60</v>
      </c>
      <c r="F1878" t="s">
        <v>87</v>
      </c>
      <c r="G1878">
        <v>11.82</v>
      </c>
      <c r="H1878">
        <v>1.92</v>
      </c>
      <c r="I1878">
        <v>4.95</v>
      </c>
      <c r="J1878">
        <v>24.502500000000001</v>
      </c>
      <c r="K1878" t="str">
        <f>IFERROR(INDEX(Rosters!$C$2:$C$155,MATCH($B1878,Rosters!$B$2:$B$155,0)),"NA")</f>
        <v>aj</v>
      </c>
      <c r="L1878" t="str">
        <f t="shared" si="87"/>
        <v>aj13WR</v>
      </c>
      <c r="M1878">
        <f>COUNTIF(L$1:L1878,L1878)</f>
        <v>5</v>
      </c>
      <c r="N1878" t="str">
        <f t="shared" si="88"/>
        <v>aj13WR-5</v>
      </c>
      <c r="O1878">
        <f>COUNTIFS(F$1:F1878,F1878,A$1:A1878,A1878)</f>
        <v>45</v>
      </c>
      <c r="P1878" t="str">
        <f t="shared" si="89"/>
        <v>Nelson Agholor13</v>
      </c>
    </row>
    <row r="1879" spans="1:16" x14ac:dyDescent="0.25">
      <c r="A1879">
        <v>15</v>
      </c>
      <c r="B1879" t="s">
        <v>285</v>
      </c>
      <c r="C1879" t="s">
        <v>7075</v>
      </c>
      <c r="D1879">
        <v>6.87</v>
      </c>
      <c r="E1879" t="s">
        <v>41</v>
      </c>
      <c r="F1879" t="s">
        <v>47</v>
      </c>
      <c r="G1879">
        <v>11.79</v>
      </c>
      <c r="H1879">
        <v>1.95</v>
      </c>
      <c r="I1879">
        <v>4.92</v>
      </c>
      <c r="J1879">
        <v>24.206399999999999</v>
      </c>
      <c r="K1879" t="str">
        <f>IFERROR(INDEX(Rosters!$C$2:$C$155,MATCH($B1879,Rosters!$B$2:$B$155,0)),"NA")</f>
        <v>NA</v>
      </c>
      <c r="L1879" t="str">
        <f t="shared" si="87"/>
        <v>NA15RB</v>
      </c>
      <c r="M1879">
        <f>COUNTIF(L$1:L1879,L1879)</f>
        <v>1</v>
      </c>
      <c r="N1879" t="str">
        <f t="shared" si="88"/>
        <v>NA15RB-1</v>
      </c>
      <c r="O1879">
        <f>COUNTIFS(F$1:F1879,F1879,A$1:A1879,A1879)</f>
        <v>34</v>
      </c>
      <c r="P1879" t="str">
        <f t="shared" si="89"/>
        <v>Tarik Cohen15</v>
      </c>
    </row>
    <row r="1880" spans="1:16" x14ac:dyDescent="0.25">
      <c r="A1880">
        <v>16</v>
      </c>
      <c r="B1880" t="s">
        <v>163</v>
      </c>
      <c r="C1880" t="s">
        <v>7076</v>
      </c>
      <c r="D1880">
        <v>6.86</v>
      </c>
      <c r="E1880" t="s">
        <v>22</v>
      </c>
      <c r="F1880" t="s">
        <v>87</v>
      </c>
      <c r="G1880">
        <v>11.39</v>
      </c>
      <c r="H1880">
        <v>2.33</v>
      </c>
      <c r="I1880">
        <v>4.53</v>
      </c>
      <c r="J1880">
        <v>20.520900000000001</v>
      </c>
      <c r="K1880" t="str">
        <f>IFERROR(INDEX(Rosters!$C$2:$C$155,MATCH($B1880,Rosters!$B$2:$B$155,0)),"NA")</f>
        <v>scott</v>
      </c>
      <c r="L1880" t="str">
        <f t="shared" si="87"/>
        <v>scott16WR</v>
      </c>
      <c r="M1880">
        <f>COUNTIF(L$1:L1880,L1880)</f>
        <v>4</v>
      </c>
      <c r="N1880" t="str">
        <f t="shared" si="88"/>
        <v>scott16WR-4</v>
      </c>
      <c r="O1880">
        <f>COUNTIFS(F$1:F1880,F1880,A$1:A1880,A1880)</f>
        <v>46</v>
      </c>
      <c r="P1880" t="str">
        <f t="shared" si="89"/>
        <v>DeSean Jackson16</v>
      </c>
    </row>
    <row r="1881" spans="1:16" x14ac:dyDescent="0.25">
      <c r="A1881">
        <v>5</v>
      </c>
      <c r="B1881" t="s">
        <v>192</v>
      </c>
      <c r="C1881" t="s">
        <v>7077</v>
      </c>
      <c r="D1881">
        <v>6.86</v>
      </c>
      <c r="E1881" t="s">
        <v>74</v>
      </c>
      <c r="F1881" t="s">
        <v>87</v>
      </c>
      <c r="G1881">
        <v>12.13</v>
      </c>
      <c r="H1881">
        <v>1.59</v>
      </c>
      <c r="I1881">
        <v>5.27</v>
      </c>
      <c r="J1881">
        <v>27.7729</v>
      </c>
      <c r="K1881" t="str">
        <f>IFERROR(INDEX(Rosters!$C$2:$C$155,MATCH($B1881,Rosters!$B$2:$B$155,0)),"NA")</f>
        <v>cory</v>
      </c>
      <c r="L1881" t="str">
        <f t="shared" si="87"/>
        <v>cory5WR</v>
      </c>
      <c r="M1881">
        <f>COUNTIF(L$1:L1881,L1881)</f>
        <v>5</v>
      </c>
      <c r="N1881" t="str">
        <f t="shared" si="88"/>
        <v>cory5WR-5</v>
      </c>
      <c r="O1881">
        <f>COUNTIFS(F$1:F1881,F1881,A$1:A1881,A1881)</f>
        <v>41</v>
      </c>
      <c r="P1881" t="str">
        <f t="shared" si="89"/>
        <v>Sterling Shepard5</v>
      </c>
    </row>
    <row r="1882" spans="1:16" x14ac:dyDescent="0.25">
      <c r="A1882">
        <v>1</v>
      </c>
      <c r="B1882" t="s">
        <v>207</v>
      </c>
      <c r="C1882" t="s">
        <v>1696</v>
      </c>
      <c r="D1882">
        <v>6.85</v>
      </c>
      <c r="E1882" t="s">
        <v>19</v>
      </c>
      <c r="F1882" t="s">
        <v>47</v>
      </c>
      <c r="G1882">
        <v>12.2</v>
      </c>
      <c r="H1882">
        <v>1.5</v>
      </c>
      <c r="I1882">
        <v>5.35</v>
      </c>
      <c r="J1882">
        <v>28.622499999999999</v>
      </c>
      <c r="K1882" t="str">
        <f>IFERROR(INDEX(Rosters!$C$2:$C$155,MATCH($B1882,Rosters!$B$2:$B$155,0)),"NA")</f>
        <v>chad</v>
      </c>
      <c r="L1882" t="str">
        <f t="shared" si="87"/>
        <v>chad1RB</v>
      </c>
      <c r="M1882">
        <f>COUNTIF(L$1:L1882,L1882)</f>
        <v>4</v>
      </c>
      <c r="N1882" t="str">
        <f t="shared" si="88"/>
        <v>chad1RB-4</v>
      </c>
      <c r="O1882">
        <f>COUNTIFS(F$1:F1882,F1882,A$1:A1882,A1882)</f>
        <v>32</v>
      </c>
      <c r="P1882" t="str">
        <f t="shared" si="89"/>
        <v>Dion Lewis1</v>
      </c>
    </row>
    <row r="1883" spans="1:16" x14ac:dyDescent="0.25">
      <c r="A1883">
        <v>4</v>
      </c>
      <c r="B1883" t="s">
        <v>205</v>
      </c>
      <c r="C1883" t="s">
        <v>4497</v>
      </c>
      <c r="D1883">
        <v>6.85</v>
      </c>
      <c r="E1883" t="s">
        <v>29</v>
      </c>
      <c r="F1883" t="s">
        <v>47</v>
      </c>
      <c r="G1883">
        <v>12.67</v>
      </c>
      <c r="H1883">
        <v>1.03</v>
      </c>
      <c r="I1883">
        <v>5.82</v>
      </c>
      <c r="J1883">
        <v>33.872399999999999</v>
      </c>
      <c r="K1883" t="str">
        <f>IFERROR(INDEX(Rosters!$C$2:$C$155,MATCH($B1883,Rosters!$B$2:$B$155,0)),"NA")</f>
        <v>NA</v>
      </c>
      <c r="L1883" t="str">
        <f t="shared" si="87"/>
        <v>NA4RB</v>
      </c>
      <c r="M1883">
        <f>COUNTIF(L$1:L1883,L1883)</f>
        <v>5</v>
      </c>
      <c r="N1883" t="str">
        <f t="shared" si="88"/>
        <v>NA4RB-5</v>
      </c>
      <c r="O1883">
        <f>COUNTIFS(F$1:F1883,F1883,A$1:A1883,A1883)</f>
        <v>32</v>
      </c>
      <c r="P1883" t="str">
        <f t="shared" si="89"/>
        <v>Jamaal Williams4</v>
      </c>
    </row>
    <row r="1884" spans="1:16" x14ac:dyDescent="0.25">
      <c r="A1884">
        <v>4</v>
      </c>
      <c r="B1884" t="s">
        <v>185</v>
      </c>
      <c r="C1884" t="s">
        <v>4498</v>
      </c>
      <c r="D1884">
        <v>6.85</v>
      </c>
      <c r="E1884" t="s">
        <v>51</v>
      </c>
      <c r="F1884" t="s">
        <v>87</v>
      </c>
      <c r="G1884">
        <v>12.17</v>
      </c>
      <c r="H1884">
        <v>1.53</v>
      </c>
      <c r="I1884">
        <v>5.32</v>
      </c>
      <c r="J1884">
        <v>28.302399999999999</v>
      </c>
      <c r="K1884" t="str">
        <f>IFERROR(INDEX(Rosters!$C$2:$C$155,MATCH($B1884,Rosters!$B$2:$B$155,0)),"NA")</f>
        <v>scott</v>
      </c>
      <c r="L1884" t="str">
        <f t="shared" si="87"/>
        <v>scott4WR</v>
      </c>
      <c r="M1884">
        <f>COUNTIF(L$1:L1884,L1884)</f>
        <v>5</v>
      </c>
      <c r="N1884" t="str">
        <f t="shared" si="88"/>
        <v>scott4WR-5</v>
      </c>
      <c r="O1884">
        <f>COUNTIFS(F$1:F1884,F1884,A$1:A1884,A1884)</f>
        <v>41</v>
      </c>
      <c r="P1884" t="str">
        <f t="shared" si="89"/>
        <v>John Brown4</v>
      </c>
    </row>
    <row r="1885" spans="1:16" x14ac:dyDescent="0.25">
      <c r="A1885">
        <v>7</v>
      </c>
      <c r="B1885" t="s">
        <v>290</v>
      </c>
      <c r="C1885" t="s">
        <v>7078</v>
      </c>
      <c r="D1885">
        <v>6.85</v>
      </c>
      <c r="E1885" t="s">
        <v>34</v>
      </c>
      <c r="F1885" t="s">
        <v>47</v>
      </c>
      <c r="G1885">
        <v>11.53</v>
      </c>
      <c r="H1885">
        <v>2.17</v>
      </c>
      <c r="I1885">
        <v>4.68</v>
      </c>
      <c r="J1885">
        <v>21.9024</v>
      </c>
      <c r="K1885" t="str">
        <f>IFERROR(INDEX(Rosters!$C$2:$C$155,MATCH($B1885,Rosters!$B$2:$B$155,0)),"NA")</f>
        <v>lucas</v>
      </c>
      <c r="L1885" t="str">
        <f t="shared" si="87"/>
        <v>lucas7RB</v>
      </c>
      <c r="M1885">
        <f>COUNTIF(L$1:L1885,L1885)</f>
        <v>4</v>
      </c>
      <c r="N1885" t="str">
        <f t="shared" si="88"/>
        <v>lucas7RB-4</v>
      </c>
      <c r="O1885">
        <f>COUNTIFS(F$1:F1885,F1885,A$1:A1885,A1885)</f>
        <v>36</v>
      </c>
      <c r="P1885" t="str">
        <f t="shared" si="89"/>
        <v>Kenyan Drake7</v>
      </c>
    </row>
    <row r="1886" spans="1:16" x14ac:dyDescent="0.25">
      <c r="A1886">
        <v>9</v>
      </c>
      <c r="B1886" t="s">
        <v>290</v>
      </c>
      <c r="C1886" t="s">
        <v>7079</v>
      </c>
      <c r="D1886">
        <v>6.85</v>
      </c>
      <c r="E1886" t="s">
        <v>73</v>
      </c>
      <c r="F1886" t="s">
        <v>47</v>
      </c>
      <c r="G1886">
        <v>11.79</v>
      </c>
      <c r="H1886">
        <v>1.91</v>
      </c>
      <c r="I1886">
        <v>4.9400000000000004</v>
      </c>
      <c r="J1886">
        <v>24.403600000000001</v>
      </c>
      <c r="K1886" t="str">
        <f>IFERROR(INDEX(Rosters!$C$2:$C$155,MATCH($B1886,Rosters!$B$2:$B$155,0)),"NA")</f>
        <v>lucas</v>
      </c>
      <c r="L1886" t="str">
        <f t="shared" si="87"/>
        <v>lucas9RB</v>
      </c>
      <c r="M1886">
        <f>COUNTIF(L$1:L1886,L1886)</f>
        <v>3</v>
      </c>
      <c r="N1886" t="str">
        <f t="shared" si="88"/>
        <v>lucas9RB-3</v>
      </c>
      <c r="O1886">
        <f>COUNTIFS(F$1:F1886,F1886,A$1:A1886,A1886)</f>
        <v>34</v>
      </c>
      <c r="P1886" t="str">
        <f t="shared" si="89"/>
        <v>Kenyan Drake9</v>
      </c>
    </row>
    <row r="1887" spans="1:16" x14ac:dyDescent="0.25">
      <c r="A1887">
        <v>4</v>
      </c>
      <c r="B1887" t="s">
        <v>155</v>
      </c>
      <c r="C1887" t="s">
        <v>4499</v>
      </c>
      <c r="D1887">
        <v>6.85</v>
      </c>
      <c r="E1887" t="s">
        <v>22</v>
      </c>
      <c r="F1887" t="s">
        <v>47</v>
      </c>
      <c r="G1887">
        <v>11.44</v>
      </c>
      <c r="H1887">
        <v>2.2599999999999998</v>
      </c>
      <c r="I1887">
        <v>4.59</v>
      </c>
      <c r="J1887">
        <v>21.068100000000001</v>
      </c>
      <c r="K1887" t="str">
        <f>IFERROR(INDEX(Rosters!$C$2:$C$155,MATCH($B1887,Rosters!$B$2:$B$155,0)),"NA")</f>
        <v>NA</v>
      </c>
      <c r="L1887" t="str">
        <f t="shared" si="87"/>
        <v>NA4RB</v>
      </c>
      <c r="M1887">
        <f>COUNTIF(L$1:L1887,L1887)</f>
        <v>6</v>
      </c>
      <c r="N1887" t="str">
        <f t="shared" si="88"/>
        <v>NA4RB-6</v>
      </c>
      <c r="O1887">
        <f>COUNTIFS(F$1:F1887,F1887,A$1:A1887,A1887)</f>
        <v>33</v>
      </c>
      <c r="P1887" t="str">
        <f t="shared" si="89"/>
        <v>Theo Riddick4</v>
      </c>
    </row>
    <row r="1888" spans="1:16" x14ac:dyDescent="0.25">
      <c r="A1888">
        <v>4</v>
      </c>
      <c r="B1888" t="s">
        <v>1346</v>
      </c>
      <c r="C1888" t="s">
        <v>4500</v>
      </c>
      <c r="D1888">
        <v>6.84</v>
      </c>
      <c r="E1888" t="s">
        <v>24</v>
      </c>
      <c r="F1888" t="s">
        <v>47</v>
      </c>
      <c r="G1888">
        <v>12.63</v>
      </c>
      <c r="H1888">
        <v>1.05</v>
      </c>
      <c r="I1888">
        <v>5.79</v>
      </c>
      <c r="J1888">
        <v>33.524099999999997</v>
      </c>
      <c r="K1888" t="str">
        <f>IFERROR(INDEX(Rosters!$C$2:$C$155,MATCH($B1888,Rosters!$B$2:$B$155,0)),"NA")</f>
        <v>comp</v>
      </c>
      <c r="L1888" t="str">
        <f t="shared" si="87"/>
        <v>comp4RB</v>
      </c>
      <c r="M1888">
        <f>COUNTIF(L$1:L1888,L1888)</f>
        <v>2</v>
      </c>
      <c r="N1888" t="str">
        <f t="shared" si="88"/>
        <v>comp4RB-2</v>
      </c>
      <c r="O1888">
        <f>COUNTIFS(F$1:F1888,F1888,A$1:A1888,A1888)</f>
        <v>34</v>
      </c>
      <c r="P1888" t="str">
        <f t="shared" si="89"/>
        <v>Royce Freeman4</v>
      </c>
    </row>
    <row r="1889" spans="1:16" x14ac:dyDescent="0.25">
      <c r="A1889">
        <v>8</v>
      </c>
      <c r="B1889" t="s">
        <v>192</v>
      </c>
      <c r="C1889" t="s">
        <v>7080</v>
      </c>
      <c r="D1889">
        <v>6.84</v>
      </c>
      <c r="E1889" t="s">
        <v>60</v>
      </c>
      <c r="F1889" t="s">
        <v>87</v>
      </c>
      <c r="G1889">
        <v>12.19</v>
      </c>
      <c r="H1889">
        <v>1.49</v>
      </c>
      <c r="I1889">
        <v>5.35</v>
      </c>
      <c r="J1889">
        <v>28.622499999999999</v>
      </c>
      <c r="K1889" t="str">
        <f>IFERROR(INDEX(Rosters!$C$2:$C$155,MATCH($B1889,Rosters!$B$2:$B$155,0)),"NA")</f>
        <v>cory</v>
      </c>
      <c r="L1889" t="str">
        <f t="shared" si="87"/>
        <v>cory8WR</v>
      </c>
      <c r="M1889">
        <f>COUNTIF(L$1:L1889,L1889)</f>
        <v>4</v>
      </c>
      <c r="N1889" t="str">
        <f t="shared" si="88"/>
        <v>cory8WR-4</v>
      </c>
      <c r="O1889">
        <f>COUNTIFS(F$1:F1889,F1889,A$1:A1889,A1889)</f>
        <v>42</v>
      </c>
      <c r="P1889" t="str">
        <f t="shared" si="89"/>
        <v>Sterling Shepard8</v>
      </c>
    </row>
    <row r="1890" spans="1:16" x14ac:dyDescent="0.25">
      <c r="A1890">
        <v>2</v>
      </c>
      <c r="B1890" t="s">
        <v>168</v>
      </c>
      <c r="C1890" t="s">
        <v>1362</v>
      </c>
      <c r="D1890">
        <v>6.84</v>
      </c>
      <c r="E1890" t="s">
        <v>52</v>
      </c>
      <c r="F1890" t="s">
        <v>87</v>
      </c>
      <c r="G1890">
        <v>11.22</v>
      </c>
      <c r="H1890">
        <v>2.46</v>
      </c>
      <c r="I1890">
        <v>4.38</v>
      </c>
      <c r="J1890">
        <v>19.1844</v>
      </c>
      <c r="K1890" t="str">
        <f>IFERROR(INDEX(Rosters!$C$2:$C$155,MATCH($B1890,Rosters!$B$2:$B$155,0)),"NA")</f>
        <v>NA</v>
      </c>
      <c r="L1890" t="str">
        <f t="shared" si="87"/>
        <v>NA2WR</v>
      </c>
      <c r="M1890">
        <f>COUNTIF(L$1:L1890,L1890)</f>
        <v>3</v>
      </c>
      <c r="N1890" t="str">
        <f t="shared" si="88"/>
        <v>NA2WR-3</v>
      </c>
      <c r="O1890">
        <f>COUNTIFS(F$1:F1890,F1890,A$1:A1890,A1890)</f>
        <v>38</v>
      </c>
      <c r="P1890" t="str">
        <f t="shared" si="89"/>
        <v>Ted Ginn Jr.2</v>
      </c>
    </row>
    <row r="1891" spans="1:16" x14ac:dyDescent="0.25">
      <c r="A1891">
        <v>4</v>
      </c>
      <c r="B1891" t="s">
        <v>1422</v>
      </c>
      <c r="C1891" t="s">
        <v>4501</v>
      </c>
      <c r="D1891">
        <v>6.83</v>
      </c>
      <c r="E1891" t="s">
        <v>31</v>
      </c>
      <c r="F1891" t="s">
        <v>87</v>
      </c>
      <c r="G1891">
        <v>11.14</v>
      </c>
      <c r="H1891">
        <v>2.52</v>
      </c>
      <c r="I1891">
        <v>4.3099999999999996</v>
      </c>
      <c r="J1891">
        <v>18.5761</v>
      </c>
      <c r="K1891" t="str">
        <f>IFERROR(INDEX(Rosters!$C$2:$C$155,MATCH($B1891,Rosters!$B$2:$B$155,0)),"NA")</f>
        <v>comp</v>
      </c>
      <c r="L1891" t="str">
        <f t="shared" si="87"/>
        <v>comp4WR</v>
      </c>
      <c r="M1891">
        <f>COUNTIF(L$1:L1891,L1891)</f>
        <v>6</v>
      </c>
      <c r="N1891" t="str">
        <f t="shared" si="88"/>
        <v>comp4WR-6</v>
      </c>
      <c r="O1891">
        <f>COUNTIFS(F$1:F1891,F1891,A$1:A1891,A1891)</f>
        <v>42</v>
      </c>
      <c r="P1891" t="str">
        <f t="shared" si="89"/>
        <v>Calvin Ridley4</v>
      </c>
    </row>
    <row r="1892" spans="1:16" x14ac:dyDescent="0.25">
      <c r="A1892">
        <v>2</v>
      </c>
      <c r="B1892" t="s">
        <v>162</v>
      </c>
      <c r="C1892" t="s">
        <v>3342</v>
      </c>
      <c r="D1892">
        <v>6.83</v>
      </c>
      <c r="E1892" t="s">
        <v>25</v>
      </c>
      <c r="F1892" t="s">
        <v>114</v>
      </c>
      <c r="G1892">
        <v>12.03</v>
      </c>
      <c r="H1892">
        <v>1.63</v>
      </c>
      <c r="I1892">
        <v>5.2</v>
      </c>
      <c r="J1892">
        <v>27.04</v>
      </c>
      <c r="K1892" t="str">
        <f>IFERROR(INDEX(Rosters!$C$2:$C$155,MATCH($B1892,Rosters!$B$2:$B$155,0)),"NA")</f>
        <v>seth</v>
      </c>
      <c r="L1892" t="str">
        <f t="shared" si="87"/>
        <v>seth2TE</v>
      </c>
      <c r="M1892">
        <f>COUNTIF(L$1:L1892,L1892)</f>
        <v>1</v>
      </c>
      <c r="N1892" t="str">
        <f t="shared" si="88"/>
        <v>seth2TE-1</v>
      </c>
      <c r="O1892">
        <f>COUNTIFS(F$1:F1892,F1892,A$1:A1892,A1892)</f>
        <v>6</v>
      </c>
      <c r="P1892" t="str">
        <f t="shared" si="89"/>
        <v>Jimmy Graham2</v>
      </c>
    </row>
    <row r="1893" spans="1:16" x14ac:dyDescent="0.25">
      <c r="A1893">
        <v>5</v>
      </c>
      <c r="B1893" t="s">
        <v>1148</v>
      </c>
      <c r="C1893" t="s">
        <v>7081</v>
      </c>
      <c r="D1893">
        <v>6.83</v>
      </c>
      <c r="E1893" t="s">
        <v>56</v>
      </c>
      <c r="F1893" t="s">
        <v>47</v>
      </c>
      <c r="G1893">
        <v>11.87</v>
      </c>
      <c r="H1893">
        <v>1.79</v>
      </c>
      <c r="I1893">
        <v>5.04</v>
      </c>
      <c r="J1893">
        <v>25.401599999999998</v>
      </c>
      <c r="K1893" t="str">
        <f>IFERROR(INDEX(Rosters!$C$2:$C$155,MATCH($B1893,Rosters!$B$2:$B$155,0)),"NA")</f>
        <v>NA</v>
      </c>
      <c r="L1893" t="str">
        <f t="shared" si="87"/>
        <v>NA5RB</v>
      </c>
      <c r="M1893">
        <f>COUNTIF(L$1:L1893,L1893)</f>
        <v>3</v>
      </c>
      <c r="N1893" t="str">
        <f t="shared" si="88"/>
        <v>NA5RB-3</v>
      </c>
      <c r="O1893">
        <f>COUNTIFS(F$1:F1893,F1893,A$1:A1893,A1893)</f>
        <v>39</v>
      </c>
      <c r="P1893" t="str">
        <f t="shared" si="89"/>
        <v>Mike Davis5</v>
      </c>
    </row>
    <row r="1894" spans="1:16" x14ac:dyDescent="0.25">
      <c r="A1894">
        <v>9</v>
      </c>
      <c r="B1894" t="s">
        <v>183</v>
      </c>
      <c r="C1894" t="s">
        <v>7082</v>
      </c>
      <c r="D1894">
        <v>6.82</v>
      </c>
      <c r="E1894" t="s">
        <v>24</v>
      </c>
      <c r="F1894" t="s">
        <v>47</v>
      </c>
      <c r="G1894">
        <v>11.32</v>
      </c>
      <c r="H1894">
        <v>2.3199999999999998</v>
      </c>
      <c r="I1894">
        <v>4.5</v>
      </c>
      <c r="J1894">
        <v>20.25</v>
      </c>
      <c r="K1894" t="str">
        <f>IFERROR(INDEX(Rosters!$C$2:$C$155,MATCH($B1894,Rosters!$B$2:$B$155,0)),"NA")</f>
        <v>NA</v>
      </c>
      <c r="L1894" t="str">
        <f t="shared" si="87"/>
        <v>NA9RB</v>
      </c>
      <c r="M1894">
        <f>COUNTIF(L$1:L1894,L1894)</f>
        <v>3</v>
      </c>
      <c r="N1894" t="str">
        <f t="shared" si="88"/>
        <v>NA9RB-3</v>
      </c>
      <c r="O1894">
        <f>COUNTIFS(F$1:F1894,F1894,A$1:A1894,A1894)</f>
        <v>35</v>
      </c>
      <c r="P1894" t="str">
        <f t="shared" si="89"/>
        <v>Duke Johnson Jr.9</v>
      </c>
    </row>
    <row r="1895" spans="1:16" x14ac:dyDescent="0.25">
      <c r="A1895">
        <v>1</v>
      </c>
      <c r="B1895" t="s">
        <v>1105</v>
      </c>
      <c r="C1895" t="s">
        <v>3190</v>
      </c>
      <c r="D1895">
        <v>6.82</v>
      </c>
      <c r="E1895" t="s">
        <v>52</v>
      </c>
      <c r="F1895" t="s">
        <v>87</v>
      </c>
      <c r="G1895">
        <v>12</v>
      </c>
      <c r="H1895">
        <v>1.64</v>
      </c>
      <c r="I1895">
        <v>5.18</v>
      </c>
      <c r="J1895">
        <v>26.8324</v>
      </c>
      <c r="K1895" t="str">
        <f>IFERROR(INDEX(Rosters!$C$2:$C$155,MATCH($B1895,Rosters!$B$2:$B$155,0)),"NA")</f>
        <v>scott</v>
      </c>
      <c r="L1895" t="str">
        <f t="shared" si="87"/>
        <v>scott1WR</v>
      </c>
      <c r="M1895">
        <f>COUNTIF(L$1:L1895,L1895)</f>
        <v>2</v>
      </c>
      <c r="N1895" t="str">
        <f t="shared" si="88"/>
        <v>scott1WR-2</v>
      </c>
      <c r="O1895">
        <f>COUNTIFS(F$1:F1895,F1895,A$1:A1895,A1895)</f>
        <v>34</v>
      </c>
      <c r="P1895" t="str">
        <f t="shared" si="89"/>
        <v>JuJu Smith-Schuster1</v>
      </c>
    </row>
    <row r="1896" spans="1:16" x14ac:dyDescent="0.25">
      <c r="A1896">
        <v>5</v>
      </c>
      <c r="B1896" t="s">
        <v>4236</v>
      </c>
      <c r="C1896">
        <f>-2.54-16.18</f>
        <v>-18.72</v>
      </c>
      <c r="D1896">
        <v>6.82</v>
      </c>
      <c r="E1896" t="s">
        <v>34</v>
      </c>
      <c r="F1896" t="s">
        <v>87</v>
      </c>
      <c r="G1896">
        <v>16.18</v>
      </c>
      <c r="H1896">
        <v>-2.54</v>
      </c>
      <c r="I1896">
        <v>9.36</v>
      </c>
      <c r="J1896">
        <v>87.6096</v>
      </c>
      <c r="K1896" t="str">
        <f>IFERROR(INDEX(Rosters!$C$2:$C$155,MATCH($B1896,Rosters!$B$2:$B$155,0)),"NA")</f>
        <v>aj</v>
      </c>
      <c r="L1896" t="str">
        <f t="shared" si="87"/>
        <v>aj5WR</v>
      </c>
      <c r="M1896">
        <f>COUNTIF(L$1:L1896,L1896)</f>
        <v>5</v>
      </c>
      <c r="N1896" t="str">
        <f t="shared" si="88"/>
        <v>aj5WR-5</v>
      </c>
      <c r="O1896">
        <f>COUNTIFS(F$1:F1896,F1896,A$1:A1896,A1896)</f>
        <v>42</v>
      </c>
      <c r="P1896" t="str">
        <f t="shared" si="89"/>
        <v>Marquez Valdes-Scantling5</v>
      </c>
    </row>
    <row r="1897" spans="1:16" x14ac:dyDescent="0.25">
      <c r="A1897">
        <v>16</v>
      </c>
      <c r="B1897" t="s">
        <v>117</v>
      </c>
      <c r="C1897" t="s">
        <v>7083</v>
      </c>
      <c r="D1897">
        <v>6.81</v>
      </c>
      <c r="E1897" t="s">
        <v>41</v>
      </c>
      <c r="F1897" t="s">
        <v>47</v>
      </c>
      <c r="G1897">
        <v>11.5</v>
      </c>
      <c r="H1897">
        <v>2.12</v>
      </c>
      <c r="I1897">
        <v>4.6900000000000004</v>
      </c>
      <c r="J1897">
        <v>21.996099999999998</v>
      </c>
      <c r="K1897" t="str">
        <f>IFERROR(INDEX(Rosters!$C$2:$C$155,MATCH($B1897,Rosters!$B$2:$B$155,0)),"NA")</f>
        <v>chad</v>
      </c>
      <c r="L1897" t="str">
        <f t="shared" si="87"/>
        <v>chad16RB</v>
      </c>
      <c r="M1897">
        <f>COUNTIF(L$1:L1897,L1897)</f>
        <v>5</v>
      </c>
      <c r="N1897" t="str">
        <f t="shared" si="88"/>
        <v>chad16RB-5</v>
      </c>
      <c r="O1897">
        <f>COUNTIFS(F$1:F1897,F1897,A$1:A1897,A1897)</f>
        <v>37</v>
      </c>
      <c r="P1897" t="str">
        <f t="shared" si="89"/>
        <v>Isaiah Crowell16</v>
      </c>
    </row>
    <row r="1898" spans="1:16" x14ac:dyDescent="0.25">
      <c r="A1898">
        <v>3</v>
      </c>
      <c r="B1898" t="s">
        <v>250</v>
      </c>
      <c r="C1898" t="s">
        <v>4203</v>
      </c>
      <c r="D1898">
        <v>6.81</v>
      </c>
      <c r="E1898" t="s">
        <v>66</v>
      </c>
      <c r="F1898" t="s">
        <v>47</v>
      </c>
      <c r="G1898">
        <v>13.19</v>
      </c>
      <c r="H1898">
        <v>0.43</v>
      </c>
      <c r="I1898">
        <v>6.38</v>
      </c>
      <c r="J1898">
        <v>40.7044</v>
      </c>
      <c r="K1898" t="str">
        <f>IFERROR(INDEX(Rosters!$C$2:$C$155,MATCH($B1898,Rosters!$B$2:$B$155,0)),"NA")</f>
        <v>NA</v>
      </c>
      <c r="L1898" t="str">
        <f t="shared" si="87"/>
        <v>NA3RB</v>
      </c>
      <c r="M1898">
        <f>COUNTIF(L$1:L1898,L1898)</f>
        <v>9</v>
      </c>
      <c r="N1898" t="str">
        <f t="shared" si="88"/>
        <v>NA3RB-9</v>
      </c>
      <c r="O1898">
        <f>COUNTIFS(F$1:F1898,F1898,A$1:A1898,A1898)</f>
        <v>38</v>
      </c>
      <c r="P1898" t="str">
        <f t="shared" si="89"/>
        <v>Wendell Smallwood3</v>
      </c>
    </row>
    <row r="1899" spans="1:16" x14ac:dyDescent="0.25">
      <c r="A1899">
        <v>5</v>
      </c>
      <c r="B1899" t="s">
        <v>1419</v>
      </c>
      <c r="C1899" t="s">
        <v>7084</v>
      </c>
      <c r="D1899">
        <v>6.8</v>
      </c>
      <c r="E1899" t="s">
        <v>77</v>
      </c>
      <c r="F1899" t="s">
        <v>87</v>
      </c>
      <c r="G1899">
        <v>12.12</v>
      </c>
      <c r="H1899">
        <v>1.48</v>
      </c>
      <c r="I1899">
        <v>5.32</v>
      </c>
      <c r="J1899">
        <v>28.302399999999999</v>
      </c>
      <c r="K1899" t="str">
        <f>IFERROR(INDEX(Rosters!$C$2:$C$155,MATCH($B1899,Rosters!$B$2:$B$155,0)),"NA")</f>
        <v>chad</v>
      </c>
      <c r="L1899" t="str">
        <f t="shared" si="87"/>
        <v>chad5WR</v>
      </c>
      <c r="M1899">
        <f>COUNTIF(L$1:L1899,L1899)</f>
        <v>6</v>
      </c>
      <c r="N1899" t="str">
        <f t="shared" si="88"/>
        <v>chad5WR-6</v>
      </c>
      <c r="O1899">
        <f>COUNTIFS(F$1:F1899,F1899,A$1:A1899,A1899)</f>
        <v>43</v>
      </c>
      <c r="P1899" t="str">
        <f t="shared" si="89"/>
        <v>Antonio Callaway5</v>
      </c>
    </row>
    <row r="1900" spans="1:16" x14ac:dyDescent="0.25">
      <c r="A1900">
        <v>3</v>
      </c>
      <c r="B1900" t="s">
        <v>193</v>
      </c>
      <c r="C1900" t="s">
        <v>3705</v>
      </c>
      <c r="D1900">
        <v>6.8</v>
      </c>
      <c r="E1900" t="s">
        <v>34</v>
      </c>
      <c r="F1900" t="s">
        <v>47</v>
      </c>
      <c r="G1900">
        <v>11.16</v>
      </c>
      <c r="H1900">
        <v>2.44</v>
      </c>
      <c r="I1900">
        <v>4.3600000000000003</v>
      </c>
      <c r="J1900">
        <v>19.009599999999999</v>
      </c>
      <c r="K1900" t="str">
        <f>IFERROR(INDEX(Rosters!$C$2:$C$155,MATCH($B1900,Rosters!$B$2:$B$155,0)),"NA")</f>
        <v>cory</v>
      </c>
      <c r="L1900" t="str">
        <f t="shared" si="87"/>
        <v>cory3RB</v>
      </c>
      <c r="M1900">
        <f>COUNTIF(L$1:L1900,L1900)</f>
        <v>3</v>
      </c>
      <c r="N1900" t="str">
        <f t="shared" si="88"/>
        <v>cory3RB-3</v>
      </c>
      <c r="O1900">
        <f>COUNTIFS(F$1:F1900,F1900,A$1:A1900,A1900)</f>
        <v>39</v>
      </c>
      <c r="P1900" t="str">
        <f t="shared" si="89"/>
        <v>James White3</v>
      </c>
    </row>
    <row r="1901" spans="1:16" x14ac:dyDescent="0.25">
      <c r="A1901">
        <v>15</v>
      </c>
      <c r="B1901" t="s">
        <v>145</v>
      </c>
      <c r="C1901" t="s">
        <v>7085</v>
      </c>
      <c r="D1901">
        <v>6.8</v>
      </c>
      <c r="E1901" t="s">
        <v>58</v>
      </c>
      <c r="F1901" t="s">
        <v>47</v>
      </c>
      <c r="G1901">
        <v>11.68</v>
      </c>
      <c r="H1901">
        <v>1.92</v>
      </c>
      <c r="I1901">
        <v>4.88</v>
      </c>
      <c r="J1901">
        <v>23.814399999999999</v>
      </c>
      <c r="K1901" t="str">
        <f>IFERROR(INDEX(Rosters!$C$2:$C$155,MATCH($B1901,Rosters!$B$2:$B$155,0)),"NA")</f>
        <v>lucas</v>
      </c>
      <c r="L1901" t="str">
        <f t="shared" si="87"/>
        <v>lucas15RB</v>
      </c>
      <c r="M1901">
        <f>COUNTIF(L$1:L1901,L1901)</f>
        <v>2</v>
      </c>
      <c r="N1901" t="str">
        <f t="shared" si="88"/>
        <v>lucas15RB-2</v>
      </c>
      <c r="O1901">
        <f>COUNTIFS(F$1:F1901,F1901,A$1:A1901,A1901)</f>
        <v>35</v>
      </c>
      <c r="P1901" t="str">
        <f t="shared" si="89"/>
        <v>Tevin Coleman15</v>
      </c>
    </row>
    <row r="1902" spans="1:16" x14ac:dyDescent="0.25">
      <c r="A1902">
        <v>7</v>
      </c>
      <c r="B1902" t="s">
        <v>155</v>
      </c>
      <c r="C1902" t="s">
        <v>7086</v>
      </c>
      <c r="D1902">
        <v>6.8</v>
      </c>
      <c r="E1902" t="s">
        <v>19</v>
      </c>
      <c r="F1902" t="s">
        <v>47</v>
      </c>
      <c r="G1902">
        <v>11.94</v>
      </c>
      <c r="H1902">
        <v>1.66</v>
      </c>
      <c r="I1902">
        <v>5.14</v>
      </c>
      <c r="J1902">
        <v>26.419599999999999</v>
      </c>
      <c r="K1902" t="str">
        <f>IFERROR(INDEX(Rosters!$C$2:$C$155,MATCH($B1902,Rosters!$B$2:$B$155,0)),"NA")</f>
        <v>NA</v>
      </c>
      <c r="L1902" t="str">
        <f t="shared" si="87"/>
        <v>NA7RB</v>
      </c>
      <c r="M1902">
        <f>COUNTIF(L$1:L1902,L1902)</f>
        <v>3</v>
      </c>
      <c r="N1902" t="str">
        <f t="shared" si="88"/>
        <v>NA7RB-3</v>
      </c>
      <c r="O1902">
        <f>COUNTIFS(F$1:F1902,F1902,A$1:A1902,A1902)</f>
        <v>37</v>
      </c>
      <c r="P1902" t="str">
        <f t="shared" si="89"/>
        <v>Theo Riddick7</v>
      </c>
    </row>
    <row r="1903" spans="1:16" x14ac:dyDescent="0.25">
      <c r="A1903">
        <v>13</v>
      </c>
      <c r="B1903" t="s">
        <v>180</v>
      </c>
      <c r="C1903" t="s">
        <v>7087</v>
      </c>
      <c r="D1903">
        <v>6.8</v>
      </c>
      <c r="E1903" t="s">
        <v>30</v>
      </c>
      <c r="F1903" t="s">
        <v>87</v>
      </c>
      <c r="G1903">
        <v>11.93</v>
      </c>
      <c r="H1903">
        <v>1.67</v>
      </c>
      <c r="I1903">
        <v>5.13</v>
      </c>
      <c r="J1903">
        <v>26.3169</v>
      </c>
      <c r="K1903" t="str">
        <f>IFERROR(INDEX(Rosters!$C$2:$C$155,MATCH($B1903,Rosters!$B$2:$B$155,0)),"NA")</f>
        <v>NA</v>
      </c>
      <c r="L1903" t="str">
        <f t="shared" si="87"/>
        <v>NA13WR</v>
      </c>
      <c r="M1903">
        <f>COUNTIF(L$1:L1903,L1903)</f>
        <v>2</v>
      </c>
      <c r="N1903" t="str">
        <f t="shared" si="88"/>
        <v>NA13WR-2</v>
      </c>
      <c r="O1903">
        <f>COUNTIFS(F$1:F1903,F1903,A$1:A1903,A1903)</f>
        <v>46</v>
      </c>
      <c r="P1903" t="str">
        <f t="shared" si="89"/>
        <v>Tyler Lockett13</v>
      </c>
    </row>
    <row r="1904" spans="1:16" x14ac:dyDescent="0.25">
      <c r="A1904">
        <v>3</v>
      </c>
      <c r="B1904" t="s">
        <v>280</v>
      </c>
      <c r="C1904" t="s">
        <v>3706</v>
      </c>
      <c r="D1904">
        <v>6.79</v>
      </c>
      <c r="E1904" t="s">
        <v>25</v>
      </c>
      <c r="F1904" t="s">
        <v>47</v>
      </c>
      <c r="G1904">
        <v>13.52</v>
      </c>
      <c r="H1904">
        <v>0.06</v>
      </c>
      <c r="I1904">
        <v>6.73</v>
      </c>
      <c r="J1904">
        <v>45.292900000000003</v>
      </c>
      <c r="K1904" t="str">
        <f>IFERROR(INDEX(Rosters!$C$2:$C$155,MATCH($B1904,Rosters!$B$2:$B$155,0)),"NA")</f>
        <v>NA</v>
      </c>
      <c r="L1904" t="str">
        <f t="shared" si="87"/>
        <v>NA3RB</v>
      </c>
      <c r="M1904">
        <f>COUNTIF(L$1:L1904,L1904)</f>
        <v>10</v>
      </c>
      <c r="N1904" t="str">
        <f t="shared" si="88"/>
        <v>NA3RB-10</v>
      </c>
      <c r="O1904">
        <f>COUNTIFS(F$1:F1904,F1904,A$1:A1904,A1904)</f>
        <v>40</v>
      </c>
      <c r="P1904" t="str">
        <f t="shared" si="89"/>
        <v>Chris Ivory3</v>
      </c>
    </row>
    <row r="1905" spans="1:16" x14ac:dyDescent="0.25">
      <c r="A1905">
        <v>7</v>
      </c>
      <c r="B1905" t="s">
        <v>181</v>
      </c>
      <c r="C1905" t="s">
        <v>7088</v>
      </c>
      <c r="D1905">
        <v>6.79</v>
      </c>
      <c r="E1905" t="s">
        <v>73</v>
      </c>
      <c r="F1905" t="s">
        <v>114</v>
      </c>
      <c r="G1905">
        <v>10.63</v>
      </c>
      <c r="H1905">
        <v>2.95</v>
      </c>
      <c r="I1905">
        <v>3.84</v>
      </c>
      <c r="J1905">
        <v>14.7456</v>
      </c>
      <c r="K1905" t="str">
        <f>IFERROR(INDEX(Rosters!$C$2:$C$155,MATCH($B1905,Rosters!$B$2:$B$155,0)),"NA")</f>
        <v>cory</v>
      </c>
      <c r="L1905" t="str">
        <f t="shared" si="87"/>
        <v>cory7TE</v>
      </c>
      <c r="M1905">
        <f>COUNTIF(L$1:L1905,L1905)</f>
        <v>1</v>
      </c>
      <c r="N1905" t="str">
        <f t="shared" si="88"/>
        <v>cory7TE-1</v>
      </c>
      <c r="O1905">
        <f>COUNTIFS(F$1:F1905,F1905,A$1:A1905,A1905)</f>
        <v>6</v>
      </c>
      <c r="P1905" t="str">
        <f t="shared" si="89"/>
        <v>Kyle Rudolph7</v>
      </c>
    </row>
    <row r="1906" spans="1:16" x14ac:dyDescent="0.25">
      <c r="A1906">
        <v>16</v>
      </c>
      <c r="B1906" t="s">
        <v>1148</v>
      </c>
      <c r="C1906" t="s">
        <v>7089</v>
      </c>
      <c r="D1906">
        <v>6.79</v>
      </c>
      <c r="E1906" t="s">
        <v>24</v>
      </c>
      <c r="F1906" t="s">
        <v>47</v>
      </c>
      <c r="G1906">
        <v>11.35</v>
      </c>
      <c r="H1906">
        <v>2.23</v>
      </c>
      <c r="I1906">
        <v>4.5599999999999996</v>
      </c>
      <c r="J1906">
        <v>20.793600000000001</v>
      </c>
      <c r="K1906" t="str">
        <f>IFERROR(INDEX(Rosters!$C$2:$C$155,MATCH($B1906,Rosters!$B$2:$B$155,0)),"NA")</f>
        <v>NA</v>
      </c>
      <c r="L1906" t="str">
        <f t="shared" si="87"/>
        <v>NA16RB</v>
      </c>
      <c r="M1906">
        <f>COUNTIF(L$1:L1906,L1906)</f>
        <v>1</v>
      </c>
      <c r="N1906" t="str">
        <f t="shared" si="88"/>
        <v>NA16RB-1</v>
      </c>
      <c r="O1906">
        <f>COUNTIFS(F$1:F1906,F1906,A$1:A1906,A1906)</f>
        <v>38</v>
      </c>
      <c r="P1906" t="str">
        <f t="shared" si="89"/>
        <v>Mike Davis16</v>
      </c>
    </row>
    <row r="1907" spans="1:16" x14ac:dyDescent="0.25">
      <c r="A1907">
        <v>3</v>
      </c>
      <c r="B1907" t="s">
        <v>264</v>
      </c>
      <c r="C1907" t="s">
        <v>3707</v>
      </c>
      <c r="D1907">
        <v>6.78</v>
      </c>
      <c r="E1907" t="s">
        <v>24</v>
      </c>
      <c r="F1907" t="s">
        <v>114</v>
      </c>
      <c r="G1907">
        <v>11.29</v>
      </c>
      <c r="H1907">
        <v>2.27</v>
      </c>
      <c r="I1907">
        <v>4.51</v>
      </c>
      <c r="J1907">
        <v>20.3401</v>
      </c>
      <c r="K1907" t="str">
        <f>IFERROR(INDEX(Rosters!$C$2:$C$155,MATCH($B1907,Rosters!$B$2:$B$155,0)),"NA")</f>
        <v>scott</v>
      </c>
      <c r="L1907" t="str">
        <f t="shared" si="87"/>
        <v>scott3TE</v>
      </c>
      <c r="M1907">
        <f>COUNTIF(L$1:L1907,L1907)</f>
        <v>1</v>
      </c>
      <c r="N1907" t="str">
        <f t="shared" si="88"/>
        <v>scott3TE-1</v>
      </c>
      <c r="O1907">
        <f>COUNTIFS(F$1:F1907,F1907,A$1:A1907,A1907)</f>
        <v>7</v>
      </c>
      <c r="P1907" t="str">
        <f t="shared" si="89"/>
        <v>George Kittle3</v>
      </c>
    </row>
    <row r="1908" spans="1:16" x14ac:dyDescent="0.25">
      <c r="A1908">
        <v>10</v>
      </c>
      <c r="B1908" t="s">
        <v>180</v>
      </c>
      <c r="C1908" t="s">
        <v>7090</v>
      </c>
      <c r="D1908">
        <v>6.78</v>
      </c>
      <c r="E1908" t="s">
        <v>56</v>
      </c>
      <c r="F1908" t="s">
        <v>87</v>
      </c>
      <c r="G1908">
        <v>11.63</v>
      </c>
      <c r="H1908">
        <v>1.93</v>
      </c>
      <c r="I1908">
        <v>4.8499999999999996</v>
      </c>
      <c r="J1908">
        <v>23.522500000000001</v>
      </c>
      <c r="K1908" t="str">
        <f>IFERROR(INDEX(Rosters!$C$2:$C$155,MATCH($B1908,Rosters!$B$2:$B$155,0)),"NA")</f>
        <v>NA</v>
      </c>
      <c r="L1908" t="str">
        <f t="shared" si="87"/>
        <v>NA10WR</v>
      </c>
      <c r="M1908">
        <f>COUNTIF(L$1:L1908,L1908)</f>
        <v>3</v>
      </c>
      <c r="N1908" t="str">
        <f t="shared" si="88"/>
        <v>NA10WR-3</v>
      </c>
      <c r="O1908">
        <f>COUNTIFS(F$1:F1908,F1908,A$1:A1908,A1908)</f>
        <v>40</v>
      </c>
      <c r="P1908" t="str">
        <f t="shared" si="89"/>
        <v>Tyler Lockett10</v>
      </c>
    </row>
    <row r="1909" spans="1:16" x14ac:dyDescent="0.25">
      <c r="A1909">
        <v>15</v>
      </c>
      <c r="B1909" t="s">
        <v>834</v>
      </c>
      <c r="C1909" t="s">
        <v>7091</v>
      </c>
      <c r="D1909">
        <v>6.77</v>
      </c>
      <c r="E1909" t="s">
        <v>30</v>
      </c>
      <c r="F1909" t="s">
        <v>47</v>
      </c>
      <c r="G1909">
        <v>12.31</v>
      </c>
      <c r="H1909">
        <v>1.23</v>
      </c>
      <c r="I1909">
        <v>5.54</v>
      </c>
      <c r="J1909">
        <v>30.691600000000001</v>
      </c>
      <c r="K1909" t="str">
        <f>IFERROR(INDEX(Rosters!$C$2:$C$155,MATCH($B1909,Rosters!$B$2:$B$155,0)),"NA")</f>
        <v>lucas</v>
      </c>
      <c r="L1909" t="str">
        <f t="shared" si="87"/>
        <v>lucas15RB</v>
      </c>
      <c r="M1909">
        <f>COUNTIF(L$1:L1909,L1909)</f>
        <v>3</v>
      </c>
      <c r="N1909" t="str">
        <f t="shared" si="88"/>
        <v>lucas15RB-3</v>
      </c>
      <c r="O1909">
        <f>COUNTIFS(F$1:F1909,F1909,A$1:A1909,A1909)</f>
        <v>36</v>
      </c>
      <c r="P1909" t="str">
        <f t="shared" si="89"/>
        <v>Chris Carson15</v>
      </c>
    </row>
    <row r="1910" spans="1:16" x14ac:dyDescent="0.25">
      <c r="A1910">
        <v>17</v>
      </c>
      <c r="B1910" t="s">
        <v>149</v>
      </c>
      <c r="C1910" t="s">
        <v>7092</v>
      </c>
      <c r="D1910">
        <v>6.77</v>
      </c>
      <c r="E1910" t="s">
        <v>37</v>
      </c>
      <c r="F1910" t="s">
        <v>87</v>
      </c>
      <c r="G1910">
        <v>11.63</v>
      </c>
      <c r="H1910">
        <v>1.91</v>
      </c>
      <c r="I1910">
        <v>4.8600000000000003</v>
      </c>
      <c r="J1910">
        <v>23.619599999999998</v>
      </c>
      <c r="K1910" t="str">
        <f>IFERROR(INDEX(Rosters!$C$2:$C$155,MATCH($B1910,Rosters!$B$2:$B$155,0)),"NA")</f>
        <v>comp</v>
      </c>
      <c r="L1910" t="str">
        <f t="shared" si="87"/>
        <v>comp17WR</v>
      </c>
      <c r="M1910">
        <f>COUNTIF(L$1:L1910,L1910)</f>
        <v>5</v>
      </c>
      <c r="N1910" t="str">
        <f t="shared" si="88"/>
        <v>comp17WR-5</v>
      </c>
      <c r="O1910">
        <f>COUNTIFS(F$1:F1910,F1910,A$1:A1910,A1910)</f>
        <v>47</v>
      </c>
      <c r="P1910" t="str">
        <f t="shared" si="89"/>
        <v>Emmanuel Sanders17</v>
      </c>
    </row>
    <row r="1911" spans="1:16" x14ac:dyDescent="0.25">
      <c r="A1911">
        <v>7</v>
      </c>
      <c r="B1911" t="s">
        <v>117</v>
      </c>
      <c r="C1911" t="s">
        <v>7093</v>
      </c>
      <c r="D1911">
        <v>6.77</v>
      </c>
      <c r="E1911" t="s">
        <v>25</v>
      </c>
      <c r="F1911" t="s">
        <v>47</v>
      </c>
      <c r="G1911">
        <v>12.19</v>
      </c>
      <c r="H1911">
        <v>1.35</v>
      </c>
      <c r="I1911">
        <v>5.42</v>
      </c>
      <c r="J1911">
        <v>29.3764</v>
      </c>
      <c r="K1911" t="str">
        <f>IFERROR(INDEX(Rosters!$C$2:$C$155,MATCH($B1911,Rosters!$B$2:$B$155,0)),"NA")</f>
        <v>chad</v>
      </c>
      <c r="L1911" t="str">
        <f t="shared" si="87"/>
        <v>chad7RB</v>
      </c>
      <c r="M1911">
        <f>COUNTIF(L$1:L1911,L1911)</f>
        <v>5</v>
      </c>
      <c r="N1911" t="str">
        <f t="shared" si="88"/>
        <v>chad7RB-5</v>
      </c>
      <c r="O1911">
        <f>COUNTIFS(F$1:F1911,F1911,A$1:A1911,A1911)</f>
        <v>38</v>
      </c>
      <c r="P1911" t="str">
        <f t="shared" si="89"/>
        <v>Isaiah Crowell7</v>
      </c>
    </row>
    <row r="1912" spans="1:16" x14ac:dyDescent="0.25">
      <c r="A1912">
        <v>9</v>
      </c>
      <c r="B1912" t="s">
        <v>145</v>
      </c>
      <c r="C1912" t="s">
        <v>7094</v>
      </c>
      <c r="D1912">
        <v>6.77</v>
      </c>
      <c r="E1912" t="s">
        <v>60</v>
      </c>
      <c r="F1912" t="s">
        <v>47</v>
      </c>
      <c r="G1912">
        <v>12.15</v>
      </c>
      <c r="H1912">
        <v>1.39</v>
      </c>
      <c r="I1912">
        <v>5.38</v>
      </c>
      <c r="J1912">
        <v>28.944400000000002</v>
      </c>
      <c r="K1912" t="str">
        <f>IFERROR(INDEX(Rosters!$C$2:$C$155,MATCH($B1912,Rosters!$B$2:$B$155,0)),"NA")</f>
        <v>lucas</v>
      </c>
      <c r="L1912" t="str">
        <f t="shared" si="87"/>
        <v>lucas9RB</v>
      </c>
      <c r="M1912">
        <f>COUNTIF(L$1:L1912,L1912)</f>
        <v>4</v>
      </c>
      <c r="N1912" t="str">
        <f t="shared" si="88"/>
        <v>lucas9RB-4</v>
      </c>
      <c r="O1912">
        <f>COUNTIFS(F$1:F1912,F1912,A$1:A1912,A1912)</f>
        <v>36</v>
      </c>
      <c r="P1912" t="str">
        <f t="shared" si="89"/>
        <v>Tevin Coleman9</v>
      </c>
    </row>
    <row r="1913" spans="1:16" x14ac:dyDescent="0.25">
      <c r="A1913">
        <v>10</v>
      </c>
      <c r="B1913" t="s">
        <v>271</v>
      </c>
      <c r="C1913" t="s">
        <v>7095</v>
      </c>
      <c r="D1913">
        <v>6.76</v>
      </c>
      <c r="E1913" t="s">
        <v>19</v>
      </c>
      <c r="F1913" t="s">
        <v>87</v>
      </c>
      <c r="G1913">
        <v>12.58</v>
      </c>
      <c r="H1913">
        <v>0.94</v>
      </c>
      <c r="I1913">
        <v>5.82</v>
      </c>
      <c r="J1913">
        <v>33.872399999999999</v>
      </c>
      <c r="K1913" t="str">
        <f>IFERROR(INDEX(Rosters!$C$2:$C$155,MATCH($B1913,Rosters!$B$2:$B$155,0)),"NA")</f>
        <v>matty</v>
      </c>
      <c r="L1913" t="str">
        <f t="shared" si="87"/>
        <v>matty10WR</v>
      </c>
      <c r="M1913">
        <f>COUNTIF(L$1:L1913,L1913)</f>
        <v>5</v>
      </c>
      <c r="N1913" t="str">
        <f t="shared" si="88"/>
        <v>matty10WR-5</v>
      </c>
      <c r="O1913">
        <f>COUNTIFS(F$1:F1913,F1913,A$1:A1913,A1913)</f>
        <v>41</v>
      </c>
      <c r="P1913" t="str">
        <f t="shared" si="89"/>
        <v>Geronimo Allison10</v>
      </c>
    </row>
    <row r="1914" spans="1:16" x14ac:dyDescent="0.25">
      <c r="A1914">
        <v>3</v>
      </c>
      <c r="B1914" t="s">
        <v>208</v>
      </c>
      <c r="C1914" t="s">
        <v>3708</v>
      </c>
      <c r="D1914">
        <v>6.76</v>
      </c>
      <c r="E1914" t="s">
        <v>19</v>
      </c>
      <c r="F1914" t="s">
        <v>114</v>
      </c>
      <c r="G1914">
        <v>11.79</v>
      </c>
      <c r="H1914">
        <v>1.73</v>
      </c>
      <c r="I1914">
        <v>5.03</v>
      </c>
      <c r="J1914">
        <v>25.300899999999999</v>
      </c>
      <c r="K1914" t="str">
        <f>IFERROR(INDEX(Rosters!$C$2:$C$155,MATCH($B1914,Rosters!$B$2:$B$155,0)),"NA")</f>
        <v>chad</v>
      </c>
      <c r="L1914" t="str">
        <f t="shared" si="87"/>
        <v>chad3TE</v>
      </c>
      <c r="M1914">
        <f>COUNTIF(L$1:L1914,L1914)</f>
        <v>1</v>
      </c>
      <c r="N1914" t="str">
        <f t="shared" si="88"/>
        <v>chad3TE-1</v>
      </c>
      <c r="O1914">
        <f>COUNTIFS(F$1:F1914,F1914,A$1:A1914,A1914)</f>
        <v>8</v>
      </c>
      <c r="P1914" t="str">
        <f t="shared" si="89"/>
        <v>Jared Cook3</v>
      </c>
    </row>
    <row r="1915" spans="1:16" x14ac:dyDescent="0.25">
      <c r="A1915">
        <v>1</v>
      </c>
      <c r="B1915" t="s">
        <v>313</v>
      </c>
      <c r="C1915" t="s">
        <v>1697</v>
      </c>
      <c r="D1915">
        <v>6.76</v>
      </c>
      <c r="E1915" t="s">
        <v>41</v>
      </c>
      <c r="F1915" t="s">
        <v>114</v>
      </c>
      <c r="G1915">
        <v>12.39</v>
      </c>
      <c r="H1915">
        <v>1.1299999999999999</v>
      </c>
      <c r="I1915">
        <v>5.63</v>
      </c>
      <c r="J1915">
        <v>31.696899999999999</v>
      </c>
      <c r="K1915" t="str">
        <f>IFERROR(INDEX(Rosters!$C$2:$C$155,MATCH($B1915,Rosters!$B$2:$B$155,0)),"NA")</f>
        <v>comp</v>
      </c>
      <c r="L1915" t="str">
        <f t="shared" si="87"/>
        <v>comp1TE</v>
      </c>
      <c r="M1915">
        <f>COUNTIF(L$1:L1915,L1915)</f>
        <v>1</v>
      </c>
      <c r="N1915" t="str">
        <f t="shared" si="88"/>
        <v>comp1TE-1</v>
      </c>
      <c r="O1915">
        <f>COUNTIFS(F$1:F1915,F1915,A$1:A1915,A1915)</f>
        <v>7</v>
      </c>
      <c r="P1915" t="str">
        <f t="shared" si="89"/>
        <v>Trey Burton1</v>
      </c>
    </row>
    <row r="1916" spans="1:16" x14ac:dyDescent="0.25">
      <c r="A1916">
        <v>3</v>
      </c>
      <c r="B1916" t="s">
        <v>180</v>
      </c>
      <c r="C1916" t="s">
        <v>3709</v>
      </c>
      <c r="D1916">
        <v>6.76</v>
      </c>
      <c r="E1916" t="s">
        <v>22</v>
      </c>
      <c r="F1916" t="s">
        <v>87</v>
      </c>
      <c r="G1916">
        <v>11.9</v>
      </c>
      <c r="H1916">
        <v>1.62</v>
      </c>
      <c r="I1916">
        <v>5.14</v>
      </c>
      <c r="J1916">
        <v>26.419599999999999</v>
      </c>
      <c r="K1916" t="str">
        <f>IFERROR(INDEX(Rosters!$C$2:$C$155,MATCH($B1916,Rosters!$B$2:$B$155,0)),"NA")</f>
        <v>NA</v>
      </c>
      <c r="L1916" t="str">
        <f t="shared" si="87"/>
        <v>NA3WR</v>
      </c>
      <c r="M1916">
        <f>COUNTIF(L$1:L1916,L1916)</f>
        <v>2</v>
      </c>
      <c r="N1916" t="str">
        <f t="shared" si="88"/>
        <v>NA3WR-2</v>
      </c>
      <c r="O1916">
        <f>COUNTIFS(F$1:F1916,F1916,A$1:A1916,A1916)</f>
        <v>39</v>
      </c>
      <c r="P1916" t="str">
        <f t="shared" si="89"/>
        <v>Tyler Lockett3</v>
      </c>
    </row>
    <row r="1917" spans="1:16" x14ac:dyDescent="0.25">
      <c r="A1917">
        <v>17</v>
      </c>
      <c r="B1917" t="s">
        <v>220</v>
      </c>
      <c r="C1917" t="s">
        <v>7096</v>
      </c>
      <c r="D1917">
        <v>6.75</v>
      </c>
      <c r="E1917" t="s">
        <v>29</v>
      </c>
      <c r="F1917" t="s">
        <v>87</v>
      </c>
      <c r="G1917">
        <v>12</v>
      </c>
      <c r="H1917">
        <v>1.5</v>
      </c>
      <c r="I1917">
        <v>5.25</v>
      </c>
      <c r="J1917">
        <v>27.5625</v>
      </c>
      <c r="K1917" t="str">
        <f>IFERROR(INDEX(Rosters!$C$2:$C$155,MATCH($B1917,Rosters!$B$2:$B$155,0)),"NA")</f>
        <v>comp</v>
      </c>
      <c r="L1917" t="str">
        <f t="shared" si="87"/>
        <v>comp17WR</v>
      </c>
      <c r="M1917">
        <f>COUNTIF(L$1:L1917,L1917)</f>
        <v>6</v>
      </c>
      <c r="N1917" t="str">
        <f t="shared" si="88"/>
        <v>comp17WR-6</v>
      </c>
      <c r="O1917">
        <f>COUNTIFS(F$1:F1917,F1917,A$1:A1917,A1917)</f>
        <v>48</v>
      </c>
      <c r="P1917" t="str">
        <f t="shared" si="89"/>
        <v>Kenny Stills17</v>
      </c>
    </row>
    <row r="1918" spans="1:16" x14ac:dyDescent="0.25">
      <c r="A1918">
        <v>16</v>
      </c>
      <c r="B1918" t="s">
        <v>245</v>
      </c>
      <c r="C1918" t="s">
        <v>7097</v>
      </c>
      <c r="D1918">
        <v>6.75</v>
      </c>
      <c r="E1918" t="s">
        <v>19</v>
      </c>
      <c r="F1918" t="s">
        <v>47</v>
      </c>
      <c r="G1918">
        <v>12.85</v>
      </c>
      <c r="H1918">
        <v>0.65</v>
      </c>
      <c r="I1918">
        <v>6.1</v>
      </c>
      <c r="J1918">
        <v>37.21</v>
      </c>
      <c r="K1918" t="str">
        <f>IFERROR(INDEX(Rosters!$C$2:$C$155,MATCH($B1918,Rosters!$B$2:$B$155,0)),"NA")</f>
        <v>seth</v>
      </c>
      <c r="L1918" t="str">
        <f t="shared" si="87"/>
        <v>seth16RB</v>
      </c>
      <c r="M1918">
        <f>COUNTIF(L$1:L1918,L1918)</f>
        <v>4</v>
      </c>
      <c r="N1918" t="str">
        <f t="shared" si="88"/>
        <v>seth16RB-4</v>
      </c>
      <c r="O1918">
        <f>COUNTIFS(F$1:F1918,F1918,A$1:A1918,A1918)</f>
        <v>39</v>
      </c>
      <c r="P1918" t="str">
        <f t="shared" si="89"/>
        <v>T.J. Yeldon16</v>
      </c>
    </row>
    <row r="1919" spans="1:16" x14ac:dyDescent="0.25">
      <c r="A1919">
        <v>6</v>
      </c>
      <c r="B1919" t="s">
        <v>271</v>
      </c>
      <c r="C1919" t="s">
        <v>7098</v>
      </c>
      <c r="D1919">
        <v>6.74</v>
      </c>
      <c r="E1919" t="s">
        <v>30</v>
      </c>
      <c r="F1919" t="s">
        <v>87</v>
      </c>
      <c r="G1919">
        <v>12.5</v>
      </c>
      <c r="H1919">
        <v>0.98</v>
      </c>
      <c r="I1919">
        <v>5.76</v>
      </c>
      <c r="J1919">
        <v>33.177599999999998</v>
      </c>
      <c r="K1919" t="str">
        <f>IFERROR(INDEX(Rosters!$C$2:$C$155,MATCH($B1919,Rosters!$B$2:$B$155,0)),"NA")</f>
        <v>matty</v>
      </c>
      <c r="L1919" t="str">
        <f t="shared" si="87"/>
        <v>matty6WR</v>
      </c>
      <c r="M1919">
        <f>COUNTIF(L$1:L1919,L1919)</f>
        <v>4</v>
      </c>
      <c r="N1919" t="str">
        <f t="shared" si="88"/>
        <v>matty6WR-4</v>
      </c>
      <c r="O1919">
        <f>COUNTIFS(F$1:F1919,F1919,A$1:A1919,A1919)</f>
        <v>41</v>
      </c>
      <c r="P1919" t="str">
        <f t="shared" si="89"/>
        <v>Geronimo Allison6</v>
      </c>
    </row>
    <row r="1920" spans="1:16" x14ac:dyDescent="0.25">
      <c r="A1920">
        <v>13</v>
      </c>
      <c r="B1920" t="s">
        <v>306</v>
      </c>
      <c r="C1920" t="s">
        <v>7099</v>
      </c>
      <c r="D1920">
        <v>6.74</v>
      </c>
      <c r="E1920" t="s">
        <v>46</v>
      </c>
      <c r="F1920" t="s">
        <v>47</v>
      </c>
      <c r="G1920">
        <v>12.52</v>
      </c>
      <c r="H1920">
        <v>0.96</v>
      </c>
      <c r="I1920">
        <v>5.78</v>
      </c>
      <c r="J1920">
        <v>33.4084</v>
      </c>
      <c r="K1920" t="str">
        <f>IFERROR(INDEX(Rosters!$C$2:$C$155,MATCH($B1920,Rosters!$B$2:$B$155,0)),"NA")</f>
        <v>chad</v>
      </c>
      <c r="L1920" t="str">
        <f t="shared" si="87"/>
        <v>chad13RB</v>
      </c>
      <c r="M1920">
        <f>COUNTIF(L$1:L1920,L1920)</f>
        <v>4</v>
      </c>
      <c r="N1920" t="str">
        <f t="shared" si="88"/>
        <v>chad13RB-4</v>
      </c>
      <c r="O1920">
        <f>COUNTIFS(F$1:F1920,F1920,A$1:A1920,A1920)</f>
        <v>40</v>
      </c>
      <c r="P1920" t="str">
        <f t="shared" si="89"/>
        <v>Javorius Allen13</v>
      </c>
    </row>
    <row r="1921" spans="1:16" x14ac:dyDescent="0.25">
      <c r="A1921">
        <v>5</v>
      </c>
      <c r="B1921" t="s">
        <v>305</v>
      </c>
      <c r="C1921">
        <f>-0.07-13.53</f>
        <v>-13.6</v>
      </c>
      <c r="D1921">
        <v>6.73</v>
      </c>
      <c r="E1921" t="s">
        <v>423</v>
      </c>
      <c r="F1921" t="s">
        <v>87</v>
      </c>
      <c r="G1921">
        <v>13.53</v>
      </c>
      <c r="H1921">
        <v>-7.0000000000000007E-2</v>
      </c>
      <c r="I1921">
        <v>6.8</v>
      </c>
      <c r="J1921">
        <v>46.24</v>
      </c>
      <c r="K1921" t="str">
        <f>IFERROR(INDEX(Rosters!$C$2:$C$155,MATCH($B1921,Rosters!$B$2:$B$155,0)),"NA")</f>
        <v>NA</v>
      </c>
      <c r="L1921" t="str">
        <f t="shared" si="87"/>
        <v>NA5WR</v>
      </c>
      <c r="M1921">
        <f>COUNTIF(L$1:L1921,L1921)</f>
        <v>3</v>
      </c>
      <c r="N1921" t="str">
        <f t="shared" si="88"/>
        <v>NA5WR-3</v>
      </c>
      <c r="O1921">
        <f>COUNTIFS(F$1:F1921,F1921,A$1:A1921,A1921)</f>
        <v>44</v>
      </c>
      <c r="P1921" t="str">
        <f t="shared" si="89"/>
        <v>Chester Rogers5</v>
      </c>
    </row>
    <row r="1922" spans="1:16" x14ac:dyDescent="0.25">
      <c r="A1922">
        <v>12</v>
      </c>
      <c r="B1922" t="s">
        <v>834</v>
      </c>
      <c r="C1922" t="s">
        <v>7100</v>
      </c>
      <c r="D1922">
        <v>6.73</v>
      </c>
      <c r="E1922" t="s">
        <v>74</v>
      </c>
      <c r="F1922" t="s">
        <v>47</v>
      </c>
      <c r="G1922">
        <v>11.61</v>
      </c>
      <c r="H1922">
        <v>1.85</v>
      </c>
      <c r="I1922">
        <v>4.88</v>
      </c>
      <c r="J1922">
        <v>23.814399999999999</v>
      </c>
      <c r="K1922" t="str">
        <f>IFERROR(INDEX(Rosters!$C$2:$C$155,MATCH($B1922,Rosters!$B$2:$B$155,0)),"NA")</f>
        <v>lucas</v>
      </c>
      <c r="L1922" t="str">
        <f t="shared" si="87"/>
        <v>lucas12RB</v>
      </c>
      <c r="M1922">
        <f>COUNTIF(L$1:L1922,L1922)</f>
        <v>4</v>
      </c>
      <c r="N1922" t="str">
        <f t="shared" si="88"/>
        <v>lucas12RB-4</v>
      </c>
      <c r="O1922">
        <f>COUNTIFS(F$1:F1922,F1922,A$1:A1922,A1922)</f>
        <v>34</v>
      </c>
      <c r="P1922" t="str">
        <f t="shared" si="89"/>
        <v>Chris Carson12</v>
      </c>
    </row>
    <row r="1923" spans="1:16" x14ac:dyDescent="0.25">
      <c r="A1923">
        <v>1</v>
      </c>
      <c r="B1923" t="s">
        <v>203</v>
      </c>
      <c r="C1923" t="s">
        <v>1363</v>
      </c>
      <c r="D1923">
        <v>6.73</v>
      </c>
      <c r="E1923" t="s">
        <v>34</v>
      </c>
      <c r="F1923" t="s">
        <v>87</v>
      </c>
      <c r="G1923">
        <v>11.91</v>
      </c>
      <c r="H1923">
        <v>1.55</v>
      </c>
      <c r="I1923">
        <v>5.18</v>
      </c>
      <c r="J1923">
        <v>26.8324</v>
      </c>
      <c r="K1923" t="str">
        <f>IFERROR(INDEX(Rosters!$C$2:$C$155,MATCH($B1923,Rosters!$B$2:$B$155,0)),"NA")</f>
        <v>NA</v>
      </c>
      <c r="L1923" t="str">
        <f t="shared" ref="L1923:L1986" si="90">K1923&amp;A1923&amp;F1923</f>
        <v>NA1WR</v>
      </c>
      <c r="M1923">
        <f>COUNTIF(L$1:L1923,L1923)</f>
        <v>1</v>
      </c>
      <c r="N1923" t="str">
        <f t="shared" ref="N1923:N1986" si="91">L1923&amp;"-"&amp;M1923</f>
        <v>NA1WR-1</v>
      </c>
      <c r="O1923">
        <f>COUNTIFS(F$1:F1923,F1923,A$1:A1923,A1923)</f>
        <v>35</v>
      </c>
      <c r="P1923" t="str">
        <f t="shared" ref="P1923:P1986" si="92">B1923&amp;A1923</f>
        <v>Robby Anderson1</v>
      </c>
    </row>
    <row r="1924" spans="1:16" x14ac:dyDescent="0.25">
      <c r="A1924">
        <v>1</v>
      </c>
      <c r="B1924" t="s">
        <v>168</v>
      </c>
      <c r="C1924" t="s">
        <v>1364</v>
      </c>
      <c r="D1924">
        <v>6.73</v>
      </c>
      <c r="E1924" t="s">
        <v>17</v>
      </c>
      <c r="F1924" t="s">
        <v>87</v>
      </c>
      <c r="G1924">
        <v>11.53</v>
      </c>
      <c r="H1924">
        <v>1.93</v>
      </c>
      <c r="I1924">
        <v>4.8</v>
      </c>
      <c r="J1924">
        <v>23.04</v>
      </c>
      <c r="K1924" t="str">
        <f>IFERROR(INDEX(Rosters!$C$2:$C$155,MATCH($B1924,Rosters!$B$2:$B$155,0)),"NA")</f>
        <v>NA</v>
      </c>
      <c r="L1924" t="str">
        <f t="shared" si="90"/>
        <v>NA1WR</v>
      </c>
      <c r="M1924">
        <f>COUNTIF(L$1:L1924,L1924)</f>
        <v>2</v>
      </c>
      <c r="N1924" t="str">
        <f t="shared" si="91"/>
        <v>NA1WR-2</v>
      </c>
      <c r="O1924">
        <f>COUNTIFS(F$1:F1924,F1924,A$1:A1924,A1924)</f>
        <v>36</v>
      </c>
      <c r="P1924" t="str">
        <f t="shared" si="92"/>
        <v>Ted Ginn Jr.1</v>
      </c>
    </row>
    <row r="1925" spans="1:16" x14ac:dyDescent="0.25">
      <c r="A1925">
        <v>17</v>
      </c>
      <c r="B1925" t="s">
        <v>155</v>
      </c>
      <c r="C1925" t="s">
        <v>7101</v>
      </c>
      <c r="D1925">
        <v>6.73</v>
      </c>
      <c r="E1925" t="s">
        <v>41</v>
      </c>
      <c r="F1925" t="s">
        <v>47</v>
      </c>
      <c r="G1925">
        <v>11.88</v>
      </c>
      <c r="H1925">
        <v>1.58</v>
      </c>
      <c r="I1925">
        <v>5.15</v>
      </c>
      <c r="J1925">
        <v>26.522500000000001</v>
      </c>
      <c r="K1925" t="str">
        <f>IFERROR(INDEX(Rosters!$C$2:$C$155,MATCH($B1925,Rosters!$B$2:$B$155,0)),"NA")</f>
        <v>NA</v>
      </c>
      <c r="L1925" t="str">
        <f t="shared" si="90"/>
        <v>NA17RB</v>
      </c>
      <c r="M1925">
        <f>COUNTIF(L$1:L1925,L1925)</f>
        <v>2</v>
      </c>
      <c r="N1925" t="str">
        <f t="shared" si="91"/>
        <v>NA17RB-2</v>
      </c>
      <c r="O1925">
        <f>COUNTIFS(F$1:F1925,F1925,A$1:A1925,A1925)</f>
        <v>40</v>
      </c>
      <c r="P1925" t="str">
        <f t="shared" si="92"/>
        <v>Theo Riddick17</v>
      </c>
    </row>
    <row r="1926" spans="1:16" x14ac:dyDescent="0.25">
      <c r="A1926">
        <v>14</v>
      </c>
      <c r="B1926" t="s">
        <v>834</v>
      </c>
      <c r="C1926" t="s">
        <v>7102</v>
      </c>
      <c r="D1926">
        <v>6.72</v>
      </c>
      <c r="E1926" t="s">
        <v>25</v>
      </c>
      <c r="F1926" t="s">
        <v>47</v>
      </c>
      <c r="G1926">
        <v>11.04</v>
      </c>
      <c r="H1926">
        <v>2.4</v>
      </c>
      <c r="I1926">
        <v>4.32</v>
      </c>
      <c r="J1926">
        <v>18.662400000000002</v>
      </c>
      <c r="K1926" t="str">
        <f>IFERROR(INDEX(Rosters!$C$2:$C$155,MATCH($B1926,Rosters!$B$2:$B$155,0)),"NA")</f>
        <v>lucas</v>
      </c>
      <c r="L1926" t="str">
        <f t="shared" si="90"/>
        <v>lucas14RB</v>
      </c>
      <c r="M1926">
        <f>COUNTIF(L$1:L1926,L1926)</f>
        <v>5</v>
      </c>
      <c r="N1926" t="str">
        <f t="shared" si="91"/>
        <v>lucas14RB-5</v>
      </c>
      <c r="O1926">
        <f>COUNTIFS(F$1:F1926,F1926,A$1:A1926,A1926)</f>
        <v>40</v>
      </c>
      <c r="P1926" t="str">
        <f t="shared" si="92"/>
        <v>Chris Carson14</v>
      </c>
    </row>
    <row r="1927" spans="1:16" x14ac:dyDescent="0.25">
      <c r="A1927">
        <v>1</v>
      </c>
      <c r="B1927" t="s">
        <v>196</v>
      </c>
      <c r="C1927" t="s">
        <v>1365</v>
      </c>
      <c r="D1927">
        <v>6.72</v>
      </c>
      <c r="E1927" t="s">
        <v>66</v>
      </c>
      <c r="F1927" t="s">
        <v>47</v>
      </c>
      <c r="G1927">
        <v>10.92</v>
      </c>
      <c r="H1927">
        <v>2.52</v>
      </c>
      <c r="I1927">
        <v>4.2</v>
      </c>
      <c r="J1927">
        <v>17.64</v>
      </c>
      <c r="K1927" t="str">
        <f>IFERROR(INDEX(Rosters!$C$2:$C$155,MATCH($B1927,Rosters!$B$2:$B$155,0)),"NA")</f>
        <v>NA</v>
      </c>
      <c r="L1927" t="str">
        <f t="shared" si="90"/>
        <v>NA1RB</v>
      </c>
      <c r="M1927">
        <f>COUNTIF(L$1:L1927,L1927)</f>
        <v>4</v>
      </c>
      <c r="N1927" t="str">
        <f t="shared" si="91"/>
        <v>NA1RB-4</v>
      </c>
      <c r="O1927">
        <f>COUNTIFS(F$1:F1927,F1927,A$1:A1927,A1927)</f>
        <v>33</v>
      </c>
      <c r="P1927" t="str">
        <f t="shared" si="92"/>
        <v>Giovani Bernard1</v>
      </c>
    </row>
    <row r="1928" spans="1:16" x14ac:dyDescent="0.25">
      <c r="A1928">
        <v>14</v>
      </c>
      <c r="B1928" t="s">
        <v>203</v>
      </c>
      <c r="C1928" t="s">
        <v>7103</v>
      </c>
      <c r="D1928">
        <v>6.71</v>
      </c>
      <c r="E1928" t="s">
        <v>29</v>
      </c>
      <c r="F1928" t="s">
        <v>87</v>
      </c>
      <c r="G1928">
        <v>11.76</v>
      </c>
      <c r="H1928">
        <v>1.66</v>
      </c>
      <c r="I1928">
        <v>5.05</v>
      </c>
      <c r="J1928">
        <v>25.502500000000001</v>
      </c>
      <c r="K1928" t="str">
        <f>IFERROR(INDEX(Rosters!$C$2:$C$155,MATCH($B1928,Rosters!$B$2:$B$155,0)),"NA")</f>
        <v>NA</v>
      </c>
      <c r="L1928" t="str">
        <f t="shared" si="90"/>
        <v>NA14WR</v>
      </c>
      <c r="M1928">
        <f>COUNTIF(L$1:L1928,L1928)</f>
        <v>3</v>
      </c>
      <c r="N1928" t="str">
        <f t="shared" si="91"/>
        <v>NA14WR-3</v>
      </c>
      <c r="O1928">
        <f>COUNTIFS(F$1:F1928,F1928,A$1:A1928,A1928)</f>
        <v>45</v>
      </c>
      <c r="P1928" t="str">
        <f t="shared" si="92"/>
        <v>Robby Anderson14</v>
      </c>
    </row>
    <row r="1929" spans="1:16" x14ac:dyDescent="0.25">
      <c r="A1929">
        <v>15</v>
      </c>
      <c r="B1929" t="s">
        <v>1419</v>
      </c>
      <c r="C1929" t="s">
        <v>7104</v>
      </c>
      <c r="D1929">
        <v>6.7</v>
      </c>
      <c r="E1929" t="s">
        <v>42</v>
      </c>
      <c r="F1929" t="s">
        <v>87</v>
      </c>
      <c r="G1929">
        <v>11.71</v>
      </c>
      <c r="H1929">
        <v>1.69</v>
      </c>
      <c r="I1929">
        <v>5.01</v>
      </c>
      <c r="J1929">
        <v>25.100100000000001</v>
      </c>
      <c r="K1929" t="str">
        <f>IFERROR(INDEX(Rosters!$C$2:$C$155,MATCH($B1929,Rosters!$B$2:$B$155,0)),"NA")</f>
        <v>chad</v>
      </c>
      <c r="L1929" t="str">
        <f t="shared" si="90"/>
        <v>chad15WR</v>
      </c>
      <c r="M1929">
        <f>COUNTIF(L$1:L1929,L1929)</f>
        <v>5</v>
      </c>
      <c r="N1929" t="str">
        <f t="shared" si="91"/>
        <v>chad15WR-5</v>
      </c>
      <c r="O1929">
        <f>COUNTIFS(F$1:F1929,F1929,A$1:A1929,A1929)</f>
        <v>43</v>
      </c>
      <c r="P1929" t="str">
        <f t="shared" si="92"/>
        <v>Antonio Callaway15</v>
      </c>
    </row>
    <row r="1930" spans="1:16" x14ac:dyDescent="0.25">
      <c r="A1930">
        <v>12</v>
      </c>
      <c r="B1930" t="s">
        <v>208</v>
      </c>
      <c r="C1930" t="s">
        <v>7105</v>
      </c>
      <c r="D1930">
        <v>6.7</v>
      </c>
      <c r="E1930" t="s">
        <v>77</v>
      </c>
      <c r="F1930" t="s">
        <v>114</v>
      </c>
      <c r="G1930">
        <v>11.5</v>
      </c>
      <c r="H1930">
        <v>1.9</v>
      </c>
      <c r="I1930">
        <v>4.8</v>
      </c>
      <c r="J1930">
        <v>23.04</v>
      </c>
      <c r="K1930" t="str">
        <f>IFERROR(INDEX(Rosters!$C$2:$C$155,MATCH($B1930,Rosters!$B$2:$B$155,0)),"NA")</f>
        <v>chad</v>
      </c>
      <c r="L1930" t="str">
        <f t="shared" si="90"/>
        <v>chad12TE</v>
      </c>
      <c r="M1930">
        <f>COUNTIF(L$1:L1930,L1930)</f>
        <v>1</v>
      </c>
      <c r="N1930" t="str">
        <f t="shared" si="91"/>
        <v>chad12TE-1</v>
      </c>
      <c r="O1930">
        <f>COUNTIFS(F$1:F1930,F1930,A$1:A1930,A1930)</f>
        <v>7</v>
      </c>
      <c r="P1930" t="str">
        <f t="shared" si="92"/>
        <v>Jared Cook12</v>
      </c>
    </row>
    <row r="1931" spans="1:16" x14ac:dyDescent="0.25">
      <c r="A1931">
        <v>9</v>
      </c>
      <c r="B1931" t="s">
        <v>48</v>
      </c>
      <c r="C1931" t="s">
        <v>7106</v>
      </c>
      <c r="D1931">
        <v>6.7</v>
      </c>
      <c r="E1931" t="s">
        <v>77</v>
      </c>
      <c r="F1931" t="s">
        <v>47</v>
      </c>
      <c r="G1931">
        <v>11.24</v>
      </c>
      <c r="H1931">
        <v>2.16</v>
      </c>
      <c r="I1931">
        <v>4.54</v>
      </c>
      <c r="J1931">
        <v>20.611599999999999</v>
      </c>
      <c r="K1931" t="str">
        <f>IFERROR(INDEX(Rosters!$C$2:$C$155,MATCH($B1931,Rosters!$B$2:$B$155,0)),"NA")</f>
        <v>devon</v>
      </c>
      <c r="L1931" t="str">
        <f t="shared" si="90"/>
        <v>devon9RB</v>
      </c>
      <c r="M1931">
        <f>COUNTIF(L$1:L1931,L1931)</f>
        <v>6</v>
      </c>
      <c r="N1931" t="str">
        <f t="shared" si="91"/>
        <v>devon9RB-6</v>
      </c>
      <c r="O1931">
        <f>COUNTIFS(F$1:F1931,F1931,A$1:A1931,A1931)</f>
        <v>37</v>
      </c>
      <c r="P1931" t="str">
        <f t="shared" si="92"/>
        <v>Le'Veon Bell9</v>
      </c>
    </row>
    <row r="1932" spans="1:16" x14ac:dyDescent="0.25">
      <c r="A1932">
        <v>13</v>
      </c>
      <c r="B1932" t="s">
        <v>125</v>
      </c>
      <c r="C1932" t="s">
        <v>7107</v>
      </c>
      <c r="D1932">
        <v>6.7</v>
      </c>
      <c r="E1932" t="s">
        <v>32</v>
      </c>
      <c r="F1932" t="s">
        <v>87</v>
      </c>
      <c r="G1932">
        <v>11.19</v>
      </c>
      <c r="H1932">
        <v>2.21</v>
      </c>
      <c r="I1932">
        <v>4.49</v>
      </c>
      <c r="J1932">
        <v>20.1601</v>
      </c>
      <c r="K1932" t="str">
        <f>IFERROR(INDEX(Rosters!$C$2:$C$155,MATCH($B1932,Rosters!$B$2:$B$155,0)),"NA")</f>
        <v>scott</v>
      </c>
      <c r="L1932" t="str">
        <f t="shared" si="90"/>
        <v>scott13WR</v>
      </c>
      <c r="M1932">
        <f>COUNTIF(L$1:L1932,L1932)</f>
        <v>4</v>
      </c>
      <c r="N1932" t="str">
        <f t="shared" si="91"/>
        <v>scott13WR-4</v>
      </c>
      <c r="O1932">
        <f>COUNTIFS(F$1:F1932,F1932,A$1:A1932,A1932)</f>
        <v>47</v>
      </c>
      <c r="P1932" t="str">
        <f t="shared" si="92"/>
        <v>Sammy Watkins13</v>
      </c>
    </row>
    <row r="1933" spans="1:16" x14ac:dyDescent="0.25">
      <c r="A1933">
        <v>1</v>
      </c>
      <c r="B1933" t="s">
        <v>255</v>
      </c>
      <c r="C1933" t="s">
        <v>1698</v>
      </c>
      <c r="D1933">
        <v>6.69</v>
      </c>
      <c r="E1933" t="s">
        <v>25</v>
      </c>
      <c r="F1933" t="s">
        <v>87</v>
      </c>
      <c r="G1933">
        <v>12.5</v>
      </c>
      <c r="H1933">
        <v>0.88</v>
      </c>
      <c r="I1933">
        <v>5.81</v>
      </c>
      <c r="J1933">
        <v>33.756100000000004</v>
      </c>
      <c r="K1933" t="str">
        <f>IFERROR(INDEX(Rosters!$C$2:$C$155,MATCH($B1933,Rosters!$B$2:$B$155,0)),"NA")</f>
        <v>NA</v>
      </c>
      <c r="L1933" t="str">
        <f t="shared" si="90"/>
        <v>NA1WR</v>
      </c>
      <c r="M1933">
        <f>COUNTIF(L$1:L1933,L1933)</f>
        <v>3</v>
      </c>
      <c r="N1933" t="str">
        <f t="shared" si="91"/>
        <v>NA1WR-3</v>
      </c>
      <c r="O1933">
        <f>COUNTIFS(F$1:F1933,F1933,A$1:A1933,A1933)</f>
        <v>37</v>
      </c>
      <c r="P1933" t="str">
        <f t="shared" si="92"/>
        <v>Marquise Goodwin1</v>
      </c>
    </row>
    <row r="1934" spans="1:16" x14ac:dyDescent="0.25">
      <c r="A1934">
        <v>17</v>
      </c>
      <c r="B1934" t="s">
        <v>240</v>
      </c>
      <c r="C1934" t="s">
        <v>7108</v>
      </c>
      <c r="D1934">
        <v>6.69</v>
      </c>
      <c r="E1934" t="s">
        <v>60</v>
      </c>
      <c r="F1934" t="s">
        <v>87</v>
      </c>
      <c r="G1934">
        <v>11.64</v>
      </c>
      <c r="H1934">
        <v>1.74</v>
      </c>
      <c r="I1934">
        <v>4.95</v>
      </c>
      <c r="J1934">
        <v>24.502500000000001</v>
      </c>
      <c r="K1934" t="str">
        <f>IFERROR(INDEX(Rosters!$C$2:$C$155,MATCH($B1934,Rosters!$B$2:$B$155,0)),"NA")</f>
        <v>aj</v>
      </c>
      <c r="L1934" t="str">
        <f t="shared" si="90"/>
        <v>aj17WR</v>
      </c>
      <c r="M1934">
        <f>COUNTIF(L$1:L1934,L1934)</f>
        <v>5</v>
      </c>
      <c r="N1934" t="str">
        <f t="shared" si="91"/>
        <v>aj17WR-5</v>
      </c>
      <c r="O1934">
        <f>COUNTIFS(F$1:F1934,F1934,A$1:A1934,A1934)</f>
        <v>49</v>
      </c>
      <c r="P1934" t="str">
        <f t="shared" si="92"/>
        <v>Nelson Agholor17</v>
      </c>
    </row>
    <row r="1935" spans="1:16" x14ac:dyDescent="0.25">
      <c r="A1935">
        <v>11</v>
      </c>
      <c r="B1935" t="s">
        <v>245</v>
      </c>
      <c r="C1935" t="s">
        <v>7109</v>
      </c>
      <c r="D1935">
        <v>6.69</v>
      </c>
      <c r="E1935" t="s">
        <v>51</v>
      </c>
      <c r="F1935" t="s">
        <v>47</v>
      </c>
      <c r="G1935">
        <v>12.22</v>
      </c>
      <c r="H1935">
        <v>1.1599999999999999</v>
      </c>
      <c r="I1935">
        <v>5.53</v>
      </c>
      <c r="J1935">
        <v>30.5809</v>
      </c>
      <c r="K1935" t="str">
        <f>IFERROR(INDEX(Rosters!$C$2:$C$155,MATCH($B1935,Rosters!$B$2:$B$155,0)),"NA")</f>
        <v>seth</v>
      </c>
      <c r="L1935" t="str">
        <f t="shared" si="90"/>
        <v>seth11RB</v>
      </c>
      <c r="M1935">
        <f>COUNTIF(L$1:L1935,L1935)</f>
        <v>4</v>
      </c>
      <c r="N1935" t="str">
        <f t="shared" si="91"/>
        <v>seth11RB-4</v>
      </c>
      <c r="O1935">
        <f>COUNTIFS(F$1:F1935,F1935,A$1:A1935,A1935)</f>
        <v>30</v>
      </c>
      <c r="P1935" t="str">
        <f t="shared" si="92"/>
        <v>T.J. Yeldon11</v>
      </c>
    </row>
    <row r="1936" spans="1:16" x14ac:dyDescent="0.25">
      <c r="A1936">
        <v>17</v>
      </c>
      <c r="B1936" t="s">
        <v>221</v>
      </c>
      <c r="C1936" t="s">
        <v>7110</v>
      </c>
      <c r="D1936">
        <v>6.69</v>
      </c>
      <c r="E1936" t="s">
        <v>51</v>
      </c>
      <c r="F1936" t="s">
        <v>87</v>
      </c>
      <c r="G1936">
        <v>10.57</v>
      </c>
      <c r="H1936">
        <v>2.81</v>
      </c>
      <c r="I1936">
        <v>3.88</v>
      </c>
      <c r="J1936">
        <v>15.054399999999999</v>
      </c>
      <c r="K1936" t="str">
        <f>IFERROR(INDEX(Rosters!$C$2:$C$155,MATCH($B1936,Rosters!$B$2:$B$155,0)),"NA")</f>
        <v>cory</v>
      </c>
      <c r="L1936" t="str">
        <f t="shared" si="90"/>
        <v>cory17WR</v>
      </c>
      <c r="M1936">
        <f>COUNTIF(L$1:L1936,L1936)</f>
        <v>5</v>
      </c>
      <c r="N1936" t="str">
        <f t="shared" si="91"/>
        <v>cory17WR-5</v>
      </c>
      <c r="O1936">
        <f>COUNTIFS(F$1:F1936,F1936,A$1:A1936,A1936)</f>
        <v>50</v>
      </c>
      <c r="P1936" t="str">
        <f t="shared" si="92"/>
        <v>Tyler Boyd17</v>
      </c>
    </row>
    <row r="1937" spans="1:16" x14ac:dyDescent="0.25">
      <c r="A1937">
        <v>16</v>
      </c>
      <c r="B1937" t="s">
        <v>131</v>
      </c>
      <c r="C1937" t="s">
        <v>7111</v>
      </c>
      <c r="D1937">
        <v>6.68</v>
      </c>
      <c r="E1937" t="s">
        <v>46</v>
      </c>
      <c r="F1937" t="s">
        <v>47</v>
      </c>
      <c r="G1937">
        <v>11.92</v>
      </c>
      <c r="H1937">
        <v>1.44</v>
      </c>
      <c r="I1937">
        <v>5.24</v>
      </c>
      <c r="J1937">
        <v>27.457599999999999</v>
      </c>
      <c r="K1937" t="str">
        <f>IFERROR(INDEX(Rosters!$C$2:$C$155,MATCH($B1937,Rosters!$B$2:$B$155,0)),"NA")</f>
        <v>NA</v>
      </c>
      <c r="L1937" t="str">
        <f t="shared" si="90"/>
        <v>NA16RB</v>
      </c>
      <c r="M1937">
        <f>COUNTIF(L$1:L1937,L1937)</f>
        <v>2</v>
      </c>
      <c r="N1937" t="str">
        <f t="shared" si="91"/>
        <v>NA16RB-2</v>
      </c>
      <c r="O1937">
        <f>COUNTIFS(F$1:F1937,F1937,A$1:A1937,A1937)</f>
        <v>40</v>
      </c>
      <c r="P1937" t="str">
        <f t="shared" si="92"/>
        <v>C.J. Anderson16</v>
      </c>
    </row>
    <row r="1938" spans="1:16" x14ac:dyDescent="0.25">
      <c r="A1938">
        <v>12</v>
      </c>
      <c r="B1938" t="s">
        <v>118</v>
      </c>
      <c r="C1938">
        <f>-0.16-13.52</f>
        <v>-13.68</v>
      </c>
      <c r="D1938">
        <v>6.68</v>
      </c>
      <c r="E1938" t="s">
        <v>22</v>
      </c>
      <c r="F1938" t="s">
        <v>114</v>
      </c>
      <c r="G1938">
        <v>13.52</v>
      </c>
      <c r="H1938">
        <v>-0.16</v>
      </c>
      <c r="I1938">
        <v>6.84</v>
      </c>
      <c r="J1938">
        <v>46.785600000000002</v>
      </c>
      <c r="K1938" t="str">
        <f>IFERROR(INDEX(Rosters!$C$2:$C$155,MATCH($B1938,Rosters!$B$2:$B$155,0)),"NA")</f>
        <v>matty</v>
      </c>
      <c r="L1938" t="str">
        <f t="shared" si="90"/>
        <v>matty12TE</v>
      </c>
      <c r="M1938">
        <f>COUNTIF(L$1:L1938,L1938)</f>
        <v>1</v>
      </c>
      <c r="N1938" t="str">
        <f t="shared" si="91"/>
        <v>matty12TE-1</v>
      </c>
      <c r="O1938">
        <f>COUNTIFS(F$1:F1938,F1938,A$1:A1938,A1938)</f>
        <v>8</v>
      </c>
      <c r="P1938" t="str">
        <f t="shared" si="92"/>
        <v>Jordan Reed12</v>
      </c>
    </row>
    <row r="1939" spans="1:16" x14ac:dyDescent="0.25">
      <c r="A1939">
        <v>9</v>
      </c>
      <c r="B1939" t="s">
        <v>181</v>
      </c>
      <c r="C1939" t="s">
        <v>7112</v>
      </c>
      <c r="D1939">
        <v>6.67</v>
      </c>
      <c r="E1939" t="s">
        <v>34</v>
      </c>
      <c r="F1939" t="s">
        <v>114</v>
      </c>
      <c r="G1939">
        <v>10.31</v>
      </c>
      <c r="H1939">
        <v>3.03</v>
      </c>
      <c r="I1939">
        <v>3.64</v>
      </c>
      <c r="J1939">
        <v>13.249599999999999</v>
      </c>
      <c r="K1939" t="str">
        <f>IFERROR(INDEX(Rosters!$C$2:$C$155,MATCH($B1939,Rosters!$B$2:$B$155,0)),"NA")</f>
        <v>cory</v>
      </c>
      <c r="L1939" t="str">
        <f t="shared" si="90"/>
        <v>cory9TE</v>
      </c>
      <c r="M1939">
        <f>COUNTIF(L$1:L1939,L1939)</f>
        <v>1</v>
      </c>
      <c r="N1939" t="str">
        <f t="shared" si="91"/>
        <v>cory9TE-1</v>
      </c>
      <c r="O1939">
        <f>COUNTIFS(F$1:F1939,F1939,A$1:A1939,A1939)</f>
        <v>4</v>
      </c>
      <c r="P1939" t="str">
        <f t="shared" si="92"/>
        <v>Kyle Rudolph9</v>
      </c>
    </row>
    <row r="1940" spans="1:16" x14ac:dyDescent="0.25">
      <c r="A1940">
        <v>16</v>
      </c>
      <c r="B1940" t="s">
        <v>187</v>
      </c>
      <c r="C1940" t="s">
        <v>7113</v>
      </c>
      <c r="D1940">
        <v>6.67</v>
      </c>
      <c r="E1940" t="s">
        <v>34</v>
      </c>
      <c r="F1940" t="s">
        <v>47</v>
      </c>
      <c r="G1940">
        <v>11</v>
      </c>
      <c r="H1940">
        <v>2.34</v>
      </c>
      <c r="I1940">
        <v>4.33</v>
      </c>
      <c r="J1940">
        <v>18.748899999999999</v>
      </c>
      <c r="K1940" t="str">
        <f>IFERROR(INDEX(Rosters!$C$2:$C$155,MATCH($B1940,Rosters!$B$2:$B$155,0)),"NA")</f>
        <v>seth</v>
      </c>
      <c r="L1940" t="str">
        <f t="shared" si="90"/>
        <v>seth16RB</v>
      </c>
      <c r="M1940">
        <f>COUNTIF(L$1:L1940,L1940)</f>
        <v>5</v>
      </c>
      <c r="N1940" t="str">
        <f t="shared" si="91"/>
        <v>seth16RB-5</v>
      </c>
      <c r="O1940">
        <f>COUNTIFS(F$1:F1940,F1940,A$1:A1940,A1940)</f>
        <v>41</v>
      </c>
      <c r="P1940" t="str">
        <f t="shared" si="92"/>
        <v>Latavius Murray16</v>
      </c>
    </row>
    <row r="1941" spans="1:16" x14ac:dyDescent="0.25">
      <c r="A1941">
        <v>15</v>
      </c>
      <c r="B1941" t="s">
        <v>205</v>
      </c>
      <c r="C1941" t="s">
        <v>7114</v>
      </c>
      <c r="D1941">
        <v>6.66</v>
      </c>
      <c r="E1941" t="s">
        <v>72</v>
      </c>
      <c r="F1941" t="s">
        <v>47</v>
      </c>
      <c r="G1941">
        <v>10.92</v>
      </c>
      <c r="H1941">
        <v>2.4</v>
      </c>
      <c r="I1941">
        <v>4.26</v>
      </c>
      <c r="J1941">
        <v>18.147600000000001</v>
      </c>
      <c r="K1941" t="str">
        <f>IFERROR(INDEX(Rosters!$C$2:$C$155,MATCH($B1941,Rosters!$B$2:$B$155,0)),"NA")</f>
        <v>NA</v>
      </c>
      <c r="L1941" t="str">
        <f t="shared" si="90"/>
        <v>NA15RB</v>
      </c>
      <c r="M1941">
        <f>COUNTIF(L$1:L1941,L1941)</f>
        <v>2</v>
      </c>
      <c r="N1941" t="str">
        <f t="shared" si="91"/>
        <v>NA15RB-2</v>
      </c>
      <c r="O1941">
        <f>COUNTIFS(F$1:F1941,F1941,A$1:A1941,A1941)</f>
        <v>37</v>
      </c>
      <c r="P1941" t="str">
        <f t="shared" si="92"/>
        <v>Jamaal Williams15</v>
      </c>
    </row>
    <row r="1942" spans="1:16" x14ac:dyDescent="0.25">
      <c r="A1942">
        <v>14</v>
      </c>
      <c r="B1942" t="s">
        <v>162</v>
      </c>
      <c r="C1942" t="s">
        <v>7115</v>
      </c>
      <c r="D1942">
        <v>6.66</v>
      </c>
      <c r="E1942" t="s">
        <v>46</v>
      </c>
      <c r="F1942" t="s">
        <v>114</v>
      </c>
      <c r="G1942">
        <v>11.51</v>
      </c>
      <c r="H1942">
        <v>1.81</v>
      </c>
      <c r="I1942">
        <v>4.8499999999999996</v>
      </c>
      <c r="J1942">
        <v>23.522500000000001</v>
      </c>
      <c r="K1942" t="str">
        <f>IFERROR(INDEX(Rosters!$C$2:$C$155,MATCH($B1942,Rosters!$B$2:$B$155,0)),"NA")</f>
        <v>seth</v>
      </c>
      <c r="L1942" t="str">
        <f t="shared" si="90"/>
        <v>seth14TE</v>
      </c>
      <c r="M1942">
        <f>COUNTIF(L$1:L1942,L1942)</f>
        <v>1</v>
      </c>
      <c r="N1942" t="str">
        <f t="shared" si="91"/>
        <v>seth14TE-1</v>
      </c>
      <c r="O1942">
        <f>COUNTIFS(F$1:F1942,F1942,A$1:A1942,A1942)</f>
        <v>7</v>
      </c>
      <c r="P1942" t="str">
        <f t="shared" si="92"/>
        <v>Jimmy Graham14</v>
      </c>
    </row>
    <row r="1943" spans="1:16" x14ac:dyDescent="0.25">
      <c r="A1943">
        <v>14</v>
      </c>
      <c r="B1943" t="s">
        <v>1326</v>
      </c>
      <c r="C1943" t="s">
        <v>7116</v>
      </c>
      <c r="D1943">
        <v>6.66</v>
      </c>
      <c r="E1943" t="s">
        <v>58</v>
      </c>
      <c r="F1943" t="s">
        <v>47</v>
      </c>
      <c r="G1943">
        <v>12.47</v>
      </c>
      <c r="H1943">
        <v>0.85</v>
      </c>
      <c r="I1943">
        <v>5.81</v>
      </c>
      <c r="J1943">
        <v>33.756100000000004</v>
      </c>
      <c r="K1943" t="str">
        <f>IFERROR(INDEX(Rosters!$C$2:$C$155,MATCH($B1943,Rosters!$B$2:$B$155,0)),"NA")</f>
        <v>devon</v>
      </c>
      <c r="L1943" t="str">
        <f t="shared" si="90"/>
        <v>devon14RB</v>
      </c>
      <c r="M1943">
        <f>COUNTIF(L$1:L1943,L1943)</f>
        <v>6</v>
      </c>
      <c r="N1943" t="str">
        <f t="shared" si="91"/>
        <v>devon14RB-6</v>
      </c>
      <c r="O1943">
        <f>COUNTIFS(F$1:F1943,F1943,A$1:A1943,A1943)</f>
        <v>41</v>
      </c>
      <c r="P1943" t="str">
        <f t="shared" si="92"/>
        <v>Kerryon Johnson14</v>
      </c>
    </row>
    <row r="1944" spans="1:16" x14ac:dyDescent="0.25">
      <c r="A1944">
        <v>7</v>
      </c>
      <c r="B1944" t="s">
        <v>111</v>
      </c>
      <c r="C1944" t="s">
        <v>7117</v>
      </c>
      <c r="D1944">
        <v>6.66</v>
      </c>
      <c r="E1944" t="s">
        <v>36</v>
      </c>
      <c r="F1944" t="s">
        <v>47</v>
      </c>
      <c r="G1944">
        <v>10.56</v>
      </c>
      <c r="H1944">
        <v>2.76</v>
      </c>
      <c r="I1944">
        <v>3.9</v>
      </c>
      <c r="J1944">
        <v>15.21</v>
      </c>
      <c r="K1944" t="str">
        <f>IFERROR(INDEX(Rosters!$C$2:$C$155,MATCH($B1944,Rosters!$B$2:$B$155,0)),"NA")</f>
        <v>seth</v>
      </c>
      <c r="L1944" t="str">
        <f t="shared" si="90"/>
        <v>seth7RB</v>
      </c>
      <c r="M1944">
        <f>COUNTIF(L$1:L1944,L1944)</f>
        <v>5</v>
      </c>
      <c r="N1944" t="str">
        <f t="shared" si="91"/>
        <v>seth7RB-5</v>
      </c>
      <c r="O1944">
        <f>COUNTIFS(F$1:F1944,F1944,A$1:A1944,A1944)</f>
        <v>39</v>
      </c>
      <c r="P1944" t="str">
        <f t="shared" si="92"/>
        <v>Leonard Fournette7</v>
      </c>
    </row>
    <row r="1945" spans="1:16" x14ac:dyDescent="0.25">
      <c r="A1945">
        <v>6</v>
      </c>
      <c r="B1945" t="s">
        <v>196</v>
      </c>
      <c r="C1945" t="s">
        <v>7118</v>
      </c>
      <c r="D1945">
        <v>6.65</v>
      </c>
      <c r="E1945" t="s">
        <v>51</v>
      </c>
      <c r="F1945" t="s">
        <v>47</v>
      </c>
      <c r="G1945">
        <v>10.99</v>
      </c>
      <c r="H1945">
        <v>2.31</v>
      </c>
      <c r="I1945">
        <v>4.34</v>
      </c>
      <c r="J1945">
        <v>18.835599999999999</v>
      </c>
      <c r="K1945" t="str">
        <f>IFERROR(INDEX(Rosters!$C$2:$C$155,MATCH($B1945,Rosters!$B$2:$B$155,0)),"NA")</f>
        <v>NA</v>
      </c>
      <c r="L1945" t="str">
        <f t="shared" si="90"/>
        <v>NA6RB</v>
      </c>
      <c r="M1945">
        <f>COUNTIF(L$1:L1945,L1945)</f>
        <v>1</v>
      </c>
      <c r="N1945" t="str">
        <f t="shared" si="91"/>
        <v>NA6RB-1</v>
      </c>
      <c r="O1945">
        <f>COUNTIFS(F$1:F1945,F1945,A$1:A1945,A1945)</f>
        <v>35</v>
      </c>
      <c r="P1945" t="str">
        <f t="shared" si="92"/>
        <v>Giovani Bernard6</v>
      </c>
    </row>
    <row r="1946" spans="1:16" x14ac:dyDescent="0.25">
      <c r="A1946">
        <v>12</v>
      </c>
      <c r="B1946" t="s">
        <v>117</v>
      </c>
      <c r="C1946" t="s">
        <v>7119</v>
      </c>
      <c r="D1946">
        <v>6.65</v>
      </c>
      <c r="E1946" t="s">
        <v>423</v>
      </c>
      <c r="F1946" t="s">
        <v>47</v>
      </c>
      <c r="G1946">
        <v>11.33</v>
      </c>
      <c r="H1946">
        <v>1.97</v>
      </c>
      <c r="I1946">
        <v>4.68</v>
      </c>
      <c r="J1946">
        <v>21.9024</v>
      </c>
      <c r="K1946" t="str">
        <f>IFERROR(INDEX(Rosters!$C$2:$C$155,MATCH($B1946,Rosters!$B$2:$B$155,0)),"NA")</f>
        <v>chad</v>
      </c>
      <c r="L1946" t="str">
        <f t="shared" si="90"/>
        <v>chad12RB</v>
      </c>
      <c r="M1946">
        <f>COUNTIF(L$1:L1946,L1946)</f>
        <v>3</v>
      </c>
      <c r="N1946" t="str">
        <f t="shared" si="91"/>
        <v>chad12RB-3</v>
      </c>
      <c r="O1946">
        <f>COUNTIFS(F$1:F1946,F1946,A$1:A1946,A1946)</f>
        <v>35</v>
      </c>
      <c r="P1946" t="str">
        <f t="shared" si="92"/>
        <v>Isaiah Crowell12</v>
      </c>
    </row>
    <row r="1947" spans="1:16" x14ac:dyDescent="0.25">
      <c r="A1947">
        <v>17</v>
      </c>
      <c r="B1947" t="s">
        <v>162</v>
      </c>
      <c r="C1947" t="s">
        <v>7120</v>
      </c>
      <c r="D1947">
        <v>6.65</v>
      </c>
      <c r="E1947" t="s">
        <v>34</v>
      </c>
      <c r="F1947" t="s">
        <v>114</v>
      </c>
      <c r="G1947">
        <v>11.37</v>
      </c>
      <c r="H1947">
        <v>1.93</v>
      </c>
      <c r="I1947">
        <v>4.72</v>
      </c>
      <c r="J1947">
        <v>22.278400000000001</v>
      </c>
      <c r="K1947" t="str">
        <f>IFERROR(INDEX(Rosters!$C$2:$C$155,MATCH($B1947,Rosters!$B$2:$B$155,0)),"NA")</f>
        <v>seth</v>
      </c>
      <c r="L1947" t="str">
        <f t="shared" si="90"/>
        <v>seth17TE</v>
      </c>
      <c r="M1947">
        <f>COUNTIF(L$1:L1947,L1947)</f>
        <v>1</v>
      </c>
      <c r="N1947" t="str">
        <f t="shared" si="91"/>
        <v>seth17TE-1</v>
      </c>
      <c r="O1947">
        <f>COUNTIFS(F$1:F1947,F1947,A$1:A1947,A1947)</f>
        <v>8</v>
      </c>
      <c r="P1947" t="str">
        <f t="shared" si="92"/>
        <v>Jimmy Graham17</v>
      </c>
    </row>
    <row r="1948" spans="1:16" x14ac:dyDescent="0.25">
      <c r="A1948">
        <v>3</v>
      </c>
      <c r="B1948" t="s">
        <v>160</v>
      </c>
      <c r="C1948" t="s">
        <v>3710</v>
      </c>
      <c r="D1948">
        <v>6.65</v>
      </c>
      <c r="E1948" t="s">
        <v>24</v>
      </c>
      <c r="F1948" t="s">
        <v>87</v>
      </c>
      <c r="G1948">
        <v>11.87</v>
      </c>
      <c r="H1948">
        <v>1.43</v>
      </c>
      <c r="I1948">
        <v>5.22</v>
      </c>
      <c r="J1948">
        <v>27.2484</v>
      </c>
      <c r="K1948" t="str">
        <f>IFERROR(INDEX(Rosters!$C$2:$C$155,MATCH($B1948,Rosters!$B$2:$B$155,0)),"NA")</f>
        <v>NA</v>
      </c>
      <c r="L1948" t="str">
        <f t="shared" si="90"/>
        <v>NA3WR</v>
      </c>
      <c r="M1948">
        <f>COUNTIF(L$1:L1948,L1948)</f>
        <v>3</v>
      </c>
      <c r="N1948" t="str">
        <f t="shared" si="91"/>
        <v>NA3WR-3</v>
      </c>
      <c r="O1948">
        <f>COUNTIFS(F$1:F1948,F1948,A$1:A1948,A1948)</f>
        <v>40</v>
      </c>
      <c r="P1948" t="str">
        <f t="shared" si="92"/>
        <v>Pierre Garcon3</v>
      </c>
    </row>
    <row r="1949" spans="1:16" x14ac:dyDescent="0.25">
      <c r="A1949">
        <v>14</v>
      </c>
      <c r="B1949" t="s">
        <v>117</v>
      </c>
      <c r="C1949" t="s">
        <v>7121</v>
      </c>
      <c r="D1949">
        <v>6.64</v>
      </c>
      <c r="E1949" t="s">
        <v>29</v>
      </c>
      <c r="F1949" t="s">
        <v>47</v>
      </c>
      <c r="G1949">
        <v>12.06</v>
      </c>
      <c r="H1949">
        <v>1.22</v>
      </c>
      <c r="I1949">
        <v>5.42</v>
      </c>
      <c r="J1949">
        <v>29.3764</v>
      </c>
      <c r="K1949" t="str">
        <f>IFERROR(INDEX(Rosters!$C$2:$C$155,MATCH($B1949,Rosters!$B$2:$B$155,0)),"NA")</f>
        <v>chad</v>
      </c>
      <c r="L1949" t="str">
        <f t="shared" si="90"/>
        <v>chad14RB</v>
      </c>
      <c r="M1949">
        <f>COUNTIF(L$1:L1949,L1949)</f>
        <v>4</v>
      </c>
      <c r="N1949" t="str">
        <f t="shared" si="91"/>
        <v>chad14RB-4</v>
      </c>
      <c r="O1949">
        <f>COUNTIFS(F$1:F1949,F1949,A$1:A1949,A1949)</f>
        <v>42</v>
      </c>
      <c r="P1949" t="str">
        <f t="shared" si="92"/>
        <v>Isaiah Crowell14</v>
      </c>
    </row>
    <row r="1950" spans="1:16" x14ac:dyDescent="0.25">
      <c r="A1950">
        <v>13</v>
      </c>
      <c r="B1950" t="s">
        <v>187</v>
      </c>
      <c r="C1950" t="s">
        <v>7122</v>
      </c>
      <c r="D1950">
        <v>6.64</v>
      </c>
      <c r="E1950" t="s">
        <v>423</v>
      </c>
      <c r="F1950" t="s">
        <v>47</v>
      </c>
      <c r="G1950">
        <v>11.25</v>
      </c>
      <c r="H1950">
        <v>2.0299999999999998</v>
      </c>
      <c r="I1950">
        <v>4.6100000000000003</v>
      </c>
      <c r="J1950">
        <v>21.252099999999999</v>
      </c>
      <c r="K1950" t="str">
        <f>IFERROR(INDEX(Rosters!$C$2:$C$155,MATCH($B1950,Rosters!$B$2:$B$155,0)),"NA")</f>
        <v>seth</v>
      </c>
      <c r="L1950" t="str">
        <f t="shared" si="90"/>
        <v>seth13RB</v>
      </c>
      <c r="M1950">
        <f>COUNTIF(L$1:L1950,L1950)</f>
        <v>5</v>
      </c>
      <c r="N1950" t="str">
        <f t="shared" si="91"/>
        <v>seth13RB-5</v>
      </c>
      <c r="O1950">
        <f>COUNTIFS(F$1:F1950,F1950,A$1:A1950,A1950)</f>
        <v>41</v>
      </c>
      <c r="P1950" t="str">
        <f t="shared" si="92"/>
        <v>Latavius Murray13</v>
      </c>
    </row>
    <row r="1951" spans="1:16" x14ac:dyDescent="0.25">
      <c r="A1951">
        <v>13</v>
      </c>
      <c r="B1951" t="s">
        <v>170</v>
      </c>
      <c r="C1951" t="s">
        <v>7123</v>
      </c>
      <c r="D1951">
        <v>6.64</v>
      </c>
      <c r="E1951" t="s">
        <v>56</v>
      </c>
      <c r="F1951" t="s">
        <v>47</v>
      </c>
      <c r="G1951">
        <v>10.8</v>
      </c>
      <c r="H1951">
        <v>2.48</v>
      </c>
      <c r="I1951">
        <v>4.16</v>
      </c>
      <c r="J1951">
        <v>17.305599999999998</v>
      </c>
      <c r="K1951" t="str">
        <f>IFERROR(INDEX(Rosters!$C$2:$C$155,MATCH($B1951,Rosters!$B$2:$B$155,0)),"NA")</f>
        <v>NA</v>
      </c>
      <c r="L1951" t="str">
        <f t="shared" si="90"/>
        <v>NA13RB</v>
      </c>
      <c r="M1951">
        <f>COUNTIF(L$1:L1951,L1951)</f>
        <v>2</v>
      </c>
      <c r="N1951" t="str">
        <f t="shared" si="91"/>
        <v>NA13RB-2</v>
      </c>
      <c r="O1951">
        <f>COUNTIFS(F$1:F1951,F1951,A$1:A1951,A1951)</f>
        <v>42</v>
      </c>
      <c r="P1951" t="str">
        <f t="shared" si="92"/>
        <v>LeGarrette Blount13</v>
      </c>
    </row>
    <row r="1952" spans="1:16" x14ac:dyDescent="0.25">
      <c r="A1952">
        <v>15</v>
      </c>
      <c r="B1952" t="s">
        <v>196</v>
      </c>
      <c r="C1952" t="s">
        <v>7124</v>
      </c>
      <c r="D1952">
        <v>6.63</v>
      </c>
      <c r="E1952" t="s">
        <v>32</v>
      </c>
      <c r="F1952" t="s">
        <v>47</v>
      </c>
      <c r="G1952">
        <v>11.72</v>
      </c>
      <c r="H1952">
        <v>1.54</v>
      </c>
      <c r="I1952">
        <v>5.09</v>
      </c>
      <c r="J1952">
        <v>25.908100000000001</v>
      </c>
      <c r="K1952" t="str">
        <f>IFERROR(INDEX(Rosters!$C$2:$C$155,MATCH($B1952,Rosters!$B$2:$B$155,0)),"NA")</f>
        <v>NA</v>
      </c>
      <c r="L1952" t="str">
        <f t="shared" si="90"/>
        <v>NA15RB</v>
      </c>
      <c r="M1952">
        <f>COUNTIF(L$1:L1952,L1952)</f>
        <v>3</v>
      </c>
      <c r="N1952" t="str">
        <f t="shared" si="91"/>
        <v>NA15RB-3</v>
      </c>
      <c r="O1952">
        <f>COUNTIFS(F$1:F1952,F1952,A$1:A1952,A1952)</f>
        <v>38</v>
      </c>
      <c r="P1952" t="str">
        <f t="shared" si="92"/>
        <v>Giovani Bernard15</v>
      </c>
    </row>
    <row r="1953" spans="1:16" x14ac:dyDescent="0.25">
      <c r="A1953">
        <v>10</v>
      </c>
      <c r="B1953" t="s">
        <v>1326</v>
      </c>
      <c r="C1953" t="s">
        <v>7125</v>
      </c>
      <c r="D1953">
        <v>6.63</v>
      </c>
      <c r="E1953" t="s">
        <v>72</v>
      </c>
      <c r="F1953" t="s">
        <v>47</v>
      </c>
      <c r="G1953">
        <v>12.36</v>
      </c>
      <c r="H1953">
        <v>0.9</v>
      </c>
      <c r="I1953">
        <v>5.73</v>
      </c>
      <c r="J1953">
        <v>32.832900000000002</v>
      </c>
      <c r="K1953" t="str">
        <f>IFERROR(INDEX(Rosters!$C$2:$C$155,MATCH($B1953,Rosters!$B$2:$B$155,0)),"NA")</f>
        <v>devon</v>
      </c>
      <c r="L1953" t="str">
        <f t="shared" si="90"/>
        <v>devon10RB</v>
      </c>
      <c r="M1953">
        <f>COUNTIF(L$1:L1953,L1953)</f>
        <v>5</v>
      </c>
      <c r="N1953" t="str">
        <f t="shared" si="91"/>
        <v>devon10RB-5</v>
      </c>
      <c r="O1953">
        <f>COUNTIFS(F$1:F1953,F1953,A$1:A1953,A1953)</f>
        <v>33</v>
      </c>
      <c r="P1953" t="str">
        <f t="shared" si="92"/>
        <v>Kerryon Johnson10</v>
      </c>
    </row>
    <row r="1954" spans="1:16" x14ac:dyDescent="0.25">
      <c r="A1954">
        <v>15</v>
      </c>
      <c r="B1954" t="s">
        <v>255</v>
      </c>
      <c r="C1954" t="s">
        <v>7126</v>
      </c>
      <c r="D1954">
        <v>6.63</v>
      </c>
      <c r="E1954" t="s">
        <v>28</v>
      </c>
      <c r="F1954" t="s">
        <v>87</v>
      </c>
      <c r="G1954">
        <v>11.32</v>
      </c>
      <c r="H1954">
        <v>1.94</v>
      </c>
      <c r="I1954">
        <v>4.6900000000000004</v>
      </c>
      <c r="J1954">
        <v>21.996099999999998</v>
      </c>
      <c r="K1954" t="str">
        <f>IFERROR(INDEX(Rosters!$C$2:$C$155,MATCH($B1954,Rosters!$B$2:$B$155,0)),"NA")</f>
        <v>NA</v>
      </c>
      <c r="L1954" t="str">
        <f t="shared" si="90"/>
        <v>NA15WR</v>
      </c>
      <c r="M1954">
        <f>COUNTIF(L$1:L1954,L1954)</f>
        <v>1</v>
      </c>
      <c r="N1954" t="str">
        <f t="shared" si="91"/>
        <v>NA15WR-1</v>
      </c>
      <c r="O1954">
        <f>COUNTIFS(F$1:F1954,F1954,A$1:A1954,A1954)</f>
        <v>44</v>
      </c>
      <c r="P1954" t="str">
        <f t="shared" si="92"/>
        <v>Marquise Goodwin15</v>
      </c>
    </row>
    <row r="1955" spans="1:16" x14ac:dyDescent="0.25">
      <c r="A1955">
        <v>14</v>
      </c>
      <c r="B1955" t="s">
        <v>192</v>
      </c>
      <c r="C1955" t="s">
        <v>7127</v>
      </c>
      <c r="D1955">
        <v>6.63</v>
      </c>
      <c r="E1955" t="s">
        <v>60</v>
      </c>
      <c r="F1955" t="s">
        <v>87</v>
      </c>
      <c r="G1955">
        <v>11.98</v>
      </c>
      <c r="H1955">
        <v>1.28</v>
      </c>
      <c r="I1955">
        <v>5.35</v>
      </c>
      <c r="J1955">
        <v>28.622499999999999</v>
      </c>
      <c r="K1955" t="str">
        <f>IFERROR(INDEX(Rosters!$C$2:$C$155,MATCH($B1955,Rosters!$B$2:$B$155,0)),"NA")</f>
        <v>cory</v>
      </c>
      <c r="L1955" t="str">
        <f t="shared" si="90"/>
        <v>cory14WR</v>
      </c>
      <c r="M1955">
        <f>COUNTIF(L$1:L1955,L1955)</f>
        <v>4</v>
      </c>
      <c r="N1955" t="str">
        <f t="shared" si="91"/>
        <v>cory14WR-4</v>
      </c>
      <c r="O1955">
        <f>COUNTIFS(F$1:F1955,F1955,A$1:A1955,A1955)</f>
        <v>46</v>
      </c>
      <c r="P1955" t="str">
        <f t="shared" si="92"/>
        <v>Sterling Shepard14</v>
      </c>
    </row>
    <row r="1956" spans="1:16" x14ac:dyDescent="0.25">
      <c r="A1956">
        <v>10</v>
      </c>
      <c r="B1956" t="s">
        <v>145</v>
      </c>
      <c r="C1956" t="s">
        <v>7128</v>
      </c>
      <c r="D1956">
        <v>6.63</v>
      </c>
      <c r="E1956" t="s">
        <v>52</v>
      </c>
      <c r="F1956" t="s">
        <v>47</v>
      </c>
      <c r="G1956">
        <v>11.36</v>
      </c>
      <c r="H1956">
        <v>1.9</v>
      </c>
      <c r="I1956">
        <v>4.7300000000000004</v>
      </c>
      <c r="J1956">
        <v>22.372900000000001</v>
      </c>
      <c r="K1956" t="str">
        <f>IFERROR(INDEX(Rosters!$C$2:$C$155,MATCH($B1956,Rosters!$B$2:$B$155,0)),"NA")</f>
        <v>lucas</v>
      </c>
      <c r="L1956" t="str">
        <f t="shared" si="90"/>
        <v>lucas10RB</v>
      </c>
      <c r="M1956">
        <f>COUNTIF(L$1:L1956,L1956)</f>
        <v>4</v>
      </c>
      <c r="N1956" t="str">
        <f t="shared" si="91"/>
        <v>lucas10RB-4</v>
      </c>
      <c r="O1956">
        <f>COUNTIFS(F$1:F1956,F1956,A$1:A1956,A1956)</f>
        <v>34</v>
      </c>
      <c r="P1956" t="str">
        <f t="shared" si="92"/>
        <v>Tevin Coleman10</v>
      </c>
    </row>
    <row r="1957" spans="1:16" x14ac:dyDescent="0.25">
      <c r="A1957">
        <v>17</v>
      </c>
      <c r="B1957" t="s">
        <v>211</v>
      </c>
      <c r="C1957" t="s">
        <v>7129</v>
      </c>
      <c r="D1957">
        <v>6.62</v>
      </c>
      <c r="E1957" t="s">
        <v>17</v>
      </c>
      <c r="F1957" t="s">
        <v>114</v>
      </c>
      <c r="G1957">
        <v>12.73</v>
      </c>
      <c r="H1957">
        <v>0.51</v>
      </c>
      <c r="I1957">
        <v>6.11</v>
      </c>
      <c r="J1957">
        <v>37.332099999999997</v>
      </c>
      <c r="K1957" t="str">
        <f>IFERROR(INDEX(Rosters!$C$2:$C$155,MATCH($B1957,Rosters!$B$2:$B$155,0)),"NA")</f>
        <v>comp</v>
      </c>
      <c r="L1957" t="str">
        <f t="shared" si="90"/>
        <v>comp17TE</v>
      </c>
      <c r="M1957">
        <f>COUNTIF(L$1:L1957,L1957)</f>
        <v>1</v>
      </c>
      <c r="N1957" t="str">
        <f t="shared" si="91"/>
        <v>comp17TE-1</v>
      </c>
      <c r="O1957">
        <f>COUNTIFS(F$1:F1957,F1957,A$1:A1957,A1957)</f>
        <v>9</v>
      </c>
      <c r="P1957" t="str">
        <f t="shared" si="92"/>
        <v>Austin Hooper17</v>
      </c>
    </row>
    <row r="1958" spans="1:16" x14ac:dyDescent="0.25">
      <c r="A1958">
        <v>7</v>
      </c>
      <c r="B1958" t="s">
        <v>128</v>
      </c>
      <c r="C1958" t="s">
        <v>7130</v>
      </c>
      <c r="D1958">
        <v>6.62</v>
      </c>
      <c r="E1958" t="s">
        <v>34</v>
      </c>
      <c r="F1958" t="s">
        <v>47</v>
      </c>
      <c r="G1958">
        <v>11.43</v>
      </c>
      <c r="H1958">
        <v>1.81</v>
      </c>
      <c r="I1958">
        <v>4.8099999999999996</v>
      </c>
      <c r="J1958">
        <v>23.136099999999999</v>
      </c>
      <c r="K1958" t="str">
        <f>IFERROR(INDEX(Rosters!$C$2:$C$155,MATCH($B1958,Rosters!$B$2:$B$155,0)),"NA")</f>
        <v>NA</v>
      </c>
      <c r="L1958" t="str">
        <f t="shared" si="90"/>
        <v>NA7RB</v>
      </c>
      <c r="M1958">
        <f>COUNTIF(L$1:L1958,L1958)</f>
        <v>4</v>
      </c>
      <c r="N1958" t="str">
        <f t="shared" si="91"/>
        <v>NA7RB-4</v>
      </c>
      <c r="O1958">
        <f>COUNTIFS(F$1:F1958,F1958,A$1:A1958,A1958)</f>
        <v>40</v>
      </c>
      <c r="P1958" t="str">
        <f t="shared" si="92"/>
        <v>Frank Gore7</v>
      </c>
    </row>
    <row r="1959" spans="1:16" x14ac:dyDescent="0.25">
      <c r="A1959">
        <v>6</v>
      </c>
      <c r="B1959" t="s">
        <v>220</v>
      </c>
      <c r="C1959" t="s">
        <v>7131</v>
      </c>
      <c r="D1959">
        <v>6.62</v>
      </c>
      <c r="E1959" t="s">
        <v>72</v>
      </c>
      <c r="F1959" t="s">
        <v>87</v>
      </c>
      <c r="G1959">
        <v>12.15</v>
      </c>
      <c r="H1959">
        <v>1.0900000000000001</v>
      </c>
      <c r="I1959">
        <v>5.53</v>
      </c>
      <c r="J1959">
        <v>30.5809</v>
      </c>
      <c r="K1959" t="str">
        <f>IFERROR(INDEX(Rosters!$C$2:$C$155,MATCH($B1959,Rosters!$B$2:$B$155,0)),"NA")</f>
        <v>comp</v>
      </c>
      <c r="L1959" t="str">
        <f t="shared" si="90"/>
        <v>comp6WR</v>
      </c>
      <c r="M1959">
        <f>COUNTIF(L$1:L1959,L1959)</f>
        <v>6</v>
      </c>
      <c r="N1959" t="str">
        <f t="shared" si="91"/>
        <v>comp6WR-6</v>
      </c>
      <c r="O1959">
        <f>COUNTIFS(F$1:F1959,F1959,A$1:A1959,A1959)</f>
        <v>42</v>
      </c>
      <c r="P1959" t="str">
        <f t="shared" si="92"/>
        <v>Kenny Stills6</v>
      </c>
    </row>
    <row r="1960" spans="1:16" x14ac:dyDescent="0.25">
      <c r="A1960">
        <v>15</v>
      </c>
      <c r="B1960" t="s">
        <v>224</v>
      </c>
      <c r="C1960" t="s">
        <v>7132</v>
      </c>
      <c r="D1960">
        <v>6.62</v>
      </c>
      <c r="E1960" t="s">
        <v>22</v>
      </c>
      <c r="F1960" t="s">
        <v>47</v>
      </c>
      <c r="G1960">
        <v>12.85</v>
      </c>
      <c r="H1960">
        <v>0.39</v>
      </c>
      <c r="I1960">
        <v>6.23</v>
      </c>
      <c r="J1960">
        <v>38.812899999999999</v>
      </c>
      <c r="K1960" t="str">
        <f>IFERROR(INDEX(Rosters!$C$2:$C$155,MATCH($B1960,Rosters!$B$2:$B$155,0)),"NA")</f>
        <v>NA</v>
      </c>
      <c r="L1960" t="str">
        <f t="shared" si="90"/>
        <v>NA15RB</v>
      </c>
      <c r="M1960">
        <f>COUNTIF(L$1:L1960,L1960)</f>
        <v>4</v>
      </c>
      <c r="N1960" t="str">
        <f t="shared" si="91"/>
        <v>NA15RB-4</v>
      </c>
      <c r="O1960">
        <f>COUNTIFS(F$1:F1960,F1960,A$1:A1960,A1960)</f>
        <v>39</v>
      </c>
      <c r="P1960" t="str">
        <f t="shared" si="92"/>
        <v>Marlon Mack15</v>
      </c>
    </row>
    <row r="1961" spans="1:16" x14ac:dyDescent="0.25">
      <c r="A1961">
        <v>11</v>
      </c>
      <c r="B1961" t="s">
        <v>180</v>
      </c>
      <c r="C1961" t="s">
        <v>7133</v>
      </c>
      <c r="D1961">
        <v>6.62</v>
      </c>
      <c r="E1961" t="s">
        <v>41</v>
      </c>
      <c r="F1961" t="s">
        <v>87</v>
      </c>
      <c r="G1961">
        <v>11.68</v>
      </c>
      <c r="H1961">
        <v>1.56</v>
      </c>
      <c r="I1961">
        <v>5.0599999999999996</v>
      </c>
      <c r="J1961">
        <v>25.6036</v>
      </c>
      <c r="K1961" t="str">
        <f>IFERROR(INDEX(Rosters!$C$2:$C$155,MATCH($B1961,Rosters!$B$2:$B$155,0)),"NA")</f>
        <v>NA</v>
      </c>
      <c r="L1961" t="str">
        <f t="shared" si="90"/>
        <v>NA11WR</v>
      </c>
      <c r="M1961">
        <f>COUNTIF(L$1:L1961,L1961)</f>
        <v>2</v>
      </c>
      <c r="N1961" t="str">
        <f t="shared" si="91"/>
        <v>NA11WR-2</v>
      </c>
      <c r="O1961">
        <f>COUNTIFS(F$1:F1961,F1961,A$1:A1961,A1961)</f>
        <v>42</v>
      </c>
      <c r="P1961" t="str">
        <f t="shared" si="92"/>
        <v>Tyler Lockett11</v>
      </c>
    </row>
    <row r="1962" spans="1:16" x14ac:dyDescent="0.25">
      <c r="A1962">
        <v>15</v>
      </c>
      <c r="B1962" t="s">
        <v>180</v>
      </c>
      <c r="C1962" t="s">
        <v>7134</v>
      </c>
      <c r="D1962">
        <v>6.61</v>
      </c>
      <c r="E1962" t="s">
        <v>30</v>
      </c>
      <c r="F1962" t="s">
        <v>87</v>
      </c>
      <c r="G1962">
        <v>11.74</v>
      </c>
      <c r="H1962">
        <v>1.48</v>
      </c>
      <c r="I1962">
        <v>5.13</v>
      </c>
      <c r="J1962">
        <v>26.3169</v>
      </c>
      <c r="K1962" t="str">
        <f>IFERROR(INDEX(Rosters!$C$2:$C$155,MATCH($B1962,Rosters!$B$2:$B$155,0)),"NA")</f>
        <v>NA</v>
      </c>
      <c r="L1962" t="str">
        <f t="shared" si="90"/>
        <v>NA15WR</v>
      </c>
      <c r="M1962">
        <f>COUNTIF(L$1:L1962,L1962)</f>
        <v>2</v>
      </c>
      <c r="N1962" t="str">
        <f t="shared" si="91"/>
        <v>NA15WR-2</v>
      </c>
      <c r="O1962">
        <f>COUNTIFS(F$1:F1962,F1962,A$1:A1962,A1962)</f>
        <v>45</v>
      </c>
      <c r="P1962" t="str">
        <f t="shared" si="92"/>
        <v>Tyler Lockett15</v>
      </c>
    </row>
    <row r="1963" spans="1:16" x14ac:dyDescent="0.25">
      <c r="A1963">
        <v>16</v>
      </c>
      <c r="B1963" t="s">
        <v>185</v>
      </c>
      <c r="C1963" t="s">
        <v>7135</v>
      </c>
      <c r="D1963">
        <v>6.6</v>
      </c>
      <c r="E1963" t="s">
        <v>37</v>
      </c>
      <c r="F1963" t="s">
        <v>87</v>
      </c>
      <c r="G1963">
        <v>13.17</v>
      </c>
      <c r="H1963">
        <v>0.03</v>
      </c>
      <c r="I1963">
        <v>6.57</v>
      </c>
      <c r="J1963">
        <v>43.164900000000003</v>
      </c>
      <c r="K1963" t="str">
        <f>IFERROR(INDEX(Rosters!$C$2:$C$155,MATCH($B1963,Rosters!$B$2:$B$155,0)),"NA")</f>
        <v>scott</v>
      </c>
      <c r="L1963" t="str">
        <f t="shared" si="90"/>
        <v>scott16WR</v>
      </c>
      <c r="M1963">
        <f>COUNTIF(L$1:L1963,L1963)</f>
        <v>5</v>
      </c>
      <c r="N1963" t="str">
        <f t="shared" si="91"/>
        <v>scott16WR-5</v>
      </c>
      <c r="O1963">
        <f>COUNTIFS(F$1:F1963,F1963,A$1:A1963,A1963)</f>
        <v>47</v>
      </c>
      <c r="P1963" t="str">
        <f t="shared" si="92"/>
        <v>John Brown16</v>
      </c>
    </row>
    <row r="1964" spans="1:16" x14ac:dyDescent="0.25">
      <c r="A1964">
        <v>17</v>
      </c>
      <c r="B1964" t="s">
        <v>285</v>
      </c>
      <c r="C1964" t="s">
        <v>7136</v>
      </c>
      <c r="D1964">
        <v>6.6</v>
      </c>
      <c r="E1964" t="s">
        <v>25</v>
      </c>
      <c r="F1964" t="s">
        <v>47</v>
      </c>
      <c r="G1964">
        <v>10.83</v>
      </c>
      <c r="H1964">
        <v>2.37</v>
      </c>
      <c r="I1964">
        <v>4.2300000000000004</v>
      </c>
      <c r="J1964">
        <v>17.892900000000001</v>
      </c>
      <c r="K1964" t="str">
        <f>IFERROR(INDEX(Rosters!$C$2:$C$155,MATCH($B1964,Rosters!$B$2:$B$155,0)),"NA")</f>
        <v>NA</v>
      </c>
      <c r="L1964" t="str">
        <f t="shared" si="90"/>
        <v>NA17RB</v>
      </c>
      <c r="M1964">
        <f>COUNTIF(L$1:L1964,L1964)</f>
        <v>3</v>
      </c>
      <c r="N1964" t="str">
        <f t="shared" si="91"/>
        <v>NA17RB-3</v>
      </c>
      <c r="O1964">
        <f>COUNTIFS(F$1:F1964,F1964,A$1:A1964,A1964)</f>
        <v>41</v>
      </c>
      <c r="P1964" t="str">
        <f t="shared" si="92"/>
        <v>Tarik Cohen17</v>
      </c>
    </row>
    <row r="1965" spans="1:16" x14ac:dyDescent="0.25">
      <c r="A1965">
        <v>14</v>
      </c>
      <c r="B1965" t="s">
        <v>180</v>
      </c>
      <c r="C1965" t="s">
        <v>7137</v>
      </c>
      <c r="D1965">
        <v>6.6</v>
      </c>
      <c r="E1965" t="s">
        <v>25</v>
      </c>
      <c r="F1965" t="s">
        <v>87</v>
      </c>
      <c r="G1965">
        <v>11.53</v>
      </c>
      <c r="H1965">
        <v>1.67</v>
      </c>
      <c r="I1965">
        <v>4.93</v>
      </c>
      <c r="J1965">
        <v>24.3049</v>
      </c>
      <c r="K1965" t="str">
        <f>IFERROR(INDEX(Rosters!$C$2:$C$155,MATCH($B1965,Rosters!$B$2:$B$155,0)),"NA")</f>
        <v>NA</v>
      </c>
      <c r="L1965" t="str">
        <f t="shared" si="90"/>
        <v>NA14WR</v>
      </c>
      <c r="M1965">
        <f>COUNTIF(L$1:L1965,L1965)</f>
        <v>4</v>
      </c>
      <c r="N1965" t="str">
        <f t="shared" si="91"/>
        <v>NA14WR-4</v>
      </c>
      <c r="O1965">
        <f>COUNTIFS(F$1:F1965,F1965,A$1:A1965,A1965)</f>
        <v>47</v>
      </c>
      <c r="P1965" t="str">
        <f t="shared" si="92"/>
        <v>Tyler Lockett14</v>
      </c>
    </row>
    <row r="1966" spans="1:16" x14ac:dyDescent="0.25">
      <c r="A1966">
        <v>13</v>
      </c>
      <c r="B1966" t="s">
        <v>131</v>
      </c>
      <c r="C1966" t="s">
        <v>7138</v>
      </c>
      <c r="D1966">
        <v>6.59</v>
      </c>
      <c r="E1966" t="s">
        <v>17</v>
      </c>
      <c r="F1966" t="s">
        <v>47</v>
      </c>
      <c r="G1966">
        <v>11.14</v>
      </c>
      <c r="H1966">
        <v>2.04</v>
      </c>
      <c r="I1966">
        <v>4.55</v>
      </c>
      <c r="J1966">
        <v>20.702500000000001</v>
      </c>
      <c r="K1966" t="str">
        <f>IFERROR(INDEX(Rosters!$C$2:$C$155,MATCH($B1966,Rosters!$B$2:$B$155,0)),"NA")</f>
        <v>NA</v>
      </c>
      <c r="L1966" t="str">
        <f t="shared" si="90"/>
        <v>NA13RB</v>
      </c>
      <c r="M1966">
        <f>COUNTIF(L$1:L1966,L1966)</f>
        <v>3</v>
      </c>
      <c r="N1966" t="str">
        <f t="shared" si="91"/>
        <v>NA13RB-3</v>
      </c>
      <c r="O1966">
        <f>COUNTIFS(F$1:F1966,F1966,A$1:A1966,A1966)</f>
        <v>43</v>
      </c>
      <c r="P1966" t="str">
        <f t="shared" si="92"/>
        <v>C.J. Anderson13</v>
      </c>
    </row>
    <row r="1967" spans="1:16" x14ac:dyDescent="0.25">
      <c r="A1967">
        <v>10</v>
      </c>
      <c r="B1967" t="s">
        <v>215</v>
      </c>
      <c r="C1967" t="s">
        <v>7139</v>
      </c>
      <c r="D1967">
        <v>6.59</v>
      </c>
      <c r="E1967" t="s">
        <v>46</v>
      </c>
      <c r="F1967" t="s">
        <v>114</v>
      </c>
      <c r="G1967">
        <v>12.04</v>
      </c>
      <c r="H1967">
        <v>1.1399999999999999</v>
      </c>
      <c r="I1967">
        <v>5.45</v>
      </c>
      <c r="J1967">
        <v>29.702500000000001</v>
      </c>
      <c r="K1967" t="str">
        <f>IFERROR(INDEX(Rosters!$C$2:$C$155,MATCH($B1967,Rosters!$B$2:$B$155,0)),"NA")</f>
        <v>NA</v>
      </c>
      <c r="L1967" t="str">
        <f t="shared" si="90"/>
        <v>NA10TE</v>
      </c>
      <c r="M1967">
        <f>COUNTIF(L$1:L1967,L1967)</f>
        <v>1</v>
      </c>
      <c r="N1967" t="str">
        <f t="shared" si="91"/>
        <v>NA10TE-1</v>
      </c>
      <c r="O1967">
        <f>COUNTIFS(F$1:F1967,F1967,A$1:A1967,A1967)</f>
        <v>6</v>
      </c>
      <c r="P1967" t="str">
        <f t="shared" si="92"/>
        <v>David Njoku10</v>
      </c>
    </row>
    <row r="1968" spans="1:16" x14ac:dyDescent="0.25">
      <c r="A1968">
        <v>5</v>
      </c>
      <c r="B1968" t="s">
        <v>1368</v>
      </c>
      <c r="C1968" t="s">
        <v>7140</v>
      </c>
      <c r="D1968">
        <v>6.59</v>
      </c>
      <c r="E1968" t="s">
        <v>24</v>
      </c>
      <c r="F1968" t="s">
        <v>87</v>
      </c>
      <c r="G1968">
        <v>10.76</v>
      </c>
      <c r="H1968">
        <v>2.42</v>
      </c>
      <c r="I1968">
        <v>4.17</v>
      </c>
      <c r="J1968">
        <v>17.3889</v>
      </c>
      <c r="K1968" t="str">
        <f>IFERROR(INDEX(Rosters!$C$2:$C$155,MATCH($B1968,Rosters!$B$2:$B$155,0)),"NA")</f>
        <v>scott</v>
      </c>
      <c r="L1968" t="str">
        <f t="shared" si="90"/>
        <v>scott5WR</v>
      </c>
      <c r="M1968">
        <f>COUNTIF(L$1:L1968,L1968)</f>
        <v>4</v>
      </c>
      <c r="N1968" t="str">
        <f t="shared" si="91"/>
        <v>scott5WR-4</v>
      </c>
      <c r="O1968">
        <f>COUNTIFS(F$1:F1968,F1968,A$1:A1968,A1968)</f>
        <v>45</v>
      </c>
      <c r="P1968" t="str">
        <f t="shared" si="92"/>
        <v>Keelan Cole5</v>
      </c>
    </row>
    <row r="1969" spans="1:16" x14ac:dyDescent="0.25">
      <c r="A1969">
        <v>12</v>
      </c>
      <c r="B1969" t="s">
        <v>1368</v>
      </c>
      <c r="C1969" t="s">
        <v>7141</v>
      </c>
      <c r="D1969">
        <v>6.59</v>
      </c>
      <c r="E1969" t="s">
        <v>29</v>
      </c>
      <c r="F1969" t="s">
        <v>87</v>
      </c>
      <c r="G1969">
        <v>10.69</v>
      </c>
      <c r="H1969">
        <v>2.4900000000000002</v>
      </c>
      <c r="I1969">
        <v>4.0999999999999996</v>
      </c>
      <c r="J1969">
        <v>16.809999999999999</v>
      </c>
      <c r="K1969" t="str">
        <f>IFERROR(INDEX(Rosters!$C$2:$C$155,MATCH($B1969,Rosters!$B$2:$B$155,0)),"NA")</f>
        <v>scott</v>
      </c>
      <c r="L1969" t="str">
        <f t="shared" si="90"/>
        <v>scott12WR</v>
      </c>
      <c r="M1969">
        <f>COUNTIF(L$1:L1969,L1969)</f>
        <v>4</v>
      </c>
      <c r="N1969" t="str">
        <f t="shared" si="91"/>
        <v>scott12WR-4</v>
      </c>
      <c r="O1969">
        <f>COUNTIFS(F$1:F1969,F1969,A$1:A1969,A1969)</f>
        <v>45</v>
      </c>
      <c r="P1969" t="str">
        <f t="shared" si="92"/>
        <v>Keelan Cole12</v>
      </c>
    </row>
    <row r="1970" spans="1:16" x14ac:dyDescent="0.25">
      <c r="A1970">
        <v>13</v>
      </c>
      <c r="B1970" t="s">
        <v>181</v>
      </c>
      <c r="C1970" t="s">
        <v>7142</v>
      </c>
      <c r="D1970">
        <v>6.58</v>
      </c>
      <c r="E1970" t="s">
        <v>423</v>
      </c>
      <c r="F1970" t="s">
        <v>114</v>
      </c>
      <c r="G1970">
        <v>10.4</v>
      </c>
      <c r="H1970">
        <v>2.76</v>
      </c>
      <c r="I1970">
        <v>3.82</v>
      </c>
      <c r="J1970">
        <v>14.5924</v>
      </c>
      <c r="K1970" t="str">
        <f>IFERROR(INDEX(Rosters!$C$2:$C$155,MATCH($B1970,Rosters!$B$2:$B$155,0)),"NA")</f>
        <v>cory</v>
      </c>
      <c r="L1970" t="str">
        <f t="shared" si="90"/>
        <v>cory13TE</v>
      </c>
      <c r="M1970">
        <f>COUNTIF(L$1:L1970,L1970)</f>
        <v>1</v>
      </c>
      <c r="N1970" t="str">
        <f t="shared" si="91"/>
        <v>cory13TE-1</v>
      </c>
      <c r="O1970">
        <f>COUNTIFS(F$1:F1970,F1970,A$1:A1970,A1970)</f>
        <v>7</v>
      </c>
      <c r="P1970" t="str">
        <f t="shared" si="92"/>
        <v>Kyle Rudolph13</v>
      </c>
    </row>
    <row r="1971" spans="1:16" x14ac:dyDescent="0.25">
      <c r="A1971">
        <v>14</v>
      </c>
      <c r="B1971" t="s">
        <v>1158</v>
      </c>
      <c r="C1971" t="s">
        <v>7143</v>
      </c>
      <c r="D1971">
        <v>6.57</v>
      </c>
      <c r="E1971" t="s">
        <v>19</v>
      </c>
      <c r="F1971" t="s">
        <v>87</v>
      </c>
      <c r="G1971">
        <v>12.67</v>
      </c>
      <c r="H1971">
        <v>0.47</v>
      </c>
      <c r="I1971">
        <v>6.1</v>
      </c>
      <c r="J1971">
        <v>37.21</v>
      </c>
      <c r="K1971" t="str">
        <f>IFERROR(INDEX(Rosters!$C$2:$C$155,MATCH($B1971,Rosters!$B$2:$B$155,0)),"NA")</f>
        <v>chad</v>
      </c>
      <c r="L1971" t="str">
        <f t="shared" si="90"/>
        <v>chad14WR</v>
      </c>
      <c r="M1971">
        <f>COUNTIF(L$1:L1971,L1971)</f>
        <v>6</v>
      </c>
      <c r="N1971" t="str">
        <f t="shared" si="91"/>
        <v>chad14WR-6</v>
      </c>
      <c r="O1971">
        <f>COUNTIFS(F$1:F1971,F1971,A$1:A1971,A1971)</f>
        <v>48</v>
      </c>
      <c r="P1971" t="str">
        <f t="shared" si="92"/>
        <v>Josh Gordon14</v>
      </c>
    </row>
    <row r="1972" spans="1:16" x14ac:dyDescent="0.25">
      <c r="A1972">
        <v>15</v>
      </c>
      <c r="B1972" t="s">
        <v>181</v>
      </c>
      <c r="C1972" t="s">
        <v>7144</v>
      </c>
      <c r="D1972">
        <v>6.57</v>
      </c>
      <c r="E1972" t="s">
        <v>19</v>
      </c>
      <c r="F1972" t="s">
        <v>114</v>
      </c>
      <c r="G1972">
        <v>10.06</v>
      </c>
      <c r="H1972">
        <v>3.08</v>
      </c>
      <c r="I1972">
        <v>3.49</v>
      </c>
      <c r="J1972">
        <v>12.180099999999999</v>
      </c>
      <c r="K1972" t="str">
        <f>IFERROR(INDEX(Rosters!$C$2:$C$155,MATCH($B1972,Rosters!$B$2:$B$155,0)),"NA")</f>
        <v>cory</v>
      </c>
      <c r="L1972" t="str">
        <f t="shared" si="90"/>
        <v>cory15TE</v>
      </c>
      <c r="M1972">
        <f>COUNTIF(L$1:L1972,L1972)</f>
        <v>1</v>
      </c>
      <c r="N1972" t="str">
        <f t="shared" si="91"/>
        <v>cory15TE-1</v>
      </c>
      <c r="O1972">
        <f>COUNTIFS(F$1:F1972,F1972,A$1:A1972,A1972)</f>
        <v>5</v>
      </c>
      <c r="P1972" t="str">
        <f t="shared" si="92"/>
        <v>Kyle Rudolph15</v>
      </c>
    </row>
    <row r="1973" spans="1:16" x14ac:dyDescent="0.25">
      <c r="A1973">
        <v>13</v>
      </c>
      <c r="B1973" t="s">
        <v>145</v>
      </c>
      <c r="C1973" t="s">
        <v>7145</v>
      </c>
      <c r="D1973">
        <v>6.57</v>
      </c>
      <c r="E1973" t="s">
        <v>77</v>
      </c>
      <c r="F1973" t="s">
        <v>47</v>
      </c>
      <c r="G1973">
        <v>11.41</v>
      </c>
      <c r="H1973">
        <v>1.73</v>
      </c>
      <c r="I1973">
        <v>4.84</v>
      </c>
      <c r="J1973">
        <v>23.425599999999999</v>
      </c>
      <c r="K1973" t="str">
        <f>IFERROR(INDEX(Rosters!$C$2:$C$155,MATCH($B1973,Rosters!$B$2:$B$155,0)),"NA")</f>
        <v>lucas</v>
      </c>
      <c r="L1973" t="str">
        <f t="shared" si="90"/>
        <v>lucas13RB</v>
      </c>
      <c r="M1973">
        <f>COUNTIF(L$1:L1973,L1973)</f>
        <v>5</v>
      </c>
      <c r="N1973" t="str">
        <f t="shared" si="91"/>
        <v>lucas13RB-5</v>
      </c>
      <c r="O1973">
        <f>COUNTIFS(F$1:F1973,F1973,A$1:A1973,A1973)</f>
        <v>44</v>
      </c>
      <c r="P1973" t="str">
        <f t="shared" si="92"/>
        <v>Tevin Coleman13</v>
      </c>
    </row>
    <row r="1974" spans="1:16" x14ac:dyDescent="0.25">
      <c r="A1974">
        <v>2</v>
      </c>
      <c r="B1974" t="s">
        <v>235</v>
      </c>
      <c r="C1974" t="s">
        <v>1739</v>
      </c>
      <c r="D1974">
        <v>6.56</v>
      </c>
      <c r="E1974" t="s">
        <v>22</v>
      </c>
      <c r="F1974" t="s">
        <v>114</v>
      </c>
      <c r="G1974">
        <v>11.87</v>
      </c>
      <c r="H1974">
        <v>1.25</v>
      </c>
      <c r="I1974">
        <v>5.31</v>
      </c>
      <c r="J1974">
        <v>28.196100000000001</v>
      </c>
      <c r="K1974" t="str">
        <f>IFERROR(INDEX(Rosters!$C$2:$C$155,MATCH($B1974,Rosters!$B$2:$B$155,0)),"NA")</f>
        <v>devon</v>
      </c>
      <c r="L1974" t="str">
        <f t="shared" si="90"/>
        <v>devon2TE</v>
      </c>
      <c r="M1974">
        <f>COUNTIF(L$1:L1974,L1974)</f>
        <v>1</v>
      </c>
      <c r="N1974" t="str">
        <f t="shared" si="91"/>
        <v>devon2TE-1</v>
      </c>
      <c r="O1974">
        <f>COUNTIFS(F$1:F1974,F1974,A$1:A1974,A1974)</f>
        <v>7</v>
      </c>
      <c r="P1974" t="str">
        <f t="shared" si="92"/>
        <v>Evan Engram2</v>
      </c>
    </row>
    <row r="1975" spans="1:16" x14ac:dyDescent="0.25">
      <c r="A1975">
        <v>7</v>
      </c>
      <c r="B1975" t="s">
        <v>240</v>
      </c>
      <c r="C1975" t="s">
        <v>7146</v>
      </c>
      <c r="D1975">
        <v>6.55</v>
      </c>
      <c r="E1975" t="s">
        <v>74</v>
      </c>
      <c r="F1975" t="s">
        <v>87</v>
      </c>
      <c r="G1975">
        <v>11.53</v>
      </c>
      <c r="H1975">
        <v>1.57</v>
      </c>
      <c r="I1975">
        <v>4.9800000000000004</v>
      </c>
      <c r="J1975">
        <v>24.8004</v>
      </c>
      <c r="K1975" t="str">
        <f>IFERROR(INDEX(Rosters!$C$2:$C$155,MATCH($B1975,Rosters!$B$2:$B$155,0)),"NA")</f>
        <v>aj</v>
      </c>
      <c r="L1975" t="str">
        <f t="shared" si="90"/>
        <v>aj7WR</v>
      </c>
      <c r="M1975">
        <f>COUNTIF(L$1:L1975,L1975)</f>
        <v>5</v>
      </c>
      <c r="N1975" t="str">
        <f t="shared" si="91"/>
        <v>aj7WR-5</v>
      </c>
      <c r="O1975">
        <f>COUNTIFS(F$1:F1975,F1975,A$1:A1975,A1975)</f>
        <v>39</v>
      </c>
      <c r="P1975" t="str">
        <f t="shared" si="92"/>
        <v>Nelson Agholor7</v>
      </c>
    </row>
    <row r="1976" spans="1:16" x14ac:dyDescent="0.25">
      <c r="A1976">
        <v>11</v>
      </c>
      <c r="B1976" t="s">
        <v>1346</v>
      </c>
      <c r="C1976" t="s">
        <v>7147</v>
      </c>
      <c r="D1976">
        <v>6.55</v>
      </c>
      <c r="E1976" t="s">
        <v>37</v>
      </c>
      <c r="F1976" t="s">
        <v>47</v>
      </c>
      <c r="G1976">
        <v>12.5</v>
      </c>
      <c r="H1976">
        <v>0.6</v>
      </c>
      <c r="I1976">
        <v>5.95</v>
      </c>
      <c r="J1976">
        <v>35.402500000000003</v>
      </c>
      <c r="K1976" t="str">
        <f>IFERROR(INDEX(Rosters!$C$2:$C$155,MATCH($B1976,Rosters!$B$2:$B$155,0)),"NA")</f>
        <v>comp</v>
      </c>
      <c r="L1976" t="str">
        <f t="shared" si="90"/>
        <v>comp11RB</v>
      </c>
      <c r="M1976">
        <f>COUNTIF(L$1:L1976,L1976)</f>
        <v>3</v>
      </c>
      <c r="N1976" t="str">
        <f t="shared" si="91"/>
        <v>comp11RB-3</v>
      </c>
      <c r="O1976">
        <f>COUNTIFS(F$1:F1976,F1976,A$1:A1976,A1976)</f>
        <v>31</v>
      </c>
      <c r="P1976" t="str">
        <f t="shared" si="92"/>
        <v>Royce Freeman11</v>
      </c>
    </row>
    <row r="1977" spans="1:16" x14ac:dyDescent="0.25">
      <c r="A1977">
        <v>8</v>
      </c>
      <c r="B1977" t="s">
        <v>285</v>
      </c>
      <c r="C1977" t="s">
        <v>7148</v>
      </c>
      <c r="D1977">
        <v>6.55</v>
      </c>
      <c r="E1977" t="s">
        <v>73</v>
      </c>
      <c r="F1977" t="s">
        <v>47</v>
      </c>
      <c r="G1977">
        <v>10.33</v>
      </c>
      <c r="H1977">
        <v>2.77</v>
      </c>
      <c r="I1977">
        <v>3.78</v>
      </c>
      <c r="J1977">
        <v>14.288399999999999</v>
      </c>
      <c r="K1977" t="str">
        <f>IFERROR(INDEX(Rosters!$C$2:$C$155,MATCH($B1977,Rosters!$B$2:$B$155,0)),"NA")</f>
        <v>NA</v>
      </c>
      <c r="L1977" t="str">
        <f t="shared" si="90"/>
        <v>NA8RB</v>
      </c>
      <c r="M1977">
        <f>COUNTIF(L$1:L1977,L1977)</f>
        <v>3</v>
      </c>
      <c r="N1977" t="str">
        <f t="shared" si="91"/>
        <v>NA8RB-3</v>
      </c>
      <c r="O1977">
        <f>COUNTIFS(F$1:F1977,F1977,A$1:A1977,A1977)</f>
        <v>31</v>
      </c>
      <c r="P1977" t="str">
        <f t="shared" si="92"/>
        <v>Tarik Cohen8</v>
      </c>
    </row>
    <row r="1978" spans="1:16" x14ac:dyDescent="0.25">
      <c r="A1978">
        <v>2</v>
      </c>
      <c r="B1978" t="s">
        <v>163</v>
      </c>
      <c r="C1978" t="s">
        <v>3564</v>
      </c>
      <c r="D1978">
        <v>6.54</v>
      </c>
      <c r="E1978" t="s">
        <v>50</v>
      </c>
      <c r="F1978" t="s">
        <v>87</v>
      </c>
      <c r="G1978">
        <v>10.85</v>
      </c>
      <c r="H1978">
        <v>2.23</v>
      </c>
      <c r="I1978">
        <v>4.3099999999999996</v>
      </c>
      <c r="J1978">
        <v>18.5761</v>
      </c>
      <c r="K1978" t="str">
        <f>IFERROR(INDEX(Rosters!$C$2:$C$155,MATCH($B1978,Rosters!$B$2:$B$155,0)),"NA")</f>
        <v>scott</v>
      </c>
      <c r="L1978" t="str">
        <f t="shared" si="90"/>
        <v>scott2WR</v>
      </c>
      <c r="M1978">
        <f>COUNTIF(L$1:L1978,L1978)</f>
        <v>2</v>
      </c>
      <c r="N1978" t="str">
        <f t="shared" si="91"/>
        <v>scott2WR-2</v>
      </c>
      <c r="O1978">
        <f>COUNTIFS(F$1:F1978,F1978,A$1:A1978,A1978)</f>
        <v>39</v>
      </c>
      <c r="P1978" t="str">
        <f t="shared" si="92"/>
        <v>DeSean Jackson2</v>
      </c>
    </row>
    <row r="1979" spans="1:16" x14ac:dyDescent="0.25">
      <c r="A1979">
        <v>3</v>
      </c>
      <c r="B1979" t="s">
        <v>144</v>
      </c>
      <c r="C1979">
        <f>-0.2-13.28</f>
        <v>-13.479999999999999</v>
      </c>
      <c r="D1979">
        <v>6.54</v>
      </c>
      <c r="E1979" t="s">
        <v>46</v>
      </c>
      <c r="F1979" t="s">
        <v>47</v>
      </c>
      <c r="G1979">
        <v>13.28</v>
      </c>
      <c r="H1979">
        <v>-0.2</v>
      </c>
      <c r="I1979">
        <v>6.74</v>
      </c>
      <c r="J1979">
        <v>45.427599999999998</v>
      </c>
      <c r="K1979" t="str">
        <f>IFERROR(INDEX(Rosters!$C$2:$C$155,MATCH($B1979,Rosters!$B$2:$B$155,0)),"NA")</f>
        <v>NA</v>
      </c>
      <c r="L1979" t="str">
        <f t="shared" si="90"/>
        <v>NA3RB</v>
      </c>
      <c r="M1979">
        <f>COUNTIF(L$1:L1979,L1979)</f>
        <v>11</v>
      </c>
      <c r="N1979" t="str">
        <f t="shared" si="91"/>
        <v>NA3RB-11</v>
      </c>
      <c r="O1979">
        <f>COUNTIFS(F$1:F1979,F1979,A$1:A1979,A1979)</f>
        <v>41</v>
      </c>
      <c r="P1979" t="str">
        <f t="shared" si="92"/>
        <v>Mike Gillislee3</v>
      </c>
    </row>
    <row r="1980" spans="1:16" x14ac:dyDescent="0.25">
      <c r="A1980">
        <v>4</v>
      </c>
      <c r="B1980" t="s">
        <v>1373</v>
      </c>
      <c r="C1980" t="s">
        <v>4504</v>
      </c>
      <c r="D1980">
        <v>6.53</v>
      </c>
      <c r="E1980" t="s">
        <v>30</v>
      </c>
      <c r="F1980" t="s">
        <v>47</v>
      </c>
      <c r="G1980">
        <v>12.45</v>
      </c>
      <c r="H1980">
        <v>0.61</v>
      </c>
      <c r="I1980">
        <v>5.92</v>
      </c>
      <c r="J1980">
        <v>35.046399999999998</v>
      </c>
      <c r="K1980" t="str">
        <f>IFERROR(INDEX(Rosters!$C$2:$C$155,MATCH($B1980,Rosters!$B$2:$B$155,0)),"NA")</f>
        <v>matty</v>
      </c>
      <c r="L1980" t="str">
        <f t="shared" si="90"/>
        <v>matty4RB</v>
      </c>
      <c r="M1980">
        <f>COUNTIF(L$1:L1980,L1980)</f>
        <v>4</v>
      </c>
      <c r="N1980" t="str">
        <f t="shared" si="91"/>
        <v>matty4RB-4</v>
      </c>
      <c r="O1980">
        <f>COUNTIFS(F$1:F1980,F1980,A$1:A1980,A1980)</f>
        <v>35</v>
      </c>
      <c r="P1980" t="str">
        <f t="shared" si="92"/>
        <v>Austin Ekeler4</v>
      </c>
    </row>
    <row r="1981" spans="1:16" x14ac:dyDescent="0.25">
      <c r="A1981">
        <v>5</v>
      </c>
      <c r="B1981" t="s">
        <v>135</v>
      </c>
      <c r="C1981" t="s">
        <v>9080</v>
      </c>
      <c r="D1981">
        <v>6.53</v>
      </c>
      <c r="E1981" t="s">
        <v>34</v>
      </c>
      <c r="F1981" t="s">
        <v>87</v>
      </c>
      <c r="G1981">
        <v>10.039999999999999</v>
      </c>
      <c r="H1981">
        <v>3.02</v>
      </c>
      <c r="I1981">
        <v>3.51</v>
      </c>
      <c r="J1981">
        <v>12.3201</v>
      </c>
      <c r="K1981" t="str">
        <f>IFERROR(INDEX(Rosters!$C$2:$C$155,MATCH($B1981,Rosters!$B$2:$B$155,0)),"NA")</f>
        <v>perry</v>
      </c>
      <c r="L1981" t="str">
        <f t="shared" si="90"/>
        <v>perry5WR</v>
      </c>
      <c r="M1981">
        <f>COUNTIF(L$1:L1981,L1981)</f>
        <v>4</v>
      </c>
      <c r="N1981" t="str">
        <f t="shared" si="91"/>
        <v>perry5WR-4</v>
      </c>
      <c r="O1981">
        <f>COUNTIFS(F$1:F1981,F1981,A$1:A1981,A1981)</f>
        <v>46</v>
      </c>
      <c r="P1981" t="str">
        <f t="shared" si="92"/>
        <v>Davante Adams5</v>
      </c>
    </row>
    <row r="1982" spans="1:16" x14ac:dyDescent="0.25">
      <c r="A1982">
        <v>5</v>
      </c>
      <c r="B1982" t="s">
        <v>205</v>
      </c>
      <c r="C1982" t="s">
        <v>7149</v>
      </c>
      <c r="D1982">
        <v>6.53</v>
      </c>
      <c r="E1982" t="s">
        <v>34</v>
      </c>
      <c r="F1982" t="s">
        <v>47</v>
      </c>
      <c r="G1982">
        <v>11.9</v>
      </c>
      <c r="H1982">
        <v>1.1599999999999999</v>
      </c>
      <c r="I1982">
        <v>5.37</v>
      </c>
      <c r="J1982">
        <v>28.8369</v>
      </c>
      <c r="K1982" t="str">
        <f>IFERROR(INDEX(Rosters!$C$2:$C$155,MATCH($B1982,Rosters!$B$2:$B$155,0)),"NA")</f>
        <v>NA</v>
      </c>
      <c r="L1982" t="str">
        <f t="shared" si="90"/>
        <v>NA5RB</v>
      </c>
      <c r="M1982">
        <f>COUNTIF(L$1:L1982,L1982)</f>
        <v>4</v>
      </c>
      <c r="N1982" t="str">
        <f t="shared" si="91"/>
        <v>NA5RB-4</v>
      </c>
      <c r="O1982">
        <f>COUNTIFS(F$1:F1982,F1982,A$1:A1982,A1982)</f>
        <v>40</v>
      </c>
      <c r="P1982" t="str">
        <f t="shared" si="92"/>
        <v>Jamaal Williams5</v>
      </c>
    </row>
    <row r="1983" spans="1:16" x14ac:dyDescent="0.25">
      <c r="A1983">
        <v>9</v>
      </c>
      <c r="B1983" t="s">
        <v>298</v>
      </c>
      <c r="C1983" t="s">
        <v>7150</v>
      </c>
      <c r="D1983">
        <v>6.53</v>
      </c>
      <c r="E1983" t="s">
        <v>77</v>
      </c>
      <c r="F1983" t="s">
        <v>47</v>
      </c>
      <c r="G1983">
        <v>10.9</v>
      </c>
      <c r="H1983">
        <v>2.16</v>
      </c>
      <c r="I1983">
        <v>4.37</v>
      </c>
      <c r="J1983">
        <v>19.096900000000002</v>
      </c>
      <c r="K1983" t="str">
        <f>IFERROR(INDEX(Rosters!$C$2:$C$155,MATCH($B1983,Rosters!$B$2:$B$155,0)),"NA")</f>
        <v>aj</v>
      </c>
      <c r="L1983" t="str">
        <f t="shared" si="90"/>
        <v>aj9RB</v>
      </c>
      <c r="M1983">
        <f>COUNTIF(L$1:L1983,L1983)</f>
        <v>4</v>
      </c>
      <c r="N1983" t="str">
        <f t="shared" si="91"/>
        <v>aj9RB-4</v>
      </c>
      <c r="O1983">
        <f>COUNTIFS(F$1:F1983,F1983,A$1:A1983,A1983)</f>
        <v>38</v>
      </c>
      <c r="P1983" t="str">
        <f t="shared" si="92"/>
        <v>James Conner9</v>
      </c>
    </row>
    <row r="1984" spans="1:16" x14ac:dyDescent="0.25">
      <c r="A1984">
        <v>9</v>
      </c>
      <c r="B1984" t="s">
        <v>162</v>
      </c>
      <c r="C1984" t="s">
        <v>7151</v>
      </c>
      <c r="D1984">
        <v>6.53</v>
      </c>
      <c r="E1984" t="s">
        <v>423</v>
      </c>
      <c r="F1984" t="s">
        <v>114</v>
      </c>
      <c r="G1984">
        <v>11.8</v>
      </c>
      <c r="H1984">
        <v>1.26</v>
      </c>
      <c r="I1984">
        <v>5.27</v>
      </c>
      <c r="J1984">
        <v>27.7729</v>
      </c>
      <c r="K1984" t="str">
        <f>IFERROR(INDEX(Rosters!$C$2:$C$155,MATCH($B1984,Rosters!$B$2:$B$155,0)),"NA")</f>
        <v>seth</v>
      </c>
      <c r="L1984" t="str">
        <f t="shared" si="90"/>
        <v>seth9TE</v>
      </c>
      <c r="M1984">
        <f>COUNTIF(L$1:L1984,L1984)</f>
        <v>1</v>
      </c>
      <c r="N1984" t="str">
        <f t="shared" si="91"/>
        <v>seth9TE-1</v>
      </c>
      <c r="O1984">
        <f>COUNTIFS(F$1:F1984,F1984,A$1:A1984,A1984)</f>
        <v>5</v>
      </c>
      <c r="P1984" t="str">
        <f t="shared" si="92"/>
        <v>Jimmy Graham9</v>
      </c>
    </row>
    <row r="1985" spans="1:16" x14ac:dyDescent="0.25">
      <c r="A1985">
        <v>10</v>
      </c>
      <c r="B1985" t="s">
        <v>128</v>
      </c>
      <c r="C1985" t="s">
        <v>7152</v>
      </c>
      <c r="D1985">
        <v>6.52</v>
      </c>
      <c r="E1985" t="s">
        <v>41</v>
      </c>
      <c r="F1985" t="s">
        <v>47</v>
      </c>
      <c r="G1985">
        <v>11.24</v>
      </c>
      <c r="H1985">
        <v>1.8</v>
      </c>
      <c r="I1985">
        <v>4.72</v>
      </c>
      <c r="J1985">
        <v>22.278400000000001</v>
      </c>
      <c r="K1985" t="str">
        <f>IFERROR(INDEX(Rosters!$C$2:$C$155,MATCH($B1985,Rosters!$B$2:$B$155,0)),"NA")</f>
        <v>NA</v>
      </c>
      <c r="L1985" t="str">
        <f t="shared" si="90"/>
        <v>NA10RB</v>
      </c>
      <c r="M1985">
        <f>COUNTIF(L$1:L1985,L1985)</f>
        <v>1</v>
      </c>
      <c r="N1985" t="str">
        <f t="shared" si="91"/>
        <v>NA10RB-1</v>
      </c>
      <c r="O1985">
        <f>COUNTIFS(F$1:F1985,F1985,A$1:A1985,A1985)</f>
        <v>35</v>
      </c>
      <c r="P1985" t="str">
        <f t="shared" si="92"/>
        <v>Frank Gore10</v>
      </c>
    </row>
    <row r="1986" spans="1:16" x14ac:dyDescent="0.25">
      <c r="A1986">
        <v>11</v>
      </c>
      <c r="B1986" t="s">
        <v>298</v>
      </c>
      <c r="C1986" t="s">
        <v>7153</v>
      </c>
      <c r="D1986">
        <v>6.52</v>
      </c>
      <c r="E1986" t="s">
        <v>76</v>
      </c>
      <c r="F1986" t="s">
        <v>47</v>
      </c>
      <c r="G1986">
        <v>10.89</v>
      </c>
      <c r="H1986">
        <v>2.15</v>
      </c>
      <c r="I1986">
        <v>4.37</v>
      </c>
      <c r="J1986">
        <v>19.096900000000002</v>
      </c>
      <c r="K1986" t="str">
        <f>IFERROR(INDEX(Rosters!$C$2:$C$155,MATCH($B1986,Rosters!$B$2:$B$155,0)),"NA")</f>
        <v>aj</v>
      </c>
      <c r="L1986" t="str">
        <f t="shared" si="90"/>
        <v>aj11RB</v>
      </c>
      <c r="M1986">
        <f>COUNTIF(L$1:L1986,L1986)</f>
        <v>3</v>
      </c>
      <c r="N1986" t="str">
        <f t="shared" si="91"/>
        <v>aj11RB-3</v>
      </c>
      <c r="O1986">
        <f>COUNTIFS(F$1:F1986,F1986,A$1:A1986,A1986)</f>
        <v>32</v>
      </c>
      <c r="P1986" t="str">
        <f t="shared" si="92"/>
        <v>James Conner11</v>
      </c>
    </row>
    <row r="1987" spans="1:16" x14ac:dyDescent="0.25">
      <c r="A1987">
        <v>1</v>
      </c>
      <c r="B1987" t="s">
        <v>1368</v>
      </c>
      <c r="C1987" t="s">
        <v>1369</v>
      </c>
      <c r="D1987">
        <v>6.52</v>
      </c>
      <c r="E1987" t="s">
        <v>54</v>
      </c>
      <c r="F1987" t="s">
        <v>87</v>
      </c>
      <c r="G1987">
        <v>11.64</v>
      </c>
      <c r="H1987">
        <v>1.4</v>
      </c>
      <c r="I1987">
        <v>5.12</v>
      </c>
      <c r="J1987">
        <v>26.214400000000001</v>
      </c>
      <c r="K1987" t="str">
        <f>IFERROR(INDEX(Rosters!$C$2:$C$155,MATCH($B1987,Rosters!$B$2:$B$155,0)),"NA")</f>
        <v>scott</v>
      </c>
      <c r="L1987" t="str">
        <f t="shared" ref="L1987:L2050" si="93">K1987&amp;A1987&amp;F1987</f>
        <v>scott1WR</v>
      </c>
      <c r="M1987">
        <f>COUNTIF(L$1:L1987,L1987)</f>
        <v>3</v>
      </c>
      <c r="N1987" t="str">
        <f t="shared" ref="N1987:N2050" si="94">L1987&amp;"-"&amp;M1987</f>
        <v>scott1WR-3</v>
      </c>
      <c r="O1987">
        <f>COUNTIFS(F$1:F1987,F1987,A$1:A1987,A1987)</f>
        <v>38</v>
      </c>
      <c r="P1987" t="str">
        <f t="shared" ref="P1987:P2050" si="95">B1987&amp;A1987</f>
        <v>Keelan Cole1</v>
      </c>
    </row>
    <row r="1988" spans="1:16" x14ac:dyDescent="0.25">
      <c r="A1988">
        <v>8</v>
      </c>
      <c r="B1988" t="s">
        <v>48</v>
      </c>
      <c r="C1988" t="s">
        <v>7154</v>
      </c>
      <c r="D1988">
        <v>6.52</v>
      </c>
      <c r="E1988" t="s">
        <v>52</v>
      </c>
      <c r="F1988" t="s">
        <v>47</v>
      </c>
      <c r="G1988">
        <v>10.23</v>
      </c>
      <c r="H1988">
        <v>2.81</v>
      </c>
      <c r="I1988">
        <v>3.71</v>
      </c>
      <c r="J1988">
        <v>13.764099999999999</v>
      </c>
      <c r="K1988" t="str">
        <f>IFERROR(INDEX(Rosters!$C$2:$C$155,MATCH($B1988,Rosters!$B$2:$B$155,0)),"NA")</f>
        <v>devon</v>
      </c>
      <c r="L1988" t="str">
        <f t="shared" si="93"/>
        <v>devon8RB</v>
      </c>
      <c r="M1988">
        <f>COUNTIF(L$1:L1988,L1988)</f>
        <v>5</v>
      </c>
      <c r="N1988" t="str">
        <f t="shared" si="94"/>
        <v>devon8RB-5</v>
      </c>
      <c r="O1988">
        <f>COUNTIFS(F$1:F1988,F1988,A$1:A1988,A1988)</f>
        <v>32</v>
      </c>
      <c r="P1988" t="str">
        <f t="shared" si="95"/>
        <v>Le'Veon Bell8</v>
      </c>
    </row>
    <row r="1989" spans="1:16" x14ac:dyDescent="0.25">
      <c r="A1989">
        <v>6</v>
      </c>
      <c r="B1989" t="s">
        <v>205</v>
      </c>
      <c r="C1989" t="s">
        <v>7155</v>
      </c>
      <c r="D1989">
        <v>6.51</v>
      </c>
      <c r="E1989" t="s">
        <v>30</v>
      </c>
      <c r="F1989" t="s">
        <v>47</v>
      </c>
      <c r="G1989">
        <v>11.44</v>
      </c>
      <c r="H1989">
        <v>1.58</v>
      </c>
      <c r="I1989">
        <v>4.93</v>
      </c>
      <c r="J1989">
        <v>24.3049</v>
      </c>
      <c r="K1989" t="str">
        <f>IFERROR(INDEX(Rosters!$C$2:$C$155,MATCH($B1989,Rosters!$B$2:$B$155,0)),"NA")</f>
        <v>NA</v>
      </c>
      <c r="L1989" t="str">
        <f t="shared" si="93"/>
        <v>NA6RB</v>
      </c>
      <c r="M1989">
        <f>COUNTIF(L$1:L1989,L1989)</f>
        <v>2</v>
      </c>
      <c r="N1989" t="str">
        <f t="shared" si="94"/>
        <v>NA6RB-2</v>
      </c>
      <c r="O1989">
        <f>COUNTIFS(F$1:F1989,F1989,A$1:A1989,A1989)</f>
        <v>36</v>
      </c>
      <c r="P1989" t="str">
        <f t="shared" si="95"/>
        <v>Jamaal Williams6</v>
      </c>
    </row>
    <row r="1990" spans="1:16" x14ac:dyDescent="0.25">
      <c r="A1990">
        <v>2</v>
      </c>
      <c r="B1990" t="s">
        <v>137</v>
      </c>
      <c r="C1990" t="s">
        <v>1370</v>
      </c>
      <c r="D1990">
        <v>6.51</v>
      </c>
      <c r="E1990" t="s">
        <v>66</v>
      </c>
      <c r="F1990" t="s">
        <v>87</v>
      </c>
      <c r="G1990">
        <v>11.62</v>
      </c>
      <c r="H1990">
        <v>1.4</v>
      </c>
      <c r="I1990">
        <v>5.1100000000000003</v>
      </c>
      <c r="J1990">
        <v>26.112100000000002</v>
      </c>
      <c r="K1990" t="str">
        <f>IFERROR(INDEX(Rosters!$C$2:$C$155,MATCH($B1990,Rosters!$B$2:$B$155,0)),"NA")</f>
        <v>lucas</v>
      </c>
      <c r="L1990" t="str">
        <f t="shared" si="93"/>
        <v>lucas2WR</v>
      </c>
      <c r="M1990">
        <f>COUNTIF(L$1:L1990,L1990)</f>
        <v>3</v>
      </c>
      <c r="N1990" t="str">
        <f t="shared" si="94"/>
        <v>lucas2WR-3</v>
      </c>
      <c r="O1990">
        <f>COUNTIFS(F$1:F1990,F1990,A$1:A1990,A1990)</f>
        <v>40</v>
      </c>
      <c r="P1990" t="str">
        <f t="shared" si="95"/>
        <v>Jamison Crowder2</v>
      </c>
    </row>
    <row r="1991" spans="1:16" x14ac:dyDescent="0.25">
      <c r="A1991">
        <v>8</v>
      </c>
      <c r="B1991" t="s">
        <v>1388</v>
      </c>
      <c r="C1991" t="s">
        <v>7156</v>
      </c>
      <c r="D1991">
        <v>6.51</v>
      </c>
      <c r="E1991" t="s">
        <v>32</v>
      </c>
      <c r="F1991" t="s">
        <v>47</v>
      </c>
      <c r="G1991">
        <v>11.45</v>
      </c>
      <c r="H1991">
        <v>1.57</v>
      </c>
      <c r="I1991">
        <v>4.9400000000000004</v>
      </c>
      <c r="J1991">
        <v>24.403600000000001</v>
      </c>
      <c r="K1991" t="str">
        <f>IFERROR(INDEX(Rosters!$C$2:$C$155,MATCH($B1991,Rosters!$B$2:$B$155,0)),"NA")</f>
        <v>NA</v>
      </c>
      <c r="L1991" t="str">
        <f t="shared" si="93"/>
        <v>NA8RB</v>
      </c>
      <c r="M1991">
        <f>COUNTIF(L$1:L1991,L1991)</f>
        <v>4</v>
      </c>
      <c r="N1991" t="str">
        <f t="shared" si="94"/>
        <v>NA8RB-4</v>
      </c>
      <c r="O1991">
        <f>COUNTIFS(F$1:F1991,F1991,A$1:A1991,A1991)</f>
        <v>33</v>
      </c>
      <c r="P1991" t="str">
        <f t="shared" si="95"/>
        <v>Jordan Wilkins8</v>
      </c>
    </row>
    <row r="1992" spans="1:16" x14ac:dyDescent="0.25">
      <c r="A1992">
        <v>16</v>
      </c>
      <c r="B1992" t="s">
        <v>181</v>
      </c>
      <c r="C1992" t="s">
        <v>7157</v>
      </c>
      <c r="D1992">
        <v>6.51</v>
      </c>
      <c r="E1992" t="s">
        <v>34</v>
      </c>
      <c r="F1992" t="s">
        <v>114</v>
      </c>
      <c r="G1992">
        <v>10.15</v>
      </c>
      <c r="H1992">
        <v>2.87</v>
      </c>
      <c r="I1992">
        <v>3.64</v>
      </c>
      <c r="J1992">
        <v>13.249599999999999</v>
      </c>
      <c r="K1992" t="str">
        <f>IFERROR(INDEX(Rosters!$C$2:$C$155,MATCH($B1992,Rosters!$B$2:$B$155,0)),"NA")</f>
        <v>cory</v>
      </c>
      <c r="L1992" t="str">
        <f t="shared" si="93"/>
        <v>cory16TE</v>
      </c>
      <c r="M1992">
        <f>COUNTIF(L$1:L1992,L1992)</f>
        <v>1</v>
      </c>
      <c r="N1992" t="str">
        <f t="shared" si="94"/>
        <v>cory16TE-1</v>
      </c>
      <c r="O1992">
        <f>COUNTIFS(F$1:F1992,F1992,A$1:A1992,A1992)</f>
        <v>8</v>
      </c>
      <c r="P1992" t="str">
        <f t="shared" si="95"/>
        <v>Kyle Rudolph16</v>
      </c>
    </row>
    <row r="1993" spans="1:16" x14ac:dyDescent="0.25">
      <c r="A1993">
        <v>8</v>
      </c>
      <c r="B1993" t="s">
        <v>203</v>
      </c>
      <c r="C1993" t="s">
        <v>7158</v>
      </c>
      <c r="D1993">
        <v>6.51</v>
      </c>
      <c r="E1993" t="s">
        <v>72</v>
      </c>
      <c r="F1993" t="s">
        <v>87</v>
      </c>
      <c r="G1993">
        <v>11.3</v>
      </c>
      <c r="H1993">
        <v>1.72</v>
      </c>
      <c r="I1993">
        <v>4.79</v>
      </c>
      <c r="J1993">
        <v>22.944099999999999</v>
      </c>
      <c r="K1993" t="str">
        <f>IFERROR(INDEX(Rosters!$C$2:$C$155,MATCH($B1993,Rosters!$B$2:$B$155,0)),"NA")</f>
        <v>NA</v>
      </c>
      <c r="L1993" t="str">
        <f t="shared" si="93"/>
        <v>NA8WR</v>
      </c>
      <c r="M1993">
        <f>COUNTIF(L$1:L1993,L1993)</f>
        <v>1</v>
      </c>
      <c r="N1993" t="str">
        <f t="shared" si="94"/>
        <v>NA8WR-1</v>
      </c>
      <c r="O1993">
        <f>COUNTIFS(F$1:F1993,F1993,A$1:A1993,A1993)</f>
        <v>43</v>
      </c>
      <c r="P1993" t="str">
        <f t="shared" si="95"/>
        <v>Robby Anderson8</v>
      </c>
    </row>
    <row r="1994" spans="1:16" x14ac:dyDescent="0.25">
      <c r="A1994">
        <v>13</v>
      </c>
      <c r="B1994" t="s">
        <v>285</v>
      </c>
      <c r="C1994" t="s">
        <v>7159</v>
      </c>
      <c r="D1994">
        <v>6.51</v>
      </c>
      <c r="E1994" t="s">
        <v>54</v>
      </c>
      <c r="F1994" t="s">
        <v>47</v>
      </c>
      <c r="G1994">
        <v>11.85</v>
      </c>
      <c r="H1994">
        <v>1.17</v>
      </c>
      <c r="I1994">
        <v>5.34</v>
      </c>
      <c r="J1994">
        <v>28.515599999999999</v>
      </c>
      <c r="K1994" t="str">
        <f>IFERROR(INDEX(Rosters!$C$2:$C$155,MATCH($B1994,Rosters!$B$2:$B$155,0)),"NA")</f>
        <v>NA</v>
      </c>
      <c r="L1994" t="str">
        <f t="shared" si="93"/>
        <v>NA13RB</v>
      </c>
      <c r="M1994">
        <f>COUNTIF(L$1:L1994,L1994)</f>
        <v>4</v>
      </c>
      <c r="N1994" t="str">
        <f t="shared" si="94"/>
        <v>NA13RB-4</v>
      </c>
      <c r="O1994">
        <f>COUNTIFS(F$1:F1994,F1994,A$1:A1994,A1994)</f>
        <v>45</v>
      </c>
      <c r="P1994" t="str">
        <f t="shared" si="95"/>
        <v>Tarik Cohen13</v>
      </c>
    </row>
    <row r="1995" spans="1:16" x14ac:dyDescent="0.25">
      <c r="A1995">
        <v>12</v>
      </c>
      <c r="B1995" t="s">
        <v>128</v>
      </c>
      <c r="C1995" t="s">
        <v>7160</v>
      </c>
      <c r="D1995">
        <v>6.5</v>
      </c>
      <c r="E1995" t="s">
        <v>66</v>
      </c>
      <c r="F1995" t="s">
        <v>47</v>
      </c>
      <c r="G1995">
        <v>11.33</v>
      </c>
      <c r="H1995">
        <v>1.67</v>
      </c>
      <c r="I1995">
        <v>4.83</v>
      </c>
      <c r="J1995">
        <v>23.328900000000001</v>
      </c>
      <c r="K1995" t="str">
        <f>IFERROR(INDEX(Rosters!$C$2:$C$155,MATCH($B1995,Rosters!$B$2:$B$155,0)),"NA")</f>
        <v>NA</v>
      </c>
      <c r="L1995" t="str">
        <f t="shared" si="93"/>
        <v>NA12RB</v>
      </c>
      <c r="M1995">
        <f>COUNTIF(L$1:L1995,L1995)</f>
        <v>1</v>
      </c>
      <c r="N1995" t="str">
        <f t="shared" si="94"/>
        <v>NA12RB-1</v>
      </c>
      <c r="O1995">
        <f>COUNTIFS(F$1:F1995,F1995,A$1:A1995,A1995)</f>
        <v>36</v>
      </c>
      <c r="P1995" t="str">
        <f t="shared" si="95"/>
        <v>Frank Gore12</v>
      </c>
    </row>
    <row r="1996" spans="1:16" x14ac:dyDescent="0.25">
      <c r="A1996">
        <v>16</v>
      </c>
      <c r="B1996" t="s">
        <v>1158</v>
      </c>
      <c r="C1996" t="s">
        <v>7161</v>
      </c>
      <c r="D1996">
        <v>6.5</v>
      </c>
      <c r="E1996" t="s">
        <v>29</v>
      </c>
      <c r="F1996" t="s">
        <v>87</v>
      </c>
      <c r="G1996">
        <v>12.46</v>
      </c>
      <c r="H1996">
        <v>0.54</v>
      </c>
      <c r="I1996">
        <v>5.96</v>
      </c>
      <c r="J1996">
        <v>35.521599999999999</v>
      </c>
      <c r="K1996" t="str">
        <f>IFERROR(INDEX(Rosters!$C$2:$C$155,MATCH($B1996,Rosters!$B$2:$B$155,0)),"NA")</f>
        <v>chad</v>
      </c>
      <c r="L1996" t="str">
        <f t="shared" si="93"/>
        <v>chad16WR</v>
      </c>
      <c r="M1996">
        <f>COUNTIF(L$1:L1996,L1996)</f>
        <v>6</v>
      </c>
      <c r="N1996" t="str">
        <f t="shared" si="94"/>
        <v>chad16WR-6</v>
      </c>
      <c r="O1996">
        <f>COUNTIFS(F$1:F1996,F1996,A$1:A1996,A1996)</f>
        <v>48</v>
      </c>
      <c r="P1996" t="str">
        <f t="shared" si="95"/>
        <v>Josh Gordon16</v>
      </c>
    </row>
    <row r="1997" spans="1:16" x14ac:dyDescent="0.25">
      <c r="A1997">
        <v>14</v>
      </c>
      <c r="B1997" t="s">
        <v>1368</v>
      </c>
      <c r="C1997" t="s">
        <v>7162</v>
      </c>
      <c r="D1997">
        <v>6.5</v>
      </c>
      <c r="E1997" t="s">
        <v>38</v>
      </c>
      <c r="F1997" t="s">
        <v>87</v>
      </c>
      <c r="G1997">
        <v>10.57</v>
      </c>
      <c r="H1997">
        <v>2.4300000000000002</v>
      </c>
      <c r="I1997">
        <v>4.07</v>
      </c>
      <c r="J1997">
        <v>16.564900000000002</v>
      </c>
      <c r="K1997" t="str">
        <f>IFERROR(INDEX(Rosters!$C$2:$C$155,MATCH($B1997,Rosters!$B$2:$B$155,0)),"NA")</f>
        <v>scott</v>
      </c>
      <c r="L1997" t="str">
        <f t="shared" si="93"/>
        <v>scott14WR</v>
      </c>
      <c r="M1997">
        <f>COUNTIF(L$1:L1997,L1997)</f>
        <v>5</v>
      </c>
      <c r="N1997" t="str">
        <f t="shared" si="94"/>
        <v>scott14WR-5</v>
      </c>
      <c r="O1997">
        <f>COUNTIFS(F$1:F1997,F1997,A$1:A1997,A1997)</f>
        <v>49</v>
      </c>
      <c r="P1997" t="str">
        <f t="shared" si="95"/>
        <v>Keelan Cole14</v>
      </c>
    </row>
    <row r="1998" spans="1:16" x14ac:dyDescent="0.25">
      <c r="A1998">
        <v>6</v>
      </c>
      <c r="B1998" t="s">
        <v>187</v>
      </c>
      <c r="C1998" t="s">
        <v>7163</v>
      </c>
      <c r="D1998">
        <v>6.5</v>
      </c>
      <c r="E1998" t="s">
        <v>58</v>
      </c>
      <c r="F1998" t="s">
        <v>47</v>
      </c>
      <c r="G1998">
        <v>10.81</v>
      </c>
      <c r="H1998">
        <v>2.19</v>
      </c>
      <c r="I1998">
        <v>4.3099999999999996</v>
      </c>
      <c r="J1998">
        <v>18.5761</v>
      </c>
      <c r="K1998" t="str">
        <f>IFERROR(INDEX(Rosters!$C$2:$C$155,MATCH($B1998,Rosters!$B$2:$B$155,0)),"NA")</f>
        <v>seth</v>
      </c>
      <c r="L1998" t="str">
        <f t="shared" si="93"/>
        <v>seth6RB</v>
      </c>
      <c r="M1998">
        <f>COUNTIF(L$1:L1998,L1998)</f>
        <v>4</v>
      </c>
      <c r="N1998" t="str">
        <f t="shared" si="94"/>
        <v>seth6RB-4</v>
      </c>
      <c r="O1998">
        <f>COUNTIFS(F$1:F1998,F1998,A$1:A1998,A1998)</f>
        <v>37</v>
      </c>
      <c r="P1998" t="str">
        <f t="shared" si="95"/>
        <v>Latavius Murray6</v>
      </c>
    </row>
    <row r="1999" spans="1:16" x14ac:dyDescent="0.25">
      <c r="A1999">
        <v>8</v>
      </c>
      <c r="B1999" t="s">
        <v>187</v>
      </c>
      <c r="C1999" t="s">
        <v>7164</v>
      </c>
      <c r="D1999">
        <v>6.5</v>
      </c>
      <c r="E1999" t="s">
        <v>14</v>
      </c>
      <c r="F1999" t="s">
        <v>47</v>
      </c>
      <c r="G1999">
        <v>10.69</v>
      </c>
      <c r="H1999">
        <v>2.31</v>
      </c>
      <c r="I1999">
        <v>4.1900000000000004</v>
      </c>
      <c r="J1999">
        <v>17.556100000000001</v>
      </c>
      <c r="K1999" t="str">
        <f>IFERROR(INDEX(Rosters!$C$2:$C$155,MATCH($B1999,Rosters!$B$2:$B$155,0)),"NA")</f>
        <v>seth</v>
      </c>
      <c r="L1999" t="str">
        <f t="shared" si="93"/>
        <v>seth8RB</v>
      </c>
      <c r="M1999">
        <f>COUNTIF(L$1:L1999,L1999)</f>
        <v>2</v>
      </c>
      <c r="N1999" t="str">
        <f t="shared" si="94"/>
        <v>seth8RB-2</v>
      </c>
      <c r="O1999">
        <f>COUNTIFS(F$1:F1999,F1999,A$1:A1999,A1999)</f>
        <v>34</v>
      </c>
      <c r="P1999" t="str">
        <f t="shared" si="95"/>
        <v>Latavius Murray8</v>
      </c>
    </row>
    <row r="2000" spans="1:16" x14ac:dyDescent="0.25">
      <c r="A2000">
        <v>10</v>
      </c>
      <c r="B2000" t="s">
        <v>245</v>
      </c>
      <c r="C2000" t="s">
        <v>7165</v>
      </c>
      <c r="D2000">
        <v>6.5</v>
      </c>
      <c r="E2000" t="s">
        <v>66</v>
      </c>
      <c r="F2000" t="s">
        <v>47</v>
      </c>
      <c r="G2000">
        <v>12.11</v>
      </c>
      <c r="H2000">
        <v>0.89</v>
      </c>
      <c r="I2000">
        <v>5.61</v>
      </c>
      <c r="J2000">
        <v>31.472100000000001</v>
      </c>
      <c r="K2000" t="str">
        <f>IFERROR(INDEX(Rosters!$C$2:$C$155,MATCH($B2000,Rosters!$B$2:$B$155,0)),"NA")</f>
        <v>seth</v>
      </c>
      <c r="L2000" t="str">
        <f t="shared" si="93"/>
        <v>seth10RB</v>
      </c>
      <c r="M2000">
        <f>COUNTIF(L$1:L2000,L2000)</f>
        <v>4</v>
      </c>
      <c r="N2000" t="str">
        <f t="shared" si="94"/>
        <v>seth10RB-4</v>
      </c>
      <c r="O2000">
        <f>COUNTIFS(F$1:F2000,F2000,A$1:A2000,A2000)</f>
        <v>36</v>
      </c>
      <c r="P2000" t="str">
        <f t="shared" si="95"/>
        <v>T.J. Yeldon10</v>
      </c>
    </row>
    <row r="2001" spans="1:16" x14ac:dyDescent="0.25">
      <c r="A2001">
        <v>6</v>
      </c>
      <c r="B2001" t="s">
        <v>162</v>
      </c>
      <c r="C2001" t="s">
        <v>7166</v>
      </c>
      <c r="D2001">
        <v>6.49</v>
      </c>
      <c r="E2001" t="s">
        <v>30</v>
      </c>
      <c r="F2001" t="s">
        <v>114</v>
      </c>
      <c r="G2001">
        <v>11.32</v>
      </c>
      <c r="H2001">
        <v>1.66</v>
      </c>
      <c r="I2001">
        <v>4.83</v>
      </c>
      <c r="J2001">
        <v>23.328900000000001</v>
      </c>
      <c r="K2001" t="str">
        <f>IFERROR(INDEX(Rosters!$C$2:$C$155,MATCH($B2001,Rosters!$B$2:$B$155,0)),"NA")</f>
        <v>seth</v>
      </c>
      <c r="L2001" t="str">
        <f t="shared" si="93"/>
        <v>seth6TE</v>
      </c>
      <c r="M2001">
        <f>COUNTIF(L$1:L2001,L2001)</f>
        <v>1</v>
      </c>
      <c r="N2001" t="str">
        <f t="shared" si="94"/>
        <v>seth6TE-1</v>
      </c>
      <c r="O2001">
        <f>COUNTIFS(F$1:F2001,F2001,A$1:A2001,A2001)</f>
        <v>7</v>
      </c>
      <c r="P2001" t="str">
        <f t="shared" si="95"/>
        <v>Jimmy Graham6</v>
      </c>
    </row>
    <row r="2002" spans="1:16" x14ac:dyDescent="0.25">
      <c r="A2002">
        <v>2</v>
      </c>
      <c r="B2002" t="s">
        <v>313</v>
      </c>
      <c r="C2002" t="s">
        <v>1699</v>
      </c>
      <c r="D2002">
        <v>6.49</v>
      </c>
      <c r="E2002" t="s">
        <v>28</v>
      </c>
      <c r="F2002" t="s">
        <v>114</v>
      </c>
      <c r="G2002">
        <v>11.95</v>
      </c>
      <c r="H2002">
        <v>1.03</v>
      </c>
      <c r="I2002">
        <v>5.46</v>
      </c>
      <c r="J2002">
        <v>29.811599999999999</v>
      </c>
      <c r="K2002" t="str">
        <f>IFERROR(INDEX(Rosters!$C$2:$C$155,MATCH($B2002,Rosters!$B$2:$B$155,0)),"NA")</f>
        <v>comp</v>
      </c>
      <c r="L2002" t="str">
        <f t="shared" si="93"/>
        <v>comp2TE</v>
      </c>
      <c r="M2002">
        <f>COUNTIF(L$1:L2002,L2002)</f>
        <v>1</v>
      </c>
      <c r="N2002" t="str">
        <f t="shared" si="94"/>
        <v>comp2TE-1</v>
      </c>
      <c r="O2002">
        <f>COUNTIFS(F$1:F2002,F2002,A$1:A2002,A2002)</f>
        <v>8</v>
      </c>
      <c r="P2002" t="str">
        <f t="shared" si="95"/>
        <v>Trey Burton2</v>
      </c>
    </row>
    <row r="2003" spans="1:16" x14ac:dyDescent="0.25">
      <c r="A2003">
        <v>6</v>
      </c>
      <c r="B2003" t="s">
        <v>180</v>
      </c>
      <c r="C2003" t="s">
        <v>7167</v>
      </c>
      <c r="D2003">
        <v>6.49</v>
      </c>
      <c r="E2003" t="s">
        <v>32</v>
      </c>
      <c r="F2003" t="s">
        <v>87</v>
      </c>
      <c r="G2003">
        <v>11.15</v>
      </c>
      <c r="H2003">
        <v>1.83</v>
      </c>
      <c r="I2003">
        <v>4.66</v>
      </c>
      <c r="J2003">
        <v>21.715599999999998</v>
      </c>
      <c r="K2003" t="str">
        <f>IFERROR(INDEX(Rosters!$C$2:$C$155,MATCH($B2003,Rosters!$B$2:$B$155,0)),"NA")</f>
        <v>NA</v>
      </c>
      <c r="L2003" t="str">
        <f t="shared" si="93"/>
        <v>NA6WR</v>
      </c>
      <c r="M2003">
        <f>COUNTIF(L$1:L2003,L2003)</f>
        <v>2</v>
      </c>
      <c r="N2003" t="str">
        <f t="shared" si="94"/>
        <v>NA6WR-2</v>
      </c>
      <c r="O2003">
        <f>COUNTIFS(F$1:F2003,F2003,A$1:A2003,A2003)</f>
        <v>43</v>
      </c>
      <c r="P2003" t="str">
        <f t="shared" si="95"/>
        <v>Tyler Lockett6</v>
      </c>
    </row>
    <row r="2004" spans="1:16" x14ac:dyDescent="0.25">
      <c r="A2004">
        <v>1</v>
      </c>
      <c r="B2004" t="s">
        <v>137</v>
      </c>
      <c r="C2004" t="s">
        <v>1371</v>
      </c>
      <c r="D2004">
        <v>6.48</v>
      </c>
      <c r="E2004" t="s">
        <v>58</v>
      </c>
      <c r="F2004" t="s">
        <v>87</v>
      </c>
      <c r="G2004">
        <v>10.78</v>
      </c>
      <c r="H2004">
        <v>2.1800000000000002</v>
      </c>
      <c r="I2004">
        <v>4.3</v>
      </c>
      <c r="J2004">
        <v>18.489999999999998</v>
      </c>
      <c r="K2004" t="str">
        <f>IFERROR(INDEX(Rosters!$C$2:$C$155,MATCH($B2004,Rosters!$B$2:$B$155,0)),"NA")</f>
        <v>lucas</v>
      </c>
      <c r="L2004" t="str">
        <f t="shared" si="93"/>
        <v>lucas1WR</v>
      </c>
      <c r="M2004">
        <f>COUNTIF(L$1:L2004,L2004)</f>
        <v>3</v>
      </c>
      <c r="N2004" t="str">
        <f t="shared" si="94"/>
        <v>lucas1WR-3</v>
      </c>
      <c r="O2004">
        <f>COUNTIFS(F$1:F2004,F2004,A$1:A2004,A2004)</f>
        <v>39</v>
      </c>
      <c r="P2004" t="str">
        <f t="shared" si="95"/>
        <v>Jamison Crowder1</v>
      </c>
    </row>
    <row r="2005" spans="1:16" x14ac:dyDescent="0.25">
      <c r="A2005">
        <v>5</v>
      </c>
      <c r="B2005" t="s">
        <v>137</v>
      </c>
      <c r="C2005" t="s">
        <v>7168</v>
      </c>
      <c r="D2005">
        <v>6.48</v>
      </c>
      <c r="E2005" t="s">
        <v>14</v>
      </c>
      <c r="F2005" t="s">
        <v>87</v>
      </c>
      <c r="G2005">
        <v>10.87</v>
      </c>
      <c r="H2005">
        <v>2.09</v>
      </c>
      <c r="I2005">
        <v>4.3899999999999997</v>
      </c>
      <c r="J2005">
        <v>19.272099999999998</v>
      </c>
      <c r="K2005" t="str">
        <f>IFERROR(INDEX(Rosters!$C$2:$C$155,MATCH($B2005,Rosters!$B$2:$B$155,0)),"NA")</f>
        <v>lucas</v>
      </c>
      <c r="L2005" t="str">
        <f t="shared" si="93"/>
        <v>lucas5WR</v>
      </c>
      <c r="M2005">
        <f>COUNTIF(L$1:L2005,L2005)</f>
        <v>3</v>
      </c>
      <c r="N2005" t="str">
        <f t="shared" si="94"/>
        <v>lucas5WR-3</v>
      </c>
      <c r="O2005">
        <f>COUNTIFS(F$1:F2005,F2005,A$1:A2005,A2005)</f>
        <v>47</v>
      </c>
      <c r="P2005" t="str">
        <f t="shared" si="95"/>
        <v>Jamison Crowder5</v>
      </c>
    </row>
    <row r="2006" spans="1:16" x14ac:dyDescent="0.25">
      <c r="A2006">
        <v>8</v>
      </c>
      <c r="B2006" t="s">
        <v>290</v>
      </c>
      <c r="C2006" t="s">
        <v>7169</v>
      </c>
      <c r="D2006">
        <v>6.48</v>
      </c>
      <c r="E2006" t="s">
        <v>36</v>
      </c>
      <c r="F2006" t="s">
        <v>47</v>
      </c>
      <c r="G2006">
        <v>11.16</v>
      </c>
      <c r="H2006">
        <v>1.8</v>
      </c>
      <c r="I2006">
        <v>4.68</v>
      </c>
      <c r="J2006">
        <v>21.9024</v>
      </c>
      <c r="K2006" t="str">
        <f>IFERROR(INDEX(Rosters!$C$2:$C$155,MATCH($B2006,Rosters!$B$2:$B$155,0)),"NA")</f>
        <v>lucas</v>
      </c>
      <c r="L2006" t="str">
        <f t="shared" si="93"/>
        <v>lucas8RB</v>
      </c>
      <c r="M2006">
        <f>COUNTIF(L$1:L2006,L2006)</f>
        <v>4</v>
      </c>
      <c r="N2006" t="str">
        <f t="shared" si="94"/>
        <v>lucas8RB-4</v>
      </c>
      <c r="O2006">
        <f>COUNTIFS(F$1:F2006,F2006,A$1:A2006,A2006)</f>
        <v>35</v>
      </c>
      <c r="P2006" t="str">
        <f t="shared" si="95"/>
        <v>Kenyan Drake8</v>
      </c>
    </row>
    <row r="2007" spans="1:16" x14ac:dyDescent="0.25">
      <c r="A2007">
        <v>11</v>
      </c>
      <c r="B2007" t="s">
        <v>48</v>
      </c>
      <c r="C2007" t="s">
        <v>7170</v>
      </c>
      <c r="D2007">
        <v>6.48</v>
      </c>
      <c r="E2007" t="s">
        <v>76</v>
      </c>
      <c r="F2007" t="s">
        <v>47</v>
      </c>
      <c r="G2007">
        <v>10.98</v>
      </c>
      <c r="H2007">
        <v>1.98</v>
      </c>
      <c r="I2007">
        <v>4.5</v>
      </c>
      <c r="J2007">
        <v>20.25</v>
      </c>
      <c r="K2007" t="str">
        <f>IFERROR(INDEX(Rosters!$C$2:$C$155,MATCH($B2007,Rosters!$B$2:$B$155,0)),"NA")</f>
        <v>devon</v>
      </c>
      <c r="L2007" t="str">
        <f t="shared" si="93"/>
        <v>devon11RB</v>
      </c>
      <c r="M2007">
        <f>COUNTIF(L$1:L2007,L2007)</f>
        <v>5</v>
      </c>
      <c r="N2007" t="str">
        <f t="shared" si="94"/>
        <v>devon11RB-5</v>
      </c>
      <c r="O2007">
        <f>COUNTIFS(F$1:F2007,F2007,A$1:A2007,A2007)</f>
        <v>33</v>
      </c>
      <c r="P2007" t="str">
        <f t="shared" si="95"/>
        <v>Le'Veon Bell11</v>
      </c>
    </row>
    <row r="2008" spans="1:16" x14ac:dyDescent="0.25">
      <c r="A2008">
        <v>8</v>
      </c>
      <c r="B2008" t="s">
        <v>235</v>
      </c>
      <c r="C2008" t="s">
        <v>7171</v>
      </c>
      <c r="D2008">
        <v>6.47</v>
      </c>
      <c r="E2008" t="s">
        <v>60</v>
      </c>
      <c r="F2008" t="s">
        <v>114</v>
      </c>
      <c r="G2008">
        <v>11.46</v>
      </c>
      <c r="H2008">
        <v>1.48</v>
      </c>
      <c r="I2008">
        <v>4.99</v>
      </c>
      <c r="J2008">
        <v>24.900099999999998</v>
      </c>
      <c r="K2008" t="str">
        <f>IFERROR(INDEX(Rosters!$C$2:$C$155,MATCH($B2008,Rosters!$B$2:$B$155,0)),"NA")</f>
        <v>devon</v>
      </c>
      <c r="L2008" t="str">
        <f t="shared" si="93"/>
        <v>devon8TE</v>
      </c>
      <c r="M2008">
        <f>COUNTIF(L$1:L2008,L2008)</f>
        <v>1</v>
      </c>
      <c r="N2008" t="str">
        <f t="shared" si="94"/>
        <v>devon8TE-1</v>
      </c>
      <c r="O2008">
        <f>COUNTIFS(F$1:F2008,F2008,A$1:A2008,A2008)</f>
        <v>7</v>
      </c>
      <c r="P2008" t="str">
        <f t="shared" si="95"/>
        <v>Evan Engram8</v>
      </c>
    </row>
    <row r="2009" spans="1:16" x14ac:dyDescent="0.25">
      <c r="A2009">
        <v>11</v>
      </c>
      <c r="B2009" t="s">
        <v>118</v>
      </c>
      <c r="C2009" t="s">
        <v>7172</v>
      </c>
      <c r="D2009">
        <v>6.47</v>
      </c>
      <c r="E2009" t="s">
        <v>36</v>
      </c>
      <c r="F2009" t="s">
        <v>114</v>
      </c>
      <c r="G2009">
        <v>11.86</v>
      </c>
      <c r="H2009">
        <v>1.08</v>
      </c>
      <c r="I2009">
        <v>5.39</v>
      </c>
      <c r="J2009">
        <v>29.052099999999999</v>
      </c>
      <c r="K2009" t="str">
        <f>IFERROR(INDEX(Rosters!$C$2:$C$155,MATCH($B2009,Rosters!$B$2:$B$155,0)),"NA")</f>
        <v>matty</v>
      </c>
      <c r="L2009" t="str">
        <f t="shared" si="93"/>
        <v>matty11TE</v>
      </c>
      <c r="M2009">
        <f>COUNTIF(L$1:L2009,L2009)</f>
        <v>1</v>
      </c>
      <c r="N2009" t="str">
        <f t="shared" si="94"/>
        <v>matty11TE-1</v>
      </c>
      <c r="O2009">
        <f>COUNTIFS(F$1:F2009,F2009,A$1:A2009,A2009)</f>
        <v>4</v>
      </c>
      <c r="P2009" t="str">
        <f t="shared" si="95"/>
        <v>Jordan Reed11</v>
      </c>
    </row>
    <row r="2010" spans="1:16" x14ac:dyDescent="0.25">
      <c r="A2010">
        <v>10</v>
      </c>
      <c r="B2010" t="s">
        <v>235</v>
      </c>
      <c r="C2010" t="s">
        <v>7173</v>
      </c>
      <c r="D2010">
        <v>6.46</v>
      </c>
      <c r="E2010" t="s">
        <v>30</v>
      </c>
      <c r="F2010" t="s">
        <v>114</v>
      </c>
      <c r="G2010">
        <v>11</v>
      </c>
      <c r="H2010">
        <v>1.92</v>
      </c>
      <c r="I2010">
        <v>4.54</v>
      </c>
      <c r="J2010">
        <v>20.611599999999999</v>
      </c>
      <c r="K2010" t="str">
        <f>IFERROR(INDEX(Rosters!$C$2:$C$155,MATCH($B2010,Rosters!$B$2:$B$155,0)),"NA")</f>
        <v>devon</v>
      </c>
      <c r="L2010" t="str">
        <f t="shared" si="93"/>
        <v>devon10TE</v>
      </c>
      <c r="M2010">
        <f>COUNTIF(L$1:L2010,L2010)</f>
        <v>1</v>
      </c>
      <c r="N2010" t="str">
        <f t="shared" si="94"/>
        <v>devon10TE-1</v>
      </c>
      <c r="O2010">
        <f>COUNTIFS(F$1:F2010,F2010,A$1:A2010,A2010)</f>
        <v>7</v>
      </c>
      <c r="P2010" t="str">
        <f t="shared" si="95"/>
        <v>Evan Engram10</v>
      </c>
    </row>
    <row r="2011" spans="1:16" x14ac:dyDescent="0.25">
      <c r="A2011">
        <v>8</v>
      </c>
      <c r="B2011" t="s">
        <v>224</v>
      </c>
      <c r="C2011" t="s">
        <v>7174</v>
      </c>
      <c r="D2011">
        <v>6.46</v>
      </c>
      <c r="E2011" t="s">
        <v>32</v>
      </c>
      <c r="F2011" t="s">
        <v>47</v>
      </c>
      <c r="G2011">
        <v>12.54</v>
      </c>
      <c r="H2011">
        <v>0.38</v>
      </c>
      <c r="I2011">
        <v>6.08</v>
      </c>
      <c r="J2011">
        <v>36.9664</v>
      </c>
      <c r="K2011" t="str">
        <f>IFERROR(INDEX(Rosters!$C$2:$C$155,MATCH($B2011,Rosters!$B$2:$B$155,0)),"NA")</f>
        <v>NA</v>
      </c>
      <c r="L2011" t="str">
        <f t="shared" si="93"/>
        <v>NA8RB</v>
      </c>
      <c r="M2011">
        <f>COUNTIF(L$1:L2011,L2011)</f>
        <v>5</v>
      </c>
      <c r="N2011" t="str">
        <f t="shared" si="94"/>
        <v>NA8RB-5</v>
      </c>
      <c r="O2011">
        <f>COUNTIFS(F$1:F2011,F2011,A$1:A2011,A2011)</f>
        <v>36</v>
      </c>
      <c r="P2011" t="str">
        <f t="shared" si="95"/>
        <v>Marlon Mack8</v>
      </c>
    </row>
    <row r="2012" spans="1:16" x14ac:dyDescent="0.25">
      <c r="A2012">
        <v>16</v>
      </c>
      <c r="B2012" t="s">
        <v>229</v>
      </c>
      <c r="C2012" t="s">
        <v>7175</v>
      </c>
      <c r="D2012">
        <v>6.46</v>
      </c>
      <c r="E2012" t="s">
        <v>22</v>
      </c>
      <c r="F2012" t="s">
        <v>114</v>
      </c>
      <c r="G2012">
        <v>11.58</v>
      </c>
      <c r="H2012">
        <v>1.34</v>
      </c>
      <c r="I2012">
        <v>5.12</v>
      </c>
      <c r="J2012">
        <v>26.214400000000001</v>
      </c>
      <c r="K2012" t="str">
        <f>IFERROR(INDEX(Rosters!$C$2:$C$155,MATCH($B2012,Rosters!$B$2:$B$155,0)),"NA")</f>
        <v>NA</v>
      </c>
      <c r="L2012" t="str">
        <f t="shared" si="93"/>
        <v>NA16TE</v>
      </c>
      <c r="M2012">
        <f>COUNTIF(L$1:L2012,L2012)</f>
        <v>1</v>
      </c>
      <c r="N2012" t="str">
        <f t="shared" si="94"/>
        <v>NA16TE-1</v>
      </c>
      <c r="O2012">
        <f>COUNTIFS(F$1:F2012,F2012,A$1:A2012,A2012)</f>
        <v>9</v>
      </c>
      <c r="P2012" t="str">
        <f t="shared" si="95"/>
        <v>O.J. Howard16</v>
      </c>
    </row>
    <row r="2013" spans="1:16" x14ac:dyDescent="0.25">
      <c r="A2013">
        <v>13</v>
      </c>
      <c r="B2013" t="s">
        <v>192</v>
      </c>
      <c r="C2013" t="s">
        <v>7176</v>
      </c>
      <c r="D2013">
        <v>6.46</v>
      </c>
      <c r="E2013" t="s">
        <v>72</v>
      </c>
      <c r="F2013" t="s">
        <v>87</v>
      </c>
      <c r="G2013">
        <v>11.06</v>
      </c>
      <c r="H2013">
        <v>1.86</v>
      </c>
      <c r="I2013">
        <v>4.5999999999999996</v>
      </c>
      <c r="J2013">
        <v>21.16</v>
      </c>
      <c r="K2013" t="str">
        <f>IFERROR(INDEX(Rosters!$C$2:$C$155,MATCH($B2013,Rosters!$B$2:$B$155,0)),"NA")</f>
        <v>cory</v>
      </c>
      <c r="L2013" t="str">
        <f t="shared" si="93"/>
        <v>cory13WR</v>
      </c>
      <c r="M2013">
        <f>COUNTIF(L$1:L2013,L2013)</f>
        <v>5</v>
      </c>
      <c r="N2013" t="str">
        <f t="shared" si="94"/>
        <v>cory13WR-5</v>
      </c>
      <c r="O2013">
        <f>COUNTIFS(F$1:F2013,F2013,A$1:A2013,A2013)</f>
        <v>48</v>
      </c>
      <c r="P2013" t="str">
        <f t="shared" si="95"/>
        <v>Sterling Shepard13</v>
      </c>
    </row>
    <row r="2014" spans="1:16" x14ac:dyDescent="0.25">
      <c r="A2014">
        <v>10</v>
      </c>
      <c r="B2014" t="s">
        <v>1397</v>
      </c>
      <c r="C2014" t="s">
        <v>7177</v>
      </c>
      <c r="D2014">
        <v>6.45</v>
      </c>
      <c r="E2014" t="s">
        <v>24</v>
      </c>
      <c r="F2014" t="s">
        <v>87</v>
      </c>
      <c r="G2014">
        <v>11.53</v>
      </c>
      <c r="H2014">
        <v>1.37</v>
      </c>
      <c r="I2014">
        <v>5.08</v>
      </c>
      <c r="J2014">
        <v>25.8064</v>
      </c>
      <c r="K2014" t="str">
        <f>IFERROR(INDEX(Rosters!$C$2:$C$155,MATCH($B2014,Rosters!$B$2:$B$155,0)),"NA")</f>
        <v>NA</v>
      </c>
      <c r="L2014" t="str">
        <f t="shared" si="93"/>
        <v>NA10WR</v>
      </c>
      <c r="M2014">
        <f>COUNTIF(L$1:L2014,L2014)</f>
        <v>4</v>
      </c>
      <c r="N2014" t="str">
        <f t="shared" si="94"/>
        <v>NA10WR-4</v>
      </c>
      <c r="O2014">
        <f>COUNTIFS(F$1:F2014,F2014,A$1:A2014,A2014)</f>
        <v>42</v>
      </c>
      <c r="P2014" t="str">
        <f t="shared" si="95"/>
        <v>Christian Kirk10</v>
      </c>
    </row>
    <row r="2015" spans="1:16" x14ac:dyDescent="0.25">
      <c r="A2015">
        <v>8</v>
      </c>
      <c r="B2015" t="s">
        <v>128</v>
      </c>
      <c r="C2015" t="s">
        <v>7178</v>
      </c>
      <c r="D2015">
        <v>6.45</v>
      </c>
      <c r="E2015" t="s">
        <v>36</v>
      </c>
      <c r="F2015" t="s">
        <v>47</v>
      </c>
      <c r="G2015">
        <v>11.56</v>
      </c>
      <c r="H2015">
        <v>1.34</v>
      </c>
      <c r="I2015">
        <v>5.1100000000000003</v>
      </c>
      <c r="J2015">
        <v>26.112100000000002</v>
      </c>
      <c r="K2015" t="str">
        <f>IFERROR(INDEX(Rosters!$C$2:$C$155,MATCH($B2015,Rosters!$B$2:$B$155,0)),"NA")</f>
        <v>NA</v>
      </c>
      <c r="L2015" t="str">
        <f t="shared" si="93"/>
        <v>NA8RB</v>
      </c>
      <c r="M2015">
        <f>COUNTIF(L$1:L2015,L2015)</f>
        <v>6</v>
      </c>
      <c r="N2015" t="str">
        <f t="shared" si="94"/>
        <v>NA8RB-6</v>
      </c>
      <c r="O2015">
        <f>COUNTIFS(F$1:F2015,F2015,A$1:A2015,A2015)</f>
        <v>37</v>
      </c>
      <c r="P2015" t="str">
        <f t="shared" si="95"/>
        <v>Frank Gore8</v>
      </c>
    </row>
    <row r="2016" spans="1:16" x14ac:dyDescent="0.25">
      <c r="A2016">
        <v>2</v>
      </c>
      <c r="B2016" t="s">
        <v>210</v>
      </c>
      <c r="C2016" t="s">
        <v>3343</v>
      </c>
      <c r="D2016">
        <v>6.45</v>
      </c>
      <c r="E2016" t="s">
        <v>29</v>
      </c>
      <c r="F2016" t="s">
        <v>87</v>
      </c>
      <c r="G2016">
        <v>11.27</v>
      </c>
      <c r="H2016">
        <v>1.63</v>
      </c>
      <c r="I2016">
        <v>4.82</v>
      </c>
      <c r="J2016">
        <v>23.232399999999998</v>
      </c>
      <c r="K2016" t="str">
        <f>IFERROR(INDEX(Rosters!$C$2:$C$155,MATCH($B2016,Rosters!$B$2:$B$155,0)),"NA")</f>
        <v>NA</v>
      </c>
      <c r="L2016" t="str">
        <f t="shared" si="93"/>
        <v>NA2WR</v>
      </c>
      <c r="M2016">
        <f>COUNTIF(L$1:L2016,L2016)</f>
        <v>4</v>
      </c>
      <c r="N2016" t="str">
        <f t="shared" si="94"/>
        <v>NA2WR-4</v>
      </c>
      <c r="O2016">
        <f>COUNTIFS(F$1:F2016,F2016,A$1:A2016,A2016)</f>
        <v>41</v>
      </c>
      <c r="P2016" t="str">
        <f t="shared" si="95"/>
        <v>Tyrell Williams2</v>
      </c>
    </row>
    <row r="2017" spans="1:16" x14ac:dyDescent="0.25">
      <c r="A2017">
        <v>1</v>
      </c>
      <c r="B2017" t="s">
        <v>202</v>
      </c>
      <c r="C2017" t="s">
        <v>1700</v>
      </c>
      <c r="D2017">
        <v>6.44</v>
      </c>
      <c r="E2017" t="s">
        <v>58</v>
      </c>
      <c r="F2017" t="s">
        <v>47</v>
      </c>
      <c r="G2017">
        <v>11.44</v>
      </c>
      <c r="H2017">
        <v>1.44</v>
      </c>
      <c r="I2017">
        <v>5</v>
      </c>
      <c r="J2017">
        <v>25</v>
      </c>
      <c r="K2017" t="str">
        <f>IFERROR(INDEX(Rosters!$C$2:$C$155,MATCH($B2017,Rosters!$B$2:$B$155,0)),"NA")</f>
        <v>lucas</v>
      </c>
      <c r="L2017" t="str">
        <f t="shared" si="93"/>
        <v>lucas1RB</v>
      </c>
      <c r="M2017">
        <f>COUNTIF(L$1:L2017,L2017)</f>
        <v>4</v>
      </c>
      <c r="N2017" t="str">
        <f t="shared" si="94"/>
        <v>lucas1RB-4</v>
      </c>
      <c r="O2017">
        <f>COUNTIFS(F$1:F2017,F2017,A$1:A2017,A2017)</f>
        <v>34</v>
      </c>
      <c r="P2017" t="str">
        <f t="shared" si="95"/>
        <v>Chris Thompson1</v>
      </c>
    </row>
    <row r="2018" spans="1:16" x14ac:dyDescent="0.25">
      <c r="A2018">
        <v>4</v>
      </c>
      <c r="B2018" t="s">
        <v>181</v>
      </c>
      <c r="C2018" t="s">
        <v>4505</v>
      </c>
      <c r="D2018">
        <v>6.44</v>
      </c>
      <c r="E2018" t="s">
        <v>56</v>
      </c>
      <c r="F2018" t="s">
        <v>114</v>
      </c>
      <c r="G2018">
        <v>10.47</v>
      </c>
      <c r="H2018">
        <v>2.41</v>
      </c>
      <c r="I2018">
        <v>4.03</v>
      </c>
      <c r="J2018">
        <v>16.2409</v>
      </c>
      <c r="K2018" t="str">
        <f>IFERROR(INDEX(Rosters!$C$2:$C$155,MATCH($B2018,Rosters!$B$2:$B$155,0)),"NA")</f>
        <v>cory</v>
      </c>
      <c r="L2018" t="str">
        <f t="shared" si="93"/>
        <v>cory4TE</v>
      </c>
      <c r="M2018">
        <f>COUNTIF(L$1:L2018,L2018)</f>
        <v>1</v>
      </c>
      <c r="N2018" t="str">
        <f t="shared" si="94"/>
        <v>cory4TE-1</v>
      </c>
      <c r="O2018">
        <f>COUNTIFS(F$1:F2018,F2018,A$1:A2018,A2018)</f>
        <v>6</v>
      </c>
      <c r="P2018" t="str">
        <f t="shared" si="95"/>
        <v>Kyle Rudolph4</v>
      </c>
    </row>
    <row r="2019" spans="1:16" x14ac:dyDescent="0.25">
      <c r="A2019">
        <v>15</v>
      </c>
      <c r="B2019" t="s">
        <v>240</v>
      </c>
      <c r="C2019" t="s">
        <v>7179</v>
      </c>
      <c r="D2019">
        <v>6.44</v>
      </c>
      <c r="E2019" t="s">
        <v>56</v>
      </c>
      <c r="F2019" t="s">
        <v>87</v>
      </c>
      <c r="G2019">
        <v>11.64</v>
      </c>
      <c r="H2019">
        <v>1.24</v>
      </c>
      <c r="I2019">
        <v>5.2</v>
      </c>
      <c r="J2019">
        <v>27.04</v>
      </c>
      <c r="K2019" t="str">
        <f>IFERROR(INDEX(Rosters!$C$2:$C$155,MATCH($B2019,Rosters!$B$2:$B$155,0)),"NA")</f>
        <v>aj</v>
      </c>
      <c r="L2019" t="str">
        <f t="shared" si="93"/>
        <v>aj15WR</v>
      </c>
      <c r="M2019">
        <f>COUNTIF(L$1:L2019,L2019)</f>
        <v>5</v>
      </c>
      <c r="N2019" t="str">
        <f t="shared" si="94"/>
        <v>aj15WR-5</v>
      </c>
      <c r="O2019">
        <f>COUNTIFS(F$1:F2019,F2019,A$1:A2019,A2019)</f>
        <v>46</v>
      </c>
      <c r="P2019" t="str">
        <f t="shared" si="95"/>
        <v>Nelson Agholor15</v>
      </c>
    </row>
    <row r="2020" spans="1:16" x14ac:dyDescent="0.25">
      <c r="A2020">
        <v>6</v>
      </c>
      <c r="B2020" t="s">
        <v>192</v>
      </c>
      <c r="C2020" t="s">
        <v>7180</v>
      </c>
      <c r="D2020">
        <v>6.44</v>
      </c>
      <c r="E2020" t="s">
        <v>50</v>
      </c>
      <c r="F2020" t="s">
        <v>87</v>
      </c>
      <c r="G2020">
        <v>11.42</v>
      </c>
      <c r="H2020">
        <v>1.46</v>
      </c>
      <c r="I2020">
        <v>4.9800000000000004</v>
      </c>
      <c r="J2020">
        <v>24.8004</v>
      </c>
      <c r="K2020" t="str">
        <f>IFERROR(INDEX(Rosters!$C$2:$C$155,MATCH($B2020,Rosters!$B$2:$B$155,0)),"NA")</f>
        <v>cory</v>
      </c>
      <c r="L2020" t="str">
        <f t="shared" si="93"/>
        <v>cory6WR</v>
      </c>
      <c r="M2020">
        <f>COUNTIF(L$1:L2020,L2020)</f>
        <v>4</v>
      </c>
      <c r="N2020" t="str">
        <f t="shared" si="94"/>
        <v>cory6WR-4</v>
      </c>
      <c r="O2020">
        <f>COUNTIFS(F$1:F2020,F2020,A$1:A2020,A2020)</f>
        <v>44</v>
      </c>
      <c r="P2020" t="str">
        <f t="shared" si="95"/>
        <v>Sterling Shepard6</v>
      </c>
    </row>
    <row r="2021" spans="1:16" x14ac:dyDescent="0.25">
      <c r="A2021">
        <v>17</v>
      </c>
      <c r="B2021" t="s">
        <v>137</v>
      </c>
      <c r="C2021" t="s">
        <v>7181</v>
      </c>
      <c r="D2021">
        <v>6.43</v>
      </c>
      <c r="E2021" t="s">
        <v>50</v>
      </c>
      <c r="F2021" t="s">
        <v>87</v>
      </c>
      <c r="G2021">
        <v>10.91</v>
      </c>
      <c r="H2021">
        <v>1.95</v>
      </c>
      <c r="I2021">
        <v>4.4800000000000004</v>
      </c>
      <c r="J2021">
        <v>20.070399999999999</v>
      </c>
      <c r="K2021" t="str">
        <f>IFERROR(INDEX(Rosters!$C$2:$C$155,MATCH($B2021,Rosters!$B$2:$B$155,0)),"NA")</f>
        <v>lucas</v>
      </c>
      <c r="L2021" t="str">
        <f t="shared" si="93"/>
        <v>lucas17WR</v>
      </c>
      <c r="M2021">
        <f>COUNTIF(L$1:L2021,L2021)</f>
        <v>4</v>
      </c>
      <c r="N2021" t="str">
        <f t="shared" si="94"/>
        <v>lucas17WR-4</v>
      </c>
      <c r="O2021">
        <f>COUNTIFS(F$1:F2021,F2021,A$1:A2021,A2021)</f>
        <v>51</v>
      </c>
      <c r="P2021" t="str">
        <f t="shared" si="95"/>
        <v>Jamison Crowder17</v>
      </c>
    </row>
    <row r="2022" spans="1:16" x14ac:dyDescent="0.25">
      <c r="A2022">
        <v>11</v>
      </c>
      <c r="B2022" t="s">
        <v>162</v>
      </c>
      <c r="C2022" t="s">
        <v>7182</v>
      </c>
      <c r="D2022">
        <v>6.43</v>
      </c>
      <c r="E2022" t="s">
        <v>28</v>
      </c>
      <c r="F2022" t="s">
        <v>114</v>
      </c>
      <c r="G2022">
        <v>11.74</v>
      </c>
      <c r="H2022">
        <v>1.1200000000000001</v>
      </c>
      <c r="I2022">
        <v>5.31</v>
      </c>
      <c r="J2022">
        <v>28.196100000000001</v>
      </c>
      <c r="K2022" t="str">
        <f>IFERROR(INDEX(Rosters!$C$2:$C$155,MATCH($B2022,Rosters!$B$2:$B$155,0)),"NA")</f>
        <v>seth</v>
      </c>
      <c r="L2022" t="str">
        <f t="shared" si="93"/>
        <v>seth11TE</v>
      </c>
      <c r="M2022">
        <f>COUNTIF(L$1:L2022,L2022)</f>
        <v>1</v>
      </c>
      <c r="N2022" t="str">
        <f t="shared" si="94"/>
        <v>seth11TE-1</v>
      </c>
      <c r="O2022">
        <f>COUNTIFS(F$1:F2022,F2022,A$1:A2022,A2022)</f>
        <v>5</v>
      </c>
      <c r="P2022" t="str">
        <f t="shared" si="95"/>
        <v>Jimmy Graham11</v>
      </c>
    </row>
    <row r="2023" spans="1:16" x14ac:dyDescent="0.25">
      <c r="A2023">
        <v>9</v>
      </c>
      <c r="B2023" t="s">
        <v>160</v>
      </c>
      <c r="C2023" t="s">
        <v>7183</v>
      </c>
      <c r="D2023">
        <v>6.43</v>
      </c>
      <c r="E2023" t="s">
        <v>32</v>
      </c>
      <c r="F2023" t="s">
        <v>87</v>
      </c>
      <c r="G2023">
        <v>11.46</v>
      </c>
      <c r="H2023">
        <v>1.4</v>
      </c>
      <c r="I2023">
        <v>5.03</v>
      </c>
      <c r="J2023">
        <v>25.300899999999999</v>
      </c>
      <c r="K2023" t="str">
        <f>IFERROR(INDEX(Rosters!$C$2:$C$155,MATCH($B2023,Rosters!$B$2:$B$155,0)),"NA")</f>
        <v>NA</v>
      </c>
      <c r="L2023" t="str">
        <f t="shared" si="93"/>
        <v>NA9WR</v>
      </c>
      <c r="M2023">
        <f>COUNTIF(L$1:L2023,L2023)</f>
        <v>3</v>
      </c>
      <c r="N2023" t="str">
        <f t="shared" si="94"/>
        <v>NA9WR-3</v>
      </c>
      <c r="O2023">
        <f>COUNTIFS(F$1:F2023,F2023,A$1:A2023,A2023)</f>
        <v>42</v>
      </c>
      <c r="P2023" t="str">
        <f t="shared" si="95"/>
        <v>Pierre Garcon9</v>
      </c>
    </row>
    <row r="2024" spans="1:16" x14ac:dyDescent="0.25">
      <c r="A2024">
        <v>13</v>
      </c>
      <c r="B2024" t="s">
        <v>155</v>
      </c>
      <c r="C2024" t="s">
        <v>7184</v>
      </c>
      <c r="D2024">
        <v>6.43</v>
      </c>
      <c r="E2024" t="s">
        <v>56</v>
      </c>
      <c r="F2024" t="s">
        <v>47</v>
      </c>
      <c r="G2024">
        <v>9.73</v>
      </c>
      <c r="H2024">
        <v>3.13</v>
      </c>
      <c r="I2024">
        <v>3.3</v>
      </c>
      <c r="J2024">
        <v>10.89</v>
      </c>
      <c r="K2024" t="str">
        <f>IFERROR(INDEX(Rosters!$C$2:$C$155,MATCH($B2024,Rosters!$B$2:$B$155,0)),"NA")</f>
        <v>NA</v>
      </c>
      <c r="L2024" t="str">
        <f t="shared" si="93"/>
        <v>NA13RB</v>
      </c>
      <c r="M2024">
        <f>COUNTIF(L$1:L2024,L2024)</f>
        <v>5</v>
      </c>
      <c r="N2024" t="str">
        <f t="shared" si="94"/>
        <v>NA13RB-5</v>
      </c>
      <c r="O2024">
        <f>COUNTIFS(F$1:F2024,F2024,A$1:A2024,A2024)</f>
        <v>46</v>
      </c>
      <c r="P2024" t="str">
        <f t="shared" si="95"/>
        <v>Theo Riddick13</v>
      </c>
    </row>
    <row r="2025" spans="1:16" x14ac:dyDescent="0.25">
      <c r="A2025">
        <v>4</v>
      </c>
      <c r="B2025" t="s">
        <v>1419</v>
      </c>
      <c r="C2025" t="s">
        <v>4506</v>
      </c>
      <c r="D2025">
        <v>6.42</v>
      </c>
      <c r="E2025" t="s">
        <v>32</v>
      </c>
      <c r="F2025" t="s">
        <v>87</v>
      </c>
      <c r="G2025">
        <v>11.18</v>
      </c>
      <c r="H2025">
        <v>1.66</v>
      </c>
      <c r="I2025">
        <v>4.76</v>
      </c>
      <c r="J2025">
        <v>22.657599999999999</v>
      </c>
      <c r="K2025" t="str">
        <f>IFERROR(INDEX(Rosters!$C$2:$C$155,MATCH($B2025,Rosters!$B$2:$B$155,0)),"NA")</f>
        <v>chad</v>
      </c>
      <c r="L2025" t="str">
        <f t="shared" si="93"/>
        <v>chad4WR</v>
      </c>
      <c r="M2025">
        <f>COUNTIF(L$1:L2025,L2025)</f>
        <v>4</v>
      </c>
      <c r="N2025" t="str">
        <f t="shared" si="94"/>
        <v>chad4WR-4</v>
      </c>
      <c r="O2025">
        <f>COUNTIFS(F$1:F2025,F2025,A$1:A2025,A2025)</f>
        <v>43</v>
      </c>
      <c r="P2025" t="str">
        <f t="shared" si="95"/>
        <v>Antonio Callaway4</v>
      </c>
    </row>
    <row r="2026" spans="1:16" x14ac:dyDescent="0.25">
      <c r="A2026">
        <v>2</v>
      </c>
      <c r="B2026" t="s">
        <v>183</v>
      </c>
      <c r="C2026" t="s">
        <v>3344</v>
      </c>
      <c r="D2026">
        <v>6.42</v>
      </c>
      <c r="E2026" t="s">
        <v>14</v>
      </c>
      <c r="F2026" t="s">
        <v>47</v>
      </c>
      <c r="G2026">
        <v>10.32</v>
      </c>
      <c r="H2026">
        <v>2.52</v>
      </c>
      <c r="I2026">
        <v>3.9</v>
      </c>
      <c r="J2026">
        <v>15.21</v>
      </c>
      <c r="K2026" t="str">
        <f>IFERROR(INDEX(Rosters!$C$2:$C$155,MATCH($B2026,Rosters!$B$2:$B$155,0)),"NA")</f>
        <v>NA</v>
      </c>
      <c r="L2026" t="str">
        <f t="shared" si="93"/>
        <v>NA2RB</v>
      </c>
      <c r="M2026">
        <f>COUNTIF(L$1:L2026,L2026)</f>
        <v>3</v>
      </c>
      <c r="N2026" t="str">
        <f t="shared" si="94"/>
        <v>NA2RB-3</v>
      </c>
      <c r="O2026">
        <f>COUNTIFS(F$1:F2026,F2026,A$1:A2026,A2026)</f>
        <v>34</v>
      </c>
      <c r="P2026" t="str">
        <f t="shared" si="95"/>
        <v>Duke Johnson Jr.2</v>
      </c>
    </row>
    <row r="2027" spans="1:16" x14ac:dyDescent="0.25">
      <c r="A2027">
        <v>10</v>
      </c>
      <c r="B2027" t="s">
        <v>290</v>
      </c>
      <c r="C2027" t="s">
        <v>7185</v>
      </c>
      <c r="D2027">
        <v>6.42</v>
      </c>
      <c r="E2027" t="s">
        <v>41</v>
      </c>
      <c r="F2027" t="s">
        <v>47</v>
      </c>
      <c r="G2027">
        <v>11.35</v>
      </c>
      <c r="H2027">
        <v>1.49</v>
      </c>
      <c r="I2027">
        <v>4.93</v>
      </c>
      <c r="J2027">
        <v>24.3049</v>
      </c>
      <c r="K2027" t="str">
        <f>IFERROR(INDEX(Rosters!$C$2:$C$155,MATCH($B2027,Rosters!$B$2:$B$155,0)),"NA")</f>
        <v>lucas</v>
      </c>
      <c r="L2027" t="str">
        <f t="shared" si="93"/>
        <v>lucas10RB</v>
      </c>
      <c r="M2027">
        <f>COUNTIF(L$1:L2027,L2027)</f>
        <v>5</v>
      </c>
      <c r="N2027" t="str">
        <f t="shared" si="94"/>
        <v>lucas10RB-5</v>
      </c>
      <c r="O2027">
        <f>COUNTIFS(F$1:F2027,F2027,A$1:A2027,A2027)</f>
        <v>37</v>
      </c>
      <c r="P2027" t="str">
        <f t="shared" si="95"/>
        <v>Kenyan Drake10</v>
      </c>
    </row>
    <row r="2028" spans="1:16" x14ac:dyDescent="0.25">
      <c r="A2028">
        <v>2</v>
      </c>
      <c r="B2028" t="s">
        <v>167</v>
      </c>
      <c r="C2028" t="s">
        <v>3345</v>
      </c>
      <c r="D2028">
        <v>6.41</v>
      </c>
      <c r="E2028" t="s">
        <v>72</v>
      </c>
      <c r="F2028" t="s">
        <v>87</v>
      </c>
      <c r="G2028">
        <v>11.54</v>
      </c>
      <c r="H2028">
        <v>1.28</v>
      </c>
      <c r="I2028">
        <v>5.13</v>
      </c>
      <c r="J2028">
        <v>26.3169</v>
      </c>
      <c r="K2028" t="str">
        <f>IFERROR(INDEX(Rosters!$C$2:$C$155,MATCH($B2028,Rosters!$B$2:$B$155,0)),"NA")</f>
        <v>NA</v>
      </c>
      <c r="L2028" t="str">
        <f t="shared" si="93"/>
        <v>NA2WR</v>
      </c>
      <c r="M2028">
        <f>COUNTIF(L$1:L2028,L2028)</f>
        <v>5</v>
      </c>
      <c r="N2028" t="str">
        <f t="shared" si="94"/>
        <v>NA2WR-5</v>
      </c>
      <c r="O2028">
        <f>COUNTIFS(F$1:F2028,F2028,A$1:A2028,A2028)</f>
        <v>42</v>
      </c>
      <c r="P2028" t="str">
        <f t="shared" si="95"/>
        <v>Brandon Marshall2</v>
      </c>
    </row>
    <row r="2029" spans="1:16" x14ac:dyDescent="0.25">
      <c r="A2029">
        <v>17</v>
      </c>
      <c r="B2029" t="s">
        <v>834</v>
      </c>
      <c r="C2029" t="s">
        <v>7186</v>
      </c>
      <c r="D2029">
        <v>6.41</v>
      </c>
      <c r="E2029" t="s">
        <v>58</v>
      </c>
      <c r="F2029" t="s">
        <v>47</v>
      </c>
      <c r="G2029">
        <v>10.84</v>
      </c>
      <c r="H2029">
        <v>1.98</v>
      </c>
      <c r="I2029">
        <v>4.43</v>
      </c>
      <c r="J2029">
        <v>19.6249</v>
      </c>
      <c r="K2029" t="str">
        <f>IFERROR(INDEX(Rosters!$C$2:$C$155,MATCH($B2029,Rosters!$B$2:$B$155,0)),"NA")</f>
        <v>lucas</v>
      </c>
      <c r="L2029" t="str">
        <f t="shared" si="93"/>
        <v>lucas17RB</v>
      </c>
      <c r="M2029">
        <f>COUNTIF(L$1:L2029,L2029)</f>
        <v>4</v>
      </c>
      <c r="N2029" t="str">
        <f t="shared" si="94"/>
        <v>lucas17RB-4</v>
      </c>
      <c r="O2029">
        <f>COUNTIFS(F$1:F2029,F2029,A$1:A2029,A2029)</f>
        <v>42</v>
      </c>
      <c r="P2029" t="str">
        <f t="shared" si="95"/>
        <v>Chris Carson17</v>
      </c>
    </row>
    <row r="2030" spans="1:16" x14ac:dyDescent="0.25">
      <c r="A2030">
        <v>11</v>
      </c>
      <c r="B2030" t="s">
        <v>1397</v>
      </c>
      <c r="C2030" t="s">
        <v>7187</v>
      </c>
      <c r="D2030">
        <v>6.41</v>
      </c>
      <c r="E2030" t="s">
        <v>32</v>
      </c>
      <c r="F2030" t="s">
        <v>87</v>
      </c>
      <c r="G2030">
        <v>11.47</v>
      </c>
      <c r="H2030">
        <v>1.35</v>
      </c>
      <c r="I2030">
        <v>5.0599999999999996</v>
      </c>
      <c r="J2030">
        <v>25.6036</v>
      </c>
      <c r="K2030" t="str">
        <f>IFERROR(INDEX(Rosters!$C$2:$C$155,MATCH($B2030,Rosters!$B$2:$B$155,0)),"NA")</f>
        <v>NA</v>
      </c>
      <c r="L2030" t="str">
        <f t="shared" si="93"/>
        <v>NA11WR</v>
      </c>
      <c r="M2030">
        <f>COUNTIF(L$1:L2030,L2030)</f>
        <v>3</v>
      </c>
      <c r="N2030" t="str">
        <f t="shared" si="94"/>
        <v>NA11WR-3</v>
      </c>
      <c r="O2030">
        <f>COUNTIFS(F$1:F2030,F2030,A$1:A2030,A2030)</f>
        <v>43</v>
      </c>
      <c r="P2030" t="str">
        <f t="shared" si="95"/>
        <v>Christian Kirk11</v>
      </c>
    </row>
    <row r="2031" spans="1:16" x14ac:dyDescent="0.25">
      <c r="A2031">
        <v>13</v>
      </c>
      <c r="B2031" t="s">
        <v>255</v>
      </c>
      <c r="C2031" t="s">
        <v>7188</v>
      </c>
      <c r="D2031">
        <v>6.41</v>
      </c>
      <c r="E2031" t="s">
        <v>28</v>
      </c>
      <c r="F2031" t="s">
        <v>87</v>
      </c>
      <c r="G2031">
        <v>11.1</v>
      </c>
      <c r="H2031">
        <v>1.72</v>
      </c>
      <c r="I2031">
        <v>4.6900000000000004</v>
      </c>
      <c r="J2031">
        <v>21.996099999999998</v>
      </c>
      <c r="K2031" t="str">
        <f>IFERROR(INDEX(Rosters!$C$2:$C$155,MATCH($B2031,Rosters!$B$2:$B$155,0)),"NA")</f>
        <v>NA</v>
      </c>
      <c r="L2031" t="str">
        <f t="shared" si="93"/>
        <v>NA13WR</v>
      </c>
      <c r="M2031">
        <f>COUNTIF(L$1:L2031,L2031)</f>
        <v>3</v>
      </c>
      <c r="N2031" t="str">
        <f t="shared" si="94"/>
        <v>NA13WR-3</v>
      </c>
      <c r="O2031">
        <f>COUNTIFS(F$1:F2031,F2031,A$1:A2031,A2031)</f>
        <v>49</v>
      </c>
      <c r="P2031" t="str">
        <f t="shared" si="95"/>
        <v>Marquise Goodwin13</v>
      </c>
    </row>
    <row r="2032" spans="1:16" x14ac:dyDescent="0.25">
      <c r="A2032">
        <v>15</v>
      </c>
      <c r="B2032" t="s">
        <v>3533</v>
      </c>
      <c r="C2032" t="s">
        <v>7189</v>
      </c>
      <c r="D2032">
        <v>6.41</v>
      </c>
      <c r="E2032" t="s">
        <v>52</v>
      </c>
      <c r="F2032" t="s">
        <v>47</v>
      </c>
      <c r="G2032">
        <v>12.18</v>
      </c>
      <c r="H2032">
        <v>0.64</v>
      </c>
      <c r="I2032">
        <v>5.77</v>
      </c>
      <c r="J2032">
        <v>33.292900000000003</v>
      </c>
      <c r="K2032" t="str">
        <f>IFERROR(INDEX(Rosters!$C$2:$C$155,MATCH($B2032,Rosters!$B$2:$B$155,0)),"NA")</f>
        <v>perry</v>
      </c>
      <c r="L2032" t="str">
        <f t="shared" si="93"/>
        <v>perry15RB</v>
      </c>
      <c r="M2032">
        <f>COUNTIF(L$1:L2032,L2032)</f>
        <v>3</v>
      </c>
      <c r="N2032" t="str">
        <f t="shared" si="94"/>
        <v>perry15RB-3</v>
      </c>
      <c r="O2032">
        <f>COUNTIFS(F$1:F2032,F2032,A$1:A2032,A2032)</f>
        <v>40</v>
      </c>
      <c r="P2032" t="str">
        <f t="shared" si="95"/>
        <v>Phillip Lindsay15</v>
      </c>
    </row>
    <row r="2033" spans="1:16" x14ac:dyDescent="0.25">
      <c r="A2033">
        <v>14</v>
      </c>
      <c r="B2033" t="s">
        <v>285</v>
      </c>
      <c r="C2033" t="s">
        <v>7190</v>
      </c>
      <c r="D2033">
        <v>6.41</v>
      </c>
      <c r="E2033" t="s">
        <v>56</v>
      </c>
      <c r="F2033" t="s">
        <v>47</v>
      </c>
      <c r="G2033">
        <v>11.08</v>
      </c>
      <c r="H2033">
        <v>1.74</v>
      </c>
      <c r="I2033">
        <v>4.67</v>
      </c>
      <c r="J2033">
        <v>21.808900000000001</v>
      </c>
      <c r="K2033" t="str">
        <f>IFERROR(INDEX(Rosters!$C$2:$C$155,MATCH($B2033,Rosters!$B$2:$B$155,0)),"NA")</f>
        <v>NA</v>
      </c>
      <c r="L2033" t="str">
        <f t="shared" si="93"/>
        <v>NA14RB</v>
      </c>
      <c r="M2033">
        <f>COUNTIF(L$1:L2033,L2033)</f>
        <v>3</v>
      </c>
      <c r="N2033" t="str">
        <f t="shared" si="94"/>
        <v>NA14RB-3</v>
      </c>
      <c r="O2033">
        <f>COUNTIFS(F$1:F2033,F2033,A$1:A2033,A2033)</f>
        <v>43</v>
      </c>
      <c r="P2033" t="str">
        <f t="shared" si="95"/>
        <v>Tarik Cohen14</v>
      </c>
    </row>
    <row r="2034" spans="1:16" x14ac:dyDescent="0.25">
      <c r="A2034">
        <v>15</v>
      </c>
      <c r="B2034" t="s">
        <v>202</v>
      </c>
      <c r="C2034" t="s">
        <v>7191</v>
      </c>
      <c r="D2034">
        <v>6.4</v>
      </c>
      <c r="E2034" t="s">
        <v>76</v>
      </c>
      <c r="F2034" t="s">
        <v>47</v>
      </c>
      <c r="G2034">
        <v>10.51</v>
      </c>
      <c r="H2034">
        <v>2.29</v>
      </c>
      <c r="I2034">
        <v>4.1100000000000003</v>
      </c>
      <c r="J2034">
        <v>16.892099999999999</v>
      </c>
      <c r="K2034" t="str">
        <f>IFERROR(INDEX(Rosters!$C$2:$C$155,MATCH($B2034,Rosters!$B$2:$B$155,0)),"NA")</f>
        <v>lucas</v>
      </c>
      <c r="L2034" t="str">
        <f t="shared" si="93"/>
        <v>lucas15RB</v>
      </c>
      <c r="M2034">
        <f>COUNTIF(L$1:L2034,L2034)</f>
        <v>4</v>
      </c>
      <c r="N2034" t="str">
        <f t="shared" si="94"/>
        <v>lucas15RB-4</v>
      </c>
      <c r="O2034">
        <f>COUNTIFS(F$1:F2034,F2034,A$1:A2034,A2034)</f>
        <v>41</v>
      </c>
      <c r="P2034" t="str">
        <f t="shared" si="95"/>
        <v>Chris Thompson15</v>
      </c>
    </row>
    <row r="2035" spans="1:16" x14ac:dyDescent="0.25">
      <c r="A2035">
        <v>8</v>
      </c>
      <c r="B2035" t="s">
        <v>147</v>
      </c>
      <c r="C2035" t="s">
        <v>7192</v>
      </c>
      <c r="D2035">
        <v>6.4</v>
      </c>
      <c r="E2035" t="s">
        <v>50</v>
      </c>
      <c r="F2035" t="s">
        <v>87</v>
      </c>
      <c r="G2035">
        <v>11.26</v>
      </c>
      <c r="H2035">
        <v>1.54</v>
      </c>
      <c r="I2035">
        <v>4.8600000000000003</v>
      </c>
      <c r="J2035">
        <v>23.619599999999998</v>
      </c>
      <c r="K2035" t="str">
        <f>IFERROR(INDEX(Rosters!$C$2:$C$155,MATCH($B2035,Rosters!$B$2:$B$155,0)),"NA")</f>
        <v>NA</v>
      </c>
      <c r="L2035" t="str">
        <f t="shared" si="93"/>
        <v>NA8WR</v>
      </c>
      <c r="M2035">
        <f>COUNTIF(L$1:L2035,L2035)</f>
        <v>2</v>
      </c>
      <c r="N2035" t="str">
        <f t="shared" si="94"/>
        <v>NA8WR-2</v>
      </c>
      <c r="O2035">
        <f>COUNTIFS(F$1:F2035,F2035,A$1:A2035,A2035)</f>
        <v>44</v>
      </c>
      <c r="P2035" t="str">
        <f t="shared" si="95"/>
        <v>Donte Moncrief8</v>
      </c>
    </row>
    <row r="2036" spans="1:16" x14ac:dyDescent="0.25">
      <c r="A2036">
        <v>13</v>
      </c>
      <c r="B2036" t="s">
        <v>128</v>
      </c>
      <c r="C2036" t="s">
        <v>7193</v>
      </c>
      <c r="D2036">
        <v>6.4</v>
      </c>
      <c r="E2036" t="s">
        <v>29</v>
      </c>
      <c r="F2036" t="s">
        <v>47</v>
      </c>
      <c r="G2036">
        <v>10.46</v>
      </c>
      <c r="H2036">
        <v>2.34</v>
      </c>
      <c r="I2036">
        <v>4.0599999999999996</v>
      </c>
      <c r="J2036">
        <v>16.483599999999999</v>
      </c>
      <c r="K2036" t="str">
        <f>IFERROR(INDEX(Rosters!$C$2:$C$155,MATCH($B2036,Rosters!$B$2:$B$155,0)),"NA")</f>
        <v>NA</v>
      </c>
      <c r="L2036" t="str">
        <f t="shared" si="93"/>
        <v>NA13RB</v>
      </c>
      <c r="M2036">
        <f>COUNTIF(L$1:L2036,L2036)</f>
        <v>6</v>
      </c>
      <c r="N2036" t="str">
        <f t="shared" si="94"/>
        <v>NA13RB-6</v>
      </c>
      <c r="O2036">
        <f>COUNTIFS(F$1:F2036,F2036,A$1:A2036,A2036)</f>
        <v>47</v>
      </c>
      <c r="P2036" t="str">
        <f t="shared" si="95"/>
        <v>Frank Gore13</v>
      </c>
    </row>
    <row r="2037" spans="1:16" x14ac:dyDescent="0.25">
      <c r="A2037">
        <v>10</v>
      </c>
      <c r="B2037" t="s">
        <v>196</v>
      </c>
      <c r="C2037" t="s">
        <v>7194</v>
      </c>
      <c r="D2037">
        <v>6.4</v>
      </c>
      <c r="E2037" t="s">
        <v>14</v>
      </c>
      <c r="F2037" t="s">
        <v>47</v>
      </c>
      <c r="G2037">
        <v>10.59</v>
      </c>
      <c r="H2037">
        <v>2.21</v>
      </c>
      <c r="I2037">
        <v>4.1900000000000004</v>
      </c>
      <c r="J2037">
        <v>17.556100000000001</v>
      </c>
      <c r="K2037" t="str">
        <f>IFERROR(INDEX(Rosters!$C$2:$C$155,MATCH($B2037,Rosters!$B$2:$B$155,0)),"NA")</f>
        <v>NA</v>
      </c>
      <c r="L2037" t="str">
        <f t="shared" si="93"/>
        <v>NA10RB</v>
      </c>
      <c r="M2037">
        <f>COUNTIF(L$1:L2037,L2037)</f>
        <v>2</v>
      </c>
      <c r="N2037" t="str">
        <f t="shared" si="94"/>
        <v>NA10RB-2</v>
      </c>
      <c r="O2037">
        <f>COUNTIFS(F$1:F2037,F2037,A$1:A2037,A2037)</f>
        <v>38</v>
      </c>
      <c r="P2037" t="str">
        <f t="shared" si="95"/>
        <v>Giovani Bernard10</v>
      </c>
    </row>
    <row r="2038" spans="1:16" x14ac:dyDescent="0.25">
      <c r="A2038">
        <v>9</v>
      </c>
      <c r="B2038" t="s">
        <v>118</v>
      </c>
      <c r="C2038" t="s">
        <v>7195</v>
      </c>
      <c r="D2038">
        <v>6.4</v>
      </c>
      <c r="E2038" t="s">
        <v>46</v>
      </c>
      <c r="F2038" t="s">
        <v>114</v>
      </c>
      <c r="G2038">
        <v>11.64</v>
      </c>
      <c r="H2038">
        <v>1.1599999999999999</v>
      </c>
      <c r="I2038">
        <v>5.24</v>
      </c>
      <c r="J2038">
        <v>27.457599999999999</v>
      </c>
      <c r="K2038" t="str">
        <f>IFERROR(INDEX(Rosters!$C$2:$C$155,MATCH($B2038,Rosters!$B$2:$B$155,0)),"NA")</f>
        <v>matty</v>
      </c>
      <c r="L2038" t="str">
        <f t="shared" si="93"/>
        <v>matty9TE</v>
      </c>
      <c r="M2038">
        <f>COUNTIF(L$1:L2038,L2038)</f>
        <v>1</v>
      </c>
      <c r="N2038" t="str">
        <f t="shared" si="94"/>
        <v>matty9TE-1</v>
      </c>
      <c r="O2038">
        <f>COUNTIFS(F$1:F2038,F2038,A$1:A2038,A2038)</f>
        <v>6</v>
      </c>
      <c r="P2038" t="str">
        <f t="shared" si="95"/>
        <v>Jordan Reed9</v>
      </c>
    </row>
    <row r="2039" spans="1:16" x14ac:dyDescent="0.25">
      <c r="A2039">
        <v>10</v>
      </c>
      <c r="B2039" t="s">
        <v>48</v>
      </c>
      <c r="C2039" t="s">
        <v>7196</v>
      </c>
      <c r="D2039">
        <v>6.4</v>
      </c>
      <c r="E2039" t="s">
        <v>74</v>
      </c>
      <c r="F2039" t="s">
        <v>47</v>
      </c>
      <c r="G2039">
        <v>10.130000000000001</v>
      </c>
      <c r="H2039">
        <v>2.67</v>
      </c>
      <c r="I2039">
        <v>3.73</v>
      </c>
      <c r="J2039">
        <v>13.9129</v>
      </c>
      <c r="K2039" t="str">
        <f>IFERROR(INDEX(Rosters!$C$2:$C$155,MATCH($B2039,Rosters!$B$2:$B$155,0)),"NA")</f>
        <v>devon</v>
      </c>
      <c r="L2039" t="str">
        <f t="shared" si="93"/>
        <v>devon10RB</v>
      </c>
      <c r="M2039">
        <f>COUNTIF(L$1:L2039,L2039)</f>
        <v>6</v>
      </c>
      <c r="N2039" t="str">
        <f t="shared" si="94"/>
        <v>devon10RB-6</v>
      </c>
      <c r="O2039">
        <f>COUNTIFS(F$1:F2039,F2039,A$1:A2039,A2039)</f>
        <v>39</v>
      </c>
      <c r="P2039" t="str">
        <f t="shared" si="95"/>
        <v>Le'Veon Bell10</v>
      </c>
    </row>
    <row r="2040" spans="1:16" x14ac:dyDescent="0.25">
      <c r="A2040">
        <v>10</v>
      </c>
      <c r="B2040" t="s">
        <v>285</v>
      </c>
      <c r="C2040" t="s">
        <v>7197</v>
      </c>
      <c r="D2040">
        <v>6.4</v>
      </c>
      <c r="E2040" t="s">
        <v>34</v>
      </c>
      <c r="F2040" t="s">
        <v>47</v>
      </c>
      <c r="G2040">
        <v>10.84</v>
      </c>
      <c r="H2040">
        <v>1.96</v>
      </c>
      <c r="I2040">
        <v>4.4400000000000004</v>
      </c>
      <c r="J2040">
        <v>19.7136</v>
      </c>
      <c r="K2040" t="str">
        <f>IFERROR(INDEX(Rosters!$C$2:$C$155,MATCH($B2040,Rosters!$B$2:$B$155,0)),"NA")</f>
        <v>NA</v>
      </c>
      <c r="L2040" t="str">
        <f t="shared" si="93"/>
        <v>NA10RB</v>
      </c>
      <c r="M2040">
        <f>COUNTIF(L$1:L2040,L2040)</f>
        <v>3</v>
      </c>
      <c r="N2040" t="str">
        <f t="shared" si="94"/>
        <v>NA10RB-3</v>
      </c>
      <c r="O2040">
        <f>COUNTIFS(F$1:F2040,F2040,A$1:A2040,A2040)</f>
        <v>40</v>
      </c>
      <c r="P2040" t="str">
        <f t="shared" si="95"/>
        <v>Tarik Cohen10</v>
      </c>
    </row>
    <row r="2041" spans="1:16" x14ac:dyDescent="0.25">
      <c r="A2041">
        <v>13</v>
      </c>
      <c r="B2041" t="s">
        <v>303</v>
      </c>
      <c r="C2041" t="s">
        <v>7198</v>
      </c>
      <c r="D2041">
        <v>6.4</v>
      </c>
      <c r="E2041" t="s">
        <v>73</v>
      </c>
      <c r="F2041" t="s">
        <v>87</v>
      </c>
      <c r="G2041">
        <v>10.91</v>
      </c>
      <c r="H2041">
        <v>1.89</v>
      </c>
      <c r="I2041">
        <v>4.51</v>
      </c>
      <c r="J2041">
        <v>20.3401</v>
      </c>
      <c r="K2041" t="str">
        <f>IFERROR(INDEX(Rosters!$C$2:$C$155,MATCH($B2041,Rosters!$B$2:$B$155,0)),"NA")</f>
        <v>NA</v>
      </c>
      <c r="L2041" t="str">
        <f t="shared" si="93"/>
        <v>NA13WR</v>
      </c>
      <c r="M2041">
        <f>COUNTIF(L$1:L2041,L2041)</f>
        <v>4</v>
      </c>
      <c r="N2041" t="str">
        <f t="shared" si="94"/>
        <v>NA13WR-4</v>
      </c>
      <c r="O2041">
        <f>COUNTIFS(F$1:F2041,F2041,A$1:A2041,A2041)</f>
        <v>50</v>
      </c>
      <c r="P2041" t="str">
        <f t="shared" si="95"/>
        <v>Taywan Taylor13</v>
      </c>
    </row>
    <row r="2042" spans="1:16" x14ac:dyDescent="0.25">
      <c r="A2042">
        <v>4</v>
      </c>
      <c r="B2042" t="s">
        <v>306</v>
      </c>
      <c r="C2042" t="s">
        <v>4507</v>
      </c>
      <c r="D2042">
        <v>6.39</v>
      </c>
      <c r="E2042" t="s">
        <v>51</v>
      </c>
      <c r="F2042" t="s">
        <v>47</v>
      </c>
      <c r="G2042">
        <v>11.4</v>
      </c>
      <c r="H2042">
        <v>1.38</v>
      </c>
      <c r="I2042">
        <v>5.01</v>
      </c>
      <c r="J2042">
        <v>25.100100000000001</v>
      </c>
      <c r="K2042" t="str">
        <f>IFERROR(INDEX(Rosters!$C$2:$C$155,MATCH($B2042,Rosters!$B$2:$B$155,0)),"NA")</f>
        <v>chad</v>
      </c>
      <c r="L2042" t="str">
        <f t="shared" si="93"/>
        <v>chad4RB</v>
      </c>
      <c r="M2042">
        <f>COUNTIF(L$1:L2042,L2042)</f>
        <v>4</v>
      </c>
      <c r="N2042" t="str">
        <f t="shared" si="94"/>
        <v>chad4RB-4</v>
      </c>
      <c r="O2042">
        <f>COUNTIFS(F$1:F2042,F2042,A$1:A2042,A2042)</f>
        <v>36</v>
      </c>
      <c r="P2042" t="str">
        <f t="shared" si="95"/>
        <v>Javorius Allen4</v>
      </c>
    </row>
    <row r="2043" spans="1:16" x14ac:dyDescent="0.25">
      <c r="A2043">
        <v>6</v>
      </c>
      <c r="B2043" t="s">
        <v>306</v>
      </c>
      <c r="C2043" t="s">
        <v>7199</v>
      </c>
      <c r="D2043">
        <v>6.39</v>
      </c>
      <c r="E2043" t="s">
        <v>38</v>
      </c>
      <c r="F2043" t="s">
        <v>47</v>
      </c>
      <c r="G2043">
        <v>10.67</v>
      </c>
      <c r="H2043">
        <v>2.11</v>
      </c>
      <c r="I2043">
        <v>4.28</v>
      </c>
      <c r="J2043">
        <v>18.3184</v>
      </c>
      <c r="K2043" t="str">
        <f>IFERROR(INDEX(Rosters!$C$2:$C$155,MATCH($B2043,Rosters!$B$2:$B$155,0)),"NA")</f>
        <v>chad</v>
      </c>
      <c r="L2043" t="str">
        <f t="shared" si="93"/>
        <v>chad6RB</v>
      </c>
      <c r="M2043">
        <f>COUNTIF(L$1:L2043,L2043)</f>
        <v>5</v>
      </c>
      <c r="N2043" t="str">
        <f t="shared" si="94"/>
        <v>chad6RB-5</v>
      </c>
      <c r="O2043">
        <f>COUNTIFS(F$1:F2043,F2043,A$1:A2043,A2043)</f>
        <v>38</v>
      </c>
      <c r="P2043" t="str">
        <f t="shared" si="95"/>
        <v>Javorius Allen6</v>
      </c>
    </row>
    <row r="2044" spans="1:16" x14ac:dyDescent="0.25">
      <c r="A2044">
        <v>3</v>
      </c>
      <c r="B2044" t="s">
        <v>118</v>
      </c>
      <c r="C2044" t="s">
        <v>3711</v>
      </c>
      <c r="D2044">
        <v>6.39</v>
      </c>
      <c r="E2044" t="s">
        <v>41</v>
      </c>
      <c r="F2044" t="s">
        <v>114</v>
      </c>
      <c r="G2044">
        <v>11.01</v>
      </c>
      <c r="H2044">
        <v>1.77</v>
      </c>
      <c r="I2044">
        <v>4.62</v>
      </c>
      <c r="J2044">
        <v>21.3444</v>
      </c>
      <c r="K2044" t="str">
        <f>IFERROR(INDEX(Rosters!$C$2:$C$155,MATCH($B2044,Rosters!$B$2:$B$155,0)),"NA")</f>
        <v>matty</v>
      </c>
      <c r="L2044" t="str">
        <f t="shared" si="93"/>
        <v>matty3TE</v>
      </c>
      <c r="M2044">
        <f>COUNTIF(L$1:L2044,L2044)</f>
        <v>1</v>
      </c>
      <c r="N2044" t="str">
        <f t="shared" si="94"/>
        <v>matty3TE-1</v>
      </c>
      <c r="O2044">
        <f>COUNTIFS(F$1:F2044,F2044,A$1:A2044,A2044)</f>
        <v>9</v>
      </c>
      <c r="P2044" t="str">
        <f t="shared" si="95"/>
        <v>Jordan Reed3</v>
      </c>
    </row>
    <row r="2045" spans="1:16" x14ac:dyDescent="0.25">
      <c r="A2045">
        <v>2</v>
      </c>
      <c r="B2045" t="s">
        <v>1388</v>
      </c>
      <c r="C2045" t="s">
        <v>3346</v>
      </c>
      <c r="D2045">
        <v>6.39</v>
      </c>
      <c r="E2045" t="s">
        <v>60</v>
      </c>
      <c r="F2045" t="s">
        <v>47</v>
      </c>
      <c r="G2045">
        <v>11.8</v>
      </c>
      <c r="H2045">
        <v>0.98</v>
      </c>
      <c r="I2045">
        <v>5.41</v>
      </c>
      <c r="J2045">
        <v>29.2681</v>
      </c>
      <c r="K2045" t="str">
        <f>IFERROR(INDEX(Rosters!$C$2:$C$155,MATCH($B2045,Rosters!$B$2:$B$155,0)),"NA")</f>
        <v>NA</v>
      </c>
      <c r="L2045" t="str">
        <f t="shared" si="93"/>
        <v>NA2RB</v>
      </c>
      <c r="M2045">
        <f>COUNTIF(L$1:L2045,L2045)</f>
        <v>4</v>
      </c>
      <c r="N2045" t="str">
        <f t="shared" si="94"/>
        <v>NA2RB-4</v>
      </c>
      <c r="O2045">
        <f>COUNTIFS(F$1:F2045,F2045,A$1:A2045,A2045)</f>
        <v>35</v>
      </c>
      <c r="P2045" t="str">
        <f t="shared" si="95"/>
        <v>Jordan Wilkins2</v>
      </c>
    </row>
    <row r="2046" spans="1:16" x14ac:dyDescent="0.25">
      <c r="A2046">
        <v>13</v>
      </c>
      <c r="B2046" t="s">
        <v>143</v>
      </c>
      <c r="C2046">
        <f>-0.02-12.8</f>
        <v>-12.82</v>
      </c>
      <c r="D2046">
        <v>6.39</v>
      </c>
      <c r="E2046" t="s">
        <v>38</v>
      </c>
      <c r="F2046" t="s">
        <v>87</v>
      </c>
      <c r="G2046">
        <v>12.8</v>
      </c>
      <c r="H2046">
        <v>-0.02</v>
      </c>
      <c r="I2046">
        <v>6.41</v>
      </c>
      <c r="J2046">
        <v>41.088099999999997</v>
      </c>
      <c r="K2046" t="str">
        <f>IFERROR(INDEX(Rosters!$C$2:$C$155,MATCH($B2046,Rosters!$B$2:$B$155,0)),"NA")</f>
        <v>NA</v>
      </c>
      <c r="L2046" t="str">
        <f t="shared" si="93"/>
        <v>NA13WR</v>
      </c>
      <c r="M2046">
        <f>COUNTIF(L$1:L2046,L2046)</f>
        <v>5</v>
      </c>
      <c r="N2046" t="str">
        <f t="shared" si="94"/>
        <v>NA13WR-5</v>
      </c>
      <c r="O2046">
        <f>COUNTIFS(F$1:F2046,F2046,A$1:A2046,A2046)</f>
        <v>51</v>
      </c>
      <c r="P2046" t="str">
        <f t="shared" si="95"/>
        <v>Terrelle Pryor Sr.13</v>
      </c>
    </row>
    <row r="2047" spans="1:16" x14ac:dyDescent="0.25">
      <c r="A2047">
        <v>9</v>
      </c>
      <c r="B2047" t="s">
        <v>264</v>
      </c>
      <c r="C2047" t="s">
        <v>7200</v>
      </c>
      <c r="D2047">
        <v>6.38</v>
      </c>
      <c r="E2047" t="s">
        <v>32</v>
      </c>
      <c r="F2047" t="s">
        <v>114</v>
      </c>
      <c r="G2047">
        <v>10.6</v>
      </c>
      <c r="H2047">
        <v>2.16</v>
      </c>
      <c r="I2047">
        <v>4.22</v>
      </c>
      <c r="J2047">
        <v>17.808399999999999</v>
      </c>
      <c r="K2047" t="str">
        <f>IFERROR(INDEX(Rosters!$C$2:$C$155,MATCH($B2047,Rosters!$B$2:$B$155,0)),"NA")</f>
        <v>scott</v>
      </c>
      <c r="L2047" t="str">
        <f t="shared" si="93"/>
        <v>scott9TE</v>
      </c>
      <c r="M2047">
        <f>COUNTIF(L$1:L2047,L2047)</f>
        <v>1</v>
      </c>
      <c r="N2047" t="str">
        <f t="shared" si="94"/>
        <v>scott9TE-1</v>
      </c>
      <c r="O2047">
        <f>COUNTIFS(F$1:F2047,F2047,A$1:A2047,A2047)</f>
        <v>7</v>
      </c>
      <c r="P2047" t="str">
        <f t="shared" si="95"/>
        <v>George Kittle9</v>
      </c>
    </row>
    <row r="2048" spans="1:16" x14ac:dyDescent="0.25">
      <c r="A2048">
        <v>7</v>
      </c>
      <c r="B2048" t="s">
        <v>203</v>
      </c>
      <c r="C2048" t="s">
        <v>7201</v>
      </c>
      <c r="D2048">
        <v>6.38</v>
      </c>
      <c r="E2048" t="s">
        <v>25</v>
      </c>
      <c r="F2048" t="s">
        <v>87</v>
      </c>
      <c r="G2048">
        <v>10.71</v>
      </c>
      <c r="H2048">
        <v>2.0499999999999998</v>
      </c>
      <c r="I2048">
        <v>4.33</v>
      </c>
      <c r="J2048">
        <v>18.748899999999999</v>
      </c>
      <c r="K2048" t="str">
        <f>IFERROR(INDEX(Rosters!$C$2:$C$155,MATCH($B2048,Rosters!$B$2:$B$155,0)),"NA")</f>
        <v>NA</v>
      </c>
      <c r="L2048" t="str">
        <f t="shared" si="93"/>
        <v>NA7WR</v>
      </c>
      <c r="M2048">
        <f>COUNTIF(L$1:L2048,L2048)</f>
        <v>1</v>
      </c>
      <c r="N2048" t="str">
        <f t="shared" si="94"/>
        <v>NA7WR-1</v>
      </c>
      <c r="O2048">
        <f>COUNTIFS(F$1:F2048,F2048,A$1:A2048,A2048)</f>
        <v>40</v>
      </c>
      <c r="P2048" t="str">
        <f t="shared" si="95"/>
        <v>Robby Anderson7</v>
      </c>
    </row>
    <row r="2049" spans="1:16" x14ac:dyDescent="0.25">
      <c r="A2049">
        <v>3</v>
      </c>
      <c r="B2049" t="s">
        <v>137</v>
      </c>
      <c r="C2049" t="s">
        <v>3712</v>
      </c>
      <c r="D2049">
        <v>6.37</v>
      </c>
      <c r="E2049" t="s">
        <v>41</v>
      </c>
      <c r="F2049" t="s">
        <v>87</v>
      </c>
      <c r="G2049">
        <v>11.14</v>
      </c>
      <c r="H2049">
        <v>1.6</v>
      </c>
      <c r="I2049">
        <v>4.7699999999999996</v>
      </c>
      <c r="J2049">
        <v>22.7529</v>
      </c>
      <c r="K2049" t="str">
        <f>IFERROR(INDEX(Rosters!$C$2:$C$155,MATCH($B2049,Rosters!$B$2:$B$155,0)),"NA")</f>
        <v>lucas</v>
      </c>
      <c r="L2049" t="str">
        <f t="shared" si="93"/>
        <v>lucas3WR</v>
      </c>
      <c r="M2049">
        <f>COUNTIF(L$1:L2049,L2049)</f>
        <v>3</v>
      </c>
      <c r="N2049" t="str">
        <f t="shared" si="94"/>
        <v>lucas3WR-3</v>
      </c>
      <c r="O2049">
        <f>COUNTIFS(F$1:F2049,F2049,A$1:A2049,A2049)</f>
        <v>41</v>
      </c>
      <c r="P2049" t="str">
        <f t="shared" si="95"/>
        <v>Jamison Crowder3</v>
      </c>
    </row>
    <row r="2050" spans="1:16" x14ac:dyDescent="0.25">
      <c r="A2050">
        <v>5</v>
      </c>
      <c r="B2050" t="s">
        <v>181</v>
      </c>
      <c r="C2050" t="s">
        <v>5416</v>
      </c>
      <c r="D2050">
        <v>6.37</v>
      </c>
      <c r="E2050" t="s">
        <v>50</v>
      </c>
      <c r="F2050" t="s">
        <v>114</v>
      </c>
      <c r="G2050">
        <v>10.5</v>
      </c>
      <c r="H2050">
        <v>2.2400000000000002</v>
      </c>
      <c r="I2050">
        <v>4.13</v>
      </c>
      <c r="J2050">
        <v>17.056899999999999</v>
      </c>
      <c r="K2050" t="str">
        <f>IFERROR(INDEX(Rosters!$C$2:$C$155,MATCH($B2050,Rosters!$B$2:$B$155,0)),"NA")</f>
        <v>cory</v>
      </c>
      <c r="L2050" t="str">
        <f t="shared" si="93"/>
        <v>cory5TE</v>
      </c>
      <c r="M2050">
        <f>COUNTIF(L$1:L2050,L2050)</f>
        <v>1</v>
      </c>
      <c r="N2050" t="str">
        <f t="shared" si="94"/>
        <v>cory5TE-1</v>
      </c>
      <c r="O2050">
        <f>COUNTIFS(F$1:F2050,F2050,A$1:A2050,A2050)</f>
        <v>7</v>
      </c>
      <c r="P2050" t="str">
        <f t="shared" si="95"/>
        <v>Kyle Rudolph5</v>
      </c>
    </row>
    <row r="2051" spans="1:16" x14ac:dyDescent="0.25">
      <c r="A2051">
        <v>7</v>
      </c>
      <c r="B2051" t="s">
        <v>224</v>
      </c>
      <c r="C2051" t="s">
        <v>7202</v>
      </c>
      <c r="D2051">
        <v>6.37</v>
      </c>
      <c r="E2051" t="s">
        <v>29</v>
      </c>
      <c r="F2051" t="s">
        <v>47</v>
      </c>
      <c r="G2051">
        <v>11.66</v>
      </c>
      <c r="H2051">
        <v>1.08</v>
      </c>
      <c r="I2051">
        <v>5.29</v>
      </c>
      <c r="J2051">
        <v>27.984100000000002</v>
      </c>
      <c r="K2051" t="str">
        <f>IFERROR(INDEX(Rosters!$C$2:$C$155,MATCH($B2051,Rosters!$B$2:$B$155,0)),"NA")</f>
        <v>NA</v>
      </c>
      <c r="L2051" t="str">
        <f t="shared" ref="L2051:L2114" si="96">K2051&amp;A2051&amp;F2051</f>
        <v>NA7RB</v>
      </c>
      <c r="M2051">
        <f>COUNTIF(L$1:L2051,L2051)</f>
        <v>5</v>
      </c>
      <c r="N2051" t="str">
        <f t="shared" ref="N2051:N2114" si="97">L2051&amp;"-"&amp;M2051</f>
        <v>NA7RB-5</v>
      </c>
      <c r="O2051">
        <f>COUNTIFS(F$1:F2051,F2051,A$1:A2051,A2051)</f>
        <v>41</v>
      </c>
      <c r="P2051" t="str">
        <f t="shared" ref="P2051:P2114" si="98">B2051&amp;A2051</f>
        <v>Marlon Mack7</v>
      </c>
    </row>
    <row r="2052" spans="1:16" x14ac:dyDescent="0.25">
      <c r="A2052">
        <v>14</v>
      </c>
      <c r="B2052" t="s">
        <v>224</v>
      </c>
      <c r="C2052" t="s">
        <v>7203</v>
      </c>
      <c r="D2052">
        <v>6.37</v>
      </c>
      <c r="E2052" t="s">
        <v>36</v>
      </c>
      <c r="F2052" t="s">
        <v>47</v>
      </c>
      <c r="G2052">
        <v>12.21</v>
      </c>
      <c r="H2052">
        <v>0.53</v>
      </c>
      <c r="I2052">
        <v>5.84</v>
      </c>
      <c r="J2052">
        <v>34.105600000000003</v>
      </c>
      <c r="K2052" t="str">
        <f>IFERROR(INDEX(Rosters!$C$2:$C$155,MATCH($B2052,Rosters!$B$2:$B$155,0)),"NA")</f>
        <v>NA</v>
      </c>
      <c r="L2052" t="str">
        <f t="shared" si="96"/>
        <v>NA14RB</v>
      </c>
      <c r="M2052">
        <f>COUNTIF(L$1:L2052,L2052)</f>
        <v>4</v>
      </c>
      <c r="N2052" t="str">
        <f t="shared" si="97"/>
        <v>NA14RB-4</v>
      </c>
      <c r="O2052">
        <f>COUNTIFS(F$1:F2052,F2052,A$1:A2052,A2052)</f>
        <v>44</v>
      </c>
      <c r="P2052" t="str">
        <f t="shared" si="98"/>
        <v>Marlon Mack14</v>
      </c>
    </row>
    <row r="2053" spans="1:16" x14ac:dyDescent="0.25">
      <c r="A2053">
        <v>1</v>
      </c>
      <c r="B2053" t="s">
        <v>160</v>
      </c>
      <c r="C2053" t="s">
        <v>1701</v>
      </c>
      <c r="D2053">
        <v>6.37</v>
      </c>
      <c r="E2053" t="s">
        <v>25</v>
      </c>
      <c r="F2053" t="s">
        <v>87</v>
      </c>
      <c r="G2053">
        <v>12.74</v>
      </c>
      <c r="H2053">
        <v>0</v>
      </c>
      <c r="I2053">
        <v>6.37</v>
      </c>
      <c r="J2053">
        <v>40.576900000000002</v>
      </c>
      <c r="K2053" t="str">
        <f>IFERROR(INDEX(Rosters!$C$2:$C$155,MATCH($B2053,Rosters!$B$2:$B$155,0)),"NA")</f>
        <v>NA</v>
      </c>
      <c r="L2053" t="str">
        <f t="shared" si="96"/>
        <v>NA1WR</v>
      </c>
      <c r="M2053">
        <f>COUNTIF(L$1:L2053,L2053)</f>
        <v>4</v>
      </c>
      <c r="N2053" t="str">
        <f t="shared" si="97"/>
        <v>NA1WR-4</v>
      </c>
      <c r="O2053">
        <f>COUNTIFS(F$1:F2053,F2053,A$1:A2053,A2053)</f>
        <v>40</v>
      </c>
      <c r="P2053" t="str">
        <f t="shared" si="98"/>
        <v>Pierre Garcon1</v>
      </c>
    </row>
    <row r="2054" spans="1:16" x14ac:dyDescent="0.25">
      <c r="A2054">
        <v>1</v>
      </c>
      <c r="B2054" t="s">
        <v>125</v>
      </c>
      <c r="C2054" t="s">
        <v>1801</v>
      </c>
      <c r="D2054">
        <v>6.37</v>
      </c>
      <c r="E2054" t="s">
        <v>37</v>
      </c>
      <c r="F2054" t="s">
        <v>87</v>
      </c>
      <c r="G2054">
        <v>11.8</v>
      </c>
      <c r="H2054">
        <v>0.94</v>
      </c>
      <c r="I2054">
        <v>5.43</v>
      </c>
      <c r="J2054">
        <v>29.4849</v>
      </c>
      <c r="K2054" t="str">
        <f>IFERROR(INDEX(Rosters!$C$2:$C$155,MATCH($B2054,Rosters!$B$2:$B$155,0)),"NA")</f>
        <v>scott</v>
      </c>
      <c r="L2054" t="str">
        <f t="shared" si="96"/>
        <v>scott1WR</v>
      </c>
      <c r="M2054">
        <f>COUNTIF(L$1:L2054,L2054)</f>
        <v>4</v>
      </c>
      <c r="N2054" t="str">
        <f t="shared" si="97"/>
        <v>scott1WR-4</v>
      </c>
      <c r="O2054">
        <f>COUNTIFS(F$1:F2054,F2054,A$1:A2054,A2054)</f>
        <v>41</v>
      </c>
      <c r="P2054" t="str">
        <f t="shared" si="98"/>
        <v>Sammy Watkins1</v>
      </c>
    </row>
    <row r="2055" spans="1:16" x14ac:dyDescent="0.25">
      <c r="A2055">
        <v>16</v>
      </c>
      <c r="B2055" t="s">
        <v>285</v>
      </c>
      <c r="C2055" t="s">
        <v>3712</v>
      </c>
      <c r="D2055">
        <v>6.37</v>
      </c>
      <c r="E2055" t="s">
        <v>30</v>
      </c>
      <c r="F2055" t="s">
        <v>47</v>
      </c>
      <c r="G2055">
        <v>11.14</v>
      </c>
      <c r="H2055">
        <v>1.6</v>
      </c>
      <c r="I2055">
        <v>4.7699999999999996</v>
      </c>
      <c r="J2055">
        <v>22.7529</v>
      </c>
      <c r="K2055" t="str">
        <f>IFERROR(INDEX(Rosters!$C$2:$C$155,MATCH($B2055,Rosters!$B$2:$B$155,0)),"NA")</f>
        <v>NA</v>
      </c>
      <c r="L2055" t="str">
        <f t="shared" si="96"/>
        <v>NA16RB</v>
      </c>
      <c r="M2055">
        <f>COUNTIF(L$1:L2055,L2055)</f>
        <v>3</v>
      </c>
      <c r="N2055" t="str">
        <f t="shared" si="97"/>
        <v>NA16RB-3</v>
      </c>
      <c r="O2055">
        <f>COUNTIFS(F$1:F2055,F2055,A$1:A2055,A2055)</f>
        <v>42</v>
      </c>
      <c r="P2055" t="str">
        <f t="shared" si="98"/>
        <v>Tarik Cohen16</v>
      </c>
    </row>
    <row r="2056" spans="1:16" x14ac:dyDescent="0.25">
      <c r="A2056">
        <v>11</v>
      </c>
      <c r="B2056" t="s">
        <v>1368</v>
      </c>
      <c r="C2056" t="s">
        <v>7204</v>
      </c>
      <c r="D2056">
        <v>6.36</v>
      </c>
      <c r="E2056" t="s">
        <v>51</v>
      </c>
      <c r="F2056" t="s">
        <v>87</v>
      </c>
      <c r="G2056">
        <v>10.72</v>
      </c>
      <c r="H2056">
        <v>2</v>
      </c>
      <c r="I2056">
        <v>4.3600000000000003</v>
      </c>
      <c r="J2056">
        <v>19.009599999999999</v>
      </c>
      <c r="K2056" t="str">
        <f>IFERROR(INDEX(Rosters!$C$2:$C$155,MATCH($B2056,Rosters!$B$2:$B$155,0)),"NA")</f>
        <v>scott</v>
      </c>
      <c r="L2056" t="str">
        <f t="shared" si="96"/>
        <v>scott11WR</v>
      </c>
      <c r="M2056">
        <f>COUNTIF(L$1:L2056,L2056)</f>
        <v>4</v>
      </c>
      <c r="N2056" t="str">
        <f t="shared" si="97"/>
        <v>scott11WR-4</v>
      </c>
      <c r="O2056">
        <f>COUNTIFS(F$1:F2056,F2056,A$1:A2056,A2056)</f>
        <v>44</v>
      </c>
      <c r="P2056" t="str">
        <f t="shared" si="98"/>
        <v>Keelan Cole11</v>
      </c>
    </row>
    <row r="2057" spans="1:16" x14ac:dyDescent="0.25">
      <c r="A2057">
        <v>4</v>
      </c>
      <c r="B2057" t="s">
        <v>168</v>
      </c>
      <c r="C2057" t="s">
        <v>4508</v>
      </c>
      <c r="D2057">
        <v>6.36</v>
      </c>
      <c r="E2057" t="s">
        <v>54</v>
      </c>
      <c r="F2057" t="s">
        <v>87</v>
      </c>
      <c r="G2057">
        <v>11.76</v>
      </c>
      <c r="H2057">
        <v>0.96</v>
      </c>
      <c r="I2057">
        <v>5.4</v>
      </c>
      <c r="J2057">
        <v>29.16</v>
      </c>
      <c r="K2057" t="str">
        <f>IFERROR(INDEX(Rosters!$C$2:$C$155,MATCH($B2057,Rosters!$B$2:$B$155,0)),"NA")</f>
        <v>NA</v>
      </c>
      <c r="L2057" t="str">
        <f t="shared" si="96"/>
        <v>NA4WR</v>
      </c>
      <c r="M2057">
        <f>COUNTIF(L$1:L2057,L2057)</f>
        <v>2</v>
      </c>
      <c r="N2057" t="str">
        <f t="shared" si="97"/>
        <v>NA4WR-2</v>
      </c>
      <c r="O2057">
        <f>COUNTIFS(F$1:F2057,F2057,A$1:A2057,A2057)</f>
        <v>44</v>
      </c>
      <c r="P2057" t="str">
        <f t="shared" si="98"/>
        <v>Ted Ginn Jr.4</v>
      </c>
    </row>
    <row r="2058" spans="1:16" x14ac:dyDescent="0.25">
      <c r="A2058">
        <v>11</v>
      </c>
      <c r="B2058" t="s">
        <v>163</v>
      </c>
      <c r="C2058" t="s">
        <v>7205</v>
      </c>
      <c r="D2058">
        <v>6.35</v>
      </c>
      <c r="E2058" t="s">
        <v>54</v>
      </c>
      <c r="F2058" t="s">
        <v>87</v>
      </c>
      <c r="G2058">
        <v>11.34</v>
      </c>
      <c r="H2058">
        <v>1.36</v>
      </c>
      <c r="I2058">
        <v>4.99</v>
      </c>
      <c r="J2058">
        <v>24.900099999999998</v>
      </c>
      <c r="K2058" t="str">
        <f>IFERROR(INDEX(Rosters!$C$2:$C$155,MATCH($B2058,Rosters!$B$2:$B$155,0)),"NA")</f>
        <v>scott</v>
      </c>
      <c r="L2058" t="str">
        <f t="shared" si="96"/>
        <v>scott11WR</v>
      </c>
      <c r="M2058">
        <f>COUNTIF(L$1:L2058,L2058)</f>
        <v>5</v>
      </c>
      <c r="N2058" t="str">
        <f t="shared" si="97"/>
        <v>scott11WR-5</v>
      </c>
      <c r="O2058">
        <f>COUNTIFS(F$1:F2058,F2058,A$1:A2058,A2058)</f>
        <v>45</v>
      </c>
      <c r="P2058" t="str">
        <f t="shared" si="98"/>
        <v>DeSean Jackson11</v>
      </c>
    </row>
    <row r="2059" spans="1:16" x14ac:dyDescent="0.25">
      <c r="A2059">
        <v>14</v>
      </c>
      <c r="B2059" t="s">
        <v>221</v>
      </c>
      <c r="C2059" t="s">
        <v>7206</v>
      </c>
      <c r="D2059">
        <v>6.35</v>
      </c>
      <c r="E2059" t="s">
        <v>37</v>
      </c>
      <c r="F2059" t="s">
        <v>87</v>
      </c>
      <c r="G2059">
        <v>10.32</v>
      </c>
      <c r="H2059">
        <v>2.38</v>
      </c>
      <c r="I2059">
        <v>3.97</v>
      </c>
      <c r="J2059">
        <v>15.760899999999999</v>
      </c>
      <c r="K2059" t="str">
        <f>IFERROR(INDEX(Rosters!$C$2:$C$155,MATCH($B2059,Rosters!$B$2:$B$155,0)),"NA")</f>
        <v>cory</v>
      </c>
      <c r="L2059" t="str">
        <f t="shared" si="96"/>
        <v>cory14WR</v>
      </c>
      <c r="M2059">
        <f>COUNTIF(L$1:L2059,L2059)</f>
        <v>5</v>
      </c>
      <c r="N2059" t="str">
        <f t="shared" si="97"/>
        <v>cory14WR-5</v>
      </c>
      <c r="O2059">
        <f>COUNTIFS(F$1:F2059,F2059,A$1:A2059,A2059)</f>
        <v>50</v>
      </c>
      <c r="P2059" t="str">
        <f t="shared" si="98"/>
        <v>Tyler Boyd14</v>
      </c>
    </row>
    <row r="2060" spans="1:16" x14ac:dyDescent="0.25">
      <c r="A2060">
        <v>5</v>
      </c>
      <c r="B2060" t="s">
        <v>117</v>
      </c>
      <c r="C2060" t="s">
        <v>7207</v>
      </c>
      <c r="D2060">
        <v>6.33</v>
      </c>
      <c r="E2060" t="s">
        <v>42</v>
      </c>
      <c r="F2060" t="s">
        <v>47</v>
      </c>
      <c r="G2060">
        <v>10.63</v>
      </c>
      <c r="H2060">
        <v>2.0299999999999998</v>
      </c>
      <c r="I2060">
        <v>4.3</v>
      </c>
      <c r="J2060">
        <v>18.489999999999998</v>
      </c>
      <c r="K2060" t="str">
        <f>IFERROR(INDEX(Rosters!$C$2:$C$155,MATCH($B2060,Rosters!$B$2:$B$155,0)),"NA")</f>
        <v>chad</v>
      </c>
      <c r="L2060" t="str">
        <f t="shared" si="96"/>
        <v>chad5RB</v>
      </c>
      <c r="M2060">
        <f>COUNTIF(L$1:L2060,L2060)</f>
        <v>4</v>
      </c>
      <c r="N2060" t="str">
        <f t="shared" si="97"/>
        <v>chad5RB-4</v>
      </c>
      <c r="O2060">
        <f>COUNTIFS(F$1:F2060,F2060,A$1:A2060,A2060)</f>
        <v>41</v>
      </c>
      <c r="P2060" t="str">
        <f t="shared" si="98"/>
        <v>Isaiah Crowell5</v>
      </c>
    </row>
    <row r="2061" spans="1:16" x14ac:dyDescent="0.25">
      <c r="A2061">
        <v>14</v>
      </c>
      <c r="B2061" t="s">
        <v>98</v>
      </c>
      <c r="C2061" t="s">
        <v>7208</v>
      </c>
      <c r="D2061">
        <v>6.33</v>
      </c>
      <c r="E2061" t="s">
        <v>51</v>
      </c>
      <c r="F2061" t="s">
        <v>87</v>
      </c>
      <c r="G2061">
        <v>11.69</v>
      </c>
      <c r="H2061">
        <v>0.97</v>
      </c>
      <c r="I2061">
        <v>5.36</v>
      </c>
      <c r="J2061">
        <v>28.729600000000001</v>
      </c>
      <c r="K2061" t="str">
        <f>IFERROR(INDEX(Rosters!$C$2:$C$155,MATCH($B2061,Rosters!$B$2:$B$155,0)),"NA")</f>
        <v>seth</v>
      </c>
      <c r="L2061" t="str">
        <f t="shared" si="96"/>
        <v>seth14WR</v>
      </c>
      <c r="M2061">
        <f>COUNTIF(L$1:L2061,L2061)</f>
        <v>5</v>
      </c>
      <c r="N2061" t="str">
        <f t="shared" si="97"/>
        <v>seth14WR-5</v>
      </c>
      <c r="O2061">
        <f>COUNTIFS(F$1:F2061,F2061,A$1:A2061,A2061)</f>
        <v>51</v>
      </c>
      <c r="P2061" t="str">
        <f t="shared" si="98"/>
        <v>Jordy Nelson14</v>
      </c>
    </row>
    <row r="2062" spans="1:16" x14ac:dyDescent="0.25">
      <c r="A2062">
        <v>15</v>
      </c>
      <c r="B2062" t="s">
        <v>160</v>
      </c>
      <c r="C2062" t="s">
        <v>7209</v>
      </c>
      <c r="D2062">
        <v>6.33</v>
      </c>
      <c r="E2062" t="s">
        <v>28</v>
      </c>
      <c r="F2062" t="s">
        <v>87</v>
      </c>
      <c r="G2062">
        <v>10.99</v>
      </c>
      <c r="H2062">
        <v>1.67</v>
      </c>
      <c r="I2062">
        <v>4.66</v>
      </c>
      <c r="J2062">
        <v>21.715599999999998</v>
      </c>
      <c r="K2062" t="str">
        <f>IFERROR(INDEX(Rosters!$C$2:$C$155,MATCH($B2062,Rosters!$B$2:$B$155,0)),"NA")</f>
        <v>NA</v>
      </c>
      <c r="L2062" t="str">
        <f t="shared" si="96"/>
        <v>NA15WR</v>
      </c>
      <c r="M2062">
        <f>COUNTIF(L$1:L2062,L2062)</f>
        <v>3</v>
      </c>
      <c r="N2062" t="str">
        <f t="shared" si="97"/>
        <v>NA15WR-3</v>
      </c>
      <c r="O2062">
        <f>COUNTIFS(F$1:F2062,F2062,A$1:A2062,A2062)</f>
        <v>47</v>
      </c>
      <c r="P2062" t="str">
        <f t="shared" si="98"/>
        <v>Pierre Garcon15</v>
      </c>
    </row>
    <row r="2063" spans="1:16" x14ac:dyDescent="0.25">
      <c r="A2063">
        <v>16</v>
      </c>
      <c r="B2063" t="s">
        <v>215</v>
      </c>
      <c r="C2063" t="s">
        <v>7210</v>
      </c>
      <c r="D2063">
        <v>6.32</v>
      </c>
      <c r="E2063" t="s">
        <v>31</v>
      </c>
      <c r="F2063" t="s">
        <v>114</v>
      </c>
      <c r="G2063">
        <v>12.08</v>
      </c>
      <c r="H2063">
        <v>0.56000000000000005</v>
      </c>
      <c r="I2063">
        <v>5.76</v>
      </c>
      <c r="J2063">
        <v>33.177599999999998</v>
      </c>
      <c r="K2063" t="str">
        <f>IFERROR(INDEX(Rosters!$C$2:$C$155,MATCH($B2063,Rosters!$B$2:$B$155,0)),"NA")</f>
        <v>NA</v>
      </c>
      <c r="L2063" t="str">
        <f t="shared" si="96"/>
        <v>NA16TE</v>
      </c>
      <c r="M2063">
        <f>COUNTIF(L$1:L2063,L2063)</f>
        <v>2</v>
      </c>
      <c r="N2063" t="str">
        <f t="shared" si="97"/>
        <v>NA16TE-2</v>
      </c>
      <c r="O2063">
        <f>COUNTIFS(F$1:F2063,F2063,A$1:A2063,A2063)</f>
        <v>10</v>
      </c>
      <c r="P2063" t="str">
        <f t="shared" si="98"/>
        <v>David Njoku16</v>
      </c>
    </row>
    <row r="2064" spans="1:16" x14ac:dyDescent="0.25">
      <c r="A2064">
        <v>14</v>
      </c>
      <c r="B2064" t="s">
        <v>163</v>
      </c>
      <c r="C2064" t="s">
        <v>7211</v>
      </c>
      <c r="D2064">
        <v>6.32</v>
      </c>
      <c r="E2064" t="s">
        <v>14</v>
      </c>
      <c r="F2064" t="s">
        <v>87</v>
      </c>
      <c r="G2064">
        <v>10.51</v>
      </c>
      <c r="H2064">
        <v>2.13</v>
      </c>
      <c r="I2064">
        <v>4.1900000000000004</v>
      </c>
      <c r="J2064">
        <v>17.556100000000001</v>
      </c>
      <c r="K2064" t="str">
        <f>IFERROR(INDEX(Rosters!$C$2:$C$155,MATCH($B2064,Rosters!$B$2:$B$155,0)),"NA")</f>
        <v>scott</v>
      </c>
      <c r="L2064" t="str">
        <f t="shared" si="96"/>
        <v>scott14WR</v>
      </c>
      <c r="M2064">
        <f>COUNTIF(L$1:L2064,L2064)</f>
        <v>6</v>
      </c>
      <c r="N2064" t="str">
        <f t="shared" si="97"/>
        <v>scott14WR-6</v>
      </c>
      <c r="O2064">
        <f>COUNTIFS(F$1:F2064,F2064,A$1:A2064,A2064)</f>
        <v>52</v>
      </c>
      <c r="P2064" t="str">
        <f t="shared" si="98"/>
        <v>DeSean Jackson14</v>
      </c>
    </row>
    <row r="2065" spans="1:16" x14ac:dyDescent="0.25">
      <c r="A2065">
        <v>8</v>
      </c>
      <c r="B2065" t="s">
        <v>117</v>
      </c>
      <c r="C2065" t="s">
        <v>7212</v>
      </c>
      <c r="D2065">
        <v>6.32</v>
      </c>
      <c r="E2065" t="s">
        <v>72</v>
      </c>
      <c r="F2065" t="s">
        <v>47</v>
      </c>
      <c r="G2065">
        <v>11.45</v>
      </c>
      <c r="H2065">
        <v>1.19</v>
      </c>
      <c r="I2065">
        <v>5.13</v>
      </c>
      <c r="J2065">
        <v>26.3169</v>
      </c>
      <c r="K2065" t="str">
        <f>IFERROR(INDEX(Rosters!$C$2:$C$155,MATCH($B2065,Rosters!$B$2:$B$155,0)),"NA")</f>
        <v>chad</v>
      </c>
      <c r="L2065" t="str">
        <f t="shared" si="96"/>
        <v>chad8RB</v>
      </c>
      <c r="M2065">
        <f>COUNTIF(L$1:L2065,L2065)</f>
        <v>4</v>
      </c>
      <c r="N2065" t="str">
        <f t="shared" si="97"/>
        <v>chad8RB-4</v>
      </c>
      <c r="O2065">
        <f>COUNTIFS(F$1:F2065,F2065,A$1:A2065,A2065)</f>
        <v>38</v>
      </c>
      <c r="P2065" t="str">
        <f t="shared" si="98"/>
        <v>Isaiah Crowell8</v>
      </c>
    </row>
    <row r="2066" spans="1:16" x14ac:dyDescent="0.25">
      <c r="A2066">
        <v>12</v>
      </c>
      <c r="B2066" t="s">
        <v>205</v>
      </c>
      <c r="C2066" t="s">
        <v>7213</v>
      </c>
      <c r="D2066">
        <v>6.32</v>
      </c>
      <c r="E2066" t="s">
        <v>25</v>
      </c>
      <c r="F2066" t="s">
        <v>47</v>
      </c>
      <c r="G2066">
        <v>10.85</v>
      </c>
      <c r="H2066">
        <v>1.79</v>
      </c>
      <c r="I2066">
        <v>4.53</v>
      </c>
      <c r="J2066">
        <v>20.520900000000001</v>
      </c>
      <c r="K2066" t="str">
        <f>IFERROR(INDEX(Rosters!$C$2:$C$155,MATCH($B2066,Rosters!$B$2:$B$155,0)),"NA")</f>
        <v>NA</v>
      </c>
      <c r="L2066" t="str">
        <f t="shared" si="96"/>
        <v>NA12RB</v>
      </c>
      <c r="M2066">
        <f>COUNTIF(L$1:L2066,L2066)</f>
        <v>2</v>
      </c>
      <c r="N2066" t="str">
        <f t="shared" si="97"/>
        <v>NA12RB-2</v>
      </c>
      <c r="O2066">
        <f>COUNTIFS(F$1:F2066,F2066,A$1:A2066,A2066)</f>
        <v>37</v>
      </c>
      <c r="P2066" t="str">
        <f t="shared" si="98"/>
        <v>Jamaal Williams12</v>
      </c>
    </row>
    <row r="2067" spans="1:16" x14ac:dyDescent="0.25">
      <c r="A2067">
        <v>15</v>
      </c>
      <c r="B2067" t="s">
        <v>98</v>
      </c>
      <c r="C2067" t="s">
        <v>7214</v>
      </c>
      <c r="D2067">
        <v>6.31</v>
      </c>
      <c r="E2067" t="s">
        <v>31</v>
      </c>
      <c r="F2067" t="s">
        <v>87</v>
      </c>
      <c r="G2067">
        <v>11.61</v>
      </c>
      <c r="H2067">
        <v>1.01</v>
      </c>
      <c r="I2067">
        <v>5.3</v>
      </c>
      <c r="J2067">
        <v>28.09</v>
      </c>
      <c r="K2067" t="str">
        <f>IFERROR(INDEX(Rosters!$C$2:$C$155,MATCH($B2067,Rosters!$B$2:$B$155,0)),"NA")</f>
        <v>seth</v>
      </c>
      <c r="L2067" t="str">
        <f t="shared" si="96"/>
        <v>seth15WR</v>
      </c>
      <c r="M2067">
        <f>COUNTIF(L$1:L2067,L2067)</f>
        <v>5</v>
      </c>
      <c r="N2067" t="str">
        <f t="shared" si="97"/>
        <v>seth15WR-5</v>
      </c>
      <c r="O2067">
        <f>COUNTIFS(F$1:F2067,F2067,A$1:A2067,A2067)</f>
        <v>48</v>
      </c>
      <c r="P2067" t="str">
        <f t="shared" si="98"/>
        <v>Jordy Nelson15</v>
      </c>
    </row>
    <row r="2068" spans="1:16" x14ac:dyDescent="0.25">
      <c r="A2068">
        <v>12</v>
      </c>
      <c r="B2068" t="s">
        <v>290</v>
      </c>
      <c r="C2068" t="s">
        <v>7215</v>
      </c>
      <c r="D2068">
        <v>6.31</v>
      </c>
      <c r="E2068" t="s">
        <v>66</v>
      </c>
      <c r="F2068" t="s">
        <v>47</v>
      </c>
      <c r="G2068">
        <v>11.67</v>
      </c>
      <c r="H2068">
        <v>0.95</v>
      </c>
      <c r="I2068">
        <v>5.36</v>
      </c>
      <c r="J2068">
        <v>28.729600000000001</v>
      </c>
      <c r="K2068" t="str">
        <f>IFERROR(INDEX(Rosters!$C$2:$C$155,MATCH($B2068,Rosters!$B$2:$B$155,0)),"NA")</f>
        <v>lucas</v>
      </c>
      <c r="L2068" t="str">
        <f t="shared" si="96"/>
        <v>lucas12RB</v>
      </c>
      <c r="M2068">
        <f>COUNTIF(L$1:L2068,L2068)</f>
        <v>5</v>
      </c>
      <c r="N2068" t="str">
        <f t="shared" si="97"/>
        <v>lucas12RB-5</v>
      </c>
      <c r="O2068">
        <f>COUNTIFS(F$1:F2068,F2068,A$1:A2068,A2068)</f>
        <v>38</v>
      </c>
      <c r="P2068" t="str">
        <f t="shared" si="98"/>
        <v>Kenyan Drake12</v>
      </c>
    </row>
    <row r="2069" spans="1:16" x14ac:dyDescent="0.25">
      <c r="A2069">
        <v>11</v>
      </c>
      <c r="B2069" t="s">
        <v>125</v>
      </c>
      <c r="C2069" t="s">
        <v>7216</v>
      </c>
      <c r="D2069">
        <v>6.31</v>
      </c>
      <c r="E2069" t="s">
        <v>56</v>
      </c>
      <c r="F2069" t="s">
        <v>87</v>
      </c>
      <c r="G2069">
        <v>11.27</v>
      </c>
      <c r="H2069">
        <v>1.35</v>
      </c>
      <c r="I2069">
        <v>4.96</v>
      </c>
      <c r="J2069">
        <v>24.601600000000001</v>
      </c>
      <c r="K2069" t="str">
        <f>IFERROR(INDEX(Rosters!$C$2:$C$155,MATCH($B2069,Rosters!$B$2:$B$155,0)),"NA")</f>
        <v>scott</v>
      </c>
      <c r="L2069" t="str">
        <f t="shared" si="96"/>
        <v>scott11WR</v>
      </c>
      <c r="M2069">
        <f>COUNTIF(L$1:L2069,L2069)</f>
        <v>6</v>
      </c>
      <c r="N2069" t="str">
        <f t="shared" si="97"/>
        <v>scott11WR-6</v>
      </c>
      <c r="O2069">
        <f>COUNTIFS(F$1:F2069,F2069,A$1:A2069,A2069)</f>
        <v>46</v>
      </c>
      <c r="P2069" t="str">
        <f t="shared" si="98"/>
        <v>Sammy Watkins11</v>
      </c>
    </row>
    <row r="2070" spans="1:16" x14ac:dyDescent="0.25">
      <c r="A2070">
        <v>13</v>
      </c>
      <c r="B2070" t="s">
        <v>162</v>
      </c>
      <c r="C2070" t="s">
        <v>7217</v>
      </c>
      <c r="D2070">
        <v>6.3</v>
      </c>
      <c r="E2070" t="s">
        <v>58</v>
      </c>
      <c r="F2070" t="s">
        <v>114</v>
      </c>
      <c r="G2070">
        <v>11.14</v>
      </c>
      <c r="H2070">
        <v>1.46</v>
      </c>
      <c r="I2070">
        <v>4.84</v>
      </c>
      <c r="J2070">
        <v>23.425599999999999</v>
      </c>
      <c r="K2070" t="str">
        <f>IFERROR(INDEX(Rosters!$C$2:$C$155,MATCH($B2070,Rosters!$B$2:$B$155,0)),"NA")</f>
        <v>seth</v>
      </c>
      <c r="L2070" t="str">
        <f t="shared" si="96"/>
        <v>seth13TE</v>
      </c>
      <c r="M2070">
        <f>COUNTIF(L$1:L2070,L2070)</f>
        <v>1</v>
      </c>
      <c r="N2070" t="str">
        <f t="shared" si="97"/>
        <v>seth13TE-1</v>
      </c>
      <c r="O2070">
        <f>COUNTIFS(F$1:F2070,F2070,A$1:A2070,A2070)</f>
        <v>8</v>
      </c>
      <c r="P2070" t="str">
        <f t="shared" si="98"/>
        <v>Jimmy Graham13</v>
      </c>
    </row>
    <row r="2071" spans="1:16" x14ac:dyDescent="0.25">
      <c r="A2071">
        <v>16</v>
      </c>
      <c r="B2071" t="s">
        <v>160</v>
      </c>
      <c r="C2071" t="s">
        <v>7218</v>
      </c>
      <c r="D2071">
        <v>6.3</v>
      </c>
      <c r="E2071" t="s">
        <v>72</v>
      </c>
      <c r="F2071" t="s">
        <v>87</v>
      </c>
      <c r="G2071">
        <v>11.29</v>
      </c>
      <c r="H2071">
        <v>1.31</v>
      </c>
      <c r="I2071">
        <v>4.99</v>
      </c>
      <c r="J2071">
        <v>24.900099999999998</v>
      </c>
      <c r="K2071" t="str">
        <f>IFERROR(INDEX(Rosters!$C$2:$C$155,MATCH($B2071,Rosters!$B$2:$B$155,0)),"NA")</f>
        <v>NA</v>
      </c>
      <c r="L2071" t="str">
        <f t="shared" si="96"/>
        <v>NA16WR</v>
      </c>
      <c r="M2071">
        <f>COUNTIF(L$1:L2071,L2071)</f>
        <v>2</v>
      </c>
      <c r="N2071" t="str">
        <f t="shared" si="97"/>
        <v>NA16WR-2</v>
      </c>
      <c r="O2071">
        <f>COUNTIFS(F$1:F2071,F2071,A$1:A2071,A2071)</f>
        <v>49</v>
      </c>
      <c r="P2071" t="str">
        <f t="shared" si="98"/>
        <v>Pierre Garcon16</v>
      </c>
    </row>
    <row r="2072" spans="1:16" x14ac:dyDescent="0.25">
      <c r="A2072">
        <v>12</v>
      </c>
      <c r="B2072" t="s">
        <v>192</v>
      </c>
      <c r="C2072" t="s">
        <v>7219</v>
      </c>
      <c r="D2072">
        <v>6.3</v>
      </c>
      <c r="E2072" t="s">
        <v>50</v>
      </c>
      <c r="F2072" t="s">
        <v>87</v>
      </c>
      <c r="G2072">
        <v>11.28</v>
      </c>
      <c r="H2072">
        <v>1.32</v>
      </c>
      <c r="I2072">
        <v>4.9800000000000004</v>
      </c>
      <c r="J2072">
        <v>24.8004</v>
      </c>
      <c r="K2072" t="str">
        <f>IFERROR(INDEX(Rosters!$C$2:$C$155,MATCH($B2072,Rosters!$B$2:$B$155,0)),"NA")</f>
        <v>cory</v>
      </c>
      <c r="L2072" t="str">
        <f t="shared" si="96"/>
        <v>cory12WR</v>
      </c>
      <c r="M2072">
        <f>COUNTIF(L$1:L2072,L2072)</f>
        <v>5</v>
      </c>
      <c r="N2072" t="str">
        <f t="shared" si="97"/>
        <v>cory12WR-5</v>
      </c>
      <c r="O2072">
        <f>COUNTIFS(F$1:F2072,F2072,A$1:A2072,A2072)</f>
        <v>46</v>
      </c>
      <c r="P2072" t="str">
        <f t="shared" si="98"/>
        <v>Sterling Shepard12</v>
      </c>
    </row>
    <row r="2073" spans="1:16" x14ac:dyDescent="0.25">
      <c r="A2073">
        <v>16</v>
      </c>
      <c r="B2073" t="s">
        <v>205</v>
      </c>
      <c r="C2073" t="s">
        <v>7220</v>
      </c>
      <c r="D2073">
        <v>6.29</v>
      </c>
      <c r="E2073" t="s">
        <v>73</v>
      </c>
      <c r="F2073" t="s">
        <v>47</v>
      </c>
      <c r="G2073">
        <v>10.67</v>
      </c>
      <c r="H2073">
        <v>1.91</v>
      </c>
      <c r="I2073">
        <v>4.38</v>
      </c>
      <c r="J2073">
        <v>19.1844</v>
      </c>
      <c r="K2073" t="str">
        <f>IFERROR(INDEX(Rosters!$C$2:$C$155,MATCH($B2073,Rosters!$B$2:$B$155,0)),"NA")</f>
        <v>NA</v>
      </c>
      <c r="L2073" t="str">
        <f t="shared" si="96"/>
        <v>NA16RB</v>
      </c>
      <c r="M2073">
        <f>COUNTIF(L$1:L2073,L2073)</f>
        <v>4</v>
      </c>
      <c r="N2073" t="str">
        <f t="shared" si="97"/>
        <v>NA16RB-4</v>
      </c>
      <c r="O2073">
        <f>COUNTIFS(F$1:F2073,F2073,A$1:A2073,A2073)</f>
        <v>43</v>
      </c>
      <c r="P2073" t="str">
        <f t="shared" si="98"/>
        <v>Jamaal Williams16</v>
      </c>
    </row>
    <row r="2074" spans="1:16" x14ac:dyDescent="0.25">
      <c r="A2074">
        <v>2</v>
      </c>
      <c r="B2074" t="s">
        <v>181</v>
      </c>
      <c r="C2074" t="s">
        <v>1212</v>
      </c>
      <c r="D2074">
        <v>6.29</v>
      </c>
      <c r="E2074" t="s">
        <v>41</v>
      </c>
      <c r="F2074" t="s">
        <v>114</v>
      </c>
      <c r="G2074">
        <v>10.9</v>
      </c>
      <c r="H2074">
        <v>1.68</v>
      </c>
      <c r="I2074">
        <v>4.6100000000000003</v>
      </c>
      <c r="J2074">
        <v>21.252099999999999</v>
      </c>
      <c r="K2074" t="str">
        <f>IFERROR(INDEX(Rosters!$C$2:$C$155,MATCH($B2074,Rosters!$B$2:$B$155,0)),"NA")</f>
        <v>cory</v>
      </c>
      <c r="L2074" t="str">
        <f t="shared" si="96"/>
        <v>cory2TE</v>
      </c>
      <c r="M2074">
        <f>COUNTIF(L$1:L2074,L2074)</f>
        <v>1</v>
      </c>
      <c r="N2074" t="str">
        <f t="shared" si="97"/>
        <v>cory2TE-1</v>
      </c>
      <c r="O2074">
        <f>COUNTIFS(F$1:F2074,F2074,A$1:A2074,A2074)</f>
        <v>9</v>
      </c>
      <c r="P2074" t="str">
        <f t="shared" si="98"/>
        <v>Kyle Rudolph2</v>
      </c>
    </row>
    <row r="2075" spans="1:16" x14ac:dyDescent="0.25">
      <c r="A2075">
        <v>17</v>
      </c>
      <c r="B2075" t="s">
        <v>187</v>
      </c>
      <c r="C2075" t="s">
        <v>7221</v>
      </c>
      <c r="D2075">
        <v>6.29</v>
      </c>
      <c r="E2075" t="s">
        <v>72</v>
      </c>
      <c r="F2075" t="s">
        <v>47</v>
      </c>
      <c r="G2075">
        <v>10.54</v>
      </c>
      <c r="H2075">
        <v>2.04</v>
      </c>
      <c r="I2075">
        <v>4.25</v>
      </c>
      <c r="J2075">
        <v>18.0625</v>
      </c>
      <c r="K2075" t="str">
        <f>IFERROR(INDEX(Rosters!$C$2:$C$155,MATCH($B2075,Rosters!$B$2:$B$155,0)),"NA")</f>
        <v>seth</v>
      </c>
      <c r="L2075" t="str">
        <f t="shared" si="96"/>
        <v>seth17RB</v>
      </c>
      <c r="M2075">
        <f>COUNTIF(L$1:L2075,L2075)</f>
        <v>5</v>
      </c>
      <c r="N2075" t="str">
        <f t="shared" si="97"/>
        <v>seth17RB-5</v>
      </c>
      <c r="O2075">
        <f>COUNTIFS(F$1:F2075,F2075,A$1:A2075,A2075)</f>
        <v>43</v>
      </c>
      <c r="P2075" t="str">
        <f t="shared" si="98"/>
        <v>Latavius Murray17</v>
      </c>
    </row>
    <row r="2076" spans="1:16" x14ac:dyDescent="0.25">
      <c r="A2076">
        <v>6</v>
      </c>
      <c r="B2076" t="s">
        <v>160</v>
      </c>
      <c r="C2076" t="s">
        <v>7222</v>
      </c>
      <c r="D2076">
        <v>6.29</v>
      </c>
      <c r="E2076" t="s">
        <v>41</v>
      </c>
      <c r="F2076" t="s">
        <v>87</v>
      </c>
      <c r="G2076">
        <v>11.66</v>
      </c>
      <c r="H2076">
        <v>0.92</v>
      </c>
      <c r="I2076">
        <v>5.37</v>
      </c>
      <c r="J2076">
        <v>28.8369</v>
      </c>
      <c r="K2076" t="str">
        <f>IFERROR(INDEX(Rosters!$C$2:$C$155,MATCH($B2076,Rosters!$B$2:$B$155,0)),"NA")</f>
        <v>NA</v>
      </c>
      <c r="L2076" t="str">
        <f t="shared" si="96"/>
        <v>NA6WR</v>
      </c>
      <c r="M2076">
        <f>COUNTIF(L$1:L2076,L2076)</f>
        <v>3</v>
      </c>
      <c r="N2076" t="str">
        <f t="shared" si="97"/>
        <v>NA6WR-3</v>
      </c>
      <c r="O2076">
        <f>COUNTIFS(F$1:F2076,F2076,A$1:A2076,A2076)</f>
        <v>45</v>
      </c>
      <c r="P2076" t="str">
        <f t="shared" si="98"/>
        <v>Pierre Garcon6</v>
      </c>
    </row>
    <row r="2077" spans="1:16" x14ac:dyDescent="0.25">
      <c r="A2077">
        <v>14</v>
      </c>
      <c r="B2077" t="s">
        <v>160</v>
      </c>
      <c r="C2077" t="s">
        <v>7223</v>
      </c>
      <c r="D2077">
        <v>6.29</v>
      </c>
      <c r="E2077" t="s">
        <v>42</v>
      </c>
      <c r="F2077" t="s">
        <v>87</v>
      </c>
      <c r="G2077">
        <v>10.98</v>
      </c>
      <c r="H2077">
        <v>1.6</v>
      </c>
      <c r="I2077">
        <v>4.6900000000000004</v>
      </c>
      <c r="J2077">
        <v>21.996099999999998</v>
      </c>
      <c r="K2077" t="str">
        <f>IFERROR(INDEX(Rosters!$C$2:$C$155,MATCH($B2077,Rosters!$B$2:$B$155,0)),"NA")</f>
        <v>NA</v>
      </c>
      <c r="L2077" t="str">
        <f t="shared" si="96"/>
        <v>NA14WR</v>
      </c>
      <c r="M2077">
        <f>COUNTIF(L$1:L2077,L2077)</f>
        <v>5</v>
      </c>
      <c r="N2077" t="str">
        <f t="shared" si="97"/>
        <v>NA14WR-5</v>
      </c>
      <c r="O2077">
        <f>COUNTIFS(F$1:F2077,F2077,A$1:A2077,A2077)</f>
        <v>53</v>
      </c>
      <c r="P2077" t="str">
        <f t="shared" si="98"/>
        <v>Pierre Garcon14</v>
      </c>
    </row>
    <row r="2078" spans="1:16" x14ac:dyDescent="0.25">
      <c r="A2078">
        <v>14</v>
      </c>
      <c r="B2078" t="s">
        <v>1397</v>
      </c>
      <c r="C2078" t="s">
        <v>7224</v>
      </c>
      <c r="D2078">
        <v>6.28</v>
      </c>
      <c r="E2078" t="s">
        <v>34</v>
      </c>
      <c r="F2078" t="s">
        <v>87</v>
      </c>
      <c r="G2078">
        <v>11.49</v>
      </c>
      <c r="H2078">
        <v>1.07</v>
      </c>
      <c r="I2078">
        <v>5.21</v>
      </c>
      <c r="J2078">
        <v>27.144100000000002</v>
      </c>
      <c r="K2078" t="str">
        <f>IFERROR(INDEX(Rosters!$C$2:$C$155,MATCH($B2078,Rosters!$B$2:$B$155,0)),"NA")</f>
        <v>NA</v>
      </c>
      <c r="L2078" t="str">
        <f t="shared" si="96"/>
        <v>NA14WR</v>
      </c>
      <c r="M2078">
        <f>COUNTIF(L$1:L2078,L2078)</f>
        <v>6</v>
      </c>
      <c r="N2078" t="str">
        <f t="shared" si="97"/>
        <v>NA14WR-6</v>
      </c>
      <c r="O2078">
        <f>COUNTIFS(F$1:F2078,F2078,A$1:A2078,A2078)</f>
        <v>54</v>
      </c>
      <c r="P2078" t="str">
        <f t="shared" si="98"/>
        <v>Christian Kirk14</v>
      </c>
    </row>
    <row r="2079" spans="1:16" x14ac:dyDescent="0.25">
      <c r="A2079">
        <v>5</v>
      </c>
      <c r="B2079" t="s">
        <v>290</v>
      </c>
      <c r="C2079" t="s">
        <v>7225</v>
      </c>
      <c r="D2079">
        <v>6.28</v>
      </c>
      <c r="E2079" t="s">
        <v>31</v>
      </c>
      <c r="F2079" t="s">
        <v>47</v>
      </c>
      <c r="G2079">
        <v>11.62</v>
      </c>
      <c r="H2079">
        <v>0.94</v>
      </c>
      <c r="I2079">
        <v>5.34</v>
      </c>
      <c r="J2079">
        <v>28.515599999999999</v>
      </c>
      <c r="K2079" t="str">
        <f>IFERROR(INDEX(Rosters!$C$2:$C$155,MATCH($B2079,Rosters!$B$2:$B$155,0)),"NA")</f>
        <v>lucas</v>
      </c>
      <c r="L2079" t="str">
        <f t="shared" si="96"/>
        <v>lucas5RB</v>
      </c>
      <c r="M2079">
        <f>COUNTIF(L$1:L2079,L2079)</f>
        <v>5</v>
      </c>
      <c r="N2079" t="str">
        <f t="shared" si="97"/>
        <v>lucas5RB-5</v>
      </c>
      <c r="O2079">
        <f>COUNTIFS(F$1:F2079,F2079,A$1:A2079,A2079)</f>
        <v>42</v>
      </c>
      <c r="P2079" t="str">
        <f t="shared" si="98"/>
        <v>Kenyan Drake5</v>
      </c>
    </row>
    <row r="2080" spans="1:16" x14ac:dyDescent="0.25">
      <c r="A2080">
        <v>6</v>
      </c>
      <c r="B2080" t="s">
        <v>181</v>
      </c>
      <c r="C2080" t="s">
        <v>7226</v>
      </c>
      <c r="D2080">
        <v>6.28</v>
      </c>
      <c r="E2080" t="s">
        <v>58</v>
      </c>
      <c r="F2080" t="s">
        <v>114</v>
      </c>
      <c r="G2080">
        <v>9.6199999999999992</v>
      </c>
      <c r="H2080">
        <v>2.94</v>
      </c>
      <c r="I2080">
        <v>3.34</v>
      </c>
      <c r="J2080">
        <v>11.1556</v>
      </c>
      <c r="K2080" t="str">
        <f>IFERROR(INDEX(Rosters!$C$2:$C$155,MATCH($B2080,Rosters!$B$2:$B$155,0)),"NA")</f>
        <v>cory</v>
      </c>
      <c r="L2080" t="str">
        <f t="shared" si="96"/>
        <v>cory6TE</v>
      </c>
      <c r="M2080">
        <f>COUNTIF(L$1:L2080,L2080)</f>
        <v>1</v>
      </c>
      <c r="N2080" t="str">
        <f t="shared" si="97"/>
        <v>cory6TE-1</v>
      </c>
      <c r="O2080">
        <f>COUNTIFS(F$1:F2080,F2080,A$1:A2080,A2080)</f>
        <v>8</v>
      </c>
      <c r="P2080" t="str">
        <f t="shared" si="98"/>
        <v>Kyle Rudolph6</v>
      </c>
    </row>
    <row r="2081" spans="1:16" x14ac:dyDescent="0.25">
      <c r="A2081">
        <v>6</v>
      </c>
      <c r="B2081" t="s">
        <v>285</v>
      </c>
      <c r="C2081" t="s">
        <v>7227</v>
      </c>
      <c r="D2081">
        <v>6.28</v>
      </c>
      <c r="E2081" t="s">
        <v>19</v>
      </c>
      <c r="F2081" t="s">
        <v>47</v>
      </c>
      <c r="G2081">
        <v>11.07</v>
      </c>
      <c r="H2081">
        <v>1.49</v>
      </c>
      <c r="I2081">
        <v>4.79</v>
      </c>
      <c r="J2081">
        <v>22.944099999999999</v>
      </c>
      <c r="K2081" t="str">
        <f>IFERROR(INDEX(Rosters!$C$2:$C$155,MATCH($B2081,Rosters!$B$2:$B$155,0)),"NA")</f>
        <v>NA</v>
      </c>
      <c r="L2081" t="str">
        <f t="shared" si="96"/>
        <v>NA6RB</v>
      </c>
      <c r="M2081">
        <f>COUNTIF(L$1:L2081,L2081)</f>
        <v>3</v>
      </c>
      <c r="N2081" t="str">
        <f t="shared" si="97"/>
        <v>NA6RB-3</v>
      </c>
      <c r="O2081">
        <f>COUNTIFS(F$1:F2081,F2081,A$1:A2081,A2081)</f>
        <v>39</v>
      </c>
      <c r="P2081" t="str">
        <f t="shared" si="98"/>
        <v>Tarik Cohen6</v>
      </c>
    </row>
    <row r="2082" spans="1:16" x14ac:dyDescent="0.25">
      <c r="A2082">
        <v>3</v>
      </c>
      <c r="B2082" t="s">
        <v>1419</v>
      </c>
      <c r="C2082" t="s">
        <v>3713</v>
      </c>
      <c r="D2082">
        <v>6.27</v>
      </c>
      <c r="E2082" t="s">
        <v>73</v>
      </c>
      <c r="F2082" t="s">
        <v>87</v>
      </c>
      <c r="G2082">
        <v>10.76</v>
      </c>
      <c r="H2082">
        <v>1.78</v>
      </c>
      <c r="I2082">
        <v>4.49</v>
      </c>
      <c r="J2082">
        <v>20.1601</v>
      </c>
      <c r="K2082" t="str">
        <f>IFERROR(INDEX(Rosters!$C$2:$C$155,MATCH($B2082,Rosters!$B$2:$B$155,0)),"NA")</f>
        <v>chad</v>
      </c>
      <c r="L2082" t="str">
        <f t="shared" si="96"/>
        <v>chad3WR</v>
      </c>
      <c r="M2082">
        <f>COUNTIF(L$1:L2082,L2082)</f>
        <v>3</v>
      </c>
      <c r="N2082" t="str">
        <f t="shared" si="97"/>
        <v>chad3WR-3</v>
      </c>
      <c r="O2082">
        <f>COUNTIFS(F$1:F2082,F2082,A$1:A2082,A2082)</f>
        <v>42</v>
      </c>
      <c r="P2082" t="str">
        <f t="shared" si="98"/>
        <v>Antonio Callaway3</v>
      </c>
    </row>
    <row r="2083" spans="1:16" x14ac:dyDescent="0.25">
      <c r="A2083">
        <v>9</v>
      </c>
      <c r="B2083" t="s">
        <v>215</v>
      </c>
      <c r="C2083" t="s">
        <v>7228</v>
      </c>
      <c r="D2083">
        <v>6.27</v>
      </c>
      <c r="E2083" t="s">
        <v>24</v>
      </c>
      <c r="F2083" t="s">
        <v>114</v>
      </c>
      <c r="G2083">
        <v>10.89</v>
      </c>
      <c r="H2083">
        <v>1.65</v>
      </c>
      <c r="I2083">
        <v>4.62</v>
      </c>
      <c r="J2083">
        <v>21.3444</v>
      </c>
      <c r="K2083" t="str">
        <f>IFERROR(INDEX(Rosters!$C$2:$C$155,MATCH($B2083,Rosters!$B$2:$B$155,0)),"NA")</f>
        <v>NA</v>
      </c>
      <c r="L2083" t="str">
        <f t="shared" si="96"/>
        <v>NA9TE</v>
      </c>
      <c r="M2083">
        <f>COUNTIF(L$1:L2083,L2083)</f>
        <v>1</v>
      </c>
      <c r="N2083" t="str">
        <f t="shared" si="97"/>
        <v>NA9TE-1</v>
      </c>
      <c r="O2083">
        <f>COUNTIFS(F$1:F2083,F2083,A$1:A2083,A2083)</f>
        <v>8</v>
      </c>
      <c r="P2083" t="str">
        <f t="shared" si="98"/>
        <v>David Njoku9</v>
      </c>
    </row>
    <row r="2084" spans="1:16" x14ac:dyDescent="0.25">
      <c r="A2084">
        <v>5</v>
      </c>
      <c r="B2084" t="s">
        <v>128</v>
      </c>
      <c r="C2084" t="s">
        <v>7229</v>
      </c>
      <c r="D2084">
        <v>6.27</v>
      </c>
      <c r="E2084" t="s">
        <v>31</v>
      </c>
      <c r="F2084" t="s">
        <v>47</v>
      </c>
      <c r="G2084">
        <v>11.03</v>
      </c>
      <c r="H2084">
        <v>1.51</v>
      </c>
      <c r="I2084">
        <v>4.76</v>
      </c>
      <c r="J2084">
        <v>22.657599999999999</v>
      </c>
      <c r="K2084" t="str">
        <f>IFERROR(INDEX(Rosters!$C$2:$C$155,MATCH($B2084,Rosters!$B$2:$B$155,0)),"NA")</f>
        <v>NA</v>
      </c>
      <c r="L2084" t="str">
        <f t="shared" si="96"/>
        <v>NA5RB</v>
      </c>
      <c r="M2084">
        <f>COUNTIF(L$1:L2084,L2084)</f>
        <v>5</v>
      </c>
      <c r="N2084" t="str">
        <f t="shared" si="97"/>
        <v>NA5RB-5</v>
      </c>
      <c r="O2084">
        <f>COUNTIFS(F$1:F2084,F2084,A$1:A2084,A2084)</f>
        <v>43</v>
      </c>
      <c r="P2084" t="str">
        <f t="shared" si="98"/>
        <v>Frank Gore5</v>
      </c>
    </row>
    <row r="2085" spans="1:16" x14ac:dyDescent="0.25">
      <c r="A2085">
        <v>11</v>
      </c>
      <c r="B2085" t="s">
        <v>208</v>
      </c>
      <c r="C2085" t="s">
        <v>7230</v>
      </c>
      <c r="D2085">
        <v>6.27</v>
      </c>
      <c r="E2085" t="s">
        <v>58</v>
      </c>
      <c r="F2085" t="s">
        <v>114</v>
      </c>
      <c r="G2085">
        <v>10.42</v>
      </c>
      <c r="H2085">
        <v>2.12</v>
      </c>
      <c r="I2085">
        <v>4.1500000000000004</v>
      </c>
      <c r="J2085">
        <v>17.2225</v>
      </c>
      <c r="K2085" t="str">
        <f>IFERROR(INDEX(Rosters!$C$2:$C$155,MATCH($B2085,Rosters!$B$2:$B$155,0)),"NA")</f>
        <v>chad</v>
      </c>
      <c r="L2085" t="str">
        <f t="shared" si="96"/>
        <v>chad11TE</v>
      </c>
      <c r="M2085">
        <f>COUNTIF(L$1:L2085,L2085)</f>
        <v>1</v>
      </c>
      <c r="N2085" t="str">
        <f t="shared" si="97"/>
        <v>chad11TE-1</v>
      </c>
      <c r="O2085">
        <f>COUNTIFS(F$1:F2085,F2085,A$1:A2085,A2085)</f>
        <v>6</v>
      </c>
      <c r="P2085" t="str">
        <f t="shared" si="98"/>
        <v>Jared Cook11</v>
      </c>
    </row>
    <row r="2086" spans="1:16" x14ac:dyDescent="0.25">
      <c r="A2086">
        <v>8</v>
      </c>
      <c r="B2086" t="s">
        <v>168</v>
      </c>
      <c r="C2086" t="s">
        <v>7231</v>
      </c>
      <c r="D2086">
        <v>6.27</v>
      </c>
      <c r="E2086" t="s">
        <v>25</v>
      </c>
      <c r="F2086" t="s">
        <v>87</v>
      </c>
      <c r="G2086">
        <v>11.16</v>
      </c>
      <c r="H2086">
        <v>1.38</v>
      </c>
      <c r="I2086">
        <v>4.8899999999999997</v>
      </c>
      <c r="J2086">
        <v>23.912099999999999</v>
      </c>
      <c r="K2086" t="str">
        <f>IFERROR(INDEX(Rosters!$C$2:$C$155,MATCH($B2086,Rosters!$B$2:$B$155,0)),"NA")</f>
        <v>NA</v>
      </c>
      <c r="L2086" t="str">
        <f t="shared" si="96"/>
        <v>NA8WR</v>
      </c>
      <c r="M2086">
        <f>COUNTIF(L$1:L2086,L2086)</f>
        <v>3</v>
      </c>
      <c r="N2086" t="str">
        <f t="shared" si="97"/>
        <v>NA8WR-3</v>
      </c>
      <c r="O2086">
        <f>COUNTIFS(F$1:F2086,F2086,A$1:A2086,A2086)</f>
        <v>45</v>
      </c>
      <c r="P2086" t="str">
        <f t="shared" si="98"/>
        <v>Ted Ginn Jr.8</v>
      </c>
    </row>
    <row r="2087" spans="1:16" x14ac:dyDescent="0.25">
      <c r="A2087">
        <v>13</v>
      </c>
      <c r="B2087" t="s">
        <v>1397</v>
      </c>
      <c r="C2087" t="s">
        <v>7232</v>
      </c>
      <c r="D2087">
        <v>6.26</v>
      </c>
      <c r="E2087" t="s">
        <v>41</v>
      </c>
      <c r="F2087" t="s">
        <v>87</v>
      </c>
      <c r="G2087">
        <v>11.35</v>
      </c>
      <c r="H2087">
        <v>1.17</v>
      </c>
      <c r="I2087">
        <v>5.09</v>
      </c>
      <c r="J2087">
        <v>25.908100000000001</v>
      </c>
      <c r="K2087" t="str">
        <f>IFERROR(INDEX(Rosters!$C$2:$C$155,MATCH($B2087,Rosters!$B$2:$B$155,0)),"NA")</f>
        <v>NA</v>
      </c>
      <c r="L2087" t="str">
        <f t="shared" si="96"/>
        <v>NA13WR</v>
      </c>
      <c r="M2087">
        <f>COUNTIF(L$1:L2087,L2087)</f>
        <v>6</v>
      </c>
      <c r="N2087" t="str">
        <f t="shared" si="97"/>
        <v>NA13WR-6</v>
      </c>
      <c r="O2087">
        <f>COUNTIFS(F$1:F2087,F2087,A$1:A2087,A2087)</f>
        <v>52</v>
      </c>
      <c r="P2087" t="str">
        <f t="shared" si="98"/>
        <v>Christian Kirk13</v>
      </c>
    </row>
    <row r="2088" spans="1:16" x14ac:dyDescent="0.25">
      <c r="A2088">
        <v>13</v>
      </c>
      <c r="B2088" t="s">
        <v>1387</v>
      </c>
      <c r="C2088" t="s">
        <v>7233</v>
      </c>
      <c r="D2088">
        <v>6.26</v>
      </c>
      <c r="E2088" t="s">
        <v>60</v>
      </c>
      <c r="F2088" t="s">
        <v>47</v>
      </c>
      <c r="G2088">
        <v>10.92</v>
      </c>
      <c r="H2088">
        <v>1.6</v>
      </c>
      <c r="I2088">
        <v>4.66</v>
      </c>
      <c r="J2088">
        <v>21.715599999999998</v>
      </c>
      <c r="K2088" t="str">
        <f>IFERROR(INDEX(Rosters!$C$2:$C$155,MATCH($B2088,Rosters!$B$2:$B$155,0)),"NA")</f>
        <v>NA</v>
      </c>
      <c r="L2088" t="str">
        <f t="shared" si="96"/>
        <v>NA13RB</v>
      </c>
      <c r="M2088">
        <f>COUNTIF(L$1:L2088,L2088)</f>
        <v>7</v>
      </c>
      <c r="N2088" t="str">
        <f t="shared" si="97"/>
        <v>NA13RB-7</v>
      </c>
      <c r="O2088">
        <f>COUNTIFS(F$1:F2088,F2088,A$1:A2088,A2088)</f>
        <v>48</v>
      </c>
      <c r="P2088" t="str">
        <f t="shared" si="98"/>
        <v>Corey Clement13</v>
      </c>
    </row>
    <row r="2089" spans="1:16" x14ac:dyDescent="0.25">
      <c r="A2089">
        <v>10</v>
      </c>
      <c r="B2089" t="s">
        <v>98</v>
      </c>
      <c r="C2089" t="s">
        <v>7234</v>
      </c>
      <c r="D2089">
        <v>6.26</v>
      </c>
      <c r="E2089" t="s">
        <v>37</v>
      </c>
      <c r="F2089" t="s">
        <v>87</v>
      </c>
      <c r="G2089">
        <v>11.77</v>
      </c>
      <c r="H2089">
        <v>0.75</v>
      </c>
      <c r="I2089">
        <v>5.51</v>
      </c>
      <c r="J2089">
        <v>30.360099999999999</v>
      </c>
      <c r="K2089" t="str">
        <f>IFERROR(INDEX(Rosters!$C$2:$C$155,MATCH($B2089,Rosters!$B$2:$B$155,0)),"NA")</f>
        <v>seth</v>
      </c>
      <c r="L2089" t="str">
        <f t="shared" si="96"/>
        <v>seth10WR</v>
      </c>
      <c r="M2089">
        <f>COUNTIF(L$1:L2089,L2089)</f>
        <v>4</v>
      </c>
      <c r="N2089" t="str">
        <f t="shared" si="97"/>
        <v>seth10WR-4</v>
      </c>
      <c r="O2089">
        <f>COUNTIFS(F$1:F2089,F2089,A$1:A2089,A2089)</f>
        <v>43</v>
      </c>
      <c r="P2089" t="str">
        <f t="shared" si="98"/>
        <v>Jordy Nelson10</v>
      </c>
    </row>
    <row r="2090" spans="1:16" x14ac:dyDescent="0.25">
      <c r="A2090">
        <v>15</v>
      </c>
      <c r="B2090" t="s">
        <v>203</v>
      </c>
      <c r="C2090" t="s">
        <v>7235</v>
      </c>
      <c r="D2090">
        <v>6.26</v>
      </c>
      <c r="E2090" t="s">
        <v>36</v>
      </c>
      <c r="F2090" t="s">
        <v>87</v>
      </c>
      <c r="G2090">
        <v>10.71</v>
      </c>
      <c r="H2090">
        <v>1.81</v>
      </c>
      <c r="I2090">
        <v>4.45</v>
      </c>
      <c r="J2090">
        <v>19.802499999999998</v>
      </c>
      <c r="K2090" t="str">
        <f>IFERROR(INDEX(Rosters!$C$2:$C$155,MATCH($B2090,Rosters!$B$2:$B$155,0)),"NA")</f>
        <v>NA</v>
      </c>
      <c r="L2090" t="str">
        <f t="shared" si="96"/>
        <v>NA15WR</v>
      </c>
      <c r="M2090">
        <f>COUNTIF(L$1:L2090,L2090)</f>
        <v>4</v>
      </c>
      <c r="N2090" t="str">
        <f t="shared" si="97"/>
        <v>NA15WR-4</v>
      </c>
      <c r="O2090">
        <f>COUNTIFS(F$1:F2090,F2090,A$1:A2090,A2090)</f>
        <v>49</v>
      </c>
      <c r="P2090" t="str">
        <f t="shared" si="98"/>
        <v>Robby Anderson15</v>
      </c>
    </row>
    <row r="2091" spans="1:16" x14ac:dyDescent="0.25">
      <c r="A2091">
        <v>17</v>
      </c>
      <c r="B2091" t="s">
        <v>117</v>
      </c>
      <c r="C2091" t="s">
        <v>7236</v>
      </c>
      <c r="D2091">
        <v>6.25</v>
      </c>
      <c r="E2091" t="s">
        <v>423</v>
      </c>
      <c r="F2091" t="s">
        <v>47</v>
      </c>
      <c r="G2091">
        <v>10.93</v>
      </c>
      <c r="H2091">
        <v>1.57</v>
      </c>
      <c r="I2091">
        <v>4.68</v>
      </c>
      <c r="J2091">
        <v>21.9024</v>
      </c>
      <c r="K2091" t="str">
        <f>IFERROR(INDEX(Rosters!$C$2:$C$155,MATCH($B2091,Rosters!$B$2:$B$155,0)),"NA")</f>
        <v>chad</v>
      </c>
      <c r="L2091" t="str">
        <f t="shared" si="96"/>
        <v>chad17RB</v>
      </c>
      <c r="M2091">
        <f>COUNTIF(L$1:L2091,L2091)</f>
        <v>5</v>
      </c>
      <c r="N2091" t="str">
        <f t="shared" si="97"/>
        <v>chad17RB-5</v>
      </c>
      <c r="O2091">
        <f>COUNTIFS(F$1:F2091,F2091,A$1:A2091,A2091)</f>
        <v>44</v>
      </c>
      <c r="P2091" t="str">
        <f t="shared" si="98"/>
        <v>Isaiah Crowell17</v>
      </c>
    </row>
    <row r="2092" spans="1:16" x14ac:dyDescent="0.25">
      <c r="A2092">
        <v>15</v>
      </c>
      <c r="B2092" t="s">
        <v>290</v>
      </c>
      <c r="C2092" t="s">
        <v>7237</v>
      </c>
      <c r="D2092">
        <v>6.25</v>
      </c>
      <c r="E2092" t="s">
        <v>25</v>
      </c>
      <c r="F2092" t="s">
        <v>47</v>
      </c>
      <c r="G2092">
        <v>11.3</v>
      </c>
      <c r="H2092">
        <v>1.2</v>
      </c>
      <c r="I2092">
        <v>5.05</v>
      </c>
      <c r="J2092">
        <v>25.502500000000001</v>
      </c>
      <c r="K2092" t="str">
        <f>IFERROR(INDEX(Rosters!$C$2:$C$155,MATCH($B2092,Rosters!$B$2:$B$155,0)),"NA")</f>
        <v>lucas</v>
      </c>
      <c r="L2092" t="str">
        <f t="shared" si="96"/>
        <v>lucas15RB</v>
      </c>
      <c r="M2092">
        <f>COUNTIF(L$1:L2092,L2092)</f>
        <v>5</v>
      </c>
      <c r="N2092" t="str">
        <f t="shared" si="97"/>
        <v>lucas15RB-5</v>
      </c>
      <c r="O2092">
        <f>COUNTIFS(F$1:F2092,F2092,A$1:A2092,A2092)</f>
        <v>42</v>
      </c>
      <c r="P2092" t="str">
        <f t="shared" si="98"/>
        <v>Kenyan Drake15</v>
      </c>
    </row>
    <row r="2093" spans="1:16" x14ac:dyDescent="0.25">
      <c r="A2093">
        <v>13</v>
      </c>
      <c r="B2093" t="s">
        <v>281</v>
      </c>
      <c r="C2093" t="s">
        <v>7238</v>
      </c>
      <c r="D2093">
        <v>6.24</v>
      </c>
      <c r="E2093" t="s">
        <v>58</v>
      </c>
      <c r="F2093" t="s">
        <v>47</v>
      </c>
      <c r="G2093">
        <v>11.12</v>
      </c>
      <c r="H2093">
        <v>1.36</v>
      </c>
      <c r="I2093">
        <v>4.88</v>
      </c>
      <c r="J2093">
        <v>23.814399999999999</v>
      </c>
      <c r="K2093" t="str">
        <f>IFERROR(INDEX(Rosters!$C$2:$C$155,MATCH($B2093,Rosters!$B$2:$B$155,0)),"NA")</f>
        <v>aj</v>
      </c>
      <c r="L2093" t="str">
        <f t="shared" si="96"/>
        <v>aj13RB</v>
      </c>
      <c r="M2093">
        <f>COUNTIF(L$1:L2093,L2093)</f>
        <v>5</v>
      </c>
      <c r="N2093" t="str">
        <f t="shared" si="97"/>
        <v>aj13RB-5</v>
      </c>
      <c r="O2093">
        <f>COUNTIFS(F$1:F2093,F2093,A$1:A2093,A2093)</f>
        <v>49</v>
      </c>
      <c r="P2093" t="str">
        <f t="shared" si="98"/>
        <v>Aaron Jones13</v>
      </c>
    </row>
    <row r="2094" spans="1:16" x14ac:dyDescent="0.25">
      <c r="A2094">
        <v>14</v>
      </c>
      <c r="B2094" t="s">
        <v>235</v>
      </c>
      <c r="C2094" t="s">
        <v>7239</v>
      </c>
      <c r="D2094">
        <v>6.24</v>
      </c>
      <c r="E2094" t="s">
        <v>60</v>
      </c>
      <c r="F2094" t="s">
        <v>114</v>
      </c>
      <c r="G2094">
        <v>11.23</v>
      </c>
      <c r="H2094">
        <v>1.25</v>
      </c>
      <c r="I2094">
        <v>4.99</v>
      </c>
      <c r="J2094">
        <v>24.900099999999998</v>
      </c>
      <c r="K2094" t="str">
        <f>IFERROR(INDEX(Rosters!$C$2:$C$155,MATCH($B2094,Rosters!$B$2:$B$155,0)),"NA")</f>
        <v>devon</v>
      </c>
      <c r="L2094" t="str">
        <f t="shared" si="96"/>
        <v>devon14TE</v>
      </c>
      <c r="M2094">
        <f>COUNTIF(L$1:L2094,L2094)</f>
        <v>1</v>
      </c>
      <c r="N2094" t="str">
        <f t="shared" si="97"/>
        <v>devon14TE-1</v>
      </c>
      <c r="O2094">
        <f>COUNTIFS(F$1:F2094,F2094,A$1:A2094,A2094)</f>
        <v>8</v>
      </c>
      <c r="P2094" t="str">
        <f t="shared" si="98"/>
        <v>Evan Engram14</v>
      </c>
    </row>
    <row r="2095" spans="1:16" x14ac:dyDescent="0.25">
      <c r="A2095">
        <v>12</v>
      </c>
      <c r="B2095" t="s">
        <v>196</v>
      </c>
      <c r="C2095" t="s">
        <v>7240</v>
      </c>
      <c r="D2095">
        <v>6.24</v>
      </c>
      <c r="E2095" t="s">
        <v>52</v>
      </c>
      <c r="F2095" t="s">
        <v>47</v>
      </c>
      <c r="G2095">
        <v>9.7799999999999994</v>
      </c>
      <c r="H2095">
        <v>2.7</v>
      </c>
      <c r="I2095">
        <v>3.54</v>
      </c>
      <c r="J2095">
        <v>12.531599999999999</v>
      </c>
      <c r="K2095" t="str">
        <f>IFERROR(INDEX(Rosters!$C$2:$C$155,MATCH($B2095,Rosters!$B$2:$B$155,0)),"NA")</f>
        <v>NA</v>
      </c>
      <c r="L2095" t="str">
        <f t="shared" si="96"/>
        <v>NA12RB</v>
      </c>
      <c r="M2095">
        <f>COUNTIF(L$1:L2095,L2095)</f>
        <v>3</v>
      </c>
      <c r="N2095" t="str">
        <f t="shared" si="97"/>
        <v>NA12RB-3</v>
      </c>
      <c r="O2095">
        <f>COUNTIFS(F$1:F2095,F2095,A$1:A2095,A2095)</f>
        <v>39</v>
      </c>
      <c r="P2095" t="str">
        <f t="shared" si="98"/>
        <v>Giovani Bernard12</v>
      </c>
    </row>
    <row r="2096" spans="1:16" x14ac:dyDescent="0.25">
      <c r="A2096">
        <v>15</v>
      </c>
      <c r="B2096" t="s">
        <v>162</v>
      </c>
      <c r="C2096" t="s">
        <v>7241</v>
      </c>
      <c r="D2096">
        <v>6.24</v>
      </c>
      <c r="E2096" t="s">
        <v>72</v>
      </c>
      <c r="F2096" t="s">
        <v>114</v>
      </c>
      <c r="G2096">
        <v>11.01</v>
      </c>
      <c r="H2096">
        <v>1.47</v>
      </c>
      <c r="I2096">
        <v>4.7699999999999996</v>
      </c>
      <c r="J2096">
        <v>22.7529</v>
      </c>
      <c r="K2096" t="str">
        <f>IFERROR(INDEX(Rosters!$C$2:$C$155,MATCH($B2096,Rosters!$B$2:$B$155,0)),"NA")</f>
        <v>seth</v>
      </c>
      <c r="L2096" t="str">
        <f t="shared" si="96"/>
        <v>seth15TE</v>
      </c>
      <c r="M2096">
        <f>COUNTIF(L$1:L2096,L2096)</f>
        <v>1</v>
      </c>
      <c r="N2096" t="str">
        <f t="shared" si="97"/>
        <v>seth15TE-1</v>
      </c>
      <c r="O2096">
        <f>COUNTIFS(F$1:F2096,F2096,A$1:A2096,A2096)</f>
        <v>6</v>
      </c>
      <c r="P2096" t="str">
        <f t="shared" si="98"/>
        <v>Jimmy Graham15</v>
      </c>
    </row>
    <row r="2097" spans="1:16" x14ac:dyDescent="0.25">
      <c r="A2097">
        <v>12</v>
      </c>
      <c r="B2097" t="s">
        <v>187</v>
      </c>
      <c r="C2097" t="s">
        <v>7242</v>
      </c>
      <c r="D2097">
        <v>6.24</v>
      </c>
      <c r="E2097" t="s">
        <v>41</v>
      </c>
      <c r="F2097" t="s">
        <v>47</v>
      </c>
      <c r="G2097">
        <v>10.42</v>
      </c>
      <c r="H2097">
        <v>2.06</v>
      </c>
      <c r="I2097">
        <v>4.18</v>
      </c>
      <c r="J2097">
        <v>17.4724</v>
      </c>
      <c r="K2097" t="str">
        <f>IFERROR(INDEX(Rosters!$C$2:$C$155,MATCH($B2097,Rosters!$B$2:$B$155,0)),"NA")</f>
        <v>seth</v>
      </c>
      <c r="L2097" t="str">
        <f t="shared" si="96"/>
        <v>seth12RB</v>
      </c>
      <c r="M2097">
        <f>COUNTIF(L$1:L2097,L2097)</f>
        <v>4</v>
      </c>
      <c r="N2097" t="str">
        <f t="shared" si="97"/>
        <v>seth12RB-4</v>
      </c>
      <c r="O2097">
        <f>COUNTIFS(F$1:F2097,F2097,A$1:A2097,A2097)</f>
        <v>40</v>
      </c>
      <c r="P2097" t="str">
        <f t="shared" si="98"/>
        <v>Latavius Murray12</v>
      </c>
    </row>
    <row r="2098" spans="1:16" x14ac:dyDescent="0.25">
      <c r="A2098">
        <v>13</v>
      </c>
      <c r="B2098" t="s">
        <v>137</v>
      </c>
      <c r="C2098" t="s">
        <v>7243</v>
      </c>
      <c r="D2098">
        <v>6.23</v>
      </c>
      <c r="E2098" t="s">
        <v>50</v>
      </c>
      <c r="F2098" t="s">
        <v>87</v>
      </c>
      <c r="G2098">
        <v>10.71</v>
      </c>
      <c r="H2098">
        <v>1.75</v>
      </c>
      <c r="I2098">
        <v>4.4800000000000004</v>
      </c>
      <c r="J2098">
        <v>20.070399999999999</v>
      </c>
      <c r="K2098" t="str">
        <f>IFERROR(INDEX(Rosters!$C$2:$C$155,MATCH($B2098,Rosters!$B$2:$B$155,0)),"NA")</f>
        <v>lucas</v>
      </c>
      <c r="L2098" t="str">
        <f t="shared" si="96"/>
        <v>lucas13WR</v>
      </c>
      <c r="M2098">
        <f>COUNTIF(L$1:L2098,L2098)</f>
        <v>4</v>
      </c>
      <c r="N2098" t="str">
        <f t="shared" si="97"/>
        <v>lucas13WR-4</v>
      </c>
      <c r="O2098">
        <f>COUNTIFS(F$1:F2098,F2098,A$1:A2098,A2098)</f>
        <v>53</v>
      </c>
      <c r="P2098" t="str">
        <f t="shared" si="98"/>
        <v>Jamison Crowder13</v>
      </c>
    </row>
    <row r="2099" spans="1:16" x14ac:dyDescent="0.25">
      <c r="A2099">
        <v>5</v>
      </c>
      <c r="B2099" t="s">
        <v>160</v>
      </c>
      <c r="C2099" t="s">
        <v>7244</v>
      </c>
      <c r="D2099">
        <v>6.23</v>
      </c>
      <c r="E2099" t="s">
        <v>58</v>
      </c>
      <c r="F2099" t="s">
        <v>87</v>
      </c>
      <c r="G2099">
        <v>11.26</v>
      </c>
      <c r="H2099">
        <v>1.2</v>
      </c>
      <c r="I2099">
        <v>5.03</v>
      </c>
      <c r="J2099">
        <v>25.300899999999999</v>
      </c>
      <c r="K2099" t="str">
        <f>IFERROR(INDEX(Rosters!$C$2:$C$155,MATCH($B2099,Rosters!$B$2:$B$155,0)),"NA")</f>
        <v>NA</v>
      </c>
      <c r="L2099" t="str">
        <f t="shared" si="96"/>
        <v>NA5WR</v>
      </c>
      <c r="M2099">
        <f>COUNTIF(L$1:L2099,L2099)</f>
        <v>4</v>
      </c>
      <c r="N2099" t="str">
        <f t="shared" si="97"/>
        <v>NA5WR-4</v>
      </c>
      <c r="O2099">
        <f>COUNTIFS(F$1:F2099,F2099,A$1:A2099,A2099)</f>
        <v>48</v>
      </c>
      <c r="P2099" t="str">
        <f t="shared" si="98"/>
        <v>Pierre Garcon5</v>
      </c>
    </row>
    <row r="2100" spans="1:16" x14ac:dyDescent="0.25">
      <c r="A2100">
        <v>10</v>
      </c>
      <c r="B2100" t="s">
        <v>118</v>
      </c>
      <c r="C2100" t="s">
        <v>7245</v>
      </c>
      <c r="D2100">
        <v>6.22</v>
      </c>
      <c r="E2100" t="s">
        <v>17</v>
      </c>
      <c r="F2100" t="s">
        <v>114</v>
      </c>
      <c r="G2100">
        <v>11.65</v>
      </c>
      <c r="H2100">
        <v>0.79</v>
      </c>
      <c r="I2100">
        <v>5.43</v>
      </c>
      <c r="J2100">
        <v>29.4849</v>
      </c>
      <c r="K2100" t="str">
        <f>IFERROR(INDEX(Rosters!$C$2:$C$155,MATCH($B2100,Rosters!$B$2:$B$155,0)),"NA")</f>
        <v>matty</v>
      </c>
      <c r="L2100" t="str">
        <f t="shared" si="96"/>
        <v>matty10TE</v>
      </c>
      <c r="M2100">
        <f>COUNTIF(L$1:L2100,L2100)</f>
        <v>1</v>
      </c>
      <c r="N2100" t="str">
        <f t="shared" si="97"/>
        <v>matty10TE-1</v>
      </c>
      <c r="O2100">
        <f>COUNTIFS(F$1:F2100,F2100,A$1:A2100,A2100)</f>
        <v>8</v>
      </c>
      <c r="P2100" t="str">
        <f t="shared" si="98"/>
        <v>Jordan Reed10</v>
      </c>
    </row>
    <row r="2101" spans="1:16" x14ac:dyDescent="0.25">
      <c r="A2101">
        <v>16</v>
      </c>
      <c r="B2101" t="s">
        <v>145</v>
      </c>
      <c r="C2101" t="s">
        <v>7246</v>
      </c>
      <c r="D2101">
        <v>6.22</v>
      </c>
      <c r="E2101" t="s">
        <v>74</v>
      </c>
      <c r="F2101" t="s">
        <v>47</v>
      </c>
      <c r="G2101">
        <v>11.16</v>
      </c>
      <c r="H2101">
        <v>1.28</v>
      </c>
      <c r="I2101">
        <v>4.9400000000000004</v>
      </c>
      <c r="J2101">
        <v>24.403600000000001</v>
      </c>
      <c r="K2101" t="str">
        <f>IFERROR(INDEX(Rosters!$C$2:$C$155,MATCH($B2101,Rosters!$B$2:$B$155,0)),"NA")</f>
        <v>lucas</v>
      </c>
      <c r="L2101" t="str">
        <f t="shared" si="96"/>
        <v>lucas16RB</v>
      </c>
      <c r="M2101">
        <f>COUNTIF(L$1:L2101,L2101)</f>
        <v>4</v>
      </c>
      <c r="N2101" t="str">
        <f t="shared" si="97"/>
        <v>lucas16RB-4</v>
      </c>
      <c r="O2101">
        <f>COUNTIFS(F$1:F2101,F2101,A$1:A2101,A2101)</f>
        <v>44</v>
      </c>
      <c r="P2101" t="str">
        <f t="shared" si="98"/>
        <v>Tevin Coleman16</v>
      </c>
    </row>
    <row r="2102" spans="1:16" x14ac:dyDescent="0.25">
      <c r="A2102">
        <v>16</v>
      </c>
      <c r="B2102" t="s">
        <v>180</v>
      </c>
      <c r="C2102" t="s">
        <v>7247</v>
      </c>
      <c r="D2102">
        <v>6.22</v>
      </c>
      <c r="E2102" t="s">
        <v>24</v>
      </c>
      <c r="F2102" t="s">
        <v>87</v>
      </c>
      <c r="G2102">
        <v>10.24</v>
      </c>
      <c r="H2102">
        <v>2.2000000000000002</v>
      </c>
      <c r="I2102">
        <v>4.0199999999999996</v>
      </c>
      <c r="J2102">
        <v>16.160399999999999</v>
      </c>
      <c r="K2102" t="str">
        <f>IFERROR(INDEX(Rosters!$C$2:$C$155,MATCH($B2102,Rosters!$B$2:$B$155,0)),"NA")</f>
        <v>NA</v>
      </c>
      <c r="L2102" t="str">
        <f t="shared" si="96"/>
        <v>NA16WR</v>
      </c>
      <c r="M2102">
        <f>COUNTIF(L$1:L2102,L2102)</f>
        <v>3</v>
      </c>
      <c r="N2102" t="str">
        <f t="shared" si="97"/>
        <v>NA16WR-3</v>
      </c>
      <c r="O2102">
        <f>COUNTIFS(F$1:F2102,F2102,A$1:A2102,A2102)</f>
        <v>50</v>
      </c>
      <c r="P2102" t="str">
        <f t="shared" si="98"/>
        <v>Tyler Lockett16</v>
      </c>
    </row>
    <row r="2103" spans="1:16" x14ac:dyDescent="0.25">
      <c r="A2103">
        <v>12</v>
      </c>
      <c r="B2103" t="s">
        <v>1373</v>
      </c>
      <c r="C2103" t="s">
        <v>7248</v>
      </c>
      <c r="D2103">
        <v>6.21</v>
      </c>
      <c r="E2103" t="s">
        <v>58</v>
      </c>
      <c r="F2103" t="s">
        <v>47</v>
      </c>
      <c r="G2103">
        <v>11.59</v>
      </c>
      <c r="H2103">
        <v>0.83</v>
      </c>
      <c r="I2103">
        <v>5.38</v>
      </c>
      <c r="J2103">
        <v>28.944400000000002</v>
      </c>
      <c r="K2103" t="str">
        <f>IFERROR(INDEX(Rosters!$C$2:$C$155,MATCH($B2103,Rosters!$B$2:$B$155,0)),"NA")</f>
        <v>matty</v>
      </c>
      <c r="L2103" t="str">
        <f t="shared" si="96"/>
        <v>matty12RB</v>
      </c>
      <c r="M2103">
        <f>COUNTIF(L$1:L2103,L2103)</f>
        <v>4</v>
      </c>
      <c r="N2103" t="str">
        <f t="shared" si="97"/>
        <v>matty12RB-4</v>
      </c>
      <c r="O2103">
        <f>COUNTIFS(F$1:F2103,F2103,A$1:A2103,A2103)</f>
        <v>41</v>
      </c>
      <c r="P2103" t="str">
        <f t="shared" si="98"/>
        <v>Austin Ekeler12</v>
      </c>
    </row>
    <row r="2104" spans="1:16" x14ac:dyDescent="0.25">
      <c r="A2104">
        <v>3</v>
      </c>
      <c r="B2104" t="s">
        <v>178</v>
      </c>
      <c r="C2104">
        <f>-0.05-12.47</f>
        <v>-12.520000000000001</v>
      </c>
      <c r="D2104">
        <v>6.21</v>
      </c>
      <c r="E2104" t="s">
        <v>50</v>
      </c>
      <c r="F2104" t="s">
        <v>114</v>
      </c>
      <c r="G2104">
        <v>12.47</v>
      </c>
      <c r="H2104">
        <v>-0.05</v>
      </c>
      <c r="I2104">
        <v>6.26</v>
      </c>
      <c r="J2104">
        <v>39.187600000000003</v>
      </c>
      <c r="K2104" t="str">
        <f>IFERROR(INDEX(Rosters!$C$2:$C$155,MATCH($B2104,Rosters!$B$2:$B$155,0)),"NA")</f>
        <v>devon</v>
      </c>
      <c r="L2104" t="str">
        <f t="shared" si="96"/>
        <v>devon3TE</v>
      </c>
      <c r="M2104">
        <f>COUNTIF(L$1:L2104,L2104)</f>
        <v>2</v>
      </c>
      <c r="N2104" t="str">
        <f t="shared" si="97"/>
        <v>devon3TE-2</v>
      </c>
      <c r="O2104">
        <f>COUNTIFS(F$1:F2104,F2104,A$1:A2104,A2104)</f>
        <v>10</v>
      </c>
      <c r="P2104" t="str">
        <f t="shared" si="98"/>
        <v>Eric Ebron3</v>
      </c>
    </row>
    <row r="2105" spans="1:16" x14ac:dyDescent="0.25">
      <c r="A2105">
        <v>11</v>
      </c>
      <c r="B2105" t="s">
        <v>170</v>
      </c>
      <c r="C2105" t="s">
        <v>7249</v>
      </c>
      <c r="D2105">
        <v>6.21</v>
      </c>
      <c r="E2105" t="s">
        <v>74</v>
      </c>
      <c r="F2105" t="s">
        <v>47</v>
      </c>
      <c r="G2105">
        <v>11.04</v>
      </c>
      <c r="H2105">
        <v>1.38</v>
      </c>
      <c r="I2105">
        <v>4.83</v>
      </c>
      <c r="J2105">
        <v>23.328900000000001</v>
      </c>
      <c r="K2105" t="str">
        <f>IFERROR(INDEX(Rosters!$C$2:$C$155,MATCH($B2105,Rosters!$B$2:$B$155,0)),"NA")</f>
        <v>NA</v>
      </c>
      <c r="L2105" t="str">
        <f t="shared" si="96"/>
        <v>NA11RB</v>
      </c>
      <c r="M2105">
        <f>COUNTIF(L$1:L2105,L2105)</f>
        <v>2</v>
      </c>
      <c r="N2105" t="str">
        <f t="shared" si="97"/>
        <v>NA11RB-2</v>
      </c>
      <c r="O2105">
        <f>COUNTIFS(F$1:F2105,F2105,A$1:A2105,A2105)</f>
        <v>34</v>
      </c>
      <c r="P2105" t="str">
        <f t="shared" si="98"/>
        <v>LeGarrette Blount11</v>
      </c>
    </row>
    <row r="2106" spans="1:16" x14ac:dyDescent="0.25">
      <c r="A2106">
        <v>5</v>
      </c>
      <c r="B2106" t="s">
        <v>212</v>
      </c>
      <c r="C2106" t="s">
        <v>7250</v>
      </c>
      <c r="D2106">
        <v>6.2</v>
      </c>
      <c r="E2106" t="s">
        <v>58</v>
      </c>
      <c r="F2106" t="s">
        <v>47</v>
      </c>
      <c r="G2106">
        <v>11.2</v>
      </c>
      <c r="H2106">
        <v>1.2</v>
      </c>
      <c r="I2106">
        <v>5</v>
      </c>
      <c r="J2106">
        <v>25</v>
      </c>
      <c r="K2106" t="str">
        <f>IFERROR(INDEX(Rosters!$C$2:$C$155,MATCH($B2106,Rosters!$B$2:$B$155,0)),"NA")</f>
        <v>seth</v>
      </c>
      <c r="L2106" t="str">
        <f t="shared" si="96"/>
        <v>seth5RB</v>
      </c>
      <c r="M2106">
        <f>COUNTIF(L$1:L2106,L2106)</f>
        <v>4</v>
      </c>
      <c r="N2106" t="str">
        <f t="shared" si="97"/>
        <v>seth5RB-4</v>
      </c>
      <c r="O2106">
        <f>COUNTIFS(F$1:F2106,F2106,A$1:A2106,A2106)</f>
        <v>44</v>
      </c>
      <c r="P2106" t="str">
        <f t="shared" si="98"/>
        <v>Alfred Morris5</v>
      </c>
    </row>
    <row r="2107" spans="1:16" x14ac:dyDescent="0.25">
      <c r="A2107">
        <v>9</v>
      </c>
      <c r="B2107" t="s">
        <v>117</v>
      </c>
      <c r="C2107" t="s">
        <v>7251</v>
      </c>
      <c r="D2107">
        <v>6.2</v>
      </c>
      <c r="E2107" t="s">
        <v>19</v>
      </c>
      <c r="F2107" t="s">
        <v>47</v>
      </c>
      <c r="G2107">
        <v>10.96</v>
      </c>
      <c r="H2107">
        <v>1.44</v>
      </c>
      <c r="I2107">
        <v>4.76</v>
      </c>
      <c r="J2107">
        <v>22.657599999999999</v>
      </c>
      <c r="K2107" t="str">
        <f>IFERROR(INDEX(Rosters!$C$2:$C$155,MATCH($B2107,Rosters!$B$2:$B$155,0)),"NA")</f>
        <v>chad</v>
      </c>
      <c r="L2107" t="str">
        <f t="shared" si="96"/>
        <v>chad9RB</v>
      </c>
      <c r="M2107">
        <f>COUNTIF(L$1:L2107,L2107)</f>
        <v>5</v>
      </c>
      <c r="N2107" t="str">
        <f t="shared" si="97"/>
        <v>chad9RB-5</v>
      </c>
      <c r="O2107">
        <f>COUNTIFS(F$1:F2107,F2107,A$1:A2107,A2107)</f>
        <v>39</v>
      </c>
      <c r="P2107" t="str">
        <f t="shared" si="98"/>
        <v>Isaiah Crowell9</v>
      </c>
    </row>
    <row r="2108" spans="1:16" x14ac:dyDescent="0.25">
      <c r="A2108">
        <v>2</v>
      </c>
      <c r="B2108" t="s">
        <v>193</v>
      </c>
      <c r="C2108" t="s">
        <v>3347</v>
      </c>
      <c r="D2108">
        <v>6.2</v>
      </c>
      <c r="E2108" t="s">
        <v>76</v>
      </c>
      <c r="F2108" t="s">
        <v>47</v>
      </c>
      <c r="G2108">
        <v>10.91</v>
      </c>
      <c r="H2108">
        <v>1.49</v>
      </c>
      <c r="I2108">
        <v>4.71</v>
      </c>
      <c r="J2108">
        <v>22.184100000000001</v>
      </c>
      <c r="K2108" t="str">
        <f>IFERROR(INDEX(Rosters!$C$2:$C$155,MATCH($B2108,Rosters!$B$2:$B$155,0)),"NA")</f>
        <v>cory</v>
      </c>
      <c r="L2108" t="str">
        <f t="shared" si="96"/>
        <v>cory2RB</v>
      </c>
      <c r="M2108">
        <f>COUNTIF(L$1:L2108,L2108)</f>
        <v>2</v>
      </c>
      <c r="N2108" t="str">
        <f t="shared" si="97"/>
        <v>cory2RB-2</v>
      </c>
      <c r="O2108">
        <f>COUNTIFS(F$1:F2108,F2108,A$1:A2108,A2108)</f>
        <v>36</v>
      </c>
      <c r="P2108" t="str">
        <f t="shared" si="98"/>
        <v>James White2</v>
      </c>
    </row>
    <row r="2109" spans="1:16" x14ac:dyDescent="0.25">
      <c r="A2109">
        <v>14</v>
      </c>
      <c r="B2109" t="s">
        <v>1388</v>
      </c>
      <c r="C2109" t="s">
        <v>7252</v>
      </c>
      <c r="D2109">
        <v>6.2</v>
      </c>
      <c r="E2109" t="s">
        <v>36</v>
      </c>
      <c r="F2109" t="s">
        <v>47</v>
      </c>
      <c r="G2109">
        <v>10.71</v>
      </c>
      <c r="H2109">
        <v>1.69</v>
      </c>
      <c r="I2109">
        <v>4.51</v>
      </c>
      <c r="J2109">
        <v>20.3401</v>
      </c>
      <c r="K2109" t="str">
        <f>IFERROR(INDEX(Rosters!$C$2:$C$155,MATCH($B2109,Rosters!$B$2:$B$155,0)),"NA")</f>
        <v>NA</v>
      </c>
      <c r="L2109" t="str">
        <f t="shared" si="96"/>
        <v>NA14RB</v>
      </c>
      <c r="M2109">
        <f>COUNTIF(L$1:L2109,L2109)</f>
        <v>5</v>
      </c>
      <c r="N2109" t="str">
        <f t="shared" si="97"/>
        <v>NA14RB-5</v>
      </c>
      <c r="O2109">
        <f>COUNTIFS(F$1:F2109,F2109,A$1:A2109,A2109)</f>
        <v>45</v>
      </c>
      <c r="P2109" t="str">
        <f t="shared" si="98"/>
        <v>Jordan Wilkins14</v>
      </c>
    </row>
    <row r="2110" spans="1:16" x14ac:dyDescent="0.25">
      <c r="A2110">
        <v>6</v>
      </c>
      <c r="B2110" t="s">
        <v>290</v>
      </c>
      <c r="C2110" t="s">
        <v>7253</v>
      </c>
      <c r="D2110">
        <v>6.2</v>
      </c>
      <c r="E2110" t="s">
        <v>72</v>
      </c>
      <c r="F2110" t="s">
        <v>47</v>
      </c>
      <c r="G2110">
        <v>10.44</v>
      </c>
      <c r="H2110">
        <v>1.96</v>
      </c>
      <c r="I2110">
        <v>4.24</v>
      </c>
      <c r="J2110">
        <v>17.977599999999999</v>
      </c>
      <c r="K2110" t="str">
        <f>IFERROR(INDEX(Rosters!$C$2:$C$155,MATCH($B2110,Rosters!$B$2:$B$155,0)),"NA")</f>
        <v>lucas</v>
      </c>
      <c r="L2110" t="str">
        <f t="shared" si="96"/>
        <v>lucas6RB</v>
      </c>
      <c r="M2110">
        <f>COUNTIF(L$1:L2110,L2110)</f>
        <v>5</v>
      </c>
      <c r="N2110" t="str">
        <f t="shared" si="97"/>
        <v>lucas6RB-5</v>
      </c>
      <c r="O2110">
        <f>COUNTIFS(F$1:F2110,F2110,A$1:A2110,A2110)</f>
        <v>40</v>
      </c>
      <c r="P2110" t="str">
        <f t="shared" si="98"/>
        <v>Kenyan Drake6</v>
      </c>
    </row>
    <row r="2111" spans="1:16" x14ac:dyDescent="0.25">
      <c r="A2111">
        <v>4</v>
      </c>
      <c r="B2111" t="s">
        <v>229</v>
      </c>
      <c r="C2111" t="s">
        <v>4509</v>
      </c>
      <c r="D2111">
        <v>6.2</v>
      </c>
      <c r="E2111" t="s">
        <v>72</v>
      </c>
      <c r="F2111" t="s">
        <v>114</v>
      </c>
      <c r="G2111">
        <v>11.95</v>
      </c>
      <c r="H2111">
        <v>0.45</v>
      </c>
      <c r="I2111">
        <v>5.75</v>
      </c>
      <c r="J2111">
        <v>33.0625</v>
      </c>
      <c r="K2111" t="str">
        <f>IFERROR(INDEX(Rosters!$C$2:$C$155,MATCH($B2111,Rosters!$B$2:$B$155,0)),"NA")</f>
        <v>NA</v>
      </c>
      <c r="L2111" t="str">
        <f t="shared" si="96"/>
        <v>NA4TE</v>
      </c>
      <c r="M2111">
        <f>COUNTIF(L$1:L2111,L2111)</f>
        <v>1</v>
      </c>
      <c r="N2111" t="str">
        <f t="shared" si="97"/>
        <v>NA4TE-1</v>
      </c>
      <c r="O2111">
        <f>COUNTIFS(F$1:F2111,F2111,A$1:A2111,A2111)</f>
        <v>7</v>
      </c>
      <c r="P2111" t="str">
        <f t="shared" si="98"/>
        <v>O.J. Howard4</v>
      </c>
    </row>
    <row r="2112" spans="1:16" x14ac:dyDescent="0.25">
      <c r="A2112">
        <v>14</v>
      </c>
      <c r="B2112" t="s">
        <v>245</v>
      </c>
      <c r="C2112" t="s">
        <v>7254</v>
      </c>
      <c r="D2112">
        <v>6.2</v>
      </c>
      <c r="E2112" t="s">
        <v>38</v>
      </c>
      <c r="F2112" t="s">
        <v>47</v>
      </c>
      <c r="G2112">
        <v>11.59</v>
      </c>
      <c r="H2112">
        <v>0.81</v>
      </c>
      <c r="I2112">
        <v>5.39</v>
      </c>
      <c r="J2112">
        <v>29.052099999999999</v>
      </c>
      <c r="K2112" t="str">
        <f>IFERROR(INDEX(Rosters!$C$2:$C$155,MATCH($B2112,Rosters!$B$2:$B$155,0)),"NA")</f>
        <v>seth</v>
      </c>
      <c r="L2112" t="str">
        <f t="shared" si="96"/>
        <v>seth14RB</v>
      </c>
      <c r="M2112">
        <f>COUNTIF(L$1:L2112,L2112)</f>
        <v>4</v>
      </c>
      <c r="N2112" t="str">
        <f t="shared" si="97"/>
        <v>seth14RB-4</v>
      </c>
      <c r="O2112">
        <f>COUNTIFS(F$1:F2112,F2112,A$1:A2112,A2112)</f>
        <v>46</v>
      </c>
      <c r="P2112" t="str">
        <f t="shared" si="98"/>
        <v>T.J. Yeldon14</v>
      </c>
    </row>
    <row r="2113" spans="1:16" x14ac:dyDescent="0.25">
      <c r="A2113">
        <v>13</v>
      </c>
      <c r="B2113" t="s">
        <v>160</v>
      </c>
      <c r="C2113" t="s">
        <v>7255</v>
      </c>
      <c r="D2113">
        <v>6.19</v>
      </c>
      <c r="E2113" t="s">
        <v>28</v>
      </c>
      <c r="F2113" t="s">
        <v>87</v>
      </c>
      <c r="G2113">
        <v>10.85</v>
      </c>
      <c r="H2113">
        <v>1.53</v>
      </c>
      <c r="I2113">
        <v>4.66</v>
      </c>
      <c r="J2113">
        <v>21.715599999999998</v>
      </c>
      <c r="K2113" t="str">
        <f>IFERROR(INDEX(Rosters!$C$2:$C$155,MATCH($B2113,Rosters!$B$2:$B$155,0)),"NA")</f>
        <v>NA</v>
      </c>
      <c r="L2113" t="str">
        <f t="shared" si="96"/>
        <v>NA13WR</v>
      </c>
      <c r="M2113">
        <f>COUNTIF(L$1:L2113,L2113)</f>
        <v>7</v>
      </c>
      <c r="N2113" t="str">
        <f t="shared" si="97"/>
        <v>NA13WR-7</v>
      </c>
      <c r="O2113">
        <f>COUNTIFS(F$1:F2113,F2113,A$1:A2113,A2113)</f>
        <v>54</v>
      </c>
      <c r="P2113" t="str">
        <f t="shared" si="98"/>
        <v>Pierre Garcon13</v>
      </c>
    </row>
    <row r="2114" spans="1:16" x14ac:dyDescent="0.25">
      <c r="A2114">
        <v>5</v>
      </c>
      <c r="B2114" t="s">
        <v>131</v>
      </c>
      <c r="C2114" t="s">
        <v>7256</v>
      </c>
      <c r="D2114">
        <v>6.18</v>
      </c>
      <c r="E2114" t="s">
        <v>54</v>
      </c>
      <c r="F2114" t="s">
        <v>47</v>
      </c>
      <c r="G2114">
        <v>11.28</v>
      </c>
      <c r="H2114">
        <v>1.08</v>
      </c>
      <c r="I2114">
        <v>5.0999999999999996</v>
      </c>
      <c r="J2114">
        <v>26.01</v>
      </c>
      <c r="K2114" t="str">
        <f>IFERROR(INDEX(Rosters!$C$2:$C$155,MATCH($B2114,Rosters!$B$2:$B$155,0)),"NA")</f>
        <v>NA</v>
      </c>
      <c r="L2114" t="str">
        <f t="shared" si="96"/>
        <v>NA5RB</v>
      </c>
      <c r="M2114">
        <f>COUNTIF(L$1:L2114,L2114)</f>
        <v>6</v>
      </c>
      <c r="N2114" t="str">
        <f t="shared" si="97"/>
        <v>NA5RB-6</v>
      </c>
      <c r="O2114">
        <f>COUNTIFS(F$1:F2114,F2114,A$1:A2114,A2114)</f>
        <v>45</v>
      </c>
      <c r="P2114" t="str">
        <f t="shared" si="98"/>
        <v>C.J. Anderson5</v>
      </c>
    </row>
    <row r="2115" spans="1:16" x14ac:dyDescent="0.25">
      <c r="A2115">
        <v>6</v>
      </c>
      <c r="B2115" t="s">
        <v>125</v>
      </c>
      <c r="C2115" t="s">
        <v>7257</v>
      </c>
      <c r="D2115">
        <v>6.18</v>
      </c>
      <c r="E2115" t="s">
        <v>423</v>
      </c>
      <c r="F2115" t="s">
        <v>87</v>
      </c>
      <c r="G2115">
        <v>10.07</v>
      </c>
      <c r="H2115">
        <v>2.29</v>
      </c>
      <c r="I2115">
        <v>3.89</v>
      </c>
      <c r="J2115">
        <v>15.132099999999999</v>
      </c>
      <c r="K2115" t="str">
        <f>IFERROR(INDEX(Rosters!$C$2:$C$155,MATCH($B2115,Rosters!$B$2:$B$155,0)),"NA")</f>
        <v>scott</v>
      </c>
      <c r="L2115" t="str">
        <f t="shared" ref="L2115:L2178" si="99">K2115&amp;A2115&amp;F2115</f>
        <v>scott6WR</v>
      </c>
      <c r="M2115">
        <f>COUNTIF(L$1:L2115,L2115)</f>
        <v>4</v>
      </c>
      <c r="N2115" t="str">
        <f t="shared" ref="N2115:N2178" si="100">L2115&amp;"-"&amp;M2115</f>
        <v>scott6WR-4</v>
      </c>
      <c r="O2115">
        <f>COUNTIFS(F$1:F2115,F2115,A$1:A2115,A2115)</f>
        <v>46</v>
      </c>
      <c r="P2115" t="str">
        <f t="shared" ref="P2115:P2178" si="101">B2115&amp;A2115</f>
        <v>Sammy Watkins6</v>
      </c>
    </row>
    <row r="2116" spans="1:16" x14ac:dyDescent="0.25">
      <c r="A2116">
        <v>5</v>
      </c>
      <c r="B2116" t="s">
        <v>178</v>
      </c>
      <c r="C2116" t="s">
        <v>9064</v>
      </c>
      <c r="D2116">
        <v>6.17</v>
      </c>
      <c r="E2116" t="s">
        <v>423</v>
      </c>
      <c r="F2116" t="s">
        <v>114</v>
      </c>
      <c r="G2116">
        <v>10.28</v>
      </c>
      <c r="H2116">
        <v>2.06</v>
      </c>
      <c r="I2116">
        <v>4.1100000000000003</v>
      </c>
      <c r="J2116">
        <v>16.892099999999999</v>
      </c>
      <c r="K2116" t="str">
        <f>IFERROR(INDEX(Rosters!$C$2:$C$155,MATCH($B2116,Rosters!$B$2:$B$155,0)),"NA")</f>
        <v>devon</v>
      </c>
      <c r="L2116" t="str">
        <f t="shared" si="99"/>
        <v>devon5TE</v>
      </c>
      <c r="M2116">
        <f>COUNTIF(L$1:L2116,L2116)</f>
        <v>1</v>
      </c>
      <c r="N2116" t="str">
        <f t="shared" si="100"/>
        <v>devon5TE-1</v>
      </c>
      <c r="O2116">
        <f>COUNTIFS(F$1:F2116,F2116,A$1:A2116,A2116)</f>
        <v>8</v>
      </c>
      <c r="P2116" t="str">
        <f t="shared" si="101"/>
        <v>Eric Ebron5</v>
      </c>
    </row>
    <row r="2117" spans="1:16" x14ac:dyDescent="0.25">
      <c r="A2117">
        <v>4</v>
      </c>
      <c r="B2117" t="s">
        <v>271</v>
      </c>
      <c r="C2117" t="s">
        <v>4510</v>
      </c>
      <c r="D2117">
        <v>6.17</v>
      </c>
      <c r="E2117" t="s">
        <v>29</v>
      </c>
      <c r="F2117" t="s">
        <v>87</v>
      </c>
      <c r="G2117">
        <v>11.45</v>
      </c>
      <c r="H2117">
        <v>0.89</v>
      </c>
      <c r="I2117">
        <v>5.28</v>
      </c>
      <c r="J2117">
        <v>27.878399999999999</v>
      </c>
      <c r="K2117" t="str">
        <f>IFERROR(INDEX(Rosters!$C$2:$C$155,MATCH($B2117,Rosters!$B$2:$B$155,0)),"NA")</f>
        <v>matty</v>
      </c>
      <c r="L2117" t="str">
        <f t="shared" si="99"/>
        <v>matty4WR</v>
      </c>
      <c r="M2117">
        <f>COUNTIF(L$1:L2117,L2117)</f>
        <v>5</v>
      </c>
      <c r="N2117" t="str">
        <f t="shared" si="100"/>
        <v>matty4WR-5</v>
      </c>
      <c r="O2117">
        <f>COUNTIFS(F$1:F2117,F2117,A$1:A2117,A2117)</f>
        <v>45</v>
      </c>
      <c r="P2117" t="str">
        <f t="shared" si="101"/>
        <v>Geronimo Allison4</v>
      </c>
    </row>
    <row r="2118" spans="1:16" x14ac:dyDescent="0.25">
      <c r="A2118">
        <v>2</v>
      </c>
      <c r="B2118" t="s">
        <v>230</v>
      </c>
      <c r="C2118" t="s">
        <v>1374</v>
      </c>
      <c r="D2118">
        <v>6.17</v>
      </c>
      <c r="E2118" t="s">
        <v>66</v>
      </c>
      <c r="F2118" t="s">
        <v>87</v>
      </c>
      <c r="G2118">
        <v>11.09</v>
      </c>
      <c r="H2118">
        <v>1.25</v>
      </c>
      <c r="I2118">
        <v>4.92</v>
      </c>
      <c r="J2118">
        <v>24.206399999999999</v>
      </c>
      <c r="K2118" t="str">
        <f>IFERROR(INDEX(Rosters!$C$2:$C$155,MATCH($B2118,Rosters!$B$2:$B$155,0)),"NA")</f>
        <v>NA</v>
      </c>
      <c r="L2118" t="str">
        <f t="shared" si="99"/>
        <v>NA2WR</v>
      </c>
      <c r="M2118">
        <f>COUNTIF(L$1:L2118,L2118)</f>
        <v>6</v>
      </c>
      <c r="N2118" t="str">
        <f t="shared" si="100"/>
        <v>NA2WR-6</v>
      </c>
      <c r="O2118">
        <f>COUNTIFS(F$1:F2118,F2118,A$1:A2118,A2118)</f>
        <v>43</v>
      </c>
      <c r="P2118" t="str">
        <f t="shared" si="101"/>
        <v>Josh Doctson2</v>
      </c>
    </row>
    <row r="2119" spans="1:16" x14ac:dyDescent="0.25">
      <c r="A2119">
        <v>16</v>
      </c>
      <c r="B2119" t="s">
        <v>1368</v>
      </c>
      <c r="C2119" t="s">
        <v>7258</v>
      </c>
      <c r="D2119">
        <v>6.17</v>
      </c>
      <c r="E2119" t="s">
        <v>19</v>
      </c>
      <c r="F2119" t="s">
        <v>87</v>
      </c>
      <c r="G2119">
        <v>10.26</v>
      </c>
      <c r="H2119">
        <v>2.08</v>
      </c>
      <c r="I2119">
        <v>4.09</v>
      </c>
      <c r="J2119">
        <v>16.728100000000001</v>
      </c>
      <c r="K2119" t="str">
        <f>IFERROR(INDEX(Rosters!$C$2:$C$155,MATCH($B2119,Rosters!$B$2:$B$155,0)),"NA")</f>
        <v>scott</v>
      </c>
      <c r="L2119" t="str">
        <f t="shared" si="99"/>
        <v>scott16WR</v>
      </c>
      <c r="M2119">
        <f>COUNTIF(L$1:L2119,L2119)</f>
        <v>6</v>
      </c>
      <c r="N2119" t="str">
        <f t="shared" si="100"/>
        <v>scott16WR-6</v>
      </c>
      <c r="O2119">
        <f>COUNTIFS(F$1:F2119,F2119,A$1:A2119,A2119)</f>
        <v>51</v>
      </c>
      <c r="P2119" t="str">
        <f t="shared" si="101"/>
        <v>Keelan Cole16</v>
      </c>
    </row>
    <row r="2120" spans="1:16" x14ac:dyDescent="0.25">
      <c r="A2120">
        <v>14</v>
      </c>
      <c r="B2120" t="s">
        <v>255</v>
      </c>
      <c r="C2120" t="s">
        <v>7259</v>
      </c>
      <c r="D2120">
        <v>6.17</v>
      </c>
      <c r="E2120" t="s">
        <v>42</v>
      </c>
      <c r="F2120" t="s">
        <v>87</v>
      </c>
      <c r="G2120">
        <v>10.78</v>
      </c>
      <c r="H2120">
        <v>1.56</v>
      </c>
      <c r="I2120">
        <v>4.6100000000000003</v>
      </c>
      <c r="J2120">
        <v>21.252099999999999</v>
      </c>
      <c r="K2120" t="str">
        <f>IFERROR(INDEX(Rosters!$C$2:$C$155,MATCH($B2120,Rosters!$B$2:$B$155,0)),"NA")</f>
        <v>NA</v>
      </c>
      <c r="L2120" t="str">
        <f t="shared" si="99"/>
        <v>NA14WR</v>
      </c>
      <c r="M2120">
        <f>COUNTIF(L$1:L2120,L2120)</f>
        <v>7</v>
      </c>
      <c r="N2120" t="str">
        <f t="shared" si="100"/>
        <v>NA14WR-7</v>
      </c>
      <c r="O2120">
        <f>COUNTIFS(F$1:F2120,F2120,A$1:A2120,A2120)</f>
        <v>55</v>
      </c>
      <c r="P2120" t="str">
        <f t="shared" si="101"/>
        <v>Marquise Goodwin14</v>
      </c>
    </row>
    <row r="2121" spans="1:16" x14ac:dyDescent="0.25">
      <c r="A2121">
        <v>7</v>
      </c>
      <c r="B2121" t="s">
        <v>1346</v>
      </c>
      <c r="C2121" t="s">
        <v>7260</v>
      </c>
      <c r="D2121">
        <v>6.17</v>
      </c>
      <c r="E2121" t="s">
        <v>58</v>
      </c>
      <c r="F2121" t="s">
        <v>47</v>
      </c>
      <c r="G2121">
        <v>12.15</v>
      </c>
      <c r="H2121">
        <v>0.19</v>
      </c>
      <c r="I2121">
        <v>5.98</v>
      </c>
      <c r="J2121">
        <v>35.760399999999997</v>
      </c>
      <c r="K2121" t="str">
        <f>IFERROR(INDEX(Rosters!$C$2:$C$155,MATCH($B2121,Rosters!$B$2:$B$155,0)),"NA")</f>
        <v>comp</v>
      </c>
      <c r="L2121" t="str">
        <f t="shared" si="99"/>
        <v>comp7RB</v>
      </c>
      <c r="M2121">
        <f>COUNTIF(L$1:L2121,L2121)</f>
        <v>3</v>
      </c>
      <c r="N2121" t="str">
        <f t="shared" si="100"/>
        <v>comp7RB-3</v>
      </c>
      <c r="O2121">
        <f>COUNTIFS(F$1:F2121,F2121,A$1:A2121,A2121)</f>
        <v>42</v>
      </c>
      <c r="P2121" t="str">
        <f t="shared" si="101"/>
        <v>Royce Freeman7</v>
      </c>
    </row>
    <row r="2122" spans="1:16" x14ac:dyDescent="0.25">
      <c r="A2122">
        <v>5</v>
      </c>
      <c r="B2122" t="s">
        <v>1211</v>
      </c>
      <c r="C2122" t="s">
        <v>7261</v>
      </c>
      <c r="D2122">
        <v>6.16</v>
      </c>
      <c r="E2122" t="s">
        <v>24</v>
      </c>
      <c r="F2122" t="s">
        <v>87</v>
      </c>
      <c r="G2122">
        <v>12.28</v>
      </c>
      <c r="H2122">
        <v>0.04</v>
      </c>
      <c r="I2122">
        <v>6.12</v>
      </c>
      <c r="J2122">
        <v>37.4544</v>
      </c>
      <c r="K2122" t="str">
        <f>IFERROR(INDEX(Rosters!$C$2:$C$155,MATCH($B2122,Rosters!$B$2:$B$155,0)),"NA")</f>
        <v>NA</v>
      </c>
      <c r="L2122" t="str">
        <f t="shared" si="99"/>
        <v>NA5WR</v>
      </c>
      <c r="M2122">
        <f>COUNTIF(L$1:L2122,L2122)</f>
        <v>5</v>
      </c>
      <c r="N2122" t="str">
        <f t="shared" si="100"/>
        <v>NA5WR-5</v>
      </c>
      <c r="O2122">
        <f>COUNTIFS(F$1:F2122,F2122,A$1:A2122,A2122)</f>
        <v>49</v>
      </c>
      <c r="P2122" t="str">
        <f t="shared" si="101"/>
        <v>Dede Westbrook5</v>
      </c>
    </row>
    <row r="2123" spans="1:16" x14ac:dyDescent="0.25">
      <c r="A2123">
        <v>8</v>
      </c>
      <c r="B2123" t="s">
        <v>232</v>
      </c>
      <c r="C2123" t="s">
        <v>7262</v>
      </c>
      <c r="D2123">
        <v>6.16</v>
      </c>
      <c r="E2123" t="s">
        <v>66</v>
      </c>
      <c r="F2123" t="s">
        <v>47</v>
      </c>
      <c r="G2123">
        <v>10.55</v>
      </c>
      <c r="H2123">
        <v>1.77</v>
      </c>
      <c r="I2123">
        <v>4.3899999999999997</v>
      </c>
      <c r="J2123">
        <v>19.272099999999998</v>
      </c>
      <c r="K2123" t="str">
        <f>IFERROR(INDEX(Rosters!$C$2:$C$155,MATCH($B2123,Rosters!$B$2:$B$155,0)),"NA")</f>
        <v>NA</v>
      </c>
      <c r="L2123" t="str">
        <f t="shared" si="99"/>
        <v>NA8RB</v>
      </c>
      <c r="M2123">
        <f>COUNTIF(L$1:L2123,L2123)</f>
        <v>7</v>
      </c>
      <c r="N2123" t="str">
        <f t="shared" si="100"/>
        <v>NA8RB-7</v>
      </c>
      <c r="O2123">
        <f>COUNTIFS(F$1:F2123,F2123,A$1:A2123,A2123)</f>
        <v>39</v>
      </c>
      <c r="P2123" t="str">
        <f t="shared" si="101"/>
        <v>Jalen Richard8</v>
      </c>
    </row>
    <row r="2124" spans="1:16" x14ac:dyDescent="0.25">
      <c r="A2124">
        <v>4</v>
      </c>
      <c r="B2124" t="s">
        <v>193</v>
      </c>
      <c r="C2124" t="s">
        <v>4390</v>
      </c>
      <c r="D2124">
        <v>6.16</v>
      </c>
      <c r="E2124" t="s">
        <v>19</v>
      </c>
      <c r="F2124" t="s">
        <v>47</v>
      </c>
      <c r="G2124">
        <v>10.16</v>
      </c>
      <c r="H2124">
        <v>2.16</v>
      </c>
      <c r="I2124">
        <v>4</v>
      </c>
      <c r="J2124">
        <v>16</v>
      </c>
      <c r="K2124" t="str">
        <f>IFERROR(INDEX(Rosters!$C$2:$C$155,MATCH($B2124,Rosters!$B$2:$B$155,0)),"NA")</f>
        <v>cory</v>
      </c>
      <c r="L2124" t="str">
        <f t="shared" si="99"/>
        <v>cory4RB</v>
      </c>
      <c r="M2124">
        <f>COUNTIF(L$1:L2124,L2124)</f>
        <v>2</v>
      </c>
      <c r="N2124" t="str">
        <f t="shared" si="100"/>
        <v>cory4RB-2</v>
      </c>
      <c r="O2124">
        <f>COUNTIFS(F$1:F2124,F2124,A$1:A2124,A2124)</f>
        <v>37</v>
      </c>
      <c r="P2124" t="str">
        <f t="shared" si="101"/>
        <v>James White4</v>
      </c>
    </row>
    <row r="2125" spans="1:16" x14ac:dyDescent="0.25">
      <c r="A2125">
        <v>7</v>
      </c>
      <c r="B2125" t="s">
        <v>147</v>
      </c>
      <c r="C2125" t="s">
        <v>7263</v>
      </c>
      <c r="D2125">
        <v>6.15</v>
      </c>
      <c r="E2125" t="s">
        <v>36</v>
      </c>
      <c r="F2125" t="s">
        <v>87</v>
      </c>
      <c r="G2125">
        <v>11.72</v>
      </c>
      <c r="H2125">
        <v>0.57999999999999996</v>
      </c>
      <c r="I2125">
        <v>5.57</v>
      </c>
      <c r="J2125">
        <v>31.024899999999999</v>
      </c>
      <c r="K2125" t="str">
        <f>IFERROR(INDEX(Rosters!$C$2:$C$155,MATCH($B2125,Rosters!$B$2:$B$155,0)),"NA")</f>
        <v>NA</v>
      </c>
      <c r="L2125" t="str">
        <f t="shared" si="99"/>
        <v>NA7WR</v>
      </c>
      <c r="M2125">
        <f>COUNTIF(L$1:L2125,L2125)</f>
        <v>2</v>
      </c>
      <c r="N2125" t="str">
        <f t="shared" si="100"/>
        <v>NA7WR-2</v>
      </c>
      <c r="O2125">
        <f>COUNTIFS(F$1:F2125,F2125,A$1:A2125,A2125)</f>
        <v>41</v>
      </c>
      <c r="P2125" t="str">
        <f t="shared" si="101"/>
        <v>Donte Moncrief7</v>
      </c>
    </row>
    <row r="2126" spans="1:16" x14ac:dyDescent="0.25">
      <c r="A2126">
        <v>5</v>
      </c>
      <c r="B2126" t="s">
        <v>264</v>
      </c>
      <c r="C2126" t="s">
        <v>7264</v>
      </c>
      <c r="D2126">
        <v>6.15</v>
      </c>
      <c r="E2126" t="s">
        <v>58</v>
      </c>
      <c r="F2126" t="s">
        <v>114</v>
      </c>
      <c r="G2126">
        <v>10.58</v>
      </c>
      <c r="H2126">
        <v>1.72</v>
      </c>
      <c r="I2126">
        <v>4.43</v>
      </c>
      <c r="J2126">
        <v>19.6249</v>
      </c>
      <c r="K2126" t="str">
        <f>IFERROR(INDEX(Rosters!$C$2:$C$155,MATCH($B2126,Rosters!$B$2:$B$155,0)),"NA")</f>
        <v>scott</v>
      </c>
      <c r="L2126" t="str">
        <f t="shared" si="99"/>
        <v>scott5TE</v>
      </c>
      <c r="M2126">
        <f>COUNTIF(L$1:L2126,L2126)</f>
        <v>1</v>
      </c>
      <c r="N2126" t="str">
        <f t="shared" si="100"/>
        <v>scott5TE-1</v>
      </c>
      <c r="O2126">
        <f>COUNTIFS(F$1:F2126,F2126,A$1:A2126,A2126)</f>
        <v>9</v>
      </c>
      <c r="P2126" t="str">
        <f t="shared" si="101"/>
        <v>George Kittle5</v>
      </c>
    </row>
    <row r="2127" spans="1:16" x14ac:dyDescent="0.25">
      <c r="A2127">
        <v>11</v>
      </c>
      <c r="B2127" t="s">
        <v>211</v>
      </c>
      <c r="C2127" t="s">
        <v>4511</v>
      </c>
      <c r="D2127">
        <v>6.14</v>
      </c>
      <c r="E2127" t="s">
        <v>22</v>
      </c>
      <c r="F2127" t="s">
        <v>114</v>
      </c>
      <c r="G2127">
        <v>11.5</v>
      </c>
      <c r="H2127">
        <v>0.78</v>
      </c>
      <c r="I2127">
        <v>5.36</v>
      </c>
      <c r="J2127">
        <v>28.729600000000001</v>
      </c>
      <c r="K2127" t="str">
        <f>IFERROR(INDEX(Rosters!$C$2:$C$155,MATCH($B2127,Rosters!$B$2:$B$155,0)),"NA")</f>
        <v>comp</v>
      </c>
      <c r="L2127" t="str">
        <f t="shared" si="99"/>
        <v>comp11TE</v>
      </c>
      <c r="M2127">
        <f>COUNTIF(L$1:L2127,L2127)</f>
        <v>1</v>
      </c>
      <c r="N2127" t="str">
        <f t="shared" si="100"/>
        <v>comp11TE-1</v>
      </c>
      <c r="O2127">
        <f>COUNTIFS(F$1:F2127,F2127,A$1:A2127,A2127)</f>
        <v>7</v>
      </c>
      <c r="P2127" t="str">
        <f t="shared" si="101"/>
        <v>Austin Hooper11</v>
      </c>
    </row>
    <row r="2128" spans="1:16" x14ac:dyDescent="0.25">
      <c r="A2128">
        <v>12</v>
      </c>
      <c r="B2128" t="s">
        <v>215</v>
      </c>
      <c r="C2128" t="s">
        <v>7265</v>
      </c>
      <c r="D2128">
        <v>6.14</v>
      </c>
      <c r="E2128" t="s">
        <v>31</v>
      </c>
      <c r="F2128" t="s">
        <v>114</v>
      </c>
      <c r="G2128">
        <v>11.9</v>
      </c>
      <c r="H2128">
        <v>0.38</v>
      </c>
      <c r="I2128">
        <v>5.76</v>
      </c>
      <c r="J2128">
        <v>33.177599999999998</v>
      </c>
      <c r="K2128" t="str">
        <f>IFERROR(INDEX(Rosters!$C$2:$C$155,MATCH($B2128,Rosters!$B$2:$B$155,0)),"NA")</f>
        <v>NA</v>
      </c>
      <c r="L2128" t="str">
        <f t="shared" si="99"/>
        <v>NA12TE</v>
      </c>
      <c r="M2128">
        <f>COUNTIF(L$1:L2128,L2128)</f>
        <v>2</v>
      </c>
      <c r="N2128" t="str">
        <f t="shared" si="100"/>
        <v>NA12TE-2</v>
      </c>
      <c r="O2128">
        <f>COUNTIFS(F$1:F2128,F2128,A$1:A2128,A2128)</f>
        <v>9</v>
      </c>
      <c r="P2128" t="str">
        <f t="shared" si="101"/>
        <v>David Njoku12</v>
      </c>
    </row>
    <row r="2129" spans="1:16" x14ac:dyDescent="0.25">
      <c r="A2129">
        <v>4</v>
      </c>
      <c r="B2129" t="s">
        <v>117</v>
      </c>
      <c r="C2129" t="s">
        <v>4511</v>
      </c>
      <c r="D2129">
        <v>6.14</v>
      </c>
      <c r="E2129" t="s">
        <v>76</v>
      </c>
      <c r="F2129" t="s">
        <v>47</v>
      </c>
      <c r="G2129">
        <v>11.5</v>
      </c>
      <c r="H2129">
        <v>0.78</v>
      </c>
      <c r="I2129">
        <v>5.36</v>
      </c>
      <c r="J2129">
        <v>28.729600000000001</v>
      </c>
      <c r="K2129" t="str">
        <f>IFERROR(INDEX(Rosters!$C$2:$C$155,MATCH($B2129,Rosters!$B$2:$B$155,0)),"NA")</f>
        <v>chad</v>
      </c>
      <c r="L2129" t="str">
        <f t="shared" si="99"/>
        <v>chad4RB</v>
      </c>
      <c r="M2129">
        <f>COUNTIF(L$1:L2129,L2129)</f>
        <v>5</v>
      </c>
      <c r="N2129" t="str">
        <f t="shared" si="100"/>
        <v>chad4RB-5</v>
      </c>
      <c r="O2129">
        <f>COUNTIFS(F$1:F2129,F2129,A$1:A2129,A2129)</f>
        <v>38</v>
      </c>
      <c r="P2129" t="str">
        <f t="shared" si="101"/>
        <v>Isaiah Crowell4</v>
      </c>
    </row>
    <row r="2130" spans="1:16" x14ac:dyDescent="0.25">
      <c r="A2130">
        <v>10</v>
      </c>
      <c r="B2130" t="s">
        <v>205</v>
      </c>
      <c r="C2130" t="s">
        <v>7266</v>
      </c>
      <c r="D2130">
        <v>6.13</v>
      </c>
      <c r="E2130" t="s">
        <v>19</v>
      </c>
      <c r="F2130" t="s">
        <v>47</v>
      </c>
      <c r="G2130">
        <v>11.04</v>
      </c>
      <c r="H2130">
        <v>1.22</v>
      </c>
      <c r="I2130">
        <v>4.91</v>
      </c>
      <c r="J2130">
        <v>24.1081</v>
      </c>
      <c r="K2130" t="str">
        <f>IFERROR(INDEX(Rosters!$C$2:$C$155,MATCH($B2130,Rosters!$B$2:$B$155,0)),"NA")</f>
        <v>NA</v>
      </c>
      <c r="L2130" t="str">
        <f t="shared" si="99"/>
        <v>NA10RB</v>
      </c>
      <c r="M2130">
        <f>COUNTIF(L$1:L2130,L2130)</f>
        <v>4</v>
      </c>
      <c r="N2130" t="str">
        <f t="shared" si="100"/>
        <v>NA10RB-4</v>
      </c>
      <c r="O2130">
        <f>COUNTIFS(F$1:F2130,F2130,A$1:A2130,A2130)</f>
        <v>41</v>
      </c>
      <c r="P2130" t="str">
        <f t="shared" si="101"/>
        <v>Jamaal Williams10</v>
      </c>
    </row>
    <row r="2131" spans="1:16" x14ac:dyDescent="0.25">
      <c r="A2131">
        <v>12</v>
      </c>
      <c r="B2131" t="s">
        <v>224</v>
      </c>
      <c r="C2131" t="s">
        <v>7267</v>
      </c>
      <c r="D2131">
        <v>6.13</v>
      </c>
      <c r="E2131" t="s">
        <v>19</v>
      </c>
      <c r="F2131" t="s">
        <v>47</v>
      </c>
      <c r="G2131">
        <v>11.72</v>
      </c>
      <c r="H2131">
        <v>0.54</v>
      </c>
      <c r="I2131">
        <v>5.59</v>
      </c>
      <c r="J2131">
        <v>31.248100000000001</v>
      </c>
      <c r="K2131" t="str">
        <f>IFERROR(INDEX(Rosters!$C$2:$C$155,MATCH($B2131,Rosters!$B$2:$B$155,0)),"NA")</f>
        <v>NA</v>
      </c>
      <c r="L2131" t="str">
        <f t="shared" si="99"/>
        <v>NA12RB</v>
      </c>
      <c r="M2131">
        <f>COUNTIF(L$1:L2131,L2131)</f>
        <v>4</v>
      </c>
      <c r="N2131" t="str">
        <f t="shared" si="100"/>
        <v>NA12RB-4</v>
      </c>
      <c r="O2131">
        <f>COUNTIFS(F$1:F2131,F2131,A$1:A2131,A2131)</f>
        <v>42</v>
      </c>
      <c r="P2131" t="str">
        <f t="shared" si="101"/>
        <v>Marlon Mack12</v>
      </c>
    </row>
    <row r="2132" spans="1:16" x14ac:dyDescent="0.25">
      <c r="A2132">
        <v>9</v>
      </c>
      <c r="B2132" t="s">
        <v>285</v>
      </c>
      <c r="C2132" t="s">
        <v>7268</v>
      </c>
      <c r="D2132">
        <v>6.13</v>
      </c>
      <c r="E2132" t="s">
        <v>29</v>
      </c>
      <c r="F2132" t="s">
        <v>47</v>
      </c>
      <c r="G2132">
        <v>10.92</v>
      </c>
      <c r="H2132">
        <v>1.34</v>
      </c>
      <c r="I2132">
        <v>4.79</v>
      </c>
      <c r="J2132">
        <v>22.944099999999999</v>
      </c>
      <c r="K2132" t="str">
        <f>IFERROR(INDEX(Rosters!$C$2:$C$155,MATCH($B2132,Rosters!$B$2:$B$155,0)),"NA")</f>
        <v>NA</v>
      </c>
      <c r="L2132" t="str">
        <f t="shared" si="99"/>
        <v>NA9RB</v>
      </c>
      <c r="M2132">
        <f>COUNTIF(L$1:L2132,L2132)</f>
        <v>4</v>
      </c>
      <c r="N2132" t="str">
        <f t="shared" si="100"/>
        <v>NA9RB-4</v>
      </c>
      <c r="O2132">
        <f>COUNTIFS(F$1:F2132,F2132,A$1:A2132,A2132)</f>
        <v>40</v>
      </c>
      <c r="P2132" t="str">
        <f t="shared" si="101"/>
        <v>Tarik Cohen9</v>
      </c>
    </row>
    <row r="2133" spans="1:16" x14ac:dyDescent="0.25">
      <c r="A2133">
        <v>12</v>
      </c>
      <c r="B2133" t="s">
        <v>163</v>
      </c>
      <c r="C2133" t="s">
        <v>7269</v>
      </c>
      <c r="D2133">
        <v>6.12</v>
      </c>
      <c r="E2133" t="s">
        <v>30</v>
      </c>
      <c r="F2133" t="s">
        <v>87</v>
      </c>
      <c r="G2133">
        <v>10.029999999999999</v>
      </c>
      <c r="H2133">
        <v>2.21</v>
      </c>
      <c r="I2133">
        <v>3.91</v>
      </c>
      <c r="J2133">
        <v>15.2881</v>
      </c>
      <c r="K2133" t="str">
        <f>IFERROR(INDEX(Rosters!$C$2:$C$155,MATCH($B2133,Rosters!$B$2:$B$155,0)),"NA")</f>
        <v>scott</v>
      </c>
      <c r="L2133" t="str">
        <f t="shared" si="99"/>
        <v>scott12WR</v>
      </c>
      <c r="M2133">
        <f>COUNTIF(L$1:L2133,L2133)</f>
        <v>5</v>
      </c>
      <c r="N2133" t="str">
        <f t="shared" si="100"/>
        <v>scott12WR-5</v>
      </c>
      <c r="O2133">
        <f>COUNTIFS(F$1:F2133,F2133,A$1:A2133,A2133)</f>
        <v>47</v>
      </c>
      <c r="P2133" t="str">
        <f t="shared" si="101"/>
        <v>DeSean Jackson12</v>
      </c>
    </row>
    <row r="2134" spans="1:16" x14ac:dyDescent="0.25">
      <c r="A2134">
        <v>4</v>
      </c>
      <c r="B2134" t="s">
        <v>183</v>
      </c>
      <c r="C2134" t="s">
        <v>4512</v>
      </c>
      <c r="D2134">
        <v>6.12</v>
      </c>
      <c r="E2134" t="s">
        <v>32</v>
      </c>
      <c r="F2134" t="s">
        <v>47</v>
      </c>
      <c r="G2134">
        <v>10.24</v>
      </c>
      <c r="H2134">
        <v>2</v>
      </c>
      <c r="I2134">
        <v>4.12</v>
      </c>
      <c r="J2134">
        <v>16.974399999999999</v>
      </c>
      <c r="K2134" t="str">
        <f>IFERROR(INDEX(Rosters!$C$2:$C$155,MATCH($B2134,Rosters!$B$2:$B$155,0)),"NA")</f>
        <v>NA</v>
      </c>
      <c r="L2134" t="str">
        <f t="shared" si="99"/>
        <v>NA4RB</v>
      </c>
      <c r="M2134">
        <f>COUNTIF(L$1:L2134,L2134)</f>
        <v>7</v>
      </c>
      <c r="N2134" t="str">
        <f t="shared" si="100"/>
        <v>NA4RB-7</v>
      </c>
      <c r="O2134">
        <f>COUNTIFS(F$1:F2134,F2134,A$1:A2134,A2134)</f>
        <v>39</v>
      </c>
      <c r="P2134" t="str">
        <f t="shared" si="101"/>
        <v>Duke Johnson Jr.4</v>
      </c>
    </row>
    <row r="2135" spans="1:16" x14ac:dyDescent="0.25">
      <c r="A2135">
        <v>13</v>
      </c>
      <c r="B2135" t="s">
        <v>117</v>
      </c>
      <c r="C2135" t="s">
        <v>7270</v>
      </c>
      <c r="D2135">
        <v>6.12</v>
      </c>
      <c r="E2135" t="s">
        <v>38</v>
      </c>
      <c r="F2135" t="s">
        <v>47</v>
      </c>
      <c r="G2135">
        <v>10.81</v>
      </c>
      <c r="H2135">
        <v>1.43</v>
      </c>
      <c r="I2135">
        <v>4.6900000000000004</v>
      </c>
      <c r="J2135">
        <v>21.996099999999998</v>
      </c>
      <c r="K2135" t="str">
        <f>IFERROR(INDEX(Rosters!$C$2:$C$155,MATCH($B2135,Rosters!$B$2:$B$155,0)),"NA")</f>
        <v>chad</v>
      </c>
      <c r="L2135" t="str">
        <f t="shared" si="99"/>
        <v>chad13RB</v>
      </c>
      <c r="M2135">
        <f>COUNTIF(L$1:L2135,L2135)</f>
        <v>5</v>
      </c>
      <c r="N2135" t="str">
        <f t="shared" si="100"/>
        <v>chad13RB-5</v>
      </c>
      <c r="O2135">
        <f>COUNTIFS(F$1:F2135,F2135,A$1:A2135,A2135)</f>
        <v>50</v>
      </c>
      <c r="P2135" t="str">
        <f t="shared" si="101"/>
        <v>Isaiah Crowell13</v>
      </c>
    </row>
    <row r="2136" spans="1:16" x14ac:dyDescent="0.25">
      <c r="A2136">
        <v>14</v>
      </c>
      <c r="B2136" t="s">
        <v>137</v>
      </c>
      <c r="C2136" t="s">
        <v>7271</v>
      </c>
      <c r="D2136">
        <v>6.12</v>
      </c>
      <c r="E2136" t="s">
        <v>54</v>
      </c>
      <c r="F2136" t="s">
        <v>87</v>
      </c>
      <c r="G2136">
        <v>10.55</v>
      </c>
      <c r="H2136">
        <v>1.69</v>
      </c>
      <c r="I2136">
        <v>4.43</v>
      </c>
      <c r="J2136">
        <v>19.6249</v>
      </c>
      <c r="K2136" t="str">
        <f>IFERROR(INDEX(Rosters!$C$2:$C$155,MATCH($B2136,Rosters!$B$2:$B$155,0)),"NA")</f>
        <v>lucas</v>
      </c>
      <c r="L2136" t="str">
        <f t="shared" si="99"/>
        <v>lucas14WR</v>
      </c>
      <c r="M2136">
        <f>COUNTIF(L$1:L2136,L2136)</f>
        <v>4</v>
      </c>
      <c r="N2136" t="str">
        <f t="shared" si="100"/>
        <v>lucas14WR-4</v>
      </c>
      <c r="O2136">
        <f>COUNTIFS(F$1:F2136,F2136,A$1:A2136,A2136)</f>
        <v>56</v>
      </c>
      <c r="P2136" t="str">
        <f t="shared" si="101"/>
        <v>Jamison Crowder14</v>
      </c>
    </row>
    <row r="2137" spans="1:16" x14ac:dyDescent="0.25">
      <c r="A2137">
        <v>9</v>
      </c>
      <c r="B2137" t="s">
        <v>180</v>
      </c>
      <c r="C2137" t="s">
        <v>7272</v>
      </c>
      <c r="D2137">
        <v>6.12</v>
      </c>
      <c r="E2137" t="s">
        <v>37</v>
      </c>
      <c r="F2137" t="s">
        <v>87</v>
      </c>
      <c r="G2137">
        <v>11.02</v>
      </c>
      <c r="H2137">
        <v>1.22</v>
      </c>
      <c r="I2137">
        <v>4.9000000000000004</v>
      </c>
      <c r="J2137">
        <v>24.01</v>
      </c>
      <c r="K2137" t="str">
        <f>IFERROR(INDEX(Rosters!$C$2:$C$155,MATCH($B2137,Rosters!$B$2:$B$155,0)),"NA")</f>
        <v>NA</v>
      </c>
      <c r="L2137" t="str">
        <f t="shared" si="99"/>
        <v>NA9WR</v>
      </c>
      <c r="M2137">
        <f>COUNTIF(L$1:L2137,L2137)</f>
        <v>4</v>
      </c>
      <c r="N2137" t="str">
        <f t="shared" si="100"/>
        <v>NA9WR-4</v>
      </c>
      <c r="O2137">
        <f>COUNTIFS(F$1:F2137,F2137,A$1:A2137,A2137)</f>
        <v>43</v>
      </c>
      <c r="P2137" t="str">
        <f t="shared" si="101"/>
        <v>Tyler Lockett9</v>
      </c>
    </row>
    <row r="2138" spans="1:16" x14ac:dyDescent="0.25">
      <c r="A2138">
        <v>6</v>
      </c>
      <c r="B2138" t="s">
        <v>128</v>
      </c>
      <c r="C2138" t="s">
        <v>7273</v>
      </c>
      <c r="D2138">
        <v>6.11</v>
      </c>
      <c r="E2138" t="s">
        <v>72</v>
      </c>
      <c r="F2138" t="s">
        <v>47</v>
      </c>
      <c r="G2138">
        <v>9.68</v>
      </c>
      <c r="H2138">
        <v>2.54</v>
      </c>
      <c r="I2138">
        <v>3.57</v>
      </c>
      <c r="J2138">
        <v>12.744899999999999</v>
      </c>
      <c r="K2138" t="str">
        <f>IFERROR(INDEX(Rosters!$C$2:$C$155,MATCH($B2138,Rosters!$B$2:$B$155,0)),"NA")</f>
        <v>NA</v>
      </c>
      <c r="L2138" t="str">
        <f t="shared" si="99"/>
        <v>NA6RB</v>
      </c>
      <c r="M2138">
        <f>COUNTIF(L$1:L2138,L2138)</f>
        <v>4</v>
      </c>
      <c r="N2138" t="str">
        <f t="shared" si="100"/>
        <v>NA6RB-4</v>
      </c>
      <c r="O2138">
        <f>COUNTIFS(F$1:F2138,F2138,A$1:A2138,A2138)</f>
        <v>41</v>
      </c>
      <c r="P2138" t="str">
        <f t="shared" si="101"/>
        <v>Frank Gore6</v>
      </c>
    </row>
    <row r="2139" spans="1:16" x14ac:dyDescent="0.25">
      <c r="A2139">
        <v>15</v>
      </c>
      <c r="B2139" t="s">
        <v>187</v>
      </c>
      <c r="C2139" t="s">
        <v>7274</v>
      </c>
      <c r="D2139">
        <v>6.11</v>
      </c>
      <c r="E2139" t="s">
        <v>19</v>
      </c>
      <c r="F2139" t="s">
        <v>47</v>
      </c>
      <c r="G2139">
        <v>9.99</v>
      </c>
      <c r="H2139">
        <v>2.23</v>
      </c>
      <c r="I2139">
        <v>3.88</v>
      </c>
      <c r="J2139">
        <v>15.054399999999999</v>
      </c>
      <c r="K2139" t="str">
        <f>IFERROR(INDEX(Rosters!$C$2:$C$155,MATCH($B2139,Rosters!$B$2:$B$155,0)),"NA")</f>
        <v>seth</v>
      </c>
      <c r="L2139" t="str">
        <f t="shared" si="99"/>
        <v>seth15RB</v>
      </c>
      <c r="M2139">
        <f>COUNTIF(L$1:L2139,L2139)</f>
        <v>5</v>
      </c>
      <c r="N2139" t="str">
        <f t="shared" si="100"/>
        <v>seth15RB-5</v>
      </c>
      <c r="O2139">
        <f>COUNTIFS(F$1:F2139,F2139,A$1:A2139,A2139)</f>
        <v>43</v>
      </c>
      <c r="P2139" t="str">
        <f t="shared" si="101"/>
        <v>Latavius Murray15</v>
      </c>
    </row>
    <row r="2140" spans="1:16" x14ac:dyDescent="0.25">
      <c r="A2140">
        <v>12</v>
      </c>
      <c r="B2140" t="s">
        <v>170</v>
      </c>
      <c r="C2140" t="s">
        <v>7275</v>
      </c>
      <c r="D2140">
        <v>6.11</v>
      </c>
      <c r="E2140" t="s">
        <v>72</v>
      </c>
      <c r="F2140" t="s">
        <v>47</v>
      </c>
      <c r="G2140">
        <v>10.54</v>
      </c>
      <c r="H2140">
        <v>1.68</v>
      </c>
      <c r="I2140">
        <v>4.43</v>
      </c>
      <c r="J2140">
        <v>19.6249</v>
      </c>
      <c r="K2140" t="str">
        <f>IFERROR(INDEX(Rosters!$C$2:$C$155,MATCH($B2140,Rosters!$B$2:$B$155,0)),"NA")</f>
        <v>NA</v>
      </c>
      <c r="L2140" t="str">
        <f t="shared" si="99"/>
        <v>NA12RB</v>
      </c>
      <c r="M2140">
        <f>COUNTIF(L$1:L2140,L2140)</f>
        <v>5</v>
      </c>
      <c r="N2140" t="str">
        <f t="shared" si="100"/>
        <v>NA12RB-5</v>
      </c>
      <c r="O2140">
        <f>COUNTIFS(F$1:F2140,F2140,A$1:A2140,A2140)</f>
        <v>43</v>
      </c>
      <c r="P2140" t="str">
        <f t="shared" si="101"/>
        <v>LeGarrette Blount12</v>
      </c>
    </row>
    <row r="2141" spans="1:16" x14ac:dyDescent="0.25">
      <c r="A2141">
        <v>13</v>
      </c>
      <c r="B2141" t="s">
        <v>203</v>
      </c>
      <c r="C2141" t="s">
        <v>7276</v>
      </c>
      <c r="D2141">
        <v>6.11</v>
      </c>
      <c r="E2141" t="s">
        <v>38</v>
      </c>
      <c r="F2141" t="s">
        <v>87</v>
      </c>
      <c r="G2141">
        <v>10.88</v>
      </c>
      <c r="H2141">
        <v>1.34</v>
      </c>
      <c r="I2141">
        <v>4.7699999999999996</v>
      </c>
      <c r="J2141">
        <v>22.7529</v>
      </c>
      <c r="K2141" t="str">
        <f>IFERROR(INDEX(Rosters!$C$2:$C$155,MATCH($B2141,Rosters!$B$2:$B$155,0)),"NA")</f>
        <v>NA</v>
      </c>
      <c r="L2141" t="str">
        <f t="shared" si="99"/>
        <v>NA13WR</v>
      </c>
      <c r="M2141">
        <f>COUNTIF(L$1:L2141,L2141)</f>
        <v>8</v>
      </c>
      <c r="N2141" t="str">
        <f t="shared" si="100"/>
        <v>NA13WR-8</v>
      </c>
      <c r="O2141">
        <f>COUNTIFS(F$1:F2141,F2141,A$1:A2141,A2141)</f>
        <v>55</v>
      </c>
      <c r="P2141" t="str">
        <f t="shared" si="101"/>
        <v>Robby Anderson13</v>
      </c>
    </row>
    <row r="2142" spans="1:16" x14ac:dyDescent="0.25">
      <c r="A2142">
        <v>2</v>
      </c>
      <c r="B2142" t="s">
        <v>285</v>
      </c>
      <c r="C2142" t="s">
        <v>1375</v>
      </c>
      <c r="D2142">
        <v>6.11</v>
      </c>
      <c r="E2142" t="s">
        <v>28</v>
      </c>
      <c r="F2142" t="s">
        <v>47</v>
      </c>
      <c r="G2142">
        <v>9.92</v>
      </c>
      <c r="H2142">
        <v>2.2999999999999998</v>
      </c>
      <c r="I2142">
        <v>3.81</v>
      </c>
      <c r="J2142">
        <v>14.5161</v>
      </c>
      <c r="K2142" t="str">
        <f>IFERROR(INDEX(Rosters!$C$2:$C$155,MATCH($B2142,Rosters!$B$2:$B$155,0)),"NA")</f>
        <v>NA</v>
      </c>
      <c r="L2142" t="str">
        <f t="shared" si="99"/>
        <v>NA2RB</v>
      </c>
      <c r="M2142">
        <f>COUNTIF(L$1:L2142,L2142)</f>
        <v>5</v>
      </c>
      <c r="N2142" t="str">
        <f t="shared" si="100"/>
        <v>NA2RB-5</v>
      </c>
      <c r="O2142">
        <f>COUNTIFS(F$1:F2142,F2142,A$1:A2142,A2142)</f>
        <v>37</v>
      </c>
      <c r="P2142" t="str">
        <f t="shared" si="101"/>
        <v>Tarik Cohen2</v>
      </c>
    </row>
    <row r="2143" spans="1:16" x14ac:dyDescent="0.25">
      <c r="A2143">
        <v>15</v>
      </c>
      <c r="B2143" t="s">
        <v>143</v>
      </c>
      <c r="C2143">
        <f>-0.37-12.59</f>
        <v>-12.959999999999999</v>
      </c>
      <c r="D2143">
        <v>6.11</v>
      </c>
      <c r="E2143" t="s">
        <v>36</v>
      </c>
      <c r="F2143" t="s">
        <v>87</v>
      </c>
      <c r="G2143">
        <v>12.59</v>
      </c>
      <c r="H2143">
        <v>-0.37</v>
      </c>
      <c r="I2143">
        <v>6.48</v>
      </c>
      <c r="J2143">
        <v>41.990400000000001</v>
      </c>
      <c r="K2143" t="str">
        <f>IFERROR(INDEX(Rosters!$C$2:$C$155,MATCH($B2143,Rosters!$B$2:$B$155,0)),"NA")</f>
        <v>NA</v>
      </c>
      <c r="L2143" t="str">
        <f t="shared" si="99"/>
        <v>NA15WR</v>
      </c>
      <c r="M2143">
        <f>COUNTIF(L$1:L2143,L2143)</f>
        <v>5</v>
      </c>
      <c r="N2143" t="str">
        <f t="shared" si="100"/>
        <v>NA15WR-5</v>
      </c>
      <c r="O2143">
        <f>COUNTIFS(F$1:F2143,F2143,A$1:A2143,A2143)</f>
        <v>50</v>
      </c>
      <c r="P2143" t="str">
        <f t="shared" si="101"/>
        <v>Terrelle Pryor Sr.15</v>
      </c>
    </row>
    <row r="2144" spans="1:16" x14ac:dyDescent="0.25">
      <c r="A2144">
        <v>1</v>
      </c>
      <c r="B2144" t="s">
        <v>145</v>
      </c>
      <c r="C2144" t="s">
        <v>1376</v>
      </c>
      <c r="D2144">
        <v>6.1</v>
      </c>
      <c r="E2144" t="s">
        <v>50</v>
      </c>
      <c r="F2144" t="s">
        <v>47</v>
      </c>
      <c r="G2144">
        <v>10.42</v>
      </c>
      <c r="H2144">
        <v>1.78</v>
      </c>
      <c r="I2144">
        <v>4.32</v>
      </c>
      <c r="J2144">
        <v>18.662400000000002</v>
      </c>
      <c r="K2144" t="str">
        <f>IFERROR(INDEX(Rosters!$C$2:$C$155,MATCH($B2144,Rosters!$B$2:$B$155,0)),"NA")</f>
        <v>lucas</v>
      </c>
      <c r="L2144" t="str">
        <f t="shared" si="99"/>
        <v>lucas1RB</v>
      </c>
      <c r="M2144">
        <f>COUNTIF(L$1:L2144,L2144)</f>
        <v>5</v>
      </c>
      <c r="N2144" t="str">
        <f t="shared" si="100"/>
        <v>lucas1RB-5</v>
      </c>
      <c r="O2144">
        <f>COUNTIFS(F$1:F2144,F2144,A$1:A2144,A2144)</f>
        <v>35</v>
      </c>
      <c r="P2144" t="str">
        <f t="shared" si="101"/>
        <v>Tevin Coleman1</v>
      </c>
    </row>
    <row r="2145" spans="1:16" x14ac:dyDescent="0.25">
      <c r="A2145">
        <v>7</v>
      </c>
      <c r="B2145" t="s">
        <v>1373</v>
      </c>
      <c r="C2145" t="s">
        <v>7277</v>
      </c>
      <c r="D2145">
        <v>6.09</v>
      </c>
      <c r="E2145" t="s">
        <v>38</v>
      </c>
      <c r="F2145" t="s">
        <v>47</v>
      </c>
      <c r="G2145">
        <v>10.75</v>
      </c>
      <c r="H2145">
        <v>1.43</v>
      </c>
      <c r="I2145">
        <v>4.66</v>
      </c>
      <c r="J2145">
        <v>21.715599999999998</v>
      </c>
      <c r="K2145" t="str">
        <f>IFERROR(INDEX(Rosters!$C$2:$C$155,MATCH($B2145,Rosters!$B$2:$B$155,0)),"NA")</f>
        <v>matty</v>
      </c>
      <c r="L2145" t="str">
        <f t="shared" si="99"/>
        <v>matty7RB</v>
      </c>
      <c r="M2145">
        <f>COUNTIF(L$1:L2145,L2145)</f>
        <v>4</v>
      </c>
      <c r="N2145" t="str">
        <f t="shared" si="100"/>
        <v>matty7RB-4</v>
      </c>
      <c r="O2145">
        <f>COUNTIFS(F$1:F2145,F2145,A$1:A2145,A2145)</f>
        <v>43</v>
      </c>
      <c r="P2145" t="str">
        <f t="shared" si="101"/>
        <v>Austin Ekeler7</v>
      </c>
    </row>
    <row r="2146" spans="1:16" x14ac:dyDescent="0.25">
      <c r="A2146">
        <v>4</v>
      </c>
      <c r="B2146" t="s">
        <v>139</v>
      </c>
      <c r="C2146" t="s">
        <v>4513</v>
      </c>
      <c r="D2146">
        <v>6.09</v>
      </c>
      <c r="E2146" t="s">
        <v>76</v>
      </c>
      <c r="F2146" t="s">
        <v>47</v>
      </c>
      <c r="G2146">
        <v>12.14</v>
      </c>
      <c r="H2146">
        <v>0.04</v>
      </c>
      <c r="I2146">
        <v>6.05</v>
      </c>
      <c r="J2146">
        <v>36.602499999999999</v>
      </c>
      <c r="K2146" t="str">
        <f>IFERROR(INDEX(Rosters!$C$2:$C$155,MATCH($B2146,Rosters!$B$2:$B$155,0)),"NA")</f>
        <v>cory</v>
      </c>
      <c r="L2146" t="str">
        <f t="shared" si="99"/>
        <v>cory4RB</v>
      </c>
      <c r="M2146">
        <f>COUNTIF(L$1:L2146,L2146)</f>
        <v>3</v>
      </c>
      <c r="N2146" t="str">
        <f t="shared" si="100"/>
        <v>cory4RB-3</v>
      </c>
      <c r="O2146">
        <f>COUNTIFS(F$1:F2146,F2146,A$1:A2146,A2146)</f>
        <v>40</v>
      </c>
      <c r="P2146" t="str">
        <f t="shared" si="101"/>
        <v>Bilal Powell4</v>
      </c>
    </row>
    <row r="2147" spans="1:16" x14ac:dyDescent="0.25">
      <c r="A2147">
        <v>17</v>
      </c>
      <c r="B2147" t="s">
        <v>1419</v>
      </c>
      <c r="C2147" t="s">
        <v>7278</v>
      </c>
      <c r="D2147">
        <v>6.08</v>
      </c>
      <c r="E2147" t="s">
        <v>77</v>
      </c>
      <c r="F2147" t="s">
        <v>87</v>
      </c>
      <c r="G2147">
        <v>10.92</v>
      </c>
      <c r="H2147">
        <v>1.24</v>
      </c>
      <c r="I2147">
        <v>4.84</v>
      </c>
      <c r="J2147">
        <v>23.425599999999999</v>
      </c>
      <c r="K2147" t="str">
        <f>IFERROR(INDEX(Rosters!$C$2:$C$155,MATCH($B2147,Rosters!$B$2:$B$155,0)),"NA")</f>
        <v>chad</v>
      </c>
      <c r="L2147" t="str">
        <f t="shared" si="99"/>
        <v>chad17WR</v>
      </c>
      <c r="M2147">
        <f>COUNTIF(L$1:L2147,L2147)</f>
        <v>6</v>
      </c>
      <c r="N2147" t="str">
        <f t="shared" si="100"/>
        <v>chad17WR-6</v>
      </c>
      <c r="O2147">
        <f>COUNTIFS(F$1:F2147,F2147,A$1:A2147,A2147)</f>
        <v>52</v>
      </c>
      <c r="P2147" t="str">
        <f t="shared" si="101"/>
        <v>Antonio Callaway17</v>
      </c>
    </row>
    <row r="2148" spans="1:16" x14ac:dyDescent="0.25">
      <c r="A2148">
        <v>17</v>
      </c>
      <c r="B2148" t="s">
        <v>128</v>
      </c>
      <c r="C2148" t="s">
        <v>7279</v>
      </c>
      <c r="D2148">
        <v>6.07</v>
      </c>
      <c r="E2148" t="s">
        <v>29</v>
      </c>
      <c r="F2148" t="s">
        <v>47</v>
      </c>
      <c r="G2148">
        <v>10.130000000000001</v>
      </c>
      <c r="H2148">
        <v>2.0099999999999998</v>
      </c>
      <c r="I2148">
        <v>4.0599999999999996</v>
      </c>
      <c r="J2148">
        <v>16.483599999999999</v>
      </c>
      <c r="K2148" t="str">
        <f>IFERROR(INDEX(Rosters!$C$2:$C$155,MATCH($B2148,Rosters!$B$2:$B$155,0)),"NA")</f>
        <v>NA</v>
      </c>
      <c r="L2148" t="str">
        <f t="shared" si="99"/>
        <v>NA17RB</v>
      </c>
      <c r="M2148">
        <f>COUNTIF(L$1:L2148,L2148)</f>
        <v>4</v>
      </c>
      <c r="N2148" t="str">
        <f t="shared" si="100"/>
        <v>NA17RB-4</v>
      </c>
      <c r="O2148">
        <f>COUNTIFS(F$1:F2148,F2148,A$1:A2148,A2148)</f>
        <v>45</v>
      </c>
      <c r="P2148" t="str">
        <f t="shared" si="101"/>
        <v>Frank Gore17</v>
      </c>
    </row>
    <row r="2149" spans="1:16" x14ac:dyDescent="0.25">
      <c r="A2149">
        <v>14</v>
      </c>
      <c r="B2149" t="s">
        <v>196</v>
      </c>
      <c r="C2149" t="s">
        <v>7280</v>
      </c>
      <c r="D2149">
        <v>6.07</v>
      </c>
      <c r="E2149" t="s">
        <v>37</v>
      </c>
      <c r="F2149" t="s">
        <v>47</v>
      </c>
      <c r="G2149">
        <v>9.98</v>
      </c>
      <c r="H2149">
        <v>2.16</v>
      </c>
      <c r="I2149">
        <v>3.91</v>
      </c>
      <c r="J2149">
        <v>15.2881</v>
      </c>
      <c r="K2149" t="str">
        <f>IFERROR(INDEX(Rosters!$C$2:$C$155,MATCH($B2149,Rosters!$B$2:$B$155,0)),"NA")</f>
        <v>NA</v>
      </c>
      <c r="L2149" t="str">
        <f t="shared" si="99"/>
        <v>NA14RB</v>
      </c>
      <c r="M2149">
        <f>COUNTIF(L$1:L2149,L2149)</f>
        <v>6</v>
      </c>
      <c r="N2149" t="str">
        <f t="shared" si="100"/>
        <v>NA14RB-6</v>
      </c>
      <c r="O2149">
        <f>COUNTIFS(F$1:F2149,F2149,A$1:A2149,A2149)</f>
        <v>47</v>
      </c>
      <c r="P2149" t="str">
        <f t="shared" si="101"/>
        <v>Giovani Bernard14</v>
      </c>
    </row>
    <row r="2150" spans="1:16" x14ac:dyDescent="0.25">
      <c r="A2150">
        <v>7</v>
      </c>
      <c r="B2150" t="s">
        <v>137</v>
      </c>
      <c r="C2150" t="s">
        <v>7281</v>
      </c>
      <c r="D2150">
        <v>6.07</v>
      </c>
      <c r="E2150" t="s">
        <v>22</v>
      </c>
      <c r="F2150" t="s">
        <v>87</v>
      </c>
      <c r="G2150">
        <v>10.18</v>
      </c>
      <c r="H2150">
        <v>1.96</v>
      </c>
      <c r="I2150">
        <v>4.1100000000000003</v>
      </c>
      <c r="J2150">
        <v>16.892099999999999</v>
      </c>
      <c r="K2150" t="str">
        <f>IFERROR(INDEX(Rosters!$C$2:$C$155,MATCH($B2150,Rosters!$B$2:$B$155,0)),"NA")</f>
        <v>lucas</v>
      </c>
      <c r="L2150" t="str">
        <f t="shared" si="99"/>
        <v>lucas7WR</v>
      </c>
      <c r="M2150">
        <f>COUNTIF(L$1:L2150,L2150)</f>
        <v>4</v>
      </c>
      <c r="N2150" t="str">
        <f t="shared" si="100"/>
        <v>lucas7WR-4</v>
      </c>
      <c r="O2150">
        <f>COUNTIFS(F$1:F2150,F2150,A$1:A2150,A2150)</f>
        <v>42</v>
      </c>
      <c r="P2150" t="str">
        <f t="shared" si="101"/>
        <v>Jamison Crowder7</v>
      </c>
    </row>
    <row r="2151" spans="1:16" x14ac:dyDescent="0.25">
      <c r="A2151">
        <v>2</v>
      </c>
      <c r="B2151" t="s">
        <v>195</v>
      </c>
      <c r="C2151">
        <f>-0.64-12.78</f>
        <v>-13.42</v>
      </c>
      <c r="D2151">
        <v>6.07</v>
      </c>
      <c r="E2151" t="s">
        <v>30</v>
      </c>
      <c r="F2151" t="s">
        <v>87</v>
      </c>
      <c r="G2151">
        <v>12.78</v>
      </c>
      <c r="H2151">
        <v>-0.64</v>
      </c>
      <c r="I2151">
        <v>6.71</v>
      </c>
      <c r="J2151">
        <v>45.024099999999997</v>
      </c>
      <c r="K2151" t="str">
        <f>IFERROR(INDEX(Rosters!$C$2:$C$155,MATCH($B2151,Rosters!$B$2:$B$155,0)),"NA")</f>
        <v>scott</v>
      </c>
      <c r="L2151" t="str">
        <f t="shared" si="99"/>
        <v>scott2WR</v>
      </c>
      <c r="M2151">
        <f>COUNTIF(L$1:L2151,L2151)</f>
        <v>3</v>
      </c>
      <c r="N2151" t="str">
        <f t="shared" si="100"/>
        <v>scott2WR-3</v>
      </c>
      <c r="O2151">
        <f>COUNTIFS(F$1:F2151,F2151,A$1:A2151,A2151)</f>
        <v>44</v>
      </c>
      <c r="P2151" t="str">
        <f t="shared" si="101"/>
        <v>Kenny Golladay2</v>
      </c>
    </row>
    <row r="2152" spans="1:16" x14ac:dyDescent="0.25">
      <c r="A2152">
        <v>11</v>
      </c>
      <c r="B2152" t="s">
        <v>1395</v>
      </c>
      <c r="C2152" t="s">
        <v>7282</v>
      </c>
      <c r="D2152">
        <v>6.07</v>
      </c>
      <c r="E2152" t="s">
        <v>38</v>
      </c>
      <c r="F2152" t="s">
        <v>47</v>
      </c>
      <c r="G2152">
        <v>10.71</v>
      </c>
      <c r="H2152">
        <v>1.43</v>
      </c>
      <c r="I2152">
        <v>4.6399999999999997</v>
      </c>
      <c r="J2152">
        <v>21.529599999999999</v>
      </c>
      <c r="K2152" t="str">
        <f>IFERROR(INDEX(Rosters!$C$2:$C$155,MATCH($B2152,Rosters!$B$2:$B$155,0)),"NA")</f>
        <v>cory</v>
      </c>
      <c r="L2152" t="str">
        <f t="shared" si="99"/>
        <v>cory11RB</v>
      </c>
      <c r="M2152">
        <f>COUNTIF(L$1:L2152,L2152)</f>
        <v>2</v>
      </c>
      <c r="N2152" t="str">
        <f t="shared" si="100"/>
        <v>cory11RB-2</v>
      </c>
      <c r="O2152">
        <f>COUNTIFS(F$1:F2152,F2152,A$1:A2152,A2152)</f>
        <v>35</v>
      </c>
      <c r="P2152" t="str">
        <f t="shared" si="101"/>
        <v>Nyheim Hines11</v>
      </c>
    </row>
    <row r="2153" spans="1:16" x14ac:dyDescent="0.25">
      <c r="A2153">
        <v>17</v>
      </c>
      <c r="B2153" t="s">
        <v>796</v>
      </c>
      <c r="C2153" t="s">
        <v>7283</v>
      </c>
      <c r="D2153">
        <v>6.06</v>
      </c>
      <c r="E2153" t="s">
        <v>52</v>
      </c>
      <c r="F2153" t="s">
        <v>47</v>
      </c>
      <c r="G2153">
        <v>11.15</v>
      </c>
      <c r="H2153">
        <v>0.97</v>
      </c>
      <c r="I2153">
        <v>5.09</v>
      </c>
      <c r="J2153">
        <v>25.908100000000001</v>
      </c>
      <c r="K2153" t="str">
        <f>IFERROR(INDEX(Rosters!$C$2:$C$155,MATCH($B2153,Rosters!$B$2:$B$155,0)),"NA")</f>
        <v>seth</v>
      </c>
      <c r="L2153" t="str">
        <f t="shared" si="99"/>
        <v>seth17RB</v>
      </c>
      <c r="M2153">
        <f>COUNTIF(L$1:L2153,L2153)</f>
        <v>6</v>
      </c>
      <c r="N2153" t="str">
        <f t="shared" si="100"/>
        <v>seth17RB-6</v>
      </c>
      <c r="O2153">
        <f>COUNTIFS(F$1:F2153,F2153,A$1:A2153,A2153)</f>
        <v>46</v>
      </c>
      <c r="P2153" t="str">
        <f t="shared" si="101"/>
        <v>Alex Collins17</v>
      </c>
    </row>
    <row r="2154" spans="1:16" x14ac:dyDescent="0.25">
      <c r="A2154">
        <v>6</v>
      </c>
      <c r="B2154" t="s">
        <v>1373</v>
      </c>
      <c r="C2154" t="s">
        <v>7284</v>
      </c>
      <c r="D2154">
        <v>6.06</v>
      </c>
      <c r="E2154" t="s">
        <v>52</v>
      </c>
      <c r="F2154" t="s">
        <v>47</v>
      </c>
      <c r="G2154">
        <v>11.32</v>
      </c>
      <c r="H2154">
        <v>0.8</v>
      </c>
      <c r="I2154">
        <v>5.26</v>
      </c>
      <c r="J2154">
        <v>27.6676</v>
      </c>
      <c r="K2154" t="str">
        <f>IFERROR(INDEX(Rosters!$C$2:$C$155,MATCH($B2154,Rosters!$B$2:$B$155,0)),"NA")</f>
        <v>matty</v>
      </c>
      <c r="L2154" t="str">
        <f t="shared" si="99"/>
        <v>matty6RB</v>
      </c>
      <c r="M2154">
        <f>COUNTIF(L$1:L2154,L2154)</f>
        <v>4</v>
      </c>
      <c r="N2154" t="str">
        <f t="shared" si="100"/>
        <v>matty6RB-4</v>
      </c>
      <c r="O2154">
        <f>COUNTIFS(F$1:F2154,F2154,A$1:A2154,A2154)</f>
        <v>42</v>
      </c>
      <c r="P2154" t="str">
        <f t="shared" si="101"/>
        <v>Austin Ekeler6</v>
      </c>
    </row>
    <row r="2155" spans="1:16" x14ac:dyDescent="0.25">
      <c r="A2155">
        <v>14</v>
      </c>
      <c r="B2155" t="s">
        <v>147</v>
      </c>
      <c r="C2155" t="s">
        <v>7285</v>
      </c>
      <c r="D2155">
        <v>6.06</v>
      </c>
      <c r="E2155" t="s">
        <v>38</v>
      </c>
      <c r="F2155" t="s">
        <v>87</v>
      </c>
      <c r="G2155">
        <v>11</v>
      </c>
      <c r="H2155">
        <v>1.1200000000000001</v>
      </c>
      <c r="I2155">
        <v>4.9400000000000004</v>
      </c>
      <c r="J2155">
        <v>24.403600000000001</v>
      </c>
      <c r="K2155" t="str">
        <f>IFERROR(INDEX(Rosters!$C$2:$C$155,MATCH($B2155,Rosters!$B$2:$B$155,0)),"NA")</f>
        <v>NA</v>
      </c>
      <c r="L2155" t="str">
        <f t="shared" si="99"/>
        <v>NA14WR</v>
      </c>
      <c r="M2155">
        <f>COUNTIF(L$1:L2155,L2155)</f>
        <v>8</v>
      </c>
      <c r="N2155" t="str">
        <f t="shared" si="100"/>
        <v>NA14WR-8</v>
      </c>
      <c r="O2155">
        <f>COUNTIFS(F$1:F2155,F2155,A$1:A2155,A2155)</f>
        <v>57</v>
      </c>
      <c r="P2155" t="str">
        <f t="shared" si="101"/>
        <v>Donte Moncrief14</v>
      </c>
    </row>
    <row r="2156" spans="1:16" x14ac:dyDescent="0.25">
      <c r="A2156">
        <v>1</v>
      </c>
      <c r="B2156" t="s">
        <v>235</v>
      </c>
      <c r="C2156" t="s">
        <v>1740</v>
      </c>
      <c r="D2156">
        <v>6.06</v>
      </c>
      <c r="E2156" t="s">
        <v>76</v>
      </c>
      <c r="F2156" t="s">
        <v>114</v>
      </c>
      <c r="G2156">
        <v>11.31</v>
      </c>
      <c r="H2156">
        <v>0.81</v>
      </c>
      <c r="I2156">
        <v>5.25</v>
      </c>
      <c r="J2156">
        <v>27.5625</v>
      </c>
      <c r="K2156" t="str">
        <f>IFERROR(INDEX(Rosters!$C$2:$C$155,MATCH($B2156,Rosters!$B$2:$B$155,0)),"NA")</f>
        <v>devon</v>
      </c>
      <c r="L2156" t="str">
        <f t="shared" si="99"/>
        <v>devon1TE</v>
      </c>
      <c r="M2156">
        <f>COUNTIF(L$1:L2156,L2156)</f>
        <v>1</v>
      </c>
      <c r="N2156" t="str">
        <f t="shared" si="100"/>
        <v>devon1TE-1</v>
      </c>
      <c r="O2156">
        <f>COUNTIFS(F$1:F2156,F2156,A$1:A2156,A2156)</f>
        <v>8</v>
      </c>
      <c r="P2156" t="str">
        <f t="shared" si="101"/>
        <v>Evan Engram1</v>
      </c>
    </row>
    <row r="2157" spans="1:16" x14ac:dyDescent="0.25">
      <c r="A2157">
        <v>15</v>
      </c>
      <c r="B2157" t="s">
        <v>155</v>
      </c>
      <c r="C2157" t="s">
        <v>7286</v>
      </c>
      <c r="D2157">
        <v>6.06</v>
      </c>
      <c r="E2157" t="s">
        <v>29</v>
      </c>
      <c r="F2157" t="s">
        <v>47</v>
      </c>
      <c r="G2157">
        <v>10.01</v>
      </c>
      <c r="H2157">
        <v>2.11</v>
      </c>
      <c r="I2157">
        <v>3.95</v>
      </c>
      <c r="J2157">
        <v>15.602499999999999</v>
      </c>
      <c r="K2157" t="str">
        <f>IFERROR(INDEX(Rosters!$C$2:$C$155,MATCH($B2157,Rosters!$B$2:$B$155,0)),"NA")</f>
        <v>NA</v>
      </c>
      <c r="L2157" t="str">
        <f t="shared" si="99"/>
        <v>NA15RB</v>
      </c>
      <c r="M2157">
        <f>COUNTIF(L$1:L2157,L2157)</f>
        <v>5</v>
      </c>
      <c r="N2157" t="str">
        <f t="shared" si="100"/>
        <v>NA15RB-5</v>
      </c>
      <c r="O2157">
        <f>COUNTIFS(F$1:F2157,F2157,A$1:A2157,A2157)</f>
        <v>44</v>
      </c>
      <c r="P2157" t="str">
        <f t="shared" si="101"/>
        <v>Theo Riddick15</v>
      </c>
    </row>
    <row r="2158" spans="1:16" x14ac:dyDescent="0.25">
      <c r="A2158">
        <v>15</v>
      </c>
      <c r="B2158" t="s">
        <v>117</v>
      </c>
      <c r="C2158" t="s">
        <v>7287</v>
      </c>
      <c r="D2158">
        <v>6.05</v>
      </c>
      <c r="E2158" t="s">
        <v>36</v>
      </c>
      <c r="F2158" t="s">
        <v>47</v>
      </c>
      <c r="G2158">
        <v>10.88</v>
      </c>
      <c r="H2158">
        <v>1.22</v>
      </c>
      <c r="I2158">
        <v>4.83</v>
      </c>
      <c r="J2158">
        <v>23.328900000000001</v>
      </c>
      <c r="K2158" t="str">
        <f>IFERROR(INDEX(Rosters!$C$2:$C$155,MATCH($B2158,Rosters!$B$2:$B$155,0)),"NA")</f>
        <v>chad</v>
      </c>
      <c r="L2158" t="str">
        <f t="shared" si="99"/>
        <v>chad15RB</v>
      </c>
      <c r="M2158">
        <f>COUNTIF(L$1:L2158,L2158)</f>
        <v>5</v>
      </c>
      <c r="N2158" t="str">
        <f t="shared" si="100"/>
        <v>chad15RB-5</v>
      </c>
      <c r="O2158">
        <f>COUNTIFS(F$1:F2158,F2158,A$1:A2158,A2158)</f>
        <v>45</v>
      </c>
      <c r="P2158" t="str">
        <f t="shared" si="101"/>
        <v>Isaiah Crowell15</v>
      </c>
    </row>
    <row r="2159" spans="1:16" x14ac:dyDescent="0.25">
      <c r="A2159">
        <v>3</v>
      </c>
      <c r="B2159" t="s">
        <v>1556</v>
      </c>
      <c r="C2159">
        <f>-0.46-12.56</f>
        <v>-13.020000000000001</v>
      </c>
      <c r="D2159">
        <v>6.05</v>
      </c>
      <c r="E2159" t="s">
        <v>25</v>
      </c>
      <c r="F2159" t="s">
        <v>47</v>
      </c>
      <c r="G2159">
        <v>12.56</v>
      </c>
      <c r="H2159">
        <v>-0.46</v>
      </c>
      <c r="I2159">
        <v>6.51</v>
      </c>
      <c r="J2159">
        <v>42.380099999999999</v>
      </c>
      <c r="K2159" t="str">
        <f>IFERROR(INDEX(Rosters!$C$2:$C$155,MATCH($B2159,Rosters!$B$2:$B$155,0)),"NA")</f>
        <v>NA</v>
      </c>
      <c r="L2159" t="str">
        <f t="shared" si="99"/>
        <v>NA3RB</v>
      </c>
      <c r="M2159">
        <f>COUNTIF(L$1:L2159,L2159)</f>
        <v>12</v>
      </c>
      <c r="N2159" t="str">
        <f t="shared" si="100"/>
        <v>NA3RB-12</v>
      </c>
      <c r="O2159">
        <f>COUNTIFS(F$1:F2159,F2159,A$1:A2159,A2159)</f>
        <v>42</v>
      </c>
      <c r="P2159" t="str">
        <f t="shared" si="101"/>
        <v>Marcus Murphy3</v>
      </c>
    </row>
    <row r="2160" spans="1:16" x14ac:dyDescent="0.25">
      <c r="A2160">
        <v>12</v>
      </c>
      <c r="B2160" t="s">
        <v>245</v>
      </c>
      <c r="C2160" t="s">
        <v>7288</v>
      </c>
      <c r="D2160">
        <v>6.05</v>
      </c>
      <c r="E2160" t="s">
        <v>29</v>
      </c>
      <c r="F2160" t="s">
        <v>47</v>
      </c>
      <c r="G2160">
        <v>11.51</v>
      </c>
      <c r="H2160">
        <v>0.59</v>
      </c>
      <c r="I2160">
        <v>5.46</v>
      </c>
      <c r="J2160">
        <v>29.811599999999999</v>
      </c>
      <c r="K2160" t="str">
        <f>IFERROR(INDEX(Rosters!$C$2:$C$155,MATCH($B2160,Rosters!$B$2:$B$155,0)),"NA")</f>
        <v>seth</v>
      </c>
      <c r="L2160" t="str">
        <f t="shared" si="99"/>
        <v>seth12RB</v>
      </c>
      <c r="M2160">
        <f>COUNTIF(L$1:L2160,L2160)</f>
        <v>5</v>
      </c>
      <c r="N2160" t="str">
        <f t="shared" si="100"/>
        <v>seth12RB-5</v>
      </c>
      <c r="O2160">
        <f>COUNTIFS(F$1:F2160,F2160,A$1:A2160,A2160)</f>
        <v>44</v>
      </c>
      <c r="P2160" t="str">
        <f t="shared" si="101"/>
        <v>T.J. Yeldon12</v>
      </c>
    </row>
    <row r="2161" spans="1:16" x14ac:dyDescent="0.25">
      <c r="A2161">
        <v>8</v>
      </c>
      <c r="B2161" t="s">
        <v>281</v>
      </c>
      <c r="C2161" t="s">
        <v>7289</v>
      </c>
      <c r="D2161">
        <v>6.04</v>
      </c>
      <c r="E2161" t="s">
        <v>56</v>
      </c>
      <c r="F2161" t="s">
        <v>47</v>
      </c>
      <c r="G2161">
        <v>11.85</v>
      </c>
      <c r="H2161">
        <v>0.23</v>
      </c>
      <c r="I2161">
        <v>5.81</v>
      </c>
      <c r="J2161">
        <v>33.756100000000004</v>
      </c>
      <c r="K2161" t="str">
        <f>IFERROR(INDEX(Rosters!$C$2:$C$155,MATCH($B2161,Rosters!$B$2:$B$155,0)),"NA")</f>
        <v>aj</v>
      </c>
      <c r="L2161" t="str">
        <f t="shared" si="99"/>
        <v>aj8RB</v>
      </c>
      <c r="M2161">
        <f>COUNTIF(L$1:L2161,L2161)</f>
        <v>5</v>
      </c>
      <c r="N2161" t="str">
        <f t="shared" si="100"/>
        <v>aj8RB-5</v>
      </c>
      <c r="O2161">
        <f>COUNTIFS(F$1:F2161,F2161,A$1:A2161,A2161)</f>
        <v>40</v>
      </c>
      <c r="P2161" t="str">
        <f t="shared" si="101"/>
        <v>Aaron Jones8</v>
      </c>
    </row>
    <row r="2162" spans="1:16" x14ac:dyDescent="0.25">
      <c r="A2162">
        <v>4</v>
      </c>
      <c r="B2162" t="s">
        <v>163</v>
      </c>
      <c r="C2162" t="s">
        <v>4514</v>
      </c>
      <c r="D2162">
        <v>6.04</v>
      </c>
      <c r="E2162" t="s">
        <v>72</v>
      </c>
      <c r="F2162" t="s">
        <v>87</v>
      </c>
      <c r="G2162">
        <v>9.77</v>
      </c>
      <c r="H2162">
        <v>2.31</v>
      </c>
      <c r="I2162">
        <v>3.73</v>
      </c>
      <c r="J2162">
        <v>13.9129</v>
      </c>
      <c r="K2162" t="str">
        <f>IFERROR(INDEX(Rosters!$C$2:$C$155,MATCH($B2162,Rosters!$B$2:$B$155,0)),"NA")</f>
        <v>scott</v>
      </c>
      <c r="L2162" t="str">
        <f t="shared" si="99"/>
        <v>scott4WR</v>
      </c>
      <c r="M2162">
        <f>COUNTIF(L$1:L2162,L2162)</f>
        <v>6</v>
      </c>
      <c r="N2162" t="str">
        <f t="shared" si="100"/>
        <v>scott4WR-6</v>
      </c>
      <c r="O2162">
        <f>COUNTIFS(F$1:F2162,F2162,A$1:A2162,A2162)</f>
        <v>46</v>
      </c>
      <c r="P2162" t="str">
        <f t="shared" si="101"/>
        <v>DeSean Jackson4</v>
      </c>
    </row>
    <row r="2163" spans="1:16" x14ac:dyDescent="0.25">
      <c r="A2163">
        <v>3</v>
      </c>
      <c r="B2163" t="s">
        <v>147</v>
      </c>
      <c r="C2163" t="s">
        <v>3714</v>
      </c>
      <c r="D2163">
        <v>6.04</v>
      </c>
      <c r="E2163" t="s">
        <v>38</v>
      </c>
      <c r="F2163" t="s">
        <v>87</v>
      </c>
      <c r="G2163">
        <v>10.8</v>
      </c>
      <c r="H2163">
        <v>1.28</v>
      </c>
      <c r="I2163">
        <v>4.76</v>
      </c>
      <c r="J2163">
        <v>22.657599999999999</v>
      </c>
      <c r="K2163" t="str">
        <f>IFERROR(INDEX(Rosters!$C$2:$C$155,MATCH($B2163,Rosters!$B$2:$B$155,0)),"NA")</f>
        <v>NA</v>
      </c>
      <c r="L2163" t="str">
        <f t="shared" si="99"/>
        <v>NA3WR</v>
      </c>
      <c r="M2163">
        <f>COUNTIF(L$1:L2163,L2163)</f>
        <v>4</v>
      </c>
      <c r="N2163" t="str">
        <f t="shared" si="100"/>
        <v>NA3WR-4</v>
      </c>
      <c r="O2163">
        <f>COUNTIFS(F$1:F2163,F2163,A$1:A2163,A2163)</f>
        <v>43</v>
      </c>
      <c r="P2163" t="str">
        <f t="shared" si="101"/>
        <v>Donte Moncrief3</v>
      </c>
    </row>
    <row r="2164" spans="1:16" x14ac:dyDescent="0.25">
      <c r="A2164">
        <v>4</v>
      </c>
      <c r="B2164" t="s">
        <v>170</v>
      </c>
      <c r="C2164" t="s">
        <v>4515</v>
      </c>
      <c r="D2164">
        <v>6.04</v>
      </c>
      <c r="E2164" t="s">
        <v>22</v>
      </c>
      <c r="F2164" t="s">
        <v>47</v>
      </c>
      <c r="G2164">
        <v>10.4</v>
      </c>
      <c r="H2164">
        <v>1.68</v>
      </c>
      <c r="I2164">
        <v>4.3600000000000003</v>
      </c>
      <c r="J2164">
        <v>19.009599999999999</v>
      </c>
      <c r="K2164" t="str">
        <f>IFERROR(INDEX(Rosters!$C$2:$C$155,MATCH($B2164,Rosters!$B$2:$B$155,0)),"NA")</f>
        <v>NA</v>
      </c>
      <c r="L2164" t="str">
        <f t="shared" si="99"/>
        <v>NA4RB</v>
      </c>
      <c r="M2164">
        <f>COUNTIF(L$1:L2164,L2164)</f>
        <v>8</v>
      </c>
      <c r="N2164" t="str">
        <f t="shared" si="100"/>
        <v>NA4RB-8</v>
      </c>
      <c r="O2164">
        <f>COUNTIFS(F$1:F2164,F2164,A$1:A2164,A2164)</f>
        <v>41</v>
      </c>
      <c r="P2164" t="str">
        <f t="shared" si="101"/>
        <v>LeGarrette Blount4</v>
      </c>
    </row>
    <row r="2165" spans="1:16" x14ac:dyDescent="0.25">
      <c r="A2165">
        <v>15</v>
      </c>
      <c r="B2165" t="s">
        <v>170</v>
      </c>
      <c r="C2165" t="s">
        <v>7290</v>
      </c>
      <c r="D2165">
        <v>6.04</v>
      </c>
      <c r="E2165" t="s">
        <v>29</v>
      </c>
      <c r="F2165" t="s">
        <v>47</v>
      </c>
      <c r="G2165">
        <v>10.68</v>
      </c>
      <c r="H2165">
        <v>1.4</v>
      </c>
      <c r="I2165">
        <v>4.6399999999999997</v>
      </c>
      <c r="J2165">
        <v>21.529599999999999</v>
      </c>
      <c r="K2165" t="str">
        <f>IFERROR(INDEX(Rosters!$C$2:$C$155,MATCH($B2165,Rosters!$B$2:$B$155,0)),"NA")</f>
        <v>NA</v>
      </c>
      <c r="L2165" t="str">
        <f t="shared" si="99"/>
        <v>NA15RB</v>
      </c>
      <c r="M2165">
        <f>COUNTIF(L$1:L2165,L2165)</f>
        <v>6</v>
      </c>
      <c r="N2165" t="str">
        <f t="shared" si="100"/>
        <v>NA15RB-6</v>
      </c>
      <c r="O2165">
        <f>COUNTIFS(F$1:F2165,F2165,A$1:A2165,A2165)</f>
        <v>46</v>
      </c>
      <c r="P2165" t="str">
        <f t="shared" si="101"/>
        <v>LeGarrette Blount15</v>
      </c>
    </row>
    <row r="2166" spans="1:16" x14ac:dyDescent="0.25">
      <c r="A2166">
        <v>3</v>
      </c>
      <c r="B2166" t="s">
        <v>192</v>
      </c>
      <c r="C2166" t="s">
        <v>3715</v>
      </c>
      <c r="D2166">
        <v>6.04</v>
      </c>
      <c r="E2166" t="s">
        <v>36</v>
      </c>
      <c r="F2166" t="s">
        <v>87</v>
      </c>
      <c r="G2166">
        <v>10.69</v>
      </c>
      <c r="H2166">
        <v>1.39</v>
      </c>
      <c r="I2166">
        <v>4.6500000000000004</v>
      </c>
      <c r="J2166">
        <v>21.622499999999999</v>
      </c>
      <c r="K2166" t="str">
        <f>IFERROR(INDEX(Rosters!$C$2:$C$155,MATCH($B2166,Rosters!$B$2:$B$155,0)),"NA")</f>
        <v>cory</v>
      </c>
      <c r="L2166" t="str">
        <f t="shared" si="99"/>
        <v>cory3WR</v>
      </c>
      <c r="M2166">
        <f>COUNTIF(L$1:L2166,L2166)</f>
        <v>4</v>
      </c>
      <c r="N2166" t="str">
        <f t="shared" si="100"/>
        <v>cory3WR-4</v>
      </c>
      <c r="O2166">
        <f>COUNTIFS(F$1:F2166,F2166,A$1:A2166,A2166)</f>
        <v>44</v>
      </c>
      <c r="P2166" t="str">
        <f t="shared" si="101"/>
        <v>Sterling Shepard3</v>
      </c>
    </row>
    <row r="2167" spans="1:16" x14ac:dyDescent="0.25">
      <c r="A2167">
        <v>8</v>
      </c>
      <c r="B2167" t="s">
        <v>160</v>
      </c>
      <c r="C2167" t="s">
        <v>7291</v>
      </c>
      <c r="D2167">
        <v>6.03</v>
      </c>
      <c r="E2167" t="s">
        <v>58</v>
      </c>
      <c r="F2167" t="s">
        <v>87</v>
      </c>
      <c r="G2167">
        <v>11.06</v>
      </c>
      <c r="H2167">
        <v>1</v>
      </c>
      <c r="I2167">
        <v>5.03</v>
      </c>
      <c r="J2167">
        <v>25.300899999999999</v>
      </c>
      <c r="K2167" t="str">
        <f>IFERROR(INDEX(Rosters!$C$2:$C$155,MATCH($B2167,Rosters!$B$2:$B$155,0)),"NA")</f>
        <v>NA</v>
      </c>
      <c r="L2167" t="str">
        <f t="shared" si="99"/>
        <v>NA8WR</v>
      </c>
      <c r="M2167">
        <f>COUNTIF(L$1:L2167,L2167)</f>
        <v>4</v>
      </c>
      <c r="N2167" t="str">
        <f t="shared" si="100"/>
        <v>NA8WR-4</v>
      </c>
      <c r="O2167">
        <f>COUNTIFS(F$1:F2167,F2167,A$1:A2167,A2167)</f>
        <v>46</v>
      </c>
      <c r="P2167" t="str">
        <f t="shared" si="101"/>
        <v>Pierre Garcon8</v>
      </c>
    </row>
    <row r="2168" spans="1:16" x14ac:dyDescent="0.25">
      <c r="A2168">
        <v>8</v>
      </c>
      <c r="B2168" t="s">
        <v>180</v>
      </c>
      <c r="C2168" t="s">
        <v>7292</v>
      </c>
      <c r="D2168">
        <v>6.03</v>
      </c>
      <c r="E2168" t="s">
        <v>34</v>
      </c>
      <c r="F2168" t="s">
        <v>87</v>
      </c>
      <c r="G2168">
        <v>10.86</v>
      </c>
      <c r="H2168">
        <v>1.2</v>
      </c>
      <c r="I2168">
        <v>4.83</v>
      </c>
      <c r="J2168">
        <v>23.328900000000001</v>
      </c>
      <c r="K2168" t="str">
        <f>IFERROR(INDEX(Rosters!$C$2:$C$155,MATCH($B2168,Rosters!$B$2:$B$155,0)),"NA")</f>
        <v>NA</v>
      </c>
      <c r="L2168" t="str">
        <f t="shared" si="99"/>
        <v>NA8WR</v>
      </c>
      <c r="M2168">
        <f>COUNTIF(L$1:L2168,L2168)</f>
        <v>5</v>
      </c>
      <c r="N2168" t="str">
        <f t="shared" si="100"/>
        <v>NA8WR-5</v>
      </c>
      <c r="O2168">
        <f>COUNTIFS(F$1:F2168,F2168,A$1:A2168,A2168)</f>
        <v>47</v>
      </c>
      <c r="P2168" t="str">
        <f t="shared" si="101"/>
        <v>Tyler Lockett8</v>
      </c>
    </row>
    <row r="2169" spans="1:16" x14ac:dyDescent="0.25">
      <c r="A2169">
        <v>12</v>
      </c>
      <c r="B2169" t="s">
        <v>1397</v>
      </c>
      <c r="C2169" t="s">
        <v>7293</v>
      </c>
      <c r="D2169">
        <v>6.02</v>
      </c>
      <c r="E2169" t="s">
        <v>37</v>
      </c>
      <c r="F2169" t="s">
        <v>87</v>
      </c>
      <c r="G2169">
        <v>10.97</v>
      </c>
      <c r="H2169">
        <v>1.07</v>
      </c>
      <c r="I2169">
        <v>4.95</v>
      </c>
      <c r="J2169">
        <v>24.502500000000001</v>
      </c>
      <c r="K2169" t="str">
        <f>IFERROR(INDEX(Rosters!$C$2:$C$155,MATCH($B2169,Rosters!$B$2:$B$155,0)),"NA")</f>
        <v>NA</v>
      </c>
      <c r="L2169" t="str">
        <f t="shared" si="99"/>
        <v>NA12WR</v>
      </c>
      <c r="M2169">
        <f>COUNTIF(L$1:L2169,L2169)</f>
        <v>5</v>
      </c>
      <c r="N2169" t="str">
        <f t="shared" si="100"/>
        <v>NA12WR-5</v>
      </c>
      <c r="O2169">
        <f>COUNTIFS(F$1:F2169,F2169,A$1:A2169,A2169)</f>
        <v>48</v>
      </c>
      <c r="P2169" t="str">
        <f t="shared" si="101"/>
        <v>Christian Kirk12</v>
      </c>
    </row>
    <row r="2170" spans="1:16" x14ac:dyDescent="0.25">
      <c r="A2170">
        <v>16</v>
      </c>
      <c r="B2170" t="s">
        <v>1425</v>
      </c>
      <c r="C2170" t="s">
        <v>7294</v>
      </c>
      <c r="D2170">
        <v>6.02</v>
      </c>
      <c r="E2170" t="s">
        <v>32</v>
      </c>
      <c r="F2170" t="s">
        <v>87</v>
      </c>
      <c r="G2170">
        <v>10.46</v>
      </c>
      <c r="H2170">
        <v>1.58</v>
      </c>
      <c r="I2170">
        <v>4.4400000000000004</v>
      </c>
      <c r="J2170">
        <v>19.7136</v>
      </c>
      <c r="K2170" t="str">
        <f>IFERROR(INDEX(Rosters!$C$2:$C$155,MATCH($B2170,Rosters!$B$2:$B$155,0)),"NA")</f>
        <v>NA</v>
      </c>
      <c r="L2170" t="str">
        <f t="shared" si="99"/>
        <v>NA16WR</v>
      </c>
      <c r="M2170">
        <f>COUNTIF(L$1:L2170,L2170)</f>
        <v>4</v>
      </c>
      <c r="N2170" t="str">
        <f t="shared" si="100"/>
        <v>NA16WR-4</v>
      </c>
      <c r="O2170">
        <f>COUNTIFS(F$1:F2170,F2170,A$1:A2170,A2170)</f>
        <v>52</v>
      </c>
      <c r="P2170" t="str">
        <f t="shared" si="101"/>
        <v>Courtland Sutton16</v>
      </c>
    </row>
    <row r="2171" spans="1:16" x14ac:dyDescent="0.25">
      <c r="A2171">
        <v>3</v>
      </c>
      <c r="B2171" t="s">
        <v>223</v>
      </c>
      <c r="C2171" t="s">
        <v>3716</v>
      </c>
      <c r="D2171">
        <v>6.02</v>
      </c>
      <c r="E2171" t="s">
        <v>41</v>
      </c>
      <c r="F2171" t="s">
        <v>87</v>
      </c>
      <c r="G2171">
        <v>10.27</v>
      </c>
      <c r="H2171">
        <v>1.77</v>
      </c>
      <c r="I2171">
        <v>4.25</v>
      </c>
      <c r="J2171">
        <v>18.0625</v>
      </c>
      <c r="K2171" t="str">
        <f>IFERROR(INDEX(Rosters!$C$2:$C$155,MATCH($B2171,Rosters!$B$2:$B$155,0)),"NA")</f>
        <v>NA</v>
      </c>
      <c r="L2171" t="str">
        <f t="shared" si="99"/>
        <v>NA3WR</v>
      </c>
      <c r="M2171">
        <f>COUNTIF(L$1:L2171,L2171)</f>
        <v>5</v>
      </c>
      <c r="N2171" t="str">
        <f t="shared" si="100"/>
        <v>NA3WR-5</v>
      </c>
      <c r="O2171">
        <f>COUNTIFS(F$1:F2171,F2171,A$1:A2171,A2171)</f>
        <v>45</v>
      </c>
      <c r="P2171" t="str">
        <f t="shared" si="101"/>
        <v>Paul Richardson3</v>
      </c>
    </row>
    <row r="2172" spans="1:16" x14ac:dyDescent="0.25">
      <c r="A2172">
        <v>16</v>
      </c>
      <c r="B2172" t="s">
        <v>170</v>
      </c>
      <c r="C2172" t="s">
        <v>7295</v>
      </c>
      <c r="D2172">
        <v>6.01</v>
      </c>
      <c r="E2172" t="s">
        <v>25</v>
      </c>
      <c r="F2172" t="s">
        <v>47</v>
      </c>
      <c r="G2172">
        <v>10.58</v>
      </c>
      <c r="H2172">
        <v>1.44</v>
      </c>
      <c r="I2172">
        <v>4.57</v>
      </c>
      <c r="J2172">
        <v>20.884899999999998</v>
      </c>
      <c r="K2172" t="str">
        <f>IFERROR(INDEX(Rosters!$C$2:$C$155,MATCH($B2172,Rosters!$B$2:$B$155,0)),"NA")</f>
        <v>NA</v>
      </c>
      <c r="L2172" t="str">
        <f t="shared" si="99"/>
        <v>NA16RB</v>
      </c>
      <c r="M2172">
        <f>COUNTIF(L$1:L2172,L2172)</f>
        <v>5</v>
      </c>
      <c r="N2172" t="str">
        <f t="shared" si="100"/>
        <v>NA16RB-5</v>
      </c>
      <c r="O2172">
        <f>COUNTIFS(F$1:F2172,F2172,A$1:A2172,A2172)</f>
        <v>45</v>
      </c>
      <c r="P2172" t="str">
        <f t="shared" si="101"/>
        <v>LeGarrette Blount16</v>
      </c>
    </row>
    <row r="2173" spans="1:16" x14ac:dyDescent="0.25">
      <c r="A2173">
        <v>6</v>
      </c>
      <c r="B2173" t="s">
        <v>1148</v>
      </c>
      <c r="C2173" t="s">
        <v>7296</v>
      </c>
      <c r="D2173">
        <v>6.01</v>
      </c>
      <c r="E2173" t="s">
        <v>32</v>
      </c>
      <c r="F2173" t="s">
        <v>47</v>
      </c>
      <c r="G2173">
        <v>10.54</v>
      </c>
      <c r="H2173">
        <v>1.48</v>
      </c>
      <c r="I2173">
        <v>4.53</v>
      </c>
      <c r="J2173">
        <v>20.520900000000001</v>
      </c>
      <c r="K2173" t="str">
        <f>IFERROR(INDEX(Rosters!$C$2:$C$155,MATCH($B2173,Rosters!$B$2:$B$155,0)),"NA")</f>
        <v>NA</v>
      </c>
      <c r="L2173" t="str">
        <f t="shared" si="99"/>
        <v>NA6RB</v>
      </c>
      <c r="M2173">
        <f>COUNTIF(L$1:L2173,L2173)</f>
        <v>5</v>
      </c>
      <c r="N2173" t="str">
        <f t="shared" si="100"/>
        <v>NA6RB-5</v>
      </c>
      <c r="O2173">
        <f>COUNTIFS(F$1:F2173,F2173,A$1:A2173,A2173)</f>
        <v>43</v>
      </c>
      <c r="P2173" t="str">
        <f t="shared" si="101"/>
        <v>Mike Davis6</v>
      </c>
    </row>
    <row r="2174" spans="1:16" x14ac:dyDescent="0.25">
      <c r="A2174">
        <v>3</v>
      </c>
      <c r="B2174" t="s">
        <v>834</v>
      </c>
      <c r="C2174" t="s">
        <v>3717</v>
      </c>
      <c r="D2174">
        <v>6</v>
      </c>
      <c r="E2174" t="s">
        <v>22</v>
      </c>
      <c r="F2174" t="s">
        <v>47</v>
      </c>
      <c r="G2174">
        <v>10.94</v>
      </c>
      <c r="H2174">
        <v>1.06</v>
      </c>
      <c r="I2174">
        <v>4.9400000000000004</v>
      </c>
      <c r="J2174">
        <v>24.403600000000001</v>
      </c>
      <c r="K2174" t="str">
        <f>IFERROR(INDEX(Rosters!$C$2:$C$155,MATCH($B2174,Rosters!$B$2:$B$155,0)),"NA")</f>
        <v>lucas</v>
      </c>
      <c r="L2174" t="str">
        <f t="shared" si="99"/>
        <v>lucas3RB</v>
      </c>
      <c r="M2174">
        <f>COUNTIF(L$1:L2174,L2174)</f>
        <v>5</v>
      </c>
      <c r="N2174" t="str">
        <f t="shared" si="100"/>
        <v>lucas3RB-5</v>
      </c>
      <c r="O2174">
        <f>COUNTIFS(F$1:F2174,F2174,A$1:A2174,A2174)</f>
        <v>43</v>
      </c>
      <c r="P2174" t="str">
        <f t="shared" si="101"/>
        <v>Chris Carson3</v>
      </c>
    </row>
    <row r="2175" spans="1:16" x14ac:dyDescent="0.25">
      <c r="A2175">
        <v>3</v>
      </c>
      <c r="B2175" t="s">
        <v>256</v>
      </c>
      <c r="C2175" t="s">
        <v>3718</v>
      </c>
      <c r="D2175">
        <v>6</v>
      </c>
      <c r="E2175" t="s">
        <v>37</v>
      </c>
      <c r="F2175" t="s">
        <v>87</v>
      </c>
      <c r="G2175">
        <v>9.4700000000000006</v>
      </c>
      <c r="H2175">
        <v>2.5299999999999998</v>
      </c>
      <c r="I2175">
        <v>3.47</v>
      </c>
      <c r="J2175">
        <v>12.040900000000001</v>
      </c>
      <c r="K2175" t="str">
        <f>IFERROR(INDEX(Rosters!$C$2:$C$155,MATCH($B2175,Rosters!$B$2:$B$155,0)),"NA")</f>
        <v>lucas</v>
      </c>
      <c r="L2175" t="str">
        <f t="shared" si="99"/>
        <v>lucas3WR</v>
      </c>
      <c r="M2175">
        <f>COUNTIF(L$1:L2175,L2175)</f>
        <v>4</v>
      </c>
      <c r="N2175" t="str">
        <f t="shared" si="100"/>
        <v>lucas3WR-4</v>
      </c>
      <c r="O2175">
        <f>COUNTIFS(F$1:F2175,F2175,A$1:A2175,A2175)</f>
        <v>46</v>
      </c>
      <c r="P2175" t="str">
        <f t="shared" si="101"/>
        <v>Cooper Kupp3</v>
      </c>
    </row>
    <row r="2176" spans="1:16" x14ac:dyDescent="0.25">
      <c r="A2176">
        <v>12</v>
      </c>
      <c r="B2176" t="s">
        <v>285</v>
      </c>
      <c r="C2176" t="s">
        <v>7297</v>
      </c>
      <c r="D2176">
        <v>6</v>
      </c>
      <c r="E2176" t="s">
        <v>34</v>
      </c>
      <c r="F2176" t="s">
        <v>47</v>
      </c>
      <c r="G2176">
        <v>10.44</v>
      </c>
      <c r="H2176">
        <v>1.56</v>
      </c>
      <c r="I2176">
        <v>4.4400000000000004</v>
      </c>
      <c r="J2176">
        <v>19.7136</v>
      </c>
      <c r="K2176" t="str">
        <f>IFERROR(INDEX(Rosters!$C$2:$C$155,MATCH($B2176,Rosters!$B$2:$B$155,0)),"NA")</f>
        <v>NA</v>
      </c>
      <c r="L2176" t="str">
        <f t="shared" si="99"/>
        <v>NA12RB</v>
      </c>
      <c r="M2176">
        <f>COUNTIF(L$1:L2176,L2176)</f>
        <v>6</v>
      </c>
      <c r="N2176" t="str">
        <f t="shared" si="100"/>
        <v>NA12RB-6</v>
      </c>
      <c r="O2176">
        <f>COUNTIFS(F$1:F2176,F2176,A$1:A2176,A2176)</f>
        <v>45</v>
      </c>
      <c r="P2176" t="str">
        <f t="shared" si="101"/>
        <v>Tarik Cohen12</v>
      </c>
    </row>
    <row r="2177" spans="1:16" x14ac:dyDescent="0.25">
      <c r="A2177">
        <v>5</v>
      </c>
      <c r="B2177" t="s">
        <v>303</v>
      </c>
      <c r="C2177" t="s">
        <v>7298</v>
      </c>
      <c r="D2177">
        <v>6</v>
      </c>
      <c r="E2177" t="s">
        <v>29</v>
      </c>
      <c r="F2177" t="s">
        <v>87</v>
      </c>
      <c r="G2177">
        <v>10.42</v>
      </c>
      <c r="H2177">
        <v>1.58</v>
      </c>
      <c r="I2177">
        <v>4.42</v>
      </c>
      <c r="J2177">
        <v>19.5364</v>
      </c>
      <c r="K2177" t="str">
        <f>IFERROR(INDEX(Rosters!$C$2:$C$155,MATCH($B2177,Rosters!$B$2:$B$155,0)),"NA")</f>
        <v>NA</v>
      </c>
      <c r="L2177" t="str">
        <f t="shared" si="99"/>
        <v>NA5WR</v>
      </c>
      <c r="M2177">
        <f>COUNTIF(L$1:L2177,L2177)</f>
        <v>6</v>
      </c>
      <c r="N2177" t="str">
        <f t="shared" si="100"/>
        <v>NA5WR-6</v>
      </c>
      <c r="O2177">
        <f>COUNTIFS(F$1:F2177,F2177,A$1:A2177,A2177)</f>
        <v>50</v>
      </c>
      <c r="P2177" t="str">
        <f t="shared" si="101"/>
        <v>Taywan Taylor5</v>
      </c>
    </row>
    <row r="2178" spans="1:16" x14ac:dyDescent="0.25">
      <c r="A2178">
        <v>3</v>
      </c>
      <c r="B2178" t="s">
        <v>168</v>
      </c>
      <c r="C2178" t="s">
        <v>3719</v>
      </c>
      <c r="D2178">
        <v>6</v>
      </c>
      <c r="E2178" t="s">
        <v>46</v>
      </c>
      <c r="F2178" t="s">
        <v>87</v>
      </c>
      <c r="G2178">
        <v>11.17</v>
      </c>
      <c r="H2178">
        <v>0.83</v>
      </c>
      <c r="I2178">
        <v>5.17</v>
      </c>
      <c r="J2178">
        <v>26.728899999999999</v>
      </c>
      <c r="K2178" t="str">
        <f>IFERROR(INDEX(Rosters!$C$2:$C$155,MATCH($B2178,Rosters!$B$2:$B$155,0)),"NA")</f>
        <v>NA</v>
      </c>
      <c r="L2178" t="str">
        <f t="shared" si="99"/>
        <v>NA3WR</v>
      </c>
      <c r="M2178">
        <f>COUNTIF(L$1:L2178,L2178)</f>
        <v>6</v>
      </c>
      <c r="N2178" t="str">
        <f t="shared" si="100"/>
        <v>NA3WR-6</v>
      </c>
      <c r="O2178">
        <f>COUNTIFS(F$1:F2178,F2178,A$1:A2178,A2178)</f>
        <v>47</v>
      </c>
      <c r="P2178" t="str">
        <f t="shared" si="101"/>
        <v>Ted Ginn Jr.3</v>
      </c>
    </row>
    <row r="2179" spans="1:16" x14ac:dyDescent="0.25">
      <c r="A2179">
        <v>2</v>
      </c>
      <c r="B2179" t="s">
        <v>4204</v>
      </c>
      <c r="C2179">
        <f>-0.03-12.01</f>
        <v>-12.04</v>
      </c>
      <c r="D2179">
        <v>5.99</v>
      </c>
      <c r="E2179" t="s">
        <v>34</v>
      </c>
      <c r="F2179" t="s">
        <v>87</v>
      </c>
      <c r="G2179">
        <v>12.01</v>
      </c>
      <c r="H2179">
        <v>-0.03</v>
      </c>
      <c r="I2179">
        <v>6.02</v>
      </c>
      <c r="J2179">
        <v>36.240400000000001</v>
      </c>
      <c r="K2179" t="str">
        <f>IFERROR(INDEX(Rosters!$C$2:$C$155,MATCH($B2179,Rosters!$B$2:$B$155,0)),"NA")</f>
        <v>NA</v>
      </c>
      <c r="L2179" t="str">
        <f t="shared" ref="L2179:L2242" si="102">K2179&amp;A2179&amp;F2179</f>
        <v>NA2WR</v>
      </c>
      <c r="M2179">
        <f>COUNTIF(L$1:L2179,L2179)</f>
        <v>7</v>
      </c>
      <c r="N2179" t="str">
        <f t="shared" ref="N2179:N2242" si="103">L2179&amp;"-"&amp;M2179</f>
        <v>NA2WR-7</v>
      </c>
      <c r="O2179">
        <f>COUNTIFS(F$1:F2179,F2179,A$1:A2179,A2179)</f>
        <v>45</v>
      </c>
      <c r="P2179" t="str">
        <f t="shared" ref="P2179:P2242" si="104">B2179&amp;A2179</f>
        <v>Dante Pettis2</v>
      </c>
    </row>
    <row r="2180" spans="1:16" x14ac:dyDescent="0.25">
      <c r="A2180">
        <v>15</v>
      </c>
      <c r="B2180" t="s">
        <v>1449</v>
      </c>
      <c r="C2180" t="s">
        <v>7299</v>
      </c>
      <c r="D2180">
        <v>5.99</v>
      </c>
      <c r="E2180" t="s">
        <v>17</v>
      </c>
      <c r="F2180" t="s">
        <v>114</v>
      </c>
      <c r="G2180">
        <v>10.28</v>
      </c>
      <c r="H2180">
        <v>1.7</v>
      </c>
      <c r="I2180">
        <v>4.29</v>
      </c>
      <c r="J2180">
        <v>18.4041</v>
      </c>
      <c r="K2180" t="str">
        <f>IFERROR(INDEX(Rosters!$C$2:$C$155,MATCH($B2180,Rosters!$B$2:$B$155,0)),"NA")</f>
        <v>NA</v>
      </c>
      <c r="L2180" t="str">
        <f t="shared" si="102"/>
        <v>NA15TE</v>
      </c>
      <c r="M2180">
        <f>COUNTIF(L$1:L2180,L2180)</f>
        <v>1</v>
      </c>
      <c r="N2180" t="str">
        <f t="shared" si="103"/>
        <v>NA15TE-1</v>
      </c>
      <c r="O2180">
        <f>COUNTIFS(F$1:F2180,F2180,A$1:A2180,A2180)</f>
        <v>7</v>
      </c>
      <c r="P2180" t="str">
        <f t="shared" si="104"/>
        <v>Hayden Hurst15</v>
      </c>
    </row>
    <row r="2181" spans="1:16" x14ac:dyDescent="0.25">
      <c r="A2181">
        <v>15</v>
      </c>
      <c r="B2181" t="s">
        <v>137</v>
      </c>
      <c r="C2181" t="s">
        <v>7300</v>
      </c>
      <c r="D2181">
        <v>5.99</v>
      </c>
      <c r="E2181" t="s">
        <v>76</v>
      </c>
      <c r="F2181" t="s">
        <v>87</v>
      </c>
      <c r="G2181">
        <v>10.48</v>
      </c>
      <c r="H2181">
        <v>1.5</v>
      </c>
      <c r="I2181">
        <v>4.49</v>
      </c>
      <c r="J2181">
        <v>20.1601</v>
      </c>
      <c r="K2181" t="str">
        <f>IFERROR(INDEX(Rosters!$C$2:$C$155,MATCH($B2181,Rosters!$B$2:$B$155,0)),"NA")</f>
        <v>lucas</v>
      </c>
      <c r="L2181" t="str">
        <f t="shared" si="102"/>
        <v>lucas15WR</v>
      </c>
      <c r="M2181">
        <f>COUNTIF(L$1:L2181,L2181)</f>
        <v>4</v>
      </c>
      <c r="N2181" t="str">
        <f t="shared" si="103"/>
        <v>lucas15WR-4</v>
      </c>
      <c r="O2181">
        <f>COUNTIFS(F$1:F2181,F2181,A$1:A2181,A2181)</f>
        <v>51</v>
      </c>
      <c r="P2181" t="str">
        <f t="shared" si="104"/>
        <v>Jamison Crowder15</v>
      </c>
    </row>
    <row r="2182" spans="1:16" x14ac:dyDescent="0.25">
      <c r="A2182">
        <v>12</v>
      </c>
      <c r="B2182" t="s">
        <v>306</v>
      </c>
      <c r="C2182" t="s">
        <v>7301</v>
      </c>
      <c r="D2182">
        <v>5.99</v>
      </c>
      <c r="E2182" t="s">
        <v>32</v>
      </c>
      <c r="F2182" t="s">
        <v>47</v>
      </c>
      <c r="G2182">
        <v>10.17</v>
      </c>
      <c r="H2182">
        <v>1.81</v>
      </c>
      <c r="I2182">
        <v>4.18</v>
      </c>
      <c r="J2182">
        <v>17.4724</v>
      </c>
      <c r="K2182" t="str">
        <f>IFERROR(INDEX(Rosters!$C$2:$C$155,MATCH($B2182,Rosters!$B$2:$B$155,0)),"NA")</f>
        <v>chad</v>
      </c>
      <c r="L2182" t="str">
        <f t="shared" si="102"/>
        <v>chad12RB</v>
      </c>
      <c r="M2182">
        <f>COUNTIF(L$1:L2182,L2182)</f>
        <v>4</v>
      </c>
      <c r="N2182" t="str">
        <f t="shared" si="103"/>
        <v>chad12RB-4</v>
      </c>
      <c r="O2182">
        <f>COUNTIFS(F$1:F2182,F2182,A$1:A2182,A2182)</f>
        <v>46</v>
      </c>
      <c r="P2182" t="str">
        <f t="shared" si="104"/>
        <v>Javorius Allen12</v>
      </c>
    </row>
    <row r="2183" spans="1:16" x14ac:dyDescent="0.25">
      <c r="A2183">
        <v>3</v>
      </c>
      <c r="B2183" t="s">
        <v>229</v>
      </c>
      <c r="C2183" t="s">
        <v>3720</v>
      </c>
      <c r="D2183">
        <v>5.99</v>
      </c>
      <c r="E2183" t="s">
        <v>51</v>
      </c>
      <c r="F2183" t="s">
        <v>114</v>
      </c>
      <c r="G2183">
        <v>10.98</v>
      </c>
      <c r="H2183">
        <v>1</v>
      </c>
      <c r="I2183">
        <v>4.99</v>
      </c>
      <c r="J2183">
        <v>24.900099999999998</v>
      </c>
      <c r="K2183" t="str">
        <f>IFERROR(INDEX(Rosters!$C$2:$C$155,MATCH($B2183,Rosters!$B$2:$B$155,0)),"NA")</f>
        <v>NA</v>
      </c>
      <c r="L2183" t="str">
        <f t="shared" si="102"/>
        <v>NA3TE</v>
      </c>
      <c r="M2183">
        <f>COUNTIF(L$1:L2183,L2183)</f>
        <v>1</v>
      </c>
      <c r="N2183" t="str">
        <f t="shared" si="103"/>
        <v>NA3TE-1</v>
      </c>
      <c r="O2183">
        <f>COUNTIFS(F$1:F2183,F2183,A$1:A2183,A2183)</f>
        <v>11</v>
      </c>
      <c r="P2183" t="str">
        <f t="shared" si="104"/>
        <v>O.J. Howard3</v>
      </c>
    </row>
    <row r="2184" spans="1:16" x14ac:dyDescent="0.25">
      <c r="A2184">
        <v>16</v>
      </c>
      <c r="B2184" t="s">
        <v>212</v>
      </c>
      <c r="C2184" t="s">
        <v>7302</v>
      </c>
      <c r="D2184">
        <v>5.98</v>
      </c>
      <c r="E2184" t="s">
        <v>72</v>
      </c>
      <c r="F2184" t="s">
        <v>47</v>
      </c>
      <c r="G2184">
        <v>10.82</v>
      </c>
      <c r="H2184">
        <v>1.1399999999999999</v>
      </c>
      <c r="I2184">
        <v>4.84</v>
      </c>
      <c r="J2184">
        <v>23.425599999999999</v>
      </c>
      <c r="K2184" t="str">
        <f>IFERROR(INDEX(Rosters!$C$2:$C$155,MATCH($B2184,Rosters!$B$2:$B$155,0)),"NA")</f>
        <v>seth</v>
      </c>
      <c r="L2184" t="str">
        <f t="shared" si="102"/>
        <v>seth16RB</v>
      </c>
      <c r="M2184">
        <f>COUNTIF(L$1:L2184,L2184)</f>
        <v>6</v>
      </c>
      <c r="N2184" t="str">
        <f t="shared" si="103"/>
        <v>seth16RB-6</v>
      </c>
      <c r="O2184">
        <f>COUNTIFS(F$1:F2184,F2184,A$1:A2184,A2184)</f>
        <v>46</v>
      </c>
      <c r="P2184" t="str">
        <f t="shared" si="104"/>
        <v>Alfred Morris16</v>
      </c>
    </row>
    <row r="2185" spans="1:16" x14ac:dyDescent="0.25">
      <c r="A2185">
        <v>7</v>
      </c>
      <c r="B2185" t="s">
        <v>183</v>
      </c>
      <c r="C2185" t="s">
        <v>7303</v>
      </c>
      <c r="D2185">
        <v>5.98</v>
      </c>
      <c r="E2185" t="s">
        <v>17</v>
      </c>
      <c r="F2185" t="s">
        <v>47</v>
      </c>
      <c r="G2185">
        <v>9.98</v>
      </c>
      <c r="H2185">
        <v>1.98</v>
      </c>
      <c r="I2185">
        <v>4</v>
      </c>
      <c r="J2185">
        <v>16</v>
      </c>
      <c r="K2185" t="str">
        <f>IFERROR(INDEX(Rosters!$C$2:$C$155,MATCH($B2185,Rosters!$B$2:$B$155,0)),"NA")</f>
        <v>NA</v>
      </c>
      <c r="L2185" t="str">
        <f t="shared" si="102"/>
        <v>NA7RB</v>
      </c>
      <c r="M2185">
        <f>COUNTIF(L$1:L2185,L2185)</f>
        <v>6</v>
      </c>
      <c r="N2185" t="str">
        <f t="shared" si="103"/>
        <v>NA7RB-6</v>
      </c>
      <c r="O2185">
        <f>COUNTIFS(F$1:F2185,F2185,A$1:A2185,A2185)</f>
        <v>44</v>
      </c>
      <c r="P2185" t="str">
        <f t="shared" si="104"/>
        <v>Duke Johnson Jr.7</v>
      </c>
    </row>
    <row r="2186" spans="1:16" x14ac:dyDescent="0.25">
      <c r="A2186">
        <v>8</v>
      </c>
      <c r="B2186" t="s">
        <v>137</v>
      </c>
      <c r="C2186" t="s">
        <v>7304</v>
      </c>
      <c r="D2186">
        <v>5.98</v>
      </c>
      <c r="E2186" t="s">
        <v>54</v>
      </c>
      <c r="F2186" t="s">
        <v>87</v>
      </c>
      <c r="G2186">
        <v>10.41</v>
      </c>
      <c r="H2186">
        <v>1.55</v>
      </c>
      <c r="I2186">
        <v>4.43</v>
      </c>
      <c r="J2186">
        <v>19.6249</v>
      </c>
      <c r="K2186" t="str">
        <f>IFERROR(INDEX(Rosters!$C$2:$C$155,MATCH($B2186,Rosters!$B$2:$B$155,0)),"NA")</f>
        <v>lucas</v>
      </c>
      <c r="L2186" t="str">
        <f t="shared" si="102"/>
        <v>lucas8WR</v>
      </c>
      <c r="M2186">
        <f>COUNTIF(L$1:L2186,L2186)</f>
        <v>4</v>
      </c>
      <c r="N2186" t="str">
        <f t="shared" si="103"/>
        <v>lucas8WR-4</v>
      </c>
      <c r="O2186">
        <f>COUNTIFS(F$1:F2186,F2186,A$1:A2186,A2186)</f>
        <v>48</v>
      </c>
      <c r="P2186" t="str">
        <f t="shared" si="104"/>
        <v>Jamison Crowder8</v>
      </c>
    </row>
    <row r="2187" spans="1:16" x14ac:dyDescent="0.25">
      <c r="A2187">
        <v>2</v>
      </c>
      <c r="B2187" t="s">
        <v>109</v>
      </c>
      <c r="C2187" t="s">
        <v>1702</v>
      </c>
      <c r="D2187">
        <v>5.98</v>
      </c>
      <c r="E2187" t="s">
        <v>25</v>
      </c>
      <c r="F2187" t="s">
        <v>47</v>
      </c>
      <c r="G2187">
        <v>11.52</v>
      </c>
      <c r="H2187">
        <v>0.44</v>
      </c>
      <c r="I2187">
        <v>5.54</v>
      </c>
      <c r="J2187">
        <v>30.691600000000001</v>
      </c>
      <c r="K2187" t="str">
        <f>IFERROR(INDEX(Rosters!$C$2:$C$155,MATCH($B2187,Rosters!$B$2:$B$155,0)),"NA")</f>
        <v>seth</v>
      </c>
      <c r="L2187" t="str">
        <f t="shared" si="102"/>
        <v>seth2RB</v>
      </c>
      <c r="M2187">
        <f>COUNTIF(L$1:L2187,L2187)</f>
        <v>5</v>
      </c>
      <c r="N2187" t="str">
        <f t="shared" si="103"/>
        <v>seth2RB-5</v>
      </c>
      <c r="O2187">
        <f>COUNTIFS(F$1:F2187,F2187,A$1:A2187,A2187)</f>
        <v>38</v>
      </c>
      <c r="P2187" t="str">
        <f t="shared" si="104"/>
        <v>Ty Montgomery2</v>
      </c>
    </row>
    <row r="2188" spans="1:16" x14ac:dyDescent="0.25">
      <c r="A2188">
        <v>9</v>
      </c>
      <c r="B2188" t="s">
        <v>128</v>
      </c>
      <c r="C2188" t="s">
        <v>7305</v>
      </c>
      <c r="D2188">
        <v>5.97</v>
      </c>
      <c r="E2188" t="s">
        <v>73</v>
      </c>
      <c r="F2188" t="s">
        <v>47</v>
      </c>
      <c r="G2188">
        <v>9.85</v>
      </c>
      <c r="H2188">
        <v>2.09</v>
      </c>
      <c r="I2188">
        <v>3.88</v>
      </c>
      <c r="J2188">
        <v>15.054399999999999</v>
      </c>
      <c r="K2188" t="str">
        <f>IFERROR(INDEX(Rosters!$C$2:$C$155,MATCH($B2188,Rosters!$B$2:$B$155,0)),"NA")</f>
        <v>NA</v>
      </c>
      <c r="L2188" t="str">
        <f t="shared" si="102"/>
        <v>NA9RB</v>
      </c>
      <c r="M2188">
        <f>COUNTIF(L$1:L2188,L2188)</f>
        <v>5</v>
      </c>
      <c r="N2188" t="str">
        <f t="shared" si="103"/>
        <v>NA9RB-5</v>
      </c>
      <c r="O2188">
        <f>COUNTIFS(F$1:F2188,F2188,A$1:A2188,A2188)</f>
        <v>41</v>
      </c>
      <c r="P2188" t="str">
        <f t="shared" si="104"/>
        <v>Frank Gore9</v>
      </c>
    </row>
    <row r="2189" spans="1:16" x14ac:dyDescent="0.25">
      <c r="A2189">
        <v>7</v>
      </c>
      <c r="B2189" t="s">
        <v>264</v>
      </c>
      <c r="C2189" t="s">
        <v>7306</v>
      </c>
      <c r="D2189">
        <v>5.97</v>
      </c>
      <c r="E2189" t="s">
        <v>56</v>
      </c>
      <c r="F2189" t="s">
        <v>114</v>
      </c>
      <c r="G2189">
        <v>10.33</v>
      </c>
      <c r="H2189">
        <v>1.61</v>
      </c>
      <c r="I2189">
        <v>4.3600000000000003</v>
      </c>
      <c r="J2189">
        <v>19.009599999999999</v>
      </c>
      <c r="K2189" t="str">
        <f>IFERROR(INDEX(Rosters!$C$2:$C$155,MATCH($B2189,Rosters!$B$2:$B$155,0)),"NA")</f>
        <v>scott</v>
      </c>
      <c r="L2189" t="str">
        <f t="shared" si="102"/>
        <v>scott7TE</v>
      </c>
      <c r="M2189">
        <f>COUNTIF(L$1:L2189,L2189)</f>
        <v>1</v>
      </c>
      <c r="N2189" t="str">
        <f t="shared" si="103"/>
        <v>scott7TE-1</v>
      </c>
      <c r="O2189">
        <f>COUNTIFS(F$1:F2189,F2189,A$1:A2189,A2189)</f>
        <v>7</v>
      </c>
      <c r="P2189" t="str">
        <f t="shared" si="104"/>
        <v>George Kittle7</v>
      </c>
    </row>
    <row r="2190" spans="1:16" x14ac:dyDescent="0.25">
      <c r="A2190">
        <v>1</v>
      </c>
      <c r="B2190" t="s">
        <v>228</v>
      </c>
      <c r="C2190" t="s">
        <v>1772</v>
      </c>
      <c r="D2190">
        <v>5.97</v>
      </c>
      <c r="E2190" t="s">
        <v>25</v>
      </c>
      <c r="F2190" t="s">
        <v>47</v>
      </c>
      <c r="G2190">
        <v>11.29</v>
      </c>
      <c r="H2190">
        <v>0.65</v>
      </c>
      <c r="I2190">
        <v>5.32</v>
      </c>
      <c r="J2190">
        <v>28.302399999999999</v>
      </c>
      <c r="K2190" t="str">
        <f>IFERROR(INDEX(Rosters!$C$2:$C$155,MATCH($B2190,Rosters!$B$2:$B$155,0)),"NA")</f>
        <v>perry</v>
      </c>
      <c r="L2190" t="str">
        <f t="shared" si="102"/>
        <v>perry1RB</v>
      </c>
      <c r="M2190">
        <f>COUNTIF(L$1:L2190,L2190)</f>
        <v>2</v>
      </c>
      <c r="N2190" t="str">
        <f t="shared" si="103"/>
        <v>perry1RB-2</v>
      </c>
      <c r="O2190">
        <f>COUNTIFS(F$1:F2190,F2190,A$1:A2190,A2190)</f>
        <v>36</v>
      </c>
      <c r="P2190" t="str">
        <f t="shared" si="104"/>
        <v>Matt Breida1</v>
      </c>
    </row>
    <row r="2191" spans="1:16" x14ac:dyDescent="0.25">
      <c r="A2191">
        <v>16</v>
      </c>
      <c r="B2191" t="s">
        <v>1373</v>
      </c>
      <c r="C2191" t="s">
        <v>7307</v>
      </c>
      <c r="D2191">
        <v>5.96</v>
      </c>
      <c r="E2191" t="s">
        <v>77</v>
      </c>
      <c r="F2191" t="s">
        <v>47</v>
      </c>
      <c r="G2191">
        <v>10.32</v>
      </c>
      <c r="H2191">
        <v>1.6</v>
      </c>
      <c r="I2191">
        <v>4.3600000000000003</v>
      </c>
      <c r="J2191">
        <v>19.009599999999999</v>
      </c>
      <c r="K2191" t="str">
        <f>IFERROR(INDEX(Rosters!$C$2:$C$155,MATCH($B2191,Rosters!$B$2:$B$155,0)),"NA")</f>
        <v>matty</v>
      </c>
      <c r="L2191" t="str">
        <f t="shared" si="102"/>
        <v>matty16RB</v>
      </c>
      <c r="M2191">
        <f>COUNTIF(L$1:L2191,L2191)</f>
        <v>4</v>
      </c>
      <c r="N2191" t="str">
        <f t="shared" si="103"/>
        <v>matty16RB-4</v>
      </c>
      <c r="O2191">
        <f>COUNTIFS(F$1:F2191,F2191,A$1:A2191,A2191)</f>
        <v>47</v>
      </c>
      <c r="P2191" t="str">
        <f t="shared" si="104"/>
        <v>Austin Ekeler16</v>
      </c>
    </row>
    <row r="2192" spans="1:16" x14ac:dyDescent="0.25">
      <c r="A2192">
        <v>17</v>
      </c>
      <c r="B2192" t="s">
        <v>147</v>
      </c>
      <c r="C2192" t="s">
        <v>7308</v>
      </c>
      <c r="D2192">
        <v>5.96</v>
      </c>
      <c r="E2192" t="s">
        <v>36</v>
      </c>
      <c r="F2192" t="s">
        <v>87</v>
      </c>
      <c r="G2192">
        <v>11.53</v>
      </c>
      <c r="H2192">
        <v>0.39</v>
      </c>
      <c r="I2192">
        <v>5.57</v>
      </c>
      <c r="J2192">
        <v>31.024899999999999</v>
      </c>
      <c r="K2192" t="str">
        <f>IFERROR(INDEX(Rosters!$C$2:$C$155,MATCH($B2192,Rosters!$B$2:$B$155,0)),"NA")</f>
        <v>NA</v>
      </c>
      <c r="L2192" t="str">
        <f t="shared" si="102"/>
        <v>NA17WR</v>
      </c>
      <c r="M2192">
        <f>COUNTIF(L$1:L2192,L2192)</f>
        <v>4</v>
      </c>
      <c r="N2192" t="str">
        <f t="shared" si="103"/>
        <v>NA17WR-4</v>
      </c>
      <c r="O2192">
        <f>COUNTIFS(F$1:F2192,F2192,A$1:A2192,A2192)</f>
        <v>53</v>
      </c>
      <c r="P2192" t="str">
        <f t="shared" si="104"/>
        <v>Donte Moncrief17</v>
      </c>
    </row>
    <row r="2193" spans="1:16" x14ac:dyDescent="0.25">
      <c r="A2193">
        <v>16</v>
      </c>
      <c r="B2193" t="s">
        <v>1395</v>
      </c>
      <c r="C2193" t="s">
        <v>7309</v>
      </c>
      <c r="D2193">
        <v>5.96</v>
      </c>
      <c r="E2193" t="s">
        <v>54</v>
      </c>
      <c r="F2193" t="s">
        <v>47</v>
      </c>
      <c r="G2193">
        <v>10.43</v>
      </c>
      <c r="H2193">
        <v>1.49</v>
      </c>
      <c r="I2193">
        <v>4.47</v>
      </c>
      <c r="J2193">
        <v>19.980899999999998</v>
      </c>
      <c r="K2193" t="str">
        <f>IFERROR(INDEX(Rosters!$C$2:$C$155,MATCH($B2193,Rosters!$B$2:$B$155,0)),"NA")</f>
        <v>cory</v>
      </c>
      <c r="L2193" t="str">
        <f t="shared" si="102"/>
        <v>cory16RB</v>
      </c>
      <c r="M2193">
        <f>COUNTIF(L$1:L2193,L2193)</f>
        <v>5</v>
      </c>
      <c r="N2193" t="str">
        <f t="shared" si="103"/>
        <v>cory16RB-5</v>
      </c>
      <c r="O2193">
        <f>COUNTIFS(F$1:F2193,F2193,A$1:A2193,A2193)</f>
        <v>48</v>
      </c>
      <c r="P2193" t="str">
        <f t="shared" si="104"/>
        <v>Nyheim Hines16</v>
      </c>
    </row>
    <row r="2194" spans="1:16" x14ac:dyDescent="0.25">
      <c r="A2194">
        <v>2</v>
      </c>
      <c r="B2194" t="s">
        <v>139</v>
      </c>
      <c r="C2194" t="s">
        <v>1378</v>
      </c>
      <c r="D2194">
        <v>5.95</v>
      </c>
      <c r="E2194" t="s">
        <v>19</v>
      </c>
      <c r="F2194" t="s">
        <v>47</v>
      </c>
      <c r="G2194">
        <v>10.47</v>
      </c>
      <c r="H2194">
        <v>1.43</v>
      </c>
      <c r="I2194">
        <v>4.5199999999999996</v>
      </c>
      <c r="J2194">
        <v>20.430399999999999</v>
      </c>
      <c r="K2194" t="str">
        <f>IFERROR(INDEX(Rosters!$C$2:$C$155,MATCH($B2194,Rosters!$B$2:$B$155,0)),"NA")</f>
        <v>cory</v>
      </c>
      <c r="L2194" t="str">
        <f t="shared" si="102"/>
        <v>cory2RB</v>
      </c>
      <c r="M2194">
        <f>COUNTIF(L$1:L2194,L2194)</f>
        <v>3</v>
      </c>
      <c r="N2194" t="str">
        <f t="shared" si="103"/>
        <v>cory2RB-3</v>
      </c>
      <c r="O2194">
        <f>COUNTIFS(F$1:F2194,F2194,A$1:A2194,A2194)</f>
        <v>39</v>
      </c>
      <c r="P2194" t="str">
        <f t="shared" si="104"/>
        <v>Bilal Powell2</v>
      </c>
    </row>
    <row r="2195" spans="1:16" x14ac:dyDescent="0.25">
      <c r="A2195">
        <v>8</v>
      </c>
      <c r="B2195" t="s">
        <v>1449</v>
      </c>
      <c r="C2195" t="s">
        <v>7310</v>
      </c>
      <c r="D2195">
        <v>5.95</v>
      </c>
      <c r="E2195" t="s">
        <v>74</v>
      </c>
      <c r="F2195" t="s">
        <v>114</v>
      </c>
      <c r="G2195">
        <v>11.67</v>
      </c>
      <c r="H2195">
        <v>0.23</v>
      </c>
      <c r="I2195">
        <v>5.72</v>
      </c>
      <c r="J2195">
        <v>32.718400000000003</v>
      </c>
      <c r="K2195" t="str">
        <f>IFERROR(INDEX(Rosters!$C$2:$C$155,MATCH($B2195,Rosters!$B$2:$B$155,0)),"NA")</f>
        <v>NA</v>
      </c>
      <c r="L2195" t="str">
        <f t="shared" si="102"/>
        <v>NA8TE</v>
      </c>
      <c r="M2195">
        <f>COUNTIF(L$1:L2195,L2195)</f>
        <v>1</v>
      </c>
      <c r="N2195" t="str">
        <f t="shared" si="103"/>
        <v>NA8TE-1</v>
      </c>
      <c r="O2195">
        <f>COUNTIFS(F$1:F2195,F2195,A$1:A2195,A2195)</f>
        <v>8</v>
      </c>
      <c r="P2195" t="str">
        <f t="shared" si="104"/>
        <v>Hayden Hurst8</v>
      </c>
    </row>
    <row r="2196" spans="1:16" x14ac:dyDescent="0.25">
      <c r="A2196">
        <v>2</v>
      </c>
      <c r="B2196" t="s">
        <v>1326</v>
      </c>
      <c r="C2196" t="s">
        <v>3348</v>
      </c>
      <c r="D2196">
        <v>5.95</v>
      </c>
      <c r="E2196" t="s">
        <v>30</v>
      </c>
      <c r="F2196" t="s">
        <v>47</v>
      </c>
      <c r="G2196">
        <v>11.25</v>
      </c>
      <c r="H2196">
        <v>0.65</v>
      </c>
      <c r="I2196">
        <v>5.3</v>
      </c>
      <c r="J2196">
        <v>28.09</v>
      </c>
      <c r="K2196" t="str">
        <f>IFERROR(INDEX(Rosters!$C$2:$C$155,MATCH($B2196,Rosters!$B$2:$B$155,0)),"NA")</f>
        <v>devon</v>
      </c>
      <c r="L2196" t="str">
        <f t="shared" si="102"/>
        <v>devon2RB</v>
      </c>
      <c r="M2196">
        <f>COUNTIF(L$1:L2196,L2196)</f>
        <v>3</v>
      </c>
      <c r="N2196" t="str">
        <f t="shared" si="103"/>
        <v>devon2RB-3</v>
      </c>
      <c r="O2196">
        <f>COUNTIFS(F$1:F2196,F2196,A$1:A2196,A2196)</f>
        <v>40</v>
      </c>
      <c r="P2196" t="str">
        <f t="shared" si="104"/>
        <v>Kerryon Johnson2</v>
      </c>
    </row>
    <row r="2197" spans="1:16" x14ac:dyDescent="0.25">
      <c r="A2197">
        <v>15</v>
      </c>
      <c r="B2197" t="s">
        <v>1397</v>
      </c>
      <c r="C2197" t="s">
        <v>7311</v>
      </c>
      <c r="D2197">
        <v>5.94</v>
      </c>
      <c r="E2197" t="s">
        <v>46</v>
      </c>
      <c r="F2197" t="s">
        <v>87</v>
      </c>
      <c r="G2197">
        <v>11.2</v>
      </c>
      <c r="H2197">
        <v>0.68</v>
      </c>
      <c r="I2197">
        <v>5.26</v>
      </c>
      <c r="J2197">
        <v>27.6676</v>
      </c>
      <c r="K2197" t="str">
        <f>IFERROR(INDEX(Rosters!$C$2:$C$155,MATCH($B2197,Rosters!$B$2:$B$155,0)),"NA")</f>
        <v>NA</v>
      </c>
      <c r="L2197" t="str">
        <f t="shared" si="102"/>
        <v>NA15WR</v>
      </c>
      <c r="M2197">
        <f>COUNTIF(L$1:L2197,L2197)</f>
        <v>6</v>
      </c>
      <c r="N2197" t="str">
        <f t="shared" si="103"/>
        <v>NA15WR-6</v>
      </c>
      <c r="O2197">
        <f>COUNTIFS(F$1:F2197,F2197,A$1:A2197,A2197)</f>
        <v>52</v>
      </c>
      <c r="P2197" t="str">
        <f t="shared" si="104"/>
        <v>Christian Kirk15</v>
      </c>
    </row>
    <row r="2198" spans="1:16" x14ac:dyDescent="0.25">
      <c r="A2198">
        <v>7</v>
      </c>
      <c r="B2198" t="s">
        <v>1211</v>
      </c>
      <c r="C2198" t="s">
        <v>7312</v>
      </c>
      <c r="D2198">
        <v>5.94</v>
      </c>
      <c r="E2198" t="s">
        <v>36</v>
      </c>
      <c r="F2198" t="s">
        <v>87</v>
      </c>
      <c r="G2198">
        <v>11.54</v>
      </c>
      <c r="H2198">
        <v>0.34</v>
      </c>
      <c r="I2198">
        <v>5.6</v>
      </c>
      <c r="J2198">
        <v>31.36</v>
      </c>
      <c r="K2198" t="str">
        <f>IFERROR(INDEX(Rosters!$C$2:$C$155,MATCH($B2198,Rosters!$B$2:$B$155,0)),"NA")</f>
        <v>NA</v>
      </c>
      <c r="L2198" t="str">
        <f t="shared" si="102"/>
        <v>NA7WR</v>
      </c>
      <c r="M2198">
        <f>COUNTIF(L$1:L2198,L2198)</f>
        <v>3</v>
      </c>
      <c r="N2198" t="str">
        <f t="shared" si="103"/>
        <v>NA7WR-3</v>
      </c>
      <c r="O2198">
        <f>COUNTIFS(F$1:F2198,F2198,A$1:A2198,A2198)</f>
        <v>43</v>
      </c>
      <c r="P2198" t="str">
        <f t="shared" si="104"/>
        <v>Dede Westbrook7</v>
      </c>
    </row>
    <row r="2199" spans="1:16" x14ac:dyDescent="0.25">
      <c r="A2199">
        <v>11</v>
      </c>
      <c r="B2199" t="s">
        <v>223</v>
      </c>
      <c r="C2199" t="s">
        <v>7313</v>
      </c>
      <c r="D2199">
        <v>5.94</v>
      </c>
      <c r="E2199" t="s">
        <v>36</v>
      </c>
      <c r="F2199" t="s">
        <v>87</v>
      </c>
      <c r="G2199">
        <v>10.88</v>
      </c>
      <c r="H2199">
        <v>1</v>
      </c>
      <c r="I2199">
        <v>4.9400000000000004</v>
      </c>
      <c r="J2199">
        <v>24.403600000000001</v>
      </c>
      <c r="K2199" t="str">
        <f>IFERROR(INDEX(Rosters!$C$2:$C$155,MATCH($B2199,Rosters!$B$2:$B$155,0)),"NA")</f>
        <v>NA</v>
      </c>
      <c r="L2199" t="str">
        <f t="shared" si="102"/>
        <v>NA11WR</v>
      </c>
      <c r="M2199">
        <f>COUNTIF(L$1:L2199,L2199)</f>
        <v>4</v>
      </c>
      <c r="N2199" t="str">
        <f t="shared" si="103"/>
        <v>NA11WR-4</v>
      </c>
      <c r="O2199">
        <f>COUNTIFS(F$1:F2199,F2199,A$1:A2199,A2199)</f>
        <v>47</v>
      </c>
      <c r="P2199" t="str">
        <f t="shared" si="104"/>
        <v>Paul Richardson11</v>
      </c>
    </row>
    <row r="2200" spans="1:16" x14ac:dyDescent="0.25">
      <c r="A2200">
        <v>17</v>
      </c>
      <c r="B2200" t="s">
        <v>1404</v>
      </c>
      <c r="C2200" t="s">
        <v>7314</v>
      </c>
      <c r="D2200">
        <v>5.94</v>
      </c>
      <c r="E2200" t="s">
        <v>32</v>
      </c>
      <c r="F2200" t="s">
        <v>47</v>
      </c>
      <c r="G2200">
        <v>11.43</v>
      </c>
      <c r="H2200">
        <v>0.45</v>
      </c>
      <c r="I2200">
        <v>5.49</v>
      </c>
      <c r="J2200">
        <v>30.1401</v>
      </c>
      <c r="K2200" t="str">
        <f>IFERROR(INDEX(Rosters!$C$2:$C$155,MATCH($B2200,Rosters!$B$2:$B$155,0)),"NA")</f>
        <v>NA</v>
      </c>
      <c r="L2200" t="str">
        <f t="shared" si="102"/>
        <v>NA17RB</v>
      </c>
      <c r="M2200">
        <f>COUNTIF(L$1:L2200,L2200)</f>
        <v>5</v>
      </c>
      <c r="N2200" t="str">
        <f t="shared" si="103"/>
        <v>NA17RB-5</v>
      </c>
      <c r="O2200">
        <f>COUNTIFS(F$1:F2200,F2200,A$1:A2200,A2200)</f>
        <v>47</v>
      </c>
      <c r="P2200" t="str">
        <f t="shared" si="104"/>
        <v>Spencer Ware17</v>
      </c>
    </row>
    <row r="2201" spans="1:16" x14ac:dyDescent="0.25">
      <c r="A2201">
        <v>1</v>
      </c>
      <c r="B2201" t="s">
        <v>1373</v>
      </c>
      <c r="C2201" t="s">
        <v>3349</v>
      </c>
      <c r="D2201">
        <v>5.93</v>
      </c>
      <c r="E2201" t="s">
        <v>24</v>
      </c>
      <c r="F2201" t="s">
        <v>47</v>
      </c>
      <c r="G2201">
        <v>10.52</v>
      </c>
      <c r="H2201">
        <v>1.34</v>
      </c>
      <c r="I2201">
        <v>4.59</v>
      </c>
      <c r="J2201">
        <v>21.068100000000001</v>
      </c>
      <c r="K2201" t="str">
        <f>IFERROR(INDEX(Rosters!$C$2:$C$155,MATCH($B2201,Rosters!$B$2:$B$155,0)),"NA")</f>
        <v>matty</v>
      </c>
      <c r="L2201" t="str">
        <f t="shared" si="102"/>
        <v>matty1RB</v>
      </c>
      <c r="M2201">
        <f>COUNTIF(L$1:L2201,L2201)</f>
        <v>4</v>
      </c>
      <c r="N2201" t="str">
        <f t="shared" si="103"/>
        <v>matty1RB-4</v>
      </c>
      <c r="O2201">
        <f>COUNTIFS(F$1:F2201,F2201,A$1:A2201,A2201)</f>
        <v>37</v>
      </c>
      <c r="P2201" t="str">
        <f t="shared" si="104"/>
        <v>Austin Ekeler1</v>
      </c>
    </row>
    <row r="2202" spans="1:16" x14ac:dyDescent="0.25">
      <c r="A2202">
        <v>4</v>
      </c>
      <c r="B2202" t="s">
        <v>159</v>
      </c>
      <c r="C2202" t="s">
        <v>4516</v>
      </c>
      <c r="D2202">
        <v>5.93</v>
      </c>
      <c r="E2202" t="s">
        <v>19</v>
      </c>
      <c r="F2202" t="s">
        <v>87</v>
      </c>
      <c r="G2202">
        <v>10.11</v>
      </c>
      <c r="H2202">
        <v>1.75</v>
      </c>
      <c r="I2202">
        <v>4.18</v>
      </c>
      <c r="J2202">
        <v>17.4724</v>
      </c>
      <c r="K2202" t="str">
        <f>IFERROR(INDEX(Rosters!$C$2:$C$155,MATCH($B2202,Rosters!$B$2:$B$155,0)),"NA")</f>
        <v>perry</v>
      </c>
      <c r="L2202" t="str">
        <f t="shared" si="102"/>
        <v>perry4WR</v>
      </c>
      <c r="M2202">
        <f>COUNTIF(L$1:L2202,L2202)</f>
        <v>4</v>
      </c>
      <c r="N2202" t="str">
        <f t="shared" si="103"/>
        <v>perry4WR-4</v>
      </c>
      <c r="O2202">
        <f>COUNTIFS(F$1:F2202,F2202,A$1:A2202,A2202)</f>
        <v>47</v>
      </c>
      <c r="P2202" t="str">
        <f t="shared" si="104"/>
        <v>Chris Hogan4</v>
      </c>
    </row>
    <row r="2203" spans="1:16" x14ac:dyDescent="0.25">
      <c r="A2203">
        <v>8</v>
      </c>
      <c r="B2203" t="s">
        <v>1397</v>
      </c>
      <c r="C2203" t="s">
        <v>7315</v>
      </c>
      <c r="D2203">
        <v>5.93</v>
      </c>
      <c r="E2203" t="s">
        <v>30</v>
      </c>
      <c r="F2203" t="s">
        <v>87</v>
      </c>
      <c r="G2203">
        <v>10.78</v>
      </c>
      <c r="H2203">
        <v>1.08</v>
      </c>
      <c r="I2203">
        <v>4.8499999999999996</v>
      </c>
      <c r="J2203">
        <v>23.522500000000001</v>
      </c>
      <c r="K2203" t="str">
        <f>IFERROR(INDEX(Rosters!$C$2:$C$155,MATCH($B2203,Rosters!$B$2:$B$155,0)),"NA")</f>
        <v>NA</v>
      </c>
      <c r="L2203" t="str">
        <f t="shared" si="102"/>
        <v>NA8WR</v>
      </c>
      <c r="M2203">
        <f>COUNTIF(L$1:L2203,L2203)</f>
        <v>6</v>
      </c>
      <c r="N2203" t="str">
        <f t="shared" si="103"/>
        <v>NA8WR-6</v>
      </c>
      <c r="O2203">
        <f>COUNTIFS(F$1:F2203,F2203,A$1:A2203,A2203)</f>
        <v>49</v>
      </c>
      <c r="P2203" t="str">
        <f t="shared" si="104"/>
        <v>Christian Kirk8</v>
      </c>
    </row>
    <row r="2204" spans="1:16" x14ac:dyDescent="0.25">
      <c r="A2204">
        <v>5</v>
      </c>
      <c r="B2204" t="s">
        <v>255</v>
      </c>
      <c r="C2204" t="s">
        <v>7316</v>
      </c>
      <c r="D2204">
        <v>5.93</v>
      </c>
      <c r="E2204" t="s">
        <v>58</v>
      </c>
      <c r="F2204" t="s">
        <v>87</v>
      </c>
      <c r="G2204">
        <v>10.53</v>
      </c>
      <c r="H2204">
        <v>1.33</v>
      </c>
      <c r="I2204">
        <v>4.5999999999999996</v>
      </c>
      <c r="J2204">
        <v>21.16</v>
      </c>
      <c r="K2204" t="str">
        <f>IFERROR(INDEX(Rosters!$C$2:$C$155,MATCH($B2204,Rosters!$B$2:$B$155,0)),"NA")</f>
        <v>NA</v>
      </c>
      <c r="L2204" t="str">
        <f t="shared" si="102"/>
        <v>NA5WR</v>
      </c>
      <c r="M2204">
        <f>COUNTIF(L$1:L2204,L2204)</f>
        <v>7</v>
      </c>
      <c r="N2204" t="str">
        <f t="shared" si="103"/>
        <v>NA5WR-7</v>
      </c>
      <c r="O2204">
        <f>COUNTIFS(F$1:F2204,F2204,A$1:A2204,A2204)</f>
        <v>51</v>
      </c>
      <c r="P2204" t="str">
        <f t="shared" si="104"/>
        <v>Marquise Goodwin5</v>
      </c>
    </row>
    <row r="2205" spans="1:16" x14ac:dyDescent="0.25">
      <c r="A2205">
        <v>8</v>
      </c>
      <c r="B2205" t="s">
        <v>163</v>
      </c>
      <c r="C2205" t="s">
        <v>7317</v>
      </c>
      <c r="D2205">
        <v>5.92</v>
      </c>
      <c r="E2205" t="s">
        <v>31</v>
      </c>
      <c r="F2205" t="s">
        <v>87</v>
      </c>
      <c r="G2205">
        <v>10.19</v>
      </c>
      <c r="H2205">
        <v>1.65</v>
      </c>
      <c r="I2205">
        <v>4.2699999999999996</v>
      </c>
      <c r="J2205">
        <v>18.232900000000001</v>
      </c>
      <c r="K2205" t="str">
        <f>IFERROR(INDEX(Rosters!$C$2:$C$155,MATCH($B2205,Rosters!$B$2:$B$155,0)),"NA")</f>
        <v>scott</v>
      </c>
      <c r="L2205" t="str">
        <f t="shared" si="102"/>
        <v>scott8WR</v>
      </c>
      <c r="M2205">
        <f>COUNTIF(L$1:L2205,L2205)</f>
        <v>5</v>
      </c>
      <c r="N2205" t="str">
        <f t="shared" si="103"/>
        <v>scott8WR-5</v>
      </c>
      <c r="O2205">
        <f>COUNTIFS(F$1:F2205,F2205,A$1:A2205,A2205)</f>
        <v>50</v>
      </c>
      <c r="P2205" t="str">
        <f t="shared" si="104"/>
        <v>DeSean Jackson8</v>
      </c>
    </row>
    <row r="2206" spans="1:16" x14ac:dyDescent="0.25">
      <c r="A2206">
        <v>5</v>
      </c>
      <c r="B2206" t="s">
        <v>168</v>
      </c>
      <c r="C2206" t="s">
        <v>7318</v>
      </c>
      <c r="D2206">
        <v>5.92</v>
      </c>
      <c r="E2206" t="s">
        <v>60</v>
      </c>
      <c r="F2206" t="s">
        <v>87</v>
      </c>
      <c r="G2206">
        <v>10.41</v>
      </c>
      <c r="H2206">
        <v>1.43</v>
      </c>
      <c r="I2206">
        <v>4.49</v>
      </c>
      <c r="J2206">
        <v>20.1601</v>
      </c>
      <c r="K2206" t="str">
        <f>IFERROR(INDEX(Rosters!$C$2:$C$155,MATCH($B2206,Rosters!$B$2:$B$155,0)),"NA")</f>
        <v>NA</v>
      </c>
      <c r="L2206" t="str">
        <f t="shared" si="102"/>
        <v>NA5WR</v>
      </c>
      <c r="M2206">
        <f>COUNTIF(L$1:L2206,L2206)</f>
        <v>8</v>
      </c>
      <c r="N2206" t="str">
        <f t="shared" si="103"/>
        <v>NA5WR-8</v>
      </c>
      <c r="O2206">
        <f>COUNTIFS(F$1:F2206,F2206,A$1:A2206,A2206)</f>
        <v>52</v>
      </c>
      <c r="P2206" t="str">
        <f t="shared" si="104"/>
        <v>Ted Ginn Jr.5</v>
      </c>
    </row>
    <row r="2207" spans="1:16" x14ac:dyDescent="0.25">
      <c r="A2207">
        <v>10</v>
      </c>
      <c r="B2207" t="s">
        <v>168</v>
      </c>
      <c r="C2207" t="s">
        <v>7319</v>
      </c>
      <c r="D2207">
        <v>5.92</v>
      </c>
      <c r="E2207" t="s">
        <v>31</v>
      </c>
      <c r="F2207" t="s">
        <v>87</v>
      </c>
      <c r="G2207">
        <v>10.24</v>
      </c>
      <c r="H2207">
        <v>1.6</v>
      </c>
      <c r="I2207">
        <v>4.32</v>
      </c>
      <c r="J2207">
        <v>18.662400000000002</v>
      </c>
      <c r="K2207" t="str">
        <f>IFERROR(INDEX(Rosters!$C$2:$C$155,MATCH($B2207,Rosters!$B$2:$B$155,0)),"NA")</f>
        <v>NA</v>
      </c>
      <c r="L2207" t="str">
        <f t="shared" si="102"/>
        <v>NA10WR</v>
      </c>
      <c r="M2207">
        <f>COUNTIF(L$1:L2207,L2207)</f>
        <v>5</v>
      </c>
      <c r="N2207" t="str">
        <f t="shared" si="103"/>
        <v>NA10WR-5</v>
      </c>
      <c r="O2207">
        <f>COUNTIFS(F$1:F2207,F2207,A$1:A2207,A2207)</f>
        <v>44</v>
      </c>
      <c r="P2207" t="str">
        <f t="shared" si="104"/>
        <v>Ted Ginn Jr.10</v>
      </c>
    </row>
    <row r="2208" spans="1:16" x14ac:dyDescent="0.25">
      <c r="A2208">
        <v>11</v>
      </c>
      <c r="B2208" t="s">
        <v>189</v>
      </c>
      <c r="C2208" t="s">
        <v>7320</v>
      </c>
      <c r="D2208">
        <v>5.91</v>
      </c>
      <c r="E2208" t="s">
        <v>38</v>
      </c>
      <c r="F2208" t="s">
        <v>114</v>
      </c>
      <c r="G2208">
        <v>11.12</v>
      </c>
      <c r="H2208">
        <v>0.7</v>
      </c>
      <c r="I2208">
        <v>5.21</v>
      </c>
      <c r="J2208">
        <v>27.144100000000002</v>
      </c>
      <c r="K2208" t="str">
        <f>IFERROR(INDEX(Rosters!$C$2:$C$155,MATCH($B2208,Rosters!$B$2:$B$155,0)),"NA")</f>
        <v>NA</v>
      </c>
      <c r="L2208" t="str">
        <f t="shared" si="102"/>
        <v>NA11TE</v>
      </c>
      <c r="M2208">
        <f>COUNTIF(L$1:L2208,L2208)</f>
        <v>1</v>
      </c>
      <c r="N2208" t="str">
        <f t="shared" si="103"/>
        <v>NA11TE-1</v>
      </c>
      <c r="O2208">
        <f>COUNTIFS(F$1:F2208,F2208,A$1:A2208,A2208)</f>
        <v>8</v>
      </c>
      <c r="P2208" t="str">
        <f t="shared" si="104"/>
        <v>Jack Doyle11</v>
      </c>
    </row>
    <row r="2209" spans="1:16" x14ac:dyDescent="0.25">
      <c r="A2209">
        <v>1</v>
      </c>
      <c r="B2209" t="s">
        <v>98</v>
      </c>
      <c r="C2209" t="s">
        <v>1773</v>
      </c>
      <c r="D2209">
        <v>5.91</v>
      </c>
      <c r="E2209" t="s">
        <v>56</v>
      </c>
      <c r="F2209" t="s">
        <v>87</v>
      </c>
      <c r="G2209">
        <v>10.32</v>
      </c>
      <c r="H2209">
        <v>1.5</v>
      </c>
      <c r="I2209">
        <v>4.41</v>
      </c>
      <c r="J2209">
        <v>19.4481</v>
      </c>
      <c r="K2209" t="str">
        <f>IFERROR(INDEX(Rosters!$C$2:$C$155,MATCH($B2209,Rosters!$B$2:$B$155,0)),"NA")</f>
        <v>seth</v>
      </c>
      <c r="L2209" t="str">
        <f t="shared" si="102"/>
        <v>seth1WR</v>
      </c>
      <c r="M2209">
        <f>COUNTIF(L$1:L2209,L2209)</f>
        <v>5</v>
      </c>
      <c r="N2209" t="str">
        <f t="shared" si="103"/>
        <v>seth1WR-5</v>
      </c>
      <c r="O2209">
        <f>COUNTIFS(F$1:F2209,F2209,A$1:A2209,A2209)</f>
        <v>42</v>
      </c>
      <c r="P2209" t="str">
        <f t="shared" si="104"/>
        <v>Jordy Nelson1</v>
      </c>
    </row>
    <row r="2210" spans="1:16" x14ac:dyDescent="0.25">
      <c r="A2210">
        <v>16</v>
      </c>
      <c r="B2210" t="s">
        <v>220</v>
      </c>
      <c r="C2210" t="s">
        <v>7321</v>
      </c>
      <c r="D2210">
        <v>5.91</v>
      </c>
      <c r="E2210" t="s">
        <v>76</v>
      </c>
      <c r="F2210" t="s">
        <v>87</v>
      </c>
      <c r="G2210">
        <v>10.38</v>
      </c>
      <c r="H2210">
        <v>1.44</v>
      </c>
      <c r="I2210">
        <v>4.47</v>
      </c>
      <c r="J2210">
        <v>19.980899999999998</v>
      </c>
      <c r="K2210" t="str">
        <f>IFERROR(INDEX(Rosters!$C$2:$C$155,MATCH($B2210,Rosters!$B$2:$B$155,0)),"NA")</f>
        <v>comp</v>
      </c>
      <c r="L2210" t="str">
        <f t="shared" si="102"/>
        <v>comp16WR</v>
      </c>
      <c r="M2210">
        <f>COUNTIF(L$1:L2210,L2210)</f>
        <v>6</v>
      </c>
      <c r="N2210" t="str">
        <f t="shared" si="103"/>
        <v>comp16WR-6</v>
      </c>
      <c r="O2210">
        <f>COUNTIFS(F$1:F2210,F2210,A$1:A2210,A2210)</f>
        <v>53</v>
      </c>
      <c r="P2210" t="str">
        <f t="shared" si="104"/>
        <v>Kenny Stills16</v>
      </c>
    </row>
    <row r="2211" spans="1:16" x14ac:dyDescent="0.25">
      <c r="A2211">
        <v>16</v>
      </c>
      <c r="B2211" t="s">
        <v>255</v>
      </c>
      <c r="C2211" t="s">
        <v>7322</v>
      </c>
      <c r="D2211">
        <v>5.91</v>
      </c>
      <c r="E2211" t="s">
        <v>72</v>
      </c>
      <c r="F2211" t="s">
        <v>87</v>
      </c>
      <c r="G2211">
        <v>10.47</v>
      </c>
      <c r="H2211">
        <v>1.35</v>
      </c>
      <c r="I2211">
        <v>4.5599999999999996</v>
      </c>
      <c r="J2211">
        <v>20.793600000000001</v>
      </c>
      <c r="K2211" t="str">
        <f>IFERROR(INDEX(Rosters!$C$2:$C$155,MATCH($B2211,Rosters!$B$2:$B$155,0)),"NA")</f>
        <v>NA</v>
      </c>
      <c r="L2211" t="str">
        <f t="shared" si="102"/>
        <v>NA16WR</v>
      </c>
      <c r="M2211">
        <f>COUNTIF(L$1:L2211,L2211)</f>
        <v>5</v>
      </c>
      <c r="N2211" t="str">
        <f t="shared" si="103"/>
        <v>NA16WR-5</v>
      </c>
      <c r="O2211">
        <f>COUNTIFS(F$1:F2211,F2211,A$1:A2211,A2211)</f>
        <v>54</v>
      </c>
      <c r="P2211" t="str">
        <f t="shared" si="104"/>
        <v>Marquise Goodwin16</v>
      </c>
    </row>
    <row r="2212" spans="1:16" x14ac:dyDescent="0.25">
      <c r="A2212">
        <v>16</v>
      </c>
      <c r="B2212" t="s">
        <v>303</v>
      </c>
      <c r="C2212" t="s">
        <v>7323</v>
      </c>
      <c r="D2212">
        <v>5.91</v>
      </c>
      <c r="E2212" t="s">
        <v>60</v>
      </c>
      <c r="F2212" t="s">
        <v>87</v>
      </c>
      <c r="G2212">
        <v>11.48</v>
      </c>
      <c r="H2212">
        <v>0.34</v>
      </c>
      <c r="I2212">
        <v>5.57</v>
      </c>
      <c r="J2212">
        <v>31.024899999999999</v>
      </c>
      <c r="K2212" t="str">
        <f>IFERROR(INDEX(Rosters!$C$2:$C$155,MATCH($B2212,Rosters!$B$2:$B$155,0)),"NA")</f>
        <v>NA</v>
      </c>
      <c r="L2212" t="str">
        <f t="shared" si="102"/>
        <v>NA16WR</v>
      </c>
      <c r="M2212">
        <f>COUNTIF(L$1:L2212,L2212)</f>
        <v>6</v>
      </c>
      <c r="N2212" t="str">
        <f t="shared" si="103"/>
        <v>NA16WR-6</v>
      </c>
      <c r="O2212">
        <f>COUNTIFS(F$1:F2212,F2212,A$1:A2212,A2212)</f>
        <v>55</v>
      </c>
      <c r="P2212" t="str">
        <f t="shared" si="104"/>
        <v>Taywan Taylor16</v>
      </c>
    </row>
    <row r="2213" spans="1:16" x14ac:dyDescent="0.25">
      <c r="A2213">
        <v>9</v>
      </c>
      <c r="B2213" t="s">
        <v>168</v>
      </c>
      <c r="C2213" t="s">
        <v>7324</v>
      </c>
      <c r="D2213">
        <v>5.91</v>
      </c>
      <c r="E2213" t="s">
        <v>56</v>
      </c>
      <c r="F2213" t="s">
        <v>87</v>
      </c>
      <c r="G2213">
        <v>10.34</v>
      </c>
      <c r="H2213">
        <v>1.48</v>
      </c>
      <c r="I2213">
        <v>4.43</v>
      </c>
      <c r="J2213">
        <v>19.6249</v>
      </c>
      <c r="K2213" t="str">
        <f>IFERROR(INDEX(Rosters!$C$2:$C$155,MATCH($B2213,Rosters!$B$2:$B$155,0)),"NA")</f>
        <v>NA</v>
      </c>
      <c r="L2213" t="str">
        <f t="shared" si="102"/>
        <v>NA9WR</v>
      </c>
      <c r="M2213">
        <f>COUNTIF(L$1:L2213,L2213)</f>
        <v>5</v>
      </c>
      <c r="N2213" t="str">
        <f t="shared" si="103"/>
        <v>NA9WR-5</v>
      </c>
      <c r="O2213">
        <f>COUNTIFS(F$1:F2213,F2213,A$1:A2213,A2213)</f>
        <v>44</v>
      </c>
      <c r="P2213" t="str">
        <f t="shared" si="104"/>
        <v>Ted Ginn Jr.9</v>
      </c>
    </row>
    <row r="2214" spans="1:16" x14ac:dyDescent="0.25">
      <c r="A2214">
        <v>6</v>
      </c>
      <c r="B2214" t="s">
        <v>215</v>
      </c>
      <c r="C2214" t="s">
        <v>7325</v>
      </c>
      <c r="D2214">
        <v>5.9</v>
      </c>
      <c r="E2214" t="s">
        <v>37</v>
      </c>
      <c r="F2214" t="s">
        <v>114</v>
      </c>
      <c r="G2214">
        <v>11.47</v>
      </c>
      <c r="H2214">
        <v>0.33</v>
      </c>
      <c r="I2214">
        <v>5.57</v>
      </c>
      <c r="J2214">
        <v>31.024899999999999</v>
      </c>
      <c r="K2214" t="str">
        <f>IFERROR(INDEX(Rosters!$C$2:$C$155,MATCH($B2214,Rosters!$B$2:$B$155,0)),"NA")</f>
        <v>NA</v>
      </c>
      <c r="L2214" t="str">
        <f t="shared" si="102"/>
        <v>NA6TE</v>
      </c>
      <c r="M2214">
        <f>COUNTIF(L$1:L2214,L2214)</f>
        <v>1</v>
      </c>
      <c r="N2214" t="str">
        <f t="shared" si="103"/>
        <v>NA6TE-1</v>
      </c>
      <c r="O2214">
        <f>COUNTIFS(F$1:F2214,F2214,A$1:A2214,A2214)</f>
        <v>9</v>
      </c>
      <c r="P2214" t="str">
        <f t="shared" si="104"/>
        <v>David Njoku6</v>
      </c>
    </row>
    <row r="2215" spans="1:16" x14ac:dyDescent="0.25">
      <c r="A2215">
        <v>8</v>
      </c>
      <c r="B2215" t="s">
        <v>178</v>
      </c>
      <c r="C2215" t="s">
        <v>7326</v>
      </c>
      <c r="D2215">
        <v>5.9</v>
      </c>
      <c r="E2215" t="s">
        <v>32</v>
      </c>
      <c r="F2215" t="s">
        <v>114</v>
      </c>
      <c r="G2215">
        <v>9.58</v>
      </c>
      <c r="H2215">
        <v>2.2200000000000002</v>
      </c>
      <c r="I2215">
        <v>3.68</v>
      </c>
      <c r="J2215">
        <v>13.542400000000001</v>
      </c>
      <c r="K2215" t="str">
        <f>IFERROR(INDEX(Rosters!$C$2:$C$155,MATCH($B2215,Rosters!$B$2:$B$155,0)),"NA")</f>
        <v>devon</v>
      </c>
      <c r="L2215" t="str">
        <f t="shared" si="102"/>
        <v>devon8TE</v>
      </c>
      <c r="M2215">
        <f>COUNTIF(L$1:L2215,L2215)</f>
        <v>2</v>
      </c>
      <c r="N2215" t="str">
        <f t="shared" si="103"/>
        <v>devon8TE-2</v>
      </c>
      <c r="O2215">
        <f>COUNTIFS(F$1:F2215,F2215,A$1:A2215,A2215)</f>
        <v>9</v>
      </c>
      <c r="P2215" t="str">
        <f t="shared" si="104"/>
        <v>Eric Ebron8</v>
      </c>
    </row>
    <row r="2216" spans="1:16" x14ac:dyDescent="0.25">
      <c r="A2216">
        <v>2</v>
      </c>
      <c r="B2216" t="s">
        <v>243</v>
      </c>
      <c r="C2216" t="s">
        <v>3350</v>
      </c>
      <c r="D2216">
        <v>5.9</v>
      </c>
      <c r="E2216" t="s">
        <v>76</v>
      </c>
      <c r="F2216" t="s">
        <v>87</v>
      </c>
      <c r="G2216">
        <v>10.34</v>
      </c>
      <c r="H2216">
        <v>1.46</v>
      </c>
      <c r="I2216">
        <v>4.4400000000000004</v>
      </c>
      <c r="J2216">
        <v>19.7136</v>
      </c>
      <c r="K2216" t="str">
        <f>IFERROR(INDEX(Rosters!$C$2:$C$155,MATCH($B2216,Rosters!$B$2:$B$155,0)),"NA")</f>
        <v>NA</v>
      </c>
      <c r="L2216" t="str">
        <f t="shared" si="102"/>
        <v>NA2WR</v>
      </c>
      <c r="M2216">
        <f>COUNTIF(L$1:L2216,L2216)</f>
        <v>8</v>
      </c>
      <c r="N2216" t="str">
        <f t="shared" si="103"/>
        <v>NA2WR-8</v>
      </c>
      <c r="O2216">
        <f>COUNTIFS(F$1:F2216,F2216,A$1:A2216,A2216)</f>
        <v>46</v>
      </c>
      <c r="P2216" t="str">
        <f t="shared" si="104"/>
        <v>Phillip Dorsett2</v>
      </c>
    </row>
    <row r="2217" spans="1:16" x14ac:dyDescent="0.25">
      <c r="A2217">
        <v>12</v>
      </c>
      <c r="B2217" t="s">
        <v>381</v>
      </c>
      <c r="C2217" t="s">
        <v>7327</v>
      </c>
      <c r="D2217">
        <v>5.9</v>
      </c>
      <c r="E2217" t="s">
        <v>19</v>
      </c>
      <c r="F2217" t="s">
        <v>87</v>
      </c>
      <c r="G2217">
        <v>10.199999999999999</v>
      </c>
      <c r="H2217">
        <v>1.6</v>
      </c>
      <c r="I2217">
        <v>4.3</v>
      </c>
      <c r="J2217">
        <v>18.489999999999998</v>
      </c>
      <c r="K2217" t="str">
        <f>IFERROR(INDEX(Rosters!$C$2:$C$155,MATCH($B2217,Rosters!$B$2:$B$155,0)),"NA")</f>
        <v>perry</v>
      </c>
      <c r="L2217" t="str">
        <f t="shared" si="102"/>
        <v>perry12WR</v>
      </c>
      <c r="M2217">
        <f>COUNTIF(L$1:L2217,L2217)</f>
        <v>3</v>
      </c>
      <c r="N2217" t="str">
        <f t="shared" si="103"/>
        <v>perry12WR-3</v>
      </c>
      <c r="O2217">
        <f>COUNTIFS(F$1:F2217,F2217,A$1:A2217,A2217)</f>
        <v>49</v>
      </c>
      <c r="P2217" t="str">
        <f t="shared" si="104"/>
        <v>Ryan Grant12</v>
      </c>
    </row>
    <row r="2218" spans="1:16" x14ac:dyDescent="0.25">
      <c r="A2218">
        <v>6</v>
      </c>
      <c r="B2218" t="s">
        <v>303</v>
      </c>
      <c r="C2218" t="s">
        <v>7328</v>
      </c>
      <c r="D2218">
        <v>5.9</v>
      </c>
      <c r="E2218" t="s">
        <v>77</v>
      </c>
      <c r="F2218" t="s">
        <v>87</v>
      </c>
      <c r="G2218">
        <v>9.76</v>
      </c>
      <c r="H2218">
        <v>2.04</v>
      </c>
      <c r="I2218">
        <v>3.86</v>
      </c>
      <c r="J2218">
        <v>14.8996</v>
      </c>
      <c r="K2218" t="str">
        <f>IFERROR(INDEX(Rosters!$C$2:$C$155,MATCH($B2218,Rosters!$B$2:$B$155,0)),"NA")</f>
        <v>NA</v>
      </c>
      <c r="L2218" t="str">
        <f t="shared" si="102"/>
        <v>NA6WR</v>
      </c>
      <c r="M2218">
        <f>COUNTIF(L$1:L2218,L2218)</f>
        <v>4</v>
      </c>
      <c r="N2218" t="str">
        <f t="shared" si="103"/>
        <v>NA6WR-4</v>
      </c>
      <c r="O2218">
        <f>COUNTIFS(F$1:F2218,F2218,A$1:A2218,A2218)</f>
        <v>47</v>
      </c>
      <c r="P2218" t="str">
        <f t="shared" si="104"/>
        <v>Taywan Taylor6</v>
      </c>
    </row>
    <row r="2219" spans="1:16" x14ac:dyDescent="0.25">
      <c r="A2219">
        <v>8</v>
      </c>
      <c r="B2219" t="s">
        <v>313</v>
      </c>
      <c r="C2219" t="s">
        <v>7329</v>
      </c>
      <c r="D2219">
        <v>5.9</v>
      </c>
      <c r="E2219" t="s">
        <v>73</v>
      </c>
      <c r="F2219" t="s">
        <v>114</v>
      </c>
      <c r="G2219">
        <v>10.44</v>
      </c>
      <c r="H2219">
        <v>1.36</v>
      </c>
      <c r="I2219">
        <v>4.54</v>
      </c>
      <c r="J2219">
        <v>20.611599999999999</v>
      </c>
      <c r="K2219" t="str">
        <f>IFERROR(INDEX(Rosters!$C$2:$C$155,MATCH($B2219,Rosters!$B$2:$B$155,0)),"NA")</f>
        <v>comp</v>
      </c>
      <c r="L2219" t="str">
        <f t="shared" si="102"/>
        <v>comp8TE</v>
      </c>
      <c r="M2219">
        <f>COUNTIF(L$1:L2219,L2219)</f>
        <v>1</v>
      </c>
      <c r="N2219" t="str">
        <f t="shared" si="103"/>
        <v>comp8TE-1</v>
      </c>
      <c r="O2219">
        <f>COUNTIFS(F$1:F2219,F2219,A$1:A2219,A2219)</f>
        <v>10</v>
      </c>
      <c r="P2219" t="str">
        <f t="shared" si="104"/>
        <v>Trey Burton8</v>
      </c>
    </row>
    <row r="2220" spans="1:16" x14ac:dyDescent="0.25">
      <c r="A2220">
        <v>4</v>
      </c>
      <c r="B2220" t="s">
        <v>215</v>
      </c>
      <c r="C2220" t="s">
        <v>4517</v>
      </c>
      <c r="D2220">
        <v>5.89</v>
      </c>
      <c r="E2220" t="s">
        <v>32</v>
      </c>
      <c r="F2220" t="s">
        <v>114</v>
      </c>
      <c r="G2220">
        <v>9.48</v>
      </c>
      <c r="H2220">
        <v>2.2999999999999998</v>
      </c>
      <c r="I2220">
        <v>3.59</v>
      </c>
      <c r="J2220">
        <v>12.8881</v>
      </c>
      <c r="K2220" t="str">
        <f>IFERROR(INDEX(Rosters!$C$2:$C$155,MATCH($B2220,Rosters!$B$2:$B$155,0)),"NA")</f>
        <v>NA</v>
      </c>
      <c r="L2220" t="str">
        <f t="shared" si="102"/>
        <v>NA4TE</v>
      </c>
      <c r="M2220">
        <f>COUNTIF(L$1:L2220,L2220)</f>
        <v>2</v>
      </c>
      <c r="N2220" t="str">
        <f t="shared" si="103"/>
        <v>NA4TE-2</v>
      </c>
      <c r="O2220">
        <f>COUNTIFS(F$1:F2220,F2220,A$1:A2220,A2220)</f>
        <v>8</v>
      </c>
      <c r="P2220" t="str">
        <f t="shared" si="104"/>
        <v>David Njoku4</v>
      </c>
    </row>
    <row r="2221" spans="1:16" x14ac:dyDescent="0.25">
      <c r="A2221">
        <v>13</v>
      </c>
      <c r="B2221" t="s">
        <v>196</v>
      </c>
      <c r="C2221" t="s">
        <v>7330</v>
      </c>
      <c r="D2221">
        <v>5.89</v>
      </c>
      <c r="E2221" t="s">
        <v>42</v>
      </c>
      <c r="F2221" t="s">
        <v>47</v>
      </c>
      <c r="G2221">
        <v>9.34</v>
      </c>
      <c r="H2221">
        <v>2.44</v>
      </c>
      <c r="I2221">
        <v>3.45</v>
      </c>
      <c r="J2221">
        <v>11.9025</v>
      </c>
      <c r="K2221" t="str">
        <f>IFERROR(INDEX(Rosters!$C$2:$C$155,MATCH($B2221,Rosters!$B$2:$B$155,0)),"NA")</f>
        <v>NA</v>
      </c>
      <c r="L2221" t="str">
        <f t="shared" si="102"/>
        <v>NA13RB</v>
      </c>
      <c r="M2221">
        <f>COUNTIF(L$1:L2221,L2221)</f>
        <v>8</v>
      </c>
      <c r="N2221" t="str">
        <f t="shared" si="103"/>
        <v>NA13RB-8</v>
      </c>
      <c r="O2221">
        <f>COUNTIFS(F$1:F2221,F2221,A$1:A2221,A2221)</f>
        <v>51</v>
      </c>
      <c r="P2221" t="str">
        <f t="shared" si="104"/>
        <v>Giovani Bernard13</v>
      </c>
    </row>
    <row r="2222" spans="1:16" x14ac:dyDescent="0.25">
      <c r="A2222">
        <v>1</v>
      </c>
      <c r="B2222" t="s">
        <v>189</v>
      </c>
      <c r="C2222" t="s">
        <v>1379</v>
      </c>
      <c r="D2222">
        <v>5.89</v>
      </c>
      <c r="E2222" t="s">
        <v>31</v>
      </c>
      <c r="F2222" t="s">
        <v>114</v>
      </c>
      <c r="G2222">
        <v>10.1</v>
      </c>
      <c r="H2222">
        <v>1.68</v>
      </c>
      <c r="I2222">
        <v>4.21</v>
      </c>
      <c r="J2222">
        <v>17.7241</v>
      </c>
      <c r="K2222" t="str">
        <f>IFERROR(INDEX(Rosters!$C$2:$C$155,MATCH($B2222,Rosters!$B$2:$B$155,0)),"NA")</f>
        <v>NA</v>
      </c>
      <c r="L2222" t="str">
        <f t="shared" si="102"/>
        <v>NA1TE</v>
      </c>
      <c r="M2222">
        <f>COUNTIF(L$1:L2222,L2222)</f>
        <v>1</v>
      </c>
      <c r="N2222" t="str">
        <f t="shared" si="103"/>
        <v>NA1TE-1</v>
      </c>
      <c r="O2222">
        <f>COUNTIFS(F$1:F2222,F2222,A$1:A2222,A2222)</f>
        <v>9</v>
      </c>
      <c r="P2222" t="str">
        <f t="shared" si="104"/>
        <v>Jack Doyle1</v>
      </c>
    </row>
    <row r="2223" spans="1:16" x14ac:dyDescent="0.25">
      <c r="A2223">
        <v>10</v>
      </c>
      <c r="B2223" t="s">
        <v>232</v>
      </c>
      <c r="C2223" t="s">
        <v>7331</v>
      </c>
      <c r="D2223">
        <v>5.89</v>
      </c>
      <c r="E2223" t="s">
        <v>37</v>
      </c>
      <c r="F2223" t="s">
        <v>47</v>
      </c>
      <c r="G2223">
        <v>10.119999999999999</v>
      </c>
      <c r="H2223">
        <v>1.66</v>
      </c>
      <c r="I2223">
        <v>4.2300000000000004</v>
      </c>
      <c r="J2223">
        <v>17.892900000000001</v>
      </c>
      <c r="K2223" t="str">
        <f>IFERROR(INDEX(Rosters!$C$2:$C$155,MATCH($B2223,Rosters!$B$2:$B$155,0)),"NA")</f>
        <v>NA</v>
      </c>
      <c r="L2223" t="str">
        <f t="shared" si="102"/>
        <v>NA10RB</v>
      </c>
      <c r="M2223">
        <f>COUNTIF(L$1:L2223,L2223)</f>
        <v>5</v>
      </c>
      <c r="N2223" t="str">
        <f t="shared" si="103"/>
        <v>NA10RB-5</v>
      </c>
      <c r="O2223">
        <f>COUNTIFS(F$1:F2223,F2223,A$1:A2223,A2223)</f>
        <v>42</v>
      </c>
      <c r="P2223" t="str">
        <f t="shared" si="104"/>
        <v>Jalen Richard10</v>
      </c>
    </row>
    <row r="2224" spans="1:16" x14ac:dyDescent="0.25">
      <c r="A2224">
        <v>7</v>
      </c>
      <c r="B2224" t="s">
        <v>187</v>
      </c>
      <c r="C2224" t="s">
        <v>7332</v>
      </c>
      <c r="D2224">
        <v>5.89</v>
      </c>
      <c r="E2224" t="s">
        <v>73</v>
      </c>
      <c r="F2224" t="s">
        <v>47</v>
      </c>
      <c r="G2224">
        <v>10.16</v>
      </c>
      <c r="H2224">
        <v>1.62</v>
      </c>
      <c r="I2224">
        <v>4.2699999999999996</v>
      </c>
      <c r="J2224">
        <v>18.232900000000001</v>
      </c>
      <c r="K2224" t="str">
        <f>IFERROR(INDEX(Rosters!$C$2:$C$155,MATCH($B2224,Rosters!$B$2:$B$155,0)),"NA")</f>
        <v>seth</v>
      </c>
      <c r="L2224" t="str">
        <f t="shared" si="102"/>
        <v>seth7RB</v>
      </c>
      <c r="M2224">
        <f>COUNTIF(L$1:L2224,L2224)</f>
        <v>6</v>
      </c>
      <c r="N2224" t="str">
        <f t="shared" si="103"/>
        <v>seth7RB-6</v>
      </c>
      <c r="O2224">
        <f>COUNTIFS(F$1:F2224,F2224,A$1:A2224,A2224)</f>
        <v>45</v>
      </c>
      <c r="P2224" t="str">
        <f t="shared" si="104"/>
        <v>Latavius Murray7</v>
      </c>
    </row>
    <row r="2225" spans="1:16" x14ac:dyDescent="0.25">
      <c r="A2225">
        <v>6</v>
      </c>
      <c r="B2225" t="s">
        <v>194</v>
      </c>
      <c r="C2225" t="s">
        <v>7333</v>
      </c>
      <c r="D2225">
        <v>5.89</v>
      </c>
      <c r="E2225" t="s">
        <v>17</v>
      </c>
      <c r="F2225" t="s">
        <v>87</v>
      </c>
      <c r="G2225">
        <v>10.25</v>
      </c>
      <c r="H2225">
        <v>1.53</v>
      </c>
      <c r="I2225">
        <v>4.3600000000000003</v>
      </c>
      <c r="J2225">
        <v>19.009599999999999</v>
      </c>
      <c r="K2225" t="str">
        <f>IFERROR(INDEX(Rosters!$C$2:$C$155,MATCH($B2225,Rosters!$B$2:$B$155,0)),"NA")</f>
        <v>NA</v>
      </c>
      <c r="L2225" t="str">
        <f t="shared" si="102"/>
        <v>NA6WR</v>
      </c>
      <c r="M2225">
        <f>COUNTIF(L$1:L2225,L2225)</f>
        <v>5</v>
      </c>
      <c r="N2225" t="str">
        <f t="shared" si="103"/>
        <v>NA6WR-5</v>
      </c>
      <c r="O2225">
        <f>COUNTIFS(F$1:F2225,F2225,A$1:A2225,A2225)</f>
        <v>48</v>
      </c>
      <c r="P2225" t="str">
        <f t="shared" si="104"/>
        <v>Mohamed Sanu6</v>
      </c>
    </row>
    <row r="2226" spans="1:16" x14ac:dyDescent="0.25">
      <c r="A2226">
        <v>4</v>
      </c>
      <c r="B2226" t="s">
        <v>261</v>
      </c>
      <c r="C2226" t="s">
        <v>4518</v>
      </c>
      <c r="D2226">
        <v>5.88</v>
      </c>
      <c r="E2226" t="s">
        <v>54</v>
      </c>
      <c r="F2226" t="s">
        <v>114</v>
      </c>
      <c r="G2226">
        <v>10.43</v>
      </c>
      <c r="H2226">
        <v>1.33</v>
      </c>
      <c r="I2226">
        <v>4.55</v>
      </c>
      <c r="J2226">
        <v>20.702500000000001</v>
      </c>
      <c r="K2226" t="str">
        <f>IFERROR(INDEX(Rosters!$C$2:$C$155,MATCH($B2226,Rosters!$B$2:$B$155,0)),"NA")</f>
        <v>NA</v>
      </c>
      <c r="L2226" t="str">
        <f t="shared" si="102"/>
        <v>NA4TE</v>
      </c>
      <c r="M2226">
        <f>COUNTIF(L$1:L2226,L2226)</f>
        <v>3</v>
      </c>
      <c r="N2226" t="str">
        <f t="shared" si="103"/>
        <v>NA4TE-3</v>
      </c>
      <c r="O2226">
        <f>COUNTIFS(F$1:F2226,F2226,A$1:A2226,A2226)</f>
        <v>9</v>
      </c>
      <c r="P2226" t="str">
        <f t="shared" si="104"/>
        <v>Benjamin Watson4</v>
      </c>
    </row>
    <row r="2227" spans="1:16" x14ac:dyDescent="0.25">
      <c r="A2227">
        <v>8</v>
      </c>
      <c r="B2227" t="s">
        <v>215</v>
      </c>
      <c r="C2227" t="s">
        <v>7334</v>
      </c>
      <c r="D2227">
        <v>5.88</v>
      </c>
      <c r="E2227" t="s">
        <v>51</v>
      </c>
      <c r="F2227" t="s">
        <v>114</v>
      </c>
      <c r="G2227">
        <v>11.63</v>
      </c>
      <c r="H2227">
        <v>0.13</v>
      </c>
      <c r="I2227">
        <v>5.75</v>
      </c>
      <c r="J2227">
        <v>33.0625</v>
      </c>
      <c r="K2227" t="str">
        <f>IFERROR(INDEX(Rosters!$C$2:$C$155,MATCH($B2227,Rosters!$B$2:$B$155,0)),"NA")</f>
        <v>NA</v>
      </c>
      <c r="L2227" t="str">
        <f t="shared" si="102"/>
        <v>NA8TE</v>
      </c>
      <c r="M2227">
        <f>COUNTIF(L$1:L2227,L2227)</f>
        <v>2</v>
      </c>
      <c r="N2227" t="str">
        <f t="shared" si="103"/>
        <v>NA8TE-2</v>
      </c>
      <c r="O2227">
        <f>COUNTIFS(F$1:F2227,F2227,A$1:A2227,A2227)</f>
        <v>11</v>
      </c>
      <c r="P2227" t="str">
        <f t="shared" si="104"/>
        <v>David Njoku8</v>
      </c>
    </row>
    <row r="2228" spans="1:16" x14ac:dyDescent="0.25">
      <c r="A2228">
        <v>11</v>
      </c>
      <c r="B2228" t="s">
        <v>1148</v>
      </c>
      <c r="C2228" t="s">
        <v>7335</v>
      </c>
      <c r="D2228">
        <v>5.88</v>
      </c>
      <c r="E2228" t="s">
        <v>41</v>
      </c>
      <c r="F2228" t="s">
        <v>47</v>
      </c>
      <c r="G2228">
        <v>10.53</v>
      </c>
      <c r="H2228">
        <v>1.23</v>
      </c>
      <c r="I2228">
        <v>4.6500000000000004</v>
      </c>
      <c r="J2228">
        <v>21.622499999999999</v>
      </c>
      <c r="K2228" t="str">
        <f>IFERROR(INDEX(Rosters!$C$2:$C$155,MATCH($B2228,Rosters!$B$2:$B$155,0)),"NA")</f>
        <v>NA</v>
      </c>
      <c r="L2228" t="str">
        <f t="shared" si="102"/>
        <v>NA11RB</v>
      </c>
      <c r="M2228">
        <f>COUNTIF(L$1:L2228,L2228)</f>
        <v>3</v>
      </c>
      <c r="N2228" t="str">
        <f t="shared" si="103"/>
        <v>NA11RB-3</v>
      </c>
      <c r="O2228">
        <f>COUNTIFS(F$1:F2228,F2228,A$1:A2228,A2228)</f>
        <v>36</v>
      </c>
      <c r="P2228" t="str">
        <f t="shared" si="104"/>
        <v>Mike Davis11</v>
      </c>
    </row>
    <row r="2229" spans="1:16" x14ac:dyDescent="0.25">
      <c r="A2229">
        <v>15</v>
      </c>
      <c r="B2229" t="s">
        <v>355</v>
      </c>
      <c r="C2229" t="s">
        <v>7336</v>
      </c>
      <c r="D2229">
        <v>5.88</v>
      </c>
      <c r="E2229" t="s">
        <v>77</v>
      </c>
      <c r="F2229" t="s">
        <v>47</v>
      </c>
      <c r="G2229">
        <v>10.97</v>
      </c>
      <c r="H2229">
        <v>0.79</v>
      </c>
      <c r="I2229">
        <v>5.09</v>
      </c>
      <c r="J2229">
        <v>25.908100000000001</v>
      </c>
      <c r="K2229" t="str">
        <f>IFERROR(INDEX(Rosters!$C$2:$C$155,MATCH($B2229,Rosters!$B$2:$B$155,0)),"NA")</f>
        <v>devon</v>
      </c>
      <c r="L2229" t="str">
        <f t="shared" si="102"/>
        <v>devon15RB</v>
      </c>
      <c r="M2229">
        <f>COUNTIF(L$1:L2229,L2229)</f>
        <v>6</v>
      </c>
      <c r="N2229" t="str">
        <f t="shared" si="103"/>
        <v>devon15RB-6</v>
      </c>
      <c r="O2229">
        <f>COUNTIFS(F$1:F2229,F2229,A$1:A2229,A2229)</f>
        <v>47</v>
      </c>
      <c r="P2229" t="str">
        <f t="shared" si="104"/>
        <v>Peyton Barber15</v>
      </c>
    </row>
    <row r="2230" spans="1:16" x14ac:dyDescent="0.25">
      <c r="A2230">
        <v>14</v>
      </c>
      <c r="B2230" t="s">
        <v>261</v>
      </c>
      <c r="C2230" t="s">
        <v>7337</v>
      </c>
      <c r="D2230">
        <v>5.87</v>
      </c>
      <c r="E2230" t="s">
        <v>17</v>
      </c>
      <c r="F2230" t="s">
        <v>114</v>
      </c>
      <c r="G2230">
        <v>10.89</v>
      </c>
      <c r="H2230">
        <v>0.85</v>
      </c>
      <c r="I2230">
        <v>5.0199999999999996</v>
      </c>
      <c r="J2230">
        <v>25.200399999999998</v>
      </c>
      <c r="K2230" t="str">
        <f>IFERROR(INDEX(Rosters!$C$2:$C$155,MATCH($B2230,Rosters!$B$2:$B$155,0)),"NA")</f>
        <v>NA</v>
      </c>
      <c r="L2230" t="str">
        <f t="shared" si="102"/>
        <v>NA14TE</v>
      </c>
      <c r="M2230">
        <f>COUNTIF(L$1:L2230,L2230)</f>
        <v>2</v>
      </c>
      <c r="N2230" t="str">
        <f t="shared" si="103"/>
        <v>NA14TE-2</v>
      </c>
      <c r="O2230">
        <f>COUNTIFS(F$1:F2230,F2230,A$1:A2230,A2230)</f>
        <v>9</v>
      </c>
      <c r="P2230" t="str">
        <f t="shared" si="104"/>
        <v>Benjamin Watson14</v>
      </c>
    </row>
    <row r="2231" spans="1:16" x14ac:dyDescent="0.25">
      <c r="A2231">
        <v>15</v>
      </c>
      <c r="B2231" t="s">
        <v>131</v>
      </c>
      <c r="C2231" t="s">
        <v>7338</v>
      </c>
      <c r="D2231">
        <v>5.87</v>
      </c>
      <c r="E2231" t="s">
        <v>14</v>
      </c>
      <c r="F2231" t="s">
        <v>47</v>
      </c>
      <c r="G2231">
        <v>10.9</v>
      </c>
      <c r="H2231">
        <v>0.84</v>
      </c>
      <c r="I2231">
        <v>5.03</v>
      </c>
      <c r="J2231">
        <v>25.300899999999999</v>
      </c>
      <c r="K2231" t="str">
        <f>IFERROR(INDEX(Rosters!$C$2:$C$155,MATCH($B2231,Rosters!$B$2:$B$155,0)),"NA")</f>
        <v>NA</v>
      </c>
      <c r="L2231" t="str">
        <f t="shared" si="102"/>
        <v>NA15RB</v>
      </c>
      <c r="M2231">
        <f>COUNTIF(L$1:L2231,L2231)</f>
        <v>7</v>
      </c>
      <c r="N2231" t="str">
        <f t="shared" si="103"/>
        <v>NA15RB-7</v>
      </c>
      <c r="O2231">
        <f>COUNTIFS(F$1:F2231,F2231,A$1:A2231,A2231)</f>
        <v>48</v>
      </c>
      <c r="P2231" t="str">
        <f t="shared" si="104"/>
        <v>C.J. Anderson15</v>
      </c>
    </row>
    <row r="2232" spans="1:16" x14ac:dyDescent="0.25">
      <c r="A2232">
        <v>1</v>
      </c>
      <c r="B2232" t="s">
        <v>163</v>
      </c>
      <c r="C2232" t="s">
        <v>1703</v>
      </c>
      <c r="D2232">
        <v>5.87</v>
      </c>
      <c r="E2232" t="s">
        <v>14</v>
      </c>
      <c r="F2232" t="s">
        <v>87</v>
      </c>
      <c r="G2232">
        <v>9.35</v>
      </c>
      <c r="H2232">
        <v>2.39</v>
      </c>
      <c r="I2232">
        <v>3.48</v>
      </c>
      <c r="J2232">
        <v>12.1104</v>
      </c>
      <c r="K2232" t="str">
        <f>IFERROR(INDEX(Rosters!$C$2:$C$155,MATCH($B2232,Rosters!$B$2:$B$155,0)),"NA")</f>
        <v>scott</v>
      </c>
      <c r="L2232" t="str">
        <f t="shared" si="102"/>
        <v>scott1WR</v>
      </c>
      <c r="M2232">
        <f>COUNTIF(L$1:L2232,L2232)</f>
        <v>5</v>
      </c>
      <c r="N2232" t="str">
        <f t="shared" si="103"/>
        <v>scott1WR-5</v>
      </c>
      <c r="O2232">
        <f>COUNTIFS(F$1:F2232,F2232,A$1:A2232,A2232)</f>
        <v>43</v>
      </c>
      <c r="P2232" t="str">
        <f t="shared" si="104"/>
        <v>DeSean Jackson1</v>
      </c>
    </row>
    <row r="2233" spans="1:16" x14ac:dyDescent="0.25">
      <c r="A2233">
        <v>16</v>
      </c>
      <c r="B2233" t="s">
        <v>196</v>
      </c>
      <c r="C2233" t="s">
        <v>7339</v>
      </c>
      <c r="D2233">
        <v>5.87</v>
      </c>
      <c r="E2233" t="s">
        <v>52</v>
      </c>
      <c r="F2233" t="s">
        <v>47</v>
      </c>
      <c r="G2233">
        <v>9.41</v>
      </c>
      <c r="H2233">
        <v>2.33</v>
      </c>
      <c r="I2233">
        <v>3.54</v>
      </c>
      <c r="J2233">
        <v>12.531599999999999</v>
      </c>
      <c r="K2233" t="str">
        <f>IFERROR(INDEX(Rosters!$C$2:$C$155,MATCH($B2233,Rosters!$B$2:$B$155,0)),"NA")</f>
        <v>NA</v>
      </c>
      <c r="L2233" t="str">
        <f t="shared" si="102"/>
        <v>NA16RB</v>
      </c>
      <c r="M2233">
        <f>COUNTIF(L$1:L2233,L2233)</f>
        <v>6</v>
      </c>
      <c r="N2233" t="str">
        <f t="shared" si="103"/>
        <v>NA16RB-6</v>
      </c>
      <c r="O2233">
        <f>COUNTIFS(F$1:F2233,F2233,A$1:A2233,A2233)</f>
        <v>49</v>
      </c>
      <c r="P2233" t="str">
        <f t="shared" si="104"/>
        <v>Giovani Bernard16</v>
      </c>
    </row>
    <row r="2234" spans="1:16" x14ac:dyDescent="0.25">
      <c r="A2234">
        <v>16</v>
      </c>
      <c r="B2234" t="s">
        <v>223</v>
      </c>
      <c r="C2234" t="s">
        <v>7340</v>
      </c>
      <c r="D2234">
        <v>5.87</v>
      </c>
      <c r="E2234" t="s">
        <v>38</v>
      </c>
      <c r="F2234" t="s">
        <v>87</v>
      </c>
      <c r="G2234">
        <v>10.01</v>
      </c>
      <c r="H2234">
        <v>1.73</v>
      </c>
      <c r="I2234">
        <v>4.1399999999999997</v>
      </c>
      <c r="J2234">
        <v>17.139600000000002</v>
      </c>
      <c r="K2234" t="str">
        <f>IFERROR(INDEX(Rosters!$C$2:$C$155,MATCH($B2234,Rosters!$B$2:$B$155,0)),"NA")</f>
        <v>NA</v>
      </c>
      <c r="L2234" t="str">
        <f t="shared" si="102"/>
        <v>NA16WR</v>
      </c>
      <c r="M2234">
        <f>COUNTIF(L$1:L2234,L2234)</f>
        <v>7</v>
      </c>
      <c r="N2234" t="str">
        <f t="shared" si="103"/>
        <v>NA16WR-7</v>
      </c>
      <c r="O2234">
        <f>COUNTIFS(F$1:F2234,F2234,A$1:A2234,A2234)</f>
        <v>56</v>
      </c>
      <c r="P2234" t="str">
        <f t="shared" si="104"/>
        <v>Paul Richardson16</v>
      </c>
    </row>
    <row r="2235" spans="1:16" x14ac:dyDescent="0.25">
      <c r="A2235">
        <v>11</v>
      </c>
      <c r="B2235" t="s">
        <v>381</v>
      </c>
      <c r="C2235" t="s">
        <v>7341</v>
      </c>
      <c r="D2235">
        <v>5.87</v>
      </c>
      <c r="E2235" t="s">
        <v>38</v>
      </c>
      <c r="F2235" t="s">
        <v>87</v>
      </c>
      <c r="G2235">
        <v>10.130000000000001</v>
      </c>
      <c r="H2235">
        <v>1.61</v>
      </c>
      <c r="I2235">
        <v>4.26</v>
      </c>
      <c r="J2235">
        <v>18.147600000000001</v>
      </c>
      <c r="K2235" t="str">
        <f>IFERROR(INDEX(Rosters!$C$2:$C$155,MATCH($B2235,Rosters!$B$2:$B$155,0)),"NA")</f>
        <v>perry</v>
      </c>
      <c r="L2235" t="str">
        <f t="shared" si="102"/>
        <v>perry11WR</v>
      </c>
      <c r="M2235">
        <f>COUNTIF(L$1:L2235,L2235)</f>
        <v>4</v>
      </c>
      <c r="N2235" t="str">
        <f t="shared" si="103"/>
        <v>perry11WR-4</v>
      </c>
      <c r="O2235">
        <f>COUNTIFS(F$1:F2235,F2235,A$1:A2235,A2235)</f>
        <v>48</v>
      </c>
      <c r="P2235" t="str">
        <f t="shared" si="104"/>
        <v>Ryan Grant11</v>
      </c>
    </row>
    <row r="2236" spans="1:16" x14ac:dyDescent="0.25">
      <c r="A2236">
        <v>6</v>
      </c>
      <c r="B2236" t="s">
        <v>212</v>
      </c>
      <c r="C2236" t="s">
        <v>7342</v>
      </c>
      <c r="D2236">
        <v>5.86</v>
      </c>
      <c r="E2236" t="s">
        <v>41</v>
      </c>
      <c r="F2236" t="s">
        <v>47</v>
      </c>
      <c r="G2236">
        <v>10.67</v>
      </c>
      <c r="H2236">
        <v>1.05</v>
      </c>
      <c r="I2236">
        <v>4.8099999999999996</v>
      </c>
      <c r="J2236">
        <v>23.136099999999999</v>
      </c>
      <c r="K2236" t="str">
        <f>IFERROR(INDEX(Rosters!$C$2:$C$155,MATCH($B2236,Rosters!$B$2:$B$155,0)),"NA")</f>
        <v>seth</v>
      </c>
      <c r="L2236" t="str">
        <f t="shared" si="102"/>
        <v>seth6RB</v>
      </c>
      <c r="M2236">
        <f>COUNTIF(L$1:L2236,L2236)</f>
        <v>5</v>
      </c>
      <c r="N2236" t="str">
        <f t="shared" si="103"/>
        <v>seth6RB-5</v>
      </c>
      <c r="O2236">
        <f>COUNTIFS(F$1:F2236,F2236,A$1:A2236,A2236)</f>
        <v>44</v>
      </c>
      <c r="P2236" t="str">
        <f t="shared" si="104"/>
        <v>Alfred Morris6</v>
      </c>
    </row>
    <row r="2237" spans="1:16" x14ac:dyDescent="0.25">
      <c r="A2237">
        <v>8</v>
      </c>
      <c r="B2237" t="s">
        <v>1425</v>
      </c>
      <c r="C2237" t="s">
        <v>7343</v>
      </c>
      <c r="D2237">
        <v>5.86</v>
      </c>
      <c r="E2237" t="s">
        <v>24</v>
      </c>
      <c r="F2237" t="s">
        <v>87</v>
      </c>
      <c r="G2237">
        <v>10.5</v>
      </c>
      <c r="H2237">
        <v>1.22</v>
      </c>
      <c r="I2237">
        <v>4.6399999999999997</v>
      </c>
      <c r="J2237">
        <v>21.529599999999999</v>
      </c>
      <c r="K2237" t="str">
        <f>IFERROR(INDEX(Rosters!$C$2:$C$155,MATCH($B2237,Rosters!$B$2:$B$155,0)),"NA")</f>
        <v>NA</v>
      </c>
      <c r="L2237" t="str">
        <f t="shared" si="102"/>
        <v>NA8WR</v>
      </c>
      <c r="M2237">
        <f>COUNTIF(L$1:L2237,L2237)</f>
        <v>7</v>
      </c>
      <c r="N2237" t="str">
        <f t="shared" si="103"/>
        <v>NA8WR-7</v>
      </c>
      <c r="O2237">
        <f>COUNTIFS(F$1:F2237,F2237,A$1:A2237,A2237)</f>
        <v>51</v>
      </c>
      <c r="P2237" t="str">
        <f t="shared" si="104"/>
        <v>Courtland Sutton8</v>
      </c>
    </row>
    <row r="2238" spans="1:16" x14ac:dyDescent="0.25">
      <c r="A2238">
        <v>12</v>
      </c>
      <c r="B2238" t="s">
        <v>137</v>
      </c>
      <c r="C2238" t="s">
        <v>7344</v>
      </c>
      <c r="D2238">
        <v>5.86</v>
      </c>
      <c r="E2238" t="s">
        <v>22</v>
      </c>
      <c r="F2238" t="s">
        <v>87</v>
      </c>
      <c r="G2238">
        <v>9.9700000000000006</v>
      </c>
      <c r="H2238">
        <v>1.75</v>
      </c>
      <c r="I2238">
        <v>4.1100000000000003</v>
      </c>
      <c r="J2238">
        <v>16.892099999999999</v>
      </c>
      <c r="K2238" t="str">
        <f>IFERROR(INDEX(Rosters!$C$2:$C$155,MATCH($B2238,Rosters!$B$2:$B$155,0)),"NA")</f>
        <v>lucas</v>
      </c>
      <c r="L2238" t="str">
        <f t="shared" si="102"/>
        <v>lucas12WR</v>
      </c>
      <c r="M2238">
        <f>COUNTIF(L$1:L2238,L2238)</f>
        <v>3</v>
      </c>
      <c r="N2238" t="str">
        <f t="shared" si="103"/>
        <v>lucas12WR-3</v>
      </c>
      <c r="O2238">
        <f>COUNTIFS(F$1:F2238,F2238,A$1:A2238,A2238)</f>
        <v>50</v>
      </c>
      <c r="P2238" t="str">
        <f t="shared" si="104"/>
        <v>Jamison Crowder12</v>
      </c>
    </row>
    <row r="2239" spans="1:16" x14ac:dyDescent="0.25">
      <c r="A2239">
        <v>12</v>
      </c>
      <c r="B2239" t="s">
        <v>281</v>
      </c>
      <c r="C2239" t="s">
        <v>7345</v>
      </c>
      <c r="D2239">
        <v>5.84</v>
      </c>
      <c r="E2239" t="s">
        <v>25</v>
      </c>
      <c r="F2239" t="s">
        <v>47</v>
      </c>
      <c r="G2239">
        <v>11.11</v>
      </c>
      <c r="H2239">
        <v>0.56999999999999995</v>
      </c>
      <c r="I2239">
        <v>5.27</v>
      </c>
      <c r="J2239">
        <v>27.7729</v>
      </c>
      <c r="K2239" t="str">
        <f>IFERROR(INDEX(Rosters!$C$2:$C$155,MATCH($B2239,Rosters!$B$2:$B$155,0)),"NA")</f>
        <v>aj</v>
      </c>
      <c r="L2239" t="str">
        <f t="shared" si="102"/>
        <v>aj12RB</v>
      </c>
      <c r="M2239">
        <f>COUNTIF(L$1:L2239,L2239)</f>
        <v>5</v>
      </c>
      <c r="N2239" t="str">
        <f t="shared" si="103"/>
        <v>aj12RB-5</v>
      </c>
      <c r="O2239">
        <f>COUNTIFS(F$1:F2239,F2239,A$1:A2239,A2239)</f>
        <v>47</v>
      </c>
      <c r="P2239" t="str">
        <f t="shared" si="104"/>
        <v>Aaron Jones12</v>
      </c>
    </row>
    <row r="2240" spans="1:16" x14ac:dyDescent="0.25">
      <c r="A2240">
        <v>17</v>
      </c>
      <c r="B2240" t="s">
        <v>264</v>
      </c>
      <c r="C2240" t="s">
        <v>7346</v>
      </c>
      <c r="D2240">
        <v>5.84</v>
      </c>
      <c r="E2240" t="s">
        <v>56</v>
      </c>
      <c r="F2240" t="s">
        <v>114</v>
      </c>
      <c r="G2240">
        <v>10.199999999999999</v>
      </c>
      <c r="H2240">
        <v>1.48</v>
      </c>
      <c r="I2240">
        <v>4.3600000000000003</v>
      </c>
      <c r="J2240">
        <v>19.009599999999999</v>
      </c>
      <c r="K2240" t="str">
        <f>IFERROR(INDEX(Rosters!$C$2:$C$155,MATCH($B2240,Rosters!$B$2:$B$155,0)),"NA")</f>
        <v>scott</v>
      </c>
      <c r="L2240" t="str">
        <f t="shared" si="102"/>
        <v>scott17TE</v>
      </c>
      <c r="M2240">
        <f>COUNTIF(L$1:L2240,L2240)</f>
        <v>1</v>
      </c>
      <c r="N2240" t="str">
        <f t="shared" si="103"/>
        <v>scott17TE-1</v>
      </c>
      <c r="O2240">
        <f>COUNTIFS(F$1:F2240,F2240,A$1:A2240,A2240)</f>
        <v>10</v>
      </c>
      <c r="P2240" t="str">
        <f t="shared" si="104"/>
        <v>George Kittle17</v>
      </c>
    </row>
    <row r="2241" spans="1:16" x14ac:dyDescent="0.25">
      <c r="A2241">
        <v>15</v>
      </c>
      <c r="B2241" t="s">
        <v>1158</v>
      </c>
      <c r="C2241" t="s">
        <v>7347</v>
      </c>
      <c r="D2241">
        <v>5.84</v>
      </c>
      <c r="E2241" t="s">
        <v>51</v>
      </c>
      <c r="F2241" t="s">
        <v>87</v>
      </c>
      <c r="G2241">
        <v>11.56</v>
      </c>
      <c r="H2241">
        <v>0.12</v>
      </c>
      <c r="I2241">
        <v>5.72</v>
      </c>
      <c r="J2241">
        <v>32.718400000000003</v>
      </c>
      <c r="K2241" t="str">
        <f>IFERROR(INDEX(Rosters!$C$2:$C$155,MATCH($B2241,Rosters!$B$2:$B$155,0)),"NA")</f>
        <v>chad</v>
      </c>
      <c r="L2241" t="str">
        <f t="shared" si="102"/>
        <v>chad15WR</v>
      </c>
      <c r="M2241">
        <f>COUNTIF(L$1:L2241,L2241)</f>
        <v>6</v>
      </c>
      <c r="N2241" t="str">
        <f t="shared" si="103"/>
        <v>chad15WR-6</v>
      </c>
      <c r="O2241">
        <f>COUNTIFS(F$1:F2241,F2241,A$1:A2241,A2241)</f>
        <v>53</v>
      </c>
      <c r="P2241" t="str">
        <f t="shared" si="104"/>
        <v>Josh Gordon15</v>
      </c>
    </row>
    <row r="2242" spans="1:16" x14ac:dyDescent="0.25">
      <c r="A2242">
        <v>8</v>
      </c>
      <c r="B2242" t="s">
        <v>111</v>
      </c>
      <c r="C2242" t="s">
        <v>7348</v>
      </c>
      <c r="D2242">
        <v>5.84</v>
      </c>
      <c r="E2242" t="s">
        <v>50</v>
      </c>
      <c r="F2242" t="s">
        <v>47</v>
      </c>
      <c r="G2242">
        <v>8.9</v>
      </c>
      <c r="H2242">
        <v>2.78</v>
      </c>
      <c r="I2242">
        <v>3.06</v>
      </c>
      <c r="J2242">
        <v>9.3635999999999999</v>
      </c>
      <c r="K2242" t="str">
        <f>IFERROR(INDEX(Rosters!$C$2:$C$155,MATCH($B2242,Rosters!$B$2:$B$155,0)),"NA")</f>
        <v>seth</v>
      </c>
      <c r="L2242" t="str">
        <f t="shared" si="102"/>
        <v>seth8RB</v>
      </c>
      <c r="M2242">
        <f>COUNTIF(L$1:L2242,L2242)</f>
        <v>3</v>
      </c>
      <c r="N2242" t="str">
        <f t="shared" si="103"/>
        <v>seth8RB-3</v>
      </c>
      <c r="O2242">
        <f>COUNTIFS(F$1:F2242,F2242,A$1:A2242,A2242)</f>
        <v>41</v>
      </c>
      <c r="P2242" t="str">
        <f t="shared" si="104"/>
        <v>Leonard Fournette8</v>
      </c>
    </row>
    <row r="2243" spans="1:16" x14ac:dyDescent="0.25">
      <c r="A2243">
        <v>13</v>
      </c>
      <c r="B2243" t="s">
        <v>261</v>
      </c>
      <c r="C2243" t="s">
        <v>7349</v>
      </c>
      <c r="D2243">
        <v>5.83</v>
      </c>
      <c r="E2243" t="s">
        <v>22</v>
      </c>
      <c r="F2243" t="s">
        <v>114</v>
      </c>
      <c r="G2243">
        <v>9.93</v>
      </c>
      <c r="H2243">
        <v>1.73</v>
      </c>
      <c r="I2243">
        <v>4.0999999999999996</v>
      </c>
      <c r="J2243">
        <v>16.809999999999999</v>
      </c>
      <c r="K2243" t="str">
        <f>IFERROR(INDEX(Rosters!$C$2:$C$155,MATCH($B2243,Rosters!$B$2:$B$155,0)),"NA")</f>
        <v>NA</v>
      </c>
      <c r="L2243" t="str">
        <f t="shared" ref="L2243:L2306" si="105">K2243&amp;A2243&amp;F2243</f>
        <v>NA13TE</v>
      </c>
      <c r="M2243">
        <f>COUNTIF(L$1:L2243,L2243)</f>
        <v>2</v>
      </c>
      <c r="N2243" t="str">
        <f t="shared" ref="N2243:N2306" si="106">L2243&amp;"-"&amp;M2243</f>
        <v>NA13TE-2</v>
      </c>
      <c r="O2243">
        <f>COUNTIFS(F$1:F2243,F2243,A$1:A2243,A2243)</f>
        <v>9</v>
      </c>
      <c r="P2243" t="str">
        <f t="shared" ref="P2243:P2306" si="107">B2243&amp;A2243</f>
        <v>Benjamin Watson13</v>
      </c>
    </row>
    <row r="2244" spans="1:16" x14ac:dyDescent="0.25">
      <c r="A2244">
        <v>6</v>
      </c>
      <c r="B2244" t="s">
        <v>131</v>
      </c>
      <c r="C2244" t="s">
        <v>7350</v>
      </c>
      <c r="D2244">
        <v>5.83</v>
      </c>
      <c r="E2244" t="s">
        <v>60</v>
      </c>
      <c r="F2244" t="s">
        <v>47</v>
      </c>
      <c r="G2244">
        <v>10.92</v>
      </c>
      <c r="H2244">
        <v>0.74</v>
      </c>
      <c r="I2244">
        <v>5.09</v>
      </c>
      <c r="J2244">
        <v>25.908100000000001</v>
      </c>
      <c r="K2244" t="str">
        <f>IFERROR(INDEX(Rosters!$C$2:$C$155,MATCH($B2244,Rosters!$B$2:$B$155,0)),"NA")</f>
        <v>NA</v>
      </c>
      <c r="L2244" t="str">
        <f t="shared" si="105"/>
        <v>NA6RB</v>
      </c>
      <c r="M2244">
        <f>COUNTIF(L$1:L2244,L2244)</f>
        <v>6</v>
      </c>
      <c r="N2244" t="str">
        <f t="shared" si="106"/>
        <v>NA6RB-6</v>
      </c>
      <c r="O2244">
        <f>COUNTIFS(F$1:F2244,F2244,A$1:A2244,A2244)</f>
        <v>45</v>
      </c>
      <c r="P2244" t="str">
        <f t="shared" si="107"/>
        <v>C.J. Anderson6</v>
      </c>
    </row>
    <row r="2245" spans="1:16" x14ac:dyDescent="0.25">
      <c r="A2245">
        <v>2</v>
      </c>
      <c r="B2245" t="s">
        <v>316</v>
      </c>
      <c r="C2245" t="s">
        <v>3565</v>
      </c>
      <c r="D2245">
        <v>5.83</v>
      </c>
      <c r="E2245" t="s">
        <v>423</v>
      </c>
      <c r="F2245" t="s">
        <v>47</v>
      </c>
      <c r="G2245">
        <v>8.5500000000000007</v>
      </c>
      <c r="H2245">
        <v>3.11</v>
      </c>
      <c r="I2245">
        <v>2.72</v>
      </c>
      <c r="J2245">
        <v>7.3983999999999996</v>
      </c>
      <c r="K2245" t="str">
        <f>IFERROR(INDEX(Rosters!$C$2:$C$155,MATCH($B2245,Rosters!$B$2:$B$155,0)),"NA")</f>
        <v>NA</v>
      </c>
      <c r="L2245" t="str">
        <f t="shared" si="105"/>
        <v>NA2RB</v>
      </c>
      <c r="M2245">
        <f>COUNTIF(L$1:L2245,L2245)</f>
        <v>6</v>
      </c>
      <c r="N2245" t="str">
        <f t="shared" si="106"/>
        <v>NA2RB-6</v>
      </c>
      <c r="O2245">
        <f>COUNTIFS(F$1:F2245,F2245,A$1:A2245,A2245)</f>
        <v>41</v>
      </c>
      <c r="P2245" t="str">
        <f t="shared" si="107"/>
        <v>Corey Grant2</v>
      </c>
    </row>
    <row r="2246" spans="1:16" x14ac:dyDescent="0.25">
      <c r="A2246">
        <v>16</v>
      </c>
      <c r="B2246" t="s">
        <v>308</v>
      </c>
      <c r="C2246" t="s">
        <v>7351</v>
      </c>
      <c r="D2246">
        <v>5.83</v>
      </c>
      <c r="E2246" t="s">
        <v>32</v>
      </c>
      <c r="F2246" t="s">
        <v>114</v>
      </c>
      <c r="G2246">
        <v>11.29</v>
      </c>
      <c r="H2246">
        <v>0.37</v>
      </c>
      <c r="I2246">
        <v>5.46</v>
      </c>
      <c r="J2246">
        <v>29.811599999999999</v>
      </c>
      <c r="K2246" t="str">
        <f>IFERROR(INDEX(Rosters!$C$2:$C$155,MATCH($B2246,Rosters!$B$2:$B$155,0)),"NA")</f>
        <v>NA</v>
      </c>
      <c r="L2246" t="str">
        <f t="shared" si="105"/>
        <v>NA16TE</v>
      </c>
      <c r="M2246">
        <f>COUNTIF(L$1:L2246,L2246)</f>
        <v>3</v>
      </c>
      <c r="N2246" t="str">
        <f t="shared" si="106"/>
        <v>NA16TE-3</v>
      </c>
      <c r="O2246">
        <f>COUNTIFS(F$1:F2246,F2246,A$1:A2246,A2246)</f>
        <v>11</v>
      </c>
      <c r="P2246" t="str">
        <f t="shared" si="107"/>
        <v>Jeff Heuerman16</v>
      </c>
    </row>
    <row r="2247" spans="1:16" x14ac:dyDescent="0.25">
      <c r="A2247">
        <v>11</v>
      </c>
      <c r="B2247" t="s">
        <v>224</v>
      </c>
      <c r="C2247" t="s">
        <v>7352</v>
      </c>
      <c r="D2247">
        <v>5.82</v>
      </c>
      <c r="E2247" t="s">
        <v>38</v>
      </c>
      <c r="F2247" t="s">
        <v>47</v>
      </c>
      <c r="G2247">
        <v>10.41</v>
      </c>
      <c r="H2247">
        <v>1.23</v>
      </c>
      <c r="I2247">
        <v>4.59</v>
      </c>
      <c r="J2247">
        <v>21.068100000000001</v>
      </c>
      <c r="K2247" t="str">
        <f>IFERROR(INDEX(Rosters!$C$2:$C$155,MATCH($B2247,Rosters!$B$2:$B$155,0)),"NA")</f>
        <v>NA</v>
      </c>
      <c r="L2247" t="str">
        <f t="shared" si="105"/>
        <v>NA11RB</v>
      </c>
      <c r="M2247">
        <f>COUNTIF(L$1:L2247,L2247)</f>
        <v>4</v>
      </c>
      <c r="N2247" t="str">
        <f t="shared" si="106"/>
        <v>NA11RB-4</v>
      </c>
      <c r="O2247">
        <f>COUNTIFS(F$1:F2247,F2247,A$1:A2247,A2247)</f>
        <v>37</v>
      </c>
      <c r="P2247" t="str">
        <f t="shared" si="107"/>
        <v>Marlon Mack11</v>
      </c>
    </row>
    <row r="2248" spans="1:16" x14ac:dyDescent="0.25">
      <c r="A2248">
        <v>11</v>
      </c>
      <c r="B2248" t="s">
        <v>131</v>
      </c>
      <c r="C2248" t="s">
        <v>7353</v>
      </c>
      <c r="D2248">
        <v>5.81</v>
      </c>
      <c r="E2248" t="s">
        <v>34</v>
      </c>
      <c r="F2248" t="s">
        <v>47</v>
      </c>
      <c r="G2248">
        <v>10.51</v>
      </c>
      <c r="H2248">
        <v>1.1100000000000001</v>
      </c>
      <c r="I2248">
        <v>4.7</v>
      </c>
      <c r="J2248">
        <v>22.09</v>
      </c>
      <c r="K2248" t="str">
        <f>IFERROR(INDEX(Rosters!$C$2:$C$155,MATCH($B2248,Rosters!$B$2:$B$155,0)),"NA")</f>
        <v>NA</v>
      </c>
      <c r="L2248" t="str">
        <f t="shared" si="105"/>
        <v>NA11RB</v>
      </c>
      <c r="M2248">
        <f>COUNTIF(L$1:L2248,L2248)</f>
        <v>5</v>
      </c>
      <c r="N2248" t="str">
        <f t="shared" si="106"/>
        <v>NA11RB-5</v>
      </c>
      <c r="O2248">
        <f>COUNTIFS(F$1:F2248,F2248,A$1:A2248,A2248)</f>
        <v>38</v>
      </c>
      <c r="P2248" t="str">
        <f t="shared" si="107"/>
        <v>C.J. Anderson11</v>
      </c>
    </row>
    <row r="2249" spans="1:16" x14ac:dyDescent="0.25">
      <c r="A2249">
        <v>15</v>
      </c>
      <c r="B2249" t="s">
        <v>1387</v>
      </c>
      <c r="C2249" t="s">
        <v>7354</v>
      </c>
      <c r="D2249">
        <v>5.81</v>
      </c>
      <c r="E2249" t="s">
        <v>56</v>
      </c>
      <c r="F2249" t="s">
        <v>47</v>
      </c>
      <c r="G2249">
        <v>10.4</v>
      </c>
      <c r="H2249">
        <v>1.22</v>
      </c>
      <c r="I2249">
        <v>4.59</v>
      </c>
      <c r="J2249">
        <v>21.068100000000001</v>
      </c>
      <c r="K2249" t="str">
        <f>IFERROR(INDEX(Rosters!$C$2:$C$155,MATCH($B2249,Rosters!$B$2:$B$155,0)),"NA")</f>
        <v>NA</v>
      </c>
      <c r="L2249" t="str">
        <f t="shared" si="105"/>
        <v>NA15RB</v>
      </c>
      <c r="M2249">
        <f>COUNTIF(L$1:L2249,L2249)</f>
        <v>8</v>
      </c>
      <c r="N2249" t="str">
        <f t="shared" si="106"/>
        <v>NA15RB-8</v>
      </c>
      <c r="O2249">
        <f>COUNTIFS(F$1:F2249,F2249,A$1:A2249,A2249)</f>
        <v>49</v>
      </c>
      <c r="P2249" t="str">
        <f t="shared" si="107"/>
        <v>Corey Clement15</v>
      </c>
    </row>
    <row r="2250" spans="1:16" x14ac:dyDescent="0.25">
      <c r="A2250">
        <v>5</v>
      </c>
      <c r="B2250" t="s">
        <v>215</v>
      </c>
      <c r="C2250" t="s">
        <v>7355</v>
      </c>
      <c r="D2250">
        <v>5.81</v>
      </c>
      <c r="E2250" t="s">
        <v>77</v>
      </c>
      <c r="F2250" t="s">
        <v>114</v>
      </c>
      <c r="G2250">
        <v>10.1</v>
      </c>
      <c r="H2250">
        <v>1.52</v>
      </c>
      <c r="I2250">
        <v>4.29</v>
      </c>
      <c r="J2250">
        <v>18.4041</v>
      </c>
      <c r="K2250" t="str">
        <f>IFERROR(INDEX(Rosters!$C$2:$C$155,MATCH($B2250,Rosters!$B$2:$B$155,0)),"NA")</f>
        <v>NA</v>
      </c>
      <c r="L2250" t="str">
        <f t="shared" si="105"/>
        <v>NA5TE</v>
      </c>
      <c r="M2250">
        <f>COUNTIF(L$1:L2250,L2250)</f>
        <v>1</v>
      </c>
      <c r="N2250" t="str">
        <f t="shared" si="106"/>
        <v>NA5TE-1</v>
      </c>
      <c r="O2250">
        <f>COUNTIFS(F$1:F2250,F2250,A$1:A2250,A2250)</f>
        <v>10</v>
      </c>
      <c r="P2250" t="str">
        <f t="shared" si="107"/>
        <v>David Njoku5</v>
      </c>
    </row>
    <row r="2251" spans="1:16" x14ac:dyDescent="0.25">
      <c r="A2251">
        <v>15</v>
      </c>
      <c r="B2251" t="s">
        <v>235</v>
      </c>
      <c r="C2251" t="s">
        <v>7356</v>
      </c>
      <c r="D2251">
        <v>5.81</v>
      </c>
      <c r="E2251" t="s">
        <v>38</v>
      </c>
      <c r="F2251" t="s">
        <v>114</v>
      </c>
      <c r="G2251">
        <v>10.24</v>
      </c>
      <c r="H2251">
        <v>1.38</v>
      </c>
      <c r="I2251">
        <v>4.43</v>
      </c>
      <c r="J2251">
        <v>19.6249</v>
      </c>
      <c r="K2251" t="str">
        <f>IFERROR(INDEX(Rosters!$C$2:$C$155,MATCH($B2251,Rosters!$B$2:$B$155,0)),"NA")</f>
        <v>devon</v>
      </c>
      <c r="L2251" t="str">
        <f t="shared" si="105"/>
        <v>devon15TE</v>
      </c>
      <c r="M2251">
        <f>COUNTIF(L$1:L2251,L2251)</f>
        <v>1</v>
      </c>
      <c r="N2251" t="str">
        <f t="shared" si="106"/>
        <v>devon15TE-1</v>
      </c>
      <c r="O2251">
        <f>COUNTIFS(F$1:F2251,F2251,A$1:A2251,A2251)</f>
        <v>8</v>
      </c>
      <c r="P2251" t="str">
        <f t="shared" si="107"/>
        <v>Evan Engram15</v>
      </c>
    </row>
    <row r="2252" spans="1:16" x14ac:dyDescent="0.25">
      <c r="A2252">
        <v>10</v>
      </c>
      <c r="B2252" t="s">
        <v>264</v>
      </c>
      <c r="C2252" t="s">
        <v>7357</v>
      </c>
      <c r="D2252">
        <v>5.81</v>
      </c>
      <c r="E2252" t="s">
        <v>54</v>
      </c>
      <c r="F2252" t="s">
        <v>114</v>
      </c>
      <c r="G2252">
        <v>9.48</v>
      </c>
      <c r="H2252">
        <v>2.14</v>
      </c>
      <c r="I2252">
        <v>3.67</v>
      </c>
      <c r="J2252">
        <v>13.4689</v>
      </c>
      <c r="K2252" t="str">
        <f>IFERROR(INDEX(Rosters!$C$2:$C$155,MATCH($B2252,Rosters!$B$2:$B$155,0)),"NA")</f>
        <v>scott</v>
      </c>
      <c r="L2252" t="str">
        <f t="shared" si="105"/>
        <v>scott10TE</v>
      </c>
      <c r="M2252">
        <f>COUNTIF(L$1:L2252,L2252)</f>
        <v>1</v>
      </c>
      <c r="N2252" t="str">
        <f t="shared" si="106"/>
        <v>scott10TE-1</v>
      </c>
      <c r="O2252">
        <f>COUNTIFS(F$1:F2252,F2252,A$1:A2252,A2252)</f>
        <v>9</v>
      </c>
      <c r="P2252" t="str">
        <f t="shared" si="107"/>
        <v>George Kittle10</v>
      </c>
    </row>
    <row r="2253" spans="1:16" x14ac:dyDescent="0.25">
      <c r="A2253">
        <v>11</v>
      </c>
      <c r="B2253" t="s">
        <v>205</v>
      </c>
      <c r="C2253" t="s">
        <v>7358</v>
      </c>
      <c r="D2253">
        <v>5.81</v>
      </c>
      <c r="E2253" t="s">
        <v>28</v>
      </c>
      <c r="F2253" t="s">
        <v>47</v>
      </c>
      <c r="G2253">
        <v>9.9600000000000009</v>
      </c>
      <c r="H2253">
        <v>1.66</v>
      </c>
      <c r="I2253">
        <v>4.1500000000000004</v>
      </c>
      <c r="J2253">
        <v>17.2225</v>
      </c>
      <c r="K2253" t="str">
        <f>IFERROR(INDEX(Rosters!$C$2:$C$155,MATCH($B2253,Rosters!$B$2:$B$155,0)),"NA")</f>
        <v>NA</v>
      </c>
      <c r="L2253" t="str">
        <f t="shared" si="105"/>
        <v>NA11RB</v>
      </c>
      <c r="M2253">
        <f>COUNTIF(L$1:L2253,L2253)</f>
        <v>6</v>
      </c>
      <c r="N2253" t="str">
        <f t="shared" si="106"/>
        <v>NA11RB-6</v>
      </c>
      <c r="O2253">
        <f>COUNTIFS(F$1:F2253,F2253,A$1:A2253,A2253)</f>
        <v>39</v>
      </c>
      <c r="P2253" t="str">
        <f t="shared" si="107"/>
        <v>Jamaal Williams11</v>
      </c>
    </row>
    <row r="2254" spans="1:16" x14ac:dyDescent="0.25">
      <c r="A2254">
        <v>3</v>
      </c>
      <c r="B2254" t="s">
        <v>243</v>
      </c>
      <c r="C2254" t="s">
        <v>3721</v>
      </c>
      <c r="D2254">
        <v>5.81</v>
      </c>
      <c r="E2254" t="s">
        <v>34</v>
      </c>
      <c r="F2254" t="s">
        <v>87</v>
      </c>
      <c r="G2254">
        <v>11.05</v>
      </c>
      <c r="H2254">
        <v>0.56999999999999995</v>
      </c>
      <c r="I2254">
        <v>5.24</v>
      </c>
      <c r="J2254">
        <v>27.457599999999999</v>
      </c>
      <c r="K2254" t="str">
        <f>IFERROR(INDEX(Rosters!$C$2:$C$155,MATCH($B2254,Rosters!$B$2:$B$155,0)),"NA")</f>
        <v>NA</v>
      </c>
      <c r="L2254" t="str">
        <f t="shared" si="105"/>
        <v>NA3WR</v>
      </c>
      <c r="M2254">
        <f>COUNTIF(L$1:L2254,L2254)</f>
        <v>7</v>
      </c>
      <c r="N2254" t="str">
        <f t="shared" si="106"/>
        <v>NA3WR-7</v>
      </c>
      <c r="O2254">
        <f>COUNTIFS(F$1:F2254,F2254,A$1:A2254,A2254)</f>
        <v>48</v>
      </c>
      <c r="P2254" t="str">
        <f t="shared" si="107"/>
        <v>Phillip Dorsett3</v>
      </c>
    </row>
    <row r="2255" spans="1:16" x14ac:dyDescent="0.25">
      <c r="A2255">
        <v>10</v>
      </c>
      <c r="B2255" t="s">
        <v>303</v>
      </c>
      <c r="C2255" t="s">
        <v>7359</v>
      </c>
      <c r="D2255">
        <v>5.81</v>
      </c>
      <c r="E2255" t="s">
        <v>423</v>
      </c>
      <c r="F2255" t="s">
        <v>87</v>
      </c>
      <c r="G2255">
        <v>10.15</v>
      </c>
      <c r="H2255">
        <v>1.47</v>
      </c>
      <c r="I2255">
        <v>4.34</v>
      </c>
      <c r="J2255">
        <v>18.835599999999999</v>
      </c>
      <c r="K2255" t="str">
        <f>IFERROR(INDEX(Rosters!$C$2:$C$155,MATCH($B2255,Rosters!$B$2:$B$155,0)),"NA")</f>
        <v>NA</v>
      </c>
      <c r="L2255" t="str">
        <f t="shared" si="105"/>
        <v>NA10WR</v>
      </c>
      <c r="M2255">
        <f>COUNTIF(L$1:L2255,L2255)</f>
        <v>6</v>
      </c>
      <c r="N2255" t="str">
        <f t="shared" si="106"/>
        <v>NA10WR-6</v>
      </c>
      <c r="O2255">
        <f>COUNTIFS(F$1:F2255,F2255,A$1:A2255,A2255)</f>
        <v>45</v>
      </c>
      <c r="P2255" t="str">
        <f t="shared" si="107"/>
        <v>Taywan Taylor10</v>
      </c>
    </row>
    <row r="2256" spans="1:16" x14ac:dyDescent="0.25">
      <c r="A2256">
        <v>5</v>
      </c>
      <c r="B2256" t="s">
        <v>316</v>
      </c>
      <c r="C2256" t="s">
        <v>7360</v>
      </c>
      <c r="D2256">
        <v>5.8</v>
      </c>
      <c r="E2256" t="s">
        <v>24</v>
      </c>
      <c r="F2256" t="s">
        <v>47</v>
      </c>
      <c r="G2256">
        <v>11.41</v>
      </c>
      <c r="H2256">
        <v>0.19</v>
      </c>
      <c r="I2256">
        <v>5.61</v>
      </c>
      <c r="J2256">
        <v>31.472100000000001</v>
      </c>
      <c r="K2256" t="str">
        <f>IFERROR(INDEX(Rosters!$C$2:$C$155,MATCH($B2256,Rosters!$B$2:$B$155,0)),"NA")</f>
        <v>NA</v>
      </c>
      <c r="L2256" t="str">
        <f t="shared" si="105"/>
        <v>NA5RB</v>
      </c>
      <c r="M2256">
        <f>COUNTIF(L$1:L2256,L2256)</f>
        <v>7</v>
      </c>
      <c r="N2256" t="str">
        <f t="shared" si="106"/>
        <v>NA5RB-7</v>
      </c>
      <c r="O2256">
        <f>COUNTIFS(F$1:F2256,F2256,A$1:A2256,A2256)</f>
        <v>46</v>
      </c>
      <c r="P2256" t="str">
        <f t="shared" si="107"/>
        <v>Corey Grant5</v>
      </c>
    </row>
    <row r="2257" spans="1:16" x14ac:dyDescent="0.25">
      <c r="A2257">
        <v>13</v>
      </c>
      <c r="B2257" t="s">
        <v>232</v>
      </c>
      <c r="C2257" t="s">
        <v>7361</v>
      </c>
      <c r="D2257">
        <v>5.8</v>
      </c>
      <c r="E2257" t="s">
        <v>24</v>
      </c>
      <c r="F2257" t="s">
        <v>47</v>
      </c>
      <c r="G2257">
        <v>9.89</v>
      </c>
      <c r="H2257">
        <v>1.71</v>
      </c>
      <c r="I2257">
        <v>4.09</v>
      </c>
      <c r="J2257">
        <v>16.728100000000001</v>
      </c>
      <c r="K2257" t="str">
        <f>IFERROR(INDEX(Rosters!$C$2:$C$155,MATCH($B2257,Rosters!$B$2:$B$155,0)),"NA")</f>
        <v>NA</v>
      </c>
      <c r="L2257" t="str">
        <f t="shared" si="105"/>
        <v>NA13RB</v>
      </c>
      <c r="M2257">
        <f>COUNTIF(L$1:L2257,L2257)</f>
        <v>9</v>
      </c>
      <c r="N2257" t="str">
        <f t="shared" si="106"/>
        <v>NA13RB-9</v>
      </c>
      <c r="O2257">
        <f>COUNTIFS(F$1:F2257,F2257,A$1:A2257,A2257)</f>
        <v>52</v>
      </c>
      <c r="P2257" t="str">
        <f t="shared" si="107"/>
        <v>Jalen Richard13</v>
      </c>
    </row>
    <row r="2258" spans="1:16" x14ac:dyDescent="0.25">
      <c r="A2258">
        <v>13</v>
      </c>
      <c r="B2258" t="s">
        <v>1368</v>
      </c>
      <c r="C2258" t="s">
        <v>7362</v>
      </c>
      <c r="D2258">
        <v>5.8</v>
      </c>
      <c r="E2258" t="s">
        <v>66</v>
      </c>
      <c r="F2258" t="s">
        <v>87</v>
      </c>
      <c r="G2258">
        <v>9.7899999999999991</v>
      </c>
      <c r="H2258">
        <v>1.81</v>
      </c>
      <c r="I2258">
        <v>3.99</v>
      </c>
      <c r="J2258">
        <v>15.9201</v>
      </c>
      <c r="K2258" t="str">
        <f>IFERROR(INDEX(Rosters!$C$2:$C$155,MATCH($B2258,Rosters!$B$2:$B$155,0)),"NA")</f>
        <v>scott</v>
      </c>
      <c r="L2258" t="str">
        <f t="shared" si="105"/>
        <v>scott13WR</v>
      </c>
      <c r="M2258">
        <f>COUNTIF(L$1:L2258,L2258)</f>
        <v>5</v>
      </c>
      <c r="N2258" t="str">
        <f t="shared" si="106"/>
        <v>scott13WR-5</v>
      </c>
      <c r="O2258">
        <f>COUNTIFS(F$1:F2258,F2258,A$1:A2258,A2258)</f>
        <v>56</v>
      </c>
      <c r="P2258" t="str">
        <f t="shared" si="107"/>
        <v>Keelan Cole13</v>
      </c>
    </row>
    <row r="2259" spans="1:16" x14ac:dyDescent="0.25">
      <c r="A2259">
        <v>1</v>
      </c>
      <c r="B2259" t="s">
        <v>1372</v>
      </c>
      <c r="C2259" t="s">
        <v>1741</v>
      </c>
      <c r="D2259">
        <v>5.8</v>
      </c>
      <c r="E2259" t="s">
        <v>34</v>
      </c>
      <c r="F2259" t="s">
        <v>87</v>
      </c>
      <c r="G2259">
        <v>10.42</v>
      </c>
      <c r="H2259">
        <v>1.18</v>
      </c>
      <c r="I2259">
        <v>4.62</v>
      </c>
      <c r="J2259">
        <v>21.3444</v>
      </c>
      <c r="K2259" t="str">
        <f>IFERROR(INDEX(Rosters!$C$2:$C$155,MATCH($B2259,Rosters!$B$2:$B$155,0)),"NA")</f>
        <v>lucas</v>
      </c>
      <c r="L2259" t="str">
        <f t="shared" si="105"/>
        <v>lucas1WR</v>
      </c>
      <c r="M2259">
        <f>COUNTIF(L$1:L2259,L2259)</f>
        <v>4</v>
      </c>
      <c r="N2259" t="str">
        <f t="shared" si="106"/>
        <v>lucas1WR-4</v>
      </c>
      <c r="O2259">
        <f>COUNTIFS(F$1:F2259,F2259,A$1:A2259,A2259)</f>
        <v>44</v>
      </c>
      <c r="P2259" t="str">
        <f t="shared" si="107"/>
        <v>Quincy Enunwa1</v>
      </c>
    </row>
    <row r="2260" spans="1:16" x14ac:dyDescent="0.25">
      <c r="A2260">
        <v>17</v>
      </c>
      <c r="B2260" t="s">
        <v>1387</v>
      </c>
      <c r="C2260" t="s">
        <v>7363</v>
      </c>
      <c r="D2260">
        <v>5.79</v>
      </c>
      <c r="E2260" t="s">
        <v>60</v>
      </c>
      <c r="F2260" t="s">
        <v>47</v>
      </c>
      <c r="G2260">
        <v>10.45</v>
      </c>
      <c r="H2260">
        <v>1.1299999999999999</v>
      </c>
      <c r="I2260">
        <v>4.66</v>
      </c>
      <c r="J2260">
        <v>21.715599999999998</v>
      </c>
      <c r="K2260" t="str">
        <f>IFERROR(INDEX(Rosters!$C$2:$C$155,MATCH($B2260,Rosters!$B$2:$B$155,0)),"NA")</f>
        <v>NA</v>
      </c>
      <c r="L2260" t="str">
        <f t="shared" si="105"/>
        <v>NA17RB</v>
      </c>
      <c r="M2260">
        <f>COUNTIF(L$1:L2260,L2260)</f>
        <v>6</v>
      </c>
      <c r="N2260" t="str">
        <f t="shared" si="106"/>
        <v>NA17RB-6</v>
      </c>
      <c r="O2260">
        <f>COUNTIFS(F$1:F2260,F2260,A$1:A2260,A2260)</f>
        <v>48</v>
      </c>
      <c r="P2260" t="str">
        <f t="shared" si="107"/>
        <v>Corey Clement17</v>
      </c>
    </row>
    <row r="2261" spans="1:16" x14ac:dyDescent="0.25">
      <c r="A2261">
        <v>8</v>
      </c>
      <c r="B2261" t="s">
        <v>1391</v>
      </c>
      <c r="C2261">
        <f>-0.26-11.84</f>
        <v>-12.1</v>
      </c>
      <c r="D2261">
        <v>5.79</v>
      </c>
      <c r="E2261" t="s">
        <v>77</v>
      </c>
      <c r="F2261" t="s">
        <v>87</v>
      </c>
      <c r="G2261">
        <v>11.84</v>
      </c>
      <c r="H2261">
        <v>-0.26</v>
      </c>
      <c r="I2261">
        <v>6.05</v>
      </c>
      <c r="J2261">
        <v>36.602499999999999</v>
      </c>
      <c r="K2261" t="str">
        <f>IFERROR(INDEX(Rosters!$C$2:$C$155,MATCH($B2261,Rosters!$B$2:$B$155,0)),"NA")</f>
        <v>NA</v>
      </c>
      <c r="L2261" t="str">
        <f t="shared" si="105"/>
        <v>NA8WR</v>
      </c>
      <c r="M2261">
        <f>COUNTIF(L$1:L2261,L2261)</f>
        <v>8</v>
      </c>
      <c r="N2261" t="str">
        <f t="shared" si="106"/>
        <v>NA8WR-8</v>
      </c>
      <c r="O2261">
        <f>COUNTIFS(F$1:F2261,F2261,A$1:A2261,A2261)</f>
        <v>52</v>
      </c>
      <c r="P2261" t="str">
        <f t="shared" si="107"/>
        <v>D.J. Moore8</v>
      </c>
    </row>
    <row r="2262" spans="1:16" x14ac:dyDescent="0.25">
      <c r="A2262">
        <v>12</v>
      </c>
      <c r="B2262" t="s">
        <v>160</v>
      </c>
      <c r="C2262" t="s">
        <v>7364</v>
      </c>
      <c r="D2262">
        <v>5.79</v>
      </c>
      <c r="E2262" t="s">
        <v>17</v>
      </c>
      <c r="F2262" t="s">
        <v>87</v>
      </c>
      <c r="G2262">
        <v>9.9600000000000009</v>
      </c>
      <c r="H2262">
        <v>1.62</v>
      </c>
      <c r="I2262">
        <v>4.17</v>
      </c>
      <c r="J2262">
        <v>17.3889</v>
      </c>
      <c r="K2262" t="str">
        <f>IFERROR(INDEX(Rosters!$C$2:$C$155,MATCH($B2262,Rosters!$B$2:$B$155,0)),"NA")</f>
        <v>NA</v>
      </c>
      <c r="L2262" t="str">
        <f t="shared" si="105"/>
        <v>NA12WR</v>
      </c>
      <c r="M2262">
        <f>COUNTIF(L$1:L2262,L2262)</f>
        <v>6</v>
      </c>
      <c r="N2262" t="str">
        <f t="shared" si="106"/>
        <v>NA12WR-6</v>
      </c>
      <c r="O2262">
        <f>COUNTIFS(F$1:F2262,F2262,A$1:A2262,A2262)</f>
        <v>51</v>
      </c>
      <c r="P2262" t="str">
        <f t="shared" si="107"/>
        <v>Pierre Garcon12</v>
      </c>
    </row>
    <row r="2263" spans="1:16" x14ac:dyDescent="0.25">
      <c r="A2263">
        <v>1</v>
      </c>
      <c r="B2263" t="s">
        <v>210</v>
      </c>
      <c r="C2263" t="s">
        <v>1380</v>
      </c>
      <c r="D2263">
        <v>5.79</v>
      </c>
      <c r="E2263" t="s">
        <v>24</v>
      </c>
      <c r="F2263" t="s">
        <v>87</v>
      </c>
      <c r="G2263">
        <v>11</v>
      </c>
      <c r="H2263">
        <v>0.57999999999999996</v>
      </c>
      <c r="I2263">
        <v>5.21</v>
      </c>
      <c r="J2263">
        <v>27.144100000000002</v>
      </c>
      <c r="K2263" t="str">
        <f>IFERROR(INDEX(Rosters!$C$2:$C$155,MATCH($B2263,Rosters!$B$2:$B$155,0)),"NA")</f>
        <v>NA</v>
      </c>
      <c r="L2263" t="str">
        <f t="shared" si="105"/>
        <v>NA1WR</v>
      </c>
      <c r="M2263">
        <f>COUNTIF(L$1:L2263,L2263)</f>
        <v>5</v>
      </c>
      <c r="N2263" t="str">
        <f t="shared" si="106"/>
        <v>NA1WR-5</v>
      </c>
      <c r="O2263">
        <f>COUNTIFS(F$1:F2263,F2263,A$1:A2263,A2263)</f>
        <v>45</v>
      </c>
      <c r="P2263" t="str">
        <f t="shared" si="107"/>
        <v>Tyrell Williams1</v>
      </c>
    </row>
    <row r="2264" spans="1:16" x14ac:dyDescent="0.25">
      <c r="A2264">
        <v>5</v>
      </c>
      <c r="B2264" t="s">
        <v>294</v>
      </c>
      <c r="C2264" t="s">
        <v>7365</v>
      </c>
      <c r="D2264">
        <v>5.78</v>
      </c>
      <c r="E2264" t="s">
        <v>22</v>
      </c>
      <c r="F2264" t="s">
        <v>47</v>
      </c>
      <c r="G2264">
        <v>10.66</v>
      </c>
      <c r="H2264">
        <v>0.9</v>
      </c>
      <c r="I2264">
        <v>4.88</v>
      </c>
      <c r="J2264">
        <v>23.814399999999999</v>
      </c>
      <c r="K2264" t="str">
        <f>IFERROR(INDEX(Rosters!$C$2:$C$155,MATCH($B2264,Rosters!$B$2:$B$155,0)),"NA")</f>
        <v>perry</v>
      </c>
      <c r="L2264" t="str">
        <f t="shared" si="105"/>
        <v>perry5RB</v>
      </c>
      <c r="M2264">
        <f>COUNTIF(L$1:L2264,L2264)</f>
        <v>4</v>
      </c>
      <c r="N2264" t="str">
        <f t="shared" si="106"/>
        <v>perry5RB-4</v>
      </c>
      <c r="O2264">
        <f>COUNTIFS(F$1:F2264,F2264,A$1:A2264,A2264)</f>
        <v>47</v>
      </c>
      <c r="P2264" t="str">
        <f t="shared" si="107"/>
        <v>Alfred Blue5</v>
      </c>
    </row>
    <row r="2265" spans="1:16" x14ac:dyDescent="0.25">
      <c r="A2265">
        <v>2</v>
      </c>
      <c r="B2265" t="s">
        <v>155</v>
      </c>
      <c r="C2265" t="s">
        <v>3351</v>
      </c>
      <c r="D2265">
        <v>5.78</v>
      </c>
      <c r="E2265" t="s">
        <v>30</v>
      </c>
      <c r="F2265" t="s">
        <v>47</v>
      </c>
      <c r="G2265">
        <v>9.92</v>
      </c>
      <c r="H2265">
        <v>1.64</v>
      </c>
      <c r="I2265">
        <v>4.1399999999999997</v>
      </c>
      <c r="J2265">
        <v>17.139600000000002</v>
      </c>
      <c r="K2265" t="str">
        <f>IFERROR(INDEX(Rosters!$C$2:$C$155,MATCH($B2265,Rosters!$B$2:$B$155,0)),"NA")</f>
        <v>NA</v>
      </c>
      <c r="L2265" t="str">
        <f t="shared" si="105"/>
        <v>NA2RB</v>
      </c>
      <c r="M2265">
        <f>COUNTIF(L$1:L2265,L2265)</f>
        <v>7</v>
      </c>
      <c r="N2265" t="str">
        <f t="shared" si="106"/>
        <v>NA2RB-7</v>
      </c>
      <c r="O2265">
        <f>COUNTIFS(F$1:F2265,F2265,A$1:A2265,A2265)</f>
        <v>42</v>
      </c>
      <c r="P2265" t="str">
        <f t="shared" si="107"/>
        <v>Theo Riddick2</v>
      </c>
    </row>
    <row r="2266" spans="1:16" x14ac:dyDescent="0.25">
      <c r="A2266">
        <v>11</v>
      </c>
      <c r="B2266" t="s">
        <v>187</v>
      </c>
      <c r="C2266" t="s">
        <v>7366</v>
      </c>
      <c r="D2266">
        <v>5.77</v>
      </c>
      <c r="E2266" t="s">
        <v>72</v>
      </c>
      <c r="F2266" t="s">
        <v>47</v>
      </c>
      <c r="G2266">
        <v>10.02</v>
      </c>
      <c r="H2266">
        <v>1.52</v>
      </c>
      <c r="I2266">
        <v>4.25</v>
      </c>
      <c r="J2266">
        <v>18.0625</v>
      </c>
      <c r="K2266" t="str">
        <f>IFERROR(INDEX(Rosters!$C$2:$C$155,MATCH($B2266,Rosters!$B$2:$B$155,0)),"NA")</f>
        <v>seth</v>
      </c>
      <c r="L2266" t="str">
        <f t="shared" si="105"/>
        <v>seth11RB</v>
      </c>
      <c r="M2266">
        <f>COUNTIF(L$1:L2266,L2266)</f>
        <v>5</v>
      </c>
      <c r="N2266" t="str">
        <f t="shared" si="106"/>
        <v>seth11RB-5</v>
      </c>
      <c r="O2266">
        <f>COUNTIFS(F$1:F2266,F2266,A$1:A2266,A2266)</f>
        <v>40</v>
      </c>
      <c r="P2266" t="str">
        <f t="shared" si="107"/>
        <v>Latavius Murray11</v>
      </c>
    </row>
    <row r="2267" spans="1:16" x14ac:dyDescent="0.25">
      <c r="A2267">
        <v>5</v>
      </c>
      <c r="B2267" t="s">
        <v>214</v>
      </c>
      <c r="C2267" t="s">
        <v>7367</v>
      </c>
      <c r="D2267">
        <v>5.77</v>
      </c>
      <c r="E2267" t="s">
        <v>46</v>
      </c>
      <c r="F2267" t="s">
        <v>114</v>
      </c>
      <c r="G2267">
        <v>11.06</v>
      </c>
      <c r="H2267">
        <v>0.48</v>
      </c>
      <c r="I2267">
        <v>5.29</v>
      </c>
      <c r="J2267">
        <v>27.984100000000002</v>
      </c>
      <c r="K2267" t="str">
        <f>IFERROR(INDEX(Rosters!$C$2:$C$155,MATCH($B2267,Rosters!$B$2:$B$155,0)),"NA")</f>
        <v>scott</v>
      </c>
      <c r="L2267" t="str">
        <f t="shared" si="105"/>
        <v>scott5TE</v>
      </c>
      <c r="M2267">
        <f>COUNTIF(L$1:L2267,L2267)</f>
        <v>2</v>
      </c>
      <c r="N2267" t="str">
        <f t="shared" si="106"/>
        <v>scott5TE-2</v>
      </c>
      <c r="O2267">
        <f>COUNTIFS(F$1:F2267,F2267,A$1:A2267,A2267)</f>
        <v>11</v>
      </c>
      <c r="P2267" t="str">
        <f t="shared" si="107"/>
        <v>Vance McDonald5</v>
      </c>
    </row>
    <row r="2268" spans="1:16" x14ac:dyDescent="0.25">
      <c r="A2268">
        <v>8</v>
      </c>
      <c r="B2268" t="s">
        <v>139</v>
      </c>
      <c r="C2268" t="s">
        <v>7368</v>
      </c>
      <c r="D2268">
        <v>5.76</v>
      </c>
      <c r="E2268" t="s">
        <v>72</v>
      </c>
      <c r="F2268" t="s">
        <v>47</v>
      </c>
      <c r="G2268">
        <v>10.81</v>
      </c>
      <c r="H2268">
        <v>0.71</v>
      </c>
      <c r="I2268">
        <v>5.05</v>
      </c>
      <c r="J2268">
        <v>25.502500000000001</v>
      </c>
      <c r="K2268" t="str">
        <f>IFERROR(INDEX(Rosters!$C$2:$C$155,MATCH($B2268,Rosters!$B$2:$B$155,0)),"NA")</f>
        <v>cory</v>
      </c>
      <c r="L2268" t="str">
        <f t="shared" si="105"/>
        <v>cory8RB</v>
      </c>
      <c r="M2268">
        <f>COUNTIF(L$1:L2268,L2268)</f>
        <v>4</v>
      </c>
      <c r="N2268" t="str">
        <f t="shared" si="106"/>
        <v>cory8RB-4</v>
      </c>
      <c r="O2268">
        <f>COUNTIFS(F$1:F2268,F2268,A$1:A2268,A2268)</f>
        <v>42</v>
      </c>
      <c r="P2268" t="str">
        <f t="shared" si="107"/>
        <v>Bilal Powell8</v>
      </c>
    </row>
    <row r="2269" spans="1:16" x14ac:dyDescent="0.25">
      <c r="A2269">
        <v>7</v>
      </c>
      <c r="B2269" t="s">
        <v>213</v>
      </c>
      <c r="C2269" t="s">
        <v>7369</v>
      </c>
      <c r="D2269">
        <v>5.76</v>
      </c>
      <c r="E2269" t="s">
        <v>52</v>
      </c>
      <c r="F2269" t="s">
        <v>114</v>
      </c>
      <c r="G2269">
        <v>10.25</v>
      </c>
      <c r="H2269">
        <v>1.27</v>
      </c>
      <c r="I2269">
        <v>4.49</v>
      </c>
      <c r="J2269">
        <v>20.1601</v>
      </c>
      <c r="K2269" t="str">
        <f>IFERROR(INDEX(Rosters!$C$2:$C$155,MATCH($B2269,Rosters!$B$2:$B$155,0)),"NA")</f>
        <v>NA</v>
      </c>
      <c r="L2269" t="str">
        <f t="shared" si="105"/>
        <v>NA7TE</v>
      </c>
      <c r="M2269">
        <f>COUNTIF(L$1:L2269,L2269)</f>
        <v>2</v>
      </c>
      <c r="N2269" t="str">
        <f t="shared" si="106"/>
        <v>NA7TE-2</v>
      </c>
      <c r="O2269">
        <f>COUNTIFS(F$1:F2269,F2269,A$1:A2269,A2269)</f>
        <v>8</v>
      </c>
      <c r="P2269" t="str">
        <f t="shared" si="107"/>
        <v>Cameron Brate7</v>
      </c>
    </row>
    <row r="2270" spans="1:16" x14ac:dyDescent="0.25">
      <c r="A2270">
        <v>5</v>
      </c>
      <c r="B2270" t="s">
        <v>1397</v>
      </c>
      <c r="C2270" t="s">
        <v>7370</v>
      </c>
      <c r="D2270">
        <v>5.75</v>
      </c>
      <c r="E2270" t="s">
        <v>30</v>
      </c>
      <c r="F2270" t="s">
        <v>87</v>
      </c>
      <c r="G2270">
        <v>10.6</v>
      </c>
      <c r="H2270">
        <v>0.9</v>
      </c>
      <c r="I2270">
        <v>4.8499999999999996</v>
      </c>
      <c r="J2270">
        <v>23.522500000000001</v>
      </c>
      <c r="K2270" t="str">
        <f>IFERROR(INDEX(Rosters!$C$2:$C$155,MATCH($B2270,Rosters!$B$2:$B$155,0)),"NA")</f>
        <v>NA</v>
      </c>
      <c r="L2270" t="str">
        <f t="shared" si="105"/>
        <v>NA5WR</v>
      </c>
      <c r="M2270">
        <f>COUNTIF(L$1:L2270,L2270)</f>
        <v>9</v>
      </c>
      <c r="N2270" t="str">
        <f t="shared" si="106"/>
        <v>NA5WR-9</v>
      </c>
      <c r="O2270">
        <f>COUNTIFS(F$1:F2270,F2270,A$1:A2270,A2270)</f>
        <v>53</v>
      </c>
      <c r="P2270" t="str">
        <f t="shared" si="107"/>
        <v>Christian Kirk5</v>
      </c>
    </row>
    <row r="2271" spans="1:16" x14ac:dyDescent="0.25">
      <c r="A2271">
        <v>6</v>
      </c>
      <c r="B2271" t="s">
        <v>1397</v>
      </c>
      <c r="C2271" t="s">
        <v>4519</v>
      </c>
      <c r="D2271">
        <v>5.75</v>
      </c>
      <c r="E2271" t="s">
        <v>25</v>
      </c>
      <c r="F2271" t="s">
        <v>87</v>
      </c>
      <c r="G2271">
        <v>10.17</v>
      </c>
      <c r="H2271">
        <v>1.33</v>
      </c>
      <c r="I2271">
        <v>4.42</v>
      </c>
      <c r="J2271">
        <v>19.5364</v>
      </c>
      <c r="K2271" t="str">
        <f>IFERROR(INDEX(Rosters!$C$2:$C$155,MATCH($B2271,Rosters!$B$2:$B$155,0)),"NA")</f>
        <v>NA</v>
      </c>
      <c r="L2271" t="str">
        <f t="shared" si="105"/>
        <v>NA6WR</v>
      </c>
      <c r="M2271">
        <f>COUNTIF(L$1:L2271,L2271)</f>
        <v>6</v>
      </c>
      <c r="N2271" t="str">
        <f t="shared" si="106"/>
        <v>NA6WR-6</v>
      </c>
      <c r="O2271">
        <f>COUNTIFS(F$1:F2271,F2271,A$1:A2271,A2271)</f>
        <v>49</v>
      </c>
      <c r="P2271" t="str">
        <f t="shared" si="107"/>
        <v>Christian Kirk6</v>
      </c>
    </row>
    <row r="2272" spans="1:16" x14ac:dyDescent="0.25">
      <c r="A2272">
        <v>15</v>
      </c>
      <c r="B2272" t="s">
        <v>178</v>
      </c>
      <c r="C2272" t="s">
        <v>7371</v>
      </c>
      <c r="D2272">
        <v>5.75</v>
      </c>
      <c r="E2272" t="s">
        <v>22</v>
      </c>
      <c r="F2272" t="s">
        <v>114</v>
      </c>
      <c r="G2272">
        <v>9.31</v>
      </c>
      <c r="H2272">
        <v>2.19</v>
      </c>
      <c r="I2272">
        <v>3.56</v>
      </c>
      <c r="J2272">
        <v>12.6736</v>
      </c>
      <c r="K2272" t="str">
        <f>IFERROR(INDEX(Rosters!$C$2:$C$155,MATCH($B2272,Rosters!$B$2:$B$155,0)),"NA")</f>
        <v>devon</v>
      </c>
      <c r="L2272" t="str">
        <f t="shared" si="105"/>
        <v>devon15TE</v>
      </c>
      <c r="M2272">
        <f>COUNTIF(L$1:L2272,L2272)</f>
        <v>2</v>
      </c>
      <c r="N2272" t="str">
        <f t="shared" si="106"/>
        <v>devon15TE-2</v>
      </c>
      <c r="O2272">
        <f>COUNTIFS(F$1:F2272,F2272,A$1:A2272,A2272)</f>
        <v>9</v>
      </c>
      <c r="P2272" t="str">
        <f t="shared" si="107"/>
        <v>Eric Ebron15</v>
      </c>
    </row>
    <row r="2273" spans="1:16" x14ac:dyDescent="0.25">
      <c r="A2273">
        <v>8</v>
      </c>
      <c r="B2273" t="s">
        <v>255</v>
      </c>
      <c r="C2273" t="s">
        <v>7372</v>
      </c>
      <c r="D2273">
        <v>5.75</v>
      </c>
      <c r="E2273" t="s">
        <v>58</v>
      </c>
      <c r="F2273" t="s">
        <v>87</v>
      </c>
      <c r="G2273">
        <v>10.35</v>
      </c>
      <c r="H2273">
        <v>1.1499999999999999</v>
      </c>
      <c r="I2273">
        <v>4.5999999999999996</v>
      </c>
      <c r="J2273">
        <v>21.16</v>
      </c>
      <c r="K2273" t="str">
        <f>IFERROR(INDEX(Rosters!$C$2:$C$155,MATCH($B2273,Rosters!$B$2:$B$155,0)),"NA")</f>
        <v>NA</v>
      </c>
      <c r="L2273" t="str">
        <f t="shared" si="105"/>
        <v>NA8WR</v>
      </c>
      <c r="M2273">
        <f>COUNTIF(L$1:L2273,L2273)</f>
        <v>9</v>
      </c>
      <c r="N2273" t="str">
        <f t="shared" si="106"/>
        <v>NA8WR-9</v>
      </c>
      <c r="O2273">
        <f>COUNTIFS(F$1:F2273,F2273,A$1:A2273,A2273)</f>
        <v>53</v>
      </c>
      <c r="P2273" t="str">
        <f t="shared" si="107"/>
        <v>Marquise Goodwin8</v>
      </c>
    </row>
    <row r="2274" spans="1:16" x14ac:dyDescent="0.25">
      <c r="A2274">
        <v>10</v>
      </c>
      <c r="B2274" t="s">
        <v>223</v>
      </c>
      <c r="C2274" t="s">
        <v>7373</v>
      </c>
      <c r="D2274">
        <v>5.75</v>
      </c>
      <c r="E2274" t="s">
        <v>17</v>
      </c>
      <c r="F2274" t="s">
        <v>87</v>
      </c>
      <c r="G2274">
        <v>10.93</v>
      </c>
      <c r="H2274">
        <v>0.56999999999999995</v>
      </c>
      <c r="I2274">
        <v>5.18</v>
      </c>
      <c r="J2274">
        <v>26.8324</v>
      </c>
      <c r="K2274" t="str">
        <f>IFERROR(INDEX(Rosters!$C$2:$C$155,MATCH($B2274,Rosters!$B$2:$B$155,0)),"NA")</f>
        <v>NA</v>
      </c>
      <c r="L2274" t="str">
        <f t="shared" si="105"/>
        <v>NA10WR</v>
      </c>
      <c r="M2274">
        <f>COUNTIF(L$1:L2274,L2274)</f>
        <v>7</v>
      </c>
      <c r="N2274" t="str">
        <f t="shared" si="106"/>
        <v>NA10WR-7</v>
      </c>
      <c r="O2274">
        <f>COUNTIFS(F$1:F2274,F2274,A$1:A2274,A2274)</f>
        <v>46</v>
      </c>
      <c r="P2274" t="str">
        <f t="shared" si="107"/>
        <v>Paul Richardson10</v>
      </c>
    </row>
    <row r="2275" spans="1:16" x14ac:dyDescent="0.25">
      <c r="A2275">
        <v>11</v>
      </c>
      <c r="B2275" t="s">
        <v>281</v>
      </c>
      <c r="C2275" t="s">
        <v>7374</v>
      </c>
      <c r="D2275">
        <v>5.74</v>
      </c>
      <c r="E2275" t="s">
        <v>28</v>
      </c>
      <c r="F2275" t="s">
        <v>47</v>
      </c>
      <c r="G2275">
        <v>11.35</v>
      </c>
      <c r="H2275">
        <v>0.13</v>
      </c>
      <c r="I2275">
        <v>5.61</v>
      </c>
      <c r="J2275">
        <v>31.472100000000001</v>
      </c>
      <c r="K2275" t="str">
        <f>IFERROR(INDEX(Rosters!$C$2:$C$155,MATCH($B2275,Rosters!$B$2:$B$155,0)),"NA")</f>
        <v>aj</v>
      </c>
      <c r="L2275" t="str">
        <f t="shared" si="105"/>
        <v>aj11RB</v>
      </c>
      <c r="M2275">
        <f>COUNTIF(L$1:L2275,L2275)</f>
        <v>4</v>
      </c>
      <c r="N2275" t="str">
        <f t="shared" si="106"/>
        <v>aj11RB-4</v>
      </c>
      <c r="O2275">
        <f>COUNTIFS(F$1:F2275,F2275,A$1:A2275,A2275)</f>
        <v>41</v>
      </c>
      <c r="P2275" t="str">
        <f t="shared" si="107"/>
        <v>Aaron Jones11</v>
      </c>
    </row>
    <row r="2276" spans="1:16" x14ac:dyDescent="0.25">
      <c r="A2276">
        <v>2</v>
      </c>
      <c r="B2276" t="s">
        <v>131</v>
      </c>
      <c r="C2276" t="s">
        <v>1704</v>
      </c>
      <c r="D2276">
        <v>5.74</v>
      </c>
      <c r="E2276" t="s">
        <v>46</v>
      </c>
      <c r="F2276" t="s">
        <v>47</v>
      </c>
      <c r="G2276">
        <v>10.61</v>
      </c>
      <c r="H2276">
        <v>0.87</v>
      </c>
      <c r="I2276">
        <v>4.87</v>
      </c>
      <c r="J2276">
        <v>23.716899999999999</v>
      </c>
      <c r="K2276" t="str">
        <f>IFERROR(INDEX(Rosters!$C$2:$C$155,MATCH($B2276,Rosters!$B$2:$B$155,0)),"NA")</f>
        <v>NA</v>
      </c>
      <c r="L2276" t="str">
        <f t="shared" si="105"/>
        <v>NA2RB</v>
      </c>
      <c r="M2276">
        <f>COUNTIF(L$1:L2276,L2276)</f>
        <v>8</v>
      </c>
      <c r="N2276" t="str">
        <f t="shared" si="106"/>
        <v>NA2RB-8</v>
      </c>
      <c r="O2276">
        <f>COUNTIFS(F$1:F2276,F2276,A$1:A2276,A2276)</f>
        <v>43</v>
      </c>
      <c r="P2276" t="str">
        <f t="shared" si="107"/>
        <v>C.J. Anderson2</v>
      </c>
    </row>
    <row r="2277" spans="1:16" x14ac:dyDescent="0.25">
      <c r="A2277">
        <v>3</v>
      </c>
      <c r="B2277" t="s">
        <v>185</v>
      </c>
      <c r="C2277" t="s">
        <v>3722</v>
      </c>
      <c r="D2277">
        <v>5.74</v>
      </c>
      <c r="E2277" t="s">
        <v>42</v>
      </c>
      <c r="F2277" t="s">
        <v>87</v>
      </c>
      <c r="G2277">
        <v>9.89</v>
      </c>
      <c r="H2277">
        <v>1.59</v>
      </c>
      <c r="I2277">
        <v>4.1500000000000004</v>
      </c>
      <c r="J2277">
        <v>17.2225</v>
      </c>
      <c r="K2277" t="str">
        <f>IFERROR(INDEX(Rosters!$C$2:$C$155,MATCH($B2277,Rosters!$B$2:$B$155,0)),"NA")</f>
        <v>scott</v>
      </c>
      <c r="L2277" t="str">
        <f t="shared" si="105"/>
        <v>scott3WR</v>
      </c>
      <c r="M2277">
        <f>COUNTIF(L$1:L2277,L2277)</f>
        <v>6</v>
      </c>
      <c r="N2277" t="str">
        <f t="shared" si="106"/>
        <v>scott3WR-6</v>
      </c>
      <c r="O2277">
        <f>COUNTIFS(F$1:F2277,F2277,A$1:A2277,A2277)</f>
        <v>49</v>
      </c>
      <c r="P2277" t="str">
        <f t="shared" si="107"/>
        <v>John Brown3</v>
      </c>
    </row>
    <row r="2278" spans="1:16" x14ac:dyDescent="0.25">
      <c r="A2278">
        <v>12</v>
      </c>
      <c r="B2278" t="s">
        <v>1395</v>
      </c>
      <c r="C2278" t="s">
        <v>4520</v>
      </c>
      <c r="D2278">
        <v>5.74</v>
      </c>
      <c r="E2278" t="s">
        <v>19</v>
      </c>
      <c r="F2278" t="s">
        <v>47</v>
      </c>
      <c r="G2278">
        <v>10</v>
      </c>
      <c r="H2278">
        <v>1.48</v>
      </c>
      <c r="I2278">
        <v>4.26</v>
      </c>
      <c r="J2278">
        <v>18.147600000000001</v>
      </c>
      <c r="K2278" t="str">
        <f>IFERROR(INDEX(Rosters!$C$2:$C$155,MATCH($B2278,Rosters!$B$2:$B$155,0)),"NA")</f>
        <v>cory</v>
      </c>
      <c r="L2278" t="str">
        <f t="shared" si="105"/>
        <v>cory12RB</v>
      </c>
      <c r="M2278">
        <f>COUNTIF(L$1:L2278,L2278)</f>
        <v>5</v>
      </c>
      <c r="N2278" t="str">
        <f t="shared" si="106"/>
        <v>cory12RB-5</v>
      </c>
      <c r="O2278">
        <f>COUNTIFS(F$1:F2278,F2278,A$1:A2278,A2278)</f>
        <v>48</v>
      </c>
      <c r="P2278" t="str">
        <f t="shared" si="107"/>
        <v>Nyheim Hines12</v>
      </c>
    </row>
    <row r="2279" spans="1:16" x14ac:dyDescent="0.25">
      <c r="A2279">
        <v>2</v>
      </c>
      <c r="B2279" t="s">
        <v>1387</v>
      </c>
      <c r="C2279" t="s">
        <v>3566</v>
      </c>
      <c r="D2279">
        <v>5.73</v>
      </c>
      <c r="E2279" t="s">
        <v>17</v>
      </c>
      <c r="F2279" t="s">
        <v>47</v>
      </c>
      <c r="G2279">
        <v>11.42</v>
      </c>
      <c r="H2279">
        <v>0.04</v>
      </c>
      <c r="I2279">
        <v>5.69</v>
      </c>
      <c r="J2279">
        <v>32.376100000000001</v>
      </c>
      <c r="K2279" t="str">
        <f>IFERROR(INDEX(Rosters!$C$2:$C$155,MATCH($B2279,Rosters!$B$2:$B$155,0)),"NA")</f>
        <v>NA</v>
      </c>
      <c r="L2279" t="str">
        <f t="shared" si="105"/>
        <v>NA2RB</v>
      </c>
      <c r="M2279">
        <f>COUNTIF(L$1:L2279,L2279)</f>
        <v>9</v>
      </c>
      <c r="N2279" t="str">
        <f t="shared" si="106"/>
        <v>NA2RB-9</v>
      </c>
      <c r="O2279">
        <f>COUNTIFS(F$1:F2279,F2279,A$1:A2279,A2279)</f>
        <v>44</v>
      </c>
      <c r="P2279" t="str">
        <f t="shared" si="107"/>
        <v>Corey Clement2</v>
      </c>
    </row>
    <row r="2280" spans="1:16" x14ac:dyDescent="0.25">
      <c r="A2280">
        <v>17</v>
      </c>
      <c r="B2280" t="s">
        <v>1211</v>
      </c>
      <c r="C2280" t="s">
        <v>7375</v>
      </c>
      <c r="D2280">
        <v>5.73</v>
      </c>
      <c r="E2280" t="s">
        <v>36</v>
      </c>
      <c r="F2280" t="s">
        <v>87</v>
      </c>
      <c r="G2280">
        <v>11.33</v>
      </c>
      <c r="H2280">
        <v>0.13</v>
      </c>
      <c r="I2280">
        <v>5.6</v>
      </c>
      <c r="J2280">
        <v>31.36</v>
      </c>
      <c r="K2280" t="str">
        <f>IFERROR(INDEX(Rosters!$C$2:$C$155,MATCH($B2280,Rosters!$B$2:$B$155,0)),"NA")</f>
        <v>NA</v>
      </c>
      <c r="L2280" t="str">
        <f t="shared" si="105"/>
        <v>NA17WR</v>
      </c>
      <c r="M2280">
        <f>COUNTIF(L$1:L2280,L2280)</f>
        <v>5</v>
      </c>
      <c r="N2280" t="str">
        <f t="shared" si="106"/>
        <v>NA17WR-5</v>
      </c>
      <c r="O2280">
        <f>COUNTIFS(F$1:F2280,F2280,A$1:A2280,A2280)</f>
        <v>54</v>
      </c>
      <c r="P2280" t="str">
        <f t="shared" si="107"/>
        <v>Dede Westbrook17</v>
      </c>
    </row>
    <row r="2281" spans="1:16" x14ac:dyDescent="0.25">
      <c r="A2281">
        <v>14</v>
      </c>
      <c r="B2281" t="s">
        <v>183</v>
      </c>
      <c r="C2281" t="s">
        <v>7376</v>
      </c>
      <c r="D2281">
        <v>5.73</v>
      </c>
      <c r="E2281" t="s">
        <v>74</v>
      </c>
      <c r="F2281" t="s">
        <v>47</v>
      </c>
      <c r="G2281">
        <v>9.67</v>
      </c>
      <c r="H2281">
        <v>1.79</v>
      </c>
      <c r="I2281">
        <v>3.94</v>
      </c>
      <c r="J2281">
        <v>15.5236</v>
      </c>
      <c r="K2281" t="str">
        <f>IFERROR(INDEX(Rosters!$C$2:$C$155,MATCH($B2281,Rosters!$B$2:$B$155,0)),"NA")</f>
        <v>NA</v>
      </c>
      <c r="L2281" t="str">
        <f t="shared" si="105"/>
        <v>NA14RB</v>
      </c>
      <c r="M2281">
        <f>COUNTIF(L$1:L2281,L2281)</f>
        <v>7</v>
      </c>
      <c r="N2281" t="str">
        <f t="shared" si="106"/>
        <v>NA14RB-7</v>
      </c>
      <c r="O2281">
        <f>COUNTIFS(F$1:F2281,F2281,A$1:A2281,A2281)</f>
        <v>48</v>
      </c>
      <c r="P2281" t="str">
        <f t="shared" si="107"/>
        <v>Duke Johnson Jr.14</v>
      </c>
    </row>
    <row r="2282" spans="1:16" x14ac:dyDescent="0.25">
      <c r="A2282">
        <v>3</v>
      </c>
      <c r="B2282" t="s">
        <v>170</v>
      </c>
      <c r="C2282" t="s">
        <v>3723</v>
      </c>
      <c r="D2282">
        <v>5.73</v>
      </c>
      <c r="E2282" t="s">
        <v>423</v>
      </c>
      <c r="F2282" t="s">
        <v>47</v>
      </c>
      <c r="G2282">
        <v>10.02</v>
      </c>
      <c r="H2282">
        <v>1.44</v>
      </c>
      <c r="I2282">
        <v>4.29</v>
      </c>
      <c r="J2282">
        <v>18.4041</v>
      </c>
      <c r="K2282" t="str">
        <f>IFERROR(INDEX(Rosters!$C$2:$C$155,MATCH($B2282,Rosters!$B$2:$B$155,0)),"NA")</f>
        <v>NA</v>
      </c>
      <c r="L2282" t="str">
        <f t="shared" si="105"/>
        <v>NA3RB</v>
      </c>
      <c r="M2282">
        <f>COUNTIF(L$1:L2282,L2282)</f>
        <v>13</v>
      </c>
      <c r="N2282" t="str">
        <f t="shared" si="106"/>
        <v>NA3RB-13</v>
      </c>
      <c r="O2282">
        <f>COUNTIFS(F$1:F2282,F2282,A$1:A2282,A2282)</f>
        <v>44</v>
      </c>
      <c r="P2282" t="str">
        <f t="shared" si="107"/>
        <v>LeGarrette Blount3</v>
      </c>
    </row>
    <row r="2283" spans="1:16" x14ac:dyDescent="0.25">
      <c r="A2283">
        <v>14</v>
      </c>
      <c r="B2283" t="s">
        <v>211</v>
      </c>
      <c r="C2283" t="s">
        <v>7377</v>
      </c>
      <c r="D2283">
        <v>5.72</v>
      </c>
      <c r="E2283" t="s">
        <v>41</v>
      </c>
      <c r="F2283" t="s">
        <v>114</v>
      </c>
      <c r="G2283">
        <v>10.86</v>
      </c>
      <c r="H2283">
        <v>0.57999999999999996</v>
      </c>
      <c r="I2283">
        <v>5.14</v>
      </c>
      <c r="J2283">
        <v>26.419599999999999</v>
      </c>
      <c r="K2283" t="str">
        <f>IFERROR(INDEX(Rosters!$C$2:$C$155,MATCH($B2283,Rosters!$B$2:$B$155,0)),"NA")</f>
        <v>comp</v>
      </c>
      <c r="L2283" t="str">
        <f t="shared" si="105"/>
        <v>comp14TE</v>
      </c>
      <c r="M2283">
        <f>COUNTIF(L$1:L2283,L2283)</f>
        <v>1</v>
      </c>
      <c r="N2283" t="str">
        <f t="shared" si="106"/>
        <v>comp14TE-1</v>
      </c>
      <c r="O2283">
        <f>COUNTIFS(F$1:F2283,F2283,A$1:A2283,A2283)</f>
        <v>10</v>
      </c>
      <c r="P2283" t="str">
        <f t="shared" si="107"/>
        <v>Austin Hooper14</v>
      </c>
    </row>
    <row r="2284" spans="1:16" x14ac:dyDescent="0.25">
      <c r="A2284">
        <v>2</v>
      </c>
      <c r="B2284" t="s">
        <v>256</v>
      </c>
      <c r="C2284" t="s">
        <v>3724</v>
      </c>
      <c r="D2284">
        <v>5.72</v>
      </c>
      <c r="E2284" t="s">
        <v>58</v>
      </c>
      <c r="F2284" t="s">
        <v>87</v>
      </c>
      <c r="G2284">
        <v>10.42</v>
      </c>
      <c r="H2284">
        <v>1.02</v>
      </c>
      <c r="I2284">
        <v>4.7</v>
      </c>
      <c r="J2284">
        <v>22.09</v>
      </c>
      <c r="K2284" t="str">
        <f>IFERROR(INDEX(Rosters!$C$2:$C$155,MATCH($B2284,Rosters!$B$2:$B$155,0)),"NA")</f>
        <v>lucas</v>
      </c>
      <c r="L2284" t="str">
        <f t="shared" si="105"/>
        <v>lucas2WR</v>
      </c>
      <c r="M2284">
        <f>COUNTIF(L$1:L2284,L2284)</f>
        <v>4</v>
      </c>
      <c r="N2284" t="str">
        <f t="shared" si="106"/>
        <v>lucas2WR-4</v>
      </c>
      <c r="O2284">
        <f>COUNTIFS(F$1:F2284,F2284,A$1:A2284,A2284)</f>
        <v>47</v>
      </c>
      <c r="P2284" t="str">
        <f t="shared" si="107"/>
        <v>Cooper Kupp2</v>
      </c>
    </row>
    <row r="2285" spans="1:16" x14ac:dyDescent="0.25">
      <c r="A2285">
        <v>14</v>
      </c>
      <c r="B2285" t="s">
        <v>1425</v>
      </c>
      <c r="C2285" t="s">
        <v>7378</v>
      </c>
      <c r="D2285">
        <v>5.72</v>
      </c>
      <c r="E2285" t="s">
        <v>30</v>
      </c>
      <c r="F2285" t="s">
        <v>87</v>
      </c>
      <c r="G2285">
        <v>10.68</v>
      </c>
      <c r="H2285">
        <v>0.76</v>
      </c>
      <c r="I2285">
        <v>4.96</v>
      </c>
      <c r="J2285">
        <v>24.601600000000001</v>
      </c>
      <c r="K2285" t="str">
        <f>IFERROR(INDEX(Rosters!$C$2:$C$155,MATCH($B2285,Rosters!$B$2:$B$155,0)),"NA")</f>
        <v>NA</v>
      </c>
      <c r="L2285" t="str">
        <f t="shared" si="105"/>
        <v>NA14WR</v>
      </c>
      <c r="M2285">
        <f>COUNTIF(L$1:L2285,L2285)</f>
        <v>9</v>
      </c>
      <c r="N2285" t="str">
        <f t="shared" si="106"/>
        <v>NA14WR-9</v>
      </c>
      <c r="O2285">
        <f>COUNTIFS(F$1:F2285,F2285,A$1:A2285,A2285)</f>
        <v>58</v>
      </c>
      <c r="P2285" t="str">
        <f t="shared" si="107"/>
        <v>Courtland Sutton14</v>
      </c>
    </row>
    <row r="2286" spans="1:16" x14ac:dyDescent="0.25">
      <c r="A2286">
        <v>11</v>
      </c>
      <c r="B2286" t="s">
        <v>1211</v>
      </c>
      <c r="C2286" t="s">
        <v>7379</v>
      </c>
      <c r="D2286">
        <v>5.72</v>
      </c>
      <c r="E2286" t="s">
        <v>51</v>
      </c>
      <c r="F2286" t="s">
        <v>87</v>
      </c>
      <c r="G2286">
        <v>10.06</v>
      </c>
      <c r="H2286">
        <v>1.38</v>
      </c>
      <c r="I2286">
        <v>4.34</v>
      </c>
      <c r="J2286">
        <v>18.835599999999999</v>
      </c>
      <c r="K2286" t="str">
        <f>IFERROR(INDEX(Rosters!$C$2:$C$155,MATCH($B2286,Rosters!$B$2:$B$155,0)),"NA")</f>
        <v>NA</v>
      </c>
      <c r="L2286" t="str">
        <f t="shared" si="105"/>
        <v>NA11WR</v>
      </c>
      <c r="M2286">
        <f>COUNTIF(L$1:L2286,L2286)</f>
        <v>5</v>
      </c>
      <c r="N2286" t="str">
        <f t="shared" si="106"/>
        <v>NA11WR-5</v>
      </c>
      <c r="O2286">
        <f>COUNTIFS(F$1:F2286,F2286,A$1:A2286,A2286)</f>
        <v>49</v>
      </c>
      <c r="P2286" t="str">
        <f t="shared" si="107"/>
        <v>Dede Westbrook11</v>
      </c>
    </row>
    <row r="2287" spans="1:16" x14ac:dyDescent="0.25">
      <c r="A2287">
        <v>14</v>
      </c>
      <c r="B2287" t="s">
        <v>101</v>
      </c>
      <c r="C2287" t="s">
        <v>4521</v>
      </c>
      <c r="D2287">
        <v>5.72</v>
      </c>
      <c r="E2287" t="s">
        <v>51</v>
      </c>
      <c r="F2287" t="s">
        <v>47</v>
      </c>
      <c r="G2287">
        <v>8.7899999999999991</v>
      </c>
      <c r="H2287">
        <v>2.65</v>
      </c>
      <c r="I2287">
        <v>3.07</v>
      </c>
      <c r="J2287">
        <v>9.4248999999999992</v>
      </c>
      <c r="K2287" t="str">
        <f>IFERROR(INDEX(Rosters!$C$2:$C$155,MATCH($B2287,Rosters!$B$2:$B$155,0)),"NA")</f>
        <v>NA</v>
      </c>
      <c r="L2287" t="str">
        <f t="shared" si="105"/>
        <v>NA14RB</v>
      </c>
      <c r="M2287">
        <f>COUNTIF(L$1:L2287,L2287)</f>
        <v>8</v>
      </c>
      <c r="N2287" t="str">
        <f t="shared" si="106"/>
        <v>NA14RB-8</v>
      </c>
      <c r="O2287">
        <f>COUNTIFS(F$1:F2287,F2287,A$1:A2287,A2287)</f>
        <v>49</v>
      </c>
      <c r="P2287" t="str">
        <f t="shared" si="107"/>
        <v>Doug Martin14</v>
      </c>
    </row>
    <row r="2288" spans="1:16" x14ac:dyDescent="0.25">
      <c r="A2288">
        <v>5</v>
      </c>
      <c r="B2288" t="s">
        <v>170</v>
      </c>
      <c r="C2288" t="s">
        <v>7380</v>
      </c>
      <c r="D2288">
        <v>5.72</v>
      </c>
      <c r="E2288" t="s">
        <v>41</v>
      </c>
      <c r="F2288" t="s">
        <v>47</v>
      </c>
      <c r="G2288">
        <v>9.59</v>
      </c>
      <c r="H2288">
        <v>1.85</v>
      </c>
      <c r="I2288">
        <v>3.87</v>
      </c>
      <c r="J2288">
        <v>14.976900000000001</v>
      </c>
      <c r="K2288" t="str">
        <f>IFERROR(INDEX(Rosters!$C$2:$C$155,MATCH($B2288,Rosters!$B$2:$B$155,0)),"NA")</f>
        <v>NA</v>
      </c>
      <c r="L2288" t="str">
        <f t="shared" si="105"/>
        <v>NA5RB</v>
      </c>
      <c r="M2288">
        <f>COUNTIF(L$1:L2288,L2288)</f>
        <v>8</v>
      </c>
      <c r="N2288" t="str">
        <f t="shared" si="106"/>
        <v>NA5RB-8</v>
      </c>
      <c r="O2288">
        <f>COUNTIFS(F$1:F2288,F2288,A$1:A2288,A2288)</f>
        <v>48</v>
      </c>
      <c r="P2288" t="str">
        <f t="shared" si="107"/>
        <v>LeGarrette Blount5</v>
      </c>
    </row>
    <row r="2289" spans="1:16" x14ac:dyDescent="0.25">
      <c r="A2289">
        <v>8</v>
      </c>
      <c r="B2289" t="s">
        <v>212</v>
      </c>
      <c r="C2289" t="s">
        <v>7381</v>
      </c>
      <c r="D2289">
        <v>5.71</v>
      </c>
      <c r="E2289" t="s">
        <v>58</v>
      </c>
      <c r="F2289" t="s">
        <v>47</v>
      </c>
      <c r="G2289">
        <v>10.71</v>
      </c>
      <c r="H2289">
        <v>0.71</v>
      </c>
      <c r="I2289">
        <v>5</v>
      </c>
      <c r="J2289">
        <v>25</v>
      </c>
      <c r="K2289" t="str">
        <f>IFERROR(INDEX(Rosters!$C$2:$C$155,MATCH($B2289,Rosters!$B$2:$B$155,0)),"NA")</f>
        <v>seth</v>
      </c>
      <c r="L2289" t="str">
        <f t="shared" si="105"/>
        <v>seth8RB</v>
      </c>
      <c r="M2289">
        <f>COUNTIF(L$1:L2289,L2289)</f>
        <v>4</v>
      </c>
      <c r="N2289" t="str">
        <f t="shared" si="106"/>
        <v>seth8RB-4</v>
      </c>
      <c r="O2289">
        <f>COUNTIFS(F$1:F2289,F2289,A$1:A2289,A2289)</f>
        <v>43</v>
      </c>
      <c r="P2289" t="str">
        <f t="shared" si="107"/>
        <v>Alfred Morris8</v>
      </c>
    </row>
    <row r="2290" spans="1:16" x14ac:dyDescent="0.25">
      <c r="A2290">
        <v>4</v>
      </c>
      <c r="B2290" t="s">
        <v>147</v>
      </c>
      <c r="C2290" t="s">
        <v>4522</v>
      </c>
      <c r="D2290">
        <v>5.71</v>
      </c>
      <c r="E2290" t="s">
        <v>73</v>
      </c>
      <c r="F2290" t="s">
        <v>87</v>
      </c>
      <c r="G2290">
        <v>9.6999999999999993</v>
      </c>
      <c r="H2290">
        <v>1.72</v>
      </c>
      <c r="I2290">
        <v>3.99</v>
      </c>
      <c r="J2290">
        <v>15.9201</v>
      </c>
      <c r="K2290" t="str">
        <f>IFERROR(INDEX(Rosters!$C$2:$C$155,MATCH($B2290,Rosters!$B$2:$B$155,0)),"NA")</f>
        <v>NA</v>
      </c>
      <c r="L2290" t="str">
        <f t="shared" si="105"/>
        <v>NA4WR</v>
      </c>
      <c r="M2290">
        <f>COUNTIF(L$1:L2290,L2290)</f>
        <v>3</v>
      </c>
      <c r="N2290" t="str">
        <f t="shared" si="106"/>
        <v>NA4WR-3</v>
      </c>
      <c r="O2290">
        <f>COUNTIFS(F$1:F2290,F2290,A$1:A2290,A2290)</f>
        <v>48</v>
      </c>
      <c r="P2290" t="str">
        <f t="shared" si="107"/>
        <v>Donte Moncrief4</v>
      </c>
    </row>
    <row r="2291" spans="1:16" x14ac:dyDescent="0.25">
      <c r="A2291">
        <v>3</v>
      </c>
      <c r="B2291" t="s">
        <v>271</v>
      </c>
      <c r="C2291" t="s">
        <v>3725</v>
      </c>
      <c r="D2291">
        <v>5.71</v>
      </c>
      <c r="E2291" t="s">
        <v>60</v>
      </c>
      <c r="F2291" t="s">
        <v>87</v>
      </c>
      <c r="G2291">
        <v>10.81</v>
      </c>
      <c r="H2291">
        <v>0.61</v>
      </c>
      <c r="I2291">
        <v>5.0999999999999996</v>
      </c>
      <c r="J2291">
        <v>26.01</v>
      </c>
      <c r="K2291" t="str">
        <f>IFERROR(INDEX(Rosters!$C$2:$C$155,MATCH($B2291,Rosters!$B$2:$B$155,0)),"NA")</f>
        <v>matty</v>
      </c>
      <c r="L2291" t="str">
        <f t="shared" si="105"/>
        <v>matty3WR</v>
      </c>
      <c r="M2291">
        <f>COUNTIF(L$1:L2291,L2291)</f>
        <v>5</v>
      </c>
      <c r="N2291" t="str">
        <f t="shared" si="106"/>
        <v>matty3WR-5</v>
      </c>
      <c r="O2291">
        <f>COUNTIFS(F$1:F2291,F2291,A$1:A2291,A2291)</f>
        <v>50</v>
      </c>
      <c r="P2291" t="str">
        <f t="shared" si="107"/>
        <v>Geronimo Allison3</v>
      </c>
    </row>
    <row r="2292" spans="1:16" x14ac:dyDescent="0.25">
      <c r="A2292">
        <v>12</v>
      </c>
      <c r="B2292" t="s">
        <v>255</v>
      </c>
      <c r="C2292" t="s">
        <v>7382</v>
      </c>
      <c r="D2292">
        <v>5.71</v>
      </c>
      <c r="E2292" t="s">
        <v>17</v>
      </c>
      <c r="F2292" t="s">
        <v>87</v>
      </c>
      <c r="G2292">
        <v>10.02</v>
      </c>
      <c r="H2292">
        <v>1.4</v>
      </c>
      <c r="I2292">
        <v>4.3099999999999996</v>
      </c>
      <c r="J2292">
        <v>18.5761</v>
      </c>
      <c r="K2292" t="str">
        <f>IFERROR(INDEX(Rosters!$C$2:$C$155,MATCH($B2292,Rosters!$B$2:$B$155,0)),"NA")</f>
        <v>NA</v>
      </c>
      <c r="L2292" t="str">
        <f t="shared" si="105"/>
        <v>NA12WR</v>
      </c>
      <c r="M2292">
        <f>COUNTIF(L$1:L2292,L2292)</f>
        <v>7</v>
      </c>
      <c r="N2292" t="str">
        <f t="shared" si="106"/>
        <v>NA12WR-7</v>
      </c>
      <c r="O2292">
        <f>COUNTIFS(F$1:F2292,F2292,A$1:A2292,A2292)</f>
        <v>52</v>
      </c>
      <c r="P2292" t="str">
        <f t="shared" si="107"/>
        <v>Marquise Goodwin12</v>
      </c>
    </row>
    <row r="2293" spans="1:16" x14ac:dyDescent="0.25">
      <c r="A2293">
        <v>7</v>
      </c>
      <c r="B2293" t="s">
        <v>210</v>
      </c>
      <c r="C2293" t="s">
        <v>7383</v>
      </c>
      <c r="D2293">
        <v>5.71</v>
      </c>
      <c r="E2293" t="s">
        <v>38</v>
      </c>
      <c r="F2293" t="s">
        <v>87</v>
      </c>
      <c r="G2293">
        <v>9.4700000000000006</v>
      </c>
      <c r="H2293">
        <v>1.95</v>
      </c>
      <c r="I2293">
        <v>3.76</v>
      </c>
      <c r="J2293">
        <v>14.137600000000001</v>
      </c>
      <c r="K2293" t="str">
        <f>IFERROR(INDEX(Rosters!$C$2:$C$155,MATCH($B2293,Rosters!$B$2:$B$155,0)),"NA")</f>
        <v>NA</v>
      </c>
      <c r="L2293" t="str">
        <f t="shared" si="105"/>
        <v>NA7WR</v>
      </c>
      <c r="M2293">
        <f>COUNTIF(L$1:L2293,L2293)</f>
        <v>4</v>
      </c>
      <c r="N2293" t="str">
        <f t="shared" si="106"/>
        <v>NA7WR-4</v>
      </c>
      <c r="O2293">
        <f>COUNTIFS(F$1:F2293,F2293,A$1:A2293,A2293)</f>
        <v>44</v>
      </c>
      <c r="P2293" t="str">
        <f t="shared" si="107"/>
        <v>Tyrell Williams7</v>
      </c>
    </row>
    <row r="2294" spans="1:16" x14ac:dyDescent="0.25">
      <c r="A2294">
        <v>8</v>
      </c>
      <c r="B2294" t="s">
        <v>1211</v>
      </c>
      <c r="C2294" t="s">
        <v>7384</v>
      </c>
      <c r="D2294">
        <v>5.7</v>
      </c>
      <c r="E2294" t="s">
        <v>50</v>
      </c>
      <c r="F2294" t="s">
        <v>87</v>
      </c>
      <c r="G2294">
        <v>10.83</v>
      </c>
      <c r="H2294">
        <v>0.56999999999999995</v>
      </c>
      <c r="I2294">
        <v>5.13</v>
      </c>
      <c r="J2294">
        <v>26.3169</v>
      </c>
      <c r="K2294" t="str">
        <f>IFERROR(INDEX(Rosters!$C$2:$C$155,MATCH($B2294,Rosters!$B$2:$B$155,0)),"NA")</f>
        <v>NA</v>
      </c>
      <c r="L2294" t="str">
        <f t="shared" si="105"/>
        <v>NA8WR</v>
      </c>
      <c r="M2294">
        <f>COUNTIF(L$1:L2294,L2294)</f>
        <v>10</v>
      </c>
      <c r="N2294" t="str">
        <f t="shared" si="106"/>
        <v>NA8WR-10</v>
      </c>
      <c r="O2294">
        <f>COUNTIFS(F$1:F2294,F2294,A$1:A2294,A2294)</f>
        <v>54</v>
      </c>
      <c r="P2294" t="str">
        <f t="shared" si="107"/>
        <v>Dede Westbrook8</v>
      </c>
    </row>
    <row r="2295" spans="1:16" x14ac:dyDescent="0.25">
      <c r="A2295">
        <v>15</v>
      </c>
      <c r="B2295" t="s">
        <v>232</v>
      </c>
      <c r="C2295" t="s">
        <v>7385</v>
      </c>
      <c r="D2295">
        <v>5.7</v>
      </c>
      <c r="E2295" t="s">
        <v>31</v>
      </c>
      <c r="F2295" t="s">
        <v>47</v>
      </c>
      <c r="G2295">
        <v>9.9700000000000006</v>
      </c>
      <c r="H2295">
        <v>1.43</v>
      </c>
      <c r="I2295">
        <v>4.2699999999999996</v>
      </c>
      <c r="J2295">
        <v>18.232900000000001</v>
      </c>
      <c r="K2295" t="str">
        <f>IFERROR(INDEX(Rosters!$C$2:$C$155,MATCH($B2295,Rosters!$B$2:$B$155,0)),"NA")</f>
        <v>NA</v>
      </c>
      <c r="L2295" t="str">
        <f t="shared" si="105"/>
        <v>NA15RB</v>
      </c>
      <c r="M2295">
        <f>COUNTIF(L$1:L2295,L2295)</f>
        <v>9</v>
      </c>
      <c r="N2295" t="str">
        <f t="shared" si="106"/>
        <v>NA15RB-9</v>
      </c>
      <c r="O2295">
        <f>COUNTIFS(F$1:F2295,F2295,A$1:A2295,A2295)</f>
        <v>50</v>
      </c>
      <c r="P2295" t="str">
        <f t="shared" si="107"/>
        <v>Jalen Richard15</v>
      </c>
    </row>
    <row r="2296" spans="1:16" x14ac:dyDescent="0.25">
      <c r="A2296">
        <v>15</v>
      </c>
      <c r="B2296" t="s">
        <v>1368</v>
      </c>
      <c r="C2296" t="s">
        <v>7386</v>
      </c>
      <c r="D2296">
        <v>5.7</v>
      </c>
      <c r="E2296" t="s">
        <v>60</v>
      </c>
      <c r="F2296" t="s">
        <v>87</v>
      </c>
      <c r="G2296">
        <v>9.84</v>
      </c>
      <c r="H2296">
        <v>1.56</v>
      </c>
      <c r="I2296">
        <v>4.1399999999999997</v>
      </c>
      <c r="J2296">
        <v>17.139600000000002</v>
      </c>
      <c r="K2296" t="str">
        <f>IFERROR(INDEX(Rosters!$C$2:$C$155,MATCH($B2296,Rosters!$B$2:$B$155,0)),"NA")</f>
        <v>scott</v>
      </c>
      <c r="L2296" t="str">
        <f t="shared" si="105"/>
        <v>scott15WR</v>
      </c>
      <c r="M2296">
        <f>COUNTIF(L$1:L2296,L2296)</f>
        <v>5</v>
      </c>
      <c r="N2296" t="str">
        <f t="shared" si="106"/>
        <v>scott15WR-5</v>
      </c>
      <c r="O2296">
        <f>COUNTIFS(F$1:F2296,F2296,A$1:A2296,A2296)</f>
        <v>54</v>
      </c>
      <c r="P2296" t="str">
        <f t="shared" si="107"/>
        <v>Keelan Cole15</v>
      </c>
    </row>
    <row r="2297" spans="1:16" x14ac:dyDescent="0.25">
      <c r="A2297">
        <v>17</v>
      </c>
      <c r="B2297" t="s">
        <v>223</v>
      </c>
      <c r="C2297" t="s">
        <v>7387</v>
      </c>
      <c r="D2297">
        <v>5.7</v>
      </c>
      <c r="E2297" t="s">
        <v>50</v>
      </c>
      <c r="F2297" t="s">
        <v>87</v>
      </c>
      <c r="G2297">
        <v>9.32</v>
      </c>
      <c r="H2297">
        <v>2.08</v>
      </c>
      <c r="I2297">
        <v>3.62</v>
      </c>
      <c r="J2297">
        <v>13.1044</v>
      </c>
      <c r="K2297" t="str">
        <f>IFERROR(INDEX(Rosters!$C$2:$C$155,MATCH($B2297,Rosters!$B$2:$B$155,0)),"NA")</f>
        <v>NA</v>
      </c>
      <c r="L2297" t="str">
        <f t="shared" si="105"/>
        <v>NA17WR</v>
      </c>
      <c r="M2297">
        <f>COUNTIF(L$1:L2297,L2297)</f>
        <v>6</v>
      </c>
      <c r="N2297" t="str">
        <f t="shared" si="106"/>
        <v>NA17WR-6</v>
      </c>
      <c r="O2297">
        <f>COUNTIFS(F$1:F2297,F2297,A$1:A2297,A2297)</f>
        <v>55</v>
      </c>
      <c r="P2297" t="str">
        <f t="shared" si="107"/>
        <v>Paul Richardson17</v>
      </c>
    </row>
    <row r="2298" spans="1:16" x14ac:dyDescent="0.25">
      <c r="A2298">
        <v>15</v>
      </c>
      <c r="B2298" t="s">
        <v>381</v>
      </c>
      <c r="C2298" t="s">
        <v>4523</v>
      </c>
      <c r="D2298">
        <v>5.7</v>
      </c>
      <c r="E2298" t="s">
        <v>22</v>
      </c>
      <c r="F2298" t="s">
        <v>87</v>
      </c>
      <c r="G2298">
        <v>10.07</v>
      </c>
      <c r="H2298">
        <v>1.33</v>
      </c>
      <c r="I2298">
        <v>4.37</v>
      </c>
      <c r="J2298">
        <v>19.096900000000002</v>
      </c>
      <c r="K2298" t="str">
        <f>IFERROR(INDEX(Rosters!$C$2:$C$155,MATCH($B2298,Rosters!$B$2:$B$155,0)),"NA")</f>
        <v>perry</v>
      </c>
      <c r="L2298" t="str">
        <f t="shared" si="105"/>
        <v>perry15WR</v>
      </c>
      <c r="M2298">
        <f>COUNTIF(L$1:L2298,L2298)</f>
        <v>4</v>
      </c>
      <c r="N2298" t="str">
        <f t="shared" si="106"/>
        <v>perry15WR-4</v>
      </c>
      <c r="O2298">
        <f>COUNTIFS(F$1:F2298,F2298,A$1:A2298,A2298)</f>
        <v>55</v>
      </c>
      <c r="P2298" t="str">
        <f t="shared" si="107"/>
        <v>Ryan Grant15</v>
      </c>
    </row>
    <row r="2299" spans="1:16" x14ac:dyDescent="0.25">
      <c r="A2299">
        <v>17</v>
      </c>
      <c r="B2299" t="s">
        <v>381</v>
      </c>
      <c r="C2299" t="s">
        <v>7388</v>
      </c>
      <c r="D2299">
        <v>5.7</v>
      </c>
      <c r="E2299" t="s">
        <v>38</v>
      </c>
      <c r="F2299" t="s">
        <v>87</v>
      </c>
      <c r="G2299">
        <v>9.9600000000000009</v>
      </c>
      <c r="H2299">
        <v>1.44</v>
      </c>
      <c r="I2299">
        <v>4.26</v>
      </c>
      <c r="J2299">
        <v>18.147600000000001</v>
      </c>
      <c r="K2299" t="str">
        <f>IFERROR(INDEX(Rosters!$C$2:$C$155,MATCH($B2299,Rosters!$B$2:$B$155,0)),"NA")</f>
        <v>perry</v>
      </c>
      <c r="L2299" t="str">
        <f t="shared" si="105"/>
        <v>perry17WR</v>
      </c>
      <c r="M2299">
        <f>COUNTIF(L$1:L2299,L2299)</f>
        <v>4</v>
      </c>
      <c r="N2299" t="str">
        <f t="shared" si="106"/>
        <v>perry17WR-4</v>
      </c>
      <c r="O2299">
        <f>COUNTIFS(F$1:F2299,F2299,A$1:A2299,A2299)</f>
        <v>56</v>
      </c>
      <c r="P2299" t="str">
        <f t="shared" si="107"/>
        <v>Ryan Grant17</v>
      </c>
    </row>
    <row r="2300" spans="1:16" x14ac:dyDescent="0.25">
      <c r="A2300">
        <v>5</v>
      </c>
      <c r="B2300" t="s">
        <v>147</v>
      </c>
      <c r="C2300" t="s">
        <v>7389</v>
      </c>
      <c r="D2300">
        <v>5.69</v>
      </c>
      <c r="E2300" t="s">
        <v>24</v>
      </c>
      <c r="F2300" t="s">
        <v>87</v>
      </c>
      <c r="G2300">
        <v>10.72</v>
      </c>
      <c r="H2300">
        <v>0.66</v>
      </c>
      <c r="I2300">
        <v>5.03</v>
      </c>
      <c r="J2300">
        <v>25.300899999999999</v>
      </c>
      <c r="K2300" t="str">
        <f>IFERROR(INDEX(Rosters!$C$2:$C$155,MATCH($B2300,Rosters!$B$2:$B$155,0)),"NA")</f>
        <v>NA</v>
      </c>
      <c r="L2300" t="str">
        <f t="shared" si="105"/>
        <v>NA5WR</v>
      </c>
      <c r="M2300">
        <f>COUNTIF(L$1:L2300,L2300)</f>
        <v>10</v>
      </c>
      <c r="N2300" t="str">
        <f t="shared" si="106"/>
        <v>NA5WR-10</v>
      </c>
      <c r="O2300">
        <f>COUNTIFS(F$1:F2300,F2300,A$1:A2300,A2300)</f>
        <v>54</v>
      </c>
      <c r="P2300" t="str">
        <f t="shared" si="107"/>
        <v>Donte Moncrief5</v>
      </c>
    </row>
    <row r="2301" spans="1:16" x14ac:dyDescent="0.25">
      <c r="A2301">
        <v>17</v>
      </c>
      <c r="B2301" t="s">
        <v>189</v>
      </c>
      <c r="C2301" t="s">
        <v>7390</v>
      </c>
      <c r="D2301">
        <v>5.69</v>
      </c>
      <c r="E2301" t="s">
        <v>38</v>
      </c>
      <c r="F2301" t="s">
        <v>114</v>
      </c>
      <c r="G2301">
        <v>10.9</v>
      </c>
      <c r="H2301">
        <v>0.48</v>
      </c>
      <c r="I2301">
        <v>5.21</v>
      </c>
      <c r="J2301">
        <v>27.144100000000002</v>
      </c>
      <c r="K2301" t="str">
        <f>IFERROR(INDEX(Rosters!$C$2:$C$155,MATCH($B2301,Rosters!$B$2:$B$155,0)),"NA")</f>
        <v>NA</v>
      </c>
      <c r="L2301" t="str">
        <f t="shared" si="105"/>
        <v>NA17TE</v>
      </c>
      <c r="M2301">
        <f>COUNTIF(L$1:L2301,L2301)</f>
        <v>2</v>
      </c>
      <c r="N2301" t="str">
        <f t="shared" si="106"/>
        <v>NA17TE-2</v>
      </c>
      <c r="O2301">
        <f>COUNTIFS(F$1:F2301,F2301,A$1:A2301,A2301)</f>
        <v>11</v>
      </c>
      <c r="P2301" t="str">
        <f t="shared" si="107"/>
        <v>Jack Doyle17</v>
      </c>
    </row>
    <row r="2302" spans="1:16" x14ac:dyDescent="0.25">
      <c r="A2302">
        <v>8</v>
      </c>
      <c r="B2302" t="s">
        <v>1395</v>
      </c>
      <c r="C2302" t="s">
        <v>7391</v>
      </c>
      <c r="D2302">
        <v>5.69</v>
      </c>
      <c r="E2302" t="s">
        <v>32</v>
      </c>
      <c r="F2302" t="s">
        <v>47</v>
      </c>
      <c r="G2302">
        <v>10.43</v>
      </c>
      <c r="H2302">
        <v>0.95</v>
      </c>
      <c r="I2302">
        <v>4.74</v>
      </c>
      <c r="J2302">
        <v>22.467600000000001</v>
      </c>
      <c r="K2302" t="str">
        <f>IFERROR(INDEX(Rosters!$C$2:$C$155,MATCH($B2302,Rosters!$B$2:$B$155,0)),"NA")</f>
        <v>cory</v>
      </c>
      <c r="L2302" t="str">
        <f t="shared" si="105"/>
        <v>cory8RB</v>
      </c>
      <c r="M2302">
        <f>COUNTIF(L$1:L2302,L2302)</f>
        <v>5</v>
      </c>
      <c r="N2302" t="str">
        <f t="shared" si="106"/>
        <v>cory8RB-5</v>
      </c>
      <c r="O2302">
        <f>COUNTIFS(F$1:F2302,F2302,A$1:A2302,A2302)</f>
        <v>44</v>
      </c>
      <c r="P2302" t="str">
        <f t="shared" si="107"/>
        <v>Nyheim Hines8</v>
      </c>
    </row>
    <row r="2303" spans="1:16" x14ac:dyDescent="0.25">
      <c r="A2303">
        <v>15</v>
      </c>
      <c r="B2303" t="s">
        <v>128</v>
      </c>
      <c r="C2303" t="s">
        <v>7392</v>
      </c>
      <c r="D2303">
        <v>5.68</v>
      </c>
      <c r="E2303" t="s">
        <v>25</v>
      </c>
      <c r="F2303" t="s">
        <v>47</v>
      </c>
      <c r="G2303">
        <v>9.73</v>
      </c>
      <c r="H2303">
        <v>1.63</v>
      </c>
      <c r="I2303">
        <v>4.05</v>
      </c>
      <c r="J2303">
        <v>16.4025</v>
      </c>
      <c r="K2303" t="str">
        <f>IFERROR(INDEX(Rosters!$C$2:$C$155,MATCH($B2303,Rosters!$B$2:$B$155,0)),"NA")</f>
        <v>NA</v>
      </c>
      <c r="L2303" t="str">
        <f t="shared" si="105"/>
        <v>NA15RB</v>
      </c>
      <c r="M2303">
        <f>COUNTIF(L$1:L2303,L2303)</f>
        <v>10</v>
      </c>
      <c r="N2303" t="str">
        <f t="shared" si="106"/>
        <v>NA15RB-10</v>
      </c>
      <c r="O2303">
        <f>COUNTIFS(F$1:F2303,F2303,A$1:A2303,A2303)</f>
        <v>51</v>
      </c>
      <c r="P2303" t="str">
        <f t="shared" si="107"/>
        <v>Frank Gore15</v>
      </c>
    </row>
    <row r="2304" spans="1:16" x14ac:dyDescent="0.25">
      <c r="A2304">
        <v>17</v>
      </c>
      <c r="B2304" t="s">
        <v>194</v>
      </c>
      <c r="C2304" t="s">
        <v>7393</v>
      </c>
      <c r="D2304">
        <v>5.68</v>
      </c>
      <c r="E2304" t="s">
        <v>17</v>
      </c>
      <c r="F2304" t="s">
        <v>87</v>
      </c>
      <c r="G2304">
        <v>10.039999999999999</v>
      </c>
      <c r="H2304">
        <v>1.32</v>
      </c>
      <c r="I2304">
        <v>4.3600000000000003</v>
      </c>
      <c r="J2304">
        <v>19.009599999999999</v>
      </c>
      <c r="K2304" t="str">
        <f>IFERROR(INDEX(Rosters!$C$2:$C$155,MATCH($B2304,Rosters!$B$2:$B$155,0)),"NA")</f>
        <v>NA</v>
      </c>
      <c r="L2304" t="str">
        <f t="shared" si="105"/>
        <v>NA17WR</v>
      </c>
      <c r="M2304">
        <f>COUNTIF(L$1:L2304,L2304)</f>
        <v>7</v>
      </c>
      <c r="N2304" t="str">
        <f t="shared" si="106"/>
        <v>NA17WR-7</v>
      </c>
      <c r="O2304">
        <f>COUNTIFS(F$1:F2304,F2304,A$1:A2304,A2304)</f>
        <v>57</v>
      </c>
      <c r="P2304" t="str">
        <f t="shared" si="107"/>
        <v>Mohamed Sanu17</v>
      </c>
    </row>
    <row r="2305" spans="1:16" x14ac:dyDescent="0.25">
      <c r="A2305">
        <v>16</v>
      </c>
      <c r="B2305" t="s">
        <v>281</v>
      </c>
      <c r="C2305" t="s">
        <v>7394</v>
      </c>
      <c r="D2305">
        <v>5.67</v>
      </c>
      <c r="E2305" t="s">
        <v>73</v>
      </c>
      <c r="F2305" t="s">
        <v>47</v>
      </c>
      <c r="G2305">
        <v>10.62</v>
      </c>
      <c r="H2305">
        <v>0.72</v>
      </c>
      <c r="I2305">
        <v>4.95</v>
      </c>
      <c r="J2305">
        <v>24.502500000000001</v>
      </c>
      <c r="K2305" t="str">
        <f>IFERROR(INDEX(Rosters!$C$2:$C$155,MATCH($B2305,Rosters!$B$2:$B$155,0)),"NA")</f>
        <v>aj</v>
      </c>
      <c r="L2305" t="str">
        <f t="shared" si="105"/>
        <v>aj16RB</v>
      </c>
      <c r="M2305">
        <f>COUNTIF(L$1:L2305,L2305)</f>
        <v>5</v>
      </c>
      <c r="N2305" t="str">
        <f t="shared" si="106"/>
        <v>aj16RB-5</v>
      </c>
      <c r="O2305">
        <f>COUNTIFS(F$1:F2305,F2305,A$1:A2305,A2305)</f>
        <v>50</v>
      </c>
      <c r="P2305" t="str">
        <f t="shared" si="107"/>
        <v>Aaron Jones16</v>
      </c>
    </row>
    <row r="2306" spans="1:16" x14ac:dyDescent="0.25">
      <c r="A2306">
        <v>12</v>
      </c>
      <c r="B2306" t="s">
        <v>212</v>
      </c>
      <c r="C2306" t="s">
        <v>7395</v>
      </c>
      <c r="D2306">
        <v>5.67</v>
      </c>
      <c r="E2306" t="s">
        <v>17</v>
      </c>
      <c r="F2306" t="s">
        <v>47</v>
      </c>
      <c r="G2306">
        <v>10.15</v>
      </c>
      <c r="H2306">
        <v>1.19</v>
      </c>
      <c r="I2306">
        <v>4.4800000000000004</v>
      </c>
      <c r="J2306">
        <v>20.070399999999999</v>
      </c>
      <c r="K2306" t="str">
        <f>IFERROR(INDEX(Rosters!$C$2:$C$155,MATCH($B2306,Rosters!$B$2:$B$155,0)),"NA")</f>
        <v>seth</v>
      </c>
      <c r="L2306" t="str">
        <f t="shared" si="105"/>
        <v>seth12RB</v>
      </c>
      <c r="M2306">
        <f>COUNTIF(L$1:L2306,L2306)</f>
        <v>6</v>
      </c>
      <c r="N2306" t="str">
        <f t="shared" si="106"/>
        <v>seth12RB-6</v>
      </c>
      <c r="O2306">
        <f>COUNTIFS(F$1:F2306,F2306,A$1:A2306,A2306)</f>
        <v>49</v>
      </c>
      <c r="P2306" t="str">
        <f t="shared" si="107"/>
        <v>Alfred Morris12</v>
      </c>
    </row>
    <row r="2307" spans="1:16" x14ac:dyDescent="0.25">
      <c r="A2307">
        <v>8</v>
      </c>
      <c r="B2307" t="s">
        <v>261</v>
      </c>
      <c r="C2307" t="s">
        <v>4524</v>
      </c>
      <c r="D2307">
        <v>5.67</v>
      </c>
      <c r="E2307" t="s">
        <v>25</v>
      </c>
      <c r="F2307" t="s">
        <v>114</v>
      </c>
      <c r="G2307">
        <v>10.220000000000001</v>
      </c>
      <c r="H2307">
        <v>1.1200000000000001</v>
      </c>
      <c r="I2307">
        <v>4.55</v>
      </c>
      <c r="J2307">
        <v>20.702500000000001</v>
      </c>
      <c r="K2307" t="str">
        <f>IFERROR(INDEX(Rosters!$C$2:$C$155,MATCH($B2307,Rosters!$B$2:$B$155,0)),"NA")</f>
        <v>NA</v>
      </c>
      <c r="L2307" t="str">
        <f t="shared" ref="L2307:L2370" si="108">K2307&amp;A2307&amp;F2307</f>
        <v>NA8TE</v>
      </c>
      <c r="M2307">
        <f>COUNTIF(L$1:L2307,L2307)</f>
        <v>3</v>
      </c>
      <c r="N2307" t="str">
        <f t="shared" ref="N2307:N2370" si="109">L2307&amp;"-"&amp;M2307</f>
        <v>NA8TE-3</v>
      </c>
      <c r="O2307">
        <f>COUNTIFS(F$1:F2307,F2307,A$1:A2307,A2307)</f>
        <v>12</v>
      </c>
      <c r="P2307" t="str">
        <f t="shared" ref="P2307:P2370" si="110">B2307&amp;A2307</f>
        <v>Benjamin Watson8</v>
      </c>
    </row>
    <row r="2308" spans="1:16" x14ac:dyDescent="0.25">
      <c r="A2308">
        <v>8</v>
      </c>
      <c r="B2308" t="s">
        <v>183</v>
      </c>
      <c r="C2308" t="s">
        <v>7396</v>
      </c>
      <c r="D2308">
        <v>5.67</v>
      </c>
      <c r="E2308" t="s">
        <v>51</v>
      </c>
      <c r="F2308" t="s">
        <v>47</v>
      </c>
      <c r="G2308">
        <v>9.81</v>
      </c>
      <c r="H2308">
        <v>1.53</v>
      </c>
      <c r="I2308">
        <v>4.1399999999999997</v>
      </c>
      <c r="J2308">
        <v>17.139600000000002</v>
      </c>
      <c r="K2308" t="str">
        <f>IFERROR(INDEX(Rosters!$C$2:$C$155,MATCH($B2308,Rosters!$B$2:$B$155,0)),"NA")</f>
        <v>NA</v>
      </c>
      <c r="L2308" t="str">
        <f t="shared" si="108"/>
        <v>NA8RB</v>
      </c>
      <c r="M2308">
        <f>COUNTIF(L$1:L2308,L2308)</f>
        <v>8</v>
      </c>
      <c r="N2308" t="str">
        <f t="shared" si="109"/>
        <v>NA8RB-8</v>
      </c>
      <c r="O2308">
        <f>COUNTIFS(F$1:F2308,F2308,A$1:A2308,A2308)</f>
        <v>45</v>
      </c>
      <c r="P2308" t="str">
        <f t="shared" si="110"/>
        <v>Duke Johnson Jr.8</v>
      </c>
    </row>
    <row r="2309" spans="1:16" x14ac:dyDescent="0.25">
      <c r="A2309">
        <v>14</v>
      </c>
      <c r="B2309" t="s">
        <v>232</v>
      </c>
      <c r="C2309" t="s">
        <v>7397</v>
      </c>
      <c r="D2309">
        <v>5.67</v>
      </c>
      <c r="E2309" t="s">
        <v>51</v>
      </c>
      <c r="F2309" t="s">
        <v>47</v>
      </c>
      <c r="G2309">
        <v>9.7200000000000006</v>
      </c>
      <c r="H2309">
        <v>1.62</v>
      </c>
      <c r="I2309">
        <v>4.05</v>
      </c>
      <c r="J2309">
        <v>16.4025</v>
      </c>
      <c r="K2309" t="str">
        <f>IFERROR(INDEX(Rosters!$C$2:$C$155,MATCH($B2309,Rosters!$B$2:$B$155,0)),"NA")</f>
        <v>NA</v>
      </c>
      <c r="L2309" t="str">
        <f t="shared" si="108"/>
        <v>NA14RB</v>
      </c>
      <c r="M2309">
        <f>COUNTIF(L$1:L2309,L2309)</f>
        <v>9</v>
      </c>
      <c r="N2309" t="str">
        <f t="shared" si="109"/>
        <v>NA14RB-9</v>
      </c>
      <c r="O2309">
        <f>COUNTIFS(F$1:F2309,F2309,A$1:A2309,A2309)</f>
        <v>50</v>
      </c>
      <c r="P2309" t="str">
        <f t="shared" si="110"/>
        <v>Jalen Richard14</v>
      </c>
    </row>
    <row r="2310" spans="1:16" x14ac:dyDescent="0.25">
      <c r="A2310">
        <v>16</v>
      </c>
      <c r="B2310" t="s">
        <v>1388</v>
      </c>
      <c r="C2310" t="s">
        <v>7398</v>
      </c>
      <c r="D2310">
        <v>5.67</v>
      </c>
      <c r="E2310" t="s">
        <v>54</v>
      </c>
      <c r="F2310" t="s">
        <v>47</v>
      </c>
      <c r="G2310">
        <v>10.38</v>
      </c>
      <c r="H2310">
        <v>0.96</v>
      </c>
      <c r="I2310">
        <v>4.71</v>
      </c>
      <c r="J2310">
        <v>22.184100000000001</v>
      </c>
      <c r="K2310" t="str">
        <f>IFERROR(INDEX(Rosters!$C$2:$C$155,MATCH($B2310,Rosters!$B$2:$B$155,0)),"NA")</f>
        <v>NA</v>
      </c>
      <c r="L2310" t="str">
        <f t="shared" si="108"/>
        <v>NA16RB</v>
      </c>
      <c r="M2310">
        <f>COUNTIF(L$1:L2310,L2310)</f>
        <v>7</v>
      </c>
      <c r="N2310" t="str">
        <f t="shared" si="109"/>
        <v>NA16RB-7</v>
      </c>
      <c r="O2310">
        <f>COUNTIFS(F$1:F2310,F2310,A$1:A2310,A2310)</f>
        <v>51</v>
      </c>
      <c r="P2310" t="str">
        <f t="shared" si="110"/>
        <v>Jordan Wilkins16</v>
      </c>
    </row>
    <row r="2311" spans="1:16" x14ac:dyDescent="0.25">
      <c r="A2311">
        <v>6</v>
      </c>
      <c r="B2311" t="s">
        <v>143</v>
      </c>
      <c r="C2311">
        <f>-0.71-12.05</f>
        <v>-12.760000000000002</v>
      </c>
      <c r="D2311">
        <v>5.67</v>
      </c>
      <c r="E2311" t="s">
        <v>66</v>
      </c>
      <c r="F2311" t="s">
        <v>87</v>
      </c>
      <c r="G2311">
        <v>12.05</v>
      </c>
      <c r="H2311">
        <v>-0.71</v>
      </c>
      <c r="I2311">
        <v>6.38</v>
      </c>
      <c r="J2311">
        <v>40.7044</v>
      </c>
      <c r="K2311" t="str">
        <f>IFERROR(INDEX(Rosters!$C$2:$C$155,MATCH($B2311,Rosters!$B$2:$B$155,0)),"NA")</f>
        <v>NA</v>
      </c>
      <c r="L2311" t="str">
        <f t="shared" si="108"/>
        <v>NA6WR</v>
      </c>
      <c r="M2311">
        <f>COUNTIF(L$1:L2311,L2311)</f>
        <v>7</v>
      </c>
      <c r="N2311" t="str">
        <f t="shared" si="109"/>
        <v>NA6WR-7</v>
      </c>
      <c r="O2311">
        <f>COUNTIFS(F$1:F2311,F2311,A$1:A2311,A2311)</f>
        <v>50</v>
      </c>
      <c r="P2311" t="str">
        <f t="shared" si="110"/>
        <v>Terrelle Pryor Sr.6</v>
      </c>
    </row>
    <row r="2312" spans="1:16" x14ac:dyDescent="0.25">
      <c r="A2312">
        <v>11</v>
      </c>
      <c r="B2312" t="s">
        <v>313</v>
      </c>
      <c r="C2312" t="s">
        <v>7397</v>
      </c>
      <c r="D2312">
        <v>5.67</v>
      </c>
      <c r="E2312" t="s">
        <v>25</v>
      </c>
      <c r="F2312" t="s">
        <v>114</v>
      </c>
      <c r="G2312">
        <v>9.7200000000000006</v>
      </c>
      <c r="H2312">
        <v>1.62</v>
      </c>
      <c r="I2312">
        <v>4.05</v>
      </c>
      <c r="J2312">
        <v>16.4025</v>
      </c>
      <c r="K2312" t="str">
        <f>IFERROR(INDEX(Rosters!$C$2:$C$155,MATCH($B2312,Rosters!$B$2:$B$155,0)),"NA")</f>
        <v>comp</v>
      </c>
      <c r="L2312" t="str">
        <f t="shared" si="108"/>
        <v>comp11TE</v>
      </c>
      <c r="M2312">
        <f>COUNTIF(L$1:L2312,L2312)</f>
        <v>2</v>
      </c>
      <c r="N2312" t="str">
        <f t="shared" si="109"/>
        <v>comp11TE-2</v>
      </c>
      <c r="O2312">
        <f>COUNTIFS(F$1:F2312,F2312,A$1:A2312,A2312)</f>
        <v>9</v>
      </c>
      <c r="P2312" t="str">
        <f t="shared" si="110"/>
        <v>Trey Burton11</v>
      </c>
    </row>
    <row r="2313" spans="1:16" x14ac:dyDescent="0.25">
      <c r="A2313">
        <v>8</v>
      </c>
      <c r="B2313" t="s">
        <v>213</v>
      </c>
      <c r="C2313" t="s">
        <v>7399</v>
      </c>
      <c r="D2313">
        <v>5.66</v>
      </c>
      <c r="E2313" t="s">
        <v>31</v>
      </c>
      <c r="F2313" t="s">
        <v>114</v>
      </c>
      <c r="G2313">
        <v>10.050000000000001</v>
      </c>
      <c r="H2313">
        <v>1.27</v>
      </c>
      <c r="I2313">
        <v>4.3899999999999997</v>
      </c>
      <c r="J2313">
        <v>19.272099999999998</v>
      </c>
      <c r="K2313" t="str">
        <f>IFERROR(INDEX(Rosters!$C$2:$C$155,MATCH($B2313,Rosters!$B$2:$B$155,0)),"NA")</f>
        <v>NA</v>
      </c>
      <c r="L2313" t="str">
        <f t="shared" si="108"/>
        <v>NA8TE</v>
      </c>
      <c r="M2313">
        <f>COUNTIF(L$1:L2313,L2313)</f>
        <v>4</v>
      </c>
      <c r="N2313" t="str">
        <f t="shared" si="109"/>
        <v>NA8TE-4</v>
      </c>
      <c r="O2313">
        <f>COUNTIFS(F$1:F2313,F2313,A$1:A2313,A2313)</f>
        <v>13</v>
      </c>
      <c r="P2313" t="str">
        <f t="shared" si="110"/>
        <v>Cameron Brate8</v>
      </c>
    </row>
    <row r="2314" spans="1:16" x14ac:dyDescent="0.25">
      <c r="A2314">
        <v>15</v>
      </c>
      <c r="B2314" t="s">
        <v>1211</v>
      </c>
      <c r="C2314" t="s">
        <v>7400</v>
      </c>
      <c r="D2314">
        <v>5.66</v>
      </c>
      <c r="E2314" t="s">
        <v>60</v>
      </c>
      <c r="F2314" t="s">
        <v>87</v>
      </c>
      <c r="G2314">
        <v>9.2100000000000009</v>
      </c>
      <c r="H2314">
        <v>2.11</v>
      </c>
      <c r="I2314">
        <v>3.55</v>
      </c>
      <c r="J2314">
        <v>12.602499999999999</v>
      </c>
      <c r="K2314" t="str">
        <f>IFERROR(INDEX(Rosters!$C$2:$C$155,MATCH($B2314,Rosters!$B$2:$B$155,0)),"NA")</f>
        <v>NA</v>
      </c>
      <c r="L2314" t="str">
        <f t="shared" si="108"/>
        <v>NA15WR</v>
      </c>
      <c r="M2314">
        <f>COUNTIF(L$1:L2314,L2314)</f>
        <v>7</v>
      </c>
      <c r="N2314" t="str">
        <f t="shared" si="109"/>
        <v>NA15WR-7</v>
      </c>
      <c r="O2314">
        <f>COUNTIFS(F$1:F2314,F2314,A$1:A2314,A2314)</f>
        <v>56</v>
      </c>
      <c r="P2314" t="str">
        <f t="shared" si="110"/>
        <v>Dede Westbrook15</v>
      </c>
    </row>
    <row r="2315" spans="1:16" x14ac:dyDescent="0.25">
      <c r="A2315">
        <v>14</v>
      </c>
      <c r="B2315" t="s">
        <v>306</v>
      </c>
      <c r="C2315" t="s">
        <v>7401</v>
      </c>
      <c r="D2315">
        <v>5.66</v>
      </c>
      <c r="E2315" t="s">
        <v>24</v>
      </c>
      <c r="F2315" t="s">
        <v>47</v>
      </c>
      <c r="G2315">
        <v>9.69</v>
      </c>
      <c r="H2315">
        <v>1.63</v>
      </c>
      <c r="I2315">
        <v>4.03</v>
      </c>
      <c r="J2315">
        <v>16.2409</v>
      </c>
      <c r="K2315" t="str">
        <f>IFERROR(INDEX(Rosters!$C$2:$C$155,MATCH($B2315,Rosters!$B$2:$B$155,0)),"NA")</f>
        <v>chad</v>
      </c>
      <c r="L2315" t="str">
        <f t="shared" si="108"/>
        <v>chad14RB</v>
      </c>
      <c r="M2315">
        <f>COUNTIF(L$1:L2315,L2315)</f>
        <v>5</v>
      </c>
      <c r="N2315" t="str">
        <f t="shared" si="109"/>
        <v>chad14RB-5</v>
      </c>
      <c r="O2315">
        <f>COUNTIFS(F$1:F2315,F2315,A$1:A2315,A2315)</f>
        <v>51</v>
      </c>
      <c r="P2315" t="str">
        <f t="shared" si="110"/>
        <v>Javorius Allen14</v>
      </c>
    </row>
    <row r="2316" spans="1:16" x14ac:dyDescent="0.25">
      <c r="A2316">
        <v>17</v>
      </c>
      <c r="B2316" t="s">
        <v>1395</v>
      </c>
      <c r="C2316" t="s">
        <v>7402</v>
      </c>
      <c r="D2316">
        <v>5.66</v>
      </c>
      <c r="E2316" t="s">
        <v>38</v>
      </c>
      <c r="F2316" t="s">
        <v>47</v>
      </c>
      <c r="G2316">
        <v>10.3</v>
      </c>
      <c r="H2316">
        <v>1.02</v>
      </c>
      <c r="I2316">
        <v>4.6399999999999997</v>
      </c>
      <c r="J2316">
        <v>21.529599999999999</v>
      </c>
      <c r="K2316" t="str">
        <f>IFERROR(INDEX(Rosters!$C$2:$C$155,MATCH($B2316,Rosters!$B$2:$B$155,0)),"NA")</f>
        <v>cory</v>
      </c>
      <c r="L2316" t="str">
        <f t="shared" si="108"/>
        <v>cory17RB</v>
      </c>
      <c r="M2316">
        <f>COUNTIF(L$1:L2316,L2316)</f>
        <v>5</v>
      </c>
      <c r="N2316" t="str">
        <f t="shared" si="109"/>
        <v>cory17RB-5</v>
      </c>
      <c r="O2316">
        <f>COUNTIFS(F$1:F2316,F2316,A$1:A2316,A2316)</f>
        <v>49</v>
      </c>
      <c r="P2316" t="str">
        <f t="shared" si="110"/>
        <v>Nyheim Hines17</v>
      </c>
    </row>
    <row r="2317" spans="1:16" x14ac:dyDescent="0.25">
      <c r="A2317">
        <v>2</v>
      </c>
      <c r="B2317" t="s">
        <v>125</v>
      </c>
      <c r="C2317" t="s">
        <v>3352</v>
      </c>
      <c r="D2317">
        <v>5.66</v>
      </c>
      <c r="E2317" t="s">
        <v>51</v>
      </c>
      <c r="F2317" t="s">
        <v>87</v>
      </c>
      <c r="G2317">
        <v>10.68</v>
      </c>
      <c r="H2317">
        <v>0.64</v>
      </c>
      <c r="I2317">
        <v>5.0199999999999996</v>
      </c>
      <c r="J2317">
        <v>25.200399999999998</v>
      </c>
      <c r="K2317" t="str">
        <f>IFERROR(INDEX(Rosters!$C$2:$C$155,MATCH($B2317,Rosters!$B$2:$B$155,0)),"NA")</f>
        <v>scott</v>
      </c>
      <c r="L2317" t="str">
        <f t="shared" si="108"/>
        <v>scott2WR</v>
      </c>
      <c r="M2317">
        <f>COUNTIF(L$1:L2317,L2317)</f>
        <v>4</v>
      </c>
      <c r="N2317" t="str">
        <f t="shared" si="109"/>
        <v>scott2WR-4</v>
      </c>
      <c r="O2317">
        <f>COUNTIFS(F$1:F2317,F2317,A$1:A2317,A2317)</f>
        <v>48</v>
      </c>
      <c r="P2317" t="str">
        <f t="shared" si="110"/>
        <v>Sammy Watkins2</v>
      </c>
    </row>
    <row r="2318" spans="1:16" x14ac:dyDescent="0.25">
      <c r="A2318">
        <v>15</v>
      </c>
      <c r="B2318" t="s">
        <v>313</v>
      </c>
      <c r="C2318" t="s">
        <v>7403</v>
      </c>
      <c r="D2318">
        <v>5.66</v>
      </c>
      <c r="E2318" t="s">
        <v>41</v>
      </c>
      <c r="F2318" t="s">
        <v>114</v>
      </c>
      <c r="G2318">
        <v>9.85</v>
      </c>
      <c r="H2318">
        <v>1.47</v>
      </c>
      <c r="I2318">
        <v>4.1900000000000004</v>
      </c>
      <c r="J2318">
        <v>17.556100000000001</v>
      </c>
      <c r="K2318" t="str">
        <f>IFERROR(INDEX(Rosters!$C$2:$C$155,MATCH($B2318,Rosters!$B$2:$B$155,0)),"NA")</f>
        <v>comp</v>
      </c>
      <c r="L2318" t="str">
        <f t="shared" si="108"/>
        <v>comp15TE</v>
      </c>
      <c r="M2318">
        <f>COUNTIF(L$1:L2318,L2318)</f>
        <v>1</v>
      </c>
      <c r="N2318" t="str">
        <f t="shared" si="109"/>
        <v>comp15TE-1</v>
      </c>
      <c r="O2318">
        <f>COUNTIFS(F$1:F2318,F2318,A$1:A2318,A2318)</f>
        <v>10</v>
      </c>
      <c r="P2318" t="str">
        <f t="shared" si="110"/>
        <v>Trey Burton15</v>
      </c>
    </row>
    <row r="2319" spans="1:16" x14ac:dyDescent="0.25">
      <c r="A2319">
        <v>16</v>
      </c>
      <c r="B2319" t="s">
        <v>1387</v>
      </c>
      <c r="C2319" t="s">
        <v>7404</v>
      </c>
      <c r="D2319">
        <v>5.65</v>
      </c>
      <c r="E2319" t="s">
        <v>36</v>
      </c>
      <c r="F2319" t="s">
        <v>47</v>
      </c>
      <c r="G2319">
        <v>10.42</v>
      </c>
      <c r="H2319">
        <v>0.88</v>
      </c>
      <c r="I2319">
        <v>4.7699999999999996</v>
      </c>
      <c r="J2319">
        <v>22.7529</v>
      </c>
      <c r="K2319" t="str">
        <f>IFERROR(INDEX(Rosters!$C$2:$C$155,MATCH($B2319,Rosters!$B$2:$B$155,0)),"NA")</f>
        <v>NA</v>
      </c>
      <c r="L2319" t="str">
        <f t="shared" si="108"/>
        <v>NA16RB</v>
      </c>
      <c r="M2319">
        <f>COUNTIF(L$1:L2319,L2319)</f>
        <v>8</v>
      </c>
      <c r="N2319" t="str">
        <f t="shared" si="109"/>
        <v>NA16RB-8</v>
      </c>
      <c r="O2319">
        <f>COUNTIFS(F$1:F2319,F2319,A$1:A2319,A2319)</f>
        <v>52</v>
      </c>
      <c r="P2319" t="str">
        <f t="shared" si="110"/>
        <v>Corey Clement16</v>
      </c>
    </row>
    <row r="2320" spans="1:16" x14ac:dyDescent="0.25">
      <c r="A2320">
        <v>10</v>
      </c>
      <c r="B2320" t="s">
        <v>1148</v>
      </c>
      <c r="C2320" t="s">
        <v>7405</v>
      </c>
      <c r="D2320">
        <v>5.65</v>
      </c>
      <c r="E2320" t="s">
        <v>56</v>
      </c>
      <c r="F2320" t="s">
        <v>47</v>
      </c>
      <c r="G2320">
        <v>10.19</v>
      </c>
      <c r="H2320">
        <v>1.1100000000000001</v>
      </c>
      <c r="I2320">
        <v>4.54</v>
      </c>
      <c r="J2320">
        <v>20.611599999999999</v>
      </c>
      <c r="K2320" t="str">
        <f>IFERROR(INDEX(Rosters!$C$2:$C$155,MATCH($B2320,Rosters!$B$2:$B$155,0)),"NA")</f>
        <v>NA</v>
      </c>
      <c r="L2320" t="str">
        <f t="shared" si="108"/>
        <v>NA10RB</v>
      </c>
      <c r="M2320">
        <f>COUNTIF(L$1:L2320,L2320)</f>
        <v>6</v>
      </c>
      <c r="N2320" t="str">
        <f t="shared" si="109"/>
        <v>NA10RB-6</v>
      </c>
      <c r="O2320">
        <f>COUNTIFS(F$1:F2320,F2320,A$1:A2320,A2320)</f>
        <v>43</v>
      </c>
      <c r="P2320" t="str">
        <f t="shared" si="110"/>
        <v>Mike Davis10</v>
      </c>
    </row>
    <row r="2321" spans="1:16" x14ac:dyDescent="0.25">
      <c r="A2321">
        <v>11</v>
      </c>
      <c r="B2321" t="s">
        <v>178</v>
      </c>
      <c r="C2321" t="s">
        <v>7406</v>
      </c>
      <c r="D2321">
        <v>5.64</v>
      </c>
      <c r="E2321" t="s">
        <v>38</v>
      </c>
      <c r="F2321" t="s">
        <v>114</v>
      </c>
      <c r="G2321">
        <v>9.65</v>
      </c>
      <c r="H2321">
        <v>1.63</v>
      </c>
      <c r="I2321">
        <v>4.01</v>
      </c>
      <c r="J2321">
        <v>16.080100000000002</v>
      </c>
      <c r="K2321" t="str">
        <f>IFERROR(INDEX(Rosters!$C$2:$C$155,MATCH($B2321,Rosters!$B$2:$B$155,0)),"NA")</f>
        <v>devon</v>
      </c>
      <c r="L2321" t="str">
        <f t="shared" si="108"/>
        <v>devon11TE</v>
      </c>
      <c r="M2321">
        <f>COUNTIF(L$1:L2321,L2321)</f>
        <v>2</v>
      </c>
      <c r="N2321" t="str">
        <f t="shared" si="109"/>
        <v>devon11TE-2</v>
      </c>
      <c r="O2321">
        <f>COUNTIFS(F$1:F2321,F2321,A$1:A2321,A2321)</f>
        <v>10</v>
      </c>
      <c r="P2321" t="str">
        <f t="shared" si="110"/>
        <v>Eric Ebron11</v>
      </c>
    </row>
    <row r="2322" spans="1:16" x14ac:dyDescent="0.25">
      <c r="A2322">
        <v>14</v>
      </c>
      <c r="B2322" t="s">
        <v>178</v>
      </c>
      <c r="C2322" t="s">
        <v>7407</v>
      </c>
      <c r="D2322">
        <v>5.64</v>
      </c>
      <c r="E2322" t="s">
        <v>36</v>
      </c>
      <c r="F2322" t="s">
        <v>114</v>
      </c>
      <c r="G2322">
        <v>8.8699999999999992</v>
      </c>
      <c r="H2322">
        <v>2.41</v>
      </c>
      <c r="I2322">
        <v>3.23</v>
      </c>
      <c r="J2322">
        <v>10.4329</v>
      </c>
      <c r="K2322" t="str">
        <f>IFERROR(INDEX(Rosters!$C$2:$C$155,MATCH($B2322,Rosters!$B$2:$B$155,0)),"NA")</f>
        <v>devon</v>
      </c>
      <c r="L2322" t="str">
        <f t="shared" si="108"/>
        <v>devon14TE</v>
      </c>
      <c r="M2322">
        <f>COUNTIF(L$1:L2322,L2322)</f>
        <v>2</v>
      </c>
      <c r="N2322" t="str">
        <f t="shared" si="109"/>
        <v>devon14TE-2</v>
      </c>
      <c r="O2322">
        <f>COUNTIFS(F$1:F2322,F2322,A$1:A2322,A2322)</f>
        <v>11</v>
      </c>
      <c r="P2322" t="str">
        <f t="shared" si="110"/>
        <v>Eric Ebron14</v>
      </c>
    </row>
    <row r="2323" spans="1:16" x14ac:dyDescent="0.25">
      <c r="A2323">
        <v>6</v>
      </c>
      <c r="B2323" t="s">
        <v>264</v>
      </c>
      <c r="C2323" t="s">
        <v>7408</v>
      </c>
      <c r="D2323">
        <v>5.64</v>
      </c>
      <c r="E2323" t="s">
        <v>41</v>
      </c>
      <c r="F2323" t="s">
        <v>114</v>
      </c>
      <c r="G2323">
        <v>9.18</v>
      </c>
      <c r="H2323">
        <v>2.1</v>
      </c>
      <c r="I2323">
        <v>3.54</v>
      </c>
      <c r="J2323">
        <v>12.531599999999999</v>
      </c>
      <c r="K2323" t="str">
        <f>IFERROR(INDEX(Rosters!$C$2:$C$155,MATCH($B2323,Rosters!$B$2:$B$155,0)),"NA")</f>
        <v>scott</v>
      </c>
      <c r="L2323" t="str">
        <f t="shared" si="108"/>
        <v>scott6TE</v>
      </c>
      <c r="M2323">
        <f>COUNTIF(L$1:L2323,L2323)</f>
        <v>1</v>
      </c>
      <c r="N2323" t="str">
        <f t="shared" si="109"/>
        <v>scott6TE-1</v>
      </c>
      <c r="O2323">
        <f>COUNTIFS(F$1:F2323,F2323,A$1:A2323,A2323)</f>
        <v>10</v>
      </c>
      <c r="P2323" t="str">
        <f t="shared" si="110"/>
        <v>George Kittle6</v>
      </c>
    </row>
    <row r="2324" spans="1:16" x14ac:dyDescent="0.25">
      <c r="A2324">
        <v>10</v>
      </c>
      <c r="B2324" t="s">
        <v>170</v>
      </c>
      <c r="C2324" t="s">
        <v>7409</v>
      </c>
      <c r="D2324">
        <v>5.64</v>
      </c>
      <c r="E2324" t="s">
        <v>72</v>
      </c>
      <c r="F2324" t="s">
        <v>47</v>
      </c>
      <c r="G2324">
        <v>10.07</v>
      </c>
      <c r="H2324">
        <v>1.21</v>
      </c>
      <c r="I2324">
        <v>4.43</v>
      </c>
      <c r="J2324">
        <v>19.6249</v>
      </c>
      <c r="K2324" t="str">
        <f>IFERROR(INDEX(Rosters!$C$2:$C$155,MATCH($B2324,Rosters!$B$2:$B$155,0)),"NA")</f>
        <v>NA</v>
      </c>
      <c r="L2324" t="str">
        <f t="shared" si="108"/>
        <v>NA10RB</v>
      </c>
      <c r="M2324">
        <f>COUNTIF(L$1:L2324,L2324)</f>
        <v>7</v>
      </c>
      <c r="N2324" t="str">
        <f t="shared" si="109"/>
        <v>NA10RB-7</v>
      </c>
      <c r="O2324">
        <f>COUNTIFS(F$1:F2324,F2324,A$1:A2324,A2324)</f>
        <v>44</v>
      </c>
      <c r="P2324" t="str">
        <f t="shared" si="110"/>
        <v>LeGarrette Blount10</v>
      </c>
    </row>
    <row r="2325" spans="1:16" x14ac:dyDescent="0.25">
      <c r="A2325">
        <v>8</v>
      </c>
      <c r="B2325" t="s">
        <v>1148</v>
      </c>
      <c r="C2325" t="s">
        <v>7410</v>
      </c>
      <c r="D2325">
        <v>5.64</v>
      </c>
      <c r="E2325" t="s">
        <v>34</v>
      </c>
      <c r="F2325" t="s">
        <v>47</v>
      </c>
      <c r="G2325">
        <v>10.1</v>
      </c>
      <c r="H2325">
        <v>1.18</v>
      </c>
      <c r="I2325">
        <v>4.46</v>
      </c>
      <c r="J2325">
        <v>19.8916</v>
      </c>
      <c r="K2325" t="str">
        <f>IFERROR(INDEX(Rosters!$C$2:$C$155,MATCH($B2325,Rosters!$B$2:$B$155,0)),"NA")</f>
        <v>NA</v>
      </c>
      <c r="L2325" t="str">
        <f t="shared" si="108"/>
        <v>NA8RB</v>
      </c>
      <c r="M2325">
        <f>COUNTIF(L$1:L2325,L2325)</f>
        <v>9</v>
      </c>
      <c r="N2325" t="str">
        <f t="shared" si="109"/>
        <v>NA8RB-9</v>
      </c>
      <c r="O2325">
        <f>COUNTIFS(F$1:F2325,F2325,A$1:A2325,A2325)</f>
        <v>46</v>
      </c>
      <c r="P2325" t="str">
        <f t="shared" si="110"/>
        <v>Mike Davis8</v>
      </c>
    </row>
    <row r="2326" spans="1:16" x14ac:dyDescent="0.25">
      <c r="A2326">
        <v>16</v>
      </c>
      <c r="B2326" t="s">
        <v>313</v>
      </c>
      <c r="C2326" t="s">
        <v>7411</v>
      </c>
      <c r="D2326">
        <v>5.64</v>
      </c>
      <c r="E2326" t="s">
        <v>30</v>
      </c>
      <c r="F2326" t="s">
        <v>114</v>
      </c>
      <c r="G2326">
        <v>9.8699999999999992</v>
      </c>
      <c r="H2326">
        <v>1.41</v>
      </c>
      <c r="I2326">
        <v>4.2300000000000004</v>
      </c>
      <c r="J2326">
        <v>17.892900000000001</v>
      </c>
      <c r="K2326" t="str">
        <f>IFERROR(INDEX(Rosters!$C$2:$C$155,MATCH($B2326,Rosters!$B$2:$B$155,0)),"NA")</f>
        <v>comp</v>
      </c>
      <c r="L2326" t="str">
        <f t="shared" si="108"/>
        <v>comp16TE</v>
      </c>
      <c r="M2326">
        <f>COUNTIF(L$1:L2326,L2326)</f>
        <v>1</v>
      </c>
      <c r="N2326" t="str">
        <f t="shared" si="109"/>
        <v>comp16TE-1</v>
      </c>
      <c r="O2326">
        <f>COUNTIFS(F$1:F2326,F2326,A$1:A2326,A2326)</f>
        <v>12</v>
      </c>
      <c r="P2326" t="str">
        <f t="shared" si="110"/>
        <v>Trey Burton16</v>
      </c>
    </row>
    <row r="2327" spans="1:16" x14ac:dyDescent="0.25">
      <c r="A2327">
        <v>10</v>
      </c>
      <c r="B2327" t="s">
        <v>183</v>
      </c>
      <c r="C2327" t="s">
        <v>7412</v>
      </c>
      <c r="D2327">
        <v>5.63</v>
      </c>
      <c r="E2327" t="s">
        <v>46</v>
      </c>
      <c r="F2327" t="s">
        <v>47</v>
      </c>
      <c r="G2327">
        <v>9.24</v>
      </c>
      <c r="H2327">
        <v>2.02</v>
      </c>
      <c r="I2327">
        <v>3.61</v>
      </c>
      <c r="J2327">
        <v>13.0321</v>
      </c>
      <c r="K2327" t="str">
        <f>IFERROR(INDEX(Rosters!$C$2:$C$155,MATCH($B2327,Rosters!$B$2:$B$155,0)),"NA")</f>
        <v>NA</v>
      </c>
      <c r="L2327" t="str">
        <f t="shared" si="108"/>
        <v>NA10RB</v>
      </c>
      <c r="M2327">
        <f>COUNTIF(L$1:L2327,L2327)</f>
        <v>8</v>
      </c>
      <c r="N2327" t="str">
        <f t="shared" si="109"/>
        <v>NA10RB-8</v>
      </c>
      <c r="O2327">
        <f>COUNTIFS(F$1:F2327,F2327,A$1:A2327,A2327)</f>
        <v>45</v>
      </c>
      <c r="P2327" t="str">
        <f t="shared" si="110"/>
        <v>Duke Johnson Jr.10</v>
      </c>
    </row>
    <row r="2328" spans="1:16" x14ac:dyDescent="0.25">
      <c r="A2328">
        <v>8</v>
      </c>
      <c r="B2328" t="s">
        <v>162</v>
      </c>
      <c r="C2328" t="s">
        <v>7413</v>
      </c>
      <c r="D2328">
        <v>5.63</v>
      </c>
      <c r="E2328" t="s">
        <v>56</v>
      </c>
      <c r="F2328" t="s">
        <v>114</v>
      </c>
      <c r="G2328">
        <v>10.38</v>
      </c>
      <c r="H2328">
        <v>0.88</v>
      </c>
      <c r="I2328">
        <v>4.75</v>
      </c>
      <c r="J2328">
        <v>22.5625</v>
      </c>
      <c r="K2328" t="str">
        <f>IFERROR(INDEX(Rosters!$C$2:$C$155,MATCH($B2328,Rosters!$B$2:$B$155,0)),"NA")</f>
        <v>seth</v>
      </c>
      <c r="L2328" t="str">
        <f t="shared" si="108"/>
        <v>seth8TE</v>
      </c>
      <c r="M2328">
        <f>COUNTIF(L$1:L2328,L2328)</f>
        <v>1</v>
      </c>
      <c r="N2328" t="str">
        <f t="shared" si="109"/>
        <v>seth8TE-1</v>
      </c>
      <c r="O2328">
        <f>COUNTIFS(F$1:F2328,F2328,A$1:A2328,A2328)</f>
        <v>14</v>
      </c>
      <c r="P2328" t="str">
        <f t="shared" si="110"/>
        <v>Jimmy Graham8</v>
      </c>
    </row>
    <row r="2329" spans="1:16" x14ac:dyDescent="0.25">
      <c r="A2329">
        <v>15</v>
      </c>
      <c r="B2329" t="s">
        <v>1388</v>
      </c>
      <c r="C2329" t="s">
        <v>7414</v>
      </c>
      <c r="D2329">
        <v>5.63</v>
      </c>
      <c r="E2329" t="s">
        <v>22</v>
      </c>
      <c r="F2329" t="s">
        <v>47</v>
      </c>
      <c r="G2329">
        <v>9.82</v>
      </c>
      <c r="H2329">
        <v>1.44</v>
      </c>
      <c r="I2329">
        <v>4.1900000000000004</v>
      </c>
      <c r="J2329">
        <v>17.556100000000001</v>
      </c>
      <c r="K2329" t="str">
        <f>IFERROR(INDEX(Rosters!$C$2:$C$155,MATCH($B2329,Rosters!$B$2:$B$155,0)),"NA")</f>
        <v>NA</v>
      </c>
      <c r="L2329" t="str">
        <f t="shared" si="108"/>
        <v>NA15RB</v>
      </c>
      <c r="M2329">
        <f>COUNTIF(L$1:L2329,L2329)</f>
        <v>11</v>
      </c>
      <c r="N2329" t="str">
        <f t="shared" si="109"/>
        <v>NA15RB-11</v>
      </c>
      <c r="O2329">
        <f>COUNTIFS(F$1:F2329,F2329,A$1:A2329,A2329)</f>
        <v>52</v>
      </c>
      <c r="P2329" t="str">
        <f t="shared" si="110"/>
        <v>Jordan Wilkins15</v>
      </c>
    </row>
    <row r="2330" spans="1:16" x14ac:dyDescent="0.25">
      <c r="A2330">
        <v>8</v>
      </c>
      <c r="B2330" t="s">
        <v>170</v>
      </c>
      <c r="C2330" t="s">
        <v>7416</v>
      </c>
      <c r="D2330">
        <v>5.63</v>
      </c>
      <c r="E2330" t="s">
        <v>28</v>
      </c>
      <c r="F2330" t="s">
        <v>47</v>
      </c>
      <c r="G2330">
        <v>9.76</v>
      </c>
      <c r="H2330">
        <v>1.5</v>
      </c>
      <c r="I2330">
        <v>4.13</v>
      </c>
      <c r="J2330">
        <v>17.056899999999999</v>
      </c>
      <c r="K2330" t="str">
        <f>IFERROR(INDEX(Rosters!$C$2:$C$155,MATCH($B2330,Rosters!$B$2:$B$155,0)),"NA")</f>
        <v>NA</v>
      </c>
      <c r="L2330" t="str">
        <f t="shared" si="108"/>
        <v>NA8RB</v>
      </c>
      <c r="M2330">
        <f>COUNTIF(L$1:L2330,L2330)</f>
        <v>10</v>
      </c>
      <c r="N2330" t="str">
        <f t="shared" si="109"/>
        <v>NA8RB-10</v>
      </c>
      <c r="O2330">
        <f>COUNTIFS(F$1:F2330,F2330,A$1:A2330,A2330)</f>
        <v>47</v>
      </c>
      <c r="P2330" t="str">
        <f t="shared" si="110"/>
        <v>LeGarrette Blount8</v>
      </c>
    </row>
    <row r="2331" spans="1:16" x14ac:dyDescent="0.25">
      <c r="A2331">
        <v>14</v>
      </c>
      <c r="B2331" t="s">
        <v>170</v>
      </c>
      <c r="C2331" t="s">
        <v>7415</v>
      </c>
      <c r="D2331">
        <v>5.63</v>
      </c>
      <c r="E2331" t="s">
        <v>58</v>
      </c>
      <c r="F2331" t="s">
        <v>47</v>
      </c>
      <c r="G2331">
        <v>10.11</v>
      </c>
      <c r="H2331">
        <v>1.1499999999999999</v>
      </c>
      <c r="I2331">
        <v>4.4800000000000004</v>
      </c>
      <c r="J2331">
        <v>20.070399999999999</v>
      </c>
      <c r="K2331" t="str">
        <f>IFERROR(INDEX(Rosters!$C$2:$C$155,MATCH($B2331,Rosters!$B$2:$B$155,0)),"NA")</f>
        <v>NA</v>
      </c>
      <c r="L2331" t="str">
        <f t="shared" si="108"/>
        <v>NA14RB</v>
      </c>
      <c r="M2331">
        <f>COUNTIF(L$1:L2331,L2331)</f>
        <v>10</v>
      </c>
      <c r="N2331" t="str">
        <f t="shared" si="109"/>
        <v>NA14RB-10</v>
      </c>
      <c r="O2331">
        <f>COUNTIFS(F$1:F2331,F2331,A$1:A2331,A2331)</f>
        <v>52</v>
      </c>
      <c r="P2331" t="str">
        <f t="shared" si="110"/>
        <v>LeGarrette Blount14</v>
      </c>
    </row>
    <row r="2332" spans="1:16" x14ac:dyDescent="0.25">
      <c r="A2332">
        <v>15</v>
      </c>
      <c r="B2332" t="s">
        <v>303</v>
      </c>
      <c r="C2332" t="s">
        <v>7417</v>
      </c>
      <c r="D2332">
        <v>5.63</v>
      </c>
      <c r="E2332" t="s">
        <v>54</v>
      </c>
      <c r="F2332" t="s">
        <v>87</v>
      </c>
      <c r="G2332">
        <v>9.9</v>
      </c>
      <c r="H2332">
        <v>1.36</v>
      </c>
      <c r="I2332">
        <v>4.2699999999999996</v>
      </c>
      <c r="J2332">
        <v>18.232900000000001</v>
      </c>
      <c r="K2332" t="str">
        <f>IFERROR(INDEX(Rosters!$C$2:$C$155,MATCH($B2332,Rosters!$B$2:$B$155,0)),"NA")</f>
        <v>NA</v>
      </c>
      <c r="L2332" t="str">
        <f t="shared" si="108"/>
        <v>NA15WR</v>
      </c>
      <c r="M2332">
        <f>COUNTIF(L$1:L2332,L2332)</f>
        <v>8</v>
      </c>
      <c r="N2332" t="str">
        <f t="shared" si="109"/>
        <v>NA15WR-8</v>
      </c>
      <c r="O2332">
        <f>COUNTIFS(F$1:F2332,F2332,A$1:A2332,A2332)</f>
        <v>57</v>
      </c>
      <c r="P2332" t="str">
        <f t="shared" si="110"/>
        <v>Taywan Taylor15</v>
      </c>
    </row>
    <row r="2333" spans="1:16" x14ac:dyDescent="0.25">
      <c r="A2333">
        <v>6</v>
      </c>
      <c r="B2333" t="s">
        <v>213</v>
      </c>
      <c r="C2333" t="s">
        <v>7418</v>
      </c>
      <c r="D2333">
        <v>5.62</v>
      </c>
      <c r="E2333" t="s">
        <v>46</v>
      </c>
      <c r="F2333" t="s">
        <v>114</v>
      </c>
      <c r="G2333">
        <v>10.11</v>
      </c>
      <c r="H2333">
        <v>1.1299999999999999</v>
      </c>
      <c r="I2333">
        <v>4.49</v>
      </c>
      <c r="J2333">
        <v>20.1601</v>
      </c>
      <c r="K2333" t="str">
        <f>IFERROR(INDEX(Rosters!$C$2:$C$155,MATCH($B2333,Rosters!$B$2:$B$155,0)),"NA")</f>
        <v>NA</v>
      </c>
      <c r="L2333" t="str">
        <f t="shared" si="108"/>
        <v>NA6TE</v>
      </c>
      <c r="M2333">
        <f>COUNTIF(L$1:L2333,L2333)</f>
        <v>2</v>
      </c>
      <c r="N2333" t="str">
        <f t="shared" si="109"/>
        <v>NA6TE-2</v>
      </c>
      <c r="O2333">
        <f>COUNTIFS(F$1:F2333,F2333,A$1:A2333,A2333)</f>
        <v>11</v>
      </c>
      <c r="P2333" t="str">
        <f t="shared" si="110"/>
        <v>Cameron Brate6</v>
      </c>
    </row>
    <row r="2334" spans="1:16" x14ac:dyDescent="0.25">
      <c r="A2334">
        <v>6</v>
      </c>
      <c r="B2334" t="s">
        <v>178</v>
      </c>
      <c r="C2334" t="s">
        <v>7419</v>
      </c>
      <c r="D2334">
        <v>5.62</v>
      </c>
      <c r="E2334" t="s">
        <v>73</v>
      </c>
      <c r="F2334" t="s">
        <v>114</v>
      </c>
      <c r="G2334">
        <v>9.8699999999999992</v>
      </c>
      <c r="H2334">
        <v>1.37</v>
      </c>
      <c r="I2334">
        <v>4.25</v>
      </c>
      <c r="J2334">
        <v>18.0625</v>
      </c>
      <c r="K2334" t="str">
        <f>IFERROR(INDEX(Rosters!$C$2:$C$155,MATCH($B2334,Rosters!$B$2:$B$155,0)),"NA")</f>
        <v>devon</v>
      </c>
      <c r="L2334" t="str">
        <f t="shared" si="108"/>
        <v>devon6TE</v>
      </c>
      <c r="M2334">
        <f>COUNTIF(L$1:L2334,L2334)</f>
        <v>1</v>
      </c>
      <c r="N2334" t="str">
        <f t="shared" si="109"/>
        <v>devon6TE-1</v>
      </c>
      <c r="O2334">
        <f>COUNTIFS(F$1:F2334,F2334,A$1:A2334,A2334)</f>
        <v>12</v>
      </c>
      <c r="P2334" t="str">
        <f t="shared" si="110"/>
        <v>Eric Ebron6</v>
      </c>
    </row>
    <row r="2335" spans="1:16" x14ac:dyDescent="0.25">
      <c r="A2335">
        <v>17</v>
      </c>
      <c r="B2335" t="s">
        <v>196</v>
      </c>
      <c r="C2335" t="s">
        <v>7420</v>
      </c>
      <c r="D2335">
        <v>5.62</v>
      </c>
      <c r="E2335" t="s">
        <v>51</v>
      </c>
      <c r="F2335" t="s">
        <v>47</v>
      </c>
      <c r="G2335">
        <v>9.5299999999999994</v>
      </c>
      <c r="H2335">
        <v>1.71</v>
      </c>
      <c r="I2335">
        <v>3.91</v>
      </c>
      <c r="J2335">
        <v>15.2881</v>
      </c>
      <c r="K2335" t="str">
        <f>IFERROR(INDEX(Rosters!$C$2:$C$155,MATCH($B2335,Rosters!$B$2:$B$155,0)),"NA")</f>
        <v>NA</v>
      </c>
      <c r="L2335" t="str">
        <f t="shared" si="108"/>
        <v>NA17RB</v>
      </c>
      <c r="M2335">
        <f>COUNTIF(L$1:L2335,L2335)</f>
        <v>7</v>
      </c>
      <c r="N2335" t="str">
        <f t="shared" si="109"/>
        <v>NA17RB-7</v>
      </c>
      <c r="O2335">
        <f>COUNTIFS(F$1:F2335,F2335,A$1:A2335,A2335)</f>
        <v>50</v>
      </c>
      <c r="P2335" t="str">
        <f t="shared" si="110"/>
        <v>Giovani Bernard17</v>
      </c>
    </row>
    <row r="2336" spans="1:16" x14ac:dyDescent="0.25">
      <c r="A2336">
        <v>1</v>
      </c>
      <c r="B2336" t="s">
        <v>192</v>
      </c>
      <c r="C2336" t="s">
        <v>1382</v>
      </c>
      <c r="D2336">
        <v>5.62</v>
      </c>
      <c r="E2336" t="s">
        <v>76</v>
      </c>
      <c r="F2336" t="s">
        <v>87</v>
      </c>
      <c r="G2336">
        <v>9.57</v>
      </c>
      <c r="H2336">
        <v>1.67</v>
      </c>
      <c r="I2336">
        <v>3.95</v>
      </c>
      <c r="J2336">
        <v>15.602499999999999</v>
      </c>
      <c r="K2336" t="str">
        <f>IFERROR(INDEX(Rosters!$C$2:$C$155,MATCH($B2336,Rosters!$B$2:$B$155,0)),"NA")</f>
        <v>cory</v>
      </c>
      <c r="L2336" t="str">
        <f t="shared" si="108"/>
        <v>cory1WR</v>
      </c>
      <c r="M2336">
        <f>COUNTIF(L$1:L2336,L2336)</f>
        <v>4</v>
      </c>
      <c r="N2336" t="str">
        <f t="shared" si="109"/>
        <v>cory1WR-4</v>
      </c>
      <c r="O2336">
        <f>COUNTIFS(F$1:F2336,F2336,A$1:A2336,A2336)</f>
        <v>46</v>
      </c>
      <c r="P2336" t="str">
        <f t="shared" si="110"/>
        <v>Sterling Shepard1</v>
      </c>
    </row>
    <row r="2337" spans="1:16" x14ac:dyDescent="0.25">
      <c r="A2337">
        <v>9</v>
      </c>
      <c r="B2337" t="s">
        <v>212</v>
      </c>
      <c r="C2337" t="s">
        <v>7421</v>
      </c>
      <c r="D2337">
        <v>5.61</v>
      </c>
      <c r="E2337" t="s">
        <v>32</v>
      </c>
      <c r="F2337" t="s">
        <v>47</v>
      </c>
      <c r="G2337">
        <v>9.42</v>
      </c>
      <c r="H2337">
        <v>1.8</v>
      </c>
      <c r="I2337">
        <v>3.81</v>
      </c>
      <c r="J2337">
        <v>14.5161</v>
      </c>
      <c r="K2337" t="str">
        <f>IFERROR(INDEX(Rosters!$C$2:$C$155,MATCH($B2337,Rosters!$B$2:$B$155,0)),"NA")</f>
        <v>seth</v>
      </c>
      <c r="L2337" t="str">
        <f t="shared" si="108"/>
        <v>seth9RB</v>
      </c>
      <c r="M2337">
        <f>COUNTIF(L$1:L2337,L2337)</f>
        <v>4</v>
      </c>
      <c r="N2337" t="str">
        <f t="shared" si="109"/>
        <v>seth9RB-4</v>
      </c>
      <c r="O2337">
        <f>COUNTIFS(F$1:F2337,F2337,A$1:A2337,A2337)</f>
        <v>42</v>
      </c>
      <c r="P2337" t="str">
        <f t="shared" si="110"/>
        <v>Alfred Morris9</v>
      </c>
    </row>
    <row r="2338" spans="1:16" x14ac:dyDescent="0.25">
      <c r="A2338">
        <v>5</v>
      </c>
      <c r="B2338" t="s">
        <v>280</v>
      </c>
      <c r="C2338" t="s">
        <v>7422</v>
      </c>
      <c r="D2338">
        <v>5.61</v>
      </c>
      <c r="E2338" t="s">
        <v>38</v>
      </c>
      <c r="F2338" t="s">
        <v>47</v>
      </c>
      <c r="G2338">
        <v>10.029999999999999</v>
      </c>
      <c r="H2338">
        <v>1.19</v>
      </c>
      <c r="I2338">
        <v>4.42</v>
      </c>
      <c r="J2338">
        <v>19.5364</v>
      </c>
      <c r="K2338" t="str">
        <f>IFERROR(INDEX(Rosters!$C$2:$C$155,MATCH($B2338,Rosters!$B$2:$B$155,0)),"NA")</f>
        <v>NA</v>
      </c>
      <c r="L2338" t="str">
        <f t="shared" si="108"/>
        <v>NA5RB</v>
      </c>
      <c r="M2338">
        <f>COUNTIF(L$1:L2338,L2338)</f>
        <v>9</v>
      </c>
      <c r="N2338" t="str">
        <f t="shared" si="109"/>
        <v>NA5RB-9</v>
      </c>
      <c r="O2338">
        <f>COUNTIFS(F$1:F2338,F2338,A$1:A2338,A2338)</f>
        <v>49</v>
      </c>
      <c r="P2338" t="str">
        <f t="shared" si="110"/>
        <v>Chris Ivory5</v>
      </c>
    </row>
    <row r="2339" spans="1:16" x14ac:dyDescent="0.25">
      <c r="A2339">
        <v>1</v>
      </c>
      <c r="B2339" t="s">
        <v>150</v>
      </c>
      <c r="C2339" t="s">
        <v>1383</v>
      </c>
      <c r="D2339">
        <v>5.61</v>
      </c>
      <c r="E2339" t="s">
        <v>77</v>
      </c>
      <c r="F2339" t="s">
        <v>87</v>
      </c>
      <c r="G2339">
        <v>9.98</v>
      </c>
      <c r="H2339">
        <v>1.24</v>
      </c>
      <c r="I2339">
        <v>4.37</v>
      </c>
      <c r="J2339">
        <v>19.096900000000002</v>
      </c>
      <c r="K2339" t="str">
        <f>IFERROR(INDEX(Rosters!$C$2:$C$155,MATCH($B2339,Rosters!$B$2:$B$155,0)),"NA")</f>
        <v>NA</v>
      </c>
      <c r="L2339" t="str">
        <f t="shared" si="108"/>
        <v>NA1WR</v>
      </c>
      <c r="M2339">
        <f>COUNTIF(L$1:L2339,L2339)</f>
        <v>6</v>
      </c>
      <c r="N2339" t="str">
        <f t="shared" si="109"/>
        <v>NA1WR-6</v>
      </c>
      <c r="O2339">
        <f>COUNTIFS(F$1:F2339,F2339,A$1:A2339,A2339)</f>
        <v>47</v>
      </c>
      <c r="P2339" t="str">
        <f t="shared" si="110"/>
        <v>Kelvin Benjamin1</v>
      </c>
    </row>
    <row r="2340" spans="1:16" x14ac:dyDescent="0.25">
      <c r="A2340">
        <v>4</v>
      </c>
      <c r="B2340" t="s">
        <v>280</v>
      </c>
      <c r="C2340" t="s">
        <v>4525</v>
      </c>
      <c r="D2340">
        <v>5.6</v>
      </c>
      <c r="E2340" t="s">
        <v>41</v>
      </c>
      <c r="F2340" t="s">
        <v>47</v>
      </c>
      <c r="G2340">
        <v>9.5299999999999994</v>
      </c>
      <c r="H2340">
        <v>1.67</v>
      </c>
      <c r="I2340">
        <v>3.93</v>
      </c>
      <c r="J2340">
        <v>15.444900000000001</v>
      </c>
      <c r="K2340" t="str">
        <f>IFERROR(INDEX(Rosters!$C$2:$C$155,MATCH($B2340,Rosters!$B$2:$B$155,0)),"NA")</f>
        <v>NA</v>
      </c>
      <c r="L2340" t="str">
        <f t="shared" si="108"/>
        <v>NA4RB</v>
      </c>
      <c r="M2340">
        <f>COUNTIF(L$1:L2340,L2340)</f>
        <v>9</v>
      </c>
      <c r="N2340" t="str">
        <f t="shared" si="109"/>
        <v>NA4RB-9</v>
      </c>
      <c r="O2340">
        <f>COUNTIFS(F$1:F2340,F2340,A$1:A2340,A2340)</f>
        <v>42</v>
      </c>
      <c r="P2340" t="str">
        <f t="shared" si="110"/>
        <v>Chris Ivory4</v>
      </c>
    </row>
    <row r="2341" spans="1:16" x14ac:dyDescent="0.25">
      <c r="A2341">
        <v>2</v>
      </c>
      <c r="B2341" t="s">
        <v>275</v>
      </c>
      <c r="C2341" t="s">
        <v>1384</v>
      </c>
      <c r="D2341">
        <v>5.6</v>
      </c>
      <c r="E2341" t="s">
        <v>32</v>
      </c>
      <c r="F2341" t="s">
        <v>47</v>
      </c>
      <c r="G2341">
        <v>9.31</v>
      </c>
      <c r="H2341">
        <v>1.89</v>
      </c>
      <c r="I2341">
        <v>3.71</v>
      </c>
      <c r="J2341">
        <v>13.764099999999999</v>
      </c>
      <c r="K2341" t="str">
        <f>IFERROR(INDEX(Rosters!$C$2:$C$155,MATCH($B2341,Rosters!$B$2:$B$155,0)),"NA")</f>
        <v>NA</v>
      </c>
      <c r="L2341" t="str">
        <f t="shared" si="108"/>
        <v>NA2RB</v>
      </c>
      <c r="M2341">
        <f>COUNTIF(L$1:L2341,L2341)</f>
        <v>10</v>
      </c>
      <c r="N2341" t="str">
        <f t="shared" si="109"/>
        <v>NA2RB-10</v>
      </c>
      <c r="O2341">
        <f>COUNTIFS(F$1:F2341,F2341,A$1:A2341,A2341)</f>
        <v>45</v>
      </c>
      <c r="P2341" t="str">
        <f t="shared" si="110"/>
        <v>Devontae Booker2</v>
      </c>
    </row>
    <row r="2342" spans="1:16" x14ac:dyDescent="0.25">
      <c r="A2342">
        <v>2</v>
      </c>
      <c r="B2342" t="s">
        <v>128</v>
      </c>
      <c r="C2342" t="s">
        <v>3353</v>
      </c>
      <c r="D2342">
        <v>5.6</v>
      </c>
      <c r="E2342" t="s">
        <v>73</v>
      </c>
      <c r="F2342" t="s">
        <v>47</v>
      </c>
      <c r="G2342">
        <v>10.02</v>
      </c>
      <c r="H2342">
        <v>1.18</v>
      </c>
      <c r="I2342">
        <v>4.42</v>
      </c>
      <c r="J2342">
        <v>19.5364</v>
      </c>
      <c r="K2342" t="str">
        <f>IFERROR(INDEX(Rosters!$C$2:$C$155,MATCH($B2342,Rosters!$B$2:$B$155,0)),"NA")</f>
        <v>NA</v>
      </c>
      <c r="L2342" t="str">
        <f t="shared" si="108"/>
        <v>NA2RB</v>
      </c>
      <c r="M2342">
        <f>COUNTIF(L$1:L2342,L2342)</f>
        <v>11</v>
      </c>
      <c r="N2342" t="str">
        <f t="shared" si="109"/>
        <v>NA2RB-11</v>
      </c>
      <c r="O2342">
        <f>COUNTIFS(F$1:F2342,F2342,A$1:A2342,A2342)</f>
        <v>46</v>
      </c>
      <c r="P2342" t="str">
        <f t="shared" si="110"/>
        <v>Frank Gore2</v>
      </c>
    </row>
    <row r="2343" spans="1:16" x14ac:dyDescent="0.25">
      <c r="A2343">
        <v>8</v>
      </c>
      <c r="B2343" t="s">
        <v>189</v>
      </c>
      <c r="C2343" t="s">
        <v>7423</v>
      </c>
      <c r="D2343">
        <v>5.6</v>
      </c>
      <c r="E2343" t="s">
        <v>32</v>
      </c>
      <c r="F2343" t="s">
        <v>114</v>
      </c>
      <c r="G2343">
        <v>10.34</v>
      </c>
      <c r="H2343">
        <v>0.86</v>
      </c>
      <c r="I2343">
        <v>4.74</v>
      </c>
      <c r="J2343">
        <v>22.467600000000001</v>
      </c>
      <c r="K2343" t="str">
        <f>IFERROR(INDEX(Rosters!$C$2:$C$155,MATCH($B2343,Rosters!$B$2:$B$155,0)),"NA")</f>
        <v>NA</v>
      </c>
      <c r="L2343" t="str">
        <f t="shared" si="108"/>
        <v>NA8TE</v>
      </c>
      <c r="M2343">
        <f>COUNTIF(L$1:L2343,L2343)</f>
        <v>5</v>
      </c>
      <c r="N2343" t="str">
        <f t="shared" si="109"/>
        <v>NA8TE-5</v>
      </c>
      <c r="O2343">
        <f>COUNTIFS(F$1:F2343,F2343,A$1:A2343,A2343)</f>
        <v>15</v>
      </c>
      <c r="P2343" t="str">
        <f t="shared" si="110"/>
        <v>Jack Doyle8</v>
      </c>
    </row>
    <row r="2344" spans="1:16" x14ac:dyDescent="0.25">
      <c r="A2344">
        <v>3</v>
      </c>
      <c r="B2344" t="s">
        <v>313</v>
      </c>
      <c r="C2344" t="s">
        <v>3726</v>
      </c>
      <c r="D2344">
        <v>5.6</v>
      </c>
      <c r="E2344" t="s">
        <v>58</v>
      </c>
      <c r="F2344" t="s">
        <v>114</v>
      </c>
      <c r="G2344">
        <v>10.62</v>
      </c>
      <c r="H2344">
        <v>0.57999999999999996</v>
      </c>
      <c r="I2344">
        <v>5.0199999999999996</v>
      </c>
      <c r="J2344">
        <v>25.200399999999998</v>
      </c>
      <c r="K2344" t="str">
        <f>IFERROR(INDEX(Rosters!$C$2:$C$155,MATCH($B2344,Rosters!$B$2:$B$155,0)),"NA")</f>
        <v>comp</v>
      </c>
      <c r="L2344" t="str">
        <f t="shared" si="108"/>
        <v>comp3TE</v>
      </c>
      <c r="M2344">
        <f>COUNTIF(L$1:L2344,L2344)</f>
        <v>1</v>
      </c>
      <c r="N2344" t="str">
        <f t="shared" si="109"/>
        <v>comp3TE-1</v>
      </c>
      <c r="O2344">
        <f>COUNTIFS(F$1:F2344,F2344,A$1:A2344,A2344)</f>
        <v>12</v>
      </c>
      <c r="P2344" t="str">
        <f t="shared" si="110"/>
        <v>Trey Burton3</v>
      </c>
    </row>
    <row r="2345" spans="1:16" x14ac:dyDescent="0.25">
      <c r="A2345">
        <v>3</v>
      </c>
      <c r="B2345" t="s">
        <v>210</v>
      </c>
      <c r="C2345" t="s">
        <v>3727</v>
      </c>
      <c r="D2345">
        <v>5.6</v>
      </c>
      <c r="E2345" t="s">
        <v>56</v>
      </c>
      <c r="F2345" t="s">
        <v>87</v>
      </c>
      <c r="G2345">
        <v>9.69</v>
      </c>
      <c r="H2345">
        <v>1.51</v>
      </c>
      <c r="I2345">
        <v>4.09</v>
      </c>
      <c r="J2345">
        <v>16.728100000000001</v>
      </c>
      <c r="K2345" t="str">
        <f>IFERROR(INDEX(Rosters!$C$2:$C$155,MATCH($B2345,Rosters!$B$2:$B$155,0)),"NA")</f>
        <v>NA</v>
      </c>
      <c r="L2345" t="str">
        <f t="shared" si="108"/>
        <v>NA3WR</v>
      </c>
      <c r="M2345">
        <f>COUNTIF(L$1:L2345,L2345)</f>
        <v>8</v>
      </c>
      <c r="N2345" t="str">
        <f t="shared" si="109"/>
        <v>NA3WR-8</v>
      </c>
      <c r="O2345">
        <f>COUNTIFS(F$1:F2345,F2345,A$1:A2345,A2345)</f>
        <v>51</v>
      </c>
      <c r="P2345" t="str">
        <f t="shared" si="110"/>
        <v>Tyrell Williams3</v>
      </c>
    </row>
    <row r="2346" spans="1:16" x14ac:dyDescent="0.25">
      <c r="A2346">
        <v>12</v>
      </c>
      <c r="B2346" t="s">
        <v>189</v>
      </c>
      <c r="C2346" t="s">
        <v>4527</v>
      </c>
      <c r="D2346">
        <v>5.59</v>
      </c>
      <c r="E2346" t="s">
        <v>19</v>
      </c>
      <c r="F2346" t="s">
        <v>114</v>
      </c>
      <c r="G2346">
        <v>10.51</v>
      </c>
      <c r="H2346">
        <v>0.67</v>
      </c>
      <c r="I2346">
        <v>4.92</v>
      </c>
      <c r="J2346">
        <v>24.206399999999999</v>
      </c>
      <c r="K2346" t="str">
        <f>IFERROR(INDEX(Rosters!$C$2:$C$155,MATCH($B2346,Rosters!$B$2:$B$155,0)),"NA")</f>
        <v>NA</v>
      </c>
      <c r="L2346" t="str">
        <f t="shared" si="108"/>
        <v>NA12TE</v>
      </c>
      <c r="M2346">
        <f>COUNTIF(L$1:L2346,L2346)</f>
        <v>3</v>
      </c>
      <c r="N2346" t="str">
        <f t="shared" si="109"/>
        <v>NA12TE-3</v>
      </c>
      <c r="O2346">
        <f>COUNTIFS(F$1:F2346,F2346,A$1:A2346,A2346)</f>
        <v>10</v>
      </c>
      <c r="P2346" t="str">
        <f t="shared" si="110"/>
        <v>Jack Doyle12</v>
      </c>
    </row>
    <row r="2347" spans="1:16" x14ac:dyDescent="0.25">
      <c r="A2347">
        <v>10</v>
      </c>
      <c r="B2347" t="s">
        <v>1368</v>
      </c>
      <c r="C2347" t="s">
        <v>4526</v>
      </c>
      <c r="D2347">
        <v>5.59</v>
      </c>
      <c r="E2347" t="s">
        <v>66</v>
      </c>
      <c r="F2347" t="s">
        <v>87</v>
      </c>
      <c r="G2347">
        <v>9.58</v>
      </c>
      <c r="H2347">
        <v>1.6</v>
      </c>
      <c r="I2347">
        <v>3.99</v>
      </c>
      <c r="J2347">
        <v>15.9201</v>
      </c>
      <c r="K2347" t="str">
        <f>IFERROR(INDEX(Rosters!$C$2:$C$155,MATCH($B2347,Rosters!$B$2:$B$155,0)),"NA")</f>
        <v>scott</v>
      </c>
      <c r="L2347" t="str">
        <f t="shared" si="108"/>
        <v>scott10WR</v>
      </c>
      <c r="M2347">
        <f>COUNTIF(L$1:L2347,L2347)</f>
        <v>4</v>
      </c>
      <c r="N2347" t="str">
        <f t="shared" si="109"/>
        <v>scott10WR-4</v>
      </c>
      <c r="O2347">
        <f>COUNTIFS(F$1:F2347,F2347,A$1:A2347,A2347)</f>
        <v>47</v>
      </c>
      <c r="P2347" t="str">
        <f t="shared" si="110"/>
        <v>Keelan Cole10</v>
      </c>
    </row>
    <row r="2348" spans="1:16" x14ac:dyDescent="0.25">
      <c r="A2348">
        <v>1</v>
      </c>
      <c r="B2348" t="s">
        <v>155</v>
      </c>
      <c r="C2348" t="s">
        <v>1385</v>
      </c>
      <c r="D2348">
        <v>5.59</v>
      </c>
      <c r="E2348" t="s">
        <v>73</v>
      </c>
      <c r="F2348" t="s">
        <v>47</v>
      </c>
      <c r="G2348">
        <v>9.32</v>
      </c>
      <c r="H2348">
        <v>1.86</v>
      </c>
      <c r="I2348">
        <v>3.73</v>
      </c>
      <c r="J2348">
        <v>13.9129</v>
      </c>
      <c r="K2348" t="str">
        <f>IFERROR(INDEX(Rosters!$C$2:$C$155,MATCH($B2348,Rosters!$B$2:$B$155,0)),"NA")</f>
        <v>NA</v>
      </c>
      <c r="L2348" t="str">
        <f t="shared" si="108"/>
        <v>NA1RB</v>
      </c>
      <c r="M2348">
        <f>COUNTIF(L$1:L2348,L2348)</f>
        <v>5</v>
      </c>
      <c r="N2348" t="str">
        <f t="shared" si="109"/>
        <v>NA1RB-5</v>
      </c>
      <c r="O2348">
        <f>COUNTIFS(F$1:F2348,F2348,A$1:A2348,A2348)</f>
        <v>38</v>
      </c>
      <c r="P2348" t="str">
        <f t="shared" si="110"/>
        <v>Theo Riddick1</v>
      </c>
    </row>
    <row r="2349" spans="1:16" x14ac:dyDescent="0.25">
      <c r="A2349">
        <v>4</v>
      </c>
      <c r="B2349" t="s">
        <v>281</v>
      </c>
      <c r="C2349">
        <f>-2.52-13.68</f>
        <v>-16.2</v>
      </c>
      <c r="D2349">
        <v>5.58</v>
      </c>
      <c r="E2349" t="s">
        <v>29</v>
      </c>
      <c r="F2349" t="s">
        <v>47</v>
      </c>
      <c r="G2349">
        <v>13.68</v>
      </c>
      <c r="H2349">
        <v>-2.52</v>
      </c>
      <c r="I2349">
        <v>8.1</v>
      </c>
      <c r="J2349">
        <v>65.61</v>
      </c>
      <c r="K2349" t="str">
        <f>IFERROR(INDEX(Rosters!$C$2:$C$155,MATCH($B2349,Rosters!$B$2:$B$155,0)),"NA")</f>
        <v>aj</v>
      </c>
      <c r="L2349" t="str">
        <f t="shared" si="108"/>
        <v>aj4RB</v>
      </c>
      <c r="M2349">
        <f>COUNTIF(L$1:L2349,L2349)</f>
        <v>4</v>
      </c>
      <c r="N2349" t="str">
        <f t="shared" si="109"/>
        <v>aj4RB-4</v>
      </c>
      <c r="O2349">
        <f>COUNTIFS(F$1:F2349,F2349,A$1:A2349,A2349)</f>
        <v>43</v>
      </c>
      <c r="P2349" t="str">
        <f t="shared" si="110"/>
        <v>Aaron Jones4</v>
      </c>
    </row>
    <row r="2350" spans="1:16" x14ac:dyDescent="0.25">
      <c r="A2350">
        <v>4</v>
      </c>
      <c r="B2350" t="s">
        <v>1396</v>
      </c>
      <c r="C2350" t="s">
        <v>4528</v>
      </c>
      <c r="D2350">
        <v>5.58</v>
      </c>
      <c r="E2350" t="s">
        <v>72</v>
      </c>
      <c r="F2350" t="s">
        <v>87</v>
      </c>
      <c r="G2350">
        <v>9.6300000000000008</v>
      </c>
      <c r="H2350">
        <v>1.53</v>
      </c>
      <c r="I2350">
        <v>4.05</v>
      </c>
      <c r="J2350">
        <v>16.4025</v>
      </c>
      <c r="K2350" t="str">
        <f>IFERROR(INDEX(Rosters!$C$2:$C$155,MATCH($B2350,Rosters!$B$2:$B$155,0)),"NA")</f>
        <v>NA</v>
      </c>
      <c r="L2350" t="str">
        <f t="shared" si="108"/>
        <v>NA4WR</v>
      </c>
      <c r="M2350">
        <f>COUNTIF(L$1:L2350,L2350)</f>
        <v>4</v>
      </c>
      <c r="N2350" t="str">
        <f t="shared" si="109"/>
        <v>NA4WR-4</v>
      </c>
      <c r="O2350">
        <f>COUNTIFS(F$1:F2350,F2350,A$1:A2350,A2350)</f>
        <v>49</v>
      </c>
      <c r="P2350" t="str">
        <f t="shared" si="110"/>
        <v>Chris Godwin4</v>
      </c>
    </row>
    <row r="2351" spans="1:16" x14ac:dyDescent="0.25">
      <c r="A2351">
        <v>13</v>
      </c>
      <c r="B2351" t="s">
        <v>1211</v>
      </c>
      <c r="C2351" t="s">
        <v>7424</v>
      </c>
      <c r="D2351">
        <v>5.58</v>
      </c>
      <c r="E2351" t="s">
        <v>66</v>
      </c>
      <c r="F2351" t="s">
        <v>87</v>
      </c>
      <c r="G2351">
        <v>9.9600000000000009</v>
      </c>
      <c r="H2351">
        <v>1.2</v>
      </c>
      <c r="I2351">
        <v>4.38</v>
      </c>
      <c r="J2351">
        <v>19.1844</v>
      </c>
      <c r="K2351" t="str">
        <f>IFERROR(INDEX(Rosters!$C$2:$C$155,MATCH($B2351,Rosters!$B$2:$B$155,0)),"NA")</f>
        <v>NA</v>
      </c>
      <c r="L2351" t="str">
        <f t="shared" si="108"/>
        <v>NA13WR</v>
      </c>
      <c r="M2351">
        <f>COUNTIF(L$1:L2351,L2351)</f>
        <v>9</v>
      </c>
      <c r="N2351" t="str">
        <f t="shared" si="109"/>
        <v>NA13WR-9</v>
      </c>
      <c r="O2351">
        <f>COUNTIFS(F$1:F2351,F2351,A$1:A2351,A2351)</f>
        <v>57</v>
      </c>
      <c r="P2351" t="str">
        <f t="shared" si="110"/>
        <v>Dede Westbrook13</v>
      </c>
    </row>
    <row r="2352" spans="1:16" x14ac:dyDescent="0.25">
      <c r="A2352">
        <v>16</v>
      </c>
      <c r="B2352" t="s">
        <v>290</v>
      </c>
      <c r="C2352" t="s">
        <v>7425</v>
      </c>
      <c r="D2352">
        <v>5.58</v>
      </c>
      <c r="E2352" t="s">
        <v>76</v>
      </c>
      <c r="F2352" t="s">
        <v>47</v>
      </c>
      <c r="G2352">
        <v>9.39</v>
      </c>
      <c r="H2352">
        <v>1.77</v>
      </c>
      <c r="I2352">
        <v>3.81</v>
      </c>
      <c r="J2352">
        <v>14.5161</v>
      </c>
      <c r="K2352" t="str">
        <f>IFERROR(INDEX(Rosters!$C$2:$C$155,MATCH($B2352,Rosters!$B$2:$B$155,0)),"NA")</f>
        <v>lucas</v>
      </c>
      <c r="L2352" t="str">
        <f t="shared" si="108"/>
        <v>lucas16RB</v>
      </c>
      <c r="M2352">
        <f>COUNTIF(L$1:L2352,L2352)</f>
        <v>5</v>
      </c>
      <c r="N2352" t="str">
        <f t="shared" si="109"/>
        <v>lucas16RB-5</v>
      </c>
      <c r="O2352">
        <f>COUNTIFS(F$1:F2352,F2352,A$1:A2352,A2352)</f>
        <v>53</v>
      </c>
      <c r="P2352" t="str">
        <f t="shared" si="110"/>
        <v>Kenyan Drake16</v>
      </c>
    </row>
    <row r="2353" spans="1:16" x14ac:dyDescent="0.25">
      <c r="A2353">
        <v>5</v>
      </c>
      <c r="B2353" t="s">
        <v>232</v>
      </c>
      <c r="C2353" t="s">
        <v>7426</v>
      </c>
      <c r="D2353">
        <v>5.56</v>
      </c>
      <c r="E2353" t="s">
        <v>37</v>
      </c>
      <c r="F2353" t="s">
        <v>47</v>
      </c>
      <c r="G2353">
        <v>9.7899999999999991</v>
      </c>
      <c r="H2353">
        <v>1.33</v>
      </c>
      <c r="I2353">
        <v>4.2300000000000004</v>
      </c>
      <c r="J2353">
        <v>17.892900000000001</v>
      </c>
      <c r="K2353" t="str">
        <f>IFERROR(INDEX(Rosters!$C$2:$C$155,MATCH($B2353,Rosters!$B$2:$B$155,0)),"NA")</f>
        <v>NA</v>
      </c>
      <c r="L2353" t="str">
        <f t="shared" si="108"/>
        <v>NA5RB</v>
      </c>
      <c r="M2353">
        <f>COUNTIF(L$1:L2353,L2353)</f>
        <v>10</v>
      </c>
      <c r="N2353" t="str">
        <f t="shared" si="109"/>
        <v>NA5RB-10</v>
      </c>
      <c r="O2353">
        <f>COUNTIFS(F$1:F2353,F2353,A$1:A2353,A2353)</f>
        <v>50</v>
      </c>
      <c r="P2353" t="str">
        <f t="shared" si="110"/>
        <v>Jalen Richard5</v>
      </c>
    </row>
    <row r="2354" spans="1:16" x14ac:dyDescent="0.25">
      <c r="A2354">
        <v>14</v>
      </c>
      <c r="B2354" t="s">
        <v>223</v>
      </c>
      <c r="C2354" t="s">
        <v>7427</v>
      </c>
      <c r="D2354">
        <v>5.56</v>
      </c>
      <c r="E2354" t="s">
        <v>54</v>
      </c>
      <c r="F2354" t="s">
        <v>87</v>
      </c>
      <c r="G2354">
        <v>10.09</v>
      </c>
      <c r="H2354">
        <v>1.03</v>
      </c>
      <c r="I2354">
        <v>4.53</v>
      </c>
      <c r="J2354">
        <v>20.520900000000001</v>
      </c>
      <c r="K2354" t="str">
        <f>IFERROR(INDEX(Rosters!$C$2:$C$155,MATCH($B2354,Rosters!$B$2:$B$155,0)),"NA")</f>
        <v>NA</v>
      </c>
      <c r="L2354" t="str">
        <f t="shared" si="108"/>
        <v>NA14WR</v>
      </c>
      <c r="M2354">
        <f>COUNTIF(L$1:L2354,L2354)</f>
        <v>10</v>
      </c>
      <c r="N2354" t="str">
        <f t="shared" si="109"/>
        <v>NA14WR-10</v>
      </c>
      <c r="O2354">
        <f>COUNTIFS(F$1:F2354,F2354,A$1:A2354,A2354)</f>
        <v>59</v>
      </c>
      <c r="P2354" t="str">
        <f t="shared" si="110"/>
        <v>Paul Richardson14</v>
      </c>
    </row>
    <row r="2355" spans="1:16" x14ac:dyDescent="0.25">
      <c r="A2355">
        <v>16</v>
      </c>
      <c r="B2355" t="s">
        <v>168</v>
      </c>
      <c r="C2355" t="s">
        <v>7428</v>
      </c>
      <c r="D2355">
        <v>5.56</v>
      </c>
      <c r="E2355" t="s">
        <v>51</v>
      </c>
      <c r="F2355" t="s">
        <v>87</v>
      </c>
      <c r="G2355">
        <v>9.35</v>
      </c>
      <c r="H2355">
        <v>1.77</v>
      </c>
      <c r="I2355">
        <v>3.79</v>
      </c>
      <c r="J2355">
        <v>14.364100000000001</v>
      </c>
      <c r="K2355" t="str">
        <f>IFERROR(INDEX(Rosters!$C$2:$C$155,MATCH($B2355,Rosters!$B$2:$B$155,0)),"NA")</f>
        <v>NA</v>
      </c>
      <c r="L2355" t="str">
        <f t="shared" si="108"/>
        <v>NA16WR</v>
      </c>
      <c r="M2355">
        <f>COUNTIF(L$1:L2355,L2355)</f>
        <v>8</v>
      </c>
      <c r="N2355" t="str">
        <f t="shared" si="109"/>
        <v>NA16WR-8</v>
      </c>
      <c r="O2355">
        <f>COUNTIFS(F$1:F2355,F2355,A$1:A2355,A2355)</f>
        <v>57</v>
      </c>
      <c r="P2355" t="str">
        <f t="shared" si="110"/>
        <v>Ted Ginn Jr.16</v>
      </c>
    </row>
    <row r="2356" spans="1:16" x14ac:dyDescent="0.25">
      <c r="A2356">
        <v>1</v>
      </c>
      <c r="B2356" t="s">
        <v>139</v>
      </c>
      <c r="C2356" t="s">
        <v>1386</v>
      </c>
      <c r="D2356">
        <v>5.55</v>
      </c>
      <c r="E2356" t="s">
        <v>34</v>
      </c>
      <c r="F2356" t="s">
        <v>47</v>
      </c>
      <c r="G2356">
        <v>10.14</v>
      </c>
      <c r="H2356">
        <v>0.96</v>
      </c>
      <c r="I2356">
        <v>4.59</v>
      </c>
      <c r="J2356">
        <v>21.068100000000001</v>
      </c>
      <c r="K2356" t="str">
        <f>IFERROR(INDEX(Rosters!$C$2:$C$155,MATCH($B2356,Rosters!$B$2:$B$155,0)),"NA")</f>
        <v>cory</v>
      </c>
      <c r="L2356" t="str">
        <f t="shared" si="108"/>
        <v>cory1RB</v>
      </c>
      <c r="M2356">
        <f>COUNTIF(L$1:L2356,L2356)</f>
        <v>3</v>
      </c>
      <c r="N2356" t="str">
        <f t="shared" si="109"/>
        <v>cory1RB-3</v>
      </c>
      <c r="O2356">
        <f>COUNTIFS(F$1:F2356,F2356,A$1:A2356,A2356)</f>
        <v>39</v>
      </c>
      <c r="P2356" t="str">
        <f t="shared" si="110"/>
        <v>Bilal Powell1</v>
      </c>
    </row>
    <row r="2357" spans="1:16" x14ac:dyDescent="0.25">
      <c r="A2357">
        <v>9</v>
      </c>
      <c r="B2357" t="s">
        <v>170</v>
      </c>
      <c r="C2357" t="s">
        <v>7429</v>
      </c>
      <c r="D2357">
        <v>5.55</v>
      </c>
      <c r="E2357" t="s">
        <v>25</v>
      </c>
      <c r="F2357" t="s">
        <v>47</v>
      </c>
      <c r="G2357">
        <v>10.119999999999999</v>
      </c>
      <c r="H2357">
        <v>0.98</v>
      </c>
      <c r="I2357">
        <v>4.57</v>
      </c>
      <c r="J2357">
        <v>20.884899999999998</v>
      </c>
      <c r="K2357" t="str">
        <f>IFERROR(INDEX(Rosters!$C$2:$C$155,MATCH($B2357,Rosters!$B$2:$B$155,0)),"NA")</f>
        <v>NA</v>
      </c>
      <c r="L2357" t="str">
        <f t="shared" si="108"/>
        <v>NA9RB</v>
      </c>
      <c r="M2357">
        <f>COUNTIF(L$1:L2357,L2357)</f>
        <v>6</v>
      </c>
      <c r="N2357" t="str">
        <f t="shared" si="109"/>
        <v>NA9RB-6</v>
      </c>
      <c r="O2357">
        <f>COUNTIFS(F$1:F2357,F2357,A$1:A2357,A2357)</f>
        <v>43</v>
      </c>
      <c r="P2357" t="str">
        <f t="shared" si="110"/>
        <v>LeGarrette Blount9</v>
      </c>
    </row>
    <row r="2358" spans="1:16" x14ac:dyDescent="0.25">
      <c r="A2358">
        <v>13</v>
      </c>
      <c r="B2358" t="s">
        <v>223</v>
      </c>
      <c r="C2358" t="s">
        <v>7430</v>
      </c>
      <c r="D2358">
        <v>5.55</v>
      </c>
      <c r="E2358" t="s">
        <v>50</v>
      </c>
      <c r="F2358" t="s">
        <v>87</v>
      </c>
      <c r="G2358">
        <v>9.17</v>
      </c>
      <c r="H2358">
        <v>1.93</v>
      </c>
      <c r="I2358">
        <v>3.62</v>
      </c>
      <c r="J2358">
        <v>13.1044</v>
      </c>
      <c r="K2358" t="str">
        <f>IFERROR(INDEX(Rosters!$C$2:$C$155,MATCH($B2358,Rosters!$B$2:$B$155,0)),"NA")</f>
        <v>NA</v>
      </c>
      <c r="L2358" t="str">
        <f t="shared" si="108"/>
        <v>NA13WR</v>
      </c>
      <c r="M2358">
        <f>COUNTIF(L$1:L2358,L2358)</f>
        <v>10</v>
      </c>
      <c r="N2358" t="str">
        <f t="shared" si="109"/>
        <v>NA13WR-10</v>
      </c>
      <c r="O2358">
        <f>COUNTIFS(F$1:F2358,F2358,A$1:A2358,A2358)</f>
        <v>58</v>
      </c>
      <c r="P2358" t="str">
        <f t="shared" si="110"/>
        <v>Paul Richardson13</v>
      </c>
    </row>
    <row r="2359" spans="1:16" x14ac:dyDescent="0.25">
      <c r="A2359">
        <v>15</v>
      </c>
      <c r="B2359" t="s">
        <v>281</v>
      </c>
      <c r="C2359" t="s">
        <v>7431</v>
      </c>
      <c r="D2359">
        <v>5.54</v>
      </c>
      <c r="E2359" t="s">
        <v>72</v>
      </c>
      <c r="F2359" t="s">
        <v>47</v>
      </c>
      <c r="G2359">
        <v>10.69</v>
      </c>
      <c r="H2359">
        <v>0.39</v>
      </c>
      <c r="I2359">
        <v>5.15</v>
      </c>
      <c r="J2359">
        <v>26.522500000000001</v>
      </c>
      <c r="K2359" t="str">
        <f>IFERROR(INDEX(Rosters!$C$2:$C$155,MATCH($B2359,Rosters!$B$2:$B$155,0)),"NA")</f>
        <v>aj</v>
      </c>
      <c r="L2359" t="str">
        <f t="shared" si="108"/>
        <v>aj15RB</v>
      </c>
      <c r="M2359">
        <f>COUNTIF(L$1:L2359,L2359)</f>
        <v>5</v>
      </c>
      <c r="N2359" t="str">
        <f t="shared" si="109"/>
        <v>aj15RB-5</v>
      </c>
      <c r="O2359">
        <f>COUNTIFS(F$1:F2359,F2359,A$1:A2359,A2359)</f>
        <v>53</v>
      </c>
      <c r="P2359" t="str">
        <f t="shared" si="110"/>
        <v>Aaron Jones15</v>
      </c>
    </row>
    <row r="2360" spans="1:16" x14ac:dyDescent="0.25">
      <c r="A2360">
        <v>8</v>
      </c>
      <c r="B2360" t="s">
        <v>294</v>
      </c>
      <c r="C2360" t="s">
        <v>7432</v>
      </c>
      <c r="D2360">
        <v>5.54</v>
      </c>
      <c r="E2360" t="s">
        <v>19</v>
      </c>
      <c r="F2360" t="s">
        <v>47</v>
      </c>
      <c r="G2360">
        <v>10.36</v>
      </c>
      <c r="H2360">
        <v>0.72</v>
      </c>
      <c r="I2360">
        <v>4.82</v>
      </c>
      <c r="J2360">
        <v>23.232399999999998</v>
      </c>
      <c r="K2360" t="str">
        <f>IFERROR(INDEX(Rosters!$C$2:$C$155,MATCH($B2360,Rosters!$B$2:$B$155,0)),"NA")</f>
        <v>perry</v>
      </c>
      <c r="L2360" t="str">
        <f t="shared" si="108"/>
        <v>perry8RB</v>
      </c>
      <c r="M2360">
        <f>COUNTIF(L$1:L2360,L2360)</f>
        <v>3</v>
      </c>
      <c r="N2360" t="str">
        <f t="shared" si="109"/>
        <v>perry8RB-3</v>
      </c>
      <c r="O2360">
        <f>COUNTIFS(F$1:F2360,F2360,A$1:A2360,A2360)</f>
        <v>48</v>
      </c>
      <c r="P2360" t="str">
        <f t="shared" si="110"/>
        <v>Alfred Blue8</v>
      </c>
    </row>
    <row r="2361" spans="1:16" x14ac:dyDescent="0.25">
      <c r="A2361">
        <v>8</v>
      </c>
      <c r="B2361" t="s">
        <v>227</v>
      </c>
      <c r="C2361" t="s">
        <v>7433</v>
      </c>
      <c r="D2361">
        <v>5.53</v>
      </c>
      <c r="E2361" t="s">
        <v>36</v>
      </c>
      <c r="F2361" t="s">
        <v>87</v>
      </c>
      <c r="G2361">
        <v>9.23</v>
      </c>
      <c r="H2361">
        <v>1.83</v>
      </c>
      <c r="I2361">
        <v>3.7</v>
      </c>
      <c r="J2361">
        <v>13.69</v>
      </c>
      <c r="K2361" t="str">
        <f>IFERROR(INDEX(Rosters!$C$2:$C$155,MATCH($B2361,Rosters!$B$2:$B$155,0)),"NA")</f>
        <v>NA</v>
      </c>
      <c r="L2361" t="str">
        <f t="shared" si="108"/>
        <v>NA8WR</v>
      </c>
      <c r="M2361">
        <f>COUNTIF(L$1:L2361,L2361)</f>
        <v>11</v>
      </c>
      <c r="N2361" t="str">
        <f t="shared" si="109"/>
        <v>NA8WR-11</v>
      </c>
      <c r="O2361">
        <f>COUNTIFS(F$1:F2361,F2361,A$1:A2361,A2361)</f>
        <v>55</v>
      </c>
      <c r="P2361" t="str">
        <f t="shared" si="110"/>
        <v>Danny Amendola8</v>
      </c>
    </row>
    <row r="2362" spans="1:16" x14ac:dyDescent="0.25">
      <c r="A2362">
        <v>13</v>
      </c>
      <c r="B2362" t="s">
        <v>175</v>
      </c>
      <c r="C2362" t="s">
        <v>7434</v>
      </c>
      <c r="D2362">
        <v>5.53</v>
      </c>
      <c r="E2362" t="s">
        <v>29</v>
      </c>
      <c r="F2362" t="s">
        <v>87</v>
      </c>
      <c r="G2362">
        <v>10.36</v>
      </c>
      <c r="H2362">
        <v>0.7</v>
      </c>
      <c r="I2362">
        <v>4.83</v>
      </c>
      <c r="J2362">
        <v>23.328900000000001</v>
      </c>
      <c r="K2362" t="str">
        <f>IFERROR(INDEX(Rosters!$C$2:$C$155,MATCH($B2362,Rosters!$B$2:$B$155,0)),"NA")</f>
        <v>NA</v>
      </c>
      <c r="L2362" t="str">
        <f t="shared" si="108"/>
        <v>NA13WR</v>
      </c>
      <c r="M2362">
        <f>COUNTIF(L$1:L2362,L2362)</f>
        <v>11</v>
      </c>
      <c r="N2362" t="str">
        <f t="shared" si="109"/>
        <v>NA13WR-11</v>
      </c>
      <c r="O2362">
        <f>COUNTIFS(F$1:F2362,F2362,A$1:A2362,A2362)</f>
        <v>59</v>
      </c>
      <c r="P2362" t="str">
        <f t="shared" si="110"/>
        <v>DeVante Parker13</v>
      </c>
    </row>
    <row r="2363" spans="1:16" x14ac:dyDescent="0.25">
      <c r="A2363">
        <v>14</v>
      </c>
      <c r="B2363" t="s">
        <v>181</v>
      </c>
      <c r="C2363" t="s">
        <v>7435</v>
      </c>
      <c r="D2363">
        <v>5.53</v>
      </c>
      <c r="E2363" t="s">
        <v>28</v>
      </c>
      <c r="F2363" t="s">
        <v>114</v>
      </c>
      <c r="G2363">
        <v>8.59</v>
      </c>
      <c r="H2363">
        <v>2.4700000000000002</v>
      </c>
      <c r="I2363">
        <v>3.06</v>
      </c>
      <c r="J2363">
        <v>9.3635999999999999</v>
      </c>
      <c r="K2363" t="str">
        <f>IFERROR(INDEX(Rosters!$C$2:$C$155,MATCH($B2363,Rosters!$B$2:$B$155,0)),"NA")</f>
        <v>cory</v>
      </c>
      <c r="L2363" t="str">
        <f t="shared" si="108"/>
        <v>cory14TE</v>
      </c>
      <c r="M2363">
        <f>COUNTIF(L$1:L2363,L2363)</f>
        <v>1</v>
      </c>
      <c r="N2363" t="str">
        <f t="shared" si="109"/>
        <v>cory14TE-1</v>
      </c>
      <c r="O2363">
        <f>COUNTIFS(F$1:F2363,F2363,A$1:A2363,A2363)</f>
        <v>12</v>
      </c>
      <c r="P2363" t="str">
        <f t="shared" si="110"/>
        <v>Kyle Rudolph14</v>
      </c>
    </row>
    <row r="2364" spans="1:16" x14ac:dyDescent="0.25">
      <c r="A2364">
        <v>4</v>
      </c>
      <c r="B2364" t="s">
        <v>187</v>
      </c>
      <c r="C2364" t="s">
        <v>4529</v>
      </c>
      <c r="D2364">
        <v>5.53</v>
      </c>
      <c r="E2364" t="s">
        <v>56</v>
      </c>
      <c r="F2364" t="s">
        <v>47</v>
      </c>
      <c r="G2364">
        <v>10.02</v>
      </c>
      <c r="H2364">
        <v>1.04</v>
      </c>
      <c r="I2364">
        <v>4.49</v>
      </c>
      <c r="J2364">
        <v>20.1601</v>
      </c>
      <c r="K2364" t="str">
        <f>IFERROR(INDEX(Rosters!$C$2:$C$155,MATCH($B2364,Rosters!$B$2:$B$155,0)),"NA")</f>
        <v>seth</v>
      </c>
      <c r="L2364" t="str">
        <f t="shared" si="108"/>
        <v>seth4RB</v>
      </c>
      <c r="M2364">
        <f>COUNTIF(L$1:L2364,L2364)</f>
        <v>5</v>
      </c>
      <c r="N2364" t="str">
        <f t="shared" si="109"/>
        <v>seth4RB-5</v>
      </c>
      <c r="O2364">
        <f>COUNTIFS(F$1:F2364,F2364,A$1:A2364,A2364)</f>
        <v>44</v>
      </c>
      <c r="P2364" t="str">
        <f t="shared" si="110"/>
        <v>Latavius Murray4</v>
      </c>
    </row>
    <row r="2365" spans="1:16" x14ac:dyDescent="0.25">
      <c r="A2365">
        <v>16</v>
      </c>
      <c r="B2365" t="s">
        <v>155</v>
      </c>
      <c r="C2365" t="s">
        <v>7436</v>
      </c>
      <c r="D2365">
        <v>5.53</v>
      </c>
      <c r="E2365" t="s">
        <v>25</v>
      </c>
      <c r="F2365" t="s">
        <v>47</v>
      </c>
      <c r="G2365">
        <v>9.9499999999999993</v>
      </c>
      <c r="H2365">
        <v>1.1100000000000001</v>
      </c>
      <c r="I2365">
        <v>4.42</v>
      </c>
      <c r="J2365">
        <v>19.5364</v>
      </c>
      <c r="K2365" t="str">
        <f>IFERROR(INDEX(Rosters!$C$2:$C$155,MATCH($B2365,Rosters!$B$2:$B$155,0)),"NA")</f>
        <v>NA</v>
      </c>
      <c r="L2365" t="str">
        <f t="shared" si="108"/>
        <v>NA16RB</v>
      </c>
      <c r="M2365">
        <f>COUNTIF(L$1:L2365,L2365)</f>
        <v>9</v>
      </c>
      <c r="N2365" t="str">
        <f t="shared" si="109"/>
        <v>NA16RB-9</v>
      </c>
      <c r="O2365">
        <f>COUNTIFS(F$1:F2365,F2365,A$1:A2365,A2365)</f>
        <v>54</v>
      </c>
      <c r="P2365" t="str">
        <f t="shared" si="110"/>
        <v>Theo Riddick16</v>
      </c>
    </row>
    <row r="2366" spans="1:16" x14ac:dyDescent="0.25">
      <c r="A2366">
        <v>9</v>
      </c>
      <c r="B2366" t="s">
        <v>223</v>
      </c>
      <c r="C2366" t="s">
        <v>7437</v>
      </c>
      <c r="D2366">
        <v>5.52</v>
      </c>
      <c r="E2366" t="s">
        <v>46</v>
      </c>
      <c r="F2366" t="s">
        <v>87</v>
      </c>
      <c r="G2366">
        <v>10.45</v>
      </c>
      <c r="H2366">
        <v>0.59</v>
      </c>
      <c r="I2366">
        <v>4.93</v>
      </c>
      <c r="J2366">
        <v>24.3049</v>
      </c>
      <c r="K2366" t="str">
        <f>IFERROR(INDEX(Rosters!$C$2:$C$155,MATCH($B2366,Rosters!$B$2:$B$155,0)),"NA")</f>
        <v>NA</v>
      </c>
      <c r="L2366" t="str">
        <f t="shared" si="108"/>
        <v>NA9WR</v>
      </c>
      <c r="M2366">
        <f>COUNTIF(L$1:L2366,L2366)</f>
        <v>6</v>
      </c>
      <c r="N2366" t="str">
        <f t="shared" si="109"/>
        <v>NA9WR-6</v>
      </c>
      <c r="O2366">
        <f>COUNTIFS(F$1:F2366,F2366,A$1:A2366,A2366)</f>
        <v>45</v>
      </c>
      <c r="P2366" t="str">
        <f t="shared" si="110"/>
        <v>Paul Richardson9</v>
      </c>
    </row>
    <row r="2367" spans="1:16" x14ac:dyDescent="0.25">
      <c r="A2367">
        <v>6</v>
      </c>
      <c r="B2367" t="s">
        <v>313</v>
      </c>
      <c r="C2367" t="s">
        <v>7438</v>
      </c>
      <c r="D2367">
        <v>5.52</v>
      </c>
      <c r="E2367" t="s">
        <v>19</v>
      </c>
      <c r="F2367" t="s">
        <v>114</v>
      </c>
      <c r="G2367">
        <v>9.6</v>
      </c>
      <c r="H2367">
        <v>1.44</v>
      </c>
      <c r="I2367">
        <v>4.08</v>
      </c>
      <c r="J2367">
        <v>16.6464</v>
      </c>
      <c r="K2367" t="str">
        <f>IFERROR(INDEX(Rosters!$C$2:$C$155,MATCH($B2367,Rosters!$B$2:$B$155,0)),"NA")</f>
        <v>comp</v>
      </c>
      <c r="L2367" t="str">
        <f t="shared" si="108"/>
        <v>comp6TE</v>
      </c>
      <c r="M2367">
        <f>COUNTIF(L$1:L2367,L2367)</f>
        <v>2</v>
      </c>
      <c r="N2367" t="str">
        <f t="shared" si="109"/>
        <v>comp6TE-2</v>
      </c>
      <c r="O2367">
        <f>COUNTIFS(F$1:F2367,F2367,A$1:A2367,A2367)</f>
        <v>13</v>
      </c>
      <c r="P2367" t="str">
        <f t="shared" si="110"/>
        <v>Trey Burton6</v>
      </c>
    </row>
    <row r="2368" spans="1:16" x14ac:dyDescent="0.25">
      <c r="A2368">
        <v>15</v>
      </c>
      <c r="B2368" t="s">
        <v>212</v>
      </c>
      <c r="C2368" t="s">
        <v>7439</v>
      </c>
      <c r="D2368">
        <v>5.51</v>
      </c>
      <c r="E2368" t="s">
        <v>28</v>
      </c>
      <c r="F2368" t="s">
        <v>47</v>
      </c>
      <c r="G2368">
        <v>9.94</v>
      </c>
      <c r="H2368">
        <v>1.08</v>
      </c>
      <c r="I2368">
        <v>4.43</v>
      </c>
      <c r="J2368">
        <v>19.6249</v>
      </c>
      <c r="K2368" t="str">
        <f>IFERROR(INDEX(Rosters!$C$2:$C$155,MATCH($B2368,Rosters!$B$2:$B$155,0)),"NA")</f>
        <v>seth</v>
      </c>
      <c r="L2368" t="str">
        <f t="shared" si="108"/>
        <v>seth15RB</v>
      </c>
      <c r="M2368">
        <f>COUNTIF(L$1:L2368,L2368)</f>
        <v>6</v>
      </c>
      <c r="N2368" t="str">
        <f t="shared" si="109"/>
        <v>seth15RB-6</v>
      </c>
      <c r="O2368">
        <f>COUNTIFS(F$1:F2368,F2368,A$1:A2368,A2368)</f>
        <v>54</v>
      </c>
      <c r="P2368" t="str">
        <f t="shared" si="110"/>
        <v>Alfred Morris15</v>
      </c>
    </row>
    <row r="2369" spans="1:16" x14ac:dyDescent="0.25">
      <c r="A2369">
        <v>12</v>
      </c>
      <c r="B2369" t="s">
        <v>147</v>
      </c>
      <c r="C2369" t="s">
        <v>7440</v>
      </c>
      <c r="D2369">
        <v>5.51</v>
      </c>
      <c r="E2369" t="s">
        <v>29</v>
      </c>
      <c r="F2369" t="s">
        <v>87</v>
      </c>
      <c r="G2369">
        <v>9.91</v>
      </c>
      <c r="H2369">
        <v>1.1100000000000001</v>
      </c>
      <c r="I2369">
        <v>4.4000000000000004</v>
      </c>
      <c r="J2369">
        <v>19.36</v>
      </c>
      <c r="K2369" t="str">
        <f>IFERROR(INDEX(Rosters!$C$2:$C$155,MATCH($B2369,Rosters!$B$2:$B$155,0)),"NA")</f>
        <v>NA</v>
      </c>
      <c r="L2369" t="str">
        <f t="shared" si="108"/>
        <v>NA12WR</v>
      </c>
      <c r="M2369">
        <f>COUNTIF(L$1:L2369,L2369)</f>
        <v>8</v>
      </c>
      <c r="N2369" t="str">
        <f t="shared" si="109"/>
        <v>NA12WR-8</v>
      </c>
      <c r="O2369">
        <f>COUNTIFS(F$1:F2369,F2369,A$1:A2369,A2369)</f>
        <v>53</v>
      </c>
      <c r="P2369" t="str">
        <f t="shared" si="110"/>
        <v>Donte Moncrief12</v>
      </c>
    </row>
    <row r="2370" spans="1:16" x14ac:dyDescent="0.25">
      <c r="A2370">
        <v>8</v>
      </c>
      <c r="B2370" t="s">
        <v>1368</v>
      </c>
      <c r="C2370" t="s">
        <v>7441</v>
      </c>
      <c r="D2370">
        <v>5.51</v>
      </c>
      <c r="E2370" t="s">
        <v>50</v>
      </c>
      <c r="F2370" t="s">
        <v>87</v>
      </c>
      <c r="G2370">
        <v>9.68</v>
      </c>
      <c r="H2370">
        <v>1.34</v>
      </c>
      <c r="I2370">
        <v>4.17</v>
      </c>
      <c r="J2370">
        <v>17.3889</v>
      </c>
      <c r="K2370" t="str">
        <f>IFERROR(INDEX(Rosters!$C$2:$C$155,MATCH($B2370,Rosters!$B$2:$B$155,0)),"NA")</f>
        <v>scott</v>
      </c>
      <c r="L2370" t="str">
        <f t="shared" si="108"/>
        <v>scott8WR</v>
      </c>
      <c r="M2370">
        <f>COUNTIF(L$1:L2370,L2370)</f>
        <v>6</v>
      </c>
      <c r="N2370" t="str">
        <f t="shared" si="109"/>
        <v>scott8WR-6</v>
      </c>
      <c r="O2370">
        <f>COUNTIFS(F$1:F2370,F2370,A$1:A2370,A2370)</f>
        <v>56</v>
      </c>
      <c r="P2370" t="str">
        <f t="shared" si="110"/>
        <v>Keelan Cole8</v>
      </c>
    </row>
    <row r="2371" spans="1:16" x14ac:dyDescent="0.25">
      <c r="A2371">
        <v>8</v>
      </c>
      <c r="B2371" t="s">
        <v>150</v>
      </c>
      <c r="C2371" t="s">
        <v>7442</v>
      </c>
      <c r="D2371">
        <v>5.51</v>
      </c>
      <c r="E2371" t="s">
        <v>423</v>
      </c>
      <c r="F2371" t="s">
        <v>87</v>
      </c>
      <c r="G2371">
        <v>9.99</v>
      </c>
      <c r="H2371">
        <v>1.03</v>
      </c>
      <c r="I2371">
        <v>4.4800000000000004</v>
      </c>
      <c r="J2371">
        <v>20.070399999999999</v>
      </c>
      <c r="K2371" t="str">
        <f>IFERROR(INDEX(Rosters!$C$2:$C$155,MATCH($B2371,Rosters!$B$2:$B$155,0)),"NA")</f>
        <v>NA</v>
      </c>
      <c r="L2371" t="str">
        <f t="shared" ref="L2371:L2434" si="111">K2371&amp;A2371&amp;F2371</f>
        <v>NA8WR</v>
      </c>
      <c r="M2371">
        <f>COUNTIF(L$1:L2371,L2371)</f>
        <v>12</v>
      </c>
      <c r="N2371" t="str">
        <f t="shared" ref="N2371:N2434" si="112">L2371&amp;"-"&amp;M2371</f>
        <v>NA8WR-12</v>
      </c>
      <c r="O2371">
        <f>COUNTIFS(F$1:F2371,F2371,A$1:A2371,A2371)</f>
        <v>57</v>
      </c>
      <c r="P2371" t="str">
        <f t="shared" ref="P2371:P2434" si="113">B2371&amp;A2371</f>
        <v>Kelvin Benjamin8</v>
      </c>
    </row>
    <row r="2372" spans="1:16" x14ac:dyDescent="0.25">
      <c r="A2372">
        <v>2</v>
      </c>
      <c r="B2372" t="s">
        <v>194</v>
      </c>
      <c r="C2372" t="s">
        <v>1705</v>
      </c>
      <c r="D2372">
        <v>5.51</v>
      </c>
      <c r="E2372" t="s">
        <v>74</v>
      </c>
      <c r="F2372" t="s">
        <v>87</v>
      </c>
      <c r="G2372">
        <v>9.64</v>
      </c>
      <c r="H2372">
        <v>1.38</v>
      </c>
      <c r="I2372">
        <v>4.13</v>
      </c>
      <c r="J2372">
        <v>17.056899999999999</v>
      </c>
      <c r="K2372" t="str">
        <f>IFERROR(INDEX(Rosters!$C$2:$C$155,MATCH($B2372,Rosters!$B$2:$B$155,0)),"NA")</f>
        <v>NA</v>
      </c>
      <c r="L2372" t="str">
        <f t="shared" si="111"/>
        <v>NA2WR</v>
      </c>
      <c r="M2372">
        <f>COUNTIF(L$1:L2372,L2372)</f>
        <v>9</v>
      </c>
      <c r="N2372" t="str">
        <f t="shared" si="112"/>
        <v>NA2WR-9</v>
      </c>
      <c r="O2372">
        <f>COUNTIFS(F$1:F2372,F2372,A$1:A2372,A2372)</f>
        <v>49</v>
      </c>
      <c r="P2372" t="str">
        <f t="shared" si="113"/>
        <v>Mohamed Sanu2</v>
      </c>
    </row>
    <row r="2373" spans="1:16" x14ac:dyDescent="0.25">
      <c r="A2373">
        <v>11</v>
      </c>
      <c r="B2373" t="s">
        <v>168</v>
      </c>
      <c r="C2373" t="s">
        <v>7443</v>
      </c>
      <c r="D2373">
        <v>5.51</v>
      </c>
      <c r="E2373" t="s">
        <v>50</v>
      </c>
      <c r="F2373" t="s">
        <v>87</v>
      </c>
      <c r="G2373">
        <v>9.27</v>
      </c>
      <c r="H2373">
        <v>1.75</v>
      </c>
      <c r="I2373">
        <v>3.76</v>
      </c>
      <c r="J2373">
        <v>14.137600000000001</v>
      </c>
      <c r="K2373" t="str">
        <f>IFERROR(INDEX(Rosters!$C$2:$C$155,MATCH($B2373,Rosters!$B$2:$B$155,0)),"NA")</f>
        <v>NA</v>
      </c>
      <c r="L2373" t="str">
        <f t="shared" si="111"/>
        <v>NA11WR</v>
      </c>
      <c r="M2373">
        <f>COUNTIF(L$1:L2373,L2373)</f>
        <v>6</v>
      </c>
      <c r="N2373" t="str">
        <f t="shared" si="112"/>
        <v>NA11WR-6</v>
      </c>
      <c r="O2373">
        <f>COUNTIFS(F$1:F2373,F2373,A$1:A2373,A2373)</f>
        <v>50</v>
      </c>
      <c r="P2373" t="str">
        <f t="shared" si="113"/>
        <v>Ted Ginn Jr.11</v>
      </c>
    </row>
    <row r="2374" spans="1:16" x14ac:dyDescent="0.25">
      <c r="A2374">
        <v>17</v>
      </c>
      <c r="B2374" t="s">
        <v>168</v>
      </c>
      <c r="C2374" t="s">
        <v>7444</v>
      </c>
      <c r="D2374">
        <v>5.51</v>
      </c>
      <c r="E2374" t="s">
        <v>74</v>
      </c>
      <c r="F2374" t="s">
        <v>87</v>
      </c>
      <c r="G2374">
        <v>9.31</v>
      </c>
      <c r="H2374">
        <v>1.71</v>
      </c>
      <c r="I2374">
        <v>3.8</v>
      </c>
      <c r="J2374">
        <v>14.44</v>
      </c>
      <c r="K2374" t="str">
        <f>IFERROR(INDEX(Rosters!$C$2:$C$155,MATCH($B2374,Rosters!$B$2:$B$155,0)),"NA")</f>
        <v>NA</v>
      </c>
      <c r="L2374" t="str">
        <f t="shared" si="111"/>
        <v>NA17WR</v>
      </c>
      <c r="M2374">
        <f>COUNTIF(L$1:L2374,L2374)</f>
        <v>8</v>
      </c>
      <c r="N2374" t="str">
        <f t="shared" si="112"/>
        <v>NA17WR-8</v>
      </c>
      <c r="O2374">
        <f>COUNTIFS(F$1:F2374,F2374,A$1:A2374,A2374)</f>
        <v>58</v>
      </c>
      <c r="P2374" t="str">
        <f t="shared" si="113"/>
        <v>Ted Ginn Jr.17</v>
      </c>
    </row>
    <row r="2375" spans="1:16" x14ac:dyDescent="0.25">
      <c r="A2375">
        <v>6</v>
      </c>
      <c r="B2375" t="s">
        <v>260</v>
      </c>
      <c r="C2375" t="s">
        <v>7445</v>
      </c>
      <c r="D2375">
        <v>5.5</v>
      </c>
      <c r="E2375" t="s">
        <v>29</v>
      </c>
      <c r="F2375" t="s">
        <v>47</v>
      </c>
      <c r="G2375">
        <v>9.4600000000000009</v>
      </c>
      <c r="H2375">
        <v>1.54</v>
      </c>
      <c r="I2375">
        <v>3.96</v>
      </c>
      <c r="J2375">
        <v>15.6816</v>
      </c>
      <c r="K2375" t="str">
        <f>IFERROR(INDEX(Rosters!$C$2:$C$155,MATCH($B2375,Rosters!$B$2:$B$155,0)),"NA")</f>
        <v>NA</v>
      </c>
      <c r="L2375" t="str">
        <f t="shared" si="111"/>
        <v>NA6RB</v>
      </c>
      <c r="M2375">
        <f>COUNTIF(L$1:L2375,L2375)</f>
        <v>7</v>
      </c>
      <c r="N2375" t="str">
        <f t="shared" si="112"/>
        <v>NA6RB-7</v>
      </c>
      <c r="O2375">
        <f>COUNTIFS(F$1:F2375,F2375,A$1:A2375,A2375)</f>
        <v>46</v>
      </c>
      <c r="P2375" t="str">
        <f t="shared" si="113"/>
        <v>D'Onta Foreman6</v>
      </c>
    </row>
    <row r="2376" spans="1:16" x14ac:dyDescent="0.25">
      <c r="A2376">
        <v>14</v>
      </c>
      <c r="B2376" t="s">
        <v>187</v>
      </c>
      <c r="C2376" t="s">
        <v>7446</v>
      </c>
      <c r="D2376">
        <v>5.5</v>
      </c>
      <c r="E2376" t="s">
        <v>28</v>
      </c>
      <c r="F2376" t="s">
        <v>47</v>
      </c>
      <c r="G2376">
        <v>9.35</v>
      </c>
      <c r="H2376">
        <v>1.65</v>
      </c>
      <c r="I2376">
        <v>3.85</v>
      </c>
      <c r="J2376">
        <v>14.8225</v>
      </c>
      <c r="K2376" t="str">
        <f>IFERROR(INDEX(Rosters!$C$2:$C$155,MATCH($B2376,Rosters!$B$2:$B$155,0)),"NA")</f>
        <v>seth</v>
      </c>
      <c r="L2376" t="str">
        <f t="shared" si="111"/>
        <v>seth14RB</v>
      </c>
      <c r="M2376">
        <f>COUNTIF(L$1:L2376,L2376)</f>
        <v>5</v>
      </c>
      <c r="N2376" t="str">
        <f t="shared" si="112"/>
        <v>seth14RB-5</v>
      </c>
      <c r="O2376">
        <f>COUNTIFS(F$1:F2376,F2376,A$1:A2376,A2376)</f>
        <v>53</v>
      </c>
      <c r="P2376" t="str">
        <f t="shared" si="113"/>
        <v>Latavius Murray14</v>
      </c>
    </row>
    <row r="2377" spans="1:16" x14ac:dyDescent="0.25">
      <c r="A2377">
        <v>17</v>
      </c>
      <c r="B2377" t="s">
        <v>224</v>
      </c>
      <c r="C2377" t="s">
        <v>7447</v>
      </c>
      <c r="D2377">
        <v>5.5</v>
      </c>
      <c r="E2377" t="s">
        <v>38</v>
      </c>
      <c r="F2377" t="s">
        <v>47</v>
      </c>
      <c r="G2377">
        <v>10.09</v>
      </c>
      <c r="H2377">
        <v>0.91</v>
      </c>
      <c r="I2377">
        <v>4.59</v>
      </c>
      <c r="J2377">
        <v>21.068100000000001</v>
      </c>
      <c r="K2377" t="str">
        <f>IFERROR(INDEX(Rosters!$C$2:$C$155,MATCH($B2377,Rosters!$B$2:$B$155,0)),"NA")</f>
        <v>NA</v>
      </c>
      <c r="L2377" t="str">
        <f t="shared" si="111"/>
        <v>NA17RB</v>
      </c>
      <c r="M2377">
        <f>COUNTIF(L$1:L2377,L2377)</f>
        <v>8</v>
      </c>
      <c r="N2377" t="str">
        <f t="shared" si="112"/>
        <v>NA17RB-8</v>
      </c>
      <c r="O2377">
        <f>COUNTIFS(F$1:F2377,F2377,A$1:A2377,A2377)</f>
        <v>51</v>
      </c>
      <c r="P2377" t="str">
        <f t="shared" si="113"/>
        <v>Marlon Mack17</v>
      </c>
    </row>
    <row r="2378" spans="1:16" x14ac:dyDescent="0.25">
      <c r="A2378">
        <v>13</v>
      </c>
      <c r="B2378" t="s">
        <v>1404</v>
      </c>
      <c r="C2378" t="s">
        <v>7448</v>
      </c>
      <c r="D2378">
        <v>5.5</v>
      </c>
      <c r="E2378" t="s">
        <v>32</v>
      </c>
      <c r="F2378" t="s">
        <v>47</v>
      </c>
      <c r="G2378">
        <v>10.99</v>
      </c>
      <c r="H2378">
        <v>0.01</v>
      </c>
      <c r="I2378">
        <v>5.49</v>
      </c>
      <c r="J2378">
        <v>30.1401</v>
      </c>
      <c r="K2378" t="str">
        <f>IFERROR(INDEX(Rosters!$C$2:$C$155,MATCH($B2378,Rosters!$B$2:$B$155,0)),"NA")</f>
        <v>NA</v>
      </c>
      <c r="L2378" t="str">
        <f t="shared" si="111"/>
        <v>NA13RB</v>
      </c>
      <c r="M2378">
        <f>COUNTIF(L$1:L2378,L2378)</f>
        <v>10</v>
      </c>
      <c r="N2378" t="str">
        <f t="shared" si="112"/>
        <v>NA13RB-10</v>
      </c>
      <c r="O2378">
        <f>COUNTIFS(F$1:F2378,F2378,A$1:A2378,A2378)</f>
        <v>53</v>
      </c>
      <c r="P2378" t="str">
        <f t="shared" si="113"/>
        <v>Spencer Ware13</v>
      </c>
    </row>
    <row r="2379" spans="1:16" x14ac:dyDescent="0.25">
      <c r="A2379">
        <v>16</v>
      </c>
      <c r="B2379" t="s">
        <v>264</v>
      </c>
      <c r="C2379" t="s">
        <v>7449</v>
      </c>
      <c r="D2379">
        <v>5.49</v>
      </c>
      <c r="E2379" t="s">
        <v>72</v>
      </c>
      <c r="F2379" t="s">
        <v>114</v>
      </c>
      <c r="G2379">
        <v>10</v>
      </c>
      <c r="H2379">
        <v>0.98</v>
      </c>
      <c r="I2379">
        <v>4.51</v>
      </c>
      <c r="J2379">
        <v>20.3401</v>
      </c>
      <c r="K2379" t="str">
        <f>IFERROR(INDEX(Rosters!$C$2:$C$155,MATCH($B2379,Rosters!$B$2:$B$155,0)),"NA")</f>
        <v>scott</v>
      </c>
      <c r="L2379" t="str">
        <f t="shared" si="111"/>
        <v>scott16TE</v>
      </c>
      <c r="M2379">
        <f>COUNTIF(L$1:L2379,L2379)</f>
        <v>1</v>
      </c>
      <c r="N2379" t="str">
        <f t="shared" si="112"/>
        <v>scott16TE-1</v>
      </c>
      <c r="O2379">
        <f>COUNTIFS(F$1:F2379,F2379,A$1:A2379,A2379)</f>
        <v>13</v>
      </c>
      <c r="P2379" t="str">
        <f t="shared" si="113"/>
        <v>George Kittle16</v>
      </c>
    </row>
    <row r="2380" spans="1:16" x14ac:dyDescent="0.25">
      <c r="A2380">
        <v>12</v>
      </c>
      <c r="B2380" t="s">
        <v>1449</v>
      </c>
      <c r="C2380" t="s">
        <v>7450</v>
      </c>
      <c r="D2380">
        <v>5.49</v>
      </c>
      <c r="E2380" t="s">
        <v>32</v>
      </c>
      <c r="F2380" t="s">
        <v>114</v>
      </c>
      <c r="G2380">
        <v>9.32</v>
      </c>
      <c r="H2380">
        <v>1.66</v>
      </c>
      <c r="I2380">
        <v>3.83</v>
      </c>
      <c r="J2380">
        <v>14.668900000000001</v>
      </c>
      <c r="K2380" t="str">
        <f>IFERROR(INDEX(Rosters!$C$2:$C$155,MATCH($B2380,Rosters!$B$2:$B$155,0)),"NA")</f>
        <v>NA</v>
      </c>
      <c r="L2380" t="str">
        <f t="shared" si="111"/>
        <v>NA12TE</v>
      </c>
      <c r="M2380">
        <f>COUNTIF(L$1:L2380,L2380)</f>
        <v>4</v>
      </c>
      <c r="N2380" t="str">
        <f t="shared" si="112"/>
        <v>NA12TE-4</v>
      </c>
      <c r="O2380">
        <f>COUNTIFS(F$1:F2380,F2380,A$1:A2380,A2380)</f>
        <v>11</v>
      </c>
      <c r="P2380" t="str">
        <f t="shared" si="113"/>
        <v>Hayden Hurst12</v>
      </c>
    </row>
    <row r="2381" spans="1:16" x14ac:dyDescent="0.25">
      <c r="A2381">
        <v>9</v>
      </c>
      <c r="B2381" t="s">
        <v>232</v>
      </c>
      <c r="C2381" t="s">
        <v>7451</v>
      </c>
      <c r="D2381">
        <v>5.49</v>
      </c>
      <c r="E2381" t="s">
        <v>30</v>
      </c>
      <c r="F2381" t="s">
        <v>47</v>
      </c>
      <c r="G2381">
        <v>9.8800000000000008</v>
      </c>
      <c r="H2381">
        <v>1.1000000000000001</v>
      </c>
      <c r="I2381">
        <v>4.3899999999999997</v>
      </c>
      <c r="J2381">
        <v>19.272099999999998</v>
      </c>
      <c r="K2381" t="str">
        <f>IFERROR(INDEX(Rosters!$C$2:$C$155,MATCH($B2381,Rosters!$B$2:$B$155,0)),"NA")</f>
        <v>NA</v>
      </c>
      <c r="L2381" t="str">
        <f t="shared" si="111"/>
        <v>NA9RB</v>
      </c>
      <c r="M2381">
        <f>COUNTIF(L$1:L2381,L2381)</f>
        <v>7</v>
      </c>
      <c r="N2381" t="str">
        <f t="shared" si="112"/>
        <v>NA9RB-7</v>
      </c>
      <c r="O2381">
        <f>COUNTIFS(F$1:F2381,F2381,A$1:A2381,A2381)</f>
        <v>44</v>
      </c>
      <c r="P2381" t="str">
        <f t="shared" si="113"/>
        <v>Jalen Richard9</v>
      </c>
    </row>
    <row r="2382" spans="1:16" x14ac:dyDescent="0.25">
      <c r="A2382">
        <v>11</v>
      </c>
      <c r="B2382" t="s">
        <v>229</v>
      </c>
      <c r="C2382" t="s">
        <v>7452</v>
      </c>
      <c r="D2382">
        <v>5.49</v>
      </c>
      <c r="E2382" t="s">
        <v>54</v>
      </c>
      <c r="F2382" t="s">
        <v>114</v>
      </c>
      <c r="G2382">
        <v>10.42</v>
      </c>
      <c r="H2382">
        <v>0.56000000000000005</v>
      </c>
      <c r="I2382">
        <v>4.93</v>
      </c>
      <c r="J2382">
        <v>24.3049</v>
      </c>
      <c r="K2382" t="str">
        <f>IFERROR(INDEX(Rosters!$C$2:$C$155,MATCH($B2382,Rosters!$B$2:$B$155,0)),"NA")</f>
        <v>NA</v>
      </c>
      <c r="L2382" t="str">
        <f t="shared" si="111"/>
        <v>NA11TE</v>
      </c>
      <c r="M2382">
        <f>COUNTIF(L$1:L2382,L2382)</f>
        <v>2</v>
      </c>
      <c r="N2382" t="str">
        <f t="shared" si="112"/>
        <v>NA11TE-2</v>
      </c>
      <c r="O2382">
        <f>COUNTIFS(F$1:F2382,F2382,A$1:A2382,A2382)</f>
        <v>11</v>
      </c>
      <c r="P2382" t="str">
        <f t="shared" si="113"/>
        <v>O.J. Howard11</v>
      </c>
    </row>
    <row r="2383" spans="1:16" x14ac:dyDescent="0.25">
      <c r="A2383">
        <v>11</v>
      </c>
      <c r="B2383" t="s">
        <v>294</v>
      </c>
      <c r="C2383" t="s">
        <v>7453</v>
      </c>
      <c r="D2383">
        <v>5.48</v>
      </c>
      <c r="E2383" t="s">
        <v>60</v>
      </c>
      <c r="F2383" t="s">
        <v>47</v>
      </c>
      <c r="G2383">
        <v>10.26</v>
      </c>
      <c r="H2383">
        <v>0.7</v>
      </c>
      <c r="I2383">
        <v>4.78</v>
      </c>
      <c r="J2383">
        <v>22.848400000000002</v>
      </c>
      <c r="K2383" t="str">
        <f>IFERROR(INDEX(Rosters!$C$2:$C$155,MATCH($B2383,Rosters!$B$2:$B$155,0)),"NA")</f>
        <v>perry</v>
      </c>
      <c r="L2383" t="str">
        <f t="shared" si="111"/>
        <v>perry11RB</v>
      </c>
      <c r="M2383">
        <f>COUNTIF(L$1:L2383,L2383)</f>
        <v>3</v>
      </c>
      <c r="N2383" t="str">
        <f t="shared" si="112"/>
        <v>perry11RB-3</v>
      </c>
      <c r="O2383">
        <f>COUNTIFS(F$1:F2383,F2383,A$1:A2383,A2383)</f>
        <v>42</v>
      </c>
      <c r="P2383" t="str">
        <f t="shared" si="113"/>
        <v>Alfred Blue11</v>
      </c>
    </row>
    <row r="2384" spans="1:16" x14ac:dyDescent="0.25">
      <c r="A2384">
        <v>9</v>
      </c>
      <c r="B2384" t="s">
        <v>1425</v>
      </c>
      <c r="C2384" t="s">
        <v>7454</v>
      </c>
      <c r="D2384">
        <v>5.48</v>
      </c>
      <c r="E2384" t="s">
        <v>36</v>
      </c>
      <c r="F2384" t="s">
        <v>87</v>
      </c>
      <c r="G2384">
        <v>9.5299999999999994</v>
      </c>
      <c r="H2384">
        <v>1.43</v>
      </c>
      <c r="I2384">
        <v>4.05</v>
      </c>
      <c r="J2384">
        <v>16.4025</v>
      </c>
      <c r="K2384" t="str">
        <f>IFERROR(INDEX(Rosters!$C$2:$C$155,MATCH($B2384,Rosters!$B$2:$B$155,0)),"NA")</f>
        <v>NA</v>
      </c>
      <c r="L2384" t="str">
        <f t="shared" si="111"/>
        <v>NA9WR</v>
      </c>
      <c r="M2384">
        <f>COUNTIF(L$1:L2384,L2384)</f>
        <v>7</v>
      </c>
      <c r="N2384" t="str">
        <f t="shared" si="112"/>
        <v>NA9WR-7</v>
      </c>
      <c r="O2384">
        <f>COUNTIFS(F$1:F2384,F2384,A$1:A2384,A2384)</f>
        <v>46</v>
      </c>
      <c r="P2384" t="str">
        <f t="shared" si="113"/>
        <v>Courtland Sutton9</v>
      </c>
    </row>
    <row r="2385" spans="1:16" x14ac:dyDescent="0.25">
      <c r="A2385">
        <v>16</v>
      </c>
      <c r="B2385" t="s">
        <v>1211</v>
      </c>
      <c r="C2385" t="s">
        <v>7455</v>
      </c>
      <c r="D2385">
        <v>5.48</v>
      </c>
      <c r="E2385" t="s">
        <v>19</v>
      </c>
      <c r="F2385" t="s">
        <v>87</v>
      </c>
      <c r="G2385">
        <v>9.99</v>
      </c>
      <c r="H2385">
        <v>0.97</v>
      </c>
      <c r="I2385">
        <v>4.51</v>
      </c>
      <c r="J2385">
        <v>20.3401</v>
      </c>
      <c r="K2385" t="str">
        <f>IFERROR(INDEX(Rosters!$C$2:$C$155,MATCH($B2385,Rosters!$B$2:$B$155,0)),"NA")</f>
        <v>NA</v>
      </c>
      <c r="L2385" t="str">
        <f t="shared" si="111"/>
        <v>NA16WR</v>
      </c>
      <c r="M2385">
        <f>COUNTIF(L$1:L2385,L2385)</f>
        <v>9</v>
      </c>
      <c r="N2385" t="str">
        <f t="shared" si="112"/>
        <v>NA16WR-9</v>
      </c>
      <c r="O2385">
        <f>COUNTIFS(F$1:F2385,F2385,A$1:A2385,A2385)</f>
        <v>58</v>
      </c>
      <c r="P2385" t="str">
        <f t="shared" si="113"/>
        <v>Dede Westbrook16</v>
      </c>
    </row>
    <row r="2386" spans="1:16" x14ac:dyDescent="0.25">
      <c r="A2386">
        <v>7</v>
      </c>
      <c r="B2386" t="s">
        <v>163</v>
      </c>
      <c r="C2386" t="s">
        <v>7456</v>
      </c>
      <c r="D2386">
        <v>5.48</v>
      </c>
      <c r="E2386" t="s">
        <v>52</v>
      </c>
      <c r="F2386" t="s">
        <v>87</v>
      </c>
      <c r="G2386">
        <v>9.18</v>
      </c>
      <c r="H2386">
        <v>1.78</v>
      </c>
      <c r="I2386">
        <v>3.7</v>
      </c>
      <c r="J2386">
        <v>13.69</v>
      </c>
      <c r="K2386" t="str">
        <f>IFERROR(INDEX(Rosters!$C$2:$C$155,MATCH($B2386,Rosters!$B$2:$B$155,0)),"NA")</f>
        <v>scott</v>
      </c>
      <c r="L2386" t="str">
        <f t="shared" si="111"/>
        <v>scott7WR</v>
      </c>
      <c r="M2386">
        <f>COUNTIF(L$1:L2386,L2386)</f>
        <v>5</v>
      </c>
      <c r="N2386" t="str">
        <f t="shared" si="112"/>
        <v>scott7WR-5</v>
      </c>
      <c r="O2386">
        <f>COUNTIFS(F$1:F2386,F2386,A$1:A2386,A2386)</f>
        <v>45</v>
      </c>
      <c r="P2386" t="str">
        <f t="shared" si="113"/>
        <v>DeSean Jackson7</v>
      </c>
    </row>
    <row r="2387" spans="1:16" x14ac:dyDescent="0.25">
      <c r="A2387">
        <v>13</v>
      </c>
      <c r="B2387" t="s">
        <v>183</v>
      </c>
      <c r="C2387" t="s">
        <v>7457</v>
      </c>
      <c r="D2387">
        <v>5.48</v>
      </c>
      <c r="E2387" t="s">
        <v>36</v>
      </c>
      <c r="F2387" t="s">
        <v>47</v>
      </c>
      <c r="G2387">
        <v>9.1</v>
      </c>
      <c r="H2387">
        <v>1.86</v>
      </c>
      <c r="I2387">
        <v>3.62</v>
      </c>
      <c r="J2387">
        <v>13.1044</v>
      </c>
      <c r="K2387" t="str">
        <f>IFERROR(INDEX(Rosters!$C$2:$C$155,MATCH($B2387,Rosters!$B$2:$B$155,0)),"NA")</f>
        <v>NA</v>
      </c>
      <c r="L2387" t="str">
        <f t="shared" si="111"/>
        <v>NA13RB</v>
      </c>
      <c r="M2387">
        <f>COUNTIF(L$1:L2387,L2387)</f>
        <v>11</v>
      </c>
      <c r="N2387" t="str">
        <f t="shared" si="112"/>
        <v>NA13RB-11</v>
      </c>
      <c r="O2387">
        <f>COUNTIFS(F$1:F2387,F2387,A$1:A2387,A2387)</f>
        <v>54</v>
      </c>
      <c r="P2387" t="str">
        <f t="shared" si="113"/>
        <v>Duke Johnson Jr.13</v>
      </c>
    </row>
    <row r="2388" spans="1:16" x14ac:dyDescent="0.25">
      <c r="A2388">
        <v>2</v>
      </c>
      <c r="B2388" t="s">
        <v>1368</v>
      </c>
      <c r="C2388" t="s">
        <v>1389</v>
      </c>
      <c r="D2388">
        <v>5.48</v>
      </c>
      <c r="E2388" t="s">
        <v>423</v>
      </c>
      <c r="F2388" t="s">
        <v>87</v>
      </c>
      <c r="G2388">
        <v>10.3</v>
      </c>
      <c r="H2388">
        <v>0.66</v>
      </c>
      <c r="I2388">
        <v>4.82</v>
      </c>
      <c r="J2388">
        <v>23.232399999999998</v>
      </c>
      <c r="K2388" t="str">
        <f>IFERROR(INDEX(Rosters!$C$2:$C$155,MATCH($B2388,Rosters!$B$2:$B$155,0)),"NA")</f>
        <v>scott</v>
      </c>
      <c r="L2388" t="str">
        <f t="shared" si="111"/>
        <v>scott2WR</v>
      </c>
      <c r="M2388">
        <f>COUNTIF(L$1:L2388,L2388)</f>
        <v>5</v>
      </c>
      <c r="N2388" t="str">
        <f t="shared" si="112"/>
        <v>scott2WR-5</v>
      </c>
      <c r="O2388">
        <f>COUNTIFS(F$1:F2388,F2388,A$1:A2388,A2388)</f>
        <v>50</v>
      </c>
      <c r="P2388" t="str">
        <f t="shared" si="113"/>
        <v>Keelan Cole2</v>
      </c>
    </row>
    <row r="2389" spans="1:16" x14ac:dyDescent="0.25">
      <c r="A2389">
        <v>10</v>
      </c>
      <c r="B2389" t="s">
        <v>224</v>
      </c>
      <c r="C2389" t="s">
        <v>7458</v>
      </c>
      <c r="D2389">
        <v>5.48</v>
      </c>
      <c r="E2389" t="s">
        <v>76</v>
      </c>
      <c r="F2389" t="s">
        <v>47</v>
      </c>
      <c r="G2389">
        <v>10.37</v>
      </c>
      <c r="H2389">
        <v>0.59</v>
      </c>
      <c r="I2389">
        <v>4.8899999999999997</v>
      </c>
      <c r="J2389">
        <v>23.912099999999999</v>
      </c>
      <c r="K2389" t="str">
        <f>IFERROR(INDEX(Rosters!$C$2:$C$155,MATCH($B2389,Rosters!$B$2:$B$155,0)),"NA")</f>
        <v>NA</v>
      </c>
      <c r="L2389" t="str">
        <f t="shared" si="111"/>
        <v>NA10RB</v>
      </c>
      <c r="M2389">
        <f>COUNTIF(L$1:L2389,L2389)</f>
        <v>9</v>
      </c>
      <c r="N2389" t="str">
        <f t="shared" si="112"/>
        <v>NA10RB-9</v>
      </c>
      <c r="O2389">
        <f>COUNTIFS(F$1:F2389,F2389,A$1:A2389,A2389)</f>
        <v>46</v>
      </c>
      <c r="P2389" t="str">
        <f t="shared" si="113"/>
        <v>Marlon Mack10</v>
      </c>
    </row>
    <row r="2390" spans="1:16" x14ac:dyDescent="0.25">
      <c r="A2390">
        <v>9</v>
      </c>
      <c r="B2390" t="s">
        <v>255</v>
      </c>
      <c r="C2390" t="s">
        <v>4530</v>
      </c>
      <c r="D2390">
        <v>5.48</v>
      </c>
      <c r="E2390" t="s">
        <v>32</v>
      </c>
      <c r="F2390" t="s">
        <v>87</v>
      </c>
      <c r="G2390">
        <v>9.48</v>
      </c>
      <c r="H2390">
        <v>1.48</v>
      </c>
      <c r="I2390">
        <v>4</v>
      </c>
      <c r="J2390">
        <v>16</v>
      </c>
      <c r="K2390" t="str">
        <f>IFERROR(INDEX(Rosters!$C$2:$C$155,MATCH($B2390,Rosters!$B$2:$B$155,0)),"NA")</f>
        <v>NA</v>
      </c>
      <c r="L2390" t="str">
        <f t="shared" si="111"/>
        <v>NA9WR</v>
      </c>
      <c r="M2390">
        <f>COUNTIF(L$1:L2390,L2390)</f>
        <v>8</v>
      </c>
      <c r="N2390" t="str">
        <f t="shared" si="112"/>
        <v>NA9WR-8</v>
      </c>
      <c r="O2390">
        <f>COUNTIFS(F$1:F2390,F2390,A$1:A2390,A2390)</f>
        <v>47</v>
      </c>
      <c r="P2390" t="str">
        <f t="shared" si="113"/>
        <v>Marquise Goodwin9</v>
      </c>
    </row>
    <row r="2391" spans="1:16" x14ac:dyDescent="0.25">
      <c r="A2391">
        <v>8</v>
      </c>
      <c r="B2391" t="s">
        <v>280</v>
      </c>
      <c r="C2391" t="s">
        <v>7459</v>
      </c>
      <c r="D2391">
        <v>5.47</v>
      </c>
      <c r="E2391" t="s">
        <v>423</v>
      </c>
      <c r="F2391" t="s">
        <v>47</v>
      </c>
      <c r="G2391">
        <v>9.84</v>
      </c>
      <c r="H2391">
        <v>1.1000000000000001</v>
      </c>
      <c r="I2391">
        <v>4.37</v>
      </c>
      <c r="J2391">
        <v>19.096900000000002</v>
      </c>
      <c r="K2391" t="str">
        <f>IFERROR(INDEX(Rosters!$C$2:$C$155,MATCH($B2391,Rosters!$B$2:$B$155,0)),"NA")</f>
        <v>NA</v>
      </c>
      <c r="L2391" t="str">
        <f t="shared" si="111"/>
        <v>NA8RB</v>
      </c>
      <c r="M2391">
        <f>COUNTIF(L$1:L2391,L2391)</f>
        <v>11</v>
      </c>
      <c r="N2391" t="str">
        <f t="shared" si="112"/>
        <v>NA8RB-11</v>
      </c>
      <c r="O2391">
        <f>COUNTIFS(F$1:F2391,F2391,A$1:A2391,A2391)</f>
        <v>49</v>
      </c>
      <c r="P2391" t="str">
        <f t="shared" si="113"/>
        <v>Chris Ivory8</v>
      </c>
    </row>
    <row r="2392" spans="1:16" x14ac:dyDescent="0.25">
      <c r="A2392">
        <v>17</v>
      </c>
      <c r="B2392" t="s">
        <v>232</v>
      </c>
      <c r="C2392" t="s">
        <v>7460</v>
      </c>
      <c r="D2392">
        <v>5.47</v>
      </c>
      <c r="E2392" t="s">
        <v>24</v>
      </c>
      <c r="F2392" t="s">
        <v>47</v>
      </c>
      <c r="G2392">
        <v>9.56</v>
      </c>
      <c r="H2392">
        <v>1.38</v>
      </c>
      <c r="I2392">
        <v>4.09</v>
      </c>
      <c r="J2392">
        <v>16.728100000000001</v>
      </c>
      <c r="K2392" t="str">
        <f>IFERROR(INDEX(Rosters!$C$2:$C$155,MATCH($B2392,Rosters!$B$2:$B$155,0)),"NA")</f>
        <v>NA</v>
      </c>
      <c r="L2392" t="str">
        <f t="shared" si="111"/>
        <v>NA17RB</v>
      </c>
      <c r="M2392">
        <f>COUNTIF(L$1:L2392,L2392)</f>
        <v>9</v>
      </c>
      <c r="N2392" t="str">
        <f t="shared" si="112"/>
        <v>NA17RB-9</v>
      </c>
      <c r="O2392">
        <f>COUNTIFS(F$1:F2392,F2392,A$1:A2392,A2392)</f>
        <v>52</v>
      </c>
      <c r="P2392" t="str">
        <f t="shared" si="113"/>
        <v>Jalen Richard17</v>
      </c>
    </row>
    <row r="2393" spans="1:16" x14ac:dyDescent="0.25">
      <c r="A2393">
        <v>17</v>
      </c>
      <c r="B2393" t="s">
        <v>150</v>
      </c>
      <c r="C2393" t="s">
        <v>7459</v>
      </c>
      <c r="D2393">
        <v>5.47</v>
      </c>
      <c r="E2393" t="s">
        <v>19</v>
      </c>
      <c r="F2393" t="s">
        <v>87</v>
      </c>
      <c r="G2393">
        <v>9.84</v>
      </c>
      <c r="H2393">
        <v>1.1000000000000001</v>
      </c>
      <c r="I2393">
        <v>4.37</v>
      </c>
      <c r="J2393">
        <v>19.096900000000002</v>
      </c>
      <c r="K2393" t="str">
        <f>IFERROR(INDEX(Rosters!$C$2:$C$155,MATCH($B2393,Rosters!$B$2:$B$155,0)),"NA")</f>
        <v>NA</v>
      </c>
      <c r="L2393" t="str">
        <f t="shared" si="111"/>
        <v>NA17WR</v>
      </c>
      <c r="M2393">
        <f>COUNTIF(L$1:L2393,L2393)</f>
        <v>9</v>
      </c>
      <c r="N2393" t="str">
        <f t="shared" si="112"/>
        <v>NA17WR-9</v>
      </c>
      <c r="O2393">
        <f>COUNTIFS(F$1:F2393,F2393,A$1:A2393,A2393)</f>
        <v>59</v>
      </c>
      <c r="P2393" t="str">
        <f t="shared" si="113"/>
        <v>Kelvin Benjamin17</v>
      </c>
    </row>
    <row r="2394" spans="1:16" x14ac:dyDescent="0.25">
      <c r="A2394">
        <v>3</v>
      </c>
      <c r="B2394" t="s">
        <v>167</v>
      </c>
      <c r="C2394" t="s">
        <v>3728</v>
      </c>
      <c r="D2394">
        <v>5.46</v>
      </c>
      <c r="E2394" t="s">
        <v>22</v>
      </c>
      <c r="F2394" t="s">
        <v>87</v>
      </c>
      <c r="G2394">
        <v>10.119999999999999</v>
      </c>
      <c r="H2394">
        <v>0.8</v>
      </c>
      <c r="I2394">
        <v>4.66</v>
      </c>
      <c r="J2394">
        <v>21.715599999999998</v>
      </c>
      <c r="K2394" t="str">
        <f>IFERROR(INDEX(Rosters!$C$2:$C$155,MATCH($B2394,Rosters!$B$2:$B$155,0)),"NA")</f>
        <v>NA</v>
      </c>
      <c r="L2394" t="str">
        <f t="shared" si="111"/>
        <v>NA3WR</v>
      </c>
      <c r="M2394">
        <f>COUNTIF(L$1:L2394,L2394)</f>
        <v>9</v>
      </c>
      <c r="N2394" t="str">
        <f t="shared" si="112"/>
        <v>NA3WR-9</v>
      </c>
      <c r="O2394">
        <f>COUNTIFS(F$1:F2394,F2394,A$1:A2394,A2394)</f>
        <v>52</v>
      </c>
      <c r="P2394" t="str">
        <f t="shared" si="113"/>
        <v>Brandon Marshall3</v>
      </c>
    </row>
    <row r="2395" spans="1:16" x14ac:dyDescent="0.25">
      <c r="A2395">
        <v>4</v>
      </c>
      <c r="B2395" t="s">
        <v>178</v>
      </c>
      <c r="C2395" t="s">
        <v>5030</v>
      </c>
      <c r="D2395">
        <v>5.46</v>
      </c>
      <c r="E2395" t="s">
        <v>36</v>
      </c>
      <c r="F2395" t="s">
        <v>114</v>
      </c>
      <c r="G2395">
        <v>9.48</v>
      </c>
      <c r="H2395">
        <v>1.44</v>
      </c>
      <c r="I2395">
        <v>4.0199999999999996</v>
      </c>
      <c r="J2395">
        <v>16.160399999999999</v>
      </c>
      <c r="K2395" t="str">
        <f>IFERROR(INDEX(Rosters!$C$2:$C$155,MATCH($B2395,Rosters!$B$2:$B$155,0)),"NA")</f>
        <v>devon</v>
      </c>
      <c r="L2395" t="str">
        <f t="shared" si="111"/>
        <v>devon4TE</v>
      </c>
      <c r="M2395">
        <f>COUNTIF(L$1:L2395,L2395)</f>
        <v>1</v>
      </c>
      <c r="N2395" t="str">
        <f t="shared" si="112"/>
        <v>devon4TE-1</v>
      </c>
      <c r="O2395">
        <f>COUNTIFS(F$1:F2395,F2395,A$1:A2395,A2395)</f>
        <v>10</v>
      </c>
      <c r="P2395" t="str">
        <f t="shared" si="113"/>
        <v>Eric Ebron4</v>
      </c>
    </row>
    <row r="2396" spans="1:16" x14ac:dyDescent="0.25">
      <c r="A2396">
        <v>2</v>
      </c>
      <c r="B2396" t="s">
        <v>208</v>
      </c>
      <c r="C2396" t="s">
        <v>3354</v>
      </c>
      <c r="D2396">
        <v>5.46</v>
      </c>
      <c r="E2396" t="s">
        <v>42</v>
      </c>
      <c r="F2396" t="s">
        <v>114</v>
      </c>
      <c r="G2396">
        <v>10.65</v>
      </c>
      <c r="H2396">
        <v>0.27</v>
      </c>
      <c r="I2396">
        <v>5.19</v>
      </c>
      <c r="J2396">
        <v>26.9361</v>
      </c>
      <c r="K2396" t="str">
        <f>IFERROR(INDEX(Rosters!$C$2:$C$155,MATCH($B2396,Rosters!$B$2:$B$155,0)),"NA")</f>
        <v>chad</v>
      </c>
      <c r="L2396" t="str">
        <f t="shared" si="111"/>
        <v>chad2TE</v>
      </c>
      <c r="M2396">
        <f>COUNTIF(L$1:L2396,L2396)</f>
        <v>1</v>
      </c>
      <c r="N2396" t="str">
        <f t="shared" si="112"/>
        <v>chad2TE-1</v>
      </c>
      <c r="O2396">
        <f>COUNTIFS(F$1:F2396,F2396,A$1:A2396,A2396)</f>
        <v>10</v>
      </c>
      <c r="P2396" t="str">
        <f t="shared" si="113"/>
        <v>Jared Cook2</v>
      </c>
    </row>
    <row r="2397" spans="1:16" x14ac:dyDescent="0.25">
      <c r="A2397">
        <v>16</v>
      </c>
      <c r="B2397" t="s">
        <v>224</v>
      </c>
      <c r="C2397" t="s">
        <v>7461</v>
      </c>
      <c r="D2397">
        <v>5.46</v>
      </c>
      <c r="E2397" t="s">
        <v>54</v>
      </c>
      <c r="F2397" t="s">
        <v>47</v>
      </c>
      <c r="G2397">
        <v>10.67</v>
      </c>
      <c r="H2397">
        <v>0.25</v>
      </c>
      <c r="I2397">
        <v>5.21</v>
      </c>
      <c r="J2397">
        <v>27.144100000000002</v>
      </c>
      <c r="K2397" t="str">
        <f>IFERROR(INDEX(Rosters!$C$2:$C$155,MATCH($B2397,Rosters!$B$2:$B$155,0)),"NA")</f>
        <v>NA</v>
      </c>
      <c r="L2397" t="str">
        <f t="shared" si="111"/>
        <v>NA16RB</v>
      </c>
      <c r="M2397">
        <f>COUNTIF(L$1:L2397,L2397)</f>
        <v>10</v>
      </c>
      <c r="N2397" t="str">
        <f t="shared" si="112"/>
        <v>NA16RB-10</v>
      </c>
      <c r="O2397">
        <f>COUNTIFS(F$1:F2397,F2397,A$1:A2397,A2397)</f>
        <v>55</v>
      </c>
      <c r="P2397" t="str">
        <f t="shared" si="113"/>
        <v>Marlon Mack16</v>
      </c>
    </row>
    <row r="2398" spans="1:16" x14ac:dyDescent="0.25">
      <c r="A2398">
        <v>15</v>
      </c>
      <c r="B2398" t="s">
        <v>1395</v>
      </c>
      <c r="C2398" t="s">
        <v>7462</v>
      </c>
      <c r="D2398">
        <v>5.46</v>
      </c>
      <c r="E2398" t="s">
        <v>22</v>
      </c>
      <c r="F2398" t="s">
        <v>47</v>
      </c>
      <c r="G2398">
        <v>9.9700000000000006</v>
      </c>
      <c r="H2398">
        <v>0.95</v>
      </c>
      <c r="I2398">
        <v>4.51</v>
      </c>
      <c r="J2398">
        <v>20.3401</v>
      </c>
      <c r="K2398" t="str">
        <f>IFERROR(INDEX(Rosters!$C$2:$C$155,MATCH($B2398,Rosters!$B$2:$B$155,0)),"NA")</f>
        <v>cory</v>
      </c>
      <c r="L2398" t="str">
        <f t="shared" si="111"/>
        <v>cory15RB</v>
      </c>
      <c r="M2398">
        <f>COUNTIF(L$1:L2398,L2398)</f>
        <v>5</v>
      </c>
      <c r="N2398" t="str">
        <f t="shared" si="112"/>
        <v>cory15RB-5</v>
      </c>
      <c r="O2398">
        <f>COUNTIFS(F$1:F2398,F2398,A$1:A2398,A2398)</f>
        <v>55</v>
      </c>
      <c r="P2398" t="str">
        <f t="shared" si="113"/>
        <v>Nyheim Hines15</v>
      </c>
    </row>
    <row r="2399" spans="1:16" x14ac:dyDescent="0.25">
      <c r="A2399">
        <v>2</v>
      </c>
      <c r="B2399" t="s">
        <v>223</v>
      </c>
      <c r="C2399" t="s">
        <v>1390</v>
      </c>
      <c r="D2399">
        <v>5.46</v>
      </c>
      <c r="E2399" t="s">
        <v>66</v>
      </c>
      <c r="F2399" t="s">
        <v>87</v>
      </c>
      <c r="G2399">
        <v>10.42</v>
      </c>
      <c r="H2399">
        <v>0.5</v>
      </c>
      <c r="I2399">
        <v>4.96</v>
      </c>
      <c r="J2399">
        <v>24.601600000000001</v>
      </c>
      <c r="K2399" t="str">
        <f>IFERROR(INDEX(Rosters!$C$2:$C$155,MATCH($B2399,Rosters!$B$2:$B$155,0)),"NA")</f>
        <v>NA</v>
      </c>
      <c r="L2399" t="str">
        <f t="shared" si="111"/>
        <v>NA2WR</v>
      </c>
      <c r="M2399">
        <f>COUNTIF(L$1:L2399,L2399)</f>
        <v>10</v>
      </c>
      <c r="N2399" t="str">
        <f t="shared" si="112"/>
        <v>NA2WR-10</v>
      </c>
      <c r="O2399">
        <f>COUNTIFS(F$1:F2399,F2399,A$1:A2399,A2399)</f>
        <v>51</v>
      </c>
      <c r="P2399" t="str">
        <f t="shared" si="113"/>
        <v>Paul Richardson2</v>
      </c>
    </row>
    <row r="2400" spans="1:16" x14ac:dyDescent="0.25">
      <c r="A2400">
        <v>2</v>
      </c>
      <c r="B2400" t="s">
        <v>3533</v>
      </c>
      <c r="C2400" t="s">
        <v>3535</v>
      </c>
      <c r="D2400">
        <v>5.46</v>
      </c>
      <c r="E2400" t="s">
        <v>32</v>
      </c>
      <c r="F2400" t="s">
        <v>47</v>
      </c>
      <c r="G2400">
        <v>9.89</v>
      </c>
      <c r="H2400">
        <v>1.03</v>
      </c>
      <c r="I2400">
        <v>4.43</v>
      </c>
      <c r="J2400">
        <v>19.6249</v>
      </c>
      <c r="K2400" t="str">
        <f>IFERROR(INDEX(Rosters!$C$2:$C$155,MATCH($B2400,Rosters!$B$2:$B$155,0)),"NA")</f>
        <v>perry</v>
      </c>
      <c r="L2400" t="str">
        <f t="shared" si="111"/>
        <v>perry2RB</v>
      </c>
      <c r="M2400">
        <f>COUNTIF(L$1:L2400,L2400)</f>
        <v>3</v>
      </c>
      <c r="N2400" t="str">
        <f t="shared" si="112"/>
        <v>perry2RB-3</v>
      </c>
      <c r="O2400">
        <f>COUNTIFS(F$1:F2400,F2400,A$1:A2400,A2400)</f>
        <v>47</v>
      </c>
      <c r="P2400" t="str">
        <f t="shared" si="113"/>
        <v>Phillip Lindsay2</v>
      </c>
    </row>
    <row r="2401" spans="1:16" x14ac:dyDescent="0.25">
      <c r="A2401">
        <v>14</v>
      </c>
      <c r="B2401" t="s">
        <v>294</v>
      </c>
      <c r="C2401" t="s">
        <v>7463</v>
      </c>
      <c r="D2401">
        <v>5.45</v>
      </c>
      <c r="E2401" t="s">
        <v>66</v>
      </c>
      <c r="F2401" t="s">
        <v>47</v>
      </c>
      <c r="G2401">
        <v>10.36</v>
      </c>
      <c r="H2401">
        <v>0.54</v>
      </c>
      <c r="I2401">
        <v>4.91</v>
      </c>
      <c r="J2401">
        <v>24.1081</v>
      </c>
      <c r="K2401" t="str">
        <f>IFERROR(INDEX(Rosters!$C$2:$C$155,MATCH($B2401,Rosters!$B$2:$B$155,0)),"NA")</f>
        <v>perry</v>
      </c>
      <c r="L2401" t="str">
        <f t="shared" si="111"/>
        <v>perry14RB</v>
      </c>
      <c r="M2401">
        <f>COUNTIF(L$1:L2401,L2401)</f>
        <v>4</v>
      </c>
      <c r="N2401" t="str">
        <f t="shared" si="112"/>
        <v>perry14RB-4</v>
      </c>
      <c r="O2401">
        <f>COUNTIFS(F$1:F2401,F2401,A$1:A2401,A2401)</f>
        <v>54</v>
      </c>
      <c r="P2401" t="str">
        <f t="shared" si="113"/>
        <v>Alfred Blue14</v>
      </c>
    </row>
    <row r="2402" spans="1:16" x14ac:dyDescent="0.25">
      <c r="A2402">
        <v>8</v>
      </c>
      <c r="B2402" t="s">
        <v>308</v>
      </c>
      <c r="C2402">
        <f>-0.13-11.03</f>
        <v>-11.16</v>
      </c>
      <c r="D2402">
        <v>5.45</v>
      </c>
      <c r="E2402" t="s">
        <v>24</v>
      </c>
      <c r="F2402" t="s">
        <v>114</v>
      </c>
      <c r="G2402">
        <v>11.03</v>
      </c>
      <c r="H2402">
        <v>-0.13</v>
      </c>
      <c r="I2402">
        <v>5.58</v>
      </c>
      <c r="J2402">
        <v>31.136399999999998</v>
      </c>
      <c r="K2402" t="str">
        <f>IFERROR(INDEX(Rosters!$C$2:$C$155,MATCH($B2402,Rosters!$B$2:$B$155,0)),"NA")</f>
        <v>NA</v>
      </c>
      <c r="L2402" t="str">
        <f t="shared" si="111"/>
        <v>NA8TE</v>
      </c>
      <c r="M2402">
        <f>COUNTIF(L$1:L2402,L2402)</f>
        <v>6</v>
      </c>
      <c r="N2402" t="str">
        <f t="shared" si="112"/>
        <v>NA8TE-6</v>
      </c>
      <c r="O2402">
        <f>COUNTIFS(F$1:F2402,F2402,A$1:A2402,A2402)</f>
        <v>16</v>
      </c>
      <c r="P2402" t="str">
        <f t="shared" si="113"/>
        <v>Jeff Heuerman8</v>
      </c>
    </row>
    <row r="2403" spans="1:16" x14ac:dyDescent="0.25">
      <c r="A2403">
        <v>6</v>
      </c>
      <c r="B2403" t="s">
        <v>223</v>
      </c>
      <c r="C2403" t="s">
        <v>7464</v>
      </c>
      <c r="D2403">
        <v>5.45</v>
      </c>
      <c r="E2403" t="s">
        <v>74</v>
      </c>
      <c r="F2403" t="s">
        <v>87</v>
      </c>
      <c r="G2403">
        <v>9.34</v>
      </c>
      <c r="H2403">
        <v>1.56</v>
      </c>
      <c r="I2403">
        <v>3.89</v>
      </c>
      <c r="J2403">
        <v>15.132099999999999</v>
      </c>
      <c r="K2403" t="str">
        <f>IFERROR(INDEX(Rosters!$C$2:$C$155,MATCH($B2403,Rosters!$B$2:$B$155,0)),"NA")</f>
        <v>NA</v>
      </c>
      <c r="L2403" t="str">
        <f t="shared" si="111"/>
        <v>NA6WR</v>
      </c>
      <c r="M2403">
        <f>COUNTIF(L$1:L2403,L2403)</f>
        <v>8</v>
      </c>
      <c r="N2403" t="str">
        <f t="shared" si="112"/>
        <v>NA6WR-8</v>
      </c>
      <c r="O2403">
        <f>COUNTIFS(F$1:F2403,F2403,A$1:A2403,A2403)</f>
        <v>51</v>
      </c>
      <c r="P2403" t="str">
        <f t="shared" si="113"/>
        <v>Paul Richardson6</v>
      </c>
    </row>
    <row r="2404" spans="1:16" x14ac:dyDescent="0.25">
      <c r="A2404">
        <v>4</v>
      </c>
      <c r="B2404" t="s">
        <v>203</v>
      </c>
      <c r="C2404" t="s">
        <v>4531</v>
      </c>
      <c r="D2404">
        <v>5.45</v>
      </c>
      <c r="E2404" t="s">
        <v>76</v>
      </c>
      <c r="F2404" t="s">
        <v>87</v>
      </c>
      <c r="G2404">
        <v>9.75</v>
      </c>
      <c r="H2404">
        <v>1.1499999999999999</v>
      </c>
      <c r="I2404">
        <v>4.3</v>
      </c>
      <c r="J2404">
        <v>18.489999999999998</v>
      </c>
      <c r="K2404" t="str">
        <f>IFERROR(INDEX(Rosters!$C$2:$C$155,MATCH($B2404,Rosters!$B$2:$B$155,0)),"NA")</f>
        <v>NA</v>
      </c>
      <c r="L2404" t="str">
        <f t="shared" si="111"/>
        <v>NA4WR</v>
      </c>
      <c r="M2404">
        <f>COUNTIF(L$1:L2404,L2404)</f>
        <v>5</v>
      </c>
      <c r="N2404" t="str">
        <f t="shared" si="112"/>
        <v>NA4WR-5</v>
      </c>
      <c r="O2404">
        <f>COUNTIFS(F$1:F2404,F2404,A$1:A2404,A2404)</f>
        <v>50</v>
      </c>
      <c r="P2404" t="str">
        <f t="shared" si="113"/>
        <v>Robby Anderson4</v>
      </c>
    </row>
    <row r="2405" spans="1:16" x14ac:dyDescent="0.25">
      <c r="A2405">
        <v>7</v>
      </c>
      <c r="B2405" t="s">
        <v>1397</v>
      </c>
      <c r="C2405" t="s">
        <v>7465</v>
      </c>
      <c r="D2405">
        <v>5.44</v>
      </c>
      <c r="E2405" t="s">
        <v>42</v>
      </c>
      <c r="F2405" t="s">
        <v>87</v>
      </c>
      <c r="G2405">
        <v>8.7799999999999994</v>
      </c>
      <c r="H2405">
        <v>2.1</v>
      </c>
      <c r="I2405">
        <v>3.34</v>
      </c>
      <c r="J2405">
        <v>11.1556</v>
      </c>
      <c r="K2405" t="str">
        <f>IFERROR(INDEX(Rosters!$C$2:$C$155,MATCH($B2405,Rosters!$B$2:$B$155,0)),"NA")</f>
        <v>NA</v>
      </c>
      <c r="L2405" t="str">
        <f t="shared" si="111"/>
        <v>NA7WR</v>
      </c>
      <c r="M2405">
        <f>COUNTIF(L$1:L2405,L2405)</f>
        <v>5</v>
      </c>
      <c r="N2405" t="str">
        <f t="shared" si="112"/>
        <v>NA7WR-5</v>
      </c>
      <c r="O2405">
        <f>COUNTIFS(F$1:F2405,F2405,A$1:A2405,A2405)</f>
        <v>46</v>
      </c>
      <c r="P2405" t="str">
        <f t="shared" si="113"/>
        <v>Christian Kirk7</v>
      </c>
    </row>
    <row r="2406" spans="1:16" x14ac:dyDescent="0.25">
      <c r="A2406">
        <v>12</v>
      </c>
      <c r="B2406" t="s">
        <v>178</v>
      </c>
      <c r="C2406" t="s">
        <v>7466</v>
      </c>
      <c r="D2406">
        <v>5.44</v>
      </c>
      <c r="E2406" t="s">
        <v>19</v>
      </c>
      <c r="F2406" t="s">
        <v>114</v>
      </c>
      <c r="G2406">
        <v>9.1</v>
      </c>
      <c r="H2406">
        <v>1.78</v>
      </c>
      <c r="I2406">
        <v>3.66</v>
      </c>
      <c r="J2406">
        <v>13.3956</v>
      </c>
      <c r="K2406" t="str">
        <f>IFERROR(INDEX(Rosters!$C$2:$C$155,MATCH($B2406,Rosters!$B$2:$B$155,0)),"NA")</f>
        <v>devon</v>
      </c>
      <c r="L2406" t="str">
        <f t="shared" si="111"/>
        <v>devon12TE</v>
      </c>
      <c r="M2406">
        <f>COUNTIF(L$1:L2406,L2406)</f>
        <v>1</v>
      </c>
      <c r="N2406" t="str">
        <f t="shared" si="112"/>
        <v>devon12TE-1</v>
      </c>
      <c r="O2406">
        <f>COUNTIFS(F$1:F2406,F2406,A$1:A2406,A2406)</f>
        <v>12</v>
      </c>
      <c r="P2406" t="str">
        <f t="shared" si="113"/>
        <v>Eric Ebron12</v>
      </c>
    </row>
    <row r="2407" spans="1:16" x14ac:dyDescent="0.25">
      <c r="A2407">
        <v>5</v>
      </c>
      <c r="B2407" t="s">
        <v>4240</v>
      </c>
      <c r="C2407" t="s">
        <v>9065</v>
      </c>
      <c r="D2407">
        <v>5.44</v>
      </c>
      <c r="E2407" t="s">
        <v>423</v>
      </c>
      <c r="F2407" t="s">
        <v>87</v>
      </c>
      <c r="G2407">
        <v>10.43</v>
      </c>
      <c r="H2407">
        <v>0.45</v>
      </c>
      <c r="I2407">
        <v>4.99</v>
      </c>
      <c r="J2407">
        <v>24.900099999999998</v>
      </c>
      <c r="K2407" t="str">
        <f>IFERROR(INDEX(Rosters!$C$2:$C$155,MATCH($B2407,Rosters!$B$2:$B$155,0)),"NA")</f>
        <v>NA</v>
      </c>
      <c r="L2407" t="str">
        <f t="shared" si="111"/>
        <v>NA5WR</v>
      </c>
      <c r="M2407">
        <f>COUNTIF(L$1:L2407,L2407)</f>
        <v>11</v>
      </c>
      <c r="N2407" t="str">
        <f t="shared" si="112"/>
        <v>NA5WR-11</v>
      </c>
      <c r="O2407">
        <f>COUNTIFS(F$1:F2407,F2407,A$1:A2407,A2407)</f>
        <v>55</v>
      </c>
      <c r="P2407" t="str">
        <f t="shared" si="113"/>
        <v>Zach Pascal5</v>
      </c>
    </row>
    <row r="2408" spans="1:16" x14ac:dyDescent="0.25">
      <c r="A2408">
        <v>2</v>
      </c>
      <c r="B2408" t="s">
        <v>1373</v>
      </c>
      <c r="C2408" t="s">
        <v>3355</v>
      </c>
      <c r="D2408">
        <v>5.43</v>
      </c>
      <c r="E2408" t="s">
        <v>29</v>
      </c>
      <c r="F2408" t="s">
        <v>47</v>
      </c>
      <c r="G2408">
        <v>9.85</v>
      </c>
      <c r="H2408">
        <v>1.01</v>
      </c>
      <c r="I2408">
        <v>4.42</v>
      </c>
      <c r="J2408">
        <v>19.5364</v>
      </c>
      <c r="K2408" t="str">
        <f>IFERROR(INDEX(Rosters!$C$2:$C$155,MATCH($B2408,Rosters!$B$2:$B$155,0)),"NA")</f>
        <v>matty</v>
      </c>
      <c r="L2408" t="str">
        <f t="shared" si="111"/>
        <v>matty2RB</v>
      </c>
      <c r="M2408">
        <f>COUNTIF(L$1:L2408,L2408)</f>
        <v>4</v>
      </c>
      <c r="N2408" t="str">
        <f t="shared" si="112"/>
        <v>matty2RB-4</v>
      </c>
      <c r="O2408">
        <f>COUNTIFS(F$1:F2408,F2408,A$1:A2408,A2408)</f>
        <v>48</v>
      </c>
      <c r="P2408" t="str">
        <f t="shared" si="113"/>
        <v>Austin Ekeler2</v>
      </c>
    </row>
    <row r="2409" spans="1:16" x14ac:dyDescent="0.25">
      <c r="A2409">
        <v>12</v>
      </c>
      <c r="B2409" t="s">
        <v>261</v>
      </c>
      <c r="C2409" t="s">
        <v>7467</v>
      </c>
      <c r="D2409">
        <v>5.43</v>
      </c>
      <c r="E2409" t="s">
        <v>46</v>
      </c>
      <c r="F2409" t="s">
        <v>114</v>
      </c>
      <c r="G2409">
        <v>9.6300000000000008</v>
      </c>
      <c r="H2409">
        <v>1.23</v>
      </c>
      <c r="I2409">
        <v>4.2</v>
      </c>
      <c r="J2409">
        <v>17.64</v>
      </c>
      <c r="K2409" t="str">
        <f>IFERROR(INDEX(Rosters!$C$2:$C$155,MATCH($B2409,Rosters!$B$2:$B$155,0)),"NA")</f>
        <v>NA</v>
      </c>
      <c r="L2409" t="str">
        <f t="shared" si="111"/>
        <v>NA12TE</v>
      </c>
      <c r="M2409">
        <f>COUNTIF(L$1:L2409,L2409)</f>
        <v>5</v>
      </c>
      <c r="N2409" t="str">
        <f t="shared" si="112"/>
        <v>NA12TE-5</v>
      </c>
      <c r="O2409">
        <f>COUNTIFS(F$1:F2409,F2409,A$1:A2409,A2409)</f>
        <v>13</v>
      </c>
      <c r="P2409" t="str">
        <f t="shared" si="113"/>
        <v>Benjamin Watson12</v>
      </c>
    </row>
    <row r="2410" spans="1:16" x14ac:dyDescent="0.25">
      <c r="A2410">
        <v>3</v>
      </c>
      <c r="B2410" t="s">
        <v>101</v>
      </c>
      <c r="C2410" t="s">
        <v>3729</v>
      </c>
      <c r="D2410">
        <v>5.43</v>
      </c>
      <c r="E2410" t="s">
        <v>19</v>
      </c>
      <c r="F2410" t="s">
        <v>47</v>
      </c>
      <c r="G2410">
        <v>9.48</v>
      </c>
      <c r="H2410">
        <v>1.38</v>
      </c>
      <c r="I2410">
        <v>4.05</v>
      </c>
      <c r="J2410">
        <v>16.4025</v>
      </c>
      <c r="K2410" t="str">
        <f>IFERROR(INDEX(Rosters!$C$2:$C$155,MATCH($B2410,Rosters!$B$2:$B$155,0)),"NA")</f>
        <v>NA</v>
      </c>
      <c r="L2410" t="str">
        <f t="shared" si="111"/>
        <v>NA3RB</v>
      </c>
      <c r="M2410">
        <f>COUNTIF(L$1:L2410,L2410)</f>
        <v>14</v>
      </c>
      <c r="N2410" t="str">
        <f t="shared" si="112"/>
        <v>NA3RB-14</v>
      </c>
      <c r="O2410">
        <f>COUNTIFS(F$1:F2410,F2410,A$1:A2410,A2410)</f>
        <v>45</v>
      </c>
      <c r="P2410" t="str">
        <f t="shared" si="113"/>
        <v>Doug Martin3</v>
      </c>
    </row>
    <row r="2411" spans="1:16" x14ac:dyDescent="0.25">
      <c r="A2411">
        <v>16</v>
      </c>
      <c r="B2411" t="s">
        <v>183</v>
      </c>
      <c r="C2411" t="s">
        <v>7468</v>
      </c>
      <c r="D2411">
        <v>5.43</v>
      </c>
      <c r="E2411" t="s">
        <v>31</v>
      </c>
      <c r="F2411" t="s">
        <v>47</v>
      </c>
      <c r="G2411">
        <v>9.0399999999999991</v>
      </c>
      <c r="H2411">
        <v>1.82</v>
      </c>
      <c r="I2411">
        <v>3.61</v>
      </c>
      <c r="J2411">
        <v>13.0321</v>
      </c>
      <c r="K2411" t="str">
        <f>IFERROR(INDEX(Rosters!$C$2:$C$155,MATCH($B2411,Rosters!$B$2:$B$155,0)),"NA")</f>
        <v>NA</v>
      </c>
      <c r="L2411" t="str">
        <f t="shared" si="111"/>
        <v>NA16RB</v>
      </c>
      <c r="M2411">
        <f>COUNTIF(L$1:L2411,L2411)</f>
        <v>11</v>
      </c>
      <c r="N2411" t="str">
        <f t="shared" si="112"/>
        <v>NA16RB-11</v>
      </c>
      <c r="O2411">
        <f>COUNTIFS(F$1:F2411,F2411,A$1:A2411,A2411)</f>
        <v>56</v>
      </c>
      <c r="P2411" t="str">
        <f t="shared" si="113"/>
        <v>Duke Johnson Jr.16</v>
      </c>
    </row>
    <row r="2412" spans="1:16" x14ac:dyDescent="0.25">
      <c r="A2412">
        <v>17</v>
      </c>
      <c r="B2412" t="s">
        <v>178</v>
      </c>
      <c r="C2412" t="s">
        <v>7469</v>
      </c>
      <c r="D2412">
        <v>5.43</v>
      </c>
      <c r="E2412" t="s">
        <v>38</v>
      </c>
      <c r="F2412" t="s">
        <v>114</v>
      </c>
      <c r="G2412">
        <v>9.44</v>
      </c>
      <c r="H2412">
        <v>1.42</v>
      </c>
      <c r="I2412">
        <v>4.01</v>
      </c>
      <c r="J2412">
        <v>16.080100000000002</v>
      </c>
      <c r="K2412" t="str">
        <f>IFERROR(INDEX(Rosters!$C$2:$C$155,MATCH($B2412,Rosters!$B$2:$B$155,0)),"NA")</f>
        <v>devon</v>
      </c>
      <c r="L2412" t="str">
        <f t="shared" si="111"/>
        <v>devon17TE</v>
      </c>
      <c r="M2412">
        <f>COUNTIF(L$1:L2412,L2412)</f>
        <v>2</v>
      </c>
      <c r="N2412" t="str">
        <f t="shared" si="112"/>
        <v>devon17TE-2</v>
      </c>
      <c r="O2412">
        <f>COUNTIFS(F$1:F2412,F2412,A$1:A2412,A2412)</f>
        <v>12</v>
      </c>
      <c r="P2412" t="str">
        <f t="shared" si="113"/>
        <v>Eric Ebron17</v>
      </c>
    </row>
    <row r="2413" spans="1:16" x14ac:dyDescent="0.25">
      <c r="A2413">
        <v>3</v>
      </c>
      <c r="B2413" t="s">
        <v>281</v>
      </c>
      <c r="C2413">
        <f>-0.12-10.96</f>
        <v>-11.08</v>
      </c>
      <c r="D2413">
        <v>5.42</v>
      </c>
      <c r="E2413" t="s">
        <v>60</v>
      </c>
      <c r="F2413" t="s">
        <v>47</v>
      </c>
      <c r="G2413">
        <v>10.96</v>
      </c>
      <c r="H2413">
        <v>-0.12</v>
      </c>
      <c r="I2413">
        <v>5.54</v>
      </c>
      <c r="J2413">
        <v>30.691600000000001</v>
      </c>
      <c r="K2413" t="str">
        <f>IFERROR(INDEX(Rosters!$C$2:$C$155,MATCH($B2413,Rosters!$B$2:$B$155,0)),"NA")</f>
        <v>aj</v>
      </c>
      <c r="L2413" t="str">
        <f t="shared" si="111"/>
        <v>aj3RB</v>
      </c>
      <c r="M2413">
        <f>COUNTIF(L$1:L2413,L2413)</f>
        <v>2</v>
      </c>
      <c r="N2413" t="str">
        <f t="shared" si="112"/>
        <v>aj3RB-2</v>
      </c>
      <c r="O2413">
        <f>COUNTIFS(F$1:F2413,F2413,A$1:A2413,A2413)</f>
        <v>46</v>
      </c>
      <c r="P2413" t="str">
        <f t="shared" si="113"/>
        <v>Aaron Jones3</v>
      </c>
    </row>
    <row r="2414" spans="1:16" x14ac:dyDescent="0.25">
      <c r="A2414">
        <v>6</v>
      </c>
      <c r="B2414" t="s">
        <v>294</v>
      </c>
      <c r="C2414" t="s">
        <v>7470</v>
      </c>
      <c r="D2414">
        <v>5.42</v>
      </c>
      <c r="E2414" t="s">
        <v>29</v>
      </c>
      <c r="F2414" t="s">
        <v>47</v>
      </c>
      <c r="G2414">
        <v>9.93</v>
      </c>
      <c r="H2414">
        <v>0.91</v>
      </c>
      <c r="I2414">
        <v>4.51</v>
      </c>
      <c r="J2414">
        <v>20.3401</v>
      </c>
      <c r="K2414" t="str">
        <f>IFERROR(INDEX(Rosters!$C$2:$C$155,MATCH($B2414,Rosters!$B$2:$B$155,0)),"NA")</f>
        <v>perry</v>
      </c>
      <c r="L2414" t="str">
        <f t="shared" si="111"/>
        <v>perry6RB</v>
      </c>
      <c r="M2414">
        <f>COUNTIF(L$1:L2414,L2414)</f>
        <v>4</v>
      </c>
      <c r="N2414" t="str">
        <f t="shared" si="112"/>
        <v>perry6RB-4</v>
      </c>
      <c r="O2414">
        <f>COUNTIFS(F$1:F2414,F2414,A$1:A2414,A2414)</f>
        <v>47</v>
      </c>
      <c r="P2414" t="str">
        <f t="shared" si="113"/>
        <v>Alfred Blue6</v>
      </c>
    </row>
    <row r="2415" spans="1:16" x14ac:dyDescent="0.25">
      <c r="A2415">
        <v>10</v>
      </c>
      <c r="B2415" t="s">
        <v>163</v>
      </c>
      <c r="C2415" t="s">
        <v>7471</v>
      </c>
      <c r="D2415">
        <v>5.42</v>
      </c>
      <c r="E2415" t="s">
        <v>60</v>
      </c>
      <c r="F2415" t="s">
        <v>87</v>
      </c>
      <c r="G2415">
        <v>9.36</v>
      </c>
      <c r="H2415">
        <v>1.48</v>
      </c>
      <c r="I2415">
        <v>3.94</v>
      </c>
      <c r="J2415">
        <v>15.5236</v>
      </c>
      <c r="K2415" t="str">
        <f>IFERROR(INDEX(Rosters!$C$2:$C$155,MATCH($B2415,Rosters!$B$2:$B$155,0)),"NA")</f>
        <v>scott</v>
      </c>
      <c r="L2415" t="str">
        <f t="shared" si="111"/>
        <v>scott10WR</v>
      </c>
      <c r="M2415">
        <f>COUNTIF(L$1:L2415,L2415)</f>
        <v>5</v>
      </c>
      <c r="N2415" t="str">
        <f t="shared" si="112"/>
        <v>scott10WR-5</v>
      </c>
      <c r="O2415">
        <f>COUNTIFS(F$1:F2415,F2415,A$1:A2415,A2415)</f>
        <v>48</v>
      </c>
      <c r="P2415" t="str">
        <f t="shared" si="113"/>
        <v>DeSean Jackson10</v>
      </c>
    </row>
    <row r="2416" spans="1:16" x14ac:dyDescent="0.25">
      <c r="A2416">
        <v>6</v>
      </c>
      <c r="B2416" t="s">
        <v>150</v>
      </c>
      <c r="C2416" t="s">
        <v>7472</v>
      </c>
      <c r="D2416">
        <v>5.42</v>
      </c>
      <c r="E2416" t="s">
        <v>36</v>
      </c>
      <c r="F2416" t="s">
        <v>87</v>
      </c>
      <c r="G2416">
        <v>10.23</v>
      </c>
      <c r="H2416">
        <v>0.61</v>
      </c>
      <c r="I2416">
        <v>4.8099999999999996</v>
      </c>
      <c r="J2416">
        <v>23.136099999999999</v>
      </c>
      <c r="K2416" t="str">
        <f>IFERROR(INDEX(Rosters!$C$2:$C$155,MATCH($B2416,Rosters!$B$2:$B$155,0)),"NA")</f>
        <v>NA</v>
      </c>
      <c r="L2416" t="str">
        <f t="shared" si="111"/>
        <v>NA6WR</v>
      </c>
      <c r="M2416">
        <f>COUNTIF(L$1:L2416,L2416)</f>
        <v>9</v>
      </c>
      <c r="N2416" t="str">
        <f t="shared" si="112"/>
        <v>NA6WR-9</v>
      </c>
      <c r="O2416">
        <f>COUNTIFS(F$1:F2416,F2416,A$1:A2416,A2416)</f>
        <v>52</v>
      </c>
      <c r="P2416" t="str">
        <f t="shared" si="113"/>
        <v>Kelvin Benjamin6</v>
      </c>
    </row>
    <row r="2417" spans="1:16" x14ac:dyDescent="0.25">
      <c r="A2417">
        <v>4</v>
      </c>
      <c r="B2417" t="s">
        <v>226</v>
      </c>
      <c r="C2417" t="s">
        <v>5031</v>
      </c>
      <c r="D2417">
        <v>5.42</v>
      </c>
      <c r="E2417" t="s">
        <v>30</v>
      </c>
      <c r="F2417" t="s">
        <v>87</v>
      </c>
      <c r="G2417">
        <v>9.48</v>
      </c>
      <c r="H2417">
        <v>1.36</v>
      </c>
      <c r="I2417">
        <v>4.0599999999999996</v>
      </c>
      <c r="J2417">
        <v>16.483599999999999</v>
      </c>
      <c r="K2417" t="str">
        <f>IFERROR(INDEX(Rosters!$C$2:$C$155,MATCH($B2417,Rosters!$B$2:$B$155,0)),"NA")</f>
        <v>comp</v>
      </c>
      <c r="L2417" t="str">
        <f t="shared" si="111"/>
        <v>comp4WR</v>
      </c>
      <c r="M2417">
        <f>COUNTIF(L$1:L2417,L2417)</f>
        <v>7</v>
      </c>
      <c r="N2417" t="str">
        <f t="shared" si="112"/>
        <v>comp4WR-7</v>
      </c>
      <c r="O2417">
        <f>COUNTIFS(F$1:F2417,F2417,A$1:A2417,A2417)</f>
        <v>51</v>
      </c>
      <c r="P2417" t="str">
        <f t="shared" si="113"/>
        <v>Mike Williams4</v>
      </c>
    </row>
    <row r="2418" spans="1:16" x14ac:dyDescent="0.25">
      <c r="A2418">
        <v>11</v>
      </c>
      <c r="B2418" t="s">
        <v>226</v>
      </c>
      <c r="C2418" t="s">
        <v>7473</v>
      </c>
      <c r="D2418">
        <v>5.42</v>
      </c>
      <c r="E2418" t="s">
        <v>42</v>
      </c>
      <c r="F2418" t="s">
        <v>87</v>
      </c>
      <c r="G2418">
        <v>9.52</v>
      </c>
      <c r="H2418">
        <v>1.32</v>
      </c>
      <c r="I2418">
        <v>4.0999999999999996</v>
      </c>
      <c r="J2418">
        <v>16.809999999999999</v>
      </c>
      <c r="K2418" t="str">
        <f>IFERROR(INDEX(Rosters!$C$2:$C$155,MATCH($B2418,Rosters!$B$2:$B$155,0)),"NA")</f>
        <v>comp</v>
      </c>
      <c r="L2418" t="str">
        <f t="shared" si="111"/>
        <v>comp11WR</v>
      </c>
      <c r="M2418">
        <f>COUNTIF(L$1:L2418,L2418)</f>
        <v>6</v>
      </c>
      <c r="N2418" t="str">
        <f t="shared" si="112"/>
        <v>comp11WR-6</v>
      </c>
      <c r="O2418">
        <f>COUNTIFS(F$1:F2418,F2418,A$1:A2418,A2418)</f>
        <v>51</v>
      </c>
      <c r="P2418" t="str">
        <f t="shared" si="113"/>
        <v>Mike Williams11</v>
      </c>
    </row>
    <row r="2419" spans="1:16" x14ac:dyDescent="0.25">
      <c r="A2419">
        <v>17</v>
      </c>
      <c r="B2419" t="s">
        <v>313</v>
      </c>
      <c r="C2419" t="s">
        <v>7474</v>
      </c>
      <c r="D2419">
        <v>5.42</v>
      </c>
      <c r="E2419" t="s">
        <v>25</v>
      </c>
      <c r="F2419" t="s">
        <v>114</v>
      </c>
      <c r="G2419">
        <v>9.4700000000000006</v>
      </c>
      <c r="H2419">
        <v>1.37</v>
      </c>
      <c r="I2419">
        <v>4.05</v>
      </c>
      <c r="J2419">
        <v>16.4025</v>
      </c>
      <c r="K2419" t="str">
        <f>IFERROR(INDEX(Rosters!$C$2:$C$155,MATCH($B2419,Rosters!$B$2:$B$155,0)),"NA")</f>
        <v>comp</v>
      </c>
      <c r="L2419" t="str">
        <f t="shared" si="111"/>
        <v>comp17TE</v>
      </c>
      <c r="M2419">
        <f>COUNTIF(L$1:L2419,L2419)</f>
        <v>2</v>
      </c>
      <c r="N2419" t="str">
        <f t="shared" si="112"/>
        <v>comp17TE-2</v>
      </c>
      <c r="O2419">
        <f>COUNTIFS(F$1:F2419,F2419,A$1:A2419,A2419)</f>
        <v>13</v>
      </c>
      <c r="P2419" t="str">
        <f t="shared" si="113"/>
        <v>Trey Burton17</v>
      </c>
    </row>
    <row r="2420" spans="1:16" x14ac:dyDescent="0.25">
      <c r="A2420">
        <v>17</v>
      </c>
      <c r="B2420" t="s">
        <v>131</v>
      </c>
      <c r="C2420" t="s">
        <v>7475</v>
      </c>
      <c r="D2420">
        <v>5.41</v>
      </c>
      <c r="E2420" t="s">
        <v>14</v>
      </c>
      <c r="F2420" t="s">
        <v>47</v>
      </c>
      <c r="G2420">
        <v>10.44</v>
      </c>
      <c r="H2420">
        <v>0.38</v>
      </c>
      <c r="I2420">
        <v>5.03</v>
      </c>
      <c r="J2420">
        <v>25.300899999999999</v>
      </c>
      <c r="K2420" t="str">
        <f>IFERROR(INDEX(Rosters!$C$2:$C$155,MATCH($B2420,Rosters!$B$2:$B$155,0)),"NA")</f>
        <v>NA</v>
      </c>
      <c r="L2420" t="str">
        <f t="shared" si="111"/>
        <v>NA17RB</v>
      </c>
      <c r="M2420">
        <f>COUNTIF(L$1:L2420,L2420)</f>
        <v>10</v>
      </c>
      <c r="N2420" t="str">
        <f t="shared" si="112"/>
        <v>NA17RB-10</v>
      </c>
      <c r="O2420">
        <f>COUNTIFS(F$1:F2420,F2420,A$1:A2420,A2420)</f>
        <v>53</v>
      </c>
      <c r="P2420" t="str">
        <f t="shared" si="113"/>
        <v>C.J. Anderson17</v>
      </c>
    </row>
    <row r="2421" spans="1:16" x14ac:dyDescent="0.25">
      <c r="A2421">
        <v>13</v>
      </c>
      <c r="B2421" t="s">
        <v>235</v>
      </c>
      <c r="C2421">
        <f>-0.04-10.86</f>
        <v>-10.899999999999999</v>
      </c>
      <c r="D2421">
        <v>5.41</v>
      </c>
      <c r="E2421" t="s">
        <v>72</v>
      </c>
      <c r="F2421" t="s">
        <v>114</v>
      </c>
      <c r="G2421">
        <v>10.86</v>
      </c>
      <c r="H2421">
        <v>-0.04</v>
      </c>
      <c r="I2421">
        <v>5.45</v>
      </c>
      <c r="J2421">
        <v>29.702500000000001</v>
      </c>
      <c r="K2421" t="str">
        <f>IFERROR(INDEX(Rosters!$C$2:$C$155,MATCH($B2421,Rosters!$B$2:$B$155,0)),"NA")</f>
        <v>devon</v>
      </c>
      <c r="L2421" t="str">
        <f t="shared" si="111"/>
        <v>devon13TE</v>
      </c>
      <c r="M2421">
        <f>COUNTIF(L$1:L2421,L2421)</f>
        <v>1</v>
      </c>
      <c r="N2421" t="str">
        <f t="shared" si="112"/>
        <v>devon13TE-1</v>
      </c>
      <c r="O2421">
        <f>COUNTIFS(F$1:F2421,F2421,A$1:A2421,A2421)</f>
        <v>10</v>
      </c>
      <c r="P2421" t="str">
        <f t="shared" si="113"/>
        <v>Evan Engram13</v>
      </c>
    </row>
    <row r="2422" spans="1:16" x14ac:dyDescent="0.25">
      <c r="A2422">
        <v>1</v>
      </c>
      <c r="B2422" t="s">
        <v>118</v>
      </c>
      <c r="C2422" t="s">
        <v>1706</v>
      </c>
      <c r="D2422">
        <v>5.41</v>
      </c>
      <c r="E2422" t="s">
        <v>58</v>
      </c>
      <c r="F2422" t="s">
        <v>114</v>
      </c>
      <c r="G2422">
        <v>10.029999999999999</v>
      </c>
      <c r="H2422">
        <v>0.79</v>
      </c>
      <c r="I2422">
        <v>4.62</v>
      </c>
      <c r="J2422">
        <v>21.3444</v>
      </c>
      <c r="K2422" t="str">
        <f>IFERROR(INDEX(Rosters!$C$2:$C$155,MATCH($B2422,Rosters!$B$2:$B$155,0)),"NA")</f>
        <v>matty</v>
      </c>
      <c r="L2422" t="str">
        <f t="shared" si="111"/>
        <v>matty1TE</v>
      </c>
      <c r="M2422">
        <f>COUNTIF(L$1:L2422,L2422)</f>
        <v>1</v>
      </c>
      <c r="N2422" t="str">
        <f t="shared" si="112"/>
        <v>matty1TE-1</v>
      </c>
      <c r="O2422">
        <f>COUNTIFS(F$1:F2422,F2422,A$1:A2422,A2422)</f>
        <v>10</v>
      </c>
      <c r="P2422" t="str">
        <f t="shared" si="113"/>
        <v>Jordan Reed1</v>
      </c>
    </row>
    <row r="2423" spans="1:16" x14ac:dyDescent="0.25">
      <c r="A2423">
        <v>4</v>
      </c>
      <c r="B2423" t="s">
        <v>150</v>
      </c>
      <c r="C2423" t="s">
        <v>4532</v>
      </c>
      <c r="D2423">
        <v>5.41</v>
      </c>
      <c r="E2423" t="s">
        <v>41</v>
      </c>
      <c r="F2423" t="s">
        <v>87</v>
      </c>
      <c r="G2423">
        <v>10.53</v>
      </c>
      <c r="H2423">
        <v>0.28999999999999998</v>
      </c>
      <c r="I2423">
        <v>5.12</v>
      </c>
      <c r="J2423">
        <v>26.214400000000001</v>
      </c>
      <c r="K2423" t="str">
        <f>IFERROR(INDEX(Rosters!$C$2:$C$155,MATCH($B2423,Rosters!$B$2:$B$155,0)),"NA")</f>
        <v>NA</v>
      </c>
      <c r="L2423" t="str">
        <f t="shared" si="111"/>
        <v>NA4WR</v>
      </c>
      <c r="M2423">
        <f>COUNTIF(L$1:L2423,L2423)</f>
        <v>6</v>
      </c>
      <c r="N2423" t="str">
        <f t="shared" si="112"/>
        <v>NA4WR-6</v>
      </c>
      <c r="O2423">
        <f>COUNTIFS(F$1:F2423,F2423,A$1:A2423,A2423)</f>
        <v>52</v>
      </c>
      <c r="P2423" t="str">
        <f t="shared" si="113"/>
        <v>Kelvin Benjamin4</v>
      </c>
    </row>
    <row r="2424" spans="1:16" x14ac:dyDescent="0.25">
      <c r="A2424">
        <v>7</v>
      </c>
      <c r="B2424" t="s">
        <v>150</v>
      </c>
      <c r="C2424" t="s">
        <v>7476</v>
      </c>
      <c r="D2424">
        <v>5.41</v>
      </c>
      <c r="E2424" t="s">
        <v>66</v>
      </c>
      <c r="F2424" t="s">
        <v>87</v>
      </c>
      <c r="G2424">
        <v>9.9499999999999993</v>
      </c>
      <c r="H2424">
        <v>0.87</v>
      </c>
      <c r="I2424">
        <v>4.54</v>
      </c>
      <c r="J2424">
        <v>20.611599999999999</v>
      </c>
      <c r="K2424" t="str">
        <f>IFERROR(INDEX(Rosters!$C$2:$C$155,MATCH($B2424,Rosters!$B$2:$B$155,0)),"NA")</f>
        <v>NA</v>
      </c>
      <c r="L2424" t="str">
        <f t="shared" si="111"/>
        <v>NA7WR</v>
      </c>
      <c r="M2424">
        <f>COUNTIF(L$1:L2424,L2424)</f>
        <v>6</v>
      </c>
      <c r="N2424" t="str">
        <f t="shared" si="112"/>
        <v>NA7WR-6</v>
      </c>
      <c r="O2424">
        <f>COUNTIFS(F$1:F2424,F2424,A$1:A2424,A2424)</f>
        <v>47</v>
      </c>
      <c r="P2424" t="str">
        <f t="shared" si="113"/>
        <v>Kelvin Benjamin7</v>
      </c>
    </row>
    <row r="2425" spans="1:16" x14ac:dyDescent="0.25">
      <c r="A2425">
        <v>5</v>
      </c>
      <c r="B2425" t="s">
        <v>1408</v>
      </c>
      <c r="C2425" t="s">
        <v>7477</v>
      </c>
      <c r="D2425">
        <v>5.41</v>
      </c>
      <c r="E2425" t="s">
        <v>36</v>
      </c>
      <c r="F2425" t="s">
        <v>87</v>
      </c>
      <c r="G2425">
        <v>10.37</v>
      </c>
      <c r="H2425">
        <v>0.45</v>
      </c>
      <c r="I2425">
        <v>4.96</v>
      </c>
      <c r="J2425">
        <v>24.601600000000001</v>
      </c>
      <c r="K2425" t="str">
        <f>IFERROR(INDEX(Rosters!$C$2:$C$155,MATCH($B2425,Rosters!$B$2:$B$155,0)),"NA")</f>
        <v>NA</v>
      </c>
      <c r="L2425" t="str">
        <f t="shared" si="111"/>
        <v>NA5WR</v>
      </c>
      <c r="M2425">
        <f>COUNTIF(L$1:L2425,L2425)</f>
        <v>12</v>
      </c>
      <c r="N2425" t="str">
        <f t="shared" si="112"/>
        <v>NA5WR-12</v>
      </c>
      <c r="O2425">
        <f>COUNTIFS(F$1:F2425,F2425,A$1:A2425,A2425)</f>
        <v>56</v>
      </c>
      <c r="P2425" t="str">
        <f t="shared" si="113"/>
        <v>Michael Gallup5</v>
      </c>
    </row>
    <row r="2426" spans="1:16" x14ac:dyDescent="0.25">
      <c r="A2426">
        <v>8</v>
      </c>
      <c r="B2426" t="s">
        <v>245</v>
      </c>
      <c r="C2426" t="s">
        <v>7478</v>
      </c>
      <c r="D2426">
        <v>5.41</v>
      </c>
      <c r="E2426" t="s">
        <v>50</v>
      </c>
      <c r="F2426" t="s">
        <v>47</v>
      </c>
      <c r="G2426">
        <v>9.68</v>
      </c>
      <c r="H2426">
        <v>1.1399999999999999</v>
      </c>
      <c r="I2426">
        <v>4.2699999999999996</v>
      </c>
      <c r="J2426">
        <v>18.232900000000001</v>
      </c>
      <c r="K2426" t="str">
        <f>IFERROR(INDEX(Rosters!$C$2:$C$155,MATCH($B2426,Rosters!$B$2:$B$155,0)),"NA")</f>
        <v>seth</v>
      </c>
      <c r="L2426" t="str">
        <f t="shared" si="111"/>
        <v>seth8RB</v>
      </c>
      <c r="M2426">
        <f>COUNTIF(L$1:L2426,L2426)</f>
        <v>5</v>
      </c>
      <c r="N2426" t="str">
        <f t="shared" si="112"/>
        <v>seth8RB-5</v>
      </c>
      <c r="O2426">
        <f>COUNTIFS(F$1:F2426,F2426,A$1:A2426,A2426)</f>
        <v>50</v>
      </c>
      <c r="P2426" t="str">
        <f t="shared" si="113"/>
        <v>T.J. Yeldon8</v>
      </c>
    </row>
    <row r="2427" spans="1:16" x14ac:dyDescent="0.25">
      <c r="A2427">
        <v>8</v>
      </c>
      <c r="B2427" t="s">
        <v>237</v>
      </c>
      <c r="C2427" t="s">
        <v>7479</v>
      </c>
      <c r="D2427">
        <v>5.41</v>
      </c>
      <c r="E2427" t="s">
        <v>73</v>
      </c>
      <c r="F2427" t="s">
        <v>87</v>
      </c>
      <c r="G2427">
        <v>9.3699999999999992</v>
      </c>
      <c r="H2427">
        <v>1.45</v>
      </c>
      <c r="I2427">
        <v>3.96</v>
      </c>
      <c r="J2427">
        <v>15.6816</v>
      </c>
      <c r="K2427" t="str">
        <f>IFERROR(INDEX(Rosters!$C$2:$C$155,MATCH($B2427,Rosters!$B$2:$B$155,0)),"NA")</f>
        <v>NA</v>
      </c>
      <c r="L2427" t="str">
        <f t="shared" si="111"/>
        <v>NA8WR</v>
      </c>
      <c r="M2427">
        <f>COUNTIF(L$1:L2427,L2427)</f>
        <v>13</v>
      </c>
      <c r="N2427" t="str">
        <f t="shared" si="112"/>
        <v>NA8WR-13</v>
      </c>
      <c r="O2427">
        <f>COUNTIFS(F$1:F2427,F2427,A$1:A2427,A2427)</f>
        <v>58</v>
      </c>
      <c r="P2427" t="str">
        <f t="shared" si="113"/>
        <v>Taylor Gabriel8</v>
      </c>
    </row>
    <row r="2428" spans="1:16" x14ac:dyDescent="0.25">
      <c r="A2428">
        <v>5</v>
      </c>
      <c r="B2428" t="s">
        <v>152</v>
      </c>
      <c r="C2428" t="s">
        <v>7480</v>
      </c>
      <c r="D2428">
        <v>5.41</v>
      </c>
      <c r="E2428" t="s">
        <v>52</v>
      </c>
      <c r="F2428" t="s">
        <v>87</v>
      </c>
      <c r="G2428">
        <v>9.69</v>
      </c>
      <c r="H2428">
        <v>1.1299999999999999</v>
      </c>
      <c r="I2428">
        <v>4.28</v>
      </c>
      <c r="J2428">
        <v>18.3184</v>
      </c>
      <c r="K2428" t="str">
        <f>IFERROR(INDEX(Rosters!$C$2:$C$155,MATCH($B2428,Rosters!$B$2:$B$155,0)),"NA")</f>
        <v>NA</v>
      </c>
      <c r="L2428" t="str">
        <f t="shared" si="111"/>
        <v>NA5WR</v>
      </c>
      <c r="M2428">
        <f>COUNTIF(L$1:L2428,L2428)</f>
        <v>13</v>
      </c>
      <c r="N2428" t="str">
        <f t="shared" si="112"/>
        <v>NA5WR-13</v>
      </c>
      <c r="O2428">
        <f>COUNTIFS(F$1:F2428,F2428,A$1:A2428,A2428)</f>
        <v>57</v>
      </c>
      <c r="P2428" t="str">
        <f t="shared" si="113"/>
        <v>Willie Snead5</v>
      </c>
    </row>
    <row r="2429" spans="1:16" x14ac:dyDescent="0.25">
      <c r="A2429">
        <v>15</v>
      </c>
      <c r="B2429" t="s">
        <v>118</v>
      </c>
      <c r="C2429" t="s">
        <v>7481</v>
      </c>
      <c r="D2429">
        <v>5.4</v>
      </c>
      <c r="E2429" t="s">
        <v>76</v>
      </c>
      <c r="F2429" t="s">
        <v>114</v>
      </c>
      <c r="G2429">
        <v>9.8699999999999992</v>
      </c>
      <c r="H2429">
        <v>0.93</v>
      </c>
      <c r="I2429">
        <v>4.47</v>
      </c>
      <c r="J2429">
        <v>19.980899999999998</v>
      </c>
      <c r="K2429" t="str">
        <f>IFERROR(INDEX(Rosters!$C$2:$C$155,MATCH($B2429,Rosters!$B$2:$B$155,0)),"NA")</f>
        <v>matty</v>
      </c>
      <c r="L2429" t="str">
        <f t="shared" si="111"/>
        <v>matty15TE</v>
      </c>
      <c r="M2429">
        <f>COUNTIF(L$1:L2429,L2429)</f>
        <v>1</v>
      </c>
      <c r="N2429" t="str">
        <f t="shared" si="112"/>
        <v>matty15TE-1</v>
      </c>
      <c r="O2429">
        <f>COUNTIFS(F$1:F2429,F2429,A$1:A2429,A2429)</f>
        <v>11</v>
      </c>
      <c r="P2429" t="str">
        <f t="shared" si="113"/>
        <v>Jordan Reed15</v>
      </c>
    </row>
    <row r="2430" spans="1:16" x14ac:dyDescent="0.25">
      <c r="A2430">
        <v>1</v>
      </c>
      <c r="B2430" t="s">
        <v>1366</v>
      </c>
      <c r="C2430" t="s">
        <v>1392</v>
      </c>
      <c r="D2430">
        <v>5.4</v>
      </c>
      <c r="E2430" t="s">
        <v>51</v>
      </c>
      <c r="F2430" t="s">
        <v>47</v>
      </c>
      <c r="G2430">
        <v>8.76</v>
      </c>
      <c r="H2430">
        <v>2.04</v>
      </c>
      <c r="I2430">
        <v>3.36</v>
      </c>
      <c r="J2430">
        <v>11.2896</v>
      </c>
      <c r="K2430" t="str">
        <f>IFERROR(INDEX(Rosters!$C$2:$C$155,MATCH($B2430,Rosters!$B$2:$B$155,0)),"NA")</f>
        <v>NA</v>
      </c>
      <c r="L2430" t="str">
        <f t="shared" si="111"/>
        <v>NA1RB</v>
      </c>
      <c r="M2430">
        <f>COUNTIF(L$1:L2430,L2430)</f>
        <v>6</v>
      </c>
      <c r="N2430" t="str">
        <f t="shared" si="112"/>
        <v>NA1RB-6</v>
      </c>
      <c r="O2430">
        <f>COUNTIFS(F$1:F2430,F2430,A$1:A2430,A2430)</f>
        <v>40</v>
      </c>
      <c r="P2430" t="str">
        <f t="shared" si="113"/>
        <v>Nick Chubb1</v>
      </c>
    </row>
    <row r="2431" spans="1:16" x14ac:dyDescent="0.25">
      <c r="A2431">
        <v>3</v>
      </c>
      <c r="B2431" t="s">
        <v>203</v>
      </c>
      <c r="C2431" t="s">
        <v>3730</v>
      </c>
      <c r="D2431">
        <v>5.4</v>
      </c>
      <c r="E2431" t="s">
        <v>52</v>
      </c>
      <c r="F2431" t="s">
        <v>87</v>
      </c>
      <c r="G2431">
        <v>9.41</v>
      </c>
      <c r="H2431">
        <v>1.39</v>
      </c>
      <c r="I2431">
        <v>4.01</v>
      </c>
      <c r="J2431">
        <v>16.080100000000002</v>
      </c>
      <c r="K2431" t="str">
        <f>IFERROR(INDEX(Rosters!$C$2:$C$155,MATCH($B2431,Rosters!$B$2:$B$155,0)),"NA")</f>
        <v>NA</v>
      </c>
      <c r="L2431" t="str">
        <f t="shared" si="111"/>
        <v>NA3WR</v>
      </c>
      <c r="M2431">
        <f>COUNTIF(L$1:L2431,L2431)</f>
        <v>10</v>
      </c>
      <c r="N2431" t="str">
        <f t="shared" si="112"/>
        <v>NA3WR-10</v>
      </c>
      <c r="O2431">
        <f>COUNTIFS(F$1:F2431,F2431,A$1:A2431,A2431)</f>
        <v>53</v>
      </c>
      <c r="P2431" t="str">
        <f t="shared" si="113"/>
        <v>Robby Anderson3</v>
      </c>
    </row>
    <row r="2432" spans="1:16" x14ac:dyDescent="0.25">
      <c r="A2432">
        <v>4</v>
      </c>
      <c r="B2432" t="s">
        <v>227</v>
      </c>
      <c r="C2432" t="s">
        <v>4533</v>
      </c>
      <c r="D2432">
        <v>5.39</v>
      </c>
      <c r="E2432" t="s">
        <v>423</v>
      </c>
      <c r="F2432" t="s">
        <v>87</v>
      </c>
      <c r="G2432">
        <v>9.26</v>
      </c>
      <c r="H2432">
        <v>1.52</v>
      </c>
      <c r="I2432">
        <v>3.87</v>
      </c>
      <c r="J2432">
        <v>14.976900000000001</v>
      </c>
      <c r="K2432" t="str">
        <f>IFERROR(INDEX(Rosters!$C$2:$C$155,MATCH($B2432,Rosters!$B$2:$B$155,0)),"NA")</f>
        <v>NA</v>
      </c>
      <c r="L2432" t="str">
        <f t="shared" si="111"/>
        <v>NA4WR</v>
      </c>
      <c r="M2432">
        <f>COUNTIF(L$1:L2432,L2432)</f>
        <v>7</v>
      </c>
      <c r="N2432" t="str">
        <f t="shared" si="112"/>
        <v>NA4WR-7</v>
      </c>
      <c r="O2432">
        <f>COUNTIFS(F$1:F2432,F2432,A$1:A2432,A2432)</f>
        <v>53</v>
      </c>
      <c r="P2432" t="str">
        <f t="shared" si="113"/>
        <v>Danny Amendola4</v>
      </c>
    </row>
    <row r="2433" spans="1:16" x14ac:dyDescent="0.25">
      <c r="A2433">
        <v>12</v>
      </c>
      <c r="B2433" t="s">
        <v>235</v>
      </c>
      <c r="C2433">
        <f>-0.11-10.89</f>
        <v>-11</v>
      </c>
      <c r="D2433">
        <v>5.39</v>
      </c>
      <c r="E2433" t="s">
        <v>50</v>
      </c>
      <c r="F2433" t="s">
        <v>114</v>
      </c>
      <c r="G2433">
        <v>10.89</v>
      </c>
      <c r="H2433">
        <v>-0.11</v>
      </c>
      <c r="I2433">
        <v>5.5</v>
      </c>
      <c r="J2433">
        <v>30.25</v>
      </c>
      <c r="K2433" t="str">
        <f>IFERROR(INDEX(Rosters!$C$2:$C$155,MATCH($B2433,Rosters!$B$2:$B$155,0)),"NA")</f>
        <v>devon</v>
      </c>
      <c r="L2433" t="str">
        <f t="shared" si="111"/>
        <v>devon12TE</v>
      </c>
      <c r="M2433">
        <f>COUNTIF(L$1:L2433,L2433)</f>
        <v>2</v>
      </c>
      <c r="N2433" t="str">
        <f t="shared" si="112"/>
        <v>devon12TE-2</v>
      </c>
      <c r="O2433">
        <f>COUNTIFS(F$1:F2433,F2433,A$1:A2433,A2433)</f>
        <v>14</v>
      </c>
      <c r="P2433" t="str">
        <f t="shared" si="113"/>
        <v>Evan Engram12</v>
      </c>
    </row>
    <row r="2434" spans="1:16" x14ac:dyDescent="0.25">
      <c r="A2434">
        <v>17</v>
      </c>
      <c r="B2434" t="s">
        <v>181</v>
      </c>
      <c r="C2434" t="s">
        <v>7482</v>
      </c>
      <c r="D2434">
        <v>5.39</v>
      </c>
      <c r="E2434" t="s">
        <v>72</v>
      </c>
      <c r="F2434" t="s">
        <v>114</v>
      </c>
      <c r="G2434">
        <v>8.25</v>
      </c>
      <c r="H2434">
        <v>2.5299999999999998</v>
      </c>
      <c r="I2434">
        <v>2.86</v>
      </c>
      <c r="J2434">
        <v>8.1796000000000006</v>
      </c>
      <c r="K2434" t="str">
        <f>IFERROR(INDEX(Rosters!$C$2:$C$155,MATCH($B2434,Rosters!$B$2:$B$155,0)),"NA")</f>
        <v>cory</v>
      </c>
      <c r="L2434" t="str">
        <f t="shared" si="111"/>
        <v>cory17TE</v>
      </c>
      <c r="M2434">
        <f>COUNTIF(L$1:L2434,L2434)</f>
        <v>1</v>
      </c>
      <c r="N2434" t="str">
        <f t="shared" si="112"/>
        <v>cory17TE-1</v>
      </c>
      <c r="O2434">
        <f>COUNTIFS(F$1:F2434,F2434,A$1:A2434,A2434)</f>
        <v>14</v>
      </c>
      <c r="P2434" t="str">
        <f t="shared" si="113"/>
        <v>Kyle Rudolph17</v>
      </c>
    </row>
    <row r="2435" spans="1:16" x14ac:dyDescent="0.25">
      <c r="A2435">
        <v>6</v>
      </c>
      <c r="B2435" t="s">
        <v>224</v>
      </c>
      <c r="C2435" t="s">
        <v>7483</v>
      </c>
      <c r="D2435">
        <v>5.39</v>
      </c>
      <c r="E2435" t="s">
        <v>73</v>
      </c>
      <c r="F2435" t="s">
        <v>47</v>
      </c>
      <c r="G2435">
        <v>10.32</v>
      </c>
      <c r="H2435">
        <v>0.46</v>
      </c>
      <c r="I2435">
        <v>4.93</v>
      </c>
      <c r="J2435">
        <v>24.3049</v>
      </c>
      <c r="K2435" t="str">
        <f>IFERROR(INDEX(Rosters!$C$2:$C$155,MATCH($B2435,Rosters!$B$2:$B$155,0)),"NA")</f>
        <v>NA</v>
      </c>
      <c r="L2435" t="str">
        <f t="shared" ref="L2435:L2498" si="114">K2435&amp;A2435&amp;F2435</f>
        <v>NA6RB</v>
      </c>
      <c r="M2435">
        <f>COUNTIF(L$1:L2435,L2435)</f>
        <v>8</v>
      </c>
      <c r="N2435" t="str">
        <f t="shared" ref="N2435:N2498" si="115">L2435&amp;"-"&amp;M2435</f>
        <v>NA6RB-8</v>
      </c>
      <c r="O2435">
        <f>COUNTIFS(F$1:F2435,F2435,A$1:A2435,A2435)</f>
        <v>48</v>
      </c>
      <c r="P2435" t="str">
        <f t="shared" ref="P2435:P2498" si="116">B2435&amp;A2435</f>
        <v>Marlon Mack6</v>
      </c>
    </row>
    <row r="2436" spans="1:16" x14ac:dyDescent="0.25">
      <c r="A2436">
        <v>8</v>
      </c>
      <c r="B2436" t="s">
        <v>131</v>
      </c>
      <c r="C2436" t="s">
        <v>7484</v>
      </c>
      <c r="D2436">
        <v>5.38</v>
      </c>
      <c r="E2436" t="s">
        <v>77</v>
      </c>
      <c r="F2436" t="s">
        <v>47</v>
      </c>
      <c r="G2436">
        <v>9.91</v>
      </c>
      <c r="H2436">
        <v>0.85</v>
      </c>
      <c r="I2436">
        <v>4.53</v>
      </c>
      <c r="J2436">
        <v>20.520900000000001</v>
      </c>
      <c r="K2436" t="str">
        <f>IFERROR(INDEX(Rosters!$C$2:$C$155,MATCH($B2436,Rosters!$B$2:$B$155,0)),"NA")</f>
        <v>NA</v>
      </c>
      <c r="L2436" t="str">
        <f t="shared" si="114"/>
        <v>NA8RB</v>
      </c>
      <c r="M2436">
        <f>COUNTIF(L$1:L2436,L2436)</f>
        <v>12</v>
      </c>
      <c r="N2436" t="str">
        <f t="shared" si="115"/>
        <v>NA8RB-12</v>
      </c>
      <c r="O2436">
        <f>COUNTIFS(F$1:F2436,F2436,A$1:A2436,A2436)</f>
        <v>51</v>
      </c>
      <c r="P2436" t="str">
        <f t="shared" si="116"/>
        <v>C.J. Anderson8</v>
      </c>
    </row>
    <row r="2437" spans="1:16" x14ac:dyDescent="0.25">
      <c r="A2437">
        <v>7</v>
      </c>
      <c r="B2437" t="s">
        <v>1391</v>
      </c>
      <c r="C2437">
        <f>-0.13-10.89</f>
        <v>-11.020000000000001</v>
      </c>
      <c r="D2437">
        <v>5.38</v>
      </c>
      <c r="E2437" t="s">
        <v>50</v>
      </c>
      <c r="F2437" t="s">
        <v>87</v>
      </c>
      <c r="G2437">
        <v>10.89</v>
      </c>
      <c r="H2437">
        <v>-0.13</v>
      </c>
      <c r="I2437">
        <v>5.51</v>
      </c>
      <c r="J2437">
        <v>30.360099999999999</v>
      </c>
      <c r="K2437" t="str">
        <f>IFERROR(INDEX(Rosters!$C$2:$C$155,MATCH($B2437,Rosters!$B$2:$B$155,0)),"NA")</f>
        <v>NA</v>
      </c>
      <c r="L2437" t="str">
        <f t="shared" si="114"/>
        <v>NA7WR</v>
      </c>
      <c r="M2437">
        <f>COUNTIF(L$1:L2437,L2437)</f>
        <v>7</v>
      </c>
      <c r="N2437" t="str">
        <f t="shared" si="115"/>
        <v>NA7WR-7</v>
      </c>
      <c r="O2437">
        <f>COUNTIFS(F$1:F2437,F2437,A$1:A2437,A2437)</f>
        <v>48</v>
      </c>
      <c r="P2437" t="str">
        <f t="shared" si="116"/>
        <v>D.J. Moore7</v>
      </c>
    </row>
    <row r="2438" spans="1:16" x14ac:dyDescent="0.25">
      <c r="A2438">
        <v>10</v>
      </c>
      <c r="B2438" t="s">
        <v>1211</v>
      </c>
      <c r="C2438" t="s">
        <v>7485</v>
      </c>
      <c r="D2438">
        <v>5.38</v>
      </c>
      <c r="E2438" t="s">
        <v>66</v>
      </c>
      <c r="F2438" t="s">
        <v>87</v>
      </c>
      <c r="G2438">
        <v>9.76</v>
      </c>
      <c r="H2438">
        <v>1</v>
      </c>
      <c r="I2438">
        <v>4.38</v>
      </c>
      <c r="J2438">
        <v>19.1844</v>
      </c>
      <c r="K2438" t="str">
        <f>IFERROR(INDEX(Rosters!$C$2:$C$155,MATCH($B2438,Rosters!$B$2:$B$155,0)),"NA")</f>
        <v>NA</v>
      </c>
      <c r="L2438" t="str">
        <f t="shared" si="114"/>
        <v>NA10WR</v>
      </c>
      <c r="M2438">
        <f>COUNTIF(L$1:L2438,L2438)</f>
        <v>8</v>
      </c>
      <c r="N2438" t="str">
        <f t="shared" si="115"/>
        <v>NA10WR-8</v>
      </c>
      <c r="O2438">
        <f>COUNTIFS(F$1:F2438,F2438,A$1:A2438,A2438)</f>
        <v>49</v>
      </c>
      <c r="P2438" t="str">
        <f t="shared" si="116"/>
        <v>Dede Westbrook10</v>
      </c>
    </row>
    <row r="2439" spans="1:16" x14ac:dyDescent="0.25">
      <c r="A2439">
        <v>15</v>
      </c>
      <c r="B2439" t="s">
        <v>264</v>
      </c>
      <c r="C2439" t="s">
        <v>7486</v>
      </c>
      <c r="D2439">
        <v>5.38</v>
      </c>
      <c r="E2439" t="s">
        <v>28</v>
      </c>
      <c r="F2439" t="s">
        <v>114</v>
      </c>
      <c r="G2439">
        <v>8.8800000000000008</v>
      </c>
      <c r="H2439">
        <v>1.88</v>
      </c>
      <c r="I2439">
        <v>3.5</v>
      </c>
      <c r="J2439">
        <v>12.25</v>
      </c>
      <c r="K2439" t="str">
        <f>IFERROR(INDEX(Rosters!$C$2:$C$155,MATCH($B2439,Rosters!$B$2:$B$155,0)),"NA")</f>
        <v>scott</v>
      </c>
      <c r="L2439" t="str">
        <f t="shared" si="114"/>
        <v>scott15TE</v>
      </c>
      <c r="M2439">
        <f>COUNTIF(L$1:L2439,L2439)</f>
        <v>1</v>
      </c>
      <c r="N2439" t="str">
        <f t="shared" si="115"/>
        <v>scott15TE-1</v>
      </c>
      <c r="O2439">
        <f>COUNTIFS(F$1:F2439,F2439,A$1:A2439,A2439)</f>
        <v>12</v>
      </c>
      <c r="P2439" t="str">
        <f t="shared" si="116"/>
        <v>George Kittle15</v>
      </c>
    </row>
    <row r="2440" spans="1:16" x14ac:dyDescent="0.25">
      <c r="A2440">
        <v>4</v>
      </c>
      <c r="B2440" t="s">
        <v>245</v>
      </c>
      <c r="C2440" t="s">
        <v>4534</v>
      </c>
      <c r="D2440">
        <v>5.38</v>
      </c>
      <c r="E2440" t="s">
        <v>73</v>
      </c>
      <c r="F2440" t="s">
        <v>47</v>
      </c>
      <c r="G2440">
        <v>10.039999999999999</v>
      </c>
      <c r="H2440">
        <v>0.72</v>
      </c>
      <c r="I2440">
        <v>4.66</v>
      </c>
      <c r="J2440">
        <v>21.715599999999998</v>
      </c>
      <c r="K2440" t="str">
        <f>IFERROR(INDEX(Rosters!$C$2:$C$155,MATCH($B2440,Rosters!$B$2:$B$155,0)),"NA")</f>
        <v>seth</v>
      </c>
      <c r="L2440" t="str">
        <f t="shared" si="114"/>
        <v>seth4RB</v>
      </c>
      <c r="M2440">
        <f>COUNTIF(L$1:L2440,L2440)</f>
        <v>6</v>
      </c>
      <c r="N2440" t="str">
        <f t="shared" si="115"/>
        <v>seth4RB-6</v>
      </c>
      <c r="O2440">
        <f>COUNTIFS(F$1:F2440,F2440,A$1:A2440,A2440)</f>
        <v>45</v>
      </c>
      <c r="P2440" t="str">
        <f t="shared" si="116"/>
        <v>T.J. Yeldon4</v>
      </c>
    </row>
    <row r="2441" spans="1:16" x14ac:dyDescent="0.25">
      <c r="A2441">
        <v>11</v>
      </c>
      <c r="B2441" t="s">
        <v>155</v>
      </c>
      <c r="C2441" t="s">
        <v>7487</v>
      </c>
      <c r="D2441">
        <v>5.38</v>
      </c>
      <c r="E2441" t="s">
        <v>74</v>
      </c>
      <c r="F2441" t="s">
        <v>47</v>
      </c>
      <c r="G2441">
        <v>8.64</v>
      </c>
      <c r="H2441">
        <v>2.12</v>
      </c>
      <c r="I2441">
        <v>3.26</v>
      </c>
      <c r="J2441">
        <v>10.627599999999999</v>
      </c>
      <c r="K2441" t="str">
        <f>IFERROR(INDEX(Rosters!$C$2:$C$155,MATCH($B2441,Rosters!$B$2:$B$155,0)),"NA")</f>
        <v>NA</v>
      </c>
      <c r="L2441" t="str">
        <f t="shared" si="114"/>
        <v>NA11RB</v>
      </c>
      <c r="M2441">
        <f>COUNTIF(L$1:L2441,L2441)</f>
        <v>7</v>
      </c>
      <c r="N2441" t="str">
        <f t="shared" si="115"/>
        <v>NA11RB-7</v>
      </c>
      <c r="O2441">
        <f>COUNTIFS(F$1:F2441,F2441,A$1:A2441,A2441)</f>
        <v>43</v>
      </c>
      <c r="P2441" t="str">
        <f t="shared" si="116"/>
        <v>Theo Riddick11</v>
      </c>
    </row>
    <row r="2442" spans="1:16" x14ac:dyDescent="0.25">
      <c r="A2442">
        <v>3</v>
      </c>
      <c r="B2442" t="s">
        <v>131</v>
      </c>
      <c r="C2442" t="s">
        <v>3731</v>
      </c>
      <c r="D2442">
        <v>5.37</v>
      </c>
      <c r="E2442" t="s">
        <v>31</v>
      </c>
      <c r="F2442" t="s">
        <v>47</v>
      </c>
      <c r="G2442">
        <v>9.66</v>
      </c>
      <c r="H2442">
        <v>1.08</v>
      </c>
      <c r="I2442">
        <v>4.29</v>
      </c>
      <c r="J2442">
        <v>18.4041</v>
      </c>
      <c r="K2442" t="str">
        <f>IFERROR(INDEX(Rosters!$C$2:$C$155,MATCH($B2442,Rosters!$B$2:$B$155,0)),"NA")</f>
        <v>NA</v>
      </c>
      <c r="L2442" t="str">
        <f t="shared" si="114"/>
        <v>NA3RB</v>
      </c>
      <c r="M2442">
        <f>COUNTIF(L$1:L2442,L2442)</f>
        <v>15</v>
      </c>
      <c r="N2442" t="str">
        <f t="shared" si="115"/>
        <v>NA3RB-15</v>
      </c>
      <c r="O2442">
        <f>COUNTIFS(F$1:F2442,F2442,A$1:A2442,A2442)</f>
        <v>47</v>
      </c>
      <c r="P2442" t="str">
        <f t="shared" si="116"/>
        <v>C.J. Anderson3</v>
      </c>
    </row>
    <row r="2443" spans="1:16" x14ac:dyDescent="0.25">
      <c r="A2443">
        <v>12</v>
      </c>
      <c r="B2443" t="s">
        <v>1425</v>
      </c>
      <c r="C2443" t="s">
        <v>7488</v>
      </c>
      <c r="D2443">
        <v>5.37</v>
      </c>
      <c r="E2443" t="s">
        <v>51</v>
      </c>
      <c r="F2443" t="s">
        <v>87</v>
      </c>
      <c r="G2443">
        <v>9.84</v>
      </c>
      <c r="H2443">
        <v>0.9</v>
      </c>
      <c r="I2443">
        <v>4.47</v>
      </c>
      <c r="J2443">
        <v>19.980899999999998</v>
      </c>
      <c r="K2443" t="str">
        <f>IFERROR(INDEX(Rosters!$C$2:$C$155,MATCH($B2443,Rosters!$B$2:$B$155,0)),"NA")</f>
        <v>NA</v>
      </c>
      <c r="L2443" t="str">
        <f t="shared" si="114"/>
        <v>NA12WR</v>
      </c>
      <c r="M2443">
        <f>COUNTIF(L$1:L2443,L2443)</f>
        <v>9</v>
      </c>
      <c r="N2443" t="str">
        <f t="shared" si="115"/>
        <v>NA12WR-9</v>
      </c>
      <c r="O2443">
        <f>COUNTIFS(F$1:F2443,F2443,A$1:A2443,A2443)</f>
        <v>54</v>
      </c>
      <c r="P2443" t="str">
        <f t="shared" si="116"/>
        <v>Courtland Sutton12</v>
      </c>
    </row>
    <row r="2444" spans="1:16" x14ac:dyDescent="0.25">
      <c r="A2444">
        <v>6</v>
      </c>
      <c r="B2444" t="s">
        <v>183</v>
      </c>
      <c r="C2444" t="s">
        <v>7489</v>
      </c>
      <c r="D2444">
        <v>5.37</v>
      </c>
      <c r="E2444" t="s">
        <v>37</v>
      </c>
      <c r="F2444" t="s">
        <v>47</v>
      </c>
      <c r="G2444">
        <v>8.91</v>
      </c>
      <c r="H2444">
        <v>1.83</v>
      </c>
      <c r="I2444">
        <v>3.54</v>
      </c>
      <c r="J2444">
        <v>12.531599999999999</v>
      </c>
      <c r="K2444" t="str">
        <f>IFERROR(INDEX(Rosters!$C$2:$C$155,MATCH($B2444,Rosters!$B$2:$B$155,0)),"NA")</f>
        <v>NA</v>
      </c>
      <c r="L2444" t="str">
        <f t="shared" si="114"/>
        <v>NA6RB</v>
      </c>
      <c r="M2444">
        <f>COUNTIF(L$1:L2444,L2444)</f>
        <v>9</v>
      </c>
      <c r="N2444" t="str">
        <f t="shared" si="115"/>
        <v>NA6RB-9</v>
      </c>
      <c r="O2444">
        <f>COUNTIFS(F$1:F2444,F2444,A$1:A2444,A2444)</f>
        <v>49</v>
      </c>
      <c r="P2444" t="str">
        <f t="shared" si="116"/>
        <v>Duke Johnson Jr.6</v>
      </c>
    </row>
    <row r="2445" spans="1:16" x14ac:dyDescent="0.25">
      <c r="A2445">
        <v>7</v>
      </c>
      <c r="B2445" t="s">
        <v>178</v>
      </c>
      <c r="C2445" t="s">
        <v>7490</v>
      </c>
      <c r="D2445">
        <v>5.37</v>
      </c>
      <c r="E2445" t="s">
        <v>29</v>
      </c>
      <c r="F2445" t="s">
        <v>114</v>
      </c>
      <c r="G2445">
        <v>8.99</v>
      </c>
      <c r="H2445">
        <v>1.75</v>
      </c>
      <c r="I2445">
        <v>3.62</v>
      </c>
      <c r="J2445">
        <v>13.1044</v>
      </c>
      <c r="K2445" t="str">
        <f>IFERROR(INDEX(Rosters!$C$2:$C$155,MATCH($B2445,Rosters!$B$2:$B$155,0)),"NA")</f>
        <v>devon</v>
      </c>
      <c r="L2445" t="str">
        <f t="shared" si="114"/>
        <v>devon7TE</v>
      </c>
      <c r="M2445">
        <f>COUNTIF(L$1:L2445,L2445)</f>
        <v>1</v>
      </c>
      <c r="N2445" t="str">
        <f t="shared" si="115"/>
        <v>devon7TE-1</v>
      </c>
      <c r="O2445">
        <f>COUNTIFS(F$1:F2445,F2445,A$1:A2445,A2445)</f>
        <v>9</v>
      </c>
      <c r="P2445" t="str">
        <f t="shared" si="116"/>
        <v>Eric Ebron7</v>
      </c>
    </row>
    <row r="2446" spans="1:16" x14ac:dyDescent="0.25">
      <c r="A2446">
        <v>6</v>
      </c>
      <c r="B2446" t="s">
        <v>1368</v>
      </c>
      <c r="C2446" t="s">
        <v>7491</v>
      </c>
      <c r="D2446">
        <v>5.37</v>
      </c>
      <c r="E2446" t="s">
        <v>22</v>
      </c>
      <c r="F2446" t="s">
        <v>87</v>
      </c>
      <c r="G2446">
        <v>9.3699999999999992</v>
      </c>
      <c r="H2446">
        <v>1.37</v>
      </c>
      <c r="I2446">
        <v>4</v>
      </c>
      <c r="J2446">
        <v>16</v>
      </c>
      <c r="K2446" t="str">
        <f>IFERROR(INDEX(Rosters!$C$2:$C$155,MATCH($B2446,Rosters!$B$2:$B$155,0)),"NA")</f>
        <v>scott</v>
      </c>
      <c r="L2446" t="str">
        <f t="shared" si="114"/>
        <v>scott6WR</v>
      </c>
      <c r="M2446">
        <f>COUNTIF(L$1:L2446,L2446)</f>
        <v>5</v>
      </c>
      <c r="N2446" t="str">
        <f t="shared" si="115"/>
        <v>scott6WR-5</v>
      </c>
      <c r="O2446">
        <f>COUNTIFS(F$1:F2446,F2446,A$1:A2446,A2446)</f>
        <v>53</v>
      </c>
      <c r="P2446" t="str">
        <f t="shared" si="116"/>
        <v>Keelan Cole6</v>
      </c>
    </row>
    <row r="2447" spans="1:16" x14ac:dyDescent="0.25">
      <c r="A2447">
        <v>8</v>
      </c>
      <c r="B2447" t="s">
        <v>223</v>
      </c>
      <c r="C2447" t="s">
        <v>7492</v>
      </c>
      <c r="D2447">
        <v>5.37</v>
      </c>
      <c r="E2447" t="s">
        <v>54</v>
      </c>
      <c r="F2447" t="s">
        <v>87</v>
      </c>
      <c r="G2447">
        <v>9.9</v>
      </c>
      <c r="H2447">
        <v>0.84</v>
      </c>
      <c r="I2447">
        <v>4.53</v>
      </c>
      <c r="J2447">
        <v>20.520900000000001</v>
      </c>
      <c r="K2447" t="str">
        <f>IFERROR(INDEX(Rosters!$C$2:$C$155,MATCH($B2447,Rosters!$B$2:$B$155,0)),"NA")</f>
        <v>NA</v>
      </c>
      <c r="L2447" t="str">
        <f t="shared" si="114"/>
        <v>NA8WR</v>
      </c>
      <c r="M2447">
        <f>COUNTIF(L$1:L2447,L2447)</f>
        <v>14</v>
      </c>
      <c r="N2447" t="str">
        <f t="shared" si="115"/>
        <v>NA8WR-14</v>
      </c>
      <c r="O2447">
        <f>COUNTIFS(F$1:F2447,F2447,A$1:A2447,A2447)</f>
        <v>59</v>
      </c>
      <c r="P2447" t="str">
        <f t="shared" si="116"/>
        <v>Paul Richardson8</v>
      </c>
    </row>
    <row r="2448" spans="1:16" x14ac:dyDescent="0.25">
      <c r="A2448">
        <v>12</v>
      </c>
      <c r="B2448" t="s">
        <v>211</v>
      </c>
      <c r="C2448" t="s">
        <v>7493</v>
      </c>
      <c r="D2448">
        <v>5.36</v>
      </c>
      <c r="E2448" t="s">
        <v>14</v>
      </c>
      <c r="F2448" t="s">
        <v>114</v>
      </c>
      <c r="G2448">
        <v>10.32</v>
      </c>
      <c r="H2448">
        <v>0.4</v>
      </c>
      <c r="I2448">
        <v>4.96</v>
      </c>
      <c r="J2448">
        <v>24.601600000000001</v>
      </c>
      <c r="K2448" t="str">
        <f>IFERROR(INDEX(Rosters!$C$2:$C$155,MATCH($B2448,Rosters!$B$2:$B$155,0)),"NA")</f>
        <v>comp</v>
      </c>
      <c r="L2448" t="str">
        <f t="shared" si="114"/>
        <v>comp12TE</v>
      </c>
      <c r="M2448">
        <f>COUNTIF(L$1:L2448,L2448)</f>
        <v>1</v>
      </c>
      <c r="N2448" t="str">
        <f t="shared" si="115"/>
        <v>comp12TE-1</v>
      </c>
      <c r="O2448">
        <f>COUNTIFS(F$1:F2448,F2448,A$1:A2448,A2448)</f>
        <v>15</v>
      </c>
      <c r="P2448" t="str">
        <f t="shared" si="116"/>
        <v>Austin Hooper12</v>
      </c>
    </row>
    <row r="2449" spans="1:16" x14ac:dyDescent="0.25">
      <c r="A2449">
        <v>17</v>
      </c>
      <c r="B2449" t="s">
        <v>175</v>
      </c>
      <c r="C2449" t="s">
        <v>7494</v>
      </c>
      <c r="D2449">
        <v>5.36</v>
      </c>
      <c r="E2449" t="s">
        <v>29</v>
      </c>
      <c r="F2449" t="s">
        <v>87</v>
      </c>
      <c r="G2449">
        <v>10.19</v>
      </c>
      <c r="H2449">
        <v>0.53</v>
      </c>
      <c r="I2449">
        <v>4.83</v>
      </c>
      <c r="J2449">
        <v>23.328900000000001</v>
      </c>
      <c r="K2449" t="str">
        <f>IFERROR(INDEX(Rosters!$C$2:$C$155,MATCH($B2449,Rosters!$B$2:$B$155,0)),"NA")</f>
        <v>NA</v>
      </c>
      <c r="L2449" t="str">
        <f t="shared" si="114"/>
        <v>NA17WR</v>
      </c>
      <c r="M2449">
        <f>COUNTIF(L$1:L2449,L2449)</f>
        <v>10</v>
      </c>
      <c r="N2449" t="str">
        <f t="shared" si="115"/>
        <v>NA17WR-10</v>
      </c>
      <c r="O2449">
        <f>COUNTIFS(F$1:F2449,F2449,A$1:A2449,A2449)</f>
        <v>60</v>
      </c>
      <c r="P2449" t="str">
        <f t="shared" si="116"/>
        <v>DeVante Parker17</v>
      </c>
    </row>
    <row r="2450" spans="1:16" x14ac:dyDescent="0.25">
      <c r="A2450">
        <v>5</v>
      </c>
      <c r="B2450" t="s">
        <v>150</v>
      </c>
      <c r="C2450" t="s">
        <v>7495</v>
      </c>
      <c r="D2450">
        <v>5.36</v>
      </c>
      <c r="E2450" t="s">
        <v>38</v>
      </c>
      <c r="F2450" t="s">
        <v>87</v>
      </c>
      <c r="G2450">
        <v>9.8800000000000008</v>
      </c>
      <c r="H2450">
        <v>0.84</v>
      </c>
      <c r="I2450">
        <v>4.5199999999999996</v>
      </c>
      <c r="J2450">
        <v>20.430399999999999</v>
      </c>
      <c r="K2450" t="str">
        <f>IFERROR(INDEX(Rosters!$C$2:$C$155,MATCH($B2450,Rosters!$B$2:$B$155,0)),"NA")</f>
        <v>NA</v>
      </c>
      <c r="L2450" t="str">
        <f t="shared" si="114"/>
        <v>NA5WR</v>
      </c>
      <c r="M2450">
        <f>COUNTIF(L$1:L2450,L2450)</f>
        <v>14</v>
      </c>
      <c r="N2450" t="str">
        <f t="shared" si="115"/>
        <v>NA5WR-14</v>
      </c>
      <c r="O2450">
        <f>COUNTIFS(F$1:F2450,F2450,A$1:A2450,A2450)</f>
        <v>58</v>
      </c>
      <c r="P2450" t="str">
        <f t="shared" si="116"/>
        <v>Kelvin Benjamin5</v>
      </c>
    </row>
    <row r="2451" spans="1:16" x14ac:dyDescent="0.25">
      <c r="A2451">
        <v>15</v>
      </c>
      <c r="B2451" t="s">
        <v>168</v>
      </c>
      <c r="C2451" t="s">
        <v>7496</v>
      </c>
      <c r="D2451">
        <v>5.36</v>
      </c>
      <c r="E2451" t="s">
        <v>74</v>
      </c>
      <c r="F2451" t="s">
        <v>87</v>
      </c>
      <c r="G2451">
        <v>9.16</v>
      </c>
      <c r="H2451">
        <v>1.56</v>
      </c>
      <c r="I2451">
        <v>3.8</v>
      </c>
      <c r="J2451">
        <v>14.44</v>
      </c>
      <c r="K2451" t="str">
        <f>IFERROR(INDEX(Rosters!$C$2:$C$155,MATCH($B2451,Rosters!$B$2:$B$155,0)),"NA")</f>
        <v>NA</v>
      </c>
      <c r="L2451" t="str">
        <f t="shared" si="114"/>
        <v>NA15WR</v>
      </c>
      <c r="M2451">
        <f>COUNTIF(L$1:L2451,L2451)</f>
        <v>9</v>
      </c>
      <c r="N2451" t="str">
        <f t="shared" si="115"/>
        <v>NA15WR-9</v>
      </c>
      <c r="O2451">
        <f>COUNTIFS(F$1:F2451,F2451,A$1:A2451,A2451)</f>
        <v>58</v>
      </c>
      <c r="P2451" t="str">
        <f t="shared" si="116"/>
        <v>Ted Ginn Jr.15</v>
      </c>
    </row>
    <row r="2452" spans="1:16" x14ac:dyDescent="0.25">
      <c r="A2452">
        <v>1</v>
      </c>
      <c r="B2452" t="s">
        <v>275</v>
      </c>
      <c r="C2452" t="s">
        <v>1393</v>
      </c>
      <c r="D2452">
        <v>5.35</v>
      </c>
      <c r="E2452" t="s">
        <v>28</v>
      </c>
      <c r="F2452" t="s">
        <v>47</v>
      </c>
      <c r="G2452">
        <v>9.16</v>
      </c>
      <c r="H2452">
        <v>1.54</v>
      </c>
      <c r="I2452">
        <v>3.81</v>
      </c>
      <c r="J2452">
        <v>14.5161</v>
      </c>
      <c r="K2452" t="str">
        <f>IFERROR(INDEX(Rosters!$C$2:$C$155,MATCH($B2452,Rosters!$B$2:$B$155,0)),"NA")</f>
        <v>NA</v>
      </c>
      <c r="L2452" t="str">
        <f t="shared" si="114"/>
        <v>NA1RB</v>
      </c>
      <c r="M2452">
        <f>COUNTIF(L$1:L2452,L2452)</f>
        <v>7</v>
      </c>
      <c r="N2452" t="str">
        <f t="shared" si="115"/>
        <v>NA1RB-7</v>
      </c>
      <c r="O2452">
        <f>COUNTIFS(F$1:F2452,F2452,A$1:A2452,A2452)</f>
        <v>41</v>
      </c>
      <c r="P2452" t="str">
        <f t="shared" si="116"/>
        <v>Devontae Booker1</v>
      </c>
    </row>
    <row r="2453" spans="1:16" x14ac:dyDescent="0.25">
      <c r="A2453">
        <v>10</v>
      </c>
      <c r="B2453" t="s">
        <v>101</v>
      </c>
      <c r="C2453" t="s">
        <v>7497</v>
      </c>
      <c r="D2453">
        <v>5.35</v>
      </c>
      <c r="E2453" t="s">
        <v>37</v>
      </c>
      <c r="F2453" t="s">
        <v>47</v>
      </c>
      <c r="G2453">
        <v>8.41</v>
      </c>
      <c r="H2453">
        <v>2.29</v>
      </c>
      <c r="I2453">
        <v>3.06</v>
      </c>
      <c r="J2453">
        <v>9.3635999999999999</v>
      </c>
      <c r="K2453" t="str">
        <f>IFERROR(INDEX(Rosters!$C$2:$C$155,MATCH($B2453,Rosters!$B$2:$B$155,0)),"NA")</f>
        <v>NA</v>
      </c>
      <c r="L2453" t="str">
        <f t="shared" si="114"/>
        <v>NA10RB</v>
      </c>
      <c r="M2453">
        <f>COUNTIF(L$1:L2453,L2453)</f>
        <v>10</v>
      </c>
      <c r="N2453" t="str">
        <f t="shared" si="115"/>
        <v>NA10RB-10</v>
      </c>
      <c r="O2453">
        <f>COUNTIFS(F$1:F2453,F2453,A$1:A2453,A2453)</f>
        <v>47</v>
      </c>
      <c r="P2453" t="str">
        <f t="shared" si="116"/>
        <v>Doug Martin10</v>
      </c>
    </row>
    <row r="2454" spans="1:16" x14ac:dyDescent="0.25">
      <c r="A2454">
        <v>4</v>
      </c>
      <c r="B2454" t="s">
        <v>255</v>
      </c>
      <c r="C2454" t="s">
        <v>4535</v>
      </c>
      <c r="D2454">
        <v>5.35</v>
      </c>
      <c r="E2454" t="s">
        <v>37</v>
      </c>
      <c r="F2454" t="s">
        <v>87</v>
      </c>
      <c r="G2454">
        <v>9.68</v>
      </c>
      <c r="H2454">
        <v>1.02</v>
      </c>
      <c r="I2454">
        <v>4.33</v>
      </c>
      <c r="J2454">
        <v>18.748899999999999</v>
      </c>
      <c r="K2454" t="str">
        <f>IFERROR(INDEX(Rosters!$C$2:$C$155,MATCH($B2454,Rosters!$B$2:$B$155,0)),"NA")</f>
        <v>NA</v>
      </c>
      <c r="L2454" t="str">
        <f t="shared" si="114"/>
        <v>NA4WR</v>
      </c>
      <c r="M2454">
        <f>COUNTIF(L$1:L2454,L2454)</f>
        <v>8</v>
      </c>
      <c r="N2454" t="str">
        <f t="shared" si="115"/>
        <v>NA4WR-8</v>
      </c>
      <c r="O2454">
        <f>COUNTIFS(F$1:F2454,F2454,A$1:A2454,A2454)</f>
        <v>54</v>
      </c>
      <c r="P2454" t="str">
        <f t="shared" si="116"/>
        <v>Marquise Goodwin4</v>
      </c>
    </row>
    <row r="2455" spans="1:16" x14ac:dyDescent="0.25">
      <c r="A2455">
        <v>8</v>
      </c>
      <c r="B2455" t="s">
        <v>381</v>
      </c>
      <c r="C2455" t="s">
        <v>7498</v>
      </c>
      <c r="D2455">
        <v>5.35</v>
      </c>
      <c r="E2455" t="s">
        <v>32</v>
      </c>
      <c r="F2455" t="s">
        <v>87</v>
      </c>
      <c r="G2455">
        <v>9.81</v>
      </c>
      <c r="H2455">
        <v>0.89</v>
      </c>
      <c r="I2455">
        <v>4.46</v>
      </c>
      <c r="J2455">
        <v>19.8916</v>
      </c>
      <c r="K2455" t="str">
        <f>IFERROR(INDEX(Rosters!$C$2:$C$155,MATCH($B2455,Rosters!$B$2:$B$155,0)),"NA")</f>
        <v>perry</v>
      </c>
      <c r="L2455" t="str">
        <f t="shared" si="114"/>
        <v>perry8WR</v>
      </c>
      <c r="M2455">
        <f>COUNTIF(L$1:L2455,L2455)</f>
        <v>4</v>
      </c>
      <c r="N2455" t="str">
        <f t="shared" si="115"/>
        <v>perry8WR-4</v>
      </c>
      <c r="O2455">
        <f>COUNTIFS(F$1:F2455,F2455,A$1:A2455,A2455)</f>
        <v>60</v>
      </c>
      <c r="P2455" t="str">
        <f t="shared" si="116"/>
        <v>Ryan Grant8</v>
      </c>
    </row>
    <row r="2456" spans="1:16" x14ac:dyDescent="0.25">
      <c r="A2456">
        <v>3</v>
      </c>
      <c r="B2456" t="s">
        <v>175</v>
      </c>
      <c r="C2456">
        <f>-3.86-14.54</f>
        <v>-18.399999999999999</v>
      </c>
      <c r="D2456">
        <v>5.34</v>
      </c>
      <c r="E2456" t="s">
        <v>32</v>
      </c>
      <c r="F2456" t="s">
        <v>87</v>
      </c>
      <c r="G2456">
        <v>14.54</v>
      </c>
      <c r="H2456">
        <v>-3.86</v>
      </c>
      <c r="I2456">
        <v>9.1999999999999993</v>
      </c>
      <c r="J2456">
        <v>84.64</v>
      </c>
      <c r="K2456" t="str">
        <f>IFERROR(INDEX(Rosters!$C$2:$C$155,MATCH($B2456,Rosters!$B$2:$B$155,0)),"NA")</f>
        <v>NA</v>
      </c>
      <c r="L2456" t="str">
        <f t="shared" si="114"/>
        <v>NA3WR</v>
      </c>
      <c r="M2456">
        <f>COUNTIF(L$1:L2456,L2456)</f>
        <v>11</v>
      </c>
      <c r="N2456" t="str">
        <f t="shared" si="115"/>
        <v>NA3WR-11</v>
      </c>
      <c r="O2456">
        <f>COUNTIFS(F$1:F2456,F2456,A$1:A2456,A2456)</f>
        <v>54</v>
      </c>
      <c r="P2456" t="str">
        <f t="shared" si="116"/>
        <v>DeVante Parker3</v>
      </c>
    </row>
    <row r="2457" spans="1:16" x14ac:dyDescent="0.25">
      <c r="A2457">
        <v>11</v>
      </c>
      <c r="B2457" t="s">
        <v>1449</v>
      </c>
      <c r="C2457">
        <f>-0.56-11.24</f>
        <v>-11.8</v>
      </c>
      <c r="D2457">
        <v>5.34</v>
      </c>
      <c r="E2457" t="s">
        <v>31</v>
      </c>
      <c r="F2457" t="s">
        <v>114</v>
      </c>
      <c r="G2457">
        <v>11.24</v>
      </c>
      <c r="H2457">
        <v>-0.56000000000000005</v>
      </c>
      <c r="I2457">
        <v>5.9</v>
      </c>
      <c r="J2457">
        <v>34.81</v>
      </c>
      <c r="K2457" t="str">
        <f>IFERROR(INDEX(Rosters!$C$2:$C$155,MATCH($B2457,Rosters!$B$2:$B$155,0)),"NA")</f>
        <v>NA</v>
      </c>
      <c r="L2457" t="str">
        <f t="shared" si="114"/>
        <v>NA11TE</v>
      </c>
      <c r="M2457">
        <f>COUNTIF(L$1:L2457,L2457)</f>
        <v>3</v>
      </c>
      <c r="N2457" t="str">
        <f t="shared" si="115"/>
        <v>NA11TE-3</v>
      </c>
      <c r="O2457">
        <f>COUNTIFS(F$1:F2457,F2457,A$1:A2457,A2457)</f>
        <v>12</v>
      </c>
      <c r="P2457" t="str">
        <f t="shared" si="116"/>
        <v>Hayden Hurst11</v>
      </c>
    </row>
    <row r="2458" spans="1:16" x14ac:dyDescent="0.25">
      <c r="A2458">
        <v>15</v>
      </c>
      <c r="B2458" t="s">
        <v>150</v>
      </c>
      <c r="C2458" t="s">
        <v>7499</v>
      </c>
      <c r="D2458">
        <v>5.34</v>
      </c>
      <c r="E2458" t="s">
        <v>34</v>
      </c>
      <c r="F2458" t="s">
        <v>87</v>
      </c>
      <c r="G2458">
        <v>9.5500000000000007</v>
      </c>
      <c r="H2458">
        <v>1.1299999999999999</v>
      </c>
      <c r="I2458">
        <v>4.21</v>
      </c>
      <c r="J2458">
        <v>17.7241</v>
      </c>
      <c r="K2458" t="str">
        <f>IFERROR(INDEX(Rosters!$C$2:$C$155,MATCH($B2458,Rosters!$B$2:$B$155,0)),"NA")</f>
        <v>NA</v>
      </c>
      <c r="L2458" t="str">
        <f t="shared" si="114"/>
        <v>NA15WR</v>
      </c>
      <c r="M2458">
        <f>COUNTIF(L$1:L2458,L2458)</f>
        <v>10</v>
      </c>
      <c r="N2458" t="str">
        <f t="shared" si="115"/>
        <v>NA15WR-10</v>
      </c>
      <c r="O2458">
        <f>COUNTIFS(F$1:F2458,F2458,A$1:A2458,A2458)</f>
        <v>59</v>
      </c>
      <c r="P2458" t="str">
        <f t="shared" si="116"/>
        <v>Kelvin Benjamin15</v>
      </c>
    </row>
    <row r="2459" spans="1:16" x14ac:dyDescent="0.25">
      <c r="A2459">
        <v>3</v>
      </c>
      <c r="B2459" t="s">
        <v>1346</v>
      </c>
      <c r="C2459" t="s">
        <v>3732</v>
      </c>
      <c r="D2459">
        <v>5.34</v>
      </c>
      <c r="E2459" t="s">
        <v>77</v>
      </c>
      <c r="F2459" t="s">
        <v>47</v>
      </c>
      <c r="G2459">
        <v>10.130000000000001</v>
      </c>
      <c r="H2459">
        <v>0.55000000000000004</v>
      </c>
      <c r="I2459">
        <v>4.79</v>
      </c>
      <c r="J2459">
        <v>22.944099999999999</v>
      </c>
      <c r="K2459" t="str">
        <f>IFERROR(INDEX(Rosters!$C$2:$C$155,MATCH($B2459,Rosters!$B$2:$B$155,0)),"NA")</f>
        <v>comp</v>
      </c>
      <c r="L2459" t="str">
        <f t="shared" si="114"/>
        <v>comp3RB</v>
      </c>
      <c r="M2459">
        <f>COUNTIF(L$1:L2459,L2459)</f>
        <v>3</v>
      </c>
      <c r="N2459" t="str">
        <f t="shared" si="115"/>
        <v>comp3RB-3</v>
      </c>
      <c r="O2459">
        <f>COUNTIFS(F$1:F2459,F2459,A$1:A2459,A2459)</f>
        <v>48</v>
      </c>
      <c r="P2459" t="str">
        <f t="shared" si="116"/>
        <v>Royce Freeman3</v>
      </c>
    </row>
    <row r="2460" spans="1:16" x14ac:dyDescent="0.25">
      <c r="A2460">
        <v>10</v>
      </c>
      <c r="B2460" t="s">
        <v>211</v>
      </c>
      <c r="C2460" t="s">
        <v>4395</v>
      </c>
      <c r="D2460">
        <v>5.33</v>
      </c>
      <c r="E2460" t="s">
        <v>52</v>
      </c>
      <c r="F2460" t="s">
        <v>114</v>
      </c>
      <c r="G2460">
        <v>10.4</v>
      </c>
      <c r="H2460">
        <v>0.26</v>
      </c>
      <c r="I2460">
        <v>5.07</v>
      </c>
      <c r="J2460">
        <v>25.704899999999999</v>
      </c>
      <c r="K2460" t="str">
        <f>IFERROR(INDEX(Rosters!$C$2:$C$155,MATCH($B2460,Rosters!$B$2:$B$155,0)),"NA")</f>
        <v>comp</v>
      </c>
      <c r="L2460" t="str">
        <f t="shared" si="114"/>
        <v>comp10TE</v>
      </c>
      <c r="M2460">
        <f>COUNTIF(L$1:L2460,L2460)</f>
        <v>1</v>
      </c>
      <c r="N2460" t="str">
        <f t="shared" si="115"/>
        <v>comp10TE-1</v>
      </c>
      <c r="O2460">
        <f>COUNTIFS(F$1:F2460,F2460,A$1:A2460,A2460)</f>
        <v>10</v>
      </c>
      <c r="P2460" t="str">
        <f t="shared" si="116"/>
        <v>Austin Hooper10</v>
      </c>
    </row>
    <row r="2461" spans="1:16" x14ac:dyDescent="0.25">
      <c r="A2461">
        <v>14</v>
      </c>
      <c r="B2461" t="s">
        <v>212</v>
      </c>
      <c r="C2461" t="s">
        <v>7500</v>
      </c>
      <c r="D2461">
        <v>5.32</v>
      </c>
      <c r="E2461" t="s">
        <v>42</v>
      </c>
      <c r="F2461" t="s">
        <v>47</v>
      </c>
      <c r="G2461">
        <v>9.52</v>
      </c>
      <c r="H2461">
        <v>1.1200000000000001</v>
      </c>
      <c r="I2461">
        <v>4.2</v>
      </c>
      <c r="J2461">
        <v>17.64</v>
      </c>
      <c r="K2461" t="str">
        <f>IFERROR(INDEX(Rosters!$C$2:$C$155,MATCH($B2461,Rosters!$B$2:$B$155,0)),"NA")</f>
        <v>seth</v>
      </c>
      <c r="L2461" t="str">
        <f t="shared" si="114"/>
        <v>seth14RB</v>
      </c>
      <c r="M2461">
        <f>COUNTIF(L$1:L2461,L2461)</f>
        <v>6</v>
      </c>
      <c r="N2461" t="str">
        <f t="shared" si="115"/>
        <v>seth14RB-6</v>
      </c>
      <c r="O2461">
        <f>COUNTIFS(F$1:F2461,F2461,A$1:A2461,A2461)</f>
        <v>55</v>
      </c>
      <c r="P2461" t="str">
        <f t="shared" si="116"/>
        <v>Alfred Morris14</v>
      </c>
    </row>
    <row r="2462" spans="1:16" x14ac:dyDescent="0.25">
      <c r="A2462">
        <v>17</v>
      </c>
      <c r="B2462" t="s">
        <v>170</v>
      </c>
      <c r="C2462" t="s">
        <v>7501</v>
      </c>
      <c r="D2462">
        <v>5.32</v>
      </c>
      <c r="E2462" t="s">
        <v>41</v>
      </c>
      <c r="F2462" t="s">
        <v>47</v>
      </c>
      <c r="G2462">
        <v>9.19</v>
      </c>
      <c r="H2462">
        <v>1.45</v>
      </c>
      <c r="I2462">
        <v>3.87</v>
      </c>
      <c r="J2462">
        <v>14.976900000000001</v>
      </c>
      <c r="K2462" t="str">
        <f>IFERROR(INDEX(Rosters!$C$2:$C$155,MATCH($B2462,Rosters!$B$2:$B$155,0)),"NA")</f>
        <v>NA</v>
      </c>
      <c r="L2462" t="str">
        <f t="shared" si="114"/>
        <v>NA17RB</v>
      </c>
      <c r="M2462">
        <f>COUNTIF(L$1:L2462,L2462)</f>
        <v>11</v>
      </c>
      <c r="N2462" t="str">
        <f t="shared" si="115"/>
        <v>NA17RB-11</v>
      </c>
      <c r="O2462">
        <f>COUNTIFS(F$1:F2462,F2462,A$1:A2462,A2462)</f>
        <v>54</v>
      </c>
      <c r="P2462" t="str">
        <f t="shared" si="116"/>
        <v>LeGarrette Blount17</v>
      </c>
    </row>
    <row r="2463" spans="1:16" x14ac:dyDescent="0.25">
      <c r="A2463">
        <v>16</v>
      </c>
      <c r="B2463" t="s">
        <v>143</v>
      </c>
      <c r="C2463">
        <f>-0.76-11.4</f>
        <v>-12.16</v>
      </c>
      <c r="D2463">
        <v>5.32</v>
      </c>
      <c r="E2463" t="s">
        <v>41</v>
      </c>
      <c r="F2463" t="s">
        <v>87</v>
      </c>
      <c r="G2463">
        <v>11.4</v>
      </c>
      <c r="H2463">
        <v>-0.76</v>
      </c>
      <c r="I2463">
        <v>6.08</v>
      </c>
      <c r="J2463">
        <v>36.9664</v>
      </c>
      <c r="K2463" t="str">
        <f>IFERROR(INDEX(Rosters!$C$2:$C$155,MATCH($B2463,Rosters!$B$2:$B$155,0)),"NA")</f>
        <v>NA</v>
      </c>
      <c r="L2463" t="str">
        <f t="shared" si="114"/>
        <v>NA16WR</v>
      </c>
      <c r="M2463">
        <f>COUNTIF(L$1:L2463,L2463)</f>
        <v>10</v>
      </c>
      <c r="N2463" t="str">
        <f t="shared" si="115"/>
        <v>NA16WR-10</v>
      </c>
      <c r="O2463">
        <f>COUNTIFS(F$1:F2463,F2463,A$1:A2463,A2463)</f>
        <v>59</v>
      </c>
      <c r="P2463" t="str">
        <f t="shared" si="116"/>
        <v>Terrelle Pryor Sr.16</v>
      </c>
    </row>
    <row r="2464" spans="1:16" x14ac:dyDescent="0.25">
      <c r="A2464">
        <v>13</v>
      </c>
      <c r="B2464" t="s">
        <v>264</v>
      </c>
      <c r="C2464" t="s">
        <v>7502</v>
      </c>
      <c r="D2464">
        <v>5.31</v>
      </c>
      <c r="E2464" t="s">
        <v>28</v>
      </c>
      <c r="F2464" t="s">
        <v>114</v>
      </c>
      <c r="G2464">
        <v>8.81</v>
      </c>
      <c r="H2464">
        <v>1.81</v>
      </c>
      <c r="I2464">
        <v>3.5</v>
      </c>
      <c r="J2464">
        <v>12.25</v>
      </c>
      <c r="K2464" t="str">
        <f>IFERROR(INDEX(Rosters!$C$2:$C$155,MATCH($B2464,Rosters!$B$2:$B$155,0)),"NA")</f>
        <v>scott</v>
      </c>
      <c r="L2464" t="str">
        <f t="shared" si="114"/>
        <v>scott13TE</v>
      </c>
      <c r="M2464">
        <f>COUNTIF(L$1:L2464,L2464)</f>
        <v>1</v>
      </c>
      <c r="N2464" t="str">
        <f t="shared" si="115"/>
        <v>scott13TE-1</v>
      </c>
      <c r="O2464">
        <f>COUNTIFS(F$1:F2464,F2464,A$1:A2464,A2464)</f>
        <v>11</v>
      </c>
      <c r="P2464" t="str">
        <f t="shared" si="116"/>
        <v>George Kittle13</v>
      </c>
    </row>
    <row r="2465" spans="1:16" x14ac:dyDescent="0.25">
      <c r="A2465">
        <v>1</v>
      </c>
      <c r="B2465" t="s">
        <v>185</v>
      </c>
      <c r="C2465" t="s">
        <v>1707</v>
      </c>
      <c r="D2465">
        <v>5.31</v>
      </c>
      <c r="E2465" t="s">
        <v>29</v>
      </c>
      <c r="F2465" t="s">
        <v>87</v>
      </c>
      <c r="G2465">
        <v>10.32</v>
      </c>
      <c r="H2465">
        <v>0.3</v>
      </c>
      <c r="I2465">
        <v>5.01</v>
      </c>
      <c r="J2465">
        <v>25.100100000000001</v>
      </c>
      <c r="K2465" t="str">
        <f>IFERROR(INDEX(Rosters!$C$2:$C$155,MATCH($B2465,Rosters!$B$2:$B$155,0)),"NA")</f>
        <v>scott</v>
      </c>
      <c r="L2465" t="str">
        <f t="shared" si="114"/>
        <v>scott1WR</v>
      </c>
      <c r="M2465">
        <f>COUNTIF(L$1:L2465,L2465)</f>
        <v>6</v>
      </c>
      <c r="N2465" t="str">
        <f t="shared" si="115"/>
        <v>scott1WR-6</v>
      </c>
      <c r="O2465">
        <f>COUNTIFS(F$1:F2465,F2465,A$1:A2465,A2465)</f>
        <v>48</v>
      </c>
      <c r="P2465" t="str">
        <f t="shared" si="116"/>
        <v>John Brown1</v>
      </c>
    </row>
    <row r="2466" spans="1:16" x14ac:dyDescent="0.25">
      <c r="A2466">
        <v>1</v>
      </c>
      <c r="B2466" t="s">
        <v>303</v>
      </c>
      <c r="C2466" t="s">
        <v>3179</v>
      </c>
      <c r="D2466">
        <v>5.31</v>
      </c>
      <c r="E2466" t="s">
        <v>19</v>
      </c>
      <c r="F2466" t="s">
        <v>87</v>
      </c>
      <c r="G2466">
        <v>9.3000000000000007</v>
      </c>
      <c r="H2466">
        <v>1.32</v>
      </c>
      <c r="I2466">
        <v>3.99</v>
      </c>
      <c r="J2466">
        <v>15.9201</v>
      </c>
      <c r="K2466" t="str">
        <f>IFERROR(INDEX(Rosters!$C$2:$C$155,MATCH($B2466,Rosters!$B$2:$B$155,0)),"NA")</f>
        <v>NA</v>
      </c>
      <c r="L2466" t="str">
        <f t="shared" si="114"/>
        <v>NA1WR</v>
      </c>
      <c r="M2466">
        <f>COUNTIF(L$1:L2466,L2466)</f>
        <v>7</v>
      </c>
      <c r="N2466" t="str">
        <f t="shared" si="115"/>
        <v>NA1WR-7</v>
      </c>
      <c r="O2466">
        <f>COUNTIFS(F$1:F2466,F2466,A$1:A2466,A2466)</f>
        <v>49</v>
      </c>
      <c r="P2466" t="str">
        <f t="shared" si="116"/>
        <v>Taywan Taylor1</v>
      </c>
    </row>
    <row r="2467" spans="1:16" x14ac:dyDescent="0.25">
      <c r="A2467">
        <v>7</v>
      </c>
      <c r="B2467" t="s">
        <v>1388</v>
      </c>
      <c r="C2467" t="s">
        <v>7503</v>
      </c>
      <c r="D2467">
        <v>5.3</v>
      </c>
      <c r="E2467" t="s">
        <v>29</v>
      </c>
      <c r="F2467" t="s">
        <v>47</v>
      </c>
      <c r="G2467">
        <v>9.9600000000000009</v>
      </c>
      <c r="H2467">
        <v>0.64</v>
      </c>
      <c r="I2467">
        <v>4.66</v>
      </c>
      <c r="J2467">
        <v>21.715599999999998</v>
      </c>
      <c r="K2467" t="str">
        <f>IFERROR(INDEX(Rosters!$C$2:$C$155,MATCH($B2467,Rosters!$B$2:$B$155,0)),"NA")</f>
        <v>NA</v>
      </c>
      <c r="L2467" t="str">
        <f t="shared" si="114"/>
        <v>NA7RB</v>
      </c>
      <c r="M2467">
        <f>COUNTIF(L$1:L2467,L2467)</f>
        <v>7</v>
      </c>
      <c r="N2467" t="str">
        <f t="shared" si="115"/>
        <v>NA7RB-7</v>
      </c>
      <c r="O2467">
        <f>COUNTIFS(F$1:F2467,F2467,A$1:A2467,A2467)</f>
        <v>46</v>
      </c>
      <c r="P2467" t="str">
        <f t="shared" si="116"/>
        <v>Jordan Wilkins7</v>
      </c>
    </row>
    <row r="2468" spans="1:16" x14ac:dyDescent="0.25">
      <c r="A2468">
        <v>7</v>
      </c>
      <c r="B2468" t="s">
        <v>170</v>
      </c>
      <c r="C2468" t="s">
        <v>7504</v>
      </c>
      <c r="D2468">
        <v>5.3</v>
      </c>
      <c r="E2468" t="s">
        <v>19</v>
      </c>
      <c r="F2468" t="s">
        <v>47</v>
      </c>
      <c r="G2468">
        <v>9.2799999999999994</v>
      </c>
      <c r="H2468">
        <v>1.32</v>
      </c>
      <c r="I2468">
        <v>3.98</v>
      </c>
      <c r="J2468">
        <v>15.840400000000001</v>
      </c>
      <c r="K2468" t="str">
        <f>IFERROR(INDEX(Rosters!$C$2:$C$155,MATCH($B2468,Rosters!$B$2:$B$155,0)),"NA")</f>
        <v>NA</v>
      </c>
      <c r="L2468" t="str">
        <f t="shared" si="114"/>
        <v>NA7RB</v>
      </c>
      <c r="M2468">
        <f>COUNTIF(L$1:L2468,L2468)</f>
        <v>8</v>
      </c>
      <c r="N2468" t="str">
        <f t="shared" si="115"/>
        <v>NA7RB-8</v>
      </c>
      <c r="O2468">
        <f>COUNTIFS(F$1:F2468,F2468,A$1:A2468,A2468)</f>
        <v>47</v>
      </c>
      <c r="P2468" t="str">
        <f t="shared" si="116"/>
        <v>LeGarrette Blount7</v>
      </c>
    </row>
    <row r="2469" spans="1:16" x14ac:dyDescent="0.25">
      <c r="A2469">
        <v>1</v>
      </c>
      <c r="B2469" t="s">
        <v>194</v>
      </c>
      <c r="C2469" t="s">
        <v>1394</v>
      </c>
      <c r="D2469">
        <v>5.3</v>
      </c>
      <c r="E2469" t="s">
        <v>50</v>
      </c>
      <c r="F2469" t="s">
        <v>87</v>
      </c>
      <c r="G2469">
        <v>9.5399999999999991</v>
      </c>
      <c r="H2469">
        <v>1.06</v>
      </c>
      <c r="I2469">
        <v>4.24</v>
      </c>
      <c r="J2469">
        <v>17.977599999999999</v>
      </c>
      <c r="K2469" t="str">
        <f>IFERROR(INDEX(Rosters!$C$2:$C$155,MATCH($B2469,Rosters!$B$2:$B$155,0)),"NA")</f>
        <v>NA</v>
      </c>
      <c r="L2469" t="str">
        <f t="shared" si="114"/>
        <v>NA1WR</v>
      </c>
      <c r="M2469">
        <f>COUNTIF(L$1:L2469,L2469)</f>
        <v>8</v>
      </c>
      <c r="N2469" t="str">
        <f t="shared" si="115"/>
        <v>NA1WR-8</v>
      </c>
      <c r="O2469">
        <f>COUNTIFS(F$1:F2469,F2469,A$1:A2469,A2469)</f>
        <v>50</v>
      </c>
      <c r="P2469" t="str">
        <f t="shared" si="116"/>
        <v>Mohamed Sanu1</v>
      </c>
    </row>
    <row r="2470" spans="1:16" x14ac:dyDescent="0.25">
      <c r="A2470">
        <v>9</v>
      </c>
      <c r="B2470" t="s">
        <v>237</v>
      </c>
      <c r="C2470" t="s">
        <v>7505</v>
      </c>
      <c r="D2470">
        <v>5.3</v>
      </c>
      <c r="E2470" t="s">
        <v>29</v>
      </c>
      <c r="F2470" t="s">
        <v>87</v>
      </c>
      <c r="G2470">
        <v>9.3800000000000008</v>
      </c>
      <c r="H2470">
        <v>1.22</v>
      </c>
      <c r="I2470">
        <v>4.08</v>
      </c>
      <c r="J2470">
        <v>16.6464</v>
      </c>
      <c r="K2470" t="str">
        <f>IFERROR(INDEX(Rosters!$C$2:$C$155,MATCH($B2470,Rosters!$B$2:$B$155,0)),"NA")</f>
        <v>NA</v>
      </c>
      <c r="L2470" t="str">
        <f t="shared" si="114"/>
        <v>NA9WR</v>
      </c>
      <c r="M2470">
        <f>COUNTIF(L$1:L2470,L2470)</f>
        <v>9</v>
      </c>
      <c r="N2470" t="str">
        <f t="shared" si="115"/>
        <v>NA9WR-9</v>
      </c>
      <c r="O2470">
        <f>COUNTIFS(F$1:F2470,F2470,A$1:A2470,A2470)</f>
        <v>48</v>
      </c>
      <c r="P2470" t="str">
        <f t="shared" si="116"/>
        <v>Taylor Gabriel9</v>
      </c>
    </row>
    <row r="2471" spans="1:16" x14ac:dyDescent="0.25">
      <c r="A2471">
        <v>16</v>
      </c>
      <c r="B2471" t="s">
        <v>128</v>
      </c>
      <c r="C2471" t="s">
        <v>7506</v>
      </c>
      <c r="D2471">
        <v>5.29</v>
      </c>
      <c r="E2471" t="s">
        <v>76</v>
      </c>
      <c r="F2471" t="s">
        <v>47</v>
      </c>
      <c r="G2471">
        <v>8.94</v>
      </c>
      <c r="H2471">
        <v>1.64</v>
      </c>
      <c r="I2471">
        <v>3.65</v>
      </c>
      <c r="J2471">
        <v>13.3225</v>
      </c>
      <c r="K2471" t="str">
        <f>IFERROR(INDEX(Rosters!$C$2:$C$155,MATCH($B2471,Rosters!$B$2:$B$155,0)),"NA")</f>
        <v>NA</v>
      </c>
      <c r="L2471" t="str">
        <f t="shared" si="114"/>
        <v>NA16RB</v>
      </c>
      <c r="M2471">
        <f>COUNTIF(L$1:L2471,L2471)</f>
        <v>12</v>
      </c>
      <c r="N2471" t="str">
        <f t="shared" si="115"/>
        <v>NA16RB-12</v>
      </c>
      <c r="O2471">
        <f>COUNTIFS(F$1:F2471,F2471,A$1:A2471,A2471)</f>
        <v>57</v>
      </c>
      <c r="P2471" t="str">
        <f t="shared" si="116"/>
        <v>Frank Gore16</v>
      </c>
    </row>
    <row r="2472" spans="1:16" x14ac:dyDescent="0.25">
      <c r="A2472">
        <v>3</v>
      </c>
      <c r="B2472" t="s">
        <v>98</v>
      </c>
      <c r="C2472" t="s">
        <v>3733</v>
      </c>
      <c r="D2472">
        <v>5.29</v>
      </c>
      <c r="E2472" t="s">
        <v>19</v>
      </c>
      <c r="F2472" t="s">
        <v>87</v>
      </c>
      <c r="G2472">
        <v>9.33</v>
      </c>
      <c r="H2472">
        <v>1.25</v>
      </c>
      <c r="I2472">
        <v>4.04</v>
      </c>
      <c r="J2472">
        <v>16.3216</v>
      </c>
      <c r="K2472" t="str">
        <f>IFERROR(INDEX(Rosters!$C$2:$C$155,MATCH($B2472,Rosters!$B$2:$B$155,0)),"NA")</f>
        <v>seth</v>
      </c>
      <c r="L2472" t="str">
        <f t="shared" si="114"/>
        <v>seth3WR</v>
      </c>
      <c r="M2472">
        <f>COUNTIF(L$1:L2472,L2472)</f>
        <v>5</v>
      </c>
      <c r="N2472" t="str">
        <f t="shared" si="115"/>
        <v>seth3WR-5</v>
      </c>
      <c r="O2472">
        <f>COUNTIFS(F$1:F2472,F2472,A$1:A2472,A2472)</f>
        <v>55</v>
      </c>
      <c r="P2472" t="str">
        <f t="shared" si="116"/>
        <v>Jordy Nelson3</v>
      </c>
    </row>
    <row r="2473" spans="1:16" x14ac:dyDescent="0.25">
      <c r="A2473">
        <v>16</v>
      </c>
      <c r="B2473" t="s">
        <v>150</v>
      </c>
      <c r="C2473" t="s">
        <v>7507</v>
      </c>
      <c r="D2473">
        <v>5.29</v>
      </c>
      <c r="E2473" t="s">
        <v>423</v>
      </c>
      <c r="F2473" t="s">
        <v>87</v>
      </c>
      <c r="G2473">
        <v>9.77</v>
      </c>
      <c r="H2473">
        <v>0.81</v>
      </c>
      <c r="I2473">
        <v>4.4800000000000004</v>
      </c>
      <c r="J2473">
        <v>20.070399999999999</v>
      </c>
      <c r="K2473" t="str">
        <f>IFERROR(INDEX(Rosters!$C$2:$C$155,MATCH($B2473,Rosters!$B$2:$B$155,0)),"NA")</f>
        <v>NA</v>
      </c>
      <c r="L2473" t="str">
        <f t="shared" si="114"/>
        <v>NA16WR</v>
      </c>
      <c r="M2473">
        <f>COUNTIF(L$1:L2473,L2473)</f>
        <v>11</v>
      </c>
      <c r="N2473" t="str">
        <f t="shared" si="115"/>
        <v>NA16WR-11</v>
      </c>
      <c r="O2473">
        <f>COUNTIFS(F$1:F2473,F2473,A$1:A2473,A2473)</f>
        <v>60</v>
      </c>
      <c r="P2473" t="str">
        <f t="shared" si="116"/>
        <v>Kelvin Benjamin16</v>
      </c>
    </row>
    <row r="2474" spans="1:16" x14ac:dyDescent="0.25">
      <c r="A2474">
        <v>2</v>
      </c>
      <c r="B2474" t="s">
        <v>187</v>
      </c>
      <c r="C2474" t="s">
        <v>3356</v>
      </c>
      <c r="D2474">
        <v>5.29</v>
      </c>
      <c r="E2474" t="s">
        <v>41</v>
      </c>
      <c r="F2474" t="s">
        <v>47</v>
      </c>
      <c r="G2474">
        <v>9.27</v>
      </c>
      <c r="H2474">
        <v>1.31</v>
      </c>
      <c r="I2474">
        <v>3.98</v>
      </c>
      <c r="J2474">
        <v>15.840400000000001</v>
      </c>
      <c r="K2474" t="str">
        <f>IFERROR(INDEX(Rosters!$C$2:$C$155,MATCH($B2474,Rosters!$B$2:$B$155,0)),"NA")</f>
        <v>seth</v>
      </c>
      <c r="L2474" t="str">
        <f t="shared" si="114"/>
        <v>seth2RB</v>
      </c>
      <c r="M2474">
        <f>COUNTIF(L$1:L2474,L2474)</f>
        <v>6</v>
      </c>
      <c r="N2474" t="str">
        <f t="shared" si="115"/>
        <v>seth2RB-6</v>
      </c>
      <c r="O2474">
        <f>COUNTIFS(F$1:F2474,F2474,A$1:A2474,A2474)</f>
        <v>49</v>
      </c>
      <c r="P2474" t="str">
        <f t="shared" si="116"/>
        <v>Latavius Murray2</v>
      </c>
    </row>
    <row r="2475" spans="1:16" x14ac:dyDescent="0.25">
      <c r="A2475">
        <v>7</v>
      </c>
      <c r="B2475" t="s">
        <v>1395</v>
      </c>
      <c r="C2475" t="s">
        <v>7508</v>
      </c>
      <c r="D2475">
        <v>5.29</v>
      </c>
      <c r="E2475" t="s">
        <v>29</v>
      </c>
      <c r="F2475" t="s">
        <v>47</v>
      </c>
      <c r="G2475">
        <v>9.43</v>
      </c>
      <c r="H2475">
        <v>1.1499999999999999</v>
      </c>
      <c r="I2475">
        <v>4.1399999999999997</v>
      </c>
      <c r="J2475">
        <v>17.139600000000002</v>
      </c>
      <c r="K2475" t="str">
        <f>IFERROR(INDEX(Rosters!$C$2:$C$155,MATCH($B2475,Rosters!$B$2:$B$155,0)),"NA")</f>
        <v>cory</v>
      </c>
      <c r="L2475" t="str">
        <f t="shared" si="114"/>
        <v>cory7RB</v>
      </c>
      <c r="M2475">
        <f>COUNTIF(L$1:L2475,L2475)</f>
        <v>5</v>
      </c>
      <c r="N2475" t="str">
        <f t="shared" si="115"/>
        <v>cory7RB-5</v>
      </c>
      <c r="O2475">
        <f>COUNTIFS(F$1:F2475,F2475,A$1:A2475,A2475)</f>
        <v>48</v>
      </c>
      <c r="P2475" t="str">
        <f t="shared" si="116"/>
        <v>Nyheim Hines7</v>
      </c>
    </row>
    <row r="2476" spans="1:16" x14ac:dyDescent="0.25">
      <c r="A2476">
        <v>7</v>
      </c>
      <c r="B2476" t="s">
        <v>168</v>
      </c>
      <c r="C2476" t="s">
        <v>7509</v>
      </c>
      <c r="D2476">
        <v>5.29</v>
      </c>
      <c r="E2476" t="s">
        <v>77</v>
      </c>
      <c r="F2476" t="s">
        <v>87</v>
      </c>
      <c r="G2476">
        <v>9.07</v>
      </c>
      <c r="H2476">
        <v>1.51</v>
      </c>
      <c r="I2476">
        <v>3.78</v>
      </c>
      <c r="J2476">
        <v>14.288399999999999</v>
      </c>
      <c r="K2476" t="str">
        <f>IFERROR(INDEX(Rosters!$C$2:$C$155,MATCH($B2476,Rosters!$B$2:$B$155,0)),"NA")</f>
        <v>NA</v>
      </c>
      <c r="L2476" t="str">
        <f t="shared" si="114"/>
        <v>NA7WR</v>
      </c>
      <c r="M2476">
        <f>COUNTIF(L$1:L2476,L2476)</f>
        <v>8</v>
      </c>
      <c r="N2476" t="str">
        <f t="shared" si="115"/>
        <v>NA7WR-8</v>
      </c>
      <c r="O2476">
        <f>COUNTIFS(F$1:F2476,F2476,A$1:A2476,A2476)</f>
        <v>49</v>
      </c>
      <c r="P2476" t="str">
        <f t="shared" si="116"/>
        <v>Ted Ginn Jr.7</v>
      </c>
    </row>
    <row r="2477" spans="1:16" x14ac:dyDescent="0.25">
      <c r="A2477">
        <v>16</v>
      </c>
      <c r="B2477" t="s">
        <v>252</v>
      </c>
      <c r="C2477" t="s">
        <v>7510</v>
      </c>
      <c r="D2477">
        <v>5.28</v>
      </c>
      <c r="E2477" t="s">
        <v>17</v>
      </c>
      <c r="F2477" t="s">
        <v>87</v>
      </c>
      <c r="G2477">
        <v>8.61</v>
      </c>
      <c r="H2477">
        <v>1.95</v>
      </c>
      <c r="I2477">
        <v>3.33</v>
      </c>
      <c r="J2477">
        <v>11.088900000000001</v>
      </c>
      <c r="K2477" t="str">
        <f>IFERROR(INDEX(Rosters!$C$2:$C$155,MATCH($B2477,Rosters!$B$2:$B$155,0)),"NA")</f>
        <v>NA</v>
      </c>
      <c r="L2477" t="str">
        <f t="shared" si="114"/>
        <v>NA16WR</v>
      </c>
      <c r="M2477">
        <f>COUNTIF(L$1:L2477,L2477)</f>
        <v>12</v>
      </c>
      <c r="N2477" t="str">
        <f t="shared" si="115"/>
        <v>NA16WR-12</v>
      </c>
      <c r="O2477">
        <f>COUNTIFS(F$1:F2477,F2477,A$1:A2477,A2477)</f>
        <v>61</v>
      </c>
      <c r="P2477" t="str">
        <f t="shared" si="116"/>
        <v>Allen Hurns16</v>
      </c>
    </row>
    <row r="2478" spans="1:16" x14ac:dyDescent="0.25">
      <c r="A2478">
        <v>6</v>
      </c>
      <c r="B2478" t="s">
        <v>280</v>
      </c>
      <c r="C2478" t="s">
        <v>7511</v>
      </c>
      <c r="D2478">
        <v>5.28</v>
      </c>
      <c r="E2478" t="s">
        <v>36</v>
      </c>
      <c r="F2478" t="s">
        <v>47</v>
      </c>
      <c r="G2478">
        <v>9.4600000000000009</v>
      </c>
      <c r="H2478">
        <v>1.1000000000000001</v>
      </c>
      <c r="I2478">
        <v>4.18</v>
      </c>
      <c r="J2478">
        <v>17.4724</v>
      </c>
      <c r="K2478" t="str">
        <f>IFERROR(INDEX(Rosters!$C$2:$C$155,MATCH($B2478,Rosters!$B$2:$B$155,0)),"NA")</f>
        <v>NA</v>
      </c>
      <c r="L2478" t="str">
        <f t="shared" si="114"/>
        <v>NA6RB</v>
      </c>
      <c r="M2478">
        <f>COUNTIF(L$1:L2478,L2478)</f>
        <v>10</v>
      </c>
      <c r="N2478" t="str">
        <f t="shared" si="115"/>
        <v>NA6RB-10</v>
      </c>
      <c r="O2478">
        <f>COUNTIFS(F$1:F2478,F2478,A$1:A2478,A2478)</f>
        <v>50</v>
      </c>
      <c r="P2478" t="str">
        <f t="shared" si="116"/>
        <v>Chris Ivory6</v>
      </c>
    </row>
    <row r="2479" spans="1:16" x14ac:dyDescent="0.25">
      <c r="A2479">
        <v>9</v>
      </c>
      <c r="B2479" t="s">
        <v>261</v>
      </c>
      <c r="C2479" t="s">
        <v>7512</v>
      </c>
      <c r="D2479">
        <v>5.27</v>
      </c>
      <c r="E2479" t="s">
        <v>56</v>
      </c>
      <c r="F2479" t="s">
        <v>114</v>
      </c>
      <c r="G2479">
        <v>9.66</v>
      </c>
      <c r="H2479">
        <v>0.88</v>
      </c>
      <c r="I2479">
        <v>4.3899999999999997</v>
      </c>
      <c r="J2479">
        <v>19.272099999999998</v>
      </c>
      <c r="K2479" t="str">
        <f>IFERROR(INDEX(Rosters!$C$2:$C$155,MATCH($B2479,Rosters!$B$2:$B$155,0)),"NA")</f>
        <v>NA</v>
      </c>
      <c r="L2479" t="str">
        <f t="shared" si="114"/>
        <v>NA9TE</v>
      </c>
      <c r="M2479">
        <f>COUNTIF(L$1:L2479,L2479)</f>
        <v>2</v>
      </c>
      <c r="N2479" t="str">
        <f t="shared" si="115"/>
        <v>NA9TE-2</v>
      </c>
      <c r="O2479">
        <f>COUNTIFS(F$1:F2479,F2479,A$1:A2479,A2479)</f>
        <v>9</v>
      </c>
      <c r="P2479" t="str">
        <f t="shared" si="116"/>
        <v>Benjamin Watson9</v>
      </c>
    </row>
    <row r="2480" spans="1:16" x14ac:dyDescent="0.25">
      <c r="A2480">
        <v>10</v>
      </c>
      <c r="B2480" t="s">
        <v>194</v>
      </c>
      <c r="C2480" t="s">
        <v>7513</v>
      </c>
      <c r="D2480">
        <v>5.27</v>
      </c>
      <c r="E2480" t="s">
        <v>52</v>
      </c>
      <c r="F2480" t="s">
        <v>87</v>
      </c>
      <c r="G2480">
        <v>8.76</v>
      </c>
      <c r="H2480">
        <v>1.78</v>
      </c>
      <c r="I2480">
        <v>3.49</v>
      </c>
      <c r="J2480">
        <v>12.180099999999999</v>
      </c>
      <c r="K2480" t="str">
        <f>IFERROR(INDEX(Rosters!$C$2:$C$155,MATCH($B2480,Rosters!$B$2:$B$155,0)),"NA")</f>
        <v>NA</v>
      </c>
      <c r="L2480" t="str">
        <f t="shared" si="114"/>
        <v>NA10WR</v>
      </c>
      <c r="M2480">
        <f>COUNTIF(L$1:L2480,L2480)</f>
        <v>9</v>
      </c>
      <c r="N2480" t="str">
        <f t="shared" si="115"/>
        <v>NA10WR-9</v>
      </c>
      <c r="O2480">
        <f>COUNTIFS(F$1:F2480,F2480,A$1:A2480,A2480)</f>
        <v>50</v>
      </c>
      <c r="P2480" t="str">
        <f t="shared" si="116"/>
        <v>Mohamed Sanu10</v>
      </c>
    </row>
    <row r="2481" spans="1:16" x14ac:dyDescent="0.25">
      <c r="A2481">
        <v>6</v>
      </c>
      <c r="B2481" t="s">
        <v>1395</v>
      </c>
      <c r="C2481" t="s">
        <v>7514</v>
      </c>
      <c r="D2481">
        <v>5.27</v>
      </c>
      <c r="E2481" t="s">
        <v>73</v>
      </c>
      <c r="F2481" t="s">
        <v>47</v>
      </c>
      <c r="G2481">
        <v>9.1199999999999992</v>
      </c>
      <c r="H2481">
        <v>1.42</v>
      </c>
      <c r="I2481">
        <v>3.85</v>
      </c>
      <c r="J2481">
        <v>14.8225</v>
      </c>
      <c r="K2481" t="str">
        <f>IFERROR(INDEX(Rosters!$C$2:$C$155,MATCH($B2481,Rosters!$B$2:$B$155,0)),"NA")</f>
        <v>cory</v>
      </c>
      <c r="L2481" t="str">
        <f t="shared" si="114"/>
        <v>cory6RB</v>
      </c>
      <c r="M2481">
        <f>COUNTIF(L$1:L2481,L2481)</f>
        <v>4</v>
      </c>
      <c r="N2481" t="str">
        <f t="shared" si="115"/>
        <v>cory6RB-4</v>
      </c>
      <c r="O2481">
        <f>COUNTIFS(F$1:F2481,F2481,A$1:A2481,A2481)</f>
        <v>51</v>
      </c>
      <c r="P2481" t="str">
        <f t="shared" si="116"/>
        <v>Nyheim Hines6</v>
      </c>
    </row>
    <row r="2482" spans="1:16" x14ac:dyDescent="0.25">
      <c r="A2482">
        <v>4</v>
      </c>
      <c r="B2482" t="s">
        <v>160</v>
      </c>
      <c r="C2482" t="s">
        <v>4536</v>
      </c>
      <c r="D2482">
        <v>5.27</v>
      </c>
      <c r="E2482" t="s">
        <v>37</v>
      </c>
      <c r="F2482" t="s">
        <v>87</v>
      </c>
      <c r="G2482">
        <v>9.8699999999999992</v>
      </c>
      <c r="H2482">
        <v>0.67</v>
      </c>
      <c r="I2482">
        <v>4.5999999999999996</v>
      </c>
      <c r="J2482">
        <v>21.16</v>
      </c>
      <c r="K2482" t="str">
        <f>IFERROR(INDEX(Rosters!$C$2:$C$155,MATCH($B2482,Rosters!$B$2:$B$155,0)),"NA")</f>
        <v>NA</v>
      </c>
      <c r="L2482" t="str">
        <f t="shared" si="114"/>
        <v>NA4WR</v>
      </c>
      <c r="M2482">
        <f>COUNTIF(L$1:L2482,L2482)</f>
        <v>9</v>
      </c>
      <c r="N2482" t="str">
        <f t="shared" si="115"/>
        <v>NA4WR-9</v>
      </c>
      <c r="O2482">
        <f>COUNTIFS(F$1:F2482,F2482,A$1:A2482,A2482)</f>
        <v>55</v>
      </c>
      <c r="P2482" t="str">
        <f t="shared" si="116"/>
        <v>Pierre Garcon4</v>
      </c>
    </row>
    <row r="2483" spans="1:16" x14ac:dyDescent="0.25">
      <c r="A2483">
        <v>3</v>
      </c>
      <c r="B2483" t="s">
        <v>1373</v>
      </c>
      <c r="C2483" t="s">
        <v>3902</v>
      </c>
      <c r="D2483">
        <v>5.26</v>
      </c>
      <c r="E2483" t="s">
        <v>56</v>
      </c>
      <c r="F2483" t="s">
        <v>47</v>
      </c>
      <c r="G2483">
        <v>10.42</v>
      </c>
      <c r="H2483">
        <v>0.1</v>
      </c>
      <c r="I2483">
        <v>5.16</v>
      </c>
      <c r="J2483">
        <v>26.625599999999999</v>
      </c>
      <c r="K2483" t="str">
        <f>IFERROR(INDEX(Rosters!$C$2:$C$155,MATCH($B2483,Rosters!$B$2:$B$155,0)),"NA")</f>
        <v>matty</v>
      </c>
      <c r="L2483" t="str">
        <f t="shared" si="114"/>
        <v>matty3RB</v>
      </c>
      <c r="M2483">
        <f>COUNTIF(L$1:L2483,L2483)</f>
        <v>3</v>
      </c>
      <c r="N2483" t="str">
        <f t="shared" si="115"/>
        <v>matty3RB-3</v>
      </c>
      <c r="O2483">
        <f>COUNTIFS(F$1:F2483,F2483,A$1:A2483,A2483)</f>
        <v>49</v>
      </c>
      <c r="P2483" t="str">
        <f t="shared" si="116"/>
        <v>Austin Ekeler3</v>
      </c>
    </row>
    <row r="2484" spans="1:16" x14ac:dyDescent="0.25">
      <c r="A2484">
        <v>16</v>
      </c>
      <c r="B2484" t="s">
        <v>147</v>
      </c>
      <c r="C2484" t="s">
        <v>7515</v>
      </c>
      <c r="D2484">
        <v>5.26</v>
      </c>
      <c r="E2484" t="s">
        <v>19</v>
      </c>
      <c r="F2484" t="s">
        <v>87</v>
      </c>
      <c r="G2484">
        <v>10.24</v>
      </c>
      <c r="H2484">
        <v>0.28000000000000003</v>
      </c>
      <c r="I2484">
        <v>4.9800000000000004</v>
      </c>
      <c r="J2484">
        <v>24.8004</v>
      </c>
      <c r="K2484" t="str">
        <f>IFERROR(INDEX(Rosters!$C$2:$C$155,MATCH($B2484,Rosters!$B$2:$B$155,0)),"NA")</f>
        <v>NA</v>
      </c>
      <c r="L2484" t="str">
        <f t="shared" si="114"/>
        <v>NA16WR</v>
      </c>
      <c r="M2484">
        <f>COUNTIF(L$1:L2484,L2484)</f>
        <v>13</v>
      </c>
      <c r="N2484" t="str">
        <f t="shared" si="115"/>
        <v>NA16WR-13</v>
      </c>
      <c r="O2484">
        <f>COUNTIFS(F$1:F2484,F2484,A$1:A2484,A2484)</f>
        <v>62</v>
      </c>
      <c r="P2484" t="str">
        <f t="shared" si="116"/>
        <v>Donte Moncrief16</v>
      </c>
    </row>
    <row r="2485" spans="1:16" x14ac:dyDescent="0.25">
      <c r="A2485">
        <v>5</v>
      </c>
      <c r="B2485" t="s">
        <v>223</v>
      </c>
      <c r="C2485" t="s">
        <v>7516</v>
      </c>
      <c r="D2485">
        <v>5.26</v>
      </c>
      <c r="E2485" t="s">
        <v>14</v>
      </c>
      <c r="F2485" t="s">
        <v>87</v>
      </c>
      <c r="G2485">
        <v>9.81</v>
      </c>
      <c r="H2485">
        <v>0.71</v>
      </c>
      <c r="I2485">
        <v>4.55</v>
      </c>
      <c r="J2485">
        <v>20.702500000000001</v>
      </c>
      <c r="K2485" t="str">
        <f>IFERROR(INDEX(Rosters!$C$2:$C$155,MATCH($B2485,Rosters!$B$2:$B$155,0)),"NA")</f>
        <v>NA</v>
      </c>
      <c r="L2485" t="str">
        <f t="shared" si="114"/>
        <v>NA5WR</v>
      </c>
      <c r="M2485">
        <f>COUNTIF(L$1:L2485,L2485)</f>
        <v>15</v>
      </c>
      <c r="N2485" t="str">
        <f t="shared" si="115"/>
        <v>NA5WR-15</v>
      </c>
      <c r="O2485">
        <f>COUNTIFS(F$1:F2485,F2485,A$1:A2485,A2485)</f>
        <v>59</v>
      </c>
      <c r="P2485" t="str">
        <f t="shared" si="116"/>
        <v>Paul Richardson5</v>
      </c>
    </row>
    <row r="2486" spans="1:16" x14ac:dyDescent="0.25">
      <c r="A2486">
        <v>7</v>
      </c>
      <c r="B2486" t="s">
        <v>1404</v>
      </c>
      <c r="C2486" t="s">
        <v>7517</v>
      </c>
      <c r="D2486">
        <v>5.26</v>
      </c>
      <c r="E2486" t="s">
        <v>31</v>
      </c>
      <c r="F2486" t="s">
        <v>47</v>
      </c>
      <c r="G2486">
        <v>10.29</v>
      </c>
      <c r="H2486">
        <v>0.23</v>
      </c>
      <c r="I2486">
        <v>5.03</v>
      </c>
      <c r="J2486">
        <v>25.300899999999999</v>
      </c>
      <c r="K2486" t="str">
        <f>IFERROR(INDEX(Rosters!$C$2:$C$155,MATCH($B2486,Rosters!$B$2:$B$155,0)),"NA")</f>
        <v>NA</v>
      </c>
      <c r="L2486" t="str">
        <f t="shared" si="114"/>
        <v>NA7RB</v>
      </c>
      <c r="M2486">
        <f>COUNTIF(L$1:L2486,L2486)</f>
        <v>9</v>
      </c>
      <c r="N2486" t="str">
        <f t="shared" si="115"/>
        <v>NA7RB-9</v>
      </c>
      <c r="O2486">
        <f>COUNTIFS(F$1:F2486,F2486,A$1:A2486,A2486)</f>
        <v>49</v>
      </c>
      <c r="P2486" t="str">
        <f t="shared" si="116"/>
        <v>Spencer Ware7</v>
      </c>
    </row>
    <row r="2487" spans="1:16" x14ac:dyDescent="0.25">
      <c r="A2487">
        <v>16</v>
      </c>
      <c r="B2487" t="s">
        <v>261</v>
      </c>
      <c r="C2487" t="s">
        <v>7518</v>
      </c>
      <c r="D2487">
        <v>5.25</v>
      </c>
      <c r="E2487" t="s">
        <v>51</v>
      </c>
      <c r="F2487" t="s">
        <v>114</v>
      </c>
      <c r="G2487">
        <v>9.44</v>
      </c>
      <c r="H2487">
        <v>1.06</v>
      </c>
      <c r="I2487">
        <v>4.1900000000000004</v>
      </c>
      <c r="J2487">
        <v>17.556100000000001</v>
      </c>
      <c r="K2487" t="str">
        <f>IFERROR(INDEX(Rosters!$C$2:$C$155,MATCH($B2487,Rosters!$B$2:$B$155,0)),"NA")</f>
        <v>NA</v>
      </c>
      <c r="L2487" t="str">
        <f t="shared" si="114"/>
        <v>NA16TE</v>
      </c>
      <c r="M2487">
        <f>COUNTIF(L$1:L2487,L2487)</f>
        <v>4</v>
      </c>
      <c r="N2487" t="str">
        <f t="shared" si="115"/>
        <v>NA16TE-4</v>
      </c>
      <c r="O2487">
        <f>COUNTIFS(F$1:F2487,F2487,A$1:A2487,A2487)</f>
        <v>14</v>
      </c>
      <c r="P2487" t="str">
        <f t="shared" si="116"/>
        <v>Benjamin Watson16</v>
      </c>
    </row>
    <row r="2488" spans="1:16" x14ac:dyDescent="0.25">
      <c r="A2488">
        <v>16</v>
      </c>
      <c r="B2488" t="s">
        <v>189</v>
      </c>
      <c r="C2488" t="s">
        <v>7519</v>
      </c>
      <c r="D2488">
        <v>5.25</v>
      </c>
      <c r="E2488" t="s">
        <v>54</v>
      </c>
      <c r="F2488" t="s">
        <v>114</v>
      </c>
      <c r="G2488">
        <v>10.3</v>
      </c>
      <c r="H2488">
        <v>0.2</v>
      </c>
      <c r="I2488">
        <v>5.05</v>
      </c>
      <c r="J2488">
        <v>25.502500000000001</v>
      </c>
      <c r="K2488" t="str">
        <f>IFERROR(INDEX(Rosters!$C$2:$C$155,MATCH($B2488,Rosters!$B$2:$B$155,0)),"NA")</f>
        <v>NA</v>
      </c>
      <c r="L2488" t="str">
        <f t="shared" si="114"/>
        <v>NA16TE</v>
      </c>
      <c r="M2488">
        <f>COUNTIF(L$1:L2488,L2488)</f>
        <v>5</v>
      </c>
      <c r="N2488" t="str">
        <f t="shared" si="115"/>
        <v>NA16TE-5</v>
      </c>
      <c r="O2488">
        <f>COUNTIFS(F$1:F2488,F2488,A$1:A2488,A2488)</f>
        <v>15</v>
      </c>
      <c r="P2488" t="str">
        <f t="shared" si="116"/>
        <v>Jack Doyle16</v>
      </c>
    </row>
    <row r="2489" spans="1:16" x14ac:dyDescent="0.25">
      <c r="A2489">
        <v>13</v>
      </c>
      <c r="B2489" t="s">
        <v>150</v>
      </c>
      <c r="C2489" t="s">
        <v>7520</v>
      </c>
      <c r="D2489">
        <v>5.25</v>
      </c>
      <c r="E2489" t="s">
        <v>19</v>
      </c>
      <c r="F2489" t="s">
        <v>87</v>
      </c>
      <c r="G2489">
        <v>9.6199999999999992</v>
      </c>
      <c r="H2489">
        <v>0.88</v>
      </c>
      <c r="I2489">
        <v>4.37</v>
      </c>
      <c r="J2489">
        <v>19.096900000000002</v>
      </c>
      <c r="K2489" t="str">
        <f>IFERROR(INDEX(Rosters!$C$2:$C$155,MATCH($B2489,Rosters!$B$2:$B$155,0)),"NA")</f>
        <v>NA</v>
      </c>
      <c r="L2489" t="str">
        <f t="shared" si="114"/>
        <v>NA13WR</v>
      </c>
      <c r="M2489">
        <f>COUNTIF(L$1:L2489,L2489)</f>
        <v>12</v>
      </c>
      <c r="N2489" t="str">
        <f t="shared" si="115"/>
        <v>NA13WR-12</v>
      </c>
      <c r="O2489">
        <f>COUNTIFS(F$1:F2489,F2489,A$1:A2489,A2489)</f>
        <v>60</v>
      </c>
      <c r="P2489" t="str">
        <f t="shared" si="116"/>
        <v>Kelvin Benjamin13</v>
      </c>
    </row>
    <row r="2490" spans="1:16" x14ac:dyDescent="0.25">
      <c r="A2490">
        <v>13</v>
      </c>
      <c r="B2490" t="s">
        <v>224</v>
      </c>
      <c r="C2490" t="s">
        <v>7521</v>
      </c>
      <c r="D2490">
        <v>5.25</v>
      </c>
      <c r="E2490" t="s">
        <v>76</v>
      </c>
      <c r="F2490" t="s">
        <v>47</v>
      </c>
      <c r="G2490">
        <v>10.14</v>
      </c>
      <c r="H2490">
        <v>0.36</v>
      </c>
      <c r="I2490">
        <v>4.8899999999999997</v>
      </c>
      <c r="J2490">
        <v>23.912099999999999</v>
      </c>
      <c r="K2490" t="str">
        <f>IFERROR(INDEX(Rosters!$C$2:$C$155,MATCH($B2490,Rosters!$B$2:$B$155,0)),"NA")</f>
        <v>NA</v>
      </c>
      <c r="L2490" t="str">
        <f t="shared" si="114"/>
        <v>NA13RB</v>
      </c>
      <c r="M2490">
        <f>COUNTIF(L$1:L2490,L2490)</f>
        <v>12</v>
      </c>
      <c r="N2490" t="str">
        <f t="shared" si="115"/>
        <v>NA13RB-12</v>
      </c>
      <c r="O2490">
        <f>COUNTIFS(F$1:F2490,F2490,A$1:A2490,A2490)</f>
        <v>55</v>
      </c>
      <c r="P2490" t="str">
        <f t="shared" si="116"/>
        <v>Marlon Mack13</v>
      </c>
    </row>
    <row r="2491" spans="1:16" x14ac:dyDescent="0.25">
      <c r="A2491">
        <v>14</v>
      </c>
      <c r="B2491" t="s">
        <v>381</v>
      </c>
      <c r="C2491" t="s">
        <v>4537</v>
      </c>
      <c r="D2491">
        <v>5.25</v>
      </c>
      <c r="E2491" t="s">
        <v>36</v>
      </c>
      <c r="F2491" t="s">
        <v>87</v>
      </c>
      <c r="G2491">
        <v>9.3699999999999992</v>
      </c>
      <c r="H2491">
        <v>1.1299999999999999</v>
      </c>
      <c r="I2491">
        <v>4.12</v>
      </c>
      <c r="J2491">
        <v>16.974399999999999</v>
      </c>
      <c r="K2491" t="str">
        <f>IFERROR(INDEX(Rosters!$C$2:$C$155,MATCH($B2491,Rosters!$B$2:$B$155,0)),"NA")</f>
        <v>perry</v>
      </c>
      <c r="L2491" t="str">
        <f t="shared" si="114"/>
        <v>perry14WR</v>
      </c>
      <c r="M2491">
        <f>COUNTIF(L$1:L2491,L2491)</f>
        <v>4</v>
      </c>
      <c r="N2491" t="str">
        <f t="shared" si="115"/>
        <v>perry14WR-4</v>
      </c>
      <c r="O2491">
        <f>COUNTIFS(F$1:F2491,F2491,A$1:A2491,A2491)</f>
        <v>60</v>
      </c>
      <c r="P2491" t="str">
        <f t="shared" si="116"/>
        <v>Ryan Grant14</v>
      </c>
    </row>
    <row r="2492" spans="1:16" x14ac:dyDescent="0.25">
      <c r="A2492">
        <v>13</v>
      </c>
      <c r="B2492" t="s">
        <v>163</v>
      </c>
      <c r="C2492" t="s">
        <v>7522</v>
      </c>
      <c r="D2492">
        <v>5.24</v>
      </c>
      <c r="E2492" t="s">
        <v>74</v>
      </c>
      <c r="F2492" t="s">
        <v>87</v>
      </c>
      <c r="G2492">
        <v>9.0500000000000007</v>
      </c>
      <c r="H2492">
        <v>1.43</v>
      </c>
      <c r="I2492">
        <v>3.81</v>
      </c>
      <c r="J2492">
        <v>14.5161</v>
      </c>
      <c r="K2492" t="str">
        <f>IFERROR(INDEX(Rosters!$C$2:$C$155,MATCH($B2492,Rosters!$B$2:$B$155,0)),"NA")</f>
        <v>scott</v>
      </c>
      <c r="L2492" t="str">
        <f t="shared" si="114"/>
        <v>scott13WR</v>
      </c>
      <c r="M2492">
        <f>COUNTIF(L$1:L2492,L2492)</f>
        <v>6</v>
      </c>
      <c r="N2492" t="str">
        <f t="shared" si="115"/>
        <v>scott13WR-6</v>
      </c>
      <c r="O2492">
        <f>COUNTIFS(F$1:F2492,F2492,A$1:A2492,A2492)</f>
        <v>61</v>
      </c>
      <c r="P2492" t="str">
        <f t="shared" si="116"/>
        <v>DeSean Jackson13</v>
      </c>
    </row>
    <row r="2493" spans="1:16" x14ac:dyDescent="0.25">
      <c r="A2493">
        <v>9</v>
      </c>
      <c r="B2493" t="s">
        <v>155</v>
      </c>
      <c r="C2493" t="s">
        <v>7523</v>
      </c>
      <c r="D2493">
        <v>5.24</v>
      </c>
      <c r="E2493" t="s">
        <v>25</v>
      </c>
      <c r="F2493" t="s">
        <v>47</v>
      </c>
      <c r="G2493">
        <v>9.66</v>
      </c>
      <c r="H2493">
        <v>0.82</v>
      </c>
      <c r="I2493">
        <v>4.42</v>
      </c>
      <c r="J2493">
        <v>19.5364</v>
      </c>
      <c r="K2493" t="str">
        <f>IFERROR(INDEX(Rosters!$C$2:$C$155,MATCH($B2493,Rosters!$B$2:$B$155,0)),"NA")</f>
        <v>NA</v>
      </c>
      <c r="L2493" t="str">
        <f t="shared" si="114"/>
        <v>NA9RB</v>
      </c>
      <c r="M2493">
        <f>COUNTIF(L$1:L2493,L2493)</f>
        <v>8</v>
      </c>
      <c r="N2493" t="str">
        <f t="shared" si="115"/>
        <v>NA9RB-8</v>
      </c>
      <c r="O2493">
        <f>COUNTIFS(F$1:F2493,F2493,A$1:A2493,A2493)</f>
        <v>45</v>
      </c>
      <c r="P2493" t="str">
        <f t="shared" si="116"/>
        <v>Theo Riddick9</v>
      </c>
    </row>
    <row r="2494" spans="1:16" x14ac:dyDescent="0.25">
      <c r="A2494">
        <v>7</v>
      </c>
      <c r="B2494" t="s">
        <v>313</v>
      </c>
      <c r="C2494" t="s">
        <v>7524</v>
      </c>
      <c r="D2494">
        <v>5.24</v>
      </c>
      <c r="E2494" t="s">
        <v>423</v>
      </c>
      <c r="F2494" t="s">
        <v>114</v>
      </c>
      <c r="G2494">
        <v>9.41</v>
      </c>
      <c r="H2494">
        <v>1.07</v>
      </c>
      <c r="I2494">
        <v>4.17</v>
      </c>
      <c r="J2494">
        <v>17.3889</v>
      </c>
      <c r="K2494" t="str">
        <f>IFERROR(INDEX(Rosters!$C$2:$C$155,MATCH($B2494,Rosters!$B$2:$B$155,0)),"NA")</f>
        <v>comp</v>
      </c>
      <c r="L2494" t="str">
        <f t="shared" si="114"/>
        <v>comp7TE</v>
      </c>
      <c r="M2494">
        <f>COUNTIF(L$1:L2494,L2494)</f>
        <v>1</v>
      </c>
      <c r="N2494" t="str">
        <f t="shared" si="115"/>
        <v>comp7TE-1</v>
      </c>
      <c r="O2494">
        <f>COUNTIFS(F$1:F2494,F2494,A$1:A2494,A2494)</f>
        <v>10</v>
      </c>
      <c r="P2494" t="str">
        <f t="shared" si="116"/>
        <v>Trey Burton7</v>
      </c>
    </row>
    <row r="2495" spans="1:16" x14ac:dyDescent="0.25">
      <c r="A2495">
        <v>11</v>
      </c>
      <c r="B2495" t="s">
        <v>210</v>
      </c>
      <c r="C2495" t="s">
        <v>7525</v>
      </c>
      <c r="D2495">
        <v>5.24</v>
      </c>
      <c r="E2495" t="s">
        <v>42</v>
      </c>
      <c r="F2495" t="s">
        <v>87</v>
      </c>
      <c r="G2495">
        <v>8.3699999999999992</v>
      </c>
      <c r="H2495">
        <v>2.11</v>
      </c>
      <c r="I2495">
        <v>3.13</v>
      </c>
      <c r="J2495">
        <v>9.7969000000000008</v>
      </c>
      <c r="K2495" t="str">
        <f>IFERROR(INDEX(Rosters!$C$2:$C$155,MATCH($B2495,Rosters!$B$2:$B$155,0)),"NA")</f>
        <v>NA</v>
      </c>
      <c r="L2495" t="str">
        <f t="shared" si="114"/>
        <v>NA11WR</v>
      </c>
      <c r="M2495">
        <f>COUNTIF(L$1:L2495,L2495)</f>
        <v>7</v>
      </c>
      <c r="N2495" t="str">
        <f t="shared" si="115"/>
        <v>NA11WR-7</v>
      </c>
      <c r="O2495">
        <f>COUNTIFS(F$1:F2495,F2495,A$1:A2495,A2495)</f>
        <v>52</v>
      </c>
      <c r="P2495" t="str">
        <f t="shared" si="116"/>
        <v>Tyrell Williams11</v>
      </c>
    </row>
    <row r="2496" spans="1:16" x14ac:dyDescent="0.25">
      <c r="A2496">
        <v>1</v>
      </c>
      <c r="B2496" t="s">
        <v>212</v>
      </c>
      <c r="C2496">
        <f>-1.06-11.52</f>
        <v>-12.58</v>
      </c>
      <c r="D2496">
        <v>5.23</v>
      </c>
      <c r="E2496" t="s">
        <v>25</v>
      </c>
      <c r="F2496" t="s">
        <v>47</v>
      </c>
      <c r="G2496">
        <v>11.52</v>
      </c>
      <c r="H2496">
        <v>-1.06</v>
      </c>
      <c r="I2496">
        <v>6.29</v>
      </c>
      <c r="J2496">
        <v>39.564100000000003</v>
      </c>
      <c r="K2496" t="str">
        <f>IFERROR(INDEX(Rosters!$C$2:$C$155,MATCH($B2496,Rosters!$B$2:$B$155,0)),"NA")</f>
        <v>seth</v>
      </c>
      <c r="L2496" t="str">
        <f t="shared" si="114"/>
        <v>seth1RB</v>
      </c>
      <c r="M2496">
        <f>COUNTIF(L$1:L2496,L2496)</f>
        <v>5</v>
      </c>
      <c r="N2496" t="str">
        <f t="shared" si="115"/>
        <v>seth1RB-5</v>
      </c>
      <c r="O2496">
        <f>COUNTIFS(F$1:F2496,F2496,A$1:A2496,A2496)</f>
        <v>42</v>
      </c>
      <c r="P2496" t="str">
        <f t="shared" si="116"/>
        <v>Alfred Morris1</v>
      </c>
    </row>
    <row r="2497" spans="1:16" x14ac:dyDescent="0.25">
      <c r="A2497">
        <v>5</v>
      </c>
      <c r="B2497" t="s">
        <v>127</v>
      </c>
      <c r="C2497" t="s">
        <v>9081</v>
      </c>
      <c r="D2497">
        <v>5.23</v>
      </c>
      <c r="E2497" t="s">
        <v>50</v>
      </c>
      <c r="F2497" t="s">
        <v>47</v>
      </c>
      <c r="G2497">
        <v>8.9700000000000006</v>
      </c>
      <c r="H2497">
        <v>1.49</v>
      </c>
      <c r="I2497">
        <v>3.74</v>
      </c>
      <c r="J2497">
        <v>13.9876</v>
      </c>
      <c r="K2497" t="str">
        <f>IFERROR(INDEX(Rosters!$C$2:$C$155,MATCH($B2497,Rosters!$B$2:$B$155,0)),"NA")</f>
        <v>aj</v>
      </c>
      <c r="L2497" t="str">
        <f t="shared" si="114"/>
        <v>aj5RB</v>
      </c>
      <c r="M2497">
        <f>COUNTIF(L$1:L2497,L2497)</f>
        <v>5</v>
      </c>
      <c r="N2497" t="str">
        <f t="shared" si="115"/>
        <v>aj5RB-5</v>
      </c>
      <c r="O2497">
        <f>COUNTIFS(F$1:F2497,F2497,A$1:A2497,A2497)</f>
        <v>51</v>
      </c>
      <c r="P2497" t="str">
        <f t="shared" si="116"/>
        <v>Dalvin Cook5</v>
      </c>
    </row>
    <row r="2498" spans="1:16" x14ac:dyDescent="0.25">
      <c r="A2498">
        <v>11</v>
      </c>
      <c r="B2498" t="s">
        <v>237</v>
      </c>
      <c r="C2498" t="s">
        <v>7526</v>
      </c>
      <c r="D2498">
        <v>5.23</v>
      </c>
      <c r="E2498" t="s">
        <v>25</v>
      </c>
      <c r="F2498" t="s">
        <v>87</v>
      </c>
      <c r="G2498">
        <v>9.16</v>
      </c>
      <c r="H2498">
        <v>1.3</v>
      </c>
      <c r="I2498">
        <v>3.93</v>
      </c>
      <c r="J2498">
        <v>15.444900000000001</v>
      </c>
      <c r="K2498" t="str">
        <f>IFERROR(INDEX(Rosters!$C$2:$C$155,MATCH($B2498,Rosters!$B$2:$B$155,0)),"NA")</f>
        <v>NA</v>
      </c>
      <c r="L2498" t="str">
        <f t="shared" si="114"/>
        <v>NA11WR</v>
      </c>
      <c r="M2498">
        <f>COUNTIF(L$1:L2498,L2498)</f>
        <v>8</v>
      </c>
      <c r="N2498" t="str">
        <f t="shared" si="115"/>
        <v>NA11WR-8</v>
      </c>
      <c r="O2498">
        <f>COUNTIFS(F$1:F2498,F2498,A$1:A2498,A2498)</f>
        <v>53</v>
      </c>
      <c r="P2498" t="str">
        <f t="shared" si="116"/>
        <v>Taylor Gabriel11</v>
      </c>
    </row>
    <row r="2499" spans="1:16" x14ac:dyDescent="0.25">
      <c r="A2499">
        <v>15</v>
      </c>
      <c r="B2499" t="s">
        <v>1425</v>
      </c>
      <c r="C2499" t="s">
        <v>7527</v>
      </c>
      <c r="D2499">
        <v>5.22</v>
      </c>
      <c r="E2499" t="s">
        <v>52</v>
      </c>
      <c r="F2499" t="s">
        <v>87</v>
      </c>
      <c r="G2499">
        <v>9.9600000000000009</v>
      </c>
      <c r="H2499">
        <v>0.48</v>
      </c>
      <c r="I2499">
        <v>4.74</v>
      </c>
      <c r="J2499">
        <v>22.467600000000001</v>
      </c>
      <c r="K2499" t="str">
        <f>IFERROR(INDEX(Rosters!$C$2:$C$155,MATCH($B2499,Rosters!$B$2:$B$155,0)),"NA")</f>
        <v>NA</v>
      </c>
      <c r="L2499" t="str">
        <f t="shared" ref="L2499:L2562" si="117">K2499&amp;A2499&amp;F2499</f>
        <v>NA15WR</v>
      </c>
      <c r="M2499">
        <f>COUNTIF(L$1:L2499,L2499)</f>
        <v>11</v>
      </c>
      <c r="N2499" t="str">
        <f t="shared" ref="N2499:N2562" si="118">L2499&amp;"-"&amp;M2499</f>
        <v>NA15WR-11</v>
      </c>
      <c r="O2499">
        <f>COUNTIFS(F$1:F2499,F2499,A$1:A2499,A2499)</f>
        <v>60</v>
      </c>
      <c r="P2499" t="str">
        <f t="shared" ref="P2499:P2562" si="119">B2499&amp;A2499</f>
        <v>Courtland Sutton15</v>
      </c>
    </row>
    <row r="2500" spans="1:16" x14ac:dyDescent="0.25">
      <c r="A2500">
        <v>3</v>
      </c>
      <c r="B2500" t="s">
        <v>1395</v>
      </c>
      <c r="C2500">
        <f>-0.01-10.45</f>
        <v>-10.459999999999999</v>
      </c>
      <c r="D2500">
        <v>5.22</v>
      </c>
      <c r="E2500" t="s">
        <v>50</v>
      </c>
      <c r="F2500" t="s">
        <v>47</v>
      </c>
      <c r="G2500">
        <v>10.45</v>
      </c>
      <c r="H2500">
        <v>-0.01</v>
      </c>
      <c r="I2500">
        <v>5.23</v>
      </c>
      <c r="J2500">
        <v>27.352900000000002</v>
      </c>
      <c r="K2500" t="str">
        <f>IFERROR(INDEX(Rosters!$C$2:$C$155,MATCH($B2500,Rosters!$B$2:$B$155,0)),"NA")</f>
        <v>cory</v>
      </c>
      <c r="L2500" t="str">
        <f t="shared" si="117"/>
        <v>cory3RB</v>
      </c>
      <c r="M2500">
        <f>COUNTIF(L$1:L2500,L2500)</f>
        <v>4</v>
      </c>
      <c r="N2500" t="str">
        <f t="shared" si="118"/>
        <v>cory3RB-4</v>
      </c>
      <c r="O2500">
        <f>COUNTIFS(F$1:F2500,F2500,A$1:A2500,A2500)</f>
        <v>50</v>
      </c>
      <c r="P2500" t="str">
        <f t="shared" si="119"/>
        <v>Nyheim Hines3</v>
      </c>
    </row>
    <row r="2501" spans="1:16" x14ac:dyDescent="0.25">
      <c r="A2501">
        <v>12</v>
      </c>
      <c r="B2501" t="s">
        <v>226</v>
      </c>
      <c r="C2501" t="s">
        <v>7528</v>
      </c>
      <c r="D2501">
        <v>5.21</v>
      </c>
      <c r="E2501" t="s">
        <v>58</v>
      </c>
      <c r="F2501" t="s">
        <v>87</v>
      </c>
      <c r="G2501">
        <v>8.9600000000000009</v>
      </c>
      <c r="H2501">
        <v>1.46</v>
      </c>
      <c r="I2501">
        <v>3.75</v>
      </c>
      <c r="J2501">
        <v>14.0625</v>
      </c>
      <c r="K2501" t="str">
        <f>IFERROR(INDEX(Rosters!$C$2:$C$155,MATCH($B2501,Rosters!$B$2:$B$155,0)),"NA")</f>
        <v>comp</v>
      </c>
      <c r="L2501" t="str">
        <f t="shared" si="117"/>
        <v>comp12WR</v>
      </c>
      <c r="M2501">
        <f>COUNTIF(L$1:L2501,L2501)</f>
        <v>7</v>
      </c>
      <c r="N2501" t="str">
        <f t="shared" si="118"/>
        <v>comp12WR-7</v>
      </c>
      <c r="O2501">
        <f>COUNTIFS(F$1:F2501,F2501,A$1:A2501,A2501)</f>
        <v>55</v>
      </c>
      <c r="P2501" t="str">
        <f t="shared" si="119"/>
        <v>Mike Williams12</v>
      </c>
    </row>
    <row r="2502" spans="1:16" x14ac:dyDescent="0.25">
      <c r="A2502">
        <v>17</v>
      </c>
      <c r="B2502" t="s">
        <v>226</v>
      </c>
      <c r="C2502" t="s">
        <v>7529</v>
      </c>
      <c r="D2502">
        <v>5.21</v>
      </c>
      <c r="E2502" t="s">
        <v>42</v>
      </c>
      <c r="F2502" t="s">
        <v>87</v>
      </c>
      <c r="G2502">
        <v>9.31</v>
      </c>
      <c r="H2502">
        <v>1.1100000000000001</v>
      </c>
      <c r="I2502">
        <v>4.0999999999999996</v>
      </c>
      <c r="J2502">
        <v>16.809999999999999</v>
      </c>
      <c r="K2502" t="str">
        <f>IFERROR(INDEX(Rosters!$C$2:$C$155,MATCH($B2502,Rosters!$B$2:$B$155,0)),"NA")</f>
        <v>comp</v>
      </c>
      <c r="L2502" t="str">
        <f t="shared" si="117"/>
        <v>comp17WR</v>
      </c>
      <c r="M2502">
        <f>COUNTIF(L$1:L2502,L2502)</f>
        <v>7</v>
      </c>
      <c r="N2502" t="str">
        <f t="shared" si="118"/>
        <v>comp17WR-7</v>
      </c>
      <c r="O2502">
        <f>COUNTIFS(F$1:F2502,F2502,A$1:A2502,A2502)</f>
        <v>61</v>
      </c>
      <c r="P2502" t="str">
        <f t="shared" si="119"/>
        <v>Mike Williams17</v>
      </c>
    </row>
    <row r="2503" spans="1:16" x14ac:dyDescent="0.25">
      <c r="A2503">
        <v>8</v>
      </c>
      <c r="B2503" t="s">
        <v>175</v>
      </c>
      <c r="C2503" t="s">
        <v>7530</v>
      </c>
      <c r="D2503">
        <v>5.2</v>
      </c>
      <c r="E2503" t="s">
        <v>36</v>
      </c>
      <c r="F2503" t="s">
        <v>87</v>
      </c>
      <c r="G2503">
        <v>8.9499999999999993</v>
      </c>
      <c r="H2503">
        <v>1.45</v>
      </c>
      <c r="I2503">
        <v>3.75</v>
      </c>
      <c r="J2503">
        <v>14.0625</v>
      </c>
      <c r="K2503" t="str">
        <f>IFERROR(INDEX(Rosters!$C$2:$C$155,MATCH($B2503,Rosters!$B$2:$B$155,0)),"NA")</f>
        <v>NA</v>
      </c>
      <c r="L2503" t="str">
        <f t="shared" si="117"/>
        <v>NA8WR</v>
      </c>
      <c r="M2503">
        <f>COUNTIF(L$1:L2503,L2503)</f>
        <v>15</v>
      </c>
      <c r="N2503" t="str">
        <f t="shared" si="118"/>
        <v>NA8WR-15</v>
      </c>
      <c r="O2503">
        <f>COUNTIFS(F$1:F2503,F2503,A$1:A2503,A2503)</f>
        <v>61</v>
      </c>
      <c r="P2503" t="str">
        <f t="shared" si="119"/>
        <v>DeVante Parker8</v>
      </c>
    </row>
    <row r="2504" spans="1:16" x14ac:dyDescent="0.25">
      <c r="A2504">
        <v>8</v>
      </c>
      <c r="B2504" t="s">
        <v>101</v>
      </c>
      <c r="C2504" t="s">
        <v>7531</v>
      </c>
      <c r="D2504">
        <v>5.2</v>
      </c>
      <c r="E2504" t="s">
        <v>66</v>
      </c>
      <c r="F2504" t="s">
        <v>47</v>
      </c>
      <c r="G2504">
        <v>8.43</v>
      </c>
      <c r="H2504">
        <v>1.97</v>
      </c>
      <c r="I2504">
        <v>3.23</v>
      </c>
      <c r="J2504">
        <v>10.4329</v>
      </c>
      <c r="K2504" t="str">
        <f>IFERROR(INDEX(Rosters!$C$2:$C$155,MATCH($B2504,Rosters!$B$2:$B$155,0)),"NA")</f>
        <v>NA</v>
      </c>
      <c r="L2504" t="str">
        <f t="shared" si="117"/>
        <v>NA8RB</v>
      </c>
      <c r="M2504">
        <f>COUNTIF(L$1:L2504,L2504)</f>
        <v>13</v>
      </c>
      <c r="N2504" t="str">
        <f t="shared" si="118"/>
        <v>NA8RB-13</v>
      </c>
      <c r="O2504">
        <f>COUNTIFS(F$1:F2504,F2504,A$1:A2504,A2504)</f>
        <v>52</v>
      </c>
      <c r="P2504" t="str">
        <f t="shared" si="119"/>
        <v>Doug Martin8</v>
      </c>
    </row>
    <row r="2505" spans="1:16" x14ac:dyDescent="0.25">
      <c r="A2505">
        <v>14</v>
      </c>
      <c r="B2505" t="s">
        <v>264</v>
      </c>
      <c r="C2505" t="s">
        <v>7532</v>
      </c>
      <c r="D2505">
        <v>5.2</v>
      </c>
      <c r="E2505" t="s">
        <v>42</v>
      </c>
      <c r="F2505" t="s">
        <v>114</v>
      </c>
      <c r="G2505">
        <v>8.41</v>
      </c>
      <c r="H2505">
        <v>1.99</v>
      </c>
      <c r="I2505">
        <v>3.21</v>
      </c>
      <c r="J2505">
        <v>10.3041</v>
      </c>
      <c r="K2505" t="str">
        <f>IFERROR(INDEX(Rosters!$C$2:$C$155,MATCH($B2505,Rosters!$B$2:$B$155,0)),"NA")</f>
        <v>scott</v>
      </c>
      <c r="L2505" t="str">
        <f t="shared" si="117"/>
        <v>scott14TE</v>
      </c>
      <c r="M2505">
        <f>COUNTIF(L$1:L2505,L2505)</f>
        <v>1</v>
      </c>
      <c r="N2505" t="str">
        <f t="shared" si="118"/>
        <v>scott14TE-1</v>
      </c>
      <c r="O2505">
        <f>COUNTIFS(F$1:F2505,F2505,A$1:A2505,A2505)</f>
        <v>13</v>
      </c>
      <c r="P2505" t="str">
        <f t="shared" si="119"/>
        <v>George Kittle14</v>
      </c>
    </row>
    <row r="2506" spans="1:16" x14ac:dyDescent="0.25">
      <c r="A2506">
        <v>13</v>
      </c>
      <c r="B2506" t="s">
        <v>1148</v>
      </c>
      <c r="C2506" t="s">
        <v>7533</v>
      </c>
      <c r="D2506">
        <v>5.2</v>
      </c>
      <c r="E2506" t="s">
        <v>30</v>
      </c>
      <c r="F2506" t="s">
        <v>47</v>
      </c>
      <c r="G2506">
        <v>9.7899999999999991</v>
      </c>
      <c r="H2506">
        <v>0.61</v>
      </c>
      <c r="I2506">
        <v>4.59</v>
      </c>
      <c r="J2506">
        <v>21.068100000000001</v>
      </c>
      <c r="K2506" t="str">
        <f>IFERROR(INDEX(Rosters!$C$2:$C$155,MATCH($B2506,Rosters!$B$2:$B$155,0)),"NA")</f>
        <v>NA</v>
      </c>
      <c r="L2506" t="str">
        <f t="shared" si="117"/>
        <v>NA13RB</v>
      </c>
      <c r="M2506">
        <f>COUNTIF(L$1:L2506,L2506)</f>
        <v>13</v>
      </c>
      <c r="N2506" t="str">
        <f t="shared" si="118"/>
        <v>NA13RB-13</v>
      </c>
      <c r="O2506">
        <f>COUNTIFS(F$1:F2506,F2506,A$1:A2506,A2506)</f>
        <v>56</v>
      </c>
      <c r="P2506" t="str">
        <f t="shared" si="119"/>
        <v>Mike Davis13</v>
      </c>
    </row>
    <row r="2507" spans="1:16" x14ac:dyDescent="0.25">
      <c r="A2507">
        <v>4</v>
      </c>
      <c r="B2507" t="s">
        <v>381</v>
      </c>
      <c r="C2507" t="s">
        <v>4538</v>
      </c>
      <c r="D2507">
        <v>5.2</v>
      </c>
      <c r="E2507" t="s">
        <v>36</v>
      </c>
      <c r="F2507" t="s">
        <v>87</v>
      </c>
      <c r="G2507">
        <v>9.94</v>
      </c>
      <c r="H2507">
        <v>0.46</v>
      </c>
      <c r="I2507">
        <v>4.74</v>
      </c>
      <c r="J2507">
        <v>22.467600000000001</v>
      </c>
      <c r="K2507" t="str">
        <f>IFERROR(INDEX(Rosters!$C$2:$C$155,MATCH($B2507,Rosters!$B$2:$B$155,0)),"NA")</f>
        <v>perry</v>
      </c>
      <c r="L2507" t="str">
        <f t="shared" si="117"/>
        <v>perry4WR</v>
      </c>
      <c r="M2507">
        <f>COUNTIF(L$1:L2507,L2507)</f>
        <v>5</v>
      </c>
      <c r="N2507" t="str">
        <f t="shared" si="118"/>
        <v>perry4WR-5</v>
      </c>
      <c r="O2507">
        <f>COUNTIFS(F$1:F2507,F2507,A$1:A2507,A2507)</f>
        <v>56</v>
      </c>
      <c r="P2507" t="str">
        <f t="shared" si="119"/>
        <v>Ryan Grant4</v>
      </c>
    </row>
    <row r="2508" spans="1:16" x14ac:dyDescent="0.25">
      <c r="A2508">
        <v>1</v>
      </c>
      <c r="B2508" t="s">
        <v>1391</v>
      </c>
      <c r="C2508" t="s">
        <v>1398</v>
      </c>
      <c r="D2508">
        <v>5.19</v>
      </c>
      <c r="E2508" t="s">
        <v>22</v>
      </c>
      <c r="F2508" t="s">
        <v>87</v>
      </c>
      <c r="G2508">
        <v>9.5399999999999991</v>
      </c>
      <c r="H2508">
        <v>0.84</v>
      </c>
      <c r="I2508">
        <v>4.3499999999999996</v>
      </c>
      <c r="J2508">
        <v>18.922499999999999</v>
      </c>
      <c r="K2508" t="str">
        <f>IFERROR(INDEX(Rosters!$C$2:$C$155,MATCH($B2508,Rosters!$B$2:$B$155,0)),"NA")</f>
        <v>NA</v>
      </c>
      <c r="L2508" t="str">
        <f t="shared" si="117"/>
        <v>NA1WR</v>
      </c>
      <c r="M2508">
        <f>COUNTIF(L$1:L2508,L2508)</f>
        <v>9</v>
      </c>
      <c r="N2508" t="str">
        <f t="shared" si="118"/>
        <v>NA1WR-9</v>
      </c>
      <c r="O2508">
        <f>COUNTIFS(F$1:F2508,F2508,A$1:A2508,A2508)</f>
        <v>51</v>
      </c>
      <c r="P2508" t="str">
        <f t="shared" si="119"/>
        <v>D.J. Moore1</v>
      </c>
    </row>
    <row r="2509" spans="1:16" x14ac:dyDescent="0.25">
      <c r="A2509">
        <v>16</v>
      </c>
      <c r="B2509" t="s">
        <v>178</v>
      </c>
      <c r="C2509" t="s">
        <v>7534</v>
      </c>
      <c r="D2509">
        <v>5.19</v>
      </c>
      <c r="E2509" t="s">
        <v>54</v>
      </c>
      <c r="F2509" t="s">
        <v>114</v>
      </c>
      <c r="G2509">
        <v>8.57</v>
      </c>
      <c r="H2509">
        <v>1.81</v>
      </c>
      <c r="I2509">
        <v>3.38</v>
      </c>
      <c r="J2509">
        <v>11.4244</v>
      </c>
      <c r="K2509" t="str">
        <f>IFERROR(INDEX(Rosters!$C$2:$C$155,MATCH($B2509,Rosters!$B$2:$B$155,0)),"NA")</f>
        <v>devon</v>
      </c>
      <c r="L2509" t="str">
        <f t="shared" si="117"/>
        <v>devon16TE</v>
      </c>
      <c r="M2509">
        <f>COUNTIF(L$1:L2509,L2509)</f>
        <v>2</v>
      </c>
      <c r="N2509" t="str">
        <f t="shared" si="118"/>
        <v>devon16TE-2</v>
      </c>
      <c r="O2509">
        <f>COUNTIFS(F$1:F2509,F2509,A$1:A2509,A2509)</f>
        <v>16</v>
      </c>
      <c r="P2509" t="str">
        <f t="shared" si="119"/>
        <v>Eric Ebron16</v>
      </c>
    </row>
    <row r="2510" spans="1:16" x14ac:dyDescent="0.25">
      <c r="A2510">
        <v>14</v>
      </c>
      <c r="B2510" t="s">
        <v>189</v>
      </c>
      <c r="C2510" t="s">
        <v>7535</v>
      </c>
      <c r="D2510">
        <v>5.19</v>
      </c>
      <c r="E2510" t="s">
        <v>36</v>
      </c>
      <c r="F2510" t="s">
        <v>114</v>
      </c>
      <c r="G2510">
        <v>9.98</v>
      </c>
      <c r="H2510">
        <v>0.4</v>
      </c>
      <c r="I2510">
        <v>4.79</v>
      </c>
      <c r="J2510">
        <v>22.944099999999999</v>
      </c>
      <c r="K2510" t="str">
        <f>IFERROR(INDEX(Rosters!$C$2:$C$155,MATCH($B2510,Rosters!$B$2:$B$155,0)),"NA")</f>
        <v>NA</v>
      </c>
      <c r="L2510" t="str">
        <f t="shared" si="117"/>
        <v>NA14TE</v>
      </c>
      <c r="M2510">
        <f>COUNTIF(L$1:L2510,L2510)</f>
        <v>3</v>
      </c>
      <c r="N2510" t="str">
        <f t="shared" si="118"/>
        <v>NA14TE-3</v>
      </c>
      <c r="O2510">
        <f>COUNTIFS(F$1:F2510,F2510,A$1:A2510,A2510)</f>
        <v>14</v>
      </c>
      <c r="P2510" t="str">
        <f t="shared" si="119"/>
        <v>Jack Doyle14</v>
      </c>
    </row>
    <row r="2511" spans="1:16" x14ac:dyDescent="0.25">
      <c r="A2511">
        <v>3</v>
      </c>
      <c r="B2511" t="s">
        <v>1326</v>
      </c>
      <c r="C2511" t="s">
        <v>3734</v>
      </c>
      <c r="D2511">
        <v>5.19</v>
      </c>
      <c r="E2511" t="s">
        <v>423</v>
      </c>
      <c r="F2511" t="s">
        <v>47</v>
      </c>
      <c r="G2511">
        <v>9.4600000000000009</v>
      </c>
      <c r="H2511">
        <v>0.92</v>
      </c>
      <c r="I2511">
        <v>4.2699999999999996</v>
      </c>
      <c r="J2511">
        <v>18.232900000000001</v>
      </c>
      <c r="K2511" t="str">
        <f>IFERROR(INDEX(Rosters!$C$2:$C$155,MATCH($B2511,Rosters!$B$2:$B$155,0)),"NA")</f>
        <v>devon</v>
      </c>
      <c r="L2511" t="str">
        <f t="shared" si="117"/>
        <v>devon3RB</v>
      </c>
      <c r="M2511">
        <f>COUNTIF(L$1:L2511,L2511)</f>
        <v>4</v>
      </c>
      <c r="N2511" t="str">
        <f t="shared" si="118"/>
        <v>devon3RB-4</v>
      </c>
      <c r="O2511">
        <f>COUNTIFS(F$1:F2511,F2511,A$1:A2511,A2511)</f>
        <v>51</v>
      </c>
      <c r="P2511" t="str">
        <f t="shared" si="119"/>
        <v>Kerryon Johnson3</v>
      </c>
    </row>
    <row r="2512" spans="1:16" x14ac:dyDescent="0.25">
      <c r="A2512">
        <v>2</v>
      </c>
      <c r="B2512" t="s">
        <v>261</v>
      </c>
      <c r="C2512">
        <f>-0.18-10.54</f>
        <v>-10.719999999999999</v>
      </c>
      <c r="D2512">
        <v>5.18</v>
      </c>
      <c r="E2512" t="s">
        <v>52</v>
      </c>
      <c r="F2512" t="s">
        <v>114</v>
      </c>
      <c r="G2512">
        <v>10.54</v>
      </c>
      <c r="H2512">
        <v>-0.18</v>
      </c>
      <c r="I2512">
        <v>5.36</v>
      </c>
      <c r="J2512">
        <v>28.729600000000001</v>
      </c>
      <c r="K2512" t="str">
        <f>IFERROR(INDEX(Rosters!$C$2:$C$155,MATCH($B2512,Rosters!$B$2:$B$155,0)),"NA")</f>
        <v>NA</v>
      </c>
      <c r="L2512" t="str">
        <f t="shared" si="117"/>
        <v>NA2TE</v>
      </c>
      <c r="M2512">
        <f>COUNTIF(L$1:L2512,L2512)</f>
        <v>1</v>
      </c>
      <c r="N2512" t="str">
        <f t="shared" si="118"/>
        <v>NA2TE-1</v>
      </c>
      <c r="O2512">
        <f>COUNTIFS(F$1:F2512,F2512,A$1:A2512,A2512)</f>
        <v>11</v>
      </c>
      <c r="P2512" t="str">
        <f t="shared" si="119"/>
        <v>Benjamin Watson2</v>
      </c>
    </row>
    <row r="2513" spans="1:16" x14ac:dyDescent="0.25">
      <c r="A2513">
        <v>13</v>
      </c>
      <c r="B2513" t="s">
        <v>101</v>
      </c>
      <c r="C2513" t="s">
        <v>7536</v>
      </c>
      <c r="D2513">
        <v>5.18</v>
      </c>
      <c r="E2513" t="s">
        <v>24</v>
      </c>
      <c r="F2513" t="s">
        <v>47</v>
      </c>
      <c r="G2513">
        <v>8.19</v>
      </c>
      <c r="H2513">
        <v>2.17</v>
      </c>
      <c r="I2513">
        <v>3.01</v>
      </c>
      <c r="J2513">
        <v>9.0601000000000003</v>
      </c>
      <c r="K2513" t="str">
        <f>IFERROR(INDEX(Rosters!$C$2:$C$155,MATCH($B2513,Rosters!$B$2:$B$155,0)),"NA")</f>
        <v>NA</v>
      </c>
      <c r="L2513" t="str">
        <f t="shared" si="117"/>
        <v>NA13RB</v>
      </c>
      <c r="M2513">
        <f>COUNTIF(L$1:L2513,L2513)</f>
        <v>14</v>
      </c>
      <c r="N2513" t="str">
        <f t="shared" si="118"/>
        <v>NA13RB-14</v>
      </c>
      <c r="O2513">
        <f>COUNTIFS(F$1:F2513,F2513,A$1:A2513,A2513)</f>
        <v>57</v>
      </c>
      <c r="P2513" t="str">
        <f t="shared" si="119"/>
        <v>Doug Martin13</v>
      </c>
    </row>
    <row r="2514" spans="1:16" x14ac:dyDescent="0.25">
      <c r="A2514">
        <v>4</v>
      </c>
      <c r="B2514" t="s">
        <v>264</v>
      </c>
      <c r="C2514" t="s">
        <v>4539</v>
      </c>
      <c r="D2514">
        <v>5.18</v>
      </c>
      <c r="E2514" t="s">
        <v>37</v>
      </c>
      <c r="F2514" t="s">
        <v>114</v>
      </c>
      <c r="G2514">
        <v>8.9700000000000006</v>
      </c>
      <c r="H2514">
        <v>1.39</v>
      </c>
      <c r="I2514">
        <v>3.79</v>
      </c>
      <c r="J2514">
        <v>14.364100000000001</v>
      </c>
      <c r="K2514" t="str">
        <f>IFERROR(INDEX(Rosters!$C$2:$C$155,MATCH($B2514,Rosters!$B$2:$B$155,0)),"NA")</f>
        <v>scott</v>
      </c>
      <c r="L2514" t="str">
        <f t="shared" si="117"/>
        <v>scott4TE</v>
      </c>
      <c r="M2514">
        <f>COUNTIF(L$1:L2514,L2514)</f>
        <v>1</v>
      </c>
      <c r="N2514" t="str">
        <f t="shared" si="118"/>
        <v>scott4TE-1</v>
      </c>
      <c r="O2514">
        <f>COUNTIFS(F$1:F2514,F2514,A$1:A2514,A2514)</f>
        <v>11</v>
      </c>
      <c r="P2514" t="str">
        <f t="shared" si="119"/>
        <v>George Kittle4</v>
      </c>
    </row>
    <row r="2515" spans="1:16" x14ac:dyDescent="0.25">
      <c r="A2515">
        <v>4</v>
      </c>
      <c r="B2515" t="s">
        <v>1395</v>
      </c>
      <c r="C2515" t="s">
        <v>4540</v>
      </c>
      <c r="D2515">
        <v>5.18</v>
      </c>
      <c r="E2515" t="s">
        <v>36</v>
      </c>
      <c r="F2515" t="s">
        <v>47</v>
      </c>
      <c r="G2515">
        <v>8.81</v>
      </c>
      <c r="H2515">
        <v>1.55</v>
      </c>
      <c r="I2515">
        <v>3.63</v>
      </c>
      <c r="J2515">
        <v>13.1769</v>
      </c>
      <c r="K2515" t="str">
        <f>IFERROR(INDEX(Rosters!$C$2:$C$155,MATCH($B2515,Rosters!$B$2:$B$155,0)),"NA")</f>
        <v>cory</v>
      </c>
      <c r="L2515" t="str">
        <f t="shared" si="117"/>
        <v>cory4RB</v>
      </c>
      <c r="M2515">
        <f>COUNTIF(L$1:L2515,L2515)</f>
        <v>4</v>
      </c>
      <c r="N2515" t="str">
        <f t="shared" si="118"/>
        <v>cory4RB-4</v>
      </c>
      <c r="O2515">
        <f>COUNTIFS(F$1:F2515,F2515,A$1:A2515,A2515)</f>
        <v>46</v>
      </c>
      <c r="P2515" t="str">
        <f t="shared" si="119"/>
        <v>Nyheim Hines4</v>
      </c>
    </row>
    <row r="2516" spans="1:16" x14ac:dyDescent="0.25">
      <c r="A2516">
        <v>11</v>
      </c>
      <c r="B2516" t="s">
        <v>181</v>
      </c>
      <c r="C2516" t="s">
        <v>7537</v>
      </c>
      <c r="D2516">
        <v>5.17</v>
      </c>
      <c r="E2516" t="s">
        <v>72</v>
      </c>
      <c r="F2516" t="s">
        <v>114</v>
      </c>
      <c r="G2516">
        <v>8.0299999999999994</v>
      </c>
      <c r="H2516">
        <v>2.31</v>
      </c>
      <c r="I2516">
        <v>2.86</v>
      </c>
      <c r="J2516">
        <v>8.1796000000000006</v>
      </c>
      <c r="K2516" t="str">
        <f>IFERROR(INDEX(Rosters!$C$2:$C$155,MATCH($B2516,Rosters!$B$2:$B$155,0)),"NA")</f>
        <v>cory</v>
      </c>
      <c r="L2516" t="str">
        <f t="shared" si="117"/>
        <v>cory11TE</v>
      </c>
      <c r="M2516">
        <f>COUNTIF(L$1:L2516,L2516)</f>
        <v>1</v>
      </c>
      <c r="N2516" t="str">
        <f t="shared" si="118"/>
        <v>cory11TE-1</v>
      </c>
      <c r="O2516">
        <f>COUNTIFS(F$1:F2516,F2516,A$1:A2516,A2516)</f>
        <v>13</v>
      </c>
      <c r="P2516" t="str">
        <f t="shared" si="119"/>
        <v>Kyle Rudolph11</v>
      </c>
    </row>
    <row r="2517" spans="1:16" x14ac:dyDescent="0.25">
      <c r="A2517">
        <v>9</v>
      </c>
      <c r="B2517" t="s">
        <v>143</v>
      </c>
      <c r="C2517">
        <f>-0.92-11.26</f>
        <v>-12.18</v>
      </c>
      <c r="D2517">
        <v>5.17</v>
      </c>
      <c r="E2517" t="s">
        <v>19</v>
      </c>
      <c r="F2517" t="s">
        <v>87</v>
      </c>
      <c r="G2517">
        <v>11.26</v>
      </c>
      <c r="H2517">
        <v>-0.92</v>
      </c>
      <c r="I2517">
        <v>6.09</v>
      </c>
      <c r="J2517">
        <v>37.088099999999997</v>
      </c>
      <c r="K2517" t="str">
        <f>IFERROR(INDEX(Rosters!$C$2:$C$155,MATCH($B2517,Rosters!$B$2:$B$155,0)),"NA")</f>
        <v>NA</v>
      </c>
      <c r="L2517" t="str">
        <f t="shared" si="117"/>
        <v>NA9WR</v>
      </c>
      <c r="M2517">
        <f>COUNTIF(L$1:L2517,L2517)</f>
        <v>10</v>
      </c>
      <c r="N2517" t="str">
        <f t="shared" si="118"/>
        <v>NA9WR-10</v>
      </c>
      <c r="O2517">
        <f>COUNTIFS(F$1:F2517,F2517,A$1:A2517,A2517)</f>
        <v>49</v>
      </c>
      <c r="P2517" t="str">
        <f t="shared" si="119"/>
        <v>Terrelle Pryor Sr.9</v>
      </c>
    </row>
    <row r="2518" spans="1:16" x14ac:dyDescent="0.25">
      <c r="A2518">
        <v>5</v>
      </c>
      <c r="B2518" t="s">
        <v>261</v>
      </c>
      <c r="C2518" t="s">
        <v>7538</v>
      </c>
      <c r="D2518">
        <v>5.16</v>
      </c>
      <c r="E2518" t="s">
        <v>60</v>
      </c>
      <c r="F2518" t="s">
        <v>114</v>
      </c>
      <c r="G2518">
        <v>9.58</v>
      </c>
      <c r="H2518">
        <v>0.74</v>
      </c>
      <c r="I2518">
        <v>4.42</v>
      </c>
      <c r="J2518">
        <v>19.5364</v>
      </c>
      <c r="K2518" t="str">
        <f>IFERROR(INDEX(Rosters!$C$2:$C$155,MATCH($B2518,Rosters!$B$2:$B$155,0)),"NA")</f>
        <v>NA</v>
      </c>
      <c r="L2518" t="str">
        <f t="shared" si="117"/>
        <v>NA5TE</v>
      </c>
      <c r="M2518">
        <f>COUNTIF(L$1:L2518,L2518)</f>
        <v>2</v>
      </c>
      <c r="N2518" t="str">
        <f t="shared" si="118"/>
        <v>NA5TE-2</v>
      </c>
      <c r="O2518">
        <f>COUNTIFS(F$1:F2518,F2518,A$1:A2518,A2518)</f>
        <v>12</v>
      </c>
      <c r="P2518" t="str">
        <f t="shared" si="119"/>
        <v>Benjamin Watson5</v>
      </c>
    </row>
    <row r="2519" spans="1:16" x14ac:dyDescent="0.25">
      <c r="A2519">
        <v>1</v>
      </c>
      <c r="B2519" t="s">
        <v>227</v>
      </c>
      <c r="C2519" t="s">
        <v>2271</v>
      </c>
      <c r="D2519">
        <v>5.16</v>
      </c>
      <c r="E2519" t="s">
        <v>38</v>
      </c>
      <c r="F2519" t="s">
        <v>87</v>
      </c>
      <c r="G2519">
        <v>9.92</v>
      </c>
      <c r="H2519">
        <v>0.4</v>
      </c>
      <c r="I2519">
        <v>4.76</v>
      </c>
      <c r="J2519">
        <v>22.657599999999999</v>
      </c>
      <c r="K2519" t="str">
        <f>IFERROR(INDEX(Rosters!$C$2:$C$155,MATCH($B2519,Rosters!$B$2:$B$155,0)),"NA")</f>
        <v>NA</v>
      </c>
      <c r="L2519" t="str">
        <f t="shared" si="117"/>
        <v>NA1WR</v>
      </c>
      <c r="M2519">
        <f>COUNTIF(L$1:L2519,L2519)</f>
        <v>10</v>
      </c>
      <c r="N2519" t="str">
        <f t="shared" si="118"/>
        <v>NA1WR-10</v>
      </c>
      <c r="O2519">
        <f>COUNTIFS(F$1:F2519,F2519,A$1:A2519,A2519)</f>
        <v>52</v>
      </c>
      <c r="P2519" t="str">
        <f t="shared" si="119"/>
        <v>Danny Amendola1</v>
      </c>
    </row>
    <row r="2520" spans="1:16" x14ac:dyDescent="0.25">
      <c r="A2520">
        <v>1</v>
      </c>
      <c r="B2520" t="s">
        <v>1326</v>
      </c>
      <c r="C2520" t="s">
        <v>1399</v>
      </c>
      <c r="D2520">
        <v>5.16</v>
      </c>
      <c r="E2520" t="s">
        <v>73</v>
      </c>
      <c r="F2520" t="s">
        <v>47</v>
      </c>
      <c r="G2520">
        <v>7.72</v>
      </c>
      <c r="H2520">
        <v>2.6</v>
      </c>
      <c r="I2520">
        <v>2.56</v>
      </c>
      <c r="J2520">
        <v>6.5536000000000003</v>
      </c>
      <c r="K2520" t="str">
        <f>IFERROR(INDEX(Rosters!$C$2:$C$155,MATCH($B2520,Rosters!$B$2:$B$155,0)),"NA")</f>
        <v>devon</v>
      </c>
      <c r="L2520" t="str">
        <f t="shared" si="117"/>
        <v>devon1RB</v>
      </c>
      <c r="M2520">
        <f>COUNTIF(L$1:L2520,L2520)</f>
        <v>4</v>
      </c>
      <c r="N2520" t="str">
        <f t="shared" si="118"/>
        <v>devon1RB-4</v>
      </c>
      <c r="O2520">
        <f>COUNTIFS(F$1:F2520,F2520,A$1:A2520,A2520)</f>
        <v>43</v>
      </c>
      <c r="P2520" t="str">
        <f t="shared" si="119"/>
        <v>Kerryon Johnson1</v>
      </c>
    </row>
    <row r="2521" spans="1:16" x14ac:dyDescent="0.25">
      <c r="A2521">
        <v>11</v>
      </c>
      <c r="B2521" t="s">
        <v>1404</v>
      </c>
      <c r="C2521">
        <f>-0.06-10.38</f>
        <v>-10.440000000000001</v>
      </c>
      <c r="D2521">
        <v>5.16</v>
      </c>
      <c r="E2521" t="s">
        <v>56</v>
      </c>
      <c r="F2521" t="s">
        <v>47</v>
      </c>
      <c r="G2521">
        <v>10.38</v>
      </c>
      <c r="H2521">
        <v>-0.06</v>
      </c>
      <c r="I2521">
        <v>5.22</v>
      </c>
      <c r="J2521">
        <v>27.2484</v>
      </c>
      <c r="K2521" t="str">
        <f>IFERROR(INDEX(Rosters!$C$2:$C$155,MATCH($B2521,Rosters!$B$2:$B$155,0)),"NA")</f>
        <v>NA</v>
      </c>
      <c r="L2521" t="str">
        <f t="shared" si="117"/>
        <v>NA11RB</v>
      </c>
      <c r="M2521">
        <f>COUNTIF(L$1:L2521,L2521)</f>
        <v>8</v>
      </c>
      <c r="N2521" t="str">
        <f t="shared" si="118"/>
        <v>NA11RB-8</v>
      </c>
      <c r="O2521">
        <f>COUNTIFS(F$1:F2521,F2521,A$1:A2521,A2521)</f>
        <v>44</v>
      </c>
      <c r="P2521" t="str">
        <f t="shared" si="119"/>
        <v>Spencer Ware11</v>
      </c>
    </row>
    <row r="2522" spans="1:16" x14ac:dyDescent="0.25">
      <c r="A2522">
        <v>1</v>
      </c>
      <c r="B2522" t="s">
        <v>1377</v>
      </c>
      <c r="C2522" t="s">
        <v>1400</v>
      </c>
      <c r="D2522">
        <v>5.15</v>
      </c>
      <c r="E2522" t="s">
        <v>41</v>
      </c>
      <c r="F2522" t="s">
        <v>87</v>
      </c>
      <c r="G2522">
        <v>9.26</v>
      </c>
      <c r="H2522">
        <v>1.04</v>
      </c>
      <c r="I2522">
        <v>4.1100000000000003</v>
      </c>
      <c r="J2522">
        <v>16.892099999999999</v>
      </c>
      <c r="K2522" t="str">
        <f>IFERROR(INDEX(Rosters!$C$2:$C$155,MATCH($B2522,Rosters!$B$2:$B$155,0)),"NA")</f>
        <v>NA</v>
      </c>
      <c r="L2522" t="str">
        <f t="shared" si="117"/>
        <v>NA1WR</v>
      </c>
      <c r="M2522">
        <f>COUNTIF(L$1:L2522,L2522)</f>
        <v>11</v>
      </c>
      <c r="N2522" t="str">
        <f t="shared" si="118"/>
        <v>NA1WR-11</v>
      </c>
      <c r="O2522">
        <f>COUNTIFS(F$1:F2522,F2522,A$1:A2522,A2522)</f>
        <v>53</v>
      </c>
      <c r="P2522" t="str">
        <f t="shared" si="119"/>
        <v>Anthony Miller1</v>
      </c>
    </row>
    <row r="2523" spans="1:16" x14ac:dyDescent="0.25">
      <c r="A2523">
        <v>16</v>
      </c>
      <c r="B2523" t="s">
        <v>280</v>
      </c>
      <c r="C2523" t="s">
        <v>7539</v>
      </c>
      <c r="D2523">
        <v>5.15</v>
      </c>
      <c r="E2523" t="s">
        <v>423</v>
      </c>
      <c r="F2523" t="s">
        <v>47</v>
      </c>
      <c r="G2523">
        <v>9.52</v>
      </c>
      <c r="H2523">
        <v>0.78</v>
      </c>
      <c r="I2523">
        <v>4.37</v>
      </c>
      <c r="J2523">
        <v>19.096900000000002</v>
      </c>
      <c r="K2523" t="str">
        <f>IFERROR(INDEX(Rosters!$C$2:$C$155,MATCH($B2523,Rosters!$B$2:$B$155,0)),"NA")</f>
        <v>NA</v>
      </c>
      <c r="L2523" t="str">
        <f t="shared" si="117"/>
        <v>NA16RB</v>
      </c>
      <c r="M2523">
        <f>COUNTIF(L$1:L2523,L2523)</f>
        <v>13</v>
      </c>
      <c r="N2523" t="str">
        <f t="shared" si="118"/>
        <v>NA16RB-13</v>
      </c>
      <c r="O2523">
        <f>COUNTIFS(F$1:F2523,F2523,A$1:A2523,A2523)</f>
        <v>58</v>
      </c>
      <c r="P2523" t="str">
        <f t="shared" si="119"/>
        <v>Chris Ivory16</v>
      </c>
    </row>
    <row r="2524" spans="1:16" x14ac:dyDescent="0.25">
      <c r="A2524">
        <v>6</v>
      </c>
      <c r="B2524" t="s">
        <v>1425</v>
      </c>
      <c r="C2524" t="s">
        <v>7540</v>
      </c>
      <c r="D2524">
        <v>5.15</v>
      </c>
      <c r="E2524" t="s">
        <v>56</v>
      </c>
      <c r="F2524" t="s">
        <v>87</v>
      </c>
      <c r="G2524">
        <v>9.49</v>
      </c>
      <c r="H2524">
        <v>0.81</v>
      </c>
      <c r="I2524">
        <v>4.34</v>
      </c>
      <c r="J2524">
        <v>18.835599999999999</v>
      </c>
      <c r="K2524" t="str">
        <f>IFERROR(INDEX(Rosters!$C$2:$C$155,MATCH($B2524,Rosters!$B$2:$B$155,0)),"NA")</f>
        <v>NA</v>
      </c>
      <c r="L2524" t="str">
        <f t="shared" si="117"/>
        <v>NA6WR</v>
      </c>
      <c r="M2524">
        <f>COUNTIF(L$1:L2524,L2524)</f>
        <v>10</v>
      </c>
      <c r="N2524" t="str">
        <f t="shared" si="118"/>
        <v>NA6WR-10</v>
      </c>
      <c r="O2524">
        <f>COUNTIFS(F$1:F2524,F2524,A$1:A2524,A2524)</f>
        <v>54</v>
      </c>
      <c r="P2524" t="str">
        <f t="shared" si="119"/>
        <v>Courtland Sutton6</v>
      </c>
    </row>
    <row r="2525" spans="1:16" x14ac:dyDescent="0.25">
      <c r="A2525">
        <v>17</v>
      </c>
      <c r="B2525" t="s">
        <v>1449</v>
      </c>
      <c r="C2525" t="s">
        <v>7541</v>
      </c>
      <c r="D2525">
        <v>5.15</v>
      </c>
      <c r="E2525" t="s">
        <v>52</v>
      </c>
      <c r="F2525" t="s">
        <v>114</v>
      </c>
      <c r="G2525">
        <v>9.57</v>
      </c>
      <c r="H2525">
        <v>0.73</v>
      </c>
      <c r="I2525">
        <v>4.42</v>
      </c>
      <c r="J2525">
        <v>19.5364</v>
      </c>
      <c r="K2525" t="str">
        <f>IFERROR(INDEX(Rosters!$C$2:$C$155,MATCH($B2525,Rosters!$B$2:$B$155,0)),"NA")</f>
        <v>NA</v>
      </c>
      <c r="L2525" t="str">
        <f t="shared" si="117"/>
        <v>NA17TE</v>
      </c>
      <c r="M2525">
        <f>COUNTIF(L$1:L2525,L2525)</f>
        <v>3</v>
      </c>
      <c r="N2525" t="str">
        <f t="shared" si="118"/>
        <v>NA17TE-3</v>
      </c>
      <c r="O2525">
        <f>COUNTIFS(F$1:F2525,F2525,A$1:A2525,A2525)</f>
        <v>15</v>
      </c>
      <c r="P2525" t="str">
        <f t="shared" si="119"/>
        <v>Hayden Hurst17</v>
      </c>
    </row>
    <row r="2526" spans="1:16" x14ac:dyDescent="0.25">
      <c r="A2526">
        <v>3</v>
      </c>
      <c r="B2526" t="s">
        <v>4206</v>
      </c>
      <c r="C2526" t="s">
        <v>4207</v>
      </c>
      <c r="D2526">
        <v>5.15</v>
      </c>
      <c r="E2526" t="s">
        <v>14</v>
      </c>
      <c r="F2526" t="s">
        <v>47</v>
      </c>
      <c r="G2526">
        <v>9.33</v>
      </c>
      <c r="H2526">
        <v>0.97</v>
      </c>
      <c r="I2526">
        <v>4.18</v>
      </c>
      <c r="J2526">
        <v>17.4724</v>
      </c>
      <c r="K2526" t="str">
        <f>IFERROR(INDEX(Rosters!$C$2:$C$155,MATCH($B2526,Rosters!$B$2:$B$155,0)),"NA")</f>
        <v>NA</v>
      </c>
      <c r="L2526" t="str">
        <f t="shared" si="117"/>
        <v>NA3RB</v>
      </c>
      <c r="M2526">
        <f>COUNTIF(L$1:L2526,L2526)</f>
        <v>16</v>
      </c>
      <c r="N2526" t="str">
        <f t="shared" si="118"/>
        <v>NA3RB-16</v>
      </c>
      <c r="O2526">
        <f>COUNTIFS(F$1:F2526,F2526,A$1:A2526,A2526)</f>
        <v>52</v>
      </c>
      <c r="P2526" t="str">
        <f t="shared" si="119"/>
        <v>Ito Smith3</v>
      </c>
    </row>
    <row r="2527" spans="1:16" x14ac:dyDescent="0.25">
      <c r="A2527">
        <v>1</v>
      </c>
      <c r="B2527" t="s">
        <v>223</v>
      </c>
      <c r="C2527" t="s">
        <v>1401</v>
      </c>
      <c r="D2527">
        <v>5.15</v>
      </c>
      <c r="E2527" t="s">
        <v>58</v>
      </c>
      <c r="F2527" t="s">
        <v>87</v>
      </c>
      <c r="G2527">
        <v>10.16</v>
      </c>
      <c r="H2527">
        <v>0.14000000000000001</v>
      </c>
      <c r="I2527">
        <v>5.01</v>
      </c>
      <c r="J2527">
        <v>25.100100000000001</v>
      </c>
      <c r="K2527" t="str">
        <f>IFERROR(INDEX(Rosters!$C$2:$C$155,MATCH($B2527,Rosters!$B$2:$B$155,0)),"NA")</f>
        <v>NA</v>
      </c>
      <c r="L2527" t="str">
        <f t="shared" si="117"/>
        <v>NA1WR</v>
      </c>
      <c r="M2527">
        <f>COUNTIF(L$1:L2527,L2527)</f>
        <v>12</v>
      </c>
      <c r="N2527" t="str">
        <f t="shared" si="118"/>
        <v>NA1WR-12</v>
      </c>
      <c r="O2527">
        <f>COUNTIFS(F$1:F2527,F2527,A$1:A2527,A2527)</f>
        <v>54</v>
      </c>
      <c r="P2527" t="str">
        <f t="shared" si="119"/>
        <v>Paul Richardson1</v>
      </c>
    </row>
    <row r="2528" spans="1:16" x14ac:dyDescent="0.25">
      <c r="A2528">
        <v>4</v>
      </c>
      <c r="B2528" t="s">
        <v>303</v>
      </c>
      <c r="C2528" t="s">
        <v>4858</v>
      </c>
      <c r="D2528">
        <v>5.15</v>
      </c>
      <c r="E2528" t="s">
        <v>50</v>
      </c>
      <c r="F2528" t="s">
        <v>87</v>
      </c>
      <c r="G2528">
        <v>9.4700000000000006</v>
      </c>
      <c r="H2528">
        <v>0.83</v>
      </c>
      <c r="I2528">
        <v>4.32</v>
      </c>
      <c r="J2528">
        <v>18.662400000000002</v>
      </c>
      <c r="K2528" t="str">
        <f>IFERROR(INDEX(Rosters!$C$2:$C$155,MATCH($B2528,Rosters!$B$2:$B$155,0)),"NA")</f>
        <v>NA</v>
      </c>
      <c r="L2528" t="str">
        <f t="shared" si="117"/>
        <v>NA4WR</v>
      </c>
      <c r="M2528">
        <f>COUNTIF(L$1:L2528,L2528)</f>
        <v>10</v>
      </c>
      <c r="N2528" t="str">
        <f t="shared" si="118"/>
        <v>NA4WR-10</v>
      </c>
      <c r="O2528">
        <f>COUNTIFS(F$1:F2528,F2528,A$1:A2528,A2528)</f>
        <v>57</v>
      </c>
      <c r="P2528" t="str">
        <f t="shared" si="119"/>
        <v>Taywan Taylor4</v>
      </c>
    </row>
    <row r="2529" spans="1:16" x14ac:dyDescent="0.25">
      <c r="A2529">
        <v>2</v>
      </c>
      <c r="B2529" t="s">
        <v>215</v>
      </c>
      <c r="C2529">
        <f>-0.12-10.4</f>
        <v>-10.52</v>
      </c>
      <c r="D2529">
        <v>5.14</v>
      </c>
      <c r="E2529" t="s">
        <v>14</v>
      </c>
      <c r="F2529" t="s">
        <v>114</v>
      </c>
      <c r="G2529">
        <v>10.4</v>
      </c>
      <c r="H2529">
        <v>-0.12</v>
      </c>
      <c r="I2529">
        <v>5.26</v>
      </c>
      <c r="J2529">
        <v>27.6676</v>
      </c>
      <c r="K2529" t="str">
        <f>IFERROR(INDEX(Rosters!$C$2:$C$155,MATCH($B2529,Rosters!$B$2:$B$155,0)),"NA")</f>
        <v>NA</v>
      </c>
      <c r="L2529" t="str">
        <f t="shared" si="117"/>
        <v>NA2TE</v>
      </c>
      <c r="M2529">
        <f>COUNTIF(L$1:L2529,L2529)</f>
        <v>2</v>
      </c>
      <c r="N2529" t="str">
        <f t="shared" si="118"/>
        <v>NA2TE-2</v>
      </c>
      <c r="O2529">
        <f>COUNTIFS(F$1:F2529,F2529,A$1:A2529,A2529)</f>
        <v>12</v>
      </c>
      <c r="P2529" t="str">
        <f t="shared" si="119"/>
        <v>David Njoku2</v>
      </c>
    </row>
    <row r="2530" spans="1:16" x14ac:dyDescent="0.25">
      <c r="A2530">
        <v>8</v>
      </c>
      <c r="B2530" t="s">
        <v>264</v>
      </c>
      <c r="C2530" t="s">
        <v>7542</v>
      </c>
      <c r="D2530">
        <v>5.14</v>
      </c>
      <c r="E2530" t="s">
        <v>58</v>
      </c>
      <c r="F2530" t="s">
        <v>114</v>
      </c>
      <c r="G2530">
        <v>8.83</v>
      </c>
      <c r="H2530">
        <v>1.45</v>
      </c>
      <c r="I2530">
        <v>3.69</v>
      </c>
      <c r="J2530">
        <v>13.616099999999999</v>
      </c>
      <c r="K2530" t="str">
        <f>IFERROR(INDEX(Rosters!$C$2:$C$155,MATCH($B2530,Rosters!$B$2:$B$155,0)),"NA")</f>
        <v>scott</v>
      </c>
      <c r="L2530" t="str">
        <f t="shared" si="117"/>
        <v>scott8TE</v>
      </c>
      <c r="M2530">
        <f>COUNTIF(L$1:L2530,L2530)</f>
        <v>1</v>
      </c>
      <c r="N2530" t="str">
        <f t="shared" si="118"/>
        <v>scott8TE-1</v>
      </c>
      <c r="O2530">
        <f>COUNTIFS(F$1:F2530,F2530,A$1:A2530,A2530)</f>
        <v>17</v>
      </c>
      <c r="P2530" t="str">
        <f t="shared" si="119"/>
        <v>George Kittle8</v>
      </c>
    </row>
    <row r="2531" spans="1:16" x14ac:dyDescent="0.25">
      <c r="A2531">
        <v>6</v>
      </c>
      <c r="B2531" t="s">
        <v>232</v>
      </c>
      <c r="C2531" t="s">
        <v>7543</v>
      </c>
      <c r="D2531">
        <v>5.14</v>
      </c>
      <c r="E2531" t="s">
        <v>28</v>
      </c>
      <c r="F2531" t="s">
        <v>47</v>
      </c>
      <c r="G2531">
        <v>8.65</v>
      </c>
      <c r="H2531">
        <v>1.63</v>
      </c>
      <c r="I2531">
        <v>3.51</v>
      </c>
      <c r="J2531">
        <v>12.3201</v>
      </c>
      <c r="K2531" t="str">
        <f>IFERROR(INDEX(Rosters!$C$2:$C$155,MATCH($B2531,Rosters!$B$2:$B$155,0)),"NA")</f>
        <v>NA</v>
      </c>
      <c r="L2531" t="str">
        <f t="shared" si="117"/>
        <v>NA6RB</v>
      </c>
      <c r="M2531">
        <f>COUNTIF(L$1:L2531,L2531)</f>
        <v>11</v>
      </c>
      <c r="N2531" t="str">
        <f t="shared" si="118"/>
        <v>NA6RB-11</v>
      </c>
      <c r="O2531">
        <f>COUNTIFS(F$1:F2531,F2531,A$1:A2531,A2531)</f>
        <v>52</v>
      </c>
      <c r="P2531" t="str">
        <f t="shared" si="119"/>
        <v>Jalen Richard6</v>
      </c>
    </row>
    <row r="2532" spans="1:16" x14ac:dyDescent="0.25">
      <c r="A2532">
        <v>15</v>
      </c>
      <c r="B2532" t="s">
        <v>1396</v>
      </c>
      <c r="C2532" t="s">
        <v>7544</v>
      </c>
      <c r="D2532">
        <v>5.13</v>
      </c>
      <c r="E2532" t="s">
        <v>77</v>
      </c>
      <c r="F2532" t="s">
        <v>87</v>
      </c>
      <c r="G2532">
        <v>9.43</v>
      </c>
      <c r="H2532">
        <v>0.83</v>
      </c>
      <c r="I2532">
        <v>4.3</v>
      </c>
      <c r="J2532">
        <v>18.489999999999998</v>
      </c>
      <c r="K2532" t="str">
        <f>IFERROR(INDEX(Rosters!$C$2:$C$155,MATCH($B2532,Rosters!$B$2:$B$155,0)),"NA")</f>
        <v>NA</v>
      </c>
      <c r="L2532" t="str">
        <f t="shared" si="117"/>
        <v>NA15WR</v>
      </c>
      <c r="M2532">
        <f>COUNTIF(L$1:L2532,L2532)</f>
        <v>12</v>
      </c>
      <c r="N2532" t="str">
        <f t="shared" si="118"/>
        <v>NA15WR-12</v>
      </c>
      <c r="O2532">
        <f>COUNTIFS(F$1:F2532,F2532,A$1:A2532,A2532)</f>
        <v>61</v>
      </c>
      <c r="P2532" t="str">
        <f t="shared" si="119"/>
        <v>Chris Godwin15</v>
      </c>
    </row>
    <row r="2533" spans="1:16" x14ac:dyDescent="0.25">
      <c r="A2533">
        <v>12</v>
      </c>
      <c r="B2533" t="s">
        <v>183</v>
      </c>
      <c r="C2533" t="s">
        <v>7545</v>
      </c>
      <c r="D2533">
        <v>5.13</v>
      </c>
      <c r="E2533" t="s">
        <v>31</v>
      </c>
      <c r="F2533" t="s">
        <v>47</v>
      </c>
      <c r="G2533">
        <v>8.74</v>
      </c>
      <c r="H2533">
        <v>1.52</v>
      </c>
      <c r="I2533">
        <v>3.61</v>
      </c>
      <c r="J2533">
        <v>13.0321</v>
      </c>
      <c r="K2533" t="str">
        <f>IFERROR(INDEX(Rosters!$C$2:$C$155,MATCH($B2533,Rosters!$B$2:$B$155,0)),"NA")</f>
        <v>NA</v>
      </c>
      <c r="L2533" t="str">
        <f t="shared" si="117"/>
        <v>NA12RB</v>
      </c>
      <c r="M2533">
        <f>COUNTIF(L$1:L2533,L2533)</f>
        <v>7</v>
      </c>
      <c r="N2533" t="str">
        <f t="shared" si="118"/>
        <v>NA12RB-7</v>
      </c>
      <c r="O2533">
        <f>COUNTIFS(F$1:F2533,F2533,A$1:A2533,A2533)</f>
        <v>50</v>
      </c>
      <c r="P2533" t="str">
        <f t="shared" si="119"/>
        <v>Duke Johnson Jr.12</v>
      </c>
    </row>
    <row r="2534" spans="1:16" x14ac:dyDescent="0.25">
      <c r="A2534">
        <v>9</v>
      </c>
      <c r="B2534" t="s">
        <v>1449</v>
      </c>
      <c r="C2534">
        <f>-0.72-10.98</f>
        <v>-11.700000000000001</v>
      </c>
      <c r="D2534">
        <v>5.13</v>
      </c>
      <c r="E2534" t="s">
        <v>51</v>
      </c>
      <c r="F2534" t="s">
        <v>114</v>
      </c>
      <c r="G2534">
        <v>10.98</v>
      </c>
      <c r="H2534">
        <v>-0.72</v>
      </c>
      <c r="I2534">
        <v>5.85</v>
      </c>
      <c r="J2534">
        <v>34.222499999999997</v>
      </c>
      <c r="K2534" t="str">
        <f>IFERROR(INDEX(Rosters!$C$2:$C$155,MATCH($B2534,Rosters!$B$2:$B$155,0)),"NA")</f>
        <v>NA</v>
      </c>
      <c r="L2534" t="str">
        <f t="shared" si="117"/>
        <v>NA9TE</v>
      </c>
      <c r="M2534">
        <f>COUNTIF(L$1:L2534,L2534)</f>
        <v>3</v>
      </c>
      <c r="N2534" t="str">
        <f t="shared" si="118"/>
        <v>NA9TE-3</v>
      </c>
      <c r="O2534">
        <f>COUNTIFS(F$1:F2534,F2534,A$1:A2534,A2534)</f>
        <v>10</v>
      </c>
      <c r="P2534" t="str">
        <f t="shared" si="119"/>
        <v>Hayden Hurst9</v>
      </c>
    </row>
    <row r="2535" spans="1:16" x14ac:dyDescent="0.25">
      <c r="A2535">
        <v>10</v>
      </c>
      <c r="B2535" t="s">
        <v>381</v>
      </c>
      <c r="C2535" t="s">
        <v>7546</v>
      </c>
      <c r="D2535">
        <v>5.13</v>
      </c>
      <c r="E2535" t="s">
        <v>76</v>
      </c>
      <c r="F2535" t="s">
        <v>87</v>
      </c>
      <c r="G2535">
        <v>8.98</v>
      </c>
      <c r="H2535">
        <v>1.28</v>
      </c>
      <c r="I2535">
        <v>3.85</v>
      </c>
      <c r="J2535">
        <v>14.8225</v>
      </c>
      <c r="K2535" t="str">
        <f>IFERROR(INDEX(Rosters!$C$2:$C$155,MATCH($B2535,Rosters!$B$2:$B$155,0)),"NA")</f>
        <v>perry</v>
      </c>
      <c r="L2535" t="str">
        <f t="shared" si="117"/>
        <v>perry10WR</v>
      </c>
      <c r="M2535">
        <f>COUNTIF(L$1:L2535,L2535)</f>
        <v>3</v>
      </c>
      <c r="N2535" t="str">
        <f t="shared" si="118"/>
        <v>perry10WR-3</v>
      </c>
      <c r="O2535">
        <f>COUNTIFS(F$1:F2535,F2535,A$1:A2535,A2535)</f>
        <v>51</v>
      </c>
      <c r="P2535" t="str">
        <f t="shared" si="119"/>
        <v>Ryan Grant10</v>
      </c>
    </row>
    <row r="2536" spans="1:16" x14ac:dyDescent="0.25">
      <c r="A2536">
        <v>6</v>
      </c>
      <c r="B2536" t="s">
        <v>237</v>
      </c>
      <c r="C2536" t="s">
        <v>7547</v>
      </c>
      <c r="D2536">
        <v>5.13</v>
      </c>
      <c r="E2536" t="s">
        <v>19</v>
      </c>
      <c r="F2536" t="s">
        <v>87</v>
      </c>
      <c r="G2536">
        <v>9.32</v>
      </c>
      <c r="H2536">
        <v>0.94</v>
      </c>
      <c r="I2536">
        <v>4.1900000000000004</v>
      </c>
      <c r="J2536">
        <v>17.556100000000001</v>
      </c>
      <c r="K2536" t="str">
        <f>IFERROR(INDEX(Rosters!$C$2:$C$155,MATCH($B2536,Rosters!$B$2:$B$155,0)),"NA")</f>
        <v>NA</v>
      </c>
      <c r="L2536" t="str">
        <f t="shared" si="117"/>
        <v>NA6WR</v>
      </c>
      <c r="M2536">
        <f>COUNTIF(L$1:L2536,L2536)</f>
        <v>11</v>
      </c>
      <c r="N2536" t="str">
        <f t="shared" si="118"/>
        <v>NA6WR-11</v>
      </c>
      <c r="O2536">
        <f>COUNTIFS(F$1:F2536,F2536,A$1:A2536,A2536)</f>
        <v>55</v>
      </c>
      <c r="P2536" t="str">
        <f t="shared" si="119"/>
        <v>Taylor Gabriel6</v>
      </c>
    </row>
    <row r="2537" spans="1:16" x14ac:dyDescent="0.25">
      <c r="A2537">
        <v>13</v>
      </c>
      <c r="B2537" t="s">
        <v>147</v>
      </c>
      <c r="C2537" t="s">
        <v>7548</v>
      </c>
      <c r="D2537">
        <v>5.12</v>
      </c>
      <c r="E2537" t="s">
        <v>66</v>
      </c>
      <c r="F2537" t="s">
        <v>87</v>
      </c>
      <c r="G2537">
        <v>9.92</v>
      </c>
      <c r="H2537">
        <v>0.32</v>
      </c>
      <c r="I2537">
        <v>4.8</v>
      </c>
      <c r="J2537">
        <v>23.04</v>
      </c>
      <c r="K2537" t="str">
        <f>IFERROR(INDEX(Rosters!$C$2:$C$155,MATCH($B2537,Rosters!$B$2:$B$155,0)),"NA")</f>
        <v>NA</v>
      </c>
      <c r="L2537" t="str">
        <f t="shared" si="117"/>
        <v>NA13WR</v>
      </c>
      <c r="M2537">
        <f>COUNTIF(L$1:L2537,L2537)</f>
        <v>13</v>
      </c>
      <c r="N2537" t="str">
        <f t="shared" si="118"/>
        <v>NA13WR-13</v>
      </c>
      <c r="O2537">
        <f>COUNTIFS(F$1:F2537,F2537,A$1:A2537,A2537)</f>
        <v>62</v>
      </c>
      <c r="P2537" t="str">
        <f t="shared" si="119"/>
        <v>Donte Moncrief13</v>
      </c>
    </row>
    <row r="2538" spans="1:16" x14ac:dyDescent="0.25">
      <c r="A2538">
        <v>2</v>
      </c>
      <c r="B2538" t="s">
        <v>189</v>
      </c>
      <c r="C2538" t="s">
        <v>1402</v>
      </c>
      <c r="D2538">
        <v>5.12</v>
      </c>
      <c r="E2538" t="s">
        <v>60</v>
      </c>
      <c r="F2538" t="s">
        <v>114</v>
      </c>
      <c r="G2538">
        <v>8.91</v>
      </c>
      <c r="H2538">
        <v>1.33</v>
      </c>
      <c r="I2538">
        <v>3.79</v>
      </c>
      <c r="J2538">
        <v>14.364100000000001</v>
      </c>
      <c r="K2538" t="str">
        <f>IFERROR(INDEX(Rosters!$C$2:$C$155,MATCH($B2538,Rosters!$B$2:$B$155,0)),"NA")</f>
        <v>NA</v>
      </c>
      <c r="L2538" t="str">
        <f t="shared" si="117"/>
        <v>NA2TE</v>
      </c>
      <c r="M2538">
        <f>COUNTIF(L$1:L2538,L2538)</f>
        <v>3</v>
      </c>
      <c r="N2538" t="str">
        <f t="shared" si="118"/>
        <v>NA2TE-3</v>
      </c>
      <c r="O2538">
        <f>COUNTIFS(F$1:F2538,F2538,A$1:A2538,A2538)</f>
        <v>13</v>
      </c>
      <c r="P2538" t="str">
        <f t="shared" si="119"/>
        <v>Jack Doyle2</v>
      </c>
    </row>
    <row r="2539" spans="1:16" x14ac:dyDescent="0.25">
      <c r="A2539">
        <v>15</v>
      </c>
      <c r="B2539" t="s">
        <v>239</v>
      </c>
      <c r="C2539">
        <f>-0.03-10.27</f>
        <v>-10.299999999999999</v>
      </c>
      <c r="D2539">
        <v>5.12</v>
      </c>
      <c r="E2539" t="s">
        <v>32</v>
      </c>
      <c r="F2539" t="s">
        <v>87</v>
      </c>
      <c r="G2539">
        <v>10.27</v>
      </c>
      <c r="H2539">
        <v>-0.03</v>
      </c>
      <c r="I2539">
        <v>5.15</v>
      </c>
      <c r="J2539">
        <v>26.522500000000001</v>
      </c>
      <c r="K2539" t="str">
        <f>IFERROR(INDEX(Rosters!$C$2:$C$155,MATCH($B2539,Rosters!$B$2:$B$155,0)),"NA")</f>
        <v>NA</v>
      </c>
      <c r="L2539" t="str">
        <f t="shared" si="117"/>
        <v>NA15WR</v>
      </c>
      <c r="M2539">
        <f>COUNTIF(L$1:L2539,L2539)</f>
        <v>13</v>
      </c>
      <c r="N2539" t="str">
        <f t="shared" si="118"/>
        <v>NA15WR-13</v>
      </c>
      <c r="O2539">
        <f>COUNTIFS(F$1:F2539,F2539,A$1:A2539,A2539)</f>
        <v>62</v>
      </c>
      <c r="P2539" t="str">
        <f t="shared" si="119"/>
        <v>John Ross15</v>
      </c>
    </row>
    <row r="2540" spans="1:16" x14ac:dyDescent="0.25">
      <c r="A2540">
        <v>15</v>
      </c>
      <c r="B2540" t="s">
        <v>1346</v>
      </c>
      <c r="C2540" t="s">
        <v>7549</v>
      </c>
      <c r="D2540">
        <v>5.12</v>
      </c>
      <c r="E2540" t="s">
        <v>52</v>
      </c>
      <c r="F2540" t="s">
        <v>47</v>
      </c>
      <c r="G2540">
        <v>10.15</v>
      </c>
      <c r="H2540">
        <v>0.09</v>
      </c>
      <c r="I2540">
        <v>5.03</v>
      </c>
      <c r="J2540">
        <v>25.300899999999999</v>
      </c>
      <c r="K2540" t="str">
        <f>IFERROR(INDEX(Rosters!$C$2:$C$155,MATCH($B2540,Rosters!$B$2:$B$155,0)),"NA")</f>
        <v>comp</v>
      </c>
      <c r="L2540" t="str">
        <f t="shared" si="117"/>
        <v>comp15RB</v>
      </c>
      <c r="M2540">
        <f>COUNTIF(L$1:L2540,L2540)</f>
        <v>3</v>
      </c>
      <c r="N2540" t="str">
        <f t="shared" si="118"/>
        <v>comp15RB-3</v>
      </c>
      <c r="O2540">
        <f>COUNTIFS(F$1:F2540,F2540,A$1:A2540,A2540)</f>
        <v>56</v>
      </c>
      <c r="P2540" t="str">
        <f t="shared" si="119"/>
        <v>Royce Freeman15</v>
      </c>
    </row>
    <row r="2541" spans="1:16" x14ac:dyDescent="0.25">
      <c r="A2541">
        <v>17</v>
      </c>
      <c r="B2541" t="s">
        <v>237</v>
      </c>
      <c r="C2541" t="s">
        <v>7550</v>
      </c>
      <c r="D2541">
        <v>5.12</v>
      </c>
      <c r="E2541" t="s">
        <v>25</v>
      </c>
      <c r="F2541" t="s">
        <v>87</v>
      </c>
      <c r="G2541">
        <v>9.0500000000000007</v>
      </c>
      <c r="H2541">
        <v>1.19</v>
      </c>
      <c r="I2541">
        <v>3.93</v>
      </c>
      <c r="J2541">
        <v>15.444900000000001</v>
      </c>
      <c r="K2541" t="str">
        <f>IFERROR(INDEX(Rosters!$C$2:$C$155,MATCH($B2541,Rosters!$B$2:$B$155,0)),"NA")</f>
        <v>NA</v>
      </c>
      <c r="L2541" t="str">
        <f t="shared" si="117"/>
        <v>NA17WR</v>
      </c>
      <c r="M2541">
        <f>COUNTIF(L$1:L2541,L2541)</f>
        <v>11</v>
      </c>
      <c r="N2541" t="str">
        <f t="shared" si="118"/>
        <v>NA17WR-11</v>
      </c>
      <c r="O2541">
        <f>COUNTIFS(F$1:F2541,F2541,A$1:A2541,A2541)</f>
        <v>62</v>
      </c>
      <c r="P2541" t="str">
        <f t="shared" si="119"/>
        <v>Taylor Gabriel17</v>
      </c>
    </row>
    <row r="2542" spans="1:16" x14ac:dyDescent="0.25">
      <c r="A2542">
        <v>11</v>
      </c>
      <c r="B2542" t="s">
        <v>1373</v>
      </c>
      <c r="C2542" t="s">
        <v>7551</v>
      </c>
      <c r="D2542">
        <v>5.1100000000000003</v>
      </c>
      <c r="E2542" t="s">
        <v>42</v>
      </c>
      <c r="F2542" t="s">
        <v>47</v>
      </c>
      <c r="G2542">
        <v>8.84</v>
      </c>
      <c r="H2542">
        <v>1.38</v>
      </c>
      <c r="I2542">
        <v>3.73</v>
      </c>
      <c r="J2542">
        <v>13.9129</v>
      </c>
      <c r="K2542" t="str">
        <f>IFERROR(INDEX(Rosters!$C$2:$C$155,MATCH($B2542,Rosters!$B$2:$B$155,0)),"NA")</f>
        <v>matty</v>
      </c>
      <c r="L2542" t="str">
        <f t="shared" si="117"/>
        <v>matty11RB</v>
      </c>
      <c r="M2542">
        <f>COUNTIF(L$1:L2542,L2542)</f>
        <v>4</v>
      </c>
      <c r="N2542" t="str">
        <f t="shared" si="118"/>
        <v>matty11RB-4</v>
      </c>
      <c r="O2542">
        <f>COUNTIFS(F$1:F2542,F2542,A$1:A2542,A2542)</f>
        <v>45</v>
      </c>
      <c r="P2542" t="str">
        <f t="shared" si="119"/>
        <v>Austin Ekeler11</v>
      </c>
    </row>
    <row r="2543" spans="1:16" x14ac:dyDescent="0.25">
      <c r="A2543">
        <v>2</v>
      </c>
      <c r="B2543" t="s">
        <v>1396</v>
      </c>
      <c r="C2543" t="s">
        <v>3567</v>
      </c>
      <c r="D2543">
        <v>5.1100000000000003</v>
      </c>
      <c r="E2543" t="s">
        <v>50</v>
      </c>
      <c r="F2543" t="s">
        <v>87</v>
      </c>
      <c r="G2543">
        <v>9.39</v>
      </c>
      <c r="H2543">
        <v>0.83</v>
      </c>
      <c r="I2543">
        <v>4.28</v>
      </c>
      <c r="J2543">
        <v>18.3184</v>
      </c>
      <c r="K2543" t="str">
        <f>IFERROR(INDEX(Rosters!$C$2:$C$155,MATCH($B2543,Rosters!$B$2:$B$155,0)),"NA")</f>
        <v>NA</v>
      </c>
      <c r="L2543" t="str">
        <f t="shared" si="117"/>
        <v>NA2WR</v>
      </c>
      <c r="M2543">
        <f>COUNTIF(L$1:L2543,L2543)</f>
        <v>11</v>
      </c>
      <c r="N2543" t="str">
        <f t="shared" si="118"/>
        <v>NA2WR-11</v>
      </c>
      <c r="O2543">
        <f>COUNTIFS(F$1:F2543,F2543,A$1:A2543,A2543)</f>
        <v>52</v>
      </c>
      <c r="P2543" t="str">
        <f t="shared" si="119"/>
        <v>Chris Godwin2</v>
      </c>
    </row>
    <row r="2544" spans="1:16" x14ac:dyDescent="0.25">
      <c r="A2544">
        <v>1</v>
      </c>
      <c r="B2544" t="s">
        <v>128</v>
      </c>
      <c r="C2544" t="s">
        <v>1403</v>
      </c>
      <c r="D2544">
        <v>5.1100000000000003</v>
      </c>
      <c r="E2544" t="s">
        <v>38</v>
      </c>
      <c r="F2544" t="s">
        <v>47</v>
      </c>
      <c r="G2544">
        <v>8.98</v>
      </c>
      <c r="H2544">
        <v>1.24</v>
      </c>
      <c r="I2544">
        <v>3.87</v>
      </c>
      <c r="J2544">
        <v>14.976900000000001</v>
      </c>
      <c r="K2544" t="str">
        <f>IFERROR(INDEX(Rosters!$C$2:$C$155,MATCH($B2544,Rosters!$B$2:$B$155,0)),"NA")</f>
        <v>NA</v>
      </c>
      <c r="L2544" t="str">
        <f t="shared" si="117"/>
        <v>NA1RB</v>
      </c>
      <c r="M2544">
        <f>COUNTIF(L$1:L2544,L2544)</f>
        <v>8</v>
      </c>
      <c r="N2544" t="str">
        <f t="shared" si="118"/>
        <v>NA1RB-8</v>
      </c>
      <c r="O2544">
        <f>COUNTIFS(F$1:F2544,F2544,A$1:A2544,A2544)</f>
        <v>44</v>
      </c>
      <c r="P2544" t="str">
        <f t="shared" si="119"/>
        <v>Frank Gore1</v>
      </c>
    </row>
    <row r="2545" spans="1:16" x14ac:dyDescent="0.25">
      <c r="A2545">
        <v>1</v>
      </c>
      <c r="B2545" t="s">
        <v>131</v>
      </c>
      <c r="C2545" t="s">
        <v>1708</v>
      </c>
      <c r="D2545">
        <v>5.0999999999999996</v>
      </c>
      <c r="E2545" t="s">
        <v>22</v>
      </c>
      <c r="F2545" t="s">
        <v>47</v>
      </c>
      <c r="G2545">
        <v>8.9</v>
      </c>
      <c r="H2545">
        <v>1.3</v>
      </c>
      <c r="I2545">
        <v>3.8</v>
      </c>
      <c r="J2545">
        <v>14.44</v>
      </c>
      <c r="K2545" t="str">
        <f>IFERROR(INDEX(Rosters!$C$2:$C$155,MATCH($B2545,Rosters!$B$2:$B$155,0)),"NA")</f>
        <v>NA</v>
      </c>
      <c r="L2545" t="str">
        <f t="shared" si="117"/>
        <v>NA1RB</v>
      </c>
      <c r="M2545">
        <f>COUNTIF(L$1:L2545,L2545)</f>
        <v>9</v>
      </c>
      <c r="N2545" t="str">
        <f t="shared" si="118"/>
        <v>NA1RB-9</v>
      </c>
      <c r="O2545">
        <f>COUNTIFS(F$1:F2545,F2545,A$1:A2545,A2545)</f>
        <v>45</v>
      </c>
      <c r="P2545" t="str">
        <f t="shared" si="119"/>
        <v>C.J. Anderson1</v>
      </c>
    </row>
    <row r="2546" spans="1:16" x14ac:dyDescent="0.25">
      <c r="A2546">
        <v>9</v>
      </c>
      <c r="B2546" t="s">
        <v>163</v>
      </c>
      <c r="C2546" t="s">
        <v>7552</v>
      </c>
      <c r="D2546">
        <v>5.0999999999999996</v>
      </c>
      <c r="E2546" t="s">
        <v>74</v>
      </c>
      <c r="F2546" t="s">
        <v>87</v>
      </c>
      <c r="G2546">
        <v>8.91</v>
      </c>
      <c r="H2546">
        <v>1.29</v>
      </c>
      <c r="I2546">
        <v>3.81</v>
      </c>
      <c r="J2546">
        <v>14.5161</v>
      </c>
      <c r="K2546" t="str">
        <f>IFERROR(INDEX(Rosters!$C$2:$C$155,MATCH($B2546,Rosters!$B$2:$B$155,0)),"NA")</f>
        <v>scott</v>
      </c>
      <c r="L2546" t="str">
        <f t="shared" si="117"/>
        <v>scott9WR</v>
      </c>
      <c r="M2546">
        <f>COUNTIF(L$1:L2546,L2546)</f>
        <v>5</v>
      </c>
      <c r="N2546" t="str">
        <f t="shared" si="118"/>
        <v>scott9WR-5</v>
      </c>
      <c r="O2546">
        <f>COUNTIFS(F$1:F2546,F2546,A$1:A2546,A2546)</f>
        <v>50</v>
      </c>
      <c r="P2546" t="str">
        <f t="shared" si="119"/>
        <v>DeSean Jackson9</v>
      </c>
    </row>
    <row r="2547" spans="1:16" x14ac:dyDescent="0.25">
      <c r="A2547">
        <v>7</v>
      </c>
      <c r="B2547" t="s">
        <v>160</v>
      </c>
      <c r="C2547">
        <f>-0.26-10.46</f>
        <v>-10.72</v>
      </c>
      <c r="D2547">
        <v>5.0999999999999996</v>
      </c>
      <c r="E2547" t="s">
        <v>56</v>
      </c>
      <c r="F2547" t="s">
        <v>87</v>
      </c>
      <c r="G2547">
        <v>10.46</v>
      </c>
      <c r="H2547">
        <v>-0.26</v>
      </c>
      <c r="I2547">
        <v>5.36</v>
      </c>
      <c r="J2547">
        <v>28.729600000000001</v>
      </c>
      <c r="K2547" t="str">
        <f>IFERROR(INDEX(Rosters!$C$2:$C$155,MATCH($B2547,Rosters!$B$2:$B$155,0)),"NA")</f>
        <v>NA</v>
      </c>
      <c r="L2547" t="str">
        <f t="shared" si="117"/>
        <v>NA7WR</v>
      </c>
      <c r="M2547">
        <f>COUNTIF(L$1:L2547,L2547)</f>
        <v>9</v>
      </c>
      <c r="N2547" t="str">
        <f t="shared" si="118"/>
        <v>NA7WR-9</v>
      </c>
      <c r="O2547">
        <f>COUNTIFS(F$1:F2547,F2547,A$1:A2547,A2547)</f>
        <v>50</v>
      </c>
      <c r="P2547" t="str">
        <f t="shared" si="119"/>
        <v>Pierre Garcon7</v>
      </c>
    </row>
    <row r="2548" spans="1:16" x14ac:dyDescent="0.25">
      <c r="A2548">
        <v>14</v>
      </c>
      <c r="B2548" t="s">
        <v>280</v>
      </c>
      <c r="C2548" t="s">
        <v>7553</v>
      </c>
      <c r="D2548">
        <v>5.09</v>
      </c>
      <c r="E2548" t="s">
        <v>73</v>
      </c>
      <c r="F2548" t="s">
        <v>47</v>
      </c>
      <c r="G2548">
        <v>9.41</v>
      </c>
      <c r="H2548">
        <v>0.77</v>
      </c>
      <c r="I2548">
        <v>4.32</v>
      </c>
      <c r="J2548">
        <v>18.662400000000002</v>
      </c>
      <c r="K2548" t="str">
        <f>IFERROR(INDEX(Rosters!$C$2:$C$155,MATCH($B2548,Rosters!$B$2:$B$155,0)),"NA")</f>
        <v>NA</v>
      </c>
      <c r="L2548" t="str">
        <f t="shared" si="117"/>
        <v>NA14RB</v>
      </c>
      <c r="M2548">
        <f>COUNTIF(L$1:L2548,L2548)</f>
        <v>11</v>
      </c>
      <c r="N2548" t="str">
        <f t="shared" si="118"/>
        <v>NA14RB-11</v>
      </c>
      <c r="O2548">
        <f>COUNTIFS(F$1:F2548,F2548,A$1:A2548,A2548)</f>
        <v>56</v>
      </c>
      <c r="P2548" t="str">
        <f t="shared" si="119"/>
        <v>Chris Ivory14</v>
      </c>
    </row>
    <row r="2549" spans="1:16" x14ac:dyDescent="0.25">
      <c r="A2549">
        <v>17</v>
      </c>
      <c r="B2549" t="s">
        <v>1425</v>
      </c>
      <c r="C2549" t="s">
        <v>7554</v>
      </c>
      <c r="D2549">
        <v>5.09</v>
      </c>
      <c r="E2549" t="s">
        <v>37</v>
      </c>
      <c r="F2549" t="s">
        <v>87</v>
      </c>
      <c r="G2549">
        <v>9.32</v>
      </c>
      <c r="H2549">
        <v>0.86</v>
      </c>
      <c r="I2549">
        <v>4.2300000000000004</v>
      </c>
      <c r="J2549">
        <v>17.892900000000001</v>
      </c>
      <c r="K2549" t="str">
        <f>IFERROR(INDEX(Rosters!$C$2:$C$155,MATCH($B2549,Rosters!$B$2:$B$155,0)),"NA")</f>
        <v>NA</v>
      </c>
      <c r="L2549" t="str">
        <f t="shared" si="117"/>
        <v>NA17WR</v>
      </c>
      <c r="M2549">
        <f>COUNTIF(L$1:L2549,L2549)</f>
        <v>12</v>
      </c>
      <c r="N2549" t="str">
        <f t="shared" si="118"/>
        <v>NA17WR-12</v>
      </c>
      <c r="O2549">
        <f>COUNTIFS(F$1:F2549,F2549,A$1:A2549,A2549)</f>
        <v>63</v>
      </c>
      <c r="P2549" t="str">
        <f t="shared" si="119"/>
        <v>Courtland Sutton17</v>
      </c>
    </row>
    <row r="2550" spans="1:16" x14ac:dyDescent="0.25">
      <c r="A2550">
        <v>15</v>
      </c>
      <c r="B2550" t="s">
        <v>214</v>
      </c>
      <c r="C2550" t="s">
        <v>7555</v>
      </c>
      <c r="D2550">
        <v>5.09</v>
      </c>
      <c r="E2550" t="s">
        <v>423</v>
      </c>
      <c r="F2550" t="s">
        <v>114</v>
      </c>
      <c r="G2550">
        <v>9.3800000000000008</v>
      </c>
      <c r="H2550">
        <v>0.8</v>
      </c>
      <c r="I2550">
        <v>4.29</v>
      </c>
      <c r="J2550">
        <v>18.4041</v>
      </c>
      <c r="K2550" t="str">
        <f>IFERROR(INDEX(Rosters!$C$2:$C$155,MATCH($B2550,Rosters!$B$2:$B$155,0)),"NA")</f>
        <v>scott</v>
      </c>
      <c r="L2550" t="str">
        <f t="shared" si="117"/>
        <v>scott15TE</v>
      </c>
      <c r="M2550">
        <f>COUNTIF(L$1:L2550,L2550)</f>
        <v>2</v>
      </c>
      <c r="N2550" t="str">
        <f t="shared" si="118"/>
        <v>scott15TE-2</v>
      </c>
      <c r="O2550">
        <f>COUNTIFS(F$1:F2550,F2550,A$1:A2550,A2550)</f>
        <v>13</v>
      </c>
      <c r="P2550" t="str">
        <f t="shared" si="119"/>
        <v>Vance McDonald15</v>
      </c>
    </row>
    <row r="2551" spans="1:16" x14ac:dyDescent="0.25">
      <c r="A2551">
        <v>2</v>
      </c>
      <c r="B2551" t="s">
        <v>150</v>
      </c>
      <c r="C2551" t="s">
        <v>3357</v>
      </c>
      <c r="D2551">
        <v>5.08</v>
      </c>
      <c r="E2551" t="s">
        <v>37</v>
      </c>
      <c r="F2551" t="s">
        <v>87</v>
      </c>
      <c r="G2551">
        <v>8.75</v>
      </c>
      <c r="H2551">
        <v>1.41</v>
      </c>
      <c r="I2551">
        <v>3.67</v>
      </c>
      <c r="J2551">
        <v>13.4689</v>
      </c>
      <c r="K2551" t="str">
        <f>IFERROR(INDEX(Rosters!$C$2:$C$155,MATCH($B2551,Rosters!$B$2:$B$155,0)),"NA")</f>
        <v>NA</v>
      </c>
      <c r="L2551" t="str">
        <f t="shared" si="117"/>
        <v>NA2WR</v>
      </c>
      <c r="M2551">
        <f>COUNTIF(L$1:L2551,L2551)</f>
        <v>12</v>
      </c>
      <c r="N2551" t="str">
        <f t="shared" si="118"/>
        <v>NA2WR-12</v>
      </c>
      <c r="O2551">
        <f>COUNTIFS(F$1:F2551,F2551,A$1:A2551,A2551)</f>
        <v>53</v>
      </c>
      <c r="P2551" t="str">
        <f t="shared" si="119"/>
        <v>Kelvin Benjamin2</v>
      </c>
    </row>
    <row r="2552" spans="1:16" x14ac:dyDescent="0.25">
      <c r="A2552">
        <v>3</v>
      </c>
      <c r="B2552" t="s">
        <v>381</v>
      </c>
      <c r="C2552" t="s">
        <v>3735</v>
      </c>
      <c r="D2552">
        <v>5.08</v>
      </c>
      <c r="E2552" t="s">
        <v>50</v>
      </c>
      <c r="F2552" t="s">
        <v>87</v>
      </c>
      <c r="G2552">
        <v>8.59</v>
      </c>
      <c r="H2552">
        <v>1.57</v>
      </c>
      <c r="I2552">
        <v>3.51</v>
      </c>
      <c r="J2552">
        <v>12.3201</v>
      </c>
      <c r="K2552" t="str">
        <f>IFERROR(INDEX(Rosters!$C$2:$C$155,MATCH($B2552,Rosters!$B$2:$B$155,0)),"NA")</f>
        <v>perry</v>
      </c>
      <c r="L2552" t="str">
        <f t="shared" si="117"/>
        <v>perry3WR</v>
      </c>
      <c r="M2552">
        <f>COUNTIF(L$1:L2552,L2552)</f>
        <v>5</v>
      </c>
      <c r="N2552" t="str">
        <f t="shared" si="118"/>
        <v>perry3WR-5</v>
      </c>
      <c r="O2552">
        <f>COUNTIFS(F$1:F2552,F2552,A$1:A2552,A2552)</f>
        <v>56</v>
      </c>
      <c r="P2552" t="str">
        <f t="shared" si="119"/>
        <v>Ryan Grant3</v>
      </c>
    </row>
    <row r="2553" spans="1:16" x14ac:dyDescent="0.25">
      <c r="A2553">
        <v>14</v>
      </c>
      <c r="B2553" t="s">
        <v>214</v>
      </c>
      <c r="C2553" t="s">
        <v>7556</v>
      </c>
      <c r="D2553">
        <v>5.08</v>
      </c>
      <c r="E2553" t="s">
        <v>32</v>
      </c>
      <c r="F2553" t="s">
        <v>114</v>
      </c>
      <c r="G2553">
        <v>9.58</v>
      </c>
      <c r="H2553">
        <v>0.57999999999999996</v>
      </c>
      <c r="I2553">
        <v>4.5</v>
      </c>
      <c r="J2553">
        <v>20.25</v>
      </c>
      <c r="K2553" t="str">
        <f>IFERROR(INDEX(Rosters!$C$2:$C$155,MATCH($B2553,Rosters!$B$2:$B$155,0)),"NA")</f>
        <v>scott</v>
      </c>
      <c r="L2553" t="str">
        <f t="shared" si="117"/>
        <v>scott14TE</v>
      </c>
      <c r="M2553">
        <f>COUNTIF(L$1:L2553,L2553)</f>
        <v>2</v>
      </c>
      <c r="N2553" t="str">
        <f t="shared" si="118"/>
        <v>scott14TE-2</v>
      </c>
      <c r="O2553">
        <f>COUNTIFS(F$1:F2553,F2553,A$1:A2553,A2553)</f>
        <v>15</v>
      </c>
      <c r="P2553" t="str">
        <f t="shared" si="119"/>
        <v>Vance McDonald14</v>
      </c>
    </row>
    <row r="2554" spans="1:16" x14ac:dyDescent="0.25">
      <c r="A2554">
        <v>13</v>
      </c>
      <c r="B2554" t="s">
        <v>212</v>
      </c>
      <c r="C2554" t="s">
        <v>7557</v>
      </c>
      <c r="D2554">
        <v>5.07</v>
      </c>
      <c r="E2554" t="s">
        <v>28</v>
      </c>
      <c r="F2554" t="s">
        <v>47</v>
      </c>
      <c r="G2554">
        <v>9.5</v>
      </c>
      <c r="H2554">
        <v>0.64</v>
      </c>
      <c r="I2554">
        <v>4.43</v>
      </c>
      <c r="J2554">
        <v>19.6249</v>
      </c>
      <c r="K2554" t="str">
        <f>IFERROR(INDEX(Rosters!$C$2:$C$155,MATCH($B2554,Rosters!$B$2:$B$155,0)),"NA")</f>
        <v>seth</v>
      </c>
      <c r="L2554" t="str">
        <f t="shared" si="117"/>
        <v>seth13RB</v>
      </c>
      <c r="M2554">
        <f>COUNTIF(L$1:L2554,L2554)</f>
        <v>6</v>
      </c>
      <c r="N2554" t="str">
        <f t="shared" si="118"/>
        <v>seth13RB-6</v>
      </c>
      <c r="O2554">
        <f>COUNTIFS(F$1:F2554,F2554,A$1:A2554,A2554)</f>
        <v>58</v>
      </c>
      <c r="P2554" t="str">
        <f t="shared" si="119"/>
        <v>Alfred Morris13</v>
      </c>
    </row>
    <row r="2555" spans="1:16" x14ac:dyDescent="0.25">
      <c r="A2555">
        <v>10</v>
      </c>
      <c r="B2555" t="s">
        <v>261</v>
      </c>
      <c r="C2555" t="s">
        <v>7558</v>
      </c>
      <c r="D2555">
        <v>5.07</v>
      </c>
      <c r="E2555" t="s">
        <v>31</v>
      </c>
      <c r="F2555" t="s">
        <v>114</v>
      </c>
      <c r="G2555">
        <v>9.32</v>
      </c>
      <c r="H2555">
        <v>0.82</v>
      </c>
      <c r="I2555">
        <v>4.25</v>
      </c>
      <c r="J2555">
        <v>18.0625</v>
      </c>
      <c r="K2555" t="str">
        <f>IFERROR(INDEX(Rosters!$C$2:$C$155,MATCH($B2555,Rosters!$B$2:$B$155,0)),"NA")</f>
        <v>NA</v>
      </c>
      <c r="L2555" t="str">
        <f t="shared" si="117"/>
        <v>NA10TE</v>
      </c>
      <c r="M2555">
        <f>COUNTIF(L$1:L2555,L2555)</f>
        <v>2</v>
      </c>
      <c r="N2555" t="str">
        <f t="shared" si="118"/>
        <v>NA10TE-2</v>
      </c>
      <c r="O2555">
        <f>COUNTIFS(F$1:F2555,F2555,A$1:A2555,A2555)</f>
        <v>11</v>
      </c>
      <c r="P2555" t="str">
        <f t="shared" si="119"/>
        <v>Benjamin Watson10</v>
      </c>
    </row>
    <row r="2556" spans="1:16" x14ac:dyDescent="0.25">
      <c r="A2556">
        <v>6</v>
      </c>
      <c r="B2556" t="s">
        <v>147</v>
      </c>
      <c r="C2556" t="s">
        <v>7559</v>
      </c>
      <c r="D2556">
        <v>5.07</v>
      </c>
      <c r="E2556" t="s">
        <v>22</v>
      </c>
      <c r="F2556" t="s">
        <v>87</v>
      </c>
      <c r="G2556">
        <v>9.8699999999999992</v>
      </c>
      <c r="H2556">
        <v>0.27</v>
      </c>
      <c r="I2556">
        <v>4.8</v>
      </c>
      <c r="J2556">
        <v>23.04</v>
      </c>
      <c r="K2556" t="str">
        <f>IFERROR(INDEX(Rosters!$C$2:$C$155,MATCH($B2556,Rosters!$B$2:$B$155,0)),"NA")</f>
        <v>NA</v>
      </c>
      <c r="L2556" t="str">
        <f t="shared" si="117"/>
        <v>NA6WR</v>
      </c>
      <c r="M2556">
        <f>COUNTIF(L$1:L2556,L2556)</f>
        <v>12</v>
      </c>
      <c r="N2556" t="str">
        <f t="shared" si="118"/>
        <v>NA6WR-12</v>
      </c>
      <c r="O2556">
        <f>COUNTIFS(F$1:F2556,F2556,A$1:A2556,A2556)</f>
        <v>56</v>
      </c>
      <c r="P2556" t="str">
        <f t="shared" si="119"/>
        <v>Donte Moncrief6</v>
      </c>
    </row>
    <row r="2557" spans="1:16" x14ac:dyDescent="0.25">
      <c r="A2557">
        <v>3</v>
      </c>
      <c r="B2557" t="s">
        <v>285</v>
      </c>
      <c r="C2557" t="s">
        <v>3736</v>
      </c>
      <c r="D2557">
        <v>5.07</v>
      </c>
      <c r="E2557" t="s">
        <v>58</v>
      </c>
      <c r="F2557" t="s">
        <v>47</v>
      </c>
      <c r="G2557">
        <v>9.8000000000000007</v>
      </c>
      <c r="H2557">
        <v>0.34</v>
      </c>
      <c r="I2557">
        <v>4.7300000000000004</v>
      </c>
      <c r="J2557">
        <v>22.372900000000001</v>
      </c>
      <c r="K2557" t="str">
        <f>IFERROR(INDEX(Rosters!$C$2:$C$155,MATCH($B2557,Rosters!$B$2:$B$155,0)),"NA")</f>
        <v>NA</v>
      </c>
      <c r="L2557" t="str">
        <f t="shared" si="117"/>
        <v>NA3RB</v>
      </c>
      <c r="M2557">
        <f>COUNTIF(L$1:L2557,L2557)</f>
        <v>17</v>
      </c>
      <c r="N2557" t="str">
        <f t="shared" si="118"/>
        <v>NA3RB-17</v>
      </c>
      <c r="O2557">
        <f>COUNTIFS(F$1:F2557,F2557,A$1:A2557,A2557)</f>
        <v>53</v>
      </c>
      <c r="P2557" t="str">
        <f t="shared" si="119"/>
        <v>Tarik Cohen3</v>
      </c>
    </row>
    <row r="2558" spans="1:16" x14ac:dyDescent="0.25">
      <c r="A2558">
        <v>12</v>
      </c>
      <c r="B2558" t="s">
        <v>294</v>
      </c>
      <c r="C2558" t="s">
        <v>7560</v>
      </c>
      <c r="D2558">
        <v>5.0599999999999996</v>
      </c>
      <c r="E2558" t="s">
        <v>38</v>
      </c>
      <c r="F2558" t="s">
        <v>47</v>
      </c>
      <c r="G2558">
        <v>8.9499999999999993</v>
      </c>
      <c r="H2558">
        <v>1.17</v>
      </c>
      <c r="I2558">
        <v>3.89</v>
      </c>
      <c r="J2558">
        <v>15.132099999999999</v>
      </c>
      <c r="K2558" t="str">
        <f>IFERROR(INDEX(Rosters!$C$2:$C$155,MATCH($B2558,Rosters!$B$2:$B$155,0)),"NA")</f>
        <v>perry</v>
      </c>
      <c r="L2558" t="str">
        <f t="shared" si="117"/>
        <v>perry12RB</v>
      </c>
      <c r="M2558">
        <f>COUNTIF(L$1:L2558,L2558)</f>
        <v>4</v>
      </c>
      <c r="N2558" t="str">
        <f t="shared" si="118"/>
        <v>perry12RB-4</v>
      </c>
      <c r="O2558">
        <f>COUNTIFS(F$1:F2558,F2558,A$1:A2558,A2558)</f>
        <v>51</v>
      </c>
      <c r="P2558" t="str">
        <f t="shared" si="119"/>
        <v>Alfred Blue12</v>
      </c>
    </row>
    <row r="2559" spans="1:16" x14ac:dyDescent="0.25">
      <c r="A2559">
        <v>17</v>
      </c>
      <c r="B2559" t="s">
        <v>1397</v>
      </c>
      <c r="C2559" t="s">
        <v>7561</v>
      </c>
      <c r="D2559">
        <v>5.0599999999999996</v>
      </c>
      <c r="E2559" t="s">
        <v>28</v>
      </c>
      <c r="F2559" t="s">
        <v>87</v>
      </c>
      <c r="G2559">
        <v>8.51</v>
      </c>
      <c r="H2559">
        <v>1.61</v>
      </c>
      <c r="I2559">
        <v>3.45</v>
      </c>
      <c r="J2559">
        <v>11.9025</v>
      </c>
      <c r="K2559" t="str">
        <f>IFERROR(INDEX(Rosters!$C$2:$C$155,MATCH($B2559,Rosters!$B$2:$B$155,0)),"NA")</f>
        <v>NA</v>
      </c>
      <c r="L2559" t="str">
        <f t="shared" si="117"/>
        <v>NA17WR</v>
      </c>
      <c r="M2559">
        <f>COUNTIF(L$1:L2559,L2559)</f>
        <v>13</v>
      </c>
      <c r="N2559" t="str">
        <f t="shared" si="118"/>
        <v>NA17WR-13</v>
      </c>
      <c r="O2559">
        <f>COUNTIFS(F$1:F2559,F2559,A$1:A2559,A2559)</f>
        <v>64</v>
      </c>
      <c r="P2559" t="str">
        <f t="shared" si="119"/>
        <v>Christian Kirk17</v>
      </c>
    </row>
    <row r="2560" spans="1:16" x14ac:dyDescent="0.25">
      <c r="A2560">
        <v>1</v>
      </c>
      <c r="B2560" t="s">
        <v>226</v>
      </c>
      <c r="C2560">
        <f>-0.14-10.26</f>
        <v>-10.4</v>
      </c>
      <c r="D2560">
        <v>5.0599999999999996</v>
      </c>
      <c r="E2560" t="s">
        <v>24</v>
      </c>
      <c r="F2560" t="s">
        <v>87</v>
      </c>
      <c r="G2560">
        <v>10.26</v>
      </c>
      <c r="H2560">
        <v>-0.14000000000000001</v>
      </c>
      <c r="I2560">
        <v>5.2</v>
      </c>
      <c r="J2560">
        <v>27.04</v>
      </c>
      <c r="K2560" t="str">
        <f>IFERROR(INDEX(Rosters!$C$2:$C$155,MATCH($B2560,Rosters!$B$2:$B$155,0)),"NA")</f>
        <v>comp</v>
      </c>
      <c r="L2560" t="str">
        <f t="shared" si="117"/>
        <v>comp1WR</v>
      </c>
      <c r="M2560">
        <f>COUNTIF(L$1:L2560,L2560)</f>
        <v>6</v>
      </c>
      <c r="N2560" t="str">
        <f t="shared" si="118"/>
        <v>comp1WR-6</v>
      </c>
      <c r="O2560">
        <f>COUNTIFS(F$1:F2560,F2560,A$1:A2560,A2560)</f>
        <v>55</v>
      </c>
      <c r="P2560" t="str">
        <f t="shared" si="119"/>
        <v>Mike Williams1</v>
      </c>
    </row>
    <row r="2561" spans="1:16" x14ac:dyDescent="0.25">
      <c r="A2561">
        <v>14</v>
      </c>
      <c r="B2561" t="s">
        <v>1395</v>
      </c>
      <c r="C2561" t="s">
        <v>7562</v>
      </c>
      <c r="D2561">
        <v>5.0599999999999996</v>
      </c>
      <c r="E2561" t="s">
        <v>36</v>
      </c>
      <c r="F2561" t="s">
        <v>47</v>
      </c>
      <c r="G2561">
        <v>9.31</v>
      </c>
      <c r="H2561">
        <v>0.81</v>
      </c>
      <c r="I2561">
        <v>4.25</v>
      </c>
      <c r="J2561">
        <v>18.0625</v>
      </c>
      <c r="K2561" t="str">
        <f>IFERROR(INDEX(Rosters!$C$2:$C$155,MATCH($B2561,Rosters!$B$2:$B$155,0)),"NA")</f>
        <v>cory</v>
      </c>
      <c r="L2561" t="str">
        <f t="shared" si="117"/>
        <v>cory14RB</v>
      </c>
      <c r="M2561">
        <f>COUNTIF(L$1:L2561,L2561)</f>
        <v>5</v>
      </c>
      <c r="N2561" t="str">
        <f t="shared" si="118"/>
        <v>cory14RB-5</v>
      </c>
      <c r="O2561">
        <f>COUNTIFS(F$1:F2561,F2561,A$1:A2561,A2561)</f>
        <v>57</v>
      </c>
      <c r="P2561" t="str">
        <f t="shared" si="119"/>
        <v>Nyheim Hines14</v>
      </c>
    </row>
    <row r="2562" spans="1:16" x14ac:dyDescent="0.25">
      <c r="A2562">
        <v>4</v>
      </c>
      <c r="B2562" t="s">
        <v>313</v>
      </c>
      <c r="C2562" t="s">
        <v>4541</v>
      </c>
      <c r="D2562">
        <v>5.0599999999999996</v>
      </c>
      <c r="E2562" t="s">
        <v>17</v>
      </c>
      <c r="F2562" t="s">
        <v>114</v>
      </c>
      <c r="G2562">
        <v>9.09</v>
      </c>
      <c r="H2562">
        <v>1.03</v>
      </c>
      <c r="I2562">
        <v>4.03</v>
      </c>
      <c r="J2562">
        <v>16.2409</v>
      </c>
      <c r="K2562" t="str">
        <f>IFERROR(INDEX(Rosters!$C$2:$C$155,MATCH($B2562,Rosters!$B$2:$B$155,0)),"NA")</f>
        <v>comp</v>
      </c>
      <c r="L2562" t="str">
        <f t="shared" si="117"/>
        <v>comp4TE</v>
      </c>
      <c r="M2562">
        <f>COUNTIF(L$1:L2562,L2562)</f>
        <v>1</v>
      </c>
      <c r="N2562" t="str">
        <f t="shared" si="118"/>
        <v>comp4TE-1</v>
      </c>
      <c r="O2562">
        <f>COUNTIFS(F$1:F2562,F2562,A$1:A2562,A2562)</f>
        <v>12</v>
      </c>
      <c r="P2562" t="str">
        <f t="shared" si="119"/>
        <v>Trey Burton4</v>
      </c>
    </row>
    <row r="2563" spans="1:16" x14ac:dyDescent="0.25">
      <c r="A2563">
        <v>12</v>
      </c>
      <c r="B2563" t="s">
        <v>131</v>
      </c>
      <c r="C2563" t="s">
        <v>7563</v>
      </c>
      <c r="D2563">
        <v>5.05</v>
      </c>
      <c r="E2563" t="s">
        <v>28</v>
      </c>
      <c r="F2563" t="s">
        <v>47</v>
      </c>
      <c r="G2563">
        <v>8.52</v>
      </c>
      <c r="H2563">
        <v>1.58</v>
      </c>
      <c r="I2563">
        <v>3.47</v>
      </c>
      <c r="J2563">
        <v>12.040900000000001</v>
      </c>
      <c r="K2563" t="str">
        <f>IFERROR(INDEX(Rosters!$C$2:$C$155,MATCH($B2563,Rosters!$B$2:$B$155,0)),"NA")</f>
        <v>NA</v>
      </c>
      <c r="L2563" t="str">
        <f t="shared" ref="L2563:L2626" si="120">K2563&amp;A2563&amp;F2563</f>
        <v>NA12RB</v>
      </c>
      <c r="M2563">
        <f>COUNTIF(L$1:L2563,L2563)</f>
        <v>8</v>
      </c>
      <c r="N2563" t="str">
        <f t="shared" ref="N2563:N2626" si="121">L2563&amp;"-"&amp;M2563</f>
        <v>NA12RB-8</v>
      </c>
      <c r="O2563">
        <f>COUNTIFS(F$1:F2563,F2563,A$1:A2563,A2563)</f>
        <v>52</v>
      </c>
      <c r="P2563" t="str">
        <f t="shared" ref="P2563:P2626" si="122">B2563&amp;A2563</f>
        <v>C.J. Anderson12</v>
      </c>
    </row>
    <row r="2564" spans="1:16" x14ac:dyDescent="0.25">
      <c r="A2564">
        <v>10</v>
      </c>
      <c r="B2564" t="s">
        <v>175</v>
      </c>
      <c r="C2564" t="s">
        <v>7564</v>
      </c>
      <c r="D2564">
        <v>5.05</v>
      </c>
      <c r="E2564" t="s">
        <v>41</v>
      </c>
      <c r="F2564" t="s">
        <v>87</v>
      </c>
      <c r="G2564">
        <v>9.59</v>
      </c>
      <c r="H2564">
        <v>0.51</v>
      </c>
      <c r="I2564">
        <v>4.54</v>
      </c>
      <c r="J2564">
        <v>20.611599999999999</v>
      </c>
      <c r="K2564" t="str">
        <f>IFERROR(INDEX(Rosters!$C$2:$C$155,MATCH($B2564,Rosters!$B$2:$B$155,0)),"NA")</f>
        <v>NA</v>
      </c>
      <c r="L2564" t="str">
        <f t="shared" si="120"/>
        <v>NA10WR</v>
      </c>
      <c r="M2564">
        <f>COUNTIF(L$1:L2564,L2564)</f>
        <v>10</v>
      </c>
      <c r="N2564" t="str">
        <f t="shared" si="121"/>
        <v>NA10WR-10</v>
      </c>
      <c r="O2564">
        <f>COUNTIFS(F$1:F2564,F2564,A$1:A2564,A2564)</f>
        <v>52</v>
      </c>
      <c r="P2564" t="str">
        <f t="shared" si="122"/>
        <v>DeVante Parker10</v>
      </c>
    </row>
    <row r="2565" spans="1:16" x14ac:dyDescent="0.25">
      <c r="A2565">
        <v>1</v>
      </c>
      <c r="B2565" t="s">
        <v>187</v>
      </c>
      <c r="C2565" t="s">
        <v>1405</v>
      </c>
      <c r="D2565">
        <v>5.05</v>
      </c>
      <c r="E2565" t="s">
        <v>30</v>
      </c>
      <c r="F2565" t="s">
        <v>47</v>
      </c>
      <c r="G2565">
        <v>8.2200000000000006</v>
      </c>
      <c r="H2565">
        <v>1.88</v>
      </c>
      <c r="I2565">
        <v>3.17</v>
      </c>
      <c r="J2565">
        <v>10.0489</v>
      </c>
      <c r="K2565" t="str">
        <f>IFERROR(INDEX(Rosters!$C$2:$C$155,MATCH($B2565,Rosters!$B$2:$B$155,0)),"NA")</f>
        <v>seth</v>
      </c>
      <c r="L2565" t="str">
        <f t="shared" si="120"/>
        <v>seth1RB</v>
      </c>
      <c r="M2565">
        <f>COUNTIF(L$1:L2565,L2565)</f>
        <v>6</v>
      </c>
      <c r="N2565" t="str">
        <f t="shared" si="121"/>
        <v>seth1RB-6</v>
      </c>
      <c r="O2565">
        <f>COUNTIFS(F$1:F2565,F2565,A$1:A2565,A2565)</f>
        <v>46</v>
      </c>
      <c r="P2565" t="str">
        <f t="shared" si="122"/>
        <v>Latavius Murray1</v>
      </c>
    </row>
    <row r="2566" spans="1:16" x14ac:dyDescent="0.25">
      <c r="A2566">
        <v>7</v>
      </c>
      <c r="B2566" t="s">
        <v>303</v>
      </c>
      <c r="C2566" t="s">
        <v>7565</v>
      </c>
      <c r="D2566">
        <v>5.05</v>
      </c>
      <c r="E2566" t="s">
        <v>37</v>
      </c>
      <c r="F2566" t="s">
        <v>87</v>
      </c>
      <c r="G2566">
        <v>9.0299999999999994</v>
      </c>
      <c r="H2566">
        <v>1.07</v>
      </c>
      <c r="I2566">
        <v>3.98</v>
      </c>
      <c r="J2566">
        <v>15.840400000000001</v>
      </c>
      <c r="K2566" t="str">
        <f>IFERROR(INDEX(Rosters!$C$2:$C$155,MATCH($B2566,Rosters!$B$2:$B$155,0)),"NA")</f>
        <v>NA</v>
      </c>
      <c r="L2566" t="str">
        <f t="shared" si="120"/>
        <v>NA7WR</v>
      </c>
      <c r="M2566">
        <f>COUNTIF(L$1:L2566,L2566)</f>
        <v>10</v>
      </c>
      <c r="N2566" t="str">
        <f t="shared" si="121"/>
        <v>NA7WR-10</v>
      </c>
      <c r="O2566">
        <f>COUNTIFS(F$1:F2566,F2566,A$1:A2566,A2566)</f>
        <v>51</v>
      </c>
      <c r="P2566" t="str">
        <f t="shared" si="122"/>
        <v>Taywan Taylor7</v>
      </c>
    </row>
    <row r="2567" spans="1:16" x14ac:dyDescent="0.25">
      <c r="A2567">
        <v>17</v>
      </c>
      <c r="B2567" t="s">
        <v>210</v>
      </c>
      <c r="C2567" t="s">
        <v>7566</v>
      </c>
      <c r="D2567">
        <v>5.05</v>
      </c>
      <c r="E2567" t="s">
        <v>42</v>
      </c>
      <c r="F2567" t="s">
        <v>87</v>
      </c>
      <c r="G2567">
        <v>8.18</v>
      </c>
      <c r="H2567">
        <v>1.92</v>
      </c>
      <c r="I2567">
        <v>3.13</v>
      </c>
      <c r="J2567">
        <v>9.7969000000000008</v>
      </c>
      <c r="K2567" t="str">
        <f>IFERROR(INDEX(Rosters!$C$2:$C$155,MATCH($B2567,Rosters!$B$2:$B$155,0)),"NA")</f>
        <v>NA</v>
      </c>
      <c r="L2567" t="str">
        <f t="shared" si="120"/>
        <v>NA17WR</v>
      </c>
      <c r="M2567">
        <f>COUNTIF(L$1:L2567,L2567)</f>
        <v>14</v>
      </c>
      <c r="N2567" t="str">
        <f t="shared" si="121"/>
        <v>NA17WR-14</v>
      </c>
      <c r="O2567">
        <f>COUNTIFS(F$1:F2567,F2567,A$1:A2567,A2567)</f>
        <v>65</v>
      </c>
      <c r="P2567" t="str">
        <f t="shared" si="122"/>
        <v>Tyrell Williams17</v>
      </c>
    </row>
    <row r="2568" spans="1:16" x14ac:dyDescent="0.25">
      <c r="A2568">
        <v>6</v>
      </c>
      <c r="B2568" t="s">
        <v>381</v>
      </c>
      <c r="C2568" t="s">
        <v>7567</v>
      </c>
      <c r="D2568">
        <v>5.04</v>
      </c>
      <c r="E2568" t="s">
        <v>73</v>
      </c>
      <c r="F2568" t="s">
        <v>87</v>
      </c>
      <c r="G2568">
        <v>9.02</v>
      </c>
      <c r="H2568">
        <v>1.06</v>
      </c>
      <c r="I2568">
        <v>3.98</v>
      </c>
      <c r="J2568">
        <v>15.840400000000001</v>
      </c>
      <c r="K2568" t="str">
        <f>IFERROR(INDEX(Rosters!$C$2:$C$155,MATCH($B2568,Rosters!$B$2:$B$155,0)),"NA")</f>
        <v>perry</v>
      </c>
      <c r="L2568" t="str">
        <f t="shared" si="120"/>
        <v>perry6WR</v>
      </c>
      <c r="M2568">
        <f>COUNTIF(L$1:L2568,L2568)</f>
        <v>4</v>
      </c>
      <c r="N2568" t="str">
        <f t="shared" si="121"/>
        <v>perry6WR-4</v>
      </c>
      <c r="O2568">
        <f>COUNTIFS(F$1:F2568,F2568,A$1:A2568,A2568)</f>
        <v>57</v>
      </c>
      <c r="P2568" t="str">
        <f t="shared" si="122"/>
        <v>Ryan Grant6</v>
      </c>
    </row>
    <row r="2569" spans="1:16" x14ac:dyDescent="0.25">
      <c r="A2569">
        <v>15</v>
      </c>
      <c r="B2569" t="s">
        <v>226</v>
      </c>
      <c r="C2569" t="s">
        <v>7568</v>
      </c>
      <c r="D2569">
        <v>5.03</v>
      </c>
      <c r="E2569" t="s">
        <v>24</v>
      </c>
      <c r="F2569" t="s">
        <v>87</v>
      </c>
      <c r="G2569">
        <v>9.64</v>
      </c>
      <c r="H2569">
        <v>0.42</v>
      </c>
      <c r="I2569">
        <v>4.6100000000000003</v>
      </c>
      <c r="J2569">
        <v>21.252099999999999</v>
      </c>
      <c r="K2569" t="str">
        <f>IFERROR(INDEX(Rosters!$C$2:$C$155,MATCH($B2569,Rosters!$B$2:$B$155,0)),"NA")</f>
        <v>comp</v>
      </c>
      <c r="L2569" t="str">
        <f t="shared" si="120"/>
        <v>comp15WR</v>
      </c>
      <c r="M2569">
        <f>COUNTIF(L$1:L2569,L2569)</f>
        <v>7</v>
      </c>
      <c r="N2569" t="str">
        <f t="shared" si="121"/>
        <v>comp15WR-7</v>
      </c>
      <c r="O2569">
        <f>COUNTIFS(F$1:F2569,F2569,A$1:A2569,A2569)</f>
        <v>63</v>
      </c>
      <c r="P2569" t="str">
        <f t="shared" si="122"/>
        <v>Mike Williams15</v>
      </c>
    </row>
    <row r="2570" spans="1:16" x14ac:dyDescent="0.25">
      <c r="A2570">
        <v>7</v>
      </c>
      <c r="B2570" t="s">
        <v>223</v>
      </c>
      <c r="C2570" t="s">
        <v>7569</v>
      </c>
      <c r="D2570">
        <v>5.03</v>
      </c>
      <c r="E2570" t="s">
        <v>22</v>
      </c>
      <c r="F2570" t="s">
        <v>87</v>
      </c>
      <c r="G2570">
        <v>9.3800000000000008</v>
      </c>
      <c r="H2570">
        <v>0.68</v>
      </c>
      <c r="I2570">
        <v>4.3499999999999996</v>
      </c>
      <c r="J2570">
        <v>18.922499999999999</v>
      </c>
      <c r="K2570" t="str">
        <f>IFERROR(INDEX(Rosters!$C$2:$C$155,MATCH($B2570,Rosters!$B$2:$B$155,0)),"NA")</f>
        <v>NA</v>
      </c>
      <c r="L2570" t="str">
        <f t="shared" si="120"/>
        <v>NA7WR</v>
      </c>
      <c r="M2570">
        <f>COUNTIF(L$1:L2570,L2570)</f>
        <v>11</v>
      </c>
      <c r="N2570" t="str">
        <f t="shared" si="121"/>
        <v>NA7WR-11</v>
      </c>
      <c r="O2570">
        <f>COUNTIFS(F$1:F2570,F2570,A$1:A2570,A2570)</f>
        <v>52</v>
      </c>
      <c r="P2570" t="str">
        <f t="shared" si="122"/>
        <v>Paul Richardson7</v>
      </c>
    </row>
    <row r="2571" spans="1:16" x14ac:dyDescent="0.25">
      <c r="A2571">
        <v>16</v>
      </c>
      <c r="B2571" t="s">
        <v>381</v>
      </c>
      <c r="C2571" t="s">
        <v>7570</v>
      </c>
      <c r="D2571">
        <v>5.03</v>
      </c>
      <c r="E2571" t="s">
        <v>54</v>
      </c>
      <c r="F2571" t="s">
        <v>87</v>
      </c>
      <c r="G2571">
        <v>8.83</v>
      </c>
      <c r="H2571">
        <v>1.23</v>
      </c>
      <c r="I2571">
        <v>3.8</v>
      </c>
      <c r="J2571">
        <v>14.44</v>
      </c>
      <c r="K2571" t="str">
        <f>IFERROR(INDEX(Rosters!$C$2:$C$155,MATCH($B2571,Rosters!$B$2:$B$155,0)),"NA")</f>
        <v>perry</v>
      </c>
      <c r="L2571" t="str">
        <f t="shared" si="120"/>
        <v>perry16WR</v>
      </c>
      <c r="M2571">
        <f>COUNTIF(L$1:L2571,L2571)</f>
        <v>4</v>
      </c>
      <c r="N2571" t="str">
        <f t="shared" si="121"/>
        <v>perry16WR-4</v>
      </c>
      <c r="O2571">
        <f>COUNTIFS(F$1:F2571,F2571,A$1:A2571,A2571)</f>
        <v>63</v>
      </c>
      <c r="P2571" t="str">
        <f t="shared" si="122"/>
        <v>Ryan Grant16</v>
      </c>
    </row>
    <row r="2572" spans="1:16" x14ac:dyDescent="0.25">
      <c r="A2572">
        <v>2</v>
      </c>
      <c r="B2572" t="s">
        <v>1352</v>
      </c>
      <c r="C2572">
        <f>-0.18-10.24</f>
        <v>-10.42</v>
      </c>
      <c r="D2572">
        <v>5.03</v>
      </c>
      <c r="E2572" t="s">
        <v>76</v>
      </c>
      <c r="F2572" t="s">
        <v>47</v>
      </c>
      <c r="G2572">
        <v>10.24</v>
      </c>
      <c r="H2572">
        <v>-0.18</v>
      </c>
      <c r="I2572">
        <v>5.21</v>
      </c>
      <c r="J2572">
        <v>27.144100000000002</v>
      </c>
      <c r="K2572" t="str">
        <f>IFERROR(INDEX(Rosters!$C$2:$C$155,MATCH($B2572,Rosters!$B$2:$B$155,0)),"NA")</f>
        <v>devon</v>
      </c>
      <c r="L2572" t="str">
        <f t="shared" si="120"/>
        <v>devon2RB</v>
      </c>
      <c r="M2572">
        <f>COUNTIF(L$1:L2572,L2572)</f>
        <v>4</v>
      </c>
      <c r="N2572" t="str">
        <f t="shared" si="121"/>
        <v>devon2RB-4</v>
      </c>
      <c r="O2572">
        <f>COUNTIFS(F$1:F2572,F2572,A$1:A2572,A2572)</f>
        <v>50</v>
      </c>
      <c r="P2572" t="str">
        <f t="shared" si="122"/>
        <v>Sony Michel2</v>
      </c>
    </row>
    <row r="2573" spans="1:16" x14ac:dyDescent="0.25">
      <c r="A2573">
        <v>5</v>
      </c>
      <c r="B2573" t="s">
        <v>109</v>
      </c>
      <c r="C2573" t="s">
        <v>9082</v>
      </c>
      <c r="D2573">
        <v>5.03</v>
      </c>
      <c r="E2573" t="s">
        <v>34</v>
      </c>
      <c r="F2573" t="s">
        <v>47</v>
      </c>
      <c r="G2573">
        <v>6.89</v>
      </c>
      <c r="H2573">
        <v>3.17</v>
      </c>
      <c r="I2573">
        <v>1.86</v>
      </c>
      <c r="J2573">
        <v>3.4596</v>
      </c>
      <c r="K2573" t="str">
        <f>IFERROR(INDEX(Rosters!$C$2:$C$155,MATCH($B2573,Rosters!$B$2:$B$155,0)),"NA")</f>
        <v>seth</v>
      </c>
      <c r="L2573" t="str">
        <f t="shared" si="120"/>
        <v>seth5RB</v>
      </c>
      <c r="M2573">
        <f>COUNTIF(L$1:L2573,L2573)</f>
        <v>5</v>
      </c>
      <c r="N2573" t="str">
        <f t="shared" si="121"/>
        <v>seth5RB-5</v>
      </c>
      <c r="O2573">
        <f>COUNTIFS(F$1:F2573,F2573,A$1:A2573,A2573)</f>
        <v>52</v>
      </c>
      <c r="P2573" t="str">
        <f t="shared" si="122"/>
        <v>Ty Montgomery5</v>
      </c>
    </row>
    <row r="2574" spans="1:16" x14ac:dyDescent="0.25">
      <c r="A2574">
        <v>10</v>
      </c>
      <c r="B2574" t="s">
        <v>131</v>
      </c>
      <c r="C2574" t="s">
        <v>7571</v>
      </c>
      <c r="D2574">
        <v>5.0199999999999996</v>
      </c>
      <c r="E2574" t="s">
        <v>51</v>
      </c>
      <c r="F2574" t="s">
        <v>47</v>
      </c>
      <c r="G2574">
        <v>9.6199999999999992</v>
      </c>
      <c r="H2574">
        <v>0.42</v>
      </c>
      <c r="I2574">
        <v>4.5999999999999996</v>
      </c>
      <c r="J2574">
        <v>21.16</v>
      </c>
      <c r="K2574" t="str">
        <f>IFERROR(INDEX(Rosters!$C$2:$C$155,MATCH($B2574,Rosters!$B$2:$B$155,0)),"NA")</f>
        <v>NA</v>
      </c>
      <c r="L2574" t="str">
        <f t="shared" si="120"/>
        <v>NA10RB</v>
      </c>
      <c r="M2574">
        <f>COUNTIF(L$1:L2574,L2574)</f>
        <v>11</v>
      </c>
      <c r="N2574" t="str">
        <f t="shared" si="121"/>
        <v>NA10RB-11</v>
      </c>
      <c r="O2574">
        <f>COUNTIFS(F$1:F2574,F2574,A$1:A2574,A2574)</f>
        <v>48</v>
      </c>
      <c r="P2574" t="str">
        <f t="shared" si="122"/>
        <v>C.J. Anderson10</v>
      </c>
    </row>
    <row r="2575" spans="1:16" x14ac:dyDescent="0.25">
      <c r="A2575">
        <v>12</v>
      </c>
      <c r="B2575" t="s">
        <v>1211</v>
      </c>
      <c r="C2575" t="s">
        <v>7572</v>
      </c>
      <c r="D2575">
        <v>5.0199999999999996</v>
      </c>
      <c r="E2575" t="s">
        <v>29</v>
      </c>
      <c r="F2575" t="s">
        <v>87</v>
      </c>
      <c r="G2575">
        <v>9.49</v>
      </c>
      <c r="H2575">
        <v>0.55000000000000004</v>
      </c>
      <c r="I2575">
        <v>4.47</v>
      </c>
      <c r="J2575">
        <v>19.980899999999998</v>
      </c>
      <c r="K2575" t="str">
        <f>IFERROR(INDEX(Rosters!$C$2:$C$155,MATCH($B2575,Rosters!$B$2:$B$155,0)),"NA")</f>
        <v>NA</v>
      </c>
      <c r="L2575" t="str">
        <f t="shared" si="120"/>
        <v>NA12WR</v>
      </c>
      <c r="M2575">
        <f>COUNTIF(L$1:L2575,L2575)</f>
        <v>10</v>
      </c>
      <c r="N2575" t="str">
        <f t="shared" si="121"/>
        <v>NA12WR-10</v>
      </c>
      <c r="O2575">
        <f>COUNTIFS(F$1:F2575,F2575,A$1:A2575,A2575)</f>
        <v>56</v>
      </c>
      <c r="P2575" t="str">
        <f t="shared" si="122"/>
        <v>Dede Westbrook12</v>
      </c>
    </row>
    <row r="2576" spans="1:16" x14ac:dyDescent="0.25">
      <c r="A2576">
        <v>1</v>
      </c>
      <c r="B2576" t="s">
        <v>1395</v>
      </c>
      <c r="C2576" t="s">
        <v>3191</v>
      </c>
      <c r="D2576">
        <v>5.01</v>
      </c>
      <c r="E2576" t="s">
        <v>31</v>
      </c>
      <c r="F2576" t="s">
        <v>47</v>
      </c>
      <c r="G2576">
        <v>8.8699999999999992</v>
      </c>
      <c r="H2576">
        <v>1.1499999999999999</v>
      </c>
      <c r="I2576">
        <v>3.86</v>
      </c>
      <c r="J2576">
        <v>14.8996</v>
      </c>
      <c r="K2576" t="str">
        <f>IFERROR(INDEX(Rosters!$C$2:$C$155,MATCH($B2576,Rosters!$B$2:$B$155,0)),"NA")</f>
        <v>cory</v>
      </c>
      <c r="L2576" t="str">
        <f t="shared" si="120"/>
        <v>cory1RB</v>
      </c>
      <c r="M2576">
        <f>COUNTIF(L$1:L2576,L2576)</f>
        <v>4</v>
      </c>
      <c r="N2576" t="str">
        <f t="shared" si="121"/>
        <v>cory1RB-4</v>
      </c>
      <c r="O2576">
        <f>COUNTIFS(F$1:F2576,F2576,A$1:A2576,A2576)</f>
        <v>47</v>
      </c>
      <c r="P2576" t="str">
        <f t="shared" si="122"/>
        <v>Nyheim Hines1</v>
      </c>
    </row>
    <row r="2577" spans="1:16" x14ac:dyDescent="0.25">
      <c r="A2577">
        <v>13</v>
      </c>
      <c r="B2577" t="s">
        <v>229</v>
      </c>
      <c r="C2577">
        <f>-0.15-10.15</f>
        <v>-10.3</v>
      </c>
      <c r="D2577">
        <v>5</v>
      </c>
      <c r="E2577" t="s">
        <v>74</v>
      </c>
      <c r="F2577" t="s">
        <v>114</v>
      </c>
      <c r="G2577">
        <v>10.15</v>
      </c>
      <c r="H2577">
        <v>-0.15</v>
      </c>
      <c r="I2577">
        <v>5.15</v>
      </c>
      <c r="J2577">
        <v>26.522500000000001</v>
      </c>
      <c r="K2577" t="str">
        <f>IFERROR(INDEX(Rosters!$C$2:$C$155,MATCH($B2577,Rosters!$B$2:$B$155,0)),"NA")</f>
        <v>NA</v>
      </c>
      <c r="L2577" t="str">
        <f t="shared" si="120"/>
        <v>NA13TE</v>
      </c>
      <c r="M2577">
        <f>COUNTIF(L$1:L2577,L2577)</f>
        <v>3</v>
      </c>
      <c r="N2577" t="str">
        <f t="shared" si="121"/>
        <v>NA13TE-3</v>
      </c>
      <c r="O2577">
        <f>COUNTIFS(F$1:F2577,F2577,A$1:A2577,A2577)</f>
        <v>12</v>
      </c>
      <c r="P2577" t="str">
        <f t="shared" si="122"/>
        <v>O.J. Howard13</v>
      </c>
    </row>
    <row r="2578" spans="1:16" x14ac:dyDescent="0.25">
      <c r="A2578">
        <v>9</v>
      </c>
      <c r="B2578" t="s">
        <v>252</v>
      </c>
      <c r="C2578" t="s">
        <v>7573</v>
      </c>
      <c r="D2578">
        <v>4.99</v>
      </c>
      <c r="E2578" t="s">
        <v>38</v>
      </c>
      <c r="F2578" t="s">
        <v>87</v>
      </c>
      <c r="G2578">
        <v>8.4700000000000006</v>
      </c>
      <c r="H2578">
        <v>1.51</v>
      </c>
      <c r="I2578">
        <v>3.48</v>
      </c>
      <c r="J2578">
        <v>12.1104</v>
      </c>
      <c r="K2578" t="str">
        <f>IFERROR(INDEX(Rosters!$C$2:$C$155,MATCH($B2578,Rosters!$B$2:$B$155,0)),"NA")</f>
        <v>NA</v>
      </c>
      <c r="L2578" t="str">
        <f t="shared" si="120"/>
        <v>NA9WR</v>
      </c>
      <c r="M2578">
        <f>COUNTIF(L$1:L2578,L2578)</f>
        <v>11</v>
      </c>
      <c r="N2578" t="str">
        <f t="shared" si="121"/>
        <v>NA9WR-11</v>
      </c>
      <c r="O2578">
        <f>COUNTIFS(F$1:F2578,F2578,A$1:A2578,A2578)</f>
        <v>51</v>
      </c>
      <c r="P2578" t="str">
        <f t="shared" si="122"/>
        <v>Allen Hurns9</v>
      </c>
    </row>
    <row r="2579" spans="1:16" x14ac:dyDescent="0.25">
      <c r="A2579">
        <v>9</v>
      </c>
      <c r="B2579" t="s">
        <v>1373</v>
      </c>
      <c r="C2579" t="s">
        <v>7574</v>
      </c>
      <c r="D2579">
        <v>4.99</v>
      </c>
      <c r="E2579" t="s">
        <v>28</v>
      </c>
      <c r="F2579" t="s">
        <v>47</v>
      </c>
      <c r="G2579">
        <v>8.75</v>
      </c>
      <c r="H2579">
        <v>1.23</v>
      </c>
      <c r="I2579">
        <v>3.76</v>
      </c>
      <c r="J2579">
        <v>14.137600000000001</v>
      </c>
      <c r="K2579" t="str">
        <f>IFERROR(INDEX(Rosters!$C$2:$C$155,MATCH($B2579,Rosters!$B$2:$B$155,0)),"NA")</f>
        <v>matty</v>
      </c>
      <c r="L2579" t="str">
        <f t="shared" si="120"/>
        <v>matty9RB</v>
      </c>
      <c r="M2579">
        <f>COUNTIF(L$1:L2579,L2579)</f>
        <v>2</v>
      </c>
      <c r="N2579" t="str">
        <f t="shared" si="121"/>
        <v>matty9RB-2</v>
      </c>
      <c r="O2579">
        <f>COUNTIFS(F$1:F2579,F2579,A$1:A2579,A2579)</f>
        <v>46</v>
      </c>
      <c r="P2579" t="str">
        <f t="shared" si="122"/>
        <v>Austin Ekeler9</v>
      </c>
    </row>
    <row r="2580" spans="1:16" x14ac:dyDescent="0.25">
      <c r="A2580">
        <v>5</v>
      </c>
      <c r="B2580" t="s">
        <v>1425</v>
      </c>
      <c r="C2580">
        <f>-0.01-9.99</f>
        <v>-10</v>
      </c>
      <c r="D2580">
        <v>4.99</v>
      </c>
      <c r="E2580" t="s">
        <v>73</v>
      </c>
      <c r="F2580" t="s">
        <v>87</v>
      </c>
      <c r="G2580">
        <v>9.99</v>
      </c>
      <c r="H2580">
        <v>-0.01</v>
      </c>
      <c r="I2580">
        <v>5</v>
      </c>
      <c r="J2580">
        <v>25</v>
      </c>
      <c r="K2580" t="str">
        <f>IFERROR(INDEX(Rosters!$C$2:$C$155,MATCH($B2580,Rosters!$B$2:$B$155,0)),"NA")</f>
        <v>NA</v>
      </c>
      <c r="L2580" t="str">
        <f t="shared" si="120"/>
        <v>NA5WR</v>
      </c>
      <c r="M2580">
        <f>COUNTIF(L$1:L2580,L2580)</f>
        <v>16</v>
      </c>
      <c r="N2580" t="str">
        <f t="shared" si="121"/>
        <v>NA5WR-16</v>
      </c>
      <c r="O2580">
        <f>COUNTIFS(F$1:F2580,F2580,A$1:A2580,A2580)</f>
        <v>60</v>
      </c>
      <c r="P2580" t="str">
        <f t="shared" si="122"/>
        <v>Courtland Sutton5</v>
      </c>
    </row>
    <row r="2581" spans="1:16" x14ac:dyDescent="0.25">
      <c r="A2581">
        <v>1</v>
      </c>
      <c r="B2581" t="s">
        <v>229</v>
      </c>
      <c r="C2581" t="s">
        <v>1407</v>
      </c>
      <c r="D2581">
        <v>4.99</v>
      </c>
      <c r="E2581" t="s">
        <v>14</v>
      </c>
      <c r="F2581" t="s">
        <v>114</v>
      </c>
      <c r="G2581">
        <v>8.65</v>
      </c>
      <c r="H2581">
        <v>1.33</v>
      </c>
      <c r="I2581">
        <v>3.66</v>
      </c>
      <c r="J2581">
        <v>13.3956</v>
      </c>
      <c r="K2581" t="str">
        <f>IFERROR(INDEX(Rosters!$C$2:$C$155,MATCH($B2581,Rosters!$B$2:$B$155,0)),"NA")</f>
        <v>NA</v>
      </c>
      <c r="L2581" t="str">
        <f t="shared" si="120"/>
        <v>NA1TE</v>
      </c>
      <c r="M2581">
        <f>COUNTIF(L$1:L2581,L2581)</f>
        <v>2</v>
      </c>
      <c r="N2581" t="str">
        <f t="shared" si="121"/>
        <v>NA1TE-2</v>
      </c>
      <c r="O2581">
        <f>COUNTIFS(F$1:F2581,F2581,A$1:A2581,A2581)</f>
        <v>11</v>
      </c>
      <c r="P2581" t="str">
        <f t="shared" si="122"/>
        <v>O.J. Howard1</v>
      </c>
    </row>
    <row r="2582" spans="1:16" x14ac:dyDescent="0.25">
      <c r="A2582">
        <v>13</v>
      </c>
      <c r="B2582" t="s">
        <v>237</v>
      </c>
      <c r="C2582" t="s">
        <v>7575</v>
      </c>
      <c r="D2582">
        <v>4.99</v>
      </c>
      <c r="E2582" t="s">
        <v>54</v>
      </c>
      <c r="F2582" t="s">
        <v>87</v>
      </c>
      <c r="G2582">
        <v>8.4</v>
      </c>
      <c r="H2582">
        <v>1.58</v>
      </c>
      <c r="I2582">
        <v>3.41</v>
      </c>
      <c r="J2582">
        <v>11.6281</v>
      </c>
      <c r="K2582" t="str">
        <f>IFERROR(INDEX(Rosters!$C$2:$C$155,MATCH($B2582,Rosters!$B$2:$B$155,0)),"NA")</f>
        <v>NA</v>
      </c>
      <c r="L2582" t="str">
        <f t="shared" si="120"/>
        <v>NA13WR</v>
      </c>
      <c r="M2582">
        <f>COUNTIF(L$1:L2582,L2582)</f>
        <v>14</v>
      </c>
      <c r="N2582" t="str">
        <f t="shared" si="121"/>
        <v>NA13WR-14</v>
      </c>
      <c r="O2582">
        <f>COUNTIFS(F$1:F2582,F2582,A$1:A2582,A2582)</f>
        <v>63</v>
      </c>
      <c r="P2582" t="str">
        <f t="shared" si="122"/>
        <v>Taylor Gabriel13</v>
      </c>
    </row>
    <row r="2583" spans="1:16" x14ac:dyDescent="0.25">
      <c r="A2583">
        <v>4</v>
      </c>
      <c r="B2583" t="s">
        <v>294</v>
      </c>
      <c r="C2583" t="s">
        <v>4542</v>
      </c>
      <c r="D2583">
        <v>4.9800000000000004</v>
      </c>
      <c r="E2583" t="s">
        <v>66</v>
      </c>
      <c r="F2583" t="s">
        <v>47</v>
      </c>
      <c r="G2583">
        <v>9.43</v>
      </c>
      <c r="H2583">
        <v>0.53</v>
      </c>
      <c r="I2583">
        <v>4.45</v>
      </c>
      <c r="J2583">
        <v>19.802499999999998</v>
      </c>
      <c r="K2583" t="str">
        <f>IFERROR(INDEX(Rosters!$C$2:$C$155,MATCH($B2583,Rosters!$B$2:$B$155,0)),"NA")</f>
        <v>perry</v>
      </c>
      <c r="L2583" t="str">
        <f t="shared" si="120"/>
        <v>perry4RB</v>
      </c>
      <c r="M2583">
        <f>COUNTIF(L$1:L2583,L2583)</f>
        <v>4</v>
      </c>
      <c r="N2583" t="str">
        <f t="shared" si="121"/>
        <v>perry4RB-4</v>
      </c>
      <c r="O2583">
        <f>COUNTIFS(F$1:F2583,F2583,A$1:A2583,A2583)</f>
        <v>47</v>
      </c>
      <c r="P2583" t="str">
        <f t="shared" si="122"/>
        <v>Alfred Blue4</v>
      </c>
    </row>
    <row r="2584" spans="1:16" x14ac:dyDescent="0.25">
      <c r="A2584">
        <v>3</v>
      </c>
      <c r="B2584" t="s">
        <v>247</v>
      </c>
      <c r="C2584" t="s">
        <v>3737</v>
      </c>
      <c r="D2584">
        <v>4.9800000000000004</v>
      </c>
      <c r="E2584" t="s">
        <v>38</v>
      </c>
      <c r="F2584" t="s">
        <v>114</v>
      </c>
      <c r="G2584">
        <v>9.1300000000000008</v>
      </c>
      <c r="H2584">
        <v>0.83</v>
      </c>
      <c r="I2584">
        <v>4.1500000000000004</v>
      </c>
      <c r="J2584">
        <v>17.2225</v>
      </c>
      <c r="K2584" t="str">
        <f>IFERROR(INDEX(Rosters!$C$2:$C$155,MATCH($B2584,Rosters!$B$2:$B$155,0)),"NA")</f>
        <v>NA</v>
      </c>
      <c r="L2584" t="str">
        <f t="shared" si="120"/>
        <v>NA3TE</v>
      </c>
      <c r="M2584">
        <f>COUNTIF(L$1:L2584,L2584)</f>
        <v>2</v>
      </c>
      <c r="N2584" t="str">
        <f t="shared" si="121"/>
        <v>NA3TE-2</v>
      </c>
      <c r="O2584">
        <f>COUNTIFS(F$1:F2584,F2584,A$1:A2584,A2584)</f>
        <v>13</v>
      </c>
      <c r="P2584" t="str">
        <f t="shared" si="122"/>
        <v>Austin Seferian-Jenkins3</v>
      </c>
    </row>
    <row r="2585" spans="1:16" x14ac:dyDescent="0.25">
      <c r="A2585">
        <v>13</v>
      </c>
      <c r="B2585" t="s">
        <v>313</v>
      </c>
      <c r="C2585" t="s">
        <v>7576</v>
      </c>
      <c r="D2585">
        <v>4.9800000000000004</v>
      </c>
      <c r="E2585" t="s">
        <v>54</v>
      </c>
      <c r="F2585" t="s">
        <v>114</v>
      </c>
      <c r="G2585">
        <v>9.2100000000000009</v>
      </c>
      <c r="H2585">
        <v>0.75</v>
      </c>
      <c r="I2585">
        <v>4.2300000000000004</v>
      </c>
      <c r="J2585">
        <v>17.892900000000001</v>
      </c>
      <c r="K2585" t="str">
        <f>IFERROR(INDEX(Rosters!$C$2:$C$155,MATCH($B2585,Rosters!$B$2:$B$155,0)),"NA")</f>
        <v>comp</v>
      </c>
      <c r="L2585" t="str">
        <f t="shared" si="120"/>
        <v>comp13TE</v>
      </c>
      <c r="M2585">
        <f>COUNTIF(L$1:L2585,L2585)</f>
        <v>1</v>
      </c>
      <c r="N2585" t="str">
        <f t="shared" si="121"/>
        <v>comp13TE-1</v>
      </c>
      <c r="O2585">
        <f>COUNTIFS(F$1:F2585,F2585,A$1:A2585,A2585)</f>
        <v>13</v>
      </c>
      <c r="P2585" t="str">
        <f t="shared" si="122"/>
        <v>Trey Burton13</v>
      </c>
    </row>
    <row r="2586" spans="1:16" x14ac:dyDescent="0.25">
      <c r="A2586">
        <v>16</v>
      </c>
      <c r="B2586" t="s">
        <v>1449</v>
      </c>
      <c r="C2586">
        <f>-0.94-10.88</f>
        <v>-11.82</v>
      </c>
      <c r="D2586">
        <v>4.97</v>
      </c>
      <c r="E2586" t="s">
        <v>37</v>
      </c>
      <c r="F2586" t="s">
        <v>114</v>
      </c>
      <c r="G2586">
        <v>10.88</v>
      </c>
      <c r="H2586">
        <v>-0.94</v>
      </c>
      <c r="I2586">
        <v>5.91</v>
      </c>
      <c r="J2586">
        <v>34.928100000000001</v>
      </c>
      <c r="K2586" t="str">
        <f>IFERROR(INDEX(Rosters!$C$2:$C$155,MATCH($B2586,Rosters!$B$2:$B$155,0)),"NA")</f>
        <v>NA</v>
      </c>
      <c r="L2586" t="str">
        <f t="shared" si="120"/>
        <v>NA16TE</v>
      </c>
      <c r="M2586">
        <f>COUNTIF(L$1:L2586,L2586)</f>
        <v>6</v>
      </c>
      <c r="N2586" t="str">
        <f t="shared" si="121"/>
        <v>NA16TE-6</v>
      </c>
      <c r="O2586">
        <f>COUNTIFS(F$1:F2586,F2586,A$1:A2586,A2586)</f>
        <v>17</v>
      </c>
      <c r="P2586" t="str">
        <f t="shared" si="122"/>
        <v>Hayden Hurst16</v>
      </c>
    </row>
    <row r="2587" spans="1:16" x14ac:dyDescent="0.25">
      <c r="A2587">
        <v>17</v>
      </c>
      <c r="B2587" t="s">
        <v>160</v>
      </c>
      <c r="C2587">
        <f>-0.39-10.33</f>
        <v>-10.72</v>
      </c>
      <c r="D2587">
        <v>4.97</v>
      </c>
      <c r="E2587" t="s">
        <v>56</v>
      </c>
      <c r="F2587" t="s">
        <v>87</v>
      </c>
      <c r="G2587">
        <v>10.33</v>
      </c>
      <c r="H2587">
        <v>-0.39</v>
      </c>
      <c r="I2587">
        <v>5.36</v>
      </c>
      <c r="J2587">
        <v>28.729600000000001</v>
      </c>
      <c r="K2587" t="str">
        <f>IFERROR(INDEX(Rosters!$C$2:$C$155,MATCH($B2587,Rosters!$B$2:$B$155,0)),"NA")</f>
        <v>NA</v>
      </c>
      <c r="L2587" t="str">
        <f t="shared" si="120"/>
        <v>NA17WR</v>
      </c>
      <c r="M2587">
        <f>COUNTIF(L$1:L2587,L2587)</f>
        <v>15</v>
      </c>
      <c r="N2587" t="str">
        <f t="shared" si="121"/>
        <v>NA17WR-15</v>
      </c>
      <c r="O2587">
        <f>COUNTIFS(F$1:F2587,F2587,A$1:A2587,A2587)</f>
        <v>66</v>
      </c>
      <c r="P2587" t="str">
        <f t="shared" si="122"/>
        <v>Pierre Garcon17</v>
      </c>
    </row>
    <row r="2588" spans="1:16" x14ac:dyDescent="0.25">
      <c r="A2588">
        <v>6</v>
      </c>
      <c r="B2588" t="s">
        <v>1404</v>
      </c>
      <c r="C2588">
        <f>-0.21-10.15</f>
        <v>-10.360000000000001</v>
      </c>
      <c r="D2588">
        <v>4.97</v>
      </c>
      <c r="E2588" t="s">
        <v>423</v>
      </c>
      <c r="F2588" t="s">
        <v>47</v>
      </c>
      <c r="G2588">
        <v>10.15</v>
      </c>
      <c r="H2588">
        <v>-0.21</v>
      </c>
      <c r="I2588">
        <v>5.18</v>
      </c>
      <c r="J2588">
        <v>26.8324</v>
      </c>
      <c r="K2588" t="str">
        <f>IFERROR(INDEX(Rosters!$C$2:$C$155,MATCH($B2588,Rosters!$B$2:$B$155,0)),"NA")</f>
        <v>NA</v>
      </c>
      <c r="L2588" t="str">
        <f t="shared" si="120"/>
        <v>NA6RB</v>
      </c>
      <c r="M2588">
        <f>COUNTIF(L$1:L2588,L2588)</f>
        <v>12</v>
      </c>
      <c r="N2588" t="str">
        <f t="shared" si="121"/>
        <v>NA6RB-12</v>
      </c>
      <c r="O2588">
        <f>COUNTIFS(F$1:F2588,F2588,A$1:A2588,A2588)</f>
        <v>53</v>
      </c>
      <c r="P2588" t="str">
        <f t="shared" si="122"/>
        <v>Spencer Ware6</v>
      </c>
    </row>
    <row r="2589" spans="1:16" x14ac:dyDescent="0.25">
      <c r="A2589">
        <v>12</v>
      </c>
      <c r="B2589" t="s">
        <v>210</v>
      </c>
      <c r="C2589" t="s">
        <v>7577</v>
      </c>
      <c r="D2589">
        <v>4.97</v>
      </c>
      <c r="E2589" t="s">
        <v>58</v>
      </c>
      <c r="F2589" t="s">
        <v>87</v>
      </c>
      <c r="G2589">
        <v>7.88</v>
      </c>
      <c r="H2589">
        <v>2.06</v>
      </c>
      <c r="I2589">
        <v>2.91</v>
      </c>
      <c r="J2589">
        <v>8.4680999999999997</v>
      </c>
      <c r="K2589" t="str">
        <f>IFERROR(INDEX(Rosters!$C$2:$C$155,MATCH($B2589,Rosters!$B$2:$B$155,0)),"NA")</f>
        <v>NA</v>
      </c>
      <c r="L2589" t="str">
        <f t="shared" si="120"/>
        <v>NA12WR</v>
      </c>
      <c r="M2589">
        <f>COUNTIF(L$1:L2589,L2589)</f>
        <v>11</v>
      </c>
      <c r="N2589" t="str">
        <f t="shared" si="121"/>
        <v>NA12WR-11</v>
      </c>
      <c r="O2589">
        <f>COUNTIFS(F$1:F2589,F2589,A$1:A2589,A2589)</f>
        <v>57</v>
      </c>
      <c r="P2589" t="str">
        <f t="shared" si="122"/>
        <v>Tyrell Williams12</v>
      </c>
    </row>
    <row r="2590" spans="1:16" x14ac:dyDescent="0.25">
      <c r="A2590">
        <v>10</v>
      </c>
      <c r="B2590" t="s">
        <v>1396</v>
      </c>
      <c r="C2590" t="s">
        <v>7578</v>
      </c>
      <c r="D2590">
        <v>4.96</v>
      </c>
      <c r="E2590" t="s">
        <v>60</v>
      </c>
      <c r="F2590" t="s">
        <v>87</v>
      </c>
      <c r="G2590">
        <v>9.02</v>
      </c>
      <c r="H2590">
        <v>0.9</v>
      </c>
      <c r="I2590">
        <v>4.0599999999999996</v>
      </c>
      <c r="J2590">
        <v>16.483599999999999</v>
      </c>
      <c r="K2590" t="str">
        <f>IFERROR(INDEX(Rosters!$C$2:$C$155,MATCH($B2590,Rosters!$B$2:$B$155,0)),"NA")</f>
        <v>NA</v>
      </c>
      <c r="L2590" t="str">
        <f t="shared" si="120"/>
        <v>NA10WR</v>
      </c>
      <c r="M2590">
        <f>COUNTIF(L$1:L2590,L2590)</f>
        <v>11</v>
      </c>
      <c r="N2590" t="str">
        <f t="shared" si="121"/>
        <v>NA10WR-11</v>
      </c>
      <c r="O2590">
        <f>COUNTIFS(F$1:F2590,F2590,A$1:A2590,A2590)</f>
        <v>53</v>
      </c>
      <c r="P2590" t="str">
        <f t="shared" si="122"/>
        <v>Chris Godwin10</v>
      </c>
    </row>
    <row r="2591" spans="1:16" x14ac:dyDescent="0.25">
      <c r="A2591">
        <v>13</v>
      </c>
      <c r="B2591" t="s">
        <v>159</v>
      </c>
      <c r="C2591" t="s">
        <v>7579</v>
      </c>
      <c r="D2591">
        <v>4.96</v>
      </c>
      <c r="E2591" t="s">
        <v>25</v>
      </c>
      <c r="F2591" t="s">
        <v>87</v>
      </c>
      <c r="G2591">
        <v>8.4700000000000006</v>
      </c>
      <c r="H2591">
        <v>1.45</v>
      </c>
      <c r="I2591">
        <v>3.51</v>
      </c>
      <c r="J2591">
        <v>12.3201</v>
      </c>
      <c r="K2591" t="str">
        <f>IFERROR(INDEX(Rosters!$C$2:$C$155,MATCH($B2591,Rosters!$B$2:$B$155,0)),"NA")</f>
        <v>perry</v>
      </c>
      <c r="L2591" t="str">
        <f t="shared" si="120"/>
        <v>perry13WR</v>
      </c>
      <c r="M2591">
        <f>COUNTIF(L$1:L2591,L2591)</f>
        <v>4</v>
      </c>
      <c r="N2591" t="str">
        <f t="shared" si="121"/>
        <v>perry13WR-4</v>
      </c>
      <c r="O2591">
        <f>COUNTIFS(F$1:F2591,F2591,A$1:A2591,A2591)</f>
        <v>64</v>
      </c>
      <c r="P2591" t="str">
        <f t="shared" si="122"/>
        <v>Chris Hogan13</v>
      </c>
    </row>
    <row r="2592" spans="1:16" x14ac:dyDescent="0.25">
      <c r="A2592">
        <v>2</v>
      </c>
      <c r="B2592" t="s">
        <v>1336</v>
      </c>
      <c r="C2592" t="s">
        <v>1409</v>
      </c>
      <c r="D2592">
        <v>4.96</v>
      </c>
      <c r="E2592" t="s">
        <v>72</v>
      </c>
      <c r="F2592" t="s">
        <v>47</v>
      </c>
      <c r="G2592">
        <v>8.99</v>
      </c>
      <c r="H2592">
        <v>0.93</v>
      </c>
      <c r="I2592">
        <v>4.03</v>
      </c>
      <c r="J2592">
        <v>16.2409</v>
      </c>
      <c r="K2592" t="str">
        <f>IFERROR(INDEX(Rosters!$C$2:$C$155,MATCH($B2592,Rosters!$B$2:$B$155,0)),"NA")</f>
        <v>NA</v>
      </c>
      <c r="L2592" t="str">
        <f t="shared" si="120"/>
        <v>NA2RB</v>
      </c>
      <c r="M2592">
        <f>COUNTIF(L$1:L2592,L2592)</f>
        <v>12</v>
      </c>
      <c r="N2592" t="str">
        <f t="shared" si="121"/>
        <v>NA2RB-12</v>
      </c>
      <c r="O2592">
        <f>COUNTIFS(F$1:F2592,F2592,A$1:A2592,A2592)</f>
        <v>51</v>
      </c>
      <c r="P2592" t="str">
        <f t="shared" si="122"/>
        <v>Rashaad Penny2</v>
      </c>
    </row>
    <row r="2593" spans="1:16" x14ac:dyDescent="0.25">
      <c r="A2593">
        <v>7</v>
      </c>
      <c r="B2593" t="s">
        <v>1377</v>
      </c>
      <c r="C2593" t="s">
        <v>7580</v>
      </c>
      <c r="D2593">
        <v>4.95</v>
      </c>
      <c r="E2593" t="s">
        <v>423</v>
      </c>
      <c r="F2593" t="s">
        <v>87</v>
      </c>
      <c r="G2593">
        <v>9.4600000000000009</v>
      </c>
      <c r="H2593">
        <v>0.44</v>
      </c>
      <c r="I2593">
        <v>4.51</v>
      </c>
      <c r="J2593">
        <v>20.3401</v>
      </c>
      <c r="K2593" t="str">
        <f>IFERROR(INDEX(Rosters!$C$2:$C$155,MATCH($B2593,Rosters!$B$2:$B$155,0)),"NA")</f>
        <v>NA</v>
      </c>
      <c r="L2593" t="str">
        <f t="shared" si="120"/>
        <v>NA7WR</v>
      </c>
      <c r="M2593">
        <f>COUNTIF(L$1:L2593,L2593)</f>
        <v>12</v>
      </c>
      <c r="N2593" t="str">
        <f t="shared" si="121"/>
        <v>NA7WR-12</v>
      </c>
      <c r="O2593">
        <f>COUNTIFS(F$1:F2593,F2593,A$1:A2593,A2593)</f>
        <v>53</v>
      </c>
      <c r="P2593" t="str">
        <f t="shared" si="122"/>
        <v>Anthony Miller7</v>
      </c>
    </row>
    <row r="2594" spans="1:16" x14ac:dyDescent="0.25">
      <c r="A2594">
        <v>7</v>
      </c>
      <c r="B2594" t="s">
        <v>1425</v>
      </c>
      <c r="C2594">
        <f>-0.01-9.91</f>
        <v>-9.92</v>
      </c>
      <c r="D2594">
        <v>4.95</v>
      </c>
      <c r="E2594" t="s">
        <v>58</v>
      </c>
      <c r="F2594" t="s">
        <v>87</v>
      </c>
      <c r="G2594">
        <v>9.91</v>
      </c>
      <c r="H2594">
        <v>-0.01</v>
      </c>
      <c r="I2594">
        <v>4.96</v>
      </c>
      <c r="J2594">
        <v>24.601600000000001</v>
      </c>
      <c r="K2594" t="str">
        <f>IFERROR(INDEX(Rosters!$C$2:$C$155,MATCH($B2594,Rosters!$B$2:$B$155,0)),"NA")</f>
        <v>NA</v>
      </c>
      <c r="L2594" t="str">
        <f t="shared" si="120"/>
        <v>NA7WR</v>
      </c>
      <c r="M2594">
        <f>COUNTIF(L$1:L2594,L2594)</f>
        <v>13</v>
      </c>
      <c r="N2594" t="str">
        <f t="shared" si="121"/>
        <v>NA7WR-13</v>
      </c>
      <c r="O2594">
        <f>COUNTIFS(F$1:F2594,F2594,A$1:A2594,A2594)</f>
        <v>54</v>
      </c>
      <c r="P2594" t="str">
        <f t="shared" si="122"/>
        <v>Courtland Sutton7</v>
      </c>
    </row>
    <row r="2595" spans="1:16" x14ac:dyDescent="0.25">
      <c r="A2595">
        <v>5</v>
      </c>
      <c r="B2595" t="s">
        <v>227</v>
      </c>
      <c r="C2595" t="s">
        <v>7581</v>
      </c>
      <c r="D2595">
        <v>4.95</v>
      </c>
      <c r="E2595" t="s">
        <v>31</v>
      </c>
      <c r="F2595" t="s">
        <v>87</v>
      </c>
      <c r="G2595">
        <v>8.84</v>
      </c>
      <c r="H2595">
        <v>1.06</v>
      </c>
      <c r="I2595">
        <v>3.89</v>
      </c>
      <c r="J2595">
        <v>15.132099999999999</v>
      </c>
      <c r="K2595" t="str">
        <f>IFERROR(INDEX(Rosters!$C$2:$C$155,MATCH($B2595,Rosters!$B$2:$B$155,0)),"NA")</f>
        <v>NA</v>
      </c>
      <c r="L2595" t="str">
        <f t="shared" si="120"/>
        <v>NA5WR</v>
      </c>
      <c r="M2595">
        <f>COUNTIF(L$1:L2595,L2595)</f>
        <v>17</v>
      </c>
      <c r="N2595" t="str">
        <f t="shared" si="121"/>
        <v>NA5WR-17</v>
      </c>
      <c r="O2595">
        <f>COUNTIFS(F$1:F2595,F2595,A$1:A2595,A2595)</f>
        <v>61</v>
      </c>
      <c r="P2595" t="str">
        <f t="shared" si="122"/>
        <v>Danny Amendola5</v>
      </c>
    </row>
    <row r="2596" spans="1:16" x14ac:dyDescent="0.25">
      <c r="A2596">
        <v>14</v>
      </c>
      <c r="B2596" t="s">
        <v>1211</v>
      </c>
      <c r="C2596" t="s">
        <v>7582</v>
      </c>
      <c r="D2596">
        <v>4.95</v>
      </c>
      <c r="E2596" t="s">
        <v>38</v>
      </c>
      <c r="F2596" t="s">
        <v>87</v>
      </c>
      <c r="G2596">
        <v>9.02</v>
      </c>
      <c r="H2596">
        <v>0.88</v>
      </c>
      <c r="I2596">
        <v>4.07</v>
      </c>
      <c r="J2596">
        <v>16.564900000000002</v>
      </c>
      <c r="K2596" t="str">
        <f>IFERROR(INDEX(Rosters!$C$2:$C$155,MATCH($B2596,Rosters!$B$2:$B$155,0)),"NA")</f>
        <v>NA</v>
      </c>
      <c r="L2596" t="str">
        <f t="shared" si="120"/>
        <v>NA14WR</v>
      </c>
      <c r="M2596">
        <f>COUNTIF(L$1:L2596,L2596)</f>
        <v>11</v>
      </c>
      <c r="N2596" t="str">
        <f t="shared" si="121"/>
        <v>NA14WR-11</v>
      </c>
      <c r="O2596">
        <f>COUNTIFS(F$1:F2596,F2596,A$1:A2596,A2596)</f>
        <v>61</v>
      </c>
      <c r="P2596" t="str">
        <f t="shared" si="122"/>
        <v>Dede Westbrook14</v>
      </c>
    </row>
    <row r="2597" spans="1:16" x14ac:dyDescent="0.25">
      <c r="A2597">
        <v>10</v>
      </c>
      <c r="B2597" t="s">
        <v>147</v>
      </c>
      <c r="C2597" t="s">
        <v>7583</v>
      </c>
      <c r="D2597">
        <v>4.95</v>
      </c>
      <c r="E2597" t="s">
        <v>66</v>
      </c>
      <c r="F2597" t="s">
        <v>87</v>
      </c>
      <c r="G2597">
        <v>9.75</v>
      </c>
      <c r="H2597">
        <v>0.15</v>
      </c>
      <c r="I2597">
        <v>4.8</v>
      </c>
      <c r="J2597">
        <v>23.04</v>
      </c>
      <c r="K2597" t="str">
        <f>IFERROR(INDEX(Rosters!$C$2:$C$155,MATCH($B2597,Rosters!$B$2:$B$155,0)),"NA")</f>
        <v>NA</v>
      </c>
      <c r="L2597" t="str">
        <f t="shared" si="120"/>
        <v>NA10WR</v>
      </c>
      <c r="M2597">
        <f>COUNTIF(L$1:L2597,L2597)</f>
        <v>12</v>
      </c>
      <c r="N2597" t="str">
        <f t="shared" si="121"/>
        <v>NA10WR-12</v>
      </c>
      <c r="O2597">
        <f>COUNTIFS(F$1:F2597,F2597,A$1:A2597,A2597)</f>
        <v>54</v>
      </c>
      <c r="P2597" t="str">
        <f t="shared" si="122"/>
        <v>Donte Moncrief10</v>
      </c>
    </row>
    <row r="2598" spans="1:16" x14ac:dyDescent="0.25">
      <c r="A2598">
        <v>2</v>
      </c>
      <c r="B2598" t="s">
        <v>271</v>
      </c>
      <c r="C2598" t="s">
        <v>3358</v>
      </c>
      <c r="D2598">
        <v>4.95</v>
      </c>
      <c r="E2598" t="s">
        <v>25</v>
      </c>
      <c r="F2598" t="s">
        <v>87</v>
      </c>
      <c r="G2598">
        <v>9.8699999999999992</v>
      </c>
      <c r="H2598">
        <v>0.03</v>
      </c>
      <c r="I2598">
        <v>4.92</v>
      </c>
      <c r="J2598">
        <v>24.206399999999999</v>
      </c>
      <c r="K2598" t="str">
        <f>IFERROR(INDEX(Rosters!$C$2:$C$155,MATCH($B2598,Rosters!$B$2:$B$155,0)),"NA")</f>
        <v>matty</v>
      </c>
      <c r="L2598" t="str">
        <f t="shared" si="120"/>
        <v>matty2WR</v>
      </c>
      <c r="M2598">
        <f>COUNTIF(L$1:L2598,L2598)</f>
        <v>5</v>
      </c>
      <c r="N2598" t="str">
        <f t="shared" si="121"/>
        <v>matty2WR-5</v>
      </c>
      <c r="O2598">
        <f>COUNTIFS(F$1:F2598,F2598,A$1:A2598,A2598)</f>
        <v>54</v>
      </c>
      <c r="P2598" t="str">
        <f t="shared" si="122"/>
        <v>Geronimo Allison2</v>
      </c>
    </row>
    <row r="2599" spans="1:16" x14ac:dyDescent="0.25">
      <c r="A2599">
        <v>1</v>
      </c>
      <c r="B2599" t="s">
        <v>101</v>
      </c>
      <c r="C2599" t="s">
        <v>1410</v>
      </c>
      <c r="D2599">
        <v>4.9400000000000004</v>
      </c>
      <c r="E2599" t="s">
        <v>56</v>
      </c>
      <c r="F2599" t="s">
        <v>47</v>
      </c>
      <c r="G2599">
        <v>9.2200000000000006</v>
      </c>
      <c r="H2599">
        <v>0.66</v>
      </c>
      <c r="I2599">
        <v>4.28</v>
      </c>
      <c r="J2599">
        <v>18.3184</v>
      </c>
      <c r="K2599" t="str">
        <f>IFERROR(INDEX(Rosters!$C$2:$C$155,MATCH($B2599,Rosters!$B$2:$B$155,0)),"NA")</f>
        <v>NA</v>
      </c>
      <c r="L2599" t="str">
        <f t="shared" si="120"/>
        <v>NA1RB</v>
      </c>
      <c r="M2599">
        <f>COUNTIF(L$1:L2599,L2599)</f>
        <v>10</v>
      </c>
      <c r="N2599" t="str">
        <f t="shared" si="121"/>
        <v>NA1RB-10</v>
      </c>
      <c r="O2599">
        <f>COUNTIFS(F$1:F2599,F2599,A$1:A2599,A2599)</f>
        <v>48</v>
      </c>
      <c r="P2599" t="str">
        <f t="shared" si="122"/>
        <v>Doug Martin1</v>
      </c>
    </row>
    <row r="2600" spans="1:16" x14ac:dyDescent="0.25">
      <c r="A2600">
        <v>5</v>
      </c>
      <c r="B2600" t="s">
        <v>101</v>
      </c>
      <c r="C2600" t="s">
        <v>7584</v>
      </c>
      <c r="D2600">
        <v>4.9400000000000004</v>
      </c>
      <c r="E2600" t="s">
        <v>37</v>
      </c>
      <c r="F2600" t="s">
        <v>47</v>
      </c>
      <c r="G2600">
        <v>8</v>
      </c>
      <c r="H2600">
        <v>1.88</v>
      </c>
      <c r="I2600">
        <v>3.06</v>
      </c>
      <c r="J2600">
        <v>9.3635999999999999</v>
      </c>
      <c r="K2600" t="str">
        <f>IFERROR(INDEX(Rosters!$C$2:$C$155,MATCH($B2600,Rosters!$B$2:$B$155,0)),"NA")</f>
        <v>NA</v>
      </c>
      <c r="L2600" t="str">
        <f t="shared" si="120"/>
        <v>NA5RB</v>
      </c>
      <c r="M2600">
        <f>COUNTIF(L$1:L2600,L2600)</f>
        <v>11</v>
      </c>
      <c r="N2600" t="str">
        <f t="shared" si="121"/>
        <v>NA5RB-11</v>
      </c>
      <c r="O2600">
        <f>COUNTIFS(F$1:F2600,F2600,A$1:A2600,A2600)</f>
        <v>53</v>
      </c>
      <c r="P2600" t="str">
        <f t="shared" si="122"/>
        <v>Doug Martin5</v>
      </c>
    </row>
    <row r="2601" spans="1:16" x14ac:dyDescent="0.25">
      <c r="A2601">
        <v>9</v>
      </c>
      <c r="B2601" t="s">
        <v>101</v>
      </c>
      <c r="C2601" t="s">
        <v>7585</v>
      </c>
      <c r="D2601">
        <v>4.9400000000000004</v>
      </c>
      <c r="E2601" t="s">
        <v>30</v>
      </c>
      <c r="F2601" t="s">
        <v>47</v>
      </c>
      <c r="G2601">
        <v>8.23</v>
      </c>
      <c r="H2601">
        <v>1.65</v>
      </c>
      <c r="I2601">
        <v>3.29</v>
      </c>
      <c r="J2601">
        <v>10.8241</v>
      </c>
      <c r="K2601" t="str">
        <f>IFERROR(INDEX(Rosters!$C$2:$C$155,MATCH($B2601,Rosters!$B$2:$B$155,0)),"NA")</f>
        <v>NA</v>
      </c>
      <c r="L2601" t="str">
        <f t="shared" si="120"/>
        <v>NA9RB</v>
      </c>
      <c r="M2601">
        <f>COUNTIF(L$1:L2601,L2601)</f>
        <v>9</v>
      </c>
      <c r="N2601" t="str">
        <f t="shared" si="121"/>
        <v>NA9RB-9</v>
      </c>
      <c r="O2601">
        <f>COUNTIFS(F$1:F2601,F2601,A$1:A2601,A2601)</f>
        <v>47</v>
      </c>
      <c r="P2601" t="str">
        <f t="shared" si="122"/>
        <v>Doug Martin9</v>
      </c>
    </row>
    <row r="2602" spans="1:16" x14ac:dyDescent="0.25">
      <c r="A2602">
        <v>15</v>
      </c>
      <c r="B2602" t="s">
        <v>101</v>
      </c>
      <c r="C2602" t="s">
        <v>7586</v>
      </c>
      <c r="D2602">
        <v>4.9400000000000004</v>
      </c>
      <c r="E2602" t="s">
        <v>31</v>
      </c>
      <c r="F2602" t="s">
        <v>47</v>
      </c>
      <c r="G2602">
        <v>7.99</v>
      </c>
      <c r="H2602">
        <v>1.89</v>
      </c>
      <c r="I2602">
        <v>3.05</v>
      </c>
      <c r="J2602">
        <v>9.3025000000000002</v>
      </c>
      <c r="K2602" t="str">
        <f>IFERROR(INDEX(Rosters!$C$2:$C$155,MATCH($B2602,Rosters!$B$2:$B$155,0)),"NA")</f>
        <v>NA</v>
      </c>
      <c r="L2602" t="str">
        <f t="shared" si="120"/>
        <v>NA15RB</v>
      </c>
      <c r="M2602">
        <f>COUNTIF(L$1:L2602,L2602)</f>
        <v>12</v>
      </c>
      <c r="N2602" t="str">
        <f t="shared" si="121"/>
        <v>NA15RB-12</v>
      </c>
      <c r="O2602">
        <f>COUNTIFS(F$1:F2602,F2602,A$1:A2602,A2602)</f>
        <v>57</v>
      </c>
      <c r="P2602" t="str">
        <f t="shared" si="122"/>
        <v>Doug Martin15</v>
      </c>
    </row>
    <row r="2603" spans="1:16" x14ac:dyDescent="0.25">
      <c r="A2603">
        <v>13</v>
      </c>
      <c r="B2603" t="s">
        <v>156</v>
      </c>
      <c r="C2603" t="s">
        <v>7587</v>
      </c>
      <c r="D2603">
        <v>4.9400000000000004</v>
      </c>
      <c r="E2603" t="s">
        <v>24</v>
      </c>
      <c r="F2603" t="s">
        <v>87</v>
      </c>
      <c r="G2603">
        <v>8.1999999999999993</v>
      </c>
      <c r="H2603">
        <v>1.68</v>
      </c>
      <c r="I2603">
        <v>3.26</v>
      </c>
      <c r="J2603">
        <v>10.627599999999999</v>
      </c>
      <c r="K2603" t="str">
        <f>IFERROR(INDEX(Rosters!$C$2:$C$155,MATCH($B2603,Rosters!$B$2:$B$155,0)),"NA")</f>
        <v>NA</v>
      </c>
      <c r="L2603" t="str">
        <f t="shared" si="120"/>
        <v>NA13WR</v>
      </c>
      <c r="M2603">
        <f>COUNTIF(L$1:L2603,L2603)</f>
        <v>15</v>
      </c>
      <c r="N2603" t="str">
        <f t="shared" si="121"/>
        <v>NA13WR-15</v>
      </c>
      <c r="O2603">
        <f>COUNTIFS(F$1:F2603,F2603,A$1:A2603,A2603)</f>
        <v>65</v>
      </c>
      <c r="P2603" t="str">
        <f t="shared" si="122"/>
        <v>Martavis Bryant13</v>
      </c>
    </row>
    <row r="2604" spans="1:16" x14ac:dyDescent="0.25">
      <c r="A2604">
        <v>13</v>
      </c>
      <c r="B2604" t="s">
        <v>381</v>
      </c>
      <c r="C2604" t="s">
        <v>7588</v>
      </c>
      <c r="D2604">
        <v>4.9400000000000004</v>
      </c>
      <c r="E2604" t="s">
        <v>76</v>
      </c>
      <c r="F2604" t="s">
        <v>87</v>
      </c>
      <c r="G2604">
        <v>8.7899999999999991</v>
      </c>
      <c r="H2604">
        <v>1.0900000000000001</v>
      </c>
      <c r="I2604">
        <v>3.85</v>
      </c>
      <c r="J2604">
        <v>14.8225</v>
      </c>
      <c r="K2604" t="str">
        <f>IFERROR(INDEX(Rosters!$C$2:$C$155,MATCH($B2604,Rosters!$B$2:$B$155,0)),"NA")</f>
        <v>perry</v>
      </c>
      <c r="L2604" t="str">
        <f t="shared" si="120"/>
        <v>perry13WR</v>
      </c>
      <c r="M2604">
        <f>COUNTIF(L$1:L2604,L2604)</f>
        <v>5</v>
      </c>
      <c r="N2604" t="str">
        <f t="shared" si="121"/>
        <v>perry13WR-5</v>
      </c>
      <c r="O2604">
        <f>COUNTIFS(F$1:F2604,F2604,A$1:A2604,A2604)</f>
        <v>66</v>
      </c>
      <c r="P2604" t="str">
        <f t="shared" si="122"/>
        <v>Ryan Grant13</v>
      </c>
    </row>
    <row r="2605" spans="1:16" x14ac:dyDescent="0.25">
      <c r="A2605">
        <v>11</v>
      </c>
      <c r="B2605" t="s">
        <v>261</v>
      </c>
      <c r="C2605" t="s">
        <v>7589</v>
      </c>
      <c r="D2605">
        <v>4.93</v>
      </c>
      <c r="E2605" t="s">
        <v>50</v>
      </c>
      <c r="F2605" t="s">
        <v>114</v>
      </c>
      <c r="G2605">
        <v>8.85</v>
      </c>
      <c r="H2605">
        <v>1.01</v>
      </c>
      <c r="I2605">
        <v>3.92</v>
      </c>
      <c r="J2605">
        <v>15.366400000000001</v>
      </c>
      <c r="K2605" t="str">
        <f>IFERROR(INDEX(Rosters!$C$2:$C$155,MATCH($B2605,Rosters!$B$2:$B$155,0)),"NA")</f>
        <v>NA</v>
      </c>
      <c r="L2605" t="str">
        <f t="shared" si="120"/>
        <v>NA11TE</v>
      </c>
      <c r="M2605">
        <f>COUNTIF(L$1:L2605,L2605)</f>
        <v>4</v>
      </c>
      <c r="N2605" t="str">
        <f t="shared" si="121"/>
        <v>NA11TE-4</v>
      </c>
      <c r="O2605">
        <f>COUNTIFS(F$1:F2605,F2605,A$1:A2605,A2605)</f>
        <v>14</v>
      </c>
      <c r="P2605" t="str">
        <f t="shared" si="122"/>
        <v>Benjamin Watson11</v>
      </c>
    </row>
    <row r="2606" spans="1:16" x14ac:dyDescent="0.25">
      <c r="A2606">
        <v>7</v>
      </c>
      <c r="B2606" t="s">
        <v>189</v>
      </c>
      <c r="C2606" t="s">
        <v>7590</v>
      </c>
      <c r="D2606">
        <v>4.93</v>
      </c>
      <c r="E2606" t="s">
        <v>29</v>
      </c>
      <c r="F2606" t="s">
        <v>114</v>
      </c>
      <c r="G2606">
        <v>9.35</v>
      </c>
      <c r="H2606">
        <v>0.51</v>
      </c>
      <c r="I2606">
        <v>4.42</v>
      </c>
      <c r="J2606">
        <v>19.5364</v>
      </c>
      <c r="K2606" t="str">
        <f>IFERROR(INDEX(Rosters!$C$2:$C$155,MATCH($B2606,Rosters!$B$2:$B$155,0)),"NA")</f>
        <v>NA</v>
      </c>
      <c r="L2606" t="str">
        <f t="shared" si="120"/>
        <v>NA7TE</v>
      </c>
      <c r="M2606">
        <f>COUNTIF(L$1:L2606,L2606)</f>
        <v>3</v>
      </c>
      <c r="N2606" t="str">
        <f t="shared" si="121"/>
        <v>NA7TE-3</v>
      </c>
      <c r="O2606">
        <f>COUNTIFS(F$1:F2606,F2606,A$1:A2606,A2606)</f>
        <v>11</v>
      </c>
      <c r="P2606" t="str">
        <f t="shared" si="122"/>
        <v>Jack Doyle7</v>
      </c>
    </row>
    <row r="2607" spans="1:16" x14ac:dyDescent="0.25">
      <c r="A2607">
        <v>15</v>
      </c>
      <c r="B2607" t="s">
        <v>189</v>
      </c>
      <c r="C2607" t="s">
        <v>7591</v>
      </c>
      <c r="D2607">
        <v>4.93</v>
      </c>
      <c r="E2607" t="s">
        <v>22</v>
      </c>
      <c r="F2607" t="s">
        <v>114</v>
      </c>
      <c r="G2607">
        <v>9.31</v>
      </c>
      <c r="H2607">
        <v>0.55000000000000004</v>
      </c>
      <c r="I2607">
        <v>4.38</v>
      </c>
      <c r="J2607">
        <v>19.1844</v>
      </c>
      <c r="K2607" t="str">
        <f>IFERROR(INDEX(Rosters!$C$2:$C$155,MATCH($B2607,Rosters!$B$2:$B$155,0)),"NA")</f>
        <v>NA</v>
      </c>
      <c r="L2607" t="str">
        <f t="shared" si="120"/>
        <v>NA15TE</v>
      </c>
      <c r="M2607">
        <f>COUNTIF(L$1:L2607,L2607)</f>
        <v>2</v>
      </c>
      <c r="N2607" t="str">
        <f t="shared" si="121"/>
        <v>NA15TE-2</v>
      </c>
      <c r="O2607">
        <f>COUNTIFS(F$1:F2607,F2607,A$1:A2607,A2607)</f>
        <v>14</v>
      </c>
      <c r="P2607" t="str">
        <f t="shared" si="122"/>
        <v>Jack Doyle15</v>
      </c>
    </row>
    <row r="2608" spans="1:16" x14ac:dyDescent="0.25">
      <c r="A2608">
        <v>10</v>
      </c>
      <c r="B2608" t="s">
        <v>239</v>
      </c>
      <c r="C2608">
        <f>-0.18-10.04</f>
        <v>-10.219999999999999</v>
      </c>
      <c r="D2608">
        <v>4.93</v>
      </c>
      <c r="E2608" t="s">
        <v>14</v>
      </c>
      <c r="F2608" t="s">
        <v>87</v>
      </c>
      <c r="G2608">
        <v>10.039999999999999</v>
      </c>
      <c r="H2608">
        <v>-0.18</v>
      </c>
      <c r="I2608">
        <v>5.1100000000000003</v>
      </c>
      <c r="J2608">
        <v>26.112100000000002</v>
      </c>
      <c r="K2608" t="str">
        <f>IFERROR(INDEX(Rosters!$C$2:$C$155,MATCH($B2608,Rosters!$B$2:$B$155,0)),"NA")</f>
        <v>NA</v>
      </c>
      <c r="L2608" t="str">
        <f t="shared" si="120"/>
        <v>NA10WR</v>
      </c>
      <c r="M2608">
        <f>COUNTIF(L$1:L2608,L2608)</f>
        <v>13</v>
      </c>
      <c r="N2608" t="str">
        <f t="shared" si="121"/>
        <v>NA10WR-13</v>
      </c>
      <c r="O2608">
        <f>COUNTIFS(F$1:F2608,F2608,A$1:A2608,A2608)</f>
        <v>55</v>
      </c>
      <c r="P2608" t="str">
        <f t="shared" si="122"/>
        <v>John Ross10</v>
      </c>
    </row>
    <row r="2609" spans="1:16" x14ac:dyDescent="0.25">
      <c r="A2609">
        <v>2</v>
      </c>
      <c r="B2609" t="s">
        <v>381</v>
      </c>
      <c r="C2609">
        <f>-0.11-9.97</f>
        <v>-10.08</v>
      </c>
      <c r="D2609">
        <v>4.93</v>
      </c>
      <c r="E2609" t="s">
        <v>60</v>
      </c>
      <c r="F2609" t="s">
        <v>87</v>
      </c>
      <c r="G2609">
        <v>9.9700000000000006</v>
      </c>
      <c r="H2609">
        <v>-0.11</v>
      </c>
      <c r="I2609">
        <v>5.04</v>
      </c>
      <c r="J2609">
        <v>25.401599999999998</v>
      </c>
      <c r="K2609" t="str">
        <f>IFERROR(INDEX(Rosters!$C$2:$C$155,MATCH($B2609,Rosters!$B$2:$B$155,0)),"NA")</f>
        <v>perry</v>
      </c>
      <c r="L2609" t="str">
        <f t="shared" si="120"/>
        <v>perry2WR</v>
      </c>
      <c r="M2609">
        <f>COUNTIF(L$1:L2609,L2609)</f>
        <v>5</v>
      </c>
      <c r="N2609" t="str">
        <f t="shared" si="121"/>
        <v>perry2WR-5</v>
      </c>
      <c r="O2609">
        <f>COUNTIFS(F$1:F2609,F2609,A$1:A2609,A2609)</f>
        <v>55</v>
      </c>
      <c r="P2609" t="str">
        <f t="shared" si="122"/>
        <v>Ryan Grant2</v>
      </c>
    </row>
    <row r="2610" spans="1:16" x14ac:dyDescent="0.25">
      <c r="A2610">
        <v>2</v>
      </c>
      <c r="B2610" t="s">
        <v>252</v>
      </c>
      <c r="C2610" t="s">
        <v>1411</v>
      </c>
      <c r="D2610">
        <v>4.92</v>
      </c>
      <c r="E2610" t="s">
        <v>54</v>
      </c>
      <c r="F2610" t="s">
        <v>87</v>
      </c>
      <c r="G2610">
        <v>8.9600000000000009</v>
      </c>
      <c r="H2610">
        <v>0.88</v>
      </c>
      <c r="I2610">
        <v>4.04</v>
      </c>
      <c r="J2610">
        <v>16.3216</v>
      </c>
      <c r="K2610" t="str">
        <f>IFERROR(INDEX(Rosters!$C$2:$C$155,MATCH($B2610,Rosters!$B$2:$B$155,0)),"NA")</f>
        <v>NA</v>
      </c>
      <c r="L2610" t="str">
        <f t="shared" si="120"/>
        <v>NA2WR</v>
      </c>
      <c r="M2610">
        <f>COUNTIF(L$1:L2610,L2610)</f>
        <v>13</v>
      </c>
      <c r="N2610" t="str">
        <f t="shared" si="121"/>
        <v>NA2WR-13</v>
      </c>
      <c r="O2610">
        <f>COUNTIFS(F$1:F2610,F2610,A$1:A2610,A2610)</f>
        <v>56</v>
      </c>
      <c r="P2610" t="str">
        <f t="shared" si="122"/>
        <v>Allen Hurns2</v>
      </c>
    </row>
    <row r="2611" spans="1:16" x14ac:dyDescent="0.25">
      <c r="A2611">
        <v>6</v>
      </c>
      <c r="B2611" t="s">
        <v>255</v>
      </c>
      <c r="C2611" t="s">
        <v>7592</v>
      </c>
      <c r="D2611">
        <v>4.92</v>
      </c>
      <c r="E2611" t="s">
        <v>41</v>
      </c>
      <c r="F2611" t="s">
        <v>87</v>
      </c>
      <c r="G2611">
        <v>9.1300000000000008</v>
      </c>
      <c r="H2611">
        <v>0.71</v>
      </c>
      <c r="I2611">
        <v>4.21</v>
      </c>
      <c r="J2611">
        <v>17.7241</v>
      </c>
      <c r="K2611" t="str">
        <f>IFERROR(INDEX(Rosters!$C$2:$C$155,MATCH($B2611,Rosters!$B$2:$B$155,0)),"NA")</f>
        <v>NA</v>
      </c>
      <c r="L2611" t="str">
        <f t="shared" si="120"/>
        <v>NA6WR</v>
      </c>
      <c r="M2611">
        <f>COUNTIF(L$1:L2611,L2611)</f>
        <v>13</v>
      </c>
      <c r="N2611" t="str">
        <f t="shared" si="121"/>
        <v>NA6WR-13</v>
      </c>
      <c r="O2611">
        <f>COUNTIFS(F$1:F2611,F2611,A$1:A2611,A2611)</f>
        <v>58</v>
      </c>
      <c r="P2611" t="str">
        <f t="shared" si="122"/>
        <v>Marquise Goodwin6</v>
      </c>
    </row>
    <row r="2612" spans="1:16" x14ac:dyDescent="0.25">
      <c r="A2612">
        <v>11</v>
      </c>
      <c r="B2612" t="s">
        <v>194</v>
      </c>
      <c r="C2612" t="s">
        <v>7593</v>
      </c>
      <c r="D2612">
        <v>4.92</v>
      </c>
      <c r="E2612" t="s">
        <v>22</v>
      </c>
      <c r="F2612" t="s">
        <v>87</v>
      </c>
      <c r="G2612">
        <v>8.36</v>
      </c>
      <c r="H2612">
        <v>1.48</v>
      </c>
      <c r="I2612">
        <v>3.44</v>
      </c>
      <c r="J2612">
        <v>11.833600000000001</v>
      </c>
      <c r="K2612" t="str">
        <f>IFERROR(INDEX(Rosters!$C$2:$C$155,MATCH($B2612,Rosters!$B$2:$B$155,0)),"NA")</f>
        <v>NA</v>
      </c>
      <c r="L2612" t="str">
        <f t="shared" si="120"/>
        <v>NA11WR</v>
      </c>
      <c r="M2612">
        <f>COUNTIF(L$1:L2612,L2612)</f>
        <v>9</v>
      </c>
      <c r="N2612" t="str">
        <f t="shared" si="121"/>
        <v>NA11WR-9</v>
      </c>
      <c r="O2612">
        <f>COUNTIFS(F$1:F2612,F2612,A$1:A2612,A2612)</f>
        <v>54</v>
      </c>
      <c r="P2612" t="str">
        <f t="shared" si="122"/>
        <v>Mohamed Sanu11</v>
      </c>
    </row>
    <row r="2613" spans="1:16" x14ac:dyDescent="0.25">
      <c r="A2613">
        <v>3</v>
      </c>
      <c r="B2613" t="s">
        <v>1404</v>
      </c>
      <c r="C2613" t="s">
        <v>3738</v>
      </c>
      <c r="D2613">
        <v>4.92</v>
      </c>
      <c r="E2613" t="s">
        <v>30</v>
      </c>
      <c r="F2613" t="s">
        <v>47</v>
      </c>
      <c r="G2613">
        <v>8.99</v>
      </c>
      <c r="H2613">
        <v>0.85</v>
      </c>
      <c r="I2613">
        <v>4.07</v>
      </c>
      <c r="J2613">
        <v>16.564900000000002</v>
      </c>
      <c r="K2613" t="str">
        <f>IFERROR(INDEX(Rosters!$C$2:$C$155,MATCH($B2613,Rosters!$B$2:$B$155,0)),"NA")</f>
        <v>NA</v>
      </c>
      <c r="L2613" t="str">
        <f t="shared" si="120"/>
        <v>NA3RB</v>
      </c>
      <c r="M2613">
        <f>COUNTIF(L$1:L2613,L2613)</f>
        <v>18</v>
      </c>
      <c r="N2613" t="str">
        <f t="shared" si="121"/>
        <v>NA3RB-18</v>
      </c>
      <c r="O2613">
        <f>COUNTIFS(F$1:F2613,F2613,A$1:A2613,A2613)</f>
        <v>54</v>
      </c>
      <c r="P2613" t="str">
        <f t="shared" si="122"/>
        <v>Spencer Ware3</v>
      </c>
    </row>
    <row r="2614" spans="1:16" x14ac:dyDescent="0.25">
      <c r="A2614">
        <v>13</v>
      </c>
      <c r="B2614" t="s">
        <v>1425</v>
      </c>
      <c r="C2614" t="s">
        <v>7594</v>
      </c>
      <c r="D2614">
        <v>4.91</v>
      </c>
      <c r="E2614" t="s">
        <v>31</v>
      </c>
      <c r="F2614" t="s">
        <v>87</v>
      </c>
      <c r="G2614">
        <v>8.94</v>
      </c>
      <c r="H2614">
        <v>0.88</v>
      </c>
      <c r="I2614">
        <v>4.03</v>
      </c>
      <c r="J2614">
        <v>16.2409</v>
      </c>
      <c r="K2614" t="str">
        <f>IFERROR(INDEX(Rosters!$C$2:$C$155,MATCH($B2614,Rosters!$B$2:$B$155,0)),"NA")</f>
        <v>NA</v>
      </c>
      <c r="L2614" t="str">
        <f t="shared" si="120"/>
        <v>NA13WR</v>
      </c>
      <c r="M2614">
        <f>COUNTIF(L$1:L2614,L2614)</f>
        <v>16</v>
      </c>
      <c r="N2614" t="str">
        <f t="shared" si="121"/>
        <v>NA13WR-16</v>
      </c>
      <c r="O2614">
        <f>COUNTIFS(F$1:F2614,F2614,A$1:A2614,A2614)</f>
        <v>67</v>
      </c>
      <c r="P2614" t="str">
        <f t="shared" si="122"/>
        <v>Courtland Sutton13</v>
      </c>
    </row>
    <row r="2615" spans="1:16" x14ac:dyDescent="0.25">
      <c r="A2615">
        <v>5</v>
      </c>
      <c r="B2615" t="s">
        <v>226</v>
      </c>
      <c r="C2615" t="s">
        <v>7595</v>
      </c>
      <c r="D2615">
        <v>4.91</v>
      </c>
      <c r="E2615" t="s">
        <v>32</v>
      </c>
      <c r="F2615" t="s">
        <v>87</v>
      </c>
      <c r="G2615">
        <v>9.43</v>
      </c>
      <c r="H2615">
        <v>0.39</v>
      </c>
      <c r="I2615">
        <v>4.5199999999999996</v>
      </c>
      <c r="J2615">
        <v>20.430399999999999</v>
      </c>
      <c r="K2615" t="str">
        <f>IFERROR(INDEX(Rosters!$C$2:$C$155,MATCH($B2615,Rosters!$B$2:$B$155,0)),"NA")</f>
        <v>comp</v>
      </c>
      <c r="L2615" t="str">
        <f t="shared" si="120"/>
        <v>comp5WR</v>
      </c>
      <c r="M2615">
        <f>COUNTIF(L$1:L2615,L2615)</f>
        <v>6</v>
      </c>
      <c r="N2615" t="str">
        <f t="shared" si="121"/>
        <v>comp5WR-6</v>
      </c>
      <c r="O2615">
        <f>COUNTIFS(F$1:F2615,F2615,A$1:A2615,A2615)</f>
        <v>62</v>
      </c>
      <c r="P2615" t="str">
        <f t="shared" si="122"/>
        <v>Mike Williams5</v>
      </c>
    </row>
    <row r="2616" spans="1:16" x14ac:dyDescent="0.25">
      <c r="A2616">
        <v>9</v>
      </c>
      <c r="B2616" t="s">
        <v>313</v>
      </c>
      <c r="C2616" t="s">
        <v>7596</v>
      </c>
      <c r="D2616">
        <v>4.91</v>
      </c>
      <c r="E2616" t="s">
        <v>29</v>
      </c>
      <c r="F2616" t="s">
        <v>114</v>
      </c>
      <c r="G2616">
        <v>8.65</v>
      </c>
      <c r="H2616">
        <v>1.17</v>
      </c>
      <c r="I2616">
        <v>3.74</v>
      </c>
      <c r="J2616">
        <v>13.9876</v>
      </c>
      <c r="K2616" t="str">
        <f>IFERROR(INDEX(Rosters!$C$2:$C$155,MATCH($B2616,Rosters!$B$2:$B$155,0)),"NA")</f>
        <v>comp</v>
      </c>
      <c r="L2616" t="str">
        <f t="shared" si="120"/>
        <v>comp9TE</v>
      </c>
      <c r="M2616">
        <f>COUNTIF(L$1:L2616,L2616)</f>
        <v>1</v>
      </c>
      <c r="N2616" t="str">
        <f t="shared" si="121"/>
        <v>comp9TE-1</v>
      </c>
      <c r="O2616">
        <f>COUNTIFS(F$1:F2616,F2616,A$1:A2616,A2616)</f>
        <v>11</v>
      </c>
      <c r="P2616" t="str">
        <f t="shared" si="122"/>
        <v>Trey Burton9</v>
      </c>
    </row>
    <row r="2617" spans="1:16" x14ac:dyDescent="0.25">
      <c r="A2617">
        <v>14</v>
      </c>
      <c r="B2617" t="s">
        <v>313</v>
      </c>
      <c r="C2617" t="s">
        <v>7597</v>
      </c>
      <c r="D2617">
        <v>4.91</v>
      </c>
      <c r="E2617" t="s">
        <v>56</v>
      </c>
      <c r="F2617" t="s">
        <v>114</v>
      </c>
      <c r="G2617">
        <v>8.77</v>
      </c>
      <c r="H2617">
        <v>1.05</v>
      </c>
      <c r="I2617">
        <v>3.86</v>
      </c>
      <c r="J2617">
        <v>14.8996</v>
      </c>
      <c r="K2617" t="str">
        <f>IFERROR(INDEX(Rosters!$C$2:$C$155,MATCH($B2617,Rosters!$B$2:$B$155,0)),"NA")</f>
        <v>comp</v>
      </c>
      <c r="L2617" t="str">
        <f t="shared" si="120"/>
        <v>comp14TE</v>
      </c>
      <c r="M2617">
        <f>COUNTIF(L$1:L2617,L2617)</f>
        <v>2</v>
      </c>
      <c r="N2617" t="str">
        <f t="shared" si="121"/>
        <v>comp14TE-2</v>
      </c>
      <c r="O2617">
        <f>COUNTIFS(F$1:F2617,F2617,A$1:A2617,A2617)</f>
        <v>16</v>
      </c>
      <c r="P2617" t="str">
        <f t="shared" si="122"/>
        <v>Trey Burton14</v>
      </c>
    </row>
    <row r="2618" spans="1:16" x14ac:dyDescent="0.25">
      <c r="A2618">
        <v>17</v>
      </c>
      <c r="B2618" t="s">
        <v>214</v>
      </c>
      <c r="C2618" t="s">
        <v>7598</v>
      </c>
      <c r="D2618">
        <v>4.91</v>
      </c>
      <c r="E2618" t="s">
        <v>31</v>
      </c>
      <c r="F2618" t="s">
        <v>114</v>
      </c>
      <c r="G2618">
        <v>9.25</v>
      </c>
      <c r="H2618">
        <v>0.56999999999999995</v>
      </c>
      <c r="I2618">
        <v>4.34</v>
      </c>
      <c r="J2618">
        <v>18.835599999999999</v>
      </c>
      <c r="K2618" t="str">
        <f>IFERROR(INDEX(Rosters!$C$2:$C$155,MATCH($B2618,Rosters!$B$2:$B$155,0)),"NA")</f>
        <v>scott</v>
      </c>
      <c r="L2618" t="str">
        <f t="shared" si="120"/>
        <v>scott17TE</v>
      </c>
      <c r="M2618">
        <f>COUNTIF(L$1:L2618,L2618)</f>
        <v>2</v>
      </c>
      <c r="N2618" t="str">
        <f t="shared" si="121"/>
        <v>scott17TE-2</v>
      </c>
      <c r="O2618">
        <f>COUNTIFS(F$1:F2618,F2618,A$1:A2618,A2618)</f>
        <v>16</v>
      </c>
      <c r="P2618" t="str">
        <f t="shared" si="122"/>
        <v>Vance McDonald17</v>
      </c>
    </row>
    <row r="2619" spans="1:16" x14ac:dyDescent="0.25">
      <c r="A2619">
        <v>5</v>
      </c>
      <c r="B2619" t="s">
        <v>252</v>
      </c>
      <c r="C2619" t="s">
        <v>7599</v>
      </c>
      <c r="D2619">
        <v>4.9000000000000004</v>
      </c>
      <c r="E2619" t="s">
        <v>36</v>
      </c>
      <c r="F2619" t="s">
        <v>87</v>
      </c>
      <c r="G2619">
        <v>8.1</v>
      </c>
      <c r="H2619">
        <v>1.7</v>
      </c>
      <c r="I2619">
        <v>3.2</v>
      </c>
      <c r="J2619">
        <v>10.24</v>
      </c>
      <c r="K2619" t="str">
        <f>IFERROR(INDEX(Rosters!$C$2:$C$155,MATCH($B2619,Rosters!$B$2:$B$155,0)),"NA")</f>
        <v>NA</v>
      </c>
      <c r="L2619" t="str">
        <f t="shared" si="120"/>
        <v>NA5WR</v>
      </c>
      <c r="M2619">
        <f>COUNTIF(L$1:L2619,L2619)</f>
        <v>18</v>
      </c>
      <c r="N2619" t="str">
        <f t="shared" si="121"/>
        <v>NA5WR-18</v>
      </c>
      <c r="O2619">
        <f>COUNTIFS(F$1:F2619,F2619,A$1:A2619,A2619)</f>
        <v>63</v>
      </c>
      <c r="P2619" t="str">
        <f t="shared" si="122"/>
        <v>Allen Hurns5</v>
      </c>
    </row>
    <row r="2620" spans="1:16" x14ac:dyDescent="0.25">
      <c r="A2620">
        <v>7</v>
      </c>
      <c r="B2620" t="s">
        <v>175</v>
      </c>
      <c r="C2620" t="s">
        <v>7600</v>
      </c>
      <c r="D2620">
        <v>4.9000000000000004</v>
      </c>
      <c r="E2620" t="s">
        <v>34</v>
      </c>
      <c r="F2620" t="s">
        <v>87</v>
      </c>
      <c r="G2620">
        <v>9.4700000000000006</v>
      </c>
      <c r="H2620">
        <v>0.33</v>
      </c>
      <c r="I2620">
        <v>4.57</v>
      </c>
      <c r="J2620">
        <v>20.884899999999998</v>
      </c>
      <c r="K2620" t="str">
        <f>IFERROR(INDEX(Rosters!$C$2:$C$155,MATCH($B2620,Rosters!$B$2:$B$155,0)),"NA")</f>
        <v>NA</v>
      </c>
      <c r="L2620" t="str">
        <f t="shared" si="120"/>
        <v>NA7WR</v>
      </c>
      <c r="M2620">
        <f>COUNTIF(L$1:L2620,L2620)</f>
        <v>14</v>
      </c>
      <c r="N2620" t="str">
        <f t="shared" si="121"/>
        <v>NA7WR-14</v>
      </c>
      <c r="O2620">
        <f>COUNTIFS(F$1:F2620,F2620,A$1:A2620,A2620)</f>
        <v>55</v>
      </c>
      <c r="P2620" t="str">
        <f t="shared" si="122"/>
        <v>DeVante Parker7</v>
      </c>
    </row>
    <row r="2621" spans="1:16" x14ac:dyDescent="0.25">
      <c r="A2621">
        <v>3</v>
      </c>
      <c r="B2621" t="s">
        <v>299</v>
      </c>
      <c r="C2621" t="s">
        <v>3739</v>
      </c>
      <c r="D2621">
        <v>4.9000000000000004</v>
      </c>
      <c r="E2621" t="s">
        <v>17</v>
      </c>
      <c r="F2621" t="s">
        <v>114</v>
      </c>
      <c r="G2621">
        <v>8.4700000000000006</v>
      </c>
      <c r="H2621">
        <v>1.33</v>
      </c>
      <c r="I2621">
        <v>3.57</v>
      </c>
      <c r="J2621">
        <v>12.744899999999999</v>
      </c>
      <c r="K2621" t="str">
        <f>IFERROR(INDEX(Rosters!$C$2:$C$155,MATCH($B2621,Rosters!$B$2:$B$155,0)),"NA")</f>
        <v>NA</v>
      </c>
      <c r="L2621" t="str">
        <f t="shared" si="120"/>
        <v>NA3TE</v>
      </c>
      <c r="M2621">
        <f>COUNTIF(L$1:L2621,L2621)</f>
        <v>3</v>
      </c>
      <c r="N2621" t="str">
        <f t="shared" si="121"/>
        <v>NA3TE-3</v>
      </c>
      <c r="O2621">
        <f>COUNTIFS(F$1:F2621,F2621,A$1:A2621,A2621)</f>
        <v>14</v>
      </c>
      <c r="P2621" t="str">
        <f t="shared" si="122"/>
        <v>Jesse James3</v>
      </c>
    </row>
    <row r="2622" spans="1:16" x14ac:dyDescent="0.25">
      <c r="A2622">
        <v>1</v>
      </c>
      <c r="B2622" t="s">
        <v>243</v>
      </c>
      <c r="C2622" t="s">
        <v>1742</v>
      </c>
      <c r="D2622">
        <v>4.9000000000000004</v>
      </c>
      <c r="E2622" t="s">
        <v>36</v>
      </c>
      <c r="F2622" t="s">
        <v>87</v>
      </c>
      <c r="G2622">
        <v>9.34</v>
      </c>
      <c r="H2622">
        <v>0.46</v>
      </c>
      <c r="I2622">
        <v>4.4400000000000004</v>
      </c>
      <c r="J2622">
        <v>19.7136</v>
      </c>
      <c r="K2622" t="str">
        <f>IFERROR(INDEX(Rosters!$C$2:$C$155,MATCH($B2622,Rosters!$B$2:$B$155,0)),"NA")</f>
        <v>NA</v>
      </c>
      <c r="L2622" t="str">
        <f t="shared" si="120"/>
        <v>NA1WR</v>
      </c>
      <c r="M2622">
        <f>COUNTIF(L$1:L2622,L2622)</f>
        <v>13</v>
      </c>
      <c r="N2622" t="str">
        <f t="shared" si="121"/>
        <v>NA1WR-13</v>
      </c>
      <c r="O2622">
        <f>COUNTIFS(F$1:F2622,F2622,A$1:A2622,A2622)</f>
        <v>56</v>
      </c>
      <c r="P2622" t="str">
        <f t="shared" si="122"/>
        <v>Phillip Dorsett1</v>
      </c>
    </row>
    <row r="2623" spans="1:16" x14ac:dyDescent="0.25">
      <c r="A2623">
        <v>16</v>
      </c>
      <c r="B2623" t="s">
        <v>237</v>
      </c>
      <c r="C2623" t="s">
        <v>7601</v>
      </c>
      <c r="D2623">
        <v>4.9000000000000004</v>
      </c>
      <c r="E2623" t="s">
        <v>30</v>
      </c>
      <c r="F2623" t="s">
        <v>87</v>
      </c>
      <c r="G2623">
        <v>9.06</v>
      </c>
      <c r="H2623">
        <v>0.74</v>
      </c>
      <c r="I2623">
        <v>4.16</v>
      </c>
      <c r="J2623">
        <v>17.305599999999998</v>
      </c>
      <c r="K2623" t="str">
        <f>IFERROR(INDEX(Rosters!$C$2:$C$155,MATCH($B2623,Rosters!$B$2:$B$155,0)),"NA")</f>
        <v>NA</v>
      </c>
      <c r="L2623" t="str">
        <f t="shared" si="120"/>
        <v>NA16WR</v>
      </c>
      <c r="M2623">
        <f>COUNTIF(L$1:L2623,L2623)</f>
        <v>14</v>
      </c>
      <c r="N2623" t="str">
        <f t="shared" si="121"/>
        <v>NA16WR-14</v>
      </c>
      <c r="O2623">
        <f>COUNTIFS(F$1:F2623,F2623,A$1:A2623,A2623)</f>
        <v>64</v>
      </c>
      <c r="P2623" t="str">
        <f t="shared" si="122"/>
        <v>Taylor Gabriel16</v>
      </c>
    </row>
    <row r="2624" spans="1:16" x14ac:dyDescent="0.25">
      <c r="A2624">
        <v>10</v>
      </c>
      <c r="B2624" t="s">
        <v>313</v>
      </c>
      <c r="C2624" t="s">
        <v>7602</v>
      </c>
      <c r="D2624">
        <v>4.9000000000000004</v>
      </c>
      <c r="E2624" t="s">
        <v>34</v>
      </c>
      <c r="F2624" t="s">
        <v>114</v>
      </c>
      <c r="G2624">
        <v>8.89</v>
      </c>
      <c r="H2624">
        <v>0.91</v>
      </c>
      <c r="I2624">
        <v>3.99</v>
      </c>
      <c r="J2624">
        <v>15.9201</v>
      </c>
      <c r="K2624" t="str">
        <f>IFERROR(INDEX(Rosters!$C$2:$C$155,MATCH($B2624,Rosters!$B$2:$B$155,0)),"NA")</f>
        <v>comp</v>
      </c>
      <c r="L2624" t="str">
        <f t="shared" si="120"/>
        <v>comp10TE</v>
      </c>
      <c r="M2624">
        <f>COUNTIF(L$1:L2624,L2624)</f>
        <v>2</v>
      </c>
      <c r="N2624" t="str">
        <f t="shared" si="121"/>
        <v>comp10TE-2</v>
      </c>
      <c r="O2624">
        <f>COUNTIFS(F$1:F2624,F2624,A$1:A2624,A2624)</f>
        <v>12</v>
      </c>
      <c r="P2624" t="str">
        <f t="shared" si="122"/>
        <v>Trey Burton10</v>
      </c>
    </row>
    <row r="2625" spans="1:16" x14ac:dyDescent="0.25">
      <c r="A2625">
        <v>17</v>
      </c>
      <c r="B2625" t="s">
        <v>261</v>
      </c>
      <c r="C2625" t="s">
        <v>7603</v>
      </c>
      <c r="D2625">
        <v>4.8899999999999997</v>
      </c>
      <c r="E2625" t="s">
        <v>74</v>
      </c>
      <c r="F2625" t="s">
        <v>114</v>
      </c>
      <c r="G2625">
        <v>8.85</v>
      </c>
      <c r="H2625">
        <v>0.93</v>
      </c>
      <c r="I2625">
        <v>3.96</v>
      </c>
      <c r="J2625">
        <v>15.6816</v>
      </c>
      <c r="K2625" t="str">
        <f>IFERROR(INDEX(Rosters!$C$2:$C$155,MATCH($B2625,Rosters!$B$2:$B$155,0)),"NA")</f>
        <v>NA</v>
      </c>
      <c r="L2625" t="str">
        <f t="shared" si="120"/>
        <v>NA17TE</v>
      </c>
      <c r="M2625">
        <f>COUNTIF(L$1:L2625,L2625)</f>
        <v>4</v>
      </c>
      <c r="N2625" t="str">
        <f t="shared" si="121"/>
        <v>NA17TE-4</v>
      </c>
      <c r="O2625">
        <f>COUNTIFS(F$1:F2625,F2625,A$1:A2625,A2625)</f>
        <v>17</v>
      </c>
      <c r="P2625" t="str">
        <f t="shared" si="122"/>
        <v>Benjamin Watson17</v>
      </c>
    </row>
    <row r="2626" spans="1:16" x14ac:dyDescent="0.25">
      <c r="A2626">
        <v>11</v>
      </c>
      <c r="B2626" t="s">
        <v>1425</v>
      </c>
      <c r="C2626" t="s">
        <v>7604</v>
      </c>
      <c r="D2626">
        <v>4.8899999999999997</v>
      </c>
      <c r="E2626" t="s">
        <v>37</v>
      </c>
      <c r="F2626" t="s">
        <v>87</v>
      </c>
      <c r="G2626">
        <v>9.1199999999999992</v>
      </c>
      <c r="H2626">
        <v>0.66</v>
      </c>
      <c r="I2626">
        <v>4.2300000000000004</v>
      </c>
      <c r="J2626">
        <v>17.892900000000001</v>
      </c>
      <c r="K2626" t="str">
        <f>IFERROR(INDEX(Rosters!$C$2:$C$155,MATCH($B2626,Rosters!$B$2:$B$155,0)),"NA")</f>
        <v>NA</v>
      </c>
      <c r="L2626" t="str">
        <f t="shared" si="120"/>
        <v>NA11WR</v>
      </c>
      <c r="M2626">
        <f>COUNTIF(L$1:L2626,L2626)</f>
        <v>10</v>
      </c>
      <c r="N2626" t="str">
        <f t="shared" si="121"/>
        <v>NA11WR-10</v>
      </c>
      <c r="O2626">
        <f>COUNTIFS(F$1:F2626,F2626,A$1:A2626,A2626)</f>
        <v>55</v>
      </c>
      <c r="P2626" t="str">
        <f t="shared" si="122"/>
        <v>Courtland Sutton11</v>
      </c>
    </row>
    <row r="2627" spans="1:16" x14ac:dyDescent="0.25">
      <c r="A2627">
        <v>6</v>
      </c>
      <c r="B2627" t="s">
        <v>1388</v>
      </c>
      <c r="C2627">
        <f>-0.28-10.06</f>
        <v>-10.34</v>
      </c>
      <c r="D2627">
        <v>4.8899999999999997</v>
      </c>
      <c r="E2627" t="s">
        <v>73</v>
      </c>
      <c r="F2627" t="s">
        <v>47</v>
      </c>
      <c r="G2627">
        <v>10.06</v>
      </c>
      <c r="H2627">
        <v>-0.28000000000000003</v>
      </c>
      <c r="I2627">
        <v>5.17</v>
      </c>
      <c r="J2627">
        <v>26.728899999999999</v>
      </c>
      <c r="K2627" t="str">
        <f>IFERROR(INDEX(Rosters!$C$2:$C$155,MATCH($B2627,Rosters!$B$2:$B$155,0)),"NA")</f>
        <v>NA</v>
      </c>
      <c r="L2627" t="str">
        <f t="shared" ref="L2627:L2690" si="123">K2627&amp;A2627&amp;F2627</f>
        <v>NA6RB</v>
      </c>
      <c r="M2627">
        <f>COUNTIF(L$1:L2627,L2627)</f>
        <v>13</v>
      </c>
      <c r="N2627" t="str">
        <f t="shared" ref="N2627:N2690" si="124">L2627&amp;"-"&amp;M2627</f>
        <v>NA6RB-13</v>
      </c>
      <c r="O2627">
        <f>COUNTIFS(F$1:F2627,F2627,A$1:A2627,A2627)</f>
        <v>54</v>
      </c>
      <c r="P2627" t="str">
        <f t="shared" ref="P2627:P2690" si="125">B2627&amp;A2627</f>
        <v>Jordan Wilkins6</v>
      </c>
    </row>
    <row r="2628" spans="1:16" x14ac:dyDescent="0.25">
      <c r="A2628">
        <v>5</v>
      </c>
      <c r="B2628" t="s">
        <v>194</v>
      </c>
      <c r="C2628" t="s">
        <v>7605</v>
      </c>
      <c r="D2628">
        <v>4.8899999999999997</v>
      </c>
      <c r="E2628" t="s">
        <v>51</v>
      </c>
      <c r="F2628" t="s">
        <v>87</v>
      </c>
      <c r="G2628">
        <v>8.42</v>
      </c>
      <c r="H2628">
        <v>1.36</v>
      </c>
      <c r="I2628">
        <v>3.53</v>
      </c>
      <c r="J2628">
        <v>12.460900000000001</v>
      </c>
      <c r="K2628" t="str">
        <f>IFERROR(INDEX(Rosters!$C$2:$C$155,MATCH($B2628,Rosters!$B$2:$B$155,0)),"NA")</f>
        <v>NA</v>
      </c>
      <c r="L2628" t="str">
        <f t="shared" si="123"/>
        <v>NA5WR</v>
      </c>
      <c r="M2628">
        <f>COUNTIF(L$1:L2628,L2628)</f>
        <v>19</v>
      </c>
      <c r="N2628" t="str">
        <f t="shared" si="124"/>
        <v>NA5WR-19</v>
      </c>
      <c r="O2628">
        <f>COUNTIFS(F$1:F2628,F2628,A$1:A2628,A2628)</f>
        <v>64</v>
      </c>
      <c r="P2628" t="str">
        <f t="shared" si="125"/>
        <v>Mohamed Sanu5</v>
      </c>
    </row>
    <row r="2629" spans="1:16" x14ac:dyDescent="0.25">
      <c r="A2629">
        <v>14</v>
      </c>
      <c r="B2629" t="s">
        <v>1489</v>
      </c>
      <c r="C2629">
        <f>-1.48-11.24</f>
        <v>-12.72</v>
      </c>
      <c r="D2629">
        <v>4.88</v>
      </c>
      <c r="E2629" t="s">
        <v>34</v>
      </c>
      <c r="F2629" t="s">
        <v>87</v>
      </c>
      <c r="G2629">
        <v>11.24</v>
      </c>
      <c r="H2629">
        <v>-1.48</v>
      </c>
      <c r="I2629">
        <v>6.36</v>
      </c>
      <c r="J2629">
        <v>40.449599999999997</v>
      </c>
      <c r="K2629" t="str">
        <f>IFERROR(INDEX(Rosters!$C$2:$C$155,MATCH($B2629,Rosters!$B$2:$B$155,0)),"NA")</f>
        <v>NA</v>
      </c>
      <c r="L2629" t="str">
        <f t="shared" si="123"/>
        <v>NA14WR</v>
      </c>
      <c r="M2629">
        <f>COUNTIF(L$1:L2629,L2629)</f>
        <v>12</v>
      </c>
      <c r="N2629" t="str">
        <f t="shared" si="124"/>
        <v>NA14WR-12</v>
      </c>
      <c r="O2629">
        <f>COUNTIFS(F$1:F2629,F2629,A$1:A2629,A2629)</f>
        <v>62</v>
      </c>
      <c r="P2629" t="str">
        <f t="shared" si="125"/>
        <v>Chad Williams14</v>
      </c>
    </row>
    <row r="2630" spans="1:16" x14ac:dyDescent="0.25">
      <c r="A2630">
        <v>15</v>
      </c>
      <c r="B2630" t="s">
        <v>260</v>
      </c>
      <c r="C2630" t="s">
        <v>7606</v>
      </c>
      <c r="D2630">
        <v>4.88</v>
      </c>
      <c r="E2630" t="s">
        <v>73</v>
      </c>
      <c r="F2630" t="s">
        <v>47</v>
      </c>
      <c r="G2630">
        <v>8.43</v>
      </c>
      <c r="H2630">
        <v>1.33</v>
      </c>
      <c r="I2630">
        <v>3.55</v>
      </c>
      <c r="J2630">
        <v>12.602499999999999</v>
      </c>
      <c r="K2630" t="str">
        <f>IFERROR(INDEX(Rosters!$C$2:$C$155,MATCH($B2630,Rosters!$B$2:$B$155,0)),"NA")</f>
        <v>NA</v>
      </c>
      <c r="L2630" t="str">
        <f t="shared" si="123"/>
        <v>NA15RB</v>
      </c>
      <c r="M2630">
        <f>COUNTIF(L$1:L2630,L2630)</f>
        <v>13</v>
      </c>
      <c r="N2630" t="str">
        <f t="shared" si="124"/>
        <v>NA15RB-13</v>
      </c>
      <c r="O2630">
        <f>COUNTIFS(F$1:F2630,F2630,A$1:A2630,A2630)</f>
        <v>58</v>
      </c>
      <c r="P2630" t="str">
        <f t="shared" si="125"/>
        <v>D'Onta Foreman15</v>
      </c>
    </row>
    <row r="2631" spans="1:16" x14ac:dyDescent="0.25">
      <c r="A2631">
        <v>9</v>
      </c>
      <c r="B2631" t="s">
        <v>1148</v>
      </c>
      <c r="C2631" t="s">
        <v>7607</v>
      </c>
      <c r="D2631">
        <v>4.88</v>
      </c>
      <c r="E2631" t="s">
        <v>37</v>
      </c>
      <c r="F2631" t="s">
        <v>47</v>
      </c>
      <c r="G2631">
        <v>9.06</v>
      </c>
      <c r="H2631">
        <v>0.7</v>
      </c>
      <c r="I2631">
        <v>4.18</v>
      </c>
      <c r="J2631">
        <v>17.4724</v>
      </c>
      <c r="K2631" t="str">
        <f>IFERROR(INDEX(Rosters!$C$2:$C$155,MATCH($B2631,Rosters!$B$2:$B$155,0)),"NA")</f>
        <v>NA</v>
      </c>
      <c r="L2631" t="str">
        <f t="shared" si="123"/>
        <v>NA9RB</v>
      </c>
      <c r="M2631">
        <f>COUNTIF(L$1:L2631,L2631)</f>
        <v>10</v>
      </c>
      <c r="N2631" t="str">
        <f t="shared" si="124"/>
        <v>NA9RB-10</v>
      </c>
      <c r="O2631">
        <f>COUNTIFS(F$1:F2631,F2631,A$1:A2631,A2631)</f>
        <v>48</v>
      </c>
      <c r="P2631" t="str">
        <f t="shared" si="125"/>
        <v>Mike Davis9</v>
      </c>
    </row>
    <row r="2632" spans="1:16" x14ac:dyDescent="0.25">
      <c r="A2632">
        <v>12</v>
      </c>
      <c r="B2632" t="s">
        <v>223</v>
      </c>
      <c r="C2632" t="s">
        <v>7608</v>
      </c>
      <c r="D2632">
        <v>4.88</v>
      </c>
      <c r="E2632" t="s">
        <v>22</v>
      </c>
      <c r="F2632" t="s">
        <v>87</v>
      </c>
      <c r="G2632">
        <v>9.23</v>
      </c>
      <c r="H2632">
        <v>0.53</v>
      </c>
      <c r="I2632">
        <v>4.3499999999999996</v>
      </c>
      <c r="J2632">
        <v>18.922499999999999</v>
      </c>
      <c r="K2632" t="str">
        <f>IFERROR(INDEX(Rosters!$C$2:$C$155,MATCH($B2632,Rosters!$B$2:$B$155,0)),"NA")</f>
        <v>NA</v>
      </c>
      <c r="L2632" t="str">
        <f t="shared" si="123"/>
        <v>NA12WR</v>
      </c>
      <c r="M2632">
        <f>COUNTIF(L$1:L2632,L2632)</f>
        <v>12</v>
      </c>
      <c r="N2632" t="str">
        <f t="shared" si="124"/>
        <v>NA12WR-12</v>
      </c>
      <c r="O2632">
        <f>COUNTIFS(F$1:F2632,F2632,A$1:A2632,A2632)</f>
        <v>58</v>
      </c>
      <c r="P2632" t="str">
        <f t="shared" si="125"/>
        <v>Paul Richardson12</v>
      </c>
    </row>
    <row r="2633" spans="1:16" x14ac:dyDescent="0.25">
      <c r="A2633">
        <v>17</v>
      </c>
      <c r="B2633" t="s">
        <v>159</v>
      </c>
      <c r="C2633" t="s">
        <v>7609</v>
      </c>
      <c r="D2633">
        <v>4.87</v>
      </c>
      <c r="E2633" t="s">
        <v>73</v>
      </c>
      <c r="F2633" t="s">
        <v>87</v>
      </c>
      <c r="G2633">
        <v>8.4</v>
      </c>
      <c r="H2633">
        <v>1.34</v>
      </c>
      <c r="I2633">
        <v>3.53</v>
      </c>
      <c r="J2633">
        <v>12.460900000000001</v>
      </c>
      <c r="K2633" t="str">
        <f>IFERROR(INDEX(Rosters!$C$2:$C$155,MATCH($B2633,Rosters!$B$2:$B$155,0)),"NA")</f>
        <v>perry</v>
      </c>
      <c r="L2633" t="str">
        <f t="shared" si="123"/>
        <v>perry17WR</v>
      </c>
      <c r="M2633">
        <f>COUNTIF(L$1:L2633,L2633)</f>
        <v>5</v>
      </c>
      <c r="N2633" t="str">
        <f t="shared" si="124"/>
        <v>perry17WR-5</v>
      </c>
      <c r="O2633">
        <f>COUNTIFS(F$1:F2633,F2633,A$1:A2633,A2633)</f>
        <v>67</v>
      </c>
      <c r="P2633" t="str">
        <f t="shared" si="125"/>
        <v>Chris Hogan17</v>
      </c>
    </row>
    <row r="2634" spans="1:16" x14ac:dyDescent="0.25">
      <c r="A2634">
        <v>2</v>
      </c>
      <c r="B2634" t="s">
        <v>170</v>
      </c>
      <c r="C2634" t="s">
        <v>800</v>
      </c>
      <c r="D2634">
        <v>4.87</v>
      </c>
      <c r="E2634" t="s">
        <v>30</v>
      </c>
      <c r="F2634" t="s">
        <v>47</v>
      </c>
      <c r="G2634">
        <v>8.52</v>
      </c>
      <c r="H2634">
        <v>1.22</v>
      </c>
      <c r="I2634">
        <v>3.65</v>
      </c>
      <c r="J2634">
        <v>13.3225</v>
      </c>
      <c r="K2634" t="str">
        <f>IFERROR(INDEX(Rosters!$C$2:$C$155,MATCH($B2634,Rosters!$B$2:$B$155,0)),"NA")</f>
        <v>NA</v>
      </c>
      <c r="L2634" t="str">
        <f t="shared" si="123"/>
        <v>NA2RB</v>
      </c>
      <c r="M2634">
        <f>COUNTIF(L$1:L2634,L2634)</f>
        <v>13</v>
      </c>
      <c r="N2634" t="str">
        <f t="shared" si="124"/>
        <v>NA2RB-13</v>
      </c>
      <c r="O2634">
        <f>COUNTIFS(F$1:F2634,F2634,A$1:A2634,A2634)</f>
        <v>52</v>
      </c>
      <c r="P2634" t="str">
        <f t="shared" si="125"/>
        <v>LeGarrette Blount2</v>
      </c>
    </row>
    <row r="2635" spans="1:16" x14ac:dyDescent="0.25">
      <c r="A2635">
        <v>2</v>
      </c>
      <c r="B2635" t="s">
        <v>226</v>
      </c>
      <c r="C2635">
        <f>-0.77-10.51</f>
        <v>-11.28</v>
      </c>
      <c r="D2635">
        <v>4.87</v>
      </c>
      <c r="E2635" t="s">
        <v>29</v>
      </c>
      <c r="F2635" t="s">
        <v>87</v>
      </c>
      <c r="G2635">
        <v>10.51</v>
      </c>
      <c r="H2635">
        <v>-0.77</v>
      </c>
      <c r="I2635">
        <v>5.64</v>
      </c>
      <c r="J2635">
        <v>31.8096</v>
      </c>
      <c r="K2635" t="str">
        <f>IFERROR(INDEX(Rosters!$C$2:$C$155,MATCH($B2635,Rosters!$B$2:$B$155,0)),"NA")</f>
        <v>comp</v>
      </c>
      <c r="L2635" t="str">
        <f t="shared" si="123"/>
        <v>comp2WR</v>
      </c>
      <c r="M2635">
        <f>COUNTIF(L$1:L2635,L2635)</f>
        <v>6</v>
      </c>
      <c r="N2635" t="str">
        <f t="shared" si="124"/>
        <v>comp2WR-6</v>
      </c>
      <c r="O2635">
        <f>COUNTIFS(F$1:F2635,F2635,A$1:A2635,A2635)</f>
        <v>57</v>
      </c>
      <c r="P2635" t="str">
        <f t="shared" si="125"/>
        <v>Mike Williams2</v>
      </c>
    </row>
    <row r="2636" spans="1:16" x14ac:dyDescent="0.25">
      <c r="A2636">
        <v>14</v>
      </c>
      <c r="B2636" t="s">
        <v>194</v>
      </c>
      <c r="C2636" t="s">
        <v>7610</v>
      </c>
      <c r="D2636">
        <v>4.87</v>
      </c>
      <c r="E2636" t="s">
        <v>41</v>
      </c>
      <c r="F2636" t="s">
        <v>87</v>
      </c>
      <c r="G2636">
        <v>8.3800000000000008</v>
      </c>
      <c r="H2636">
        <v>1.36</v>
      </c>
      <c r="I2636">
        <v>3.51</v>
      </c>
      <c r="J2636">
        <v>12.3201</v>
      </c>
      <c r="K2636" t="str">
        <f>IFERROR(INDEX(Rosters!$C$2:$C$155,MATCH($B2636,Rosters!$B$2:$B$155,0)),"NA")</f>
        <v>NA</v>
      </c>
      <c r="L2636" t="str">
        <f t="shared" si="123"/>
        <v>NA14WR</v>
      </c>
      <c r="M2636">
        <f>COUNTIF(L$1:L2636,L2636)</f>
        <v>13</v>
      </c>
      <c r="N2636" t="str">
        <f t="shared" si="124"/>
        <v>NA14WR-13</v>
      </c>
      <c r="O2636">
        <f>COUNTIFS(F$1:F2636,F2636,A$1:A2636,A2636)</f>
        <v>63</v>
      </c>
      <c r="P2636" t="str">
        <f t="shared" si="125"/>
        <v>Mohamed Sanu14</v>
      </c>
    </row>
    <row r="2637" spans="1:16" x14ac:dyDescent="0.25">
      <c r="A2637">
        <v>2</v>
      </c>
      <c r="B2637" t="s">
        <v>180</v>
      </c>
      <c r="C2637" t="s">
        <v>3359</v>
      </c>
      <c r="D2637">
        <v>4.87</v>
      </c>
      <c r="E2637" t="s">
        <v>72</v>
      </c>
      <c r="F2637" t="s">
        <v>87</v>
      </c>
      <c r="G2637">
        <v>8.59</v>
      </c>
      <c r="H2637">
        <v>1.1499999999999999</v>
      </c>
      <c r="I2637">
        <v>3.72</v>
      </c>
      <c r="J2637">
        <v>13.8384</v>
      </c>
      <c r="K2637" t="str">
        <f>IFERROR(INDEX(Rosters!$C$2:$C$155,MATCH($B2637,Rosters!$B$2:$B$155,0)),"NA")</f>
        <v>NA</v>
      </c>
      <c r="L2637" t="str">
        <f t="shared" si="123"/>
        <v>NA2WR</v>
      </c>
      <c r="M2637">
        <f>COUNTIF(L$1:L2637,L2637)</f>
        <v>14</v>
      </c>
      <c r="N2637" t="str">
        <f t="shared" si="124"/>
        <v>NA2WR-14</v>
      </c>
      <c r="O2637">
        <f>COUNTIFS(F$1:F2637,F2637,A$1:A2637,A2637)</f>
        <v>58</v>
      </c>
      <c r="P2637" t="str">
        <f t="shared" si="125"/>
        <v>Tyler Lockett2</v>
      </c>
    </row>
    <row r="2638" spans="1:16" x14ac:dyDescent="0.25">
      <c r="A2638">
        <v>7</v>
      </c>
      <c r="B2638" t="s">
        <v>280</v>
      </c>
      <c r="C2638" t="s">
        <v>4543</v>
      </c>
      <c r="D2638">
        <v>4.8600000000000003</v>
      </c>
      <c r="E2638" t="s">
        <v>66</v>
      </c>
      <c r="F2638" t="s">
        <v>47</v>
      </c>
      <c r="G2638">
        <v>8.92</v>
      </c>
      <c r="H2638">
        <v>0.8</v>
      </c>
      <c r="I2638">
        <v>4.0599999999999996</v>
      </c>
      <c r="J2638">
        <v>16.483599999999999</v>
      </c>
      <c r="K2638" t="str">
        <f>IFERROR(INDEX(Rosters!$C$2:$C$155,MATCH($B2638,Rosters!$B$2:$B$155,0)),"NA")</f>
        <v>NA</v>
      </c>
      <c r="L2638" t="str">
        <f t="shared" si="123"/>
        <v>NA7RB</v>
      </c>
      <c r="M2638">
        <f>COUNTIF(L$1:L2638,L2638)</f>
        <v>10</v>
      </c>
      <c r="N2638" t="str">
        <f t="shared" si="124"/>
        <v>NA7RB-10</v>
      </c>
      <c r="O2638">
        <f>COUNTIFS(F$1:F2638,F2638,A$1:A2638,A2638)</f>
        <v>50</v>
      </c>
      <c r="P2638" t="str">
        <f t="shared" si="125"/>
        <v>Chris Ivory7</v>
      </c>
    </row>
    <row r="2639" spans="1:16" x14ac:dyDescent="0.25">
      <c r="A2639">
        <v>15</v>
      </c>
      <c r="B2639" t="s">
        <v>215</v>
      </c>
      <c r="C2639" t="s">
        <v>7611</v>
      </c>
      <c r="D2639">
        <v>4.8600000000000003</v>
      </c>
      <c r="E2639" t="s">
        <v>42</v>
      </c>
      <c r="F2639" t="s">
        <v>114</v>
      </c>
      <c r="G2639">
        <v>9.44</v>
      </c>
      <c r="H2639">
        <v>0.28000000000000003</v>
      </c>
      <c r="I2639">
        <v>4.58</v>
      </c>
      <c r="J2639">
        <v>20.976400000000002</v>
      </c>
      <c r="K2639" t="str">
        <f>IFERROR(INDEX(Rosters!$C$2:$C$155,MATCH($B2639,Rosters!$B$2:$B$155,0)),"NA")</f>
        <v>NA</v>
      </c>
      <c r="L2639" t="str">
        <f t="shared" si="123"/>
        <v>NA15TE</v>
      </c>
      <c r="M2639">
        <f>COUNTIF(L$1:L2639,L2639)</f>
        <v>3</v>
      </c>
      <c r="N2639" t="str">
        <f t="shared" si="124"/>
        <v>NA15TE-3</v>
      </c>
      <c r="O2639">
        <f>COUNTIFS(F$1:F2639,F2639,A$1:A2639,A2639)</f>
        <v>15</v>
      </c>
      <c r="P2639" t="str">
        <f t="shared" si="125"/>
        <v>David Njoku15</v>
      </c>
    </row>
    <row r="2640" spans="1:16" x14ac:dyDescent="0.25">
      <c r="A2640">
        <v>12</v>
      </c>
      <c r="B2640" t="s">
        <v>175</v>
      </c>
      <c r="C2640" t="s">
        <v>7612</v>
      </c>
      <c r="D2640">
        <v>4.8600000000000003</v>
      </c>
      <c r="E2640" t="s">
        <v>66</v>
      </c>
      <c r="F2640" t="s">
        <v>87</v>
      </c>
      <c r="G2640">
        <v>9.26</v>
      </c>
      <c r="H2640">
        <v>0.46</v>
      </c>
      <c r="I2640">
        <v>4.4000000000000004</v>
      </c>
      <c r="J2640">
        <v>19.36</v>
      </c>
      <c r="K2640" t="str">
        <f>IFERROR(INDEX(Rosters!$C$2:$C$155,MATCH($B2640,Rosters!$B$2:$B$155,0)),"NA")</f>
        <v>NA</v>
      </c>
      <c r="L2640" t="str">
        <f t="shared" si="123"/>
        <v>NA12WR</v>
      </c>
      <c r="M2640">
        <f>COUNTIF(L$1:L2640,L2640)</f>
        <v>13</v>
      </c>
      <c r="N2640" t="str">
        <f t="shared" si="124"/>
        <v>NA12WR-13</v>
      </c>
      <c r="O2640">
        <f>COUNTIFS(F$1:F2640,F2640,A$1:A2640,A2640)</f>
        <v>59</v>
      </c>
      <c r="P2640" t="str">
        <f t="shared" si="125"/>
        <v>DeVante Parker12</v>
      </c>
    </row>
    <row r="2641" spans="1:16" x14ac:dyDescent="0.25">
      <c r="A2641">
        <v>17</v>
      </c>
      <c r="B2641" t="s">
        <v>1408</v>
      </c>
      <c r="C2641" t="s">
        <v>7613</v>
      </c>
      <c r="D2641">
        <v>4.8600000000000003</v>
      </c>
      <c r="E2641" t="s">
        <v>54</v>
      </c>
      <c r="F2641" t="s">
        <v>87</v>
      </c>
      <c r="G2641">
        <v>9.52</v>
      </c>
      <c r="H2641">
        <v>0.2</v>
      </c>
      <c r="I2641">
        <v>4.66</v>
      </c>
      <c r="J2641">
        <v>21.715599999999998</v>
      </c>
      <c r="K2641" t="str">
        <f>IFERROR(INDEX(Rosters!$C$2:$C$155,MATCH($B2641,Rosters!$B$2:$B$155,0)),"NA")</f>
        <v>NA</v>
      </c>
      <c r="L2641" t="str">
        <f t="shared" si="123"/>
        <v>NA17WR</v>
      </c>
      <c r="M2641">
        <f>COUNTIF(L$1:L2641,L2641)</f>
        <v>16</v>
      </c>
      <c r="N2641" t="str">
        <f t="shared" si="124"/>
        <v>NA17WR-16</v>
      </c>
      <c r="O2641">
        <f>COUNTIFS(F$1:F2641,F2641,A$1:A2641,A2641)</f>
        <v>68</v>
      </c>
      <c r="P2641" t="str">
        <f t="shared" si="125"/>
        <v>Michael Gallup17</v>
      </c>
    </row>
    <row r="2642" spans="1:16" x14ac:dyDescent="0.25">
      <c r="A2642">
        <v>10</v>
      </c>
      <c r="B2642" t="s">
        <v>229</v>
      </c>
      <c r="C2642" t="s">
        <v>4544</v>
      </c>
      <c r="D2642">
        <v>4.8600000000000003</v>
      </c>
      <c r="E2642" t="s">
        <v>60</v>
      </c>
      <c r="F2642" t="s">
        <v>114</v>
      </c>
      <c r="G2642">
        <v>8.9600000000000009</v>
      </c>
      <c r="H2642">
        <v>0.76</v>
      </c>
      <c r="I2642">
        <v>4.0999999999999996</v>
      </c>
      <c r="J2642">
        <v>16.809999999999999</v>
      </c>
      <c r="K2642" t="str">
        <f>IFERROR(INDEX(Rosters!$C$2:$C$155,MATCH($B2642,Rosters!$B$2:$B$155,0)),"NA")</f>
        <v>NA</v>
      </c>
      <c r="L2642" t="str">
        <f t="shared" si="123"/>
        <v>NA10TE</v>
      </c>
      <c r="M2642">
        <f>COUNTIF(L$1:L2642,L2642)</f>
        <v>3</v>
      </c>
      <c r="N2642" t="str">
        <f t="shared" si="124"/>
        <v>NA10TE-3</v>
      </c>
      <c r="O2642">
        <f>COUNTIFS(F$1:F2642,F2642,A$1:A2642,A2642)</f>
        <v>13</v>
      </c>
      <c r="P2642" t="str">
        <f t="shared" si="125"/>
        <v>O.J. Howard10</v>
      </c>
    </row>
    <row r="2643" spans="1:16" x14ac:dyDescent="0.25">
      <c r="A2643">
        <v>7</v>
      </c>
      <c r="B2643" t="s">
        <v>237</v>
      </c>
      <c r="C2643" t="s">
        <v>7614</v>
      </c>
      <c r="D2643">
        <v>4.8600000000000003</v>
      </c>
      <c r="E2643" t="s">
        <v>423</v>
      </c>
      <c r="F2643" t="s">
        <v>87</v>
      </c>
      <c r="G2643">
        <v>8.2799999999999994</v>
      </c>
      <c r="H2643">
        <v>1.44</v>
      </c>
      <c r="I2643">
        <v>3.42</v>
      </c>
      <c r="J2643">
        <v>11.696400000000001</v>
      </c>
      <c r="K2643" t="str">
        <f>IFERROR(INDEX(Rosters!$C$2:$C$155,MATCH($B2643,Rosters!$B$2:$B$155,0)),"NA")</f>
        <v>NA</v>
      </c>
      <c r="L2643" t="str">
        <f t="shared" si="123"/>
        <v>NA7WR</v>
      </c>
      <c r="M2643">
        <f>COUNTIF(L$1:L2643,L2643)</f>
        <v>15</v>
      </c>
      <c r="N2643" t="str">
        <f t="shared" si="124"/>
        <v>NA7WR-15</v>
      </c>
      <c r="O2643">
        <f>COUNTIFS(F$1:F2643,F2643,A$1:A2643,A2643)</f>
        <v>56</v>
      </c>
      <c r="P2643" t="str">
        <f t="shared" si="125"/>
        <v>Taylor Gabriel7</v>
      </c>
    </row>
    <row r="2644" spans="1:16" x14ac:dyDescent="0.25">
      <c r="A2644">
        <v>7</v>
      </c>
      <c r="B2644" t="s">
        <v>273</v>
      </c>
      <c r="C2644" t="s">
        <v>7615</v>
      </c>
      <c r="D2644">
        <v>4.8499999999999996</v>
      </c>
      <c r="E2644" t="s">
        <v>34</v>
      </c>
      <c r="F2644" t="s">
        <v>87</v>
      </c>
      <c r="G2644">
        <v>8.26</v>
      </c>
      <c r="H2644">
        <v>1.44</v>
      </c>
      <c r="I2644">
        <v>3.41</v>
      </c>
      <c r="J2644">
        <v>11.6281</v>
      </c>
      <c r="K2644" t="str">
        <f>IFERROR(INDEX(Rosters!$C$2:$C$155,MATCH($B2644,Rosters!$B$2:$B$155,0)),"NA")</f>
        <v>NA</v>
      </c>
      <c r="L2644" t="str">
        <f t="shared" si="123"/>
        <v>NA7WR</v>
      </c>
      <c r="M2644">
        <f>COUNTIF(L$1:L2644,L2644)</f>
        <v>16</v>
      </c>
      <c r="N2644" t="str">
        <f t="shared" si="124"/>
        <v>NA7WR-16</v>
      </c>
      <c r="O2644">
        <f>COUNTIFS(F$1:F2644,F2644,A$1:A2644,A2644)</f>
        <v>57</v>
      </c>
      <c r="P2644" t="str">
        <f t="shared" si="125"/>
        <v>Albert Wilson7</v>
      </c>
    </row>
    <row r="2645" spans="1:16" x14ac:dyDescent="0.25">
      <c r="A2645">
        <v>14</v>
      </c>
      <c r="B2645" t="s">
        <v>175</v>
      </c>
      <c r="C2645" t="s">
        <v>3740</v>
      </c>
      <c r="D2645">
        <v>4.8499999999999996</v>
      </c>
      <c r="E2645" t="s">
        <v>423</v>
      </c>
      <c r="F2645" t="s">
        <v>87</v>
      </c>
      <c r="G2645">
        <v>9.33</v>
      </c>
      <c r="H2645">
        <v>0.37</v>
      </c>
      <c r="I2645">
        <v>4.4800000000000004</v>
      </c>
      <c r="J2645">
        <v>20.070399999999999</v>
      </c>
      <c r="K2645" t="str">
        <f>IFERROR(INDEX(Rosters!$C$2:$C$155,MATCH($B2645,Rosters!$B$2:$B$155,0)),"NA")</f>
        <v>NA</v>
      </c>
      <c r="L2645" t="str">
        <f t="shared" si="123"/>
        <v>NA14WR</v>
      </c>
      <c r="M2645">
        <f>COUNTIF(L$1:L2645,L2645)</f>
        <v>14</v>
      </c>
      <c r="N2645" t="str">
        <f t="shared" si="124"/>
        <v>NA14WR-14</v>
      </c>
      <c r="O2645">
        <f>COUNTIFS(F$1:F2645,F2645,A$1:A2645,A2645)</f>
        <v>64</v>
      </c>
      <c r="P2645" t="str">
        <f t="shared" si="125"/>
        <v>DeVante Parker14</v>
      </c>
    </row>
    <row r="2646" spans="1:16" x14ac:dyDescent="0.25">
      <c r="A2646">
        <v>16</v>
      </c>
      <c r="B2646" t="s">
        <v>232</v>
      </c>
      <c r="C2646" t="s">
        <v>7616</v>
      </c>
      <c r="D2646">
        <v>4.8499999999999996</v>
      </c>
      <c r="E2646" t="s">
        <v>42</v>
      </c>
      <c r="F2646" t="s">
        <v>47</v>
      </c>
      <c r="G2646">
        <v>8.31</v>
      </c>
      <c r="H2646">
        <v>1.39</v>
      </c>
      <c r="I2646">
        <v>3.46</v>
      </c>
      <c r="J2646">
        <v>11.9716</v>
      </c>
      <c r="K2646" t="str">
        <f>IFERROR(INDEX(Rosters!$C$2:$C$155,MATCH($B2646,Rosters!$B$2:$B$155,0)),"NA")</f>
        <v>NA</v>
      </c>
      <c r="L2646" t="str">
        <f t="shared" si="123"/>
        <v>NA16RB</v>
      </c>
      <c r="M2646">
        <f>COUNTIF(L$1:L2646,L2646)</f>
        <v>14</v>
      </c>
      <c r="N2646" t="str">
        <f t="shared" si="124"/>
        <v>NA16RB-14</v>
      </c>
      <c r="O2646">
        <f>COUNTIFS(F$1:F2646,F2646,A$1:A2646,A2646)</f>
        <v>59</v>
      </c>
      <c r="P2646" t="str">
        <f t="shared" si="125"/>
        <v>Jalen Richard16</v>
      </c>
    </row>
    <row r="2647" spans="1:16" x14ac:dyDescent="0.25">
      <c r="A2647">
        <v>1</v>
      </c>
      <c r="B2647" t="s">
        <v>170</v>
      </c>
      <c r="C2647" t="s">
        <v>1412</v>
      </c>
      <c r="D2647">
        <v>4.8499999999999996</v>
      </c>
      <c r="E2647" t="s">
        <v>73</v>
      </c>
      <c r="F2647" t="s">
        <v>47</v>
      </c>
      <c r="G2647">
        <v>8.65</v>
      </c>
      <c r="H2647">
        <v>1.05</v>
      </c>
      <c r="I2647">
        <v>3.8</v>
      </c>
      <c r="J2647">
        <v>14.44</v>
      </c>
      <c r="K2647" t="str">
        <f>IFERROR(INDEX(Rosters!$C$2:$C$155,MATCH($B2647,Rosters!$B$2:$B$155,0)),"NA")</f>
        <v>NA</v>
      </c>
      <c r="L2647" t="str">
        <f t="shared" si="123"/>
        <v>NA1RB</v>
      </c>
      <c r="M2647">
        <f>COUNTIF(L$1:L2647,L2647)</f>
        <v>11</v>
      </c>
      <c r="N2647" t="str">
        <f t="shared" si="124"/>
        <v>NA1RB-11</v>
      </c>
      <c r="O2647">
        <f>COUNTIFS(F$1:F2647,F2647,A$1:A2647,A2647)</f>
        <v>49</v>
      </c>
      <c r="P2647" t="str">
        <f t="shared" si="125"/>
        <v>LeGarrette Blount1</v>
      </c>
    </row>
    <row r="2648" spans="1:16" x14ac:dyDescent="0.25">
      <c r="A2648">
        <v>9</v>
      </c>
      <c r="B2648" t="s">
        <v>226</v>
      </c>
      <c r="C2648" t="s">
        <v>1412</v>
      </c>
      <c r="D2648">
        <v>4.8499999999999996</v>
      </c>
      <c r="E2648" t="s">
        <v>28</v>
      </c>
      <c r="F2648" t="s">
        <v>87</v>
      </c>
      <c r="G2648">
        <v>8.65</v>
      </c>
      <c r="H2648">
        <v>1.05</v>
      </c>
      <c r="I2648">
        <v>3.8</v>
      </c>
      <c r="J2648">
        <v>14.44</v>
      </c>
      <c r="K2648" t="str">
        <f>IFERROR(INDEX(Rosters!$C$2:$C$155,MATCH($B2648,Rosters!$B$2:$B$155,0)),"NA")</f>
        <v>comp</v>
      </c>
      <c r="L2648" t="str">
        <f t="shared" si="123"/>
        <v>comp9WR</v>
      </c>
      <c r="M2648">
        <f>COUNTIF(L$1:L2648,L2648)</f>
        <v>6</v>
      </c>
      <c r="N2648" t="str">
        <f t="shared" si="124"/>
        <v>comp9WR-6</v>
      </c>
      <c r="O2648">
        <f>COUNTIFS(F$1:F2648,F2648,A$1:A2648,A2648)</f>
        <v>52</v>
      </c>
      <c r="P2648" t="str">
        <f t="shared" si="125"/>
        <v>Mike Williams9</v>
      </c>
    </row>
    <row r="2649" spans="1:16" x14ac:dyDescent="0.25">
      <c r="A2649">
        <v>9</v>
      </c>
      <c r="B2649" t="s">
        <v>210</v>
      </c>
      <c r="C2649" t="s">
        <v>7617</v>
      </c>
      <c r="D2649">
        <v>4.8499999999999996</v>
      </c>
      <c r="E2649" t="s">
        <v>28</v>
      </c>
      <c r="F2649" t="s">
        <v>87</v>
      </c>
      <c r="G2649">
        <v>7.95</v>
      </c>
      <c r="H2649">
        <v>1.75</v>
      </c>
      <c r="I2649">
        <v>3.1</v>
      </c>
      <c r="J2649">
        <v>9.61</v>
      </c>
      <c r="K2649" t="str">
        <f>IFERROR(INDEX(Rosters!$C$2:$C$155,MATCH($B2649,Rosters!$B$2:$B$155,0)),"NA")</f>
        <v>NA</v>
      </c>
      <c r="L2649" t="str">
        <f t="shared" si="123"/>
        <v>NA9WR</v>
      </c>
      <c r="M2649">
        <f>COUNTIF(L$1:L2649,L2649)</f>
        <v>12</v>
      </c>
      <c r="N2649" t="str">
        <f t="shared" si="124"/>
        <v>NA9WR-12</v>
      </c>
      <c r="O2649">
        <f>COUNTIFS(F$1:F2649,F2649,A$1:A2649,A2649)</f>
        <v>53</v>
      </c>
      <c r="P2649" t="str">
        <f t="shared" si="125"/>
        <v>Tyrell Williams9</v>
      </c>
    </row>
    <row r="2650" spans="1:16" x14ac:dyDescent="0.25">
      <c r="A2650">
        <v>3</v>
      </c>
      <c r="B2650" t="s">
        <v>152</v>
      </c>
      <c r="C2650" t="s">
        <v>3740</v>
      </c>
      <c r="D2650">
        <v>4.8499999999999996</v>
      </c>
      <c r="E2650" t="s">
        <v>42</v>
      </c>
      <c r="F2650" t="s">
        <v>87</v>
      </c>
      <c r="G2650">
        <v>9.33</v>
      </c>
      <c r="H2650">
        <v>0.37</v>
      </c>
      <c r="I2650">
        <v>4.4800000000000004</v>
      </c>
      <c r="J2650">
        <v>20.070399999999999</v>
      </c>
      <c r="K2650" t="str">
        <f>IFERROR(INDEX(Rosters!$C$2:$C$155,MATCH($B2650,Rosters!$B$2:$B$155,0)),"NA")</f>
        <v>NA</v>
      </c>
      <c r="L2650" t="str">
        <f t="shared" si="123"/>
        <v>NA3WR</v>
      </c>
      <c r="M2650">
        <f>COUNTIF(L$1:L2650,L2650)</f>
        <v>12</v>
      </c>
      <c r="N2650" t="str">
        <f t="shared" si="124"/>
        <v>NA3WR-12</v>
      </c>
      <c r="O2650">
        <f>COUNTIFS(F$1:F2650,F2650,A$1:A2650,A2650)</f>
        <v>57</v>
      </c>
      <c r="P2650" t="str">
        <f t="shared" si="125"/>
        <v>Willie Snead3</v>
      </c>
    </row>
    <row r="2651" spans="1:16" x14ac:dyDescent="0.25">
      <c r="A2651">
        <v>17</v>
      </c>
      <c r="B2651" t="s">
        <v>152</v>
      </c>
      <c r="C2651" t="s">
        <v>7618</v>
      </c>
      <c r="D2651">
        <v>4.8499999999999996</v>
      </c>
      <c r="E2651" t="s">
        <v>52</v>
      </c>
      <c r="F2651" t="s">
        <v>87</v>
      </c>
      <c r="G2651">
        <v>8.56</v>
      </c>
      <c r="H2651">
        <v>1.1399999999999999</v>
      </c>
      <c r="I2651">
        <v>3.71</v>
      </c>
      <c r="J2651">
        <v>13.764099999999999</v>
      </c>
      <c r="K2651" t="str">
        <f>IFERROR(INDEX(Rosters!$C$2:$C$155,MATCH($B2651,Rosters!$B$2:$B$155,0)),"NA")</f>
        <v>NA</v>
      </c>
      <c r="L2651" t="str">
        <f t="shared" si="123"/>
        <v>NA17WR</v>
      </c>
      <c r="M2651">
        <f>COUNTIF(L$1:L2651,L2651)</f>
        <v>17</v>
      </c>
      <c r="N2651" t="str">
        <f t="shared" si="124"/>
        <v>NA17WR-17</v>
      </c>
      <c r="O2651">
        <f>COUNTIFS(F$1:F2651,F2651,A$1:A2651,A2651)</f>
        <v>69</v>
      </c>
      <c r="P2651" t="str">
        <f t="shared" si="125"/>
        <v>Willie Snead17</v>
      </c>
    </row>
    <row r="2652" spans="1:16" x14ac:dyDescent="0.25">
      <c r="A2652">
        <v>11</v>
      </c>
      <c r="B2652" t="s">
        <v>247</v>
      </c>
      <c r="C2652" t="s">
        <v>7619</v>
      </c>
      <c r="D2652">
        <v>4.84</v>
      </c>
      <c r="E2652" t="s">
        <v>51</v>
      </c>
      <c r="F2652" t="s">
        <v>114</v>
      </c>
      <c r="G2652">
        <v>8.24</v>
      </c>
      <c r="H2652">
        <v>1.44</v>
      </c>
      <c r="I2652">
        <v>3.4</v>
      </c>
      <c r="J2652">
        <v>11.56</v>
      </c>
      <c r="K2652" t="str">
        <f>IFERROR(INDEX(Rosters!$C$2:$C$155,MATCH($B2652,Rosters!$B$2:$B$155,0)),"NA")</f>
        <v>NA</v>
      </c>
      <c r="L2652" t="str">
        <f t="shared" si="123"/>
        <v>NA11TE</v>
      </c>
      <c r="M2652">
        <f>COUNTIF(L$1:L2652,L2652)</f>
        <v>5</v>
      </c>
      <c r="N2652" t="str">
        <f t="shared" si="124"/>
        <v>NA11TE-5</v>
      </c>
      <c r="O2652">
        <f>COUNTIFS(F$1:F2652,F2652,A$1:A2652,A2652)</f>
        <v>15</v>
      </c>
      <c r="P2652" t="str">
        <f t="shared" si="125"/>
        <v>Austin Seferian-Jenkins11</v>
      </c>
    </row>
    <row r="2653" spans="1:16" x14ac:dyDescent="0.25">
      <c r="A2653">
        <v>3</v>
      </c>
      <c r="B2653" t="s">
        <v>261</v>
      </c>
      <c r="C2653" t="s">
        <v>3741</v>
      </c>
      <c r="D2653">
        <v>4.84</v>
      </c>
      <c r="E2653" t="s">
        <v>46</v>
      </c>
      <c r="F2653" t="s">
        <v>114</v>
      </c>
      <c r="G2653">
        <v>9.41</v>
      </c>
      <c r="H2653">
        <v>0.27</v>
      </c>
      <c r="I2653">
        <v>4.57</v>
      </c>
      <c r="J2653">
        <v>20.884899999999998</v>
      </c>
      <c r="K2653" t="str">
        <f>IFERROR(INDEX(Rosters!$C$2:$C$155,MATCH($B2653,Rosters!$B$2:$B$155,0)),"NA")</f>
        <v>NA</v>
      </c>
      <c r="L2653" t="str">
        <f t="shared" si="123"/>
        <v>NA3TE</v>
      </c>
      <c r="M2653">
        <f>COUNTIF(L$1:L2653,L2653)</f>
        <v>4</v>
      </c>
      <c r="N2653" t="str">
        <f t="shared" si="124"/>
        <v>NA3TE-4</v>
      </c>
      <c r="O2653">
        <f>COUNTIFS(F$1:F2653,F2653,A$1:A2653,A2653)</f>
        <v>15</v>
      </c>
      <c r="P2653" t="str">
        <f t="shared" si="125"/>
        <v>Benjamin Watson3</v>
      </c>
    </row>
    <row r="2654" spans="1:16" x14ac:dyDescent="0.25">
      <c r="A2654">
        <v>15</v>
      </c>
      <c r="B2654" t="s">
        <v>280</v>
      </c>
      <c r="C2654" t="s">
        <v>7620</v>
      </c>
      <c r="D2654">
        <v>4.84</v>
      </c>
      <c r="E2654" t="s">
        <v>34</v>
      </c>
      <c r="F2654" t="s">
        <v>47</v>
      </c>
      <c r="G2654">
        <v>8.8000000000000007</v>
      </c>
      <c r="H2654">
        <v>0.88</v>
      </c>
      <c r="I2654">
        <v>3.96</v>
      </c>
      <c r="J2654">
        <v>15.6816</v>
      </c>
      <c r="K2654" t="str">
        <f>IFERROR(INDEX(Rosters!$C$2:$C$155,MATCH($B2654,Rosters!$B$2:$B$155,0)),"NA")</f>
        <v>NA</v>
      </c>
      <c r="L2654" t="str">
        <f t="shared" si="123"/>
        <v>NA15RB</v>
      </c>
      <c r="M2654">
        <f>COUNTIF(L$1:L2654,L2654)</f>
        <v>14</v>
      </c>
      <c r="N2654" t="str">
        <f t="shared" si="124"/>
        <v>NA15RB-14</v>
      </c>
      <c r="O2654">
        <f>COUNTIFS(F$1:F2654,F2654,A$1:A2654,A2654)</f>
        <v>59</v>
      </c>
      <c r="P2654" t="str">
        <f t="shared" si="125"/>
        <v>Chris Ivory15</v>
      </c>
    </row>
    <row r="2655" spans="1:16" x14ac:dyDescent="0.25">
      <c r="A2655">
        <v>17</v>
      </c>
      <c r="B2655" t="s">
        <v>280</v>
      </c>
      <c r="C2655" t="s">
        <v>7621</v>
      </c>
      <c r="D2655">
        <v>4.84</v>
      </c>
      <c r="E2655" t="s">
        <v>19</v>
      </c>
      <c r="F2655" t="s">
        <v>47</v>
      </c>
      <c r="G2655">
        <v>8.5299999999999994</v>
      </c>
      <c r="H2655">
        <v>1.1499999999999999</v>
      </c>
      <c r="I2655">
        <v>3.69</v>
      </c>
      <c r="J2655">
        <v>13.616099999999999</v>
      </c>
      <c r="K2655" t="str">
        <f>IFERROR(INDEX(Rosters!$C$2:$C$155,MATCH($B2655,Rosters!$B$2:$B$155,0)),"NA")</f>
        <v>NA</v>
      </c>
      <c r="L2655" t="str">
        <f t="shared" si="123"/>
        <v>NA17RB</v>
      </c>
      <c r="M2655">
        <f>COUNTIF(L$1:L2655,L2655)</f>
        <v>12</v>
      </c>
      <c r="N2655" t="str">
        <f t="shared" si="124"/>
        <v>NA17RB-12</v>
      </c>
      <c r="O2655">
        <f>COUNTIFS(F$1:F2655,F2655,A$1:A2655,A2655)</f>
        <v>55</v>
      </c>
      <c r="P2655" t="str">
        <f t="shared" si="125"/>
        <v>Chris Ivory17</v>
      </c>
    </row>
    <row r="2656" spans="1:16" x14ac:dyDescent="0.25">
      <c r="A2656">
        <v>10</v>
      </c>
      <c r="B2656" t="s">
        <v>227</v>
      </c>
      <c r="C2656" t="s">
        <v>7622</v>
      </c>
      <c r="D2656">
        <v>4.84</v>
      </c>
      <c r="E2656" t="s">
        <v>41</v>
      </c>
      <c r="F2656" t="s">
        <v>87</v>
      </c>
      <c r="G2656">
        <v>8.17</v>
      </c>
      <c r="H2656">
        <v>1.51</v>
      </c>
      <c r="I2656">
        <v>3.33</v>
      </c>
      <c r="J2656">
        <v>11.088900000000001</v>
      </c>
      <c r="K2656" t="str">
        <f>IFERROR(INDEX(Rosters!$C$2:$C$155,MATCH($B2656,Rosters!$B$2:$B$155,0)),"NA")</f>
        <v>NA</v>
      </c>
      <c r="L2656" t="str">
        <f t="shared" si="123"/>
        <v>NA10WR</v>
      </c>
      <c r="M2656">
        <f>COUNTIF(L$1:L2656,L2656)</f>
        <v>14</v>
      </c>
      <c r="N2656" t="str">
        <f t="shared" si="124"/>
        <v>NA10WR-14</v>
      </c>
      <c r="O2656">
        <f>COUNTIFS(F$1:F2656,F2656,A$1:A2656,A2656)</f>
        <v>56</v>
      </c>
      <c r="P2656" t="str">
        <f t="shared" si="125"/>
        <v>Danny Amendola10</v>
      </c>
    </row>
    <row r="2657" spans="1:16" x14ac:dyDescent="0.25">
      <c r="A2657">
        <v>14</v>
      </c>
      <c r="B2657" t="s">
        <v>227</v>
      </c>
      <c r="C2657" t="s">
        <v>7623</v>
      </c>
      <c r="D2657">
        <v>4.84</v>
      </c>
      <c r="E2657" t="s">
        <v>423</v>
      </c>
      <c r="F2657" t="s">
        <v>87</v>
      </c>
      <c r="G2657">
        <v>8.18</v>
      </c>
      <c r="H2657">
        <v>1.5</v>
      </c>
      <c r="I2657">
        <v>3.34</v>
      </c>
      <c r="J2657">
        <v>11.1556</v>
      </c>
      <c r="K2657" t="str">
        <f>IFERROR(INDEX(Rosters!$C$2:$C$155,MATCH($B2657,Rosters!$B$2:$B$155,0)),"NA")</f>
        <v>NA</v>
      </c>
      <c r="L2657" t="str">
        <f t="shared" si="123"/>
        <v>NA14WR</v>
      </c>
      <c r="M2657">
        <f>COUNTIF(L$1:L2657,L2657)</f>
        <v>15</v>
      </c>
      <c r="N2657" t="str">
        <f t="shared" si="124"/>
        <v>NA14WR-15</v>
      </c>
      <c r="O2657">
        <f>COUNTIFS(F$1:F2657,F2657,A$1:A2657,A2657)</f>
        <v>65</v>
      </c>
      <c r="P2657" t="str">
        <f t="shared" si="125"/>
        <v>Danny Amendola14</v>
      </c>
    </row>
    <row r="2658" spans="1:16" x14ac:dyDescent="0.25">
      <c r="A2658">
        <v>11</v>
      </c>
      <c r="B2658" t="s">
        <v>1388</v>
      </c>
      <c r="C2658" t="s">
        <v>7624</v>
      </c>
      <c r="D2658">
        <v>4.84</v>
      </c>
      <c r="E2658" t="s">
        <v>38</v>
      </c>
      <c r="F2658" t="s">
        <v>47</v>
      </c>
      <c r="G2658">
        <v>9.3000000000000007</v>
      </c>
      <c r="H2658">
        <v>0.38</v>
      </c>
      <c r="I2658">
        <v>4.46</v>
      </c>
      <c r="J2658">
        <v>19.8916</v>
      </c>
      <c r="K2658" t="str">
        <f>IFERROR(INDEX(Rosters!$C$2:$C$155,MATCH($B2658,Rosters!$B$2:$B$155,0)),"NA")</f>
        <v>NA</v>
      </c>
      <c r="L2658" t="str">
        <f t="shared" si="123"/>
        <v>NA11RB</v>
      </c>
      <c r="M2658">
        <f>COUNTIF(L$1:L2658,L2658)</f>
        <v>9</v>
      </c>
      <c r="N2658" t="str">
        <f t="shared" si="124"/>
        <v>NA11RB-9</v>
      </c>
      <c r="O2658">
        <f>COUNTIFS(F$1:F2658,F2658,A$1:A2658,A2658)</f>
        <v>46</v>
      </c>
      <c r="P2658" t="str">
        <f t="shared" si="125"/>
        <v>Jordan Wilkins11</v>
      </c>
    </row>
    <row r="2659" spans="1:16" x14ac:dyDescent="0.25">
      <c r="A2659">
        <v>15</v>
      </c>
      <c r="B2659" t="s">
        <v>1377</v>
      </c>
      <c r="C2659" t="s">
        <v>7625</v>
      </c>
      <c r="D2659">
        <v>4.83</v>
      </c>
      <c r="E2659" t="s">
        <v>41</v>
      </c>
      <c r="F2659" t="s">
        <v>87</v>
      </c>
      <c r="G2659">
        <v>8.85</v>
      </c>
      <c r="H2659">
        <v>0.81</v>
      </c>
      <c r="I2659">
        <v>4.0199999999999996</v>
      </c>
      <c r="J2659">
        <v>16.160399999999999</v>
      </c>
      <c r="K2659" t="str">
        <f>IFERROR(INDEX(Rosters!$C$2:$C$155,MATCH($B2659,Rosters!$B$2:$B$155,0)),"NA")</f>
        <v>NA</v>
      </c>
      <c r="L2659" t="str">
        <f t="shared" si="123"/>
        <v>NA15WR</v>
      </c>
      <c r="M2659">
        <f>COUNTIF(L$1:L2659,L2659)</f>
        <v>14</v>
      </c>
      <c r="N2659" t="str">
        <f t="shared" si="124"/>
        <v>NA15WR-14</v>
      </c>
      <c r="O2659">
        <f>COUNTIFS(F$1:F2659,F2659,A$1:A2659,A2659)</f>
        <v>64</v>
      </c>
      <c r="P2659" t="str">
        <f t="shared" si="125"/>
        <v>Anthony Miller15</v>
      </c>
    </row>
    <row r="2660" spans="1:16" x14ac:dyDescent="0.25">
      <c r="A2660">
        <v>2</v>
      </c>
      <c r="B2660" t="s">
        <v>196</v>
      </c>
      <c r="C2660" t="s">
        <v>1413</v>
      </c>
      <c r="D2660">
        <v>4.83</v>
      </c>
      <c r="E2660" t="s">
        <v>77</v>
      </c>
      <c r="F2660" t="s">
        <v>47</v>
      </c>
      <c r="G2660">
        <v>8.24</v>
      </c>
      <c r="H2660">
        <v>1.42</v>
      </c>
      <c r="I2660">
        <v>3.41</v>
      </c>
      <c r="J2660">
        <v>11.6281</v>
      </c>
      <c r="K2660" t="str">
        <f>IFERROR(INDEX(Rosters!$C$2:$C$155,MATCH($B2660,Rosters!$B$2:$B$155,0)),"NA")</f>
        <v>NA</v>
      </c>
      <c r="L2660" t="str">
        <f t="shared" si="123"/>
        <v>NA2RB</v>
      </c>
      <c r="M2660">
        <f>COUNTIF(L$1:L2660,L2660)</f>
        <v>14</v>
      </c>
      <c r="N2660" t="str">
        <f t="shared" si="124"/>
        <v>NA2RB-14</v>
      </c>
      <c r="O2660">
        <f>COUNTIFS(F$1:F2660,F2660,A$1:A2660,A2660)</f>
        <v>53</v>
      </c>
      <c r="P2660" t="str">
        <f t="shared" si="125"/>
        <v>Giovani Bernard2</v>
      </c>
    </row>
    <row r="2661" spans="1:16" x14ac:dyDescent="0.25">
      <c r="A2661">
        <v>2</v>
      </c>
      <c r="B2661" t="s">
        <v>239</v>
      </c>
      <c r="C2661">
        <f>-1.25-10.91</f>
        <v>-12.16</v>
      </c>
      <c r="D2661">
        <v>4.83</v>
      </c>
      <c r="E2661" t="s">
        <v>77</v>
      </c>
      <c r="F2661" t="s">
        <v>87</v>
      </c>
      <c r="G2661">
        <v>10.91</v>
      </c>
      <c r="H2661">
        <v>-1.25</v>
      </c>
      <c r="I2661">
        <v>6.08</v>
      </c>
      <c r="J2661">
        <v>36.9664</v>
      </c>
      <c r="K2661" t="str">
        <f>IFERROR(INDEX(Rosters!$C$2:$C$155,MATCH($B2661,Rosters!$B$2:$B$155,0)),"NA")</f>
        <v>NA</v>
      </c>
      <c r="L2661" t="str">
        <f t="shared" si="123"/>
        <v>NA2WR</v>
      </c>
      <c r="M2661">
        <f>COUNTIF(L$1:L2661,L2661)</f>
        <v>15</v>
      </c>
      <c r="N2661" t="str">
        <f t="shared" si="124"/>
        <v>NA2WR-15</v>
      </c>
      <c r="O2661">
        <f>COUNTIFS(F$1:F2661,F2661,A$1:A2661,A2661)</f>
        <v>59</v>
      </c>
      <c r="P2661" t="str">
        <f t="shared" si="125"/>
        <v>John Ross2</v>
      </c>
    </row>
    <row r="2662" spans="1:16" x14ac:dyDescent="0.25">
      <c r="A2662">
        <v>10</v>
      </c>
      <c r="B2662" t="s">
        <v>255</v>
      </c>
      <c r="C2662" t="s">
        <v>7626</v>
      </c>
      <c r="D2662">
        <v>4.83</v>
      </c>
      <c r="E2662" t="s">
        <v>54</v>
      </c>
      <c r="F2662" t="s">
        <v>87</v>
      </c>
      <c r="G2662">
        <v>8.9499999999999993</v>
      </c>
      <c r="H2662">
        <v>0.71</v>
      </c>
      <c r="I2662">
        <v>4.12</v>
      </c>
      <c r="J2662">
        <v>16.974399999999999</v>
      </c>
      <c r="K2662" t="str">
        <f>IFERROR(INDEX(Rosters!$C$2:$C$155,MATCH($B2662,Rosters!$B$2:$B$155,0)),"NA")</f>
        <v>NA</v>
      </c>
      <c r="L2662" t="str">
        <f t="shared" si="123"/>
        <v>NA10WR</v>
      </c>
      <c r="M2662">
        <f>COUNTIF(L$1:L2662,L2662)</f>
        <v>15</v>
      </c>
      <c r="N2662" t="str">
        <f t="shared" si="124"/>
        <v>NA10WR-15</v>
      </c>
      <c r="O2662">
        <f>COUNTIFS(F$1:F2662,F2662,A$1:A2662,A2662)</f>
        <v>57</v>
      </c>
      <c r="P2662" t="str">
        <f t="shared" si="125"/>
        <v>Marquise Goodwin10</v>
      </c>
    </row>
    <row r="2663" spans="1:16" x14ac:dyDescent="0.25">
      <c r="A2663">
        <v>15</v>
      </c>
      <c r="B2663" t="s">
        <v>1408</v>
      </c>
      <c r="C2663">
        <f>-0.43-10.09</f>
        <v>-10.52</v>
      </c>
      <c r="D2663">
        <v>4.83</v>
      </c>
      <c r="E2663" t="s">
        <v>66</v>
      </c>
      <c r="F2663" t="s">
        <v>87</v>
      </c>
      <c r="G2663">
        <v>10.09</v>
      </c>
      <c r="H2663">
        <v>-0.43</v>
      </c>
      <c r="I2663">
        <v>5.26</v>
      </c>
      <c r="J2663">
        <v>27.6676</v>
      </c>
      <c r="K2663" t="str">
        <f>IFERROR(INDEX(Rosters!$C$2:$C$155,MATCH($B2663,Rosters!$B$2:$B$155,0)),"NA")</f>
        <v>NA</v>
      </c>
      <c r="L2663" t="str">
        <f t="shared" si="123"/>
        <v>NA15WR</v>
      </c>
      <c r="M2663">
        <f>COUNTIF(L$1:L2663,L2663)</f>
        <v>15</v>
      </c>
      <c r="N2663" t="str">
        <f t="shared" si="124"/>
        <v>NA15WR-15</v>
      </c>
      <c r="O2663">
        <f>COUNTIFS(F$1:F2663,F2663,A$1:A2663,A2663)</f>
        <v>65</v>
      </c>
      <c r="P2663" t="str">
        <f t="shared" si="125"/>
        <v>Michael Gallup15</v>
      </c>
    </row>
    <row r="2664" spans="1:16" x14ac:dyDescent="0.25">
      <c r="A2664">
        <v>10</v>
      </c>
      <c r="B2664" t="s">
        <v>1395</v>
      </c>
      <c r="C2664" t="s">
        <v>7627</v>
      </c>
      <c r="D2664">
        <v>4.83</v>
      </c>
      <c r="E2664" t="s">
        <v>76</v>
      </c>
      <c r="F2664" t="s">
        <v>47</v>
      </c>
      <c r="G2664">
        <v>8.7100000000000009</v>
      </c>
      <c r="H2664">
        <v>0.95</v>
      </c>
      <c r="I2664">
        <v>3.88</v>
      </c>
      <c r="J2664">
        <v>15.054399999999999</v>
      </c>
      <c r="K2664" t="str">
        <f>IFERROR(INDEX(Rosters!$C$2:$C$155,MATCH($B2664,Rosters!$B$2:$B$155,0)),"NA")</f>
        <v>cory</v>
      </c>
      <c r="L2664" t="str">
        <f t="shared" si="123"/>
        <v>cory10RB</v>
      </c>
      <c r="M2664">
        <f>COUNTIF(L$1:L2664,L2664)</f>
        <v>5</v>
      </c>
      <c r="N2664" t="str">
        <f t="shared" si="124"/>
        <v>cory10RB-5</v>
      </c>
      <c r="O2664">
        <f>COUNTIFS(F$1:F2664,F2664,A$1:A2664,A2664)</f>
        <v>49</v>
      </c>
      <c r="P2664" t="str">
        <f t="shared" si="125"/>
        <v>Nyheim Hines10</v>
      </c>
    </row>
    <row r="2665" spans="1:16" x14ac:dyDescent="0.25">
      <c r="A2665">
        <v>3</v>
      </c>
      <c r="B2665" t="s">
        <v>1211</v>
      </c>
      <c r="C2665" t="s">
        <v>3742</v>
      </c>
      <c r="D2665">
        <v>4.82</v>
      </c>
      <c r="E2665" t="s">
        <v>38</v>
      </c>
      <c r="F2665" t="s">
        <v>87</v>
      </c>
      <c r="G2665">
        <v>9.2100000000000009</v>
      </c>
      <c r="H2665">
        <v>0.43</v>
      </c>
      <c r="I2665">
        <v>4.3899999999999997</v>
      </c>
      <c r="J2665">
        <v>19.272099999999998</v>
      </c>
      <c r="K2665" t="str">
        <f>IFERROR(INDEX(Rosters!$C$2:$C$155,MATCH($B2665,Rosters!$B$2:$B$155,0)),"NA")</f>
        <v>NA</v>
      </c>
      <c r="L2665" t="str">
        <f t="shared" si="123"/>
        <v>NA3WR</v>
      </c>
      <c r="M2665">
        <f>COUNTIF(L$1:L2665,L2665)</f>
        <v>13</v>
      </c>
      <c r="N2665" t="str">
        <f t="shared" si="124"/>
        <v>NA3WR-13</v>
      </c>
      <c r="O2665">
        <f>COUNTIFS(F$1:F2665,F2665,A$1:A2665,A2665)</f>
        <v>58</v>
      </c>
      <c r="P2665" t="str">
        <f t="shared" si="125"/>
        <v>Dede Westbrook3</v>
      </c>
    </row>
    <row r="2666" spans="1:16" x14ac:dyDescent="0.25">
      <c r="A2666">
        <v>1</v>
      </c>
      <c r="B2666" t="s">
        <v>213</v>
      </c>
      <c r="C2666" t="s">
        <v>1414</v>
      </c>
      <c r="D2666">
        <v>4.8099999999999996</v>
      </c>
      <c r="E2666" t="s">
        <v>14</v>
      </c>
      <c r="F2666" t="s">
        <v>114</v>
      </c>
      <c r="G2666">
        <v>8.84</v>
      </c>
      <c r="H2666">
        <v>0.78</v>
      </c>
      <c r="I2666">
        <v>4.03</v>
      </c>
      <c r="J2666">
        <v>16.2409</v>
      </c>
      <c r="K2666" t="str">
        <f>IFERROR(INDEX(Rosters!$C$2:$C$155,MATCH($B2666,Rosters!$B$2:$B$155,0)),"NA")</f>
        <v>NA</v>
      </c>
      <c r="L2666" t="str">
        <f t="shared" si="123"/>
        <v>NA1TE</v>
      </c>
      <c r="M2666">
        <f>COUNTIF(L$1:L2666,L2666)</f>
        <v>3</v>
      </c>
      <c r="N2666" t="str">
        <f t="shared" si="124"/>
        <v>NA1TE-3</v>
      </c>
      <c r="O2666">
        <f>COUNTIFS(F$1:F2666,F2666,A$1:A2666,A2666)</f>
        <v>12</v>
      </c>
      <c r="P2666" t="str">
        <f t="shared" si="125"/>
        <v>Cameron Brate1</v>
      </c>
    </row>
    <row r="2667" spans="1:16" x14ac:dyDescent="0.25">
      <c r="A2667">
        <v>7</v>
      </c>
      <c r="B2667" t="s">
        <v>239</v>
      </c>
      <c r="C2667">
        <f>-0.3-9.92</f>
        <v>-10.220000000000001</v>
      </c>
      <c r="D2667">
        <v>4.8099999999999996</v>
      </c>
      <c r="E2667" t="s">
        <v>24</v>
      </c>
      <c r="F2667" t="s">
        <v>87</v>
      </c>
      <c r="G2667">
        <v>9.92</v>
      </c>
      <c r="H2667">
        <v>-0.3</v>
      </c>
      <c r="I2667">
        <v>5.1100000000000003</v>
      </c>
      <c r="J2667">
        <v>26.112100000000002</v>
      </c>
      <c r="K2667" t="str">
        <f>IFERROR(INDEX(Rosters!$C$2:$C$155,MATCH($B2667,Rosters!$B$2:$B$155,0)),"NA")</f>
        <v>NA</v>
      </c>
      <c r="L2667" t="str">
        <f t="shared" si="123"/>
        <v>NA7WR</v>
      </c>
      <c r="M2667">
        <f>COUNTIF(L$1:L2667,L2667)</f>
        <v>17</v>
      </c>
      <c r="N2667" t="str">
        <f t="shared" si="124"/>
        <v>NA7WR-17</v>
      </c>
      <c r="O2667">
        <f>COUNTIFS(F$1:F2667,F2667,A$1:A2667,A2667)</f>
        <v>58</v>
      </c>
      <c r="P2667" t="str">
        <f t="shared" si="125"/>
        <v>John Ross7</v>
      </c>
    </row>
    <row r="2668" spans="1:16" x14ac:dyDescent="0.25">
      <c r="A2668">
        <v>15</v>
      </c>
      <c r="B2668" t="s">
        <v>1148</v>
      </c>
      <c r="C2668" t="s">
        <v>7628</v>
      </c>
      <c r="D2668">
        <v>4.8099999999999996</v>
      </c>
      <c r="E2668" t="s">
        <v>30</v>
      </c>
      <c r="F2668" t="s">
        <v>47</v>
      </c>
      <c r="G2668">
        <v>9.4</v>
      </c>
      <c r="H2668">
        <v>0.22</v>
      </c>
      <c r="I2668">
        <v>4.59</v>
      </c>
      <c r="J2668">
        <v>21.068100000000001</v>
      </c>
      <c r="K2668" t="str">
        <f>IFERROR(INDEX(Rosters!$C$2:$C$155,MATCH($B2668,Rosters!$B$2:$B$155,0)),"NA")</f>
        <v>NA</v>
      </c>
      <c r="L2668" t="str">
        <f t="shared" si="123"/>
        <v>NA15RB</v>
      </c>
      <c r="M2668">
        <f>COUNTIF(L$1:L2668,L2668)</f>
        <v>15</v>
      </c>
      <c r="N2668" t="str">
        <f t="shared" si="124"/>
        <v>NA15RB-15</v>
      </c>
      <c r="O2668">
        <f>COUNTIFS(F$1:F2668,F2668,A$1:A2668,A2668)</f>
        <v>60</v>
      </c>
      <c r="P2668" t="str">
        <f t="shared" si="125"/>
        <v>Mike Davis15</v>
      </c>
    </row>
    <row r="2669" spans="1:16" x14ac:dyDescent="0.25">
      <c r="A2669">
        <v>6</v>
      </c>
      <c r="B2669" t="s">
        <v>210</v>
      </c>
      <c r="C2669" t="s">
        <v>7629</v>
      </c>
      <c r="D2669">
        <v>4.8099999999999996</v>
      </c>
      <c r="E2669" t="s">
        <v>52</v>
      </c>
      <c r="F2669" t="s">
        <v>87</v>
      </c>
      <c r="G2669">
        <v>7.89</v>
      </c>
      <c r="H2669">
        <v>1.73</v>
      </c>
      <c r="I2669">
        <v>3.08</v>
      </c>
      <c r="J2669">
        <v>9.4863999999999997</v>
      </c>
      <c r="K2669" t="str">
        <f>IFERROR(INDEX(Rosters!$C$2:$C$155,MATCH($B2669,Rosters!$B$2:$B$155,0)),"NA")</f>
        <v>NA</v>
      </c>
      <c r="L2669" t="str">
        <f t="shared" si="123"/>
        <v>NA6WR</v>
      </c>
      <c r="M2669">
        <f>COUNTIF(L$1:L2669,L2669)</f>
        <v>14</v>
      </c>
      <c r="N2669" t="str">
        <f t="shared" si="124"/>
        <v>NA6WR-14</v>
      </c>
      <c r="O2669">
        <f>COUNTIFS(F$1:F2669,F2669,A$1:A2669,A2669)</f>
        <v>59</v>
      </c>
      <c r="P2669" t="str">
        <f t="shared" si="125"/>
        <v>Tyrell Williams6</v>
      </c>
    </row>
    <row r="2670" spans="1:16" x14ac:dyDescent="0.25">
      <c r="A2670">
        <v>1</v>
      </c>
      <c r="B2670" t="s">
        <v>1387</v>
      </c>
      <c r="C2670" t="s">
        <v>1415</v>
      </c>
      <c r="D2670">
        <v>4.8</v>
      </c>
      <c r="E2670" t="s">
        <v>46</v>
      </c>
      <c r="F2670" t="s">
        <v>47</v>
      </c>
      <c r="G2670">
        <v>9.4700000000000006</v>
      </c>
      <c r="H2670">
        <v>0.13</v>
      </c>
      <c r="I2670">
        <v>4.67</v>
      </c>
      <c r="J2670">
        <v>21.808900000000001</v>
      </c>
      <c r="K2670" t="str">
        <f>IFERROR(INDEX(Rosters!$C$2:$C$155,MATCH($B2670,Rosters!$B$2:$B$155,0)),"NA")</f>
        <v>NA</v>
      </c>
      <c r="L2670" t="str">
        <f t="shared" si="123"/>
        <v>NA1RB</v>
      </c>
      <c r="M2670">
        <f>COUNTIF(L$1:L2670,L2670)</f>
        <v>12</v>
      </c>
      <c r="N2670" t="str">
        <f t="shared" si="124"/>
        <v>NA1RB-12</v>
      </c>
      <c r="O2670">
        <f>COUNTIFS(F$1:F2670,F2670,A$1:A2670,A2670)</f>
        <v>50</v>
      </c>
      <c r="P2670" t="str">
        <f t="shared" si="125"/>
        <v>Corey Clement1</v>
      </c>
    </row>
    <row r="2671" spans="1:16" x14ac:dyDescent="0.25">
      <c r="A2671">
        <v>4</v>
      </c>
      <c r="B2671" t="s">
        <v>144</v>
      </c>
      <c r="C2671" t="s">
        <v>4545</v>
      </c>
      <c r="D2671">
        <v>4.8</v>
      </c>
      <c r="E2671" t="s">
        <v>54</v>
      </c>
      <c r="F2671" t="s">
        <v>47</v>
      </c>
      <c r="G2671">
        <v>8.57</v>
      </c>
      <c r="H2671">
        <v>1.03</v>
      </c>
      <c r="I2671">
        <v>3.77</v>
      </c>
      <c r="J2671">
        <v>14.212899999999999</v>
      </c>
      <c r="K2671" t="str">
        <f>IFERROR(INDEX(Rosters!$C$2:$C$155,MATCH($B2671,Rosters!$B$2:$B$155,0)),"NA")</f>
        <v>NA</v>
      </c>
      <c r="L2671" t="str">
        <f t="shared" si="123"/>
        <v>NA4RB</v>
      </c>
      <c r="M2671">
        <f>COUNTIF(L$1:L2671,L2671)</f>
        <v>10</v>
      </c>
      <c r="N2671" t="str">
        <f t="shared" si="124"/>
        <v>NA4RB-10</v>
      </c>
      <c r="O2671">
        <f>COUNTIFS(F$1:F2671,F2671,A$1:A2671,A2671)</f>
        <v>48</v>
      </c>
      <c r="P2671" t="str">
        <f t="shared" si="125"/>
        <v>Mike Gillislee4</v>
      </c>
    </row>
    <row r="2672" spans="1:16" x14ac:dyDescent="0.25">
      <c r="A2672">
        <v>14</v>
      </c>
      <c r="B2672" t="s">
        <v>226</v>
      </c>
      <c r="C2672" t="s">
        <v>7630</v>
      </c>
      <c r="D2672">
        <v>4.8</v>
      </c>
      <c r="E2672" t="s">
        <v>31</v>
      </c>
      <c r="F2672" t="s">
        <v>87</v>
      </c>
      <c r="G2672">
        <v>8.7899999999999991</v>
      </c>
      <c r="H2672">
        <v>0.81</v>
      </c>
      <c r="I2672">
        <v>3.99</v>
      </c>
      <c r="J2672">
        <v>15.9201</v>
      </c>
      <c r="K2672" t="str">
        <f>IFERROR(INDEX(Rosters!$C$2:$C$155,MATCH($B2672,Rosters!$B$2:$B$155,0)),"NA")</f>
        <v>comp</v>
      </c>
      <c r="L2672" t="str">
        <f t="shared" si="123"/>
        <v>comp14WR</v>
      </c>
      <c r="M2672">
        <f>COUNTIF(L$1:L2672,L2672)</f>
        <v>7</v>
      </c>
      <c r="N2672" t="str">
        <f t="shared" si="124"/>
        <v>comp14WR-7</v>
      </c>
      <c r="O2672">
        <f>COUNTIFS(F$1:F2672,F2672,A$1:A2672,A2672)</f>
        <v>66</v>
      </c>
      <c r="P2672" t="str">
        <f t="shared" si="125"/>
        <v>Mike Williams14</v>
      </c>
    </row>
    <row r="2673" spans="1:16" x14ac:dyDescent="0.25">
      <c r="A2673">
        <v>14</v>
      </c>
      <c r="B2673" t="s">
        <v>217</v>
      </c>
      <c r="C2673" t="s">
        <v>7631</v>
      </c>
      <c r="D2673">
        <v>4.79</v>
      </c>
      <c r="E2673" t="s">
        <v>73</v>
      </c>
      <c r="F2673" t="s">
        <v>114</v>
      </c>
      <c r="G2673">
        <v>8.92</v>
      </c>
      <c r="H2673">
        <v>0.66</v>
      </c>
      <c r="I2673">
        <v>4.13</v>
      </c>
      <c r="J2673">
        <v>17.056899999999999</v>
      </c>
      <c r="K2673" t="str">
        <f>IFERROR(INDEX(Rosters!$C$2:$C$155,MATCH($B2673,Rosters!$B$2:$B$155,0)),"NA")</f>
        <v>NA</v>
      </c>
      <c r="L2673" t="str">
        <f t="shared" si="123"/>
        <v>NA14TE</v>
      </c>
      <c r="M2673">
        <f>COUNTIF(L$1:L2673,L2673)</f>
        <v>4</v>
      </c>
      <c r="N2673" t="str">
        <f t="shared" si="124"/>
        <v>NA14TE-4</v>
      </c>
      <c r="O2673">
        <f>COUNTIFS(F$1:F2673,F2673,A$1:A2673,A2673)</f>
        <v>17</v>
      </c>
      <c r="P2673" t="str">
        <f t="shared" si="125"/>
        <v>Charles Clay14</v>
      </c>
    </row>
    <row r="2674" spans="1:16" x14ac:dyDescent="0.25">
      <c r="A2674">
        <v>17</v>
      </c>
      <c r="B2674" t="s">
        <v>202</v>
      </c>
      <c r="C2674" t="s">
        <v>7632</v>
      </c>
      <c r="D2674">
        <v>4.79</v>
      </c>
      <c r="E2674" t="s">
        <v>50</v>
      </c>
      <c r="F2674" t="s">
        <v>47</v>
      </c>
      <c r="G2674">
        <v>7.43</v>
      </c>
      <c r="H2674">
        <v>2.15</v>
      </c>
      <c r="I2674">
        <v>2.64</v>
      </c>
      <c r="J2674">
        <v>6.9695999999999998</v>
      </c>
      <c r="K2674" t="str">
        <f>IFERROR(INDEX(Rosters!$C$2:$C$155,MATCH($B2674,Rosters!$B$2:$B$155,0)),"NA")</f>
        <v>lucas</v>
      </c>
      <c r="L2674" t="str">
        <f t="shared" si="123"/>
        <v>lucas17RB</v>
      </c>
      <c r="M2674">
        <f>COUNTIF(L$1:L2674,L2674)</f>
        <v>5</v>
      </c>
      <c r="N2674" t="str">
        <f t="shared" si="124"/>
        <v>lucas17RB-5</v>
      </c>
      <c r="O2674">
        <f>COUNTIFS(F$1:F2674,F2674,A$1:A2674,A2674)</f>
        <v>56</v>
      </c>
      <c r="P2674" t="str">
        <f t="shared" si="125"/>
        <v>Chris Thompson17</v>
      </c>
    </row>
    <row r="2675" spans="1:16" x14ac:dyDescent="0.25">
      <c r="A2675">
        <v>1</v>
      </c>
      <c r="B2675" t="s">
        <v>1211</v>
      </c>
      <c r="C2675" t="s">
        <v>1416</v>
      </c>
      <c r="D2675">
        <v>4.79</v>
      </c>
      <c r="E2675" t="s">
        <v>54</v>
      </c>
      <c r="F2675" t="s">
        <v>87</v>
      </c>
      <c r="G2675">
        <v>9.1</v>
      </c>
      <c r="H2675">
        <v>0.48</v>
      </c>
      <c r="I2675">
        <v>4.3099999999999996</v>
      </c>
      <c r="J2675">
        <v>18.5761</v>
      </c>
      <c r="K2675" t="str">
        <f>IFERROR(INDEX(Rosters!$C$2:$C$155,MATCH($B2675,Rosters!$B$2:$B$155,0)),"NA")</f>
        <v>NA</v>
      </c>
      <c r="L2675" t="str">
        <f t="shared" si="123"/>
        <v>NA1WR</v>
      </c>
      <c r="M2675">
        <f>COUNTIF(L$1:L2675,L2675)</f>
        <v>14</v>
      </c>
      <c r="N2675" t="str">
        <f t="shared" si="124"/>
        <v>NA1WR-14</v>
      </c>
      <c r="O2675">
        <f>COUNTIFS(F$1:F2675,F2675,A$1:A2675,A2675)</f>
        <v>57</v>
      </c>
      <c r="P2675" t="str">
        <f t="shared" si="125"/>
        <v>Dede Westbrook1</v>
      </c>
    </row>
    <row r="2676" spans="1:16" x14ac:dyDescent="0.25">
      <c r="A2676">
        <v>15</v>
      </c>
      <c r="B2676" t="s">
        <v>175</v>
      </c>
      <c r="C2676" t="s">
        <v>7633</v>
      </c>
      <c r="D2676">
        <v>4.79</v>
      </c>
      <c r="E2676" t="s">
        <v>25</v>
      </c>
      <c r="F2676" t="s">
        <v>87</v>
      </c>
      <c r="G2676">
        <v>9.09</v>
      </c>
      <c r="H2676">
        <v>0.49</v>
      </c>
      <c r="I2676">
        <v>4.3</v>
      </c>
      <c r="J2676">
        <v>18.489999999999998</v>
      </c>
      <c r="K2676" t="str">
        <f>IFERROR(INDEX(Rosters!$C$2:$C$155,MATCH($B2676,Rosters!$B$2:$B$155,0)),"NA")</f>
        <v>NA</v>
      </c>
      <c r="L2676" t="str">
        <f t="shared" si="123"/>
        <v>NA15WR</v>
      </c>
      <c r="M2676">
        <f>COUNTIF(L$1:L2676,L2676)</f>
        <v>16</v>
      </c>
      <c r="N2676" t="str">
        <f t="shared" si="124"/>
        <v>NA15WR-16</v>
      </c>
      <c r="O2676">
        <f>COUNTIFS(F$1:F2676,F2676,A$1:A2676,A2676)</f>
        <v>66</v>
      </c>
      <c r="P2676" t="str">
        <f t="shared" si="125"/>
        <v>DeVante Parker15</v>
      </c>
    </row>
    <row r="2677" spans="1:16" x14ac:dyDescent="0.25">
      <c r="A2677">
        <v>7</v>
      </c>
      <c r="B2677" t="s">
        <v>255</v>
      </c>
      <c r="C2677" t="s">
        <v>7634</v>
      </c>
      <c r="D2677">
        <v>4.79</v>
      </c>
      <c r="E2677" t="s">
        <v>56</v>
      </c>
      <c r="F2677" t="s">
        <v>87</v>
      </c>
      <c r="G2677">
        <v>8.51</v>
      </c>
      <c r="H2677">
        <v>1.07</v>
      </c>
      <c r="I2677">
        <v>3.72</v>
      </c>
      <c r="J2677">
        <v>13.8384</v>
      </c>
      <c r="K2677" t="str">
        <f>IFERROR(INDEX(Rosters!$C$2:$C$155,MATCH($B2677,Rosters!$B$2:$B$155,0)),"NA")</f>
        <v>NA</v>
      </c>
      <c r="L2677" t="str">
        <f t="shared" si="123"/>
        <v>NA7WR</v>
      </c>
      <c r="M2677">
        <f>COUNTIF(L$1:L2677,L2677)</f>
        <v>18</v>
      </c>
      <c r="N2677" t="str">
        <f t="shared" si="124"/>
        <v>NA7WR-18</v>
      </c>
      <c r="O2677">
        <f>COUNTIFS(F$1:F2677,F2677,A$1:A2677,A2677)</f>
        <v>59</v>
      </c>
      <c r="P2677" t="str">
        <f t="shared" si="125"/>
        <v>Marquise Goodwin7</v>
      </c>
    </row>
    <row r="2678" spans="1:16" x14ac:dyDescent="0.25">
      <c r="A2678">
        <v>9</v>
      </c>
      <c r="B2678" t="s">
        <v>229</v>
      </c>
      <c r="C2678">
        <f>-0.36-9.94</f>
        <v>-10.299999999999999</v>
      </c>
      <c r="D2678">
        <v>4.79</v>
      </c>
      <c r="E2678" t="s">
        <v>74</v>
      </c>
      <c r="F2678" t="s">
        <v>114</v>
      </c>
      <c r="G2678">
        <v>9.94</v>
      </c>
      <c r="H2678">
        <v>-0.36</v>
      </c>
      <c r="I2678">
        <v>5.15</v>
      </c>
      <c r="J2678">
        <v>26.522500000000001</v>
      </c>
      <c r="K2678" t="str">
        <f>IFERROR(INDEX(Rosters!$C$2:$C$155,MATCH($B2678,Rosters!$B$2:$B$155,0)),"NA")</f>
        <v>NA</v>
      </c>
      <c r="L2678" t="str">
        <f t="shared" si="123"/>
        <v>NA9TE</v>
      </c>
      <c r="M2678">
        <f>COUNTIF(L$1:L2678,L2678)</f>
        <v>4</v>
      </c>
      <c r="N2678" t="str">
        <f t="shared" si="124"/>
        <v>NA9TE-4</v>
      </c>
      <c r="O2678">
        <f>COUNTIFS(F$1:F2678,F2678,A$1:A2678,A2678)</f>
        <v>12</v>
      </c>
      <c r="P2678" t="str">
        <f t="shared" si="125"/>
        <v>O.J. Howard9</v>
      </c>
    </row>
    <row r="2679" spans="1:16" x14ac:dyDescent="0.25">
      <c r="A2679">
        <v>15</v>
      </c>
      <c r="B2679" t="s">
        <v>229</v>
      </c>
      <c r="C2679">
        <f>-0.45-10.03</f>
        <v>-10.479999999999999</v>
      </c>
      <c r="D2679">
        <v>4.79</v>
      </c>
      <c r="E2679" t="s">
        <v>77</v>
      </c>
      <c r="F2679" t="s">
        <v>114</v>
      </c>
      <c r="G2679">
        <v>10.029999999999999</v>
      </c>
      <c r="H2679">
        <v>-0.45</v>
      </c>
      <c r="I2679">
        <v>5.24</v>
      </c>
      <c r="J2679">
        <v>27.457599999999999</v>
      </c>
      <c r="K2679" t="str">
        <f>IFERROR(INDEX(Rosters!$C$2:$C$155,MATCH($B2679,Rosters!$B$2:$B$155,0)),"NA")</f>
        <v>NA</v>
      </c>
      <c r="L2679" t="str">
        <f t="shared" si="123"/>
        <v>NA15TE</v>
      </c>
      <c r="M2679">
        <f>COUNTIF(L$1:L2679,L2679)</f>
        <v>4</v>
      </c>
      <c r="N2679" t="str">
        <f t="shared" si="124"/>
        <v>NA15TE-4</v>
      </c>
      <c r="O2679">
        <f>COUNTIFS(F$1:F2679,F2679,A$1:A2679,A2679)</f>
        <v>16</v>
      </c>
      <c r="P2679" t="str">
        <f t="shared" si="125"/>
        <v>O.J. Howard15</v>
      </c>
    </row>
    <row r="2680" spans="1:16" x14ac:dyDescent="0.25">
      <c r="A2680">
        <v>3</v>
      </c>
      <c r="B2680" t="s">
        <v>273</v>
      </c>
      <c r="C2680" t="s">
        <v>3743</v>
      </c>
      <c r="D2680">
        <v>4.78</v>
      </c>
      <c r="E2680" t="s">
        <v>32</v>
      </c>
      <c r="F2680" t="s">
        <v>87</v>
      </c>
      <c r="G2680">
        <v>8.42</v>
      </c>
      <c r="H2680">
        <v>1.1399999999999999</v>
      </c>
      <c r="I2680">
        <v>3.64</v>
      </c>
      <c r="J2680">
        <v>13.249599999999999</v>
      </c>
      <c r="K2680" t="str">
        <f>IFERROR(INDEX(Rosters!$C$2:$C$155,MATCH($B2680,Rosters!$B$2:$B$155,0)),"NA")</f>
        <v>NA</v>
      </c>
      <c r="L2680" t="str">
        <f t="shared" si="123"/>
        <v>NA3WR</v>
      </c>
      <c r="M2680">
        <f>COUNTIF(L$1:L2680,L2680)</f>
        <v>14</v>
      </c>
      <c r="N2680" t="str">
        <f t="shared" si="124"/>
        <v>NA3WR-14</v>
      </c>
      <c r="O2680">
        <f>COUNTIFS(F$1:F2680,F2680,A$1:A2680,A2680)</f>
        <v>59</v>
      </c>
      <c r="P2680" t="str">
        <f t="shared" si="125"/>
        <v>Albert Wilson3</v>
      </c>
    </row>
    <row r="2681" spans="1:16" x14ac:dyDescent="0.25">
      <c r="A2681">
        <v>17</v>
      </c>
      <c r="B2681" t="s">
        <v>1373</v>
      </c>
      <c r="C2681" t="s">
        <v>7635</v>
      </c>
      <c r="D2681">
        <v>4.78</v>
      </c>
      <c r="E2681" t="s">
        <v>42</v>
      </c>
      <c r="F2681" t="s">
        <v>47</v>
      </c>
      <c r="G2681">
        <v>8.51</v>
      </c>
      <c r="H2681">
        <v>1.05</v>
      </c>
      <c r="I2681">
        <v>3.73</v>
      </c>
      <c r="J2681">
        <v>13.9129</v>
      </c>
      <c r="K2681" t="str">
        <f>IFERROR(INDEX(Rosters!$C$2:$C$155,MATCH($B2681,Rosters!$B$2:$B$155,0)),"NA")</f>
        <v>matty</v>
      </c>
      <c r="L2681" t="str">
        <f t="shared" si="123"/>
        <v>matty17RB</v>
      </c>
      <c r="M2681">
        <f>COUNTIF(L$1:L2681,L2681)</f>
        <v>4</v>
      </c>
      <c r="N2681" t="str">
        <f t="shared" si="124"/>
        <v>matty17RB-4</v>
      </c>
      <c r="O2681">
        <f>COUNTIFS(F$1:F2681,F2681,A$1:A2681,A2681)</f>
        <v>57</v>
      </c>
      <c r="P2681" t="str">
        <f t="shared" si="125"/>
        <v>Austin Ekeler17</v>
      </c>
    </row>
    <row r="2682" spans="1:16" x14ac:dyDescent="0.25">
      <c r="A2682">
        <v>12</v>
      </c>
      <c r="B2682" t="s">
        <v>260</v>
      </c>
      <c r="C2682" t="s">
        <v>7636</v>
      </c>
      <c r="D2682">
        <v>4.78</v>
      </c>
      <c r="E2682" t="s">
        <v>38</v>
      </c>
      <c r="F2682" t="s">
        <v>47</v>
      </c>
      <c r="G2682">
        <v>8.48</v>
      </c>
      <c r="H2682">
        <v>1.08</v>
      </c>
      <c r="I2682">
        <v>3.7</v>
      </c>
      <c r="J2682">
        <v>13.69</v>
      </c>
      <c r="K2682" t="str">
        <f>IFERROR(INDEX(Rosters!$C$2:$C$155,MATCH($B2682,Rosters!$B$2:$B$155,0)),"NA")</f>
        <v>NA</v>
      </c>
      <c r="L2682" t="str">
        <f t="shared" si="123"/>
        <v>NA12RB</v>
      </c>
      <c r="M2682">
        <f>COUNTIF(L$1:L2682,L2682)</f>
        <v>9</v>
      </c>
      <c r="N2682" t="str">
        <f t="shared" si="124"/>
        <v>NA12RB-9</v>
      </c>
      <c r="O2682">
        <f>COUNTIFS(F$1:F2682,F2682,A$1:A2682,A2682)</f>
        <v>53</v>
      </c>
      <c r="P2682" t="str">
        <f t="shared" si="125"/>
        <v>D'Onta Foreman12</v>
      </c>
    </row>
    <row r="2683" spans="1:16" x14ac:dyDescent="0.25">
      <c r="A2683">
        <v>12</v>
      </c>
      <c r="B2683" t="s">
        <v>1122</v>
      </c>
      <c r="C2683" t="s">
        <v>7637</v>
      </c>
      <c r="D2683">
        <v>4.78</v>
      </c>
      <c r="E2683" t="s">
        <v>54</v>
      </c>
      <c r="F2683" t="s">
        <v>47</v>
      </c>
      <c r="G2683">
        <v>8.9600000000000009</v>
      </c>
      <c r="H2683">
        <v>0.6</v>
      </c>
      <c r="I2683">
        <v>4.18</v>
      </c>
      <c r="J2683">
        <v>17.4724</v>
      </c>
      <c r="K2683" t="str">
        <f>IFERROR(INDEX(Rosters!$C$2:$C$155,MATCH($B2683,Rosters!$B$2:$B$155,0)),"NA")</f>
        <v>NA</v>
      </c>
      <c r="L2683" t="str">
        <f t="shared" si="123"/>
        <v>NA12RB</v>
      </c>
      <c r="M2683">
        <f>COUNTIF(L$1:L2683,L2683)</f>
        <v>10</v>
      </c>
      <c r="N2683" t="str">
        <f t="shared" si="124"/>
        <v>NA12RB-10</v>
      </c>
      <c r="O2683">
        <f>COUNTIFS(F$1:F2683,F2683,A$1:A2683,A2683)</f>
        <v>54</v>
      </c>
      <c r="P2683" t="str">
        <f t="shared" si="125"/>
        <v>Darren Sproles12</v>
      </c>
    </row>
    <row r="2684" spans="1:16" x14ac:dyDescent="0.25">
      <c r="A2684">
        <v>17</v>
      </c>
      <c r="B2684" t="s">
        <v>101</v>
      </c>
      <c r="C2684" t="s">
        <v>7638</v>
      </c>
      <c r="D2684">
        <v>4.78</v>
      </c>
      <c r="E2684" t="s">
        <v>24</v>
      </c>
      <c r="F2684" t="s">
        <v>47</v>
      </c>
      <c r="G2684">
        <v>7.79</v>
      </c>
      <c r="H2684">
        <v>1.77</v>
      </c>
      <c r="I2684">
        <v>3.01</v>
      </c>
      <c r="J2684">
        <v>9.0601000000000003</v>
      </c>
      <c r="K2684" t="str">
        <f>IFERROR(INDEX(Rosters!$C$2:$C$155,MATCH($B2684,Rosters!$B$2:$B$155,0)),"NA")</f>
        <v>NA</v>
      </c>
      <c r="L2684" t="str">
        <f t="shared" si="123"/>
        <v>NA17RB</v>
      </c>
      <c r="M2684">
        <f>COUNTIF(L$1:L2684,L2684)</f>
        <v>13</v>
      </c>
      <c r="N2684" t="str">
        <f t="shared" si="124"/>
        <v>NA17RB-13</v>
      </c>
      <c r="O2684">
        <f>COUNTIFS(F$1:F2684,F2684,A$1:A2684,A2684)</f>
        <v>58</v>
      </c>
      <c r="P2684" t="str">
        <f t="shared" si="125"/>
        <v>Doug Martin17</v>
      </c>
    </row>
    <row r="2685" spans="1:16" x14ac:dyDescent="0.25">
      <c r="A2685">
        <v>15</v>
      </c>
      <c r="B2685" t="s">
        <v>237</v>
      </c>
      <c r="C2685" t="s">
        <v>7639</v>
      </c>
      <c r="D2685">
        <v>4.78</v>
      </c>
      <c r="E2685" t="s">
        <v>41</v>
      </c>
      <c r="F2685" t="s">
        <v>87</v>
      </c>
      <c r="G2685">
        <v>8.41</v>
      </c>
      <c r="H2685">
        <v>1.1499999999999999</v>
      </c>
      <c r="I2685">
        <v>3.63</v>
      </c>
      <c r="J2685">
        <v>13.1769</v>
      </c>
      <c r="K2685" t="str">
        <f>IFERROR(INDEX(Rosters!$C$2:$C$155,MATCH($B2685,Rosters!$B$2:$B$155,0)),"NA")</f>
        <v>NA</v>
      </c>
      <c r="L2685" t="str">
        <f t="shared" si="123"/>
        <v>NA15WR</v>
      </c>
      <c r="M2685">
        <f>COUNTIF(L$1:L2685,L2685)</f>
        <v>17</v>
      </c>
      <c r="N2685" t="str">
        <f t="shared" si="124"/>
        <v>NA15WR-17</v>
      </c>
      <c r="O2685">
        <f>COUNTIFS(F$1:F2685,F2685,A$1:A2685,A2685)</f>
        <v>67</v>
      </c>
      <c r="P2685" t="str">
        <f t="shared" si="125"/>
        <v>Taylor Gabriel15</v>
      </c>
    </row>
    <row r="2686" spans="1:16" x14ac:dyDescent="0.25">
      <c r="A2686">
        <v>6</v>
      </c>
      <c r="B2686" t="s">
        <v>152</v>
      </c>
      <c r="C2686" t="s">
        <v>7640</v>
      </c>
      <c r="D2686">
        <v>4.78</v>
      </c>
      <c r="E2686" t="s">
        <v>38</v>
      </c>
      <c r="F2686" t="s">
        <v>87</v>
      </c>
      <c r="G2686">
        <v>8.5500000000000007</v>
      </c>
      <c r="H2686">
        <v>1.01</v>
      </c>
      <c r="I2686">
        <v>3.77</v>
      </c>
      <c r="J2686">
        <v>14.212899999999999</v>
      </c>
      <c r="K2686" t="str">
        <f>IFERROR(INDEX(Rosters!$C$2:$C$155,MATCH($B2686,Rosters!$B$2:$B$155,0)),"NA")</f>
        <v>NA</v>
      </c>
      <c r="L2686" t="str">
        <f t="shared" si="123"/>
        <v>NA6WR</v>
      </c>
      <c r="M2686">
        <f>COUNTIF(L$1:L2686,L2686)</f>
        <v>15</v>
      </c>
      <c r="N2686" t="str">
        <f t="shared" si="124"/>
        <v>NA6WR-15</v>
      </c>
      <c r="O2686">
        <f>COUNTIFS(F$1:F2686,F2686,A$1:A2686,A2686)</f>
        <v>60</v>
      </c>
      <c r="P2686" t="str">
        <f t="shared" si="125"/>
        <v>Willie Snead6</v>
      </c>
    </row>
    <row r="2687" spans="1:16" x14ac:dyDescent="0.25">
      <c r="A2687">
        <v>12</v>
      </c>
      <c r="B2687" t="s">
        <v>227</v>
      </c>
      <c r="C2687" t="s">
        <v>7641</v>
      </c>
      <c r="D2687">
        <v>4.7699999999999996</v>
      </c>
      <c r="E2687" t="s">
        <v>66</v>
      </c>
      <c r="F2687" t="s">
        <v>87</v>
      </c>
      <c r="G2687">
        <v>7.86</v>
      </c>
      <c r="H2687">
        <v>1.68</v>
      </c>
      <c r="I2687">
        <v>3.09</v>
      </c>
      <c r="J2687">
        <v>9.5480999999999998</v>
      </c>
      <c r="K2687" t="str">
        <f>IFERROR(INDEX(Rosters!$C$2:$C$155,MATCH($B2687,Rosters!$B$2:$B$155,0)),"NA")</f>
        <v>NA</v>
      </c>
      <c r="L2687" t="str">
        <f t="shared" si="123"/>
        <v>NA12WR</v>
      </c>
      <c r="M2687">
        <f>COUNTIF(L$1:L2687,L2687)</f>
        <v>14</v>
      </c>
      <c r="N2687" t="str">
        <f t="shared" si="124"/>
        <v>NA12WR-14</v>
      </c>
      <c r="O2687">
        <f>COUNTIFS(F$1:F2687,F2687,A$1:A2687,A2687)</f>
        <v>60</v>
      </c>
      <c r="P2687" t="str">
        <f t="shared" si="125"/>
        <v>Danny Amendola12</v>
      </c>
    </row>
    <row r="2688" spans="1:16" x14ac:dyDescent="0.25">
      <c r="A2688">
        <v>11</v>
      </c>
      <c r="B2688" t="s">
        <v>196</v>
      </c>
      <c r="C2688" t="s">
        <v>7642</v>
      </c>
      <c r="D2688">
        <v>4.7699999999999996</v>
      </c>
      <c r="E2688" t="s">
        <v>77</v>
      </c>
      <c r="F2688" t="s">
        <v>47</v>
      </c>
      <c r="G2688">
        <v>8.14</v>
      </c>
      <c r="H2688">
        <v>1.4</v>
      </c>
      <c r="I2688">
        <v>3.37</v>
      </c>
      <c r="J2688">
        <v>11.3569</v>
      </c>
      <c r="K2688" t="str">
        <f>IFERROR(INDEX(Rosters!$C$2:$C$155,MATCH($B2688,Rosters!$B$2:$B$155,0)),"NA")</f>
        <v>NA</v>
      </c>
      <c r="L2688" t="str">
        <f t="shared" si="123"/>
        <v>NA11RB</v>
      </c>
      <c r="M2688">
        <f>COUNTIF(L$1:L2688,L2688)</f>
        <v>10</v>
      </c>
      <c r="N2688" t="str">
        <f t="shared" si="124"/>
        <v>NA11RB-10</v>
      </c>
      <c r="O2688">
        <f>COUNTIFS(F$1:F2688,F2688,A$1:A2688,A2688)</f>
        <v>47</v>
      </c>
      <c r="P2688" t="str">
        <f t="shared" si="125"/>
        <v>Giovani Bernard11</v>
      </c>
    </row>
    <row r="2689" spans="1:16" x14ac:dyDescent="0.25">
      <c r="A2689">
        <v>17</v>
      </c>
      <c r="B2689" t="s">
        <v>156</v>
      </c>
      <c r="C2689" t="s">
        <v>7643</v>
      </c>
      <c r="D2689">
        <v>4.7699999999999996</v>
      </c>
      <c r="E2689" t="s">
        <v>24</v>
      </c>
      <c r="F2689" t="s">
        <v>87</v>
      </c>
      <c r="G2689">
        <v>8.0299999999999994</v>
      </c>
      <c r="H2689">
        <v>1.51</v>
      </c>
      <c r="I2689">
        <v>3.26</v>
      </c>
      <c r="J2689">
        <v>10.627599999999999</v>
      </c>
      <c r="K2689" t="str">
        <f>IFERROR(INDEX(Rosters!$C$2:$C$155,MATCH($B2689,Rosters!$B$2:$B$155,0)),"NA")</f>
        <v>NA</v>
      </c>
      <c r="L2689" t="str">
        <f t="shared" si="123"/>
        <v>NA17WR</v>
      </c>
      <c r="M2689">
        <f>COUNTIF(L$1:L2689,L2689)</f>
        <v>18</v>
      </c>
      <c r="N2689" t="str">
        <f t="shared" si="124"/>
        <v>NA17WR-18</v>
      </c>
      <c r="O2689">
        <f>COUNTIFS(F$1:F2689,F2689,A$1:A2689,A2689)</f>
        <v>70</v>
      </c>
      <c r="P2689" t="str">
        <f t="shared" si="125"/>
        <v>Martavis Bryant17</v>
      </c>
    </row>
    <row r="2690" spans="1:16" x14ac:dyDescent="0.25">
      <c r="A2690">
        <v>7</v>
      </c>
      <c r="B2690" t="s">
        <v>194</v>
      </c>
      <c r="C2690" t="s">
        <v>7644</v>
      </c>
      <c r="D2690">
        <v>4.7699999999999996</v>
      </c>
      <c r="E2690" t="s">
        <v>54</v>
      </c>
      <c r="F2690" t="s">
        <v>87</v>
      </c>
      <c r="G2690">
        <v>8.16</v>
      </c>
      <c r="H2690">
        <v>1.38</v>
      </c>
      <c r="I2690">
        <v>3.39</v>
      </c>
      <c r="J2690">
        <v>11.492100000000001</v>
      </c>
      <c r="K2690" t="str">
        <f>IFERROR(INDEX(Rosters!$C$2:$C$155,MATCH($B2690,Rosters!$B$2:$B$155,0)),"NA")</f>
        <v>NA</v>
      </c>
      <c r="L2690" t="str">
        <f t="shared" si="123"/>
        <v>NA7WR</v>
      </c>
      <c r="M2690">
        <f>COUNTIF(L$1:L2690,L2690)</f>
        <v>19</v>
      </c>
      <c r="N2690" t="str">
        <f t="shared" si="124"/>
        <v>NA7WR-19</v>
      </c>
      <c r="O2690">
        <f>COUNTIFS(F$1:F2690,F2690,A$1:A2690,A2690)</f>
        <v>60</v>
      </c>
      <c r="P2690" t="str">
        <f t="shared" si="125"/>
        <v>Mohamed Sanu7</v>
      </c>
    </row>
    <row r="2691" spans="1:16" x14ac:dyDescent="0.25">
      <c r="A2691">
        <v>2</v>
      </c>
      <c r="B2691" t="s">
        <v>1366</v>
      </c>
      <c r="C2691" t="s">
        <v>3360</v>
      </c>
      <c r="D2691">
        <v>4.7699999999999996</v>
      </c>
      <c r="E2691" t="s">
        <v>14</v>
      </c>
      <c r="F2691" t="s">
        <v>47</v>
      </c>
      <c r="G2691">
        <v>7.82</v>
      </c>
      <c r="H2691">
        <v>1.72</v>
      </c>
      <c r="I2691">
        <v>3.05</v>
      </c>
      <c r="J2691">
        <v>9.3025000000000002</v>
      </c>
      <c r="K2691" t="str">
        <f>IFERROR(INDEX(Rosters!$C$2:$C$155,MATCH($B2691,Rosters!$B$2:$B$155,0)),"NA")</f>
        <v>NA</v>
      </c>
      <c r="L2691" t="str">
        <f t="shared" ref="L2691:L2754" si="126">K2691&amp;A2691&amp;F2691</f>
        <v>NA2RB</v>
      </c>
      <c r="M2691">
        <f>COUNTIF(L$1:L2691,L2691)</f>
        <v>15</v>
      </c>
      <c r="N2691" t="str">
        <f t="shared" ref="N2691:N2754" si="127">L2691&amp;"-"&amp;M2691</f>
        <v>NA2RB-15</v>
      </c>
      <c r="O2691">
        <f>COUNTIFS(F$1:F2691,F2691,A$1:A2691,A2691)</f>
        <v>54</v>
      </c>
      <c r="P2691" t="str">
        <f t="shared" ref="P2691:P2754" si="128">B2691&amp;A2691</f>
        <v>Nick Chubb2</v>
      </c>
    </row>
    <row r="2692" spans="1:16" x14ac:dyDescent="0.25">
      <c r="A2692">
        <v>6</v>
      </c>
      <c r="B2692" t="s">
        <v>243</v>
      </c>
      <c r="C2692" t="s">
        <v>7645</v>
      </c>
      <c r="D2692">
        <v>4.7699999999999996</v>
      </c>
      <c r="E2692" t="s">
        <v>24</v>
      </c>
      <c r="F2692" t="s">
        <v>87</v>
      </c>
      <c r="G2692">
        <v>8.5</v>
      </c>
      <c r="H2692">
        <v>1.04</v>
      </c>
      <c r="I2692">
        <v>3.73</v>
      </c>
      <c r="J2692">
        <v>13.9129</v>
      </c>
      <c r="K2692" t="str">
        <f>IFERROR(INDEX(Rosters!$C$2:$C$155,MATCH($B2692,Rosters!$B$2:$B$155,0)),"NA")</f>
        <v>NA</v>
      </c>
      <c r="L2692" t="str">
        <f t="shared" si="126"/>
        <v>NA6WR</v>
      </c>
      <c r="M2692">
        <f>COUNTIF(L$1:L2692,L2692)</f>
        <v>16</v>
      </c>
      <c r="N2692" t="str">
        <f t="shared" si="127"/>
        <v>NA6WR-16</v>
      </c>
      <c r="O2692">
        <f>COUNTIFS(F$1:F2692,F2692,A$1:A2692,A2692)</f>
        <v>61</v>
      </c>
      <c r="P2692" t="str">
        <f t="shared" si="128"/>
        <v>Phillip Dorsett6</v>
      </c>
    </row>
    <row r="2693" spans="1:16" x14ac:dyDescent="0.25">
      <c r="A2693">
        <v>17</v>
      </c>
      <c r="B2693" t="s">
        <v>197</v>
      </c>
      <c r="C2693" t="s">
        <v>7646</v>
      </c>
      <c r="D2693">
        <v>4.76</v>
      </c>
      <c r="E2693" t="s">
        <v>54</v>
      </c>
      <c r="F2693" t="s">
        <v>87</v>
      </c>
      <c r="G2693">
        <v>8.6999999999999993</v>
      </c>
      <c r="H2693">
        <v>0.82</v>
      </c>
      <c r="I2693">
        <v>3.94</v>
      </c>
      <c r="J2693">
        <v>15.5236</v>
      </c>
      <c r="K2693" t="str">
        <f>IFERROR(INDEX(Rosters!$C$2:$C$155,MATCH($B2693,Rosters!$B$2:$B$155,0)),"NA")</f>
        <v>NA</v>
      </c>
      <c r="L2693" t="str">
        <f t="shared" si="126"/>
        <v>NA17WR</v>
      </c>
      <c r="M2693">
        <f>COUNTIF(L$1:L2693,L2693)</f>
        <v>19</v>
      </c>
      <c r="N2693" t="str">
        <f t="shared" si="127"/>
        <v>NA17WR-19</v>
      </c>
      <c r="O2693">
        <f>COUNTIFS(F$1:F2693,F2693,A$1:A2693,A2693)</f>
        <v>71</v>
      </c>
      <c r="P2693" t="str">
        <f t="shared" si="128"/>
        <v>Cole Beasley17</v>
      </c>
    </row>
    <row r="2694" spans="1:16" x14ac:dyDescent="0.25">
      <c r="A2694">
        <v>11</v>
      </c>
      <c r="B2694" t="s">
        <v>232</v>
      </c>
      <c r="C2694" t="s">
        <v>7647</v>
      </c>
      <c r="D2694">
        <v>4.76</v>
      </c>
      <c r="E2694" t="s">
        <v>58</v>
      </c>
      <c r="F2694" t="s">
        <v>47</v>
      </c>
      <c r="G2694">
        <v>8.35</v>
      </c>
      <c r="H2694">
        <v>1.17</v>
      </c>
      <c r="I2694">
        <v>3.59</v>
      </c>
      <c r="J2694">
        <v>12.8881</v>
      </c>
      <c r="K2694" t="str">
        <f>IFERROR(INDEX(Rosters!$C$2:$C$155,MATCH($B2694,Rosters!$B$2:$B$155,0)),"NA")</f>
        <v>NA</v>
      </c>
      <c r="L2694" t="str">
        <f t="shared" si="126"/>
        <v>NA11RB</v>
      </c>
      <c r="M2694">
        <f>COUNTIF(L$1:L2694,L2694)</f>
        <v>11</v>
      </c>
      <c r="N2694" t="str">
        <f t="shared" si="127"/>
        <v>NA11RB-11</v>
      </c>
      <c r="O2694">
        <f>COUNTIFS(F$1:F2694,F2694,A$1:A2694,A2694)</f>
        <v>48</v>
      </c>
      <c r="P2694" t="str">
        <f t="shared" si="128"/>
        <v>Jalen Richard11</v>
      </c>
    </row>
    <row r="2695" spans="1:16" x14ac:dyDescent="0.25">
      <c r="A2695">
        <v>12</v>
      </c>
      <c r="B2695" t="s">
        <v>1408</v>
      </c>
      <c r="C2695" t="s">
        <v>7648</v>
      </c>
      <c r="D2695">
        <v>4.75</v>
      </c>
      <c r="E2695" t="s">
        <v>60</v>
      </c>
      <c r="F2695" t="s">
        <v>87</v>
      </c>
      <c r="G2695">
        <v>9.0399999999999991</v>
      </c>
      <c r="H2695">
        <v>0.46</v>
      </c>
      <c r="I2695">
        <v>4.29</v>
      </c>
      <c r="J2695">
        <v>18.4041</v>
      </c>
      <c r="K2695" t="str">
        <f>IFERROR(INDEX(Rosters!$C$2:$C$155,MATCH($B2695,Rosters!$B$2:$B$155,0)),"NA")</f>
        <v>NA</v>
      </c>
      <c r="L2695" t="str">
        <f t="shared" si="126"/>
        <v>NA12WR</v>
      </c>
      <c r="M2695">
        <f>COUNTIF(L$1:L2695,L2695)</f>
        <v>15</v>
      </c>
      <c r="N2695" t="str">
        <f t="shared" si="127"/>
        <v>NA12WR-15</v>
      </c>
      <c r="O2695">
        <f>COUNTIFS(F$1:F2695,F2695,A$1:A2695,A2695)</f>
        <v>61</v>
      </c>
      <c r="P2695" t="str">
        <f t="shared" si="128"/>
        <v>Michael Gallup12</v>
      </c>
    </row>
    <row r="2696" spans="1:16" x14ac:dyDescent="0.25">
      <c r="A2696">
        <v>7</v>
      </c>
      <c r="B2696" t="s">
        <v>211</v>
      </c>
      <c r="C2696" t="s">
        <v>7649</v>
      </c>
      <c r="D2696">
        <v>4.74</v>
      </c>
      <c r="E2696" t="s">
        <v>54</v>
      </c>
      <c r="F2696" t="s">
        <v>114</v>
      </c>
      <c r="G2696">
        <v>9.35</v>
      </c>
      <c r="H2696">
        <v>0.13</v>
      </c>
      <c r="I2696">
        <v>4.6100000000000003</v>
      </c>
      <c r="J2696">
        <v>21.252099999999999</v>
      </c>
      <c r="K2696" t="str">
        <f>IFERROR(INDEX(Rosters!$C$2:$C$155,MATCH($B2696,Rosters!$B$2:$B$155,0)),"NA")</f>
        <v>comp</v>
      </c>
      <c r="L2696" t="str">
        <f t="shared" si="126"/>
        <v>comp7TE</v>
      </c>
      <c r="M2696">
        <f>COUNTIF(L$1:L2696,L2696)</f>
        <v>2</v>
      </c>
      <c r="N2696" t="str">
        <f t="shared" si="127"/>
        <v>comp7TE-2</v>
      </c>
      <c r="O2696">
        <f>COUNTIFS(F$1:F2696,F2696,A$1:A2696,A2696)</f>
        <v>12</v>
      </c>
      <c r="P2696" t="str">
        <f t="shared" si="128"/>
        <v>Austin Hooper7</v>
      </c>
    </row>
    <row r="2697" spans="1:16" x14ac:dyDescent="0.25">
      <c r="A2697">
        <v>3</v>
      </c>
      <c r="B2697" t="s">
        <v>4204</v>
      </c>
      <c r="C2697">
        <f>-0.28-9.76</f>
        <v>-10.039999999999999</v>
      </c>
      <c r="D2697">
        <v>4.74</v>
      </c>
      <c r="E2697" t="s">
        <v>24</v>
      </c>
      <c r="F2697" t="s">
        <v>87</v>
      </c>
      <c r="G2697">
        <v>9.76</v>
      </c>
      <c r="H2697">
        <v>-0.28000000000000003</v>
      </c>
      <c r="I2697">
        <v>5.0199999999999996</v>
      </c>
      <c r="J2697">
        <v>25.200399999999998</v>
      </c>
      <c r="K2697" t="str">
        <f>IFERROR(INDEX(Rosters!$C$2:$C$155,MATCH($B2697,Rosters!$B$2:$B$155,0)),"NA")</f>
        <v>NA</v>
      </c>
      <c r="L2697" t="str">
        <f t="shared" si="126"/>
        <v>NA3WR</v>
      </c>
      <c r="M2697">
        <f>COUNTIF(L$1:L2697,L2697)</f>
        <v>15</v>
      </c>
      <c r="N2697" t="str">
        <f t="shared" si="127"/>
        <v>NA3WR-15</v>
      </c>
      <c r="O2697">
        <f>COUNTIFS(F$1:F2697,F2697,A$1:A2697,A2697)</f>
        <v>60</v>
      </c>
      <c r="P2697" t="str">
        <f t="shared" si="128"/>
        <v>Dante Pettis3</v>
      </c>
    </row>
    <row r="2698" spans="1:16" x14ac:dyDescent="0.25">
      <c r="A2698">
        <v>11</v>
      </c>
      <c r="B2698" t="s">
        <v>147</v>
      </c>
      <c r="C2698" t="s">
        <v>7650</v>
      </c>
      <c r="D2698">
        <v>4.74</v>
      </c>
      <c r="E2698" t="s">
        <v>51</v>
      </c>
      <c r="F2698" t="s">
        <v>87</v>
      </c>
      <c r="G2698">
        <v>9.2100000000000009</v>
      </c>
      <c r="H2698">
        <v>0.27</v>
      </c>
      <c r="I2698">
        <v>4.47</v>
      </c>
      <c r="J2698">
        <v>19.980899999999998</v>
      </c>
      <c r="K2698" t="str">
        <f>IFERROR(INDEX(Rosters!$C$2:$C$155,MATCH($B2698,Rosters!$B$2:$B$155,0)),"NA")</f>
        <v>NA</v>
      </c>
      <c r="L2698" t="str">
        <f t="shared" si="126"/>
        <v>NA11WR</v>
      </c>
      <c r="M2698">
        <f>COUNTIF(L$1:L2698,L2698)</f>
        <v>11</v>
      </c>
      <c r="N2698" t="str">
        <f t="shared" si="127"/>
        <v>NA11WR-11</v>
      </c>
      <c r="O2698">
        <f>COUNTIFS(F$1:F2698,F2698,A$1:A2698,A2698)</f>
        <v>56</v>
      </c>
      <c r="P2698" t="str">
        <f t="shared" si="128"/>
        <v>Donte Moncrief11</v>
      </c>
    </row>
    <row r="2699" spans="1:16" x14ac:dyDescent="0.25">
      <c r="A2699">
        <v>10</v>
      </c>
      <c r="B2699" t="s">
        <v>1388</v>
      </c>
      <c r="C2699">
        <f>-0.09-9.57</f>
        <v>-9.66</v>
      </c>
      <c r="D2699">
        <v>4.74</v>
      </c>
      <c r="E2699" t="s">
        <v>76</v>
      </c>
      <c r="F2699" t="s">
        <v>47</v>
      </c>
      <c r="G2699">
        <v>9.57</v>
      </c>
      <c r="H2699">
        <v>-0.09</v>
      </c>
      <c r="I2699">
        <v>4.83</v>
      </c>
      <c r="J2699">
        <v>23.328900000000001</v>
      </c>
      <c r="K2699" t="str">
        <f>IFERROR(INDEX(Rosters!$C$2:$C$155,MATCH($B2699,Rosters!$B$2:$B$155,0)),"NA")</f>
        <v>NA</v>
      </c>
      <c r="L2699" t="str">
        <f t="shared" si="126"/>
        <v>NA10RB</v>
      </c>
      <c r="M2699">
        <f>COUNTIF(L$1:L2699,L2699)</f>
        <v>12</v>
      </c>
      <c r="N2699" t="str">
        <f t="shared" si="127"/>
        <v>NA10RB-12</v>
      </c>
      <c r="O2699">
        <f>COUNTIFS(F$1:F2699,F2699,A$1:A2699,A2699)</f>
        <v>50</v>
      </c>
      <c r="P2699" t="str">
        <f t="shared" si="128"/>
        <v>Jordan Wilkins10</v>
      </c>
    </row>
    <row r="2700" spans="1:16" x14ac:dyDescent="0.25">
      <c r="A2700">
        <v>16</v>
      </c>
      <c r="B2700" t="s">
        <v>1408</v>
      </c>
      <c r="C2700">
        <f>-0.01-9.49</f>
        <v>-9.5</v>
      </c>
      <c r="D2700">
        <v>4.74</v>
      </c>
      <c r="E2700" t="s">
        <v>17</v>
      </c>
      <c r="F2700" t="s">
        <v>87</v>
      </c>
      <c r="G2700">
        <v>9.49</v>
      </c>
      <c r="H2700">
        <v>-0.01</v>
      </c>
      <c r="I2700">
        <v>4.75</v>
      </c>
      <c r="J2700">
        <v>22.5625</v>
      </c>
      <c r="K2700" t="str">
        <f>IFERROR(INDEX(Rosters!$C$2:$C$155,MATCH($B2700,Rosters!$B$2:$B$155,0)),"NA")</f>
        <v>NA</v>
      </c>
      <c r="L2700" t="str">
        <f t="shared" si="126"/>
        <v>NA16WR</v>
      </c>
      <c r="M2700">
        <f>COUNTIF(L$1:L2700,L2700)</f>
        <v>15</v>
      </c>
      <c r="N2700" t="str">
        <f t="shared" si="127"/>
        <v>NA16WR-15</v>
      </c>
      <c r="O2700">
        <f>COUNTIFS(F$1:F2700,F2700,A$1:A2700,A2700)</f>
        <v>65</v>
      </c>
      <c r="P2700" t="str">
        <f t="shared" si="128"/>
        <v>Michael Gallup16</v>
      </c>
    </row>
    <row r="2701" spans="1:16" x14ac:dyDescent="0.25">
      <c r="A2701">
        <v>10</v>
      </c>
      <c r="B2701" t="s">
        <v>226</v>
      </c>
      <c r="C2701" t="s">
        <v>7651</v>
      </c>
      <c r="D2701">
        <v>4.74</v>
      </c>
      <c r="E2701" t="s">
        <v>32</v>
      </c>
      <c r="F2701" t="s">
        <v>87</v>
      </c>
      <c r="G2701">
        <v>9.26</v>
      </c>
      <c r="H2701">
        <v>0.22</v>
      </c>
      <c r="I2701">
        <v>4.5199999999999996</v>
      </c>
      <c r="J2701">
        <v>20.430399999999999</v>
      </c>
      <c r="K2701" t="str">
        <f>IFERROR(INDEX(Rosters!$C$2:$C$155,MATCH($B2701,Rosters!$B$2:$B$155,0)),"NA")</f>
        <v>comp</v>
      </c>
      <c r="L2701" t="str">
        <f t="shared" si="126"/>
        <v>comp10WR</v>
      </c>
      <c r="M2701">
        <f>COUNTIF(L$1:L2701,L2701)</f>
        <v>6</v>
      </c>
      <c r="N2701" t="str">
        <f t="shared" si="127"/>
        <v>comp10WR-6</v>
      </c>
      <c r="O2701">
        <f>COUNTIFS(F$1:F2701,F2701,A$1:A2701,A2701)</f>
        <v>58</v>
      </c>
      <c r="P2701" t="str">
        <f t="shared" si="128"/>
        <v>Mike Williams10</v>
      </c>
    </row>
    <row r="2702" spans="1:16" x14ac:dyDescent="0.25">
      <c r="A2702">
        <v>4</v>
      </c>
      <c r="B2702" t="s">
        <v>252</v>
      </c>
      <c r="C2702" t="s">
        <v>4547</v>
      </c>
      <c r="D2702">
        <v>4.7300000000000004</v>
      </c>
      <c r="E2702" t="s">
        <v>34</v>
      </c>
      <c r="F2702" t="s">
        <v>87</v>
      </c>
      <c r="G2702">
        <v>8.57</v>
      </c>
      <c r="H2702">
        <v>0.89</v>
      </c>
      <c r="I2702">
        <v>3.84</v>
      </c>
      <c r="J2702">
        <v>14.7456</v>
      </c>
      <c r="K2702" t="str">
        <f>IFERROR(INDEX(Rosters!$C$2:$C$155,MATCH($B2702,Rosters!$B$2:$B$155,0)),"NA")</f>
        <v>NA</v>
      </c>
      <c r="L2702" t="str">
        <f t="shared" si="126"/>
        <v>NA4WR</v>
      </c>
      <c r="M2702">
        <f>COUNTIF(L$1:L2702,L2702)</f>
        <v>11</v>
      </c>
      <c r="N2702" t="str">
        <f t="shared" si="127"/>
        <v>NA4WR-11</v>
      </c>
      <c r="O2702">
        <f>COUNTIFS(F$1:F2702,F2702,A$1:A2702,A2702)</f>
        <v>58</v>
      </c>
      <c r="P2702" t="str">
        <f t="shared" si="128"/>
        <v>Allen Hurns4</v>
      </c>
    </row>
    <row r="2703" spans="1:16" x14ac:dyDescent="0.25">
      <c r="A2703">
        <v>15</v>
      </c>
      <c r="B2703" t="s">
        <v>261</v>
      </c>
      <c r="C2703" t="s">
        <v>7652</v>
      </c>
      <c r="D2703">
        <v>4.7300000000000004</v>
      </c>
      <c r="E2703" t="s">
        <v>74</v>
      </c>
      <c r="F2703" t="s">
        <v>114</v>
      </c>
      <c r="G2703">
        <v>8.69</v>
      </c>
      <c r="H2703">
        <v>0.77</v>
      </c>
      <c r="I2703">
        <v>3.96</v>
      </c>
      <c r="J2703">
        <v>15.6816</v>
      </c>
      <c r="K2703" t="str">
        <f>IFERROR(INDEX(Rosters!$C$2:$C$155,MATCH($B2703,Rosters!$B$2:$B$155,0)),"NA")</f>
        <v>NA</v>
      </c>
      <c r="L2703" t="str">
        <f t="shared" si="126"/>
        <v>NA15TE</v>
      </c>
      <c r="M2703">
        <f>COUNTIF(L$1:L2703,L2703)</f>
        <v>5</v>
      </c>
      <c r="N2703" t="str">
        <f t="shared" si="127"/>
        <v>NA15TE-5</v>
      </c>
      <c r="O2703">
        <f>COUNTIFS(F$1:F2703,F2703,A$1:A2703,A2703)</f>
        <v>17</v>
      </c>
      <c r="P2703" t="str">
        <f t="shared" si="128"/>
        <v>Benjamin Watson15</v>
      </c>
    </row>
    <row r="2704" spans="1:16" x14ac:dyDescent="0.25">
      <c r="A2704">
        <v>10</v>
      </c>
      <c r="B2704" t="s">
        <v>280</v>
      </c>
      <c r="C2704" t="s">
        <v>7653</v>
      </c>
      <c r="D2704">
        <v>4.7300000000000004</v>
      </c>
      <c r="E2704" t="s">
        <v>73</v>
      </c>
      <c r="F2704" t="s">
        <v>47</v>
      </c>
      <c r="G2704">
        <v>9.0500000000000007</v>
      </c>
      <c r="H2704">
        <v>0.41</v>
      </c>
      <c r="I2704">
        <v>4.32</v>
      </c>
      <c r="J2704">
        <v>18.662400000000002</v>
      </c>
      <c r="K2704" t="str">
        <f>IFERROR(INDEX(Rosters!$C$2:$C$155,MATCH($B2704,Rosters!$B$2:$B$155,0)),"NA")</f>
        <v>NA</v>
      </c>
      <c r="L2704" t="str">
        <f t="shared" si="126"/>
        <v>NA10RB</v>
      </c>
      <c r="M2704">
        <f>COUNTIF(L$1:L2704,L2704)</f>
        <v>13</v>
      </c>
      <c r="N2704" t="str">
        <f t="shared" si="127"/>
        <v>NA10RB-13</v>
      </c>
      <c r="O2704">
        <f>COUNTIFS(F$1:F2704,F2704,A$1:A2704,A2704)</f>
        <v>51</v>
      </c>
      <c r="P2704" t="str">
        <f t="shared" si="128"/>
        <v>Chris Ivory10</v>
      </c>
    </row>
    <row r="2705" spans="1:16" x14ac:dyDescent="0.25">
      <c r="A2705">
        <v>13</v>
      </c>
      <c r="B2705" t="s">
        <v>260</v>
      </c>
      <c r="C2705" t="s">
        <v>7654</v>
      </c>
      <c r="D2705">
        <v>4.7300000000000004</v>
      </c>
      <c r="E2705" t="s">
        <v>52</v>
      </c>
      <c r="F2705" t="s">
        <v>47</v>
      </c>
      <c r="G2705">
        <v>8.15</v>
      </c>
      <c r="H2705">
        <v>1.31</v>
      </c>
      <c r="I2705">
        <v>3.42</v>
      </c>
      <c r="J2705">
        <v>11.696400000000001</v>
      </c>
      <c r="K2705" t="str">
        <f>IFERROR(INDEX(Rosters!$C$2:$C$155,MATCH($B2705,Rosters!$B$2:$B$155,0)),"NA")</f>
        <v>NA</v>
      </c>
      <c r="L2705" t="str">
        <f t="shared" si="126"/>
        <v>NA13RB</v>
      </c>
      <c r="M2705">
        <f>COUNTIF(L$1:L2705,L2705)</f>
        <v>15</v>
      </c>
      <c r="N2705" t="str">
        <f t="shared" si="127"/>
        <v>NA13RB-15</v>
      </c>
      <c r="O2705">
        <f>COUNTIFS(F$1:F2705,F2705,A$1:A2705,A2705)</f>
        <v>59</v>
      </c>
      <c r="P2705" t="str">
        <f t="shared" si="128"/>
        <v>D'Onta Foreman13</v>
      </c>
    </row>
    <row r="2706" spans="1:16" x14ac:dyDescent="0.25">
      <c r="A2706">
        <v>7</v>
      </c>
      <c r="B2706" t="s">
        <v>227</v>
      </c>
      <c r="C2706" t="s">
        <v>7655</v>
      </c>
      <c r="D2706">
        <v>4.7300000000000004</v>
      </c>
      <c r="E2706" t="s">
        <v>34</v>
      </c>
      <c r="F2706" t="s">
        <v>87</v>
      </c>
      <c r="G2706">
        <v>7.75</v>
      </c>
      <c r="H2706">
        <v>1.71</v>
      </c>
      <c r="I2706">
        <v>3.02</v>
      </c>
      <c r="J2706">
        <v>9.1204000000000001</v>
      </c>
      <c r="K2706" t="str">
        <f>IFERROR(INDEX(Rosters!$C$2:$C$155,MATCH($B2706,Rosters!$B$2:$B$155,0)),"NA")</f>
        <v>NA</v>
      </c>
      <c r="L2706" t="str">
        <f t="shared" si="126"/>
        <v>NA7WR</v>
      </c>
      <c r="M2706">
        <f>COUNTIF(L$1:L2706,L2706)</f>
        <v>20</v>
      </c>
      <c r="N2706" t="str">
        <f t="shared" si="127"/>
        <v>NA7WR-20</v>
      </c>
      <c r="O2706">
        <f>COUNTIFS(F$1:F2706,F2706,A$1:A2706,A2706)</f>
        <v>61</v>
      </c>
      <c r="P2706" t="str">
        <f t="shared" si="128"/>
        <v>Danny Amendola7</v>
      </c>
    </row>
    <row r="2707" spans="1:16" x14ac:dyDescent="0.25">
      <c r="A2707">
        <v>3</v>
      </c>
      <c r="B2707" t="s">
        <v>142</v>
      </c>
      <c r="C2707" t="s">
        <v>3744</v>
      </c>
      <c r="D2707">
        <v>4.7300000000000004</v>
      </c>
      <c r="E2707" t="s">
        <v>51</v>
      </c>
      <c r="F2707" t="s">
        <v>47</v>
      </c>
      <c r="G2707">
        <v>9.43</v>
      </c>
      <c r="H2707">
        <v>0.03</v>
      </c>
      <c r="I2707">
        <v>4.7</v>
      </c>
      <c r="J2707">
        <v>22.09</v>
      </c>
      <c r="K2707" t="str">
        <f>IFERROR(INDEX(Rosters!$C$2:$C$155,MATCH($B2707,Rosters!$B$2:$B$155,0)),"NA")</f>
        <v>NA</v>
      </c>
      <c r="L2707" t="str">
        <f t="shared" si="126"/>
        <v>NA3RB</v>
      </c>
      <c r="M2707">
        <f>COUNTIF(L$1:L2707,L2707)</f>
        <v>19</v>
      </c>
      <c r="N2707" t="str">
        <f t="shared" si="127"/>
        <v>NA3RB-19</v>
      </c>
      <c r="O2707">
        <f>COUNTIFS(F$1:F2707,F2707,A$1:A2707,A2707)</f>
        <v>55</v>
      </c>
      <c r="P2707" t="str">
        <f t="shared" si="128"/>
        <v>Jacquizz Rodgers3</v>
      </c>
    </row>
    <row r="2708" spans="1:16" x14ac:dyDescent="0.25">
      <c r="A2708">
        <v>2</v>
      </c>
      <c r="B2708" t="s">
        <v>1495</v>
      </c>
      <c r="C2708">
        <f>-0.34-9.8</f>
        <v>-10.14</v>
      </c>
      <c r="D2708">
        <v>4.7300000000000004</v>
      </c>
      <c r="E2708" t="s">
        <v>36</v>
      </c>
      <c r="F2708" t="s">
        <v>114</v>
      </c>
      <c r="G2708">
        <v>9.8000000000000007</v>
      </c>
      <c r="H2708">
        <v>-0.34</v>
      </c>
      <c r="I2708">
        <v>5.07</v>
      </c>
      <c r="J2708">
        <v>25.704899999999999</v>
      </c>
      <c r="K2708" t="str">
        <f>IFERROR(INDEX(Rosters!$C$2:$C$155,MATCH($B2708,Rosters!$B$2:$B$155,0)),"NA")</f>
        <v>NA</v>
      </c>
      <c r="L2708" t="str">
        <f t="shared" si="126"/>
        <v>NA2TE</v>
      </c>
      <c r="M2708">
        <f>COUNTIF(L$1:L2708,L2708)</f>
        <v>4</v>
      </c>
      <c r="N2708" t="str">
        <f t="shared" si="127"/>
        <v>NA2TE-4</v>
      </c>
      <c r="O2708">
        <f>COUNTIFS(F$1:F2708,F2708,A$1:A2708,A2708)</f>
        <v>14</v>
      </c>
      <c r="P2708" t="str">
        <f t="shared" si="128"/>
        <v>Jonnu Smith2</v>
      </c>
    </row>
    <row r="2709" spans="1:16" x14ac:dyDescent="0.25">
      <c r="A2709">
        <v>6</v>
      </c>
      <c r="B2709" t="s">
        <v>217</v>
      </c>
      <c r="C2709" t="s">
        <v>7656</v>
      </c>
      <c r="D2709">
        <v>4.72</v>
      </c>
      <c r="E2709" t="s">
        <v>36</v>
      </c>
      <c r="F2709" t="s">
        <v>114</v>
      </c>
      <c r="G2709">
        <v>8.3800000000000008</v>
      </c>
      <c r="H2709">
        <v>1.06</v>
      </c>
      <c r="I2709">
        <v>3.66</v>
      </c>
      <c r="J2709">
        <v>13.3956</v>
      </c>
      <c r="K2709" t="str">
        <f>IFERROR(INDEX(Rosters!$C$2:$C$155,MATCH($B2709,Rosters!$B$2:$B$155,0)),"NA")</f>
        <v>NA</v>
      </c>
      <c r="L2709" t="str">
        <f t="shared" si="126"/>
        <v>NA6TE</v>
      </c>
      <c r="M2709">
        <f>COUNTIF(L$1:L2709,L2709)</f>
        <v>3</v>
      </c>
      <c r="N2709" t="str">
        <f t="shared" si="127"/>
        <v>NA6TE-3</v>
      </c>
      <c r="O2709">
        <f>COUNTIFS(F$1:F2709,F2709,A$1:A2709,A2709)</f>
        <v>14</v>
      </c>
      <c r="P2709" t="str">
        <f t="shared" si="128"/>
        <v>Charles Clay6</v>
      </c>
    </row>
    <row r="2710" spans="1:16" x14ac:dyDescent="0.25">
      <c r="A2710">
        <v>8</v>
      </c>
      <c r="B2710" t="s">
        <v>1387</v>
      </c>
      <c r="C2710" t="s">
        <v>7657</v>
      </c>
      <c r="D2710">
        <v>4.72</v>
      </c>
      <c r="E2710" t="s">
        <v>76</v>
      </c>
      <c r="F2710" t="s">
        <v>47</v>
      </c>
      <c r="G2710">
        <v>9.19</v>
      </c>
      <c r="H2710">
        <v>0.25</v>
      </c>
      <c r="I2710">
        <v>4.47</v>
      </c>
      <c r="J2710">
        <v>19.980899999999998</v>
      </c>
      <c r="K2710" t="str">
        <f>IFERROR(INDEX(Rosters!$C$2:$C$155,MATCH($B2710,Rosters!$B$2:$B$155,0)),"NA")</f>
        <v>NA</v>
      </c>
      <c r="L2710" t="str">
        <f t="shared" si="126"/>
        <v>NA8RB</v>
      </c>
      <c r="M2710">
        <f>COUNTIF(L$1:L2710,L2710)</f>
        <v>14</v>
      </c>
      <c r="N2710" t="str">
        <f t="shared" si="127"/>
        <v>NA8RB-14</v>
      </c>
      <c r="O2710">
        <f>COUNTIFS(F$1:F2710,F2710,A$1:A2710,A2710)</f>
        <v>53</v>
      </c>
      <c r="P2710" t="str">
        <f t="shared" si="128"/>
        <v>Corey Clement8</v>
      </c>
    </row>
    <row r="2711" spans="1:16" x14ac:dyDescent="0.25">
      <c r="A2711">
        <v>2</v>
      </c>
      <c r="B2711" t="s">
        <v>247</v>
      </c>
      <c r="C2711" t="s">
        <v>1417</v>
      </c>
      <c r="D2711">
        <v>4.71</v>
      </c>
      <c r="E2711" t="s">
        <v>423</v>
      </c>
      <c r="F2711" t="s">
        <v>114</v>
      </c>
      <c r="G2711">
        <v>8.89</v>
      </c>
      <c r="H2711">
        <v>0.53</v>
      </c>
      <c r="I2711">
        <v>4.18</v>
      </c>
      <c r="J2711">
        <v>17.4724</v>
      </c>
      <c r="K2711" t="str">
        <f>IFERROR(INDEX(Rosters!$C$2:$C$155,MATCH($B2711,Rosters!$B$2:$B$155,0)),"NA")</f>
        <v>NA</v>
      </c>
      <c r="L2711" t="str">
        <f t="shared" si="126"/>
        <v>NA2TE</v>
      </c>
      <c r="M2711">
        <f>COUNTIF(L$1:L2711,L2711)</f>
        <v>5</v>
      </c>
      <c r="N2711" t="str">
        <f t="shared" si="127"/>
        <v>NA2TE-5</v>
      </c>
      <c r="O2711">
        <f>COUNTIFS(F$1:F2711,F2711,A$1:A2711,A2711)</f>
        <v>15</v>
      </c>
      <c r="P2711" t="str">
        <f t="shared" si="128"/>
        <v>Austin Seferian-Jenkins2</v>
      </c>
    </row>
    <row r="2712" spans="1:16" x14ac:dyDescent="0.25">
      <c r="A2712">
        <v>16</v>
      </c>
      <c r="B2712" t="s">
        <v>1397</v>
      </c>
      <c r="C2712" t="s">
        <v>7658</v>
      </c>
      <c r="D2712">
        <v>4.71</v>
      </c>
      <c r="E2712" t="s">
        <v>56</v>
      </c>
      <c r="F2712" t="s">
        <v>87</v>
      </c>
      <c r="G2712">
        <v>9.15</v>
      </c>
      <c r="H2712">
        <v>0.27</v>
      </c>
      <c r="I2712">
        <v>4.4400000000000004</v>
      </c>
      <c r="J2712">
        <v>19.7136</v>
      </c>
      <c r="K2712" t="str">
        <f>IFERROR(INDEX(Rosters!$C$2:$C$155,MATCH($B2712,Rosters!$B$2:$B$155,0)),"NA")</f>
        <v>NA</v>
      </c>
      <c r="L2712" t="str">
        <f t="shared" si="126"/>
        <v>NA16WR</v>
      </c>
      <c r="M2712">
        <f>COUNTIF(L$1:L2712,L2712)</f>
        <v>16</v>
      </c>
      <c r="N2712" t="str">
        <f t="shared" si="127"/>
        <v>NA16WR-16</v>
      </c>
      <c r="O2712">
        <f>COUNTIFS(F$1:F2712,F2712,A$1:A2712,A2712)</f>
        <v>66</v>
      </c>
      <c r="P2712" t="str">
        <f t="shared" si="128"/>
        <v>Christian Kirk16</v>
      </c>
    </row>
    <row r="2713" spans="1:16" x14ac:dyDescent="0.25">
      <c r="A2713">
        <v>13</v>
      </c>
      <c r="B2713" t="s">
        <v>197</v>
      </c>
      <c r="C2713" t="s">
        <v>7659</v>
      </c>
      <c r="D2713">
        <v>4.71</v>
      </c>
      <c r="E2713" t="s">
        <v>14</v>
      </c>
      <c r="F2713" t="s">
        <v>87</v>
      </c>
      <c r="G2713">
        <v>8.57</v>
      </c>
      <c r="H2713">
        <v>0.85</v>
      </c>
      <c r="I2713">
        <v>3.86</v>
      </c>
      <c r="J2713">
        <v>14.8996</v>
      </c>
      <c r="K2713" t="str">
        <f>IFERROR(INDEX(Rosters!$C$2:$C$155,MATCH($B2713,Rosters!$B$2:$B$155,0)),"NA")</f>
        <v>NA</v>
      </c>
      <c r="L2713" t="str">
        <f t="shared" si="126"/>
        <v>NA13WR</v>
      </c>
      <c r="M2713">
        <f>COUNTIF(L$1:L2713,L2713)</f>
        <v>17</v>
      </c>
      <c r="N2713" t="str">
        <f t="shared" si="127"/>
        <v>NA13WR-17</v>
      </c>
      <c r="O2713">
        <f>COUNTIFS(F$1:F2713,F2713,A$1:A2713,A2713)</f>
        <v>68</v>
      </c>
      <c r="P2713" t="str">
        <f t="shared" si="128"/>
        <v>Cole Beasley13</v>
      </c>
    </row>
    <row r="2714" spans="1:16" x14ac:dyDescent="0.25">
      <c r="A2714">
        <v>14</v>
      </c>
      <c r="B2714" t="s">
        <v>260</v>
      </c>
      <c r="C2714" t="s">
        <v>7660</v>
      </c>
      <c r="D2714">
        <v>4.71</v>
      </c>
      <c r="E2714" t="s">
        <v>66</v>
      </c>
      <c r="F2714" t="s">
        <v>47</v>
      </c>
      <c r="G2714">
        <v>8.39</v>
      </c>
      <c r="H2714">
        <v>1.03</v>
      </c>
      <c r="I2714">
        <v>3.68</v>
      </c>
      <c r="J2714">
        <v>13.542400000000001</v>
      </c>
      <c r="K2714" t="str">
        <f>IFERROR(INDEX(Rosters!$C$2:$C$155,MATCH($B2714,Rosters!$B$2:$B$155,0)),"NA")</f>
        <v>NA</v>
      </c>
      <c r="L2714" t="str">
        <f t="shared" si="126"/>
        <v>NA14RB</v>
      </c>
      <c r="M2714">
        <f>COUNTIF(L$1:L2714,L2714)</f>
        <v>12</v>
      </c>
      <c r="N2714" t="str">
        <f t="shared" si="127"/>
        <v>NA14RB-12</v>
      </c>
      <c r="O2714">
        <f>COUNTIFS(F$1:F2714,F2714,A$1:A2714,A2714)</f>
        <v>58</v>
      </c>
      <c r="P2714" t="str">
        <f t="shared" si="128"/>
        <v>D'Onta Foreman14</v>
      </c>
    </row>
    <row r="2715" spans="1:16" x14ac:dyDescent="0.25">
      <c r="A2715">
        <v>3</v>
      </c>
      <c r="B2715" t="s">
        <v>221</v>
      </c>
      <c r="C2715" t="s">
        <v>3745</v>
      </c>
      <c r="D2715">
        <v>4.71</v>
      </c>
      <c r="E2715" t="s">
        <v>74</v>
      </c>
      <c r="F2715" t="s">
        <v>87</v>
      </c>
      <c r="G2715">
        <v>8.6300000000000008</v>
      </c>
      <c r="H2715">
        <v>0.79</v>
      </c>
      <c r="I2715">
        <v>3.92</v>
      </c>
      <c r="J2715">
        <v>15.366400000000001</v>
      </c>
      <c r="K2715" t="str">
        <f>IFERROR(INDEX(Rosters!$C$2:$C$155,MATCH($B2715,Rosters!$B$2:$B$155,0)),"NA")</f>
        <v>cory</v>
      </c>
      <c r="L2715" t="str">
        <f t="shared" si="126"/>
        <v>cory3WR</v>
      </c>
      <c r="M2715">
        <f>COUNTIF(L$1:L2715,L2715)</f>
        <v>5</v>
      </c>
      <c r="N2715" t="str">
        <f t="shared" si="127"/>
        <v>cory3WR-5</v>
      </c>
      <c r="O2715">
        <f>COUNTIFS(F$1:F2715,F2715,A$1:A2715,A2715)</f>
        <v>61</v>
      </c>
      <c r="P2715" t="str">
        <f t="shared" si="128"/>
        <v>Tyler Boyd3</v>
      </c>
    </row>
    <row r="2716" spans="1:16" x14ac:dyDescent="0.25">
      <c r="A2716">
        <v>4</v>
      </c>
      <c r="B2716" t="s">
        <v>210</v>
      </c>
      <c r="C2716" t="s">
        <v>4548</v>
      </c>
      <c r="D2716">
        <v>4.71</v>
      </c>
      <c r="E2716" t="s">
        <v>30</v>
      </c>
      <c r="F2716" t="s">
        <v>87</v>
      </c>
      <c r="G2716">
        <v>8.26</v>
      </c>
      <c r="H2716">
        <v>1.1599999999999999</v>
      </c>
      <c r="I2716">
        <v>3.55</v>
      </c>
      <c r="J2716">
        <v>12.602499999999999</v>
      </c>
      <c r="K2716" t="str">
        <f>IFERROR(INDEX(Rosters!$C$2:$C$155,MATCH($B2716,Rosters!$B$2:$B$155,0)),"NA")</f>
        <v>NA</v>
      </c>
      <c r="L2716" t="str">
        <f t="shared" si="126"/>
        <v>NA4WR</v>
      </c>
      <c r="M2716">
        <f>COUNTIF(L$1:L2716,L2716)</f>
        <v>12</v>
      </c>
      <c r="N2716" t="str">
        <f t="shared" si="127"/>
        <v>NA4WR-12</v>
      </c>
      <c r="O2716">
        <f>COUNTIFS(F$1:F2716,F2716,A$1:A2716,A2716)</f>
        <v>59</v>
      </c>
      <c r="P2716" t="str">
        <f t="shared" si="128"/>
        <v>Tyrell Williams4</v>
      </c>
    </row>
    <row r="2717" spans="1:16" x14ac:dyDescent="0.25">
      <c r="A2717">
        <v>10</v>
      </c>
      <c r="B2717" t="s">
        <v>273</v>
      </c>
      <c r="C2717" t="s">
        <v>7661</v>
      </c>
      <c r="D2717">
        <v>4.7</v>
      </c>
      <c r="E2717" t="s">
        <v>41</v>
      </c>
      <c r="F2717" t="s">
        <v>87</v>
      </c>
      <c r="G2717">
        <v>8.1</v>
      </c>
      <c r="H2717">
        <v>1.3</v>
      </c>
      <c r="I2717">
        <v>3.4</v>
      </c>
      <c r="J2717">
        <v>11.56</v>
      </c>
      <c r="K2717" t="str">
        <f>IFERROR(INDEX(Rosters!$C$2:$C$155,MATCH($B2717,Rosters!$B$2:$B$155,0)),"NA")</f>
        <v>NA</v>
      </c>
      <c r="L2717" t="str">
        <f t="shared" si="126"/>
        <v>NA10WR</v>
      </c>
      <c r="M2717">
        <f>COUNTIF(L$1:L2717,L2717)</f>
        <v>16</v>
      </c>
      <c r="N2717" t="str">
        <f t="shared" si="127"/>
        <v>NA10WR-16</v>
      </c>
      <c r="O2717">
        <f>COUNTIFS(F$1:F2717,F2717,A$1:A2717,A2717)</f>
        <v>59</v>
      </c>
      <c r="P2717" t="str">
        <f t="shared" si="128"/>
        <v>Albert Wilson10</v>
      </c>
    </row>
    <row r="2718" spans="1:16" x14ac:dyDescent="0.25">
      <c r="A2718">
        <v>14</v>
      </c>
      <c r="B2718" t="s">
        <v>252</v>
      </c>
      <c r="C2718" t="s">
        <v>7662</v>
      </c>
      <c r="D2718">
        <v>4.7</v>
      </c>
      <c r="E2718" t="s">
        <v>50</v>
      </c>
      <c r="F2718" t="s">
        <v>87</v>
      </c>
      <c r="G2718">
        <v>8.39</v>
      </c>
      <c r="H2718">
        <v>1.01</v>
      </c>
      <c r="I2718">
        <v>3.69</v>
      </c>
      <c r="J2718">
        <v>13.616099999999999</v>
      </c>
      <c r="K2718" t="str">
        <f>IFERROR(INDEX(Rosters!$C$2:$C$155,MATCH($B2718,Rosters!$B$2:$B$155,0)),"NA")</f>
        <v>NA</v>
      </c>
      <c r="L2718" t="str">
        <f t="shared" si="126"/>
        <v>NA14WR</v>
      </c>
      <c r="M2718">
        <f>COUNTIF(L$1:L2718,L2718)</f>
        <v>16</v>
      </c>
      <c r="N2718" t="str">
        <f t="shared" si="127"/>
        <v>NA14WR-16</v>
      </c>
      <c r="O2718">
        <f>COUNTIFS(F$1:F2718,F2718,A$1:A2718,A2718)</f>
        <v>67</v>
      </c>
      <c r="P2718" t="str">
        <f t="shared" si="128"/>
        <v>Allen Hurns14</v>
      </c>
    </row>
    <row r="2719" spans="1:16" x14ac:dyDescent="0.25">
      <c r="A2719">
        <v>11</v>
      </c>
      <c r="B2719" t="s">
        <v>1432</v>
      </c>
      <c r="C2719" t="s">
        <v>7663</v>
      </c>
      <c r="D2719">
        <v>4.7</v>
      </c>
      <c r="E2719" t="s">
        <v>32</v>
      </c>
      <c r="F2719" t="s">
        <v>47</v>
      </c>
      <c r="G2719">
        <v>7.94</v>
      </c>
      <c r="H2719">
        <v>1.46</v>
      </c>
      <c r="I2719">
        <v>3.24</v>
      </c>
      <c r="J2719">
        <v>10.4976</v>
      </c>
      <c r="K2719" t="str">
        <f>IFERROR(INDEX(Rosters!$C$2:$C$155,MATCH($B2719,Rosters!$B$2:$B$155,0)),"NA")</f>
        <v>NA</v>
      </c>
      <c r="L2719" t="str">
        <f t="shared" si="126"/>
        <v>NA11RB</v>
      </c>
      <c r="M2719">
        <f>COUNTIF(L$1:L2719,L2719)</f>
        <v>12</v>
      </c>
      <c r="N2719" t="str">
        <f t="shared" si="127"/>
        <v>NA11RB-12</v>
      </c>
      <c r="O2719">
        <f>COUNTIFS(F$1:F2719,F2719,A$1:A2719,A2719)</f>
        <v>49</v>
      </c>
      <c r="P2719" t="str">
        <f t="shared" si="128"/>
        <v>Chase Edmonds11</v>
      </c>
    </row>
    <row r="2720" spans="1:16" x14ac:dyDescent="0.25">
      <c r="A2720">
        <v>6</v>
      </c>
      <c r="B2720" t="s">
        <v>227</v>
      </c>
      <c r="C2720" t="s">
        <v>7664</v>
      </c>
      <c r="D2720">
        <v>4.7</v>
      </c>
      <c r="E2720" t="s">
        <v>72</v>
      </c>
      <c r="F2720" t="s">
        <v>87</v>
      </c>
      <c r="G2720">
        <v>8.61</v>
      </c>
      <c r="H2720">
        <v>0.79</v>
      </c>
      <c r="I2720">
        <v>3.91</v>
      </c>
      <c r="J2720">
        <v>15.2881</v>
      </c>
      <c r="K2720" t="str">
        <f>IFERROR(INDEX(Rosters!$C$2:$C$155,MATCH($B2720,Rosters!$B$2:$B$155,0)),"NA")</f>
        <v>NA</v>
      </c>
      <c r="L2720" t="str">
        <f t="shared" si="126"/>
        <v>NA6WR</v>
      </c>
      <c r="M2720">
        <f>COUNTIF(L$1:L2720,L2720)</f>
        <v>17</v>
      </c>
      <c r="N2720" t="str">
        <f t="shared" si="127"/>
        <v>NA6WR-17</v>
      </c>
      <c r="O2720">
        <f>COUNTIFS(F$1:F2720,F2720,A$1:A2720,A2720)</f>
        <v>62</v>
      </c>
      <c r="P2720" t="str">
        <f t="shared" si="128"/>
        <v>Danny Amendola6</v>
      </c>
    </row>
    <row r="2721" spans="1:16" x14ac:dyDescent="0.25">
      <c r="A2721">
        <v>5</v>
      </c>
      <c r="B2721" t="s">
        <v>1449</v>
      </c>
      <c r="C2721" t="s">
        <v>7665</v>
      </c>
      <c r="D2721">
        <v>4.7</v>
      </c>
      <c r="E2721" t="s">
        <v>52</v>
      </c>
      <c r="F2721" t="s">
        <v>114</v>
      </c>
      <c r="G2721">
        <v>9.1300000000000008</v>
      </c>
      <c r="H2721">
        <v>0.27</v>
      </c>
      <c r="I2721">
        <v>4.43</v>
      </c>
      <c r="J2721">
        <v>19.6249</v>
      </c>
      <c r="K2721" t="str">
        <f>IFERROR(INDEX(Rosters!$C$2:$C$155,MATCH($B2721,Rosters!$B$2:$B$155,0)),"NA")</f>
        <v>NA</v>
      </c>
      <c r="L2721" t="str">
        <f t="shared" si="126"/>
        <v>NA5TE</v>
      </c>
      <c r="M2721">
        <f>COUNTIF(L$1:L2721,L2721)</f>
        <v>3</v>
      </c>
      <c r="N2721" t="str">
        <f t="shared" si="127"/>
        <v>NA5TE-3</v>
      </c>
      <c r="O2721">
        <f>COUNTIFS(F$1:F2721,F2721,A$1:A2721,A2721)</f>
        <v>13</v>
      </c>
      <c r="P2721" t="str">
        <f t="shared" si="128"/>
        <v>Hayden Hurst5</v>
      </c>
    </row>
    <row r="2722" spans="1:16" x14ac:dyDescent="0.25">
      <c r="A2722">
        <v>13</v>
      </c>
      <c r="B2722" t="s">
        <v>226</v>
      </c>
      <c r="C2722" t="s">
        <v>7664</v>
      </c>
      <c r="D2722">
        <v>4.7</v>
      </c>
      <c r="E2722" t="s">
        <v>51</v>
      </c>
      <c r="F2722" t="s">
        <v>87</v>
      </c>
      <c r="G2722">
        <v>8.61</v>
      </c>
      <c r="H2722">
        <v>0.79</v>
      </c>
      <c r="I2722">
        <v>3.91</v>
      </c>
      <c r="J2722">
        <v>15.2881</v>
      </c>
      <c r="K2722" t="str">
        <f>IFERROR(INDEX(Rosters!$C$2:$C$155,MATCH($B2722,Rosters!$B$2:$B$155,0)),"NA")</f>
        <v>comp</v>
      </c>
      <c r="L2722" t="str">
        <f t="shared" si="126"/>
        <v>comp13WR</v>
      </c>
      <c r="M2722">
        <f>COUNTIF(L$1:L2722,L2722)</f>
        <v>7</v>
      </c>
      <c r="N2722" t="str">
        <f t="shared" si="127"/>
        <v>comp13WR-7</v>
      </c>
      <c r="O2722">
        <f>COUNTIFS(F$1:F2722,F2722,A$1:A2722,A2722)</f>
        <v>69</v>
      </c>
      <c r="P2722" t="str">
        <f t="shared" si="128"/>
        <v>Mike Williams13</v>
      </c>
    </row>
    <row r="2723" spans="1:16" x14ac:dyDescent="0.25">
      <c r="A2723">
        <v>10</v>
      </c>
      <c r="B2723" t="s">
        <v>159</v>
      </c>
      <c r="C2723" t="s">
        <v>7666</v>
      </c>
      <c r="D2723">
        <v>4.6900000000000004</v>
      </c>
      <c r="E2723" t="s">
        <v>38</v>
      </c>
      <c r="F2723" t="s">
        <v>87</v>
      </c>
      <c r="G2723">
        <v>7.88</v>
      </c>
      <c r="H2723">
        <v>1.5</v>
      </c>
      <c r="I2723">
        <v>3.19</v>
      </c>
      <c r="J2723">
        <v>10.1761</v>
      </c>
      <c r="K2723" t="str">
        <f>IFERROR(INDEX(Rosters!$C$2:$C$155,MATCH($B2723,Rosters!$B$2:$B$155,0)),"NA")</f>
        <v>perry</v>
      </c>
      <c r="L2723" t="str">
        <f t="shared" si="126"/>
        <v>perry10WR</v>
      </c>
      <c r="M2723">
        <f>COUNTIF(L$1:L2723,L2723)</f>
        <v>4</v>
      </c>
      <c r="N2723" t="str">
        <f t="shared" si="127"/>
        <v>perry10WR-4</v>
      </c>
      <c r="O2723">
        <f>COUNTIFS(F$1:F2723,F2723,A$1:A2723,A2723)</f>
        <v>60</v>
      </c>
      <c r="P2723" t="str">
        <f t="shared" si="128"/>
        <v>Chris Hogan10</v>
      </c>
    </row>
    <row r="2724" spans="1:16" x14ac:dyDescent="0.25">
      <c r="A2724">
        <v>2</v>
      </c>
      <c r="B2724" t="s">
        <v>280</v>
      </c>
      <c r="C2724" t="s">
        <v>1418</v>
      </c>
      <c r="D2724">
        <v>4.6900000000000004</v>
      </c>
      <c r="E2724" t="s">
        <v>37</v>
      </c>
      <c r="F2724" t="s">
        <v>47</v>
      </c>
      <c r="G2724">
        <v>8.69</v>
      </c>
      <c r="H2724">
        <v>0.69</v>
      </c>
      <c r="I2724">
        <v>4</v>
      </c>
      <c r="J2724">
        <v>16</v>
      </c>
      <c r="K2724" t="str">
        <f>IFERROR(INDEX(Rosters!$C$2:$C$155,MATCH($B2724,Rosters!$B$2:$B$155,0)),"NA")</f>
        <v>NA</v>
      </c>
      <c r="L2724" t="str">
        <f t="shared" si="126"/>
        <v>NA2RB</v>
      </c>
      <c r="M2724">
        <f>COUNTIF(L$1:L2724,L2724)</f>
        <v>16</v>
      </c>
      <c r="N2724" t="str">
        <f t="shared" si="127"/>
        <v>NA2RB-16</v>
      </c>
      <c r="O2724">
        <f>COUNTIFS(F$1:F2724,F2724,A$1:A2724,A2724)</f>
        <v>55</v>
      </c>
      <c r="P2724" t="str">
        <f t="shared" si="128"/>
        <v>Chris Ivory2</v>
      </c>
    </row>
    <row r="2725" spans="1:16" x14ac:dyDescent="0.25">
      <c r="A2725">
        <v>13</v>
      </c>
      <c r="B2725" t="s">
        <v>227</v>
      </c>
      <c r="C2725" t="s">
        <v>7667</v>
      </c>
      <c r="D2725">
        <v>4.6900000000000004</v>
      </c>
      <c r="E2725" t="s">
        <v>29</v>
      </c>
      <c r="F2725" t="s">
        <v>87</v>
      </c>
      <c r="G2725">
        <v>8.44</v>
      </c>
      <c r="H2725">
        <v>0.94</v>
      </c>
      <c r="I2725">
        <v>3.75</v>
      </c>
      <c r="J2725">
        <v>14.0625</v>
      </c>
      <c r="K2725" t="str">
        <f>IFERROR(INDEX(Rosters!$C$2:$C$155,MATCH($B2725,Rosters!$B$2:$B$155,0)),"NA")</f>
        <v>NA</v>
      </c>
      <c r="L2725" t="str">
        <f t="shared" si="126"/>
        <v>NA13WR</v>
      </c>
      <c r="M2725">
        <f>COUNTIF(L$1:L2725,L2725)</f>
        <v>18</v>
      </c>
      <c r="N2725" t="str">
        <f t="shared" si="127"/>
        <v>NA13WR-18</v>
      </c>
      <c r="O2725">
        <f>COUNTIFS(F$1:F2725,F2725,A$1:A2725,A2725)</f>
        <v>70</v>
      </c>
      <c r="P2725" t="str">
        <f t="shared" si="128"/>
        <v>Danny Amendola13</v>
      </c>
    </row>
    <row r="2726" spans="1:16" x14ac:dyDescent="0.25">
      <c r="A2726">
        <v>6</v>
      </c>
      <c r="B2726" t="s">
        <v>1211</v>
      </c>
      <c r="C2726" t="s">
        <v>7668</v>
      </c>
      <c r="D2726">
        <v>4.6900000000000004</v>
      </c>
      <c r="E2726" t="s">
        <v>22</v>
      </c>
      <c r="F2726" t="s">
        <v>87</v>
      </c>
      <c r="G2726">
        <v>8.5299999999999994</v>
      </c>
      <c r="H2726">
        <v>0.85</v>
      </c>
      <c r="I2726">
        <v>3.84</v>
      </c>
      <c r="J2726">
        <v>14.7456</v>
      </c>
      <c r="K2726" t="str">
        <f>IFERROR(INDEX(Rosters!$C$2:$C$155,MATCH($B2726,Rosters!$B$2:$B$155,0)),"NA")</f>
        <v>NA</v>
      </c>
      <c r="L2726" t="str">
        <f t="shared" si="126"/>
        <v>NA6WR</v>
      </c>
      <c r="M2726">
        <f>COUNTIF(L$1:L2726,L2726)</f>
        <v>18</v>
      </c>
      <c r="N2726" t="str">
        <f t="shared" si="127"/>
        <v>NA6WR-18</v>
      </c>
      <c r="O2726">
        <f>COUNTIFS(F$1:F2726,F2726,A$1:A2726,A2726)</f>
        <v>63</v>
      </c>
      <c r="P2726" t="str">
        <f t="shared" si="128"/>
        <v>Dede Westbrook6</v>
      </c>
    </row>
    <row r="2727" spans="1:16" x14ac:dyDescent="0.25">
      <c r="A2727">
        <v>6</v>
      </c>
      <c r="B2727" t="s">
        <v>214</v>
      </c>
      <c r="C2727" t="s">
        <v>7669</v>
      </c>
      <c r="D2727">
        <v>4.6900000000000004</v>
      </c>
      <c r="E2727" t="s">
        <v>31</v>
      </c>
      <c r="F2727" t="s">
        <v>114</v>
      </c>
      <c r="G2727">
        <v>9.0299999999999994</v>
      </c>
      <c r="H2727">
        <v>0.35</v>
      </c>
      <c r="I2727">
        <v>4.34</v>
      </c>
      <c r="J2727">
        <v>18.835599999999999</v>
      </c>
      <c r="K2727" t="str">
        <f>IFERROR(INDEX(Rosters!$C$2:$C$155,MATCH($B2727,Rosters!$B$2:$B$155,0)),"NA")</f>
        <v>scott</v>
      </c>
      <c r="L2727" t="str">
        <f t="shared" si="126"/>
        <v>scott6TE</v>
      </c>
      <c r="M2727">
        <f>COUNTIF(L$1:L2727,L2727)</f>
        <v>2</v>
      </c>
      <c r="N2727" t="str">
        <f t="shared" si="127"/>
        <v>scott6TE-2</v>
      </c>
      <c r="O2727">
        <f>COUNTIFS(F$1:F2727,F2727,A$1:A2727,A2727)</f>
        <v>15</v>
      </c>
      <c r="P2727" t="str">
        <f t="shared" si="128"/>
        <v>Vance McDonald6</v>
      </c>
    </row>
    <row r="2728" spans="1:16" x14ac:dyDescent="0.25">
      <c r="A2728">
        <v>12</v>
      </c>
      <c r="B2728" t="s">
        <v>273</v>
      </c>
      <c r="C2728" t="s">
        <v>7670</v>
      </c>
      <c r="D2728">
        <v>4.68</v>
      </c>
      <c r="E2728" t="s">
        <v>66</v>
      </c>
      <c r="F2728" t="s">
        <v>87</v>
      </c>
      <c r="G2728">
        <v>8.02</v>
      </c>
      <c r="H2728">
        <v>1.34</v>
      </c>
      <c r="I2728">
        <v>3.34</v>
      </c>
      <c r="J2728">
        <v>11.1556</v>
      </c>
      <c r="K2728" t="str">
        <f>IFERROR(INDEX(Rosters!$C$2:$C$155,MATCH($B2728,Rosters!$B$2:$B$155,0)),"NA")</f>
        <v>NA</v>
      </c>
      <c r="L2728" t="str">
        <f t="shared" si="126"/>
        <v>NA12WR</v>
      </c>
      <c r="M2728">
        <f>COUNTIF(L$1:L2728,L2728)</f>
        <v>16</v>
      </c>
      <c r="N2728" t="str">
        <f t="shared" si="127"/>
        <v>NA12WR-16</v>
      </c>
      <c r="O2728">
        <f>COUNTIFS(F$1:F2728,F2728,A$1:A2728,A2728)</f>
        <v>62</v>
      </c>
      <c r="P2728" t="str">
        <f t="shared" si="128"/>
        <v>Albert Wilson12</v>
      </c>
    </row>
    <row r="2729" spans="1:16" x14ac:dyDescent="0.25">
      <c r="A2729">
        <v>12</v>
      </c>
      <c r="B2729" t="s">
        <v>159</v>
      </c>
      <c r="C2729" t="s">
        <v>7671</v>
      </c>
      <c r="D2729">
        <v>4.68</v>
      </c>
      <c r="E2729" t="s">
        <v>73</v>
      </c>
      <c r="F2729" t="s">
        <v>87</v>
      </c>
      <c r="G2729">
        <v>8.2100000000000009</v>
      </c>
      <c r="H2729">
        <v>1.1499999999999999</v>
      </c>
      <c r="I2729">
        <v>3.53</v>
      </c>
      <c r="J2729">
        <v>12.460900000000001</v>
      </c>
      <c r="K2729" t="str">
        <f>IFERROR(INDEX(Rosters!$C$2:$C$155,MATCH($B2729,Rosters!$B$2:$B$155,0)),"NA")</f>
        <v>perry</v>
      </c>
      <c r="L2729" t="str">
        <f t="shared" si="126"/>
        <v>perry12WR</v>
      </c>
      <c r="M2729">
        <f>COUNTIF(L$1:L2729,L2729)</f>
        <v>4</v>
      </c>
      <c r="N2729" t="str">
        <f t="shared" si="127"/>
        <v>perry12WR-4</v>
      </c>
      <c r="O2729">
        <f>COUNTIFS(F$1:F2729,F2729,A$1:A2729,A2729)</f>
        <v>63</v>
      </c>
      <c r="P2729" t="str">
        <f t="shared" si="128"/>
        <v>Chris Hogan12</v>
      </c>
    </row>
    <row r="2730" spans="1:16" x14ac:dyDescent="0.25">
      <c r="A2730">
        <v>6</v>
      </c>
      <c r="B2730" t="s">
        <v>316</v>
      </c>
      <c r="C2730" t="s">
        <v>7672</v>
      </c>
      <c r="D2730">
        <v>4.68</v>
      </c>
      <c r="E2730" t="s">
        <v>22</v>
      </c>
      <c r="F2730" t="s">
        <v>47</v>
      </c>
      <c r="G2730">
        <v>8.59</v>
      </c>
      <c r="H2730">
        <v>0.77</v>
      </c>
      <c r="I2730">
        <v>3.91</v>
      </c>
      <c r="J2730">
        <v>15.2881</v>
      </c>
      <c r="K2730" t="str">
        <f>IFERROR(INDEX(Rosters!$C$2:$C$155,MATCH($B2730,Rosters!$B$2:$B$155,0)),"NA")</f>
        <v>NA</v>
      </c>
      <c r="L2730" t="str">
        <f t="shared" si="126"/>
        <v>NA6RB</v>
      </c>
      <c r="M2730">
        <f>COUNTIF(L$1:L2730,L2730)</f>
        <v>14</v>
      </c>
      <c r="N2730" t="str">
        <f t="shared" si="127"/>
        <v>NA6RB-14</v>
      </c>
      <c r="O2730">
        <f>COUNTIFS(F$1:F2730,F2730,A$1:A2730,A2730)</f>
        <v>55</v>
      </c>
      <c r="P2730" t="str">
        <f t="shared" si="128"/>
        <v>Corey Grant6</v>
      </c>
    </row>
    <row r="2731" spans="1:16" x14ac:dyDescent="0.25">
      <c r="A2731">
        <v>6</v>
      </c>
      <c r="B2731" t="s">
        <v>226</v>
      </c>
      <c r="C2731" t="s">
        <v>7673</v>
      </c>
      <c r="D2731">
        <v>4.68</v>
      </c>
      <c r="E2731" t="s">
        <v>52</v>
      </c>
      <c r="F2731" t="s">
        <v>87</v>
      </c>
      <c r="G2731">
        <v>8.2799999999999994</v>
      </c>
      <c r="H2731">
        <v>1.08</v>
      </c>
      <c r="I2731">
        <v>3.6</v>
      </c>
      <c r="J2731">
        <v>12.96</v>
      </c>
      <c r="K2731" t="str">
        <f>IFERROR(INDEX(Rosters!$C$2:$C$155,MATCH($B2731,Rosters!$B$2:$B$155,0)),"NA")</f>
        <v>comp</v>
      </c>
      <c r="L2731" t="str">
        <f t="shared" si="126"/>
        <v>comp6WR</v>
      </c>
      <c r="M2731">
        <f>COUNTIF(L$1:L2731,L2731)</f>
        <v>7</v>
      </c>
      <c r="N2731" t="str">
        <f t="shared" si="127"/>
        <v>comp6WR-7</v>
      </c>
      <c r="O2731">
        <f>COUNTIFS(F$1:F2731,F2731,A$1:A2731,A2731)</f>
        <v>64</v>
      </c>
      <c r="P2731" t="str">
        <f t="shared" si="128"/>
        <v>Mike Williams6</v>
      </c>
    </row>
    <row r="2732" spans="1:16" x14ac:dyDescent="0.25">
      <c r="A2732">
        <v>12</v>
      </c>
      <c r="B2732" t="s">
        <v>194</v>
      </c>
      <c r="C2732" t="s">
        <v>7674</v>
      </c>
      <c r="D2732">
        <v>4.68</v>
      </c>
      <c r="E2732" t="s">
        <v>14</v>
      </c>
      <c r="F2732" t="s">
        <v>87</v>
      </c>
      <c r="G2732">
        <v>8.0299999999999994</v>
      </c>
      <c r="H2732">
        <v>1.33</v>
      </c>
      <c r="I2732">
        <v>3.35</v>
      </c>
      <c r="J2732">
        <v>11.2225</v>
      </c>
      <c r="K2732" t="str">
        <f>IFERROR(INDEX(Rosters!$C$2:$C$155,MATCH($B2732,Rosters!$B$2:$B$155,0)),"NA")</f>
        <v>NA</v>
      </c>
      <c r="L2732" t="str">
        <f t="shared" si="126"/>
        <v>NA12WR</v>
      </c>
      <c r="M2732">
        <f>COUNTIF(L$1:L2732,L2732)</f>
        <v>17</v>
      </c>
      <c r="N2732" t="str">
        <f t="shared" si="127"/>
        <v>NA12WR-17</v>
      </c>
      <c r="O2732">
        <f>COUNTIFS(F$1:F2732,F2732,A$1:A2732,A2732)</f>
        <v>64</v>
      </c>
      <c r="P2732" t="str">
        <f t="shared" si="128"/>
        <v>Mohamed Sanu12</v>
      </c>
    </row>
    <row r="2733" spans="1:16" x14ac:dyDescent="0.25">
      <c r="A2733">
        <v>3</v>
      </c>
      <c r="B2733" t="s">
        <v>183</v>
      </c>
      <c r="C2733" t="s">
        <v>3746</v>
      </c>
      <c r="D2733">
        <v>4.67</v>
      </c>
      <c r="E2733" t="s">
        <v>73</v>
      </c>
      <c r="F2733" t="s">
        <v>47</v>
      </c>
      <c r="G2733">
        <v>7.71</v>
      </c>
      <c r="H2733">
        <v>1.63</v>
      </c>
      <c r="I2733">
        <v>3.04</v>
      </c>
      <c r="J2733">
        <v>9.2416</v>
      </c>
      <c r="K2733" t="str">
        <f>IFERROR(INDEX(Rosters!$C$2:$C$155,MATCH($B2733,Rosters!$B$2:$B$155,0)),"NA")</f>
        <v>NA</v>
      </c>
      <c r="L2733" t="str">
        <f t="shared" si="126"/>
        <v>NA3RB</v>
      </c>
      <c r="M2733">
        <f>COUNTIF(L$1:L2733,L2733)</f>
        <v>20</v>
      </c>
      <c r="N2733" t="str">
        <f t="shared" si="127"/>
        <v>NA3RB-20</v>
      </c>
      <c r="O2733">
        <f>COUNTIFS(F$1:F2733,F2733,A$1:A2733,A2733)</f>
        <v>56</v>
      </c>
      <c r="P2733" t="str">
        <f t="shared" si="128"/>
        <v>Duke Johnson Jr.3</v>
      </c>
    </row>
    <row r="2734" spans="1:16" x14ac:dyDescent="0.25">
      <c r="A2734">
        <v>10</v>
      </c>
      <c r="B2734" t="s">
        <v>178</v>
      </c>
      <c r="C2734" t="s">
        <v>7675</v>
      </c>
      <c r="D2734">
        <v>4.67</v>
      </c>
      <c r="E2734" t="s">
        <v>76</v>
      </c>
      <c r="F2734" t="s">
        <v>114</v>
      </c>
      <c r="G2734">
        <v>8.61</v>
      </c>
      <c r="H2734">
        <v>0.73</v>
      </c>
      <c r="I2734">
        <v>3.94</v>
      </c>
      <c r="J2734">
        <v>15.5236</v>
      </c>
      <c r="K2734" t="str">
        <f>IFERROR(INDEX(Rosters!$C$2:$C$155,MATCH($B2734,Rosters!$B$2:$B$155,0)),"NA")</f>
        <v>devon</v>
      </c>
      <c r="L2734" t="str">
        <f t="shared" si="126"/>
        <v>devon10TE</v>
      </c>
      <c r="M2734">
        <f>COUNTIF(L$1:L2734,L2734)</f>
        <v>2</v>
      </c>
      <c r="N2734" t="str">
        <f t="shared" si="127"/>
        <v>devon10TE-2</v>
      </c>
      <c r="O2734">
        <f>COUNTIFS(F$1:F2734,F2734,A$1:A2734,A2734)</f>
        <v>14</v>
      </c>
      <c r="P2734" t="str">
        <f t="shared" si="128"/>
        <v>Eric Ebron10</v>
      </c>
    </row>
    <row r="2735" spans="1:16" x14ac:dyDescent="0.25">
      <c r="A2735">
        <v>12</v>
      </c>
      <c r="B2735" t="s">
        <v>1388</v>
      </c>
      <c r="C2735" t="s">
        <v>7676</v>
      </c>
      <c r="D2735">
        <v>4.67</v>
      </c>
      <c r="E2735" t="s">
        <v>19</v>
      </c>
      <c r="F2735" t="s">
        <v>47</v>
      </c>
      <c r="G2735">
        <v>8.5</v>
      </c>
      <c r="H2735">
        <v>0.84</v>
      </c>
      <c r="I2735">
        <v>3.83</v>
      </c>
      <c r="J2735">
        <v>14.668900000000001</v>
      </c>
      <c r="K2735" t="str">
        <f>IFERROR(INDEX(Rosters!$C$2:$C$155,MATCH($B2735,Rosters!$B$2:$B$155,0)),"NA")</f>
        <v>NA</v>
      </c>
      <c r="L2735" t="str">
        <f t="shared" si="126"/>
        <v>NA12RB</v>
      </c>
      <c r="M2735">
        <f>COUNTIF(L$1:L2735,L2735)</f>
        <v>11</v>
      </c>
      <c r="N2735" t="str">
        <f t="shared" si="127"/>
        <v>NA12RB-11</v>
      </c>
      <c r="O2735">
        <f>COUNTIFS(F$1:F2735,F2735,A$1:A2735,A2735)</f>
        <v>55</v>
      </c>
      <c r="P2735" t="str">
        <f t="shared" si="128"/>
        <v>Jordan Wilkins12</v>
      </c>
    </row>
    <row r="2736" spans="1:16" x14ac:dyDescent="0.25">
      <c r="A2736">
        <v>9</v>
      </c>
      <c r="B2736" t="s">
        <v>1408</v>
      </c>
      <c r="C2736">
        <f>-0.02-9.36</f>
        <v>-9.379999999999999</v>
      </c>
      <c r="D2736">
        <v>4.67</v>
      </c>
      <c r="E2736" t="s">
        <v>38</v>
      </c>
      <c r="F2736" t="s">
        <v>87</v>
      </c>
      <c r="G2736">
        <v>9.36</v>
      </c>
      <c r="H2736">
        <v>-0.02</v>
      </c>
      <c r="I2736">
        <v>4.6900000000000004</v>
      </c>
      <c r="J2736">
        <v>21.996099999999998</v>
      </c>
      <c r="K2736" t="str">
        <f>IFERROR(INDEX(Rosters!$C$2:$C$155,MATCH($B2736,Rosters!$B$2:$B$155,0)),"NA")</f>
        <v>NA</v>
      </c>
      <c r="L2736" t="str">
        <f t="shared" si="126"/>
        <v>NA9WR</v>
      </c>
      <c r="M2736">
        <f>COUNTIF(L$1:L2736,L2736)</f>
        <v>13</v>
      </c>
      <c r="N2736" t="str">
        <f t="shared" si="127"/>
        <v>NA9WR-13</v>
      </c>
      <c r="O2736">
        <f>COUNTIFS(F$1:F2736,F2736,A$1:A2736,A2736)</f>
        <v>54</v>
      </c>
      <c r="P2736" t="str">
        <f t="shared" si="128"/>
        <v>Michael Gallup9</v>
      </c>
    </row>
    <row r="2737" spans="1:16" x14ac:dyDescent="0.25">
      <c r="A2737">
        <v>5</v>
      </c>
      <c r="B2737" t="s">
        <v>143</v>
      </c>
      <c r="C2737" t="s">
        <v>7677</v>
      </c>
      <c r="D2737">
        <v>4.67</v>
      </c>
      <c r="E2737" t="s">
        <v>42</v>
      </c>
      <c r="F2737" t="s">
        <v>87</v>
      </c>
      <c r="G2737">
        <v>8.75</v>
      </c>
      <c r="H2737">
        <v>0.59</v>
      </c>
      <c r="I2737">
        <v>4.08</v>
      </c>
      <c r="J2737">
        <v>16.6464</v>
      </c>
      <c r="K2737" t="str">
        <f>IFERROR(INDEX(Rosters!$C$2:$C$155,MATCH($B2737,Rosters!$B$2:$B$155,0)),"NA")</f>
        <v>NA</v>
      </c>
      <c r="L2737" t="str">
        <f t="shared" si="126"/>
        <v>NA5WR</v>
      </c>
      <c r="M2737">
        <f>COUNTIF(L$1:L2737,L2737)</f>
        <v>20</v>
      </c>
      <c r="N2737" t="str">
        <f t="shared" si="127"/>
        <v>NA5WR-20</v>
      </c>
      <c r="O2737">
        <f>COUNTIFS(F$1:F2737,F2737,A$1:A2737,A2737)</f>
        <v>65</v>
      </c>
      <c r="P2737" t="str">
        <f t="shared" si="128"/>
        <v>Terrelle Pryor Sr.5</v>
      </c>
    </row>
    <row r="2738" spans="1:16" x14ac:dyDescent="0.25">
      <c r="A2738">
        <v>14</v>
      </c>
      <c r="B2738" t="s">
        <v>155</v>
      </c>
      <c r="C2738" t="s">
        <v>7678</v>
      </c>
      <c r="D2738">
        <v>4.67</v>
      </c>
      <c r="E2738" t="s">
        <v>58</v>
      </c>
      <c r="F2738" t="s">
        <v>47</v>
      </c>
      <c r="G2738">
        <v>7.78</v>
      </c>
      <c r="H2738">
        <v>1.56</v>
      </c>
      <c r="I2738">
        <v>3.11</v>
      </c>
      <c r="J2738">
        <v>9.6721000000000004</v>
      </c>
      <c r="K2738" t="str">
        <f>IFERROR(INDEX(Rosters!$C$2:$C$155,MATCH($B2738,Rosters!$B$2:$B$155,0)),"NA")</f>
        <v>NA</v>
      </c>
      <c r="L2738" t="str">
        <f t="shared" si="126"/>
        <v>NA14RB</v>
      </c>
      <c r="M2738">
        <f>COUNTIF(L$1:L2738,L2738)</f>
        <v>13</v>
      </c>
      <c r="N2738" t="str">
        <f t="shared" si="127"/>
        <v>NA14RB-13</v>
      </c>
      <c r="O2738">
        <f>COUNTIFS(F$1:F2738,F2738,A$1:A2738,A2738)</f>
        <v>59</v>
      </c>
      <c r="P2738" t="str">
        <f t="shared" si="128"/>
        <v>Theo Riddick14</v>
      </c>
    </row>
    <row r="2739" spans="1:16" x14ac:dyDescent="0.25">
      <c r="A2739">
        <v>12</v>
      </c>
      <c r="B2739" t="s">
        <v>313</v>
      </c>
      <c r="C2739" t="s">
        <v>7679</v>
      </c>
      <c r="D2739">
        <v>4.67</v>
      </c>
      <c r="E2739" t="s">
        <v>34</v>
      </c>
      <c r="F2739" t="s">
        <v>114</v>
      </c>
      <c r="G2739">
        <v>8.66</v>
      </c>
      <c r="H2739">
        <v>0.68</v>
      </c>
      <c r="I2739">
        <v>3.99</v>
      </c>
      <c r="J2739">
        <v>15.9201</v>
      </c>
      <c r="K2739" t="str">
        <f>IFERROR(INDEX(Rosters!$C$2:$C$155,MATCH($B2739,Rosters!$B$2:$B$155,0)),"NA")</f>
        <v>comp</v>
      </c>
      <c r="L2739" t="str">
        <f t="shared" si="126"/>
        <v>comp12TE</v>
      </c>
      <c r="M2739">
        <f>COUNTIF(L$1:L2739,L2739)</f>
        <v>2</v>
      </c>
      <c r="N2739" t="str">
        <f t="shared" si="127"/>
        <v>comp12TE-2</v>
      </c>
      <c r="O2739">
        <f>COUNTIFS(F$1:F2739,F2739,A$1:A2739,A2739)</f>
        <v>16</v>
      </c>
      <c r="P2739" t="str">
        <f t="shared" si="128"/>
        <v>Trey Burton12</v>
      </c>
    </row>
    <row r="2740" spans="1:16" x14ac:dyDescent="0.25">
      <c r="A2740">
        <v>14</v>
      </c>
      <c r="B2740" t="s">
        <v>210</v>
      </c>
      <c r="C2740" t="s">
        <v>7680</v>
      </c>
      <c r="D2740">
        <v>4.67</v>
      </c>
      <c r="E2740" t="s">
        <v>31</v>
      </c>
      <c r="F2740" t="s">
        <v>87</v>
      </c>
      <c r="G2740">
        <v>7.68</v>
      </c>
      <c r="H2740">
        <v>1.66</v>
      </c>
      <c r="I2740">
        <v>3.01</v>
      </c>
      <c r="J2740">
        <v>9.0601000000000003</v>
      </c>
      <c r="K2740" t="str">
        <f>IFERROR(INDEX(Rosters!$C$2:$C$155,MATCH($B2740,Rosters!$B$2:$B$155,0)),"NA")</f>
        <v>NA</v>
      </c>
      <c r="L2740" t="str">
        <f t="shared" si="126"/>
        <v>NA14WR</v>
      </c>
      <c r="M2740">
        <f>COUNTIF(L$1:L2740,L2740)</f>
        <v>17</v>
      </c>
      <c r="N2740" t="str">
        <f t="shared" si="127"/>
        <v>NA14WR-17</v>
      </c>
      <c r="O2740">
        <f>COUNTIFS(F$1:F2740,F2740,A$1:A2740,A2740)</f>
        <v>68</v>
      </c>
      <c r="P2740" t="str">
        <f t="shared" si="128"/>
        <v>Tyrell Williams14</v>
      </c>
    </row>
    <row r="2741" spans="1:16" x14ac:dyDescent="0.25">
      <c r="A2741">
        <v>3</v>
      </c>
      <c r="B2741" t="s">
        <v>252</v>
      </c>
      <c r="C2741" t="s">
        <v>3747</v>
      </c>
      <c r="D2741">
        <v>4.66</v>
      </c>
      <c r="E2741" t="s">
        <v>28</v>
      </c>
      <c r="F2741" t="s">
        <v>87</v>
      </c>
      <c r="G2741">
        <v>8.49</v>
      </c>
      <c r="H2741">
        <v>0.83</v>
      </c>
      <c r="I2741">
        <v>3.83</v>
      </c>
      <c r="J2741">
        <v>14.668900000000001</v>
      </c>
      <c r="K2741" t="str">
        <f>IFERROR(INDEX(Rosters!$C$2:$C$155,MATCH($B2741,Rosters!$B$2:$B$155,0)),"NA")</f>
        <v>NA</v>
      </c>
      <c r="L2741" t="str">
        <f t="shared" si="126"/>
        <v>NA3WR</v>
      </c>
      <c r="M2741">
        <f>COUNTIF(L$1:L2741,L2741)</f>
        <v>16</v>
      </c>
      <c r="N2741" t="str">
        <f t="shared" si="127"/>
        <v>NA3WR-16</v>
      </c>
      <c r="O2741">
        <f>COUNTIFS(F$1:F2741,F2741,A$1:A2741,A2741)</f>
        <v>62</v>
      </c>
      <c r="P2741" t="str">
        <f t="shared" si="128"/>
        <v>Allen Hurns3</v>
      </c>
    </row>
    <row r="2742" spans="1:16" x14ac:dyDescent="0.25">
      <c r="A2742">
        <v>2</v>
      </c>
      <c r="B2742" t="s">
        <v>306</v>
      </c>
      <c r="C2742" t="s">
        <v>3361</v>
      </c>
      <c r="D2742">
        <v>4.66</v>
      </c>
      <c r="E2742" t="s">
        <v>31</v>
      </c>
      <c r="F2742" t="s">
        <v>47</v>
      </c>
      <c r="G2742">
        <v>8</v>
      </c>
      <c r="H2742">
        <v>1.32</v>
      </c>
      <c r="I2742">
        <v>3.34</v>
      </c>
      <c r="J2742">
        <v>11.1556</v>
      </c>
      <c r="K2742" t="str">
        <f>IFERROR(INDEX(Rosters!$C$2:$C$155,MATCH($B2742,Rosters!$B$2:$B$155,0)),"NA")</f>
        <v>chad</v>
      </c>
      <c r="L2742" t="str">
        <f t="shared" si="126"/>
        <v>chad2RB</v>
      </c>
      <c r="M2742">
        <f>COUNTIF(L$1:L2742,L2742)</f>
        <v>5</v>
      </c>
      <c r="N2742" t="str">
        <f t="shared" si="127"/>
        <v>chad2RB-5</v>
      </c>
      <c r="O2742">
        <f>COUNTIFS(F$1:F2742,F2742,A$1:A2742,A2742)</f>
        <v>56</v>
      </c>
      <c r="P2742" t="str">
        <f t="shared" si="128"/>
        <v>Javorius Allen2</v>
      </c>
    </row>
    <row r="2743" spans="1:16" x14ac:dyDescent="0.25">
      <c r="A2743">
        <v>17</v>
      </c>
      <c r="B2743" t="s">
        <v>255</v>
      </c>
      <c r="C2743" t="s">
        <v>4549</v>
      </c>
      <c r="D2743">
        <v>4.66</v>
      </c>
      <c r="E2743" t="s">
        <v>56</v>
      </c>
      <c r="F2743" t="s">
        <v>87</v>
      </c>
      <c r="G2743">
        <v>8.3800000000000008</v>
      </c>
      <c r="H2743">
        <v>0.94</v>
      </c>
      <c r="I2743">
        <v>3.72</v>
      </c>
      <c r="J2743">
        <v>13.8384</v>
      </c>
      <c r="K2743" t="str">
        <f>IFERROR(INDEX(Rosters!$C$2:$C$155,MATCH($B2743,Rosters!$B$2:$B$155,0)),"NA")</f>
        <v>NA</v>
      </c>
      <c r="L2743" t="str">
        <f t="shared" si="126"/>
        <v>NA17WR</v>
      </c>
      <c r="M2743">
        <f>COUNTIF(L$1:L2743,L2743)</f>
        <v>20</v>
      </c>
      <c r="N2743" t="str">
        <f t="shared" si="127"/>
        <v>NA17WR-20</v>
      </c>
      <c r="O2743">
        <f>COUNTIFS(F$1:F2743,F2743,A$1:A2743,A2743)</f>
        <v>72</v>
      </c>
      <c r="P2743" t="str">
        <f t="shared" si="128"/>
        <v>Marquise Goodwin17</v>
      </c>
    </row>
    <row r="2744" spans="1:16" x14ac:dyDescent="0.25">
      <c r="A2744">
        <v>10</v>
      </c>
      <c r="B2744" t="s">
        <v>237</v>
      </c>
      <c r="C2744" t="s">
        <v>7681</v>
      </c>
      <c r="D2744">
        <v>4.66</v>
      </c>
      <c r="E2744" t="s">
        <v>34</v>
      </c>
      <c r="F2744" t="s">
        <v>87</v>
      </c>
      <c r="G2744">
        <v>7.98</v>
      </c>
      <c r="H2744">
        <v>1.34</v>
      </c>
      <c r="I2744">
        <v>3.32</v>
      </c>
      <c r="J2744">
        <v>11.022399999999999</v>
      </c>
      <c r="K2744" t="str">
        <f>IFERROR(INDEX(Rosters!$C$2:$C$155,MATCH($B2744,Rosters!$B$2:$B$155,0)),"NA")</f>
        <v>NA</v>
      </c>
      <c r="L2744" t="str">
        <f t="shared" si="126"/>
        <v>NA10WR</v>
      </c>
      <c r="M2744">
        <f>COUNTIF(L$1:L2744,L2744)</f>
        <v>17</v>
      </c>
      <c r="N2744" t="str">
        <f t="shared" si="127"/>
        <v>NA10WR-17</v>
      </c>
      <c r="O2744">
        <f>COUNTIFS(F$1:F2744,F2744,A$1:A2744,A2744)</f>
        <v>61</v>
      </c>
      <c r="P2744" t="str">
        <f t="shared" si="128"/>
        <v>Taylor Gabriel10</v>
      </c>
    </row>
    <row r="2745" spans="1:16" x14ac:dyDescent="0.25">
      <c r="A2745">
        <v>5</v>
      </c>
      <c r="B2745" t="s">
        <v>273</v>
      </c>
      <c r="C2745" t="s">
        <v>7682</v>
      </c>
      <c r="D2745">
        <v>4.6500000000000004</v>
      </c>
      <c r="E2745" t="s">
        <v>31</v>
      </c>
      <c r="F2745" t="s">
        <v>87</v>
      </c>
      <c r="G2745">
        <v>8.23</v>
      </c>
      <c r="H2745">
        <v>1.07</v>
      </c>
      <c r="I2745">
        <v>3.58</v>
      </c>
      <c r="J2745">
        <v>12.8164</v>
      </c>
      <c r="K2745" t="str">
        <f>IFERROR(INDEX(Rosters!$C$2:$C$155,MATCH($B2745,Rosters!$B$2:$B$155,0)),"NA")</f>
        <v>NA</v>
      </c>
      <c r="L2745" t="str">
        <f t="shared" si="126"/>
        <v>NA5WR</v>
      </c>
      <c r="M2745">
        <f>COUNTIF(L$1:L2745,L2745)</f>
        <v>21</v>
      </c>
      <c r="N2745" t="str">
        <f t="shared" si="127"/>
        <v>NA5WR-21</v>
      </c>
      <c r="O2745">
        <f>COUNTIFS(F$1:F2745,F2745,A$1:A2745,A2745)</f>
        <v>66</v>
      </c>
      <c r="P2745" t="str">
        <f t="shared" si="128"/>
        <v>Albert Wilson5</v>
      </c>
    </row>
    <row r="2746" spans="1:16" x14ac:dyDescent="0.25">
      <c r="A2746">
        <v>11</v>
      </c>
      <c r="B2746" t="s">
        <v>167</v>
      </c>
      <c r="C2746" t="s">
        <v>7683</v>
      </c>
      <c r="D2746">
        <v>4.6500000000000004</v>
      </c>
      <c r="E2746" t="s">
        <v>41</v>
      </c>
      <c r="F2746" t="s">
        <v>87</v>
      </c>
      <c r="G2746">
        <v>8.77</v>
      </c>
      <c r="H2746">
        <v>0.53</v>
      </c>
      <c r="I2746">
        <v>4.12</v>
      </c>
      <c r="J2746">
        <v>16.974399999999999</v>
      </c>
      <c r="K2746" t="str">
        <f>IFERROR(INDEX(Rosters!$C$2:$C$155,MATCH($B2746,Rosters!$B$2:$B$155,0)),"NA")</f>
        <v>NA</v>
      </c>
      <c r="L2746" t="str">
        <f t="shared" si="126"/>
        <v>NA11WR</v>
      </c>
      <c r="M2746">
        <f>COUNTIF(L$1:L2746,L2746)</f>
        <v>12</v>
      </c>
      <c r="N2746" t="str">
        <f t="shared" si="127"/>
        <v>NA11WR-12</v>
      </c>
      <c r="O2746">
        <f>COUNTIFS(F$1:F2746,F2746,A$1:A2746,A2746)</f>
        <v>57</v>
      </c>
      <c r="P2746" t="str">
        <f t="shared" si="128"/>
        <v>Brandon Marshall11</v>
      </c>
    </row>
    <row r="2747" spans="1:16" x14ac:dyDescent="0.25">
      <c r="A2747">
        <v>1</v>
      </c>
      <c r="B2747" t="s">
        <v>306</v>
      </c>
      <c r="C2747" t="s">
        <v>1420</v>
      </c>
      <c r="D2747">
        <v>4.6500000000000004</v>
      </c>
      <c r="E2747" t="s">
        <v>29</v>
      </c>
      <c r="F2747" t="s">
        <v>47</v>
      </c>
      <c r="G2747">
        <v>8.36</v>
      </c>
      <c r="H2747">
        <v>0.94</v>
      </c>
      <c r="I2747">
        <v>3.71</v>
      </c>
      <c r="J2747">
        <v>13.764099999999999</v>
      </c>
      <c r="K2747" t="str">
        <f>IFERROR(INDEX(Rosters!$C$2:$C$155,MATCH($B2747,Rosters!$B$2:$B$155,0)),"NA")</f>
        <v>chad</v>
      </c>
      <c r="L2747" t="str">
        <f t="shared" si="126"/>
        <v>chad1RB</v>
      </c>
      <c r="M2747">
        <f>COUNTIF(L$1:L2747,L2747)</f>
        <v>5</v>
      </c>
      <c r="N2747" t="str">
        <f t="shared" si="127"/>
        <v>chad1RB-5</v>
      </c>
      <c r="O2747">
        <f>COUNTIFS(F$1:F2747,F2747,A$1:A2747,A2747)</f>
        <v>51</v>
      </c>
      <c r="P2747" t="str">
        <f t="shared" si="128"/>
        <v>Javorius Allen1</v>
      </c>
    </row>
    <row r="2748" spans="1:16" x14ac:dyDescent="0.25">
      <c r="A2748">
        <v>1</v>
      </c>
      <c r="B2748" t="s">
        <v>1408</v>
      </c>
      <c r="C2748" t="s">
        <v>1421</v>
      </c>
      <c r="D2748">
        <v>4.6500000000000004</v>
      </c>
      <c r="E2748" t="s">
        <v>74</v>
      </c>
      <c r="F2748" t="s">
        <v>87</v>
      </c>
      <c r="G2748">
        <v>8.41</v>
      </c>
      <c r="H2748">
        <v>0.89</v>
      </c>
      <c r="I2748">
        <v>3.76</v>
      </c>
      <c r="J2748">
        <v>14.137600000000001</v>
      </c>
      <c r="K2748" t="str">
        <f>IFERROR(INDEX(Rosters!$C$2:$C$155,MATCH($B2748,Rosters!$B$2:$B$155,0)),"NA")</f>
        <v>NA</v>
      </c>
      <c r="L2748" t="str">
        <f t="shared" si="126"/>
        <v>NA1WR</v>
      </c>
      <c r="M2748">
        <f>COUNTIF(L$1:L2748,L2748)</f>
        <v>15</v>
      </c>
      <c r="N2748" t="str">
        <f t="shared" si="127"/>
        <v>NA1WR-15</v>
      </c>
      <c r="O2748">
        <f>COUNTIFS(F$1:F2748,F2748,A$1:A2748,A2748)</f>
        <v>58</v>
      </c>
      <c r="P2748" t="str">
        <f t="shared" si="128"/>
        <v>Michael Gallup1</v>
      </c>
    </row>
    <row r="2749" spans="1:16" x14ac:dyDescent="0.25">
      <c r="A2749">
        <v>7</v>
      </c>
      <c r="B2749" t="s">
        <v>1408</v>
      </c>
      <c r="C2749" t="s">
        <v>7684</v>
      </c>
      <c r="D2749">
        <v>4.6500000000000004</v>
      </c>
      <c r="E2749" t="s">
        <v>60</v>
      </c>
      <c r="F2749" t="s">
        <v>87</v>
      </c>
      <c r="G2749">
        <v>8.94</v>
      </c>
      <c r="H2749">
        <v>0.36</v>
      </c>
      <c r="I2749">
        <v>4.29</v>
      </c>
      <c r="J2749">
        <v>18.4041</v>
      </c>
      <c r="K2749" t="str">
        <f>IFERROR(INDEX(Rosters!$C$2:$C$155,MATCH($B2749,Rosters!$B$2:$B$155,0)),"NA")</f>
        <v>NA</v>
      </c>
      <c r="L2749" t="str">
        <f t="shared" si="126"/>
        <v>NA7WR</v>
      </c>
      <c r="M2749">
        <f>COUNTIF(L$1:L2749,L2749)</f>
        <v>21</v>
      </c>
      <c r="N2749" t="str">
        <f t="shared" si="127"/>
        <v>NA7WR-21</v>
      </c>
      <c r="O2749">
        <f>COUNTIFS(F$1:F2749,F2749,A$1:A2749,A2749)</f>
        <v>62</v>
      </c>
      <c r="P2749" t="str">
        <f t="shared" si="128"/>
        <v>Michael Gallup7</v>
      </c>
    </row>
    <row r="2750" spans="1:16" x14ac:dyDescent="0.25">
      <c r="A2750">
        <v>16</v>
      </c>
      <c r="B2750" t="s">
        <v>1377</v>
      </c>
      <c r="C2750" t="s">
        <v>7685</v>
      </c>
      <c r="D2750">
        <v>4.6399999999999997</v>
      </c>
      <c r="E2750" t="s">
        <v>30</v>
      </c>
      <c r="F2750" t="s">
        <v>87</v>
      </c>
      <c r="G2750">
        <v>8.99</v>
      </c>
      <c r="H2750">
        <v>0.28999999999999998</v>
      </c>
      <c r="I2750">
        <v>4.3499999999999996</v>
      </c>
      <c r="J2750">
        <v>18.922499999999999</v>
      </c>
      <c r="K2750" t="str">
        <f>IFERROR(INDEX(Rosters!$C$2:$C$155,MATCH($B2750,Rosters!$B$2:$B$155,0)),"NA")</f>
        <v>NA</v>
      </c>
      <c r="L2750" t="str">
        <f t="shared" si="126"/>
        <v>NA16WR</v>
      </c>
      <c r="M2750">
        <f>COUNTIF(L$1:L2750,L2750)</f>
        <v>17</v>
      </c>
      <c r="N2750" t="str">
        <f t="shared" si="127"/>
        <v>NA16WR-17</v>
      </c>
      <c r="O2750">
        <f>COUNTIFS(F$1:F2750,F2750,A$1:A2750,A2750)</f>
        <v>67</v>
      </c>
      <c r="P2750" t="str">
        <f t="shared" si="128"/>
        <v>Anthony Miller16</v>
      </c>
    </row>
    <row r="2751" spans="1:16" x14ac:dyDescent="0.25">
      <c r="A2751">
        <v>5</v>
      </c>
      <c r="B2751" t="s">
        <v>159</v>
      </c>
      <c r="C2751" t="s">
        <v>7686</v>
      </c>
      <c r="D2751">
        <v>4.6399999999999997</v>
      </c>
      <c r="E2751" t="s">
        <v>66</v>
      </c>
      <c r="F2751" t="s">
        <v>87</v>
      </c>
      <c r="G2751">
        <v>7.94</v>
      </c>
      <c r="H2751">
        <v>1.34</v>
      </c>
      <c r="I2751">
        <v>3.3</v>
      </c>
      <c r="J2751">
        <v>10.89</v>
      </c>
      <c r="K2751" t="str">
        <f>IFERROR(INDEX(Rosters!$C$2:$C$155,MATCH($B2751,Rosters!$B$2:$B$155,0)),"NA")</f>
        <v>perry</v>
      </c>
      <c r="L2751" t="str">
        <f t="shared" si="126"/>
        <v>perry5WR</v>
      </c>
      <c r="M2751">
        <f>COUNTIF(L$1:L2751,L2751)</f>
        <v>5</v>
      </c>
      <c r="N2751" t="str">
        <f t="shared" si="127"/>
        <v>perry5WR-5</v>
      </c>
      <c r="O2751">
        <f>COUNTIFS(F$1:F2751,F2751,A$1:A2751,A2751)</f>
        <v>67</v>
      </c>
      <c r="P2751" t="str">
        <f t="shared" si="128"/>
        <v>Chris Hogan5</v>
      </c>
    </row>
    <row r="2752" spans="1:16" x14ac:dyDescent="0.25">
      <c r="A2752">
        <v>3</v>
      </c>
      <c r="B2752" t="s">
        <v>227</v>
      </c>
      <c r="C2752" t="s">
        <v>3748</v>
      </c>
      <c r="D2752">
        <v>4.6399999999999997</v>
      </c>
      <c r="E2752" t="s">
        <v>32</v>
      </c>
      <c r="F2752" t="s">
        <v>87</v>
      </c>
      <c r="G2752">
        <v>7.59</v>
      </c>
      <c r="H2752">
        <v>1.69</v>
      </c>
      <c r="I2752">
        <v>2.95</v>
      </c>
      <c r="J2752">
        <v>8.7025000000000006</v>
      </c>
      <c r="K2752" t="str">
        <f>IFERROR(INDEX(Rosters!$C$2:$C$155,MATCH($B2752,Rosters!$B$2:$B$155,0)),"NA")</f>
        <v>NA</v>
      </c>
      <c r="L2752" t="str">
        <f t="shared" si="126"/>
        <v>NA3WR</v>
      </c>
      <c r="M2752">
        <f>COUNTIF(L$1:L2752,L2752)</f>
        <v>17</v>
      </c>
      <c r="N2752" t="str">
        <f t="shared" si="127"/>
        <v>NA3WR-17</v>
      </c>
      <c r="O2752">
        <f>COUNTIFS(F$1:F2752,F2752,A$1:A2752,A2752)</f>
        <v>63</v>
      </c>
      <c r="P2752" t="str">
        <f t="shared" si="128"/>
        <v>Danny Amendola3</v>
      </c>
    </row>
    <row r="2753" spans="1:16" x14ac:dyDescent="0.25">
      <c r="A2753">
        <v>9</v>
      </c>
      <c r="B2753" t="s">
        <v>308</v>
      </c>
      <c r="C2753">
        <f>-0.08-9.36</f>
        <v>-9.44</v>
      </c>
      <c r="D2753">
        <v>4.6399999999999997</v>
      </c>
      <c r="E2753" t="s">
        <v>36</v>
      </c>
      <c r="F2753" t="s">
        <v>114</v>
      </c>
      <c r="G2753">
        <v>9.36</v>
      </c>
      <c r="H2753">
        <v>-0.08</v>
      </c>
      <c r="I2753">
        <v>4.72</v>
      </c>
      <c r="J2753">
        <v>22.278400000000001</v>
      </c>
      <c r="K2753" t="str">
        <f>IFERROR(INDEX(Rosters!$C$2:$C$155,MATCH($B2753,Rosters!$B$2:$B$155,0)),"NA")</f>
        <v>NA</v>
      </c>
      <c r="L2753" t="str">
        <f t="shared" si="126"/>
        <v>NA9TE</v>
      </c>
      <c r="M2753">
        <f>COUNTIF(L$1:L2753,L2753)</f>
        <v>5</v>
      </c>
      <c r="N2753" t="str">
        <f t="shared" si="127"/>
        <v>NA9TE-5</v>
      </c>
      <c r="O2753">
        <f>COUNTIFS(F$1:F2753,F2753,A$1:A2753,A2753)</f>
        <v>13</v>
      </c>
      <c r="P2753" t="str">
        <f t="shared" si="128"/>
        <v>Jeff Heuerman9</v>
      </c>
    </row>
    <row r="2754" spans="1:16" x14ac:dyDescent="0.25">
      <c r="A2754">
        <v>13</v>
      </c>
      <c r="B2754" t="s">
        <v>1408</v>
      </c>
      <c r="C2754">
        <f>-0.1-9.38</f>
        <v>-9.48</v>
      </c>
      <c r="D2754">
        <v>4.6399999999999997</v>
      </c>
      <c r="E2754" t="s">
        <v>14</v>
      </c>
      <c r="F2754" t="s">
        <v>87</v>
      </c>
      <c r="G2754">
        <v>9.3800000000000008</v>
      </c>
      <c r="H2754">
        <v>-0.1</v>
      </c>
      <c r="I2754">
        <v>4.74</v>
      </c>
      <c r="J2754">
        <v>22.467600000000001</v>
      </c>
      <c r="K2754" t="str">
        <f>IFERROR(INDEX(Rosters!$C$2:$C$155,MATCH($B2754,Rosters!$B$2:$B$155,0)),"NA")</f>
        <v>NA</v>
      </c>
      <c r="L2754" t="str">
        <f t="shared" si="126"/>
        <v>NA13WR</v>
      </c>
      <c r="M2754">
        <f>COUNTIF(L$1:L2754,L2754)</f>
        <v>19</v>
      </c>
      <c r="N2754" t="str">
        <f t="shared" si="127"/>
        <v>NA13WR-19</v>
      </c>
      <c r="O2754">
        <f>COUNTIFS(F$1:F2754,F2754,A$1:A2754,A2754)</f>
        <v>71</v>
      </c>
      <c r="P2754" t="str">
        <f t="shared" si="128"/>
        <v>Michael Gallup13</v>
      </c>
    </row>
    <row r="2755" spans="1:16" x14ac:dyDescent="0.25">
      <c r="A2755">
        <v>13</v>
      </c>
      <c r="B2755" t="s">
        <v>1377</v>
      </c>
      <c r="C2755" t="s">
        <v>7687</v>
      </c>
      <c r="D2755">
        <v>4.63</v>
      </c>
      <c r="E2755" t="s">
        <v>54</v>
      </c>
      <c r="F2755" t="s">
        <v>87</v>
      </c>
      <c r="G2755">
        <v>9.19</v>
      </c>
      <c r="H2755">
        <v>7.0000000000000007E-2</v>
      </c>
      <c r="I2755">
        <v>4.5599999999999996</v>
      </c>
      <c r="J2755">
        <v>20.793600000000001</v>
      </c>
      <c r="K2755" t="str">
        <f>IFERROR(INDEX(Rosters!$C$2:$C$155,MATCH($B2755,Rosters!$B$2:$B$155,0)),"NA")</f>
        <v>NA</v>
      </c>
      <c r="L2755" t="str">
        <f t="shared" ref="L2755:L2818" si="129">K2755&amp;A2755&amp;F2755</f>
        <v>NA13WR</v>
      </c>
      <c r="M2755">
        <f>COUNTIF(L$1:L2755,L2755)</f>
        <v>20</v>
      </c>
      <c r="N2755" t="str">
        <f t="shared" ref="N2755:N2818" si="130">L2755&amp;"-"&amp;M2755</f>
        <v>NA13WR-20</v>
      </c>
      <c r="O2755">
        <f>COUNTIFS(F$1:F2755,F2755,A$1:A2755,A2755)</f>
        <v>72</v>
      </c>
      <c r="P2755" t="str">
        <f t="shared" ref="P2755:P2818" si="131">B2755&amp;A2755</f>
        <v>Anthony Miller13</v>
      </c>
    </row>
    <row r="2756" spans="1:16" x14ac:dyDescent="0.25">
      <c r="A2756">
        <v>14</v>
      </c>
      <c r="B2756" t="s">
        <v>1449</v>
      </c>
      <c r="C2756" t="s">
        <v>7688</v>
      </c>
      <c r="D2756">
        <v>4.63</v>
      </c>
      <c r="E2756" t="s">
        <v>24</v>
      </c>
      <c r="F2756" t="s">
        <v>114</v>
      </c>
      <c r="G2756">
        <v>8.5</v>
      </c>
      <c r="H2756">
        <v>0.76</v>
      </c>
      <c r="I2756">
        <v>3.87</v>
      </c>
      <c r="J2756">
        <v>14.976900000000001</v>
      </c>
      <c r="K2756" t="str">
        <f>IFERROR(INDEX(Rosters!$C$2:$C$155,MATCH($B2756,Rosters!$B$2:$B$155,0)),"NA")</f>
        <v>NA</v>
      </c>
      <c r="L2756" t="str">
        <f t="shared" si="129"/>
        <v>NA14TE</v>
      </c>
      <c r="M2756">
        <f>COUNTIF(L$1:L2756,L2756)</f>
        <v>5</v>
      </c>
      <c r="N2756" t="str">
        <f t="shared" si="130"/>
        <v>NA14TE-5</v>
      </c>
      <c r="O2756">
        <f>COUNTIFS(F$1:F2756,F2756,A$1:A2756,A2756)</f>
        <v>18</v>
      </c>
      <c r="P2756" t="str">
        <f t="shared" si="131"/>
        <v>Hayden Hurst14</v>
      </c>
    </row>
    <row r="2757" spans="1:16" x14ac:dyDescent="0.25">
      <c r="A2757">
        <v>14</v>
      </c>
      <c r="B2757" t="s">
        <v>239</v>
      </c>
      <c r="C2757">
        <f>-0.19-9.45</f>
        <v>-9.6399999999999988</v>
      </c>
      <c r="D2757">
        <v>4.63</v>
      </c>
      <c r="E2757" t="s">
        <v>37</v>
      </c>
      <c r="F2757" t="s">
        <v>87</v>
      </c>
      <c r="G2757">
        <v>9.4499999999999993</v>
      </c>
      <c r="H2757">
        <v>-0.19</v>
      </c>
      <c r="I2757">
        <v>4.82</v>
      </c>
      <c r="J2757">
        <v>23.232399999999998</v>
      </c>
      <c r="K2757" t="str">
        <f>IFERROR(INDEX(Rosters!$C$2:$C$155,MATCH($B2757,Rosters!$B$2:$B$155,0)),"NA")</f>
        <v>NA</v>
      </c>
      <c r="L2757" t="str">
        <f t="shared" si="129"/>
        <v>NA14WR</v>
      </c>
      <c r="M2757">
        <f>COUNTIF(L$1:L2757,L2757)</f>
        <v>18</v>
      </c>
      <c r="N2757" t="str">
        <f t="shared" si="130"/>
        <v>NA14WR-18</v>
      </c>
      <c r="O2757">
        <f>COUNTIFS(F$1:F2757,F2757,A$1:A2757,A2757)</f>
        <v>69</v>
      </c>
      <c r="P2757" t="str">
        <f t="shared" si="131"/>
        <v>John Ross14</v>
      </c>
    </row>
    <row r="2758" spans="1:16" x14ac:dyDescent="0.25">
      <c r="A2758">
        <v>16</v>
      </c>
      <c r="B2758" t="s">
        <v>167</v>
      </c>
      <c r="C2758" t="s">
        <v>7689</v>
      </c>
      <c r="D2758">
        <v>4.62</v>
      </c>
      <c r="E2758" t="s">
        <v>24</v>
      </c>
      <c r="F2758" t="s">
        <v>87</v>
      </c>
      <c r="G2758">
        <v>8.3800000000000008</v>
      </c>
      <c r="H2758">
        <v>0.86</v>
      </c>
      <c r="I2758">
        <v>3.76</v>
      </c>
      <c r="J2758">
        <v>14.137600000000001</v>
      </c>
      <c r="K2758" t="str">
        <f>IFERROR(INDEX(Rosters!$C$2:$C$155,MATCH($B2758,Rosters!$B$2:$B$155,0)),"NA")</f>
        <v>NA</v>
      </c>
      <c r="L2758" t="str">
        <f t="shared" si="129"/>
        <v>NA16WR</v>
      </c>
      <c r="M2758">
        <f>COUNTIF(L$1:L2758,L2758)</f>
        <v>18</v>
      </c>
      <c r="N2758" t="str">
        <f t="shared" si="130"/>
        <v>NA16WR-18</v>
      </c>
      <c r="O2758">
        <f>COUNTIFS(F$1:F2758,F2758,A$1:A2758,A2758)</f>
        <v>68</v>
      </c>
      <c r="P2758" t="str">
        <f t="shared" si="131"/>
        <v>Brandon Marshall16</v>
      </c>
    </row>
    <row r="2759" spans="1:16" x14ac:dyDescent="0.25">
      <c r="A2759">
        <v>14</v>
      </c>
      <c r="B2759" t="s">
        <v>131</v>
      </c>
      <c r="C2759" t="s">
        <v>7690</v>
      </c>
      <c r="D2759">
        <v>4.62</v>
      </c>
      <c r="E2759" t="s">
        <v>52</v>
      </c>
      <c r="F2759" t="s">
        <v>47</v>
      </c>
      <c r="G2759">
        <v>7.92</v>
      </c>
      <c r="H2759">
        <v>1.32</v>
      </c>
      <c r="I2759">
        <v>3.3</v>
      </c>
      <c r="J2759">
        <v>10.89</v>
      </c>
      <c r="K2759" t="str">
        <f>IFERROR(INDEX(Rosters!$C$2:$C$155,MATCH($B2759,Rosters!$B$2:$B$155,0)),"NA")</f>
        <v>NA</v>
      </c>
      <c r="L2759" t="str">
        <f t="shared" si="129"/>
        <v>NA14RB</v>
      </c>
      <c r="M2759">
        <f>COUNTIF(L$1:L2759,L2759)</f>
        <v>14</v>
      </c>
      <c r="N2759" t="str">
        <f t="shared" si="130"/>
        <v>NA14RB-14</v>
      </c>
      <c r="O2759">
        <f>COUNTIFS(F$1:F2759,F2759,A$1:A2759,A2759)</f>
        <v>60</v>
      </c>
      <c r="P2759" t="str">
        <f t="shared" si="131"/>
        <v>C.J. Anderson14</v>
      </c>
    </row>
    <row r="2760" spans="1:16" x14ac:dyDescent="0.25">
      <c r="A2760">
        <v>8</v>
      </c>
      <c r="B2760" t="s">
        <v>260</v>
      </c>
      <c r="C2760" t="s">
        <v>7691</v>
      </c>
      <c r="D2760">
        <v>4.62</v>
      </c>
      <c r="E2760" t="s">
        <v>19</v>
      </c>
      <c r="F2760" t="s">
        <v>47</v>
      </c>
      <c r="G2760">
        <v>8.11</v>
      </c>
      <c r="H2760">
        <v>1.1299999999999999</v>
      </c>
      <c r="I2760">
        <v>3.49</v>
      </c>
      <c r="J2760">
        <v>12.180099999999999</v>
      </c>
      <c r="K2760" t="str">
        <f>IFERROR(INDEX(Rosters!$C$2:$C$155,MATCH($B2760,Rosters!$B$2:$B$155,0)),"NA")</f>
        <v>NA</v>
      </c>
      <c r="L2760" t="str">
        <f t="shared" si="129"/>
        <v>NA8RB</v>
      </c>
      <c r="M2760">
        <f>COUNTIF(L$1:L2760,L2760)</f>
        <v>15</v>
      </c>
      <c r="N2760" t="str">
        <f t="shared" si="130"/>
        <v>NA8RB-15</v>
      </c>
      <c r="O2760">
        <f>COUNTIFS(F$1:F2760,F2760,A$1:A2760,A2760)</f>
        <v>54</v>
      </c>
      <c r="P2760" t="str">
        <f t="shared" si="131"/>
        <v>D'Onta Foreman8</v>
      </c>
    </row>
    <row r="2761" spans="1:16" x14ac:dyDescent="0.25">
      <c r="A2761">
        <v>12</v>
      </c>
      <c r="B2761" t="s">
        <v>155</v>
      </c>
      <c r="C2761" t="s">
        <v>7692</v>
      </c>
      <c r="D2761">
        <v>4.62</v>
      </c>
      <c r="E2761" t="s">
        <v>72</v>
      </c>
      <c r="F2761" t="s">
        <v>47</v>
      </c>
      <c r="G2761">
        <v>7.69</v>
      </c>
      <c r="H2761">
        <v>1.55</v>
      </c>
      <c r="I2761">
        <v>3.07</v>
      </c>
      <c r="J2761">
        <v>9.4248999999999992</v>
      </c>
      <c r="K2761" t="str">
        <f>IFERROR(INDEX(Rosters!$C$2:$C$155,MATCH($B2761,Rosters!$B$2:$B$155,0)),"NA")</f>
        <v>NA</v>
      </c>
      <c r="L2761" t="str">
        <f t="shared" si="129"/>
        <v>NA12RB</v>
      </c>
      <c r="M2761">
        <f>COUNTIF(L$1:L2761,L2761)</f>
        <v>12</v>
      </c>
      <c r="N2761" t="str">
        <f t="shared" si="130"/>
        <v>NA12RB-12</v>
      </c>
      <c r="O2761">
        <f>COUNTIFS(F$1:F2761,F2761,A$1:A2761,A2761)</f>
        <v>56</v>
      </c>
      <c r="P2761" t="str">
        <f t="shared" si="131"/>
        <v>Theo Riddick12</v>
      </c>
    </row>
    <row r="2762" spans="1:16" x14ac:dyDescent="0.25">
      <c r="A2762">
        <v>6</v>
      </c>
      <c r="B2762" t="s">
        <v>1377</v>
      </c>
      <c r="C2762" t="s">
        <v>7693</v>
      </c>
      <c r="D2762">
        <v>4.6100000000000003</v>
      </c>
      <c r="E2762" t="s">
        <v>19</v>
      </c>
      <c r="F2762" t="s">
        <v>87</v>
      </c>
      <c r="G2762">
        <v>9</v>
      </c>
      <c r="H2762">
        <v>0.22</v>
      </c>
      <c r="I2762">
        <v>4.3899999999999997</v>
      </c>
      <c r="J2762">
        <v>19.272099999999998</v>
      </c>
      <c r="K2762" t="str">
        <f>IFERROR(INDEX(Rosters!$C$2:$C$155,MATCH($B2762,Rosters!$B$2:$B$155,0)),"NA")</f>
        <v>NA</v>
      </c>
      <c r="L2762" t="str">
        <f t="shared" si="129"/>
        <v>NA6WR</v>
      </c>
      <c r="M2762">
        <f>COUNTIF(L$1:L2762,L2762)</f>
        <v>19</v>
      </c>
      <c r="N2762" t="str">
        <f t="shared" si="130"/>
        <v>NA6WR-19</v>
      </c>
      <c r="O2762">
        <f>COUNTIFS(F$1:F2762,F2762,A$1:A2762,A2762)</f>
        <v>65</v>
      </c>
      <c r="P2762" t="str">
        <f t="shared" si="131"/>
        <v>Anthony Miller6</v>
      </c>
    </row>
    <row r="2763" spans="1:16" x14ac:dyDescent="0.25">
      <c r="A2763">
        <v>2</v>
      </c>
      <c r="B2763" t="s">
        <v>211</v>
      </c>
      <c r="C2763" t="s">
        <v>1424</v>
      </c>
      <c r="D2763">
        <v>4.6100000000000003</v>
      </c>
      <c r="E2763" t="s">
        <v>74</v>
      </c>
      <c r="F2763" t="s">
        <v>114</v>
      </c>
      <c r="G2763">
        <v>8.7100000000000009</v>
      </c>
      <c r="H2763">
        <v>0.51</v>
      </c>
      <c r="I2763">
        <v>4.0999999999999996</v>
      </c>
      <c r="J2763">
        <v>16.809999999999999</v>
      </c>
      <c r="K2763" t="str">
        <f>IFERROR(INDEX(Rosters!$C$2:$C$155,MATCH($B2763,Rosters!$B$2:$B$155,0)),"NA")</f>
        <v>comp</v>
      </c>
      <c r="L2763" t="str">
        <f t="shared" si="129"/>
        <v>comp2TE</v>
      </c>
      <c r="M2763">
        <f>COUNTIF(L$1:L2763,L2763)</f>
        <v>2</v>
      </c>
      <c r="N2763" t="str">
        <f t="shared" si="130"/>
        <v>comp2TE-2</v>
      </c>
      <c r="O2763">
        <f>COUNTIFS(F$1:F2763,F2763,A$1:A2763,A2763)</f>
        <v>16</v>
      </c>
      <c r="P2763" t="str">
        <f t="shared" si="131"/>
        <v>Austin Hooper2</v>
      </c>
    </row>
    <row r="2764" spans="1:16" x14ac:dyDescent="0.25">
      <c r="A2764">
        <v>15</v>
      </c>
      <c r="B2764" t="s">
        <v>247</v>
      </c>
      <c r="C2764" t="s">
        <v>7694</v>
      </c>
      <c r="D2764">
        <v>4.6100000000000003</v>
      </c>
      <c r="E2764" t="s">
        <v>60</v>
      </c>
      <c r="F2764" t="s">
        <v>114</v>
      </c>
      <c r="G2764">
        <v>8.24</v>
      </c>
      <c r="H2764">
        <v>0.98</v>
      </c>
      <c r="I2764">
        <v>3.63</v>
      </c>
      <c r="J2764">
        <v>13.1769</v>
      </c>
      <c r="K2764" t="str">
        <f>IFERROR(INDEX(Rosters!$C$2:$C$155,MATCH($B2764,Rosters!$B$2:$B$155,0)),"NA")</f>
        <v>NA</v>
      </c>
      <c r="L2764" t="str">
        <f t="shared" si="129"/>
        <v>NA15TE</v>
      </c>
      <c r="M2764">
        <f>COUNTIF(L$1:L2764,L2764)</f>
        <v>6</v>
      </c>
      <c r="N2764" t="str">
        <f t="shared" si="130"/>
        <v>NA15TE-6</v>
      </c>
      <c r="O2764">
        <f>COUNTIFS(F$1:F2764,F2764,A$1:A2764,A2764)</f>
        <v>18</v>
      </c>
      <c r="P2764" t="str">
        <f t="shared" si="131"/>
        <v>Austin Seferian-Jenkins15</v>
      </c>
    </row>
    <row r="2765" spans="1:16" x14ac:dyDescent="0.25">
      <c r="A2765">
        <v>17</v>
      </c>
      <c r="B2765" t="s">
        <v>227</v>
      </c>
      <c r="C2765" t="s">
        <v>7695</v>
      </c>
      <c r="D2765">
        <v>4.6100000000000003</v>
      </c>
      <c r="E2765" t="s">
        <v>29</v>
      </c>
      <c r="F2765" t="s">
        <v>87</v>
      </c>
      <c r="G2765">
        <v>8.36</v>
      </c>
      <c r="H2765">
        <v>0.86</v>
      </c>
      <c r="I2765">
        <v>3.75</v>
      </c>
      <c r="J2765">
        <v>14.0625</v>
      </c>
      <c r="K2765" t="str">
        <f>IFERROR(INDEX(Rosters!$C$2:$C$155,MATCH($B2765,Rosters!$B$2:$B$155,0)),"NA")</f>
        <v>NA</v>
      </c>
      <c r="L2765" t="str">
        <f t="shared" si="129"/>
        <v>NA17WR</v>
      </c>
      <c r="M2765">
        <f>COUNTIF(L$1:L2765,L2765)</f>
        <v>21</v>
      </c>
      <c r="N2765" t="str">
        <f t="shared" si="130"/>
        <v>NA17WR-21</v>
      </c>
      <c r="O2765">
        <f>COUNTIFS(F$1:F2765,F2765,A$1:A2765,A2765)</f>
        <v>73</v>
      </c>
      <c r="P2765" t="str">
        <f t="shared" si="131"/>
        <v>Danny Amendola17</v>
      </c>
    </row>
    <row r="2766" spans="1:16" x14ac:dyDescent="0.25">
      <c r="A2766">
        <v>3</v>
      </c>
      <c r="B2766" t="s">
        <v>306</v>
      </c>
      <c r="C2766" t="s">
        <v>3749</v>
      </c>
      <c r="D2766">
        <v>4.6100000000000003</v>
      </c>
      <c r="E2766" t="s">
        <v>42</v>
      </c>
      <c r="F2766" t="s">
        <v>47</v>
      </c>
      <c r="G2766">
        <v>8.01</v>
      </c>
      <c r="H2766">
        <v>1.21</v>
      </c>
      <c r="I2766">
        <v>3.4</v>
      </c>
      <c r="J2766">
        <v>11.56</v>
      </c>
      <c r="K2766" t="str">
        <f>IFERROR(INDEX(Rosters!$C$2:$C$155,MATCH($B2766,Rosters!$B$2:$B$155,0)),"NA")</f>
        <v>chad</v>
      </c>
      <c r="L2766" t="str">
        <f t="shared" si="129"/>
        <v>chad3RB</v>
      </c>
      <c r="M2766">
        <f>COUNTIF(L$1:L2766,L2766)</f>
        <v>5</v>
      </c>
      <c r="N2766" t="str">
        <f t="shared" si="130"/>
        <v>chad3RB-5</v>
      </c>
      <c r="O2766">
        <f>COUNTIFS(F$1:F2766,F2766,A$1:A2766,A2766)</f>
        <v>57</v>
      </c>
      <c r="P2766" t="str">
        <f t="shared" si="131"/>
        <v>Javorius Allen3</v>
      </c>
    </row>
    <row r="2767" spans="1:16" x14ac:dyDescent="0.25">
      <c r="A2767">
        <v>13</v>
      </c>
      <c r="B2767" t="s">
        <v>167</v>
      </c>
      <c r="C2767" t="s">
        <v>7696</v>
      </c>
      <c r="D2767">
        <v>4.5999999999999996</v>
      </c>
      <c r="E2767" t="s">
        <v>30</v>
      </c>
      <c r="F2767" t="s">
        <v>87</v>
      </c>
      <c r="G2767">
        <v>8.76</v>
      </c>
      <c r="H2767">
        <v>0.44</v>
      </c>
      <c r="I2767">
        <v>4.16</v>
      </c>
      <c r="J2767">
        <v>17.305599999999998</v>
      </c>
      <c r="K2767" t="str">
        <f>IFERROR(INDEX(Rosters!$C$2:$C$155,MATCH($B2767,Rosters!$B$2:$B$155,0)),"NA")</f>
        <v>NA</v>
      </c>
      <c r="L2767" t="str">
        <f t="shared" si="129"/>
        <v>NA13WR</v>
      </c>
      <c r="M2767">
        <f>COUNTIF(L$1:L2767,L2767)</f>
        <v>21</v>
      </c>
      <c r="N2767" t="str">
        <f t="shared" si="130"/>
        <v>NA13WR-21</v>
      </c>
      <c r="O2767">
        <f>COUNTIFS(F$1:F2767,F2767,A$1:A2767,A2767)</f>
        <v>73</v>
      </c>
      <c r="P2767" t="str">
        <f t="shared" si="131"/>
        <v>Brandon Marshall13</v>
      </c>
    </row>
    <row r="2768" spans="1:16" x14ac:dyDescent="0.25">
      <c r="A2768">
        <v>7</v>
      </c>
      <c r="B2768" t="s">
        <v>131</v>
      </c>
      <c r="C2768" t="s">
        <v>7697</v>
      </c>
      <c r="D2768">
        <v>4.5999999999999996</v>
      </c>
      <c r="E2768" t="s">
        <v>50</v>
      </c>
      <c r="F2768" t="s">
        <v>47</v>
      </c>
      <c r="G2768">
        <v>9.1999999999999993</v>
      </c>
      <c r="H2768">
        <v>0</v>
      </c>
      <c r="I2768">
        <v>4.5999999999999996</v>
      </c>
      <c r="J2768">
        <v>21.16</v>
      </c>
      <c r="K2768" t="str">
        <f>IFERROR(INDEX(Rosters!$C$2:$C$155,MATCH($B2768,Rosters!$B$2:$B$155,0)),"NA")</f>
        <v>NA</v>
      </c>
      <c r="L2768" t="str">
        <f t="shared" si="129"/>
        <v>NA7RB</v>
      </c>
      <c r="M2768">
        <f>COUNTIF(L$1:L2768,L2768)</f>
        <v>11</v>
      </c>
      <c r="N2768" t="str">
        <f t="shared" si="130"/>
        <v>NA7RB-11</v>
      </c>
      <c r="O2768">
        <f>COUNTIFS(F$1:F2768,F2768,A$1:A2768,A2768)</f>
        <v>51</v>
      </c>
      <c r="P2768" t="str">
        <f t="shared" si="131"/>
        <v>C.J. Anderson7</v>
      </c>
    </row>
    <row r="2769" spans="1:16" x14ac:dyDescent="0.25">
      <c r="A2769">
        <v>12</v>
      </c>
      <c r="B2769" t="s">
        <v>156</v>
      </c>
      <c r="C2769" t="s">
        <v>7698</v>
      </c>
      <c r="D2769">
        <v>4.5999999999999996</v>
      </c>
      <c r="E2769" t="s">
        <v>77</v>
      </c>
      <c r="F2769" t="s">
        <v>87</v>
      </c>
      <c r="G2769">
        <v>8.0500000000000007</v>
      </c>
      <c r="H2769">
        <v>1.1499999999999999</v>
      </c>
      <c r="I2769">
        <v>3.45</v>
      </c>
      <c r="J2769">
        <v>11.9025</v>
      </c>
      <c r="K2769" t="str">
        <f>IFERROR(INDEX(Rosters!$C$2:$C$155,MATCH($B2769,Rosters!$B$2:$B$155,0)),"NA")</f>
        <v>NA</v>
      </c>
      <c r="L2769" t="str">
        <f t="shared" si="129"/>
        <v>NA12WR</v>
      </c>
      <c r="M2769">
        <f>COUNTIF(L$1:L2769,L2769)</f>
        <v>18</v>
      </c>
      <c r="N2769" t="str">
        <f t="shared" si="130"/>
        <v>NA12WR-18</v>
      </c>
      <c r="O2769">
        <f>COUNTIFS(F$1:F2769,F2769,A$1:A2769,A2769)</f>
        <v>65</v>
      </c>
      <c r="P2769" t="str">
        <f t="shared" si="131"/>
        <v>Martavis Bryant12</v>
      </c>
    </row>
    <row r="2770" spans="1:16" x14ac:dyDescent="0.25">
      <c r="A2770">
        <v>1</v>
      </c>
      <c r="B2770" t="s">
        <v>167</v>
      </c>
      <c r="C2770" t="s">
        <v>1426</v>
      </c>
      <c r="D2770">
        <v>4.59</v>
      </c>
      <c r="E2770" t="s">
        <v>42</v>
      </c>
      <c r="F2770" t="s">
        <v>87</v>
      </c>
      <c r="G2770">
        <v>7.79</v>
      </c>
      <c r="H2770">
        <v>1.39</v>
      </c>
      <c r="I2770">
        <v>3.2</v>
      </c>
      <c r="J2770">
        <v>10.24</v>
      </c>
      <c r="K2770" t="str">
        <f>IFERROR(INDEX(Rosters!$C$2:$C$155,MATCH($B2770,Rosters!$B$2:$B$155,0)),"NA")</f>
        <v>NA</v>
      </c>
      <c r="L2770" t="str">
        <f t="shared" si="129"/>
        <v>NA1WR</v>
      </c>
      <c r="M2770">
        <f>COUNTIF(L$1:L2770,L2770)</f>
        <v>16</v>
      </c>
      <c r="N2770" t="str">
        <f t="shared" si="130"/>
        <v>NA1WR-16</v>
      </c>
      <c r="O2770">
        <f>COUNTIFS(F$1:F2770,F2770,A$1:A2770,A2770)</f>
        <v>59</v>
      </c>
      <c r="P2770" t="str">
        <f t="shared" si="131"/>
        <v>Brandon Marshall1</v>
      </c>
    </row>
    <row r="2771" spans="1:16" x14ac:dyDescent="0.25">
      <c r="A2771">
        <v>15</v>
      </c>
      <c r="B2771" t="s">
        <v>1489</v>
      </c>
      <c r="C2771">
        <f>-1.89-11.07</f>
        <v>-12.96</v>
      </c>
      <c r="D2771">
        <v>4.59</v>
      </c>
      <c r="E2771" t="s">
        <v>46</v>
      </c>
      <c r="F2771" t="s">
        <v>87</v>
      </c>
      <c r="G2771">
        <v>11.07</v>
      </c>
      <c r="H2771">
        <v>-1.89</v>
      </c>
      <c r="I2771">
        <v>6.48</v>
      </c>
      <c r="J2771">
        <v>41.990400000000001</v>
      </c>
      <c r="K2771" t="str">
        <f>IFERROR(INDEX(Rosters!$C$2:$C$155,MATCH($B2771,Rosters!$B$2:$B$155,0)),"NA")</f>
        <v>NA</v>
      </c>
      <c r="L2771" t="str">
        <f t="shared" si="129"/>
        <v>NA15WR</v>
      </c>
      <c r="M2771">
        <f>COUNTIF(L$1:L2771,L2771)</f>
        <v>18</v>
      </c>
      <c r="N2771" t="str">
        <f t="shared" si="130"/>
        <v>NA15WR-18</v>
      </c>
      <c r="O2771">
        <f>COUNTIFS(F$1:F2771,F2771,A$1:A2771,A2771)</f>
        <v>68</v>
      </c>
      <c r="P2771" t="str">
        <f t="shared" si="131"/>
        <v>Chad Williams15</v>
      </c>
    </row>
    <row r="2772" spans="1:16" x14ac:dyDescent="0.25">
      <c r="A2772">
        <v>3</v>
      </c>
      <c r="B2772" t="s">
        <v>1397</v>
      </c>
      <c r="C2772">
        <f>-0.37-9.55</f>
        <v>-9.92</v>
      </c>
      <c r="D2772">
        <v>4.59</v>
      </c>
      <c r="E2772" t="s">
        <v>72</v>
      </c>
      <c r="F2772" t="s">
        <v>87</v>
      </c>
      <c r="G2772">
        <v>9.5500000000000007</v>
      </c>
      <c r="H2772">
        <v>-0.37</v>
      </c>
      <c r="I2772">
        <v>4.96</v>
      </c>
      <c r="J2772">
        <v>24.601600000000001</v>
      </c>
      <c r="K2772" t="str">
        <f>IFERROR(INDEX(Rosters!$C$2:$C$155,MATCH($B2772,Rosters!$B$2:$B$155,0)),"NA")</f>
        <v>NA</v>
      </c>
      <c r="L2772" t="str">
        <f t="shared" si="129"/>
        <v>NA3WR</v>
      </c>
      <c r="M2772">
        <f>COUNTIF(L$1:L2772,L2772)</f>
        <v>18</v>
      </c>
      <c r="N2772" t="str">
        <f t="shared" si="130"/>
        <v>NA3WR-18</v>
      </c>
      <c r="O2772">
        <f>COUNTIFS(F$1:F2772,F2772,A$1:A2772,A2772)</f>
        <v>64</v>
      </c>
      <c r="P2772" t="str">
        <f t="shared" si="131"/>
        <v>Christian Kirk3</v>
      </c>
    </row>
    <row r="2773" spans="1:16" x14ac:dyDescent="0.25">
      <c r="A2773">
        <v>1</v>
      </c>
      <c r="B2773" t="s">
        <v>208</v>
      </c>
      <c r="C2773" t="s">
        <v>3362</v>
      </c>
      <c r="D2773">
        <v>4.59</v>
      </c>
      <c r="E2773" t="s">
        <v>56</v>
      </c>
      <c r="F2773" t="s">
        <v>114</v>
      </c>
      <c r="G2773">
        <v>9.0500000000000007</v>
      </c>
      <c r="H2773">
        <v>0.13</v>
      </c>
      <c r="I2773">
        <v>4.46</v>
      </c>
      <c r="J2773">
        <v>19.8916</v>
      </c>
      <c r="K2773" t="str">
        <f>IFERROR(INDEX(Rosters!$C$2:$C$155,MATCH($B2773,Rosters!$B$2:$B$155,0)),"NA")</f>
        <v>chad</v>
      </c>
      <c r="L2773" t="str">
        <f t="shared" si="129"/>
        <v>chad1TE</v>
      </c>
      <c r="M2773">
        <f>COUNTIF(L$1:L2773,L2773)</f>
        <v>1</v>
      </c>
      <c r="N2773" t="str">
        <f t="shared" si="130"/>
        <v>chad1TE-1</v>
      </c>
      <c r="O2773">
        <f>COUNTIFS(F$1:F2773,F2773,A$1:A2773,A2773)</f>
        <v>13</v>
      </c>
      <c r="P2773" t="str">
        <f t="shared" si="131"/>
        <v>Jared Cook1</v>
      </c>
    </row>
    <row r="2774" spans="1:16" x14ac:dyDescent="0.25">
      <c r="A2774">
        <v>15</v>
      </c>
      <c r="B2774" t="s">
        <v>194</v>
      </c>
      <c r="C2774" t="s">
        <v>7699</v>
      </c>
      <c r="D2774">
        <v>4.59</v>
      </c>
      <c r="E2774" t="s">
        <v>58</v>
      </c>
      <c r="F2774" t="s">
        <v>87</v>
      </c>
      <c r="G2774">
        <v>7.88</v>
      </c>
      <c r="H2774">
        <v>1.3</v>
      </c>
      <c r="I2774">
        <v>3.29</v>
      </c>
      <c r="J2774">
        <v>10.8241</v>
      </c>
      <c r="K2774" t="str">
        <f>IFERROR(INDEX(Rosters!$C$2:$C$155,MATCH($B2774,Rosters!$B$2:$B$155,0)),"NA")</f>
        <v>NA</v>
      </c>
      <c r="L2774" t="str">
        <f t="shared" si="129"/>
        <v>NA15WR</v>
      </c>
      <c r="M2774">
        <f>COUNTIF(L$1:L2774,L2774)</f>
        <v>19</v>
      </c>
      <c r="N2774" t="str">
        <f t="shared" si="130"/>
        <v>NA15WR-19</v>
      </c>
      <c r="O2774">
        <f>COUNTIFS(F$1:F2774,F2774,A$1:A2774,A2774)</f>
        <v>69</v>
      </c>
      <c r="P2774" t="str">
        <f t="shared" si="131"/>
        <v>Mohamed Sanu15</v>
      </c>
    </row>
    <row r="2775" spans="1:16" x14ac:dyDescent="0.25">
      <c r="A2775">
        <v>16</v>
      </c>
      <c r="B2775" t="s">
        <v>214</v>
      </c>
      <c r="C2775" t="s">
        <v>7700</v>
      </c>
      <c r="D2775">
        <v>4.59</v>
      </c>
      <c r="E2775" t="s">
        <v>14</v>
      </c>
      <c r="F2775" t="s">
        <v>114</v>
      </c>
      <c r="G2775">
        <v>8.7200000000000006</v>
      </c>
      <c r="H2775">
        <v>0.46</v>
      </c>
      <c r="I2775">
        <v>4.13</v>
      </c>
      <c r="J2775">
        <v>17.056899999999999</v>
      </c>
      <c r="K2775" t="str">
        <f>IFERROR(INDEX(Rosters!$C$2:$C$155,MATCH($B2775,Rosters!$B$2:$B$155,0)),"NA")</f>
        <v>scott</v>
      </c>
      <c r="L2775" t="str">
        <f t="shared" si="129"/>
        <v>scott16TE</v>
      </c>
      <c r="M2775">
        <f>COUNTIF(L$1:L2775,L2775)</f>
        <v>2</v>
      </c>
      <c r="N2775" t="str">
        <f t="shared" si="130"/>
        <v>scott16TE-2</v>
      </c>
      <c r="O2775">
        <f>COUNTIFS(F$1:F2775,F2775,A$1:A2775,A2775)</f>
        <v>18</v>
      </c>
      <c r="P2775" t="str">
        <f t="shared" si="131"/>
        <v>Vance McDonald16</v>
      </c>
    </row>
    <row r="2776" spans="1:16" x14ac:dyDescent="0.25">
      <c r="A2776">
        <v>9</v>
      </c>
      <c r="B2776" t="s">
        <v>197</v>
      </c>
      <c r="C2776" t="s">
        <v>4550</v>
      </c>
      <c r="D2776">
        <v>4.58</v>
      </c>
      <c r="E2776" t="s">
        <v>38</v>
      </c>
      <c r="F2776" t="s">
        <v>87</v>
      </c>
      <c r="G2776">
        <v>7.94</v>
      </c>
      <c r="H2776">
        <v>1.22</v>
      </c>
      <c r="I2776">
        <v>3.36</v>
      </c>
      <c r="J2776">
        <v>11.2896</v>
      </c>
      <c r="K2776" t="str">
        <f>IFERROR(INDEX(Rosters!$C$2:$C$155,MATCH($B2776,Rosters!$B$2:$B$155,0)),"NA")</f>
        <v>NA</v>
      </c>
      <c r="L2776" t="str">
        <f t="shared" si="129"/>
        <v>NA9WR</v>
      </c>
      <c r="M2776">
        <f>COUNTIF(L$1:L2776,L2776)</f>
        <v>14</v>
      </c>
      <c r="N2776" t="str">
        <f t="shared" si="130"/>
        <v>NA9WR-14</v>
      </c>
      <c r="O2776">
        <f>COUNTIFS(F$1:F2776,F2776,A$1:A2776,A2776)</f>
        <v>55</v>
      </c>
      <c r="P2776" t="str">
        <f t="shared" si="131"/>
        <v>Cole Beasley9</v>
      </c>
    </row>
    <row r="2777" spans="1:16" x14ac:dyDescent="0.25">
      <c r="A2777">
        <v>15</v>
      </c>
      <c r="B2777" t="s">
        <v>308</v>
      </c>
      <c r="C2777" t="s">
        <v>7701</v>
      </c>
      <c r="D2777">
        <v>4.58</v>
      </c>
      <c r="E2777" t="s">
        <v>52</v>
      </c>
      <c r="F2777" t="s">
        <v>114</v>
      </c>
      <c r="G2777">
        <v>8.9</v>
      </c>
      <c r="H2777">
        <v>0.26</v>
      </c>
      <c r="I2777">
        <v>4.32</v>
      </c>
      <c r="J2777">
        <v>18.662400000000002</v>
      </c>
      <c r="K2777" t="str">
        <f>IFERROR(INDEX(Rosters!$C$2:$C$155,MATCH($B2777,Rosters!$B$2:$B$155,0)),"NA")</f>
        <v>NA</v>
      </c>
      <c r="L2777" t="str">
        <f t="shared" si="129"/>
        <v>NA15TE</v>
      </c>
      <c r="M2777">
        <f>COUNTIF(L$1:L2777,L2777)</f>
        <v>7</v>
      </c>
      <c r="N2777" t="str">
        <f t="shared" si="130"/>
        <v>NA15TE-7</v>
      </c>
      <c r="O2777">
        <f>COUNTIFS(F$1:F2777,F2777,A$1:A2777,A2777)</f>
        <v>19</v>
      </c>
      <c r="P2777" t="str">
        <f t="shared" si="131"/>
        <v>Jeff Heuerman15</v>
      </c>
    </row>
    <row r="2778" spans="1:16" x14ac:dyDescent="0.25">
      <c r="A2778">
        <v>14</v>
      </c>
      <c r="B2778" t="s">
        <v>237</v>
      </c>
      <c r="C2778" t="s">
        <v>7702</v>
      </c>
      <c r="D2778">
        <v>4.58</v>
      </c>
      <c r="E2778" t="s">
        <v>56</v>
      </c>
      <c r="F2778" t="s">
        <v>87</v>
      </c>
      <c r="G2778">
        <v>7.9</v>
      </c>
      <c r="H2778">
        <v>1.26</v>
      </c>
      <c r="I2778">
        <v>3.32</v>
      </c>
      <c r="J2778">
        <v>11.022399999999999</v>
      </c>
      <c r="K2778" t="str">
        <f>IFERROR(INDEX(Rosters!$C$2:$C$155,MATCH($B2778,Rosters!$B$2:$B$155,0)),"NA")</f>
        <v>NA</v>
      </c>
      <c r="L2778" t="str">
        <f t="shared" si="129"/>
        <v>NA14WR</v>
      </c>
      <c r="M2778">
        <f>COUNTIF(L$1:L2778,L2778)</f>
        <v>19</v>
      </c>
      <c r="N2778" t="str">
        <f t="shared" si="130"/>
        <v>NA14WR-19</v>
      </c>
      <c r="O2778">
        <f>COUNTIFS(F$1:F2778,F2778,A$1:A2778,A2778)</f>
        <v>70</v>
      </c>
      <c r="P2778" t="str">
        <f t="shared" si="131"/>
        <v>Taylor Gabriel14</v>
      </c>
    </row>
    <row r="2779" spans="1:16" x14ac:dyDescent="0.25">
      <c r="A2779">
        <v>4</v>
      </c>
      <c r="B2779" t="s">
        <v>273</v>
      </c>
      <c r="C2779" t="s">
        <v>5032</v>
      </c>
      <c r="D2779">
        <v>4.57</v>
      </c>
      <c r="E2779" t="s">
        <v>423</v>
      </c>
      <c r="F2779" t="s">
        <v>87</v>
      </c>
      <c r="G2779">
        <v>8.18</v>
      </c>
      <c r="H2779">
        <v>0.96</v>
      </c>
      <c r="I2779">
        <v>3.61</v>
      </c>
      <c r="J2779">
        <v>13.0321</v>
      </c>
      <c r="K2779" t="str">
        <f>IFERROR(INDEX(Rosters!$C$2:$C$155,MATCH($B2779,Rosters!$B$2:$B$155,0)),"NA")</f>
        <v>NA</v>
      </c>
      <c r="L2779" t="str">
        <f t="shared" si="129"/>
        <v>NA4WR</v>
      </c>
      <c r="M2779">
        <f>COUNTIF(L$1:L2779,L2779)</f>
        <v>13</v>
      </c>
      <c r="N2779" t="str">
        <f t="shared" si="130"/>
        <v>NA4WR-13</v>
      </c>
      <c r="O2779">
        <f>COUNTIFS(F$1:F2779,F2779,A$1:A2779,A2779)</f>
        <v>60</v>
      </c>
      <c r="P2779" t="str">
        <f t="shared" si="131"/>
        <v>Albert Wilson4</v>
      </c>
    </row>
    <row r="2780" spans="1:16" x14ac:dyDescent="0.25">
      <c r="A2780">
        <v>10</v>
      </c>
      <c r="B2780" t="s">
        <v>1387</v>
      </c>
      <c r="C2780" t="s">
        <v>7703</v>
      </c>
      <c r="D2780">
        <v>4.57</v>
      </c>
      <c r="E2780" t="s">
        <v>22</v>
      </c>
      <c r="F2780" t="s">
        <v>47</v>
      </c>
      <c r="G2780">
        <v>8.42</v>
      </c>
      <c r="H2780">
        <v>0.72</v>
      </c>
      <c r="I2780">
        <v>3.85</v>
      </c>
      <c r="J2780">
        <v>14.8225</v>
      </c>
      <c r="K2780" t="str">
        <f>IFERROR(INDEX(Rosters!$C$2:$C$155,MATCH($B2780,Rosters!$B$2:$B$155,0)),"NA")</f>
        <v>NA</v>
      </c>
      <c r="L2780" t="str">
        <f t="shared" si="129"/>
        <v>NA10RB</v>
      </c>
      <c r="M2780">
        <f>COUNTIF(L$1:L2780,L2780)</f>
        <v>14</v>
      </c>
      <c r="N2780" t="str">
        <f t="shared" si="130"/>
        <v>NA10RB-14</v>
      </c>
      <c r="O2780">
        <f>COUNTIFS(F$1:F2780,F2780,A$1:A2780,A2780)</f>
        <v>52</v>
      </c>
      <c r="P2780" t="str">
        <f t="shared" si="131"/>
        <v>Corey Clement10</v>
      </c>
    </row>
    <row r="2781" spans="1:16" x14ac:dyDescent="0.25">
      <c r="A2781">
        <v>8</v>
      </c>
      <c r="B2781" t="s">
        <v>156</v>
      </c>
      <c r="C2781" t="s">
        <v>7704</v>
      </c>
      <c r="D2781">
        <v>4.57</v>
      </c>
      <c r="E2781" t="s">
        <v>66</v>
      </c>
      <c r="F2781" t="s">
        <v>87</v>
      </c>
      <c r="G2781">
        <v>7.39</v>
      </c>
      <c r="H2781">
        <v>1.75</v>
      </c>
      <c r="I2781">
        <v>2.82</v>
      </c>
      <c r="J2781">
        <v>7.9523999999999999</v>
      </c>
      <c r="K2781" t="str">
        <f>IFERROR(INDEX(Rosters!$C$2:$C$155,MATCH($B2781,Rosters!$B$2:$B$155,0)),"NA")</f>
        <v>NA</v>
      </c>
      <c r="L2781" t="str">
        <f t="shared" si="129"/>
        <v>NA8WR</v>
      </c>
      <c r="M2781">
        <f>COUNTIF(L$1:L2781,L2781)</f>
        <v>16</v>
      </c>
      <c r="N2781" t="str">
        <f t="shared" si="130"/>
        <v>NA8WR-16</v>
      </c>
      <c r="O2781">
        <f>COUNTIFS(F$1:F2781,F2781,A$1:A2781,A2781)</f>
        <v>62</v>
      </c>
      <c r="P2781" t="str">
        <f t="shared" si="131"/>
        <v>Martavis Bryant8</v>
      </c>
    </row>
    <row r="2782" spans="1:16" x14ac:dyDescent="0.25">
      <c r="A2782">
        <v>16</v>
      </c>
      <c r="B2782" t="s">
        <v>226</v>
      </c>
      <c r="C2782" t="s">
        <v>7705</v>
      </c>
      <c r="D2782">
        <v>4.57</v>
      </c>
      <c r="E2782" t="s">
        <v>77</v>
      </c>
      <c r="F2782" t="s">
        <v>87</v>
      </c>
      <c r="G2782">
        <v>8.35</v>
      </c>
      <c r="H2782">
        <v>0.79</v>
      </c>
      <c r="I2782">
        <v>3.78</v>
      </c>
      <c r="J2782">
        <v>14.288399999999999</v>
      </c>
      <c r="K2782" t="str">
        <f>IFERROR(INDEX(Rosters!$C$2:$C$155,MATCH($B2782,Rosters!$B$2:$B$155,0)),"NA")</f>
        <v>comp</v>
      </c>
      <c r="L2782" t="str">
        <f t="shared" si="129"/>
        <v>comp16WR</v>
      </c>
      <c r="M2782">
        <f>COUNTIF(L$1:L2782,L2782)</f>
        <v>7</v>
      </c>
      <c r="N2782" t="str">
        <f t="shared" si="130"/>
        <v>comp16WR-7</v>
      </c>
      <c r="O2782">
        <f>COUNTIFS(F$1:F2782,F2782,A$1:A2782,A2782)</f>
        <v>69</v>
      </c>
      <c r="P2782" t="str">
        <f t="shared" si="131"/>
        <v>Mike Williams16</v>
      </c>
    </row>
    <row r="2783" spans="1:16" x14ac:dyDescent="0.25">
      <c r="A2783">
        <v>10</v>
      </c>
      <c r="B2783" t="s">
        <v>252</v>
      </c>
      <c r="C2783" t="s">
        <v>7706</v>
      </c>
      <c r="D2783">
        <v>4.5599999999999996</v>
      </c>
      <c r="E2783" t="s">
        <v>50</v>
      </c>
      <c r="F2783" t="s">
        <v>87</v>
      </c>
      <c r="G2783">
        <v>8.25</v>
      </c>
      <c r="H2783">
        <v>0.87</v>
      </c>
      <c r="I2783">
        <v>3.69</v>
      </c>
      <c r="J2783">
        <v>13.616099999999999</v>
      </c>
      <c r="K2783" t="str">
        <f>IFERROR(INDEX(Rosters!$C$2:$C$155,MATCH($B2783,Rosters!$B$2:$B$155,0)),"NA")</f>
        <v>NA</v>
      </c>
      <c r="L2783" t="str">
        <f t="shared" si="129"/>
        <v>NA10WR</v>
      </c>
      <c r="M2783">
        <f>COUNTIF(L$1:L2783,L2783)</f>
        <v>18</v>
      </c>
      <c r="N2783" t="str">
        <f t="shared" si="130"/>
        <v>NA10WR-18</v>
      </c>
      <c r="O2783">
        <f>COUNTIFS(F$1:F2783,F2783,A$1:A2783,A2783)</f>
        <v>62</v>
      </c>
      <c r="P2783" t="str">
        <f t="shared" si="131"/>
        <v>Allen Hurns10</v>
      </c>
    </row>
    <row r="2784" spans="1:16" x14ac:dyDescent="0.25">
      <c r="A2784">
        <v>13</v>
      </c>
      <c r="B2784" t="s">
        <v>280</v>
      </c>
      <c r="C2784" t="s">
        <v>7706</v>
      </c>
      <c r="D2784">
        <v>4.5599999999999996</v>
      </c>
      <c r="E2784" t="s">
        <v>19</v>
      </c>
      <c r="F2784" t="s">
        <v>47</v>
      </c>
      <c r="G2784">
        <v>8.25</v>
      </c>
      <c r="H2784">
        <v>0.87</v>
      </c>
      <c r="I2784">
        <v>3.69</v>
      </c>
      <c r="J2784">
        <v>13.616099999999999</v>
      </c>
      <c r="K2784" t="str">
        <f>IFERROR(INDEX(Rosters!$C$2:$C$155,MATCH($B2784,Rosters!$B$2:$B$155,0)),"NA")</f>
        <v>NA</v>
      </c>
      <c r="L2784" t="str">
        <f t="shared" si="129"/>
        <v>NA13RB</v>
      </c>
      <c r="M2784">
        <f>COUNTIF(L$1:L2784,L2784)</f>
        <v>16</v>
      </c>
      <c r="N2784" t="str">
        <f t="shared" si="130"/>
        <v>NA13RB-16</v>
      </c>
      <c r="O2784">
        <f>COUNTIFS(F$1:F2784,F2784,A$1:A2784,A2784)</f>
        <v>60</v>
      </c>
      <c r="P2784" t="str">
        <f t="shared" si="131"/>
        <v>Chris Ivory13</v>
      </c>
    </row>
    <row r="2785" spans="1:16" x14ac:dyDescent="0.25">
      <c r="A2785">
        <v>2</v>
      </c>
      <c r="B2785" t="s">
        <v>1397</v>
      </c>
      <c r="C2785" t="s">
        <v>3363</v>
      </c>
      <c r="D2785">
        <v>4.5599999999999996</v>
      </c>
      <c r="E2785" t="s">
        <v>56</v>
      </c>
      <c r="F2785" t="s">
        <v>87</v>
      </c>
      <c r="G2785">
        <v>8.85</v>
      </c>
      <c r="H2785">
        <v>0.27</v>
      </c>
      <c r="I2785">
        <v>4.29</v>
      </c>
      <c r="J2785">
        <v>18.4041</v>
      </c>
      <c r="K2785" t="str">
        <f>IFERROR(INDEX(Rosters!$C$2:$C$155,MATCH($B2785,Rosters!$B$2:$B$155,0)),"NA")</f>
        <v>NA</v>
      </c>
      <c r="L2785" t="str">
        <f t="shared" si="129"/>
        <v>NA2WR</v>
      </c>
      <c r="M2785">
        <f>COUNTIF(L$1:L2785,L2785)</f>
        <v>16</v>
      </c>
      <c r="N2785" t="str">
        <f t="shared" si="130"/>
        <v>NA2WR-16</v>
      </c>
      <c r="O2785">
        <f>COUNTIFS(F$1:F2785,F2785,A$1:A2785,A2785)</f>
        <v>60</v>
      </c>
      <c r="P2785" t="str">
        <f t="shared" si="131"/>
        <v>Christian Kirk2</v>
      </c>
    </row>
    <row r="2786" spans="1:16" x14ac:dyDescent="0.25">
      <c r="A2786">
        <v>9</v>
      </c>
      <c r="B2786" t="s">
        <v>159</v>
      </c>
      <c r="C2786" t="s">
        <v>7707</v>
      </c>
      <c r="D2786">
        <v>4.55</v>
      </c>
      <c r="E2786" t="s">
        <v>41</v>
      </c>
      <c r="F2786" t="s">
        <v>87</v>
      </c>
      <c r="G2786">
        <v>7.8</v>
      </c>
      <c r="H2786">
        <v>1.3</v>
      </c>
      <c r="I2786">
        <v>3.25</v>
      </c>
      <c r="J2786">
        <v>10.5625</v>
      </c>
      <c r="K2786" t="str">
        <f>IFERROR(INDEX(Rosters!$C$2:$C$155,MATCH($B2786,Rosters!$B$2:$B$155,0)),"NA")</f>
        <v>perry</v>
      </c>
      <c r="L2786" t="str">
        <f t="shared" si="129"/>
        <v>perry9WR</v>
      </c>
      <c r="M2786">
        <f>COUNTIF(L$1:L2786,L2786)</f>
        <v>4</v>
      </c>
      <c r="N2786" t="str">
        <f t="shared" si="130"/>
        <v>perry9WR-4</v>
      </c>
      <c r="O2786">
        <f>COUNTIFS(F$1:F2786,F2786,A$1:A2786,A2786)</f>
        <v>56</v>
      </c>
      <c r="P2786" t="str">
        <f t="shared" si="131"/>
        <v>Chris Hogan9</v>
      </c>
    </row>
    <row r="2787" spans="1:16" x14ac:dyDescent="0.25">
      <c r="A2787">
        <v>15</v>
      </c>
      <c r="B2787" t="s">
        <v>197</v>
      </c>
      <c r="C2787" t="s">
        <v>7708</v>
      </c>
      <c r="D2787">
        <v>4.55</v>
      </c>
      <c r="E2787" t="s">
        <v>66</v>
      </c>
      <c r="F2787" t="s">
        <v>87</v>
      </c>
      <c r="G2787">
        <v>8.16</v>
      </c>
      <c r="H2787">
        <v>0.94</v>
      </c>
      <c r="I2787">
        <v>3.61</v>
      </c>
      <c r="J2787">
        <v>13.0321</v>
      </c>
      <c r="K2787" t="str">
        <f>IFERROR(INDEX(Rosters!$C$2:$C$155,MATCH($B2787,Rosters!$B$2:$B$155,0)),"NA")</f>
        <v>NA</v>
      </c>
      <c r="L2787" t="str">
        <f t="shared" si="129"/>
        <v>NA15WR</v>
      </c>
      <c r="M2787">
        <f>COUNTIF(L$1:L2787,L2787)</f>
        <v>20</v>
      </c>
      <c r="N2787" t="str">
        <f t="shared" si="130"/>
        <v>NA15WR-20</v>
      </c>
      <c r="O2787">
        <f>COUNTIFS(F$1:F2787,F2787,A$1:A2787,A2787)</f>
        <v>70</v>
      </c>
      <c r="P2787" t="str">
        <f t="shared" si="131"/>
        <v>Cole Beasley15</v>
      </c>
    </row>
    <row r="2788" spans="1:16" x14ac:dyDescent="0.25">
      <c r="A2788">
        <v>13</v>
      </c>
      <c r="B2788" t="s">
        <v>1122</v>
      </c>
      <c r="C2788" t="s">
        <v>7709</v>
      </c>
      <c r="D2788">
        <v>4.55</v>
      </c>
      <c r="E2788" t="s">
        <v>60</v>
      </c>
      <c r="F2788" t="s">
        <v>47</v>
      </c>
      <c r="G2788">
        <v>8.44</v>
      </c>
      <c r="H2788">
        <v>0.66</v>
      </c>
      <c r="I2788">
        <v>3.89</v>
      </c>
      <c r="J2788">
        <v>15.132099999999999</v>
      </c>
      <c r="K2788" t="str">
        <f>IFERROR(INDEX(Rosters!$C$2:$C$155,MATCH($B2788,Rosters!$B$2:$B$155,0)),"NA")</f>
        <v>NA</v>
      </c>
      <c r="L2788" t="str">
        <f t="shared" si="129"/>
        <v>NA13RB</v>
      </c>
      <c r="M2788">
        <f>COUNTIF(L$1:L2788,L2788)</f>
        <v>17</v>
      </c>
      <c r="N2788" t="str">
        <f t="shared" si="130"/>
        <v>NA13RB-17</v>
      </c>
      <c r="O2788">
        <f>COUNTIFS(F$1:F2788,F2788,A$1:A2788,A2788)</f>
        <v>61</v>
      </c>
      <c r="P2788" t="str">
        <f t="shared" si="131"/>
        <v>Darren Sproles13</v>
      </c>
    </row>
    <row r="2789" spans="1:16" x14ac:dyDescent="0.25">
      <c r="A2789">
        <v>5</v>
      </c>
      <c r="B2789" t="s">
        <v>183</v>
      </c>
      <c r="C2789" t="s">
        <v>7710</v>
      </c>
      <c r="D2789">
        <v>4.55</v>
      </c>
      <c r="E2789" t="s">
        <v>77</v>
      </c>
      <c r="F2789" t="s">
        <v>47</v>
      </c>
      <c r="G2789">
        <v>7.7</v>
      </c>
      <c r="H2789">
        <v>1.4</v>
      </c>
      <c r="I2789">
        <v>3.15</v>
      </c>
      <c r="J2789">
        <v>9.9224999999999994</v>
      </c>
      <c r="K2789" t="str">
        <f>IFERROR(INDEX(Rosters!$C$2:$C$155,MATCH($B2789,Rosters!$B$2:$B$155,0)),"NA")</f>
        <v>NA</v>
      </c>
      <c r="L2789" t="str">
        <f t="shared" si="129"/>
        <v>NA5RB</v>
      </c>
      <c r="M2789">
        <f>COUNTIF(L$1:L2789,L2789)</f>
        <v>12</v>
      </c>
      <c r="N2789" t="str">
        <f t="shared" si="130"/>
        <v>NA5RB-12</v>
      </c>
      <c r="O2789">
        <f>COUNTIFS(F$1:F2789,F2789,A$1:A2789,A2789)</f>
        <v>54</v>
      </c>
      <c r="P2789" t="str">
        <f t="shared" si="131"/>
        <v>Duke Johnson Jr.5</v>
      </c>
    </row>
    <row r="2790" spans="1:16" x14ac:dyDescent="0.25">
      <c r="A2790">
        <v>1</v>
      </c>
      <c r="B2790" t="s">
        <v>239</v>
      </c>
      <c r="C2790">
        <f>-0.93-10.03</f>
        <v>-10.959999999999999</v>
      </c>
      <c r="D2790">
        <v>4.55</v>
      </c>
      <c r="E2790" t="s">
        <v>66</v>
      </c>
      <c r="F2790" t="s">
        <v>87</v>
      </c>
      <c r="G2790">
        <v>10.029999999999999</v>
      </c>
      <c r="H2790">
        <v>-0.93</v>
      </c>
      <c r="I2790">
        <v>5.48</v>
      </c>
      <c r="J2790">
        <v>30.0304</v>
      </c>
      <c r="K2790" t="str">
        <f>IFERROR(INDEX(Rosters!$C$2:$C$155,MATCH($B2790,Rosters!$B$2:$B$155,0)),"NA")</f>
        <v>NA</v>
      </c>
      <c r="L2790" t="str">
        <f t="shared" si="129"/>
        <v>NA1WR</v>
      </c>
      <c r="M2790">
        <f>COUNTIF(L$1:L2790,L2790)</f>
        <v>17</v>
      </c>
      <c r="N2790" t="str">
        <f t="shared" si="130"/>
        <v>NA1WR-17</v>
      </c>
      <c r="O2790">
        <f>COUNTIFS(F$1:F2790,F2790,A$1:A2790,A2790)</f>
        <v>60</v>
      </c>
      <c r="P2790" t="str">
        <f t="shared" si="131"/>
        <v>John Ross1</v>
      </c>
    </row>
    <row r="2791" spans="1:16" x14ac:dyDescent="0.25">
      <c r="A2791">
        <v>6</v>
      </c>
      <c r="B2791" t="s">
        <v>239</v>
      </c>
      <c r="C2791" t="s">
        <v>7711</v>
      </c>
      <c r="D2791">
        <v>4.55</v>
      </c>
      <c r="E2791" t="s">
        <v>51</v>
      </c>
      <c r="F2791" t="s">
        <v>87</v>
      </c>
      <c r="G2791">
        <v>9.1</v>
      </c>
      <c r="H2791">
        <v>0</v>
      </c>
      <c r="I2791">
        <v>4.55</v>
      </c>
      <c r="J2791">
        <v>20.702500000000001</v>
      </c>
      <c r="K2791" t="str">
        <f>IFERROR(INDEX(Rosters!$C$2:$C$155,MATCH($B2791,Rosters!$B$2:$B$155,0)),"NA")</f>
        <v>NA</v>
      </c>
      <c r="L2791" t="str">
        <f t="shared" si="129"/>
        <v>NA6WR</v>
      </c>
      <c r="M2791">
        <f>COUNTIF(L$1:L2791,L2791)</f>
        <v>20</v>
      </c>
      <c r="N2791" t="str">
        <f t="shared" si="130"/>
        <v>NA6WR-20</v>
      </c>
      <c r="O2791">
        <f>COUNTIFS(F$1:F2791,F2791,A$1:A2791,A2791)</f>
        <v>66</v>
      </c>
      <c r="P2791" t="str">
        <f t="shared" si="131"/>
        <v>John Ross6</v>
      </c>
    </row>
    <row r="2792" spans="1:16" x14ac:dyDescent="0.25">
      <c r="A2792">
        <v>17</v>
      </c>
      <c r="B2792" t="s">
        <v>1388</v>
      </c>
      <c r="C2792" t="s">
        <v>7712</v>
      </c>
      <c r="D2792">
        <v>4.55</v>
      </c>
      <c r="E2792" t="s">
        <v>38</v>
      </c>
      <c r="F2792" t="s">
        <v>47</v>
      </c>
      <c r="G2792">
        <v>9.01</v>
      </c>
      <c r="H2792">
        <v>0.09</v>
      </c>
      <c r="I2792">
        <v>4.46</v>
      </c>
      <c r="J2792">
        <v>19.8916</v>
      </c>
      <c r="K2792" t="str">
        <f>IFERROR(INDEX(Rosters!$C$2:$C$155,MATCH($B2792,Rosters!$B$2:$B$155,0)),"NA")</f>
        <v>NA</v>
      </c>
      <c r="L2792" t="str">
        <f t="shared" si="129"/>
        <v>NA17RB</v>
      </c>
      <c r="M2792">
        <f>COUNTIF(L$1:L2792,L2792)</f>
        <v>14</v>
      </c>
      <c r="N2792" t="str">
        <f t="shared" si="130"/>
        <v>NA17RB-14</v>
      </c>
      <c r="O2792">
        <f>COUNTIFS(F$1:F2792,F2792,A$1:A2792,A2792)</f>
        <v>59</v>
      </c>
      <c r="P2792" t="str">
        <f t="shared" si="131"/>
        <v>Jordan Wilkins17</v>
      </c>
    </row>
    <row r="2793" spans="1:16" x14ac:dyDescent="0.25">
      <c r="A2793">
        <v>16</v>
      </c>
      <c r="B2793" t="s">
        <v>194</v>
      </c>
      <c r="C2793" t="s">
        <v>7713</v>
      </c>
      <c r="D2793">
        <v>4.55</v>
      </c>
      <c r="E2793" t="s">
        <v>74</v>
      </c>
      <c r="F2793" t="s">
        <v>87</v>
      </c>
      <c r="G2793">
        <v>7.82</v>
      </c>
      <c r="H2793">
        <v>1.28</v>
      </c>
      <c r="I2793">
        <v>3.27</v>
      </c>
      <c r="J2793">
        <v>10.6929</v>
      </c>
      <c r="K2793" t="str">
        <f>IFERROR(INDEX(Rosters!$C$2:$C$155,MATCH($B2793,Rosters!$B$2:$B$155,0)),"NA")</f>
        <v>NA</v>
      </c>
      <c r="L2793" t="str">
        <f t="shared" si="129"/>
        <v>NA16WR</v>
      </c>
      <c r="M2793">
        <f>COUNTIF(L$1:L2793,L2793)</f>
        <v>19</v>
      </c>
      <c r="N2793" t="str">
        <f t="shared" si="130"/>
        <v>NA16WR-19</v>
      </c>
      <c r="O2793">
        <f>COUNTIFS(F$1:F2793,F2793,A$1:A2793,A2793)</f>
        <v>70</v>
      </c>
      <c r="P2793" t="str">
        <f t="shared" si="131"/>
        <v>Mohamed Sanu16</v>
      </c>
    </row>
    <row r="2794" spans="1:16" x14ac:dyDescent="0.25">
      <c r="A2794">
        <v>12</v>
      </c>
      <c r="B2794" t="s">
        <v>237</v>
      </c>
      <c r="C2794" t="s">
        <v>7714</v>
      </c>
      <c r="D2794">
        <v>4.55</v>
      </c>
      <c r="E2794" t="s">
        <v>34</v>
      </c>
      <c r="F2794" t="s">
        <v>87</v>
      </c>
      <c r="G2794">
        <v>7.87</v>
      </c>
      <c r="H2794">
        <v>1.23</v>
      </c>
      <c r="I2794">
        <v>3.32</v>
      </c>
      <c r="J2794">
        <v>11.022399999999999</v>
      </c>
      <c r="K2794" t="str">
        <f>IFERROR(INDEX(Rosters!$C$2:$C$155,MATCH($B2794,Rosters!$B$2:$B$155,0)),"NA")</f>
        <v>NA</v>
      </c>
      <c r="L2794" t="str">
        <f t="shared" si="129"/>
        <v>NA12WR</v>
      </c>
      <c r="M2794">
        <f>COUNTIF(L$1:L2794,L2794)</f>
        <v>19</v>
      </c>
      <c r="N2794" t="str">
        <f t="shared" si="130"/>
        <v>NA12WR-19</v>
      </c>
      <c r="O2794">
        <f>COUNTIFS(F$1:F2794,F2794,A$1:A2794,A2794)</f>
        <v>66</v>
      </c>
      <c r="P2794" t="str">
        <f t="shared" si="131"/>
        <v>Taylor Gabriel12</v>
      </c>
    </row>
    <row r="2795" spans="1:16" x14ac:dyDescent="0.25">
      <c r="A2795">
        <v>3</v>
      </c>
      <c r="B2795" t="s">
        <v>294</v>
      </c>
      <c r="C2795" t="s">
        <v>3750</v>
      </c>
      <c r="D2795">
        <v>4.54</v>
      </c>
      <c r="E2795" t="s">
        <v>54</v>
      </c>
      <c r="F2795" t="s">
        <v>47</v>
      </c>
      <c r="G2795">
        <v>7.52</v>
      </c>
      <c r="H2795">
        <v>1.56</v>
      </c>
      <c r="I2795">
        <v>2.98</v>
      </c>
      <c r="J2795">
        <v>8.8803999999999998</v>
      </c>
      <c r="K2795" t="str">
        <f>IFERROR(INDEX(Rosters!$C$2:$C$155,MATCH($B2795,Rosters!$B$2:$B$155,0)),"NA")</f>
        <v>perry</v>
      </c>
      <c r="L2795" t="str">
        <f t="shared" si="129"/>
        <v>perry3RB</v>
      </c>
      <c r="M2795">
        <f>COUNTIF(L$1:L2795,L2795)</f>
        <v>4</v>
      </c>
      <c r="N2795" t="str">
        <f t="shared" si="130"/>
        <v>perry3RB-4</v>
      </c>
      <c r="O2795">
        <f>COUNTIFS(F$1:F2795,F2795,A$1:A2795,A2795)</f>
        <v>58</v>
      </c>
      <c r="P2795" t="str">
        <f t="shared" si="131"/>
        <v>Alfred Blue3</v>
      </c>
    </row>
    <row r="2796" spans="1:16" x14ac:dyDescent="0.25">
      <c r="A2796">
        <v>9</v>
      </c>
      <c r="B2796" t="s">
        <v>280</v>
      </c>
      <c r="C2796" t="s">
        <v>7715</v>
      </c>
      <c r="D2796">
        <v>4.54</v>
      </c>
      <c r="E2796" t="s">
        <v>72</v>
      </c>
      <c r="F2796" t="s">
        <v>47</v>
      </c>
      <c r="G2796">
        <v>9.06</v>
      </c>
      <c r="H2796">
        <v>0.02</v>
      </c>
      <c r="I2796">
        <v>4.5199999999999996</v>
      </c>
      <c r="J2796">
        <v>20.430399999999999</v>
      </c>
      <c r="K2796" t="str">
        <f>IFERROR(INDEX(Rosters!$C$2:$C$155,MATCH($B2796,Rosters!$B$2:$B$155,0)),"NA")</f>
        <v>NA</v>
      </c>
      <c r="L2796" t="str">
        <f t="shared" si="129"/>
        <v>NA9RB</v>
      </c>
      <c r="M2796">
        <f>COUNTIF(L$1:L2796,L2796)</f>
        <v>11</v>
      </c>
      <c r="N2796" t="str">
        <f t="shared" si="130"/>
        <v>NA9RB-11</v>
      </c>
      <c r="O2796">
        <f>COUNTIFS(F$1:F2796,F2796,A$1:A2796,A2796)</f>
        <v>49</v>
      </c>
      <c r="P2796" t="str">
        <f t="shared" si="131"/>
        <v>Chris Ivory9</v>
      </c>
    </row>
    <row r="2797" spans="1:16" x14ac:dyDescent="0.25">
      <c r="A2797">
        <v>13</v>
      </c>
      <c r="B2797" t="s">
        <v>1449</v>
      </c>
      <c r="C2797" t="s">
        <v>7716</v>
      </c>
      <c r="D2797">
        <v>4.54</v>
      </c>
      <c r="E2797" t="s">
        <v>46</v>
      </c>
      <c r="F2797" t="s">
        <v>114</v>
      </c>
      <c r="G2797">
        <v>8.7200000000000006</v>
      </c>
      <c r="H2797">
        <v>0.36</v>
      </c>
      <c r="I2797">
        <v>4.18</v>
      </c>
      <c r="J2797">
        <v>17.4724</v>
      </c>
      <c r="K2797" t="str">
        <f>IFERROR(INDEX(Rosters!$C$2:$C$155,MATCH($B2797,Rosters!$B$2:$B$155,0)),"NA")</f>
        <v>NA</v>
      </c>
      <c r="L2797" t="str">
        <f t="shared" si="129"/>
        <v>NA13TE</v>
      </c>
      <c r="M2797">
        <f>COUNTIF(L$1:L2797,L2797)</f>
        <v>4</v>
      </c>
      <c r="N2797" t="str">
        <f t="shared" si="130"/>
        <v>NA13TE-4</v>
      </c>
      <c r="O2797">
        <f>COUNTIFS(F$1:F2797,F2797,A$1:A2797,A2797)</f>
        <v>14</v>
      </c>
      <c r="P2797" t="str">
        <f t="shared" si="131"/>
        <v>Hayden Hurst13</v>
      </c>
    </row>
    <row r="2798" spans="1:16" x14ac:dyDescent="0.25">
      <c r="A2798">
        <v>8</v>
      </c>
      <c r="B2798" t="s">
        <v>239</v>
      </c>
      <c r="C2798">
        <f>-0.63-9.71</f>
        <v>-10.340000000000002</v>
      </c>
      <c r="D2798">
        <v>4.54</v>
      </c>
      <c r="E2798" t="s">
        <v>17</v>
      </c>
      <c r="F2798" t="s">
        <v>87</v>
      </c>
      <c r="G2798">
        <v>9.7100000000000009</v>
      </c>
      <c r="H2798">
        <v>-0.63</v>
      </c>
      <c r="I2798">
        <v>5.17</v>
      </c>
      <c r="J2798">
        <v>26.728899999999999</v>
      </c>
      <c r="K2798" t="str">
        <f>IFERROR(INDEX(Rosters!$C$2:$C$155,MATCH($B2798,Rosters!$B$2:$B$155,0)),"NA")</f>
        <v>NA</v>
      </c>
      <c r="L2798" t="str">
        <f t="shared" si="129"/>
        <v>NA8WR</v>
      </c>
      <c r="M2798">
        <f>COUNTIF(L$1:L2798,L2798)</f>
        <v>17</v>
      </c>
      <c r="N2798" t="str">
        <f t="shared" si="130"/>
        <v>NA8WR-17</v>
      </c>
      <c r="O2798">
        <f>COUNTIFS(F$1:F2798,F2798,A$1:A2798,A2798)</f>
        <v>63</v>
      </c>
      <c r="P2798" t="str">
        <f t="shared" si="131"/>
        <v>John Ross8</v>
      </c>
    </row>
    <row r="2799" spans="1:16" x14ac:dyDescent="0.25">
      <c r="A2799">
        <v>13</v>
      </c>
      <c r="B2799" t="s">
        <v>1395</v>
      </c>
      <c r="C2799" t="s">
        <v>7717</v>
      </c>
      <c r="D2799">
        <v>4.54</v>
      </c>
      <c r="E2799" t="s">
        <v>76</v>
      </c>
      <c r="F2799" t="s">
        <v>47</v>
      </c>
      <c r="G2799">
        <v>8.42</v>
      </c>
      <c r="H2799">
        <v>0.66</v>
      </c>
      <c r="I2799">
        <v>3.88</v>
      </c>
      <c r="J2799">
        <v>15.054399999999999</v>
      </c>
      <c r="K2799" t="str">
        <f>IFERROR(INDEX(Rosters!$C$2:$C$155,MATCH($B2799,Rosters!$B$2:$B$155,0)),"NA")</f>
        <v>cory</v>
      </c>
      <c r="L2799" t="str">
        <f t="shared" si="129"/>
        <v>cory13RB</v>
      </c>
      <c r="M2799">
        <f>COUNTIF(L$1:L2799,L2799)</f>
        <v>5</v>
      </c>
      <c r="N2799" t="str">
        <f t="shared" si="130"/>
        <v>cory13RB-5</v>
      </c>
      <c r="O2799">
        <f>COUNTIFS(F$1:F2799,F2799,A$1:A2799,A2799)</f>
        <v>62</v>
      </c>
      <c r="P2799" t="str">
        <f t="shared" si="131"/>
        <v>Nyheim Hines13</v>
      </c>
    </row>
    <row r="2800" spans="1:16" x14ac:dyDescent="0.25">
      <c r="A2800">
        <v>4</v>
      </c>
      <c r="B2800" t="s">
        <v>214</v>
      </c>
      <c r="C2800" t="s">
        <v>4551</v>
      </c>
      <c r="D2800">
        <v>4.54</v>
      </c>
      <c r="E2800" t="s">
        <v>77</v>
      </c>
      <c r="F2800" t="s">
        <v>114</v>
      </c>
      <c r="G2800">
        <v>8.52</v>
      </c>
      <c r="H2800">
        <v>0.56000000000000005</v>
      </c>
      <c r="I2800">
        <v>3.98</v>
      </c>
      <c r="J2800">
        <v>15.840400000000001</v>
      </c>
      <c r="K2800" t="str">
        <f>IFERROR(INDEX(Rosters!$C$2:$C$155,MATCH($B2800,Rosters!$B$2:$B$155,0)),"NA")</f>
        <v>scott</v>
      </c>
      <c r="L2800" t="str">
        <f t="shared" si="129"/>
        <v>scott4TE</v>
      </c>
      <c r="M2800">
        <f>COUNTIF(L$1:L2800,L2800)</f>
        <v>2</v>
      </c>
      <c r="N2800" t="str">
        <f t="shared" si="130"/>
        <v>scott4TE-2</v>
      </c>
      <c r="O2800">
        <f>COUNTIFS(F$1:F2800,F2800,A$1:A2800,A2800)</f>
        <v>13</v>
      </c>
      <c r="P2800" t="str">
        <f t="shared" si="131"/>
        <v>Vance McDonald4</v>
      </c>
    </row>
    <row r="2801" spans="1:16" x14ac:dyDescent="0.25">
      <c r="A2801">
        <v>17</v>
      </c>
      <c r="B2801" t="s">
        <v>182</v>
      </c>
      <c r="C2801">
        <f>-0.03-9.11</f>
        <v>-9.1399999999999988</v>
      </c>
      <c r="D2801">
        <v>4.54</v>
      </c>
      <c r="E2801" t="s">
        <v>19</v>
      </c>
      <c r="F2801" t="s">
        <v>87</v>
      </c>
      <c r="G2801">
        <v>9.11</v>
      </c>
      <c r="H2801">
        <v>-0.03</v>
      </c>
      <c r="I2801">
        <v>4.57</v>
      </c>
      <c r="J2801">
        <v>20.884899999999998</v>
      </c>
      <c r="K2801" t="str">
        <f>IFERROR(INDEX(Rosters!$C$2:$C$155,MATCH($B2801,Rosters!$B$2:$B$155,0)),"NA")</f>
        <v>NA</v>
      </c>
      <c r="L2801" t="str">
        <f t="shared" si="129"/>
        <v>NA17WR</v>
      </c>
      <c r="M2801">
        <f>COUNTIF(L$1:L2801,L2801)</f>
        <v>22</v>
      </c>
      <c r="N2801" t="str">
        <f t="shared" si="130"/>
        <v>NA17WR-22</v>
      </c>
      <c r="O2801">
        <f>COUNTIFS(F$1:F2801,F2801,A$1:A2801,A2801)</f>
        <v>74</v>
      </c>
      <c r="P2801" t="str">
        <f t="shared" si="131"/>
        <v>Zay Jones17</v>
      </c>
    </row>
    <row r="2802" spans="1:16" x14ac:dyDescent="0.25">
      <c r="A2802">
        <v>7</v>
      </c>
      <c r="B2802" t="s">
        <v>219</v>
      </c>
      <c r="C2802" t="s">
        <v>7718</v>
      </c>
      <c r="D2802">
        <v>4.53</v>
      </c>
      <c r="E2802" t="s">
        <v>25</v>
      </c>
      <c r="F2802" t="s">
        <v>87</v>
      </c>
      <c r="G2802">
        <v>7.7</v>
      </c>
      <c r="H2802">
        <v>1.36</v>
      </c>
      <c r="I2802">
        <v>3.17</v>
      </c>
      <c r="J2802">
        <v>10.0489</v>
      </c>
      <c r="K2802" t="str">
        <f>IFERROR(INDEX(Rosters!$C$2:$C$155,MATCH($B2802,Rosters!$B$2:$B$155,0)),"NA")</f>
        <v>NA</v>
      </c>
      <c r="L2802" t="str">
        <f t="shared" si="129"/>
        <v>NA7WR</v>
      </c>
      <c r="M2802">
        <f>COUNTIF(L$1:L2802,L2802)</f>
        <v>22</v>
      </c>
      <c r="N2802" t="str">
        <f t="shared" si="130"/>
        <v>NA7WR-22</v>
      </c>
      <c r="O2802">
        <f>COUNTIFS(F$1:F2802,F2802,A$1:A2802,A2802)</f>
        <v>63</v>
      </c>
      <c r="P2802" t="str">
        <f t="shared" si="131"/>
        <v>Jermaine Kearse7</v>
      </c>
    </row>
    <row r="2803" spans="1:16" x14ac:dyDescent="0.25">
      <c r="A2803">
        <v>2</v>
      </c>
      <c r="B2803" t="s">
        <v>185</v>
      </c>
      <c r="C2803">
        <f>-0.43-9.49</f>
        <v>-9.92</v>
      </c>
      <c r="D2803">
        <v>4.53</v>
      </c>
      <c r="E2803" t="s">
        <v>31</v>
      </c>
      <c r="F2803" t="s">
        <v>87</v>
      </c>
      <c r="G2803">
        <v>9.49</v>
      </c>
      <c r="H2803">
        <v>-0.43</v>
      </c>
      <c r="I2803">
        <v>4.96</v>
      </c>
      <c r="J2803">
        <v>24.601600000000001</v>
      </c>
      <c r="K2803" t="str">
        <f>IFERROR(INDEX(Rosters!$C$2:$C$155,MATCH($B2803,Rosters!$B$2:$B$155,0)),"NA")</f>
        <v>scott</v>
      </c>
      <c r="L2803" t="str">
        <f t="shared" si="129"/>
        <v>scott2WR</v>
      </c>
      <c r="M2803">
        <f>COUNTIF(L$1:L2803,L2803)</f>
        <v>6</v>
      </c>
      <c r="N2803" t="str">
        <f t="shared" si="130"/>
        <v>scott2WR-6</v>
      </c>
      <c r="O2803">
        <f>COUNTIFS(F$1:F2803,F2803,A$1:A2803,A2803)</f>
        <v>61</v>
      </c>
      <c r="P2803" t="str">
        <f t="shared" si="131"/>
        <v>John Brown2</v>
      </c>
    </row>
    <row r="2804" spans="1:16" x14ac:dyDescent="0.25">
      <c r="A2804">
        <v>1</v>
      </c>
      <c r="B2804" t="s">
        <v>1381</v>
      </c>
      <c r="C2804">
        <f>-0.43-9.49</f>
        <v>-9.92</v>
      </c>
      <c r="D2804">
        <v>4.53</v>
      </c>
      <c r="E2804" t="s">
        <v>60</v>
      </c>
      <c r="F2804" t="s">
        <v>114</v>
      </c>
      <c r="G2804">
        <v>9.49</v>
      </c>
      <c r="H2804">
        <v>-0.43</v>
      </c>
      <c r="I2804">
        <v>4.96</v>
      </c>
      <c r="J2804">
        <v>24.601600000000001</v>
      </c>
      <c r="K2804" t="str">
        <f>IFERROR(INDEX(Rosters!$C$2:$C$155,MATCH($B2804,Rosters!$B$2:$B$155,0)),"NA")</f>
        <v>NA</v>
      </c>
      <c r="L2804" t="str">
        <f t="shared" si="129"/>
        <v>NA1TE</v>
      </c>
      <c r="M2804">
        <f>COUNTIF(L$1:L2804,L2804)</f>
        <v>4</v>
      </c>
      <c r="N2804" t="str">
        <f t="shared" si="130"/>
        <v>NA1TE-4</v>
      </c>
      <c r="O2804">
        <f>COUNTIFS(F$1:F2804,F2804,A$1:A2804,A2804)</f>
        <v>14</v>
      </c>
      <c r="P2804" t="str">
        <f t="shared" si="131"/>
        <v>Ricky Seals-Jones1</v>
      </c>
    </row>
    <row r="2805" spans="1:16" x14ac:dyDescent="0.25">
      <c r="A2805">
        <v>1</v>
      </c>
      <c r="B2805" t="s">
        <v>285</v>
      </c>
      <c r="C2805" t="s">
        <v>1427</v>
      </c>
      <c r="D2805">
        <v>4.53</v>
      </c>
      <c r="E2805" t="s">
        <v>41</v>
      </c>
      <c r="F2805" t="s">
        <v>47</v>
      </c>
      <c r="G2805">
        <v>8.18</v>
      </c>
      <c r="H2805">
        <v>0.88</v>
      </c>
      <c r="I2805">
        <v>3.65</v>
      </c>
      <c r="J2805">
        <v>13.3225</v>
      </c>
      <c r="K2805" t="str">
        <f>IFERROR(INDEX(Rosters!$C$2:$C$155,MATCH($B2805,Rosters!$B$2:$B$155,0)),"NA")</f>
        <v>NA</v>
      </c>
      <c r="L2805" t="str">
        <f t="shared" si="129"/>
        <v>NA1RB</v>
      </c>
      <c r="M2805">
        <f>COUNTIF(L$1:L2805,L2805)</f>
        <v>13</v>
      </c>
      <c r="N2805" t="str">
        <f t="shared" si="130"/>
        <v>NA1RB-13</v>
      </c>
      <c r="O2805">
        <f>COUNTIFS(F$1:F2805,F2805,A$1:A2805,A2805)</f>
        <v>52</v>
      </c>
      <c r="P2805" t="str">
        <f t="shared" si="131"/>
        <v>Tarik Cohen1</v>
      </c>
    </row>
    <row r="2806" spans="1:16" x14ac:dyDescent="0.25">
      <c r="A2806">
        <v>10</v>
      </c>
      <c r="B2806" t="s">
        <v>217</v>
      </c>
      <c r="C2806" t="s">
        <v>7719</v>
      </c>
      <c r="D2806">
        <v>4.5199999999999996</v>
      </c>
      <c r="E2806" t="s">
        <v>73</v>
      </c>
      <c r="F2806" t="s">
        <v>114</v>
      </c>
      <c r="G2806">
        <v>8.65</v>
      </c>
      <c r="H2806">
        <v>0.39</v>
      </c>
      <c r="I2806">
        <v>4.13</v>
      </c>
      <c r="J2806">
        <v>17.056899999999999</v>
      </c>
      <c r="K2806" t="str">
        <f>IFERROR(INDEX(Rosters!$C$2:$C$155,MATCH($B2806,Rosters!$B$2:$B$155,0)),"NA")</f>
        <v>NA</v>
      </c>
      <c r="L2806" t="str">
        <f t="shared" si="129"/>
        <v>NA10TE</v>
      </c>
      <c r="M2806">
        <f>COUNTIF(L$1:L2806,L2806)</f>
        <v>4</v>
      </c>
      <c r="N2806" t="str">
        <f t="shared" si="130"/>
        <v>NA10TE-4</v>
      </c>
      <c r="O2806">
        <f>COUNTIFS(F$1:F2806,F2806,A$1:A2806,A2806)</f>
        <v>15</v>
      </c>
      <c r="P2806" t="str">
        <f t="shared" si="131"/>
        <v>Charles Clay10</v>
      </c>
    </row>
    <row r="2807" spans="1:16" x14ac:dyDescent="0.25">
      <c r="A2807">
        <v>17</v>
      </c>
      <c r="B2807" t="s">
        <v>215</v>
      </c>
      <c r="C2807" t="s">
        <v>7720</v>
      </c>
      <c r="D2807">
        <v>4.5199999999999996</v>
      </c>
      <c r="E2807" t="s">
        <v>77</v>
      </c>
      <c r="F2807" t="s">
        <v>114</v>
      </c>
      <c r="G2807">
        <v>8.42</v>
      </c>
      <c r="H2807">
        <v>0.62</v>
      </c>
      <c r="I2807">
        <v>3.9</v>
      </c>
      <c r="J2807">
        <v>15.21</v>
      </c>
      <c r="K2807" t="str">
        <f>IFERROR(INDEX(Rosters!$C$2:$C$155,MATCH($B2807,Rosters!$B$2:$B$155,0)),"NA")</f>
        <v>NA</v>
      </c>
      <c r="L2807" t="str">
        <f t="shared" si="129"/>
        <v>NA17TE</v>
      </c>
      <c r="M2807">
        <f>COUNTIF(L$1:L2807,L2807)</f>
        <v>5</v>
      </c>
      <c r="N2807" t="str">
        <f t="shared" si="130"/>
        <v>NA17TE-5</v>
      </c>
      <c r="O2807">
        <f>COUNTIFS(F$1:F2807,F2807,A$1:A2807,A2807)</f>
        <v>18</v>
      </c>
      <c r="P2807" t="str">
        <f t="shared" si="131"/>
        <v>David Njoku17</v>
      </c>
    </row>
    <row r="2808" spans="1:16" x14ac:dyDescent="0.25">
      <c r="A2808">
        <v>10</v>
      </c>
      <c r="B2808" t="s">
        <v>219</v>
      </c>
      <c r="C2808" t="s">
        <v>7721</v>
      </c>
      <c r="D2808">
        <v>4.5199999999999996</v>
      </c>
      <c r="E2808" t="s">
        <v>29</v>
      </c>
      <c r="F2808" t="s">
        <v>87</v>
      </c>
      <c r="G2808">
        <v>7.97</v>
      </c>
      <c r="H2808">
        <v>1.07</v>
      </c>
      <c r="I2808">
        <v>3.45</v>
      </c>
      <c r="J2808">
        <v>11.9025</v>
      </c>
      <c r="K2808" t="str">
        <f>IFERROR(INDEX(Rosters!$C$2:$C$155,MATCH($B2808,Rosters!$B$2:$B$155,0)),"NA")</f>
        <v>NA</v>
      </c>
      <c r="L2808" t="str">
        <f t="shared" si="129"/>
        <v>NA10WR</v>
      </c>
      <c r="M2808">
        <f>COUNTIF(L$1:L2808,L2808)</f>
        <v>19</v>
      </c>
      <c r="N2808" t="str">
        <f t="shared" si="130"/>
        <v>NA10WR-19</v>
      </c>
      <c r="O2808">
        <f>COUNTIFS(F$1:F2808,F2808,A$1:A2808,A2808)</f>
        <v>63</v>
      </c>
      <c r="P2808" t="str">
        <f t="shared" si="131"/>
        <v>Jermaine Kearse10</v>
      </c>
    </row>
    <row r="2809" spans="1:16" x14ac:dyDescent="0.25">
      <c r="A2809">
        <v>7</v>
      </c>
      <c r="B2809" t="s">
        <v>387</v>
      </c>
      <c r="C2809">
        <f>-1-10.04</f>
        <v>-11.04</v>
      </c>
      <c r="D2809">
        <v>4.5199999999999996</v>
      </c>
      <c r="E2809" t="s">
        <v>46</v>
      </c>
      <c r="F2809" t="s">
        <v>114</v>
      </c>
      <c r="G2809">
        <v>10.039999999999999</v>
      </c>
      <c r="H2809">
        <v>-1</v>
      </c>
      <c r="I2809">
        <v>5.52</v>
      </c>
      <c r="J2809">
        <v>30.470400000000001</v>
      </c>
      <c r="K2809" t="str">
        <f>IFERROR(INDEX(Rosters!$C$2:$C$155,MATCH($B2809,Rosters!$B$2:$B$155,0)),"NA")</f>
        <v>NA</v>
      </c>
      <c r="L2809" t="str">
        <f t="shared" si="129"/>
        <v>NA7TE</v>
      </c>
      <c r="M2809">
        <f>COUNTIF(L$1:L2809,L2809)</f>
        <v>4</v>
      </c>
      <c r="N2809" t="str">
        <f t="shared" si="130"/>
        <v>NA7TE-4</v>
      </c>
      <c r="O2809">
        <f>COUNTIFS(F$1:F2809,F2809,A$1:A2809,A2809)</f>
        <v>13</v>
      </c>
      <c r="P2809" t="str">
        <f t="shared" si="131"/>
        <v>Rhett Ellison7</v>
      </c>
    </row>
    <row r="2810" spans="1:16" x14ac:dyDescent="0.25">
      <c r="A2810">
        <v>2</v>
      </c>
      <c r="B2810" t="s">
        <v>1404</v>
      </c>
      <c r="C2810" t="s">
        <v>1214</v>
      </c>
      <c r="D2810">
        <v>4.5199999999999996</v>
      </c>
      <c r="E2810" t="s">
        <v>51</v>
      </c>
      <c r="F2810" t="s">
        <v>47</v>
      </c>
      <c r="G2810">
        <v>8.27</v>
      </c>
      <c r="H2810">
        <v>0.77</v>
      </c>
      <c r="I2810">
        <v>3.75</v>
      </c>
      <c r="J2810">
        <v>14.0625</v>
      </c>
      <c r="K2810" t="str">
        <f>IFERROR(INDEX(Rosters!$C$2:$C$155,MATCH($B2810,Rosters!$B$2:$B$155,0)),"NA")</f>
        <v>NA</v>
      </c>
      <c r="L2810" t="str">
        <f t="shared" si="129"/>
        <v>NA2RB</v>
      </c>
      <c r="M2810">
        <f>COUNTIF(L$1:L2810,L2810)</f>
        <v>17</v>
      </c>
      <c r="N2810" t="str">
        <f t="shared" si="130"/>
        <v>NA2RB-17</v>
      </c>
      <c r="O2810">
        <f>COUNTIFS(F$1:F2810,F2810,A$1:A2810,A2810)</f>
        <v>57</v>
      </c>
      <c r="P2810" t="str">
        <f t="shared" si="131"/>
        <v>Spencer Ware2</v>
      </c>
    </row>
    <row r="2811" spans="1:16" x14ac:dyDescent="0.25">
      <c r="A2811">
        <v>14</v>
      </c>
      <c r="B2811" t="s">
        <v>273</v>
      </c>
      <c r="C2811" t="s">
        <v>7722</v>
      </c>
      <c r="D2811">
        <v>4.51</v>
      </c>
      <c r="E2811" t="s">
        <v>423</v>
      </c>
      <c r="F2811" t="s">
        <v>87</v>
      </c>
      <c r="G2811">
        <v>7.81</v>
      </c>
      <c r="H2811">
        <v>1.21</v>
      </c>
      <c r="I2811">
        <v>3.3</v>
      </c>
      <c r="J2811">
        <v>10.89</v>
      </c>
      <c r="K2811" t="str">
        <f>IFERROR(INDEX(Rosters!$C$2:$C$155,MATCH($B2811,Rosters!$B$2:$B$155,0)),"NA")</f>
        <v>NA</v>
      </c>
      <c r="L2811" t="str">
        <f t="shared" si="129"/>
        <v>NA14WR</v>
      </c>
      <c r="M2811">
        <f>COUNTIF(L$1:L2811,L2811)</f>
        <v>20</v>
      </c>
      <c r="N2811" t="str">
        <f t="shared" si="130"/>
        <v>NA14WR-20</v>
      </c>
      <c r="O2811">
        <f>COUNTIFS(F$1:F2811,F2811,A$1:A2811,A2811)</f>
        <v>71</v>
      </c>
      <c r="P2811" t="str">
        <f t="shared" si="131"/>
        <v>Albert Wilson14</v>
      </c>
    </row>
    <row r="2812" spans="1:16" x14ac:dyDescent="0.25">
      <c r="A2812">
        <v>1</v>
      </c>
      <c r="B2812" t="s">
        <v>4208</v>
      </c>
      <c r="C2812" t="s">
        <v>4209</v>
      </c>
      <c r="D2812">
        <v>4.51</v>
      </c>
      <c r="E2812" t="s">
        <v>74</v>
      </c>
      <c r="F2812" t="s">
        <v>114</v>
      </c>
      <c r="G2812">
        <v>8.58</v>
      </c>
      <c r="H2812">
        <v>0.44</v>
      </c>
      <c r="I2812">
        <v>4.07</v>
      </c>
      <c r="J2812">
        <v>16.564900000000002</v>
      </c>
      <c r="K2812" t="str">
        <f>IFERROR(INDEX(Rosters!$C$2:$C$155,MATCH($B2812,Rosters!$B$2:$B$155,0)),"NA")</f>
        <v>NA</v>
      </c>
      <c r="L2812" t="str">
        <f t="shared" si="129"/>
        <v>NA1TE</v>
      </c>
      <c r="M2812">
        <f>COUNTIF(L$1:L2812,L2812)</f>
        <v>5</v>
      </c>
      <c r="N2812" t="str">
        <f t="shared" si="130"/>
        <v>NA1TE-5</v>
      </c>
      <c r="O2812">
        <f>COUNTIFS(F$1:F2812,F2812,A$1:A2812,A2812)</f>
        <v>15</v>
      </c>
      <c r="P2812" t="str">
        <f t="shared" si="131"/>
        <v>Blake Jarwin1</v>
      </c>
    </row>
    <row r="2813" spans="1:16" x14ac:dyDescent="0.25">
      <c r="A2813">
        <v>8</v>
      </c>
      <c r="B2813" t="s">
        <v>167</v>
      </c>
      <c r="C2813" t="s">
        <v>7723</v>
      </c>
      <c r="D2813">
        <v>4.51</v>
      </c>
      <c r="E2813" t="s">
        <v>34</v>
      </c>
      <c r="F2813" t="s">
        <v>87</v>
      </c>
      <c r="G2813">
        <v>8.5500000000000007</v>
      </c>
      <c r="H2813">
        <v>0.47</v>
      </c>
      <c r="I2813">
        <v>4.04</v>
      </c>
      <c r="J2813">
        <v>16.3216</v>
      </c>
      <c r="K2813" t="str">
        <f>IFERROR(INDEX(Rosters!$C$2:$C$155,MATCH($B2813,Rosters!$B$2:$B$155,0)),"NA")</f>
        <v>NA</v>
      </c>
      <c r="L2813" t="str">
        <f t="shared" si="129"/>
        <v>NA8WR</v>
      </c>
      <c r="M2813">
        <f>COUNTIF(L$1:L2813,L2813)</f>
        <v>18</v>
      </c>
      <c r="N2813" t="str">
        <f t="shared" si="130"/>
        <v>NA8WR-18</v>
      </c>
      <c r="O2813">
        <f>COUNTIFS(F$1:F2813,F2813,A$1:A2813,A2813)</f>
        <v>64</v>
      </c>
      <c r="P2813" t="str">
        <f t="shared" si="131"/>
        <v>Brandon Marshall8</v>
      </c>
    </row>
    <row r="2814" spans="1:16" x14ac:dyDescent="0.25">
      <c r="A2814">
        <v>5</v>
      </c>
      <c r="B2814" t="s">
        <v>217</v>
      </c>
      <c r="C2814" t="s">
        <v>7724</v>
      </c>
      <c r="D2814">
        <v>4.51</v>
      </c>
      <c r="E2814" t="s">
        <v>38</v>
      </c>
      <c r="F2814" t="s">
        <v>114</v>
      </c>
      <c r="G2814">
        <v>8.4499999999999993</v>
      </c>
      <c r="H2814">
        <v>0.56999999999999995</v>
      </c>
      <c r="I2814">
        <v>3.94</v>
      </c>
      <c r="J2814">
        <v>15.5236</v>
      </c>
      <c r="K2814" t="str">
        <f>IFERROR(INDEX(Rosters!$C$2:$C$155,MATCH($B2814,Rosters!$B$2:$B$155,0)),"NA")</f>
        <v>NA</v>
      </c>
      <c r="L2814" t="str">
        <f t="shared" si="129"/>
        <v>NA5TE</v>
      </c>
      <c r="M2814">
        <f>COUNTIF(L$1:L2814,L2814)</f>
        <v>4</v>
      </c>
      <c r="N2814" t="str">
        <f t="shared" si="130"/>
        <v>NA5TE-4</v>
      </c>
      <c r="O2814">
        <f>COUNTIFS(F$1:F2814,F2814,A$1:A2814,A2814)</f>
        <v>14</v>
      </c>
      <c r="P2814" t="str">
        <f t="shared" si="131"/>
        <v>Charles Clay5</v>
      </c>
    </row>
    <row r="2815" spans="1:16" x14ac:dyDescent="0.25">
      <c r="A2815">
        <v>9</v>
      </c>
      <c r="B2815" t="s">
        <v>194</v>
      </c>
      <c r="C2815" t="s">
        <v>7725</v>
      </c>
      <c r="D2815">
        <v>4.51</v>
      </c>
      <c r="E2815" t="s">
        <v>60</v>
      </c>
      <c r="F2815" t="s">
        <v>87</v>
      </c>
      <c r="G2815">
        <v>7.73</v>
      </c>
      <c r="H2815">
        <v>1.29</v>
      </c>
      <c r="I2815">
        <v>3.22</v>
      </c>
      <c r="J2815">
        <v>10.368399999999999</v>
      </c>
      <c r="K2815" t="str">
        <f>IFERROR(INDEX(Rosters!$C$2:$C$155,MATCH($B2815,Rosters!$B$2:$B$155,0)),"NA")</f>
        <v>NA</v>
      </c>
      <c r="L2815" t="str">
        <f t="shared" si="129"/>
        <v>NA9WR</v>
      </c>
      <c r="M2815">
        <f>COUNTIF(L$1:L2815,L2815)</f>
        <v>15</v>
      </c>
      <c r="N2815" t="str">
        <f t="shared" si="130"/>
        <v>NA9WR-15</v>
      </c>
      <c r="O2815">
        <f>COUNTIFS(F$1:F2815,F2815,A$1:A2815,A2815)</f>
        <v>57</v>
      </c>
      <c r="P2815" t="str">
        <f t="shared" si="131"/>
        <v>Mohamed Sanu9</v>
      </c>
    </row>
    <row r="2816" spans="1:16" x14ac:dyDescent="0.25">
      <c r="A2816">
        <v>1</v>
      </c>
      <c r="B2816" t="s">
        <v>252</v>
      </c>
      <c r="C2816" t="s">
        <v>1428</v>
      </c>
      <c r="D2816">
        <v>4.5</v>
      </c>
      <c r="E2816" t="s">
        <v>74</v>
      </c>
      <c r="F2816" t="s">
        <v>87</v>
      </c>
      <c r="G2816">
        <v>7.65</v>
      </c>
      <c r="H2816">
        <v>1.35</v>
      </c>
      <c r="I2816">
        <v>3.15</v>
      </c>
      <c r="J2816">
        <v>9.9224999999999994</v>
      </c>
      <c r="K2816" t="str">
        <f>IFERROR(INDEX(Rosters!$C$2:$C$155,MATCH($B2816,Rosters!$B$2:$B$155,0)),"NA")</f>
        <v>NA</v>
      </c>
      <c r="L2816" t="str">
        <f t="shared" si="129"/>
        <v>NA1WR</v>
      </c>
      <c r="M2816">
        <f>COUNTIF(L$1:L2816,L2816)</f>
        <v>18</v>
      </c>
      <c r="N2816" t="str">
        <f t="shared" si="130"/>
        <v>NA1WR-18</v>
      </c>
      <c r="O2816">
        <f>COUNTIFS(F$1:F2816,F2816,A$1:A2816,A2816)</f>
        <v>61</v>
      </c>
      <c r="P2816" t="str">
        <f t="shared" si="131"/>
        <v>Allen Hurns1</v>
      </c>
    </row>
    <row r="2817" spans="1:16" x14ac:dyDescent="0.25">
      <c r="A2817">
        <v>5</v>
      </c>
      <c r="B2817" t="s">
        <v>197</v>
      </c>
      <c r="C2817" t="s">
        <v>7726</v>
      </c>
      <c r="D2817">
        <v>4.5</v>
      </c>
      <c r="E2817" t="s">
        <v>36</v>
      </c>
      <c r="F2817" t="s">
        <v>87</v>
      </c>
      <c r="G2817">
        <v>8.17</v>
      </c>
      <c r="H2817">
        <v>0.83</v>
      </c>
      <c r="I2817">
        <v>3.67</v>
      </c>
      <c r="J2817">
        <v>13.4689</v>
      </c>
      <c r="K2817" t="str">
        <f>IFERROR(INDEX(Rosters!$C$2:$C$155,MATCH($B2817,Rosters!$B$2:$B$155,0)),"NA")</f>
        <v>NA</v>
      </c>
      <c r="L2817" t="str">
        <f t="shared" si="129"/>
        <v>NA5WR</v>
      </c>
      <c r="M2817">
        <f>COUNTIF(L$1:L2817,L2817)</f>
        <v>22</v>
      </c>
      <c r="N2817" t="str">
        <f t="shared" si="130"/>
        <v>NA5WR-22</v>
      </c>
      <c r="O2817">
        <f>COUNTIFS(F$1:F2817,F2817,A$1:A2817,A2817)</f>
        <v>68</v>
      </c>
      <c r="P2817" t="str">
        <f t="shared" si="131"/>
        <v>Cole Beasley5</v>
      </c>
    </row>
    <row r="2818" spans="1:16" x14ac:dyDescent="0.25">
      <c r="A2818">
        <v>11</v>
      </c>
      <c r="B2818" t="s">
        <v>260</v>
      </c>
      <c r="C2818" t="s">
        <v>7727</v>
      </c>
      <c r="D2818">
        <v>4.5</v>
      </c>
      <c r="E2818" t="s">
        <v>60</v>
      </c>
      <c r="F2818" t="s">
        <v>47</v>
      </c>
      <c r="G2818">
        <v>8.15</v>
      </c>
      <c r="H2818">
        <v>0.85</v>
      </c>
      <c r="I2818">
        <v>3.65</v>
      </c>
      <c r="J2818">
        <v>13.3225</v>
      </c>
      <c r="K2818" t="str">
        <f>IFERROR(INDEX(Rosters!$C$2:$C$155,MATCH($B2818,Rosters!$B$2:$B$155,0)),"NA")</f>
        <v>NA</v>
      </c>
      <c r="L2818" t="str">
        <f t="shared" si="129"/>
        <v>NA11RB</v>
      </c>
      <c r="M2818">
        <f>COUNTIF(L$1:L2818,L2818)</f>
        <v>13</v>
      </c>
      <c r="N2818" t="str">
        <f t="shared" si="130"/>
        <v>NA11RB-13</v>
      </c>
      <c r="O2818">
        <f>COUNTIFS(F$1:F2818,F2818,A$1:A2818,A2818)</f>
        <v>50</v>
      </c>
      <c r="P2818" t="str">
        <f t="shared" si="131"/>
        <v>D'Onta Foreman11</v>
      </c>
    </row>
    <row r="2819" spans="1:16" x14ac:dyDescent="0.25">
      <c r="A2819">
        <v>4</v>
      </c>
      <c r="B2819" t="s">
        <v>1211</v>
      </c>
      <c r="C2819" t="s">
        <v>4552</v>
      </c>
      <c r="D2819">
        <v>4.5</v>
      </c>
      <c r="E2819" t="s">
        <v>73</v>
      </c>
      <c r="F2819" t="s">
        <v>87</v>
      </c>
      <c r="G2819">
        <v>8.06</v>
      </c>
      <c r="H2819">
        <v>0.94</v>
      </c>
      <c r="I2819">
        <v>3.56</v>
      </c>
      <c r="J2819">
        <v>12.6736</v>
      </c>
      <c r="K2819" t="str">
        <f>IFERROR(INDEX(Rosters!$C$2:$C$155,MATCH($B2819,Rosters!$B$2:$B$155,0)),"NA")</f>
        <v>NA</v>
      </c>
      <c r="L2819" t="str">
        <f t="shared" ref="L2819:L2882" si="132">K2819&amp;A2819&amp;F2819</f>
        <v>NA4WR</v>
      </c>
      <c r="M2819">
        <f>COUNTIF(L$1:L2819,L2819)</f>
        <v>14</v>
      </c>
      <c r="N2819" t="str">
        <f t="shared" ref="N2819:N2882" si="133">L2819&amp;"-"&amp;M2819</f>
        <v>NA4WR-14</v>
      </c>
      <c r="O2819">
        <f>COUNTIFS(F$1:F2819,F2819,A$1:A2819,A2819)</f>
        <v>61</v>
      </c>
      <c r="P2819" t="str">
        <f t="shared" ref="P2819:P2882" si="134">B2819&amp;A2819</f>
        <v>Dede Westbrook4</v>
      </c>
    </row>
    <row r="2820" spans="1:16" x14ac:dyDescent="0.25">
      <c r="A2820">
        <v>5</v>
      </c>
      <c r="B2820" t="s">
        <v>378</v>
      </c>
      <c r="C2820">
        <f>-0.05-9.05</f>
        <v>-9.1000000000000014</v>
      </c>
      <c r="D2820">
        <v>4.5</v>
      </c>
      <c r="E2820" t="s">
        <v>31</v>
      </c>
      <c r="F2820" t="s">
        <v>87</v>
      </c>
      <c r="G2820">
        <v>9.0500000000000007</v>
      </c>
      <c r="H2820">
        <v>-0.05</v>
      </c>
      <c r="I2820">
        <v>4.55</v>
      </c>
      <c r="J2820">
        <v>20.702500000000001</v>
      </c>
      <c r="K2820" t="str">
        <f>IFERROR(INDEX(Rosters!$C$2:$C$155,MATCH($B2820,Rosters!$B$2:$B$155,0)),"NA")</f>
        <v>NA</v>
      </c>
      <c r="L2820" t="str">
        <f t="shared" si="132"/>
        <v>NA5WR</v>
      </c>
      <c r="M2820">
        <f>COUNTIF(L$1:L2820,L2820)</f>
        <v>23</v>
      </c>
      <c r="N2820" t="str">
        <f t="shared" si="133"/>
        <v>NA5WR-23</v>
      </c>
      <c r="O2820">
        <f>COUNTIFS(F$1:F2820,F2820,A$1:A2820,A2820)</f>
        <v>69</v>
      </c>
      <c r="P2820" t="str">
        <f t="shared" si="134"/>
        <v>Jakeem Grant5</v>
      </c>
    </row>
    <row r="2821" spans="1:16" x14ac:dyDescent="0.25">
      <c r="A2821">
        <v>3</v>
      </c>
      <c r="B2821" t="s">
        <v>1396</v>
      </c>
      <c r="C2821" t="s">
        <v>3751</v>
      </c>
      <c r="D2821">
        <v>4.49</v>
      </c>
      <c r="E2821" t="s">
        <v>51</v>
      </c>
      <c r="F2821" t="s">
        <v>87</v>
      </c>
      <c r="G2821">
        <v>8.7100000000000009</v>
      </c>
      <c r="H2821">
        <v>0.27</v>
      </c>
      <c r="I2821">
        <v>4.22</v>
      </c>
      <c r="J2821">
        <v>17.808399999999999</v>
      </c>
      <c r="K2821" t="str">
        <f>IFERROR(INDEX(Rosters!$C$2:$C$155,MATCH($B2821,Rosters!$B$2:$B$155,0)),"NA")</f>
        <v>NA</v>
      </c>
      <c r="L2821" t="str">
        <f t="shared" si="132"/>
        <v>NA3WR</v>
      </c>
      <c r="M2821">
        <f>COUNTIF(L$1:L2821,L2821)</f>
        <v>19</v>
      </c>
      <c r="N2821" t="str">
        <f t="shared" si="133"/>
        <v>NA3WR-19</v>
      </c>
      <c r="O2821">
        <f>COUNTIFS(F$1:F2821,F2821,A$1:A2821,A2821)</f>
        <v>65</v>
      </c>
      <c r="P2821" t="str">
        <f t="shared" si="134"/>
        <v>Chris Godwin3</v>
      </c>
    </row>
    <row r="2822" spans="1:16" x14ac:dyDescent="0.25">
      <c r="A2822">
        <v>2</v>
      </c>
      <c r="B2822" t="s">
        <v>197</v>
      </c>
      <c r="C2822" t="s">
        <v>3364</v>
      </c>
      <c r="D2822">
        <v>4.49</v>
      </c>
      <c r="E2822" t="s">
        <v>54</v>
      </c>
      <c r="F2822" t="s">
        <v>87</v>
      </c>
      <c r="G2822">
        <v>7.98</v>
      </c>
      <c r="H2822">
        <v>1</v>
      </c>
      <c r="I2822">
        <v>3.49</v>
      </c>
      <c r="J2822">
        <v>12.180099999999999</v>
      </c>
      <c r="K2822" t="str">
        <f>IFERROR(INDEX(Rosters!$C$2:$C$155,MATCH($B2822,Rosters!$B$2:$B$155,0)),"NA")</f>
        <v>NA</v>
      </c>
      <c r="L2822" t="str">
        <f t="shared" si="132"/>
        <v>NA2WR</v>
      </c>
      <c r="M2822">
        <f>COUNTIF(L$1:L2822,L2822)</f>
        <v>17</v>
      </c>
      <c r="N2822" t="str">
        <f t="shared" si="133"/>
        <v>NA2WR-17</v>
      </c>
      <c r="O2822">
        <f>COUNTIFS(F$1:F2822,F2822,A$1:A2822,A2822)</f>
        <v>62</v>
      </c>
      <c r="P2822" t="str">
        <f t="shared" si="134"/>
        <v>Cole Beasley2</v>
      </c>
    </row>
    <row r="2823" spans="1:16" x14ac:dyDescent="0.25">
      <c r="A2823">
        <v>4</v>
      </c>
      <c r="B2823" t="s">
        <v>101</v>
      </c>
      <c r="C2823" t="s">
        <v>4553</v>
      </c>
      <c r="D2823">
        <v>4.49</v>
      </c>
      <c r="E2823" t="s">
        <v>52</v>
      </c>
      <c r="F2823" t="s">
        <v>47</v>
      </c>
      <c r="G2823">
        <v>7.82</v>
      </c>
      <c r="H2823">
        <v>1.1599999999999999</v>
      </c>
      <c r="I2823">
        <v>3.33</v>
      </c>
      <c r="J2823">
        <v>11.088900000000001</v>
      </c>
      <c r="K2823" t="str">
        <f>IFERROR(INDEX(Rosters!$C$2:$C$155,MATCH($B2823,Rosters!$B$2:$B$155,0)),"NA")</f>
        <v>NA</v>
      </c>
      <c r="L2823" t="str">
        <f t="shared" si="132"/>
        <v>NA4RB</v>
      </c>
      <c r="M2823">
        <f>COUNTIF(L$1:L2823,L2823)</f>
        <v>11</v>
      </c>
      <c r="N2823" t="str">
        <f t="shared" si="133"/>
        <v>NA4RB-11</v>
      </c>
      <c r="O2823">
        <f>COUNTIFS(F$1:F2823,F2823,A$1:A2823,A2823)</f>
        <v>49</v>
      </c>
      <c r="P2823" t="str">
        <f t="shared" si="134"/>
        <v>Doug Martin4</v>
      </c>
    </row>
    <row r="2824" spans="1:16" x14ac:dyDescent="0.25">
      <c r="A2824">
        <v>6</v>
      </c>
      <c r="B2824" t="s">
        <v>1449</v>
      </c>
      <c r="C2824" t="s">
        <v>7728</v>
      </c>
      <c r="D2824">
        <v>4.49</v>
      </c>
      <c r="E2824" t="s">
        <v>38</v>
      </c>
      <c r="F2824" t="s">
        <v>114</v>
      </c>
      <c r="G2824">
        <v>8.2899999999999991</v>
      </c>
      <c r="H2824">
        <v>0.69</v>
      </c>
      <c r="I2824">
        <v>3.8</v>
      </c>
      <c r="J2824">
        <v>14.44</v>
      </c>
      <c r="K2824" t="str">
        <f>IFERROR(INDEX(Rosters!$C$2:$C$155,MATCH($B2824,Rosters!$B$2:$B$155,0)),"NA")</f>
        <v>NA</v>
      </c>
      <c r="L2824" t="str">
        <f t="shared" si="132"/>
        <v>NA6TE</v>
      </c>
      <c r="M2824">
        <f>COUNTIF(L$1:L2824,L2824)</f>
        <v>4</v>
      </c>
      <c r="N2824" t="str">
        <f t="shared" si="133"/>
        <v>NA6TE-4</v>
      </c>
      <c r="O2824">
        <f>COUNTIFS(F$1:F2824,F2824,A$1:A2824,A2824)</f>
        <v>16</v>
      </c>
      <c r="P2824" t="str">
        <f t="shared" si="134"/>
        <v>Hayden Hurst6</v>
      </c>
    </row>
    <row r="2825" spans="1:16" x14ac:dyDescent="0.25">
      <c r="A2825">
        <v>6</v>
      </c>
      <c r="B2825" t="s">
        <v>1408</v>
      </c>
      <c r="C2825" t="s">
        <v>7729</v>
      </c>
      <c r="D2825">
        <v>4.49</v>
      </c>
      <c r="E2825" t="s">
        <v>76</v>
      </c>
      <c r="F2825" t="s">
        <v>87</v>
      </c>
      <c r="G2825">
        <v>8.68</v>
      </c>
      <c r="H2825">
        <v>0.3</v>
      </c>
      <c r="I2825">
        <v>4.1900000000000004</v>
      </c>
      <c r="J2825">
        <v>17.556100000000001</v>
      </c>
      <c r="K2825" t="str">
        <f>IFERROR(INDEX(Rosters!$C$2:$C$155,MATCH($B2825,Rosters!$B$2:$B$155,0)),"NA")</f>
        <v>NA</v>
      </c>
      <c r="L2825" t="str">
        <f t="shared" si="132"/>
        <v>NA6WR</v>
      </c>
      <c r="M2825">
        <f>COUNTIF(L$1:L2825,L2825)</f>
        <v>21</v>
      </c>
      <c r="N2825" t="str">
        <f t="shared" si="133"/>
        <v>NA6WR-21</v>
      </c>
      <c r="O2825">
        <f>COUNTIFS(F$1:F2825,F2825,A$1:A2825,A2825)</f>
        <v>67</v>
      </c>
      <c r="P2825" t="str">
        <f t="shared" si="134"/>
        <v>Michael Gallup6</v>
      </c>
    </row>
    <row r="2826" spans="1:16" x14ac:dyDescent="0.25">
      <c r="A2826">
        <v>7</v>
      </c>
      <c r="B2826" t="s">
        <v>143</v>
      </c>
      <c r="C2826" t="s">
        <v>7729</v>
      </c>
      <c r="D2826">
        <v>4.49</v>
      </c>
      <c r="E2826" t="s">
        <v>25</v>
      </c>
      <c r="F2826" t="s">
        <v>87</v>
      </c>
      <c r="G2826">
        <v>8.68</v>
      </c>
      <c r="H2826">
        <v>0.3</v>
      </c>
      <c r="I2826">
        <v>4.1900000000000004</v>
      </c>
      <c r="J2826">
        <v>17.556100000000001</v>
      </c>
      <c r="K2826" t="str">
        <f>IFERROR(INDEX(Rosters!$C$2:$C$155,MATCH($B2826,Rosters!$B$2:$B$155,0)),"NA")</f>
        <v>NA</v>
      </c>
      <c r="L2826" t="str">
        <f t="shared" si="132"/>
        <v>NA7WR</v>
      </c>
      <c r="M2826">
        <f>COUNTIF(L$1:L2826,L2826)</f>
        <v>23</v>
      </c>
      <c r="N2826" t="str">
        <f t="shared" si="133"/>
        <v>NA7WR-23</v>
      </c>
      <c r="O2826">
        <f>COUNTIFS(F$1:F2826,F2826,A$1:A2826,A2826)</f>
        <v>64</v>
      </c>
      <c r="P2826" t="str">
        <f t="shared" si="134"/>
        <v>Terrelle Pryor Sr.7</v>
      </c>
    </row>
    <row r="2827" spans="1:16" x14ac:dyDescent="0.25">
      <c r="A2827">
        <v>13</v>
      </c>
      <c r="B2827" t="s">
        <v>252</v>
      </c>
      <c r="C2827" t="s">
        <v>7730</v>
      </c>
      <c r="D2827">
        <v>4.4800000000000004</v>
      </c>
      <c r="E2827" t="s">
        <v>14</v>
      </c>
      <c r="F2827" t="s">
        <v>87</v>
      </c>
      <c r="G2827">
        <v>7.61</v>
      </c>
      <c r="H2827">
        <v>1.35</v>
      </c>
      <c r="I2827">
        <v>3.13</v>
      </c>
      <c r="J2827">
        <v>9.7969000000000008</v>
      </c>
      <c r="K2827" t="str">
        <f>IFERROR(INDEX(Rosters!$C$2:$C$155,MATCH($B2827,Rosters!$B$2:$B$155,0)),"NA")</f>
        <v>NA</v>
      </c>
      <c r="L2827" t="str">
        <f t="shared" si="132"/>
        <v>NA13WR</v>
      </c>
      <c r="M2827">
        <f>COUNTIF(L$1:L2827,L2827)</f>
        <v>22</v>
      </c>
      <c r="N2827" t="str">
        <f t="shared" si="133"/>
        <v>NA13WR-22</v>
      </c>
      <c r="O2827">
        <f>COUNTIFS(F$1:F2827,F2827,A$1:A2827,A2827)</f>
        <v>74</v>
      </c>
      <c r="P2827" t="str">
        <f t="shared" si="134"/>
        <v>Allen Hurns13</v>
      </c>
    </row>
    <row r="2828" spans="1:16" x14ac:dyDescent="0.25">
      <c r="A2828">
        <v>2</v>
      </c>
      <c r="B2828" t="s">
        <v>1425</v>
      </c>
      <c r="C2828" t="s">
        <v>1429</v>
      </c>
      <c r="D2828">
        <v>4.4800000000000004</v>
      </c>
      <c r="E2828" t="s">
        <v>32</v>
      </c>
      <c r="F2828" t="s">
        <v>87</v>
      </c>
      <c r="G2828">
        <v>8.85</v>
      </c>
      <c r="H2828">
        <v>0.11</v>
      </c>
      <c r="I2828">
        <v>4.37</v>
      </c>
      <c r="J2828">
        <v>19.096900000000002</v>
      </c>
      <c r="K2828" t="str">
        <f>IFERROR(INDEX(Rosters!$C$2:$C$155,MATCH($B2828,Rosters!$B$2:$B$155,0)),"NA")</f>
        <v>NA</v>
      </c>
      <c r="L2828" t="str">
        <f t="shared" si="132"/>
        <v>NA2WR</v>
      </c>
      <c r="M2828">
        <f>COUNTIF(L$1:L2828,L2828)</f>
        <v>18</v>
      </c>
      <c r="N2828" t="str">
        <f t="shared" si="133"/>
        <v>NA2WR-18</v>
      </c>
      <c r="O2828">
        <f>COUNTIFS(F$1:F2828,F2828,A$1:A2828,A2828)</f>
        <v>63</v>
      </c>
      <c r="P2828" t="str">
        <f t="shared" si="134"/>
        <v>Courtland Sutton2</v>
      </c>
    </row>
    <row r="2829" spans="1:16" x14ac:dyDescent="0.25">
      <c r="A2829">
        <v>16</v>
      </c>
      <c r="B2829" t="s">
        <v>1122</v>
      </c>
      <c r="C2829" t="s">
        <v>7731</v>
      </c>
      <c r="D2829">
        <v>4.4800000000000004</v>
      </c>
      <c r="E2829" t="s">
        <v>36</v>
      </c>
      <c r="F2829" t="s">
        <v>47</v>
      </c>
      <c r="G2829">
        <v>8.23</v>
      </c>
      <c r="H2829">
        <v>0.73</v>
      </c>
      <c r="I2829">
        <v>3.75</v>
      </c>
      <c r="J2829">
        <v>14.0625</v>
      </c>
      <c r="K2829" t="str">
        <f>IFERROR(INDEX(Rosters!$C$2:$C$155,MATCH($B2829,Rosters!$B$2:$B$155,0)),"NA")</f>
        <v>NA</v>
      </c>
      <c r="L2829" t="str">
        <f t="shared" si="132"/>
        <v>NA16RB</v>
      </c>
      <c r="M2829">
        <f>COUNTIF(L$1:L2829,L2829)</f>
        <v>15</v>
      </c>
      <c r="N2829" t="str">
        <f t="shared" si="133"/>
        <v>NA16RB-15</v>
      </c>
      <c r="O2829">
        <f>COUNTIFS(F$1:F2829,F2829,A$1:A2829,A2829)</f>
        <v>60</v>
      </c>
      <c r="P2829" t="str">
        <f t="shared" si="134"/>
        <v>Darren Sproles16</v>
      </c>
    </row>
    <row r="2830" spans="1:16" x14ac:dyDescent="0.25">
      <c r="A2830">
        <v>1</v>
      </c>
      <c r="B2830" t="s">
        <v>1432</v>
      </c>
      <c r="C2830" t="s">
        <v>1709</v>
      </c>
      <c r="D2830">
        <v>4.47</v>
      </c>
      <c r="E2830" t="s">
        <v>60</v>
      </c>
      <c r="F2830" t="s">
        <v>47</v>
      </c>
      <c r="G2830">
        <v>8.6</v>
      </c>
      <c r="H2830">
        <v>0.34</v>
      </c>
      <c r="I2830">
        <v>4.13</v>
      </c>
      <c r="J2830">
        <v>17.056899999999999</v>
      </c>
      <c r="K2830" t="str">
        <f>IFERROR(INDEX(Rosters!$C$2:$C$155,MATCH($B2830,Rosters!$B$2:$B$155,0)),"NA")</f>
        <v>NA</v>
      </c>
      <c r="L2830" t="str">
        <f t="shared" si="132"/>
        <v>NA1RB</v>
      </c>
      <c r="M2830">
        <f>COUNTIF(L$1:L2830,L2830)</f>
        <v>14</v>
      </c>
      <c r="N2830" t="str">
        <f t="shared" si="133"/>
        <v>NA1RB-14</v>
      </c>
      <c r="O2830">
        <f>COUNTIFS(F$1:F2830,F2830,A$1:A2830,A2830)</f>
        <v>53</v>
      </c>
      <c r="P2830" t="str">
        <f t="shared" si="134"/>
        <v>Chase Edmonds1</v>
      </c>
    </row>
    <row r="2831" spans="1:16" x14ac:dyDescent="0.25">
      <c r="A2831">
        <v>13</v>
      </c>
      <c r="B2831" t="s">
        <v>1388</v>
      </c>
      <c r="C2831">
        <f>-0.36-9.3</f>
        <v>-9.66</v>
      </c>
      <c r="D2831">
        <v>4.47</v>
      </c>
      <c r="E2831" t="s">
        <v>76</v>
      </c>
      <c r="F2831" t="s">
        <v>47</v>
      </c>
      <c r="G2831">
        <v>9.3000000000000007</v>
      </c>
      <c r="H2831">
        <v>-0.36</v>
      </c>
      <c r="I2831">
        <v>4.83</v>
      </c>
      <c r="J2831">
        <v>23.328900000000001</v>
      </c>
      <c r="K2831" t="str">
        <f>IFERROR(INDEX(Rosters!$C$2:$C$155,MATCH($B2831,Rosters!$B$2:$B$155,0)),"NA")</f>
        <v>NA</v>
      </c>
      <c r="L2831" t="str">
        <f t="shared" si="132"/>
        <v>NA13RB</v>
      </c>
      <c r="M2831">
        <f>COUNTIF(L$1:L2831,L2831)</f>
        <v>18</v>
      </c>
      <c r="N2831" t="str">
        <f t="shared" si="133"/>
        <v>NA13RB-18</v>
      </c>
      <c r="O2831">
        <f>COUNTIFS(F$1:F2831,F2831,A$1:A2831,A2831)</f>
        <v>63</v>
      </c>
      <c r="P2831" t="str">
        <f t="shared" si="134"/>
        <v>Jordan Wilkins13</v>
      </c>
    </row>
    <row r="2832" spans="1:16" x14ac:dyDescent="0.25">
      <c r="A2832">
        <v>13</v>
      </c>
      <c r="B2832" t="s">
        <v>294</v>
      </c>
      <c r="C2832" t="s">
        <v>7732</v>
      </c>
      <c r="D2832">
        <v>4.46</v>
      </c>
      <c r="E2832" t="s">
        <v>52</v>
      </c>
      <c r="F2832" t="s">
        <v>47</v>
      </c>
      <c r="G2832">
        <v>8.18</v>
      </c>
      <c r="H2832">
        <v>0.74</v>
      </c>
      <c r="I2832">
        <v>3.72</v>
      </c>
      <c r="J2832">
        <v>13.8384</v>
      </c>
      <c r="K2832" t="str">
        <f>IFERROR(INDEX(Rosters!$C$2:$C$155,MATCH($B2832,Rosters!$B$2:$B$155,0)),"NA")</f>
        <v>perry</v>
      </c>
      <c r="L2832" t="str">
        <f t="shared" si="132"/>
        <v>perry13RB</v>
      </c>
      <c r="M2832">
        <f>COUNTIF(L$1:L2832,L2832)</f>
        <v>4</v>
      </c>
      <c r="N2832" t="str">
        <f t="shared" si="133"/>
        <v>perry13RB-4</v>
      </c>
      <c r="O2832">
        <f>COUNTIFS(F$1:F2832,F2832,A$1:A2832,A2832)</f>
        <v>64</v>
      </c>
      <c r="P2832" t="str">
        <f t="shared" si="134"/>
        <v>Alfred Blue13</v>
      </c>
    </row>
    <row r="2833" spans="1:16" x14ac:dyDescent="0.25">
      <c r="A2833">
        <v>6</v>
      </c>
      <c r="B2833" t="s">
        <v>159</v>
      </c>
      <c r="C2833" t="s">
        <v>7733</v>
      </c>
      <c r="D2833">
        <v>4.46</v>
      </c>
      <c r="E2833" t="s">
        <v>24</v>
      </c>
      <c r="F2833" t="s">
        <v>87</v>
      </c>
      <c r="G2833">
        <v>7.49</v>
      </c>
      <c r="H2833">
        <v>1.43</v>
      </c>
      <c r="I2833">
        <v>3.03</v>
      </c>
      <c r="J2833">
        <v>9.1808999999999994</v>
      </c>
      <c r="K2833" t="str">
        <f>IFERROR(INDEX(Rosters!$C$2:$C$155,MATCH($B2833,Rosters!$B$2:$B$155,0)),"NA")</f>
        <v>perry</v>
      </c>
      <c r="L2833" t="str">
        <f t="shared" si="132"/>
        <v>perry6WR</v>
      </c>
      <c r="M2833">
        <f>COUNTIF(L$1:L2833,L2833)</f>
        <v>5</v>
      </c>
      <c r="N2833" t="str">
        <f t="shared" si="133"/>
        <v>perry6WR-5</v>
      </c>
      <c r="O2833">
        <f>COUNTIFS(F$1:F2833,F2833,A$1:A2833,A2833)</f>
        <v>68</v>
      </c>
      <c r="P2833" t="str">
        <f t="shared" si="134"/>
        <v>Chris Hogan6</v>
      </c>
    </row>
    <row r="2834" spans="1:16" x14ac:dyDescent="0.25">
      <c r="A2834">
        <v>7</v>
      </c>
      <c r="B2834" t="s">
        <v>159</v>
      </c>
      <c r="C2834" t="s">
        <v>7734</v>
      </c>
      <c r="D2834">
        <v>4.46</v>
      </c>
      <c r="E2834" t="s">
        <v>72</v>
      </c>
      <c r="F2834" t="s">
        <v>87</v>
      </c>
      <c r="G2834">
        <v>7.92</v>
      </c>
      <c r="H2834">
        <v>1</v>
      </c>
      <c r="I2834">
        <v>3.46</v>
      </c>
      <c r="J2834">
        <v>11.9716</v>
      </c>
      <c r="K2834" t="str">
        <f>IFERROR(INDEX(Rosters!$C$2:$C$155,MATCH($B2834,Rosters!$B$2:$B$155,0)),"NA")</f>
        <v>perry</v>
      </c>
      <c r="L2834" t="str">
        <f t="shared" si="132"/>
        <v>perry7WR</v>
      </c>
      <c r="M2834">
        <f>COUNTIF(L$1:L2834,L2834)</f>
        <v>3</v>
      </c>
      <c r="N2834" t="str">
        <f t="shared" si="133"/>
        <v>perry7WR-3</v>
      </c>
      <c r="O2834">
        <f>COUNTIFS(F$1:F2834,F2834,A$1:A2834,A2834)</f>
        <v>65</v>
      </c>
      <c r="P2834" t="str">
        <f t="shared" si="134"/>
        <v>Chris Hogan7</v>
      </c>
    </row>
    <row r="2835" spans="1:16" x14ac:dyDescent="0.25">
      <c r="A2835">
        <v>15</v>
      </c>
      <c r="B2835" t="s">
        <v>227</v>
      </c>
      <c r="C2835" t="s">
        <v>7735</v>
      </c>
      <c r="D2835">
        <v>4.46</v>
      </c>
      <c r="E2835" t="s">
        <v>25</v>
      </c>
      <c r="F2835" t="s">
        <v>87</v>
      </c>
      <c r="G2835">
        <v>7.63</v>
      </c>
      <c r="H2835">
        <v>1.29</v>
      </c>
      <c r="I2835">
        <v>3.17</v>
      </c>
      <c r="J2835">
        <v>10.0489</v>
      </c>
      <c r="K2835" t="str">
        <f>IFERROR(INDEX(Rosters!$C$2:$C$155,MATCH($B2835,Rosters!$B$2:$B$155,0)),"NA")</f>
        <v>NA</v>
      </c>
      <c r="L2835" t="str">
        <f t="shared" si="132"/>
        <v>NA15WR</v>
      </c>
      <c r="M2835">
        <f>COUNTIF(L$1:L2835,L2835)</f>
        <v>21</v>
      </c>
      <c r="N2835" t="str">
        <f t="shared" si="133"/>
        <v>NA15WR-21</v>
      </c>
      <c r="O2835">
        <f>COUNTIFS(F$1:F2835,F2835,A$1:A2835,A2835)</f>
        <v>71</v>
      </c>
      <c r="P2835" t="str">
        <f t="shared" si="134"/>
        <v>Danny Amendola15</v>
      </c>
    </row>
    <row r="2836" spans="1:16" x14ac:dyDescent="0.25">
      <c r="A2836">
        <v>1</v>
      </c>
      <c r="B2836" t="s">
        <v>241</v>
      </c>
      <c r="C2836" t="s">
        <v>1430</v>
      </c>
      <c r="D2836">
        <v>4.46</v>
      </c>
      <c r="E2836" t="s">
        <v>60</v>
      </c>
      <c r="F2836" t="s">
        <v>87</v>
      </c>
      <c r="G2836">
        <v>8.31</v>
      </c>
      <c r="H2836">
        <v>0.61</v>
      </c>
      <c r="I2836">
        <v>3.85</v>
      </c>
      <c r="J2836">
        <v>14.8225</v>
      </c>
      <c r="K2836" t="str">
        <f>IFERROR(INDEX(Rosters!$C$2:$C$155,MATCH($B2836,Rosters!$B$2:$B$155,0)),"NA")</f>
        <v>NA</v>
      </c>
      <c r="L2836" t="str">
        <f t="shared" si="132"/>
        <v>NA1WR</v>
      </c>
      <c r="M2836">
        <f>COUNTIF(L$1:L2836,L2836)</f>
        <v>19</v>
      </c>
      <c r="N2836" t="str">
        <f t="shared" si="133"/>
        <v>NA1WR-19</v>
      </c>
      <c r="O2836">
        <f>COUNTIFS(F$1:F2836,F2836,A$1:A2836,A2836)</f>
        <v>62</v>
      </c>
      <c r="P2836" t="str">
        <f t="shared" si="134"/>
        <v>J.J. Nelson1</v>
      </c>
    </row>
    <row r="2837" spans="1:16" x14ac:dyDescent="0.25">
      <c r="A2837">
        <v>1</v>
      </c>
      <c r="B2837" t="s">
        <v>147</v>
      </c>
      <c r="C2837" t="s">
        <v>1431</v>
      </c>
      <c r="D2837">
        <v>4.45</v>
      </c>
      <c r="E2837" t="s">
        <v>54</v>
      </c>
      <c r="F2837" t="s">
        <v>87</v>
      </c>
      <c r="G2837">
        <v>8.6999999999999993</v>
      </c>
      <c r="H2837">
        <v>0.2</v>
      </c>
      <c r="I2837">
        <v>4.25</v>
      </c>
      <c r="J2837">
        <v>18.0625</v>
      </c>
      <c r="K2837" t="str">
        <f>IFERROR(INDEX(Rosters!$C$2:$C$155,MATCH($B2837,Rosters!$B$2:$B$155,0)),"NA")</f>
        <v>NA</v>
      </c>
      <c r="L2837" t="str">
        <f t="shared" si="132"/>
        <v>NA1WR</v>
      </c>
      <c r="M2837">
        <f>COUNTIF(L$1:L2837,L2837)</f>
        <v>20</v>
      </c>
      <c r="N2837" t="str">
        <f t="shared" si="133"/>
        <v>NA1WR-20</v>
      </c>
      <c r="O2837">
        <f>COUNTIFS(F$1:F2837,F2837,A$1:A2837,A2837)</f>
        <v>63</v>
      </c>
      <c r="P2837" t="str">
        <f t="shared" si="134"/>
        <v>Donte Moncrief1</v>
      </c>
    </row>
    <row r="2838" spans="1:16" x14ac:dyDescent="0.25">
      <c r="A2838">
        <v>5</v>
      </c>
      <c r="B2838" t="s">
        <v>210</v>
      </c>
      <c r="C2838" t="s">
        <v>7736</v>
      </c>
      <c r="D2838">
        <v>4.45</v>
      </c>
      <c r="E2838" t="s">
        <v>32</v>
      </c>
      <c r="F2838" t="s">
        <v>87</v>
      </c>
      <c r="G2838">
        <v>7.16</v>
      </c>
      <c r="H2838">
        <v>1.74</v>
      </c>
      <c r="I2838">
        <v>2.71</v>
      </c>
      <c r="J2838">
        <v>7.3441000000000001</v>
      </c>
      <c r="K2838" t="str">
        <f>IFERROR(INDEX(Rosters!$C$2:$C$155,MATCH($B2838,Rosters!$B$2:$B$155,0)),"NA")</f>
        <v>NA</v>
      </c>
      <c r="L2838" t="str">
        <f t="shared" si="132"/>
        <v>NA5WR</v>
      </c>
      <c r="M2838">
        <f>COUNTIF(L$1:L2838,L2838)</f>
        <v>24</v>
      </c>
      <c r="N2838" t="str">
        <f t="shared" si="133"/>
        <v>NA5WR-24</v>
      </c>
      <c r="O2838">
        <f>COUNTIFS(F$1:F2838,F2838,A$1:A2838,A2838)</f>
        <v>70</v>
      </c>
      <c r="P2838" t="str">
        <f t="shared" si="134"/>
        <v>Tyrell Williams5</v>
      </c>
    </row>
    <row r="2839" spans="1:16" x14ac:dyDescent="0.25">
      <c r="A2839">
        <v>4</v>
      </c>
      <c r="B2839" t="s">
        <v>197</v>
      </c>
      <c r="C2839" t="s">
        <v>4554</v>
      </c>
      <c r="D2839">
        <v>4.4400000000000004</v>
      </c>
      <c r="E2839" t="s">
        <v>34</v>
      </c>
      <c r="F2839" t="s">
        <v>87</v>
      </c>
      <c r="G2839">
        <v>7.38</v>
      </c>
      <c r="H2839">
        <v>1.5</v>
      </c>
      <c r="I2839">
        <v>2.94</v>
      </c>
      <c r="J2839">
        <v>8.6435999999999993</v>
      </c>
      <c r="K2839" t="str">
        <f>IFERROR(INDEX(Rosters!$C$2:$C$155,MATCH($B2839,Rosters!$B$2:$B$155,0)),"NA")</f>
        <v>NA</v>
      </c>
      <c r="L2839" t="str">
        <f t="shared" si="132"/>
        <v>NA4WR</v>
      </c>
      <c r="M2839">
        <f>COUNTIF(L$1:L2839,L2839)</f>
        <v>15</v>
      </c>
      <c r="N2839" t="str">
        <f t="shared" si="133"/>
        <v>NA4WR-15</v>
      </c>
      <c r="O2839">
        <f>COUNTIFS(F$1:F2839,F2839,A$1:A2839,A2839)</f>
        <v>62</v>
      </c>
      <c r="P2839" t="str">
        <f t="shared" si="134"/>
        <v>Cole Beasley4</v>
      </c>
    </row>
    <row r="2840" spans="1:16" x14ac:dyDescent="0.25">
      <c r="A2840">
        <v>13</v>
      </c>
      <c r="B2840" t="s">
        <v>211</v>
      </c>
      <c r="C2840" t="s">
        <v>7737</v>
      </c>
      <c r="D2840">
        <v>4.43</v>
      </c>
      <c r="E2840" t="s">
        <v>77</v>
      </c>
      <c r="F2840" t="s">
        <v>114</v>
      </c>
      <c r="G2840">
        <v>8.16</v>
      </c>
      <c r="H2840">
        <v>0.7</v>
      </c>
      <c r="I2840">
        <v>3.73</v>
      </c>
      <c r="J2840">
        <v>13.9129</v>
      </c>
      <c r="K2840" t="str">
        <f>IFERROR(INDEX(Rosters!$C$2:$C$155,MATCH($B2840,Rosters!$B$2:$B$155,0)),"NA")</f>
        <v>comp</v>
      </c>
      <c r="L2840" t="str">
        <f t="shared" si="132"/>
        <v>comp13TE</v>
      </c>
      <c r="M2840">
        <f>COUNTIF(L$1:L2840,L2840)</f>
        <v>2</v>
      </c>
      <c r="N2840" t="str">
        <f t="shared" si="133"/>
        <v>comp13TE-2</v>
      </c>
      <c r="O2840">
        <f>COUNTIFS(F$1:F2840,F2840,A$1:A2840,A2840)</f>
        <v>15</v>
      </c>
      <c r="P2840" t="str">
        <f t="shared" si="134"/>
        <v>Austin Hooper13</v>
      </c>
    </row>
    <row r="2841" spans="1:16" x14ac:dyDescent="0.25">
      <c r="A2841">
        <v>1</v>
      </c>
      <c r="B2841" t="s">
        <v>261</v>
      </c>
      <c r="C2841">
        <f>-0.65-9.51</f>
        <v>-10.16</v>
      </c>
      <c r="D2841">
        <v>4.43</v>
      </c>
      <c r="E2841" t="s">
        <v>17</v>
      </c>
      <c r="F2841" t="s">
        <v>114</v>
      </c>
      <c r="G2841">
        <v>9.51</v>
      </c>
      <c r="H2841">
        <v>-0.65</v>
      </c>
      <c r="I2841">
        <v>5.08</v>
      </c>
      <c r="J2841">
        <v>25.8064</v>
      </c>
      <c r="K2841" t="str">
        <f>IFERROR(INDEX(Rosters!$C$2:$C$155,MATCH($B2841,Rosters!$B$2:$B$155,0)),"NA")</f>
        <v>NA</v>
      </c>
      <c r="L2841" t="str">
        <f t="shared" si="132"/>
        <v>NA1TE</v>
      </c>
      <c r="M2841">
        <f>COUNTIF(L$1:L2841,L2841)</f>
        <v>6</v>
      </c>
      <c r="N2841" t="str">
        <f t="shared" si="133"/>
        <v>NA1TE-6</v>
      </c>
      <c r="O2841">
        <f>COUNTIFS(F$1:F2841,F2841,A$1:A2841,A2841)</f>
        <v>16</v>
      </c>
      <c r="P2841" t="str">
        <f t="shared" si="134"/>
        <v>Benjamin Watson1</v>
      </c>
    </row>
    <row r="2842" spans="1:16" x14ac:dyDescent="0.25">
      <c r="A2842">
        <v>12</v>
      </c>
      <c r="B2842" t="s">
        <v>197</v>
      </c>
      <c r="C2842" t="s">
        <v>7738</v>
      </c>
      <c r="D2842">
        <v>4.43</v>
      </c>
      <c r="E2842" t="s">
        <v>60</v>
      </c>
      <c r="F2842" t="s">
        <v>87</v>
      </c>
      <c r="G2842">
        <v>8.01</v>
      </c>
      <c r="H2842">
        <v>0.85</v>
      </c>
      <c r="I2842">
        <v>3.58</v>
      </c>
      <c r="J2842">
        <v>12.8164</v>
      </c>
      <c r="K2842" t="str">
        <f>IFERROR(INDEX(Rosters!$C$2:$C$155,MATCH($B2842,Rosters!$B$2:$B$155,0)),"NA")</f>
        <v>NA</v>
      </c>
      <c r="L2842" t="str">
        <f t="shared" si="132"/>
        <v>NA12WR</v>
      </c>
      <c r="M2842">
        <f>COUNTIF(L$1:L2842,L2842)</f>
        <v>20</v>
      </c>
      <c r="N2842" t="str">
        <f t="shared" si="133"/>
        <v>NA12WR-20</v>
      </c>
      <c r="O2842">
        <f>COUNTIFS(F$1:F2842,F2842,A$1:A2842,A2842)</f>
        <v>67</v>
      </c>
      <c r="P2842" t="str">
        <f t="shared" si="134"/>
        <v>Cole Beasley12</v>
      </c>
    </row>
    <row r="2843" spans="1:16" x14ac:dyDescent="0.25">
      <c r="A2843">
        <v>15</v>
      </c>
      <c r="B2843" t="s">
        <v>1122</v>
      </c>
      <c r="C2843" t="s">
        <v>7739</v>
      </c>
      <c r="D2843">
        <v>4.43</v>
      </c>
      <c r="E2843" t="s">
        <v>56</v>
      </c>
      <c r="F2843" t="s">
        <v>47</v>
      </c>
      <c r="G2843">
        <v>8.23</v>
      </c>
      <c r="H2843">
        <v>0.63</v>
      </c>
      <c r="I2843">
        <v>3.8</v>
      </c>
      <c r="J2843">
        <v>14.44</v>
      </c>
      <c r="K2843" t="str">
        <f>IFERROR(INDEX(Rosters!$C$2:$C$155,MATCH($B2843,Rosters!$B$2:$B$155,0)),"NA")</f>
        <v>NA</v>
      </c>
      <c r="L2843" t="str">
        <f t="shared" si="132"/>
        <v>NA15RB</v>
      </c>
      <c r="M2843">
        <f>COUNTIF(L$1:L2843,L2843)</f>
        <v>16</v>
      </c>
      <c r="N2843" t="str">
        <f t="shared" si="133"/>
        <v>NA15RB-16</v>
      </c>
      <c r="O2843">
        <f>COUNTIFS(F$1:F2843,F2843,A$1:A2843,A2843)</f>
        <v>61</v>
      </c>
      <c r="P2843" t="str">
        <f t="shared" si="134"/>
        <v>Darren Sproles15</v>
      </c>
    </row>
    <row r="2844" spans="1:16" x14ac:dyDescent="0.25">
      <c r="A2844">
        <v>3</v>
      </c>
      <c r="B2844" t="s">
        <v>215</v>
      </c>
      <c r="C2844">
        <f>-0.3-9.16</f>
        <v>-9.4600000000000009</v>
      </c>
      <c r="D2844">
        <v>4.43</v>
      </c>
      <c r="E2844" t="s">
        <v>73</v>
      </c>
      <c r="F2844" t="s">
        <v>114</v>
      </c>
      <c r="G2844">
        <v>9.16</v>
      </c>
      <c r="H2844">
        <v>-0.3</v>
      </c>
      <c r="I2844">
        <v>4.7300000000000004</v>
      </c>
      <c r="J2844">
        <v>22.372900000000001</v>
      </c>
      <c r="K2844" t="str">
        <f>IFERROR(INDEX(Rosters!$C$2:$C$155,MATCH($B2844,Rosters!$B$2:$B$155,0)),"NA")</f>
        <v>NA</v>
      </c>
      <c r="L2844" t="str">
        <f t="shared" si="132"/>
        <v>NA3TE</v>
      </c>
      <c r="M2844">
        <f>COUNTIF(L$1:L2844,L2844)</f>
        <v>5</v>
      </c>
      <c r="N2844" t="str">
        <f t="shared" si="133"/>
        <v>NA3TE-5</v>
      </c>
      <c r="O2844">
        <f>COUNTIFS(F$1:F2844,F2844,A$1:A2844,A2844)</f>
        <v>16</v>
      </c>
      <c r="P2844" t="str">
        <f t="shared" si="134"/>
        <v>David Njoku3</v>
      </c>
    </row>
    <row r="2845" spans="1:16" x14ac:dyDescent="0.25">
      <c r="A2845">
        <v>5</v>
      </c>
      <c r="B2845" t="s">
        <v>243</v>
      </c>
      <c r="C2845" t="s">
        <v>7740</v>
      </c>
      <c r="D2845">
        <v>4.42</v>
      </c>
      <c r="E2845" t="s">
        <v>66</v>
      </c>
      <c r="F2845" t="s">
        <v>87</v>
      </c>
      <c r="G2845">
        <v>8.19</v>
      </c>
      <c r="H2845">
        <v>0.65</v>
      </c>
      <c r="I2845">
        <v>3.77</v>
      </c>
      <c r="J2845">
        <v>14.212899999999999</v>
      </c>
      <c r="K2845" t="str">
        <f>IFERROR(INDEX(Rosters!$C$2:$C$155,MATCH($B2845,Rosters!$B$2:$B$155,0)),"NA")</f>
        <v>NA</v>
      </c>
      <c r="L2845" t="str">
        <f t="shared" si="132"/>
        <v>NA5WR</v>
      </c>
      <c r="M2845">
        <f>COUNTIF(L$1:L2845,L2845)</f>
        <v>25</v>
      </c>
      <c r="N2845" t="str">
        <f t="shared" si="133"/>
        <v>NA5WR-25</v>
      </c>
      <c r="O2845">
        <f>COUNTIFS(F$1:F2845,F2845,A$1:A2845,A2845)</f>
        <v>71</v>
      </c>
      <c r="P2845" t="str">
        <f t="shared" si="134"/>
        <v>Phillip Dorsett5</v>
      </c>
    </row>
    <row r="2846" spans="1:16" x14ac:dyDescent="0.25">
      <c r="A2846">
        <v>15</v>
      </c>
      <c r="B2846" t="s">
        <v>167</v>
      </c>
      <c r="C2846" t="s">
        <v>7741</v>
      </c>
      <c r="D2846">
        <v>4.41</v>
      </c>
      <c r="E2846" t="s">
        <v>30</v>
      </c>
      <c r="F2846" t="s">
        <v>87</v>
      </c>
      <c r="G2846">
        <v>8.57</v>
      </c>
      <c r="H2846">
        <v>0.25</v>
      </c>
      <c r="I2846">
        <v>4.16</v>
      </c>
      <c r="J2846">
        <v>17.305599999999998</v>
      </c>
      <c r="K2846" t="str">
        <f>IFERROR(INDEX(Rosters!$C$2:$C$155,MATCH($B2846,Rosters!$B$2:$B$155,0)),"NA")</f>
        <v>NA</v>
      </c>
      <c r="L2846" t="str">
        <f t="shared" si="132"/>
        <v>NA15WR</v>
      </c>
      <c r="M2846">
        <f>COUNTIF(L$1:L2846,L2846)</f>
        <v>22</v>
      </c>
      <c r="N2846" t="str">
        <f t="shared" si="133"/>
        <v>NA15WR-22</v>
      </c>
      <c r="O2846">
        <f>COUNTIFS(F$1:F2846,F2846,A$1:A2846,A2846)</f>
        <v>72</v>
      </c>
      <c r="P2846" t="str">
        <f t="shared" si="134"/>
        <v>Brandon Marshall15</v>
      </c>
    </row>
    <row r="2847" spans="1:16" x14ac:dyDescent="0.25">
      <c r="A2847">
        <v>12</v>
      </c>
      <c r="B2847" t="s">
        <v>1391</v>
      </c>
      <c r="C2847">
        <f>-0.49-9.31</f>
        <v>-9.8000000000000007</v>
      </c>
      <c r="D2847">
        <v>4.41</v>
      </c>
      <c r="E2847" t="s">
        <v>28</v>
      </c>
      <c r="F2847" t="s">
        <v>87</v>
      </c>
      <c r="G2847">
        <v>9.31</v>
      </c>
      <c r="H2847">
        <v>-0.49</v>
      </c>
      <c r="I2847">
        <v>4.9000000000000004</v>
      </c>
      <c r="J2847">
        <v>24.01</v>
      </c>
      <c r="K2847" t="str">
        <f>IFERROR(INDEX(Rosters!$C$2:$C$155,MATCH($B2847,Rosters!$B$2:$B$155,0)),"NA")</f>
        <v>NA</v>
      </c>
      <c r="L2847" t="str">
        <f t="shared" si="132"/>
        <v>NA12WR</v>
      </c>
      <c r="M2847">
        <f>COUNTIF(L$1:L2847,L2847)</f>
        <v>21</v>
      </c>
      <c r="N2847" t="str">
        <f t="shared" si="133"/>
        <v>NA12WR-21</v>
      </c>
      <c r="O2847">
        <f>COUNTIFS(F$1:F2847,F2847,A$1:A2847,A2847)</f>
        <v>68</v>
      </c>
      <c r="P2847" t="str">
        <f t="shared" si="134"/>
        <v>D.J. Moore12</v>
      </c>
    </row>
    <row r="2848" spans="1:16" x14ac:dyDescent="0.25">
      <c r="A2848">
        <v>7</v>
      </c>
      <c r="B2848" t="s">
        <v>1449</v>
      </c>
      <c r="C2848" t="s">
        <v>7742</v>
      </c>
      <c r="D2848">
        <v>4.41</v>
      </c>
      <c r="E2848" t="s">
        <v>14</v>
      </c>
      <c r="F2848" t="s">
        <v>114</v>
      </c>
      <c r="G2848">
        <v>8.33</v>
      </c>
      <c r="H2848">
        <v>0.49</v>
      </c>
      <c r="I2848">
        <v>3.92</v>
      </c>
      <c r="J2848">
        <v>15.366400000000001</v>
      </c>
      <c r="K2848" t="str">
        <f>IFERROR(INDEX(Rosters!$C$2:$C$155,MATCH($B2848,Rosters!$B$2:$B$155,0)),"NA")</f>
        <v>NA</v>
      </c>
      <c r="L2848" t="str">
        <f t="shared" si="132"/>
        <v>NA7TE</v>
      </c>
      <c r="M2848">
        <f>COUNTIF(L$1:L2848,L2848)</f>
        <v>5</v>
      </c>
      <c r="N2848" t="str">
        <f t="shared" si="133"/>
        <v>NA7TE-5</v>
      </c>
      <c r="O2848">
        <f>COUNTIFS(F$1:F2848,F2848,A$1:A2848,A2848)</f>
        <v>14</v>
      </c>
      <c r="P2848" t="str">
        <f t="shared" si="134"/>
        <v>Hayden Hurst7</v>
      </c>
    </row>
    <row r="2849" spans="1:16" x14ac:dyDescent="0.25">
      <c r="A2849">
        <v>15</v>
      </c>
      <c r="B2849" t="s">
        <v>156</v>
      </c>
      <c r="C2849" t="s">
        <v>7743</v>
      </c>
      <c r="D2849">
        <v>4.41</v>
      </c>
      <c r="E2849" t="s">
        <v>31</v>
      </c>
      <c r="F2849" t="s">
        <v>87</v>
      </c>
      <c r="G2849">
        <v>7.58</v>
      </c>
      <c r="H2849">
        <v>1.24</v>
      </c>
      <c r="I2849">
        <v>3.17</v>
      </c>
      <c r="J2849">
        <v>10.0489</v>
      </c>
      <c r="K2849" t="str">
        <f>IFERROR(INDEX(Rosters!$C$2:$C$155,MATCH($B2849,Rosters!$B$2:$B$155,0)),"NA")</f>
        <v>NA</v>
      </c>
      <c r="L2849" t="str">
        <f t="shared" si="132"/>
        <v>NA15WR</v>
      </c>
      <c r="M2849">
        <f>COUNTIF(L$1:L2849,L2849)</f>
        <v>23</v>
      </c>
      <c r="N2849" t="str">
        <f t="shared" si="133"/>
        <v>NA15WR-23</v>
      </c>
      <c r="O2849">
        <f>COUNTIFS(F$1:F2849,F2849,A$1:A2849,A2849)</f>
        <v>73</v>
      </c>
      <c r="P2849" t="str">
        <f t="shared" si="134"/>
        <v>Martavis Bryant15</v>
      </c>
    </row>
    <row r="2850" spans="1:16" x14ac:dyDescent="0.25">
      <c r="A2850">
        <v>15</v>
      </c>
      <c r="B2850" t="s">
        <v>1404</v>
      </c>
      <c r="C2850" t="s">
        <v>7744</v>
      </c>
      <c r="D2850">
        <v>4.41</v>
      </c>
      <c r="E2850" t="s">
        <v>37</v>
      </c>
      <c r="F2850" t="s">
        <v>47</v>
      </c>
      <c r="G2850">
        <v>8.3800000000000008</v>
      </c>
      <c r="H2850">
        <v>0.44</v>
      </c>
      <c r="I2850">
        <v>3.97</v>
      </c>
      <c r="J2850">
        <v>15.760899999999999</v>
      </c>
      <c r="K2850" t="str">
        <f>IFERROR(INDEX(Rosters!$C$2:$C$155,MATCH($B2850,Rosters!$B$2:$B$155,0)),"NA")</f>
        <v>NA</v>
      </c>
      <c r="L2850" t="str">
        <f t="shared" si="132"/>
        <v>NA15RB</v>
      </c>
      <c r="M2850">
        <f>COUNTIF(L$1:L2850,L2850)</f>
        <v>17</v>
      </c>
      <c r="N2850" t="str">
        <f t="shared" si="133"/>
        <v>NA15RB-17</v>
      </c>
      <c r="O2850">
        <f>COUNTIFS(F$1:F2850,F2850,A$1:A2850,A2850)</f>
        <v>62</v>
      </c>
      <c r="P2850" t="str">
        <f t="shared" si="134"/>
        <v>Spencer Ware15</v>
      </c>
    </row>
    <row r="2851" spans="1:16" x14ac:dyDescent="0.25">
      <c r="A2851">
        <v>10</v>
      </c>
      <c r="B2851" t="s">
        <v>155</v>
      </c>
      <c r="C2851" t="s">
        <v>7745</v>
      </c>
      <c r="D2851">
        <v>4.41</v>
      </c>
      <c r="E2851" t="s">
        <v>72</v>
      </c>
      <c r="F2851" t="s">
        <v>47</v>
      </c>
      <c r="G2851">
        <v>7.48</v>
      </c>
      <c r="H2851">
        <v>1.34</v>
      </c>
      <c r="I2851">
        <v>3.07</v>
      </c>
      <c r="J2851">
        <v>9.4248999999999992</v>
      </c>
      <c r="K2851" t="str">
        <f>IFERROR(INDEX(Rosters!$C$2:$C$155,MATCH($B2851,Rosters!$B$2:$B$155,0)),"NA")</f>
        <v>NA</v>
      </c>
      <c r="L2851" t="str">
        <f t="shared" si="132"/>
        <v>NA10RB</v>
      </c>
      <c r="M2851">
        <f>COUNTIF(L$1:L2851,L2851)</f>
        <v>15</v>
      </c>
      <c r="N2851" t="str">
        <f t="shared" si="133"/>
        <v>NA10RB-15</v>
      </c>
      <c r="O2851">
        <f>COUNTIFS(F$1:F2851,F2851,A$1:A2851,A2851)</f>
        <v>53</v>
      </c>
      <c r="P2851" t="str">
        <f t="shared" si="134"/>
        <v>Theo Riddick10</v>
      </c>
    </row>
    <row r="2852" spans="1:16" x14ac:dyDescent="0.25">
      <c r="A2852">
        <v>8</v>
      </c>
      <c r="B2852" t="s">
        <v>1377</v>
      </c>
      <c r="C2852" t="s">
        <v>7746</v>
      </c>
      <c r="D2852">
        <v>4.4000000000000004</v>
      </c>
      <c r="E2852" t="s">
        <v>73</v>
      </c>
      <c r="F2852" t="s">
        <v>87</v>
      </c>
      <c r="G2852">
        <v>7.78</v>
      </c>
      <c r="H2852">
        <v>1.02</v>
      </c>
      <c r="I2852">
        <v>3.38</v>
      </c>
      <c r="J2852">
        <v>11.4244</v>
      </c>
      <c r="K2852" t="str">
        <f>IFERROR(INDEX(Rosters!$C$2:$C$155,MATCH($B2852,Rosters!$B$2:$B$155,0)),"NA")</f>
        <v>NA</v>
      </c>
      <c r="L2852" t="str">
        <f t="shared" si="132"/>
        <v>NA8WR</v>
      </c>
      <c r="M2852">
        <f>COUNTIF(L$1:L2852,L2852)</f>
        <v>19</v>
      </c>
      <c r="N2852" t="str">
        <f t="shared" si="133"/>
        <v>NA8WR-19</v>
      </c>
      <c r="O2852">
        <f>COUNTIFS(F$1:F2852,F2852,A$1:A2852,A2852)</f>
        <v>65</v>
      </c>
      <c r="P2852" t="str">
        <f t="shared" si="134"/>
        <v>Anthony Miller8</v>
      </c>
    </row>
    <row r="2853" spans="1:16" x14ac:dyDescent="0.25">
      <c r="A2853">
        <v>7</v>
      </c>
      <c r="B2853" t="s">
        <v>247</v>
      </c>
      <c r="C2853" t="s">
        <v>7747</v>
      </c>
      <c r="D2853">
        <v>4.4000000000000004</v>
      </c>
      <c r="E2853" t="s">
        <v>36</v>
      </c>
      <c r="F2853" t="s">
        <v>114</v>
      </c>
      <c r="G2853">
        <v>8.44</v>
      </c>
      <c r="H2853">
        <v>0.36</v>
      </c>
      <c r="I2853">
        <v>4.04</v>
      </c>
      <c r="J2853">
        <v>16.3216</v>
      </c>
      <c r="K2853" t="str">
        <f>IFERROR(INDEX(Rosters!$C$2:$C$155,MATCH($B2853,Rosters!$B$2:$B$155,0)),"NA")</f>
        <v>NA</v>
      </c>
      <c r="L2853" t="str">
        <f t="shared" si="132"/>
        <v>NA7TE</v>
      </c>
      <c r="M2853">
        <f>COUNTIF(L$1:L2853,L2853)</f>
        <v>6</v>
      </c>
      <c r="N2853" t="str">
        <f t="shared" si="133"/>
        <v>NA7TE-6</v>
      </c>
      <c r="O2853">
        <f>COUNTIFS(F$1:F2853,F2853,A$1:A2853,A2853)</f>
        <v>15</v>
      </c>
      <c r="P2853" t="str">
        <f t="shared" si="134"/>
        <v>Austin Seferian-Jenkins7</v>
      </c>
    </row>
    <row r="2854" spans="1:16" x14ac:dyDescent="0.25">
      <c r="A2854">
        <v>10</v>
      </c>
      <c r="B2854" t="s">
        <v>1432</v>
      </c>
      <c r="C2854" t="s">
        <v>7748</v>
      </c>
      <c r="D2854">
        <v>4.4000000000000004</v>
      </c>
      <c r="E2854" t="s">
        <v>24</v>
      </c>
      <c r="F2854" t="s">
        <v>47</v>
      </c>
      <c r="G2854">
        <v>7.76</v>
      </c>
      <c r="H2854">
        <v>1.04</v>
      </c>
      <c r="I2854">
        <v>3.36</v>
      </c>
      <c r="J2854">
        <v>11.2896</v>
      </c>
      <c r="K2854" t="str">
        <f>IFERROR(INDEX(Rosters!$C$2:$C$155,MATCH($B2854,Rosters!$B$2:$B$155,0)),"NA")</f>
        <v>NA</v>
      </c>
      <c r="L2854" t="str">
        <f t="shared" si="132"/>
        <v>NA10RB</v>
      </c>
      <c r="M2854">
        <f>COUNTIF(L$1:L2854,L2854)</f>
        <v>16</v>
      </c>
      <c r="N2854" t="str">
        <f t="shared" si="133"/>
        <v>NA10RB-16</v>
      </c>
      <c r="O2854">
        <f>COUNTIFS(F$1:F2854,F2854,A$1:A2854,A2854)</f>
        <v>54</v>
      </c>
      <c r="P2854" t="str">
        <f t="shared" si="134"/>
        <v>Chase Edmonds10</v>
      </c>
    </row>
    <row r="2855" spans="1:16" x14ac:dyDescent="0.25">
      <c r="A2855">
        <v>14</v>
      </c>
      <c r="B2855" t="s">
        <v>159</v>
      </c>
      <c r="C2855" t="s">
        <v>4555</v>
      </c>
      <c r="D2855">
        <v>4.4000000000000004</v>
      </c>
      <c r="E2855" t="s">
        <v>19</v>
      </c>
      <c r="F2855" t="s">
        <v>87</v>
      </c>
      <c r="G2855">
        <v>7.61</v>
      </c>
      <c r="H2855">
        <v>1.19</v>
      </c>
      <c r="I2855">
        <v>3.21</v>
      </c>
      <c r="J2855">
        <v>10.3041</v>
      </c>
      <c r="K2855" t="str">
        <f>IFERROR(INDEX(Rosters!$C$2:$C$155,MATCH($B2855,Rosters!$B$2:$B$155,0)),"NA")</f>
        <v>perry</v>
      </c>
      <c r="L2855" t="str">
        <f t="shared" si="132"/>
        <v>perry14WR</v>
      </c>
      <c r="M2855">
        <f>COUNTIF(L$1:L2855,L2855)</f>
        <v>5</v>
      </c>
      <c r="N2855" t="str">
        <f t="shared" si="133"/>
        <v>perry14WR-5</v>
      </c>
      <c r="O2855">
        <f>COUNTIFS(F$1:F2855,F2855,A$1:A2855,A2855)</f>
        <v>72</v>
      </c>
      <c r="P2855" t="str">
        <f t="shared" si="134"/>
        <v>Chris Hogan14</v>
      </c>
    </row>
    <row r="2856" spans="1:16" x14ac:dyDescent="0.25">
      <c r="A2856">
        <v>12</v>
      </c>
      <c r="B2856" t="s">
        <v>280</v>
      </c>
      <c r="C2856">
        <f>-0.09-8.89</f>
        <v>-8.98</v>
      </c>
      <c r="D2856">
        <v>4.4000000000000004</v>
      </c>
      <c r="E2856" t="s">
        <v>76</v>
      </c>
      <c r="F2856" t="s">
        <v>47</v>
      </c>
      <c r="G2856">
        <v>8.89</v>
      </c>
      <c r="H2856">
        <v>-0.09</v>
      </c>
      <c r="I2856">
        <v>4.49</v>
      </c>
      <c r="J2856">
        <v>20.1601</v>
      </c>
      <c r="K2856" t="str">
        <f>IFERROR(INDEX(Rosters!$C$2:$C$155,MATCH($B2856,Rosters!$B$2:$B$155,0)),"NA")</f>
        <v>NA</v>
      </c>
      <c r="L2856" t="str">
        <f t="shared" si="132"/>
        <v>NA12RB</v>
      </c>
      <c r="M2856">
        <f>COUNTIF(L$1:L2856,L2856)</f>
        <v>13</v>
      </c>
      <c r="N2856" t="str">
        <f t="shared" si="133"/>
        <v>NA12RB-13</v>
      </c>
      <c r="O2856">
        <f>COUNTIFS(F$1:F2856,F2856,A$1:A2856,A2856)</f>
        <v>57</v>
      </c>
      <c r="P2856" t="str">
        <f t="shared" si="134"/>
        <v>Chris Ivory12</v>
      </c>
    </row>
    <row r="2857" spans="1:16" x14ac:dyDescent="0.25">
      <c r="A2857">
        <v>14</v>
      </c>
      <c r="B2857" t="s">
        <v>215</v>
      </c>
      <c r="C2857" t="s">
        <v>3192</v>
      </c>
      <c r="D2857">
        <v>4.4000000000000004</v>
      </c>
      <c r="E2857" t="s">
        <v>74</v>
      </c>
      <c r="F2857" t="s">
        <v>114</v>
      </c>
      <c r="G2857">
        <v>8.36</v>
      </c>
      <c r="H2857">
        <v>0.44</v>
      </c>
      <c r="I2857">
        <v>3.96</v>
      </c>
      <c r="J2857">
        <v>15.6816</v>
      </c>
      <c r="K2857" t="str">
        <f>IFERROR(INDEX(Rosters!$C$2:$C$155,MATCH($B2857,Rosters!$B$2:$B$155,0)),"NA")</f>
        <v>NA</v>
      </c>
      <c r="L2857" t="str">
        <f t="shared" si="132"/>
        <v>NA14TE</v>
      </c>
      <c r="M2857">
        <f>COUNTIF(L$1:L2857,L2857)</f>
        <v>6</v>
      </c>
      <c r="N2857" t="str">
        <f t="shared" si="133"/>
        <v>NA14TE-6</v>
      </c>
      <c r="O2857">
        <f>COUNTIFS(F$1:F2857,F2857,A$1:A2857,A2857)</f>
        <v>19</v>
      </c>
      <c r="P2857" t="str">
        <f t="shared" si="134"/>
        <v>David Njoku14</v>
      </c>
    </row>
    <row r="2858" spans="1:16" x14ac:dyDescent="0.25">
      <c r="A2858">
        <v>12</v>
      </c>
      <c r="B2858" t="s">
        <v>4212</v>
      </c>
      <c r="C2858" t="s">
        <v>7749</v>
      </c>
      <c r="D2858">
        <v>4.4000000000000004</v>
      </c>
      <c r="E2858" t="s">
        <v>28</v>
      </c>
      <c r="F2858" t="s">
        <v>114</v>
      </c>
      <c r="G2858">
        <v>7.84</v>
      </c>
      <c r="H2858">
        <v>0.96</v>
      </c>
      <c r="I2858">
        <v>3.44</v>
      </c>
      <c r="J2858">
        <v>11.833600000000001</v>
      </c>
      <c r="K2858" t="str">
        <f>IFERROR(INDEX(Rosters!$C$2:$C$155,MATCH($B2858,Rosters!$B$2:$B$155,0)),"NA")</f>
        <v>NA</v>
      </c>
      <c r="L2858" t="str">
        <f t="shared" si="132"/>
        <v>NA12TE</v>
      </c>
      <c r="M2858">
        <f>COUNTIF(L$1:L2858,L2858)</f>
        <v>6</v>
      </c>
      <c r="N2858" t="str">
        <f t="shared" si="133"/>
        <v>NA12TE-6</v>
      </c>
      <c r="O2858">
        <f>COUNTIFS(F$1:F2858,F2858,A$1:A2858,A2858)</f>
        <v>17</v>
      </c>
      <c r="P2858" t="str">
        <f t="shared" si="134"/>
        <v>Ian Thomas12</v>
      </c>
    </row>
    <row r="2859" spans="1:16" x14ac:dyDescent="0.25">
      <c r="A2859">
        <v>1</v>
      </c>
      <c r="B2859" t="s">
        <v>1158</v>
      </c>
      <c r="C2859" t="s">
        <v>3192</v>
      </c>
      <c r="D2859">
        <v>4.4000000000000004</v>
      </c>
      <c r="E2859" t="s">
        <v>51</v>
      </c>
      <c r="F2859" t="s">
        <v>87</v>
      </c>
      <c r="G2859">
        <v>8.36</v>
      </c>
      <c r="H2859">
        <v>0.44</v>
      </c>
      <c r="I2859">
        <v>3.96</v>
      </c>
      <c r="J2859">
        <v>15.6816</v>
      </c>
      <c r="K2859" t="str">
        <f>IFERROR(INDEX(Rosters!$C$2:$C$155,MATCH($B2859,Rosters!$B$2:$B$155,0)),"NA")</f>
        <v>chad</v>
      </c>
      <c r="L2859" t="str">
        <f t="shared" si="132"/>
        <v>chad1WR</v>
      </c>
      <c r="M2859">
        <f>COUNTIF(L$1:L2859,L2859)</f>
        <v>4</v>
      </c>
      <c r="N2859" t="str">
        <f t="shared" si="133"/>
        <v>chad1WR-4</v>
      </c>
      <c r="O2859">
        <f>COUNTIFS(F$1:F2859,F2859,A$1:A2859,A2859)</f>
        <v>64</v>
      </c>
      <c r="P2859" t="str">
        <f t="shared" si="134"/>
        <v>Josh Gordon1</v>
      </c>
    </row>
    <row r="2860" spans="1:16" x14ac:dyDescent="0.25">
      <c r="A2860">
        <v>1</v>
      </c>
      <c r="B2860" t="s">
        <v>381</v>
      </c>
      <c r="C2860" t="s">
        <v>1433</v>
      </c>
      <c r="D2860">
        <v>4.4000000000000004</v>
      </c>
      <c r="E2860" t="s">
        <v>31</v>
      </c>
      <c r="F2860" t="s">
        <v>87</v>
      </c>
      <c r="G2860">
        <v>8.7100000000000009</v>
      </c>
      <c r="H2860">
        <v>0.09</v>
      </c>
      <c r="I2860">
        <v>4.3099999999999996</v>
      </c>
      <c r="J2860">
        <v>18.5761</v>
      </c>
      <c r="K2860" t="str">
        <f>IFERROR(INDEX(Rosters!$C$2:$C$155,MATCH($B2860,Rosters!$B$2:$B$155,0)),"NA")</f>
        <v>perry</v>
      </c>
      <c r="L2860" t="str">
        <f t="shared" si="132"/>
        <v>perry1WR</v>
      </c>
      <c r="M2860">
        <f>COUNTIF(L$1:L2860,L2860)</f>
        <v>4</v>
      </c>
      <c r="N2860" t="str">
        <f t="shared" si="133"/>
        <v>perry1WR-4</v>
      </c>
      <c r="O2860">
        <f>COUNTIFS(F$1:F2860,F2860,A$1:A2860,A2860)</f>
        <v>65</v>
      </c>
      <c r="P2860" t="str">
        <f t="shared" si="134"/>
        <v>Ryan Grant1</v>
      </c>
    </row>
    <row r="2861" spans="1:16" x14ac:dyDescent="0.25">
      <c r="A2861">
        <v>1</v>
      </c>
      <c r="B2861" t="s">
        <v>1419</v>
      </c>
      <c r="C2861">
        <f>-0.04-8.82</f>
        <v>-8.86</v>
      </c>
      <c r="D2861">
        <v>4.3899999999999997</v>
      </c>
      <c r="E2861" t="s">
        <v>51</v>
      </c>
      <c r="F2861" t="s">
        <v>87</v>
      </c>
      <c r="G2861">
        <v>8.82</v>
      </c>
      <c r="H2861">
        <v>-0.04</v>
      </c>
      <c r="I2861">
        <v>4.43</v>
      </c>
      <c r="J2861">
        <v>19.6249</v>
      </c>
      <c r="K2861" t="str">
        <f>IFERROR(INDEX(Rosters!$C$2:$C$155,MATCH($B2861,Rosters!$B$2:$B$155,0)),"NA")</f>
        <v>chad</v>
      </c>
      <c r="L2861" t="str">
        <f t="shared" si="132"/>
        <v>chad1WR</v>
      </c>
      <c r="M2861">
        <f>COUNTIF(L$1:L2861,L2861)</f>
        <v>5</v>
      </c>
      <c r="N2861" t="str">
        <f t="shared" si="133"/>
        <v>chad1WR-5</v>
      </c>
      <c r="O2861">
        <f>COUNTIFS(F$1:F2861,F2861,A$1:A2861,A2861)</f>
        <v>66</v>
      </c>
      <c r="P2861" t="str">
        <f t="shared" si="134"/>
        <v>Antonio Callaway1</v>
      </c>
    </row>
    <row r="2862" spans="1:16" x14ac:dyDescent="0.25">
      <c r="A2862">
        <v>11</v>
      </c>
      <c r="B2862" t="s">
        <v>197</v>
      </c>
      <c r="C2862" t="s">
        <v>7750</v>
      </c>
      <c r="D2862">
        <v>4.3899999999999997</v>
      </c>
      <c r="E2862" t="s">
        <v>46</v>
      </c>
      <c r="F2862" t="s">
        <v>87</v>
      </c>
      <c r="G2862">
        <v>8.2899999999999991</v>
      </c>
      <c r="H2862">
        <v>0.49</v>
      </c>
      <c r="I2862">
        <v>3.9</v>
      </c>
      <c r="J2862">
        <v>15.21</v>
      </c>
      <c r="K2862" t="str">
        <f>IFERROR(INDEX(Rosters!$C$2:$C$155,MATCH($B2862,Rosters!$B$2:$B$155,0)),"NA")</f>
        <v>NA</v>
      </c>
      <c r="L2862" t="str">
        <f t="shared" si="132"/>
        <v>NA11WR</v>
      </c>
      <c r="M2862">
        <f>COUNTIF(L$1:L2862,L2862)</f>
        <v>13</v>
      </c>
      <c r="N2862" t="str">
        <f t="shared" si="133"/>
        <v>NA11WR-13</v>
      </c>
      <c r="O2862">
        <f>COUNTIFS(F$1:F2862,F2862,A$1:A2862,A2862)</f>
        <v>58</v>
      </c>
      <c r="P2862" t="str">
        <f t="shared" si="134"/>
        <v>Cole Beasley11</v>
      </c>
    </row>
    <row r="2863" spans="1:16" x14ac:dyDescent="0.25">
      <c r="A2863">
        <v>13</v>
      </c>
      <c r="B2863" t="s">
        <v>182</v>
      </c>
      <c r="C2863">
        <f>-0.18-8.96</f>
        <v>-9.14</v>
      </c>
      <c r="D2863">
        <v>4.3899999999999997</v>
      </c>
      <c r="E2863" t="s">
        <v>19</v>
      </c>
      <c r="F2863" t="s">
        <v>87</v>
      </c>
      <c r="G2863">
        <v>8.9600000000000009</v>
      </c>
      <c r="H2863">
        <v>-0.18</v>
      </c>
      <c r="I2863">
        <v>4.57</v>
      </c>
      <c r="J2863">
        <v>20.884899999999998</v>
      </c>
      <c r="K2863" t="str">
        <f>IFERROR(INDEX(Rosters!$C$2:$C$155,MATCH($B2863,Rosters!$B$2:$B$155,0)),"NA")</f>
        <v>NA</v>
      </c>
      <c r="L2863" t="str">
        <f t="shared" si="132"/>
        <v>NA13WR</v>
      </c>
      <c r="M2863">
        <f>COUNTIF(L$1:L2863,L2863)</f>
        <v>23</v>
      </c>
      <c r="N2863" t="str">
        <f t="shared" si="133"/>
        <v>NA13WR-23</v>
      </c>
      <c r="O2863">
        <f>COUNTIFS(F$1:F2863,F2863,A$1:A2863,A2863)</f>
        <v>75</v>
      </c>
      <c r="P2863" t="str">
        <f t="shared" si="134"/>
        <v>Zay Jones13</v>
      </c>
    </row>
    <row r="2864" spans="1:16" x14ac:dyDescent="0.25">
      <c r="A2864">
        <v>16</v>
      </c>
      <c r="B2864" t="s">
        <v>211</v>
      </c>
      <c r="C2864" t="s">
        <v>7751</v>
      </c>
      <c r="D2864">
        <v>4.38</v>
      </c>
      <c r="E2864" t="s">
        <v>74</v>
      </c>
      <c r="F2864" t="s">
        <v>114</v>
      </c>
      <c r="G2864">
        <v>8.67</v>
      </c>
      <c r="H2864">
        <v>0.09</v>
      </c>
      <c r="I2864">
        <v>4.29</v>
      </c>
      <c r="J2864">
        <v>18.4041</v>
      </c>
      <c r="K2864" t="str">
        <f>IFERROR(INDEX(Rosters!$C$2:$C$155,MATCH($B2864,Rosters!$B$2:$B$155,0)),"NA")</f>
        <v>comp</v>
      </c>
      <c r="L2864" t="str">
        <f t="shared" si="132"/>
        <v>comp16TE</v>
      </c>
      <c r="M2864">
        <f>COUNTIF(L$1:L2864,L2864)</f>
        <v>2</v>
      </c>
      <c r="N2864" t="str">
        <f t="shared" si="133"/>
        <v>comp16TE-2</v>
      </c>
      <c r="O2864">
        <f>COUNTIFS(F$1:F2864,F2864,A$1:A2864,A2864)</f>
        <v>19</v>
      </c>
      <c r="P2864" t="str">
        <f t="shared" si="134"/>
        <v>Austin Hooper16</v>
      </c>
    </row>
    <row r="2865" spans="1:16" x14ac:dyDescent="0.25">
      <c r="A2865">
        <v>3</v>
      </c>
      <c r="B2865" t="s">
        <v>197</v>
      </c>
      <c r="C2865" t="s">
        <v>3752</v>
      </c>
      <c r="D2865">
        <v>4.38</v>
      </c>
      <c r="E2865" t="s">
        <v>28</v>
      </c>
      <c r="F2865" t="s">
        <v>87</v>
      </c>
      <c r="G2865">
        <v>8.4</v>
      </c>
      <c r="H2865">
        <v>0.36</v>
      </c>
      <c r="I2865">
        <v>4.0199999999999996</v>
      </c>
      <c r="J2865">
        <v>16.160399999999999</v>
      </c>
      <c r="K2865" t="str">
        <f>IFERROR(INDEX(Rosters!$C$2:$C$155,MATCH($B2865,Rosters!$B$2:$B$155,0)),"NA")</f>
        <v>NA</v>
      </c>
      <c r="L2865" t="str">
        <f t="shared" si="132"/>
        <v>NA3WR</v>
      </c>
      <c r="M2865">
        <f>COUNTIF(L$1:L2865,L2865)</f>
        <v>20</v>
      </c>
      <c r="N2865" t="str">
        <f t="shared" si="133"/>
        <v>NA3WR-20</v>
      </c>
      <c r="O2865">
        <f>COUNTIFS(F$1:F2865,F2865,A$1:A2865,A2865)</f>
        <v>66</v>
      </c>
      <c r="P2865" t="str">
        <f t="shared" si="134"/>
        <v>Cole Beasley3</v>
      </c>
    </row>
    <row r="2866" spans="1:16" x14ac:dyDescent="0.25">
      <c r="A2866">
        <v>14</v>
      </c>
      <c r="B2866" t="s">
        <v>219</v>
      </c>
      <c r="C2866" t="s">
        <v>7752</v>
      </c>
      <c r="D2866">
        <v>4.38</v>
      </c>
      <c r="E2866" t="s">
        <v>29</v>
      </c>
      <c r="F2866" t="s">
        <v>87</v>
      </c>
      <c r="G2866">
        <v>7.83</v>
      </c>
      <c r="H2866">
        <v>0.93</v>
      </c>
      <c r="I2866">
        <v>3.45</v>
      </c>
      <c r="J2866">
        <v>11.9025</v>
      </c>
      <c r="K2866" t="str">
        <f>IFERROR(INDEX(Rosters!$C$2:$C$155,MATCH($B2866,Rosters!$B$2:$B$155,0)),"NA")</f>
        <v>NA</v>
      </c>
      <c r="L2866" t="str">
        <f t="shared" si="132"/>
        <v>NA14WR</v>
      </c>
      <c r="M2866">
        <f>COUNTIF(L$1:L2866,L2866)</f>
        <v>21</v>
      </c>
      <c r="N2866" t="str">
        <f t="shared" si="133"/>
        <v>NA14WR-21</v>
      </c>
      <c r="O2866">
        <f>COUNTIFS(F$1:F2866,F2866,A$1:A2866,A2866)</f>
        <v>73</v>
      </c>
      <c r="P2866" t="str">
        <f t="shared" si="134"/>
        <v>Jermaine Kearse14</v>
      </c>
    </row>
    <row r="2867" spans="1:16" x14ac:dyDescent="0.25">
      <c r="A2867">
        <v>14</v>
      </c>
      <c r="B2867" t="s">
        <v>1408</v>
      </c>
      <c r="C2867" t="s">
        <v>7753</v>
      </c>
      <c r="D2867">
        <v>4.38</v>
      </c>
      <c r="E2867" t="s">
        <v>50</v>
      </c>
      <c r="F2867" t="s">
        <v>87</v>
      </c>
      <c r="G2867">
        <v>8.3000000000000007</v>
      </c>
      <c r="H2867">
        <v>0.46</v>
      </c>
      <c r="I2867">
        <v>3.92</v>
      </c>
      <c r="J2867">
        <v>15.366400000000001</v>
      </c>
      <c r="K2867" t="str">
        <f>IFERROR(INDEX(Rosters!$C$2:$C$155,MATCH($B2867,Rosters!$B$2:$B$155,0)),"NA")</f>
        <v>NA</v>
      </c>
      <c r="L2867" t="str">
        <f t="shared" si="132"/>
        <v>NA14WR</v>
      </c>
      <c r="M2867">
        <f>COUNTIF(L$1:L2867,L2867)</f>
        <v>22</v>
      </c>
      <c r="N2867" t="str">
        <f t="shared" si="133"/>
        <v>NA14WR-22</v>
      </c>
      <c r="O2867">
        <f>COUNTIFS(F$1:F2867,F2867,A$1:A2867,A2867)</f>
        <v>74</v>
      </c>
      <c r="P2867" t="str">
        <f t="shared" si="134"/>
        <v>Michael Gallup14</v>
      </c>
    </row>
    <row r="2868" spans="1:16" x14ac:dyDescent="0.25">
      <c r="A2868">
        <v>1</v>
      </c>
      <c r="B2868" t="s">
        <v>180</v>
      </c>
      <c r="C2868" t="s">
        <v>1434</v>
      </c>
      <c r="D2868">
        <v>4.38</v>
      </c>
      <c r="E2868" t="s">
        <v>42</v>
      </c>
      <c r="F2868" t="s">
        <v>87</v>
      </c>
      <c r="G2868">
        <v>8.0299999999999994</v>
      </c>
      <c r="H2868">
        <v>0.73</v>
      </c>
      <c r="I2868">
        <v>3.65</v>
      </c>
      <c r="J2868">
        <v>13.3225</v>
      </c>
      <c r="K2868" t="str">
        <f>IFERROR(INDEX(Rosters!$C$2:$C$155,MATCH($B2868,Rosters!$B$2:$B$155,0)),"NA")</f>
        <v>NA</v>
      </c>
      <c r="L2868" t="str">
        <f t="shared" si="132"/>
        <v>NA1WR</v>
      </c>
      <c r="M2868">
        <f>COUNTIF(L$1:L2868,L2868)</f>
        <v>21</v>
      </c>
      <c r="N2868" t="str">
        <f t="shared" si="133"/>
        <v>NA1WR-21</v>
      </c>
      <c r="O2868">
        <f>COUNTIFS(F$1:F2868,F2868,A$1:A2868,A2868)</f>
        <v>67</v>
      </c>
      <c r="P2868" t="str">
        <f t="shared" si="134"/>
        <v>Tyler Lockett1</v>
      </c>
    </row>
    <row r="2869" spans="1:16" x14ac:dyDescent="0.25">
      <c r="A2869">
        <v>11</v>
      </c>
      <c r="B2869" t="s">
        <v>101</v>
      </c>
      <c r="C2869" t="s">
        <v>7754</v>
      </c>
      <c r="D2869">
        <v>4.37</v>
      </c>
      <c r="E2869" t="s">
        <v>58</v>
      </c>
      <c r="F2869" t="s">
        <v>47</v>
      </c>
      <c r="G2869">
        <v>7.21</v>
      </c>
      <c r="H2869">
        <v>1.53</v>
      </c>
      <c r="I2869">
        <v>2.84</v>
      </c>
      <c r="J2869">
        <v>8.0655999999999999</v>
      </c>
      <c r="K2869" t="str">
        <f>IFERROR(INDEX(Rosters!$C$2:$C$155,MATCH($B2869,Rosters!$B$2:$B$155,0)),"NA")</f>
        <v>NA</v>
      </c>
      <c r="L2869" t="str">
        <f t="shared" si="132"/>
        <v>NA11RB</v>
      </c>
      <c r="M2869">
        <f>COUNTIF(L$1:L2869,L2869)</f>
        <v>14</v>
      </c>
      <c r="N2869" t="str">
        <f t="shared" si="133"/>
        <v>NA11RB-14</v>
      </c>
      <c r="O2869">
        <f>COUNTIFS(F$1:F2869,F2869,A$1:A2869,A2869)</f>
        <v>51</v>
      </c>
      <c r="P2869" t="str">
        <f t="shared" si="134"/>
        <v>Doug Martin11</v>
      </c>
    </row>
    <row r="2870" spans="1:16" x14ac:dyDescent="0.25">
      <c r="A2870">
        <v>6</v>
      </c>
      <c r="B2870" t="s">
        <v>189</v>
      </c>
      <c r="C2870">
        <f>-0.07-8.81</f>
        <v>-8.8800000000000008</v>
      </c>
      <c r="D2870">
        <v>4.37</v>
      </c>
      <c r="E2870" t="s">
        <v>73</v>
      </c>
      <c r="F2870" t="s">
        <v>114</v>
      </c>
      <c r="G2870">
        <v>8.81</v>
      </c>
      <c r="H2870">
        <v>-7.0000000000000007E-2</v>
      </c>
      <c r="I2870">
        <v>4.4400000000000004</v>
      </c>
      <c r="J2870">
        <v>19.7136</v>
      </c>
      <c r="K2870" t="str">
        <f>IFERROR(INDEX(Rosters!$C$2:$C$155,MATCH($B2870,Rosters!$B$2:$B$155,0)),"NA")</f>
        <v>NA</v>
      </c>
      <c r="L2870" t="str">
        <f t="shared" si="132"/>
        <v>NA6TE</v>
      </c>
      <c r="M2870">
        <f>COUNTIF(L$1:L2870,L2870)</f>
        <v>5</v>
      </c>
      <c r="N2870" t="str">
        <f t="shared" si="133"/>
        <v>NA6TE-5</v>
      </c>
      <c r="O2870">
        <f>COUNTIFS(F$1:F2870,F2870,A$1:A2870,A2870)</f>
        <v>17</v>
      </c>
      <c r="P2870" t="str">
        <f t="shared" si="134"/>
        <v>Jack Doyle6</v>
      </c>
    </row>
    <row r="2871" spans="1:16" x14ac:dyDescent="0.25">
      <c r="A2871">
        <v>1</v>
      </c>
      <c r="B2871" t="s">
        <v>230</v>
      </c>
      <c r="C2871" t="s">
        <v>1435</v>
      </c>
      <c r="D2871">
        <v>4.37</v>
      </c>
      <c r="E2871" t="s">
        <v>58</v>
      </c>
      <c r="F2871" t="s">
        <v>87</v>
      </c>
      <c r="G2871">
        <v>8.14</v>
      </c>
      <c r="H2871">
        <v>0.6</v>
      </c>
      <c r="I2871">
        <v>3.77</v>
      </c>
      <c r="J2871">
        <v>14.212899999999999</v>
      </c>
      <c r="K2871" t="str">
        <f>IFERROR(INDEX(Rosters!$C$2:$C$155,MATCH($B2871,Rosters!$B$2:$B$155,0)),"NA")</f>
        <v>NA</v>
      </c>
      <c r="L2871" t="str">
        <f t="shared" si="132"/>
        <v>NA1WR</v>
      </c>
      <c r="M2871">
        <f>COUNTIF(L$1:L2871,L2871)</f>
        <v>22</v>
      </c>
      <c r="N2871" t="str">
        <f t="shared" si="133"/>
        <v>NA1WR-22</v>
      </c>
      <c r="O2871">
        <f>COUNTIFS(F$1:F2871,F2871,A$1:A2871,A2871)</f>
        <v>68</v>
      </c>
      <c r="P2871" t="str">
        <f t="shared" si="134"/>
        <v>Josh Doctson1</v>
      </c>
    </row>
    <row r="2872" spans="1:16" x14ac:dyDescent="0.25">
      <c r="A2872">
        <v>7</v>
      </c>
      <c r="B2872" t="s">
        <v>381</v>
      </c>
      <c r="C2872" t="s">
        <v>7755</v>
      </c>
      <c r="D2872">
        <v>4.37</v>
      </c>
      <c r="E2872" t="s">
        <v>29</v>
      </c>
      <c r="F2872" t="s">
        <v>87</v>
      </c>
      <c r="G2872">
        <v>8</v>
      </c>
      <c r="H2872">
        <v>0.74</v>
      </c>
      <c r="I2872">
        <v>3.63</v>
      </c>
      <c r="J2872">
        <v>13.1769</v>
      </c>
      <c r="K2872" t="str">
        <f>IFERROR(INDEX(Rosters!$C$2:$C$155,MATCH($B2872,Rosters!$B$2:$B$155,0)),"NA")</f>
        <v>perry</v>
      </c>
      <c r="L2872" t="str">
        <f t="shared" si="132"/>
        <v>perry7WR</v>
      </c>
      <c r="M2872">
        <f>COUNTIF(L$1:L2872,L2872)</f>
        <v>4</v>
      </c>
      <c r="N2872" t="str">
        <f t="shared" si="133"/>
        <v>perry7WR-4</v>
      </c>
      <c r="O2872">
        <f>COUNTIFS(F$1:F2872,F2872,A$1:A2872,A2872)</f>
        <v>66</v>
      </c>
      <c r="P2872" t="str">
        <f t="shared" si="134"/>
        <v>Ryan Grant7</v>
      </c>
    </row>
    <row r="2873" spans="1:16" x14ac:dyDescent="0.25">
      <c r="A2873">
        <v>15</v>
      </c>
      <c r="B2873" t="s">
        <v>211</v>
      </c>
      <c r="C2873" t="s">
        <v>7756</v>
      </c>
      <c r="D2873">
        <v>4.3600000000000003</v>
      </c>
      <c r="E2873" t="s">
        <v>58</v>
      </c>
      <c r="F2873" t="s">
        <v>114</v>
      </c>
      <c r="G2873">
        <v>8.11</v>
      </c>
      <c r="H2873">
        <v>0.61</v>
      </c>
      <c r="I2873">
        <v>3.75</v>
      </c>
      <c r="J2873">
        <v>14.0625</v>
      </c>
      <c r="K2873" t="str">
        <f>IFERROR(INDEX(Rosters!$C$2:$C$155,MATCH($B2873,Rosters!$B$2:$B$155,0)),"NA")</f>
        <v>comp</v>
      </c>
      <c r="L2873" t="str">
        <f t="shared" si="132"/>
        <v>comp15TE</v>
      </c>
      <c r="M2873">
        <f>COUNTIF(L$1:L2873,L2873)</f>
        <v>2</v>
      </c>
      <c r="N2873" t="str">
        <f t="shared" si="133"/>
        <v>comp15TE-2</v>
      </c>
      <c r="O2873">
        <f>COUNTIFS(F$1:F2873,F2873,A$1:A2873,A2873)</f>
        <v>20</v>
      </c>
      <c r="P2873" t="str">
        <f t="shared" si="134"/>
        <v>Austin Hooper15</v>
      </c>
    </row>
    <row r="2874" spans="1:16" x14ac:dyDescent="0.25">
      <c r="A2874">
        <v>12</v>
      </c>
      <c r="B2874" t="s">
        <v>213</v>
      </c>
      <c r="C2874" t="s">
        <v>7757</v>
      </c>
      <c r="D2874">
        <v>4.3600000000000003</v>
      </c>
      <c r="E2874" t="s">
        <v>30</v>
      </c>
      <c r="F2874" t="s">
        <v>114</v>
      </c>
      <c r="G2874">
        <v>7.7</v>
      </c>
      <c r="H2874">
        <v>1.02</v>
      </c>
      <c r="I2874">
        <v>3.34</v>
      </c>
      <c r="J2874">
        <v>11.1556</v>
      </c>
      <c r="K2874" t="str">
        <f>IFERROR(INDEX(Rosters!$C$2:$C$155,MATCH($B2874,Rosters!$B$2:$B$155,0)),"NA")</f>
        <v>NA</v>
      </c>
      <c r="L2874" t="str">
        <f t="shared" si="132"/>
        <v>NA12TE</v>
      </c>
      <c r="M2874">
        <f>COUNTIF(L$1:L2874,L2874)</f>
        <v>7</v>
      </c>
      <c r="N2874" t="str">
        <f t="shared" si="133"/>
        <v>NA12TE-7</v>
      </c>
      <c r="O2874">
        <f>COUNTIFS(F$1:F2874,F2874,A$1:A2874,A2874)</f>
        <v>18</v>
      </c>
      <c r="P2874" t="str">
        <f t="shared" si="134"/>
        <v>Cameron Brate12</v>
      </c>
    </row>
    <row r="2875" spans="1:16" x14ac:dyDescent="0.25">
      <c r="A2875">
        <v>14</v>
      </c>
      <c r="B2875" t="s">
        <v>213</v>
      </c>
      <c r="C2875" t="s">
        <v>7758</v>
      </c>
      <c r="D2875">
        <v>4.3600000000000003</v>
      </c>
      <c r="E2875" t="s">
        <v>14</v>
      </c>
      <c r="F2875" t="s">
        <v>114</v>
      </c>
      <c r="G2875">
        <v>7.51</v>
      </c>
      <c r="H2875">
        <v>1.21</v>
      </c>
      <c r="I2875">
        <v>3.15</v>
      </c>
      <c r="J2875">
        <v>9.9224999999999994</v>
      </c>
      <c r="K2875" t="str">
        <f>IFERROR(INDEX(Rosters!$C$2:$C$155,MATCH($B2875,Rosters!$B$2:$B$155,0)),"NA")</f>
        <v>NA</v>
      </c>
      <c r="L2875" t="str">
        <f t="shared" si="132"/>
        <v>NA14TE</v>
      </c>
      <c r="M2875">
        <f>COUNTIF(L$1:L2875,L2875)</f>
        <v>7</v>
      </c>
      <c r="N2875" t="str">
        <f t="shared" si="133"/>
        <v>NA14TE-7</v>
      </c>
      <c r="O2875">
        <f>COUNTIFS(F$1:F2875,F2875,A$1:A2875,A2875)</f>
        <v>20</v>
      </c>
      <c r="P2875" t="str">
        <f t="shared" si="134"/>
        <v>Cameron Brate14</v>
      </c>
    </row>
    <row r="2876" spans="1:16" x14ac:dyDescent="0.25">
      <c r="A2876">
        <v>9</v>
      </c>
      <c r="B2876" t="s">
        <v>217</v>
      </c>
      <c r="C2876" t="s">
        <v>7759</v>
      </c>
      <c r="D2876">
        <v>4.3600000000000003</v>
      </c>
      <c r="E2876" t="s">
        <v>72</v>
      </c>
      <c r="F2876" t="s">
        <v>114</v>
      </c>
      <c r="G2876">
        <v>8.1300000000000008</v>
      </c>
      <c r="H2876">
        <v>0.59</v>
      </c>
      <c r="I2876">
        <v>3.77</v>
      </c>
      <c r="J2876">
        <v>14.212899999999999</v>
      </c>
      <c r="K2876" t="str">
        <f>IFERROR(INDEX(Rosters!$C$2:$C$155,MATCH($B2876,Rosters!$B$2:$B$155,0)),"NA")</f>
        <v>NA</v>
      </c>
      <c r="L2876" t="str">
        <f t="shared" si="132"/>
        <v>NA9TE</v>
      </c>
      <c r="M2876">
        <f>COUNTIF(L$1:L2876,L2876)</f>
        <v>6</v>
      </c>
      <c r="N2876" t="str">
        <f t="shared" si="133"/>
        <v>NA9TE-6</v>
      </c>
      <c r="O2876">
        <f>COUNTIFS(F$1:F2876,F2876,A$1:A2876,A2876)</f>
        <v>14</v>
      </c>
      <c r="P2876" t="str">
        <f t="shared" si="134"/>
        <v>Charles Clay9</v>
      </c>
    </row>
    <row r="2877" spans="1:16" x14ac:dyDescent="0.25">
      <c r="A2877">
        <v>1</v>
      </c>
      <c r="B2877" t="s">
        <v>1396</v>
      </c>
      <c r="C2877">
        <f>-0.34-9.06</f>
        <v>-9.4</v>
      </c>
      <c r="D2877">
        <v>4.3600000000000003</v>
      </c>
      <c r="E2877" t="s">
        <v>14</v>
      </c>
      <c r="F2877" t="s">
        <v>87</v>
      </c>
      <c r="G2877">
        <v>9.06</v>
      </c>
      <c r="H2877">
        <v>-0.34</v>
      </c>
      <c r="I2877">
        <v>4.7</v>
      </c>
      <c r="J2877">
        <v>22.09</v>
      </c>
      <c r="K2877" t="str">
        <f>IFERROR(INDEX(Rosters!$C$2:$C$155,MATCH($B2877,Rosters!$B$2:$B$155,0)),"NA")</f>
        <v>NA</v>
      </c>
      <c r="L2877" t="str">
        <f t="shared" si="132"/>
        <v>NA1WR</v>
      </c>
      <c r="M2877">
        <f>COUNTIF(L$1:L2877,L2877)</f>
        <v>23</v>
      </c>
      <c r="N2877" t="str">
        <f t="shared" si="133"/>
        <v>NA1WR-23</v>
      </c>
      <c r="O2877">
        <f>COUNTIFS(F$1:F2877,F2877,A$1:A2877,A2877)</f>
        <v>69</v>
      </c>
      <c r="P2877" t="str">
        <f t="shared" si="134"/>
        <v>Chris Godwin1</v>
      </c>
    </row>
    <row r="2878" spans="1:16" x14ac:dyDescent="0.25">
      <c r="A2878">
        <v>6</v>
      </c>
      <c r="B2878" t="s">
        <v>101</v>
      </c>
      <c r="C2878" t="s">
        <v>7760</v>
      </c>
      <c r="D2878">
        <v>4.3600000000000003</v>
      </c>
      <c r="E2878" t="s">
        <v>28</v>
      </c>
      <c r="F2878" t="s">
        <v>47</v>
      </c>
      <c r="G2878">
        <v>7.23</v>
      </c>
      <c r="H2878">
        <v>1.49</v>
      </c>
      <c r="I2878">
        <v>2.87</v>
      </c>
      <c r="J2878">
        <v>8.2369000000000003</v>
      </c>
      <c r="K2878" t="str">
        <f>IFERROR(INDEX(Rosters!$C$2:$C$155,MATCH($B2878,Rosters!$B$2:$B$155,0)),"NA")</f>
        <v>NA</v>
      </c>
      <c r="L2878" t="str">
        <f t="shared" si="132"/>
        <v>NA6RB</v>
      </c>
      <c r="M2878">
        <f>COUNTIF(L$1:L2878,L2878)</f>
        <v>15</v>
      </c>
      <c r="N2878" t="str">
        <f t="shared" si="133"/>
        <v>NA6RB-15</v>
      </c>
      <c r="O2878">
        <f>COUNTIFS(F$1:F2878,F2878,A$1:A2878,A2878)</f>
        <v>56</v>
      </c>
      <c r="P2878" t="str">
        <f t="shared" si="134"/>
        <v>Doug Martin6</v>
      </c>
    </row>
    <row r="2879" spans="1:16" x14ac:dyDescent="0.25">
      <c r="A2879">
        <v>16</v>
      </c>
      <c r="B2879" t="s">
        <v>101</v>
      </c>
      <c r="C2879" t="s">
        <v>7761</v>
      </c>
      <c r="D2879">
        <v>4.3600000000000003</v>
      </c>
      <c r="E2879" t="s">
        <v>42</v>
      </c>
      <c r="F2879" t="s">
        <v>47</v>
      </c>
      <c r="G2879">
        <v>7.14</v>
      </c>
      <c r="H2879">
        <v>1.58</v>
      </c>
      <c r="I2879">
        <v>2.78</v>
      </c>
      <c r="J2879">
        <v>7.7283999999999997</v>
      </c>
      <c r="K2879" t="str">
        <f>IFERROR(INDEX(Rosters!$C$2:$C$155,MATCH($B2879,Rosters!$B$2:$B$155,0)),"NA")</f>
        <v>NA</v>
      </c>
      <c r="L2879" t="str">
        <f t="shared" si="132"/>
        <v>NA16RB</v>
      </c>
      <c r="M2879">
        <f>COUNTIF(L$1:L2879,L2879)</f>
        <v>16</v>
      </c>
      <c r="N2879" t="str">
        <f t="shared" si="133"/>
        <v>NA16RB-16</v>
      </c>
      <c r="O2879">
        <f>COUNTIFS(F$1:F2879,F2879,A$1:A2879,A2879)</f>
        <v>61</v>
      </c>
      <c r="P2879" t="str">
        <f t="shared" si="134"/>
        <v>Doug Martin16</v>
      </c>
    </row>
    <row r="2880" spans="1:16" x14ac:dyDescent="0.25">
      <c r="A2880">
        <v>15</v>
      </c>
      <c r="B2880" t="s">
        <v>183</v>
      </c>
      <c r="C2880" t="s">
        <v>7762</v>
      </c>
      <c r="D2880">
        <v>4.3600000000000003</v>
      </c>
      <c r="E2880" t="s">
        <v>42</v>
      </c>
      <c r="F2880" t="s">
        <v>47</v>
      </c>
      <c r="G2880">
        <v>7.25</v>
      </c>
      <c r="H2880">
        <v>1.47</v>
      </c>
      <c r="I2880">
        <v>2.89</v>
      </c>
      <c r="J2880">
        <v>8.3521000000000001</v>
      </c>
      <c r="K2880" t="str">
        <f>IFERROR(INDEX(Rosters!$C$2:$C$155,MATCH($B2880,Rosters!$B$2:$B$155,0)),"NA")</f>
        <v>NA</v>
      </c>
      <c r="L2880" t="str">
        <f t="shared" si="132"/>
        <v>NA15RB</v>
      </c>
      <c r="M2880">
        <f>COUNTIF(L$1:L2880,L2880)</f>
        <v>18</v>
      </c>
      <c r="N2880" t="str">
        <f t="shared" si="133"/>
        <v>NA15RB-18</v>
      </c>
      <c r="O2880">
        <f>COUNTIFS(F$1:F2880,F2880,A$1:A2880,A2880)</f>
        <v>63</v>
      </c>
      <c r="P2880" t="str">
        <f t="shared" si="134"/>
        <v>Duke Johnson Jr.15</v>
      </c>
    </row>
    <row r="2881" spans="1:16" x14ac:dyDescent="0.25">
      <c r="A2881">
        <v>14</v>
      </c>
      <c r="B2881" t="s">
        <v>4212</v>
      </c>
      <c r="C2881" t="s">
        <v>7763</v>
      </c>
      <c r="D2881">
        <v>4.3600000000000003</v>
      </c>
      <c r="E2881" t="s">
        <v>52</v>
      </c>
      <c r="F2881" t="s">
        <v>114</v>
      </c>
      <c r="G2881">
        <v>7.8</v>
      </c>
      <c r="H2881">
        <v>0.92</v>
      </c>
      <c r="I2881">
        <v>3.44</v>
      </c>
      <c r="J2881">
        <v>11.833600000000001</v>
      </c>
      <c r="K2881" t="str">
        <f>IFERROR(INDEX(Rosters!$C$2:$C$155,MATCH($B2881,Rosters!$B$2:$B$155,0)),"NA")</f>
        <v>NA</v>
      </c>
      <c r="L2881" t="str">
        <f t="shared" si="132"/>
        <v>NA14TE</v>
      </c>
      <c r="M2881">
        <f>COUNTIF(L$1:L2881,L2881)</f>
        <v>8</v>
      </c>
      <c r="N2881" t="str">
        <f t="shared" si="133"/>
        <v>NA14TE-8</v>
      </c>
      <c r="O2881">
        <f>COUNTIFS(F$1:F2881,F2881,A$1:A2881,A2881)</f>
        <v>21</v>
      </c>
      <c r="P2881" t="str">
        <f t="shared" si="134"/>
        <v>Ian Thomas14</v>
      </c>
    </row>
    <row r="2882" spans="1:16" x14ac:dyDescent="0.25">
      <c r="A2882">
        <v>9</v>
      </c>
      <c r="B2882" t="s">
        <v>243</v>
      </c>
      <c r="C2882" t="s">
        <v>7764</v>
      </c>
      <c r="D2882">
        <v>4.3600000000000003</v>
      </c>
      <c r="E2882" t="s">
        <v>41</v>
      </c>
      <c r="F2882" t="s">
        <v>87</v>
      </c>
      <c r="G2882">
        <v>8.09</v>
      </c>
      <c r="H2882">
        <v>0.63</v>
      </c>
      <c r="I2882">
        <v>3.73</v>
      </c>
      <c r="J2882">
        <v>13.9129</v>
      </c>
      <c r="K2882" t="str">
        <f>IFERROR(INDEX(Rosters!$C$2:$C$155,MATCH($B2882,Rosters!$B$2:$B$155,0)),"NA")</f>
        <v>NA</v>
      </c>
      <c r="L2882" t="str">
        <f t="shared" si="132"/>
        <v>NA9WR</v>
      </c>
      <c r="M2882">
        <f>COUNTIF(L$1:L2882,L2882)</f>
        <v>16</v>
      </c>
      <c r="N2882" t="str">
        <f t="shared" si="133"/>
        <v>NA9WR-16</v>
      </c>
      <c r="O2882">
        <f>COUNTIFS(F$1:F2882,F2882,A$1:A2882,A2882)</f>
        <v>58</v>
      </c>
      <c r="P2882" t="str">
        <f t="shared" si="134"/>
        <v>Phillip Dorsett9</v>
      </c>
    </row>
    <row r="2883" spans="1:16" x14ac:dyDescent="0.25">
      <c r="A2883">
        <v>11</v>
      </c>
      <c r="B2883" t="s">
        <v>1377</v>
      </c>
      <c r="C2883" t="s">
        <v>7765</v>
      </c>
      <c r="D2883">
        <v>4.3499999999999996</v>
      </c>
      <c r="E2883" t="s">
        <v>25</v>
      </c>
      <c r="F2883" t="s">
        <v>87</v>
      </c>
      <c r="G2883">
        <v>7.64</v>
      </c>
      <c r="H2883">
        <v>1.06</v>
      </c>
      <c r="I2883">
        <v>3.29</v>
      </c>
      <c r="J2883">
        <v>10.8241</v>
      </c>
      <c r="K2883" t="str">
        <f>IFERROR(INDEX(Rosters!$C$2:$C$155,MATCH($B2883,Rosters!$B$2:$B$155,0)),"NA")</f>
        <v>NA</v>
      </c>
      <c r="L2883" t="str">
        <f t="shared" ref="L2883:L2946" si="135">K2883&amp;A2883&amp;F2883</f>
        <v>NA11WR</v>
      </c>
      <c r="M2883">
        <f>COUNTIF(L$1:L2883,L2883)</f>
        <v>14</v>
      </c>
      <c r="N2883" t="str">
        <f t="shared" ref="N2883:N2946" si="136">L2883&amp;"-"&amp;M2883</f>
        <v>NA11WR-14</v>
      </c>
      <c r="O2883">
        <f>COUNTIFS(F$1:F2883,F2883,A$1:A2883,A2883)</f>
        <v>59</v>
      </c>
      <c r="P2883" t="str">
        <f t="shared" ref="P2883:P2946" si="137">B2883&amp;A2883</f>
        <v>Anthony Miller11</v>
      </c>
    </row>
    <row r="2884" spans="1:16" x14ac:dyDescent="0.25">
      <c r="A2884">
        <v>7</v>
      </c>
      <c r="B2884" t="s">
        <v>1387</v>
      </c>
      <c r="C2884" t="s">
        <v>7766</v>
      </c>
      <c r="D2884">
        <v>4.3499999999999996</v>
      </c>
      <c r="E2884" t="s">
        <v>74</v>
      </c>
      <c r="F2884" t="s">
        <v>47</v>
      </c>
      <c r="G2884">
        <v>8.14</v>
      </c>
      <c r="H2884">
        <v>0.56000000000000005</v>
      </c>
      <c r="I2884">
        <v>3.79</v>
      </c>
      <c r="J2884">
        <v>14.364100000000001</v>
      </c>
      <c r="K2884" t="str">
        <f>IFERROR(INDEX(Rosters!$C$2:$C$155,MATCH($B2884,Rosters!$B$2:$B$155,0)),"NA")</f>
        <v>NA</v>
      </c>
      <c r="L2884" t="str">
        <f t="shared" si="135"/>
        <v>NA7RB</v>
      </c>
      <c r="M2884">
        <f>COUNTIF(L$1:L2884,L2884)</f>
        <v>12</v>
      </c>
      <c r="N2884" t="str">
        <f t="shared" si="136"/>
        <v>NA7RB-12</v>
      </c>
      <c r="O2884">
        <f>COUNTIFS(F$1:F2884,F2884,A$1:A2884,A2884)</f>
        <v>52</v>
      </c>
      <c r="P2884" t="str">
        <f t="shared" si="137"/>
        <v>Corey Clement7</v>
      </c>
    </row>
    <row r="2885" spans="1:16" x14ac:dyDescent="0.25">
      <c r="A2885">
        <v>4</v>
      </c>
      <c r="B2885" t="s">
        <v>1381</v>
      </c>
      <c r="C2885" t="s">
        <v>4556</v>
      </c>
      <c r="D2885">
        <v>4.3499999999999996</v>
      </c>
      <c r="E2885" t="s">
        <v>28</v>
      </c>
      <c r="F2885" t="s">
        <v>114</v>
      </c>
      <c r="G2885">
        <v>8.23</v>
      </c>
      <c r="H2885">
        <v>0.47</v>
      </c>
      <c r="I2885">
        <v>3.88</v>
      </c>
      <c r="J2885">
        <v>15.054399999999999</v>
      </c>
      <c r="K2885" t="str">
        <f>IFERROR(INDEX(Rosters!$C$2:$C$155,MATCH($B2885,Rosters!$B$2:$B$155,0)),"NA")</f>
        <v>NA</v>
      </c>
      <c r="L2885" t="str">
        <f t="shared" si="135"/>
        <v>NA4TE</v>
      </c>
      <c r="M2885">
        <f>COUNTIF(L$1:L2885,L2885)</f>
        <v>4</v>
      </c>
      <c r="N2885" t="str">
        <f t="shared" si="136"/>
        <v>NA4TE-4</v>
      </c>
      <c r="O2885">
        <f>COUNTIFS(F$1:F2885,F2885,A$1:A2885,A2885)</f>
        <v>14</v>
      </c>
      <c r="P2885" t="str">
        <f t="shared" si="137"/>
        <v>Ricky Seals-Jones4</v>
      </c>
    </row>
    <row r="2886" spans="1:16" x14ac:dyDescent="0.25">
      <c r="A2886">
        <v>12</v>
      </c>
      <c r="B2886" t="s">
        <v>143</v>
      </c>
      <c r="C2886">
        <f>-0.02-8.72</f>
        <v>-8.74</v>
      </c>
      <c r="D2886">
        <v>4.3499999999999996</v>
      </c>
      <c r="E2886" t="s">
        <v>423</v>
      </c>
      <c r="F2886" t="s">
        <v>87</v>
      </c>
      <c r="G2886">
        <v>8.7200000000000006</v>
      </c>
      <c r="H2886">
        <v>-0.02</v>
      </c>
      <c r="I2886">
        <v>4.37</v>
      </c>
      <c r="J2886">
        <v>19.096900000000002</v>
      </c>
      <c r="K2886" t="str">
        <f>IFERROR(INDEX(Rosters!$C$2:$C$155,MATCH($B2886,Rosters!$B$2:$B$155,0)),"NA")</f>
        <v>NA</v>
      </c>
      <c r="L2886" t="str">
        <f t="shared" si="135"/>
        <v>NA12WR</v>
      </c>
      <c r="M2886">
        <f>COUNTIF(L$1:L2886,L2886)</f>
        <v>22</v>
      </c>
      <c r="N2886" t="str">
        <f t="shared" si="136"/>
        <v>NA12WR-22</v>
      </c>
      <c r="O2886">
        <f>COUNTIFS(F$1:F2886,F2886,A$1:A2886,A2886)</f>
        <v>69</v>
      </c>
      <c r="P2886" t="str">
        <f t="shared" si="137"/>
        <v>Terrelle Pryor Sr.12</v>
      </c>
    </row>
    <row r="2887" spans="1:16" x14ac:dyDescent="0.25">
      <c r="A2887">
        <v>8</v>
      </c>
      <c r="B2887" t="s">
        <v>214</v>
      </c>
      <c r="C2887" t="s">
        <v>7767</v>
      </c>
      <c r="D2887">
        <v>4.3499999999999996</v>
      </c>
      <c r="E2887" t="s">
        <v>52</v>
      </c>
      <c r="F2887" t="s">
        <v>114</v>
      </c>
      <c r="G2887">
        <v>7.51</v>
      </c>
      <c r="H2887">
        <v>1.19</v>
      </c>
      <c r="I2887">
        <v>3.16</v>
      </c>
      <c r="J2887">
        <v>9.9855999999999998</v>
      </c>
      <c r="K2887" t="str">
        <f>IFERROR(INDEX(Rosters!$C$2:$C$155,MATCH($B2887,Rosters!$B$2:$B$155,0)),"NA")</f>
        <v>scott</v>
      </c>
      <c r="L2887" t="str">
        <f t="shared" si="135"/>
        <v>scott8TE</v>
      </c>
      <c r="M2887">
        <f>COUNTIF(L$1:L2887,L2887)</f>
        <v>2</v>
      </c>
      <c r="N2887" t="str">
        <f t="shared" si="136"/>
        <v>scott8TE-2</v>
      </c>
      <c r="O2887">
        <f>COUNTIFS(F$1:F2887,F2887,A$1:A2887,A2887)</f>
        <v>18</v>
      </c>
      <c r="P2887" t="str">
        <f t="shared" si="137"/>
        <v>Vance McDonald8</v>
      </c>
    </row>
    <row r="2888" spans="1:16" x14ac:dyDescent="0.25">
      <c r="A2888">
        <v>14</v>
      </c>
      <c r="B2888" t="s">
        <v>1377</v>
      </c>
      <c r="C2888" t="s">
        <v>7768</v>
      </c>
      <c r="D2888">
        <v>4.34</v>
      </c>
      <c r="E2888" t="s">
        <v>56</v>
      </c>
      <c r="F2888" t="s">
        <v>87</v>
      </c>
      <c r="G2888">
        <v>8.27</v>
      </c>
      <c r="H2888">
        <v>0.41</v>
      </c>
      <c r="I2888">
        <v>3.93</v>
      </c>
      <c r="J2888">
        <v>15.444900000000001</v>
      </c>
      <c r="K2888" t="str">
        <f>IFERROR(INDEX(Rosters!$C$2:$C$155,MATCH($B2888,Rosters!$B$2:$B$155,0)),"NA")</f>
        <v>NA</v>
      </c>
      <c r="L2888" t="str">
        <f t="shared" si="135"/>
        <v>NA14WR</v>
      </c>
      <c r="M2888">
        <f>COUNTIF(L$1:L2888,L2888)</f>
        <v>23</v>
      </c>
      <c r="N2888" t="str">
        <f t="shared" si="136"/>
        <v>NA14WR-23</v>
      </c>
      <c r="O2888">
        <f>COUNTIFS(F$1:F2888,F2888,A$1:A2888,A2888)</f>
        <v>75</v>
      </c>
      <c r="P2888" t="str">
        <f t="shared" si="137"/>
        <v>Anthony Miller14</v>
      </c>
    </row>
    <row r="2889" spans="1:16" x14ac:dyDescent="0.25">
      <c r="A2889">
        <v>7</v>
      </c>
      <c r="B2889" t="s">
        <v>217</v>
      </c>
      <c r="C2889" t="s">
        <v>7769</v>
      </c>
      <c r="D2889">
        <v>4.34</v>
      </c>
      <c r="E2889" t="s">
        <v>66</v>
      </c>
      <c r="F2889" t="s">
        <v>114</v>
      </c>
      <c r="G2889">
        <v>8.1999999999999993</v>
      </c>
      <c r="H2889">
        <v>0.48</v>
      </c>
      <c r="I2889">
        <v>3.86</v>
      </c>
      <c r="J2889">
        <v>14.8996</v>
      </c>
      <c r="K2889" t="str">
        <f>IFERROR(INDEX(Rosters!$C$2:$C$155,MATCH($B2889,Rosters!$B$2:$B$155,0)),"NA")</f>
        <v>NA</v>
      </c>
      <c r="L2889" t="str">
        <f t="shared" si="135"/>
        <v>NA7TE</v>
      </c>
      <c r="M2889">
        <f>COUNTIF(L$1:L2889,L2889)</f>
        <v>7</v>
      </c>
      <c r="N2889" t="str">
        <f t="shared" si="136"/>
        <v>NA7TE-7</v>
      </c>
      <c r="O2889">
        <f>COUNTIFS(F$1:F2889,F2889,A$1:A2889,A2889)</f>
        <v>16</v>
      </c>
      <c r="P2889" t="str">
        <f t="shared" si="137"/>
        <v>Charles Clay7</v>
      </c>
    </row>
    <row r="2890" spans="1:16" x14ac:dyDescent="0.25">
      <c r="A2890">
        <v>2</v>
      </c>
      <c r="B2890" t="s">
        <v>1211</v>
      </c>
      <c r="C2890">
        <f>-0.13-8.81</f>
        <v>-8.9400000000000013</v>
      </c>
      <c r="D2890">
        <v>4.34</v>
      </c>
      <c r="E2890" t="s">
        <v>423</v>
      </c>
      <c r="F2890" t="s">
        <v>87</v>
      </c>
      <c r="G2890">
        <v>8.81</v>
      </c>
      <c r="H2890">
        <v>-0.13</v>
      </c>
      <c r="I2890">
        <v>4.47</v>
      </c>
      <c r="J2890">
        <v>19.980899999999998</v>
      </c>
      <c r="K2890" t="str">
        <f>IFERROR(INDEX(Rosters!$C$2:$C$155,MATCH($B2890,Rosters!$B$2:$B$155,0)),"NA")</f>
        <v>NA</v>
      </c>
      <c r="L2890" t="str">
        <f t="shared" si="135"/>
        <v>NA2WR</v>
      </c>
      <c r="M2890">
        <f>COUNTIF(L$1:L2890,L2890)</f>
        <v>19</v>
      </c>
      <c r="N2890" t="str">
        <f t="shared" si="136"/>
        <v>NA2WR-19</v>
      </c>
      <c r="O2890">
        <f>COUNTIFS(F$1:F2890,F2890,A$1:A2890,A2890)</f>
        <v>64</v>
      </c>
      <c r="P2890" t="str">
        <f t="shared" si="137"/>
        <v>Dede Westbrook2</v>
      </c>
    </row>
    <row r="2891" spans="1:16" x14ac:dyDescent="0.25">
      <c r="A2891">
        <v>2</v>
      </c>
      <c r="B2891" t="s">
        <v>1395</v>
      </c>
      <c r="C2891" t="s">
        <v>1436</v>
      </c>
      <c r="D2891">
        <v>4.34</v>
      </c>
      <c r="E2891" t="s">
        <v>60</v>
      </c>
      <c r="F2891" t="s">
        <v>47</v>
      </c>
      <c r="G2891">
        <v>8.42</v>
      </c>
      <c r="H2891">
        <v>0.26</v>
      </c>
      <c r="I2891">
        <v>4.08</v>
      </c>
      <c r="J2891">
        <v>16.6464</v>
      </c>
      <c r="K2891" t="str">
        <f>IFERROR(INDEX(Rosters!$C$2:$C$155,MATCH($B2891,Rosters!$B$2:$B$155,0)),"NA")</f>
        <v>cory</v>
      </c>
      <c r="L2891" t="str">
        <f t="shared" si="135"/>
        <v>cory2RB</v>
      </c>
      <c r="M2891">
        <f>COUNTIF(L$1:L2891,L2891)</f>
        <v>4</v>
      </c>
      <c r="N2891" t="str">
        <f t="shared" si="136"/>
        <v>cory2RB-4</v>
      </c>
      <c r="O2891">
        <f>COUNTIFS(F$1:F2891,F2891,A$1:A2891,A2891)</f>
        <v>58</v>
      </c>
      <c r="P2891" t="str">
        <f t="shared" si="137"/>
        <v>Nyheim Hines2</v>
      </c>
    </row>
    <row r="2892" spans="1:16" x14ac:dyDescent="0.25">
      <c r="A2892">
        <v>2</v>
      </c>
      <c r="B2892" t="s">
        <v>229</v>
      </c>
      <c r="C2892">
        <f>-0.22-8.9</f>
        <v>-9.120000000000001</v>
      </c>
      <c r="D2892">
        <v>4.34</v>
      </c>
      <c r="E2892" t="s">
        <v>50</v>
      </c>
      <c r="F2892" t="s">
        <v>114</v>
      </c>
      <c r="G2892">
        <v>8.9</v>
      </c>
      <c r="H2892">
        <v>-0.22</v>
      </c>
      <c r="I2892">
        <v>4.5599999999999996</v>
      </c>
      <c r="J2892">
        <v>20.793600000000001</v>
      </c>
      <c r="K2892" t="str">
        <f>IFERROR(INDEX(Rosters!$C$2:$C$155,MATCH($B2892,Rosters!$B$2:$B$155,0)),"NA")</f>
        <v>NA</v>
      </c>
      <c r="L2892" t="str">
        <f t="shared" si="135"/>
        <v>NA2TE</v>
      </c>
      <c r="M2892">
        <f>COUNTIF(L$1:L2892,L2892)</f>
        <v>6</v>
      </c>
      <c r="N2892" t="str">
        <f t="shared" si="136"/>
        <v>NA2TE-6</v>
      </c>
      <c r="O2892">
        <f>COUNTIFS(F$1:F2892,F2892,A$1:A2892,A2892)</f>
        <v>17</v>
      </c>
      <c r="P2892" t="str">
        <f t="shared" si="137"/>
        <v>O.J. Howard2</v>
      </c>
    </row>
    <row r="2893" spans="1:16" x14ac:dyDescent="0.25">
      <c r="A2893">
        <v>1</v>
      </c>
      <c r="B2893" t="s">
        <v>274</v>
      </c>
      <c r="C2893">
        <f>-0.09-8.77</f>
        <v>-8.86</v>
      </c>
      <c r="D2893">
        <v>4.34</v>
      </c>
      <c r="E2893" t="s">
        <v>423</v>
      </c>
      <c r="F2893" t="s">
        <v>114</v>
      </c>
      <c r="G2893">
        <v>8.77</v>
      </c>
      <c r="H2893">
        <v>-0.09</v>
      </c>
      <c r="I2893">
        <v>4.43</v>
      </c>
      <c r="J2893">
        <v>19.6249</v>
      </c>
      <c r="K2893" t="str">
        <f>IFERROR(INDEX(Rosters!$C$2:$C$155,MATCH($B2893,Rosters!$B$2:$B$155,0)),"NA")</f>
        <v>NA</v>
      </c>
      <c r="L2893" t="str">
        <f t="shared" si="135"/>
        <v>NA1TE</v>
      </c>
      <c r="M2893">
        <f>COUNTIF(L$1:L2893,L2893)</f>
        <v>7</v>
      </c>
      <c r="N2893" t="str">
        <f t="shared" si="136"/>
        <v>NA1TE-7</v>
      </c>
      <c r="O2893">
        <f>COUNTIFS(F$1:F2893,F2893,A$1:A2893,A2893)</f>
        <v>17</v>
      </c>
      <c r="P2893" t="str">
        <f t="shared" si="137"/>
        <v>Ryan Griffin1</v>
      </c>
    </row>
    <row r="2894" spans="1:16" x14ac:dyDescent="0.25">
      <c r="A2894">
        <v>1</v>
      </c>
      <c r="B2894" t="s">
        <v>247</v>
      </c>
      <c r="C2894" t="s">
        <v>1437</v>
      </c>
      <c r="D2894">
        <v>4.33</v>
      </c>
      <c r="E2894" t="s">
        <v>54</v>
      </c>
      <c r="F2894" t="s">
        <v>114</v>
      </c>
      <c r="G2894">
        <v>8.3800000000000008</v>
      </c>
      <c r="H2894">
        <v>0.28000000000000003</v>
      </c>
      <c r="I2894">
        <v>4.05</v>
      </c>
      <c r="J2894">
        <v>16.4025</v>
      </c>
      <c r="K2894" t="str">
        <f>IFERROR(INDEX(Rosters!$C$2:$C$155,MATCH($B2894,Rosters!$B$2:$B$155,0)),"NA")</f>
        <v>NA</v>
      </c>
      <c r="L2894" t="str">
        <f t="shared" si="135"/>
        <v>NA1TE</v>
      </c>
      <c r="M2894">
        <f>COUNTIF(L$1:L2894,L2894)</f>
        <v>8</v>
      </c>
      <c r="N2894" t="str">
        <f t="shared" si="136"/>
        <v>NA1TE-8</v>
      </c>
      <c r="O2894">
        <f>COUNTIFS(F$1:F2894,F2894,A$1:A2894,A2894)</f>
        <v>18</v>
      </c>
      <c r="P2894" t="str">
        <f t="shared" si="137"/>
        <v>Austin Seferian-Jenkins1</v>
      </c>
    </row>
    <row r="2895" spans="1:16" x14ac:dyDescent="0.25">
      <c r="A2895">
        <v>17</v>
      </c>
      <c r="B2895" t="s">
        <v>239</v>
      </c>
      <c r="C2895">
        <f>-0.22-8.88</f>
        <v>-9.1000000000000014</v>
      </c>
      <c r="D2895">
        <v>4.33</v>
      </c>
      <c r="E2895" t="s">
        <v>51</v>
      </c>
      <c r="F2895" t="s">
        <v>87</v>
      </c>
      <c r="G2895">
        <v>8.8800000000000008</v>
      </c>
      <c r="H2895">
        <v>-0.22</v>
      </c>
      <c r="I2895">
        <v>4.55</v>
      </c>
      <c r="J2895">
        <v>20.702500000000001</v>
      </c>
      <c r="K2895" t="str">
        <f>IFERROR(INDEX(Rosters!$C$2:$C$155,MATCH($B2895,Rosters!$B$2:$B$155,0)),"NA")</f>
        <v>NA</v>
      </c>
      <c r="L2895" t="str">
        <f t="shared" si="135"/>
        <v>NA17WR</v>
      </c>
      <c r="M2895">
        <f>COUNTIF(L$1:L2895,L2895)</f>
        <v>23</v>
      </c>
      <c r="N2895" t="str">
        <f t="shared" si="136"/>
        <v>NA17WR-23</v>
      </c>
      <c r="O2895">
        <f>COUNTIFS(F$1:F2895,F2895,A$1:A2895,A2895)</f>
        <v>75</v>
      </c>
      <c r="P2895" t="str">
        <f t="shared" si="137"/>
        <v>John Ross17</v>
      </c>
    </row>
    <row r="2896" spans="1:16" x14ac:dyDescent="0.25">
      <c r="A2896">
        <v>6</v>
      </c>
      <c r="B2896" t="s">
        <v>252</v>
      </c>
      <c r="C2896" t="s">
        <v>7770</v>
      </c>
      <c r="D2896">
        <v>4.32</v>
      </c>
      <c r="E2896" t="s">
        <v>76</v>
      </c>
      <c r="F2896" t="s">
        <v>87</v>
      </c>
      <c r="G2896">
        <v>7.92</v>
      </c>
      <c r="H2896">
        <v>0.72</v>
      </c>
      <c r="I2896">
        <v>3.6</v>
      </c>
      <c r="J2896">
        <v>12.96</v>
      </c>
      <c r="K2896" t="str">
        <f>IFERROR(INDEX(Rosters!$C$2:$C$155,MATCH($B2896,Rosters!$B$2:$B$155,0)),"NA")</f>
        <v>NA</v>
      </c>
      <c r="L2896" t="str">
        <f t="shared" si="135"/>
        <v>NA6WR</v>
      </c>
      <c r="M2896">
        <f>COUNTIF(L$1:L2896,L2896)</f>
        <v>22</v>
      </c>
      <c r="N2896" t="str">
        <f t="shared" si="136"/>
        <v>NA6WR-22</v>
      </c>
      <c r="O2896">
        <f>COUNTIFS(F$1:F2896,F2896,A$1:A2896,A2896)</f>
        <v>69</v>
      </c>
      <c r="P2896" t="str">
        <f t="shared" si="137"/>
        <v>Allen Hurns6</v>
      </c>
    </row>
    <row r="2897" spans="1:16" x14ac:dyDescent="0.25">
      <c r="A2897">
        <v>9</v>
      </c>
      <c r="B2897" t="s">
        <v>1377</v>
      </c>
      <c r="C2897" t="s">
        <v>7771</v>
      </c>
      <c r="D2897">
        <v>4.32</v>
      </c>
      <c r="E2897" t="s">
        <v>29</v>
      </c>
      <c r="F2897" t="s">
        <v>87</v>
      </c>
      <c r="G2897">
        <v>8.2200000000000006</v>
      </c>
      <c r="H2897">
        <v>0.42</v>
      </c>
      <c r="I2897">
        <v>3.9</v>
      </c>
      <c r="J2897">
        <v>15.21</v>
      </c>
      <c r="K2897" t="str">
        <f>IFERROR(INDEX(Rosters!$C$2:$C$155,MATCH($B2897,Rosters!$B$2:$B$155,0)),"NA")</f>
        <v>NA</v>
      </c>
      <c r="L2897" t="str">
        <f t="shared" si="135"/>
        <v>NA9WR</v>
      </c>
      <c r="M2897">
        <f>COUNTIF(L$1:L2897,L2897)</f>
        <v>17</v>
      </c>
      <c r="N2897" t="str">
        <f t="shared" si="136"/>
        <v>NA9WR-17</v>
      </c>
      <c r="O2897">
        <f>COUNTIFS(F$1:F2897,F2897,A$1:A2897,A2897)</f>
        <v>59</v>
      </c>
      <c r="P2897" t="str">
        <f t="shared" si="137"/>
        <v>Anthony Miller9</v>
      </c>
    </row>
    <row r="2898" spans="1:16" x14ac:dyDescent="0.25">
      <c r="A2898">
        <v>2</v>
      </c>
      <c r="B2898" t="s">
        <v>1419</v>
      </c>
      <c r="C2898">
        <f>-0.43-9.07</f>
        <v>-9.5</v>
      </c>
      <c r="D2898">
        <v>4.32</v>
      </c>
      <c r="E2898" t="s">
        <v>14</v>
      </c>
      <c r="F2898" t="s">
        <v>87</v>
      </c>
      <c r="G2898">
        <v>9.07</v>
      </c>
      <c r="H2898">
        <v>-0.43</v>
      </c>
      <c r="I2898">
        <v>4.75</v>
      </c>
      <c r="J2898">
        <v>22.5625</v>
      </c>
      <c r="K2898" t="str">
        <f>IFERROR(INDEX(Rosters!$C$2:$C$155,MATCH($B2898,Rosters!$B$2:$B$155,0)),"NA")</f>
        <v>chad</v>
      </c>
      <c r="L2898" t="str">
        <f t="shared" si="135"/>
        <v>chad2WR</v>
      </c>
      <c r="M2898">
        <f>COUNTIF(L$1:L2898,L2898)</f>
        <v>3</v>
      </c>
      <c r="N2898" t="str">
        <f t="shared" si="136"/>
        <v>chad2WR-3</v>
      </c>
      <c r="O2898">
        <f>COUNTIFS(F$1:F2898,F2898,A$1:A2898,A2898)</f>
        <v>65</v>
      </c>
      <c r="P2898" t="str">
        <f t="shared" si="137"/>
        <v>Antonio Callaway2</v>
      </c>
    </row>
    <row r="2899" spans="1:16" x14ac:dyDescent="0.25">
      <c r="A2899">
        <v>2</v>
      </c>
      <c r="B2899" t="s">
        <v>217</v>
      </c>
      <c r="C2899" t="s">
        <v>3365</v>
      </c>
      <c r="D2899">
        <v>4.32</v>
      </c>
      <c r="E2899" t="s">
        <v>37</v>
      </c>
      <c r="F2899" t="s">
        <v>114</v>
      </c>
      <c r="G2899">
        <v>7.4</v>
      </c>
      <c r="H2899">
        <v>1.24</v>
      </c>
      <c r="I2899">
        <v>3.08</v>
      </c>
      <c r="J2899">
        <v>9.4863999999999997</v>
      </c>
      <c r="K2899" t="str">
        <f>IFERROR(INDEX(Rosters!$C$2:$C$155,MATCH($B2899,Rosters!$B$2:$B$155,0)),"NA")</f>
        <v>NA</v>
      </c>
      <c r="L2899" t="str">
        <f t="shared" si="135"/>
        <v>NA2TE</v>
      </c>
      <c r="M2899">
        <f>COUNTIF(L$1:L2899,L2899)</f>
        <v>7</v>
      </c>
      <c r="N2899" t="str">
        <f t="shared" si="136"/>
        <v>NA2TE-7</v>
      </c>
      <c r="O2899">
        <f>COUNTIFS(F$1:F2899,F2899,A$1:A2899,A2899)</f>
        <v>18</v>
      </c>
      <c r="P2899" t="str">
        <f t="shared" si="137"/>
        <v>Charles Clay2</v>
      </c>
    </row>
    <row r="2900" spans="1:16" x14ac:dyDescent="0.25">
      <c r="A2900">
        <v>9</v>
      </c>
      <c r="B2900" t="s">
        <v>260</v>
      </c>
      <c r="C2900" t="s">
        <v>7772</v>
      </c>
      <c r="D2900">
        <v>4.32</v>
      </c>
      <c r="E2900" t="s">
        <v>42</v>
      </c>
      <c r="F2900" t="s">
        <v>47</v>
      </c>
      <c r="G2900">
        <v>7.79</v>
      </c>
      <c r="H2900">
        <v>0.85</v>
      </c>
      <c r="I2900">
        <v>3.47</v>
      </c>
      <c r="J2900">
        <v>12.040900000000001</v>
      </c>
      <c r="K2900" t="str">
        <f>IFERROR(INDEX(Rosters!$C$2:$C$155,MATCH($B2900,Rosters!$B$2:$B$155,0)),"NA")</f>
        <v>NA</v>
      </c>
      <c r="L2900" t="str">
        <f t="shared" si="135"/>
        <v>NA9RB</v>
      </c>
      <c r="M2900">
        <f>COUNTIF(L$1:L2900,L2900)</f>
        <v>12</v>
      </c>
      <c r="N2900" t="str">
        <f t="shared" si="136"/>
        <v>NA9RB-12</v>
      </c>
      <c r="O2900">
        <f>COUNTIFS(F$1:F2900,F2900,A$1:A2900,A2900)</f>
        <v>50</v>
      </c>
      <c r="P2900" t="str">
        <f t="shared" si="137"/>
        <v>D'Onta Foreman9</v>
      </c>
    </row>
    <row r="2901" spans="1:16" x14ac:dyDescent="0.25">
      <c r="A2901">
        <v>10</v>
      </c>
      <c r="B2901" t="s">
        <v>1122</v>
      </c>
      <c r="C2901" t="s">
        <v>7773</v>
      </c>
      <c r="D2901">
        <v>4.32</v>
      </c>
      <c r="E2901" t="s">
        <v>22</v>
      </c>
      <c r="F2901" t="s">
        <v>47</v>
      </c>
      <c r="G2901">
        <v>8.25</v>
      </c>
      <c r="H2901">
        <v>0.39</v>
      </c>
      <c r="I2901">
        <v>3.93</v>
      </c>
      <c r="J2901">
        <v>15.444900000000001</v>
      </c>
      <c r="K2901" t="str">
        <f>IFERROR(INDEX(Rosters!$C$2:$C$155,MATCH($B2901,Rosters!$B$2:$B$155,0)),"NA")</f>
        <v>NA</v>
      </c>
      <c r="L2901" t="str">
        <f t="shared" si="135"/>
        <v>NA10RB</v>
      </c>
      <c r="M2901">
        <f>COUNTIF(L$1:L2901,L2901)</f>
        <v>17</v>
      </c>
      <c r="N2901" t="str">
        <f t="shared" si="136"/>
        <v>NA10RB-17</v>
      </c>
      <c r="O2901">
        <f>COUNTIFS(F$1:F2901,F2901,A$1:A2901,A2901)</f>
        <v>55</v>
      </c>
      <c r="P2901" t="str">
        <f t="shared" si="137"/>
        <v>Darren Sproles10</v>
      </c>
    </row>
    <row r="2902" spans="1:16" x14ac:dyDescent="0.25">
      <c r="A2902">
        <v>6</v>
      </c>
      <c r="B2902" t="s">
        <v>1366</v>
      </c>
      <c r="C2902" t="s">
        <v>7774</v>
      </c>
      <c r="D2902">
        <v>4.32</v>
      </c>
      <c r="E2902" t="s">
        <v>37</v>
      </c>
      <c r="F2902" t="s">
        <v>47</v>
      </c>
      <c r="G2902">
        <v>8.43</v>
      </c>
      <c r="H2902">
        <v>0.21</v>
      </c>
      <c r="I2902">
        <v>4.1100000000000003</v>
      </c>
      <c r="J2902">
        <v>16.892099999999999</v>
      </c>
      <c r="K2902" t="str">
        <f>IFERROR(INDEX(Rosters!$C$2:$C$155,MATCH($B2902,Rosters!$B$2:$B$155,0)),"NA")</f>
        <v>NA</v>
      </c>
      <c r="L2902" t="str">
        <f t="shared" si="135"/>
        <v>NA6RB</v>
      </c>
      <c r="M2902">
        <f>COUNTIF(L$1:L2902,L2902)</f>
        <v>16</v>
      </c>
      <c r="N2902" t="str">
        <f t="shared" si="136"/>
        <v>NA6RB-16</v>
      </c>
      <c r="O2902">
        <f>COUNTIFS(F$1:F2902,F2902,A$1:A2902,A2902)</f>
        <v>57</v>
      </c>
      <c r="P2902" t="str">
        <f t="shared" si="137"/>
        <v>Nick Chubb6</v>
      </c>
    </row>
    <row r="2903" spans="1:16" x14ac:dyDescent="0.25">
      <c r="A2903">
        <v>11</v>
      </c>
      <c r="B2903" t="s">
        <v>388</v>
      </c>
      <c r="C2903" t="s">
        <v>7775</v>
      </c>
      <c r="D2903">
        <v>4.32</v>
      </c>
      <c r="E2903" t="s">
        <v>46</v>
      </c>
      <c r="F2903" t="s">
        <v>47</v>
      </c>
      <c r="G2903">
        <v>8.58</v>
      </c>
      <c r="H2903">
        <v>0.06</v>
      </c>
      <c r="I2903">
        <v>4.26</v>
      </c>
      <c r="J2903">
        <v>18.147600000000001</v>
      </c>
      <c r="K2903" t="str">
        <f>IFERROR(INDEX(Rosters!$C$2:$C$155,MATCH($B2903,Rosters!$B$2:$B$155,0)),"NA")</f>
        <v>NA</v>
      </c>
      <c r="L2903" t="str">
        <f t="shared" si="135"/>
        <v>NA11RB</v>
      </c>
      <c r="M2903">
        <f>COUNTIF(L$1:L2903,L2903)</f>
        <v>15</v>
      </c>
      <c r="N2903" t="str">
        <f t="shared" si="136"/>
        <v>NA11RB-15</v>
      </c>
      <c r="O2903">
        <f>COUNTIFS(F$1:F2903,F2903,A$1:A2903,A2903)</f>
        <v>52</v>
      </c>
      <c r="P2903" t="str">
        <f t="shared" si="137"/>
        <v>Rod Smith11</v>
      </c>
    </row>
    <row r="2904" spans="1:16" x14ac:dyDescent="0.25">
      <c r="A2904">
        <v>13</v>
      </c>
      <c r="B2904" t="s">
        <v>214</v>
      </c>
      <c r="C2904" t="s">
        <v>7776</v>
      </c>
      <c r="D2904">
        <v>4.32</v>
      </c>
      <c r="E2904" t="s">
        <v>37</v>
      </c>
      <c r="F2904" t="s">
        <v>114</v>
      </c>
      <c r="G2904">
        <v>8.11</v>
      </c>
      <c r="H2904">
        <v>0.53</v>
      </c>
      <c r="I2904">
        <v>3.79</v>
      </c>
      <c r="J2904">
        <v>14.364100000000001</v>
      </c>
      <c r="K2904" t="str">
        <f>IFERROR(INDEX(Rosters!$C$2:$C$155,MATCH($B2904,Rosters!$B$2:$B$155,0)),"NA")</f>
        <v>scott</v>
      </c>
      <c r="L2904" t="str">
        <f t="shared" si="135"/>
        <v>scott13TE</v>
      </c>
      <c r="M2904">
        <f>COUNTIF(L$1:L2904,L2904)</f>
        <v>2</v>
      </c>
      <c r="N2904" t="str">
        <f t="shared" si="136"/>
        <v>scott13TE-2</v>
      </c>
      <c r="O2904">
        <f>COUNTIFS(F$1:F2904,F2904,A$1:A2904,A2904)</f>
        <v>16</v>
      </c>
      <c r="P2904" t="str">
        <f t="shared" si="137"/>
        <v>Vance McDonald13</v>
      </c>
    </row>
    <row r="2905" spans="1:16" x14ac:dyDescent="0.25">
      <c r="A2905">
        <v>13</v>
      </c>
      <c r="B2905" t="s">
        <v>1396</v>
      </c>
      <c r="C2905" t="s">
        <v>7777</v>
      </c>
      <c r="D2905">
        <v>4.3099999999999996</v>
      </c>
      <c r="E2905" t="s">
        <v>74</v>
      </c>
      <c r="F2905" t="s">
        <v>87</v>
      </c>
      <c r="G2905">
        <v>7.51</v>
      </c>
      <c r="H2905">
        <v>1.1100000000000001</v>
      </c>
      <c r="I2905">
        <v>3.2</v>
      </c>
      <c r="J2905">
        <v>10.24</v>
      </c>
      <c r="K2905" t="str">
        <f>IFERROR(INDEX(Rosters!$C$2:$C$155,MATCH($B2905,Rosters!$B$2:$B$155,0)),"NA")</f>
        <v>NA</v>
      </c>
      <c r="L2905" t="str">
        <f t="shared" si="135"/>
        <v>NA13WR</v>
      </c>
      <c r="M2905">
        <f>COUNTIF(L$1:L2905,L2905)</f>
        <v>24</v>
      </c>
      <c r="N2905" t="str">
        <f t="shared" si="136"/>
        <v>NA13WR-24</v>
      </c>
      <c r="O2905">
        <f>COUNTIFS(F$1:F2905,F2905,A$1:A2905,A2905)</f>
        <v>76</v>
      </c>
      <c r="P2905" t="str">
        <f t="shared" si="137"/>
        <v>Chris Godwin13</v>
      </c>
    </row>
    <row r="2906" spans="1:16" x14ac:dyDescent="0.25">
      <c r="A2906">
        <v>2</v>
      </c>
      <c r="B2906" t="s">
        <v>1391</v>
      </c>
      <c r="C2906" t="s">
        <v>3366</v>
      </c>
      <c r="D2906">
        <v>4.3099999999999996</v>
      </c>
      <c r="E2906" t="s">
        <v>46</v>
      </c>
      <c r="F2906" t="s">
        <v>87</v>
      </c>
      <c r="G2906">
        <v>8.17</v>
      </c>
      <c r="H2906">
        <v>0.45</v>
      </c>
      <c r="I2906">
        <v>3.86</v>
      </c>
      <c r="J2906">
        <v>14.8996</v>
      </c>
      <c r="K2906" t="str">
        <f>IFERROR(INDEX(Rosters!$C$2:$C$155,MATCH($B2906,Rosters!$B$2:$B$155,0)),"NA")</f>
        <v>NA</v>
      </c>
      <c r="L2906" t="str">
        <f t="shared" si="135"/>
        <v>NA2WR</v>
      </c>
      <c r="M2906">
        <f>COUNTIF(L$1:L2906,L2906)</f>
        <v>20</v>
      </c>
      <c r="N2906" t="str">
        <f t="shared" si="136"/>
        <v>NA2WR-20</v>
      </c>
      <c r="O2906">
        <f>COUNTIFS(F$1:F2906,F2906,A$1:A2906,A2906)</f>
        <v>66</v>
      </c>
      <c r="P2906" t="str">
        <f t="shared" si="137"/>
        <v>D.J. Moore2</v>
      </c>
    </row>
    <row r="2907" spans="1:16" x14ac:dyDescent="0.25">
      <c r="A2907">
        <v>15</v>
      </c>
      <c r="B2907" t="s">
        <v>262</v>
      </c>
      <c r="C2907" t="s">
        <v>7778</v>
      </c>
      <c r="D2907">
        <v>4.3099999999999996</v>
      </c>
      <c r="E2907" t="s">
        <v>19</v>
      </c>
      <c r="F2907" t="s">
        <v>87</v>
      </c>
      <c r="G2907">
        <v>7.93</v>
      </c>
      <c r="H2907">
        <v>0.69</v>
      </c>
      <c r="I2907">
        <v>3.62</v>
      </c>
      <c r="J2907">
        <v>13.1044</v>
      </c>
      <c r="K2907" t="str">
        <f>IFERROR(INDEX(Rosters!$C$2:$C$155,MATCH($B2907,Rosters!$B$2:$B$155,0)),"NA")</f>
        <v>NA</v>
      </c>
      <c r="L2907" t="str">
        <f t="shared" si="135"/>
        <v>NA15WR</v>
      </c>
      <c r="M2907">
        <f>COUNTIF(L$1:L2907,L2907)</f>
        <v>24</v>
      </c>
      <c r="N2907" t="str">
        <f t="shared" si="136"/>
        <v>NA15WR-24</v>
      </c>
      <c r="O2907">
        <f>COUNTIFS(F$1:F2907,F2907,A$1:A2907,A2907)</f>
        <v>74</v>
      </c>
      <c r="P2907" t="str">
        <f t="shared" si="137"/>
        <v>Laquon Treadwell15</v>
      </c>
    </row>
    <row r="2908" spans="1:16" x14ac:dyDescent="0.25">
      <c r="A2908">
        <v>10</v>
      </c>
      <c r="B2908" t="s">
        <v>210</v>
      </c>
      <c r="C2908" t="s">
        <v>7779</v>
      </c>
      <c r="D2908">
        <v>4.3099999999999996</v>
      </c>
      <c r="E2908" t="s">
        <v>32</v>
      </c>
      <c r="F2908" t="s">
        <v>87</v>
      </c>
      <c r="G2908">
        <v>7.02</v>
      </c>
      <c r="H2908">
        <v>1.6</v>
      </c>
      <c r="I2908">
        <v>2.71</v>
      </c>
      <c r="J2908">
        <v>7.3441000000000001</v>
      </c>
      <c r="K2908" t="str">
        <f>IFERROR(INDEX(Rosters!$C$2:$C$155,MATCH($B2908,Rosters!$B$2:$B$155,0)),"NA")</f>
        <v>NA</v>
      </c>
      <c r="L2908" t="str">
        <f t="shared" si="135"/>
        <v>NA10WR</v>
      </c>
      <c r="M2908">
        <f>COUNTIF(L$1:L2908,L2908)</f>
        <v>20</v>
      </c>
      <c r="N2908" t="str">
        <f t="shared" si="136"/>
        <v>NA10WR-20</v>
      </c>
      <c r="O2908">
        <f>COUNTIFS(F$1:F2908,F2908,A$1:A2908,A2908)</f>
        <v>64</v>
      </c>
      <c r="P2908" t="str">
        <f t="shared" si="137"/>
        <v>Tyrell Williams10</v>
      </c>
    </row>
    <row r="2909" spans="1:16" x14ac:dyDescent="0.25">
      <c r="A2909">
        <v>5</v>
      </c>
      <c r="B2909" t="s">
        <v>182</v>
      </c>
      <c r="C2909">
        <f>-0.05-8.67</f>
        <v>-8.7200000000000006</v>
      </c>
      <c r="D2909">
        <v>4.3099999999999996</v>
      </c>
      <c r="E2909" t="s">
        <v>38</v>
      </c>
      <c r="F2909" t="s">
        <v>87</v>
      </c>
      <c r="G2909">
        <v>8.67</v>
      </c>
      <c r="H2909">
        <v>-0.05</v>
      </c>
      <c r="I2909">
        <v>4.3600000000000003</v>
      </c>
      <c r="J2909">
        <v>19.009599999999999</v>
      </c>
      <c r="K2909" t="str">
        <f>IFERROR(INDEX(Rosters!$C$2:$C$155,MATCH($B2909,Rosters!$B$2:$B$155,0)),"NA")</f>
        <v>NA</v>
      </c>
      <c r="L2909" t="str">
        <f t="shared" si="135"/>
        <v>NA5WR</v>
      </c>
      <c r="M2909">
        <f>COUNTIF(L$1:L2909,L2909)</f>
        <v>26</v>
      </c>
      <c r="N2909" t="str">
        <f t="shared" si="136"/>
        <v>NA5WR-26</v>
      </c>
      <c r="O2909">
        <f>COUNTIFS(F$1:F2909,F2909,A$1:A2909,A2909)</f>
        <v>72</v>
      </c>
      <c r="P2909" t="str">
        <f t="shared" si="137"/>
        <v>Zay Jones5</v>
      </c>
    </row>
    <row r="2910" spans="1:16" x14ac:dyDescent="0.25">
      <c r="A2910">
        <v>1</v>
      </c>
      <c r="B2910" t="s">
        <v>4210</v>
      </c>
      <c r="C2910" t="s">
        <v>4211</v>
      </c>
      <c r="D2910">
        <v>4.3</v>
      </c>
      <c r="E2910" t="s">
        <v>17</v>
      </c>
      <c r="F2910" t="s">
        <v>87</v>
      </c>
      <c r="G2910">
        <v>8.58</v>
      </c>
      <c r="H2910">
        <v>0.02</v>
      </c>
      <c r="I2910">
        <v>4.28</v>
      </c>
      <c r="J2910">
        <v>18.3184</v>
      </c>
      <c r="K2910" t="str">
        <f>IFERROR(INDEX(Rosters!$C$2:$C$155,MATCH($B2910,Rosters!$B$2:$B$155,0)),"NA")</f>
        <v>NA</v>
      </c>
      <c r="L2910" t="str">
        <f t="shared" si="135"/>
        <v>NA1WR</v>
      </c>
      <c r="M2910">
        <f>COUNTIF(L$1:L2910,L2910)</f>
        <v>24</v>
      </c>
      <c r="N2910" t="str">
        <f t="shared" si="136"/>
        <v>NA1WR-24</v>
      </c>
      <c r="O2910">
        <f>COUNTIFS(F$1:F2910,F2910,A$1:A2910,A2910)</f>
        <v>70</v>
      </c>
      <c r="P2910" t="str">
        <f t="shared" si="137"/>
        <v>Austin Carr1</v>
      </c>
    </row>
    <row r="2911" spans="1:16" x14ac:dyDescent="0.25">
      <c r="A2911">
        <v>4</v>
      </c>
      <c r="B2911" t="s">
        <v>194</v>
      </c>
      <c r="C2911" t="s">
        <v>4557</v>
      </c>
      <c r="D2911">
        <v>4.3</v>
      </c>
      <c r="E2911" t="s">
        <v>31</v>
      </c>
      <c r="F2911" t="s">
        <v>87</v>
      </c>
      <c r="G2911">
        <v>7.09</v>
      </c>
      <c r="H2911">
        <v>1.51</v>
      </c>
      <c r="I2911">
        <v>2.79</v>
      </c>
      <c r="J2911">
        <v>7.7840999999999996</v>
      </c>
      <c r="K2911" t="str">
        <f>IFERROR(INDEX(Rosters!$C$2:$C$155,MATCH($B2911,Rosters!$B$2:$B$155,0)),"NA")</f>
        <v>NA</v>
      </c>
      <c r="L2911" t="str">
        <f t="shared" si="135"/>
        <v>NA4WR</v>
      </c>
      <c r="M2911">
        <f>COUNTIF(L$1:L2911,L2911)</f>
        <v>16</v>
      </c>
      <c r="N2911" t="str">
        <f t="shared" si="136"/>
        <v>NA4WR-16</v>
      </c>
      <c r="O2911">
        <f>COUNTIFS(F$1:F2911,F2911,A$1:A2911,A2911)</f>
        <v>63</v>
      </c>
      <c r="P2911" t="str">
        <f t="shared" si="137"/>
        <v>Mohamed Sanu4</v>
      </c>
    </row>
    <row r="2912" spans="1:16" x14ac:dyDescent="0.25">
      <c r="A2912">
        <v>17</v>
      </c>
      <c r="B2912" t="s">
        <v>1319</v>
      </c>
      <c r="C2912" t="s">
        <v>7780</v>
      </c>
      <c r="D2912">
        <v>4.3</v>
      </c>
      <c r="E2912" t="s">
        <v>46</v>
      </c>
      <c r="F2912" t="s">
        <v>47</v>
      </c>
      <c r="G2912">
        <v>8.0399999999999991</v>
      </c>
      <c r="H2912">
        <v>0.56000000000000005</v>
      </c>
      <c r="I2912">
        <v>3.74</v>
      </c>
      <c r="J2912">
        <v>13.9876</v>
      </c>
      <c r="K2912" t="str">
        <f>IFERROR(INDEX(Rosters!$C$2:$C$155,MATCH($B2912,Rosters!$B$2:$B$155,0)),"NA")</f>
        <v>NA</v>
      </c>
      <c r="L2912" t="str">
        <f t="shared" si="135"/>
        <v>NA17RB</v>
      </c>
      <c r="M2912">
        <f>COUNTIF(L$1:L2912,L2912)</f>
        <v>15</v>
      </c>
      <c r="N2912" t="str">
        <f t="shared" si="136"/>
        <v>NA17RB-15</v>
      </c>
      <c r="O2912">
        <f>COUNTIFS(F$1:F2912,F2912,A$1:A2912,A2912)</f>
        <v>60</v>
      </c>
      <c r="P2912" t="str">
        <f t="shared" si="137"/>
        <v>Ronald Jones17</v>
      </c>
    </row>
    <row r="2913" spans="1:16" x14ac:dyDescent="0.25">
      <c r="A2913">
        <v>15</v>
      </c>
      <c r="B2913" t="s">
        <v>223</v>
      </c>
      <c r="C2913" t="s">
        <v>7781</v>
      </c>
      <c r="D2913">
        <v>4.29</v>
      </c>
      <c r="E2913" t="s">
        <v>76</v>
      </c>
      <c r="F2913" t="s">
        <v>87</v>
      </c>
      <c r="G2913">
        <v>7.62</v>
      </c>
      <c r="H2913">
        <v>0.96</v>
      </c>
      <c r="I2913">
        <v>3.33</v>
      </c>
      <c r="J2913">
        <v>11.088900000000001</v>
      </c>
      <c r="K2913" t="str">
        <f>IFERROR(INDEX(Rosters!$C$2:$C$155,MATCH($B2913,Rosters!$B$2:$B$155,0)),"NA")</f>
        <v>NA</v>
      </c>
      <c r="L2913" t="str">
        <f t="shared" si="135"/>
        <v>NA15WR</v>
      </c>
      <c r="M2913">
        <f>COUNTIF(L$1:L2913,L2913)</f>
        <v>25</v>
      </c>
      <c r="N2913" t="str">
        <f t="shared" si="136"/>
        <v>NA15WR-25</v>
      </c>
      <c r="O2913">
        <f>COUNTIFS(F$1:F2913,F2913,A$1:A2913,A2913)</f>
        <v>75</v>
      </c>
      <c r="P2913" t="str">
        <f t="shared" si="137"/>
        <v>Paul Richardson15</v>
      </c>
    </row>
    <row r="2914" spans="1:16" x14ac:dyDescent="0.25">
      <c r="A2914">
        <v>7</v>
      </c>
      <c r="B2914" t="s">
        <v>197</v>
      </c>
      <c r="C2914" t="s">
        <v>7782</v>
      </c>
      <c r="D2914">
        <v>4.28</v>
      </c>
      <c r="E2914" t="s">
        <v>60</v>
      </c>
      <c r="F2914" t="s">
        <v>87</v>
      </c>
      <c r="G2914">
        <v>7.86</v>
      </c>
      <c r="H2914">
        <v>0.7</v>
      </c>
      <c r="I2914">
        <v>3.58</v>
      </c>
      <c r="J2914">
        <v>12.8164</v>
      </c>
      <c r="K2914" t="str">
        <f>IFERROR(INDEX(Rosters!$C$2:$C$155,MATCH($B2914,Rosters!$B$2:$B$155,0)),"NA")</f>
        <v>NA</v>
      </c>
      <c r="L2914" t="str">
        <f t="shared" si="135"/>
        <v>NA7WR</v>
      </c>
      <c r="M2914">
        <f>COUNTIF(L$1:L2914,L2914)</f>
        <v>24</v>
      </c>
      <c r="N2914" t="str">
        <f t="shared" si="136"/>
        <v>NA7WR-24</v>
      </c>
      <c r="O2914">
        <f>COUNTIFS(F$1:F2914,F2914,A$1:A2914,A2914)</f>
        <v>67</v>
      </c>
      <c r="P2914" t="str">
        <f t="shared" si="137"/>
        <v>Cole Beasley7</v>
      </c>
    </row>
    <row r="2915" spans="1:16" x14ac:dyDescent="0.25">
      <c r="A2915">
        <v>10</v>
      </c>
      <c r="B2915" t="s">
        <v>1408</v>
      </c>
      <c r="C2915" t="s">
        <v>7783</v>
      </c>
      <c r="D2915">
        <v>4.28</v>
      </c>
      <c r="E2915" t="s">
        <v>50</v>
      </c>
      <c r="F2915" t="s">
        <v>87</v>
      </c>
      <c r="G2915">
        <v>8.1999999999999993</v>
      </c>
      <c r="H2915">
        <v>0.36</v>
      </c>
      <c r="I2915">
        <v>3.92</v>
      </c>
      <c r="J2915">
        <v>15.366400000000001</v>
      </c>
      <c r="K2915" t="str">
        <f>IFERROR(INDEX(Rosters!$C$2:$C$155,MATCH($B2915,Rosters!$B$2:$B$155,0)),"NA")</f>
        <v>NA</v>
      </c>
      <c r="L2915" t="str">
        <f t="shared" si="135"/>
        <v>NA10WR</v>
      </c>
      <c r="M2915">
        <f>COUNTIF(L$1:L2915,L2915)</f>
        <v>21</v>
      </c>
      <c r="N2915" t="str">
        <f t="shared" si="136"/>
        <v>NA10WR-21</v>
      </c>
      <c r="O2915">
        <f>COUNTIFS(F$1:F2915,F2915,A$1:A2915,A2915)</f>
        <v>65</v>
      </c>
      <c r="P2915" t="str">
        <f t="shared" si="137"/>
        <v>Michael Gallup10</v>
      </c>
    </row>
    <row r="2916" spans="1:16" x14ac:dyDescent="0.25">
      <c r="A2916">
        <v>8</v>
      </c>
      <c r="B2916" t="s">
        <v>273</v>
      </c>
      <c r="C2916" t="s">
        <v>7784</v>
      </c>
      <c r="D2916">
        <v>4.2699999999999996</v>
      </c>
      <c r="E2916" t="s">
        <v>36</v>
      </c>
      <c r="F2916" t="s">
        <v>87</v>
      </c>
      <c r="G2916">
        <v>7.34</v>
      </c>
      <c r="H2916">
        <v>1.2</v>
      </c>
      <c r="I2916">
        <v>3.07</v>
      </c>
      <c r="J2916">
        <v>9.4248999999999992</v>
      </c>
      <c r="K2916" t="str">
        <f>IFERROR(INDEX(Rosters!$C$2:$C$155,MATCH($B2916,Rosters!$B$2:$B$155,0)),"NA")</f>
        <v>NA</v>
      </c>
      <c r="L2916" t="str">
        <f t="shared" si="135"/>
        <v>NA8WR</v>
      </c>
      <c r="M2916">
        <f>COUNTIF(L$1:L2916,L2916)</f>
        <v>20</v>
      </c>
      <c r="N2916" t="str">
        <f t="shared" si="136"/>
        <v>NA8WR-20</v>
      </c>
      <c r="O2916">
        <f>COUNTIFS(F$1:F2916,F2916,A$1:A2916,A2916)</f>
        <v>66</v>
      </c>
      <c r="P2916" t="str">
        <f t="shared" si="137"/>
        <v>Albert Wilson8</v>
      </c>
    </row>
    <row r="2917" spans="1:16" x14ac:dyDescent="0.25">
      <c r="A2917">
        <v>8</v>
      </c>
      <c r="B2917" t="s">
        <v>1432</v>
      </c>
      <c r="C2917" t="s">
        <v>7785</v>
      </c>
      <c r="D2917">
        <v>4.2699999999999996</v>
      </c>
      <c r="E2917" t="s">
        <v>30</v>
      </c>
      <c r="F2917" t="s">
        <v>47</v>
      </c>
      <c r="G2917">
        <v>7.42</v>
      </c>
      <c r="H2917">
        <v>1.1200000000000001</v>
      </c>
      <c r="I2917">
        <v>3.15</v>
      </c>
      <c r="J2917">
        <v>9.9224999999999994</v>
      </c>
      <c r="K2917" t="str">
        <f>IFERROR(INDEX(Rosters!$C$2:$C$155,MATCH($B2917,Rosters!$B$2:$B$155,0)),"NA")</f>
        <v>NA</v>
      </c>
      <c r="L2917" t="str">
        <f t="shared" si="135"/>
        <v>NA8RB</v>
      </c>
      <c r="M2917">
        <f>COUNTIF(L$1:L2917,L2917)</f>
        <v>16</v>
      </c>
      <c r="N2917" t="str">
        <f t="shared" si="136"/>
        <v>NA8RB-16</v>
      </c>
      <c r="O2917">
        <f>COUNTIFS(F$1:F2917,F2917,A$1:A2917,A2917)</f>
        <v>55</v>
      </c>
      <c r="P2917" t="str">
        <f t="shared" si="137"/>
        <v>Chase Edmonds8</v>
      </c>
    </row>
    <row r="2918" spans="1:16" x14ac:dyDescent="0.25">
      <c r="A2918">
        <v>11</v>
      </c>
      <c r="B2918" t="s">
        <v>1396</v>
      </c>
      <c r="C2918" t="s">
        <v>4558</v>
      </c>
      <c r="D2918">
        <v>4.2699999999999996</v>
      </c>
      <c r="E2918" t="s">
        <v>54</v>
      </c>
      <c r="F2918" t="s">
        <v>87</v>
      </c>
      <c r="G2918">
        <v>8.2899999999999991</v>
      </c>
      <c r="H2918">
        <v>0.25</v>
      </c>
      <c r="I2918">
        <v>4.0199999999999996</v>
      </c>
      <c r="J2918">
        <v>16.160399999999999</v>
      </c>
      <c r="K2918" t="str">
        <f>IFERROR(INDEX(Rosters!$C$2:$C$155,MATCH($B2918,Rosters!$B$2:$B$155,0)),"NA")</f>
        <v>NA</v>
      </c>
      <c r="L2918" t="str">
        <f t="shared" si="135"/>
        <v>NA11WR</v>
      </c>
      <c r="M2918">
        <f>COUNTIF(L$1:L2918,L2918)</f>
        <v>15</v>
      </c>
      <c r="N2918" t="str">
        <f t="shared" si="136"/>
        <v>NA11WR-15</v>
      </c>
      <c r="O2918">
        <f>COUNTIFS(F$1:F2918,F2918,A$1:A2918,A2918)</f>
        <v>60</v>
      </c>
      <c r="P2918" t="str">
        <f t="shared" si="137"/>
        <v>Chris Godwin11</v>
      </c>
    </row>
    <row r="2919" spans="1:16" x14ac:dyDescent="0.25">
      <c r="A2919">
        <v>2</v>
      </c>
      <c r="B2919" t="s">
        <v>227</v>
      </c>
      <c r="C2919" t="s">
        <v>1438</v>
      </c>
      <c r="D2919">
        <v>4.2699999999999996</v>
      </c>
      <c r="E2919" t="s">
        <v>73</v>
      </c>
      <c r="F2919" t="s">
        <v>87</v>
      </c>
      <c r="G2919">
        <v>8.33</v>
      </c>
      <c r="H2919">
        <v>0.21</v>
      </c>
      <c r="I2919">
        <v>4.0599999999999996</v>
      </c>
      <c r="J2919">
        <v>16.483599999999999</v>
      </c>
      <c r="K2919" t="str">
        <f>IFERROR(INDEX(Rosters!$C$2:$C$155,MATCH($B2919,Rosters!$B$2:$B$155,0)),"NA")</f>
        <v>NA</v>
      </c>
      <c r="L2919" t="str">
        <f t="shared" si="135"/>
        <v>NA2WR</v>
      </c>
      <c r="M2919">
        <f>COUNTIF(L$1:L2919,L2919)</f>
        <v>21</v>
      </c>
      <c r="N2919" t="str">
        <f t="shared" si="136"/>
        <v>NA2WR-21</v>
      </c>
      <c r="O2919">
        <f>COUNTIFS(F$1:F2919,F2919,A$1:A2919,A2919)</f>
        <v>67</v>
      </c>
      <c r="P2919" t="str">
        <f t="shared" si="137"/>
        <v>Danny Amendola2</v>
      </c>
    </row>
    <row r="2920" spans="1:16" x14ac:dyDescent="0.25">
      <c r="A2920">
        <v>17</v>
      </c>
      <c r="B2920" t="s">
        <v>1122</v>
      </c>
      <c r="C2920" t="s">
        <v>7786</v>
      </c>
      <c r="D2920">
        <v>4.2699999999999996</v>
      </c>
      <c r="E2920" t="s">
        <v>60</v>
      </c>
      <c r="F2920" t="s">
        <v>47</v>
      </c>
      <c r="G2920">
        <v>8.16</v>
      </c>
      <c r="H2920">
        <v>0.38</v>
      </c>
      <c r="I2920">
        <v>3.89</v>
      </c>
      <c r="J2920">
        <v>15.132099999999999</v>
      </c>
      <c r="K2920" t="str">
        <f>IFERROR(INDEX(Rosters!$C$2:$C$155,MATCH($B2920,Rosters!$B$2:$B$155,0)),"NA")</f>
        <v>NA</v>
      </c>
      <c r="L2920" t="str">
        <f t="shared" si="135"/>
        <v>NA17RB</v>
      </c>
      <c r="M2920">
        <f>COUNTIF(L$1:L2920,L2920)</f>
        <v>16</v>
      </c>
      <c r="N2920" t="str">
        <f t="shared" si="136"/>
        <v>NA17RB-16</v>
      </c>
      <c r="O2920">
        <f>COUNTIFS(F$1:F2920,F2920,A$1:A2920,A2920)</f>
        <v>61</v>
      </c>
      <c r="P2920" t="str">
        <f t="shared" si="137"/>
        <v>Darren Sproles17</v>
      </c>
    </row>
    <row r="2921" spans="1:16" x14ac:dyDescent="0.25">
      <c r="A2921">
        <v>2</v>
      </c>
      <c r="B2921" t="s">
        <v>1439</v>
      </c>
      <c r="C2921">
        <f>-0.34-8.88</f>
        <v>-9.2200000000000006</v>
      </c>
      <c r="D2921">
        <v>4.2699999999999996</v>
      </c>
      <c r="E2921" t="s">
        <v>24</v>
      </c>
      <c r="F2921" t="s">
        <v>87</v>
      </c>
      <c r="G2921">
        <v>8.8800000000000008</v>
      </c>
      <c r="H2921">
        <v>-0.34</v>
      </c>
      <c r="I2921">
        <v>4.6100000000000003</v>
      </c>
      <c r="J2921">
        <v>21.252099999999999</v>
      </c>
      <c r="K2921" t="str">
        <f>IFERROR(INDEX(Rosters!$C$2:$C$155,MATCH($B2921,Rosters!$B$2:$B$155,0)),"NA")</f>
        <v>NA</v>
      </c>
      <c r="L2921" t="str">
        <f t="shared" si="135"/>
        <v>NA2WR</v>
      </c>
      <c r="M2921">
        <f>COUNTIF(L$1:L2921,L2921)</f>
        <v>22</v>
      </c>
      <c r="N2921" t="str">
        <f t="shared" si="136"/>
        <v>NA2WR-22</v>
      </c>
      <c r="O2921">
        <f>COUNTIFS(F$1:F2921,F2921,A$1:A2921,A2921)</f>
        <v>68</v>
      </c>
      <c r="P2921" t="str">
        <f t="shared" si="137"/>
        <v>James Washington2</v>
      </c>
    </row>
    <row r="2922" spans="1:16" x14ac:dyDescent="0.25">
      <c r="A2922">
        <v>10</v>
      </c>
      <c r="B2922" t="s">
        <v>156</v>
      </c>
      <c r="C2922" t="s">
        <v>7787</v>
      </c>
      <c r="D2922">
        <v>4.2699999999999996</v>
      </c>
      <c r="E2922" t="s">
        <v>37</v>
      </c>
      <c r="F2922" t="s">
        <v>87</v>
      </c>
      <c r="G2922">
        <v>7.2</v>
      </c>
      <c r="H2922">
        <v>1.34</v>
      </c>
      <c r="I2922">
        <v>2.93</v>
      </c>
      <c r="J2922">
        <v>8.5848999999999993</v>
      </c>
      <c r="K2922" t="str">
        <f>IFERROR(INDEX(Rosters!$C$2:$C$155,MATCH($B2922,Rosters!$B$2:$B$155,0)),"NA")</f>
        <v>NA</v>
      </c>
      <c r="L2922" t="str">
        <f t="shared" si="135"/>
        <v>NA10WR</v>
      </c>
      <c r="M2922">
        <f>COUNTIF(L$1:L2922,L2922)</f>
        <v>22</v>
      </c>
      <c r="N2922" t="str">
        <f t="shared" si="136"/>
        <v>NA10WR-22</v>
      </c>
      <c r="O2922">
        <f>COUNTIFS(F$1:F2922,F2922,A$1:A2922,A2922)</f>
        <v>66</v>
      </c>
      <c r="P2922" t="str">
        <f t="shared" si="137"/>
        <v>Martavis Bryant10</v>
      </c>
    </row>
    <row r="2923" spans="1:16" x14ac:dyDescent="0.25">
      <c r="A2923">
        <v>3</v>
      </c>
      <c r="B2923" t="s">
        <v>143</v>
      </c>
      <c r="C2923">
        <f>-0.79-9.33</f>
        <v>-10.120000000000001</v>
      </c>
      <c r="D2923">
        <v>4.2699999999999996</v>
      </c>
      <c r="E2923" t="s">
        <v>52</v>
      </c>
      <c r="F2923" t="s">
        <v>87</v>
      </c>
      <c r="G2923">
        <v>9.33</v>
      </c>
      <c r="H2923">
        <v>-0.79</v>
      </c>
      <c r="I2923">
        <v>5.0599999999999996</v>
      </c>
      <c r="J2923">
        <v>25.6036</v>
      </c>
      <c r="K2923" t="str">
        <f>IFERROR(INDEX(Rosters!$C$2:$C$155,MATCH($B2923,Rosters!$B$2:$B$155,0)),"NA")</f>
        <v>NA</v>
      </c>
      <c r="L2923" t="str">
        <f t="shared" si="135"/>
        <v>NA3WR</v>
      </c>
      <c r="M2923">
        <f>COUNTIF(L$1:L2923,L2923)</f>
        <v>21</v>
      </c>
      <c r="N2923" t="str">
        <f t="shared" si="136"/>
        <v>NA3WR-21</v>
      </c>
      <c r="O2923">
        <f>COUNTIFS(F$1:F2923,F2923,A$1:A2923,A2923)</f>
        <v>67</v>
      </c>
      <c r="P2923" t="str">
        <f t="shared" si="137"/>
        <v>Terrelle Pryor Sr.3</v>
      </c>
    </row>
    <row r="2924" spans="1:16" x14ac:dyDescent="0.25">
      <c r="A2924">
        <v>11</v>
      </c>
      <c r="B2924" t="s">
        <v>1489</v>
      </c>
      <c r="C2924">
        <f>-1.83-10.35</f>
        <v>-12.18</v>
      </c>
      <c r="D2924">
        <v>4.26</v>
      </c>
      <c r="E2924" t="s">
        <v>32</v>
      </c>
      <c r="F2924" t="s">
        <v>87</v>
      </c>
      <c r="G2924">
        <v>10.35</v>
      </c>
      <c r="H2924">
        <v>-1.83</v>
      </c>
      <c r="I2924">
        <v>6.09</v>
      </c>
      <c r="J2924">
        <v>37.088099999999997</v>
      </c>
      <c r="K2924" t="str">
        <f>IFERROR(INDEX(Rosters!$C$2:$C$155,MATCH($B2924,Rosters!$B$2:$B$155,0)),"NA")</f>
        <v>NA</v>
      </c>
      <c r="L2924" t="str">
        <f t="shared" si="135"/>
        <v>NA11WR</v>
      </c>
      <c r="M2924">
        <f>COUNTIF(L$1:L2924,L2924)</f>
        <v>16</v>
      </c>
      <c r="N2924" t="str">
        <f t="shared" si="136"/>
        <v>NA11WR-16</v>
      </c>
      <c r="O2924">
        <f>COUNTIFS(F$1:F2924,F2924,A$1:A2924,A2924)</f>
        <v>61</v>
      </c>
      <c r="P2924" t="str">
        <f t="shared" si="137"/>
        <v>Chad Williams11</v>
      </c>
    </row>
    <row r="2925" spans="1:16" x14ac:dyDescent="0.25">
      <c r="A2925">
        <v>14</v>
      </c>
      <c r="B2925" t="s">
        <v>1387</v>
      </c>
      <c r="C2925" t="s">
        <v>7788</v>
      </c>
      <c r="D2925">
        <v>4.26</v>
      </c>
      <c r="E2925" t="s">
        <v>22</v>
      </c>
      <c r="F2925" t="s">
        <v>47</v>
      </c>
      <c r="G2925">
        <v>8.11</v>
      </c>
      <c r="H2925">
        <v>0.41</v>
      </c>
      <c r="I2925">
        <v>3.85</v>
      </c>
      <c r="J2925">
        <v>14.8225</v>
      </c>
      <c r="K2925" t="str">
        <f>IFERROR(INDEX(Rosters!$C$2:$C$155,MATCH($B2925,Rosters!$B$2:$B$155,0)),"NA")</f>
        <v>NA</v>
      </c>
      <c r="L2925" t="str">
        <f t="shared" si="135"/>
        <v>NA14RB</v>
      </c>
      <c r="M2925">
        <f>COUNTIF(L$1:L2925,L2925)</f>
        <v>15</v>
      </c>
      <c r="N2925" t="str">
        <f t="shared" si="136"/>
        <v>NA14RB-15</v>
      </c>
      <c r="O2925">
        <f>COUNTIFS(F$1:F2925,F2925,A$1:A2925,A2925)</f>
        <v>61</v>
      </c>
      <c r="P2925" t="str">
        <f t="shared" si="137"/>
        <v>Corey Clement14</v>
      </c>
    </row>
    <row r="2926" spans="1:16" x14ac:dyDescent="0.25">
      <c r="A2926">
        <v>17</v>
      </c>
      <c r="B2926" t="s">
        <v>183</v>
      </c>
      <c r="C2926" t="s">
        <v>7789</v>
      </c>
      <c r="D2926">
        <v>4.26</v>
      </c>
      <c r="E2926" t="s">
        <v>77</v>
      </c>
      <c r="F2926" t="s">
        <v>47</v>
      </c>
      <c r="G2926">
        <v>7.41</v>
      </c>
      <c r="H2926">
        <v>1.1100000000000001</v>
      </c>
      <c r="I2926">
        <v>3.15</v>
      </c>
      <c r="J2926">
        <v>9.9224999999999994</v>
      </c>
      <c r="K2926" t="str">
        <f>IFERROR(INDEX(Rosters!$C$2:$C$155,MATCH($B2926,Rosters!$B$2:$B$155,0)),"NA")</f>
        <v>NA</v>
      </c>
      <c r="L2926" t="str">
        <f t="shared" si="135"/>
        <v>NA17RB</v>
      </c>
      <c r="M2926">
        <f>COUNTIF(L$1:L2926,L2926)</f>
        <v>17</v>
      </c>
      <c r="N2926" t="str">
        <f t="shared" si="136"/>
        <v>NA17RB-17</v>
      </c>
      <c r="O2926">
        <f>COUNTIFS(F$1:F2926,F2926,A$1:A2926,A2926)</f>
        <v>62</v>
      </c>
      <c r="P2926" t="str">
        <f t="shared" si="137"/>
        <v>Duke Johnson Jr.17</v>
      </c>
    </row>
    <row r="2927" spans="1:16" x14ac:dyDescent="0.25">
      <c r="A2927">
        <v>17</v>
      </c>
      <c r="B2927" t="s">
        <v>143</v>
      </c>
      <c r="C2927">
        <f>-0.11-8.63</f>
        <v>-8.74</v>
      </c>
      <c r="D2927">
        <v>4.26</v>
      </c>
      <c r="E2927" t="s">
        <v>423</v>
      </c>
      <c r="F2927" t="s">
        <v>87</v>
      </c>
      <c r="G2927">
        <v>8.6300000000000008</v>
      </c>
      <c r="H2927">
        <v>-0.11</v>
      </c>
      <c r="I2927">
        <v>4.37</v>
      </c>
      <c r="J2927">
        <v>19.096900000000002</v>
      </c>
      <c r="K2927" t="str">
        <f>IFERROR(INDEX(Rosters!$C$2:$C$155,MATCH($B2927,Rosters!$B$2:$B$155,0)),"NA")</f>
        <v>NA</v>
      </c>
      <c r="L2927" t="str">
        <f t="shared" si="135"/>
        <v>NA17WR</v>
      </c>
      <c r="M2927">
        <f>COUNTIF(L$1:L2927,L2927)</f>
        <v>24</v>
      </c>
      <c r="N2927" t="str">
        <f t="shared" si="136"/>
        <v>NA17WR-24</v>
      </c>
      <c r="O2927">
        <f>COUNTIFS(F$1:F2927,F2927,A$1:A2927,A2927)</f>
        <v>76</v>
      </c>
      <c r="P2927" t="str">
        <f t="shared" si="137"/>
        <v>Terrelle Pryor Sr.17</v>
      </c>
    </row>
    <row r="2928" spans="1:16" x14ac:dyDescent="0.25">
      <c r="A2928">
        <v>6</v>
      </c>
      <c r="B2928" t="s">
        <v>167</v>
      </c>
      <c r="C2928" t="s">
        <v>7790</v>
      </c>
      <c r="D2928">
        <v>4.25</v>
      </c>
      <c r="E2928" t="s">
        <v>32</v>
      </c>
      <c r="F2928" t="s">
        <v>87</v>
      </c>
      <c r="G2928">
        <v>7.84</v>
      </c>
      <c r="H2928">
        <v>0.66</v>
      </c>
      <c r="I2928">
        <v>3.59</v>
      </c>
      <c r="J2928">
        <v>12.8881</v>
      </c>
      <c r="K2928" t="str">
        <f>IFERROR(INDEX(Rosters!$C$2:$C$155,MATCH($B2928,Rosters!$B$2:$B$155,0)),"NA")</f>
        <v>NA</v>
      </c>
      <c r="L2928" t="str">
        <f t="shared" si="135"/>
        <v>NA6WR</v>
      </c>
      <c r="M2928">
        <f>COUNTIF(L$1:L2928,L2928)</f>
        <v>23</v>
      </c>
      <c r="N2928" t="str">
        <f t="shared" si="136"/>
        <v>NA6WR-23</v>
      </c>
      <c r="O2928">
        <f>COUNTIFS(F$1:F2928,F2928,A$1:A2928,A2928)</f>
        <v>70</v>
      </c>
      <c r="P2928" t="str">
        <f t="shared" si="137"/>
        <v>Brandon Marshall6</v>
      </c>
    </row>
    <row r="2929" spans="1:16" x14ac:dyDescent="0.25">
      <c r="A2929">
        <v>1</v>
      </c>
      <c r="B2929" t="s">
        <v>217</v>
      </c>
      <c r="C2929" t="s">
        <v>1440</v>
      </c>
      <c r="D2929">
        <v>4.25</v>
      </c>
      <c r="E2929" t="s">
        <v>77</v>
      </c>
      <c r="F2929" t="s">
        <v>114</v>
      </c>
      <c r="G2929">
        <v>7.77</v>
      </c>
      <c r="H2929">
        <v>0.73</v>
      </c>
      <c r="I2929">
        <v>3.52</v>
      </c>
      <c r="J2929">
        <v>12.3904</v>
      </c>
      <c r="K2929" t="str">
        <f>IFERROR(INDEX(Rosters!$C$2:$C$155,MATCH($B2929,Rosters!$B$2:$B$155,0)),"NA")</f>
        <v>NA</v>
      </c>
      <c r="L2929" t="str">
        <f t="shared" si="135"/>
        <v>NA1TE</v>
      </c>
      <c r="M2929">
        <f>COUNTIF(L$1:L2929,L2929)</f>
        <v>9</v>
      </c>
      <c r="N2929" t="str">
        <f t="shared" si="136"/>
        <v>NA1TE-9</v>
      </c>
      <c r="O2929">
        <f>COUNTIFS(F$1:F2929,F2929,A$1:A2929,A2929)</f>
        <v>19</v>
      </c>
      <c r="P2929" t="str">
        <f t="shared" si="137"/>
        <v>Charles Clay1</v>
      </c>
    </row>
    <row r="2930" spans="1:16" x14ac:dyDescent="0.25">
      <c r="A2930">
        <v>15</v>
      </c>
      <c r="B2930" t="s">
        <v>163</v>
      </c>
      <c r="C2930" t="s">
        <v>7791</v>
      </c>
      <c r="D2930">
        <v>4.25</v>
      </c>
      <c r="E2930" t="s">
        <v>77</v>
      </c>
      <c r="F2930" t="s">
        <v>87</v>
      </c>
      <c r="G2930">
        <v>7.85</v>
      </c>
      <c r="H2930">
        <v>0.65</v>
      </c>
      <c r="I2930">
        <v>3.6</v>
      </c>
      <c r="J2930">
        <v>12.96</v>
      </c>
      <c r="K2930" t="str">
        <f>IFERROR(INDEX(Rosters!$C$2:$C$155,MATCH($B2930,Rosters!$B$2:$B$155,0)),"NA")</f>
        <v>scott</v>
      </c>
      <c r="L2930" t="str">
        <f t="shared" si="135"/>
        <v>scott15WR</v>
      </c>
      <c r="M2930">
        <f>COUNTIF(L$1:L2930,L2930)</f>
        <v>6</v>
      </c>
      <c r="N2930" t="str">
        <f t="shared" si="136"/>
        <v>scott15WR-6</v>
      </c>
      <c r="O2930">
        <f>COUNTIFS(F$1:F2930,F2930,A$1:A2930,A2930)</f>
        <v>76</v>
      </c>
      <c r="P2930" t="str">
        <f t="shared" si="137"/>
        <v>DeSean Jackson15</v>
      </c>
    </row>
    <row r="2931" spans="1:16" x14ac:dyDescent="0.25">
      <c r="A2931">
        <v>16</v>
      </c>
      <c r="B2931" t="s">
        <v>1366</v>
      </c>
      <c r="C2931" t="s">
        <v>7792</v>
      </c>
      <c r="D2931">
        <v>4.25</v>
      </c>
      <c r="E2931" t="s">
        <v>31</v>
      </c>
      <c r="F2931" t="s">
        <v>47</v>
      </c>
      <c r="G2931">
        <v>8.4</v>
      </c>
      <c r="H2931">
        <v>0.1</v>
      </c>
      <c r="I2931">
        <v>4.1500000000000004</v>
      </c>
      <c r="J2931">
        <v>17.2225</v>
      </c>
      <c r="K2931" t="str">
        <f>IFERROR(INDEX(Rosters!$C$2:$C$155,MATCH($B2931,Rosters!$B$2:$B$155,0)),"NA")</f>
        <v>NA</v>
      </c>
      <c r="L2931" t="str">
        <f t="shared" si="135"/>
        <v>NA16RB</v>
      </c>
      <c r="M2931">
        <f>COUNTIF(L$1:L2931,L2931)</f>
        <v>17</v>
      </c>
      <c r="N2931" t="str">
        <f t="shared" si="136"/>
        <v>NA16RB-17</v>
      </c>
      <c r="O2931">
        <f>COUNTIFS(F$1:F2931,F2931,A$1:A2931,A2931)</f>
        <v>62</v>
      </c>
      <c r="P2931" t="str">
        <f t="shared" si="137"/>
        <v>Nick Chubb16</v>
      </c>
    </row>
    <row r="2932" spans="1:16" x14ac:dyDescent="0.25">
      <c r="A2932">
        <v>1</v>
      </c>
      <c r="B2932" t="s">
        <v>1404</v>
      </c>
      <c r="C2932" t="s">
        <v>1441</v>
      </c>
      <c r="D2932">
        <v>4.25</v>
      </c>
      <c r="E2932" t="s">
        <v>37</v>
      </c>
      <c r="F2932" t="s">
        <v>47</v>
      </c>
      <c r="G2932">
        <v>8.07</v>
      </c>
      <c r="H2932">
        <v>0.43</v>
      </c>
      <c r="I2932">
        <v>3.82</v>
      </c>
      <c r="J2932">
        <v>14.5924</v>
      </c>
      <c r="K2932" t="str">
        <f>IFERROR(INDEX(Rosters!$C$2:$C$155,MATCH($B2932,Rosters!$B$2:$B$155,0)),"NA")</f>
        <v>NA</v>
      </c>
      <c r="L2932" t="str">
        <f t="shared" si="135"/>
        <v>NA1RB</v>
      </c>
      <c r="M2932">
        <f>COUNTIF(L$1:L2932,L2932)</f>
        <v>15</v>
      </c>
      <c r="N2932" t="str">
        <f t="shared" si="136"/>
        <v>NA1RB-15</v>
      </c>
      <c r="O2932">
        <f>COUNTIFS(F$1:F2932,F2932,A$1:A2932,A2932)</f>
        <v>54</v>
      </c>
      <c r="P2932" t="str">
        <f t="shared" si="137"/>
        <v>Spencer Ware1</v>
      </c>
    </row>
    <row r="2933" spans="1:16" x14ac:dyDescent="0.25">
      <c r="A2933">
        <v>17</v>
      </c>
      <c r="B2933" t="s">
        <v>1377</v>
      </c>
      <c r="C2933" t="s">
        <v>7793</v>
      </c>
      <c r="D2933">
        <v>4.24</v>
      </c>
      <c r="E2933" t="s">
        <v>25</v>
      </c>
      <c r="F2933" t="s">
        <v>87</v>
      </c>
      <c r="G2933">
        <v>7.53</v>
      </c>
      <c r="H2933">
        <v>0.95</v>
      </c>
      <c r="I2933">
        <v>3.29</v>
      </c>
      <c r="J2933">
        <v>10.8241</v>
      </c>
      <c r="K2933" t="str">
        <f>IFERROR(INDEX(Rosters!$C$2:$C$155,MATCH($B2933,Rosters!$B$2:$B$155,0)),"NA")</f>
        <v>NA</v>
      </c>
      <c r="L2933" t="str">
        <f t="shared" si="135"/>
        <v>NA17WR</v>
      </c>
      <c r="M2933">
        <f>COUNTIF(L$1:L2933,L2933)</f>
        <v>25</v>
      </c>
      <c r="N2933" t="str">
        <f t="shared" si="136"/>
        <v>NA17WR-25</v>
      </c>
      <c r="O2933">
        <f>COUNTIFS(F$1:F2933,F2933,A$1:A2933,A2933)</f>
        <v>77</v>
      </c>
      <c r="P2933" t="str">
        <f t="shared" si="137"/>
        <v>Anthony Miller17</v>
      </c>
    </row>
    <row r="2934" spans="1:16" x14ac:dyDescent="0.25">
      <c r="A2934">
        <v>12</v>
      </c>
      <c r="B2934" t="s">
        <v>217</v>
      </c>
      <c r="C2934" t="s">
        <v>7794</v>
      </c>
      <c r="D2934">
        <v>4.24</v>
      </c>
      <c r="E2934" t="s">
        <v>76</v>
      </c>
      <c r="F2934" t="s">
        <v>114</v>
      </c>
      <c r="G2934">
        <v>7.85</v>
      </c>
      <c r="H2934">
        <v>0.63</v>
      </c>
      <c r="I2934">
        <v>3.61</v>
      </c>
      <c r="J2934">
        <v>13.0321</v>
      </c>
      <c r="K2934" t="str">
        <f>IFERROR(INDEX(Rosters!$C$2:$C$155,MATCH($B2934,Rosters!$B$2:$B$155,0)),"NA")</f>
        <v>NA</v>
      </c>
      <c r="L2934" t="str">
        <f t="shared" si="135"/>
        <v>NA12TE</v>
      </c>
      <c r="M2934">
        <f>COUNTIF(L$1:L2934,L2934)</f>
        <v>8</v>
      </c>
      <c r="N2934" t="str">
        <f t="shared" si="136"/>
        <v>NA12TE-8</v>
      </c>
      <c r="O2934">
        <f>COUNTIFS(F$1:F2934,F2934,A$1:A2934,A2934)</f>
        <v>19</v>
      </c>
      <c r="P2934" t="str">
        <f t="shared" si="137"/>
        <v>Charles Clay12</v>
      </c>
    </row>
    <row r="2935" spans="1:16" x14ac:dyDescent="0.25">
      <c r="A2935">
        <v>2</v>
      </c>
      <c r="B2935" t="s">
        <v>178</v>
      </c>
      <c r="C2935" t="s">
        <v>1790</v>
      </c>
      <c r="D2935">
        <v>4.24</v>
      </c>
      <c r="E2935" t="s">
        <v>60</v>
      </c>
      <c r="F2935" t="s">
        <v>114</v>
      </c>
      <c r="G2935">
        <v>8.39</v>
      </c>
      <c r="H2935">
        <v>0.09</v>
      </c>
      <c r="I2935">
        <v>4.1500000000000004</v>
      </c>
      <c r="J2935">
        <v>17.2225</v>
      </c>
      <c r="K2935" t="str">
        <f>IFERROR(INDEX(Rosters!$C$2:$C$155,MATCH($B2935,Rosters!$B$2:$B$155,0)),"NA")</f>
        <v>devon</v>
      </c>
      <c r="L2935" t="str">
        <f t="shared" si="135"/>
        <v>devon2TE</v>
      </c>
      <c r="M2935">
        <f>COUNTIF(L$1:L2935,L2935)</f>
        <v>2</v>
      </c>
      <c r="N2935" t="str">
        <f t="shared" si="136"/>
        <v>devon2TE-2</v>
      </c>
      <c r="O2935">
        <f>COUNTIFS(F$1:F2935,F2935,A$1:A2935,A2935)</f>
        <v>19</v>
      </c>
      <c r="P2935" t="str">
        <f t="shared" si="137"/>
        <v>Eric Ebron2</v>
      </c>
    </row>
    <row r="2936" spans="1:16" x14ac:dyDescent="0.25">
      <c r="A2936">
        <v>9</v>
      </c>
      <c r="B2936" t="s">
        <v>156</v>
      </c>
      <c r="C2936" t="s">
        <v>7795</v>
      </c>
      <c r="D2936">
        <v>4.24</v>
      </c>
      <c r="E2936" t="s">
        <v>30</v>
      </c>
      <c r="F2936" t="s">
        <v>87</v>
      </c>
      <c r="G2936">
        <v>7.09</v>
      </c>
      <c r="H2936">
        <v>1.39</v>
      </c>
      <c r="I2936">
        <v>2.85</v>
      </c>
      <c r="J2936">
        <v>8.1225000000000005</v>
      </c>
      <c r="K2936" t="str">
        <f>IFERROR(INDEX(Rosters!$C$2:$C$155,MATCH($B2936,Rosters!$B$2:$B$155,0)),"NA")</f>
        <v>NA</v>
      </c>
      <c r="L2936" t="str">
        <f t="shared" si="135"/>
        <v>NA9WR</v>
      </c>
      <c r="M2936">
        <f>COUNTIF(L$1:L2936,L2936)</f>
        <v>18</v>
      </c>
      <c r="N2936" t="str">
        <f t="shared" si="136"/>
        <v>NA9WR-18</v>
      </c>
      <c r="O2936">
        <f>COUNTIFS(F$1:F2936,F2936,A$1:A2936,A2936)</f>
        <v>60</v>
      </c>
      <c r="P2936" t="str">
        <f t="shared" si="137"/>
        <v>Martavis Bryant9</v>
      </c>
    </row>
    <row r="2937" spans="1:16" x14ac:dyDescent="0.25">
      <c r="A2937">
        <v>11</v>
      </c>
      <c r="B2937" t="s">
        <v>156</v>
      </c>
      <c r="C2937" t="s">
        <v>7796</v>
      </c>
      <c r="D2937">
        <v>4.24</v>
      </c>
      <c r="E2937" t="s">
        <v>58</v>
      </c>
      <c r="F2937" t="s">
        <v>87</v>
      </c>
      <c r="G2937">
        <v>7.18</v>
      </c>
      <c r="H2937">
        <v>1.3</v>
      </c>
      <c r="I2937">
        <v>2.94</v>
      </c>
      <c r="J2937">
        <v>8.6435999999999993</v>
      </c>
      <c r="K2937" t="str">
        <f>IFERROR(INDEX(Rosters!$C$2:$C$155,MATCH($B2937,Rosters!$B$2:$B$155,0)),"NA")</f>
        <v>NA</v>
      </c>
      <c r="L2937" t="str">
        <f t="shared" si="135"/>
        <v>NA11WR</v>
      </c>
      <c r="M2937">
        <f>COUNTIF(L$1:L2937,L2937)</f>
        <v>17</v>
      </c>
      <c r="N2937" t="str">
        <f t="shared" si="136"/>
        <v>NA11WR-17</v>
      </c>
      <c r="O2937">
        <f>COUNTIFS(F$1:F2937,F2937,A$1:A2937,A2937)</f>
        <v>62</v>
      </c>
      <c r="P2937" t="str">
        <f t="shared" si="137"/>
        <v>Martavis Bryant11</v>
      </c>
    </row>
    <row r="2938" spans="1:16" x14ac:dyDescent="0.25">
      <c r="A2938">
        <v>12</v>
      </c>
      <c r="B2938" t="s">
        <v>1511</v>
      </c>
      <c r="C2938" t="s">
        <v>7797</v>
      </c>
      <c r="D2938">
        <v>4.24</v>
      </c>
      <c r="E2938" t="s">
        <v>36</v>
      </c>
      <c r="F2938" t="s">
        <v>87</v>
      </c>
      <c r="G2938">
        <v>7.71</v>
      </c>
      <c r="H2938">
        <v>0.77</v>
      </c>
      <c r="I2938">
        <v>3.47</v>
      </c>
      <c r="J2938">
        <v>12.040900000000001</v>
      </c>
      <c r="K2938" t="str">
        <f>IFERROR(INDEX(Rosters!$C$2:$C$155,MATCH($B2938,Rosters!$B$2:$B$155,0)),"NA")</f>
        <v>NA</v>
      </c>
      <c r="L2938" t="str">
        <f t="shared" si="135"/>
        <v>NA12WR</v>
      </c>
      <c r="M2938">
        <f>COUNTIF(L$1:L2938,L2938)</f>
        <v>23</v>
      </c>
      <c r="N2938" t="str">
        <f t="shared" si="136"/>
        <v>NA12WR-23</v>
      </c>
      <c r="O2938">
        <f>COUNTIFS(F$1:F2938,F2938,A$1:A2938,A2938)</f>
        <v>70</v>
      </c>
      <c r="P2938" t="str">
        <f t="shared" si="137"/>
        <v>Tajae Sharpe12</v>
      </c>
    </row>
    <row r="2939" spans="1:16" x14ac:dyDescent="0.25">
      <c r="A2939">
        <v>2</v>
      </c>
      <c r="B2939" t="s">
        <v>1422</v>
      </c>
      <c r="C2939" t="s">
        <v>1442</v>
      </c>
      <c r="D2939">
        <v>4.2300000000000004</v>
      </c>
      <c r="E2939" t="s">
        <v>74</v>
      </c>
      <c r="F2939" t="s">
        <v>87</v>
      </c>
      <c r="G2939">
        <v>7.83</v>
      </c>
      <c r="H2939">
        <v>0.63</v>
      </c>
      <c r="I2939">
        <v>3.6</v>
      </c>
      <c r="J2939">
        <v>12.96</v>
      </c>
      <c r="K2939" t="str">
        <f>IFERROR(INDEX(Rosters!$C$2:$C$155,MATCH($B2939,Rosters!$B$2:$B$155,0)),"NA")</f>
        <v>comp</v>
      </c>
      <c r="L2939" t="str">
        <f t="shared" si="135"/>
        <v>comp2WR</v>
      </c>
      <c r="M2939">
        <f>COUNTIF(L$1:L2939,L2939)</f>
        <v>7</v>
      </c>
      <c r="N2939" t="str">
        <f t="shared" si="136"/>
        <v>comp2WR-7</v>
      </c>
      <c r="O2939">
        <f>COUNTIFS(F$1:F2939,F2939,A$1:A2939,A2939)</f>
        <v>69</v>
      </c>
      <c r="P2939" t="str">
        <f t="shared" si="137"/>
        <v>Calvin Ridley2</v>
      </c>
    </row>
    <row r="2940" spans="1:16" x14ac:dyDescent="0.25">
      <c r="A2940">
        <v>3</v>
      </c>
      <c r="B2940" t="s">
        <v>1484</v>
      </c>
      <c r="C2940">
        <f>-0.31-8.77</f>
        <v>-9.08</v>
      </c>
      <c r="D2940">
        <v>4.2300000000000004</v>
      </c>
      <c r="E2940" t="s">
        <v>77</v>
      </c>
      <c r="F2940" t="s">
        <v>114</v>
      </c>
      <c r="G2940">
        <v>8.77</v>
      </c>
      <c r="H2940">
        <v>-0.31</v>
      </c>
      <c r="I2940">
        <v>4.54</v>
      </c>
      <c r="J2940">
        <v>20.611599999999999</v>
      </c>
      <c r="K2940" t="str">
        <f>IFERROR(INDEX(Rosters!$C$2:$C$155,MATCH($B2940,Rosters!$B$2:$B$155,0)),"NA")</f>
        <v>NA</v>
      </c>
      <c r="L2940" t="str">
        <f t="shared" si="135"/>
        <v>NA3TE</v>
      </c>
      <c r="M2940">
        <f>COUNTIF(L$1:L2940,L2940)</f>
        <v>6</v>
      </c>
      <c r="N2940" t="str">
        <f t="shared" si="136"/>
        <v>NA3TE-6</v>
      </c>
      <c r="O2940">
        <f>COUNTIFS(F$1:F2940,F2940,A$1:A2940,A2940)</f>
        <v>17</v>
      </c>
      <c r="P2940" t="str">
        <f t="shared" si="137"/>
        <v>Jake Butt3</v>
      </c>
    </row>
    <row r="2941" spans="1:16" x14ac:dyDescent="0.25">
      <c r="A2941">
        <v>11</v>
      </c>
      <c r="B2941" t="s">
        <v>1408</v>
      </c>
      <c r="C2941" t="s">
        <v>7798</v>
      </c>
      <c r="D2941">
        <v>4.2300000000000004</v>
      </c>
      <c r="E2941" t="s">
        <v>46</v>
      </c>
      <c r="F2941" t="s">
        <v>87</v>
      </c>
      <c r="G2941">
        <v>8.25</v>
      </c>
      <c r="H2941">
        <v>0.21</v>
      </c>
      <c r="I2941">
        <v>4.0199999999999996</v>
      </c>
      <c r="J2941">
        <v>16.160399999999999</v>
      </c>
      <c r="K2941" t="str">
        <f>IFERROR(INDEX(Rosters!$C$2:$C$155,MATCH($B2941,Rosters!$B$2:$B$155,0)),"NA")</f>
        <v>NA</v>
      </c>
      <c r="L2941" t="str">
        <f t="shared" si="135"/>
        <v>NA11WR</v>
      </c>
      <c r="M2941">
        <f>COUNTIF(L$1:L2941,L2941)</f>
        <v>18</v>
      </c>
      <c r="N2941" t="str">
        <f t="shared" si="136"/>
        <v>NA11WR-18</v>
      </c>
      <c r="O2941">
        <f>COUNTIFS(F$1:F2941,F2941,A$1:A2941,A2941)</f>
        <v>63</v>
      </c>
      <c r="P2941" t="str">
        <f t="shared" si="137"/>
        <v>Michael Gallup11</v>
      </c>
    </row>
    <row r="2942" spans="1:16" x14ac:dyDescent="0.25">
      <c r="A2942">
        <v>13</v>
      </c>
      <c r="B2942" t="s">
        <v>210</v>
      </c>
      <c r="C2942" t="s">
        <v>7799</v>
      </c>
      <c r="D2942">
        <v>4.2300000000000004</v>
      </c>
      <c r="E2942" t="s">
        <v>51</v>
      </c>
      <c r="F2942" t="s">
        <v>87</v>
      </c>
      <c r="G2942">
        <v>7.33</v>
      </c>
      <c r="H2942">
        <v>1.1299999999999999</v>
      </c>
      <c r="I2942">
        <v>3.1</v>
      </c>
      <c r="J2942">
        <v>9.61</v>
      </c>
      <c r="K2942" t="str">
        <f>IFERROR(INDEX(Rosters!$C$2:$C$155,MATCH($B2942,Rosters!$B$2:$B$155,0)),"NA")</f>
        <v>NA</v>
      </c>
      <c r="L2942" t="str">
        <f t="shared" si="135"/>
        <v>NA13WR</v>
      </c>
      <c r="M2942">
        <f>COUNTIF(L$1:L2942,L2942)</f>
        <v>25</v>
      </c>
      <c r="N2942" t="str">
        <f t="shared" si="136"/>
        <v>NA13WR-25</v>
      </c>
      <c r="O2942">
        <f>COUNTIFS(F$1:F2942,F2942,A$1:A2942,A2942)</f>
        <v>77</v>
      </c>
      <c r="P2942" t="str">
        <f t="shared" si="137"/>
        <v>Tyrell Williams13</v>
      </c>
    </row>
    <row r="2943" spans="1:16" x14ac:dyDescent="0.25">
      <c r="A2943">
        <v>11</v>
      </c>
      <c r="B2943" t="s">
        <v>1122</v>
      </c>
      <c r="C2943" t="s">
        <v>7800</v>
      </c>
      <c r="D2943">
        <v>4.22</v>
      </c>
      <c r="E2943" t="s">
        <v>14</v>
      </c>
      <c r="F2943" t="s">
        <v>47</v>
      </c>
      <c r="G2943">
        <v>8.25</v>
      </c>
      <c r="H2943">
        <v>0.19</v>
      </c>
      <c r="I2943">
        <v>4.03</v>
      </c>
      <c r="J2943">
        <v>16.2409</v>
      </c>
      <c r="K2943" t="str">
        <f>IFERROR(INDEX(Rosters!$C$2:$C$155,MATCH($B2943,Rosters!$B$2:$B$155,0)),"NA")</f>
        <v>NA</v>
      </c>
      <c r="L2943" t="str">
        <f t="shared" si="135"/>
        <v>NA11RB</v>
      </c>
      <c r="M2943">
        <f>COUNTIF(L$1:L2943,L2943)</f>
        <v>16</v>
      </c>
      <c r="N2943" t="str">
        <f t="shared" si="136"/>
        <v>NA11RB-16</v>
      </c>
      <c r="O2943">
        <f>COUNTIFS(F$1:F2943,F2943,A$1:A2943,A2943)</f>
        <v>53</v>
      </c>
      <c r="P2943" t="str">
        <f t="shared" si="137"/>
        <v>Darren Sproles11</v>
      </c>
    </row>
    <row r="2944" spans="1:16" x14ac:dyDescent="0.25">
      <c r="A2944">
        <v>14</v>
      </c>
      <c r="B2944" t="s">
        <v>308</v>
      </c>
      <c r="C2944" t="s">
        <v>7801</v>
      </c>
      <c r="D2944">
        <v>4.22</v>
      </c>
      <c r="E2944" t="s">
        <v>30</v>
      </c>
      <c r="F2944" t="s">
        <v>114</v>
      </c>
      <c r="G2944">
        <v>8.35</v>
      </c>
      <c r="H2944">
        <v>0.09</v>
      </c>
      <c r="I2944">
        <v>4.13</v>
      </c>
      <c r="J2944">
        <v>17.056899999999999</v>
      </c>
      <c r="K2944" t="str">
        <f>IFERROR(INDEX(Rosters!$C$2:$C$155,MATCH($B2944,Rosters!$B$2:$B$155,0)),"NA")</f>
        <v>NA</v>
      </c>
      <c r="L2944" t="str">
        <f t="shared" si="135"/>
        <v>NA14TE</v>
      </c>
      <c r="M2944">
        <f>COUNTIF(L$1:L2944,L2944)</f>
        <v>9</v>
      </c>
      <c r="N2944" t="str">
        <f t="shared" si="136"/>
        <v>NA14TE-9</v>
      </c>
      <c r="O2944">
        <f>COUNTIFS(F$1:F2944,F2944,A$1:A2944,A2944)</f>
        <v>22</v>
      </c>
      <c r="P2944" t="str">
        <f t="shared" si="137"/>
        <v>Jeff Heuerman14</v>
      </c>
    </row>
    <row r="2945" spans="1:16" x14ac:dyDescent="0.25">
      <c r="A2945">
        <v>17</v>
      </c>
      <c r="B2945" t="s">
        <v>1540</v>
      </c>
      <c r="C2945" t="s">
        <v>7802</v>
      </c>
      <c r="D2945">
        <v>4.22</v>
      </c>
      <c r="E2945" t="s">
        <v>31</v>
      </c>
      <c r="F2945" t="s">
        <v>87</v>
      </c>
      <c r="G2945">
        <v>8.1199999999999992</v>
      </c>
      <c r="H2945">
        <v>0.32</v>
      </c>
      <c r="I2945">
        <v>3.9</v>
      </c>
      <c r="J2945">
        <v>15.21</v>
      </c>
      <c r="K2945" t="str">
        <f>IFERROR(INDEX(Rosters!$C$2:$C$155,MATCH($B2945,Rosters!$B$2:$B$155,0)),"NA")</f>
        <v>NA</v>
      </c>
      <c r="L2945" t="str">
        <f t="shared" si="135"/>
        <v>NA17WR</v>
      </c>
      <c r="M2945">
        <f>COUNTIF(L$1:L2945,L2945)</f>
        <v>26</v>
      </c>
      <c r="N2945" t="str">
        <f t="shared" si="136"/>
        <v>NA17WR-26</v>
      </c>
      <c r="O2945">
        <f>COUNTIFS(F$1:F2945,F2945,A$1:A2945,A2945)</f>
        <v>78</v>
      </c>
      <c r="P2945" t="str">
        <f t="shared" si="137"/>
        <v>Ryan Switzer17</v>
      </c>
    </row>
    <row r="2946" spans="1:16" x14ac:dyDescent="0.25">
      <c r="A2946">
        <v>5</v>
      </c>
      <c r="B2946" t="s">
        <v>250</v>
      </c>
      <c r="C2946" t="s">
        <v>7803</v>
      </c>
      <c r="D2946">
        <v>4.22</v>
      </c>
      <c r="E2946" t="s">
        <v>25</v>
      </c>
      <c r="F2946" t="s">
        <v>47</v>
      </c>
      <c r="G2946">
        <v>8.2899999999999991</v>
      </c>
      <c r="H2946">
        <v>0.15</v>
      </c>
      <c r="I2946">
        <v>4.07</v>
      </c>
      <c r="J2946">
        <v>16.564900000000002</v>
      </c>
      <c r="K2946" t="str">
        <f>IFERROR(INDEX(Rosters!$C$2:$C$155,MATCH($B2946,Rosters!$B$2:$B$155,0)),"NA")</f>
        <v>NA</v>
      </c>
      <c r="L2946" t="str">
        <f t="shared" si="135"/>
        <v>NA5RB</v>
      </c>
      <c r="M2946">
        <f>COUNTIF(L$1:L2946,L2946)</f>
        <v>13</v>
      </c>
      <c r="N2946" t="str">
        <f t="shared" si="136"/>
        <v>NA5RB-13</v>
      </c>
      <c r="O2946">
        <f>COUNTIFS(F$1:F2946,F2946,A$1:A2946,A2946)</f>
        <v>55</v>
      </c>
      <c r="P2946" t="str">
        <f t="shared" si="137"/>
        <v>Wendell Smallwood5</v>
      </c>
    </row>
    <row r="2947" spans="1:16" x14ac:dyDescent="0.25">
      <c r="A2947">
        <v>5</v>
      </c>
      <c r="B2947" t="s">
        <v>211</v>
      </c>
      <c r="C2947">
        <f>-0.45-8.87</f>
        <v>-9.3199999999999985</v>
      </c>
      <c r="D2947">
        <v>4.21</v>
      </c>
      <c r="E2947" t="s">
        <v>51</v>
      </c>
      <c r="F2947" t="s">
        <v>114</v>
      </c>
      <c r="G2947">
        <v>8.8699999999999992</v>
      </c>
      <c r="H2947">
        <v>-0.45</v>
      </c>
      <c r="I2947">
        <v>4.66</v>
      </c>
      <c r="J2947">
        <v>21.715599999999998</v>
      </c>
      <c r="K2947" t="str">
        <f>IFERROR(INDEX(Rosters!$C$2:$C$155,MATCH($B2947,Rosters!$B$2:$B$155,0)),"NA")</f>
        <v>comp</v>
      </c>
      <c r="L2947" t="str">
        <f t="shared" ref="L2947:L3010" si="138">K2947&amp;A2947&amp;F2947</f>
        <v>comp5TE</v>
      </c>
      <c r="M2947">
        <f>COUNTIF(L$1:L2947,L2947)</f>
        <v>1</v>
      </c>
      <c r="N2947" t="str">
        <f t="shared" ref="N2947:N3010" si="139">L2947&amp;"-"&amp;M2947</f>
        <v>comp5TE-1</v>
      </c>
      <c r="O2947">
        <f>COUNTIFS(F$1:F2947,F2947,A$1:A2947,A2947)</f>
        <v>15</v>
      </c>
      <c r="P2947" t="str">
        <f t="shared" ref="P2947:P3010" si="140">B2947&amp;A2947</f>
        <v>Austin Hooper5</v>
      </c>
    </row>
    <row r="2948" spans="1:16" x14ac:dyDescent="0.25">
      <c r="A2948">
        <v>15</v>
      </c>
      <c r="B2948" t="s">
        <v>217</v>
      </c>
      <c r="C2948" t="s">
        <v>7804</v>
      </c>
      <c r="D2948">
        <v>4.21</v>
      </c>
      <c r="E2948" t="s">
        <v>34</v>
      </c>
      <c r="F2948" t="s">
        <v>114</v>
      </c>
      <c r="G2948">
        <v>7.92</v>
      </c>
      <c r="H2948">
        <v>0.5</v>
      </c>
      <c r="I2948">
        <v>3.71</v>
      </c>
      <c r="J2948">
        <v>13.764099999999999</v>
      </c>
      <c r="K2948" t="str">
        <f>IFERROR(INDEX(Rosters!$C$2:$C$155,MATCH($B2948,Rosters!$B$2:$B$155,0)),"NA")</f>
        <v>NA</v>
      </c>
      <c r="L2948" t="str">
        <f t="shared" si="138"/>
        <v>NA15TE</v>
      </c>
      <c r="M2948">
        <f>COUNTIF(L$1:L2948,L2948)</f>
        <v>8</v>
      </c>
      <c r="N2948" t="str">
        <f t="shared" si="139"/>
        <v>NA15TE-8</v>
      </c>
      <c r="O2948">
        <f>COUNTIFS(F$1:F2948,F2948,A$1:A2948,A2948)</f>
        <v>21</v>
      </c>
      <c r="P2948" t="str">
        <f t="shared" si="140"/>
        <v>Charles Clay15</v>
      </c>
    </row>
    <row r="2949" spans="1:16" x14ac:dyDescent="0.25">
      <c r="A2949">
        <v>2</v>
      </c>
      <c r="B2949" t="s">
        <v>219</v>
      </c>
      <c r="C2949" t="s">
        <v>1443</v>
      </c>
      <c r="D2949">
        <v>4.21</v>
      </c>
      <c r="E2949" t="s">
        <v>19</v>
      </c>
      <c r="F2949" t="s">
        <v>87</v>
      </c>
      <c r="G2949">
        <v>7.7</v>
      </c>
      <c r="H2949">
        <v>0.72</v>
      </c>
      <c r="I2949">
        <v>3.49</v>
      </c>
      <c r="J2949">
        <v>12.180099999999999</v>
      </c>
      <c r="K2949" t="str">
        <f>IFERROR(INDEX(Rosters!$C$2:$C$155,MATCH($B2949,Rosters!$B$2:$B$155,0)),"NA")</f>
        <v>NA</v>
      </c>
      <c r="L2949" t="str">
        <f t="shared" si="138"/>
        <v>NA2WR</v>
      </c>
      <c r="M2949">
        <f>COUNTIF(L$1:L2949,L2949)</f>
        <v>23</v>
      </c>
      <c r="N2949" t="str">
        <f t="shared" si="139"/>
        <v>NA2WR-23</v>
      </c>
      <c r="O2949">
        <f>COUNTIFS(F$1:F2949,F2949,A$1:A2949,A2949)</f>
        <v>70</v>
      </c>
      <c r="P2949" t="str">
        <f t="shared" si="140"/>
        <v>Jermaine Kearse2</v>
      </c>
    </row>
    <row r="2950" spans="1:16" x14ac:dyDescent="0.25">
      <c r="A2950">
        <v>1</v>
      </c>
      <c r="B2950" t="s">
        <v>245</v>
      </c>
      <c r="C2950">
        <f>-0.84-9.26</f>
        <v>-10.1</v>
      </c>
      <c r="D2950">
        <v>4.21</v>
      </c>
      <c r="E2950" t="s">
        <v>54</v>
      </c>
      <c r="F2950" t="s">
        <v>47</v>
      </c>
      <c r="G2950">
        <v>9.26</v>
      </c>
      <c r="H2950">
        <v>-0.84</v>
      </c>
      <c r="I2950">
        <v>5.05</v>
      </c>
      <c r="J2950">
        <v>25.502500000000001</v>
      </c>
      <c r="K2950" t="str">
        <f>IFERROR(INDEX(Rosters!$C$2:$C$155,MATCH($B2950,Rosters!$B$2:$B$155,0)),"NA")</f>
        <v>seth</v>
      </c>
      <c r="L2950" t="str">
        <f t="shared" si="138"/>
        <v>seth1RB</v>
      </c>
      <c r="M2950">
        <f>COUNTIF(L$1:L2950,L2950)</f>
        <v>7</v>
      </c>
      <c r="N2950" t="str">
        <f t="shared" si="139"/>
        <v>seth1RB-7</v>
      </c>
      <c r="O2950">
        <f>COUNTIFS(F$1:F2950,F2950,A$1:A2950,A2950)</f>
        <v>55</v>
      </c>
      <c r="P2950" t="str">
        <f t="shared" si="140"/>
        <v>T.J. Yeldon1</v>
      </c>
    </row>
    <row r="2951" spans="1:16" x14ac:dyDescent="0.25">
      <c r="A2951">
        <v>12</v>
      </c>
      <c r="B2951" t="s">
        <v>247</v>
      </c>
      <c r="C2951" t="s">
        <v>7805</v>
      </c>
      <c r="D2951">
        <v>4.2</v>
      </c>
      <c r="E2951" t="s">
        <v>29</v>
      </c>
      <c r="F2951" t="s">
        <v>114</v>
      </c>
      <c r="G2951">
        <v>7.49</v>
      </c>
      <c r="H2951">
        <v>0.91</v>
      </c>
      <c r="I2951">
        <v>3.29</v>
      </c>
      <c r="J2951">
        <v>10.8241</v>
      </c>
      <c r="K2951" t="str">
        <f>IFERROR(INDEX(Rosters!$C$2:$C$155,MATCH($B2951,Rosters!$B$2:$B$155,0)),"NA")</f>
        <v>NA</v>
      </c>
      <c r="L2951" t="str">
        <f t="shared" si="138"/>
        <v>NA12TE</v>
      </c>
      <c r="M2951">
        <f>COUNTIF(L$1:L2951,L2951)</f>
        <v>9</v>
      </c>
      <c r="N2951" t="str">
        <f t="shared" si="139"/>
        <v>NA12TE-9</v>
      </c>
      <c r="O2951">
        <f>COUNTIFS(F$1:F2951,F2951,A$1:A2951,A2951)</f>
        <v>20</v>
      </c>
      <c r="P2951" t="str">
        <f t="shared" si="140"/>
        <v>Austin Seferian-Jenkins12</v>
      </c>
    </row>
    <row r="2952" spans="1:16" x14ac:dyDescent="0.25">
      <c r="A2952">
        <v>8</v>
      </c>
      <c r="B2952" t="s">
        <v>4212</v>
      </c>
      <c r="C2952" t="s">
        <v>7806</v>
      </c>
      <c r="D2952">
        <v>4.2</v>
      </c>
      <c r="E2952" t="s">
        <v>77</v>
      </c>
      <c r="F2952" t="s">
        <v>114</v>
      </c>
      <c r="G2952">
        <v>7.85</v>
      </c>
      <c r="H2952">
        <v>0.55000000000000004</v>
      </c>
      <c r="I2952">
        <v>3.65</v>
      </c>
      <c r="J2952">
        <v>13.3225</v>
      </c>
      <c r="K2952" t="str">
        <f>IFERROR(INDEX(Rosters!$C$2:$C$155,MATCH($B2952,Rosters!$B$2:$B$155,0)),"NA")</f>
        <v>NA</v>
      </c>
      <c r="L2952" t="str">
        <f t="shared" si="138"/>
        <v>NA8TE</v>
      </c>
      <c r="M2952">
        <f>COUNTIF(L$1:L2952,L2952)</f>
        <v>7</v>
      </c>
      <c r="N2952" t="str">
        <f t="shared" si="139"/>
        <v>NA8TE-7</v>
      </c>
      <c r="O2952">
        <f>COUNTIFS(F$1:F2952,F2952,A$1:A2952,A2952)</f>
        <v>19</v>
      </c>
      <c r="P2952" t="str">
        <f t="shared" si="140"/>
        <v>Ian Thomas8</v>
      </c>
    </row>
    <row r="2953" spans="1:16" x14ac:dyDescent="0.25">
      <c r="A2953">
        <v>10</v>
      </c>
      <c r="B2953" t="s">
        <v>214</v>
      </c>
      <c r="C2953" t="s">
        <v>7807</v>
      </c>
      <c r="D2953">
        <v>4.2</v>
      </c>
      <c r="E2953" t="s">
        <v>74</v>
      </c>
      <c r="F2953" t="s">
        <v>114</v>
      </c>
      <c r="G2953">
        <v>7.74</v>
      </c>
      <c r="H2953">
        <v>0.66</v>
      </c>
      <c r="I2953">
        <v>3.54</v>
      </c>
      <c r="J2953">
        <v>12.531599999999999</v>
      </c>
      <c r="K2953" t="str">
        <f>IFERROR(INDEX(Rosters!$C$2:$C$155,MATCH($B2953,Rosters!$B$2:$B$155,0)),"NA")</f>
        <v>scott</v>
      </c>
      <c r="L2953" t="str">
        <f t="shared" si="138"/>
        <v>scott10TE</v>
      </c>
      <c r="M2953">
        <f>COUNTIF(L$1:L2953,L2953)</f>
        <v>2</v>
      </c>
      <c r="N2953" t="str">
        <f t="shared" si="139"/>
        <v>scott10TE-2</v>
      </c>
      <c r="O2953">
        <f>COUNTIFS(F$1:F2953,F2953,A$1:A2953,A2953)</f>
        <v>16</v>
      </c>
      <c r="P2953" t="str">
        <f t="shared" si="140"/>
        <v>Vance McDonald10</v>
      </c>
    </row>
    <row r="2954" spans="1:16" x14ac:dyDescent="0.25">
      <c r="A2954">
        <v>4</v>
      </c>
      <c r="B2954" t="s">
        <v>167</v>
      </c>
      <c r="C2954" t="s">
        <v>4559</v>
      </c>
      <c r="D2954">
        <v>4.1900000000000004</v>
      </c>
      <c r="E2954" t="s">
        <v>58</v>
      </c>
      <c r="F2954" t="s">
        <v>87</v>
      </c>
      <c r="G2954">
        <v>7.13</v>
      </c>
      <c r="H2954">
        <v>1.25</v>
      </c>
      <c r="I2954">
        <v>2.94</v>
      </c>
      <c r="J2954">
        <v>8.6435999999999993</v>
      </c>
      <c r="K2954" t="str">
        <f>IFERROR(INDEX(Rosters!$C$2:$C$155,MATCH($B2954,Rosters!$B$2:$B$155,0)),"NA")</f>
        <v>NA</v>
      </c>
      <c r="L2954" t="str">
        <f t="shared" si="138"/>
        <v>NA4WR</v>
      </c>
      <c r="M2954">
        <f>COUNTIF(L$1:L2954,L2954)</f>
        <v>17</v>
      </c>
      <c r="N2954" t="str">
        <f t="shared" si="139"/>
        <v>NA4WR-17</v>
      </c>
      <c r="O2954">
        <f>COUNTIFS(F$1:F2954,F2954,A$1:A2954,A2954)</f>
        <v>64</v>
      </c>
      <c r="P2954" t="str">
        <f t="shared" si="140"/>
        <v>Brandon Marshall4</v>
      </c>
    </row>
    <row r="2955" spans="1:16" x14ac:dyDescent="0.25">
      <c r="A2955">
        <v>7</v>
      </c>
      <c r="B2955" t="s">
        <v>1489</v>
      </c>
      <c r="C2955">
        <f>-1.21-9.59</f>
        <v>-10.8</v>
      </c>
      <c r="D2955">
        <v>4.1900000000000004</v>
      </c>
      <c r="E2955" t="s">
        <v>42</v>
      </c>
      <c r="F2955" t="s">
        <v>87</v>
      </c>
      <c r="G2955">
        <v>9.59</v>
      </c>
      <c r="H2955">
        <v>-1.21</v>
      </c>
      <c r="I2955">
        <v>5.4</v>
      </c>
      <c r="J2955">
        <v>29.16</v>
      </c>
      <c r="K2955" t="str">
        <f>IFERROR(INDEX(Rosters!$C$2:$C$155,MATCH($B2955,Rosters!$B$2:$B$155,0)),"NA")</f>
        <v>NA</v>
      </c>
      <c r="L2955" t="str">
        <f t="shared" si="138"/>
        <v>NA7WR</v>
      </c>
      <c r="M2955">
        <f>COUNTIF(L$1:L2955,L2955)</f>
        <v>25</v>
      </c>
      <c r="N2955" t="str">
        <f t="shared" si="139"/>
        <v>NA7WR-25</v>
      </c>
      <c r="O2955">
        <f>COUNTIFS(F$1:F2955,F2955,A$1:A2955,A2955)</f>
        <v>68</v>
      </c>
      <c r="P2955" t="str">
        <f t="shared" si="140"/>
        <v>Chad Williams7</v>
      </c>
    </row>
    <row r="2956" spans="1:16" x14ac:dyDescent="0.25">
      <c r="A2956">
        <v>17</v>
      </c>
      <c r="B2956" t="s">
        <v>217</v>
      </c>
      <c r="C2956" t="s">
        <v>7808</v>
      </c>
      <c r="D2956">
        <v>4.1900000000000004</v>
      </c>
      <c r="E2956" t="s">
        <v>19</v>
      </c>
      <c r="F2956" t="s">
        <v>114</v>
      </c>
      <c r="G2956">
        <v>8.0500000000000007</v>
      </c>
      <c r="H2956">
        <v>0.33</v>
      </c>
      <c r="I2956">
        <v>3.86</v>
      </c>
      <c r="J2956">
        <v>14.8996</v>
      </c>
      <c r="K2956" t="str">
        <f>IFERROR(INDEX(Rosters!$C$2:$C$155,MATCH($B2956,Rosters!$B$2:$B$155,0)),"NA")</f>
        <v>NA</v>
      </c>
      <c r="L2956" t="str">
        <f t="shared" si="138"/>
        <v>NA17TE</v>
      </c>
      <c r="M2956">
        <f>COUNTIF(L$1:L2956,L2956)</f>
        <v>6</v>
      </c>
      <c r="N2956" t="str">
        <f t="shared" si="139"/>
        <v>NA17TE-6</v>
      </c>
      <c r="O2956">
        <f>COUNTIFS(F$1:F2956,F2956,A$1:A2956,A2956)</f>
        <v>19</v>
      </c>
      <c r="P2956" t="str">
        <f t="shared" si="140"/>
        <v>Charles Clay17</v>
      </c>
    </row>
    <row r="2957" spans="1:16" x14ac:dyDescent="0.25">
      <c r="A2957">
        <v>4</v>
      </c>
      <c r="B2957" t="s">
        <v>299</v>
      </c>
      <c r="C2957" t="s">
        <v>4560</v>
      </c>
      <c r="D2957">
        <v>4.1900000000000004</v>
      </c>
      <c r="E2957" t="s">
        <v>77</v>
      </c>
      <c r="F2957" t="s">
        <v>114</v>
      </c>
      <c r="G2957">
        <v>6.91</v>
      </c>
      <c r="H2957">
        <v>1.47</v>
      </c>
      <c r="I2957">
        <v>2.72</v>
      </c>
      <c r="J2957">
        <v>7.3983999999999996</v>
      </c>
      <c r="K2957" t="str">
        <f>IFERROR(INDEX(Rosters!$C$2:$C$155,MATCH($B2957,Rosters!$B$2:$B$155,0)),"NA")</f>
        <v>NA</v>
      </c>
      <c r="L2957" t="str">
        <f t="shared" si="138"/>
        <v>NA4TE</v>
      </c>
      <c r="M2957">
        <f>COUNTIF(L$1:L2957,L2957)</f>
        <v>5</v>
      </c>
      <c r="N2957" t="str">
        <f t="shared" si="139"/>
        <v>NA4TE-5</v>
      </c>
      <c r="O2957">
        <f>COUNTIFS(F$1:F2957,F2957,A$1:A2957,A2957)</f>
        <v>15</v>
      </c>
      <c r="P2957" t="str">
        <f t="shared" si="140"/>
        <v>Jesse James4</v>
      </c>
    </row>
    <row r="2958" spans="1:16" x14ac:dyDescent="0.25">
      <c r="A2958">
        <v>14</v>
      </c>
      <c r="B2958" t="s">
        <v>150</v>
      </c>
      <c r="C2958" t="s">
        <v>7809</v>
      </c>
      <c r="D2958">
        <v>4.1900000000000004</v>
      </c>
      <c r="E2958" t="s">
        <v>73</v>
      </c>
      <c r="F2958" t="s">
        <v>87</v>
      </c>
      <c r="G2958">
        <v>7.42</v>
      </c>
      <c r="H2958">
        <v>0.96</v>
      </c>
      <c r="I2958">
        <v>3.23</v>
      </c>
      <c r="J2958">
        <v>10.4329</v>
      </c>
      <c r="K2958" t="str">
        <f>IFERROR(INDEX(Rosters!$C$2:$C$155,MATCH($B2958,Rosters!$B$2:$B$155,0)),"NA")</f>
        <v>NA</v>
      </c>
      <c r="L2958" t="str">
        <f t="shared" si="138"/>
        <v>NA14WR</v>
      </c>
      <c r="M2958">
        <f>COUNTIF(L$1:L2958,L2958)</f>
        <v>24</v>
      </c>
      <c r="N2958" t="str">
        <f t="shared" si="139"/>
        <v>NA14WR-24</v>
      </c>
      <c r="O2958">
        <f>COUNTIFS(F$1:F2958,F2958,A$1:A2958,A2958)</f>
        <v>76</v>
      </c>
      <c r="P2958" t="str">
        <f t="shared" si="140"/>
        <v>Kelvin Benjamin14</v>
      </c>
    </row>
    <row r="2959" spans="1:16" x14ac:dyDescent="0.25">
      <c r="A2959">
        <v>1</v>
      </c>
      <c r="B2959" t="s">
        <v>1406</v>
      </c>
      <c r="C2959" t="s">
        <v>1710</v>
      </c>
      <c r="D2959">
        <v>4.1900000000000004</v>
      </c>
      <c r="E2959" t="s">
        <v>29</v>
      </c>
      <c r="F2959" t="s">
        <v>47</v>
      </c>
      <c r="G2959">
        <v>7.76</v>
      </c>
      <c r="H2959">
        <v>0.62</v>
      </c>
      <c r="I2959">
        <v>3.57</v>
      </c>
      <c r="J2959">
        <v>12.744899999999999</v>
      </c>
      <c r="K2959" t="str">
        <f>IFERROR(INDEX(Rosters!$C$2:$C$155,MATCH($B2959,Rosters!$B$2:$B$155,0)),"NA")</f>
        <v>NA</v>
      </c>
      <c r="L2959" t="str">
        <f t="shared" si="138"/>
        <v>NA1RB</v>
      </c>
      <c r="M2959">
        <f>COUNTIF(L$1:L2959,L2959)</f>
        <v>16</v>
      </c>
      <c r="N2959" t="str">
        <f t="shared" si="139"/>
        <v>NA1RB-16</v>
      </c>
      <c r="O2959">
        <f>COUNTIFS(F$1:F2959,F2959,A$1:A2959,A2959)</f>
        <v>56</v>
      </c>
      <c r="P2959" t="str">
        <f t="shared" si="140"/>
        <v>Kenneth Dixon1</v>
      </c>
    </row>
    <row r="2960" spans="1:16" x14ac:dyDescent="0.25">
      <c r="A2960">
        <v>10</v>
      </c>
      <c r="B2960" t="s">
        <v>1377</v>
      </c>
      <c r="C2960" t="s">
        <v>7810</v>
      </c>
      <c r="D2960">
        <v>4.18</v>
      </c>
      <c r="E2960" t="s">
        <v>34</v>
      </c>
      <c r="F2960" t="s">
        <v>87</v>
      </c>
      <c r="G2960">
        <v>8.17</v>
      </c>
      <c r="H2960">
        <v>0.19</v>
      </c>
      <c r="I2960">
        <v>3.99</v>
      </c>
      <c r="J2960">
        <v>15.9201</v>
      </c>
      <c r="K2960" t="str">
        <f>IFERROR(INDEX(Rosters!$C$2:$C$155,MATCH($B2960,Rosters!$B$2:$B$155,0)),"NA")</f>
        <v>NA</v>
      </c>
      <c r="L2960" t="str">
        <f t="shared" si="138"/>
        <v>NA10WR</v>
      </c>
      <c r="M2960">
        <f>COUNTIF(L$1:L2960,L2960)</f>
        <v>23</v>
      </c>
      <c r="N2960" t="str">
        <f t="shared" si="139"/>
        <v>NA10WR-23</v>
      </c>
      <c r="O2960">
        <f>COUNTIFS(F$1:F2960,F2960,A$1:A2960,A2960)</f>
        <v>67</v>
      </c>
      <c r="P2960" t="str">
        <f t="shared" si="140"/>
        <v>Anthony Miller10</v>
      </c>
    </row>
    <row r="2961" spans="1:16" x14ac:dyDescent="0.25">
      <c r="A2961">
        <v>17</v>
      </c>
      <c r="B2961" t="s">
        <v>247</v>
      </c>
      <c r="C2961" t="s">
        <v>7811</v>
      </c>
      <c r="D2961">
        <v>4.18</v>
      </c>
      <c r="E2961" t="s">
        <v>36</v>
      </c>
      <c r="F2961" t="s">
        <v>114</v>
      </c>
      <c r="G2961">
        <v>8.2200000000000006</v>
      </c>
      <c r="H2961">
        <v>0.14000000000000001</v>
      </c>
      <c r="I2961">
        <v>4.04</v>
      </c>
      <c r="J2961">
        <v>16.3216</v>
      </c>
      <c r="K2961" t="str">
        <f>IFERROR(INDEX(Rosters!$C$2:$C$155,MATCH($B2961,Rosters!$B$2:$B$155,0)),"NA")</f>
        <v>NA</v>
      </c>
      <c r="L2961" t="str">
        <f t="shared" si="138"/>
        <v>NA17TE</v>
      </c>
      <c r="M2961">
        <f>COUNTIF(L$1:L2961,L2961)</f>
        <v>7</v>
      </c>
      <c r="N2961" t="str">
        <f t="shared" si="139"/>
        <v>NA17TE-7</v>
      </c>
      <c r="O2961">
        <f>COUNTIFS(F$1:F2961,F2961,A$1:A2961,A2961)</f>
        <v>20</v>
      </c>
      <c r="P2961" t="str">
        <f t="shared" si="140"/>
        <v>Austin Seferian-Jenkins17</v>
      </c>
    </row>
    <row r="2962" spans="1:16" x14ac:dyDescent="0.25">
      <c r="A2962">
        <v>4</v>
      </c>
      <c r="B2962" t="s">
        <v>217</v>
      </c>
      <c r="C2962" t="s">
        <v>4561</v>
      </c>
      <c r="D2962">
        <v>4.18</v>
      </c>
      <c r="E2962" t="s">
        <v>41</v>
      </c>
      <c r="F2962" t="s">
        <v>114</v>
      </c>
      <c r="G2962">
        <v>8.18</v>
      </c>
      <c r="H2962">
        <v>0.18</v>
      </c>
      <c r="I2962">
        <v>4</v>
      </c>
      <c r="J2962">
        <v>16</v>
      </c>
      <c r="K2962" t="str">
        <f>IFERROR(INDEX(Rosters!$C$2:$C$155,MATCH($B2962,Rosters!$B$2:$B$155,0)),"NA")</f>
        <v>NA</v>
      </c>
      <c r="L2962" t="str">
        <f t="shared" si="138"/>
        <v>NA4TE</v>
      </c>
      <c r="M2962">
        <f>COUNTIF(L$1:L2962,L2962)</f>
        <v>6</v>
      </c>
      <c r="N2962" t="str">
        <f t="shared" si="139"/>
        <v>NA4TE-6</v>
      </c>
      <c r="O2962">
        <f>COUNTIFS(F$1:F2962,F2962,A$1:A2962,A2962)</f>
        <v>16</v>
      </c>
      <c r="P2962" t="str">
        <f t="shared" si="140"/>
        <v>Charles Clay4</v>
      </c>
    </row>
    <row r="2963" spans="1:16" x14ac:dyDescent="0.25">
      <c r="A2963">
        <v>14</v>
      </c>
      <c r="B2963" t="s">
        <v>1432</v>
      </c>
      <c r="C2963" t="s">
        <v>7812</v>
      </c>
      <c r="D2963">
        <v>4.18</v>
      </c>
      <c r="E2963" t="s">
        <v>34</v>
      </c>
      <c r="F2963" t="s">
        <v>47</v>
      </c>
      <c r="G2963">
        <v>7.31</v>
      </c>
      <c r="H2963">
        <v>1.05</v>
      </c>
      <c r="I2963">
        <v>3.13</v>
      </c>
      <c r="J2963">
        <v>9.7969000000000008</v>
      </c>
      <c r="K2963" t="str">
        <f>IFERROR(INDEX(Rosters!$C$2:$C$155,MATCH($B2963,Rosters!$B$2:$B$155,0)),"NA")</f>
        <v>NA</v>
      </c>
      <c r="L2963" t="str">
        <f t="shared" si="138"/>
        <v>NA14RB</v>
      </c>
      <c r="M2963">
        <f>COUNTIF(L$1:L2963,L2963)</f>
        <v>16</v>
      </c>
      <c r="N2963" t="str">
        <f t="shared" si="139"/>
        <v>NA14RB-16</v>
      </c>
      <c r="O2963">
        <f>COUNTIFS(F$1:F2963,F2963,A$1:A2963,A2963)</f>
        <v>62</v>
      </c>
      <c r="P2963" t="str">
        <f t="shared" si="140"/>
        <v>Chase Edmonds14</v>
      </c>
    </row>
    <row r="2964" spans="1:16" x14ac:dyDescent="0.25">
      <c r="A2964">
        <v>9</v>
      </c>
      <c r="B2964" t="s">
        <v>1396</v>
      </c>
      <c r="C2964" t="s">
        <v>7813</v>
      </c>
      <c r="D2964">
        <v>4.18</v>
      </c>
      <c r="E2964" t="s">
        <v>74</v>
      </c>
      <c r="F2964" t="s">
        <v>87</v>
      </c>
      <c r="G2964">
        <v>7.38</v>
      </c>
      <c r="H2964">
        <v>0.98</v>
      </c>
      <c r="I2964">
        <v>3.2</v>
      </c>
      <c r="J2964">
        <v>10.24</v>
      </c>
      <c r="K2964" t="str">
        <f>IFERROR(INDEX(Rosters!$C$2:$C$155,MATCH($B2964,Rosters!$B$2:$B$155,0)),"NA")</f>
        <v>NA</v>
      </c>
      <c r="L2964" t="str">
        <f t="shared" si="138"/>
        <v>NA9WR</v>
      </c>
      <c r="M2964">
        <f>COUNTIF(L$1:L2964,L2964)</f>
        <v>19</v>
      </c>
      <c r="N2964" t="str">
        <f t="shared" si="139"/>
        <v>NA9WR-19</v>
      </c>
      <c r="O2964">
        <f>COUNTIFS(F$1:F2964,F2964,A$1:A2964,A2964)</f>
        <v>61</v>
      </c>
      <c r="P2964" t="str">
        <f t="shared" si="140"/>
        <v>Chris Godwin9</v>
      </c>
    </row>
    <row r="2965" spans="1:16" x14ac:dyDescent="0.25">
      <c r="A2965">
        <v>3</v>
      </c>
      <c r="B2965" t="s">
        <v>150</v>
      </c>
      <c r="C2965" t="s">
        <v>3753</v>
      </c>
      <c r="D2965">
        <v>4.18</v>
      </c>
      <c r="E2965" t="s">
        <v>25</v>
      </c>
      <c r="F2965" t="s">
        <v>87</v>
      </c>
      <c r="G2965">
        <v>8.25</v>
      </c>
      <c r="H2965">
        <v>0.11</v>
      </c>
      <c r="I2965">
        <v>4.07</v>
      </c>
      <c r="J2965">
        <v>16.564900000000002</v>
      </c>
      <c r="K2965" t="str">
        <f>IFERROR(INDEX(Rosters!$C$2:$C$155,MATCH($B2965,Rosters!$B$2:$B$155,0)),"NA")</f>
        <v>NA</v>
      </c>
      <c r="L2965" t="str">
        <f t="shared" si="138"/>
        <v>NA3WR</v>
      </c>
      <c r="M2965">
        <f>COUNTIF(L$1:L2965,L2965)</f>
        <v>22</v>
      </c>
      <c r="N2965" t="str">
        <f t="shared" si="139"/>
        <v>NA3WR-22</v>
      </c>
      <c r="O2965">
        <f>COUNTIFS(F$1:F2965,F2965,A$1:A2965,A2965)</f>
        <v>68</v>
      </c>
      <c r="P2965" t="str">
        <f t="shared" si="140"/>
        <v>Kelvin Benjamin3</v>
      </c>
    </row>
    <row r="2966" spans="1:16" x14ac:dyDescent="0.25">
      <c r="A2966">
        <v>13</v>
      </c>
      <c r="B2966" t="s">
        <v>238</v>
      </c>
      <c r="C2966" t="s">
        <v>7814</v>
      </c>
      <c r="D2966">
        <v>4.18</v>
      </c>
      <c r="E2966" t="s">
        <v>24</v>
      </c>
      <c r="F2966" t="s">
        <v>87</v>
      </c>
      <c r="G2966">
        <v>7.1</v>
      </c>
      <c r="H2966">
        <v>1.26</v>
      </c>
      <c r="I2966">
        <v>2.92</v>
      </c>
      <c r="J2966">
        <v>8.5264000000000006</v>
      </c>
      <c r="K2966" t="str">
        <f>IFERROR(INDEX(Rosters!$C$2:$C$155,MATCH($B2966,Rosters!$B$2:$B$155,0)),"NA")</f>
        <v>NA</v>
      </c>
      <c r="L2966" t="str">
        <f t="shared" si="138"/>
        <v>NA13WR</v>
      </c>
      <c r="M2966">
        <f>COUNTIF(L$1:L2966,L2966)</f>
        <v>26</v>
      </c>
      <c r="N2966" t="str">
        <f t="shared" si="139"/>
        <v>NA13WR-26</v>
      </c>
      <c r="O2966">
        <f>COUNTIFS(F$1:F2966,F2966,A$1:A2966,A2966)</f>
        <v>78</v>
      </c>
      <c r="P2966" t="str">
        <f t="shared" si="140"/>
        <v>Seth Roberts13</v>
      </c>
    </row>
    <row r="2967" spans="1:16" x14ac:dyDescent="0.25">
      <c r="A2967">
        <v>17</v>
      </c>
      <c r="B2967" t="s">
        <v>294</v>
      </c>
      <c r="C2967" t="s">
        <v>7815</v>
      </c>
      <c r="D2967">
        <v>4.17</v>
      </c>
      <c r="E2967" t="s">
        <v>76</v>
      </c>
      <c r="F2967" t="s">
        <v>47</v>
      </c>
      <c r="G2967">
        <v>7.68</v>
      </c>
      <c r="H2967">
        <v>0.66</v>
      </c>
      <c r="I2967">
        <v>3.51</v>
      </c>
      <c r="J2967">
        <v>12.3201</v>
      </c>
      <c r="K2967" t="str">
        <f>IFERROR(INDEX(Rosters!$C$2:$C$155,MATCH($B2967,Rosters!$B$2:$B$155,0)),"NA")</f>
        <v>perry</v>
      </c>
      <c r="L2967" t="str">
        <f t="shared" si="138"/>
        <v>perry17RB</v>
      </c>
      <c r="M2967">
        <f>COUNTIF(L$1:L2967,L2967)</f>
        <v>4</v>
      </c>
      <c r="N2967" t="str">
        <f t="shared" si="139"/>
        <v>perry17RB-4</v>
      </c>
      <c r="O2967">
        <f>COUNTIFS(F$1:F2967,F2967,A$1:A2967,A2967)</f>
        <v>63</v>
      </c>
      <c r="P2967" t="str">
        <f t="shared" si="140"/>
        <v>Alfred Blue17</v>
      </c>
    </row>
    <row r="2968" spans="1:16" x14ac:dyDescent="0.25">
      <c r="A2968">
        <v>6</v>
      </c>
      <c r="B2968" t="s">
        <v>1391</v>
      </c>
      <c r="C2968">
        <f>-0.79-9.13</f>
        <v>-9.9200000000000017</v>
      </c>
      <c r="D2968">
        <v>4.17</v>
      </c>
      <c r="E2968" t="s">
        <v>60</v>
      </c>
      <c r="F2968" t="s">
        <v>87</v>
      </c>
      <c r="G2968">
        <v>9.1300000000000008</v>
      </c>
      <c r="H2968">
        <v>-0.79</v>
      </c>
      <c r="I2968">
        <v>4.96</v>
      </c>
      <c r="J2968">
        <v>24.601600000000001</v>
      </c>
      <c r="K2968" t="str">
        <f>IFERROR(INDEX(Rosters!$C$2:$C$155,MATCH($B2968,Rosters!$B$2:$B$155,0)),"NA")</f>
        <v>NA</v>
      </c>
      <c r="L2968" t="str">
        <f t="shared" si="138"/>
        <v>NA6WR</v>
      </c>
      <c r="M2968">
        <f>COUNTIF(L$1:L2968,L2968)</f>
        <v>24</v>
      </c>
      <c r="N2968" t="str">
        <f t="shared" si="139"/>
        <v>NA6WR-24</v>
      </c>
      <c r="O2968">
        <f>COUNTIFS(F$1:F2968,F2968,A$1:A2968,A2968)</f>
        <v>71</v>
      </c>
      <c r="P2968" t="str">
        <f t="shared" si="140"/>
        <v>D.J. Moore6</v>
      </c>
    </row>
    <row r="2969" spans="1:16" x14ac:dyDescent="0.25">
      <c r="A2969">
        <v>9</v>
      </c>
      <c r="B2969" t="s">
        <v>227</v>
      </c>
      <c r="C2969" t="s">
        <v>7816</v>
      </c>
      <c r="D2969">
        <v>4.17</v>
      </c>
      <c r="E2969" t="s">
        <v>73</v>
      </c>
      <c r="F2969" t="s">
        <v>87</v>
      </c>
      <c r="G2969">
        <v>6.84</v>
      </c>
      <c r="H2969">
        <v>1.5</v>
      </c>
      <c r="I2969">
        <v>2.67</v>
      </c>
      <c r="J2969">
        <v>7.1288999999999998</v>
      </c>
      <c r="K2969" t="str">
        <f>IFERROR(INDEX(Rosters!$C$2:$C$155,MATCH($B2969,Rosters!$B$2:$B$155,0)),"NA")</f>
        <v>NA</v>
      </c>
      <c r="L2969" t="str">
        <f t="shared" si="138"/>
        <v>NA9WR</v>
      </c>
      <c r="M2969">
        <f>COUNTIF(L$1:L2969,L2969)</f>
        <v>20</v>
      </c>
      <c r="N2969" t="str">
        <f t="shared" si="139"/>
        <v>NA9WR-20</v>
      </c>
      <c r="O2969">
        <f>COUNTIFS(F$1:F2969,F2969,A$1:A2969,A2969)</f>
        <v>62</v>
      </c>
      <c r="P2969" t="str">
        <f t="shared" si="140"/>
        <v>Danny Amendola9</v>
      </c>
    </row>
    <row r="2970" spans="1:16" x14ac:dyDescent="0.25">
      <c r="A2970">
        <v>2</v>
      </c>
      <c r="B2970" t="s">
        <v>147</v>
      </c>
      <c r="C2970">
        <f>-0.4-8.74</f>
        <v>-9.14</v>
      </c>
      <c r="D2970">
        <v>4.17</v>
      </c>
      <c r="E2970" t="s">
        <v>423</v>
      </c>
      <c r="F2970" t="s">
        <v>87</v>
      </c>
      <c r="G2970">
        <v>8.74</v>
      </c>
      <c r="H2970">
        <v>-0.4</v>
      </c>
      <c r="I2970">
        <v>4.57</v>
      </c>
      <c r="J2970">
        <v>20.884899999999998</v>
      </c>
      <c r="K2970" t="str">
        <f>IFERROR(INDEX(Rosters!$C$2:$C$155,MATCH($B2970,Rosters!$B$2:$B$155,0)),"NA")</f>
        <v>NA</v>
      </c>
      <c r="L2970" t="str">
        <f t="shared" si="138"/>
        <v>NA2WR</v>
      </c>
      <c r="M2970">
        <f>COUNTIF(L$1:L2970,L2970)</f>
        <v>24</v>
      </c>
      <c r="N2970" t="str">
        <f t="shared" si="139"/>
        <v>NA2WR-24</v>
      </c>
      <c r="O2970">
        <f>COUNTIFS(F$1:F2970,F2970,A$1:A2970,A2970)</f>
        <v>71</v>
      </c>
      <c r="P2970" t="str">
        <f t="shared" si="140"/>
        <v>Donte Moncrief2</v>
      </c>
    </row>
    <row r="2971" spans="1:16" x14ac:dyDescent="0.25">
      <c r="A2971">
        <v>3</v>
      </c>
      <c r="B2971" t="s">
        <v>230</v>
      </c>
      <c r="C2971" t="s">
        <v>3754</v>
      </c>
      <c r="D2971">
        <v>4.17</v>
      </c>
      <c r="E2971" t="s">
        <v>41</v>
      </c>
      <c r="F2971" t="s">
        <v>87</v>
      </c>
      <c r="G2971">
        <v>7.37</v>
      </c>
      <c r="H2971">
        <v>0.97</v>
      </c>
      <c r="I2971">
        <v>3.2</v>
      </c>
      <c r="J2971">
        <v>10.24</v>
      </c>
      <c r="K2971" t="str">
        <f>IFERROR(INDEX(Rosters!$C$2:$C$155,MATCH($B2971,Rosters!$B$2:$B$155,0)),"NA")</f>
        <v>NA</v>
      </c>
      <c r="L2971" t="str">
        <f t="shared" si="138"/>
        <v>NA3WR</v>
      </c>
      <c r="M2971">
        <f>COUNTIF(L$1:L2971,L2971)</f>
        <v>23</v>
      </c>
      <c r="N2971" t="str">
        <f t="shared" si="139"/>
        <v>NA3WR-23</v>
      </c>
      <c r="O2971">
        <f>COUNTIFS(F$1:F2971,F2971,A$1:A2971,A2971)</f>
        <v>69</v>
      </c>
      <c r="P2971" t="str">
        <f t="shared" si="140"/>
        <v>Josh Doctson3</v>
      </c>
    </row>
    <row r="2972" spans="1:16" x14ac:dyDescent="0.25">
      <c r="A2972">
        <v>17</v>
      </c>
      <c r="B2972" t="s">
        <v>1148</v>
      </c>
      <c r="C2972" t="s">
        <v>7817</v>
      </c>
      <c r="D2972">
        <v>4.17</v>
      </c>
      <c r="E2972" t="s">
        <v>58</v>
      </c>
      <c r="F2972" t="s">
        <v>47</v>
      </c>
      <c r="G2972">
        <v>7.64</v>
      </c>
      <c r="H2972">
        <v>0.7</v>
      </c>
      <c r="I2972">
        <v>3.47</v>
      </c>
      <c r="J2972">
        <v>12.040900000000001</v>
      </c>
      <c r="K2972" t="str">
        <f>IFERROR(INDEX(Rosters!$C$2:$C$155,MATCH($B2972,Rosters!$B$2:$B$155,0)),"NA")</f>
        <v>NA</v>
      </c>
      <c r="L2972" t="str">
        <f t="shared" si="138"/>
        <v>NA17RB</v>
      </c>
      <c r="M2972">
        <f>COUNTIF(L$1:L2972,L2972)</f>
        <v>18</v>
      </c>
      <c r="N2972" t="str">
        <f t="shared" si="139"/>
        <v>NA17RB-18</v>
      </c>
      <c r="O2972">
        <f>COUNTIFS(F$1:F2972,F2972,A$1:A2972,A2972)</f>
        <v>64</v>
      </c>
      <c r="P2972" t="str">
        <f t="shared" si="140"/>
        <v>Mike Davis17</v>
      </c>
    </row>
    <row r="2973" spans="1:16" x14ac:dyDescent="0.25">
      <c r="A2973">
        <v>3</v>
      </c>
      <c r="B2973" t="s">
        <v>226</v>
      </c>
      <c r="C2973">
        <f>-0.57-8.91</f>
        <v>-9.48</v>
      </c>
      <c r="D2973">
        <v>4.17</v>
      </c>
      <c r="E2973" t="s">
        <v>56</v>
      </c>
      <c r="F2973" t="s">
        <v>87</v>
      </c>
      <c r="G2973">
        <v>8.91</v>
      </c>
      <c r="H2973">
        <v>-0.56999999999999995</v>
      </c>
      <c r="I2973">
        <v>4.74</v>
      </c>
      <c r="J2973">
        <v>22.467600000000001</v>
      </c>
      <c r="K2973" t="str">
        <f>IFERROR(INDEX(Rosters!$C$2:$C$155,MATCH($B2973,Rosters!$B$2:$B$155,0)),"NA")</f>
        <v>comp</v>
      </c>
      <c r="L2973" t="str">
        <f t="shared" si="138"/>
        <v>comp3WR</v>
      </c>
      <c r="M2973">
        <f>COUNTIF(L$1:L2973,L2973)</f>
        <v>6</v>
      </c>
      <c r="N2973" t="str">
        <f t="shared" si="139"/>
        <v>comp3WR-6</v>
      </c>
      <c r="O2973">
        <f>COUNTIFS(F$1:F2973,F2973,A$1:A2973,A2973)</f>
        <v>70</v>
      </c>
      <c r="P2973" t="str">
        <f t="shared" si="140"/>
        <v>Mike Williams3</v>
      </c>
    </row>
    <row r="2974" spans="1:16" x14ac:dyDescent="0.25">
      <c r="A2974">
        <v>15</v>
      </c>
      <c r="B2974" t="s">
        <v>209</v>
      </c>
      <c r="C2974" t="s">
        <v>7818</v>
      </c>
      <c r="D2974">
        <v>4.17</v>
      </c>
      <c r="E2974" t="s">
        <v>14</v>
      </c>
      <c r="F2974" t="s">
        <v>87</v>
      </c>
      <c r="G2974">
        <v>7.91</v>
      </c>
      <c r="H2974">
        <v>0.43</v>
      </c>
      <c r="I2974">
        <v>3.74</v>
      </c>
      <c r="J2974">
        <v>13.9876</v>
      </c>
      <c r="K2974" t="str">
        <f>IFERROR(INDEX(Rosters!$C$2:$C$155,MATCH($B2974,Rosters!$B$2:$B$155,0)),"NA")</f>
        <v>NA</v>
      </c>
      <c r="L2974" t="str">
        <f t="shared" si="138"/>
        <v>NA15WR</v>
      </c>
      <c r="M2974">
        <f>COUNTIF(L$1:L2974,L2974)</f>
        <v>26</v>
      </c>
      <c r="N2974" t="str">
        <f t="shared" si="139"/>
        <v>NA15WR-26</v>
      </c>
      <c r="O2974">
        <f>COUNTIFS(F$1:F2974,F2974,A$1:A2974,A2974)</f>
        <v>77</v>
      </c>
      <c r="P2974" t="str">
        <f t="shared" si="140"/>
        <v>Torrey Smith15</v>
      </c>
    </row>
    <row r="2975" spans="1:16" x14ac:dyDescent="0.25">
      <c r="A2975">
        <v>8</v>
      </c>
      <c r="B2975" t="s">
        <v>1366</v>
      </c>
      <c r="C2975">
        <f>-0.03-8.35</f>
        <v>-8.379999999999999</v>
      </c>
      <c r="D2975">
        <v>4.16</v>
      </c>
      <c r="E2975" t="s">
        <v>51</v>
      </c>
      <c r="F2975" t="s">
        <v>47</v>
      </c>
      <c r="G2975">
        <v>8.35</v>
      </c>
      <c r="H2975">
        <v>-0.03</v>
      </c>
      <c r="I2975">
        <v>4.1900000000000004</v>
      </c>
      <c r="J2975">
        <v>17.556100000000001</v>
      </c>
      <c r="K2975" t="str">
        <f>IFERROR(INDEX(Rosters!$C$2:$C$155,MATCH($B2975,Rosters!$B$2:$B$155,0)),"NA")</f>
        <v>NA</v>
      </c>
      <c r="L2975" t="str">
        <f t="shared" si="138"/>
        <v>NA8RB</v>
      </c>
      <c r="M2975">
        <f>COUNTIF(L$1:L2975,L2975)</f>
        <v>17</v>
      </c>
      <c r="N2975" t="str">
        <f t="shared" si="139"/>
        <v>NA8RB-17</v>
      </c>
      <c r="O2975">
        <f>COUNTIFS(F$1:F2975,F2975,A$1:A2975,A2975)</f>
        <v>56</v>
      </c>
      <c r="P2975" t="str">
        <f t="shared" si="140"/>
        <v>Nick Chubb8</v>
      </c>
    </row>
    <row r="2976" spans="1:16" x14ac:dyDescent="0.25">
      <c r="A2976">
        <v>1</v>
      </c>
      <c r="B2976" t="s">
        <v>1422</v>
      </c>
      <c r="C2976" t="s">
        <v>1444</v>
      </c>
      <c r="D2976">
        <v>4.1500000000000004</v>
      </c>
      <c r="E2976" t="s">
        <v>50</v>
      </c>
      <c r="F2976" t="s">
        <v>87</v>
      </c>
      <c r="G2976">
        <v>7.52</v>
      </c>
      <c r="H2976">
        <v>0.78</v>
      </c>
      <c r="I2976">
        <v>3.37</v>
      </c>
      <c r="J2976">
        <v>11.3569</v>
      </c>
      <c r="K2976" t="str">
        <f>IFERROR(INDEX(Rosters!$C$2:$C$155,MATCH($B2976,Rosters!$B$2:$B$155,0)),"NA")</f>
        <v>comp</v>
      </c>
      <c r="L2976" t="str">
        <f t="shared" si="138"/>
        <v>comp1WR</v>
      </c>
      <c r="M2976">
        <f>COUNTIF(L$1:L2976,L2976)</f>
        <v>7</v>
      </c>
      <c r="N2976" t="str">
        <f t="shared" si="139"/>
        <v>comp1WR-7</v>
      </c>
      <c r="O2976">
        <f>COUNTIFS(F$1:F2976,F2976,A$1:A2976,A2976)</f>
        <v>71</v>
      </c>
      <c r="P2976" t="str">
        <f t="shared" si="140"/>
        <v>Calvin Ridley1</v>
      </c>
    </row>
    <row r="2977" spans="1:16" x14ac:dyDescent="0.25">
      <c r="A2977">
        <v>8</v>
      </c>
      <c r="B2977" t="s">
        <v>217</v>
      </c>
      <c r="C2977" t="s">
        <v>7819</v>
      </c>
      <c r="D2977">
        <v>4.1500000000000004</v>
      </c>
      <c r="E2977" t="s">
        <v>423</v>
      </c>
      <c r="F2977" t="s">
        <v>114</v>
      </c>
      <c r="G2977">
        <v>8.01</v>
      </c>
      <c r="H2977">
        <v>0.28999999999999998</v>
      </c>
      <c r="I2977">
        <v>3.86</v>
      </c>
      <c r="J2977">
        <v>14.8996</v>
      </c>
      <c r="K2977" t="str">
        <f>IFERROR(INDEX(Rosters!$C$2:$C$155,MATCH($B2977,Rosters!$B$2:$B$155,0)),"NA")</f>
        <v>NA</v>
      </c>
      <c r="L2977" t="str">
        <f t="shared" si="138"/>
        <v>NA8TE</v>
      </c>
      <c r="M2977">
        <f>COUNTIF(L$1:L2977,L2977)</f>
        <v>8</v>
      </c>
      <c r="N2977" t="str">
        <f t="shared" si="139"/>
        <v>NA8TE-8</v>
      </c>
      <c r="O2977">
        <f>COUNTIFS(F$1:F2977,F2977,A$1:A2977,A2977)</f>
        <v>20</v>
      </c>
      <c r="P2977" t="str">
        <f t="shared" si="140"/>
        <v>Charles Clay8</v>
      </c>
    </row>
    <row r="2978" spans="1:16" x14ac:dyDescent="0.25">
      <c r="A2978">
        <v>5</v>
      </c>
      <c r="B2978" t="s">
        <v>387</v>
      </c>
      <c r="C2978" t="s">
        <v>7820</v>
      </c>
      <c r="D2978">
        <v>4.1500000000000004</v>
      </c>
      <c r="E2978" t="s">
        <v>74</v>
      </c>
      <c r="F2978" t="s">
        <v>114</v>
      </c>
      <c r="G2978">
        <v>8.24</v>
      </c>
      <c r="H2978">
        <v>0.06</v>
      </c>
      <c r="I2978">
        <v>4.09</v>
      </c>
      <c r="J2978">
        <v>16.728100000000001</v>
      </c>
      <c r="K2978" t="str">
        <f>IFERROR(INDEX(Rosters!$C$2:$C$155,MATCH($B2978,Rosters!$B$2:$B$155,0)),"NA")</f>
        <v>NA</v>
      </c>
      <c r="L2978" t="str">
        <f t="shared" si="138"/>
        <v>NA5TE</v>
      </c>
      <c r="M2978">
        <f>COUNTIF(L$1:L2978,L2978)</f>
        <v>5</v>
      </c>
      <c r="N2978" t="str">
        <f t="shared" si="139"/>
        <v>NA5TE-5</v>
      </c>
      <c r="O2978">
        <f>COUNTIFS(F$1:F2978,F2978,A$1:A2978,A2978)</f>
        <v>16</v>
      </c>
      <c r="P2978" t="str">
        <f t="shared" si="140"/>
        <v>Rhett Ellison5</v>
      </c>
    </row>
    <row r="2979" spans="1:16" x14ac:dyDescent="0.25">
      <c r="A2979">
        <v>15</v>
      </c>
      <c r="B2979" t="s">
        <v>252</v>
      </c>
      <c r="C2979" t="s">
        <v>7821</v>
      </c>
      <c r="D2979">
        <v>4.1399999999999997</v>
      </c>
      <c r="E2979" t="s">
        <v>66</v>
      </c>
      <c r="F2979" t="s">
        <v>87</v>
      </c>
      <c r="G2979">
        <v>7.07</v>
      </c>
      <c r="H2979">
        <v>1.21</v>
      </c>
      <c r="I2979">
        <v>2.93</v>
      </c>
      <c r="J2979">
        <v>8.5848999999999993</v>
      </c>
      <c r="K2979" t="str">
        <f>IFERROR(INDEX(Rosters!$C$2:$C$155,MATCH($B2979,Rosters!$B$2:$B$155,0)),"NA")</f>
        <v>NA</v>
      </c>
      <c r="L2979" t="str">
        <f t="shared" si="138"/>
        <v>NA15WR</v>
      </c>
      <c r="M2979">
        <f>COUNTIF(L$1:L2979,L2979)</f>
        <v>27</v>
      </c>
      <c r="N2979" t="str">
        <f t="shared" si="139"/>
        <v>NA15WR-27</v>
      </c>
      <c r="O2979">
        <f>COUNTIFS(F$1:F2979,F2979,A$1:A2979,A2979)</f>
        <v>78</v>
      </c>
      <c r="P2979" t="str">
        <f t="shared" si="140"/>
        <v>Allen Hurns15</v>
      </c>
    </row>
    <row r="2980" spans="1:16" x14ac:dyDescent="0.25">
      <c r="A2980">
        <v>13</v>
      </c>
      <c r="B2980" t="s">
        <v>213</v>
      </c>
      <c r="C2980" t="s">
        <v>7822</v>
      </c>
      <c r="D2980">
        <v>4.13</v>
      </c>
      <c r="E2980" t="s">
        <v>74</v>
      </c>
      <c r="F2980" t="s">
        <v>114</v>
      </c>
      <c r="G2980">
        <v>7.33</v>
      </c>
      <c r="H2980">
        <v>0.93</v>
      </c>
      <c r="I2980">
        <v>3.2</v>
      </c>
      <c r="J2980">
        <v>10.24</v>
      </c>
      <c r="K2980" t="str">
        <f>IFERROR(INDEX(Rosters!$C$2:$C$155,MATCH($B2980,Rosters!$B$2:$B$155,0)),"NA")</f>
        <v>NA</v>
      </c>
      <c r="L2980" t="str">
        <f t="shared" si="138"/>
        <v>NA13TE</v>
      </c>
      <c r="M2980">
        <f>COUNTIF(L$1:L2980,L2980)</f>
        <v>5</v>
      </c>
      <c r="N2980" t="str">
        <f t="shared" si="139"/>
        <v>NA13TE-5</v>
      </c>
      <c r="O2980">
        <f>COUNTIFS(F$1:F2980,F2980,A$1:A2980,A2980)</f>
        <v>17</v>
      </c>
      <c r="P2980" t="str">
        <f t="shared" si="140"/>
        <v>Cameron Brate13</v>
      </c>
    </row>
    <row r="2981" spans="1:16" x14ac:dyDescent="0.25">
      <c r="A2981">
        <v>16</v>
      </c>
      <c r="B2981" t="s">
        <v>1396</v>
      </c>
      <c r="C2981" t="s">
        <v>7823</v>
      </c>
      <c r="D2981">
        <v>4.13</v>
      </c>
      <c r="E2981" t="s">
        <v>22</v>
      </c>
      <c r="F2981" t="s">
        <v>87</v>
      </c>
      <c r="G2981">
        <v>7.55</v>
      </c>
      <c r="H2981">
        <v>0.71</v>
      </c>
      <c r="I2981">
        <v>3.42</v>
      </c>
      <c r="J2981">
        <v>11.696400000000001</v>
      </c>
      <c r="K2981" t="str">
        <f>IFERROR(INDEX(Rosters!$C$2:$C$155,MATCH($B2981,Rosters!$B$2:$B$155,0)),"NA")</f>
        <v>NA</v>
      </c>
      <c r="L2981" t="str">
        <f t="shared" si="138"/>
        <v>NA16WR</v>
      </c>
      <c r="M2981">
        <f>COUNTIF(L$1:L2981,L2981)</f>
        <v>20</v>
      </c>
      <c r="N2981" t="str">
        <f t="shared" si="139"/>
        <v>NA16WR-20</v>
      </c>
      <c r="O2981">
        <f>COUNTIFS(F$1:F2981,F2981,A$1:A2981,A2981)</f>
        <v>71</v>
      </c>
      <c r="P2981" t="str">
        <f t="shared" si="140"/>
        <v>Chris Godwin16</v>
      </c>
    </row>
    <row r="2982" spans="1:16" x14ac:dyDescent="0.25">
      <c r="A2982">
        <v>15</v>
      </c>
      <c r="B2982" t="s">
        <v>141</v>
      </c>
      <c r="C2982" t="s">
        <v>7824</v>
      </c>
      <c r="D2982">
        <v>4.13</v>
      </c>
      <c r="E2982" t="s">
        <v>14</v>
      </c>
      <c r="F2982" t="s">
        <v>114</v>
      </c>
      <c r="G2982">
        <v>7.03</v>
      </c>
      <c r="H2982">
        <v>1.23</v>
      </c>
      <c r="I2982">
        <v>2.9</v>
      </c>
      <c r="J2982">
        <v>8.41</v>
      </c>
      <c r="K2982" t="str">
        <f>IFERROR(INDEX(Rosters!$C$2:$C$155,MATCH($B2982,Rosters!$B$2:$B$155,0)),"NA")</f>
        <v>aj</v>
      </c>
      <c r="L2982" t="str">
        <f t="shared" si="138"/>
        <v>aj15TE</v>
      </c>
      <c r="M2982">
        <f>COUNTIF(L$1:L2982,L2982)</f>
        <v>2</v>
      </c>
      <c r="N2982" t="str">
        <f t="shared" si="139"/>
        <v>aj15TE-2</v>
      </c>
      <c r="O2982">
        <f>COUNTIFS(F$1:F2982,F2982,A$1:A2982,A2982)</f>
        <v>22</v>
      </c>
      <c r="P2982" t="str">
        <f t="shared" si="140"/>
        <v>Greg Olsen15</v>
      </c>
    </row>
    <row r="2983" spans="1:16" x14ac:dyDescent="0.25">
      <c r="A2983">
        <v>6</v>
      </c>
      <c r="B2983" t="s">
        <v>308</v>
      </c>
      <c r="C2983">
        <f>-0.19-8.45</f>
        <v>-8.6399999999999988</v>
      </c>
      <c r="D2983">
        <v>4.13</v>
      </c>
      <c r="E2983" t="s">
        <v>56</v>
      </c>
      <c r="F2983" t="s">
        <v>114</v>
      </c>
      <c r="G2983">
        <v>8.4499999999999993</v>
      </c>
      <c r="H2983">
        <v>-0.19</v>
      </c>
      <c r="I2983">
        <v>4.32</v>
      </c>
      <c r="J2983">
        <v>18.662400000000002</v>
      </c>
      <c r="K2983" t="str">
        <f>IFERROR(INDEX(Rosters!$C$2:$C$155,MATCH($B2983,Rosters!$B$2:$B$155,0)),"NA")</f>
        <v>NA</v>
      </c>
      <c r="L2983" t="str">
        <f t="shared" si="138"/>
        <v>NA6TE</v>
      </c>
      <c r="M2983">
        <f>COUNTIF(L$1:L2983,L2983)</f>
        <v>6</v>
      </c>
      <c r="N2983" t="str">
        <f t="shared" si="139"/>
        <v>NA6TE-6</v>
      </c>
      <c r="O2983">
        <f>COUNTIFS(F$1:F2983,F2983,A$1:A2983,A2983)</f>
        <v>18</v>
      </c>
      <c r="P2983" t="str">
        <f t="shared" si="140"/>
        <v>Jeff Heuerman6</v>
      </c>
    </row>
    <row r="2984" spans="1:16" x14ac:dyDescent="0.25">
      <c r="A2984">
        <v>5</v>
      </c>
      <c r="B2984" t="s">
        <v>156</v>
      </c>
      <c r="C2984" t="s">
        <v>7825</v>
      </c>
      <c r="D2984">
        <v>4.13</v>
      </c>
      <c r="E2984" t="s">
        <v>37</v>
      </c>
      <c r="F2984" t="s">
        <v>87</v>
      </c>
      <c r="G2984">
        <v>7.06</v>
      </c>
      <c r="H2984">
        <v>1.2</v>
      </c>
      <c r="I2984">
        <v>2.93</v>
      </c>
      <c r="J2984">
        <v>8.5848999999999993</v>
      </c>
      <c r="K2984" t="str">
        <f>IFERROR(INDEX(Rosters!$C$2:$C$155,MATCH($B2984,Rosters!$B$2:$B$155,0)),"NA")</f>
        <v>NA</v>
      </c>
      <c r="L2984" t="str">
        <f t="shared" si="138"/>
        <v>NA5WR</v>
      </c>
      <c r="M2984">
        <f>COUNTIF(L$1:L2984,L2984)</f>
        <v>27</v>
      </c>
      <c r="N2984" t="str">
        <f t="shared" si="139"/>
        <v>NA5WR-27</v>
      </c>
      <c r="O2984">
        <f>COUNTIFS(F$1:F2984,F2984,A$1:A2984,A2984)</f>
        <v>73</v>
      </c>
      <c r="P2984" t="str">
        <f t="shared" si="140"/>
        <v>Martavis Bryant5</v>
      </c>
    </row>
    <row r="2985" spans="1:16" x14ac:dyDescent="0.25">
      <c r="A2985">
        <v>16</v>
      </c>
      <c r="B2985" t="s">
        <v>388</v>
      </c>
      <c r="C2985" t="s">
        <v>7826</v>
      </c>
      <c r="D2985">
        <v>4.13</v>
      </c>
      <c r="E2985" t="s">
        <v>17</v>
      </c>
      <c r="F2985" t="s">
        <v>47</v>
      </c>
      <c r="G2985">
        <v>8.26</v>
      </c>
      <c r="H2985">
        <v>0</v>
      </c>
      <c r="I2985">
        <v>4.13</v>
      </c>
      <c r="J2985">
        <v>17.056899999999999</v>
      </c>
      <c r="K2985" t="str">
        <f>IFERROR(INDEX(Rosters!$C$2:$C$155,MATCH($B2985,Rosters!$B$2:$B$155,0)),"NA")</f>
        <v>NA</v>
      </c>
      <c r="L2985" t="str">
        <f t="shared" si="138"/>
        <v>NA16RB</v>
      </c>
      <c r="M2985">
        <f>COUNTIF(L$1:L2985,L2985)</f>
        <v>18</v>
      </c>
      <c r="N2985" t="str">
        <f t="shared" si="139"/>
        <v>NA16RB-18</v>
      </c>
      <c r="O2985">
        <f>COUNTIFS(F$1:F2985,F2985,A$1:A2985,A2985)</f>
        <v>63</v>
      </c>
      <c r="P2985" t="str">
        <f t="shared" si="140"/>
        <v>Rod Smith16</v>
      </c>
    </row>
    <row r="2986" spans="1:16" x14ac:dyDescent="0.25">
      <c r="A2986">
        <v>8</v>
      </c>
      <c r="B2986" t="s">
        <v>155</v>
      </c>
      <c r="C2986" t="s">
        <v>7827</v>
      </c>
      <c r="D2986">
        <v>4.13</v>
      </c>
      <c r="E2986" t="s">
        <v>28</v>
      </c>
      <c r="F2986" t="s">
        <v>47</v>
      </c>
      <c r="G2986">
        <v>6.82</v>
      </c>
      <c r="H2986">
        <v>1.44</v>
      </c>
      <c r="I2986">
        <v>2.69</v>
      </c>
      <c r="J2986">
        <v>7.2361000000000004</v>
      </c>
      <c r="K2986" t="str">
        <f>IFERROR(INDEX(Rosters!$C$2:$C$155,MATCH($B2986,Rosters!$B$2:$B$155,0)),"NA")</f>
        <v>NA</v>
      </c>
      <c r="L2986" t="str">
        <f t="shared" si="138"/>
        <v>NA8RB</v>
      </c>
      <c r="M2986">
        <f>COUNTIF(L$1:L2986,L2986)</f>
        <v>18</v>
      </c>
      <c r="N2986" t="str">
        <f t="shared" si="139"/>
        <v>NA8RB-18</v>
      </c>
      <c r="O2986">
        <f>COUNTIFS(F$1:F2986,F2986,A$1:A2986,A2986)</f>
        <v>57</v>
      </c>
      <c r="P2986" t="str">
        <f t="shared" si="140"/>
        <v>Theo Riddick8</v>
      </c>
    </row>
    <row r="2987" spans="1:16" x14ac:dyDescent="0.25">
      <c r="A2987">
        <v>17</v>
      </c>
      <c r="B2987" t="s">
        <v>213</v>
      </c>
      <c r="C2987" t="s">
        <v>7828</v>
      </c>
      <c r="D2987">
        <v>4.12</v>
      </c>
      <c r="E2987" t="s">
        <v>46</v>
      </c>
      <c r="F2987" t="s">
        <v>114</v>
      </c>
      <c r="G2987">
        <v>7.26</v>
      </c>
      <c r="H2987">
        <v>0.98</v>
      </c>
      <c r="I2987">
        <v>3.14</v>
      </c>
      <c r="J2987">
        <v>9.8596000000000004</v>
      </c>
      <c r="K2987" t="str">
        <f>IFERROR(INDEX(Rosters!$C$2:$C$155,MATCH($B2987,Rosters!$B$2:$B$155,0)),"NA")</f>
        <v>NA</v>
      </c>
      <c r="L2987" t="str">
        <f t="shared" si="138"/>
        <v>NA17TE</v>
      </c>
      <c r="M2987">
        <f>COUNTIF(L$1:L2987,L2987)</f>
        <v>8</v>
      </c>
      <c r="N2987" t="str">
        <f t="shared" si="139"/>
        <v>NA17TE-8</v>
      </c>
      <c r="O2987">
        <f>COUNTIFS(F$1:F2987,F2987,A$1:A2987,A2987)</f>
        <v>21</v>
      </c>
      <c r="P2987" t="str">
        <f t="shared" si="140"/>
        <v>Cameron Brate17</v>
      </c>
    </row>
    <row r="2988" spans="1:16" x14ac:dyDescent="0.25">
      <c r="A2988">
        <v>13</v>
      </c>
      <c r="B2988" t="s">
        <v>1489</v>
      </c>
      <c r="C2988">
        <f>-2.06-10.3</f>
        <v>-12.360000000000001</v>
      </c>
      <c r="D2988">
        <v>4.12</v>
      </c>
      <c r="E2988" t="s">
        <v>41</v>
      </c>
      <c r="F2988" t="s">
        <v>87</v>
      </c>
      <c r="G2988">
        <v>10.3</v>
      </c>
      <c r="H2988">
        <v>-2.06</v>
      </c>
      <c r="I2988">
        <v>6.18</v>
      </c>
      <c r="J2988">
        <v>38.192399999999999</v>
      </c>
      <c r="K2988" t="str">
        <f>IFERROR(INDEX(Rosters!$C$2:$C$155,MATCH($B2988,Rosters!$B$2:$B$155,0)),"NA")</f>
        <v>NA</v>
      </c>
      <c r="L2988" t="str">
        <f t="shared" si="138"/>
        <v>NA13WR</v>
      </c>
      <c r="M2988">
        <f>COUNTIF(L$1:L2988,L2988)</f>
        <v>27</v>
      </c>
      <c r="N2988" t="str">
        <f t="shared" si="139"/>
        <v>NA13WR-27</v>
      </c>
      <c r="O2988">
        <f>COUNTIFS(F$1:F2988,F2988,A$1:A2988,A2988)</f>
        <v>79</v>
      </c>
      <c r="P2988" t="str">
        <f t="shared" si="140"/>
        <v>Chad Williams13</v>
      </c>
    </row>
    <row r="2989" spans="1:16" x14ac:dyDescent="0.25">
      <c r="A2989">
        <v>1</v>
      </c>
      <c r="B2989" t="s">
        <v>215</v>
      </c>
      <c r="C2989">
        <f>-0.1-8.34</f>
        <v>-8.44</v>
      </c>
      <c r="D2989">
        <v>4.12</v>
      </c>
      <c r="E2989" t="s">
        <v>51</v>
      </c>
      <c r="F2989" t="s">
        <v>114</v>
      </c>
      <c r="G2989">
        <v>8.34</v>
      </c>
      <c r="H2989">
        <v>-0.1</v>
      </c>
      <c r="I2989">
        <v>4.22</v>
      </c>
      <c r="J2989">
        <v>17.808399999999999</v>
      </c>
      <c r="K2989" t="str">
        <f>IFERROR(INDEX(Rosters!$C$2:$C$155,MATCH($B2989,Rosters!$B$2:$B$155,0)),"NA")</f>
        <v>NA</v>
      </c>
      <c r="L2989" t="str">
        <f t="shared" si="138"/>
        <v>NA1TE</v>
      </c>
      <c r="M2989">
        <f>COUNTIF(L$1:L2989,L2989)</f>
        <v>10</v>
      </c>
      <c r="N2989" t="str">
        <f t="shared" si="139"/>
        <v>NA1TE-10</v>
      </c>
      <c r="O2989">
        <f>COUNTIFS(F$1:F2989,F2989,A$1:A2989,A2989)</f>
        <v>20</v>
      </c>
      <c r="P2989" t="str">
        <f t="shared" si="140"/>
        <v>David Njoku1</v>
      </c>
    </row>
    <row r="2990" spans="1:16" x14ac:dyDescent="0.25">
      <c r="A2990">
        <v>9</v>
      </c>
      <c r="B2990" t="s">
        <v>141</v>
      </c>
      <c r="C2990" t="s">
        <v>7829</v>
      </c>
      <c r="D2990">
        <v>4.12</v>
      </c>
      <c r="E2990" t="s">
        <v>17</v>
      </c>
      <c r="F2990" t="s">
        <v>114</v>
      </c>
      <c r="G2990">
        <v>7.08</v>
      </c>
      <c r="H2990">
        <v>1.1599999999999999</v>
      </c>
      <c r="I2990">
        <v>2.96</v>
      </c>
      <c r="J2990">
        <v>8.7615999999999996</v>
      </c>
      <c r="K2990" t="str">
        <f>IFERROR(INDEX(Rosters!$C$2:$C$155,MATCH($B2990,Rosters!$B$2:$B$155,0)),"NA")</f>
        <v>aj</v>
      </c>
      <c r="L2990" t="str">
        <f t="shared" si="138"/>
        <v>aj9TE</v>
      </c>
      <c r="M2990">
        <f>COUNTIF(L$1:L2990,L2990)</f>
        <v>2</v>
      </c>
      <c r="N2990" t="str">
        <f t="shared" si="139"/>
        <v>aj9TE-2</v>
      </c>
      <c r="O2990">
        <f>COUNTIFS(F$1:F2990,F2990,A$1:A2990,A2990)</f>
        <v>15</v>
      </c>
      <c r="P2990" t="str">
        <f t="shared" si="140"/>
        <v>Greg Olsen9</v>
      </c>
    </row>
    <row r="2991" spans="1:16" x14ac:dyDescent="0.25">
      <c r="A2991">
        <v>7</v>
      </c>
      <c r="B2991" t="s">
        <v>226</v>
      </c>
      <c r="C2991" t="s">
        <v>7830</v>
      </c>
      <c r="D2991">
        <v>4.12</v>
      </c>
      <c r="E2991" t="s">
        <v>38</v>
      </c>
      <c r="F2991" t="s">
        <v>87</v>
      </c>
      <c r="G2991">
        <v>7.87</v>
      </c>
      <c r="H2991">
        <v>0.37</v>
      </c>
      <c r="I2991">
        <v>3.75</v>
      </c>
      <c r="J2991">
        <v>14.0625</v>
      </c>
      <c r="K2991" t="str">
        <f>IFERROR(INDEX(Rosters!$C$2:$C$155,MATCH($B2991,Rosters!$B$2:$B$155,0)),"NA")</f>
        <v>comp</v>
      </c>
      <c r="L2991" t="str">
        <f t="shared" si="138"/>
        <v>comp7WR</v>
      </c>
      <c r="M2991">
        <f>COUNTIF(L$1:L2991,L2991)</f>
        <v>5</v>
      </c>
      <c r="N2991" t="str">
        <f t="shared" si="139"/>
        <v>comp7WR-5</v>
      </c>
      <c r="O2991">
        <f>COUNTIFS(F$1:F2991,F2991,A$1:A2991,A2991)</f>
        <v>69</v>
      </c>
      <c r="P2991" t="str">
        <f t="shared" si="140"/>
        <v>Mike Williams7</v>
      </c>
    </row>
    <row r="2992" spans="1:16" x14ac:dyDescent="0.25">
      <c r="A2992">
        <v>13</v>
      </c>
      <c r="B2992" t="s">
        <v>388</v>
      </c>
      <c r="C2992" t="s">
        <v>7831</v>
      </c>
      <c r="D2992">
        <v>4.12</v>
      </c>
      <c r="E2992" t="s">
        <v>14</v>
      </c>
      <c r="F2992" t="s">
        <v>47</v>
      </c>
      <c r="G2992">
        <v>8.06</v>
      </c>
      <c r="H2992">
        <v>0.18</v>
      </c>
      <c r="I2992">
        <v>3.94</v>
      </c>
      <c r="J2992">
        <v>15.5236</v>
      </c>
      <c r="K2992" t="str">
        <f>IFERROR(INDEX(Rosters!$C$2:$C$155,MATCH($B2992,Rosters!$B$2:$B$155,0)),"NA")</f>
        <v>NA</v>
      </c>
      <c r="L2992" t="str">
        <f t="shared" si="138"/>
        <v>NA13RB</v>
      </c>
      <c r="M2992">
        <f>COUNTIF(L$1:L2992,L2992)</f>
        <v>19</v>
      </c>
      <c r="N2992" t="str">
        <f t="shared" si="139"/>
        <v>NA13RB-19</v>
      </c>
      <c r="O2992">
        <f>COUNTIFS(F$1:F2992,F2992,A$1:A2992,A2992)</f>
        <v>65</v>
      </c>
      <c r="P2992" t="str">
        <f t="shared" si="140"/>
        <v>Rod Smith13</v>
      </c>
    </row>
    <row r="2993" spans="1:16" x14ac:dyDescent="0.25">
      <c r="A2993">
        <v>13</v>
      </c>
      <c r="B2993" t="s">
        <v>178</v>
      </c>
      <c r="C2993" t="s">
        <v>7832</v>
      </c>
      <c r="D2993">
        <v>4.1100000000000003</v>
      </c>
      <c r="E2993" t="s">
        <v>76</v>
      </c>
      <c r="F2993" t="s">
        <v>114</v>
      </c>
      <c r="G2993">
        <v>7.66</v>
      </c>
      <c r="H2993">
        <v>0.56000000000000005</v>
      </c>
      <c r="I2993">
        <v>3.55</v>
      </c>
      <c r="J2993">
        <v>12.602499999999999</v>
      </c>
      <c r="K2993" t="str">
        <f>IFERROR(INDEX(Rosters!$C$2:$C$155,MATCH($B2993,Rosters!$B$2:$B$155,0)),"NA")</f>
        <v>devon</v>
      </c>
      <c r="L2993" t="str">
        <f t="shared" si="138"/>
        <v>devon13TE</v>
      </c>
      <c r="M2993">
        <f>COUNTIF(L$1:L2993,L2993)</f>
        <v>2</v>
      </c>
      <c r="N2993" t="str">
        <f t="shared" si="139"/>
        <v>devon13TE-2</v>
      </c>
      <c r="O2993">
        <f>COUNTIFS(F$1:F2993,F2993,A$1:A2993,A2993)</f>
        <v>18</v>
      </c>
      <c r="P2993" t="str">
        <f t="shared" si="140"/>
        <v>Eric Ebron13</v>
      </c>
    </row>
    <row r="2994" spans="1:16" x14ac:dyDescent="0.25">
      <c r="A2994">
        <v>5</v>
      </c>
      <c r="B2994" t="s">
        <v>1516</v>
      </c>
      <c r="C2994">
        <f>-0.31-8.53</f>
        <v>-8.84</v>
      </c>
      <c r="D2994">
        <v>4.1100000000000003</v>
      </c>
      <c r="E2994" t="s">
        <v>34</v>
      </c>
      <c r="F2994" t="s">
        <v>87</v>
      </c>
      <c r="G2994">
        <v>8.5299999999999994</v>
      </c>
      <c r="H2994">
        <v>-0.31</v>
      </c>
      <c r="I2994">
        <v>4.42</v>
      </c>
      <c r="J2994">
        <v>19.5364</v>
      </c>
      <c r="K2994" t="str">
        <f>IFERROR(INDEX(Rosters!$C$2:$C$155,MATCH($B2994,Rosters!$B$2:$B$155,0)),"NA")</f>
        <v>NA</v>
      </c>
      <c r="L2994" t="str">
        <f t="shared" si="138"/>
        <v>NA5WR</v>
      </c>
      <c r="M2994">
        <f>COUNTIF(L$1:L2994,L2994)</f>
        <v>28</v>
      </c>
      <c r="N2994" t="str">
        <f t="shared" si="139"/>
        <v>NA5WR-28</v>
      </c>
      <c r="O2994">
        <f>COUNTIFS(F$1:F2994,F2994,A$1:A2994,A2994)</f>
        <v>74</v>
      </c>
      <c r="P2994" t="str">
        <f t="shared" si="140"/>
        <v>J'Mon Moore5</v>
      </c>
    </row>
    <row r="2995" spans="1:16" x14ac:dyDescent="0.25">
      <c r="A2995">
        <v>8</v>
      </c>
      <c r="B2995" t="s">
        <v>219</v>
      </c>
      <c r="C2995" t="s">
        <v>7833</v>
      </c>
      <c r="D2995">
        <v>4.1100000000000003</v>
      </c>
      <c r="E2995" t="s">
        <v>72</v>
      </c>
      <c r="F2995" t="s">
        <v>87</v>
      </c>
      <c r="G2995">
        <v>7.25</v>
      </c>
      <c r="H2995">
        <v>0.97</v>
      </c>
      <c r="I2995">
        <v>3.14</v>
      </c>
      <c r="J2995">
        <v>9.8596000000000004</v>
      </c>
      <c r="K2995" t="str">
        <f>IFERROR(INDEX(Rosters!$C$2:$C$155,MATCH($B2995,Rosters!$B$2:$B$155,0)),"NA")</f>
        <v>NA</v>
      </c>
      <c r="L2995" t="str">
        <f t="shared" si="138"/>
        <v>NA8WR</v>
      </c>
      <c r="M2995">
        <f>COUNTIF(L$1:L2995,L2995)</f>
        <v>21</v>
      </c>
      <c r="N2995" t="str">
        <f t="shared" si="139"/>
        <v>NA8WR-21</v>
      </c>
      <c r="O2995">
        <f>COUNTIFS(F$1:F2995,F2995,A$1:A2995,A2995)</f>
        <v>67</v>
      </c>
      <c r="P2995" t="str">
        <f t="shared" si="140"/>
        <v>Jermaine Kearse8</v>
      </c>
    </row>
    <row r="2996" spans="1:16" x14ac:dyDescent="0.25">
      <c r="A2996">
        <v>6</v>
      </c>
      <c r="B2996" t="s">
        <v>156</v>
      </c>
      <c r="C2996" t="s">
        <v>7834</v>
      </c>
      <c r="D2996">
        <v>4.1100000000000003</v>
      </c>
      <c r="E2996" t="s">
        <v>28</v>
      </c>
      <c r="F2996" t="s">
        <v>87</v>
      </c>
      <c r="G2996">
        <v>6.9</v>
      </c>
      <c r="H2996">
        <v>1.32</v>
      </c>
      <c r="I2996">
        <v>2.79</v>
      </c>
      <c r="J2996">
        <v>7.7840999999999996</v>
      </c>
      <c r="K2996" t="str">
        <f>IFERROR(INDEX(Rosters!$C$2:$C$155,MATCH($B2996,Rosters!$B$2:$B$155,0)),"NA")</f>
        <v>NA</v>
      </c>
      <c r="L2996" t="str">
        <f t="shared" si="138"/>
        <v>NA6WR</v>
      </c>
      <c r="M2996">
        <f>COUNTIF(L$1:L2996,L2996)</f>
        <v>25</v>
      </c>
      <c r="N2996" t="str">
        <f t="shared" si="139"/>
        <v>NA6WR-25</v>
      </c>
      <c r="O2996">
        <f>COUNTIFS(F$1:F2996,F2996,A$1:A2996,A2996)</f>
        <v>72</v>
      </c>
      <c r="P2996" t="str">
        <f t="shared" si="140"/>
        <v>Martavis Bryant6</v>
      </c>
    </row>
    <row r="2997" spans="1:16" x14ac:dyDescent="0.25">
      <c r="A2997">
        <v>8</v>
      </c>
      <c r="B2997" t="s">
        <v>1396</v>
      </c>
      <c r="C2997" t="s">
        <v>7835</v>
      </c>
      <c r="D2997">
        <v>4.0999999999999996</v>
      </c>
      <c r="E2997" t="s">
        <v>31</v>
      </c>
      <c r="F2997" t="s">
        <v>87</v>
      </c>
      <c r="G2997">
        <v>7.99</v>
      </c>
      <c r="H2997">
        <v>0.21</v>
      </c>
      <c r="I2997">
        <v>3.89</v>
      </c>
      <c r="J2997">
        <v>15.132099999999999</v>
      </c>
      <c r="K2997" t="str">
        <f>IFERROR(INDEX(Rosters!$C$2:$C$155,MATCH($B2997,Rosters!$B$2:$B$155,0)),"NA")</f>
        <v>NA</v>
      </c>
      <c r="L2997" t="str">
        <f t="shared" si="138"/>
        <v>NA8WR</v>
      </c>
      <c r="M2997">
        <f>COUNTIF(L$1:L2997,L2997)</f>
        <v>22</v>
      </c>
      <c r="N2997" t="str">
        <f t="shared" si="139"/>
        <v>NA8WR-22</v>
      </c>
      <c r="O2997">
        <f>COUNTIFS(F$1:F2997,F2997,A$1:A2997,A2997)</f>
        <v>68</v>
      </c>
      <c r="P2997" t="str">
        <f t="shared" si="140"/>
        <v>Chris Godwin8</v>
      </c>
    </row>
    <row r="2998" spans="1:16" x14ac:dyDescent="0.25">
      <c r="A2998">
        <v>12</v>
      </c>
      <c r="B2998" t="s">
        <v>1387</v>
      </c>
      <c r="C2998" t="s">
        <v>7836</v>
      </c>
      <c r="D2998">
        <v>4.0999999999999996</v>
      </c>
      <c r="E2998" t="s">
        <v>54</v>
      </c>
      <c r="F2998" t="s">
        <v>47</v>
      </c>
      <c r="G2998">
        <v>7.7</v>
      </c>
      <c r="H2998">
        <v>0.5</v>
      </c>
      <c r="I2998">
        <v>3.6</v>
      </c>
      <c r="J2998">
        <v>12.96</v>
      </c>
      <c r="K2998" t="str">
        <f>IFERROR(INDEX(Rosters!$C$2:$C$155,MATCH($B2998,Rosters!$B$2:$B$155,0)),"NA")</f>
        <v>NA</v>
      </c>
      <c r="L2998" t="str">
        <f t="shared" si="138"/>
        <v>NA12RB</v>
      </c>
      <c r="M2998">
        <f>COUNTIF(L$1:L2998,L2998)</f>
        <v>14</v>
      </c>
      <c r="N2998" t="str">
        <f t="shared" si="139"/>
        <v>NA12RB-14</v>
      </c>
      <c r="O2998">
        <f>COUNTIFS(F$1:F2998,F2998,A$1:A2998,A2998)</f>
        <v>58</v>
      </c>
      <c r="P2998" t="str">
        <f t="shared" si="140"/>
        <v>Corey Clement12</v>
      </c>
    </row>
    <row r="2999" spans="1:16" x14ac:dyDescent="0.25">
      <c r="A2999">
        <v>14</v>
      </c>
      <c r="B2999" t="s">
        <v>243</v>
      </c>
      <c r="C2999" t="s">
        <v>7837</v>
      </c>
      <c r="D2999">
        <v>4.0999999999999996</v>
      </c>
      <c r="E2999" t="s">
        <v>19</v>
      </c>
      <c r="F2999" t="s">
        <v>87</v>
      </c>
      <c r="G2999">
        <v>7.89</v>
      </c>
      <c r="H2999">
        <v>0.31</v>
      </c>
      <c r="I2999">
        <v>3.79</v>
      </c>
      <c r="J2999">
        <v>14.364100000000001</v>
      </c>
      <c r="K2999" t="str">
        <f>IFERROR(INDEX(Rosters!$C$2:$C$155,MATCH($B2999,Rosters!$B$2:$B$155,0)),"NA")</f>
        <v>NA</v>
      </c>
      <c r="L2999" t="str">
        <f t="shared" si="138"/>
        <v>NA14WR</v>
      </c>
      <c r="M2999">
        <f>COUNTIF(L$1:L2999,L2999)</f>
        <v>25</v>
      </c>
      <c r="N2999" t="str">
        <f t="shared" si="139"/>
        <v>NA14WR-25</v>
      </c>
      <c r="O2999">
        <f>COUNTIFS(F$1:F2999,F2999,A$1:A2999,A2999)</f>
        <v>77</v>
      </c>
      <c r="P2999" t="str">
        <f t="shared" si="140"/>
        <v>Phillip Dorsett14</v>
      </c>
    </row>
    <row r="3000" spans="1:16" x14ac:dyDescent="0.25">
      <c r="A3000">
        <v>12</v>
      </c>
      <c r="B3000" t="s">
        <v>252</v>
      </c>
      <c r="C3000" t="s">
        <v>7838</v>
      </c>
      <c r="D3000">
        <v>4.09</v>
      </c>
      <c r="E3000" t="s">
        <v>60</v>
      </c>
      <c r="F3000" t="s">
        <v>87</v>
      </c>
      <c r="G3000">
        <v>7.43</v>
      </c>
      <c r="H3000">
        <v>0.75</v>
      </c>
      <c r="I3000">
        <v>3.34</v>
      </c>
      <c r="J3000">
        <v>11.1556</v>
      </c>
      <c r="K3000" t="str">
        <f>IFERROR(INDEX(Rosters!$C$2:$C$155,MATCH($B3000,Rosters!$B$2:$B$155,0)),"NA")</f>
        <v>NA</v>
      </c>
      <c r="L3000" t="str">
        <f t="shared" si="138"/>
        <v>NA12WR</v>
      </c>
      <c r="M3000">
        <f>COUNTIF(L$1:L3000,L3000)</f>
        <v>24</v>
      </c>
      <c r="N3000" t="str">
        <f t="shared" si="139"/>
        <v>NA12WR-24</v>
      </c>
      <c r="O3000">
        <f>COUNTIFS(F$1:F3000,F3000,A$1:A3000,A3000)</f>
        <v>71</v>
      </c>
      <c r="P3000" t="str">
        <f t="shared" si="140"/>
        <v>Allen Hurns12</v>
      </c>
    </row>
    <row r="3001" spans="1:16" x14ac:dyDescent="0.25">
      <c r="A3001">
        <v>10</v>
      </c>
      <c r="B3001" t="s">
        <v>150</v>
      </c>
      <c r="C3001" t="s">
        <v>7839</v>
      </c>
      <c r="D3001">
        <v>4.09</v>
      </c>
      <c r="E3001" t="s">
        <v>73</v>
      </c>
      <c r="F3001" t="s">
        <v>87</v>
      </c>
      <c r="G3001">
        <v>7.32</v>
      </c>
      <c r="H3001">
        <v>0.86</v>
      </c>
      <c r="I3001">
        <v>3.23</v>
      </c>
      <c r="J3001">
        <v>10.4329</v>
      </c>
      <c r="K3001" t="str">
        <f>IFERROR(INDEX(Rosters!$C$2:$C$155,MATCH($B3001,Rosters!$B$2:$B$155,0)),"NA")</f>
        <v>NA</v>
      </c>
      <c r="L3001" t="str">
        <f t="shared" si="138"/>
        <v>NA10WR</v>
      </c>
      <c r="M3001">
        <f>COUNTIF(L$1:L3001,L3001)</f>
        <v>24</v>
      </c>
      <c r="N3001" t="str">
        <f t="shared" si="139"/>
        <v>NA10WR-24</v>
      </c>
      <c r="O3001">
        <f>COUNTIFS(F$1:F3001,F3001,A$1:A3001,A3001)</f>
        <v>68</v>
      </c>
      <c r="P3001" t="str">
        <f t="shared" si="140"/>
        <v>Kelvin Benjamin10</v>
      </c>
    </row>
    <row r="3002" spans="1:16" x14ac:dyDescent="0.25">
      <c r="A3002">
        <v>14</v>
      </c>
      <c r="B3002" t="s">
        <v>156</v>
      </c>
      <c r="C3002" t="s">
        <v>7840</v>
      </c>
      <c r="D3002">
        <v>4.08</v>
      </c>
      <c r="E3002" t="s">
        <v>51</v>
      </c>
      <c r="F3002" t="s">
        <v>87</v>
      </c>
      <c r="G3002">
        <v>6.98</v>
      </c>
      <c r="H3002">
        <v>1.18</v>
      </c>
      <c r="I3002">
        <v>2.9</v>
      </c>
      <c r="J3002">
        <v>8.41</v>
      </c>
      <c r="K3002" t="str">
        <f>IFERROR(INDEX(Rosters!$C$2:$C$155,MATCH($B3002,Rosters!$B$2:$B$155,0)),"NA")</f>
        <v>NA</v>
      </c>
      <c r="L3002" t="str">
        <f t="shared" si="138"/>
        <v>NA14WR</v>
      </c>
      <c r="M3002">
        <f>COUNTIF(L$1:L3002,L3002)</f>
        <v>26</v>
      </c>
      <c r="N3002" t="str">
        <f t="shared" si="139"/>
        <v>NA14WR-26</v>
      </c>
      <c r="O3002">
        <f>COUNTIFS(F$1:F3002,F3002,A$1:A3002,A3002)</f>
        <v>78</v>
      </c>
      <c r="P3002" t="str">
        <f t="shared" si="140"/>
        <v>Martavis Bryant14</v>
      </c>
    </row>
    <row r="3003" spans="1:16" x14ac:dyDescent="0.25">
      <c r="A3003">
        <v>2</v>
      </c>
      <c r="B3003" t="s">
        <v>1381</v>
      </c>
      <c r="C3003">
        <f>-0.23-8.39</f>
        <v>-8.620000000000001</v>
      </c>
      <c r="D3003">
        <v>4.08</v>
      </c>
      <c r="E3003" t="s">
        <v>56</v>
      </c>
      <c r="F3003" t="s">
        <v>114</v>
      </c>
      <c r="G3003">
        <v>8.39</v>
      </c>
      <c r="H3003">
        <v>-0.23</v>
      </c>
      <c r="I3003">
        <v>4.3099999999999996</v>
      </c>
      <c r="J3003">
        <v>18.5761</v>
      </c>
      <c r="K3003" t="str">
        <f>IFERROR(INDEX(Rosters!$C$2:$C$155,MATCH($B3003,Rosters!$B$2:$B$155,0)),"NA")</f>
        <v>NA</v>
      </c>
      <c r="L3003" t="str">
        <f t="shared" si="138"/>
        <v>NA2TE</v>
      </c>
      <c r="M3003">
        <f>COUNTIF(L$1:L3003,L3003)</f>
        <v>8</v>
      </c>
      <c r="N3003" t="str">
        <f t="shared" si="139"/>
        <v>NA2TE-8</v>
      </c>
      <c r="O3003">
        <f>COUNTIFS(F$1:F3003,F3003,A$1:A3003,A3003)</f>
        <v>20</v>
      </c>
      <c r="P3003" t="str">
        <f t="shared" si="140"/>
        <v>Ricky Seals-Jones2</v>
      </c>
    </row>
    <row r="3004" spans="1:16" x14ac:dyDescent="0.25">
      <c r="A3004">
        <v>5</v>
      </c>
      <c r="B3004" t="s">
        <v>1540</v>
      </c>
      <c r="C3004" t="s">
        <v>7841</v>
      </c>
      <c r="D3004">
        <v>4.08</v>
      </c>
      <c r="E3004" t="s">
        <v>46</v>
      </c>
      <c r="F3004" t="s">
        <v>87</v>
      </c>
      <c r="G3004">
        <v>7.91</v>
      </c>
      <c r="H3004">
        <v>0.25</v>
      </c>
      <c r="I3004">
        <v>3.83</v>
      </c>
      <c r="J3004">
        <v>14.668900000000001</v>
      </c>
      <c r="K3004" t="str">
        <f>IFERROR(INDEX(Rosters!$C$2:$C$155,MATCH($B3004,Rosters!$B$2:$B$155,0)),"NA")</f>
        <v>NA</v>
      </c>
      <c r="L3004" t="str">
        <f t="shared" si="138"/>
        <v>NA5WR</v>
      </c>
      <c r="M3004">
        <f>COUNTIF(L$1:L3004,L3004)</f>
        <v>29</v>
      </c>
      <c r="N3004" t="str">
        <f t="shared" si="139"/>
        <v>NA5WR-29</v>
      </c>
      <c r="O3004">
        <f>COUNTIFS(F$1:F3004,F3004,A$1:A3004,A3004)</f>
        <v>75</v>
      </c>
      <c r="P3004" t="str">
        <f t="shared" si="140"/>
        <v>Ryan Switzer5</v>
      </c>
    </row>
    <row r="3005" spans="1:16" x14ac:dyDescent="0.25">
      <c r="A3005">
        <v>4</v>
      </c>
      <c r="B3005" t="s">
        <v>152</v>
      </c>
      <c r="C3005" t="s">
        <v>4562</v>
      </c>
      <c r="D3005">
        <v>4.08</v>
      </c>
      <c r="E3005" t="s">
        <v>51</v>
      </c>
      <c r="F3005" t="s">
        <v>87</v>
      </c>
      <c r="G3005">
        <v>8.01</v>
      </c>
      <c r="H3005">
        <v>0.15</v>
      </c>
      <c r="I3005">
        <v>3.93</v>
      </c>
      <c r="J3005">
        <v>15.444900000000001</v>
      </c>
      <c r="K3005" t="str">
        <f>IFERROR(INDEX(Rosters!$C$2:$C$155,MATCH($B3005,Rosters!$B$2:$B$155,0)),"NA")</f>
        <v>NA</v>
      </c>
      <c r="L3005" t="str">
        <f t="shared" si="138"/>
        <v>NA4WR</v>
      </c>
      <c r="M3005">
        <f>COUNTIF(L$1:L3005,L3005)</f>
        <v>18</v>
      </c>
      <c r="N3005" t="str">
        <f t="shared" si="139"/>
        <v>NA4WR-18</v>
      </c>
      <c r="O3005">
        <f>COUNTIFS(F$1:F3005,F3005,A$1:A3005,A3005)</f>
        <v>65</v>
      </c>
      <c r="P3005" t="str">
        <f t="shared" si="140"/>
        <v>Willie Snead4</v>
      </c>
    </row>
    <row r="3006" spans="1:16" x14ac:dyDescent="0.25">
      <c r="A3006">
        <v>2</v>
      </c>
      <c r="B3006" t="s">
        <v>1377</v>
      </c>
      <c r="C3006" t="s">
        <v>1445</v>
      </c>
      <c r="D3006">
        <v>4.07</v>
      </c>
      <c r="E3006" t="s">
        <v>28</v>
      </c>
      <c r="F3006" t="s">
        <v>87</v>
      </c>
      <c r="G3006">
        <v>7.98</v>
      </c>
      <c r="H3006">
        <v>0.16</v>
      </c>
      <c r="I3006">
        <v>3.91</v>
      </c>
      <c r="J3006">
        <v>15.2881</v>
      </c>
      <c r="K3006" t="str">
        <f>IFERROR(INDEX(Rosters!$C$2:$C$155,MATCH($B3006,Rosters!$B$2:$B$155,0)),"NA")</f>
        <v>NA</v>
      </c>
      <c r="L3006" t="str">
        <f t="shared" si="138"/>
        <v>NA2WR</v>
      </c>
      <c r="M3006">
        <f>COUNTIF(L$1:L3006,L3006)</f>
        <v>25</v>
      </c>
      <c r="N3006" t="str">
        <f t="shared" si="139"/>
        <v>NA2WR-25</v>
      </c>
      <c r="O3006">
        <f>COUNTIFS(F$1:F3006,F3006,A$1:A3006,A3006)</f>
        <v>72</v>
      </c>
      <c r="P3006" t="str">
        <f t="shared" si="140"/>
        <v>Anthony Miller2</v>
      </c>
    </row>
    <row r="3007" spans="1:16" x14ac:dyDescent="0.25">
      <c r="A3007">
        <v>12</v>
      </c>
      <c r="B3007" t="s">
        <v>1377</v>
      </c>
      <c r="C3007" t="s">
        <v>7842</v>
      </c>
      <c r="D3007">
        <v>4.07</v>
      </c>
      <c r="E3007" t="s">
        <v>34</v>
      </c>
      <c r="F3007" t="s">
        <v>87</v>
      </c>
      <c r="G3007">
        <v>8.06</v>
      </c>
      <c r="H3007">
        <v>0.08</v>
      </c>
      <c r="I3007">
        <v>3.99</v>
      </c>
      <c r="J3007">
        <v>15.9201</v>
      </c>
      <c r="K3007" t="str">
        <f>IFERROR(INDEX(Rosters!$C$2:$C$155,MATCH($B3007,Rosters!$B$2:$B$155,0)),"NA")</f>
        <v>NA</v>
      </c>
      <c r="L3007" t="str">
        <f t="shared" si="138"/>
        <v>NA12WR</v>
      </c>
      <c r="M3007">
        <f>COUNTIF(L$1:L3007,L3007)</f>
        <v>25</v>
      </c>
      <c r="N3007" t="str">
        <f t="shared" si="139"/>
        <v>NA12WR-25</v>
      </c>
      <c r="O3007">
        <f>COUNTIFS(F$1:F3007,F3007,A$1:A3007,A3007)</f>
        <v>72</v>
      </c>
      <c r="P3007" t="str">
        <f t="shared" si="140"/>
        <v>Anthony Miller12</v>
      </c>
    </row>
    <row r="3008" spans="1:16" x14ac:dyDescent="0.25">
      <c r="A3008">
        <v>12</v>
      </c>
      <c r="B3008" t="s">
        <v>214</v>
      </c>
      <c r="C3008" t="s">
        <v>7843</v>
      </c>
      <c r="D3008">
        <v>4.07</v>
      </c>
      <c r="E3008" t="s">
        <v>42</v>
      </c>
      <c r="F3008" t="s">
        <v>114</v>
      </c>
      <c r="G3008">
        <v>7.13</v>
      </c>
      <c r="H3008">
        <v>1.01</v>
      </c>
      <c r="I3008">
        <v>3.06</v>
      </c>
      <c r="J3008">
        <v>9.3635999999999999</v>
      </c>
      <c r="K3008" t="str">
        <f>IFERROR(INDEX(Rosters!$C$2:$C$155,MATCH($B3008,Rosters!$B$2:$B$155,0)),"NA")</f>
        <v>scott</v>
      </c>
      <c r="L3008" t="str">
        <f t="shared" si="138"/>
        <v>scott12TE</v>
      </c>
      <c r="M3008">
        <f>COUNTIF(L$1:L3008,L3008)</f>
        <v>2</v>
      </c>
      <c r="N3008" t="str">
        <f t="shared" si="139"/>
        <v>scott12TE-2</v>
      </c>
      <c r="O3008">
        <f>COUNTIFS(F$1:F3008,F3008,A$1:A3008,A3008)</f>
        <v>21</v>
      </c>
      <c r="P3008" t="str">
        <f t="shared" si="140"/>
        <v>Vance McDonald12</v>
      </c>
    </row>
    <row r="3009" spans="1:16" x14ac:dyDescent="0.25">
      <c r="A3009">
        <v>2</v>
      </c>
      <c r="B3009" t="s">
        <v>4210</v>
      </c>
      <c r="C3009" t="s">
        <v>4213</v>
      </c>
      <c r="D3009">
        <v>4.0599999999999996</v>
      </c>
      <c r="E3009" t="s">
        <v>52</v>
      </c>
      <c r="F3009" t="s">
        <v>87</v>
      </c>
      <c r="G3009">
        <v>8.08</v>
      </c>
      <c r="H3009">
        <v>0.04</v>
      </c>
      <c r="I3009">
        <v>4.0199999999999996</v>
      </c>
      <c r="J3009">
        <v>16.160399999999999</v>
      </c>
      <c r="K3009" t="str">
        <f>IFERROR(INDEX(Rosters!$C$2:$C$155,MATCH($B3009,Rosters!$B$2:$B$155,0)),"NA")</f>
        <v>NA</v>
      </c>
      <c r="L3009" t="str">
        <f t="shared" si="138"/>
        <v>NA2WR</v>
      </c>
      <c r="M3009">
        <f>COUNTIF(L$1:L3009,L3009)</f>
        <v>26</v>
      </c>
      <c r="N3009" t="str">
        <f t="shared" si="139"/>
        <v>NA2WR-26</v>
      </c>
      <c r="O3009">
        <f>COUNTIFS(F$1:F3009,F3009,A$1:A3009,A3009)</f>
        <v>73</v>
      </c>
      <c r="P3009" t="str">
        <f t="shared" si="140"/>
        <v>Austin Carr2</v>
      </c>
    </row>
    <row r="3010" spans="1:16" x14ac:dyDescent="0.25">
      <c r="A3010">
        <v>7</v>
      </c>
      <c r="B3010" t="s">
        <v>261</v>
      </c>
      <c r="C3010" t="s">
        <v>7844</v>
      </c>
      <c r="D3010">
        <v>4.0599999999999996</v>
      </c>
      <c r="E3010" t="s">
        <v>77</v>
      </c>
      <c r="F3010" t="s">
        <v>114</v>
      </c>
      <c r="G3010">
        <v>7.17</v>
      </c>
      <c r="H3010">
        <v>0.95</v>
      </c>
      <c r="I3010">
        <v>3.11</v>
      </c>
      <c r="J3010">
        <v>9.6721000000000004</v>
      </c>
      <c r="K3010" t="str">
        <f>IFERROR(INDEX(Rosters!$C$2:$C$155,MATCH($B3010,Rosters!$B$2:$B$155,0)),"NA")</f>
        <v>NA</v>
      </c>
      <c r="L3010" t="str">
        <f t="shared" si="138"/>
        <v>NA7TE</v>
      </c>
      <c r="M3010">
        <f>COUNTIF(L$1:L3010,L3010)</f>
        <v>8</v>
      </c>
      <c r="N3010" t="str">
        <f t="shared" si="139"/>
        <v>NA7TE-8</v>
      </c>
      <c r="O3010">
        <f>COUNTIFS(F$1:F3010,F3010,A$1:A3010,A3010)</f>
        <v>17</v>
      </c>
      <c r="P3010" t="str">
        <f t="shared" si="140"/>
        <v>Benjamin Watson7</v>
      </c>
    </row>
    <row r="3011" spans="1:16" x14ac:dyDescent="0.25">
      <c r="A3011">
        <v>8</v>
      </c>
      <c r="B3011" t="s">
        <v>1489</v>
      </c>
      <c r="C3011">
        <f>-1.4-9.52</f>
        <v>-10.92</v>
      </c>
      <c r="D3011">
        <v>4.0599999999999996</v>
      </c>
      <c r="E3011" t="s">
        <v>30</v>
      </c>
      <c r="F3011" t="s">
        <v>87</v>
      </c>
      <c r="G3011">
        <v>9.52</v>
      </c>
      <c r="H3011">
        <v>-1.4</v>
      </c>
      <c r="I3011">
        <v>5.46</v>
      </c>
      <c r="J3011">
        <v>29.811599999999999</v>
      </c>
      <c r="K3011" t="str">
        <f>IFERROR(INDEX(Rosters!$C$2:$C$155,MATCH($B3011,Rosters!$B$2:$B$155,0)),"NA")</f>
        <v>NA</v>
      </c>
      <c r="L3011" t="str">
        <f t="shared" ref="L3011:L3074" si="141">K3011&amp;A3011&amp;F3011</f>
        <v>NA8WR</v>
      </c>
      <c r="M3011">
        <f>COUNTIF(L$1:L3011,L3011)</f>
        <v>23</v>
      </c>
      <c r="N3011" t="str">
        <f t="shared" ref="N3011:N3074" si="142">L3011&amp;"-"&amp;M3011</f>
        <v>NA8WR-23</v>
      </c>
      <c r="O3011">
        <f>COUNTIFS(F$1:F3011,F3011,A$1:A3011,A3011)</f>
        <v>69</v>
      </c>
      <c r="P3011" t="str">
        <f t="shared" ref="P3011:P3074" si="143">B3011&amp;A3011</f>
        <v>Chad Williams8</v>
      </c>
    </row>
    <row r="3012" spans="1:16" x14ac:dyDescent="0.25">
      <c r="A3012">
        <v>4</v>
      </c>
      <c r="B3012" t="s">
        <v>1425</v>
      </c>
      <c r="C3012" t="s">
        <v>4563</v>
      </c>
      <c r="D3012">
        <v>4.0599999999999996</v>
      </c>
      <c r="E3012" t="s">
        <v>24</v>
      </c>
      <c r="F3012" t="s">
        <v>87</v>
      </c>
      <c r="G3012">
        <v>7.84</v>
      </c>
      <c r="H3012">
        <v>0.28000000000000003</v>
      </c>
      <c r="I3012">
        <v>3.78</v>
      </c>
      <c r="J3012">
        <v>14.288399999999999</v>
      </c>
      <c r="K3012" t="str">
        <f>IFERROR(INDEX(Rosters!$C$2:$C$155,MATCH($B3012,Rosters!$B$2:$B$155,0)),"NA")</f>
        <v>NA</v>
      </c>
      <c r="L3012" t="str">
        <f t="shared" si="141"/>
        <v>NA4WR</v>
      </c>
      <c r="M3012">
        <f>COUNTIF(L$1:L3012,L3012)</f>
        <v>19</v>
      </c>
      <c r="N3012" t="str">
        <f t="shared" si="142"/>
        <v>NA4WR-19</v>
      </c>
      <c r="O3012">
        <f>COUNTIFS(F$1:F3012,F3012,A$1:A3012,A3012)</f>
        <v>66</v>
      </c>
      <c r="P3012" t="str">
        <f t="shared" si="143"/>
        <v>Courtland Sutton4</v>
      </c>
    </row>
    <row r="3013" spans="1:16" x14ac:dyDescent="0.25">
      <c r="A3013">
        <v>14</v>
      </c>
      <c r="B3013" t="s">
        <v>1391</v>
      </c>
      <c r="C3013">
        <f>-0.99-9.11</f>
        <v>-10.1</v>
      </c>
      <c r="D3013">
        <v>4.0599999999999996</v>
      </c>
      <c r="E3013" t="s">
        <v>52</v>
      </c>
      <c r="F3013" t="s">
        <v>87</v>
      </c>
      <c r="G3013">
        <v>9.11</v>
      </c>
      <c r="H3013">
        <v>-0.99</v>
      </c>
      <c r="I3013">
        <v>5.05</v>
      </c>
      <c r="J3013">
        <v>25.502500000000001</v>
      </c>
      <c r="K3013" t="str">
        <f>IFERROR(INDEX(Rosters!$C$2:$C$155,MATCH($B3013,Rosters!$B$2:$B$155,0)),"NA")</f>
        <v>NA</v>
      </c>
      <c r="L3013" t="str">
        <f t="shared" si="141"/>
        <v>NA14WR</v>
      </c>
      <c r="M3013">
        <f>COUNTIF(L$1:L3013,L3013)</f>
        <v>27</v>
      </c>
      <c r="N3013" t="str">
        <f t="shared" si="142"/>
        <v>NA14WR-27</v>
      </c>
      <c r="O3013">
        <f>COUNTIFS(F$1:F3013,F3013,A$1:A3013,A3013)</f>
        <v>79</v>
      </c>
      <c r="P3013" t="str">
        <f t="shared" si="143"/>
        <v>D.J. Moore14</v>
      </c>
    </row>
    <row r="3014" spans="1:16" x14ac:dyDescent="0.25">
      <c r="A3014">
        <v>12</v>
      </c>
      <c r="B3014" t="s">
        <v>1366</v>
      </c>
      <c r="C3014">
        <f>-0.09-8.21</f>
        <v>-8.3000000000000007</v>
      </c>
      <c r="D3014">
        <v>4.0599999999999996</v>
      </c>
      <c r="E3014" t="s">
        <v>31</v>
      </c>
      <c r="F3014" t="s">
        <v>47</v>
      </c>
      <c r="G3014">
        <v>8.2100000000000009</v>
      </c>
      <c r="H3014">
        <v>-0.09</v>
      </c>
      <c r="I3014">
        <v>4.1500000000000004</v>
      </c>
      <c r="J3014">
        <v>17.2225</v>
      </c>
      <c r="K3014" t="str">
        <f>IFERROR(INDEX(Rosters!$C$2:$C$155,MATCH($B3014,Rosters!$B$2:$B$155,0)),"NA")</f>
        <v>NA</v>
      </c>
      <c r="L3014" t="str">
        <f t="shared" si="141"/>
        <v>NA12RB</v>
      </c>
      <c r="M3014">
        <f>COUNTIF(L$1:L3014,L3014)</f>
        <v>15</v>
      </c>
      <c r="N3014" t="str">
        <f t="shared" si="142"/>
        <v>NA12RB-15</v>
      </c>
      <c r="O3014">
        <f>COUNTIFS(F$1:F3014,F3014,A$1:A3014,A3014)</f>
        <v>59</v>
      </c>
      <c r="P3014" t="str">
        <f t="shared" si="143"/>
        <v>Nick Chubb12</v>
      </c>
    </row>
    <row r="3015" spans="1:16" x14ac:dyDescent="0.25">
      <c r="A3015">
        <v>8</v>
      </c>
      <c r="B3015" t="s">
        <v>238</v>
      </c>
      <c r="C3015" t="s">
        <v>7845</v>
      </c>
      <c r="D3015">
        <v>4.0599999999999996</v>
      </c>
      <c r="E3015" t="s">
        <v>66</v>
      </c>
      <c r="F3015" t="s">
        <v>87</v>
      </c>
      <c r="G3015">
        <v>7.15</v>
      </c>
      <c r="H3015">
        <v>0.97</v>
      </c>
      <c r="I3015">
        <v>3.09</v>
      </c>
      <c r="J3015">
        <v>9.5480999999999998</v>
      </c>
      <c r="K3015" t="str">
        <f>IFERROR(INDEX(Rosters!$C$2:$C$155,MATCH($B3015,Rosters!$B$2:$B$155,0)),"NA")</f>
        <v>NA</v>
      </c>
      <c r="L3015" t="str">
        <f t="shared" si="141"/>
        <v>NA8WR</v>
      </c>
      <c r="M3015">
        <f>COUNTIF(L$1:L3015,L3015)</f>
        <v>24</v>
      </c>
      <c r="N3015" t="str">
        <f t="shared" si="142"/>
        <v>NA8WR-24</v>
      </c>
      <c r="O3015">
        <f>COUNTIFS(F$1:F3015,F3015,A$1:A3015,A3015)</f>
        <v>70</v>
      </c>
      <c r="P3015" t="str">
        <f t="shared" si="143"/>
        <v>Seth Roberts8</v>
      </c>
    </row>
    <row r="3016" spans="1:16" x14ac:dyDescent="0.25">
      <c r="A3016">
        <v>16</v>
      </c>
      <c r="B3016" t="s">
        <v>159</v>
      </c>
      <c r="C3016" t="s">
        <v>7846</v>
      </c>
      <c r="D3016">
        <v>4.05</v>
      </c>
      <c r="E3016" t="s">
        <v>29</v>
      </c>
      <c r="F3016" t="s">
        <v>87</v>
      </c>
      <c r="G3016">
        <v>7.03</v>
      </c>
      <c r="H3016">
        <v>1.07</v>
      </c>
      <c r="I3016">
        <v>2.98</v>
      </c>
      <c r="J3016">
        <v>8.8803999999999998</v>
      </c>
      <c r="K3016" t="str">
        <f>IFERROR(INDEX(Rosters!$C$2:$C$155,MATCH($B3016,Rosters!$B$2:$B$155,0)),"NA")</f>
        <v>perry</v>
      </c>
      <c r="L3016" t="str">
        <f t="shared" si="141"/>
        <v>perry16WR</v>
      </c>
      <c r="M3016">
        <f>COUNTIF(L$1:L3016,L3016)</f>
        <v>5</v>
      </c>
      <c r="N3016" t="str">
        <f t="shared" si="142"/>
        <v>perry16WR-5</v>
      </c>
      <c r="O3016">
        <f>COUNTIFS(F$1:F3016,F3016,A$1:A3016,A3016)</f>
        <v>72</v>
      </c>
      <c r="P3016" t="str">
        <f t="shared" si="143"/>
        <v>Chris Hogan16</v>
      </c>
    </row>
    <row r="3017" spans="1:16" x14ac:dyDescent="0.25">
      <c r="A3017">
        <v>16</v>
      </c>
      <c r="B3017" t="s">
        <v>156</v>
      </c>
      <c r="C3017" t="s">
        <v>7847</v>
      </c>
      <c r="D3017">
        <v>4.05</v>
      </c>
      <c r="E3017" t="s">
        <v>42</v>
      </c>
      <c r="F3017" t="s">
        <v>87</v>
      </c>
      <c r="G3017">
        <v>6.73</v>
      </c>
      <c r="H3017">
        <v>1.37</v>
      </c>
      <c r="I3017">
        <v>2.68</v>
      </c>
      <c r="J3017">
        <v>7.1824000000000003</v>
      </c>
      <c r="K3017" t="str">
        <f>IFERROR(INDEX(Rosters!$C$2:$C$155,MATCH($B3017,Rosters!$B$2:$B$155,0)),"NA")</f>
        <v>NA</v>
      </c>
      <c r="L3017" t="str">
        <f t="shared" si="141"/>
        <v>NA16WR</v>
      </c>
      <c r="M3017">
        <f>COUNTIF(L$1:L3017,L3017)</f>
        <v>21</v>
      </c>
      <c r="N3017" t="str">
        <f t="shared" si="142"/>
        <v>NA16WR-21</v>
      </c>
      <c r="O3017">
        <f>COUNTIFS(F$1:F3017,F3017,A$1:A3017,A3017)</f>
        <v>73</v>
      </c>
      <c r="P3017" t="str">
        <f t="shared" si="143"/>
        <v>Martavis Bryant16</v>
      </c>
    </row>
    <row r="3018" spans="1:16" x14ac:dyDescent="0.25">
      <c r="A3018">
        <v>7</v>
      </c>
      <c r="B3018" t="s">
        <v>152</v>
      </c>
      <c r="C3018" t="s">
        <v>7848</v>
      </c>
      <c r="D3018">
        <v>4.05</v>
      </c>
      <c r="E3018" t="s">
        <v>14</v>
      </c>
      <c r="F3018" t="s">
        <v>87</v>
      </c>
      <c r="G3018">
        <v>7.15</v>
      </c>
      <c r="H3018">
        <v>0.95</v>
      </c>
      <c r="I3018">
        <v>3.1</v>
      </c>
      <c r="J3018">
        <v>9.61</v>
      </c>
      <c r="K3018" t="str">
        <f>IFERROR(INDEX(Rosters!$C$2:$C$155,MATCH($B3018,Rosters!$B$2:$B$155,0)),"NA")</f>
        <v>NA</v>
      </c>
      <c r="L3018" t="str">
        <f t="shared" si="141"/>
        <v>NA7WR</v>
      </c>
      <c r="M3018">
        <f>COUNTIF(L$1:L3018,L3018)</f>
        <v>26</v>
      </c>
      <c r="N3018" t="str">
        <f t="shared" si="142"/>
        <v>NA7WR-26</v>
      </c>
      <c r="O3018">
        <f>COUNTIFS(F$1:F3018,F3018,A$1:A3018,A3018)</f>
        <v>70</v>
      </c>
      <c r="P3018" t="str">
        <f t="shared" si="143"/>
        <v>Willie Snead7</v>
      </c>
    </row>
    <row r="3019" spans="1:16" x14ac:dyDescent="0.25">
      <c r="A3019">
        <v>11</v>
      </c>
      <c r="B3019" t="s">
        <v>213</v>
      </c>
      <c r="C3019" t="s">
        <v>7849</v>
      </c>
      <c r="D3019">
        <v>4.04</v>
      </c>
      <c r="E3019" t="s">
        <v>54</v>
      </c>
      <c r="F3019" t="s">
        <v>114</v>
      </c>
      <c r="G3019">
        <v>7.06</v>
      </c>
      <c r="H3019">
        <v>1.02</v>
      </c>
      <c r="I3019">
        <v>3.02</v>
      </c>
      <c r="J3019">
        <v>9.1204000000000001</v>
      </c>
      <c r="K3019" t="str">
        <f>IFERROR(INDEX(Rosters!$C$2:$C$155,MATCH($B3019,Rosters!$B$2:$B$155,0)),"NA")</f>
        <v>NA</v>
      </c>
      <c r="L3019" t="str">
        <f t="shared" si="141"/>
        <v>NA11TE</v>
      </c>
      <c r="M3019">
        <f>COUNTIF(L$1:L3019,L3019)</f>
        <v>6</v>
      </c>
      <c r="N3019" t="str">
        <f t="shared" si="142"/>
        <v>NA11TE-6</v>
      </c>
      <c r="O3019">
        <f>COUNTIFS(F$1:F3019,F3019,A$1:A3019,A3019)</f>
        <v>16</v>
      </c>
      <c r="P3019" t="str">
        <f t="shared" si="143"/>
        <v>Cameron Brate11</v>
      </c>
    </row>
    <row r="3020" spans="1:16" x14ac:dyDescent="0.25">
      <c r="A3020">
        <v>3</v>
      </c>
      <c r="B3020" t="s">
        <v>1432</v>
      </c>
      <c r="C3020" t="s">
        <v>3755</v>
      </c>
      <c r="D3020">
        <v>4.04</v>
      </c>
      <c r="E3020" t="s">
        <v>72</v>
      </c>
      <c r="F3020" t="s">
        <v>47</v>
      </c>
      <c r="G3020">
        <v>6.81</v>
      </c>
      <c r="H3020">
        <v>1.27</v>
      </c>
      <c r="I3020">
        <v>2.77</v>
      </c>
      <c r="J3020">
        <v>7.6729000000000003</v>
      </c>
      <c r="K3020" t="str">
        <f>IFERROR(INDEX(Rosters!$C$2:$C$155,MATCH($B3020,Rosters!$B$2:$B$155,0)),"NA")</f>
        <v>NA</v>
      </c>
      <c r="L3020" t="str">
        <f t="shared" si="141"/>
        <v>NA3RB</v>
      </c>
      <c r="M3020">
        <f>COUNTIF(L$1:L3020,L3020)</f>
        <v>21</v>
      </c>
      <c r="N3020" t="str">
        <f t="shared" si="142"/>
        <v>NA3RB-21</v>
      </c>
      <c r="O3020">
        <f>COUNTIFS(F$1:F3020,F3020,A$1:A3020,A3020)</f>
        <v>59</v>
      </c>
      <c r="P3020" t="str">
        <f t="shared" si="143"/>
        <v>Chase Edmonds3</v>
      </c>
    </row>
    <row r="3021" spans="1:16" x14ac:dyDescent="0.25">
      <c r="A3021">
        <v>11</v>
      </c>
      <c r="B3021" t="s">
        <v>305</v>
      </c>
      <c r="C3021" t="s">
        <v>7850</v>
      </c>
      <c r="D3021">
        <v>4.04</v>
      </c>
      <c r="E3021" t="s">
        <v>38</v>
      </c>
      <c r="F3021" t="s">
        <v>87</v>
      </c>
      <c r="G3021">
        <v>7.59</v>
      </c>
      <c r="H3021">
        <v>0.49</v>
      </c>
      <c r="I3021">
        <v>3.55</v>
      </c>
      <c r="J3021">
        <v>12.602499999999999</v>
      </c>
      <c r="K3021" t="str">
        <f>IFERROR(INDEX(Rosters!$C$2:$C$155,MATCH($B3021,Rosters!$B$2:$B$155,0)),"NA")</f>
        <v>NA</v>
      </c>
      <c r="L3021" t="str">
        <f t="shared" si="141"/>
        <v>NA11WR</v>
      </c>
      <c r="M3021">
        <f>COUNTIF(L$1:L3021,L3021)</f>
        <v>19</v>
      </c>
      <c r="N3021" t="str">
        <f t="shared" si="142"/>
        <v>NA11WR-19</v>
      </c>
      <c r="O3021">
        <f>COUNTIFS(F$1:F3021,F3021,A$1:A3021,A3021)</f>
        <v>64</v>
      </c>
      <c r="P3021" t="str">
        <f t="shared" si="143"/>
        <v>Chester Rogers11</v>
      </c>
    </row>
    <row r="3022" spans="1:16" x14ac:dyDescent="0.25">
      <c r="A3022">
        <v>9</v>
      </c>
      <c r="B3022" t="s">
        <v>150</v>
      </c>
      <c r="C3022" t="s">
        <v>7851</v>
      </c>
      <c r="D3022">
        <v>4.04</v>
      </c>
      <c r="E3022" t="s">
        <v>72</v>
      </c>
      <c r="F3022" t="s">
        <v>87</v>
      </c>
      <c r="G3022">
        <v>7.08</v>
      </c>
      <c r="H3022">
        <v>1</v>
      </c>
      <c r="I3022">
        <v>3.04</v>
      </c>
      <c r="J3022">
        <v>9.2416</v>
      </c>
      <c r="K3022" t="str">
        <f>IFERROR(INDEX(Rosters!$C$2:$C$155,MATCH($B3022,Rosters!$B$2:$B$155,0)),"NA")</f>
        <v>NA</v>
      </c>
      <c r="L3022" t="str">
        <f t="shared" si="141"/>
        <v>NA9WR</v>
      </c>
      <c r="M3022">
        <f>COUNTIF(L$1:L3022,L3022)</f>
        <v>21</v>
      </c>
      <c r="N3022" t="str">
        <f t="shared" si="142"/>
        <v>NA9WR-21</v>
      </c>
      <c r="O3022">
        <f>COUNTIFS(F$1:F3022,F3022,A$1:A3022,A3022)</f>
        <v>63</v>
      </c>
      <c r="P3022" t="str">
        <f t="shared" si="143"/>
        <v>Kelvin Benjamin9</v>
      </c>
    </row>
    <row r="3023" spans="1:16" x14ac:dyDescent="0.25">
      <c r="A3023">
        <v>14</v>
      </c>
      <c r="B3023" t="s">
        <v>1148</v>
      </c>
      <c r="C3023" t="s">
        <v>7852</v>
      </c>
      <c r="D3023">
        <v>4.04</v>
      </c>
      <c r="E3023" t="s">
        <v>25</v>
      </c>
      <c r="F3023" t="s">
        <v>47</v>
      </c>
      <c r="G3023">
        <v>7.62</v>
      </c>
      <c r="H3023">
        <v>0.46</v>
      </c>
      <c r="I3023">
        <v>3.58</v>
      </c>
      <c r="J3023">
        <v>12.8164</v>
      </c>
      <c r="K3023" t="str">
        <f>IFERROR(INDEX(Rosters!$C$2:$C$155,MATCH($B3023,Rosters!$B$2:$B$155,0)),"NA")</f>
        <v>NA</v>
      </c>
      <c r="L3023" t="str">
        <f t="shared" si="141"/>
        <v>NA14RB</v>
      </c>
      <c r="M3023">
        <f>COUNTIF(L$1:L3023,L3023)</f>
        <v>17</v>
      </c>
      <c r="N3023" t="str">
        <f t="shared" si="142"/>
        <v>NA14RB-17</v>
      </c>
      <c r="O3023">
        <f>COUNTIFS(F$1:F3023,F3023,A$1:A3023,A3023)</f>
        <v>63</v>
      </c>
      <c r="P3023" t="str">
        <f t="shared" si="143"/>
        <v>Mike Davis14</v>
      </c>
    </row>
    <row r="3024" spans="1:16" x14ac:dyDescent="0.25">
      <c r="A3024">
        <v>4</v>
      </c>
      <c r="B3024" t="s">
        <v>243</v>
      </c>
      <c r="C3024" t="s">
        <v>4564</v>
      </c>
      <c r="D3024">
        <v>4.04</v>
      </c>
      <c r="E3024" t="s">
        <v>19</v>
      </c>
      <c r="F3024" t="s">
        <v>87</v>
      </c>
      <c r="G3024">
        <v>6.61</v>
      </c>
      <c r="H3024">
        <v>1.47</v>
      </c>
      <c r="I3024">
        <v>2.57</v>
      </c>
      <c r="J3024">
        <v>6.6048999999999998</v>
      </c>
      <c r="K3024" t="str">
        <f>IFERROR(INDEX(Rosters!$C$2:$C$155,MATCH($B3024,Rosters!$B$2:$B$155,0)),"NA")</f>
        <v>NA</v>
      </c>
      <c r="L3024" t="str">
        <f t="shared" si="141"/>
        <v>NA4WR</v>
      </c>
      <c r="M3024">
        <f>COUNTIF(L$1:L3024,L3024)</f>
        <v>20</v>
      </c>
      <c r="N3024" t="str">
        <f t="shared" si="142"/>
        <v>NA4WR-20</v>
      </c>
      <c r="O3024">
        <f>COUNTIFS(F$1:F3024,F3024,A$1:A3024,A3024)</f>
        <v>67</v>
      </c>
      <c r="P3024" t="str">
        <f t="shared" si="143"/>
        <v>Phillip Dorsett4</v>
      </c>
    </row>
    <row r="3025" spans="1:16" x14ac:dyDescent="0.25">
      <c r="A3025">
        <v>5</v>
      </c>
      <c r="B3025" t="s">
        <v>1432</v>
      </c>
      <c r="C3025" t="s">
        <v>7853</v>
      </c>
      <c r="D3025">
        <v>4.03</v>
      </c>
      <c r="E3025" t="s">
        <v>30</v>
      </c>
      <c r="F3025" t="s">
        <v>47</v>
      </c>
      <c r="G3025">
        <v>7.18</v>
      </c>
      <c r="H3025">
        <v>0.88</v>
      </c>
      <c r="I3025">
        <v>3.15</v>
      </c>
      <c r="J3025">
        <v>9.9224999999999994</v>
      </c>
      <c r="K3025" t="str">
        <f>IFERROR(INDEX(Rosters!$C$2:$C$155,MATCH($B3025,Rosters!$B$2:$B$155,0)),"NA")</f>
        <v>NA</v>
      </c>
      <c r="L3025" t="str">
        <f t="shared" si="141"/>
        <v>NA5RB</v>
      </c>
      <c r="M3025">
        <f>COUNTIF(L$1:L3025,L3025)</f>
        <v>14</v>
      </c>
      <c r="N3025" t="str">
        <f t="shared" si="142"/>
        <v>NA5RB-14</v>
      </c>
      <c r="O3025">
        <f>COUNTIFS(F$1:F3025,F3025,A$1:A3025,A3025)</f>
        <v>56</v>
      </c>
      <c r="P3025" t="str">
        <f t="shared" si="143"/>
        <v>Chase Edmonds5</v>
      </c>
    </row>
    <row r="3026" spans="1:16" x14ac:dyDescent="0.25">
      <c r="A3026">
        <v>5</v>
      </c>
      <c r="B3026" t="s">
        <v>1124</v>
      </c>
      <c r="C3026" t="s">
        <v>7854</v>
      </c>
      <c r="D3026">
        <v>4.03</v>
      </c>
      <c r="E3026" t="s">
        <v>76</v>
      </c>
      <c r="F3026" t="s">
        <v>87</v>
      </c>
      <c r="G3026">
        <v>7.09</v>
      </c>
      <c r="H3026">
        <v>0.97</v>
      </c>
      <c r="I3026">
        <v>3.06</v>
      </c>
      <c r="J3026">
        <v>9.3635999999999999</v>
      </c>
      <c r="K3026" t="str">
        <f>IFERROR(INDEX(Rosters!$C$2:$C$155,MATCH($B3026,Rosters!$B$2:$B$155,0)),"NA")</f>
        <v>NA</v>
      </c>
      <c r="L3026" t="str">
        <f t="shared" si="141"/>
        <v>NA5WR</v>
      </c>
      <c r="M3026">
        <f>COUNTIF(L$1:L3026,L3026)</f>
        <v>30</v>
      </c>
      <c r="N3026" t="str">
        <f t="shared" si="142"/>
        <v>NA5WR-30</v>
      </c>
      <c r="O3026">
        <f>COUNTIFS(F$1:F3026,F3026,A$1:A3026,A3026)</f>
        <v>76</v>
      </c>
      <c r="P3026" t="str">
        <f t="shared" si="143"/>
        <v>Chris Conley5</v>
      </c>
    </row>
    <row r="3027" spans="1:16" x14ac:dyDescent="0.25">
      <c r="A3027">
        <v>1</v>
      </c>
      <c r="B3027" t="s">
        <v>280</v>
      </c>
      <c r="C3027" t="s">
        <v>1446</v>
      </c>
      <c r="D3027">
        <v>4.03</v>
      </c>
      <c r="E3027" t="s">
        <v>77</v>
      </c>
      <c r="F3027" t="s">
        <v>47</v>
      </c>
      <c r="G3027">
        <v>7.9</v>
      </c>
      <c r="H3027">
        <v>0.16</v>
      </c>
      <c r="I3027">
        <v>3.87</v>
      </c>
      <c r="J3027">
        <v>14.976900000000001</v>
      </c>
      <c r="K3027" t="str">
        <f>IFERROR(INDEX(Rosters!$C$2:$C$155,MATCH($B3027,Rosters!$B$2:$B$155,0)),"NA")</f>
        <v>NA</v>
      </c>
      <c r="L3027" t="str">
        <f t="shared" si="141"/>
        <v>NA1RB</v>
      </c>
      <c r="M3027">
        <f>COUNTIF(L$1:L3027,L3027)</f>
        <v>17</v>
      </c>
      <c r="N3027" t="str">
        <f t="shared" si="142"/>
        <v>NA1RB-17</v>
      </c>
      <c r="O3027">
        <f>COUNTIFS(F$1:F3027,F3027,A$1:A3027,A3027)</f>
        <v>57</v>
      </c>
      <c r="P3027" t="str">
        <f t="shared" si="143"/>
        <v>Chris Ivory1</v>
      </c>
    </row>
    <row r="3028" spans="1:16" x14ac:dyDescent="0.25">
      <c r="A3028">
        <v>5</v>
      </c>
      <c r="B3028" t="s">
        <v>219</v>
      </c>
      <c r="C3028" t="s">
        <v>7855</v>
      </c>
      <c r="D3028">
        <v>4.03</v>
      </c>
      <c r="E3028" t="s">
        <v>42</v>
      </c>
      <c r="F3028" t="s">
        <v>87</v>
      </c>
      <c r="G3028">
        <v>7.03</v>
      </c>
      <c r="H3028">
        <v>1.03</v>
      </c>
      <c r="I3028">
        <v>3</v>
      </c>
      <c r="J3028">
        <v>9</v>
      </c>
      <c r="K3028" t="str">
        <f>IFERROR(INDEX(Rosters!$C$2:$C$155,MATCH($B3028,Rosters!$B$2:$B$155,0)),"NA")</f>
        <v>NA</v>
      </c>
      <c r="L3028" t="str">
        <f t="shared" si="141"/>
        <v>NA5WR</v>
      </c>
      <c r="M3028">
        <f>COUNTIF(L$1:L3028,L3028)</f>
        <v>31</v>
      </c>
      <c r="N3028" t="str">
        <f t="shared" si="142"/>
        <v>NA5WR-31</v>
      </c>
      <c r="O3028">
        <f>COUNTIFS(F$1:F3028,F3028,A$1:A3028,A3028)</f>
        <v>77</v>
      </c>
      <c r="P3028" t="str">
        <f t="shared" si="143"/>
        <v>Jermaine Kearse5</v>
      </c>
    </row>
    <row r="3029" spans="1:16" x14ac:dyDescent="0.25">
      <c r="A3029">
        <v>10</v>
      </c>
      <c r="B3029" t="s">
        <v>1366</v>
      </c>
      <c r="C3029" t="s">
        <v>7853</v>
      </c>
      <c r="D3029">
        <v>4.03</v>
      </c>
      <c r="E3029" t="s">
        <v>46</v>
      </c>
      <c r="F3029" t="s">
        <v>47</v>
      </c>
      <c r="G3029">
        <v>7.18</v>
      </c>
      <c r="H3029">
        <v>0.88</v>
      </c>
      <c r="I3029">
        <v>3.15</v>
      </c>
      <c r="J3029">
        <v>9.9224999999999994</v>
      </c>
      <c r="K3029" t="str">
        <f>IFERROR(INDEX(Rosters!$C$2:$C$155,MATCH($B3029,Rosters!$B$2:$B$155,0)),"NA")</f>
        <v>NA</v>
      </c>
      <c r="L3029" t="str">
        <f t="shared" si="141"/>
        <v>NA10RB</v>
      </c>
      <c r="M3029">
        <f>COUNTIF(L$1:L3029,L3029)</f>
        <v>18</v>
      </c>
      <c r="N3029" t="str">
        <f t="shared" si="142"/>
        <v>NA10RB-18</v>
      </c>
      <c r="O3029">
        <f>COUNTIFS(F$1:F3029,F3029,A$1:A3029,A3029)</f>
        <v>56</v>
      </c>
      <c r="P3029" t="str">
        <f t="shared" si="143"/>
        <v>Nick Chubb10</v>
      </c>
    </row>
    <row r="3030" spans="1:16" x14ac:dyDescent="0.25">
      <c r="A3030">
        <v>14</v>
      </c>
      <c r="B3030" t="s">
        <v>1319</v>
      </c>
      <c r="C3030" t="s">
        <v>7856</v>
      </c>
      <c r="D3030">
        <v>4.03</v>
      </c>
      <c r="E3030" t="s">
        <v>14</v>
      </c>
      <c r="F3030" t="s">
        <v>47</v>
      </c>
      <c r="G3030">
        <v>7.47</v>
      </c>
      <c r="H3030">
        <v>0.59</v>
      </c>
      <c r="I3030">
        <v>3.44</v>
      </c>
      <c r="J3030">
        <v>11.833600000000001</v>
      </c>
      <c r="K3030" t="str">
        <f>IFERROR(INDEX(Rosters!$C$2:$C$155,MATCH($B3030,Rosters!$B$2:$B$155,0)),"NA")</f>
        <v>NA</v>
      </c>
      <c r="L3030" t="str">
        <f t="shared" si="141"/>
        <v>NA14RB</v>
      </c>
      <c r="M3030">
        <f>COUNTIF(L$1:L3030,L3030)</f>
        <v>18</v>
      </c>
      <c r="N3030" t="str">
        <f t="shared" si="142"/>
        <v>NA14RB-18</v>
      </c>
      <c r="O3030">
        <f>COUNTIFS(F$1:F3030,F3030,A$1:A3030,A3030)</f>
        <v>64</v>
      </c>
      <c r="P3030" t="str">
        <f t="shared" si="143"/>
        <v>Ronald Jones14</v>
      </c>
    </row>
    <row r="3031" spans="1:16" x14ac:dyDescent="0.25">
      <c r="A3031">
        <v>6</v>
      </c>
      <c r="B3031" t="s">
        <v>1540</v>
      </c>
      <c r="C3031" t="s">
        <v>7857</v>
      </c>
      <c r="D3031">
        <v>4.03</v>
      </c>
      <c r="E3031" t="s">
        <v>31</v>
      </c>
      <c r="F3031" t="s">
        <v>87</v>
      </c>
      <c r="G3031">
        <v>7.93</v>
      </c>
      <c r="H3031">
        <v>0.13</v>
      </c>
      <c r="I3031">
        <v>3.9</v>
      </c>
      <c r="J3031">
        <v>15.21</v>
      </c>
      <c r="K3031" t="str">
        <f>IFERROR(INDEX(Rosters!$C$2:$C$155,MATCH($B3031,Rosters!$B$2:$B$155,0)),"NA")</f>
        <v>NA</v>
      </c>
      <c r="L3031" t="str">
        <f t="shared" si="141"/>
        <v>NA6WR</v>
      </c>
      <c r="M3031">
        <f>COUNTIF(L$1:L3031,L3031)</f>
        <v>26</v>
      </c>
      <c r="N3031" t="str">
        <f t="shared" si="142"/>
        <v>NA6WR-26</v>
      </c>
      <c r="O3031">
        <f>COUNTIFS(F$1:F3031,F3031,A$1:A3031,A3031)</f>
        <v>73</v>
      </c>
      <c r="P3031" t="str">
        <f t="shared" si="143"/>
        <v>Ryan Switzer6</v>
      </c>
    </row>
    <row r="3032" spans="1:16" x14ac:dyDescent="0.25">
      <c r="A3032">
        <v>16</v>
      </c>
      <c r="B3032" t="s">
        <v>1540</v>
      </c>
      <c r="C3032">
        <f>-0.07-8.13</f>
        <v>-8.2000000000000011</v>
      </c>
      <c r="D3032">
        <v>4.03</v>
      </c>
      <c r="E3032" t="s">
        <v>14</v>
      </c>
      <c r="F3032" t="s">
        <v>87</v>
      </c>
      <c r="G3032">
        <v>8.1300000000000008</v>
      </c>
      <c r="H3032">
        <v>-7.0000000000000007E-2</v>
      </c>
      <c r="I3032">
        <v>4.0999999999999996</v>
      </c>
      <c r="J3032">
        <v>16.809999999999999</v>
      </c>
      <c r="K3032" t="str">
        <f>IFERROR(INDEX(Rosters!$C$2:$C$155,MATCH($B3032,Rosters!$B$2:$B$155,0)),"NA")</f>
        <v>NA</v>
      </c>
      <c r="L3032" t="str">
        <f t="shared" si="141"/>
        <v>NA16WR</v>
      </c>
      <c r="M3032">
        <f>COUNTIF(L$1:L3032,L3032)</f>
        <v>22</v>
      </c>
      <c r="N3032" t="str">
        <f t="shared" si="142"/>
        <v>NA16WR-22</v>
      </c>
      <c r="O3032">
        <f>COUNTIFS(F$1:F3032,F3032,A$1:A3032,A3032)</f>
        <v>74</v>
      </c>
      <c r="P3032" t="str">
        <f t="shared" si="143"/>
        <v>Ryan Switzer16</v>
      </c>
    </row>
    <row r="3033" spans="1:16" x14ac:dyDescent="0.25">
      <c r="A3033">
        <v>4</v>
      </c>
      <c r="B3033" t="s">
        <v>143</v>
      </c>
      <c r="C3033">
        <f>-0.47-8.53</f>
        <v>-9</v>
      </c>
      <c r="D3033">
        <v>4.03</v>
      </c>
      <c r="E3033" t="s">
        <v>76</v>
      </c>
      <c r="F3033" t="s">
        <v>87</v>
      </c>
      <c r="G3033">
        <v>8.5299999999999994</v>
      </c>
      <c r="H3033">
        <v>-0.47</v>
      </c>
      <c r="I3033">
        <v>4.5</v>
      </c>
      <c r="J3033">
        <v>20.25</v>
      </c>
      <c r="K3033" t="str">
        <f>IFERROR(INDEX(Rosters!$C$2:$C$155,MATCH($B3033,Rosters!$B$2:$B$155,0)),"NA")</f>
        <v>NA</v>
      </c>
      <c r="L3033" t="str">
        <f t="shared" si="141"/>
        <v>NA4WR</v>
      </c>
      <c r="M3033">
        <f>COUNTIF(L$1:L3033,L3033)</f>
        <v>21</v>
      </c>
      <c r="N3033" t="str">
        <f t="shared" si="142"/>
        <v>NA4WR-21</v>
      </c>
      <c r="O3033">
        <f>COUNTIFS(F$1:F3033,F3033,A$1:A3033,A3033)</f>
        <v>68</v>
      </c>
      <c r="P3033" t="str">
        <f t="shared" si="143"/>
        <v>Terrelle Pryor Sr.4</v>
      </c>
    </row>
    <row r="3034" spans="1:16" x14ac:dyDescent="0.25">
      <c r="A3034">
        <v>15</v>
      </c>
      <c r="B3034" t="s">
        <v>152</v>
      </c>
      <c r="C3034" t="s">
        <v>7858</v>
      </c>
      <c r="D3034">
        <v>4.03</v>
      </c>
      <c r="E3034" t="s">
        <v>17</v>
      </c>
      <c r="F3034" t="s">
        <v>87</v>
      </c>
      <c r="G3034">
        <v>6.84</v>
      </c>
      <c r="H3034">
        <v>1.22</v>
      </c>
      <c r="I3034">
        <v>2.81</v>
      </c>
      <c r="J3034">
        <v>7.8960999999999997</v>
      </c>
      <c r="K3034" t="str">
        <f>IFERROR(INDEX(Rosters!$C$2:$C$155,MATCH($B3034,Rosters!$B$2:$B$155,0)),"NA")</f>
        <v>NA</v>
      </c>
      <c r="L3034" t="str">
        <f t="shared" si="141"/>
        <v>NA15WR</v>
      </c>
      <c r="M3034">
        <f>COUNTIF(L$1:L3034,L3034)</f>
        <v>28</v>
      </c>
      <c r="N3034" t="str">
        <f t="shared" si="142"/>
        <v>NA15WR-28</v>
      </c>
      <c r="O3034">
        <f>COUNTIFS(F$1:F3034,F3034,A$1:A3034,A3034)</f>
        <v>79</v>
      </c>
      <c r="P3034" t="str">
        <f t="shared" si="143"/>
        <v>Willie Snead15</v>
      </c>
    </row>
    <row r="3035" spans="1:16" x14ac:dyDescent="0.25">
      <c r="A3035">
        <v>3</v>
      </c>
      <c r="B3035" t="s">
        <v>217</v>
      </c>
      <c r="C3035" t="s">
        <v>3756</v>
      </c>
      <c r="D3035">
        <v>4.0199999999999996</v>
      </c>
      <c r="E3035" t="s">
        <v>25</v>
      </c>
      <c r="F3035" t="s">
        <v>114</v>
      </c>
      <c r="G3035">
        <v>7.73</v>
      </c>
      <c r="H3035">
        <v>0.31</v>
      </c>
      <c r="I3035">
        <v>3.71</v>
      </c>
      <c r="J3035">
        <v>13.764099999999999</v>
      </c>
      <c r="K3035" t="str">
        <f>IFERROR(INDEX(Rosters!$C$2:$C$155,MATCH($B3035,Rosters!$B$2:$B$155,0)),"NA")</f>
        <v>NA</v>
      </c>
      <c r="L3035" t="str">
        <f t="shared" si="141"/>
        <v>NA3TE</v>
      </c>
      <c r="M3035">
        <f>COUNTIF(L$1:L3035,L3035)</f>
        <v>7</v>
      </c>
      <c r="N3035" t="str">
        <f t="shared" si="142"/>
        <v>NA3TE-7</v>
      </c>
      <c r="O3035">
        <f>COUNTIFS(F$1:F3035,F3035,A$1:A3035,A3035)</f>
        <v>18</v>
      </c>
      <c r="P3035" t="str">
        <f t="shared" si="143"/>
        <v>Charles Clay3</v>
      </c>
    </row>
    <row r="3036" spans="1:16" x14ac:dyDescent="0.25">
      <c r="A3036">
        <v>6</v>
      </c>
      <c r="B3036" t="s">
        <v>1122</v>
      </c>
      <c r="C3036" t="s">
        <v>7859</v>
      </c>
      <c r="D3036">
        <v>4.0199999999999996</v>
      </c>
      <c r="E3036" t="s">
        <v>54</v>
      </c>
      <c r="F3036" t="s">
        <v>47</v>
      </c>
      <c r="G3036">
        <v>7.82</v>
      </c>
      <c r="H3036">
        <v>0.22</v>
      </c>
      <c r="I3036">
        <v>3.8</v>
      </c>
      <c r="J3036">
        <v>14.44</v>
      </c>
      <c r="K3036" t="str">
        <f>IFERROR(INDEX(Rosters!$C$2:$C$155,MATCH($B3036,Rosters!$B$2:$B$155,0)),"NA")</f>
        <v>NA</v>
      </c>
      <c r="L3036" t="str">
        <f t="shared" si="141"/>
        <v>NA6RB</v>
      </c>
      <c r="M3036">
        <f>COUNTIF(L$1:L3036,L3036)</f>
        <v>17</v>
      </c>
      <c r="N3036" t="str">
        <f t="shared" si="142"/>
        <v>NA6RB-17</v>
      </c>
      <c r="O3036">
        <f>COUNTIFS(F$1:F3036,F3036,A$1:A3036,A3036)</f>
        <v>58</v>
      </c>
      <c r="P3036" t="str">
        <f t="shared" si="143"/>
        <v>Darren Sproles6</v>
      </c>
    </row>
    <row r="3037" spans="1:16" x14ac:dyDescent="0.25">
      <c r="A3037">
        <v>12</v>
      </c>
      <c r="B3037" t="s">
        <v>239</v>
      </c>
      <c r="C3037">
        <f>-0.25-8.29</f>
        <v>-8.5399999999999991</v>
      </c>
      <c r="D3037">
        <v>4.0199999999999996</v>
      </c>
      <c r="E3037" t="s">
        <v>52</v>
      </c>
      <c r="F3037" t="s">
        <v>87</v>
      </c>
      <c r="G3037">
        <v>8.2899999999999991</v>
      </c>
      <c r="H3037">
        <v>-0.25</v>
      </c>
      <c r="I3037">
        <v>4.2699999999999996</v>
      </c>
      <c r="J3037">
        <v>18.232900000000001</v>
      </c>
      <c r="K3037" t="str">
        <f>IFERROR(INDEX(Rosters!$C$2:$C$155,MATCH($B3037,Rosters!$B$2:$B$155,0)),"NA")</f>
        <v>NA</v>
      </c>
      <c r="L3037" t="str">
        <f t="shared" si="141"/>
        <v>NA12WR</v>
      </c>
      <c r="M3037">
        <f>COUNTIF(L$1:L3037,L3037)</f>
        <v>26</v>
      </c>
      <c r="N3037" t="str">
        <f t="shared" si="142"/>
        <v>NA12WR-26</v>
      </c>
      <c r="O3037">
        <f>COUNTIFS(F$1:F3037,F3037,A$1:A3037,A3037)</f>
        <v>73</v>
      </c>
      <c r="P3037" t="str">
        <f t="shared" si="143"/>
        <v>John Ross12</v>
      </c>
    </row>
    <row r="3038" spans="1:16" x14ac:dyDescent="0.25">
      <c r="A3038">
        <v>17</v>
      </c>
      <c r="B3038" t="s">
        <v>388</v>
      </c>
      <c r="C3038" t="s">
        <v>7860</v>
      </c>
      <c r="D3038">
        <v>4.0199999999999996</v>
      </c>
      <c r="E3038" t="s">
        <v>54</v>
      </c>
      <c r="F3038" t="s">
        <v>47</v>
      </c>
      <c r="G3038">
        <v>7.92</v>
      </c>
      <c r="H3038">
        <v>0.12</v>
      </c>
      <c r="I3038">
        <v>3.9</v>
      </c>
      <c r="J3038">
        <v>15.21</v>
      </c>
      <c r="K3038" t="str">
        <f>IFERROR(INDEX(Rosters!$C$2:$C$155,MATCH($B3038,Rosters!$B$2:$B$155,0)),"NA")</f>
        <v>NA</v>
      </c>
      <c r="L3038" t="str">
        <f t="shared" si="141"/>
        <v>NA17RB</v>
      </c>
      <c r="M3038">
        <f>COUNTIF(L$1:L3038,L3038)</f>
        <v>19</v>
      </c>
      <c r="N3038" t="str">
        <f t="shared" si="142"/>
        <v>NA17RB-19</v>
      </c>
      <c r="O3038">
        <f>COUNTIFS(F$1:F3038,F3038,A$1:A3038,A3038)</f>
        <v>65</v>
      </c>
      <c r="P3038" t="str">
        <f t="shared" si="143"/>
        <v>Rod Smith17</v>
      </c>
    </row>
    <row r="3039" spans="1:16" x14ac:dyDescent="0.25">
      <c r="A3039">
        <v>6</v>
      </c>
      <c r="B3039" t="s">
        <v>1319</v>
      </c>
      <c r="C3039" t="s">
        <v>7861</v>
      </c>
      <c r="D3039">
        <v>4.0199999999999996</v>
      </c>
      <c r="E3039" t="s">
        <v>46</v>
      </c>
      <c r="F3039" t="s">
        <v>47</v>
      </c>
      <c r="G3039">
        <v>7.76</v>
      </c>
      <c r="H3039">
        <v>0.28000000000000003</v>
      </c>
      <c r="I3039">
        <v>3.74</v>
      </c>
      <c r="J3039">
        <v>13.9876</v>
      </c>
      <c r="K3039" t="str">
        <f>IFERROR(INDEX(Rosters!$C$2:$C$155,MATCH($B3039,Rosters!$B$2:$B$155,0)),"NA")</f>
        <v>NA</v>
      </c>
      <c r="L3039" t="str">
        <f t="shared" si="141"/>
        <v>NA6RB</v>
      </c>
      <c r="M3039">
        <f>COUNTIF(L$1:L3039,L3039)</f>
        <v>18</v>
      </c>
      <c r="N3039" t="str">
        <f t="shared" si="142"/>
        <v>NA6RB-18</v>
      </c>
      <c r="O3039">
        <f>COUNTIFS(F$1:F3039,F3039,A$1:A3039,A3039)</f>
        <v>59</v>
      </c>
      <c r="P3039" t="str">
        <f t="shared" si="143"/>
        <v>Ronald Jones6</v>
      </c>
    </row>
    <row r="3040" spans="1:16" x14ac:dyDescent="0.25">
      <c r="A3040">
        <v>17</v>
      </c>
      <c r="B3040" t="s">
        <v>238</v>
      </c>
      <c r="C3040" t="s">
        <v>7862</v>
      </c>
      <c r="D3040">
        <v>4.0199999999999996</v>
      </c>
      <c r="E3040" t="s">
        <v>24</v>
      </c>
      <c r="F3040" t="s">
        <v>87</v>
      </c>
      <c r="G3040">
        <v>6.94</v>
      </c>
      <c r="H3040">
        <v>1.1000000000000001</v>
      </c>
      <c r="I3040">
        <v>2.92</v>
      </c>
      <c r="J3040">
        <v>8.5264000000000006</v>
      </c>
      <c r="K3040" t="str">
        <f>IFERROR(INDEX(Rosters!$C$2:$C$155,MATCH($B3040,Rosters!$B$2:$B$155,0)),"NA")</f>
        <v>NA</v>
      </c>
      <c r="L3040" t="str">
        <f t="shared" si="141"/>
        <v>NA17WR</v>
      </c>
      <c r="M3040">
        <f>COUNTIF(L$1:L3040,L3040)</f>
        <v>27</v>
      </c>
      <c r="N3040" t="str">
        <f t="shared" si="142"/>
        <v>NA17WR-27</v>
      </c>
      <c r="O3040">
        <f>COUNTIFS(F$1:F3040,F3040,A$1:A3040,A3040)</f>
        <v>79</v>
      </c>
      <c r="P3040" t="str">
        <f t="shared" si="143"/>
        <v>Seth Roberts17</v>
      </c>
    </row>
    <row r="3041" spans="1:16" x14ac:dyDescent="0.25">
      <c r="A3041">
        <v>17</v>
      </c>
      <c r="B3041" t="s">
        <v>209</v>
      </c>
      <c r="C3041" t="s">
        <v>7861</v>
      </c>
      <c r="D3041">
        <v>4.0199999999999996</v>
      </c>
      <c r="E3041" t="s">
        <v>14</v>
      </c>
      <c r="F3041" t="s">
        <v>87</v>
      </c>
      <c r="G3041">
        <v>7.76</v>
      </c>
      <c r="H3041">
        <v>0.28000000000000003</v>
      </c>
      <c r="I3041">
        <v>3.74</v>
      </c>
      <c r="J3041">
        <v>13.9876</v>
      </c>
      <c r="K3041" t="str">
        <f>IFERROR(INDEX(Rosters!$C$2:$C$155,MATCH($B3041,Rosters!$B$2:$B$155,0)),"NA")</f>
        <v>NA</v>
      </c>
      <c r="L3041" t="str">
        <f t="shared" si="141"/>
        <v>NA17WR</v>
      </c>
      <c r="M3041">
        <f>COUNTIF(L$1:L3041,L3041)</f>
        <v>28</v>
      </c>
      <c r="N3041" t="str">
        <f t="shared" si="142"/>
        <v>NA17WR-28</v>
      </c>
      <c r="O3041">
        <f>COUNTIFS(F$1:F3041,F3041,A$1:A3041,A3041)</f>
        <v>80</v>
      </c>
      <c r="P3041" t="str">
        <f t="shared" si="143"/>
        <v>Torrey Smith17</v>
      </c>
    </row>
    <row r="3042" spans="1:16" x14ac:dyDescent="0.25">
      <c r="A3042">
        <v>15</v>
      </c>
      <c r="B3042" t="s">
        <v>210</v>
      </c>
      <c r="C3042" t="s">
        <v>7863</v>
      </c>
      <c r="D3042">
        <v>4.0199999999999996</v>
      </c>
      <c r="E3042" t="s">
        <v>24</v>
      </c>
      <c r="F3042" t="s">
        <v>87</v>
      </c>
      <c r="G3042">
        <v>6.58</v>
      </c>
      <c r="H3042">
        <v>1.46</v>
      </c>
      <c r="I3042">
        <v>2.56</v>
      </c>
      <c r="J3042">
        <v>6.5536000000000003</v>
      </c>
      <c r="K3042" t="str">
        <f>IFERROR(INDEX(Rosters!$C$2:$C$155,MATCH($B3042,Rosters!$B$2:$B$155,0)),"NA")</f>
        <v>NA</v>
      </c>
      <c r="L3042" t="str">
        <f t="shared" si="141"/>
        <v>NA15WR</v>
      </c>
      <c r="M3042">
        <f>COUNTIF(L$1:L3042,L3042)</f>
        <v>29</v>
      </c>
      <c r="N3042" t="str">
        <f t="shared" si="142"/>
        <v>NA15WR-29</v>
      </c>
      <c r="O3042">
        <f>COUNTIFS(F$1:F3042,F3042,A$1:A3042,A3042)</f>
        <v>80</v>
      </c>
      <c r="P3042" t="str">
        <f t="shared" si="143"/>
        <v>Tyrell Williams15</v>
      </c>
    </row>
    <row r="3043" spans="1:16" x14ac:dyDescent="0.25">
      <c r="A3043">
        <v>1</v>
      </c>
      <c r="B3043" t="s">
        <v>273</v>
      </c>
      <c r="C3043" t="s">
        <v>1447</v>
      </c>
      <c r="D3043">
        <v>4.01</v>
      </c>
      <c r="E3043" t="s">
        <v>38</v>
      </c>
      <c r="F3043" t="s">
        <v>87</v>
      </c>
      <c r="G3043">
        <v>7.39</v>
      </c>
      <c r="H3043">
        <v>0.63</v>
      </c>
      <c r="I3043">
        <v>3.38</v>
      </c>
      <c r="J3043">
        <v>11.4244</v>
      </c>
      <c r="K3043" t="str">
        <f>IFERROR(INDEX(Rosters!$C$2:$C$155,MATCH($B3043,Rosters!$B$2:$B$155,0)),"NA")</f>
        <v>NA</v>
      </c>
      <c r="L3043" t="str">
        <f t="shared" si="141"/>
        <v>NA1WR</v>
      </c>
      <c r="M3043">
        <f>COUNTIF(L$1:L3043,L3043)</f>
        <v>25</v>
      </c>
      <c r="N3043" t="str">
        <f t="shared" si="142"/>
        <v>NA1WR-25</v>
      </c>
      <c r="O3043">
        <f>COUNTIFS(F$1:F3043,F3043,A$1:A3043,A3043)</f>
        <v>72</v>
      </c>
      <c r="P3043" t="str">
        <f t="shared" si="143"/>
        <v>Albert Wilson1</v>
      </c>
    </row>
    <row r="3044" spans="1:16" x14ac:dyDescent="0.25">
      <c r="A3044">
        <v>14</v>
      </c>
      <c r="B3044" t="s">
        <v>1122</v>
      </c>
      <c r="C3044" t="s">
        <v>7864</v>
      </c>
      <c r="D3044">
        <v>4.01</v>
      </c>
      <c r="E3044" t="s">
        <v>22</v>
      </c>
      <c r="F3044" t="s">
        <v>47</v>
      </c>
      <c r="G3044">
        <v>7.94</v>
      </c>
      <c r="H3044">
        <v>0.08</v>
      </c>
      <c r="I3044">
        <v>3.93</v>
      </c>
      <c r="J3044">
        <v>15.444900000000001</v>
      </c>
      <c r="K3044" t="str">
        <f>IFERROR(INDEX(Rosters!$C$2:$C$155,MATCH($B3044,Rosters!$B$2:$B$155,0)),"NA")</f>
        <v>NA</v>
      </c>
      <c r="L3044" t="str">
        <f t="shared" si="141"/>
        <v>NA14RB</v>
      </c>
      <c r="M3044">
        <f>COUNTIF(L$1:L3044,L3044)</f>
        <v>19</v>
      </c>
      <c r="N3044" t="str">
        <f t="shared" si="142"/>
        <v>NA14RB-19</v>
      </c>
      <c r="O3044">
        <f>COUNTIFS(F$1:F3044,F3044,A$1:A3044,A3044)</f>
        <v>65</v>
      </c>
      <c r="P3044" t="str">
        <f t="shared" si="143"/>
        <v>Darren Sproles14</v>
      </c>
    </row>
    <row r="3045" spans="1:16" x14ac:dyDescent="0.25">
      <c r="A3045">
        <v>14</v>
      </c>
      <c r="B3045" t="s">
        <v>141</v>
      </c>
      <c r="C3045" t="s">
        <v>7865</v>
      </c>
      <c r="D3045">
        <v>4.01</v>
      </c>
      <c r="E3045" t="s">
        <v>52</v>
      </c>
      <c r="F3045" t="s">
        <v>114</v>
      </c>
      <c r="G3045">
        <v>7.13</v>
      </c>
      <c r="H3045">
        <v>0.89</v>
      </c>
      <c r="I3045">
        <v>3.12</v>
      </c>
      <c r="J3045">
        <v>9.7344000000000008</v>
      </c>
      <c r="K3045" t="str">
        <f>IFERROR(INDEX(Rosters!$C$2:$C$155,MATCH($B3045,Rosters!$B$2:$B$155,0)),"NA")</f>
        <v>aj</v>
      </c>
      <c r="L3045" t="str">
        <f t="shared" si="141"/>
        <v>aj14TE</v>
      </c>
      <c r="M3045">
        <f>COUNTIF(L$1:L3045,L3045)</f>
        <v>2</v>
      </c>
      <c r="N3045" t="str">
        <f t="shared" si="142"/>
        <v>aj14TE-2</v>
      </c>
      <c r="O3045">
        <f>COUNTIFS(F$1:F3045,F3045,A$1:A3045,A3045)</f>
        <v>23</v>
      </c>
      <c r="P3045" t="str">
        <f t="shared" si="143"/>
        <v>Greg Olsen14</v>
      </c>
    </row>
    <row r="3046" spans="1:16" x14ac:dyDescent="0.25">
      <c r="A3046">
        <v>5</v>
      </c>
      <c r="B3046" t="s">
        <v>308</v>
      </c>
      <c r="C3046">
        <f>-0.4-8.42</f>
        <v>-8.82</v>
      </c>
      <c r="D3046">
        <v>4.01</v>
      </c>
      <c r="E3046" t="s">
        <v>73</v>
      </c>
      <c r="F3046" t="s">
        <v>114</v>
      </c>
      <c r="G3046">
        <v>8.42</v>
      </c>
      <c r="H3046">
        <v>-0.4</v>
      </c>
      <c r="I3046">
        <v>4.41</v>
      </c>
      <c r="J3046">
        <v>19.4481</v>
      </c>
      <c r="K3046" t="str">
        <f>IFERROR(INDEX(Rosters!$C$2:$C$155,MATCH($B3046,Rosters!$B$2:$B$155,0)),"NA")</f>
        <v>NA</v>
      </c>
      <c r="L3046" t="str">
        <f t="shared" si="141"/>
        <v>NA5TE</v>
      </c>
      <c r="M3046">
        <f>COUNTIF(L$1:L3046,L3046)</f>
        <v>6</v>
      </c>
      <c r="N3046" t="str">
        <f t="shared" si="142"/>
        <v>NA5TE-6</v>
      </c>
      <c r="O3046">
        <f>COUNTIFS(F$1:F3046,F3046,A$1:A3046,A3046)</f>
        <v>17</v>
      </c>
      <c r="P3046" t="str">
        <f t="shared" si="143"/>
        <v>Jeff Heuerman5</v>
      </c>
    </row>
    <row r="3047" spans="1:16" x14ac:dyDescent="0.25">
      <c r="A3047">
        <v>5</v>
      </c>
      <c r="B3047" t="s">
        <v>209</v>
      </c>
      <c r="C3047" t="s">
        <v>7866</v>
      </c>
      <c r="D3047">
        <v>4.01</v>
      </c>
      <c r="E3047" t="s">
        <v>54</v>
      </c>
      <c r="F3047" t="s">
        <v>87</v>
      </c>
      <c r="G3047">
        <v>7.82</v>
      </c>
      <c r="H3047">
        <v>0.2</v>
      </c>
      <c r="I3047">
        <v>3.81</v>
      </c>
      <c r="J3047">
        <v>14.5161</v>
      </c>
      <c r="K3047" t="str">
        <f>IFERROR(INDEX(Rosters!$C$2:$C$155,MATCH($B3047,Rosters!$B$2:$B$155,0)),"NA")</f>
        <v>NA</v>
      </c>
      <c r="L3047" t="str">
        <f t="shared" si="141"/>
        <v>NA5WR</v>
      </c>
      <c r="M3047">
        <f>COUNTIF(L$1:L3047,L3047)</f>
        <v>32</v>
      </c>
      <c r="N3047" t="str">
        <f t="shared" si="142"/>
        <v>NA5WR-32</v>
      </c>
      <c r="O3047">
        <f>COUNTIFS(F$1:F3047,F3047,A$1:A3047,A3047)</f>
        <v>78</v>
      </c>
      <c r="P3047" t="str">
        <f t="shared" si="143"/>
        <v>Torrey Smith5</v>
      </c>
    </row>
    <row r="3048" spans="1:16" x14ac:dyDescent="0.25">
      <c r="A3048">
        <v>9</v>
      </c>
      <c r="B3048" t="s">
        <v>175</v>
      </c>
      <c r="C3048" t="s">
        <v>7867</v>
      </c>
      <c r="D3048">
        <v>4</v>
      </c>
      <c r="E3048" t="s">
        <v>73</v>
      </c>
      <c r="F3048" t="s">
        <v>87</v>
      </c>
      <c r="G3048">
        <v>7.66</v>
      </c>
      <c r="H3048">
        <v>0.34</v>
      </c>
      <c r="I3048">
        <v>3.66</v>
      </c>
      <c r="J3048">
        <v>13.3956</v>
      </c>
      <c r="K3048" t="str">
        <f>IFERROR(INDEX(Rosters!$C$2:$C$155,MATCH($B3048,Rosters!$B$2:$B$155,0)),"NA")</f>
        <v>NA</v>
      </c>
      <c r="L3048" t="str">
        <f t="shared" si="141"/>
        <v>NA9WR</v>
      </c>
      <c r="M3048">
        <f>COUNTIF(L$1:L3048,L3048)</f>
        <v>22</v>
      </c>
      <c r="N3048" t="str">
        <f t="shared" si="142"/>
        <v>NA9WR-22</v>
      </c>
      <c r="O3048">
        <f>COUNTIFS(F$1:F3048,F3048,A$1:A3048,A3048)</f>
        <v>64</v>
      </c>
      <c r="P3048" t="str">
        <f t="shared" si="143"/>
        <v>DeVante Parker9</v>
      </c>
    </row>
    <row r="3049" spans="1:16" x14ac:dyDescent="0.25">
      <c r="A3049">
        <v>4</v>
      </c>
      <c r="B3049" t="s">
        <v>277</v>
      </c>
      <c r="C3049" t="s">
        <v>4565</v>
      </c>
      <c r="D3049">
        <v>4</v>
      </c>
      <c r="E3049" t="s">
        <v>37</v>
      </c>
      <c r="F3049" t="s">
        <v>114</v>
      </c>
      <c r="G3049">
        <v>7.25</v>
      </c>
      <c r="H3049">
        <v>0.75</v>
      </c>
      <c r="I3049">
        <v>3.25</v>
      </c>
      <c r="J3049">
        <v>10.5625</v>
      </c>
      <c r="K3049" t="str">
        <f>IFERROR(INDEX(Rosters!$C$2:$C$155,MATCH($B3049,Rosters!$B$2:$B$155,0)),"NA")</f>
        <v>NA</v>
      </c>
      <c r="L3049" t="str">
        <f t="shared" si="141"/>
        <v>NA4TE</v>
      </c>
      <c r="M3049">
        <f>COUNTIF(L$1:L3049,L3049)</f>
        <v>7</v>
      </c>
      <c r="N3049" t="str">
        <f t="shared" si="142"/>
        <v>NA4TE-7</v>
      </c>
      <c r="O3049">
        <f>COUNTIFS(F$1:F3049,F3049,A$1:A3049,A3049)</f>
        <v>17</v>
      </c>
      <c r="P3049" t="str">
        <f t="shared" si="143"/>
        <v>Garrett Celek4</v>
      </c>
    </row>
    <row r="3050" spans="1:16" x14ac:dyDescent="0.25">
      <c r="A3050">
        <v>8</v>
      </c>
      <c r="B3050" t="s">
        <v>262</v>
      </c>
      <c r="C3050" t="s">
        <v>7868</v>
      </c>
      <c r="D3050">
        <v>4</v>
      </c>
      <c r="E3050" t="s">
        <v>14</v>
      </c>
      <c r="F3050" t="s">
        <v>87</v>
      </c>
      <c r="G3050">
        <v>7.33</v>
      </c>
      <c r="H3050">
        <v>0.67</v>
      </c>
      <c r="I3050">
        <v>3.33</v>
      </c>
      <c r="J3050">
        <v>11.088900000000001</v>
      </c>
      <c r="K3050" t="str">
        <f>IFERROR(INDEX(Rosters!$C$2:$C$155,MATCH($B3050,Rosters!$B$2:$B$155,0)),"NA")</f>
        <v>NA</v>
      </c>
      <c r="L3050" t="str">
        <f t="shared" si="141"/>
        <v>NA8WR</v>
      </c>
      <c r="M3050">
        <f>COUNTIF(L$1:L3050,L3050)</f>
        <v>25</v>
      </c>
      <c r="N3050" t="str">
        <f t="shared" si="142"/>
        <v>NA8WR-25</v>
      </c>
      <c r="O3050">
        <f>COUNTIFS(F$1:F3050,F3050,A$1:A3050,A3050)</f>
        <v>71</v>
      </c>
      <c r="P3050" t="str">
        <f t="shared" si="143"/>
        <v>Laquon Treadwell8</v>
      </c>
    </row>
    <row r="3051" spans="1:16" x14ac:dyDescent="0.25">
      <c r="A3051">
        <v>10</v>
      </c>
      <c r="B3051" t="s">
        <v>243</v>
      </c>
      <c r="C3051" t="s">
        <v>7869</v>
      </c>
      <c r="D3051">
        <v>4</v>
      </c>
      <c r="E3051" t="s">
        <v>38</v>
      </c>
      <c r="F3051" t="s">
        <v>87</v>
      </c>
      <c r="G3051">
        <v>7.94</v>
      </c>
      <c r="H3051">
        <v>0.06</v>
      </c>
      <c r="I3051">
        <v>3.94</v>
      </c>
      <c r="J3051">
        <v>15.5236</v>
      </c>
      <c r="K3051" t="str">
        <f>IFERROR(INDEX(Rosters!$C$2:$C$155,MATCH($B3051,Rosters!$B$2:$B$155,0)),"NA")</f>
        <v>NA</v>
      </c>
      <c r="L3051" t="str">
        <f t="shared" si="141"/>
        <v>NA10WR</v>
      </c>
      <c r="M3051">
        <f>COUNTIF(L$1:L3051,L3051)</f>
        <v>25</v>
      </c>
      <c r="N3051" t="str">
        <f t="shared" si="142"/>
        <v>NA10WR-25</v>
      </c>
      <c r="O3051">
        <f>COUNTIFS(F$1:F3051,F3051,A$1:A3051,A3051)</f>
        <v>69</v>
      </c>
      <c r="P3051" t="str">
        <f t="shared" si="143"/>
        <v>Phillip Dorsett10</v>
      </c>
    </row>
    <row r="3052" spans="1:16" x14ac:dyDescent="0.25">
      <c r="A3052">
        <v>4</v>
      </c>
      <c r="B3052" t="s">
        <v>1397</v>
      </c>
      <c r="C3052" t="s">
        <v>4566</v>
      </c>
      <c r="D3052">
        <v>3.99</v>
      </c>
      <c r="E3052" t="s">
        <v>28</v>
      </c>
      <c r="F3052" t="s">
        <v>87</v>
      </c>
      <c r="G3052">
        <v>7.82</v>
      </c>
      <c r="H3052">
        <v>0.16</v>
      </c>
      <c r="I3052">
        <v>3.83</v>
      </c>
      <c r="J3052">
        <v>14.668900000000001</v>
      </c>
      <c r="K3052" t="str">
        <f>IFERROR(INDEX(Rosters!$C$2:$C$155,MATCH($B3052,Rosters!$B$2:$B$155,0)),"NA")</f>
        <v>NA</v>
      </c>
      <c r="L3052" t="str">
        <f t="shared" si="141"/>
        <v>NA4WR</v>
      </c>
      <c r="M3052">
        <f>COUNTIF(L$1:L3052,L3052)</f>
        <v>22</v>
      </c>
      <c r="N3052" t="str">
        <f t="shared" si="142"/>
        <v>NA4WR-22</v>
      </c>
      <c r="O3052">
        <f>COUNTIFS(F$1:F3052,F3052,A$1:A3052,A3052)</f>
        <v>69</v>
      </c>
      <c r="P3052" t="str">
        <f t="shared" si="143"/>
        <v>Christian Kirk4</v>
      </c>
    </row>
    <row r="3053" spans="1:16" x14ac:dyDescent="0.25">
      <c r="A3053">
        <v>16</v>
      </c>
      <c r="B3053" t="s">
        <v>197</v>
      </c>
      <c r="C3053" t="s">
        <v>7870</v>
      </c>
      <c r="D3053">
        <v>3.99</v>
      </c>
      <c r="E3053" t="s">
        <v>17</v>
      </c>
      <c r="F3053" t="s">
        <v>87</v>
      </c>
      <c r="G3053">
        <v>6.97</v>
      </c>
      <c r="H3053">
        <v>1.01</v>
      </c>
      <c r="I3053">
        <v>2.98</v>
      </c>
      <c r="J3053">
        <v>8.8803999999999998</v>
      </c>
      <c r="K3053" t="str">
        <f>IFERROR(INDEX(Rosters!$C$2:$C$155,MATCH($B3053,Rosters!$B$2:$B$155,0)),"NA")</f>
        <v>NA</v>
      </c>
      <c r="L3053" t="str">
        <f t="shared" si="141"/>
        <v>NA16WR</v>
      </c>
      <c r="M3053">
        <f>COUNTIF(L$1:L3053,L3053)</f>
        <v>23</v>
      </c>
      <c r="N3053" t="str">
        <f t="shared" si="142"/>
        <v>NA16WR-23</v>
      </c>
      <c r="O3053">
        <f>COUNTIFS(F$1:F3053,F3053,A$1:A3053,A3053)</f>
        <v>75</v>
      </c>
      <c r="P3053" t="str">
        <f t="shared" si="143"/>
        <v>Cole Beasley16</v>
      </c>
    </row>
    <row r="3054" spans="1:16" x14ac:dyDescent="0.25">
      <c r="A3054">
        <v>13</v>
      </c>
      <c r="B3054" t="s">
        <v>217</v>
      </c>
      <c r="C3054" t="s">
        <v>4567</v>
      </c>
      <c r="D3054">
        <v>3.98</v>
      </c>
      <c r="E3054" t="s">
        <v>19</v>
      </c>
      <c r="F3054" t="s">
        <v>114</v>
      </c>
      <c r="G3054">
        <v>7.84</v>
      </c>
      <c r="H3054">
        <v>0.12</v>
      </c>
      <c r="I3054">
        <v>3.86</v>
      </c>
      <c r="J3054">
        <v>14.8996</v>
      </c>
      <c r="K3054" t="str">
        <f>IFERROR(INDEX(Rosters!$C$2:$C$155,MATCH($B3054,Rosters!$B$2:$B$155,0)),"NA")</f>
        <v>NA</v>
      </c>
      <c r="L3054" t="str">
        <f t="shared" si="141"/>
        <v>NA13TE</v>
      </c>
      <c r="M3054">
        <f>COUNTIF(L$1:L3054,L3054)</f>
        <v>6</v>
      </c>
      <c r="N3054" t="str">
        <f t="shared" si="142"/>
        <v>NA13TE-6</v>
      </c>
      <c r="O3054">
        <f>COUNTIFS(F$1:F3054,F3054,A$1:A3054,A3054)</f>
        <v>19</v>
      </c>
      <c r="P3054" t="str">
        <f t="shared" si="143"/>
        <v>Charles Clay13</v>
      </c>
    </row>
    <row r="3055" spans="1:16" x14ac:dyDescent="0.25">
      <c r="A3055">
        <v>17</v>
      </c>
      <c r="B3055" t="s">
        <v>141</v>
      </c>
      <c r="C3055" t="s">
        <v>7871</v>
      </c>
      <c r="D3055">
        <v>3.98</v>
      </c>
      <c r="E3055" t="s">
        <v>14</v>
      </c>
      <c r="F3055" t="s">
        <v>114</v>
      </c>
      <c r="G3055">
        <v>6.88</v>
      </c>
      <c r="H3055">
        <v>1.08</v>
      </c>
      <c r="I3055">
        <v>2.9</v>
      </c>
      <c r="J3055">
        <v>8.41</v>
      </c>
      <c r="K3055" t="str">
        <f>IFERROR(INDEX(Rosters!$C$2:$C$155,MATCH($B3055,Rosters!$B$2:$B$155,0)),"NA")</f>
        <v>aj</v>
      </c>
      <c r="L3055" t="str">
        <f t="shared" si="141"/>
        <v>aj17TE</v>
      </c>
      <c r="M3055">
        <f>COUNTIF(L$1:L3055,L3055)</f>
        <v>2</v>
      </c>
      <c r="N3055" t="str">
        <f t="shared" si="142"/>
        <v>aj17TE-2</v>
      </c>
      <c r="O3055">
        <f>COUNTIFS(F$1:F3055,F3055,A$1:A3055,A3055)</f>
        <v>22</v>
      </c>
      <c r="P3055" t="str">
        <f t="shared" si="143"/>
        <v>Greg Olsen17</v>
      </c>
    </row>
    <row r="3056" spans="1:16" x14ac:dyDescent="0.25">
      <c r="A3056">
        <v>12</v>
      </c>
      <c r="B3056" t="s">
        <v>242</v>
      </c>
      <c r="C3056" t="s">
        <v>7872</v>
      </c>
      <c r="D3056">
        <v>3.97</v>
      </c>
      <c r="E3056" t="s">
        <v>30</v>
      </c>
      <c r="F3056" t="s">
        <v>87</v>
      </c>
      <c r="G3056">
        <v>7.33</v>
      </c>
      <c r="H3056">
        <v>0.61</v>
      </c>
      <c r="I3056">
        <v>3.36</v>
      </c>
      <c r="J3056">
        <v>11.2896</v>
      </c>
      <c r="K3056" t="str">
        <f>IFERROR(INDEX(Rosters!$C$2:$C$155,MATCH($B3056,Rosters!$B$2:$B$155,0)),"NA")</f>
        <v>NA</v>
      </c>
      <c r="L3056" t="str">
        <f t="shared" si="141"/>
        <v>NA12WR</v>
      </c>
      <c r="M3056">
        <f>COUNTIF(L$1:L3056,L3056)</f>
        <v>27</v>
      </c>
      <c r="N3056" t="str">
        <f t="shared" si="142"/>
        <v>NA12WR-27</v>
      </c>
      <c r="O3056">
        <f>COUNTIFS(F$1:F3056,F3056,A$1:A3056,A3056)</f>
        <v>74</v>
      </c>
      <c r="P3056" t="str">
        <f t="shared" si="143"/>
        <v>Adam Humphries12</v>
      </c>
    </row>
    <row r="3057" spans="1:16" x14ac:dyDescent="0.25">
      <c r="A3057">
        <v>14</v>
      </c>
      <c r="B3057" t="s">
        <v>209</v>
      </c>
      <c r="C3057" t="s">
        <v>7873</v>
      </c>
      <c r="D3057">
        <v>3.97</v>
      </c>
      <c r="E3057" t="s">
        <v>52</v>
      </c>
      <c r="F3057" t="s">
        <v>87</v>
      </c>
      <c r="G3057">
        <v>7.81</v>
      </c>
      <c r="H3057">
        <v>0.13</v>
      </c>
      <c r="I3057">
        <v>3.84</v>
      </c>
      <c r="J3057">
        <v>14.7456</v>
      </c>
      <c r="K3057" t="str">
        <f>IFERROR(INDEX(Rosters!$C$2:$C$155,MATCH($B3057,Rosters!$B$2:$B$155,0)),"NA")</f>
        <v>NA</v>
      </c>
      <c r="L3057" t="str">
        <f t="shared" si="141"/>
        <v>NA14WR</v>
      </c>
      <c r="M3057">
        <f>COUNTIF(L$1:L3057,L3057)</f>
        <v>28</v>
      </c>
      <c r="N3057" t="str">
        <f t="shared" si="142"/>
        <v>NA14WR-28</v>
      </c>
      <c r="O3057">
        <f>COUNTIFS(F$1:F3057,F3057,A$1:A3057,A3057)</f>
        <v>80</v>
      </c>
      <c r="P3057" t="str">
        <f t="shared" si="143"/>
        <v>Torrey Smith14</v>
      </c>
    </row>
    <row r="3058" spans="1:16" x14ac:dyDescent="0.25">
      <c r="A3058">
        <v>16</v>
      </c>
      <c r="B3058" t="s">
        <v>210</v>
      </c>
      <c r="C3058" t="s">
        <v>7874</v>
      </c>
      <c r="D3058">
        <v>3.97</v>
      </c>
      <c r="E3058" t="s">
        <v>77</v>
      </c>
      <c r="F3058" t="s">
        <v>87</v>
      </c>
      <c r="G3058">
        <v>6.41</v>
      </c>
      <c r="H3058">
        <v>1.53</v>
      </c>
      <c r="I3058">
        <v>2.44</v>
      </c>
      <c r="J3058">
        <v>5.9535999999999998</v>
      </c>
      <c r="K3058" t="str">
        <f>IFERROR(INDEX(Rosters!$C$2:$C$155,MATCH($B3058,Rosters!$B$2:$B$155,0)),"NA")</f>
        <v>NA</v>
      </c>
      <c r="L3058" t="str">
        <f t="shared" si="141"/>
        <v>NA16WR</v>
      </c>
      <c r="M3058">
        <f>COUNTIF(L$1:L3058,L3058)</f>
        <v>24</v>
      </c>
      <c r="N3058" t="str">
        <f t="shared" si="142"/>
        <v>NA16WR-24</v>
      </c>
      <c r="O3058">
        <f>COUNTIFS(F$1:F3058,F3058,A$1:A3058,A3058)</f>
        <v>76</v>
      </c>
      <c r="P3058" t="str">
        <f t="shared" si="143"/>
        <v>Tyrell Williams16</v>
      </c>
    </row>
    <row r="3059" spans="1:16" x14ac:dyDescent="0.25">
      <c r="A3059">
        <v>8</v>
      </c>
      <c r="B3059" t="s">
        <v>152</v>
      </c>
      <c r="C3059" t="s">
        <v>7875</v>
      </c>
      <c r="D3059">
        <v>3.97</v>
      </c>
      <c r="E3059" t="s">
        <v>74</v>
      </c>
      <c r="F3059" t="s">
        <v>87</v>
      </c>
      <c r="G3059">
        <v>7.4</v>
      </c>
      <c r="H3059">
        <v>0.54</v>
      </c>
      <c r="I3059">
        <v>3.43</v>
      </c>
      <c r="J3059">
        <v>11.764900000000001</v>
      </c>
      <c r="K3059" t="str">
        <f>IFERROR(INDEX(Rosters!$C$2:$C$155,MATCH($B3059,Rosters!$B$2:$B$155,0)),"NA")</f>
        <v>NA</v>
      </c>
      <c r="L3059" t="str">
        <f t="shared" si="141"/>
        <v>NA8WR</v>
      </c>
      <c r="M3059">
        <f>COUNTIF(L$1:L3059,L3059)</f>
        <v>26</v>
      </c>
      <c r="N3059" t="str">
        <f t="shared" si="142"/>
        <v>NA8WR-26</v>
      </c>
      <c r="O3059">
        <f>COUNTIFS(F$1:F3059,F3059,A$1:A3059,A3059)</f>
        <v>72</v>
      </c>
      <c r="P3059" t="str">
        <f t="shared" si="143"/>
        <v>Willie Snead8</v>
      </c>
    </row>
    <row r="3060" spans="1:16" x14ac:dyDescent="0.25">
      <c r="A3060">
        <v>12</v>
      </c>
      <c r="B3060" t="s">
        <v>182</v>
      </c>
      <c r="C3060" t="s">
        <v>7876</v>
      </c>
      <c r="D3060">
        <v>3.97</v>
      </c>
      <c r="E3060" t="s">
        <v>76</v>
      </c>
      <c r="F3060" t="s">
        <v>87</v>
      </c>
      <c r="G3060">
        <v>7.66</v>
      </c>
      <c r="H3060">
        <v>0.28000000000000003</v>
      </c>
      <c r="I3060">
        <v>3.69</v>
      </c>
      <c r="J3060">
        <v>13.616099999999999</v>
      </c>
      <c r="K3060" t="str">
        <f>IFERROR(INDEX(Rosters!$C$2:$C$155,MATCH($B3060,Rosters!$B$2:$B$155,0)),"NA")</f>
        <v>NA</v>
      </c>
      <c r="L3060" t="str">
        <f t="shared" si="141"/>
        <v>NA12WR</v>
      </c>
      <c r="M3060">
        <f>COUNTIF(L$1:L3060,L3060)</f>
        <v>28</v>
      </c>
      <c r="N3060" t="str">
        <f t="shared" si="142"/>
        <v>NA12WR-28</v>
      </c>
      <c r="O3060">
        <f>COUNTIFS(F$1:F3060,F3060,A$1:A3060,A3060)</f>
        <v>75</v>
      </c>
      <c r="P3060" t="str">
        <f t="shared" si="143"/>
        <v>Zay Jones12</v>
      </c>
    </row>
    <row r="3061" spans="1:16" x14ac:dyDescent="0.25">
      <c r="A3061">
        <v>7</v>
      </c>
      <c r="B3061" t="s">
        <v>4212</v>
      </c>
      <c r="C3061" t="s">
        <v>7877</v>
      </c>
      <c r="D3061">
        <v>3.96</v>
      </c>
      <c r="E3061" t="s">
        <v>50</v>
      </c>
      <c r="F3061" t="s">
        <v>114</v>
      </c>
      <c r="G3061">
        <v>7.62</v>
      </c>
      <c r="H3061">
        <v>0.3</v>
      </c>
      <c r="I3061">
        <v>3.66</v>
      </c>
      <c r="J3061">
        <v>13.3956</v>
      </c>
      <c r="K3061" t="str">
        <f>IFERROR(INDEX(Rosters!$C$2:$C$155,MATCH($B3061,Rosters!$B$2:$B$155,0)),"NA")</f>
        <v>NA</v>
      </c>
      <c r="L3061" t="str">
        <f t="shared" si="141"/>
        <v>NA7TE</v>
      </c>
      <c r="M3061">
        <f>COUNTIF(L$1:L3061,L3061)</f>
        <v>9</v>
      </c>
      <c r="N3061" t="str">
        <f t="shared" si="142"/>
        <v>NA7TE-9</v>
      </c>
      <c r="O3061">
        <f>COUNTIFS(F$1:F3061,F3061,A$1:A3061,A3061)</f>
        <v>18</v>
      </c>
      <c r="P3061" t="str">
        <f t="shared" si="143"/>
        <v>Ian Thomas7</v>
      </c>
    </row>
    <row r="3062" spans="1:16" x14ac:dyDescent="0.25">
      <c r="A3062">
        <v>6</v>
      </c>
      <c r="B3062" t="s">
        <v>387</v>
      </c>
      <c r="C3062" t="s">
        <v>7878</v>
      </c>
      <c r="D3062">
        <v>3.96</v>
      </c>
      <c r="E3062" t="s">
        <v>50</v>
      </c>
      <c r="F3062" t="s">
        <v>114</v>
      </c>
      <c r="G3062">
        <v>7.72</v>
      </c>
      <c r="H3062">
        <v>0.2</v>
      </c>
      <c r="I3062">
        <v>3.76</v>
      </c>
      <c r="J3062">
        <v>14.137600000000001</v>
      </c>
      <c r="K3062" t="str">
        <f>IFERROR(INDEX(Rosters!$C$2:$C$155,MATCH($B3062,Rosters!$B$2:$B$155,0)),"NA")</f>
        <v>NA</v>
      </c>
      <c r="L3062" t="str">
        <f t="shared" si="141"/>
        <v>NA6TE</v>
      </c>
      <c r="M3062">
        <f>COUNTIF(L$1:L3062,L3062)</f>
        <v>7</v>
      </c>
      <c r="N3062" t="str">
        <f t="shared" si="142"/>
        <v>NA6TE-7</v>
      </c>
      <c r="O3062">
        <f>COUNTIFS(F$1:F3062,F3062,A$1:A3062,A3062)</f>
        <v>19</v>
      </c>
      <c r="P3062" t="str">
        <f t="shared" si="143"/>
        <v>Rhett Ellison6</v>
      </c>
    </row>
    <row r="3063" spans="1:16" x14ac:dyDescent="0.25">
      <c r="A3063">
        <v>7</v>
      </c>
      <c r="B3063" t="s">
        <v>252</v>
      </c>
      <c r="C3063" t="s">
        <v>7879</v>
      </c>
      <c r="D3063">
        <v>3.95</v>
      </c>
      <c r="E3063" t="s">
        <v>60</v>
      </c>
      <c r="F3063" t="s">
        <v>87</v>
      </c>
      <c r="G3063">
        <v>7.29</v>
      </c>
      <c r="H3063">
        <v>0.61</v>
      </c>
      <c r="I3063">
        <v>3.34</v>
      </c>
      <c r="J3063">
        <v>11.1556</v>
      </c>
      <c r="K3063" t="str">
        <f>IFERROR(INDEX(Rosters!$C$2:$C$155,MATCH($B3063,Rosters!$B$2:$B$155,0)),"NA")</f>
        <v>NA</v>
      </c>
      <c r="L3063" t="str">
        <f t="shared" si="141"/>
        <v>NA7WR</v>
      </c>
      <c r="M3063">
        <f>COUNTIF(L$1:L3063,L3063)</f>
        <v>27</v>
      </c>
      <c r="N3063" t="str">
        <f t="shared" si="142"/>
        <v>NA7WR-27</v>
      </c>
      <c r="O3063">
        <f>COUNTIFS(F$1:F3063,F3063,A$1:A3063,A3063)</f>
        <v>71</v>
      </c>
      <c r="P3063" t="str">
        <f t="shared" si="143"/>
        <v>Allen Hurns7</v>
      </c>
    </row>
    <row r="3064" spans="1:16" x14ac:dyDescent="0.25">
      <c r="A3064">
        <v>17</v>
      </c>
      <c r="B3064" t="s">
        <v>252</v>
      </c>
      <c r="C3064" t="s">
        <v>7880</v>
      </c>
      <c r="D3064">
        <v>3.95</v>
      </c>
      <c r="E3064" t="s">
        <v>54</v>
      </c>
      <c r="F3064" t="s">
        <v>87</v>
      </c>
      <c r="G3064">
        <v>6.85</v>
      </c>
      <c r="H3064">
        <v>1.05</v>
      </c>
      <c r="I3064">
        <v>2.9</v>
      </c>
      <c r="J3064">
        <v>8.41</v>
      </c>
      <c r="K3064" t="str">
        <f>IFERROR(INDEX(Rosters!$C$2:$C$155,MATCH($B3064,Rosters!$B$2:$B$155,0)),"NA")</f>
        <v>NA</v>
      </c>
      <c r="L3064" t="str">
        <f t="shared" si="141"/>
        <v>NA17WR</v>
      </c>
      <c r="M3064">
        <f>COUNTIF(L$1:L3064,L3064)</f>
        <v>29</v>
      </c>
      <c r="N3064" t="str">
        <f t="shared" si="142"/>
        <v>NA17WR-29</v>
      </c>
      <c r="O3064">
        <f>COUNTIFS(F$1:F3064,F3064,A$1:A3064,A3064)</f>
        <v>81</v>
      </c>
      <c r="P3064" t="str">
        <f t="shared" si="143"/>
        <v>Allen Hurns17</v>
      </c>
    </row>
    <row r="3065" spans="1:16" x14ac:dyDescent="0.25">
      <c r="A3065">
        <v>4</v>
      </c>
      <c r="B3065" t="s">
        <v>156</v>
      </c>
      <c r="C3065" t="s">
        <v>4568</v>
      </c>
      <c r="D3065">
        <v>3.95</v>
      </c>
      <c r="E3065" t="s">
        <v>52</v>
      </c>
      <c r="F3065" t="s">
        <v>87</v>
      </c>
      <c r="G3065">
        <v>7.13</v>
      </c>
      <c r="H3065">
        <v>0.77</v>
      </c>
      <c r="I3065">
        <v>3.18</v>
      </c>
      <c r="J3065">
        <v>10.112399999999999</v>
      </c>
      <c r="K3065" t="str">
        <f>IFERROR(INDEX(Rosters!$C$2:$C$155,MATCH($B3065,Rosters!$B$2:$B$155,0)),"NA")</f>
        <v>NA</v>
      </c>
      <c r="L3065" t="str">
        <f t="shared" si="141"/>
        <v>NA4WR</v>
      </c>
      <c r="M3065">
        <f>COUNTIF(L$1:L3065,L3065)</f>
        <v>23</v>
      </c>
      <c r="N3065" t="str">
        <f t="shared" si="142"/>
        <v>NA4WR-23</v>
      </c>
      <c r="O3065">
        <f>COUNTIFS(F$1:F3065,F3065,A$1:A3065,A3065)</f>
        <v>70</v>
      </c>
      <c r="P3065" t="str">
        <f t="shared" si="143"/>
        <v>Martavis Bryant4</v>
      </c>
    </row>
    <row r="3066" spans="1:16" x14ac:dyDescent="0.25">
      <c r="A3066">
        <v>9</v>
      </c>
      <c r="B3066" t="s">
        <v>152</v>
      </c>
      <c r="C3066" t="s">
        <v>7881</v>
      </c>
      <c r="D3066">
        <v>3.95</v>
      </c>
      <c r="E3066" t="s">
        <v>51</v>
      </c>
      <c r="F3066" t="s">
        <v>87</v>
      </c>
      <c r="G3066">
        <v>7.09</v>
      </c>
      <c r="H3066">
        <v>0.81</v>
      </c>
      <c r="I3066">
        <v>3.14</v>
      </c>
      <c r="J3066">
        <v>9.8596000000000004</v>
      </c>
      <c r="K3066" t="str">
        <f>IFERROR(INDEX(Rosters!$C$2:$C$155,MATCH($B3066,Rosters!$B$2:$B$155,0)),"NA")</f>
        <v>NA</v>
      </c>
      <c r="L3066" t="str">
        <f t="shared" si="141"/>
        <v>NA9WR</v>
      </c>
      <c r="M3066">
        <f>COUNTIF(L$1:L3066,L3066)</f>
        <v>23</v>
      </c>
      <c r="N3066" t="str">
        <f t="shared" si="142"/>
        <v>NA9WR-23</v>
      </c>
      <c r="O3066">
        <f>COUNTIFS(F$1:F3066,F3066,A$1:A3066,A3066)</f>
        <v>65</v>
      </c>
      <c r="P3066" t="str">
        <f t="shared" si="143"/>
        <v>Willie Snead9</v>
      </c>
    </row>
    <row r="3067" spans="1:16" x14ac:dyDescent="0.25">
      <c r="A3067">
        <v>4</v>
      </c>
      <c r="B3067" t="s">
        <v>211</v>
      </c>
      <c r="C3067" t="s">
        <v>4569</v>
      </c>
      <c r="D3067">
        <v>3.94</v>
      </c>
      <c r="E3067" t="s">
        <v>31</v>
      </c>
      <c r="F3067" t="s">
        <v>114</v>
      </c>
      <c r="G3067">
        <v>7.78</v>
      </c>
      <c r="H3067">
        <v>0.1</v>
      </c>
      <c r="I3067">
        <v>3.84</v>
      </c>
      <c r="J3067">
        <v>14.7456</v>
      </c>
      <c r="K3067" t="str">
        <f>IFERROR(INDEX(Rosters!$C$2:$C$155,MATCH($B3067,Rosters!$B$2:$B$155,0)),"NA")</f>
        <v>comp</v>
      </c>
      <c r="L3067" t="str">
        <f t="shared" si="141"/>
        <v>comp4TE</v>
      </c>
      <c r="M3067">
        <f>COUNTIF(L$1:L3067,L3067)</f>
        <v>2</v>
      </c>
      <c r="N3067" t="str">
        <f t="shared" si="142"/>
        <v>comp4TE-2</v>
      </c>
      <c r="O3067">
        <f>COUNTIFS(F$1:F3067,F3067,A$1:A3067,A3067)</f>
        <v>18</v>
      </c>
      <c r="P3067" t="str">
        <f t="shared" si="143"/>
        <v>Austin Hooper4</v>
      </c>
    </row>
    <row r="3068" spans="1:16" x14ac:dyDescent="0.25">
      <c r="A3068">
        <v>1</v>
      </c>
      <c r="B3068" t="s">
        <v>1397</v>
      </c>
      <c r="C3068" t="s">
        <v>1448</v>
      </c>
      <c r="D3068">
        <v>3.94</v>
      </c>
      <c r="E3068" t="s">
        <v>60</v>
      </c>
      <c r="F3068" t="s">
        <v>87</v>
      </c>
      <c r="G3068">
        <v>7.76</v>
      </c>
      <c r="H3068">
        <v>0.12</v>
      </c>
      <c r="I3068">
        <v>3.82</v>
      </c>
      <c r="J3068">
        <v>14.5924</v>
      </c>
      <c r="K3068" t="str">
        <f>IFERROR(INDEX(Rosters!$C$2:$C$155,MATCH($B3068,Rosters!$B$2:$B$155,0)),"NA")</f>
        <v>NA</v>
      </c>
      <c r="L3068" t="str">
        <f t="shared" si="141"/>
        <v>NA1WR</v>
      </c>
      <c r="M3068">
        <f>COUNTIF(L$1:L3068,L3068)</f>
        <v>26</v>
      </c>
      <c r="N3068" t="str">
        <f t="shared" si="142"/>
        <v>NA1WR-26</v>
      </c>
      <c r="O3068">
        <f>COUNTIFS(F$1:F3068,F3068,A$1:A3068,A3068)</f>
        <v>73</v>
      </c>
      <c r="P3068" t="str">
        <f t="shared" si="143"/>
        <v>Christian Kirk1</v>
      </c>
    </row>
    <row r="3069" spans="1:16" x14ac:dyDescent="0.25">
      <c r="A3069">
        <v>13</v>
      </c>
      <c r="B3069" t="s">
        <v>141</v>
      </c>
      <c r="C3069" t="s">
        <v>7882</v>
      </c>
      <c r="D3069">
        <v>3.94</v>
      </c>
      <c r="E3069" t="s">
        <v>17</v>
      </c>
      <c r="F3069" t="s">
        <v>114</v>
      </c>
      <c r="G3069">
        <v>6.9</v>
      </c>
      <c r="H3069">
        <v>0.98</v>
      </c>
      <c r="I3069">
        <v>2.96</v>
      </c>
      <c r="J3069">
        <v>8.7615999999999996</v>
      </c>
      <c r="K3069" t="str">
        <f>IFERROR(INDEX(Rosters!$C$2:$C$155,MATCH($B3069,Rosters!$B$2:$B$155,0)),"NA")</f>
        <v>aj</v>
      </c>
      <c r="L3069" t="str">
        <f t="shared" si="141"/>
        <v>aj13TE</v>
      </c>
      <c r="M3069">
        <f>COUNTIF(L$1:L3069,L3069)</f>
        <v>2</v>
      </c>
      <c r="N3069" t="str">
        <f t="shared" si="142"/>
        <v>aj13TE-2</v>
      </c>
      <c r="O3069">
        <f>COUNTIFS(F$1:F3069,F3069,A$1:A3069,A3069)</f>
        <v>20</v>
      </c>
      <c r="P3069" t="str">
        <f t="shared" si="143"/>
        <v>Greg Olsen13</v>
      </c>
    </row>
    <row r="3070" spans="1:16" x14ac:dyDescent="0.25">
      <c r="A3070">
        <v>17</v>
      </c>
      <c r="B3070" t="s">
        <v>299</v>
      </c>
      <c r="C3070" t="s">
        <v>7883</v>
      </c>
      <c r="D3070">
        <v>3.94</v>
      </c>
      <c r="E3070" t="s">
        <v>31</v>
      </c>
      <c r="F3070" t="s">
        <v>114</v>
      </c>
      <c r="G3070">
        <v>6.65</v>
      </c>
      <c r="H3070">
        <v>1.23</v>
      </c>
      <c r="I3070">
        <v>2.71</v>
      </c>
      <c r="J3070">
        <v>7.3441000000000001</v>
      </c>
      <c r="K3070" t="str">
        <f>IFERROR(INDEX(Rosters!$C$2:$C$155,MATCH($B3070,Rosters!$B$2:$B$155,0)),"NA")</f>
        <v>NA</v>
      </c>
      <c r="L3070" t="str">
        <f t="shared" si="141"/>
        <v>NA17TE</v>
      </c>
      <c r="M3070">
        <f>COUNTIF(L$1:L3070,L3070)</f>
        <v>9</v>
      </c>
      <c r="N3070" t="str">
        <f t="shared" si="142"/>
        <v>NA17TE-9</v>
      </c>
      <c r="O3070">
        <f>COUNTIFS(F$1:F3070,F3070,A$1:A3070,A3070)</f>
        <v>23</v>
      </c>
      <c r="P3070" t="str">
        <f t="shared" si="143"/>
        <v>Jesse James17</v>
      </c>
    </row>
    <row r="3071" spans="1:16" x14ac:dyDescent="0.25">
      <c r="A3071">
        <v>16</v>
      </c>
      <c r="B3071" t="s">
        <v>294</v>
      </c>
      <c r="C3071" t="s">
        <v>7884</v>
      </c>
      <c r="D3071">
        <v>3.93</v>
      </c>
      <c r="E3071" t="s">
        <v>50</v>
      </c>
      <c r="F3071" t="s">
        <v>47</v>
      </c>
      <c r="G3071">
        <v>7.4</v>
      </c>
      <c r="H3071">
        <v>0.46</v>
      </c>
      <c r="I3071">
        <v>3.47</v>
      </c>
      <c r="J3071">
        <v>12.040900000000001</v>
      </c>
      <c r="K3071" t="str">
        <f>IFERROR(INDEX(Rosters!$C$2:$C$155,MATCH($B3071,Rosters!$B$2:$B$155,0)),"NA")</f>
        <v>perry</v>
      </c>
      <c r="L3071" t="str">
        <f t="shared" si="141"/>
        <v>perry16RB</v>
      </c>
      <c r="M3071">
        <f>COUNTIF(L$1:L3071,L3071)</f>
        <v>4</v>
      </c>
      <c r="N3071" t="str">
        <f t="shared" si="142"/>
        <v>perry16RB-4</v>
      </c>
      <c r="O3071">
        <f>COUNTIFS(F$1:F3071,F3071,A$1:A3071,A3071)</f>
        <v>64</v>
      </c>
      <c r="P3071" t="str">
        <f t="shared" si="143"/>
        <v>Alfred Blue16</v>
      </c>
    </row>
    <row r="3072" spans="1:16" x14ac:dyDescent="0.25">
      <c r="A3072">
        <v>9</v>
      </c>
      <c r="B3072" t="s">
        <v>213</v>
      </c>
      <c r="C3072" t="s">
        <v>7885</v>
      </c>
      <c r="D3072">
        <v>3.93</v>
      </c>
      <c r="E3072" t="s">
        <v>74</v>
      </c>
      <c r="F3072" t="s">
        <v>114</v>
      </c>
      <c r="G3072">
        <v>7.13</v>
      </c>
      <c r="H3072">
        <v>0.73</v>
      </c>
      <c r="I3072">
        <v>3.2</v>
      </c>
      <c r="J3072">
        <v>10.24</v>
      </c>
      <c r="K3072" t="str">
        <f>IFERROR(INDEX(Rosters!$C$2:$C$155,MATCH($B3072,Rosters!$B$2:$B$155,0)),"NA")</f>
        <v>NA</v>
      </c>
      <c r="L3072" t="str">
        <f t="shared" si="141"/>
        <v>NA9TE</v>
      </c>
      <c r="M3072">
        <f>COUNTIF(L$1:L3072,L3072)</f>
        <v>7</v>
      </c>
      <c r="N3072" t="str">
        <f t="shared" si="142"/>
        <v>NA9TE-7</v>
      </c>
      <c r="O3072">
        <f>COUNTIFS(F$1:F3072,F3072,A$1:A3072,A3072)</f>
        <v>16</v>
      </c>
      <c r="P3072" t="str">
        <f t="shared" si="143"/>
        <v>Cameron Brate9</v>
      </c>
    </row>
    <row r="3073" spans="1:16" x14ac:dyDescent="0.25">
      <c r="A3073">
        <v>16</v>
      </c>
      <c r="B3073" t="s">
        <v>217</v>
      </c>
      <c r="C3073" t="s">
        <v>7886</v>
      </c>
      <c r="D3073">
        <v>3.93</v>
      </c>
      <c r="E3073" t="s">
        <v>423</v>
      </c>
      <c r="F3073" t="s">
        <v>114</v>
      </c>
      <c r="G3073">
        <v>7.79</v>
      </c>
      <c r="H3073">
        <v>7.0000000000000007E-2</v>
      </c>
      <c r="I3073">
        <v>3.86</v>
      </c>
      <c r="J3073">
        <v>14.8996</v>
      </c>
      <c r="K3073" t="str">
        <f>IFERROR(INDEX(Rosters!$C$2:$C$155,MATCH($B3073,Rosters!$B$2:$B$155,0)),"NA")</f>
        <v>NA</v>
      </c>
      <c r="L3073" t="str">
        <f t="shared" si="141"/>
        <v>NA16TE</v>
      </c>
      <c r="M3073">
        <f>COUNTIF(L$1:L3073,L3073)</f>
        <v>7</v>
      </c>
      <c r="N3073" t="str">
        <f t="shared" si="142"/>
        <v>NA16TE-7</v>
      </c>
      <c r="O3073">
        <f>COUNTIFS(F$1:F3073,F3073,A$1:A3073,A3073)</f>
        <v>20</v>
      </c>
      <c r="P3073" t="str">
        <f t="shared" si="143"/>
        <v>Charles Clay16</v>
      </c>
    </row>
    <row r="3074" spans="1:16" x14ac:dyDescent="0.25">
      <c r="A3074">
        <v>2</v>
      </c>
      <c r="B3074" t="s">
        <v>1432</v>
      </c>
      <c r="C3074" t="s">
        <v>1711</v>
      </c>
      <c r="D3074">
        <v>3.93</v>
      </c>
      <c r="E3074" t="s">
        <v>56</v>
      </c>
      <c r="F3074" t="s">
        <v>47</v>
      </c>
      <c r="G3074">
        <v>7.84</v>
      </c>
      <c r="H3074">
        <v>0.02</v>
      </c>
      <c r="I3074">
        <v>3.91</v>
      </c>
      <c r="J3074">
        <v>15.2881</v>
      </c>
      <c r="K3074" t="str">
        <f>IFERROR(INDEX(Rosters!$C$2:$C$155,MATCH($B3074,Rosters!$B$2:$B$155,0)),"NA")</f>
        <v>NA</v>
      </c>
      <c r="L3074" t="str">
        <f t="shared" si="141"/>
        <v>NA2RB</v>
      </c>
      <c r="M3074">
        <f>COUNTIF(L$1:L3074,L3074)</f>
        <v>18</v>
      </c>
      <c r="N3074" t="str">
        <f t="shared" si="142"/>
        <v>NA2RB-18</v>
      </c>
      <c r="O3074">
        <f>COUNTIFS(F$1:F3074,F3074,A$1:A3074,A3074)</f>
        <v>59</v>
      </c>
      <c r="P3074" t="str">
        <f t="shared" si="143"/>
        <v>Chase Edmonds2</v>
      </c>
    </row>
    <row r="3075" spans="1:16" x14ac:dyDescent="0.25">
      <c r="A3075">
        <v>5</v>
      </c>
      <c r="B3075" t="s">
        <v>4212</v>
      </c>
      <c r="C3075">
        <f>-0.15-8.01</f>
        <v>-8.16</v>
      </c>
      <c r="D3075">
        <v>3.93</v>
      </c>
      <c r="E3075" t="s">
        <v>54</v>
      </c>
      <c r="F3075" t="s">
        <v>114</v>
      </c>
      <c r="G3075">
        <v>8.01</v>
      </c>
      <c r="H3075">
        <v>-0.15</v>
      </c>
      <c r="I3075">
        <v>4.08</v>
      </c>
      <c r="J3075">
        <v>16.6464</v>
      </c>
      <c r="K3075" t="str">
        <f>IFERROR(INDEX(Rosters!$C$2:$C$155,MATCH($B3075,Rosters!$B$2:$B$155,0)),"NA")</f>
        <v>NA</v>
      </c>
      <c r="L3075" t="str">
        <f t="shared" ref="L3075:L3138" si="144">K3075&amp;A3075&amp;F3075</f>
        <v>NA5TE</v>
      </c>
      <c r="M3075">
        <f>COUNTIF(L$1:L3075,L3075)</f>
        <v>7</v>
      </c>
      <c r="N3075" t="str">
        <f t="shared" ref="N3075:N3138" si="145">L3075&amp;"-"&amp;M3075</f>
        <v>NA5TE-7</v>
      </c>
      <c r="O3075">
        <f>COUNTIFS(F$1:F3075,F3075,A$1:A3075,A3075)</f>
        <v>18</v>
      </c>
      <c r="P3075" t="str">
        <f t="shared" ref="P3075:P3138" si="146">B3075&amp;A3075</f>
        <v>Ian Thomas5</v>
      </c>
    </row>
    <row r="3076" spans="1:16" x14ac:dyDescent="0.25">
      <c r="A3076">
        <v>12</v>
      </c>
      <c r="B3076" t="s">
        <v>232</v>
      </c>
      <c r="C3076" t="s">
        <v>7887</v>
      </c>
      <c r="D3076">
        <v>3.93</v>
      </c>
      <c r="E3076" t="s">
        <v>77</v>
      </c>
      <c r="F3076" t="s">
        <v>47</v>
      </c>
      <c r="G3076">
        <v>6.36</v>
      </c>
      <c r="H3076">
        <v>1.5</v>
      </c>
      <c r="I3076">
        <v>2.4300000000000002</v>
      </c>
      <c r="J3076">
        <v>5.9048999999999996</v>
      </c>
      <c r="K3076" t="str">
        <f>IFERROR(INDEX(Rosters!$C$2:$C$155,MATCH($B3076,Rosters!$B$2:$B$155,0)),"NA")</f>
        <v>NA</v>
      </c>
      <c r="L3076" t="str">
        <f t="shared" si="144"/>
        <v>NA12RB</v>
      </c>
      <c r="M3076">
        <f>COUNTIF(L$1:L3076,L3076)</f>
        <v>16</v>
      </c>
      <c r="N3076" t="str">
        <f t="shared" si="145"/>
        <v>NA12RB-16</v>
      </c>
      <c r="O3076">
        <f>COUNTIFS(F$1:F3076,F3076,A$1:A3076,A3076)</f>
        <v>60</v>
      </c>
      <c r="P3076" t="str">
        <f t="shared" si="146"/>
        <v>Jalen Richard12</v>
      </c>
    </row>
    <row r="3077" spans="1:16" x14ac:dyDescent="0.25">
      <c r="A3077">
        <v>14</v>
      </c>
      <c r="B3077" t="s">
        <v>299</v>
      </c>
      <c r="C3077" t="s">
        <v>7888</v>
      </c>
      <c r="D3077">
        <v>3.93</v>
      </c>
      <c r="E3077" t="s">
        <v>32</v>
      </c>
      <c r="F3077" t="s">
        <v>114</v>
      </c>
      <c r="G3077">
        <v>6.22</v>
      </c>
      <c r="H3077">
        <v>1.64</v>
      </c>
      <c r="I3077">
        <v>2.29</v>
      </c>
      <c r="J3077">
        <v>5.2441000000000004</v>
      </c>
      <c r="K3077" t="str">
        <f>IFERROR(INDEX(Rosters!$C$2:$C$155,MATCH($B3077,Rosters!$B$2:$B$155,0)),"NA")</f>
        <v>NA</v>
      </c>
      <c r="L3077" t="str">
        <f t="shared" si="144"/>
        <v>NA14TE</v>
      </c>
      <c r="M3077">
        <f>COUNTIF(L$1:L3077,L3077)</f>
        <v>10</v>
      </c>
      <c r="N3077" t="str">
        <f t="shared" si="145"/>
        <v>NA14TE-10</v>
      </c>
      <c r="O3077">
        <f>COUNTIFS(F$1:F3077,F3077,A$1:A3077,A3077)</f>
        <v>24</v>
      </c>
      <c r="P3077" t="str">
        <f t="shared" si="146"/>
        <v>Jesse James14</v>
      </c>
    </row>
    <row r="3078" spans="1:16" x14ac:dyDescent="0.25">
      <c r="A3078">
        <v>9</v>
      </c>
      <c r="B3078" t="s">
        <v>1540</v>
      </c>
      <c r="C3078" t="s">
        <v>7889</v>
      </c>
      <c r="D3078">
        <v>3.93</v>
      </c>
      <c r="E3078" t="s">
        <v>77</v>
      </c>
      <c r="F3078" t="s">
        <v>87</v>
      </c>
      <c r="G3078">
        <v>7.3</v>
      </c>
      <c r="H3078">
        <v>0.56000000000000005</v>
      </c>
      <c r="I3078">
        <v>3.37</v>
      </c>
      <c r="J3078">
        <v>11.3569</v>
      </c>
      <c r="K3078" t="str">
        <f>IFERROR(INDEX(Rosters!$C$2:$C$155,MATCH($B3078,Rosters!$B$2:$B$155,0)),"NA")</f>
        <v>NA</v>
      </c>
      <c r="L3078" t="str">
        <f t="shared" si="144"/>
        <v>NA9WR</v>
      </c>
      <c r="M3078">
        <f>COUNTIF(L$1:L3078,L3078)</f>
        <v>24</v>
      </c>
      <c r="N3078" t="str">
        <f t="shared" si="145"/>
        <v>NA9WR-24</v>
      </c>
      <c r="O3078">
        <f>COUNTIFS(F$1:F3078,F3078,A$1:A3078,A3078)</f>
        <v>66</v>
      </c>
      <c r="P3078" t="str">
        <f t="shared" si="146"/>
        <v>Ryan Switzer9</v>
      </c>
    </row>
    <row r="3079" spans="1:16" x14ac:dyDescent="0.25">
      <c r="A3079">
        <v>4</v>
      </c>
      <c r="B3079" t="s">
        <v>242</v>
      </c>
      <c r="C3079" t="s">
        <v>3757</v>
      </c>
      <c r="D3079">
        <v>3.92</v>
      </c>
      <c r="E3079" t="s">
        <v>72</v>
      </c>
      <c r="F3079" t="s">
        <v>87</v>
      </c>
      <c r="G3079">
        <v>7.13</v>
      </c>
      <c r="H3079">
        <v>0.71</v>
      </c>
      <c r="I3079">
        <v>3.21</v>
      </c>
      <c r="J3079">
        <v>10.3041</v>
      </c>
      <c r="K3079" t="str">
        <f>IFERROR(INDEX(Rosters!$C$2:$C$155,MATCH($B3079,Rosters!$B$2:$B$155,0)),"NA")</f>
        <v>NA</v>
      </c>
      <c r="L3079" t="str">
        <f t="shared" si="144"/>
        <v>NA4WR</v>
      </c>
      <c r="M3079">
        <f>COUNTIF(L$1:L3079,L3079)</f>
        <v>24</v>
      </c>
      <c r="N3079" t="str">
        <f t="shared" si="145"/>
        <v>NA4WR-24</v>
      </c>
      <c r="O3079">
        <f>COUNTIFS(F$1:F3079,F3079,A$1:A3079,A3079)</f>
        <v>71</v>
      </c>
      <c r="P3079" t="str">
        <f t="shared" si="146"/>
        <v>Adam Humphries4</v>
      </c>
    </row>
    <row r="3080" spans="1:16" x14ac:dyDescent="0.25">
      <c r="A3080">
        <v>13</v>
      </c>
      <c r="B3080" t="s">
        <v>247</v>
      </c>
      <c r="C3080" t="s">
        <v>7890</v>
      </c>
      <c r="D3080">
        <v>3.92</v>
      </c>
      <c r="E3080" t="s">
        <v>66</v>
      </c>
      <c r="F3080" t="s">
        <v>114</v>
      </c>
      <c r="G3080">
        <v>7.1</v>
      </c>
      <c r="H3080">
        <v>0.74</v>
      </c>
      <c r="I3080">
        <v>3.18</v>
      </c>
      <c r="J3080">
        <v>10.112399999999999</v>
      </c>
      <c r="K3080" t="str">
        <f>IFERROR(INDEX(Rosters!$C$2:$C$155,MATCH($B3080,Rosters!$B$2:$B$155,0)),"NA")</f>
        <v>NA</v>
      </c>
      <c r="L3080" t="str">
        <f t="shared" si="144"/>
        <v>NA13TE</v>
      </c>
      <c r="M3080">
        <f>COUNTIF(L$1:L3080,L3080)</f>
        <v>7</v>
      </c>
      <c r="N3080" t="str">
        <f t="shared" si="145"/>
        <v>NA13TE-7</v>
      </c>
      <c r="O3080">
        <f>COUNTIFS(F$1:F3080,F3080,A$1:A3080,A3080)</f>
        <v>21</v>
      </c>
      <c r="P3080" t="str">
        <f t="shared" si="146"/>
        <v>Austin Seferian-Jenkins13</v>
      </c>
    </row>
    <row r="3081" spans="1:16" x14ac:dyDescent="0.25">
      <c r="A3081">
        <v>16</v>
      </c>
      <c r="B3081" t="s">
        <v>247</v>
      </c>
      <c r="C3081" t="s">
        <v>7891</v>
      </c>
      <c r="D3081">
        <v>3.92</v>
      </c>
      <c r="E3081" t="s">
        <v>19</v>
      </c>
      <c r="F3081" t="s">
        <v>114</v>
      </c>
      <c r="G3081">
        <v>6.96</v>
      </c>
      <c r="H3081">
        <v>0.88</v>
      </c>
      <c r="I3081">
        <v>3.04</v>
      </c>
      <c r="J3081">
        <v>9.2416</v>
      </c>
      <c r="K3081" t="str">
        <f>IFERROR(INDEX(Rosters!$C$2:$C$155,MATCH($B3081,Rosters!$B$2:$B$155,0)),"NA")</f>
        <v>NA</v>
      </c>
      <c r="L3081" t="str">
        <f t="shared" si="144"/>
        <v>NA16TE</v>
      </c>
      <c r="M3081">
        <f>COUNTIF(L$1:L3081,L3081)</f>
        <v>8</v>
      </c>
      <c r="N3081" t="str">
        <f t="shared" si="145"/>
        <v>NA16TE-8</v>
      </c>
      <c r="O3081">
        <f>COUNTIFS(F$1:F3081,F3081,A$1:A3081,A3081)</f>
        <v>21</v>
      </c>
      <c r="P3081" t="str">
        <f t="shared" si="146"/>
        <v>Austin Seferian-Jenkins16</v>
      </c>
    </row>
    <row r="3082" spans="1:16" x14ac:dyDescent="0.25">
      <c r="A3082">
        <v>12</v>
      </c>
      <c r="B3082" t="s">
        <v>1148</v>
      </c>
      <c r="C3082" t="s">
        <v>7892</v>
      </c>
      <c r="D3082">
        <v>3.92</v>
      </c>
      <c r="E3082" t="s">
        <v>74</v>
      </c>
      <c r="F3082" t="s">
        <v>47</v>
      </c>
      <c r="G3082">
        <v>7.37</v>
      </c>
      <c r="H3082">
        <v>0.47</v>
      </c>
      <c r="I3082">
        <v>3.45</v>
      </c>
      <c r="J3082">
        <v>11.9025</v>
      </c>
      <c r="K3082" t="str">
        <f>IFERROR(INDEX(Rosters!$C$2:$C$155,MATCH($B3082,Rosters!$B$2:$B$155,0)),"NA")</f>
        <v>NA</v>
      </c>
      <c r="L3082" t="str">
        <f t="shared" si="144"/>
        <v>NA12RB</v>
      </c>
      <c r="M3082">
        <f>COUNTIF(L$1:L3082,L3082)</f>
        <v>17</v>
      </c>
      <c r="N3082" t="str">
        <f t="shared" si="145"/>
        <v>NA12RB-17</v>
      </c>
      <c r="O3082">
        <f>COUNTIFS(F$1:F3082,F3082,A$1:A3082,A3082)</f>
        <v>61</v>
      </c>
      <c r="P3082" t="str">
        <f t="shared" si="146"/>
        <v>Mike Davis12</v>
      </c>
    </row>
    <row r="3083" spans="1:16" x14ac:dyDescent="0.25">
      <c r="A3083">
        <v>9</v>
      </c>
      <c r="B3083" t="s">
        <v>238</v>
      </c>
      <c r="C3083" t="s">
        <v>4570</v>
      </c>
      <c r="D3083">
        <v>3.92</v>
      </c>
      <c r="E3083" t="s">
        <v>30</v>
      </c>
      <c r="F3083" t="s">
        <v>87</v>
      </c>
      <c r="G3083">
        <v>6.98</v>
      </c>
      <c r="H3083">
        <v>0.86</v>
      </c>
      <c r="I3083">
        <v>3.06</v>
      </c>
      <c r="J3083">
        <v>9.3635999999999999</v>
      </c>
      <c r="K3083" t="str">
        <f>IFERROR(INDEX(Rosters!$C$2:$C$155,MATCH($B3083,Rosters!$B$2:$B$155,0)),"NA")</f>
        <v>NA</v>
      </c>
      <c r="L3083" t="str">
        <f t="shared" si="144"/>
        <v>NA9WR</v>
      </c>
      <c r="M3083">
        <f>COUNTIF(L$1:L3083,L3083)</f>
        <v>25</v>
      </c>
      <c r="N3083" t="str">
        <f t="shared" si="145"/>
        <v>NA9WR-25</v>
      </c>
      <c r="O3083">
        <f>COUNTIFS(F$1:F3083,F3083,A$1:A3083,A3083)</f>
        <v>67</v>
      </c>
      <c r="P3083" t="str">
        <f t="shared" si="146"/>
        <v>Seth Roberts9</v>
      </c>
    </row>
    <row r="3084" spans="1:16" x14ac:dyDescent="0.25">
      <c r="A3084">
        <v>8</v>
      </c>
      <c r="B3084" t="s">
        <v>143</v>
      </c>
      <c r="C3084">
        <f>-0.42-8.26</f>
        <v>-8.68</v>
      </c>
      <c r="D3084">
        <v>3.92</v>
      </c>
      <c r="E3084" t="s">
        <v>72</v>
      </c>
      <c r="F3084" t="s">
        <v>87</v>
      </c>
      <c r="G3084">
        <v>8.26</v>
      </c>
      <c r="H3084">
        <v>-0.42</v>
      </c>
      <c r="I3084">
        <v>4.34</v>
      </c>
      <c r="J3084">
        <v>18.835599999999999</v>
      </c>
      <c r="K3084" t="str">
        <f>IFERROR(INDEX(Rosters!$C$2:$C$155,MATCH($B3084,Rosters!$B$2:$B$155,0)),"NA")</f>
        <v>NA</v>
      </c>
      <c r="L3084" t="str">
        <f t="shared" si="144"/>
        <v>NA8WR</v>
      </c>
      <c r="M3084">
        <f>COUNTIF(L$1:L3084,L3084)</f>
        <v>27</v>
      </c>
      <c r="N3084" t="str">
        <f t="shared" si="145"/>
        <v>NA8WR-27</v>
      </c>
      <c r="O3084">
        <f>COUNTIFS(F$1:F3084,F3084,A$1:A3084,A3084)</f>
        <v>73</v>
      </c>
      <c r="P3084" t="str">
        <f t="shared" si="146"/>
        <v>Terrelle Pryor Sr.8</v>
      </c>
    </row>
    <row r="3085" spans="1:16" x14ac:dyDescent="0.25">
      <c r="A3085">
        <v>8</v>
      </c>
      <c r="B3085" t="s">
        <v>159</v>
      </c>
      <c r="C3085" t="s">
        <v>7893</v>
      </c>
      <c r="D3085">
        <v>3.9</v>
      </c>
      <c r="E3085" t="s">
        <v>29</v>
      </c>
      <c r="F3085" t="s">
        <v>87</v>
      </c>
      <c r="G3085">
        <v>6.88</v>
      </c>
      <c r="H3085">
        <v>0.92</v>
      </c>
      <c r="I3085">
        <v>2.98</v>
      </c>
      <c r="J3085">
        <v>8.8803999999999998</v>
      </c>
      <c r="K3085" t="str">
        <f>IFERROR(INDEX(Rosters!$C$2:$C$155,MATCH($B3085,Rosters!$B$2:$B$155,0)),"NA")</f>
        <v>perry</v>
      </c>
      <c r="L3085" t="str">
        <f t="shared" si="144"/>
        <v>perry8WR</v>
      </c>
      <c r="M3085">
        <f>COUNTIF(L$1:L3085,L3085)</f>
        <v>5</v>
      </c>
      <c r="N3085" t="str">
        <f t="shared" si="145"/>
        <v>perry8WR-5</v>
      </c>
      <c r="O3085">
        <f>COUNTIFS(F$1:F3085,F3085,A$1:A3085,A3085)</f>
        <v>74</v>
      </c>
      <c r="P3085" t="str">
        <f t="shared" si="146"/>
        <v>Chris Hogan8</v>
      </c>
    </row>
    <row r="3086" spans="1:16" x14ac:dyDescent="0.25">
      <c r="A3086">
        <v>6</v>
      </c>
      <c r="B3086" t="s">
        <v>197</v>
      </c>
      <c r="C3086" t="s">
        <v>7894</v>
      </c>
      <c r="D3086">
        <v>3.9</v>
      </c>
      <c r="E3086" t="s">
        <v>76</v>
      </c>
      <c r="F3086" t="s">
        <v>87</v>
      </c>
      <c r="G3086">
        <v>6.97</v>
      </c>
      <c r="H3086">
        <v>0.83</v>
      </c>
      <c r="I3086">
        <v>3.07</v>
      </c>
      <c r="J3086">
        <v>9.4248999999999992</v>
      </c>
      <c r="K3086" t="str">
        <f>IFERROR(INDEX(Rosters!$C$2:$C$155,MATCH($B3086,Rosters!$B$2:$B$155,0)),"NA")</f>
        <v>NA</v>
      </c>
      <c r="L3086" t="str">
        <f t="shared" si="144"/>
        <v>NA6WR</v>
      </c>
      <c r="M3086">
        <f>COUNTIF(L$1:L3086,L3086)</f>
        <v>27</v>
      </c>
      <c r="N3086" t="str">
        <f t="shared" si="145"/>
        <v>NA6WR-27</v>
      </c>
      <c r="O3086">
        <f>COUNTIFS(F$1:F3086,F3086,A$1:A3086,A3086)</f>
        <v>74</v>
      </c>
      <c r="P3086" t="str">
        <f t="shared" si="146"/>
        <v>Cole Beasley6</v>
      </c>
    </row>
    <row r="3087" spans="1:16" x14ac:dyDescent="0.25">
      <c r="A3087">
        <v>4</v>
      </c>
      <c r="B3087" t="s">
        <v>316</v>
      </c>
      <c r="C3087" t="s">
        <v>4571</v>
      </c>
      <c r="D3087">
        <v>3.9</v>
      </c>
      <c r="E3087" t="s">
        <v>73</v>
      </c>
      <c r="F3087" t="s">
        <v>47</v>
      </c>
      <c r="G3087">
        <v>7.11</v>
      </c>
      <c r="H3087">
        <v>0.69</v>
      </c>
      <c r="I3087">
        <v>3.21</v>
      </c>
      <c r="J3087">
        <v>10.3041</v>
      </c>
      <c r="K3087" t="str">
        <f>IFERROR(INDEX(Rosters!$C$2:$C$155,MATCH($B3087,Rosters!$B$2:$B$155,0)),"NA")</f>
        <v>NA</v>
      </c>
      <c r="L3087" t="str">
        <f t="shared" si="144"/>
        <v>NA4RB</v>
      </c>
      <c r="M3087">
        <f>COUNTIF(L$1:L3087,L3087)</f>
        <v>12</v>
      </c>
      <c r="N3087" t="str">
        <f t="shared" si="145"/>
        <v>NA4RB-12</v>
      </c>
      <c r="O3087">
        <f>COUNTIFS(F$1:F3087,F3087,A$1:A3087,A3087)</f>
        <v>50</v>
      </c>
      <c r="P3087" t="str">
        <f t="shared" si="146"/>
        <v>Corey Grant4</v>
      </c>
    </row>
    <row r="3088" spans="1:16" x14ac:dyDescent="0.25">
      <c r="A3088">
        <v>9</v>
      </c>
      <c r="B3088" t="s">
        <v>262</v>
      </c>
      <c r="C3088" t="s">
        <v>7895</v>
      </c>
      <c r="D3088">
        <v>3.9</v>
      </c>
      <c r="E3088" t="s">
        <v>34</v>
      </c>
      <c r="F3088" t="s">
        <v>87</v>
      </c>
      <c r="G3088">
        <v>7.05</v>
      </c>
      <c r="H3088">
        <v>0.75</v>
      </c>
      <c r="I3088">
        <v>3.15</v>
      </c>
      <c r="J3088">
        <v>9.9224999999999994</v>
      </c>
      <c r="K3088" t="str">
        <f>IFERROR(INDEX(Rosters!$C$2:$C$155,MATCH($B3088,Rosters!$B$2:$B$155,0)),"NA")</f>
        <v>NA</v>
      </c>
      <c r="L3088" t="str">
        <f t="shared" si="144"/>
        <v>NA9WR</v>
      </c>
      <c r="M3088">
        <f>COUNTIF(L$1:L3088,L3088)</f>
        <v>26</v>
      </c>
      <c r="N3088" t="str">
        <f t="shared" si="145"/>
        <v>NA9WR-26</v>
      </c>
      <c r="O3088">
        <f>COUNTIFS(F$1:F3088,F3088,A$1:A3088,A3088)</f>
        <v>68</v>
      </c>
      <c r="P3088" t="str">
        <f t="shared" si="146"/>
        <v>Laquon Treadwell9</v>
      </c>
    </row>
    <row r="3089" spans="1:16" x14ac:dyDescent="0.25">
      <c r="A3089">
        <v>8</v>
      </c>
      <c r="B3089" t="s">
        <v>247</v>
      </c>
      <c r="C3089" t="s">
        <v>7896</v>
      </c>
      <c r="D3089">
        <v>3.89</v>
      </c>
      <c r="E3089" t="s">
        <v>50</v>
      </c>
      <c r="F3089" t="s">
        <v>114</v>
      </c>
      <c r="G3089">
        <v>7.54</v>
      </c>
      <c r="H3089">
        <v>0.24</v>
      </c>
      <c r="I3089">
        <v>3.65</v>
      </c>
      <c r="J3089">
        <v>13.3225</v>
      </c>
      <c r="K3089" t="str">
        <f>IFERROR(INDEX(Rosters!$C$2:$C$155,MATCH($B3089,Rosters!$B$2:$B$155,0)),"NA")</f>
        <v>NA</v>
      </c>
      <c r="L3089" t="str">
        <f t="shared" si="144"/>
        <v>NA8TE</v>
      </c>
      <c r="M3089">
        <f>COUNTIF(L$1:L3089,L3089)</f>
        <v>9</v>
      </c>
      <c r="N3089" t="str">
        <f t="shared" si="145"/>
        <v>NA8TE-9</v>
      </c>
      <c r="O3089">
        <f>COUNTIFS(F$1:F3089,F3089,A$1:A3089,A3089)</f>
        <v>21</v>
      </c>
      <c r="P3089" t="str">
        <f t="shared" si="146"/>
        <v>Austin Seferian-Jenkins8</v>
      </c>
    </row>
    <row r="3090" spans="1:16" x14ac:dyDescent="0.25">
      <c r="A3090">
        <v>4</v>
      </c>
      <c r="B3090" t="s">
        <v>213</v>
      </c>
      <c r="C3090" t="s">
        <v>4572</v>
      </c>
      <c r="D3090">
        <v>3.89</v>
      </c>
      <c r="E3090" t="s">
        <v>72</v>
      </c>
      <c r="F3090" t="s">
        <v>114</v>
      </c>
      <c r="G3090">
        <v>6.73</v>
      </c>
      <c r="H3090">
        <v>1.05</v>
      </c>
      <c r="I3090">
        <v>2.84</v>
      </c>
      <c r="J3090">
        <v>8.0655999999999999</v>
      </c>
      <c r="K3090" t="str">
        <f>IFERROR(INDEX(Rosters!$C$2:$C$155,MATCH($B3090,Rosters!$B$2:$B$155,0)),"NA")</f>
        <v>NA</v>
      </c>
      <c r="L3090" t="str">
        <f t="shared" si="144"/>
        <v>NA4TE</v>
      </c>
      <c r="M3090">
        <f>COUNTIF(L$1:L3090,L3090)</f>
        <v>8</v>
      </c>
      <c r="N3090" t="str">
        <f t="shared" si="145"/>
        <v>NA4TE-8</v>
      </c>
      <c r="O3090">
        <f>COUNTIFS(F$1:F3090,F3090,A$1:A3090,A3090)</f>
        <v>19</v>
      </c>
      <c r="P3090" t="str">
        <f t="shared" si="146"/>
        <v>Cameron Brate4</v>
      </c>
    </row>
    <row r="3091" spans="1:16" x14ac:dyDescent="0.25">
      <c r="A3091">
        <v>7</v>
      </c>
      <c r="B3091" t="s">
        <v>243</v>
      </c>
      <c r="C3091" t="s">
        <v>7897</v>
      </c>
      <c r="D3091">
        <v>3.89</v>
      </c>
      <c r="E3091" t="s">
        <v>72</v>
      </c>
      <c r="F3091" t="s">
        <v>87</v>
      </c>
      <c r="G3091">
        <v>6.7</v>
      </c>
      <c r="H3091">
        <v>1.08</v>
      </c>
      <c r="I3091">
        <v>2.81</v>
      </c>
      <c r="J3091">
        <v>7.8960999999999997</v>
      </c>
      <c r="K3091" t="str">
        <f>IFERROR(INDEX(Rosters!$C$2:$C$155,MATCH($B3091,Rosters!$B$2:$B$155,0)),"NA")</f>
        <v>NA</v>
      </c>
      <c r="L3091" t="str">
        <f t="shared" si="144"/>
        <v>NA7WR</v>
      </c>
      <c r="M3091">
        <f>COUNTIF(L$1:L3091,L3091)</f>
        <v>28</v>
      </c>
      <c r="N3091" t="str">
        <f t="shared" si="145"/>
        <v>NA7WR-28</v>
      </c>
      <c r="O3091">
        <f>COUNTIFS(F$1:F3091,F3091,A$1:A3091,A3091)</f>
        <v>72</v>
      </c>
      <c r="P3091" t="str">
        <f t="shared" si="146"/>
        <v>Phillip Dorsett7</v>
      </c>
    </row>
    <row r="3092" spans="1:16" x14ac:dyDescent="0.25">
      <c r="A3092">
        <v>10</v>
      </c>
      <c r="B3092" t="s">
        <v>1319</v>
      </c>
      <c r="C3092" t="s">
        <v>7898</v>
      </c>
      <c r="D3092">
        <v>3.89</v>
      </c>
      <c r="E3092" t="s">
        <v>60</v>
      </c>
      <c r="F3092" t="s">
        <v>47</v>
      </c>
      <c r="G3092">
        <v>7.55</v>
      </c>
      <c r="H3092">
        <v>0.23</v>
      </c>
      <c r="I3092">
        <v>3.66</v>
      </c>
      <c r="J3092">
        <v>13.3956</v>
      </c>
      <c r="K3092" t="str">
        <f>IFERROR(INDEX(Rosters!$C$2:$C$155,MATCH($B3092,Rosters!$B$2:$B$155,0)),"NA")</f>
        <v>NA</v>
      </c>
      <c r="L3092" t="str">
        <f t="shared" si="144"/>
        <v>NA10RB</v>
      </c>
      <c r="M3092">
        <f>COUNTIF(L$1:L3092,L3092)</f>
        <v>19</v>
      </c>
      <c r="N3092" t="str">
        <f t="shared" si="145"/>
        <v>NA10RB-19</v>
      </c>
      <c r="O3092">
        <f>COUNTIFS(F$1:F3092,F3092,A$1:A3092,A3092)</f>
        <v>57</v>
      </c>
      <c r="P3092" t="str">
        <f t="shared" si="146"/>
        <v>Ronald Jones10</v>
      </c>
    </row>
    <row r="3093" spans="1:16" x14ac:dyDescent="0.25">
      <c r="A3093">
        <v>11</v>
      </c>
      <c r="B3093" t="s">
        <v>152</v>
      </c>
      <c r="C3093" t="s">
        <v>7899</v>
      </c>
      <c r="D3093">
        <v>3.89</v>
      </c>
      <c r="E3093" t="s">
        <v>31</v>
      </c>
      <c r="F3093" t="s">
        <v>87</v>
      </c>
      <c r="G3093">
        <v>6.76</v>
      </c>
      <c r="H3093">
        <v>1.02</v>
      </c>
      <c r="I3093">
        <v>2.87</v>
      </c>
      <c r="J3093">
        <v>8.2369000000000003</v>
      </c>
      <c r="K3093" t="str">
        <f>IFERROR(INDEX(Rosters!$C$2:$C$155,MATCH($B3093,Rosters!$B$2:$B$155,0)),"NA")</f>
        <v>NA</v>
      </c>
      <c r="L3093" t="str">
        <f t="shared" si="144"/>
        <v>NA11WR</v>
      </c>
      <c r="M3093">
        <f>COUNTIF(L$1:L3093,L3093)</f>
        <v>20</v>
      </c>
      <c r="N3093" t="str">
        <f t="shared" si="145"/>
        <v>NA11WR-20</v>
      </c>
      <c r="O3093">
        <f>COUNTIFS(F$1:F3093,F3093,A$1:A3093,A3093)</f>
        <v>65</v>
      </c>
      <c r="P3093" t="str">
        <f t="shared" si="146"/>
        <v>Willie Snead11</v>
      </c>
    </row>
    <row r="3094" spans="1:16" x14ac:dyDescent="0.25">
      <c r="A3094">
        <v>7</v>
      </c>
      <c r="B3094" t="s">
        <v>242</v>
      </c>
      <c r="C3094" t="s">
        <v>7900</v>
      </c>
      <c r="D3094">
        <v>3.88</v>
      </c>
      <c r="E3094" t="s">
        <v>52</v>
      </c>
      <c r="F3094" t="s">
        <v>87</v>
      </c>
      <c r="G3094">
        <v>7.22</v>
      </c>
      <c r="H3094">
        <v>0.54</v>
      </c>
      <c r="I3094">
        <v>3.34</v>
      </c>
      <c r="J3094">
        <v>11.1556</v>
      </c>
      <c r="K3094" t="str">
        <f>IFERROR(INDEX(Rosters!$C$2:$C$155,MATCH($B3094,Rosters!$B$2:$B$155,0)),"NA")</f>
        <v>NA</v>
      </c>
      <c r="L3094" t="str">
        <f t="shared" si="144"/>
        <v>NA7WR</v>
      </c>
      <c r="M3094">
        <f>COUNTIF(L$1:L3094,L3094)</f>
        <v>29</v>
      </c>
      <c r="N3094" t="str">
        <f t="shared" si="145"/>
        <v>NA7WR-29</v>
      </c>
      <c r="O3094">
        <f>COUNTIFS(F$1:F3094,F3094,A$1:A3094,A3094)</f>
        <v>73</v>
      </c>
      <c r="P3094" t="str">
        <f t="shared" si="146"/>
        <v>Adam Humphries7</v>
      </c>
    </row>
    <row r="3095" spans="1:16" x14ac:dyDescent="0.25">
      <c r="A3095">
        <v>17</v>
      </c>
      <c r="B3095" t="s">
        <v>305</v>
      </c>
      <c r="C3095" t="s">
        <v>7901</v>
      </c>
      <c r="D3095">
        <v>3.88</v>
      </c>
      <c r="E3095" t="s">
        <v>38</v>
      </c>
      <c r="F3095" t="s">
        <v>87</v>
      </c>
      <c r="G3095">
        <v>7.43</v>
      </c>
      <c r="H3095">
        <v>0.33</v>
      </c>
      <c r="I3095">
        <v>3.55</v>
      </c>
      <c r="J3095">
        <v>12.602499999999999</v>
      </c>
      <c r="K3095" t="str">
        <f>IFERROR(INDEX(Rosters!$C$2:$C$155,MATCH($B3095,Rosters!$B$2:$B$155,0)),"NA")</f>
        <v>NA</v>
      </c>
      <c r="L3095" t="str">
        <f t="shared" si="144"/>
        <v>NA17WR</v>
      </c>
      <c r="M3095">
        <f>COUNTIF(L$1:L3095,L3095)</f>
        <v>30</v>
      </c>
      <c r="N3095" t="str">
        <f t="shared" si="145"/>
        <v>NA17WR-30</v>
      </c>
      <c r="O3095">
        <f>COUNTIFS(F$1:F3095,F3095,A$1:A3095,A3095)</f>
        <v>82</v>
      </c>
      <c r="P3095" t="str">
        <f t="shared" si="146"/>
        <v>Chester Rogers17</v>
      </c>
    </row>
    <row r="3096" spans="1:16" x14ac:dyDescent="0.25">
      <c r="A3096">
        <v>16</v>
      </c>
      <c r="B3096" t="s">
        <v>1036</v>
      </c>
      <c r="C3096" t="s">
        <v>7902</v>
      </c>
      <c r="D3096">
        <v>3.88</v>
      </c>
      <c r="E3096" t="s">
        <v>17</v>
      </c>
      <c r="F3096" t="s">
        <v>87</v>
      </c>
      <c r="G3096">
        <v>6.35</v>
      </c>
      <c r="H3096">
        <v>1.41</v>
      </c>
      <c r="I3096">
        <v>2.4700000000000002</v>
      </c>
      <c r="J3096">
        <v>6.1009000000000002</v>
      </c>
      <c r="K3096" t="str">
        <f>IFERROR(INDEX(Rosters!$C$2:$C$155,MATCH($B3096,Rosters!$B$2:$B$155,0)),"NA")</f>
        <v>NA</v>
      </c>
      <c r="L3096" t="str">
        <f t="shared" si="144"/>
        <v>NA16WR</v>
      </c>
      <c r="M3096">
        <f>COUNTIF(L$1:L3096,L3096)</f>
        <v>25</v>
      </c>
      <c r="N3096" t="str">
        <f t="shared" si="145"/>
        <v>NA16WR-25</v>
      </c>
      <c r="O3096">
        <f>COUNTIFS(F$1:F3096,F3096,A$1:A3096,A3096)</f>
        <v>77</v>
      </c>
      <c r="P3096" t="str">
        <f t="shared" si="146"/>
        <v>Deonte Thompson16</v>
      </c>
    </row>
    <row r="3097" spans="1:16" x14ac:dyDescent="0.25">
      <c r="A3097">
        <v>4</v>
      </c>
      <c r="B3097" t="s">
        <v>309</v>
      </c>
      <c r="C3097">
        <f>-0.16-7.92</f>
        <v>-8.08</v>
      </c>
      <c r="D3097">
        <v>3.88</v>
      </c>
      <c r="E3097" t="s">
        <v>34</v>
      </c>
      <c r="F3097" t="s">
        <v>114</v>
      </c>
      <c r="G3097">
        <v>7.92</v>
      </c>
      <c r="H3097">
        <v>-0.16</v>
      </c>
      <c r="I3097">
        <v>4.04</v>
      </c>
      <c r="J3097">
        <v>16.3216</v>
      </c>
      <c r="K3097" t="str">
        <f>IFERROR(INDEX(Rosters!$C$2:$C$155,MATCH($B3097,Rosters!$B$2:$B$155,0)),"NA")</f>
        <v>NA</v>
      </c>
      <c r="L3097" t="str">
        <f t="shared" si="144"/>
        <v>NA4TE</v>
      </c>
      <c r="M3097">
        <f>COUNTIF(L$1:L3097,L3097)</f>
        <v>9</v>
      </c>
      <c r="N3097" t="str">
        <f t="shared" si="145"/>
        <v>NA4TE-9</v>
      </c>
      <c r="O3097">
        <f>COUNTIFS(F$1:F3097,F3097,A$1:A3097,A3097)</f>
        <v>20</v>
      </c>
      <c r="P3097" t="str">
        <f t="shared" si="146"/>
        <v>Geoff Swaim4</v>
      </c>
    </row>
    <row r="3098" spans="1:16" x14ac:dyDescent="0.25">
      <c r="A3098">
        <v>13</v>
      </c>
      <c r="B3098" t="s">
        <v>299</v>
      </c>
      <c r="C3098" t="s">
        <v>7903</v>
      </c>
      <c r="D3098">
        <v>3.88</v>
      </c>
      <c r="E3098" t="s">
        <v>37</v>
      </c>
      <c r="F3098" t="s">
        <v>114</v>
      </c>
      <c r="G3098">
        <v>6.3</v>
      </c>
      <c r="H3098">
        <v>1.46</v>
      </c>
      <c r="I3098">
        <v>2.42</v>
      </c>
      <c r="J3098">
        <v>5.8563999999999998</v>
      </c>
      <c r="K3098" t="str">
        <f>IFERROR(INDEX(Rosters!$C$2:$C$155,MATCH($B3098,Rosters!$B$2:$B$155,0)),"NA")</f>
        <v>NA</v>
      </c>
      <c r="L3098" t="str">
        <f t="shared" si="144"/>
        <v>NA13TE</v>
      </c>
      <c r="M3098">
        <f>COUNTIF(L$1:L3098,L3098)</f>
        <v>8</v>
      </c>
      <c r="N3098" t="str">
        <f t="shared" si="145"/>
        <v>NA13TE-8</v>
      </c>
      <c r="O3098">
        <f>COUNTIFS(F$1:F3098,F3098,A$1:A3098,A3098)</f>
        <v>22</v>
      </c>
      <c r="P3098" t="str">
        <f t="shared" si="146"/>
        <v>Jesse James13</v>
      </c>
    </row>
    <row r="3099" spans="1:16" x14ac:dyDescent="0.25">
      <c r="A3099">
        <v>4</v>
      </c>
      <c r="B3099" t="s">
        <v>109</v>
      </c>
      <c r="C3099" t="s">
        <v>5033</v>
      </c>
      <c r="D3099">
        <v>3.88</v>
      </c>
      <c r="E3099" t="s">
        <v>29</v>
      </c>
      <c r="F3099" t="s">
        <v>47</v>
      </c>
      <c r="G3099">
        <v>5.59</v>
      </c>
      <c r="H3099">
        <v>2.17</v>
      </c>
      <c r="I3099">
        <v>1.71</v>
      </c>
      <c r="J3099">
        <v>2.9241000000000001</v>
      </c>
      <c r="K3099" t="str">
        <f>IFERROR(INDEX(Rosters!$C$2:$C$155,MATCH($B3099,Rosters!$B$2:$B$155,0)),"NA")</f>
        <v>seth</v>
      </c>
      <c r="L3099" t="str">
        <f t="shared" si="144"/>
        <v>seth4RB</v>
      </c>
      <c r="M3099">
        <f>COUNTIF(L$1:L3099,L3099)</f>
        <v>7</v>
      </c>
      <c r="N3099" t="str">
        <f t="shared" si="145"/>
        <v>seth4RB-7</v>
      </c>
      <c r="O3099">
        <f>COUNTIFS(F$1:F3099,F3099,A$1:A3099,A3099)</f>
        <v>51</v>
      </c>
      <c r="P3099" t="str">
        <f t="shared" si="146"/>
        <v>Ty Montgomery4</v>
      </c>
    </row>
    <row r="3100" spans="1:16" x14ac:dyDescent="0.25">
      <c r="A3100">
        <v>11</v>
      </c>
      <c r="B3100" t="s">
        <v>252</v>
      </c>
      <c r="C3100" t="s">
        <v>7904</v>
      </c>
      <c r="D3100">
        <v>3.87</v>
      </c>
      <c r="E3100" t="s">
        <v>46</v>
      </c>
      <c r="F3100" t="s">
        <v>87</v>
      </c>
      <c r="G3100">
        <v>6.79</v>
      </c>
      <c r="H3100">
        <v>0.95</v>
      </c>
      <c r="I3100">
        <v>2.92</v>
      </c>
      <c r="J3100">
        <v>8.5264000000000006</v>
      </c>
      <c r="K3100" t="str">
        <f>IFERROR(INDEX(Rosters!$C$2:$C$155,MATCH($B3100,Rosters!$B$2:$B$155,0)),"NA")</f>
        <v>NA</v>
      </c>
      <c r="L3100" t="str">
        <f t="shared" si="144"/>
        <v>NA11WR</v>
      </c>
      <c r="M3100">
        <f>COUNTIF(L$1:L3100,L3100)</f>
        <v>21</v>
      </c>
      <c r="N3100" t="str">
        <f t="shared" si="145"/>
        <v>NA11WR-21</v>
      </c>
      <c r="O3100">
        <f>COUNTIFS(F$1:F3100,F3100,A$1:A3100,A3100)</f>
        <v>66</v>
      </c>
      <c r="P3100" t="str">
        <f t="shared" si="146"/>
        <v>Allen Hurns11</v>
      </c>
    </row>
    <row r="3101" spans="1:16" x14ac:dyDescent="0.25">
      <c r="A3101">
        <v>16</v>
      </c>
      <c r="B3101" t="s">
        <v>213</v>
      </c>
      <c r="C3101" t="s">
        <v>7905</v>
      </c>
      <c r="D3101">
        <v>3.87</v>
      </c>
      <c r="E3101" t="s">
        <v>22</v>
      </c>
      <c r="F3101" t="s">
        <v>114</v>
      </c>
      <c r="G3101">
        <v>7.12</v>
      </c>
      <c r="H3101">
        <v>0.62</v>
      </c>
      <c r="I3101">
        <v>3.25</v>
      </c>
      <c r="J3101">
        <v>10.5625</v>
      </c>
      <c r="K3101" t="str">
        <f>IFERROR(INDEX(Rosters!$C$2:$C$155,MATCH($B3101,Rosters!$B$2:$B$155,0)),"NA")</f>
        <v>NA</v>
      </c>
      <c r="L3101" t="str">
        <f t="shared" si="144"/>
        <v>NA16TE</v>
      </c>
      <c r="M3101">
        <f>COUNTIF(L$1:L3101,L3101)</f>
        <v>9</v>
      </c>
      <c r="N3101" t="str">
        <f t="shared" si="145"/>
        <v>NA16TE-9</v>
      </c>
      <c r="O3101">
        <f>COUNTIFS(F$1:F3101,F3101,A$1:A3101,A3101)</f>
        <v>22</v>
      </c>
      <c r="P3101" t="str">
        <f t="shared" si="146"/>
        <v>Cameron Brate16</v>
      </c>
    </row>
    <row r="3102" spans="1:16" x14ac:dyDescent="0.25">
      <c r="A3102">
        <v>10</v>
      </c>
      <c r="B3102" t="s">
        <v>141</v>
      </c>
      <c r="C3102" t="s">
        <v>7906</v>
      </c>
      <c r="D3102">
        <v>3.87</v>
      </c>
      <c r="E3102" t="s">
        <v>51</v>
      </c>
      <c r="F3102" t="s">
        <v>114</v>
      </c>
      <c r="G3102">
        <v>6.95</v>
      </c>
      <c r="H3102">
        <v>0.79</v>
      </c>
      <c r="I3102">
        <v>3.08</v>
      </c>
      <c r="J3102">
        <v>9.4863999999999997</v>
      </c>
      <c r="K3102" t="str">
        <f>IFERROR(INDEX(Rosters!$C$2:$C$155,MATCH($B3102,Rosters!$B$2:$B$155,0)),"NA")</f>
        <v>aj</v>
      </c>
      <c r="L3102" t="str">
        <f t="shared" si="144"/>
        <v>aj10TE</v>
      </c>
      <c r="M3102">
        <f>COUNTIF(L$1:L3102,L3102)</f>
        <v>2</v>
      </c>
      <c r="N3102" t="str">
        <f t="shared" si="145"/>
        <v>aj10TE-2</v>
      </c>
      <c r="O3102">
        <f>COUNTIFS(F$1:F3102,F3102,A$1:A3102,A3102)</f>
        <v>17</v>
      </c>
      <c r="P3102" t="str">
        <f t="shared" si="146"/>
        <v>Greg Olsen10</v>
      </c>
    </row>
    <row r="3103" spans="1:16" x14ac:dyDescent="0.25">
      <c r="A3103">
        <v>5</v>
      </c>
      <c r="B3103" t="s">
        <v>1489</v>
      </c>
      <c r="C3103">
        <f>-1.6-9.32</f>
        <v>-10.92</v>
      </c>
      <c r="D3103">
        <v>3.86</v>
      </c>
      <c r="E3103" t="s">
        <v>30</v>
      </c>
      <c r="F3103" t="s">
        <v>87</v>
      </c>
      <c r="G3103">
        <v>9.32</v>
      </c>
      <c r="H3103">
        <v>-1.6</v>
      </c>
      <c r="I3103">
        <v>5.46</v>
      </c>
      <c r="J3103">
        <v>29.811599999999999</v>
      </c>
      <c r="K3103" t="str">
        <f>IFERROR(INDEX(Rosters!$C$2:$C$155,MATCH($B3103,Rosters!$B$2:$B$155,0)),"NA")</f>
        <v>NA</v>
      </c>
      <c r="L3103" t="str">
        <f t="shared" si="144"/>
        <v>NA5WR</v>
      </c>
      <c r="M3103">
        <f>COUNTIF(L$1:L3103,L3103)</f>
        <v>33</v>
      </c>
      <c r="N3103" t="str">
        <f t="shared" si="145"/>
        <v>NA5WR-33</v>
      </c>
      <c r="O3103">
        <f>COUNTIFS(F$1:F3103,F3103,A$1:A3103,A3103)</f>
        <v>79</v>
      </c>
      <c r="P3103" t="str">
        <f t="shared" si="146"/>
        <v>Chad Williams5</v>
      </c>
    </row>
    <row r="3104" spans="1:16" x14ac:dyDescent="0.25">
      <c r="A3104">
        <v>17</v>
      </c>
      <c r="B3104" t="s">
        <v>1489</v>
      </c>
      <c r="C3104">
        <f>-1.27-8.99</f>
        <v>-10.26</v>
      </c>
      <c r="D3104">
        <v>3.86</v>
      </c>
      <c r="E3104" t="s">
        <v>28</v>
      </c>
      <c r="F3104" t="s">
        <v>87</v>
      </c>
      <c r="G3104">
        <v>8.99</v>
      </c>
      <c r="H3104">
        <v>-1.27</v>
      </c>
      <c r="I3104">
        <v>5.13</v>
      </c>
      <c r="J3104">
        <v>26.3169</v>
      </c>
      <c r="K3104" t="str">
        <f>IFERROR(INDEX(Rosters!$C$2:$C$155,MATCH($B3104,Rosters!$B$2:$B$155,0)),"NA")</f>
        <v>NA</v>
      </c>
      <c r="L3104" t="str">
        <f t="shared" si="144"/>
        <v>NA17WR</v>
      </c>
      <c r="M3104">
        <f>COUNTIF(L$1:L3104,L3104)</f>
        <v>31</v>
      </c>
      <c r="N3104" t="str">
        <f t="shared" si="145"/>
        <v>NA17WR-31</v>
      </c>
      <c r="O3104">
        <f>COUNTIFS(F$1:F3104,F3104,A$1:A3104,A3104)</f>
        <v>83</v>
      </c>
      <c r="P3104" t="str">
        <f t="shared" si="146"/>
        <v>Chad Williams17</v>
      </c>
    </row>
    <row r="3105" spans="1:16" x14ac:dyDescent="0.25">
      <c r="A3105">
        <v>17</v>
      </c>
      <c r="B3105" t="s">
        <v>1396</v>
      </c>
      <c r="C3105" t="s">
        <v>7907</v>
      </c>
      <c r="D3105">
        <v>3.86</v>
      </c>
      <c r="E3105" t="s">
        <v>46</v>
      </c>
      <c r="F3105" t="s">
        <v>87</v>
      </c>
      <c r="G3105">
        <v>7.18</v>
      </c>
      <c r="H3105">
        <v>0.54</v>
      </c>
      <c r="I3105">
        <v>3.32</v>
      </c>
      <c r="J3105">
        <v>11.022399999999999</v>
      </c>
      <c r="K3105" t="str">
        <f>IFERROR(INDEX(Rosters!$C$2:$C$155,MATCH($B3105,Rosters!$B$2:$B$155,0)),"NA")</f>
        <v>NA</v>
      </c>
      <c r="L3105" t="str">
        <f t="shared" si="144"/>
        <v>NA17WR</v>
      </c>
      <c r="M3105">
        <f>COUNTIF(L$1:L3105,L3105)</f>
        <v>32</v>
      </c>
      <c r="N3105" t="str">
        <f t="shared" si="145"/>
        <v>NA17WR-32</v>
      </c>
      <c r="O3105">
        <f>COUNTIFS(F$1:F3105,F3105,A$1:A3105,A3105)</f>
        <v>84</v>
      </c>
      <c r="P3105" t="str">
        <f t="shared" si="146"/>
        <v>Chris Godwin17</v>
      </c>
    </row>
    <row r="3106" spans="1:16" x14ac:dyDescent="0.25">
      <c r="A3106">
        <v>12</v>
      </c>
      <c r="B3106" t="s">
        <v>309</v>
      </c>
      <c r="C3106">
        <f>-0.37-8.09</f>
        <v>-8.4599999999999991</v>
      </c>
      <c r="D3106">
        <v>3.86</v>
      </c>
      <c r="E3106" t="s">
        <v>60</v>
      </c>
      <c r="F3106" t="s">
        <v>114</v>
      </c>
      <c r="G3106">
        <v>8.09</v>
      </c>
      <c r="H3106">
        <v>-0.37</v>
      </c>
      <c r="I3106">
        <v>4.2300000000000004</v>
      </c>
      <c r="J3106">
        <v>17.892900000000001</v>
      </c>
      <c r="K3106" t="str">
        <f>IFERROR(INDEX(Rosters!$C$2:$C$155,MATCH($B3106,Rosters!$B$2:$B$155,0)),"NA")</f>
        <v>NA</v>
      </c>
      <c r="L3106" t="str">
        <f t="shared" si="144"/>
        <v>NA12TE</v>
      </c>
      <c r="M3106">
        <f>COUNTIF(L$1:L3106,L3106)</f>
        <v>10</v>
      </c>
      <c r="N3106" t="str">
        <f t="shared" si="145"/>
        <v>NA12TE-10</v>
      </c>
      <c r="O3106">
        <f>COUNTIFS(F$1:F3106,F3106,A$1:A3106,A3106)</f>
        <v>22</v>
      </c>
      <c r="P3106" t="str">
        <f t="shared" si="146"/>
        <v>Geoff Swaim12</v>
      </c>
    </row>
    <row r="3107" spans="1:16" x14ac:dyDescent="0.25">
      <c r="A3107">
        <v>2</v>
      </c>
      <c r="B3107" t="s">
        <v>156</v>
      </c>
      <c r="C3107" t="s">
        <v>3536</v>
      </c>
      <c r="D3107">
        <v>3.86</v>
      </c>
      <c r="E3107" t="s">
        <v>42</v>
      </c>
      <c r="F3107" t="s">
        <v>87</v>
      </c>
      <c r="G3107">
        <v>6.94</v>
      </c>
      <c r="H3107">
        <v>0.78</v>
      </c>
      <c r="I3107">
        <v>3.08</v>
      </c>
      <c r="J3107">
        <v>9.4863999999999997</v>
      </c>
      <c r="K3107" t="str">
        <f>IFERROR(INDEX(Rosters!$C$2:$C$155,MATCH($B3107,Rosters!$B$2:$B$155,0)),"NA")</f>
        <v>NA</v>
      </c>
      <c r="L3107" t="str">
        <f t="shared" si="144"/>
        <v>NA2WR</v>
      </c>
      <c r="M3107">
        <f>COUNTIF(L$1:L3107,L3107)</f>
        <v>27</v>
      </c>
      <c r="N3107" t="str">
        <f t="shared" si="145"/>
        <v>NA2WR-27</v>
      </c>
      <c r="O3107">
        <f>COUNTIFS(F$1:F3107,F3107,A$1:A3107,A3107)</f>
        <v>74</v>
      </c>
      <c r="P3107" t="str">
        <f t="shared" si="146"/>
        <v>Martavis Bryant2</v>
      </c>
    </row>
    <row r="3108" spans="1:16" x14ac:dyDescent="0.25">
      <c r="A3108">
        <v>7</v>
      </c>
      <c r="B3108" t="s">
        <v>294</v>
      </c>
      <c r="C3108" t="s">
        <v>7908</v>
      </c>
      <c r="D3108">
        <v>3.85</v>
      </c>
      <c r="E3108" t="s">
        <v>76</v>
      </c>
      <c r="F3108" t="s">
        <v>47</v>
      </c>
      <c r="G3108">
        <v>7.36</v>
      </c>
      <c r="H3108">
        <v>0.34</v>
      </c>
      <c r="I3108">
        <v>3.51</v>
      </c>
      <c r="J3108">
        <v>12.3201</v>
      </c>
      <c r="K3108" t="str">
        <f>IFERROR(INDEX(Rosters!$C$2:$C$155,MATCH($B3108,Rosters!$B$2:$B$155,0)),"NA")</f>
        <v>perry</v>
      </c>
      <c r="L3108" t="str">
        <f t="shared" si="144"/>
        <v>perry7RB</v>
      </c>
      <c r="M3108">
        <f>COUNTIF(L$1:L3108,L3108)</f>
        <v>4</v>
      </c>
      <c r="N3108" t="str">
        <f t="shared" si="145"/>
        <v>perry7RB-4</v>
      </c>
      <c r="O3108">
        <f>COUNTIFS(F$1:F3108,F3108,A$1:A3108,A3108)</f>
        <v>53</v>
      </c>
      <c r="P3108" t="str">
        <f t="shared" si="146"/>
        <v>Alfred Blue7</v>
      </c>
    </row>
    <row r="3109" spans="1:16" x14ac:dyDescent="0.25">
      <c r="A3109">
        <v>4</v>
      </c>
      <c r="B3109" t="s">
        <v>126</v>
      </c>
      <c r="C3109">
        <f>-0.85-8.55</f>
        <v>-9.4</v>
      </c>
      <c r="D3109">
        <v>3.85</v>
      </c>
      <c r="E3109" t="s">
        <v>38</v>
      </c>
      <c r="F3109" t="s">
        <v>87</v>
      </c>
      <c r="G3109">
        <v>8.5500000000000007</v>
      </c>
      <c r="H3109">
        <v>-0.85</v>
      </c>
      <c r="I3109">
        <v>4.7</v>
      </c>
      <c r="J3109">
        <v>22.09</v>
      </c>
      <c r="K3109" t="str">
        <f>IFERROR(INDEX(Rosters!$C$2:$C$155,MATCH($B3109,Rosters!$B$2:$B$155,0)),"NA")</f>
        <v>devon</v>
      </c>
      <c r="L3109" t="str">
        <f t="shared" si="144"/>
        <v>devon4WR</v>
      </c>
      <c r="M3109">
        <f>COUNTIF(L$1:L3109,L3109)</f>
        <v>4</v>
      </c>
      <c r="N3109" t="str">
        <f t="shared" si="145"/>
        <v>devon4WR-4</v>
      </c>
      <c r="O3109">
        <f>COUNTIFS(F$1:F3109,F3109,A$1:A3109,A3109)</f>
        <v>72</v>
      </c>
      <c r="P3109" t="str">
        <f t="shared" si="146"/>
        <v>Alshon Jeffery4</v>
      </c>
    </row>
    <row r="3110" spans="1:16" x14ac:dyDescent="0.25">
      <c r="A3110">
        <v>12</v>
      </c>
      <c r="B3110" t="s">
        <v>141</v>
      </c>
      <c r="C3110" t="s">
        <v>7909</v>
      </c>
      <c r="D3110">
        <v>3.85</v>
      </c>
      <c r="E3110" t="s">
        <v>28</v>
      </c>
      <c r="F3110" t="s">
        <v>114</v>
      </c>
      <c r="G3110">
        <v>7.43</v>
      </c>
      <c r="H3110">
        <v>0.27</v>
      </c>
      <c r="I3110">
        <v>3.58</v>
      </c>
      <c r="J3110">
        <v>12.8164</v>
      </c>
      <c r="K3110" t="str">
        <f>IFERROR(INDEX(Rosters!$C$2:$C$155,MATCH($B3110,Rosters!$B$2:$B$155,0)),"NA")</f>
        <v>aj</v>
      </c>
      <c r="L3110" t="str">
        <f t="shared" si="144"/>
        <v>aj12TE</v>
      </c>
      <c r="M3110">
        <f>COUNTIF(L$1:L3110,L3110)</f>
        <v>1</v>
      </c>
      <c r="N3110" t="str">
        <f t="shared" si="145"/>
        <v>aj12TE-1</v>
      </c>
      <c r="O3110">
        <f>COUNTIFS(F$1:F3110,F3110,A$1:A3110,A3110)</f>
        <v>23</v>
      </c>
      <c r="P3110" t="str">
        <f t="shared" si="146"/>
        <v>Greg Olsen12</v>
      </c>
    </row>
    <row r="3111" spans="1:16" x14ac:dyDescent="0.25">
      <c r="A3111">
        <v>10</v>
      </c>
      <c r="B3111" t="s">
        <v>4212</v>
      </c>
      <c r="C3111">
        <f>-0.16-7.86</f>
        <v>-8.02</v>
      </c>
      <c r="D3111">
        <v>3.85</v>
      </c>
      <c r="E3111" t="s">
        <v>51</v>
      </c>
      <c r="F3111" t="s">
        <v>114</v>
      </c>
      <c r="G3111">
        <v>7.86</v>
      </c>
      <c r="H3111">
        <v>-0.16</v>
      </c>
      <c r="I3111">
        <v>4.01</v>
      </c>
      <c r="J3111">
        <v>16.080100000000002</v>
      </c>
      <c r="K3111" t="str">
        <f>IFERROR(INDEX(Rosters!$C$2:$C$155,MATCH($B3111,Rosters!$B$2:$B$155,0)),"NA")</f>
        <v>NA</v>
      </c>
      <c r="L3111" t="str">
        <f t="shared" si="144"/>
        <v>NA10TE</v>
      </c>
      <c r="M3111">
        <f>COUNTIF(L$1:L3111,L3111)</f>
        <v>5</v>
      </c>
      <c r="N3111" t="str">
        <f t="shared" si="145"/>
        <v>NA10TE-5</v>
      </c>
      <c r="O3111">
        <f>COUNTIFS(F$1:F3111,F3111,A$1:A3111,A3111)</f>
        <v>18</v>
      </c>
      <c r="P3111" t="str">
        <f t="shared" si="146"/>
        <v>Ian Thomas10</v>
      </c>
    </row>
    <row r="3112" spans="1:16" x14ac:dyDescent="0.25">
      <c r="A3112">
        <v>9</v>
      </c>
      <c r="B3112" t="s">
        <v>294</v>
      </c>
      <c r="C3112" t="s">
        <v>4573</v>
      </c>
      <c r="D3112">
        <v>3.84</v>
      </c>
      <c r="E3112" t="s">
        <v>42</v>
      </c>
      <c r="F3112" t="s">
        <v>47</v>
      </c>
      <c r="G3112">
        <v>7.46</v>
      </c>
      <c r="H3112">
        <v>0.22</v>
      </c>
      <c r="I3112">
        <v>3.62</v>
      </c>
      <c r="J3112">
        <v>13.1044</v>
      </c>
      <c r="K3112" t="str">
        <f>IFERROR(INDEX(Rosters!$C$2:$C$155,MATCH($B3112,Rosters!$B$2:$B$155,0)),"NA")</f>
        <v>perry</v>
      </c>
      <c r="L3112" t="str">
        <f t="shared" si="144"/>
        <v>perry9RB</v>
      </c>
      <c r="M3112">
        <f>COUNTIF(L$1:L3112,L3112)</f>
        <v>4</v>
      </c>
      <c r="N3112" t="str">
        <f t="shared" si="145"/>
        <v>perry9RB-4</v>
      </c>
      <c r="O3112">
        <f>COUNTIFS(F$1:F3112,F3112,A$1:A3112,A3112)</f>
        <v>51</v>
      </c>
      <c r="P3112" t="str">
        <f t="shared" si="146"/>
        <v>Alfred Blue9</v>
      </c>
    </row>
    <row r="3113" spans="1:16" x14ac:dyDescent="0.25">
      <c r="A3113">
        <v>6</v>
      </c>
      <c r="B3113" t="s">
        <v>247</v>
      </c>
      <c r="C3113" t="s">
        <v>7910</v>
      </c>
      <c r="D3113">
        <v>3.84</v>
      </c>
      <c r="E3113" t="s">
        <v>22</v>
      </c>
      <c r="F3113" t="s">
        <v>114</v>
      </c>
      <c r="G3113">
        <v>7.07</v>
      </c>
      <c r="H3113">
        <v>0.61</v>
      </c>
      <c r="I3113">
        <v>3.23</v>
      </c>
      <c r="J3113">
        <v>10.4329</v>
      </c>
      <c r="K3113" t="str">
        <f>IFERROR(INDEX(Rosters!$C$2:$C$155,MATCH($B3113,Rosters!$B$2:$B$155,0)),"NA")</f>
        <v>NA</v>
      </c>
      <c r="L3113" t="str">
        <f t="shared" si="144"/>
        <v>NA6TE</v>
      </c>
      <c r="M3113">
        <f>COUNTIF(L$1:L3113,L3113)</f>
        <v>8</v>
      </c>
      <c r="N3113" t="str">
        <f t="shared" si="145"/>
        <v>NA6TE-8</v>
      </c>
      <c r="O3113">
        <f>COUNTIFS(F$1:F3113,F3113,A$1:A3113,A3113)</f>
        <v>20</v>
      </c>
      <c r="P3113" t="str">
        <f t="shared" si="146"/>
        <v>Austin Seferian-Jenkins6</v>
      </c>
    </row>
    <row r="3114" spans="1:16" x14ac:dyDescent="0.25">
      <c r="A3114">
        <v>14</v>
      </c>
      <c r="B3114" t="s">
        <v>197</v>
      </c>
      <c r="C3114" t="s">
        <v>7911</v>
      </c>
      <c r="D3114">
        <v>3.84</v>
      </c>
      <c r="E3114" t="s">
        <v>50</v>
      </c>
      <c r="F3114" t="s">
        <v>87</v>
      </c>
      <c r="G3114">
        <v>6.81</v>
      </c>
      <c r="H3114">
        <v>0.87</v>
      </c>
      <c r="I3114">
        <v>2.97</v>
      </c>
      <c r="J3114">
        <v>8.8209</v>
      </c>
      <c r="K3114" t="str">
        <f>IFERROR(INDEX(Rosters!$C$2:$C$155,MATCH($B3114,Rosters!$B$2:$B$155,0)),"NA")</f>
        <v>NA</v>
      </c>
      <c r="L3114" t="str">
        <f t="shared" si="144"/>
        <v>NA14WR</v>
      </c>
      <c r="M3114">
        <f>COUNTIF(L$1:L3114,L3114)</f>
        <v>29</v>
      </c>
      <c r="N3114" t="str">
        <f t="shared" si="145"/>
        <v>NA14WR-29</v>
      </c>
      <c r="O3114">
        <f>COUNTIFS(F$1:F3114,F3114,A$1:A3114,A3114)</f>
        <v>81</v>
      </c>
      <c r="P3114" t="str">
        <f t="shared" si="146"/>
        <v>Cole Beasley14</v>
      </c>
    </row>
    <row r="3115" spans="1:16" x14ac:dyDescent="0.25">
      <c r="A3115">
        <v>4</v>
      </c>
      <c r="B3115" t="s">
        <v>247</v>
      </c>
      <c r="C3115" t="s">
        <v>4574</v>
      </c>
      <c r="D3115">
        <v>3.83</v>
      </c>
      <c r="E3115" t="s">
        <v>73</v>
      </c>
      <c r="F3115" t="s">
        <v>114</v>
      </c>
      <c r="G3115">
        <v>6.84</v>
      </c>
      <c r="H3115">
        <v>0.82</v>
      </c>
      <c r="I3115">
        <v>3.01</v>
      </c>
      <c r="J3115">
        <v>9.0601000000000003</v>
      </c>
      <c r="K3115" t="str">
        <f>IFERROR(INDEX(Rosters!$C$2:$C$155,MATCH($B3115,Rosters!$B$2:$B$155,0)),"NA")</f>
        <v>NA</v>
      </c>
      <c r="L3115" t="str">
        <f t="shared" si="144"/>
        <v>NA4TE</v>
      </c>
      <c r="M3115">
        <f>COUNTIF(L$1:L3115,L3115)</f>
        <v>10</v>
      </c>
      <c r="N3115" t="str">
        <f t="shared" si="145"/>
        <v>NA4TE-10</v>
      </c>
      <c r="O3115">
        <f>COUNTIFS(F$1:F3115,F3115,A$1:A3115,A3115)</f>
        <v>21</v>
      </c>
      <c r="P3115" t="str">
        <f t="shared" si="146"/>
        <v>Austin Seferian-Jenkins4</v>
      </c>
    </row>
    <row r="3116" spans="1:16" x14ac:dyDescent="0.25">
      <c r="A3116">
        <v>10</v>
      </c>
      <c r="B3116" t="s">
        <v>189</v>
      </c>
      <c r="C3116" t="s">
        <v>7912</v>
      </c>
      <c r="D3116">
        <v>3.83</v>
      </c>
      <c r="E3116" t="s">
        <v>76</v>
      </c>
      <c r="F3116" t="s">
        <v>114</v>
      </c>
      <c r="G3116">
        <v>7.02</v>
      </c>
      <c r="H3116">
        <v>0.64</v>
      </c>
      <c r="I3116">
        <v>3.19</v>
      </c>
      <c r="J3116">
        <v>10.1761</v>
      </c>
      <c r="K3116" t="str">
        <f>IFERROR(INDEX(Rosters!$C$2:$C$155,MATCH($B3116,Rosters!$B$2:$B$155,0)),"NA")</f>
        <v>NA</v>
      </c>
      <c r="L3116" t="str">
        <f t="shared" si="144"/>
        <v>NA10TE</v>
      </c>
      <c r="M3116">
        <f>COUNTIF(L$1:L3116,L3116)</f>
        <v>6</v>
      </c>
      <c r="N3116" t="str">
        <f t="shared" si="145"/>
        <v>NA10TE-6</v>
      </c>
      <c r="O3116">
        <f>COUNTIFS(F$1:F3116,F3116,A$1:A3116,A3116)</f>
        <v>19</v>
      </c>
      <c r="P3116" t="str">
        <f t="shared" si="146"/>
        <v>Jack Doyle10</v>
      </c>
    </row>
    <row r="3117" spans="1:16" x14ac:dyDescent="0.25">
      <c r="A3117">
        <v>16</v>
      </c>
      <c r="B3117" t="s">
        <v>239</v>
      </c>
      <c r="C3117">
        <f>-0.44-8.1</f>
        <v>-8.5399999999999991</v>
      </c>
      <c r="D3117">
        <v>3.83</v>
      </c>
      <c r="E3117" t="s">
        <v>52</v>
      </c>
      <c r="F3117" t="s">
        <v>87</v>
      </c>
      <c r="G3117">
        <v>8.1</v>
      </c>
      <c r="H3117">
        <v>-0.44</v>
      </c>
      <c r="I3117">
        <v>4.2699999999999996</v>
      </c>
      <c r="J3117">
        <v>18.232900000000001</v>
      </c>
      <c r="K3117" t="str">
        <f>IFERROR(INDEX(Rosters!$C$2:$C$155,MATCH($B3117,Rosters!$B$2:$B$155,0)),"NA")</f>
        <v>NA</v>
      </c>
      <c r="L3117" t="str">
        <f t="shared" si="144"/>
        <v>NA16WR</v>
      </c>
      <c r="M3117">
        <f>COUNTIF(L$1:L3117,L3117)</f>
        <v>26</v>
      </c>
      <c r="N3117" t="str">
        <f t="shared" si="145"/>
        <v>NA16WR-26</v>
      </c>
      <c r="O3117">
        <f>COUNTIFS(F$1:F3117,F3117,A$1:A3117,A3117)</f>
        <v>78</v>
      </c>
      <c r="P3117" t="str">
        <f t="shared" si="146"/>
        <v>John Ross16</v>
      </c>
    </row>
    <row r="3118" spans="1:16" x14ac:dyDescent="0.25">
      <c r="A3118">
        <v>1</v>
      </c>
      <c r="B3118" t="s">
        <v>1483</v>
      </c>
      <c r="C3118" t="s">
        <v>3193</v>
      </c>
      <c r="D3118">
        <v>3.83</v>
      </c>
      <c r="E3118" t="s">
        <v>29</v>
      </c>
      <c r="F3118" t="s">
        <v>15</v>
      </c>
      <c r="G3118">
        <v>5.05</v>
      </c>
      <c r="H3118">
        <v>2.61</v>
      </c>
      <c r="I3118">
        <v>1.22</v>
      </c>
      <c r="J3118">
        <v>1.4883999999999999</v>
      </c>
      <c r="K3118" t="str">
        <f>IFERROR(INDEX(Rosters!$C$2:$C$155,MATCH($B3118,Rosters!$B$2:$B$155,0)),"NA")</f>
        <v>NA</v>
      </c>
      <c r="L3118" t="str">
        <f t="shared" si="144"/>
        <v>NA1QB</v>
      </c>
      <c r="M3118">
        <f>COUNTIF(L$1:L3118,L3118)</f>
        <v>17</v>
      </c>
      <c r="N3118" t="str">
        <f t="shared" si="145"/>
        <v>NA1QB-17</v>
      </c>
      <c r="O3118">
        <f>COUNTIFS(F$1:F3118,F3118,A$1:A3118,A3118)</f>
        <v>32</v>
      </c>
      <c r="P3118" t="str">
        <f t="shared" si="146"/>
        <v>Lamar Jackson1</v>
      </c>
    </row>
    <row r="3119" spans="1:16" x14ac:dyDescent="0.25">
      <c r="A3119">
        <v>6</v>
      </c>
      <c r="B3119" t="s">
        <v>1387</v>
      </c>
      <c r="C3119" t="s">
        <v>7913</v>
      </c>
      <c r="D3119">
        <v>3.82</v>
      </c>
      <c r="E3119" t="s">
        <v>54</v>
      </c>
      <c r="F3119" t="s">
        <v>47</v>
      </c>
      <c r="G3119">
        <v>7.42</v>
      </c>
      <c r="H3119">
        <v>0.22</v>
      </c>
      <c r="I3119">
        <v>3.6</v>
      </c>
      <c r="J3119">
        <v>12.96</v>
      </c>
      <c r="K3119" t="str">
        <f>IFERROR(INDEX(Rosters!$C$2:$C$155,MATCH($B3119,Rosters!$B$2:$B$155,0)),"NA")</f>
        <v>NA</v>
      </c>
      <c r="L3119" t="str">
        <f t="shared" si="144"/>
        <v>NA6RB</v>
      </c>
      <c r="M3119">
        <f>COUNTIF(L$1:L3119,L3119)</f>
        <v>19</v>
      </c>
      <c r="N3119" t="str">
        <f t="shared" si="145"/>
        <v>NA6RB-19</v>
      </c>
      <c r="O3119">
        <f>COUNTIFS(F$1:F3119,F3119,A$1:A3119,A3119)</f>
        <v>60</v>
      </c>
      <c r="P3119" t="str">
        <f t="shared" si="146"/>
        <v>Corey Clement6</v>
      </c>
    </row>
    <row r="3120" spans="1:16" x14ac:dyDescent="0.25">
      <c r="A3120">
        <v>15</v>
      </c>
      <c r="B3120" t="s">
        <v>213</v>
      </c>
      <c r="C3120" t="s">
        <v>7914</v>
      </c>
      <c r="D3120">
        <v>3.81</v>
      </c>
      <c r="E3120" t="s">
        <v>77</v>
      </c>
      <c r="F3120" t="s">
        <v>114</v>
      </c>
      <c r="G3120">
        <v>6.97</v>
      </c>
      <c r="H3120">
        <v>0.65</v>
      </c>
      <c r="I3120">
        <v>3.16</v>
      </c>
      <c r="J3120">
        <v>9.9855999999999998</v>
      </c>
      <c r="K3120" t="str">
        <f>IFERROR(INDEX(Rosters!$C$2:$C$155,MATCH($B3120,Rosters!$B$2:$B$155,0)),"NA")</f>
        <v>NA</v>
      </c>
      <c r="L3120" t="str">
        <f t="shared" si="144"/>
        <v>NA15TE</v>
      </c>
      <c r="M3120">
        <f>COUNTIF(L$1:L3120,L3120)</f>
        <v>9</v>
      </c>
      <c r="N3120" t="str">
        <f t="shared" si="145"/>
        <v>NA15TE-9</v>
      </c>
      <c r="O3120">
        <f>COUNTIFS(F$1:F3120,F3120,A$1:A3120,A3120)</f>
        <v>23</v>
      </c>
      <c r="P3120" t="str">
        <f t="shared" si="146"/>
        <v>Cameron Brate15</v>
      </c>
    </row>
    <row r="3121" spans="1:16" x14ac:dyDescent="0.25">
      <c r="A3121">
        <v>4</v>
      </c>
      <c r="B3121" t="s">
        <v>1432</v>
      </c>
      <c r="C3121" t="s">
        <v>4575</v>
      </c>
      <c r="D3121">
        <v>3.81</v>
      </c>
      <c r="E3121" t="s">
        <v>28</v>
      </c>
      <c r="F3121" t="s">
        <v>47</v>
      </c>
      <c r="G3121">
        <v>6.67</v>
      </c>
      <c r="H3121">
        <v>0.95</v>
      </c>
      <c r="I3121">
        <v>2.86</v>
      </c>
      <c r="J3121">
        <v>8.1796000000000006</v>
      </c>
      <c r="K3121" t="str">
        <f>IFERROR(INDEX(Rosters!$C$2:$C$155,MATCH($B3121,Rosters!$B$2:$B$155,0)),"NA")</f>
        <v>NA</v>
      </c>
      <c r="L3121" t="str">
        <f t="shared" si="144"/>
        <v>NA4RB</v>
      </c>
      <c r="M3121">
        <f>COUNTIF(L$1:L3121,L3121)</f>
        <v>13</v>
      </c>
      <c r="N3121" t="str">
        <f t="shared" si="145"/>
        <v>NA4RB-13</v>
      </c>
      <c r="O3121">
        <f>COUNTIFS(F$1:F3121,F3121,A$1:A3121,A3121)</f>
        <v>52</v>
      </c>
      <c r="P3121" t="str">
        <f t="shared" si="146"/>
        <v>Chase Edmonds4</v>
      </c>
    </row>
    <row r="3122" spans="1:16" x14ac:dyDescent="0.25">
      <c r="A3122">
        <v>2</v>
      </c>
      <c r="B3122" t="s">
        <v>101</v>
      </c>
      <c r="C3122" t="s">
        <v>1450</v>
      </c>
      <c r="D3122">
        <v>3.81</v>
      </c>
      <c r="E3122" t="s">
        <v>42</v>
      </c>
      <c r="F3122" t="s">
        <v>47</v>
      </c>
      <c r="G3122">
        <v>6.88</v>
      </c>
      <c r="H3122">
        <v>0.74</v>
      </c>
      <c r="I3122">
        <v>3.07</v>
      </c>
      <c r="J3122">
        <v>9.4248999999999992</v>
      </c>
      <c r="K3122" t="str">
        <f>IFERROR(INDEX(Rosters!$C$2:$C$155,MATCH($B3122,Rosters!$B$2:$B$155,0)),"NA")</f>
        <v>NA</v>
      </c>
      <c r="L3122" t="str">
        <f t="shared" si="144"/>
        <v>NA2RB</v>
      </c>
      <c r="M3122">
        <f>COUNTIF(L$1:L3122,L3122)</f>
        <v>19</v>
      </c>
      <c r="N3122" t="str">
        <f t="shared" si="145"/>
        <v>NA2RB-19</v>
      </c>
      <c r="O3122">
        <f>COUNTIFS(F$1:F3122,F3122,A$1:A3122,A3122)</f>
        <v>60</v>
      </c>
      <c r="P3122" t="str">
        <f t="shared" si="146"/>
        <v>Doug Martin2</v>
      </c>
    </row>
    <row r="3123" spans="1:16" x14ac:dyDescent="0.25">
      <c r="A3123">
        <v>7</v>
      </c>
      <c r="B3123" t="s">
        <v>308</v>
      </c>
      <c r="C3123">
        <f>-0.5-8.12</f>
        <v>-8.6199999999999992</v>
      </c>
      <c r="D3123">
        <v>3.81</v>
      </c>
      <c r="E3123" t="s">
        <v>58</v>
      </c>
      <c r="F3123" t="s">
        <v>114</v>
      </c>
      <c r="G3123">
        <v>8.1199999999999992</v>
      </c>
      <c r="H3123">
        <v>-0.5</v>
      </c>
      <c r="I3123">
        <v>4.3099999999999996</v>
      </c>
      <c r="J3123">
        <v>18.5761</v>
      </c>
      <c r="K3123" t="str">
        <f>IFERROR(INDEX(Rosters!$C$2:$C$155,MATCH($B3123,Rosters!$B$2:$B$155,0)),"NA")</f>
        <v>NA</v>
      </c>
      <c r="L3123" t="str">
        <f t="shared" si="144"/>
        <v>NA7TE</v>
      </c>
      <c r="M3123">
        <f>COUNTIF(L$1:L3123,L3123)</f>
        <v>10</v>
      </c>
      <c r="N3123" t="str">
        <f t="shared" si="145"/>
        <v>NA7TE-10</v>
      </c>
      <c r="O3123">
        <f>COUNTIFS(F$1:F3123,F3123,A$1:A3123,A3123)</f>
        <v>19</v>
      </c>
      <c r="P3123" t="str">
        <f t="shared" si="146"/>
        <v>Jeff Heuerman7</v>
      </c>
    </row>
    <row r="3124" spans="1:16" x14ac:dyDescent="0.25">
      <c r="A3124">
        <v>1</v>
      </c>
      <c r="B3124" t="s">
        <v>299</v>
      </c>
      <c r="C3124" t="s">
        <v>3194</v>
      </c>
      <c r="D3124">
        <v>3.81</v>
      </c>
      <c r="E3124" t="s">
        <v>52</v>
      </c>
      <c r="F3124" t="s">
        <v>114</v>
      </c>
      <c r="G3124">
        <v>7.24</v>
      </c>
      <c r="H3124">
        <v>0.38</v>
      </c>
      <c r="I3124">
        <v>3.43</v>
      </c>
      <c r="J3124">
        <v>11.764900000000001</v>
      </c>
      <c r="K3124" t="str">
        <f>IFERROR(INDEX(Rosters!$C$2:$C$155,MATCH($B3124,Rosters!$B$2:$B$155,0)),"NA")</f>
        <v>NA</v>
      </c>
      <c r="L3124" t="str">
        <f t="shared" si="144"/>
        <v>NA1TE</v>
      </c>
      <c r="M3124">
        <f>COUNTIF(L$1:L3124,L3124)</f>
        <v>11</v>
      </c>
      <c r="N3124" t="str">
        <f t="shared" si="145"/>
        <v>NA1TE-11</v>
      </c>
      <c r="O3124">
        <f>COUNTIFS(F$1:F3124,F3124,A$1:A3124,A3124)</f>
        <v>21</v>
      </c>
      <c r="P3124" t="str">
        <f t="shared" si="146"/>
        <v>Jesse James1</v>
      </c>
    </row>
    <row r="3125" spans="1:16" x14ac:dyDescent="0.25">
      <c r="A3125">
        <v>13</v>
      </c>
      <c r="B3125" t="s">
        <v>243</v>
      </c>
      <c r="C3125" t="s">
        <v>7915</v>
      </c>
      <c r="D3125">
        <v>3.81</v>
      </c>
      <c r="E3125" t="s">
        <v>25</v>
      </c>
      <c r="F3125" t="s">
        <v>87</v>
      </c>
      <c r="G3125">
        <v>6.94</v>
      </c>
      <c r="H3125">
        <v>0.68</v>
      </c>
      <c r="I3125">
        <v>3.13</v>
      </c>
      <c r="J3125">
        <v>9.7969000000000008</v>
      </c>
      <c r="K3125" t="str">
        <f>IFERROR(INDEX(Rosters!$C$2:$C$155,MATCH($B3125,Rosters!$B$2:$B$155,0)),"NA")</f>
        <v>NA</v>
      </c>
      <c r="L3125" t="str">
        <f t="shared" si="144"/>
        <v>NA13WR</v>
      </c>
      <c r="M3125">
        <f>COUNTIF(L$1:L3125,L3125)</f>
        <v>28</v>
      </c>
      <c r="N3125" t="str">
        <f t="shared" si="145"/>
        <v>NA13WR-28</v>
      </c>
      <c r="O3125">
        <f>COUNTIFS(F$1:F3125,F3125,A$1:A3125,A3125)</f>
        <v>80</v>
      </c>
      <c r="P3125" t="str">
        <f t="shared" si="146"/>
        <v>Phillip Dorsett13</v>
      </c>
    </row>
    <row r="3126" spans="1:16" x14ac:dyDescent="0.25">
      <c r="A3126">
        <v>11</v>
      </c>
      <c r="B3126" t="s">
        <v>1540</v>
      </c>
      <c r="C3126" t="s">
        <v>7916</v>
      </c>
      <c r="D3126">
        <v>3.81</v>
      </c>
      <c r="E3126" t="s">
        <v>76</v>
      </c>
      <c r="F3126" t="s">
        <v>87</v>
      </c>
      <c r="G3126">
        <v>7.2</v>
      </c>
      <c r="H3126">
        <v>0.42</v>
      </c>
      <c r="I3126">
        <v>3.39</v>
      </c>
      <c r="J3126">
        <v>11.492100000000001</v>
      </c>
      <c r="K3126" t="str">
        <f>IFERROR(INDEX(Rosters!$C$2:$C$155,MATCH($B3126,Rosters!$B$2:$B$155,0)),"NA")</f>
        <v>NA</v>
      </c>
      <c r="L3126" t="str">
        <f t="shared" si="144"/>
        <v>NA11WR</v>
      </c>
      <c r="M3126">
        <f>COUNTIF(L$1:L3126,L3126)</f>
        <v>22</v>
      </c>
      <c r="N3126" t="str">
        <f t="shared" si="145"/>
        <v>NA11WR-22</v>
      </c>
      <c r="O3126">
        <f>COUNTIFS(F$1:F3126,F3126,A$1:A3126,A3126)</f>
        <v>67</v>
      </c>
      <c r="P3126" t="str">
        <f t="shared" si="146"/>
        <v>Ryan Switzer11</v>
      </c>
    </row>
    <row r="3127" spans="1:16" x14ac:dyDescent="0.25">
      <c r="A3127">
        <v>15</v>
      </c>
      <c r="B3127" t="s">
        <v>1540</v>
      </c>
      <c r="C3127" t="s">
        <v>7917</v>
      </c>
      <c r="D3127">
        <v>3.81</v>
      </c>
      <c r="E3127" t="s">
        <v>423</v>
      </c>
      <c r="F3127" t="s">
        <v>87</v>
      </c>
      <c r="G3127">
        <v>7.33</v>
      </c>
      <c r="H3127">
        <v>0.28999999999999998</v>
      </c>
      <c r="I3127">
        <v>3.52</v>
      </c>
      <c r="J3127">
        <v>12.3904</v>
      </c>
      <c r="K3127" t="str">
        <f>IFERROR(INDEX(Rosters!$C$2:$C$155,MATCH($B3127,Rosters!$B$2:$B$155,0)),"NA")</f>
        <v>NA</v>
      </c>
      <c r="L3127" t="str">
        <f t="shared" si="144"/>
        <v>NA15WR</v>
      </c>
      <c r="M3127">
        <f>COUNTIF(L$1:L3127,L3127)</f>
        <v>30</v>
      </c>
      <c r="N3127" t="str">
        <f t="shared" si="145"/>
        <v>NA15WR-30</v>
      </c>
      <c r="O3127">
        <f>COUNTIFS(F$1:F3127,F3127,A$1:A3127,A3127)</f>
        <v>81</v>
      </c>
      <c r="P3127" t="str">
        <f t="shared" si="146"/>
        <v>Ryan Switzer15</v>
      </c>
    </row>
    <row r="3128" spans="1:16" x14ac:dyDescent="0.25">
      <c r="A3128">
        <v>15</v>
      </c>
      <c r="B3128" t="s">
        <v>294</v>
      </c>
      <c r="C3128" t="s">
        <v>7918</v>
      </c>
      <c r="D3128">
        <v>3.8</v>
      </c>
      <c r="E3128" t="s">
        <v>73</v>
      </c>
      <c r="F3128" t="s">
        <v>47</v>
      </c>
      <c r="G3128">
        <v>7.24</v>
      </c>
      <c r="H3128">
        <v>0.36</v>
      </c>
      <c r="I3128">
        <v>3.44</v>
      </c>
      <c r="J3128">
        <v>11.833600000000001</v>
      </c>
      <c r="K3128" t="str">
        <f>IFERROR(INDEX(Rosters!$C$2:$C$155,MATCH($B3128,Rosters!$B$2:$B$155,0)),"NA")</f>
        <v>perry</v>
      </c>
      <c r="L3128" t="str">
        <f t="shared" si="144"/>
        <v>perry15RB</v>
      </c>
      <c r="M3128">
        <f>COUNTIF(L$1:L3128,L3128)</f>
        <v>4</v>
      </c>
      <c r="N3128" t="str">
        <f t="shared" si="145"/>
        <v>perry15RB-4</v>
      </c>
      <c r="O3128">
        <f>COUNTIFS(F$1:F3128,F3128,A$1:A3128,A3128)</f>
        <v>64</v>
      </c>
      <c r="P3128" t="str">
        <f t="shared" si="146"/>
        <v>Alfred Blue15</v>
      </c>
    </row>
    <row r="3129" spans="1:16" x14ac:dyDescent="0.25">
      <c r="A3129">
        <v>9</v>
      </c>
      <c r="B3129" t="s">
        <v>211</v>
      </c>
      <c r="C3129">
        <f>-0.05-7.65</f>
        <v>-7.7</v>
      </c>
      <c r="D3129">
        <v>3.8</v>
      </c>
      <c r="E3129" t="s">
        <v>60</v>
      </c>
      <c r="F3129" t="s">
        <v>114</v>
      </c>
      <c r="G3129">
        <v>7.65</v>
      </c>
      <c r="H3129">
        <v>-0.05</v>
      </c>
      <c r="I3129">
        <v>3.85</v>
      </c>
      <c r="J3129">
        <v>14.8225</v>
      </c>
      <c r="K3129" t="str">
        <f>IFERROR(INDEX(Rosters!$C$2:$C$155,MATCH($B3129,Rosters!$B$2:$B$155,0)),"NA")</f>
        <v>comp</v>
      </c>
      <c r="L3129" t="str">
        <f t="shared" si="144"/>
        <v>comp9TE</v>
      </c>
      <c r="M3129">
        <f>COUNTIF(L$1:L3129,L3129)</f>
        <v>2</v>
      </c>
      <c r="N3129" t="str">
        <f t="shared" si="145"/>
        <v>comp9TE-2</v>
      </c>
      <c r="O3129">
        <f>COUNTIFS(F$1:F3129,F3129,A$1:A3129,A3129)</f>
        <v>17</v>
      </c>
      <c r="P3129" t="str">
        <f t="shared" si="146"/>
        <v>Austin Hooper9</v>
      </c>
    </row>
    <row r="3130" spans="1:16" x14ac:dyDescent="0.25">
      <c r="A3130">
        <v>8</v>
      </c>
      <c r="B3130" t="s">
        <v>182</v>
      </c>
      <c r="C3130" t="s">
        <v>7919</v>
      </c>
      <c r="D3130">
        <v>3.8</v>
      </c>
      <c r="E3130" t="s">
        <v>423</v>
      </c>
      <c r="F3130" t="s">
        <v>87</v>
      </c>
      <c r="G3130">
        <v>6.94</v>
      </c>
      <c r="H3130">
        <v>0.66</v>
      </c>
      <c r="I3130">
        <v>3.14</v>
      </c>
      <c r="J3130">
        <v>9.8596000000000004</v>
      </c>
      <c r="K3130" t="str">
        <f>IFERROR(INDEX(Rosters!$C$2:$C$155,MATCH($B3130,Rosters!$B$2:$B$155,0)),"NA")</f>
        <v>NA</v>
      </c>
      <c r="L3130" t="str">
        <f t="shared" si="144"/>
        <v>NA8WR</v>
      </c>
      <c r="M3130">
        <f>COUNTIF(L$1:L3130,L3130)</f>
        <v>28</v>
      </c>
      <c r="N3130" t="str">
        <f t="shared" si="145"/>
        <v>NA8WR-28</v>
      </c>
      <c r="O3130">
        <f>COUNTIFS(F$1:F3130,F3130,A$1:A3130,A3130)</f>
        <v>75</v>
      </c>
      <c r="P3130" t="str">
        <f t="shared" si="146"/>
        <v>Zay Jones8</v>
      </c>
    </row>
    <row r="3131" spans="1:16" x14ac:dyDescent="0.25">
      <c r="A3131">
        <v>15</v>
      </c>
      <c r="B3131" t="s">
        <v>182</v>
      </c>
      <c r="C3131" t="s">
        <v>7920</v>
      </c>
      <c r="D3131">
        <v>3.8</v>
      </c>
      <c r="E3131" t="s">
        <v>34</v>
      </c>
      <c r="F3131" t="s">
        <v>87</v>
      </c>
      <c r="G3131">
        <v>6.79</v>
      </c>
      <c r="H3131">
        <v>0.81</v>
      </c>
      <c r="I3131">
        <v>2.99</v>
      </c>
      <c r="J3131">
        <v>8.9400999999999993</v>
      </c>
      <c r="K3131" t="str">
        <f>IFERROR(INDEX(Rosters!$C$2:$C$155,MATCH($B3131,Rosters!$B$2:$B$155,0)),"NA")</f>
        <v>NA</v>
      </c>
      <c r="L3131" t="str">
        <f t="shared" si="144"/>
        <v>NA15WR</v>
      </c>
      <c r="M3131">
        <f>COUNTIF(L$1:L3131,L3131)</f>
        <v>31</v>
      </c>
      <c r="N3131" t="str">
        <f t="shared" si="145"/>
        <v>NA15WR-31</v>
      </c>
      <c r="O3131">
        <f>COUNTIFS(F$1:F3131,F3131,A$1:A3131,A3131)</f>
        <v>82</v>
      </c>
      <c r="P3131" t="str">
        <f t="shared" si="146"/>
        <v>Zay Jones15</v>
      </c>
    </row>
    <row r="3132" spans="1:16" x14ac:dyDescent="0.25">
      <c r="A3132">
        <v>9</v>
      </c>
      <c r="B3132" t="s">
        <v>296</v>
      </c>
      <c r="C3132" t="s">
        <v>7921</v>
      </c>
      <c r="D3132">
        <v>3.79</v>
      </c>
      <c r="E3132" t="s">
        <v>17</v>
      </c>
      <c r="F3132" t="s">
        <v>87</v>
      </c>
      <c r="G3132">
        <v>6.47</v>
      </c>
      <c r="H3132">
        <v>1.1100000000000001</v>
      </c>
      <c r="I3132">
        <v>2.68</v>
      </c>
      <c r="J3132">
        <v>7.1824000000000003</v>
      </c>
      <c r="K3132" t="str">
        <f>IFERROR(INDEX(Rosters!$C$2:$C$155,MATCH($B3132,Rosters!$B$2:$B$155,0)),"NA")</f>
        <v>NA</v>
      </c>
      <c r="L3132" t="str">
        <f t="shared" si="144"/>
        <v>NA9WR</v>
      </c>
      <c r="M3132">
        <f>COUNTIF(L$1:L3132,L3132)</f>
        <v>27</v>
      </c>
      <c r="N3132" t="str">
        <f t="shared" si="145"/>
        <v>NA9WR-27</v>
      </c>
      <c r="O3132">
        <f>COUNTIFS(F$1:F3132,F3132,A$1:A3132,A3132)</f>
        <v>69</v>
      </c>
      <c r="P3132" t="str">
        <f t="shared" si="146"/>
        <v>Jarius Wright9</v>
      </c>
    </row>
    <row r="3133" spans="1:16" x14ac:dyDescent="0.25">
      <c r="A3133">
        <v>4</v>
      </c>
      <c r="B3133" t="s">
        <v>798</v>
      </c>
      <c r="C3133" t="s">
        <v>4576</v>
      </c>
      <c r="D3133">
        <v>3.79</v>
      </c>
      <c r="E3133" t="s">
        <v>32</v>
      </c>
      <c r="F3133" t="s">
        <v>87</v>
      </c>
      <c r="G3133">
        <v>6.44</v>
      </c>
      <c r="H3133">
        <v>1.1399999999999999</v>
      </c>
      <c r="I3133">
        <v>2.65</v>
      </c>
      <c r="J3133">
        <v>7.0225</v>
      </c>
      <c r="K3133" t="str">
        <f>IFERROR(INDEX(Rosters!$C$2:$C$155,MATCH($B3133,Rosters!$B$2:$B$155,0)),"NA")</f>
        <v>NA</v>
      </c>
      <c r="L3133" t="str">
        <f t="shared" si="144"/>
        <v>NA4WR</v>
      </c>
      <c r="M3133">
        <f>COUNTIF(L$1:L3133,L3133)</f>
        <v>25</v>
      </c>
      <c r="N3133" t="str">
        <f t="shared" si="145"/>
        <v>NA4WR-25</v>
      </c>
      <c r="O3133">
        <f>COUNTIFS(F$1:F3133,F3133,A$1:A3133,A3133)</f>
        <v>73</v>
      </c>
      <c r="P3133" t="str">
        <f t="shared" si="146"/>
        <v>Rashard Higgins4</v>
      </c>
    </row>
    <row r="3134" spans="1:16" x14ac:dyDescent="0.25">
      <c r="A3134">
        <v>17</v>
      </c>
      <c r="B3134" t="s">
        <v>1511</v>
      </c>
      <c r="C3134" t="s">
        <v>7922</v>
      </c>
      <c r="D3134">
        <v>3.79</v>
      </c>
      <c r="E3134" t="s">
        <v>66</v>
      </c>
      <c r="F3134" t="s">
        <v>87</v>
      </c>
      <c r="G3134">
        <v>6.91</v>
      </c>
      <c r="H3134">
        <v>0.67</v>
      </c>
      <c r="I3134">
        <v>3.12</v>
      </c>
      <c r="J3134">
        <v>9.7344000000000008</v>
      </c>
      <c r="K3134" t="str">
        <f>IFERROR(INDEX(Rosters!$C$2:$C$155,MATCH($B3134,Rosters!$B$2:$B$155,0)),"NA")</f>
        <v>NA</v>
      </c>
      <c r="L3134" t="str">
        <f t="shared" si="144"/>
        <v>NA17WR</v>
      </c>
      <c r="M3134">
        <f>COUNTIF(L$1:L3134,L3134)</f>
        <v>33</v>
      </c>
      <c r="N3134" t="str">
        <f t="shared" si="145"/>
        <v>NA17WR-33</v>
      </c>
      <c r="O3134">
        <f>COUNTIFS(F$1:F3134,F3134,A$1:A3134,A3134)</f>
        <v>85</v>
      </c>
      <c r="P3134" t="str">
        <f t="shared" si="146"/>
        <v>Tajae Sharpe17</v>
      </c>
    </row>
    <row r="3135" spans="1:16" x14ac:dyDescent="0.25">
      <c r="A3135">
        <v>13</v>
      </c>
      <c r="B3135" t="s">
        <v>152</v>
      </c>
      <c r="C3135" t="s">
        <v>7923</v>
      </c>
      <c r="D3135">
        <v>3.79</v>
      </c>
      <c r="E3135" t="s">
        <v>46</v>
      </c>
      <c r="F3135" t="s">
        <v>87</v>
      </c>
      <c r="G3135">
        <v>6.74</v>
      </c>
      <c r="H3135">
        <v>0.84</v>
      </c>
      <c r="I3135">
        <v>2.95</v>
      </c>
      <c r="J3135">
        <v>8.7025000000000006</v>
      </c>
      <c r="K3135" t="str">
        <f>IFERROR(INDEX(Rosters!$C$2:$C$155,MATCH($B3135,Rosters!$B$2:$B$155,0)),"NA")</f>
        <v>NA</v>
      </c>
      <c r="L3135" t="str">
        <f t="shared" si="144"/>
        <v>NA13WR</v>
      </c>
      <c r="M3135">
        <f>COUNTIF(L$1:L3135,L3135)</f>
        <v>29</v>
      </c>
      <c r="N3135" t="str">
        <f t="shared" si="145"/>
        <v>NA13WR-29</v>
      </c>
      <c r="O3135">
        <f>COUNTIFS(F$1:F3135,F3135,A$1:A3135,A3135)</f>
        <v>81</v>
      </c>
      <c r="P3135" t="str">
        <f t="shared" si="146"/>
        <v>Willie Snead13</v>
      </c>
    </row>
    <row r="3136" spans="1:16" x14ac:dyDescent="0.25">
      <c r="A3136">
        <v>5</v>
      </c>
      <c r="B3136" t="s">
        <v>2667</v>
      </c>
      <c r="C3136" t="s">
        <v>7924</v>
      </c>
      <c r="D3136">
        <v>3.78</v>
      </c>
      <c r="E3136" t="s">
        <v>32</v>
      </c>
      <c r="F3136" t="s">
        <v>114</v>
      </c>
      <c r="G3136">
        <v>7.26</v>
      </c>
      <c r="H3136">
        <v>0.3</v>
      </c>
      <c r="I3136">
        <v>3.48</v>
      </c>
      <c r="J3136">
        <v>12.1104</v>
      </c>
      <c r="K3136" t="str">
        <f>IFERROR(INDEX(Rosters!$C$2:$C$155,MATCH($B3136,Rosters!$B$2:$B$155,0)),"NA")</f>
        <v>NA</v>
      </c>
      <c r="L3136" t="str">
        <f t="shared" si="144"/>
        <v>NA5TE</v>
      </c>
      <c r="M3136">
        <f>COUNTIF(L$1:L3136,L3136)</f>
        <v>8</v>
      </c>
      <c r="N3136" t="str">
        <f t="shared" si="145"/>
        <v>NA5TE-8</v>
      </c>
      <c r="O3136">
        <f>COUNTIFS(F$1:F3136,F3136,A$1:A3136,A3136)</f>
        <v>19</v>
      </c>
      <c r="P3136" t="str">
        <f t="shared" si="146"/>
        <v>Antonio Gates5</v>
      </c>
    </row>
    <row r="3137" spans="1:16" x14ac:dyDescent="0.25">
      <c r="A3137">
        <v>10</v>
      </c>
      <c r="B3137" t="s">
        <v>247</v>
      </c>
      <c r="C3137" t="s">
        <v>7925</v>
      </c>
      <c r="D3137">
        <v>3.78</v>
      </c>
      <c r="E3137" t="s">
        <v>66</v>
      </c>
      <c r="F3137" t="s">
        <v>114</v>
      </c>
      <c r="G3137">
        <v>6.96</v>
      </c>
      <c r="H3137">
        <v>0.6</v>
      </c>
      <c r="I3137">
        <v>3.18</v>
      </c>
      <c r="J3137">
        <v>10.112399999999999</v>
      </c>
      <c r="K3137" t="str">
        <f>IFERROR(INDEX(Rosters!$C$2:$C$155,MATCH($B3137,Rosters!$B$2:$B$155,0)),"NA")</f>
        <v>NA</v>
      </c>
      <c r="L3137" t="str">
        <f t="shared" si="144"/>
        <v>NA10TE</v>
      </c>
      <c r="M3137">
        <f>COUNTIF(L$1:L3137,L3137)</f>
        <v>7</v>
      </c>
      <c r="N3137" t="str">
        <f t="shared" si="145"/>
        <v>NA10TE-7</v>
      </c>
      <c r="O3137">
        <f>COUNTIFS(F$1:F3137,F3137,A$1:A3137,A3137)</f>
        <v>20</v>
      </c>
      <c r="P3137" t="str">
        <f t="shared" si="146"/>
        <v>Austin Seferian-Jenkins10</v>
      </c>
    </row>
    <row r="3138" spans="1:16" x14ac:dyDescent="0.25">
      <c r="A3138">
        <v>12</v>
      </c>
      <c r="B3138" t="s">
        <v>4204</v>
      </c>
      <c r="C3138" t="s">
        <v>7926</v>
      </c>
      <c r="D3138">
        <v>3.78</v>
      </c>
      <c r="E3138" t="s">
        <v>17</v>
      </c>
      <c r="F3138" t="s">
        <v>87</v>
      </c>
      <c r="G3138">
        <v>6.82</v>
      </c>
      <c r="H3138">
        <v>0.74</v>
      </c>
      <c r="I3138">
        <v>3.04</v>
      </c>
      <c r="J3138">
        <v>9.2416</v>
      </c>
      <c r="K3138" t="str">
        <f>IFERROR(INDEX(Rosters!$C$2:$C$155,MATCH($B3138,Rosters!$B$2:$B$155,0)),"NA")</f>
        <v>NA</v>
      </c>
      <c r="L3138" t="str">
        <f t="shared" si="144"/>
        <v>NA12WR</v>
      </c>
      <c r="M3138">
        <f>COUNTIF(L$1:L3138,L3138)</f>
        <v>29</v>
      </c>
      <c r="N3138" t="str">
        <f t="shared" si="145"/>
        <v>NA12WR-29</v>
      </c>
      <c r="O3138">
        <f>COUNTIFS(F$1:F3138,F3138,A$1:A3138,A3138)</f>
        <v>76</v>
      </c>
      <c r="P3138" t="str">
        <f t="shared" si="146"/>
        <v>Dante Pettis12</v>
      </c>
    </row>
    <row r="3139" spans="1:16" x14ac:dyDescent="0.25">
      <c r="A3139">
        <v>3</v>
      </c>
      <c r="B3139" t="s">
        <v>4212</v>
      </c>
      <c r="C3139" t="s">
        <v>4214</v>
      </c>
      <c r="D3139">
        <v>3.78</v>
      </c>
      <c r="E3139" t="s">
        <v>31</v>
      </c>
      <c r="F3139" t="s">
        <v>114</v>
      </c>
      <c r="G3139">
        <v>7.06</v>
      </c>
      <c r="H3139">
        <v>0.5</v>
      </c>
      <c r="I3139">
        <v>3.28</v>
      </c>
      <c r="J3139">
        <v>10.7584</v>
      </c>
      <c r="K3139" t="str">
        <f>IFERROR(INDEX(Rosters!$C$2:$C$155,MATCH($B3139,Rosters!$B$2:$B$155,0)),"NA")</f>
        <v>NA</v>
      </c>
      <c r="L3139" t="str">
        <f t="shared" ref="L3139:L3202" si="147">K3139&amp;A3139&amp;F3139</f>
        <v>NA3TE</v>
      </c>
      <c r="M3139">
        <f>COUNTIF(L$1:L3139,L3139)</f>
        <v>8</v>
      </c>
      <c r="N3139" t="str">
        <f t="shared" ref="N3139:N3202" si="148">L3139&amp;"-"&amp;M3139</f>
        <v>NA3TE-8</v>
      </c>
      <c r="O3139">
        <f>COUNTIFS(F$1:F3139,F3139,A$1:A3139,A3139)</f>
        <v>19</v>
      </c>
      <c r="P3139" t="str">
        <f t="shared" ref="P3139:P3202" si="149">B3139&amp;A3139</f>
        <v>Ian Thomas3</v>
      </c>
    </row>
    <row r="3140" spans="1:16" x14ac:dyDescent="0.25">
      <c r="A3140">
        <v>6</v>
      </c>
      <c r="B3140" t="s">
        <v>4212</v>
      </c>
      <c r="C3140">
        <f>-0.05-7.61</f>
        <v>-7.66</v>
      </c>
      <c r="D3140">
        <v>3.78</v>
      </c>
      <c r="E3140" t="s">
        <v>60</v>
      </c>
      <c r="F3140" t="s">
        <v>114</v>
      </c>
      <c r="G3140">
        <v>7.61</v>
      </c>
      <c r="H3140">
        <v>-0.05</v>
      </c>
      <c r="I3140">
        <v>3.83</v>
      </c>
      <c r="J3140">
        <v>14.668900000000001</v>
      </c>
      <c r="K3140" t="str">
        <f>IFERROR(INDEX(Rosters!$C$2:$C$155,MATCH($B3140,Rosters!$B$2:$B$155,0)),"NA")</f>
        <v>NA</v>
      </c>
      <c r="L3140" t="str">
        <f t="shared" si="147"/>
        <v>NA6TE</v>
      </c>
      <c r="M3140">
        <f>COUNTIF(L$1:L3140,L3140)</f>
        <v>9</v>
      </c>
      <c r="N3140" t="str">
        <f t="shared" si="148"/>
        <v>NA6TE-9</v>
      </c>
      <c r="O3140">
        <f>COUNTIFS(F$1:F3140,F3140,A$1:A3140,A3140)</f>
        <v>21</v>
      </c>
      <c r="P3140" t="str">
        <f t="shared" si="149"/>
        <v>Ian Thomas6</v>
      </c>
    </row>
    <row r="3141" spans="1:16" x14ac:dyDescent="0.25">
      <c r="A3141">
        <v>17</v>
      </c>
      <c r="B3141" t="s">
        <v>142</v>
      </c>
      <c r="C3141" t="s">
        <v>7927</v>
      </c>
      <c r="D3141">
        <v>3.78</v>
      </c>
      <c r="E3141" t="s">
        <v>46</v>
      </c>
      <c r="F3141" t="s">
        <v>47</v>
      </c>
      <c r="G3141">
        <v>7.13</v>
      </c>
      <c r="H3141">
        <v>0.43</v>
      </c>
      <c r="I3141">
        <v>3.35</v>
      </c>
      <c r="J3141">
        <v>11.2225</v>
      </c>
      <c r="K3141" t="str">
        <f>IFERROR(INDEX(Rosters!$C$2:$C$155,MATCH($B3141,Rosters!$B$2:$B$155,0)),"NA")</f>
        <v>NA</v>
      </c>
      <c r="L3141" t="str">
        <f t="shared" si="147"/>
        <v>NA17RB</v>
      </c>
      <c r="M3141">
        <f>COUNTIF(L$1:L3141,L3141)</f>
        <v>20</v>
      </c>
      <c r="N3141" t="str">
        <f t="shared" si="148"/>
        <v>NA17RB-20</v>
      </c>
      <c r="O3141">
        <f>COUNTIFS(F$1:F3141,F3141,A$1:A3141,A3141)</f>
        <v>66</v>
      </c>
      <c r="P3141" t="str">
        <f t="shared" si="149"/>
        <v>Jacquizz Rodgers17</v>
      </c>
    </row>
    <row r="3142" spans="1:16" x14ac:dyDescent="0.25">
      <c r="A3142">
        <v>17</v>
      </c>
      <c r="B3142" t="s">
        <v>243</v>
      </c>
      <c r="C3142" t="s">
        <v>7928</v>
      </c>
      <c r="D3142">
        <v>3.78</v>
      </c>
      <c r="E3142" t="s">
        <v>73</v>
      </c>
      <c r="F3142" t="s">
        <v>87</v>
      </c>
      <c r="G3142">
        <v>6.91</v>
      </c>
      <c r="H3142">
        <v>0.65</v>
      </c>
      <c r="I3142">
        <v>3.13</v>
      </c>
      <c r="J3142">
        <v>9.7969000000000008</v>
      </c>
      <c r="K3142" t="str">
        <f>IFERROR(INDEX(Rosters!$C$2:$C$155,MATCH($B3142,Rosters!$B$2:$B$155,0)),"NA")</f>
        <v>NA</v>
      </c>
      <c r="L3142" t="str">
        <f t="shared" si="147"/>
        <v>NA17WR</v>
      </c>
      <c r="M3142">
        <f>COUNTIF(L$1:L3142,L3142)</f>
        <v>34</v>
      </c>
      <c r="N3142" t="str">
        <f t="shared" si="148"/>
        <v>NA17WR-34</v>
      </c>
      <c r="O3142">
        <f>COUNTIFS(F$1:F3142,F3142,A$1:A3142,A3142)</f>
        <v>86</v>
      </c>
      <c r="P3142" t="str">
        <f t="shared" si="149"/>
        <v>Phillip Dorsett17</v>
      </c>
    </row>
    <row r="3143" spans="1:16" x14ac:dyDescent="0.25">
      <c r="A3143">
        <v>11</v>
      </c>
      <c r="B3143" t="s">
        <v>1319</v>
      </c>
      <c r="C3143">
        <f>-0.04-7.6</f>
        <v>-7.64</v>
      </c>
      <c r="D3143">
        <v>3.78</v>
      </c>
      <c r="E3143" t="s">
        <v>54</v>
      </c>
      <c r="F3143" t="s">
        <v>47</v>
      </c>
      <c r="G3143">
        <v>7.6</v>
      </c>
      <c r="H3143">
        <v>-0.04</v>
      </c>
      <c r="I3143">
        <v>3.82</v>
      </c>
      <c r="J3143">
        <v>14.5924</v>
      </c>
      <c r="K3143" t="str">
        <f>IFERROR(INDEX(Rosters!$C$2:$C$155,MATCH($B3143,Rosters!$B$2:$B$155,0)),"NA")</f>
        <v>NA</v>
      </c>
      <c r="L3143" t="str">
        <f t="shared" si="147"/>
        <v>NA11RB</v>
      </c>
      <c r="M3143">
        <f>COUNTIF(L$1:L3143,L3143)</f>
        <v>17</v>
      </c>
      <c r="N3143" t="str">
        <f t="shared" si="148"/>
        <v>NA11RB-17</v>
      </c>
      <c r="O3143">
        <f>COUNTIFS(F$1:F3143,F3143,A$1:A3143,A3143)</f>
        <v>54</v>
      </c>
      <c r="P3143" t="str">
        <f t="shared" si="149"/>
        <v>Ronald Jones11</v>
      </c>
    </row>
    <row r="3144" spans="1:16" x14ac:dyDescent="0.25">
      <c r="A3144">
        <v>16</v>
      </c>
      <c r="B3144" t="s">
        <v>152</v>
      </c>
      <c r="C3144" t="s">
        <v>7929</v>
      </c>
      <c r="D3144">
        <v>3.78</v>
      </c>
      <c r="E3144" t="s">
        <v>37</v>
      </c>
      <c r="F3144" t="s">
        <v>87</v>
      </c>
      <c r="G3144">
        <v>6.87</v>
      </c>
      <c r="H3144">
        <v>0.69</v>
      </c>
      <c r="I3144">
        <v>3.09</v>
      </c>
      <c r="J3144">
        <v>9.5480999999999998</v>
      </c>
      <c r="K3144" t="str">
        <f>IFERROR(INDEX(Rosters!$C$2:$C$155,MATCH($B3144,Rosters!$B$2:$B$155,0)),"NA")</f>
        <v>NA</v>
      </c>
      <c r="L3144" t="str">
        <f t="shared" si="147"/>
        <v>NA16WR</v>
      </c>
      <c r="M3144">
        <f>COUNTIF(L$1:L3144,L3144)</f>
        <v>27</v>
      </c>
      <c r="N3144" t="str">
        <f t="shared" si="148"/>
        <v>NA16WR-27</v>
      </c>
      <c r="O3144">
        <f>COUNTIFS(F$1:F3144,F3144,A$1:A3144,A3144)</f>
        <v>79</v>
      </c>
      <c r="P3144" t="str">
        <f t="shared" si="149"/>
        <v>Willie Snead16</v>
      </c>
    </row>
    <row r="3145" spans="1:16" x14ac:dyDescent="0.25">
      <c r="A3145">
        <v>9</v>
      </c>
      <c r="B3145" t="s">
        <v>182</v>
      </c>
      <c r="C3145" t="s">
        <v>7930</v>
      </c>
      <c r="D3145">
        <v>3.78</v>
      </c>
      <c r="E3145" t="s">
        <v>72</v>
      </c>
      <c r="F3145" t="s">
        <v>87</v>
      </c>
      <c r="G3145">
        <v>7.11</v>
      </c>
      <c r="H3145">
        <v>0.45</v>
      </c>
      <c r="I3145">
        <v>3.33</v>
      </c>
      <c r="J3145">
        <v>11.088900000000001</v>
      </c>
      <c r="K3145" t="str">
        <f>IFERROR(INDEX(Rosters!$C$2:$C$155,MATCH($B3145,Rosters!$B$2:$B$155,0)),"NA")</f>
        <v>NA</v>
      </c>
      <c r="L3145" t="str">
        <f t="shared" si="147"/>
        <v>NA9WR</v>
      </c>
      <c r="M3145">
        <f>COUNTIF(L$1:L3145,L3145)</f>
        <v>28</v>
      </c>
      <c r="N3145" t="str">
        <f t="shared" si="148"/>
        <v>NA9WR-28</v>
      </c>
      <c r="O3145">
        <f>COUNTIFS(F$1:F3145,F3145,A$1:A3145,A3145)</f>
        <v>70</v>
      </c>
      <c r="P3145" t="str">
        <f t="shared" si="149"/>
        <v>Zay Jones9</v>
      </c>
    </row>
    <row r="3146" spans="1:16" x14ac:dyDescent="0.25">
      <c r="A3146">
        <v>16</v>
      </c>
      <c r="B3146" t="s">
        <v>1432</v>
      </c>
      <c r="C3146" t="s">
        <v>4579</v>
      </c>
      <c r="D3146">
        <v>3.77</v>
      </c>
      <c r="E3146" t="s">
        <v>56</v>
      </c>
      <c r="F3146" t="s">
        <v>47</v>
      </c>
      <c r="G3146">
        <v>7.16</v>
      </c>
      <c r="H3146">
        <v>0.38</v>
      </c>
      <c r="I3146">
        <v>3.39</v>
      </c>
      <c r="J3146">
        <v>11.492100000000001</v>
      </c>
      <c r="K3146" t="str">
        <f>IFERROR(INDEX(Rosters!$C$2:$C$155,MATCH($B3146,Rosters!$B$2:$B$155,0)),"NA")</f>
        <v>NA</v>
      </c>
      <c r="L3146" t="str">
        <f t="shared" si="147"/>
        <v>NA16RB</v>
      </c>
      <c r="M3146">
        <f>COUNTIF(L$1:L3146,L3146)</f>
        <v>19</v>
      </c>
      <c r="N3146" t="str">
        <f t="shared" si="148"/>
        <v>NA16RB-19</v>
      </c>
      <c r="O3146">
        <f>COUNTIFS(F$1:F3146,F3146,A$1:A3146,A3146)</f>
        <v>65</v>
      </c>
      <c r="P3146" t="str">
        <f t="shared" si="149"/>
        <v>Chase Edmonds16</v>
      </c>
    </row>
    <row r="3147" spans="1:16" x14ac:dyDescent="0.25">
      <c r="A3147">
        <v>4</v>
      </c>
      <c r="B3147" t="s">
        <v>232</v>
      </c>
      <c r="C3147" t="s">
        <v>4578</v>
      </c>
      <c r="D3147">
        <v>3.77</v>
      </c>
      <c r="E3147" t="s">
        <v>52</v>
      </c>
      <c r="F3147" t="s">
        <v>47</v>
      </c>
      <c r="G3147">
        <v>5.4</v>
      </c>
      <c r="H3147">
        <v>2.14</v>
      </c>
      <c r="I3147">
        <v>1.63</v>
      </c>
      <c r="J3147">
        <v>2.6568999999999998</v>
      </c>
      <c r="K3147" t="str">
        <f>IFERROR(INDEX(Rosters!$C$2:$C$155,MATCH($B3147,Rosters!$B$2:$B$155,0)),"NA")</f>
        <v>NA</v>
      </c>
      <c r="L3147" t="str">
        <f t="shared" si="147"/>
        <v>NA4RB</v>
      </c>
      <c r="M3147">
        <f>COUNTIF(L$1:L3147,L3147)</f>
        <v>14</v>
      </c>
      <c r="N3147" t="str">
        <f t="shared" si="148"/>
        <v>NA4RB-14</v>
      </c>
      <c r="O3147">
        <f>COUNTIFS(F$1:F3147,F3147,A$1:A3147,A3147)</f>
        <v>53</v>
      </c>
      <c r="P3147" t="str">
        <f t="shared" si="149"/>
        <v>Jalen Richard4</v>
      </c>
    </row>
    <row r="3148" spans="1:16" x14ac:dyDescent="0.25">
      <c r="A3148">
        <v>15</v>
      </c>
      <c r="B3148" t="s">
        <v>299</v>
      </c>
      <c r="C3148" t="s">
        <v>7931</v>
      </c>
      <c r="D3148">
        <v>3.77</v>
      </c>
      <c r="E3148" t="s">
        <v>423</v>
      </c>
      <c r="F3148" t="s">
        <v>114</v>
      </c>
      <c r="G3148">
        <v>6.47</v>
      </c>
      <c r="H3148">
        <v>1.07</v>
      </c>
      <c r="I3148">
        <v>2.7</v>
      </c>
      <c r="J3148">
        <v>7.29</v>
      </c>
      <c r="K3148" t="str">
        <f>IFERROR(INDEX(Rosters!$C$2:$C$155,MATCH($B3148,Rosters!$B$2:$B$155,0)),"NA")</f>
        <v>NA</v>
      </c>
      <c r="L3148" t="str">
        <f t="shared" si="147"/>
        <v>NA15TE</v>
      </c>
      <c r="M3148">
        <f>COUNTIF(L$1:L3148,L3148)</f>
        <v>10</v>
      </c>
      <c r="N3148" t="str">
        <f t="shared" si="148"/>
        <v>NA15TE-10</v>
      </c>
      <c r="O3148">
        <f>COUNTIFS(F$1:F3148,F3148,A$1:A3148,A3148)</f>
        <v>24</v>
      </c>
      <c r="P3148" t="str">
        <f t="shared" si="149"/>
        <v>Jesse James15</v>
      </c>
    </row>
    <row r="3149" spans="1:16" x14ac:dyDescent="0.25">
      <c r="A3149">
        <v>12</v>
      </c>
      <c r="B3149" t="s">
        <v>150</v>
      </c>
      <c r="C3149" t="s">
        <v>7932</v>
      </c>
      <c r="D3149">
        <v>3.77</v>
      </c>
      <c r="E3149" t="s">
        <v>76</v>
      </c>
      <c r="F3149" t="s">
        <v>87</v>
      </c>
      <c r="G3149">
        <v>6.58</v>
      </c>
      <c r="H3149">
        <v>0.96</v>
      </c>
      <c r="I3149">
        <v>2.81</v>
      </c>
      <c r="J3149">
        <v>7.8960999999999997</v>
      </c>
      <c r="K3149" t="str">
        <f>IFERROR(INDEX(Rosters!$C$2:$C$155,MATCH($B3149,Rosters!$B$2:$B$155,0)),"NA")</f>
        <v>NA</v>
      </c>
      <c r="L3149" t="str">
        <f t="shared" si="147"/>
        <v>NA12WR</v>
      </c>
      <c r="M3149">
        <f>COUNTIF(L$1:L3149,L3149)</f>
        <v>30</v>
      </c>
      <c r="N3149" t="str">
        <f t="shared" si="148"/>
        <v>NA12WR-30</v>
      </c>
      <c r="O3149">
        <f>COUNTIFS(F$1:F3149,F3149,A$1:A3149,A3149)</f>
        <v>77</v>
      </c>
      <c r="P3149" t="str">
        <f t="shared" si="149"/>
        <v>Kelvin Benjamin12</v>
      </c>
    </row>
    <row r="3150" spans="1:16" x14ac:dyDescent="0.25">
      <c r="A3150">
        <v>2</v>
      </c>
      <c r="B3150" t="s">
        <v>1408</v>
      </c>
      <c r="C3150" t="s">
        <v>1451</v>
      </c>
      <c r="D3150">
        <v>3.77</v>
      </c>
      <c r="E3150" t="s">
        <v>54</v>
      </c>
      <c r="F3150" t="s">
        <v>87</v>
      </c>
      <c r="G3150">
        <v>7.28</v>
      </c>
      <c r="H3150">
        <v>0.26</v>
      </c>
      <c r="I3150">
        <v>3.51</v>
      </c>
      <c r="J3150">
        <v>12.3201</v>
      </c>
      <c r="K3150" t="str">
        <f>IFERROR(INDEX(Rosters!$C$2:$C$155,MATCH($B3150,Rosters!$B$2:$B$155,0)),"NA")</f>
        <v>NA</v>
      </c>
      <c r="L3150" t="str">
        <f t="shared" si="147"/>
        <v>NA2WR</v>
      </c>
      <c r="M3150">
        <f>COUNTIF(L$1:L3150,L3150)</f>
        <v>28</v>
      </c>
      <c r="N3150" t="str">
        <f t="shared" si="148"/>
        <v>NA2WR-28</v>
      </c>
      <c r="O3150">
        <f>COUNTIFS(F$1:F3150,F3150,A$1:A3150,A3150)</f>
        <v>75</v>
      </c>
      <c r="P3150" t="str">
        <f t="shared" si="149"/>
        <v>Michael Gallup2</v>
      </c>
    </row>
    <row r="3151" spans="1:16" x14ac:dyDescent="0.25">
      <c r="A3151">
        <v>4</v>
      </c>
      <c r="B3151" t="s">
        <v>388</v>
      </c>
      <c r="C3151">
        <f>-0.22-7.76</f>
        <v>-7.9799999999999995</v>
      </c>
      <c r="D3151">
        <v>3.77</v>
      </c>
      <c r="E3151" t="s">
        <v>34</v>
      </c>
      <c r="F3151" t="s">
        <v>47</v>
      </c>
      <c r="G3151">
        <v>7.76</v>
      </c>
      <c r="H3151">
        <v>-0.22</v>
      </c>
      <c r="I3151">
        <v>3.99</v>
      </c>
      <c r="J3151">
        <v>15.9201</v>
      </c>
      <c r="K3151" t="str">
        <f>IFERROR(INDEX(Rosters!$C$2:$C$155,MATCH($B3151,Rosters!$B$2:$B$155,0)),"NA")</f>
        <v>NA</v>
      </c>
      <c r="L3151" t="str">
        <f t="shared" si="147"/>
        <v>NA4RB</v>
      </c>
      <c r="M3151">
        <f>COUNTIF(L$1:L3151,L3151)</f>
        <v>15</v>
      </c>
      <c r="N3151" t="str">
        <f t="shared" si="148"/>
        <v>NA4RB-15</v>
      </c>
      <c r="O3151">
        <f>COUNTIFS(F$1:F3151,F3151,A$1:A3151,A3151)</f>
        <v>54</v>
      </c>
      <c r="P3151" t="str">
        <f t="shared" si="149"/>
        <v>Rod Smith4</v>
      </c>
    </row>
    <row r="3152" spans="1:16" x14ac:dyDescent="0.25">
      <c r="A3152">
        <v>8</v>
      </c>
      <c r="B3152" t="s">
        <v>1540</v>
      </c>
      <c r="C3152" t="s">
        <v>4577</v>
      </c>
      <c r="D3152">
        <v>3.77</v>
      </c>
      <c r="E3152" t="s">
        <v>52</v>
      </c>
      <c r="F3152" t="s">
        <v>87</v>
      </c>
      <c r="G3152">
        <v>7.02</v>
      </c>
      <c r="H3152">
        <v>0.52</v>
      </c>
      <c r="I3152">
        <v>3.25</v>
      </c>
      <c r="J3152">
        <v>10.5625</v>
      </c>
      <c r="K3152" t="str">
        <f>IFERROR(INDEX(Rosters!$C$2:$C$155,MATCH($B3152,Rosters!$B$2:$B$155,0)),"NA")</f>
        <v>NA</v>
      </c>
      <c r="L3152" t="str">
        <f t="shared" si="147"/>
        <v>NA8WR</v>
      </c>
      <c r="M3152">
        <f>COUNTIF(L$1:L3152,L3152)</f>
        <v>29</v>
      </c>
      <c r="N3152" t="str">
        <f t="shared" si="148"/>
        <v>NA8WR-29</v>
      </c>
      <c r="O3152">
        <f>COUNTIFS(F$1:F3152,F3152,A$1:A3152,A3152)</f>
        <v>76</v>
      </c>
      <c r="P3152" t="str">
        <f t="shared" si="149"/>
        <v>Ryan Switzer8</v>
      </c>
    </row>
    <row r="3153" spans="1:16" x14ac:dyDescent="0.25">
      <c r="A3153">
        <v>8</v>
      </c>
      <c r="B3153" t="s">
        <v>242</v>
      </c>
      <c r="C3153" t="s">
        <v>7933</v>
      </c>
      <c r="D3153">
        <v>3.76</v>
      </c>
      <c r="E3153" t="s">
        <v>31</v>
      </c>
      <c r="F3153" t="s">
        <v>87</v>
      </c>
      <c r="G3153">
        <v>6.92</v>
      </c>
      <c r="H3153">
        <v>0.6</v>
      </c>
      <c r="I3153">
        <v>3.16</v>
      </c>
      <c r="J3153">
        <v>9.9855999999999998</v>
      </c>
      <c r="K3153" t="str">
        <f>IFERROR(INDEX(Rosters!$C$2:$C$155,MATCH($B3153,Rosters!$B$2:$B$155,0)),"NA")</f>
        <v>NA</v>
      </c>
      <c r="L3153" t="str">
        <f t="shared" si="147"/>
        <v>NA8WR</v>
      </c>
      <c r="M3153">
        <f>COUNTIF(L$1:L3153,L3153)</f>
        <v>30</v>
      </c>
      <c r="N3153" t="str">
        <f t="shared" si="148"/>
        <v>NA8WR-30</v>
      </c>
      <c r="O3153">
        <f>COUNTIFS(F$1:F3153,F3153,A$1:A3153,A3153)</f>
        <v>77</v>
      </c>
      <c r="P3153" t="str">
        <f t="shared" si="149"/>
        <v>Adam Humphries8</v>
      </c>
    </row>
    <row r="3154" spans="1:16" x14ac:dyDescent="0.25">
      <c r="A3154">
        <v>13</v>
      </c>
      <c r="B3154" t="s">
        <v>1432</v>
      </c>
      <c r="C3154" t="s">
        <v>7934</v>
      </c>
      <c r="D3154">
        <v>3.76</v>
      </c>
      <c r="E3154" t="s">
        <v>41</v>
      </c>
      <c r="F3154" t="s">
        <v>47</v>
      </c>
      <c r="G3154">
        <v>6.83</v>
      </c>
      <c r="H3154">
        <v>0.69</v>
      </c>
      <c r="I3154">
        <v>3.07</v>
      </c>
      <c r="J3154">
        <v>9.4248999999999992</v>
      </c>
      <c r="K3154" t="str">
        <f>IFERROR(INDEX(Rosters!$C$2:$C$155,MATCH($B3154,Rosters!$B$2:$B$155,0)),"NA")</f>
        <v>NA</v>
      </c>
      <c r="L3154" t="str">
        <f t="shared" si="147"/>
        <v>NA13RB</v>
      </c>
      <c r="M3154">
        <f>COUNTIF(L$1:L3154,L3154)</f>
        <v>20</v>
      </c>
      <c r="N3154" t="str">
        <f t="shared" si="148"/>
        <v>NA13RB-20</v>
      </c>
      <c r="O3154">
        <f>COUNTIFS(F$1:F3154,F3154,A$1:A3154,A3154)</f>
        <v>66</v>
      </c>
      <c r="P3154" t="str">
        <f t="shared" si="149"/>
        <v>Chase Edmonds13</v>
      </c>
    </row>
    <row r="3155" spans="1:16" x14ac:dyDescent="0.25">
      <c r="A3155">
        <v>13</v>
      </c>
      <c r="B3155" t="s">
        <v>189</v>
      </c>
      <c r="C3155" t="s">
        <v>7935</v>
      </c>
      <c r="D3155">
        <v>3.76</v>
      </c>
      <c r="E3155" t="s">
        <v>76</v>
      </c>
      <c r="F3155" t="s">
        <v>114</v>
      </c>
      <c r="G3155">
        <v>6.95</v>
      </c>
      <c r="H3155">
        <v>0.56999999999999995</v>
      </c>
      <c r="I3155">
        <v>3.19</v>
      </c>
      <c r="J3155">
        <v>10.1761</v>
      </c>
      <c r="K3155" t="str">
        <f>IFERROR(INDEX(Rosters!$C$2:$C$155,MATCH($B3155,Rosters!$B$2:$B$155,0)),"NA")</f>
        <v>NA</v>
      </c>
      <c r="L3155" t="str">
        <f t="shared" si="147"/>
        <v>NA13TE</v>
      </c>
      <c r="M3155">
        <f>COUNTIF(L$1:L3155,L3155)</f>
        <v>9</v>
      </c>
      <c r="N3155" t="str">
        <f t="shared" si="148"/>
        <v>NA13TE-9</v>
      </c>
      <c r="O3155">
        <f>COUNTIFS(F$1:F3155,F3155,A$1:A3155,A3155)</f>
        <v>23</v>
      </c>
      <c r="P3155" t="str">
        <f t="shared" si="149"/>
        <v>Jack Doyle13</v>
      </c>
    </row>
    <row r="3156" spans="1:16" x14ac:dyDescent="0.25">
      <c r="A3156">
        <v>12</v>
      </c>
      <c r="B3156" t="s">
        <v>219</v>
      </c>
      <c r="C3156" t="s">
        <v>7936</v>
      </c>
      <c r="D3156">
        <v>3.76</v>
      </c>
      <c r="E3156" t="s">
        <v>423</v>
      </c>
      <c r="F3156" t="s">
        <v>87</v>
      </c>
      <c r="G3156">
        <v>6.56</v>
      </c>
      <c r="H3156">
        <v>0.96</v>
      </c>
      <c r="I3156">
        <v>2.8</v>
      </c>
      <c r="J3156">
        <v>7.84</v>
      </c>
      <c r="K3156" t="str">
        <f>IFERROR(INDEX(Rosters!$C$2:$C$155,MATCH($B3156,Rosters!$B$2:$B$155,0)),"NA")</f>
        <v>NA</v>
      </c>
      <c r="L3156" t="str">
        <f t="shared" si="147"/>
        <v>NA12WR</v>
      </c>
      <c r="M3156">
        <f>COUNTIF(L$1:L3156,L3156)</f>
        <v>31</v>
      </c>
      <c r="N3156" t="str">
        <f t="shared" si="148"/>
        <v>NA12WR-31</v>
      </c>
      <c r="O3156">
        <f>COUNTIFS(F$1:F3156,F3156,A$1:A3156,A3156)</f>
        <v>78</v>
      </c>
      <c r="P3156" t="str">
        <f t="shared" si="149"/>
        <v>Jermaine Kearse12</v>
      </c>
    </row>
    <row r="3157" spans="1:16" x14ac:dyDescent="0.25">
      <c r="A3157">
        <v>6</v>
      </c>
      <c r="B3157" t="s">
        <v>299</v>
      </c>
      <c r="C3157" t="s">
        <v>7937</v>
      </c>
      <c r="D3157">
        <v>3.76</v>
      </c>
      <c r="E3157" t="s">
        <v>31</v>
      </c>
      <c r="F3157" t="s">
        <v>114</v>
      </c>
      <c r="G3157">
        <v>6.47</v>
      </c>
      <c r="H3157">
        <v>1.05</v>
      </c>
      <c r="I3157">
        <v>2.71</v>
      </c>
      <c r="J3157">
        <v>7.3441000000000001</v>
      </c>
      <c r="K3157" t="str">
        <f>IFERROR(INDEX(Rosters!$C$2:$C$155,MATCH($B3157,Rosters!$B$2:$B$155,0)),"NA")</f>
        <v>NA</v>
      </c>
      <c r="L3157" t="str">
        <f t="shared" si="147"/>
        <v>NA6TE</v>
      </c>
      <c r="M3157">
        <f>COUNTIF(L$1:L3157,L3157)</f>
        <v>10</v>
      </c>
      <c r="N3157" t="str">
        <f t="shared" si="148"/>
        <v>NA6TE-10</v>
      </c>
      <c r="O3157">
        <f>COUNTIFS(F$1:F3157,F3157,A$1:A3157,A3157)</f>
        <v>22</v>
      </c>
      <c r="P3157" t="str">
        <f t="shared" si="149"/>
        <v>Jesse James6</v>
      </c>
    </row>
    <row r="3158" spans="1:16" x14ac:dyDescent="0.25">
      <c r="A3158">
        <v>10</v>
      </c>
      <c r="B3158" t="s">
        <v>1404</v>
      </c>
      <c r="C3158" t="s">
        <v>7938</v>
      </c>
      <c r="D3158">
        <v>3.76</v>
      </c>
      <c r="E3158" t="s">
        <v>58</v>
      </c>
      <c r="F3158" t="s">
        <v>47</v>
      </c>
      <c r="G3158">
        <v>7.18</v>
      </c>
      <c r="H3158">
        <v>0.34</v>
      </c>
      <c r="I3158">
        <v>3.42</v>
      </c>
      <c r="J3158">
        <v>11.696400000000001</v>
      </c>
      <c r="K3158" t="str">
        <f>IFERROR(INDEX(Rosters!$C$2:$C$155,MATCH($B3158,Rosters!$B$2:$B$155,0)),"NA")</f>
        <v>NA</v>
      </c>
      <c r="L3158" t="str">
        <f t="shared" si="147"/>
        <v>NA10RB</v>
      </c>
      <c r="M3158">
        <f>COUNTIF(L$1:L3158,L3158)</f>
        <v>20</v>
      </c>
      <c r="N3158" t="str">
        <f t="shared" si="148"/>
        <v>NA10RB-20</v>
      </c>
      <c r="O3158">
        <f>COUNTIFS(F$1:F3158,F3158,A$1:A3158,A3158)</f>
        <v>58</v>
      </c>
      <c r="P3158" t="str">
        <f t="shared" si="149"/>
        <v>Spencer Ware10</v>
      </c>
    </row>
    <row r="3159" spans="1:16" x14ac:dyDescent="0.25">
      <c r="A3159">
        <v>8</v>
      </c>
      <c r="B3159" t="s">
        <v>209</v>
      </c>
      <c r="C3159">
        <f>-0.41-7.93</f>
        <v>-8.34</v>
      </c>
      <c r="D3159">
        <v>3.76</v>
      </c>
      <c r="E3159" t="s">
        <v>77</v>
      </c>
      <c r="F3159" t="s">
        <v>87</v>
      </c>
      <c r="G3159">
        <v>7.93</v>
      </c>
      <c r="H3159">
        <v>-0.41</v>
      </c>
      <c r="I3159">
        <v>4.17</v>
      </c>
      <c r="J3159">
        <v>17.3889</v>
      </c>
      <c r="K3159" t="str">
        <f>IFERROR(INDEX(Rosters!$C$2:$C$155,MATCH($B3159,Rosters!$B$2:$B$155,0)),"NA")</f>
        <v>NA</v>
      </c>
      <c r="L3159" t="str">
        <f t="shared" si="147"/>
        <v>NA8WR</v>
      </c>
      <c r="M3159">
        <f>COUNTIF(L$1:L3159,L3159)</f>
        <v>31</v>
      </c>
      <c r="N3159" t="str">
        <f t="shared" si="148"/>
        <v>NA8WR-31</v>
      </c>
      <c r="O3159">
        <f>COUNTIFS(F$1:F3159,F3159,A$1:A3159,A3159)</f>
        <v>78</v>
      </c>
      <c r="P3159" t="str">
        <f t="shared" si="149"/>
        <v>Torrey Smith8</v>
      </c>
    </row>
    <row r="3160" spans="1:16" x14ac:dyDescent="0.25">
      <c r="A3160">
        <v>3</v>
      </c>
      <c r="B3160" t="s">
        <v>109</v>
      </c>
      <c r="C3160" t="s">
        <v>3758</v>
      </c>
      <c r="D3160">
        <v>3.76</v>
      </c>
      <c r="E3160" t="s">
        <v>60</v>
      </c>
      <c r="F3160" t="s">
        <v>47</v>
      </c>
      <c r="G3160">
        <v>7.3</v>
      </c>
      <c r="H3160">
        <v>0.22</v>
      </c>
      <c r="I3160">
        <v>3.54</v>
      </c>
      <c r="J3160">
        <v>12.531599999999999</v>
      </c>
      <c r="K3160" t="str">
        <f>IFERROR(INDEX(Rosters!$C$2:$C$155,MATCH($B3160,Rosters!$B$2:$B$155,0)),"NA")</f>
        <v>seth</v>
      </c>
      <c r="L3160" t="str">
        <f t="shared" si="147"/>
        <v>seth3RB</v>
      </c>
      <c r="M3160">
        <f>COUNTIF(L$1:L3160,L3160)</f>
        <v>6</v>
      </c>
      <c r="N3160" t="str">
        <f t="shared" si="148"/>
        <v>seth3RB-6</v>
      </c>
      <c r="O3160">
        <f>COUNTIFS(F$1:F3160,F3160,A$1:A3160,A3160)</f>
        <v>60</v>
      </c>
      <c r="P3160" t="str">
        <f t="shared" si="149"/>
        <v>Ty Montgomery3</v>
      </c>
    </row>
    <row r="3161" spans="1:16" x14ac:dyDescent="0.25">
      <c r="A3161">
        <v>12</v>
      </c>
      <c r="B3161" t="s">
        <v>152</v>
      </c>
      <c r="C3161" t="s">
        <v>7939</v>
      </c>
      <c r="D3161">
        <v>3.76</v>
      </c>
      <c r="E3161" t="s">
        <v>32</v>
      </c>
      <c r="F3161" t="s">
        <v>87</v>
      </c>
      <c r="G3161">
        <v>6.8</v>
      </c>
      <c r="H3161">
        <v>0.72</v>
      </c>
      <c r="I3161">
        <v>3.04</v>
      </c>
      <c r="J3161">
        <v>9.2416</v>
      </c>
      <c r="K3161" t="str">
        <f>IFERROR(INDEX(Rosters!$C$2:$C$155,MATCH($B3161,Rosters!$B$2:$B$155,0)),"NA")</f>
        <v>NA</v>
      </c>
      <c r="L3161" t="str">
        <f t="shared" si="147"/>
        <v>NA12WR</v>
      </c>
      <c r="M3161">
        <f>COUNTIF(L$1:L3161,L3161)</f>
        <v>32</v>
      </c>
      <c r="N3161" t="str">
        <f t="shared" si="148"/>
        <v>NA12WR-32</v>
      </c>
      <c r="O3161">
        <f>COUNTIFS(F$1:F3161,F3161,A$1:A3161,A3161)</f>
        <v>79</v>
      </c>
      <c r="P3161" t="str">
        <f t="shared" si="149"/>
        <v>Willie Snead12</v>
      </c>
    </row>
    <row r="3162" spans="1:16" x14ac:dyDescent="0.25">
      <c r="A3162">
        <v>10</v>
      </c>
      <c r="B3162" t="s">
        <v>197</v>
      </c>
      <c r="C3162" t="s">
        <v>7940</v>
      </c>
      <c r="D3162">
        <v>3.75</v>
      </c>
      <c r="E3162" t="s">
        <v>50</v>
      </c>
      <c r="F3162" t="s">
        <v>87</v>
      </c>
      <c r="G3162">
        <v>6.72</v>
      </c>
      <c r="H3162">
        <v>0.78</v>
      </c>
      <c r="I3162">
        <v>2.97</v>
      </c>
      <c r="J3162">
        <v>8.8209</v>
      </c>
      <c r="K3162" t="str">
        <f>IFERROR(INDEX(Rosters!$C$2:$C$155,MATCH($B3162,Rosters!$B$2:$B$155,0)),"NA")</f>
        <v>NA</v>
      </c>
      <c r="L3162" t="str">
        <f t="shared" si="147"/>
        <v>NA10WR</v>
      </c>
      <c r="M3162">
        <f>COUNTIF(L$1:L3162,L3162)</f>
        <v>26</v>
      </c>
      <c r="N3162" t="str">
        <f t="shared" si="148"/>
        <v>NA10WR-26</v>
      </c>
      <c r="O3162">
        <f>COUNTIFS(F$1:F3162,F3162,A$1:A3162,A3162)</f>
        <v>70</v>
      </c>
      <c r="P3162" t="str">
        <f t="shared" si="149"/>
        <v>Cole Beasley10</v>
      </c>
    </row>
    <row r="3163" spans="1:16" x14ac:dyDescent="0.25">
      <c r="A3163">
        <v>16</v>
      </c>
      <c r="B3163" t="s">
        <v>262</v>
      </c>
      <c r="C3163" t="s">
        <v>7941</v>
      </c>
      <c r="D3163">
        <v>3.74</v>
      </c>
      <c r="E3163" t="s">
        <v>34</v>
      </c>
      <c r="F3163" t="s">
        <v>87</v>
      </c>
      <c r="G3163">
        <v>6.89</v>
      </c>
      <c r="H3163">
        <v>0.59</v>
      </c>
      <c r="I3163">
        <v>3.15</v>
      </c>
      <c r="J3163">
        <v>9.9224999999999994</v>
      </c>
      <c r="K3163" t="str">
        <f>IFERROR(INDEX(Rosters!$C$2:$C$155,MATCH($B3163,Rosters!$B$2:$B$155,0)),"NA")</f>
        <v>NA</v>
      </c>
      <c r="L3163" t="str">
        <f t="shared" si="147"/>
        <v>NA16WR</v>
      </c>
      <c r="M3163">
        <f>COUNTIF(L$1:L3163,L3163)</f>
        <v>28</v>
      </c>
      <c r="N3163" t="str">
        <f t="shared" si="148"/>
        <v>NA16WR-28</v>
      </c>
      <c r="O3163">
        <f>COUNTIFS(F$1:F3163,F3163,A$1:A3163,A3163)</f>
        <v>80</v>
      </c>
      <c r="P3163" t="str">
        <f t="shared" si="149"/>
        <v>Laquon Treadwell16</v>
      </c>
    </row>
    <row r="3164" spans="1:16" x14ac:dyDescent="0.25">
      <c r="A3164">
        <v>10</v>
      </c>
      <c r="B3164" t="s">
        <v>1381</v>
      </c>
      <c r="C3164">
        <f>-0.21-7.69</f>
        <v>-7.9</v>
      </c>
      <c r="D3164">
        <v>3.74</v>
      </c>
      <c r="E3164" t="s">
        <v>24</v>
      </c>
      <c r="F3164" t="s">
        <v>114</v>
      </c>
      <c r="G3164">
        <v>7.69</v>
      </c>
      <c r="H3164">
        <v>-0.21</v>
      </c>
      <c r="I3164">
        <v>3.95</v>
      </c>
      <c r="J3164">
        <v>15.602499999999999</v>
      </c>
      <c r="K3164" t="str">
        <f>IFERROR(INDEX(Rosters!$C$2:$C$155,MATCH($B3164,Rosters!$B$2:$B$155,0)),"NA")</f>
        <v>NA</v>
      </c>
      <c r="L3164" t="str">
        <f t="shared" si="147"/>
        <v>NA10TE</v>
      </c>
      <c r="M3164">
        <f>COUNTIF(L$1:L3164,L3164)</f>
        <v>8</v>
      </c>
      <c r="N3164" t="str">
        <f t="shared" si="148"/>
        <v>NA10TE-8</v>
      </c>
      <c r="O3164">
        <f>COUNTIFS(F$1:F3164,F3164,A$1:A3164,A3164)</f>
        <v>21</v>
      </c>
      <c r="P3164" t="str">
        <f t="shared" si="149"/>
        <v>Ricky Seals-Jones10</v>
      </c>
    </row>
    <row r="3165" spans="1:16" x14ac:dyDescent="0.25">
      <c r="A3165">
        <v>12</v>
      </c>
      <c r="B3165" t="s">
        <v>1540</v>
      </c>
      <c r="C3165" t="s">
        <v>7942</v>
      </c>
      <c r="D3165">
        <v>3.74</v>
      </c>
      <c r="E3165" t="s">
        <v>42</v>
      </c>
      <c r="F3165" t="s">
        <v>87</v>
      </c>
      <c r="G3165">
        <v>7.37</v>
      </c>
      <c r="H3165">
        <v>0.11</v>
      </c>
      <c r="I3165">
        <v>3.63</v>
      </c>
      <c r="J3165">
        <v>13.1769</v>
      </c>
      <c r="K3165" t="str">
        <f>IFERROR(INDEX(Rosters!$C$2:$C$155,MATCH($B3165,Rosters!$B$2:$B$155,0)),"NA")</f>
        <v>NA</v>
      </c>
      <c r="L3165" t="str">
        <f t="shared" si="147"/>
        <v>NA12WR</v>
      </c>
      <c r="M3165">
        <f>COUNTIF(L$1:L3165,L3165)</f>
        <v>33</v>
      </c>
      <c r="N3165" t="str">
        <f t="shared" si="148"/>
        <v>NA12WR-33</v>
      </c>
      <c r="O3165">
        <f>COUNTIFS(F$1:F3165,F3165,A$1:A3165,A3165)</f>
        <v>80</v>
      </c>
      <c r="P3165" t="str">
        <f t="shared" si="149"/>
        <v>Ryan Switzer12</v>
      </c>
    </row>
    <row r="3166" spans="1:16" x14ac:dyDescent="0.25">
      <c r="A3166">
        <v>2</v>
      </c>
      <c r="B3166" t="s">
        <v>273</v>
      </c>
      <c r="C3166" t="s">
        <v>1452</v>
      </c>
      <c r="D3166">
        <v>3.73</v>
      </c>
      <c r="E3166" t="s">
        <v>73</v>
      </c>
      <c r="F3166" t="s">
        <v>87</v>
      </c>
      <c r="G3166">
        <v>6.99</v>
      </c>
      <c r="H3166">
        <v>0.47</v>
      </c>
      <c r="I3166">
        <v>3.26</v>
      </c>
      <c r="J3166">
        <v>10.627599999999999</v>
      </c>
      <c r="K3166" t="str">
        <f>IFERROR(INDEX(Rosters!$C$2:$C$155,MATCH($B3166,Rosters!$B$2:$B$155,0)),"NA")</f>
        <v>NA</v>
      </c>
      <c r="L3166" t="str">
        <f t="shared" si="147"/>
        <v>NA2WR</v>
      </c>
      <c r="M3166">
        <f>COUNTIF(L$1:L3166,L3166)</f>
        <v>29</v>
      </c>
      <c r="N3166" t="str">
        <f t="shared" si="148"/>
        <v>NA2WR-29</v>
      </c>
      <c r="O3166">
        <f>COUNTIFS(F$1:F3166,F3166,A$1:A3166,A3166)</f>
        <v>76</v>
      </c>
      <c r="P3166" t="str">
        <f t="shared" si="149"/>
        <v>Albert Wilson2</v>
      </c>
    </row>
    <row r="3167" spans="1:16" x14ac:dyDescent="0.25">
      <c r="A3167">
        <v>6</v>
      </c>
      <c r="B3167" t="s">
        <v>1396</v>
      </c>
      <c r="C3167" t="s">
        <v>7943</v>
      </c>
      <c r="D3167">
        <v>3.73</v>
      </c>
      <c r="E3167" t="s">
        <v>46</v>
      </c>
      <c r="F3167" t="s">
        <v>87</v>
      </c>
      <c r="G3167">
        <v>7.05</v>
      </c>
      <c r="H3167">
        <v>0.41</v>
      </c>
      <c r="I3167">
        <v>3.32</v>
      </c>
      <c r="J3167">
        <v>11.022399999999999</v>
      </c>
      <c r="K3167" t="str">
        <f>IFERROR(INDEX(Rosters!$C$2:$C$155,MATCH($B3167,Rosters!$B$2:$B$155,0)),"NA")</f>
        <v>NA</v>
      </c>
      <c r="L3167" t="str">
        <f t="shared" si="147"/>
        <v>NA6WR</v>
      </c>
      <c r="M3167">
        <f>COUNTIF(L$1:L3167,L3167)</f>
        <v>28</v>
      </c>
      <c r="N3167" t="str">
        <f t="shared" si="148"/>
        <v>NA6WR-28</v>
      </c>
      <c r="O3167">
        <f>COUNTIFS(F$1:F3167,F3167,A$1:A3167,A3167)</f>
        <v>75</v>
      </c>
      <c r="P3167" t="str">
        <f t="shared" si="149"/>
        <v>Chris Godwin6</v>
      </c>
    </row>
    <row r="3168" spans="1:16" x14ac:dyDescent="0.25">
      <c r="A3168">
        <v>16</v>
      </c>
      <c r="B3168" t="s">
        <v>227</v>
      </c>
      <c r="C3168" t="s">
        <v>7944</v>
      </c>
      <c r="D3168">
        <v>3.73</v>
      </c>
      <c r="E3168" t="s">
        <v>76</v>
      </c>
      <c r="F3168" t="s">
        <v>87</v>
      </c>
      <c r="G3168">
        <v>6.5</v>
      </c>
      <c r="H3168">
        <v>0.96</v>
      </c>
      <c r="I3168">
        <v>2.77</v>
      </c>
      <c r="J3168">
        <v>7.6729000000000003</v>
      </c>
      <c r="K3168" t="str">
        <f>IFERROR(INDEX(Rosters!$C$2:$C$155,MATCH($B3168,Rosters!$B$2:$B$155,0)),"NA")</f>
        <v>NA</v>
      </c>
      <c r="L3168" t="str">
        <f t="shared" si="147"/>
        <v>NA16WR</v>
      </c>
      <c r="M3168">
        <f>COUNTIF(L$1:L3168,L3168)</f>
        <v>29</v>
      </c>
      <c r="N3168" t="str">
        <f t="shared" si="148"/>
        <v>NA16WR-29</v>
      </c>
      <c r="O3168">
        <f>COUNTIFS(F$1:F3168,F3168,A$1:A3168,A3168)</f>
        <v>81</v>
      </c>
      <c r="P3168" t="str">
        <f t="shared" si="149"/>
        <v>Danny Amendola16</v>
      </c>
    </row>
    <row r="3169" spans="1:16" x14ac:dyDescent="0.25">
      <c r="A3169">
        <v>12</v>
      </c>
      <c r="B3169" t="s">
        <v>1036</v>
      </c>
      <c r="C3169" t="s">
        <v>7945</v>
      </c>
      <c r="D3169">
        <v>3.73</v>
      </c>
      <c r="E3169" t="s">
        <v>60</v>
      </c>
      <c r="F3169" t="s">
        <v>87</v>
      </c>
      <c r="G3169">
        <v>6.41</v>
      </c>
      <c r="H3169">
        <v>1.05</v>
      </c>
      <c r="I3169">
        <v>2.68</v>
      </c>
      <c r="J3169">
        <v>7.1824000000000003</v>
      </c>
      <c r="K3169" t="str">
        <f>IFERROR(INDEX(Rosters!$C$2:$C$155,MATCH($B3169,Rosters!$B$2:$B$155,0)),"NA")</f>
        <v>NA</v>
      </c>
      <c r="L3169" t="str">
        <f t="shared" si="147"/>
        <v>NA12WR</v>
      </c>
      <c r="M3169">
        <f>COUNTIF(L$1:L3169,L3169)</f>
        <v>34</v>
      </c>
      <c r="N3169" t="str">
        <f t="shared" si="148"/>
        <v>NA12WR-34</v>
      </c>
      <c r="O3169">
        <f>COUNTIFS(F$1:F3169,F3169,A$1:A3169,A3169)</f>
        <v>81</v>
      </c>
      <c r="P3169" t="str">
        <f t="shared" si="149"/>
        <v>Deonte Thompson12</v>
      </c>
    </row>
    <row r="3170" spans="1:16" x14ac:dyDescent="0.25">
      <c r="A3170">
        <v>5</v>
      </c>
      <c r="B3170" t="s">
        <v>196</v>
      </c>
      <c r="C3170" t="s">
        <v>9083</v>
      </c>
      <c r="D3170">
        <v>3.73</v>
      </c>
      <c r="E3170" t="s">
        <v>19</v>
      </c>
      <c r="F3170" t="s">
        <v>47</v>
      </c>
      <c r="G3170">
        <v>6.37</v>
      </c>
      <c r="H3170">
        <v>1.0900000000000001</v>
      </c>
      <c r="I3170">
        <v>2.64</v>
      </c>
      <c r="J3170">
        <v>6.9695999999999998</v>
      </c>
      <c r="K3170" t="str">
        <f>IFERROR(INDEX(Rosters!$C$2:$C$155,MATCH($B3170,Rosters!$B$2:$B$155,0)),"NA")</f>
        <v>NA</v>
      </c>
      <c r="L3170" t="str">
        <f t="shared" si="147"/>
        <v>NA5RB</v>
      </c>
      <c r="M3170">
        <f>COUNTIF(L$1:L3170,L3170)</f>
        <v>15</v>
      </c>
      <c r="N3170" t="str">
        <f t="shared" si="148"/>
        <v>NA5RB-15</v>
      </c>
      <c r="O3170">
        <f>COUNTIFS(F$1:F3170,F3170,A$1:A3170,A3170)</f>
        <v>57</v>
      </c>
      <c r="P3170" t="str">
        <f t="shared" si="149"/>
        <v>Giovani Bernard5</v>
      </c>
    </row>
    <row r="3171" spans="1:16" x14ac:dyDescent="0.25">
      <c r="A3171">
        <v>12</v>
      </c>
      <c r="B3171" t="s">
        <v>262</v>
      </c>
      <c r="C3171" t="s">
        <v>7946</v>
      </c>
      <c r="D3171">
        <v>3.73</v>
      </c>
      <c r="E3171" t="s">
        <v>41</v>
      </c>
      <c r="F3171" t="s">
        <v>87</v>
      </c>
      <c r="G3171">
        <v>6.94</v>
      </c>
      <c r="H3171">
        <v>0.52</v>
      </c>
      <c r="I3171">
        <v>3.21</v>
      </c>
      <c r="J3171">
        <v>10.3041</v>
      </c>
      <c r="K3171" t="str">
        <f>IFERROR(INDEX(Rosters!$C$2:$C$155,MATCH($B3171,Rosters!$B$2:$B$155,0)),"NA")</f>
        <v>NA</v>
      </c>
      <c r="L3171" t="str">
        <f t="shared" si="147"/>
        <v>NA12WR</v>
      </c>
      <c r="M3171">
        <f>COUNTIF(L$1:L3171,L3171)</f>
        <v>35</v>
      </c>
      <c r="N3171" t="str">
        <f t="shared" si="148"/>
        <v>NA12WR-35</v>
      </c>
      <c r="O3171">
        <f>COUNTIFS(F$1:F3171,F3171,A$1:A3171,A3171)</f>
        <v>82</v>
      </c>
      <c r="P3171" t="str">
        <f t="shared" si="149"/>
        <v>Laquon Treadwell12</v>
      </c>
    </row>
    <row r="3172" spans="1:16" x14ac:dyDescent="0.25">
      <c r="A3172">
        <v>4</v>
      </c>
      <c r="B3172" t="s">
        <v>1511</v>
      </c>
      <c r="C3172" t="s">
        <v>4859</v>
      </c>
      <c r="D3172">
        <v>3.73</v>
      </c>
      <c r="E3172" t="s">
        <v>50</v>
      </c>
      <c r="F3172" t="s">
        <v>87</v>
      </c>
      <c r="G3172">
        <v>6.77</v>
      </c>
      <c r="H3172">
        <v>0.69</v>
      </c>
      <c r="I3172">
        <v>3.04</v>
      </c>
      <c r="J3172">
        <v>9.2416</v>
      </c>
      <c r="K3172" t="str">
        <f>IFERROR(INDEX(Rosters!$C$2:$C$155,MATCH($B3172,Rosters!$B$2:$B$155,0)),"NA")</f>
        <v>NA</v>
      </c>
      <c r="L3172" t="str">
        <f t="shared" si="147"/>
        <v>NA4WR</v>
      </c>
      <c r="M3172">
        <f>COUNTIF(L$1:L3172,L3172)</f>
        <v>26</v>
      </c>
      <c r="N3172" t="str">
        <f t="shared" si="148"/>
        <v>NA4WR-26</v>
      </c>
      <c r="O3172">
        <f>COUNTIFS(F$1:F3172,F3172,A$1:A3172,A3172)</f>
        <v>74</v>
      </c>
      <c r="P3172" t="str">
        <f t="shared" si="149"/>
        <v>Tajae Sharpe4</v>
      </c>
    </row>
    <row r="3173" spans="1:16" x14ac:dyDescent="0.25">
      <c r="A3173">
        <v>1</v>
      </c>
      <c r="B3173" t="s">
        <v>1122</v>
      </c>
      <c r="C3173" t="s">
        <v>1453</v>
      </c>
      <c r="D3173">
        <v>3.72</v>
      </c>
      <c r="E3173" t="s">
        <v>46</v>
      </c>
      <c r="F3173" t="s">
        <v>47</v>
      </c>
      <c r="G3173">
        <v>6.29</v>
      </c>
      <c r="H3173">
        <v>1.1499999999999999</v>
      </c>
      <c r="I3173">
        <v>2.57</v>
      </c>
      <c r="J3173">
        <v>6.6048999999999998</v>
      </c>
      <c r="K3173" t="str">
        <f>IFERROR(INDEX(Rosters!$C$2:$C$155,MATCH($B3173,Rosters!$B$2:$B$155,0)),"NA")</f>
        <v>NA</v>
      </c>
      <c r="L3173" t="str">
        <f t="shared" si="147"/>
        <v>NA1RB</v>
      </c>
      <c r="M3173">
        <f>COUNTIF(L$1:L3173,L3173)</f>
        <v>18</v>
      </c>
      <c r="N3173" t="str">
        <f t="shared" si="148"/>
        <v>NA1RB-18</v>
      </c>
      <c r="O3173">
        <f>COUNTIFS(F$1:F3173,F3173,A$1:A3173,A3173)</f>
        <v>58</v>
      </c>
      <c r="P3173" t="str">
        <f t="shared" si="149"/>
        <v>Darren Sproles1</v>
      </c>
    </row>
    <row r="3174" spans="1:16" x14ac:dyDescent="0.25">
      <c r="A3174">
        <v>6</v>
      </c>
      <c r="B3174" t="s">
        <v>4206</v>
      </c>
      <c r="C3174" t="s">
        <v>7947</v>
      </c>
      <c r="D3174">
        <v>3.72</v>
      </c>
      <c r="E3174" t="s">
        <v>17</v>
      </c>
      <c r="F3174" t="s">
        <v>47</v>
      </c>
      <c r="G3174">
        <v>6.46</v>
      </c>
      <c r="H3174">
        <v>0.98</v>
      </c>
      <c r="I3174">
        <v>2.74</v>
      </c>
      <c r="J3174">
        <v>7.5076000000000001</v>
      </c>
      <c r="K3174" t="str">
        <f>IFERROR(INDEX(Rosters!$C$2:$C$155,MATCH($B3174,Rosters!$B$2:$B$155,0)),"NA")</f>
        <v>NA</v>
      </c>
      <c r="L3174" t="str">
        <f t="shared" si="147"/>
        <v>NA6RB</v>
      </c>
      <c r="M3174">
        <f>COUNTIF(L$1:L3174,L3174)</f>
        <v>20</v>
      </c>
      <c r="N3174" t="str">
        <f t="shared" si="148"/>
        <v>NA6RB-20</v>
      </c>
      <c r="O3174">
        <f>COUNTIFS(F$1:F3174,F3174,A$1:A3174,A3174)</f>
        <v>61</v>
      </c>
      <c r="P3174" t="str">
        <f t="shared" si="149"/>
        <v>Ito Smith6</v>
      </c>
    </row>
    <row r="3175" spans="1:16" x14ac:dyDescent="0.25">
      <c r="A3175">
        <v>13</v>
      </c>
      <c r="B3175" t="s">
        <v>194</v>
      </c>
      <c r="C3175" t="s">
        <v>7948</v>
      </c>
      <c r="D3175">
        <v>3.72</v>
      </c>
      <c r="E3175" t="s">
        <v>77</v>
      </c>
      <c r="F3175" t="s">
        <v>87</v>
      </c>
      <c r="G3175">
        <v>6.5</v>
      </c>
      <c r="H3175">
        <v>0.94</v>
      </c>
      <c r="I3175">
        <v>2.78</v>
      </c>
      <c r="J3175">
        <v>7.7283999999999997</v>
      </c>
      <c r="K3175" t="str">
        <f>IFERROR(INDEX(Rosters!$C$2:$C$155,MATCH($B3175,Rosters!$B$2:$B$155,0)),"NA")</f>
        <v>NA</v>
      </c>
      <c r="L3175" t="str">
        <f t="shared" si="147"/>
        <v>NA13WR</v>
      </c>
      <c r="M3175">
        <f>COUNTIF(L$1:L3175,L3175)</f>
        <v>30</v>
      </c>
      <c r="N3175" t="str">
        <f t="shared" si="148"/>
        <v>NA13WR-30</v>
      </c>
      <c r="O3175">
        <f>COUNTIFS(F$1:F3175,F3175,A$1:A3175,A3175)</f>
        <v>82</v>
      </c>
      <c r="P3175" t="str">
        <f t="shared" si="149"/>
        <v>Mohamed Sanu13</v>
      </c>
    </row>
    <row r="3176" spans="1:16" x14ac:dyDescent="0.25">
      <c r="A3176">
        <v>14</v>
      </c>
      <c r="B3176" t="s">
        <v>1366</v>
      </c>
      <c r="C3176" t="s">
        <v>7949</v>
      </c>
      <c r="D3176">
        <v>3.72</v>
      </c>
      <c r="E3176" t="s">
        <v>74</v>
      </c>
      <c r="F3176" t="s">
        <v>47</v>
      </c>
      <c r="G3176">
        <v>7.39</v>
      </c>
      <c r="H3176">
        <v>0.05</v>
      </c>
      <c r="I3176">
        <v>3.67</v>
      </c>
      <c r="J3176">
        <v>13.4689</v>
      </c>
      <c r="K3176" t="str">
        <f>IFERROR(INDEX(Rosters!$C$2:$C$155,MATCH($B3176,Rosters!$B$2:$B$155,0)),"NA")</f>
        <v>NA</v>
      </c>
      <c r="L3176" t="str">
        <f t="shared" si="147"/>
        <v>NA14RB</v>
      </c>
      <c r="M3176">
        <f>COUNTIF(L$1:L3176,L3176)</f>
        <v>20</v>
      </c>
      <c r="N3176" t="str">
        <f t="shared" si="148"/>
        <v>NA14RB-20</v>
      </c>
      <c r="O3176">
        <f>COUNTIFS(F$1:F3176,F3176,A$1:A3176,A3176)</f>
        <v>66</v>
      </c>
      <c r="P3176" t="str">
        <f t="shared" si="149"/>
        <v>Nick Chubb14</v>
      </c>
    </row>
    <row r="3177" spans="1:16" x14ac:dyDescent="0.25">
      <c r="A3177">
        <v>4</v>
      </c>
      <c r="B3177" t="s">
        <v>1404</v>
      </c>
      <c r="C3177" t="s">
        <v>4580</v>
      </c>
      <c r="D3177">
        <v>3.72</v>
      </c>
      <c r="E3177" t="s">
        <v>42</v>
      </c>
      <c r="F3177" t="s">
        <v>47</v>
      </c>
      <c r="G3177">
        <v>7.12</v>
      </c>
      <c r="H3177">
        <v>0.32</v>
      </c>
      <c r="I3177">
        <v>3.4</v>
      </c>
      <c r="J3177">
        <v>11.56</v>
      </c>
      <c r="K3177" t="str">
        <f>IFERROR(INDEX(Rosters!$C$2:$C$155,MATCH($B3177,Rosters!$B$2:$B$155,0)),"NA")</f>
        <v>NA</v>
      </c>
      <c r="L3177" t="str">
        <f t="shared" si="147"/>
        <v>NA4RB</v>
      </c>
      <c r="M3177">
        <f>COUNTIF(L$1:L3177,L3177)</f>
        <v>16</v>
      </c>
      <c r="N3177" t="str">
        <f t="shared" si="148"/>
        <v>NA4RB-16</v>
      </c>
      <c r="O3177">
        <f>COUNTIFS(F$1:F3177,F3177,A$1:A3177,A3177)</f>
        <v>55</v>
      </c>
      <c r="P3177" t="str">
        <f t="shared" si="149"/>
        <v>Spencer Ware4</v>
      </c>
    </row>
    <row r="3178" spans="1:16" x14ac:dyDescent="0.25">
      <c r="A3178">
        <v>9</v>
      </c>
      <c r="B3178" t="s">
        <v>1404</v>
      </c>
      <c r="C3178" t="s">
        <v>7949</v>
      </c>
      <c r="D3178">
        <v>3.72</v>
      </c>
      <c r="E3178" t="s">
        <v>52</v>
      </c>
      <c r="F3178" t="s">
        <v>47</v>
      </c>
      <c r="G3178">
        <v>7.39</v>
      </c>
      <c r="H3178">
        <v>0.05</v>
      </c>
      <c r="I3178">
        <v>3.67</v>
      </c>
      <c r="J3178">
        <v>13.4689</v>
      </c>
      <c r="K3178" t="str">
        <f>IFERROR(INDEX(Rosters!$C$2:$C$155,MATCH($B3178,Rosters!$B$2:$B$155,0)),"NA")</f>
        <v>NA</v>
      </c>
      <c r="L3178" t="str">
        <f t="shared" si="147"/>
        <v>NA9RB</v>
      </c>
      <c r="M3178">
        <f>COUNTIF(L$1:L3178,L3178)</f>
        <v>13</v>
      </c>
      <c r="N3178" t="str">
        <f t="shared" si="148"/>
        <v>NA9RB-13</v>
      </c>
      <c r="O3178">
        <f>COUNTIFS(F$1:F3178,F3178,A$1:A3178,A3178)</f>
        <v>52</v>
      </c>
      <c r="P3178" t="str">
        <f t="shared" si="149"/>
        <v>Spencer Ware9</v>
      </c>
    </row>
    <row r="3179" spans="1:16" x14ac:dyDescent="0.25">
      <c r="A3179">
        <v>1</v>
      </c>
      <c r="B3179" t="s">
        <v>158</v>
      </c>
      <c r="C3179" t="s">
        <v>1791</v>
      </c>
      <c r="D3179">
        <v>3.71</v>
      </c>
      <c r="E3179" t="s">
        <v>58</v>
      </c>
      <c r="F3179" t="s">
        <v>47</v>
      </c>
      <c r="G3179">
        <v>7.2</v>
      </c>
      <c r="H3179">
        <v>0.22</v>
      </c>
      <c r="I3179">
        <v>3.49</v>
      </c>
      <c r="J3179">
        <v>12.180099999999999</v>
      </c>
      <c r="K3179" t="str">
        <f>IFERROR(INDEX(Rosters!$C$2:$C$155,MATCH($B3179,Rosters!$B$2:$B$155,0)),"NA")</f>
        <v>comp</v>
      </c>
      <c r="L3179" t="str">
        <f t="shared" si="147"/>
        <v>comp1RB</v>
      </c>
      <c r="M3179">
        <f>COUNTIF(L$1:L3179,L3179)</f>
        <v>3</v>
      </c>
      <c r="N3179" t="str">
        <f t="shared" si="148"/>
        <v>comp1RB-3</v>
      </c>
      <c r="O3179">
        <f>COUNTIFS(F$1:F3179,F3179,A$1:A3179,A3179)</f>
        <v>59</v>
      </c>
      <c r="P3179" t="str">
        <f t="shared" si="149"/>
        <v>Adrian Peterson1</v>
      </c>
    </row>
    <row r="3180" spans="1:16" x14ac:dyDescent="0.25">
      <c r="A3180">
        <v>8</v>
      </c>
      <c r="B3180" t="s">
        <v>305</v>
      </c>
      <c r="C3180" t="s">
        <v>7950</v>
      </c>
      <c r="D3180">
        <v>3.7</v>
      </c>
      <c r="E3180" t="s">
        <v>32</v>
      </c>
      <c r="F3180" t="s">
        <v>87</v>
      </c>
      <c r="G3180">
        <v>7.07</v>
      </c>
      <c r="H3180">
        <v>0.33</v>
      </c>
      <c r="I3180">
        <v>3.37</v>
      </c>
      <c r="J3180">
        <v>11.3569</v>
      </c>
      <c r="K3180" t="str">
        <f>IFERROR(INDEX(Rosters!$C$2:$C$155,MATCH($B3180,Rosters!$B$2:$B$155,0)),"NA")</f>
        <v>NA</v>
      </c>
      <c r="L3180" t="str">
        <f t="shared" si="147"/>
        <v>NA8WR</v>
      </c>
      <c r="M3180">
        <f>COUNTIF(L$1:L3180,L3180)</f>
        <v>32</v>
      </c>
      <c r="N3180" t="str">
        <f t="shared" si="148"/>
        <v>NA8WR-32</v>
      </c>
      <c r="O3180">
        <f>COUNTIFS(F$1:F3180,F3180,A$1:A3180,A3180)</f>
        <v>79</v>
      </c>
      <c r="P3180" t="str">
        <f t="shared" si="149"/>
        <v>Chester Rogers8</v>
      </c>
    </row>
    <row r="3181" spans="1:16" x14ac:dyDescent="0.25">
      <c r="A3181">
        <v>14</v>
      </c>
      <c r="B3181" t="s">
        <v>1396</v>
      </c>
      <c r="C3181" t="s">
        <v>7951</v>
      </c>
      <c r="D3181">
        <v>3.7</v>
      </c>
      <c r="E3181" t="s">
        <v>14</v>
      </c>
      <c r="F3181" t="s">
        <v>87</v>
      </c>
      <c r="G3181">
        <v>6.62</v>
      </c>
      <c r="H3181">
        <v>0.78</v>
      </c>
      <c r="I3181">
        <v>2.92</v>
      </c>
      <c r="J3181">
        <v>8.5264000000000006</v>
      </c>
      <c r="K3181" t="str">
        <f>IFERROR(INDEX(Rosters!$C$2:$C$155,MATCH($B3181,Rosters!$B$2:$B$155,0)),"NA")</f>
        <v>NA</v>
      </c>
      <c r="L3181" t="str">
        <f t="shared" si="147"/>
        <v>NA14WR</v>
      </c>
      <c r="M3181">
        <f>COUNTIF(L$1:L3181,L3181)</f>
        <v>30</v>
      </c>
      <c r="N3181" t="str">
        <f t="shared" si="148"/>
        <v>NA14WR-30</v>
      </c>
      <c r="O3181">
        <f>COUNTIFS(F$1:F3181,F3181,A$1:A3181,A3181)</f>
        <v>82</v>
      </c>
      <c r="P3181" t="str">
        <f t="shared" si="149"/>
        <v>Chris Godwin14</v>
      </c>
    </row>
    <row r="3182" spans="1:16" x14ac:dyDescent="0.25">
      <c r="A3182">
        <v>12</v>
      </c>
      <c r="B3182" t="s">
        <v>308</v>
      </c>
      <c r="C3182" t="s">
        <v>7952</v>
      </c>
      <c r="D3182">
        <v>3.7</v>
      </c>
      <c r="E3182" t="s">
        <v>51</v>
      </c>
      <c r="F3182" t="s">
        <v>114</v>
      </c>
      <c r="G3182">
        <v>7.35</v>
      </c>
      <c r="H3182">
        <v>0.05</v>
      </c>
      <c r="I3182">
        <v>3.65</v>
      </c>
      <c r="J3182">
        <v>13.3225</v>
      </c>
      <c r="K3182" t="str">
        <f>IFERROR(INDEX(Rosters!$C$2:$C$155,MATCH($B3182,Rosters!$B$2:$B$155,0)),"NA")</f>
        <v>NA</v>
      </c>
      <c r="L3182" t="str">
        <f t="shared" si="147"/>
        <v>NA12TE</v>
      </c>
      <c r="M3182">
        <f>COUNTIF(L$1:L3182,L3182)</f>
        <v>11</v>
      </c>
      <c r="N3182" t="str">
        <f t="shared" si="148"/>
        <v>NA12TE-11</v>
      </c>
      <c r="O3182">
        <f>COUNTIFS(F$1:F3182,F3182,A$1:A3182,A3182)</f>
        <v>24</v>
      </c>
      <c r="P3182" t="str">
        <f t="shared" si="149"/>
        <v>Jeff Heuerman12</v>
      </c>
    </row>
    <row r="3183" spans="1:16" x14ac:dyDescent="0.25">
      <c r="A3183">
        <v>13</v>
      </c>
      <c r="B3183" t="s">
        <v>219</v>
      </c>
      <c r="C3183" t="s">
        <v>7953</v>
      </c>
      <c r="D3183">
        <v>3.7</v>
      </c>
      <c r="E3183" t="s">
        <v>38</v>
      </c>
      <c r="F3183" t="s">
        <v>87</v>
      </c>
      <c r="G3183">
        <v>6.54</v>
      </c>
      <c r="H3183">
        <v>0.86</v>
      </c>
      <c r="I3183">
        <v>2.84</v>
      </c>
      <c r="J3183">
        <v>8.0655999999999999</v>
      </c>
      <c r="K3183" t="str">
        <f>IFERROR(INDEX(Rosters!$C$2:$C$155,MATCH($B3183,Rosters!$B$2:$B$155,0)),"NA")</f>
        <v>NA</v>
      </c>
      <c r="L3183" t="str">
        <f t="shared" si="147"/>
        <v>NA13WR</v>
      </c>
      <c r="M3183">
        <f>COUNTIF(L$1:L3183,L3183)</f>
        <v>31</v>
      </c>
      <c r="N3183" t="str">
        <f t="shared" si="148"/>
        <v>NA13WR-31</v>
      </c>
      <c r="O3183">
        <f>COUNTIFS(F$1:F3183,F3183,A$1:A3183,A3183)</f>
        <v>83</v>
      </c>
      <c r="P3183" t="str">
        <f t="shared" si="149"/>
        <v>Jermaine Kearse13</v>
      </c>
    </row>
    <row r="3184" spans="1:16" x14ac:dyDescent="0.25">
      <c r="A3184">
        <v>16</v>
      </c>
      <c r="B3184" t="s">
        <v>299</v>
      </c>
      <c r="C3184" t="s">
        <v>7954</v>
      </c>
      <c r="D3184">
        <v>3.7</v>
      </c>
      <c r="E3184" t="s">
        <v>14</v>
      </c>
      <c r="F3184" t="s">
        <v>114</v>
      </c>
      <c r="G3184">
        <v>6.38</v>
      </c>
      <c r="H3184">
        <v>1.02</v>
      </c>
      <c r="I3184">
        <v>2.68</v>
      </c>
      <c r="J3184">
        <v>7.1824000000000003</v>
      </c>
      <c r="K3184" t="str">
        <f>IFERROR(INDEX(Rosters!$C$2:$C$155,MATCH($B3184,Rosters!$B$2:$B$155,0)),"NA")</f>
        <v>NA</v>
      </c>
      <c r="L3184" t="str">
        <f t="shared" si="147"/>
        <v>NA16TE</v>
      </c>
      <c r="M3184">
        <f>COUNTIF(L$1:L3184,L3184)</f>
        <v>10</v>
      </c>
      <c r="N3184" t="str">
        <f t="shared" si="148"/>
        <v>NA16TE-10</v>
      </c>
      <c r="O3184">
        <f>COUNTIFS(F$1:F3184,F3184,A$1:A3184,A3184)</f>
        <v>23</v>
      </c>
      <c r="P3184" t="str">
        <f t="shared" si="149"/>
        <v>Jesse James16</v>
      </c>
    </row>
    <row r="3185" spans="1:16" x14ac:dyDescent="0.25">
      <c r="A3185">
        <v>13</v>
      </c>
      <c r="B3185" t="s">
        <v>273</v>
      </c>
      <c r="C3185" t="s">
        <v>4581</v>
      </c>
      <c r="D3185">
        <v>3.69</v>
      </c>
      <c r="E3185" t="s">
        <v>29</v>
      </c>
      <c r="F3185" t="s">
        <v>87</v>
      </c>
      <c r="G3185">
        <v>6.58</v>
      </c>
      <c r="H3185">
        <v>0.8</v>
      </c>
      <c r="I3185">
        <v>2.89</v>
      </c>
      <c r="J3185">
        <v>8.3521000000000001</v>
      </c>
      <c r="K3185" t="str">
        <f>IFERROR(INDEX(Rosters!$C$2:$C$155,MATCH($B3185,Rosters!$B$2:$B$155,0)),"NA")</f>
        <v>NA</v>
      </c>
      <c r="L3185" t="str">
        <f t="shared" si="147"/>
        <v>NA13WR</v>
      </c>
      <c r="M3185">
        <f>COUNTIF(L$1:L3185,L3185)</f>
        <v>32</v>
      </c>
      <c r="N3185" t="str">
        <f t="shared" si="148"/>
        <v>NA13WR-32</v>
      </c>
      <c r="O3185">
        <f>COUNTIFS(F$1:F3185,F3185,A$1:A3185,A3185)</f>
        <v>84</v>
      </c>
      <c r="P3185" t="str">
        <f t="shared" si="149"/>
        <v>Albert Wilson13</v>
      </c>
    </row>
    <row r="3186" spans="1:16" x14ac:dyDescent="0.25">
      <c r="A3186">
        <v>3</v>
      </c>
      <c r="B3186" t="s">
        <v>1381</v>
      </c>
      <c r="C3186" t="s">
        <v>3759</v>
      </c>
      <c r="D3186">
        <v>3.69</v>
      </c>
      <c r="E3186" t="s">
        <v>72</v>
      </c>
      <c r="F3186" t="s">
        <v>114</v>
      </c>
      <c r="G3186">
        <v>7.31</v>
      </c>
      <c r="H3186">
        <v>7.0000000000000007E-2</v>
      </c>
      <c r="I3186">
        <v>3.62</v>
      </c>
      <c r="J3186">
        <v>13.1044</v>
      </c>
      <c r="K3186" t="str">
        <f>IFERROR(INDEX(Rosters!$C$2:$C$155,MATCH($B3186,Rosters!$B$2:$B$155,0)),"NA")</f>
        <v>NA</v>
      </c>
      <c r="L3186" t="str">
        <f t="shared" si="147"/>
        <v>NA3TE</v>
      </c>
      <c r="M3186">
        <f>COUNTIF(L$1:L3186,L3186)</f>
        <v>9</v>
      </c>
      <c r="N3186" t="str">
        <f t="shared" si="148"/>
        <v>NA3TE-9</v>
      </c>
      <c r="O3186">
        <f>COUNTIFS(F$1:F3186,F3186,A$1:A3186,A3186)</f>
        <v>20</v>
      </c>
      <c r="P3186" t="str">
        <f t="shared" si="149"/>
        <v>Ricky Seals-Jones3</v>
      </c>
    </row>
    <row r="3187" spans="1:16" x14ac:dyDescent="0.25">
      <c r="A3187">
        <v>5</v>
      </c>
      <c r="B3187" t="s">
        <v>325</v>
      </c>
      <c r="C3187" t="s">
        <v>7955</v>
      </c>
      <c r="D3187">
        <v>3.69</v>
      </c>
      <c r="E3187" t="s">
        <v>19</v>
      </c>
      <c r="F3187" t="s">
        <v>114</v>
      </c>
      <c r="G3187">
        <v>6.76</v>
      </c>
      <c r="H3187">
        <v>0.62</v>
      </c>
      <c r="I3187">
        <v>3.07</v>
      </c>
      <c r="J3187">
        <v>9.4248999999999992</v>
      </c>
      <c r="K3187" t="str">
        <f>IFERROR(INDEX(Rosters!$C$2:$C$155,MATCH($B3187,Rosters!$B$2:$B$155,0)),"NA")</f>
        <v>NA</v>
      </c>
      <c r="L3187" t="str">
        <f t="shared" si="147"/>
        <v>NA5TE</v>
      </c>
      <c r="M3187">
        <f>COUNTIF(L$1:L3187,L3187)</f>
        <v>9</v>
      </c>
      <c r="N3187" t="str">
        <f t="shared" si="148"/>
        <v>NA5TE-9</v>
      </c>
      <c r="O3187">
        <f>COUNTIFS(F$1:F3187,F3187,A$1:A3187,A3187)</f>
        <v>20</v>
      </c>
      <c r="P3187" t="str">
        <f t="shared" si="149"/>
        <v>Tyler Kroft5</v>
      </c>
    </row>
    <row r="3188" spans="1:16" x14ac:dyDescent="0.25">
      <c r="A3188">
        <v>3</v>
      </c>
      <c r="B3188" t="s">
        <v>1036</v>
      </c>
      <c r="C3188" t="s">
        <v>3760</v>
      </c>
      <c r="D3188">
        <v>3.68</v>
      </c>
      <c r="E3188" t="s">
        <v>28</v>
      </c>
      <c r="F3188" t="s">
        <v>87</v>
      </c>
      <c r="G3188">
        <v>6.14</v>
      </c>
      <c r="H3188">
        <v>1.22</v>
      </c>
      <c r="I3188">
        <v>2.46</v>
      </c>
      <c r="J3188">
        <v>6.0515999999999996</v>
      </c>
      <c r="K3188" t="str">
        <f>IFERROR(INDEX(Rosters!$C$2:$C$155,MATCH($B3188,Rosters!$B$2:$B$155,0)),"NA")</f>
        <v>NA</v>
      </c>
      <c r="L3188" t="str">
        <f t="shared" si="147"/>
        <v>NA3WR</v>
      </c>
      <c r="M3188">
        <f>COUNTIF(L$1:L3188,L3188)</f>
        <v>24</v>
      </c>
      <c r="N3188" t="str">
        <f t="shared" si="148"/>
        <v>NA3WR-24</v>
      </c>
      <c r="O3188">
        <f>COUNTIFS(F$1:F3188,F3188,A$1:A3188,A3188)</f>
        <v>71</v>
      </c>
      <c r="P3188" t="str">
        <f t="shared" si="149"/>
        <v>Deonte Thompson3</v>
      </c>
    </row>
    <row r="3189" spans="1:16" x14ac:dyDescent="0.25">
      <c r="A3189">
        <v>15</v>
      </c>
      <c r="B3189" t="s">
        <v>147</v>
      </c>
      <c r="C3189" t="s">
        <v>7956</v>
      </c>
      <c r="D3189">
        <v>3.68</v>
      </c>
      <c r="E3189" t="s">
        <v>60</v>
      </c>
      <c r="F3189" t="s">
        <v>87</v>
      </c>
      <c r="G3189">
        <v>7.04</v>
      </c>
      <c r="H3189">
        <v>0.32</v>
      </c>
      <c r="I3189">
        <v>3.36</v>
      </c>
      <c r="J3189">
        <v>11.2896</v>
      </c>
      <c r="K3189" t="str">
        <f>IFERROR(INDEX(Rosters!$C$2:$C$155,MATCH($B3189,Rosters!$B$2:$B$155,0)),"NA")</f>
        <v>NA</v>
      </c>
      <c r="L3189" t="str">
        <f t="shared" si="147"/>
        <v>NA15WR</v>
      </c>
      <c r="M3189">
        <f>COUNTIF(L$1:L3189,L3189)</f>
        <v>32</v>
      </c>
      <c r="N3189" t="str">
        <f t="shared" si="148"/>
        <v>NA15WR-32</v>
      </c>
      <c r="O3189">
        <f>COUNTIFS(F$1:F3189,F3189,A$1:A3189,A3189)</f>
        <v>83</v>
      </c>
      <c r="P3189" t="str">
        <f t="shared" si="149"/>
        <v>Donte Moncrief15</v>
      </c>
    </row>
    <row r="3190" spans="1:16" x14ac:dyDescent="0.25">
      <c r="A3190">
        <v>1</v>
      </c>
      <c r="B3190" t="s">
        <v>264</v>
      </c>
      <c r="C3190">
        <f>-0.69-8.05</f>
        <v>-8.74</v>
      </c>
      <c r="D3190">
        <v>3.68</v>
      </c>
      <c r="E3190" t="s">
        <v>25</v>
      </c>
      <c r="F3190" t="s">
        <v>114</v>
      </c>
      <c r="G3190">
        <v>8.0500000000000007</v>
      </c>
      <c r="H3190">
        <v>-0.69</v>
      </c>
      <c r="I3190">
        <v>4.37</v>
      </c>
      <c r="J3190">
        <v>19.096900000000002</v>
      </c>
      <c r="K3190" t="str">
        <f>IFERROR(INDEX(Rosters!$C$2:$C$155,MATCH($B3190,Rosters!$B$2:$B$155,0)),"NA")</f>
        <v>scott</v>
      </c>
      <c r="L3190" t="str">
        <f t="shared" si="147"/>
        <v>scott1TE</v>
      </c>
      <c r="M3190">
        <f>COUNTIF(L$1:L3190,L3190)</f>
        <v>1</v>
      </c>
      <c r="N3190" t="str">
        <f t="shared" si="148"/>
        <v>scott1TE-1</v>
      </c>
      <c r="O3190">
        <f>COUNTIFS(F$1:F3190,F3190,A$1:A3190,A3190)</f>
        <v>22</v>
      </c>
      <c r="P3190" t="str">
        <f t="shared" si="149"/>
        <v>George Kittle1</v>
      </c>
    </row>
    <row r="3191" spans="1:16" x14ac:dyDescent="0.25">
      <c r="A3191">
        <v>16</v>
      </c>
      <c r="B3191" t="s">
        <v>182</v>
      </c>
      <c r="C3191" t="s">
        <v>7957</v>
      </c>
      <c r="D3191">
        <v>3.68</v>
      </c>
      <c r="E3191" t="s">
        <v>423</v>
      </c>
      <c r="F3191" t="s">
        <v>87</v>
      </c>
      <c r="G3191">
        <v>6.82</v>
      </c>
      <c r="H3191">
        <v>0.54</v>
      </c>
      <c r="I3191">
        <v>3.14</v>
      </c>
      <c r="J3191">
        <v>9.8596000000000004</v>
      </c>
      <c r="K3191" t="str">
        <f>IFERROR(INDEX(Rosters!$C$2:$C$155,MATCH($B3191,Rosters!$B$2:$B$155,0)),"NA")</f>
        <v>NA</v>
      </c>
      <c r="L3191" t="str">
        <f t="shared" si="147"/>
        <v>NA16WR</v>
      </c>
      <c r="M3191">
        <f>COUNTIF(L$1:L3191,L3191)</f>
        <v>30</v>
      </c>
      <c r="N3191" t="str">
        <f t="shared" si="148"/>
        <v>NA16WR-30</v>
      </c>
      <c r="O3191">
        <f>COUNTIFS(F$1:F3191,F3191,A$1:A3191,A3191)</f>
        <v>82</v>
      </c>
      <c r="P3191" t="str">
        <f t="shared" si="149"/>
        <v>Zay Jones16</v>
      </c>
    </row>
    <row r="3192" spans="1:16" x14ac:dyDescent="0.25">
      <c r="A3192">
        <v>5</v>
      </c>
      <c r="B3192" t="s">
        <v>796</v>
      </c>
      <c r="C3192" t="s">
        <v>9084</v>
      </c>
      <c r="D3192">
        <v>3.67</v>
      </c>
      <c r="E3192" t="s">
        <v>52</v>
      </c>
      <c r="F3192" t="s">
        <v>47</v>
      </c>
      <c r="G3192">
        <v>7</v>
      </c>
      <c r="H3192">
        <v>0.34</v>
      </c>
      <c r="I3192">
        <v>3.33</v>
      </c>
      <c r="J3192">
        <v>11.088900000000001</v>
      </c>
      <c r="K3192" t="str">
        <f>IFERROR(INDEX(Rosters!$C$2:$C$155,MATCH($B3192,Rosters!$B$2:$B$155,0)),"NA")</f>
        <v>seth</v>
      </c>
      <c r="L3192" t="str">
        <f t="shared" si="147"/>
        <v>seth5RB</v>
      </c>
      <c r="M3192">
        <f>COUNTIF(L$1:L3192,L3192)</f>
        <v>6</v>
      </c>
      <c r="N3192" t="str">
        <f t="shared" si="148"/>
        <v>seth5RB-6</v>
      </c>
      <c r="O3192">
        <f>COUNTIFS(F$1:F3192,F3192,A$1:A3192,A3192)</f>
        <v>58</v>
      </c>
      <c r="P3192" t="str">
        <f t="shared" si="149"/>
        <v>Alex Collins5</v>
      </c>
    </row>
    <row r="3193" spans="1:16" x14ac:dyDescent="0.25">
      <c r="A3193">
        <v>13</v>
      </c>
      <c r="B3193" t="s">
        <v>875</v>
      </c>
      <c r="C3193" t="s">
        <v>7958</v>
      </c>
      <c r="D3193">
        <v>3.67</v>
      </c>
      <c r="E3193" t="s">
        <v>52</v>
      </c>
      <c r="F3193" t="s">
        <v>87</v>
      </c>
      <c r="G3193">
        <v>6.85</v>
      </c>
      <c r="H3193">
        <v>0.49</v>
      </c>
      <c r="I3193">
        <v>3.18</v>
      </c>
      <c r="J3193">
        <v>10.112399999999999</v>
      </c>
      <c r="K3193" t="str">
        <f>IFERROR(INDEX(Rosters!$C$2:$C$155,MATCH($B3193,Rosters!$B$2:$B$155,0)),"NA")</f>
        <v>NA</v>
      </c>
      <c r="L3193" t="str">
        <f t="shared" si="147"/>
        <v>NA13WR</v>
      </c>
      <c r="M3193">
        <f>COUNTIF(L$1:L3193,L3193)</f>
        <v>33</v>
      </c>
      <c r="N3193" t="str">
        <f t="shared" si="148"/>
        <v>NA13WR-33</v>
      </c>
      <c r="O3193">
        <f>COUNTIFS(F$1:F3193,F3193,A$1:A3193,A3193)</f>
        <v>85</v>
      </c>
      <c r="P3193" t="str">
        <f t="shared" si="149"/>
        <v>Bruce Ellington13</v>
      </c>
    </row>
    <row r="3194" spans="1:16" x14ac:dyDescent="0.25">
      <c r="A3194">
        <v>15</v>
      </c>
      <c r="B3194" t="s">
        <v>219</v>
      </c>
      <c r="C3194" t="s">
        <v>7959</v>
      </c>
      <c r="D3194">
        <v>3.67</v>
      </c>
      <c r="E3194" t="s">
        <v>36</v>
      </c>
      <c r="F3194" t="s">
        <v>87</v>
      </c>
      <c r="G3194">
        <v>6.2</v>
      </c>
      <c r="H3194">
        <v>1.1399999999999999</v>
      </c>
      <c r="I3194">
        <v>2.5299999999999998</v>
      </c>
      <c r="J3194">
        <v>6.4009</v>
      </c>
      <c r="K3194" t="str">
        <f>IFERROR(INDEX(Rosters!$C$2:$C$155,MATCH($B3194,Rosters!$B$2:$B$155,0)),"NA")</f>
        <v>NA</v>
      </c>
      <c r="L3194" t="str">
        <f t="shared" si="147"/>
        <v>NA15WR</v>
      </c>
      <c r="M3194">
        <f>COUNTIF(L$1:L3194,L3194)</f>
        <v>33</v>
      </c>
      <c r="N3194" t="str">
        <f t="shared" si="148"/>
        <v>NA15WR-33</v>
      </c>
      <c r="O3194">
        <f>COUNTIFS(F$1:F3194,F3194,A$1:A3194,A3194)</f>
        <v>84</v>
      </c>
      <c r="P3194" t="str">
        <f t="shared" si="149"/>
        <v>Jermaine Kearse15</v>
      </c>
    </row>
    <row r="3195" spans="1:16" x14ac:dyDescent="0.25">
      <c r="A3195">
        <v>9</v>
      </c>
      <c r="B3195" t="s">
        <v>1366</v>
      </c>
      <c r="C3195" t="s">
        <v>7960</v>
      </c>
      <c r="D3195">
        <v>3.67</v>
      </c>
      <c r="E3195" t="s">
        <v>24</v>
      </c>
      <c r="F3195" t="s">
        <v>47</v>
      </c>
      <c r="G3195">
        <v>6.58</v>
      </c>
      <c r="H3195">
        <v>0.76</v>
      </c>
      <c r="I3195">
        <v>2.91</v>
      </c>
      <c r="J3195">
        <v>8.4680999999999997</v>
      </c>
      <c r="K3195" t="str">
        <f>IFERROR(INDEX(Rosters!$C$2:$C$155,MATCH($B3195,Rosters!$B$2:$B$155,0)),"NA")</f>
        <v>NA</v>
      </c>
      <c r="L3195" t="str">
        <f t="shared" si="147"/>
        <v>NA9RB</v>
      </c>
      <c r="M3195">
        <f>COUNTIF(L$1:L3195,L3195)</f>
        <v>14</v>
      </c>
      <c r="N3195" t="str">
        <f t="shared" si="148"/>
        <v>NA9RB-14</v>
      </c>
      <c r="O3195">
        <f>COUNTIFS(F$1:F3195,F3195,A$1:A3195,A3195)</f>
        <v>53</v>
      </c>
      <c r="P3195" t="str">
        <f t="shared" si="149"/>
        <v>Nick Chubb9</v>
      </c>
    </row>
    <row r="3196" spans="1:16" x14ac:dyDescent="0.25">
      <c r="A3196">
        <v>2</v>
      </c>
      <c r="B3196" t="s">
        <v>143</v>
      </c>
      <c r="C3196" t="s">
        <v>1454</v>
      </c>
      <c r="D3196">
        <v>3.67</v>
      </c>
      <c r="E3196" t="s">
        <v>19</v>
      </c>
      <c r="F3196" t="s">
        <v>87</v>
      </c>
      <c r="G3196">
        <v>7.26</v>
      </c>
      <c r="H3196">
        <v>0.08</v>
      </c>
      <c r="I3196">
        <v>3.59</v>
      </c>
      <c r="J3196">
        <v>12.8881</v>
      </c>
      <c r="K3196" t="str">
        <f>IFERROR(INDEX(Rosters!$C$2:$C$155,MATCH($B3196,Rosters!$B$2:$B$155,0)),"NA")</f>
        <v>NA</v>
      </c>
      <c r="L3196" t="str">
        <f t="shared" si="147"/>
        <v>NA2WR</v>
      </c>
      <c r="M3196">
        <f>COUNTIF(L$1:L3196,L3196)</f>
        <v>30</v>
      </c>
      <c r="N3196" t="str">
        <f t="shared" si="148"/>
        <v>NA2WR-30</v>
      </c>
      <c r="O3196">
        <f>COUNTIFS(F$1:F3196,F3196,A$1:A3196,A3196)</f>
        <v>77</v>
      </c>
      <c r="P3196" t="str">
        <f t="shared" si="149"/>
        <v>Terrelle Pryor Sr.2</v>
      </c>
    </row>
    <row r="3197" spans="1:16" x14ac:dyDescent="0.25">
      <c r="A3197">
        <v>9</v>
      </c>
      <c r="B3197" t="s">
        <v>209</v>
      </c>
      <c r="C3197" t="s">
        <v>7961</v>
      </c>
      <c r="D3197">
        <v>3.67</v>
      </c>
      <c r="E3197" t="s">
        <v>17</v>
      </c>
      <c r="F3197" t="s">
        <v>87</v>
      </c>
      <c r="G3197">
        <v>7.24</v>
      </c>
      <c r="H3197">
        <v>0.1</v>
      </c>
      <c r="I3197">
        <v>3.57</v>
      </c>
      <c r="J3197">
        <v>12.744899999999999</v>
      </c>
      <c r="K3197" t="str">
        <f>IFERROR(INDEX(Rosters!$C$2:$C$155,MATCH($B3197,Rosters!$B$2:$B$155,0)),"NA")</f>
        <v>NA</v>
      </c>
      <c r="L3197" t="str">
        <f t="shared" si="147"/>
        <v>NA9WR</v>
      </c>
      <c r="M3197">
        <f>COUNTIF(L$1:L3197,L3197)</f>
        <v>29</v>
      </c>
      <c r="N3197" t="str">
        <f t="shared" si="148"/>
        <v>NA9WR-29</v>
      </c>
      <c r="O3197">
        <f>COUNTIFS(F$1:F3197,F3197,A$1:A3197,A3197)</f>
        <v>71</v>
      </c>
      <c r="P3197" t="str">
        <f t="shared" si="149"/>
        <v>Torrey Smith9</v>
      </c>
    </row>
    <row r="3198" spans="1:16" x14ac:dyDescent="0.25">
      <c r="A3198">
        <v>16</v>
      </c>
      <c r="B3198" t="s">
        <v>142</v>
      </c>
      <c r="C3198" t="s">
        <v>7962</v>
      </c>
      <c r="D3198">
        <v>3.66</v>
      </c>
      <c r="E3198" t="s">
        <v>22</v>
      </c>
      <c r="F3198" t="s">
        <v>47</v>
      </c>
      <c r="G3198">
        <v>7.07</v>
      </c>
      <c r="H3198">
        <v>0.25</v>
      </c>
      <c r="I3198">
        <v>3.41</v>
      </c>
      <c r="J3198">
        <v>11.6281</v>
      </c>
      <c r="K3198" t="str">
        <f>IFERROR(INDEX(Rosters!$C$2:$C$155,MATCH($B3198,Rosters!$B$2:$B$155,0)),"NA")</f>
        <v>NA</v>
      </c>
      <c r="L3198" t="str">
        <f t="shared" si="147"/>
        <v>NA16RB</v>
      </c>
      <c r="M3198">
        <f>COUNTIF(L$1:L3198,L3198)</f>
        <v>20</v>
      </c>
      <c r="N3198" t="str">
        <f t="shared" si="148"/>
        <v>NA16RB-20</v>
      </c>
      <c r="O3198">
        <f>COUNTIFS(F$1:F3198,F3198,A$1:A3198,A3198)</f>
        <v>66</v>
      </c>
      <c r="P3198" t="str">
        <f t="shared" si="149"/>
        <v>Jacquizz Rodgers16</v>
      </c>
    </row>
    <row r="3199" spans="1:16" x14ac:dyDescent="0.25">
      <c r="A3199">
        <v>15</v>
      </c>
      <c r="B3199" t="s">
        <v>296</v>
      </c>
      <c r="C3199" t="s">
        <v>7963</v>
      </c>
      <c r="D3199">
        <v>3.66</v>
      </c>
      <c r="E3199" t="s">
        <v>14</v>
      </c>
      <c r="F3199" t="s">
        <v>87</v>
      </c>
      <c r="G3199">
        <v>6.44</v>
      </c>
      <c r="H3199">
        <v>0.88</v>
      </c>
      <c r="I3199">
        <v>2.78</v>
      </c>
      <c r="J3199">
        <v>7.7283999999999997</v>
      </c>
      <c r="K3199" t="str">
        <f>IFERROR(INDEX(Rosters!$C$2:$C$155,MATCH($B3199,Rosters!$B$2:$B$155,0)),"NA")</f>
        <v>NA</v>
      </c>
      <c r="L3199" t="str">
        <f t="shared" si="147"/>
        <v>NA15WR</v>
      </c>
      <c r="M3199">
        <f>COUNTIF(L$1:L3199,L3199)</f>
        <v>34</v>
      </c>
      <c r="N3199" t="str">
        <f t="shared" si="148"/>
        <v>NA15WR-34</v>
      </c>
      <c r="O3199">
        <f>COUNTIFS(F$1:F3199,F3199,A$1:A3199,A3199)</f>
        <v>85</v>
      </c>
      <c r="P3199" t="str">
        <f t="shared" si="149"/>
        <v>Jarius Wright15</v>
      </c>
    </row>
    <row r="3200" spans="1:16" x14ac:dyDescent="0.25">
      <c r="A3200">
        <v>6</v>
      </c>
      <c r="B3200" t="s">
        <v>219</v>
      </c>
      <c r="C3200" t="s">
        <v>7964</v>
      </c>
      <c r="D3200">
        <v>3.66</v>
      </c>
      <c r="E3200" t="s">
        <v>66</v>
      </c>
      <c r="F3200" t="s">
        <v>87</v>
      </c>
      <c r="G3200">
        <v>6.47</v>
      </c>
      <c r="H3200">
        <v>0.85</v>
      </c>
      <c r="I3200">
        <v>2.81</v>
      </c>
      <c r="J3200">
        <v>7.8960999999999997</v>
      </c>
      <c r="K3200" t="str">
        <f>IFERROR(INDEX(Rosters!$C$2:$C$155,MATCH($B3200,Rosters!$B$2:$B$155,0)),"NA")</f>
        <v>NA</v>
      </c>
      <c r="L3200" t="str">
        <f t="shared" si="147"/>
        <v>NA6WR</v>
      </c>
      <c r="M3200">
        <f>COUNTIF(L$1:L3200,L3200)</f>
        <v>29</v>
      </c>
      <c r="N3200" t="str">
        <f t="shared" si="148"/>
        <v>NA6WR-29</v>
      </c>
      <c r="O3200">
        <f>COUNTIFS(F$1:F3200,F3200,A$1:A3200,A3200)</f>
        <v>76</v>
      </c>
      <c r="P3200" t="str">
        <f t="shared" si="149"/>
        <v>Jermaine Kearse6</v>
      </c>
    </row>
    <row r="3201" spans="1:16" x14ac:dyDescent="0.25">
      <c r="A3201">
        <v>12</v>
      </c>
      <c r="B3201" t="s">
        <v>243</v>
      </c>
      <c r="C3201" t="s">
        <v>7965</v>
      </c>
      <c r="D3201">
        <v>3.66</v>
      </c>
      <c r="E3201" t="s">
        <v>73</v>
      </c>
      <c r="F3201" t="s">
        <v>87</v>
      </c>
      <c r="G3201">
        <v>6.79</v>
      </c>
      <c r="H3201">
        <v>0.53</v>
      </c>
      <c r="I3201">
        <v>3.13</v>
      </c>
      <c r="J3201">
        <v>9.7969000000000008</v>
      </c>
      <c r="K3201" t="str">
        <f>IFERROR(INDEX(Rosters!$C$2:$C$155,MATCH($B3201,Rosters!$B$2:$B$155,0)),"NA")</f>
        <v>NA</v>
      </c>
      <c r="L3201" t="str">
        <f t="shared" si="147"/>
        <v>NA12WR</v>
      </c>
      <c r="M3201">
        <f>COUNTIF(L$1:L3201,L3201)</f>
        <v>36</v>
      </c>
      <c r="N3201" t="str">
        <f t="shared" si="148"/>
        <v>NA12WR-36</v>
      </c>
      <c r="O3201">
        <f>COUNTIFS(F$1:F3201,F3201,A$1:A3201,A3201)</f>
        <v>83</v>
      </c>
      <c r="P3201" t="str">
        <f t="shared" si="149"/>
        <v>Phillip Dorsett12</v>
      </c>
    </row>
    <row r="3202" spans="1:16" x14ac:dyDescent="0.25">
      <c r="A3202">
        <v>1</v>
      </c>
      <c r="B3202" t="s">
        <v>222</v>
      </c>
      <c r="C3202" t="s">
        <v>1455</v>
      </c>
      <c r="D3202">
        <v>3.66</v>
      </c>
      <c r="E3202" t="s">
        <v>74</v>
      </c>
      <c r="F3202" t="s">
        <v>87</v>
      </c>
      <c r="G3202">
        <v>7.08</v>
      </c>
      <c r="H3202">
        <v>0.24</v>
      </c>
      <c r="I3202">
        <v>3.42</v>
      </c>
      <c r="J3202">
        <v>11.696400000000001</v>
      </c>
      <c r="K3202" t="str">
        <f>IFERROR(INDEX(Rosters!$C$2:$C$155,MATCH($B3202,Rosters!$B$2:$B$155,0)),"NA")</f>
        <v>NA</v>
      </c>
      <c r="L3202" t="str">
        <f t="shared" si="147"/>
        <v>NA1WR</v>
      </c>
      <c r="M3202">
        <f>COUNTIF(L$1:L3202,L3202)</f>
        <v>27</v>
      </c>
      <c r="N3202" t="str">
        <f t="shared" si="148"/>
        <v>NA1WR-27</v>
      </c>
      <c r="O3202">
        <f>COUNTIFS(F$1:F3202,F3202,A$1:A3202,A3202)</f>
        <v>74</v>
      </c>
      <c r="P3202" t="str">
        <f t="shared" si="149"/>
        <v>Terrance Williams1</v>
      </c>
    </row>
    <row r="3203" spans="1:16" x14ac:dyDescent="0.25">
      <c r="A3203">
        <v>9</v>
      </c>
      <c r="B3203" t="s">
        <v>214</v>
      </c>
      <c r="C3203" t="s">
        <v>7966</v>
      </c>
      <c r="D3203">
        <v>3.66</v>
      </c>
      <c r="E3203" t="s">
        <v>77</v>
      </c>
      <c r="F3203" t="s">
        <v>114</v>
      </c>
      <c r="G3203">
        <v>6.94</v>
      </c>
      <c r="H3203">
        <v>0.38</v>
      </c>
      <c r="I3203">
        <v>3.28</v>
      </c>
      <c r="J3203">
        <v>10.7584</v>
      </c>
      <c r="K3203" t="str">
        <f>IFERROR(INDEX(Rosters!$C$2:$C$155,MATCH($B3203,Rosters!$B$2:$B$155,0)),"NA")</f>
        <v>scott</v>
      </c>
      <c r="L3203" t="str">
        <f t="shared" ref="L3203:L3266" si="150">K3203&amp;A3203&amp;F3203</f>
        <v>scott9TE</v>
      </c>
      <c r="M3203">
        <f>COUNTIF(L$1:L3203,L3203)</f>
        <v>2</v>
      </c>
      <c r="N3203" t="str">
        <f t="shared" ref="N3203:N3266" si="151">L3203&amp;"-"&amp;M3203</f>
        <v>scott9TE-2</v>
      </c>
      <c r="O3203">
        <f>COUNTIFS(F$1:F3203,F3203,A$1:A3203,A3203)</f>
        <v>18</v>
      </c>
      <c r="P3203" t="str">
        <f t="shared" ref="P3203:P3266" si="152">B3203&amp;A3203</f>
        <v>Vance McDonald9</v>
      </c>
    </row>
    <row r="3204" spans="1:16" x14ac:dyDescent="0.25">
      <c r="A3204">
        <v>15</v>
      </c>
      <c r="B3204" t="s">
        <v>242</v>
      </c>
      <c r="C3204" t="s">
        <v>7967</v>
      </c>
      <c r="D3204">
        <v>3.65</v>
      </c>
      <c r="E3204" t="s">
        <v>77</v>
      </c>
      <c r="F3204" t="s">
        <v>87</v>
      </c>
      <c r="G3204">
        <v>6.51</v>
      </c>
      <c r="H3204">
        <v>0.79</v>
      </c>
      <c r="I3204">
        <v>2.86</v>
      </c>
      <c r="J3204">
        <v>8.1796000000000006</v>
      </c>
      <c r="K3204" t="str">
        <f>IFERROR(INDEX(Rosters!$C$2:$C$155,MATCH($B3204,Rosters!$B$2:$B$155,0)),"NA")</f>
        <v>NA</v>
      </c>
      <c r="L3204" t="str">
        <f t="shared" si="150"/>
        <v>NA15WR</v>
      </c>
      <c r="M3204">
        <f>COUNTIF(L$1:L3204,L3204)</f>
        <v>35</v>
      </c>
      <c r="N3204" t="str">
        <f t="shared" si="151"/>
        <v>NA15WR-35</v>
      </c>
      <c r="O3204">
        <f>COUNTIFS(F$1:F3204,F3204,A$1:A3204,A3204)</f>
        <v>86</v>
      </c>
      <c r="P3204" t="str">
        <f t="shared" si="152"/>
        <v>Adam Humphries15</v>
      </c>
    </row>
    <row r="3205" spans="1:16" x14ac:dyDescent="0.25">
      <c r="A3205">
        <v>15</v>
      </c>
      <c r="B3205" t="s">
        <v>1432</v>
      </c>
      <c r="C3205" t="s">
        <v>7968</v>
      </c>
      <c r="D3205">
        <v>3.65</v>
      </c>
      <c r="E3205" t="s">
        <v>46</v>
      </c>
      <c r="F3205" t="s">
        <v>47</v>
      </c>
      <c r="G3205">
        <v>6.8</v>
      </c>
      <c r="H3205">
        <v>0.5</v>
      </c>
      <c r="I3205">
        <v>3.15</v>
      </c>
      <c r="J3205">
        <v>9.9224999999999994</v>
      </c>
      <c r="K3205" t="str">
        <f>IFERROR(INDEX(Rosters!$C$2:$C$155,MATCH($B3205,Rosters!$B$2:$B$155,0)),"NA")</f>
        <v>NA</v>
      </c>
      <c r="L3205" t="str">
        <f t="shared" si="150"/>
        <v>NA15RB</v>
      </c>
      <c r="M3205">
        <f>COUNTIF(L$1:L3205,L3205)</f>
        <v>19</v>
      </c>
      <c r="N3205" t="str">
        <f t="shared" si="151"/>
        <v>NA15RB-19</v>
      </c>
      <c r="O3205">
        <f>COUNTIFS(F$1:F3205,F3205,A$1:A3205,A3205)</f>
        <v>65</v>
      </c>
      <c r="P3205" t="str">
        <f t="shared" si="152"/>
        <v>Chase Edmonds15</v>
      </c>
    </row>
    <row r="3206" spans="1:16" x14ac:dyDescent="0.25">
      <c r="A3206">
        <v>5</v>
      </c>
      <c r="B3206" t="s">
        <v>271</v>
      </c>
      <c r="C3206">
        <f>-0.82-8.12</f>
        <v>-8.94</v>
      </c>
      <c r="D3206">
        <v>3.65</v>
      </c>
      <c r="E3206" t="s">
        <v>34</v>
      </c>
      <c r="F3206" t="s">
        <v>87</v>
      </c>
      <c r="G3206">
        <v>8.1199999999999992</v>
      </c>
      <c r="H3206">
        <v>-0.82</v>
      </c>
      <c r="I3206">
        <v>4.47</v>
      </c>
      <c r="J3206">
        <v>19.980899999999998</v>
      </c>
      <c r="K3206" t="str">
        <f>IFERROR(INDEX(Rosters!$C$2:$C$155,MATCH($B3206,Rosters!$B$2:$B$155,0)),"NA")</f>
        <v>matty</v>
      </c>
      <c r="L3206" t="str">
        <f t="shared" si="150"/>
        <v>matty5WR</v>
      </c>
      <c r="M3206">
        <f>COUNTIF(L$1:L3206,L3206)</f>
        <v>5</v>
      </c>
      <c r="N3206" t="str">
        <f t="shared" si="151"/>
        <v>matty5WR-5</v>
      </c>
      <c r="O3206">
        <f>COUNTIFS(F$1:F3206,F3206,A$1:A3206,A3206)</f>
        <v>80</v>
      </c>
      <c r="P3206" t="str">
        <f t="shared" si="152"/>
        <v>Geronimo Allison5</v>
      </c>
    </row>
    <row r="3207" spans="1:16" x14ac:dyDescent="0.25">
      <c r="A3207">
        <v>11</v>
      </c>
      <c r="B3207" t="s">
        <v>4206</v>
      </c>
      <c r="C3207" t="s">
        <v>7969</v>
      </c>
      <c r="D3207">
        <v>3.65</v>
      </c>
      <c r="E3207" t="s">
        <v>22</v>
      </c>
      <c r="F3207" t="s">
        <v>47</v>
      </c>
      <c r="G3207">
        <v>6.17</v>
      </c>
      <c r="H3207">
        <v>1.1299999999999999</v>
      </c>
      <c r="I3207">
        <v>2.52</v>
      </c>
      <c r="J3207">
        <v>6.3503999999999996</v>
      </c>
      <c r="K3207" t="str">
        <f>IFERROR(INDEX(Rosters!$C$2:$C$155,MATCH($B3207,Rosters!$B$2:$B$155,0)),"NA")</f>
        <v>NA</v>
      </c>
      <c r="L3207" t="str">
        <f t="shared" si="150"/>
        <v>NA11RB</v>
      </c>
      <c r="M3207">
        <f>COUNTIF(L$1:L3207,L3207)</f>
        <v>18</v>
      </c>
      <c r="N3207" t="str">
        <f t="shared" si="151"/>
        <v>NA11RB-18</v>
      </c>
      <c r="O3207">
        <f>COUNTIFS(F$1:F3207,F3207,A$1:A3207,A3207)</f>
        <v>55</v>
      </c>
      <c r="P3207" t="str">
        <f t="shared" si="152"/>
        <v>Ito Smith11</v>
      </c>
    </row>
    <row r="3208" spans="1:16" x14ac:dyDescent="0.25">
      <c r="A3208">
        <v>12</v>
      </c>
      <c r="B3208" t="s">
        <v>142</v>
      </c>
      <c r="C3208" t="s">
        <v>7970</v>
      </c>
      <c r="D3208">
        <v>3.65</v>
      </c>
      <c r="E3208" t="s">
        <v>30</v>
      </c>
      <c r="F3208" t="s">
        <v>47</v>
      </c>
      <c r="G3208">
        <v>6.89</v>
      </c>
      <c r="H3208">
        <v>0.41</v>
      </c>
      <c r="I3208">
        <v>3.24</v>
      </c>
      <c r="J3208">
        <v>10.4976</v>
      </c>
      <c r="K3208" t="str">
        <f>IFERROR(INDEX(Rosters!$C$2:$C$155,MATCH($B3208,Rosters!$B$2:$B$155,0)),"NA")</f>
        <v>NA</v>
      </c>
      <c r="L3208" t="str">
        <f t="shared" si="150"/>
        <v>NA12RB</v>
      </c>
      <c r="M3208">
        <f>COUNTIF(L$1:L3208,L3208)</f>
        <v>18</v>
      </c>
      <c r="N3208" t="str">
        <f t="shared" si="151"/>
        <v>NA12RB-18</v>
      </c>
      <c r="O3208">
        <f>COUNTIFS(F$1:F3208,F3208,A$1:A3208,A3208)</f>
        <v>62</v>
      </c>
      <c r="P3208" t="str">
        <f t="shared" si="152"/>
        <v>Jacquizz Rodgers12</v>
      </c>
    </row>
    <row r="3209" spans="1:16" x14ac:dyDescent="0.25">
      <c r="A3209">
        <v>13</v>
      </c>
      <c r="B3209" t="s">
        <v>296</v>
      </c>
      <c r="C3209" t="s">
        <v>7971</v>
      </c>
      <c r="D3209">
        <v>3.65</v>
      </c>
      <c r="E3209" t="s">
        <v>17</v>
      </c>
      <c r="F3209" t="s">
        <v>87</v>
      </c>
      <c r="G3209">
        <v>6.33</v>
      </c>
      <c r="H3209">
        <v>0.97</v>
      </c>
      <c r="I3209">
        <v>2.68</v>
      </c>
      <c r="J3209">
        <v>7.1824000000000003</v>
      </c>
      <c r="K3209" t="str">
        <f>IFERROR(INDEX(Rosters!$C$2:$C$155,MATCH($B3209,Rosters!$B$2:$B$155,0)),"NA")</f>
        <v>NA</v>
      </c>
      <c r="L3209" t="str">
        <f t="shared" si="150"/>
        <v>NA13WR</v>
      </c>
      <c r="M3209">
        <f>COUNTIF(L$1:L3209,L3209)</f>
        <v>34</v>
      </c>
      <c r="N3209" t="str">
        <f t="shared" si="151"/>
        <v>NA13WR-34</v>
      </c>
      <c r="O3209">
        <f>COUNTIFS(F$1:F3209,F3209,A$1:A3209,A3209)</f>
        <v>86</v>
      </c>
      <c r="P3209" t="str">
        <f t="shared" si="152"/>
        <v>Jarius Wright13</v>
      </c>
    </row>
    <row r="3210" spans="1:16" x14ac:dyDescent="0.25">
      <c r="A3210">
        <v>16</v>
      </c>
      <c r="B3210" t="s">
        <v>219</v>
      </c>
      <c r="C3210" t="s">
        <v>7972</v>
      </c>
      <c r="D3210">
        <v>3.65</v>
      </c>
      <c r="E3210" t="s">
        <v>41</v>
      </c>
      <c r="F3210" t="s">
        <v>87</v>
      </c>
      <c r="G3210">
        <v>6.41</v>
      </c>
      <c r="H3210">
        <v>0.89</v>
      </c>
      <c r="I3210">
        <v>2.76</v>
      </c>
      <c r="J3210">
        <v>7.6176000000000004</v>
      </c>
      <c r="K3210" t="str">
        <f>IFERROR(INDEX(Rosters!$C$2:$C$155,MATCH($B3210,Rosters!$B$2:$B$155,0)),"NA")</f>
        <v>NA</v>
      </c>
      <c r="L3210" t="str">
        <f t="shared" si="150"/>
        <v>NA16WR</v>
      </c>
      <c r="M3210">
        <f>COUNTIF(L$1:L3210,L3210)</f>
        <v>31</v>
      </c>
      <c r="N3210" t="str">
        <f t="shared" si="151"/>
        <v>NA16WR-31</v>
      </c>
      <c r="O3210">
        <f>COUNTIFS(F$1:F3210,F3210,A$1:A3210,A3210)</f>
        <v>83</v>
      </c>
      <c r="P3210" t="str">
        <f t="shared" si="152"/>
        <v>Jermaine Kearse16</v>
      </c>
    </row>
    <row r="3211" spans="1:16" x14ac:dyDescent="0.25">
      <c r="A3211">
        <v>11</v>
      </c>
      <c r="B3211" t="s">
        <v>1511</v>
      </c>
      <c r="C3211" t="s">
        <v>7973</v>
      </c>
      <c r="D3211">
        <v>3.65</v>
      </c>
      <c r="E3211" t="s">
        <v>66</v>
      </c>
      <c r="F3211" t="s">
        <v>87</v>
      </c>
      <c r="G3211">
        <v>6.77</v>
      </c>
      <c r="H3211">
        <v>0.53</v>
      </c>
      <c r="I3211">
        <v>3.12</v>
      </c>
      <c r="J3211">
        <v>9.7344000000000008</v>
      </c>
      <c r="K3211" t="str">
        <f>IFERROR(INDEX(Rosters!$C$2:$C$155,MATCH($B3211,Rosters!$B$2:$B$155,0)),"NA")</f>
        <v>NA</v>
      </c>
      <c r="L3211" t="str">
        <f t="shared" si="150"/>
        <v>NA11WR</v>
      </c>
      <c r="M3211">
        <f>COUNTIF(L$1:L3211,L3211)</f>
        <v>23</v>
      </c>
      <c r="N3211" t="str">
        <f t="shared" si="151"/>
        <v>NA11WR-23</v>
      </c>
      <c r="O3211">
        <f>COUNTIFS(F$1:F3211,F3211,A$1:A3211,A3211)</f>
        <v>68</v>
      </c>
      <c r="P3211" t="str">
        <f t="shared" si="152"/>
        <v>Tajae Sharpe11</v>
      </c>
    </row>
    <row r="3212" spans="1:16" x14ac:dyDescent="0.25">
      <c r="A3212">
        <v>12</v>
      </c>
      <c r="B3212" t="s">
        <v>1396</v>
      </c>
      <c r="C3212" t="s">
        <v>7974</v>
      </c>
      <c r="D3212">
        <v>3.64</v>
      </c>
      <c r="E3212" t="s">
        <v>30</v>
      </c>
      <c r="F3212" t="s">
        <v>87</v>
      </c>
      <c r="G3212">
        <v>6.46</v>
      </c>
      <c r="H3212">
        <v>0.82</v>
      </c>
      <c r="I3212">
        <v>2.82</v>
      </c>
      <c r="J3212">
        <v>7.9523999999999999</v>
      </c>
      <c r="K3212" t="str">
        <f>IFERROR(INDEX(Rosters!$C$2:$C$155,MATCH($B3212,Rosters!$B$2:$B$155,0)),"NA")</f>
        <v>NA</v>
      </c>
      <c r="L3212" t="str">
        <f t="shared" si="150"/>
        <v>NA12WR</v>
      </c>
      <c r="M3212">
        <f>COUNTIF(L$1:L3212,L3212)</f>
        <v>37</v>
      </c>
      <c r="N3212" t="str">
        <f t="shared" si="151"/>
        <v>NA12WR-37</v>
      </c>
      <c r="O3212">
        <f>COUNTIFS(F$1:F3212,F3212,A$1:A3212,A3212)</f>
        <v>84</v>
      </c>
      <c r="P3212" t="str">
        <f t="shared" si="152"/>
        <v>Chris Godwin12</v>
      </c>
    </row>
    <row r="3213" spans="1:16" x14ac:dyDescent="0.25">
      <c r="A3213">
        <v>14</v>
      </c>
      <c r="B3213" t="s">
        <v>142</v>
      </c>
      <c r="C3213" t="s">
        <v>7975</v>
      </c>
      <c r="D3213">
        <v>3.64</v>
      </c>
      <c r="E3213" t="s">
        <v>14</v>
      </c>
      <c r="F3213" t="s">
        <v>47</v>
      </c>
      <c r="G3213">
        <v>6.88</v>
      </c>
      <c r="H3213">
        <v>0.4</v>
      </c>
      <c r="I3213">
        <v>3.24</v>
      </c>
      <c r="J3213">
        <v>10.4976</v>
      </c>
      <c r="K3213" t="str">
        <f>IFERROR(INDEX(Rosters!$C$2:$C$155,MATCH($B3213,Rosters!$B$2:$B$155,0)),"NA")</f>
        <v>NA</v>
      </c>
      <c r="L3213" t="str">
        <f t="shared" si="150"/>
        <v>NA14RB</v>
      </c>
      <c r="M3213">
        <f>COUNTIF(L$1:L3213,L3213)</f>
        <v>21</v>
      </c>
      <c r="N3213" t="str">
        <f t="shared" si="151"/>
        <v>NA14RB-21</v>
      </c>
      <c r="O3213">
        <f>COUNTIFS(F$1:F3213,F3213,A$1:A3213,A3213)</f>
        <v>67</v>
      </c>
      <c r="P3213" t="str">
        <f t="shared" si="152"/>
        <v>Jacquizz Rodgers14</v>
      </c>
    </row>
    <row r="3214" spans="1:16" x14ac:dyDescent="0.25">
      <c r="A3214">
        <v>17</v>
      </c>
      <c r="B3214" t="s">
        <v>219</v>
      </c>
      <c r="C3214" t="s">
        <v>7976</v>
      </c>
      <c r="D3214">
        <v>3.64</v>
      </c>
      <c r="E3214" t="s">
        <v>423</v>
      </c>
      <c r="F3214" t="s">
        <v>87</v>
      </c>
      <c r="G3214">
        <v>6.44</v>
      </c>
      <c r="H3214">
        <v>0.84</v>
      </c>
      <c r="I3214">
        <v>2.8</v>
      </c>
      <c r="J3214">
        <v>7.84</v>
      </c>
      <c r="K3214" t="str">
        <f>IFERROR(INDEX(Rosters!$C$2:$C$155,MATCH($B3214,Rosters!$B$2:$B$155,0)),"NA")</f>
        <v>NA</v>
      </c>
      <c r="L3214" t="str">
        <f t="shared" si="150"/>
        <v>NA17WR</v>
      </c>
      <c r="M3214">
        <f>COUNTIF(L$1:L3214,L3214)</f>
        <v>35</v>
      </c>
      <c r="N3214" t="str">
        <f t="shared" si="151"/>
        <v>NA17WR-35</v>
      </c>
      <c r="O3214">
        <f>COUNTIFS(F$1:F3214,F3214,A$1:A3214,A3214)</f>
        <v>87</v>
      </c>
      <c r="P3214" t="str">
        <f t="shared" si="152"/>
        <v>Jermaine Kearse17</v>
      </c>
    </row>
    <row r="3215" spans="1:16" x14ac:dyDescent="0.25">
      <c r="A3215">
        <v>14</v>
      </c>
      <c r="B3215" t="s">
        <v>1540</v>
      </c>
      <c r="C3215" t="s">
        <v>7977</v>
      </c>
      <c r="D3215">
        <v>3.64</v>
      </c>
      <c r="E3215" t="s">
        <v>32</v>
      </c>
      <c r="F3215" t="s">
        <v>87</v>
      </c>
      <c r="G3215">
        <v>6.86</v>
      </c>
      <c r="H3215">
        <v>0.42</v>
      </c>
      <c r="I3215">
        <v>3.22</v>
      </c>
      <c r="J3215">
        <v>10.368399999999999</v>
      </c>
      <c r="K3215" t="str">
        <f>IFERROR(INDEX(Rosters!$C$2:$C$155,MATCH($B3215,Rosters!$B$2:$B$155,0)),"NA")</f>
        <v>NA</v>
      </c>
      <c r="L3215" t="str">
        <f t="shared" si="150"/>
        <v>NA14WR</v>
      </c>
      <c r="M3215">
        <f>COUNTIF(L$1:L3215,L3215)</f>
        <v>31</v>
      </c>
      <c r="N3215" t="str">
        <f t="shared" si="151"/>
        <v>NA14WR-31</v>
      </c>
      <c r="O3215">
        <f>COUNTIFS(F$1:F3215,F3215,A$1:A3215,A3215)</f>
        <v>83</v>
      </c>
      <c r="P3215" t="str">
        <f t="shared" si="152"/>
        <v>Ryan Switzer14</v>
      </c>
    </row>
    <row r="3216" spans="1:16" x14ac:dyDescent="0.25">
      <c r="A3216">
        <v>17</v>
      </c>
      <c r="B3216" t="s">
        <v>273</v>
      </c>
      <c r="C3216" t="s">
        <v>7978</v>
      </c>
      <c r="D3216">
        <v>3.63</v>
      </c>
      <c r="E3216" t="s">
        <v>29</v>
      </c>
      <c r="F3216" t="s">
        <v>87</v>
      </c>
      <c r="G3216">
        <v>6.52</v>
      </c>
      <c r="H3216">
        <v>0.74</v>
      </c>
      <c r="I3216">
        <v>2.89</v>
      </c>
      <c r="J3216">
        <v>8.3521000000000001</v>
      </c>
      <c r="K3216" t="str">
        <f>IFERROR(INDEX(Rosters!$C$2:$C$155,MATCH($B3216,Rosters!$B$2:$B$155,0)),"NA")</f>
        <v>NA</v>
      </c>
      <c r="L3216" t="str">
        <f t="shared" si="150"/>
        <v>NA17WR</v>
      </c>
      <c r="M3216">
        <f>COUNTIF(L$1:L3216,L3216)</f>
        <v>36</v>
      </c>
      <c r="N3216" t="str">
        <f t="shared" si="151"/>
        <v>NA17WR-36</v>
      </c>
      <c r="O3216">
        <f>COUNTIFS(F$1:F3216,F3216,A$1:A3216,A3216)</f>
        <v>88</v>
      </c>
      <c r="P3216" t="str">
        <f t="shared" si="152"/>
        <v>Albert Wilson17</v>
      </c>
    </row>
    <row r="3217" spans="1:16" x14ac:dyDescent="0.25">
      <c r="A3217">
        <v>6</v>
      </c>
      <c r="B3217" t="s">
        <v>1489</v>
      </c>
      <c r="C3217">
        <f>-1.68-8.94</f>
        <v>-10.62</v>
      </c>
      <c r="D3217">
        <v>3.63</v>
      </c>
      <c r="E3217" t="s">
        <v>25</v>
      </c>
      <c r="F3217" t="s">
        <v>87</v>
      </c>
      <c r="G3217">
        <v>8.94</v>
      </c>
      <c r="H3217">
        <v>-1.68</v>
      </c>
      <c r="I3217">
        <v>5.31</v>
      </c>
      <c r="J3217">
        <v>28.196100000000001</v>
      </c>
      <c r="K3217" t="str">
        <f>IFERROR(INDEX(Rosters!$C$2:$C$155,MATCH($B3217,Rosters!$B$2:$B$155,0)),"NA")</f>
        <v>NA</v>
      </c>
      <c r="L3217" t="str">
        <f t="shared" si="150"/>
        <v>NA6WR</v>
      </c>
      <c r="M3217">
        <f>COUNTIF(L$1:L3217,L3217)</f>
        <v>30</v>
      </c>
      <c r="N3217" t="str">
        <f t="shared" si="151"/>
        <v>NA6WR-30</v>
      </c>
      <c r="O3217">
        <f>COUNTIFS(F$1:F3217,F3217,A$1:A3217,A3217)</f>
        <v>77</v>
      </c>
      <c r="P3217" t="str">
        <f t="shared" si="152"/>
        <v>Chad Williams6</v>
      </c>
    </row>
    <row r="3218" spans="1:16" x14ac:dyDescent="0.25">
      <c r="A3218">
        <v>12</v>
      </c>
      <c r="B3218" t="s">
        <v>1432</v>
      </c>
      <c r="C3218" t="s">
        <v>7979</v>
      </c>
      <c r="D3218">
        <v>3.63</v>
      </c>
      <c r="E3218" t="s">
        <v>37</v>
      </c>
      <c r="F3218" t="s">
        <v>47</v>
      </c>
      <c r="G3218">
        <v>6.79</v>
      </c>
      <c r="H3218">
        <v>0.47</v>
      </c>
      <c r="I3218">
        <v>3.16</v>
      </c>
      <c r="J3218">
        <v>9.9855999999999998</v>
      </c>
      <c r="K3218" t="str">
        <f>IFERROR(INDEX(Rosters!$C$2:$C$155,MATCH($B3218,Rosters!$B$2:$B$155,0)),"NA")</f>
        <v>NA</v>
      </c>
      <c r="L3218" t="str">
        <f t="shared" si="150"/>
        <v>NA12RB</v>
      </c>
      <c r="M3218">
        <f>COUNTIF(L$1:L3218,L3218)</f>
        <v>19</v>
      </c>
      <c r="N3218" t="str">
        <f t="shared" si="151"/>
        <v>NA12RB-19</v>
      </c>
      <c r="O3218">
        <f>COUNTIFS(F$1:F3218,F3218,A$1:A3218,A3218)</f>
        <v>63</v>
      </c>
      <c r="P3218" t="str">
        <f t="shared" si="152"/>
        <v>Chase Edmonds12</v>
      </c>
    </row>
    <row r="3219" spans="1:16" x14ac:dyDescent="0.25">
      <c r="A3219">
        <v>7</v>
      </c>
      <c r="B3219" t="s">
        <v>1036</v>
      </c>
      <c r="C3219" t="s">
        <v>7980</v>
      </c>
      <c r="D3219">
        <v>3.63</v>
      </c>
      <c r="E3219" t="s">
        <v>60</v>
      </c>
      <c r="F3219" t="s">
        <v>87</v>
      </c>
      <c r="G3219">
        <v>6.31</v>
      </c>
      <c r="H3219">
        <v>0.95</v>
      </c>
      <c r="I3219">
        <v>2.68</v>
      </c>
      <c r="J3219">
        <v>7.1824000000000003</v>
      </c>
      <c r="K3219" t="str">
        <f>IFERROR(INDEX(Rosters!$C$2:$C$155,MATCH($B3219,Rosters!$B$2:$B$155,0)),"NA")</f>
        <v>NA</v>
      </c>
      <c r="L3219" t="str">
        <f t="shared" si="150"/>
        <v>NA7WR</v>
      </c>
      <c r="M3219">
        <f>COUNTIF(L$1:L3219,L3219)</f>
        <v>30</v>
      </c>
      <c r="N3219" t="str">
        <f t="shared" si="151"/>
        <v>NA7WR-30</v>
      </c>
      <c r="O3219">
        <f>COUNTIFS(F$1:F3219,F3219,A$1:A3219,A3219)</f>
        <v>74</v>
      </c>
      <c r="P3219" t="str">
        <f t="shared" si="152"/>
        <v>Deonte Thompson7</v>
      </c>
    </row>
    <row r="3220" spans="1:16" x14ac:dyDescent="0.25">
      <c r="A3220">
        <v>7</v>
      </c>
      <c r="B3220" t="s">
        <v>309</v>
      </c>
      <c r="C3220">
        <f>-0.6-7.86</f>
        <v>-8.4600000000000009</v>
      </c>
      <c r="D3220">
        <v>3.63</v>
      </c>
      <c r="E3220" t="s">
        <v>60</v>
      </c>
      <c r="F3220" t="s">
        <v>114</v>
      </c>
      <c r="G3220">
        <v>7.86</v>
      </c>
      <c r="H3220">
        <v>-0.6</v>
      </c>
      <c r="I3220">
        <v>4.2300000000000004</v>
      </c>
      <c r="J3220">
        <v>17.892900000000001</v>
      </c>
      <c r="K3220" t="str">
        <f>IFERROR(INDEX(Rosters!$C$2:$C$155,MATCH($B3220,Rosters!$B$2:$B$155,0)),"NA")</f>
        <v>NA</v>
      </c>
      <c r="L3220" t="str">
        <f t="shared" si="150"/>
        <v>NA7TE</v>
      </c>
      <c r="M3220">
        <f>COUNTIF(L$1:L3220,L3220)</f>
        <v>11</v>
      </c>
      <c r="N3220" t="str">
        <f t="shared" si="151"/>
        <v>NA7TE-11</v>
      </c>
      <c r="O3220">
        <f>COUNTIFS(F$1:F3220,F3220,A$1:A3220,A3220)</f>
        <v>20</v>
      </c>
      <c r="P3220" t="str">
        <f t="shared" si="152"/>
        <v>Geoff Swaim7</v>
      </c>
    </row>
    <row r="3221" spans="1:16" x14ac:dyDescent="0.25">
      <c r="A3221">
        <v>1</v>
      </c>
      <c r="B3221" t="s">
        <v>1423</v>
      </c>
      <c r="C3221" t="s">
        <v>1456</v>
      </c>
      <c r="D3221">
        <v>3.63</v>
      </c>
      <c r="E3221" t="s">
        <v>38</v>
      </c>
      <c r="F3221" t="s">
        <v>114</v>
      </c>
      <c r="G3221">
        <v>6.95</v>
      </c>
      <c r="H3221">
        <v>0.31</v>
      </c>
      <c r="I3221">
        <v>3.32</v>
      </c>
      <c r="J3221">
        <v>11.022399999999999</v>
      </c>
      <c r="K3221" t="str">
        <f>IFERROR(INDEX(Rosters!$C$2:$C$155,MATCH($B3221,Rosters!$B$2:$B$155,0)),"NA")</f>
        <v>NA</v>
      </c>
      <c r="L3221" t="str">
        <f t="shared" si="150"/>
        <v>NA1TE</v>
      </c>
      <c r="M3221">
        <f>COUNTIF(L$1:L3221,L3221)</f>
        <v>12</v>
      </c>
      <c r="N3221" t="str">
        <f t="shared" si="151"/>
        <v>NA1TE-12</v>
      </c>
      <c r="O3221">
        <f>COUNTIFS(F$1:F3221,F3221,A$1:A3221,A3221)</f>
        <v>23</v>
      </c>
      <c r="P3221" t="str">
        <f t="shared" si="152"/>
        <v>Michael Gesicki1</v>
      </c>
    </row>
    <row r="3222" spans="1:16" x14ac:dyDescent="0.25">
      <c r="A3222">
        <v>13</v>
      </c>
      <c r="B3222" t="s">
        <v>242</v>
      </c>
      <c r="C3222" t="s">
        <v>7981</v>
      </c>
      <c r="D3222">
        <v>3.62</v>
      </c>
      <c r="E3222" t="s">
        <v>74</v>
      </c>
      <c r="F3222" t="s">
        <v>87</v>
      </c>
      <c r="G3222">
        <v>6.79</v>
      </c>
      <c r="H3222">
        <v>0.45</v>
      </c>
      <c r="I3222">
        <v>3.17</v>
      </c>
      <c r="J3222">
        <v>10.0489</v>
      </c>
      <c r="K3222" t="str">
        <f>IFERROR(INDEX(Rosters!$C$2:$C$155,MATCH($B3222,Rosters!$B$2:$B$155,0)),"NA")</f>
        <v>NA</v>
      </c>
      <c r="L3222" t="str">
        <f t="shared" si="150"/>
        <v>NA13WR</v>
      </c>
      <c r="M3222">
        <f>COUNTIF(L$1:L3222,L3222)</f>
        <v>35</v>
      </c>
      <c r="N3222" t="str">
        <f t="shared" si="151"/>
        <v>NA13WR-35</v>
      </c>
      <c r="O3222">
        <f>COUNTIFS(F$1:F3222,F3222,A$1:A3222,A3222)</f>
        <v>87</v>
      </c>
      <c r="P3222" t="str">
        <f t="shared" si="152"/>
        <v>Adam Humphries13</v>
      </c>
    </row>
    <row r="3223" spans="1:16" x14ac:dyDescent="0.25">
      <c r="A3223">
        <v>10</v>
      </c>
      <c r="B3223" t="s">
        <v>1489</v>
      </c>
      <c r="C3223">
        <f>-2.05-9.29</f>
        <v>-11.34</v>
      </c>
      <c r="D3223">
        <v>3.62</v>
      </c>
      <c r="E3223" t="s">
        <v>24</v>
      </c>
      <c r="F3223" t="s">
        <v>87</v>
      </c>
      <c r="G3223">
        <v>9.2899999999999991</v>
      </c>
      <c r="H3223">
        <v>-2.0499999999999998</v>
      </c>
      <c r="I3223">
        <v>5.67</v>
      </c>
      <c r="J3223">
        <v>32.148899999999998</v>
      </c>
      <c r="K3223" t="str">
        <f>IFERROR(INDEX(Rosters!$C$2:$C$155,MATCH($B3223,Rosters!$B$2:$B$155,0)),"NA")</f>
        <v>NA</v>
      </c>
      <c r="L3223" t="str">
        <f t="shared" si="150"/>
        <v>NA10WR</v>
      </c>
      <c r="M3223">
        <f>COUNTIF(L$1:L3223,L3223)</f>
        <v>27</v>
      </c>
      <c r="N3223" t="str">
        <f t="shared" si="151"/>
        <v>NA10WR-27</v>
      </c>
      <c r="O3223">
        <f>COUNTIFS(F$1:F3223,F3223,A$1:A3223,A3223)</f>
        <v>71</v>
      </c>
      <c r="P3223" t="str">
        <f t="shared" si="152"/>
        <v>Chad Williams10</v>
      </c>
    </row>
    <row r="3224" spans="1:16" x14ac:dyDescent="0.25">
      <c r="A3224">
        <v>11</v>
      </c>
      <c r="B3224" t="s">
        <v>1387</v>
      </c>
      <c r="C3224" t="s">
        <v>7982</v>
      </c>
      <c r="D3224">
        <v>3.62</v>
      </c>
      <c r="E3224" t="s">
        <v>14</v>
      </c>
      <c r="F3224" t="s">
        <v>47</v>
      </c>
      <c r="G3224">
        <v>6.97</v>
      </c>
      <c r="H3224">
        <v>0.27</v>
      </c>
      <c r="I3224">
        <v>3.35</v>
      </c>
      <c r="J3224">
        <v>11.2225</v>
      </c>
      <c r="K3224" t="str">
        <f>IFERROR(INDEX(Rosters!$C$2:$C$155,MATCH($B3224,Rosters!$B$2:$B$155,0)),"NA")</f>
        <v>NA</v>
      </c>
      <c r="L3224" t="str">
        <f t="shared" si="150"/>
        <v>NA11RB</v>
      </c>
      <c r="M3224">
        <f>COUNTIF(L$1:L3224,L3224)</f>
        <v>19</v>
      </c>
      <c r="N3224" t="str">
        <f t="shared" si="151"/>
        <v>NA11RB-19</v>
      </c>
      <c r="O3224">
        <f>COUNTIFS(F$1:F3224,F3224,A$1:A3224,A3224)</f>
        <v>56</v>
      </c>
      <c r="P3224" t="str">
        <f t="shared" si="152"/>
        <v>Corey Clement11</v>
      </c>
    </row>
    <row r="3225" spans="1:16" x14ac:dyDescent="0.25">
      <c r="A3225">
        <v>16</v>
      </c>
      <c r="B3225" t="s">
        <v>260</v>
      </c>
      <c r="C3225" t="s">
        <v>7983</v>
      </c>
      <c r="D3225">
        <v>3.62</v>
      </c>
      <c r="E3225" t="s">
        <v>50</v>
      </c>
      <c r="F3225" t="s">
        <v>47</v>
      </c>
      <c r="G3225">
        <v>6.68</v>
      </c>
      <c r="H3225">
        <v>0.56000000000000005</v>
      </c>
      <c r="I3225">
        <v>3.06</v>
      </c>
      <c r="J3225">
        <v>9.3635999999999999</v>
      </c>
      <c r="K3225" t="str">
        <f>IFERROR(INDEX(Rosters!$C$2:$C$155,MATCH($B3225,Rosters!$B$2:$B$155,0)),"NA")</f>
        <v>NA</v>
      </c>
      <c r="L3225" t="str">
        <f t="shared" si="150"/>
        <v>NA16RB</v>
      </c>
      <c r="M3225">
        <f>COUNTIF(L$1:L3225,L3225)</f>
        <v>21</v>
      </c>
      <c r="N3225" t="str">
        <f t="shared" si="151"/>
        <v>NA16RB-21</v>
      </c>
      <c r="O3225">
        <f>COUNTIFS(F$1:F3225,F3225,A$1:A3225,A3225)</f>
        <v>67</v>
      </c>
      <c r="P3225" t="str">
        <f t="shared" si="152"/>
        <v>D'Onta Foreman16</v>
      </c>
    </row>
    <row r="3226" spans="1:16" x14ac:dyDescent="0.25">
      <c r="A3226">
        <v>13</v>
      </c>
      <c r="B3226" t="s">
        <v>378</v>
      </c>
      <c r="C3226" t="s">
        <v>7984</v>
      </c>
      <c r="D3226">
        <v>3.62</v>
      </c>
      <c r="E3226" t="s">
        <v>29</v>
      </c>
      <c r="F3226" t="s">
        <v>87</v>
      </c>
      <c r="G3226">
        <v>7.04</v>
      </c>
      <c r="H3226">
        <v>0.2</v>
      </c>
      <c r="I3226">
        <v>3.42</v>
      </c>
      <c r="J3226">
        <v>11.696400000000001</v>
      </c>
      <c r="K3226" t="str">
        <f>IFERROR(INDEX(Rosters!$C$2:$C$155,MATCH($B3226,Rosters!$B$2:$B$155,0)),"NA")</f>
        <v>NA</v>
      </c>
      <c r="L3226" t="str">
        <f t="shared" si="150"/>
        <v>NA13WR</v>
      </c>
      <c r="M3226">
        <f>COUNTIF(L$1:L3226,L3226)</f>
        <v>36</v>
      </c>
      <c r="N3226" t="str">
        <f t="shared" si="151"/>
        <v>NA13WR-36</v>
      </c>
      <c r="O3226">
        <f>COUNTIFS(F$1:F3226,F3226,A$1:A3226,A3226)</f>
        <v>88</v>
      </c>
      <c r="P3226" t="str">
        <f t="shared" si="152"/>
        <v>Jakeem Grant13</v>
      </c>
    </row>
    <row r="3227" spans="1:16" x14ac:dyDescent="0.25">
      <c r="A3227">
        <v>8</v>
      </c>
      <c r="B3227" t="s">
        <v>299</v>
      </c>
      <c r="C3227" t="s">
        <v>7985</v>
      </c>
      <c r="D3227">
        <v>3.61</v>
      </c>
      <c r="E3227" t="s">
        <v>52</v>
      </c>
      <c r="F3227" t="s">
        <v>114</v>
      </c>
      <c r="G3227">
        <v>5.93</v>
      </c>
      <c r="H3227">
        <v>1.29</v>
      </c>
      <c r="I3227">
        <v>2.3199999999999998</v>
      </c>
      <c r="J3227">
        <v>5.3823999999999996</v>
      </c>
      <c r="K3227" t="str">
        <f>IFERROR(INDEX(Rosters!$C$2:$C$155,MATCH($B3227,Rosters!$B$2:$B$155,0)),"NA")</f>
        <v>NA</v>
      </c>
      <c r="L3227" t="str">
        <f t="shared" si="150"/>
        <v>NA8TE</v>
      </c>
      <c r="M3227">
        <f>COUNTIF(L$1:L3227,L3227)</f>
        <v>10</v>
      </c>
      <c r="N3227" t="str">
        <f t="shared" si="151"/>
        <v>NA8TE-10</v>
      </c>
      <c r="O3227">
        <f>COUNTIFS(F$1:F3227,F3227,A$1:A3227,A3227)</f>
        <v>22</v>
      </c>
      <c r="P3227" t="str">
        <f t="shared" si="152"/>
        <v>Jesse James8</v>
      </c>
    </row>
    <row r="3228" spans="1:16" x14ac:dyDescent="0.25">
      <c r="A3228">
        <v>13</v>
      </c>
      <c r="B3228" t="s">
        <v>309</v>
      </c>
      <c r="C3228" t="s">
        <v>7986</v>
      </c>
      <c r="D3228">
        <v>3.6</v>
      </c>
      <c r="E3228" t="s">
        <v>14</v>
      </c>
      <c r="F3228" t="s">
        <v>114</v>
      </c>
      <c r="G3228">
        <v>6.89</v>
      </c>
      <c r="H3228">
        <v>0.31</v>
      </c>
      <c r="I3228">
        <v>3.29</v>
      </c>
      <c r="J3228">
        <v>10.8241</v>
      </c>
      <c r="K3228" t="str">
        <f>IFERROR(INDEX(Rosters!$C$2:$C$155,MATCH($B3228,Rosters!$B$2:$B$155,0)),"NA")</f>
        <v>NA</v>
      </c>
      <c r="L3228" t="str">
        <f t="shared" si="150"/>
        <v>NA13TE</v>
      </c>
      <c r="M3228">
        <f>COUNTIF(L$1:L3228,L3228)</f>
        <v>10</v>
      </c>
      <c r="N3228" t="str">
        <f t="shared" si="151"/>
        <v>NA13TE-10</v>
      </c>
      <c r="O3228">
        <f>COUNTIFS(F$1:F3228,F3228,A$1:A3228,A3228)</f>
        <v>24</v>
      </c>
      <c r="P3228" t="str">
        <f t="shared" si="152"/>
        <v>Geoff Swaim13</v>
      </c>
    </row>
    <row r="3229" spans="1:16" x14ac:dyDescent="0.25">
      <c r="A3229">
        <v>14</v>
      </c>
      <c r="B3229" t="s">
        <v>4899</v>
      </c>
      <c r="C3229" t="s">
        <v>7987</v>
      </c>
      <c r="D3229">
        <v>3.6</v>
      </c>
      <c r="E3229" t="s">
        <v>66</v>
      </c>
      <c r="F3229" t="s">
        <v>87</v>
      </c>
      <c r="G3229">
        <v>6.37</v>
      </c>
      <c r="H3229">
        <v>0.83</v>
      </c>
      <c r="I3229">
        <v>2.77</v>
      </c>
      <c r="J3229">
        <v>7.6729000000000003</v>
      </c>
      <c r="K3229" t="str">
        <f>IFERROR(INDEX(Rosters!$C$2:$C$155,MATCH($B3229,Rosters!$B$2:$B$155,0)),"NA")</f>
        <v>perry</v>
      </c>
      <c r="L3229" t="str">
        <f t="shared" si="150"/>
        <v>perry14WR</v>
      </c>
      <c r="M3229">
        <f>COUNTIF(L$1:L3229,L3229)</f>
        <v>6</v>
      </c>
      <c r="N3229" t="str">
        <f t="shared" si="151"/>
        <v>perry14WR-6</v>
      </c>
      <c r="O3229">
        <f>COUNTIFS(F$1:F3229,F3229,A$1:A3229,A3229)</f>
        <v>84</v>
      </c>
      <c r="P3229" t="str">
        <f t="shared" si="152"/>
        <v>Keke Coutee14</v>
      </c>
    </row>
    <row r="3230" spans="1:16" x14ac:dyDescent="0.25">
      <c r="A3230">
        <v>8</v>
      </c>
      <c r="B3230" t="s">
        <v>1404</v>
      </c>
      <c r="C3230" t="s">
        <v>7988</v>
      </c>
      <c r="D3230">
        <v>3.6</v>
      </c>
      <c r="E3230" t="s">
        <v>42</v>
      </c>
      <c r="F3230" t="s">
        <v>47</v>
      </c>
      <c r="G3230">
        <v>7.17</v>
      </c>
      <c r="H3230">
        <v>0.03</v>
      </c>
      <c r="I3230">
        <v>3.57</v>
      </c>
      <c r="J3230">
        <v>12.744899999999999</v>
      </c>
      <c r="K3230" t="str">
        <f>IFERROR(INDEX(Rosters!$C$2:$C$155,MATCH($B3230,Rosters!$B$2:$B$155,0)),"NA")</f>
        <v>NA</v>
      </c>
      <c r="L3230" t="str">
        <f t="shared" si="150"/>
        <v>NA8RB</v>
      </c>
      <c r="M3230">
        <f>COUNTIF(L$1:L3230,L3230)</f>
        <v>19</v>
      </c>
      <c r="N3230" t="str">
        <f t="shared" si="151"/>
        <v>NA8RB-19</v>
      </c>
      <c r="O3230">
        <f>COUNTIFS(F$1:F3230,F3230,A$1:A3230,A3230)</f>
        <v>58</v>
      </c>
      <c r="P3230" t="str">
        <f t="shared" si="152"/>
        <v>Spencer Ware8</v>
      </c>
    </row>
    <row r="3231" spans="1:16" x14ac:dyDescent="0.25">
      <c r="A3231">
        <v>10</v>
      </c>
      <c r="B3231" t="s">
        <v>209</v>
      </c>
      <c r="C3231" t="s">
        <v>7989</v>
      </c>
      <c r="D3231">
        <v>3.6</v>
      </c>
      <c r="E3231" t="s">
        <v>51</v>
      </c>
      <c r="F3231" t="s">
        <v>87</v>
      </c>
      <c r="G3231">
        <v>7.02</v>
      </c>
      <c r="H3231">
        <v>0.18</v>
      </c>
      <c r="I3231">
        <v>3.42</v>
      </c>
      <c r="J3231">
        <v>11.696400000000001</v>
      </c>
      <c r="K3231" t="str">
        <f>IFERROR(INDEX(Rosters!$C$2:$C$155,MATCH($B3231,Rosters!$B$2:$B$155,0)),"NA")</f>
        <v>NA</v>
      </c>
      <c r="L3231" t="str">
        <f t="shared" si="150"/>
        <v>NA10WR</v>
      </c>
      <c r="M3231">
        <f>COUNTIF(L$1:L3231,L3231)</f>
        <v>28</v>
      </c>
      <c r="N3231" t="str">
        <f t="shared" si="151"/>
        <v>NA10WR-28</v>
      </c>
      <c r="O3231">
        <f>COUNTIFS(F$1:F3231,F3231,A$1:A3231,A3231)</f>
        <v>72</v>
      </c>
      <c r="P3231" t="str">
        <f t="shared" si="152"/>
        <v>Torrey Smith10</v>
      </c>
    </row>
    <row r="3232" spans="1:16" x14ac:dyDescent="0.25">
      <c r="A3232">
        <v>15</v>
      </c>
      <c r="B3232" t="s">
        <v>373</v>
      </c>
      <c r="C3232" t="s">
        <v>7990</v>
      </c>
      <c r="D3232">
        <v>3.59</v>
      </c>
      <c r="E3232" t="s">
        <v>38</v>
      </c>
      <c r="F3232" t="s">
        <v>87</v>
      </c>
      <c r="G3232">
        <v>6.73</v>
      </c>
      <c r="H3232">
        <v>0.45</v>
      </c>
      <c r="I3232">
        <v>3.14</v>
      </c>
      <c r="J3232">
        <v>9.8596000000000004</v>
      </c>
      <c r="K3232" t="str">
        <f>IFERROR(INDEX(Rosters!$C$2:$C$155,MATCH($B3232,Rosters!$B$2:$B$155,0)),"NA")</f>
        <v>NA</v>
      </c>
      <c r="L3232" t="str">
        <f t="shared" si="150"/>
        <v>NA15WR</v>
      </c>
      <c r="M3232">
        <f>COUNTIF(L$1:L3232,L3232)</f>
        <v>36</v>
      </c>
      <c r="N3232" t="str">
        <f t="shared" si="151"/>
        <v>NA15WR-36</v>
      </c>
      <c r="O3232">
        <f>COUNTIFS(F$1:F3232,F3232,A$1:A3232,A3232)</f>
        <v>87</v>
      </c>
      <c r="P3232" t="str">
        <f t="shared" si="152"/>
        <v>Cody Latimer15</v>
      </c>
    </row>
    <row r="3233" spans="1:16" x14ac:dyDescent="0.25">
      <c r="A3233">
        <v>11</v>
      </c>
      <c r="B3233" t="s">
        <v>1391</v>
      </c>
      <c r="C3233">
        <f>-0.66-7.84</f>
        <v>-8.5</v>
      </c>
      <c r="D3233">
        <v>3.59</v>
      </c>
      <c r="E3233" t="s">
        <v>34</v>
      </c>
      <c r="F3233" t="s">
        <v>87</v>
      </c>
      <c r="G3233">
        <v>7.84</v>
      </c>
      <c r="H3233">
        <v>-0.66</v>
      </c>
      <c r="I3233">
        <v>4.25</v>
      </c>
      <c r="J3233">
        <v>18.0625</v>
      </c>
      <c r="K3233" t="str">
        <f>IFERROR(INDEX(Rosters!$C$2:$C$155,MATCH($B3233,Rosters!$B$2:$B$155,0)),"NA")</f>
        <v>NA</v>
      </c>
      <c r="L3233" t="str">
        <f t="shared" si="150"/>
        <v>NA11WR</v>
      </c>
      <c r="M3233">
        <f>COUNTIF(L$1:L3233,L3233)</f>
        <v>24</v>
      </c>
      <c r="N3233" t="str">
        <f t="shared" si="151"/>
        <v>NA11WR-24</v>
      </c>
      <c r="O3233">
        <f>COUNTIFS(F$1:F3233,F3233,A$1:A3233,A3233)</f>
        <v>69</v>
      </c>
      <c r="P3233" t="str">
        <f t="shared" si="152"/>
        <v>D.J. Moore11</v>
      </c>
    </row>
    <row r="3234" spans="1:16" x14ac:dyDescent="0.25">
      <c r="A3234">
        <v>16</v>
      </c>
      <c r="B3234" t="s">
        <v>175</v>
      </c>
      <c r="C3234" t="s">
        <v>7991</v>
      </c>
      <c r="D3234">
        <v>3.59</v>
      </c>
      <c r="E3234" t="s">
        <v>76</v>
      </c>
      <c r="F3234" t="s">
        <v>87</v>
      </c>
      <c r="G3234">
        <v>6.9</v>
      </c>
      <c r="H3234">
        <v>0.28000000000000003</v>
      </c>
      <c r="I3234">
        <v>3.31</v>
      </c>
      <c r="J3234">
        <v>10.956099999999999</v>
      </c>
      <c r="K3234" t="str">
        <f>IFERROR(INDEX(Rosters!$C$2:$C$155,MATCH($B3234,Rosters!$B$2:$B$155,0)),"NA")</f>
        <v>NA</v>
      </c>
      <c r="L3234" t="str">
        <f t="shared" si="150"/>
        <v>NA16WR</v>
      </c>
      <c r="M3234">
        <f>COUNTIF(L$1:L3234,L3234)</f>
        <v>32</v>
      </c>
      <c r="N3234" t="str">
        <f t="shared" si="151"/>
        <v>NA16WR-32</v>
      </c>
      <c r="O3234">
        <f>COUNTIFS(F$1:F3234,F3234,A$1:A3234,A3234)</f>
        <v>84</v>
      </c>
      <c r="P3234" t="str">
        <f t="shared" si="152"/>
        <v>DeVante Parker16</v>
      </c>
    </row>
    <row r="3235" spans="1:16" x14ac:dyDescent="0.25">
      <c r="A3235">
        <v>8</v>
      </c>
      <c r="B3235" t="s">
        <v>1439</v>
      </c>
      <c r="C3235" t="s">
        <v>7992</v>
      </c>
      <c r="D3235">
        <v>3.59</v>
      </c>
      <c r="E3235" t="s">
        <v>52</v>
      </c>
      <c r="F3235" t="s">
        <v>87</v>
      </c>
      <c r="G3235">
        <v>6.49</v>
      </c>
      <c r="H3235">
        <v>0.69</v>
      </c>
      <c r="I3235">
        <v>2.9</v>
      </c>
      <c r="J3235">
        <v>8.41</v>
      </c>
      <c r="K3235" t="str">
        <f>IFERROR(INDEX(Rosters!$C$2:$C$155,MATCH($B3235,Rosters!$B$2:$B$155,0)),"NA")</f>
        <v>NA</v>
      </c>
      <c r="L3235" t="str">
        <f t="shared" si="150"/>
        <v>NA8WR</v>
      </c>
      <c r="M3235">
        <f>COUNTIF(L$1:L3235,L3235)</f>
        <v>33</v>
      </c>
      <c r="N3235" t="str">
        <f t="shared" si="151"/>
        <v>NA8WR-33</v>
      </c>
      <c r="O3235">
        <f>COUNTIFS(F$1:F3235,F3235,A$1:A3235,A3235)</f>
        <v>80</v>
      </c>
      <c r="P3235" t="str">
        <f t="shared" si="152"/>
        <v>James Washington8</v>
      </c>
    </row>
    <row r="3236" spans="1:16" x14ac:dyDescent="0.25">
      <c r="A3236">
        <v>4</v>
      </c>
      <c r="B3236" t="s">
        <v>338</v>
      </c>
      <c r="C3236" t="s">
        <v>4582</v>
      </c>
      <c r="D3236">
        <v>3.59</v>
      </c>
      <c r="E3236" t="s">
        <v>58</v>
      </c>
      <c r="F3236" t="s">
        <v>87</v>
      </c>
      <c r="G3236">
        <v>6.94</v>
      </c>
      <c r="H3236">
        <v>0.24</v>
      </c>
      <c r="I3236">
        <v>3.35</v>
      </c>
      <c r="J3236">
        <v>11.2225</v>
      </c>
      <c r="K3236" t="str">
        <f>IFERROR(INDEX(Rosters!$C$2:$C$155,MATCH($B3236,Rosters!$B$2:$B$155,0)),"NA")</f>
        <v>NA</v>
      </c>
      <c r="L3236" t="str">
        <f t="shared" si="150"/>
        <v>NA4WR</v>
      </c>
      <c r="M3236">
        <f>COUNTIF(L$1:L3236,L3236)</f>
        <v>27</v>
      </c>
      <c r="N3236" t="str">
        <f t="shared" si="151"/>
        <v>NA4WR-27</v>
      </c>
      <c r="O3236">
        <f>COUNTIFS(F$1:F3236,F3236,A$1:A3236,A3236)</f>
        <v>75</v>
      </c>
      <c r="P3236" t="str">
        <f t="shared" si="152"/>
        <v>Jaron Brown4</v>
      </c>
    </row>
    <row r="3237" spans="1:16" x14ac:dyDescent="0.25">
      <c r="A3237">
        <v>16</v>
      </c>
      <c r="B3237" t="s">
        <v>243</v>
      </c>
      <c r="C3237" t="s">
        <v>7993</v>
      </c>
      <c r="D3237">
        <v>3.59</v>
      </c>
      <c r="E3237" t="s">
        <v>29</v>
      </c>
      <c r="F3237" t="s">
        <v>87</v>
      </c>
      <c r="G3237">
        <v>6.55</v>
      </c>
      <c r="H3237">
        <v>0.63</v>
      </c>
      <c r="I3237">
        <v>2.96</v>
      </c>
      <c r="J3237">
        <v>8.7615999999999996</v>
      </c>
      <c r="K3237" t="str">
        <f>IFERROR(INDEX(Rosters!$C$2:$C$155,MATCH($B3237,Rosters!$B$2:$B$155,0)),"NA")</f>
        <v>NA</v>
      </c>
      <c r="L3237" t="str">
        <f t="shared" si="150"/>
        <v>NA16WR</v>
      </c>
      <c r="M3237">
        <f>COUNTIF(L$1:L3237,L3237)</f>
        <v>33</v>
      </c>
      <c r="N3237" t="str">
        <f t="shared" si="151"/>
        <v>NA16WR-33</v>
      </c>
      <c r="O3237">
        <f>COUNTIFS(F$1:F3237,F3237,A$1:A3237,A3237)</f>
        <v>85</v>
      </c>
      <c r="P3237" t="str">
        <f t="shared" si="152"/>
        <v>Phillip Dorsett16</v>
      </c>
    </row>
    <row r="3238" spans="1:16" x14ac:dyDescent="0.25">
      <c r="A3238">
        <v>15</v>
      </c>
      <c r="B3238" t="s">
        <v>388</v>
      </c>
      <c r="C3238">
        <f>-0.1-7.28</f>
        <v>-7.38</v>
      </c>
      <c r="D3238">
        <v>3.59</v>
      </c>
      <c r="E3238" t="s">
        <v>66</v>
      </c>
      <c r="F3238" t="s">
        <v>47</v>
      </c>
      <c r="G3238">
        <v>7.28</v>
      </c>
      <c r="H3238">
        <v>-0.1</v>
      </c>
      <c r="I3238">
        <v>3.69</v>
      </c>
      <c r="J3238">
        <v>13.616099999999999</v>
      </c>
      <c r="K3238" t="str">
        <f>IFERROR(INDEX(Rosters!$C$2:$C$155,MATCH($B3238,Rosters!$B$2:$B$155,0)),"NA")</f>
        <v>NA</v>
      </c>
      <c r="L3238" t="str">
        <f t="shared" si="150"/>
        <v>NA15RB</v>
      </c>
      <c r="M3238">
        <f>COUNTIF(L$1:L3238,L3238)</f>
        <v>20</v>
      </c>
      <c r="N3238" t="str">
        <f t="shared" si="151"/>
        <v>NA15RB-20</v>
      </c>
      <c r="O3238">
        <f>COUNTIFS(F$1:F3238,F3238,A$1:A3238,A3238)</f>
        <v>66</v>
      </c>
      <c r="P3238" t="str">
        <f t="shared" si="152"/>
        <v>Rod Smith15</v>
      </c>
    </row>
    <row r="3239" spans="1:16" x14ac:dyDescent="0.25">
      <c r="A3239">
        <v>12</v>
      </c>
      <c r="B3239" t="s">
        <v>1319</v>
      </c>
      <c r="C3239" t="s">
        <v>7994</v>
      </c>
      <c r="D3239">
        <v>3.59</v>
      </c>
      <c r="E3239" t="s">
        <v>30</v>
      </c>
      <c r="F3239" t="s">
        <v>47</v>
      </c>
      <c r="G3239">
        <v>7.03</v>
      </c>
      <c r="H3239">
        <v>0.15</v>
      </c>
      <c r="I3239">
        <v>3.44</v>
      </c>
      <c r="J3239">
        <v>11.833600000000001</v>
      </c>
      <c r="K3239" t="str">
        <f>IFERROR(INDEX(Rosters!$C$2:$C$155,MATCH($B3239,Rosters!$B$2:$B$155,0)),"NA")</f>
        <v>NA</v>
      </c>
      <c r="L3239" t="str">
        <f t="shared" si="150"/>
        <v>NA12RB</v>
      </c>
      <c r="M3239">
        <f>COUNTIF(L$1:L3239,L3239)</f>
        <v>20</v>
      </c>
      <c r="N3239" t="str">
        <f t="shared" si="151"/>
        <v>NA12RB-20</v>
      </c>
      <c r="O3239">
        <f>COUNTIFS(F$1:F3239,F3239,A$1:A3239,A3239)</f>
        <v>64</v>
      </c>
      <c r="P3239" t="str">
        <f t="shared" si="152"/>
        <v>Ronald Jones12</v>
      </c>
    </row>
    <row r="3240" spans="1:16" x14ac:dyDescent="0.25">
      <c r="A3240">
        <v>9</v>
      </c>
      <c r="B3240" t="s">
        <v>1511</v>
      </c>
      <c r="C3240" t="s">
        <v>7995</v>
      </c>
      <c r="D3240">
        <v>3.59</v>
      </c>
      <c r="E3240" t="s">
        <v>22</v>
      </c>
      <c r="F3240" t="s">
        <v>87</v>
      </c>
      <c r="G3240">
        <v>6.67</v>
      </c>
      <c r="H3240">
        <v>0.51</v>
      </c>
      <c r="I3240">
        <v>3.08</v>
      </c>
      <c r="J3240">
        <v>9.4863999999999997</v>
      </c>
      <c r="K3240" t="str">
        <f>IFERROR(INDEX(Rosters!$C$2:$C$155,MATCH($B3240,Rosters!$B$2:$B$155,0)),"NA")</f>
        <v>NA</v>
      </c>
      <c r="L3240" t="str">
        <f t="shared" si="150"/>
        <v>NA9WR</v>
      </c>
      <c r="M3240">
        <f>COUNTIF(L$1:L3240,L3240)</f>
        <v>30</v>
      </c>
      <c r="N3240" t="str">
        <f t="shared" si="151"/>
        <v>NA9WR-30</v>
      </c>
      <c r="O3240">
        <f>COUNTIFS(F$1:F3240,F3240,A$1:A3240,A3240)</f>
        <v>72</v>
      </c>
      <c r="P3240" t="str">
        <f t="shared" si="152"/>
        <v>Tajae Sharpe9</v>
      </c>
    </row>
    <row r="3241" spans="1:16" x14ac:dyDescent="0.25">
      <c r="A3241">
        <v>4</v>
      </c>
      <c r="B3241" t="s">
        <v>267</v>
      </c>
      <c r="C3241" t="s">
        <v>4583</v>
      </c>
      <c r="D3241">
        <v>3.59</v>
      </c>
      <c r="E3241" t="s">
        <v>30</v>
      </c>
      <c r="F3241" t="s">
        <v>114</v>
      </c>
      <c r="G3241">
        <v>6.47</v>
      </c>
      <c r="H3241">
        <v>0.71</v>
      </c>
      <c r="I3241">
        <v>2.88</v>
      </c>
      <c r="J3241">
        <v>8.2943999999999996</v>
      </c>
      <c r="K3241" t="str">
        <f>IFERROR(INDEX(Rosters!$C$2:$C$155,MATCH($B3241,Rosters!$B$2:$B$155,0)),"NA")</f>
        <v>NA</v>
      </c>
      <c r="L3241" t="str">
        <f t="shared" si="150"/>
        <v>NA4TE</v>
      </c>
      <c r="M3241">
        <f>COUNTIF(L$1:L3241,L3241)</f>
        <v>11</v>
      </c>
      <c r="N3241" t="str">
        <f t="shared" si="151"/>
        <v>NA4TE-11</v>
      </c>
      <c r="O3241">
        <f>COUNTIFS(F$1:F3241,F3241,A$1:A3241,A3241)</f>
        <v>22</v>
      </c>
      <c r="P3241" t="str">
        <f t="shared" si="152"/>
        <v>Virgil Green4</v>
      </c>
    </row>
    <row r="3242" spans="1:16" x14ac:dyDescent="0.25">
      <c r="A3242">
        <v>10</v>
      </c>
      <c r="B3242" t="s">
        <v>2667</v>
      </c>
      <c r="C3242" t="s">
        <v>7996</v>
      </c>
      <c r="D3242">
        <v>3.58</v>
      </c>
      <c r="E3242" t="s">
        <v>32</v>
      </c>
      <c r="F3242" t="s">
        <v>114</v>
      </c>
      <c r="G3242">
        <v>7.06</v>
      </c>
      <c r="H3242">
        <v>0.1</v>
      </c>
      <c r="I3242">
        <v>3.48</v>
      </c>
      <c r="J3242">
        <v>12.1104</v>
      </c>
      <c r="K3242" t="str">
        <f>IFERROR(INDEX(Rosters!$C$2:$C$155,MATCH($B3242,Rosters!$B$2:$B$155,0)),"NA")</f>
        <v>NA</v>
      </c>
      <c r="L3242" t="str">
        <f t="shared" si="150"/>
        <v>NA10TE</v>
      </c>
      <c r="M3242">
        <f>COUNTIF(L$1:L3242,L3242)</f>
        <v>9</v>
      </c>
      <c r="N3242" t="str">
        <f t="shared" si="151"/>
        <v>NA10TE-9</v>
      </c>
      <c r="O3242">
        <f>COUNTIFS(F$1:F3242,F3242,A$1:A3242,A3242)</f>
        <v>22</v>
      </c>
      <c r="P3242" t="str">
        <f t="shared" si="152"/>
        <v>Antonio Gates10</v>
      </c>
    </row>
    <row r="3243" spans="1:16" x14ac:dyDescent="0.25">
      <c r="A3243">
        <v>14</v>
      </c>
      <c r="B3243" t="s">
        <v>305</v>
      </c>
      <c r="C3243" t="s">
        <v>7997</v>
      </c>
      <c r="D3243">
        <v>3.58</v>
      </c>
      <c r="E3243" t="s">
        <v>36</v>
      </c>
      <c r="F3243" t="s">
        <v>87</v>
      </c>
      <c r="G3243">
        <v>6.85</v>
      </c>
      <c r="H3243">
        <v>0.31</v>
      </c>
      <c r="I3243">
        <v>3.27</v>
      </c>
      <c r="J3243">
        <v>10.6929</v>
      </c>
      <c r="K3243" t="str">
        <f>IFERROR(INDEX(Rosters!$C$2:$C$155,MATCH($B3243,Rosters!$B$2:$B$155,0)),"NA")</f>
        <v>NA</v>
      </c>
      <c r="L3243" t="str">
        <f t="shared" si="150"/>
        <v>NA14WR</v>
      </c>
      <c r="M3243">
        <f>COUNTIF(L$1:L3243,L3243)</f>
        <v>32</v>
      </c>
      <c r="N3243" t="str">
        <f t="shared" si="151"/>
        <v>NA14WR-32</v>
      </c>
      <c r="O3243">
        <f>COUNTIFS(F$1:F3243,F3243,A$1:A3243,A3243)</f>
        <v>85</v>
      </c>
      <c r="P3243" t="str">
        <f t="shared" si="152"/>
        <v>Chester Rogers14</v>
      </c>
    </row>
    <row r="3244" spans="1:16" x14ac:dyDescent="0.25">
      <c r="A3244">
        <v>4</v>
      </c>
      <c r="B3244" t="s">
        <v>4206</v>
      </c>
      <c r="C3244" t="s">
        <v>4584</v>
      </c>
      <c r="D3244">
        <v>3.58</v>
      </c>
      <c r="E3244" t="s">
        <v>31</v>
      </c>
      <c r="F3244" t="s">
        <v>47</v>
      </c>
      <c r="G3244">
        <v>6.1</v>
      </c>
      <c r="H3244">
        <v>1.06</v>
      </c>
      <c r="I3244">
        <v>2.52</v>
      </c>
      <c r="J3244">
        <v>6.3503999999999996</v>
      </c>
      <c r="K3244" t="str">
        <f>IFERROR(INDEX(Rosters!$C$2:$C$155,MATCH($B3244,Rosters!$B$2:$B$155,0)),"NA")</f>
        <v>NA</v>
      </c>
      <c r="L3244" t="str">
        <f t="shared" si="150"/>
        <v>NA4RB</v>
      </c>
      <c r="M3244">
        <f>COUNTIF(L$1:L3244,L3244)</f>
        <v>17</v>
      </c>
      <c r="N3244" t="str">
        <f t="shared" si="151"/>
        <v>NA4RB-17</v>
      </c>
      <c r="O3244">
        <f>COUNTIFS(F$1:F3244,F3244,A$1:A3244,A3244)</f>
        <v>56</v>
      </c>
      <c r="P3244" t="str">
        <f t="shared" si="152"/>
        <v>Ito Smith4</v>
      </c>
    </row>
    <row r="3245" spans="1:16" x14ac:dyDescent="0.25">
      <c r="A3245">
        <v>6</v>
      </c>
      <c r="B3245" t="s">
        <v>182</v>
      </c>
      <c r="C3245" t="s">
        <v>7998</v>
      </c>
      <c r="D3245">
        <v>3.58</v>
      </c>
      <c r="E3245" t="s">
        <v>36</v>
      </c>
      <c r="F3245" t="s">
        <v>87</v>
      </c>
      <c r="G3245">
        <v>6.69</v>
      </c>
      <c r="H3245">
        <v>0.47</v>
      </c>
      <c r="I3245">
        <v>3.11</v>
      </c>
      <c r="J3245">
        <v>9.6721000000000004</v>
      </c>
      <c r="K3245" t="str">
        <f>IFERROR(INDEX(Rosters!$C$2:$C$155,MATCH($B3245,Rosters!$B$2:$B$155,0)),"NA")</f>
        <v>NA</v>
      </c>
      <c r="L3245" t="str">
        <f t="shared" si="150"/>
        <v>NA6WR</v>
      </c>
      <c r="M3245">
        <f>COUNTIF(L$1:L3245,L3245)</f>
        <v>31</v>
      </c>
      <c r="N3245" t="str">
        <f t="shared" si="151"/>
        <v>NA6WR-31</v>
      </c>
      <c r="O3245">
        <f>COUNTIFS(F$1:F3245,F3245,A$1:A3245,A3245)</f>
        <v>78</v>
      </c>
      <c r="P3245" t="str">
        <f t="shared" si="152"/>
        <v>Zay Jones6</v>
      </c>
    </row>
    <row r="3246" spans="1:16" x14ac:dyDescent="0.25">
      <c r="A3246">
        <v>16</v>
      </c>
      <c r="B3246" t="s">
        <v>305</v>
      </c>
      <c r="C3246" t="s">
        <v>7999</v>
      </c>
      <c r="D3246">
        <v>3.57</v>
      </c>
      <c r="E3246" t="s">
        <v>54</v>
      </c>
      <c r="F3246" t="s">
        <v>87</v>
      </c>
      <c r="G3246">
        <v>7.1</v>
      </c>
      <c r="H3246">
        <v>0.04</v>
      </c>
      <c r="I3246">
        <v>3.53</v>
      </c>
      <c r="J3246">
        <v>12.460900000000001</v>
      </c>
      <c r="K3246" t="str">
        <f>IFERROR(INDEX(Rosters!$C$2:$C$155,MATCH($B3246,Rosters!$B$2:$B$155,0)),"NA")</f>
        <v>NA</v>
      </c>
      <c r="L3246" t="str">
        <f t="shared" si="150"/>
        <v>NA16WR</v>
      </c>
      <c r="M3246">
        <f>COUNTIF(L$1:L3246,L3246)</f>
        <v>34</v>
      </c>
      <c r="N3246" t="str">
        <f t="shared" si="151"/>
        <v>NA16WR-34</v>
      </c>
      <c r="O3246">
        <f>COUNTIFS(F$1:F3246,F3246,A$1:A3246,A3246)</f>
        <v>86</v>
      </c>
      <c r="P3246" t="str">
        <f t="shared" si="152"/>
        <v>Chester Rogers16</v>
      </c>
    </row>
    <row r="3247" spans="1:16" x14ac:dyDescent="0.25">
      <c r="A3247">
        <v>16</v>
      </c>
      <c r="B3247" t="s">
        <v>141</v>
      </c>
      <c r="C3247" t="s">
        <v>8000</v>
      </c>
      <c r="D3247">
        <v>3.57</v>
      </c>
      <c r="E3247" t="s">
        <v>46</v>
      </c>
      <c r="F3247" t="s">
        <v>114</v>
      </c>
      <c r="G3247">
        <v>6.17</v>
      </c>
      <c r="H3247">
        <v>0.97</v>
      </c>
      <c r="I3247">
        <v>2.6</v>
      </c>
      <c r="J3247">
        <v>6.76</v>
      </c>
      <c r="K3247" t="str">
        <f>IFERROR(INDEX(Rosters!$C$2:$C$155,MATCH($B3247,Rosters!$B$2:$B$155,0)),"NA")</f>
        <v>aj</v>
      </c>
      <c r="L3247" t="str">
        <f t="shared" si="150"/>
        <v>aj16TE</v>
      </c>
      <c r="M3247">
        <f>COUNTIF(L$1:L3247,L3247)</f>
        <v>2</v>
      </c>
      <c r="N3247" t="str">
        <f t="shared" si="151"/>
        <v>aj16TE-2</v>
      </c>
      <c r="O3247">
        <f>COUNTIFS(F$1:F3247,F3247,A$1:A3247,A3247)</f>
        <v>24</v>
      </c>
      <c r="P3247" t="str">
        <f t="shared" si="152"/>
        <v>Greg Olsen16</v>
      </c>
    </row>
    <row r="3248" spans="1:16" x14ac:dyDescent="0.25">
      <c r="A3248">
        <v>5</v>
      </c>
      <c r="B3248" t="s">
        <v>388</v>
      </c>
      <c r="C3248">
        <f>-0.38-7.52</f>
        <v>-7.8999999999999995</v>
      </c>
      <c r="D3248">
        <v>3.57</v>
      </c>
      <c r="E3248" t="s">
        <v>36</v>
      </c>
      <c r="F3248" t="s">
        <v>47</v>
      </c>
      <c r="G3248">
        <v>7.52</v>
      </c>
      <c r="H3248">
        <v>-0.38</v>
      </c>
      <c r="I3248">
        <v>3.95</v>
      </c>
      <c r="J3248">
        <v>15.602499999999999</v>
      </c>
      <c r="K3248" t="str">
        <f>IFERROR(INDEX(Rosters!$C$2:$C$155,MATCH($B3248,Rosters!$B$2:$B$155,0)),"NA")</f>
        <v>NA</v>
      </c>
      <c r="L3248" t="str">
        <f t="shared" si="150"/>
        <v>NA5RB</v>
      </c>
      <c r="M3248">
        <f>COUNTIF(L$1:L3248,L3248)</f>
        <v>16</v>
      </c>
      <c r="N3248" t="str">
        <f t="shared" si="151"/>
        <v>NA5RB-16</v>
      </c>
      <c r="O3248">
        <f>COUNTIFS(F$1:F3248,F3248,A$1:A3248,A3248)</f>
        <v>59</v>
      </c>
      <c r="P3248" t="str">
        <f t="shared" si="152"/>
        <v>Rod Smith5</v>
      </c>
    </row>
    <row r="3249" spans="1:16" x14ac:dyDescent="0.25">
      <c r="A3249">
        <v>16</v>
      </c>
      <c r="B3249" t="s">
        <v>238</v>
      </c>
      <c r="C3249" t="s">
        <v>8001</v>
      </c>
      <c r="D3249">
        <v>3.57</v>
      </c>
      <c r="E3249" t="s">
        <v>42</v>
      </c>
      <c r="F3249" t="s">
        <v>87</v>
      </c>
      <c r="G3249">
        <v>6.32</v>
      </c>
      <c r="H3249">
        <v>0.82</v>
      </c>
      <c r="I3249">
        <v>2.75</v>
      </c>
      <c r="J3249">
        <v>7.5625</v>
      </c>
      <c r="K3249" t="str">
        <f>IFERROR(INDEX(Rosters!$C$2:$C$155,MATCH($B3249,Rosters!$B$2:$B$155,0)),"NA")</f>
        <v>NA</v>
      </c>
      <c r="L3249" t="str">
        <f t="shared" si="150"/>
        <v>NA16WR</v>
      </c>
      <c r="M3249">
        <f>COUNTIF(L$1:L3249,L3249)</f>
        <v>35</v>
      </c>
      <c r="N3249" t="str">
        <f t="shared" si="151"/>
        <v>NA16WR-35</v>
      </c>
      <c r="O3249">
        <f>COUNTIFS(F$1:F3249,F3249,A$1:A3249,A3249)</f>
        <v>87</v>
      </c>
      <c r="P3249" t="str">
        <f t="shared" si="152"/>
        <v>Seth Roberts16</v>
      </c>
    </row>
    <row r="3250" spans="1:16" x14ac:dyDescent="0.25">
      <c r="A3250">
        <v>3</v>
      </c>
      <c r="B3250" t="s">
        <v>209</v>
      </c>
      <c r="C3250" t="s">
        <v>3761</v>
      </c>
      <c r="D3250">
        <v>3.57</v>
      </c>
      <c r="E3250" t="s">
        <v>31</v>
      </c>
      <c r="F3250" t="s">
        <v>87</v>
      </c>
      <c r="G3250">
        <v>7.01</v>
      </c>
      <c r="H3250">
        <v>0.13</v>
      </c>
      <c r="I3250">
        <v>3.44</v>
      </c>
      <c r="J3250">
        <v>11.833600000000001</v>
      </c>
      <c r="K3250" t="str">
        <f>IFERROR(INDEX(Rosters!$C$2:$C$155,MATCH($B3250,Rosters!$B$2:$B$155,0)),"NA")</f>
        <v>NA</v>
      </c>
      <c r="L3250" t="str">
        <f t="shared" si="150"/>
        <v>NA3WR</v>
      </c>
      <c r="M3250">
        <f>COUNTIF(L$1:L3250,L3250)</f>
        <v>25</v>
      </c>
      <c r="N3250" t="str">
        <f t="shared" si="151"/>
        <v>NA3WR-25</v>
      </c>
      <c r="O3250">
        <f>COUNTIFS(F$1:F3250,F3250,A$1:A3250,A3250)</f>
        <v>72</v>
      </c>
      <c r="P3250" t="str">
        <f t="shared" si="152"/>
        <v>Torrey Smith3</v>
      </c>
    </row>
    <row r="3251" spans="1:16" x14ac:dyDescent="0.25">
      <c r="A3251">
        <v>5</v>
      </c>
      <c r="B3251" t="s">
        <v>247</v>
      </c>
      <c r="C3251" t="s">
        <v>8002</v>
      </c>
      <c r="D3251">
        <v>3.56</v>
      </c>
      <c r="E3251" t="s">
        <v>24</v>
      </c>
      <c r="F3251" t="s">
        <v>114</v>
      </c>
      <c r="G3251">
        <v>6.69</v>
      </c>
      <c r="H3251">
        <v>0.43</v>
      </c>
      <c r="I3251">
        <v>3.13</v>
      </c>
      <c r="J3251">
        <v>9.7969000000000008</v>
      </c>
      <c r="K3251" t="str">
        <f>IFERROR(INDEX(Rosters!$C$2:$C$155,MATCH($B3251,Rosters!$B$2:$B$155,0)),"NA")</f>
        <v>NA</v>
      </c>
      <c r="L3251" t="str">
        <f t="shared" si="150"/>
        <v>NA5TE</v>
      </c>
      <c r="M3251">
        <f>COUNTIF(L$1:L3251,L3251)</f>
        <v>10</v>
      </c>
      <c r="N3251" t="str">
        <f t="shared" si="151"/>
        <v>NA5TE-10</v>
      </c>
      <c r="O3251">
        <f>COUNTIFS(F$1:F3251,F3251,A$1:A3251,A3251)</f>
        <v>21</v>
      </c>
      <c r="P3251" t="str">
        <f t="shared" si="152"/>
        <v>Austin Seferian-Jenkins5</v>
      </c>
    </row>
    <row r="3252" spans="1:16" x14ac:dyDescent="0.25">
      <c r="A3252">
        <v>5</v>
      </c>
      <c r="B3252" t="s">
        <v>4899</v>
      </c>
      <c r="C3252" t="s">
        <v>3762</v>
      </c>
      <c r="D3252">
        <v>3.56</v>
      </c>
      <c r="E3252" t="s">
        <v>22</v>
      </c>
      <c r="F3252" t="s">
        <v>87</v>
      </c>
      <c r="G3252">
        <v>6.35</v>
      </c>
      <c r="H3252">
        <v>0.77</v>
      </c>
      <c r="I3252">
        <v>2.79</v>
      </c>
      <c r="J3252">
        <v>7.7840999999999996</v>
      </c>
      <c r="K3252" t="str">
        <f>IFERROR(INDEX(Rosters!$C$2:$C$155,MATCH($B3252,Rosters!$B$2:$B$155,0)),"NA")</f>
        <v>perry</v>
      </c>
      <c r="L3252" t="str">
        <f t="shared" si="150"/>
        <v>perry5WR</v>
      </c>
      <c r="M3252">
        <f>COUNTIF(L$1:L3252,L3252)</f>
        <v>6</v>
      </c>
      <c r="N3252" t="str">
        <f t="shared" si="151"/>
        <v>perry5WR-6</v>
      </c>
      <c r="O3252">
        <f>COUNTIFS(F$1:F3252,F3252,A$1:A3252,A3252)</f>
        <v>81</v>
      </c>
      <c r="P3252" t="str">
        <f t="shared" si="152"/>
        <v>Keke Coutee5</v>
      </c>
    </row>
    <row r="3253" spans="1:16" x14ac:dyDescent="0.25">
      <c r="A3253">
        <v>11</v>
      </c>
      <c r="B3253" t="s">
        <v>1483</v>
      </c>
      <c r="C3253" t="s">
        <v>8003</v>
      </c>
      <c r="D3253">
        <v>3.56</v>
      </c>
      <c r="E3253" t="s">
        <v>31</v>
      </c>
      <c r="F3253" t="s">
        <v>15</v>
      </c>
      <c r="G3253">
        <v>4.17</v>
      </c>
      <c r="H3253">
        <v>2.95</v>
      </c>
      <c r="I3253">
        <v>0.61</v>
      </c>
      <c r="J3253">
        <v>0.37209999999999999</v>
      </c>
      <c r="K3253" t="str">
        <f>IFERROR(INDEX(Rosters!$C$2:$C$155,MATCH($B3253,Rosters!$B$2:$B$155,0)),"NA")</f>
        <v>NA</v>
      </c>
      <c r="L3253" t="str">
        <f t="shared" si="150"/>
        <v>NA11QB</v>
      </c>
      <c r="M3253">
        <f>COUNTIF(L$1:L3253,L3253)</f>
        <v>12</v>
      </c>
      <c r="N3253" t="str">
        <f t="shared" si="151"/>
        <v>NA11QB-12</v>
      </c>
      <c r="O3253">
        <f>COUNTIFS(F$1:F3253,F3253,A$1:A3253,A3253)</f>
        <v>27</v>
      </c>
      <c r="P3253" t="str">
        <f t="shared" si="152"/>
        <v>Lamar Jackson11</v>
      </c>
    </row>
    <row r="3254" spans="1:16" x14ac:dyDescent="0.25">
      <c r="A3254">
        <v>5</v>
      </c>
      <c r="B3254" t="s">
        <v>292</v>
      </c>
      <c r="C3254" t="s">
        <v>8004</v>
      </c>
      <c r="D3254">
        <v>3.56</v>
      </c>
      <c r="E3254" t="s">
        <v>41</v>
      </c>
      <c r="F3254" t="s">
        <v>114</v>
      </c>
      <c r="G3254">
        <v>6.45</v>
      </c>
      <c r="H3254">
        <v>0.67</v>
      </c>
      <c r="I3254">
        <v>2.89</v>
      </c>
      <c r="J3254">
        <v>8.3521000000000001</v>
      </c>
      <c r="K3254" t="str">
        <f>IFERROR(INDEX(Rosters!$C$2:$C$155,MATCH($B3254,Rosters!$B$2:$B$155,0)),"NA")</f>
        <v>NA</v>
      </c>
      <c r="L3254" t="str">
        <f t="shared" si="150"/>
        <v>NA5TE</v>
      </c>
      <c r="M3254">
        <f>COUNTIF(L$1:L3254,L3254)</f>
        <v>11</v>
      </c>
      <c r="N3254" t="str">
        <f t="shared" si="151"/>
        <v>NA5TE-11</v>
      </c>
      <c r="O3254">
        <f>COUNTIFS(F$1:F3254,F3254,A$1:A3254,A3254)</f>
        <v>22</v>
      </c>
      <c r="P3254" t="str">
        <f t="shared" si="152"/>
        <v>Luke Willson5</v>
      </c>
    </row>
    <row r="3255" spans="1:16" x14ac:dyDescent="0.25">
      <c r="A3255">
        <v>16</v>
      </c>
      <c r="B3255" t="s">
        <v>1319</v>
      </c>
      <c r="C3255" t="s">
        <v>8005</v>
      </c>
      <c r="D3255">
        <v>3.56</v>
      </c>
      <c r="E3255" t="s">
        <v>22</v>
      </c>
      <c r="F3255" t="s">
        <v>47</v>
      </c>
      <c r="G3255">
        <v>7.1</v>
      </c>
      <c r="H3255">
        <v>0.02</v>
      </c>
      <c r="I3255">
        <v>3.54</v>
      </c>
      <c r="J3255">
        <v>12.531599999999999</v>
      </c>
      <c r="K3255" t="str">
        <f>IFERROR(INDEX(Rosters!$C$2:$C$155,MATCH($B3255,Rosters!$B$2:$B$155,0)),"NA")</f>
        <v>NA</v>
      </c>
      <c r="L3255" t="str">
        <f t="shared" si="150"/>
        <v>NA16RB</v>
      </c>
      <c r="M3255">
        <f>COUNTIF(L$1:L3255,L3255)</f>
        <v>22</v>
      </c>
      <c r="N3255" t="str">
        <f t="shared" si="151"/>
        <v>NA16RB-22</v>
      </c>
      <c r="O3255">
        <f>COUNTIFS(F$1:F3255,F3255,A$1:A3255,A3255)</f>
        <v>68</v>
      </c>
      <c r="P3255" t="str">
        <f t="shared" si="152"/>
        <v>Ronald Jones16</v>
      </c>
    </row>
    <row r="3256" spans="1:16" x14ac:dyDescent="0.25">
      <c r="A3256">
        <v>13</v>
      </c>
      <c r="B3256" t="s">
        <v>1540</v>
      </c>
      <c r="C3256" t="s">
        <v>8006</v>
      </c>
      <c r="D3256">
        <v>3.56</v>
      </c>
      <c r="E3256" t="s">
        <v>37</v>
      </c>
      <c r="F3256" t="s">
        <v>87</v>
      </c>
      <c r="G3256">
        <v>7.01</v>
      </c>
      <c r="H3256">
        <v>0.11</v>
      </c>
      <c r="I3256">
        <v>3.45</v>
      </c>
      <c r="J3256">
        <v>11.9025</v>
      </c>
      <c r="K3256" t="str">
        <f>IFERROR(INDEX(Rosters!$C$2:$C$155,MATCH($B3256,Rosters!$B$2:$B$155,0)),"NA")</f>
        <v>NA</v>
      </c>
      <c r="L3256" t="str">
        <f t="shared" si="150"/>
        <v>NA13WR</v>
      </c>
      <c r="M3256">
        <f>COUNTIF(L$1:L3256,L3256)</f>
        <v>37</v>
      </c>
      <c r="N3256" t="str">
        <f t="shared" si="151"/>
        <v>NA13WR-37</v>
      </c>
      <c r="O3256">
        <f>COUNTIFS(F$1:F3256,F3256,A$1:A3256,A3256)</f>
        <v>89</v>
      </c>
      <c r="P3256" t="str">
        <f t="shared" si="152"/>
        <v>Ryan Switzer13</v>
      </c>
    </row>
    <row r="3257" spans="1:16" x14ac:dyDescent="0.25">
      <c r="A3257">
        <v>14</v>
      </c>
      <c r="B3257" t="s">
        <v>152</v>
      </c>
      <c r="C3257" t="s">
        <v>8007</v>
      </c>
      <c r="D3257">
        <v>3.56</v>
      </c>
      <c r="E3257" t="s">
        <v>24</v>
      </c>
      <c r="F3257" t="s">
        <v>87</v>
      </c>
      <c r="G3257">
        <v>6.5</v>
      </c>
      <c r="H3257">
        <v>0.62</v>
      </c>
      <c r="I3257">
        <v>2.94</v>
      </c>
      <c r="J3257">
        <v>8.6435999999999993</v>
      </c>
      <c r="K3257" t="str">
        <f>IFERROR(INDEX(Rosters!$C$2:$C$155,MATCH($B3257,Rosters!$B$2:$B$155,0)),"NA")</f>
        <v>NA</v>
      </c>
      <c r="L3257" t="str">
        <f t="shared" si="150"/>
        <v>NA14WR</v>
      </c>
      <c r="M3257">
        <f>COUNTIF(L$1:L3257,L3257)</f>
        <v>33</v>
      </c>
      <c r="N3257" t="str">
        <f t="shared" si="151"/>
        <v>NA14WR-33</v>
      </c>
      <c r="O3257">
        <f>COUNTIFS(F$1:F3257,F3257,A$1:A3257,A3257)</f>
        <v>86</v>
      </c>
      <c r="P3257" t="str">
        <f t="shared" si="152"/>
        <v>Willie Snead14</v>
      </c>
    </row>
    <row r="3258" spans="1:16" x14ac:dyDescent="0.25">
      <c r="A3258">
        <v>17</v>
      </c>
      <c r="B3258" t="s">
        <v>242</v>
      </c>
      <c r="C3258" t="s">
        <v>4585</v>
      </c>
      <c r="D3258">
        <v>3.55</v>
      </c>
      <c r="E3258" t="s">
        <v>46</v>
      </c>
      <c r="F3258" t="s">
        <v>87</v>
      </c>
      <c r="G3258">
        <v>6.21</v>
      </c>
      <c r="H3258">
        <v>0.89</v>
      </c>
      <c r="I3258">
        <v>2.66</v>
      </c>
      <c r="J3258">
        <v>7.0755999999999997</v>
      </c>
      <c r="K3258" t="str">
        <f>IFERROR(INDEX(Rosters!$C$2:$C$155,MATCH($B3258,Rosters!$B$2:$B$155,0)),"NA")</f>
        <v>NA</v>
      </c>
      <c r="L3258" t="str">
        <f t="shared" si="150"/>
        <v>NA17WR</v>
      </c>
      <c r="M3258">
        <f>COUNTIF(L$1:L3258,L3258)</f>
        <v>37</v>
      </c>
      <c r="N3258" t="str">
        <f t="shared" si="151"/>
        <v>NA17WR-37</v>
      </c>
      <c r="O3258">
        <f>COUNTIFS(F$1:F3258,F3258,A$1:A3258,A3258)</f>
        <v>89</v>
      </c>
      <c r="P3258" t="str">
        <f t="shared" si="152"/>
        <v>Adam Humphries17</v>
      </c>
    </row>
    <row r="3259" spans="1:16" x14ac:dyDescent="0.25">
      <c r="A3259">
        <v>9</v>
      </c>
      <c r="B3259" t="s">
        <v>273</v>
      </c>
      <c r="C3259" t="s">
        <v>8008</v>
      </c>
      <c r="D3259">
        <v>3.55</v>
      </c>
      <c r="E3259" t="s">
        <v>73</v>
      </c>
      <c r="F3259" t="s">
        <v>87</v>
      </c>
      <c r="G3259">
        <v>6.34</v>
      </c>
      <c r="H3259">
        <v>0.76</v>
      </c>
      <c r="I3259">
        <v>2.79</v>
      </c>
      <c r="J3259">
        <v>7.7840999999999996</v>
      </c>
      <c r="K3259" t="str">
        <f>IFERROR(INDEX(Rosters!$C$2:$C$155,MATCH($B3259,Rosters!$B$2:$B$155,0)),"NA")</f>
        <v>NA</v>
      </c>
      <c r="L3259" t="str">
        <f t="shared" si="150"/>
        <v>NA9WR</v>
      </c>
      <c r="M3259">
        <f>COUNTIF(L$1:L3259,L3259)</f>
        <v>31</v>
      </c>
      <c r="N3259" t="str">
        <f t="shared" si="151"/>
        <v>NA9WR-31</v>
      </c>
      <c r="O3259">
        <f>COUNTIFS(F$1:F3259,F3259,A$1:A3259,A3259)</f>
        <v>73</v>
      </c>
      <c r="P3259" t="str">
        <f t="shared" si="152"/>
        <v>Albert Wilson9</v>
      </c>
    </row>
    <row r="3260" spans="1:16" x14ac:dyDescent="0.25">
      <c r="A3260">
        <v>8</v>
      </c>
      <c r="B3260" t="s">
        <v>373</v>
      </c>
      <c r="C3260" t="s">
        <v>8009</v>
      </c>
      <c r="D3260">
        <v>3.55</v>
      </c>
      <c r="E3260" t="s">
        <v>60</v>
      </c>
      <c r="F3260" t="s">
        <v>87</v>
      </c>
      <c r="G3260">
        <v>6.66</v>
      </c>
      <c r="H3260">
        <v>0.44</v>
      </c>
      <c r="I3260">
        <v>3.11</v>
      </c>
      <c r="J3260">
        <v>9.6721000000000004</v>
      </c>
      <c r="K3260" t="str">
        <f>IFERROR(INDEX(Rosters!$C$2:$C$155,MATCH($B3260,Rosters!$B$2:$B$155,0)),"NA")</f>
        <v>NA</v>
      </c>
      <c r="L3260" t="str">
        <f t="shared" si="150"/>
        <v>NA8WR</v>
      </c>
      <c r="M3260">
        <f>COUNTIF(L$1:L3260,L3260)</f>
        <v>34</v>
      </c>
      <c r="N3260" t="str">
        <f t="shared" si="151"/>
        <v>NA8WR-34</v>
      </c>
      <c r="O3260">
        <f>COUNTIFS(F$1:F3260,F3260,A$1:A3260,A3260)</f>
        <v>81</v>
      </c>
      <c r="P3260" t="str">
        <f t="shared" si="152"/>
        <v>Cody Latimer8</v>
      </c>
    </row>
    <row r="3261" spans="1:16" x14ac:dyDescent="0.25">
      <c r="A3261">
        <v>16</v>
      </c>
      <c r="B3261" t="s">
        <v>1391</v>
      </c>
      <c r="C3261">
        <f>-0.34-7.44</f>
        <v>-7.78</v>
      </c>
      <c r="D3261">
        <v>3.55</v>
      </c>
      <c r="E3261" t="s">
        <v>46</v>
      </c>
      <c r="F3261" t="s">
        <v>87</v>
      </c>
      <c r="G3261">
        <v>7.44</v>
      </c>
      <c r="H3261">
        <v>-0.34</v>
      </c>
      <c r="I3261">
        <v>3.89</v>
      </c>
      <c r="J3261">
        <v>15.132099999999999</v>
      </c>
      <c r="K3261" t="str">
        <f>IFERROR(INDEX(Rosters!$C$2:$C$155,MATCH($B3261,Rosters!$B$2:$B$155,0)),"NA")</f>
        <v>NA</v>
      </c>
      <c r="L3261" t="str">
        <f t="shared" si="150"/>
        <v>NA16WR</v>
      </c>
      <c r="M3261">
        <f>COUNTIF(L$1:L3261,L3261)</f>
        <v>36</v>
      </c>
      <c r="N3261" t="str">
        <f t="shared" si="151"/>
        <v>NA16WR-36</v>
      </c>
      <c r="O3261">
        <f>COUNTIFS(F$1:F3261,F3261,A$1:A3261,A3261)</f>
        <v>88</v>
      </c>
      <c r="P3261" t="str">
        <f t="shared" si="152"/>
        <v>D.J. Moore16</v>
      </c>
    </row>
    <row r="3262" spans="1:16" x14ac:dyDescent="0.25">
      <c r="A3262">
        <v>17</v>
      </c>
      <c r="B3262" t="s">
        <v>296</v>
      </c>
      <c r="C3262" t="s">
        <v>8010</v>
      </c>
      <c r="D3262">
        <v>3.55</v>
      </c>
      <c r="E3262" t="s">
        <v>14</v>
      </c>
      <c r="F3262" t="s">
        <v>87</v>
      </c>
      <c r="G3262">
        <v>6.33</v>
      </c>
      <c r="H3262">
        <v>0.77</v>
      </c>
      <c r="I3262">
        <v>2.78</v>
      </c>
      <c r="J3262">
        <v>7.7283999999999997</v>
      </c>
      <c r="K3262" t="str">
        <f>IFERROR(INDEX(Rosters!$C$2:$C$155,MATCH($B3262,Rosters!$B$2:$B$155,0)),"NA")</f>
        <v>NA</v>
      </c>
      <c r="L3262" t="str">
        <f t="shared" si="150"/>
        <v>NA17WR</v>
      </c>
      <c r="M3262">
        <f>COUNTIF(L$1:L3262,L3262)</f>
        <v>38</v>
      </c>
      <c r="N3262" t="str">
        <f t="shared" si="151"/>
        <v>NA17WR-38</v>
      </c>
      <c r="O3262">
        <f>COUNTIFS(F$1:F3262,F3262,A$1:A3262,A3262)</f>
        <v>90</v>
      </c>
      <c r="P3262" t="str">
        <f t="shared" si="152"/>
        <v>Jarius Wright17</v>
      </c>
    </row>
    <row r="3263" spans="1:16" x14ac:dyDescent="0.25">
      <c r="A3263">
        <v>14</v>
      </c>
      <c r="B3263" t="s">
        <v>1381</v>
      </c>
      <c r="C3263">
        <f>-0.25-7.35</f>
        <v>-7.6</v>
      </c>
      <c r="D3263">
        <v>3.55</v>
      </c>
      <c r="E3263" t="s">
        <v>34</v>
      </c>
      <c r="F3263" t="s">
        <v>114</v>
      </c>
      <c r="G3263">
        <v>7.35</v>
      </c>
      <c r="H3263">
        <v>-0.25</v>
      </c>
      <c r="I3263">
        <v>3.8</v>
      </c>
      <c r="J3263">
        <v>14.44</v>
      </c>
      <c r="K3263" t="str">
        <f>IFERROR(INDEX(Rosters!$C$2:$C$155,MATCH($B3263,Rosters!$B$2:$B$155,0)),"NA")</f>
        <v>NA</v>
      </c>
      <c r="L3263" t="str">
        <f t="shared" si="150"/>
        <v>NA14TE</v>
      </c>
      <c r="M3263">
        <f>COUNTIF(L$1:L3263,L3263)</f>
        <v>11</v>
      </c>
      <c r="N3263" t="str">
        <f t="shared" si="151"/>
        <v>NA14TE-11</v>
      </c>
      <c r="O3263">
        <f>COUNTIFS(F$1:F3263,F3263,A$1:A3263,A3263)</f>
        <v>25</v>
      </c>
      <c r="P3263" t="str">
        <f t="shared" si="152"/>
        <v>Ricky Seals-Jones14</v>
      </c>
    </row>
    <row r="3264" spans="1:16" x14ac:dyDescent="0.25">
      <c r="A3264">
        <v>12</v>
      </c>
      <c r="B3264" t="s">
        <v>305</v>
      </c>
      <c r="C3264" t="s">
        <v>8011</v>
      </c>
      <c r="D3264">
        <v>3.54</v>
      </c>
      <c r="E3264" t="s">
        <v>19</v>
      </c>
      <c r="F3264" t="s">
        <v>87</v>
      </c>
      <c r="G3264">
        <v>7.08</v>
      </c>
      <c r="H3264">
        <v>0</v>
      </c>
      <c r="I3264">
        <v>3.54</v>
      </c>
      <c r="J3264">
        <v>12.531599999999999</v>
      </c>
      <c r="K3264" t="str">
        <f>IFERROR(INDEX(Rosters!$C$2:$C$155,MATCH($B3264,Rosters!$B$2:$B$155,0)),"NA")</f>
        <v>NA</v>
      </c>
      <c r="L3264" t="str">
        <f t="shared" si="150"/>
        <v>NA12WR</v>
      </c>
      <c r="M3264">
        <f>COUNTIF(L$1:L3264,L3264)</f>
        <v>38</v>
      </c>
      <c r="N3264" t="str">
        <f t="shared" si="151"/>
        <v>NA12WR-38</v>
      </c>
      <c r="O3264">
        <f>COUNTIFS(F$1:F3264,F3264,A$1:A3264,A3264)</f>
        <v>85</v>
      </c>
      <c r="P3264" t="str">
        <f t="shared" si="152"/>
        <v>Chester Rogers12</v>
      </c>
    </row>
    <row r="3265" spans="1:16" x14ac:dyDescent="0.25">
      <c r="A3265">
        <v>4</v>
      </c>
      <c r="B3265" t="s">
        <v>1124</v>
      </c>
      <c r="C3265" t="s">
        <v>4586</v>
      </c>
      <c r="D3265">
        <v>3.54</v>
      </c>
      <c r="E3265" t="s">
        <v>42</v>
      </c>
      <c r="F3265" t="s">
        <v>87</v>
      </c>
      <c r="G3265">
        <v>7.07</v>
      </c>
      <c r="H3265">
        <v>0.01</v>
      </c>
      <c r="I3265">
        <v>3.53</v>
      </c>
      <c r="J3265">
        <v>12.460900000000001</v>
      </c>
      <c r="K3265" t="str">
        <f>IFERROR(INDEX(Rosters!$C$2:$C$155,MATCH($B3265,Rosters!$B$2:$B$155,0)),"NA")</f>
        <v>NA</v>
      </c>
      <c r="L3265" t="str">
        <f t="shared" si="150"/>
        <v>NA4WR</v>
      </c>
      <c r="M3265">
        <f>COUNTIF(L$1:L3265,L3265)</f>
        <v>28</v>
      </c>
      <c r="N3265" t="str">
        <f t="shared" si="151"/>
        <v>NA4WR-28</v>
      </c>
      <c r="O3265">
        <f>COUNTIFS(F$1:F3265,F3265,A$1:A3265,A3265)</f>
        <v>76</v>
      </c>
      <c r="P3265" t="str">
        <f t="shared" si="152"/>
        <v>Chris Conley4</v>
      </c>
    </row>
    <row r="3266" spans="1:16" x14ac:dyDescent="0.25">
      <c r="A3266">
        <v>13</v>
      </c>
      <c r="B3266" t="s">
        <v>1478</v>
      </c>
      <c r="C3266" t="s">
        <v>8012</v>
      </c>
      <c r="D3266">
        <v>3.54</v>
      </c>
      <c r="E3266" t="s">
        <v>60</v>
      </c>
      <c r="F3266" t="s">
        <v>114</v>
      </c>
      <c r="G3266">
        <v>6.99</v>
      </c>
      <c r="H3266">
        <v>0.09</v>
      </c>
      <c r="I3266">
        <v>3.45</v>
      </c>
      <c r="J3266">
        <v>11.9025</v>
      </c>
      <c r="K3266" t="str">
        <f>IFERROR(INDEX(Rosters!$C$2:$C$155,MATCH($B3266,Rosters!$B$2:$B$155,0)),"NA")</f>
        <v>NA</v>
      </c>
      <c r="L3266" t="str">
        <f t="shared" si="150"/>
        <v>NA13TE</v>
      </c>
      <c r="M3266">
        <f>COUNTIF(L$1:L3266,L3266)</f>
        <v>11</v>
      </c>
      <c r="N3266" t="str">
        <f t="shared" si="151"/>
        <v>NA13TE-11</v>
      </c>
      <c r="O3266">
        <f>COUNTIFS(F$1:F3266,F3266,A$1:A3266,A3266)</f>
        <v>25</v>
      </c>
      <c r="P3266" t="str">
        <f t="shared" si="152"/>
        <v>Dallas Goedert13</v>
      </c>
    </row>
    <row r="3267" spans="1:16" x14ac:dyDescent="0.25">
      <c r="A3267">
        <v>3</v>
      </c>
      <c r="B3267" t="s">
        <v>194</v>
      </c>
      <c r="C3267" t="s">
        <v>3763</v>
      </c>
      <c r="D3267">
        <v>3.54</v>
      </c>
      <c r="E3267" t="s">
        <v>14</v>
      </c>
      <c r="F3267" t="s">
        <v>87</v>
      </c>
      <c r="G3267">
        <v>5.91</v>
      </c>
      <c r="H3267">
        <v>1.17</v>
      </c>
      <c r="I3267">
        <v>2.37</v>
      </c>
      <c r="J3267">
        <v>5.6169000000000002</v>
      </c>
      <c r="K3267" t="str">
        <f>IFERROR(INDEX(Rosters!$C$2:$C$155,MATCH($B3267,Rosters!$B$2:$B$155,0)),"NA")</f>
        <v>NA</v>
      </c>
      <c r="L3267" t="str">
        <f t="shared" ref="L3267:L3330" si="153">K3267&amp;A3267&amp;F3267</f>
        <v>NA3WR</v>
      </c>
      <c r="M3267">
        <f>COUNTIF(L$1:L3267,L3267)</f>
        <v>26</v>
      </c>
      <c r="N3267" t="str">
        <f t="shared" ref="N3267:N3330" si="154">L3267&amp;"-"&amp;M3267</f>
        <v>NA3WR-26</v>
      </c>
      <c r="O3267">
        <f>COUNTIFS(F$1:F3267,F3267,A$1:A3267,A3267)</f>
        <v>73</v>
      </c>
      <c r="P3267" t="str">
        <f t="shared" ref="P3267:P3330" si="155">B3267&amp;A3267</f>
        <v>Mohamed Sanu3</v>
      </c>
    </row>
    <row r="3268" spans="1:16" x14ac:dyDescent="0.25">
      <c r="A3268">
        <v>14</v>
      </c>
      <c r="B3268" t="s">
        <v>247</v>
      </c>
      <c r="C3268" t="s">
        <v>8013</v>
      </c>
      <c r="D3268">
        <v>3.53</v>
      </c>
      <c r="E3268" t="s">
        <v>38</v>
      </c>
      <c r="F3268" t="s">
        <v>114</v>
      </c>
      <c r="G3268">
        <v>6.38</v>
      </c>
      <c r="H3268">
        <v>0.68</v>
      </c>
      <c r="I3268">
        <v>2.85</v>
      </c>
      <c r="J3268">
        <v>8.1225000000000005</v>
      </c>
      <c r="K3268" t="str">
        <f>IFERROR(INDEX(Rosters!$C$2:$C$155,MATCH($B3268,Rosters!$B$2:$B$155,0)),"NA")</f>
        <v>NA</v>
      </c>
      <c r="L3268" t="str">
        <f t="shared" si="153"/>
        <v>NA14TE</v>
      </c>
      <c r="M3268">
        <f>COUNTIF(L$1:L3268,L3268)</f>
        <v>12</v>
      </c>
      <c r="N3268" t="str">
        <f t="shared" si="154"/>
        <v>NA14TE-12</v>
      </c>
      <c r="O3268">
        <f>COUNTIFS(F$1:F3268,F3268,A$1:A3268,A3268)</f>
        <v>26</v>
      </c>
      <c r="P3268" t="str">
        <f t="shared" si="155"/>
        <v>Austin Seferian-Jenkins14</v>
      </c>
    </row>
    <row r="3269" spans="1:16" x14ac:dyDescent="0.25">
      <c r="A3269">
        <v>7</v>
      </c>
      <c r="B3269" t="s">
        <v>1396</v>
      </c>
      <c r="C3269" t="s">
        <v>8014</v>
      </c>
      <c r="D3269">
        <v>3.53</v>
      </c>
      <c r="E3269" t="s">
        <v>52</v>
      </c>
      <c r="F3269" t="s">
        <v>87</v>
      </c>
      <c r="G3269">
        <v>6.27</v>
      </c>
      <c r="H3269">
        <v>0.79</v>
      </c>
      <c r="I3269">
        <v>2.74</v>
      </c>
      <c r="J3269">
        <v>7.5076000000000001</v>
      </c>
      <c r="K3269" t="str">
        <f>IFERROR(INDEX(Rosters!$C$2:$C$155,MATCH($B3269,Rosters!$B$2:$B$155,0)),"NA")</f>
        <v>NA</v>
      </c>
      <c r="L3269" t="str">
        <f t="shared" si="153"/>
        <v>NA7WR</v>
      </c>
      <c r="M3269">
        <f>COUNTIF(L$1:L3269,L3269)</f>
        <v>31</v>
      </c>
      <c r="N3269" t="str">
        <f t="shared" si="154"/>
        <v>NA7WR-31</v>
      </c>
      <c r="O3269">
        <f>COUNTIFS(F$1:F3269,F3269,A$1:A3269,A3269)</f>
        <v>75</v>
      </c>
      <c r="P3269" t="str">
        <f t="shared" si="155"/>
        <v>Chris Godwin7</v>
      </c>
    </row>
    <row r="3270" spans="1:16" x14ac:dyDescent="0.25">
      <c r="A3270">
        <v>6</v>
      </c>
      <c r="B3270" t="s">
        <v>142</v>
      </c>
      <c r="C3270" t="s">
        <v>8015</v>
      </c>
      <c r="D3270">
        <v>3.53</v>
      </c>
      <c r="E3270" t="s">
        <v>46</v>
      </c>
      <c r="F3270" t="s">
        <v>47</v>
      </c>
      <c r="G3270">
        <v>6.88</v>
      </c>
      <c r="H3270">
        <v>0.18</v>
      </c>
      <c r="I3270">
        <v>3.35</v>
      </c>
      <c r="J3270">
        <v>11.2225</v>
      </c>
      <c r="K3270" t="str">
        <f>IFERROR(INDEX(Rosters!$C$2:$C$155,MATCH($B3270,Rosters!$B$2:$B$155,0)),"NA")</f>
        <v>NA</v>
      </c>
      <c r="L3270" t="str">
        <f t="shared" si="153"/>
        <v>NA6RB</v>
      </c>
      <c r="M3270">
        <f>COUNTIF(L$1:L3270,L3270)</f>
        <v>21</v>
      </c>
      <c r="N3270" t="str">
        <f t="shared" si="154"/>
        <v>NA6RB-21</v>
      </c>
      <c r="O3270">
        <f>COUNTIFS(F$1:F3270,F3270,A$1:A3270,A3270)</f>
        <v>62</v>
      </c>
      <c r="P3270" t="str">
        <f t="shared" si="155"/>
        <v>Jacquizz Rodgers6</v>
      </c>
    </row>
    <row r="3271" spans="1:16" x14ac:dyDescent="0.25">
      <c r="A3271">
        <v>2</v>
      </c>
      <c r="B3271" t="s">
        <v>152</v>
      </c>
      <c r="C3271" t="s">
        <v>1459</v>
      </c>
      <c r="D3271">
        <v>3.53</v>
      </c>
      <c r="E3271" t="s">
        <v>31</v>
      </c>
      <c r="F3271" t="s">
        <v>87</v>
      </c>
      <c r="G3271">
        <v>6.97</v>
      </c>
      <c r="H3271">
        <v>0.09</v>
      </c>
      <c r="I3271">
        <v>3.44</v>
      </c>
      <c r="J3271">
        <v>11.833600000000001</v>
      </c>
      <c r="K3271" t="str">
        <f>IFERROR(INDEX(Rosters!$C$2:$C$155,MATCH($B3271,Rosters!$B$2:$B$155,0)),"NA")</f>
        <v>NA</v>
      </c>
      <c r="L3271" t="str">
        <f t="shared" si="153"/>
        <v>NA2WR</v>
      </c>
      <c r="M3271">
        <f>COUNTIF(L$1:L3271,L3271)</f>
        <v>31</v>
      </c>
      <c r="N3271" t="str">
        <f t="shared" si="154"/>
        <v>NA2WR-31</v>
      </c>
      <c r="O3271">
        <f>COUNTIFS(F$1:F3271,F3271,A$1:A3271,A3271)</f>
        <v>78</v>
      </c>
      <c r="P3271" t="str">
        <f t="shared" si="155"/>
        <v>Willie Snead2</v>
      </c>
    </row>
    <row r="3272" spans="1:16" x14ac:dyDescent="0.25">
      <c r="A3272">
        <v>15</v>
      </c>
      <c r="B3272" t="s">
        <v>159</v>
      </c>
      <c r="C3272" t="s">
        <v>8016</v>
      </c>
      <c r="D3272">
        <v>3.52</v>
      </c>
      <c r="E3272" t="s">
        <v>51</v>
      </c>
      <c r="F3272" t="s">
        <v>87</v>
      </c>
      <c r="G3272">
        <v>6.5</v>
      </c>
      <c r="H3272">
        <v>0.54</v>
      </c>
      <c r="I3272">
        <v>2.98</v>
      </c>
      <c r="J3272">
        <v>8.8803999999999998</v>
      </c>
      <c r="K3272" t="str">
        <f>IFERROR(INDEX(Rosters!$C$2:$C$155,MATCH($B3272,Rosters!$B$2:$B$155,0)),"NA")</f>
        <v>perry</v>
      </c>
      <c r="L3272" t="str">
        <f t="shared" si="153"/>
        <v>perry15WR</v>
      </c>
      <c r="M3272">
        <f>COUNTIF(L$1:L3272,L3272)</f>
        <v>5</v>
      </c>
      <c r="N3272" t="str">
        <f t="shared" si="154"/>
        <v>perry15WR-5</v>
      </c>
      <c r="O3272">
        <f>COUNTIFS(F$1:F3272,F3272,A$1:A3272,A3272)</f>
        <v>88</v>
      </c>
      <c r="P3272" t="str">
        <f t="shared" si="155"/>
        <v>Chris Hogan15</v>
      </c>
    </row>
    <row r="3273" spans="1:16" x14ac:dyDescent="0.25">
      <c r="A3273">
        <v>3</v>
      </c>
      <c r="B3273" t="s">
        <v>373</v>
      </c>
      <c r="C3273" t="s">
        <v>3764</v>
      </c>
      <c r="D3273">
        <v>3.52</v>
      </c>
      <c r="E3273" t="s">
        <v>36</v>
      </c>
      <c r="F3273" t="s">
        <v>87</v>
      </c>
      <c r="G3273">
        <v>6.97</v>
      </c>
      <c r="H3273">
        <v>7.0000000000000007E-2</v>
      </c>
      <c r="I3273">
        <v>3.45</v>
      </c>
      <c r="J3273">
        <v>11.9025</v>
      </c>
      <c r="K3273" t="str">
        <f>IFERROR(INDEX(Rosters!$C$2:$C$155,MATCH($B3273,Rosters!$B$2:$B$155,0)),"NA")</f>
        <v>NA</v>
      </c>
      <c r="L3273" t="str">
        <f t="shared" si="153"/>
        <v>NA3WR</v>
      </c>
      <c r="M3273">
        <f>COUNTIF(L$1:L3273,L3273)</f>
        <v>27</v>
      </c>
      <c r="N3273" t="str">
        <f t="shared" si="154"/>
        <v>NA3WR-27</v>
      </c>
      <c r="O3273">
        <f>COUNTIFS(F$1:F3273,F3273,A$1:A3273,A3273)</f>
        <v>74</v>
      </c>
      <c r="P3273" t="str">
        <f t="shared" si="155"/>
        <v>Cody Latimer3</v>
      </c>
    </row>
    <row r="3274" spans="1:16" x14ac:dyDescent="0.25">
      <c r="A3274">
        <v>15</v>
      </c>
      <c r="B3274" t="s">
        <v>309</v>
      </c>
      <c r="C3274" t="s">
        <v>8017</v>
      </c>
      <c r="D3274">
        <v>3.52</v>
      </c>
      <c r="E3274" t="s">
        <v>66</v>
      </c>
      <c r="F3274" t="s">
        <v>114</v>
      </c>
      <c r="G3274">
        <v>6.93</v>
      </c>
      <c r="H3274">
        <v>0.11</v>
      </c>
      <c r="I3274">
        <v>3.41</v>
      </c>
      <c r="J3274">
        <v>11.6281</v>
      </c>
      <c r="K3274" t="str">
        <f>IFERROR(INDEX(Rosters!$C$2:$C$155,MATCH($B3274,Rosters!$B$2:$B$155,0)),"NA")</f>
        <v>NA</v>
      </c>
      <c r="L3274" t="str">
        <f t="shared" si="153"/>
        <v>NA15TE</v>
      </c>
      <c r="M3274">
        <f>COUNTIF(L$1:L3274,L3274)</f>
        <v>11</v>
      </c>
      <c r="N3274" t="str">
        <f t="shared" si="154"/>
        <v>NA15TE-11</v>
      </c>
      <c r="O3274">
        <f>COUNTIFS(F$1:F3274,F3274,A$1:A3274,A3274)</f>
        <v>25</v>
      </c>
      <c r="P3274" t="str">
        <f t="shared" si="155"/>
        <v>Geoff Swaim15</v>
      </c>
    </row>
    <row r="3275" spans="1:16" x14ac:dyDescent="0.25">
      <c r="A3275">
        <v>1</v>
      </c>
      <c r="B3275" t="s">
        <v>1439</v>
      </c>
      <c r="C3275">
        <f>-0.22-7.26</f>
        <v>-7.4799999999999995</v>
      </c>
      <c r="D3275">
        <v>3.52</v>
      </c>
      <c r="E3275" t="s">
        <v>52</v>
      </c>
      <c r="F3275" t="s">
        <v>87</v>
      </c>
      <c r="G3275">
        <v>7.26</v>
      </c>
      <c r="H3275">
        <v>-0.22</v>
      </c>
      <c r="I3275">
        <v>3.74</v>
      </c>
      <c r="J3275">
        <v>13.9876</v>
      </c>
      <c r="K3275" t="str">
        <f>IFERROR(INDEX(Rosters!$C$2:$C$155,MATCH($B3275,Rosters!$B$2:$B$155,0)),"NA")</f>
        <v>NA</v>
      </c>
      <c r="L3275" t="str">
        <f t="shared" si="153"/>
        <v>NA1WR</v>
      </c>
      <c r="M3275">
        <f>COUNTIF(L$1:L3275,L3275)</f>
        <v>28</v>
      </c>
      <c r="N3275" t="str">
        <f t="shared" si="154"/>
        <v>NA1WR-28</v>
      </c>
      <c r="O3275">
        <f>COUNTIFS(F$1:F3275,F3275,A$1:A3275,A3275)</f>
        <v>75</v>
      </c>
      <c r="P3275" t="str">
        <f t="shared" si="155"/>
        <v>James Washington1</v>
      </c>
    </row>
    <row r="3276" spans="1:16" x14ac:dyDescent="0.25">
      <c r="A3276">
        <v>11</v>
      </c>
      <c r="B3276" t="s">
        <v>209</v>
      </c>
      <c r="C3276">
        <f>-0.06-7.1</f>
        <v>-7.1599999999999993</v>
      </c>
      <c r="D3276">
        <v>3.52</v>
      </c>
      <c r="E3276" t="s">
        <v>34</v>
      </c>
      <c r="F3276" t="s">
        <v>87</v>
      </c>
      <c r="G3276">
        <v>7.1</v>
      </c>
      <c r="H3276">
        <v>-0.06</v>
      </c>
      <c r="I3276">
        <v>3.58</v>
      </c>
      <c r="J3276">
        <v>12.8164</v>
      </c>
      <c r="K3276" t="str">
        <f>IFERROR(INDEX(Rosters!$C$2:$C$155,MATCH($B3276,Rosters!$B$2:$B$155,0)),"NA")</f>
        <v>NA</v>
      </c>
      <c r="L3276" t="str">
        <f t="shared" si="153"/>
        <v>NA11WR</v>
      </c>
      <c r="M3276">
        <f>COUNTIF(L$1:L3276,L3276)</f>
        <v>25</v>
      </c>
      <c r="N3276" t="str">
        <f t="shared" si="154"/>
        <v>NA11WR-25</v>
      </c>
      <c r="O3276">
        <f>COUNTIFS(F$1:F3276,F3276,A$1:A3276,A3276)</f>
        <v>70</v>
      </c>
      <c r="P3276" t="str">
        <f t="shared" si="155"/>
        <v>Torrey Smith11</v>
      </c>
    </row>
    <row r="3277" spans="1:16" x14ac:dyDescent="0.25">
      <c r="A3277">
        <v>9</v>
      </c>
      <c r="B3277" t="s">
        <v>242</v>
      </c>
      <c r="C3277" t="s">
        <v>8018</v>
      </c>
      <c r="D3277">
        <v>3.51</v>
      </c>
      <c r="E3277" t="s">
        <v>74</v>
      </c>
      <c r="F3277" t="s">
        <v>87</v>
      </c>
      <c r="G3277">
        <v>6.68</v>
      </c>
      <c r="H3277">
        <v>0.34</v>
      </c>
      <c r="I3277">
        <v>3.17</v>
      </c>
      <c r="J3277">
        <v>10.0489</v>
      </c>
      <c r="K3277" t="str">
        <f>IFERROR(INDEX(Rosters!$C$2:$C$155,MATCH($B3277,Rosters!$B$2:$B$155,0)),"NA")</f>
        <v>NA</v>
      </c>
      <c r="L3277" t="str">
        <f t="shared" si="153"/>
        <v>NA9WR</v>
      </c>
      <c r="M3277">
        <f>COUNTIF(L$1:L3277,L3277)</f>
        <v>32</v>
      </c>
      <c r="N3277" t="str">
        <f t="shared" si="154"/>
        <v>NA9WR-32</v>
      </c>
      <c r="O3277">
        <f>COUNTIFS(F$1:F3277,F3277,A$1:A3277,A3277)</f>
        <v>74</v>
      </c>
      <c r="P3277" t="str">
        <f t="shared" si="155"/>
        <v>Adam Humphries9</v>
      </c>
    </row>
    <row r="3278" spans="1:16" x14ac:dyDescent="0.25">
      <c r="A3278">
        <v>1</v>
      </c>
      <c r="B3278" t="s">
        <v>178</v>
      </c>
      <c r="C3278" t="s">
        <v>1460</v>
      </c>
      <c r="D3278">
        <v>3.51</v>
      </c>
      <c r="E3278" t="s">
        <v>31</v>
      </c>
      <c r="F3278" t="s">
        <v>114</v>
      </c>
      <c r="G3278">
        <v>6.99</v>
      </c>
      <c r="H3278">
        <v>0.03</v>
      </c>
      <c r="I3278">
        <v>3.48</v>
      </c>
      <c r="J3278">
        <v>12.1104</v>
      </c>
      <c r="K3278" t="str">
        <f>IFERROR(INDEX(Rosters!$C$2:$C$155,MATCH($B3278,Rosters!$B$2:$B$155,0)),"NA")</f>
        <v>devon</v>
      </c>
      <c r="L3278" t="str">
        <f t="shared" si="153"/>
        <v>devon1TE</v>
      </c>
      <c r="M3278">
        <f>COUNTIF(L$1:L3278,L3278)</f>
        <v>2</v>
      </c>
      <c r="N3278" t="str">
        <f t="shared" si="154"/>
        <v>devon1TE-2</v>
      </c>
      <c r="O3278">
        <f>COUNTIFS(F$1:F3278,F3278,A$1:A3278,A3278)</f>
        <v>24</v>
      </c>
      <c r="P3278" t="str">
        <f t="shared" si="155"/>
        <v>Eric Ebron1</v>
      </c>
    </row>
    <row r="3279" spans="1:16" x14ac:dyDescent="0.25">
      <c r="A3279">
        <v>12</v>
      </c>
      <c r="B3279" t="s">
        <v>388</v>
      </c>
      <c r="C3279" t="s">
        <v>8019</v>
      </c>
      <c r="D3279">
        <v>3.51</v>
      </c>
      <c r="E3279" t="s">
        <v>60</v>
      </c>
      <c r="F3279" t="s">
        <v>47</v>
      </c>
      <c r="G3279">
        <v>6.83</v>
      </c>
      <c r="H3279">
        <v>0.19</v>
      </c>
      <c r="I3279">
        <v>3.32</v>
      </c>
      <c r="J3279">
        <v>11.022399999999999</v>
      </c>
      <c r="K3279" t="str">
        <f>IFERROR(INDEX(Rosters!$C$2:$C$155,MATCH($B3279,Rosters!$B$2:$B$155,0)),"NA")</f>
        <v>NA</v>
      </c>
      <c r="L3279" t="str">
        <f t="shared" si="153"/>
        <v>NA12RB</v>
      </c>
      <c r="M3279">
        <f>COUNTIF(L$1:L3279,L3279)</f>
        <v>21</v>
      </c>
      <c r="N3279" t="str">
        <f t="shared" si="154"/>
        <v>NA12RB-21</v>
      </c>
      <c r="O3279">
        <f>COUNTIFS(F$1:F3279,F3279,A$1:A3279,A3279)</f>
        <v>65</v>
      </c>
      <c r="P3279" t="str">
        <f t="shared" si="155"/>
        <v>Rod Smith12</v>
      </c>
    </row>
    <row r="3280" spans="1:16" x14ac:dyDescent="0.25">
      <c r="A3280">
        <v>13</v>
      </c>
      <c r="B3280" t="s">
        <v>209</v>
      </c>
      <c r="C3280">
        <f>-0.06-7.08</f>
        <v>-7.14</v>
      </c>
      <c r="D3280">
        <v>3.51</v>
      </c>
      <c r="E3280" t="s">
        <v>17</v>
      </c>
      <c r="F3280" t="s">
        <v>87</v>
      </c>
      <c r="G3280">
        <v>7.08</v>
      </c>
      <c r="H3280">
        <v>-0.06</v>
      </c>
      <c r="I3280">
        <v>3.57</v>
      </c>
      <c r="J3280">
        <v>12.744899999999999</v>
      </c>
      <c r="K3280" t="str">
        <f>IFERROR(INDEX(Rosters!$C$2:$C$155,MATCH($B3280,Rosters!$B$2:$B$155,0)),"NA")</f>
        <v>NA</v>
      </c>
      <c r="L3280" t="str">
        <f t="shared" si="153"/>
        <v>NA13WR</v>
      </c>
      <c r="M3280">
        <f>COUNTIF(L$1:L3280,L3280)</f>
        <v>38</v>
      </c>
      <c r="N3280" t="str">
        <f t="shared" si="154"/>
        <v>NA13WR-38</v>
      </c>
      <c r="O3280">
        <f>COUNTIFS(F$1:F3280,F3280,A$1:A3280,A3280)</f>
        <v>90</v>
      </c>
      <c r="P3280" t="str">
        <f t="shared" si="155"/>
        <v>Torrey Smith13</v>
      </c>
    </row>
    <row r="3281" spans="1:16" x14ac:dyDescent="0.25">
      <c r="A3281">
        <v>8</v>
      </c>
      <c r="B3281" t="s">
        <v>1122</v>
      </c>
      <c r="C3281">
        <f>-0.54-7.54</f>
        <v>-8.08</v>
      </c>
      <c r="D3281">
        <v>3.5</v>
      </c>
      <c r="E3281" t="s">
        <v>76</v>
      </c>
      <c r="F3281" t="s">
        <v>47</v>
      </c>
      <c r="G3281">
        <v>7.54</v>
      </c>
      <c r="H3281">
        <v>-0.54</v>
      </c>
      <c r="I3281">
        <v>4.04</v>
      </c>
      <c r="J3281">
        <v>16.3216</v>
      </c>
      <c r="K3281" t="str">
        <f>IFERROR(INDEX(Rosters!$C$2:$C$155,MATCH($B3281,Rosters!$B$2:$B$155,0)),"NA")</f>
        <v>NA</v>
      </c>
      <c r="L3281" t="str">
        <f t="shared" si="153"/>
        <v>NA8RB</v>
      </c>
      <c r="M3281">
        <f>COUNTIF(L$1:L3281,L3281)</f>
        <v>20</v>
      </c>
      <c r="N3281" t="str">
        <f t="shared" si="154"/>
        <v>NA8RB-20</v>
      </c>
      <c r="O3281">
        <f>COUNTIFS(F$1:F3281,F3281,A$1:A3281,A3281)</f>
        <v>59</v>
      </c>
      <c r="P3281" t="str">
        <f t="shared" si="155"/>
        <v>Darren Sproles8</v>
      </c>
    </row>
    <row r="3282" spans="1:16" x14ac:dyDescent="0.25">
      <c r="A3282">
        <v>17</v>
      </c>
      <c r="B3282" t="s">
        <v>378</v>
      </c>
      <c r="C3282" t="s">
        <v>8020</v>
      </c>
      <c r="D3282">
        <v>3.5</v>
      </c>
      <c r="E3282" t="s">
        <v>29</v>
      </c>
      <c r="F3282" t="s">
        <v>87</v>
      </c>
      <c r="G3282">
        <v>6.92</v>
      </c>
      <c r="H3282">
        <v>0.08</v>
      </c>
      <c r="I3282">
        <v>3.42</v>
      </c>
      <c r="J3282">
        <v>11.696400000000001</v>
      </c>
      <c r="K3282" t="str">
        <f>IFERROR(INDEX(Rosters!$C$2:$C$155,MATCH($B3282,Rosters!$B$2:$B$155,0)),"NA")</f>
        <v>NA</v>
      </c>
      <c r="L3282" t="str">
        <f t="shared" si="153"/>
        <v>NA17WR</v>
      </c>
      <c r="M3282">
        <f>COUNTIF(L$1:L3282,L3282)</f>
        <v>39</v>
      </c>
      <c r="N3282" t="str">
        <f t="shared" si="154"/>
        <v>NA17WR-39</v>
      </c>
      <c r="O3282">
        <f>COUNTIFS(F$1:F3282,F3282,A$1:A3282,A3282)</f>
        <v>91</v>
      </c>
      <c r="P3282" t="str">
        <f t="shared" si="155"/>
        <v>Jakeem Grant17</v>
      </c>
    </row>
    <row r="3283" spans="1:16" x14ac:dyDescent="0.25">
      <c r="A3283">
        <v>9</v>
      </c>
      <c r="B3283" t="s">
        <v>219</v>
      </c>
      <c r="C3283" t="s">
        <v>8021</v>
      </c>
      <c r="D3283">
        <v>3.5</v>
      </c>
      <c r="E3283" t="s">
        <v>19</v>
      </c>
      <c r="F3283" t="s">
        <v>87</v>
      </c>
      <c r="G3283">
        <v>6.76</v>
      </c>
      <c r="H3283">
        <v>0.24</v>
      </c>
      <c r="I3283">
        <v>3.26</v>
      </c>
      <c r="J3283">
        <v>10.627599999999999</v>
      </c>
      <c r="K3283" t="str">
        <f>IFERROR(INDEX(Rosters!$C$2:$C$155,MATCH($B3283,Rosters!$B$2:$B$155,0)),"NA")</f>
        <v>NA</v>
      </c>
      <c r="L3283" t="str">
        <f t="shared" si="153"/>
        <v>NA9WR</v>
      </c>
      <c r="M3283">
        <f>COUNTIF(L$1:L3283,L3283)</f>
        <v>33</v>
      </c>
      <c r="N3283" t="str">
        <f t="shared" si="154"/>
        <v>NA9WR-33</v>
      </c>
      <c r="O3283">
        <f>COUNTIFS(F$1:F3283,F3283,A$1:A3283,A3283)</f>
        <v>75</v>
      </c>
      <c r="P3283" t="str">
        <f t="shared" si="155"/>
        <v>Jermaine Kearse9</v>
      </c>
    </row>
    <row r="3284" spans="1:16" x14ac:dyDescent="0.25">
      <c r="A3284">
        <v>4</v>
      </c>
      <c r="B3284" t="s">
        <v>4687</v>
      </c>
      <c r="C3284">
        <f>-0.7-7.7</f>
        <v>-8.4</v>
      </c>
      <c r="D3284">
        <v>3.5</v>
      </c>
      <c r="E3284" t="s">
        <v>38</v>
      </c>
      <c r="F3284" t="s">
        <v>47</v>
      </c>
      <c r="G3284">
        <v>7.7</v>
      </c>
      <c r="H3284">
        <v>-0.7</v>
      </c>
      <c r="I3284">
        <v>4.2</v>
      </c>
      <c r="J3284">
        <v>17.64</v>
      </c>
      <c r="K3284" t="str">
        <f>IFERROR(INDEX(Rosters!$C$2:$C$155,MATCH($B3284,Rosters!$B$2:$B$155,0)),"NA")</f>
        <v>NA</v>
      </c>
      <c r="L3284" t="str">
        <f t="shared" si="153"/>
        <v>NA4RB</v>
      </c>
      <c r="M3284">
        <f>COUNTIF(L$1:L3284,L3284)</f>
        <v>18</v>
      </c>
      <c r="N3284" t="str">
        <f t="shared" si="154"/>
        <v>NA4RB-18</v>
      </c>
      <c r="O3284">
        <f>COUNTIFS(F$1:F3284,F3284,A$1:A3284,A3284)</f>
        <v>57</v>
      </c>
      <c r="P3284" t="str">
        <f t="shared" si="155"/>
        <v>Josh Adams4</v>
      </c>
    </row>
    <row r="3285" spans="1:16" x14ac:dyDescent="0.25">
      <c r="A3285">
        <v>8</v>
      </c>
      <c r="B3285" t="s">
        <v>243</v>
      </c>
      <c r="C3285" t="s">
        <v>8022</v>
      </c>
      <c r="D3285">
        <v>3.5</v>
      </c>
      <c r="E3285" t="s">
        <v>29</v>
      </c>
      <c r="F3285" t="s">
        <v>87</v>
      </c>
      <c r="G3285">
        <v>6.46</v>
      </c>
      <c r="H3285">
        <v>0.54</v>
      </c>
      <c r="I3285">
        <v>2.96</v>
      </c>
      <c r="J3285">
        <v>8.7615999999999996</v>
      </c>
      <c r="K3285" t="str">
        <f>IFERROR(INDEX(Rosters!$C$2:$C$155,MATCH($B3285,Rosters!$B$2:$B$155,0)),"NA")</f>
        <v>NA</v>
      </c>
      <c r="L3285" t="str">
        <f t="shared" si="153"/>
        <v>NA8WR</v>
      </c>
      <c r="M3285">
        <f>COUNTIF(L$1:L3285,L3285)</f>
        <v>35</v>
      </c>
      <c r="N3285" t="str">
        <f t="shared" si="154"/>
        <v>NA8WR-35</v>
      </c>
      <c r="O3285">
        <f>COUNTIFS(F$1:F3285,F3285,A$1:A3285,A3285)</f>
        <v>82</v>
      </c>
      <c r="P3285" t="str">
        <f t="shared" si="155"/>
        <v>Phillip Dorsett8</v>
      </c>
    </row>
    <row r="3286" spans="1:16" x14ac:dyDescent="0.25">
      <c r="A3286">
        <v>16</v>
      </c>
      <c r="B3286" t="s">
        <v>1404</v>
      </c>
      <c r="C3286">
        <f>-0.07-7.07</f>
        <v>-7.1400000000000006</v>
      </c>
      <c r="D3286">
        <v>3.5</v>
      </c>
      <c r="E3286" t="s">
        <v>28</v>
      </c>
      <c r="F3286" t="s">
        <v>47</v>
      </c>
      <c r="G3286">
        <v>7.07</v>
      </c>
      <c r="H3286">
        <v>-7.0000000000000007E-2</v>
      </c>
      <c r="I3286">
        <v>3.57</v>
      </c>
      <c r="J3286">
        <v>12.744899999999999</v>
      </c>
      <c r="K3286" t="str">
        <f>IFERROR(INDEX(Rosters!$C$2:$C$155,MATCH($B3286,Rosters!$B$2:$B$155,0)),"NA")</f>
        <v>NA</v>
      </c>
      <c r="L3286" t="str">
        <f t="shared" si="153"/>
        <v>NA16RB</v>
      </c>
      <c r="M3286">
        <f>COUNTIF(L$1:L3286,L3286)</f>
        <v>23</v>
      </c>
      <c r="N3286" t="str">
        <f t="shared" si="154"/>
        <v>NA16RB-23</v>
      </c>
      <c r="O3286">
        <f>COUNTIFS(F$1:F3286,F3286,A$1:A3286,A3286)</f>
        <v>69</v>
      </c>
      <c r="P3286" t="str">
        <f t="shared" si="155"/>
        <v>Spencer Ware16</v>
      </c>
    </row>
    <row r="3287" spans="1:16" x14ac:dyDescent="0.25">
      <c r="A3287">
        <v>17</v>
      </c>
      <c r="B3287" t="s">
        <v>260</v>
      </c>
      <c r="C3287" t="s">
        <v>8023</v>
      </c>
      <c r="D3287">
        <v>3.49</v>
      </c>
      <c r="E3287" t="s">
        <v>76</v>
      </c>
      <c r="F3287" t="s">
        <v>47</v>
      </c>
      <c r="G3287">
        <v>6.2</v>
      </c>
      <c r="H3287">
        <v>0.78</v>
      </c>
      <c r="I3287">
        <v>2.71</v>
      </c>
      <c r="J3287">
        <v>7.3441000000000001</v>
      </c>
      <c r="K3287" t="str">
        <f>IFERROR(INDEX(Rosters!$C$2:$C$155,MATCH($B3287,Rosters!$B$2:$B$155,0)),"NA")</f>
        <v>NA</v>
      </c>
      <c r="L3287" t="str">
        <f t="shared" si="153"/>
        <v>NA17RB</v>
      </c>
      <c r="M3287">
        <f>COUNTIF(L$1:L3287,L3287)</f>
        <v>21</v>
      </c>
      <c r="N3287" t="str">
        <f t="shared" si="154"/>
        <v>NA17RB-21</v>
      </c>
      <c r="O3287">
        <f>COUNTIFS(F$1:F3287,F3287,A$1:A3287,A3287)</f>
        <v>67</v>
      </c>
      <c r="P3287" t="str">
        <f t="shared" si="155"/>
        <v>D'Onta Foreman17</v>
      </c>
    </row>
    <row r="3288" spans="1:16" x14ac:dyDescent="0.25">
      <c r="A3288">
        <v>4</v>
      </c>
      <c r="B3288" t="s">
        <v>1036</v>
      </c>
      <c r="C3288" t="s">
        <v>4587</v>
      </c>
      <c r="D3288">
        <v>3.49</v>
      </c>
      <c r="E3288" t="s">
        <v>34</v>
      </c>
      <c r="F3288" t="s">
        <v>87</v>
      </c>
      <c r="G3288">
        <v>5.89</v>
      </c>
      <c r="H3288">
        <v>1.0900000000000001</v>
      </c>
      <c r="I3288">
        <v>2.4</v>
      </c>
      <c r="J3288">
        <v>5.76</v>
      </c>
      <c r="K3288" t="str">
        <f>IFERROR(INDEX(Rosters!$C$2:$C$155,MATCH($B3288,Rosters!$B$2:$B$155,0)),"NA")</f>
        <v>NA</v>
      </c>
      <c r="L3288" t="str">
        <f t="shared" si="153"/>
        <v>NA4WR</v>
      </c>
      <c r="M3288">
        <f>COUNTIF(L$1:L3288,L3288)</f>
        <v>29</v>
      </c>
      <c r="N3288" t="str">
        <f t="shared" si="154"/>
        <v>NA4WR-29</v>
      </c>
      <c r="O3288">
        <f>COUNTIFS(F$1:F3288,F3288,A$1:A3288,A3288)</f>
        <v>77</v>
      </c>
      <c r="P3288" t="str">
        <f t="shared" si="155"/>
        <v>Deonte Thompson4</v>
      </c>
    </row>
    <row r="3289" spans="1:16" x14ac:dyDescent="0.25">
      <c r="A3289">
        <v>8</v>
      </c>
      <c r="B3289" t="s">
        <v>1381</v>
      </c>
      <c r="C3289">
        <f>-0.41-7.39</f>
        <v>-7.8</v>
      </c>
      <c r="D3289">
        <v>3.49</v>
      </c>
      <c r="E3289" t="s">
        <v>30</v>
      </c>
      <c r="F3289" t="s">
        <v>114</v>
      </c>
      <c r="G3289">
        <v>7.39</v>
      </c>
      <c r="H3289">
        <v>-0.41</v>
      </c>
      <c r="I3289">
        <v>3.9</v>
      </c>
      <c r="J3289">
        <v>15.21</v>
      </c>
      <c r="K3289" t="str">
        <f>IFERROR(INDEX(Rosters!$C$2:$C$155,MATCH($B3289,Rosters!$B$2:$B$155,0)),"NA")</f>
        <v>NA</v>
      </c>
      <c r="L3289" t="str">
        <f t="shared" si="153"/>
        <v>NA8TE</v>
      </c>
      <c r="M3289">
        <f>COUNTIF(L$1:L3289,L3289)</f>
        <v>11</v>
      </c>
      <c r="N3289" t="str">
        <f t="shared" si="154"/>
        <v>NA8TE-11</v>
      </c>
      <c r="O3289">
        <f>COUNTIFS(F$1:F3289,F3289,A$1:A3289,A3289)</f>
        <v>23</v>
      </c>
      <c r="P3289" t="str">
        <f t="shared" si="155"/>
        <v>Ricky Seals-Jones8</v>
      </c>
    </row>
    <row r="3290" spans="1:16" x14ac:dyDescent="0.25">
      <c r="A3290">
        <v>16</v>
      </c>
      <c r="B3290" t="s">
        <v>209</v>
      </c>
      <c r="C3290" t="s">
        <v>8024</v>
      </c>
      <c r="D3290">
        <v>3.49</v>
      </c>
      <c r="E3290" t="s">
        <v>46</v>
      </c>
      <c r="F3290" t="s">
        <v>87</v>
      </c>
      <c r="G3290">
        <v>6.95</v>
      </c>
      <c r="H3290">
        <v>0.03</v>
      </c>
      <c r="I3290">
        <v>3.46</v>
      </c>
      <c r="J3290">
        <v>11.9716</v>
      </c>
      <c r="K3290" t="str">
        <f>IFERROR(INDEX(Rosters!$C$2:$C$155,MATCH($B3290,Rosters!$B$2:$B$155,0)),"NA")</f>
        <v>NA</v>
      </c>
      <c r="L3290" t="str">
        <f t="shared" si="153"/>
        <v>NA16WR</v>
      </c>
      <c r="M3290">
        <f>COUNTIF(L$1:L3290,L3290)</f>
        <v>37</v>
      </c>
      <c r="N3290" t="str">
        <f t="shared" si="154"/>
        <v>NA16WR-37</v>
      </c>
      <c r="O3290">
        <f>COUNTIFS(F$1:F3290,F3290,A$1:A3290,A3290)</f>
        <v>89</v>
      </c>
      <c r="P3290" t="str">
        <f t="shared" si="155"/>
        <v>Torrey Smith16</v>
      </c>
    </row>
    <row r="3291" spans="1:16" x14ac:dyDescent="0.25">
      <c r="A3291">
        <v>4</v>
      </c>
      <c r="B3291" t="s">
        <v>182</v>
      </c>
      <c r="C3291" t="s">
        <v>4588</v>
      </c>
      <c r="D3291">
        <v>3.49</v>
      </c>
      <c r="E3291" t="s">
        <v>41</v>
      </c>
      <c r="F3291" t="s">
        <v>87</v>
      </c>
      <c r="G3291">
        <v>6.35</v>
      </c>
      <c r="H3291">
        <v>0.63</v>
      </c>
      <c r="I3291">
        <v>2.86</v>
      </c>
      <c r="J3291">
        <v>8.1796000000000006</v>
      </c>
      <c r="K3291" t="str">
        <f>IFERROR(INDEX(Rosters!$C$2:$C$155,MATCH($B3291,Rosters!$B$2:$B$155,0)),"NA")</f>
        <v>NA</v>
      </c>
      <c r="L3291" t="str">
        <f t="shared" si="153"/>
        <v>NA4WR</v>
      </c>
      <c r="M3291">
        <f>COUNTIF(L$1:L3291,L3291)</f>
        <v>30</v>
      </c>
      <c r="N3291" t="str">
        <f t="shared" si="154"/>
        <v>NA4WR-30</v>
      </c>
      <c r="O3291">
        <f>COUNTIFS(F$1:F3291,F3291,A$1:A3291,A3291)</f>
        <v>78</v>
      </c>
      <c r="P3291" t="str">
        <f t="shared" si="155"/>
        <v>Zay Jones4</v>
      </c>
    </row>
    <row r="3292" spans="1:16" x14ac:dyDescent="0.25">
      <c r="A3292">
        <v>9</v>
      </c>
      <c r="B3292" t="s">
        <v>4204</v>
      </c>
      <c r="C3292" t="s">
        <v>8025</v>
      </c>
      <c r="D3292">
        <v>3.48</v>
      </c>
      <c r="E3292" t="s">
        <v>32</v>
      </c>
      <c r="F3292" t="s">
        <v>87</v>
      </c>
      <c r="G3292">
        <v>6.45</v>
      </c>
      <c r="H3292">
        <v>0.51</v>
      </c>
      <c r="I3292">
        <v>2.97</v>
      </c>
      <c r="J3292">
        <v>8.8209</v>
      </c>
      <c r="K3292" t="str">
        <f>IFERROR(INDEX(Rosters!$C$2:$C$155,MATCH($B3292,Rosters!$B$2:$B$155,0)),"NA")</f>
        <v>NA</v>
      </c>
      <c r="L3292" t="str">
        <f t="shared" si="153"/>
        <v>NA9WR</v>
      </c>
      <c r="M3292">
        <f>COUNTIF(L$1:L3292,L3292)</f>
        <v>34</v>
      </c>
      <c r="N3292" t="str">
        <f t="shared" si="154"/>
        <v>NA9WR-34</v>
      </c>
      <c r="O3292">
        <f>COUNTIFS(F$1:F3292,F3292,A$1:A3292,A3292)</f>
        <v>76</v>
      </c>
      <c r="P3292" t="str">
        <f t="shared" si="155"/>
        <v>Dante Pettis9</v>
      </c>
    </row>
    <row r="3293" spans="1:16" x14ac:dyDescent="0.25">
      <c r="A3293">
        <v>7</v>
      </c>
      <c r="B3293" t="s">
        <v>1122</v>
      </c>
      <c r="C3293">
        <f>-0.54-7.5</f>
        <v>-8.0399999999999991</v>
      </c>
      <c r="D3293">
        <v>3.48</v>
      </c>
      <c r="E3293" t="s">
        <v>74</v>
      </c>
      <c r="F3293" t="s">
        <v>47</v>
      </c>
      <c r="G3293">
        <v>7.5</v>
      </c>
      <c r="H3293">
        <v>-0.54</v>
      </c>
      <c r="I3293">
        <v>4.0199999999999996</v>
      </c>
      <c r="J3293">
        <v>16.160399999999999</v>
      </c>
      <c r="K3293" t="str">
        <f>IFERROR(INDEX(Rosters!$C$2:$C$155,MATCH($B3293,Rosters!$B$2:$B$155,0)),"NA")</f>
        <v>NA</v>
      </c>
      <c r="L3293" t="str">
        <f t="shared" si="153"/>
        <v>NA7RB</v>
      </c>
      <c r="M3293">
        <f>COUNTIF(L$1:L3293,L3293)</f>
        <v>13</v>
      </c>
      <c r="N3293" t="str">
        <f t="shared" si="154"/>
        <v>NA7RB-13</v>
      </c>
      <c r="O3293">
        <f>COUNTIFS(F$1:F3293,F3293,A$1:A3293,A3293)</f>
        <v>54</v>
      </c>
      <c r="P3293" t="str">
        <f t="shared" si="155"/>
        <v>Darren Sproles7</v>
      </c>
    </row>
    <row r="3294" spans="1:16" x14ac:dyDescent="0.25">
      <c r="A3294">
        <v>11</v>
      </c>
      <c r="B3294" t="s">
        <v>267</v>
      </c>
      <c r="C3294" t="s">
        <v>8026</v>
      </c>
      <c r="D3294">
        <v>3.48</v>
      </c>
      <c r="E3294" t="s">
        <v>42</v>
      </c>
      <c r="F3294" t="s">
        <v>114</v>
      </c>
      <c r="G3294">
        <v>6.52</v>
      </c>
      <c r="H3294">
        <v>0.44</v>
      </c>
      <c r="I3294">
        <v>3.04</v>
      </c>
      <c r="J3294">
        <v>9.2416</v>
      </c>
      <c r="K3294" t="str">
        <f>IFERROR(INDEX(Rosters!$C$2:$C$155,MATCH($B3294,Rosters!$B$2:$B$155,0)),"NA")</f>
        <v>NA</v>
      </c>
      <c r="L3294" t="str">
        <f t="shared" si="153"/>
        <v>NA11TE</v>
      </c>
      <c r="M3294">
        <f>COUNTIF(L$1:L3294,L3294)</f>
        <v>7</v>
      </c>
      <c r="N3294" t="str">
        <f t="shared" si="154"/>
        <v>NA11TE-7</v>
      </c>
      <c r="O3294">
        <f>COUNTIFS(F$1:F3294,F3294,A$1:A3294,A3294)</f>
        <v>17</v>
      </c>
      <c r="P3294" t="str">
        <f t="shared" si="155"/>
        <v>Virgil Green11</v>
      </c>
    </row>
    <row r="3295" spans="1:16" x14ac:dyDescent="0.25">
      <c r="A3295">
        <v>6</v>
      </c>
      <c r="B3295" t="s">
        <v>242</v>
      </c>
      <c r="C3295" t="s">
        <v>8027</v>
      </c>
      <c r="D3295">
        <v>3.47</v>
      </c>
      <c r="E3295" t="s">
        <v>46</v>
      </c>
      <c r="F3295" t="s">
        <v>87</v>
      </c>
      <c r="G3295">
        <v>6.13</v>
      </c>
      <c r="H3295">
        <v>0.81</v>
      </c>
      <c r="I3295">
        <v>2.66</v>
      </c>
      <c r="J3295">
        <v>7.0755999999999997</v>
      </c>
      <c r="K3295" t="str">
        <f>IFERROR(INDEX(Rosters!$C$2:$C$155,MATCH($B3295,Rosters!$B$2:$B$155,0)),"NA")</f>
        <v>NA</v>
      </c>
      <c r="L3295" t="str">
        <f t="shared" si="153"/>
        <v>NA6WR</v>
      </c>
      <c r="M3295">
        <f>COUNTIF(L$1:L3295,L3295)</f>
        <v>32</v>
      </c>
      <c r="N3295" t="str">
        <f t="shared" si="154"/>
        <v>NA6WR-32</v>
      </c>
      <c r="O3295">
        <f>COUNTIFS(F$1:F3295,F3295,A$1:A3295,A3295)</f>
        <v>79</v>
      </c>
      <c r="P3295" t="str">
        <f t="shared" si="155"/>
        <v>Adam Humphries6</v>
      </c>
    </row>
    <row r="3296" spans="1:16" x14ac:dyDescent="0.25">
      <c r="A3296">
        <v>16</v>
      </c>
      <c r="B3296" t="s">
        <v>242</v>
      </c>
      <c r="C3296" t="s">
        <v>8028</v>
      </c>
      <c r="D3296">
        <v>3.47</v>
      </c>
      <c r="E3296" t="s">
        <v>22</v>
      </c>
      <c r="F3296" t="s">
        <v>87</v>
      </c>
      <c r="G3296">
        <v>6.18</v>
      </c>
      <c r="H3296">
        <v>0.76</v>
      </c>
      <c r="I3296">
        <v>2.71</v>
      </c>
      <c r="J3296">
        <v>7.3441000000000001</v>
      </c>
      <c r="K3296" t="str">
        <f>IFERROR(INDEX(Rosters!$C$2:$C$155,MATCH($B3296,Rosters!$B$2:$B$155,0)),"NA")</f>
        <v>NA</v>
      </c>
      <c r="L3296" t="str">
        <f t="shared" si="153"/>
        <v>NA16WR</v>
      </c>
      <c r="M3296">
        <f>COUNTIF(L$1:L3296,L3296)</f>
        <v>38</v>
      </c>
      <c r="N3296" t="str">
        <f t="shared" si="154"/>
        <v>NA16WR-38</v>
      </c>
      <c r="O3296">
        <f>COUNTIFS(F$1:F3296,F3296,A$1:A3296,A3296)</f>
        <v>90</v>
      </c>
      <c r="P3296" t="str">
        <f t="shared" si="155"/>
        <v>Adam Humphries16</v>
      </c>
    </row>
    <row r="3297" spans="1:16" x14ac:dyDescent="0.25">
      <c r="A3297">
        <v>1</v>
      </c>
      <c r="B3297" t="s">
        <v>305</v>
      </c>
      <c r="C3297" t="s">
        <v>1461</v>
      </c>
      <c r="D3297">
        <v>3.47</v>
      </c>
      <c r="E3297" t="s">
        <v>31</v>
      </c>
      <c r="F3297" t="s">
        <v>87</v>
      </c>
      <c r="G3297">
        <v>6.89</v>
      </c>
      <c r="H3297">
        <v>0.05</v>
      </c>
      <c r="I3297">
        <v>3.42</v>
      </c>
      <c r="J3297">
        <v>11.696400000000001</v>
      </c>
      <c r="K3297" t="str">
        <f>IFERROR(INDEX(Rosters!$C$2:$C$155,MATCH($B3297,Rosters!$B$2:$B$155,0)),"NA")</f>
        <v>NA</v>
      </c>
      <c r="L3297" t="str">
        <f t="shared" si="153"/>
        <v>NA1WR</v>
      </c>
      <c r="M3297">
        <f>COUNTIF(L$1:L3297,L3297)</f>
        <v>29</v>
      </c>
      <c r="N3297" t="str">
        <f t="shared" si="154"/>
        <v>NA1WR-29</v>
      </c>
      <c r="O3297">
        <f>COUNTIFS(F$1:F3297,F3297,A$1:A3297,A3297)</f>
        <v>76</v>
      </c>
      <c r="P3297" t="str">
        <f t="shared" si="155"/>
        <v>Chester Rogers1</v>
      </c>
    </row>
    <row r="3298" spans="1:16" x14ac:dyDescent="0.25">
      <c r="A3298">
        <v>12</v>
      </c>
      <c r="B3298" t="s">
        <v>101</v>
      </c>
      <c r="C3298" t="s">
        <v>8029</v>
      </c>
      <c r="D3298">
        <v>3.47</v>
      </c>
      <c r="E3298" t="s">
        <v>77</v>
      </c>
      <c r="F3298" t="s">
        <v>47</v>
      </c>
      <c r="G3298">
        <v>6.17</v>
      </c>
      <c r="H3298">
        <v>0.77</v>
      </c>
      <c r="I3298">
        <v>2.7</v>
      </c>
      <c r="J3298">
        <v>7.29</v>
      </c>
      <c r="K3298" t="str">
        <f>IFERROR(INDEX(Rosters!$C$2:$C$155,MATCH($B3298,Rosters!$B$2:$B$155,0)),"NA")</f>
        <v>NA</v>
      </c>
      <c r="L3298" t="str">
        <f t="shared" si="153"/>
        <v>NA12RB</v>
      </c>
      <c r="M3298">
        <f>COUNTIF(L$1:L3298,L3298)</f>
        <v>22</v>
      </c>
      <c r="N3298" t="str">
        <f t="shared" si="154"/>
        <v>NA12RB-22</v>
      </c>
      <c r="O3298">
        <f>COUNTIFS(F$1:F3298,F3298,A$1:A3298,A3298)</f>
        <v>66</v>
      </c>
      <c r="P3298" t="str">
        <f t="shared" si="155"/>
        <v>Doug Martin12</v>
      </c>
    </row>
    <row r="3299" spans="1:16" x14ac:dyDescent="0.25">
      <c r="A3299">
        <v>5</v>
      </c>
      <c r="B3299" t="s">
        <v>299</v>
      </c>
      <c r="C3299" t="s">
        <v>8030</v>
      </c>
      <c r="D3299">
        <v>3.47</v>
      </c>
      <c r="E3299" t="s">
        <v>46</v>
      </c>
      <c r="F3299" t="s">
        <v>114</v>
      </c>
      <c r="G3299">
        <v>6.02</v>
      </c>
      <c r="H3299">
        <v>0.92</v>
      </c>
      <c r="I3299">
        <v>2.5499999999999998</v>
      </c>
      <c r="J3299">
        <v>6.5025000000000004</v>
      </c>
      <c r="K3299" t="str">
        <f>IFERROR(INDEX(Rosters!$C$2:$C$155,MATCH($B3299,Rosters!$B$2:$B$155,0)),"NA")</f>
        <v>NA</v>
      </c>
      <c r="L3299" t="str">
        <f t="shared" si="153"/>
        <v>NA5TE</v>
      </c>
      <c r="M3299">
        <f>COUNTIF(L$1:L3299,L3299)</f>
        <v>12</v>
      </c>
      <c r="N3299" t="str">
        <f t="shared" si="154"/>
        <v>NA5TE-12</v>
      </c>
      <c r="O3299">
        <f>COUNTIFS(F$1:F3299,F3299,A$1:A3299,A3299)</f>
        <v>23</v>
      </c>
      <c r="P3299" t="str">
        <f t="shared" si="155"/>
        <v>Jesse James5</v>
      </c>
    </row>
    <row r="3300" spans="1:16" x14ac:dyDescent="0.25">
      <c r="A3300">
        <v>15</v>
      </c>
      <c r="B3300" t="s">
        <v>1381</v>
      </c>
      <c r="C3300">
        <f>-0.42-7.36</f>
        <v>-7.78</v>
      </c>
      <c r="D3300">
        <v>3.47</v>
      </c>
      <c r="E3300" t="s">
        <v>46</v>
      </c>
      <c r="F3300" t="s">
        <v>114</v>
      </c>
      <c r="G3300">
        <v>7.36</v>
      </c>
      <c r="H3300">
        <v>-0.42</v>
      </c>
      <c r="I3300">
        <v>3.89</v>
      </c>
      <c r="J3300">
        <v>15.132099999999999</v>
      </c>
      <c r="K3300" t="str">
        <f>IFERROR(INDEX(Rosters!$C$2:$C$155,MATCH($B3300,Rosters!$B$2:$B$155,0)),"NA")</f>
        <v>NA</v>
      </c>
      <c r="L3300" t="str">
        <f t="shared" si="153"/>
        <v>NA15TE</v>
      </c>
      <c r="M3300">
        <f>COUNTIF(L$1:L3300,L3300)</f>
        <v>12</v>
      </c>
      <c r="N3300" t="str">
        <f t="shared" si="154"/>
        <v>NA15TE-12</v>
      </c>
      <c r="O3300">
        <f>COUNTIFS(F$1:F3300,F3300,A$1:A3300,A3300)</f>
        <v>26</v>
      </c>
      <c r="P3300" t="str">
        <f t="shared" si="155"/>
        <v>Ricky Seals-Jones15</v>
      </c>
    </row>
    <row r="3301" spans="1:16" x14ac:dyDescent="0.25">
      <c r="A3301">
        <v>7</v>
      </c>
      <c r="B3301" t="s">
        <v>182</v>
      </c>
      <c r="C3301" t="s">
        <v>8031</v>
      </c>
      <c r="D3301">
        <v>3.47</v>
      </c>
      <c r="E3301" t="s">
        <v>66</v>
      </c>
      <c r="F3301" t="s">
        <v>87</v>
      </c>
      <c r="G3301">
        <v>6.53</v>
      </c>
      <c r="H3301">
        <v>0.41</v>
      </c>
      <c r="I3301">
        <v>3.06</v>
      </c>
      <c r="J3301">
        <v>9.3635999999999999</v>
      </c>
      <c r="K3301" t="str">
        <f>IFERROR(INDEX(Rosters!$C$2:$C$155,MATCH($B3301,Rosters!$B$2:$B$155,0)),"NA")</f>
        <v>NA</v>
      </c>
      <c r="L3301" t="str">
        <f t="shared" si="153"/>
        <v>NA7WR</v>
      </c>
      <c r="M3301">
        <f>COUNTIF(L$1:L3301,L3301)</f>
        <v>32</v>
      </c>
      <c r="N3301" t="str">
        <f t="shared" si="154"/>
        <v>NA7WR-32</v>
      </c>
      <c r="O3301">
        <f>COUNTIFS(F$1:F3301,F3301,A$1:A3301,A3301)</f>
        <v>76</v>
      </c>
      <c r="P3301" t="str">
        <f t="shared" si="155"/>
        <v>Zay Jones7</v>
      </c>
    </row>
    <row r="3302" spans="1:16" x14ac:dyDescent="0.25">
      <c r="A3302">
        <v>9</v>
      </c>
      <c r="B3302" t="s">
        <v>378</v>
      </c>
      <c r="C3302" t="s">
        <v>8032</v>
      </c>
      <c r="D3302">
        <v>3.46</v>
      </c>
      <c r="E3302" t="s">
        <v>73</v>
      </c>
      <c r="F3302" t="s">
        <v>87</v>
      </c>
      <c r="G3302">
        <v>6.67</v>
      </c>
      <c r="H3302">
        <v>0.25</v>
      </c>
      <c r="I3302">
        <v>3.21</v>
      </c>
      <c r="J3302">
        <v>10.3041</v>
      </c>
      <c r="K3302" t="str">
        <f>IFERROR(INDEX(Rosters!$C$2:$C$155,MATCH($B3302,Rosters!$B$2:$B$155,0)),"NA")</f>
        <v>NA</v>
      </c>
      <c r="L3302" t="str">
        <f t="shared" si="153"/>
        <v>NA9WR</v>
      </c>
      <c r="M3302">
        <f>COUNTIF(L$1:L3302,L3302)</f>
        <v>35</v>
      </c>
      <c r="N3302" t="str">
        <f t="shared" si="154"/>
        <v>NA9WR-35</v>
      </c>
      <c r="O3302">
        <f>COUNTIFS(F$1:F3302,F3302,A$1:A3302,A3302)</f>
        <v>77</v>
      </c>
      <c r="P3302" t="str">
        <f t="shared" si="155"/>
        <v>Jakeem Grant9</v>
      </c>
    </row>
    <row r="3303" spans="1:16" x14ac:dyDescent="0.25">
      <c r="A3303">
        <v>15</v>
      </c>
      <c r="B3303" t="s">
        <v>378</v>
      </c>
      <c r="C3303" t="s">
        <v>8033</v>
      </c>
      <c r="D3303">
        <v>3.46</v>
      </c>
      <c r="E3303" t="s">
        <v>25</v>
      </c>
      <c r="F3303" t="s">
        <v>87</v>
      </c>
      <c r="G3303">
        <v>6.73</v>
      </c>
      <c r="H3303">
        <v>0.19</v>
      </c>
      <c r="I3303">
        <v>3.27</v>
      </c>
      <c r="J3303">
        <v>10.6929</v>
      </c>
      <c r="K3303" t="str">
        <f>IFERROR(INDEX(Rosters!$C$2:$C$155,MATCH($B3303,Rosters!$B$2:$B$155,0)),"NA")</f>
        <v>NA</v>
      </c>
      <c r="L3303" t="str">
        <f t="shared" si="153"/>
        <v>NA15WR</v>
      </c>
      <c r="M3303">
        <f>COUNTIF(L$1:L3303,L3303)</f>
        <v>37</v>
      </c>
      <c r="N3303" t="str">
        <f t="shared" si="154"/>
        <v>NA15WR-37</v>
      </c>
      <c r="O3303">
        <f>COUNTIFS(F$1:F3303,F3303,A$1:A3303,A3303)</f>
        <v>89</v>
      </c>
      <c r="P3303" t="str">
        <f t="shared" si="155"/>
        <v>Jakeem Grant15</v>
      </c>
    </row>
    <row r="3304" spans="1:16" x14ac:dyDescent="0.25">
      <c r="A3304">
        <v>9</v>
      </c>
      <c r="B3304" t="s">
        <v>1391</v>
      </c>
      <c r="C3304">
        <f>-0.6-7.5</f>
        <v>-8.1</v>
      </c>
      <c r="D3304">
        <v>3.45</v>
      </c>
      <c r="E3304" t="s">
        <v>17</v>
      </c>
      <c r="F3304" t="s">
        <v>87</v>
      </c>
      <c r="G3304">
        <v>7.5</v>
      </c>
      <c r="H3304">
        <v>-0.6</v>
      </c>
      <c r="I3304">
        <v>4.05</v>
      </c>
      <c r="J3304">
        <v>16.4025</v>
      </c>
      <c r="K3304" t="str">
        <f>IFERROR(INDEX(Rosters!$C$2:$C$155,MATCH($B3304,Rosters!$B$2:$B$155,0)),"NA")</f>
        <v>NA</v>
      </c>
      <c r="L3304" t="str">
        <f t="shared" si="153"/>
        <v>NA9WR</v>
      </c>
      <c r="M3304">
        <f>COUNTIF(L$1:L3304,L3304)</f>
        <v>36</v>
      </c>
      <c r="N3304" t="str">
        <f t="shared" si="154"/>
        <v>NA9WR-36</v>
      </c>
      <c r="O3304">
        <f>COUNTIFS(F$1:F3304,F3304,A$1:A3304,A3304)</f>
        <v>78</v>
      </c>
      <c r="P3304" t="str">
        <f t="shared" si="155"/>
        <v>D.J. Moore9</v>
      </c>
    </row>
    <row r="3305" spans="1:16" x14ac:dyDescent="0.25">
      <c r="A3305">
        <v>10</v>
      </c>
      <c r="B3305" t="s">
        <v>1391</v>
      </c>
      <c r="C3305">
        <f>-1.04-7.94</f>
        <v>-8.98</v>
      </c>
      <c r="D3305">
        <v>3.45</v>
      </c>
      <c r="E3305" t="s">
        <v>51</v>
      </c>
      <c r="F3305" t="s">
        <v>87</v>
      </c>
      <c r="G3305">
        <v>7.94</v>
      </c>
      <c r="H3305">
        <v>-1.04</v>
      </c>
      <c r="I3305">
        <v>4.49</v>
      </c>
      <c r="J3305">
        <v>20.1601</v>
      </c>
      <c r="K3305" t="str">
        <f>IFERROR(INDEX(Rosters!$C$2:$C$155,MATCH($B3305,Rosters!$B$2:$B$155,0)),"NA")</f>
        <v>NA</v>
      </c>
      <c r="L3305" t="str">
        <f t="shared" si="153"/>
        <v>NA10WR</v>
      </c>
      <c r="M3305">
        <f>COUNTIF(L$1:L3305,L3305)</f>
        <v>29</v>
      </c>
      <c r="N3305" t="str">
        <f t="shared" si="154"/>
        <v>NA10WR-29</v>
      </c>
      <c r="O3305">
        <f>COUNTIFS(F$1:F3305,F3305,A$1:A3305,A3305)</f>
        <v>73</v>
      </c>
      <c r="P3305" t="str">
        <f t="shared" si="155"/>
        <v>D.J. Moore10</v>
      </c>
    </row>
    <row r="3306" spans="1:16" x14ac:dyDescent="0.25">
      <c r="A3306">
        <v>4</v>
      </c>
      <c r="B3306" t="s">
        <v>1478</v>
      </c>
      <c r="C3306" t="s">
        <v>4589</v>
      </c>
      <c r="D3306">
        <v>3.45</v>
      </c>
      <c r="E3306" t="s">
        <v>38</v>
      </c>
      <c r="F3306" t="s">
        <v>114</v>
      </c>
      <c r="G3306">
        <v>5.6</v>
      </c>
      <c r="H3306">
        <v>1.3</v>
      </c>
      <c r="I3306">
        <v>2.15</v>
      </c>
      <c r="J3306">
        <v>4.6224999999999996</v>
      </c>
      <c r="K3306" t="str">
        <f>IFERROR(INDEX(Rosters!$C$2:$C$155,MATCH($B3306,Rosters!$B$2:$B$155,0)),"NA")</f>
        <v>NA</v>
      </c>
      <c r="L3306" t="str">
        <f t="shared" si="153"/>
        <v>NA4TE</v>
      </c>
      <c r="M3306">
        <f>COUNTIF(L$1:L3306,L3306)</f>
        <v>12</v>
      </c>
      <c r="N3306" t="str">
        <f t="shared" si="154"/>
        <v>NA4TE-12</v>
      </c>
      <c r="O3306">
        <f>COUNTIFS(F$1:F3306,F3306,A$1:A3306,A3306)</f>
        <v>23</v>
      </c>
      <c r="P3306" t="str">
        <f t="shared" si="155"/>
        <v>Dallas Goedert4</v>
      </c>
    </row>
    <row r="3307" spans="1:16" x14ac:dyDescent="0.25">
      <c r="A3307">
        <v>17</v>
      </c>
      <c r="B3307" t="s">
        <v>1478</v>
      </c>
      <c r="C3307" t="s">
        <v>8034</v>
      </c>
      <c r="D3307">
        <v>3.45</v>
      </c>
      <c r="E3307" t="s">
        <v>60</v>
      </c>
      <c r="F3307" t="s">
        <v>114</v>
      </c>
      <c r="G3307">
        <v>6.9</v>
      </c>
      <c r="H3307">
        <v>0</v>
      </c>
      <c r="I3307">
        <v>3.45</v>
      </c>
      <c r="J3307">
        <v>11.9025</v>
      </c>
      <c r="K3307" t="str">
        <f>IFERROR(INDEX(Rosters!$C$2:$C$155,MATCH($B3307,Rosters!$B$2:$B$155,0)),"NA")</f>
        <v>NA</v>
      </c>
      <c r="L3307" t="str">
        <f t="shared" si="153"/>
        <v>NA17TE</v>
      </c>
      <c r="M3307">
        <f>COUNTIF(L$1:L3307,L3307)</f>
        <v>10</v>
      </c>
      <c r="N3307" t="str">
        <f t="shared" si="154"/>
        <v>NA17TE-10</v>
      </c>
      <c r="O3307">
        <f>COUNTIFS(F$1:F3307,F3307,A$1:A3307,A3307)</f>
        <v>24</v>
      </c>
      <c r="P3307" t="str">
        <f t="shared" si="155"/>
        <v>Dallas Goedert17</v>
      </c>
    </row>
    <row r="3308" spans="1:16" x14ac:dyDescent="0.25">
      <c r="A3308">
        <v>6</v>
      </c>
      <c r="B3308" t="s">
        <v>238</v>
      </c>
      <c r="C3308" t="s">
        <v>8035</v>
      </c>
      <c r="D3308">
        <v>3.45</v>
      </c>
      <c r="E3308" t="s">
        <v>28</v>
      </c>
      <c r="F3308" t="s">
        <v>87</v>
      </c>
      <c r="G3308">
        <v>6.01</v>
      </c>
      <c r="H3308">
        <v>0.89</v>
      </c>
      <c r="I3308">
        <v>2.56</v>
      </c>
      <c r="J3308">
        <v>6.5536000000000003</v>
      </c>
      <c r="K3308" t="str">
        <f>IFERROR(INDEX(Rosters!$C$2:$C$155,MATCH($B3308,Rosters!$B$2:$B$155,0)),"NA")</f>
        <v>NA</v>
      </c>
      <c r="L3308" t="str">
        <f t="shared" si="153"/>
        <v>NA6WR</v>
      </c>
      <c r="M3308">
        <f>COUNTIF(L$1:L3308,L3308)</f>
        <v>33</v>
      </c>
      <c r="N3308" t="str">
        <f t="shared" si="154"/>
        <v>NA6WR-33</v>
      </c>
      <c r="O3308">
        <f>COUNTIFS(F$1:F3308,F3308,A$1:A3308,A3308)</f>
        <v>80</v>
      </c>
      <c r="P3308" t="str">
        <f t="shared" si="155"/>
        <v>Seth Roberts6</v>
      </c>
    </row>
    <row r="3309" spans="1:16" x14ac:dyDescent="0.25">
      <c r="A3309">
        <v>15</v>
      </c>
      <c r="B3309" t="s">
        <v>2667</v>
      </c>
      <c r="C3309" t="s">
        <v>8036</v>
      </c>
      <c r="D3309">
        <v>3.44</v>
      </c>
      <c r="E3309" t="s">
        <v>24</v>
      </c>
      <c r="F3309" t="s">
        <v>114</v>
      </c>
      <c r="G3309">
        <v>6.88</v>
      </c>
      <c r="H3309">
        <v>0</v>
      </c>
      <c r="I3309">
        <v>3.44</v>
      </c>
      <c r="J3309">
        <v>11.833600000000001</v>
      </c>
      <c r="K3309" t="str">
        <f>IFERROR(INDEX(Rosters!$C$2:$C$155,MATCH($B3309,Rosters!$B$2:$B$155,0)),"NA")</f>
        <v>NA</v>
      </c>
      <c r="L3309" t="str">
        <f t="shared" si="153"/>
        <v>NA15TE</v>
      </c>
      <c r="M3309">
        <f>COUNTIF(L$1:L3309,L3309)</f>
        <v>13</v>
      </c>
      <c r="N3309" t="str">
        <f t="shared" si="154"/>
        <v>NA15TE-13</v>
      </c>
      <c r="O3309">
        <f>COUNTIFS(F$1:F3309,F3309,A$1:A3309,A3309)</f>
        <v>27</v>
      </c>
      <c r="P3309" t="str">
        <f t="shared" si="155"/>
        <v>Antonio Gates15</v>
      </c>
    </row>
    <row r="3310" spans="1:16" x14ac:dyDescent="0.25">
      <c r="A3310">
        <v>12</v>
      </c>
      <c r="B3310" t="s">
        <v>875</v>
      </c>
      <c r="C3310" t="s">
        <v>8037</v>
      </c>
      <c r="D3310">
        <v>3.44</v>
      </c>
      <c r="E3310" t="s">
        <v>38</v>
      </c>
      <c r="F3310" t="s">
        <v>87</v>
      </c>
      <c r="G3310">
        <v>6.48</v>
      </c>
      <c r="H3310">
        <v>0.4</v>
      </c>
      <c r="I3310">
        <v>3.04</v>
      </c>
      <c r="J3310">
        <v>9.2416</v>
      </c>
      <c r="K3310" t="str">
        <f>IFERROR(INDEX(Rosters!$C$2:$C$155,MATCH($B3310,Rosters!$B$2:$B$155,0)),"NA")</f>
        <v>NA</v>
      </c>
      <c r="L3310" t="str">
        <f t="shared" si="153"/>
        <v>NA12WR</v>
      </c>
      <c r="M3310">
        <f>COUNTIF(L$1:L3310,L3310)</f>
        <v>39</v>
      </c>
      <c r="N3310" t="str">
        <f t="shared" si="154"/>
        <v>NA12WR-39</v>
      </c>
      <c r="O3310">
        <f>COUNTIFS(F$1:F3310,F3310,A$1:A3310,A3310)</f>
        <v>86</v>
      </c>
      <c r="P3310" t="str">
        <f t="shared" si="155"/>
        <v>Bruce Ellington12</v>
      </c>
    </row>
    <row r="3311" spans="1:16" x14ac:dyDescent="0.25">
      <c r="A3311">
        <v>12</v>
      </c>
      <c r="B3311" t="s">
        <v>1439</v>
      </c>
      <c r="C3311" t="s">
        <v>8038</v>
      </c>
      <c r="D3311">
        <v>3.44</v>
      </c>
      <c r="E3311" t="s">
        <v>42</v>
      </c>
      <c r="F3311" t="s">
        <v>87</v>
      </c>
      <c r="G3311">
        <v>6.37</v>
      </c>
      <c r="H3311">
        <v>0.51</v>
      </c>
      <c r="I3311">
        <v>2.93</v>
      </c>
      <c r="J3311">
        <v>8.5848999999999993</v>
      </c>
      <c r="K3311" t="str">
        <f>IFERROR(INDEX(Rosters!$C$2:$C$155,MATCH($B3311,Rosters!$B$2:$B$155,0)),"NA")</f>
        <v>NA</v>
      </c>
      <c r="L3311" t="str">
        <f t="shared" si="153"/>
        <v>NA12WR</v>
      </c>
      <c r="M3311">
        <f>COUNTIF(L$1:L3311,L3311)</f>
        <v>40</v>
      </c>
      <c r="N3311" t="str">
        <f t="shared" si="154"/>
        <v>NA12WR-40</v>
      </c>
      <c r="O3311">
        <f>COUNTIFS(F$1:F3311,F3311,A$1:A3311,A3311)</f>
        <v>87</v>
      </c>
      <c r="P3311" t="str">
        <f t="shared" si="155"/>
        <v>James Washington12</v>
      </c>
    </row>
    <row r="3312" spans="1:16" x14ac:dyDescent="0.25">
      <c r="A3312">
        <v>6</v>
      </c>
      <c r="B3312" t="s">
        <v>388</v>
      </c>
      <c r="C3312" t="s">
        <v>8039</v>
      </c>
      <c r="D3312">
        <v>3.44</v>
      </c>
      <c r="E3312" t="s">
        <v>76</v>
      </c>
      <c r="F3312" t="s">
        <v>47</v>
      </c>
      <c r="G3312">
        <v>6.82</v>
      </c>
      <c r="H3312">
        <v>0.06</v>
      </c>
      <c r="I3312">
        <v>3.38</v>
      </c>
      <c r="J3312">
        <v>11.4244</v>
      </c>
      <c r="K3312" t="str">
        <f>IFERROR(INDEX(Rosters!$C$2:$C$155,MATCH($B3312,Rosters!$B$2:$B$155,0)),"NA")</f>
        <v>NA</v>
      </c>
      <c r="L3312" t="str">
        <f t="shared" si="153"/>
        <v>NA6RB</v>
      </c>
      <c r="M3312">
        <f>COUNTIF(L$1:L3312,L3312)</f>
        <v>22</v>
      </c>
      <c r="N3312" t="str">
        <f t="shared" si="154"/>
        <v>NA6RB-22</v>
      </c>
      <c r="O3312">
        <f>COUNTIFS(F$1:F3312,F3312,A$1:A3312,A3312)</f>
        <v>63</v>
      </c>
      <c r="P3312" t="str">
        <f t="shared" si="155"/>
        <v>Rod Smith6</v>
      </c>
    </row>
    <row r="3313" spans="1:16" x14ac:dyDescent="0.25">
      <c r="A3313">
        <v>11</v>
      </c>
      <c r="B3313" t="s">
        <v>214</v>
      </c>
      <c r="C3313" t="s">
        <v>8040</v>
      </c>
      <c r="D3313">
        <v>3.44</v>
      </c>
      <c r="E3313" t="s">
        <v>76</v>
      </c>
      <c r="F3313" t="s">
        <v>114</v>
      </c>
      <c r="G3313">
        <v>6.64</v>
      </c>
      <c r="H3313">
        <v>0.24</v>
      </c>
      <c r="I3313">
        <v>3.2</v>
      </c>
      <c r="J3313">
        <v>10.24</v>
      </c>
      <c r="K3313" t="str">
        <f>IFERROR(INDEX(Rosters!$C$2:$C$155,MATCH($B3313,Rosters!$B$2:$B$155,0)),"NA")</f>
        <v>scott</v>
      </c>
      <c r="L3313" t="str">
        <f t="shared" si="153"/>
        <v>scott11TE</v>
      </c>
      <c r="M3313">
        <f>COUNTIF(L$1:L3313,L3313)</f>
        <v>1</v>
      </c>
      <c r="N3313" t="str">
        <f t="shared" si="154"/>
        <v>scott11TE-1</v>
      </c>
      <c r="O3313">
        <f>COUNTIFS(F$1:F3313,F3313,A$1:A3313,A3313)</f>
        <v>18</v>
      </c>
      <c r="P3313" t="str">
        <f t="shared" si="155"/>
        <v>Vance McDonald11</v>
      </c>
    </row>
    <row r="3314" spans="1:16" x14ac:dyDescent="0.25">
      <c r="A3314">
        <v>16</v>
      </c>
      <c r="B3314" t="s">
        <v>273</v>
      </c>
      <c r="C3314" t="s">
        <v>8041</v>
      </c>
      <c r="D3314">
        <v>3.43</v>
      </c>
      <c r="E3314" t="s">
        <v>76</v>
      </c>
      <c r="F3314" t="s">
        <v>87</v>
      </c>
      <c r="G3314">
        <v>6.01</v>
      </c>
      <c r="H3314">
        <v>0.85</v>
      </c>
      <c r="I3314">
        <v>2.58</v>
      </c>
      <c r="J3314">
        <v>6.6563999999999997</v>
      </c>
      <c r="K3314" t="str">
        <f>IFERROR(INDEX(Rosters!$C$2:$C$155,MATCH($B3314,Rosters!$B$2:$B$155,0)),"NA")</f>
        <v>NA</v>
      </c>
      <c r="L3314" t="str">
        <f t="shared" si="153"/>
        <v>NA16WR</v>
      </c>
      <c r="M3314">
        <f>COUNTIF(L$1:L3314,L3314)</f>
        <v>39</v>
      </c>
      <c r="N3314" t="str">
        <f t="shared" si="154"/>
        <v>NA16WR-39</v>
      </c>
      <c r="O3314">
        <f>COUNTIFS(F$1:F3314,F3314,A$1:A3314,A3314)</f>
        <v>91</v>
      </c>
      <c r="P3314" t="str">
        <f t="shared" si="155"/>
        <v>Albert Wilson16</v>
      </c>
    </row>
    <row r="3315" spans="1:16" x14ac:dyDescent="0.25">
      <c r="A3315">
        <v>9</v>
      </c>
      <c r="B3315" t="s">
        <v>1367</v>
      </c>
      <c r="C3315" t="s">
        <v>8042</v>
      </c>
      <c r="D3315">
        <v>3.43</v>
      </c>
      <c r="E3315" t="s">
        <v>56</v>
      </c>
      <c r="F3315" t="s">
        <v>87</v>
      </c>
      <c r="G3315">
        <v>5.84</v>
      </c>
      <c r="H3315">
        <v>1.02</v>
      </c>
      <c r="I3315">
        <v>2.41</v>
      </c>
      <c r="J3315">
        <v>5.8080999999999996</v>
      </c>
      <c r="K3315" t="str">
        <f>IFERROR(INDEX(Rosters!$C$2:$C$155,MATCH($B3315,Rosters!$B$2:$B$155,0)),"NA")</f>
        <v>NA</v>
      </c>
      <c r="L3315" t="str">
        <f t="shared" si="153"/>
        <v>NA9WR</v>
      </c>
      <c r="M3315">
        <f>COUNTIF(L$1:L3315,L3315)</f>
        <v>37</v>
      </c>
      <c r="N3315" t="str">
        <f t="shared" si="154"/>
        <v>NA9WR-37</v>
      </c>
      <c r="O3315">
        <f>COUNTIFS(F$1:F3315,F3315,A$1:A3315,A3315)</f>
        <v>79</v>
      </c>
      <c r="P3315" t="str">
        <f t="shared" si="155"/>
        <v>Cameron Meredith9</v>
      </c>
    </row>
    <row r="3316" spans="1:16" x14ac:dyDescent="0.25">
      <c r="A3316">
        <v>16</v>
      </c>
      <c r="B3316" t="s">
        <v>309</v>
      </c>
      <c r="C3316" t="s">
        <v>8043</v>
      </c>
      <c r="D3316">
        <v>3.43</v>
      </c>
      <c r="E3316" t="s">
        <v>17</v>
      </c>
      <c r="F3316" t="s">
        <v>114</v>
      </c>
      <c r="G3316">
        <v>6.28</v>
      </c>
      <c r="H3316">
        <v>0.57999999999999996</v>
      </c>
      <c r="I3316">
        <v>2.85</v>
      </c>
      <c r="J3316">
        <v>8.1225000000000005</v>
      </c>
      <c r="K3316" t="str">
        <f>IFERROR(INDEX(Rosters!$C$2:$C$155,MATCH($B3316,Rosters!$B$2:$B$155,0)),"NA")</f>
        <v>NA</v>
      </c>
      <c r="L3316" t="str">
        <f t="shared" si="153"/>
        <v>NA16TE</v>
      </c>
      <c r="M3316">
        <f>COUNTIF(L$1:L3316,L3316)</f>
        <v>11</v>
      </c>
      <c r="N3316" t="str">
        <f t="shared" si="154"/>
        <v>NA16TE-11</v>
      </c>
      <c r="O3316">
        <f>COUNTIFS(F$1:F3316,F3316,A$1:A3316,A3316)</f>
        <v>25</v>
      </c>
      <c r="P3316" t="str">
        <f t="shared" si="155"/>
        <v>Geoff Swaim16</v>
      </c>
    </row>
    <row r="3317" spans="1:16" x14ac:dyDescent="0.25">
      <c r="A3317">
        <v>14</v>
      </c>
      <c r="B3317" t="s">
        <v>373</v>
      </c>
      <c r="C3317" t="s">
        <v>3765</v>
      </c>
      <c r="D3317">
        <v>3.42</v>
      </c>
      <c r="E3317" t="s">
        <v>60</v>
      </c>
      <c r="F3317" t="s">
        <v>87</v>
      </c>
      <c r="G3317">
        <v>6.53</v>
      </c>
      <c r="H3317">
        <v>0.31</v>
      </c>
      <c r="I3317">
        <v>3.11</v>
      </c>
      <c r="J3317">
        <v>9.6721000000000004</v>
      </c>
      <c r="K3317" t="str">
        <f>IFERROR(INDEX(Rosters!$C$2:$C$155,MATCH($B3317,Rosters!$B$2:$B$155,0)),"NA")</f>
        <v>NA</v>
      </c>
      <c r="L3317" t="str">
        <f t="shared" si="153"/>
        <v>NA14WR</v>
      </c>
      <c r="M3317">
        <f>COUNTIF(L$1:L3317,L3317)</f>
        <v>34</v>
      </c>
      <c r="N3317" t="str">
        <f t="shared" si="154"/>
        <v>NA14WR-34</v>
      </c>
      <c r="O3317">
        <f>COUNTIFS(F$1:F3317,F3317,A$1:A3317,A3317)</f>
        <v>87</v>
      </c>
      <c r="P3317" t="str">
        <f t="shared" si="155"/>
        <v>Cody Latimer14</v>
      </c>
    </row>
    <row r="3318" spans="1:16" x14ac:dyDescent="0.25">
      <c r="A3318">
        <v>17</v>
      </c>
      <c r="B3318" t="s">
        <v>4206</v>
      </c>
      <c r="C3318" t="s">
        <v>8044</v>
      </c>
      <c r="D3318">
        <v>3.42</v>
      </c>
      <c r="E3318" t="s">
        <v>17</v>
      </c>
      <c r="F3318" t="s">
        <v>47</v>
      </c>
      <c r="G3318">
        <v>6.16</v>
      </c>
      <c r="H3318">
        <v>0.68</v>
      </c>
      <c r="I3318">
        <v>2.74</v>
      </c>
      <c r="J3318">
        <v>7.5076000000000001</v>
      </c>
      <c r="K3318" t="str">
        <f>IFERROR(INDEX(Rosters!$C$2:$C$155,MATCH($B3318,Rosters!$B$2:$B$155,0)),"NA")</f>
        <v>NA</v>
      </c>
      <c r="L3318" t="str">
        <f t="shared" si="153"/>
        <v>NA17RB</v>
      </c>
      <c r="M3318">
        <f>COUNTIF(L$1:L3318,L3318)</f>
        <v>22</v>
      </c>
      <c r="N3318" t="str">
        <f t="shared" si="154"/>
        <v>NA17RB-22</v>
      </c>
      <c r="O3318">
        <f>COUNTIFS(F$1:F3318,F3318,A$1:A3318,A3318)</f>
        <v>68</v>
      </c>
      <c r="P3318" t="str">
        <f t="shared" si="155"/>
        <v>Ito Smith17</v>
      </c>
    </row>
    <row r="3319" spans="1:16" x14ac:dyDescent="0.25">
      <c r="A3319">
        <v>3</v>
      </c>
      <c r="B3319" t="s">
        <v>798</v>
      </c>
      <c r="C3319" t="s">
        <v>3765</v>
      </c>
      <c r="D3319">
        <v>3.42</v>
      </c>
      <c r="E3319" t="s">
        <v>73</v>
      </c>
      <c r="F3319" t="s">
        <v>87</v>
      </c>
      <c r="G3319">
        <v>6.53</v>
      </c>
      <c r="H3319">
        <v>0.31</v>
      </c>
      <c r="I3319">
        <v>3.11</v>
      </c>
      <c r="J3319">
        <v>9.6721000000000004</v>
      </c>
      <c r="K3319" t="str">
        <f>IFERROR(INDEX(Rosters!$C$2:$C$155,MATCH($B3319,Rosters!$B$2:$B$155,0)),"NA")</f>
        <v>NA</v>
      </c>
      <c r="L3319" t="str">
        <f t="shared" si="153"/>
        <v>NA3WR</v>
      </c>
      <c r="M3319">
        <f>COUNTIF(L$1:L3319,L3319)</f>
        <v>28</v>
      </c>
      <c r="N3319" t="str">
        <f t="shared" si="154"/>
        <v>NA3WR-28</v>
      </c>
      <c r="O3319">
        <f>COUNTIFS(F$1:F3319,F3319,A$1:A3319,A3319)</f>
        <v>75</v>
      </c>
      <c r="P3319" t="str">
        <f t="shared" si="155"/>
        <v>Rashard Higgins3</v>
      </c>
    </row>
    <row r="3320" spans="1:16" x14ac:dyDescent="0.25">
      <c r="A3320">
        <v>10</v>
      </c>
      <c r="B3320" t="s">
        <v>1540</v>
      </c>
      <c r="C3320" t="s">
        <v>8045</v>
      </c>
      <c r="D3320">
        <v>3.42</v>
      </c>
      <c r="E3320" t="s">
        <v>74</v>
      </c>
      <c r="F3320" t="s">
        <v>87</v>
      </c>
      <c r="G3320">
        <v>6.83</v>
      </c>
      <c r="H3320">
        <v>0.01</v>
      </c>
      <c r="I3320">
        <v>3.41</v>
      </c>
      <c r="J3320">
        <v>11.6281</v>
      </c>
      <c r="K3320" t="str">
        <f>IFERROR(INDEX(Rosters!$C$2:$C$155,MATCH($B3320,Rosters!$B$2:$B$155,0)),"NA")</f>
        <v>NA</v>
      </c>
      <c r="L3320" t="str">
        <f t="shared" si="153"/>
        <v>NA10WR</v>
      </c>
      <c r="M3320">
        <f>COUNTIF(L$1:L3320,L3320)</f>
        <v>30</v>
      </c>
      <c r="N3320" t="str">
        <f t="shared" si="154"/>
        <v>NA10WR-30</v>
      </c>
      <c r="O3320">
        <f>COUNTIFS(F$1:F3320,F3320,A$1:A3320,A3320)</f>
        <v>74</v>
      </c>
      <c r="P3320" t="str">
        <f t="shared" si="155"/>
        <v>Ryan Switzer10</v>
      </c>
    </row>
    <row r="3321" spans="1:16" x14ac:dyDescent="0.25">
      <c r="A3321">
        <v>6</v>
      </c>
      <c r="B3321" t="s">
        <v>1432</v>
      </c>
      <c r="C3321" t="s">
        <v>8046</v>
      </c>
      <c r="D3321">
        <v>3.41</v>
      </c>
      <c r="E3321" t="s">
        <v>25</v>
      </c>
      <c r="F3321" t="s">
        <v>47</v>
      </c>
      <c r="G3321">
        <v>6.43</v>
      </c>
      <c r="H3321">
        <v>0.39</v>
      </c>
      <c r="I3321">
        <v>3.02</v>
      </c>
      <c r="J3321">
        <v>9.1204000000000001</v>
      </c>
      <c r="K3321" t="str">
        <f>IFERROR(INDEX(Rosters!$C$2:$C$155,MATCH($B3321,Rosters!$B$2:$B$155,0)),"NA")</f>
        <v>NA</v>
      </c>
      <c r="L3321" t="str">
        <f t="shared" si="153"/>
        <v>NA6RB</v>
      </c>
      <c r="M3321">
        <f>COUNTIF(L$1:L3321,L3321)</f>
        <v>23</v>
      </c>
      <c r="N3321" t="str">
        <f t="shared" si="154"/>
        <v>NA6RB-23</v>
      </c>
      <c r="O3321">
        <f>COUNTIFS(F$1:F3321,F3321,A$1:A3321,A3321)</f>
        <v>64</v>
      </c>
      <c r="P3321" t="str">
        <f t="shared" si="155"/>
        <v>Chase Edmonds6</v>
      </c>
    </row>
    <row r="3322" spans="1:16" x14ac:dyDescent="0.25">
      <c r="A3322">
        <v>3</v>
      </c>
      <c r="B3322" t="s">
        <v>1391</v>
      </c>
      <c r="C3322" t="s">
        <v>3766</v>
      </c>
      <c r="D3322">
        <v>3.41</v>
      </c>
      <c r="E3322" t="s">
        <v>31</v>
      </c>
      <c r="F3322" t="s">
        <v>87</v>
      </c>
      <c r="G3322">
        <v>6.52</v>
      </c>
      <c r="H3322">
        <v>0.3</v>
      </c>
      <c r="I3322">
        <v>3.11</v>
      </c>
      <c r="J3322">
        <v>9.6721000000000004</v>
      </c>
      <c r="K3322" t="str">
        <f>IFERROR(INDEX(Rosters!$C$2:$C$155,MATCH($B3322,Rosters!$B$2:$B$155,0)),"NA")</f>
        <v>NA</v>
      </c>
      <c r="L3322" t="str">
        <f t="shared" si="153"/>
        <v>NA3WR</v>
      </c>
      <c r="M3322">
        <f>COUNTIF(L$1:L3322,L3322)</f>
        <v>29</v>
      </c>
      <c r="N3322" t="str">
        <f t="shared" si="154"/>
        <v>NA3WR-29</v>
      </c>
      <c r="O3322">
        <f>COUNTIFS(F$1:F3322,F3322,A$1:A3322,A3322)</f>
        <v>76</v>
      </c>
      <c r="P3322" t="str">
        <f t="shared" si="155"/>
        <v>D.J. Moore3</v>
      </c>
    </row>
    <row r="3323" spans="1:16" x14ac:dyDescent="0.25">
      <c r="A3323">
        <v>5</v>
      </c>
      <c r="B3323" t="s">
        <v>309</v>
      </c>
      <c r="C3323" t="s">
        <v>8047</v>
      </c>
      <c r="D3323">
        <v>3.41</v>
      </c>
      <c r="E3323" t="s">
        <v>36</v>
      </c>
      <c r="F3323" t="s">
        <v>114</v>
      </c>
      <c r="G3323">
        <v>6.74</v>
      </c>
      <c r="H3323">
        <v>0.08</v>
      </c>
      <c r="I3323">
        <v>3.33</v>
      </c>
      <c r="J3323">
        <v>11.088900000000001</v>
      </c>
      <c r="K3323" t="str">
        <f>IFERROR(INDEX(Rosters!$C$2:$C$155,MATCH($B3323,Rosters!$B$2:$B$155,0)),"NA")</f>
        <v>NA</v>
      </c>
      <c r="L3323" t="str">
        <f t="shared" si="153"/>
        <v>NA5TE</v>
      </c>
      <c r="M3323">
        <f>COUNTIF(L$1:L3323,L3323)</f>
        <v>13</v>
      </c>
      <c r="N3323" t="str">
        <f t="shared" si="154"/>
        <v>NA5TE-13</v>
      </c>
      <c r="O3323">
        <f>COUNTIFS(F$1:F3323,F3323,A$1:A3323,A3323)</f>
        <v>24</v>
      </c>
      <c r="P3323" t="str">
        <f t="shared" si="155"/>
        <v>Geoff Swaim5</v>
      </c>
    </row>
    <row r="3324" spans="1:16" x14ac:dyDescent="0.25">
      <c r="A3324">
        <v>3</v>
      </c>
      <c r="B3324" t="s">
        <v>1377</v>
      </c>
      <c r="C3324" t="s">
        <v>3767</v>
      </c>
      <c r="D3324">
        <v>3.4</v>
      </c>
      <c r="E3324" t="s">
        <v>58</v>
      </c>
      <c r="F3324" t="s">
        <v>87</v>
      </c>
      <c r="G3324">
        <v>6.23</v>
      </c>
      <c r="H3324">
        <v>0.56999999999999995</v>
      </c>
      <c r="I3324">
        <v>2.83</v>
      </c>
      <c r="J3324">
        <v>8.0089000000000006</v>
      </c>
      <c r="K3324" t="str">
        <f>IFERROR(INDEX(Rosters!$C$2:$C$155,MATCH($B3324,Rosters!$B$2:$B$155,0)),"NA")</f>
        <v>NA</v>
      </c>
      <c r="L3324" t="str">
        <f t="shared" si="153"/>
        <v>NA3WR</v>
      </c>
      <c r="M3324">
        <f>COUNTIF(L$1:L3324,L3324)</f>
        <v>30</v>
      </c>
      <c r="N3324" t="str">
        <f t="shared" si="154"/>
        <v>NA3WR-30</v>
      </c>
      <c r="O3324">
        <f>COUNTIFS(F$1:F3324,F3324,A$1:A3324,A3324)</f>
        <v>77</v>
      </c>
      <c r="P3324" t="str">
        <f t="shared" si="155"/>
        <v>Anthony Miller3</v>
      </c>
    </row>
    <row r="3325" spans="1:16" x14ac:dyDescent="0.25">
      <c r="A3325">
        <v>17</v>
      </c>
      <c r="B3325" t="s">
        <v>292</v>
      </c>
      <c r="C3325" t="s">
        <v>8048</v>
      </c>
      <c r="D3325">
        <v>3.4</v>
      </c>
      <c r="E3325" t="s">
        <v>41</v>
      </c>
      <c r="F3325" t="s">
        <v>114</v>
      </c>
      <c r="G3325">
        <v>6.29</v>
      </c>
      <c r="H3325">
        <v>0.51</v>
      </c>
      <c r="I3325">
        <v>2.89</v>
      </c>
      <c r="J3325">
        <v>8.3521000000000001</v>
      </c>
      <c r="K3325" t="str">
        <f>IFERROR(INDEX(Rosters!$C$2:$C$155,MATCH($B3325,Rosters!$B$2:$B$155,0)),"NA")</f>
        <v>NA</v>
      </c>
      <c r="L3325" t="str">
        <f t="shared" si="153"/>
        <v>NA17TE</v>
      </c>
      <c r="M3325">
        <f>COUNTIF(L$1:L3325,L3325)</f>
        <v>11</v>
      </c>
      <c r="N3325" t="str">
        <f t="shared" si="154"/>
        <v>NA17TE-11</v>
      </c>
      <c r="O3325">
        <f>COUNTIFS(F$1:F3325,F3325,A$1:A3325,A3325)</f>
        <v>25</v>
      </c>
      <c r="P3325" t="str">
        <f t="shared" si="155"/>
        <v>Luke Willson17</v>
      </c>
    </row>
    <row r="3326" spans="1:16" x14ac:dyDescent="0.25">
      <c r="A3326">
        <v>15</v>
      </c>
      <c r="B3326" t="s">
        <v>243</v>
      </c>
      <c r="C3326" t="s">
        <v>8049</v>
      </c>
      <c r="D3326">
        <v>3.4</v>
      </c>
      <c r="E3326" t="s">
        <v>51</v>
      </c>
      <c r="F3326" t="s">
        <v>87</v>
      </c>
      <c r="G3326">
        <v>5.74</v>
      </c>
      <c r="H3326">
        <v>1.06</v>
      </c>
      <c r="I3326">
        <v>2.34</v>
      </c>
      <c r="J3326">
        <v>5.4756</v>
      </c>
      <c r="K3326" t="str">
        <f>IFERROR(INDEX(Rosters!$C$2:$C$155,MATCH($B3326,Rosters!$B$2:$B$155,0)),"NA")</f>
        <v>NA</v>
      </c>
      <c r="L3326" t="str">
        <f t="shared" si="153"/>
        <v>NA15WR</v>
      </c>
      <c r="M3326">
        <f>COUNTIF(L$1:L3326,L3326)</f>
        <v>38</v>
      </c>
      <c r="N3326" t="str">
        <f t="shared" si="154"/>
        <v>NA15WR-38</v>
      </c>
      <c r="O3326">
        <f>COUNTIFS(F$1:F3326,F3326,A$1:A3326,A3326)</f>
        <v>90</v>
      </c>
      <c r="P3326" t="str">
        <f t="shared" si="155"/>
        <v>Phillip Dorsett15</v>
      </c>
    </row>
    <row r="3327" spans="1:16" x14ac:dyDescent="0.25">
      <c r="A3327">
        <v>10</v>
      </c>
      <c r="B3327" t="s">
        <v>109</v>
      </c>
      <c r="C3327" t="s">
        <v>8050</v>
      </c>
      <c r="D3327">
        <v>3.4</v>
      </c>
      <c r="E3327" t="s">
        <v>19</v>
      </c>
      <c r="F3327" t="s">
        <v>47</v>
      </c>
      <c r="G3327">
        <v>5.39</v>
      </c>
      <c r="H3327">
        <v>1.41</v>
      </c>
      <c r="I3327">
        <v>1.99</v>
      </c>
      <c r="J3327">
        <v>3.9601000000000002</v>
      </c>
      <c r="K3327" t="str">
        <f>IFERROR(INDEX(Rosters!$C$2:$C$155,MATCH($B3327,Rosters!$B$2:$B$155,0)),"NA")</f>
        <v>seth</v>
      </c>
      <c r="L3327" t="str">
        <f t="shared" si="153"/>
        <v>seth10RB</v>
      </c>
      <c r="M3327">
        <f>COUNTIF(L$1:L3327,L3327)</f>
        <v>5</v>
      </c>
      <c r="N3327" t="str">
        <f t="shared" si="154"/>
        <v>seth10RB-5</v>
      </c>
      <c r="O3327">
        <f>COUNTIFS(F$1:F3327,F3327,A$1:A3327,A3327)</f>
        <v>59</v>
      </c>
      <c r="P3327" t="str">
        <f t="shared" si="155"/>
        <v>Ty Montgomery10</v>
      </c>
    </row>
    <row r="3328" spans="1:16" x14ac:dyDescent="0.25">
      <c r="A3328">
        <v>14</v>
      </c>
      <c r="B3328" t="s">
        <v>242</v>
      </c>
      <c r="C3328" t="s">
        <v>8051</v>
      </c>
      <c r="D3328">
        <v>3.39</v>
      </c>
      <c r="E3328" t="s">
        <v>14</v>
      </c>
      <c r="F3328" t="s">
        <v>87</v>
      </c>
      <c r="G3328">
        <v>6.39</v>
      </c>
      <c r="H3328">
        <v>0.39</v>
      </c>
      <c r="I3328">
        <v>3</v>
      </c>
      <c r="J3328">
        <v>9</v>
      </c>
      <c r="K3328" t="str">
        <f>IFERROR(INDEX(Rosters!$C$2:$C$155,MATCH($B3328,Rosters!$B$2:$B$155,0)),"NA")</f>
        <v>NA</v>
      </c>
      <c r="L3328" t="str">
        <f t="shared" si="153"/>
        <v>NA14WR</v>
      </c>
      <c r="M3328">
        <f>COUNTIF(L$1:L3328,L3328)</f>
        <v>35</v>
      </c>
      <c r="N3328" t="str">
        <f t="shared" si="154"/>
        <v>NA14WR-35</v>
      </c>
      <c r="O3328">
        <f>COUNTIFS(F$1:F3328,F3328,A$1:A3328,A3328)</f>
        <v>88</v>
      </c>
      <c r="P3328" t="str">
        <f t="shared" si="155"/>
        <v>Adam Humphries14</v>
      </c>
    </row>
    <row r="3329" spans="1:16" x14ac:dyDescent="0.25">
      <c r="A3329">
        <v>3</v>
      </c>
      <c r="B3329" t="s">
        <v>211</v>
      </c>
      <c r="C3329">
        <f>-0.2-6.98</f>
        <v>-7.1800000000000006</v>
      </c>
      <c r="D3329">
        <v>3.39</v>
      </c>
      <c r="E3329" t="s">
        <v>14</v>
      </c>
      <c r="F3329" t="s">
        <v>114</v>
      </c>
      <c r="G3329">
        <v>6.98</v>
      </c>
      <c r="H3329">
        <v>-0.2</v>
      </c>
      <c r="I3329">
        <v>3.59</v>
      </c>
      <c r="J3329">
        <v>12.8881</v>
      </c>
      <c r="K3329" t="str">
        <f>IFERROR(INDEX(Rosters!$C$2:$C$155,MATCH($B3329,Rosters!$B$2:$B$155,0)),"NA")</f>
        <v>comp</v>
      </c>
      <c r="L3329" t="str">
        <f t="shared" si="153"/>
        <v>comp3TE</v>
      </c>
      <c r="M3329">
        <f>COUNTIF(L$1:L3329,L3329)</f>
        <v>2</v>
      </c>
      <c r="N3329" t="str">
        <f t="shared" si="154"/>
        <v>comp3TE-2</v>
      </c>
      <c r="O3329">
        <f>COUNTIFS(F$1:F3329,F3329,A$1:A3329,A3329)</f>
        <v>21</v>
      </c>
      <c r="P3329" t="str">
        <f t="shared" si="155"/>
        <v>Austin Hooper3</v>
      </c>
    </row>
    <row r="3330" spans="1:16" x14ac:dyDescent="0.25">
      <c r="A3330">
        <v>12</v>
      </c>
      <c r="B3330" t="s">
        <v>1367</v>
      </c>
      <c r="C3330" t="s">
        <v>8052</v>
      </c>
      <c r="D3330">
        <v>3.39</v>
      </c>
      <c r="E3330" t="s">
        <v>46</v>
      </c>
      <c r="F3330" t="s">
        <v>87</v>
      </c>
      <c r="G3330">
        <v>6.46</v>
      </c>
      <c r="H3330">
        <v>0.32</v>
      </c>
      <c r="I3330">
        <v>3.07</v>
      </c>
      <c r="J3330">
        <v>9.4248999999999992</v>
      </c>
      <c r="K3330" t="str">
        <f>IFERROR(INDEX(Rosters!$C$2:$C$155,MATCH($B3330,Rosters!$B$2:$B$155,0)),"NA")</f>
        <v>NA</v>
      </c>
      <c r="L3330" t="str">
        <f t="shared" si="153"/>
        <v>NA12WR</v>
      </c>
      <c r="M3330">
        <f>COUNTIF(L$1:L3330,L3330)</f>
        <v>41</v>
      </c>
      <c r="N3330" t="str">
        <f t="shared" si="154"/>
        <v>NA12WR-41</v>
      </c>
      <c r="O3330">
        <f>COUNTIFS(F$1:F3330,F3330,A$1:A3330,A3330)</f>
        <v>88</v>
      </c>
      <c r="P3330" t="str">
        <f t="shared" si="155"/>
        <v>Cameron Meredith12</v>
      </c>
    </row>
    <row r="3331" spans="1:16" x14ac:dyDescent="0.25">
      <c r="A3331">
        <v>11</v>
      </c>
      <c r="B3331" t="s">
        <v>282</v>
      </c>
      <c r="C3331" t="s">
        <v>8053</v>
      </c>
      <c r="D3331">
        <v>3.39</v>
      </c>
      <c r="E3331" t="s">
        <v>24</v>
      </c>
      <c r="F3331" t="s">
        <v>47</v>
      </c>
      <c r="G3331">
        <v>5.94</v>
      </c>
      <c r="H3331">
        <v>0.84</v>
      </c>
      <c r="I3331">
        <v>2.5499999999999998</v>
      </c>
      <c r="J3331">
        <v>6.5025000000000004</v>
      </c>
      <c r="K3331" t="str">
        <f>IFERROR(INDEX(Rosters!$C$2:$C$155,MATCH($B3331,Rosters!$B$2:$B$155,0)),"NA")</f>
        <v>NA</v>
      </c>
      <c r="L3331" t="str">
        <f t="shared" ref="L3331:L3394" si="156">K3331&amp;A3331&amp;F3331</f>
        <v>NA11RB</v>
      </c>
      <c r="M3331">
        <f>COUNTIF(L$1:L3331,L3331)</f>
        <v>20</v>
      </c>
      <c r="N3331" t="str">
        <f t="shared" ref="N3331:N3394" si="157">L3331&amp;"-"&amp;M3331</f>
        <v>NA11RB-20</v>
      </c>
      <c r="O3331">
        <f>COUNTIFS(F$1:F3331,F3331,A$1:A3331,A3331)</f>
        <v>57</v>
      </c>
      <c r="P3331" t="str">
        <f t="shared" ref="P3331:P3394" si="158">B3331&amp;A3331</f>
        <v>Malcolm Brown11</v>
      </c>
    </row>
    <row r="3332" spans="1:16" x14ac:dyDescent="0.25">
      <c r="A3332">
        <v>10</v>
      </c>
      <c r="B3332" t="s">
        <v>325</v>
      </c>
      <c r="C3332" t="s">
        <v>8054</v>
      </c>
      <c r="D3332">
        <v>3.39</v>
      </c>
      <c r="E3332" t="s">
        <v>14</v>
      </c>
      <c r="F3332" t="s">
        <v>114</v>
      </c>
      <c r="G3332">
        <v>6.06</v>
      </c>
      <c r="H3332">
        <v>0.72</v>
      </c>
      <c r="I3332">
        <v>2.67</v>
      </c>
      <c r="J3332">
        <v>7.1288999999999998</v>
      </c>
      <c r="K3332" t="str">
        <f>IFERROR(INDEX(Rosters!$C$2:$C$155,MATCH($B3332,Rosters!$B$2:$B$155,0)),"NA")</f>
        <v>NA</v>
      </c>
      <c r="L3332" t="str">
        <f t="shared" si="156"/>
        <v>NA10TE</v>
      </c>
      <c r="M3332">
        <f>COUNTIF(L$1:L3332,L3332)</f>
        <v>10</v>
      </c>
      <c r="N3332" t="str">
        <f t="shared" si="157"/>
        <v>NA10TE-10</v>
      </c>
      <c r="O3332">
        <f>COUNTIFS(F$1:F3332,F3332,A$1:A3332,A3332)</f>
        <v>23</v>
      </c>
      <c r="P3332" t="str">
        <f t="shared" si="158"/>
        <v>Tyler Kroft10</v>
      </c>
    </row>
    <row r="3333" spans="1:16" x14ac:dyDescent="0.25">
      <c r="A3333">
        <v>4</v>
      </c>
      <c r="B3333" t="s">
        <v>250</v>
      </c>
      <c r="C3333" t="s">
        <v>5034</v>
      </c>
      <c r="D3333">
        <v>3.39</v>
      </c>
      <c r="E3333" t="s">
        <v>38</v>
      </c>
      <c r="F3333" t="s">
        <v>47</v>
      </c>
      <c r="G3333">
        <v>5.64</v>
      </c>
      <c r="H3333">
        <v>1.1399999999999999</v>
      </c>
      <c r="I3333">
        <v>2.25</v>
      </c>
      <c r="J3333">
        <v>5.0625</v>
      </c>
      <c r="K3333" t="str">
        <f>IFERROR(INDEX(Rosters!$C$2:$C$155,MATCH($B3333,Rosters!$B$2:$B$155,0)),"NA")</f>
        <v>NA</v>
      </c>
      <c r="L3333" t="str">
        <f t="shared" si="156"/>
        <v>NA4RB</v>
      </c>
      <c r="M3333">
        <f>COUNTIF(L$1:L3333,L3333)</f>
        <v>19</v>
      </c>
      <c r="N3333" t="str">
        <f t="shared" si="157"/>
        <v>NA4RB-19</v>
      </c>
      <c r="O3333">
        <f>COUNTIFS(F$1:F3333,F3333,A$1:A3333,A3333)</f>
        <v>58</v>
      </c>
      <c r="P3333" t="str">
        <f t="shared" si="158"/>
        <v>Wendell Smallwood4</v>
      </c>
    </row>
    <row r="3334" spans="1:16" x14ac:dyDescent="0.25">
      <c r="A3334">
        <v>1</v>
      </c>
      <c r="B3334" t="s">
        <v>294</v>
      </c>
      <c r="C3334" t="s">
        <v>1774</v>
      </c>
      <c r="D3334">
        <v>3.38</v>
      </c>
      <c r="E3334" t="s">
        <v>423</v>
      </c>
      <c r="F3334" t="s">
        <v>47</v>
      </c>
      <c r="G3334">
        <v>6.14</v>
      </c>
      <c r="H3334">
        <v>0.62</v>
      </c>
      <c r="I3334">
        <v>2.76</v>
      </c>
      <c r="J3334">
        <v>7.6176000000000004</v>
      </c>
      <c r="K3334" t="str">
        <f>IFERROR(INDEX(Rosters!$C$2:$C$155,MATCH($B3334,Rosters!$B$2:$B$155,0)),"NA")</f>
        <v>perry</v>
      </c>
      <c r="L3334" t="str">
        <f t="shared" si="156"/>
        <v>perry1RB</v>
      </c>
      <c r="M3334">
        <f>COUNTIF(L$1:L3334,L3334)</f>
        <v>3</v>
      </c>
      <c r="N3334" t="str">
        <f t="shared" si="157"/>
        <v>perry1RB-3</v>
      </c>
      <c r="O3334">
        <f>COUNTIFS(F$1:F3334,F3334,A$1:A3334,A3334)</f>
        <v>60</v>
      </c>
      <c r="P3334" t="str">
        <f t="shared" si="158"/>
        <v>Alfred Blue1</v>
      </c>
    </row>
    <row r="3335" spans="1:16" x14ac:dyDescent="0.25">
      <c r="A3335">
        <v>15</v>
      </c>
      <c r="B3335" t="s">
        <v>875</v>
      </c>
      <c r="C3335" t="s">
        <v>8055</v>
      </c>
      <c r="D3335">
        <v>3.38</v>
      </c>
      <c r="E3335" t="s">
        <v>73</v>
      </c>
      <c r="F3335" t="s">
        <v>87</v>
      </c>
      <c r="G3335">
        <v>6.52</v>
      </c>
      <c r="H3335">
        <v>0.24</v>
      </c>
      <c r="I3335">
        <v>3.14</v>
      </c>
      <c r="J3335">
        <v>9.8596000000000004</v>
      </c>
      <c r="K3335" t="str">
        <f>IFERROR(INDEX(Rosters!$C$2:$C$155,MATCH($B3335,Rosters!$B$2:$B$155,0)),"NA")</f>
        <v>NA</v>
      </c>
      <c r="L3335" t="str">
        <f t="shared" si="156"/>
        <v>NA15WR</v>
      </c>
      <c r="M3335">
        <f>COUNTIF(L$1:L3335,L3335)</f>
        <v>39</v>
      </c>
      <c r="N3335" t="str">
        <f t="shared" si="157"/>
        <v>NA15WR-39</v>
      </c>
      <c r="O3335">
        <f>COUNTIFS(F$1:F3335,F3335,A$1:A3335,A3335)</f>
        <v>91</v>
      </c>
      <c r="P3335" t="str">
        <f t="shared" si="158"/>
        <v>Bruce Ellington15</v>
      </c>
    </row>
    <row r="3336" spans="1:16" x14ac:dyDescent="0.25">
      <c r="A3336">
        <v>10</v>
      </c>
      <c r="B3336" t="s">
        <v>213</v>
      </c>
      <c r="C3336" t="s">
        <v>8056</v>
      </c>
      <c r="D3336">
        <v>3.38</v>
      </c>
      <c r="E3336" t="s">
        <v>60</v>
      </c>
      <c r="F3336" t="s">
        <v>114</v>
      </c>
      <c r="G3336">
        <v>5.94</v>
      </c>
      <c r="H3336">
        <v>0.82</v>
      </c>
      <c r="I3336">
        <v>2.56</v>
      </c>
      <c r="J3336">
        <v>6.5536000000000003</v>
      </c>
      <c r="K3336" t="str">
        <f>IFERROR(INDEX(Rosters!$C$2:$C$155,MATCH($B3336,Rosters!$B$2:$B$155,0)),"NA")</f>
        <v>NA</v>
      </c>
      <c r="L3336" t="str">
        <f t="shared" si="156"/>
        <v>NA10TE</v>
      </c>
      <c r="M3336">
        <f>COUNTIF(L$1:L3336,L3336)</f>
        <v>11</v>
      </c>
      <c r="N3336" t="str">
        <f t="shared" si="157"/>
        <v>NA10TE-11</v>
      </c>
      <c r="O3336">
        <f>COUNTIFS(F$1:F3336,F3336,A$1:A3336,A3336)</f>
        <v>24</v>
      </c>
      <c r="P3336" t="str">
        <f t="shared" si="158"/>
        <v>Cameron Brate10</v>
      </c>
    </row>
    <row r="3337" spans="1:16" x14ac:dyDescent="0.25">
      <c r="A3337">
        <v>14</v>
      </c>
      <c r="B3337" t="s">
        <v>296</v>
      </c>
      <c r="C3337" t="s">
        <v>8057</v>
      </c>
      <c r="D3337">
        <v>3.38</v>
      </c>
      <c r="E3337" t="s">
        <v>52</v>
      </c>
      <c r="F3337" t="s">
        <v>87</v>
      </c>
      <c r="G3337">
        <v>6.69</v>
      </c>
      <c r="H3337">
        <v>7.0000000000000007E-2</v>
      </c>
      <c r="I3337">
        <v>3.31</v>
      </c>
      <c r="J3337">
        <v>10.956099999999999</v>
      </c>
      <c r="K3337" t="str">
        <f>IFERROR(INDEX(Rosters!$C$2:$C$155,MATCH($B3337,Rosters!$B$2:$B$155,0)),"NA")</f>
        <v>NA</v>
      </c>
      <c r="L3337" t="str">
        <f t="shared" si="156"/>
        <v>NA14WR</v>
      </c>
      <c r="M3337">
        <f>COUNTIF(L$1:L3337,L3337)</f>
        <v>36</v>
      </c>
      <c r="N3337" t="str">
        <f t="shared" si="157"/>
        <v>NA14WR-36</v>
      </c>
      <c r="O3337">
        <f>COUNTIFS(F$1:F3337,F3337,A$1:A3337,A3337)</f>
        <v>89</v>
      </c>
      <c r="P3337" t="str">
        <f t="shared" si="158"/>
        <v>Jarius Wright14</v>
      </c>
    </row>
    <row r="3338" spans="1:16" x14ac:dyDescent="0.25">
      <c r="A3338">
        <v>1</v>
      </c>
      <c r="B3338" t="s">
        <v>1336</v>
      </c>
      <c r="C3338" t="s">
        <v>1462</v>
      </c>
      <c r="D3338">
        <v>3.38</v>
      </c>
      <c r="E3338" t="s">
        <v>42</v>
      </c>
      <c r="F3338" t="s">
        <v>47</v>
      </c>
      <c r="G3338">
        <v>6.19</v>
      </c>
      <c r="H3338">
        <v>0.56999999999999995</v>
      </c>
      <c r="I3338">
        <v>2.81</v>
      </c>
      <c r="J3338">
        <v>7.8960999999999997</v>
      </c>
      <c r="K3338" t="str">
        <f>IFERROR(INDEX(Rosters!$C$2:$C$155,MATCH($B3338,Rosters!$B$2:$B$155,0)),"NA")</f>
        <v>NA</v>
      </c>
      <c r="L3338" t="str">
        <f t="shared" si="156"/>
        <v>NA1RB</v>
      </c>
      <c r="M3338">
        <f>COUNTIF(L$1:L3338,L3338)</f>
        <v>19</v>
      </c>
      <c r="N3338" t="str">
        <f t="shared" si="157"/>
        <v>NA1RB-19</v>
      </c>
      <c r="O3338">
        <f>COUNTIFS(F$1:F3338,F3338,A$1:A3338,A3338)</f>
        <v>61</v>
      </c>
      <c r="P3338" t="str">
        <f t="shared" si="158"/>
        <v>Rashaad Penny1</v>
      </c>
    </row>
    <row r="3339" spans="1:16" x14ac:dyDescent="0.25">
      <c r="A3339">
        <v>1</v>
      </c>
      <c r="B3339" t="s">
        <v>211</v>
      </c>
      <c r="C3339" t="s">
        <v>1463</v>
      </c>
      <c r="D3339">
        <v>3.37</v>
      </c>
      <c r="E3339" t="s">
        <v>50</v>
      </c>
      <c r="F3339" t="s">
        <v>114</v>
      </c>
      <c r="G3339">
        <v>6.73</v>
      </c>
      <c r="H3339">
        <v>0.01</v>
      </c>
      <c r="I3339">
        <v>3.36</v>
      </c>
      <c r="J3339">
        <v>11.2896</v>
      </c>
      <c r="K3339" t="str">
        <f>IFERROR(INDEX(Rosters!$C$2:$C$155,MATCH($B3339,Rosters!$B$2:$B$155,0)),"NA")</f>
        <v>comp</v>
      </c>
      <c r="L3339" t="str">
        <f t="shared" si="156"/>
        <v>comp1TE</v>
      </c>
      <c r="M3339">
        <f>COUNTIF(L$1:L3339,L3339)</f>
        <v>2</v>
      </c>
      <c r="N3339" t="str">
        <f t="shared" si="157"/>
        <v>comp1TE-2</v>
      </c>
      <c r="O3339">
        <f>COUNTIFS(F$1:F3339,F3339,A$1:A3339,A3339)</f>
        <v>25</v>
      </c>
      <c r="P3339" t="str">
        <f t="shared" si="158"/>
        <v>Austin Hooper1</v>
      </c>
    </row>
    <row r="3340" spans="1:16" x14ac:dyDescent="0.25">
      <c r="A3340">
        <v>7</v>
      </c>
      <c r="B3340" t="s">
        <v>305</v>
      </c>
      <c r="C3340">
        <f>-0.19-6.93</f>
        <v>-7.12</v>
      </c>
      <c r="D3340">
        <v>3.37</v>
      </c>
      <c r="E3340" t="s">
        <v>29</v>
      </c>
      <c r="F3340" t="s">
        <v>87</v>
      </c>
      <c r="G3340">
        <v>6.93</v>
      </c>
      <c r="H3340">
        <v>-0.19</v>
      </c>
      <c r="I3340">
        <v>3.56</v>
      </c>
      <c r="J3340">
        <v>12.6736</v>
      </c>
      <c r="K3340" t="str">
        <f>IFERROR(INDEX(Rosters!$C$2:$C$155,MATCH($B3340,Rosters!$B$2:$B$155,0)),"NA")</f>
        <v>NA</v>
      </c>
      <c r="L3340" t="str">
        <f t="shared" si="156"/>
        <v>NA7WR</v>
      </c>
      <c r="M3340">
        <f>COUNTIF(L$1:L3340,L3340)</f>
        <v>33</v>
      </c>
      <c r="N3340" t="str">
        <f t="shared" si="157"/>
        <v>NA7WR-33</v>
      </c>
      <c r="O3340">
        <f>COUNTIFS(F$1:F3340,F3340,A$1:A3340,A3340)</f>
        <v>77</v>
      </c>
      <c r="P3340" t="str">
        <f t="shared" si="158"/>
        <v>Chester Rogers7</v>
      </c>
    </row>
    <row r="3341" spans="1:16" x14ac:dyDescent="0.25">
      <c r="A3341">
        <v>1</v>
      </c>
      <c r="B3341" t="s">
        <v>271</v>
      </c>
      <c r="C3341" t="s">
        <v>1464</v>
      </c>
      <c r="D3341">
        <v>3.37</v>
      </c>
      <c r="E3341" t="s">
        <v>72</v>
      </c>
      <c r="F3341" t="s">
        <v>87</v>
      </c>
      <c r="G3341">
        <v>6.35</v>
      </c>
      <c r="H3341">
        <v>0.39</v>
      </c>
      <c r="I3341">
        <v>2.98</v>
      </c>
      <c r="J3341">
        <v>8.8803999999999998</v>
      </c>
      <c r="K3341" t="str">
        <f>IFERROR(INDEX(Rosters!$C$2:$C$155,MATCH($B3341,Rosters!$B$2:$B$155,0)),"NA")</f>
        <v>matty</v>
      </c>
      <c r="L3341" t="str">
        <f t="shared" si="156"/>
        <v>matty1WR</v>
      </c>
      <c r="M3341">
        <f>COUNTIF(L$1:L3341,L3341)</f>
        <v>5</v>
      </c>
      <c r="N3341" t="str">
        <f t="shared" si="157"/>
        <v>matty1WR-5</v>
      </c>
      <c r="O3341">
        <f>COUNTIFS(F$1:F3341,F3341,A$1:A3341,A3341)</f>
        <v>77</v>
      </c>
      <c r="P3341" t="str">
        <f t="shared" si="158"/>
        <v>Geronimo Allison1</v>
      </c>
    </row>
    <row r="3342" spans="1:16" x14ac:dyDescent="0.25">
      <c r="A3342">
        <v>4</v>
      </c>
      <c r="B3342" t="s">
        <v>1439</v>
      </c>
      <c r="C3342" t="s">
        <v>4590</v>
      </c>
      <c r="D3342">
        <v>3.37</v>
      </c>
      <c r="E3342" t="s">
        <v>77</v>
      </c>
      <c r="F3342" t="s">
        <v>87</v>
      </c>
      <c r="G3342">
        <v>6.34</v>
      </c>
      <c r="H3342">
        <v>0.4</v>
      </c>
      <c r="I3342">
        <v>2.97</v>
      </c>
      <c r="J3342">
        <v>8.8209</v>
      </c>
      <c r="K3342" t="str">
        <f>IFERROR(INDEX(Rosters!$C$2:$C$155,MATCH($B3342,Rosters!$B$2:$B$155,0)),"NA")</f>
        <v>NA</v>
      </c>
      <c r="L3342" t="str">
        <f t="shared" si="156"/>
        <v>NA4WR</v>
      </c>
      <c r="M3342">
        <f>COUNTIF(L$1:L3342,L3342)</f>
        <v>31</v>
      </c>
      <c r="N3342" t="str">
        <f t="shared" si="157"/>
        <v>NA4WR-31</v>
      </c>
      <c r="O3342">
        <f>COUNTIFS(F$1:F3342,F3342,A$1:A3342,A3342)</f>
        <v>79</v>
      </c>
      <c r="P3342" t="str">
        <f t="shared" si="158"/>
        <v>James Washington4</v>
      </c>
    </row>
    <row r="3343" spans="1:16" x14ac:dyDescent="0.25">
      <c r="A3343">
        <v>11</v>
      </c>
      <c r="B3343" t="s">
        <v>1381</v>
      </c>
      <c r="C3343">
        <f>-0.22-6.96</f>
        <v>-7.18</v>
      </c>
      <c r="D3343">
        <v>3.37</v>
      </c>
      <c r="E3343" t="s">
        <v>32</v>
      </c>
      <c r="F3343" t="s">
        <v>114</v>
      </c>
      <c r="G3343">
        <v>6.96</v>
      </c>
      <c r="H3343">
        <v>-0.22</v>
      </c>
      <c r="I3343">
        <v>3.59</v>
      </c>
      <c r="J3343">
        <v>12.8881</v>
      </c>
      <c r="K3343" t="str">
        <f>IFERROR(INDEX(Rosters!$C$2:$C$155,MATCH($B3343,Rosters!$B$2:$B$155,0)),"NA")</f>
        <v>NA</v>
      </c>
      <c r="L3343" t="str">
        <f t="shared" si="156"/>
        <v>NA11TE</v>
      </c>
      <c r="M3343">
        <f>COUNTIF(L$1:L3343,L3343)</f>
        <v>8</v>
      </c>
      <c r="N3343" t="str">
        <f t="shared" si="157"/>
        <v>NA11TE-8</v>
      </c>
      <c r="O3343">
        <f>COUNTIFS(F$1:F3343,F3343,A$1:A3343,A3343)</f>
        <v>19</v>
      </c>
      <c r="P3343" t="str">
        <f t="shared" si="158"/>
        <v>Ricky Seals-Jones11</v>
      </c>
    </row>
    <row r="3344" spans="1:16" x14ac:dyDescent="0.25">
      <c r="A3344">
        <v>12</v>
      </c>
      <c r="B3344" t="s">
        <v>209</v>
      </c>
      <c r="C3344">
        <f>-0.19-6.93</f>
        <v>-7.12</v>
      </c>
      <c r="D3344">
        <v>3.37</v>
      </c>
      <c r="E3344" t="s">
        <v>28</v>
      </c>
      <c r="F3344" t="s">
        <v>87</v>
      </c>
      <c r="G3344">
        <v>6.93</v>
      </c>
      <c r="H3344">
        <v>-0.19</v>
      </c>
      <c r="I3344">
        <v>3.56</v>
      </c>
      <c r="J3344">
        <v>12.6736</v>
      </c>
      <c r="K3344" t="str">
        <f>IFERROR(INDEX(Rosters!$C$2:$C$155,MATCH($B3344,Rosters!$B$2:$B$155,0)),"NA")</f>
        <v>NA</v>
      </c>
      <c r="L3344" t="str">
        <f t="shared" si="156"/>
        <v>NA12WR</v>
      </c>
      <c r="M3344">
        <f>COUNTIF(L$1:L3344,L3344)</f>
        <v>42</v>
      </c>
      <c r="N3344" t="str">
        <f t="shared" si="157"/>
        <v>NA12WR-42</v>
      </c>
      <c r="O3344">
        <f>COUNTIFS(F$1:F3344,F3344,A$1:A3344,A3344)</f>
        <v>89</v>
      </c>
      <c r="P3344" t="str">
        <f t="shared" si="158"/>
        <v>Torrey Smith12</v>
      </c>
    </row>
    <row r="3345" spans="1:16" x14ac:dyDescent="0.25">
      <c r="A3345">
        <v>5</v>
      </c>
      <c r="B3345" t="s">
        <v>1036</v>
      </c>
      <c r="C3345" t="s">
        <v>8058</v>
      </c>
      <c r="D3345">
        <v>3.36</v>
      </c>
      <c r="E3345" t="s">
        <v>36</v>
      </c>
      <c r="F3345" t="s">
        <v>87</v>
      </c>
      <c r="G3345">
        <v>5.78</v>
      </c>
      <c r="H3345">
        <v>0.94</v>
      </c>
      <c r="I3345">
        <v>2.42</v>
      </c>
      <c r="J3345">
        <v>5.8563999999999998</v>
      </c>
      <c r="K3345" t="str">
        <f>IFERROR(INDEX(Rosters!$C$2:$C$155,MATCH($B3345,Rosters!$B$2:$B$155,0)),"NA")</f>
        <v>NA</v>
      </c>
      <c r="L3345" t="str">
        <f t="shared" si="156"/>
        <v>NA5WR</v>
      </c>
      <c r="M3345">
        <f>COUNTIF(L$1:L3345,L3345)</f>
        <v>34</v>
      </c>
      <c r="N3345" t="str">
        <f t="shared" si="157"/>
        <v>NA5WR-34</v>
      </c>
      <c r="O3345">
        <f>COUNTIFS(F$1:F3345,F3345,A$1:A3345,A3345)</f>
        <v>82</v>
      </c>
      <c r="P3345" t="str">
        <f t="shared" si="158"/>
        <v>Deonte Thompson5</v>
      </c>
    </row>
    <row r="3346" spans="1:16" x14ac:dyDescent="0.25">
      <c r="A3346">
        <v>5</v>
      </c>
      <c r="B3346" t="s">
        <v>1381</v>
      </c>
      <c r="C3346">
        <f>-0.54-7.26</f>
        <v>-7.8</v>
      </c>
      <c r="D3346">
        <v>3.36</v>
      </c>
      <c r="E3346" t="s">
        <v>30</v>
      </c>
      <c r="F3346" t="s">
        <v>114</v>
      </c>
      <c r="G3346">
        <v>7.26</v>
      </c>
      <c r="H3346">
        <v>-0.54</v>
      </c>
      <c r="I3346">
        <v>3.9</v>
      </c>
      <c r="J3346">
        <v>15.21</v>
      </c>
      <c r="K3346" t="str">
        <f>IFERROR(INDEX(Rosters!$C$2:$C$155,MATCH($B3346,Rosters!$B$2:$B$155,0)),"NA")</f>
        <v>NA</v>
      </c>
      <c r="L3346" t="str">
        <f t="shared" si="156"/>
        <v>NA5TE</v>
      </c>
      <c r="M3346">
        <f>COUNTIF(L$1:L3346,L3346)</f>
        <v>14</v>
      </c>
      <c r="N3346" t="str">
        <f t="shared" si="157"/>
        <v>NA5TE-14</v>
      </c>
      <c r="O3346">
        <f>COUNTIFS(F$1:F3346,F3346,A$1:A3346,A3346)</f>
        <v>25</v>
      </c>
      <c r="P3346" t="str">
        <f t="shared" si="158"/>
        <v>Ricky Seals-Jones5</v>
      </c>
    </row>
    <row r="3347" spans="1:16" x14ac:dyDescent="0.25">
      <c r="A3347">
        <v>17</v>
      </c>
      <c r="B3347" t="s">
        <v>373</v>
      </c>
      <c r="C3347" t="s">
        <v>8059</v>
      </c>
      <c r="D3347">
        <v>3.35</v>
      </c>
      <c r="E3347" t="s">
        <v>22</v>
      </c>
      <c r="F3347" t="s">
        <v>87</v>
      </c>
      <c r="G3347">
        <v>6.42</v>
      </c>
      <c r="H3347">
        <v>0.28000000000000003</v>
      </c>
      <c r="I3347">
        <v>3.07</v>
      </c>
      <c r="J3347">
        <v>9.4248999999999992</v>
      </c>
      <c r="K3347" t="str">
        <f>IFERROR(INDEX(Rosters!$C$2:$C$155,MATCH($B3347,Rosters!$B$2:$B$155,0)),"NA")</f>
        <v>NA</v>
      </c>
      <c r="L3347" t="str">
        <f t="shared" si="156"/>
        <v>NA17WR</v>
      </c>
      <c r="M3347">
        <f>COUNTIF(L$1:L3347,L3347)</f>
        <v>40</v>
      </c>
      <c r="N3347" t="str">
        <f t="shared" si="157"/>
        <v>NA17WR-40</v>
      </c>
      <c r="O3347">
        <f>COUNTIFS(F$1:F3347,F3347,A$1:A3347,A3347)</f>
        <v>92</v>
      </c>
      <c r="P3347" t="str">
        <f t="shared" si="158"/>
        <v>Cody Latimer17</v>
      </c>
    </row>
    <row r="3348" spans="1:16" x14ac:dyDescent="0.25">
      <c r="A3348">
        <v>13</v>
      </c>
      <c r="B3348" t="s">
        <v>1391</v>
      </c>
      <c r="C3348">
        <f>-0.7-7.4</f>
        <v>-8.1</v>
      </c>
      <c r="D3348">
        <v>3.35</v>
      </c>
      <c r="E3348" t="s">
        <v>17</v>
      </c>
      <c r="F3348" t="s">
        <v>87</v>
      </c>
      <c r="G3348">
        <v>7.4</v>
      </c>
      <c r="H3348">
        <v>-0.7</v>
      </c>
      <c r="I3348">
        <v>4.05</v>
      </c>
      <c r="J3348">
        <v>16.4025</v>
      </c>
      <c r="K3348" t="str">
        <f>IFERROR(INDEX(Rosters!$C$2:$C$155,MATCH($B3348,Rosters!$B$2:$B$155,0)),"NA")</f>
        <v>NA</v>
      </c>
      <c r="L3348" t="str">
        <f t="shared" si="156"/>
        <v>NA13WR</v>
      </c>
      <c r="M3348">
        <f>COUNTIF(L$1:L3348,L3348)</f>
        <v>39</v>
      </c>
      <c r="N3348" t="str">
        <f t="shared" si="157"/>
        <v>NA13WR-39</v>
      </c>
      <c r="O3348">
        <f>COUNTIFS(F$1:F3348,F3348,A$1:A3348,A3348)</f>
        <v>91</v>
      </c>
      <c r="P3348" t="str">
        <f t="shared" si="158"/>
        <v>D.J. Moore13</v>
      </c>
    </row>
    <row r="3349" spans="1:16" x14ac:dyDescent="0.25">
      <c r="A3349">
        <v>13</v>
      </c>
      <c r="B3349" t="s">
        <v>239</v>
      </c>
      <c r="C3349">
        <f>-0.43-7.13</f>
        <v>-7.56</v>
      </c>
      <c r="D3349">
        <v>3.35</v>
      </c>
      <c r="E3349" t="s">
        <v>42</v>
      </c>
      <c r="F3349" t="s">
        <v>87</v>
      </c>
      <c r="G3349">
        <v>7.13</v>
      </c>
      <c r="H3349">
        <v>-0.43</v>
      </c>
      <c r="I3349">
        <v>3.78</v>
      </c>
      <c r="J3349">
        <v>14.288399999999999</v>
      </c>
      <c r="K3349" t="str">
        <f>IFERROR(INDEX(Rosters!$C$2:$C$155,MATCH($B3349,Rosters!$B$2:$B$155,0)),"NA")</f>
        <v>NA</v>
      </c>
      <c r="L3349" t="str">
        <f t="shared" si="156"/>
        <v>NA13WR</v>
      </c>
      <c r="M3349">
        <f>COUNTIF(L$1:L3349,L3349)</f>
        <v>40</v>
      </c>
      <c r="N3349" t="str">
        <f t="shared" si="157"/>
        <v>NA13WR-40</v>
      </c>
      <c r="O3349">
        <f>COUNTIFS(F$1:F3349,F3349,A$1:A3349,A3349)</f>
        <v>92</v>
      </c>
      <c r="P3349" t="str">
        <f t="shared" si="158"/>
        <v>John Ross13</v>
      </c>
    </row>
    <row r="3350" spans="1:16" x14ac:dyDescent="0.25">
      <c r="A3350">
        <v>3</v>
      </c>
      <c r="B3350" t="s">
        <v>2854</v>
      </c>
      <c r="C3350">
        <f>-1.34-8.04</f>
        <v>-9.379999999999999</v>
      </c>
      <c r="D3350">
        <v>3.35</v>
      </c>
      <c r="E3350" t="s">
        <v>66</v>
      </c>
      <c r="F3350" t="s">
        <v>87</v>
      </c>
      <c r="G3350">
        <v>8.0399999999999991</v>
      </c>
      <c r="H3350">
        <v>-1.34</v>
      </c>
      <c r="I3350">
        <v>4.6900000000000004</v>
      </c>
      <c r="J3350">
        <v>21.996099999999998</v>
      </c>
      <c r="K3350" t="str">
        <f>IFERROR(INDEX(Rosters!$C$2:$C$155,MATCH($B3350,Rosters!$B$2:$B$155,0)),"NA")</f>
        <v>NA</v>
      </c>
      <c r="L3350" t="str">
        <f t="shared" si="156"/>
        <v>NA3WR</v>
      </c>
      <c r="M3350">
        <f>COUNTIF(L$1:L3350,L3350)</f>
        <v>31</v>
      </c>
      <c r="N3350" t="str">
        <f t="shared" si="157"/>
        <v>NA3WR-31</v>
      </c>
      <c r="O3350">
        <f>COUNTIFS(F$1:F3350,F3350,A$1:A3350,A3350)</f>
        <v>78</v>
      </c>
      <c r="P3350" t="str">
        <f t="shared" si="158"/>
        <v>Kamar Aiken3</v>
      </c>
    </row>
    <row r="3351" spans="1:16" x14ac:dyDescent="0.25">
      <c r="A3351">
        <v>5</v>
      </c>
      <c r="B3351" t="s">
        <v>1404</v>
      </c>
      <c r="C3351">
        <f>-0.08-6.78</f>
        <v>-6.86</v>
      </c>
      <c r="D3351">
        <v>3.35</v>
      </c>
      <c r="E3351" t="s">
        <v>76</v>
      </c>
      <c r="F3351" t="s">
        <v>47</v>
      </c>
      <c r="G3351">
        <v>6.78</v>
      </c>
      <c r="H3351">
        <v>-0.08</v>
      </c>
      <c r="I3351">
        <v>3.43</v>
      </c>
      <c r="J3351">
        <v>11.764900000000001</v>
      </c>
      <c r="K3351" t="str">
        <f>IFERROR(INDEX(Rosters!$C$2:$C$155,MATCH($B3351,Rosters!$B$2:$B$155,0)),"NA")</f>
        <v>NA</v>
      </c>
      <c r="L3351" t="str">
        <f t="shared" si="156"/>
        <v>NA5RB</v>
      </c>
      <c r="M3351">
        <f>COUNTIF(L$1:L3351,L3351)</f>
        <v>17</v>
      </c>
      <c r="N3351" t="str">
        <f t="shared" si="157"/>
        <v>NA5RB-17</v>
      </c>
      <c r="O3351">
        <f>COUNTIFS(F$1:F3351,F3351,A$1:A3351,A3351)</f>
        <v>60</v>
      </c>
      <c r="P3351" t="str">
        <f t="shared" si="158"/>
        <v>Spencer Ware5</v>
      </c>
    </row>
    <row r="3352" spans="1:16" x14ac:dyDescent="0.25">
      <c r="A3352">
        <v>5</v>
      </c>
      <c r="B3352" t="s">
        <v>1367</v>
      </c>
      <c r="C3352" t="s">
        <v>8060</v>
      </c>
      <c r="D3352">
        <v>3.34</v>
      </c>
      <c r="E3352" t="s">
        <v>60</v>
      </c>
      <c r="F3352" t="s">
        <v>87</v>
      </c>
      <c r="G3352">
        <v>5.83</v>
      </c>
      <c r="H3352">
        <v>0.85</v>
      </c>
      <c r="I3352">
        <v>2.4900000000000002</v>
      </c>
      <c r="J3352">
        <v>6.2000999999999999</v>
      </c>
      <c r="K3352" t="str">
        <f>IFERROR(INDEX(Rosters!$C$2:$C$155,MATCH($B3352,Rosters!$B$2:$B$155,0)),"NA")</f>
        <v>NA</v>
      </c>
      <c r="L3352" t="str">
        <f t="shared" si="156"/>
        <v>NA5WR</v>
      </c>
      <c r="M3352">
        <f>COUNTIF(L$1:L3352,L3352)</f>
        <v>35</v>
      </c>
      <c r="N3352" t="str">
        <f t="shared" si="157"/>
        <v>NA5WR-35</v>
      </c>
      <c r="O3352">
        <f>COUNTIFS(F$1:F3352,F3352,A$1:A3352,A3352)</f>
        <v>83</v>
      </c>
      <c r="P3352" t="str">
        <f t="shared" si="158"/>
        <v>Cameron Meredith5</v>
      </c>
    </row>
    <row r="3353" spans="1:16" x14ac:dyDescent="0.25">
      <c r="A3353">
        <v>7</v>
      </c>
      <c r="B3353" t="s">
        <v>1432</v>
      </c>
      <c r="C3353" t="s">
        <v>4591</v>
      </c>
      <c r="D3353">
        <v>3.34</v>
      </c>
      <c r="E3353" t="s">
        <v>42</v>
      </c>
      <c r="F3353" t="s">
        <v>47</v>
      </c>
      <c r="G3353">
        <v>5.52</v>
      </c>
      <c r="H3353">
        <v>1.1599999999999999</v>
      </c>
      <c r="I3353">
        <v>2.1800000000000002</v>
      </c>
      <c r="J3353">
        <v>4.7523999999999997</v>
      </c>
      <c r="K3353" t="str">
        <f>IFERROR(INDEX(Rosters!$C$2:$C$155,MATCH($B3353,Rosters!$B$2:$B$155,0)),"NA")</f>
        <v>NA</v>
      </c>
      <c r="L3353" t="str">
        <f t="shared" si="156"/>
        <v>NA7RB</v>
      </c>
      <c r="M3353">
        <f>COUNTIF(L$1:L3353,L3353)</f>
        <v>14</v>
      </c>
      <c r="N3353" t="str">
        <f t="shared" si="157"/>
        <v>NA7RB-14</v>
      </c>
      <c r="O3353">
        <f>COUNTIFS(F$1:F3353,F3353,A$1:A3353,A3353)</f>
        <v>55</v>
      </c>
      <c r="P3353" t="str">
        <f t="shared" si="158"/>
        <v>Chase Edmonds7</v>
      </c>
    </row>
    <row r="3354" spans="1:16" x14ac:dyDescent="0.25">
      <c r="A3354">
        <v>11</v>
      </c>
      <c r="B3354" t="s">
        <v>141</v>
      </c>
      <c r="C3354" t="s">
        <v>8061</v>
      </c>
      <c r="D3354">
        <v>3.34</v>
      </c>
      <c r="E3354" t="s">
        <v>34</v>
      </c>
      <c r="F3354" t="s">
        <v>114</v>
      </c>
      <c r="G3354">
        <v>5.97</v>
      </c>
      <c r="H3354">
        <v>0.71</v>
      </c>
      <c r="I3354">
        <v>2.63</v>
      </c>
      <c r="J3354">
        <v>6.9169</v>
      </c>
      <c r="K3354" t="str">
        <f>IFERROR(INDEX(Rosters!$C$2:$C$155,MATCH($B3354,Rosters!$B$2:$B$155,0)),"NA")</f>
        <v>aj</v>
      </c>
      <c r="L3354" t="str">
        <f t="shared" si="156"/>
        <v>aj11TE</v>
      </c>
      <c r="M3354">
        <f>COUNTIF(L$1:L3354,L3354)</f>
        <v>2</v>
      </c>
      <c r="N3354" t="str">
        <f t="shared" si="157"/>
        <v>aj11TE-2</v>
      </c>
      <c r="O3354">
        <f>COUNTIFS(F$1:F3354,F3354,A$1:A3354,A3354)</f>
        <v>20</v>
      </c>
      <c r="P3354" t="str">
        <f t="shared" si="158"/>
        <v>Greg Olsen11</v>
      </c>
    </row>
    <row r="3355" spans="1:16" x14ac:dyDescent="0.25">
      <c r="A3355">
        <v>15</v>
      </c>
      <c r="B3355" t="s">
        <v>1439</v>
      </c>
      <c r="C3355" t="s">
        <v>8062</v>
      </c>
      <c r="D3355">
        <v>3.34</v>
      </c>
      <c r="E3355" t="s">
        <v>423</v>
      </c>
      <c r="F3355" t="s">
        <v>87</v>
      </c>
      <c r="G3355">
        <v>6.21</v>
      </c>
      <c r="H3355">
        <v>0.47</v>
      </c>
      <c r="I3355">
        <v>2.87</v>
      </c>
      <c r="J3355">
        <v>8.2369000000000003</v>
      </c>
      <c r="K3355" t="str">
        <f>IFERROR(INDEX(Rosters!$C$2:$C$155,MATCH($B3355,Rosters!$B$2:$B$155,0)),"NA")</f>
        <v>NA</v>
      </c>
      <c r="L3355" t="str">
        <f t="shared" si="156"/>
        <v>NA15WR</v>
      </c>
      <c r="M3355">
        <f>COUNTIF(L$1:L3355,L3355)</f>
        <v>40</v>
      </c>
      <c r="N3355" t="str">
        <f t="shared" si="157"/>
        <v>NA15WR-40</v>
      </c>
      <c r="O3355">
        <f>COUNTIFS(F$1:F3355,F3355,A$1:A3355,A3355)</f>
        <v>92</v>
      </c>
      <c r="P3355" t="str">
        <f t="shared" si="158"/>
        <v>James Washington15</v>
      </c>
    </row>
    <row r="3356" spans="1:16" x14ac:dyDescent="0.25">
      <c r="A3356">
        <v>2</v>
      </c>
      <c r="B3356" t="s">
        <v>292</v>
      </c>
      <c r="C3356" t="s">
        <v>1465</v>
      </c>
      <c r="D3356">
        <v>3.34</v>
      </c>
      <c r="E3356" t="s">
        <v>30</v>
      </c>
      <c r="F3356" t="s">
        <v>114</v>
      </c>
      <c r="G3356">
        <v>6.35</v>
      </c>
      <c r="H3356">
        <v>0.33</v>
      </c>
      <c r="I3356">
        <v>3.01</v>
      </c>
      <c r="J3356">
        <v>9.0601000000000003</v>
      </c>
      <c r="K3356" t="str">
        <f>IFERROR(INDEX(Rosters!$C$2:$C$155,MATCH($B3356,Rosters!$B$2:$B$155,0)),"NA")</f>
        <v>NA</v>
      </c>
      <c r="L3356" t="str">
        <f t="shared" si="156"/>
        <v>NA2TE</v>
      </c>
      <c r="M3356">
        <f>COUNTIF(L$1:L3356,L3356)</f>
        <v>9</v>
      </c>
      <c r="N3356" t="str">
        <f t="shared" si="157"/>
        <v>NA2TE-9</v>
      </c>
      <c r="O3356">
        <f>COUNTIFS(F$1:F3356,F3356,A$1:A3356,A3356)</f>
        <v>21</v>
      </c>
      <c r="P3356" t="str">
        <f t="shared" si="158"/>
        <v>Luke Willson2</v>
      </c>
    </row>
    <row r="3357" spans="1:16" x14ac:dyDescent="0.25">
      <c r="A3357">
        <v>8</v>
      </c>
      <c r="B3357" t="s">
        <v>1319</v>
      </c>
      <c r="C3357">
        <f>-0.34-7.02</f>
        <v>-7.3599999999999994</v>
      </c>
      <c r="D3357">
        <v>3.34</v>
      </c>
      <c r="E3357" t="s">
        <v>31</v>
      </c>
      <c r="F3357" t="s">
        <v>47</v>
      </c>
      <c r="G3357">
        <v>7.02</v>
      </c>
      <c r="H3357">
        <v>-0.34</v>
      </c>
      <c r="I3357">
        <v>3.68</v>
      </c>
      <c r="J3357">
        <v>13.542400000000001</v>
      </c>
      <c r="K3357" t="str">
        <f>IFERROR(INDEX(Rosters!$C$2:$C$155,MATCH($B3357,Rosters!$B$2:$B$155,0)),"NA")</f>
        <v>NA</v>
      </c>
      <c r="L3357" t="str">
        <f t="shared" si="156"/>
        <v>NA8RB</v>
      </c>
      <c r="M3357">
        <f>COUNTIF(L$1:L3357,L3357)</f>
        <v>21</v>
      </c>
      <c r="N3357" t="str">
        <f t="shared" si="157"/>
        <v>NA8RB-21</v>
      </c>
      <c r="O3357">
        <f>COUNTIFS(F$1:F3357,F3357,A$1:A3357,A3357)</f>
        <v>60</v>
      </c>
      <c r="P3357" t="str">
        <f t="shared" si="158"/>
        <v>Ronald Jones8</v>
      </c>
    </row>
    <row r="3358" spans="1:16" x14ac:dyDescent="0.25">
      <c r="A3358">
        <v>14</v>
      </c>
      <c r="B3358" t="s">
        <v>182</v>
      </c>
      <c r="C3358">
        <f>-0.05-6.73</f>
        <v>-6.78</v>
      </c>
      <c r="D3358">
        <v>3.34</v>
      </c>
      <c r="E3358" t="s">
        <v>73</v>
      </c>
      <c r="F3358" t="s">
        <v>87</v>
      </c>
      <c r="G3358">
        <v>6.73</v>
      </c>
      <c r="H3358">
        <v>-0.05</v>
      </c>
      <c r="I3358">
        <v>3.39</v>
      </c>
      <c r="J3358">
        <v>11.492100000000001</v>
      </c>
      <c r="K3358" t="str">
        <f>IFERROR(INDEX(Rosters!$C$2:$C$155,MATCH($B3358,Rosters!$B$2:$B$155,0)),"NA")</f>
        <v>NA</v>
      </c>
      <c r="L3358" t="str">
        <f t="shared" si="156"/>
        <v>NA14WR</v>
      </c>
      <c r="M3358">
        <f>COUNTIF(L$1:L3358,L3358)</f>
        <v>37</v>
      </c>
      <c r="N3358" t="str">
        <f t="shared" si="157"/>
        <v>NA14WR-37</v>
      </c>
      <c r="O3358">
        <f>COUNTIFS(F$1:F3358,F3358,A$1:A3358,A3358)</f>
        <v>90</v>
      </c>
      <c r="P3358" t="str">
        <f t="shared" si="158"/>
        <v>Zay Jones14</v>
      </c>
    </row>
    <row r="3359" spans="1:16" x14ac:dyDescent="0.25">
      <c r="A3359">
        <v>12</v>
      </c>
      <c r="B3359" t="s">
        <v>1478</v>
      </c>
      <c r="C3359" t="s">
        <v>8063</v>
      </c>
      <c r="D3359">
        <v>3.33</v>
      </c>
      <c r="E3359" t="s">
        <v>54</v>
      </c>
      <c r="F3359" t="s">
        <v>114</v>
      </c>
      <c r="G3359">
        <v>6.39</v>
      </c>
      <c r="H3359">
        <v>0.27</v>
      </c>
      <c r="I3359">
        <v>3.06</v>
      </c>
      <c r="J3359">
        <v>9.3635999999999999</v>
      </c>
      <c r="K3359" t="str">
        <f>IFERROR(INDEX(Rosters!$C$2:$C$155,MATCH($B3359,Rosters!$B$2:$B$155,0)),"NA")</f>
        <v>NA</v>
      </c>
      <c r="L3359" t="str">
        <f t="shared" si="156"/>
        <v>NA12TE</v>
      </c>
      <c r="M3359">
        <f>COUNTIF(L$1:L3359,L3359)</f>
        <v>12</v>
      </c>
      <c r="N3359" t="str">
        <f t="shared" si="157"/>
        <v>NA12TE-12</v>
      </c>
      <c r="O3359">
        <f>COUNTIFS(F$1:F3359,F3359,A$1:A3359,A3359)</f>
        <v>25</v>
      </c>
      <c r="P3359" t="str">
        <f t="shared" si="158"/>
        <v>Dallas Goedert12</v>
      </c>
    </row>
    <row r="3360" spans="1:16" x14ac:dyDescent="0.25">
      <c r="A3360">
        <v>3</v>
      </c>
      <c r="B3360" t="s">
        <v>1439</v>
      </c>
      <c r="C3360">
        <f>-0.14-6.8</f>
        <v>-6.9399999999999995</v>
      </c>
      <c r="D3360">
        <v>3.33</v>
      </c>
      <c r="E3360" t="s">
        <v>17</v>
      </c>
      <c r="F3360" t="s">
        <v>87</v>
      </c>
      <c r="G3360">
        <v>6.8</v>
      </c>
      <c r="H3360">
        <v>-0.14000000000000001</v>
      </c>
      <c r="I3360">
        <v>3.47</v>
      </c>
      <c r="J3360">
        <v>12.040900000000001</v>
      </c>
      <c r="K3360" t="str">
        <f>IFERROR(INDEX(Rosters!$C$2:$C$155,MATCH($B3360,Rosters!$B$2:$B$155,0)),"NA")</f>
        <v>NA</v>
      </c>
      <c r="L3360" t="str">
        <f t="shared" si="156"/>
        <v>NA3WR</v>
      </c>
      <c r="M3360">
        <f>COUNTIF(L$1:L3360,L3360)</f>
        <v>32</v>
      </c>
      <c r="N3360" t="str">
        <f t="shared" si="157"/>
        <v>NA3WR-32</v>
      </c>
      <c r="O3360">
        <f>COUNTIFS(F$1:F3360,F3360,A$1:A3360,A3360)</f>
        <v>79</v>
      </c>
      <c r="P3360" t="str">
        <f t="shared" si="158"/>
        <v>James Washington3</v>
      </c>
    </row>
    <row r="3361" spans="1:16" x14ac:dyDescent="0.25">
      <c r="A3361">
        <v>11</v>
      </c>
      <c r="B3361" t="s">
        <v>296</v>
      </c>
      <c r="C3361" t="s">
        <v>8064</v>
      </c>
      <c r="D3361">
        <v>3.33</v>
      </c>
      <c r="E3361" t="s">
        <v>34</v>
      </c>
      <c r="F3361" t="s">
        <v>87</v>
      </c>
      <c r="G3361">
        <v>5.98</v>
      </c>
      <c r="H3361">
        <v>0.68</v>
      </c>
      <c r="I3361">
        <v>2.65</v>
      </c>
      <c r="J3361">
        <v>7.0225</v>
      </c>
      <c r="K3361" t="str">
        <f>IFERROR(INDEX(Rosters!$C$2:$C$155,MATCH($B3361,Rosters!$B$2:$B$155,0)),"NA")</f>
        <v>NA</v>
      </c>
      <c r="L3361" t="str">
        <f t="shared" si="156"/>
        <v>NA11WR</v>
      </c>
      <c r="M3361">
        <f>COUNTIF(L$1:L3361,L3361)</f>
        <v>26</v>
      </c>
      <c r="N3361" t="str">
        <f t="shared" si="157"/>
        <v>NA11WR-26</v>
      </c>
      <c r="O3361">
        <f>COUNTIFS(F$1:F3361,F3361,A$1:A3361,A3361)</f>
        <v>71</v>
      </c>
      <c r="P3361" t="str">
        <f t="shared" si="158"/>
        <v>Jarius Wright11</v>
      </c>
    </row>
    <row r="3362" spans="1:16" x14ac:dyDescent="0.25">
      <c r="A3362">
        <v>13</v>
      </c>
      <c r="B3362" t="s">
        <v>292</v>
      </c>
      <c r="C3362" t="s">
        <v>8065</v>
      </c>
      <c r="D3362">
        <v>3.33</v>
      </c>
      <c r="E3362" t="s">
        <v>56</v>
      </c>
      <c r="F3362" t="s">
        <v>114</v>
      </c>
      <c r="G3362">
        <v>5.83</v>
      </c>
      <c r="H3362">
        <v>0.83</v>
      </c>
      <c r="I3362">
        <v>2.5</v>
      </c>
      <c r="J3362">
        <v>6.25</v>
      </c>
      <c r="K3362" t="str">
        <f>IFERROR(INDEX(Rosters!$C$2:$C$155,MATCH($B3362,Rosters!$B$2:$B$155,0)),"NA")</f>
        <v>NA</v>
      </c>
      <c r="L3362" t="str">
        <f t="shared" si="156"/>
        <v>NA13TE</v>
      </c>
      <c r="M3362">
        <f>COUNTIF(L$1:L3362,L3362)</f>
        <v>12</v>
      </c>
      <c r="N3362" t="str">
        <f t="shared" si="157"/>
        <v>NA13TE-12</v>
      </c>
      <c r="O3362">
        <f>COUNTIFS(F$1:F3362,F3362,A$1:A3362,A3362)</f>
        <v>26</v>
      </c>
      <c r="P3362" t="str">
        <f t="shared" si="158"/>
        <v>Luke Willson13</v>
      </c>
    </row>
    <row r="3363" spans="1:16" x14ac:dyDescent="0.25">
      <c r="A3363">
        <v>4</v>
      </c>
      <c r="B3363" t="s">
        <v>285</v>
      </c>
      <c r="C3363" t="s">
        <v>4592</v>
      </c>
      <c r="D3363">
        <v>3.33</v>
      </c>
      <c r="E3363" t="s">
        <v>17</v>
      </c>
      <c r="F3363" t="s">
        <v>47</v>
      </c>
      <c r="G3363">
        <v>6.49</v>
      </c>
      <c r="H3363">
        <v>0.17</v>
      </c>
      <c r="I3363">
        <v>3.16</v>
      </c>
      <c r="J3363">
        <v>9.9855999999999998</v>
      </c>
      <c r="K3363" t="str">
        <f>IFERROR(INDEX(Rosters!$C$2:$C$155,MATCH($B3363,Rosters!$B$2:$B$155,0)),"NA")</f>
        <v>NA</v>
      </c>
      <c r="L3363" t="str">
        <f t="shared" si="156"/>
        <v>NA4RB</v>
      </c>
      <c r="M3363">
        <f>COUNTIF(L$1:L3363,L3363)</f>
        <v>20</v>
      </c>
      <c r="N3363" t="str">
        <f t="shared" si="157"/>
        <v>NA4RB-20</v>
      </c>
      <c r="O3363">
        <f>COUNTIFS(F$1:F3363,F3363,A$1:A3363,A3363)</f>
        <v>59</v>
      </c>
      <c r="P3363" t="str">
        <f t="shared" si="158"/>
        <v>Tarik Cohen4</v>
      </c>
    </row>
    <row r="3364" spans="1:16" x14ac:dyDescent="0.25">
      <c r="A3364">
        <v>14</v>
      </c>
      <c r="B3364" t="s">
        <v>1367</v>
      </c>
      <c r="C3364" t="s">
        <v>8066</v>
      </c>
      <c r="D3364">
        <v>3.32</v>
      </c>
      <c r="E3364" t="s">
        <v>17</v>
      </c>
      <c r="F3364" t="s">
        <v>87</v>
      </c>
      <c r="G3364">
        <v>6.31</v>
      </c>
      <c r="H3364">
        <v>0.33</v>
      </c>
      <c r="I3364">
        <v>2.99</v>
      </c>
      <c r="J3364">
        <v>8.9400999999999993</v>
      </c>
      <c r="K3364" t="str">
        <f>IFERROR(INDEX(Rosters!$C$2:$C$155,MATCH($B3364,Rosters!$B$2:$B$155,0)),"NA")</f>
        <v>NA</v>
      </c>
      <c r="L3364" t="str">
        <f t="shared" si="156"/>
        <v>NA14WR</v>
      </c>
      <c r="M3364">
        <f>COUNTIF(L$1:L3364,L3364)</f>
        <v>38</v>
      </c>
      <c r="N3364" t="str">
        <f t="shared" si="157"/>
        <v>NA14WR-38</v>
      </c>
      <c r="O3364">
        <f>COUNTIFS(F$1:F3364,F3364,A$1:A3364,A3364)</f>
        <v>91</v>
      </c>
      <c r="P3364" t="str">
        <f t="shared" si="158"/>
        <v>Cameron Meredith14</v>
      </c>
    </row>
    <row r="3365" spans="1:16" x14ac:dyDescent="0.25">
      <c r="A3365">
        <v>15</v>
      </c>
      <c r="B3365" t="s">
        <v>305</v>
      </c>
      <c r="C3365" t="s">
        <v>8067</v>
      </c>
      <c r="D3365">
        <v>3.32</v>
      </c>
      <c r="E3365" t="s">
        <v>22</v>
      </c>
      <c r="F3365" t="s">
        <v>87</v>
      </c>
      <c r="G3365">
        <v>6.57</v>
      </c>
      <c r="H3365">
        <v>7.0000000000000007E-2</v>
      </c>
      <c r="I3365">
        <v>3.25</v>
      </c>
      <c r="J3365">
        <v>10.5625</v>
      </c>
      <c r="K3365" t="str">
        <f>IFERROR(INDEX(Rosters!$C$2:$C$155,MATCH($B3365,Rosters!$B$2:$B$155,0)),"NA")</f>
        <v>NA</v>
      </c>
      <c r="L3365" t="str">
        <f t="shared" si="156"/>
        <v>NA15WR</v>
      </c>
      <c r="M3365">
        <f>COUNTIF(L$1:L3365,L3365)</f>
        <v>41</v>
      </c>
      <c r="N3365" t="str">
        <f t="shared" si="157"/>
        <v>NA15WR-41</v>
      </c>
      <c r="O3365">
        <f>COUNTIFS(F$1:F3365,F3365,A$1:A3365,A3365)</f>
        <v>93</v>
      </c>
      <c r="P3365" t="str">
        <f t="shared" si="158"/>
        <v>Chester Rogers15</v>
      </c>
    </row>
    <row r="3366" spans="1:16" x14ac:dyDescent="0.25">
      <c r="A3366">
        <v>7</v>
      </c>
      <c r="B3366" t="s">
        <v>260</v>
      </c>
      <c r="C3366" t="s">
        <v>8068</v>
      </c>
      <c r="D3366">
        <v>3.32</v>
      </c>
      <c r="E3366" t="s">
        <v>76</v>
      </c>
      <c r="F3366" t="s">
        <v>47</v>
      </c>
      <c r="G3366">
        <v>6.03</v>
      </c>
      <c r="H3366">
        <v>0.61</v>
      </c>
      <c r="I3366">
        <v>2.71</v>
      </c>
      <c r="J3366">
        <v>7.3441000000000001</v>
      </c>
      <c r="K3366" t="str">
        <f>IFERROR(INDEX(Rosters!$C$2:$C$155,MATCH($B3366,Rosters!$B$2:$B$155,0)),"NA")</f>
        <v>NA</v>
      </c>
      <c r="L3366" t="str">
        <f t="shared" si="156"/>
        <v>NA7RB</v>
      </c>
      <c r="M3366">
        <f>COUNTIF(L$1:L3366,L3366)</f>
        <v>15</v>
      </c>
      <c r="N3366" t="str">
        <f t="shared" si="157"/>
        <v>NA7RB-15</v>
      </c>
      <c r="O3366">
        <f>COUNTIFS(F$1:F3366,F3366,A$1:A3366,A3366)</f>
        <v>56</v>
      </c>
      <c r="P3366" t="str">
        <f t="shared" si="158"/>
        <v>D'Onta Foreman7</v>
      </c>
    </row>
    <row r="3367" spans="1:16" x14ac:dyDescent="0.25">
      <c r="A3367">
        <v>10</v>
      </c>
      <c r="B3367" t="s">
        <v>1511</v>
      </c>
      <c r="C3367" t="s">
        <v>8069</v>
      </c>
      <c r="D3367">
        <v>3.32</v>
      </c>
      <c r="E3367" t="s">
        <v>423</v>
      </c>
      <c r="F3367" t="s">
        <v>87</v>
      </c>
      <c r="G3367">
        <v>6.06</v>
      </c>
      <c r="H3367">
        <v>0.57999999999999996</v>
      </c>
      <c r="I3367">
        <v>2.74</v>
      </c>
      <c r="J3367">
        <v>7.5076000000000001</v>
      </c>
      <c r="K3367" t="str">
        <f>IFERROR(INDEX(Rosters!$C$2:$C$155,MATCH($B3367,Rosters!$B$2:$B$155,0)),"NA")</f>
        <v>NA</v>
      </c>
      <c r="L3367" t="str">
        <f t="shared" si="156"/>
        <v>NA10WR</v>
      </c>
      <c r="M3367">
        <f>COUNTIF(L$1:L3367,L3367)</f>
        <v>31</v>
      </c>
      <c r="N3367" t="str">
        <f t="shared" si="157"/>
        <v>NA10WR-31</v>
      </c>
      <c r="O3367">
        <f>COUNTIFS(F$1:F3367,F3367,A$1:A3367,A3367)</f>
        <v>75</v>
      </c>
      <c r="P3367" t="str">
        <f t="shared" si="158"/>
        <v>Tajae Sharpe10</v>
      </c>
    </row>
    <row r="3368" spans="1:16" x14ac:dyDescent="0.25">
      <c r="A3368">
        <v>5</v>
      </c>
      <c r="B3368" t="s">
        <v>267</v>
      </c>
      <c r="C3368" t="s">
        <v>8070</v>
      </c>
      <c r="D3368">
        <v>3.32</v>
      </c>
      <c r="E3368" t="s">
        <v>32</v>
      </c>
      <c r="F3368" t="s">
        <v>114</v>
      </c>
      <c r="G3368">
        <v>5.71</v>
      </c>
      <c r="H3368">
        <v>0.93</v>
      </c>
      <c r="I3368">
        <v>2.39</v>
      </c>
      <c r="J3368">
        <v>5.7121000000000004</v>
      </c>
      <c r="K3368" t="str">
        <f>IFERROR(INDEX(Rosters!$C$2:$C$155,MATCH($B3368,Rosters!$B$2:$B$155,0)),"NA")</f>
        <v>NA</v>
      </c>
      <c r="L3368" t="str">
        <f t="shared" si="156"/>
        <v>NA5TE</v>
      </c>
      <c r="M3368">
        <f>COUNTIF(L$1:L3368,L3368)</f>
        <v>15</v>
      </c>
      <c r="N3368" t="str">
        <f t="shared" si="157"/>
        <v>NA5TE-15</v>
      </c>
      <c r="O3368">
        <f>COUNTIFS(F$1:F3368,F3368,A$1:A3368,A3368)</f>
        <v>26</v>
      </c>
      <c r="P3368" t="str">
        <f t="shared" si="158"/>
        <v>Virgil Green5</v>
      </c>
    </row>
    <row r="3369" spans="1:16" x14ac:dyDescent="0.25">
      <c r="A3369">
        <v>13</v>
      </c>
      <c r="B3369" t="s">
        <v>1367</v>
      </c>
      <c r="C3369" t="s">
        <v>8071</v>
      </c>
      <c r="D3369">
        <v>3.31</v>
      </c>
      <c r="E3369" t="s">
        <v>22</v>
      </c>
      <c r="F3369" t="s">
        <v>87</v>
      </c>
      <c r="G3369">
        <v>6.29</v>
      </c>
      <c r="H3369">
        <v>0.33</v>
      </c>
      <c r="I3369">
        <v>2.98</v>
      </c>
      <c r="J3369">
        <v>8.8803999999999998</v>
      </c>
      <c r="K3369" t="str">
        <f>IFERROR(INDEX(Rosters!$C$2:$C$155,MATCH($B3369,Rosters!$B$2:$B$155,0)),"NA")</f>
        <v>NA</v>
      </c>
      <c r="L3369" t="str">
        <f t="shared" si="156"/>
        <v>NA13WR</v>
      </c>
      <c r="M3369">
        <f>COUNTIF(L$1:L3369,L3369)</f>
        <v>41</v>
      </c>
      <c r="N3369" t="str">
        <f t="shared" si="157"/>
        <v>NA13WR-41</v>
      </c>
      <c r="O3369">
        <f>COUNTIFS(F$1:F3369,F3369,A$1:A3369,A3369)</f>
        <v>93</v>
      </c>
      <c r="P3369" t="str">
        <f t="shared" si="158"/>
        <v>Cameron Meredith13</v>
      </c>
    </row>
    <row r="3370" spans="1:16" x14ac:dyDescent="0.25">
      <c r="A3370">
        <v>10</v>
      </c>
      <c r="B3370" t="s">
        <v>296</v>
      </c>
      <c r="C3370">
        <f>-0.03-6.65</f>
        <v>-6.6800000000000006</v>
      </c>
      <c r="D3370">
        <v>3.31</v>
      </c>
      <c r="E3370" t="s">
        <v>51</v>
      </c>
      <c r="F3370" t="s">
        <v>87</v>
      </c>
      <c r="G3370">
        <v>6.65</v>
      </c>
      <c r="H3370">
        <v>-0.03</v>
      </c>
      <c r="I3370">
        <v>3.34</v>
      </c>
      <c r="J3370">
        <v>11.1556</v>
      </c>
      <c r="K3370" t="str">
        <f>IFERROR(INDEX(Rosters!$C$2:$C$155,MATCH($B3370,Rosters!$B$2:$B$155,0)),"NA")</f>
        <v>NA</v>
      </c>
      <c r="L3370" t="str">
        <f t="shared" si="156"/>
        <v>NA10WR</v>
      </c>
      <c r="M3370">
        <f>COUNTIF(L$1:L3370,L3370)</f>
        <v>32</v>
      </c>
      <c r="N3370" t="str">
        <f t="shared" si="157"/>
        <v>NA10WR-32</v>
      </c>
      <c r="O3370">
        <f>COUNTIFS(F$1:F3370,F3370,A$1:A3370,A3370)</f>
        <v>76</v>
      </c>
      <c r="P3370" t="str">
        <f t="shared" si="158"/>
        <v>Jarius Wright10</v>
      </c>
    </row>
    <row r="3371" spans="1:16" x14ac:dyDescent="0.25">
      <c r="A3371">
        <v>2</v>
      </c>
      <c r="B3371" t="s">
        <v>274</v>
      </c>
      <c r="C3371" t="s">
        <v>1775</v>
      </c>
      <c r="D3371">
        <v>3.31</v>
      </c>
      <c r="E3371" t="s">
        <v>38</v>
      </c>
      <c r="F3371" t="s">
        <v>114</v>
      </c>
      <c r="G3371">
        <v>6.59</v>
      </c>
      <c r="H3371">
        <v>0.03</v>
      </c>
      <c r="I3371">
        <v>3.28</v>
      </c>
      <c r="J3371">
        <v>10.7584</v>
      </c>
      <c r="K3371" t="str">
        <f>IFERROR(INDEX(Rosters!$C$2:$C$155,MATCH($B3371,Rosters!$B$2:$B$155,0)),"NA")</f>
        <v>NA</v>
      </c>
      <c r="L3371" t="str">
        <f t="shared" si="156"/>
        <v>NA2TE</v>
      </c>
      <c r="M3371">
        <f>COUNTIF(L$1:L3371,L3371)</f>
        <v>10</v>
      </c>
      <c r="N3371" t="str">
        <f t="shared" si="157"/>
        <v>NA2TE-10</v>
      </c>
      <c r="O3371">
        <f>COUNTIFS(F$1:F3371,F3371,A$1:A3371,A3371)</f>
        <v>22</v>
      </c>
      <c r="P3371" t="str">
        <f t="shared" si="158"/>
        <v>Ryan Griffin2</v>
      </c>
    </row>
    <row r="3372" spans="1:16" x14ac:dyDescent="0.25">
      <c r="A3372">
        <v>4</v>
      </c>
      <c r="B3372" t="s">
        <v>237</v>
      </c>
      <c r="C3372" t="s">
        <v>4593</v>
      </c>
      <c r="D3372">
        <v>3.31</v>
      </c>
      <c r="E3372" t="s">
        <v>17</v>
      </c>
      <c r="F3372" t="s">
        <v>87</v>
      </c>
      <c r="G3372">
        <v>6.32</v>
      </c>
      <c r="H3372">
        <v>0.3</v>
      </c>
      <c r="I3372">
        <v>3.01</v>
      </c>
      <c r="J3372">
        <v>9.0601000000000003</v>
      </c>
      <c r="K3372" t="str">
        <f>IFERROR(INDEX(Rosters!$C$2:$C$155,MATCH($B3372,Rosters!$B$2:$B$155,0)),"NA")</f>
        <v>NA</v>
      </c>
      <c r="L3372" t="str">
        <f t="shared" si="156"/>
        <v>NA4WR</v>
      </c>
      <c r="M3372">
        <f>COUNTIF(L$1:L3372,L3372)</f>
        <v>32</v>
      </c>
      <c r="N3372" t="str">
        <f t="shared" si="157"/>
        <v>NA4WR-32</v>
      </c>
      <c r="O3372">
        <f>COUNTIFS(F$1:F3372,F3372,A$1:A3372,A3372)</f>
        <v>80</v>
      </c>
      <c r="P3372" t="str">
        <f t="shared" si="158"/>
        <v>Taylor Gabriel4</v>
      </c>
    </row>
    <row r="3373" spans="1:16" x14ac:dyDescent="0.25">
      <c r="A3373">
        <v>10</v>
      </c>
      <c r="B3373" t="s">
        <v>143</v>
      </c>
      <c r="C3373">
        <f>-0.23-6.85</f>
        <v>-7.08</v>
      </c>
      <c r="D3373">
        <v>3.31</v>
      </c>
      <c r="E3373" t="s">
        <v>29</v>
      </c>
      <c r="F3373" t="s">
        <v>87</v>
      </c>
      <c r="G3373">
        <v>6.85</v>
      </c>
      <c r="H3373">
        <v>-0.23</v>
      </c>
      <c r="I3373">
        <v>3.54</v>
      </c>
      <c r="J3373">
        <v>12.531599999999999</v>
      </c>
      <c r="K3373" t="str">
        <f>IFERROR(INDEX(Rosters!$C$2:$C$155,MATCH($B3373,Rosters!$B$2:$B$155,0)),"NA")</f>
        <v>NA</v>
      </c>
      <c r="L3373" t="str">
        <f t="shared" si="156"/>
        <v>NA10WR</v>
      </c>
      <c r="M3373">
        <f>COUNTIF(L$1:L3373,L3373)</f>
        <v>33</v>
      </c>
      <c r="N3373" t="str">
        <f t="shared" si="157"/>
        <v>NA10WR-33</v>
      </c>
      <c r="O3373">
        <f>COUNTIFS(F$1:F3373,F3373,A$1:A3373,A3373)</f>
        <v>77</v>
      </c>
      <c r="P3373" t="str">
        <f t="shared" si="158"/>
        <v>Terrelle Pryor Sr.10</v>
      </c>
    </row>
    <row r="3374" spans="1:16" x14ac:dyDescent="0.25">
      <c r="A3374">
        <v>14</v>
      </c>
      <c r="B3374" t="s">
        <v>143</v>
      </c>
      <c r="C3374">
        <f>-0.23-6.85</f>
        <v>-7.08</v>
      </c>
      <c r="D3374">
        <v>3.31</v>
      </c>
      <c r="E3374" t="s">
        <v>29</v>
      </c>
      <c r="F3374" t="s">
        <v>87</v>
      </c>
      <c r="G3374">
        <v>6.85</v>
      </c>
      <c r="H3374">
        <v>-0.23</v>
      </c>
      <c r="I3374">
        <v>3.54</v>
      </c>
      <c r="J3374">
        <v>12.531599999999999</v>
      </c>
      <c r="K3374" t="str">
        <f>IFERROR(INDEX(Rosters!$C$2:$C$155,MATCH($B3374,Rosters!$B$2:$B$155,0)),"NA")</f>
        <v>NA</v>
      </c>
      <c r="L3374" t="str">
        <f t="shared" si="156"/>
        <v>NA14WR</v>
      </c>
      <c r="M3374">
        <f>COUNTIF(L$1:L3374,L3374)</f>
        <v>39</v>
      </c>
      <c r="N3374" t="str">
        <f t="shared" si="157"/>
        <v>NA14WR-39</v>
      </c>
      <c r="O3374">
        <f>COUNTIFS(F$1:F3374,F3374,A$1:A3374,A3374)</f>
        <v>92</v>
      </c>
      <c r="P3374" t="str">
        <f t="shared" si="158"/>
        <v>Terrelle Pryor Sr.14</v>
      </c>
    </row>
    <row r="3375" spans="1:16" x14ac:dyDescent="0.25">
      <c r="A3375">
        <v>17</v>
      </c>
      <c r="B3375" t="s">
        <v>267</v>
      </c>
      <c r="C3375" t="s">
        <v>8072</v>
      </c>
      <c r="D3375">
        <v>3.31</v>
      </c>
      <c r="E3375" t="s">
        <v>42</v>
      </c>
      <c r="F3375" t="s">
        <v>114</v>
      </c>
      <c r="G3375">
        <v>6.35</v>
      </c>
      <c r="H3375">
        <v>0.27</v>
      </c>
      <c r="I3375">
        <v>3.04</v>
      </c>
      <c r="J3375">
        <v>9.2416</v>
      </c>
      <c r="K3375" t="str">
        <f>IFERROR(INDEX(Rosters!$C$2:$C$155,MATCH($B3375,Rosters!$B$2:$B$155,0)),"NA")</f>
        <v>NA</v>
      </c>
      <c r="L3375" t="str">
        <f t="shared" si="156"/>
        <v>NA17TE</v>
      </c>
      <c r="M3375">
        <f>COUNTIF(L$1:L3375,L3375)</f>
        <v>12</v>
      </c>
      <c r="N3375" t="str">
        <f t="shared" si="157"/>
        <v>NA17TE-12</v>
      </c>
      <c r="O3375">
        <f>COUNTIFS(F$1:F3375,F3375,A$1:A3375,A3375)</f>
        <v>26</v>
      </c>
      <c r="P3375" t="str">
        <f t="shared" si="158"/>
        <v>Virgil Green17</v>
      </c>
    </row>
    <row r="3376" spans="1:16" x14ac:dyDescent="0.25">
      <c r="A3376">
        <v>17</v>
      </c>
      <c r="B3376" t="s">
        <v>1124</v>
      </c>
      <c r="C3376" t="s">
        <v>8073</v>
      </c>
      <c r="D3376">
        <v>3.3</v>
      </c>
      <c r="E3376" t="s">
        <v>32</v>
      </c>
      <c r="F3376" t="s">
        <v>87</v>
      </c>
      <c r="G3376">
        <v>5.62</v>
      </c>
      <c r="H3376">
        <v>0.98</v>
      </c>
      <c r="I3376">
        <v>2.3199999999999998</v>
      </c>
      <c r="J3376">
        <v>5.3823999999999996</v>
      </c>
      <c r="K3376" t="str">
        <f>IFERROR(INDEX(Rosters!$C$2:$C$155,MATCH($B3376,Rosters!$B$2:$B$155,0)),"NA")</f>
        <v>NA</v>
      </c>
      <c r="L3376" t="str">
        <f t="shared" si="156"/>
        <v>NA17WR</v>
      </c>
      <c r="M3376">
        <f>COUNTIF(L$1:L3376,L3376)</f>
        <v>41</v>
      </c>
      <c r="N3376" t="str">
        <f t="shared" si="157"/>
        <v>NA17WR-41</v>
      </c>
      <c r="O3376">
        <f>COUNTIFS(F$1:F3376,F3376,A$1:A3376,A3376)</f>
        <v>93</v>
      </c>
      <c r="P3376" t="str">
        <f t="shared" si="158"/>
        <v>Chris Conley17</v>
      </c>
    </row>
    <row r="3377" spans="1:16" x14ac:dyDescent="0.25">
      <c r="A3377">
        <v>15</v>
      </c>
      <c r="B3377" t="s">
        <v>1391</v>
      </c>
      <c r="C3377">
        <f>-0.36-6.96</f>
        <v>-7.32</v>
      </c>
      <c r="D3377">
        <v>3.3</v>
      </c>
      <c r="E3377" t="s">
        <v>14</v>
      </c>
      <c r="F3377" t="s">
        <v>87</v>
      </c>
      <c r="G3377">
        <v>6.96</v>
      </c>
      <c r="H3377">
        <v>-0.36</v>
      </c>
      <c r="I3377">
        <v>3.66</v>
      </c>
      <c r="J3377">
        <v>13.3956</v>
      </c>
      <c r="K3377" t="str">
        <f>IFERROR(INDEX(Rosters!$C$2:$C$155,MATCH($B3377,Rosters!$B$2:$B$155,0)),"NA")</f>
        <v>NA</v>
      </c>
      <c r="L3377" t="str">
        <f t="shared" si="156"/>
        <v>NA15WR</v>
      </c>
      <c r="M3377">
        <f>COUNTIF(L$1:L3377,L3377)</f>
        <v>42</v>
      </c>
      <c r="N3377" t="str">
        <f t="shared" si="157"/>
        <v>NA15WR-42</v>
      </c>
      <c r="O3377">
        <f>COUNTIFS(F$1:F3377,F3377,A$1:A3377,A3377)</f>
        <v>94</v>
      </c>
      <c r="P3377" t="str">
        <f t="shared" si="158"/>
        <v>D.J. Moore15</v>
      </c>
    </row>
    <row r="3378" spans="1:16" x14ac:dyDescent="0.25">
      <c r="A3378">
        <v>12</v>
      </c>
      <c r="B3378" t="s">
        <v>296</v>
      </c>
      <c r="C3378">
        <f>-0.09-6.69</f>
        <v>-6.78</v>
      </c>
      <c r="D3378">
        <v>3.3</v>
      </c>
      <c r="E3378" t="s">
        <v>28</v>
      </c>
      <c r="F3378" t="s">
        <v>87</v>
      </c>
      <c r="G3378">
        <v>6.69</v>
      </c>
      <c r="H3378">
        <v>-0.09</v>
      </c>
      <c r="I3378">
        <v>3.39</v>
      </c>
      <c r="J3378">
        <v>11.492100000000001</v>
      </c>
      <c r="K3378" t="str">
        <f>IFERROR(INDEX(Rosters!$C$2:$C$155,MATCH($B3378,Rosters!$B$2:$B$155,0)),"NA")</f>
        <v>NA</v>
      </c>
      <c r="L3378" t="str">
        <f t="shared" si="156"/>
        <v>NA12WR</v>
      </c>
      <c r="M3378">
        <f>COUNTIF(L$1:L3378,L3378)</f>
        <v>43</v>
      </c>
      <c r="N3378" t="str">
        <f t="shared" si="157"/>
        <v>NA12WR-43</v>
      </c>
      <c r="O3378">
        <f>COUNTIFS(F$1:F3378,F3378,A$1:A3378,A3378)</f>
        <v>90</v>
      </c>
      <c r="P3378" t="str">
        <f t="shared" si="158"/>
        <v>Jarius Wright12</v>
      </c>
    </row>
    <row r="3379" spans="1:16" x14ac:dyDescent="0.25">
      <c r="A3379">
        <v>13</v>
      </c>
      <c r="B3379" t="s">
        <v>2750</v>
      </c>
      <c r="C3379" t="s">
        <v>8074</v>
      </c>
      <c r="D3379">
        <v>3.3</v>
      </c>
      <c r="E3379" t="s">
        <v>60</v>
      </c>
      <c r="F3379" t="s">
        <v>87</v>
      </c>
      <c r="G3379">
        <v>6.1</v>
      </c>
      <c r="H3379">
        <v>0.5</v>
      </c>
      <c r="I3379">
        <v>2.8</v>
      </c>
      <c r="J3379">
        <v>7.84</v>
      </c>
      <c r="K3379" t="str">
        <f>IFERROR(INDEX(Rosters!$C$2:$C$155,MATCH($B3379,Rosters!$B$2:$B$155,0)),"NA")</f>
        <v>NA</v>
      </c>
      <c r="L3379" t="str">
        <f t="shared" si="156"/>
        <v>NA13WR</v>
      </c>
      <c r="M3379">
        <f>COUNTIF(L$1:L3379,L3379)</f>
        <v>42</v>
      </c>
      <c r="N3379" t="str">
        <f t="shared" si="157"/>
        <v>NA13WR-42</v>
      </c>
      <c r="O3379">
        <f>COUNTIFS(F$1:F3379,F3379,A$1:A3379,A3379)</f>
        <v>94</v>
      </c>
      <c r="P3379" t="str">
        <f t="shared" si="158"/>
        <v>Jordan Matthews13</v>
      </c>
    </row>
    <row r="3380" spans="1:16" x14ac:dyDescent="0.25">
      <c r="A3380">
        <v>13</v>
      </c>
      <c r="B3380" t="s">
        <v>262</v>
      </c>
      <c r="C3380" t="s">
        <v>8075</v>
      </c>
      <c r="D3380">
        <v>3.3</v>
      </c>
      <c r="E3380" t="s">
        <v>423</v>
      </c>
      <c r="F3380" t="s">
        <v>87</v>
      </c>
      <c r="G3380">
        <v>6.46</v>
      </c>
      <c r="H3380">
        <v>0.14000000000000001</v>
      </c>
      <c r="I3380">
        <v>3.16</v>
      </c>
      <c r="J3380">
        <v>9.9855999999999998</v>
      </c>
      <c r="K3380" t="str">
        <f>IFERROR(INDEX(Rosters!$C$2:$C$155,MATCH($B3380,Rosters!$B$2:$B$155,0)),"NA")</f>
        <v>NA</v>
      </c>
      <c r="L3380" t="str">
        <f t="shared" si="156"/>
        <v>NA13WR</v>
      </c>
      <c r="M3380">
        <f>COUNTIF(L$1:L3380,L3380)</f>
        <v>43</v>
      </c>
      <c r="N3380" t="str">
        <f t="shared" si="157"/>
        <v>NA13WR-43</v>
      </c>
      <c r="O3380">
        <f>COUNTIFS(F$1:F3380,F3380,A$1:A3380,A3380)</f>
        <v>95</v>
      </c>
      <c r="P3380" t="str">
        <f t="shared" si="158"/>
        <v>Laquon Treadwell13</v>
      </c>
    </row>
    <row r="3381" spans="1:16" x14ac:dyDescent="0.25">
      <c r="A3381">
        <v>10</v>
      </c>
      <c r="B3381" t="s">
        <v>798</v>
      </c>
      <c r="C3381" t="s">
        <v>8076</v>
      </c>
      <c r="D3381">
        <v>3.3</v>
      </c>
      <c r="E3381" t="s">
        <v>46</v>
      </c>
      <c r="F3381" t="s">
        <v>87</v>
      </c>
      <c r="G3381">
        <v>6.45</v>
      </c>
      <c r="H3381">
        <v>0.15</v>
      </c>
      <c r="I3381">
        <v>3.15</v>
      </c>
      <c r="J3381">
        <v>9.9224999999999994</v>
      </c>
      <c r="K3381" t="str">
        <f>IFERROR(INDEX(Rosters!$C$2:$C$155,MATCH($B3381,Rosters!$B$2:$B$155,0)),"NA")</f>
        <v>NA</v>
      </c>
      <c r="L3381" t="str">
        <f t="shared" si="156"/>
        <v>NA10WR</v>
      </c>
      <c r="M3381">
        <f>COUNTIF(L$1:L3381,L3381)</f>
        <v>34</v>
      </c>
      <c r="N3381" t="str">
        <f t="shared" si="157"/>
        <v>NA10WR-34</v>
      </c>
      <c r="O3381">
        <f>COUNTIFS(F$1:F3381,F3381,A$1:A3381,A3381)</f>
        <v>78</v>
      </c>
      <c r="P3381" t="str">
        <f t="shared" si="158"/>
        <v>Rashard Higgins10</v>
      </c>
    </row>
    <row r="3382" spans="1:16" x14ac:dyDescent="0.25">
      <c r="A3382">
        <v>6</v>
      </c>
      <c r="B3382" t="s">
        <v>273</v>
      </c>
      <c r="C3382" t="s">
        <v>8077</v>
      </c>
      <c r="D3382">
        <v>3.29</v>
      </c>
      <c r="E3382" t="s">
        <v>72</v>
      </c>
      <c r="F3382" t="s">
        <v>87</v>
      </c>
      <c r="G3382">
        <v>5.92</v>
      </c>
      <c r="H3382">
        <v>0.66</v>
      </c>
      <c r="I3382">
        <v>2.63</v>
      </c>
      <c r="J3382">
        <v>6.9169</v>
      </c>
      <c r="K3382" t="str">
        <f>IFERROR(INDEX(Rosters!$C$2:$C$155,MATCH($B3382,Rosters!$B$2:$B$155,0)),"NA")</f>
        <v>NA</v>
      </c>
      <c r="L3382" t="str">
        <f t="shared" si="156"/>
        <v>NA6WR</v>
      </c>
      <c r="M3382">
        <f>COUNTIF(L$1:L3382,L3382)</f>
        <v>34</v>
      </c>
      <c r="N3382" t="str">
        <f t="shared" si="157"/>
        <v>NA6WR-34</v>
      </c>
      <c r="O3382">
        <f>COUNTIFS(F$1:F3382,F3382,A$1:A3382,A3382)</f>
        <v>81</v>
      </c>
      <c r="P3382" t="str">
        <f t="shared" si="158"/>
        <v>Albert Wilson6</v>
      </c>
    </row>
    <row r="3383" spans="1:16" x14ac:dyDescent="0.25">
      <c r="A3383">
        <v>13</v>
      </c>
      <c r="B3383" t="s">
        <v>308</v>
      </c>
      <c r="C3383">
        <f>-0.28-6.86</f>
        <v>-7.1400000000000006</v>
      </c>
      <c r="D3383">
        <v>3.29</v>
      </c>
      <c r="E3383" t="s">
        <v>31</v>
      </c>
      <c r="F3383" t="s">
        <v>114</v>
      </c>
      <c r="G3383">
        <v>6.86</v>
      </c>
      <c r="H3383">
        <v>-0.28000000000000003</v>
      </c>
      <c r="I3383">
        <v>3.57</v>
      </c>
      <c r="J3383">
        <v>12.744899999999999</v>
      </c>
      <c r="K3383" t="str">
        <f>IFERROR(INDEX(Rosters!$C$2:$C$155,MATCH($B3383,Rosters!$B$2:$B$155,0)),"NA")</f>
        <v>NA</v>
      </c>
      <c r="L3383" t="str">
        <f t="shared" si="156"/>
        <v>NA13TE</v>
      </c>
      <c r="M3383">
        <f>COUNTIF(L$1:L3383,L3383)</f>
        <v>13</v>
      </c>
      <c r="N3383" t="str">
        <f t="shared" si="157"/>
        <v>NA13TE-13</v>
      </c>
      <c r="O3383">
        <f>COUNTIFS(F$1:F3383,F3383,A$1:A3383,A3383)</f>
        <v>27</v>
      </c>
      <c r="P3383" t="str">
        <f t="shared" si="158"/>
        <v>Jeff Heuerman13</v>
      </c>
    </row>
    <row r="3384" spans="1:16" x14ac:dyDescent="0.25">
      <c r="A3384">
        <v>5</v>
      </c>
      <c r="B3384" t="s">
        <v>1366</v>
      </c>
      <c r="C3384" t="s">
        <v>8078</v>
      </c>
      <c r="D3384">
        <v>3.29</v>
      </c>
      <c r="E3384" t="s">
        <v>77</v>
      </c>
      <c r="F3384" t="s">
        <v>47</v>
      </c>
      <c r="G3384">
        <v>5.94</v>
      </c>
      <c r="H3384">
        <v>0.64</v>
      </c>
      <c r="I3384">
        <v>2.65</v>
      </c>
      <c r="J3384">
        <v>7.0225</v>
      </c>
      <c r="K3384" t="str">
        <f>IFERROR(INDEX(Rosters!$C$2:$C$155,MATCH($B3384,Rosters!$B$2:$B$155,0)),"NA")</f>
        <v>NA</v>
      </c>
      <c r="L3384" t="str">
        <f t="shared" si="156"/>
        <v>NA5RB</v>
      </c>
      <c r="M3384">
        <f>COUNTIF(L$1:L3384,L3384)</f>
        <v>18</v>
      </c>
      <c r="N3384" t="str">
        <f t="shared" si="157"/>
        <v>NA5RB-18</v>
      </c>
      <c r="O3384">
        <f>COUNTIFS(F$1:F3384,F3384,A$1:A3384,A3384)</f>
        <v>61</v>
      </c>
      <c r="P3384" t="str">
        <f t="shared" si="158"/>
        <v>Nick Chubb5</v>
      </c>
    </row>
    <row r="3385" spans="1:16" x14ac:dyDescent="0.25">
      <c r="A3385">
        <v>6</v>
      </c>
      <c r="B3385" t="s">
        <v>109</v>
      </c>
      <c r="C3385" t="s">
        <v>8079</v>
      </c>
      <c r="D3385">
        <v>3.29</v>
      </c>
      <c r="E3385" t="s">
        <v>30</v>
      </c>
      <c r="F3385" t="s">
        <v>47</v>
      </c>
      <c r="G3385">
        <v>5.24</v>
      </c>
      <c r="H3385">
        <v>1.34</v>
      </c>
      <c r="I3385">
        <v>1.95</v>
      </c>
      <c r="J3385">
        <v>3.8025000000000002</v>
      </c>
      <c r="K3385" t="str">
        <f>IFERROR(INDEX(Rosters!$C$2:$C$155,MATCH($B3385,Rosters!$B$2:$B$155,0)),"NA")</f>
        <v>seth</v>
      </c>
      <c r="L3385" t="str">
        <f t="shared" si="156"/>
        <v>seth6RB</v>
      </c>
      <c r="M3385">
        <f>COUNTIF(L$1:L3385,L3385)</f>
        <v>6</v>
      </c>
      <c r="N3385" t="str">
        <f t="shared" si="157"/>
        <v>seth6RB-6</v>
      </c>
      <c r="O3385">
        <f>COUNTIFS(F$1:F3385,F3385,A$1:A3385,A3385)</f>
        <v>65</v>
      </c>
      <c r="P3385" t="str">
        <f t="shared" si="158"/>
        <v>Ty Montgomery6</v>
      </c>
    </row>
    <row r="3386" spans="1:16" x14ac:dyDescent="0.25">
      <c r="A3386">
        <v>6</v>
      </c>
      <c r="B3386" t="s">
        <v>325</v>
      </c>
      <c r="C3386">
        <f>-0.02-6.6</f>
        <v>-6.6199999999999992</v>
      </c>
      <c r="D3386">
        <v>3.29</v>
      </c>
      <c r="E3386" t="s">
        <v>51</v>
      </c>
      <c r="F3386" t="s">
        <v>114</v>
      </c>
      <c r="G3386">
        <v>6.6</v>
      </c>
      <c r="H3386">
        <v>-0.02</v>
      </c>
      <c r="I3386">
        <v>3.31</v>
      </c>
      <c r="J3386">
        <v>10.956099999999999</v>
      </c>
      <c r="K3386" t="str">
        <f>IFERROR(INDEX(Rosters!$C$2:$C$155,MATCH($B3386,Rosters!$B$2:$B$155,0)),"NA")</f>
        <v>NA</v>
      </c>
      <c r="L3386" t="str">
        <f t="shared" si="156"/>
        <v>NA6TE</v>
      </c>
      <c r="M3386">
        <f>COUNTIF(L$1:L3386,L3386)</f>
        <v>11</v>
      </c>
      <c r="N3386" t="str">
        <f t="shared" si="157"/>
        <v>NA6TE-11</v>
      </c>
      <c r="O3386">
        <f>COUNTIFS(F$1:F3386,F3386,A$1:A3386,A3386)</f>
        <v>23</v>
      </c>
      <c r="P3386" t="str">
        <f t="shared" si="158"/>
        <v>Tyler Kroft6</v>
      </c>
    </row>
    <row r="3387" spans="1:16" x14ac:dyDescent="0.25">
      <c r="A3387">
        <v>11</v>
      </c>
      <c r="B3387" t="s">
        <v>373</v>
      </c>
      <c r="C3387" t="s">
        <v>8080</v>
      </c>
      <c r="D3387">
        <v>3.28</v>
      </c>
      <c r="E3387" t="s">
        <v>17</v>
      </c>
      <c r="F3387" t="s">
        <v>87</v>
      </c>
      <c r="G3387">
        <v>6.31</v>
      </c>
      <c r="H3387">
        <v>0.25</v>
      </c>
      <c r="I3387">
        <v>3.03</v>
      </c>
      <c r="J3387">
        <v>9.1808999999999994</v>
      </c>
      <c r="K3387" t="str">
        <f>IFERROR(INDEX(Rosters!$C$2:$C$155,MATCH($B3387,Rosters!$B$2:$B$155,0)),"NA")</f>
        <v>NA</v>
      </c>
      <c r="L3387" t="str">
        <f t="shared" si="156"/>
        <v>NA11WR</v>
      </c>
      <c r="M3387">
        <f>COUNTIF(L$1:L3387,L3387)</f>
        <v>27</v>
      </c>
      <c r="N3387" t="str">
        <f t="shared" si="157"/>
        <v>NA11WR-27</v>
      </c>
      <c r="O3387">
        <f>COUNTIFS(F$1:F3387,F3387,A$1:A3387,A3387)</f>
        <v>72</v>
      </c>
      <c r="P3387" t="str">
        <f t="shared" si="158"/>
        <v>Cody Latimer11</v>
      </c>
    </row>
    <row r="3388" spans="1:16" x14ac:dyDescent="0.25">
      <c r="A3388">
        <v>11</v>
      </c>
      <c r="B3388" t="s">
        <v>309</v>
      </c>
      <c r="C3388">
        <f>-0.04-6.6</f>
        <v>-6.64</v>
      </c>
      <c r="D3388">
        <v>3.28</v>
      </c>
      <c r="E3388" t="s">
        <v>46</v>
      </c>
      <c r="F3388" t="s">
        <v>114</v>
      </c>
      <c r="G3388">
        <v>6.6</v>
      </c>
      <c r="H3388">
        <v>-0.04</v>
      </c>
      <c r="I3388">
        <v>3.32</v>
      </c>
      <c r="J3388">
        <v>11.022399999999999</v>
      </c>
      <c r="K3388" t="str">
        <f>IFERROR(INDEX(Rosters!$C$2:$C$155,MATCH($B3388,Rosters!$B$2:$B$155,0)),"NA")</f>
        <v>NA</v>
      </c>
      <c r="L3388" t="str">
        <f t="shared" si="156"/>
        <v>NA11TE</v>
      </c>
      <c r="M3388">
        <f>COUNTIF(L$1:L3388,L3388)</f>
        <v>9</v>
      </c>
      <c r="N3388" t="str">
        <f t="shared" si="157"/>
        <v>NA11TE-9</v>
      </c>
      <c r="O3388">
        <f>COUNTIFS(F$1:F3388,F3388,A$1:A3388,A3388)</f>
        <v>21</v>
      </c>
      <c r="P3388" t="str">
        <f t="shared" si="158"/>
        <v>Geoff Swaim11</v>
      </c>
    </row>
    <row r="3389" spans="1:16" x14ac:dyDescent="0.25">
      <c r="A3389">
        <v>10</v>
      </c>
      <c r="B3389" t="s">
        <v>299</v>
      </c>
      <c r="C3389" t="s">
        <v>8081</v>
      </c>
      <c r="D3389">
        <v>3.28</v>
      </c>
      <c r="E3389" t="s">
        <v>74</v>
      </c>
      <c r="F3389" t="s">
        <v>114</v>
      </c>
      <c r="G3389">
        <v>5.59</v>
      </c>
      <c r="H3389">
        <v>0.97</v>
      </c>
      <c r="I3389">
        <v>2.31</v>
      </c>
      <c r="J3389">
        <v>5.3361000000000001</v>
      </c>
      <c r="K3389" t="str">
        <f>IFERROR(INDEX(Rosters!$C$2:$C$155,MATCH($B3389,Rosters!$B$2:$B$155,0)),"NA")</f>
        <v>NA</v>
      </c>
      <c r="L3389" t="str">
        <f t="shared" si="156"/>
        <v>NA10TE</v>
      </c>
      <c r="M3389">
        <f>COUNTIF(L$1:L3389,L3389)</f>
        <v>12</v>
      </c>
      <c r="N3389" t="str">
        <f t="shared" si="157"/>
        <v>NA10TE-12</v>
      </c>
      <c r="O3389">
        <f>COUNTIFS(F$1:F3389,F3389,A$1:A3389,A3389)</f>
        <v>25</v>
      </c>
      <c r="P3389" t="str">
        <f t="shared" si="158"/>
        <v>Jesse James10</v>
      </c>
    </row>
    <row r="3390" spans="1:16" x14ac:dyDescent="0.25">
      <c r="A3390">
        <v>3</v>
      </c>
      <c r="B3390" t="s">
        <v>1483</v>
      </c>
      <c r="C3390" t="s">
        <v>3768</v>
      </c>
      <c r="D3390">
        <v>3.28</v>
      </c>
      <c r="E3390" t="s">
        <v>42</v>
      </c>
      <c r="F3390" t="s">
        <v>15</v>
      </c>
      <c r="G3390">
        <v>4.38</v>
      </c>
      <c r="H3390">
        <v>2.1800000000000002</v>
      </c>
      <c r="I3390">
        <v>1.1000000000000001</v>
      </c>
      <c r="J3390">
        <v>1.21</v>
      </c>
      <c r="K3390" t="str">
        <f>IFERROR(INDEX(Rosters!$C$2:$C$155,MATCH($B3390,Rosters!$B$2:$B$155,0)),"NA")</f>
        <v>NA</v>
      </c>
      <c r="L3390" t="str">
        <f t="shared" si="156"/>
        <v>NA3QB</v>
      </c>
      <c r="M3390">
        <f>COUNTIF(L$1:L3390,L3390)</f>
        <v>16</v>
      </c>
      <c r="N3390" t="str">
        <f t="shared" si="157"/>
        <v>NA3QB-16</v>
      </c>
      <c r="O3390">
        <f>COUNTIFS(F$1:F3390,F3390,A$1:A3390,A3390)</f>
        <v>32</v>
      </c>
      <c r="P3390" t="str">
        <f t="shared" si="158"/>
        <v>Lamar Jackson3</v>
      </c>
    </row>
    <row r="3391" spans="1:16" x14ac:dyDescent="0.25">
      <c r="A3391">
        <v>14</v>
      </c>
      <c r="B3391" t="s">
        <v>388</v>
      </c>
      <c r="C3391" t="s">
        <v>8082</v>
      </c>
      <c r="D3391">
        <v>3.28</v>
      </c>
      <c r="E3391" t="s">
        <v>50</v>
      </c>
      <c r="F3391" t="s">
        <v>47</v>
      </c>
      <c r="G3391">
        <v>6.33</v>
      </c>
      <c r="H3391">
        <v>0.23</v>
      </c>
      <c r="I3391">
        <v>3.05</v>
      </c>
      <c r="J3391">
        <v>9.3025000000000002</v>
      </c>
      <c r="K3391" t="str">
        <f>IFERROR(INDEX(Rosters!$C$2:$C$155,MATCH($B3391,Rosters!$B$2:$B$155,0)),"NA")</f>
        <v>NA</v>
      </c>
      <c r="L3391" t="str">
        <f t="shared" si="156"/>
        <v>NA14RB</v>
      </c>
      <c r="M3391">
        <f>COUNTIF(L$1:L3391,L3391)</f>
        <v>22</v>
      </c>
      <c r="N3391" t="str">
        <f t="shared" si="157"/>
        <v>NA14RB-22</v>
      </c>
      <c r="O3391">
        <f>COUNTIFS(F$1:F3391,F3391,A$1:A3391,A3391)</f>
        <v>68</v>
      </c>
      <c r="P3391" t="str">
        <f t="shared" si="158"/>
        <v>Rod Smith14</v>
      </c>
    </row>
    <row r="3392" spans="1:16" x14ac:dyDescent="0.25">
      <c r="A3392">
        <v>10</v>
      </c>
      <c r="B3392" t="s">
        <v>373</v>
      </c>
      <c r="C3392" t="s">
        <v>8083</v>
      </c>
      <c r="D3392">
        <v>3.27</v>
      </c>
      <c r="E3392" t="s">
        <v>30</v>
      </c>
      <c r="F3392" t="s">
        <v>87</v>
      </c>
      <c r="G3392">
        <v>6.34</v>
      </c>
      <c r="H3392">
        <v>0.2</v>
      </c>
      <c r="I3392">
        <v>3.07</v>
      </c>
      <c r="J3392">
        <v>9.4248999999999992</v>
      </c>
      <c r="K3392" t="str">
        <f>IFERROR(INDEX(Rosters!$C$2:$C$155,MATCH($B3392,Rosters!$B$2:$B$155,0)),"NA")</f>
        <v>NA</v>
      </c>
      <c r="L3392" t="str">
        <f t="shared" si="156"/>
        <v>NA10WR</v>
      </c>
      <c r="M3392">
        <f>COUNTIF(L$1:L3392,L3392)</f>
        <v>35</v>
      </c>
      <c r="N3392" t="str">
        <f t="shared" si="157"/>
        <v>NA10WR-35</v>
      </c>
      <c r="O3392">
        <f>COUNTIFS(F$1:F3392,F3392,A$1:A3392,A3392)</f>
        <v>79</v>
      </c>
      <c r="P3392" t="str">
        <f t="shared" si="158"/>
        <v>Cody Latimer10</v>
      </c>
    </row>
    <row r="3393" spans="1:16" x14ac:dyDescent="0.25">
      <c r="A3393">
        <v>6</v>
      </c>
      <c r="B3393" t="s">
        <v>166</v>
      </c>
      <c r="C3393">
        <f>-0.5-7.04</f>
        <v>-7.54</v>
      </c>
      <c r="D3393">
        <v>3.27</v>
      </c>
      <c r="E3393" t="s">
        <v>30</v>
      </c>
      <c r="F3393" t="s">
        <v>87</v>
      </c>
      <c r="G3393">
        <v>7.04</v>
      </c>
      <c r="H3393">
        <v>-0.5</v>
      </c>
      <c r="I3393">
        <v>3.77</v>
      </c>
      <c r="J3393">
        <v>14.212899999999999</v>
      </c>
      <c r="K3393" t="str">
        <f>IFERROR(INDEX(Rosters!$C$2:$C$155,MATCH($B3393,Rosters!$B$2:$B$155,0)),"NA")</f>
        <v>seth</v>
      </c>
      <c r="L3393" t="str">
        <f t="shared" si="156"/>
        <v>seth6WR</v>
      </c>
      <c r="M3393">
        <f>COUNTIF(L$1:L3393,L3393)</f>
        <v>5</v>
      </c>
      <c r="N3393" t="str">
        <f t="shared" si="157"/>
        <v>seth6WR-5</v>
      </c>
      <c r="O3393">
        <f>COUNTIFS(F$1:F3393,F3393,A$1:A3393,A3393)</f>
        <v>82</v>
      </c>
      <c r="P3393" t="str">
        <f t="shared" si="158"/>
        <v>Randall Cobb6</v>
      </c>
    </row>
    <row r="3394" spans="1:16" x14ac:dyDescent="0.25">
      <c r="A3394">
        <v>11</v>
      </c>
      <c r="B3394" t="s">
        <v>242</v>
      </c>
      <c r="C3394" t="s">
        <v>8084</v>
      </c>
      <c r="D3394">
        <v>3.26</v>
      </c>
      <c r="E3394" t="s">
        <v>54</v>
      </c>
      <c r="F3394" t="s">
        <v>87</v>
      </c>
      <c r="G3394">
        <v>5.74</v>
      </c>
      <c r="H3394">
        <v>0.78</v>
      </c>
      <c r="I3394">
        <v>2.48</v>
      </c>
      <c r="J3394">
        <v>6.1504000000000003</v>
      </c>
      <c r="K3394" t="str">
        <f>IFERROR(INDEX(Rosters!$C$2:$C$155,MATCH($B3394,Rosters!$B$2:$B$155,0)),"NA")</f>
        <v>NA</v>
      </c>
      <c r="L3394" t="str">
        <f t="shared" si="156"/>
        <v>NA11WR</v>
      </c>
      <c r="M3394">
        <f>COUNTIF(L$1:L3394,L3394)</f>
        <v>28</v>
      </c>
      <c r="N3394" t="str">
        <f t="shared" si="157"/>
        <v>NA11WR-28</v>
      </c>
      <c r="O3394">
        <f>COUNTIFS(F$1:F3394,F3394,A$1:A3394,A3394)</f>
        <v>73</v>
      </c>
      <c r="P3394" t="str">
        <f t="shared" si="158"/>
        <v>Adam Humphries11</v>
      </c>
    </row>
    <row r="3395" spans="1:16" x14ac:dyDescent="0.25">
      <c r="A3395">
        <v>17</v>
      </c>
      <c r="B3395" t="s">
        <v>1367</v>
      </c>
      <c r="C3395" t="s">
        <v>8085</v>
      </c>
      <c r="D3395">
        <v>3.26</v>
      </c>
      <c r="E3395" t="s">
        <v>74</v>
      </c>
      <c r="F3395" t="s">
        <v>87</v>
      </c>
      <c r="G3395">
        <v>5.21</v>
      </c>
      <c r="H3395">
        <v>1.31</v>
      </c>
      <c r="I3395">
        <v>1.95</v>
      </c>
      <c r="J3395">
        <v>3.8025000000000002</v>
      </c>
      <c r="K3395" t="str">
        <f>IFERROR(INDEX(Rosters!$C$2:$C$155,MATCH($B3395,Rosters!$B$2:$B$155,0)),"NA")</f>
        <v>NA</v>
      </c>
      <c r="L3395" t="str">
        <f t="shared" ref="L3395:L3458" si="159">K3395&amp;A3395&amp;F3395</f>
        <v>NA17WR</v>
      </c>
      <c r="M3395">
        <f>COUNTIF(L$1:L3395,L3395)</f>
        <v>42</v>
      </c>
      <c r="N3395" t="str">
        <f t="shared" ref="N3395:N3458" si="160">L3395&amp;"-"&amp;M3395</f>
        <v>NA17WR-42</v>
      </c>
      <c r="O3395">
        <f>COUNTIFS(F$1:F3395,F3395,A$1:A3395,A3395)</f>
        <v>94</v>
      </c>
      <c r="P3395" t="str">
        <f t="shared" ref="P3395:P3458" si="161">B3395&amp;A3395</f>
        <v>Cameron Meredith17</v>
      </c>
    </row>
    <row r="3396" spans="1:16" x14ac:dyDescent="0.25">
      <c r="A3396">
        <v>15</v>
      </c>
      <c r="B3396" t="s">
        <v>1366</v>
      </c>
      <c r="C3396" t="s">
        <v>8086</v>
      </c>
      <c r="D3396">
        <v>3.26</v>
      </c>
      <c r="E3396" t="s">
        <v>42</v>
      </c>
      <c r="F3396" t="s">
        <v>47</v>
      </c>
      <c r="G3396">
        <v>5.89</v>
      </c>
      <c r="H3396">
        <v>0.63</v>
      </c>
      <c r="I3396">
        <v>2.63</v>
      </c>
      <c r="J3396">
        <v>6.9169</v>
      </c>
      <c r="K3396" t="str">
        <f>IFERROR(INDEX(Rosters!$C$2:$C$155,MATCH($B3396,Rosters!$B$2:$B$155,0)),"NA")</f>
        <v>NA</v>
      </c>
      <c r="L3396" t="str">
        <f t="shared" si="159"/>
        <v>NA15RB</v>
      </c>
      <c r="M3396">
        <f>COUNTIF(L$1:L3396,L3396)</f>
        <v>21</v>
      </c>
      <c r="N3396" t="str">
        <f t="shared" si="160"/>
        <v>NA15RB-21</v>
      </c>
      <c r="O3396">
        <f>COUNTIFS(F$1:F3396,F3396,A$1:A3396,A3396)</f>
        <v>67</v>
      </c>
      <c r="P3396" t="str">
        <f t="shared" si="161"/>
        <v>Nick Chubb15</v>
      </c>
    </row>
    <row r="3397" spans="1:16" x14ac:dyDescent="0.25">
      <c r="A3397">
        <v>7</v>
      </c>
      <c r="B3397" t="s">
        <v>388</v>
      </c>
      <c r="C3397">
        <f>-0.06-6.58</f>
        <v>-6.64</v>
      </c>
      <c r="D3397">
        <v>3.26</v>
      </c>
      <c r="E3397" t="s">
        <v>60</v>
      </c>
      <c r="F3397" t="s">
        <v>47</v>
      </c>
      <c r="G3397">
        <v>6.58</v>
      </c>
      <c r="H3397">
        <v>-0.06</v>
      </c>
      <c r="I3397">
        <v>3.32</v>
      </c>
      <c r="J3397">
        <v>11.022399999999999</v>
      </c>
      <c r="K3397" t="str">
        <f>IFERROR(INDEX(Rosters!$C$2:$C$155,MATCH($B3397,Rosters!$B$2:$B$155,0)),"NA")</f>
        <v>NA</v>
      </c>
      <c r="L3397" t="str">
        <f t="shared" si="159"/>
        <v>NA7RB</v>
      </c>
      <c r="M3397">
        <f>COUNTIF(L$1:L3397,L3397)</f>
        <v>16</v>
      </c>
      <c r="N3397" t="str">
        <f t="shared" si="160"/>
        <v>NA7RB-16</v>
      </c>
      <c r="O3397">
        <f>COUNTIFS(F$1:F3397,F3397,A$1:A3397,A3397)</f>
        <v>57</v>
      </c>
      <c r="P3397" t="str">
        <f t="shared" si="161"/>
        <v>Rod Smith7</v>
      </c>
    </row>
    <row r="3398" spans="1:16" x14ac:dyDescent="0.25">
      <c r="A3398">
        <v>5</v>
      </c>
      <c r="B3398" t="s">
        <v>1391</v>
      </c>
      <c r="C3398">
        <f>-0.47-6.97</f>
        <v>-7.4399999999999995</v>
      </c>
      <c r="D3398">
        <v>3.25</v>
      </c>
      <c r="E3398" t="s">
        <v>54</v>
      </c>
      <c r="F3398" t="s">
        <v>87</v>
      </c>
      <c r="G3398">
        <v>6.97</v>
      </c>
      <c r="H3398">
        <v>-0.47</v>
      </c>
      <c r="I3398">
        <v>3.72</v>
      </c>
      <c r="J3398">
        <v>13.8384</v>
      </c>
      <c r="K3398" t="str">
        <f>IFERROR(INDEX(Rosters!$C$2:$C$155,MATCH($B3398,Rosters!$B$2:$B$155,0)),"NA")</f>
        <v>NA</v>
      </c>
      <c r="L3398" t="str">
        <f t="shared" si="159"/>
        <v>NA5WR</v>
      </c>
      <c r="M3398">
        <f>COUNTIF(L$1:L3398,L3398)</f>
        <v>36</v>
      </c>
      <c r="N3398" t="str">
        <f t="shared" si="160"/>
        <v>NA5WR-36</v>
      </c>
      <c r="O3398">
        <f>COUNTIFS(F$1:F3398,F3398,A$1:A3398,A3398)</f>
        <v>84</v>
      </c>
      <c r="P3398" t="str">
        <f t="shared" si="161"/>
        <v>D.J. Moore5</v>
      </c>
    </row>
    <row r="3399" spans="1:16" x14ac:dyDescent="0.25">
      <c r="A3399">
        <v>13</v>
      </c>
      <c r="B3399" t="s">
        <v>1036</v>
      </c>
      <c r="C3399" t="s">
        <v>8087</v>
      </c>
      <c r="D3399">
        <v>3.25</v>
      </c>
      <c r="E3399" t="s">
        <v>14</v>
      </c>
      <c r="F3399" t="s">
        <v>87</v>
      </c>
      <c r="G3399">
        <v>5.6</v>
      </c>
      <c r="H3399">
        <v>0.9</v>
      </c>
      <c r="I3399">
        <v>2.35</v>
      </c>
      <c r="J3399">
        <v>5.5225</v>
      </c>
      <c r="K3399" t="str">
        <f>IFERROR(INDEX(Rosters!$C$2:$C$155,MATCH($B3399,Rosters!$B$2:$B$155,0)),"NA")</f>
        <v>NA</v>
      </c>
      <c r="L3399" t="str">
        <f t="shared" si="159"/>
        <v>NA13WR</v>
      </c>
      <c r="M3399">
        <f>COUNTIF(L$1:L3399,L3399)</f>
        <v>44</v>
      </c>
      <c r="N3399" t="str">
        <f t="shared" si="160"/>
        <v>NA13WR-44</v>
      </c>
      <c r="O3399">
        <f>COUNTIFS(F$1:F3399,F3399,A$1:A3399,A3399)</f>
        <v>96</v>
      </c>
      <c r="P3399" t="str">
        <f t="shared" si="161"/>
        <v>Deonte Thompson13</v>
      </c>
    </row>
    <row r="3400" spans="1:16" x14ac:dyDescent="0.25">
      <c r="A3400">
        <v>4</v>
      </c>
      <c r="B3400" t="s">
        <v>1457</v>
      </c>
      <c r="C3400" t="s">
        <v>4594</v>
      </c>
      <c r="D3400">
        <v>3.25</v>
      </c>
      <c r="E3400" t="s">
        <v>37</v>
      </c>
      <c r="F3400" t="s">
        <v>87</v>
      </c>
      <c r="G3400">
        <v>6.5</v>
      </c>
      <c r="H3400">
        <v>0</v>
      </c>
      <c r="I3400">
        <v>3.25</v>
      </c>
      <c r="J3400">
        <v>10.5625</v>
      </c>
      <c r="K3400" t="str">
        <f>IFERROR(INDEX(Rosters!$C$2:$C$155,MATCH($B3400,Rosters!$B$2:$B$155,0)),"NA")</f>
        <v>NA</v>
      </c>
      <c r="L3400" t="str">
        <f t="shared" si="159"/>
        <v>NA4WR</v>
      </c>
      <c r="M3400">
        <f>COUNTIF(L$1:L3400,L3400)</f>
        <v>33</v>
      </c>
      <c r="N3400" t="str">
        <f t="shared" si="160"/>
        <v>NA4WR-33</v>
      </c>
      <c r="O3400">
        <f>COUNTIFS(F$1:F3400,F3400,A$1:A3400,A3400)</f>
        <v>81</v>
      </c>
      <c r="P3400" t="str">
        <f t="shared" si="161"/>
        <v>Trent Taylor4</v>
      </c>
    </row>
    <row r="3401" spans="1:16" x14ac:dyDescent="0.25">
      <c r="A3401">
        <v>7</v>
      </c>
      <c r="B3401" t="s">
        <v>2667</v>
      </c>
      <c r="C3401" t="s">
        <v>8088</v>
      </c>
      <c r="D3401">
        <v>3.24</v>
      </c>
      <c r="E3401" t="s">
        <v>38</v>
      </c>
      <c r="F3401" t="s">
        <v>114</v>
      </c>
      <c r="G3401">
        <v>6.22</v>
      </c>
      <c r="H3401">
        <v>0.26</v>
      </c>
      <c r="I3401">
        <v>2.98</v>
      </c>
      <c r="J3401">
        <v>8.8803999999999998</v>
      </c>
      <c r="K3401" t="str">
        <f>IFERROR(INDEX(Rosters!$C$2:$C$155,MATCH($B3401,Rosters!$B$2:$B$155,0)),"NA")</f>
        <v>NA</v>
      </c>
      <c r="L3401" t="str">
        <f t="shared" si="159"/>
        <v>NA7TE</v>
      </c>
      <c r="M3401">
        <f>COUNTIF(L$1:L3401,L3401)</f>
        <v>12</v>
      </c>
      <c r="N3401" t="str">
        <f t="shared" si="160"/>
        <v>NA7TE-12</v>
      </c>
      <c r="O3401">
        <f>COUNTIFS(F$1:F3401,F3401,A$1:A3401,A3401)</f>
        <v>21</v>
      </c>
      <c r="P3401" t="str">
        <f t="shared" si="161"/>
        <v>Antonio Gates7</v>
      </c>
    </row>
    <row r="3402" spans="1:16" x14ac:dyDescent="0.25">
      <c r="A3402">
        <v>16</v>
      </c>
      <c r="B3402" t="s">
        <v>373</v>
      </c>
      <c r="C3402" t="s">
        <v>8089</v>
      </c>
      <c r="D3402">
        <v>3.24</v>
      </c>
      <c r="E3402" t="s">
        <v>66</v>
      </c>
      <c r="F3402" t="s">
        <v>87</v>
      </c>
      <c r="G3402">
        <v>6.35</v>
      </c>
      <c r="H3402">
        <v>0.13</v>
      </c>
      <c r="I3402">
        <v>3.11</v>
      </c>
      <c r="J3402">
        <v>9.6721000000000004</v>
      </c>
      <c r="K3402" t="str">
        <f>IFERROR(INDEX(Rosters!$C$2:$C$155,MATCH($B3402,Rosters!$B$2:$B$155,0)),"NA")</f>
        <v>NA</v>
      </c>
      <c r="L3402" t="str">
        <f t="shared" si="159"/>
        <v>NA16WR</v>
      </c>
      <c r="M3402">
        <f>COUNTIF(L$1:L3402,L3402)</f>
        <v>40</v>
      </c>
      <c r="N3402" t="str">
        <f t="shared" si="160"/>
        <v>NA16WR-40</v>
      </c>
      <c r="O3402">
        <f>COUNTIFS(F$1:F3402,F3402,A$1:A3402,A3402)</f>
        <v>92</v>
      </c>
      <c r="P3402" t="str">
        <f t="shared" si="161"/>
        <v>Cody Latimer16</v>
      </c>
    </row>
    <row r="3403" spans="1:16" x14ac:dyDescent="0.25">
      <c r="A3403">
        <v>6</v>
      </c>
      <c r="B3403" t="s">
        <v>1478</v>
      </c>
      <c r="C3403" t="s">
        <v>8090</v>
      </c>
      <c r="D3403">
        <v>3.24</v>
      </c>
      <c r="E3403" t="s">
        <v>54</v>
      </c>
      <c r="F3403" t="s">
        <v>114</v>
      </c>
      <c r="G3403">
        <v>6.3</v>
      </c>
      <c r="H3403">
        <v>0.18</v>
      </c>
      <c r="I3403">
        <v>3.06</v>
      </c>
      <c r="J3403">
        <v>9.3635999999999999</v>
      </c>
      <c r="K3403" t="str">
        <f>IFERROR(INDEX(Rosters!$C$2:$C$155,MATCH($B3403,Rosters!$B$2:$B$155,0)),"NA")</f>
        <v>NA</v>
      </c>
      <c r="L3403" t="str">
        <f t="shared" si="159"/>
        <v>NA6TE</v>
      </c>
      <c r="M3403">
        <f>COUNTIF(L$1:L3403,L3403)</f>
        <v>12</v>
      </c>
      <c r="N3403" t="str">
        <f t="shared" si="160"/>
        <v>NA6TE-12</v>
      </c>
      <c r="O3403">
        <f>COUNTIFS(F$1:F3403,F3403,A$1:A3403,A3403)</f>
        <v>24</v>
      </c>
      <c r="P3403" t="str">
        <f t="shared" si="161"/>
        <v>Dallas Goedert6</v>
      </c>
    </row>
    <row r="3404" spans="1:16" x14ac:dyDescent="0.25">
      <c r="A3404">
        <v>17</v>
      </c>
      <c r="B3404" t="s">
        <v>309</v>
      </c>
      <c r="C3404" t="s">
        <v>8091</v>
      </c>
      <c r="D3404">
        <v>3.24</v>
      </c>
      <c r="E3404" t="s">
        <v>54</v>
      </c>
      <c r="F3404" t="s">
        <v>114</v>
      </c>
      <c r="G3404">
        <v>6.27</v>
      </c>
      <c r="H3404">
        <v>0.21</v>
      </c>
      <c r="I3404">
        <v>3.03</v>
      </c>
      <c r="J3404">
        <v>9.1808999999999994</v>
      </c>
      <c r="K3404" t="str">
        <f>IFERROR(INDEX(Rosters!$C$2:$C$155,MATCH($B3404,Rosters!$B$2:$B$155,0)),"NA")</f>
        <v>NA</v>
      </c>
      <c r="L3404" t="str">
        <f t="shared" si="159"/>
        <v>NA17TE</v>
      </c>
      <c r="M3404">
        <f>COUNTIF(L$1:L3404,L3404)</f>
        <v>13</v>
      </c>
      <c r="N3404" t="str">
        <f t="shared" si="160"/>
        <v>NA17TE-13</v>
      </c>
      <c r="O3404">
        <f>COUNTIFS(F$1:F3404,F3404,A$1:A3404,A3404)</f>
        <v>27</v>
      </c>
      <c r="P3404" t="str">
        <f t="shared" si="161"/>
        <v>Geoff Swaim17</v>
      </c>
    </row>
    <row r="3405" spans="1:16" x14ac:dyDescent="0.25">
      <c r="A3405">
        <v>16</v>
      </c>
      <c r="B3405" t="s">
        <v>296</v>
      </c>
      <c r="C3405" t="s">
        <v>8092</v>
      </c>
      <c r="D3405">
        <v>3.24</v>
      </c>
      <c r="E3405" t="s">
        <v>46</v>
      </c>
      <c r="F3405" t="s">
        <v>87</v>
      </c>
      <c r="G3405">
        <v>5.8</v>
      </c>
      <c r="H3405">
        <v>0.68</v>
      </c>
      <c r="I3405">
        <v>2.56</v>
      </c>
      <c r="J3405">
        <v>6.5536000000000003</v>
      </c>
      <c r="K3405" t="str">
        <f>IFERROR(INDEX(Rosters!$C$2:$C$155,MATCH($B3405,Rosters!$B$2:$B$155,0)),"NA")</f>
        <v>NA</v>
      </c>
      <c r="L3405" t="str">
        <f t="shared" si="159"/>
        <v>NA16WR</v>
      </c>
      <c r="M3405">
        <f>COUNTIF(L$1:L3405,L3405)</f>
        <v>41</v>
      </c>
      <c r="N3405" t="str">
        <f t="shared" si="160"/>
        <v>NA16WR-41</v>
      </c>
      <c r="O3405">
        <f>COUNTIFS(F$1:F3405,F3405,A$1:A3405,A3405)</f>
        <v>93</v>
      </c>
      <c r="P3405" t="str">
        <f t="shared" si="161"/>
        <v>Jarius Wright16</v>
      </c>
    </row>
    <row r="3406" spans="1:16" x14ac:dyDescent="0.25">
      <c r="A3406">
        <v>2</v>
      </c>
      <c r="B3406" t="s">
        <v>1423</v>
      </c>
      <c r="C3406">
        <f>-0.03-6.51</f>
        <v>-6.54</v>
      </c>
      <c r="D3406">
        <v>3.24</v>
      </c>
      <c r="E3406" t="s">
        <v>73</v>
      </c>
      <c r="F3406" t="s">
        <v>114</v>
      </c>
      <c r="G3406">
        <v>6.51</v>
      </c>
      <c r="H3406">
        <v>-0.03</v>
      </c>
      <c r="I3406">
        <v>3.27</v>
      </c>
      <c r="J3406">
        <v>10.6929</v>
      </c>
      <c r="K3406" t="str">
        <f>IFERROR(INDEX(Rosters!$C$2:$C$155,MATCH($B3406,Rosters!$B$2:$B$155,0)),"NA")</f>
        <v>NA</v>
      </c>
      <c r="L3406" t="str">
        <f t="shared" si="159"/>
        <v>NA2TE</v>
      </c>
      <c r="M3406">
        <f>COUNTIF(L$1:L3406,L3406)</f>
        <v>11</v>
      </c>
      <c r="N3406" t="str">
        <f t="shared" si="160"/>
        <v>NA2TE-11</v>
      </c>
      <c r="O3406">
        <f>COUNTIFS(F$1:F3406,F3406,A$1:A3406,A3406)</f>
        <v>23</v>
      </c>
      <c r="P3406" t="str">
        <f t="shared" si="161"/>
        <v>Michael Gesicki2</v>
      </c>
    </row>
    <row r="3407" spans="1:16" x14ac:dyDescent="0.25">
      <c r="A3407">
        <v>3</v>
      </c>
      <c r="B3407" t="s">
        <v>388</v>
      </c>
      <c r="C3407">
        <f>-1.2-7.68</f>
        <v>-8.879999999999999</v>
      </c>
      <c r="D3407">
        <v>3.24</v>
      </c>
      <c r="E3407" t="s">
        <v>28</v>
      </c>
      <c r="F3407" t="s">
        <v>47</v>
      </c>
      <c r="G3407">
        <v>7.68</v>
      </c>
      <c r="H3407">
        <v>-1.2</v>
      </c>
      <c r="I3407">
        <v>4.4400000000000004</v>
      </c>
      <c r="J3407">
        <v>19.7136</v>
      </c>
      <c r="K3407" t="str">
        <f>IFERROR(INDEX(Rosters!$C$2:$C$155,MATCH($B3407,Rosters!$B$2:$B$155,0)),"NA")</f>
        <v>NA</v>
      </c>
      <c r="L3407" t="str">
        <f t="shared" si="159"/>
        <v>NA3RB</v>
      </c>
      <c r="M3407">
        <f>COUNTIF(L$1:L3407,L3407)</f>
        <v>22</v>
      </c>
      <c r="N3407" t="str">
        <f t="shared" si="160"/>
        <v>NA3RB-22</v>
      </c>
      <c r="O3407">
        <f>COUNTIFS(F$1:F3407,F3407,A$1:A3407,A3407)</f>
        <v>61</v>
      </c>
      <c r="P3407" t="str">
        <f t="shared" si="161"/>
        <v>Rod Smith3</v>
      </c>
    </row>
    <row r="3408" spans="1:16" x14ac:dyDescent="0.25">
      <c r="A3408">
        <v>1</v>
      </c>
      <c r="B3408" t="s">
        <v>221</v>
      </c>
      <c r="C3408" t="s">
        <v>1466</v>
      </c>
      <c r="D3408">
        <v>3.24</v>
      </c>
      <c r="E3408" t="s">
        <v>66</v>
      </c>
      <c r="F3408" t="s">
        <v>87</v>
      </c>
      <c r="G3408">
        <v>6.28</v>
      </c>
      <c r="H3408">
        <v>0.2</v>
      </c>
      <c r="I3408">
        <v>3.04</v>
      </c>
      <c r="J3408">
        <v>9.2416</v>
      </c>
      <c r="K3408" t="str">
        <f>IFERROR(INDEX(Rosters!$C$2:$C$155,MATCH($B3408,Rosters!$B$2:$B$155,0)),"NA")</f>
        <v>cory</v>
      </c>
      <c r="L3408" t="str">
        <f t="shared" si="159"/>
        <v>cory1WR</v>
      </c>
      <c r="M3408">
        <f>COUNTIF(L$1:L3408,L3408)</f>
        <v>5</v>
      </c>
      <c r="N3408" t="str">
        <f t="shared" si="160"/>
        <v>cory1WR-5</v>
      </c>
      <c r="O3408">
        <f>COUNTIFS(F$1:F3408,F3408,A$1:A3408,A3408)</f>
        <v>78</v>
      </c>
      <c r="P3408" t="str">
        <f t="shared" si="161"/>
        <v>Tyler Boyd1</v>
      </c>
    </row>
    <row r="3409" spans="1:16" x14ac:dyDescent="0.25">
      <c r="A3409">
        <v>10</v>
      </c>
      <c r="B3409" t="s">
        <v>182</v>
      </c>
      <c r="C3409">
        <f>-0.15-6.63</f>
        <v>-6.78</v>
      </c>
      <c r="D3409">
        <v>3.24</v>
      </c>
      <c r="E3409" t="s">
        <v>73</v>
      </c>
      <c r="F3409" t="s">
        <v>87</v>
      </c>
      <c r="G3409">
        <v>6.63</v>
      </c>
      <c r="H3409">
        <v>-0.15</v>
      </c>
      <c r="I3409">
        <v>3.39</v>
      </c>
      <c r="J3409">
        <v>11.492100000000001</v>
      </c>
      <c r="K3409" t="str">
        <f>IFERROR(INDEX(Rosters!$C$2:$C$155,MATCH($B3409,Rosters!$B$2:$B$155,0)),"NA")</f>
        <v>NA</v>
      </c>
      <c r="L3409" t="str">
        <f t="shared" si="159"/>
        <v>NA10WR</v>
      </c>
      <c r="M3409">
        <f>COUNTIF(L$1:L3409,L3409)</f>
        <v>36</v>
      </c>
      <c r="N3409" t="str">
        <f t="shared" si="160"/>
        <v>NA10WR-36</v>
      </c>
      <c r="O3409">
        <f>COUNTIFS(F$1:F3409,F3409,A$1:A3409,A3409)</f>
        <v>80</v>
      </c>
      <c r="P3409" t="str">
        <f t="shared" si="161"/>
        <v>Zay Jones10</v>
      </c>
    </row>
    <row r="3410" spans="1:16" x14ac:dyDescent="0.25">
      <c r="A3410">
        <v>10</v>
      </c>
      <c r="B3410" t="s">
        <v>305</v>
      </c>
      <c r="C3410" t="s">
        <v>8093</v>
      </c>
      <c r="D3410">
        <v>3.23</v>
      </c>
      <c r="E3410" t="s">
        <v>76</v>
      </c>
      <c r="F3410" t="s">
        <v>87</v>
      </c>
      <c r="G3410">
        <v>5.81</v>
      </c>
      <c r="H3410">
        <v>0.65</v>
      </c>
      <c r="I3410">
        <v>2.58</v>
      </c>
      <c r="J3410">
        <v>6.6563999999999997</v>
      </c>
      <c r="K3410" t="str">
        <f>IFERROR(INDEX(Rosters!$C$2:$C$155,MATCH($B3410,Rosters!$B$2:$B$155,0)),"NA")</f>
        <v>NA</v>
      </c>
      <c r="L3410" t="str">
        <f t="shared" si="159"/>
        <v>NA10WR</v>
      </c>
      <c r="M3410">
        <f>COUNTIF(L$1:L3410,L3410)</f>
        <v>37</v>
      </c>
      <c r="N3410" t="str">
        <f t="shared" si="160"/>
        <v>NA10WR-37</v>
      </c>
      <c r="O3410">
        <f>COUNTIFS(F$1:F3410,F3410,A$1:A3410,A3410)</f>
        <v>81</v>
      </c>
      <c r="P3410" t="str">
        <f t="shared" si="161"/>
        <v>Chester Rogers10</v>
      </c>
    </row>
    <row r="3411" spans="1:16" x14ac:dyDescent="0.25">
      <c r="A3411">
        <v>12</v>
      </c>
      <c r="B3411" t="s">
        <v>4206</v>
      </c>
      <c r="C3411" t="s">
        <v>8094</v>
      </c>
      <c r="D3411">
        <v>3.23</v>
      </c>
      <c r="E3411" t="s">
        <v>14</v>
      </c>
      <c r="F3411" t="s">
        <v>47</v>
      </c>
      <c r="G3411">
        <v>5.92</v>
      </c>
      <c r="H3411">
        <v>0.54</v>
      </c>
      <c r="I3411">
        <v>2.69</v>
      </c>
      <c r="J3411">
        <v>7.2361000000000004</v>
      </c>
      <c r="K3411" t="str">
        <f>IFERROR(INDEX(Rosters!$C$2:$C$155,MATCH($B3411,Rosters!$B$2:$B$155,0)),"NA")</f>
        <v>NA</v>
      </c>
      <c r="L3411" t="str">
        <f t="shared" si="159"/>
        <v>NA12RB</v>
      </c>
      <c r="M3411">
        <f>COUNTIF(L$1:L3411,L3411)</f>
        <v>23</v>
      </c>
      <c r="N3411" t="str">
        <f t="shared" si="160"/>
        <v>NA12RB-23</v>
      </c>
      <c r="O3411">
        <f>COUNTIFS(F$1:F3411,F3411,A$1:A3411,A3411)</f>
        <v>67</v>
      </c>
      <c r="P3411" t="str">
        <f t="shared" si="161"/>
        <v>Ito Smith12</v>
      </c>
    </row>
    <row r="3412" spans="1:16" x14ac:dyDescent="0.25">
      <c r="A3412">
        <v>3</v>
      </c>
      <c r="B3412" t="s">
        <v>219</v>
      </c>
      <c r="C3412" t="s">
        <v>3769</v>
      </c>
      <c r="D3412">
        <v>3.23</v>
      </c>
      <c r="E3412" t="s">
        <v>52</v>
      </c>
      <c r="F3412" t="s">
        <v>87</v>
      </c>
      <c r="G3412">
        <v>6.26</v>
      </c>
      <c r="H3412">
        <v>0.2</v>
      </c>
      <c r="I3412">
        <v>3.03</v>
      </c>
      <c r="J3412">
        <v>9.1808999999999994</v>
      </c>
      <c r="K3412" t="str">
        <f>IFERROR(INDEX(Rosters!$C$2:$C$155,MATCH($B3412,Rosters!$B$2:$B$155,0)),"NA")</f>
        <v>NA</v>
      </c>
      <c r="L3412" t="str">
        <f t="shared" si="159"/>
        <v>NA3WR</v>
      </c>
      <c r="M3412">
        <f>COUNTIF(L$1:L3412,L3412)</f>
        <v>33</v>
      </c>
      <c r="N3412" t="str">
        <f t="shared" si="160"/>
        <v>NA3WR-33</v>
      </c>
      <c r="O3412">
        <f>COUNTIFS(F$1:F3412,F3412,A$1:A3412,A3412)</f>
        <v>80</v>
      </c>
      <c r="P3412" t="str">
        <f t="shared" si="161"/>
        <v>Jermaine Kearse3</v>
      </c>
    </row>
    <row r="3413" spans="1:16" x14ac:dyDescent="0.25">
      <c r="A3413">
        <v>15</v>
      </c>
      <c r="B3413" t="s">
        <v>1483</v>
      </c>
      <c r="C3413" t="s">
        <v>8095</v>
      </c>
      <c r="D3413">
        <v>3.23</v>
      </c>
      <c r="E3413" t="s">
        <v>17</v>
      </c>
      <c r="F3413" t="s">
        <v>15</v>
      </c>
      <c r="G3413">
        <v>3.85</v>
      </c>
      <c r="H3413">
        <v>2.61</v>
      </c>
      <c r="I3413">
        <v>0.62</v>
      </c>
      <c r="J3413">
        <v>0.38440000000000002</v>
      </c>
      <c r="K3413" t="str">
        <f>IFERROR(INDEX(Rosters!$C$2:$C$155,MATCH($B3413,Rosters!$B$2:$B$155,0)),"NA")</f>
        <v>NA</v>
      </c>
      <c r="L3413" t="str">
        <f t="shared" si="159"/>
        <v>NA15QB</v>
      </c>
      <c r="M3413">
        <f>COUNTIF(L$1:L3413,L3413)</f>
        <v>16</v>
      </c>
      <c r="N3413" t="str">
        <f t="shared" si="160"/>
        <v>NA15QB-16</v>
      </c>
      <c r="O3413">
        <f>COUNTIFS(F$1:F3413,F3413,A$1:A3413,A3413)</f>
        <v>33</v>
      </c>
      <c r="P3413" t="str">
        <f t="shared" si="161"/>
        <v>Lamar Jackson15</v>
      </c>
    </row>
    <row r="3414" spans="1:16" x14ac:dyDescent="0.25">
      <c r="A3414">
        <v>17</v>
      </c>
      <c r="B3414" t="s">
        <v>325</v>
      </c>
      <c r="C3414">
        <f>-0.08-6.54</f>
        <v>-6.62</v>
      </c>
      <c r="D3414">
        <v>3.23</v>
      </c>
      <c r="E3414" t="s">
        <v>51</v>
      </c>
      <c r="F3414" t="s">
        <v>114</v>
      </c>
      <c r="G3414">
        <v>6.54</v>
      </c>
      <c r="H3414">
        <v>-0.08</v>
      </c>
      <c r="I3414">
        <v>3.31</v>
      </c>
      <c r="J3414">
        <v>10.956099999999999</v>
      </c>
      <c r="K3414" t="str">
        <f>IFERROR(INDEX(Rosters!$C$2:$C$155,MATCH($B3414,Rosters!$B$2:$B$155,0)),"NA")</f>
        <v>NA</v>
      </c>
      <c r="L3414" t="str">
        <f t="shared" si="159"/>
        <v>NA17TE</v>
      </c>
      <c r="M3414">
        <f>COUNTIF(L$1:L3414,L3414)</f>
        <v>14</v>
      </c>
      <c r="N3414" t="str">
        <f t="shared" si="160"/>
        <v>NA17TE-14</v>
      </c>
      <c r="O3414">
        <f>COUNTIFS(F$1:F3414,F3414,A$1:A3414,A3414)</f>
        <v>28</v>
      </c>
      <c r="P3414" t="str">
        <f t="shared" si="161"/>
        <v>Tyler Kroft17</v>
      </c>
    </row>
    <row r="3415" spans="1:16" x14ac:dyDescent="0.25">
      <c r="A3415">
        <v>9</v>
      </c>
      <c r="B3415" t="s">
        <v>267</v>
      </c>
      <c r="C3415" t="s">
        <v>8096</v>
      </c>
      <c r="D3415">
        <v>3.23</v>
      </c>
      <c r="E3415" t="s">
        <v>28</v>
      </c>
      <c r="F3415" t="s">
        <v>114</v>
      </c>
      <c r="G3415">
        <v>6.17</v>
      </c>
      <c r="H3415">
        <v>0.28999999999999998</v>
      </c>
      <c r="I3415">
        <v>2.94</v>
      </c>
      <c r="J3415">
        <v>8.6435999999999993</v>
      </c>
      <c r="K3415" t="str">
        <f>IFERROR(INDEX(Rosters!$C$2:$C$155,MATCH($B3415,Rosters!$B$2:$B$155,0)),"NA")</f>
        <v>NA</v>
      </c>
      <c r="L3415" t="str">
        <f t="shared" si="159"/>
        <v>NA9TE</v>
      </c>
      <c r="M3415">
        <f>COUNTIF(L$1:L3415,L3415)</f>
        <v>8</v>
      </c>
      <c r="N3415" t="str">
        <f t="shared" si="160"/>
        <v>NA9TE-8</v>
      </c>
      <c r="O3415">
        <f>COUNTIFS(F$1:F3415,F3415,A$1:A3415,A3415)</f>
        <v>19</v>
      </c>
      <c r="P3415" t="str">
        <f t="shared" si="161"/>
        <v>Virgil Green9</v>
      </c>
    </row>
    <row r="3416" spans="1:16" x14ac:dyDescent="0.25">
      <c r="A3416">
        <v>1</v>
      </c>
      <c r="B3416" t="s">
        <v>316</v>
      </c>
      <c r="C3416" t="s">
        <v>1712</v>
      </c>
      <c r="D3416">
        <v>3.22</v>
      </c>
      <c r="E3416" t="s">
        <v>54</v>
      </c>
      <c r="F3416" t="s">
        <v>47</v>
      </c>
      <c r="G3416">
        <v>5.13</v>
      </c>
      <c r="H3416">
        <v>1.31</v>
      </c>
      <c r="I3416">
        <v>1.91</v>
      </c>
      <c r="J3416">
        <v>3.6480999999999999</v>
      </c>
      <c r="K3416" t="str">
        <f>IFERROR(INDEX(Rosters!$C$2:$C$155,MATCH($B3416,Rosters!$B$2:$B$155,0)),"NA")</f>
        <v>NA</v>
      </c>
      <c r="L3416" t="str">
        <f t="shared" si="159"/>
        <v>NA1RB</v>
      </c>
      <c r="M3416">
        <f>COUNTIF(L$1:L3416,L3416)</f>
        <v>20</v>
      </c>
      <c r="N3416" t="str">
        <f t="shared" si="160"/>
        <v>NA1RB-20</v>
      </c>
      <c r="O3416">
        <f>COUNTIFS(F$1:F3416,F3416,A$1:A3416,A3416)</f>
        <v>62</v>
      </c>
      <c r="P3416" t="str">
        <f t="shared" si="161"/>
        <v>Corey Grant1</v>
      </c>
    </row>
    <row r="3417" spans="1:16" x14ac:dyDescent="0.25">
      <c r="A3417">
        <v>8</v>
      </c>
      <c r="B3417" t="s">
        <v>4899</v>
      </c>
      <c r="C3417" t="s">
        <v>8097</v>
      </c>
      <c r="D3417">
        <v>3.22</v>
      </c>
      <c r="E3417" t="s">
        <v>19</v>
      </c>
      <c r="F3417" t="s">
        <v>87</v>
      </c>
      <c r="G3417">
        <v>5.82</v>
      </c>
      <c r="H3417">
        <v>0.62</v>
      </c>
      <c r="I3417">
        <v>2.6</v>
      </c>
      <c r="J3417">
        <v>6.76</v>
      </c>
      <c r="K3417" t="str">
        <f>IFERROR(INDEX(Rosters!$C$2:$C$155,MATCH($B3417,Rosters!$B$2:$B$155,0)),"NA")</f>
        <v>perry</v>
      </c>
      <c r="L3417" t="str">
        <f t="shared" si="159"/>
        <v>perry8WR</v>
      </c>
      <c r="M3417">
        <f>COUNTIF(L$1:L3417,L3417)</f>
        <v>6</v>
      </c>
      <c r="N3417" t="str">
        <f t="shared" si="160"/>
        <v>perry8WR-6</v>
      </c>
      <c r="O3417">
        <f>COUNTIFS(F$1:F3417,F3417,A$1:A3417,A3417)</f>
        <v>83</v>
      </c>
      <c r="P3417" t="str">
        <f t="shared" si="161"/>
        <v>Keke Coutee8</v>
      </c>
    </row>
    <row r="3418" spans="1:16" x14ac:dyDescent="0.25">
      <c r="A3418">
        <v>6</v>
      </c>
      <c r="B3418" t="s">
        <v>798</v>
      </c>
      <c r="C3418" t="s">
        <v>8098</v>
      </c>
      <c r="D3418">
        <v>3.22</v>
      </c>
      <c r="E3418" t="s">
        <v>37</v>
      </c>
      <c r="F3418" t="s">
        <v>87</v>
      </c>
      <c r="G3418">
        <v>6.29</v>
      </c>
      <c r="H3418">
        <v>0.15</v>
      </c>
      <c r="I3418">
        <v>3.07</v>
      </c>
      <c r="J3418">
        <v>9.4248999999999992</v>
      </c>
      <c r="K3418" t="str">
        <f>IFERROR(INDEX(Rosters!$C$2:$C$155,MATCH($B3418,Rosters!$B$2:$B$155,0)),"NA")</f>
        <v>NA</v>
      </c>
      <c r="L3418" t="str">
        <f t="shared" si="159"/>
        <v>NA6WR</v>
      </c>
      <c r="M3418">
        <f>COUNTIF(L$1:L3418,L3418)</f>
        <v>35</v>
      </c>
      <c r="N3418" t="str">
        <f t="shared" si="160"/>
        <v>NA6WR-35</v>
      </c>
      <c r="O3418">
        <f>COUNTIFS(F$1:F3418,F3418,A$1:A3418,A3418)</f>
        <v>83</v>
      </c>
      <c r="P3418" t="str">
        <f t="shared" si="161"/>
        <v>Rashard Higgins6</v>
      </c>
    </row>
    <row r="3419" spans="1:16" x14ac:dyDescent="0.25">
      <c r="A3419">
        <v>13</v>
      </c>
      <c r="B3419" t="s">
        <v>1381</v>
      </c>
      <c r="C3419">
        <f>-0.34-6.78</f>
        <v>-7.12</v>
      </c>
      <c r="D3419">
        <v>3.22</v>
      </c>
      <c r="E3419" t="s">
        <v>41</v>
      </c>
      <c r="F3419" t="s">
        <v>114</v>
      </c>
      <c r="G3419">
        <v>6.78</v>
      </c>
      <c r="H3419">
        <v>-0.34</v>
      </c>
      <c r="I3419">
        <v>3.56</v>
      </c>
      <c r="J3419">
        <v>12.6736</v>
      </c>
      <c r="K3419" t="str">
        <f>IFERROR(INDEX(Rosters!$C$2:$C$155,MATCH($B3419,Rosters!$B$2:$B$155,0)),"NA")</f>
        <v>NA</v>
      </c>
      <c r="L3419" t="str">
        <f t="shared" si="159"/>
        <v>NA13TE</v>
      </c>
      <c r="M3419">
        <f>COUNTIF(L$1:L3419,L3419)</f>
        <v>14</v>
      </c>
      <c r="N3419" t="str">
        <f t="shared" si="160"/>
        <v>NA13TE-14</v>
      </c>
      <c r="O3419">
        <f>COUNTIFS(F$1:F3419,F3419,A$1:A3419,A3419)</f>
        <v>28</v>
      </c>
      <c r="P3419" t="str">
        <f t="shared" si="161"/>
        <v>Ricky Seals-Jones13</v>
      </c>
    </row>
    <row r="3420" spans="1:16" x14ac:dyDescent="0.25">
      <c r="A3420">
        <v>5</v>
      </c>
      <c r="B3420" t="s">
        <v>125</v>
      </c>
      <c r="C3420">
        <f>-1.14-7.58</f>
        <v>-8.7200000000000006</v>
      </c>
      <c r="D3420">
        <v>3.22</v>
      </c>
      <c r="E3420" t="s">
        <v>76</v>
      </c>
      <c r="F3420" t="s">
        <v>87</v>
      </c>
      <c r="G3420">
        <v>7.58</v>
      </c>
      <c r="H3420">
        <v>-1.1399999999999999</v>
      </c>
      <c r="I3420">
        <v>4.3600000000000003</v>
      </c>
      <c r="J3420">
        <v>19.009599999999999</v>
      </c>
      <c r="K3420" t="str">
        <f>IFERROR(INDEX(Rosters!$C$2:$C$155,MATCH($B3420,Rosters!$B$2:$B$155,0)),"NA")</f>
        <v>scott</v>
      </c>
      <c r="L3420" t="str">
        <f t="shared" si="159"/>
        <v>scott5WR</v>
      </c>
      <c r="M3420">
        <f>COUNTIF(L$1:L3420,L3420)</f>
        <v>5</v>
      </c>
      <c r="N3420" t="str">
        <f t="shared" si="160"/>
        <v>scott5WR-5</v>
      </c>
      <c r="O3420">
        <f>COUNTIFS(F$1:F3420,F3420,A$1:A3420,A3420)</f>
        <v>85</v>
      </c>
      <c r="P3420" t="str">
        <f t="shared" si="161"/>
        <v>Sammy Watkins5</v>
      </c>
    </row>
    <row r="3421" spans="1:16" x14ac:dyDescent="0.25">
      <c r="A3421">
        <v>12</v>
      </c>
      <c r="B3421" t="s">
        <v>1457</v>
      </c>
      <c r="C3421" t="s">
        <v>8099</v>
      </c>
      <c r="D3421">
        <v>3.22</v>
      </c>
      <c r="E3421" t="s">
        <v>17</v>
      </c>
      <c r="F3421" t="s">
        <v>87</v>
      </c>
      <c r="G3421">
        <v>6.01</v>
      </c>
      <c r="H3421">
        <v>0.43</v>
      </c>
      <c r="I3421">
        <v>2.79</v>
      </c>
      <c r="J3421">
        <v>7.7840999999999996</v>
      </c>
      <c r="K3421" t="str">
        <f>IFERROR(INDEX(Rosters!$C$2:$C$155,MATCH($B3421,Rosters!$B$2:$B$155,0)),"NA")</f>
        <v>NA</v>
      </c>
      <c r="L3421" t="str">
        <f t="shared" si="159"/>
        <v>NA12WR</v>
      </c>
      <c r="M3421">
        <f>COUNTIF(L$1:L3421,L3421)</f>
        <v>44</v>
      </c>
      <c r="N3421" t="str">
        <f t="shared" si="160"/>
        <v>NA12WR-44</v>
      </c>
      <c r="O3421">
        <f>COUNTIFS(F$1:F3421,F3421,A$1:A3421,A3421)</f>
        <v>91</v>
      </c>
      <c r="P3421" t="str">
        <f t="shared" si="161"/>
        <v>Trent Taylor12</v>
      </c>
    </row>
    <row r="3422" spans="1:16" x14ac:dyDescent="0.25">
      <c r="A3422">
        <v>9</v>
      </c>
      <c r="B3422" t="s">
        <v>109</v>
      </c>
      <c r="C3422" t="s">
        <v>8100</v>
      </c>
      <c r="D3422">
        <v>3.22</v>
      </c>
      <c r="E3422" t="s">
        <v>423</v>
      </c>
      <c r="F3422" t="s">
        <v>47</v>
      </c>
      <c r="G3422">
        <v>5.15</v>
      </c>
      <c r="H3422">
        <v>1.29</v>
      </c>
      <c r="I3422">
        <v>1.93</v>
      </c>
      <c r="J3422">
        <v>3.7248999999999999</v>
      </c>
      <c r="K3422" t="str">
        <f>IFERROR(INDEX(Rosters!$C$2:$C$155,MATCH($B3422,Rosters!$B$2:$B$155,0)),"NA")</f>
        <v>seth</v>
      </c>
      <c r="L3422" t="str">
        <f t="shared" si="159"/>
        <v>seth9RB</v>
      </c>
      <c r="M3422">
        <f>COUNTIF(L$1:L3422,L3422)</f>
        <v>5</v>
      </c>
      <c r="N3422" t="str">
        <f t="shared" si="160"/>
        <v>seth9RB-5</v>
      </c>
      <c r="O3422">
        <f>COUNTIFS(F$1:F3422,F3422,A$1:A3422,A3422)</f>
        <v>54</v>
      </c>
      <c r="P3422" t="str">
        <f t="shared" si="161"/>
        <v>Ty Montgomery9</v>
      </c>
    </row>
    <row r="3423" spans="1:16" x14ac:dyDescent="0.25">
      <c r="A3423">
        <v>11</v>
      </c>
      <c r="B3423" t="s">
        <v>265</v>
      </c>
      <c r="C3423" t="s">
        <v>8101</v>
      </c>
      <c r="D3423">
        <v>3.22</v>
      </c>
      <c r="E3423" t="s">
        <v>36</v>
      </c>
      <c r="F3423" t="s">
        <v>114</v>
      </c>
      <c r="G3423">
        <v>5.7</v>
      </c>
      <c r="H3423">
        <v>0.74</v>
      </c>
      <c r="I3423">
        <v>2.48</v>
      </c>
      <c r="J3423">
        <v>6.1504000000000003</v>
      </c>
      <c r="K3423" t="str">
        <f>IFERROR(INDEX(Rosters!$C$2:$C$155,MATCH($B3423,Rosters!$B$2:$B$155,0)),"NA")</f>
        <v>NA</v>
      </c>
      <c r="L3423" t="str">
        <f t="shared" si="159"/>
        <v>NA11TE</v>
      </c>
      <c r="M3423">
        <f>COUNTIF(L$1:L3423,L3423)</f>
        <v>10</v>
      </c>
      <c r="N3423" t="str">
        <f t="shared" si="160"/>
        <v>NA11TE-10</v>
      </c>
      <c r="O3423">
        <f>COUNTIFS(F$1:F3423,F3423,A$1:A3423,A3423)</f>
        <v>22</v>
      </c>
      <c r="P3423" t="str">
        <f t="shared" si="161"/>
        <v>Vernon Davis11</v>
      </c>
    </row>
    <row r="3424" spans="1:16" x14ac:dyDescent="0.25">
      <c r="A3424">
        <v>3</v>
      </c>
      <c r="B3424" t="s">
        <v>1124</v>
      </c>
      <c r="C3424" t="s">
        <v>3770</v>
      </c>
      <c r="D3424">
        <v>3.21</v>
      </c>
      <c r="E3424" t="s">
        <v>30</v>
      </c>
      <c r="F3424" t="s">
        <v>87</v>
      </c>
      <c r="G3424">
        <v>6.2</v>
      </c>
      <c r="H3424">
        <v>0.22</v>
      </c>
      <c r="I3424">
        <v>2.99</v>
      </c>
      <c r="J3424">
        <v>8.9400999999999993</v>
      </c>
      <c r="K3424" t="str">
        <f>IFERROR(INDEX(Rosters!$C$2:$C$155,MATCH($B3424,Rosters!$B$2:$B$155,0)),"NA")</f>
        <v>NA</v>
      </c>
      <c r="L3424" t="str">
        <f t="shared" si="159"/>
        <v>NA3WR</v>
      </c>
      <c r="M3424">
        <f>COUNTIF(L$1:L3424,L3424)</f>
        <v>34</v>
      </c>
      <c r="N3424" t="str">
        <f t="shared" si="160"/>
        <v>NA3WR-34</v>
      </c>
      <c r="O3424">
        <f>COUNTIFS(F$1:F3424,F3424,A$1:A3424,A3424)</f>
        <v>81</v>
      </c>
      <c r="P3424" t="str">
        <f t="shared" si="161"/>
        <v>Chris Conley3</v>
      </c>
    </row>
    <row r="3425" spans="1:16" x14ac:dyDescent="0.25">
      <c r="A3425">
        <v>16</v>
      </c>
      <c r="B3425" t="s">
        <v>233</v>
      </c>
      <c r="C3425" t="s">
        <v>8102</v>
      </c>
      <c r="D3425">
        <v>3.21</v>
      </c>
      <c r="E3425" t="s">
        <v>46</v>
      </c>
      <c r="F3425" t="s">
        <v>87</v>
      </c>
      <c r="G3425">
        <v>5.94</v>
      </c>
      <c r="H3425">
        <v>0.48</v>
      </c>
      <c r="I3425">
        <v>2.73</v>
      </c>
      <c r="J3425">
        <v>7.4528999999999996</v>
      </c>
      <c r="K3425" t="str">
        <f>IFERROR(INDEX(Rosters!$C$2:$C$155,MATCH($B3425,Rosters!$B$2:$B$155,0)),"NA")</f>
        <v>NA</v>
      </c>
      <c r="L3425" t="str">
        <f t="shared" si="159"/>
        <v>NA16WR</v>
      </c>
      <c r="M3425">
        <f>COUNTIF(L$1:L3425,L3425)</f>
        <v>42</v>
      </c>
      <c r="N3425" t="str">
        <f t="shared" si="160"/>
        <v>NA16WR-42</v>
      </c>
      <c r="O3425">
        <f>COUNTIFS(F$1:F3425,F3425,A$1:A3425,A3425)</f>
        <v>94</v>
      </c>
      <c r="P3425" t="str">
        <f t="shared" si="161"/>
        <v>Curtis Samuel16</v>
      </c>
    </row>
    <row r="3426" spans="1:16" x14ac:dyDescent="0.25">
      <c r="A3426">
        <v>9</v>
      </c>
      <c r="B3426" t="s">
        <v>1036</v>
      </c>
      <c r="C3426" t="s">
        <v>8103</v>
      </c>
      <c r="D3426">
        <v>3.21</v>
      </c>
      <c r="E3426" t="s">
        <v>38</v>
      </c>
      <c r="F3426" t="s">
        <v>87</v>
      </c>
      <c r="G3426">
        <v>5.62</v>
      </c>
      <c r="H3426">
        <v>0.8</v>
      </c>
      <c r="I3426">
        <v>2.41</v>
      </c>
      <c r="J3426">
        <v>5.8080999999999996</v>
      </c>
      <c r="K3426" t="str">
        <f>IFERROR(INDEX(Rosters!$C$2:$C$155,MATCH($B3426,Rosters!$B$2:$B$155,0)),"NA")</f>
        <v>NA</v>
      </c>
      <c r="L3426" t="str">
        <f t="shared" si="159"/>
        <v>NA9WR</v>
      </c>
      <c r="M3426">
        <f>COUNTIF(L$1:L3426,L3426)</f>
        <v>38</v>
      </c>
      <c r="N3426" t="str">
        <f t="shared" si="160"/>
        <v>NA9WR-38</v>
      </c>
      <c r="O3426">
        <f>COUNTIFS(F$1:F3426,F3426,A$1:A3426,A3426)</f>
        <v>80</v>
      </c>
      <c r="P3426" t="str">
        <f t="shared" si="161"/>
        <v>Deonte Thompson9</v>
      </c>
    </row>
    <row r="3427" spans="1:16" x14ac:dyDescent="0.25">
      <c r="A3427">
        <v>8</v>
      </c>
      <c r="B3427" t="s">
        <v>325</v>
      </c>
      <c r="C3427" t="s">
        <v>8104</v>
      </c>
      <c r="D3427">
        <v>3.21</v>
      </c>
      <c r="E3427" t="s">
        <v>17</v>
      </c>
      <c r="F3427" t="s">
        <v>114</v>
      </c>
      <c r="G3427">
        <v>5.71</v>
      </c>
      <c r="H3427">
        <v>0.71</v>
      </c>
      <c r="I3427">
        <v>2.5</v>
      </c>
      <c r="J3427">
        <v>6.25</v>
      </c>
      <c r="K3427" t="str">
        <f>IFERROR(INDEX(Rosters!$C$2:$C$155,MATCH($B3427,Rosters!$B$2:$B$155,0)),"NA")</f>
        <v>NA</v>
      </c>
      <c r="L3427" t="str">
        <f t="shared" si="159"/>
        <v>NA8TE</v>
      </c>
      <c r="M3427">
        <f>COUNTIF(L$1:L3427,L3427)</f>
        <v>12</v>
      </c>
      <c r="N3427" t="str">
        <f t="shared" si="160"/>
        <v>NA8TE-12</v>
      </c>
      <c r="O3427">
        <f>COUNTIFS(F$1:F3427,F3427,A$1:A3427,A3427)</f>
        <v>24</v>
      </c>
      <c r="P3427" t="str">
        <f t="shared" si="161"/>
        <v>Tyler Kroft8</v>
      </c>
    </row>
    <row r="3428" spans="1:16" x14ac:dyDescent="0.25">
      <c r="A3428">
        <v>15</v>
      </c>
      <c r="B3428" t="s">
        <v>1478</v>
      </c>
      <c r="C3428">
        <f>-0.18-6.58</f>
        <v>-6.76</v>
      </c>
      <c r="D3428">
        <v>3.2</v>
      </c>
      <c r="E3428" t="s">
        <v>56</v>
      </c>
      <c r="F3428" t="s">
        <v>114</v>
      </c>
      <c r="G3428">
        <v>6.58</v>
      </c>
      <c r="H3428">
        <v>-0.18</v>
      </c>
      <c r="I3428">
        <v>3.38</v>
      </c>
      <c r="J3428">
        <v>11.4244</v>
      </c>
      <c r="K3428" t="str">
        <f>IFERROR(INDEX(Rosters!$C$2:$C$155,MATCH($B3428,Rosters!$B$2:$B$155,0)),"NA")</f>
        <v>NA</v>
      </c>
      <c r="L3428" t="str">
        <f t="shared" si="159"/>
        <v>NA15TE</v>
      </c>
      <c r="M3428">
        <f>COUNTIF(L$1:L3428,L3428)</f>
        <v>14</v>
      </c>
      <c r="N3428" t="str">
        <f t="shared" si="160"/>
        <v>NA15TE-14</v>
      </c>
      <c r="O3428">
        <f>COUNTIFS(F$1:F3428,F3428,A$1:A3428,A3428)</f>
        <v>28</v>
      </c>
      <c r="P3428" t="str">
        <f t="shared" si="161"/>
        <v>Dallas Goedert15</v>
      </c>
    </row>
    <row r="3429" spans="1:16" x14ac:dyDescent="0.25">
      <c r="A3429">
        <v>4</v>
      </c>
      <c r="B3429" t="s">
        <v>142</v>
      </c>
      <c r="C3429" t="s">
        <v>4595</v>
      </c>
      <c r="D3429">
        <v>3.2</v>
      </c>
      <c r="E3429" t="s">
        <v>72</v>
      </c>
      <c r="F3429" t="s">
        <v>47</v>
      </c>
      <c r="G3429">
        <v>5.74</v>
      </c>
      <c r="H3429">
        <v>0.66</v>
      </c>
      <c r="I3429">
        <v>2.54</v>
      </c>
      <c r="J3429">
        <v>6.4516</v>
      </c>
      <c r="K3429" t="str">
        <f>IFERROR(INDEX(Rosters!$C$2:$C$155,MATCH($B3429,Rosters!$B$2:$B$155,0)),"NA")</f>
        <v>NA</v>
      </c>
      <c r="L3429" t="str">
        <f t="shared" si="159"/>
        <v>NA4RB</v>
      </c>
      <c r="M3429">
        <f>COUNTIF(L$1:L3429,L3429)</f>
        <v>21</v>
      </c>
      <c r="N3429" t="str">
        <f t="shared" si="160"/>
        <v>NA4RB-21</v>
      </c>
      <c r="O3429">
        <f>COUNTIFS(F$1:F3429,F3429,A$1:A3429,A3429)</f>
        <v>60</v>
      </c>
      <c r="P3429" t="str">
        <f t="shared" si="161"/>
        <v>Jacquizz Rodgers4</v>
      </c>
    </row>
    <row r="3430" spans="1:16" x14ac:dyDescent="0.25">
      <c r="A3430">
        <v>17</v>
      </c>
      <c r="B3430" t="s">
        <v>308</v>
      </c>
      <c r="C3430">
        <f>-0.49-6.89</f>
        <v>-7.38</v>
      </c>
      <c r="D3430">
        <v>3.2</v>
      </c>
      <c r="E3430" t="s">
        <v>37</v>
      </c>
      <c r="F3430" t="s">
        <v>114</v>
      </c>
      <c r="G3430">
        <v>6.89</v>
      </c>
      <c r="H3430">
        <v>-0.49</v>
      </c>
      <c r="I3430">
        <v>3.69</v>
      </c>
      <c r="J3430">
        <v>13.616099999999999</v>
      </c>
      <c r="K3430" t="str">
        <f>IFERROR(INDEX(Rosters!$C$2:$C$155,MATCH($B3430,Rosters!$B$2:$B$155,0)),"NA")</f>
        <v>NA</v>
      </c>
      <c r="L3430" t="str">
        <f t="shared" si="159"/>
        <v>NA17TE</v>
      </c>
      <c r="M3430">
        <f>COUNTIF(L$1:L3430,L3430)</f>
        <v>15</v>
      </c>
      <c r="N3430" t="str">
        <f t="shared" si="160"/>
        <v>NA17TE-15</v>
      </c>
      <c r="O3430">
        <f>COUNTIFS(F$1:F3430,F3430,A$1:A3430,A3430)</f>
        <v>29</v>
      </c>
      <c r="P3430" t="str">
        <f t="shared" si="161"/>
        <v>Jeff Heuerman17</v>
      </c>
    </row>
    <row r="3431" spans="1:16" x14ac:dyDescent="0.25">
      <c r="A3431">
        <v>14</v>
      </c>
      <c r="B3431" t="s">
        <v>238</v>
      </c>
      <c r="C3431" t="s">
        <v>8105</v>
      </c>
      <c r="D3431">
        <v>3.2</v>
      </c>
      <c r="E3431" t="s">
        <v>51</v>
      </c>
      <c r="F3431" t="s">
        <v>87</v>
      </c>
      <c r="G3431">
        <v>5.38</v>
      </c>
      <c r="H3431">
        <v>1.02</v>
      </c>
      <c r="I3431">
        <v>2.1800000000000002</v>
      </c>
      <c r="J3431">
        <v>4.7523999999999997</v>
      </c>
      <c r="K3431" t="str">
        <f>IFERROR(INDEX(Rosters!$C$2:$C$155,MATCH($B3431,Rosters!$B$2:$B$155,0)),"NA")</f>
        <v>NA</v>
      </c>
      <c r="L3431" t="str">
        <f t="shared" si="159"/>
        <v>NA14WR</v>
      </c>
      <c r="M3431">
        <f>COUNTIF(L$1:L3431,L3431)</f>
        <v>40</v>
      </c>
      <c r="N3431" t="str">
        <f t="shared" si="160"/>
        <v>NA14WR-40</v>
      </c>
      <c r="O3431">
        <f>COUNTIFS(F$1:F3431,F3431,A$1:A3431,A3431)</f>
        <v>93</v>
      </c>
      <c r="P3431" t="str">
        <f t="shared" si="161"/>
        <v>Seth Roberts14</v>
      </c>
    </row>
    <row r="3432" spans="1:16" x14ac:dyDescent="0.25">
      <c r="A3432">
        <v>1</v>
      </c>
      <c r="B3432" t="s">
        <v>237</v>
      </c>
      <c r="C3432" t="s">
        <v>1467</v>
      </c>
      <c r="D3432">
        <v>3.2</v>
      </c>
      <c r="E3432" t="s">
        <v>41</v>
      </c>
      <c r="F3432" t="s">
        <v>87</v>
      </c>
      <c r="G3432">
        <v>5.95</v>
      </c>
      <c r="H3432">
        <v>0.45</v>
      </c>
      <c r="I3432">
        <v>2.75</v>
      </c>
      <c r="J3432">
        <v>7.5625</v>
      </c>
      <c r="K3432" t="str">
        <f>IFERROR(INDEX(Rosters!$C$2:$C$155,MATCH($B3432,Rosters!$B$2:$B$155,0)),"NA")</f>
        <v>NA</v>
      </c>
      <c r="L3432" t="str">
        <f t="shared" si="159"/>
        <v>NA1WR</v>
      </c>
      <c r="M3432">
        <f>COUNTIF(L$1:L3432,L3432)</f>
        <v>30</v>
      </c>
      <c r="N3432" t="str">
        <f t="shared" si="160"/>
        <v>NA1WR-30</v>
      </c>
      <c r="O3432">
        <f>COUNTIFS(F$1:F3432,F3432,A$1:A3432,A3432)</f>
        <v>79</v>
      </c>
      <c r="P3432" t="str">
        <f t="shared" si="161"/>
        <v>Taylor Gabriel1</v>
      </c>
    </row>
    <row r="3433" spans="1:16" x14ac:dyDescent="0.25">
      <c r="A3433">
        <v>7</v>
      </c>
      <c r="B3433" t="s">
        <v>267</v>
      </c>
      <c r="C3433" t="s">
        <v>8106</v>
      </c>
      <c r="D3433">
        <v>3.2</v>
      </c>
      <c r="E3433" t="s">
        <v>38</v>
      </c>
      <c r="F3433" t="s">
        <v>114</v>
      </c>
      <c r="G3433">
        <v>6.04</v>
      </c>
      <c r="H3433">
        <v>0.36</v>
      </c>
      <c r="I3433">
        <v>2.84</v>
      </c>
      <c r="J3433">
        <v>8.0655999999999999</v>
      </c>
      <c r="K3433" t="str">
        <f>IFERROR(INDEX(Rosters!$C$2:$C$155,MATCH($B3433,Rosters!$B$2:$B$155,0)),"NA")</f>
        <v>NA</v>
      </c>
      <c r="L3433" t="str">
        <f t="shared" si="159"/>
        <v>NA7TE</v>
      </c>
      <c r="M3433">
        <f>COUNTIF(L$1:L3433,L3433)</f>
        <v>13</v>
      </c>
      <c r="N3433" t="str">
        <f t="shared" si="160"/>
        <v>NA7TE-13</v>
      </c>
      <c r="O3433">
        <f>COUNTIFS(F$1:F3433,F3433,A$1:A3433,A3433)</f>
        <v>22</v>
      </c>
      <c r="P3433" t="str">
        <f t="shared" si="161"/>
        <v>Virgil Green7</v>
      </c>
    </row>
    <row r="3434" spans="1:16" x14ac:dyDescent="0.25">
      <c r="A3434">
        <v>2</v>
      </c>
      <c r="B3434" t="s">
        <v>182</v>
      </c>
      <c r="C3434" t="s">
        <v>3367</v>
      </c>
      <c r="D3434">
        <v>3.2</v>
      </c>
      <c r="E3434" t="s">
        <v>37</v>
      </c>
      <c r="F3434" t="s">
        <v>87</v>
      </c>
      <c r="G3434">
        <v>6.26</v>
      </c>
      <c r="H3434">
        <v>0.14000000000000001</v>
      </c>
      <c r="I3434">
        <v>3.06</v>
      </c>
      <c r="J3434">
        <v>9.3635999999999999</v>
      </c>
      <c r="K3434" t="str">
        <f>IFERROR(INDEX(Rosters!$C$2:$C$155,MATCH($B3434,Rosters!$B$2:$B$155,0)),"NA")</f>
        <v>NA</v>
      </c>
      <c r="L3434" t="str">
        <f t="shared" si="159"/>
        <v>NA2WR</v>
      </c>
      <c r="M3434">
        <f>COUNTIF(L$1:L3434,L3434)</f>
        <v>32</v>
      </c>
      <c r="N3434" t="str">
        <f t="shared" si="160"/>
        <v>NA2WR-32</v>
      </c>
      <c r="O3434">
        <f>COUNTIFS(F$1:F3434,F3434,A$1:A3434,A3434)</f>
        <v>79</v>
      </c>
      <c r="P3434" t="str">
        <f t="shared" si="161"/>
        <v>Zay Jones2</v>
      </c>
    </row>
    <row r="3435" spans="1:16" x14ac:dyDescent="0.25">
      <c r="A3435">
        <v>3</v>
      </c>
      <c r="B3435" t="s">
        <v>182</v>
      </c>
      <c r="C3435" t="s">
        <v>3771</v>
      </c>
      <c r="D3435">
        <v>3.2</v>
      </c>
      <c r="E3435" t="s">
        <v>25</v>
      </c>
      <c r="F3435" t="s">
        <v>87</v>
      </c>
      <c r="G3435">
        <v>6.32</v>
      </c>
      <c r="H3435">
        <v>0.08</v>
      </c>
      <c r="I3435">
        <v>3.12</v>
      </c>
      <c r="J3435">
        <v>9.7344000000000008</v>
      </c>
      <c r="K3435" t="str">
        <f>IFERROR(INDEX(Rosters!$C$2:$C$155,MATCH($B3435,Rosters!$B$2:$B$155,0)),"NA")</f>
        <v>NA</v>
      </c>
      <c r="L3435" t="str">
        <f t="shared" si="159"/>
        <v>NA3WR</v>
      </c>
      <c r="M3435">
        <f>COUNTIF(L$1:L3435,L3435)</f>
        <v>35</v>
      </c>
      <c r="N3435" t="str">
        <f t="shared" si="160"/>
        <v>NA3WR-35</v>
      </c>
      <c r="O3435">
        <f>COUNTIFS(F$1:F3435,F3435,A$1:A3435,A3435)</f>
        <v>82</v>
      </c>
      <c r="P3435" t="str">
        <f t="shared" si="161"/>
        <v>Zay Jones3</v>
      </c>
    </row>
    <row r="3436" spans="1:16" x14ac:dyDescent="0.25">
      <c r="A3436">
        <v>17</v>
      </c>
      <c r="B3436" t="s">
        <v>1391</v>
      </c>
      <c r="C3436">
        <f>-0.47-6.85</f>
        <v>-7.3199999999999994</v>
      </c>
      <c r="D3436">
        <v>3.19</v>
      </c>
      <c r="E3436" t="s">
        <v>14</v>
      </c>
      <c r="F3436" t="s">
        <v>87</v>
      </c>
      <c r="G3436">
        <v>6.85</v>
      </c>
      <c r="H3436">
        <v>-0.47</v>
      </c>
      <c r="I3436">
        <v>3.66</v>
      </c>
      <c r="J3436">
        <v>13.3956</v>
      </c>
      <c r="K3436" t="str">
        <f>IFERROR(INDEX(Rosters!$C$2:$C$155,MATCH($B3436,Rosters!$B$2:$B$155,0)),"NA")</f>
        <v>NA</v>
      </c>
      <c r="L3436" t="str">
        <f t="shared" si="159"/>
        <v>NA17WR</v>
      </c>
      <c r="M3436">
        <f>COUNTIF(L$1:L3436,L3436)</f>
        <v>43</v>
      </c>
      <c r="N3436" t="str">
        <f t="shared" si="160"/>
        <v>NA17WR-43</v>
      </c>
      <c r="O3436">
        <f>COUNTIFS(F$1:F3436,F3436,A$1:A3436,A3436)</f>
        <v>95</v>
      </c>
      <c r="P3436" t="str">
        <f t="shared" si="161"/>
        <v>D.J. Moore17</v>
      </c>
    </row>
    <row r="3437" spans="1:16" x14ac:dyDescent="0.25">
      <c r="A3437">
        <v>14</v>
      </c>
      <c r="B3437" t="s">
        <v>4206</v>
      </c>
      <c r="C3437" t="s">
        <v>8107</v>
      </c>
      <c r="D3437">
        <v>3.19</v>
      </c>
      <c r="E3437" t="s">
        <v>41</v>
      </c>
      <c r="F3437" t="s">
        <v>47</v>
      </c>
      <c r="G3437">
        <v>5.88</v>
      </c>
      <c r="H3437">
        <v>0.5</v>
      </c>
      <c r="I3437">
        <v>2.69</v>
      </c>
      <c r="J3437">
        <v>7.2361000000000004</v>
      </c>
      <c r="K3437" t="str">
        <f>IFERROR(INDEX(Rosters!$C$2:$C$155,MATCH($B3437,Rosters!$B$2:$B$155,0)),"NA")</f>
        <v>NA</v>
      </c>
      <c r="L3437" t="str">
        <f t="shared" si="159"/>
        <v>NA14RB</v>
      </c>
      <c r="M3437">
        <f>COUNTIF(L$1:L3437,L3437)</f>
        <v>23</v>
      </c>
      <c r="N3437" t="str">
        <f t="shared" si="160"/>
        <v>NA14RB-23</v>
      </c>
      <c r="O3437">
        <f>COUNTIFS(F$1:F3437,F3437,A$1:A3437,A3437)</f>
        <v>69</v>
      </c>
      <c r="P3437" t="str">
        <f t="shared" si="161"/>
        <v>Ito Smith14</v>
      </c>
    </row>
    <row r="3438" spans="1:16" x14ac:dyDescent="0.25">
      <c r="A3438">
        <v>17</v>
      </c>
      <c r="B3438" t="s">
        <v>2750</v>
      </c>
      <c r="C3438" t="s">
        <v>4596</v>
      </c>
      <c r="D3438">
        <v>3.19</v>
      </c>
      <c r="E3438" t="s">
        <v>60</v>
      </c>
      <c r="F3438" t="s">
        <v>87</v>
      </c>
      <c r="G3438">
        <v>5.99</v>
      </c>
      <c r="H3438">
        <v>0.39</v>
      </c>
      <c r="I3438">
        <v>2.8</v>
      </c>
      <c r="J3438">
        <v>7.84</v>
      </c>
      <c r="K3438" t="str">
        <f>IFERROR(INDEX(Rosters!$C$2:$C$155,MATCH($B3438,Rosters!$B$2:$B$155,0)),"NA")</f>
        <v>NA</v>
      </c>
      <c r="L3438" t="str">
        <f t="shared" si="159"/>
        <v>NA17WR</v>
      </c>
      <c r="M3438">
        <f>COUNTIF(L$1:L3438,L3438)</f>
        <v>44</v>
      </c>
      <c r="N3438" t="str">
        <f t="shared" si="160"/>
        <v>NA17WR-44</v>
      </c>
      <c r="O3438">
        <f>COUNTIFS(F$1:F3438,F3438,A$1:A3438,A3438)</f>
        <v>96</v>
      </c>
      <c r="P3438" t="str">
        <f t="shared" si="161"/>
        <v>Jordan Matthews17</v>
      </c>
    </row>
    <row r="3439" spans="1:16" x14ac:dyDescent="0.25">
      <c r="A3439">
        <v>13</v>
      </c>
      <c r="B3439" t="s">
        <v>4899</v>
      </c>
      <c r="C3439" t="s">
        <v>8108</v>
      </c>
      <c r="D3439">
        <v>3.19</v>
      </c>
      <c r="E3439" t="s">
        <v>52</v>
      </c>
      <c r="F3439" t="s">
        <v>87</v>
      </c>
      <c r="G3439">
        <v>5.71</v>
      </c>
      <c r="H3439">
        <v>0.67</v>
      </c>
      <c r="I3439">
        <v>2.52</v>
      </c>
      <c r="J3439">
        <v>6.3503999999999996</v>
      </c>
      <c r="K3439" t="str">
        <f>IFERROR(INDEX(Rosters!$C$2:$C$155,MATCH($B3439,Rosters!$B$2:$B$155,0)),"NA")</f>
        <v>perry</v>
      </c>
      <c r="L3439" t="str">
        <f t="shared" si="159"/>
        <v>perry13WR</v>
      </c>
      <c r="M3439">
        <f>COUNTIF(L$1:L3439,L3439)</f>
        <v>6</v>
      </c>
      <c r="N3439" t="str">
        <f t="shared" si="160"/>
        <v>perry13WR-6</v>
      </c>
      <c r="O3439">
        <f>COUNTIFS(F$1:F3439,F3439,A$1:A3439,A3439)</f>
        <v>97</v>
      </c>
      <c r="P3439" t="str">
        <f t="shared" si="161"/>
        <v>Keke Coutee13</v>
      </c>
    </row>
    <row r="3440" spans="1:16" x14ac:dyDescent="0.25">
      <c r="A3440">
        <v>15</v>
      </c>
      <c r="B3440" t="s">
        <v>4899</v>
      </c>
      <c r="C3440" t="s">
        <v>8109</v>
      </c>
      <c r="D3440">
        <v>3.19</v>
      </c>
      <c r="E3440" t="s">
        <v>73</v>
      </c>
      <c r="F3440" t="s">
        <v>87</v>
      </c>
      <c r="G3440">
        <v>5.79</v>
      </c>
      <c r="H3440">
        <v>0.59</v>
      </c>
      <c r="I3440">
        <v>2.6</v>
      </c>
      <c r="J3440">
        <v>6.76</v>
      </c>
      <c r="K3440" t="str">
        <f>IFERROR(INDEX(Rosters!$C$2:$C$155,MATCH($B3440,Rosters!$B$2:$B$155,0)),"NA")</f>
        <v>perry</v>
      </c>
      <c r="L3440" t="str">
        <f t="shared" si="159"/>
        <v>perry15WR</v>
      </c>
      <c r="M3440">
        <f>COUNTIF(L$1:L3440,L3440)</f>
        <v>6</v>
      </c>
      <c r="N3440" t="str">
        <f t="shared" si="160"/>
        <v>perry15WR-6</v>
      </c>
      <c r="O3440">
        <f>COUNTIFS(F$1:F3440,F3440,A$1:A3440,A3440)</f>
        <v>95</v>
      </c>
      <c r="P3440" t="str">
        <f t="shared" si="161"/>
        <v>Keke Coutee15</v>
      </c>
    </row>
    <row r="3441" spans="1:16" x14ac:dyDescent="0.25">
      <c r="A3441">
        <v>9</v>
      </c>
      <c r="B3441" t="s">
        <v>167</v>
      </c>
      <c r="C3441" t="s">
        <v>8110</v>
      </c>
      <c r="D3441">
        <v>3.18</v>
      </c>
      <c r="E3441" t="s">
        <v>37</v>
      </c>
      <c r="F3441" t="s">
        <v>87</v>
      </c>
      <c r="G3441">
        <v>5.62</v>
      </c>
      <c r="H3441">
        <v>0.74</v>
      </c>
      <c r="I3441">
        <v>2.44</v>
      </c>
      <c r="J3441">
        <v>5.9535999999999998</v>
      </c>
      <c r="K3441" t="str">
        <f>IFERROR(INDEX(Rosters!$C$2:$C$155,MATCH($B3441,Rosters!$B$2:$B$155,0)),"NA")</f>
        <v>NA</v>
      </c>
      <c r="L3441" t="str">
        <f t="shared" si="159"/>
        <v>NA9WR</v>
      </c>
      <c r="M3441">
        <f>COUNTIF(L$1:L3441,L3441)</f>
        <v>39</v>
      </c>
      <c r="N3441" t="str">
        <f t="shared" si="160"/>
        <v>NA9WR-39</v>
      </c>
      <c r="O3441">
        <f>COUNTIFS(F$1:F3441,F3441,A$1:A3441,A3441)</f>
        <v>81</v>
      </c>
      <c r="P3441" t="str">
        <f t="shared" si="161"/>
        <v>Brandon Marshall9</v>
      </c>
    </row>
    <row r="3442" spans="1:16" x14ac:dyDescent="0.25">
      <c r="A3442">
        <v>1</v>
      </c>
      <c r="B3442" t="s">
        <v>875</v>
      </c>
      <c r="C3442" t="s">
        <v>3195</v>
      </c>
      <c r="D3442">
        <v>3.18</v>
      </c>
      <c r="E3442" t="s">
        <v>423</v>
      </c>
      <c r="F3442" t="s">
        <v>87</v>
      </c>
      <c r="G3442">
        <v>6.35</v>
      </c>
      <c r="H3442">
        <v>0.01</v>
      </c>
      <c r="I3442">
        <v>3.17</v>
      </c>
      <c r="J3442">
        <v>10.0489</v>
      </c>
      <c r="K3442" t="str">
        <f>IFERROR(INDEX(Rosters!$C$2:$C$155,MATCH($B3442,Rosters!$B$2:$B$155,0)),"NA")</f>
        <v>NA</v>
      </c>
      <c r="L3442" t="str">
        <f t="shared" si="159"/>
        <v>NA1WR</v>
      </c>
      <c r="M3442">
        <f>COUNTIF(L$1:L3442,L3442)</f>
        <v>31</v>
      </c>
      <c r="N3442" t="str">
        <f t="shared" si="160"/>
        <v>NA1WR-31</v>
      </c>
      <c r="O3442">
        <f>COUNTIFS(F$1:F3442,F3442,A$1:A3442,A3442)</f>
        <v>80</v>
      </c>
      <c r="P3442" t="str">
        <f t="shared" si="161"/>
        <v>Bruce Ellington1</v>
      </c>
    </row>
    <row r="3443" spans="1:16" x14ac:dyDescent="0.25">
      <c r="A3443">
        <v>10</v>
      </c>
      <c r="B3443" t="s">
        <v>1367</v>
      </c>
      <c r="C3443" t="s">
        <v>4597</v>
      </c>
      <c r="D3443">
        <v>3.18</v>
      </c>
      <c r="E3443" t="s">
        <v>31</v>
      </c>
      <c r="F3443" t="s">
        <v>87</v>
      </c>
      <c r="G3443">
        <v>5.97</v>
      </c>
      <c r="H3443">
        <v>0.39</v>
      </c>
      <c r="I3443">
        <v>2.79</v>
      </c>
      <c r="J3443">
        <v>7.7840999999999996</v>
      </c>
      <c r="K3443" t="str">
        <f>IFERROR(INDEX(Rosters!$C$2:$C$155,MATCH($B3443,Rosters!$B$2:$B$155,0)),"NA")</f>
        <v>NA</v>
      </c>
      <c r="L3443" t="str">
        <f t="shared" si="159"/>
        <v>NA10WR</v>
      </c>
      <c r="M3443">
        <f>COUNTIF(L$1:L3443,L3443)</f>
        <v>38</v>
      </c>
      <c r="N3443" t="str">
        <f t="shared" si="160"/>
        <v>NA10WR-38</v>
      </c>
      <c r="O3443">
        <f>COUNTIFS(F$1:F3443,F3443,A$1:A3443,A3443)</f>
        <v>82</v>
      </c>
      <c r="P3443" t="str">
        <f t="shared" si="161"/>
        <v>Cameron Meredith10</v>
      </c>
    </row>
    <row r="3444" spans="1:16" x14ac:dyDescent="0.25">
      <c r="A3444">
        <v>6</v>
      </c>
      <c r="B3444" t="s">
        <v>309</v>
      </c>
      <c r="C3444">
        <f>-0.85-7.21</f>
        <v>-8.06</v>
      </c>
      <c r="D3444">
        <v>3.18</v>
      </c>
      <c r="E3444" t="s">
        <v>76</v>
      </c>
      <c r="F3444" t="s">
        <v>114</v>
      </c>
      <c r="G3444">
        <v>7.21</v>
      </c>
      <c r="H3444">
        <v>-0.85</v>
      </c>
      <c r="I3444">
        <v>4.03</v>
      </c>
      <c r="J3444">
        <v>16.2409</v>
      </c>
      <c r="K3444" t="str">
        <f>IFERROR(INDEX(Rosters!$C$2:$C$155,MATCH($B3444,Rosters!$B$2:$B$155,0)),"NA")</f>
        <v>NA</v>
      </c>
      <c r="L3444" t="str">
        <f t="shared" si="159"/>
        <v>NA6TE</v>
      </c>
      <c r="M3444">
        <f>COUNTIF(L$1:L3444,L3444)</f>
        <v>13</v>
      </c>
      <c r="N3444" t="str">
        <f t="shared" si="160"/>
        <v>NA6TE-13</v>
      </c>
      <c r="O3444">
        <f>COUNTIFS(F$1:F3444,F3444,A$1:A3444,A3444)</f>
        <v>25</v>
      </c>
      <c r="P3444" t="str">
        <f t="shared" si="161"/>
        <v>Geoff Swaim6</v>
      </c>
    </row>
    <row r="3445" spans="1:16" x14ac:dyDescent="0.25">
      <c r="A3445">
        <v>2</v>
      </c>
      <c r="B3445" t="s">
        <v>299</v>
      </c>
      <c r="C3445" t="s">
        <v>1468</v>
      </c>
      <c r="D3445">
        <v>3.18</v>
      </c>
      <c r="E3445" t="s">
        <v>24</v>
      </c>
      <c r="F3445" t="s">
        <v>114</v>
      </c>
      <c r="G3445">
        <v>5.87</v>
      </c>
      <c r="H3445">
        <v>0.49</v>
      </c>
      <c r="I3445">
        <v>2.69</v>
      </c>
      <c r="J3445">
        <v>7.2361000000000004</v>
      </c>
      <c r="K3445" t="str">
        <f>IFERROR(INDEX(Rosters!$C$2:$C$155,MATCH($B3445,Rosters!$B$2:$B$155,0)),"NA")</f>
        <v>NA</v>
      </c>
      <c r="L3445" t="str">
        <f t="shared" si="159"/>
        <v>NA2TE</v>
      </c>
      <c r="M3445">
        <f>COUNTIF(L$1:L3445,L3445)</f>
        <v>12</v>
      </c>
      <c r="N3445" t="str">
        <f t="shared" si="160"/>
        <v>NA2TE-12</v>
      </c>
      <c r="O3445">
        <f>COUNTIFS(F$1:F3445,F3445,A$1:A3445,A3445)</f>
        <v>24</v>
      </c>
      <c r="P3445" t="str">
        <f t="shared" si="161"/>
        <v>Jesse James2</v>
      </c>
    </row>
    <row r="3446" spans="1:16" x14ac:dyDescent="0.25">
      <c r="A3446">
        <v>6</v>
      </c>
      <c r="B3446" t="s">
        <v>4224</v>
      </c>
      <c r="C3446" t="s">
        <v>8111</v>
      </c>
      <c r="D3446">
        <v>3.18</v>
      </c>
      <c r="E3446" t="s">
        <v>38</v>
      </c>
      <c r="F3446" t="s">
        <v>114</v>
      </c>
      <c r="G3446">
        <v>5.95</v>
      </c>
      <c r="H3446">
        <v>0.41</v>
      </c>
      <c r="I3446">
        <v>2.77</v>
      </c>
      <c r="J3446">
        <v>7.6729000000000003</v>
      </c>
      <c r="K3446" t="str">
        <f>IFERROR(INDEX(Rosters!$C$2:$C$155,MATCH($B3446,Rosters!$B$2:$B$155,0)),"NA")</f>
        <v>NA</v>
      </c>
      <c r="L3446" t="str">
        <f t="shared" si="159"/>
        <v>NA6TE</v>
      </c>
      <c r="M3446">
        <f>COUNTIF(L$1:L3446,L3446)</f>
        <v>14</v>
      </c>
      <c r="N3446" t="str">
        <f t="shared" si="160"/>
        <v>NA6TE-14</v>
      </c>
      <c r="O3446">
        <f>COUNTIFS(F$1:F3446,F3446,A$1:A3446,A3446)</f>
        <v>26</v>
      </c>
      <c r="P3446" t="str">
        <f t="shared" si="161"/>
        <v>Mark Andrews6</v>
      </c>
    </row>
    <row r="3447" spans="1:16" x14ac:dyDescent="0.25">
      <c r="A3447">
        <v>17</v>
      </c>
      <c r="B3447" t="s">
        <v>1366</v>
      </c>
      <c r="C3447" t="s">
        <v>8112</v>
      </c>
      <c r="D3447">
        <v>3.18</v>
      </c>
      <c r="E3447" t="s">
        <v>77</v>
      </c>
      <c r="F3447" t="s">
        <v>47</v>
      </c>
      <c r="G3447">
        <v>5.83</v>
      </c>
      <c r="H3447">
        <v>0.53</v>
      </c>
      <c r="I3447">
        <v>2.65</v>
      </c>
      <c r="J3447">
        <v>7.0225</v>
      </c>
      <c r="K3447" t="str">
        <f>IFERROR(INDEX(Rosters!$C$2:$C$155,MATCH($B3447,Rosters!$B$2:$B$155,0)),"NA")</f>
        <v>NA</v>
      </c>
      <c r="L3447" t="str">
        <f t="shared" si="159"/>
        <v>NA17RB</v>
      </c>
      <c r="M3447">
        <f>COUNTIF(L$1:L3447,L3447)</f>
        <v>23</v>
      </c>
      <c r="N3447" t="str">
        <f t="shared" si="160"/>
        <v>NA17RB-23</v>
      </c>
      <c r="O3447">
        <f>COUNTIFS(F$1:F3447,F3447,A$1:A3447,A3447)</f>
        <v>69</v>
      </c>
      <c r="P3447" t="str">
        <f t="shared" si="161"/>
        <v>Nick Chubb17</v>
      </c>
    </row>
    <row r="3448" spans="1:16" x14ac:dyDescent="0.25">
      <c r="A3448">
        <v>12</v>
      </c>
      <c r="B3448" t="s">
        <v>325</v>
      </c>
      <c r="C3448" t="s">
        <v>8113</v>
      </c>
      <c r="D3448">
        <v>3.18</v>
      </c>
      <c r="E3448" t="s">
        <v>52</v>
      </c>
      <c r="F3448" t="s">
        <v>114</v>
      </c>
      <c r="G3448">
        <v>6.34</v>
      </c>
      <c r="H3448">
        <v>0.02</v>
      </c>
      <c r="I3448">
        <v>3.16</v>
      </c>
      <c r="J3448">
        <v>9.9855999999999998</v>
      </c>
      <c r="K3448" t="str">
        <f>IFERROR(INDEX(Rosters!$C$2:$C$155,MATCH($B3448,Rosters!$B$2:$B$155,0)),"NA")</f>
        <v>NA</v>
      </c>
      <c r="L3448" t="str">
        <f t="shared" si="159"/>
        <v>NA12TE</v>
      </c>
      <c r="M3448">
        <f>COUNTIF(L$1:L3448,L3448)</f>
        <v>13</v>
      </c>
      <c r="N3448" t="str">
        <f t="shared" si="160"/>
        <v>NA12TE-13</v>
      </c>
      <c r="O3448">
        <f>COUNTIFS(F$1:F3448,F3448,A$1:A3448,A3448)</f>
        <v>26</v>
      </c>
      <c r="P3448" t="str">
        <f t="shared" si="161"/>
        <v>Tyler Kroft12</v>
      </c>
    </row>
    <row r="3449" spans="1:16" x14ac:dyDescent="0.25">
      <c r="A3449">
        <v>6</v>
      </c>
      <c r="B3449" t="s">
        <v>267</v>
      </c>
      <c r="C3449" t="s">
        <v>8114</v>
      </c>
      <c r="D3449">
        <v>3.18</v>
      </c>
      <c r="E3449" t="s">
        <v>52</v>
      </c>
      <c r="F3449" t="s">
        <v>114</v>
      </c>
      <c r="G3449">
        <v>6.24</v>
      </c>
      <c r="H3449">
        <v>0.12</v>
      </c>
      <c r="I3449">
        <v>3.06</v>
      </c>
      <c r="J3449">
        <v>9.3635999999999999</v>
      </c>
      <c r="K3449" t="str">
        <f>IFERROR(INDEX(Rosters!$C$2:$C$155,MATCH($B3449,Rosters!$B$2:$B$155,0)),"NA")</f>
        <v>NA</v>
      </c>
      <c r="L3449" t="str">
        <f t="shared" si="159"/>
        <v>NA6TE</v>
      </c>
      <c r="M3449">
        <f>COUNTIF(L$1:L3449,L3449)</f>
        <v>15</v>
      </c>
      <c r="N3449" t="str">
        <f t="shared" si="160"/>
        <v>NA6TE-15</v>
      </c>
      <c r="O3449">
        <f>COUNTIFS(F$1:F3449,F3449,A$1:A3449,A3449)</f>
        <v>27</v>
      </c>
      <c r="P3449" t="str">
        <f t="shared" si="161"/>
        <v>Virgil Green6</v>
      </c>
    </row>
    <row r="3450" spans="1:16" x14ac:dyDescent="0.25">
      <c r="A3450">
        <v>13</v>
      </c>
      <c r="B3450" t="s">
        <v>1124</v>
      </c>
      <c r="C3450" t="s">
        <v>8115</v>
      </c>
      <c r="D3450">
        <v>3.17</v>
      </c>
      <c r="E3450" t="s">
        <v>32</v>
      </c>
      <c r="F3450" t="s">
        <v>87</v>
      </c>
      <c r="G3450">
        <v>5.49</v>
      </c>
      <c r="H3450">
        <v>0.85</v>
      </c>
      <c r="I3450">
        <v>2.3199999999999998</v>
      </c>
      <c r="J3450">
        <v>5.3823999999999996</v>
      </c>
      <c r="K3450" t="str">
        <f>IFERROR(INDEX(Rosters!$C$2:$C$155,MATCH($B3450,Rosters!$B$2:$B$155,0)),"NA")</f>
        <v>NA</v>
      </c>
      <c r="L3450" t="str">
        <f t="shared" si="159"/>
        <v>NA13WR</v>
      </c>
      <c r="M3450">
        <f>COUNTIF(L$1:L3450,L3450)</f>
        <v>45</v>
      </c>
      <c r="N3450" t="str">
        <f t="shared" si="160"/>
        <v>NA13WR-45</v>
      </c>
      <c r="O3450">
        <f>COUNTIFS(F$1:F3450,F3450,A$1:A3450,A3450)</f>
        <v>98</v>
      </c>
      <c r="P3450" t="str">
        <f t="shared" si="161"/>
        <v>Chris Conley13</v>
      </c>
    </row>
    <row r="3451" spans="1:16" x14ac:dyDescent="0.25">
      <c r="A3451">
        <v>1</v>
      </c>
      <c r="B3451" t="s">
        <v>143</v>
      </c>
      <c r="C3451">
        <f>-0.15-6.49</f>
        <v>-6.6400000000000006</v>
      </c>
      <c r="D3451">
        <v>3.17</v>
      </c>
      <c r="E3451" t="s">
        <v>34</v>
      </c>
      <c r="F3451" t="s">
        <v>87</v>
      </c>
      <c r="G3451">
        <v>6.49</v>
      </c>
      <c r="H3451">
        <v>-0.15</v>
      </c>
      <c r="I3451">
        <v>3.32</v>
      </c>
      <c r="J3451">
        <v>11.022399999999999</v>
      </c>
      <c r="K3451" t="str">
        <f>IFERROR(INDEX(Rosters!$C$2:$C$155,MATCH($B3451,Rosters!$B$2:$B$155,0)),"NA")</f>
        <v>NA</v>
      </c>
      <c r="L3451" t="str">
        <f t="shared" si="159"/>
        <v>NA1WR</v>
      </c>
      <c r="M3451">
        <f>COUNTIF(L$1:L3451,L3451)</f>
        <v>32</v>
      </c>
      <c r="N3451" t="str">
        <f t="shared" si="160"/>
        <v>NA1WR-32</v>
      </c>
      <c r="O3451">
        <f>COUNTIFS(F$1:F3451,F3451,A$1:A3451,A3451)</f>
        <v>81</v>
      </c>
      <c r="P3451" t="str">
        <f t="shared" si="161"/>
        <v>Terrelle Pryor Sr.1</v>
      </c>
    </row>
    <row r="3452" spans="1:16" x14ac:dyDescent="0.25">
      <c r="A3452">
        <v>10</v>
      </c>
      <c r="B3452" t="s">
        <v>265</v>
      </c>
      <c r="C3452" t="s">
        <v>8116</v>
      </c>
      <c r="D3452">
        <v>3.17</v>
      </c>
      <c r="E3452" t="s">
        <v>17</v>
      </c>
      <c r="F3452" t="s">
        <v>114</v>
      </c>
      <c r="G3452">
        <v>5.68</v>
      </c>
      <c r="H3452">
        <v>0.66</v>
      </c>
      <c r="I3452">
        <v>2.5099999999999998</v>
      </c>
      <c r="J3452">
        <v>6.3000999999999996</v>
      </c>
      <c r="K3452" t="str">
        <f>IFERROR(INDEX(Rosters!$C$2:$C$155,MATCH($B3452,Rosters!$B$2:$B$155,0)),"NA")</f>
        <v>NA</v>
      </c>
      <c r="L3452" t="str">
        <f t="shared" si="159"/>
        <v>NA10TE</v>
      </c>
      <c r="M3452">
        <f>COUNTIF(L$1:L3452,L3452)</f>
        <v>13</v>
      </c>
      <c r="N3452" t="str">
        <f t="shared" si="160"/>
        <v>NA10TE-13</v>
      </c>
      <c r="O3452">
        <f>COUNTIFS(F$1:F3452,F3452,A$1:A3452,A3452)</f>
        <v>26</v>
      </c>
      <c r="P3452" t="str">
        <f t="shared" si="161"/>
        <v>Vernon Davis10</v>
      </c>
    </row>
    <row r="3453" spans="1:16" x14ac:dyDescent="0.25">
      <c r="A3453">
        <v>2</v>
      </c>
      <c r="B3453" t="s">
        <v>4208</v>
      </c>
      <c r="C3453" t="s">
        <v>4216</v>
      </c>
      <c r="D3453">
        <v>3.15</v>
      </c>
      <c r="E3453" t="s">
        <v>54</v>
      </c>
      <c r="F3453" t="s">
        <v>114</v>
      </c>
      <c r="G3453">
        <v>5.61</v>
      </c>
      <c r="H3453">
        <v>0.69</v>
      </c>
      <c r="I3453">
        <v>2.46</v>
      </c>
      <c r="J3453">
        <v>6.0515999999999996</v>
      </c>
      <c r="K3453" t="str">
        <f>IFERROR(INDEX(Rosters!$C$2:$C$155,MATCH($B3453,Rosters!$B$2:$B$155,0)),"NA")</f>
        <v>NA</v>
      </c>
      <c r="L3453" t="str">
        <f t="shared" si="159"/>
        <v>NA2TE</v>
      </c>
      <c r="M3453">
        <f>COUNTIF(L$1:L3453,L3453)</f>
        <v>13</v>
      </c>
      <c r="N3453" t="str">
        <f t="shared" si="160"/>
        <v>NA2TE-13</v>
      </c>
      <c r="O3453">
        <f>COUNTIFS(F$1:F3453,F3453,A$1:A3453,A3453)</f>
        <v>25</v>
      </c>
      <c r="P3453" t="str">
        <f t="shared" si="161"/>
        <v>Blake Jarwin2</v>
      </c>
    </row>
    <row r="3454" spans="1:16" x14ac:dyDescent="0.25">
      <c r="A3454">
        <v>15</v>
      </c>
      <c r="B3454" t="s">
        <v>1367</v>
      </c>
      <c r="C3454" t="s">
        <v>8117</v>
      </c>
      <c r="D3454">
        <v>3.15</v>
      </c>
      <c r="E3454" t="s">
        <v>74</v>
      </c>
      <c r="F3454" t="s">
        <v>87</v>
      </c>
      <c r="G3454">
        <v>5.0999999999999996</v>
      </c>
      <c r="H3454">
        <v>1.2</v>
      </c>
      <c r="I3454">
        <v>1.95</v>
      </c>
      <c r="J3454">
        <v>3.8025000000000002</v>
      </c>
      <c r="K3454" t="str">
        <f>IFERROR(INDEX(Rosters!$C$2:$C$155,MATCH($B3454,Rosters!$B$2:$B$155,0)),"NA")</f>
        <v>NA</v>
      </c>
      <c r="L3454" t="str">
        <f t="shared" si="159"/>
        <v>NA15WR</v>
      </c>
      <c r="M3454">
        <f>COUNTIF(L$1:L3454,L3454)</f>
        <v>43</v>
      </c>
      <c r="N3454" t="str">
        <f t="shared" si="160"/>
        <v>NA15WR-43</v>
      </c>
      <c r="O3454">
        <f>COUNTIFS(F$1:F3454,F3454,A$1:A3454,A3454)</f>
        <v>96</v>
      </c>
      <c r="P3454" t="str">
        <f t="shared" si="161"/>
        <v>Cameron Meredith15</v>
      </c>
    </row>
    <row r="3455" spans="1:16" x14ac:dyDescent="0.25">
      <c r="A3455">
        <v>16</v>
      </c>
      <c r="B3455" t="s">
        <v>1367</v>
      </c>
      <c r="C3455" t="s">
        <v>8118</v>
      </c>
      <c r="D3455">
        <v>3.15</v>
      </c>
      <c r="E3455" t="s">
        <v>51</v>
      </c>
      <c r="F3455" t="s">
        <v>87</v>
      </c>
      <c r="G3455">
        <v>5.4</v>
      </c>
      <c r="H3455">
        <v>0.9</v>
      </c>
      <c r="I3455">
        <v>2.25</v>
      </c>
      <c r="J3455">
        <v>5.0625</v>
      </c>
      <c r="K3455" t="str">
        <f>IFERROR(INDEX(Rosters!$C$2:$C$155,MATCH($B3455,Rosters!$B$2:$B$155,0)),"NA")</f>
        <v>NA</v>
      </c>
      <c r="L3455" t="str">
        <f t="shared" si="159"/>
        <v>NA16WR</v>
      </c>
      <c r="M3455">
        <f>COUNTIF(L$1:L3455,L3455)</f>
        <v>43</v>
      </c>
      <c r="N3455" t="str">
        <f t="shared" si="160"/>
        <v>NA16WR-43</v>
      </c>
      <c r="O3455">
        <f>COUNTIFS(F$1:F3455,F3455,A$1:A3455,A3455)</f>
        <v>95</v>
      </c>
      <c r="P3455" t="str">
        <f t="shared" si="161"/>
        <v>Cameron Meredith16</v>
      </c>
    </row>
    <row r="3456" spans="1:16" x14ac:dyDescent="0.25">
      <c r="A3456">
        <v>3</v>
      </c>
      <c r="B3456" t="s">
        <v>1478</v>
      </c>
      <c r="C3456" t="s">
        <v>3772</v>
      </c>
      <c r="D3456">
        <v>3.15</v>
      </c>
      <c r="E3456" t="s">
        <v>66</v>
      </c>
      <c r="F3456" t="s">
        <v>114</v>
      </c>
      <c r="G3456">
        <v>6.03</v>
      </c>
      <c r="H3456">
        <v>0.27</v>
      </c>
      <c r="I3456">
        <v>2.88</v>
      </c>
      <c r="J3456">
        <v>8.2943999999999996</v>
      </c>
      <c r="K3456" t="str">
        <f>IFERROR(INDEX(Rosters!$C$2:$C$155,MATCH($B3456,Rosters!$B$2:$B$155,0)),"NA")</f>
        <v>NA</v>
      </c>
      <c r="L3456" t="str">
        <f t="shared" si="159"/>
        <v>NA3TE</v>
      </c>
      <c r="M3456">
        <f>COUNTIF(L$1:L3456,L3456)</f>
        <v>10</v>
      </c>
      <c r="N3456" t="str">
        <f t="shared" si="160"/>
        <v>NA3TE-10</v>
      </c>
      <c r="O3456">
        <f>COUNTIFS(F$1:F3456,F3456,A$1:A3456,A3456)</f>
        <v>22</v>
      </c>
      <c r="P3456" t="str">
        <f t="shared" si="161"/>
        <v>Dallas Goedert3</v>
      </c>
    </row>
    <row r="3457" spans="1:16" x14ac:dyDescent="0.25">
      <c r="A3457">
        <v>2</v>
      </c>
      <c r="B3457" t="s">
        <v>4212</v>
      </c>
      <c r="C3457">
        <f>-0.55-6.85</f>
        <v>-7.3999999999999995</v>
      </c>
      <c r="D3457">
        <v>3.15</v>
      </c>
      <c r="E3457" t="s">
        <v>46</v>
      </c>
      <c r="F3457" t="s">
        <v>114</v>
      </c>
      <c r="G3457">
        <v>6.85</v>
      </c>
      <c r="H3457">
        <v>-0.55000000000000004</v>
      </c>
      <c r="I3457">
        <v>3.7</v>
      </c>
      <c r="J3457">
        <v>13.69</v>
      </c>
      <c r="K3457" t="str">
        <f>IFERROR(INDEX(Rosters!$C$2:$C$155,MATCH($B3457,Rosters!$B$2:$B$155,0)),"NA")</f>
        <v>NA</v>
      </c>
      <c r="L3457" t="str">
        <f t="shared" si="159"/>
        <v>NA2TE</v>
      </c>
      <c r="M3457">
        <f>COUNTIF(L$1:L3457,L3457)</f>
        <v>14</v>
      </c>
      <c r="N3457" t="str">
        <f t="shared" si="160"/>
        <v>NA2TE-14</v>
      </c>
      <c r="O3457">
        <f>COUNTIFS(F$1:F3457,F3457,A$1:A3457,A3457)</f>
        <v>26</v>
      </c>
      <c r="P3457" t="str">
        <f t="shared" si="161"/>
        <v>Ian Thomas2</v>
      </c>
    </row>
    <row r="3458" spans="1:16" x14ac:dyDescent="0.25">
      <c r="A3458">
        <v>12</v>
      </c>
      <c r="B3458" t="s">
        <v>1646</v>
      </c>
      <c r="C3458" t="s">
        <v>8119</v>
      </c>
      <c r="D3458">
        <v>3.15</v>
      </c>
      <c r="E3458" t="s">
        <v>46</v>
      </c>
      <c r="F3458" t="s">
        <v>15</v>
      </c>
      <c r="G3458">
        <v>3.83</v>
      </c>
      <c r="H3458">
        <v>2.4700000000000002</v>
      </c>
      <c r="I3458">
        <v>0.68</v>
      </c>
      <c r="J3458">
        <v>0.46239999999999998</v>
      </c>
      <c r="K3458" t="str">
        <f>IFERROR(INDEX(Rosters!$C$2:$C$155,MATCH($B3458,Rosters!$B$2:$B$155,0)),"NA")</f>
        <v>NA</v>
      </c>
      <c r="L3458" t="str">
        <f t="shared" si="159"/>
        <v>NA12QB</v>
      </c>
      <c r="M3458">
        <f>COUNTIF(L$1:L3458,L3458)</f>
        <v>16</v>
      </c>
      <c r="N3458" t="str">
        <f t="shared" si="160"/>
        <v>NA12QB-16</v>
      </c>
      <c r="O3458">
        <f>COUNTIFS(F$1:F3458,F3458,A$1:A3458,A3458)</f>
        <v>31</v>
      </c>
      <c r="P3458" t="str">
        <f t="shared" si="161"/>
        <v>Taysom Hill12</v>
      </c>
    </row>
    <row r="3459" spans="1:16" x14ac:dyDescent="0.25">
      <c r="A3459">
        <v>14</v>
      </c>
      <c r="B3459" t="s">
        <v>109</v>
      </c>
      <c r="C3459" t="s">
        <v>8120</v>
      </c>
      <c r="D3459">
        <v>3.15</v>
      </c>
      <c r="E3459" t="s">
        <v>46</v>
      </c>
      <c r="F3459" t="s">
        <v>47</v>
      </c>
      <c r="G3459">
        <v>4.92</v>
      </c>
      <c r="H3459">
        <v>1.38</v>
      </c>
      <c r="I3459">
        <v>1.77</v>
      </c>
      <c r="J3459">
        <v>3.1328999999999998</v>
      </c>
      <c r="K3459" t="str">
        <f>IFERROR(INDEX(Rosters!$C$2:$C$155,MATCH($B3459,Rosters!$B$2:$B$155,0)),"NA")</f>
        <v>seth</v>
      </c>
      <c r="L3459" t="str">
        <f t="shared" ref="L3459:L3522" si="162">K3459&amp;A3459&amp;F3459</f>
        <v>seth14RB</v>
      </c>
      <c r="M3459">
        <f>COUNTIF(L$1:L3459,L3459)</f>
        <v>7</v>
      </c>
      <c r="N3459" t="str">
        <f t="shared" ref="N3459:N3522" si="163">L3459&amp;"-"&amp;M3459</f>
        <v>seth14RB-7</v>
      </c>
      <c r="O3459">
        <f>COUNTIFS(F$1:F3459,F3459,A$1:A3459,A3459)</f>
        <v>70</v>
      </c>
      <c r="P3459" t="str">
        <f t="shared" ref="P3459:P3522" si="164">B3459&amp;A3459</f>
        <v>Ty Montgomery14</v>
      </c>
    </row>
    <row r="3460" spans="1:16" x14ac:dyDescent="0.25">
      <c r="A3460">
        <v>10</v>
      </c>
      <c r="B3460" t="s">
        <v>267</v>
      </c>
      <c r="C3460" t="s">
        <v>8121</v>
      </c>
      <c r="D3460">
        <v>3.15</v>
      </c>
      <c r="E3460" t="s">
        <v>32</v>
      </c>
      <c r="F3460" t="s">
        <v>114</v>
      </c>
      <c r="G3460">
        <v>5.54</v>
      </c>
      <c r="H3460">
        <v>0.76</v>
      </c>
      <c r="I3460">
        <v>2.39</v>
      </c>
      <c r="J3460">
        <v>5.7121000000000004</v>
      </c>
      <c r="K3460" t="str">
        <f>IFERROR(INDEX(Rosters!$C$2:$C$155,MATCH($B3460,Rosters!$B$2:$B$155,0)),"NA")</f>
        <v>NA</v>
      </c>
      <c r="L3460" t="str">
        <f t="shared" si="162"/>
        <v>NA10TE</v>
      </c>
      <c r="M3460">
        <f>COUNTIF(L$1:L3460,L3460)</f>
        <v>14</v>
      </c>
      <c r="N3460" t="str">
        <f t="shared" si="163"/>
        <v>NA10TE-14</v>
      </c>
      <c r="O3460">
        <f>COUNTIFS(F$1:F3460,F3460,A$1:A3460,A3460)</f>
        <v>27</v>
      </c>
      <c r="P3460" t="str">
        <f t="shared" si="164"/>
        <v>Virgil Green10</v>
      </c>
    </row>
    <row r="3461" spans="1:16" x14ac:dyDescent="0.25">
      <c r="A3461">
        <v>13</v>
      </c>
      <c r="B3461" t="s">
        <v>305</v>
      </c>
      <c r="C3461" t="s">
        <v>8122</v>
      </c>
      <c r="D3461">
        <v>3.14</v>
      </c>
      <c r="E3461" t="s">
        <v>76</v>
      </c>
      <c r="F3461" t="s">
        <v>87</v>
      </c>
      <c r="G3461">
        <v>5.72</v>
      </c>
      <c r="H3461">
        <v>0.56000000000000005</v>
      </c>
      <c r="I3461">
        <v>2.58</v>
      </c>
      <c r="J3461">
        <v>6.6563999999999997</v>
      </c>
      <c r="K3461" t="str">
        <f>IFERROR(INDEX(Rosters!$C$2:$C$155,MATCH($B3461,Rosters!$B$2:$B$155,0)),"NA")</f>
        <v>NA</v>
      </c>
      <c r="L3461" t="str">
        <f t="shared" si="162"/>
        <v>NA13WR</v>
      </c>
      <c r="M3461">
        <f>COUNTIF(L$1:L3461,L3461)</f>
        <v>46</v>
      </c>
      <c r="N3461" t="str">
        <f t="shared" si="163"/>
        <v>NA13WR-46</v>
      </c>
      <c r="O3461">
        <f>COUNTIFS(F$1:F3461,F3461,A$1:A3461,A3461)</f>
        <v>99</v>
      </c>
      <c r="P3461" t="str">
        <f t="shared" si="164"/>
        <v>Chester Rogers13</v>
      </c>
    </row>
    <row r="3462" spans="1:16" x14ac:dyDescent="0.25">
      <c r="A3462">
        <v>7</v>
      </c>
      <c r="B3462" t="s">
        <v>373</v>
      </c>
      <c r="C3462">
        <f>-0.02-6.3</f>
        <v>-6.3199999999999994</v>
      </c>
      <c r="D3462">
        <v>3.14</v>
      </c>
      <c r="E3462" t="s">
        <v>46</v>
      </c>
      <c r="F3462" t="s">
        <v>87</v>
      </c>
      <c r="G3462">
        <v>6.3</v>
      </c>
      <c r="H3462">
        <v>-0.02</v>
      </c>
      <c r="I3462">
        <v>3.16</v>
      </c>
      <c r="J3462">
        <v>9.9855999999999998</v>
      </c>
      <c r="K3462" t="str">
        <f>IFERROR(INDEX(Rosters!$C$2:$C$155,MATCH($B3462,Rosters!$B$2:$B$155,0)),"NA")</f>
        <v>NA</v>
      </c>
      <c r="L3462" t="str">
        <f t="shared" si="162"/>
        <v>NA7WR</v>
      </c>
      <c r="M3462">
        <f>COUNTIF(L$1:L3462,L3462)</f>
        <v>34</v>
      </c>
      <c r="N3462" t="str">
        <f t="shared" si="163"/>
        <v>NA7WR-34</v>
      </c>
      <c r="O3462">
        <f>COUNTIFS(F$1:F3462,F3462,A$1:A3462,A3462)</f>
        <v>78</v>
      </c>
      <c r="P3462" t="str">
        <f t="shared" si="164"/>
        <v>Cody Latimer7</v>
      </c>
    </row>
    <row r="3463" spans="1:16" x14ac:dyDescent="0.25">
      <c r="A3463">
        <v>9</v>
      </c>
      <c r="B3463" t="s">
        <v>309</v>
      </c>
      <c r="C3463">
        <f>-0.15-6.43</f>
        <v>-6.58</v>
      </c>
      <c r="D3463">
        <v>3.14</v>
      </c>
      <c r="E3463" t="s">
        <v>38</v>
      </c>
      <c r="F3463" t="s">
        <v>114</v>
      </c>
      <c r="G3463">
        <v>6.43</v>
      </c>
      <c r="H3463">
        <v>-0.15</v>
      </c>
      <c r="I3463">
        <v>3.29</v>
      </c>
      <c r="J3463">
        <v>10.8241</v>
      </c>
      <c r="K3463" t="str">
        <f>IFERROR(INDEX(Rosters!$C$2:$C$155,MATCH($B3463,Rosters!$B$2:$B$155,0)),"NA")</f>
        <v>NA</v>
      </c>
      <c r="L3463" t="str">
        <f t="shared" si="162"/>
        <v>NA9TE</v>
      </c>
      <c r="M3463">
        <f>COUNTIF(L$1:L3463,L3463)</f>
        <v>9</v>
      </c>
      <c r="N3463" t="str">
        <f t="shared" si="163"/>
        <v>NA9TE-9</v>
      </c>
      <c r="O3463">
        <f>COUNTIFS(F$1:F3463,F3463,A$1:A3463,A3463)</f>
        <v>20</v>
      </c>
      <c r="P3463" t="str">
        <f t="shared" si="164"/>
        <v>Geoff Swaim9</v>
      </c>
    </row>
    <row r="3464" spans="1:16" x14ac:dyDescent="0.25">
      <c r="A3464">
        <v>11</v>
      </c>
      <c r="B3464" t="s">
        <v>4236</v>
      </c>
      <c r="C3464">
        <f>-0.25-6.53</f>
        <v>-6.78</v>
      </c>
      <c r="D3464">
        <v>3.14</v>
      </c>
      <c r="E3464" t="s">
        <v>28</v>
      </c>
      <c r="F3464" t="s">
        <v>87</v>
      </c>
      <c r="G3464">
        <v>6.53</v>
      </c>
      <c r="H3464">
        <v>-0.25</v>
      </c>
      <c r="I3464">
        <v>3.39</v>
      </c>
      <c r="J3464">
        <v>11.492100000000001</v>
      </c>
      <c r="K3464" t="str">
        <f>IFERROR(INDEX(Rosters!$C$2:$C$155,MATCH($B3464,Rosters!$B$2:$B$155,0)),"NA")</f>
        <v>aj</v>
      </c>
      <c r="L3464" t="str">
        <f t="shared" si="162"/>
        <v>aj11WR</v>
      </c>
      <c r="M3464">
        <f>COUNTIF(L$1:L3464,L3464)</f>
        <v>6</v>
      </c>
      <c r="N3464" t="str">
        <f t="shared" si="163"/>
        <v>aj11WR-6</v>
      </c>
      <c r="O3464">
        <f>COUNTIFS(F$1:F3464,F3464,A$1:A3464,A3464)</f>
        <v>74</v>
      </c>
      <c r="P3464" t="str">
        <f t="shared" si="164"/>
        <v>Marquez Valdes-Scantling11</v>
      </c>
    </row>
    <row r="3465" spans="1:16" x14ac:dyDescent="0.25">
      <c r="A3465">
        <v>8</v>
      </c>
      <c r="B3465" t="s">
        <v>109</v>
      </c>
      <c r="C3465" t="s">
        <v>8123</v>
      </c>
      <c r="D3465">
        <v>3.14</v>
      </c>
      <c r="E3465" t="s">
        <v>56</v>
      </c>
      <c r="F3465" t="s">
        <v>47</v>
      </c>
      <c r="G3465">
        <v>4.95</v>
      </c>
      <c r="H3465">
        <v>1.33</v>
      </c>
      <c r="I3465">
        <v>1.81</v>
      </c>
      <c r="J3465">
        <v>3.2761</v>
      </c>
      <c r="K3465" t="str">
        <f>IFERROR(INDEX(Rosters!$C$2:$C$155,MATCH($B3465,Rosters!$B$2:$B$155,0)),"NA")</f>
        <v>seth</v>
      </c>
      <c r="L3465" t="str">
        <f t="shared" si="162"/>
        <v>seth8RB</v>
      </c>
      <c r="M3465">
        <f>COUNTIF(L$1:L3465,L3465)</f>
        <v>6</v>
      </c>
      <c r="N3465" t="str">
        <f t="shared" si="163"/>
        <v>seth8RB-6</v>
      </c>
      <c r="O3465">
        <f>COUNTIFS(F$1:F3465,F3465,A$1:A3465,A3465)</f>
        <v>61</v>
      </c>
      <c r="P3465" t="str">
        <f t="shared" si="164"/>
        <v>Ty Montgomery8</v>
      </c>
    </row>
    <row r="3466" spans="1:16" x14ac:dyDescent="0.25">
      <c r="A3466">
        <v>7</v>
      </c>
      <c r="B3466" t="s">
        <v>312</v>
      </c>
      <c r="C3466" t="s">
        <v>8124</v>
      </c>
      <c r="D3466">
        <v>3.13</v>
      </c>
      <c r="E3466" t="s">
        <v>17</v>
      </c>
      <c r="F3466" t="s">
        <v>114</v>
      </c>
      <c r="G3466">
        <v>5.98</v>
      </c>
      <c r="H3466">
        <v>0.28000000000000003</v>
      </c>
      <c r="I3466">
        <v>2.85</v>
      </c>
      <c r="J3466">
        <v>8.1225000000000005</v>
      </c>
      <c r="K3466" t="str">
        <f>IFERROR(INDEX(Rosters!$C$2:$C$155,MATCH($B3466,Rosters!$B$2:$B$155,0)),"NA")</f>
        <v>NA</v>
      </c>
      <c r="L3466" t="str">
        <f t="shared" si="162"/>
        <v>NA7TE</v>
      </c>
      <c r="M3466">
        <f>COUNTIF(L$1:L3466,L3466)</f>
        <v>14</v>
      </c>
      <c r="N3466" t="str">
        <f t="shared" si="163"/>
        <v>NA7TE-14</v>
      </c>
      <c r="O3466">
        <f>COUNTIFS(F$1:F3466,F3466,A$1:A3466,A3466)</f>
        <v>23</v>
      </c>
      <c r="P3466" t="str">
        <f t="shared" si="164"/>
        <v>Darren Fells7</v>
      </c>
    </row>
    <row r="3467" spans="1:16" x14ac:dyDescent="0.25">
      <c r="A3467">
        <v>17</v>
      </c>
      <c r="B3467" t="s">
        <v>1036</v>
      </c>
      <c r="C3467" t="s">
        <v>8125</v>
      </c>
      <c r="D3467">
        <v>3.13</v>
      </c>
      <c r="E3467" t="s">
        <v>54</v>
      </c>
      <c r="F3467" t="s">
        <v>87</v>
      </c>
      <c r="G3467">
        <v>5.56</v>
      </c>
      <c r="H3467">
        <v>0.7</v>
      </c>
      <c r="I3467">
        <v>2.4300000000000002</v>
      </c>
      <c r="J3467">
        <v>5.9048999999999996</v>
      </c>
      <c r="K3467" t="str">
        <f>IFERROR(INDEX(Rosters!$C$2:$C$155,MATCH($B3467,Rosters!$B$2:$B$155,0)),"NA")</f>
        <v>NA</v>
      </c>
      <c r="L3467" t="str">
        <f t="shared" si="162"/>
        <v>NA17WR</v>
      </c>
      <c r="M3467">
        <f>COUNTIF(L$1:L3467,L3467)</f>
        <v>45</v>
      </c>
      <c r="N3467" t="str">
        <f t="shared" si="163"/>
        <v>NA17WR-45</v>
      </c>
      <c r="O3467">
        <f>COUNTIFS(F$1:F3467,F3467,A$1:A3467,A3467)</f>
        <v>97</v>
      </c>
      <c r="P3467" t="str">
        <f t="shared" si="164"/>
        <v>Deonte Thompson17</v>
      </c>
    </row>
    <row r="3468" spans="1:16" x14ac:dyDescent="0.25">
      <c r="A3468">
        <v>6</v>
      </c>
      <c r="B3468" t="s">
        <v>175</v>
      </c>
      <c r="C3468" t="s">
        <v>8126</v>
      </c>
      <c r="D3468">
        <v>3.13</v>
      </c>
      <c r="E3468" t="s">
        <v>72</v>
      </c>
      <c r="F3468" t="s">
        <v>87</v>
      </c>
      <c r="G3468">
        <v>5.74</v>
      </c>
      <c r="H3468">
        <v>0.52</v>
      </c>
      <c r="I3468">
        <v>2.61</v>
      </c>
      <c r="J3468">
        <v>6.8121</v>
      </c>
      <c r="K3468" t="str">
        <f>IFERROR(INDEX(Rosters!$C$2:$C$155,MATCH($B3468,Rosters!$B$2:$B$155,0)),"NA")</f>
        <v>NA</v>
      </c>
      <c r="L3468" t="str">
        <f t="shared" si="162"/>
        <v>NA6WR</v>
      </c>
      <c r="M3468">
        <f>COUNTIF(L$1:L3468,L3468)</f>
        <v>36</v>
      </c>
      <c r="N3468" t="str">
        <f t="shared" si="163"/>
        <v>NA6WR-36</v>
      </c>
      <c r="O3468">
        <f>COUNTIFS(F$1:F3468,F3468,A$1:A3468,A3468)</f>
        <v>84</v>
      </c>
      <c r="P3468" t="str">
        <f t="shared" si="164"/>
        <v>DeVante Parker6</v>
      </c>
    </row>
    <row r="3469" spans="1:16" x14ac:dyDescent="0.25">
      <c r="A3469">
        <v>17</v>
      </c>
      <c r="B3469" t="s">
        <v>282</v>
      </c>
      <c r="C3469" t="s">
        <v>8127</v>
      </c>
      <c r="D3469">
        <v>3.13</v>
      </c>
      <c r="E3469" t="s">
        <v>30</v>
      </c>
      <c r="F3469" t="s">
        <v>47</v>
      </c>
      <c r="G3469">
        <v>5.58</v>
      </c>
      <c r="H3469">
        <v>0.68</v>
      </c>
      <c r="I3469">
        <v>2.4500000000000002</v>
      </c>
      <c r="J3469">
        <v>6.0025000000000004</v>
      </c>
      <c r="K3469" t="str">
        <f>IFERROR(INDEX(Rosters!$C$2:$C$155,MATCH($B3469,Rosters!$B$2:$B$155,0)),"NA")</f>
        <v>NA</v>
      </c>
      <c r="L3469" t="str">
        <f t="shared" si="162"/>
        <v>NA17RB</v>
      </c>
      <c r="M3469">
        <f>COUNTIF(L$1:L3469,L3469)</f>
        <v>24</v>
      </c>
      <c r="N3469" t="str">
        <f t="shared" si="163"/>
        <v>NA17RB-24</v>
      </c>
      <c r="O3469">
        <f>COUNTIFS(F$1:F3469,F3469,A$1:A3469,A3469)</f>
        <v>70</v>
      </c>
      <c r="P3469" t="str">
        <f t="shared" si="164"/>
        <v>Malcolm Brown17</v>
      </c>
    </row>
    <row r="3470" spans="1:16" x14ac:dyDescent="0.25">
      <c r="A3470">
        <v>16</v>
      </c>
      <c r="B3470" t="s">
        <v>798</v>
      </c>
      <c r="C3470" t="s">
        <v>8128</v>
      </c>
      <c r="D3470">
        <v>3.13</v>
      </c>
      <c r="E3470" t="s">
        <v>31</v>
      </c>
      <c r="F3470" t="s">
        <v>87</v>
      </c>
      <c r="G3470">
        <v>6.02</v>
      </c>
      <c r="H3470">
        <v>0.24</v>
      </c>
      <c r="I3470">
        <v>2.89</v>
      </c>
      <c r="J3470">
        <v>8.3521000000000001</v>
      </c>
      <c r="K3470" t="str">
        <f>IFERROR(INDEX(Rosters!$C$2:$C$155,MATCH($B3470,Rosters!$B$2:$B$155,0)),"NA")</f>
        <v>NA</v>
      </c>
      <c r="L3470" t="str">
        <f t="shared" si="162"/>
        <v>NA16WR</v>
      </c>
      <c r="M3470">
        <f>COUNTIF(L$1:L3470,L3470)</f>
        <v>44</v>
      </c>
      <c r="N3470" t="str">
        <f t="shared" si="163"/>
        <v>NA16WR-44</v>
      </c>
      <c r="O3470">
        <f>COUNTIFS(F$1:F3470,F3470,A$1:A3470,A3470)</f>
        <v>96</v>
      </c>
      <c r="P3470" t="str">
        <f t="shared" si="164"/>
        <v>Rashard Higgins16</v>
      </c>
    </row>
    <row r="3471" spans="1:16" x14ac:dyDescent="0.25">
      <c r="A3471">
        <v>15</v>
      </c>
      <c r="B3471" t="s">
        <v>238</v>
      </c>
      <c r="C3471" t="s">
        <v>8129</v>
      </c>
      <c r="D3471">
        <v>3.13</v>
      </c>
      <c r="E3471" t="s">
        <v>31</v>
      </c>
      <c r="F3471" t="s">
        <v>87</v>
      </c>
      <c r="G3471">
        <v>5.45</v>
      </c>
      <c r="H3471">
        <v>0.81</v>
      </c>
      <c r="I3471">
        <v>2.3199999999999998</v>
      </c>
      <c r="J3471">
        <v>5.3823999999999996</v>
      </c>
      <c r="K3471" t="str">
        <f>IFERROR(INDEX(Rosters!$C$2:$C$155,MATCH($B3471,Rosters!$B$2:$B$155,0)),"NA")</f>
        <v>NA</v>
      </c>
      <c r="L3471" t="str">
        <f t="shared" si="162"/>
        <v>NA15WR</v>
      </c>
      <c r="M3471">
        <f>COUNTIF(L$1:L3471,L3471)</f>
        <v>44</v>
      </c>
      <c r="N3471" t="str">
        <f t="shared" si="163"/>
        <v>NA15WR-44</v>
      </c>
      <c r="O3471">
        <f>COUNTIFS(F$1:F3471,F3471,A$1:A3471,A3471)</f>
        <v>97</v>
      </c>
      <c r="P3471" t="str">
        <f t="shared" si="164"/>
        <v>Seth Roberts15</v>
      </c>
    </row>
    <row r="3472" spans="1:16" x14ac:dyDescent="0.25">
      <c r="A3472">
        <v>14</v>
      </c>
      <c r="B3472" t="s">
        <v>167</v>
      </c>
      <c r="C3472" t="s">
        <v>8130</v>
      </c>
      <c r="D3472">
        <v>3.12</v>
      </c>
      <c r="E3472" t="s">
        <v>25</v>
      </c>
      <c r="F3472" t="s">
        <v>87</v>
      </c>
      <c r="G3472">
        <v>6.02</v>
      </c>
      <c r="H3472">
        <v>0.22</v>
      </c>
      <c r="I3472">
        <v>2.9</v>
      </c>
      <c r="J3472">
        <v>8.41</v>
      </c>
      <c r="K3472" t="str">
        <f>IFERROR(INDEX(Rosters!$C$2:$C$155,MATCH($B3472,Rosters!$B$2:$B$155,0)),"NA")</f>
        <v>NA</v>
      </c>
      <c r="L3472" t="str">
        <f t="shared" si="162"/>
        <v>NA14WR</v>
      </c>
      <c r="M3472">
        <f>COUNTIF(L$1:L3472,L3472)</f>
        <v>41</v>
      </c>
      <c r="N3472" t="str">
        <f t="shared" si="163"/>
        <v>NA14WR-41</v>
      </c>
      <c r="O3472">
        <f>COUNTIFS(F$1:F3472,F3472,A$1:A3472,A3472)</f>
        <v>94</v>
      </c>
      <c r="P3472" t="str">
        <f t="shared" si="164"/>
        <v>Brandon Marshall14</v>
      </c>
    </row>
    <row r="3473" spans="1:16" x14ac:dyDescent="0.25">
      <c r="A3473">
        <v>10</v>
      </c>
      <c r="B3473" t="s">
        <v>1439</v>
      </c>
      <c r="C3473" t="s">
        <v>8131</v>
      </c>
      <c r="D3473">
        <v>3.12</v>
      </c>
      <c r="E3473" t="s">
        <v>74</v>
      </c>
      <c r="F3473" t="s">
        <v>87</v>
      </c>
      <c r="G3473">
        <v>5.7</v>
      </c>
      <c r="H3473">
        <v>0.54</v>
      </c>
      <c r="I3473">
        <v>2.58</v>
      </c>
      <c r="J3473">
        <v>6.6563999999999997</v>
      </c>
      <c r="K3473" t="str">
        <f>IFERROR(INDEX(Rosters!$C$2:$C$155,MATCH($B3473,Rosters!$B$2:$B$155,0)),"NA")</f>
        <v>NA</v>
      </c>
      <c r="L3473" t="str">
        <f t="shared" si="162"/>
        <v>NA10WR</v>
      </c>
      <c r="M3473">
        <f>COUNTIF(L$1:L3473,L3473)</f>
        <v>39</v>
      </c>
      <c r="N3473" t="str">
        <f t="shared" si="163"/>
        <v>NA10WR-39</v>
      </c>
      <c r="O3473">
        <f>COUNTIFS(F$1:F3473,F3473,A$1:A3473,A3473)</f>
        <v>83</v>
      </c>
      <c r="P3473" t="str">
        <f t="shared" si="164"/>
        <v>James Washington10</v>
      </c>
    </row>
    <row r="3474" spans="1:16" x14ac:dyDescent="0.25">
      <c r="A3474">
        <v>11</v>
      </c>
      <c r="B3474" t="s">
        <v>230</v>
      </c>
      <c r="C3474" t="s">
        <v>8132</v>
      </c>
      <c r="D3474">
        <v>3.12</v>
      </c>
      <c r="E3474" t="s">
        <v>36</v>
      </c>
      <c r="F3474" t="s">
        <v>87</v>
      </c>
      <c r="G3474">
        <v>5.64</v>
      </c>
      <c r="H3474">
        <v>0.6</v>
      </c>
      <c r="I3474">
        <v>2.52</v>
      </c>
      <c r="J3474">
        <v>6.3503999999999996</v>
      </c>
      <c r="K3474" t="str">
        <f>IFERROR(INDEX(Rosters!$C$2:$C$155,MATCH($B3474,Rosters!$B$2:$B$155,0)),"NA")</f>
        <v>NA</v>
      </c>
      <c r="L3474" t="str">
        <f t="shared" si="162"/>
        <v>NA11WR</v>
      </c>
      <c r="M3474">
        <f>COUNTIF(L$1:L3474,L3474)</f>
        <v>29</v>
      </c>
      <c r="N3474" t="str">
        <f t="shared" si="163"/>
        <v>NA11WR-29</v>
      </c>
      <c r="O3474">
        <f>COUNTIFS(F$1:F3474,F3474,A$1:A3474,A3474)</f>
        <v>75</v>
      </c>
      <c r="P3474" t="str">
        <f t="shared" si="164"/>
        <v>Josh Doctson11</v>
      </c>
    </row>
    <row r="3475" spans="1:16" x14ac:dyDescent="0.25">
      <c r="A3475">
        <v>16</v>
      </c>
      <c r="B3475" t="s">
        <v>1478</v>
      </c>
      <c r="C3475" t="s">
        <v>8133</v>
      </c>
      <c r="D3475">
        <v>3.11</v>
      </c>
      <c r="E3475" t="s">
        <v>36</v>
      </c>
      <c r="F3475" t="s">
        <v>114</v>
      </c>
      <c r="G3475">
        <v>5.59</v>
      </c>
      <c r="H3475">
        <v>0.63</v>
      </c>
      <c r="I3475">
        <v>2.48</v>
      </c>
      <c r="J3475">
        <v>6.1504000000000003</v>
      </c>
      <c r="K3475" t="str">
        <f>IFERROR(INDEX(Rosters!$C$2:$C$155,MATCH($B3475,Rosters!$B$2:$B$155,0)),"NA")</f>
        <v>NA</v>
      </c>
      <c r="L3475" t="str">
        <f t="shared" si="162"/>
        <v>NA16TE</v>
      </c>
      <c r="M3475">
        <f>COUNTIF(L$1:L3475,L3475)</f>
        <v>12</v>
      </c>
      <c r="N3475" t="str">
        <f t="shared" si="163"/>
        <v>NA16TE-12</v>
      </c>
      <c r="O3475">
        <f>COUNTIFS(F$1:F3475,F3475,A$1:A3475,A3475)</f>
        <v>26</v>
      </c>
      <c r="P3475" t="str">
        <f t="shared" si="164"/>
        <v>Dallas Goedert16</v>
      </c>
    </row>
    <row r="3476" spans="1:16" x14ac:dyDescent="0.25">
      <c r="A3476">
        <v>11</v>
      </c>
      <c r="B3476" t="s">
        <v>1036</v>
      </c>
      <c r="C3476" t="s">
        <v>8134</v>
      </c>
      <c r="D3476">
        <v>3.11</v>
      </c>
      <c r="E3476" t="s">
        <v>46</v>
      </c>
      <c r="F3476" t="s">
        <v>87</v>
      </c>
      <c r="G3476">
        <v>5.46</v>
      </c>
      <c r="H3476">
        <v>0.76</v>
      </c>
      <c r="I3476">
        <v>2.35</v>
      </c>
      <c r="J3476">
        <v>5.5225</v>
      </c>
      <c r="K3476" t="str">
        <f>IFERROR(INDEX(Rosters!$C$2:$C$155,MATCH($B3476,Rosters!$B$2:$B$155,0)),"NA")</f>
        <v>NA</v>
      </c>
      <c r="L3476" t="str">
        <f t="shared" si="162"/>
        <v>NA11WR</v>
      </c>
      <c r="M3476">
        <f>COUNTIF(L$1:L3476,L3476)</f>
        <v>30</v>
      </c>
      <c r="N3476" t="str">
        <f t="shared" si="163"/>
        <v>NA11WR-30</v>
      </c>
      <c r="O3476">
        <f>COUNTIFS(F$1:F3476,F3476,A$1:A3476,A3476)</f>
        <v>76</v>
      </c>
      <c r="P3476" t="str">
        <f t="shared" si="164"/>
        <v>Deonte Thompson11</v>
      </c>
    </row>
    <row r="3477" spans="1:16" x14ac:dyDescent="0.25">
      <c r="A3477">
        <v>8</v>
      </c>
      <c r="B3477" t="s">
        <v>378</v>
      </c>
      <c r="C3477" t="s">
        <v>4598</v>
      </c>
      <c r="D3477">
        <v>3.11</v>
      </c>
      <c r="E3477" t="s">
        <v>36</v>
      </c>
      <c r="F3477" t="s">
        <v>87</v>
      </c>
      <c r="G3477">
        <v>5.8</v>
      </c>
      <c r="H3477">
        <v>0.42</v>
      </c>
      <c r="I3477">
        <v>2.69</v>
      </c>
      <c r="J3477">
        <v>7.2361000000000004</v>
      </c>
      <c r="K3477" t="str">
        <f>IFERROR(INDEX(Rosters!$C$2:$C$155,MATCH($B3477,Rosters!$B$2:$B$155,0)),"NA")</f>
        <v>NA</v>
      </c>
      <c r="L3477" t="str">
        <f t="shared" si="162"/>
        <v>NA8WR</v>
      </c>
      <c r="M3477">
        <f>COUNTIF(L$1:L3477,L3477)</f>
        <v>36</v>
      </c>
      <c r="N3477" t="str">
        <f t="shared" si="163"/>
        <v>NA8WR-36</v>
      </c>
      <c r="O3477">
        <f>COUNTIFS(F$1:F3477,F3477,A$1:A3477,A3477)</f>
        <v>84</v>
      </c>
      <c r="P3477" t="str">
        <f t="shared" si="164"/>
        <v>Jakeem Grant8</v>
      </c>
    </row>
    <row r="3478" spans="1:16" x14ac:dyDescent="0.25">
      <c r="A3478">
        <v>5</v>
      </c>
      <c r="B3478" t="s">
        <v>296</v>
      </c>
      <c r="C3478" t="s">
        <v>8135</v>
      </c>
      <c r="D3478">
        <v>3.11</v>
      </c>
      <c r="E3478" t="s">
        <v>54</v>
      </c>
      <c r="F3478" t="s">
        <v>87</v>
      </c>
      <c r="G3478">
        <v>5.7</v>
      </c>
      <c r="H3478">
        <v>0.52</v>
      </c>
      <c r="I3478">
        <v>2.59</v>
      </c>
      <c r="J3478">
        <v>6.7081</v>
      </c>
      <c r="K3478" t="str">
        <f>IFERROR(INDEX(Rosters!$C$2:$C$155,MATCH($B3478,Rosters!$B$2:$B$155,0)),"NA")</f>
        <v>NA</v>
      </c>
      <c r="L3478" t="str">
        <f t="shared" si="162"/>
        <v>NA5WR</v>
      </c>
      <c r="M3478">
        <f>COUNTIF(L$1:L3478,L3478)</f>
        <v>37</v>
      </c>
      <c r="N3478" t="str">
        <f t="shared" si="163"/>
        <v>NA5WR-37</v>
      </c>
      <c r="O3478">
        <f>COUNTIFS(F$1:F3478,F3478,A$1:A3478,A3478)</f>
        <v>86</v>
      </c>
      <c r="P3478" t="str">
        <f t="shared" si="164"/>
        <v>Jarius Wright5</v>
      </c>
    </row>
    <row r="3479" spans="1:16" x14ac:dyDescent="0.25">
      <c r="A3479">
        <v>11</v>
      </c>
      <c r="B3479" t="s">
        <v>308</v>
      </c>
      <c r="C3479">
        <f>-0.58-6.8</f>
        <v>-7.38</v>
      </c>
      <c r="D3479">
        <v>3.11</v>
      </c>
      <c r="E3479" t="s">
        <v>37</v>
      </c>
      <c r="F3479" t="s">
        <v>114</v>
      </c>
      <c r="G3479">
        <v>6.8</v>
      </c>
      <c r="H3479">
        <v>-0.57999999999999996</v>
      </c>
      <c r="I3479">
        <v>3.69</v>
      </c>
      <c r="J3479">
        <v>13.616099999999999</v>
      </c>
      <c r="K3479" t="str">
        <f>IFERROR(INDEX(Rosters!$C$2:$C$155,MATCH($B3479,Rosters!$B$2:$B$155,0)),"NA")</f>
        <v>NA</v>
      </c>
      <c r="L3479" t="str">
        <f t="shared" si="162"/>
        <v>NA11TE</v>
      </c>
      <c r="M3479">
        <f>COUNTIF(L$1:L3479,L3479)</f>
        <v>11</v>
      </c>
      <c r="N3479" t="str">
        <f t="shared" si="163"/>
        <v>NA11TE-11</v>
      </c>
      <c r="O3479">
        <f>COUNTIFS(F$1:F3479,F3479,A$1:A3479,A3479)</f>
        <v>23</v>
      </c>
      <c r="P3479" t="str">
        <f t="shared" si="164"/>
        <v>Jeff Heuerman11</v>
      </c>
    </row>
    <row r="3480" spans="1:16" x14ac:dyDescent="0.25">
      <c r="A3480">
        <v>6</v>
      </c>
      <c r="B3480" t="s">
        <v>1457</v>
      </c>
      <c r="C3480" t="s">
        <v>8136</v>
      </c>
      <c r="D3480">
        <v>3.11</v>
      </c>
      <c r="E3480" t="s">
        <v>41</v>
      </c>
      <c r="F3480" t="s">
        <v>87</v>
      </c>
      <c r="G3480">
        <v>6.16</v>
      </c>
      <c r="H3480">
        <v>0.06</v>
      </c>
      <c r="I3480">
        <v>3.05</v>
      </c>
      <c r="J3480">
        <v>9.3025000000000002</v>
      </c>
      <c r="K3480" t="str">
        <f>IFERROR(INDEX(Rosters!$C$2:$C$155,MATCH($B3480,Rosters!$B$2:$B$155,0)),"NA")</f>
        <v>NA</v>
      </c>
      <c r="L3480" t="str">
        <f t="shared" si="162"/>
        <v>NA6WR</v>
      </c>
      <c r="M3480">
        <f>COUNTIF(L$1:L3480,L3480)</f>
        <v>37</v>
      </c>
      <c r="N3480" t="str">
        <f t="shared" si="163"/>
        <v>NA6WR-37</v>
      </c>
      <c r="O3480">
        <f>COUNTIFS(F$1:F3480,F3480,A$1:A3480,A3480)</f>
        <v>85</v>
      </c>
      <c r="P3480" t="str">
        <f t="shared" si="164"/>
        <v>Trent Taylor6</v>
      </c>
    </row>
    <row r="3481" spans="1:16" x14ac:dyDescent="0.25">
      <c r="A3481">
        <v>3</v>
      </c>
      <c r="B3481" t="s">
        <v>875</v>
      </c>
      <c r="C3481">
        <f>-0.3-6.5</f>
        <v>-6.8</v>
      </c>
      <c r="D3481">
        <v>3.1</v>
      </c>
      <c r="E3481" t="s">
        <v>54</v>
      </c>
      <c r="F3481" t="s">
        <v>87</v>
      </c>
      <c r="G3481">
        <v>6.5</v>
      </c>
      <c r="H3481">
        <v>-0.3</v>
      </c>
      <c r="I3481">
        <v>3.4</v>
      </c>
      <c r="J3481">
        <v>11.56</v>
      </c>
      <c r="K3481" t="str">
        <f>IFERROR(INDEX(Rosters!$C$2:$C$155,MATCH($B3481,Rosters!$B$2:$B$155,0)),"NA")</f>
        <v>NA</v>
      </c>
      <c r="L3481" t="str">
        <f t="shared" si="162"/>
        <v>NA3WR</v>
      </c>
      <c r="M3481">
        <f>COUNTIF(L$1:L3481,L3481)</f>
        <v>36</v>
      </c>
      <c r="N3481" t="str">
        <f t="shared" si="163"/>
        <v>NA3WR-36</v>
      </c>
      <c r="O3481">
        <f>COUNTIFS(F$1:F3481,F3481,A$1:A3481,A3481)</f>
        <v>83</v>
      </c>
      <c r="P3481" t="str">
        <f t="shared" si="164"/>
        <v>Bruce Ellington3</v>
      </c>
    </row>
    <row r="3482" spans="1:16" x14ac:dyDescent="0.25">
      <c r="A3482">
        <v>17</v>
      </c>
      <c r="B3482" t="s">
        <v>1432</v>
      </c>
      <c r="C3482" t="s">
        <v>8137</v>
      </c>
      <c r="D3482">
        <v>3.1</v>
      </c>
      <c r="E3482" t="s">
        <v>28</v>
      </c>
      <c r="F3482" t="s">
        <v>47</v>
      </c>
      <c r="G3482">
        <v>5.31</v>
      </c>
      <c r="H3482">
        <v>0.89</v>
      </c>
      <c r="I3482">
        <v>2.21</v>
      </c>
      <c r="J3482">
        <v>4.8841000000000001</v>
      </c>
      <c r="K3482" t="str">
        <f>IFERROR(INDEX(Rosters!$C$2:$C$155,MATCH($B3482,Rosters!$B$2:$B$155,0)),"NA")</f>
        <v>NA</v>
      </c>
      <c r="L3482" t="str">
        <f t="shared" si="162"/>
        <v>NA17RB</v>
      </c>
      <c r="M3482">
        <f>COUNTIF(L$1:L3482,L3482)</f>
        <v>25</v>
      </c>
      <c r="N3482" t="str">
        <f t="shared" si="163"/>
        <v>NA17RB-25</v>
      </c>
      <c r="O3482">
        <f>COUNTIFS(F$1:F3482,F3482,A$1:A3482,A3482)</f>
        <v>71</v>
      </c>
      <c r="P3482" t="str">
        <f t="shared" si="164"/>
        <v>Chase Edmonds17</v>
      </c>
    </row>
    <row r="3483" spans="1:16" x14ac:dyDescent="0.25">
      <c r="A3483">
        <v>11</v>
      </c>
      <c r="B3483" t="s">
        <v>233</v>
      </c>
      <c r="C3483" t="s">
        <v>8138</v>
      </c>
      <c r="D3483">
        <v>3.1</v>
      </c>
      <c r="E3483" t="s">
        <v>34</v>
      </c>
      <c r="F3483" t="s">
        <v>87</v>
      </c>
      <c r="G3483">
        <v>5.76</v>
      </c>
      <c r="H3483">
        <v>0.44</v>
      </c>
      <c r="I3483">
        <v>2.66</v>
      </c>
      <c r="J3483">
        <v>7.0755999999999997</v>
      </c>
      <c r="K3483" t="str">
        <f>IFERROR(INDEX(Rosters!$C$2:$C$155,MATCH($B3483,Rosters!$B$2:$B$155,0)),"NA")</f>
        <v>NA</v>
      </c>
      <c r="L3483" t="str">
        <f t="shared" si="162"/>
        <v>NA11WR</v>
      </c>
      <c r="M3483">
        <f>COUNTIF(L$1:L3483,L3483)</f>
        <v>31</v>
      </c>
      <c r="N3483" t="str">
        <f t="shared" si="163"/>
        <v>NA11WR-31</v>
      </c>
      <c r="O3483">
        <f>COUNTIFS(F$1:F3483,F3483,A$1:A3483,A3483)</f>
        <v>77</v>
      </c>
      <c r="P3483" t="str">
        <f t="shared" si="164"/>
        <v>Curtis Samuel11</v>
      </c>
    </row>
    <row r="3484" spans="1:16" x14ac:dyDescent="0.25">
      <c r="A3484">
        <v>7</v>
      </c>
      <c r="B3484" t="s">
        <v>4206</v>
      </c>
      <c r="C3484" t="s">
        <v>8139</v>
      </c>
      <c r="D3484">
        <v>3.1</v>
      </c>
      <c r="E3484" t="s">
        <v>54</v>
      </c>
      <c r="F3484" t="s">
        <v>47</v>
      </c>
      <c r="G3484">
        <v>5.62</v>
      </c>
      <c r="H3484">
        <v>0.57999999999999996</v>
      </c>
      <c r="I3484">
        <v>2.52</v>
      </c>
      <c r="J3484">
        <v>6.3503999999999996</v>
      </c>
      <c r="K3484" t="str">
        <f>IFERROR(INDEX(Rosters!$C$2:$C$155,MATCH($B3484,Rosters!$B$2:$B$155,0)),"NA")</f>
        <v>NA</v>
      </c>
      <c r="L3484" t="str">
        <f t="shared" si="162"/>
        <v>NA7RB</v>
      </c>
      <c r="M3484">
        <f>COUNTIF(L$1:L3484,L3484)</f>
        <v>17</v>
      </c>
      <c r="N3484" t="str">
        <f t="shared" si="163"/>
        <v>NA7RB-17</v>
      </c>
      <c r="O3484">
        <f>COUNTIFS(F$1:F3484,F3484,A$1:A3484,A3484)</f>
        <v>58</v>
      </c>
      <c r="P3484" t="str">
        <f t="shared" si="164"/>
        <v>Ito Smith7</v>
      </c>
    </row>
    <row r="3485" spans="1:16" x14ac:dyDescent="0.25">
      <c r="A3485">
        <v>13</v>
      </c>
      <c r="B3485" t="s">
        <v>1439</v>
      </c>
      <c r="C3485" t="s">
        <v>8140</v>
      </c>
      <c r="D3485">
        <v>3.1</v>
      </c>
      <c r="E3485" t="s">
        <v>37</v>
      </c>
      <c r="F3485" t="s">
        <v>87</v>
      </c>
      <c r="G3485">
        <v>5.66</v>
      </c>
      <c r="H3485">
        <v>0.54</v>
      </c>
      <c r="I3485">
        <v>2.56</v>
      </c>
      <c r="J3485">
        <v>6.5536000000000003</v>
      </c>
      <c r="K3485" t="str">
        <f>IFERROR(INDEX(Rosters!$C$2:$C$155,MATCH($B3485,Rosters!$B$2:$B$155,0)),"NA")</f>
        <v>NA</v>
      </c>
      <c r="L3485" t="str">
        <f t="shared" si="162"/>
        <v>NA13WR</v>
      </c>
      <c r="M3485">
        <f>COUNTIF(L$1:L3485,L3485)</f>
        <v>47</v>
      </c>
      <c r="N3485" t="str">
        <f t="shared" si="163"/>
        <v>NA13WR-47</v>
      </c>
      <c r="O3485">
        <f>COUNTIFS(F$1:F3485,F3485,A$1:A3485,A3485)</f>
        <v>100</v>
      </c>
      <c r="P3485" t="str">
        <f t="shared" si="164"/>
        <v>James Washington13</v>
      </c>
    </row>
    <row r="3486" spans="1:16" x14ac:dyDescent="0.25">
      <c r="A3486">
        <v>8</v>
      </c>
      <c r="B3486" t="s">
        <v>282</v>
      </c>
      <c r="C3486" t="s">
        <v>8141</v>
      </c>
      <c r="D3486">
        <v>3.1</v>
      </c>
      <c r="E3486" t="s">
        <v>41</v>
      </c>
      <c r="F3486" t="s">
        <v>47</v>
      </c>
      <c r="G3486">
        <v>5.58</v>
      </c>
      <c r="H3486">
        <v>0.62</v>
      </c>
      <c r="I3486">
        <v>2.48</v>
      </c>
      <c r="J3486">
        <v>6.1504000000000003</v>
      </c>
      <c r="K3486" t="str">
        <f>IFERROR(INDEX(Rosters!$C$2:$C$155,MATCH($B3486,Rosters!$B$2:$B$155,0)),"NA")</f>
        <v>NA</v>
      </c>
      <c r="L3486" t="str">
        <f t="shared" si="162"/>
        <v>NA8RB</v>
      </c>
      <c r="M3486">
        <f>COUNTIF(L$1:L3486,L3486)</f>
        <v>22</v>
      </c>
      <c r="N3486" t="str">
        <f t="shared" si="163"/>
        <v>NA8RB-22</v>
      </c>
      <c r="O3486">
        <f>COUNTIFS(F$1:F3486,F3486,A$1:A3486,A3486)</f>
        <v>62</v>
      </c>
      <c r="P3486" t="str">
        <f t="shared" si="164"/>
        <v>Malcolm Brown8</v>
      </c>
    </row>
    <row r="3487" spans="1:16" x14ac:dyDescent="0.25">
      <c r="A3487">
        <v>4</v>
      </c>
      <c r="B3487" t="s">
        <v>190</v>
      </c>
      <c r="C3487" t="s">
        <v>4599</v>
      </c>
      <c r="D3487">
        <v>3.1</v>
      </c>
      <c r="E3487" t="s">
        <v>34</v>
      </c>
      <c r="F3487" t="s">
        <v>87</v>
      </c>
      <c r="G3487">
        <v>5.7</v>
      </c>
      <c r="H3487">
        <v>0.5</v>
      </c>
      <c r="I3487">
        <v>2.6</v>
      </c>
      <c r="J3487">
        <v>6.76</v>
      </c>
      <c r="K3487" t="str">
        <f>IFERROR(INDEX(Rosters!$C$2:$C$155,MATCH($B3487,Rosters!$B$2:$B$155,0)),"NA")</f>
        <v>NA</v>
      </c>
      <c r="L3487" t="str">
        <f t="shared" si="162"/>
        <v>NA4WR</v>
      </c>
      <c r="M3487">
        <f>COUNTIF(L$1:L3487,L3487)</f>
        <v>34</v>
      </c>
      <c r="N3487" t="str">
        <f t="shared" si="163"/>
        <v>NA4WR-34</v>
      </c>
      <c r="O3487">
        <f>COUNTIFS(F$1:F3487,F3487,A$1:A3487,A3487)</f>
        <v>82</v>
      </c>
      <c r="P3487" t="str">
        <f t="shared" si="164"/>
        <v>Tavon Austin4</v>
      </c>
    </row>
    <row r="3488" spans="1:16" x14ac:dyDescent="0.25">
      <c r="A3488">
        <v>2</v>
      </c>
      <c r="B3488" t="s">
        <v>4217</v>
      </c>
      <c r="C3488" t="s">
        <v>4218</v>
      </c>
      <c r="D3488">
        <v>3.1</v>
      </c>
      <c r="E3488" t="s">
        <v>52</v>
      </c>
      <c r="F3488" t="s">
        <v>87</v>
      </c>
      <c r="G3488">
        <v>6.17</v>
      </c>
      <c r="H3488">
        <v>0.03</v>
      </c>
      <c r="I3488">
        <v>3.07</v>
      </c>
      <c r="J3488">
        <v>9.4248999999999992</v>
      </c>
      <c r="K3488" t="str">
        <f>IFERROR(INDEX(Rosters!$C$2:$C$155,MATCH($B3488,Rosters!$B$2:$B$155,0)),"NA")</f>
        <v>NA</v>
      </c>
      <c r="L3488" t="str">
        <f t="shared" si="162"/>
        <v>NA2WR</v>
      </c>
      <c r="M3488">
        <f>COUNTIF(L$1:L3488,L3488)</f>
        <v>33</v>
      </c>
      <c r="N3488" t="str">
        <f t="shared" si="163"/>
        <v>NA2WR-33</v>
      </c>
      <c r="O3488">
        <f>COUNTIFS(F$1:F3488,F3488,A$1:A3488,A3488)</f>
        <v>80</v>
      </c>
      <c r="P3488" t="str">
        <f t="shared" si="164"/>
        <v>Tre'Quan Smith2</v>
      </c>
    </row>
    <row r="3489" spans="1:16" x14ac:dyDescent="0.25">
      <c r="A3489">
        <v>4</v>
      </c>
      <c r="B3489" t="s">
        <v>2667</v>
      </c>
      <c r="C3489" t="s">
        <v>4600</v>
      </c>
      <c r="D3489">
        <v>3.09</v>
      </c>
      <c r="E3489" t="s">
        <v>30</v>
      </c>
      <c r="F3489" t="s">
        <v>114</v>
      </c>
      <c r="G3489">
        <v>5.82</v>
      </c>
      <c r="H3489">
        <v>0.36</v>
      </c>
      <c r="I3489">
        <v>2.73</v>
      </c>
      <c r="J3489">
        <v>7.4528999999999996</v>
      </c>
      <c r="K3489" t="str">
        <f>IFERROR(INDEX(Rosters!$C$2:$C$155,MATCH($B3489,Rosters!$B$2:$B$155,0)),"NA")</f>
        <v>NA</v>
      </c>
      <c r="L3489" t="str">
        <f t="shared" si="162"/>
        <v>NA4TE</v>
      </c>
      <c r="M3489">
        <f>COUNTIF(L$1:L3489,L3489)</f>
        <v>13</v>
      </c>
      <c r="N3489" t="str">
        <f t="shared" si="163"/>
        <v>NA4TE-13</v>
      </c>
      <c r="O3489">
        <f>COUNTIFS(F$1:F3489,F3489,A$1:A3489,A3489)</f>
        <v>24</v>
      </c>
      <c r="P3489" t="str">
        <f t="shared" si="164"/>
        <v>Antonio Gates4</v>
      </c>
    </row>
    <row r="3490" spans="1:16" x14ac:dyDescent="0.25">
      <c r="A3490">
        <v>3</v>
      </c>
      <c r="B3490" t="s">
        <v>1422</v>
      </c>
      <c r="C3490">
        <f>-0.32-6.5</f>
        <v>-6.82</v>
      </c>
      <c r="D3490">
        <v>3.09</v>
      </c>
      <c r="E3490" t="s">
        <v>14</v>
      </c>
      <c r="F3490" t="s">
        <v>87</v>
      </c>
      <c r="G3490">
        <v>6.5</v>
      </c>
      <c r="H3490">
        <v>-0.32</v>
      </c>
      <c r="I3490">
        <v>3.41</v>
      </c>
      <c r="J3490">
        <v>11.6281</v>
      </c>
      <c r="K3490" t="str">
        <f>IFERROR(INDEX(Rosters!$C$2:$C$155,MATCH($B3490,Rosters!$B$2:$B$155,0)),"NA")</f>
        <v>comp</v>
      </c>
      <c r="L3490" t="str">
        <f t="shared" si="162"/>
        <v>comp3WR</v>
      </c>
      <c r="M3490">
        <f>COUNTIF(L$1:L3490,L3490)</f>
        <v>7</v>
      </c>
      <c r="N3490" t="str">
        <f t="shared" si="163"/>
        <v>comp3WR-7</v>
      </c>
      <c r="O3490">
        <f>COUNTIFS(F$1:F3490,F3490,A$1:A3490,A3490)</f>
        <v>84</v>
      </c>
      <c r="P3490" t="str">
        <f t="shared" si="164"/>
        <v>Calvin Ridley3</v>
      </c>
    </row>
    <row r="3491" spans="1:16" x14ac:dyDescent="0.25">
      <c r="A3491">
        <v>15</v>
      </c>
      <c r="B3491" t="s">
        <v>233</v>
      </c>
      <c r="C3491" t="s">
        <v>8142</v>
      </c>
      <c r="D3491">
        <v>3.09</v>
      </c>
      <c r="E3491" t="s">
        <v>14</v>
      </c>
      <c r="F3491" t="s">
        <v>87</v>
      </c>
      <c r="G3491">
        <v>5.64</v>
      </c>
      <c r="H3491">
        <v>0.54</v>
      </c>
      <c r="I3491">
        <v>2.5499999999999998</v>
      </c>
      <c r="J3491">
        <v>6.5025000000000004</v>
      </c>
      <c r="K3491" t="str">
        <f>IFERROR(INDEX(Rosters!$C$2:$C$155,MATCH($B3491,Rosters!$B$2:$B$155,0)),"NA")</f>
        <v>NA</v>
      </c>
      <c r="L3491" t="str">
        <f t="shared" si="162"/>
        <v>NA15WR</v>
      </c>
      <c r="M3491">
        <f>COUNTIF(L$1:L3491,L3491)</f>
        <v>45</v>
      </c>
      <c r="N3491" t="str">
        <f t="shared" si="163"/>
        <v>NA15WR-45</v>
      </c>
      <c r="O3491">
        <f>COUNTIFS(F$1:F3491,F3491,A$1:A3491,A3491)</f>
        <v>98</v>
      </c>
      <c r="P3491" t="str">
        <f t="shared" si="164"/>
        <v>Curtis Samuel15</v>
      </c>
    </row>
    <row r="3492" spans="1:16" x14ac:dyDescent="0.25">
      <c r="A3492">
        <v>17</v>
      </c>
      <c r="B3492" t="s">
        <v>4224</v>
      </c>
      <c r="C3492" t="s">
        <v>8143</v>
      </c>
      <c r="D3492">
        <v>3.09</v>
      </c>
      <c r="E3492" t="s">
        <v>52</v>
      </c>
      <c r="F3492" t="s">
        <v>114</v>
      </c>
      <c r="G3492">
        <v>5.72</v>
      </c>
      <c r="H3492">
        <v>0.46</v>
      </c>
      <c r="I3492">
        <v>2.63</v>
      </c>
      <c r="J3492">
        <v>6.9169</v>
      </c>
      <c r="K3492" t="str">
        <f>IFERROR(INDEX(Rosters!$C$2:$C$155,MATCH($B3492,Rosters!$B$2:$B$155,0)),"NA")</f>
        <v>NA</v>
      </c>
      <c r="L3492" t="str">
        <f t="shared" si="162"/>
        <v>NA17TE</v>
      </c>
      <c r="M3492">
        <f>COUNTIF(L$1:L3492,L3492)</f>
        <v>16</v>
      </c>
      <c r="N3492" t="str">
        <f t="shared" si="163"/>
        <v>NA17TE-16</v>
      </c>
      <c r="O3492">
        <f>COUNTIFS(F$1:F3492,F3492,A$1:A3492,A3492)</f>
        <v>30</v>
      </c>
      <c r="P3492" t="str">
        <f t="shared" si="164"/>
        <v>Mark Andrews17</v>
      </c>
    </row>
    <row r="3493" spans="1:16" x14ac:dyDescent="0.25">
      <c r="A3493">
        <v>1</v>
      </c>
      <c r="B3493" t="s">
        <v>325</v>
      </c>
      <c r="C3493" t="s">
        <v>1470</v>
      </c>
      <c r="D3493">
        <v>3.09</v>
      </c>
      <c r="E3493" t="s">
        <v>66</v>
      </c>
      <c r="F3493" t="s">
        <v>114</v>
      </c>
      <c r="G3493">
        <v>6.11</v>
      </c>
      <c r="H3493">
        <v>7.0000000000000007E-2</v>
      </c>
      <c r="I3493">
        <v>3.02</v>
      </c>
      <c r="J3493">
        <v>9.1204000000000001</v>
      </c>
      <c r="K3493" t="str">
        <f>IFERROR(INDEX(Rosters!$C$2:$C$155,MATCH($B3493,Rosters!$B$2:$B$155,0)),"NA")</f>
        <v>NA</v>
      </c>
      <c r="L3493" t="str">
        <f t="shared" si="162"/>
        <v>NA1TE</v>
      </c>
      <c r="M3493">
        <f>COUNTIF(L$1:L3493,L3493)</f>
        <v>13</v>
      </c>
      <c r="N3493" t="str">
        <f t="shared" si="163"/>
        <v>NA1TE-13</v>
      </c>
      <c r="O3493">
        <f>COUNTIFS(F$1:F3493,F3493,A$1:A3493,A3493)</f>
        <v>26</v>
      </c>
      <c r="P3493" t="str">
        <f t="shared" si="164"/>
        <v>Tyler Kroft1</v>
      </c>
    </row>
    <row r="3494" spans="1:16" x14ac:dyDescent="0.25">
      <c r="A3494">
        <v>8</v>
      </c>
      <c r="B3494" t="s">
        <v>2599</v>
      </c>
      <c r="C3494" t="s">
        <v>8144</v>
      </c>
      <c r="D3494">
        <v>3.08</v>
      </c>
      <c r="E3494" t="s">
        <v>66</v>
      </c>
      <c r="F3494" t="s">
        <v>87</v>
      </c>
      <c r="G3494">
        <v>6.05</v>
      </c>
      <c r="H3494">
        <v>0.11</v>
      </c>
      <c r="I3494">
        <v>2.97</v>
      </c>
      <c r="J3494">
        <v>8.8209</v>
      </c>
      <c r="K3494" t="str">
        <f>IFERROR(INDEX(Rosters!$C$2:$C$155,MATCH($B3494,Rosters!$B$2:$B$155,0)),"NA")</f>
        <v>NA</v>
      </c>
      <c r="L3494" t="str">
        <f t="shared" si="162"/>
        <v>NA8WR</v>
      </c>
      <c r="M3494">
        <f>COUNTIF(L$1:L3494,L3494)</f>
        <v>37</v>
      </c>
      <c r="N3494" t="str">
        <f t="shared" si="163"/>
        <v>NA8WR-37</v>
      </c>
      <c r="O3494">
        <f>COUNTIFS(F$1:F3494,F3494,A$1:A3494,A3494)</f>
        <v>85</v>
      </c>
      <c r="P3494" t="str">
        <f t="shared" si="164"/>
        <v>Brandon LaFell8</v>
      </c>
    </row>
    <row r="3495" spans="1:16" x14ac:dyDescent="0.25">
      <c r="A3495">
        <v>5</v>
      </c>
      <c r="B3495" t="s">
        <v>167</v>
      </c>
      <c r="C3495" t="s">
        <v>8145</v>
      </c>
      <c r="D3495">
        <v>3.08</v>
      </c>
      <c r="E3495" t="s">
        <v>56</v>
      </c>
      <c r="F3495" t="s">
        <v>87</v>
      </c>
      <c r="G3495">
        <v>6.04</v>
      </c>
      <c r="H3495">
        <v>0.12</v>
      </c>
      <c r="I3495">
        <v>2.96</v>
      </c>
      <c r="J3495">
        <v>8.7615999999999996</v>
      </c>
      <c r="K3495" t="str">
        <f>IFERROR(INDEX(Rosters!$C$2:$C$155,MATCH($B3495,Rosters!$B$2:$B$155,0)),"NA")</f>
        <v>NA</v>
      </c>
      <c r="L3495" t="str">
        <f t="shared" si="162"/>
        <v>NA5WR</v>
      </c>
      <c r="M3495">
        <f>COUNTIF(L$1:L3495,L3495)</f>
        <v>38</v>
      </c>
      <c r="N3495" t="str">
        <f t="shared" si="163"/>
        <v>NA5WR-38</v>
      </c>
      <c r="O3495">
        <f>COUNTIFS(F$1:F3495,F3495,A$1:A3495,A3495)</f>
        <v>87</v>
      </c>
      <c r="P3495" t="str">
        <f t="shared" si="164"/>
        <v>Brandon Marshall5</v>
      </c>
    </row>
    <row r="3496" spans="1:16" x14ac:dyDescent="0.25">
      <c r="A3496">
        <v>1</v>
      </c>
      <c r="B3496" t="s">
        <v>1425</v>
      </c>
      <c r="C3496">
        <f>-0.29-6.45</f>
        <v>-6.74</v>
      </c>
      <c r="D3496">
        <v>3.08</v>
      </c>
      <c r="E3496" t="s">
        <v>28</v>
      </c>
      <c r="F3496" t="s">
        <v>87</v>
      </c>
      <c r="G3496">
        <v>6.45</v>
      </c>
      <c r="H3496">
        <v>-0.28999999999999998</v>
      </c>
      <c r="I3496">
        <v>3.37</v>
      </c>
      <c r="J3496">
        <v>11.3569</v>
      </c>
      <c r="K3496" t="str">
        <f>IFERROR(INDEX(Rosters!$C$2:$C$155,MATCH($B3496,Rosters!$B$2:$B$155,0)),"NA")</f>
        <v>NA</v>
      </c>
      <c r="L3496" t="str">
        <f t="shared" si="162"/>
        <v>NA1WR</v>
      </c>
      <c r="M3496">
        <f>COUNTIF(L$1:L3496,L3496)</f>
        <v>33</v>
      </c>
      <c r="N3496" t="str">
        <f t="shared" si="163"/>
        <v>NA1WR-33</v>
      </c>
      <c r="O3496">
        <f>COUNTIFS(F$1:F3496,F3496,A$1:A3496,A3496)</f>
        <v>82</v>
      </c>
      <c r="P3496" t="str">
        <f t="shared" si="164"/>
        <v>Courtland Sutton1</v>
      </c>
    </row>
    <row r="3497" spans="1:16" x14ac:dyDescent="0.25">
      <c r="A3497">
        <v>15</v>
      </c>
      <c r="B3497" t="s">
        <v>1036</v>
      </c>
      <c r="C3497" t="s">
        <v>8146</v>
      </c>
      <c r="D3497">
        <v>3.08</v>
      </c>
      <c r="E3497" t="s">
        <v>66</v>
      </c>
      <c r="F3497" t="s">
        <v>87</v>
      </c>
      <c r="G3497">
        <v>5.46</v>
      </c>
      <c r="H3497">
        <v>0.7</v>
      </c>
      <c r="I3497">
        <v>2.38</v>
      </c>
      <c r="J3497">
        <v>5.6643999999999997</v>
      </c>
      <c r="K3497" t="str">
        <f>IFERROR(INDEX(Rosters!$C$2:$C$155,MATCH($B3497,Rosters!$B$2:$B$155,0)),"NA")</f>
        <v>NA</v>
      </c>
      <c r="L3497" t="str">
        <f t="shared" si="162"/>
        <v>NA15WR</v>
      </c>
      <c r="M3497">
        <f>COUNTIF(L$1:L3497,L3497)</f>
        <v>46</v>
      </c>
      <c r="N3497" t="str">
        <f t="shared" si="163"/>
        <v>NA15WR-46</v>
      </c>
      <c r="O3497">
        <f>COUNTIFS(F$1:F3497,F3497,A$1:A3497,A3497)</f>
        <v>99</v>
      </c>
      <c r="P3497" t="str">
        <f t="shared" si="164"/>
        <v>Deonte Thompson15</v>
      </c>
    </row>
    <row r="3498" spans="1:16" x14ac:dyDescent="0.25">
      <c r="A3498">
        <v>13</v>
      </c>
      <c r="B3498" t="s">
        <v>358</v>
      </c>
      <c r="C3498" t="s">
        <v>3773</v>
      </c>
      <c r="D3498">
        <v>3.08</v>
      </c>
      <c r="E3498" t="s">
        <v>66</v>
      </c>
      <c r="F3498" t="s">
        <v>114</v>
      </c>
      <c r="G3498">
        <v>5.92</v>
      </c>
      <c r="H3498">
        <v>0.24</v>
      </c>
      <c r="I3498">
        <v>2.84</v>
      </c>
      <c r="J3498">
        <v>8.0655999999999999</v>
      </c>
      <c r="K3498" t="str">
        <f>IFERROR(INDEX(Rosters!$C$2:$C$155,MATCH($B3498,Rosters!$B$2:$B$155,0)),"NA")</f>
        <v>NA</v>
      </c>
      <c r="L3498" t="str">
        <f t="shared" si="162"/>
        <v>NA13TE</v>
      </c>
      <c r="M3498">
        <f>COUNTIF(L$1:L3498,L3498)</f>
        <v>15</v>
      </c>
      <c r="N3498" t="str">
        <f t="shared" si="163"/>
        <v>NA13TE-15</v>
      </c>
      <c r="O3498">
        <f>COUNTIFS(F$1:F3498,F3498,A$1:A3498,A3498)</f>
        <v>29</v>
      </c>
      <c r="P3498" t="str">
        <f t="shared" si="164"/>
        <v>James O'Shaughnessy13</v>
      </c>
    </row>
    <row r="3499" spans="1:16" x14ac:dyDescent="0.25">
      <c r="A3499">
        <v>3</v>
      </c>
      <c r="B3499" t="s">
        <v>338</v>
      </c>
      <c r="C3499" t="s">
        <v>3773</v>
      </c>
      <c r="D3499">
        <v>3.08</v>
      </c>
      <c r="E3499" t="s">
        <v>22</v>
      </c>
      <c r="F3499" t="s">
        <v>87</v>
      </c>
      <c r="G3499">
        <v>5.92</v>
      </c>
      <c r="H3499">
        <v>0.24</v>
      </c>
      <c r="I3499">
        <v>2.84</v>
      </c>
      <c r="J3499">
        <v>8.0655999999999999</v>
      </c>
      <c r="K3499" t="str">
        <f>IFERROR(INDEX(Rosters!$C$2:$C$155,MATCH($B3499,Rosters!$B$2:$B$155,0)),"NA")</f>
        <v>NA</v>
      </c>
      <c r="L3499" t="str">
        <f t="shared" si="162"/>
        <v>NA3WR</v>
      </c>
      <c r="M3499">
        <f>COUNTIF(L$1:L3499,L3499)</f>
        <v>37</v>
      </c>
      <c r="N3499" t="str">
        <f t="shared" si="163"/>
        <v>NA3WR-37</v>
      </c>
      <c r="O3499">
        <f>COUNTIFS(F$1:F3499,F3499,A$1:A3499,A3499)</f>
        <v>85</v>
      </c>
      <c r="P3499" t="str">
        <f t="shared" si="164"/>
        <v>Jaron Brown3</v>
      </c>
    </row>
    <row r="3500" spans="1:16" x14ac:dyDescent="0.25">
      <c r="A3500">
        <v>7</v>
      </c>
      <c r="B3500" t="s">
        <v>230</v>
      </c>
      <c r="C3500" t="s">
        <v>8147</v>
      </c>
      <c r="D3500">
        <v>3.08</v>
      </c>
      <c r="E3500" t="s">
        <v>22</v>
      </c>
      <c r="F3500" t="s">
        <v>87</v>
      </c>
      <c r="G3500">
        <v>5.6</v>
      </c>
      <c r="H3500">
        <v>0.56000000000000005</v>
      </c>
      <c r="I3500">
        <v>2.52</v>
      </c>
      <c r="J3500">
        <v>6.3503999999999996</v>
      </c>
      <c r="K3500" t="str">
        <f>IFERROR(INDEX(Rosters!$C$2:$C$155,MATCH($B3500,Rosters!$B$2:$B$155,0)),"NA")</f>
        <v>NA</v>
      </c>
      <c r="L3500" t="str">
        <f t="shared" si="162"/>
        <v>NA7WR</v>
      </c>
      <c r="M3500">
        <f>COUNTIF(L$1:L3500,L3500)</f>
        <v>35</v>
      </c>
      <c r="N3500" t="str">
        <f t="shared" si="163"/>
        <v>NA7WR-35</v>
      </c>
      <c r="O3500">
        <f>COUNTIFS(F$1:F3500,F3500,A$1:A3500,A3500)</f>
        <v>79</v>
      </c>
      <c r="P3500" t="str">
        <f t="shared" si="164"/>
        <v>Josh Doctson7</v>
      </c>
    </row>
    <row r="3501" spans="1:16" x14ac:dyDescent="0.25">
      <c r="A3501">
        <v>11</v>
      </c>
      <c r="B3501" t="s">
        <v>292</v>
      </c>
      <c r="C3501" t="s">
        <v>8148</v>
      </c>
      <c r="D3501">
        <v>3.08</v>
      </c>
      <c r="E3501" t="s">
        <v>74</v>
      </c>
      <c r="F3501" t="s">
        <v>114</v>
      </c>
      <c r="G3501">
        <v>5.77</v>
      </c>
      <c r="H3501">
        <v>0.39</v>
      </c>
      <c r="I3501">
        <v>2.69</v>
      </c>
      <c r="J3501">
        <v>7.2361000000000004</v>
      </c>
      <c r="K3501" t="str">
        <f>IFERROR(INDEX(Rosters!$C$2:$C$155,MATCH($B3501,Rosters!$B$2:$B$155,0)),"NA")</f>
        <v>NA</v>
      </c>
      <c r="L3501" t="str">
        <f t="shared" si="162"/>
        <v>NA11TE</v>
      </c>
      <c r="M3501">
        <f>COUNTIF(L$1:L3501,L3501)</f>
        <v>12</v>
      </c>
      <c r="N3501" t="str">
        <f t="shared" si="163"/>
        <v>NA11TE-12</v>
      </c>
      <c r="O3501">
        <f>COUNTIFS(F$1:F3501,F3501,A$1:A3501,A3501)</f>
        <v>24</v>
      </c>
      <c r="P3501" t="str">
        <f t="shared" si="164"/>
        <v>Luke Willson11</v>
      </c>
    </row>
    <row r="3502" spans="1:16" x14ac:dyDescent="0.25">
      <c r="A3502">
        <v>15</v>
      </c>
      <c r="B3502" t="s">
        <v>273</v>
      </c>
      <c r="C3502" t="s">
        <v>8149</v>
      </c>
      <c r="D3502">
        <v>3.07</v>
      </c>
      <c r="E3502" t="s">
        <v>25</v>
      </c>
      <c r="F3502" t="s">
        <v>87</v>
      </c>
      <c r="G3502">
        <v>5.78</v>
      </c>
      <c r="H3502">
        <v>0.36</v>
      </c>
      <c r="I3502">
        <v>2.71</v>
      </c>
      <c r="J3502">
        <v>7.3441000000000001</v>
      </c>
      <c r="K3502" t="str">
        <f>IFERROR(INDEX(Rosters!$C$2:$C$155,MATCH($B3502,Rosters!$B$2:$B$155,0)),"NA")</f>
        <v>NA</v>
      </c>
      <c r="L3502" t="str">
        <f t="shared" si="162"/>
        <v>NA15WR</v>
      </c>
      <c r="M3502">
        <f>COUNTIF(L$1:L3502,L3502)</f>
        <v>47</v>
      </c>
      <c r="N3502" t="str">
        <f t="shared" si="163"/>
        <v>NA15WR-47</v>
      </c>
      <c r="O3502">
        <f>COUNTIFS(F$1:F3502,F3502,A$1:A3502,A3502)</f>
        <v>100</v>
      </c>
      <c r="P3502" t="str">
        <f t="shared" si="164"/>
        <v>Albert Wilson15</v>
      </c>
    </row>
    <row r="3503" spans="1:16" x14ac:dyDescent="0.25">
      <c r="A3503">
        <v>14</v>
      </c>
      <c r="B3503" t="s">
        <v>309</v>
      </c>
      <c r="C3503">
        <f>-0.92-7.06</f>
        <v>-7.9799999999999995</v>
      </c>
      <c r="D3503">
        <v>3.07</v>
      </c>
      <c r="E3503" t="s">
        <v>50</v>
      </c>
      <c r="F3503" t="s">
        <v>114</v>
      </c>
      <c r="G3503">
        <v>7.06</v>
      </c>
      <c r="H3503">
        <v>-0.92</v>
      </c>
      <c r="I3503">
        <v>3.99</v>
      </c>
      <c r="J3503">
        <v>15.9201</v>
      </c>
      <c r="K3503" t="str">
        <f>IFERROR(INDEX(Rosters!$C$2:$C$155,MATCH($B3503,Rosters!$B$2:$B$155,0)),"NA")</f>
        <v>NA</v>
      </c>
      <c r="L3503" t="str">
        <f t="shared" si="162"/>
        <v>NA14TE</v>
      </c>
      <c r="M3503">
        <f>COUNTIF(L$1:L3503,L3503)</f>
        <v>13</v>
      </c>
      <c r="N3503" t="str">
        <f t="shared" si="163"/>
        <v>NA14TE-13</v>
      </c>
      <c r="O3503">
        <f>COUNTIFS(F$1:F3503,F3503,A$1:A3503,A3503)</f>
        <v>27</v>
      </c>
      <c r="P3503" t="str">
        <f t="shared" si="164"/>
        <v>Geoff Swaim14</v>
      </c>
    </row>
    <row r="3504" spans="1:16" x14ac:dyDescent="0.25">
      <c r="A3504">
        <v>12</v>
      </c>
      <c r="B3504" t="s">
        <v>378</v>
      </c>
      <c r="C3504" t="s">
        <v>8150</v>
      </c>
      <c r="D3504">
        <v>3.07</v>
      </c>
      <c r="E3504" t="s">
        <v>66</v>
      </c>
      <c r="F3504" t="s">
        <v>87</v>
      </c>
      <c r="G3504">
        <v>5.84</v>
      </c>
      <c r="H3504">
        <v>0.3</v>
      </c>
      <c r="I3504">
        <v>2.77</v>
      </c>
      <c r="J3504">
        <v>7.6729000000000003</v>
      </c>
      <c r="K3504" t="str">
        <f>IFERROR(INDEX(Rosters!$C$2:$C$155,MATCH($B3504,Rosters!$B$2:$B$155,0)),"NA")</f>
        <v>NA</v>
      </c>
      <c r="L3504" t="str">
        <f t="shared" si="162"/>
        <v>NA12WR</v>
      </c>
      <c r="M3504">
        <f>COUNTIF(L$1:L3504,L3504)</f>
        <v>45</v>
      </c>
      <c r="N3504" t="str">
        <f t="shared" si="163"/>
        <v>NA12WR-45</v>
      </c>
      <c r="O3504">
        <f>COUNTIFS(F$1:F3504,F3504,A$1:A3504,A3504)</f>
        <v>92</v>
      </c>
      <c r="P3504" t="str">
        <f t="shared" si="164"/>
        <v>Jakeem Grant12</v>
      </c>
    </row>
    <row r="3505" spans="1:16" x14ac:dyDescent="0.25">
      <c r="A3505">
        <v>10</v>
      </c>
      <c r="B3505" t="s">
        <v>388</v>
      </c>
      <c r="C3505" t="s">
        <v>8151</v>
      </c>
      <c r="D3505">
        <v>3.07</v>
      </c>
      <c r="E3505" t="s">
        <v>50</v>
      </c>
      <c r="F3505" t="s">
        <v>47</v>
      </c>
      <c r="G3505">
        <v>6.12</v>
      </c>
      <c r="H3505">
        <v>0.02</v>
      </c>
      <c r="I3505">
        <v>3.05</v>
      </c>
      <c r="J3505">
        <v>9.3025000000000002</v>
      </c>
      <c r="K3505" t="str">
        <f>IFERROR(INDEX(Rosters!$C$2:$C$155,MATCH($B3505,Rosters!$B$2:$B$155,0)),"NA")</f>
        <v>NA</v>
      </c>
      <c r="L3505" t="str">
        <f t="shared" si="162"/>
        <v>NA10RB</v>
      </c>
      <c r="M3505">
        <f>COUNTIF(L$1:L3505,L3505)</f>
        <v>21</v>
      </c>
      <c r="N3505" t="str">
        <f t="shared" si="163"/>
        <v>NA10RB-21</v>
      </c>
      <c r="O3505">
        <f>COUNTIFS(F$1:F3505,F3505,A$1:A3505,A3505)</f>
        <v>60</v>
      </c>
      <c r="P3505" t="str">
        <f t="shared" si="164"/>
        <v>Rod Smith10</v>
      </c>
    </row>
    <row r="3506" spans="1:16" x14ac:dyDescent="0.25">
      <c r="A3506">
        <v>14</v>
      </c>
      <c r="B3506" t="s">
        <v>875</v>
      </c>
      <c r="C3506" t="s">
        <v>8152</v>
      </c>
      <c r="D3506">
        <v>3.06</v>
      </c>
      <c r="E3506" t="s">
        <v>66</v>
      </c>
      <c r="F3506" t="s">
        <v>87</v>
      </c>
      <c r="G3506">
        <v>5.64</v>
      </c>
      <c r="H3506">
        <v>0.48</v>
      </c>
      <c r="I3506">
        <v>2.58</v>
      </c>
      <c r="J3506">
        <v>6.6563999999999997</v>
      </c>
      <c r="K3506" t="str">
        <f>IFERROR(INDEX(Rosters!$C$2:$C$155,MATCH($B3506,Rosters!$B$2:$B$155,0)),"NA")</f>
        <v>NA</v>
      </c>
      <c r="L3506" t="str">
        <f t="shared" si="162"/>
        <v>NA14WR</v>
      </c>
      <c r="M3506">
        <f>COUNTIF(L$1:L3506,L3506)</f>
        <v>42</v>
      </c>
      <c r="N3506" t="str">
        <f t="shared" si="163"/>
        <v>NA14WR-42</v>
      </c>
      <c r="O3506">
        <f>COUNTIFS(F$1:F3506,F3506,A$1:A3506,A3506)</f>
        <v>95</v>
      </c>
      <c r="P3506" t="str">
        <f t="shared" si="164"/>
        <v>Bruce Ellington14</v>
      </c>
    </row>
    <row r="3507" spans="1:16" x14ac:dyDescent="0.25">
      <c r="A3507">
        <v>6</v>
      </c>
      <c r="B3507" t="s">
        <v>305</v>
      </c>
      <c r="C3507" t="s">
        <v>8153</v>
      </c>
      <c r="D3507">
        <v>3.06</v>
      </c>
      <c r="E3507" t="s">
        <v>73</v>
      </c>
      <c r="F3507" t="s">
        <v>87</v>
      </c>
      <c r="G3507">
        <v>5.69</v>
      </c>
      <c r="H3507">
        <v>0.43</v>
      </c>
      <c r="I3507">
        <v>2.63</v>
      </c>
      <c r="J3507">
        <v>6.9169</v>
      </c>
      <c r="K3507" t="str">
        <f>IFERROR(INDEX(Rosters!$C$2:$C$155,MATCH($B3507,Rosters!$B$2:$B$155,0)),"NA")</f>
        <v>NA</v>
      </c>
      <c r="L3507" t="str">
        <f t="shared" si="162"/>
        <v>NA6WR</v>
      </c>
      <c r="M3507">
        <f>COUNTIF(L$1:L3507,L3507)</f>
        <v>38</v>
      </c>
      <c r="N3507" t="str">
        <f t="shared" si="163"/>
        <v>NA6WR-38</v>
      </c>
      <c r="O3507">
        <f>COUNTIFS(F$1:F3507,F3507,A$1:A3507,A3507)</f>
        <v>86</v>
      </c>
      <c r="P3507" t="str">
        <f t="shared" si="164"/>
        <v>Chester Rogers6</v>
      </c>
    </row>
    <row r="3508" spans="1:16" x14ac:dyDescent="0.25">
      <c r="A3508">
        <v>13</v>
      </c>
      <c r="B3508" t="s">
        <v>1366</v>
      </c>
      <c r="C3508" t="s">
        <v>8154</v>
      </c>
      <c r="D3508">
        <v>3.06</v>
      </c>
      <c r="E3508" t="s">
        <v>36</v>
      </c>
      <c r="F3508" t="s">
        <v>47</v>
      </c>
      <c r="G3508">
        <v>5.89</v>
      </c>
      <c r="H3508">
        <v>0.23</v>
      </c>
      <c r="I3508">
        <v>2.83</v>
      </c>
      <c r="J3508">
        <v>8.0089000000000006</v>
      </c>
      <c r="K3508" t="str">
        <f>IFERROR(INDEX(Rosters!$C$2:$C$155,MATCH($B3508,Rosters!$B$2:$B$155,0)),"NA")</f>
        <v>NA</v>
      </c>
      <c r="L3508" t="str">
        <f t="shared" si="162"/>
        <v>NA13RB</v>
      </c>
      <c r="M3508">
        <f>COUNTIF(L$1:L3508,L3508)</f>
        <v>21</v>
      </c>
      <c r="N3508" t="str">
        <f t="shared" si="163"/>
        <v>NA13RB-21</v>
      </c>
      <c r="O3508">
        <f>COUNTIFS(F$1:F3508,F3508,A$1:A3508,A3508)</f>
        <v>67</v>
      </c>
      <c r="P3508" t="str">
        <f t="shared" si="164"/>
        <v>Nick Chubb13</v>
      </c>
    </row>
    <row r="3509" spans="1:16" x14ac:dyDescent="0.25">
      <c r="A3509">
        <v>3</v>
      </c>
      <c r="B3509" t="s">
        <v>190</v>
      </c>
      <c r="C3509">
        <f>-0.62-6.74</f>
        <v>-7.36</v>
      </c>
      <c r="D3509">
        <v>3.06</v>
      </c>
      <c r="E3509" t="s">
        <v>28</v>
      </c>
      <c r="F3509" t="s">
        <v>87</v>
      </c>
      <c r="G3509">
        <v>6.74</v>
      </c>
      <c r="H3509">
        <v>-0.62</v>
      </c>
      <c r="I3509">
        <v>3.68</v>
      </c>
      <c r="J3509">
        <v>13.542400000000001</v>
      </c>
      <c r="K3509" t="str">
        <f>IFERROR(INDEX(Rosters!$C$2:$C$155,MATCH($B3509,Rosters!$B$2:$B$155,0)),"NA")</f>
        <v>NA</v>
      </c>
      <c r="L3509" t="str">
        <f t="shared" si="162"/>
        <v>NA3WR</v>
      </c>
      <c r="M3509">
        <f>COUNTIF(L$1:L3509,L3509)</f>
        <v>38</v>
      </c>
      <c r="N3509" t="str">
        <f t="shared" si="163"/>
        <v>NA3WR-38</v>
      </c>
      <c r="O3509">
        <f>COUNTIFS(F$1:F3509,F3509,A$1:A3509,A3509)</f>
        <v>86</v>
      </c>
      <c r="P3509" t="str">
        <f t="shared" si="164"/>
        <v>Tavon Austin3</v>
      </c>
    </row>
    <row r="3510" spans="1:16" x14ac:dyDescent="0.25">
      <c r="A3510">
        <v>1</v>
      </c>
      <c r="B3510" t="s">
        <v>152</v>
      </c>
      <c r="C3510" t="s">
        <v>1471</v>
      </c>
      <c r="D3510">
        <v>3.06</v>
      </c>
      <c r="E3510" t="s">
        <v>29</v>
      </c>
      <c r="F3510" t="s">
        <v>87</v>
      </c>
      <c r="G3510">
        <v>5.85</v>
      </c>
      <c r="H3510">
        <v>0.27</v>
      </c>
      <c r="I3510">
        <v>2.79</v>
      </c>
      <c r="J3510">
        <v>7.7840999999999996</v>
      </c>
      <c r="K3510" t="str">
        <f>IFERROR(INDEX(Rosters!$C$2:$C$155,MATCH($B3510,Rosters!$B$2:$B$155,0)),"NA")</f>
        <v>NA</v>
      </c>
      <c r="L3510" t="str">
        <f t="shared" si="162"/>
        <v>NA1WR</v>
      </c>
      <c r="M3510">
        <f>COUNTIF(L$1:L3510,L3510)</f>
        <v>34</v>
      </c>
      <c r="N3510" t="str">
        <f t="shared" si="163"/>
        <v>NA1WR-34</v>
      </c>
      <c r="O3510">
        <f>COUNTIFS(F$1:F3510,F3510,A$1:A3510,A3510)</f>
        <v>83</v>
      </c>
      <c r="P3510" t="str">
        <f t="shared" si="164"/>
        <v>Willie Snead1</v>
      </c>
    </row>
    <row r="3511" spans="1:16" x14ac:dyDescent="0.25">
      <c r="A3511">
        <v>1</v>
      </c>
      <c r="B3511" t="s">
        <v>2667</v>
      </c>
      <c r="C3511" t="s">
        <v>4219</v>
      </c>
      <c r="D3511">
        <v>3.05</v>
      </c>
      <c r="E3511" t="s">
        <v>24</v>
      </c>
      <c r="F3511" t="s">
        <v>114</v>
      </c>
      <c r="G3511">
        <v>6.05</v>
      </c>
      <c r="H3511">
        <v>0.05</v>
      </c>
      <c r="I3511">
        <v>3</v>
      </c>
      <c r="J3511">
        <v>9</v>
      </c>
      <c r="K3511" t="str">
        <f>IFERROR(INDEX(Rosters!$C$2:$C$155,MATCH($B3511,Rosters!$B$2:$B$155,0)),"NA")</f>
        <v>NA</v>
      </c>
      <c r="L3511" t="str">
        <f t="shared" si="162"/>
        <v>NA1TE</v>
      </c>
      <c r="M3511">
        <f>COUNTIF(L$1:L3511,L3511)</f>
        <v>14</v>
      </c>
      <c r="N3511" t="str">
        <f t="shared" si="163"/>
        <v>NA1TE-14</v>
      </c>
      <c r="O3511">
        <f>COUNTIFS(F$1:F3511,F3511,A$1:A3511,A3511)</f>
        <v>27</v>
      </c>
      <c r="P3511" t="str">
        <f t="shared" si="164"/>
        <v>Antonio Gates1</v>
      </c>
    </row>
    <row r="3512" spans="1:16" x14ac:dyDescent="0.25">
      <c r="A3512">
        <v>6</v>
      </c>
      <c r="B3512" t="s">
        <v>2667</v>
      </c>
      <c r="C3512" t="s">
        <v>8155</v>
      </c>
      <c r="D3512">
        <v>3.05</v>
      </c>
      <c r="E3512" t="s">
        <v>52</v>
      </c>
      <c r="F3512" t="s">
        <v>114</v>
      </c>
      <c r="G3512">
        <v>5.43</v>
      </c>
      <c r="H3512">
        <v>0.67</v>
      </c>
      <c r="I3512">
        <v>2.38</v>
      </c>
      <c r="J3512">
        <v>5.6643999999999997</v>
      </c>
      <c r="K3512" t="str">
        <f>IFERROR(INDEX(Rosters!$C$2:$C$155,MATCH($B3512,Rosters!$B$2:$B$155,0)),"NA")</f>
        <v>NA</v>
      </c>
      <c r="L3512" t="str">
        <f t="shared" si="162"/>
        <v>NA6TE</v>
      </c>
      <c r="M3512">
        <f>COUNTIF(L$1:L3512,L3512)</f>
        <v>16</v>
      </c>
      <c r="N3512" t="str">
        <f t="shared" si="163"/>
        <v>NA6TE-16</v>
      </c>
      <c r="O3512">
        <f>COUNTIFS(F$1:F3512,F3512,A$1:A3512,A3512)</f>
        <v>28</v>
      </c>
      <c r="P3512" t="str">
        <f t="shared" si="164"/>
        <v>Antonio Gates6</v>
      </c>
    </row>
    <row r="3513" spans="1:16" x14ac:dyDescent="0.25">
      <c r="A3513">
        <v>6</v>
      </c>
      <c r="B3513" t="s">
        <v>378</v>
      </c>
      <c r="C3513" t="s">
        <v>8156</v>
      </c>
      <c r="D3513">
        <v>3.05</v>
      </c>
      <c r="E3513" t="s">
        <v>72</v>
      </c>
      <c r="F3513" t="s">
        <v>87</v>
      </c>
      <c r="G3513">
        <v>6.09</v>
      </c>
      <c r="H3513">
        <v>0.01</v>
      </c>
      <c r="I3513">
        <v>3.04</v>
      </c>
      <c r="J3513">
        <v>9.2416</v>
      </c>
      <c r="K3513" t="str">
        <f>IFERROR(INDEX(Rosters!$C$2:$C$155,MATCH($B3513,Rosters!$B$2:$B$155,0)),"NA")</f>
        <v>NA</v>
      </c>
      <c r="L3513" t="str">
        <f t="shared" si="162"/>
        <v>NA6WR</v>
      </c>
      <c r="M3513">
        <f>COUNTIF(L$1:L3513,L3513)</f>
        <v>39</v>
      </c>
      <c r="N3513" t="str">
        <f t="shared" si="163"/>
        <v>NA6WR-39</v>
      </c>
      <c r="O3513">
        <f>COUNTIFS(F$1:F3513,F3513,A$1:A3513,A3513)</f>
        <v>87</v>
      </c>
      <c r="P3513" t="str">
        <f t="shared" si="164"/>
        <v>Jakeem Grant6</v>
      </c>
    </row>
    <row r="3514" spans="1:16" x14ac:dyDescent="0.25">
      <c r="A3514">
        <v>11</v>
      </c>
      <c r="B3514" t="s">
        <v>1367</v>
      </c>
      <c r="C3514" t="s">
        <v>8157</v>
      </c>
      <c r="D3514">
        <v>3.04</v>
      </c>
      <c r="E3514" t="s">
        <v>50</v>
      </c>
      <c r="F3514" t="s">
        <v>87</v>
      </c>
      <c r="G3514">
        <v>5.05</v>
      </c>
      <c r="H3514">
        <v>1.03</v>
      </c>
      <c r="I3514">
        <v>2.0099999999999998</v>
      </c>
      <c r="J3514">
        <v>4.0400999999999998</v>
      </c>
      <c r="K3514" t="str">
        <f>IFERROR(INDEX(Rosters!$C$2:$C$155,MATCH($B3514,Rosters!$B$2:$B$155,0)),"NA")</f>
        <v>NA</v>
      </c>
      <c r="L3514" t="str">
        <f t="shared" si="162"/>
        <v>NA11WR</v>
      </c>
      <c r="M3514">
        <f>COUNTIF(L$1:L3514,L3514)</f>
        <v>32</v>
      </c>
      <c r="N3514" t="str">
        <f t="shared" si="163"/>
        <v>NA11WR-32</v>
      </c>
      <c r="O3514">
        <f>COUNTIFS(F$1:F3514,F3514,A$1:A3514,A3514)</f>
        <v>78</v>
      </c>
      <c r="P3514" t="str">
        <f t="shared" si="164"/>
        <v>Cameron Meredith11</v>
      </c>
    </row>
    <row r="3515" spans="1:16" x14ac:dyDescent="0.25">
      <c r="A3515">
        <v>11</v>
      </c>
      <c r="B3515" t="s">
        <v>4212</v>
      </c>
      <c r="C3515">
        <f>-0.09-6.17</f>
        <v>-6.26</v>
      </c>
      <c r="D3515">
        <v>3.04</v>
      </c>
      <c r="E3515" t="s">
        <v>34</v>
      </c>
      <c r="F3515" t="s">
        <v>114</v>
      </c>
      <c r="G3515">
        <v>6.17</v>
      </c>
      <c r="H3515">
        <v>-0.09</v>
      </c>
      <c r="I3515">
        <v>3.13</v>
      </c>
      <c r="J3515">
        <v>9.7969000000000008</v>
      </c>
      <c r="K3515" t="str">
        <f>IFERROR(INDEX(Rosters!$C$2:$C$155,MATCH($B3515,Rosters!$B$2:$B$155,0)),"NA")</f>
        <v>NA</v>
      </c>
      <c r="L3515" t="str">
        <f t="shared" si="162"/>
        <v>NA11TE</v>
      </c>
      <c r="M3515">
        <f>COUNTIF(L$1:L3515,L3515)</f>
        <v>13</v>
      </c>
      <c r="N3515" t="str">
        <f t="shared" si="163"/>
        <v>NA11TE-13</v>
      </c>
      <c r="O3515">
        <f>COUNTIFS(F$1:F3515,F3515,A$1:A3515,A3515)</f>
        <v>25</v>
      </c>
      <c r="P3515" t="str">
        <f t="shared" si="164"/>
        <v>Ian Thomas11</v>
      </c>
    </row>
    <row r="3516" spans="1:16" x14ac:dyDescent="0.25">
      <c r="A3516">
        <v>4</v>
      </c>
      <c r="B3516" t="s">
        <v>308</v>
      </c>
      <c r="C3516" t="s">
        <v>4601</v>
      </c>
      <c r="D3516">
        <v>3.04</v>
      </c>
      <c r="E3516" t="s">
        <v>24</v>
      </c>
      <c r="F3516" t="s">
        <v>114</v>
      </c>
      <c r="G3516">
        <v>5.62</v>
      </c>
      <c r="H3516">
        <v>0.46</v>
      </c>
      <c r="I3516">
        <v>2.58</v>
      </c>
      <c r="J3516">
        <v>6.6563999999999997</v>
      </c>
      <c r="K3516" t="str">
        <f>IFERROR(INDEX(Rosters!$C$2:$C$155,MATCH($B3516,Rosters!$B$2:$B$155,0)),"NA")</f>
        <v>NA</v>
      </c>
      <c r="L3516" t="str">
        <f t="shared" si="162"/>
        <v>NA4TE</v>
      </c>
      <c r="M3516">
        <f>COUNTIF(L$1:L3516,L3516)</f>
        <v>14</v>
      </c>
      <c r="N3516" t="str">
        <f t="shared" si="163"/>
        <v>NA4TE-14</v>
      </c>
      <c r="O3516">
        <f>COUNTIFS(F$1:F3516,F3516,A$1:A3516,A3516)</f>
        <v>25</v>
      </c>
      <c r="P3516" t="str">
        <f t="shared" si="164"/>
        <v>Jeff Heuerman4</v>
      </c>
    </row>
    <row r="3517" spans="1:16" x14ac:dyDescent="0.25">
      <c r="A3517">
        <v>9</v>
      </c>
      <c r="B3517" t="s">
        <v>4899</v>
      </c>
      <c r="C3517" t="s">
        <v>8158</v>
      </c>
      <c r="D3517">
        <v>3.04</v>
      </c>
      <c r="E3517" t="s">
        <v>42</v>
      </c>
      <c r="F3517" t="s">
        <v>87</v>
      </c>
      <c r="G3517">
        <v>5.56</v>
      </c>
      <c r="H3517">
        <v>0.52</v>
      </c>
      <c r="I3517">
        <v>2.52</v>
      </c>
      <c r="J3517">
        <v>6.3503999999999996</v>
      </c>
      <c r="K3517" t="str">
        <f>IFERROR(INDEX(Rosters!$C$2:$C$155,MATCH($B3517,Rosters!$B$2:$B$155,0)),"NA")</f>
        <v>perry</v>
      </c>
      <c r="L3517" t="str">
        <f t="shared" si="162"/>
        <v>perry9WR</v>
      </c>
      <c r="M3517">
        <f>COUNTIF(L$1:L3517,L3517)</f>
        <v>5</v>
      </c>
      <c r="N3517" t="str">
        <f t="shared" si="163"/>
        <v>perry9WR-5</v>
      </c>
      <c r="O3517">
        <f>COUNTIFS(F$1:F3517,F3517,A$1:A3517,A3517)</f>
        <v>82</v>
      </c>
      <c r="P3517" t="str">
        <f t="shared" si="164"/>
        <v>Keke Coutee9</v>
      </c>
    </row>
    <row r="3518" spans="1:16" x14ac:dyDescent="0.25">
      <c r="A3518">
        <v>2</v>
      </c>
      <c r="B3518" t="s">
        <v>221</v>
      </c>
      <c r="C3518">
        <f>-0.23-6.31</f>
        <v>-6.54</v>
      </c>
      <c r="D3518">
        <v>3.04</v>
      </c>
      <c r="E3518" t="s">
        <v>77</v>
      </c>
      <c r="F3518" t="s">
        <v>87</v>
      </c>
      <c r="G3518">
        <v>6.31</v>
      </c>
      <c r="H3518">
        <v>-0.23</v>
      </c>
      <c r="I3518">
        <v>3.27</v>
      </c>
      <c r="J3518">
        <v>10.6929</v>
      </c>
      <c r="K3518" t="str">
        <f>IFERROR(INDEX(Rosters!$C$2:$C$155,MATCH($B3518,Rosters!$B$2:$B$155,0)),"NA")</f>
        <v>cory</v>
      </c>
      <c r="L3518" t="str">
        <f t="shared" si="162"/>
        <v>cory2WR</v>
      </c>
      <c r="M3518">
        <f>COUNTIF(L$1:L3518,L3518)</f>
        <v>5</v>
      </c>
      <c r="N3518" t="str">
        <f t="shared" si="163"/>
        <v>cory2WR-5</v>
      </c>
      <c r="O3518">
        <f>COUNTIFS(F$1:F3518,F3518,A$1:A3518,A3518)</f>
        <v>81</v>
      </c>
      <c r="P3518" t="str">
        <f t="shared" si="164"/>
        <v>Tyler Boyd2</v>
      </c>
    </row>
    <row r="3519" spans="1:16" x14ac:dyDescent="0.25">
      <c r="A3519">
        <v>7</v>
      </c>
      <c r="B3519" t="s">
        <v>325</v>
      </c>
      <c r="C3519" t="s">
        <v>8159</v>
      </c>
      <c r="D3519">
        <v>3.04</v>
      </c>
      <c r="E3519" t="s">
        <v>24</v>
      </c>
      <c r="F3519" t="s">
        <v>114</v>
      </c>
      <c r="G3519">
        <v>5.37</v>
      </c>
      <c r="H3519">
        <v>0.71</v>
      </c>
      <c r="I3519">
        <v>2.33</v>
      </c>
      <c r="J3519">
        <v>5.4288999999999996</v>
      </c>
      <c r="K3519" t="str">
        <f>IFERROR(INDEX(Rosters!$C$2:$C$155,MATCH($B3519,Rosters!$B$2:$B$155,0)),"NA")</f>
        <v>NA</v>
      </c>
      <c r="L3519" t="str">
        <f t="shared" si="162"/>
        <v>NA7TE</v>
      </c>
      <c r="M3519">
        <f>COUNTIF(L$1:L3519,L3519)</f>
        <v>15</v>
      </c>
      <c r="N3519" t="str">
        <f t="shared" si="163"/>
        <v>NA7TE-15</v>
      </c>
      <c r="O3519">
        <f>COUNTIFS(F$1:F3519,F3519,A$1:A3519,A3519)</f>
        <v>24</v>
      </c>
      <c r="P3519" t="str">
        <f t="shared" si="164"/>
        <v>Tyler Kroft7</v>
      </c>
    </row>
    <row r="3520" spans="1:16" x14ac:dyDescent="0.25">
      <c r="A3520">
        <v>16</v>
      </c>
      <c r="B3520" t="s">
        <v>325</v>
      </c>
      <c r="C3520">
        <f>-0.12-6.2</f>
        <v>-6.32</v>
      </c>
      <c r="D3520">
        <v>3.04</v>
      </c>
      <c r="E3520" t="s">
        <v>52</v>
      </c>
      <c r="F3520" t="s">
        <v>114</v>
      </c>
      <c r="G3520">
        <v>6.2</v>
      </c>
      <c r="H3520">
        <v>-0.12</v>
      </c>
      <c r="I3520">
        <v>3.16</v>
      </c>
      <c r="J3520">
        <v>9.9855999999999998</v>
      </c>
      <c r="K3520" t="str">
        <f>IFERROR(INDEX(Rosters!$C$2:$C$155,MATCH($B3520,Rosters!$B$2:$B$155,0)),"NA")</f>
        <v>NA</v>
      </c>
      <c r="L3520" t="str">
        <f t="shared" si="162"/>
        <v>NA16TE</v>
      </c>
      <c r="M3520">
        <f>COUNTIF(L$1:L3520,L3520)</f>
        <v>13</v>
      </c>
      <c r="N3520" t="str">
        <f t="shared" si="163"/>
        <v>NA16TE-13</v>
      </c>
      <c r="O3520">
        <f>COUNTIFS(F$1:F3520,F3520,A$1:A3520,A3520)</f>
        <v>27</v>
      </c>
      <c r="P3520" t="str">
        <f t="shared" si="164"/>
        <v>Tyler Kroft16</v>
      </c>
    </row>
    <row r="3521" spans="1:16" x14ac:dyDescent="0.25">
      <c r="A3521">
        <v>7</v>
      </c>
      <c r="B3521" t="s">
        <v>301</v>
      </c>
      <c r="C3521">
        <f>-0.38-6.44</f>
        <v>-6.82</v>
      </c>
      <c r="D3521">
        <v>3.03</v>
      </c>
      <c r="E3521" t="s">
        <v>24</v>
      </c>
      <c r="F3521" t="s">
        <v>114</v>
      </c>
      <c r="G3521">
        <v>6.44</v>
      </c>
      <c r="H3521">
        <v>-0.38</v>
      </c>
      <c r="I3521">
        <v>3.41</v>
      </c>
      <c r="J3521">
        <v>11.6281</v>
      </c>
      <c r="K3521" t="str">
        <f>IFERROR(INDEX(Rosters!$C$2:$C$155,MATCH($B3521,Rosters!$B$2:$B$155,0)),"NA")</f>
        <v>NA</v>
      </c>
      <c r="L3521" t="str">
        <f t="shared" si="162"/>
        <v>NA7TE</v>
      </c>
      <c r="M3521">
        <f>COUNTIF(L$1:L3521,L3521)</f>
        <v>16</v>
      </c>
      <c r="N3521" t="str">
        <f t="shared" si="163"/>
        <v>NA7TE-16</v>
      </c>
      <c r="O3521">
        <f>COUNTIFS(F$1:F3521,F3521,A$1:A3521,A3521)</f>
        <v>25</v>
      </c>
      <c r="P3521" t="str">
        <f t="shared" si="164"/>
        <v>C.J. Uzomah7</v>
      </c>
    </row>
    <row r="3522" spans="1:16" x14ac:dyDescent="0.25">
      <c r="A3522">
        <v>10</v>
      </c>
      <c r="B3522" t="s">
        <v>378</v>
      </c>
      <c r="C3522">
        <f>-0.1-6.16</f>
        <v>-6.26</v>
      </c>
      <c r="D3522">
        <v>3.03</v>
      </c>
      <c r="E3522" t="s">
        <v>41</v>
      </c>
      <c r="F3522" t="s">
        <v>87</v>
      </c>
      <c r="G3522">
        <v>6.16</v>
      </c>
      <c r="H3522">
        <v>-0.1</v>
      </c>
      <c r="I3522">
        <v>3.13</v>
      </c>
      <c r="J3522">
        <v>9.7969000000000008</v>
      </c>
      <c r="K3522" t="str">
        <f>IFERROR(INDEX(Rosters!$C$2:$C$155,MATCH($B3522,Rosters!$B$2:$B$155,0)),"NA")</f>
        <v>NA</v>
      </c>
      <c r="L3522" t="str">
        <f t="shared" si="162"/>
        <v>NA10WR</v>
      </c>
      <c r="M3522">
        <f>COUNTIF(L$1:L3522,L3522)</f>
        <v>40</v>
      </c>
      <c r="N3522" t="str">
        <f t="shared" si="163"/>
        <v>NA10WR-40</v>
      </c>
      <c r="O3522">
        <f>COUNTIFS(F$1:F3522,F3522,A$1:A3522,A3522)</f>
        <v>84</v>
      </c>
      <c r="P3522" t="str">
        <f t="shared" si="164"/>
        <v>Jakeem Grant10</v>
      </c>
    </row>
    <row r="3523" spans="1:16" x14ac:dyDescent="0.25">
      <c r="A3523">
        <v>17</v>
      </c>
      <c r="B3523" t="s">
        <v>1439</v>
      </c>
      <c r="C3523" t="s">
        <v>8160</v>
      </c>
      <c r="D3523">
        <v>3.03</v>
      </c>
      <c r="E3523" t="s">
        <v>31</v>
      </c>
      <c r="F3523" t="s">
        <v>87</v>
      </c>
      <c r="G3523">
        <v>5.87</v>
      </c>
      <c r="H3523">
        <v>0.19</v>
      </c>
      <c r="I3523">
        <v>2.84</v>
      </c>
      <c r="J3523">
        <v>8.0655999999999999</v>
      </c>
      <c r="K3523" t="str">
        <f>IFERROR(INDEX(Rosters!$C$2:$C$155,MATCH($B3523,Rosters!$B$2:$B$155,0)),"NA")</f>
        <v>NA</v>
      </c>
      <c r="L3523" t="str">
        <f t="shared" ref="L3523:L3586" si="165">K3523&amp;A3523&amp;F3523</f>
        <v>NA17WR</v>
      </c>
      <c r="M3523">
        <f>COUNTIF(L$1:L3523,L3523)</f>
        <v>46</v>
      </c>
      <c r="N3523" t="str">
        <f t="shared" ref="N3523:N3586" si="166">L3523&amp;"-"&amp;M3523</f>
        <v>NA17WR-46</v>
      </c>
      <c r="O3523">
        <f>COUNTIFS(F$1:F3523,F3523,A$1:A3523,A3523)</f>
        <v>98</v>
      </c>
      <c r="P3523" t="str">
        <f t="shared" ref="P3523:P3586" si="167">B3523&amp;A3523</f>
        <v>James Washington17</v>
      </c>
    </row>
    <row r="3524" spans="1:16" x14ac:dyDescent="0.25">
      <c r="A3524">
        <v>3</v>
      </c>
      <c r="B3524" t="s">
        <v>1366</v>
      </c>
      <c r="C3524">
        <f>-0.27-6.33</f>
        <v>-6.6</v>
      </c>
      <c r="D3524">
        <v>3.03</v>
      </c>
      <c r="E3524" t="s">
        <v>73</v>
      </c>
      <c r="F3524" t="s">
        <v>47</v>
      </c>
      <c r="G3524">
        <v>6.33</v>
      </c>
      <c r="H3524">
        <v>-0.27</v>
      </c>
      <c r="I3524">
        <v>3.3</v>
      </c>
      <c r="J3524">
        <v>10.89</v>
      </c>
      <c r="K3524" t="str">
        <f>IFERROR(INDEX(Rosters!$C$2:$C$155,MATCH($B3524,Rosters!$B$2:$B$155,0)),"NA")</f>
        <v>NA</v>
      </c>
      <c r="L3524" t="str">
        <f t="shared" si="165"/>
        <v>NA3RB</v>
      </c>
      <c r="M3524">
        <f>COUNTIF(L$1:L3524,L3524)</f>
        <v>23</v>
      </c>
      <c r="N3524" t="str">
        <f t="shared" si="166"/>
        <v>NA3RB-23</v>
      </c>
      <c r="O3524">
        <f>COUNTIFS(F$1:F3524,F3524,A$1:A3524,A3524)</f>
        <v>62</v>
      </c>
      <c r="P3524" t="str">
        <f t="shared" si="167"/>
        <v>Nick Chubb3</v>
      </c>
    </row>
    <row r="3525" spans="1:16" x14ac:dyDescent="0.25">
      <c r="A3525">
        <v>12</v>
      </c>
      <c r="B3525" t="s">
        <v>798</v>
      </c>
      <c r="C3525" t="s">
        <v>8161</v>
      </c>
      <c r="D3525">
        <v>3.03</v>
      </c>
      <c r="E3525" t="s">
        <v>31</v>
      </c>
      <c r="F3525" t="s">
        <v>87</v>
      </c>
      <c r="G3525">
        <v>5.92</v>
      </c>
      <c r="H3525">
        <v>0.14000000000000001</v>
      </c>
      <c r="I3525">
        <v>2.89</v>
      </c>
      <c r="J3525">
        <v>8.3521000000000001</v>
      </c>
      <c r="K3525" t="str">
        <f>IFERROR(INDEX(Rosters!$C$2:$C$155,MATCH($B3525,Rosters!$B$2:$B$155,0)),"NA")</f>
        <v>NA</v>
      </c>
      <c r="L3525" t="str">
        <f t="shared" si="165"/>
        <v>NA12WR</v>
      </c>
      <c r="M3525">
        <f>COUNTIF(L$1:L3525,L3525)</f>
        <v>46</v>
      </c>
      <c r="N3525" t="str">
        <f t="shared" si="166"/>
        <v>NA12WR-46</v>
      </c>
      <c r="O3525">
        <f>COUNTIFS(F$1:F3525,F3525,A$1:A3525,A3525)</f>
        <v>93</v>
      </c>
      <c r="P3525" t="str">
        <f t="shared" si="167"/>
        <v>Rashard Higgins12</v>
      </c>
    </row>
    <row r="3526" spans="1:16" x14ac:dyDescent="0.25">
      <c r="A3526">
        <v>14</v>
      </c>
      <c r="B3526" t="s">
        <v>1404</v>
      </c>
      <c r="C3526">
        <f>-0.1-6.16</f>
        <v>-6.26</v>
      </c>
      <c r="D3526">
        <v>3.03</v>
      </c>
      <c r="E3526" t="s">
        <v>77</v>
      </c>
      <c r="F3526" t="s">
        <v>47</v>
      </c>
      <c r="G3526">
        <v>6.16</v>
      </c>
      <c r="H3526">
        <v>-0.1</v>
      </c>
      <c r="I3526">
        <v>3.13</v>
      </c>
      <c r="J3526">
        <v>9.7969000000000008</v>
      </c>
      <c r="K3526" t="str">
        <f>IFERROR(INDEX(Rosters!$C$2:$C$155,MATCH($B3526,Rosters!$B$2:$B$155,0)),"NA")</f>
        <v>NA</v>
      </c>
      <c r="L3526" t="str">
        <f t="shared" si="165"/>
        <v>NA14RB</v>
      </c>
      <c r="M3526">
        <f>COUNTIF(L$1:L3526,L3526)</f>
        <v>24</v>
      </c>
      <c r="N3526" t="str">
        <f t="shared" si="166"/>
        <v>NA14RB-24</v>
      </c>
      <c r="O3526">
        <f>COUNTIFS(F$1:F3526,F3526,A$1:A3526,A3526)</f>
        <v>71</v>
      </c>
      <c r="P3526" t="str">
        <f t="shared" si="167"/>
        <v>Spencer Ware14</v>
      </c>
    </row>
    <row r="3527" spans="1:16" x14ac:dyDescent="0.25">
      <c r="A3527">
        <v>2</v>
      </c>
      <c r="B3527" t="s">
        <v>1478</v>
      </c>
      <c r="C3527" t="s">
        <v>3368</v>
      </c>
      <c r="D3527">
        <v>3.02</v>
      </c>
      <c r="E3527" t="s">
        <v>17</v>
      </c>
      <c r="F3527" t="s">
        <v>114</v>
      </c>
      <c r="G3527">
        <v>5.57</v>
      </c>
      <c r="H3527">
        <v>0.47</v>
      </c>
      <c r="I3527">
        <v>2.5499999999999998</v>
      </c>
      <c r="J3527">
        <v>6.5025000000000004</v>
      </c>
      <c r="K3527" t="str">
        <f>IFERROR(INDEX(Rosters!$C$2:$C$155,MATCH($B3527,Rosters!$B$2:$B$155,0)),"NA")</f>
        <v>NA</v>
      </c>
      <c r="L3527" t="str">
        <f t="shared" si="165"/>
        <v>NA2TE</v>
      </c>
      <c r="M3527">
        <f>COUNTIF(L$1:L3527,L3527)</f>
        <v>15</v>
      </c>
      <c r="N3527" t="str">
        <f t="shared" si="166"/>
        <v>NA2TE-15</v>
      </c>
      <c r="O3527">
        <f>COUNTIFS(F$1:F3527,F3527,A$1:A3527,A3527)</f>
        <v>27</v>
      </c>
      <c r="P3527" t="str">
        <f t="shared" si="167"/>
        <v>Dallas Goedert2</v>
      </c>
    </row>
    <row r="3528" spans="1:16" x14ac:dyDescent="0.25">
      <c r="A3528">
        <v>16</v>
      </c>
      <c r="B3528" t="s">
        <v>4899</v>
      </c>
      <c r="C3528" t="s">
        <v>8162</v>
      </c>
      <c r="D3528">
        <v>3.02</v>
      </c>
      <c r="E3528" t="s">
        <v>50</v>
      </c>
      <c r="F3528" t="s">
        <v>87</v>
      </c>
      <c r="G3528">
        <v>5.53</v>
      </c>
      <c r="H3528">
        <v>0.51</v>
      </c>
      <c r="I3528">
        <v>2.5099999999999998</v>
      </c>
      <c r="J3528">
        <v>6.3000999999999996</v>
      </c>
      <c r="K3528" t="str">
        <f>IFERROR(INDEX(Rosters!$C$2:$C$155,MATCH($B3528,Rosters!$B$2:$B$155,0)),"NA")</f>
        <v>perry</v>
      </c>
      <c r="L3528" t="str">
        <f t="shared" si="165"/>
        <v>perry16WR</v>
      </c>
      <c r="M3528">
        <f>COUNTIF(L$1:L3528,L3528)</f>
        <v>6</v>
      </c>
      <c r="N3528" t="str">
        <f t="shared" si="166"/>
        <v>perry16WR-6</v>
      </c>
      <c r="O3528">
        <f>COUNTIFS(F$1:F3528,F3528,A$1:A3528,A3528)</f>
        <v>97</v>
      </c>
      <c r="P3528" t="str">
        <f t="shared" si="167"/>
        <v>Keke Coutee16</v>
      </c>
    </row>
    <row r="3529" spans="1:16" x14ac:dyDescent="0.25">
      <c r="A3529">
        <v>7</v>
      </c>
      <c r="B3529" t="s">
        <v>1366</v>
      </c>
      <c r="C3529" t="s">
        <v>8163</v>
      </c>
      <c r="D3529">
        <v>3.02</v>
      </c>
      <c r="E3529" t="s">
        <v>17</v>
      </c>
      <c r="F3529" t="s">
        <v>47</v>
      </c>
      <c r="G3529">
        <v>5.72</v>
      </c>
      <c r="H3529">
        <v>0.32</v>
      </c>
      <c r="I3529">
        <v>2.7</v>
      </c>
      <c r="J3529">
        <v>7.29</v>
      </c>
      <c r="K3529" t="str">
        <f>IFERROR(INDEX(Rosters!$C$2:$C$155,MATCH($B3529,Rosters!$B$2:$B$155,0)),"NA")</f>
        <v>NA</v>
      </c>
      <c r="L3529" t="str">
        <f t="shared" si="165"/>
        <v>NA7RB</v>
      </c>
      <c r="M3529">
        <f>COUNTIF(L$1:L3529,L3529)</f>
        <v>18</v>
      </c>
      <c r="N3529" t="str">
        <f t="shared" si="166"/>
        <v>NA7RB-18</v>
      </c>
      <c r="O3529">
        <f>COUNTIFS(F$1:F3529,F3529,A$1:A3529,A3529)</f>
        <v>59</v>
      </c>
      <c r="P3529" t="str">
        <f t="shared" si="167"/>
        <v>Nick Chubb7</v>
      </c>
    </row>
    <row r="3530" spans="1:16" x14ac:dyDescent="0.25">
      <c r="A3530">
        <v>5</v>
      </c>
      <c r="B3530" t="s">
        <v>166</v>
      </c>
      <c r="C3530">
        <f>-0.48-6.52</f>
        <v>-7</v>
      </c>
      <c r="D3530">
        <v>3.02</v>
      </c>
      <c r="E3530" t="s">
        <v>34</v>
      </c>
      <c r="F3530" t="s">
        <v>87</v>
      </c>
      <c r="G3530">
        <v>6.52</v>
      </c>
      <c r="H3530">
        <v>-0.48</v>
      </c>
      <c r="I3530">
        <v>3.5</v>
      </c>
      <c r="J3530">
        <v>12.25</v>
      </c>
      <c r="K3530" t="str">
        <f>IFERROR(INDEX(Rosters!$C$2:$C$155,MATCH($B3530,Rosters!$B$2:$B$155,0)),"NA")</f>
        <v>seth</v>
      </c>
      <c r="L3530" t="str">
        <f t="shared" si="165"/>
        <v>seth5WR</v>
      </c>
      <c r="M3530">
        <f>COUNTIF(L$1:L3530,L3530)</f>
        <v>5</v>
      </c>
      <c r="N3530" t="str">
        <f t="shared" si="166"/>
        <v>seth5WR-5</v>
      </c>
      <c r="O3530">
        <f>COUNTIFS(F$1:F3530,F3530,A$1:A3530,A3530)</f>
        <v>88</v>
      </c>
      <c r="P3530" t="str">
        <f t="shared" si="167"/>
        <v>Randall Cobb5</v>
      </c>
    </row>
    <row r="3531" spans="1:16" x14ac:dyDescent="0.25">
      <c r="A3531">
        <v>1</v>
      </c>
      <c r="B3531" t="s">
        <v>249</v>
      </c>
      <c r="C3531">
        <f>-0.04-6.08</f>
        <v>-6.12</v>
      </c>
      <c r="D3531">
        <v>3.02</v>
      </c>
      <c r="E3531" t="s">
        <v>24</v>
      </c>
      <c r="F3531" t="s">
        <v>87</v>
      </c>
      <c r="G3531">
        <v>6.08</v>
      </c>
      <c r="H3531">
        <v>-0.04</v>
      </c>
      <c r="I3531">
        <v>3.06</v>
      </c>
      <c r="J3531">
        <v>9.3635999999999999</v>
      </c>
      <c r="K3531" t="str">
        <f>IFERROR(INDEX(Rosters!$C$2:$C$155,MATCH($B3531,Rosters!$B$2:$B$155,0)),"NA")</f>
        <v>NA</v>
      </c>
      <c r="L3531" t="str">
        <f t="shared" si="165"/>
        <v>NA1WR</v>
      </c>
      <c r="M3531">
        <f>COUNTIF(L$1:L3531,L3531)</f>
        <v>35</v>
      </c>
      <c r="N3531" t="str">
        <f t="shared" si="166"/>
        <v>NA1WR-35</v>
      </c>
      <c r="O3531">
        <f>COUNTIFS(F$1:F3531,F3531,A$1:A3531,A3531)</f>
        <v>84</v>
      </c>
      <c r="P3531" t="str">
        <f t="shared" si="167"/>
        <v>Travis Benjamin1</v>
      </c>
    </row>
    <row r="3532" spans="1:16" x14ac:dyDescent="0.25">
      <c r="A3532">
        <v>14</v>
      </c>
      <c r="B3532" t="s">
        <v>325</v>
      </c>
      <c r="C3532">
        <f>-0.22-6.26</f>
        <v>-6.4799999999999995</v>
      </c>
      <c r="D3532">
        <v>3.02</v>
      </c>
      <c r="E3532" t="s">
        <v>37</v>
      </c>
      <c r="F3532" t="s">
        <v>114</v>
      </c>
      <c r="G3532">
        <v>6.26</v>
      </c>
      <c r="H3532">
        <v>-0.22</v>
      </c>
      <c r="I3532">
        <v>3.24</v>
      </c>
      <c r="J3532">
        <v>10.4976</v>
      </c>
      <c r="K3532" t="str">
        <f>IFERROR(INDEX(Rosters!$C$2:$C$155,MATCH($B3532,Rosters!$B$2:$B$155,0)),"NA")</f>
        <v>NA</v>
      </c>
      <c r="L3532" t="str">
        <f t="shared" si="165"/>
        <v>NA14TE</v>
      </c>
      <c r="M3532">
        <f>COUNTIF(L$1:L3532,L3532)</f>
        <v>14</v>
      </c>
      <c r="N3532" t="str">
        <f t="shared" si="166"/>
        <v>NA14TE-14</v>
      </c>
      <c r="O3532">
        <f>COUNTIFS(F$1:F3532,F3532,A$1:A3532,A3532)</f>
        <v>28</v>
      </c>
      <c r="P3532" t="str">
        <f t="shared" si="167"/>
        <v>Tyler Kroft14</v>
      </c>
    </row>
    <row r="3533" spans="1:16" x14ac:dyDescent="0.25">
      <c r="A3533">
        <v>4</v>
      </c>
      <c r="B3533" t="s">
        <v>378</v>
      </c>
      <c r="C3533">
        <f>-0.25-6.27</f>
        <v>-6.52</v>
      </c>
      <c r="D3533">
        <v>3.01</v>
      </c>
      <c r="E3533" t="s">
        <v>423</v>
      </c>
      <c r="F3533" t="s">
        <v>87</v>
      </c>
      <c r="G3533">
        <v>6.27</v>
      </c>
      <c r="H3533">
        <v>-0.25</v>
      </c>
      <c r="I3533">
        <v>3.26</v>
      </c>
      <c r="J3533">
        <v>10.627599999999999</v>
      </c>
      <c r="K3533" t="str">
        <f>IFERROR(INDEX(Rosters!$C$2:$C$155,MATCH($B3533,Rosters!$B$2:$B$155,0)),"NA")</f>
        <v>NA</v>
      </c>
      <c r="L3533" t="str">
        <f t="shared" si="165"/>
        <v>NA4WR</v>
      </c>
      <c r="M3533">
        <f>COUNTIF(L$1:L3533,L3533)</f>
        <v>35</v>
      </c>
      <c r="N3533" t="str">
        <f t="shared" si="166"/>
        <v>NA4WR-35</v>
      </c>
      <c r="O3533">
        <f>COUNTIFS(F$1:F3533,F3533,A$1:A3533,A3533)</f>
        <v>83</v>
      </c>
      <c r="P3533" t="str">
        <f t="shared" si="167"/>
        <v>Jakeem Grant4</v>
      </c>
    </row>
    <row r="3534" spans="1:16" x14ac:dyDescent="0.25">
      <c r="A3534">
        <v>9</v>
      </c>
      <c r="B3534" t="s">
        <v>1439</v>
      </c>
      <c r="C3534" t="s">
        <v>8164</v>
      </c>
      <c r="D3534">
        <v>3.01</v>
      </c>
      <c r="E3534" t="s">
        <v>77</v>
      </c>
      <c r="F3534" t="s">
        <v>87</v>
      </c>
      <c r="G3534">
        <v>5.75</v>
      </c>
      <c r="H3534">
        <v>0.27</v>
      </c>
      <c r="I3534">
        <v>2.74</v>
      </c>
      <c r="J3534">
        <v>7.5076000000000001</v>
      </c>
      <c r="K3534" t="str">
        <f>IFERROR(INDEX(Rosters!$C$2:$C$155,MATCH($B3534,Rosters!$B$2:$B$155,0)),"NA")</f>
        <v>NA</v>
      </c>
      <c r="L3534" t="str">
        <f t="shared" si="165"/>
        <v>NA9WR</v>
      </c>
      <c r="M3534">
        <f>COUNTIF(L$1:L3534,L3534)</f>
        <v>40</v>
      </c>
      <c r="N3534" t="str">
        <f t="shared" si="166"/>
        <v>NA9WR-40</v>
      </c>
      <c r="O3534">
        <f>COUNTIFS(F$1:F3534,F3534,A$1:A3534,A3534)</f>
        <v>83</v>
      </c>
      <c r="P3534" t="str">
        <f t="shared" si="167"/>
        <v>James Washington9</v>
      </c>
    </row>
    <row r="3535" spans="1:16" x14ac:dyDescent="0.25">
      <c r="A3535">
        <v>3</v>
      </c>
      <c r="B3535" t="s">
        <v>296</v>
      </c>
      <c r="C3535" t="s">
        <v>3774</v>
      </c>
      <c r="D3535">
        <v>3.01</v>
      </c>
      <c r="E3535" t="s">
        <v>31</v>
      </c>
      <c r="F3535" t="s">
        <v>87</v>
      </c>
      <c r="G3535">
        <v>5.81</v>
      </c>
      <c r="H3535">
        <v>0.21</v>
      </c>
      <c r="I3535">
        <v>2.8</v>
      </c>
      <c r="J3535">
        <v>7.84</v>
      </c>
      <c r="K3535" t="str">
        <f>IFERROR(INDEX(Rosters!$C$2:$C$155,MATCH($B3535,Rosters!$B$2:$B$155,0)),"NA")</f>
        <v>NA</v>
      </c>
      <c r="L3535" t="str">
        <f t="shared" si="165"/>
        <v>NA3WR</v>
      </c>
      <c r="M3535">
        <f>COUNTIF(L$1:L3535,L3535)</f>
        <v>39</v>
      </c>
      <c r="N3535" t="str">
        <f t="shared" si="166"/>
        <v>NA3WR-39</v>
      </c>
      <c r="O3535">
        <f>COUNTIFS(F$1:F3535,F3535,A$1:A3535,A3535)</f>
        <v>87</v>
      </c>
      <c r="P3535" t="str">
        <f t="shared" si="167"/>
        <v>Jarius Wright3</v>
      </c>
    </row>
    <row r="3536" spans="1:16" x14ac:dyDescent="0.25">
      <c r="A3536">
        <v>14</v>
      </c>
      <c r="B3536" t="s">
        <v>1423</v>
      </c>
      <c r="C3536">
        <f>-0.13-6.15</f>
        <v>-6.28</v>
      </c>
      <c r="D3536">
        <v>3.01</v>
      </c>
      <c r="E3536" t="s">
        <v>423</v>
      </c>
      <c r="F3536" t="s">
        <v>114</v>
      </c>
      <c r="G3536">
        <v>6.15</v>
      </c>
      <c r="H3536">
        <v>-0.13</v>
      </c>
      <c r="I3536">
        <v>3.14</v>
      </c>
      <c r="J3536">
        <v>9.8596000000000004</v>
      </c>
      <c r="K3536" t="str">
        <f>IFERROR(INDEX(Rosters!$C$2:$C$155,MATCH($B3536,Rosters!$B$2:$B$155,0)),"NA")</f>
        <v>NA</v>
      </c>
      <c r="L3536" t="str">
        <f t="shared" si="165"/>
        <v>NA14TE</v>
      </c>
      <c r="M3536">
        <f>COUNTIF(L$1:L3536,L3536)</f>
        <v>15</v>
      </c>
      <c r="N3536" t="str">
        <f t="shared" si="166"/>
        <v>NA14TE-15</v>
      </c>
      <c r="O3536">
        <f>COUNTIFS(F$1:F3536,F3536,A$1:A3536,A3536)</f>
        <v>29</v>
      </c>
      <c r="P3536" t="str">
        <f t="shared" si="167"/>
        <v>Michael Gesicki14</v>
      </c>
    </row>
    <row r="3537" spans="1:16" x14ac:dyDescent="0.25">
      <c r="A3537">
        <v>4</v>
      </c>
      <c r="B3537" t="s">
        <v>238</v>
      </c>
      <c r="C3537" t="s">
        <v>4602</v>
      </c>
      <c r="D3537">
        <v>3.01</v>
      </c>
      <c r="E3537" t="s">
        <v>52</v>
      </c>
      <c r="F3537" t="s">
        <v>87</v>
      </c>
      <c r="G3537">
        <v>5.79</v>
      </c>
      <c r="H3537">
        <v>0.23</v>
      </c>
      <c r="I3537">
        <v>2.78</v>
      </c>
      <c r="J3537">
        <v>7.7283999999999997</v>
      </c>
      <c r="K3537" t="str">
        <f>IFERROR(INDEX(Rosters!$C$2:$C$155,MATCH($B3537,Rosters!$B$2:$B$155,0)),"NA")</f>
        <v>NA</v>
      </c>
      <c r="L3537" t="str">
        <f t="shared" si="165"/>
        <v>NA4WR</v>
      </c>
      <c r="M3537">
        <f>COUNTIF(L$1:L3537,L3537)</f>
        <v>36</v>
      </c>
      <c r="N3537" t="str">
        <f t="shared" si="166"/>
        <v>NA4WR-36</v>
      </c>
      <c r="O3537">
        <f>COUNTIFS(F$1:F3537,F3537,A$1:A3537,A3537)</f>
        <v>84</v>
      </c>
      <c r="P3537" t="str">
        <f t="shared" si="167"/>
        <v>Seth Roberts4</v>
      </c>
    </row>
    <row r="3538" spans="1:16" x14ac:dyDescent="0.25">
      <c r="A3538">
        <v>10</v>
      </c>
      <c r="B3538" t="s">
        <v>1457</v>
      </c>
      <c r="C3538" t="s">
        <v>8165</v>
      </c>
      <c r="D3538">
        <v>3.01</v>
      </c>
      <c r="E3538" t="s">
        <v>54</v>
      </c>
      <c r="F3538" t="s">
        <v>87</v>
      </c>
      <c r="G3538">
        <v>5.77</v>
      </c>
      <c r="H3538">
        <v>0.25</v>
      </c>
      <c r="I3538">
        <v>2.76</v>
      </c>
      <c r="J3538">
        <v>7.6176000000000004</v>
      </c>
      <c r="K3538" t="str">
        <f>IFERROR(INDEX(Rosters!$C$2:$C$155,MATCH($B3538,Rosters!$B$2:$B$155,0)),"NA")</f>
        <v>NA</v>
      </c>
      <c r="L3538" t="str">
        <f t="shared" si="165"/>
        <v>NA10WR</v>
      </c>
      <c r="M3538">
        <f>COUNTIF(L$1:L3538,L3538)</f>
        <v>41</v>
      </c>
      <c r="N3538" t="str">
        <f t="shared" si="166"/>
        <v>NA10WR-41</v>
      </c>
      <c r="O3538">
        <f>COUNTIFS(F$1:F3538,F3538,A$1:A3538,A3538)</f>
        <v>85</v>
      </c>
      <c r="P3538" t="str">
        <f t="shared" si="167"/>
        <v>Trent Taylor10</v>
      </c>
    </row>
    <row r="3539" spans="1:16" x14ac:dyDescent="0.25">
      <c r="A3539">
        <v>9</v>
      </c>
      <c r="B3539" t="s">
        <v>265</v>
      </c>
      <c r="C3539" t="s">
        <v>8166</v>
      </c>
      <c r="D3539">
        <v>3.01</v>
      </c>
      <c r="E3539" t="s">
        <v>46</v>
      </c>
      <c r="F3539" t="s">
        <v>114</v>
      </c>
      <c r="G3539">
        <v>5.49</v>
      </c>
      <c r="H3539">
        <v>0.53</v>
      </c>
      <c r="I3539">
        <v>2.48</v>
      </c>
      <c r="J3539">
        <v>6.1504000000000003</v>
      </c>
      <c r="K3539" t="str">
        <f>IFERROR(INDEX(Rosters!$C$2:$C$155,MATCH($B3539,Rosters!$B$2:$B$155,0)),"NA")</f>
        <v>NA</v>
      </c>
      <c r="L3539" t="str">
        <f t="shared" si="165"/>
        <v>NA9TE</v>
      </c>
      <c r="M3539">
        <f>COUNTIF(L$1:L3539,L3539)</f>
        <v>10</v>
      </c>
      <c r="N3539" t="str">
        <f t="shared" si="166"/>
        <v>NA9TE-10</v>
      </c>
      <c r="O3539">
        <f>COUNTIFS(F$1:F3539,F3539,A$1:A3539,A3539)</f>
        <v>21</v>
      </c>
      <c r="P3539" t="str">
        <f t="shared" si="167"/>
        <v>Vernon Davis9</v>
      </c>
    </row>
    <row r="3540" spans="1:16" x14ac:dyDescent="0.25">
      <c r="A3540">
        <v>16</v>
      </c>
      <c r="B3540" t="s">
        <v>312</v>
      </c>
      <c r="C3540" t="s">
        <v>8167</v>
      </c>
      <c r="D3540">
        <v>3</v>
      </c>
      <c r="E3540" t="s">
        <v>31</v>
      </c>
      <c r="F3540" t="s">
        <v>114</v>
      </c>
      <c r="G3540">
        <v>5.77</v>
      </c>
      <c r="H3540">
        <v>0.23</v>
      </c>
      <c r="I3540">
        <v>2.77</v>
      </c>
      <c r="J3540">
        <v>7.6729000000000003</v>
      </c>
      <c r="K3540" t="str">
        <f>IFERROR(INDEX(Rosters!$C$2:$C$155,MATCH($B3540,Rosters!$B$2:$B$155,0)),"NA")</f>
        <v>NA</v>
      </c>
      <c r="L3540" t="str">
        <f t="shared" si="165"/>
        <v>NA16TE</v>
      </c>
      <c r="M3540">
        <f>COUNTIF(L$1:L3540,L3540)</f>
        <v>14</v>
      </c>
      <c r="N3540" t="str">
        <f t="shared" si="166"/>
        <v>NA16TE-14</v>
      </c>
      <c r="O3540">
        <f>COUNTIFS(F$1:F3540,F3540,A$1:A3540,A3540)</f>
        <v>28</v>
      </c>
      <c r="P3540" t="str">
        <f t="shared" si="167"/>
        <v>Darren Fells16</v>
      </c>
    </row>
    <row r="3541" spans="1:16" x14ac:dyDescent="0.25">
      <c r="A3541">
        <v>6</v>
      </c>
      <c r="B3541" t="s">
        <v>358</v>
      </c>
      <c r="C3541" t="s">
        <v>8168</v>
      </c>
      <c r="D3541">
        <v>3</v>
      </c>
      <c r="E3541" t="s">
        <v>22</v>
      </c>
      <c r="F3541" t="s">
        <v>114</v>
      </c>
      <c r="G3541">
        <v>5.83</v>
      </c>
      <c r="H3541">
        <v>0.17</v>
      </c>
      <c r="I3541">
        <v>2.83</v>
      </c>
      <c r="J3541">
        <v>8.0089000000000006</v>
      </c>
      <c r="K3541" t="str">
        <f>IFERROR(INDEX(Rosters!$C$2:$C$155,MATCH($B3541,Rosters!$B$2:$B$155,0)),"NA")</f>
        <v>NA</v>
      </c>
      <c r="L3541" t="str">
        <f t="shared" si="165"/>
        <v>NA6TE</v>
      </c>
      <c r="M3541">
        <f>COUNTIF(L$1:L3541,L3541)</f>
        <v>17</v>
      </c>
      <c r="N3541" t="str">
        <f t="shared" si="166"/>
        <v>NA6TE-17</v>
      </c>
      <c r="O3541">
        <f>COUNTIFS(F$1:F3541,F3541,A$1:A3541,A3541)</f>
        <v>29</v>
      </c>
      <c r="P3541" t="str">
        <f t="shared" si="167"/>
        <v>James O'Shaughnessy6</v>
      </c>
    </row>
    <row r="3542" spans="1:16" x14ac:dyDescent="0.25">
      <c r="A3542">
        <v>17</v>
      </c>
      <c r="B3542" t="s">
        <v>4236</v>
      </c>
      <c r="C3542">
        <f>-0.59-6.59</f>
        <v>-7.18</v>
      </c>
      <c r="D3542">
        <v>3</v>
      </c>
      <c r="E3542" t="s">
        <v>34</v>
      </c>
      <c r="F3542" t="s">
        <v>87</v>
      </c>
      <c r="G3542">
        <v>6.59</v>
      </c>
      <c r="H3542">
        <v>-0.59</v>
      </c>
      <c r="I3542">
        <v>3.59</v>
      </c>
      <c r="J3542">
        <v>12.8881</v>
      </c>
      <c r="K3542" t="str">
        <f>IFERROR(INDEX(Rosters!$C$2:$C$155,MATCH($B3542,Rosters!$B$2:$B$155,0)),"NA")</f>
        <v>aj</v>
      </c>
      <c r="L3542" t="str">
        <f t="shared" si="165"/>
        <v>aj17WR</v>
      </c>
      <c r="M3542">
        <f>COUNTIF(L$1:L3542,L3542)</f>
        <v>6</v>
      </c>
      <c r="N3542" t="str">
        <f t="shared" si="166"/>
        <v>aj17WR-6</v>
      </c>
      <c r="O3542">
        <f>COUNTIFS(F$1:F3542,F3542,A$1:A3542,A3542)</f>
        <v>99</v>
      </c>
      <c r="P3542" t="str">
        <f t="shared" si="167"/>
        <v>Marquez Valdes-Scantling17</v>
      </c>
    </row>
    <row r="3543" spans="1:16" x14ac:dyDescent="0.25">
      <c r="A3543">
        <v>3</v>
      </c>
      <c r="B3543" t="s">
        <v>156</v>
      </c>
      <c r="C3543" t="s">
        <v>3775</v>
      </c>
      <c r="D3543">
        <v>3</v>
      </c>
      <c r="E3543" t="s">
        <v>19</v>
      </c>
      <c r="F3543" t="s">
        <v>87</v>
      </c>
      <c r="G3543">
        <v>5.3</v>
      </c>
      <c r="H3543">
        <v>0.7</v>
      </c>
      <c r="I3543">
        <v>2.2999999999999998</v>
      </c>
      <c r="J3543">
        <v>5.29</v>
      </c>
      <c r="K3543" t="str">
        <f>IFERROR(INDEX(Rosters!$C$2:$C$155,MATCH($B3543,Rosters!$B$2:$B$155,0)),"NA")</f>
        <v>NA</v>
      </c>
      <c r="L3543" t="str">
        <f t="shared" si="165"/>
        <v>NA3WR</v>
      </c>
      <c r="M3543">
        <f>COUNTIF(L$1:L3543,L3543)</f>
        <v>40</v>
      </c>
      <c r="N3543" t="str">
        <f t="shared" si="166"/>
        <v>NA3WR-40</v>
      </c>
      <c r="O3543">
        <f>COUNTIFS(F$1:F3543,F3543,A$1:A3543,A3543)</f>
        <v>88</v>
      </c>
      <c r="P3543" t="str">
        <f t="shared" si="167"/>
        <v>Martavis Bryant3</v>
      </c>
    </row>
    <row r="3544" spans="1:16" x14ac:dyDescent="0.25">
      <c r="A3544">
        <v>13</v>
      </c>
      <c r="B3544" t="s">
        <v>1319</v>
      </c>
      <c r="C3544">
        <f>-0.18-6.18</f>
        <v>-6.3599999999999994</v>
      </c>
      <c r="D3544">
        <v>3</v>
      </c>
      <c r="E3544" t="s">
        <v>74</v>
      </c>
      <c r="F3544" t="s">
        <v>47</v>
      </c>
      <c r="G3544">
        <v>6.18</v>
      </c>
      <c r="H3544">
        <v>-0.18</v>
      </c>
      <c r="I3544">
        <v>3.18</v>
      </c>
      <c r="J3544">
        <v>10.112399999999999</v>
      </c>
      <c r="K3544" t="str">
        <f>IFERROR(INDEX(Rosters!$C$2:$C$155,MATCH($B3544,Rosters!$B$2:$B$155,0)),"NA")</f>
        <v>NA</v>
      </c>
      <c r="L3544" t="str">
        <f t="shared" si="165"/>
        <v>NA13RB</v>
      </c>
      <c r="M3544">
        <f>COUNTIF(L$1:L3544,L3544)</f>
        <v>22</v>
      </c>
      <c r="N3544" t="str">
        <f t="shared" si="166"/>
        <v>NA13RB-22</v>
      </c>
      <c r="O3544">
        <f>COUNTIFS(F$1:F3544,F3544,A$1:A3544,A3544)</f>
        <v>68</v>
      </c>
      <c r="P3544" t="str">
        <f t="shared" si="167"/>
        <v>Ronald Jones13</v>
      </c>
    </row>
    <row r="3545" spans="1:16" x14ac:dyDescent="0.25">
      <c r="A3545">
        <v>10</v>
      </c>
      <c r="B3545" t="s">
        <v>242</v>
      </c>
      <c r="C3545" t="s">
        <v>8169</v>
      </c>
      <c r="D3545">
        <v>2.99</v>
      </c>
      <c r="E3545" t="s">
        <v>60</v>
      </c>
      <c r="F3545" t="s">
        <v>87</v>
      </c>
      <c r="G3545">
        <v>5.52</v>
      </c>
      <c r="H3545">
        <v>0.46</v>
      </c>
      <c r="I3545">
        <v>2.5299999999999998</v>
      </c>
      <c r="J3545">
        <v>6.4009</v>
      </c>
      <c r="K3545" t="str">
        <f>IFERROR(INDEX(Rosters!$C$2:$C$155,MATCH($B3545,Rosters!$B$2:$B$155,0)),"NA")</f>
        <v>NA</v>
      </c>
      <c r="L3545" t="str">
        <f t="shared" si="165"/>
        <v>NA10WR</v>
      </c>
      <c r="M3545">
        <f>COUNTIF(L$1:L3545,L3545)</f>
        <v>42</v>
      </c>
      <c r="N3545" t="str">
        <f t="shared" si="166"/>
        <v>NA10WR-42</v>
      </c>
      <c r="O3545">
        <f>COUNTIFS(F$1:F3545,F3545,A$1:A3545,A3545)</f>
        <v>86</v>
      </c>
      <c r="P3545" t="str">
        <f t="shared" si="167"/>
        <v>Adam Humphries10</v>
      </c>
    </row>
    <row r="3546" spans="1:16" x14ac:dyDescent="0.25">
      <c r="A3546">
        <v>10</v>
      </c>
      <c r="B3546" t="s">
        <v>167</v>
      </c>
      <c r="C3546" t="s">
        <v>8170</v>
      </c>
      <c r="D3546">
        <v>2.99</v>
      </c>
      <c r="E3546" t="s">
        <v>56</v>
      </c>
      <c r="F3546" t="s">
        <v>87</v>
      </c>
      <c r="G3546">
        <v>5.95</v>
      </c>
      <c r="H3546">
        <v>0.03</v>
      </c>
      <c r="I3546">
        <v>2.96</v>
      </c>
      <c r="J3546">
        <v>8.7615999999999996</v>
      </c>
      <c r="K3546" t="str">
        <f>IFERROR(INDEX(Rosters!$C$2:$C$155,MATCH($B3546,Rosters!$B$2:$B$155,0)),"NA")</f>
        <v>NA</v>
      </c>
      <c r="L3546" t="str">
        <f t="shared" si="165"/>
        <v>NA10WR</v>
      </c>
      <c r="M3546">
        <f>COUNTIF(L$1:L3546,L3546)</f>
        <v>43</v>
      </c>
      <c r="N3546" t="str">
        <f t="shared" si="166"/>
        <v>NA10WR-43</v>
      </c>
      <c r="O3546">
        <f>COUNTIFS(F$1:F3546,F3546,A$1:A3546,A3546)</f>
        <v>87</v>
      </c>
      <c r="P3546" t="str">
        <f t="shared" si="167"/>
        <v>Brandon Marshall10</v>
      </c>
    </row>
    <row r="3547" spans="1:16" x14ac:dyDescent="0.25">
      <c r="A3547">
        <v>4</v>
      </c>
      <c r="B3547" t="s">
        <v>312</v>
      </c>
      <c r="C3547" t="s">
        <v>4603</v>
      </c>
      <c r="D3547">
        <v>2.99</v>
      </c>
      <c r="E3547" t="s">
        <v>32</v>
      </c>
      <c r="F3547" t="s">
        <v>114</v>
      </c>
      <c r="G3547">
        <v>5.44</v>
      </c>
      <c r="H3547">
        <v>0.54</v>
      </c>
      <c r="I3547">
        <v>2.4500000000000002</v>
      </c>
      <c r="J3547">
        <v>6.0025000000000004</v>
      </c>
      <c r="K3547" t="str">
        <f>IFERROR(INDEX(Rosters!$C$2:$C$155,MATCH($B3547,Rosters!$B$2:$B$155,0)),"NA")</f>
        <v>NA</v>
      </c>
      <c r="L3547" t="str">
        <f t="shared" si="165"/>
        <v>NA4TE</v>
      </c>
      <c r="M3547">
        <f>COUNTIF(L$1:L3547,L3547)</f>
        <v>15</v>
      </c>
      <c r="N3547" t="str">
        <f t="shared" si="166"/>
        <v>NA4TE-15</v>
      </c>
      <c r="O3547">
        <f>COUNTIFS(F$1:F3547,F3547,A$1:A3547,A3547)</f>
        <v>26</v>
      </c>
      <c r="P3547" t="str">
        <f t="shared" si="167"/>
        <v>Darren Fells4</v>
      </c>
    </row>
    <row r="3548" spans="1:16" x14ac:dyDescent="0.25">
      <c r="A3548">
        <v>14</v>
      </c>
      <c r="B3548" t="s">
        <v>1036</v>
      </c>
      <c r="C3548" t="s">
        <v>8171</v>
      </c>
      <c r="D3548">
        <v>2.99</v>
      </c>
      <c r="E3548" t="s">
        <v>50</v>
      </c>
      <c r="F3548" t="s">
        <v>87</v>
      </c>
      <c r="G3548">
        <v>5.45</v>
      </c>
      <c r="H3548">
        <v>0.53</v>
      </c>
      <c r="I3548">
        <v>2.46</v>
      </c>
      <c r="J3548">
        <v>6.0515999999999996</v>
      </c>
      <c r="K3548" t="str">
        <f>IFERROR(INDEX(Rosters!$C$2:$C$155,MATCH($B3548,Rosters!$B$2:$B$155,0)),"NA")</f>
        <v>NA</v>
      </c>
      <c r="L3548" t="str">
        <f t="shared" si="165"/>
        <v>NA14WR</v>
      </c>
      <c r="M3548">
        <f>COUNTIF(L$1:L3548,L3548)</f>
        <v>43</v>
      </c>
      <c r="N3548" t="str">
        <f t="shared" si="166"/>
        <v>NA14WR-43</v>
      </c>
      <c r="O3548">
        <f>COUNTIFS(F$1:F3548,F3548,A$1:A3548,A3548)</f>
        <v>96</v>
      </c>
      <c r="P3548" t="str">
        <f t="shared" si="167"/>
        <v>Deonte Thompson14</v>
      </c>
    </row>
    <row r="3549" spans="1:16" x14ac:dyDescent="0.25">
      <c r="A3549">
        <v>11</v>
      </c>
      <c r="B3549" t="s">
        <v>1439</v>
      </c>
      <c r="C3549" t="s">
        <v>8172</v>
      </c>
      <c r="D3549">
        <v>2.99</v>
      </c>
      <c r="E3549" t="s">
        <v>76</v>
      </c>
      <c r="F3549" t="s">
        <v>87</v>
      </c>
      <c r="G3549">
        <v>5.72</v>
      </c>
      <c r="H3549">
        <v>0.26</v>
      </c>
      <c r="I3549">
        <v>2.73</v>
      </c>
      <c r="J3549">
        <v>7.4528999999999996</v>
      </c>
      <c r="K3549" t="str">
        <f>IFERROR(INDEX(Rosters!$C$2:$C$155,MATCH($B3549,Rosters!$B$2:$B$155,0)),"NA")</f>
        <v>NA</v>
      </c>
      <c r="L3549" t="str">
        <f t="shared" si="165"/>
        <v>NA11WR</v>
      </c>
      <c r="M3549">
        <f>COUNTIF(L$1:L3549,L3549)</f>
        <v>33</v>
      </c>
      <c r="N3549" t="str">
        <f t="shared" si="166"/>
        <v>NA11WR-33</v>
      </c>
      <c r="O3549">
        <f>COUNTIFS(F$1:F3549,F3549,A$1:A3549,A3549)</f>
        <v>79</v>
      </c>
      <c r="P3549" t="str">
        <f t="shared" si="167"/>
        <v>James Washington11</v>
      </c>
    </row>
    <row r="3550" spans="1:16" x14ac:dyDescent="0.25">
      <c r="A3550">
        <v>1</v>
      </c>
      <c r="B3550" t="s">
        <v>144</v>
      </c>
      <c r="C3550" t="s">
        <v>2272</v>
      </c>
      <c r="D3550">
        <v>2.99</v>
      </c>
      <c r="E3550" t="s">
        <v>17</v>
      </c>
      <c r="F3550" t="s">
        <v>47</v>
      </c>
      <c r="G3550">
        <v>5.66</v>
      </c>
      <c r="H3550">
        <v>0.32</v>
      </c>
      <c r="I3550">
        <v>2.67</v>
      </c>
      <c r="J3550">
        <v>7.1288999999999998</v>
      </c>
      <c r="K3550" t="str">
        <f>IFERROR(INDEX(Rosters!$C$2:$C$155,MATCH($B3550,Rosters!$B$2:$B$155,0)),"NA")</f>
        <v>NA</v>
      </c>
      <c r="L3550" t="str">
        <f t="shared" si="165"/>
        <v>NA1RB</v>
      </c>
      <c r="M3550">
        <f>COUNTIF(L$1:L3550,L3550)</f>
        <v>21</v>
      </c>
      <c r="N3550" t="str">
        <f t="shared" si="166"/>
        <v>NA1RB-21</v>
      </c>
      <c r="O3550">
        <f>COUNTIFS(F$1:F3550,F3550,A$1:A3550,A3550)</f>
        <v>63</v>
      </c>
      <c r="P3550" t="str">
        <f t="shared" si="167"/>
        <v>Mike Gillislee1</v>
      </c>
    </row>
    <row r="3551" spans="1:16" x14ac:dyDescent="0.25">
      <c r="A3551">
        <v>17</v>
      </c>
      <c r="B3551" t="s">
        <v>1646</v>
      </c>
      <c r="C3551" t="s">
        <v>8173</v>
      </c>
      <c r="D3551">
        <v>2.99</v>
      </c>
      <c r="E3551" t="s">
        <v>74</v>
      </c>
      <c r="F3551" t="s">
        <v>15</v>
      </c>
      <c r="G3551">
        <v>3.57</v>
      </c>
      <c r="H3551">
        <v>2.41</v>
      </c>
      <c r="I3551">
        <v>0.57999999999999996</v>
      </c>
      <c r="J3551">
        <v>0.33639999999999998</v>
      </c>
      <c r="K3551" t="str">
        <f>IFERROR(INDEX(Rosters!$C$2:$C$155,MATCH($B3551,Rosters!$B$2:$B$155,0)),"NA")</f>
        <v>NA</v>
      </c>
      <c r="L3551" t="str">
        <f t="shared" si="165"/>
        <v>NA17QB</v>
      </c>
      <c r="M3551">
        <f>COUNTIF(L$1:L3551,L3551)</f>
        <v>16</v>
      </c>
      <c r="N3551" t="str">
        <f t="shared" si="166"/>
        <v>NA17QB-16</v>
      </c>
      <c r="O3551">
        <f>COUNTIFS(F$1:F3551,F3551,A$1:A3551,A3551)</f>
        <v>33</v>
      </c>
      <c r="P3551" t="str">
        <f t="shared" si="167"/>
        <v>Taysom Hill17</v>
      </c>
    </row>
    <row r="3552" spans="1:16" x14ac:dyDescent="0.25">
      <c r="A3552">
        <v>7</v>
      </c>
      <c r="B3552" t="s">
        <v>209</v>
      </c>
      <c r="C3552">
        <f>-0.71-6.69</f>
        <v>-7.4</v>
      </c>
      <c r="D3552">
        <v>2.99</v>
      </c>
      <c r="E3552" t="s">
        <v>50</v>
      </c>
      <c r="F3552" t="s">
        <v>87</v>
      </c>
      <c r="G3552">
        <v>6.69</v>
      </c>
      <c r="H3552">
        <v>-0.71</v>
      </c>
      <c r="I3552">
        <v>3.7</v>
      </c>
      <c r="J3552">
        <v>13.69</v>
      </c>
      <c r="K3552" t="str">
        <f>IFERROR(INDEX(Rosters!$C$2:$C$155,MATCH($B3552,Rosters!$B$2:$B$155,0)),"NA")</f>
        <v>NA</v>
      </c>
      <c r="L3552" t="str">
        <f t="shared" si="165"/>
        <v>NA7WR</v>
      </c>
      <c r="M3552">
        <f>COUNTIF(L$1:L3552,L3552)</f>
        <v>36</v>
      </c>
      <c r="N3552" t="str">
        <f t="shared" si="166"/>
        <v>NA7WR-36</v>
      </c>
      <c r="O3552">
        <f>COUNTIFS(F$1:F3552,F3552,A$1:A3552,A3552)</f>
        <v>80</v>
      </c>
      <c r="P3552" t="str">
        <f t="shared" si="167"/>
        <v>Torrey Smith7</v>
      </c>
    </row>
    <row r="3553" spans="1:16" x14ac:dyDescent="0.25">
      <c r="A3553">
        <v>12</v>
      </c>
      <c r="B3553" t="s">
        <v>299</v>
      </c>
      <c r="C3553" t="s">
        <v>8174</v>
      </c>
      <c r="D3553">
        <v>2.98</v>
      </c>
      <c r="E3553" t="s">
        <v>42</v>
      </c>
      <c r="F3553" t="s">
        <v>114</v>
      </c>
      <c r="G3553">
        <v>5</v>
      </c>
      <c r="H3553">
        <v>0.96</v>
      </c>
      <c r="I3553">
        <v>2.02</v>
      </c>
      <c r="J3553">
        <v>4.0804</v>
      </c>
      <c r="K3553" t="str">
        <f>IFERROR(INDEX(Rosters!$C$2:$C$155,MATCH($B3553,Rosters!$B$2:$B$155,0)),"NA")</f>
        <v>NA</v>
      </c>
      <c r="L3553" t="str">
        <f t="shared" si="165"/>
        <v>NA12TE</v>
      </c>
      <c r="M3553">
        <f>COUNTIF(L$1:L3553,L3553)</f>
        <v>14</v>
      </c>
      <c r="N3553" t="str">
        <f t="shared" si="166"/>
        <v>NA12TE-14</v>
      </c>
      <c r="O3553">
        <f>COUNTIFS(F$1:F3553,F3553,A$1:A3553,A3553)</f>
        <v>27</v>
      </c>
      <c r="P3553" t="str">
        <f t="shared" si="167"/>
        <v>Jesse James12</v>
      </c>
    </row>
    <row r="3554" spans="1:16" x14ac:dyDescent="0.25">
      <c r="A3554">
        <v>12</v>
      </c>
      <c r="B3554" t="s">
        <v>230</v>
      </c>
      <c r="C3554" t="s">
        <v>8175</v>
      </c>
      <c r="D3554">
        <v>2.98</v>
      </c>
      <c r="E3554" t="s">
        <v>22</v>
      </c>
      <c r="F3554" t="s">
        <v>87</v>
      </c>
      <c r="G3554">
        <v>5.5</v>
      </c>
      <c r="H3554">
        <v>0.46</v>
      </c>
      <c r="I3554">
        <v>2.52</v>
      </c>
      <c r="J3554">
        <v>6.3503999999999996</v>
      </c>
      <c r="K3554" t="str">
        <f>IFERROR(INDEX(Rosters!$C$2:$C$155,MATCH($B3554,Rosters!$B$2:$B$155,0)),"NA")</f>
        <v>NA</v>
      </c>
      <c r="L3554" t="str">
        <f t="shared" si="165"/>
        <v>NA12WR</v>
      </c>
      <c r="M3554">
        <f>COUNTIF(L$1:L3554,L3554)</f>
        <v>47</v>
      </c>
      <c r="N3554" t="str">
        <f t="shared" si="166"/>
        <v>NA12WR-47</v>
      </c>
      <c r="O3554">
        <f>COUNTIFS(F$1:F3554,F3554,A$1:A3554,A3554)</f>
        <v>94</v>
      </c>
      <c r="P3554" t="str">
        <f t="shared" si="167"/>
        <v>Josh Doctson12</v>
      </c>
    </row>
    <row r="3555" spans="1:16" x14ac:dyDescent="0.25">
      <c r="A3555">
        <v>12</v>
      </c>
      <c r="B3555" t="s">
        <v>4899</v>
      </c>
      <c r="C3555" t="s">
        <v>8176</v>
      </c>
      <c r="D3555">
        <v>2.98</v>
      </c>
      <c r="E3555" t="s">
        <v>38</v>
      </c>
      <c r="F3555" t="s">
        <v>87</v>
      </c>
      <c r="G3555">
        <v>5.47</v>
      </c>
      <c r="H3555">
        <v>0.49</v>
      </c>
      <c r="I3555">
        <v>2.4900000000000002</v>
      </c>
      <c r="J3555">
        <v>6.2000999999999999</v>
      </c>
      <c r="K3555" t="str">
        <f>IFERROR(INDEX(Rosters!$C$2:$C$155,MATCH($B3555,Rosters!$B$2:$B$155,0)),"NA")</f>
        <v>perry</v>
      </c>
      <c r="L3555" t="str">
        <f t="shared" si="165"/>
        <v>perry12WR</v>
      </c>
      <c r="M3555">
        <f>COUNTIF(L$1:L3555,L3555)</f>
        <v>5</v>
      </c>
      <c r="N3555" t="str">
        <f t="shared" si="166"/>
        <v>perry12WR-5</v>
      </c>
      <c r="O3555">
        <f>COUNTIFS(F$1:F3555,F3555,A$1:A3555,A3555)</f>
        <v>95</v>
      </c>
      <c r="P3555" t="str">
        <f t="shared" si="167"/>
        <v>Keke Coutee12</v>
      </c>
    </row>
    <row r="3556" spans="1:16" x14ac:dyDescent="0.25">
      <c r="A3556">
        <v>15</v>
      </c>
      <c r="B3556" t="s">
        <v>1511</v>
      </c>
      <c r="C3556" t="s">
        <v>8177</v>
      </c>
      <c r="D3556">
        <v>2.98</v>
      </c>
      <c r="E3556" t="s">
        <v>54</v>
      </c>
      <c r="F3556" t="s">
        <v>87</v>
      </c>
      <c r="G3556">
        <v>5.42</v>
      </c>
      <c r="H3556">
        <v>0.54</v>
      </c>
      <c r="I3556">
        <v>2.44</v>
      </c>
      <c r="J3556">
        <v>5.9535999999999998</v>
      </c>
      <c r="K3556" t="str">
        <f>IFERROR(INDEX(Rosters!$C$2:$C$155,MATCH($B3556,Rosters!$B$2:$B$155,0)),"NA")</f>
        <v>NA</v>
      </c>
      <c r="L3556" t="str">
        <f t="shared" si="165"/>
        <v>NA15WR</v>
      </c>
      <c r="M3556">
        <f>COUNTIF(L$1:L3556,L3556)</f>
        <v>48</v>
      </c>
      <c r="N3556" t="str">
        <f t="shared" si="166"/>
        <v>NA15WR-48</v>
      </c>
      <c r="O3556">
        <f>COUNTIFS(F$1:F3556,F3556,A$1:A3556,A3556)</f>
        <v>101</v>
      </c>
      <c r="P3556" t="str">
        <f t="shared" si="167"/>
        <v>Tajae Sharpe15</v>
      </c>
    </row>
    <row r="3557" spans="1:16" x14ac:dyDescent="0.25">
      <c r="A3557">
        <v>16</v>
      </c>
      <c r="B3557" t="s">
        <v>1489</v>
      </c>
      <c r="C3557">
        <f>-1.26-7.2</f>
        <v>-8.4600000000000009</v>
      </c>
      <c r="D3557">
        <v>2.97</v>
      </c>
      <c r="E3557" t="s">
        <v>56</v>
      </c>
      <c r="F3557" t="s">
        <v>87</v>
      </c>
      <c r="G3557">
        <v>7.2</v>
      </c>
      <c r="H3557">
        <v>-1.26</v>
      </c>
      <c r="I3557">
        <v>4.2300000000000004</v>
      </c>
      <c r="J3557">
        <v>17.892900000000001</v>
      </c>
      <c r="K3557" t="str">
        <f>IFERROR(INDEX(Rosters!$C$2:$C$155,MATCH($B3557,Rosters!$B$2:$B$155,0)),"NA")</f>
        <v>NA</v>
      </c>
      <c r="L3557" t="str">
        <f t="shared" si="165"/>
        <v>NA16WR</v>
      </c>
      <c r="M3557">
        <f>COUNTIF(L$1:L3557,L3557)</f>
        <v>45</v>
      </c>
      <c r="N3557" t="str">
        <f t="shared" si="166"/>
        <v>NA16WR-45</v>
      </c>
      <c r="O3557">
        <f>COUNTIFS(F$1:F3557,F3557,A$1:A3557,A3557)</f>
        <v>98</v>
      </c>
      <c r="P3557" t="str">
        <f t="shared" si="167"/>
        <v>Chad Williams16</v>
      </c>
    </row>
    <row r="3558" spans="1:16" x14ac:dyDescent="0.25">
      <c r="A3558">
        <v>3</v>
      </c>
      <c r="B3558" t="s">
        <v>310</v>
      </c>
      <c r="C3558" t="s">
        <v>3776</v>
      </c>
      <c r="D3558">
        <v>2.97</v>
      </c>
      <c r="E3558" t="s">
        <v>30</v>
      </c>
      <c r="F3558" t="s">
        <v>114</v>
      </c>
      <c r="G3558">
        <v>5.91</v>
      </c>
      <c r="H3558">
        <v>0.03</v>
      </c>
      <c r="I3558">
        <v>2.94</v>
      </c>
      <c r="J3558">
        <v>8.6435999999999993</v>
      </c>
      <c r="K3558" t="str">
        <f>IFERROR(INDEX(Rosters!$C$2:$C$155,MATCH($B3558,Rosters!$B$2:$B$155,0)),"NA")</f>
        <v>NA</v>
      </c>
      <c r="L3558" t="str">
        <f t="shared" si="165"/>
        <v>NA3TE</v>
      </c>
      <c r="M3558">
        <f>COUNTIF(L$1:L3558,L3558)</f>
        <v>11</v>
      </c>
      <c r="N3558" t="str">
        <f t="shared" si="166"/>
        <v>NA3TE-11</v>
      </c>
      <c r="O3558">
        <f>COUNTIFS(F$1:F3558,F3558,A$1:A3558,A3558)</f>
        <v>23</v>
      </c>
      <c r="P3558" t="str">
        <f t="shared" si="167"/>
        <v>Demetrius Harris3</v>
      </c>
    </row>
    <row r="3559" spans="1:16" x14ac:dyDescent="0.25">
      <c r="A3559">
        <v>15</v>
      </c>
      <c r="B3559" t="s">
        <v>142</v>
      </c>
      <c r="C3559" t="s">
        <v>8178</v>
      </c>
      <c r="D3559">
        <v>2.97</v>
      </c>
      <c r="E3559" t="s">
        <v>77</v>
      </c>
      <c r="F3559" t="s">
        <v>47</v>
      </c>
      <c r="G3559">
        <v>5.8</v>
      </c>
      <c r="H3559">
        <v>0.14000000000000001</v>
      </c>
      <c r="I3559">
        <v>2.83</v>
      </c>
      <c r="J3559">
        <v>8.0089000000000006</v>
      </c>
      <c r="K3559" t="str">
        <f>IFERROR(INDEX(Rosters!$C$2:$C$155,MATCH($B3559,Rosters!$B$2:$B$155,0)),"NA")</f>
        <v>NA</v>
      </c>
      <c r="L3559" t="str">
        <f t="shared" si="165"/>
        <v>NA15RB</v>
      </c>
      <c r="M3559">
        <f>COUNTIF(L$1:L3559,L3559)</f>
        <v>22</v>
      </c>
      <c r="N3559" t="str">
        <f t="shared" si="166"/>
        <v>NA15RB-22</v>
      </c>
      <c r="O3559">
        <f>COUNTIFS(F$1:F3559,F3559,A$1:A3559,A3559)</f>
        <v>68</v>
      </c>
      <c r="P3559" t="str">
        <f t="shared" si="167"/>
        <v>Jacquizz Rodgers15</v>
      </c>
    </row>
    <row r="3560" spans="1:16" x14ac:dyDescent="0.25">
      <c r="A3560">
        <v>14</v>
      </c>
      <c r="B3560" t="s">
        <v>378</v>
      </c>
      <c r="C3560">
        <f>-0.12-6.06</f>
        <v>-6.18</v>
      </c>
      <c r="D3560">
        <v>2.97</v>
      </c>
      <c r="E3560" t="s">
        <v>423</v>
      </c>
      <c r="F3560" t="s">
        <v>87</v>
      </c>
      <c r="G3560">
        <v>6.06</v>
      </c>
      <c r="H3560">
        <v>-0.12</v>
      </c>
      <c r="I3560">
        <v>3.09</v>
      </c>
      <c r="J3560">
        <v>9.5480999999999998</v>
      </c>
      <c r="K3560" t="str">
        <f>IFERROR(INDEX(Rosters!$C$2:$C$155,MATCH($B3560,Rosters!$B$2:$B$155,0)),"NA")</f>
        <v>NA</v>
      </c>
      <c r="L3560" t="str">
        <f t="shared" si="165"/>
        <v>NA14WR</v>
      </c>
      <c r="M3560">
        <f>COUNTIF(L$1:L3560,L3560)</f>
        <v>44</v>
      </c>
      <c r="N3560" t="str">
        <f t="shared" si="166"/>
        <v>NA14WR-44</v>
      </c>
      <c r="O3560">
        <f>COUNTIFS(F$1:F3560,F3560,A$1:A3560,A3560)</f>
        <v>97</v>
      </c>
      <c r="P3560" t="str">
        <f t="shared" si="167"/>
        <v>Jakeem Grant14</v>
      </c>
    </row>
    <row r="3561" spans="1:16" x14ac:dyDescent="0.25">
      <c r="A3561">
        <v>14</v>
      </c>
      <c r="B3561" t="s">
        <v>4236</v>
      </c>
      <c r="C3561">
        <f>-0.66-6.6</f>
        <v>-7.26</v>
      </c>
      <c r="D3561">
        <v>2.97</v>
      </c>
      <c r="E3561" t="s">
        <v>46</v>
      </c>
      <c r="F3561" t="s">
        <v>87</v>
      </c>
      <c r="G3561">
        <v>6.6</v>
      </c>
      <c r="H3561">
        <v>-0.66</v>
      </c>
      <c r="I3561">
        <v>3.63</v>
      </c>
      <c r="J3561">
        <v>13.1769</v>
      </c>
      <c r="K3561" t="str">
        <f>IFERROR(INDEX(Rosters!$C$2:$C$155,MATCH($B3561,Rosters!$B$2:$B$155,0)),"NA")</f>
        <v>aj</v>
      </c>
      <c r="L3561" t="str">
        <f t="shared" si="165"/>
        <v>aj14WR</v>
      </c>
      <c r="M3561">
        <f>COUNTIF(L$1:L3561,L3561)</f>
        <v>6</v>
      </c>
      <c r="N3561" t="str">
        <f t="shared" si="166"/>
        <v>aj14WR-6</v>
      </c>
      <c r="O3561">
        <f>COUNTIFS(F$1:F3561,F3561,A$1:A3561,A3561)</f>
        <v>98</v>
      </c>
      <c r="P3561" t="str">
        <f t="shared" si="167"/>
        <v>Marquez Valdes-Scantling14</v>
      </c>
    </row>
    <row r="3562" spans="1:16" x14ac:dyDescent="0.25">
      <c r="A3562">
        <v>3</v>
      </c>
      <c r="B3562" t="s">
        <v>330</v>
      </c>
      <c r="C3562">
        <f>-1.01-6.93</f>
        <v>-7.9399999999999995</v>
      </c>
      <c r="D3562">
        <v>2.96</v>
      </c>
      <c r="E3562" t="s">
        <v>31</v>
      </c>
      <c r="F3562" t="s">
        <v>114</v>
      </c>
      <c r="G3562">
        <v>6.93</v>
      </c>
      <c r="H3562">
        <v>-1.01</v>
      </c>
      <c r="I3562">
        <v>3.97</v>
      </c>
      <c r="J3562">
        <v>15.760899999999999</v>
      </c>
      <c r="K3562" t="str">
        <f>IFERROR(INDEX(Rosters!$C$2:$C$155,MATCH($B3562,Rosters!$B$2:$B$155,0)),"NA")</f>
        <v>NA</v>
      </c>
      <c r="L3562" t="str">
        <f t="shared" si="165"/>
        <v>NA3TE</v>
      </c>
      <c r="M3562">
        <f>COUNTIF(L$1:L3562,L3562)</f>
        <v>12</v>
      </c>
      <c r="N3562" t="str">
        <f t="shared" si="166"/>
        <v>NA3TE-12</v>
      </c>
      <c r="O3562">
        <f>COUNTIFS(F$1:F3562,F3562,A$1:A3562,A3562)</f>
        <v>24</v>
      </c>
      <c r="P3562" t="str">
        <f t="shared" si="167"/>
        <v>Chris Manhertz3</v>
      </c>
    </row>
    <row r="3563" spans="1:16" x14ac:dyDescent="0.25">
      <c r="A3563">
        <v>17</v>
      </c>
      <c r="B3563" t="s">
        <v>233</v>
      </c>
      <c r="C3563" t="s">
        <v>8179</v>
      </c>
      <c r="D3563">
        <v>2.96</v>
      </c>
      <c r="E3563" t="s">
        <v>14</v>
      </c>
      <c r="F3563" t="s">
        <v>87</v>
      </c>
      <c r="G3563">
        <v>5.51</v>
      </c>
      <c r="H3563">
        <v>0.41</v>
      </c>
      <c r="I3563">
        <v>2.5499999999999998</v>
      </c>
      <c r="J3563">
        <v>6.5025000000000004</v>
      </c>
      <c r="K3563" t="str">
        <f>IFERROR(INDEX(Rosters!$C$2:$C$155,MATCH($B3563,Rosters!$B$2:$B$155,0)),"NA")</f>
        <v>NA</v>
      </c>
      <c r="L3563" t="str">
        <f t="shared" si="165"/>
        <v>NA17WR</v>
      </c>
      <c r="M3563">
        <f>COUNTIF(L$1:L3563,L3563)</f>
        <v>47</v>
      </c>
      <c r="N3563" t="str">
        <f t="shared" si="166"/>
        <v>NA17WR-47</v>
      </c>
      <c r="O3563">
        <f>COUNTIFS(F$1:F3563,F3563,A$1:A3563,A3563)</f>
        <v>100</v>
      </c>
      <c r="P3563" t="str">
        <f t="shared" si="167"/>
        <v>Curtis Samuel17</v>
      </c>
    </row>
    <row r="3564" spans="1:16" x14ac:dyDescent="0.25">
      <c r="A3564">
        <v>13</v>
      </c>
      <c r="B3564" t="s">
        <v>307</v>
      </c>
      <c r="C3564" t="s">
        <v>8180</v>
      </c>
      <c r="D3564">
        <v>2.96</v>
      </c>
      <c r="E3564" t="s">
        <v>30</v>
      </c>
      <c r="F3564" t="s">
        <v>114</v>
      </c>
      <c r="G3564">
        <v>5.64</v>
      </c>
      <c r="H3564">
        <v>0.28000000000000003</v>
      </c>
      <c r="I3564">
        <v>2.68</v>
      </c>
      <c r="J3564">
        <v>7.1824000000000003</v>
      </c>
      <c r="K3564" t="str">
        <f>IFERROR(INDEX(Rosters!$C$2:$C$155,MATCH($B3564,Rosters!$B$2:$B$155,0)),"NA")</f>
        <v>NA</v>
      </c>
      <c r="L3564" t="str">
        <f t="shared" si="165"/>
        <v>NA13TE</v>
      </c>
      <c r="M3564">
        <f>COUNTIF(L$1:L3564,L3564)</f>
        <v>16</v>
      </c>
      <c r="N3564" t="str">
        <f t="shared" si="166"/>
        <v>NA13TE-16</v>
      </c>
      <c r="O3564">
        <f>COUNTIFS(F$1:F3564,F3564,A$1:A3564,A3564)</f>
        <v>30</v>
      </c>
      <c r="P3564" t="str">
        <f t="shared" si="167"/>
        <v>Ed Dickson13</v>
      </c>
    </row>
    <row r="3565" spans="1:16" x14ac:dyDescent="0.25">
      <c r="A3565">
        <v>16</v>
      </c>
      <c r="B3565" t="s">
        <v>4212</v>
      </c>
      <c r="C3565">
        <f>-0.14-6.06</f>
        <v>-6.1999999999999993</v>
      </c>
      <c r="D3565">
        <v>2.96</v>
      </c>
      <c r="E3565" t="s">
        <v>46</v>
      </c>
      <c r="F3565" t="s">
        <v>114</v>
      </c>
      <c r="G3565">
        <v>6.06</v>
      </c>
      <c r="H3565">
        <v>-0.14000000000000001</v>
      </c>
      <c r="I3565">
        <v>3.1</v>
      </c>
      <c r="J3565">
        <v>9.61</v>
      </c>
      <c r="K3565" t="str">
        <f>IFERROR(INDEX(Rosters!$C$2:$C$155,MATCH($B3565,Rosters!$B$2:$B$155,0)),"NA")</f>
        <v>NA</v>
      </c>
      <c r="L3565" t="str">
        <f t="shared" si="165"/>
        <v>NA16TE</v>
      </c>
      <c r="M3565">
        <f>COUNTIF(L$1:L3565,L3565)</f>
        <v>15</v>
      </c>
      <c r="N3565" t="str">
        <f t="shared" si="166"/>
        <v>NA16TE-15</v>
      </c>
      <c r="O3565">
        <f>COUNTIFS(F$1:F3565,F3565,A$1:A3565,A3565)</f>
        <v>29</v>
      </c>
      <c r="P3565" t="str">
        <f t="shared" si="167"/>
        <v>Ian Thomas16</v>
      </c>
    </row>
    <row r="3566" spans="1:16" x14ac:dyDescent="0.25">
      <c r="A3566">
        <v>4</v>
      </c>
      <c r="B3566" t="s">
        <v>2750</v>
      </c>
      <c r="C3566" t="s">
        <v>4604</v>
      </c>
      <c r="D3566">
        <v>2.96</v>
      </c>
      <c r="E3566" t="s">
        <v>38</v>
      </c>
      <c r="F3566" t="s">
        <v>87</v>
      </c>
      <c r="G3566">
        <v>5.62</v>
      </c>
      <c r="H3566">
        <v>0.3</v>
      </c>
      <c r="I3566">
        <v>2.66</v>
      </c>
      <c r="J3566">
        <v>7.0755999999999997</v>
      </c>
      <c r="K3566" t="str">
        <f>IFERROR(INDEX(Rosters!$C$2:$C$155,MATCH($B3566,Rosters!$B$2:$B$155,0)),"NA")</f>
        <v>NA</v>
      </c>
      <c r="L3566" t="str">
        <f t="shared" si="165"/>
        <v>NA4WR</v>
      </c>
      <c r="M3566">
        <f>COUNTIF(L$1:L3566,L3566)</f>
        <v>37</v>
      </c>
      <c r="N3566" t="str">
        <f t="shared" si="166"/>
        <v>NA4WR-37</v>
      </c>
      <c r="O3566">
        <f>COUNTIFS(F$1:F3566,F3566,A$1:A3566,A3566)</f>
        <v>85</v>
      </c>
      <c r="P3566" t="str">
        <f t="shared" si="167"/>
        <v>Jordan Matthews4</v>
      </c>
    </row>
    <row r="3567" spans="1:16" x14ac:dyDescent="0.25">
      <c r="A3567">
        <v>6</v>
      </c>
      <c r="B3567" t="s">
        <v>4899</v>
      </c>
      <c r="C3567" t="s">
        <v>8181</v>
      </c>
      <c r="D3567">
        <v>2.96</v>
      </c>
      <c r="E3567" t="s">
        <v>29</v>
      </c>
      <c r="F3567" t="s">
        <v>87</v>
      </c>
      <c r="G3567">
        <v>5.47</v>
      </c>
      <c r="H3567">
        <v>0.45</v>
      </c>
      <c r="I3567">
        <v>2.5099999999999998</v>
      </c>
      <c r="J3567">
        <v>6.3000999999999996</v>
      </c>
      <c r="K3567" t="str">
        <f>IFERROR(INDEX(Rosters!$C$2:$C$155,MATCH($B3567,Rosters!$B$2:$B$155,0)),"NA")</f>
        <v>perry</v>
      </c>
      <c r="L3567" t="str">
        <f t="shared" si="165"/>
        <v>perry6WR</v>
      </c>
      <c r="M3567">
        <f>COUNTIF(L$1:L3567,L3567)</f>
        <v>6</v>
      </c>
      <c r="N3567" t="str">
        <f t="shared" si="166"/>
        <v>perry6WR-6</v>
      </c>
      <c r="O3567">
        <f>COUNTIFS(F$1:F3567,F3567,A$1:A3567,A3567)</f>
        <v>88</v>
      </c>
      <c r="P3567" t="str">
        <f t="shared" si="167"/>
        <v>Keke Coutee6</v>
      </c>
    </row>
    <row r="3568" spans="1:16" x14ac:dyDescent="0.25">
      <c r="A3568">
        <v>5</v>
      </c>
      <c r="B3568" t="s">
        <v>4224</v>
      </c>
      <c r="C3568" t="s">
        <v>8182</v>
      </c>
      <c r="D3568">
        <v>2.96</v>
      </c>
      <c r="E3568" t="s">
        <v>52</v>
      </c>
      <c r="F3568" t="s">
        <v>114</v>
      </c>
      <c r="G3568">
        <v>5.59</v>
      </c>
      <c r="H3568">
        <v>0.33</v>
      </c>
      <c r="I3568">
        <v>2.63</v>
      </c>
      <c r="J3568">
        <v>6.9169</v>
      </c>
      <c r="K3568" t="str">
        <f>IFERROR(INDEX(Rosters!$C$2:$C$155,MATCH($B3568,Rosters!$B$2:$B$155,0)),"NA")</f>
        <v>NA</v>
      </c>
      <c r="L3568" t="str">
        <f t="shared" si="165"/>
        <v>NA5TE</v>
      </c>
      <c r="M3568">
        <f>COUNTIF(L$1:L3568,L3568)</f>
        <v>16</v>
      </c>
      <c r="N3568" t="str">
        <f t="shared" si="166"/>
        <v>NA5TE-16</v>
      </c>
      <c r="O3568">
        <f>COUNTIFS(F$1:F3568,F3568,A$1:A3568,A3568)</f>
        <v>27</v>
      </c>
      <c r="P3568" t="str">
        <f t="shared" si="167"/>
        <v>Mark Andrews5</v>
      </c>
    </row>
    <row r="3569" spans="1:16" x14ac:dyDescent="0.25">
      <c r="A3569">
        <v>12</v>
      </c>
      <c r="B3569" t="s">
        <v>301</v>
      </c>
      <c r="C3569">
        <f>-0.72-6.62</f>
        <v>-7.34</v>
      </c>
      <c r="D3569">
        <v>2.95</v>
      </c>
      <c r="E3569" t="s">
        <v>52</v>
      </c>
      <c r="F3569" t="s">
        <v>114</v>
      </c>
      <c r="G3569">
        <v>6.62</v>
      </c>
      <c r="H3569">
        <v>-0.72</v>
      </c>
      <c r="I3569">
        <v>3.67</v>
      </c>
      <c r="J3569">
        <v>13.4689</v>
      </c>
      <c r="K3569" t="str">
        <f>IFERROR(INDEX(Rosters!$C$2:$C$155,MATCH($B3569,Rosters!$B$2:$B$155,0)),"NA")</f>
        <v>NA</v>
      </c>
      <c r="L3569" t="str">
        <f t="shared" si="165"/>
        <v>NA12TE</v>
      </c>
      <c r="M3569">
        <f>COUNTIF(L$1:L3569,L3569)</f>
        <v>15</v>
      </c>
      <c r="N3569" t="str">
        <f t="shared" si="166"/>
        <v>NA12TE-15</v>
      </c>
      <c r="O3569">
        <f>COUNTIFS(F$1:F3569,F3569,A$1:A3569,A3569)</f>
        <v>28</v>
      </c>
      <c r="P3569" t="str">
        <f t="shared" si="167"/>
        <v>C.J. Uzomah12</v>
      </c>
    </row>
    <row r="3570" spans="1:16" x14ac:dyDescent="0.25">
      <c r="A3570">
        <v>7</v>
      </c>
      <c r="B3570" t="s">
        <v>142</v>
      </c>
      <c r="C3570" t="s">
        <v>8183</v>
      </c>
      <c r="D3570">
        <v>2.95</v>
      </c>
      <c r="E3570" t="s">
        <v>52</v>
      </c>
      <c r="F3570" t="s">
        <v>47</v>
      </c>
      <c r="G3570">
        <v>5.44</v>
      </c>
      <c r="H3570">
        <v>0.46</v>
      </c>
      <c r="I3570">
        <v>2.4900000000000002</v>
      </c>
      <c r="J3570">
        <v>6.2000999999999999</v>
      </c>
      <c r="K3570" t="str">
        <f>IFERROR(INDEX(Rosters!$C$2:$C$155,MATCH($B3570,Rosters!$B$2:$B$155,0)),"NA")</f>
        <v>NA</v>
      </c>
      <c r="L3570" t="str">
        <f t="shared" si="165"/>
        <v>NA7RB</v>
      </c>
      <c r="M3570">
        <f>COUNTIF(L$1:L3570,L3570)</f>
        <v>19</v>
      </c>
      <c r="N3570" t="str">
        <f t="shared" si="166"/>
        <v>NA7RB-19</v>
      </c>
      <c r="O3570">
        <f>COUNTIFS(F$1:F3570,F3570,A$1:A3570,A3570)</f>
        <v>60</v>
      </c>
      <c r="P3570" t="str">
        <f t="shared" si="167"/>
        <v>Jacquizz Rodgers7</v>
      </c>
    </row>
    <row r="3571" spans="1:16" x14ac:dyDescent="0.25">
      <c r="A3571">
        <v>6</v>
      </c>
      <c r="B3571" t="s">
        <v>1439</v>
      </c>
      <c r="C3571" t="s">
        <v>8184</v>
      </c>
      <c r="D3571">
        <v>2.95</v>
      </c>
      <c r="E3571" t="s">
        <v>31</v>
      </c>
      <c r="F3571" t="s">
        <v>87</v>
      </c>
      <c r="G3571">
        <v>5.79</v>
      </c>
      <c r="H3571">
        <v>0.11</v>
      </c>
      <c r="I3571">
        <v>2.84</v>
      </c>
      <c r="J3571">
        <v>8.0655999999999999</v>
      </c>
      <c r="K3571" t="str">
        <f>IFERROR(INDEX(Rosters!$C$2:$C$155,MATCH($B3571,Rosters!$B$2:$B$155,0)),"NA")</f>
        <v>NA</v>
      </c>
      <c r="L3571" t="str">
        <f t="shared" si="165"/>
        <v>NA6WR</v>
      </c>
      <c r="M3571">
        <f>COUNTIF(L$1:L3571,L3571)</f>
        <v>40</v>
      </c>
      <c r="N3571" t="str">
        <f t="shared" si="166"/>
        <v>NA6WR-40</v>
      </c>
      <c r="O3571">
        <f>COUNTIFS(F$1:F3571,F3571,A$1:A3571,A3571)</f>
        <v>89</v>
      </c>
      <c r="P3571" t="str">
        <f t="shared" si="167"/>
        <v>James Washington6</v>
      </c>
    </row>
    <row r="3572" spans="1:16" x14ac:dyDescent="0.25">
      <c r="A3572">
        <v>15</v>
      </c>
      <c r="B3572" t="s">
        <v>4236</v>
      </c>
      <c r="C3572">
        <f>-0.34-6.24</f>
        <v>-6.58</v>
      </c>
      <c r="D3572">
        <v>2.95</v>
      </c>
      <c r="E3572" t="s">
        <v>72</v>
      </c>
      <c r="F3572" t="s">
        <v>87</v>
      </c>
      <c r="G3572">
        <v>6.24</v>
      </c>
      <c r="H3572">
        <v>-0.34</v>
      </c>
      <c r="I3572">
        <v>3.29</v>
      </c>
      <c r="J3572">
        <v>10.8241</v>
      </c>
      <c r="K3572" t="str">
        <f>IFERROR(INDEX(Rosters!$C$2:$C$155,MATCH($B3572,Rosters!$B$2:$B$155,0)),"NA")</f>
        <v>aj</v>
      </c>
      <c r="L3572" t="str">
        <f t="shared" si="165"/>
        <v>aj15WR</v>
      </c>
      <c r="M3572">
        <f>COUNTIF(L$1:L3572,L3572)</f>
        <v>6</v>
      </c>
      <c r="N3572" t="str">
        <f t="shared" si="166"/>
        <v>aj15WR-6</v>
      </c>
      <c r="O3572">
        <f>COUNTIFS(F$1:F3572,F3572,A$1:A3572,A3572)</f>
        <v>102</v>
      </c>
      <c r="P3572" t="str">
        <f t="shared" si="167"/>
        <v>Marquez Valdes-Scantling15</v>
      </c>
    </row>
    <row r="3573" spans="1:16" x14ac:dyDescent="0.25">
      <c r="A3573">
        <v>7</v>
      </c>
      <c r="B3573" t="s">
        <v>798</v>
      </c>
      <c r="C3573" t="s">
        <v>8185</v>
      </c>
      <c r="D3573">
        <v>2.95</v>
      </c>
      <c r="E3573" t="s">
        <v>17</v>
      </c>
      <c r="F3573" t="s">
        <v>87</v>
      </c>
      <c r="G3573">
        <v>5.55</v>
      </c>
      <c r="H3573">
        <v>0.35</v>
      </c>
      <c r="I3573">
        <v>2.6</v>
      </c>
      <c r="J3573">
        <v>6.76</v>
      </c>
      <c r="K3573" t="str">
        <f>IFERROR(INDEX(Rosters!$C$2:$C$155,MATCH($B3573,Rosters!$B$2:$B$155,0)),"NA")</f>
        <v>NA</v>
      </c>
      <c r="L3573" t="str">
        <f t="shared" si="165"/>
        <v>NA7WR</v>
      </c>
      <c r="M3573">
        <f>COUNTIF(L$1:L3573,L3573)</f>
        <v>37</v>
      </c>
      <c r="N3573" t="str">
        <f t="shared" si="166"/>
        <v>NA7WR-37</v>
      </c>
      <c r="O3573">
        <f>COUNTIFS(F$1:F3573,F3573,A$1:A3573,A3573)</f>
        <v>81</v>
      </c>
      <c r="P3573" t="str">
        <f t="shared" si="167"/>
        <v>Rashard Higgins7</v>
      </c>
    </row>
    <row r="3574" spans="1:16" x14ac:dyDescent="0.25">
      <c r="A3574">
        <v>1</v>
      </c>
      <c r="B3574" t="s">
        <v>4217</v>
      </c>
      <c r="C3574" t="s">
        <v>4220</v>
      </c>
      <c r="D3574">
        <v>2.95</v>
      </c>
      <c r="E3574" t="s">
        <v>17</v>
      </c>
      <c r="F3574" t="s">
        <v>87</v>
      </c>
      <c r="G3574">
        <v>5.89</v>
      </c>
      <c r="H3574">
        <v>0.01</v>
      </c>
      <c r="I3574">
        <v>2.94</v>
      </c>
      <c r="J3574">
        <v>8.6435999999999993</v>
      </c>
      <c r="K3574" t="str">
        <f>IFERROR(INDEX(Rosters!$C$2:$C$155,MATCH($B3574,Rosters!$B$2:$B$155,0)),"NA")</f>
        <v>NA</v>
      </c>
      <c r="L3574" t="str">
        <f t="shared" si="165"/>
        <v>NA1WR</v>
      </c>
      <c r="M3574">
        <f>COUNTIF(L$1:L3574,L3574)</f>
        <v>36</v>
      </c>
      <c r="N3574" t="str">
        <f t="shared" si="166"/>
        <v>NA1WR-36</v>
      </c>
      <c r="O3574">
        <f>COUNTIFS(F$1:F3574,F3574,A$1:A3574,A3574)</f>
        <v>85</v>
      </c>
      <c r="P3574" t="str">
        <f t="shared" si="167"/>
        <v>Tre'Quan Smith1</v>
      </c>
    </row>
    <row r="3575" spans="1:16" x14ac:dyDescent="0.25">
      <c r="A3575">
        <v>2</v>
      </c>
      <c r="B3575" t="s">
        <v>1457</v>
      </c>
      <c r="C3575">
        <f>-0.29-6.19</f>
        <v>-6.48</v>
      </c>
      <c r="D3575">
        <v>2.95</v>
      </c>
      <c r="E3575" t="s">
        <v>34</v>
      </c>
      <c r="F3575" t="s">
        <v>87</v>
      </c>
      <c r="G3575">
        <v>6.19</v>
      </c>
      <c r="H3575">
        <v>-0.28999999999999998</v>
      </c>
      <c r="I3575">
        <v>3.24</v>
      </c>
      <c r="J3575">
        <v>10.4976</v>
      </c>
      <c r="K3575" t="str">
        <f>IFERROR(INDEX(Rosters!$C$2:$C$155,MATCH($B3575,Rosters!$B$2:$B$155,0)),"NA")</f>
        <v>NA</v>
      </c>
      <c r="L3575" t="str">
        <f t="shared" si="165"/>
        <v>NA2WR</v>
      </c>
      <c r="M3575">
        <f>COUNTIF(L$1:L3575,L3575)</f>
        <v>34</v>
      </c>
      <c r="N3575" t="str">
        <f t="shared" si="166"/>
        <v>NA2WR-34</v>
      </c>
      <c r="O3575">
        <f>COUNTIFS(F$1:F3575,F3575,A$1:A3575,A3575)</f>
        <v>82</v>
      </c>
      <c r="P3575" t="str">
        <f t="shared" si="167"/>
        <v>Trent Taylor2</v>
      </c>
    </row>
    <row r="3576" spans="1:16" x14ac:dyDescent="0.25">
      <c r="A3576">
        <v>9</v>
      </c>
      <c r="B3576" t="s">
        <v>2599</v>
      </c>
      <c r="C3576">
        <f>-0.05-5.93</f>
        <v>-5.9799999999999995</v>
      </c>
      <c r="D3576">
        <v>2.94</v>
      </c>
      <c r="E3576" t="s">
        <v>30</v>
      </c>
      <c r="F3576" t="s">
        <v>87</v>
      </c>
      <c r="G3576">
        <v>5.93</v>
      </c>
      <c r="H3576">
        <v>-0.05</v>
      </c>
      <c r="I3576">
        <v>2.99</v>
      </c>
      <c r="J3576">
        <v>8.9400999999999993</v>
      </c>
      <c r="K3576" t="str">
        <f>IFERROR(INDEX(Rosters!$C$2:$C$155,MATCH($B3576,Rosters!$B$2:$B$155,0)),"NA")</f>
        <v>NA</v>
      </c>
      <c r="L3576" t="str">
        <f t="shared" si="165"/>
        <v>NA9WR</v>
      </c>
      <c r="M3576">
        <f>COUNTIF(L$1:L3576,L3576)</f>
        <v>41</v>
      </c>
      <c r="N3576" t="str">
        <f t="shared" si="166"/>
        <v>NA9WR-41</v>
      </c>
      <c r="O3576">
        <f>COUNTIFS(F$1:F3576,F3576,A$1:A3576,A3576)</f>
        <v>84</v>
      </c>
      <c r="P3576" t="str">
        <f t="shared" si="167"/>
        <v>Brandon LaFell9</v>
      </c>
    </row>
    <row r="3577" spans="1:16" x14ac:dyDescent="0.25">
      <c r="A3577">
        <v>10</v>
      </c>
      <c r="B3577" t="s">
        <v>1036</v>
      </c>
      <c r="C3577" t="s">
        <v>8186</v>
      </c>
      <c r="D3577">
        <v>2.94</v>
      </c>
      <c r="E3577" t="s">
        <v>50</v>
      </c>
      <c r="F3577" t="s">
        <v>87</v>
      </c>
      <c r="G3577">
        <v>5.4</v>
      </c>
      <c r="H3577">
        <v>0.48</v>
      </c>
      <c r="I3577">
        <v>2.46</v>
      </c>
      <c r="J3577">
        <v>6.0515999999999996</v>
      </c>
      <c r="K3577" t="str">
        <f>IFERROR(INDEX(Rosters!$C$2:$C$155,MATCH($B3577,Rosters!$B$2:$B$155,0)),"NA")</f>
        <v>NA</v>
      </c>
      <c r="L3577" t="str">
        <f t="shared" si="165"/>
        <v>NA10WR</v>
      </c>
      <c r="M3577">
        <f>COUNTIF(L$1:L3577,L3577)</f>
        <v>44</v>
      </c>
      <c r="N3577" t="str">
        <f t="shared" si="166"/>
        <v>NA10WR-44</v>
      </c>
      <c r="O3577">
        <f>COUNTIFS(F$1:F3577,F3577,A$1:A3577,A3577)</f>
        <v>88</v>
      </c>
      <c r="P3577" t="str">
        <f t="shared" si="167"/>
        <v>Deonte Thompson10</v>
      </c>
    </row>
    <row r="3578" spans="1:16" x14ac:dyDescent="0.25">
      <c r="A3578">
        <v>10</v>
      </c>
      <c r="B3578" t="s">
        <v>358</v>
      </c>
      <c r="C3578" t="s">
        <v>8187</v>
      </c>
      <c r="D3578">
        <v>2.94</v>
      </c>
      <c r="E3578" t="s">
        <v>66</v>
      </c>
      <c r="F3578" t="s">
        <v>114</v>
      </c>
      <c r="G3578">
        <v>5.78</v>
      </c>
      <c r="H3578">
        <v>0.1</v>
      </c>
      <c r="I3578">
        <v>2.84</v>
      </c>
      <c r="J3578">
        <v>8.0655999999999999</v>
      </c>
      <c r="K3578" t="str">
        <f>IFERROR(INDEX(Rosters!$C$2:$C$155,MATCH($B3578,Rosters!$B$2:$B$155,0)),"NA")</f>
        <v>NA</v>
      </c>
      <c r="L3578" t="str">
        <f t="shared" si="165"/>
        <v>NA10TE</v>
      </c>
      <c r="M3578">
        <f>COUNTIF(L$1:L3578,L3578)</f>
        <v>15</v>
      </c>
      <c r="N3578" t="str">
        <f t="shared" si="166"/>
        <v>NA10TE-15</v>
      </c>
      <c r="O3578">
        <f>COUNTIFS(F$1:F3578,F3578,A$1:A3578,A3578)</f>
        <v>28</v>
      </c>
      <c r="P3578" t="str">
        <f t="shared" si="167"/>
        <v>James O'Shaughnessy10</v>
      </c>
    </row>
    <row r="3579" spans="1:16" x14ac:dyDescent="0.25">
      <c r="A3579">
        <v>5</v>
      </c>
      <c r="B3579" t="s">
        <v>230</v>
      </c>
      <c r="C3579" t="s">
        <v>8188</v>
      </c>
      <c r="D3579">
        <v>2.94</v>
      </c>
      <c r="E3579" t="s">
        <v>14</v>
      </c>
      <c r="F3579" t="s">
        <v>87</v>
      </c>
      <c r="G3579">
        <v>5.44</v>
      </c>
      <c r="H3579">
        <v>0.44</v>
      </c>
      <c r="I3579">
        <v>2.5</v>
      </c>
      <c r="J3579">
        <v>6.25</v>
      </c>
      <c r="K3579" t="str">
        <f>IFERROR(INDEX(Rosters!$C$2:$C$155,MATCH($B3579,Rosters!$B$2:$B$155,0)),"NA")</f>
        <v>NA</v>
      </c>
      <c r="L3579" t="str">
        <f t="shared" si="165"/>
        <v>NA5WR</v>
      </c>
      <c r="M3579">
        <f>COUNTIF(L$1:L3579,L3579)</f>
        <v>39</v>
      </c>
      <c r="N3579" t="str">
        <f t="shared" si="166"/>
        <v>NA5WR-39</v>
      </c>
      <c r="O3579">
        <f>COUNTIFS(F$1:F3579,F3579,A$1:A3579,A3579)</f>
        <v>89</v>
      </c>
      <c r="P3579" t="str">
        <f t="shared" si="167"/>
        <v>Josh Doctson5</v>
      </c>
    </row>
    <row r="3580" spans="1:16" x14ac:dyDescent="0.25">
      <c r="A3580">
        <v>11</v>
      </c>
      <c r="B3580" t="s">
        <v>1478</v>
      </c>
      <c r="C3580" t="s">
        <v>8189</v>
      </c>
      <c r="D3580">
        <v>2.93</v>
      </c>
      <c r="E3580" t="s">
        <v>14</v>
      </c>
      <c r="F3580" t="s">
        <v>114</v>
      </c>
      <c r="G3580">
        <v>5.32</v>
      </c>
      <c r="H3580">
        <v>0.54</v>
      </c>
      <c r="I3580">
        <v>2.39</v>
      </c>
      <c r="J3580">
        <v>5.7121000000000004</v>
      </c>
      <c r="K3580" t="str">
        <f>IFERROR(INDEX(Rosters!$C$2:$C$155,MATCH($B3580,Rosters!$B$2:$B$155,0)),"NA")</f>
        <v>NA</v>
      </c>
      <c r="L3580" t="str">
        <f t="shared" si="165"/>
        <v>NA11TE</v>
      </c>
      <c r="M3580">
        <f>COUNTIF(L$1:L3580,L3580)</f>
        <v>14</v>
      </c>
      <c r="N3580" t="str">
        <f t="shared" si="166"/>
        <v>NA11TE-14</v>
      </c>
      <c r="O3580">
        <f>COUNTIFS(F$1:F3580,F3580,A$1:A3580,A3580)</f>
        <v>26</v>
      </c>
      <c r="P3580" t="str">
        <f t="shared" si="167"/>
        <v>Dallas Goedert11</v>
      </c>
    </row>
    <row r="3581" spans="1:16" x14ac:dyDescent="0.25">
      <c r="A3581">
        <v>4</v>
      </c>
      <c r="B3581" t="s">
        <v>219</v>
      </c>
      <c r="C3581" t="s">
        <v>4605</v>
      </c>
      <c r="D3581">
        <v>2.93</v>
      </c>
      <c r="E3581" t="s">
        <v>76</v>
      </c>
      <c r="F3581" t="s">
        <v>87</v>
      </c>
      <c r="G3581">
        <v>5.45</v>
      </c>
      <c r="H3581">
        <v>0.41</v>
      </c>
      <c r="I3581">
        <v>2.52</v>
      </c>
      <c r="J3581">
        <v>6.3503999999999996</v>
      </c>
      <c r="K3581" t="str">
        <f>IFERROR(INDEX(Rosters!$C$2:$C$155,MATCH($B3581,Rosters!$B$2:$B$155,0)),"NA")</f>
        <v>NA</v>
      </c>
      <c r="L3581" t="str">
        <f t="shared" si="165"/>
        <v>NA4WR</v>
      </c>
      <c r="M3581">
        <f>COUNTIF(L$1:L3581,L3581)</f>
        <v>38</v>
      </c>
      <c r="N3581" t="str">
        <f t="shared" si="166"/>
        <v>NA4WR-38</v>
      </c>
      <c r="O3581">
        <f>COUNTIFS(F$1:F3581,F3581,A$1:A3581,A3581)</f>
        <v>86</v>
      </c>
      <c r="P3581" t="str">
        <f t="shared" si="167"/>
        <v>Jermaine Kearse4</v>
      </c>
    </row>
    <row r="3582" spans="1:16" x14ac:dyDescent="0.25">
      <c r="A3582">
        <v>13</v>
      </c>
      <c r="B3582" t="s">
        <v>282</v>
      </c>
      <c r="C3582" t="s">
        <v>8190</v>
      </c>
      <c r="D3582">
        <v>2.93</v>
      </c>
      <c r="E3582" t="s">
        <v>34</v>
      </c>
      <c r="F3582" t="s">
        <v>47</v>
      </c>
      <c r="G3582">
        <v>5.41</v>
      </c>
      <c r="H3582">
        <v>0.45</v>
      </c>
      <c r="I3582">
        <v>2.48</v>
      </c>
      <c r="J3582">
        <v>6.1504000000000003</v>
      </c>
      <c r="K3582" t="str">
        <f>IFERROR(INDEX(Rosters!$C$2:$C$155,MATCH($B3582,Rosters!$B$2:$B$155,0)),"NA")</f>
        <v>NA</v>
      </c>
      <c r="L3582" t="str">
        <f t="shared" si="165"/>
        <v>NA13RB</v>
      </c>
      <c r="M3582">
        <f>COUNTIF(L$1:L3582,L3582)</f>
        <v>23</v>
      </c>
      <c r="N3582" t="str">
        <f t="shared" si="166"/>
        <v>NA13RB-23</v>
      </c>
      <c r="O3582">
        <f>COUNTIFS(F$1:F3582,F3582,A$1:A3582,A3582)</f>
        <v>69</v>
      </c>
      <c r="P3582" t="str">
        <f t="shared" si="167"/>
        <v>Malcolm Brown13</v>
      </c>
    </row>
    <row r="3583" spans="1:16" x14ac:dyDescent="0.25">
      <c r="A3583">
        <v>10</v>
      </c>
      <c r="B3583" t="s">
        <v>238</v>
      </c>
      <c r="C3583" t="s">
        <v>8191</v>
      </c>
      <c r="D3583">
        <v>2.93</v>
      </c>
      <c r="E3583" t="s">
        <v>37</v>
      </c>
      <c r="F3583" t="s">
        <v>87</v>
      </c>
      <c r="G3583">
        <v>4.8899999999999997</v>
      </c>
      <c r="H3583">
        <v>0.97</v>
      </c>
      <c r="I3583">
        <v>1.96</v>
      </c>
      <c r="J3583">
        <v>3.8416000000000001</v>
      </c>
      <c r="K3583" t="str">
        <f>IFERROR(INDEX(Rosters!$C$2:$C$155,MATCH($B3583,Rosters!$B$2:$B$155,0)),"NA")</f>
        <v>NA</v>
      </c>
      <c r="L3583" t="str">
        <f t="shared" si="165"/>
        <v>NA10WR</v>
      </c>
      <c r="M3583">
        <f>COUNTIF(L$1:L3583,L3583)</f>
        <v>45</v>
      </c>
      <c r="N3583" t="str">
        <f t="shared" si="166"/>
        <v>NA10WR-45</v>
      </c>
      <c r="O3583">
        <f>COUNTIFS(F$1:F3583,F3583,A$1:A3583,A3583)</f>
        <v>89</v>
      </c>
      <c r="P3583" t="str">
        <f t="shared" si="167"/>
        <v>Seth Roberts10</v>
      </c>
    </row>
    <row r="3584" spans="1:16" x14ac:dyDescent="0.25">
      <c r="A3584">
        <v>2</v>
      </c>
      <c r="B3584" t="s">
        <v>1511</v>
      </c>
      <c r="C3584">
        <f>-0.03-5.89</f>
        <v>-5.92</v>
      </c>
      <c r="D3584">
        <v>2.93</v>
      </c>
      <c r="E3584" t="s">
        <v>36</v>
      </c>
      <c r="F3584" t="s">
        <v>87</v>
      </c>
      <c r="G3584">
        <v>5.89</v>
      </c>
      <c r="H3584">
        <v>-0.03</v>
      </c>
      <c r="I3584">
        <v>2.96</v>
      </c>
      <c r="J3584">
        <v>8.7615999999999996</v>
      </c>
      <c r="K3584" t="str">
        <f>IFERROR(INDEX(Rosters!$C$2:$C$155,MATCH($B3584,Rosters!$B$2:$B$155,0)),"NA")</f>
        <v>NA</v>
      </c>
      <c r="L3584" t="str">
        <f t="shared" si="165"/>
        <v>NA2WR</v>
      </c>
      <c r="M3584">
        <f>COUNTIF(L$1:L3584,L3584)</f>
        <v>35</v>
      </c>
      <c r="N3584" t="str">
        <f t="shared" si="166"/>
        <v>NA2WR-35</v>
      </c>
      <c r="O3584">
        <f>COUNTIFS(F$1:F3584,F3584,A$1:A3584,A3584)</f>
        <v>83</v>
      </c>
      <c r="P3584" t="str">
        <f t="shared" si="167"/>
        <v>Tajae Sharpe2</v>
      </c>
    </row>
    <row r="3585" spans="1:16" x14ac:dyDescent="0.25">
      <c r="A3585">
        <v>6</v>
      </c>
      <c r="B3585" t="s">
        <v>209</v>
      </c>
      <c r="C3585" t="s">
        <v>8192</v>
      </c>
      <c r="D3585">
        <v>2.93</v>
      </c>
      <c r="E3585" t="s">
        <v>60</v>
      </c>
      <c r="F3585" t="s">
        <v>87</v>
      </c>
      <c r="G3585">
        <v>5.8</v>
      </c>
      <c r="H3585">
        <v>0.06</v>
      </c>
      <c r="I3585">
        <v>2.87</v>
      </c>
      <c r="J3585">
        <v>8.2369000000000003</v>
      </c>
      <c r="K3585" t="str">
        <f>IFERROR(INDEX(Rosters!$C$2:$C$155,MATCH($B3585,Rosters!$B$2:$B$155,0)),"NA")</f>
        <v>NA</v>
      </c>
      <c r="L3585" t="str">
        <f t="shared" si="165"/>
        <v>NA6WR</v>
      </c>
      <c r="M3585">
        <f>COUNTIF(L$1:L3585,L3585)</f>
        <v>41</v>
      </c>
      <c r="N3585" t="str">
        <f t="shared" si="166"/>
        <v>NA6WR-41</v>
      </c>
      <c r="O3585">
        <f>COUNTIFS(F$1:F3585,F3585,A$1:A3585,A3585)</f>
        <v>90</v>
      </c>
      <c r="P3585" t="str">
        <f t="shared" si="167"/>
        <v>Torrey Smith6</v>
      </c>
    </row>
    <row r="3586" spans="1:16" x14ac:dyDescent="0.25">
      <c r="A3586">
        <v>15</v>
      </c>
      <c r="B3586" t="s">
        <v>325</v>
      </c>
      <c r="C3586" t="s">
        <v>8193</v>
      </c>
      <c r="D3586">
        <v>2.93</v>
      </c>
      <c r="E3586" t="s">
        <v>32</v>
      </c>
      <c r="F3586" t="s">
        <v>114</v>
      </c>
      <c r="G3586">
        <v>5.21</v>
      </c>
      <c r="H3586">
        <v>0.65</v>
      </c>
      <c r="I3586">
        <v>2.2799999999999998</v>
      </c>
      <c r="J3586">
        <v>5.1984000000000004</v>
      </c>
      <c r="K3586" t="str">
        <f>IFERROR(INDEX(Rosters!$C$2:$C$155,MATCH($B3586,Rosters!$B$2:$B$155,0)),"NA")</f>
        <v>NA</v>
      </c>
      <c r="L3586" t="str">
        <f t="shared" si="165"/>
        <v>NA15TE</v>
      </c>
      <c r="M3586">
        <f>COUNTIF(L$1:L3586,L3586)</f>
        <v>15</v>
      </c>
      <c r="N3586" t="str">
        <f t="shared" si="166"/>
        <v>NA15TE-15</v>
      </c>
      <c r="O3586">
        <f>COUNTIFS(F$1:F3586,F3586,A$1:A3586,A3586)</f>
        <v>29</v>
      </c>
      <c r="P3586" t="str">
        <f t="shared" si="167"/>
        <v>Tyler Kroft15</v>
      </c>
    </row>
    <row r="3587" spans="1:16" x14ac:dyDescent="0.25">
      <c r="A3587">
        <v>7</v>
      </c>
      <c r="B3587" t="s">
        <v>235</v>
      </c>
      <c r="C3587" t="s">
        <v>8194</v>
      </c>
      <c r="D3587">
        <v>2.92</v>
      </c>
      <c r="E3587" t="s">
        <v>46</v>
      </c>
      <c r="F3587" t="s">
        <v>114</v>
      </c>
      <c r="G3587">
        <v>4.8499999999999996</v>
      </c>
      <c r="H3587">
        <v>0.99</v>
      </c>
      <c r="I3587">
        <v>1.93</v>
      </c>
      <c r="J3587">
        <v>3.7248999999999999</v>
      </c>
      <c r="K3587" t="str">
        <f>IFERROR(INDEX(Rosters!$C$2:$C$155,MATCH($B3587,Rosters!$B$2:$B$155,0)),"NA")</f>
        <v>devon</v>
      </c>
      <c r="L3587" t="str">
        <f t="shared" ref="L3587:L3650" si="168">K3587&amp;A3587&amp;F3587</f>
        <v>devon7TE</v>
      </c>
      <c r="M3587">
        <f>COUNTIF(L$1:L3587,L3587)</f>
        <v>2</v>
      </c>
      <c r="N3587" t="str">
        <f t="shared" ref="N3587:N3650" si="169">L3587&amp;"-"&amp;M3587</f>
        <v>devon7TE-2</v>
      </c>
      <c r="O3587">
        <f>COUNTIFS(F$1:F3587,F3587,A$1:A3587,A3587)</f>
        <v>26</v>
      </c>
      <c r="P3587" t="str">
        <f t="shared" ref="P3587:P3650" si="170">B3587&amp;A3587</f>
        <v>Evan Engram7</v>
      </c>
    </row>
    <row r="3588" spans="1:16" x14ac:dyDescent="0.25">
      <c r="A3588">
        <v>10</v>
      </c>
      <c r="B3588" t="s">
        <v>309</v>
      </c>
      <c r="C3588">
        <f>-1.07-6.91</f>
        <v>-7.98</v>
      </c>
      <c r="D3588">
        <v>2.92</v>
      </c>
      <c r="E3588" t="s">
        <v>50</v>
      </c>
      <c r="F3588" t="s">
        <v>114</v>
      </c>
      <c r="G3588">
        <v>6.91</v>
      </c>
      <c r="H3588">
        <v>-1.07</v>
      </c>
      <c r="I3588">
        <v>3.99</v>
      </c>
      <c r="J3588">
        <v>15.9201</v>
      </c>
      <c r="K3588" t="str">
        <f>IFERROR(INDEX(Rosters!$C$2:$C$155,MATCH($B3588,Rosters!$B$2:$B$155,0)),"NA")</f>
        <v>NA</v>
      </c>
      <c r="L3588" t="str">
        <f t="shared" si="168"/>
        <v>NA10TE</v>
      </c>
      <c r="M3588">
        <f>COUNTIF(L$1:L3588,L3588)</f>
        <v>16</v>
      </c>
      <c r="N3588" t="str">
        <f t="shared" si="169"/>
        <v>NA10TE-16</v>
      </c>
      <c r="O3588">
        <f>COUNTIFS(F$1:F3588,F3588,A$1:A3588,A3588)</f>
        <v>29</v>
      </c>
      <c r="P3588" t="str">
        <f t="shared" si="170"/>
        <v>Geoff Swaim10</v>
      </c>
    </row>
    <row r="3589" spans="1:16" x14ac:dyDescent="0.25">
      <c r="A3589">
        <v>10</v>
      </c>
      <c r="B3589" t="s">
        <v>142</v>
      </c>
      <c r="C3589" t="s">
        <v>8195</v>
      </c>
      <c r="D3589">
        <v>2.92</v>
      </c>
      <c r="E3589" t="s">
        <v>60</v>
      </c>
      <c r="F3589" t="s">
        <v>47</v>
      </c>
      <c r="G3589">
        <v>5.76</v>
      </c>
      <c r="H3589">
        <v>0.08</v>
      </c>
      <c r="I3589">
        <v>2.84</v>
      </c>
      <c r="J3589">
        <v>8.0655999999999999</v>
      </c>
      <c r="K3589" t="str">
        <f>IFERROR(INDEX(Rosters!$C$2:$C$155,MATCH($B3589,Rosters!$B$2:$B$155,0)),"NA")</f>
        <v>NA</v>
      </c>
      <c r="L3589" t="str">
        <f t="shared" si="168"/>
        <v>NA10RB</v>
      </c>
      <c r="M3589">
        <f>COUNTIF(L$1:L3589,L3589)</f>
        <v>22</v>
      </c>
      <c r="N3589" t="str">
        <f t="shared" si="169"/>
        <v>NA10RB-22</v>
      </c>
      <c r="O3589">
        <f>COUNTIFS(F$1:F3589,F3589,A$1:A3589,A3589)</f>
        <v>61</v>
      </c>
      <c r="P3589" t="str">
        <f t="shared" si="170"/>
        <v>Jacquizz Rodgers10</v>
      </c>
    </row>
    <row r="3590" spans="1:16" x14ac:dyDescent="0.25">
      <c r="A3590">
        <v>5</v>
      </c>
      <c r="B3590" t="s">
        <v>1439</v>
      </c>
      <c r="C3590" t="s">
        <v>8196</v>
      </c>
      <c r="D3590">
        <v>2.92</v>
      </c>
      <c r="E3590" t="s">
        <v>46</v>
      </c>
      <c r="F3590" t="s">
        <v>87</v>
      </c>
      <c r="G3590">
        <v>5.66</v>
      </c>
      <c r="H3590">
        <v>0.18</v>
      </c>
      <c r="I3590">
        <v>2.74</v>
      </c>
      <c r="J3590">
        <v>7.5076000000000001</v>
      </c>
      <c r="K3590" t="str">
        <f>IFERROR(INDEX(Rosters!$C$2:$C$155,MATCH($B3590,Rosters!$B$2:$B$155,0)),"NA")</f>
        <v>NA</v>
      </c>
      <c r="L3590" t="str">
        <f t="shared" si="168"/>
        <v>NA5WR</v>
      </c>
      <c r="M3590">
        <f>COUNTIF(L$1:L3590,L3590)</f>
        <v>40</v>
      </c>
      <c r="N3590" t="str">
        <f t="shared" si="169"/>
        <v>NA5WR-40</v>
      </c>
      <c r="O3590">
        <f>COUNTIFS(F$1:F3590,F3590,A$1:A3590,A3590)</f>
        <v>90</v>
      </c>
      <c r="P3590" t="str">
        <f t="shared" si="170"/>
        <v>James Washington5</v>
      </c>
    </row>
    <row r="3591" spans="1:16" x14ac:dyDescent="0.25">
      <c r="A3591">
        <v>16</v>
      </c>
      <c r="B3591" t="s">
        <v>1439</v>
      </c>
      <c r="C3591" t="s">
        <v>8197</v>
      </c>
      <c r="D3591">
        <v>2.92</v>
      </c>
      <c r="E3591" t="s">
        <v>14</v>
      </c>
      <c r="F3591" t="s">
        <v>87</v>
      </c>
      <c r="G3591">
        <v>5.61</v>
      </c>
      <c r="H3591">
        <v>0.23</v>
      </c>
      <c r="I3591">
        <v>2.69</v>
      </c>
      <c r="J3591">
        <v>7.2361000000000004</v>
      </c>
      <c r="K3591" t="str">
        <f>IFERROR(INDEX(Rosters!$C$2:$C$155,MATCH($B3591,Rosters!$B$2:$B$155,0)),"NA")</f>
        <v>NA</v>
      </c>
      <c r="L3591" t="str">
        <f t="shared" si="168"/>
        <v>NA16WR</v>
      </c>
      <c r="M3591">
        <f>COUNTIF(L$1:L3591,L3591)</f>
        <v>46</v>
      </c>
      <c r="N3591" t="str">
        <f t="shared" si="169"/>
        <v>NA16WR-46</v>
      </c>
      <c r="O3591">
        <f>COUNTIFS(F$1:F3591,F3591,A$1:A3591,A3591)</f>
        <v>99</v>
      </c>
      <c r="P3591" t="str">
        <f t="shared" si="170"/>
        <v>James Washington16</v>
      </c>
    </row>
    <row r="3592" spans="1:16" x14ac:dyDescent="0.25">
      <c r="A3592">
        <v>15</v>
      </c>
      <c r="B3592" t="s">
        <v>4224</v>
      </c>
      <c r="C3592" t="s">
        <v>4606</v>
      </c>
      <c r="D3592">
        <v>2.92</v>
      </c>
      <c r="E3592" t="s">
        <v>17</v>
      </c>
      <c r="F3592" t="s">
        <v>114</v>
      </c>
      <c r="G3592">
        <v>5.24</v>
      </c>
      <c r="H3592">
        <v>0.6</v>
      </c>
      <c r="I3592">
        <v>2.3199999999999998</v>
      </c>
      <c r="J3592">
        <v>5.3823999999999996</v>
      </c>
      <c r="K3592" t="str">
        <f>IFERROR(INDEX(Rosters!$C$2:$C$155,MATCH($B3592,Rosters!$B$2:$B$155,0)),"NA")</f>
        <v>NA</v>
      </c>
      <c r="L3592" t="str">
        <f t="shared" si="168"/>
        <v>NA15TE</v>
      </c>
      <c r="M3592">
        <f>COUNTIF(L$1:L3592,L3592)</f>
        <v>16</v>
      </c>
      <c r="N3592" t="str">
        <f t="shared" si="169"/>
        <v>NA15TE-16</v>
      </c>
      <c r="O3592">
        <f>COUNTIFS(F$1:F3592,F3592,A$1:A3592,A3592)</f>
        <v>30</v>
      </c>
      <c r="P3592" t="str">
        <f t="shared" si="170"/>
        <v>Mark Andrews15</v>
      </c>
    </row>
    <row r="3593" spans="1:16" x14ac:dyDescent="0.25">
      <c r="A3593">
        <v>4</v>
      </c>
      <c r="B3593" t="s">
        <v>4236</v>
      </c>
      <c r="C3593">
        <f>-0.74-6.58</f>
        <v>-7.32</v>
      </c>
      <c r="D3593">
        <v>2.92</v>
      </c>
      <c r="E3593" t="s">
        <v>29</v>
      </c>
      <c r="F3593" t="s">
        <v>87</v>
      </c>
      <c r="G3593">
        <v>6.58</v>
      </c>
      <c r="H3593">
        <v>-0.74</v>
      </c>
      <c r="I3593">
        <v>3.66</v>
      </c>
      <c r="J3593">
        <v>13.3956</v>
      </c>
      <c r="K3593" t="str">
        <f>IFERROR(INDEX(Rosters!$C$2:$C$155,MATCH($B3593,Rosters!$B$2:$B$155,0)),"NA")</f>
        <v>aj</v>
      </c>
      <c r="L3593" t="str">
        <f t="shared" si="168"/>
        <v>aj4WR</v>
      </c>
      <c r="M3593">
        <f>COUNTIF(L$1:L3593,L3593)</f>
        <v>6</v>
      </c>
      <c r="N3593" t="str">
        <f t="shared" si="169"/>
        <v>aj4WR-6</v>
      </c>
      <c r="O3593">
        <f>COUNTIFS(F$1:F3593,F3593,A$1:A3593,A3593)</f>
        <v>87</v>
      </c>
      <c r="P3593" t="str">
        <f t="shared" si="170"/>
        <v>Marquez Valdes-Scantling4</v>
      </c>
    </row>
    <row r="3594" spans="1:16" x14ac:dyDescent="0.25">
      <c r="A3594">
        <v>14</v>
      </c>
      <c r="B3594" t="s">
        <v>190</v>
      </c>
      <c r="C3594" t="s">
        <v>8198</v>
      </c>
      <c r="D3594">
        <v>2.92</v>
      </c>
      <c r="E3594" t="s">
        <v>50</v>
      </c>
      <c r="F3594" t="s">
        <v>87</v>
      </c>
      <c r="G3594">
        <v>5.81</v>
      </c>
      <c r="H3594">
        <v>0.03</v>
      </c>
      <c r="I3594">
        <v>2.89</v>
      </c>
      <c r="J3594">
        <v>8.3521000000000001</v>
      </c>
      <c r="K3594" t="str">
        <f>IFERROR(INDEX(Rosters!$C$2:$C$155,MATCH($B3594,Rosters!$B$2:$B$155,0)),"NA")</f>
        <v>NA</v>
      </c>
      <c r="L3594" t="str">
        <f t="shared" si="168"/>
        <v>NA14WR</v>
      </c>
      <c r="M3594">
        <f>COUNTIF(L$1:L3594,L3594)</f>
        <v>45</v>
      </c>
      <c r="N3594" t="str">
        <f t="shared" si="169"/>
        <v>NA14WR-45</v>
      </c>
      <c r="O3594">
        <f>COUNTIFS(F$1:F3594,F3594,A$1:A3594,A3594)</f>
        <v>99</v>
      </c>
      <c r="P3594" t="str">
        <f t="shared" si="170"/>
        <v>Tavon Austin14</v>
      </c>
    </row>
    <row r="3595" spans="1:16" x14ac:dyDescent="0.25">
      <c r="A3595">
        <v>14</v>
      </c>
      <c r="B3595" t="s">
        <v>1457</v>
      </c>
      <c r="C3595" t="s">
        <v>8199</v>
      </c>
      <c r="D3595">
        <v>2.92</v>
      </c>
      <c r="E3595" t="s">
        <v>42</v>
      </c>
      <c r="F3595" t="s">
        <v>87</v>
      </c>
      <c r="G3595">
        <v>5.71</v>
      </c>
      <c r="H3595">
        <v>0.13</v>
      </c>
      <c r="I3595">
        <v>2.79</v>
      </c>
      <c r="J3595">
        <v>7.7840999999999996</v>
      </c>
      <c r="K3595" t="str">
        <f>IFERROR(INDEX(Rosters!$C$2:$C$155,MATCH($B3595,Rosters!$B$2:$B$155,0)),"NA")</f>
        <v>NA</v>
      </c>
      <c r="L3595" t="str">
        <f t="shared" si="168"/>
        <v>NA14WR</v>
      </c>
      <c r="M3595">
        <f>COUNTIF(L$1:L3595,L3595)</f>
        <v>46</v>
      </c>
      <c r="N3595" t="str">
        <f t="shared" si="169"/>
        <v>NA14WR-46</v>
      </c>
      <c r="O3595">
        <f>COUNTIFS(F$1:F3595,F3595,A$1:A3595,A3595)</f>
        <v>100</v>
      </c>
      <c r="P3595" t="str">
        <f t="shared" si="170"/>
        <v>Trent Taylor14</v>
      </c>
    </row>
    <row r="3596" spans="1:16" x14ac:dyDescent="0.25">
      <c r="A3596">
        <v>14</v>
      </c>
      <c r="B3596" t="s">
        <v>2667</v>
      </c>
      <c r="C3596" t="s">
        <v>8200</v>
      </c>
      <c r="D3596">
        <v>2.91</v>
      </c>
      <c r="E3596" t="s">
        <v>31</v>
      </c>
      <c r="F3596" t="s">
        <v>114</v>
      </c>
      <c r="G3596">
        <v>5.75</v>
      </c>
      <c r="H3596">
        <v>7.0000000000000007E-2</v>
      </c>
      <c r="I3596">
        <v>2.84</v>
      </c>
      <c r="J3596">
        <v>8.0655999999999999</v>
      </c>
      <c r="K3596" t="str">
        <f>IFERROR(INDEX(Rosters!$C$2:$C$155,MATCH($B3596,Rosters!$B$2:$B$155,0)),"NA")</f>
        <v>NA</v>
      </c>
      <c r="L3596" t="str">
        <f t="shared" si="168"/>
        <v>NA14TE</v>
      </c>
      <c r="M3596">
        <f>COUNTIF(L$1:L3596,L3596)</f>
        <v>16</v>
      </c>
      <c r="N3596" t="str">
        <f t="shared" si="169"/>
        <v>NA14TE-16</v>
      </c>
      <c r="O3596">
        <f>COUNTIFS(F$1:F3596,F3596,A$1:A3596,A3596)</f>
        <v>30</v>
      </c>
      <c r="P3596" t="str">
        <f t="shared" si="170"/>
        <v>Antonio Gates14</v>
      </c>
    </row>
    <row r="3597" spans="1:16" x14ac:dyDescent="0.25">
      <c r="A3597">
        <v>3</v>
      </c>
      <c r="B3597" t="s">
        <v>4221</v>
      </c>
      <c r="C3597">
        <f>-0.38-6.2</f>
        <v>-6.58</v>
      </c>
      <c r="D3597">
        <v>2.91</v>
      </c>
      <c r="E3597" t="s">
        <v>52</v>
      </c>
      <c r="F3597" t="s">
        <v>114</v>
      </c>
      <c r="G3597">
        <v>6.2</v>
      </c>
      <c r="H3597">
        <v>-0.38</v>
      </c>
      <c r="I3597">
        <v>3.29</v>
      </c>
      <c r="J3597">
        <v>10.8241</v>
      </c>
      <c r="K3597" t="str">
        <f>IFERROR(INDEX(Rosters!$C$2:$C$155,MATCH($B3597,Rosters!$B$2:$B$155,0)),"NA")</f>
        <v>NA</v>
      </c>
      <c r="L3597" t="str">
        <f t="shared" si="168"/>
        <v>NA3TE</v>
      </c>
      <c r="M3597">
        <f>COUNTIF(L$1:L3597,L3597)</f>
        <v>13</v>
      </c>
      <c r="N3597" t="str">
        <f t="shared" si="169"/>
        <v>NA3TE-13</v>
      </c>
      <c r="O3597">
        <f>COUNTIFS(F$1:F3597,F3597,A$1:A3597,A3597)</f>
        <v>25</v>
      </c>
      <c r="P3597" t="str">
        <f t="shared" si="170"/>
        <v>Chris Herndon3</v>
      </c>
    </row>
    <row r="3598" spans="1:16" x14ac:dyDescent="0.25">
      <c r="A3598">
        <v>16</v>
      </c>
      <c r="B3598" t="s">
        <v>358</v>
      </c>
      <c r="C3598" t="s">
        <v>8201</v>
      </c>
      <c r="D3598">
        <v>2.91</v>
      </c>
      <c r="E3598" t="s">
        <v>19</v>
      </c>
      <c r="F3598" t="s">
        <v>114</v>
      </c>
      <c r="G3598">
        <v>5.69</v>
      </c>
      <c r="H3598">
        <v>0.13</v>
      </c>
      <c r="I3598">
        <v>2.78</v>
      </c>
      <c r="J3598">
        <v>7.7283999999999997</v>
      </c>
      <c r="K3598" t="str">
        <f>IFERROR(INDEX(Rosters!$C$2:$C$155,MATCH($B3598,Rosters!$B$2:$B$155,0)),"NA")</f>
        <v>NA</v>
      </c>
      <c r="L3598" t="str">
        <f t="shared" si="168"/>
        <v>NA16TE</v>
      </c>
      <c r="M3598">
        <f>COUNTIF(L$1:L3598,L3598)</f>
        <v>16</v>
      </c>
      <c r="N3598" t="str">
        <f t="shared" si="169"/>
        <v>NA16TE-16</v>
      </c>
      <c r="O3598">
        <f>COUNTIFS(F$1:F3598,F3598,A$1:A3598,A3598)</f>
        <v>30</v>
      </c>
      <c r="P3598" t="str">
        <f t="shared" si="170"/>
        <v>James O'Shaughnessy16</v>
      </c>
    </row>
    <row r="3599" spans="1:16" x14ac:dyDescent="0.25">
      <c r="A3599">
        <v>16</v>
      </c>
      <c r="B3599" t="s">
        <v>2750</v>
      </c>
      <c r="C3599" t="s">
        <v>8202</v>
      </c>
      <c r="D3599">
        <v>2.91</v>
      </c>
      <c r="E3599" t="s">
        <v>36</v>
      </c>
      <c r="F3599" t="s">
        <v>87</v>
      </c>
      <c r="G3599">
        <v>5.62</v>
      </c>
      <c r="H3599">
        <v>0.2</v>
      </c>
      <c r="I3599">
        <v>2.71</v>
      </c>
      <c r="J3599">
        <v>7.3441000000000001</v>
      </c>
      <c r="K3599" t="str">
        <f>IFERROR(INDEX(Rosters!$C$2:$C$155,MATCH($B3599,Rosters!$B$2:$B$155,0)),"NA")</f>
        <v>NA</v>
      </c>
      <c r="L3599" t="str">
        <f t="shared" si="168"/>
        <v>NA16WR</v>
      </c>
      <c r="M3599">
        <f>COUNTIF(L$1:L3599,L3599)</f>
        <v>47</v>
      </c>
      <c r="N3599" t="str">
        <f t="shared" si="169"/>
        <v>NA16WR-47</v>
      </c>
      <c r="O3599">
        <f>COUNTIFS(F$1:F3599,F3599,A$1:A3599,A3599)</f>
        <v>100</v>
      </c>
      <c r="P3599" t="str">
        <f t="shared" si="170"/>
        <v>Jordan Matthews16</v>
      </c>
    </row>
    <row r="3600" spans="1:16" x14ac:dyDescent="0.25">
      <c r="A3600">
        <v>8</v>
      </c>
      <c r="B3600" t="s">
        <v>798</v>
      </c>
      <c r="C3600">
        <f>-0.15-5.97</f>
        <v>-6.12</v>
      </c>
      <c r="D3600">
        <v>2.91</v>
      </c>
      <c r="E3600" t="s">
        <v>51</v>
      </c>
      <c r="F3600" t="s">
        <v>87</v>
      </c>
      <c r="G3600">
        <v>5.97</v>
      </c>
      <c r="H3600">
        <v>-0.15</v>
      </c>
      <c r="I3600">
        <v>3.06</v>
      </c>
      <c r="J3600">
        <v>9.3635999999999999</v>
      </c>
      <c r="K3600" t="str">
        <f>IFERROR(INDEX(Rosters!$C$2:$C$155,MATCH($B3600,Rosters!$B$2:$B$155,0)),"NA")</f>
        <v>NA</v>
      </c>
      <c r="L3600" t="str">
        <f t="shared" si="168"/>
        <v>NA8WR</v>
      </c>
      <c r="M3600">
        <f>COUNTIF(L$1:L3600,L3600)</f>
        <v>38</v>
      </c>
      <c r="N3600" t="str">
        <f t="shared" si="169"/>
        <v>NA8WR-38</v>
      </c>
      <c r="O3600">
        <f>COUNTIFS(F$1:F3600,F3600,A$1:A3600,A3600)</f>
        <v>86</v>
      </c>
      <c r="P3600" t="str">
        <f t="shared" si="170"/>
        <v>Rashard Higgins8</v>
      </c>
    </row>
    <row r="3601" spans="1:16" x14ac:dyDescent="0.25">
      <c r="A3601">
        <v>9</v>
      </c>
      <c r="B3601" t="s">
        <v>798</v>
      </c>
      <c r="C3601" t="s">
        <v>8203</v>
      </c>
      <c r="D3601">
        <v>2.91</v>
      </c>
      <c r="E3601" t="s">
        <v>24</v>
      </c>
      <c r="F3601" t="s">
        <v>87</v>
      </c>
      <c r="G3601">
        <v>5.6</v>
      </c>
      <c r="H3601">
        <v>0.22</v>
      </c>
      <c r="I3601">
        <v>2.69</v>
      </c>
      <c r="J3601">
        <v>7.2361000000000004</v>
      </c>
      <c r="K3601" t="str">
        <f>IFERROR(INDEX(Rosters!$C$2:$C$155,MATCH($B3601,Rosters!$B$2:$B$155,0)),"NA")</f>
        <v>NA</v>
      </c>
      <c r="L3601" t="str">
        <f t="shared" si="168"/>
        <v>NA9WR</v>
      </c>
      <c r="M3601">
        <f>COUNTIF(L$1:L3601,L3601)</f>
        <v>42</v>
      </c>
      <c r="N3601" t="str">
        <f t="shared" si="169"/>
        <v>NA9WR-42</v>
      </c>
      <c r="O3601">
        <f>COUNTIFS(F$1:F3601,F3601,A$1:A3601,A3601)</f>
        <v>85</v>
      </c>
      <c r="P3601" t="str">
        <f t="shared" si="170"/>
        <v>Rashard Higgins9</v>
      </c>
    </row>
    <row r="3602" spans="1:16" x14ac:dyDescent="0.25">
      <c r="A3602">
        <v>17</v>
      </c>
      <c r="B3602" t="s">
        <v>109</v>
      </c>
      <c r="C3602" t="s">
        <v>8204</v>
      </c>
      <c r="D3602">
        <v>2.91</v>
      </c>
      <c r="E3602" t="s">
        <v>34</v>
      </c>
      <c r="F3602" t="s">
        <v>47</v>
      </c>
      <c r="G3602">
        <v>4.59</v>
      </c>
      <c r="H3602">
        <v>1.23</v>
      </c>
      <c r="I3602">
        <v>1.68</v>
      </c>
      <c r="J3602">
        <v>2.8224</v>
      </c>
      <c r="K3602" t="str">
        <f>IFERROR(INDEX(Rosters!$C$2:$C$155,MATCH($B3602,Rosters!$B$2:$B$155,0)),"NA")</f>
        <v>seth</v>
      </c>
      <c r="L3602" t="str">
        <f t="shared" si="168"/>
        <v>seth17RB</v>
      </c>
      <c r="M3602">
        <f>COUNTIF(L$1:L3602,L3602)</f>
        <v>7</v>
      </c>
      <c r="N3602" t="str">
        <f t="shared" si="169"/>
        <v>seth17RB-7</v>
      </c>
      <c r="O3602">
        <f>COUNTIFS(F$1:F3602,F3602,A$1:A3602,A3602)</f>
        <v>72</v>
      </c>
      <c r="P3602" t="str">
        <f t="shared" si="170"/>
        <v>Ty Montgomery17</v>
      </c>
    </row>
    <row r="3603" spans="1:16" x14ac:dyDescent="0.25">
      <c r="A3603">
        <v>2</v>
      </c>
      <c r="B3603" t="s">
        <v>214</v>
      </c>
      <c r="C3603">
        <f>-0.2-6.02</f>
        <v>-6.22</v>
      </c>
      <c r="D3603">
        <v>2.91</v>
      </c>
      <c r="E3603" t="s">
        <v>24</v>
      </c>
      <c r="F3603" t="s">
        <v>114</v>
      </c>
      <c r="G3603">
        <v>6.02</v>
      </c>
      <c r="H3603">
        <v>-0.2</v>
      </c>
      <c r="I3603">
        <v>3.11</v>
      </c>
      <c r="J3603">
        <v>9.6721000000000004</v>
      </c>
      <c r="K3603" t="str">
        <f>IFERROR(INDEX(Rosters!$C$2:$C$155,MATCH($B3603,Rosters!$B$2:$B$155,0)),"NA")</f>
        <v>scott</v>
      </c>
      <c r="L3603" t="str">
        <f t="shared" si="168"/>
        <v>scott2TE</v>
      </c>
      <c r="M3603">
        <f>COUNTIF(L$1:L3603,L3603)</f>
        <v>2</v>
      </c>
      <c r="N3603" t="str">
        <f t="shared" si="169"/>
        <v>scott2TE-2</v>
      </c>
      <c r="O3603">
        <f>COUNTIFS(F$1:F3603,F3603,A$1:A3603,A3603)</f>
        <v>28</v>
      </c>
      <c r="P3603" t="str">
        <f t="shared" si="170"/>
        <v>Vance McDonald2</v>
      </c>
    </row>
    <row r="3604" spans="1:16" x14ac:dyDescent="0.25">
      <c r="A3604">
        <v>3</v>
      </c>
      <c r="B3604" t="s">
        <v>267</v>
      </c>
      <c r="C3604" t="s">
        <v>3777</v>
      </c>
      <c r="D3604">
        <v>2.91</v>
      </c>
      <c r="E3604" t="s">
        <v>56</v>
      </c>
      <c r="F3604" t="s">
        <v>114</v>
      </c>
      <c r="G3604">
        <v>5.41</v>
      </c>
      <c r="H3604">
        <v>0.41</v>
      </c>
      <c r="I3604">
        <v>2.5</v>
      </c>
      <c r="J3604">
        <v>6.25</v>
      </c>
      <c r="K3604" t="str">
        <f>IFERROR(INDEX(Rosters!$C$2:$C$155,MATCH($B3604,Rosters!$B$2:$B$155,0)),"NA")</f>
        <v>NA</v>
      </c>
      <c r="L3604" t="str">
        <f t="shared" si="168"/>
        <v>NA3TE</v>
      </c>
      <c r="M3604">
        <f>COUNTIF(L$1:L3604,L3604)</f>
        <v>14</v>
      </c>
      <c r="N3604" t="str">
        <f t="shared" si="169"/>
        <v>NA3TE-14</v>
      </c>
      <c r="O3604">
        <f>COUNTIFS(F$1:F3604,F3604,A$1:A3604,A3604)</f>
        <v>26</v>
      </c>
      <c r="P3604" t="str">
        <f t="shared" si="170"/>
        <v>Virgil Green3</v>
      </c>
    </row>
    <row r="3605" spans="1:16" x14ac:dyDescent="0.25">
      <c r="A3605">
        <v>15</v>
      </c>
      <c r="B3605" t="s">
        <v>316</v>
      </c>
      <c r="C3605" t="s">
        <v>4608</v>
      </c>
      <c r="D3605">
        <v>2.9</v>
      </c>
      <c r="E3605" t="s">
        <v>60</v>
      </c>
      <c r="F3605" t="s">
        <v>47</v>
      </c>
      <c r="G3605">
        <v>5.53</v>
      </c>
      <c r="H3605">
        <v>0.27</v>
      </c>
      <c r="I3605">
        <v>2.63</v>
      </c>
      <c r="J3605">
        <v>6.9169</v>
      </c>
      <c r="K3605" t="str">
        <f>IFERROR(INDEX(Rosters!$C$2:$C$155,MATCH($B3605,Rosters!$B$2:$B$155,0)),"NA")</f>
        <v>NA</v>
      </c>
      <c r="L3605" t="str">
        <f t="shared" si="168"/>
        <v>NA15RB</v>
      </c>
      <c r="M3605">
        <f>COUNTIF(L$1:L3605,L3605)</f>
        <v>23</v>
      </c>
      <c r="N3605" t="str">
        <f t="shared" si="169"/>
        <v>NA15RB-23</v>
      </c>
      <c r="O3605">
        <f>COUNTIFS(F$1:F3605,F3605,A$1:A3605,A3605)</f>
        <v>69</v>
      </c>
      <c r="P3605" t="str">
        <f t="shared" si="170"/>
        <v>Corey Grant15</v>
      </c>
    </row>
    <row r="3606" spans="1:16" x14ac:dyDescent="0.25">
      <c r="A3606">
        <v>4</v>
      </c>
      <c r="B3606" t="s">
        <v>282</v>
      </c>
      <c r="C3606" t="s">
        <v>4607</v>
      </c>
      <c r="D3606">
        <v>2.9</v>
      </c>
      <c r="E3606" t="s">
        <v>25</v>
      </c>
      <c r="F3606" t="s">
        <v>47</v>
      </c>
      <c r="G3606">
        <v>5.36</v>
      </c>
      <c r="H3606">
        <v>0.44</v>
      </c>
      <c r="I3606">
        <v>2.46</v>
      </c>
      <c r="J3606">
        <v>6.0515999999999996</v>
      </c>
      <c r="K3606" t="str">
        <f>IFERROR(INDEX(Rosters!$C$2:$C$155,MATCH($B3606,Rosters!$B$2:$B$155,0)),"NA")</f>
        <v>NA</v>
      </c>
      <c r="L3606" t="str">
        <f t="shared" si="168"/>
        <v>NA4RB</v>
      </c>
      <c r="M3606">
        <f>COUNTIF(L$1:L3606,L3606)</f>
        <v>22</v>
      </c>
      <c r="N3606" t="str">
        <f t="shared" si="169"/>
        <v>NA4RB-22</v>
      </c>
      <c r="O3606">
        <f>COUNTIFS(F$1:F3606,F3606,A$1:A3606,A3606)</f>
        <v>61</v>
      </c>
      <c r="P3606" t="str">
        <f t="shared" si="170"/>
        <v>Malcolm Brown4</v>
      </c>
    </row>
    <row r="3607" spans="1:16" x14ac:dyDescent="0.25">
      <c r="A3607">
        <v>11</v>
      </c>
      <c r="B3607" t="s">
        <v>325</v>
      </c>
      <c r="C3607" t="s">
        <v>8205</v>
      </c>
      <c r="D3607">
        <v>2.9</v>
      </c>
      <c r="E3607" t="s">
        <v>77</v>
      </c>
      <c r="F3607" t="s">
        <v>114</v>
      </c>
      <c r="G3607">
        <v>5.55</v>
      </c>
      <c r="H3607">
        <v>0.25</v>
      </c>
      <c r="I3607">
        <v>2.65</v>
      </c>
      <c r="J3607">
        <v>7.0225</v>
      </c>
      <c r="K3607" t="str">
        <f>IFERROR(INDEX(Rosters!$C$2:$C$155,MATCH($B3607,Rosters!$B$2:$B$155,0)),"NA")</f>
        <v>NA</v>
      </c>
      <c r="L3607" t="str">
        <f t="shared" si="168"/>
        <v>NA11TE</v>
      </c>
      <c r="M3607">
        <f>COUNTIF(L$1:L3607,L3607)</f>
        <v>15</v>
      </c>
      <c r="N3607" t="str">
        <f t="shared" si="169"/>
        <v>NA11TE-15</v>
      </c>
      <c r="O3607">
        <f>COUNTIFS(F$1:F3607,F3607,A$1:A3607,A3607)</f>
        <v>27</v>
      </c>
      <c r="P3607" t="str">
        <f t="shared" si="170"/>
        <v>Tyler Kroft11</v>
      </c>
    </row>
    <row r="3608" spans="1:16" x14ac:dyDescent="0.25">
      <c r="A3608">
        <v>16</v>
      </c>
      <c r="B3608" t="s">
        <v>265</v>
      </c>
      <c r="C3608" t="s">
        <v>8206</v>
      </c>
      <c r="D3608">
        <v>2.9</v>
      </c>
      <c r="E3608" t="s">
        <v>38</v>
      </c>
      <c r="F3608" t="s">
        <v>114</v>
      </c>
      <c r="G3608">
        <v>5.26</v>
      </c>
      <c r="H3608">
        <v>0.54</v>
      </c>
      <c r="I3608">
        <v>2.36</v>
      </c>
      <c r="J3608">
        <v>5.5696000000000003</v>
      </c>
      <c r="K3608" t="str">
        <f>IFERROR(INDEX(Rosters!$C$2:$C$155,MATCH($B3608,Rosters!$B$2:$B$155,0)),"NA")</f>
        <v>NA</v>
      </c>
      <c r="L3608" t="str">
        <f t="shared" si="168"/>
        <v>NA16TE</v>
      </c>
      <c r="M3608">
        <f>COUNTIF(L$1:L3608,L3608)</f>
        <v>17</v>
      </c>
      <c r="N3608" t="str">
        <f t="shared" si="169"/>
        <v>NA16TE-17</v>
      </c>
      <c r="O3608">
        <f>COUNTIFS(F$1:F3608,F3608,A$1:A3608,A3608)</f>
        <v>31</v>
      </c>
      <c r="P3608" t="str">
        <f t="shared" si="170"/>
        <v>Vernon Davis16</v>
      </c>
    </row>
    <row r="3609" spans="1:16" x14ac:dyDescent="0.25">
      <c r="A3609">
        <v>13</v>
      </c>
      <c r="B3609" t="s">
        <v>2667</v>
      </c>
      <c r="C3609" t="s">
        <v>8207</v>
      </c>
      <c r="D3609">
        <v>2.89</v>
      </c>
      <c r="E3609" t="s">
        <v>51</v>
      </c>
      <c r="F3609" t="s">
        <v>114</v>
      </c>
      <c r="G3609">
        <v>5.78</v>
      </c>
      <c r="H3609">
        <v>0</v>
      </c>
      <c r="I3609">
        <v>2.89</v>
      </c>
      <c r="J3609">
        <v>8.3521000000000001</v>
      </c>
      <c r="K3609" t="str">
        <f>IFERROR(INDEX(Rosters!$C$2:$C$155,MATCH($B3609,Rosters!$B$2:$B$155,0)),"NA")</f>
        <v>NA</v>
      </c>
      <c r="L3609" t="str">
        <f t="shared" si="168"/>
        <v>NA13TE</v>
      </c>
      <c r="M3609">
        <f>COUNTIF(L$1:L3609,L3609)</f>
        <v>17</v>
      </c>
      <c r="N3609" t="str">
        <f t="shared" si="169"/>
        <v>NA13TE-17</v>
      </c>
      <c r="O3609">
        <f>COUNTIFS(F$1:F3609,F3609,A$1:A3609,A3609)</f>
        <v>31</v>
      </c>
      <c r="P3609" t="str">
        <f t="shared" si="170"/>
        <v>Antonio Gates13</v>
      </c>
    </row>
    <row r="3610" spans="1:16" x14ac:dyDescent="0.25">
      <c r="A3610">
        <v>6</v>
      </c>
      <c r="B3610" t="s">
        <v>338</v>
      </c>
      <c r="C3610" t="s">
        <v>8208</v>
      </c>
      <c r="D3610">
        <v>2.89</v>
      </c>
      <c r="E3610" t="s">
        <v>32</v>
      </c>
      <c r="F3610" t="s">
        <v>87</v>
      </c>
      <c r="G3610">
        <v>5.7</v>
      </c>
      <c r="H3610">
        <v>0.08</v>
      </c>
      <c r="I3610">
        <v>2.81</v>
      </c>
      <c r="J3610">
        <v>7.8960999999999997</v>
      </c>
      <c r="K3610" t="str">
        <f>IFERROR(INDEX(Rosters!$C$2:$C$155,MATCH($B3610,Rosters!$B$2:$B$155,0)),"NA")</f>
        <v>NA</v>
      </c>
      <c r="L3610" t="str">
        <f t="shared" si="168"/>
        <v>NA6WR</v>
      </c>
      <c r="M3610">
        <f>COUNTIF(L$1:L3610,L3610)</f>
        <v>42</v>
      </c>
      <c r="N3610" t="str">
        <f t="shared" si="169"/>
        <v>NA6WR-42</v>
      </c>
      <c r="O3610">
        <f>COUNTIFS(F$1:F3610,F3610,A$1:A3610,A3610)</f>
        <v>91</v>
      </c>
      <c r="P3610" t="str">
        <f t="shared" si="170"/>
        <v>Jaron Brown6</v>
      </c>
    </row>
    <row r="3611" spans="1:16" x14ac:dyDescent="0.25">
      <c r="A3611">
        <v>7</v>
      </c>
      <c r="B3611" t="s">
        <v>282</v>
      </c>
      <c r="C3611" t="s">
        <v>8209</v>
      </c>
      <c r="D3611">
        <v>2.89</v>
      </c>
      <c r="E3611" t="s">
        <v>30</v>
      </c>
      <c r="F3611" t="s">
        <v>47</v>
      </c>
      <c r="G3611">
        <v>5.34</v>
      </c>
      <c r="H3611">
        <v>0.44</v>
      </c>
      <c r="I3611">
        <v>2.4500000000000002</v>
      </c>
      <c r="J3611">
        <v>6.0025000000000004</v>
      </c>
      <c r="K3611" t="str">
        <f>IFERROR(INDEX(Rosters!$C$2:$C$155,MATCH($B3611,Rosters!$B$2:$B$155,0)),"NA")</f>
        <v>NA</v>
      </c>
      <c r="L3611" t="str">
        <f t="shared" si="168"/>
        <v>NA7RB</v>
      </c>
      <c r="M3611">
        <f>COUNTIF(L$1:L3611,L3611)</f>
        <v>20</v>
      </c>
      <c r="N3611" t="str">
        <f t="shared" si="169"/>
        <v>NA7RB-20</v>
      </c>
      <c r="O3611">
        <f>COUNTIFS(F$1:F3611,F3611,A$1:A3611,A3611)</f>
        <v>61</v>
      </c>
      <c r="P3611" t="str">
        <f t="shared" si="170"/>
        <v>Malcolm Brown7</v>
      </c>
    </row>
    <row r="3612" spans="1:16" x14ac:dyDescent="0.25">
      <c r="A3612">
        <v>7</v>
      </c>
      <c r="B3612" t="s">
        <v>4224</v>
      </c>
      <c r="C3612" t="s">
        <v>8210</v>
      </c>
      <c r="D3612">
        <v>2.89</v>
      </c>
      <c r="E3612" t="s">
        <v>14</v>
      </c>
      <c r="F3612" t="s">
        <v>114</v>
      </c>
      <c r="G3612">
        <v>5.47</v>
      </c>
      <c r="H3612">
        <v>0.31</v>
      </c>
      <c r="I3612">
        <v>2.58</v>
      </c>
      <c r="J3612">
        <v>6.6563999999999997</v>
      </c>
      <c r="K3612" t="str">
        <f>IFERROR(INDEX(Rosters!$C$2:$C$155,MATCH($B3612,Rosters!$B$2:$B$155,0)),"NA")</f>
        <v>NA</v>
      </c>
      <c r="L3612" t="str">
        <f t="shared" si="168"/>
        <v>NA7TE</v>
      </c>
      <c r="M3612">
        <f>COUNTIF(L$1:L3612,L3612)</f>
        <v>17</v>
      </c>
      <c r="N3612" t="str">
        <f t="shared" si="169"/>
        <v>NA7TE-17</v>
      </c>
      <c r="O3612">
        <f>COUNTIFS(F$1:F3612,F3612,A$1:A3612,A3612)</f>
        <v>27</v>
      </c>
      <c r="P3612" t="str">
        <f t="shared" si="170"/>
        <v>Mark Andrews7</v>
      </c>
    </row>
    <row r="3613" spans="1:16" x14ac:dyDescent="0.25">
      <c r="A3613">
        <v>8</v>
      </c>
      <c r="B3613" t="s">
        <v>229</v>
      </c>
      <c r="C3613" t="s">
        <v>8211</v>
      </c>
      <c r="D3613">
        <v>2.89</v>
      </c>
      <c r="E3613" t="s">
        <v>31</v>
      </c>
      <c r="F3613" t="s">
        <v>114</v>
      </c>
      <c r="G3613">
        <v>5.57</v>
      </c>
      <c r="H3613">
        <v>0.21</v>
      </c>
      <c r="I3613">
        <v>2.68</v>
      </c>
      <c r="J3613">
        <v>7.1824000000000003</v>
      </c>
      <c r="K3613" t="str">
        <f>IFERROR(INDEX(Rosters!$C$2:$C$155,MATCH($B3613,Rosters!$B$2:$B$155,0)),"NA")</f>
        <v>NA</v>
      </c>
      <c r="L3613" t="str">
        <f t="shared" si="168"/>
        <v>NA8TE</v>
      </c>
      <c r="M3613">
        <f>COUNTIF(L$1:L3613,L3613)</f>
        <v>13</v>
      </c>
      <c r="N3613" t="str">
        <f t="shared" si="169"/>
        <v>NA8TE-13</v>
      </c>
      <c r="O3613">
        <f>COUNTIFS(F$1:F3613,F3613,A$1:A3613,A3613)</f>
        <v>25</v>
      </c>
      <c r="P3613" t="str">
        <f t="shared" si="170"/>
        <v>O.J. Howard8</v>
      </c>
    </row>
    <row r="3614" spans="1:16" x14ac:dyDescent="0.25">
      <c r="A3614">
        <v>7</v>
      </c>
      <c r="B3614" t="s">
        <v>1511</v>
      </c>
      <c r="C3614" t="s">
        <v>8209</v>
      </c>
      <c r="D3614">
        <v>2.89</v>
      </c>
      <c r="E3614" t="s">
        <v>37</v>
      </c>
      <c r="F3614" t="s">
        <v>87</v>
      </c>
      <c r="G3614">
        <v>5.34</v>
      </c>
      <c r="H3614">
        <v>0.44</v>
      </c>
      <c r="I3614">
        <v>2.4500000000000002</v>
      </c>
      <c r="J3614">
        <v>6.0025000000000004</v>
      </c>
      <c r="K3614" t="str">
        <f>IFERROR(INDEX(Rosters!$C$2:$C$155,MATCH($B3614,Rosters!$B$2:$B$155,0)),"NA")</f>
        <v>NA</v>
      </c>
      <c r="L3614" t="str">
        <f t="shared" si="168"/>
        <v>NA7WR</v>
      </c>
      <c r="M3614">
        <f>COUNTIF(L$1:L3614,L3614)</f>
        <v>38</v>
      </c>
      <c r="N3614" t="str">
        <f t="shared" si="169"/>
        <v>NA7WR-38</v>
      </c>
      <c r="O3614">
        <f>COUNTIFS(F$1:F3614,F3614,A$1:A3614,A3614)</f>
        <v>82</v>
      </c>
      <c r="P3614" t="str">
        <f t="shared" si="170"/>
        <v>Tajae Sharpe7</v>
      </c>
    </row>
    <row r="3615" spans="1:16" x14ac:dyDescent="0.25">
      <c r="A3615">
        <v>15</v>
      </c>
      <c r="B3615" t="s">
        <v>1457</v>
      </c>
      <c r="C3615" t="s">
        <v>8212</v>
      </c>
      <c r="D3615">
        <v>2.89</v>
      </c>
      <c r="E3615" t="s">
        <v>28</v>
      </c>
      <c r="F3615" t="s">
        <v>87</v>
      </c>
      <c r="G3615">
        <v>5.72</v>
      </c>
      <c r="H3615">
        <v>0.06</v>
      </c>
      <c r="I3615">
        <v>2.83</v>
      </c>
      <c r="J3615">
        <v>8.0089000000000006</v>
      </c>
      <c r="K3615" t="str">
        <f>IFERROR(INDEX(Rosters!$C$2:$C$155,MATCH($B3615,Rosters!$B$2:$B$155,0)),"NA")</f>
        <v>NA</v>
      </c>
      <c r="L3615" t="str">
        <f t="shared" si="168"/>
        <v>NA15WR</v>
      </c>
      <c r="M3615">
        <f>COUNTIF(L$1:L3615,L3615)</f>
        <v>49</v>
      </c>
      <c r="N3615" t="str">
        <f t="shared" si="169"/>
        <v>NA15WR-49</v>
      </c>
      <c r="O3615">
        <f>COUNTIFS(F$1:F3615,F3615,A$1:A3615,A3615)</f>
        <v>103</v>
      </c>
      <c r="P3615" t="str">
        <f t="shared" si="170"/>
        <v>Trent Taylor15</v>
      </c>
    </row>
    <row r="3616" spans="1:16" x14ac:dyDescent="0.25">
      <c r="A3616">
        <v>4</v>
      </c>
      <c r="B3616" t="s">
        <v>244</v>
      </c>
      <c r="C3616" t="s">
        <v>4609</v>
      </c>
      <c r="D3616">
        <v>2.89</v>
      </c>
      <c r="E3616" t="s">
        <v>25</v>
      </c>
      <c r="F3616" t="s">
        <v>114</v>
      </c>
      <c r="G3616">
        <v>5.32</v>
      </c>
      <c r="H3616">
        <v>0.46</v>
      </c>
      <c r="I3616">
        <v>2.4300000000000002</v>
      </c>
      <c r="J3616">
        <v>5.9048999999999996</v>
      </c>
      <c r="K3616" t="str">
        <f>IFERROR(INDEX(Rosters!$C$2:$C$155,MATCH($B3616,Rosters!$B$2:$B$155,0)),"NA")</f>
        <v>NA</v>
      </c>
      <c r="L3616" t="str">
        <f t="shared" si="168"/>
        <v>NA4TE</v>
      </c>
      <c r="M3616">
        <f>COUNTIF(L$1:L3616,L3616)</f>
        <v>16</v>
      </c>
      <c r="N3616" t="str">
        <f t="shared" si="169"/>
        <v>NA4TE-16</v>
      </c>
      <c r="O3616">
        <f>COUNTIFS(F$1:F3616,F3616,A$1:A3616,A3616)</f>
        <v>27</v>
      </c>
      <c r="P3616" t="str">
        <f t="shared" si="170"/>
        <v>Tyler Higbee4</v>
      </c>
    </row>
    <row r="3617" spans="1:16" x14ac:dyDescent="0.25">
      <c r="A3617">
        <v>14</v>
      </c>
      <c r="B3617" t="s">
        <v>310</v>
      </c>
      <c r="C3617">
        <f>-0.43-6.19</f>
        <v>-6.62</v>
      </c>
      <c r="D3617">
        <v>2.88</v>
      </c>
      <c r="E3617" t="s">
        <v>77</v>
      </c>
      <c r="F3617" t="s">
        <v>114</v>
      </c>
      <c r="G3617">
        <v>6.19</v>
      </c>
      <c r="H3617">
        <v>-0.43</v>
      </c>
      <c r="I3617">
        <v>3.31</v>
      </c>
      <c r="J3617">
        <v>10.956099999999999</v>
      </c>
      <c r="K3617" t="str">
        <f>IFERROR(INDEX(Rosters!$C$2:$C$155,MATCH($B3617,Rosters!$B$2:$B$155,0)),"NA")</f>
        <v>NA</v>
      </c>
      <c r="L3617" t="str">
        <f t="shared" si="168"/>
        <v>NA14TE</v>
      </c>
      <c r="M3617">
        <f>COUNTIF(L$1:L3617,L3617)</f>
        <v>17</v>
      </c>
      <c r="N3617" t="str">
        <f t="shared" si="169"/>
        <v>NA14TE-17</v>
      </c>
      <c r="O3617">
        <f>COUNTIFS(F$1:F3617,F3617,A$1:A3617,A3617)</f>
        <v>31</v>
      </c>
      <c r="P3617" t="str">
        <f t="shared" si="170"/>
        <v>Demetrius Harris14</v>
      </c>
    </row>
    <row r="3618" spans="1:16" x14ac:dyDescent="0.25">
      <c r="A3618">
        <v>13</v>
      </c>
      <c r="B3618" t="s">
        <v>1586</v>
      </c>
      <c r="C3618" t="s">
        <v>8213</v>
      </c>
      <c r="D3618">
        <v>2.88</v>
      </c>
      <c r="E3618" t="s">
        <v>38</v>
      </c>
      <c r="F3618" t="s">
        <v>114</v>
      </c>
      <c r="G3618">
        <v>5.53</v>
      </c>
      <c r="H3618">
        <v>0.23</v>
      </c>
      <c r="I3618">
        <v>2.65</v>
      </c>
      <c r="J3618">
        <v>7.0225</v>
      </c>
      <c r="K3618" t="str">
        <f>IFERROR(INDEX(Rosters!$C$2:$C$155,MATCH($B3618,Rosters!$B$2:$B$155,0)),"NA")</f>
        <v>NA</v>
      </c>
      <c r="L3618" t="str">
        <f t="shared" si="168"/>
        <v>NA13TE</v>
      </c>
      <c r="M3618">
        <f>COUNTIF(L$1:L3618,L3618)</f>
        <v>18</v>
      </c>
      <c r="N3618" t="str">
        <f t="shared" si="169"/>
        <v>NA13TE-18</v>
      </c>
      <c r="O3618">
        <f>COUNTIFS(F$1:F3618,F3618,A$1:A3618,A3618)</f>
        <v>32</v>
      </c>
      <c r="P3618" t="str">
        <f t="shared" si="170"/>
        <v>Eric Tomlinson13</v>
      </c>
    </row>
    <row r="3619" spans="1:16" x14ac:dyDescent="0.25">
      <c r="A3619">
        <v>5</v>
      </c>
      <c r="B3619" t="s">
        <v>4206</v>
      </c>
      <c r="C3619" t="s">
        <v>8214</v>
      </c>
      <c r="D3619">
        <v>2.88</v>
      </c>
      <c r="E3619" t="s">
        <v>51</v>
      </c>
      <c r="F3619" t="s">
        <v>47</v>
      </c>
      <c r="G3619">
        <v>5.51</v>
      </c>
      <c r="H3619">
        <v>0.25</v>
      </c>
      <c r="I3619">
        <v>2.63</v>
      </c>
      <c r="J3619">
        <v>6.9169</v>
      </c>
      <c r="K3619" t="str">
        <f>IFERROR(INDEX(Rosters!$C$2:$C$155,MATCH($B3619,Rosters!$B$2:$B$155,0)),"NA")</f>
        <v>NA</v>
      </c>
      <c r="L3619" t="str">
        <f t="shared" si="168"/>
        <v>NA5RB</v>
      </c>
      <c r="M3619">
        <f>COUNTIF(L$1:L3619,L3619)</f>
        <v>19</v>
      </c>
      <c r="N3619" t="str">
        <f t="shared" si="169"/>
        <v>NA5RB-19</v>
      </c>
      <c r="O3619">
        <f>COUNTIFS(F$1:F3619,F3619,A$1:A3619,A3619)</f>
        <v>62</v>
      </c>
      <c r="P3619" t="str">
        <f t="shared" si="170"/>
        <v>Ito Smith5</v>
      </c>
    </row>
    <row r="3620" spans="1:16" x14ac:dyDescent="0.25">
      <c r="A3620">
        <v>7</v>
      </c>
      <c r="B3620" t="s">
        <v>358</v>
      </c>
      <c r="C3620" t="s">
        <v>8215</v>
      </c>
      <c r="D3620">
        <v>2.88</v>
      </c>
      <c r="E3620" t="s">
        <v>36</v>
      </c>
      <c r="F3620" t="s">
        <v>114</v>
      </c>
      <c r="G3620">
        <v>5.6</v>
      </c>
      <c r="H3620">
        <v>0.16</v>
      </c>
      <c r="I3620">
        <v>2.72</v>
      </c>
      <c r="J3620">
        <v>7.3983999999999996</v>
      </c>
      <c r="K3620" t="str">
        <f>IFERROR(INDEX(Rosters!$C$2:$C$155,MATCH($B3620,Rosters!$B$2:$B$155,0)),"NA")</f>
        <v>NA</v>
      </c>
      <c r="L3620" t="str">
        <f t="shared" si="168"/>
        <v>NA7TE</v>
      </c>
      <c r="M3620">
        <f>COUNTIF(L$1:L3620,L3620)</f>
        <v>18</v>
      </c>
      <c r="N3620" t="str">
        <f t="shared" si="169"/>
        <v>NA7TE-18</v>
      </c>
      <c r="O3620">
        <f>COUNTIFS(F$1:F3620,F3620,A$1:A3620,A3620)</f>
        <v>28</v>
      </c>
      <c r="P3620" t="str">
        <f t="shared" si="170"/>
        <v>James O'Shaughnessy7</v>
      </c>
    </row>
    <row r="3621" spans="1:16" x14ac:dyDescent="0.25">
      <c r="A3621">
        <v>14</v>
      </c>
      <c r="B3621" t="s">
        <v>358</v>
      </c>
      <c r="C3621" t="s">
        <v>8216</v>
      </c>
      <c r="D3621">
        <v>2.88</v>
      </c>
      <c r="E3621" t="s">
        <v>38</v>
      </c>
      <c r="F3621" t="s">
        <v>114</v>
      </c>
      <c r="G3621">
        <v>5.58</v>
      </c>
      <c r="H3621">
        <v>0.18</v>
      </c>
      <c r="I3621">
        <v>2.7</v>
      </c>
      <c r="J3621">
        <v>7.29</v>
      </c>
      <c r="K3621" t="str">
        <f>IFERROR(INDEX(Rosters!$C$2:$C$155,MATCH($B3621,Rosters!$B$2:$B$155,0)),"NA")</f>
        <v>NA</v>
      </c>
      <c r="L3621" t="str">
        <f t="shared" si="168"/>
        <v>NA14TE</v>
      </c>
      <c r="M3621">
        <f>COUNTIF(L$1:L3621,L3621)</f>
        <v>18</v>
      </c>
      <c r="N3621" t="str">
        <f t="shared" si="169"/>
        <v>NA14TE-18</v>
      </c>
      <c r="O3621">
        <f>COUNTIFS(F$1:F3621,F3621,A$1:A3621,A3621)</f>
        <v>32</v>
      </c>
      <c r="P3621" t="str">
        <f t="shared" si="170"/>
        <v>James O'Shaughnessy14</v>
      </c>
    </row>
    <row r="3622" spans="1:16" x14ac:dyDescent="0.25">
      <c r="A3622">
        <v>11</v>
      </c>
      <c r="B3622" t="s">
        <v>299</v>
      </c>
      <c r="C3622" t="s">
        <v>8217</v>
      </c>
      <c r="D3622">
        <v>2.88</v>
      </c>
      <c r="E3622" t="s">
        <v>76</v>
      </c>
      <c r="F3622" t="s">
        <v>114</v>
      </c>
      <c r="G3622">
        <v>4.9000000000000004</v>
      </c>
      <c r="H3622">
        <v>0.86</v>
      </c>
      <c r="I3622">
        <v>2.02</v>
      </c>
      <c r="J3622">
        <v>4.0804</v>
      </c>
      <c r="K3622" t="str">
        <f>IFERROR(INDEX(Rosters!$C$2:$C$155,MATCH($B3622,Rosters!$B$2:$B$155,0)),"NA")</f>
        <v>NA</v>
      </c>
      <c r="L3622" t="str">
        <f t="shared" si="168"/>
        <v>NA11TE</v>
      </c>
      <c r="M3622">
        <f>COUNTIF(L$1:L3622,L3622)</f>
        <v>16</v>
      </c>
      <c r="N3622" t="str">
        <f t="shared" si="169"/>
        <v>NA11TE-16</v>
      </c>
      <c r="O3622">
        <f>COUNTIFS(F$1:F3622,F3622,A$1:A3622,A3622)</f>
        <v>28</v>
      </c>
      <c r="P3622" t="str">
        <f t="shared" si="170"/>
        <v>Jesse James11</v>
      </c>
    </row>
    <row r="3623" spans="1:16" x14ac:dyDescent="0.25">
      <c r="A3623">
        <v>14</v>
      </c>
      <c r="B3623" t="s">
        <v>4226</v>
      </c>
      <c r="C3623" t="s">
        <v>8218</v>
      </c>
      <c r="D3623">
        <v>2.88</v>
      </c>
      <c r="E3623" t="s">
        <v>66</v>
      </c>
      <c r="F3623" t="s">
        <v>114</v>
      </c>
      <c r="G3623">
        <v>5.4</v>
      </c>
      <c r="H3623">
        <v>0.36</v>
      </c>
      <c r="I3623">
        <v>2.52</v>
      </c>
      <c r="J3623">
        <v>6.3503999999999996</v>
      </c>
      <c r="K3623" t="str">
        <f>IFERROR(INDEX(Rosters!$C$2:$C$155,MATCH($B3623,Rosters!$B$2:$B$155,0)),"NA")</f>
        <v>NA</v>
      </c>
      <c r="L3623" t="str">
        <f t="shared" si="168"/>
        <v>NA14TE</v>
      </c>
      <c r="M3623">
        <f>COUNTIF(L$1:L3623,L3623)</f>
        <v>19</v>
      </c>
      <c r="N3623" t="str">
        <f t="shared" si="169"/>
        <v>NA14TE-19</v>
      </c>
      <c r="O3623">
        <f>COUNTIFS(F$1:F3623,F3623,A$1:A3623,A3623)</f>
        <v>33</v>
      </c>
      <c r="P3623" t="str">
        <f t="shared" si="170"/>
        <v>Jordan Thomas14</v>
      </c>
    </row>
    <row r="3624" spans="1:16" x14ac:dyDescent="0.25">
      <c r="A3624">
        <v>1</v>
      </c>
      <c r="B3624" t="s">
        <v>292</v>
      </c>
      <c r="C3624">
        <f>-0.23-5.99</f>
        <v>-6.2200000000000006</v>
      </c>
      <c r="D3624">
        <v>2.88</v>
      </c>
      <c r="E3624" t="s">
        <v>73</v>
      </c>
      <c r="F3624" t="s">
        <v>114</v>
      </c>
      <c r="G3624">
        <v>5.99</v>
      </c>
      <c r="H3624">
        <v>-0.23</v>
      </c>
      <c r="I3624">
        <v>3.11</v>
      </c>
      <c r="J3624">
        <v>9.6721000000000004</v>
      </c>
      <c r="K3624" t="str">
        <f>IFERROR(INDEX(Rosters!$C$2:$C$155,MATCH($B3624,Rosters!$B$2:$B$155,0)),"NA")</f>
        <v>NA</v>
      </c>
      <c r="L3624" t="str">
        <f t="shared" si="168"/>
        <v>NA1TE</v>
      </c>
      <c r="M3624">
        <f>COUNTIF(L$1:L3624,L3624)</f>
        <v>15</v>
      </c>
      <c r="N3624" t="str">
        <f t="shared" si="169"/>
        <v>NA1TE-15</v>
      </c>
      <c r="O3624">
        <f>COUNTIFS(F$1:F3624,F3624,A$1:A3624,A3624)</f>
        <v>28</v>
      </c>
      <c r="P3624" t="str">
        <f t="shared" si="170"/>
        <v>Luke Willson1</v>
      </c>
    </row>
    <row r="3625" spans="1:16" x14ac:dyDescent="0.25">
      <c r="A3625">
        <v>15</v>
      </c>
      <c r="B3625" t="s">
        <v>292</v>
      </c>
      <c r="C3625" t="s">
        <v>8219</v>
      </c>
      <c r="D3625">
        <v>2.88</v>
      </c>
      <c r="E3625" t="s">
        <v>29</v>
      </c>
      <c r="F3625" t="s">
        <v>114</v>
      </c>
      <c r="G3625">
        <v>5.5</v>
      </c>
      <c r="H3625">
        <v>0.26</v>
      </c>
      <c r="I3625">
        <v>2.62</v>
      </c>
      <c r="J3625">
        <v>6.8643999999999998</v>
      </c>
      <c r="K3625" t="str">
        <f>IFERROR(INDEX(Rosters!$C$2:$C$155,MATCH($B3625,Rosters!$B$2:$B$155,0)),"NA")</f>
        <v>NA</v>
      </c>
      <c r="L3625" t="str">
        <f t="shared" si="168"/>
        <v>NA15TE</v>
      </c>
      <c r="M3625">
        <f>COUNTIF(L$1:L3625,L3625)</f>
        <v>17</v>
      </c>
      <c r="N3625" t="str">
        <f t="shared" si="169"/>
        <v>NA15TE-17</v>
      </c>
      <c r="O3625">
        <f>COUNTIFS(F$1:F3625,F3625,A$1:A3625,A3625)</f>
        <v>31</v>
      </c>
      <c r="P3625" t="str">
        <f t="shared" si="170"/>
        <v>Luke Willson15</v>
      </c>
    </row>
    <row r="3626" spans="1:16" x14ac:dyDescent="0.25">
      <c r="A3626">
        <v>16</v>
      </c>
      <c r="B3626" t="s">
        <v>292</v>
      </c>
      <c r="C3626" t="s">
        <v>8220</v>
      </c>
      <c r="D3626">
        <v>2.88</v>
      </c>
      <c r="E3626" t="s">
        <v>25</v>
      </c>
      <c r="F3626" t="s">
        <v>114</v>
      </c>
      <c r="G3626">
        <v>5.3</v>
      </c>
      <c r="H3626">
        <v>0.46</v>
      </c>
      <c r="I3626">
        <v>2.42</v>
      </c>
      <c r="J3626">
        <v>5.8563999999999998</v>
      </c>
      <c r="K3626" t="str">
        <f>IFERROR(INDEX(Rosters!$C$2:$C$155,MATCH($B3626,Rosters!$B$2:$B$155,0)),"NA")</f>
        <v>NA</v>
      </c>
      <c r="L3626" t="str">
        <f t="shared" si="168"/>
        <v>NA16TE</v>
      </c>
      <c r="M3626">
        <f>COUNTIF(L$1:L3626,L3626)</f>
        <v>18</v>
      </c>
      <c r="N3626" t="str">
        <f t="shared" si="169"/>
        <v>NA16TE-18</v>
      </c>
      <c r="O3626">
        <f>COUNTIFS(F$1:F3626,F3626,A$1:A3626,A3626)</f>
        <v>32</v>
      </c>
      <c r="P3626" t="str">
        <f t="shared" si="170"/>
        <v>Luke Willson16</v>
      </c>
    </row>
    <row r="3627" spans="1:16" x14ac:dyDescent="0.25">
      <c r="A3627">
        <v>11</v>
      </c>
      <c r="B3627" t="s">
        <v>4224</v>
      </c>
      <c r="C3627" t="s">
        <v>8221</v>
      </c>
      <c r="D3627">
        <v>2.88</v>
      </c>
      <c r="E3627" t="s">
        <v>31</v>
      </c>
      <c r="F3627" t="s">
        <v>114</v>
      </c>
      <c r="G3627">
        <v>5.55</v>
      </c>
      <c r="H3627">
        <v>0.21</v>
      </c>
      <c r="I3627">
        <v>2.67</v>
      </c>
      <c r="J3627">
        <v>7.1288999999999998</v>
      </c>
      <c r="K3627" t="str">
        <f>IFERROR(INDEX(Rosters!$C$2:$C$155,MATCH($B3627,Rosters!$B$2:$B$155,0)),"NA")</f>
        <v>NA</v>
      </c>
      <c r="L3627" t="str">
        <f t="shared" si="168"/>
        <v>NA11TE</v>
      </c>
      <c r="M3627">
        <f>COUNTIF(L$1:L3627,L3627)</f>
        <v>17</v>
      </c>
      <c r="N3627" t="str">
        <f t="shared" si="169"/>
        <v>NA11TE-17</v>
      </c>
      <c r="O3627">
        <f>COUNTIFS(F$1:F3627,F3627,A$1:A3627,A3627)</f>
        <v>29</v>
      </c>
      <c r="P3627" t="str">
        <f t="shared" si="170"/>
        <v>Mark Andrews11</v>
      </c>
    </row>
    <row r="3628" spans="1:16" x14ac:dyDescent="0.25">
      <c r="A3628">
        <v>5</v>
      </c>
      <c r="B3628" t="s">
        <v>362</v>
      </c>
      <c r="C3628">
        <f>-0.16-5.92</f>
        <v>-6.08</v>
      </c>
      <c r="D3628">
        <v>2.88</v>
      </c>
      <c r="E3628" t="s">
        <v>56</v>
      </c>
      <c r="F3628" t="s">
        <v>114</v>
      </c>
      <c r="G3628">
        <v>5.92</v>
      </c>
      <c r="H3628">
        <v>-0.16</v>
      </c>
      <c r="I3628">
        <v>3.04</v>
      </c>
      <c r="J3628">
        <v>9.2416</v>
      </c>
      <c r="K3628" t="str">
        <f>IFERROR(INDEX(Rosters!$C$2:$C$155,MATCH($B3628,Rosters!$B$2:$B$155,0)),"NA")</f>
        <v>NA</v>
      </c>
      <c r="L3628" t="str">
        <f t="shared" si="168"/>
        <v>NA5TE</v>
      </c>
      <c r="M3628">
        <f>COUNTIF(L$1:L3628,L3628)</f>
        <v>17</v>
      </c>
      <c r="N3628" t="str">
        <f t="shared" si="169"/>
        <v>NA5TE-17</v>
      </c>
      <c r="O3628">
        <f>COUNTIFS(F$1:F3628,F3628,A$1:A3628,A3628)</f>
        <v>28</v>
      </c>
      <c r="P3628" t="str">
        <f t="shared" si="170"/>
        <v>Nick Vannett5</v>
      </c>
    </row>
    <row r="3629" spans="1:16" x14ac:dyDescent="0.25">
      <c r="A3629">
        <v>5</v>
      </c>
      <c r="B3629" t="s">
        <v>238</v>
      </c>
      <c r="C3629" t="s">
        <v>8222</v>
      </c>
      <c r="D3629">
        <v>2.88</v>
      </c>
      <c r="E3629" t="s">
        <v>37</v>
      </c>
      <c r="F3629" t="s">
        <v>87</v>
      </c>
      <c r="G3629">
        <v>4.84</v>
      </c>
      <c r="H3629">
        <v>0.92</v>
      </c>
      <c r="I3629">
        <v>1.96</v>
      </c>
      <c r="J3629">
        <v>3.8416000000000001</v>
      </c>
      <c r="K3629" t="str">
        <f>IFERROR(INDEX(Rosters!$C$2:$C$155,MATCH($B3629,Rosters!$B$2:$B$155,0)),"NA")</f>
        <v>NA</v>
      </c>
      <c r="L3629" t="str">
        <f t="shared" si="168"/>
        <v>NA5WR</v>
      </c>
      <c r="M3629">
        <f>COUNTIF(L$1:L3629,L3629)</f>
        <v>41</v>
      </c>
      <c r="N3629" t="str">
        <f t="shared" si="169"/>
        <v>NA5WR-41</v>
      </c>
      <c r="O3629">
        <f>COUNTIFS(F$1:F3629,F3629,A$1:A3629,A3629)</f>
        <v>91</v>
      </c>
      <c r="P3629" t="str">
        <f t="shared" si="170"/>
        <v>Seth Roberts5</v>
      </c>
    </row>
    <row r="3630" spans="1:16" x14ac:dyDescent="0.25">
      <c r="A3630">
        <v>2</v>
      </c>
      <c r="B3630" t="s">
        <v>222</v>
      </c>
      <c r="C3630" t="s">
        <v>3369</v>
      </c>
      <c r="D3630">
        <v>2.88</v>
      </c>
      <c r="E3630" t="s">
        <v>54</v>
      </c>
      <c r="F3630" t="s">
        <v>87</v>
      </c>
      <c r="G3630">
        <v>5.17</v>
      </c>
      <c r="H3630">
        <v>0.59</v>
      </c>
      <c r="I3630">
        <v>2.29</v>
      </c>
      <c r="J3630">
        <v>5.2441000000000004</v>
      </c>
      <c r="K3630" t="str">
        <f>IFERROR(INDEX(Rosters!$C$2:$C$155,MATCH($B3630,Rosters!$B$2:$B$155,0)),"NA")</f>
        <v>NA</v>
      </c>
      <c r="L3630" t="str">
        <f t="shared" si="168"/>
        <v>NA2WR</v>
      </c>
      <c r="M3630">
        <f>COUNTIF(L$1:L3630,L3630)</f>
        <v>36</v>
      </c>
      <c r="N3630" t="str">
        <f t="shared" si="169"/>
        <v>NA2WR-36</v>
      </c>
      <c r="O3630">
        <f>COUNTIFS(F$1:F3630,F3630,A$1:A3630,A3630)</f>
        <v>84</v>
      </c>
      <c r="P3630" t="str">
        <f t="shared" si="170"/>
        <v>Terrance Williams2</v>
      </c>
    </row>
    <row r="3631" spans="1:16" x14ac:dyDescent="0.25">
      <c r="A3631">
        <v>10</v>
      </c>
      <c r="B3631" t="s">
        <v>1124</v>
      </c>
      <c r="C3631" t="s">
        <v>8223</v>
      </c>
      <c r="D3631">
        <v>2.87</v>
      </c>
      <c r="E3631" t="s">
        <v>58</v>
      </c>
      <c r="F3631" t="s">
        <v>87</v>
      </c>
      <c r="G3631">
        <v>5.17</v>
      </c>
      <c r="H3631">
        <v>0.56999999999999995</v>
      </c>
      <c r="I3631">
        <v>2.2999999999999998</v>
      </c>
      <c r="J3631">
        <v>5.29</v>
      </c>
      <c r="K3631" t="str">
        <f>IFERROR(INDEX(Rosters!$C$2:$C$155,MATCH($B3631,Rosters!$B$2:$B$155,0)),"NA")</f>
        <v>NA</v>
      </c>
      <c r="L3631" t="str">
        <f t="shared" si="168"/>
        <v>NA10WR</v>
      </c>
      <c r="M3631">
        <f>COUNTIF(L$1:L3631,L3631)</f>
        <v>46</v>
      </c>
      <c r="N3631" t="str">
        <f t="shared" si="169"/>
        <v>NA10WR-46</v>
      </c>
      <c r="O3631">
        <f>COUNTIFS(F$1:F3631,F3631,A$1:A3631,A3631)</f>
        <v>90</v>
      </c>
      <c r="P3631" t="str">
        <f t="shared" si="170"/>
        <v>Chris Conley10</v>
      </c>
    </row>
    <row r="3632" spans="1:16" x14ac:dyDescent="0.25">
      <c r="A3632">
        <v>12</v>
      </c>
      <c r="B3632" t="s">
        <v>312</v>
      </c>
      <c r="C3632" t="s">
        <v>8224</v>
      </c>
      <c r="D3632">
        <v>2.87</v>
      </c>
      <c r="E3632" t="s">
        <v>31</v>
      </c>
      <c r="F3632" t="s">
        <v>114</v>
      </c>
      <c r="G3632">
        <v>5.64</v>
      </c>
      <c r="H3632">
        <v>0.1</v>
      </c>
      <c r="I3632">
        <v>2.77</v>
      </c>
      <c r="J3632">
        <v>7.6729000000000003</v>
      </c>
      <c r="K3632" t="str">
        <f>IFERROR(INDEX(Rosters!$C$2:$C$155,MATCH($B3632,Rosters!$B$2:$B$155,0)),"NA")</f>
        <v>NA</v>
      </c>
      <c r="L3632" t="str">
        <f t="shared" si="168"/>
        <v>NA12TE</v>
      </c>
      <c r="M3632">
        <f>COUNTIF(L$1:L3632,L3632)</f>
        <v>16</v>
      </c>
      <c r="N3632" t="str">
        <f t="shared" si="169"/>
        <v>NA12TE-16</v>
      </c>
      <c r="O3632">
        <f>COUNTIFS(F$1:F3632,F3632,A$1:A3632,A3632)</f>
        <v>29</v>
      </c>
      <c r="P3632" t="str">
        <f t="shared" si="170"/>
        <v>Darren Fells12</v>
      </c>
    </row>
    <row r="3633" spans="1:16" x14ac:dyDescent="0.25">
      <c r="A3633">
        <v>9</v>
      </c>
      <c r="B3633" t="s">
        <v>4212</v>
      </c>
      <c r="C3633" t="s">
        <v>8225</v>
      </c>
      <c r="D3633">
        <v>2.87</v>
      </c>
      <c r="E3633" t="s">
        <v>17</v>
      </c>
      <c r="F3633" t="s">
        <v>114</v>
      </c>
      <c r="G3633">
        <v>5.48</v>
      </c>
      <c r="H3633">
        <v>0.26</v>
      </c>
      <c r="I3633">
        <v>2.61</v>
      </c>
      <c r="J3633">
        <v>6.8121</v>
      </c>
      <c r="K3633" t="str">
        <f>IFERROR(INDEX(Rosters!$C$2:$C$155,MATCH($B3633,Rosters!$B$2:$B$155,0)),"NA")</f>
        <v>NA</v>
      </c>
      <c r="L3633" t="str">
        <f t="shared" si="168"/>
        <v>NA9TE</v>
      </c>
      <c r="M3633">
        <f>COUNTIF(L$1:L3633,L3633)</f>
        <v>11</v>
      </c>
      <c r="N3633" t="str">
        <f t="shared" si="169"/>
        <v>NA9TE-11</v>
      </c>
      <c r="O3633">
        <f>COUNTIFS(F$1:F3633,F3633,A$1:A3633,A3633)</f>
        <v>22</v>
      </c>
      <c r="P3633" t="str">
        <f t="shared" si="170"/>
        <v>Ian Thomas9</v>
      </c>
    </row>
    <row r="3634" spans="1:16" x14ac:dyDescent="0.25">
      <c r="A3634">
        <v>13</v>
      </c>
      <c r="B3634" t="s">
        <v>4236</v>
      </c>
      <c r="C3634">
        <f>-0.18-5.92</f>
        <v>-6.1</v>
      </c>
      <c r="D3634">
        <v>2.87</v>
      </c>
      <c r="E3634" t="s">
        <v>58</v>
      </c>
      <c r="F3634" t="s">
        <v>87</v>
      </c>
      <c r="G3634">
        <v>5.92</v>
      </c>
      <c r="H3634">
        <v>-0.18</v>
      </c>
      <c r="I3634">
        <v>3.05</v>
      </c>
      <c r="J3634">
        <v>9.3025000000000002</v>
      </c>
      <c r="K3634" t="str">
        <f>IFERROR(INDEX(Rosters!$C$2:$C$155,MATCH($B3634,Rosters!$B$2:$B$155,0)),"NA")</f>
        <v>aj</v>
      </c>
      <c r="L3634" t="str">
        <f t="shared" si="168"/>
        <v>aj13WR</v>
      </c>
      <c r="M3634">
        <f>COUNTIF(L$1:L3634,L3634)</f>
        <v>6</v>
      </c>
      <c r="N3634" t="str">
        <f t="shared" si="169"/>
        <v>aj13WR-6</v>
      </c>
      <c r="O3634">
        <f>COUNTIFS(F$1:F3634,F3634,A$1:A3634,A3634)</f>
        <v>101</v>
      </c>
      <c r="P3634" t="str">
        <f t="shared" si="170"/>
        <v>Marquez Valdes-Scantling13</v>
      </c>
    </row>
    <row r="3635" spans="1:16" x14ac:dyDescent="0.25">
      <c r="A3635">
        <v>13</v>
      </c>
      <c r="B3635" t="s">
        <v>1511</v>
      </c>
      <c r="C3635" t="s">
        <v>8226</v>
      </c>
      <c r="D3635">
        <v>2.87</v>
      </c>
      <c r="E3635" t="s">
        <v>73</v>
      </c>
      <c r="F3635" t="s">
        <v>87</v>
      </c>
      <c r="G3635">
        <v>5.16</v>
      </c>
      <c r="H3635">
        <v>0.57999999999999996</v>
      </c>
      <c r="I3635">
        <v>2.29</v>
      </c>
      <c r="J3635">
        <v>5.2441000000000004</v>
      </c>
      <c r="K3635" t="str">
        <f>IFERROR(INDEX(Rosters!$C$2:$C$155,MATCH($B3635,Rosters!$B$2:$B$155,0)),"NA")</f>
        <v>NA</v>
      </c>
      <c r="L3635" t="str">
        <f t="shared" si="168"/>
        <v>NA13WR</v>
      </c>
      <c r="M3635">
        <f>COUNTIF(L$1:L3635,L3635)</f>
        <v>48</v>
      </c>
      <c r="N3635" t="str">
        <f t="shared" si="169"/>
        <v>NA13WR-48</v>
      </c>
      <c r="O3635">
        <f>COUNTIFS(F$1:F3635,F3635,A$1:A3635,A3635)</f>
        <v>102</v>
      </c>
      <c r="P3635" t="str">
        <f t="shared" si="170"/>
        <v>Tajae Sharpe13</v>
      </c>
    </row>
    <row r="3636" spans="1:16" x14ac:dyDescent="0.25">
      <c r="A3636">
        <v>6</v>
      </c>
      <c r="B3636" t="s">
        <v>1586</v>
      </c>
      <c r="C3636" t="s">
        <v>8227</v>
      </c>
      <c r="D3636">
        <v>2.86</v>
      </c>
      <c r="E3636" t="s">
        <v>66</v>
      </c>
      <c r="F3636" t="s">
        <v>114</v>
      </c>
      <c r="G3636">
        <v>5.5</v>
      </c>
      <c r="H3636">
        <v>0.22</v>
      </c>
      <c r="I3636">
        <v>2.64</v>
      </c>
      <c r="J3636">
        <v>6.9695999999999998</v>
      </c>
      <c r="K3636" t="str">
        <f>IFERROR(INDEX(Rosters!$C$2:$C$155,MATCH($B3636,Rosters!$B$2:$B$155,0)),"NA")</f>
        <v>NA</v>
      </c>
      <c r="L3636" t="str">
        <f t="shared" si="168"/>
        <v>NA6TE</v>
      </c>
      <c r="M3636">
        <f>COUNTIF(L$1:L3636,L3636)</f>
        <v>18</v>
      </c>
      <c r="N3636" t="str">
        <f t="shared" si="169"/>
        <v>NA6TE-18</v>
      </c>
      <c r="O3636">
        <f>COUNTIFS(F$1:F3636,F3636,A$1:A3636,A3636)</f>
        <v>30</v>
      </c>
      <c r="P3636" t="str">
        <f t="shared" si="170"/>
        <v>Eric Tomlinson6</v>
      </c>
    </row>
    <row r="3637" spans="1:16" x14ac:dyDescent="0.25">
      <c r="A3637">
        <v>11</v>
      </c>
      <c r="B3637" t="s">
        <v>142</v>
      </c>
      <c r="C3637" t="s">
        <v>4610</v>
      </c>
      <c r="D3637">
        <v>2.86</v>
      </c>
      <c r="E3637" t="s">
        <v>54</v>
      </c>
      <c r="F3637" t="s">
        <v>47</v>
      </c>
      <c r="G3637">
        <v>5.46</v>
      </c>
      <c r="H3637">
        <v>0.26</v>
      </c>
      <c r="I3637">
        <v>2.6</v>
      </c>
      <c r="J3637">
        <v>6.76</v>
      </c>
      <c r="K3637" t="str">
        <f>IFERROR(INDEX(Rosters!$C$2:$C$155,MATCH($B3637,Rosters!$B$2:$B$155,0)),"NA")</f>
        <v>NA</v>
      </c>
      <c r="L3637" t="str">
        <f t="shared" si="168"/>
        <v>NA11RB</v>
      </c>
      <c r="M3637">
        <f>COUNTIF(L$1:L3637,L3637)</f>
        <v>21</v>
      </c>
      <c r="N3637" t="str">
        <f t="shared" si="169"/>
        <v>NA11RB-21</v>
      </c>
      <c r="O3637">
        <f>COUNTIFS(F$1:F3637,F3637,A$1:A3637,A3637)</f>
        <v>58</v>
      </c>
      <c r="P3637" t="str">
        <f t="shared" si="170"/>
        <v>Jacquizz Rodgers11</v>
      </c>
    </row>
    <row r="3638" spans="1:16" x14ac:dyDescent="0.25">
      <c r="A3638">
        <v>6</v>
      </c>
      <c r="B3638" t="s">
        <v>296</v>
      </c>
      <c r="C3638" t="s">
        <v>8228</v>
      </c>
      <c r="D3638">
        <v>2.86</v>
      </c>
      <c r="E3638" t="s">
        <v>60</v>
      </c>
      <c r="F3638" t="s">
        <v>87</v>
      </c>
      <c r="G3638">
        <v>5.55</v>
      </c>
      <c r="H3638">
        <v>0.17</v>
      </c>
      <c r="I3638">
        <v>2.69</v>
      </c>
      <c r="J3638">
        <v>7.2361000000000004</v>
      </c>
      <c r="K3638" t="str">
        <f>IFERROR(INDEX(Rosters!$C$2:$C$155,MATCH($B3638,Rosters!$B$2:$B$155,0)),"NA")</f>
        <v>NA</v>
      </c>
      <c r="L3638" t="str">
        <f t="shared" si="168"/>
        <v>NA6WR</v>
      </c>
      <c r="M3638">
        <f>COUNTIF(L$1:L3638,L3638)</f>
        <v>43</v>
      </c>
      <c r="N3638" t="str">
        <f t="shared" si="169"/>
        <v>NA6WR-43</v>
      </c>
      <c r="O3638">
        <f>COUNTIFS(F$1:F3638,F3638,A$1:A3638,A3638)</f>
        <v>92</v>
      </c>
      <c r="P3638" t="str">
        <f t="shared" si="170"/>
        <v>Jarius Wright6</v>
      </c>
    </row>
    <row r="3639" spans="1:16" x14ac:dyDescent="0.25">
      <c r="A3639">
        <v>10</v>
      </c>
      <c r="B3639" t="s">
        <v>1478</v>
      </c>
      <c r="C3639" t="s">
        <v>8229</v>
      </c>
      <c r="D3639">
        <v>2.85</v>
      </c>
      <c r="E3639" t="s">
        <v>22</v>
      </c>
      <c r="F3639" t="s">
        <v>114</v>
      </c>
      <c r="G3639">
        <v>5.24</v>
      </c>
      <c r="H3639">
        <v>0.46</v>
      </c>
      <c r="I3639">
        <v>2.39</v>
      </c>
      <c r="J3639">
        <v>5.7121000000000004</v>
      </c>
      <c r="K3639" t="str">
        <f>IFERROR(INDEX(Rosters!$C$2:$C$155,MATCH($B3639,Rosters!$B$2:$B$155,0)),"NA")</f>
        <v>NA</v>
      </c>
      <c r="L3639" t="str">
        <f t="shared" si="168"/>
        <v>NA10TE</v>
      </c>
      <c r="M3639">
        <f>COUNTIF(L$1:L3639,L3639)</f>
        <v>17</v>
      </c>
      <c r="N3639" t="str">
        <f t="shared" si="169"/>
        <v>NA10TE-17</v>
      </c>
      <c r="O3639">
        <f>COUNTIFS(F$1:F3639,F3639,A$1:A3639,A3639)</f>
        <v>30</v>
      </c>
      <c r="P3639" t="str">
        <f t="shared" si="170"/>
        <v>Dallas Goedert10</v>
      </c>
    </row>
    <row r="3640" spans="1:16" x14ac:dyDescent="0.25">
      <c r="A3640">
        <v>15</v>
      </c>
      <c r="B3640" t="s">
        <v>307</v>
      </c>
      <c r="C3640" t="s">
        <v>8230</v>
      </c>
      <c r="D3640">
        <v>2.85</v>
      </c>
      <c r="E3640" t="s">
        <v>30</v>
      </c>
      <c r="F3640" t="s">
        <v>114</v>
      </c>
      <c r="G3640">
        <v>5.53</v>
      </c>
      <c r="H3640">
        <v>0.17</v>
      </c>
      <c r="I3640">
        <v>2.68</v>
      </c>
      <c r="J3640">
        <v>7.1824000000000003</v>
      </c>
      <c r="K3640" t="str">
        <f>IFERROR(INDEX(Rosters!$C$2:$C$155,MATCH($B3640,Rosters!$B$2:$B$155,0)),"NA")</f>
        <v>NA</v>
      </c>
      <c r="L3640" t="str">
        <f t="shared" si="168"/>
        <v>NA15TE</v>
      </c>
      <c r="M3640">
        <f>COUNTIF(L$1:L3640,L3640)</f>
        <v>18</v>
      </c>
      <c r="N3640" t="str">
        <f t="shared" si="169"/>
        <v>NA15TE-18</v>
      </c>
      <c r="O3640">
        <f>COUNTIFS(F$1:F3640,F3640,A$1:A3640,A3640)</f>
        <v>32</v>
      </c>
      <c r="P3640" t="str">
        <f t="shared" si="170"/>
        <v>Ed Dickson15</v>
      </c>
    </row>
    <row r="3641" spans="1:16" x14ac:dyDescent="0.25">
      <c r="A3641">
        <v>14</v>
      </c>
      <c r="B3641" t="s">
        <v>1439</v>
      </c>
      <c r="C3641" t="s">
        <v>8231</v>
      </c>
      <c r="D3641">
        <v>2.85</v>
      </c>
      <c r="E3641" t="s">
        <v>32</v>
      </c>
      <c r="F3641" t="s">
        <v>87</v>
      </c>
      <c r="G3641">
        <v>5.57</v>
      </c>
      <c r="H3641">
        <v>0.13</v>
      </c>
      <c r="I3641">
        <v>2.72</v>
      </c>
      <c r="J3641">
        <v>7.3983999999999996</v>
      </c>
      <c r="K3641" t="str">
        <f>IFERROR(INDEX(Rosters!$C$2:$C$155,MATCH($B3641,Rosters!$B$2:$B$155,0)),"NA")</f>
        <v>NA</v>
      </c>
      <c r="L3641" t="str">
        <f t="shared" si="168"/>
        <v>NA14WR</v>
      </c>
      <c r="M3641">
        <f>COUNTIF(L$1:L3641,L3641)</f>
        <v>47</v>
      </c>
      <c r="N3641" t="str">
        <f t="shared" si="169"/>
        <v>NA14WR-47</v>
      </c>
      <c r="O3641">
        <f>COUNTIFS(F$1:F3641,F3641,A$1:A3641,A3641)</f>
        <v>101</v>
      </c>
      <c r="P3641" t="str">
        <f t="shared" si="170"/>
        <v>James Washington14</v>
      </c>
    </row>
    <row r="3642" spans="1:16" x14ac:dyDescent="0.25">
      <c r="A3642">
        <v>12</v>
      </c>
      <c r="B3642" t="s">
        <v>4236</v>
      </c>
      <c r="C3642">
        <f>-0.25-5.95</f>
        <v>-6.2</v>
      </c>
      <c r="D3642">
        <v>2.85</v>
      </c>
      <c r="E3642" t="s">
        <v>25</v>
      </c>
      <c r="F3642" t="s">
        <v>87</v>
      </c>
      <c r="G3642">
        <v>5.95</v>
      </c>
      <c r="H3642">
        <v>-0.25</v>
      </c>
      <c r="I3642">
        <v>3.1</v>
      </c>
      <c r="J3642">
        <v>9.61</v>
      </c>
      <c r="K3642" t="str">
        <f>IFERROR(INDEX(Rosters!$C$2:$C$155,MATCH($B3642,Rosters!$B$2:$B$155,0)),"NA")</f>
        <v>aj</v>
      </c>
      <c r="L3642" t="str">
        <f t="shared" si="168"/>
        <v>aj12WR</v>
      </c>
      <c r="M3642">
        <f>COUNTIF(L$1:L3642,L3642)</f>
        <v>6</v>
      </c>
      <c r="N3642" t="str">
        <f t="shared" si="169"/>
        <v>aj12WR-6</v>
      </c>
      <c r="O3642">
        <f>COUNTIFS(F$1:F3642,F3642,A$1:A3642,A3642)</f>
        <v>96</v>
      </c>
      <c r="P3642" t="str">
        <f t="shared" si="170"/>
        <v>Marquez Valdes-Scantling12</v>
      </c>
    </row>
    <row r="3643" spans="1:16" x14ac:dyDescent="0.25">
      <c r="A3643">
        <v>14</v>
      </c>
      <c r="B3643" t="s">
        <v>798</v>
      </c>
      <c r="C3643" t="s">
        <v>8232</v>
      </c>
      <c r="D3643">
        <v>2.85</v>
      </c>
      <c r="E3643" t="s">
        <v>74</v>
      </c>
      <c r="F3643" t="s">
        <v>87</v>
      </c>
      <c r="G3643">
        <v>5.5</v>
      </c>
      <c r="H3643">
        <v>0.2</v>
      </c>
      <c r="I3643">
        <v>2.65</v>
      </c>
      <c r="J3643">
        <v>7.0225</v>
      </c>
      <c r="K3643" t="str">
        <f>IFERROR(INDEX(Rosters!$C$2:$C$155,MATCH($B3643,Rosters!$B$2:$B$155,0)),"NA")</f>
        <v>NA</v>
      </c>
      <c r="L3643" t="str">
        <f t="shared" si="168"/>
        <v>NA14WR</v>
      </c>
      <c r="M3643">
        <f>COUNTIF(L$1:L3643,L3643)</f>
        <v>48</v>
      </c>
      <c r="N3643" t="str">
        <f t="shared" si="169"/>
        <v>NA14WR-48</v>
      </c>
      <c r="O3643">
        <f>COUNTIFS(F$1:F3643,F3643,A$1:A3643,A3643)</f>
        <v>102</v>
      </c>
      <c r="P3643" t="str">
        <f t="shared" si="170"/>
        <v>Rashard Higgins14</v>
      </c>
    </row>
    <row r="3644" spans="1:16" x14ac:dyDescent="0.25">
      <c r="A3644">
        <v>9</v>
      </c>
      <c r="B3644" t="s">
        <v>388</v>
      </c>
      <c r="C3644">
        <f>-0.19-5.89</f>
        <v>-6.08</v>
      </c>
      <c r="D3644">
        <v>2.85</v>
      </c>
      <c r="E3644" t="s">
        <v>38</v>
      </c>
      <c r="F3644" t="s">
        <v>47</v>
      </c>
      <c r="G3644">
        <v>5.89</v>
      </c>
      <c r="H3644">
        <v>-0.19</v>
      </c>
      <c r="I3644">
        <v>3.04</v>
      </c>
      <c r="J3644">
        <v>9.2416</v>
      </c>
      <c r="K3644" t="str">
        <f>IFERROR(INDEX(Rosters!$C$2:$C$155,MATCH($B3644,Rosters!$B$2:$B$155,0)),"NA")</f>
        <v>NA</v>
      </c>
      <c r="L3644" t="str">
        <f t="shared" si="168"/>
        <v>NA9RB</v>
      </c>
      <c r="M3644">
        <f>COUNTIF(L$1:L3644,L3644)</f>
        <v>15</v>
      </c>
      <c r="N3644" t="str">
        <f t="shared" si="169"/>
        <v>NA9RB-15</v>
      </c>
      <c r="O3644">
        <f>COUNTIFS(F$1:F3644,F3644,A$1:A3644,A3644)</f>
        <v>55</v>
      </c>
      <c r="P3644" t="str">
        <f t="shared" si="170"/>
        <v>Rod Smith9</v>
      </c>
    </row>
    <row r="3645" spans="1:16" x14ac:dyDescent="0.25">
      <c r="A3645">
        <v>11</v>
      </c>
      <c r="B3645" t="s">
        <v>238</v>
      </c>
      <c r="C3645" t="s">
        <v>8233</v>
      </c>
      <c r="D3645">
        <v>2.85</v>
      </c>
      <c r="E3645" t="s">
        <v>58</v>
      </c>
      <c r="F3645" t="s">
        <v>87</v>
      </c>
      <c r="G3645">
        <v>5.1100000000000003</v>
      </c>
      <c r="H3645">
        <v>0.59</v>
      </c>
      <c r="I3645">
        <v>2.2599999999999998</v>
      </c>
      <c r="J3645">
        <v>5.1075999999999997</v>
      </c>
      <c r="K3645" t="str">
        <f>IFERROR(INDEX(Rosters!$C$2:$C$155,MATCH($B3645,Rosters!$B$2:$B$155,0)),"NA")</f>
        <v>NA</v>
      </c>
      <c r="L3645" t="str">
        <f t="shared" si="168"/>
        <v>NA11WR</v>
      </c>
      <c r="M3645">
        <f>COUNTIF(L$1:L3645,L3645)</f>
        <v>34</v>
      </c>
      <c r="N3645" t="str">
        <f t="shared" si="169"/>
        <v>NA11WR-34</v>
      </c>
      <c r="O3645">
        <f>COUNTIFS(F$1:F3645,F3645,A$1:A3645,A3645)</f>
        <v>80</v>
      </c>
      <c r="P3645" t="str">
        <f t="shared" si="170"/>
        <v>Seth Roberts11</v>
      </c>
    </row>
    <row r="3646" spans="1:16" x14ac:dyDescent="0.25">
      <c r="A3646">
        <v>8</v>
      </c>
      <c r="B3646" t="s">
        <v>142</v>
      </c>
      <c r="C3646" t="s">
        <v>8234</v>
      </c>
      <c r="D3646">
        <v>2.84</v>
      </c>
      <c r="E3646" t="s">
        <v>31</v>
      </c>
      <c r="F3646" t="s">
        <v>47</v>
      </c>
      <c r="G3646">
        <v>5.52</v>
      </c>
      <c r="H3646">
        <v>0.16</v>
      </c>
      <c r="I3646">
        <v>2.68</v>
      </c>
      <c r="J3646">
        <v>7.1824000000000003</v>
      </c>
      <c r="K3646" t="str">
        <f>IFERROR(INDEX(Rosters!$C$2:$C$155,MATCH($B3646,Rosters!$B$2:$B$155,0)),"NA")</f>
        <v>NA</v>
      </c>
      <c r="L3646" t="str">
        <f t="shared" si="168"/>
        <v>NA8RB</v>
      </c>
      <c r="M3646">
        <f>COUNTIF(L$1:L3646,L3646)</f>
        <v>23</v>
      </c>
      <c r="N3646" t="str">
        <f t="shared" si="169"/>
        <v>NA8RB-23</v>
      </c>
      <c r="O3646">
        <f>COUNTIFS(F$1:F3646,F3646,A$1:A3646,A3646)</f>
        <v>63</v>
      </c>
      <c r="P3646" t="str">
        <f t="shared" si="170"/>
        <v>Jacquizz Rodgers8</v>
      </c>
    </row>
    <row r="3647" spans="1:16" x14ac:dyDescent="0.25">
      <c r="A3647">
        <v>11</v>
      </c>
      <c r="B3647" t="s">
        <v>4225</v>
      </c>
      <c r="C3647">
        <f>-0.41-6.09</f>
        <v>-6.5</v>
      </c>
      <c r="D3647">
        <v>2.84</v>
      </c>
      <c r="E3647" t="s">
        <v>60</v>
      </c>
      <c r="F3647" t="s">
        <v>114</v>
      </c>
      <c r="G3647">
        <v>6.09</v>
      </c>
      <c r="H3647">
        <v>-0.41</v>
      </c>
      <c r="I3647">
        <v>3.25</v>
      </c>
      <c r="J3647">
        <v>10.5625</v>
      </c>
      <c r="K3647" t="str">
        <f>IFERROR(INDEX(Rosters!$C$2:$C$155,MATCH($B3647,Rosters!$B$2:$B$155,0)),"NA")</f>
        <v>NA</v>
      </c>
      <c r="L3647" t="str">
        <f t="shared" si="168"/>
        <v>NA11TE</v>
      </c>
      <c r="M3647">
        <f>COUNTIF(L$1:L3647,L3647)</f>
        <v>18</v>
      </c>
      <c r="N3647" t="str">
        <f t="shared" si="169"/>
        <v>NA11TE-18</v>
      </c>
      <c r="O3647">
        <f>COUNTIFS(F$1:F3647,F3647,A$1:A3647,A3647)</f>
        <v>30</v>
      </c>
      <c r="P3647" t="str">
        <f t="shared" si="170"/>
        <v>Jordan Akins11</v>
      </c>
    </row>
    <row r="3648" spans="1:16" x14ac:dyDescent="0.25">
      <c r="A3648">
        <v>4</v>
      </c>
      <c r="B3648" t="s">
        <v>4899</v>
      </c>
      <c r="C3648" t="s">
        <v>8235</v>
      </c>
      <c r="D3648">
        <v>2.84</v>
      </c>
      <c r="E3648" t="s">
        <v>66</v>
      </c>
      <c r="F3648" t="s">
        <v>87</v>
      </c>
      <c r="G3648">
        <v>5.61</v>
      </c>
      <c r="H3648">
        <v>7.0000000000000007E-2</v>
      </c>
      <c r="I3648">
        <v>2.77</v>
      </c>
      <c r="J3648">
        <v>7.6729000000000003</v>
      </c>
      <c r="K3648" t="str">
        <f>IFERROR(INDEX(Rosters!$C$2:$C$155,MATCH($B3648,Rosters!$B$2:$B$155,0)),"NA")</f>
        <v>perry</v>
      </c>
      <c r="L3648" t="str">
        <f t="shared" si="168"/>
        <v>perry4WR</v>
      </c>
      <c r="M3648">
        <f>COUNTIF(L$1:L3648,L3648)</f>
        <v>6</v>
      </c>
      <c r="N3648" t="str">
        <f t="shared" si="169"/>
        <v>perry4WR-6</v>
      </c>
      <c r="O3648">
        <f>COUNTIFS(F$1:F3648,F3648,A$1:A3648,A3648)</f>
        <v>88</v>
      </c>
      <c r="P3648" t="str">
        <f t="shared" si="170"/>
        <v>Keke Coutee4</v>
      </c>
    </row>
    <row r="3649" spans="1:16" x14ac:dyDescent="0.25">
      <c r="A3649">
        <v>13</v>
      </c>
      <c r="B3649" t="s">
        <v>349</v>
      </c>
      <c r="C3649" t="s">
        <v>8236</v>
      </c>
      <c r="D3649">
        <v>2.84</v>
      </c>
      <c r="E3649" t="s">
        <v>34</v>
      </c>
      <c r="F3649" t="s">
        <v>87</v>
      </c>
      <c r="G3649">
        <v>5.2</v>
      </c>
      <c r="H3649">
        <v>0.48</v>
      </c>
      <c r="I3649">
        <v>2.36</v>
      </c>
      <c r="J3649">
        <v>5.5696000000000003</v>
      </c>
      <c r="K3649" t="str">
        <f>IFERROR(INDEX(Rosters!$C$2:$C$155,MATCH($B3649,Rosters!$B$2:$B$155,0)),"NA")</f>
        <v>NA</v>
      </c>
      <c r="L3649" t="str">
        <f t="shared" si="168"/>
        <v>NA13WR</v>
      </c>
      <c r="M3649">
        <f>COUNTIF(L$1:L3649,L3649)</f>
        <v>49</v>
      </c>
      <c r="N3649" t="str">
        <f t="shared" si="169"/>
        <v>NA13WR-49</v>
      </c>
      <c r="O3649">
        <f>COUNTIFS(F$1:F3649,F3649,A$1:A3649,A3649)</f>
        <v>103</v>
      </c>
      <c r="P3649" t="str">
        <f t="shared" si="170"/>
        <v>Pharoh Cooper13</v>
      </c>
    </row>
    <row r="3650" spans="1:16" x14ac:dyDescent="0.25">
      <c r="A3650">
        <v>7</v>
      </c>
      <c r="B3650" t="s">
        <v>1319</v>
      </c>
      <c r="C3650" t="s">
        <v>8237</v>
      </c>
      <c r="D3650">
        <v>2.84</v>
      </c>
      <c r="E3650" t="s">
        <v>52</v>
      </c>
      <c r="F3650" t="s">
        <v>47</v>
      </c>
      <c r="G3650">
        <v>5.34</v>
      </c>
      <c r="H3650">
        <v>0.34</v>
      </c>
      <c r="I3650">
        <v>2.5</v>
      </c>
      <c r="J3650">
        <v>6.25</v>
      </c>
      <c r="K3650" t="str">
        <f>IFERROR(INDEX(Rosters!$C$2:$C$155,MATCH($B3650,Rosters!$B$2:$B$155,0)),"NA")</f>
        <v>NA</v>
      </c>
      <c r="L3650" t="str">
        <f t="shared" si="168"/>
        <v>NA7RB</v>
      </c>
      <c r="M3650">
        <f>COUNTIF(L$1:L3650,L3650)</f>
        <v>21</v>
      </c>
      <c r="N3650" t="str">
        <f t="shared" si="169"/>
        <v>NA7RB-21</v>
      </c>
      <c r="O3650">
        <f>COUNTIFS(F$1:F3650,F3650,A$1:A3650,A3650)</f>
        <v>62</v>
      </c>
      <c r="P3650" t="str">
        <f t="shared" si="170"/>
        <v>Ronald Jones7</v>
      </c>
    </row>
    <row r="3651" spans="1:16" x14ac:dyDescent="0.25">
      <c r="A3651">
        <v>9</v>
      </c>
      <c r="B3651" t="s">
        <v>299</v>
      </c>
      <c r="C3651" t="s">
        <v>8238</v>
      </c>
      <c r="D3651">
        <v>2.83</v>
      </c>
      <c r="E3651" t="s">
        <v>77</v>
      </c>
      <c r="F3651" t="s">
        <v>114</v>
      </c>
      <c r="G3651">
        <v>4.8899999999999997</v>
      </c>
      <c r="H3651">
        <v>0.77</v>
      </c>
      <c r="I3651">
        <v>2.06</v>
      </c>
      <c r="J3651">
        <v>4.2435999999999998</v>
      </c>
      <c r="K3651" t="str">
        <f>IFERROR(INDEX(Rosters!$C$2:$C$155,MATCH($B3651,Rosters!$B$2:$B$155,0)),"NA")</f>
        <v>NA</v>
      </c>
      <c r="L3651" t="str">
        <f t="shared" ref="L3651:L3714" si="171">K3651&amp;A3651&amp;F3651</f>
        <v>NA9TE</v>
      </c>
      <c r="M3651">
        <f>COUNTIF(L$1:L3651,L3651)</f>
        <v>12</v>
      </c>
      <c r="N3651" t="str">
        <f t="shared" ref="N3651:N3714" si="172">L3651&amp;"-"&amp;M3651</f>
        <v>NA9TE-12</v>
      </c>
      <c r="O3651">
        <f>COUNTIFS(F$1:F3651,F3651,A$1:A3651,A3651)</f>
        <v>23</v>
      </c>
      <c r="P3651" t="str">
        <f t="shared" ref="P3651:P3714" si="173">B3651&amp;A3651</f>
        <v>Jesse James9</v>
      </c>
    </row>
    <row r="3652" spans="1:16" x14ac:dyDescent="0.25">
      <c r="A3652">
        <v>3</v>
      </c>
      <c r="B3652" t="s">
        <v>2750</v>
      </c>
      <c r="C3652" t="s">
        <v>4222</v>
      </c>
      <c r="D3652">
        <v>2.83</v>
      </c>
      <c r="E3652" t="s">
        <v>66</v>
      </c>
      <c r="F3652" t="s">
        <v>87</v>
      </c>
      <c r="G3652">
        <v>5.13</v>
      </c>
      <c r="H3652">
        <v>0.53</v>
      </c>
      <c r="I3652">
        <v>2.2999999999999998</v>
      </c>
      <c r="J3652">
        <v>5.29</v>
      </c>
      <c r="K3652" t="str">
        <f>IFERROR(INDEX(Rosters!$C$2:$C$155,MATCH($B3652,Rosters!$B$2:$B$155,0)),"NA")</f>
        <v>NA</v>
      </c>
      <c r="L3652" t="str">
        <f t="shared" si="171"/>
        <v>NA3WR</v>
      </c>
      <c r="M3652">
        <f>COUNTIF(L$1:L3652,L3652)</f>
        <v>41</v>
      </c>
      <c r="N3652" t="str">
        <f t="shared" si="172"/>
        <v>NA3WR-41</v>
      </c>
      <c r="O3652">
        <f>COUNTIFS(F$1:F3652,F3652,A$1:A3652,A3652)</f>
        <v>89</v>
      </c>
      <c r="P3652" t="str">
        <f t="shared" si="173"/>
        <v>Jordan Matthews3</v>
      </c>
    </row>
    <row r="3653" spans="1:16" x14ac:dyDescent="0.25">
      <c r="A3653">
        <v>13</v>
      </c>
      <c r="B3653" t="s">
        <v>325</v>
      </c>
      <c r="C3653" t="s">
        <v>8239</v>
      </c>
      <c r="D3653">
        <v>2.83</v>
      </c>
      <c r="E3653" t="s">
        <v>42</v>
      </c>
      <c r="F3653" t="s">
        <v>114</v>
      </c>
      <c r="G3653">
        <v>5.3</v>
      </c>
      <c r="H3653">
        <v>0.36</v>
      </c>
      <c r="I3653">
        <v>2.4700000000000002</v>
      </c>
      <c r="J3653">
        <v>6.1009000000000002</v>
      </c>
      <c r="K3653" t="str">
        <f>IFERROR(INDEX(Rosters!$C$2:$C$155,MATCH($B3653,Rosters!$B$2:$B$155,0)),"NA")</f>
        <v>NA</v>
      </c>
      <c r="L3653" t="str">
        <f t="shared" si="171"/>
        <v>NA13TE</v>
      </c>
      <c r="M3653">
        <f>COUNTIF(L$1:L3653,L3653)</f>
        <v>19</v>
      </c>
      <c r="N3653" t="str">
        <f t="shared" si="172"/>
        <v>NA13TE-19</v>
      </c>
      <c r="O3653">
        <f>COUNTIFS(F$1:F3653,F3653,A$1:A3653,A3653)</f>
        <v>33</v>
      </c>
      <c r="P3653" t="str">
        <f t="shared" si="173"/>
        <v>Tyler Kroft13</v>
      </c>
    </row>
    <row r="3654" spans="1:16" x14ac:dyDescent="0.25">
      <c r="A3654">
        <v>6</v>
      </c>
      <c r="B3654" t="s">
        <v>301</v>
      </c>
      <c r="C3654">
        <f>-0.62-6.26</f>
        <v>-6.88</v>
      </c>
      <c r="D3654">
        <v>2.82</v>
      </c>
      <c r="E3654" t="s">
        <v>51</v>
      </c>
      <c r="F3654" t="s">
        <v>114</v>
      </c>
      <c r="G3654">
        <v>6.26</v>
      </c>
      <c r="H3654">
        <v>-0.62</v>
      </c>
      <c r="I3654">
        <v>3.44</v>
      </c>
      <c r="J3654">
        <v>11.833600000000001</v>
      </c>
      <c r="K3654" t="str">
        <f>IFERROR(INDEX(Rosters!$C$2:$C$155,MATCH($B3654,Rosters!$B$2:$B$155,0)),"NA")</f>
        <v>NA</v>
      </c>
      <c r="L3654" t="str">
        <f t="shared" si="171"/>
        <v>NA6TE</v>
      </c>
      <c r="M3654">
        <f>COUNTIF(L$1:L3654,L3654)</f>
        <v>19</v>
      </c>
      <c r="N3654" t="str">
        <f t="shared" si="172"/>
        <v>NA6TE-19</v>
      </c>
      <c r="O3654">
        <f>COUNTIFS(F$1:F3654,F3654,A$1:A3654,A3654)</f>
        <v>31</v>
      </c>
      <c r="P3654" t="str">
        <f t="shared" si="173"/>
        <v>C.J. Uzomah6</v>
      </c>
    </row>
    <row r="3655" spans="1:16" x14ac:dyDescent="0.25">
      <c r="A3655">
        <v>6</v>
      </c>
      <c r="B3655" t="s">
        <v>312</v>
      </c>
      <c r="C3655" t="s">
        <v>8240</v>
      </c>
      <c r="D3655">
        <v>2.82</v>
      </c>
      <c r="E3655" t="s">
        <v>37</v>
      </c>
      <c r="F3655" t="s">
        <v>114</v>
      </c>
      <c r="G3655">
        <v>5.13</v>
      </c>
      <c r="H3655">
        <v>0.51</v>
      </c>
      <c r="I3655">
        <v>2.31</v>
      </c>
      <c r="J3655">
        <v>5.3361000000000001</v>
      </c>
      <c r="K3655" t="str">
        <f>IFERROR(INDEX(Rosters!$C$2:$C$155,MATCH($B3655,Rosters!$B$2:$B$155,0)),"NA")</f>
        <v>NA</v>
      </c>
      <c r="L3655" t="str">
        <f t="shared" si="171"/>
        <v>NA6TE</v>
      </c>
      <c r="M3655">
        <f>COUNTIF(L$1:L3655,L3655)</f>
        <v>20</v>
      </c>
      <c r="N3655" t="str">
        <f t="shared" si="172"/>
        <v>NA6TE-20</v>
      </c>
      <c r="O3655">
        <f>COUNTIFS(F$1:F3655,F3655,A$1:A3655,A3655)</f>
        <v>32</v>
      </c>
      <c r="P3655" t="str">
        <f t="shared" si="173"/>
        <v>Darren Fells6</v>
      </c>
    </row>
    <row r="3656" spans="1:16" x14ac:dyDescent="0.25">
      <c r="A3656">
        <v>4</v>
      </c>
      <c r="B3656" t="s">
        <v>4224</v>
      </c>
      <c r="C3656" t="s">
        <v>4611</v>
      </c>
      <c r="D3656">
        <v>2.82</v>
      </c>
      <c r="E3656" t="s">
        <v>51</v>
      </c>
      <c r="F3656" t="s">
        <v>114</v>
      </c>
      <c r="G3656">
        <v>5.42</v>
      </c>
      <c r="H3656">
        <v>0.22</v>
      </c>
      <c r="I3656">
        <v>2.6</v>
      </c>
      <c r="J3656">
        <v>6.76</v>
      </c>
      <c r="K3656" t="str">
        <f>IFERROR(INDEX(Rosters!$C$2:$C$155,MATCH($B3656,Rosters!$B$2:$B$155,0)),"NA")</f>
        <v>NA</v>
      </c>
      <c r="L3656" t="str">
        <f t="shared" si="171"/>
        <v>NA4TE</v>
      </c>
      <c r="M3656">
        <f>COUNTIF(L$1:L3656,L3656)</f>
        <v>17</v>
      </c>
      <c r="N3656" t="str">
        <f t="shared" si="172"/>
        <v>NA4TE-17</v>
      </c>
      <c r="O3656">
        <f>COUNTIFS(F$1:F3656,F3656,A$1:A3656,A3656)</f>
        <v>28</v>
      </c>
      <c r="P3656" t="str">
        <f t="shared" si="173"/>
        <v>Mark Andrews4</v>
      </c>
    </row>
    <row r="3657" spans="1:16" x14ac:dyDescent="0.25">
      <c r="A3657">
        <v>11</v>
      </c>
      <c r="B3657" t="s">
        <v>1124</v>
      </c>
      <c r="C3657" t="s">
        <v>8241</v>
      </c>
      <c r="D3657">
        <v>2.81</v>
      </c>
      <c r="E3657" t="s">
        <v>56</v>
      </c>
      <c r="F3657" t="s">
        <v>87</v>
      </c>
      <c r="G3657">
        <v>5</v>
      </c>
      <c r="H3657">
        <v>0.62</v>
      </c>
      <c r="I3657">
        <v>2.19</v>
      </c>
      <c r="J3657">
        <v>4.7961</v>
      </c>
      <c r="K3657" t="str">
        <f>IFERROR(INDEX(Rosters!$C$2:$C$155,MATCH($B3657,Rosters!$B$2:$B$155,0)),"NA")</f>
        <v>NA</v>
      </c>
      <c r="L3657" t="str">
        <f t="shared" si="171"/>
        <v>NA11WR</v>
      </c>
      <c r="M3657">
        <f>COUNTIF(L$1:L3657,L3657)</f>
        <v>35</v>
      </c>
      <c r="N3657" t="str">
        <f t="shared" si="172"/>
        <v>NA11WR-35</v>
      </c>
      <c r="O3657">
        <f>COUNTIFS(F$1:F3657,F3657,A$1:A3657,A3657)</f>
        <v>81</v>
      </c>
      <c r="P3657" t="str">
        <f t="shared" si="173"/>
        <v>Chris Conley11</v>
      </c>
    </row>
    <row r="3658" spans="1:16" x14ac:dyDescent="0.25">
      <c r="A3658">
        <v>13</v>
      </c>
      <c r="B3658" t="s">
        <v>312</v>
      </c>
      <c r="C3658" t="s">
        <v>8242</v>
      </c>
      <c r="D3658">
        <v>2.81</v>
      </c>
      <c r="E3658" t="s">
        <v>36</v>
      </c>
      <c r="F3658" t="s">
        <v>114</v>
      </c>
      <c r="G3658">
        <v>5.57</v>
      </c>
      <c r="H3658">
        <v>0.05</v>
      </c>
      <c r="I3658">
        <v>2.76</v>
      </c>
      <c r="J3658">
        <v>7.6176000000000004</v>
      </c>
      <c r="K3658" t="str">
        <f>IFERROR(INDEX(Rosters!$C$2:$C$155,MATCH($B3658,Rosters!$B$2:$B$155,0)),"NA")</f>
        <v>NA</v>
      </c>
      <c r="L3658" t="str">
        <f t="shared" si="171"/>
        <v>NA13TE</v>
      </c>
      <c r="M3658">
        <f>COUNTIF(L$1:L3658,L3658)</f>
        <v>20</v>
      </c>
      <c r="N3658" t="str">
        <f t="shared" si="172"/>
        <v>NA13TE-20</v>
      </c>
      <c r="O3658">
        <f>COUNTIFS(F$1:F3658,F3658,A$1:A3658,A3658)</f>
        <v>34</v>
      </c>
      <c r="P3658" t="str">
        <f t="shared" si="173"/>
        <v>Darren Fells13</v>
      </c>
    </row>
    <row r="3659" spans="1:16" x14ac:dyDescent="0.25">
      <c r="A3659">
        <v>5</v>
      </c>
      <c r="B3659" t="s">
        <v>310</v>
      </c>
      <c r="C3659">
        <f>-0.51-6.13</f>
        <v>-6.64</v>
      </c>
      <c r="D3659">
        <v>2.81</v>
      </c>
      <c r="E3659" t="s">
        <v>76</v>
      </c>
      <c r="F3659" t="s">
        <v>114</v>
      </c>
      <c r="G3659">
        <v>6.13</v>
      </c>
      <c r="H3659">
        <v>-0.51</v>
      </c>
      <c r="I3659">
        <v>3.32</v>
      </c>
      <c r="J3659">
        <v>11.022399999999999</v>
      </c>
      <c r="K3659" t="str">
        <f>IFERROR(INDEX(Rosters!$C$2:$C$155,MATCH($B3659,Rosters!$B$2:$B$155,0)),"NA")</f>
        <v>NA</v>
      </c>
      <c r="L3659" t="str">
        <f t="shared" si="171"/>
        <v>NA5TE</v>
      </c>
      <c r="M3659">
        <f>COUNTIF(L$1:L3659,L3659)</f>
        <v>18</v>
      </c>
      <c r="N3659" t="str">
        <f t="shared" si="172"/>
        <v>NA5TE-18</v>
      </c>
      <c r="O3659">
        <f>COUNTIFS(F$1:F3659,F3659,A$1:A3659,A3659)</f>
        <v>29</v>
      </c>
      <c r="P3659" t="str">
        <f t="shared" si="173"/>
        <v>Demetrius Harris5</v>
      </c>
    </row>
    <row r="3660" spans="1:16" x14ac:dyDescent="0.25">
      <c r="A3660">
        <v>3</v>
      </c>
      <c r="B3660" t="s">
        <v>1495</v>
      </c>
      <c r="C3660" t="s">
        <v>3778</v>
      </c>
      <c r="D3660">
        <v>2.81</v>
      </c>
      <c r="E3660" t="s">
        <v>76</v>
      </c>
      <c r="F3660" t="s">
        <v>114</v>
      </c>
      <c r="G3660">
        <v>5.0599999999999996</v>
      </c>
      <c r="H3660">
        <v>0.56000000000000005</v>
      </c>
      <c r="I3660">
        <v>2.25</v>
      </c>
      <c r="J3660">
        <v>5.0625</v>
      </c>
      <c r="K3660" t="str">
        <f>IFERROR(INDEX(Rosters!$C$2:$C$155,MATCH($B3660,Rosters!$B$2:$B$155,0)),"NA")</f>
        <v>NA</v>
      </c>
      <c r="L3660" t="str">
        <f t="shared" si="171"/>
        <v>NA3TE</v>
      </c>
      <c r="M3660">
        <f>COUNTIF(L$1:L3660,L3660)</f>
        <v>15</v>
      </c>
      <c r="N3660" t="str">
        <f t="shared" si="172"/>
        <v>NA3TE-15</v>
      </c>
      <c r="O3660">
        <f>COUNTIFS(F$1:F3660,F3660,A$1:A3660,A3660)</f>
        <v>27</v>
      </c>
      <c r="P3660" t="str">
        <f t="shared" si="173"/>
        <v>Jonnu Smith3</v>
      </c>
    </row>
    <row r="3661" spans="1:16" x14ac:dyDescent="0.25">
      <c r="A3661">
        <v>16</v>
      </c>
      <c r="B3661" t="s">
        <v>301</v>
      </c>
      <c r="C3661">
        <f>-0.87-6.47</f>
        <v>-7.34</v>
      </c>
      <c r="D3661">
        <v>2.8</v>
      </c>
      <c r="E3661" t="s">
        <v>52</v>
      </c>
      <c r="F3661" t="s">
        <v>114</v>
      </c>
      <c r="G3661">
        <v>6.47</v>
      </c>
      <c r="H3661">
        <v>-0.87</v>
      </c>
      <c r="I3661">
        <v>3.67</v>
      </c>
      <c r="J3661">
        <v>13.4689</v>
      </c>
      <c r="K3661" t="str">
        <f>IFERROR(INDEX(Rosters!$C$2:$C$155,MATCH($B3661,Rosters!$B$2:$B$155,0)),"NA")</f>
        <v>NA</v>
      </c>
      <c r="L3661" t="str">
        <f t="shared" si="171"/>
        <v>NA16TE</v>
      </c>
      <c r="M3661">
        <f>COUNTIF(L$1:L3661,L3661)</f>
        <v>19</v>
      </c>
      <c r="N3661" t="str">
        <f t="shared" si="172"/>
        <v>NA16TE-19</v>
      </c>
      <c r="O3661">
        <f>COUNTIFS(F$1:F3661,F3661,A$1:A3661,A3661)</f>
        <v>33</v>
      </c>
      <c r="P3661" t="str">
        <f t="shared" si="173"/>
        <v>C.J. Uzomah16</v>
      </c>
    </row>
    <row r="3662" spans="1:16" x14ac:dyDescent="0.25">
      <c r="A3662">
        <v>13</v>
      </c>
      <c r="B3662" t="s">
        <v>1457</v>
      </c>
      <c r="C3662">
        <f>-0.03-5.63</f>
        <v>-5.66</v>
      </c>
      <c r="D3662">
        <v>2.8</v>
      </c>
      <c r="E3662" t="s">
        <v>28</v>
      </c>
      <c r="F3662" t="s">
        <v>87</v>
      </c>
      <c r="G3662">
        <v>5.63</v>
      </c>
      <c r="H3662">
        <v>-0.03</v>
      </c>
      <c r="I3662">
        <v>2.83</v>
      </c>
      <c r="J3662">
        <v>8.0089000000000006</v>
      </c>
      <c r="K3662" t="str">
        <f>IFERROR(INDEX(Rosters!$C$2:$C$155,MATCH($B3662,Rosters!$B$2:$B$155,0)),"NA")</f>
        <v>NA</v>
      </c>
      <c r="L3662" t="str">
        <f t="shared" si="171"/>
        <v>NA13WR</v>
      </c>
      <c r="M3662">
        <f>COUNTIF(L$1:L3662,L3662)</f>
        <v>50</v>
      </c>
      <c r="N3662" t="str">
        <f t="shared" si="172"/>
        <v>NA13WR-50</v>
      </c>
      <c r="O3662">
        <f>COUNTIFS(F$1:F3662,F3662,A$1:A3662,A3662)</f>
        <v>104</v>
      </c>
      <c r="P3662" t="str">
        <f t="shared" si="173"/>
        <v>Trent Taylor13</v>
      </c>
    </row>
    <row r="3663" spans="1:16" x14ac:dyDescent="0.25">
      <c r="A3663">
        <v>15</v>
      </c>
      <c r="B3663" t="s">
        <v>4212</v>
      </c>
      <c r="C3663" t="s">
        <v>8243</v>
      </c>
      <c r="D3663">
        <v>2.79</v>
      </c>
      <c r="E3663" t="s">
        <v>14</v>
      </c>
      <c r="F3663" t="s">
        <v>114</v>
      </c>
      <c r="G3663">
        <v>5.42</v>
      </c>
      <c r="H3663">
        <v>0.16</v>
      </c>
      <c r="I3663">
        <v>2.63</v>
      </c>
      <c r="J3663">
        <v>6.9169</v>
      </c>
      <c r="K3663" t="str">
        <f>IFERROR(INDEX(Rosters!$C$2:$C$155,MATCH($B3663,Rosters!$B$2:$B$155,0)),"NA")</f>
        <v>NA</v>
      </c>
      <c r="L3663" t="str">
        <f t="shared" si="171"/>
        <v>NA15TE</v>
      </c>
      <c r="M3663">
        <f>COUNTIF(L$1:L3663,L3663)</f>
        <v>19</v>
      </c>
      <c r="N3663" t="str">
        <f t="shared" si="172"/>
        <v>NA15TE-19</v>
      </c>
      <c r="O3663">
        <f>COUNTIFS(F$1:F3663,F3663,A$1:A3663,A3663)</f>
        <v>33</v>
      </c>
      <c r="P3663" t="str">
        <f t="shared" si="173"/>
        <v>Ian Thomas15</v>
      </c>
    </row>
    <row r="3664" spans="1:16" x14ac:dyDescent="0.25">
      <c r="A3664">
        <v>9</v>
      </c>
      <c r="B3664" t="s">
        <v>4206</v>
      </c>
      <c r="C3664" t="s">
        <v>8244</v>
      </c>
      <c r="D3664">
        <v>2.79</v>
      </c>
      <c r="E3664" t="s">
        <v>60</v>
      </c>
      <c r="F3664" t="s">
        <v>47</v>
      </c>
      <c r="G3664">
        <v>5.3</v>
      </c>
      <c r="H3664">
        <v>0.28000000000000003</v>
      </c>
      <c r="I3664">
        <v>2.5099999999999998</v>
      </c>
      <c r="J3664">
        <v>6.3000999999999996</v>
      </c>
      <c r="K3664" t="str">
        <f>IFERROR(INDEX(Rosters!$C$2:$C$155,MATCH($B3664,Rosters!$B$2:$B$155,0)),"NA")</f>
        <v>NA</v>
      </c>
      <c r="L3664" t="str">
        <f t="shared" si="171"/>
        <v>NA9RB</v>
      </c>
      <c r="M3664">
        <f>COUNTIF(L$1:L3664,L3664)</f>
        <v>16</v>
      </c>
      <c r="N3664" t="str">
        <f t="shared" si="172"/>
        <v>NA9RB-16</v>
      </c>
      <c r="O3664">
        <f>COUNTIFS(F$1:F3664,F3664,A$1:A3664,A3664)</f>
        <v>56</v>
      </c>
      <c r="P3664" t="str">
        <f t="shared" si="173"/>
        <v>Ito Smith9</v>
      </c>
    </row>
    <row r="3665" spans="1:16" x14ac:dyDescent="0.25">
      <c r="A3665">
        <v>15</v>
      </c>
      <c r="B3665" t="s">
        <v>2750</v>
      </c>
      <c r="C3665" t="s">
        <v>8245</v>
      </c>
      <c r="D3665">
        <v>2.79</v>
      </c>
      <c r="E3665" t="s">
        <v>56</v>
      </c>
      <c r="F3665" t="s">
        <v>87</v>
      </c>
      <c r="G3665">
        <v>5.52</v>
      </c>
      <c r="H3665">
        <v>0.06</v>
      </c>
      <c r="I3665">
        <v>2.73</v>
      </c>
      <c r="J3665">
        <v>7.4528999999999996</v>
      </c>
      <c r="K3665" t="str">
        <f>IFERROR(INDEX(Rosters!$C$2:$C$155,MATCH($B3665,Rosters!$B$2:$B$155,0)),"NA")</f>
        <v>NA</v>
      </c>
      <c r="L3665" t="str">
        <f t="shared" si="171"/>
        <v>NA15WR</v>
      </c>
      <c r="M3665">
        <f>COUNTIF(L$1:L3665,L3665)</f>
        <v>50</v>
      </c>
      <c r="N3665" t="str">
        <f t="shared" si="172"/>
        <v>NA15WR-50</v>
      </c>
      <c r="O3665">
        <f>COUNTIFS(F$1:F3665,F3665,A$1:A3665,A3665)</f>
        <v>104</v>
      </c>
      <c r="P3665" t="str">
        <f t="shared" si="173"/>
        <v>Jordan Matthews15</v>
      </c>
    </row>
    <row r="3666" spans="1:16" x14ac:dyDescent="0.25">
      <c r="A3666">
        <v>12</v>
      </c>
      <c r="B3666" t="s">
        <v>4226</v>
      </c>
      <c r="C3666" t="s">
        <v>8246</v>
      </c>
      <c r="D3666">
        <v>2.79</v>
      </c>
      <c r="E3666" t="s">
        <v>38</v>
      </c>
      <c r="F3666" t="s">
        <v>114</v>
      </c>
      <c r="G3666">
        <v>5.28</v>
      </c>
      <c r="H3666">
        <v>0.3</v>
      </c>
      <c r="I3666">
        <v>2.4900000000000002</v>
      </c>
      <c r="J3666">
        <v>6.2000999999999999</v>
      </c>
      <c r="K3666" t="str">
        <f>IFERROR(INDEX(Rosters!$C$2:$C$155,MATCH($B3666,Rosters!$B$2:$B$155,0)),"NA")</f>
        <v>NA</v>
      </c>
      <c r="L3666" t="str">
        <f t="shared" si="171"/>
        <v>NA12TE</v>
      </c>
      <c r="M3666">
        <f>COUNTIF(L$1:L3666,L3666)</f>
        <v>17</v>
      </c>
      <c r="N3666" t="str">
        <f t="shared" si="172"/>
        <v>NA12TE-17</v>
      </c>
      <c r="O3666">
        <f>COUNTIFS(F$1:F3666,F3666,A$1:A3666,A3666)</f>
        <v>30</v>
      </c>
      <c r="P3666" t="str">
        <f t="shared" si="173"/>
        <v>Jordan Thomas12</v>
      </c>
    </row>
    <row r="3667" spans="1:16" x14ac:dyDescent="0.25">
      <c r="A3667">
        <v>8</v>
      </c>
      <c r="B3667" t="s">
        <v>4612</v>
      </c>
      <c r="C3667">
        <f>-0.11-5.69</f>
        <v>-5.8000000000000007</v>
      </c>
      <c r="D3667">
        <v>2.79</v>
      </c>
      <c r="E3667" t="s">
        <v>41</v>
      </c>
      <c r="F3667" t="s">
        <v>87</v>
      </c>
      <c r="G3667">
        <v>5.69</v>
      </c>
      <c r="H3667">
        <v>-0.11</v>
      </c>
      <c r="I3667">
        <v>2.9</v>
      </c>
      <c r="J3667">
        <v>8.41</v>
      </c>
      <c r="K3667" t="str">
        <f>IFERROR(INDEX(Rosters!$C$2:$C$155,MATCH($B3667,Rosters!$B$2:$B$155,0)),"NA")</f>
        <v>NA</v>
      </c>
      <c r="L3667" t="str">
        <f t="shared" si="171"/>
        <v>NA8WR</v>
      </c>
      <c r="M3667">
        <f>COUNTIF(L$1:L3667,L3667)</f>
        <v>39</v>
      </c>
      <c r="N3667" t="str">
        <f t="shared" si="172"/>
        <v>NA8WR-39</v>
      </c>
      <c r="O3667">
        <f>COUNTIFS(F$1:F3667,F3667,A$1:A3667,A3667)</f>
        <v>87</v>
      </c>
      <c r="P3667" t="str">
        <f t="shared" si="173"/>
        <v>Khadarel Hodge8</v>
      </c>
    </row>
    <row r="3668" spans="1:16" x14ac:dyDescent="0.25">
      <c r="A3668">
        <v>9</v>
      </c>
      <c r="B3668" t="s">
        <v>282</v>
      </c>
      <c r="C3668" t="s">
        <v>8247</v>
      </c>
      <c r="D3668">
        <v>2.79</v>
      </c>
      <c r="E3668" t="s">
        <v>14</v>
      </c>
      <c r="F3668" t="s">
        <v>47</v>
      </c>
      <c r="G3668">
        <v>5.27</v>
      </c>
      <c r="H3668">
        <v>0.31</v>
      </c>
      <c r="I3668">
        <v>2.48</v>
      </c>
      <c r="J3668">
        <v>6.1504000000000003</v>
      </c>
      <c r="K3668" t="str">
        <f>IFERROR(INDEX(Rosters!$C$2:$C$155,MATCH($B3668,Rosters!$B$2:$B$155,0)),"NA")</f>
        <v>NA</v>
      </c>
      <c r="L3668" t="str">
        <f t="shared" si="171"/>
        <v>NA9RB</v>
      </c>
      <c r="M3668">
        <f>COUNTIF(L$1:L3668,L3668)</f>
        <v>17</v>
      </c>
      <c r="N3668" t="str">
        <f t="shared" si="172"/>
        <v>NA9RB-17</v>
      </c>
      <c r="O3668">
        <f>COUNTIFS(F$1:F3668,F3668,A$1:A3668,A3668)</f>
        <v>57</v>
      </c>
      <c r="P3668" t="str">
        <f t="shared" si="173"/>
        <v>Malcolm Brown9</v>
      </c>
    </row>
    <row r="3669" spans="1:16" x14ac:dyDescent="0.25">
      <c r="A3669">
        <v>9</v>
      </c>
      <c r="B3669" t="s">
        <v>4224</v>
      </c>
      <c r="C3669" t="s">
        <v>8248</v>
      </c>
      <c r="D3669">
        <v>2.79</v>
      </c>
      <c r="E3669" t="s">
        <v>51</v>
      </c>
      <c r="F3669" t="s">
        <v>114</v>
      </c>
      <c r="G3669">
        <v>5.31</v>
      </c>
      <c r="H3669">
        <v>0.27</v>
      </c>
      <c r="I3669">
        <v>2.52</v>
      </c>
      <c r="J3669">
        <v>6.3503999999999996</v>
      </c>
      <c r="K3669" t="str">
        <f>IFERROR(INDEX(Rosters!$C$2:$C$155,MATCH($B3669,Rosters!$B$2:$B$155,0)),"NA")</f>
        <v>NA</v>
      </c>
      <c r="L3669" t="str">
        <f t="shared" si="171"/>
        <v>NA9TE</v>
      </c>
      <c r="M3669">
        <f>COUNTIF(L$1:L3669,L3669)</f>
        <v>13</v>
      </c>
      <c r="N3669" t="str">
        <f t="shared" si="172"/>
        <v>NA9TE-13</v>
      </c>
      <c r="O3669">
        <f>COUNTIFS(F$1:F3669,F3669,A$1:A3669,A3669)</f>
        <v>24</v>
      </c>
      <c r="P3669" t="str">
        <f t="shared" si="173"/>
        <v>Mark Andrews9</v>
      </c>
    </row>
    <row r="3670" spans="1:16" x14ac:dyDescent="0.25">
      <c r="A3670">
        <v>2</v>
      </c>
      <c r="B3670" t="s">
        <v>305</v>
      </c>
      <c r="C3670" t="s">
        <v>1474</v>
      </c>
      <c r="D3670">
        <v>2.78</v>
      </c>
      <c r="E3670" t="s">
        <v>60</v>
      </c>
      <c r="F3670" t="s">
        <v>87</v>
      </c>
      <c r="G3670">
        <v>5.28</v>
      </c>
      <c r="H3670">
        <v>0.28000000000000003</v>
      </c>
      <c r="I3670">
        <v>2.5</v>
      </c>
      <c r="J3670">
        <v>6.25</v>
      </c>
      <c r="K3670" t="str">
        <f>IFERROR(INDEX(Rosters!$C$2:$C$155,MATCH($B3670,Rosters!$B$2:$B$155,0)),"NA")</f>
        <v>NA</v>
      </c>
      <c r="L3670" t="str">
        <f t="shared" si="171"/>
        <v>NA2WR</v>
      </c>
      <c r="M3670">
        <f>COUNTIF(L$1:L3670,L3670)</f>
        <v>37</v>
      </c>
      <c r="N3670" t="str">
        <f t="shared" si="172"/>
        <v>NA2WR-37</v>
      </c>
      <c r="O3670">
        <f>COUNTIFS(F$1:F3670,F3670,A$1:A3670,A3670)</f>
        <v>85</v>
      </c>
      <c r="P3670" t="str">
        <f t="shared" si="173"/>
        <v>Chester Rogers2</v>
      </c>
    </row>
    <row r="3671" spans="1:16" x14ac:dyDescent="0.25">
      <c r="A3671">
        <v>4</v>
      </c>
      <c r="B3671" t="s">
        <v>305</v>
      </c>
      <c r="C3671" t="s">
        <v>4613</v>
      </c>
      <c r="D3671">
        <v>2.78</v>
      </c>
      <c r="E3671" t="s">
        <v>36</v>
      </c>
      <c r="F3671" t="s">
        <v>87</v>
      </c>
      <c r="G3671">
        <v>4.84</v>
      </c>
      <c r="H3671">
        <v>0.72</v>
      </c>
      <c r="I3671">
        <v>2.06</v>
      </c>
      <c r="J3671">
        <v>4.2435999999999998</v>
      </c>
      <c r="K3671" t="str">
        <f>IFERROR(INDEX(Rosters!$C$2:$C$155,MATCH($B3671,Rosters!$B$2:$B$155,0)),"NA")</f>
        <v>NA</v>
      </c>
      <c r="L3671" t="str">
        <f t="shared" si="171"/>
        <v>NA4WR</v>
      </c>
      <c r="M3671">
        <f>COUNTIF(L$1:L3671,L3671)</f>
        <v>39</v>
      </c>
      <c r="N3671" t="str">
        <f t="shared" si="172"/>
        <v>NA4WR-39</v>
      </c>
      <c r="O3671">
        <f>COUNTIFS(F$1:F3671,F3671,A$1:A3671,A3671)</f>
        <v>89</v>
      </c>
      <c r="P3671" t="str">
        <f t="shared" si="173"/>
        <v>Chester Rogers4</v>
      </c>
    </row>
    <row r="3672" spans="1:16" x14ac:dyDescent="0.25">
      <c r="A3672">
        <v>10</v>
      </c>
      <c r="B3672" t="s">
        <v>230</v>
      </c>
      <c r="C3672" t="s">
        <v>8249</v>
      </c>
      <c r="D3672">
        <v>2.78</v>
      </c>
      <c r="E3672" t="s">
        <v>17</v>
      </c>
      <c r="F3672" t="s">
        <v>87</v>
      </c>
      <c r="G3672">
        <v>5.2</v>
      </c>
      <c r="H3672">
        <v>0.36</v>
      </c>
      <c r="I3672">
        <v>2.42</v>
      </c>
      <c r="J3672">
        <v>5.8563999999999998</v>
      </c>
      <c r="K3672" t="str">
        <f>IFERROR(INDEX(Rosters!$C$2:$C$155,MATCH($B3672,Rosters!$B$2:$B$155,0)),"NA")</f>
        <v>NA</v>
      </c>
      <c r="L3672" t="str">
        <f t="shared" si="171"/>
        <v>NA10WR</v>
      </c>
      <c r="M3672">
        <f>COUNTIF(L$1:L3672,L3672)</f>
        <v>47</v>
      </c>
      <c r="N3672" t="str">
        <f t="shared" si="172"/>
        <v>NA10WR-47</v>
      </c>
      <c r="O3672">
        <f>COUNTIFS(F$1:F3672,F3672,A$1:A3672,A3672)</f>
        <v>91</v>
      </c>
      <c r="P3672" t="str">
        <f t="shared" si="173"/>
        <v>Josh Doctson10</v>
      </c>
    </row>
    <row r="3673" spans="1:16" x14ac:dyDescent="0.25">
      <c r="A3673">
        <v>9</v>
      </c>
      <c r="B3673" t="s">
        <v>292</v>
      </c>
      <c r="C3673" t="s">
        <v>8249</v>
      </c>
      <c r="D3673">
        <v>2.78</v>
      </c>
      <c r="E3673" t="s">
        <v>25</v>
      </c>
      <c r="F3673" t="s">
        <v>114</v>
      </c>
      <c r="G3673">
        <v>5.2</v>
      </c>
      <c r="H3673">
        <v>0.36</v>
      </c>
      <c r="I3673">
        <v>2.42</v>
      </c>
      <c r="J3673">
        <v>5.8563999999999998</v>
      </c>
      <c r="K3673" t="str">
        <f>IFERROR(INDEX(Rosters!$C$2:$C$155,MATCH($B3673,Rosters!$B$2:$B$155,0)),"NA")</f>
        <v>NA</v>
      </c>
      <c r="L3673" t="str">
        <f t="shared" si="171"/>
        <v>NA9TE</v>
      </c>
      <c r="M3673">
        <f>COUNTIF(L$1:L3673,L3673)</f>
        <v>14</v>
      </c>
      <c r="N3673" t="str">
        <f t="shared" si="172"/>
        <v>NA9TE-14</v>
      </c>
      <c r="O3673">
        <f>COUNTIFS(F$1:F3673,F3673,A$1:A3673,A3673)</f>
        <v>25</v>
      </c>
      <c r="P3673" t="str">
        <f t="shared" si="173"/>
        <v>Luke Willson9</v>
      </c>
    </row>
    <row r="3674" spans="1:16" x14ac:dyDescent="0.25">
      <c r="A3674">
        <v>5</v>
      </c>
      <c r="B3674" t="s">
        <v>1511</v>
      </c>
      <c r="C3674" t="s">
        <v>8250</v>
      </c>
      <c r="D3674">
        <v>2.78</v>
      </c>
      <c r="E3674" t="s">
        <v>29</v>
      </c>
      <c r="F3674" t="s">
        <v>87</v>
      </c>
      <c r="G3674">
        <v>5.1100000000000003</v>
      </c>
      <c r="H3674">
        <v>0.45</v>
      </c>
      <c r="I3674">
        <v>2.33</v>
      </c>
      <c r="J3674">
        <v>5.4288999999999996</v>
      </c>
      <c r="K3674" t="str">
        <f>IFERROR(INDEX(Rosters!$C$2:$C$155,MATCH($B3674,Rosters!$B$2:$B$155,0)),"NA")</f>
        <v>NA</v>
      </c>
      <c r="L3674" t="str">
        <f t="shared" si="171"/>
        <v>NA5WR</v>
      </c>
      <c r="M3674">
        <f>COUNTIF(L$1:L3674,L3674)</f>
        <v>42</v>
      </c>
      <c r="N3674" t="str">
        <f t="shared" si="172"/>
        <v>NA5WR-42</v>
      </c>
      <c r="O3674">
        <f>COUNTIFS(F$1:F3674,F3674,A$1:A3674,A3674)</f>
        <v>92</v>
      </c>
      <c r="P3674" t="str">
        <f t="shared" si="173"/>
        <v>Tajae Sharpe5</v>
      </c>
    </row>
    <row r="3675" spans="1:16" x14ac:dyDescent="0.25">
      <c r="A3675">
        <v>16</v>
      </c>
      <c r="B3675" t="s">
        <v>1511</v>
      </c>
      <c r="C3675" t="s">
        <v>8250</v>
      </c>
      <c r="D3675">
        <v>2.78</v>
      </c>
      <c r="E3675" t="s">
        <v>60</v>
      </c>
      <c r="F3675" t="s">
        <v>87</v>
      </c>
      <c r="G3675">
        <v>5.1100000000000003</v>
      </c>
      <c r="H3675">
        <v>0.45</v>
      </c>
      <c r="I3675">
        <v>2.33</v>
      </c>
      <c r="J3675">
        <v>5.4288999999999996</v>
      </c>
      <c r="K3675" t="str">
        <f>IFERROR(INDEX(Rosters!$C$2:$C$155,MATCH($B3675,Rosters!$B$2:$B$155,0)),"NA")</f>
        <v>NA</v>
      </c>
      <c r="L3675" t="str">
        <f t="shared" si="171"/>
        <v>NA16WR</v>
      </c>
      <c r="M3675">
        <f>COUNTIF(L$1:L3675,L3675)</f>
        <v>48</v>
      </c>
      <c r="N3675" t="str">
        <f t="shared" si="172"/>
        <v>NA16WR-48</v>
      </c>
      <c r="O3675">
        <f>COUNTIFS(F$1:F3675,F3675,A$1:A3675,A3675)</f>
        <v>101</v>
      </c>
      <c r="P3675" t="str">
        <f t="shared" si="173"/>
        <v>Tajae Sharpe16</v>
      </c>
    </row>
    <row r="3676" spans="1:16" x14ac:dyDescent="0.25">
      <c r="A3676">
        <v>12</v>
      </c>
      <c r="B3676" t="s">
        <v>2667</v>
      </c>
      <c r="C3676" t="s">
        <v>8251</v>
      </c>
      <c r="D3676">
        <v>2.77</v>
      </c>
      <c r="E3676" t="s">
        <v>58</v>
      </c>
      <c r="F3676" t="s">
        <v>114</v>
      </c>
      <c r="G3676">
        <v>5.12</v>
      </c>
      <c r="H3676">
        <v>0.42</v>
      </c>
      <c r="I3676">
        <v>2.35</v>
      </c>
      <c r="J3676">
        <v>5.5225</v>
      </c>
      <c r="K3676" t="str">
        <f>IFERROR(INDEX(Rosters!$C$2:$C$155,MATCH($B3676,Rosters!$B$2:$B$155,0)),"NA")</f>
        <v>NA</v>
      </c>
      <c r="L3676" t="str">
        <f t="shared" si="171"/>
        <v>NA12TE</v>
      </c>
      <c r="M3676">
        <f>COUNTIF(L$1:L3676,L3676)</f>
        <v>18</v>
      </c>
      <c r="N3676" t="str">
        <f t="shared" si="172"/>
        <v>NA12TE-18</v>
      </c>
      <c r="O3676">
        <f>COUNTIFS(F$1:F3676,F3676,A$1:A3676,A3676)</f>
        <v>31</v>
      </c>
      <c r="P3676" t="str">
        <f t="shared" si="173"/>
        <v>Antonio Gates12</v>
      </c>
    </row>
    <row r="3677" spans="1:16" x14ac:dyDescent="0.25">
      <c r="A3677">
        <v>13</v>
      </c>
      <c r="B3677" t="s">
        <v>4212</v>
      </c>
      <c r="C3677" t="s">
        <v>8252</v>
      </c>
      <c r="D3677">
        <v>2.77</v>
      </c>
      <c r="E3677" t="s">
        <v>17</v>
      </c>
      <c r="F3677" t="s">
        <v>114</v>
      </c>
      <c r="G3677">
        <v>5.38</v>
      </c>
      <c r="H3677">
        <v>0.16</v>
      </c>
      <c r="I3677">
        <v>2.61</v>
      </c>
      <c r="J3677">
        <v>6.8121</v>
      </c>
      <c r="K3677" t="str">
        <f>IFERROR(INDEX(Rosters!$C$2:$C$155,MATCH($B3677,Rosters!$B$2:$B$155,0)),"NA")</f>
        <v>NA</v>
      </c>
      <c r="L3677" t="str">
        <f t="shared" si="171"/>
        <v>NA13TE</v>
      </c>
      <c r="M3677">
        <f>COUNTIF(L$1:L3677,L3677)</f>
        <v>21</v>
      </c>
      <c r="N3677" t="str">
        <f t="shared" si="172"/>
        <v>NA13TE-21</v>
      </c>
      <c r="O3677">
        <f>COUNTIFS(F$1:F3677,F3677,A$1:A3677,A3677)</f>
        <v>35</v>
      </c>
      <c r="P3677" t="str">
        <f t="shared" si="173"/>
        <v>Ian Thomas13</v>
      </c>
    </row>
    <row r="3678" spans="1:16" x14ac:dyDescent="0.25">
      <c r="A3678">
        <v>7</v>
      </c>
      <c r="B3678" t="s">
        <v>296</v>
      </c>
      <c r="C3678">
        <f>-0.52-6.06</f>
        <v>-6.58</v>
      </c>
      <c r="D3678">
        <v>2.77</v>
      </c>
      <c r="E3678" t="s">
        <v>50</v>
      </c>
      <c r="F3678" t="s">
        <v>87</v>
      </c>
      <c r="G3678">
        <v>6.06</v>
      </c>
      <c r="H3678">
        <v>-0.52</v>
      </c>
      <c r="I3678">
        <v>3.29</v>
      </c>
      <c r="J3678">
        <v>10.8241</v>
      </c>
      <c r="K3678" t="str">
        <f>IFERROR(INDEX(Rosters!$C$2:$C$155,MATCH($B3678,Rosters!$B$2:$B$155,0)),"NA")</f>
        <v>NA</v>
      </c>
      <c r="L3678" t="str">
        <f t="shared" si="171"/>
        <v>NA7WR</v>
      </c>
      <c r="M3678">
        <f>COUNTIF(L$1:L3678,L3678)</f>
        <v>39</v>
      </c>
      <c r="N3678" t="str">
        <f t="shared" si="172"/>
        <v>NA7WR-39</v>
      </c>
      <c r="O3678">
        <f>COUNTIFS(F$1:F3678,F3678,A$1:A3678,A3678)</f>
        <v>83</v>
      </c>
      <c r="P3678" t="str">
        <f t="shared" si="173"/>
        <v>Jarius Wright7</v>
      </c>
    </row>
    <row r="3679" spans="1:16" x14ac:dyDescent="0.25">
      <c r="A3679">
        <v>10</v>
      </c>
      <c r="B3679" t="s">
        <v>1423</v>
      </c>
      <c r="C3679">
        <f>-0.22-5.76</f>
        <v>-5.9799999999999995</v>
      </c>
      <c r="D3679">
        <v>2.77</v>
      </c>
      <c r="E3679" t="s">
        <v>41</v>
      </c>
      <c r="F3679" t="s">
        <v>114</v>
      </c>
      <c r="G3679">
        <v>5.76</v>
      </c>
      <c r="H3679">
        <v>-0.22</v>
      </c>
      <c r="I3679">
        <v>2.99</v>
      </c>
      <c r="J3679">
        <v>8.9400999999999993</v>
      </c>
      <c r="K3679" t="str">
        <f>IFERROR(INDEX(Rosters!$C$2:$C$155,MATCH($B3679,Rosters!$B$2:$B$155,0)),"NA")</f>
        <v>NA</v>
      </c>
      <c r="L3679" t="str">
        <f t="shared" si="171"/>
        <v>NA10TE</v>
      </c>
      <c r="M3679">
        <f>COUNTIF(L$1:L3679,L3679)</f>
        <v>18</v>
      </c>
      <c r="N3679" t="str">
        <f t="shared" si="172"/>
        <v>NA10TE-18</v>
      </c>
      <c r="O3679">
        <f>COUNTIFS(F$1:F3679,F3679,A$1:A3679,A3679)</f>
        <v>31</v>
      </c>
      <c r="P3679" t="str">
        <f t="shared" si="173"/>
        <v>Michael Gesicki10</v>
      </c>
    </row>
    <row r="3680" spans="1:16" x14ac:dyDescent="0.25">
      <c r="A3680">
        <v>11</v>
      </c>
      <c r="B3680" t="s">
        <v>362</v>
      </c>
      <c r="C3680" t="s">
        <v>8253</v>
      </c>
      <c r="D3680">
        <v>2.77</v>
      </c>
      <c r="E3680" t="s">
        <v>41</v>
      </c>
      <c r="F3680" t="s">
        <v>114</v>
      </c>
      <c r="G3680">
        <v>5</v>
      </c>
      <c r="H3680">
        <v>0.54</v>
      </c>
      <c r="I3680">
        <v>2.23</v>
      </c>
      <c r="J3680">
        <v>4.9729000000000001</v>
      </c>
      <c r="K3680" t="str">
        <f>IFERROR(INDEX(Rosters!$C$2:$C$155,MATCH($B3680,Rosters!$B$2:$B$155,0)),"NA")</f>
        <v>NA</v>
      </c>
      <c r="L3680" t="str">
        <f t="shared" si="171"/>
        <v>NA11TE</v>
      </c>
      <c r="M3680">
        <f>COUNTIF(L$1:L3680,L3680)</f>
        <v>19</v>
      </c>
      <c r="N3680" t="str">
        <f t="shared" si="172"/>
        <v>NA11TE-19</v>
      </c>
      <c r="O3680">
        <f>COUNTIFS(F$1:F3680,F3680,A$1:A3680,A3680)</f>
        <v>31</v>
      </c>
      <c r="P3680" t="str">
        <f t="shared" si="173"/>
        <v>Nick Vannett11</v>
      </c>
    </row>
    <row r="3681" spans="1:16" x14ac:dyDescent="0.25">
      <c r="A3681">
        <v>9</v>
      </c>
      <c r="B3681" t="s">
        <v>297</v>
      </c>
      <c r="C3681" t="s">
        <v>4614</v>
      </c>
      <c r="D3681">
        <v>2.77</v>
      </c>
      <c r="E3681" t="s">
        <v>24</v>
      </c>
      <c r="F3681" t="s">
        <v>114</v>
      </c>
      <c r="G3681">
        <v>5.36</v>
      </c>
      <c r="H3681">
        <v>0.18</v>
      </c>
      <c r="I3681">
        <v>2.59</v>
      </c>
      <c r="J3681">
        <v>6.7081</v>
      </c>
      <c r="K3681" t="str">
        <f>IFERROR(INDEX(Rosters!$C$2:$C$155,MATCH($B3681,Rosters!$B$2:$B$155,0)),"NA")</f>
        <v>NA</v>
      </c>
      <c r="L3681" t="str">
        <f t="shared" si="171"/>
        <v>NA9TE</v>
      </c>
      <c r="M3681">
        <f>COUNTIF(L$1:L3681,L3681)</f>
        <v>15</v>
      </c>
      <c r="N3681" t="str">
        <f t="shared" si="172"/>
        <v>NA9TE-15</v>
      </c>
      <c r="O3681">
        <f>COUNTIFS(F$1:F3681,F3681,A$1:A3681,A3681)</f>
        <v>26</v>
      </c>
      <c r="P3681" t="str">
        <f t="shared" si="173"/>
        <v>Seth DeValve9</v>
      </c>
    </row>
    <row r="3682" spans="1:16" x14ac:dyDescent="0.25">
      <c r="A3682">
        <v>14</v>
      </c>
      <c r="B3682" t="s">
        <v>1478</v>
      </c>
      <c r="C3682" t="s">
        <v>8254</v>
      </c>
      <c r="D3682">
        <v>2.76</v>
      </c>
      <c r="E3682" t="s">
        <v>22</v>
      </c>
      <c r="F3682" t="s">
        <v>114</v>
      </c>
      <c r="G3682">
        <v>5.15</v>
      </c>
      <c r="H3682">
        <v>0.37</v>
      </c>
      <c r="I3682">
        <v>2.39</v>
      </c>
      <c r="J3682">
        <v>5.7121000000000004</v>
      </c>
      <c r="K3682" t="str">
        <f>IFERROR(INDEX(Rosters!$C$2:$C$155,MATCH($B3682,Rosters!$B$2:$B$155,0)),"NA")</f>
        <v>NA</v>
      </c>
      <c r="L3682" t="str">
        <f t="shared" si="171"/>
        <v>NA14TE</v>
      </c>
      <c r="M3682">
        <f>COUNTIF(L$1:L3682,L3682)</f>
        <v>20</v>
      </c>
      <c r="N3682" t="str">
        <f t="shared" si="172"/>
        <v>NA14TE-20</v>
      </c>
      <c r="O3682">
        <f>COUNTIFS(F$1:F3682,F3682,A$1:A3682,A3682)</f>
        <v>34</v>
      </c>
      <c r="P3682" t="str">
        <f t="shared" si="173"/>
        <v>Dallas Goedert14</v>
      </c>
    </row>
    <row r="3683" spans="1:16" x14ac:dyDescent="0.25">
      <c r="A3683">
        <v>8</v>
      </c>
      <c r="B3683" t="s">
        <v>296</v>
      </c>
      <c r="C3683">
        <f>-0.34-5.86</f>
        <v>-6.2</v>
      </c>
      <c r="D3683">
        <v>2.76</v>
      </c>
      <c r="E3683" t="s">
        <v>77</v>
      </c>
      <c r="F3683" t="s">
        <v>87</v>
      </c>
      <c r="G3683">
        <v>5.86</v>
      </c>
      <c r="H3683">
        <v>-0.34</v>
      </c>
      <c r="I3683">
        <v>3.1</v>
      </c>
      <c r="J3683">
        <v>9.61</v>
      </c>
      <c r="K3683" t="str">
        <f>IFERROR(INDEX(Rosters!$C$2:$C$155,MATCH($B3683,Rosters!$B$2:$B$155,0)),"NA")</f>
        <v>NA</v>
      </c>
      <c r="L3683" t="str">
        <f t="shared" si="171"/>
        <v>NA8WR</v>
      </c>
      <c r="M3683">
        <f>COUNTIF(L$1:L3683,L3683)</f>
        <v>40</v>
      </c>
      <c r="N3683" t="str">
        <f t="shared" si="172"/>
        <v>NA8WR-40</v>
      </c>
      <c r="O3683">
        <f>COUNTIFS(F$1:F3683,F3683,A$1:A3683,A3683)</f>
        <v>88</v>
      </c>
      <c r="P3683" t="str">
        <f t="shared" si="173"/>
        <v>Jarius Wright8</v>
      </c>
    </row>
    <row r="3684" spans="1:16" x14ac:dyDescent="0.25">
      <c r="A3684">
        <v>6</v>
      </c>
      <c r="B3684" t="s">
        <v>1381</v>
      </c>
      <c r="C3684">
        <f>-0.35-5.87</f>
        <v>-6.22</v>
      </c>
      <c r="D3684">
        <v>2.76</v>
      </c>
      <c r="E3684" t="s">
        <v>25</v>
      </c>
      <c r="F3684" t="s">
        <v>114</v>
      </c>
      <c r="G3684">
        <v>5.87</v>
      </c>
      <c r="H3684">
        <v>-0.35</v>
      </c>
      <c r="I3684">
        <v>3.11</v>
      </c>
      <c r="J3684">
        <v>9.6721000000000004</v>
      </c>
      <c r="K3684" t="str">
        <f>IFERROR(INDEX(Rosters!$C$2:$C$155,MATCH($B3684,Rosters!$B$2:$B$155,0)),"NA")</f>
        <v>NA</v>
      </c>
      <c r="L3684" t="str">
        <f t="shared" si="171"/>
        <v>NA6TE</v>
      </c>
      <c r="M3684">
        <f>COUNTIF(L$1:L3684,L3684)</f>
        <v>21</v>
      </c>
      <c r="N3684" t="str">
        <f t="shared" si="172"/>
        <v>NA6TE-21</v>
      </c>
      <c r="O3684">
        <f>COUNTIFS(F$1:F3684,F3684,A$1:A3684,A3684)</f>
        <v>33</v>
      </c>
      <c r="P3684" t="str">
        <f t="shared" si="173"/>
        <v>Ricky Seals-Jones6</v>
      </c>
    </row>
    <row r="3685" spans="1:16" x14ac:dyDescent="0.25">
      <c r="A3685">
        <v>10</v>
      </c>
      <c r="B3685" t="s">
        <v>190</v>
      </c>
      <c r="C3685">
        <f>-0.13-5.65</f>
        <v>-5.78</v>
      </c>
      <c r="D3685">
        <v>2.76</v>
      </c>
      <c r="E3685" t="s">
        <v>50</v>
      </c>
      <c r="F3685" t="s">
        <v>87</v>
      </c>
      <c r="G3685">
        <v>5.65</v>
      </c>
      <c r="H3685">
        <v>-0.13</v>
      </c>
      <c r="I3685">
        <v>2.89</v>
      </c>
      <c r="J3685">
        <v>8.3521000000000001</v>
      </c>
      <c r="K3685" t="str">
        <f>IFERROR(INDEX(Rosters!$C$2:$C$155,MATCH($B3685,Rosters!$B$2:$B$155,0)),"NA")</f>
        <v>NA</v>
      </c>
      <c r="L3685" t="str">
        <f t="shared" si="171"/>
        <v>NA10WR</v>
      </c>
      <c r="M3685">
        <f>COUNTIF(L$1:L3685,L3685)</f>
        <v>48</v>
      </c>
      <c r="N3685" t="str">
        <f t="shared" si="172"/>
        <v>NA10WR-48</v>
      </c>
      <c r="O3685">
        <f>COUNTIFS(F$1:F3685,F3685,A$1:A3685,A3685)</f>
        <v>92</v>
      </c>
      <c r="P3685" t="str">
        <f t="shared" si="173"/>
        <v>Tavon Austin10</v>
      </c>
    </row>
    <row r="3686" spans="1:16" x14ac:dyDescent="0.25">
      <c r="A3686">
        <v>9</v>
      </c>
      <c r="B3686" t="s">
        <v>1457</v>
      </c>
      <c r="C3686" t="s">
        <v>8255</v>
      </c>
      <c r="D3686">
        <v>2.76</v>
      </c>
      <c r="E3686" t="s">
        <v>32</v>
      </c>
      <c r="F3686" t="s">
        <v>87</v>
      </c>
      <c r="G3686">
        <v>4.82</v>
      </c>
      <c r="H3686">
        <v>0.7</v>
      </c>
      <c r="I3686">
        <v>2.06</v>
      </c>
      <c r="J3686">
        <v>4.2435999999999998</v>
      </c>
      <c r="K3686" t="str">
        <f>IFERROR(INDEX(Rosters!$C$2:$C$155,MATCH($B3686,Rosters!$B$2:$B$155,0)),"NA")</f>
        <v>NA</v>
      </c>
      <c r="L3686" t="str">
        <f t="shared" si="171"/>
        <v>NA9WR</v>
      </c>
      <c r="M3686">
        <f>COUNTIF(L$1:L3686,L3686)</f>
        <v>43</v>
      </c>
      <c r="N3686" t="str">
        <f t="shared" si="172"/>
        <v>NA9WR-43</v>
      </c>
      <c r="O3686">
        <f>COUNTIFS(F$1:F3686,F3686,A$1:A3686,A3686)</f>
        <v>86</v>
      </c>
      <c r="P3686" t="str">
        <f t="shared" si="173"/>
        <v>Trent Taylor9</v>
      </c>
    </row>
    <row r="3687" spans="1:16" x14ac:dyDescent="0.25">
      <c r="A3687">
        <v>13</v>
      </c>
      <c r="B3687" t="s">
        <v>109</v>
      </c>
      <c r="C3687" t="s">
        <v>8256</v>
      </c>
      <c r="D3687">
        <v>2.76</v>
      </c>
      <c r="E3687" t="s">
        <v>58</v>
      </c>
      <c r="F3687" t="s">
        <v>47</v>
      </c>
      <c r="G3687">
        <v>4.43</v>
      </c>
      <c r="H3687">
        <v>1.0900000000000001</v>
      </c>
      <c r="I3687">
        <v>1.67</v>
      </c>
      <c r="J3687">
        <v>2.7888999999999999</v>
      </c>
      <c r="K3687" t="str">
        <f>IFERROR(INDEX(Rosters!$C$2:$C$155,MATCH($B3687,Rosters!$B$2:$B$155,0)),"NA")</f>
        <v>seth</v>
      </c>
      <c r="L3687" t="str">
        <f t="shared" si="171"/>
        <v>seth13RB</v>
      </c>
      <c r="M3687">
        <f>COUNTIF(L$1:L3687,L3687)</f>
        <v>7</v>
      </c>
      <c r="N3687" t="str">
        <f t="shared" si="172"/>
        <v>seth13RB-7</v>
      </c>
      <c r="O3687">
        <f>COUNTIFS(F$1:F3687,F3687,A$1:A3687,A3687)</f>
        <v>70</v>
      </c>
      <c r="P3687" t="str">
        <f t="shared" si="173"/>
        <v>Ty Montgomery13</v>
      </c>
    </row>
    <row r="3688" spans="1:16" x14ac:dyDescent="0.25">
      <c r="A3688">
        <v>2</v>
      </c>
      <c r="B3688" t="s">
        <v>325</v>
      </c>
      <c r="C3688">
        <f>-0.01-5.53</f>
        <v>-5.54</v>
      </c>
      <c r="D3688">
        <v>2.76</v>
      </c>
      <c r="E3688" t="s">
        <v>77</v>
      </c>
      <c r="F3688" t="s">
        <v>114</v>
      </c>
      <c r="G3688">
        <v>5.53</v>
      </c>
      <c r="H3688">
        <v>-0.01</v>
      </c>
      <c r="I3688">
        <v>2.77</v>
      </c>
      <c r="J3688">
        <v>7.6729000000000003</v>
      </c>
      <c r="K3688" t="str">
        <f>IFERROR(INDEX(Rosters!$C$2:$C$155,MATCH($B3688,Rosters!$B$2:$B$155,0)),"NA")</f>
        <v>NA</v>
      </c>
      <c r="L3688" t="str">
        <f t="shared" si="171"/>
        <v>NA2TE</v>
      </c>
      <c r="M3688">
        <f>COUNTIF(L$1:L3688,L3688)</f>
        <v>16</v>
      </c>
      <c r="N3688" t="str">
        <f t="shared" si="172"/>
        <v>NA2TE-16</v>
      </c>
      <c r="O3688">
        <f>COUNTIFS(F$1:F3688,F3688,A$1:A3688,A3688)</f>
        <v>29</v>
      </c>
      <c r="P3688" t="str">
        <f t="shared" si="173"/>
        <v>Tyler Kroft2</v>
      </c>
    </row>
    <row r="3689" spans="1:16" x14ac:dyDescent="0.25">
      <c r="A3689">
        <v>11</v>
      </c>
      <c r="B3689" t="s">
        <v>2667</v>
      </c>
      <c r="C3689" t="s">
        <v>8257</v>
      </c>
      <c r="D3689">
        <v>2.75</v>
      </c>
      <c r="E3689" t="s">
        <v>42</v>
      </c>
      <c r="F3689" t="s">
        <v>114</v>
      </c>
      <c r="G3689">
        <v>5</v>
      </c>
      <c r="H3689">
        <v>0.5</v>
      </c>
      <c r="I3689">
        <v>2.25</v>
      </c>
      <c r="J3689">
        <v>5.0625</v>
      </c>
      <c r="K3689" t="str">
        <f>IFERROR(INDEX(Rosters!$C$2:$C$155,MATCH($B3689,Rosters!$B$2:$B$155,0)),"NA")</f>
        <v>NA</v>
      </c>
      <c r="L3689" t="str">
        <f t="shared" si="171"/>
        <v>NA11TE</v>
      </c>
      <c r="M3689">
        <f>COUNTIF(L$1:L3689,L3689)</f>
        <v>20</v>
      </c>
      <c r="N3689" t="str">
        <f t="shared" si="172"/>
        <v>NA11TE-20</v>
      </c>
      <c r="O3689">
        <f>COUNTIFS(F$1:F3689,F3689,A$1:A3689,A3689)</f>
        <v>32</v>
      </c>
      <c r="P3689" t="str">
        <f t="shared" si="173"/>
        <v>Antonio Gates11</v>
      </c>
    </row>
    <row r="3690" spans="1:16" x14ac:dyDescent="0.25">
      <c r="A3690">
        <v>4</v>
      </c>
      <c r="B3690" t="s">
        <v>1367</v>
      </c>
      <c r="C3690" t="s">
        <v>4615</v>
      </c>
      <c r="D3690">
        <v>2.75</v>
      </c>
      <c r="E3690" t="s">
        <v>54</v>
      </c>
      <c r="F3690" t="s">
        <v>87</v>
      </c>
      <c r="G3690">
        <v>5.36</v>
      </c>
      <c r="H3690">
        <v>0.14000000000000001</v>
      </c>
      <c r="I3690">
        <v>2.61</v>
      </c>
      <c r="J3690">
        <v>6.8121</v>
      </c>
      <c r="K3690" t="str">
        <f>IFERROR(INDEX(Rosters!$C$2:$C$155,MATCH($B3690,Rosters!$B$2:$B$155,0)),"NA")</f>
        <v>NA</v>
      </c>
      <c r="L3690" t="str">
        <f t="shared" si="171"/>
        <v>NA4WR</v>
      </c>
      <c r="M3690">
        <f>COUNTIF(L$1:L3690,L3690)</f>
        <v>40</v>
      </c>
      <c r="N3690" t="str">
        <f t="shared" si="172"/>
        <v>NA4WR-40</v>
      </c>
      <c r="O3690">
        <f>COUNTIFS(F$1:F3690,F3690,A$1:A3690,A3690)</f>
        <v>90</v>
      </c>
      <c r="P3690" t="str">
        <f t="shared" si="173"/>
        <v>Cameron Meredith4</v>
      </c>
    </row>
    <row r="3691" spans="1:16" x14ac:dyDescent="0.25">
      <c r="A3691">
        <v>8</v>
      </c>
      <c r="B3691" t="s">
        <v>1367</v>
      </c>
      <c r="C3691" t="s">
        <v>8258</v>
      </c>
      <c r="D3691">
        <v>2.75</v>
      </c>
      <c r="E3691" t="s">
        <v>25</v>
      </c>
      <c r="F3691" t="s">
        <v>87</v>
      </c>
      <c r="G3691">
        <v>4.8099999999999996</v>
      </c>
      <c r="H3691">
        <v>0.69</v>
      </c>
      <c r="I3691">
        <v>2.06</v>
      </c>
      <c r="J3691">
        <v>4.2435999999999998</v>
      </c>
      <c r="K3691" t="str">
        <f>IFERROR(INDEX(Rosters!$C$2:$C$155,MATCH($B3691,Rosters!$B$2:$B$155,0)),"NA")</f>
        <v>NA</v>
      </c>
      <c r="L3691" t="str">
        <f t="shared" si="171"/>
        <v>NA8WR</v>
      </c>
      <c r="M3691">
        <f>COUNTIF(L$1:L3691,L3691)</f>
        <v>41</v>
      </c>
      <c r="N3691" t="str">
        <f t="shared" si="172"/>
        <v>NA8WR-41</v>
      </c>
      <c r="O3691">
        <f>COUNTIFS(F$1:F3691,F3691,A$1:A3691,A3691)</f>
        <v>89</v>
      </c>
      <c r="P3691" t="str">
        <f t="shared" si="173"/>
        <v>Cameron Meredith8</v>
      </c>
    </row>
    <row r="3692" spans="1:16" x14ac:dyDescent="0.25">
      <c r="A3692">
        <v>17</v>
      </c>
      <c r="B3692" t="s">
        <v>358</v>
      </c>
      <c r="C3692" t="s">
        <v>8259</v>
      </c>
      <c r="D3692">
        <v>2.75</v>
      </c>
      <c r="E3692" t="s">
        <v>36</v>
      </c>
      <c r="F3692" t="s">
        <v>114</v>
      </c>
      <c r="G3692">
        <v>5.47</v>
      </c>
      <c r="H3692">
        <v>0.03</v>
      </c>
      <c r="I3692">
        <v>2.72</v>
      </c>
      <c r="J3692">
        <v>7.3983999999999996</v>
      </c>
      <c r="K3692" t="str">
        <f>IFERROR(INDEX(Rosters!$C$2:$C$155,MATCH($B3692,Rosters!$B$2:$B$155,0)),"NA")</f>
        <v>NA</v>
      </c>
      <c r="L3692" t="str">
        <f t="shared" si="171"/>
        <v>NA17TE</v>
      </c>
      <c r="M3692">
        <f>COUNTIF(L$1:L3692,L3692)</f>
        <v>17</v>
      </c>
      <c r="N3692" t="str">
        <f t="shared" si="172"/>
        <v>NA17TE-17</v>
      </c>
      <c r="O3692">
        <f>COUNTIFS(F$1:F3692,F3692,A$1:A3692,A3692)</f>
        <v>31</v>
      </c>
      <c r="P3692" t="str">
        <f t="shared" si="173"/>
        <v>James O'Shaughnessy17</v>
      </c>
    </row>
    <row r="3693" spans="1:16" x14ac:dyDescent="0.25">
      <c r="A3693">
        <v>4</v>
      </c>
      <c r="B3693" t="s">
        <v>292</v>
      </c>
      <c r="C3693">
        <f>-0.08-5.58</f>
        <v>-5.66</v>
      </c>
      <c r="D3693">
        <v>2.75</v>
      </c>
      <c r="E3693" t="s">
        <v>22</v>
      </c>
      <c r="F3693" t="s">
        <v>114</v>
      </c>
      <c r="G3693">
        <v>5.58</v>
      </c>
      <c r="H3693">
        <v>-0.08</v>
      </c>
      <c r="I3693">
        <v>2.83</v>
      </c>
      <c r="J3693">
        <v>8.0089000000000006</v>
      </c>
      <c r="K3693" t="str">
        <f>IFERROR(INDEX(Rosters!$C$2:$C$155,MATCH($B3693,Rosters!$B$2:$B$155,0)),"NA")</f>
        <v>NA</v>
      </c>
      <c r="L3693" t="str">
        <f t="shared" si="171"/>
        <v>NA4TE</v>
      </c>
      <c r="M3693">
        <f>COUNTIF(L$1:L3693,L3693)</f>
        <v>18</v>
      </c>
      <c r="N3693" t="str">
        <f t="shared" si="172"/>
        <v>NA4TE-18</v>
      </c>
      <c r="O3693">
        <f>COUNTIFS(F$1:F3693,F3693,A$1:A3693,A3693)</f>
        <v>29</v>
      </c>
      <c r="P3693" t="str">
        <f t="shared" si="173"/>
        <v>Luke Willson4</v>
      </c>
    </row>
    <row r="3694" spans="1:16" x14ac:dyDescent="0.25">
      <c r="A3694">
        <v>17</v>
      </c>
      <c r="B3694" t="s">
        <v>1381</v>
      </c>
      <c r="C3694" t="s">
        <v>8260</v>
      </c>
      <c r="D3694">
        <v>2.75</v>
      </c>
      <c r="E3694" t="s">
        <v>28</v>
      </c>
      <c r="F3694" t="s">
        <v>114</v>
      </c>
      <c r="G3694">
        <v>5.39</v>
      </c>
      <c r="H3694">
        <v>0.11</v>
      </c>
      <c r="I3694">
        <v>2.64</v>
      </c>
      <c r="J3694">
        <v>6.9695999999999998</v>
      </c>
      <c r="K3694" t="str">
        <f>IFERROR(INDEX(Rosters!$C$2:$C$155,MATCH($B3694,Rosters!$B$2:$B$155,0)),"NA")</f>
        <v>NA</v>
      </c>
      <c r="L3694" t="str">
        <f t="shared" si="171"/>
        <v>NA17TE</v>
      </c>
      <c r="M3694">
        <f>COUNTIF(L$1:L3694,L3694)</f>
        <v>18</v>
      </c>
      <c r="N3694" t="str">
        <f t="shared" si="172"/>
        <v>NA17TE-18</v>
      </c>
      <c r="O3694">
        <f>COUNTIFS(F$1:F3694,F3694,A$1:A3694,A3694)</f>
        <v>32</v>
      </c>
      <c r="P3694" t="str">
        <f t="shared" si="173"/>
        <v>Ricky Seals-Jones17</v>
      </c>
    </row>
    <row r="3695" spans="1:16" x14ac:dyDescent="0.25">
      <c r="A3695">
        <v>1</v>
      </c>
      <c r="B3695" t="s">
        <v>238</v>
      </c>
      <c r="C3695" t="s">
        <v>1776</v>
      </c>
      <c r="D3695">
        <v>2.75</v>
      </c>
      <c r="E3695" t="s">
        <v>56</v>
      </c>
      <c r="F3695" t="s">
        <v>87</v>
      </c>
      <c r="G3695">
        <v>4.74</v>
      </c>
      <c r="H3695">
        <v>0.76</v>
      </c>
      <c r="I3695">
        <v>1.99</v>
      </c>
      <c r="J3695">
        <v>3.9601000000000002</v>
      </c>
      <c r="K3695" t="str">
        <f>IFERROR(INDEX(Rosters!$C$2:$C$155,MATCH($B3695,Rosters!$B$2:$B$155,0)),"NA")</f>
        <v>NA</v>
      </c>
      <c r="L3695" t="str">
        <f t="shared" si="171"/>
        <v>NA1WR</v>
      </c>
      <c r="M3695">
        <f>COUNTIF(L$1:L3695,L3695)</f>
        <v>37</v>
      </c>
      <c r="N3695" t="str">
        <f t="shared" si="172"/>
        <v>NA1WR-37</v>
      </c>
      <c r="O3695">
        <f>COUNTIFS(F$1:F3695,F3695,A$1:A3695,A3695)</f>
        <v>86</v>
      </c>
      <c r="P3695" t="str">
        <f t="shared" si="173"/>
        <v>Seth Roberts1</v>
      </c>
    </row>
    <row r="3696" spans="1:16" x14ac:dyDescent="0.25">
      <c r="A3696">
        <v>14</v>
      </c>
      <c r="B3696" t="s">
        <v>1124</v>
      </c>
      <c r="C3696" t="s">
        <v>8261</v>
      </c>
      <c r="D3696">
        <v>2.74</v>
      </c>
      <c r="E3696" t="s">
        <v>77</v>
      </c>
      <c r="F3696" t="s">
        <v>87</v>
      </c>
      <c r="G3696">
        <v>4.93</v>
      </c>
      <c r="H3696">
        <v>0.55000000000000004</v>
      </c>
      <c r="I3696">
        <v>2.19</v>
      </c>
      <c r="J3696">
        <v>4.7961</v>
      </c>
      <c r="K3696" t="str">
        <f>IFERROR(INDEX(Rosters!$C$2:$C$155,MATCH($B3696,Rosters!$B$2:$B$155,0)),"NA")</f>
        <v>NA</v>
      </c>
      <c r="L3696" t="str">
        <f t="shared" si="171"/>
        <v>NA14WR</v>
      </c>
      <c r="M3696">
        <f>COUNTIF(L$1:L3696,L3696)</f>
        <v>49</v>
      </c>
      <c r="N3696" t="str">
        <f t="shared" si="172"/>
        <v>NA14WR-49</v>
      </c>
      <c r="O3696">
        <f>COUNTIFS(F$1:F3696,F3696,A$1:A3696,A3696)</f>
        <v>103</v>
      </c>
      <c r="P3696" t="str">
        <f t="shared" si="173"/>
        <v>Chris Conley14</v>
      </c>
    </row>
    <row r="3697" spans="1:16" x14ac:dyDescent="0.25">
      <c r="A3697">
        <v>13</v>
      </c>
      <c r="B3697" t="s">
        <v>315</v>
      </c>
      <c r="C3697" t="s">
        <v>8262</v>
      </c>
      <c r="D3697">
        <v>2.74</v>
      </c>
      <c r="E3697" t="s">
        <v>73</v>
      </c>
      <c r="F3697" t="s">
        <v>114</v>
      </c>
      <c r="G3697">
        <v>5.38</v>
      </c>
      <c r="H3697">
        <v>0.1</v>
      </c>
      <c r="I3697">
        <v>2.64</v>
      </c>
      <c r="J3697">
        <v>6.9695999999999998</v>
      </c>
      <c r="K3697" t="str">
        <f>IFERROR(INDEX(Rosters!$C$2:$C$155,MATCH($B3697,Rosters!$B$2:$B$155,0)),"NA")</f>
        <v>NA</v>
      </c>
      <c r="L3697" t="str">
        <f t="shared" si="171"/>
        <v>NA13TE</v>
      </c>
      <c r="M3697">
        <f>COUNTIF(L$1:L3697,L3697)</f>
        <v>22</v>
      </c>
      <c r="N3697" t="str">
        <f t="shared" si="172"/>
        <v>NA13TE-22</v>
      </c>
      <c r="O3697">
        <f>COUNTIFS(F$1:F3697,F3697,A$1:A3697,A3697)</f>
        <v>36</v>
      </c>
      <c r="P3697" t="str">
        <f t="shared" si="173"/>
        <v>Luke Stocker13</v>
      </c>
    </row>
    <row r="3698" spans="1:16" x14ac:dyDescent="0.25">
      <c r="A3698">
        <v>7</v>
      </c>
      <c r="B3698" t="s">
        <v>292</v>
      </c>
      <c r="C3698" t="s">
        <v>8263</v>
      </c>
      <c r="D3698">
        <v>2.74</v>
      </c>
      <c r="E3698" t="s">
        <v>19</v>
      </c>
      <c r="F3698" t="s">
        <v>114</v>
      </c>
      <c r="G3698">
        <v>5.37</v>
      </c>
      <c r="H3698">
        <v>0.11</v>
      </c>
      <c r="I3698">
        <v>2.63</v>
      </c>
      <c r="J3698">
        <v>6.9169</v>
      </c>
      <c r="K3698" t="str">
        <f>IFERROR(INDEX(Rosters!$C$2:$C$155,MATCH($B3698,Rosters!$B$2:$B$155,0)),"NA")</f>
        <v>NA</v>
      </c>
      <c r="L3698" t="str">
        <f t="shared" si="171"/>
        <v>NA7TE</v>
      </c>
      <c r="M3698">
        <f>COUNTIF(L$1:L3698,L3698)</f>
        <v>19</v>
      </c>
      <c r="N3698" t="str">
        <f t="shared" si="172"/>
        <v>NA7TE-19</v>
      </c>
      <c r="O3698">
        <f>COUNTIFS(F$1:F3698,F3698,A$1:A3698,A3698)</f>
        <v>29</v>
      </c>
      <c r="P3698" t="str">
        <f t="shared" si="173"/>
        <v>Luke Willson7</v>
      </c>
    </row>
    <row r="3699" spans="1:16" x14ac:dyDescent="0.25">
      <c r="A3699">
        <v>4</v>
      </c>
      <c r="B3699" t="s">
        <v>325</v>
      </c>
      <c r="C3699" t="s">
        <v>4616</v>
      </c>
      <c r="D3699">
        <v>2.74</v>
      </c>
      <c r="E3699" t="s">
        <v>46</v>
      </c>
      <c r="F3699" t="s">
        <v>114</v>
      </c>
      <c r="G3699">
        <v>5.28</v>
      </c>
      <c r="H3699">
        <v>0.2</v>
      </c>
      <c r="I3699">
        <v>2.54</v>
      </c>
      <c r="J3699">
        <v>6.4516</v>
      </c>
      <c r="K3699" t="str">
        <f>IFERROR(INDEX(Rosters!$C$2:$C$155,MATCH($B3699,Rosters!$B$2:$B$155,0)),"NA")</f>
        <v>NA</v>
      </c>
      <c r="L3699" t="str">
        <f t="shared" si="171"/>
        <v>NA4TE</v>
      </c>
      <c r="M3699">
        <f>COUNTIF(L$1:L3699,L3699)</f>
        <v>19</v>
      </c>
      <c r="N3699" t="str">
        <f t="shared" si="172"/>
        <v>NA4TE-19</v>
      </c>
      <c r="O3699">
        <f>COUNTIFS(F$1:F3699,F3699,A$1:A3699,A3699)</f>
        <v>30</v>
      </c>
      <c r="P3699" t="str">
        <f t="shared" si="173"/>
        <v>Tyler Kroft4</v>
      </c>
    </row>
    <row r="3700" spans="1:16" x14ac:dyDescent="0.25">
      <c r="A3700">
        <v>12</v>
      </c>
      <c r="B3700" t="s">
        <v>267</v>
      </c>
      <c r="C3700" t="s">
        <v>8264</v>
      </c>
      <c r="D3700">
        <v>2.74</v>
      </c>
      <c r="E3700" t="s">
        <v>58</v>
      </c>
      <c r="F3700" t="s">
        <v>114</v>
      </c>
      <c r="G3700">
        <v>5.17</v>
      </c>
      <c r="H3700">
        <v>0.31</v>
      </c>
      <c r="I3700">
        <v>2.4300000000000002</v>
      </c>
      <c r="J3700">
        <v>5.9048999999999996</v>
      </c>
      <c r="K3700" t="str">
        <f>IFERROR(INDEX(Rosters!$C$2:$C$155,MATCH($B3700,Rosters!$B$2:$B$155,0)),"NA")</f>
        <v>NA</v>
      </c>
      <c r="L3700" t="str">
        <f t="shared" si="171"/>
        <v>NA12TE</v>
      </c>
      <c r="M3700">
        <f>COUNTIF(L$1:L3700,L3700)</f>
        <v>19</v>
      </c>
      <c r="N3700" t="str">
        <f t="shared" si="172"/>
        <v>NA12TE-19</v>
      </c>
      <c r="O3700">
        <f>COUNTIFS(F$1:F3700,F3700,A$1:A3700,A3700)</f>
        <v>32</v>
      </c>
      <c r="P3700" t="str">
        <f t="shared" si="173"/>
        <v>Virgil Green12</v>
      </c>
    </row>
    <row r="3701" spans="1:16" x14ac:dyDescent="0.25">
      <c r="A3701">
        <v>16</v>
      </c>
      <c r="B3701" t="s">
        <v>875</v>
      </c>
      <c r="C3701">
        <f>-0.29-5.75</f>
        <v>-6.04</v>
      </c>
      <c r="D3701">
        <v>2.73</v>
      </c>
      <c r="E3701" t="s">
        <v>50</v>
      </c>
      <c r="F3701" t="s">
        <v>87</v>
      </c>
      <c r="G3701">
        <v>5.75</v>
      </c>
      <c r="H3701">
        <v>-0.28999999999999998</v>
      </c>
      <c r="I3701">
        <v>3.02</v>
      </c>
      <c r="J3701">
        <v>9.1204000000000001</v>
      </c>
      <c r="K3701" t="str">
        <f>IFERROR(INDEX(Rosters!$C$2:$C$155,MATCH($B3701,Rosters!$B$2:$B$155,0)),"NA")</f>
        <v>NA</v>
      </c>
      <c r="L3701" t="str">
        <f t="shared" si="171"/>
        <v>NA16WR</v>
      </c>
      <c r="M3701">
        <f>COUNTIF(L$1:L3701,L3701)</f>
        <v>49</v>
      </c>
      <c r="N3701" t="str">
        <f t="shared" si="172"/>
        <v>NA16WR-49</v>
      </c>
      <c r="O3701">
        <f>COUNTIFS(F$1:F3701,F3701,A$1:A3701,A3701)</f>
        <v>102</v>
      </c>
      <c r="P3701" t="str">
        <f t="shared" si="173"/>
        <v>Bruce Ellington16</v>
      </c>
    </row>
    <row r="3702" spans="1:16" x14ac:dyDescent="0.25">
      <c r="A3702">
        <v>7</v>
      </c>
      <c r="B3702" t="s">
        <v>1124</v>
      </c>
      <c r="C3702" t="s">
        <v>8265</v>
      </c>
      <c r="D3702">
        <v>2.73</v>
      </c>
      <c r="E3702" t="s">
        <v>31</v>
      </c>
      <c r="F3702" t="s">
        <v>87</v>
      </c>
      <c r="G3702">
        <v>4.9000000000000004</v>
      </c>
      <c r="H3702">
        <v>0.56000000000000005</v>
      </c>
      <c r="I3702">
        <v>2.17</v>
      </c>
      <c r="J3702">
        <v>4.7088999999999999</v>
      </c>
      <c r="K3702" t="str">
        <f>IFERROR(INDEX(Rosters!$C$2:$C$155,MATCH($B3702,Rosters!$B$2:$B$155,0)),"NA")</f>
        <v>NA</v>
      </c>
      <c r="L3702" t="str">
        <f t="shared" si="171"/>
        <v>NA7WR</v>
      </c>
      <c r="M3702">
        <f>COUNTIF(L$1:L3702,L3702)</f>
        <v>40</v>
      </c>
      <c r="N3702" t="str">
        <f t="shared" si="172"/>
        <v>NA7WR-40</v>
      </c>
      <c r="O3702">
        <f>COUNTIFS(F$1:F3702,F3702,A$1:A3702,A3702)</f>
        <v>84</v>
      </c>
      <c r="P3702" t="str">
        <f t="shared" si="173"/>
        <v>Chris Conley7</v>
      </c>
    </row>
    <row r="3703" spans="1:16" x14ac:dyDescent="0.25">
      <c r="A3703">
        <v>9</v>
      </c>
      <c r="B3703" t="s">
        <v>233</v>
      </c>
      <c r="C3703" t="s">
        <v>8266</v>
      </c>
      <c r="D3703">
        <v>2.73</v>
      </c>
      <c r="E3703" t="s">
        <v>17</v>
      </c>
      <c r="F3703" t="s">
        <v>87</v>
      </c>
      <c r="G3703">
        <v>5.3</v>
      </c>
      <c r="H3703">
        <v>0.16</v>
      </c>
      <c r="I3703">
        <v>2.57</v>
      </c>
      <c r="J3703">
        <v>6.6048999999999998</v>
      </c>
      <c r="K3703" t="str">
        <f>IFERROR(INDEX(Rosters!$C$2:$C$155,MATCH($B3703,Rosters!$B$2:$B$155,0)),"NA")</f>
        <v>NA</v>
      </c>
      <c r="L3703" t="str">
        <f t="shared" si="171"/>
        <v>NA9WR</v>
      </c>
      <c r="M3703">
        <f>COUNTIF(L$1:L3703,L3703)</f>
        <v>44</v>
      </c>
      <c r="N3703" t="str">
        <f t="shared" si="172"/>
        <v>NA9WR-44</v>
      </c>
      <c r="O3703">
        <f>COUNTIFS(F$1:F3703,F3703,A$1:A3703,A3703)</f>
        <v>87</v>
      </c>
      <c r="P3703" t="str">
        <f t="shared" si="173"/>
        <v>Curtis Samuel9</v>
      </c>
    </row>
    <row r="3704" spans="1:16" x14ac:dyDescent="0.25">
      <c r="A3704">
        <v>13</v>
      </c>
      <c r="B3704" t="s">
        <v>142</v>
      </c>
      <c r="C3704" t="s">
        <v>8267</v>
      </c>
      <c r="D3704">
        <v>2.73</v>
      </c>
      <c r="E3704" t="s">
        <v>74</v>
      </c>
      <c r="F3704" t="s">
        <v>47</v>
      </c>
      <c r="G3704">
        <v>5.41</v>
      </c>
      <c r="H3704">
        <v>0.05</v>
      </c>
      <c r="I3704">
        <v>2.68</v>
      </c>
      <c r="J3704">
        <v>7.1824000000000003</v>
      </c>
      <c r="K3704" t="str">
        <f>IFERROR(INDEX(Rosters!$C$2:$C$155,MATCH($B3704,Rosters!$B$2:$B$155,0)),"NA")</f>
        <v>NA</v>
      </c>
      <c r="L3704" t="str">
        <f t="shared" si="171"/>
        <v>NA13RB</v>
      </c>
      <c r="M3704">
        <f>COUNTIF(L$1:L3704,L3704)</f>
        <v>24</v>
      </c>
      <c r="N3704" t="str">
        <f t="shared" si="172"/>
        <v>NA13RB-24</v>
      </c>
      <c r="O3704">
        <f>COUNTIFS(F$1:F3704,F3704,A$1:A3704,A3704)</f>
        <v>71</v>
      </c>
      <c r="P3704" t="str">
        <f t="shared" si="173"/>
        <v>Jacquizz Rodgers13</v>
      </c>
    </row>
    <row r="3705" spans="1:16" x14ac:dyDescent="0.25">
      <c r="A3705">
        <v>7</v>
      </c>
      <c r="B3705" t="s">
        <v>1423</v>
      </c>
      <c r="C3705">
        <f>-0.25-5.71</f>
        <v>-5.96</v>
      </c>
      <c r="D3705">
        <v>2.73</v>
      </c>
      <c r="E3705" t="s">
        <v>34</v>
      </c>
      <c r="F3705" t="s">
        <v>114</v>
      </c>
      <c r="G3705">
        <v>5.71</v>
      </c>
      <c r="H3705">
        <v>-0.25</v>
      </c>
      <c r="I3705">
        <v>2.98</v>
      </c>
      <c r="J3705">
        <v>8.8803999999999998</v>
      </c>
      <c r="K3705" t="str">
        <f>IFERROR(INDEX(Rosters!$C$2:$C$155,MATCH($B3705,Rosters!$B$2:$B$155,0)),"NA")</f>
        <v>NA</v>
      </c>
      <c r="L3705" t="str">
        <f t="shared" si="171"/>
        <v>NA7TE</v>
      </c>
      <c r="M3705">
        <f>COUNTIF(L$1:L3705,L3705)</f>
        <v>20</v>
      </c>
      <c r="N3705" t="str">
        <f t="shared" si="172"/>
        <v>NA7TE-20</v>
      </c>
      <c r="O3705">
        <f>COUNTIFS(F$1:F3705,F3705,A$1:A3705,A3705)</f>
        <v>30</v>
      </c>
      <c r="P3705" t="str">
        <f t="shared" si="173"/>
        <v>Michael Gesicki7</v>
      </c>
    </row>
    <row r="3706" spans="1:16" x14ac:dyDescent="0.25">
      <c r="A3706">
        <v>7</v>
      </c>
      <c r="B3706" t="s">
        <v>1381</v>
      </c>
      <c r="C3706" t="s">
        <v>8268</v>
      </c>
      <c r="D3706">
        <v>2.73</v>
      </c>
      <c r="E3706" t="s">
        <v>42</v>
      </c>
      <c r="F3706" t="s">
        <v>114</v>
      </c>
      <c r="G3706">
        <v>5.29</v>
      </c>
      <c r="H3706">
        <v>0.17</v>
      </c>
      <c r="I3706">
        <v>2.56</v>
      </c>
      <c r="J3706">
        <v>6.5536000000000003</v>
      </c>
      <c r="K3706" t="str">
        <f>IFERROR(INDEX(Rosters!$C$2:$C$155,MATCH($B3706,Rosters!$B$2:$B$155,0)),"NA")</f>
        <v>NA</v>
      </c>
      <c r="L3706" t="str">
        <f t="shared" si="171"/>
        <v>NA7TE</v>
      </c>
      <c r="M3706">
        <f>COUNTIF(L$1:L3706,L3706)</f>
        <v>21</v>
      </c>
      <c r="N3706" t="str">
        <f t="shared" si="172"/>
        <v>NA7TE-21</v>
      </c>
      <c r="O3706">
        <f>COUNTIFS(F$1:F3706,F3706,A$1:A3706,A3706)</f>
        <v>31</v>
      </c>
      <c r="P3706" t="str">
        <f t="shared" si="173"/>
        <v>Ricky Seals-Jones7</v>
      </c>
    </row>
    <row r="3707" spans="1:16" x14ac:dyDescent="0.25">
      <c r="A3707">
        <v>15</v>
      </c>
      <c r="B3707" t="s">
        <v>267</v>
      </c>
      <c r="C3707" t="s">
        <v>8269</v>
      </c>
      <c r="D3707">
        <v>2.73</v>
      </c>
      <c r="E3707" t="s">
        <v>24</v>
      </c>
      <c r="F3707" t="s">
        <v>114</v>
      </c>
      <c r="G3707">
        <v>5</v>
      </c>
      <c r="H3707">
        <v>0.46</v>
      </c>
      <c r="I3707">
        <v>2.27</v>
      </c>
      <c r="J3707">
        <v>5.1528999999999998</v>
      </c>
      <c r="K3707" t="str">
        <f>IFERROR(INDEX(Rosters!$C$2:$C$155,MATCH($B3707,Rosters!$B$2:$B$155,0)),"NA")</f>
        <v>NA</v>
      </c>
      <c r="L3707" t="str">
        <f t="shared" si="171"/>
        <v>NA15TE</v>
      </c>
      <c r="M3707">
        <f>COUNTIF(L$1:L3707,L3707)</f>
        <v>20</v>
      </c>
      <c r="N3707" t="str">
        <f t="shared" si="172"/>
        <v>NA15TE-20</v>
      </c>
      <c r="O3707">
        <f>COUNTIFS(F$1:F3707,F3707,A$1:A3707,A3707)</f>
        <v>34</v>
      </c>
      <c r="P3707" t="str">
        <f t="shared" si="173"/>
        <v>Virgil Green15</v>
      </c>
    </row>
    <row r="3708" spans="1:16" x14ac:dyDescent="0.25">
      <c r="A3708">
        <v>12</v>
      </c>
      <c r="B3708" t="s">
        <v>1489</v>
      </c>
      <c r="C3708">
        <f>-1.72-7.16</f>
        <v>-8.8800000000000008</v>
      </c>
      <c r="D3708">
        <v>2.72</v>
      </c>
      <c r="E3708" t="s">
        <v>37</v>
      </c>
      <c r="F3708" t="s">
        <v>87</v>
      </c>
      <c r="G3708">
        <v>7.16</v>
      </c>
      <c r="H3708">
        <v>-1.72</v>
      </c>
      <c r="I3708">
        <v>4.4400000000000004</v>
      </c>
      <c r="J3708">
        <v>19.7136</v>
      </c>
      <c r="K3708" t="str">
        <f>IFERROR(INDEX(Rosters!$C$2:$C$155,MATCH($B3708,Rosters!$B$2:$B$155,0)),"NA")</f>
        <v>NA</v>
      </c>
      <c r="L3708" t="str">
        <f t="shared" si="171"/>
        <v>NA12WR</v>
      </c>
      <c r="M3708">
        <f>COUNTIF(L$1:L3708,L3708)</f>
        <v>48</v>
      </c>
      <c r="N3708" t="str">
        <f t="shared" si="172"/>
        <v>NA12WR-48</v>
      </c>
      <c r="O3708">
        <f>COUNTIFS(F$1:F3708,F3708,A$1:A3708,A3708)</f>
        <v>97</v>
      </c>
      <c r="P3708" t="str">
        <f t="shared" si="173"/>
        <v>Chad Williams12</v>
      </c>
    </row>
    <row r="3709" spans="1:16" x14ac:dyDescent="0.25">
      <c r="A3709">
        <v>10</v>
      </c>
      <c r="B3709" t="s">
        <v>233</v>
      </c>
      <c r="C3709" t="s">
        <v>8270</v>
      </c>
      <c r="D3709">
        <v>2.72</v>
      </c>
      <c r="E3709" t="s">
        <v>51</v>
      </c>
      <c r="F3709" t="s">
        <v>87</v>
      </c>
      <c r="G3709">
        <v>5.35</v>
      </c>
      <c r="H3709">
        <v>0.09</v>
      </c>
      <c r="I3709">
        <v>2.63</v>
      </c>
      <c r="J3709">
        <v>6.9169</v>
      </c>
      <c r="K3709" t="str">
        <f>IFERROR(INDEX(Rosters!$C$2:$C$155,MATCH($B3709,Rosters!$B$2:$B$155,0)),"NA")</f>
        <v>NA</v>
      </c>
      <c r="L3709" t="str">
        <f t="shared" si="171"/>
        <v>NA10WR</v>
      </c>
      <c r="M3709">
        <f>COUNTIF(L$1:L3709,L3709)</f>
        <v>49</v>
      </c>
      <c r="N3709" t="str">
        <f t="shared" si="172"/>
        <v>NA10WR-49</v>
      </c>
      <c r="O3709">
        <f>COUNTIFS(F$1:F3709,F3709,A$1:A3709,A3709)</f>
        <v>93</v>
      </c>
      <c r="P3709" t="str">
        <f t="shared" si="173"/>
        <v>Curtis Samuel10</v>
      </c>
    </row>
    <row r="3710" spans="1:16" x14ac:dyDescent="0.25">
      <c r="A3710">
        <v>11</v>
      </c>
      <c r="B3710" t="s">
        <v>239</v>
      </c>
      <c r="C3710">
        <f>-0.83-6.27</f>
        <v>-7.1</v>
      </c>
      <c r="D3710">
        <v>2.72</v>
      </c>
      <c r="E3710" t="s">
        <v>77</v>
      </c>
      <c r="F3710" t="s">
        <v>87</v>
      </c>
      <c r="G3710">
        <v>6.27</v>
      </c>
      <c r="H3710">
        <v>-0.83</v>
      </c>
      <c r="I3710">
        <v>3.55</v>
      </c>
      <c r="J3710">
        <v>12.602499999999999</v>
      </c>
      <c r="K3710" t="str">
        <f>IFERROR(INDEX(Rosters!$C$2:$C$155,MATCH($B3710,Rosters!$B$2:$B$155,0)),"NA")</f>
        <v>NA</v>
      </c>
      <c r="L3710" t="str">
        <f t="shared" si="171"/>
        <v>NA11WR</v>
      </c>
      <c r="M3710">
        <f>COUNTIF(L$1:L3710,L3710)</f>
        <v>36</v>
      </c>
      <c r="N3710" t="str">
        <f t="shared" si="172"/>
        <v>NA11WR-36</v>
      </c>
      <c r="O3710">
        <f>COUNTIFS(F$1:F3710,F3710,A$1:A3710,A3710)</f>
        <v>82</v>
      </c>
      <c r="P3710" t="str">
        <f t="shared" si="173"/>
        <v>John Ross11</v>
      </c>
    </row>
    <row r="3711" spans="1:16" x14ac:dyDescent="0.25">
      <c r="A3711">
        <v>2</v>
      </c>
      <c r="B3711" t="s">
        <v>1483</v>
      </c>
      <c r="C3711" t="s">
        <v>3370</v>
      </c>
      <c r="D3711">
        <v>2.72</v>
      </c>
      <c r="E3711" t="s">
        <v>31</v>
      </c>
      <c r="F3711" t="s">
        <v>15</v>
      </c>
      <c r="G3711">
        <v>3.9</v>
      </c>
      <c r="H3711">
        <v>1.54</v>
      </c>
      <c r="I3711">
        <v>1.18</v>
      </c>
      <c r="J3711">
        <v>1.3924000000000001</v>
      </c>
      <c r="K3711" t="str">
        <f>IFERROR(INDEX(Rosters!$C$2:$C$155,MATCH($B3711,Rosters!$B$2:$B$155,0)),"NA")</f>
        <v>NA</v>
      </c>
      <c r="L3711" t="str">
        <f t="shared" si="171"/>
        <v>NA2QB</v>
      </c>
      <c r="M3711">
        <f>COUNTIF(L$1:L3711,L3711)</f>
        <v>17</v>
      </c>
      <c r="N3711" t="str">
        <f t="shared" si="172"/>
        <v>NA2QB-17</v>
      </c>
      <c r="O3711">
        <f>COUNTIFS(F$1:F3711,F3711,A$1:A3711,A3711)</f>
        <v>32</v>
      </c>
      <c r="P3711" t="str">
        <f t="shared" si="173"/>
        <v>Lamar Jackson2</v>
      </c>
    </row>
    <row r="3712" spans="1:16" x14ac:dyDescent="0.25">
      <c r="A3712">
        <v>12</v>
      </c>
      <c r="B3712" t="s">
        <v>4224</v>
      </c>
      <c r="C3712" t="s">
        <v>8271</v>
      </c>
      <c r="D3712">
        <v>2.72</v>
      </c>
      <c r="E3712" t="s">
        <v>32</v>
      </c>
      <c r="F3712" t="s">
        <v>114</v>
      </c>
      <c r="G3712">
        <v>4.87</v>
      </c>
      <c r="H3712">
        <v>0.56999999999999995</v>
      </c>
      <c r="I3712">
        <v>2.15</v>
      </c>
      <c r="J3712">
        <v>4.6224999999999996</v>
      </c>
      <c r="K3712" t="str">
        <f>IFERROR(INDEX(Rosters!$C$2:$C$155,MATCH($B3712,Rosters!$B$2:$B$155,0)),"NA")</f>
        <v>NA</v>
      </c>
      <c r="L3712" t="str">
        <f t="shared" si="171"/>
        <v>NA12TE</v>
      </c>
      <c r="M3712">
        <f>COUNTIF(L$1:L3712,L3712)</f>
        <v>20</v>
      </c>
      <c r="N3712" t="str">
        <f t="shared" si="172"/>
        <v>NA12TE-20</v>
      </c>
      <c r="O3712">
        <f>COUNTIFS(F$1:F3712,F3712,A$1:A3712,A3712)</f>
        <v>33</v>
      </c>
      <c r="P3712" t="str">
        <f t="shared" si="173"/>
        <v>Mark Andrews12</v>
      </c>
    </row>
    <row r="3713" spans="1:16" x14ac:dyDescent="0.25">
      <c r="A3713">
        <v>10</v>
      </c>
      <c r="B3713" t="s">
        <v>362</v>
      </c>
      <c r="C3713">
        <f>-0.32-5.76</f>
        <v>-6.08</v>
      </c>
      <c r="D3713">
        <v>2.72</v>
      </c>
      <c r="E3713" t="s">
        <v>56</v>
      </c>
      <c r="F3713" t="s">
        <v>114</v>
      </c>
      <c r="G3713">
        <v>5.76</v>
      </c>
      <c r="H3713">
        <v>-0.32</v>
      </c>
      <c r="I3713">
        <v>3.04</v>
      </c>
      <c r="J3713">
        <v>9.2416</v>
      </c>
      <c r="K3713" t="str">
        <f>IFERROR(INDEX(Rosters!$C$2:$C$155,MATCH($B3713,Rosters!$B$2:$B$155,0)),"NA")</f>
        <v>NA</v>
      </c>
      <c r="L3713" t="str">
        <f t="shared" si="171"/>
        <v>NA10TE</v>
      </c>
      <c r="M3713">
        <f>COUNTIF(L$1:L3713,L3713)</f>
        <v>19</v>
      </c>
      <c r="N3713" t="str">
        <f t="shared" si="172"/>
        <v>NA10TE-19</v>
      </c>
      <c r="O3713">
        <f>COUNTIFS(F$1:F3713,F3713,A$1:A3713,A3713)</f>
        <v>32</v>
      </c>
      <c r="P3713" t="str">
        <f t="shared" si="173"/>
        <v>Nick Vannett10</v>
      </c>
    </row>
    <row r="3714" spans="1:16" x14ac:dyDescent="0.25">
      <c r="A3714">
        <v>11</v>
      </c>
      <c r="B3714" t="s">
        <v>387</v>
      </c>
      <c r="C3714" t="s">
        <v>8272</v>
      </c>
      <c r="D3714">
        <v>2.72</v>
      </c>
      <c r="E3714" t="s">
        <v>17</v>
      </c>
      <c r="F3714" t="s">
        <v>114</v>
      </c>
      <c r="G3714">
        <v>5.38</v>
      </c>
      <c r="H3714">
        <v>0.06</v>
      </c>
      <c r="I3714">
        <v>2.66</v>
      </c>
      <c r="J3714">
        <v>7.0755999999999997</v>
      </c>
      <c r="K3714" t="str">
        <f>IFERROR(INDEX(Rosters!$C$2:$C$155,MATCH($B3714,Rosters!$B$2:$B$155,0)),"NA")</f>
        <v>NA</v>
      </c>
      <c r="L3714" t="str">
        <f t="shared" si="171"/>
        <v>NA11TE</v>
      </c>
      <c r="M3714">
        <f>COUNTIF(L$1:L3714,L3714)</f>
        <v>21</v>
      </c>
      <c r="N3714" t="str">
        <f t="shared" si="172"/>
        <v>NA11TE-21</v>
      </c>
      <c r="O3714">
        <f>COUNTIFS(F$1:F3714,F3714,A$1:A3714,A3714)</f>
        <v>33</v>
      </c>
      <c r="P3714" t="str">
        <f t="shared" si="173"/>
        <v>Rhett Ellison11</v>
      </c>
    </row>
    <row r="3715" spans="1:16" x14ac:dyDescent="0.25">
      <c r="A3715">
        <v>3</v>
      </c>
      <c r="B3715" t="s">
        <v>4223</v>
      </c>
      <c r="C3715" t="s">
        <v>3779</v>
      </c>
      <c r="D3715">
        <v>2.72</v>
      </c>
      <c r="E3715" t="s">
        <v>52</v>
      </c>
      <c r="F3715" t="s">
        <v>47</v>
      </c>
      <c r="G3715">
        <v>5.34</v>
      </c>
      <c r="H3715">
        <v>0.1</v>
      </c>
      <c r="I3715">
        <v>2.62</v>
      </c>
      <c r="J3715">
        <v>6.8643999999999998</v>
      </c>
      <c r="K3715" t="str">
        <f>IFERROR(INDEX(Rosters!$C$2:$C$155,MATCH($B3715,Rosters!$B$2:$B$155,0)),"NA")</f>
        <v>NA</v>
      </c>
      <c r="L3715" t="str">
        <f t="shared" ref="L3715:L3778" si="174">K3715&amp;A3715&amp;F3715</f>
        <v>NA3RB</v>
      </c>
      <c r="M3715">
        <f>COUNTIF(L$1:L3715,L3715)</f>
        <v>24</v>
      </c>
      <c r="N3715" t="str">
        <f t="shared" ref="N3715:N3778" si="175">L3715&amp;"-"&amp;M3715</f>
        <v>NA3RB-24</v>
      </c>
      <c r="O3715">
        <f>COUNTIFS(F$1:F3715,F3715,A$1:A3715,A3715)</f>
        <v>63</v>
      </c>
      <c r="P3715" t="str">
        <f t="shared" ref="P3715:P3778" si="176">B3715&amp;A3715</f>
        <v>Trenton Cannon3</v>
      </c>
    </row>
    <row r="3716" spans="1:16" x14ac:dyDescent="0.25">
      <c r="A3716">
        <v>16</v>
      </c>
      <c r="B3716" t="s">
        <v>267</v>
      </c>
      <c r="C3716" t="s">
        <v>8273</v>
      </c>
      <c r="D3716">
        <v>2.72</v>
      </c>
      <c r="E3716" t="s">
        <v>77</v>
      </c>
      <c r="F3716" t="s">
        <v>114</v>
      </c>
      <c r="G3716">
        <v>5.21</v>
      </c>
      <c r="H3716">
        <v>0.23</v>
      </c>
      <c r="I3716">
        <v>2.4900000000000002</v>
      </c>
      <c r="J3716">
        <v>6.2000999999999999</v>
      </c>
      <c r="K3716" t="str">
        <f>IFERROR(INDEX(Rosters!$C$2:$C$155,MATCH($B3716,Rosters!$B$2:$B$155,0)),"NA")</f>
        <v>NA</v>
      </c>
      <c r="L3716" t="str">
        <f t="shared" si="174"/>
        <v>NA16TE</v>
      </c>
      <c r="M3716">
        <f>COUNTIF(L$1:L3716,L3716)</f>
        <v>20</v>
      </c>
      <c r="N3716" t="str">
        <f t="shared" si="175"/>
        <v>NA16TE-20</v>
      </c>
      <c r="O3716">
        <f>COUNTIFS(F$1:F3716,F3716,A$1:A3716,A3716)</f>
        <v>34</v>
      </c>
      <c r="P3716" t="str">
        <f t="shared" si="176"/>
        <v>Virgil Green16</v>
      </c>
    </row>
    <row r="3717" spans="1:16" x14ac:dyDescent="0.25">
      <c r="A3717">
        <v>2</v>
      </c>
      <c r="B3717" t="s">
        <v>294</v>
      </c>
      <c r="C3717" t="s">
        <v>1777</v>
      </c>
      <c r="D3717">
        <v>2.71</v>
      </c>
      <c r="E3717" t="s">
        <v>38</v>
      </c>
      <c r="F3717" t="s">
        <v>47</v>
      </c>
      <c r="G3717">
        <v>4.66</v>
      </c>
      <c r="H3717">
        <v>0.76</v>
      </c>
      <c r="I3717">
        <v>1.95</v>
      </c>
      <c r="J3717">
        <v>3.8025000000000002</v>
      </c>
      <c r="K3717" t="str">
        <f>IFERROR(INDEX(Rosters!$C$2:$C$155,MATCH($B3717,Rosters!$B$2:$B$155,0)),"NA")</f>
        <v>perry</v>
      </c>
      <c r="L3717" t="str">
        <f t="shared" si="174"/>
        <v>perry2RB</v>
      </c>
      <c r="M3717">
        <f>COUNTIF(L$1:L3717,L3717)</f>
        <v>4</v>
      </c>
      <c r="N3717" t="str">
        <f t="shared" si="175"/>
        <v>perry2RB-4</v>
      </c>
      <c r="O3717">
        <f>COUNTIFS(F$1:F3717,F3717,A$1:A3717,A3717)</f>
        <v>61</v>
      </c>
      <c r="P3717" t="str">
        <f t="shared" si="176"/>
        <v>Alfred Blue2</v>
      </c>
    </row>
    <row r="3718" spans="1:16" x14ac:dyDescent="0.25">
      <c r="A3718">
        <v>2</v>
      </c>
      <c r="B3718" t="s">
        <v>875</v>
      </c>
      <c r="C3718" t="s">
        <v>1475</v>
      </c>
      <c r="D3718">
        <v>2.71</v>
      </c>
      <c r="E3718" t="s">
        <v>38</v>
      </c>
      <c r="F3718" t="s">
        <v>87</v>
      </c>
      <c r="G3718">
        <v>5.41</v>
      </c>
      <c r="H3718">
        <v>0.01</v>
      </c>
      <c r="I3718">
        <v>2.7</v>
      </c>
      <c r="J3718">
        <v>7.29</v>
      </c>
      <c r="K3718" t="str">
        <f>IFERROR(INDEX(Rosters!$C$2:$C$155,MATCH($B3718,Rosters!$B$2:$B$155,0)),"NA")</f>
        <v>NA</v>
      </c>
      <c r="L3718" t="str">
        <f t="shared" si="174"/>
        <v>NA2WR</v>
      </c>
      <c r="M3718">
        <f>COUNTIF(L$1:L3718,L3718)</f>
        <v>38</v>
      </c>
      <c r="N3718" t="str">
        <f t="shared" si="175"/>
        <v>NA2WR-38</v>
      </c>
      <c r="O3718">
        <f>COUNTIFS(F$1:F3718,F3718,A$1:A3718,A3718)</f>
        <v>86</v>
      </c>
      <c r="P3718" t="str">
        <f t="shared" si="176"/>
        <v>Bruce Ellington2</v>
      </c>
    </row>
    <row r="3719" spans="1:16" x14ac:dyDescent="0.25">
      <c r="A3719">
        <v>17</v>
      </c>
      <c r="B3719" t="s">
        <v>875</v>
      </c>
      <c r="C3719" t="s">
        <v>8274</v>
      </c>
      <c r="D3719">
        <v>2.71</v>
      </c>
      <c r="E3719" t="s">
        <v>76</v>
      </c>
      <c r="F3719" t="s">
        <v>87</v>
      </c>
      <c r="G3719">
        <v>5.23</v>
      </c>
      <c r="H3719">
        <v>0.19</v>
      </c>
      <c r="I3719">
        <v>2.52</v>
      </c>
      <c r="J3719">
        <v>6.3503999999999996</v>
      </c>
      <c r="K3719" t="str">
        <f>IFERROR(INDEX(Rosters!$C$2:$C$155,MATCH($B3719,Rosters!$B$2:$B$155,0)),"NA")</f>
        <v>NA</v>
      </c>
      <c r="L3719" t="str">
        <f t="shared" si="174"/>
        <v>NA17WR</v>
      </c>
      <c r="M3719">
        <f>COUNTIF(L$1:L3719,L3719)</f>
        <v>48</v>
      </c>
      <c r="N3719" t="str">
        <f t="shared" si="175"/>
        <v>NA17WR-48</v>
      </c>
      <c r="O3719">
        <f>COUNTIFS(F$1:F3719,F3719,A$1:A3719,A3719)</f>
        <v>101</v>
      </c>
      <c r="P3719" t="str">
        <f t="shared" si="176"/>
        <v>Bruce Ellington17</v>
      </c>
    </row>
    <row r="3720" spans="1:16" x14ac:dyDescent="0.25">
      <c r="A3720">
        <v>9</v>
      </c>
      <c r="B3720" t="s">
        <v>312</v>
      </c>
      <c r="C3720" t="s">
        <v>8275</v>
      </c>
      <c r="D3720">
        <v>2.71</v>
      </c>
      <c r="E3720" t="s">
        <v>24</v>
      </c>
      <c r="F3720" t="s">
        <v>114</v>
      </c>
      <c r="G3720">
        <v>5.38</v>
      </c>
      <c r="H3720">
        <v>0.04</v>
      </c>
      <c r="I3720">
        <v>2.67</v>
      </c>
      <c r="J3720">
        <v>7.1288999999999998</v>
      </c>
      <c r="K3720" t="str">
        <f>IFERROR(INDEX(Rosters!$C$2:$C$155,MATCH($B3720,Rosters!$B$2:$B$155,0)),"NA")</f>
        <v>NA</v>
      </c>
      <c r="L3720" t="str">
        <f t="shared" si="174"/>
        <v>NA9TE</v>
      </c>
      <c r="M3720">
        <f>COUNTIF(L$1:L3720,L3720)</f>
        <v>16</v>
      </c>
      <c r="N3720" t="str">
        <f t="shared" si="175"/>
        <v>NA9TE-16</v>
      </c>
      <c r="O3720">
        <f>COUNTIFS(F$1:F3720,F3720,A$1:A3720,A3720)</f>
        <v>27</v>
      </c>
      <c r="P3720" t="str">
        <f t="shared" si="176"/>
        <v>Darren Fells9</v>
      </c>
    </row>
    <row r="3721" spans="1:16" x14ac:dyDescent="0.25">
      <c r="A3721">
        <v>8</v>
      </c>
      <c r="B3721" t="s">
        <v>310</v>
      </c>
      <c r="C3721">
        <f>-0.04-5.46</f>
        <v>-5.5</v>
      </c>
      <c r="D3721">
        <v>2.71</v>
      </c>
      <c r="E3721" t="s">
        <v>42</v>
      </c>
      <c r="F3721" t="s">
        <v>114</v>
      </c>
      <c r="G3721">
        <v>5.46</v>
      </c>
      <c r="H3721">
        <v>-0.04</v>
      </c>
      <c r="I3721">
        <v>2.75</v>
      </c>
      <c r="J3721">
        <v>7.5625</v>
      </c>
      <c r="K3721" t="str">
        <f>IFERROR(INDEX(Rosters!$C$2:$C$155,MATCH($B3721,Rosters!$B$2:$B$155,0)),"NA")</f>
        <v>NA</v>
      </c>
      <c r="L3721" t="str">
        <f t="shared" si="174"/>
        <v>NA8TE</v>
      </c>
      <c r="M3721">
        <f>COUNTIF(L$1:L3721,L3721)</f>
        <v>14</v>
      </c>
      <c r="N3721" t="str">
        <f t="shared" si="175"/>
        <v>NA8TE-14</v>
      </c>
      <c r="O3721">
        <f>COUNTIFS(F$1:F3721,F3721,A$1:A3721,A3721)</f>
        <v>26</v>
      </c>
      <c r="P3721" t="str">
        <f t="shared" si="176"/>
        <v>Demetrius Harris8</v>
      </c>
    </row>
    <row r="3722" spans="1:16" x14ac:dyDescent="0.25">
      <c r="A3722">
        <v>4</v>
      </c>
      <c r="B3722" t="s">
        <v>1408</v>
      </c>
      <c r="C3722">
        <f>-0.03-5.45</f>
        <v>-5.48</v>
      </c>
      <c r="D3722">
        <v>2.71</v>
      </c>
      <c r="E3722" t="s">
        <v>34</v>
      </c>
      <c r="F3722" t="s">
        <v>87</v>
      </c>
      <c r="G3722">
        <v>5.45</v>
      </c>
      <c r="H3722">
        <v>-0.03</v>
      </c>
      <c r="I3722">
        <v>2.74</v>
      </c>
      <c r="J3722">
        <v>7.5076000000000001</v>
      </c>
      <c r="K3722" t="str">
        <f>IFERROR(INDEX(Rosters!$C$2:$C$155,MATCH($B3722,Rosters!$B$2:$B$155,0)),"NA")</f>
        <v>NA</v>
      </c>
      <c r="L3722" t="str">
        <f t="shared" si="174"/>
        <v>NA4WR</v>
      </c>
      <c r="M3722">
        <f>COUNTIF(L$1:L3722,L3722)</f>
        <v>41</v>
      </c>
      <c r="N3722" t="str">
        <f t="shared" si="175"/>
        <v>NA4WR-41</v>
      </c>
      <c r="O3722">
        <f>COUNTIFS(F$1:F3722,F3722,A$1:A3722,A3722)</f>
        <v>91</v>
      </c>
      <c r="P3722" t="str">
        <f t="shared" si="176"/>
        <v>Michael Gallup4</v>
      </c>
    </row>
    <row r="3723" spans="1:16" x14ac:dyDescent="0.25">
      <c r="A3723">
        <v>7</v>
      </c>
      <c r="B3723" t="s">
        <v>1367</v>
      </c>
      <c r="C3723" t="s">
        <v>8276</v>
      </c>
      <c r="D3723">
        <v>2.7</v>
      </c>
      <c r="E3723" t="s">
        <v>77</v>
      </c>
      <c r="F3723" t="s">
        <v>87</v>
      </c>
      <c r="G3723">
        <v>4.6900000000000004</v>
      </c>
      <c r="H3723">
        <v>0.71</v>
      </c>
      <c r="I3723">
        <v>1.99</v>
      </c>
      <c r="J3723">
        <v>3.9601000000000002</v>
      </c>
      <c r="K3723" t="str">
        <f>IFERROR(INDEX(Rosters!$C$2:$C$155,MATCH($B3723,Rosters!$B$2:$B$155,0)),"NA")</f>
        <v>NA</v>
      </c>
      <c r="L3723" t="str">
        <f t="shared" si="174"/>
        <v>NA7WR</v>
      </c>
      <c r="M3723">
        <f>COUNTIF(L$1:L3723,L3723)</f>
        <v>41</v>
      </c>
      <c r="N3723" t="str">
        <f t="shared" si="175"/>
        <v>NA7WR-41</v>
      </c>
      <c r="O3723">
        <f>COUNTIFS(F$1:F3723,F3723,A$1:A3723,A3723)</f>
        <v>85</v>
      </c>
      <c r="P3723" t="str">
        <f t="shared" si="176"/>
        <v>Cameron Meredith7</v>
      </c>
    </row>
    <row r="3724" spans="1:16" x14ac:dyDescent="0.25">
      <c r="A3724">
        <v>11</v>
      </c>
      <c r="B3724" t="s">
        <v>307</v>
      </c>
      <c r="C3724" t="s">
        <v>8277</v>
      </c>
      <c r="D3724">
        <v>2.7</v>
      </c>
      <c r="E3724" t="s">
        <v>41</v>
      </c>
      <c r="F3724" t="s">
        <v>114</v>
      </c>
      <c r="G3724">
        <v>5.31</v>
      </c>
      <c r="H3724">
        <v>0.09</v>
      </c>
      <c r="I3724">
        <v>2.61</v>
      </c>
      <c r="J3724">
        <v>6.8121</v>
      </c>
      <c r="K3724" t="str">
        <f>IFERROR(INDEX(Rosters!$C$2:$C$155,MATCH($B3724,Rosters!$B$2:$B$155,0)),"NA")</f>
        <v>NA</v>
      </c>
      <c r="L3724" t="str">
        <f t="shared" si="174"/>
        <v>NA11TE</v>
      </c>
      <c r="M3724">
        <f>COUNTIF(L$1:L3724,L3724)</f>
        <v>22</v>
      </c>
      <c r="N3724" t="str">
        <f t="shared" si="175"/>
        <v>NA11TE-22</v>
      </c>
      <c r="O3724">
        <f>COUNTIFS(F$1:F3724,F3724,A$1:A3724,A3724)</f>
        <v>34</v>
      </c>
      <c r="P3724" t="str">
        <f t="shared" si="176"/>
        <v>Ed Dickson11</v>
      </c>
    </row>
    <row r="3725" spans="1:16" x14ac:dyDescent="0.25">
      <c r="A3725">
        <v>17</v>
      </c>
      <c r="B3725" t="s">
        <v>4212</v>
      </c>
      <c r="C3725" t="s">
        <v>8278</v>
      </c>
      <c r="D3725">
        <v>2.7</v>
      </c>
      <c r="E3725" t="s">
        <v>14</v>
      </c>
      <c r="F3725" t="s">
        <v>114</v>
      </c>
      <c r="G3725">
        <v>5.33</v>
      </c>
      <c r="H3725">
        <v>7.0000000000000007E-2</v>
      </c>
      <c r="I3725">
        <v>2.63</v>
      </c>
      <c r="J3725">
        <v>6.9169</v>
      </c>
      <c r="K3725" t="str">
        <f>IFERROR(INDEX(Rosters!$C$2:$C$155,MATCH($B3725,Rosters!$B$2:$B$155,0)),"NA")</f>
        <v>NA</v>
      </c>
      <c r="L3725" t="str">
        <f t="shared" si="174"/>
        <v>NA17TE</v>
      </c>
      <c r="M3725">
        <f>COUNTIF(L$1:L3725,L3725)</f>
        <v>19</v>
      </c>
      <c r="N3725" t="str">
        <f t="shared" si="175"/>
        <v>NA17TE-19</v>
      </c>
      <c r="O3725">
        <f>COUNTIFS(F$1:F3725,F3725,A$1:A3725,A3725)</f>
        <v>33</v>
      </c>
      <c r="P3725" t="str">
        <f t="shared" si="176"/>
        <v>Ian Thomas17</v>
      </c>
    </row>
    <row r="3726" spans="1:16" x14ac:dyDescent="0.25">
      <c r="A3726">
        <v>7</v>
      </c>
      <c r="B3726" t="s">
        <v>4899</v>
      </c>
      <c r="C3726" t="s">
        <v>8279</v>
      </c>
      <c r="D3726">
        <v>2.7</v>
      </c>
      <c r="E3726" t="s">
        <v>76</v>
      </c>
      <c r="F3726" t="s">
        <v>87</v>
      </c>
      <c r="G3726">
        <v>4.99</v>
      </c>
      <c r="H3726">
        <v>0.41</v>
      </c>
      <c r="I3726">
        <v>2.29</v>
      </c>
      <c r="J3726">
        <v>5.2441000000000004</v>
      </c>
      <c r="K3726" t="str">
        <f>IFERROR(INDEX(Rosters!$C$2:$C$155,MATCH($B3726,Rosters!$B$2:$B$155,0)),"NA")</f>
        <v>perry</v>
      </c>
      <c r="L3726" t="str">
        <f t="shared" si="174"/>
        <v>perry7WR</v>
      </c>
      <c r="M3726">
        <f>COUNTIF(L$1:L3726,L3726)</f>
        <v>5</v>
      </c>
      <c r="N3726" t="str">
        <f t="shared" si="175"/>
        <v>perry7WR-5</v>
      </c>
      <c r="O3726">
        <f>COUNTIFS(F$1:F3726,F3726,A$1:A3726,A3726)</f>
        <v>86</v>
      </c>
      <c r="P3726" t="str">
        <f t="shared" si="176"/>
        <v>Keke Coutee7</v>
      </c>
    </row>
    <row r="3727" spans="1:16" x14ac:dyDescent="0.25">
      <c r="A3727">
        <v>17</v>
      </c>
      <c r="B3727" t="s">
        <v>4899</v>
      </c>
      <c r="C3727" t="s">
        <v>8279</v>
      </c>
      <c r="D3727">
        <v>2.7</v>
      </c>
      <c r="E3727" t="s">
        <v>76</v>
      </c>
      <c r="F3727" t="s">
        <v>87</v>
      </c>
      <c r="G3727">
        <v>4.99</v>
      </c>
      <c r="H3727">
        <v>0.41</v>
      </c>
      <c r="I3727">
        <v>2.29</v>
      </c>
      <c r="J3727">
        <v>5.2441000000000004</v>
      </c>
      <c r="K3727" t="str">
        <f>IFERROR(INDEX(Rosters!$C$2:$C$155,MATCH($B3727,Rosters!$B$2:$B$155,0)),"NA")</f>
        <v>perry</v>
      </c>
      <c r="L3727" t="str">
        <f t="shared" si="174"/>
        <v>perry17WR</v>
      </c>
      <c r="M3727">
        <f>COUNTIF(L$1:L3727,L3727)</f>
        <v>6</v>
      </c>
      <c r="N3727" t="str">
        <f t="shared" si="175"/>
        <v>perry17WR-6</v>
      </c>
      <c r="O3727">
        <f>COUNTIFS(F$1:F3727,F3727,A$1:A3727,A3727)</f>
        <v>102</v>
      </c>
      <c r="P3727" t="str">
        <f t="shared" si="176"/>
        <v>Keke Coutee17</v>
      </c>
    </row>
    <row r="3728" spans="1:16" x14ac:dyDescent="0.25">
      <c r="A3728">
        <v>14</v>
      </c>
      <c r="B3728" t="s">
        <v>292</v>
      </c>
      <c r="C3728" t="s">
        <v>8280</v>
      </c>
      <c r="D3728">
        <v>2.7</v>
      </c>
      <c r="E3728" t="s">
        <v>58</v>
      </c>
      <c r="F3728" t="s">
        <v>114</v>
      </c>
      <c r="G3728">
        <v>5.17</v>
      </c>
      <c r="H3728">
        <v>0.23</v>
      </c>
      <c r="I3728">
        <v>2.4700000000000002</v>
      </c>
      <c r="J3728">
        <v>6.1009000000000002</v>
      </c>
      <c r="K3728" t="str">
        <f>IFERROR(INDEX(Rosters!$C$2:$C$155,MATCH($B3728,Rosters!$B$2:$B$155,0)),"NA")</f>
        <v>NA</v>
      </c>
      <c r="L3728" t="str">
        <f t="shared" si="174"/>
        <v>NA14TE</v>
      </c>
      <c r="M3728">
        <f>COUNTIF(L$1:L3728,L3728)</f>
        <v>21</v>
      </c>
      <c r="N3728" t="str">
        <f t="shared" si="175"/>
        <v>NA14TE-21</v>
      </c>
      <c r="O3728">
        <f>COUNTIFS(F$1:F3728,F3728,A$1:A3728,A3728)</f>
        <v>35</v>
      </c>
      <c r="P3728" t="str">
        <f t="shared" si="176"/>
        <v>Luke Willson14</v>
      </c>
    </row>
    <row r="3729" spans="1:16" x14ac:dyDescent="0.25">
      <c r="A3729">
        <v>16</v>
      </c>
      <c r="B3729" t="s">
        <v>4236</v>
      </c>
      <c r="C3729">
        <f>-0.3-5.7</f>
        <v>-6</v>
      </c>
      <c r="D3729">
        <v>2.7</v>
      </c>
      <c r="E3729" t="s">
        <v>73</v>
      </c>
      <c r="F3729" t="s">
        <v>87</v>
      </c>
      <c r="G3729">
        <v>5.7</v>
      </c>
      <c r="H3729">
        <v>-0.3</v>
      </c>
      <c r="I3729">
        <v>3</v>
      </c>
      <c r="J3729">
        <v>9</v>
      </c>
      <c r="K3729" t="str">
        <f>IFERROR(INDEX(Rosters!$C$2:$C$155,MATCH($B3729,Rosters!$B$2:$B$155,0)),"NA")</f>
        <v>aj</v>
      </c>
      <c r="L3729" t="str">
        <f t="shared" si="174"/>
        <v>aj16WR</v>
      </c>
      <c r="M3729">
        <f>COUNTIF(L$1:L3729,L3729)</f>
        <v>6</v>
      </c>
      <c r="N3729" t="str">
        <f t="shared" si="175"/>
        <v>aj16WR-6</v>
      </c>
      <c r="O3729">
        <f>COUNTIFS(F$1:F3729,F3729,A$1:A3729,A3729)</f>
        <v>103</v>
      </c>
      <c r="P3729" t="str">
        <f t="shared" si="176"/>
        <v>Marquez Valdes-Scantling16</v>
      </c>
    </row>
    <row r="3730" spans="1:16" x14ac:dyDescent="0.25">
      <c r="A3730">
        <v>2</v>
      </c>
      <c r="B3730" t="s">
        <v>144</v>
      </c>
      <c r="C3730" t="s">
        <v>2273</v>
      </c>
      <c r="D3730">
        <v>2.7</v>
      </c>
      <c r="E3730" t="s">
        <v>52</v>
      </c>
      <c r="F3730" t="s">
        <v>47</v>
      </c>
      <c r="G3730">
        <v>5.3</v>
      </c>
      <c r="H3730">
        <v>0.1</v>
      </c>
      <c r="I3730">
        <v>2.6</v>
      </c>
      <c r="J3730">
        <v>6.76</v>
      </c>
      <c r="K3730" t="str">
        <f>IFERROR(INDEX(Rosters!$C$2:$C$155,MATCH($B3730,Rosters!$B$2:$B$155,0)),"NA")</f>
        <v>NA</v>
      </c>
      <c r="L3730" t="str">
        <f t="shared" si="174"/>
        <v>NA2RB</v>
      </c>
      <c r="M3730">
        <f>COUNTIF(L$1:L3730,L3730)</f>
        <v>20</v>
      </c>
      <c r="N3730" t="str">
        <f t="shared" si="175"/>
        <v>NA2RB-20</v>
      </c>
      <c r="O3730">
        <f>COUNTIFS(F$1:F3730,F3730,A$1:A3730,A3730)</f>
        <v>62</v>
      </c>
      <c r="P3730" t="str">
        <f t="shared" si="176"/>
        <v>Mike Gillislee2</v>
      </c>
    </row>
    <row r="3731" spans="1:16" x14ac:dyDescent="0.25">
      <c r="A3731">
        <v>13</v>
      </c>
      <c r="B3731" t="s">
        <v>362</v>
      </c>
      <c r="C3731" t="s">
        <v>8281</v>
      </c>
      <c r="D3731">
        <v>2.7</v>
      </c>
      <c r="E3731" t="s">
        <v>30</v>
      </c>
      <c r="F3731" t="s">
        <v>114</v>
      </c>
      <c r="G3731">
        <v>4.97</v>
      </c>
      <c r="H3731">
        <v>0.43</v>
      </c>
      <c r="I3731">
        <v>2.27</v>
      </c>
      <c r="J3731">
        <v>5.1528999999999998</v>
      </c>
      <c r="K3731" t="str">
        <f>IFERROR(INDEX(Rosters!$C$2:$C$155,MATCH($B3731,Rosters!$B$2:$B$155,0)),"NA")</f>
        <v>NA</v>
      </c>
      <c r="L3731" t="str">
        <f t="shared" si="174"/>
        <v>NA13TE</v>
      </c>
      <c r="M3731">
        <f>COUNTIF(L$1:L3731,L3731)</f>
        <v>23</v>
      </c>
      <c r="N3731" t="str">
        <f t="shared" si="175"/>
        <v>NA13TE-23</v>
      </c>
      <c r="O3731">
        <f>COUNTIFS(F$1:F3731,F3731,A$1:A3731,A3731)</f>
        <v>37</v>
      </c>
      <c r="P3731" t="str">
        <f t="shared" si="176"/>
        <v>Nick Vannett13</v>
      </c>
    </row>
    <row r="3732" spans="1:16" x14ac:dyDescent="0.25">
      <c r="A3732">
        <v>1</v>
      </c>
      <c r="B3732" t="s">
        <v>267</v>
      </c>
      <c r="C3732" t="s">
        <v>1476</v>
      </c>
      <c r="D3732">
        <v>2.7</v>
      </c>
      <c r="E3732" t="s">
        <v>24</v>
      </c>
      <c r="F3732" t="s">
        <v>114</v>
      </c>
      <c r="G3732">
        <v>4.88</v>
      </c>
      <c r="H3732">
        <v>0.52</v>
      </c>
      <c r="I3732">
        <v>2.1800000000000002</v>
      </c>
      <c r="J3732">
        <v>4.7523999999999997</v>
      </c>
      <c r="K3732" t="str">
        <f>IFERROR(INDEX(Rosters!$C$2:$C$155,MATCH($B3732,Rosters!$B$2:$B$155,0)),"NA")</f>
        <v>NA</v>
      </c>
      <c r="L3732" t="str">
        <f t="shared" si="174"/>
        <v>NA1TE</v>
      </c>
      <c r="M3732">
        <f>COUNTIF(L$1:L3732,L3732)</f>
        <v>16</v>
      </c>
      <c r="N3732" t="str">
        <f t="shared" si="175"/>
        <v>NA1TE-16</v>
      </c>
      <c r="O3732">
        <f>COUNTIFS(F$1:F3732,F3732,A$1:A3732,A3732)</f>
        <v>29</v>
      </c>
      <c r="P3732" t="str">
        <f t="shared" si="176"/>
        <v>Virgil Green1</v>
      </c>
    </row>
    <row r="3733" spans="1:16" x14ac:dyDescent="0.25">
      <c r="A3733">
        <v>15</v>
      </c>
      <c r="B3733" t="s">
        <v>1124</v>
      </c>
      <c r="C3733" t="s">
        <v>8282</v>
      </c>
      <c r="D3733">
        <v>2.69</v>
      </c>
      <c r="E3733" t="s">
        <v>37</v>
      </c>
      <c r="F3733" t="s">
        <v>87</v>
      </c>
      <c r="G3733">
        <v>4.84</v>
      </c>
      <c r="H3733">
        <v>0.54</v>
      </c>
      <c r="I3733">
        <v>2.15</v>
      </c>
      <c r="J3733">
        <v>4.6224999999999996</v>
      </c>
      <c r="K3733" t="str">
        <f>IFERROR(INDEX(Rosters!$C$2:$C$155,MATCH($B3733,Rosters!$B$2:$B$155,0)),"NA")</f>
        <v>NA</v>
      </c>
      <c r="L3733" t="str">
        <f t="shared" si="174"/>
        <v>NA15WR</v>
      </c>
      <c r="M3733">
        <f>COUNTIF(L$1:L3733,L3733)</f>
        <v>51</v>
      </c>
      <c r="N3733" t="str">
        <f t="shared" si="175"/>
        <v>NA15WR-51</v>
      </c>
      <c r="O3733">
        <f>COUNTIFS(F$1:F3733,F3733,A$1:A3733,A3733)</f>
        <v>105</v>
      </c>
      <c r="P3733" t="str">
        <f t="shared" si="176"/>
        <v>Chris Conley15</v>
      </c>
    </row>
    <row r="3734" spans="1:16" x14ac:dyDescent="0.25">
      <c r="A3734">
        <v>7</v>
      </c>
      <c r="B3734" t="s">
        <v>1478</v>
      </c>
      <c r="C3734">
        <f>-0.37-5.75</f>
        <v>-6.12</v>
      </c>
      <c r="D3734">
        <v>2.69</v>
      </c>
      <c r="E3734" t="s">
        <v>74</v>
      </c>
      <c r="F3734" t="s">
        <v>114</v>
      </c>
      <c r="G3734">
        <v>5.75</v>
      </c>
      <c r="H3734">
        <v>-0.37</v>
      </c>
      <c r="I3734">
        <v>3.06</v>
      </c>
      <c r="J3734">
        <v>9.3635999999999999</v>
      </c>
      <c r="K3734" t="str">
        <f>IFERROR(INDEX(Rosters!$C$2:$C$155,MATCH($B3734,Rosters!$B$2:$B$155,0)),"NA")</f>
        <v>NA</v>
      </c>
      <c r="L3734" t="str">
        <f t="shared" si="174"/>
        <v>NA7TE</v>
      </c>
      <c r="M3734">
        <f>COUNTIF(L$1:L3734,L3734)</f>
        <v>22</v>
      </c>
      <c r="N3734" t="str">
        <f t="shared" si="175"/>
        <v>NA7TE-22</v>
      </c>
      <c r="O3734">
        <f>COUNTIFS(F$1:F3734,F3734,A$1:A3734,A3734)</f>
        <v>32</v>
      </c>
      <c r="P3734" t="str">
        <f t="shared" si="176"/>
        <v>Dallas Goedert7</v>
      </c>
    </row>
    <row r="3735" spans="1:16" x14ac:dyDescent="0.25">
      <c r="A3735">
        <v>9</v>
      </c>
      <c r="B3735" t="s">
        <v>307</v>
      </c>
      <c r="C3735" t="s">
        <v>8283</v>
      </c>
      <c r="D3735">
        <v>2.69</v>
      </c>
      <c r="E3735" t="s">
        <v>37</v>
      </c>
      <c r="F3735" t="s">
        <v>114</v>
      </c>
      <c r="G3735">
        <v>5.05</v>
      </c>
      <c r="H3735">
        <v>0.33</v>
      </c>
      <c r="I3735">
        <v>2.36</v>
      </c>
      <c r="J3735">
        <v>5.5696000000000003</v>
      </c>
      <c r="K3735" t="str">
        <f>IFERROR(INDEX(Rosters!$C$2:$C$155,MATCH($B3735,Rosters!$B$2:$B$155,0)),"NA")</f>
        <v>NA</v>
      </c>
      <c r="L3735" t="str">
        <f t="shared" si="174"/>
        <v>NA9TE</v>
      </c>
      <c r="M3735">
        <f>COUNTIF(L$1:L3735,L3735)</f>
        <v>17</v>
      </c>
      <c r="N3735" t="str">
        <f t="shared" si="175"/>
        <v>NA9TE-17</v>
      </c>
      <c r="O3735">
        <f>COUNTIFS(F$1:F3735,F3735,A$1:A3735,A3735)</f>
        <v>28</v>
      </c>
      <c r="P3735" t="str">
        <f t="shared" si="176"/>
        <v>Ed Dickson9</v>
      </c>
    </row>
    <row r="3736" spans="1:16" x14ac:dyDescent="0.25">
      <c r="A3736">
        <v>8</v>
      </c>
      <c r="B3736" t="s">
        <v>2750</v>
      </c>
      <c r="C3736">
        <f>-0.21-5.59</f>
        <v>-5.8</v>
      </c>
      <c r="D3736">
        <v>2.69</v>
      </c>
      <c r="E3736" t="s">
        <v>76</v>
      </c>
      <c r="F3736" t="s">
        <v>87</v>
      </c>
      <c r="G3736">
        <v>5.59</v>
      </c>
      <c r="H3736">
        <v>-0.21</v>
      </c>
      <c r="I3736">
        <v>2.9</v>
      </c>
      <c r="J3736">
        <v>8.41</v>
      </c>
      <c r="K3736" t="str">
        <f>IFERROR(INDEX(Rosters!$C$2:$C$155,MATCH($B3736,Rosters!$B$2:$B$155,0)),"NA")</f>
        <v>NA</v>
      </c>
      <c r="L3736" t="str">
        <f t="shared" si="174"/>
        <v>NA8WR</v>
      </c>
      <c r="M3736">
        <f>COUNTIF(L$1:L3736,L3736)</f>
        <v>42</v>
      </c>
      <c r="N3736" t="str">
        <f t="shared" si="175"/>
        <v>NA8WR-42</v>
      </c>
      <c r="O3736">
        <f>COUNTIFS(F$1:F3736,F3736,A$1:A3736,A3736)</f>
        <v>90</v>
      </c>
      <c r="P3736" t="str">
        <f t="shared" si="176"/>
        <v>Jordan Matthews8</v>
      </c>
    </row>
    <row r="3737" spans="1:16" x14ac:dyDescent="0.25">
      <c r="A3737">
        <v>9</v>
      </c>
      <c r="B3737" t="s">
        <v>230</v>
      </c>
      <c r="C3737" t="s">
        <v>8284</v>
      </c>
      <c r="D3737">
        <v>2.69</v>
      </c>
      <c r="E3737" t="s">
        <v>46</v>
      </c>
      <c r="F3737" t="s">
        <v>87</v>
      </c>
      <c r="G3737">
        <v>5.0999999999999996</v>
      </c>
      <c r="H3737">
        <v>0.28000000000000003</v>
      </c>
      <c r="I3737">
        <v>2.41</v>
      </c>
      <c r="J3737">
        <v>5.8080999999999996</v>
      </c>
      <c r="K3737" t="str">
        <f>IFERROR(INDEX(Rosters!$C$2:$C$155,MATCH($B3737,Rosters!$B$2:$B$155,0)),"NA")</f>
        <v>NA</v>
      </c>
      <c r="L3737" t="str">
        <f t="shared" si="174"/>
        <v>NA9WR</v>
      </c>
      <c r="M3737">
        <f>COUNTIF(L$1:L3737,L3737)</f>
        <v>45</v>
      </c>
      <c r="N3737" t="str">
        <f t="shared" si="175"/>
        <v>NA9WR-45</v>
      </c>
      <c r="O3737">
        <f>COUNTIFS(F$1:F3737,F3737,A$1:A3737,A3737)</f>
        <v>88</v>
      </c>
      <c r="P3737" t="str">
        <f t="shared" si="176"/>
        <v>Josh Doctson9</v>
      </c>
    </row>
    <row r="3738" spans="1:16" x14ac:dyDescent="0.25">
      <c r="A3738">
        <v>3</v>
      </c>
      <c r="B3738" t="s">
        <v>362</v>
      </c>
      <c r="C3738" t="s">
        <v>3780</v>
      </c>
      <c r="D3738">
        <v>2.69</v>
      </c>
      <c r="E3738" t="s">
        <v>22</v>
      </c>
      <c r="F3738" t="s">
        <v>114</v>
      </c>
      <c r="G3738">
        <v>4.8899999999999997</v>
      </c>
      <c r="H3738">
        <v>0.49</v>
      </c>
      <c r="I3738">
        <v>2.2000000000000002</v>
      </c>
      <c r="J3738">
        <v>4.84</v>
      </c>
      <c r="K3738" t="str">
        <f>IFERROR(INDEX(Rosters!$C$2:$C$155,MATCH($B3738,Rosters!$B$2:$B$155,0)),"NA")</f>
        <v>NA</v>
      </c>
      <c r="L3738" t="str">
        <f t="shared" si="174"/>
        <v>NA3TE</v>
      </c>
      <c r="M3738">
        <f>COUNTIF(L$1:L3738,L3738)</f>
        <v>16</v>
      </c>
      <c r="N3738" t="str">
        <f t="shared" si="175"/>
        <v>NA3TE-16</v>
      </c>
      <c r="O3738">
        <f>COUNTIFS(F$1:F3738,F3738,A$1:A3738,A3738)</f>
        <v>28</v>
      </c>
      <c r="P3738" t="str">
        <f t="shared" si="176"/>
        <v>Nick Vannett3</v>
      </c>
    </row>
    <row r="3739" spans="1:16" x14ac:dyDescent="0.25">
      <c r="A3739">
        <v>16</v>
      </c>
      <c r="B3739" t="s">
        <v>1381</v>
      </c>
      <c r="C3739">
        <f>-0.44-5.82</f>
        <v>-6.2600000000000007</v>
      </c>
      <c r="D3739">
        <v>2.69</v>
      </c>
      <c r="E3739" t="s">
        <v>56</v>
      </c>
      <c r="F3739" t="s">
        <v>114</v>
      </c>
      <c r="G3739">
        <v>5.82</v>
      </c>
      <c r="H3739">
        <v>-0.44</v>
      </c>
      <c r="I3739">
        <v>3.13</v>
      </c>
      <c r="J3739">
        <v>9.7969000000000008</v>
      </c>
      <c r="K3739" t="str">
        <f>IFERROR(INDEX(Rosters!$C$2:$C$155,MATCH($B3739,Rosters!$B$2:$B$155,0)),"NA")</f>
        <v>NA</v>
      </c>
      <c r="L3739" t="str">
        <f t="shared" si="174"/>
        <v>NA16TE</v>
      </c>
      <c r="M3739">
        <f>COUNTIF(L$1:L3739,L3739)</f>
        <v>21</v>
      </c>
      <c r="N3739" t="str">
        <f t="shared" si="175"/>
        <v>NA16TE-21</v>
      </c>
      <c r="O3739">
        <f>COUNTIFS(F$1:F3739,F3739,A$1:A3739,A3739)</f>
        <v>35</v>
      </c>
      <c r="P3739" t="str">
        <f t="shared" si="176"/>
        <v>Ricky Seals-Jones16</v>
      </c>
    </row>
    <row r="3740" spans="1:16" x14ac:dyDescent="0.25">
      <c r="A3740">
        <v>12</v>
      </c>
      <c r="B3740" t="s">
        <v>109</v>
      </c>
      <c r="C3740" t="s">
        <v>8285</v>
      </c>
      <c r="D3740">
        <v>2.69</v>
      </c>
      <c r="E3740" t="s">
        <v>25</v>
      </c>
      <c r="F3740" t="s">
        <v>47</v>
      </c>
      <c r="G3740">
        <v>4.3499999999999996</v>
      </c>
      <c r="H3740">
        <v>1.03</v>
      </c>
      <c r="I3740">
        <v>1.66</v>
      </c>
      <c r="J3740">
        <v>2.7555999999999998</v>
      </c>
      <c r="K3740" t="str">
        <f>IFERROR(INDEX(Rosters!$C$2:$C$155,MATCH($B3740,Rosters!$B$2:$B$155,0)),"NA")</f>
        <v>seth</v>
      </c>
      <c r="L3740" t="str">
        <f t="shared" si="174"/>
        <v>seth12RB</v>
      </c>
      <c r="M3740">
        <f>COUNTIF(L$1:L3740,L3740)</f>
        <v>7</v>
      </c>
      <c r="N3740" t="str">
        <f t="shared" si="175"/>
        <v>seth12RB-7</v>
      </c>
      <c r="O3740">
        <f>COUNTIFS(F$1:F3740,F3740,A$1:A3740,A3740)</f>
        <v>68</v>
      </c>
      <c r="P3740" t="str">
        <f t="shared" si="176"/>
        <v>Ty Montgomery12</v>
      </c>
    </row>
    <row r="3741" spans="1:16" x14ac:dyDescent="0.25">
      <c r="A3741">
        <v>2</v>
      </c>
      <c r="B3741" t="s">
        <v>268</v>
      </c>
      <c r="C3741">
        <f>-0.36-5.74</f>
        <v>-6.1000000000000005</v>
      </c>
      <c r="D3741">
        <v>2.69</v>
      </c>
      <c r="E3741" t="s">
        <v>22</v>
      </c>
      <c r="F3741" t="s">
        <v>47</v>
      </c>
      <c r="G3741">
        <v>5.74</v>
      </c>
      <c r="H3741">
        <v>-0.36</v>
      </c>
      <c r="I3741">
        <v>3.05</v>
      </c>
      <c r="J3741">
        <v>9.3025000000000002</v>
      </c>
      <c r="K3741" t="str">
        <f>IFERROR(INDEX(Rosters!$C$2:$C$155,MATCH($B3741,Rosters!$B$2:$B$155,0)),"NA")</f>
        <v>NA</v>
      </c>
      <c r="L3741" t="str">
        <f t="shared" si="174"/>
        <v>NA2RB</v>
      </c>
      <c r="M3741">
        <f>COUNTIF(L$1:L3741,L3741)</f>
        <v>21</v>
      </c>
      <c r="N3741" t="str">
        <f t="shared" si="175"/>
        <v>NA2RB-21</v>
      </c>
      <c r="O3741">
        <f>COUNTIFS(F$1:F3741,F3741,A$1:A3741,A3741)</f>
        <v>63</v>
      </c>
      <c r="P3741" t="str">
        <f t="shared" si="176"/>
        <v>Wayne Gallman2</v>
      </c>
    </row>
    <row r="3742" spans="1:16" x14ac:dyDescent="0.25">
      <c r="A3742">
        <v>2</v>
      </c>
      <c r="B3742" t="s">
        <v>373</v>
      </c>
      <c r="C3742">
        <f>-0.19-5.55</f>
        <v>-5.74</v>
      </c>
      <c r="D3742">
        <v>2.68</v>
      </c>
      <c r="E3742" t="s">
        <v>22</v>
      </c>
      <c r="F3742" t="s">
        <v>87</v>
      </c>
      <c r="G3742">
        <v>5.55</v>
      </c>
      <c r="H3742">
        <v>-0.19</v>
      </c>
      <c r="I3742">
        <v>2.87</v>
      </c>
      <c r="J3742">
        <v>8.2369000000000003</v>
      </c>
      <c r="K3742" t="str">
        <f>IFERROR(INDEX(Rosters!$C$2:$C$155,MATCH($B3742,Rosters!$B$2:$B$155,0)),"NA")</f>
        <v>NA</v>
      </c>
      <c r="L3742" t="str">
        <f t="shared" si="174"/>
        <v>NA2WR</v>
      </c>
      <c r="M3742">
        <f>COUNTIF(L$1:L3742,L3742)</f>
        <v>39</v>
      </c>
      <c r="N3742" t="str">
        <f t="shared" si="175"/>
        <v>NA2WR-39</v>
      </c>
      <c r="O3742">
        <f>COUNTIFS(F$1:F3742,F3742,A$1:A3742,A3742)</f>
        <v>87</v>
      </c>
      <c r="P3742" t="str">
        <f t="shared" si="176"/>
        <v>Cody Latimer2</v>
      </c>
    </row>
    <row r="3743" spans="1:16" x14ac:dyDescent="0.25">
      <c r="A3743">
        <v>16</v>
      </c>
      <c r="B3743" t="s">
        <v>230</v>
      </c>
      <c r="C3743" t="s">
        <v>8286</v>
      </c>
      <c r="D3743">
        <v>2.68</v>
      </c>
      <c r="E3743" t="s">
        <v>38</v>
      </c>
      <c r="F3743" t="s">
        <v>87</v>
      </c>
      <c r="G3743">
        <v>4.87</v>
      </c>
      <c r="H3743">
        <v>0.49</v>
      </c>
      <c r="I3743">
        <v>2.19</v>
      </c>
      <c r="J3743">
        <v>4.7961</v>
      </c>
      <c r="K3743" t="str">
        <f>IFERROR(INDEX(Rosters!$C$2:$C$155,MATCH($B3743,Rosters!$B$2:$B$155,0)),"NA")</f>
        <v>NA</v>
      </c>
      <c r="L3743" t="str">
        <f t="shared" si="174"/>
        <v>NA16WR</v>
      </c>
      <c r="M3743">
        <f>COUNTIF(L$1:L3743,L3743)</f>
        <v>50</v>
      </c>
      <c r="N3743" t="str">
        <f t="shared" si="175"/>
        <v>NA16WR-50</v>
      </c>
      <c r="O3743">
        <f>COUNTIFS(F$1:F3743,F3743,A$1:A3743,A3743)</f>
        <v>104</v>
      </c>
      <c r="P3743" t="str">
        <f t="shared" si="176"/>
        <v>Josh Doctson16</v>
      </c>
    </row>
    <row r="3744" spans="1:16" x14ac:dyDescent="0.25">
      <c r="A3744">
        <v>4</v>
      </c>
      <c r="B3744" t="s">
        <v>287</v>
      </c>
      <c r="C3744">
        <f>-0.05-5.41</f>
        <v>-5.46</v>
      </c>
      <c r="D3744">
        <v>2.68</v>
      </c>
      <c r="E3744" t="s">
        <v>54</v>
      </c>
      <c r="F3744" t="s">
        <v>114</v>
      </c>
      <c r="G3744">
        <v>5.41</v>
      </c>
      <c r="H3744">
        <v>-0.05</v>
      </c>
      <c r="I3744">
        <v>2.73</v>
      </c>
      <c r="J3744">
        <v>7.4528999999999996</v>
      </c>
      <c r="K3744" t="str">
        <f>IFERROR(INDEX(Rosters!$C$2:$C$155,MATCH($B3744,Rosters!$B$2:$B$155,0)),"NA")</f>
        <v>NA</v>
      </c>
      <c r="L3744" t="str">
        <f t="shared" si="174"/>
        <v>NA4TE</v>
      </c>
      <c r="M3744">
        <f>COUNTIF(L$1:L3744,L3744)</f>
        <v>20</v>
      </c>
      <c r="N3744" t="str">
        <f t="shared" si="175"/>
        <v>NA4TE-20</v>
      </c>
      <c r="O3744">
        <f>COUNTIFS(F$1:F3744,F3744,A$1:A3744,A3744)</f>
        <v>31</v>
      </c>
      <c r="P3744" t="str">
        <f t="shared" si="176"/>
        <v>Josh Hill4</v>
      </c>
    </row>
    <row r="3745" spans="1:16" x14ac:dyDescent="0.25">
      <c r="A3745">
        <v>13</v>
      </c>
      <c r="B3745" t="s">
        <v>1423</v>
      </c>
      <c r="C3745">
        <f>-0.57-5.93</f>
        <v>-6.5</v>
      </c>
      <c r="D3745">
        <v>2.68</v>
      </c>
      <c r="E3745" t="s">
        <v>29</v>
      </c>
      <c r="F3745" t="s">
        <v>114</v>
      </c>
      <c r="G3745">
        <v>5.93</v>
      </c>
      <c r="H3745">
        <v>-0.56999999999999995</v>
      </c>
      <c r="I3745">
        <v>3.25</v>
      </c>
      <c r="J3745">
        <v>10.5625</v>
      </c>
      <c r="K3745" t="str">
        <f>IFERROR(INDEX(Rosters!$C$2:$C$155,MATCH($B3745,Rosters!$B$2:$B$155,0)),"NA")</f>
        <v>NA</v>
      </c>
      <c r="L3745" t="str">
        <f t="shared" si="174"/>
        <v>NA13TE</v>
      </c>
      <c r="M3745">
        <f>COUNTIF(L$1:L3745,L3745)</f>
        <v>24</v>
      </c>
      <c r="N3745" t="str">
        <f t="shared" si="175"/>
        <v>NA13TE-24</v>
      </c>
      <c r="O3745">
        <f>COUNTIFS(F$1:F3745,F3745,A$1:A3745,A3745)</f>
        <v>38</v>
      </c>
      <c r="P3745" t="str">
        <f t="shared" si="176"/>
        <v>Michael Gesicki13</v>
      </c>
    </row>
    <row r="3746" spans="1:16" x14ac:dyDescent="0.25">
      <c r="A3746">
        <v>8</v>
      </c>
      <c r="B3746" t="s">
        <v>244</v>
      </c>
      <c r="C3746" t="s">
        <v>8287</v>
      </c>
      <c r="D3746">
        <v>2.68</v>
      </c>
      <c r="E3746" t="s">
        <v>41</v>
      </c>
      <c r="F3746" t="s">
        <v>114</v>
      </c>
      <c r="G3746">
        <v>4.99</v>
      </c>
      <c r="H3746">
        <v>0.37</v>
      </c>
      <c r="I3746">
        <v>2.31</v>
      </c>
      <c r="J3746">
        <v>5.3361000000000001</v>
      </c>
      <c r="K3746" t="str">
        <f>IFERROR(INDEX(Rosters!$C$2:$C$155,MATCH($B3746,Rosters!$B$2:$B$155,0)),"NA")</f>
        <v>NA</v>
      </c>
      <c r="L3746" t="str">
        <f t="shared" si="174"/>
        <v>NA8TE</v>
      </c>
      <c r="M3746">
        <f>COUNTIF(L$1:L3746,L3746)</f>
        <v>15</v>
      </c>
      <c r="N3746" t="str">
        <f t="shared" si="175"/>
        <v>NA8TE-15</v>
      </c>
      <c r="O3746">
        <f>COUNTIFS(F$1:F3746,F3746,A$1:A3746,A3746)</f>
        <v>27</v>
      </c>
      <c r="P3746" t="str">
        <f t="shared" si="176"/>
        <v>Tyler Higbee8</v>
      </c>
    </row>
    <row r="3747" spans="1:16" x14ac:dyDescent="0.25">
      <c r="A3747">
        <v>17</v>
      </c>
      <c r="B3747" t="s">
        <v>2667</v>
      </c>
      <c r="C3747" t="s">
        <v>8288</v>
      </c>
      <c r="D3747">
        <v>2.67</v>
      </c>
      <c r="E3747" t="s">
        <v>42</v>
      </c>
      <c r="F3747" t="s">
        <v>114</v>
      </c>
      <c r="G3747">
        <v>4.92</v>
      </c>
      <c r="H3747">
        <v>0.42</v>
      </c>
      <c r="I3747">
        <v>2.25</v>
      </c>
      <c r="J3747">
        <v>5.0625</v>
      </c>
      <c r="K3747" t="str">
        <f>IFERROR(INDEX(Rosters!$C$2:$C$155,MATCH($B3747,Rosters!$B$2:$B$155,0)),"NA")</f>
        <v>NA</v>
      </c>
      <c r="L3747" t="str">
        <f t="shared" si="174"/>
        <v>NA17TE</v>
      </c>
      <c r="M3747">
        <f>COUNTIF(L$1:L3747,L3747)</f>
        <v>20</v>
      </c>
      <c r="N3747" t="str">
        <f t="shared" si="175"/>
        <v>NA17TE-20</v>
      </c>
      <c r="O3747">
        <f>COUNTIFS(F$1:F3747,F3747,A$1:A3747,A3747)</f>
        <v>34</v>
      </c>
      <c r="P3747" t="str">
        <f t="shared" si="176"/>
        <v>Antonio Gates17</v>
      </c>
    </row>
    <row r="3748" spans="1:16" x14ac:dyDescent="0.25">
      <c r="A3748">
        <v>17</v>
      </c>
      <c r="B3748" t="s">
        <v>301</v>
      </c>
      <c r="C3748">
        <f>-0.77-6.11</f>
        <v>-6.8800000000000008</v>
      </c>
      <c r="D3748">
        <v>2.67</v>
      </c>
      <c r="E3748" t="s">
        <v>51</v>
      </c>
      <c r="F3748" t="s">
        <v>114</v>
      </c>
      <c r="G3748">
        <v>6.11</v>
      </c>
      <c r="H3748">
        <v>-0.77</v>
      </c>
      <c r="I3748">
        <v>3.44</v>
      </c>
      <c r="J3748">
        <v>11.833600000000001</v>
      </c>
      <c r="K3748" t="str">
        <f>IFERROR(INDEX(Rosters!$C$2:$C$155,MATCH($B3748,Rosters!$B$2:$B$155,0)),"NA")</f>
        <v>NA</v>
      </c>
      <c r="L3748" t="str">
        <f t="shared" si="174"/>
        <v>NA17TE</v>
      </c>
      <c r="M3748">
        <f>COUNTIF(L$1:L3748,L3748)</f>
        <v>21</v>
      </c>
      <c r="N3748" t="str">
        <f t="shared" si="175"/>
        <v>NA17TE-21</v>
      </c>
      <c r="O3748">
        <f>COUNTIFS(F$1:F3748,F3748,A$1:A3748,A3748)</f>
        <v>35</v>
      </c>
      <c r="P3748" t="str">
        <f t="shared" si="176"/>
        <v>C.J. Uzomah17</v>
      </c>
    </row>
    <row r="3749" spans="1:16" x14ac:dyDescent="0.25">
      <c r="A3749">
        <v>11</v>
      </c>
      <c r="B3749" t="s">
        <v>310</v>
      </c>
      <c r="C3749">
        <f>-0.44-5.78</f>
        <v>-6.2200000000000006</v>
      </c>
      <c r="D3749">
        <v>2.67</v>
      </c>
      <c r="E3749" t="s">
        <v>56</v>
      </c>
      <c r="F3749" t="s">
        <v>114</v>
      </c>
      <c r="G3749">
        <v>5.78</v>
      </c>
      <c r="H3749">
        <v>-0.44</v>
      </c>
      <c r="I3749">
        <v>3.11</v>
      </c>
      <c r="J3749">
        <v>9.6721000000000004</v>
      </c>
      <c r="K3749" t="str">
        <f>IFERROR(INDEX(Rosters!$C$2:$C$155,MATCH($B3749,Rosters!$B$2:$B$155,0)),"NA")</f>
        <v>NA</v>
      </c>
      <c r="L3749" t="str">
        <f t="shared" si="174"/>
        <v>NA11TE</v>
      </c>
      <c r="M3749">
        <f>COUNTIF(L$1:L3749,L3749)</f>
        <v>23</v>
      </c>
      <c r="N3749" t="str">
        <f t="shared" si="175"/>
        <v>NA11TE-23</v>
      </c>
      <c r="O3749">
        <f>COUNTIFS(F$1:F3749,F3749,A$1:A3749,A3749)</f>
        <v>35</v>
      </c>
      <c r="P3749" t="str">
        <f t="shared" si="176"/>
        <v>Demetrius Harris11</v>
      </c>
    </row>
    <row r="3750" spans="1:16" x14ac:dyDescent="0.25">
      <c r="A3750">
        <v>3</v>
      </c>
      <c r="B3750" t="s">
        <v>309</v>
      </c>
      <c r="C3750" t="s">
        <v>3781</v>
      </c>
      <c r="D3750">
        <v>2.67</v>
      </c>
      <c r="E3750" t="s">
        <v>28</v>
      </c>
      <c r="F3750" t="s">
        <v>114</v>
      </c>
      <c r="G3750">
        <v>5.03</v>
      </c>
      <c r="H3750">
        <v>0.31</v>
      </c>
      <c r="I3750">
        <v>2.36</v>
      </c>
      <c r="J3750">
        <v>5.5696000000000003</v>
      </c>
      <c r="K3750" t="str">
        <f>IFERROR(INDEX(Rosters!$C$2:$C$155,MATCH($B3750,Rosters!$B$2:$B$155,0)),"NA")</f>
        <v>NA</v>
      </c>
      <c r="L3750" t="str">
        <f t="shared" si="174"/>
        <v>NA3TE</v>
      </c>
      <c r="M3750">
        <f>COUNTIF(L$1:L3750,L3750)</f>
        <v>17</v>
      </c>
      <c r="N3750" t="str">
        <f t="shared" si="175"/>
        <v>NA3TE-17</v>
      </c>
      <c r="O3750">
        <f>COUNTIFS(F$1:F3750,F3750,A$1:A3750,A3750)</f>
        <v>29</v>
      </c>
      <c r="P3750" t="str">
        <f t="shared" si="176"/>
        <v>Geoff Swaim3</v>
      </c>
    </row>
    <row r="3751" spans="1:16" x14ac:dyDescent="0.25">
      <c r="A3751">
        <v>2</v>
      </c>
      <c r="B3751" t="s">
        <v>262</v>
      </c>
      <c r="C3751" t="s">
        <v>1778</v>
      </c>
      <c r="D3751">
        <v>2.67</v>
      </c>
      <c r="E3751" t="s">
        <v>41</v>
      </c>
      <c r="F3751" t="s">
        <v>87</v>
      </c>
      <c r="G3751">
        <v>5.26</v>
      </c>
      <c r="H3751">
        <v>0.08</v>
      </c>
      <c r="I3751">
        <v>2.59</v>
      </c>
      <c r="J3751">
        <v>6.7081</v>
      </c>
      <c r="K3751" t="str">
        <f>IFERROR(INDEX(Rosters!$C$2:$C$155,MATCH($B3751,Rosters!$B$2:$B$155,0)),"NA")</f>
        <v>NA</v>
      </c>
      <c r="L3751" t="str">
        <f t="shared" si="174"/>
        <v>NA2WR</v>
      </c>
      <c r="M3751">
        <f>COUNTIF(L$1:L3751,L3751)</f>
        <v>40</v>
      </c>
      <c r="N3751" t="str">
        <f t="shared" si="175"/>
        <v>NA2WR-40</v>
      </c>
      <c r="O3751">
        <f>COUNTIFS(F$1:F3751,F3751,A$1:A3751,A3751)</f>
        <v>88</v>
      </c>
      <c r="P3751" t="str">
        <f t="shared" si="176"/>
        <v>Laquon Treadwell2</v>
      </c>
    </row>
    <row r="3752" spans="1:16" x14ac:dyDescent="0.25">
      <c r="A3752">
        <v>12</v>
      </c>
      <c r="B3752" t="s">
        <v>1423</v>
      </c>
      <c r="C3752">
        <f>-0.3-5.64</f>
        <v>-5.9399999999999995</v>
      </c>
      <c r="D3752">
        <v>2.67</v>
      </c>
      <c r="E3752" t="s">
        <v>66</v>
      </c>
      <c r="F3752" t="s">
        <v>114</v>
      </c>
      <c r="G3752">
        <v>5.64</v>
      </c>
      <c r="H3752">
        <v>-0.3</v>
      </c>
      <c r="I3752">
        <v>2.97</v>
      </c>
      <c r="J3752">
        <v>8.8209</v>
      </c>
      <c r="K3752" t="str">
        <f>IFERROR(INDEX(Rosters!$C$2:$C$155,MATCH($B3752,Rosters!$B$2:$B$155,0)),"NA")</f>
        <v>NA</v>
      </c>
      <c r="L3752" t="str">
        <f t="shared" si="174"/>
        <v>NA12TE</v>
      </c>
      <c r="M3752">
        <f>COUNTIF(L$1:L3752,L3752)</f>
        <v>21</v>
      </c>
      <c r="N3752" t="str">
        <f t="shared" si="175"/>
        <v>NA12TE-21</v>
      </c>
      <c r="O3752">
        <f>COUNTIFS(F$1:F3752,F3752,A$1:A3752,A3752)</f>
        <v>34</v>
      </c>
      <c r="P3752" t="str">
        <f t="shared" si="176"/>
        <v>Michael Gesicki12</v>
      </c>
    </row>
    <row r="3753" spans="1:16" x14ac:dyDescent="0.25">
      <c r="A3753">
        <v>13</v>
      </c>
      <c r="B3753" t="s">
        <v>798</v>
      </c>
      <c r="C3753" t="s">
        <v>8289</v>
      </c>
      <c r="D3753">
        <v>2.67</v>
      </c>
      <c r="E3753" t="s">
        <v>36</v>
      </c>
      <c r="F3753" t="s">
        <v>87</v>
      </c>
      <c r="G3753">
        <v>5.15</v>
      </c>
      <c r="H3753">
        <v>0.19</v>
      </c>
      <c r="I3753">
        <v>2.48</v>
      </c>
      <c r="J3753">
        <v>6.1504000000000003</v>
      </c>
      <c r="K3753" t="str">
        <f>IFERROR(INDEX(Rosters!$C$2:$C$155,MATCH($B3753,Rosters!$B$2:$B$155,0)),"NA")</f>
        <v>NA</v>
      </c>
      <c r="L3753" t="str">
        <f t="shared" si="174"/>
        <v>NA13WR</v>
      </c>
      <c r="M3753">
        <f>COUNTIF(L$1:L3753,L3753)</f>
        <v>51</v>
      </c>
      <c r="N3753" t="str">
        <f t="shared" si="175"/>
        <v>NA13WR-51</v>
      </c>
      <c r="O3753">
        <f>COUNTIFS(F$1:F3753,F3753,A$1:A3753,A3753)</f>
        <v>105</v>
      </c>
      <c r="P3753" t="str">
        <f t="shared" si="176"/>
        <v>Rashard Higgins13</v>
      </c>
    </row>
    <row r="3754" spans="1:16" x14ac:dyDescent="0.25">
      <c r="A3754">
        <v>15</v>
      </c>
      <c r="B3754" t="s">
        <v>387</v>
      </c>
      <c r="C3754">
        <f>-0.16-5.5</f>
        <v>-5.66</v>
      </c>
      <c r="D3754">
        <v>2.67</v>
      </c>
      <c r="E3754" t="s">
        <v>38</v>
      </c>
      <c r="F3754" t="s">
        <v>114</v>
      </c>
      <c r="G3754">
        <v>5.5</v>
      </c>
      <c r="H3754">
        <v>-0.16</v>
      </c>
      <c r="I3754">
        <v>2.83</v>
      </c>
      <c r="J3754">
        <v>8.0089000000000006</v>
      </c>
      <c r="K3754" t="str">
        <f>IFERROR(INDEX(Rosters!$C$2:$C$155,MATCH($B3754,Rosters!$B$2:$B$155,0)),"NA")</f>
        <v>NA</v>
      </c>
      <c r="L3754" t="str">
        <f t="shared" si="174"/>
        <v>NA15TE</v>
      </c>
      <c r="M3754">
        <f>COUNTIF(L$1:L3754,L3754)</f>
        <v>21</v>
      </c>
      <c r="N3754" t="str">
        <f t="shared" si="175"/>
        <v>NA15TE-21</v>
      </c>
      <c r="O3754">
        <f>COUNTIFS(F$1:F3754,F3754,A$1:A3754,A3754)</f>
        <v>35</v>
      </c>
      <c r="P3754" t="str">
        <f t="shared" si="176"/>
        <v>Rhett Ellison15</v>
      </c>
    </row>
    <row r="3755" spans="1:16" x14ac:dyDescent="0.25">
      <c r="A3755">
        <v>16</v>
      </c>
      <c r="B3755" t="s">
        <v>387</v>
      </c>
      <c r="C3755">
        <f>-0.16-5.5</f>
        <v>-5.66</v>
      </c>
      <c r="D3755">
        <v>2.67</v>
      </c>
      <c r="E3755" t="s">
        <v>66</v>
      </c>
      <c r="F3755" t="s">
        <v>114</v>
      </c>
      <c r="G3755">
        <v>5.5</v>
      </c>
      <c r="H3755">
        <v>-0.16</v>
      </c>
      <c r="I3755">
        <v>2.83</v>
      </c>
      <c r="J3755">
        <v>8.0089000000000006</v>
      </c>
      <c r="K3755" t="str">
        <f>IFERROR(INDEX(Rosters!$C$2:$C$155,MATCH($B3755,Rosters!$B$2:$B$155,0)),"NA")</f>
        <v>NA</v>
      </c>
      <c r="L3755" t="str">
        <f t="shared" si="174"/>
        <v>NA16TE</v>
      </c>
      <c r="M3755">
        <f>COUNTIF(L$1:L3755,L3755)</f>
        <v>22</v>
      </c>
      <c r="N3755" t="str">
        <f t="shared" si="175"/>
        <v>NA16TE-22</v>
      </c>
      <c r="O3755">
        <f>COUNTIFS(F$1:F3755,F3755,A$1:A3755,A3755)</f>
        <v>36</v>
      </c>
      <c r="P3755" t="str">
        <f t="shared" si="176"/>
        <v>Rhett Ellison16</v>
      </c>
    </row>
    <row r="3756" spans="1:16" x14ac:dyDescent="0.25">
      <c r="A3756">
        <v>10</v>
      </c>
      <c r="B3756" t="s">
        <v>297</v>
      </c>
      <c r="C3756" t="s">
        <v>8290</v>
      </c>
      <c r="D3756">
        <v>2.67</v>
      </c>
      <c r="E3756" t="s">
        <v>46</v>
      </c>
      <c r="F3756" t="s">
        <v>114</v>
      </c>
      <c r="G3756">
        <v>5.17</v>
      </c>
      <c r="H3756">
        <v>0.17</v>
      </c>
      <c r="I3756">
        <v>2.5</v>
      </c>
      <c r="J3756">
        <v>6.25</v>
      </c>
      <c r="K3756" t="str">
        <f>IFERROR(INDEX(Rosters!$C$2:$C$155,MATCH($B3756,Rosters!$B$2:$B$155,0)),"NA")</f>
        <v>NA</v>
      </c>
      <c r="L3756" t="str">
        <f t="shared" si="174"/>
        <v>NA10TE</v>
      </c>
      <c r="M3756">
        <f>COUNTIF(L$1:L3756,L3756)</f>
        <v>20</v>
      </c>
      <c r="N3756" t="str">
        <f t="shared" si="175"/>
        <v>NA10TE-20</v>
      </c>
      <c r="O3756">
        <f>COUNTIFS(F$1:F3756,F3756,A$1:A3756,A3756)</f>
        <v>33</v>
      </c>
      <c r="P3756" t="str">
        <f t="shared" si="176"/>
        <v>Seth DeValve10</v>
      </c>
    </row>
    <row r="3757" spans="1:16" x14ac:dyDescent="0.25">
      <c r="A3757">
        <v>3</v>
      </c>
      <c r="B3757" t="s">
        <v>303</v>
      </c>
      <c r="C3757">
        <f>-0.92-6.26</f>
        <v>-7.18</v>
      </c>
      <c r="D3757">
        <v>2.67</v>
      </c>
      <c r="E3757" t="s">
        <v>76</v>
      </c>
      <c r="F3757" t="s">
        <v>87</v>
      </c>
      <c r="G3757">
        <v>6.26</v>
      </c>
      <c r="H3757">
        <v>-0.92</v>
      </c>
      <c r="I3757">
        <v>3.59</v>
      </c>
      <c r="J3757">
        <v>12.8881</v>
      </c>
      <c r="K3757" t="str">
        <f>IFERROR(INDEX(Rosters!$C$2:$C$155,MATCH($B3757,Rosters!$B$2:$B$155,0)),"NA")</f>
        <v>NA</v>
      </c>
      <c r="L3757" t="str">
        <f t="shared" si="174"/>
        <v>NA3WR</v>
      </c>
      <c r="M3757">
        <f>COUNTIF(L$1:L3757,L3757)</f>
        <v>42</v>
      </c>
      <c r="N3757" t="str">
        <f t="shared" si="175"/>
        <v>NA3WR-42</v>
      </c>
      <c r="O3757">
        <f>COUNTIFS(F$1:F3757,F3757,A$1:A3757,A3757)</f>
        <v>90</v>
      </c>
      <c r="P3757" t="str">
        <f t="shared" si="176"/>
        <v>Taywan Taylor3</v>
      </c>
    </row>
    <row r="3758" spans="1:16" x14ac:dyDescent="0.25">
      <c r="A3758">
        <v>13</v>
      </c>
      <c r="B3758" t="s">
        <v>233</v>
      </c>
      <c r="C3758" t="s">
        <v>8291</v>
      </c>
      <c r="D3758">
        <v>2.66</v>
      </c>
      <c r="E3758" t="s">
        <v>17</v>
      </c>
      <c r="F3758" t="s">
        <v>87</v>
      </c>
      <c r="G3758">
        <v>5.23</v>
      </c>
      <c r="H3758">
        <v>0.09</v>
      </c>
      <c r="I3758">
        <v>2.57</v>
      </c>
      <c r="J3758">
        <v>6.6048999999999998</v>
      </c>
      <c r="K3758" t="str">
        <f>IFERROR(INDEX(Rosters!$C$2:$C$155,MATCH($B3758,Rosters!$B$2:$B$155,0)),"NA")</f>
        <v>NA</v>
      </c>
      <c r="L3758" t="str">
        <f t="shared" si="174"/>
        <v>NA13WR</v>
      </c>
      <c r="M3758">
        <f>COUNTIF(L$1:L3758,L3758)</f>
        <v>52</v>
      </c>
      <c r="N3758" t="str">
        <f t="shared" si="175"/>
        <v>NA13WR-52</v>
      </c>
      <c r="O3758">
        <f>COUNTIFS(F$1:F3758,F3758,A$1:A3758,A3758)</f>
        <v>106</v>
      </c>
      <c r="P3758" t="str">
        <f t="shared" si="176"/>
        <v>Curtis Samuel13</v>
      </c>
    </row>
    <row r="3759" spans="1:16" x14ac:dyDescent="0.25">
      <c r="A3759">
        <v>16</v>
      </c>
      <c r="B3759" t="s">
        <v>378</v>
      </c>
      <c r="C3759" t="s">
        <v>4617</v>
      </c>
      <c r="D3759">
        <v>2.66</v>
      </c>
      <c r="E3759" t="s">
        <v>76</v>
      </c>
      <c r="F3759" t="s">
        <v>87</v>
      </c>
      <c r="G3759">
        <v>5.22</v>
      </c>
      <c r="H3759">
        <v>0.1</v>
      </c>
      <c r="I3759">
        <v>2.56</v>
      </c>
      <c r="J3759">
        <v>6.5536000000000003</v>
      </c>
      <c r="K3759" t="str">
        <f>IFERROR(INDEX(Rosters!$C$2:$C$155,MATCH($B3759,Rosters!$B$2:$B$155,0)),"NA")</f>
        <v>NA</v>
      </c>
      <c r="L3759" t="str">
        <f t="shared" si="174"/>
        <v>NA16WR</v>
      </c>
      <c r="M3759">
        <f>COUNTIF(L$1:L3759,L3759)</f>
        <v>51</v>
      </c>
      <c r="N3759" t="str">
        <f t="shared" si="175"/>
        <v>NA16WR-51</v>
      </c>
      <c r="O3759">
        <f>COUNTIFS(F$1:F3759,F3759,A$1:A3759,A3759)</f>
        <v>105</v>
      </c>
      <c r="P3759" t="str">
        <f t="shared" si="176"/>
        <v>Jakeem Grant16</v>
      </c>
    </row>
    <row r="3760" spans="1:16" x14ac:dyDescent="0.25">
      <c r="A3760">
        <v>1</v>
      </c>
      <c r="B3760" t="s">
        <v>253</v>
      </c>
      <c r="C3760">
        <f>-0.26-5.58</f>
        <v>-5.84</v>
      </c>
      <c r="D3760">
        <v>2.66</v>
      </c>
      <c r="E3760" t="s">
        <v>50</v>
      </c>
      <c r="F3760" t="s">
        <v>87</v>
      </c>
      <c r="G3760">
        <v>5.58</v>
      </c>
      <c r="H3760">
        <v>-0.26</v>
      </c>
      <c r="I3760">
        <v>2.92</v>
      </c>
      <c r="J3760">
        <v>8.5264000000000006</v>
      </c>
      <c r="K3760" t="str">
        <f>IFERROR(INDEX(Rosters!$C$2:$C$155,MATCH($B3760,Rosters!$B$2:$B$155,0)),"NA")</f>
        <v>NA</v>
      </c>
      <c r="L3760" t="str">
        <f t="shared" si="174"/>
        <v>NA1WR</v>
      </c>
      <c r="M3760">
        <f>COUNTIF(L$1:L3760,L3760)</f>
        <v>38</v>
      </c>
      <c r="N3760" t="str">
        <f t="shared" si="175"/>
        <v>NA1WR-38</v>
      </c>
      <c r="O3760">
        <f>COUNTIFS(F$1:F3760,F3760,A$1:A3760,A3760)</f>
        <v>87</v>
      </c>
      <c r="P3760" t="str">
        <f t="shared" si="176"/>
        <v>Justin Hardy1</v>
      </c>
    </row>
    <row r="3761" spans="1:16" x14ac:dyDescent="0.25">
      <c r="A3761">
        <v>3</v>
      </c>
      <c r="B3761" t="s">
        <v>286</v>
      </c>
      <c r="C3761" t="s">
        <v>3782</v>
      </c>
      <c r="D3761">
        <v>2.65</v>
      </c>
      <c r="E3761" t="s">
        <v>32</v>
      </c>
      <c r="F3761" t="s">
        <v>114</v>
      </c>
      <c r="G3761">
        <v>5.17</v>
      </c>
      <c r="H3761">
        <v>0.13</v>
      </c>
      <c r="I3761">
        <v>2.52</v>
      </c>
      <c r="J3761">
        <v>6.3503999999999996</v>
      </c>
      <c r="K3761" t="str">
        <f>IFERROR(INDEX(Rosters!$C$2:$C$155,MATCH($B3761,Rosters!$B$2:$B$155,0)),"NA")</f>
        <v>NA</v>
      </c>
      <c r="L3761" t="str">
        <f t="shared" si="174"/>
        <v>NA3TE</v>
      </c>
      <c r="M3761">
        <f>COUNTIF(L$1:L3761,L3761)</f>
        <v>18</v>
      </c>
      <c r="N3761" t="str">
        <f t="shared" si="175"/>
        <v>NA3TE-18</v>
      </c>
      <c r="O3761">
        <f>COUNTIFS(F$1:F3761,F3761,A$1:A3761,A3761)</f>
        <v>30</v>
      </c>
      <c r="P3761" t="str">
        <f t="shared" si="176"/>
        <v>A.J. Derby3</v>
      </c>
    </row>
    <row r="3762" spans="1:16" x14ac:dyDescent="0.25">
      <c r="A3762">
        <v>8</v>
      </c>
      <c r="B3762" t="s">
        <v>4226</v>
      </c>
      <c r="C3762" t="s">
        <v>8292</v>
      </c>
      <c r="D3762">
        <v>2.65</v>
      </c>
      <c r="E3762" t="s">
        <v>19</v>
      </c>
      <c r="F3762" t="s">
        <v>114</v>
      </c>
      <c r="G3762">
        <v>4.91</v>
      </c>
      <c r="H3762">
        <v>0.39</v>
      </c>
      <c r="I3762">
        <v>2.2599999999999998</v>
      </c>
      <c r="J3762">
        <v>5.1075999999999997</v>
      </c>
      <c r="K3762" t="str">
        <f>IFERROR(INDEX(Rosters!$C$2:$C$155,MATCH($B3762,Rosters!$B$2:$B$155,0)),"NA")</f>
        <v>NA</v>
      </c>
      <c r="L3762" t="str">
        <f t="shared" si="174"/>
        <v>NA8TE</v>
      </c>
      <c r="M3762">
        <f>COUNTIF(L$1:L3762,L3762)</f>
        <v>16</v>
      </c>
      <c r="N3762" t="str">
        <f t="shared" si="175"/>
        <v>NA8TE-16</v>
      </c>
      <c r="O3762">
        <f>COUNTIFS(F$1:F3762,F3762,A$1:A3762,A3762)</f>
        <v>28</v>
      </c>
      <c r="P3762" t="str">
        <f t="shared" si="176"/>
        <v>Jordan Thomas8</v>
      </c>
    </row>
    <row r="3763" spans="1:16" x14ac:dyDescent="0.25">
      <c r="A3763">
        <v>7</v>
      </c>
      <c r="B3763" t="s">
        <v>1483</v>
      </c>
      <c r="C3763" t="s">
        <v>8293</v>
      </c>
      <c r="D3763">
        <v>2.65</v>
      </c>
      <c r="E3763" t="s">
        <v>14</v>
      </c>
      <c r="F3763" t="s">
        <v>15</v>
      </c>
      <c r="G3763">
        <v>3.21</v>
      </c>
      <c r="H3763">
        <v>2.09</v>
      </c>
      <c r="I3763">
        <v>0.56000000000000005</v>
      </c>
      <c r="J3763">
        <v>0.31359999999999999</v>
      </c>
      <c r="K3763" t="str">
        <f>IFERROR(INDEX(Rosters!$C$2:$C$155,MATCH($B3763,Rosters!$B$2:$B$155,0)),"NA")</f>
        <v>NA</v>
      </c>
      <c r="L3763" t="str">
        <f t="shared" si="174"/>
        <v>NA7QB</v>
      </c>
      <c r="M3763">
        <f>COUNTIF(L$1:L3763,L3763)</f>
        <v>15</v>
      </c>
      <c r="N3763" t="str">
        <f t="shared" si="175"/>
        <v>NA7QB-15</v>
      </c>
      <c r="O3763">
        <f>COUNTIFS(F$1:F3763,F3763,A$1:A3763,A3763)</f>
        <v>29</v>
      </c>
      <c r="P3763" t="str">
        <f t="shared" si="176"/>
        <v>Lamar Jackson7</v>
      </c>
    </row>
    <row r="3764" spans="1:16" x14ac:dyDescent="0.25">
      <c r="A3764">
        <v>15</v>
      </c>
      <c r="B3764" t="s">
        <v>798</v>
      </c>
      <c r="C3764" t="s">
        <v>8294</v>
      </c>
      <c r="D3764">
        <v>2.65</v>
      </c>
      <c r="E3764" t="s">
        <v>42</v>
      </c>
      <c r="F3764" t="s">
        <v>87</v>
      </c>
      <c r="G3764">
        <v>4.72</v>
      </c>
      <c r="H3764">
        <v>0.57999999999999996</v>
      </c>
      <c r="I3764">
        <v>2.0699999999999998</v>
      </c>
      <c r="J3764">
        <v>4.2849000000000004</v>
      </c>
      <c r="K3764" t="str">
        <f>IFERROR(INDEX(Rosters!$C$2:$C$155,MATCH($B3764,Rosters!$B$2:$B$155,0)),"NA")</f>
        <v>NA</v>
      </c>
      <c r="L3764" t="str">
        <f t="shared" si="174"/>
        <v>NA15WR</v>
      </c>
      <c r="M3764">
        <f>COUNTIF(L$1:L3764,L3764)</f>
        <v>52</v>
      </c>
      <c r="N3764" t="str">
        <f t="shared" si="175"/>
        <v>NA15WR-52</v>
      </c>
      <c r="O3764">
        <f>COUNTIFS(F$1:F3764,F3764,A$1:A3764,A3764)</f>
        <v>106</v>
      </c>
      <c r="P3764" t="str">
        <f t="shared" si="176"/>
        <v>Rashard Higgins15</v>
      </c>
    </row>
    <row r="3765" spans="1:16" x14ac:dyDescent="0.25">
      <c r="A3765">
        <v>2</v>
      </c>
      <c r="B3765" t="s">
        <v>388</v>
      </c>
      <c r="C3765">
        <f>-0.93-6.23</f>
        <v>-7.16</v>
      </c>
      <c r="D3765">
        <v>2.65</v>
      </c>
      <c r="E3765" t="s">
        <v>54</v>
      </c>
      <c r="F3765" t="s">
        <v>47</v>
      </c>
      <c r="G3765">
        <v>6.23</v>
      </c>
      <c r="H3765">
        <v>-0.93</v>
      </c>
      <c r="I3765">
        <v>3.58</v>
      </c>
      <c r="J3765">
        <v>12.8164</v>
      </c>
      <c r="K3765" t="str">
        <f>IFERROR(INDEX(Rosters!$C$2:$C$155,MATCH($B3765,Rosters!$B$2:$B$155,0)),"NA")</f>
        <v>NA</v>
      </c>
      <c r="L3765" t="str">
        <f t="shared" si="174"/>
        <v>NA2RB</v>
      </c>
      <c r="M3765">
        <f>COUNTIF(L$1:L3765,L3765)</f>
        <v>22</v>
      </c>
      <c r="N3765" t="str">
        <f t="shared" si="175"/>
        <v>NA2RB-22</v>
      </c>
      <c r="O3765">
        <f>COUNTIFS(F$1:F3765,F3765,A$1:A3765,A3765)</f>
        <v>64</v>
      </c>
      <c r="P3765" t="str">
        <f t="shared" si="176"/>
        <v>Rod Smith2</v>
      </c>
    </row>
    <row r="3766" spans="1:16" x14ac:dyDescent="0.25">
      <c r="A3766">
        <v>9</v>
      </c>
      <c r="B3766" t="s">
        <v>1319</v>
      </c>
      <c r="C3766">
        <f>-0.53-5.83</f>
        <v>-6.36</v>
      </c>
      <c r="D3766">
        <v>2.65</v>
      </c>
      <c r="E3766" t="s">
        <v>74</v>
      </c>
      <c r="F3766" t="s">
        <v>47</v>
      </c>
      <c r="G3766">
        <v>5.83</v>
      </c>
      <c r="H3766">
        <v>-0.53</v>
      </c>
      <c r="I3766">
        <v>3.18</v>
      </c>
      <c r="J3766">
        <v>10.112399999999999</v>
      </c>
      <c r="K3766" t="str">
        <f>IFERROR(INDEX(Rosters!$C$2:$C$155,MATCH($B3766,Rosters!$B$2:$B$155,0)),"NA")</f>
        <v>NA</v>
      </c>
      <c r="L3766" t="str">
        <f t="shared" si="174"/>
        <v>NA9RB</v>
      </c>
      <c r="M3766">
        <f>COUNTIF(L$1:L3766,L3766)</f>
        <v>18</v>
      </c>
      <c r="N3766" t="str">
        <f t="shared" si="175"/>
        <v>NA9RB-18</v>
      </c>
      <c r="O3766">
        <f>COUNTIFS(F$1:F3766,F3766,A$1:A3766,A3766)</f>
        <v>58</v>
      </c>
      <c r="P3766" t="str">
        <f t="shared" si="176"/>
        <v>Ronald Jones9</v>
      </c>
    </row>
    <row r="3767" spans="1:16" x14ac:dyDescent="0.25">
      <c r="A3767">
        <v>5</v>
      </c>
      <c r="B3767" t="s">
        <v>1457</v>
      </c>
      <c r="C3767">
        <f>-0.13-5.43</f>
        <v>-5.56</v>
      </c>
      <c r="D3767">
        <v>2.65</v>
      </c>
      <c r="E3767" t="s">
        <v>58</v>
      </c>
      <c r="F3767" t="s">
        <v>87</v>
      </c>
      <c r="G3767">
        <v>5.43</v>
      </c>
      <c r="H3767">
        <v>-0.13</v>
      </c>
      <c r="I3767">
        <v>2.78</v>
      </c>
      <c r="J3767">
        <v>7.7283999999999997</v>
      </c>
      <c r="K3767" t="str">
        <f>IFERROR(INDEX(Rosters!$C$2:$C$155,MATCH($B3767,Rosters!$B$2:$B$155,0)),"NA")</f>
        <v>NA</v>
      </c>
      <c r="L3767" t="str">
        <f t="shared" si="174"/>
        <v>NA5WR</v>
      </c>
      <c r="M3767">
        <f>COUNTIF(L$1:L3767,L3767)</f>
        <v>43</v>
      </c>
      <c r="N3767" t="str">
        <f t="shared" si="175"/>
        <v>NA5WR-43</v>
      </c>
      <c r="O3767">
        <f>COUNTIFS(F$1:F3767,F3767,A$1:A3767,A3767)</f>
        <v>93</v>
      </c>
      <c r="P3767" t="str">
        <f t="shared" si="176"/>
        <v>Trent Taylor5</v>
      </c>
    </row>
    <row r="3768" spans="1:16" x14ac:dyDescent="0.25">
      <c r="A3768">
        <v>17</v>
      </c>
      <c r="B3768" t="s">
        <v>244</v>
      </c>
      <c r="C3768">
        <f>-0.09-5.39</f>
        <v>-5.4799999999999995</v>
      </c>
      <c r="D3768">
        <v>2.65</v>
      </c>
      <c r="E3768" t="s">
        <v>30</v>
      </c>
      <c r="F3768" t="s">
        <v>114</v>
      </c>
      <c r="G3768">
        <v>5.39</v>
      </c>
      <c r="H3768">
        <v>-0.09</v>
      </c>
      <c r="I3768">
        <v>2.74</v>
      </c>
      <c r="J3768">
        <v>7.5076000000000001</v>
      </c>
      <c r="K3768" t="str">
        <f>IFERROR(INDEX(Rosters!$C$2:$C$155,MATCH($B3768,Rosters!$B$2:$B$155,0)),"NA")</f>
        <v>NA</v>
      </c>
      <c r="L3768" t="str">
        <f t="shared" si="174"/>
        <v>NA17TE</v>
      </c>
      <c r="M3768">
        <f>COUNTIF(L$1:L3768,L3768)</f>
        <v>22</v>
      </c>
      <c r="N3768" t="str">
        <f t="shared" si="175"/>
        <v>NA17TE-22</v>
      </c>
      <c r="O3768">
        <f>COUNTIFS(F$1:F3768,F3768,A$1:A3768,A3768)</f>
        <v>36</v>
      </c>
      <c r="P3768" t="str">
        <f t="shared" si="176"/>
        <v>Tyler Higbee17</v>
      </c>
    </row>
    <row r="3769" spans="1:16" x14ac:dyDescent="0.25">
      <c r="A3769">
        <v>17</v>
      </c>
      <c r="B3769" t="s">
        <v>265</v>
      </c>
      <c r="C3769" t="s">
        <v>8295</v>
      </c>
      <c r="D3769">
        <v>2.65</v>
      </c>
      <c r="E3769" t="s">
        <v>50</v>
      </c>
      <c r="F3769" t="s">
        <v>114</v>
      </c>
      <c r="G3769">
        <v>4.82</v>
      </c>
      <c r="H3769">
        <v>0.48</v>
      </c>
      <c r="I3769">
        <v>2.17</v>
      </c>
      <c r="J3769">
        <v>4.7088999999999999</v>
      </c>
      <c r="K3769" t="str">
        <f>IFERROR(INDEX(Rosters!$C$2:$C$155,MATCH($B3769,Rosters!$B$2:$B$155,0)),"NA")</f>
        <v>NA</v>
      </c>
      <c r="L3769" t="str">
        <f t="shared" si="174"/>
        <v>NA17TE</v>
      </c>
      <c r="M3769">
        <f>COUNTIF(L$1:L3769,L3769)</f>
        <v>23</v>
      </c>
      <c r="N3769" t="str">
        <f t="shared" si="175"/>
        <v>NA17TE-23</v>
      </c>
      <c r="O3769">
        <f>COUNTIFS(F$1:F3769,F3769,A$1:A3769,A3769)</f>
        <v>37</v>
      </c>
      <c r="P3769" t="str">
        <f t="shared" si="176"/>
        <v>Vernon Davis17</v>
      </c>
    </row>
    <row r="3770" spans="1:16" x14ac:dyDescent="0.25">
      <c r="A3770">
        <v>16</v>
      </c>
      <c r="B3770" t="s">
        <v>2599</v>
      </c>
      <c r="C3770" t="s">
        <v>8296</v>
      </c>
      <c r="D3770">
        <v>2.64</v>
      </c>
      <c r="E3770" t="s">
        <v>42</v>
      </c>
      <c r="F3770" t="s">
        <v>87</v>
      </c>
      <c r="G3770">
        <v>5.03</v>
      </c>
      <c r="H3770">
        <v>0.25</v>
      </c>
      <c r="I3770">
        <v>2.39</v>
      </c>
      <c r="J3770">
        <v>5.7121000000000004</v>
      </c>
      <c r="K3770" t="str">
        <f>IFERROR(INDEX(Rosters!$C$2:$C$155,MATCH($B3770,Rosters!$B$2:$B$155,0)),"NA")</f>
        <v>NA</v>
      </c>
      <c r="L3770" t="str">
        <f t="shared" si="174"/>
        <v>NA16WR</v>
      </c>
      <c r="M3770">
        <f>COUNTIF(L$1:L3770,L3770)</f>
        <v>52</v>
      </c>
      <c r="N3770" t="str">
        <f t="shared" si="175"/>
        <v>NA16WR-52</v>
      </c>
      <c r="O3770">
        <f>COUNTIFS(F$1:F3770,F3770,A$1:A3770,A3770)</f>
        <v>106</v>
      </c>
      <c r="P3770" t="str">
        <f t="shared" si="176"/>
        <v>Brandon LaFell16</v>
      </c>
    </row>
    <row r="3771" spans="1:16" x14ac:dyDescent="0.25">
      <c r="A3771">
        <v>8</v>
      </c>
      <c r="B3771" t="s">
        <v>1124</v>
      </c>
      <c r="C3771" t="s">
        <v>8297</v>
      </c>
      <c r="D3771">
        <v>2.64</v>
      </c>
      <c r="E3771" t="s">
        <v>42</v>
      </c>
      <c r="F3771" t="s">
        <v>87</v>
      </c>
      <c r="G3771">
        <v>4.8600000000000003</v>
      </c>
      <c r="H3771">
        <v>0.42</v>
      </c>
      <c r="I3771">
        <v>2.2200000000000002</v>
      </c>
      <c r="J3771">
        <v>4.9283999999999999</v>
      </c>
      <c r="K3771" t="str">
        <f>IFERROR(INDEX(Rosters!$C$2:$C$155,MATCH($B3771,Rosters!$B$2:$B$155,0)),"NA")</f>
        <v>NA</v>
      </c>
      <c r="L3771" t="str">
        <f t="shared" si="174"/>
        <v>NA8WR</v>
      </c>
      <c r="M3771">
        <f>COUNTIF(L$1:L3771,L3771)</f>
        <v>43</v>
      </c>
      <c r="N3771" t="str">
        <f t="shared" si="175"/>
        <v>NA8WR-43</v>
      </c>
      <c r="O3771">
        <f>COUNTIFS(F$1:F3771,F3771,A$1:A3771,A3771)</f>
        <v>91</v>
      </c>
      <c r="P3771" t="str">
        <f t="shared" si="176"/>
        <v>Chris Conley8</v>
      </c>
    </row>
    <row r="3772" spans="1:16" x14ac:dyDescent="0.25">
      <c r="A3772">
        <v>5</v>
      </c>
      <c r="B3772" t="s">
        <v>1478</v>
      </c>
      <c r="C3772">
        <f>-0.24-5.52</f>
        <v>-5.76</v>
      </c>
      <c r="D3772">
        <v>2.64</v>
      </c>
      <c r="E3772" t="s">
        <v>25</v>
      </c>
      <c r="F3772" t="s">
        <v>114</v>
      </c>
      <c r="G3772">
        <v>5.52</v>
      </c>
      <c r="H3772">
        <v>-0.24</v>
      </c>
      <c r="I3772">
        <v>2.88</v>
      </c>
      <c r="J3772">
        <v>8.2943999999999996</v>
      </c>
      <c r="K3772" t="str">
        <f>IFERROR(INDEX(Rosters!$C$2:$C$155,MATCH($B3772,Rosters!$B$2:$B$155,0)),"NA")</f>
        <v>NA</v>
      </c>
      <c r="L3772" t="str">
        <f t="shared" si="174"/>
        <v>NA5TE</v>
      </c>
      <c r="M3772">
        <f>COUNTIF(L$1:L3772,L3772)</f>
        <v>19</v>
      </c>
      <c r="N3772" t="str">
        <f t="shared" si="175"/>
        <v>NA5TE-19</v>
      </c>
      <c r="O3772">
        <f>COUNTIFS(F$1:F3772,F3772,A$1:A3772,A3772)</f>
        <v>30</v>
      </c>
      <c r="P3772" t="str">
        <f t="shared" si="176"/>
        <v>Dallas Goedert5</v>
      </c>
    </row>
    <row r="3773" spans="1:16" x14ac:dyDescent="0.25">
      <c r="A3773">
        <v>6</v>
      </c>
      <c r="B3773" t="s">
        <v>4204</v>
      </c>
      <c r="C3773">
        <f>-0.02-5.3</f>
        <v>-5.3199999999999994</v>
      </c>
      <c r="D3773">
        <v>2.64</v>
      </c>
      <c r="E3773" t="s">
        <v>41</v>
      </c>
      <c r="F3773" t="s">
        <v>87</v>
      </c>
      <c r="G3773">
        <v>5.3</v>
      </c>
      <c r="H3773">
        <v>-0.02</v>
      </c>
      <c r="I3773">
        <v>2.66</v>
      </c>
      <c r="J3773">
        <v>7.0755999999999997</v>
      </c>
      <c r="K3773" t="str">
        <f>IFERROR(INDEX(Rosters!$C$2:$C$155,MATCH($B3773,Rosters!$B$2:$B$155,0)),"NA")</f>
        <v>NA</v>
      </c>
      <c r="L3773" t="str">
        <f t="shared" si="174"/>
        <v>NA6WR</v>
      </c>
      <c r="M3773">
        <f>COUNTIF(L$1:L3773,L3773)</f>
        <v>44</v>
      </c>
      <c r="N3773" t="str">
        <f t="shared" si="175"/>
        <v>NA6WR-44</v>
      </c>
      <c r="O3773">
        <f>COUNTIFS(F$1:F3773,F3773,A$1:A3773,A3773)</f>
        <v>93</v>
      </c>
      <c r="P3773" t="str">
        <f t="shared" si="176"/>
        <v>Dante Pettis6</v>
      </c>
    </row>
    <row r="3774" spans="1:16" x14ac:dyDescent="0.25">
      <c r="A3774">
        <v>10</v>
      </c>
      <c r="B3774" t="s">
        <v>312</v>
      </c>
      <c r="C3774">
        <f>-0.05-5.33</f>
        <v>-5.38</v>
      </c>
      <c r="D3774">
        <v>2.64</v>
      </c>
      <c r="E3774" t="s">
        <v>46</v>
      </c>
      <c r="F3774" t="s">
        <v>114</v>
      </c>
      <c r="G3774">
        <v>5.33</v>
      </c>
      <c r="H3774">
        <v>-0.05</v>
      </c>
      <c r="I3774">
        <v>2.69</v>
      </c>
      <c r="J3774">
        <v>7.2361000000000004</v>
      </c>
      <c r="K3774" t="str">
        <f>IFERROR(INDEX(Rosters!$C$2:$C$155,MATCH($B3774,Rosters!$B$2:$B$155,0)),"NA")</f>
        <v>NA</v>
      </c>
      <c r="L3774" t="str">
        <f t="shared" si="174"/>
        <v>NA10TE</v>
      </c>
      <c r="M3774">
        <f>COUNTIF(L$1:L3774,L3774)</f>
        <v>21</v>
      </c>
      <c r="N3774" t="str">
        <f t="shared" si="175"/>
        <v>NA10TE-21</v>
      </c>
      <c r="O3774">
        <f>COUNTIFS(F$1:F3774,F3774,A$1:A3774,A3774)</f>
        <v>34</v>
      </c>
      <c r="P3774" t="str">
        <f t="shared" si="176"/>
        <v>Darren Fells10</v>
      </c>
    </row>
    <row r="3775" spans="1:16" x14ac:dyDescent="0.25">
      <c r="A3775">
        <v>10</v>
      </c>
      <c r="B3775" t="s">
        <v>310</v>
      </c>
      <c r="C3775">
        <f>-0.58-5.86</f>
        <v>-6.44</v>
      </c>
      <c r="D3775">
        <v>2.64</v>
      </c>
      <c r="E3775" t="s">
        <v>58</v>
      </c>
      <c r="F3775" t="s">
        <v>114</v>
      </c>
      <c r="G3775">
        <v>5.86</v>
      </c>
      <c r="H3775">
        <v>-0.57999999999999996</v>
      </c>
      <c r="I3775">
        <v>3.22</v>
      </c>
      <c r="J3775">
        <v>10.368399999999999</v>
      </c>
      <c r="K3775" t="str">
        <f>IFERROR(INDEX(Rosters!$C$2:$C$155,MATCH($B3775,Rosters!$B$2:$B$155,0)),"NA")</f>
        <v>NA</v>
      </c>
      <c r="L3775" t="str">
        <f t="shared" si="174"/>
        <v>NA10TE</v>
      </c>
      <c r="M3775">
        <f>COUNTIF(L$1:L3775,L3775)</f>
        <v>22</v>
      </c>
      <c r="N3775" t="str">
        <f t="shared" si="175"/>
        <v>NA10TE-22</v>
      </c>
      <c r="O3775">
        <f>COUNTIFS(F$1:F3775,F3775,A$1:A3775,A3775)</f>
        <v>35</v>
      </c>
      <c r="P3775" t="str">
        <f t="shared" si="176"/>
        <v>Demetrius Harris10</v>
      </c>
    </row>
    <row r="3776" spans="1:16" x14ac:dyDescent="0.25">
      <c r="A3776">
        <v>9</v>
      </c>
      <c r="B3776" t="s">
        <v>1586</v>
      </c>
      <c r="C3776" t="s">
        <v>8298</v>
      </c>
      <c r="D3776">
        <v>2.64</v>
      </c>
      <c r="E3776" t="s">
        <v>19</v>
      </c>
      <c r="F3776" t="s">
        <v>114</v>
      </c>
      <c r="G3776">
        <v>5.21</v>
      </c>
      <c r="H3776">
        <v>7.0000000000000007E-2</v>
      </c>
      <c r="I3776">
        <v>2.57</v>
      </c>
      <c r="J3776">
        <v>6.6048999999999998</v>
      </c>
      <c r="K3776" t="str">
        <f>IFERROR(INDEX(Rosters!$C$2:$C$155,MATCH($B3776,Rosters!$B$2:$B$155,0)),"NA")</f>
        <v>NA</v>
      </c>
      <c r="L3776" t="str">
        <f t="shared" si="174"/>
        <v>NA9TE</v>
      </c>
      <c r="M3776">
        <f>COUNTIF(L$1:L3776,L3776)</f>
        <v>18</v>
      </c>
      <c r="N3776" t="str">
        <f t="shared" si="175"/>
        <v>NA9TE-18</v>
      </c>
      <c r="O3776">
        <f>COUNTIFS(F$1:F3776,F3776,A$1:A3776,A3776)</f>
        <v>29</v>
      </c>
      <c r="P3776" t="str">
        <f t="shared" si="176"/>
        <v>Eric Tomlinson9</v>
      </c>
    </row>
    <row r="3777" spans="1:16" x14ac:dyDescent="0.25">
      <c r="A3777">
        <v>12</v>
      </c>
      <c r="B3777" t="s">
        <v>1106</v>
      </c>
      <c r="C3777" t="s">
        <v>8299</v>
      </c>
      <c r="D3777">
        <v>2.64</v>
      </c>
      <c r="E3777" t="s">
        <v>423</v>
      </c>
      <c r="F3777" t="s">
        <v>114</v>
      </c>
      <c r="G3777">
        <v>5.15</v>
      </c>
      <c r="H3777">
        <v>0.13</v>
      </c>
      <c r="I3777">
        <v>2.5099999999999998</v>
      </c>
      <c r="J3777">
        <v>6.3000999999999996</v>
      </c>
      <c r="K3777" t="str">
        <f>IFERROR(INDEX(Rosters!$C$2:$C$155,MATCH($B3777,Rosters!$B$2:$B$155,0)),"NA")</f>
        <v>NA</v>
      </c>
      <c r="L3777" t="str">
        <f t="shared" si="174"/>
        <v>NA12TE</v>
      </c>
      <c r="M3777">
        <f>COUNTIF(L$1:L3777,L3777)</f>
        <v>22</v>
      </c>
      <c r="N3777" t="str">
        <f t="shared" si="175"/>
        <v>NA12TE-22</v>
      </c>
      <c r="O3777">
        <f>COUNTIFS(F$1:F3777,F3777,A$1:A3777,A3777)</f>
        <v>35</v>
      </c>
      <c r="P3777" t="str">
        <f t="shared" si="176"/>
        <v>Jordan Leggett12</v>
      </c>
    </row>
    <row r="3778" spans="1:16" x14ac:dyDescent="0.25">
      <c r="A3778">
        <v>3</v>
      </c>
      <c r="B3778" t="s">
        <v>262</v>
      </c>
      <c r="C3778" t="s">
        <v>3783</v>
      </c>
      <c r="D3778">
        <v>2.64</v>
      </c>
      <c r="E3778" t="s">
        <v>29</v>
      </c>
      <c r="F3778" t="s">
        <v>87</v>
      </c>
      <c r="G3778">
        <v>5.27</v>
      </c>
      <c r="H3778">
        <v>0.01</v>
      </c>
      <c r="I3778">
        <v>2.63</v>
      </c>
      <c r="J3778">
        <v>6.9169</v>
      </c>
      <c r="K3778" t="str">
        <f>IFERROR(INDEX(Rosters!$C$2:$C$155,MATCH($B3778,Rosters!$B$2:$B$155,0)),"NA")</f>
        <v>NA</v>
      </c>
      <c r="L3778" t="str">
        <f t="shared" si="174"/>
        <v>NA3WR</v>
      </c>
      <c r="M3778">
        <f>COUNTIF(L$1:L3778,L3778)</f>
        <v>43</v>
      </c>
      <c r="N3778" t="str">
        <f t="shared" si="175"/>
        <v>NA3WR-43</v>
      </c>
      <c r="O3778">
        <f>COUNTIFS(F$1:F3778,F3778,A$1:A3778,A3778)</f>
        <v>91</v>
      </c>
      <c r="P3778" t="str">
        <f t="shared" si="176"/>
        <v>Laquon Treadwell3</v>
      </c>
    </row>
    <row r="3779" spans="1:16" x14ac:dyDescent="0.25">
      <c r="A3779">
        <v>5</v>
      </c>
      <c r="B3779" t="s">
        <v>1423</v>
      </c>
      <c r="C3779">
        <f>-0.53-5.81</f>
        <v>-6.34</v>
      </c>
      <c r="D3779">
        <v>2.64</v>
      </c>
      <c r="E3779" t="s">
        <v>31</v>
      </c>
      <c r="F3779" t="s">
        <v>114</v>
      </c>
      <c r="G3779">
        <v>5.81</v>
      </c>
      <c r="H3779">
        <v>-0.53</v>
      </c>
      <c r="I3779">
        <v>3.17</v>
      </c>
      <c r="J3779">
        <v>10.0489</v>
      </c>
      <c r="K3779" t="str">
        <f>IFERROR(INDEX(Rosters!$C$2:$C$155,MATCH($B3779,Rosters!$B$2:$B$155,0)),"NA")</f>
        <v>NA</v>
      </c>
      <c r="L3779" t="str">
        <f t="shared" ref="L3779:L3842" si="177">K3779&amp;A3779&amp;F3779</f>
        <v>NA5TE</v>
      </c>
      <c r="M3779">
        <f>COUNTIF(L$1:L3779,L3779)</f>
        <v>20</v>
      </c>
      <c r="N3779" t="str">
        <f t="shared" ref="N3779:N3842" si="178">L3779&amp;"-"&amp;M3779</f>
        <v>NA5TE-20</v>
      </c>
      <c r="O3779">
        <f>COUNTIFS(F$1:F3779,F3779,A$1:A3779,A3779)</f>
        <v>31</v>
      </c>
      <c r="P3779" t="str">
        <f t="shared" ref="P3779:P3842" si="179">B3779&amp;A3779</f>
        <v>Michael Gesicki5</v>
      </c>
    </row>
    <row r="3780" spans="1:16" x14ac:dyDescent="0.25">
      <c r="A3780">
        <v>16</v>
      </c>
      <c r="B3780" t="s">
        <v>109</v>
      </c>
      <c r="C3780" t="s">
        <v>8300</v>
      </c>
      <c r="D3780">
        <v>2.64</v>
      </c>
      <c r="E3780" t="s">
        <v>73</v>
      </c>
      <c r="F3780" t="s">
        <v>47</v>
      </c>
      <c r="G3780">
        <v>4.2300000000000004</v>
      </c>
      <c r="H3780">
        <v>1.05</v>
      </c>
      <c r="I3780">
        <v>1.59</v>
      </c>
      <c r="J3780">
        <v>2.5280999999999998</v>
      </c>
      <c r="K3780" t="str">
        <f>IFERROR(INDEX(Rosters!$C$2:$C$155,MATCH($B3780,Rosters!$B$2:$B$155,0)),"NA")</f>
        <v>seth</v>
      </c>
      <c r="L3780" t="str">
        <f t="shared" si="177"/>
        <v>seth16RB</v>
      </c>
      <c r="M3780">
        <f>COUNTIF(L$1:L3780,L3780)</f>
        <v>7</v>
      </c>
      <c r="N3780" t="str">
        <f t="shared" si="178"/>
        <v>seth16RB-7</v>
      </c>
      <c r="O3780">
        <f>COUNTIFS(F$1:F3780,F3780,A$1:A3780,A3780)</f>
        <v>70</v>
      </c>
      <c r="P3780" t="str">
        <f t="shared" si="179"/>
        <v>Ty Montgomery16</v>
      </c>
    </row>
    <row r="3781" spans="1:16" x14ac:dyDescent="0.25">
      <c r="A3781">
        <v>3</v>
      </c>
      <c r="B3781" t="s">
        <v>244</v>
      </c>
      <c r="C3781" t="s">
        <v>3784</v>
      </c>
      <c r="D3781">
        <v>2.64</v>
      </c>
      <c r="E3781" t="s">
        <v>37</v>
      </c>
      <c r="F3781" t="s">
        <v>114</v>
      </c>
      <c r="G3781">
        <v>5.04</v>
      </c>
      <c r="H3781">
        <v>0.24</v>
      </c>
      <c r="I3781">
        <v>2.4</v>
      </c>
      <c r="J3781">
        <v>5.76</v>
      </c>
      <c r="K3781" t="str">
        <f>IFERROR(INDEX(Rosters!$C$2:$C$155,MATCH($B3781,Rosters!$B$2:$B$155,0)),"NA")</f>
        <v>NA</v>
      </c>
      <c r="L3781" t="str">
        <f t="shared" si="177"/>
        <v>NA3TE</v>
      </c>
      <c r="M3781">
        <f>COUNTIF(L$1:L3781,L3781)</f>
        <v>19</v>
      </c>
      <c r="N3781" t="str">
        <f t="shared" si="178"/>
        <v>NA3TE-19</v>
      </c>
      <c r="O3781">
        <f>COUNTIFS(F$1:F3781,F3781,A$1:A3781,A3781)</f>
        <v>31</v>
      </c>
      <c r="P3781" t="str">
        <f t="shared" si="179"/>
        <v>Tyler Higbee3</v>
      </c>
    </row>
    <row r="3782" spans="1:16" x14ac:dyDescent="0.25">
      <c r="A3782">
        <v>13</v>
      </c>
      <c r="B3782" t="s">
        <v>373</v>
      </c>
      <c r="C3782">
        <f>-0.05-5.31</f>
        <v>-5.3599999999999994</v>
      </c>
      <c r="D3782">
        <v>2.63</v>
      </c>
      <c r="E3782" t="s">
        <v>72</v>
      </c>
      <c r="F3782" t="s">
        <v>87</v>
      </c>
      <c r="G3782">
        <v>5.31</v>
      </c>
      <c r="H3782">
        <v>-0.05</v>
      </c>
      <c r="I3782">
        <v>2.68</v>
      </c>
      <c r="J3782">
        <v>7.1824000000000003</v>
      </c>
      <c r="K3782" t="str">
        <f>IFERROR(INDEX(Rosters!$C$2:$C$155,MATCH($B3782,Rosters!$B$2:$B$155,0)),"NA")</f>
        <v>NA</v>
      </c>
      <c r="L3782" t="str">
        <f t="shared" si="177"/>
        <v>NA13WR</v>
      </c>
      <c r="M3782">
        <f>COUNTIF(L$1:L3782,L3782)</f>
        <v>53</v>
      </c>
      <c r="N3782" t="str">
        <f t="shared" si="178"/>
        <v>NA13WR-53</v>
      </c>
      <c r="O3782">
        <f>COUNTIFS(F$1:F3782,F3782,A$1:A3782,A3782)</f>
        <v>107</v>
      </c>
      <c r="P3782" t="str">
        <f t="shared" si="179"/>
        <v>Cody Latimer13</v>
      </c>
    </row>
    <row r="3783" spans="1:16" x14ac:dyDescent="0.25">
      <c r="A3783">
        <v>15</v>
      </c>
      <c r="B3783" t="s">
        <v>4206</v>
      </c>
      <c r="C3783" t="s">
        <v>8301</v>
      </c>
      <c r="D3783">
        <v>2.63</v>
      </c>
      <c r="E3783" t="s">
        <v>58</v>
      </c>
      <c r="F3783" t="s">
        <v>47</v>
      </c>
      <c r="G3783">
        <v>4.96</v>
      </c>
      <c r="H3783">
        <v>0.3</v>
      </c>
      <c r="I3783">
        <v>2.33</v>
      </c>
      <c r="J3783">
        <v>5.4288999999999996</v>
      </c>
      <c r="K3783" t="str">
        <f>IFERROR(INDEX(Rosters!$C$2:$C$155,MATCH($B3783,Rosters!$B$2:$B$155,0)),"NA")</f>
        <v>NA</v>
      </c>
      <c r="L3783" t="str">
        <f t="shared" si="177"/>
        <v>NA15RB</v>
      </c>
      <c r="M3783">
        <f>COUNTIF(L$1:L3783,L3783)</f>
        <v>24</v>
      </c>
      <c r="N3783" t="str">
        <f t="shared" si="178"/>
        <v>NA15RB-24</v>
      </c>
      <c r="O3783">
        <f>COUNTIFS(F$1:F3783,F3783,A$1:A3783,A3783)</f>
        <v>70</v>
      </c>
      <c r="P3783" t="str">
        <f t="shared" si="179"/>
        <v>Ito Smith15</v>
      </c>
    </row>
    <row r="3784" spans="1:16" x14ac:dyDescent="0.25">
      <c r="A3784">
        <v>1</v>
      </c>
      <c r="B3784" t="s">
        <v>388</v>
      </c>
      <c r="C3784">
        <f>-0.94-6.2</f>
        <v>-7.1400000000000006</v>
      </c>
      <c r="D3784">
        <v>2.63</v>
      </c>
      <c r="E3784" t="s">
        <v>74</v>
      </c>
      <c r="F3784" t="s">
        <v>47</v>
      </c>
      <c r="G3784">
        <v>6.2</v>
      </c>
      <c r="H3784">
        <v>-0.94</v>
      </c>
      <c r="I3784">
        <v>3.57</v>
      </c>
      <c r="J3784">
        <v>12.744899999999999</v>
      </c>
      <c r="K3784" t="str">
        <f>IFERROR(INDEX(Rosters!$C$2:$C$155,MATCH($B3784,Rosters!$B$2:$B$155,0)),"NA")</f>
        <v>NA</v>
      </c>
      <c r="L3784" t="str">
        <f t="shared" si="177"/>
        <v>NA1RB</v>
      </c>
      <c r="M3784">
        <f>COUNTIF(L$1:L3784,L3784)</f>
        <v>22</v>
      </c>
      <c r="N3784" t="str">
        <f t="shared" si="178"/>
        <v>NA1RB-22</v>
      </c>
      <c r="O3784">
        <f>COUNTIFS(F$1:F3784,F3784,A$1:A3784,A3784)</f>
        <v>64</v>
      </c>
      <c r="P3784" t="str">
        <f t="shared" si="179"/>
        <v>Rod Smith1</v>
      </c>
    </row>
    <row r="3785" spans="1:16" x14ac:dyDescent="0.25">
      <c r="A3785">
        <v>16</v>
      </c>
      <c r="B3785" t="s">
        <v>249</v>
      </c>
      <c r="C3785" t="s">
        <v>8302</v>
      </c>
      <c r="D3785">
        <v>2.63</v>
      </c>
      <c r="E3785" t="s">
        <v>77</v>
      </c>
      <c r="F3785" t="s">
        <v>87</v>
      </c>
      <c r="G3785">
        <v>4.7699999999999996</v>
      </c>
      <c r="H3785">
        <v>0.49</v>
      </c>
      <c r="I3785">
        <v>2.14</v>
      </c>
      <c r="J3785">
        <v>4.5796000000000001</v>
      </c>
      <c r="K3785" t="str">
        <f>IFERROR(INDEX(Rosters!$C$2:$C$155,MATCH($B3785,Rosters!$B$2:$B$155,0)),"NA")</f>
        <v>NA</v>
      </c>
      <c r="L3785" t="str">
        <f t="shared" si="177"/>
        <v>NA16WR</v>
      </c>
      <c r="M3785">
        <f>COUNTIF(L$1:L3785,L3785)</f>
        <v>53</v>
      </c>
      <c r="N3785" t="str">
        <f t="shared" si="178"/>
        <v>NA16WR-53</v>
      </c>
      <c r="O3785">
        <f>COUNTIFS(F$1:F3785,F3785,A$1:A3785,A3785)</f>
        <v>107</v>
      </c>
      <c r="P3785" t="str">
        <f t="shared" si="179"/>
        <v>Travis Benjamin16</v>
      </c>
    </row>
    <row r="3786" spans="1:16" x14ac:dyDescent="0.25">
      <c r="A3786">
        <v>9</v>
      </c>
      <c r="B3786" t="s">
        <v>244</v>
      </c>
      <c r="C3786" t="s">
        <v>8303</v>
      </c>
      <c r="D3786">
        <v>2.63</v>
      </c>
      <c r="E3786" t="s">
        <v>14</v>
      </c>
      <c r="F3786" t="s">
        <v>114</v>
      </c>
      <c r="G3786">
        <v>5.0999999999999996</v>
      </c>
      <c r="H3786">
        <v>0.16</v>
      </c>
      <c r="I3786">
        <v>2.4700000000000002</v>
      </c>
      <c r="J3786">
        <v>6.1009000000000002</v>
      </c>
      <c r="K3786" t="str">
        <f>IFERROR(INDEX(Rosters!$C$2:$C$155,MATCH($B3786,Rosters!$B$2:$B$155,0)),"NA")</f>
        <v>NA</v>
      </c>
      <c r="L3786" t="str">
        <f t="shared" si="177"/>
        <v>NA9TE</v>
      </c>
      <c r="M3786">
        <f>COUNTIF(L$1:L3786,L3786)</f>
        <v>19</v>
      </c>
      <c r="N3786" t="str">
        <f t="shared" si="178"/>
        <v>NA9TE-19</v>
      </c>
      <c r="O3786">
        <f>COUNTIFS(F$1:F3786,F3786,A$1:A3786,A3786)</f>
        <v>30</v>
      </c>
      <c r="P3786" t="str">
        <f t="shared" si="179"/>
        <v>Tyler Higbee9</v>
      </c>
    </row>
    <row r="3787" spans="1:16" x14ac:dyDescent="0.25">
      <c r="A3787">
        <v>7</v>
      </c>
      <c r="B3787" t="s">
        <v>265</v>
      </c>
      <c r="C3787" t="s">
        <v>8304</v>
      </c>
      <c r="D3787">
        <v>2.63</v>
      </c>
      <c r="E3787" t="s">
        <v>22</v>
      </c>
      <c r="F3787" t="s">
        <v>114</v>
      </c>
      <c r="G3787">
        <v>4.6900000000000004</v>
      </c>
      <c r="H3787">
        <v>0.56999999999999995</v>
      </c>
      <c r="I3787">
        <v>2.06</v>
      </c>
      <c r="J3787">
        <v>4.2435999999999998</v>
      </c>
      <c r="K3787" t="str">
        <f>IFERROR(INDEX(Rosters!$C$2:$C$155,MATCH($B3787,Rosters!$B$2:$B$155,0)),"NA")</f>
        <v>NA</v>
      </c>
      <c r="L3787" t="str">
        <f t="shared" si="177"/>
        <v>NA7TE</v>
      </c>
      <c r="M3787">
        <f>COUNTIF(L$1:L3787,L3787)</f>
        <v>23</v>
      </c>
      <c r="N3787" t="str">
        <f t="shared" si="178"/>
        <v>NA7TE-23</v>
      </c>
      <c r="O3787">
        <f>COUNTIFS(F$1:F3787,F3787,A$1:A3787,A3787)</f>
        <v>33</v>
      </c>
      <c r="P3787" t="str">
        <f t="shared" si="179"/>
        <v>Vernon Davis7</v>
      </c>
    </row>
    <row r="3788" spans="1:16" x14ac:dyDescent="0.25">
      <c r="A3788">
        <v>9</v>
      </c>
      <c r="B3788" t="s">
        <v>2667</v>
      </c>
      <c r="C3788" t="s">
        <v>8305</v>
      </c>
      <c r="D3788">
        <v>2.62</v>
      </c>
      <c r="E3788" t="s">
        <v>28</v>
      </c>
      <c r="F3788" t="s">
        <v>114</v>
      </c>
      <c r="G3788">
        <v>4.8899999999999997</v>
      </c>
      <c r="H3788">
        <v>0.35</v>
      </c>
      <c r="I3788">
        <v>2.27</v>
      </c>
      <c r="J3788">
        <v>5.1528999999999998</v>
      </c>
      <c r="K3788" t="str">
        <f>IFERROR(INDEX(Rosters!$C$2:$C$155,MATCH($B3788,Rosters!$B$2:$B$155,0)),"NA")</f>
        <v>NA</v>
      </c>
      <c r="L3788" t="str">
        <f t="shared" si="177"/>
        <v>NA9TE</v>
      </c>
      <c r="M3788">
        <f>COUNTIF(L$1:L3788,L3788)</f>
        <v>20</v>
      </c>
      <c r="N3788" t="str">
        <f t="shared" si="178"/>
        <v>NA9TE-20</v>
      </c>
      <c r="O3788">
        <f>COUNTIFS(F$1:F3788,F3788,A$1:A3788,A3788)</f>
        <v>31</v>
      </c>
      <c r="P3788" t="str">
        <f t="shared" si="179"/>
        <v>Antonio Gates9</v>
      </c>
    </row>
    <row r="3789" spans="1:16" x14ac:dyDescent="0.25">
      <c r="A3789">
        <v>13</v>
      </c>
      <c r="B3789" t="s">
        <v>2599</v>
      </c>
      <c r="C3789" t="s">
        <v>8306</v>
      </c>
      <c r="D3789">
        <v>2.62</v>
      </c>
      <c r="E3789" t="s">
        <v>24</v>
      </c>
      <c r="F3789" t="s">
        <v>87</v>
      </c>
      <c r="G3789">
        <v>5.13</v>
      </c>
      <c r="H3789">
        <v>0.11</v>
      </c>
      <c r="I3789">
        <v>2.5099999999999998</v>
      </c>
      <c r="J3789">
        <v>6.3000999999999996</v>
      </c>
      <c r="K3789" t="str">
        <f>IFERROR(INDEX(Rosters!$C$2:$C$155,MATCH($B3789,Rosters!$B$2:$B$155,0)),"NA")</f>
        <v>NA</v>
      </c>
      <c r="L3789" t="str">
        <f t="shared" si="177"/>
        <v>NA13WR</v>
      </c>
      <c r="M3789">
        <f>COUNTIF(L$1:L3789,L3789)</f>
        <v>54</v>
      </c>
      <c r="N3789" t="str">
        <f t="shared" si="178"/>
        <v>NA13WR-54</v>
      </c>
      <c r="O3789">
        <f>COUNTIFS(F$1:F3789,F3789,A$1:A3789,A3789)</f>
        <v>108</v>
      </c>
      <c r="P3789" t="str">
        <f t="shared" si="179"/>
        <v>Brandon LaFell13</v>
      </c>
    </row>
    <row r="3790" spans="1:16" x14ac:dyDescent="0.25">
      <c r="A3790">
        <v>14</v>
      </c>
      <c r="B3790" t="s">
        <v>4224</v>
      </c>
      <c r="C3790" t="s">
        <v>8307</v>
      </c>
      <c r="D3790">
        <v>2.62</v>
      </c>
      <c r="E3790" t="s">
        <v>24</v>
      </c>
      <c r="F3790" t="s">
        <v>114</v>
      </c>
      <c r="G3790">
        <v>4.7699999999999996</v>
      </c>
      <c r="H3790">
        <v>0.47</v>
      </c>
      <c r="I3790">
        <v>2.15</v>
      </c>
      <c r="J3790">
        <v>4.6224999999999996</v>
      </c>
      <c r="K3790" t="str">
        <f>IFERROR(INDEX(Rosters!$C$2:$C$155,MATCH($B3790,Rosters!$B$2:$B$155,0)),"NA")</f>
        <v>NA</v>
      </c>
      <c r="L3790" t="str">
        <f t="shared" si="177"/>
        <v>NA14TE</v>
      </c>
      <c r="M3790">
        <f>COUNTIF(L$1:L3790,L3790)</f>
        <v>22</v>
      </c>
      <c r="N3790" t="str">
        <f t="shared" si="178"/>
        <v>NA14TE-22</v>
      </c>
      <c r="O3790">
        <f>COUNTIFS(F$1:F3790,F3790,A$1:A3790,A3790)</f>
        <v>36</v>
      </c>
      <c r="P3790" t="str">
        <f t="shared" si="179"/>
        <v>Mark Andrews14</v>
      </c>
    </row>
    <row r="3791" spans="1:16" x14ac:dyDescent="0.25">
      <c r="A3791">
        <v>5</v>
      </c>
      <c r="B3791" t="s">
        <v>175</v>
      </c>
      <c r="C3791">
        <f>-0.97-6.19</f>
        <v>-7.16</v>
      </c>
      <c r="D3791">
        <v>2.61</v>
      </c>
      <c r="E3791" t="s">
        <v>31</v>
      </c>
      <c r="F3791" t="s">
        <v>87</v>
      </c>
      <c r="G3791">
        <v>6.19</v>
      </c>
      <c r="H3791">
        <v>-0.97</v>
      </c>
      <c r="I3791">
        <v>3.58</v>
      </c>
      <c r="J3791">
        <v>12.8164</v>
      </c>
      <c r="K3791" t="str">
        <f>IFERROR(INDEX(Rosters!$C$2:$C$155,MATCH($B3791,Rosters!$B$2:$B$155,0)),"NA")</f>
        <v>NA</v>
      </c>
      <c r="L3791" t="str">
        <f t="shared" si="177"/>
        <v>NA5WR</v>
      </c>
      <c r="M3791">
        <f>COUNTIF(L$1:L3791,L3791)</f>
        <v>44</v>
      </c>
      <c r="N3791" t="str">
        <f t="shared" si="178"/>
        <v>NA5WR-44</v>
      </c>
      <c r="O3791">
        <f>COUNTIFS(F$1:F3791,F3791,A$1:A3791,A3791)</f>
        <v>94</v>
      </c>
      <c r="P3791" t="str">
        <f t="shared" si="179"/>
        <v>DeVante Parker5</v>
      </c>
    </row>
    <row r="3792" spans="1:16" x14ac:dyDescent="0.25">
      <c r="A3792">
        <v>11</v>
      </c>
      <c r="B3792" t="s">
        <v>4899</v>
      </c>
      <c r="C3792" t="s">
        <v>8308</v>
      </c>
      <c r="D3792">
        <v>2.61</v>
      </c>
      <c r="E3792" t="s">
        <v>60</v>
      </c>
      <c r="F3792" t="s">
        <v>87</v>
      </c>
      <c r="G3792">
        <v>5.18</v>
      </c>
      <c r="H3792">
        <v>0.04</v>
      </c>
      <c r="I3792">
        <v>2.57</v>
      </c>
      <c r="J3792">
        <v>6.6048999999999998</v>
      </c>
      <c r="K3792" t="str">
        <f>IFERROR(INDEX(Rosters!$C$2:$C$155,MATCH($B3792,Rosters!$B$2:$B$155,0)),"NA")</f>
        <v>perry</v>
      </c>
      <c r="L3792" t="str">
        <f t="shared" si="177"/>
        <v>perry11WR</v>
      </c>
      <c r="M3792">
        <f>COUNTIF(L$1:L3792,L3792)</f>
        <v>5</v>
      </c>
      <c r="N3792" t="str">
        <f t="shared" si="178"/>
        <v>perry11WR-5</v>
      </c>
      <c r="O3792">
        <f>COUNTIFS(F$1:F3792,F3792,A$1:A3792,A3792)</f>
        <v>83</v>
      </c>
      <c r="P3792" t="str">
        <f t="shared" si="179"/>
        <v>Keke Coutee11</v>
      </c>
    </row>
    <row r="3793" spans="1:16" x14ac:dyDescent="0.25">
      <c r="A3793">
        <v>7</v>
      </c>
      <c r="B3793" t="s">
        <v>297</v>
      </c>
      <c r="C3793" t="s">
        <v>8309</v>
      </c>
      <c r="D3793">
        <v>2.61</v>
      </c>
      <c r="E3793" t="s">
        <v>17</v>
      </c>
      <c r="F3793" t="s">
        <v>114</v>
      </c>
      <c r="G3793">
        <v>5.22</v>
      </c>
      <c r="H3793">
        <v>0</v>
      </c>
      <c r="I3793">
        <v>2.61</v>
      </c>
      <c r="J3793">
        <v>6.8121</v>
      </c>
      <c r="K3793" t="str">
        <f>IFERROR(INDEX(Rosters!$C$2:$C$155,MATCH($B3793,Rosters!$B$2:$B$155,0)),"NA")</f>
        <v>NA</v>
      </c>
      <c r="L3793" t="str">
        <f t="shared" si="177"/>
        <v>NA7TE</v>
      </c>
      <c r="M3793">
        <f>COUNTIF(L$1:L3793,L3793)</f>
        <v>24</v>
      </c>
      <c r="N3793" t="str">
        <f t="shared" si="178"/>
        <v>NA7TE-24</v>
      </c>
      <c r="O3793">
        <f>COUNTIFS(F$1:F3793,F3793,A$1:A3793,A3793)</f>
        <v>34</v>
      </c>
      <c r="P3793" t="str">
        <f t="shared" si="179"/>
        <v>Seth DeValve7</v>
      </c>
    </row>
    <row r="3794" spans="1:16" x14ac:dyDescent="0.25">
      <c r="A3794">
        <v>3</v>
      </c>
      <c r="B3794" t="s">
        <v>305</v>
      </c>
      <c r="C3794" t="s">
        <v>1477</v>
      </c>
      <c r="D3794">
        <v>2.6</v>
      </c>
      <c r="E3794" t="s">
        <v>50</v>
      </c>
      <c r="F3794" t="s">
        <v>87</v>
      </c>
      <c r="G3794">
        <v>5.0199999999999996</v>
      </c>
      <c r="H3794">
        <v>0.18</v>
      </c>
      <c r="I3794">
        <v>2.42</v>
      </c>
      <c r="J3794">
        <v>5.8563999999999998</v>
      </c>
      <c r="K3794" t="str">
        <f>IFERROR(INDEX(Rosters!$C$2:$C$155,MATCH($B3794,Rosters!$B$2:$B$155,0)),"NA")</f>
        <v>NA</v>
      </c>
      <c r="L3794" t="str">
        <f t="shared" si="177"/>
        <v>NA3WR</v>
      </c>
      <c r="M3794">
        <f>COUNTIF(L$1:L3794,L3794)</f>
        <v>44</v>
      </c>
      <c r="N3794" t="str">
        <f t="shared" si="178"/>
        <v>NA3WR-44</v>
      </c>
      <c r="O3794">
        <f>COUNTIFS(F$1:F3794,F3794,A$1:A3794,A3794)</f>
        <v>92</v>
      </c>
      <c r="P3794" t="str">
        <f t="shared" si="179"/>
        <v>Chester Rogers3</v>
      </c>
    </row>
    <row r="3795" spans="1:16" x14ac:dyDescent="0.25">
      <c r="A3795">
        <v>1</v>
      </c>
      <c r="B3795" t="s">
        <v>197</v>
      </c>
      <c r="C3795" t="s">
        <v>1155</v>
      </c>
      <c r="D3795">
        <v>2.6</v>
      </c>
      <c r="E3795" t="s">
        <v>74</v>
      </c>
      <c r="F3795" t="s">
        <v>87</v>
      </c>
      <c r="G3795">
        <v>5.0599999999999996</v>
      </c>
      <c r="H3795">
        <v>0.14000000000000001</v>
      </c>
      <c r="I3795">
        <v>2.46</v>
      </c>
      <c r="J3795">
        <v>6.0515999999999996</v>
      </c>
      <c r="K3795" t="str">
        <f>IFERROR(INDEX(Rosters!$C$2:$C$155,MATCH($B3795,Rosters!$B$2:$B$155,0)),"NA")</f>
        <v>NA</v>
      </c>
      <c r="L3795" t="str">
        <f t="shared" si="177"/>
        <v>NA1WR</v>
      </c>
      <c r="M3795">
        <f>COUNTIF(L$1:L3795,L3795)</f>
        <v>39</v>
      </c>
      <c r="N3795" t="str">
        <f t="shared" si="178"/>
        <v>NA1WR-39</v>
      </c>
      <c r="O3795">
        <f>COUNTIFS(F$1:F3795,F3795,A$1:A3795,A3795)</f>
        <v>88</v>
      </c>
      <c r="P3795" t="str">
        <f t="shared" si="179"/>
        <v>Cole Beasley1</v>
      </c>
    </row>
    <row r="3796" spans="1:16" x14ac:dyDescent="0.25">
      <c r="A3796">
        <v>4</v>
      </c>
      <c r="B3796" t="s">
        <v>4226</v>
      </c>
      <c r="C3796" t="s">
        <v>4618</v>
      </c>
      <c r="D3796">
        <v>2.6</v>
      </c>
      <c r="E3796" t="s">
        <v>66</v>
      </c>
      <c r="F3796" t="s">
        <v>114</v>
      </c>
      <c r="G3796">
        <v>4.79</v>
      </c>
      <c r="H3796">
        <v>0.41</v>
      </c>
      <c r="I3796">
        <v>2.19</v>
      </c>
      <c r="J3796">
        <v>4.7961</v>
      </c>
      <c r="K3796" t="str">
        <f>IFERROR(INDEX(Rosters!$C$2:$C$155,MATCH($B3796,Rosters!$B$2:$B$155,0)),"NA")</f>
        <v>NA</v>
      </c>
      <c r="L3796" t="str">
        <f t="shared" si="177"/>
        <v>NA4TE</v>
      </c>
      <c r="M3796">
        <f>COUNTIF(L$1:L3796,L3796)</f>
        <v>21</v>
      </c>
      <c r="N3796" t="str">
        <f t="shared" si="178"/>
        <v>NA4TE-21</v>
      </c>
      <c r="O3796">
        <f>COUNTIFS(F$1:F3796,F3796,A$1:A3796,A3796)</f>
        <v>32</v>
      </c>
      <c r="P3796" t="str">
        <f t="shared" si="179"/>
        <v>Jordan Thomas4</v>
      </c>
    </row>
    <row r="3797" spans="1:16" x14ac:dyDescent="0.25">
      <c r="A3797">
        <v>4</v>
      </c>
      <c r="B3797" t="s">
        <v>315</v>
      </c>
      <c r="C3797" t="s">
        <v>4619</v>
      </c>
      <c r="D3797">
        <v>2.6</v>
      </c>
      <c r="E3797" t="s">
        <v>50</v>
      </c>
      <c r="F3797" t="s">
        <v>114</v>
      </c>
      <c r="G3797">
        <v>5.04</v>
      </c>
      <c r="H3797">
        <v>0.16</v>
      </c>
      <c r="I3797">
        <v>2.44</v>
      </c>
      <c r="J3797">
        <v>5.9535999999999998</v>
      </c>
      <c r="K3797" t="str">
        <f>IFERROR(INDEX(Rosters!$C$2:$C$155,MATCH($B3797,Rosters!$B$2:$B$155,0)),"NA")</f>
        <v>NA</v>
      </c>
      <c r="L3797" t="str">
        <f t="shared" si="177"/>
        <v>NA4TE</v>
      </c>
      <c r="M3797">
        <f>COUNTIF(L$1:L3797,L3797)</f>
        <v>22</v>
      </c>
      <c r="N3797" t="str">
        <f t="shared" si="178"/>
        <v>NA4TE-22</v>
      </c>
      <c r="O3797">
        <f>COUNTIFS(F$1:F3797,F3797,A$1:A3797,A3797)</f>
        <v>33</v>
      </c>
      <c r="P3797" t="str">
        <f t="shared" si="179"/>
        <v>Luke Stocker4</v>
      </c>
    </row>
    <row r="3798" spans="1:16" x14ac:dyDescent="0.25">
      <c r="A3798">
        <v>16</v>
      </c>
      <c r="B3798" t="s">
        <v>1336</v>
      </c>
      <c r="C3798" t="s">
        <v>8310</v>
      </c>
      <c r="D3798">
        <v>2.6</v>
      </c>
      <c r="E3798" t="s">
        <v>24</v>
      </c>
      <c r="F3798" t="s">
        <v>47</v>
      </c>
      <c r="G3798">
        <v>4.72</v>
      </c>
      <c r="H3798">
        <v>0.48</v>
      </c>
      <c r="I3798">
        <v>2.12</v>
      </c>
      <c r="J3798">
        <v>4.4943999999999997</v>
      </c>
      <c r="K3798" t="str">
        <f>IFERROR(INDEX(Rosters!$C$2:$C$155,MATCH($B3798,Rosters!$B$2:$B$155,0)),"NA")</f>
        <v>NA</v>
      </c>
      <c r="L3798" t="str">
        <f t="shared" si="177"/>
        <v>NA16RB</v>
      </c>
      <c r="M3798">
        <f>COUNTIF(L$1:L3798,L3798)</f>
        <v>24</v>
      </c>
      <c r="N3798" t="str">
        <f t="shared" si="178"/>
        <v>NA16RB-24</v>
      </c>
      <c r="O3798">
        <f>COUNTIFS(F$1:F3798,F3798,A$1:A3798,A3798)</f>
        <v>71</v>
      </c>
      <c r="P3798" t="str">
        <f t="shared" si="179"/>
        <v>Rashaad Penny16</v>
      </c>
    </row>
    <row r="3799" spans="1:16" x14ac:dyDescent="0.25">
      <c r="A3799">
        <v>15</v>
      </c>
      <c r="B3799" t="s">
        <v>265</v>
      </c>
      <c r="C3799" t="s">
        <v>8311</v>
      </c>
      <c r="D3799">
        <v>2.6</v>
      </c>
      <c r="E3799" t="s">
        <v>76</v>
      </c>
      <c r="F3799" t="s">
        <v>114</v>
      </c>
      <c r="G3799">
        <v>4.87</v>
      </c>
      <c r="H3799">
        <v>0.33</v>
      </c>
      <c r="I3799">
        <v>2.27</v>
      </c>
      <c r="J3799">
        <v>5.1528999999999998</v>
      </c>
      <c r="K3799" t="str">
        <f>IFERROR(INDEX(Rosters!$C$2:$C$155,MATCH($B3799,Rosters!$B$2:$B$155,0)),"NA")</f>
        <v>NA</v>
      </c>
      <c r="L3799" t="str">
        <f t="shared" si="177"/>
        <v>NA15TE</v>
      </c>
      <c r="M3799">
        <f>COUNTIF(L$1:L3799,L3799)</f>
        <v>22</v>
      </c>
      <c r="N3799" t="str">
        <f t="shared" si="178"/>
        <v>NA15TE-22</v>
      </c>
      <c r="O3799">
        <f>COUNTIFS(F$1:F3799,F3799,A$1:A3799,A3799)</f>
        <v>36</v>
      </c>
      <c r="P3799" t="str">
        <f t="shared" si="179"/>
        <v>Vernon Davis15</v>
      </c>
    </row>
    <row r="3800" spans="1:16" x14ac:dyDescent="0.25">
      <c r="A3800">
        <v>16</v>
      </c>
      <c r="B3800" t="s">
        <v>310</v>
      </c>
      <c r="C3800">
        <f>-0.15-5.33</f>
        <v>-5.48</v>
      </c>
      <c r="D3800">
        <v>2.59</v>
      </c>
      <c r="E3800" t="s">
        <v>28</v>
      </c>
      <c r="F3800" t="s">
        <v>114</v>
      </c>
      <c r="G3800">
        <v>5.33</v>
      </c>
      <c r="H3800">
        <v>-0.15</v>
      </c>
      <c r="I3800">
        <v>2.74</v>
      </c>
      <c r="J3800">
        <v>7.5076000000000001</v>
      </c>
      <c r="K3800" t="str">
        <f>IFERROR(INDEX(Rosters!$C$2:$C$155,MATCH($B3800,Rosters!$B$2:$B$155,0)),"NA")</f>
        <v>NA</v>
      </c>
      <c r="L3800" t="str">
        <f t="shared" si="177"/>
        <v>NA16TE</v>
      </c>
      <c r="M3800">
        <f>COUNTIF(L$1:L3800,L3800)</f>
        <v>23</v>
      </c>
      <c r="N3800" t="str">
        <f t="shared" si="178"/>
        <v>NA16TE-23</v>
      </c>
      <c r="O3800">
        <f>COUNTIFS(F$1:F3800,F3800,A$1:A3800,A3800)</f>
        <v>37</v>
      </c>
      <c r="P3800" t="str">
        <f t="shared" si="179"/>
        <v>Demetrius Harris16</v>
      </c>
    </row>
    <row r="3801" spans="1:16" x14ac:dyDescent="0.25">
      <c r="A3801">
        <v>6</v>
      </c>
      <c r="B3801" t="s">
        <v>277</v>
      </c>
      <c r="C3801" t="s">
        <v>8312</v>
      </c>
      <c r="D3801">
        <v>2.59</v>
      </c>
      <c r="E3801" t="s">
        <v>41</v>
      </c>
      <c r="F3801" t="s">
        <v>114</v>
      </c>
      <c r="G3801">
        <v>4.57</v>
      </c>
      <c r="H3801">
        <v>0.61</v>
      </c>
      <c r="I3801">
        <v>1.98</v>
      </c>
      <c r="J3801">
        <v>3.9203999999999999</v>
      </c>
      <c r="K3801" t="str">
        <f>IFERROR(INDEX(Rosters!$C$2:$C$155,MATCH($B3801,Rosters!$B$2:$B$155,0)),"NA")</f>
        <v>NA</v>
      </c>
      <c r="L3801" t="str">
        <f t="shared" si="177"/>
        <v>NA6TE</v>
      </c>
      <c r="M3801">
        <f>COUNTIF(L$1:L3801,L3801)</f>
        <v>22</v>
      </c>
      <c r="N3801" t="str">
        <f t="shared" si="178"/>
        <v>NA6TE-22</v>
      </c>
      <c r="O3801">
        <f>COUNTIFS(F$1:F3801,F3801,A$1:A3801,A3801)</f>
        <v>34</v>
      </c>
      <c r="P3801" t="str">
        <f t="shared" si="179"/>
        <v>Garrett Celek6</v>
      </c>
    </row>
    <row r="3802" spans="1:16" x14ac:dyDescent="0.25">
      <c r="A3802">
        <v>16</v>
      </c>
      <c r="B3802" t="s">
        <v>1457</v>
      </c>
      <c r="C3802">
        <f>-0.21-5.39</f>
        <v>-5.6</v>
      </c>
      <c r="D3802">
        <v>2.59</v>
      </c>
      <c r="E3802" t="s">
        <v>72</v>
      </c>
      <c r="F3802" t="s">
        <v>87</v>
      </c>
      <c r="G3802">
        <v>5.39</v>
      </c>
      <c r="H3802">
        <v>-0.21</v>
      </c>
      <c r="I3802">
        <v>2.8</v>
      </c>
      <c r="J3802">
        <v>7.84</v>
      </c>
      <c r="K3802" t="str">
        <f>IFERROR(INDEX(Rosters!$C$2:$C$155,MATCH($B3802,Rosters!$B$2:$B$155,0)),"NA")</f>
        <v>NA</v>
      </c>
      <c r="L3802" t="str">
        <f t="shared" si="177"/>
        <v>NA16WR</v>
      </c>
      <c r="M3802">
        <f>COUNTIF(L$1:L3802,L3802)</f>
        <v>54</v>
      </c>
      <c r="N3802" t="str">
        <f t="shared" si="178"/>
        <v>NA16WR-54</v>
      </c>
      <c r="O3802">
        <f>COUNTIFS(F$1:F3802,F3802,A$1:A3802,A3802)</f>
        <v>108</v>
      </c>
      <c r="P3802" t="str">
        <f t="shared" si="179"/>
        <v>Trent Taylor16</v>
      </c>
    </row>
    <row r="3803" spans="1:16" x14ac:dyDescent="0.25">
      <c r="A3803">
        <v>10</v>
      </c>
      <c r="B3803" t="s">
        <v>2599</v>
      </c>
      <c r="C3803">
        <f>-0.12-5.28</f>
        <v>-5.4</v>
      </c>
      <c r="D3803">
        <v>2.58</v>
      </c>
      <c r="E3803" t="s">
        <v>37</v>
      </c>
      <c r="F3803" t="s">
        <v>87</v>
      </c>
      <c r="G3803">
        <v>5.28</v>
      </c>
      <c r="H3803">
        <v>-0.12</v>
      </c>
      <c r="I3803">
        <v>2.7</v>
      </c>
      <c r="J3803">
        <v>7.29</v>
      </c>
      <c r="K3803" t="str">
        <f>IFERROR(INDEX(Rosters!$C$2:$C$155,MATCH($B3803,Rosters!$B$2:$B$155,0)),"NA")</f>
        <v>NA</v>
      </c>
      <c r="L3803" t="str">
        <f t="shared" si="177"/>
        <v>NA10WR</v>
      </c>
      <c r="M3803">
        <f>COUNTIF(L$1:L3803,L3803)</f>
        <v>50</v>
      </c>
      <c r="N3803" t="str">
        <f t="shared" si="178"/>
        <v>NA10WR-50</v>
      </c>
      <c r="O3803">
        <f>COUNTIFS(F$1:F3803,F3803,A$1:A3803,A3803)</f>
        <v>94</v>
      </c>
      <c r="P3803" t="str">
        <f t="shared" si="179"/>
        <v>Brandon LaFell10</v>
      </c>
    </row>
    <row r="3804" spans="1:16" x14ac:dyDescent="0.25">
      <c r="A3804">
        <v>6</v>
      </c>
      <c r="B3804" t="s">
        <v>1036</v>
      </c>
      <c r="C3804" t="s">
        <v>8313</v>
      </c>
      <c r="D3804">
        <v>2.58</v>
      </c>
      <c r="E3804" t="s">
        <v>76</v>
      </c>
      <c r="F3804" t="s">
        <v>87</v>
      </c>
      <c r="G3804">
        <v>5.09</v>
      </c>
      <c r="H3804">
        <v>7.0000000000000007E-2</v>
      </c>
      <c r="I3804">
        <v>2.5099999999999998</v>
      </c>
      <c r="J3804">
        <v>6.3000999999999996</v>
      </c>
      <c r="K3804" t="str">
        <f>IFERROR(INDEX(Rosters!$C$2:$C$155,MATCH($B3804,Rosters!$B$2:$B$155,0)),"NA")</f>
        <v>NA</v>
      </c>
      <c r="L3804" t="str">
        <f t="shared" si="177"/>
        <v>NA6WR</v>
      </c>
      <c r="M3804">
        <f>COUNTIF(L$1:L3804,L3804)</f>
        <v>45</v>
      </c>
      <c r="N3804" t="str">
        <f t="shared" si="178"/>
        <v>NA6WR-45</v>
      </c>
      <c r="O3804">
        <f>COUNTIFS(F$1:F3804,F3804,A$1:A3804,A3804)</f>
        <v>94</v>
      </c>
      <c r="P3804" t="str">
        <f t="shared" si="179"/>
        <v>Deonte Thompson6</v>
      </c>
    </row>
    <row r="3805" spans="1:16" x14ac:dyDescent="0.25">
      <c r="A3805">
        <v>9</v>
      </c>
      <c r="B3805" t="s">
        <v>142</v>
      </c>
      <c r="C3805">
        <f>-0.1-5.26</f>
        <v>-5.3599999999999994</v>
      </c>
      <c r="D3805">
        <v>2.58</v>
      </c>
      <c r="E3805" t="s">
        <v>74</v>
      </c>
      <c r="F3805" t="s">
        <v>47</v>
      </c>
      <c r="G3805">
        <v>5.26</v>
      </c>
      <c r="H3805">
        <v>-0.1</v>
      </c>
      <c r="I3805">
        <v>2.68</v>
      </c>
      <c r="J3805">
        <v>7.1824000000000003</v>
      </c>
      <c r="K3805" t="str">
        <f>IFERROR(INDEX(Rosters!$C$2:$C$155,MATCH($B3805,Rosters!$B$2:$B$155,0)),"NA")</f>
        <v>NA</v>
      </c>
      <c r="L3805" t="str">
        <f t="shared" si="177"/>
        <v>NA9RB</v>
      </c>
      <c r="M3805">
        <f>COUNTIF(L$1:L3805,L3805)</f>
        <v>19</v>
      </c>
      <c r="N3805" t="str">
        <f t="shared" si="178"/>
        <v>NA9RB-19</v>
      </c>
      <c r="O3805">
        <f>COUNTIFS(F$1:F3805,F3805,A$1:A3805,A3805)</f>
        <v>59</v>
      </c>
      <c r="P3805" t="str">
        <f t="shared" si="179"/>
        <v>Jacquizz Rodgers9</v>
      </c>
    </row>
    <row r="3806" spans="1:16" x14ac:dyDescent="0.25">
      <c r="A3806">
        <v>7</v>
      </c>
      <c r="B3806" t="s">
        <v>2750</v>
      </c>
      <c r="C3806" t="s">
        <v>8314</v>
      </c>
      <c r="D3806">
        <v>2.58</v>
      </c>
      <c r="E3806" t="s">
        <v>74</v>
      </c>
      <c r="F3806" t="s">
        <v>87</v>
      </c>
      <c r="G3806">
        <v>4.67</v>
      </c>
      <c r="H3806">
        <v>0.49</v>
      </c>
      <c r="I3806">
        <v>2.09</v>
      </c>
      <c r="J3806">
        <v>4.3681000000000001</v>
      </c>
      <c r="K3806" t="str">
        <f>IFERROR(INDEX(Rosters!$C$2:$C$155,MATCH($B3806,Rosters!$B$2:$B$155,0)),"NA")</f>
        <v>NA</v>
      </c>
      <c r="L3806" t="str">
        <f t="shared" si="177"/>
        <v>NA7WR</v>
      </c>
      <c r="M3806">
        <f>COUNTIF(L$1:L3806,L3806)</f>
        <v>42</v>
      </c>
      <c r="N3806" t="str">
        <f t="shared" si="178"/>
        <v>NA7WR-42</v>
      </c>
      <c r="O3806">
        <f>COUNTIFS(F$1:F3806,F3806,A$1:A3806,A3806)</f>
        <v>87</v>
      </c>
      <c r="P3806" t="str">
        <f t="shared" si="179"/>
        <v>Jordan Matthews7</v>
      </c>
    </row>
    <row r="3807" spans="1:16" x14ac:dyDescent="0.25">
      <c r="A3807">
        <v>17</v>
      </c>
      <c r="B3807" t="s">
        <v>230</v>
      </c>
      <c r="C3807" t="s">
        <v>8315</v>
      </c>
      <c r="D3807">
        <v>2.58</v>
      </c>
      <c r="E3807" t="s">
        <v>50</v>
      </c>
      <c r="F3807" t="s">
        <v>87</v>
      </c>
      <c r="G3807">
        <v>4.8899999999999997</v>
      </c>
      <c r="H3807">
        <v>0.27</v>
      </c>
      <c r="I3807">
        <v>2.31</v>
      </c>
      <c r="J3807">
        <v>5.3361000000000001</v>
      </c>
      <c r="K3807" t="str">
        <f>IFERROR(INDEX(Rosters!$C$2:$C$155,MATCH($B3807,Rosters!$B$2:$B$155,0)),"NA")</f>
        <v>NA</v>
      </c>
      <c r="L3807" t="str">
        <f t="shared" si="177"/>
        <v>NA17WR</v>
      </c>
      <c r="M3807">
        <f>COUNTIF(L$1:L3807,L3807)</f>
        <v>49</v>
      </c>
      <c r="N3807" t="str">
        <f t="shared" si="178"/>
        <v>NA17WR-49</v>
      </c>
      <c r="O3807">
        <f>COUNTIFS(F$1:F3807,F3807,A$1:A3807,A3807)</f>
        <v>103</v>
      </c>
      <c r="P3807" t="str">
        <f t="shared" si="179"/>
        <v>Josh Doctson17</v>
      </c>
    </row>
    <row r="3808" spans="1:16" x14ac:dyDescent="0.25">
      <c r="A3808">
        <v>6</v>
      </c>
      <c r="B3808" t="s">
        <v>315</v>
      </c>
      <c r="C3808" t="s">
        <v>8316</v>
      </c>
      <c r="D3808">
        <v>2.58</v>
      </c>
      <c r="E3808" t="s">
        <v>77</v>
      </c>
      <c r="F3808" t="s">
        <v>114</v>
      </c>
      <c r="G3808">
        <v>4.93</v>
      </c>
      <c r="H3808">
        <v>0.23</v>
      </c>
      <c r="I3808">
        <v>2.35</v>
      </c>
      <c r="J3808">
        <v>5.5225</v>
      </c>
      <c r="K3808" t="str">
        <f>IFERROR(INDEX(Rosters!$C$2:$C$155,MATCH($B3808,Rosters!$B$2:$B$155,0)),"NA")</f>
        <v>NA</v>
      </c>
      <c r="L3808" t="str">
        <f t="shared" si="177"/>
        <v>NA6TE</v>
      </c>
      <c r="M3808">
        <f>COUNTIF(L$1:L3808,L3808)</f>
        <v>23</v>
      </c>
      <c r="N3808" t="str">
        <f t="shared" si="178"/>
        <v>NA6TE-23</v>
      </c>
      <c r="O3808">
        <f>COUNTIFS(F$1:F3808,F3808,A$1:A3808,A3808)</f>
        <v>35</v>
      </c>
      <c r="P3808" t="str">
        <f t="shared" si="179"/>
        <v>Luke Stocker6</v>
      </c>
    </row>
    <row r="3809" spans="1:16" x14ac:dyDescent="0.25">
      <c r="A3809">
        <v>15</v>
      </c>
      <c r="B3809" t="s">
        <v>362</v>
      </c>
      <c r="C3809" t="s">
        <v>8317</v>
      </c>
      <c r="D3809">
        <v>2.58</v>
      </c>
      <c r="E3809" t="s">
        <v>30</v>
      </c>
      <c r="F3809" t="s">
        <v>114</v>
      </c>
      <c r="G3809">
        <v>4.8499999999999996</v>
      </c>
      <c r="H3809">
        <v>0.31</v>
      </c>
      <c r="I3809">
        <v>2.27</v>
      </c>
      <c r="J3809">
        <v>5.1528999999999998</v>
      </c>
      <c r="K3809" t="str">
        <f>IFERROR(INDEX(Rosters!$C$2:$C$155,MATCH($B3809,Rosters!$B$2:$B$155,0)),"NA")</f>
        <v>NA</v>
      </c>
      <c r="L3809" t="str">
        <f t="shared" si="177"/>
        <v>NA15TE</v>
      </c>
      <c r="M3809">
        <f>COUNTIF(L$1:L3809,L3809)</f>
        <v>23</v>
      </c>
      <c r="N3809" t="str">
        <f t="shared" si="178"/>
        <v>NA15TE-23</v>
      </c>
      <c r="O3809">
        <f>COUNTIFS(F$1:F3809,F3809,A$1:A3809,A3809)</f>
        <v>37</v>
      </c>
      <c r="P3809" t="str">
        <f t="shared" si="179"/>
        <v>Nick Vannett15</v>
      </c>
    </row>
    <row r="3810" spans="1:16" x14ac:dyDescent="0.25">
      <c r="A3810">
        <v>8</v>
      </c>
      <c r="B3810" t="s">
        <v>1457</v>
      </c>
      <c r="C3810">
        <f>-0.2-5.36</f>
        <v>-5.5600000000000005</v>
      </c>
      <c r="D3810">
        <v>2.58</v>
      </c>
      <c r="E3810" t="s">
        <v>58</v>
      </c>
      <c r="F3810" t="s">
        <v>87</v>
      </c>
      <c r="G3810">
        <v>5.36</v>
      </c>
      <c r="H3810">
        <v>-0.2</v>
      </c>
      <c r="I3810">
        <v>2.78</v>
      </c>
      <c r="J3810">
        <v>7.7283999999999997</v>
      </c>
      <c r="K3810" t="str">
        <f>IFERROR(INDEX(Rosters!$C$2:$C$155,MATCH($B3810,Rosters!$B$2:$B$155,0)),"NA")</f>
        <v>NA</v>
      </c>
      <c r="L3810" t="str">
        <f t="shared" si="177"/>
        <v>NA8WR</v>
      </c>
      <c r="M3810">
        <f>COUNTIF(L$1:L3810,L3810)</f>
        <v>44</v>
      </c>
      <c r="N3810" t="str">
        <f t="shared" si="178"/>
        <v>NA8WR-44</v>
      </c>
      <c r="O3810">
        <f>COUNTIFS(F$1:F3810,F3810,A$1:A3810,A3810)</f>
        <v>92</v>
      </c>
      <c r="P3810" t="str">
        <f t="shared" si="179"/>
        <v>Trent Taylor8</v>
      </c>
    </row>
    <row r="3811" spans="1:16" x14ac:dyDescent="0.25">
      <c r="A3811">
        <v>14</v>
      </c>
      <c r="B3811" t="s">
        <v>4204</v>
      </c>
      <c r="C3811" t="s">
        <v>8318</v>
      </c>
      <c r="D3811">
        <v>2.57</v>
      </c>
      <c r="E3811" t="s">
        <v>42</v>
      </c>
      <c r="F3811" t="s">
        <v>87</v>
      </c>
      <c r="G3811">
        <v>4.91</v>
      </c>
      <c r="H3811">
        <v>0.23</v>
      </c>
      <c r="I3811">
        <v>2.34</v>
      </c>
      <c r="J3811">
        <v>5.4756</v>
      </c>
      <c r="K3811" t="str">
        <f>IFERROR(INDEX(Rosters!$C$2:$C$155,MATCH($B3811,Rosters!$B$2:$B$155,0)),"NA")</f>
        <v>NA</v>
      </c>
      <c r="L3811" t="str">
        <f t="shared" si="177"/>
        <v>NA14WR</v>
      </c>
      <c r="M3811">
        <f>COUNTIF(L$1:L3811,L3811)</f>
        <v>50</v>
      </c>
      <c r="N3811" t="str">
        <f t="shared" si="178"/>
        <v>NA14WR-50</v>
      </c>
      <c r="O3811">
        <f>COUNTIFS(F$1:F3811,F3811,A$1:A3811,A3811)</f>
        <v>104</v>
      </c>
      <c r="P3811" t="str">
        <f t="shared" si="179"/>
        <v>Dante Pettis14</v>
      </c>
    </row>
    <row r="3812" spans="1:16" x14ac:dyDescent="0.25">
      <c r="A3812">
        <v>8</v>
      </c>
      <c r="B3812" t="s">
        <v>312</v>
      </c>
      <c r="C3812" t="s">
        <v>8319</v>
      </c>
      <c r="D3812">
        <v>2.57</v>
      </c>
      <c r="E3812" t="s">
        <v>51</v>
      </c>
      <c r="F3812" t="s">
        <v>114</v>
      </c>
      <c r="G3812">
        <v>5.08</v>
      </c>
      <c r="H3812">
        <v>0.06</v>
      </c>
      <c r="I3812">
        <v>2.5099999999999998</v>
      </c>
      <c r="J3812">
        <v>6.3000999999999996</v>
      </c>
      <c r="K3812" t="str">
        <f>IFERROR(INDEX(Rosters!$C$2:$C$155,MATCH($B3812,Rosters!$B$2:$B$155,0)),"NA")</f>
        <v>NA</v>
      </c>
      <c r="L3812" t="str">
        <f t="shared" si="177"/>
        <v>NA8TE</v>
      </c>
      <c r="M3812">
        <f>COUNTIF(L$1:L3812,L3812)</f>
        <v>17</v>
      </c>
      <c r="N3812" t="str">
        <f t="shared" si="178"/>
        <v>NA8TE-17</v>
      </c>
      <c r="O3812">
        <f>COUNTIFS(F$1:F3812,F3812,A$1:A3812,A3812)</f>
        <v>29</v>
      </c>
      <c r="P3812" t="str">
        <f t="shared" si="179"/>
        <v>Darren Fells8</v>
      </c>
    </row>
    <row r="3813" spans="1:16" x14ac:dyDescent="0.25">
      <c r="A3813">
        <v>8</v>
      </c>
      <c r="B3813" t="s">
        <v>307</v>
      </c>
      <c r="C3813" t="s">
        <v>1479</v>
      </c>
      <c r="D3813">
        <v>2.57</v>
      </c>
      <c r="E3813" t="s">
        <v>34</v>
      </c>
      <c r="F3813" t="s">
        <v>114</v>
      </c>
      <c r="G3813">
        <v>4.78</v>
      </c>
      <c r="H3813">
        <v>0.36</v>
      </c>
      <c r="I3813">
        <v>2.21</v>
      </c>
      <c r="J3813">
        <v>4.8841000000000001</v>
      </c>
      <c r="K3813" t="str">
        <f>IFERROR(INDEX(Rosters!$C$2:$C$155,MATCH($B3813,Rosters!$B$2:$B$155,0)),"NA")</f>
        <v>NA</v>
      </c>
      <c r="L3813" t="str">
        <f t="shared" si="177"/>
        <v>NA8TE</v>
      </c>
      <c r="M3813">
        <f>COUNTIF(L$1:L3813,L3813)</f>
        <v>18</v>
      </c>
      <c r="N3813" t="str">
        <f t="shared" si="178"/>
        <v>NA8TE-18</v>
      </c>
      <c r="O3813">
        <f>COUNTIFS(F$1:F3813,F3813,A$1:A3813,A3813)</f>
        <v>30</v>
      </c>
      <c r="P3813" t="str">
        <f t="shared" si="179"/>
        <v>Ed Dickson8</v>
      </c>
    </row>
    <row r="3814" spans="1:16" x14ac:dyDescent="0.25">
      <c r="A3814">
        <v>2</v>
      </c>
      <c r="B3814" t="s">
        <v>277</v>
      </c>
      <c r="C3814" t="s">
        <v>1479</v>
      </c>
      <c r="D3814">
        <v>2.57</v>
      </c>
      <c r="E3814" t="s">
        <v>34</v>
      </c>
      <c r="F3814" t="s">
        <v>114</v>
      </c>
      <c r="G3814">
        <v>4.78</v>
      </c>
      <c r="H3814">
        <v>0.36</v>
      </c>
      <c r="I3814">
        <v>2.21</v>
      </c>
      <c r="J3814">
        <v>4.8841000000000001</v>
      </c>
      <c r="K3814" t="str">
        <f>IFERROR(INDEX(Rosters!$C$2:$C$155,MATCH($B3814,Rosters!$B$2:$B$155,0)),"NA")</f>
        <v>NA</v>
      </c>
      <c r="L3814" t="str">
        <f t="shared" si="177"/>
        <v>NA2TE</v>
      </c>
      <c r="M3814">
        <f>COUNTIF(L$1:L3814,L3814)</f>
        <v>17</v>
      </c>
      <c r="N3814" t="str">
        <f t="shared" si="178"/>
        <v>NA2TE-17</v>
      </c>
      <c r="O3814">
        <f>COUNTIFS(F$1:F3814,F3814,A$1:A3814,A3814)</f>
        <v>30</v>
      </c>
      <c r="P3814" t="str">
        <f t="shared" si="179"/>
        <v>Garrett Celek2</v>
      </c>
    </row>
    <row r="3815" spans="1:16" x14ac:dyDescent="0.25">
      <c r="A3815">
        <v>16</v>
      </c>
      <c r="B3815" t="s">
        <v>1106</v>
      </c>
      <c r="C3815" t="s">
        <v>8320</v>
      </c>
      <c r="D3815">
        <v>2.57</v>
      </c>
      <c r="E3815" t="s">
        <v>41</v>
      </c>
      <c r="F3815" t="s">
        <v>114</v>
      </c>
      <c r="G3815">
        <v>5.0999999999999996</v>
      </c>
      <c r="H3815">
        <v>0.04</v>
      </c>
      <c r="I3815">
        <v>2.5299999999999998</v>
      </c>
      <c r="J3815">
        <v>6.4009</v>
      </c>
      <c r="K3815" t="str">
        <f>IFERROR(INDEX(Rosters!$C$2:$C$155,MATCH($B3815,Rosters!$B$2:$B$155,0)),"NA")</f>
        <v>NA</v>
      </c>
      <c r="L3815" t="str">
        <f t="shared" si="177"/>
        <v>NA16TE</v>
      </c>
      <c r="M3815">
        <f>COUNTIF(L$1:L3815,L3815)</f>
        <v>24</v>
      </c>
      <c r="N3815" t="str">
        <f t="shared" si="178"/>
        <v>NA16TE-24</v>
      </c>
      <c r="O3815">
        <f>COUNTIFS(F$1:F3815,F3815,A$1:A3815,A3815)</f>
        <v>38</v>
      </c>
      <c r="P3815" t="str">
        <f t="shared" si="179"/>
        <v>Jordan Leggett16</v>
      </c>
    </row>
    <row r="3816" spans="1:16" x14ac:dyDescent="0.25">
      <c r="A3816">
        <v>2</v>
      </c>
      <c r="B3816" t="s">
        <v>315</v>
      </c>
      <c r="C3816">
        <f>-0.08-5.22</f>
        <v>-5.3</v>
      </c>
      <c r="D3816">
        <v>2.57</v>
      </c>
      <c r="E3816" t="s">
        <v>36</v>
      </c>
      <c r="F3816" t="s">
        <v>114</v>
      </c>
      <c r="G3816">
        <v>5.22</v>
      </c>
      <c r="H3816">
        <v>-0.08</v>
      </c>
      <c r="I3816">
        <v>2.65</v>
      </c>
      <c r="J3816">
        <v>7.0225</v>
      </c>
      <c r="K3816" t="str">
        <f>IFERROR(INDEX(Rosters!$C$2:$C$155,MATCH($B3816,Rosters!$B$2:$B$155,0)),"NA")</f>
        <v>NA</v>
      </c>
      <c r="L3816" t="str">
        <f t="shared" si="177"/>
        <v>NA2TE</v>
      </c>
      <c r="M3816">
        <f>COUNTIF(L$1:L3816,L3816)</f>
        <v>18</v>
      </c>
      <c r="N3816" t="str">
        <f t="shared" si="178"/>
        <v>NA2TE-18</v>
      </c>
      <c r="O3816">
        <f>COUNTIFS(F$1:F3816,F3816,A$1:A3816,A3816)</f>
        <v>31</v>
      </c>
      <c r="P3816" t="str">
        <f t="shared" si="179"/>
        <v>Luke Stocker2</v>
      </c>
    </row>
    <row r="3817" spans="1:16" x14ac:dyDescent="0.25">
      <c r="A3817">
        <v>12</v>
      </c>
      <c r="B3817" t="s">
        <v>292</v>
      </c>
      <c r="C3817" t="s">
        <v>4620</v>
      </c>
      <c r="D3817">
        <v>2.57</v>
      </c>
      <c r="E3817" t="s">
        <v>72</v>
      </c>
      <c r="F3817" t="s">
        <v>114</v>
      </c>
      <c r="G3817">
        <v>4.84</v>
      </c>
      <c r="H3817">
        <v>0.3</v>
      </c>
      <c r="I3817">
        <v>2.27</v>
      </c>
      <c r="J3817">
        <v>5.1528999999999998</v>
      </c>
      <c r="K3817" t="str">
        <f>IFERROR(INDEX(Rosters!$C$2:$C$155,MATCH($B3817,Rosters!$B$2:$B$155,0)),"NA")</f>
        <v>NA</v>
      </c>
      <c r="L3817" t="str">
        <f t="shared" si="177"/>
        <v>NA12TE</v>
      </c>
      <c r="M3817">
        <f>COUNTIF(L$1:L3817,L3817)</f>
        <v>23</v>
      </c>
      <c r="N3817" t="str">
        <f t="shared" si="178"/>
        <v>NA12TE-23</v>
      </c>
      <c r="O3817">
        <f>COUNTIFS(F$1:F3817,F3817,A$1:A3817,A3817)</f>
        <v>36</v>
      </c>
      <c r="P3817" t="str">
        <f t="shared" si="179"/>
        <v>Luke Willson12</v>
      </c>
    </row>
    <row r="3818" spans="1:16" x14ac:dyDescent="0.25">
      <c r="A3818">
        <v>6</v>
      </c>
      <c r="B3818" t="s">
        <v>4236</v>
      </c>
      <c r="C3818">
        <f>-0.43-5.57</f>
        <v>-6</v>
      </c>
      <c r="D3818">
        <v>2.57</v>
      </c>
      <c r="E3818" t="s">
        <v>30</v>
      </c>
      <c r="F3818" t="s">
        <v>87</v>
      </c>
      <c r="G3818">
        <v>5.57</v>
      </c>
      <c r="H3818">
        <v>-0.43</v>
      </c>
      <c r="I3818">
        <v>3</v>
      </c>
      <c r="J3818">
        <v>9</v>
      </c>
      <c r="K3818" t="str">
        <f>IFERROR(INDEX(Rosters!$C$2:$C$155,MATCH($B3818,Rosters!$B$2:$B$155,0)),"NA")</f>
        <v>aj</v>
      </c>
      <c r="L3818" t="str">
        <f t="shared" si="177"/>
        <v>aj6WR</v>
      </c>
      <c r="M3818">
        <f>COUNTIF(L$1:L3818,L3818)</f>
        <v>6</v>
      </c>
      <c r="N3818" t="str">
        <f t="shared" si="178"/>
        <v>aj6WR-6</v>
      </c>
      <c r="O3818">
        <f>COUNTIFS(F$1:F3818,F3818,A$1:A3818,A3818)</f>
        <v>95</v>
      </c>
      <c r="P3818" t="str">
        <f t="shared" si="179"/>
        <v>Marquez Valdes-Scantling6</v>
      </c>
    </row>
    <row r="3819" spans="1:16" x14ac:dyDescent="0.25">
      <c r="A3819">
        <v>3</v>
      </c>
      <c r="B3819" t="s">
        <v>265</v>
      </c>
      <c r="C3819" t="s">
        <v>3785</v>
      </c>
      <c r="D3819">
        <v>2.57</v>
      </c>
      <c r="E3819" t="s">
        <v>41</v>
      </c>
      <c r="F3819" t="s">
        <v>114</v>
      </c>
      <c r="G3819">
        <v>4.82</v>
      </c>
      <c r="H3819">
        <v>0.32</v>
      </c>
      <c r="I3819">
        <v>2.25</v>
      </c>
      <c r="J3819">
        <v>5.0625</v>
      </c>
      <c r="K3819" t="str">
        <f>IFERROR(INDEX(Rosters!$C$2:$C$155,MATCH($B3819,Rosters!$B$2:$B$155,0)),"NA")</f>
        <v>NA</v>
      </c>
      <c r="L3819" t="str">
        <f t="shared" si="177"/>
        <v>NA3TE</v>
      </c>
      <c r="M3819">
        <f>COUNTIF(L$1:L3819,L3819)</f>
        <v>20</v>
      </c>
      <c r="N3819" t="str">
        <f t="shared" si="178"/>
        <v>NA3TE-20</v>
      </c>
      <c r="O3819">
        <f>COUNTIFS(F$1:F3819,F3819,A$1:A3819,A3819)</f>
        <v>32</v>
      </c>
      <c r="P3819" t="str">
        <f t="shared" si="179"/>
        <v>Vernon Davis3</v>
      </c>
    </row>
    <row r="3820" spans="1:16" x14ac:dyDescent="0.25">
      <c r="A3820">
        <v>17</v>
      </c>
      <c r="B3820" t="s">
        <v>2599</v>
      </c>
      <c r="C3820" t="s">
        <v>8321</v>
      </c>
      <c r="D3820">
        <v>2.56</v>
      </c>
      <c r="E3820" t="s">
        <v>24</v>
      </c>
      <c r="F3820" t="s">
        <v>87</v>
      </c>
      <c r="G3820">
        <v>5.07</v>
      </c>
      <c r="H3820">
        <v>0.05</v>
      </c>
      <c r="I3820">
        <v>2.5099999999999998</v>
      </c>
      <c r="J3820">
        <v>6.3000999999999996</v>
      </c>
      <c r="K3820" t="str">
        <f>IFERROR(INDEX(Rosters!$C$2:$C$155,MATCH($B3820,Rosters!$B$2:$B$155,0)),"NA")</f>
        <v>NA</v>
      </c>
      <c r="L3820" t="str">
        <f t="shared" si="177"/>
        <v>NA17WR</v>
      </c>
      <c r="M3820">
        <f>COUNTIF(L$1:L3820,L3820)</f>
        <v>50</v>
      </c>
      <c r="N3820" t="str">
        <f t="shared" si="178"/>
        <v>NA17WR-50</v>
      </c>
      <c r="O3820">
        <f>COUNTIFS(F$1:F3820,F3820,A$1:A3820,A3820)</f>
        <v>104</v>
      </c>
      <c r="P3820" t="str">
        <f t="shared" si="179"/>
        <v>Brandon LaFell17</v>
      </c>
    </row>
    <row r="3821" spans="1:16" x14ac:dyDescent="0.25">
      <c r="A3821">
        <v>14</v>
      </c>
      <c r="B3821" t="s">
        <v>307</v>
      </c>
      <c r="C3821" t="s">
        <v>4621</v>
      </c>
      <c r="D3821">
        <v>2.56</v>
      </c>
      <c r="E3821" t="s">
        <v>25</v>
      </c>
      <c r="F3821" t="s">
        <v>114</v>
      </c>
      <c r="G3821">
        <v>4.8899999999999997</v>
      </c>
      <c r="H3821">
        <v>0.23</v>
      </c>
      <c r="I3821">
        <v>2.33</v>
      </c>
      <c r="J3821">
        <v>5.4288999999999996</v>
      </c>
      <c r="K3821" t="str">
        <f>IFERROR(INDEX(Rosters!$C$2:$C$155,MATCH($B3821,Rosters!$B$2:$B$155,0)),"NA")</f>
        <v>NA</v>
      </c>
      <c r="L3821" t="str">
        <f t="shared" si="177"/>
        <v>NA14TE</v>
      </c>
      <c r="M3821">
        <f>COUNTIF(L$1:L3821,L3821)</f>
        <v>23</v>
      </c>
      <c r="N3821" t="str">
        <f t="shared" si="178"/>
        <v>NA14TE-23</v>
      </c>
      <c r="O3821">
        <f>COUNTIFS(F$1:F3821,F3821,A$1:A3821,A3821)</f>
        <v>37</v>
      </c>
      <c r="P3821" t="str">
        <f t="shared" si="179"/>
        <v>Ed Dickson14</v>
      </c>
    </row>
    <row r="3822" spans="1:16" x14ac:dyDescent="0.25">
      <c r="A3822">
        <v>9</v>
      </c>
      <c r="B3822" t="s">
        <v>1483</v>
      </c>
      <c r="C3822" t="s">
        <v>8322</v>
      </c>
      <c r="D3822">
        <v>2.56</v>
      </c>
      <c r="E3822" t="s">
        <v>51</v>
      </c>
      <c r="F3822" t="s">
        <v>15</v>
      </c>
      <c r="G3822">
        <v>3.18</v>
      </c>
      <c r="H3822">
        <v>1.94</v>
      </c>
      <c r="I3822">
        <v>0.62</v>
      </c>
      <c r="J3822">
        <v>0.38440000000000002</v>
      </c>
      <c r="K3822" t="str">
        <f>IFERROR(INDEX(Rosters!$C$2:$C$155,MATCH($B3822,Rosters!$B$2:$B$155,0)),"NA")</f>
        <v>NA</v>
      </c>
      <c r="L3822" t="str">
        <f t="shared" si="177"/>
        <v>NA9QB</v>
      </c>
      <c r="M3822">
        <f>COUNTIF(L$1:L3822,L3822)</f>
        <v>13</v>
      </c>
      <c r="N3822" t="str">
        <f t="shared" si="178"/>
        <v>NA9QB-13</v>
      </c>
      <c r="O3822">
        <f>COUNTIFS(F$1:F3822,F3822,A$1:A3822,A3822)</f>
        <v>27</v>
      </c>
      <c r="P3822" t="str">
        <f t="shared" si="179"/>
        <v>Lamar Jackson9</v>
      </c>
    </row>
    <row r="3823" spans="1:16" x14ac:dyDescent="0.25">
      <c r="A3823">
        <v>14</v>
      </c>
      <c r="B3823" t="s">
        <v>262</v>
      </c>
      <c r="C3823">
        <f>-0.24-5.36</f>
        <v>-5.6000000000000005</v>
      </c>
      <c r="D3823">
        <v>2.56</v>
      </c>
      <c r="E3823" t="s">
        <v>28</v>
      </c>
      <c r="F3823" t="s">
        <v>87</v>
      </c>
      <c r="G3823">
        <v>5.36</v>
      </c>
      <c r="H3823">
        <v>-0.24</v>
      </c>
      <c r="I3823">
        <v>2.8</v>
      </c>
      <c r="J3823">
        <v>7.84</v>
      </c>
      <c r="K3823" t="str">
        <f>IFERROR(INDEX(Rosters!$C$2:$C$155,MATCH($B3823,Rosters!$B$2:$B$155,0)),"NA")</f>
        <v>NA</v>
      </c>
      <c r="L3823" t="str">
        <f t="shared" si="177"/>
        <v>NA14WR</v>
      </c>
      <c r="M3823">
        <f>COUNTIF(L$1:L3823,L3823)</f>
        <v>51</v>
      </c>
      <c r="N3823" t="str">
        <f t="shared" si="178"/>
        <v>NA14WR-51</v>
      </c>
      <c r="O3823">
        <f>COUNTIFS(F$1:F3823,F3823,A$1:A3823,A3823)</f>
        <v>105</v>
      </c>
      <c r="P3823" t="str">
        <f t="shared" si="179"/>
        <v>Laquon Treadwell14</v>
      </c>
    </row>
    <row r="3824" spans="1:16" x14ac:dyDescent="0.25">
      <c r="A3824">
        <v>14</v>
      </c>
      <c r="B3824" t="s">
        <v>315</v>
      </c>
      <c r="C3824" t="s">
        <v>8323</v>
      </c>
      <c r="D3824">
        <v>2.56</v>
      </c>
      <c r="E3824" t="s">
        <v>76</v>
      </c>
      <c r="F3824" t="s">
        <v>114</v>
      </c>
      <c r="G3824">
        <v>4.8499999999999996</v>
      </c>
      <c r="H3824">
        <v>0.27</v>
      </c>
      <c r="I3824">
        <v>2.29</v>
      </c>
      <c r="J3824">
        <v>5.2441000000000004</v>
      </c>
      <c r="K3824" t="str">
        <f>IFERROR(INDEX(Rosters!$C$2:$C$155,MATCH($B3824,Rosters!$B$2:$B$155,0)),"NA")</f>
        <v>NA</v>
      </c>
      <c r="L3824" t="str">
        <f t="shared" si="177"/>
        <v>NA14TE</v>
      </c>
      <c r="M3824">
        <f>COUNTIF(L$1:L3824,L3824)</f>
        <v>24</v>
      </c>
      <c r="N3824" t="str">
        <f t="shared" si="178"/>
        <v>NA14TE-24</v>
      </c>
      <c r="O3824">
        <f>COUNTIFS(F$1:F3824,F3824,A$1:A3824,A3824)</f>
        <v>38</v>
      </c>
      <c r="P3824" t="str">
        <f t="shared" si="179"/>
        <v>Luke Stocker14</v>
      </c>
    </row>
    <row r="3825" spans="1:16" x14ac:dyDescent="0.25">
      <c r="A3825">
        <v>16</v>
      </c>
      <c r="B3825" t="s">
        <v>4224</v>
      </c>
      <c r="C3825" t="s">
        <v>8324</v>
      </c>
      <c r="D3825">
        <v>2.56</v>
      </c>
      <c r="E3825" t="s">
        <v>37</v>
      </c>
      <c r="F3825" t="s">
        <v>114</v>
      </c>
      <c r="G3825">
        <v>5.08</v>
      </c>
      <c r="H3825">
        <v>0.04</v>
      </c>
      <c r="I3825">
        <v>2.52</v>
      </c>
      <c r="J3825">
        <v>6.3503999999999996</v>
      </c>
      <c r="K3825" t="str">
        <f>IFERROR(INDEX(Rosters!$C$2:$C$155,MATCH($B3825,Rosters!$B$2:$B$155,0)),"NA")</f>
        <v>NA</v>
      </c>
      <c r="L3825" t="str">
        <f t="shared" si="177"/>
        <v>NA16TE</v>
      </c>
      <c r="M3825">
        <f>COUNTIF(L$1:L3825,L3825)</f>
        <v>25</v>
      </c>
      <c r="N3825" t="str">
        <f t="shared" si="178"/>
        <v>NA16TE-25</v>
      </c>
      <c r="O3825">
        <f>COUNTIFS(F$1:F3825,F3825,A$1:A3825,A3825)</f>
        <v>39</v>
      </c>
      <c r="P3825" t="str">
        <f t="shared" si="179"/>
        <v>Mark Andrews16</v>
      </c>
    </row>
    <row r="3826" spans="1:16" x14ac:dyDescent="0.25">
      <c r="A3826">
        <v>17</v>
      </c>
      <c r="B3826" t="s">
        <v>1423</v>
      </c>
      <c r="C3826">
        <f>-0.69-5.81</f>
        <v>-6.5</v>
      </c>
      <c r="D3826">
        <v>2.56</v>
      </c>
      <c r="E3826" t="s">
        <v>29</v>
      </c>
      <c r="F3826" t="s">
        <v>114</v>
      </c>
      <c r="G3826">
        <v>5.81</v>
      </c>
      <c r="H3826">
        <v>-0.69</v>
      </c>
      <c r="I3826">
        <v>3.25</v>
      </c>
      <c r="J3826">
        <v>10.5625</v>
      </c>
      <c r="K3826" t="str">
        <f>IFERROR(INDEX(Rosters!$C$2:$C$155,MATCH($B3826,Rosters!$B$2:$B$155,0)),"NA")</f>
        <v>NA</v>
      </c>
      <c r="L3826" t="str">
        <f t="shared" si="177"/>
        <v>NA17TE</v>
      </c>
      <c r="M3826">
        <f>COUNTIF(L$1:L3826,L3826)</f>
        <v>24</v>
      </c>
      <c r="N3826" t="str">
        <f t="shared" si="178"/>
        <v>NA17TE-24</v>
      </c>
      <c r="O3826">
        <f>COUNTIFS(F$1:F3826,F3826,A$1:A3826,A3826)</f>
        <v>38</v>
      </c>
      <c r="P3826" t="str">
        <f t="shared" si="179"/>
        <v>Michael Gesicki17</v>
      </c>
    </row>
    <row r="3827" spans="1:16" x14ac:dyDescent="0.25">
      <c r="A3827">
        <v>5</v>
      </c>
      <c r="B3827" t="s">
        <v>798</v>
      </c>
      <c r="C3827" t="s">
        <v>8325</v>
      </c>
      <c r="D3827">
        <v>2.56</v>
      </c>
      <c r="E3827" t="s">
        <v>77</v>
      </c>
      <c r="F3827" t="s">
        <v>87</v>
      </c>
      <c r="G3827">
        <v>4.8099999999999996</v>
      </c>
      <c r="H3827">
        <v>0.31</v>
      </c>
      <c r="I3827">
        <v>2.25</v>
      </c>
      <c r="J3827">
        <v>5.0625</v>
      </c>
      <c r="K3827" t="str">
        <f>IFERROR(INDEX(Rosters!$C$2:$C$155,MATCH($B3827,Rosters!$B$2:$B$155,0)),"NA")</f>
        <v>NA</v>
      </c>
      <c r="L3827" t="str">
        <f t="shared" si="177"/>
        <v>NA5WR</v>
      </c>
      <c r="M3827">
        <f>COUNTIF(L$1:L3827,L3827)</f>
        <v>45</v>
      </c>
      <c r="N3827" t="str">
        <f t="shared" si="178"/>
        <v>NA5WR-45</v>
      </c>
      <c r="O3827">
        <f>COUNTIFS(F$1:F3827,F3827,A$1:A3827,A3827)</f>
        <v>95</v>
      </c>
      <c r="P3827" t="str">
        <f t="shared" si="179"/>
        <v>Rashard Higgins5</v>
      </c>
    </row>
    <row r="3828" spans="1:16" x14ac:dyDescent="0.25">
      <c r="A3828">
        <v>17</v>
      </c>
      <c r="B3828" t="s">
        <v>387</v>
      </c>
      <c r="C3828">
        <f>-0.11-5.23</f>
        <v>-5.3400000000000007</v>
      </c>
      <c r="D3828">
        <v>2.56</v>
      </c>
      <c r="E3828" t="s">
        <v>22</v>
      </c>
      <c r="F3828" t="s">
        <v>114</v>
      </c>
      <c r="G3828">
        <v>5.23</v>
      </c>
      <c r="H3828">
        <v>-0.11</v>
      </c>
      <c r="I3828">
        <v>2.67</v>
      </c>
      <c r="J3828">
        <v>7.1288999999999998</v>
      </c>
      <c r="K3828" t="str">
        <f>IFERROR(INDEX(Rosters!$C$2:$C$155,MATCH($B3828,Rosters!$B$2:$B$155,0)),"NA")</f>
        <v>NA</v>
      </c>
      <c r="L3828" t="str">
        <f t="shared" si="177"/>
        <v>NA17TE</v>
      </c>
      <c r="M3828">
        <f>COUNTIF(L$1:L3828,L3828)</f>
        <v>25</v>
      </c>
      <c r="N3828" t="str">
        <f t="shared" si="178"/>
        <v>NA17TE-25</v>
      </c>
      <c r="O3828">
        <f>COUNTIFS(F$1:F3828,F3828,A$1:A3828,A3828)</f>
        <v>39</v>
      </c>
      <c r="P3828" t="str">
        <f t="shared" si="179"/>
        <v>Rhett Ellison17</v>
      </c>
    </row>
    <row r="3829" spans="1:16" x14ac:dyDescent="0.25">
      <c r="A3829">
        <v>2</v>
      </c>
      <c r="B3829" t="s">
        <v>237</v>
      </c>
      <c r="C3829" t="s">
        <v>1480</v>
      </c>
      <c r="D3829">
        <v>2.56</v>
      </c>
      <c r="E3829" t="s">
        <v>28</v>
      </c>
      <c r="F3829" t="s">
        <v>87</v>
      </c>
      <c r="G3829">
        <v>4.7699999999999996</v>
      </c>
      <c r="H3829">
        <v>0.35</v>
      </c>
      <c r="I3829">
        <v>2.21</v>
      </c>
      <c r="J3829">
        <v>4.8841000000000001</v>
      </c>
      <c r="K3829" t="str">
        <f>IFERROR(INDEX(Rosters!$C$2:$C$155,MATCH($B3829,Rosters!$B$2:$B$155,0)),"NA")</f>
        <v>NA</v>
      </c>
      <c r="L3829" t="str">
        <f t="shared" si="177"/>
        <v>NA2WR</v>
      </c>
      <c r="M3829">
        <f>COUNTIF(L$1:L3829,L3829)</f>
        <v>41</v>
      </c>
      <c r="N3829" t="str">
        <f t="shared" si="178"/>
        <v>NA2WR-41</v>
      </c>
      <c r="O3829">
        <f>COUNTIFS(F$1:F3829,F3829,A$1:A3829,A3829)</f>
        <v>89</v>
      </c>
      <c r="P3829" t="str">
        <f t="shared" si="179"/>
        <v>Taylor Gabriel2</v>
      </c>
    </row>
    <row r="3830" spans="1:16" x14ac:dyDescent="0.25">
      <c r="A3830">
        <v>17</v>
      </c>
      <c r="B3830" t="s">
        <v>167</v>
      </c>
      <c r="C3830" t="s">
        <v>8326</v>
      </c>
      <c r="D3830">
        <v>2.5499999999999998</v>
      </c>
      <c r="E3830" t="s">
        <v>58</v>
      </c>
      <c r="F3830" t="s">
        <v>87</v>
      </c>
      <c r="G3830">
        <v>4.3899999999999997</v>
      </c>
      <c r="H3830">
        <v>0.71</v>
      </c>
      <c r="I3830">
        <v>1.84</v>
      </c>
      <c r="J3830">
        <v>3.3856000000000002</v>
      </c>
      <c r="K3830" t="str">
        <f>IFERROR(INDEX(Rosters!$C$2:$C$155,MATCH($B3830,Rosters!$B$2:$B$155,0)),"NA")</f>
        <v>NA</v>
      </c>
      <c r="L3830" t="str">
        <f t="shared" si="177"/>
        <v>NA17WR</v>
      </c>
      <c r="M3830">
        <f>COUNTIF(L$1:L3830,L3830)</f>
        <v>51</v>
      </c>
      <c r="N3830" t="str">
        <f t="shared" si="178"/>
        <v>NA17WR-51</v>
      </c>
      <c r="O3830">
        <f>COUNTIFS(F$1:F3830,F3830,A$1:A3830,A3830)</f>
        <v>105</v>
      </c>
      <c r="P3830" t="str">
        <f t="shared" si="179"/>
        <v>Brandon Marshall17</v>
      </c>
    </row>
    <row r="3831" spans="1:16" x14ac:dyDescent="0.25">
      <c r="A3831">
        <v>16</v>
      </c>
      <c r="B3831" t="s">
        <v>1124</v>
      </c>
      <c r="C3831" t="s">
        <v>8327</v>
      </c>
      <c r="D3831">
        <v>2.5499999999999998</v>
      </c>
      <c r="E3831" t="s">
        <v>28</v>
      </c>
      <c r="F3831" t="s">
        <v>87</v>
      </c>
      <c r="G3831">
        <v>4.76</v>
      </c>
      <c r="H3831">
        <v>0.34</v>
      </c>
      <c r="I3831">
        <v>2.21</v>
      </c>
      <c r="J3831">
        <v>4.8841000000000001</v>
      </c>
      <c r="K3831" t="str">
        <f>IFERROR(INDEX(Rosters!$C$2:$C$155,MATCH($B3831,Rosters!$B$2:$B$155,0)),"NA")</f>
        <v>NA</v>
      </c>
      <c r="L3831" t="str">
        <f t="shared" si="177"/>
        <v>NA16WR</v>
      </c>
      <c r="M3831">
        <f>COUNTIF(L$1:L3831,L3831)</f>
        <v>55</v>
      </c>
      <c r="N3831" t="str">
        <f t="shared" si="178"/>
        <v>NA16WR-55</v>
      </c>
      <c r="O3831">
        <f>COUNTIFS(F$1:F3831,F3831,A$1:A3831,A3831)</f>
        <v>109</v>
      </c>
      <c r="P3831" t="str">
        <f t="shared" si="179"/>
        <v>Chris Conley16</v>
      </c>
    </row>
    <row r="3832" spans="1:16" x14ac:dyDescent="0.25">
      <c r="A3832">
        <v>17</v>
      </c>
      <c r="B3832" t="s">
        <v>307</v>
      </c>
      <c r="C3832" t="s">
        <v>8328</v>
      </c>
      <c r="D3832">
        <v>2.5499999999999998</v>
      </c>
      <c r="E3832" t="s">
        <v>58</v>
      </c>
      <c r="F3832" t="s">
        <v>114</v>
      </c>
      <c r="G3832">
        <v>4.67</v>
      </c>
      <c r="H3832">
        <v>0.43</v>
      </c>
      <c r="I3832">
        <v>2.12</v>
      </c>
      <c r="J3832">
        <v>4.4943999999999997</v>
      </c>
      <c r="K3832" t="str">
        <f>IFERROR(INDEX(Rosters!$C$2:$C$155,MATCH($B3832,Rosters!$B$2:$B$155,0)),"NA")</f>
        <v>NA</v>
      </c>
      <c r="L3832" t="str">
        <f t="shared" si="177"/>
        <v>NA17TE</v>
      </c>
      <c r="M3832">
        <f>COUNTIF(L$1:L3832,L3832)</f>
        <v>26</v>
      </c>
      <c r="N3832" t="str">
        <f t="shared" si="178"/>
        <v>NA17TE-26</v>
      </c>
      <c r="O3832">
        <f>COUNTIFS(F$1:F3832,F3832,A$1:A3832,A3832)</f>
        <v>40</v>
      </c>
      <c r="P3832" t="str">
        <f t="shared" si="179"/>
        <v>Ed Dickson17</v>
      </c>
    </row>
    <row r="3833" spans="1:16" x14ac:dyDescent="0.25">
      <c r="A3833">
        <v>12</v>
      </c>
      <c r="B3833" t="s">
        <v>2750</v>
      </c>
      <c r="C3833" t="s">
        <v>8329</v>
      </c>
      <c r="D3833">
        <v>2.5499999999999998</v>
      </c>
      <c r="E3833" t="s">
        <v>54</v>
      </c>
      <c r="F3833" t="s">
        <v>87</v>
      </c>
      <c r="G3833">
        <v>4.8</v>
      </c>
      <c r="H3833">
        <v>0.3</v>
      </c>
      <c r="I3833">
        <v>2.25</v>
      </c>
      <c r="J3833">
        <v>5.0625</v>
      </c>
      <c r="K3833" t="str">
        <f>IFERROR(INDEX(Rosters!$C$2:$C$155,MATCH($B3833,Rosters!$B$2:$B$155,0)),"NA")</f>
        <v>NA</v>
      </c>
      <c r="L3833" t="str">
        <f t="shared" si="177"/>
        <v>NA12WR</v>
      </c>
      <c r="M3833">
        <f>COUNTIF(L$1:L3833,L3833)</f>
        <v>49</v>
      </c>
      <c r="N3833" t="str">
        <f t="shared" si="178"/>
        <v>NA12WR-49</v>
      </c>
      <c r="O3833">
        <f>COUNTIFS(F$1:F3833,F3833,A$1:A3833,A3833)</f>
        <v>98</v>
      </c>
      <c r="P3833" t="str">
        <f t="shared" si="179"/>
        <v>Jordan Matthews12</v>
      </c>
    </row>
    <row r="3834" spans="1:16" x14ac:dyDescent="0.25">
      <c r="A3834">
        <v>12</v>
      </c>
      <c r="B3834" t="s">
        <v>1381</v>
      </c>
      <c r="C3834">
        <f>-0.49-5.59</f>
        <v>-6.08</v>
      </c>
      <c r="D3834">
        <v>2.5499999999999998</v>
      </c>
      <c r="E3834" t="s">
        <v>37</v>
      </c>
      <c r="F3834" t="s">
        <v>114</v>
      </c>
      <c r="G3834">
        <v>5.59</v>
      </c>
      <c r="H3834">
        <v>-0.49</v>
      </c>
      <c r="I3834">
        <v>3.04</v>
      </c>
      <c r="J3834">
        <v>9.2416</v>
      </c>
      <c r="K3834" t="str">
        <f>IFERROR(INDEX(Rosters!$C$2:$C$155,MATCH($B3834,Rosters!$B$2:$B$155,0)),"NA")</f>
        <v>NA</v>
      </c>
      <c r="L3834" t="str">
        <f t="shared" si="177"/>
        <v>NA12TE</v>
      </c>
      <c r="M3834">
        <f>COUNTIF(L$1:L3834,L3834)</f>
        <v>24</v>
      </c>
      <c r="N3834" t="str">
        <f t="shared" si="178"/>
        <v>NA12TE-24</v>
      </c>
      <c r="O3834">
        <f>COUNTIFS(F$1:F3834,F3834,A$1:A3834,A3834)</f>
        <v>37</v>
      </c>
      <c r="P3834" t="str">
        <f t="shared" si="179"/>
        <v>Ricky Seals-Jones12</v>
      </c>
    </row>
    <row r="3835" spans="1:16" x14ac:dyDescent="0.25">
      <c r="A3835">
        <v>6</v>
      </c>
      <c r="B3835" t="s">
        <v>190</v>
      </c>
      <c r="C3835">
        <f>-0.1-5.2</f>
        <v>-5.3</v>
      </c>
      <c r="D3835">
        <v>2.5499999999999998</v>
      </c>
      <c r="E3835" t="s">
        <v>76</v>
      </c>
      <c r="F3835" t="s">
        <v>87</v>
      </c>
      <c r="G3835">
        <v>5.2</v>
      </c>
      <c r="H3835">
        <v>-0.1</v>
      </c>
      <c r="I3835">
        <v>2.65</v>
      </c>
      <c r="J3835">
        <v>7.0225</v>
      </c>
      <c r="K3835" t="str">
        <f>IFERROR(INDEX(Rosters!$C$2:$C$155,MATCH($B3835,Rosters!$B$2:$B$155,0)),"NA")</f>
        <v>NA</v>
      </c>
      <c r="L3835" t="str">
        <f t="shared" si="177"/>
        <v>NA6WR</v>
      </c>
      <c r="M3835">
        <f>COUNTIF(L$1:L3835,L3835)</f>
        <v>46</v>
      </c>
      <c r="N3835" t="str">
        <f t="shared" si="178"/>
        <v>NA6WR-46</v>
      </c>
      <c r="O3835">
        <f>COUNTIFS(F$1:F3835,F3835,A$1:A3835,A3835)</f>
        <v>96</v>
      </c>
      <c r="P3835" t="str">
        <f t="shared" si="179"/>
        <v>Tavon Austin6</v>
      </c>
    </row>
    <row r="3836" spans="1:16" x14ac:dyDescent="0.25">
      <c r="A3836">
        <v>13</v>
      </c>
      <c r="B3836" t="s">
        <v>265</v>
      </c>
      <c r="C3836" t="s">
        <v>8330</v>
      </c>
      <c r="D3836">
        <v>2.5499999999999998</v>
      </c>
      <c r="E3836" t="s">
        <v>50</v>
      </c>
      <c r="F3836" t="s">
        <v>114</v>
      </c>
      <c r="G3836">
        <v>4.72</v>
      </c>
      <c r="H3836">
        <v>0.38</v>
      </c>
      <c r="I3836">
        <v>2.17</v>
      </c>
      <c r="J3836">
        <v>4.7088999999999999</v>
      </c>
      <c r="K3836" t="str">
        <f>IFERROR(INDEX(Rosters!$C$2:$C$155,MATCH($B3836,Rosters!$B$2:$B$155,0)),"NA")</f>
        <v>NA</v>
      </c>
      <c r="L3836" t="str">
        <f t="shared" si="177"/>
        <v>NA13TE</v>
      </c>
      <c r="M3836">
        <f>COUNTIF(L$1:L3836,L3836)</f>
        <v>25</v>
      </c>
      <c r="N3836" t="str">
        <f t="shared" si="178"/>
        <v>NA13TE-25</v>
      </c>
      <c r="O3836">
        <f>COUNTIFS(F$1:F3836,F3836,A$1:A3836,A3836)</f>
        <v>39</v>
      </c>
      <c r="P3836" t="str">
        <f t="shared" si="179"/>
        <v>Vernon Davis13</v>
      </c>
    </row>
    <row r="3837" spans="1:16" x14ac:dyDescent="0.25">
      <c r="A3837">
        <v>3</v>
      </c>
      <c r="B3837" t="s">
        <v>2667</v>
      </c>
      <c r="C3837" t="s">
        <v>4227</v>
      </c>
      <c r="D3837">
        <v>2.54</v>
      </c>
      <c r="E3837" t="s">
        <v>56</v>
      </c>
      <c r="F3837" t="s">
        <v>114</v>
      </c>
      <c r="G3837">
        <v>5.0199999999999996</v>
      </c>
      <c r="H3837">
        <v>0.06</v>
      </c>
      <c r="I3837">
        <v>2.48</v>
      </c>
      <c r="J3837">
        <v>6.1504000000000003</v>
      </c>
      <c r="K3837" t="str">
        <f>IFERROR(INDEX(Rosters!$C$2:$C$155,MATCH($B3837,Rosters!$B$2:$B$155,0)),"NA")</f>
        <v>NA</v>
      </c>
      <c r="L3837" t="str">
        <f t="shared" si="177"/>
        <v>NA3TE</v>
      </c>
      <c r="M3837">
        <f>COUNTIF(L$1:L3837,L3837)</f>
        <v>21</v>
      </c>
      <c r="N3837" t="str">
        <f t="shared" si="178"/>
        <v>NA3TE-21</v>
      </c>
      <c r="O3837">
        <f>COUNTIFS(F$1:F3837,F3837,A$1:A3837,A3837)</f>
        <v>33</v>
      </c>
      <c r="P3837" t="str">
        <f t="shared" si="179"/>
        <v>Antonio Gates3</v>
      </c>
    </row>
    <row r="3838" spans="1:16" x14ac:dyDescent="0.25">
      <c r="A3838">
        <v>5</v>
      </c>
      <c r="B3838" t="s">
        <v>2599</v>
      </c>
      <c r="C3838">
        <f>-0.16-5.24</f>
        <v>-5.4</v>
      </c>
      <c r="D3838">
        <v>2.54</v>
      </c>
      <c r="E3838" t="s">
        <v>37</v>
      </c>
      <c r="F3838" t="s">
        <v>87</v>
      </c>
      <c r="G3838">
        <v>5.24</v>
      </c>
      <c r="H3838">
        <v>-0.16</v>
      </c>
      <c r="I3838">
        <v>2.7</v>
      </c>
      <c r="J3838">
        <v>7.29</v>
      </c>
      <c r="K3838" t="str">
        <f>IFERROR(INDEX(Rosters!$C$2:$C$155,MATCH($B3838,Rosters!$B$2:$B$155,0)),"NA")</f>
        <v>NA</v>
      </c>
      <c r="L3838" t="str">
        <f t="shared" si="177"/>
        <v>NA5WR</v>
      </c>
      <c r="M3838">
        <f>COUNTIF(L$1:L3838,L3838)</f>
        <v>46</v>
      </c>
      <c r="N3838" t="str">
        <f t="shared" si="178"/>
        <v>NA5WR-46</v>
      </c>
      <c r="O3838">
        <f>COUNTIFS(F$1:F3838,F3838,A$1:A3838,A3838)</f>
        <v>96</v>
      </c>
      <c r="P3838" t="str">
        <f t="shared" si="179"/>
        <v>Brandon LaFell5</v>
      </c>
    </row>
    <row r="3839" spans="1:16" x14ac:dyDescent="0.25">
      <c r="A3839">
        <v>11</v>
      </c>
      <c r="B3839" t="s">
        <v>316</v>
      </c>
      <c r="C3839" t="s">
        <v>8331</v>
      </c>
      <c r="D3839">
        <v>2.54</v>
      </c>
      <c r="E3839" t="s">
        <v>51</v>
      </c>
      <c r="F3839" t="s">
        <v>47</v>
      </c>
      <c r="G3839">
        <v>4.9400000000000004</v>
      </c>
      <c r="H3839">
        <v>0.14000000000000001</v>
      </c>
      <c r="I3839">
        <v>2.4</v>
      </c>
      <c r="J3839">
        <v>5.76</v>
      </c>
      <c r="K3839" t="str">
        <f>IFERROR(INDEX(Rosters!$C$2:$C$155,MATCH($B3839,Rosters!$B$2:$B$155,0)),"NA")</f>
        <v>NA</v>
      </c>
      <c r="L3839" t="str">
        <f t="shared" si="177"/>
        <v>NA11RB</v>
      </c>
      <c r="M3839">
        <f>COUNTIF(L$1:L3839,L3839)</f>
        <v>22</v>
      </c>
      <c r="N3839" t="str">
        <f t="shared" si="178"/>
        <v>NA11RB-22</v>
      </c>
      <c r="O3839">
        <f>COUNTIFS(F$1:F3839,F3839,A$1:A3839,A3839)</f>
        <v>59</v>
      </c>
      <c r="P3839" t="str">
        <f t="shared" si="179"/>
        <v>Corey Grant11</v>
      </c>
    </row>
    <row r="3840" spans="1:16" x14ac:dyDescent="0.25">
      <c r="A3840">
        <v>13</v>
      </c>
      <c r="B3840" t="s">
        <v>230</v>
      </c>
      <c r="C3840" t="s">
        <v>8332</v>
      </c>
      <c r="D3840">
        <v>2.54</v>
      </c>
      <c r="E3840" t="s">
        <v>50</v>
      </c>
      <c r="F3840" t="s">
        <v>87</v>
      </c>
      <c r="G3840">
        <v>4.8499999999999996</v>
      </c>
      <c r="H3840">
        <v>0.23</v>
      </c>
      <c r="I3840">
        <v>2.31</v>
      </c>
      <c r="J3840">
        <v>5.3361000000000001</v>
      </c>
      <c r="K3840" t="str">
        <f>IFERROR(INDEX(Rosters!$C$2:$C$155,MATCH($B3840,Rosters!$B$2:$B$155,0)),"NA")</f>
        <v>NA</v>
      </c>
      <c r="L3840" t="str">
        <f t="shared" si="177"/>
        <v>NA13WR</v>
      </c>
      <c r="M3840">
        <f>COUNTIF(L$1:L3840,L3840)</f>
        <v>55</v>
      </c>
      <c r="N3840" t="str">
        <f t="shared" si="178"/>
        <v>NA13WR-55</v>
      </c>
      <c r="O3840">
        <f>COUNTIFS(F$1:F3840,F3840,A$1:A3840,A3840)</f>
        <v>109</v>
      </c>
      <c r="P3840" t="str">
        <f t="shared" si="179"/>
        <v>Josh Doctson13</v>
      </c>
    </row>
    <row r="3841" spans="1:16" x14ac:dyDescent="0.25">
      <c r="A3841">
        <v>10</v>
      </c>
      <c r="B3841" t="s">
        <v>4236</v>
      </c>
      <c r="C3841">
        <f>-0.46-5.54</f>
        <v>-6</v>
      </c>
      <c r="D3841">
        <v>2.54</v>
      </c>
      <c r="E3841" t="s">
        <v>19</v>
      </c>
      <c r="F3841" t="s">
        <v>87</v>
      </c>
      <c r="G3841">
        <v>5.54</v>
      </c>
      <c r="H3841">
        <v>-0.46</v>
      </c>
      <c r="I3841">
        <v>3</v>
      </c>
      <c r="J3841">
        <v>9</v>
      </c>
      <c r="K3841" t="str">
        <f>IFERROR(INDEX(Rosters!$C$2:$C$155,MATCH($B3841,Rosters!$B$2:$B$155,0)),"NA")</f>
        <v>aj</v>
      </c>
      <c r="L3841" t="str">
        <f t="shared" si="177"/>
        <v>aj10WR</v>
      </c>
      <c r="M3841">
        <f>COUNTIF(L$1:L3841,L3841)</f>
        <v>3</v>
      </c>
      <c r="N3841" t="str">
        <f t="shared" si="178"/>
        <v>aj10WR-3</v>
      </c>
      <c r="O3841">
        <f>COUNTIFS(F$1:F3841,F3841,A$1:A3841,A3841)</f>
        <v>95</v>
      </c>
      <c r="P3841" t="str">
        <f t="shared" si="179"/>
        <v>Marquez Valdes-Scantling10</v>
      </c>
    </row>
    <row r="3842" spans="1:16" x14ac:dyDescent="0.25">
      <c r="A3842">
        <v>8</v>
      </c>
      <c r="B3842" t="s">
        <v>4225</v>
      </c>
      <c r="C3842">
        <f>-0.2-5.26</f>
        <v>-5.46</v>
      </c>
      <c r="D3842">
        <v>2.5299999999999998</v>
      </c>
      <c r="E3842" t="s">
        <v>19</v>
      </c>
      <c r="F3842" t="s">
        <v>114</v>
      </c>
      <c r="G3842">
        <v>5.26</v>
      </c>
      <c r="H3842">
        <v>-0.2</v>
      </c>
      <c r="I3842">
        <v>2.73</v>
      </c>
      <c r="J3842">
        <v>7.4528999999999996</v>
      </c>
      <c r="K3842" t="str">
        <f>IFERROR(INDEX(Rosters!$C$2:$C$155,MATCH($B3842,Rosters!$B$2:$B$155,0)),"NA")</f>
        <v>NA</v>
      </c>
      <c r="L3842" t="str">
        <f t="shared" si="177"/>
        <v>NA8TE</v>
      </c>
      <c r="M3842">
        <f>COUNTIF(L$1:L3842,L3842)</f>
        <v>19</v>
      </c>
      <c r="N3842" t="str">
        <f t="shared" si="178"/>
        <v>NA8TE-19</v>
      </c>
      <c r="O3842">
        <f>COUNTIFS(F$1:F3842,F3842,A$1:A3842,A3842)</f>
        <v>31</v>
      </c>
      <c r="P3842" t="str">
        <f t="shared" si="179"/>
        <v>Jordan Akins8</v>
      </c>
    </row>
    <row r="3843" spans="1:16" x14ac:dyDescent="0.25">
      <c r="A3843">
        <v>7</v>
      </c>
      <c r="B3843" t="s">
        <v>244</v>
      </c>
      <c r="C3843">
        <f>-0.21-5.27</f>
        <v>-5.4799999999999995</v>
      </c>
      <c r="D3843">
        <v>2.5299999999999998</v>
      </c>
      <c r="E3843" t="s">
        <v>30</v>
      </c>
      <c r="F3843" t="s">
        <v>114</v>
      </c>
      <c r="G3843">
        <v>5.27</v>
      </c>
      <c r="H3843">
        <v>-0.21</v>
      </c>
      <c r="I3843">
        <v>2.74</v>
      </c>
      <c r="J3843">
        <v>7.5076000000000001</v>
      </c>
      <c r="K3843" t="str">
        <f>IFERROR(INDEX(Rosters!$C$2:$C$155,MATCH($B3843,Rosters!$B$2:$B$155,0)),"NA")</f>
        <v>NA</v>
      </c>
      <c r="L3843" t="str">
        <f t="shared" ref="L3843:L3906" si="180">K3843&amp;A3843&amp;F3843</f>
        <v>NA7TE</v>
      </c>
      <c r="M3843">
        <f>COUNTIF(L$1:L3843,L3843)</f>
        <v>25</v>
      </c>
      <c r="N3843" t="str">
        <f t="shared" ref="N3843:N3906" si="181">L3843&amp;"-"&amp;M3843</f>
        <v>NA7TE-25</v>
      </c>
      <c r="O3843">
        <f>COUNTIFS(F$1:F3843,F3843,A$1:A3843,A3843)</f>
        <v>35</v>
      </c>
      <c r="P3843" t="str">
        <f t="shared" ref="P3843:P3906" si="182">B3843&amp;A3843</f>
        <v>Tyler Higbee7</v>
      </c>
    </row>
    <row r="3844" spans="1:16" x14ac:dyDescent="0.25">
      <c r="A3844">
        <v>12</v>
      </c>
      <c r="B3844" t="s">
        <v>265</v>
      </c>
      <c r="C3844" t="s">
        <v>8333</v>
      </c>
      <c r="D3844">
        <v>2.5299999999999998</v>
      </c>
      <c r="E3844" t="s">
        <v>22</v>
      </c>
      <c r="F3844" t="s">
        <v>114</v>
      </c>
      <c r="G3844">
        <v>4.59</v>
      </c>
      <c r="H3844">
        <v>0.47</v>
      </c>
      <c r="I3844">
        <v>2.06</v>
      </c>
      <c r="J3844">
        <v>4.2435999999999998</v>
      </c>
      <c r="K3844" t="str">
        <f>IFERROR(INDEX(Rosters!$C$2:$C$155,MATCH($B3844,Rosters!$B$2:$B$155,0)),"NA")</f>
        <v>NA</v>
      </c>
      <c r="L3844" t="str">
        <f t="shared" si="180"/>
        <v>NA12TE</v>
      </c>
      <c r="M3844">
        <f>COUNTIF(L$1:L3844,L3844)</f>
        <v>25</v>
      </c>
      <c r="N3844" t="str">
        <f t="shared" si="181"/>
        <v>NA12TE-25</v>
      </c>
      <c r="O3844">
        <f>COUNTIFS(F$1:F3844,F3844,A$1:A3844,A3844)</f>
        <v>38</v>
      </c>
      <c r="P3844" t="str">
        <f t="shared" si="182"/>
        <v>Vernon Davis12</v>
      </c>
    </row>
    <row r="3845" spans="1:16" x14ac:dyDescent="0.25">
      <c r="A3845">
        <v>14</v>
      </c>
      <c r="B3845" t="s">
        <v>301</v>
      </c>
      <c r="C3845">
        <f>-0.8-5.84</f>
        <v>-6.64</v>
      </c>
      <c r="D3845">
        <v>2.52</v>
      </c>
      <c r="E3845" t="s">
        <v>37</v>
      </c>
      <c r="F3845" t="s">
        <v>114</v>
      </c>
      <c r="G3845">
        <v>5.84</v>
      </c>
      <c r="H3845">
        <v>-0.8</v>
      </c>
      <c r="I3845">
        <v>3.32</v>
      </c>
      <c r="J3845">
        <v>11.022399999999999</v>
      </c>
      <c r="K3845" t="str">
        <f>IFERROR(INDEX(Rosters!$C$2:$C$155,MATCH($B3845,Rosters!$B$2:$B$155,0)),"NA")</f>
        <v>NA</v>
      </c>
      <c r="L3845" t="str">
        <f t="shared" si="180"/>
        <v>NA14TE</v>
      </c>
      <c r="M3845">
        <f>COUNTIF(L$1:L3845,L3845)</f>
        <v>25</v>
      </c>
      <c r="N3845" t="str">
        <f t="shared" si="181"/>
        <v>NA14TE-25</v>
      </c>
      <c r="O3845">
        <f>COUNTIFS(F$1:F3845,F3845,A$1:A3845,A3845)</f>
        <v>39</v>
      </c>
      <c r="P3845" t="str">
        <f t="shared" si="182"/>
        <v>C.J. Uzomah14</v>
      </c>
    </row>
    <row r="3846" spans="1:16" x14ac:dyDescent="0.25">
      <c r="A3846">
        <v>14</v>
      </c>
      <c r="B3846" t="s">
        <v>284</v>
      </c>
      <c r="C3846" t="s">
        <v>8334</v>
      </c>
      <c r="D3846">
        <v>2.52</v>
      </c>
      <c r="E3846" t="s">
        <v>56</v>
      </c>
      <c r="F3846" t="s">
        <v>114</v>
      </c>
      <c r="G3846">
        <v>4.66</v>
      </c>
      <c r="H3846">
        <v>0.38</v>
      </c>
      <c r="I3846">
        <v>2.14</v>
      </c>
      <c r="J3846">
        <v>4.5796000000000001</v>
      </c>
      <c r="K3846" t="str">
        <f>IFERROR(INDEX(Rosters!$C$2:$C$155,MATCH($B3846,Rosters!$B$2:$B$155,0)),"NA")</f>
        <v>NA</v>
      </c>
      <c r="L3846" t="str">
        <f t="shared" si="180"/>
        <v>NA14TE</v>
      </c>
      <c r="M3846">
        <f>COUNTIF(L$1:L3846,L3846)</f>
        <v>26</v>
      </c>
      <c r="N3846" t="str">
        <f t="shared" si="181"/>
        <v>NA14TE-26</v>
      </c>
      <c r="O3846">
        <f>COUNTIFS(F$1:F3846,F3846,A$1:A3846,A3846)</f>
        <v>40</v>
      </c>
      <c r="P3846" t="str">
        <f t="shared" si="182"/>
        <v>Dion Sims14</v>
      </c>
    </row>
    <row r="3847" spans="1:16" x14ac:dyDescent="0.25">
      <c r="A3847">
        <v>3</v>
      </c>
      <c r="B3847" t="s">
        <v>4226</v>
      </c>
      <c r="C3847">
        <f>-0.01-5.05</f>
        <v>-5.0599999999999996</v>
      </c>
      <c r="D3847">
        <v>2.52</v>
      </c>
      <c r="E3847" t="s">
        <v>54</v>
      </c>
      <c r="F3847" t="s">
        <v>114</v>
      </c>
      <c r="G3847">
        <v>5.05</v>
      </c>
      <c r="H3847">
        <v>-0.01</v>
      </c>
      <c r="I3847">
        <v>2.5299999999999998</v>
      </c>
      <c r="J3847">
        <v>6.4009</v>
      </c>
      <c r="K3847" t="str">
        <f>IFERROR(INDEX(Rosters!$C$2:$C$155,MATCH($B3847,Rosters!$B$2:$B$155,0)),"NA")</f>
        <v>NA</v>
      </c>
      <c r="L3847" t="str">
        <f t="shared" si="180"/>
        <v>NA3TE</v>
      </c>
      <c r="M3847">
        <f>COUNTIF(L$1:L3847,L3847)</f>
        <v>22</v>
      </c>
      <c r="N3847" t="str">
        <f t="shared" si="181"/>
        <v>NA3TE-22</v>
      </c>
      <c r="O3847">
        <f>COUNTIFS(F$1:F3847,F3847,A$1:A3847,A3847)</f>
        <v>34</v>
      </c>
      <c r="P3847" t="str">
        <f t="shared" si="182"/>
        <v>Jordan Thomas3</v>
      </c>
    </row>
    <row r="3848" spans="1:16" x14ac:dyDescent="0.25">
      <c r="A3848">
        <v>8</v>
      </c>
      <c r="B3848" t="s">
        <v>292</v>
      </c>
      <c r="C3848" t="s">
        <v>8335</v>
      </c>
      <c r="D3848">
        <v>2.52</v>
      </c>
      <c r="E3848" t="s">
        <v>28</v>
      </c>
      <c r="F3848" t="s">
        <v>114</v>
      </c>
      <c r="G3848">
        <v>4.5599999999999996</v>
      </c>
      <c r="H3848">
        <v>0.48</v>
      </c>
      <c r="I3848">
        <v>2.04</v>
      </c>
      <c r="J3848">
        <v>4.1616</v>
      </c>
      <c r="K3848" t="str">
        <f>IFERROR(INDEX(Rosters!$C$2:$C$155,MATCH($B3848,Rosters!$B$2:$B$155,0)),"NA")</f>
        <v>NA</v>
      </c>
      <c r="L3848" t="str">
        <f t="shared" si="180"/>
        <v>NA8TE</v>
      </c>
      <c r="M3848">
        <f>COUNTIF(L$1:L3848,L3848)</f>
        <v>20</v>
      </c>
      <c r="N3848" t="str">
        <f t="shared" si="181"/>
        <v>NA8TE-20</v>
      </c>
      <c r="O3848">
        <f>COUNTIFS(F$1:F3848,F3848,A$1:A3848,A3848)</f>
        <v>32</v>
      </c>
      <c r="P3848" t="str">
        <f t="shared" si="182"/>
        <v>Luke Willson8</v>
      </c>
    </row>
    <row r="3849" spans="1:16" x14ac:dyDescent="0.25">
      <c r="A3849">
        <v>10</v>
      </c>
      <c r="B3849" t="s">
        <v>282</v>
      </c>
      <c r="C3849" t="s">
        <v>8336</v>
      </c>
      <c r="D3849">
        <v>2.52</v>
      </c>
      <c r="E3849" t="s">
        <v>28</v>
      </c>
      <c r="F3849" t="s">
        <v>47</v>
      </c>
      <c r="G3849">
        <v>4.83</v>
      </c>
      <c r="H3849">
        <v>0.21</v>
      </c>
      <c r="I3849">
        <v>2.31</v>
      </c>
      <c r="J3849">
        <v>5.3361000000000001</v>
      </c>
      <c r="K3849" t="str">
        <f>IFERROR(INDEX(Rosters!$C$2:$C$155,MATCH($B3849,Rosters!$B$2:$B$155,0)),"NA")</f>
        <v>NA</v>
      </c>
      <c r="L3849" t="str">
        <f t="shared" si="180"/>
        <v>NA10RB</v>
      </c>
      <c r="M3849">
        <f>COUNTIF(L$1:L3849,L3849)</f>
        <v>23</v>
      </c>
      <c r="N3849" t="str">
        <f t="shared" si="181"/>
        <v>NA10RB-23</v>
      </c>
      <c r="O3849">
        <f>COUNTIFS(F$1:F3849,F3849,A$1:A3849,A3849)</f>
        <v>62</v>
      </c>
      <c r="P3849" t="str">
        <f t="shared" si="182"/>
        <v>Malcolm Brown10</v>
      </c>
    </row>
    <row r="3850" spans="1:16" x14ac:dyDescent="0.25">
      <c r="A3850">
        <v>8</v>
      </c>
      <c r="B3850" t="s">
        <v>4224</v>
      </c>
      <c r="C3850" t="s">
        <v>8337</v>
      </c>
      <c r="D3850">
        <v>2.52</v>
      </c>
      <c r="E3850" t="s">
        <v>74</v>
      </c>
      <c r="F3850" t="s">
        <v>114</v>
      </c>
      <c r="G3850">
        <v>5.03</v>
      </c>
      <c r="H3850">
        <v>0.01</v>
      </c>
      <c r="I3850">
        <v>2.5099999999999998</v>
      </c>
      <c r="J3850">
        <v>6.3000999999999996</v>
      </c>
      <c r="K3850" t="str">
        <f>IFERROR(INDEX(Rosters!$C$2:$C$155,MATCH($B3850,Rosters!$B$2:$B$155,0)),"NA")</f>
        <v>NA</v>
      </c>
      <c r="L3850" t="str">
        <f t="shared" si="180"/>
        <v>NA8TE</v>
      </c>
      <c r="M3850">
        <f>COUNTIF(L$1:L3850,L3850)</f>
        <v>21</v>
      </c>
      <c r="N3850" t="str">
        <f t="shared" si="181"/>
        <v>NA8TE-21</v>
      </c>
      <c r="O3850">
        <f>COUNTIFS(F$1:F3850,F3850,A$1:A3850,A3850)</f>
        <v>33</v>
      </c>
      <c r="P3850" t="str">
        <f t="shared" si="182"/>
        <v>Mark Andrews8</v>
      </c>
    </row>
    <row r="3851" spans="1:16" x14ac:dyDescent="0.25">
      <c r="A3851">
        <v>3</v>
      </c>
      <c r="B3851" t="s">
        <v>4215</v>
      </c>
      <c r="C3851" t="s">
        <v>4228</v>
      </c>
      <c r="D3851">
        <v>2.52</v>
      </c>
      <c r="E3851" t="s">
        <v>74</v>
      </c>
      <c r="F3851" t="s">
        <v>47</v>
      </c>
      <c r="G3851">
        <v>4.8600000000000003</v>
      </c>
      <c r="H3851">
        <v>0.18</v>
      </c>
      <c r="I3851">
        <v>2.34</v>
      </c>
      <c r="J3851">
        <v>5.4756</v>
      </c>
      <c r="K3851" t="str">
        <f>IFERROR(INDEX(Rosters!$C$2:$C$155,MATCH($B3851,Rosters!$B$2:$B$155,0)),"NA")</f>
        <v>NA</v>
      </c>
      <c r="L3851" t="str">
        <f t="shared" si="180"/>
        <v>NA3RB</v>
      </c>
      <c r="M3851">
        <f>COUNTIF(L$1:L3851,L3851)</f>
        <v>25</v>
      </c>
      <c r="N3851" t="str">
        <f t="shared" si="181"/>
        <v>NA3RB-25</v>
      </c>
      <c r="O3851">
        <f>COUNTIFS(F$1:F3851,F3851,A$1:A3851,A3851)</f>
        <v>64</v>
      </c>
      <c r="P3851" t="str">
        <f t="shared" si="182"/>
        <v>Mark Walton3</v>
      </c>
    </row>
    <row r="3852" spans="1:16" x14ac:dyDescent="0.25">
      <c r="A3852">
        <v>6</v>
      </c>
      <c r="B3852" t="s">
        <v>386</v>
      </c>
      <c r="C3852" t="s">
        <v>8338</v>
      </c>
      <c r="D3852">
        <v>2.52</v>
      </c>
      <c r="E3852" t="s">
        <v>38</v>
      </c>
      <c r="F3852" t="s">
        <v>114</v>
      </c>
      <c r="G3852">
        <v>4.46</v>
      </c>
      <c r="H3852">
        <v>0.57999999999999996</v>
      </c>
      <c r="I3852">
        <v>1.94</v>
      </c>
      <c r="J3852">
        <v>3.7635999999999998</v>
      </c>
      <c r="K3852" t="str">
        <f>IFERROR(INDEX(Rosters!$C$2:$C$155,MATCH($B3852,Rosters!$B$2:$B$155,0)),"NA")</f>
        <v>NA</v>
      </c>
      <c r="L3852" t="str">
        <f t="shared" si="180"/>
        <v>NA6TE</v>
      </c>
      <c r="M3852">
        <f>COUNTIF(L$1:L3852,L3852)</f>
        <v>24</v>
      </c>
      <c r="N3852" t="str">
        <f t="shared" si="181"/>
        <v>NA6TE-24</v>
      </c>
      <c r="O3852">
        <f>COUNTIFS(F$1:F3852,F3852,A$1:A3852,A3852)</f>
        <v>36</v>
      </c>
      <c r="P3852" t="str">
        <f t="shared" si="182"/>
        <v>Nick Boyle6</v>
      </c>
    </row>
    <row r="3853" spans="1:16" x14ac:dyDescent="0.25">
      <c r="A3853">
        <v>3</v>
      </c>
      <c r="B3853" t="s">
        <v>259</v>
      </c>
      <c r="C3853" t="s">
        <v>3786</v>
      </c>
      <c r="D3853">
        <v>2.52</v>
      </c>
      <c r="E3853" t="s">
        <v>36</v>
      </c>
      <c r="F3853" t="s">
        <v>87</v>
      </c>
      <c r="G3853">
        <v>4.93</v>
      </c>
      <c r="H3853">
        <v>0.11</v>
      </c>
      <c r="I3853">
        <v>2.41</v>
      </c>
      <c r="J3853">
        <v>5.8080999999999996</v>
      </c>
      <c r="K3853" t="str">
        <f>IFERROR(INDEX(Rosters!$C$2:$C$155,MATCH($B3853,Rosters!$B$2:$B$155,0)),"NA")</f>
        <v>NA</v>
      </c>
      <c r="L3853" t="str">
        <f t="shared" si="180"/>
        <v>NA3WR</v>
      </c>
      <c r="M3853">
        <f>COUNTIF(L$1:L3853,L3853)</f>
        <v>45</v>
      </c>
      <c r="N3853" t="str">
        <f t="shared" si="181"/>
        <v>NA3WR-45</v>
      </c>
      <c r="O3853">
        <f>COUNTIFS(F$1:F3853,F3853,A$1:A3853,A3853)</f>
        <v>93</v>
      </c>
      <c r="P3853" t="str">
        <f t="shared" si="182"/>
        <v>Russell Shepard3</v>
      </c>
    </row>
    <row r="3854" spans="1:16" x14ac:dyDescent="0.25">
      <c r="A3854">
        <v>4</v>
      </c>
      <c r="B3854" t="s">
        <v>249</v>
      </c>
      <c r="C3854" t="s">
        <v>4622</v>
      </c>
      <c r="D3854">
        <v>2.52</v>
      </c>
      <c r="E3854" t="s">
        <v>30</v>
      </c>
      <c r="F3854" t="s">
        <v>87</v>
      </c>
      <c r="G3854">
        <v>4.88</v>
      </c>
      <c r="H3854">
        <v>0.16</v>
      </c>
      <c r="I3854">
        <v>2.36</v>
      </c>
      <c r="J3854">
        <v>5.5696000000000003</v>
      </c>
      <c r="K3854" t="str">
        <f>IFERROR(INDEX(Rosters!$C$2:$C$155,MATCH($B3854,Rosters!$B$2:$B$155,0)),"NA")</f>
        <v>NA</v>
      </c>
      <c r="L3854" t="str">
        <f t="shared" si="180"/>
        <v>NA4WR</v>
      </c>
      <c r="M3854">
        <f>COUNTIF(L$1:L3854,L3854)</f>
        <v>42</v>
      </c>
      <c r="N3854" t="str">
        <f t="shared" si="181"/>
        <v>NA4WR-42</v>
      </c>
      <c r="O3854">
        <f>COUNTIFS(F$1:F3854,F3854,A$1:A3854,A3854)</f>
        <v>92</v>
      </c>
      <c r="P3854" t="str">
        <f t="shared" si="182"/>
        <v>Travis Benjamin4</v>
      </c>
    </row>
    <row r="3855" spans="1:16" x14ac:dyDescent="0.25">
      <c r="A3855">
        <v>15</v>
      </c>
      <c r="B3855" t="s">
        <v>109</v>
      </c>
      <c r="C3855" t="s">
        <v>8339</v>
      </c>
      <c r="D3855">
        <v>2.52</v>
      </c>
      <c r="E3855" t="s">
        <v>72</v>
      </c>
      <c r="F3855" t="s">
        <v>47</v>
      </c>
      <c r="G3855">
        <v>4.1399999999999997</v>
      </c>
      <c r="H3855">
        <v>0.9</v>
      </c>
      <c r="I3855">
        <v>1.62</v>
      </c>
      <c r="J3855">
        <v>2.6244000000000001</v>
      </c>
      <c r="K3855" t="str">
        <f>IFERROR(INDEX(Rosters!$C$2:$C$155,MATCH($B3855,Rosters!$B$2:$B$155,0)),"NA")</f>
        <v>seth</v>
      </c>
      <c r="L3855" t="str">
        <f t="shared" si="180"/>
        <v>seth15RB</v>
      </c>
      <c r="M3855">
        <f>COUNTIF(L$1:L3855,L3855)</f>
        <v>7</v>
      </c>
      <c r="N3855" t="str">
        <f t="shared" si="181"/>
        <v>seth15RB-7</v>
      </c>
      <c r="O3855">
        <f>COUNTIFS(F$1:F3855,F3855,A$1:A3855,A3855)</f>
        <v>71</v>
      </c>
      <c r="P3855" t="str">
        <f t="shared" si="182"/>
        <v>Ty Montgomery15</v>
      </c>
    </row>
    <row r="3856" spans="1:16" x14ac:dyDescent="0.25">
      <c r="A3856">
        <v>2</v>
      </c>
      <c r="B3856" t="s">
        <v>1124</v>
      </c>
      <c r="C3856">
        <f>-0.09-5.11</f>
        <v>-5.2</v>
      </c>
      <c r="D3856">
        <v>2.5099999999999998</v>
      </c>
      <c r="E3856" t="s">
        <v>51</v>
      </c>
      <c r="F3856" t="s">
        <v>87</v>
      </c>
      <c r="G3856">
        <v>5.1100000000000003</v>
      </c>
      <c r="H3856">
        <v>-0.09</v>
      </c>
      <c r="I3856">
        <v>2.6</v>
      </c>
      <c r="J3856">
        <v>6.76</v>
      </c>
      <c r="K3856" t="str">
        <f>IFERROR(INDEX(Rosters!$C$2:$C$155,MATCH($B3856,Rosters!$B$2:$B$155,0)),"NA")</f>
        <v>NA</v>
      </c>
      <c r="L3856" t="str">
        <f t="shared" si="180"/>
        <v>NA2WR</v>
      </c>
      <c r="M3856">
        <f>COUNTIF(L$1:L3856,L3856)</f>
        <v>42</v>
      </c>
      <c r="N3856" t="str">
        <f t="shared" si="181"/>
        <v>NA2WR-42</v>
      </c>
      <c r="O3856">
        <f>COUNTIFS(F$1:F3856,F3856,A$1:A3856,A3856)</f>
        <v>90</v>
      </c>
      <c r="P3856" t="str">
        <f t="shared" si="182"/>
        <v>Chris Conley2</v>
      </c>
    </row>
    <row r="3857" spans="1:16" x14ac:dyDescent="0.25">
      <c r="A3857">
        <v>13</v>
      </c>
      <c r="B3857" t="s">
        <v>316</v>
      </c>
      <c r="C3857" t="s">
        <v>8340</v>
      </c>
      <c r="D3857">
        <v>2.5099999999999998</v>
      </c>
      <c r="E3857" t="s">
        <v>66</v>
      </c>
      <c r="F3857" t="s">
        <v>47</v>
      </c>
      <c r="G3857">
        <v>4.4800000000000004</v>
      </c>
      <c r="H3857">
        <v>0.54</v>
      </c>
      <c r="I3857">
        <v>1.97</v>
      </c>
      <c r="J3857">
        <v>3.8809</v>
      </c>
      <c r="K3857" t="str">
        <f>IFERROR(INDEX(Rosters!$C$2:$C$155,MATCH($B3857,Rosters!$B$2:$B$155,0)),"NA")</f>
        <v>NA</v>
      </c>
      <c r="L3857" t="str">
        <f t="shared" si="180"/>
        <v>NA13RB</v>
      </c>
      <c r="M3857">
        <f>COUNTIF(L$1:L3857,L3857)</f>
        <v>25</v>
      </c>
      <c r="N3857" t="str">
        <f t="shared" si="181"/>
        <v>NA13RB-25</v>
      </c>
      <c r="O3857">
        <f>COUNTIFS(F$1:F3857,F3857,A$1:A3857,A3857)</f>
        <v>72</v>
      </c>
      <c r="P3857" t="str">
        <f t="shared" si="182"/>
        <v>Corey Grant13</v>
      </c>
    </row>
    <row r="3858" spans="1:16" x14ac:dyDescent="0.25">
      <c r="A3858">
        <v>14</v>
      </c>
      <c r="B3858" t="s">
        <v>312</v>
      </c>
      <c r="C3858" t="s">
        <v>8340</v>
      </c>
      <c r="D3858">
        <v>2.5099999999999998</v>
      </c>
      <c r="E3858" t="s">
        <v>74</v>
      </c>
      <c r="F3858" t="s">
        <v>114</v>
      </c>
      <c r="G3858">
        <v>4.4800000000000004</v>
      </c>
      <c r="H3858">
        <v>0.54</v>
      </c>
      <c r="I3858">
        <v>1.97</v>
      </c>
      <c r="J3858">
        <v>3.8809</v>
      </c>
      <c r="K3858" t="str">
        <f>IFERROR(INDEX(Rosters!$C$2:$C$155,MATCH($B3858,Rosters!$B$2:$B$155,0)),"NA")</f>
        <v>NA</v>
      </c>
      <c r="L3858" t="str">
        <f t="shared" si="180"/>
        <v>NA14TE</v>
      </c>
      <c r="M3858">
        <f>COUNTIF(L$1:L3858,L3858)</f>
        <v>27</v>
      </c>
      <c r="N3858" t="str">
        <f t="shared" si="181"/>
        <v>NA14TE-27</v>
      </c>
      <c r="O3858">
        <f>COUNTIFS(F$1:F3858,F3858,A$1:A3858,A3858)</f>
        <v>41</v>
      </c>
      <c r="P3858" t="str">
        <f t="shared" si="182"/>
        <v>Darren Fells14</v>
      </c>
    </row>
    <row r="3859" spans="1:16" x14ac:dyDescent="0.25">
      <c r="A3859">
        <v>7</v>
      </c>
      <c r="B3859" t="s">
        <v>378</v>
      </c>
      <c r="C3859" t="s">
        <v>8341</v>
      </c>
      <c r="D3859">
        <v>2.5099999999999998</v>
      </c>
      <c r="E3859" t="s">
        <v>34</v>
      </c>
      <c r="F3859" t="s">
        <v>87</v>
      </c>
      <c r="G3859">
        <v>4.97</v>
      </c>
      <c r="H3859">
        <v>0.05</v>
      </c>
      <c r="I3859">
        <v>2.46</v>
      </c>
      <c r="J3859">
        <v>6.0515999999999996</v>
      </c>
      <c r="K3859" t="str">
        <f>IFERROR(INDEX(Rosters!$C$2:$C$155,MATCH($B3859,Rosters!$B$2:$B$155,0)),"NA")</f>
        <v>NA</v>
      </c>
      <c r="L3859" t="str">
        <f t="shared" si="180"/>
        <v>NA7WR</v>
      </c>
      <c r="M3859">
        <f>COUNTIF(L$1:L3859,L3859)</f>
        <v>43</v>
      </c>
      <c r="N3859" t="str">
        <f t="shared" si="181"/>
        <v>NA7WR-43</v>
      </c>
      <c r="O3859">
        <f>COUNTIFS(F$1:F3859,F3859,A$1:A3859,A3859)</f>
        <v>88</v>
      </c>
      <c r="P3859" t="str">
        <f t="shared" si="182"/>
        <v>Jakeem Grant7</v>
      </c>
    </row>
    <row r="3860" spans="1:16" x14ac:dyDescent="0.25">
      <c r="A3860">
        <v>4</v>
      </c>
      <c r="B3860" t="s">
        <v>387</v>
      </c>
      <c r="C3860" t="s">
        <v>4860</v>
      </c>
      <c r="D3860">
        <v>2.5099999999999998</v>
      </c>
      <c r="E3860" t="s">
        <v>14</v>
      </c>
      <c r="F3860" t="s">
        <v>114</v>
      </c>
      <c r="G3860">
        <v>4.9000000000000004</v>
      </c>
      <c r="H3860">
        <v>0.12</v>
      </c>
      <c r="I3860">
        <v>2.39</v>
      </c>
      <c r="J3860">
        <v>5.7121000000000004</v>
      </c>
      <c r="K3860" t="str">
        <f>IFERROR(INDEX(Rosters!$C$2:$C$155,MATCH($B3860,Rosters!$B$2:$B$155,0)),"NA")</f>
        <v>NA</v>
      </c>
      <c r="L3860" t="str">
        <f t="shared" si="180"/>
        <v>NA4TE</v>
      </c>
      <c r="M3860">
        <f>COUNTIF(L$1:L3860,L3860)</f>
        <v>23</v>
      </c>
      <c r="N3860" t="str">
        <f t="shared" si="181"/>
        <v>NA4TE-23</v>
      </c>
      <c r="O3860">
        <f>COUNTIFS(F$1:F3860,F3860,A$1:A3860,A3860)</f>
        <v>34</v>
      </c>
      <c r="P3860" t="str">
        <f t="shared" si="182"/>
        <v>Rhett Ellison4</v>
      </c>
    </row>
    <row r="3861" spans="1:16" x14ac:dyDescent="0.25">
      <c r="A3861">
        <v>13</v>
      </c>
      <c r="B3861" t="s">
        <v>297</v>
      </c>
      <c r="C3861">
        <f>-0.07-5.09</f>
        <v>-5.16</v>
      </c>
      <c r="D3861">
        <v>2.5099999999999998</v>
      </c>
      <c r="E3861" t="s">
        <v>36</v>
      </c>
      <c r="F3861" t="s">
        <v>114</v>
      </c>
      <c r="G3861">
        <v>5.09</v>
      </c>
      <c r="H3861">
        <v>-7.0000000000000007E-2</v>
      </c>
      <c r="I3861">
        <v>2.58</v>
      </c>
      <c r="J3861">
        <v>6.6563999999999997</v>
      </c>
      <c r="K3861" t="str">
        <f>IFERROR(INDEX(Rosters!$C$2:$C$155,MATCH($B3861,Rosters!$B$2:$B$155,0)),"NA")</f>
        <v>NA</v>
      </c>
      <c r="L3861" t="str">
        <f t="shared" si="180"/>
        <v>NA13TE</v>
      </c>
      <c r="M3861">
        <f>COUNTIF(L$1:L3861,L3861)</f>
        <v>26</v>
      </c>
      <c r="N3861" t="str">
        <f t="shared" si="181"/>
        <v>NA13TE-26</v>
      </c>
      <c r="O3861">
        <f>COUNTIFS(F$1:F3861,F3861,A$1:A3861,A3861)</f>
        <v>40</v>
      </c>
      <c r="P3861" t="str">
        <f t="shared" si="182"/>
        <v>Seth DeValve13</v>
      </c>
    </row>
    <row r="3862" spans="1:16" x14ac:dyDescent="0.25">
      <c r="A3862">
        <v>5</v>
      </c>
      <c r="B3862" t="s">
        <v>265</v>
      </c>
      <c r="C3862" t="s">
        <v>8342</v>
      </c>
      <c r="D3862">
        <v>2.5099999999999998</v>
      </c>
      <c r="E3862" t="s">
        <v>14</v>
      </c>
      <c r="F3862" t="s">
        <v>114</v>
      </c>
      <c r="G3862">
        <v>4.59</v>
      </c>
      <c r="H3862">
        <v>0.43</v>
      </c>
      <c r="I3862">
        <v>2.08</v>
      </c>
      <c r="J3862">
        <v>4.3263999999999996</v>
      </c>
      <c r="K3862" t="str">
        <f>IFERROR(INDEX(Rosters!$C$2:$C$155,MATCH($B3862,Rosters!$B$2:$B$155,0)),"NA")</f>
        <v>NA</v>
      </c>
      <c r="L3862" t="str">
        <f t="shared" si="180"/>
        <v>NA5TE</v>
      </c>
      <c r="M3862">
        <f>COUNTIF(L$1:L3862,L3862)</f>
        <v>21</v>
      </c>
      <c r="N3862" t="str">
        <f t="shared" si="181"/>
        <v>NA5TE-21</v>
      </c>
      <c r="O3862">
        <f>COUNTIFS(F$1:F3862,F3862,A$1:A3862,A3862)</f>
        <v>32</v>
      </c>
      <c r="P3862" t="str">
        <f t="shared" si="182"/>
        <v>Vernon Davis5</v>
      </c>
    </row>
    <row r="3863" spans="1:16" x14ac:dyDescent="0.25">
      <c r="A3863">
        <v>14</v>
      </c>
      <c r="B3863" t="s">
        <v>286</v>
      </c>
      <c r="C3863" t="s">
        <v>8343</v>
      </c>
      <c r="D3863">
        <v>2.5</v>
      </c>
      <c r="E3863" t="s">
        <v>423</v>
      </c>
      <c r="F3863" t="s">
        <v>114</v>
      </c>
      <c r="G3863">
        <v>4.93</v>
      </c>
      <c r="H3863">
        <v>7.0000000000000007E-2</v>
      </c>
      <c r="I3863">
        <v>2.4300000000000002</v>
      </c>
      <c r="J3863">
        <v>5.9048999999999996</v>
      </c>
      <c r="K3863" t="str">
        <f>IFERROR(INDEX(Rosters!$C$2:$C$155,MATCH($B3863,Rosters!$B$2:$B$155,0)),"NA")</f>
        <v>NA</v>
      </c>
      <c r="L3863" t="str">
        <f t="shared" si="180"/>
        <v>NA14TE</v>
      </c>
      <c r="M3863">
        <f>COUNTIF(L$1:L3863,L3863)</f>
        <v>28</v>
      </c>
      <c r="N3863" t="str">
        <f t="shared" si="181"/>
        <v>NA14TE-28</v>
      </c>
      <c r="O3863">
        <f>COUNTIFS(F$1:F3863,F3863,A$1:A3863,A3863)</f>
        <v>42</v>
      </c>
      <c r="P3863" t="str">
        <f t="shared" si="182"/>
        <v>A.J. Derby14</v>
      </c>
    </row>
    <row r="3864" spans="1:16" x14ac:dyDescent="0.25">
      <c r="A3864">
        <v>8</v>
      </c>
      <c r="B3864" t="s">
        <v>1478</v>
      </c>
      <c r="C3864">
        <f>-0.46-5.46</f>
        <v>-5.92</v>
      </c>
      <c r="D3864">
        <v>2.5</v>
      </c>
      <c r="E3864" t="s">
        <v>76</v>
      </c>
      <c r="F3864" t="s">
        <v>114</v>
      </c>
      <c r="G3864">
        <v>5.46</v>
      </c>
      <c r="H3864">
        <v>-0.46</v>
      </c>
      <c r="I3864">
        <v>2.96</v>
      </c>
      <c r="J3864">
        <v>8.7615999999999996</v>
      </c>
      <c r="K3864" t="str">
        <f>IFERROR(INDEX(Rosters!$C$2:$C$155,MATCH($B3864,Rosters!$B$2:$B$155,0)),"NA")</f>
        <v>NA</v>
      </c>
      <c r="L3864" t="str">
        <f t="shared" si="180"/>
        <v>NA8TE</v>
      </c>
      <c r="M3864">
        <f>COUNTIF(L$1:L3864,L3864)</f>
        <v>22</v>
      </c>
      <c r="N3864" t="str">
        <f t="shared" si="181"/>
        <v>NA8TE-22</v>
      </c>
      <c r="O3864">
        <f>COUNTIFS(F$1:F3864,F3864,A$1:A3864,A3864)</f>
        <v>34</v>
      </c>
      <c r="P3864" t="str">
        <f t="shared" si="182"/>
        <v>Dallas Goedert8</v>
      </c>
    </row>
    <row r="3865" spans="1:16" x14ac:dyDescent="0.25">
      <c r="A3865">
        <v>14</v>
      </c>
      <c r="B3865" t="s">
        <v>338</v>
      </c>
      <c r="C3865" t="s">
        <v>8344</v>
      </c>
      <c r="D3865">
        <v>2.5</v>
      </c>
      <c r="E3865" t="s">
        <v>25</v>
      </c>
      <c r="F3865" t="s">
        <v>87</v>
      </c>
      <c r="G3865">
        <v>4.7300000000000004</v>
      </c>
      <c r="H3865">
        <v>0.27</v>
      </c>
      <c r="I3865">
        <v>2.23</v>
      </c>
      <c r="J3865">
        <v>4.9729000000000001</v>
      </c>
      <c r="K3865" t="str">
        <f>IFERROR(INDEX(Rosters!$C$2:$C$155,MATCH($B3865,Rosters!$B$2:$B$155,0)),"NA")</f>
        <v>NA</v>
      </c>
      <c r="L3865" t="str">
        <f t="shared" si="180"/>
        <v>NA14WR</v>
      </c>
      <c r="M3865">
        <f>COUNTIF(L$1:L3865,L3865)</f>
        <v>52</v>
      </c>
      <c r="N3865" t="str">
        <f t="shared" si="181"/>
        <v>NA14WR-52</v>
      </c>
      <c r="O3865">
        <f>COUNTIFS(F$1:F3865,F3865,A$1:A3865,A3865)</f>
        <v>106</v>
      </c>
      <c r="P3865" t="str">
        <f t="shared" si="182"/>
        <v>Jaron Brown14</v>
      </c>
    </row>
    <row r="3866" spans="1:16" x14ac:dyDescent="0.25">
      <c r="A3866">
        <v>10</v>
      </c>
      <c r="B3866" t="s">
        <v>292</v>
      </c>
      <c r="C3866" t="s">
        <v>8345</v>
      </c>
      <c r="D3866">
        <v>2.5</v>
      </c>
      <c r="E3866" t="s">
        <v>72</v>
      </c>
      <c r="F3866" t="s">
        <v>114</v>
      </c>
      <c r="G3866">
        <v>4.7699999999999996</v>
      </c>
      <c r="H3866">
        <v>0.23</v>
      </c>
      <c r="I3866">
        <v>2.27</v>
      </c>
      <c r="J3866">
        <v>5.1528999999999998</v>
      </c>
      <c r="K3866" t="str">
        <f>IFERROR(INDEX(Rosters!$C$2:$C$155,MATCH($B3866,Rosters!$B$2:$B$155,0)),"NA")</f>
        <v>NA</v>
      </c>
      <c r="L3866" t="str">
        <f t="shared" si="180"/>
        <v>NA10TE</v>
      </c>
      <c r="M3866">
        <f>COUNTIF(L$1:L3866,L3866)</f>
        <v>23</v>
      </c>
      <c r="N3866" t="str">
        <f t="shared" si="181"/>
        <v>NA10TE-23</v>
      </c>
      <c r="O3866">
        <f>COUNTIFS(F$1:F3866,F3866,A$1:A3866,A3866)</f>
        <v>36</v>
      </c>
      <c r="P3866" t="str">
        <f t="shared" si="182"/>
        <v>Luke Willson10</v>
      </c>
    </row>
    <row r="3867" spans="1:16" x14ac:dyDescent="0.25">
      <c r="A3867">
        <v>9</v>
      </c>
      <c r="B3867" t="s">
        <v>362</v>
      </c>
      <c r="C3867" t="s">
        <v>8346</v>
      </c>
      <c r="D3867">
        <v>2.5</v>
      </c>
      <c r="E3867" t="s">
        <v>37</v>
      </c>
      <c r="F3867" t="s">
        <v>114</v>
      </c>
      <c r="G3867">
        <v>4.96</v>
      </c>
      <c r="H3867">
        <v>0.04</v>
      </c>
      <c r="I3867">
        <v>2.46</v>
      </c>
      <c r="J3867">
        <v>6.0515999999999996</v>
      </c>
      <c r="K3867" t="str">
        <f>IFERROR(INDEX(Rosters!$C$2:$C$155,MATCH($B3867,Rosters!$B$2:$B$155,0)),"NA")</f>
        <v>NA</v>
      </c>
      <c r="L3867" t="str">
        <f t="shared" si="180"/>
        <v>NA9TE</v>
      </c>
      <c r="M3867">
        <f>COUNTIF(L$1:L3867,L3867)</f>
        <v>21</v>
      </c>
      <c r="N3867" t="str">
        <f t="shared" si="181"/>
        <v>NA9TE-21</v>
      </c>
      <c r="O3867">
        <f>COUNTIFS(F$1:F3867,F3867,A$1:A3867,A3867)</f>
        <v>32</v>
      </c>
      <c r="P3867" t="str">
        <f t="shared" si="182"/>
        <v>Nick Vannett9</v>
      </c>
    </row>
    <row r="3868" spans="1:16" x14ac:dyDescent="0.25">
      <c r="A3868">
        <v>17</v>
      </c>
      <c r="B3868" t="s">
        <v>798</v>
      </c>
      <c r="C3868" t="s">
        <v>8347</v>
      </c>
      <c r="D3868">
        <v>2.5</v>
      </c>
      <c r="E3868" t="s">
        <v>77</v>
      </c>
      <c r="F3868" t="s">
        <v>87</v>
      </c>
      <c r="G3868">
        <v>4.75</v>
      </c>
      <c r="H3868">
        <v>0.25</v>
      </c>
      <c r="I3868">
        <v>2.25</v>
      </c>
      <c r="J3868">
        <v>5.0625</v>
      </c>
      <c r="K3868" t="str">
        <f>IFERROR(INDEX(Rosters!$C$2:$C$155,MATCH($B3868,Rosters!$B$2:$B$155,0)),"NA")</f>
        <v>NA</v>
      </c>
      <c r="L3868" t="str">
        <f t="shared" si="180"/>
        <v>NA17WR</v>
      </c>
      <c r="M3868">
        <f>COUNTIF(L$1:L3868,L3868)</f>
        <v>52</v>
      </c>
      <c r="N3868" t="str">
        <f t="shared" si="181"/>
        <v>NA17WR-52</v>
      </c>
      <c r="O3868">
        <f>COUNTIFS(F$1:F3868,F3868,A$1:A3868,A3868)</f>
        <v>106</v>
      </c>
      <c r="P3868" t="str">
        <f t="shared" si="182"/>
        <v>Rashard Higgins17</v>
      </c>
    </row>
    <row r="3869" spans="1:16" x14ac:dyDescent="0.25">
      <c r="A3869">
        <v>3</v>
      </c>
      <c r="B3869" t="s">
        <v>325</v>
      </c>
      <c r="C3869">
        <f>-0.58-5.58</f>
        <v>-6.16</v>
      </c>
      <c r="D3869">
        <v>2.5</v>
      </c>
      <c r="E3869" t="s">
        <v>74</v>
      </c>
      <c r="F3869" t="s">
        <v>114</v>
      </c>
      <c r="G3869">
        <v>5.58</v>
      </c>
      <c r="H3869">
        <v>-0.57999999999999996</v>
      </c>
      <c r="I3869">
        <v>3.08</v>
      </c>
      <c r="J3869">
        <v>9.4863999999999997</v>
      </c>
      <c r="K3869" t="str">
        <f>IFERROR(INDEX(Rosters!$C$2:$C$155,MATCH($B3869,Rosters!$B$2:$B$155,0)),"NA")</f>
        <v>NA</v>
      </c>
      <c r="L3869" t="str">
        <f t="shared" si="180"/>
        <v>NA3TE</v>
      </c>
      <c r="M3869">
        <f>COUNTIF(L$1:L3869,L3869)</f>
        <v>23</v>
      </c>
      <c r="N3869" t="str">
        <f t="shared" si="181"/>
        <v>NA3TE-23</v>
      </c>
      <c r="O3869">
        <f>COUNTIFS(F$1:F3869,F3869,A$1:A3869,A3869)</f>
        <v>35</v>
      </c>
      <c r="P3869" t="str">
        <f t="shared" si="182"/>
        <v>Tyler Kroft3</v>
      </c>
    </row>
    <row r="3870" spans="1:16" x14ac:dyDescent="0.25">
      <c r="A3870">
        <v>14</v>
      </c>
      <c r="B3870" t="s">
        <v>265</v>
      </c>
      <c r="C3870" t="s">
        <v>8348</v>
      </c>
      <c r="D3870">
        <v>2.5</v>
      </c>
      <c r="E3870" t="s">
        <v>54</v>
      </c>
      <c r="F3870" t="s">
        <v>114</v>
      </c>
      <c r="G3870">
        <v>4.6900000000000004</v>
      </c>
      <c r="H3870">
        <v>0.31</v>
      </c>
      <c r="I3870">
        <v>2.19</v>
      </c>
      <c r="J3870">
        <v>4.7961</v>
      </c>
      <c r="K3870" t="str">
        <f>IFERROR(INDEX(Rosters!$C$2:$C$155,MATCH($B3870,Rosters!$B$2:$B$155,0)),"NA")</f>
        <v>NA</v>
      </c>
      <c r="L3870" t="str">
        <f t="shared" si="180"/>
        <v>NA14TE</v>
      </c>
      <c r="M3870">
        <f>COUNTIF(L$1:L3870,L3870)</f>
        <v>29</v>
      </c>
      <c r="N3870" t="str">
        <f t="shared" si="181"/>
        <v>NA14TE-29</v>
      </c>
      <c r="O3870">
        <f>COUNTIFS(F$1:F3870,F3870,A$1:A3870,A3870)</f>
        <v>43</v>
      </c>
      <c r="P3870" t="str">
        <f t="shared" si="182"/>
        <v>Vernon Davis14</v>
      </c>
    </row>
    <row r="3871" spans="1:16" x14ac:dyDescent="0.25">
      <c r="A3871">
        <v>10</v>
      </c>
      <c r="B3871" t="s">
        <v>4206</v>
      </c>
      <c r="C3871" t="s">
        <v>8349</v>
      </c>
      <c r="D3871">
        <v>2.4900000000000002</v>
      </c>
      <c r="E3871" t="s">
        <v>52</v>
      </c>
      <c r="F3871" t="s">
        <v>47</v>
      </c>
      <c r="G3871">
        <v>4.76</v>
      </c>
      <c r="H3871">
        <v>0.22</v>
      </c>
      <c r="I3871">
        <v>2.27</v>
      </c>
      <c r="J3871">
        <v>5.1528999999999998</v>
      </c>
      <c r="K3871" t="str">
        <f>IFERROR(INDEX(Rosters!$C$2:$C$155,MATCH($B3871,Rosters!$B$2:$B$155,0)),"NA")</f>
        <v>NA</v>
      </c>
      <c r="L3871" t="str">
        <f t="shared" si="180"/>
        <v>NA10RB</v>
      </c>
      <c r="M3871">
        <f>COUNTIF(L$1:L3871,L3871)</f>
        <v>24</v>
      </c>
      <c r="N3871" t="str">
        <f t="shared" si="181"/>
        <v>NA10RB-24</v>
      </c>
      <c r="O3871">
        <f>COUNTIFS(F$1:F3871,F3871,A$1:A3871,A3871)</f>
        <v>63</v>
      </c>
      <c r="P3871" t="str">
        <f t="shared" si="182"/>
        <v>Ito Smith10</v>
      </c>
    </row>
    <row r="3872" spans="1:16" x14ac:dyDescent="0.25">
      <c r="A3872">
        <v>17</v>
      </c>
      <c r="B3872" t="s">
        <v>1106</v>
      </c>
      <c r="C3872">
        <f>-0.02-5</f>
        <v>-5.0199999999999996</v>
      </c>
      <c r="D3872">
        <v>2.4900000000000002</v>
      </c>
      <c r="E3872" t="s">
        <v>423</v>
      </c>
      <c r="F3872" t="s">
        <v>114</v>
      </c>
      <c r="G3872">
        <v>5</v>
      </c>
      <c r="H3872">
        <v>-0.02</v>
      </c>
      <c r="I3872">
        <v>2.5099999999999998</v>
      </c>
      <c r="J3872">
        <v>6.3000999999999996</v>
      </c>
      <c r="K3872" t="str">
        <f>IFERROR(INDEX(Rosters!$C$2:$C$155,MATCH($B3872,Rosters!$B$2:$B$155,0)),"NA")</f>
        <v>NA</v>
      </c>
      <c r="L3872" t="str">
        <f t="shared" si="180"/>
        <v>NA17TE</v>
      </c>
      <c r="M3872">
        <f>COUNTIF(L$1:L3872,L3872)</f>
        <v>27</v>
      </c>
      <c r="N3872" t="str">
        <f t="shared" si="181"/>
        <v>NA17TE-27</v>
      </c>
      <c r="O3872">
        <f>COUNTIFS(F$1:F3872,F3872,A$1:A3872,A3872)</f>
        <v>41</v>
      </c>
      <c r="P3872" t="str">
        <f t="shared" si="182"/>
        <v>Jordan Leggett17</v>
      </c>
    </row>
    <row r="3873" spans="1:16" x14ac:dyDescent="0.25">
      <c r="A3873">
        <v>13</v>
      </c>
      <c r="B3873" t="s">
        <v>4226</v>
      </c>
      <c r="C3873" t="s">
        <v>8350</v>
      </c>
      <c r="D3873">
        <v>2.4900000000000002</v>
      </c>
      <c r="E3873" t="s">
        <v>52</v>
      </c>
      <c r="F3873" t="s">
        <v>114</v>
      </c>
      <c r="G3873">
        <v>4.58</v>
      </c>
      <c r="H3873">
        <v>0.4</v>
      </c>
      <c r="I3873">
        <v>2.09</v>
      </c>
      <c r="J3873">
        <v>4.3681000000000001</v>
      </c>
      <c r="K3873" t="str">
        <f>IFERROR(INDEX(Rosters!$C$2:$C$155,MATCH($B3873,Rosters!$B$2:$B$155,0)),"NA")</f>
        <v>NA</v>
      </c>
      <c r="L3873" t="str">
        <f t="shared" si="180"/>
        <v>NA13TE</v>
      </c>
      <c r="M3873">
        <f>COUNTIF(L$1:L3873,L3873)</f>
        <v>27</v>
      </c>
      <c r="N3873" t="str">
        <f t="shared" si="181"/>
        <v>NA13TE-27</v>
      </c>
      <c r="O3873">
        <f>COUNTIFS(F$1:F3873,F3873,A$1:A3873,A3873)</f>
        <v>41</v>
      </c>
      <c r="P3873" t="str">
        <f t="shared" si="182"/>
        <v>Jordan Thomas13</v>
      </c>
    </row>
    <row r="3874" spans="1:16" x14ac:dyDescent="0.25">
      <c r="A3874">
        <v>4</v>
      </c>
      <c r="B3874" t="s">
        <v>1483</v>
      </c>
      <c r="C3874" t="s">
        <v>4623</v>
      </c>
      <c r="D3874">
        <v>2.4900000000000002</v>
      </c>
      <c r="E3874" t="s">
        <v>51</v>
      </c>
      <c r="F3874" t="s">
        <v>15</v>
      </c>
      <c r="G3874">
        <v>3.65</v>
      </c>
      <c r="H3874">
        <v>1.33</v>
      </c>
      <c r="I3874">
        <v>1.1599999999999999</v>
      </c>
      <c r="J3874">
        <v>1.3455999999999999</v>
      </c>
      <c r="K3874" t="str">
        <f>IFERROR(INDEX(Rosters!$C$2:$C$155,MATCH($B3874,Rosters!$B$2:$B$155,0)),"NA")</f>
        <v>NA</v>
      </c>
      <c r="L3874" t="str">
        <f t="shared" si="180"/>
        <v>NA4QB</v>
      </c>
      <c r="M3874">
        <f>COUNTIF(L$1:L3874,L3874)</f>
        <v>16</v>
      </c>
      <c r="N3874" t="str">
        <f t="shared" si="181"/>
        <v>NA4QB-16</v>
      </c>
      <c r="O3874">
        <f>COUNTIFS(F$1:F3874,F3874,A$1:A3874,A3874)</f>
        <v>31</v>
      </c>
      <c r="P3874" t="str">
        <f t="shared" si="182"/>
        <v>Lamar Jackson4</v>
      </c>
    </row>
    <row r="3875" spans="1:16" x14ac:dyDescent="0.25">
      <c r="A3875">
        <v>6</v>
      </c>
      <c r="B3875" t="s">
        <v>1483</v>
      </c>
      <c r="C3875" t="s">
        <v>8351</v>
      </c>
      <c r="D3875">
        <v>2.4900000000000002</v>
      </c>
      <c r="E3875" t="s">
        <v>38</v>
      </c>
      <c r="F3875" t="s">
        <v>15</v>
      </c>
      <c r="G3875">
        <v>3.03</v>
      </c>
      <c r="H3875">
        <v>1.95</v>
      </c>
      <c r="I3875">
        <v>0.54</v>
      </c>
      <c r="J3875">
        <v>0.29160000000000003</v>
      </c>
      <c r="K3875" t="str">
        <f>IFERROR(INDEX(Rosters!$C$2:$C$155,MATCH($B3875,Rosters!$B$2:$B$155,0)),"NA")</f>
        <v>NA</v>
      </c>
      <c r="L3875" t="str">
        <f t="shared" si="180"/>
        <v>NA6QB</v>
      </c>
      <c r="M3875">
        <f>COUNTIF(L$1:L3875,L3875)</f>
        <v>16</v>
      </c>
      <c r="N3875" t="str">
        <f t="shared" si="181"/>
        <v>NA6QB-16</v>
      </c>
      <c r="O3875">
        <f>COUNTIFS(F$1:F3875,F3875,A$1:A3875,A3875)</f>
        <v>31</v>
      </c>
      <c r="P3875" t="str">
        <f t="shared" si="182"/>
        <v>Lamar Jackson6</v>
      </c>
    </row>
    <row r="3876" spans="1:16" x14ac:dyDescent="0.25">
      <c r="A3876">
        <v>8</v>
      </c>
      <c r="B3876" t="s">
        <v>4236</v>
      </c>
      <c r="C3876">
        <f>-0.8-5.78</f>
        <v>-6.58</v>
      </c>
      <c r="D3876">
        <v>2.4900000000000002</v>
      </c>
      <c r="E3876" t="s">
        <v>56</v>
      </c>
      <c r="F3876" t="s">
        <v>87</v>
      </c>
      <c r="G3876">
        <v>5.78</v>
      </c>
      <c r="H3876">
        <v>-0.8</v>
      </c>
      <c r="I3876">
        <v>3.29</v>
      </c>
      <c r="J3876">
        <v>10.8241</v>
      </c>
      <c r="K3876" t="str">
        <f>IFERROR(INDEX(Rosters!$C$2:$C$155,MATCH($B3876,Rosters!$B$2:$B$155,0)),"NA")</f>
        <v>aj</v>
      </c>
      <c r="L3876" t="str">
        <f t="shared" si="180"/>
        <v>aj8WR</v>
      </c>
      <c r="M3876">
        <f>COUNTIF(L$1:L3876,L3876)</f>
        <v>6</v>
      </c>
      <c r="N3876" t="str">
        <f t="shared" si="181"/>
        <v>aj8WR-6</v>
      </c>
      <c r="O3876">
        <f>COUNTIFS(F$1:F3876,F3876,A$1:A3876,A3876)</f>
        <v>93</v>
      </c>
      <c r="P3876" t="str">
        <f t="shared" si="182"/>
        <v>Marquez Valdes-Scantling8</v>
      </c>
    </row>
    <row r="3877" spans="1:16" x14ac:dyDescent="0.25">
      <c r="A3877">
        <v>9</v>
      </c>
      <c r="B3877" t="s">
        <v>1124</v>
      </c>
      <c r="C3877" t="s">
        <v>4624</v>
      </c>
      <c r="D3877">
        <v>2.48</v>
      </c>
      <c r="E3877" t="s">
        <v>52</v>
      </c>
      <c r="F3877" t="s">
        <v>87</v>
      </c>
      <c r="G3877">
        <v>4.5999999999999996</v>
      </c>
      <c r="H3877">
        <v>0.36</v>
      </c>
      <c r="I3877">
        <v>2.12</v>
      </c>
      <c r="J3877">
        <v>4.4943999999999997</v>
      </c>
      <c r="K3877" t="str">
        <f>IFERROR(INDEX(Rosters!$C$2:$C$155,MATCH($B3877,Rosters!$B$2:$B$155,0)),"NA")</f>
        <v>NA</v>
      </c>
      <c r="L3877" t="str">
        <f t="shared" si="180"/>
        <v>NA9WR</v>
      </c>
      <c r="M3877">
        <f>COUNTIF(L$1:L3877,L3877)</f>
        <v>46</v>
      </c>
      <c r="N3877" t="str">
        <f t="shared" si="181"/>
        <v>NA9WR-46</v>
      </c>
      <c r="O3877">
        <f>COUNTIFS(F$1:F3877,F3877,A$1:A3877,A3877)</f>
        <v>89</v>
      </c>
      <c r="P3877" t="str">
        <f t="shared" si="182"/>
        <v>Chris Conley9</v>
      </c>
    </row>
    <row r="3878" spans="1:16" x14ac:dyDescent="0.25">
      <c r="A3878">
        <v>2</v>
      </c>
      <c r="B3878" t="s">
        <v>284</v>
      </c>
      <c r="C3878" t="s">
        <v>1481</v>
      </c>
      <c r="D3878">
        <v>2.48</v>
      </c>
      <c r="E3878" t="s">
        <v>28</v>
      </c>
      <c r="F3878" t="s">
        <v>114</v>
      </c>
      <c r="G3878">
        <v>4.6900000000000004</v>
      </c>
      <c r="H3878">
        <v>0.27</v>
      </c>
      <c r="I3878">
        <v>2.21</v>
      </c>
      <c r="J3878">
        <v>4.8841000000000001</v>
      </c>
      <c r="K3878" t="str">
        <f>IFERROR(INDEX(Rosters!$C$2:$C$155,MATCH($B3878,Rosters!$B$2:$B$155,0)),"NA")</f>
        <v>NA</v>
      </c>
      <c r="L3878" t="str">
        <f t="shared" si="180"/>
        <v>NA2TE</v>
      </c>
      <c r="M3878">
        <f>COUNTIF(L$1:L3878,L3878)</f>
        <v>19</v>
      </c>
      <c r="N3878" t="str">
        <f t="shared" si="181"/>
        <v>NA2TE-19</v>
      </c>
      <c r="O3878">
        <f>COUNTIFS(F$1:F3878,F3878,A$1:A3878,A3878)</f>
        <v>32</v>
      </c>
      <c r="P3878" t="str">
        <f t="shared" si="182"/>
        <v>Dion Sims2</v>
      </c>
    </row>
    <row r="3879" spans="1:16" x14ac:dyDescent="0.25">
      <c r="A3879">
        <v>13</v>
      </c>
      <c r="B3879" t="s">
        <v>4224</v>
      </c>
      <c r="C3879" t="s">
        <v>8352</v>
      </c>
      <c r="D3879">
        <v>2.48</v>
      </c>
      <c r="E3879" t="s">
        <v>46</v>
      </c>
      <c r="F3879" t="s">
        <v>114</v>
      </c>
      <c r="G3879">
        <v>4.63</v>
      </c>
      <c r="H3879">
        <v>0.33</v>
      </c>
      <c r="I3879">
        <v>2.15</v>
      </c>
      <c r="J3879">
        <v>4.6224999999999996</v>
      </c>
      <c r="K3879" t="str">
        <f>IFERROR(INDEX(Rosters!$C$2:$C$155,MATCH($B3879,Rosters!$B$2:$B$155,0)),"NA")</f>
        <v>NA</v>
      </c>
      <c r="L3879" t="str">
        <f t="shared" si="180"/>
        <v>NA13TE</v>
      </c>
      <c r="M3879">
        <f>COUNTIF(L$1:L3879,L3879)</f>
        <v>28</v>
      </c>
      <c r="N3879" t="str">
        <f t="shared" si="181"/>
        <v>NA13TE-28</v>
      </c>
      <c r="O3879">
        <f>COUNTIFS(F$1:F3879,F3879,A$1:A3879,A3879)</f>
        <v>42</v>
      </c>
      <c r="P3879" t="str">
        <f t="shared" si="182"/>
        <v>Mark Andrews13</v>
      </c>
    </row>
    <row r="3880" spans="1:16" x14ac:dyDescent="0.25">
      <c r="A3880">
        <v>1</v>
      </c>
      <c r="B3880" t="s">
        <v>1478</v>
      </c>
      <c r="C3880">
        <f>-0.22-5.16</f>
        <v>-5.38</v>
      </c>
      <c r="D3880">
        <v>2.4700000000000002</v>
      </c>
      <c r="E3880" t="s">
        <v>46</v>
      </c>
      <c r="F3880" t="s">
        <v>114</v>
      </c>
      <c r="G3880">
        <v>5.16</v>
      </c>
      <c r="H3880">
        <v>-0.22</v>
      </c>
      <c r="I3880">
        <v>2.69</v>
      </c>
      <c r="J3880">
        <v>7.2361000000000004</v>
      </c>
      <c r="K3880" t="str">
        <f>IFERROR(INDEX(Rosters!$C$2:$C$155,MATCH($B3880,Rosters!$B$2:$B$155,0)),"NA")</f>
        <v>NA</v>
      </c>
      <c r="L3880" t="str">
        <f t="shared" si="180"/>
        <v>NA1TE</v>
      </c>
      <c r="M3880">
        <f>COUNTIF(L$1:L3880,L3880)</f>
        <v>17</v>
      </c>
      <c r="N3880" t="str">
        <f t="shared" si="181"/>
        <v>NA1TE-17</v>
      </c>
      <c r="O3880">
        <f>COUNTIFS(F$1:F3880,F3880,A$1:A3880,A3880)</f>
        <v>30</v>
      </c>
      <c r="P3880" t="str">
        <f t="shared" si="182"/>
        <v>Dallas Goedert1</v>
      </c>
    </row>
    <row r="3881" spans="1:16" x14ac:dyDescent="0.25">
      <c r="A3881">
        <v>10</v>
      </c>
      <c r="B3881" t="s">
        <v>315</v>
      </c>
      <c r="C3881" t="s">
        <v>8353</v>
      </c>
      <c r="D3881">
        <v>2.4700000000000002</v>
      </c>
      <c r="E3881" t="s">
        <v>423</v>
      </c>
      <c r="F3881" t="s">
        <v>114</v>
      </c>
      <c r="G3881">
        <v>4.6399999999999997</v>
      </c>
      <c r="H3881">
        <v>0.3</v>
      </c>
      <c r="I3881">
        <v>2.17</v>
      </c>
      <c r="J3881">
        <v>4.7088999999999999</v>
      </c>
      <c r="K3881" t="str">
        <f>IFERROR(INDEX(Rosters!$C$2:$C$155,MATCH($B3881,Rosters!$B$2:$B$155,0)),"NA")</f>
        <v>NA</v>
      </c>
      <c r="L3881" t="str">
        <f t="shared" si="180"/>
        <v>NA10TE</v>
      </c>
      <c r="M3881">
        <f>COUNTIF(L$1:L3881,L3881)</f>
        <v>24</v>
      </c>
      <c r="N3881" t="str">
        <f t="shared" si="181"/>
        <v>NA10TE-24</v>
      </c>
      <c r="O3881">
        <f>COUNTIFS(F$1:F3881,F3881,A$1:A3881,A3881)</f>
        <v>37</v>
      </c>
      <c r="P3881" t="str">
        <f t="shared" si="182"/>
        <v>Luke Stocker10</v>
      </c>
    </row>
    <row r="3882" spans="1:16" x14ac:dyDescent="0.25">
      <c r="A3882">
        <v>11</v>
      </c>
      <c r="B3882" t="s">
        <v>109</v>
      </c>
      <c r="C3882" t="s">
        <v>8354</v>
      </c>
      <c r="D3882">
        <v>2.4700000000000002</v>
      </c>
      <c r="E3882" t="s">
        <v>28</v>
      </c>
      <c r="F3882" t="s">
        <v>47</v>
      </c>
      <c r="G3882">
        <v>4.17</v>
      </c>
      <c r="H3882">
        <v>0.77</v>
      </c>
      <c r="I3882">
        <v>1.7</v>
      </c>
      <c r="J3882">
        <v>2.89</v>
      </c>
      <c r="K3882" t="str">
        <f>IFERROR(INDEX(Rosters!$C$2:$C$155,MATCH($B3882,Rosters!$B$2:$B$155,0)),"NA")</f>
        <v>seth</v>
      </c>
      <c r="L3882" t="str">
        <f t="shared" si="180"/>
        <v>seth11RB</v>
      </c>
      <c r="M3882">
        <f>COUNTIF(L$1:L3882,L3882)</f>
        <v>6</v>
      </c>
      <c r="N3882" t="str">
        <f t="shared" si="181"/>
        <v>seth11RB-6</v>
      </c>
      <c r="O3882">
        <f>COUNTIFS(F$1:F3882,F3882,A$1:A3882,A3882)</f>
        <v>60</v>
      </c>
      <c r="P3882" t="str">
        <f t="shared" si="182"/>
        <v>Ty Montgomery11</v>
      </c>
    </row>
    <row r="3883" spans="1:16" x14ac:dyDescent="0.25">
      <c r="A3883">
        <v>12</v>
      </c>
      <c r="B3883" t="s">
        <v>167</v>
      </c>
      <c r="C3883" t="s">
        <v>8355</v>
      </c>
      <c r="D3883">
        <v>2.46</v>
      </c>
      <c r="E3883" t="s">
        <v>74</v>
      </c>
      <c r="F3883" t="s">
        <v>87</v>
      </c>
      <c r="G3883">
        <v>4.4400000000000004</v>
      </c>
      <c r="H3883">
        <v>0.48</v>
      </c>
      <c r="I3883">
        <v>1.98</v>
      </c>
      <c r="J3883">
        <v>3.9203999999999999</v>
      </c>
      <c r="K3883" t="str">
        <f>IFERROR(INDEX(Rosters!$C$2:$C$155,MATCH($B3883,Rosters!$B$2:$B$155,0)),"NA")</f>
        <v>NA</v>
      </c>
      <c r="L3883" t="str">
        <f t="shared" si="180"/>
        <v>NA12WR</v>
      </c>
      <c r="M3883">
        <f>COUNTIF(L$1:L3883,L3883)</f>
        <v>50</v>
      </c>
      <c r="N3883" t="str">
        <f t="shared" si="181"/>
        <v>NA12WR-50</v>
      </c>
      <c r="O3883">
        <f>COUNTIFS(F$1:F3883,F3883,A$1:A3883,A3883)</f>
        <v>99</v>
      </c>
      <c r="P3883" t="str">
        <f t="shared" si="182"/>
        <v>Brandon Marshall12</v>
      </c>
    </row>
    <row r="3884" spans="1:16" x14ac:dyDescent="0.25">
      <c r="A3884">
        <v>12</v>
      </c>
      <c r="B3884" t="s">
        <v>307</v>
      </c>
      <c r="C3884" t="s">
        <v>8356</v>
      </c>
      <c r="D3884">
        <v>2.46</v>
      </c>
      <c r="E3884" t="s">
        <v>74</v>
      </c>
      <c r="F3884" t="s">
        <v>114</v>
      </c>
      <c r="G3884">
        <v>4.53</v>
      </c>
      <c r="H3884">
        <v>0.39</v>
      </c>
      <c r="I3884">
        <v>2.0699999999999998</v>
      </c>
      <c r="J3884">
        <v>4.2849000000000004</v>
      </c>
      <c r="K3884" t="str">
        <f>IFERROR(INDEX(Rosters!$C$2:$C$155,MATCH($B3884,Rosters!$B$2:$B$155,0)),"NA")</f>
        <v>NA</v>
      </c>
      <c r="L3884" t="str">
        <f t="shared" si="180"/>
        <v>NA12TE</v>
      </c>
      <c r="M3884">
        <f>COUNTIF(L$1:L3884,L3884)</f>
        <v>26</v>
      </c>
      <c r="N3884" t="str">
        <f t="shared" si="181"/>
        <v>NA12TE-26</v>
      </c>
      <c r="O3884">
        <f>COUNTIFS(F$1:F3884,F3884,A$1:A3884,A3884)</f>
        <v>39</v>
      </c>
      <c r="P3884" t="str">
        <f t="shared" si="182"/>
        <v>Ed Dickson12</v>
      </c>
    </row>
    <row r="3885" spans="1:16" x14ac:dyDescent="0.25">
      <c r="A3885">
        <v>10</v>
      </c>
      <c r="B3885" t="s">
        <v>1586</v>
      </c>
      <c r="C3885" t="s">
        <v>8357</v>
      </c>
      <c r="D3885">
        <v>2.46</v>
      </c>
      <c r="E3885" t="s">
        <v>29</v>
      </c>
      <c r="F3885" t="s">
        <v>114</v>
      </c>
      <c r="G3885">
        <v>4.8</v>
      </c>
      <c r="H3885">
        <v>0.12</v>
      </c>
      <c r="I3885">
        <v>2.34</v>
      </c>
      <c r="J3885">
        <v>5.4756</v>
      </c>
      <c r="K3885" t="str">
        <f>IFERROR(INDEX(Rosters!$C$2:$C$155,MATCH($B3885,Rosters!$B$2:$B$155,0)),"NA")</f>
        <v>NA</v>
      </c>
      <c r="L3885" t="str">
        <f t="shared" si="180"/>
        <v>NA10TE</v>
      </c>
      <c r="M3885">
        <f>COUNTIF(L$1:L3885,L3885)</f>
        <v>25</v>
      </c>
      <c r="N3885" t="str">
        <f t="shared" si="181"/>
        <v>NA10TE-25</v>
      </c>
      <c r="O3885">
        <f>COUNTIFS(F$1:F3885,F3885,A$1:A3885,A3885)</f>
        <v>38</v>
      </c>
      <c r="P3885" t="str">
        <f t="shared" si="182"/>
        <v>Eric Tomlinson10</v>
      </c>
    </row>
    <row r="3886" spans="1:16" x14ac:dyDescent="0.25">
      <c r="A3886">
        <v>16</v>
      </c>
      <c r="B3886" t="s">
        <v>231</v>
      </c>
      <c r="C3886" t="s">
        <v>8356</v>
      </c>
      <c r="D3886">
        <v>2.46</v>
      </c>
      <c r="E3886" t="s">
        <v>56</v>
      </c>
      <c r="F3886" t="s">
        <v>114</v>
      </c>
      <c r="G3886">
        <v>4.53</v>
      </c>
      <c r="H3886">
        <v>0.39</v>
      </c>
      <c r="I3886">
        <v>2.0699999999999998</v>
      </c>
      <c r="J3886">
        <v>4.2849000000000004</v>
      </c>
      <c r="K3886" t="str">
        <f>IFERROR(INDEX(Rosters!$C$2:$C$155,MATCH($B3886,Rosters!$B$2:$B$155,0)),"NA")</f>
        <v>NA</v>
      </c>
      <c r="L3886" t="str">
        <f t="shared" si="180"/>
        <v>NA16TE</v>
      </c>
      <c r="M3886">
        <f>COUNTIF(L$1:L3886,L3886)</f>
        <v>26</v>
      </c>
      <c r="N3886" t="str">
        <f t="shared" si="181"/>
        <v>NA16TE-26</v>
      </c>
      <c r="O3886">
        <f>COUNTIFS(F$1:F3886,F3886,A$1:A3886,A3886)</f>
        <v>40</v>
      </c>
      <c r="P3886" t="str">
        <f t="shared" si="182"/>
        <v>Jermaine Gresham16</v>
      </c>
    </row>
    <row r="3887" spans="1:16" x14ac:dyDescent="0.25">
      <c r="A3887">
        <v>11</v>
      </c>
      <c r="B3887" t="s">
        <v>2750</v>
      </c>
      <c r="C3887" t="s">
        <v>8358</v>
      </c>
      <c r="D3887">
        <v>2.46</v>
      </c>
      <c r="E3887" t="s">
        <v>14</v>
      </c>
      <c r="F3887" t="s">
        <v>87</v>
      </c>
      <c r="G3887">
        <v>4.55</v>
      </c>
      <c r="H3887">
        <v>0.37</v>
      </c>
      <c r="I3887">
        <v>2.09</v>
      </c>
      <c r="J3887">
        <v>4.3681000000000001</v>
      </c>
      <c r="K3887" t="str">
        <f>IFERROR(INDEX(Rosters!$C$2:$C$155,MATCH($B3887,Rosters!$B$2:$B$155,0)),"NA")</f>
        <v>NA</v>
      </c>
      <c r="L3887" t="str">
        <f t="shared" si="180"/>
        <v>NA11WR</v>
      </c>
      <c r="M3887">
        <f>COUNTIF(L$1:L3887,L3887)</f>
        <v>37</v>
      </c>
      <c r="N3887" t="str">
        <f t="shared" si="181"/>
        <v>NA11WR-37</v>
      </c>
      <c r="O3887">
        <f>COUNTIFS(F$1:F3887,F3887,A$1:A3887,A3887)</f>
        <v>84</v>
      </c>
      <c r="P3887" t="str">
        <f t="shared" si="182"/>
        <v>Jordan Matthews11</v>
      </c>
    </row>
    <row r="3888" spans="1:16" x14ac:dyDescent="0.25">
      <c r="A3888">
        <v>1</v>
      </c>
      <c r="B3888" t="s">
        <v>262</v>
      </c>
      <c r="C3888" t="s">
        <v>1779</v>
      </c>
      <c r="D3888">
        <v>2.46</v>
      </c>
      <c r="E3888" t="s">
        <v>30</v>
      </c>
      <c r="F3888" t="s">
        <v>87</v>
      </c>
      <c r="G3888">
        <v>4.9000000000000004</v>
      </c>
      <c r="H3888">
        <v>0.02</v>
      </c>
      <c r="I3888">
        <v>2.44</v>
      </c>
      <c r="J3888">
        <v>5.9535999999999998</v>
      </c>
      <c r="K3888" t="str">
        <f>IFERROR(INDEX(Rosters!$C$2:$C$155,MATCH($B3888,Rosters!$B$2:$B$155,0)),"NA")</f>
        <v>NA</v>
      </c>
      <c r="L3888" t="str">
        <f t="shared" si="180"/>
        <v>NA1WR</v>
      </c>
      <c r="M3888">
        <f>COUNTIF(L$1:L3888,L3888)</f>
        <v>40</v>
      </c>
      <c r="N3888" t="str">
        <f t="shared" si="181"/>
        <v>NA1WR-40</v>
      </c>
      <c r="O3888">
        <f>COUNTIFS(F$1:F3888,F3888,A$1:A3888,A3888)</f>
        <v>89</v>
      </c>
      <c r="P3888" t="str">
        <f t="shared" si="182"/>
        <v>Laquon Treadwell1</v>
      </c>
    </row>
    <row r="3889" spans="1:16" x14ac:dyDescent="0.25">
      <c r="A3889">
        <v>8</v>
      </c>
      <c r="B3889" t="s">
        <v>4217</v>
      </c>
      <c r="C3889" t="s">
        <v>8359</v>
      </c>
      <c r="D3889">
        <v>2.46</v>
      </c>
      <c r="E3889" t="s">
        <v>25</v>
      </c>
      <c r="F3889" t="s">
        <v>87</v>
      </c>
      <c r="G3889">
        <v>4.8499999999999996</v>
      </c>
      <c r="H3889">
        <v>7.0000000000000007E-2</v>
      </c>
      <c r="I3889">
        <v>2.39</v>
      </c>
      <c r="J3889">
        <v>5.7121000000000004</v>
      </c>
      <c r="K3889" t="str">
        <f>IFERROR(INDEX(Rosters!$C$2:$C$155,MATCH($B3889,Rosters!$B$2:$B$155,0)),"NA")</f>
        <v>NA</v>
      </c>
      <c r="L3889" t="str">
        <f t="shared" si="180"/>
        <v>NA8WR</v>
      </c>
      <c r="M3889">
        <f>COUNTIF(L$1:L3889,L3889)</f>
        <v>45</v>
      </c>
      <c r="N3889" t="str">
        <f t="shared" si="181"/>
        <v>NA8WR-45</v>
      </c>
      <c r="O3889">
        <f>COUNTIFS(F$1:F3889,F3889,A$1:A3889,A3889)</f>
        <v>94</v>
      </c>
      <c r="P3889" t="str">
        <f t="shared" si="182"/>
        <v>Tre'Quan Smith8</v>
      </c>
    </row>
    <row r="3890" spans="1:16" x14ac:dyDescent="0.25">
      <c r="A3890">
        <v>15</v>
      </c>
      <c r="B3890" t="s">
        <v>2599</v>
      </c>
      <c r="C3890">
        <f>-0.29-5.19</f>
        <v>-5.48</v>
      </c>
      <c r="D3890">
        <v>2.4500000000000002</v>
      </c>
      <c r="E3890" t="s">
        <v>31</v>
      </c>
      <c r="F3890" t="s">
        <v>87</v>
      </c>
      <c r="G3890">
        <v>5.19</v>
      </c>
      <c r="H3890">
        <v>-0.28999999999999998</v>
      </c>
      <c r="I3890">
        <v>2.74</v>
      </c>
      <c r="J3890">
        <v>7.5076000000000001</v>
      </c>
      <c r="K3890" t="str">
        <f>IFERROR(INDEX(Rosters!$C$2:$C$155,MATCH($B3890,Rosters!$B$2:$B$155,0)),"NA")</f>
        <v>NA</v>
      </c>
      <c r="L3890" t="str">
        <f t="shared" si="180"/>
        <v>NA15WR</v>
      </c>
      <c r="M3890">
        <f>COUNTIF(L$1:L3890,L3890)</f>
        <v>53</v>
      </c>
      <c r="N3890" t="str">
        <f t="shared" si="181"/>
        <v>NA15WR-53</v>
      </c>
      <c r="O3890">
        <f>COUNTIFS(F$1:F3890,F3890,A$1:A3890,A3890)</f>
        <v>107</v>
      </c>
      <c r="P3890" t="str">
        <f t="shared" si="182"/>
        <v>Brandon LaFell15</v>
      </c>
    </row>
    <row r="3891" spans="1:16" x14ac:dyDescent="0.25">
      <c r="A3891">
        <v>16</v>
      </c>
      <c r="B3891" t="s">
        <v>307</v>
      </c>
      <c r="C3891" t="s">
        <v>8360</v>
      </c>
      <c r="D3891">
        <v>2.4500000000000002</v>
      </c>
      <c r="E3891" t="s">
        <v>24</v>
      </c>
      <c r="F3891" t="s">
        <v>114</v>
      </c>
      <c r="G3891">
        <v>4.21</v>
      </c>
      <c r="H3891">
        <v>0.69</v>
      </c>
      <c r="I3891">
        <v>1.76</v>
      </c>
      <c r="J3891">
        <v>3.0975999999999999</v>
      </c>
      <c r="K3891" t="str">
        <f>IFERROR(INDEX(Rosters!$C$2:$C$155,MATCH($B3891,Rosters!$B$2:$B$155,0)),"NA")</f>
        <v>NA</v>
      </c>
      <c r="L3891" t="str">
        <f t="shared" si="180"/>
        <v>NA16TE</v>
      </c>
      <c r="M3891">
        <f>COUNTIF(L$1:L3891,L3891)</f>
        <v>27</v>
      </c>
      <c r="N3891" t="str">
        <f t="shared" si="181"/>
        <v>NA16TE-27</v>
      </c>
      <c r="O3891">
        <f>COUNTIFS(F$1:F3891,F3891,A$1:A3891,A3891)</f>
        <v>41</v>
      </c>
      <c r="P3891" t="str">
        <f t="shared" si="182"/>
        <v>Ed Dickson16</v>
      </c>
    </row>
    <row r="3892" spans="1:16" x14ac:dyDescent="0.25">
      <c r="A3892">
        <v>7</v>
      </c>
      <c r="B3892" t="s">
        <v>386</v>
      </c>
      <c r="C3892" t="s">
        <v>8361</v>
      </c>
      <c r="D3892">
        <v>2.4500000000000002</v>
      </c>
      <c r="E3892" t="s">
        <v>14</v>
      </c>
      <c r="F3892" t="s">
        <v>114</v>
      </c>
      <c r="G3892">
        <v>4.53</v>
      </c>
      <c r="H3892">
        <v>0.37</v>
      </c>
      <c r="I3892">
        <v>2.08</v>
      </c>
      <c r="J3892">
        <v>4.3263999999999996</v>
      </c>
      <c r="K3892" t="str">
        <f>IFERROR(INDEX(Rosters!$C$2:$C$155,MATCH($B3892,Rosters!$B$2:$B$155,0)),"NA")</f>
        <v>NA</v>
      </c>
      <c r="L3892" t="str">
        <f t="shared" si="180"/>
        <v>NA7TE</v>
      </c>
      <c r="M3892">
        <f>COUNTIF(L$1:L3892,L3892)</f>
        <v>26</v>
      </c>
      <c r="N3892" t="str">
        <f t="shared" si="181"/>
        <v>NA7TE-26</v>
      </c>
      <c r="O3892">
        <f>COUNTIFS(F$1:F3892,F3892,A$1:A3892,A3892)</f>
        <v>36</v>
      </c>
      <c r="P3892" t="str">
        <f t="shared" si="182"/>
        <v>Nick Boyle7</v>
      </c>
    </row>
    <row r="3893" spans="1:16" x14ac:dyDescent="0.25">
      <c r="A3893">
        <v>15</v>
      </c>
      <c r="B3893" t="s">
        <v>1319</v>
      </c>
      <c r="C3893" t="s">
        <v>8362</v>
      </c>
      <c r="D3893">
        <v>2.4500000000000002</v>
      </c>
      <c r="E3893" t="s">
        <v>77</v>
      </c>
      <c r="F3893" t="s">
        <v>47</v>
      </c>
      <c r="G3893">
        <v>4.6100000000000003</v>
      </c>
      <c r="H3893">
        <v>0.28999999999999998</v>
      </c>
      <c r="I3893">
        <v>2.16</v>
      </c>
      <c r="J3893">
        <v>4.6656000000000004</v>
      </c>
      <c r="K3893" t="str">
        <f>IFERROR(INDEX(Rosters!$C$2:$C$155,MATCH($B3893,Rosters!$B$2:$B$155,0)),"NA")</f>
        <v>NA</v>
      </c>
      <c r="L3893" t="str">
        <f t="shared" si="180"/>
        <v>NA15RB</v>
      </c>
      <c r="M3893">
        <f>COUNTIF(L$1:L3893,L3893)</f>
        <v>25</v>
      </c>
      <c r="N3893" t="str">
        <f t="shared" si="181"/>
        <v>NA15RB-25</v>
      </c>
      <c r="O3893">
        <f>COUNTIFS(F$1:F3893,F3893,A$1:A3893,A3893)</f>
        <v>72</v>
      </c>
      <c r="P3893" t="str">
        <f t="shared" si="182"/>
        <v>Ronald Jones15</v>
      </c>
    </row>
    <row r="3894" spans="1:16" x14ac:dyDescent="0.25">
      <c r="A3894">
        <v>7</v>
      </c>
      <c r="B3894" t="s">
        <v>2715</v>
      </c>
      <c r="C3894">
        <f>-0.57-5.45</f>
        <v>-6.0200000000000005</v>
      </c>
      <c r="D3894">
        <v>2.44</v>
      </c>
      <c r="E3894" t="s">
        <v>73</v>
      </c>
      <c r="F3894" t="s">
        <v>87</v>
      </c>
      <c r="G3894">
        <v>5.45</v>
      </c>
      <c r="H3894">
        <v>-0.56999999999999995</v>
      </c>
      <c r="I3894">
        <v>3.01</v>
      </c>
      <c r="J3894">
        <v>9.0601000000000003</v>
      </c>
      <c r="K3894" t="str">
        <f>IFERROR(INDEX(Rosters!$C$2:$C$155,MATCH($B3894,Rosters!$B$2:$B$155,0)),"NA")</f>
        <v>NA</v>
      </c>
      <c r="L3894" t="str">
        <f t="shared" si="180"/>
        <v>NA7WR</v>
      </c>
      <c r="M3894">
        <f>COUNTIF(L$1:L3894,L3894)</f>
        <v>44</v>
      </c>
      <c r="N3894" t="str">
        <f t="shared" si="181"/>
        <v>NA7WR-44</v>
      </c>
      <c r="O3894">
        <f>COUNTIFS(F$1:F3894,F3894,A$1:A3894,A3894)</f>
        <v>89</v>
      </c>
      <c r="P3894" t="str">
        <f t="shared" si="182"/>
        <v>Aldrick Robinson7</v>
      </c>
    </row>
    <row r="3895" spans="1:16" x14ac:dyDescent="0.25">
      <c r="A3895">
        <v>14</v>
      </c>
      <c r="B3895" t="s">
        <v>2715</v>
      </c>
      <c r="C3895">
        <f>-0.63-5.51</f>
        <v>-6.14</v>
      </c>
      <c r="D3895">
        <v>2.44</v>
      </c>
      <c r="E3895" t="s">
        <v>28</v>
      </c>
      <c r="F3895" t="s">
        <v>87</v>
      </c>
      <c r="G3895">
        <v>5.51</v>
      </c>
      <c r="H3895">
        <v>-0.63</v>
      </c>
      <c r="I3895">
        <v>3.07</v>
      </c>
      <c r="J3895">
        <v>9.4248999999999992</v>
      </c>
      <c r="K3895" t="str">
        <f>IFERROR(INDEX(Rosters!$C$2:$C$155,MATCH($B3895,Rosters!$B$2:$B$155,0)),"NA")</f>
        <v>NA</v>
      </c>
      <c r="L3895" t="str">
        <f t="shared" si="180"/>
        <v>NA14WR</v>
      </c>
      <c r="M3895">
        <f>COUNTIF(L$1:L3895,L3895)</f>
        <v>53</v>
      </c>
      <c r="N3895" t="str">
        <f t="shared" si="181"/>
        <v>NA14WR-53</v>
      </c>
      <c r="O3895">
        <f>COUNTIFS(F$1:F3895,F3895,A$1:A3895,A3895)</f>
        <v>107</v>
      </c>
      <c r="P3895" t="str">
        <f t="shared" si="182"/>
        <v>Aldrick Robinson14</v>
      </c>
    </row>
    <row r="3896" spans="1:16" x14ac:dyDescent="0.25">
      <c r="A3896">
        <v>2</v>
      </c>
      <c r="B3896" t="s">
        <v>2667</v>
      </c>
      <c r="C3896">
        <f>-0.26-5.14</f>
        <v>-5.3999999999999995</v>
      </c>
      <c r="D3896">
        <v>2.44</v>
      </c>
      <c r="E3896" t="s">
        <v>29</v>
      </c>
      <c r="F3896" t="s">
        <v>114</v>
      </c>
      <c r="G3896">
        <v>5.14</v>
      </c>
      <c r="H3896">
        <v>-0.26</v>
      </c>
      <c r="I3896">
        <v>2.7</v>
      </c>
      <c r="J3896">
        <v>7.29</v>
      </c>
      <c r="K3896" t="str">
        <f>IFERROR(INDEX(Rosters!$C$2:$C$155,MATCH($B3896,Rosters!$B$2:$B$155,0)),"NA")</f>
        <v>NA</v>
      </c>
      <c r="L3896" t="str">
        <f t="shared" si="180"/>
        <v>NA2TE</v>
      </c>
      <c r="M3896">
        <f>COUNTIF(L$1:L3896,L3896)</f>
        <v>20</v>
      </c>
      <c r="N3896" t="str">
        <f t="shared" si="181"/>
        <v>NA2TE-20</v>
      </c>
      <c r="O3896">
        <f>COUNTIFS(F$1:F3896,F3896,A$1:A3896,A3896)</f>
        <v>33</v>
      </c>
      <c r="P3896" t="str">
        <f t="shared" si="182"/>
        <v>Antonio Gates2</v>
      </c>
    </row>
    <row r="3897" spans="1:16" x14ac:dyDescent="0.25">
      <c r="A3897">
        <v>5</v>
      </c>
      <c r="B3897" t="s">
        <v>301</v>
      </c>
      <c r="C3897" t="s">
        <v>8363</v>
      </c>
      <c r="D3897">
        <v>2.44</v>
      </c>
      <c r="E3897" t="s">
        <v>19</v>
      </c>
      <c r="F3897" t="s">
        <v>114</v>
      </c>
      <c r="G3897">
        <v>4.45</v>
      </c>
      <c r="H3897">
        <v>0.43</v>
      </c>
      <c r="I3897">
        <v>2.0099999999999998</v>
      </c>
      <c r="J3897">
        <v>4.0400999999999998</v>
      </c>
      <c r="K3897" t="str">
        <f>IFERROR(INDEX(Rosters!$C$2:$C$155,MATCH($B3897,Rosters!$B$2:$B$155,0)),"NA")</f>
        <v>NA</v>
      </c>
      <c r="L3897" t="str">
        <f t="shared" si="180"/>
        <v>NA5TE</v>
      </c>
      <c r="M3897">
        <f>COUNTIF(L$1:L3897,L3897)</f>
        <v>22</v>
      </c>
      <c r="N3897" t="str">
        <f t="shared" si="181"/>
        <v>NA5TE-22</v>
      </c>
      <c r="O3897">
        <f>COUNTIFS(F$1:F3897,F3897,A$1:A3897,A3897)</f>
        <v>33</v>
      </c>
      <c r="P3897" t="str">
        <f t="shared" si="182"/>
        <v>C.J. Uzomah5</v>
      </c>
    </row>
    <row r="3898" spans="1:16" x14ac:dyDescent="0.25">
      <c r="A3898">
        <v>5</v>
      </c>
      <c r="B3898" t="s">
        <v>239</v>
      </c>
      <c r="C3898">
        <f>-1.04-5.92</f>
        <v>-6.96</v>
      </c>
      <c r="D3898">
        <v>2.44</v>
      </c>
      <c r="E3898" t="s">
        <v>19</v>
      </c>
      <c r="F3898" t="s">
        <v>87</v>
      </c>
      <c r="G3898">
        <v>5.92</v>
      </c>
      <c r="H3898">
        <v>-1.04</v>
      </c>
      <c r="I3898">
        <v>3.48</v>
      </c>
      <c r="J3898">
        <v>12.1104</v>
      </c>
      <c r="K3898" t="str">
        <f>IFERROR(INDEX(Rosters!$C$2:$C$155,MATCH($B3898,Rosters!$B$2:$B$155,0)),"NA")</f>
        <v>NA</v>
      </c>
      <c r="L3898" t="str">
        <f t="shared" si="180"/>
        <v>NA5WR</v>
      </c>
      <c r="M3898">
        <f>COUNTIF(L$1:L3898,L3898)</f>
        <v>47</v>
      </c>
      <c r="N3898" t="str">
        <f t="shared" si="181"/>
        <v>NA5WR-47</v>
      </c>
      <c r="O3898">
        <f>COUNTIFS(F$1:F3898,F3898,A$1:A3898,A3898)</f>
        <v>97</v>
      </c>
      <c r="P3898" t="str">
        <f t="shared" si="182"/>
        <v>John Ross5</v>
      </c>
    </row>
    <row r="3899" spans="1:16" x14ac:dyDescent="0.25">
      <c r="A3899">
        <v>6</v>
      </c>
      <c r="B3899" t="s">
        <v>2750</v>
      </c>
      <c r="C3899" t="s">
        <v>8364</v>
      </c>
      <c r="D3899">
        <v>2.44</v>
      </c>
      <c r="E3899" t="s">
        <v>54</v>
      </c>
      <c r="F3899" t="s">
        <v>87</v>
      </c>
      <c r="G3899">
        <v>4.6900000000000004</v>
      </c>
      <c r="H3899">
        <v>0.19</v>
      </c>
      <c r="I3899">
        <v>2.25</v>
      </c>
      <c r="J3899">
        <v>5.0625</v>
      </c>
      <c r="K3899" t="str">
        <f>IFERROR(INDEX(Rosters!$C$2:$C$155,MATCH($B3899,Rosters!$B$2:$B$155,0)),"NA")</f>
        <v>NA</v>
      </c>
      <c r="L3899" t="str">
        <f t="shared" si="180"/>
        <v>NA6WR</v>
      </c>
      <c r="M3899">
        <f>COUNTIF(L$1:L3899,L3899)</f>
        <v>47</v>
      </c>
      <c r="N3899" t="str">
        <f t="shared" si="181"/>
        <v>NA6WR-47</v>
      </c>
      <c r="O3899">
        <f>COUNTIFS(F$1:F3899,F3899,A$1:A3899,A3899)</f>
        <v>97</v>
      </c>
      <c r="P3899" t="str">
        <f t="shared" si="182"/>
        <v>Jordan Matthews6</v>
      </c>
    </row>
    <row r="3900" spans="1:16" x14ac:dyDescent="0.25">
      <c r="A3900">
        <v>6</v>
      </c>
      <c r="B3900" t="s">
        <v>1511</v>
      </c>
      <c r="C3900" t="s">
        <v>8365</v>
      </c>
      <c r="D3900">
        <v>2.44</v>
      </c>
      <c r="E3900" t="s">
        <v>77</v>
      </c>
      <c r="F3900" t="s">
        <v>87</v>
      </c>
      <c r="G3900">
        <v>4.78</v>
      </c>
      <c r="H3900">
        <v>0.1</v>
      </c>
      <c r="I3900">
        <v>2.34</v>
      </c>
      <c r="J3900">
        <v>5.4756</v>
      </c>
      <c r="K3900" t="str">
        <f>IFERROR(INDEX(Rosters!$C$2:$C$155,MATCH($B3900,Rosters!$B$2:$B$155,0)),"NA")</f>
        <v>NA</v>
      </c>
      <c r="L3900" t="str">
        <f t="shared" si="180"/>
        <v>NA6WR</v>
      </c>
      <c r="M3900">
        <f>COUNTIF(L$1:L3900,L3900)</f>
        <v>48</v>
      </c>
      <c r="N3900" t="str">
        <f t="shared" si="181"/>
        <v>NA6WR-48</v>
      </c>
      <c r="O3900">
        <f>COUNTIFS(F$1:F3900,F3900,A$1:A3900,A3900)</f>
        <v>98</v>
      </c>
      <c r="P3900" t="str">
        <f t="shared" si="182"/>
        <v>Tajae Sharpe6</v>
      </c>
    </row>
    <row r="3901" spans="1:16" x14ac:dyDescent="0.25">
      <c r="A3901">
        <v>5</v>
      </c>
      <c r="B3901" t="s">
        <v>1131</v>
      </c>
      <c r="C3901">
        <f>-0.65-5.53</f>
        <v>-6.1800000000000006</v>
      </c>
      <c r="D3901">
        <v>2.44</v>
      </c>
      <c r="E3901" t="s">
        <v>22</v>
      </c>
      <c r="F3901" t="s">
        <v>47</v>
      </c>
      <c r="G3901">
        <v>5.53</v>
      </c>
      <c r="H3901">
        <v>-0.65</v>
      </c>
      <c r="I3901">
        <v>3.09</v>
      </c>
      <c r="J3901">
        <v>9.5480999999999998</v>
      </c>
      <c r="K3901" t="str">
        <f>IFERROR(INDEX(Rosters!$C$2:$C$155,MATCH($B3901,Rosters!$B$2:$B$155,0)),"NA")</f>
        <v>NA</v>
      </c>
      <c r="L3901" t="str">
        <f t="shared" si="180"/>
        <v>NA5RB</v>
      </c>
      <c r="M3901">
        <f>COUNTIF(L$1:L3901,L3901)</f>
        <v>20</v>
      </c>
      <c r="N3901" t="str">
        <f t="shared" si="181"/>
        <v>NA5RB-20</v>
      </c>
      <c r="O3901">
        <f>COUNTIFS(F$1:F3901,F3901,A$1:A3901,A3901)</f>
        <v>63</v>
      </c>
      <c r="P3901" t="str">
        <f t="shared" si="182"/>
        <v>Tyler Ervin5</v>
      </c>
    </row>
    <row r="3902" spans="1:16" x14ac:dyDescent="0.25">
      <c r="A3902">
        <v>3</v>
      </c>
      <c r="B3902" t="s">
        <v>213</v>
      </c>
      <c r="C3902">
        <f>-0.02-4.88</f>
        <v>-4.8999999999999995</v>
      </c>
      <c r="D3902">
        <v>2.4300000000000002</v>
      </c>
      <c r="E3902" t="s">
        <v>51</v>
      </c>
      <c r="F3902" t="s">
        <v>114</v>
      </c>
      <c r="G3902">
        <v>4.88</v>
      </c>
      <c r="H3902">
        <v>-0.02</v>
      </c>
      <c r="I3902">
        <v>2.4500000000000002</v>
      </c>
      <c r="J3902">
        <v>6.0025000000000004</v>
      </c>
      <c r="K3902" t="str">
        <f>IFERROR(INDEX(Rosters!$C$2:$C$155,MATCH($B3902,Rosters!$B$2:$B$155,0)),"NA")</f>
        <v>NA</v>
      </c>
      <c r="L3902" t="str">
        <f t="shared" si="180"/>
        <v>NA3TE</v>
      </c>
      <c r="M3902">
        <f>COUNTIF(L$1:L3902,L3902)</f>
        <v>24</v>
      </c>
      <c r="N3902" t="str">
        <f t="shared" si="181"/>
        <v>NA3TE-24</v>
      </c>
      <c r="O3902">
        <f>COUNTIFS(F$1:F3902,F3902,A$1:A3902,A3902)</f>
        <v>36</v>
      </c>
      <c r="P3902" t="str">
        <f t="shared" si="182"/>
        <v>Cameron Brate3</v>
      </c>
    </row>
    <row r="3903" spans="1:16" x14ac:dyDescent="0.25">
      <c r="A3903">
        <v>7</v>
      </c>
      <c r="B3903" t="s">
        <v>316</v>
      </c>
      <c r="C3903" t="s">
        <v>8366</v>
      </c>
      <c r="D3903">
        <v>2.4300000000000002</v>
      </c>
      <c r="E3903" t="s">
        <v>36</v>
      </c>
      <c r="F3903" t="s">
        <v>47</v>
      </c>
      <c r="G3903">
        <v>4.3499999999999996</v>
      </c>
      <c r="H3903">
        <v>0.51</v>
      </c>
      <c r="I3903">
        <v>1.92</v>
      </c>
      <c r="J3903">
        <v>3.6863999999999999</v>
      </c>
      <c r="K3903" t="str">
        <f>IFERROR(INDEX(Rosters!$C$2:$C$155,MATCH($B3903,Rosters!$B$2:$B$155,0)),"NA")</f>
        <v>NA</v>
      </c>
      <c r="L3903" t="str">
        <f t="shared" si="180"/>
        <v>NA7RB</v>
      </c>
      <c r="M3903">
        <f>COUNTIF(L$1:L3903,L3903)</f>
        <v>22</v>
      </c>
      <c r="N3903" t="str">
        <f t="shared" si="181"/>
        <v>NA7RB-22</v>
      </c>
      <c r="O3903">
        <f>COUNTIFS(F$1:F3903,F3903,A$1:A3903,A3903)</f>
        <v>63</v>
      </c>
      <c r="P3903" t="str">
        <f t="shared" si="182"/>
        <v>Corey Grant7</v>
      </c>
    </row>
    <row r="3904" spans="1:16" x14ac:dyDescent="0.25">
      <c r="A3904">
        <v>15</v>
      </c>
      <c r="B3904" t="s">
        <v>312</v>
      </c>
      <c r="C3904" t="s">
        <v>8367</v>
      </c>
      <c r="D3904">
        <v>2.4300000000000002</v>
      </c>
      <c r="E3904" t="s">
        <v>42</v>
      </c>
      <c r="F3904" t="s">
        <v>114</v>
      </c>
      <c r="G3904">
        <v>4.55</v>
      </c>
      <c r="H3904">
        <v>0.31</v>
      </c>
      <c r="I3904">
        <v>2.12</v>
      </c>
      <c r="J3904">
        <v>4.4943999999999997</v>
      </c>
      <c r="K3904" t="str">
        <f>IFERROR(INDEX(Rosters!$C$2:$C$155,MATCH($B3904,Rosters!$B$2:$B$155,0)),"NA")</f>
        <v>NA</v>
      </c>
      <c r="L3904" t="str">
        <f t="shared" si="180"/>
        <v>NA15TE</v>
      </c>
      <c r="M3904">
        <f>COUNTIF(L$1:L3904,L3904)</f>
        <v>24</v>
      </c>
      <c r="N3904" t="str">
        <f t="shared" si="181"/>
        <v>NA15TE-24</v>
      </c>
      <c r="O3904">
        <f>COUNTIFS(F$1:F3904,F3904,A$1:A3904,A3904)</f>
        <v>38</v>
      </c>
      <c r="P3904" t="str">
        <f t="shared" si="182"/>
        <v>Darren Fells15</v>
      </c>
    </row>
    <row r="3905" spans="1:16" x14ac:dyDescent="0.25">
      <c r="A3905">
        <v>10</v>
      </c>
      <c r="B3905" t="s">
        <v>1106</v>
      </c>
      <c r="C3905">
        <f>-0.01-4.87</f>
        <v>-4.88</v>
      </c>
      <c r="D3905">
        <v>2.4300000000000002</v>
      </c>
      <c r="E3905" t="s">
        <v>29</v>
      </c>
      <c r="F3905" t="s">
        <v>114</v>
      </c>
      <c r="G3905">
        <v>4.87</v>
      </c>
      <c r="H3905">
        <v>-0.01</v>
      </c>
      <c r="I3905">
        <v>2.44</v>
      </c>
      <c r="J3905">
        <v>5.9535999999999998</v>
      </c>
      <c r="K3905" t="str">
        <f>IFERROR(INDEX(Rosters!$C$2:$C$155,MATCH($B3905,Rosters!$B$2:$B$155,0)),"NA")</f>
        <v>NA</v>
      </c>
      <c r="L3905" t="str">
        <f t="shared" si="180"/>
        <v>NA10TE</v>
      </c>
      <c r="M3905">
        <f>COUNTIF(L$1:L3905,L3905)</f>
        <v>26</v>
      </c>
      <c r="N3905" t="str">
        <f t="shared" si="181"/>
        <v>NA10TE-26</v>
      </c>
      <c r="O3905">
        <f>COUNTIFS(F$1:F3905,F3905,A$1:A3905,A3905)</f>
        <v>39</v>
      </c>
      <c r="P3905" t="str">
        <f t="shared" si="182"/>
        <v>Jordan Leggett10</v>
      </c>
    </row>
    <row r="3906" spans="1:16" x14ac:dyDescent="0.25">
      <c r="A3906">
        <v>8</v>
      </c>
      <c r="B3906" t="s">
        <v>265</v>
      </c>
      <c r="C3906" t="s">
        <v>8368</v>
      </c>
      <c r="D3906">
        <v>2.4300000000000002</v>
      </c>
      <c r="E3906" t="s">
        <v>54</v>
      </c>
      <c r="F3906" t="s">
        <v>114</v>
      </c>
      <c r="G3906">
        <v>4.62</v>
      </c>
      <c r="H3906">
        <v>0.24</v>
      </c>
      <c r="I3906">
        <v>2.19</v>
      </c>
      <c r="J3906">
        <v>4.7961</v>
      </c>
      <c r="K3906" t="str">
        <f>IFERROR(INDEX(Rosters!$C$2:$C$155,MATCH($B3906,Rosters!$B$2:$B$155,0)),"NA")</f>
        <v>NA</v>
      </c>
      <c r="L3906" t="str">
        <f t="shared" si="180"/>
        <v>NA8TE</v>
      </c>
      <c r="M3906">
        <f>COUNTIF(L$1:L3906,L3906)</f>
        <v>23</v>
      </c>
      <c r="N3906" t="str">
        <f t="shared" si="181"/>
        <v>NA8TE-23</v>
      </c>
      <c r="O3906">
        <f>COUNTIFS(F$1:F3906,F3906,A$1:A3906,A3906)</f>
        <v>35</v>
      </c>
      <c r="P3906" t="str">
        <f t="shared" si="182"/>
        <v>Vernon Davis8</v>
      </c>
    </row>
    <row r="3907" spans="1:16" x14ac:dyDescent="0.25">
      <c r="A3907">
        <v>2</v>
      </c>
      <c r="B3907" t="s">
        <v>213</v>
      </c>
      <c r="C3907" t="s">
        <v>3371</v>
      </c>
      <c r="D3907">
        <v>2.42</v>
      </c>
      <c r="E3907" t="s">
        <v>50</v>
      </c>
      <c r="F3907" t="s">
        <v>114</v>
      </c>
      <c r="G3907">
        <v>4.5599999999999996</v>
      </c>
      <c r="H3907">
        <v>0.28000000000000003</v>
      </c>
      <c r="I3907">
        <v>2.14</v>
      </c>
      <c r="J3907">
        <v>4.5796000000000001</v>
      </c>
      <c r="K3907" t="str">
        <f>IFERROR(INDEX(Rosters!$C$2:$C$155,MATCH($B3907,Rosters!$B$2:$B$155,0)),"NA")</f>
        <v>NA</v>
      </c>
      <c r="L3907" t="str">
        <f t="shared" ref="L3907:L3970" si="183">K3907&amp;A3907&amp;F3907</f>
        <v>NA2TE</v>
      </c>
      <c r="M3907">
        <f>COUNTIF(L$1:L3907,L3907)</f>
        <v>21</v>
      </c>
      <c r="N3907" t="str">
        <f t="shared" ref="N3907:N3970" si="184">L3907&amp;"-"&amp;M3907</f>
        <v>NA2TE-21</v>
      </c>
      <c r="O3907">
        <f>COUNTIFS(F$1:F3907,F3907,A$1:A3907,A3907)</f>
        <v>34</v>
      </c>
      <c r="P3907" t="str">
        <f t="shared" ref="P3907:P3970" si="185">B3907&amp;A3907</f>
        <v>Cameron Brate2</v>
      </c>
    </row>
    <row r="3908" spans="1:16" x14ac:dyDescent="0.25">
      <c r="A3908">
        <v>16</v>
      </c>
      <c r="B3908" t="s">
        <v>1586</v>
      </c>
      <c r="C3908" t="s">
        <v>8369</v>
      </c>
      <c r="D3908">
        <v>2.42</v>
      </c>
      <c r="E3908" t="s">
        <v>41</v>
      </c>
      <c r="F3908" t="s">
        <v>114</v>
      </c>
      <c r="G3908">
        <v>4.8099999999999996</v>
      </c>
      <c r="H3908">
        <v>0.03</v>
      </c>
      <c r="I3908">
        <v>2.39</v>
      </c>
      <c r="J3908">
        <v>5.7121000000000004</v>
      </c>
      <c r="K3908" t="str">
        <f>IFERROR(INDEX(Rosters!$C$2:$C$155,MATCH($B3908,Rosters!$B$2:$B$155,0)),"NA")</f>
        <v>NA</v>
      </c>
      <c r="L3908" t="str">
        <f t="shared" si="183"/>
        <v>NA16TE</v>
      </c>
      <c r="M3908">
        <f>COUNTIF(L$1:L3908,L3908)</f>
        <v>28</v>
      </c>
      <c r="N3908" t="str">
        <f t="shared" si="184"/>
        <v>NA16TE-28</v>
      </c>
      <c r="O3908">
        <f>COUNTIFS(F$1:F3908,F3908,A$1:A3908,A3908)</f>
        <v>42</v>
      </c>
      <c r="P3908" t="str">
        <f t="shared" si="185"/>
        <v>Eric Tomlinson16</v>
      </c>
    </row>
    <row r="3909" spans="1:16" x14ac:dyDescent="0.25">
      <c r="A3909">
        <v>16</v>
      </c>
      <c r="B3909" t="s">
        <v>315</v>
      </c>
      <c r="C3909" t="s">
        <v>8369</v>
      </c>
      <c r="D3909">
        <v>2.42</v>
      </c>
      <c r="E3909" t="s">
        <v>60</v>
      </c>
      <c r="F3909" t="s">
        <v>114</v>
      </c>
      <c r="G3909">
        <v>4.8099999999999996</v>
      </c>
      <c r="H3909">
        <v>0.03</v>
      </c>
      <c r="I3909">
        <v>2.39</v>
      </c>
      <c r="J3909">
        <v>5.7121000000000004</v>
      </c>
      <c r="K3909" t="str">
        <f>IFERROR(INDEX(Rosters!$C$2:$C$155,MATCH($B3909,Rosters!$B$2:$B$155,0)),"NA")</f>
        <v>NA</v>
      </c>
      <c r="L3909" t="str">
        <f t="shared" si="183"/>
        <v>NA16TE</v>
      </c>
      <c r="M3909">
        <f>COUNTIF(L$1:L3909,L3909)</f>
        <v>29</v>
      </c>
      <c r="N3909" t="str">
        <f t="shared" si="184"/>
        <v>NA16TE-29</v>
      </c>
      <c r="O3909">
        <f>COUNTIFS(F$1:F3909,F3909,A$1:A3909,A3909)</f>
        <v>43</v>
      </c>
      <c r="P3909" t="str">
        <f t="shared" si="185"/>
        <v>Luke Stocker16</v>
      </c>
    </row>
    <row r="3910" spans="1:16" x14ac:dyDescent="0.25">
      <c r="A3910">
        <v>2</v>
      </c>
      <c r="B3910" t="s">
        <v>238</v>
      </c>
      <c r="C3910" t="s">
        <v>1780</v>
      </c>
      <c r="D3910">
        <v>2.42</v>
      </c>
      <c r="E3910" t="s">
        <v>42</v>
      </c>
      <c r="F3910" t="s">
        <v>87</v>
      </c>
      <c r="G3910">
        <v>4.63</v>
      </c>
      <c r="H3910">
        <v>0.21</v>
      </c>
      <c r="I3910">
        <v>2.21</v>
      </c>
      <c r="J3910">
        <v>4.8841000000000001</v>
      </c>
      <c r="K3910" t="str">
        <f>IFERROR(INDEX(Rosters!$C$2:$C$155,MATCH($B3910,Rosters!$B$2:$B$155,0)),"NA")</f>
        <v>NA</v>
      </c>
      <c r="L3910" t="str">
        <f t="shared" si="183"/>
        <v>NA2WR</v>
      </c>
      <c r="M3910">
        <f>COUNTIF(L$1:L3910,L3910)</f>
        <v>43</v>
      </c>
      <c r="N3910" t="str">
        <f t="shared" si="184"/>
        <v>NA2WR-43</v>
      </c>
      <c r="O3910">
        <f>COUNTIFS(F$1:F3910,F3910,A$1:A3910,A3910)</f>
        <v>91</v>
      </c>
      <c r="P3910" t="str">
        <f t="shared" si="185"/>
        <v>Seth Roberts2</v>
      </c>
    </row>
    <row r="3911" spans="1:16" x14ac:dyDescent="0.25">
      <c r="A3911">
        <v>3</v>
      </c>
      <c r="B3911" t="s">
        <v>1425</v>
      </c>
      <c r="C3911" t="s">
        <v>3787</v>
      </c>
      <c r="D3911">
        <v>2.41</v>
      </c>
      <c r="E3911" t="s">
        <v>77</v>
      </c>
      <c r="F3911" t="s">
        <v>87</v>
      </c>
      <c r="G3911">
        <v>4.38</v>
      </c>
      <c r="H3911">
        <v>0.44</v>
      </c>
      <c r="I3911">
        <v>1.97</v>
      </c>
      <c r="J3911">
        <v>3.8809</v>
      </c>
      <c r="K3911" t="str">
        <f>IFERROR(INDEX(Rosters!$C$2:$C$155,MATCH($B3911,Rosters!$B$2:$B$155,0)),"NA")</f>
        <v>NA</v>
      </c>
      <c r="L3911" t="str">
        <f t="shared" si="183"/>
        <v>NA3WR</v>
      </c>
      <c r="M3911">
        <f>COUNTIF(L$1:L3911,L3911)</f>
        <v>46</v>
      </c>
      <c r="N3911" t="str">
        <f t="shared" si="184"/>
        <v>NA3WR-46</v>
      </c>
      <c r="O3911">
        <f>COUNTIFS(F$1:F3911,F3911,A$1:A3911,A3911)</f>
        <v>94</v>
      </c>
      <c r="P3911" t="str">
        <f t="shared" si="185"/>
        <v>Courtland Sutton3</v>
      </c>
    </row>
    <row r="3912" spans="1:16" x14ac:dyDescent="0.25">
      <c r="A3912">
        <v>14</v>
      </c>
      <c r="B3912" t="s">
        <v>1483</v>
      </c>
      <c r="C3912" t="s">
        <v>8370</v>
      </c>
      <c r="D3912">
        <v>2.41</v>
      </c>
      <c r="E3912" t="s">
        <v>24</v>
      </c>
      <c r="F3912" t="s">
        <v>15</v>
      </c>
      <c r="G3912">
        <v>3.04</v>
      </c>
      <c r="H3912">
        <v>1.78</v>
      </c>
      <c r="I3912">
        <v>0.63</v>
      </c>
      <c r="J3912">
        <v>0.39689999999999998</v>
      </c>
      <c r="K3912" t="str">
        <f>IFERROR(INDEX(Rosters!$C$2:$C$155,MATCH($B3912,Rosters!$B$2:$B$155,0)),"NA")</f>
        <v>NA</v>
      </c>
      <c r="L3912" t="str">
        <f t="shared" si="183"/>
        <v>NA14QB</v>
      </c>
      <c r="M3912">
        <f>COUNTIF(L$1:L3912,L3912)</f>
        <v>16</v>
      </c>
      <c r="N3912" t="str">
        <f t="shared" si="184"/>
        <v>NA14QB-16</v>
      </c>
      <c r="O3912">
        <f>COUNTIFS(F$1:F3912,F3912,A$1:A3912,A3912)</f>
        <v>33</v>
      </c>
      <c r="P3912" t="str">
        <f t="shared" si="185"/>
        <v>Lamar Jackson14</v>
      </c>
    </row>
    <row r="3913" spans="1:16" x14ac:dyDescent="0.25">
      <c r="A3913">
        <v>8</v>
      </c>
      <c r="B3913" t="s">
        <v>1423</v>
      </c>
      <c r="C3913" t="s">
        <v>8371</v>
      </c>
      <c r="D3913">
        <v>2.41</v>
      </c>
      <c r="E3913" t="s">
        <v>36</v>
      </c>
      <c r="F3913" t="s">
        <v>114</v>
      </c>
      <c r="G3913">
        <v>4.62</v>
      </c>
      <c r="H3913">
        <v>0.2</v>
      </c>
      <c r="I3913">
        <v>2.21</v>
      </c>
      <c r="J3913">
        <v>4.8841000000000001</v>
      </c>
      <c r="K3913" t="str">
        <f>IFERROR(INDEX(Rosters!$C$2:$C$155,MATCH($B3913,Rosters!$B$2:$B$155,0)),"NA")</f>
        <v>NA</v>
      </c>
      <c r="L3913" t="str">
        <f t="shared" si="183"/>
        <v>NA8TE</v>
      </c>
      <c r="M3913">
        <f>COUNTIF(L$1:L3913,L3913)</f>
        <v>24</v>
      </c>
      <c r="N3913" t="str">
        <f t="shared" si="184"/>
        <v>NA8TE-24</v>
      </c>
      <c r="O3913">
        <f>COUNTIFS(F$1:F3913,F3913,A$1:A3913,A3913)</f>
        <v>36</v>
      </c>
      <c r="P3913" t="str">
        <f t="shared" si="185"/>
        <v>Michael Gesicki8</v>
      </c>
    </row>
    <row r="3914" spans="1:16" x14ac:dyDescent="0.25">
      <c r="A3914">
        <v>16</v>
      </c>
      <c r="B3914" t="s">
        <v>297</v>
      </c>
      <c r="C3914" t="s">
        <v>8372</v>
      </c>
      <c r="D3914">
        <v>2.41</v>
      </c>
      <c r="E3914" t="s">
        <v>31</v>
      </c>
      <c r="F3914" t="s">
        <v>114</v>
      </c>
      <c r="G3914">
        <v>4.8</v>
      </c>
      <c r="H3914">
        <v>0.02</v>
      </c>
      <c r="I3914">
        <v>2.39</v>
      </c>
      <c r="J3914">
        <v>5.7121000000000004</v>
      </c>
      <c r="K3914" t="str">
        <f>IFERROR(INDEX(Rosters!$C$2:$C$155,MATCH($B3914,Rosters!$B$2:$B$155,0)),"NA")</f>
        <v>NA</v>
      </c>
      <c r="L3914" t="str">
        <f t="shared" si="183"/>
        <v>NA16TE</v>
      </c>
      <c r="M3914">
        <f>COUNTIF(L$1:L3914,L3914)</f>
        <v>30</v>
      </c>
      <c r="N3914" t="str">
        <f t="shared" si="184"/>
        <v>NA16TE-30</v>
      </c>
      <c r="O3914">
        <f>COUNTIFS(F$1:F3914,F3914,A$1:A3914,A3914)</f>
        <v>44</v>
      </c>
      <c r="P3914" t="str">
        <f t="shared" si="185"/>
        <v>Seth DeValve16</v>
      </c>
    </row>
    <row r="3915" spans="1:16" x14ac:dyDescent="0.25">
      <c r="A3915">
        <v>2</v>
      </c>
      <c r="B3915" t="s">
        <v>267</v>
      </c>
      <c r="C3915" t="s">
        <v>1482</v>
      </c>
      <c r="D3915">
        <v>2.41</v>
      </c>
      <c r="E3915" t="s">
        <v>29</v>
      </c>
      <c r="F3915" t="s">
        <v>114</v>
      </c>
      <c r="G3915">
        <v>4.37</v>
      </c>
      <c r="H3915">
        <v>0.45</v>
      </c>
      <c r="I3915">
        <v>1.96</v>
      </c>
      <c r="J3915">
        <v>3.8416000000000001</v>
      </c>
      <c r="K3915" t="str">
        <f>IFERROR(INDEX(Rosters!$C$2:$C$155,MATCH($B3915,Rosters!$B$2:$B$155,0)),"NA")</f>
        <v>NA</v>
      </c>
      <c r="L3915" t="str">
        <f t="shared" si="183"/>
        <v>NA2TE</v>
      </c>
      <c r="M3915">
        <f>COUNTIF(L$1:L3915,L3915)</f>
        <v>22</v>
      </c>
      <c r="N3915" t="str">
        <f t="shared" si="184"/>
        <v>NA2TE-22</v>
      </c>
      <c r="O3915">
        <f>COUNTIFS(F$1:F3915,F3915,A$1:A3915,A3915)</f>
        <v>35</v>
      </c>
      <c r="P3915" t="str">
        <f t="shared" si="185"/>
        <v>Virgil Green2</v>
      </c>
    </row>
    <row r="3916" spans="1:16" x14ac:dyDescent="0.25">
      <c r="A3916">
        <v>13</v>
      </c>
      <c r="B3916" t="s">
        <v>301</v>
      </c>
      <c r="C3916">
        <f>-0.24-5.04</f>
        <v>-5.28</v>
      </c>
      <c r="D3916">
        <v>2.4</v>
      </c>
      <c r="E3916" t="s">
        <v>42</v>
      </c>
      <c r="F3916" t="s">
        <v>114</v>
      </c>
      <c r="G3916">
        <v>5.04</v>
      </c>
      <c r="H3916">
        <v>-0.24</v>
      </c>
      <c r="I3916">
        <v>2.64</v>
      </c>
      <c r="J3916">
        <v>6.9695999999999998</v>
      </c>
      <c r="K3916" t="str">
        <f>IFERROR(INDEX(Rosters!$C$2:$C$155,MATCH($B3916,Rosters!$B$2:$B$155,0)),"NA")</f>
        <v>NA</v>
      </c>
      <c r="L3916" t="str">
        <f t="shared" si="183"/>
        <v>NA13TE</v>
      </c>
      <c r="M3916">
        <f>COUNTIF(L$1:L3916,L3916)</f>
        <v>29</v>
      </c>
      <c r="N3916" t="str">
        <f t="shared" si="184"/>
        <v>NA13TE-29</v>
      </c>
      <c r="O3916">
        <f>COUNTIFS(F$1:F3916,F3916,A$1:A3916,A3916)</f>
        <v>43</v>
      </c>
      <c r="P3916" t="str">
        <f t="shared" si="185"/>
        <v>C.J. Uzomah13</v>
      </c>
    </row>
    <row r="3917" spans="1:16" x14ac:dyDescent="0.25">
      <c r="A3917">
        <v>16</v>
      </c>
      <c r="B3917" t="s">
        <v>287</v>
      </c>
      <c r="C3917">
        <f>-0.31-5.11</f>
        <v>-5.42</v>
      </c>
      <c r="D3917">
        <v>2.4</v>
      </c>
      <c r="E3917" t="s">
        <v>51</v>
      </c>
      <c r="F3917" t="s">
        <v>114</v>
      </c>
      <c r="G3917">
        <v>5.1100000000000003</v>
      </c>
      <c r="H3917">
        <v>-0.31</v>
      </c>
      <c r="I3917">
        <v>2.71</v>
      </c>
      <c r="J3917">
        <v>7.3441000000000001</v>
      </c>
      <c r="K3917" t="str">
        <f>IFERROR(INDEX(Rosters!$C$2:$C$155,MATCH($B3917,Rosters!$B$2:$B$155,0)),"NA")</f>
        <v>NA</v>
      </c>
      <c r="L3917" t="str">
        <f t="shared" si="183"/>
        <v>NA16TE</v>
      </c>
      <c r="M3917">
        <f>COUNTIF(L$1:L3917,L3917)</f>
        <v>31</v>
      </c>
      <c r="N3917" t="str">
        <f t="shared" si="184"/>
        <v>NA16TE-31</v>
      </c>
      <c r="O3917">
        <f>COUNTIFS(F$1:F3917,F3917,A$1:A3917,A3917)</f>
        <v>45</v>
      </c>
      <c r="P3917" t="str">
        <f t="shared" si="185"/>
        <v>Josh Hill16</v>
      </c>
    </row>
    <row r="3918" spans="1:16" x14ac:dyDescent="0.25">
      <c r="A3918">
        <v>11</v>
      </c>
      <c r="B3918" t="s">
        <v>1646</v>
      </c>
      <c r="C3918" t="s">
        <v>8373</v>
      </c>
      <c r="D3918">
        <v>2.4</v>
      </c>
      <c r="E3918" t="s">
        <v>50</v>
      </c>
      <c r="F3918" t="s">
        <v>15</v>
      </c>
      <c r="G3918">
        <v>2.97</v>
      </c>
      <c r="H3918">
        <v>1.83</v>
      </c>
      <c r="I3918">
        <v>0.56999999999999995</v>
      </c>
      <c r="J3918">
        <v>0.32490000000000002</v>
      </c>
      <c r="K3918" t="str">
        <f>IFERROR(INDEX(Rosters!$C$2:$C$155,MATCH($B3918,Rosters!$B$2:$B$155,0)),"NA")</f>
        <v>NA</v>
      </c>
      <c r="L3918" t="str">
        <f t="shared" si="183"/>
        <v>NA11QB</v>
      </c>
      <c r="M3918">
        <f>COUNTIF(L$1:L3918,L3918)</f>
        <v>13</v>
      </c>
      <c r="N3918" t="str">
        <f t="shared" si="184"/>
        <v>NA11QB-13</v>
      </c>
      <c r="O3918">
        <f>COUNTIFS(F$1:F3918,F3918,A$1:A3918,A3918)</f>
        <v>28</v>
      </c>
      <c r="P3918" t="str">
        <f t="shared" si="185"/>
        <v>Taysom Hill11</v>
      </c>
    </row>
    <row r="3919" spans="1:16" x14ac:dyDescent="0.25">
      <c r="A3919">
        <v>4</v>
      </c>
      <c r="B3919" t="s">
        <v>4204</v>
      </c>
      <c r="C3919">
        <f>-0.33-5.11</f>
        <v>-5.44</v>
      </c>
      <c r="D3919">
        <v>2.39</v>
      </c>
      <c r="E3919" t="s">
        <v>37</v>
      </c>
      <c r="F3919" t="s">
        <v>87</v>
      </c>
      <c r="G3919">
        <v>5.1100000000000003</v>
      </c>
      <c r="H3919">
        <v>-0.33</v>
      </c>
      <c r="I3919">
        <v>2.72</v>
      </c>
      <c r="J3919">
        <v>7.3983999999999996</v>
      </c>
      <c r="K3919" t="str">
        <f>IFERROR(INDEX(Rosters!$C$2:$C$155,MATCH($B3919,Rosters!$B$2:$B$155,0)),"NA")</f>
        <v>NA</v>
      </c>
      <c r="L3919" t="str">
        <f t="shared" si="183"/>
        <v>NA4WR</v>
      </c>
      <c r="M3919">
        <f>COUNTIF(L$1:L3919,L3919)</f>
        <v>43</v>
      </c>
      <c r="N3919" t="str">
        <f t="shared" si="184"/>
        <v>NA4WR-43</v>
      </c>
      <c r="O3919">
        <f>COUNTIFS(F$1:F3919,F3919,A$1:A3919,A3919)</f>
        <v>93</v>
      </c>
      <c r="P3919" t="str">
        <f t="shared" si="185"/>
        <v>Dante Pettis4</v>
      </c>
    </row>
    <row r="3920" spans="1:16" x14ac:dyDescent="0.25">
      <c r="A3920">
        <v>15</v>
      </c>
      <c r="B3920" t="s">
        <v>4204</v>
      </c>
      <c r="C3920" t="s">
        <v>8374</v>
      </c>
      <c r="D3920">
        <v>2.39</v>
      </c>
      <c r="E3920" t="s">
        <v>28</v>
      </c>
      <c r="F3920" t="s">
        <v>87</v>
      </c>
      <c r="G3920">
        <v>4.7</v>
      </c>
      <c r="H3920">
        <v>0.08</v>
      </c>
      <c r="I3920">
        <v>2.31</v>
      </c>
      <c r="J3920">
        <v>5.3361000000000001</v>
      </c>
      <c r="K3920" t="str">
        <f>IFERROR(INDEX(Rosters!$C$2:$C$155,MATCH($B3920,Rosters!$B$2:$B$155,0)),"NA")</f>
        <v>NA</v>
      </c>
      <c r="L3920" t="str">
        <f t="shared" si="183"/>
        <v>NA15WR</v>
      </c>
      <c r="M3920">
        <f>COUNTIF(L$1:L3920,L3920)</f>
        <v>54</v>
      </c>
      <c r="N3920" t="str">
        <f t="shared" si="184"/>
        <v>NA15WR-54</v>
      </c>
      <c r="O3920">
        <f>COUNTIFS(F$1:F3920,F3920,A$1:A3920,A3920)</f>
        <v>108</v>
      </c>
      <c r="P3920" t="str">
        <f t="shared" si="185"/>
        <v>Dante Pettis15</v>
      </c>
    </row>
    <row r="3921" spans="1:16" x14ac:dyDescent="0.25">
      <c r="A3921">
        <v>11</v>
      </c>
      <c r="B3921" t="s">
        <v>231</v>
      </c>
      <c r="C3921" t="s">
        <v>8375</v>
      </c>
      <c r="D3921">
        <v>2.39</v>
      </c>
      <c r="E3921" t="s">
        <v>32</v>
      </c>
      <c r="F3921" t="s">
        <v>114</v>
      </c>
      <c r="G3921">
        <v>4.32</v>
      </c>
      <c r="H3921">
        <v>0.46</v>
      </c>
      <c r="I3921">
        <v>1.93</v>
      </c>
      <c r="J3921">
        <v>3.7248999999999999</v>
      </c>
      <c r="K3921" t="str">
        <f>IFERROR(INDEX(Rosters!$C$2:$C$155,MATCH($B3921,Rosters!$B$2:$B$155,0)),"NA")</f>
        <v>NA</v>
      </c>
      <c r="L3921" t="str">
        <f t="shared" si="183"/>
        <v>NA11TE</v>
      </c>
      <c r="M3921">
        <f>COUNTIF(L$1:L3921,L3921)</f>
        <v>24</v>
      </c>
      <c r="N3921" t="str">
        <f t="shared" si="184"/>
        <v>NA11TE-24</v>
      </c>
      <c r="O3921">
        <f>COUNTIFS(F$1:F3921,F3921,A$1:A3921,A3921)</f>
        <v>36</v>
      </c>
      <c r="P3921" t="str">
        <f t="shared" si="185"/>
        <v>Jermaine Gresham11</v>
      </c>
    </row>
    <row r="3922" spans="1:16" x14ac:dyDescent="0.25">
      <c r="A3922">
        <v>5</v>
      </c>
      <c r="B3922" t="s">
        <v>2750</v>
      </c>
      <c r="C3922" t="s">
        <v>8376</v>
      </c>
      <c r="D3922">
        <v>2.39</v>
      </c>
      <c r="E3922" t="s">
        <v>25</v>
      </c>
      <c r="F3922" t="s">
        <v>87</v>
      </c>
      <c r="G3922">
        <v>4.55</v>
      </c>
      <c r="H3922">
        <v>0.23</v>
      </c>
      <c r="I3922">
        <v>2.16</v>
      </c>
      <c r="J3922">
        <v>4.6656000000000004</v>
      </c>
      <c r="K3922" t="str">
        <f>IFERROR(INDEX(Rosters!$C$2:$C$155,MATCH($B3922,Rosters!$B$2:$B$155,0)),"NA")</f>
        <v>NA</v>
      </c>
      <c r="L3922" t="str">
        <f t="shared" si="183"/>
        <v>NA5WR</v>
      </c>
      <c r="M3922">
        <f>COUNTIF(L$1:L3922,L3922)</f>
        <v>48</v>
      </c>
      <c r="N3922" t="str">
        <f t="shared" si="184"/>
        <v>NA5WR-48</v>
      </c>
      <c r="O3922">
        <f>COUNTIFS(F$1:F3922,F3922,A$1:A3922,A3922)</f>
        <v>98</v>
      </c>
      <c r="P3922" t="str">
        <f t="shared" si="185"/>
        <v>Jordan Matthews5</v>
      </c>
    </row>
    <row r="3923" spans="1:16" x14ac:dyDescent="0.25">
      <c r="A3923">
        <v>11</v>
      </c>
      <c r="B3923" t="s">
        <v>349</v>
      </c>
      <c r="C3923" t="s">
        <v>8375</v>
      </c>
      <c r="D3923">
        <v>2.39</v>
      </c>
      <c r="E3923" t="s">
        <v>24</v>
      </c>
      <c r="F3923" t="s">
        <v>87</v>
      </c>
      <c r="G3923">
        <v>4.32</v>
      </c>
      <c r="H3923">
        <v>0.46</v>
      </c>
      <c r="I3923">
        <v>1.93</v>
      </c>
      <c r="J3923">
        <v>3.7248999999999999</v>
      </c>
      <c r="K3923" t="str">
        <f>IFERROR(INDEX(Rosters!$C$2:$C$155,MATCH($B3923,Rosters!$B$2:$B$155,0)),"NA")</f>
        <v>NA</v>
      </c>
      <c r="L3923" t="str">
        <f t="shared" si="183"/>
        <v>NA11WR</v>
      </c>
      <c r="M3923">
        <f>COUNTIF(L$1:L3923,L3923)</f>
        <v>38</v>
      </c>
      <c r="N3923" t="str">
        <f t="shared" si="184"/>
        <v>NA11WR-38</v>
      </c>
      <c r="O3923">
        <f>COUNTIFS(F$1:F3923,F3923,A$1:A3923,A3923)</f>
        <v>85</v>
      </c>
      <c r="P3923" t="str">
        <f t="shared" si="185"/>
        <v>Pharoh Cooper11</v>
      </c>
    </row>
    <row r="3924" spans="1:16" x14ac:dyDescent="0.25">
      <c r="A3924">
        <v>8</v>
      </c>
      <c r="B3924" t="s">
        <v>297</v>
      </c>
      <c r="C3924">
        <f>-0.11-4.89</f>
        <v>-5</v>
      </c>
      <c r="D3924">
        <v>2.39</v>
      </c>
      <c r="E3924" t="s">
        <v>51</v>
      </c>
      <c r="F3924" t="s">
        <v>114</v>
      </c>
      <c r="G3924">
        <v>4.8899999999999997</v>
      </c>
      <c r="H3924">
        <v>-0.11</v>
      </c>
      <c r="I3924">
        <v>2.5</v>
      </c>
      <c r="J3924">
        <v>6.25</v>
      </c>
      <c r="K3924" t="str">
        <f>IFERROR(INDEX(Rosters!$C$2:$C$155,MATCH($B3924,Rosters!$B$2:$B$155,0)),"NA")</f>
        <v>NA</v>
      </c>
      <c r="L3924" t="str">
        <f t="shared" si="183"/>
        <v>NA8TE</v>
      </c>
      <c r="M3924">
        <f>COUNTIF(L$1:L3924,L3924)</f>
        <v>25</v>
      </c>
      <c r="N3924" t="str">
        <f t="shared" si="184"/>
        <v>NA8TE-25</v>
      </c>
      <c r="O3924">
        <f>COUNTIFS(F$1:F3924,F3924,A$1:A3924,A3924)</f>
        <v>37</v>
      </c>
      <c r="P3924" t="str">
        <f t="shared" si="185"/>
        <v>Seth DeValve8</v>
      </c>
    </row>
    <row r="3925" spans="1:16" x14ac:dyDescent="0.25">
      <c r="A3925">
        <v>14</v>
      </c>
      <c r="B3925" t="s">
        <v>1511</v>
      </c>
      <c r="C3925" t="s">
        <v>8377</v>
      </c>
      <c r="D3925">
        <v>2.39</v>
      </c>
      <c r="E3925" t="s">
        <v>76</v>
      </c>
      <c r="F3925" t="s">
        <v>87</v>
      </c>
      <c r="G3925">
        <v>4.66</v>
      </c>
      <c r="H3925">
        <v>0.12</v>
      </c>
      <c r="I3925">
        <v>2.27</v>
      </c>
      <c r="J3925">
        <v>5.1528999999999998</v>
      </c>
      <c r="K3925" t="str">
        <f>IFERROR(INDEX(Rosters!$C$2:$C$155,MATCH($B3925,Rosters!$B$2:$B$155,0)),"NA")</f>
        <v>NA</v>
      </c>
      <c r="L3925" t="str">
        <f t="shared" si="183"/>
        <v>NA14WR</v>
      </c>
      <c r="M3925">
        <f>COUNTIF(L$1:L3925,L3925)</f>
        <v>54</v>
      </c>
      <c r="N3925" t="str">
        <f t="shared" si="184"/>
        <v>NA14WR-54</v>
      </c>
      <c r="O3925">
        <f>COUNTIFS(F$1:F3925,F3925,A$1:A3925,A3925)</f>
        <v>108</v>
      </c>
      <c r="P3925" t="str">
        <f t="shared" si="185"/>
        <v>Tajae Sharpe14</v>
      </c>
    </row>
    <row r="3926" spans="1:16" x14ac:dyDescent="0.25">
      <c r="A3926">
        <v>1</v>
      </c>
      <c r="B3926" t="s">
        <v>209</v>
      </c>
      <c r="C3926">
        <f>-0.31-5.09</f>
        <v>-5.3999999999999995</v>
      </c>
      <c r="D3926">
        <v>2.39</v>
      </c>
      <c r="E3926" t="s">
        <v>22</v>
      </c>
      <c r="F3926" t="s">
        <v>87</v>
      </c>
      <c r="G3926">
        <v>5.09</v>
      </c>
      <c r="H3926">
        <v>-0.31</v>
      </c>
      <c r="I3926">
        <v>2.7</v>
      </c>
      <c r="J3926">
        <v>7.29</v>
      </c>
      <c r="K3926" t="str">
        <f>IFERROR(INDEX(Rosters!$C$2:$C$155,MATCH($B3926,Rosters!$B$2:$B$155,0)),"NA")</f>
        <v>NA</v>
      </c>
      <c r="L3926" t="str">
        <f t="shared" si="183"/>
        <v>NA1WR</v>
      </c>
      <c r="M3926">
        <f>COUNTIF(L$1:L3926,L3926)</f>
        <v>41</v>
      </c>
      <c r="N3926" t="str">
        <f t="shared" si="184"/>
        <v>NA1WR-41</v>
      </c>
      <c r="O3926">
        <f>COUNTIFS(F$1:F3926,F3926,A$1:A3926,A3926)</f>
        <v>90</v>
      </c>
      <c r="P3926" t="str">
        <f t="shared" si="185"/>
        <v>Torrey Smith1</v>
      </c>
    </row>
    <row r="3927" spans="1:16" x14ac:dyDescent="0.25">
      <c r="A3927">
        <v>13</v>
      </c>
      <c r="B3927" t="s">
        <v>4217</v>
      </c>
      <c r="C3927" t="s">
        <v>8378</v>
      </c>
      <c r="D3927">
        <v>2.39</v>
      </c>
      <c r="E3927" t="s">
        <v>22</v>
      </c>
      <c r="F3927" t="s">
        <v>87</v>
      </c>
      <c r="G3927">
        <v>4.72</v>
      </c>
      <c r="H3927">
        <v>0.06</v>
      </c>
      <c r="I3927">
        <v>2.33</v>
      </c>
      <c r="J3927">
        <v>5.4288999999999996</v>
      </c>
      <c r="K3927" t="str">
        <f>IFERROR(INDEX(Rosters!$C$2:$C$155,MATCH($B3927,Rosters!$B$2:$B$155,0)),"NA")</f>
        <v>NA</v>
      </c>
      <c r="L3927" t="str">
        <f t="shared" si="183"/>
        <v>NA13WR</v>
      </c>
      <c r="M3927">
        <f>COUNTIF(L$1:L3927,L3927)</f>
        <v>56</v>
      </c>
      <c r="N3927" t="str">
        <f t="shared" si="184"/>
        <v>NA13WR-56</v>
      </c>
      <c r="O3927">
        <f>COUNTIFS(F$1:F3927,F3927,A$1:A3927,A3927)</f>
        <v>110</v>
      </c>
      <c r="P3927" t="str">
        <f t="shared" si="185"/>
        <v>Tre'Quan Smith13</v>
      </c>
    </row>
    <row r="3928" spans="1:16" x14ac:dyDescent="0.25">
      <c r="A3928">
        <v>16</v>
      </c>
      <c r="B3928" t="s">
        <v>244</v>
      </c>
      <c r="C3928">
        <f>-0.16-4.94</f>
        <v>-5.1000000000000005</v>
      </c>
      <c r="D3928">
        <v>2.39</v>
      </c>
      <c r="E3928" t="s">
        <v>58</v>
      </c>
      <c r="F3928" t="s">
        <v>114</v>
      </c>
      <c r="G3928">
        <v>4.9400000000000004</v>
      </c>
      <c r="H3928">
        <v>-0.16</v>
      </c>
      <c r="I3928">
        <v>2.5499999999999998</v>
      </c>
      <c r="J3928">
        <v>6.5025000000000004</v>
      </c>
      <c r="K3928" t="str">
        <f>IFERROR(INDEX(Rosters!$C$2:$C$155,MATCH($B3928,Rosters!$B$2:$B$155,0)),"NA")</f>
        <v>NA</v>
      </c>
      <c r="L3928" t="str">
        <f t="shared" si="183"/>
        <v>NA16TE</v>
      </c>
      <c r="M3928">
        <f>COUNTIF(L$1:L3928,L3928)</f>
        <v>32</v>
      </c>
      <c r="N3928" t="str">
        <f t="shared" si="184"/>
        <v>NA16TE-32</v>
      </c>
      <c r="O3928">
        <f>COUNTIFS(F$1:F3928,F3928,A$1:A3928,A3928)</f>
        <v>46</v>
      </c>
      <c r="P3928" t="str">
        <f t="shared" si="185"/>
        <v>Tyler Higbee16</v>
      </c>
    </row>
    <row r="3929" spans="1:16" x14ac:dyDescent="0.25">
      <c r="A3929">
        <v>6</v>
      </c>
      <c r="B3929" t="s">
        <v>2599</v>
      </c>
      <c r="C3929" t="s">
        <v>8379</v>
      </c>
      <c r="D3929">
        <v>2.38</v>
      </c>
      <c r="E3929" t="s">
        <v>28</v>
      </c>
      <c r="F3929" t="s">
        <v>87</v>
      </c>
      <c r="G3929">
        <v>4.54</v>
      </c>
      <c r="H3929">
        <v>0.22</v>
      </c>
      <c r="I3929">
        <v>2.16</v>
      </c>
      <c r="J3929">
        <v>4.6656000000000004</v>
      </c>
      <c r="K3929" t="str">
        <f>IFERROR(INDEX(Rosters!$C$2:$C$155,MATCH($B3929,Rosters!$B$2:$B$155,0)),"NA")</f>
        <v>NA</v>
      </c>
      <c r="L3929" t="str">
        <f t="shared" si="183"/>
        <v>NA6WR</v>
      </c>
      <c r="M3929">
        <f>COUNTIF(L$1:L3929,L3929)</f>
        <v>49</v>
      </c>
      <c r="N3929" t="str">
        <f t="shared" si="184"/>
        <v>NA6WR-49</v>
      </c>
      <c r="O3929">
        <f>COUNTIFS(F$1:F3929,F3929,A$1:A3929,A3929)</f>
        <v>99</v>
      </c>
      <c r="P3929" t="str">
        <f t="shared" si="185"/>
        <v>Brandon LaFell6</v>
      </c>
    </row>
    <row r="3930" spans="1:16" x14ac:dyDescent="0.25">
      <c r="A3930">
        <v>14</v>
      </c>
      <c r="B3930" t="s">
        <v>1586</v>
      </c>
      <c r="C3930" t="s">
        <v>8380</v>
      </c>
      <c r="D3930">
        <v>2.38</v>
      </c>
      <c r="E3930" t="s">
        <v>29</v>
      </c>
      <c r="F3930" t="s">
        <v>114</v>
      </c>
      <c r="G3930">
        <v>4.72</v>
      </c>
      <c r="H3930">
        <v>0.04</v>
      </c>
      <c r="I3930">
        <v>2.34</v>
      </c>
      <c r="J3930">
        <v>5.4756</v>
      </c>
      <c r="K3930" t="str">
        <f>IFERROR(INDEX(Rosters!$C$2:$C$155,MATCH($B3930,Rosters!$B$2:$B$155,0)),"NA")</f>
        <v>NA</v>
      </c>
      <c r="L3930" t="str">
        <f t="shared" si="183"/>
        <v>NA14TE</v>
      </c>
      <c r="M3930">
        <f>COUNTIF(L$1:L3930,L3930)</f>
        <v>30</v>
      </c>
      <c r="N3930" t="str">
        <f t="shared" si="184"/>
        <v>NA14TE-30</v>
      </c>
      <c r="O3930">
        <f>COUNTIFS(F$1:F3930,F3930,A$1:A3930,A3930)</f>
        <v>44</v>
      </c>
      <c r="P3930" t="str">
        <f t="shared" si="185"/>
        <v>Eric Tomlinson14</v>
      </c>
    </row>
    <row r="3931" spans="1:16" x14ac:dyDescent="0.25">
      <c r="A3931">
        <v>13</v>
      </c>
      <c r="B3931" t="s">
        <v>338</v>
      </c>
      <c r="C3931" t="s">
        <v>8381</v>
      </c>
      <c r="D3931">
        <v>2.38</v>
      </c>
      <c r="E3931" t="s">
        <v>30</v>
      </c>
      <c r="F3931" t="s">
        <v>87</v>
      </c>
      <c r="G3931">
        <v>4.63</v>
      </c>
      <c r="H3931">
        <v>0.13</v>
      </c>
      <c r="I3931">
        <v>2.25</v>
      </c>
      <c r="J3931">
        <v>5.0625</v>
      </c>
      <c r="K3931" t="str">
        <f>IFERROR(INDEX(Rosters!$C$2:$C$155,MATCH($B3931,Rosters!$B$2:$B$155,0)),"NA")</f>
        <v>NA</v>
      </c>
      <c r="L3931" t="str">
        <f t="shared" si="183"/>
        <v>NA13WR</v>
      </c>
      <c r="M3931">
        <f>COUNTIF(L$1:L3931,L3931)</f>
        <v>57</v>
      </c>
      <c r="N3931" t="str">
        <f t="shared" si="184"/>
        <v>NA13WR-57</v>
      </c>
      <c r="O3931">
        <f>COUNTIFS(F$1:F3931,F3931,A$1:A3931,A3931)</f>
        <v>111</v>
      </c>
      <c r="P3931" t="str">
        <f t="shared" si="185"/>
        <v>Jaron Brown13</v>
      </c>
    </row>
    <row r="3932" spans="1:16" x14ac:dyDescent="0.25">
      <c r="A3932">
        <v>10</v>
      </c>
      <c r="B3932" t="s">
        <v>2750</v>
      </c>
      <c r="C3932" t="s">
        <v>8382</v>
      </c>
      <c r="D3932">
        <v>2.38</v>
      </c>
      <c r="E3932" t="s">
        <v>22</v>
      </c>
      <c r="F3932" t="s">
        <v>87</v>
      </c>
      <c r="G3932">
        <v>4.47</v>
      </c>
      <c r="H3932">
        <v>0.28999999999999998</v>
      </c>
      <c r="I3932">
        <v>2.09</v>
      </c>
      <c r="J3932">
        <v>4.3681000000000001</v>
      </c>
      <c r="K3932" t="str">
        <f>IFERROR(INDEX(Rosters!$C$2:$C$155,MATCH($B3932,Rosters!$B$2:$B$155,0)),"NA")</f>
        <v>NA</v>
      </c>
      <c r="L3932" t="str">
        <f t="shared" si="183"/>
        <v>NA10WR</v>
      </c>
      <c r="M3932">
        <f>COUNTIF(L$1:L3932,L3932)</f>
        <v>51</v>
      </c>
      <c r="N3932" t="str">
        <f t="shared" si="184"/>
        <v>NA10WR-51</v>
      </c>
      <c r="O3932">
        <f>COUNTIFS(F$1:F3932,F3932,A$1:A3932,A3932)</f>
        <v>96</v>
      </c>
      <c r="P3932" t="str">
        <f t="shared" si="185"/>
        <v>Jordan Matthews10</v>
      </c>
    </row>
    <row r="3933" spans="1:16" x14ac:dyDescent="0.25">
      <c r="A3933">
        <v>11</v>
      </c>
      <c r="B3933" t="s">
        <v>4217</v>
      </c>
      <c r="C3933">
        <f>-0.04-4.8</f>
        <v>-4.84</v>
      </c>
      <c r="D3933">
        <v>2.38</v>
      </c>
      <c r="E3933" t="s">
        <v>50</v>
      </c>
      <c r="F3933" t="s">
        <v>87</v>
      </c>
      <c r="G3933">
        <v>4.8</v>
      </c>
      <c r="H3933">
        <v>-0.04</v>
      </c>
      <c r="I3933">
        <v>2.42</v>
      </c>
      <c r="J3933">
        <v>5.8563999999999998</v>
      </c>
      <c r="K3933" t="str">
        <f>IFERROR(INDEX(Rosters!$C$2:$C$155,MATCH($B3933,Rosters!$B$2:$B$155,0)),"NA")</f>
        <v>NA</v>
      </c>
      <c r="L3933" t="str">
        <f t="shared" si="183"/>
        <v>NA11WR</v>
      </c>
      <c r="M3933">
        <f>COUNTIF(L$1:L3933,L3933)</f>
        <v>39</v>
      </c>
      <c r="N3933" t="str">
        <f t="shared" si="184"/>
        <v>NA11WR-39</v>
      </c>
      <c r="O3933">
        <f>COUNTIFS(F$1:F3933,F3933,A$1:A3933,A3933)</f>
        <v>86</v>
      </c>
      <c r="P3933" t="str">
        <f t="shared" si="185"/>
        <v>Tre'Quan Smith11</v>
      </c>
    </row>
    <row r="3934" spans="1:16" x14ac:dyDescent="0.25">
      <c r="A3934">
        <v>13</v>
      </c>
      <c r="B3934" t="s">
        <v>286</v>
      </c>
      <c r="C3934" t="s">
        <v>8383</v>
      </c>
      <c r="D3934">
        <v>2.37</v>
      </c>
      <c r="E3934" t="s">
        <v>29</v>
      </c>
      <c r="F3934" t="s">
        <v>114</v>
      </c>
      <c r="G3934">
        <v>4.6399999999999997</v>
      </c>
      <c r="H3934">
        <v>0.1</v>
      </c>
      <c r="I3934">
        <v>2.27</v>
      </c>
      <c r="J3934">
        <v>5.1528999999999998</v>
      </c>
      <c r="K3934" t="str">
        <f>IFERROR(INDEX(Rosters!$C$2:$C$155,MATCH($B3934,Rosters!$B$2:$B$155,0)),"NA")</f>
        <v>NA</v>
      </c>
      <c r="L3934" t="str">
        <f t="shared" si="183"/>
        <v>NA13TE</v>
      </c>
      <c r="M3934">
        <f>COUNTIF(L$1:L3934,L3934)</f>
        <v>30</v>
      </c>
      <c r="N3934" t="str">
        <f t="shared" si="184"/>
        <v>NA13TE-30</v>
      </c>
      <c r="O3934">
        <f>COUNTIFS(F$1:F3934,F3934,A$1:A3934,A3934)</f>
        <v>44</v>
      </c>
      <c r="P3934" t="str">
        <f t="shared" si="185"/>
        <v>A.J. Derby13</v>
      </c>
    </row>
    <row r="3935" spans="1:16" x14ac:dyDescent="0.25">
      <c r="A3935">
        <v>16</v>
      </c>
      <c r="B3935" t="s">
        <v>4204</v>
      </c>
      <c r="C3935">
        <f>-0.06-4.8</f>
        <v>-4.8599999999999994</v>
      </c>
      <c r="D3935">
        <v>2.37</v>
      </c>
      <c r="E3935" t="s">
        <v>72</v>
      </c>
      <c r="F3935" t="s">
        <v>87</v>
      </c>
      <c r="G3935">
        <v>4.8</v>
      </c>
      <c r="H3935">
        <v>-0.06</v>
      </c>
      <c r="I3935">
        <v>2.4300000000000002</v>
      </c>
      <c r="J3935">
        <v>5.9048999999999996</v>
      </c>
      <c r="K3935" t="str">
        <f>IFERROR(INDEX(Rosters!$C$2:$C$155,MATCH($B3935,Rosters!$B$2:$B$155,0)),"NA")</f>
        <v>NA</v>
      </c>
      <c r="L3935" t="str">
        <f t="shared" si="183"/>
        <v>NA16WR</v>
      </c>
      <c r="M3935">
        <f>COUNTIF(L$1:L3935,L3935)</f>
        <v>56</v>
      </c>
      <c r="N3935" t="str">
        <f t="shared" si="184"/>
        <v>NA16WR-56</v>
      </c>
      <c r="O3935">
        <f>COUNTIFS(F$1:F3935,F3935,A$1:A3935,A3935)</f>
        <v>110</v>
      </c>
      <c r="P3935" t="str">
        <f t="shared" si="185"/>
        <v>Dante Pettis16</v>
      </c>
    </row>
    <row r="3936" spans="1:16" x14ac:dyDescent="0.25">
      <c r="A3936">
        <v>5</v>
      </c>
      <c r="B3936" t="s">
        <v>4226</v>
      </c>
      <c r="C3936" t="s">
        <v>8384</v>
      </c>
      <c r="D3936">
        <v>2.37</v>
      </c>
      <c r="E3936" t="s">
        <v>22</v>
      </c>
      <c r="F3936" t="s">
        <v>114</v>
      </c>
      <c r="G3936">
        <v>4.33</v>
      </c>
      <c r="H3936">
        <v>0.41</v>
      </c>
      <c r="I3936">
        <v>1.96</v>
      </c>
      <c r="J3936">
        <v>3.8416000000000001</v>
      </c>
      <c r="K3936" t="str">
        <f>IFERROR(INDEX(Rosters!$C$2:$C$155,MATCH($B3936,Rosters!$B$2:$B$155,0)),"NA")</f>
        <v>NA</v>
      </c>
      <c r="L3936" t="str">
        <f t="shared" si="183"/>
        <v>NA5TE</v>
      </c>
      <c r="M3936">
        <f>COUNTIF(L$1:L3936,L3936)</f>
        <v>23</v>
      </c>
      <c r="N3936" t="str">
        <f t="shared" si="184"/>
        <v>NA5TE-23</v>
      </c>
      <c r="O3936">
        <f>COUNTIFS(F$1:F3936,F3936,A$1:A3936,A3936)</f>
        <v>34</v>
      </c>
      <c r="P3936" t="str">
        <f t="shared" si="185"/>
        <v>Jordan Thomas5</v>
      </c>
    </row>
    <row r="3937" spans="1:16" x14ac:dyDescent="0.25">
      <c r="A3937">
        <v>10</v>
      </c>
      <c r="B3937" t="s">
        <v>387</v>
      </c>
      <c r="C3937">
        <f>-0.21-4.95</f>
        <v>-5.16</v>
      </c>
      <c r="D3937">
        <v>2.37</v>
      </c>
      <c r="E3937" t="s">
        <v>30</v>
      </c>
      <c r="F3937" t="s">
        <v>114</v>
      </c>
      <c r="G3937">
        <v>4.95</v>
      </c>
      <c r="H3937">
        <v>-0.21</v>
      </c>
      <c r="I3937">
        <v>2.58</v>
      </c>
      <c r="J3937">
        <v>6.6563999999999997</v>
      </c>
      <c r="K3937" t="str">
        <f>IFERROR(INDEX(Rosters!$C$2:$C$155,MATCH($B3937,Rosters!$B$2:$B$155,0)),"NA")</f>
        <v>NA</v>
      </c>
      <c r="L3937" t="str">
        <f t="shared" si="183"/>
        <v>NA10TE</v>
      </c>
      <c r="M3937">
        <f>COUNTIF(L$1:L3937,L3937)</f>
        <v>27</v>
      </c>
      <c r="N3937" t="str">
        <f t="shared" si="184"/>
        <v>NA10TE-27</v>
      </c>
      <c r="O3937">
        <f>COUNTIFS(F$1:F3937,F3937,A$1:A3937,A3937)</f>
        <v>40</v>
      </c>
      <c r="P3937" t="str">
        <f t="shared" si="185"/>
        <v>Rhett Ellison10</v>
      </c>
    </row>
    <row r="3938" spans="1:16" x14ac:dyDescent="0.25">
      <c r="A3938">
        <v>14</v>
      </c>
      <c r="B3938" t="s">
        <v>1646</v>
      </c>
      <c r="C3938" t="s">
        <v>8385</v>
      </c>
      <c r="D3938">
        <v>2.37</v>
      </c>
      <c r="E3938" t="s">
        <v>17</v>
      </c>
      <c r="F3938" t="s">
        <v>15</v>
      </c>
      <c r="G3938">
        <v>3.04</v>
      </c>
      <c r="H3938">
        <v>1.7</v>
      </c>
      <c r="I3938">
        <v>0.67</v>
      </c>
      <c r="J3938">
        <v>0.44890000000000002</v>
      </c>
      <c r="K3938" t="str">
        <f>IFERROR(INDEX(Rosters!$C$2:$C$155,MATCH($B3938,Rosters!$B$2:$B$155,0)),"NA")</f>
        <v>NA</v>
      </c>
      <c r="L3938" t="str">
        <f t="shared" si="183"/>
        <v>NA14QB</v>
      </c>
      <c r="M3938">
        <f>COUNTIF(L$1:L3938,L3938)</f>
        <v>17</v>
      </c>
      <c r="N3938" t="str">
        <f t="shared" si="184"/>
        <v>NA14QB-17</v>
      </c>
      <c r="O3938">
        <f>COUNTIFS(F$1:F3938,F3938,A$1:A3938,A3938)</f>
        <v>34</v>
      </c>
      <c r="P3938" t="str">
        <f t="shared" si="185"/>
        <v>Taysom Hill14</v>
      </c>
    </row>
    <row r="3939" spans="1:16" x14ac:dyDescent="0.25">
      <c r="A3939">
        <v>14</v>
      </c>
      <c r="B3939" t="s">
        <v>230</v>
      </c>
      <c r="C3939" t="s">
        <v>8386</v>
      </c>
      <c r="D3939">
        <v>2.36</v>
      </c>
      <c r="E3939" t="s">
        <v>54</v>
      </c>
      <c r="F3939" t="s">
        <v>87</v>
      </c>
      <c r="G3939">
        <v>4.63</v>
      </c>
      <c r="H3939">
        <v>0.09</v>
      </c>
      <c r="I3939">
        <v>2.27</v>
      </c>
      <c r="J3939">
        <v>5.1528999999999998</v>
      </c>
      <c r="K3939" t="str">
        <f>IFERROR(INDEX(Rosters!$C$2:$C$155,MATCH($B3939,Rosters!$B$2:$B$155,0)),"NA")</f>
        <v>NA</v>
      </c>
      <c r="L3939" t="str">
        <f t="shared" si="183"/>
        <v>NA14WR</v>
      </c>
      <c r="M3939">
        <f>COUNTIF(L$1:L3939,L3939)</f>
        <v>55</v>
      </c>
      <c r="N3939" t="str">
        <f t="shared" si="184"/>
        <v>NA14WR-55</v>
      </c>
      <c r="O3939">
        <f>COUNTIFS(F$1:F3939,F3939,A$1:A3939,A3939)</f>
        <v>109</v>
      </c>
      <c r="P3939" t="str">
        <f t="shared" si="185"/>
        <v>Josh Doctson14</v>
      </c>
    </row>
    <row r="3940" spans="1:16" x14ac:dyDescent="0.25">
      <c r="A3940">
        <v>12</v>
      </c>
      <c r="B3940" t="s">
        <v>315</v>
      </c>
      <c r="C3940" t="s">
        <v>8387</v>
      </c>
      <c r="D3940">
        <v>2.36</v>
      </c>
      <c r="E3940" t="s">
        <v>36</v>
      </c>
      <c r="F3940" t="s">
        <v>114</v>
      </c>
      <c r="G3940">
        <v>4.57</v>
      </c>
      <c r="H3940">
        <v>0.15</v>
      </c>
      <c r="I3940">
        <v>2.21</v>
      </c>
      <c r="J3940">
        <v>4.8841000000000001</v>
      </c>
      <c r="K3940" t="str">
        <f>IFERROR(INDEX(Rosters!$C$2:$C$155,MATCH($B3940,Rosters!$B$2:$B$155,0)),"NA")</f>
        <v>NA</v>
      </c>
      <c r="L3940" t="str">
        <f t="shared" si="183"/>
        <v>NA12TE</v>
      </c>
      <c r="M3940">
        <f>COUNTIF(L$1:L3940,L3940)</f>
        <v>27</v>
      </c>
      <c r="N3940" t="str">
        <f t="shared" si="184"/>
        <v>NA12TE-27</v>
      </c>
      <c r="O3940">
        <f>COUNTIFS(F$1:F3940,F3940,A$1:A3940,A3940)</f>
        <v>40</v>
      </c>
      <c r="P3940" t="str">
        <f t="shared" si="185"/>
        <v>Luke Stocker12</v>
      </c>
    </row>
    <row r="3941" spans="1:16" x14ac:dyDescent="0.25">
      <c r="A3941">
        <v>16</v>
      </c>
      <c r="B3941" t="s">
        <v>386</v>
      </c>
      <c r="C3941" t="s">
        <v>8388</v>
      </c>
      <c r="D3941">
        <v>2.36</v>
      </c>
      <c r="E3941" t="s">
        <v>37</v>
      </c>
      <c r="F3941" t="s">
        <v>114</v>
      </c>
      <c r="G3941">
        <v>4.49</v>
      </c>
      <c r="H3941">
        <v>0.23</v>
      </c>
      <c r="I3941">
        <v>2.13</v>
      </c>
      <c r="J3941">
        <v>4.5369000000000002</v>
      </c>
      <c r="K3941" t="str">
        <f>IFERROR(INDEX(Rosters!$C$2:$C$155,MATCH($B3941,Rosters!$B$2:$B$155,0)),"NA")</f>
        <v>NA</v>
      </c>
      <c r="L3941" t="str">
        <f t="shared" si="183"/>
        <v>NA16TE</v>
      </c>
      <c r="M3941">
        <f>COUNTIF(L$1:L3941,L3941)</f>
        <v>33</v>
      </c>
      <c r="N3941" t="str">
        <f t="shared" si="184"/>
        <v>NA16TE-33</v>
      </c>
      <c r="O3941">
        <f>COUNTIFS(F$1:F3941,F3941,A$1:A3941,A3941)</f>
        <v>47</v>
      </c>
      <c r="P3941" t="str">
        <f t="shared" si="185"/>
        <v>Nick Boyle16</v>
      </c>
    </row>
    <row r="3942" spans="1:16" x14ac:dyDescent="0.25">
      <c r="A3942">
        <v>14</v>
      </c>
      <c r="B3942" t="s">
        <v>362</v>
      </c>
      <c r="C3942" t="s">
        <v>8386</v>
      </c>
      <c r="D3942">
        <v>2.36</v>
      </c>
      <c r="E3942" t="s">
        <v>25</v>
      </c>
      <c r="F3942" t="s">
        <v>114</v>
      </c>
      <c r="G3942">
        <v>4.63</v>
      </c>
      <c r="H3942">
        <v>0.09</v>
      </c>
      <c r="I3942">
        <v>2.27</v>
      </c>
      <c r="J3942">
        <v>5.1528999999999998</v>
      </c>
      <c r="K3942" t="str">
        <f>IFERROR(INDEX(Rosters!$C$2:$C$155,MATCH($B3942,Rosters!$B$2:$B$155,0)),"NA")</f>
        <v>NA</v>
      </c>
      <c r="L3942" t="str">
        <f t="shared" si="183"/>
        <v>NA14TE</v>
      </c>
      <c r="M3942">
        <f>COUNTIF(L$1:L3942,L3942)</f>
        <v>31</v>
      </c>
      <c r="N3942" t="str">
        <f t="shared" si="184"/>
        <v>NA14TE-31</v>
      </c>
      <c r="O3942">
        <f>COUNTIFS(F$1:F3942,F3942,A$1:A3942,A3942)</f>
        <v>45</v>
      </c>
      <c r="P3942" t="str">
        <f t="shared" si="185"/>
        <v>Nick Vannett14</v>
      </c>
    </row>
    <row r="3943" spans="1:16" x14ac:dyDescent="0.25">
      <c r="A3943">
        <v>17</v>
      </c>
      <c r="B3943" t="s">
        <v>349</v>
      </c>
      <c r="C3943" t="s">
        <v>8389</v>
      </c>
      <c r="D3943">
        <v>2.36</v>
      </c>
      <c r="E3943" t="s">
        <v>30</v>
      </c>
      <c r="F3943" t="s">
        <v>87</v>
      </c>
      <c r="G3943">
        <v>4.2699999999999996</v>
      </c>
      <c r="H3943">
        <v>0.45</v>
      </c>
      <c r="I3943">
        <v>1.91</v>
      </c>
      <c r="J3943">
        <v>3.6480999999999999</v>
      </c>
      <c r="K3943" t="str">
        <f>IFERROR(INDEX(Rosters!$C$2:$C$155,MATCH($B3943,Rosters!$B$2:$B$155,0)),"NA")</f>
        <v>NA</v>
      </c>
      <c r="L3943" t="str">
        <f t="shared" si="183"/>
        <v>NA17WR</v>
      </c>
      <c r="M3943">
        <f>COUNTIF(L$1:L3943,L3943)</f>
        <v>53</v>
      </c>
      <c r="N3943" t="str">
        <f t="shared" si="184"/>
        <v>NA17WR-53</v>
      </c>
      <c r="O3943">
        <f>COUNTIFS(F$1:F3943,F3943,A$1:A3943,A3943)</f>
        <v>107</v>
      </c>
      <c r="P3943" t="str">
        <f t="shared" si="185"/>
        <v>Pharoh Cooper17</v>
      </c>
    </row>
    <row r="3944" spans="1:16" x14ac:dyDescent="0.25">
      <c r="A3944">
        <v>16</v>
      </c>
      <c r="B3944" t="s">
        <v>2667</v>
      </c>
      <c r="C3944" t="s">
        <v>8390</v>
      </c>
      <c r="D3944">
        <v>2.35</v>
      </c>
      <c r="E3944" t="s">
        <v>77</v>
      </c>
      <c r="F3944" t="s">
        <v>114</v>
      </c>
      <c r="G3944">
        <v>4.6100000000000003</v>
      </c>
      <c r="H3944">
        <v>0.09</v>
      </c>
      <c r="I3944">
        <v>2.2599999999999998</v>
      </c>
      <c r="J3944">
        <v>5.1075999999999997</v>
      </c>
      <c r="K3944" t="str">
        <f>IFERROR(INDEX(Rosters!$C$2:$C$155,MATCH($B3944,Rosters!$B$2:$B$155,0)),"NA")</f>
        <v>NA</v>
      </c>
      <c r="L3944" t="str">
        <f t="shared" si="183"/>
        <v>NA16TE</v>
      </c>
      <c r="M3944">
        <f>COUNTIF(L$1:L3944,L3944)</f>
        <v>34</v>
      </c>
      <c r="N3944" t="str">
        <f t="shared" si="184"/>
        <v>NA16TE-34</v>
      </c>
      <c r="O3944">
        <f>COUNTIFS(F$1:F3944,F3944,A$1:A3944,A3944)</f>
        <v>48</v>
      </c>
      <c r="P3944" t="str">
        <f t="shared" si="185"/>
        <v>Antonio Gates16</v>
      </c>
    </row>
    <row r="3945" spans="1:16" x14ac:dyDescent="0.25">
      <c r="A3945">
        <v>8</v>
      </c>
      <c r="B3945" t="s">
        <v>301</v>
      </c>
      <c r="C3945" t="s">
        <v>8390</v>
      </c>
      <c r="D3945">
        <v>2.35</v>
      </c>
      <c r="E3945" t="s">
        <v>17</v>
      </c>
      <c r="F3945" t="s">
        <v>114</v>
      </c>
      <c r="G3945">
        <v>4.6100000000000003</v>
      </c>
      <c r="H3945">
        <v>0.09</v>
      </c>
      <c r="I3945">
        <v>2.2599999999999998</v>
      </c>
      <c r="J3945">
        <v>5.1075999999999997</v>
      </c>
      <c r="K3945" t="str">
        <f>IFERROR(INDEX(Rosters!$C$2:$C$155,MATCH($B3945,Rosters!$B$2:$B$155,0)),"NA")</f>
        <v>NA</v>
      </c>
      <c r="L3945" t="str">
        <f t="shared" si="183"/>
        <v>NA8TE</v>
      </c>
      <c r="M3945">
        <f>COUNTIF(L$1:L3945,L3945)</f>
        <v>26</v>
      </c>
      <c r="N3945" t="str">
        <f t="shared" si="184"/>
        <v>NA8TE-26</v>
      </c>
      <c r="O3945">
        <f>COUNTIFS(F$1:F3945,F3945,A$1:A3945,A3945)</f>
        <v>38</v>
      </c>
      <c r="P3945" t="str">
        <f t="shared" si="185"/>
        <v>C.J. Uzomah8</v>
      </c>
    </row>
    <row r="3946" spans="1:16" x14ac:dyDescent="0.25">
      <c r="A3946">
        <v>9</v>
      </c>
      <c r="B3946" t="s">
        <v>4236</v>
      </c>
      <c r="C3946">
        <f>-0.84-5.54</f>
        <v>-6.38</v>
      </c>
      <c r="D3946">
        <v>2.35</v>
      </c>
      <c r="E3946" t="s">
        <v>423</v>
      </c>
      <c r="F3946" t="s">
        <v>87</v>
      </c>
      <c r="G3946">
        <v>5.54</v>
      </c>
      <c r="H3946">
        <v>-0.84</v>
      </c>
      <c r="I3946">
        <v>3.19</v>
      </c>
      <c r="J3946">
        <v>10.1761</v>
      </c>
      <c r="K3946" t="str">
        <f>IFERROR(INDEX(Rosters!$C$2:$C$155,MATCH($B3946,Rosters!$B$2:$B$155,0)),"NA")</f>
        <v>aj</v>
      </c>
      <c r="L3946" t="str">
        <f t="shared" si="183"/>
        <v>aj9WR</v>
      </c>
      <c r="M3946">
        <f>COUNTIF(L$1:L3946,L3946)</f>
        <v>5</v>
      </c>
      <c r="N3946" t="str">
        <f t="shared" si="184"/>
        <v>aj9WR-5</v>
      </c>
      <c r="O3946">
        <f>COUNTIFS(F$1:F3946,F3946,A$1:A3946,A3946)</f>
        <v>90</v>
      </c>
      <c r="P3946" t="str">
        <f t="shared" si="185"/>
        <v>Marquez Valdes-Scantling9</v>
      </c>
    </row>
    <row r="3947" spans="1:16" x14ac:dyDescent="0.25">
      <c r="A3947">
        <v>5</v>
      </c>
      <c r="B3947" t="s">
        <v>297</v>
      </c>
      <c r="C3947">
        <f>-0.28-4.98</f>
        <v>-5.2600000000000007</v>
      </c>
      <c r="D3947">
        <v>2.35</v>
      </c>
      <c r="E3947" t="s">
        <v>77</v>
      </c>
      <c r="F3947" t="s">
        <v>114</v>
      </c>
      <c r="G3947">
        <v>4.9800000000000004</v>
      </c>
      <c r="H3947">
        <v>-0.28000000000000003</v>
      </c>
      <c r="I3947">
        <v>2.63</v>
      </c>
      <c r="J3947">
        <v>6.9169</v>
      </c>
      <c r="K3947" t="str">
        <f>IFERROR(INDEX(Rosters!$C$2:$C$155,MATCH($B3947,Rosters!$B$2:$B$155,0)),"NA")</f>
        <v>NA</v>
      </c>
      <c r="L3947" t="str">
        <f t="shared" si="183"/>
        <v>NA5TE</v>
      </c>
      <c r="M3947">
        <f>COUNTIF(L$1:L3947,L3947)</f>
        <v>24</v>
      </c>
      <c r="N3947" t="str">
        <f t="shared" si="184"/>
        <v>NA5TE-24</v>
      </c>
      <c r="O3947">
        <f>COUNTIFS(F$1:F3947,F3947,A$1:A3947,A3947)</f>
        <v>35</v>
      </c>
      <c r="P3947" t="str">
        <f t="shared" si="185"/>
        <v>Seth DeValve5</v>
      </c>
    </row>
    <row r="3948" spans="1:16" x14ac:dyDescent="0.25">
      <c r="A3948">
        <v>10</v>
      </c>
      <c r="B3948" t="s">
        <v>301</v>
      </c>
      <c r="C3948" t="s">
        <v>8391</v>
      </c>
      <c r="D3948">
        <v>2.34</v>
      </c>
      <c r="E3948" t="s">
        <v>14</v>
      </c>
      <c r="F3948" t="s">
        <v>114</v>
      </c>
      <c r="G3948">
        <v>4.37</v>
      </c>
      <c r="H3948">
        <v>0.31</v>
      </c>
      <c r="I3948">
        <v>2.0299999999999998</v>
      </c>
      <c r="J3948">
        <v>4.1208999999999998</v>
      </c>
      <c r="K3948" t="str">
        <f>IFERROR(INDEX(Rosters!$C$2:$C$155,MATCH($B3948,Rosters!$B$2:$B$155,0)),"NA")</f>
        <v>NA</v>
      </c>
      <c r="L3948" t="str">
        <f t="shared" si="183"/>
        <v>NA10TE</v>
      </c>
      <c r="M3948">
        <f>COUNTIF(L$1:L3948,L3948)</f>
        <v>28</v>
      </c>
      <c r="N3948" t="str">
        <f t="shared" si="184"/>
        <v>NA10TE-28</v>
      </c>
      <c r="O3948">
        <f>COUNTIFS(F$1:F3948,F3948,A$1:A3948,A3948)</f>
        <v>41</v>
      </c>
      <c r="P3948" t="str">
        <f t="shared" si="185"/>
        <v>C.J. Uzomah10</v>
      </c>
    </row>
    <row r="3949" spans="1:16" x14ac:dyDescent="0.25">
      <c r="A3949">
        <v>10</v>
      </c>
      <c r="B3949" t="s">
        <v>307</v>
      </c>
      <c r="C3949" t="s">
        <v>8392</v>
      </c>
      <c r="D3949">
        <v>2.34</v>
      </c>
      <c r="E3949" t="s">
        <v>56</v>
      </c>
      <c r="F3949" t="s">
        <v>114</v>
      </c>
      <c r="G3949">
        <v>4.53</v>
      </c>
      <c r="H3949">
        <v>0.15</v>
      </c>
      <c r="I3949">
        <v>2.19</v>
      </c>
      <c r="J3949">
        <v>4.7961</v>
      </c>
      <c r="K3949" t="str">
        <f>IFERROR(INDEX(Rosters!$C$2:$C$155,MATCH($B3949,Rosters!$B$2:$B$155,0)),"NA")</f>
        <v>NA</v>
      </c>
      <c r="L3949" t="str">
        <f t="shared" si="183"/>
        <v>NA10TE</v>
      </c>
      <c r="M3949">
        <f>COUNTIF(L$1:L3949,L3949)</f>
        <v>29</v>
      </c>
      <c r="N3949" t="str">
        <f t="shared" si="184"/>
        <v>NA10TE-29</v>
      </c>
      <c r="O3949">
        <f>COUNTIFS(F$1:F3949,F3949,A$1:A3949,A3949)</f>
        <v>42</v>
      </c>
      <c r="P3949" t="str">
        <f t="shared" si="185"/>
        <v>Ed Dickson10</v>
      </c>
    </row>
    <row r="3950" spans="1:16" x14ac:dyDescent="0.25">
      <c r="A3950">
        <v>9</v>
      </c>
      <c r="B3950" t="s">
        <v>277</v>
      </c>
      <c r="C3950" t="s">
        <v>8393</v>
      </c>
      <c r="D3950">
        <v>2.34</v>
      </c>
      <c r="E3950" t="s">
        <v>32</v>
      </c>
      <c r="F3950" t="s">
        <v>114</v>
      </c>
      <c r="G3950">
        <v>4.4800000000000004</v>
      </c>
      <c r="H3950">
        <v>0.2</v>
      </c>
      <c r="I3950">
        <v>2.14</v>
      </c>
      <c r="J3950">
        <v>4.5796000000000001</v>
      </c>
      <c r="K3950" t="str">
        <f>IFERROR(INDEX(Rosters!$C$2:$C$155,MATCH($B3950,Rosters!$B$2:$B$155,0)),"NA")</f>
        <v>NA</v>
      </c>
      <c r="L3950" t="str">
        <f t="shared" si="183"/>
        <v>NA9TE</v>
      </c>
      <c r="M3950">
        <f>COUNTIF(L$1:L3950,L3950)</f>
        <v>22</v>
      </c>
      <c r="N3950" t="str">
        <f t="shared" si="184"/>
        <v>NA9TE-22</v>
      </c>
      <c r="O3950">
        <f>COUNTIFS(F$1:F3950,F3950,A$1:A3950,A3950)</f>
        <v>33</v>
      </c>
      <c r="P3950" t="str">
        <f t="shared" si="185"/>
        <v>Garrett Celek9</v>
      </c>
    </row>
    <row r="3951" spans="1:16" x14ac:dyDescent="0.25">
      <c r="A3951">
        <v>12</v>
      </c>
      <c r="B3951" t="s">
        <v>4225</v>
      </c>
      <c r="C3951">
        <f>-0.5-5.18</f>
        <v>-5.68</v>
      </c>
      <c r="D3951">
        <v>2.34</v>
      </c>
      <c r="E3951" t="s">
        <v>38</v>
      </c>
      <c r="F3951" t="s">
        <v>114</v>
      </c>
      <c r="G3951">
        <v>5.18</v>
      </c>
      <c r="H3951">
        <v>-0.5</v>
      </c>
      <c r="I3951">
        <v>2.84</v>
      </c>
      <c r="J3951">
        <v>8.0655999999999999</v>
      </c>
      <c r="K3951" t="str">
        <f>IFERROR(INDEX(Rosters!$C$2:$C$155,MATCH($B3951,Rosters!$B$2:$B$155,0)),"NA")</f>
        <v>NA</v>
      </c>
      <c r="L3951" t="str">
        <f t="shared" si="183"/>
        <v>NA12TE</v>
      </c>
      <c r="M3951">
        <f>COUNTIF(L$1:L3951,L3951)</f>
        <v>28</v>
      </c>
      <c r="N3951" t="str">
        <f t="shared" si="184"/>
        <v>NA12TE-28</v>
      </c>
      <c r="O3951">
        <f>COUNTIFS(F$1:F3951,F3951,A$1:A3951,A3951)</f>
        <v>41</v>
      </c>
      <c r="P3951" t="str">
        <f t="shared" si="185"/>
        <v>Jordan Akins12</v>
      </c>
    </row>
    <row r="3952" spans="1:16" x14ac:dyDescent="0.25">
      <c r="A3952">
        <v>17</v>
      </c>
      <c r="B3952" t="s">
        <v>1483</v>
      </c>
      <c r="C3952" t="s">
        <v>8394</v>
      </c>
      <c r="D3952">
        <v>2.34</v>
      </c>
      <c r="E3952" t="s">
        <v>52</v>
      </c>
      <c r="F3952" t="s">
        <v>15</v>
      </c>
      <c r="G3952">
        <v>2.88</v>
      </c>
      <c r="H3952">
        <v>1.8</v>
      </c>
      <c r="I3952">
        <v>0.54</v>
      </c>
      <c r="J3952">
        <v>0.29160000000000003</v>
      </c>
      <c r="K3952" t="str">
        <f>IFERROR(INDEX(Rosters!$C$2:$C$155,MATCH($B3952,Rosters!$B$2:$B$155,0)),"NA")</f>
        <v>NA</v>
      </c>
      <c r="L3952" t="str">
        <f t="shared" si="183"/>
        <v>NA17QB</v>
      </c>
      <c r="M3952">
        <f>COUNTIF(L$1:L3952,L3952)</f>
        <v>17</v>
      </c>
      <c r="N3952" t="str">
        <f t="shared" si="184"/>
        <v>NA17QB-17</v>
      </c>
      <c r="O3952">
        <f>COUNTIFS(F$1:F3952,F3952,A$1:A3952,A3952)</f>
        <v>34</v>
      </c>
      <c r="P3952" t="str">
        <f t="shared" si="185"/>
        <v>Lamar Jackson17</v>
      </c>
    </row>
    <row r="3953" spans="1:16" x14ac:dyDescent="0.25">
      <c r="A3953">
        <v>3</v>
      </c>
      <c r="B3953" t="s">
        <v>282</v>
      </c>
      <c r="C3953" t="s">
        <v>3788</v>
      </c>
      <c r="D3953">
        <v>2.34</v>
      </c>
      <c r="E3953" t="s">
        <v>37</v>
      </c>
      <c r="F3953" t="s">
        <v>47</v>
      </c>
      <c r="G3953">
        <v>4.45</v>
      </c>
      <c r="H3953">
        <v>0.23</v>
      </c>
      <c r="I3953">
        <v>2.11</v>
      </c>
      <c r="J3953">
        <v>4.4520999999999997</v>
      </c>
      <c r="K3953" t="str">
        <f>IFERROR(INDEX(Rosters!$C$2:$C$155,MATCH($B3953,Rosters!$B$2:$B$155,0)),"NA")</f>
        <v>NA</v>
      </c>
      <c r="L3953" t="str">
        <f t="shared" si="183"/>
        <v>NA3RB</v>
      </c>
      <c r="M3953">
        <f>COUNTIF(L$1:L3953,L3953)</f>
        <v>26</v>
      </c>
      <c r="N3953" t="str">
        <f t="shared" si="184"/>
        <v>NA3RB-26</v>
      </c>
      <c r="O3953">
        <f>COUNTIFS(F$1:F3953,F3953,A$1:A3953,A3953)</f>
        <v>65</v>
      </c>
      <c r="P3953" t="str">
        <f t="shared" si="185"/>
        <v>Malcolm Brown3</v>
      </c>
    </row>
    <row r="3954" spans="1:16" x14ac:dyDescent="0.25">
      <c r="A3954">
        <v>15</v>
      </c>
      <c r="B3954" t="s">
        <v>282</v>
      </c>
      <c r="C3954" t="s">
        <v>8395</v>
      </c>
      <c r="D3954">
        <v>2.34</v>
      </c>
      <c r="E3954" t="s">
        <v>50</v>
      </c>
      <c r="F3954" t="s">
        <v>47</v>
      </c>
      <c r="G3954">
        <v>4.38</v>
      </c>
      <c r="H3954">
        <v>0.3</v>
      </c>
      <c r="I3954">
        <v>2.04</v>
      </c>
      <c r="J3954">
        <v>4.1616</v>
      </c>
      <c r="K3954" t="str">
        <f>IFERROR(INDEX(Rosters!$C$2:$C$155,MATCH($B3954,Rosters!$B$2:$B$155,0)),"NA")</f>
        <v>NA</v>
      </c>
      <c r="L3954" t="str">
        <f t="shared" si="183"/>
        <v>NA15RB</v>
      </c>
      <c r="M3954">
        <f>COUNTIF(L$1:L3954,L3954)</f>
        <v>26</v>
      </c>
      <c r="N3954" t="str">
        <f t="shared" si="184"/>
        <v>NA15RB-26</v>
      </c>
      <c r="O3954">
        <f>COUNTIFS(F$1:F3954,F3954,A$1:A3954,A3954)</f>
        <v>73</v>
      </c>
      <c r="P3954" t="str">
        <f t="shared" si="185"/>
        <v>Malcolm Brown15</v>
      </c>
    </row>
    <row r="3955" spans="1:16" x14ac:dyDescent="0.25">
      <c r="A3955">
        <v>4</v>
      </c>
      <c r="B3955" t="s">
        <v>4217</v>
      </c>
      <c r="C3955" t="s">
        <v>4625</v>
      </c>
      <c r="D3955">
        <v>2.34</v>
      </c>
      <c r="E3955" t="s">
        <v>54</v>
      </c>
      <c r="F3955" t="s">
        <v>87</v>
      </c>
      <c r="G3955">
        <v>4.5199999999999996</v>
      </c>
      <c r="H3955">
        <v>0.16</v>
      </c>
      <c r="I3955">
        <v>2.1800000000000002</v>
      </c>
      <c r="J3955">
        <v>4.7523999999999997</v>
      </c>
      <c r="K3955" t="str">
        <f>IFERROR(INDEX(Rosters!$C$2:$C$155,MATCH($B3955,Rosters!$B$2:$B$155,0)),"NA")</f>
        <v>NA</v>
      </c>
      <c r="L3955" t="str">
        <f t="shared" si="183"/>
        <v>NA4WR</v>
      </c>
      <c r="M3955">
        <f>COUNTIF(L$1:L3955,L3955)</f>
        <v>44</v>
      </c>
      <c r="N3955" t="str">
        <f t="shared" si="184"/>
        <v>NA4WR-44</v>
      </c>
      <c r="O3955">
        <f>COUNTIFS(F$1:F3955,F3955,A$1:A3955,A3955)</f>
        <v>94</v>
      </c>
      <c r="P3955" t="str">
        <f t="shared" si="185"/>
        <v>Tre'Quan Smith4</v>
      </c>
    </row>
    <row r="3956" spans="1:16" x14ac:dyDescent="0.25">
      <c r="A3956">
        <v>12</v>
      </c>
      <c r="B3956" t="s">
        <v>4217</v>
      </c>
      <c r="C3956" t="s">
        <v>8392</v>
      </c>
      <c r="D3956">
        <v>2.34</v>
      </c>
      <c r="E3956" t="s">
        <v>46</v>
      </c>
      <c r="F3956" t="s">
        <v>87</v>
      </c>
      <c r="G3956">
        <v>4.53</v>
      </c>
      <c r="H3956">
        <v>0.15</v>
      </c>
      <c r="I3956">
        <v>2.19</v>
      </c>
      <c r="J3956">
        <v>4.7961</v>
      </c>
      <c r="K3956" t="str">
        <f>IFERROR(INDEX(Rosters!$C$2:$C$155,MATCH($B3956,Rosters!$B$2:$B$155,0)),"NA")</f>
        <v>NA</v>
      </c>
      <c r="L3956" t="str">
        <f t="shared" si="183"/>
        <v>NA12WR</v>
      </c>
      <c r="M3956">
        <f>COUNTIF(L$1:L3956,L3956)</f>
        <v>51</v>
      </c>
      <c r="N3956" t="str">
        <f t="shared" si="184"/>
        <v>NA12WR-51</v>
      </c>
      <c r="O3956">
        <f>COUNTIFS(F$1:F3956,F3956,A$1:A3956,A3956)</f>
        <v>100</v>
      </c>
      <c r="P3956" t="str">
        <f t="shared" si="185"/>
        <v>Tre'Quan Smith12</v>
      </c>
    </row>
    <row r="3957" spans="1:16" x14ac:dyDescent="0.25">
      <c r="A3957">
        <v>2</v>
      </c>
      <c r="B3957" t="s">
        <v>2599</v>
      </c>
      <c r="C3957" t="s">
        <v>4229</v>
      </c>
      <c r="D3957">
        <v>2.33</v>
      </c>
      <c r="E3957" t="s">
        <v>42</v>
      </c>
      <c r="F3957" t="s">
        <v>87</v>
      </c>
      <c r="G3957">
        <v>4.42</v>
      </c>
      <c r="H3957">
        <v>0.24</v>
      </c>
      <c r="I3957">
        <v>2.09</v>
      </c>
      <c r="J3957">
        <v>4.3681000000000001</v>
      </c>
      <c r="K3957" t="str">
        <f>IFERROR(INDEX(Rosters!$C$2:$C$155,MATCH($B3957,Rosters!$B$2:$B$155,0)),"NA")</f>
        <v>NA</v>
      </c>
      <c r="L3957" t="str">
        <f t="shared" si="183"/>
        <v>NA2WR</v>
      </c>
      <c r="M3957">
        <f>COUNTIF(L$1:L3957,L3957)</f>
        <v>44</v>
      </c>
      <c r="N3957" t="str">
        <f t="shared" si="184"/>
        <v>NA2WR-44</v>
      </c>
      <c r="O3957">
        <f>COUNTIFS(F$1:F3957,F3957,A$1:A3957,A3957)</f>
        <v>92</v>
      </c>
      <c r="P3957" t="str">
        <f t="shared" si="185"/>
        <v>Brandon LaFell2</v>
      </c>
    </row>
    <row r="3958" spans="1:16" x14ac:dyDescent="0.25">
      <c r="A3958">
        <v>14</v>
      </c>
      <c r="B3958" t="s">
        <v>2599</v>
      </c>
      <c r="C3958">
        <f>-0.41-5.07</f>
        <v>-5.48</v>
      </c>
      <c r="D3958">
        <v>2.33</v>
      </c>
      <c r="E3958" t="s">
        <v>51</v>
      </c>
      <c r="F3958" t="s">
        <v>87</v>
      </c>
      <c r="G3958">
        <v>5.07</v>
      </c>
      <c r="H3958">
        <v>-0.41</v>
      </c>
      <c r="I3958">
        <v>2.74</v>
      </c>
      <c r="J3958">
        <v>7.5076000000000001</v>
      </c>
      <c r="K3958" t="str">
        <f>IFERROR(INDEX(Rosters!$C$2:$C$155,MATCH($B3958,Rosters!$B$2:$B$155,0)),"NA")</f>
        <v>NA</v>
      </c>
      <c r="L3958" t="str">
        <f t="shared" si="183"/>
        <v>NA14WR</v>
      </c>
      <c r="M3958">
        <f>COUNTIF(L$1:L3958,L3958)</f>
        <v>56</v>
      </c>
      <c r="N3958" t="str">
        <f t="shared" si="184"/>
        <v>NA14WR-56</v>
      </c>
      <c r="O3958">
        <f>COUNTIFS(F$1:F3958,F3958,A$1:A3958,A3958)</f>
        <v>110</v>
      </c>
      <c r="P3958" t="str">
        <f t="shared" si="185"/>
        <v>Brandon LaFell14</v>
      </c>
    </row>
    <row r="3959" spans="1:16" x14ac:dyDescent="0.25">
      <c r="A3959">
        <v>13</v>
      </c>
      <c r="B3959" t="s">
        <v>4204</v>
      </c>
      <c r="C3959" t="s">
        <v>4626</v>
      </c>
      <c r="D3959">
        <v>2.33</v>
      </c>
      <c r="E3959" t="s">
        <v>28</v>
      </c>
      <c r="F3959" t="s">
        <v>87</v>
      </c>
      <c r="G3959">
        <v>4.6399999999999997</v>
      </c>
      <c r="H3959">
        <v>0.02</v>
      </c>
      <c r="I3959">
        <v>2.31</v>
      </c>
      <c r="J3959">
        <v>5.3361000000000001</v>
      </c>
      <c r="K3959" t="str">
        <f>IFERROR(INDEX(Rosters!$C$2:$C$155,MATCH($B3959,Rosters!$B$2:$B$155,0)),"NA")</f>
        <v>NA</v>
      </c>
      <c r="L3959" t="str">
        <f t="shared" si="183"/>
        <v>NA13WR</v>
      </c>
      <c r="M3959">
        <f>COUNTIF(L$1:L3959,L3959)</f>
        <v>58</v>
      </c>
      <c r="N3959" t="str">
        <f t="shared" si="184"/>
        <v>NA13WR-58</v>
      </c>
      <c r="O3959">
        <f>COUNTIFS(F$1:F3959,F3959,A$1:A3959,A3959)</f>
        <v>112</v>
      </c>
      <c r="P3959" t="str">
        <f t="shared" si="185"/>
        <v>Dante Pettis13</v>
      </c>
    </row>
    <row r="3960" spans="1:16" x14ac:dyDescent="0.25">
      <c r="A3960">
        <v>5</v>
      </c>
      <c r="B3960" t="s">
        <v>282</v>
      </c>
      <c r="C3960" t="s">
        <v>4626</v>
      </c>
      <c r="D3960">
        <v>2.33</v>
      </c>
      <c r="E3960" t="s">
        <v>28</v>
      </c>
      <c r="F3960" t="s">
        <v>47</v>
      </c>
      <c r="G3960">
        <v>4.6399999999999997</v>
      </c>
      <c r="H3960">
        <v>0.02</v>
      </c>
      <c r="I3960">
        <v>2.31</v>
      </c>
      <c r="J3960">
        <v>5.3361000000000001</v>
      </c>
      <c r="K3960" t="str">
        <f>IFERROR(INDEX(Rosters!$C$2:$C$155,MATCH($B3960,Rosters!$B$2:$B$155,0)),"NA")</f>
        <v>NA</v>
      </c>
      <c r="L3960" t="str">
        <f t="shared" si="183"/>
        <v>NA5RB</v>
      </c>
      <c r="M3960">
        <f>COUNTIF(L$1:L3960,L3960)</f>
        <v>21</v>
      </c>
      <c r="N3960" t="str">
        <f t="shared" si="184"/>
        <v>NA5RB-21</v>
      </c>
      <c r="O3960">
        <f>COUNTIFS(F$1:F3960,F3960,A$1:A3960,A3960)</f>
        <v>64</v>
      </c>
      <c r="P3960" t="str">
        <f t="shared" si="185"/>
        <v>Malcolm Brown5</v>
      </c>
    </row>
    <row r="3961" spans="1:16" x14ac:dyDescent="0.25">
      <c r="A3961">
        <v>11</v>
      </c>
      <c r="B3961" t="s">
        <v>386</v>
      </c>
      <c r="C3961" t="s">
        <v>8396</v>
      </c>
      <c r="D3961">
        <v>2.33</v>
      </c>
      <c r="E3961" t="s">
        <v>31</v>
      </c>
      <c r="F3961" t="s">
        <v>114</v>
      </c>
      <c r="G3961">
        <v>4.3</v>
      </c>
      <c r="H3961">
        <v>0.36</v>
      </c>
      <c r="I3961">
        <v>1.97</v>
      </c>
      <c r="J3961">
        <v>3.8809</v>
      </c>
      <c r="K3961" t="str">
        <f>IFERROR(INDEX(Rosters!$C$2:$C$155,MATCH($B3961,Rosters!$B$2:$B$155,0)),"NA")</f>
        <v>NA</v>
      </c>
      <c r="L3961" t="str">
        <f t="shared" si="183"/>
        <v>NA11TE</v>
      </c>
      <c r="M3961">
        <f>COUNTIF(L$1:L3961,L3961)</f>
        <v>25</v>
      </c>
      <c r="N3961" t="str">
        <f t="shared" si="184"/>
        <v>NA11TE-25</v>
      </c>
      <c r="O3961">
        <f>COUNTIFS(F$1:F3961,F3961,A$1:A3961,A3961)</f>
        <v>37</v>
      </c>
      <c r="P3961" t="str">
        <f t="shared" si="185"/>
        <v>Nick Boyle11</v>
      </c>
    </row>
    <row r="3962" spans="1:16" x14ac:dyDescent="0.25">
      <c r="A3962">
        <v>7</v>
      </c>
      <c r="B3962" t="s">
        <v>1646</v>
      </c>
      <c r="C3962" t="s">
        <v>8397</v>
      </c>
      <c r="D3962">
        <v>2.33</v>
      </c>
      <c r="E3962" t="s">
        <v>77</v>
      </c>
      <c r="F3962" t="s">
        <v>15</v>
      </c>
      <c r="G3962">
        <v>2.9</v>
      </c>
      <c r="H3962">
        <v>1.76</v>
      </c>
      <c r="I3962">
        <v>0.56999999999999995</v>
      </c>
      <c r="J3962">
        <v>0.32490000000000002</v>
      </c>
      <c r="K3962" t="str">
        <f>IFERROR(INDEX(Rosters!$C$2:$C$155,MATCH($B3962,Rosters!$B$2:$B$155,0)),"NA")</f>
        <v>NA</v>
      </c>
      <c r="L3962" t="str">
        <f t="shared" si="183"/>
        <v>NA7QB</v>
      </c>
      <c r="M3962">
        <f>COUNTIF(L$1:L3962,L3962)</f>
        <v>16</v>
      </c>
      <c r="N3962" t="str">
        <f t="shared" si="184"/>
        <v>NA7QB-16</v>
      </c>
      <c r="O3962">
        <f>COUNTIFS(F$1:F3962,F3962,A$1:A3962,A3962)</f>
        <v>30</v>
      </c>
      <c r="P3962" t="str">
        <f t="shared" si="185"/>
        <v>Taysom Hill7</v>
      </c>
    </row>
    <row r="3963" spans="1:16" x14ac:dyDescent="0.25">
      <c r="A3963">
        <v>9</v>
      </c>
      <c r="B3963" t="s">
        <v>249</v>
      </c>
      <c r="C3963" t="s">
        <v>8398</v>
      </c>
      <c r="D3963">
        <v>2.33</v>
      </c>
      <c r="E3963" t="s">
        <v>28</v>
      </c>
      <c r="F3963" t="s">
        <v>87</v>
      </c>
      <c r="G3963">
        <v>4.4400000000000004</v>
      </c>
      <c r="H3963">
        <v>0.22</v>
      </c>
      <c r="I3963">
        <v>2.11</v>
      </c>
      <c r="J3963">
        <v>4.4520999999999997</v>
      </c>
      <c r="K3963" t="str">
        <f>IFERROR(INDEX(Rosters!$C$2:$C$155,MATCH($B3963,Rosters!$B$2:$B$155,0)),"NA")</f>
        <v>NA</v>
      </c>
      <c r="L3963" t="str">
        <f t="shared" si="183"/>
        <v>NA9WR</v>
      </c>
      <c r="M3963">
        <f>COUNTIF(L$1:L3963,L3963)</f>
        <v>47</v>
      </c>
      <c r="N3963" t="str">
        <f t="shared" si="184"/>
        <v>NA9WR-47</v>
      </c>
      <c r="O3963">
        <f>COUNTIFS(F$1:F3963,F3963,A$1:A3963,A3963)</f>
        <v>91</v>
      </c>
      <c r="P3963" t="str">
        <f t="shared" si="185"/>
        <v>Travis Benjamin9</v>
      </c>
    </row>
    <row r="3964" spans="1:16" x14ac:dyDescent="0.25">
      <c r="A3964">
        <v>3</v>
      </c>
      <c r="B3964" t="s">
        <v>4217</v>
      </c>
      <c r="C3964" t="s">
        <v>4230</v>
      </c>
      <c r="D3964">
        <v>2.33</v>
      </c>
      <c r="E3964" t="s">
        <v>46</v>
      </c>
      <c r="F3964" t="s">
        <v>87</v>
      </c>
      <c r="G3964">
        <v>4.6100000000000003</v>
      </c>
      <c r="H3964">
        <v>0.05</v>
      </c>
      <c r="I3964">
        <v>2.2799999999999998</v>
      </c>
      <c r="J3964">
        <v>5.1984000000000004</v>
      </c>
      <c r="K3964" t="str">
        <f>IFERROR(INDEX(Rosters!$C$2:$C$155,MATCH($B3964,Rosters!$B$2:$B$155,0)),"NA")</f>
        <v>NA</v>
      </c>
      <c r="L3964" t="str">
        <f t="shared" si="183"/>
        <v>NA3WR</v>
      </c>
      <c r="M3964">
        <f>COUNTIF(L$1:L3964,L3964)</f>
        <v>47</v>
      </c>
      <c r="N3964" t="str">
        <f t="shared" si="184"/>
        <v>NA3WR-47</v>
      </c>
      <c r="O3964">
        <f>COUNTIFS(F$1:F3964,F3964,A$1:A3964,A3964)</f>
        <v>95</v>
      </c>
      <c r="P3964" t="str">
        <f t="shared" si="185"/>
        <v>Tre'Quan Smith3</v>
      </c>
    </row>
    <row r="3965" spans="1:16" x14ac:dyDescent="0.25">
      <c r="A3965">
        <v>2</v>
      </c>
      <c r="B3965" t="s">
        <v>242</v>
      </c>
      <c r="C3965" t="s">
        <v>1485</v>
      </c>
      <c r="D3965">
        <v>2.3199999999999998</v>
      </c>
      <c r="E3965" t="s">
        <v>50</v>
      </c>
      <c r="F3965" t="s">
        <v>87</v>
      </c>
      <c r="G3965">
        <v>4.08</v>
      </c>
      <c r="H3965">
        <v>0.56000000000000005</v>
      </c>
      <c r="I3965">
        <v>1.76</v>
      </c>
      <c r="J3965">
        <v>3.0975999999999999</v>
      </c>
      <c r="K3965" t="str">
        <f>IFERROR(INDEX(Rosters!$C$2:$C$155,MATCH($B3965,Rosters!$B$2:$B$155,0)),"NA")</f>
        <v>NA</v>
      </c>
      <c r="L3965" t="str">
        <f t="shared" si="183"/>
        <v>NA2WR</v>
      </c>
      <c r="M3965">
        <f>COUNTIF(L$1:L3965,L3965)</f>
        <v>45</v>
      </c>
      <c r="N3965" t="str">
        <f t="shared" si="184"/>
        <v>NA2WR-45</v>
      </c>
      <c r="O3965">
        <f>COUNTIFS(F$1:F3965,F3965,A$1:A3965,A3965)</f>
        <v>93</v>
      </c>
      <c r="P3965" t="str">
        <f t="shared" si="185"/>
        <v>Adam Humphries2</v>
      </c>
    </row>
    <row r="3966" spans="1:16" x14ac:dyDescent="0.25">
      <c r="A3966">
        <v>6</v>
      </c>
      <c r="B3966" t="s">
        <v>1124</v>
      </c>
      <c r="C3966" t="s">
        <v>8399</v>
      </c>
      <c r="D3966">
        <v>2.3199999999999998</v>
      </c>
      <c r="E3966" t="s">
        <v>423</v>
      </c>
      <c r="F3966" t="s">
        <v>87</v>
      </c>
      <c r="G3966">
        <v>4.26</v>
      </c>
      <c r="H3966">
        <v>0.38</v>
      </c>
      <c r="I3966">
        <v>1.94</v>
      </c>
      <c r="J3966">
        <v>3.7635999999999998</v>
      </c>
      <c r="K3966" t="str">
        <f>IFERROR(INDEX(Rosters!$C$2:$C$155,MATCH($B3966,Rosters!$B$2:$B$155,0)),"NA")</f>
        <v>NA</v>
      </c>
      <c r="L3966" t="str">
        <f t="shared" si="183"/>
        <v>NA6WR</v>
      </c>
      <c r="M3966">
        <f>COUNTIF(L$1:L3966,L3966)</f>
        <v>50</v>
      </c>
      <c r="N3966" t="str">
        <f t="shared" si="184"/>
        <v>NA6WR-50</v>
      </c>
      <c r="O3966">
        <f>COUNTIFS(F$1:F3966,F3966,A$1:A3966,A3966)</f>
        <v>100</v>
      </c>
      <c r="P3966" t="str">
        <f t="shared" si="185"/>
        <v>Chris Conley6</v>
      </c>
    </row>
    <row r="3967" spans="1:16" x14ac:dyDescent="0.25">
      <c r="A3967">
        <v>5</v>
      </c>
      <c r="B3967" t="s">
        <v>1586</v>
      </c>
      <c r="C3967" t="s">
        <v>8400</v>
      </c>
      <c r="D3967">
        <v>2.3199999999999998</v>
      </c>
      <c r="E3967" t="s">
        <v>42</v>
      </c>
      <c r="F3967" t="s">
        <v>114</v>
      </c>
      <c r="G3967">
        <v>4.5599999999999996</v>
      </c>
      <c r="H3967">
        <v>0.08</v>
      </c>
      <c r="I3967">
        <v>2.2400000000000002</v>
      </c>
      <c r="J3967">
        <v>5.0175999999999998</v>
      </c>
      <c r="K3967" t="str">
        <f>IFERROR(INDEX(Rosters!$C$2:$C$155,MATCH($B3967,Rosters!$B$2:$B$155,0)),"NA")</f>
        <v>NA</v>
      </c>
      <c r="L3967" t="str">
        <f t="shared" si="183"/>
        <v>NA5TE</v>
      </c>
      <c r="M3967">
        <f>COUNTIF(L$1:L3967,L3967)</f>
        <v>25</v>
      </c>
      <c r="N3967" t="str">
        <f t="shared" si="184"/>
        <v>NA5TE-25</v>
      </c>
      <c r="O3967">
        <f>COUNTIFS(F$1:F3967,F3967,A$1:A3967,A3967)</f>
        <v>36</v>
      </c>
      <c r="P3967" t="str">
        <f t="shared" si="185"/>
        <v>Eric Tomlinson5</v>
      </c>
    </row>
    <row r="3968" spans="1:16" x14ac:dyDescent="0.25">
      <c r="A3968">
        <v>14</v>
      </c>
      <c r="B3968" t="s">
        <v>1106</v>
      </c>
      <c r="C3968">
        <f>-0.12-4.76</f>
        <v>-4.88</v>
      </c>
      <c r="D3968">
        <v>2.3199999999999998</v>
      </c>
      <c r="E3968" t="s">
        <v>29</v>
      </c>
      <c r="F3968" t="s">
        <v>114</v>
      </c>
      <c r="G3968">
        <v>4.76</v>
      </c>
      <c r="H3968">
        <v>-0.12</v>
      </c>
      <c r="I3968">
        <v>2.44</v>
      </c>
      <c r="J3968">
        <v>5.9535999999999998</v>
      </c>
      <c r="K3968" t="str">
        <f>IFERROR(INDEX(Rosters!$C$2:$C$155,MATCH($B3968,Rosters!$B$2:$B$155,0)),"NA")</f>
        <v>NA</v>
      </c>
      <c r="L3968" t="str">
        <f t="shared" si="183"/>
        <v>NA14TE</v>
      </c>
      <c r="M3968">
        <f>COUNTIF(L$1:L3968,L3968)</f>
        <v>32</v>
      </c>
      <c r="N3968" t="str">
        <f t="shared" si="184"/>
        <v>NA14TE-32</v>
      </c>
      <c r="O3968">
        <f>COUNTIFS(F$1:F3968,F3968,A$1:A3968,A3968)</f>
        <v>46</v>
      </c>
      <c r="P3968" t="str">
        <f t="shared" si="185"/>
        <v>Jordan Leggett14</v>
      </c>
    </row>
    <row r="3969" spans="1:16" x14ac:dyDescent="0.25">
      <c r="A3969">
        <v>9</v>
      </c>
      <c r="B3969" t="s">
        <v>4612</v>
      </c>
      <c r="C3969">
        <f>-0.52-5.16</f>
        <v>-5.68</v>
      </c>
      <c r="D3969">
        <v>2.3199999999999998</v>
      </c>
      <c r="E3969" t="s">
        <v>14</v>
      </c>
      <c r="F3969" t="s">
        <v>87</v>
      </c>
      <c r="G3969">
        <v>5.16</v>
      </c>
      <c r="H3969">
        <v>-0.52</v>
      </c>
      <c r="I3969">
        <v>2.84</v>
      </c>
      <c r="J3969">
        <v>8.0655999999999999</v>
      </c>
      <c r="K3969" t="str">
        <f>IFERROR(INDEX(Rosters!$C$2:$C$155,MATCH($B3969,Rosters!$B$2:$B$155,0)),"NA")</f>
        <v>NA</v>
      </c>
      <c r="L3969" t="str">
        <f t="shared" si="183"/>
        <v>NA9WR</v>
      </c>
      <c r="M3969">
        <f>COUNTIF(L$1:L3969,L3969)</f>
        <v>48</v>
      </c>
      <c r="N3969" t="str">
        <f t="shared" si="184"/>
        <v>NA9WR-48</v>
      </c>
      <c r="O3969">
        <f>COUNTIFS(F$1:F3969,F3969,A$1:A3969,A3969)</f>
        <v>92</v>
      </c>
      <c r="P3969" t="str">
        <f t="shared" si="185"/>
        <v>Khadarel Hodge9</v>
      </c>
    </row>
    <row r="3970" spans="1:16" x14ac:dyDescent="0.25">
      <c r="A3970">
        <v>16</v>
      </c>
      <c r="B3970" t="s">
        <v>1483</v>
      </c>
      <c r="C3970" t="s">
        <v>8401</v>
      </c>
      <c r="D3970">
        <v>2.3199999999999998</v>
      </c>
      <c r="E3970" t="s">
        <v>37</v>
      </c>
      <c r="F3970" t="s">
        <v>15</v>
      </c>
      <c r="G3970">
        <v>2.91</v>
      </c>
      <c r="H3970">
        <v>1.73</v>
      </c>
      <c r="I3970">
        <v>0.59</v>
      </c>
      <c r="J3970">
        <v>0.34810000000000002</v>
      </c>
      <c r="K3970" t="str">
        <f>IFERROR(INDEX(Rosters!$C$2:$C$155,MATCH($B3970,Rosters!$B$2:$B$155,0)),"NA")</f>
        <v>NA</v>
      </c>
      <c r="L3970" t="str">
        <f t="shared" si="183"/>
        <v>NA16QB</v>
      </c>
      <c r="M3970">
        <f>COUNTIF(L$1:L3970,L3970)</f>
        <v>16</v>
      </c>
      <c r="N3970" t="str">
        <f t="shared" si="184"/>
        <v>NA16QB-16</v>
      </c>
      <c r="O3970">
        <f>COUNTIFS(F$1:F3970,F3970,A$1:A3970,A3970)</f>
        <v>33</v>
      </c>
      <c r="P3970" t="str">
        <f t="shared" si="185"/>
        <v>Lamar Jackson16</v>
      </c>
    </row>
    <row r="3971" spans="1:16" x14ac:dyDescent="0.25">
      <c r="A3971">
        <v>4</v>
      </c>
      <c r="B3971" t="s">
        <v>1366</v>
      </c>
      <c r="C3971" t="s">
        <v>4627</v>
      </c>
      <c r="D3971">
        <v>2.3199999999999998</v>
      </c>
      <c r="E3971" t="s">
        <v>32</v>
      </c>
      <c r="F3971" t="s">
        <v>47</v>
      </c>
      <c r="G3971">
        <v>4.16</v>
      </c>
      <c r="H3971">
        <v>0.48</v>
      </c>
      <c r="I3971">
        <v>1.84</v>
      </c>
      <c r="J3971">
        <v>3.3856000000000002</v>
      </c>
      <c r="K3971" t="str">
        <f>IFERROR(INDEX(Rosters!$C$2:$C$155,MATCH($B3971,Rosters!$B$2:$B$155,0)),"NA")</f>
        <v>NA</v>
      </c>
      <c r="L3971" t="str">
        <f t="shared" ref="L3971:L4034" si="186">K3971&amp;A3971&amp;F3971</f>
        <v>NA4RB</v>
      </c>
      <c r="M3971">
        <f>COUNTIF(L$1:L3971,L3971)</f>
        <v>23</v>
      </c>
      <c r="N3971" t="str">
        <f t="shared" ref="N3971:N4034" si="187">L3971&amp;"-"&amp;M3971</f>
        <v>NA4RB-23</v>
      </c>
      <c r="O3971">
        <f>COUNTIFS(F$1:F3971,F3971,A$1:A3971,A3971)</f>
        <v>62</v>
      </c>
      <c r="P3971" t="str">
        <f t="shared" ref="P3971:P4034" si="188">B3971&amp;A3971</f>
        <v>Nick Chubb4</v>
      </c>
    </row>
    <row r="3972" spans="1:16" x14ac:dyDescent="0.25">
      <c r="A3972">
        <v>6</v>
      </c>
      <c r="B3972" t="s">
        <v>297</v>
      </c>
      <c r="C3972" t="s">
        <v>8402</v>
      </c>
      <c r="D3972">
        <v>2.3199999999999998</v>
      </c>
      <c r="E3972" t="s">
        <v>37</v>
      </c>
      <c r="F3972" t="s">
        <v>114</v>
      </c>
      <c r="G3972">
        <v>4.63</v>
      </c>
      <c r="H3972">
        <v>0.01</v>
      </c>
      <c r="I3972">
        <v>2.31</v>
      </c>
      <c r="J3972">
        <v>5.3361000000000001</v>
      </c>
      <c r="K3972" t="str">
        <f>IFERROR(INDEX(Rosters!$C$2:$C$155,MATCH($B3972,Rosters!$B$2:$B$155,0)),"NA")</f>
        <v>NA</v>
      </c>
      <c r="L3972" t="str">
        <f t="shared" si="186"/>
        <v>NA6TE</v>
      </c>
      <c r="M3972">
        <f>COUNTIF(L$1:L3972,L3972)</f>
        <v>25</v>
      </c>
      <c r="N3972" t="str">
        <f t="shared" si="187"/>
        <v>NA6TE-25</v>
      </c>
      <c r="O3972">
        <f>COUNTIFS(F$1:F3972,F3972,A$1:A3972,A3972)</f>
        <v>37</v>
      </c>
      <c r="P3972" t="str">
        <f t="shared" si="188"/>
        <v>Seth DeValve6</v>
      </c>
    </row>
    <row r="3973" spans="1:16" x14ac:dyDescent="0.25">
      <c r="A3973">
        <v>12</v>
      </c>
      <c r="B3973" t="s">
        <v>238</v>
      </c>
      <c r="C3973" t="s">
        <v>4627</v>
      </c>
      <c r="D3973">
        <v>2.3199999999999998</v>
      </c>
      <c r="E3973" t="s">
        <v>77</v>
      </c>
      <c r="F3973" t="s">
        <v>87</v>
      </c>
      <c r="G3973">
        <v>4.16</v>
      </c>
      <c r="H3973">
        <v>0.48</v>
      </c>
      <c r="I3973">
        <v>1.84</v>
      </c>
      <c r="J3973">
        <v>3.3856000000000002</v>
      </c>
      <c r="K3973" t="str">
        <f>IFERROR(INDEX(Rosters!$C$2:$C$155,MATCH($B3973,Rosters!$B$2:$B$155,0)),"NA")</f>
        <v>NA</v>
      </c>
      <c r="L3973" t="str">
        <f t="shared" si="186"/>
        <v>NA12WR</v>
      </c>
      <c r="M3973">
        <f>COUNTIF(L$1:L3973,L3973)</f>
        <v>52</v>
      </c>
      <c r="N3973" t="str">
        <f t="shared" si="187"/>
        <v>NA12WR-52</v>
      </c>
      <c r="O3973">
        <f>COUNTIFS(F$1:F3973,F3973,A$1:A3973,A3973)</f>
        <v>101</v>
      </c>
      <c r="P3973" t="str">
        <f t="shared" si="188"/>
        <v>Seth Roberts12</v>
      </c>
    </row>
    <row r="3974" spans="1:16" x14ac:dyDescent="0.25">
      <c r="A3974">
        <v>1</v>
      </c>
      <c r="B3974" t="s">
        <v>1457</v>
      </c>
      <c r="C3974">
        <f>-0.33-4.97</f>
        <v>-5.3</v>
      </c>
      <c r="D3974">
        <v>2.3199999999999998</v>
      </c>
      <c r="E3974" t="s">
        <v>25</v>
      </c>
      <c r="F3974" t="s">
        <v>87</v>
      </c>
      <c r="G3974">
        <v>4.97</v>
      </c>
      <c r="H3974">
        <v>-0.33</v>
      </c>
      <c r="I3974">
        <v>2.65</v>
      </c>
      <c r="J3974">
        <v>7.0225</v>
      </c>
      <c r="K3974" t="str">
        <f>IFERROR(INDEX(Rosters!$C$2:$C$155,MATCH($B3974,Rosters!$B$2:$B$155,0)),"NA")</f>
        <v>NA</v>
      </c>
      <c r="L3974" t="str">
        <f t="shared" si="186"/>
        <v>NA1WR</v>
      </c>
      <c r="M3974">
        <f>COUNTIF(L$1:L3974,L3974)</f>
        <v>42</v>
      </c>
      <c r="N3974" t="str">
        <f t="shared" si="187"/>
        <v>NA1WR-42</v>
      </c>
      <c r="O3974">
        <f>COUNTIFS(F$1:F3974,F3974,A$1:A3974,A3974)</f>
        <v>91</v>
      </c>
      <c r="P3974" t="str">
        <f t="shared" si="188"/>
        <v>Trent Taylor1</v>
      </c>
    </row>
    <row r="3975" spans="1:16" x14ac:dyDescent="0.25">
      <c r="A3975">
        <v>11</v>
      </c>
      <c r="B3975" t="s">
        <v>244</v>
      </c>
      <c r="C3975" t="s">
        <v>8403</v>
      </c>
      <c r="D3975">
        <v>2.3199999999999998</v>
      </c>
      <c r="E3975" t="s">
        <v>24</v>
      </c>
      <c r="F3975" t="s">
        <v>114</v>
      </c>
      <c r="G3975">
        <v>4.37</v>
      </c>
      <c r="H3975">
        <v>0.27</v>
      </c>
      <c r="I3975">
        <v>2.0499999999999998</v>
      </c>
      <c r="J3975">
        <v>4.2024999999999997</v>
      </c>
      <c r="K3975" t="str">
        <f>IFERROR(INDEX(Rosters!$C$2:$C$155,MATCH($B3975,Rosters!$B$2:$B$155,0)),"NA")</f>
        <v>NA</v>
      </c>
      <c r="L3975" t="str">
        <f t="shared" si="186"/>
        <v>NA11TE</v>
      </c>
      <c r="M3975">
        <f>COUNTIF(L$1:L3975,L3975)</f>
        <v>26</v>
      </c>
      <c r="N3975" t="str">
        <f t="shared" si="187"/>
        <v>NA11TE-26</v>
      </c>
      <c r="O3975">
        <f>COUNTIFS(F$1:F3975,F3975,A$1:A3975,A3975)</f>
        <v>38</v>
      </c>
      <c r="P3975" t="str">
        <f t="shared" si="188"/>
        <v>Tyler Higbee11</v>
      </c>
    </row>
    <row r="3976" spans="1:16" x14ac:dyDescent="0.25">
      <c r="A3976">
        <v>5</v>
      </c>
      <c r="B3976" t="s">
        <v>121</v>
      </c>
      <c r="C3976" t="s">
        <v>8404</v>
      </c>
      <c r="D3976">
        <v>2.31</v>
      </c>
      <c r="E3976" t="s">
        <v>41</v>
      </c>
      <c r="F3976" t="s">
        <v>47</v>
      </c>
      <c r="G3976">
        <v>4</v>
      </c>
      <c r="H3976">
        <v>0.62</v>
      </c>
      <c r="I3976">
        <v>1.69</v>
      </c>
      <c r="J3976">
        <v>2.8561000000000001</v>
      </c>
      <c r="K3976" t="str">
        <f>IFERROR(INDEX(Rosters!$C$2:$C$155,MATCH($B3976,Rosters!$B$2:$B$155,0)),"NA")</f>
        <v>NA</v>
      </c>
      <c r="L3976" t="str">
        <f t="shared" si="186"/>
        <v>NA5RB</v>
      </c>
      <c r="M3976">
        <f>COUNTIF(L$1:L3976,L3976)</f>
        <v>22</v>
      </c>
      <c r="N3976" t="str">
        <f t="shared" si="187"/>
        <v>NA5RB-22</v>
      </c>
      <c r="O3976">
        <f>COUNTIFS(F$1:F3976,F3976,A$1:A3976,A3976)</f>
        <v>65</v>
      </c>
      <c r="P3976" t="str">
        <f t="shared" si="188"/>
        <v>Ameer Abdullah5</v>
      </c>
    </row>
    <row r="3977" spans="1:16" x14ac:dyDescent="0.25">
      <c r="A3977">
        <v>16</v>
      </c>
      <c r="B3977" t="s">
        <v>338</v>
      </c>
      <c r="C3977" t="s">
        <v>8405</v>
      </c>
      <c r="D3977">
        <v>2.31</v>
      </c>
      <c r="E3977" t="s">
        <v>24</v>
      </c>
      <c r="F3977" t="s">
        <v>87</v>
      </c>
      <c r="G3977">
        <v>4.16</v>
      </c>
      <c r="H3977">
        <v>0.46</v>
      </c>
      <c r="I3977">
        <v>1.85</v>
      </c>
      <c r="J3977">
        <v>3.4224999999999999</v>
      </c>
      <c r="K3977" t="str">
        <f>IFERROR(INDEX(Rosters!$C$2:$C$155,MATCH($B3977,Rosters!$B$2:$B$155,0)),"NA")</f>
        <v>NA</v>
      </c>
      <c r="L3977" t="str">
        <f t="shared" si="186"/>
        <v>NA16WR</v>
      </c>
      <c r="M3977">
        <f>COUNTIF(L$1:L3977,L3977)</f>
        <v>57</v>
      </c>
      <c r="N3977" t="str">
        <f t="shared" si="187"/>
        <v>NA16WR-57</v>
      </c>
      <c r="O3977">
        <f>COUNTIFS(F$1:F3977,F3977,A$1:A3977,A3977)</f>
        <v>111</v>
      </c>
      <c r="P3977" t="str">
        <f t="shared" si="188"/>
        <v>Jaron Brown16</v>
      </c>
    </row>
    <row r="3978" spans="1:16" x14ac:dyDescent="0.25">
      <c r="A3978">
        <v>6</v>
      </c>
      <c r="B3978" t="s">
        <v>230</v>
      </c>
      <c r="C3978" t="s">
        <v>8406</v>
      </c>
      <c r="D3978">
        <v>2.31</v>
      </c>
      <c r="E3978" t="s">
        <v>74</v>
      </c>
      <c r="F3978" t="s">
        <v>87</v>
      </c>
      <c r="G3978">
        <v>4.37</v>
      </c>
      <c r="H3978">
        <v>0.25</v>
      </c>
      <c r="I3978">
        <v>2.06</v>
      </c>
      <c r="J3978">
        <v>4.2435999999999998</v>
      </c>
      <c r="K3978" t="str">
        <f>IFERROR(INDEX(Rosters!$C$2:$C$155,MATCH($B3978,Rosters!$B$2:$B$155,0)),"NA")</f>
        <v>NA</v>
      </c>
      <c r="L3978" t="str">
        <f t="shared" si="186"/>
        <v>NA6WR</v>
      </c>
      <c r="M3978">
        <f>COUNTIF(L$1:L3978,L3978)</f>
        <v>51</v>
      </c>
      <c r="N3978" t="str">
        <f t="shared" si="187"/>
        <v>NA6WR-51</v>
      </c>
      <c r="O3978">
        <f>COUNTIFS(F$1:F3978,F3978,A$1:A3978,A3978)</f>
        <v>101</v>
      </c>
      <c r="P3978" t="str">
        <f t="shared" si="188"/>
        <v>Josh Doctson6</v>
      </c>
    </row>
    <row r="3979" spans="1:16" x14ac:dyDescent="0.25">
      <c r="A3979">
        <v>8</v>
      </c>
      <c r="B3979" t="s">
        <v>230</v>
      </c>
      <c r="C3979" t="s">
        <v>8407</v>
      </c>
      <c r="D3979">
        <v>2.31</v>
      </c>
      <c r="E3979" t="s">
        <v>54</v>
      </c>
      <c r="F3979" t="s">
        <v>87</v>
      </c>
      <c r="G3979">
        <v>4.58</v>
      </c>
      <c r="H3979">
        <v>0.04</v>
      </c>
      <c r="I3979">
        <v>2.27</v>
      </c>
      <c r="J3979">
        <v>5.1528999999999998</v>
      </c>
      <c r="K3979" t="str">
        <f>IFERROR(INDEX(Rosters!$C$2:$C$155,MATCH($B3979,Rosters!$B$2:$B$155,0)),"NA")</f>
        <v>NA</v>
      </c>
      <c r="L3979" t="str">
        <f t="shared" si="186"/>
        <v>NA8WR</v>
      </c>
      <c r="M3979">
        <f>COUNTIF(L$1:L3979,L3979)</f>
        <v>46</v>
      </c>
      <c r="N3979" t="str">
        <f t="shared" si="187"/>
        <v>NA8WR-46</v>
      </c>
      <c r="O3979">
        <f>COUNTIFS(F$1:F3979,F3979,A$1:A3979,A3979)</f>
        <v>95</v>
      </c>
      <c r="P3979" t="str">
        <f t="shared" si="188"/>
        <v>Josh Doctson8</v>
      </c>
    </row>
    <row r="3980" spans="1:16" x14ac:dyDescent="0.25">
      <c r="A3980">
        <v>2</v>
      </c>
      <c r="B3980" t="s">
        <v>362</v>
      </c>
      <c r="C3980">
        <f>-0.05-4.67</f>
        <v>-4.72</v>
      </c>
      <c r="D3980">
        <v>2.31</v>
      </c>
      <c r="E3980" t="s">
        <v>72</v>
      </c>
      <c r="F3980" t="s">
        <v>114</v>
      </c>
      <c r="G3980">
        <v>4.67</v>
      </c>
      <c r="H3980">
        <v>-0.05</v>
      </c>
      <c r="I3980">
        <v>2.36</v>
      </c>
      <c r="J3980">
        <v>5.5696000000000003</v>
      </c>
      <c r="K3980" t="str">
        <f>IFERROR(INDEX(Rosters!$C$2:$C$155,MATCH($B3980,Rosters!$B$2:$B$155,0)),"NA")</f>
        <v>NA</v>
      </c>
      <c r="L3980" t="str">
        <f t="shared" si="186"/>
        <v>NA2TE</v>
      </c>
      <c r="M3980">
        <f>COUNTIF(L$1:L3980,L3980)</f>
        <v>23</v>
      </c>
      <c r="N3980" t="str">
        <f t="shared" si="187"/>
        <v>NA2TE-23</v>
      </c>
      <c r="O3980">
        <f>COUNTIFS(F$1:F3980,F3980,A$1:A3980,A3980)</f>
        <v>36</v>
      </c>
      <c r="P3980" t="str">
        <f t="shared" si="188"/>
        <v>Nick Vannett2</v>
      </c>
    </row>
    <row r="3981" spans="1:16" x14ac:dyDescent="0.25">
      <c r="A3981">
        <v>12</v>
      </c>
      <c r="B3981" t="s">
        <v>297</v>
      </c>
      <c r="C3981">
        <f>-0.08-4.7</f>
        <v>-4.78</v>
      </c>
      <c r="D3981">
        <v>2.31</v>
      </c>
      <c r="E3981" t="s">
        <v>31</v>
      </c>
      <c r="F3981" t="s">
        <v>114</v>
      </c>
      <c r="G3981">
        <v>4.7</v>
      </c>
      <c r="H3981">
        <v>-0.08</v>
      </c>
      <c r="I3981">
        <v>2.39</v>
      </c>
      <c r="J3981">
        <v>5.7121000000000004</v>
      </c>
      <c r="K3981" t="str">
        <f>IFERROR(INDEX(Rosters!$C$2:$C$155,MATCH($B3981,Rosters!$B$2:$B$155,0)),"NA")</f>
        <v>NA</v>
      </c>
      <c r="L3981" t="str">
        <f t="shared" si="186"/>
        <v>NA12TE</v>
      </c>
      <c r="M3981">
        <f>COUNTIF(L$1:L3981,L3981)</f>
        <v>29</v>
      </c>
      <c r="N3981" t="str">
        <f t="shared" si="187"/>
        <v>NA12TE-29</v>
      </c>
      <c r="O3981">
        <f>COUNTIFS(F$1:F3981,F3981,A$1:A3981,A3981)</f>
        <v>42</v>
      </c>
      <c r="P3981" t="str">
        <f t="shared" si="188"/>
        <v>Seth DeValve12</v>
      </c>
    </row>
    <row r="3982" spans="1:16" x14ac:dyDescent="0.25">
      <c r="A3982">
        <v>16</v>
      </c>
      <c r="B3982" t="s">
        <v>1646</v>
      </c>
      <c r="C3982" t="s">
        <v>8408</v>
      </c>
      <c r="D3982">
        <v>2.31</v>
      </c>
      <c r="E3982" t="s">
        <v>51</v>
      </c>
      <c r="F3982" t="s">
        <v>15</v>
      </c>
      <c r="G3982">
        <v>2.89</v>
      </c>
      <c r="H3982">
        <v>1.73</v>
      </c>
      <c r="I3982">
        <v>0.57999999999999996</v>
      </c>
      <c r="J3982">
        <v>0.33639999999999998</v>
      </c>
      <c r="K3982" t="str">
        <f>IFERROR(INDEX(Rosters!$C$2:$C$155,MATCH($B3982,Rosters!$B$2:$B$155,0)),"NA")</f>
        <v>NA</v>
      </c>
      <c r="L3982" t="str">
        <f t="shared" si="186"/>
        <v>NA16QB</v>
      </c>
      <c r="M3982">
        <f>COUNTIF(L$1:L3982,L3982)</f>
        <v>17</v>
      </c>
      <c r="N3982" t="str">
        <f t="shared" si="187"/>
        <v>NA16QB-17</v>
      </c>
      <c r="O3982">
        <f>COUNTIFS(F$1:F3982,F3982,A$1:A3982,A3982)</f>
        <v>34</v>
      </c>
      <c r="P3982" t="str">
        <f t="shared" si="188"/>
        <v>Taysom Hill16</v>
      </c>
    </row>
    <row r="3983" spans="1:16" x14ac:dyDescent="0.25">
      <c r="A3983">
        <v>1</v>
      </c>
      <c r="B3983" t="s">
        <v>182</v>
      </c>
      <c r="C3983" t="s">
        <v>1781</v>
      </c>
      <c r="D3983">
        <v>2.31</v>
      </c>
      <c r="E3983" t="s">
        <v>77</v>
      </c>
      <c r="F3983" t="s">
        <v>87</v>
      </c>
      <c r="G3983">
        <v>4.38</v>
      </c>
      <c r="H3983">
        <v>0.24</v>
      </c>
      <c r="I3983">
        <v>2.0699999999999998</v>
      </c>
      <c r="J3983">
        <v>4.2849000000000004</v>
      </c>
      <c r="K3983" t="str">
        <f>IFERROR(INDEX(Rosters!$C$2:$C$155,MATCH($B3983,Rosters!$B$2:$B$155,0)),"NA")</f>
        <v>NA</v>
      </c>
      <c r="L3983" t="str">
        <f t="shared" si="186"/>
        <v>NA1WR</v>
      </c>
      <c r="M3983">
        <f>COUNTIF(L$1:L3983,L3983)</f>
        <v>43</v>
      </c>
      <c r="N3983" t="str">
        <f t="shared" si="187"/>
        <v>NA1WR-43</v>
      </c>
      <c r="O3983">
        <f>COUNTIFS(F$1:F3983,F3983,A$1:A3983,A3983)</f>
        <v>92</v>
      </c>
      <c r="P3983" t="str">
        <f t="shared" si="188"/>
        <v>Zay Jones1</v>
      </c>
    </row>
    <row r="3984" spans="1:16" x14ac:dyDescent="0.25">
      <c r="A3984">
        <v>15</v>
      </c>
      <c r="B3984" t="s">
        <v>338</v>
      </c>
      <c r="C3984" t="s">
        <v>8409</v>
      </c>
      <c r="D3984">
        <v>2.2999999999999998</v>
      </c>
      <c r="E3984" t="s">
        <v>30</v>
      </c>
      <c r="F3984" t="s">
        <v>87</v>
      </c>
      <c r="G3984">
        <v>4.55</v>
      </c>
      <c r="H3984">
        <v>0.05</v>
      </c>
      <c r="I3984">
        <v>2.25</v>
      </c>
      <c r="J3984">
        <v>5.0625</v>
      </c>
      <c r="K3984" t="str">
        <f>IFERROR(INDEX(Rosters!$C$2:$C$155,MATCH($B3984,Rosters!$B$2:$B$155,0)),"NA")</f>
        <v>NA</v>
      </c>
      <c r="L3984" t="str">
        <f t="shared" si="186"/>
        <v>NA15WR</v>
      </c>
      <c r="M3984">
        <f>COUNTIF(L$1:L3984,L3984)</f>
        <v>55</v>
      </c>
      <c r="N3984" t="str">
        <f t="shared" si="187"/>
        <v>NA15WR-55</v>
      </c>
      <c r="O3984">
        <f>COUNTIFS(F$1:F3984,F3984,A$1:A3984,A3984)</f>
        <v>109</v>
      </c>
      <c r="P3984" t="str">
        <f t="shared" si="188"/>
        <v>Jaron Brown15</v>
      </c>
    </row>
    <row r="3985" spans="1:16" x14ac:dyDescent="0.25">
      <c r="A3985">
        <v>6</v>
      </c>
      <c r="B3985" t="s">
        <v>1106</v>
      </c>
      <c r="C3985">
        <f>-0.12-4.72</f>
        <v>-4.84</v>
      </c>
      <c r="D3985">
        <v>2.2999999999999998</v>
      </c>
      <c r="E3985" t="s">
        <v>66</v>
      </c>
      <c r="F3985" t="s">
        <v>114</v>
      </c>
      <c r="G3985">
        <v>4.72</v>
      </c>
      <c r="H3985">
        <v>-0.12</v>
      </c>
      <c r="I3985">
        <v>2.42</v>
      </c>
      <c r="J3985">
        <v>5.8563999999999998</v>
      </c>
      <c r="K3985" t="str">
        <f>IFERROR(INDEX(Rosters!$C$2:$C$155,MATCH($B3985,Rosters!$B$2:$B$155,0)),"NA")</f>
        <v>NA</v>
      </c>
      <c r="L3985" t="str">
        <f t="shared" si="186"/>
        <v>NA6TE</v>
      </c>
      <c r="M3985">
        <f>COUNTIF(L$1:L3985,L3985)</f>
        <v>26</v>
      </c>
      <c r="N3985" t="str">
        <f t="shared" si="187"/>
        <v>NA6TE-26</v>
      </c>
      <c r="O3985">
        <f>COUNTIFS(F$1:F3985,F3985,A$1:A3985,A3985)</f>
        <v>38</v>
      </c>
      <c r="P3985" t="str">
        <f t="shared" si="188"/>
        <v>Jordan Leggett6</v>
      </c>
    </row>
    <row r="3986" spans="1:16" x14ac:dyDescent="0.25">
      <c r="A3986">
        <v>14</v>
      </c>
      <c r="B3986" t="s">
        <v>2750</v>
      </c>
      <c r="C3986" t="s">
        <v>8410</v>
      </c>
      <c r="D3986">
        <v>2.2999999999999998</v>
      </c>
      <c r="E3986" t="s">
        <v>22</v>
      </c>
      <c r="F3986" t="s">
        <v>87</v>
      </c>
      <c r="G3986">
        <v>4.3899999999999997</v>
      </c>
      <c r="H3986">
        <v>0.21</v>
      </c>
      <c r="I3986">
        <v>2.09</v>
      </c>
      <c r="J3986">
        <v>4.3681000000000001</v>
      </c>
      <c r="K3986" t="str">
        <f>IFERROR(INDEX(Rosters!$C$2:$C$155,MATCH($B3986,Rosters!$B$2:$B$155,0)),"NA")</f>
        <v>NA</v>
      </c>
      <c r="L3986" t="str">
        <f t="shared" si="186"/>
        <v>NA14WR</v>
      </c>
      <c r="M3986">
        <f>COUNTIF(L$1:L3986,L3986)</f>
        <v>57</v>
      </c>
      <c r="N3986" t="str">
        <f t="shared" si="187"/>
        <v>NA14WR-57</v>
      </c>
      <c r="O3986">
        <f>COUNTIFS(F$1:F3986,F3986,A$1:A3986,A3986)</f>
        <v>111</v>
      </c>
      <c r="P3986" t="str">
        <f t="shared" si="188"/>
        <v>Jordan Matthews14</v>
      </c>
    </row>
    <row r="3987" spans="1:16" x14ac:dyDescent="0.25">
      <c r="A3987">
        <v>15</v>
      </c>
      <c r="B3987" t="s">
        <v>230</v>
      </c>
      <c r="C3987" t="s">
        <v>8411</v>
      </c>
      <c r="D3987">
        <v>2.2999999999999998</v>
      </c>
      <c r="E3987" t="s">
        <v>76</v>
      </c>
      <c r="F3987" t="s">
        <v>87</v>
      </c>
      <c r="G3987">
        <v>4.51</v>
      </c>
      <c r="H3987">
        <v>0.09</v>
      </c>
      <c r="I3987">
        <v>2.21</v>
      </c>
      <c r="J3987">
        <v>4.8841000000000001</v>
      </c>
      <c r="K3987" t="str">
        <f>IFERROR(INDEX(Rosters!$C$2:$C$155,MATCH($B3987,Rosters!$B$2:$B$155,0)),"NA")</f>
        <v>NA</v>
      </c>
      <c r="L3987" t="str">
        <f t="shared" si="186"/>
        <v>NA15WR</v>
      </c>
      <c r="M3987">
        <f>COUNTIF(L$1:L3987,L3987)</f>
        <v>56</v>
      </c>
      <c r="N3987" t="str">
        <f t="shared" si="187"/>
        <v>NA15WR-56</v>
      </c>
      <c r="O3987">
        <f>COUNTIFS(F$1:F3987,F3987,A$1:A3987,A3987)</f>
        <v>110</v>
      </c>
      <c r="P3987" t="str">
        <f t="shared" si="188"/>
        <v>Josh Doctson15</v>
      </c>
    </row>
    <row r="3988" spans="1:16" x14ac:dyDescent="0.25">
      <c r="A3988">
        <v>7</v>
      </c>
      <c r="B3988" t="s">
        <v>4612</v>
      </c>
      <c r="C3988">
        <f>-0.57-5.17</f>
        <v>-5.74</v>
      </c>
      <c r="D3988">
        <v>2.2999999999999998</v>
      </c>
      <c r="E3988" t="s">
        <v>30</v>
      </c>
      <c r="F3988" t="s">
        <v>87</v>
      </c>
      <c r="G3988">
        <v>5.17</v>
      </c>
      <c r="H3988">
        <v>-0.56999999999999995</v>
      </c>
      <c r="I3988">
        <v>2.87</v>
      </c>
      <c r="J3988">
        <v>8.2369000000000003</v>
      </c>
      <c r="K3988" t="str">
        <f>IFERROR(INDEX(Rosters!$C$2:$C$155,MATCH($B3988,Rosters!$B$2:$B$155,0)),"NA")</f>
        <v>NA</v>
      </c>
      <c r="L3988" t="str">
        <f t="shared" si="186"/>
        <v>NA7WR</v>
      </c>
      <c r="M3988">
        <f>COUNTIF(L$1:L3988,L3988)</f>
        <v>45</v>
      </c>
      <c r="N3988" t="str">
        <f t="shared" si="187"/>
        <v>NA7WR-45</v>
      </c>
      <c r="O3988">
        <f>COUNTIFS(F$1:F3988,F3988,A$1:A3988,A3988)</f>
        <v>90</v>
      </c>
      <c r="P3988" t="str">
        <f t="shared" si="188"/>
        <v>Khadarel Hodge7</v>
      </c>
    </row>
    <row r="3989" spans="1:16" x14ac:dyDescent="0.25">
      <c r="A3989">
        <v>6</v>
      </c>
      <c r="B3989" t="s">
        <v>282</v>
      </c>
      <c r="C3989" t="s">
        <v>8412</v>
      </c>
      <c r="D3989">
        <v>2.2999999999999998</v>
      </c>
      <c r="E3989" t="s">
        <v>42</v>
      </c>
      <c r="F3989" t="s">
        <v>47</v>
      </c>
      <c r="G3989">
        <v>4.5199999999999996</v>
      </c>
      <c r="H3989">
        <v>0.08</v>
      </c>
      <c r="I3989">
        <v>2.2200000000000002</v>
      </c>
      <c r="J3989">
        <v>4.9283999999999999</v>
      </c>
      <c r="K3989" t="str">
        <f>IFERROR(INDEX(Rosters!$C$2:$C$155,MATCH($B3989,Rosters!$B$2:$B$155,0)),"NA")</f>
        <v>NA</v>
      </c>
      <c r="L3989" t="str">
        <f t="shared" si="186"/>
        <v>NA6RB</v>
      </c>
      <c r="M3989">
        <f>COUNTIF(L$1:L3989,L3989)</f>
        <v>24</v>
      </c>
      <c r="N3989" t="str">
        <f t="shared" si="187"/>
        <v>NA6RB-24</v>
      </c>
      <c r="O3989">
        <f>COUNTIFS(F$1:F3989,F3989,A$1:A3989,A3989)</f>
        <v>66</v>
      </c>
      <c r="P3989" t="str">
        <f t="shared" si="188"/>
        <v>Malcolm Brown6</v>
      </c>
    </row>
    <row r="3990" spans="1:16" x14ac:dyDescent="0.25">
      <c r="A3990">
        <v>3</v>
      </c>
      <c r="B3990" t="s">
        <v>1408</v>
      </c>
      <c r="C3990" t="s">
        <v>3789</v>
      </c>
      <c r="D3990">
        <v>2.2999999999999998</v>
      </c>
      <c r="E3990" t="s">
        <v>28</v>
      </c>
      <c r="F3990" t="s">
        <v>87</v>
      </c>
      <c r="G3990">
        <v>4.37</v>
      </c>
      <c r="H3990">
        <v>0.23</v>
      </c>
      <c r="I3990">
        <v>2.0699999999999998</v>
      </c>
      <c r="J3990">
        <v>4.2849000000000004</v>
      </c>
      <c r="K3990" t="str">
        <f>IFERROR(INDEX(Rosters!$C$2:$C$155,MATCH($B3990,Rosters!$B$2:$B$155,0)),"NA")</f>
        <v>NA</v>
      </c>
      <c r="L3990" t="str">
        <f t="shared" si="186"/>
        <v>NA3WR</v>
      </c>
      <c r="M3990">
        <f>COUNTIF(L$1:L3990,L3990)</f>
        <v>48</v>
      </c>
      <c r="N3990" t="str">
        <f t="shared" si="187"/>
        <v>NA3WR-48</v>
      </c>
      <c r="O3990">
        <f>COUNTIFS(F$1:F3990,F3990,A$1:A3990,A3990)</f>
        <v>96</v>
      </c>
      <c r="P3990" t="str">
        <f t="shared" si="188"/>
        <v>Michael Gallup3</v>
      </c>
    </row>
    <row r="3991" spans="1:16" x14ac:dyDescent="0.25">
      <c r="A3991">
        <v>8</v>
      </c>
      <c r="B3991" t="s">
        <v>386</v>
      </c>
      <c r="C3991" t="s">
        <v>4628</v>
      </c>
      <c r="D3991">
        <v>2.2999999999999998</v>
      </c>
      <c r="E3991" t="s">
        <v>74</v>
      </c>
      <c r="F3991" t="s">
        <v>114</v>
      </c>
      <c r="G3991">
        <v>4.16</v>
      </c>
      <c r="H3991">
        <v>0.44</v>
      </c>
      <c r="I3991">
        <v>1.86</v>
      </c>
      <c r="J3991">
        <v>3.4596</v>
      </c>
      <c r="K3991" t="str">
        <f>IFERROR(INDEX(Rosters!$C$2:$C$155,MATCH($B3991,Rosters!$B$2:$B$155,0)),"NA")</f>
        <v>NA</v>
      </c>
      <c r="L3991" t="str">
        <f t="shared" si="186"/>
        <v>NA8TE</v>
      </c>
      <c r="M3991">
        <f>COUNTIF(L$1:L3991,L3991)</f>
        <v>27</v>
      </c>
      <c r="N3991" t="str">
        <f t="shared" si="187"/>
        <v>NA8TE-27</v>
      </c>
      <c r="O3991">
        <f>COUNTIFS(F$1:F3991,F3991,A$1:A3991,A3991)</f>
        <v>39</v>
      </c>
      <c r="P3991" t="str">
        <f t="shared" si="188"/>
        <v>Nick Boyle8</v>
      </c>
    </row>
    <row r="3992" spans="1:16" x14ac:dyDescent="0.25">
      <c r="A3992">
        <v>12</v>
      </c>
      <c r="B3992" t="s">
        <v>190</v>
      </c>
      <c r="C3992">
        <f>-0.38-4.98</f>
        <v>-5.36</v>
      </c>
      <c r="D3992">
        <v>2.2999999999999998</v>
      </c>
      <c r="E3992" t="s">
        <v>60</v>
      </c>
      <c r="F3992" t="s">
        <v>87</v>
      </c>
      <c r="G3992">
        <v>4.9800000000000004</v>
      </c>
      <c r="H3992">
        <v>-0.38</v>
      </c>
      <c r="I3992">
        <v>2.68</v>
      </c>
      <c r="J3992">
        <v>7.1824000000000003</v>
      </c>
      <c r="K3992" t="str">
        <f>IFERROR(INDEX(Rosters!$C$2:$C$155,MATCH($B3992,Rosters!$B$2:$B$155,0)),"NA")</f>
        <v>NA</v>
      </c>
      <c r="L3992" t="str">
        <f t="shared" si="186"/>
        <v>NA12WR</v>
      </c>
      <c r="M3992">
        <f>COUNTIF(L$1:L3992,L3992)</f>
        <v>53</v>
      </c>
      <c r="N3992" t="str">
        <f t="shared" si="187"/>
        <v>NA12WR-53</v>
      </c>
      <c r="O3992">
        <f>COUNTIFS(F$1:F3992,F3992,A$1:A3992,A3992)</f>
        <v>102</v>
      </c>
      <c r="P3992" t="str">
        <f t="shared" si="188"/>
        <v>Tavon Austin12</v>
      </c>
    </row>
    <row r="3993" spans="1:16" x14ac:dyDescent="0.25">
      <c r="A3993">
        <v>2</v>
      </c>
      <c r="B3993" t="s">
        <v>209</v>
      </c>
      <c r="C3993">
        <f>-0.18-4.78</f>
        <v>-4.96</v>
      </c>
      <c r="D3993">
        <v>2.2999999999999998</v>
      </c>
      <c r="E3993" t="s">
        <v>46</v>
      </c>
      <c r="F3993" t="s">
        <v>87</v>
      </c>
      <c r="G3993">
        <v>4.78</v>
      </c>
      <c r="H3993">
        <v>-0.18</v>
      </c>
      <c r="I3993">
        <v>2.48</v>
      </c>
      <c r="J3993">
        <v>6.1504000000000003</v>
      </c>
      <c r="K3993" t="str">
        <f>IFERROR(INDEX(Rosters!$C$2:$C$155,MATCH($B3993,Rosters!$B$2:$B$155,0)),"NA")</f>
        <v>NA</v>
      </c>
      <c r="L3993" t="str">
        <f t="shared" si="186"/>
        <v>NA2WR</v>
      </c>
      <c r="M3993">
        <f>COUNTIF(L$1:L3993,L3993)</f>
        <v>46</v>
      </c>
      <c r="N3993" t="str">
        <f t="shared" si="187"/>
        <v>NA2WR-46</v>
      </c>
      <c r="O3993">
        <f>COUNTIFS(F$1:F3993,F3993,A$1:A3993,A3993)</f>
        <v>94</v>
      </c>
      <c r="P3993" t="str">
        <f t="shared" si="188"/>
        <v>Torrey Smith2</v>
      </c>
    </row>
    <row r="3994" spans="1:16" x14ac:dyDescent="0.25">
      <c r="A3994">
        <v>17</v>
      </c>
      <c r="B3994" t="s">
        <v>4217</v>
      </c>
      <c r="C3994" t="s">
        <v>8413</v>
      </c>
      <c r="D3994">
        <v>2.2999999999999998</v>
      </c>
      <c r="E3994" t="s">
        <v>74</v>
      </c>
      <c r="F3994" t="s">
        <v>87</v>
      </c>
      <c r="G3994">
        <v>4.46</v>
      </c>
      <c r="H3994">
        <v>0.14000000000000001</v>
      </c>
      <c r="I3994">
        <v>2.16</v>
      </c>
      <c r="J3994">
        <v>4.6656000000000004</v>
      </c>
      <c r="K3994" t="str">
        <f>IFERROR(INDEX(Rosters!$C$2:$C$155,MATCH($B3994,Rosters!$B$2:$B$155,0)),"NA")</f>
        <v>NA</v>
      </c>
      <c r="L3994" t="str">
        <f t="shared" si="186"/>
        <v>NA17WR</v>
      </c>
      <c r="M3994">
        <f>COUNTIF(L$1:L3994,L3994)</f>
        <v>54</v>
      </c>
      <c r="N3994" t="str">
        <f t="shared" si="187"/>
        <v>NA17WR-54</v>
      </c>
      <c r="O3994">
        <f>COUNTIFS(F$1:F3994,F3994,A$1:A3994,A3994)</f>
        <v>108</v>
      </c>
      <c r="P3994" t="str">
        <f t="shared" si="188"/>
        <v>Tre'Quan Smith17</v>
      </c>
    </row>
    <row r="3995" spans="1:16" x14ac:dyDescent="0.25">
      <c r="A3995">
        <v>9</v>
      </c>
      <c r="B3995" t="s">
        <v>2715</v>
      </c>
      <c r="C3995">
        <f>-0.13-4.71</f>
        <v>-4.84</v>
      </c>
      <c r="D3995">
        <v>2.29</v>
      </c>
      <c r="E3995" t="s">
        <v>34</v>
      </c>
      <c r="F3995" t="s">
        <v>87</v>
      </c>
      <c r="G3995">
        <v>4.71</v>
      </c>
      <c r="H3995">
        <v>-0.13</v>
      </c>
      <c r="I3995">
        <v>2.42</v>
      </c>
      <c r="J3995">
        <v>5.8563999999999998</v>
      </c>
      <c r="K3995" t="str">
        <f>IFERROR(INDEX(Rosters!$C$2:$C$155,MATCH($B3995,Rosters!$B$2:$B$155,0)),"NA")</f>
        <v>NA</v>
      </c>
      <c r="L3995" t="str">
        <f t="shared" si="186"/>
        <v>NA9WR</v>
      </c>
      <c r="M3995">
        <f>COUNTIF(L$1:L3995,L3995)</f>
        <v>49</v>
      </c>
      <c r="N3995" t="str">
        <f t="shared" si="187"/>
        <v>NA9WR-49</v>
      </c>
      <c r="O3995">
        <f>COUNTIFS(F$1:F3995,F3995,A$1:A3995,A3995)</f>
        <v>93</v>
      </c>
      <c r="P3995" t="str">
        <f t="shared" si="188"/>
        <v>Aldrick Robinson9</v>
      </c>
    </row>
    <row r="3996" spans="1:16" x14ac:dyDescent="0.25">
      <c r="A3996">
        <v>16</v>
      </c>
      <c r="B3996" t="s">
        <v>2715</v>
      </c>
      <c r="C3996">
        <f>-0.13-4.71</f>
        <v>-4.84</v>
      </c>
      <c r="D3996">
        <v>2.29</v>
      </c>
      <c r="E3996" t="s">
        <v>34</v>
      </c>
      <c r="F3996" t="s">
        <v>87</v>
      </c>
      <c r="G3996">
        <v>4.71</v>
      </c>
      <c r="H3996">
        <v>-0.13</v>
      </c>
      <c r="I3996">
        <v>2.42</v>
      </c>
      <c r="J3996">
        <v>5.8563999999999998</v>
      </c>
      <c r="K3996" t="str">
        <f>IFERROR(INDEX(Rosters!$C$2:$C$155,MATCH($B3996,Rosters!$B$2:$B$155,0)),"NA")</f>
        <v>NA</v>
      </c>
      <c r="L3996" t="str">
        <f t="shared" si="186"/>
        <v>NA16WR</v>
      </c>
      <c r="M3996">
        <f>COUNTIF(L$1:L3996,L3996)</f>
        <v>58</v>
      </c>
      <c r="N3996" t="str">
        <f t="shared" si="187"/>
        <v>NA16WR-58</v>
      </c>
      <c r="O3996">
        <f>COUNTIFS(F$1:F3996,F3996,A$1:A3996,A3996)</f>
        <v>112</v>
      </c>
      <c r="P3996" t="str">
        <f t="shared" si="188"/>
        <v>Aldrick Robinson16</v>
      </c>
    </row>
    <row r="3997" spans="1:16" x14ac:dyDescent="0.25">
      <c r="A3997">
        <v>5</v>
      </c>
      <c r="B3997" t="s">
        <v>312</v>
      </c>
      <c r="C3997" t="s">
        <v>8414</v>
      </c>
      <c r="D3997">
        <v>2.29</v>
      </c>
      <c r="E3997" t="s">
        <v>77</v>
      </c>
      <c r="F3997" t="s">
        <v>114</v>
      </c>
      <c r="G3997">
        <v>3.95</v>
      </c>
      <c r="H3997">
        <v>0.63</v>
      </c>
      <c r="I3997">
        <v>1.66</v>
      </c>
      <c r="J3997">
        <v>2.7555999999999998</v>
      </c>
      <c r="K3997" t="str">
        <f>IFERROR(INDEX(Rosters!$C$2:$C$155,MATCH($B3997,Rosters!$B$2:$B$155,0)),"NA")</f>
        <v>NA</v>
      </c>
      <c r="L3997" t="str">
        <f t="shared" si="186"/>
        <v>NA5TE</v>
      </c>
      <c r="M3997">
        <f>COUNTIF(L$1:L3997,L3997)</f>
        <v>26</v>
      </c>
      <c r="N3997" t="str">
        <f t="shared" si="187"/>
        <v>NA5TE-26</v>
      </c>
      <c r="O3997">
        <f>COUNTIFS(F$1:F3997,F3997,A$1:A3997,A3997)</f>
        <v>37</v>
      </c>
      <c r="P3997" t="str">
        <f t="shared" si="188"/>
        <v>Darren Fells5</v>
      </c>
    </row>
    <row r="3998" spans="1:16" x14ac:dyDescent="0.25">
      <c r="A3998">
        <v>8</v>
      </c>
      <c r="B3998" t="s">
        <v>358</v>
      </c>
      <c r="C3998" t="s">
        <v>8415</v>
      </c>
      <c r="D3998">
        <v>2.29</v>
      </c>
      <c r="E3998" t="s">
        <v>50</v>
      </c>
      <c r="F3998" t="s">
        <v>114</v>
      </c>
      <c r="G3998">
        <v>4.33</v>
      </c>
      <c r="H3998">
        <v>0.25</v>
      </c>
      <c r="I3998">
        <v>2.04</v>
      </c>
      <c r="J3998">
        <v>4.1616</v>
      </c>
      <c r="K3998" t="str">
        <f>IFERROR(INDEX(Rosters!$C$2:$C$155,MATCH($B3998,Rosters!$B$2:$B$155,0)),"NA")</f>
        <v>NA</v>
      </c>
      <c r="L3998" t="str">
        <f t="shared" si="186"/>
        <v>NA8TE</v>
      </c>
      <c r="M3998">
        <f>COUNTIF(L$1:L3998,L3998)</f>
        <v>28</v>
      </c>
      <c r="N3998" t="str">
        <f t="shared" si="187"/>
        <v>NA8TE-28</v>
      </c>
      <c r="O3998">
        <f>COUNTIFS(F$1:F3998,F3998,A$1:A3998,A3998)</f>
        <v>40</v>
      </c>
      <c r="P3998" t="str">
        <f t="shared" si="188"/>
        <v>James O'Shaughnessy8</v>
      </c>
    </row>
    <row r="3999" spans="1:16" x14ac:dyDescent="0.25">
      <c r="A3999">
        <v>13</v>
      </c>
      <c r="B3999" t="s">
        <v>4225</v>
      </c>
      <c r="C3999">
        <f>-0.55-5.13</f>
        <v>-5.68</v>
      </c>
      <c r="D3999">
        <v>2.29</v>
      </c>
      <c r="E3999" t="s">
        <v>52</v>
      </c>
      <c r="F3999" t="s">
        <v>114</v>
      </c>
      <c r="G3999">
        <v>5.13</v>
      </c>
      <c r="H3999">
        <v>-0.55000000000000004</v>
      </c>
      <c r="I3999">
        <v>2.84</v>
      </c>
      <c r="J3999">
        <v>8.0655999999999999</v>
      </c>
      <c r="K3999" t="str">
        <f>IFERROR(INDEX(Rosters!$C$2:$C$155,MATCH($B3999,Rosters!$B$2:$B$155,0)),"NA")</f>
        <v>NA</v>
      </c>
      <c r="L3999" t="str">
        <f t="shared" si="186"/>
        <v>NA13TE</v>
      </c>
      <c r="M3999">
        <f>COUNTIF(L$1:L3999,L3999)</f>
        <v>31</v>
      </c>
      <c r="N3999" t="str">
        <f t="shared" si="187"/>
        <v>NA13TE-31</v>
      </c>
      <c r="O3999">
        <f>COUNTIFS(F$1:F3999,F3999,A$1:A3999,A3999)</f>
        <v>45</v>
      </c>
      <c r="P3999" t="str">
        <f t="shared" si="188"/>
        <v>Jordan Akins13</v>
      </c>
    </row>
    <row r="4000" spans="1:16" x14ac:dyDescent="0.25">
      <c r="A4000">
        <v>9</v>
      </c>
      <c r="B4000" t="s">
        <v>1106</v>
      </c>
      <c r="C4000">
        <f>-0.07-4.65</f>
        <v>-4.7200000000000006</v>
      </c>
      <c r="D4000">
        <v>2.29</v>
      </c>
      <c r="E4000" t="s">
        <v>19</v>
      </c>
      <c r="F4000" t="s">
        <v>114</v>
      </c>
      <c r="G4000">
        <v>4.6500000000000004</v>
      </c>
      <c r="H4000">
        <v>-7.0000000000000007E-2</v>
      </c>
      <c r="I4000">
        <v>2.36</v>
      </c>
      <c r="J4000">
        <v>5.5696000000000003</v>
      </c>
      <c r="K4000" t="str">
        <f>IFERROR(INDEX(Rosters!$C$2:$C$155,MATCH($B4000,Rosters!$B$2:$B$155,0)),"NA")</f>
        <v>NA</v>
      </c>
      <c r="L4000" t="str">
        <f t="shared" si="186"/>
        <v>NA9TE</v>
      </c>
      <c r="M4000">
        <f>COUNTIF(L$1:L4000,L4000)</f>
        <v>23</v>
      </c>
      <c r="N4000" t="str">
        <f t="shared" si="187"/>
        <v>NA9TE-23</v>
      </c>
      <c r="O4000">
        <f>COUNTIFS(F$1:F4000,F4000,A$1:A4000,A4000)</f>
        <v>34</v>
      </c>
      <c r="P4000" t="str">
        <f t="shared" si="188"/>
        <v>Jordan Leggett9</v>
      </c>
    </row>
    <row r="4001" spans="1:16" x14ac:dyDescent="0.25">
      <c r="A4001">
        <v>9</v>
      </c>
      <c r="B4001" t="s">
        <v>287</v>
      </c>
      <c r="C4001">
        <f>-0.44-5.02</f>
        <v>-5.46</v>
      </c>
      <c r="D4001">
        <v>2.29</v>
      </c>
      <c r="E4001" t="s">
        <v>56</v>
      </c>
      <c r="F4001" t="s">
        <v>114</v>
      </c>
      <c r="G4001">
        <v>5.0199999999999996</v>
      </c>
      <c r="H4001">
        <v>-0.44</v>
      </c>
      <c r="I4001">
        <v>2.73</v>
      </c>
      <c r="J4001">
        <v>7.4528999999999996</v>
      </c>
      <c r="K4001" t="str">
        <f>IFERROR(INDEX(Rosters!$C$2:$C$155,MATCH($B4001,Rosters!$B$2:$B$155,0)),"NA")</f>
        <v>NA</v>
      </c>
      <c r="L4001" t="str">
        <f t="shared" si="186"/>
        <v>NA9TE</v>
      </c>
      <c r="M4001">
        <f>COUNTIF(L$1:L4001,L4001)</f>
        <v>24</v>
      </c>
      <c r="N4001" t="str">
        <f t="shared" si="187"/>
        <v>NA9TE-24</v>
      </c>
      <c r="O4001">
        <f>COUNTIFS(F$1:F4001,F4001,A$1:A4001,A4001)</f>
        <v>35</v>
      </c>
      <c r="P4001" t="str">
        <f t="shared" si="188"/>
        <v>Josh Hill9</v>
      </c>
    </row>
    <row r="4002" spans="1:16" x14ac:dyDescent="0.25">
      <c r="A4002">
        <v>6</v>
      </c>
      <c r="B4002" t="s">
        <v>244</v>
      </c>
      <c r="C4002" t="s">
        <v>8416</v>
      </c>
      <c r="D4002">
        <v>2.29</v>
      </c>
      <c r="E4002" t="s">
        <v>42</v>
      </c>
      <c r="F4002" t="s">
        <v>114</v>
      </c>
      <c r="G4002">
        <v>4.46</v>
      </c>
      <c r="H4002">
        <v>0.12</v>
      </c>
      <c r="I4002">
        <v>2.17</v>
      </c>
      <c r="J4002">
        <v>4.7088999999999999</v>
      </c>
      <c r="K4002" t="str">
        <f>IFERROR(INDEX(Rosters!$C$2:$C$155,MATCH($B4002,Rosters!$B$2:$B$155,0)),"NA")</f>
        <v>NA</v>
      </c>
      <c r="L4002" t="str">
        <f t="shared" si="186"/>
        <v>NA6TE</v>
      </c>
      <c r="M4002">
        <f>COUNTIF(L$1:L4002,L4002)</f>
        <v>27</v>
      </c>
      <c r="N4002" t="str">
        <f t="shared" si="187"/>
        <v>NA6TE-27</v>
      </c>
      <c r="O4002">
        <f>COUNTIFS(F$1:F4002,F4002,A$1:A4002,A4002)</f>
        <v>39</v>
      </c>
      <c r="P4002" t="str">
        <f t="shared" si="188"/>
        <v>Tyler Higbee6</v>
      </c>
    </row>
    <row r="4003" spans="1:16" x14ac:dyDescent="0.25">
      <c r="A4003">
        <v>2</v>
      </c>
      <c r="B4003" t="s">
        <v>265</v>
      </c>
      <c r="C4003" t="s">
        <v>1486</v>
      </c>
      <c r="D4003">
        <v>2.29</v>
      </c>
      <c r="E4003" t="s">
        <v>66</v>
      </c>
      <c r="F4003" t="s">
        <v>114</v>
      </c>
      <c r="G4003">
        <v>4.26</v>
      </c>
      <c r="H4003">
        <v>0.32</v>
      </c>
      <c r="I4003">
        <v>1.97</v>
      </c>
      <c r="J4003">
        <v>3.8809</v>
      </c>
      <c r="K4003" t="str">
        <f>IFERROR(INDEX(Rosters!$C$2:$C$155,MATCH($B4003,Rosters!$B$2:$B$155,0)),"NA")</f>
        <v>NA</v>
      </c>
      <c r="L4003" t="str">
        <f t="shared" si="186"/>
        <v>NA2TE</v>
      </c>
      <c r="M4003">
        <f>COUNTIF(L$1:L4003,L4003)</f>
        <v>24</v>
      </c>
      <c r="N4003" t="str">
        <f t="shared" si="187"/>
        <v>NA2TE-24</v>
      </c>
      <c r="O4003">
        <f>COUNTIFS(F$1:F4003,F4003,A$1:A4003,A4003)</f>
        <v>37</v>
      </c>
      <c r="P4003" t="str">
        <f t="shared" si="188"/>
        <v>Vernon Davis2</v>
      </c>
    </row>
    <row r="4004" spans="1:16" x14ac:dyDescent="0.25">
      <c r="A4004">
        <v>2</v>
      </c>
      <c r="B4004" t="s">
        <v>1036</v>
      </c>
      <c r="C4004" t="s">
        <v>1487</v>
      </c>
      <c r="D4004">
        <v>2.2799999999999998</v>
      </c>
      <c r="E4004" t="s">
        <v>54</v>
      </c>
      <c r="F4004" t="s">
        <v>87</v>
      </c>
      <c r="G4004">
        <v>4.29</v>
      </c>
      <c r="H4004">
        <v>0.27</v>
      </c>
      <c r="I4004">
        <v>2.0099999999999998</v>
      </c>
      <c r="J4004">
        <v>4.0400999999999998</v>
      </c>
      <c r="K4004" t="str">
        <f>IFERROR(INDEX(Rosters!$C$2:$C$155,MATCH($B4004,Rosters!$B$2:$B$155,0)),"NA")</f>
        <v>NA</v>
      </c>
      <c r="L4004" t="str">
        <f t="shared" si="186"/>
        <v>NA2WR</v>
      </c>
      <c r="M4004">
        <f>COUNTIF(L$1:L4004,L4004)</f>
        <v>47</v>
      </c>
      <c r="N4004" t="str">
        <f t="shared" si="187"/>
        <v>NA2WR-47</v>
      </c>
      <c r="O4004">
        <f>COUNTIFS(F$1:F4004,F4004,A$1:A4004,A4004)</f>
        <v>95</v>
      </c>
      <c r="P4004" t="str">
        <f t="shared" si="188"/>
        <v>Deonte Thompson2</v>
      </c>
    </row>
    <row r="4005" spans="1:16" x14ac:dyDescent="0.25">
      <c r="A4005">
        <v>4</v>
      </c>
      <c r="B4005" t="s">
        <v>231</v>
      </c>
      <c r="C4005" t="s">
        <v>4629</v>
      </c>
      <c r="D4005">
        <v>2.2799999999999998</v>
      </c>
      <c r="E4005" t="s">
        <v>28</v>
      </c>
      <c r="F4005" t="s">
        <v>114</v>
      </c>
      <c r="G4005">
        <v>4.43</v>
      </c>
      <c r="H4005">
        <v>0.13</v>
      </c>
      <c r="I4005">
        <v>2.15</v>
      </c>
      <c r="J4005">
        <v>4.6224999999999996</v>
      </c>
      <c r="K4005" t="str">
        <f>IFERROR(INDEX(Rosters!$C$2:$C$155,MATCH($B4005,Rosters!$B$2:$B$155,0)),"NA")</f>
        <v>NA</v>
      </c>
      <c r="L4005" t="str">
        <f t="shared" si="186"/>
        <v>NA4TE</v>
      </c>
      <c r="M4005">
        <f>COUNTIF(L$1:L4005,L4005)</f>
        <v>24</v>
      </c>
      <c r="N4005" t="str">
        <f t="shared" si="187"/>
        <v>NA4TE-24</v>
      </c>
      <c r="O4005">
        <f>COUNTIFS(F$1:F4005,F4005,A$1:A4005,A4005)</f>
        <v>35</v>
      </c>
      <c r="P4005" t="str">
        <f t="shared" si="188"/>
        <v>Jermaine Gresham4</v>
      </c>
    </row>
    <row r="4006" spans="1:16" x14ac:dyDescent="0.25">
      <c r="A4006">
        <v>17</v>
      </c>
      <c r="B4006" t="s">
        <v>386</v>
      </c>
      <c r="C4006" t="s">
        <v>8417</v>
      </c>
      <c r="D4006">
        <v>2.2799999999999998</v>
      </c>
      <c r="E4006" t="s">
        <v>52</v>
      </c>
      <c r="F4006" t="s">
        <v>114</v>
      </c>
      <c r="G4006">
        <v>4.1500000000000004</v>
      </c>
      <c r="H4006">
        <v>0.41</v>
      </c>
      <c r="I4006">
        <v>1.87</v>
      </c>
      <c r="J4006">
        <v>3.4969000000000001</v>
      </c>
      <c r="K4006" t="str">
        <f>IFERROR(INDEX(Rosters!$C$2:$C$155,MATCH($B4006,Rosters!$B$2:$B$155,0)),"NA")</f>
        <v>NA</v>
      </c>
      <c r="L4006" t="str">
        <f t="shared" si="186"/>
        <v>NA17TE</v>
      </c>
      <c r="M4006">
        <f>COUNTIF(L$1:L4006,L4006)</f>
        <v>28</v>
      </c>
      <c r="N4006" t="str">
        <f t="shared" si="187"/>
        <v>NA17TE-28</v>
      </c>
      <c r="O4006">
        <f>COUNTIFS(F$1:F4006,F4006,A$1:A4006,A4006)</f>
        <v>42</v>
      </c>
      <c r="P4006" t="str">
        <f t="shared" si="188"/>
        <v>Nick Boyle17</v>
      </c>
    </row>
    <row r="4007" spans="1:16" x14ac:dyDescent="0.25">
      <c r="A4007">
        <v>13</v>
      </c>
      <c r="B4007" t="s">
        <v>244</v>
      </c>
      <c r="C4007" t="s">
        <v>4630</v>
      </c>
      <c r="D4007">
        <v>2.2799999999999998</v>
      </c>
      <c r="E4007" t="s">
        <v>34</v>
      </c>
      <c r="F4007" t="s">
        <v>114</v>
      </c>
      <c r="G4007">
        <v>4.49</v>
      </c>
      <c r="H4007">
        <v>7.0000000000000007E-2</v>
      </c>
      <c r="I4007">
        <v>2.21</v>
      </c>
      <c r="J4007">
        <v>4.8841000000000001</v>
      </c>
      <c r="K4007" t="str">
        <f>IFERROR(INDEX(Rosters!$C$2:$C$155,MATCH($B4007,Rosters!$B$2:$B$155,0)),"NA")</f>
        <v>NA</v>
      </c>
      <c r="L4007" t="str">
        <f t="shared" si="186"/>
        <v>NA13TE</v>
      </c>
      <c r="M4007">
        <f>COUNTIF(L$1:L4007,L4007)</f>
        <v>32</v>
      </c>
      <c r="N4007" t="str">
        <f t="shared" si="187"/>
        <v>NA13TE-32</v>
      </c>
      <c r="O4007">
        <f>COUNTIFS(F$1:F4007,F4007,A$1:A4007,A4007)</f>
        <v>46</v>
      </c>
      <c r="P4007" t="str">
        <f t="shared" si="188"/>
        <v>Tyler Higbee13</v>
      </c>
    </row>
    <row r="4008" spans="1:16" x14ac:dyDescent="0.25">
      <c r="A4008">
        <v>12</v>
      </c>
      <c r="B4008" t="s">
        <v>250</v>
      </c>
      <c r="C4008" t="s">
        <v>8418</v>
      </c>
      <c r="D4008">
        <v>2.2799999999999998</v>
      </c>
      <c r="E4008" t="s">
        <v>54</v>
      </c>
      <c r="F4008" t="s">
        <v>47</v>
      </c>
      <c r="G4008">
        <v>4.41</v>
      </c>
      <c r="H4008">
        <v>0.15</v>
      </c>
      <c r="I4008">
        <v>2.13</v>
      </c>
      <c r="J4008">
        <v>4.5369000000000002</v>
      </c>
      <c r="K4008" t="str">
        <f>IFERROR(INDEX(Rosters!$C$2:$C$155,MATCH($B4008,Rosters!$B$2:$B$155,0)),"NA")</f>
        <v>NA</v>
      </c>
      <c r="L4008" t="str">
        <f t="shared" si="186"/>
        <v>NA12RB</v>
      </c>
      <c r="M4008">
        <f>COUNTIF(L$1:L4008,L4008)</f>
        <v>24</v>
      </c>
      <c r="N4008" t="str">
        <f t="shared" si="187"/>
        <v>NA12RB-24</v>
      </c>
      <c r="O4008">
        <f>COUNTIFS(F$1:F4008,F4008,A$1:A4008,A4008)</f>
        <v>69</v>
      </c>
      <c r="P4008" t="str">
        <f t="shared" si="188"/>
        <v>Wendell Smallwood12</v>
      </c>
    </row>
    <row r="4009" spans="1:16" x14ac:dyDescent="0.25">
      <c r="A4009">
        <v>10</v>
      </c>
      <c r="B4009" t="s">
        <v>277</v>
      </c>
      <c r="C4009" t="s">
        <v>8419</v>
      </c>
      <c r="D4009">
        <v>2.27</v>
      </c>
      <c r="E4009" t="s">
        <v>54</v>
      </c>
      <c r="F4009" t="s">
        <v>114</v>
      </c>
      <c r="G4009">
        <v>4.01</v>
      </c>
      <c r="H4009">
        <v>0.53</v>
      </c>
      <c r="I4009">
        <v>1.74</v>
      </c>
      <c r="J4009">
        <v>3.0276000000000001</v>
      </c>
      <c r="K4009" t="str">
        <f>IFERROR(INDEX(Rosters!$C$2:$C$155,MATCH($B4009,Rosters!$B$2:$B$155,0)),"NA")</f>
        <v>NA</v>
      </c>
      <c r="L4009" t="str">
        <f t="shared" si="186"/>
        <v>NA10TE</v>
      </c>
      <c r="M4009">
        <f>COUNTIF(L$1:L4009,L4009)</f>
        <v>30</v>
      </c>
      <c r="N4009" t="str">
        <f t="shared" si="187"/>
        <v>NA10TE-30</v>
      </c>
      <c r="O4009">
        <f>COUNTIFS(F$1:F4009,F4009,A$1:A4009,A4009)</f>
        <v>43</v>
      </c>
      <c r="P4009" t="str">
        <f t="shared" si="188"/>
        <v>Garrett Celek10</v>
      </c>
    </row>
    <row r="4010" spans="1:16" x14ac:dyDescent="0.25">
      <c r="A4010">
        <v>12</v>
      </c>
      <c r="B4010" t="s">
        <v>277</v>
      </c>
      <c r="C4010" t="s">
        <v>8420</v>
      </c>
      <c r="D4010">
        <v>2.27</v>
      </c>
      <c r="E4010" t="s">
        <v>17</v>
      </c>
      <c r="F4010" t="s">
        <v>114</v>
      </c>
      <c r="G4010">
        <v>4.3899999999999997</v>
      </c>
      <c r="H4010">
        <v>0.15</v>
      </c>
      <c r="I4010">
        <v>2.12</v>
      </c>
      <c r="J4010">
        <v>4.4943999999999997</v>
      </c>
      <c r="K4010" t="str">
        <f>IFERROR(INDEX(Rosters!$C$2:$C$155,MATCH($B4010,Rosters!$B$2:$B$155,0)),"NA")</f>
        <v>NA</v>
      </c>
      <c r="L4010" t="str">
        <f t="shared" si="186"/>
        <v>NA12TE</v>
      </c>
      <c r="M4010">
        <f>COUNTIF(L$1:L4010,L4010)</f>
        <v>30</v>
      </c>
      <c r="N4010" t="str">
        <f t="shared" si="187"/>
        <v>NA12TE-30</v>
      </c>
      <c r="O4010">
        <f>COUNTIFS(F$1:F4010,F4010,A$1:A4010,A4010)</f>
        <v>43</v>
      </c>
      <c r="P4010" t="str">
        <f t="shared" si="188"/>
        <v>Garrett Celek12</v>
      </c>
    </row>
    <row r="4011" spans="1:16" x14ac:dyDescent="0.25">
      <c r="A4011">
        <v>14</v>
      </c>
      <c r="B4011" t="s">
        <v>297</v>
      </c>
      <c r="C4011">
        <f>-0.09-4.63</f>
        <v>-4.72</v>
      </c>
      <c r="D4011">
        <v>2.27</v>
      </c>
      <c r="E4011" t="s">
        <v>74</v>
      </c>
      <c r="F4011" t="s">
        <v>114</v>
      </c>
      <c r="G4011">
        <v>4.63</v>
      </c>
      <c r="H4011">
        <v>-0.09</v>
      </c>
      <c r="I4011">
        <v>2.36</v>
      </c>
      <c r="J4011">
        <v>5.5696000000000003</v>
      </c>
      <c r="K4011" t="str">
        <f>IFERROR(INDEX(Rosters!$C$2:$C$155,MATCH($B4011,Rosters!$B$2:$B$155,0)),"NA")</f>
        <v>NA</v>
      </c>
      <c r="L4011" t="str">
        <f t="shared" si="186"/>
        <v>NA14TE</v>
      </c>
      <c r="M4011">
        <f>COUNTIF(L$1:L4011,L4011)</f>
        <v>33</v>
      </c>
      <c r="N4011" t="str">
        <f t="shared" si="187"/>
        <v>NA14TE-33</v>
      </c>
      <c r="O4011">
        <f>COUNTIFS(F$1:F4011,F4011,A$1:A4011,A4011)</f>
        <v>47</v>
      </c>
      <c r="P4011" t="str">
        <f t="shared" si="188"/>
        <v>Seth DeValve14</v>
      </c>
    </row>
    <row r="4012" spans="1:16" x14ac:dyDescent="0.25">
      <c r="A4012">
        <v>14</v>
      </c>
      <c r="B4012" t="s">
        <v>4232</v>
      </c>
      <c r="C4012" t="s">
        <v>8421</v>
      </c>
      <c r="D4012">
        <v>2.27</v>
      </c>
      <c r="E4012" t="s">
        <v>14</v>
      </c>
      <c r="F4012" t="s">
        <v>47</v>
      </c>
      <c r="G4012">
        <v>4.22</v>
      </c>
      <c r="H4012">
        <v>0.32</v>
      </c>
      <c r="I4012">
        <v>1.95</v>
      </c>
      <c r="J4012">
        <v>3.8025000000000002</v>
      </c>
      <c r="K4012" t="str">
        <f>IFERROR(INDEX(Rosters!$C$2:$C$155,MATCH($B4012,Rosters!$B$2:$B$155,0)),"NA")</f>
        <v>NA</v>
      </c>
      <c r="L4012" t="str">
        <f t="shared" si="186"/>
        <v>NA14RB</v>
      </c>
      <c r="M4012">
        <f>COUNTIF(L$1:L4012,L4012)</f>
        <v>25</v>
      </c>
      <c r="N4012" t="str">
        <f t="shared" si="187"/>
        <v>NA14RB-25</v>
      </c>
      <c r="O4012">
        <f>COUNTIFS(F$1:F4012,F4012,A$1:A4012,A4012)</f>
        <v>72</v>
      </c>
      <c r="P4012" t="str">
        <f t="shared" si="188"/>
        <v>Shaun Wilson14</v>
      </c>
    </row>
    <row r="4013" spans="1:16" x14ac:dyDescent="0.25">
      <c r="A4013">
        <v>10</v>
      </c>
      <c r="B4013" t="s">
        <v>1646</v>
      </c>
      <c r="C4013" t="s">
        <v>8422</v>
      </c>
      <c r="D4013">
        <v>2.27</v>
      </c>
      <c r="E4013" t="s">
        <v>31</v>
      </c>
      <c r="F4013" t="s">
        <v>15</v>
      </c>
      <c r="G4013">
        <v>2.88</v>
      </c>
      <c r="H4013">
        <v>1.66</v>
      </c>
      <c r="I4013">
        <v>0.61</v>
      </c>
      <c r="J4013">
        <v>0.37209999999999999</v>
      </c>
      <c r="K4013" t="str">
        <f>IFERROR(INDEX(Rosters!$C$2:$C$155,MATCH($B4013,Rosters!$B$2:$B$155,0)),"NA")</f>
        <v>NA</v>
      </c>
      <c r="L4013" t="str">
        <f t="shared" si="186"/>
        <v>NA10QB</v>
      </c>
      <c r="M4013">
        <f>COUNTIF(L$1:L4013,L4013)</f>
        <v>13</v>
      </c>
      <c r="N4013" t="str">
        <f t="shared" si="187"/>
        <v>NA10QB-13</v>
      </c>
      <c r="O4013">
        <f>COUNTIFS(F$1:F4013,F4013,A$1:A4013,A4013)</f>
        <v>29</v>
      </c>
      <c r="P4013" t="str">
        <f t="shared" si="188"/>
        <v>Taysom Hill10</v>
      </c>
    </row>
    <row r="4014" spans="1:16" x14ac:dyDescent="0.25">
      <c r="A4014">
        <v>7</v>
      </c>
      <c r="B4014" t="s">
        <v>249</v>
      </c>
      <c r="C4014" t="s">
        <v>8423</v>
      </c>
      <c r="D4014">
        <v>2.27</v>
      </c>
      <c r="E4014" t="s">
        <v>38</v>
      </c>
      <c r="F4014" t="s">
        <v>87</v>
      </c>
      <c r="G4014">
        <v>4.5199999999999996</v>
      </c>
      <c r="H4014">
        <v>0.02</v>
      </c>
      <c r="I4014">
        <v>2.25</v>
      </c>
      <c r="J4014">
        <v>5.0625</v>
      </c>
      <c r="K4014" t="str">
        <f>IFERROR(INDEX(Rosters!$C$2:$C$155,MATCH($B4014,Rosters!$B$2:$B$155,0)),"NA")</f>
        <v>NA</v>
      </c>
      <c r="L4014" t="str">
        <f t="shared" si="186"/>
        <v>NA7WR</v>
      </c>
      <c r="M4014">
        <f>COUNTIF(L$1:L4014,L4014)</f>
        <v>46</v>
      </c>
      <c r="N4014" t="str">
        <f t="shared" si="187"/>
        <v>NA7WR-46</v>
      </c>
      <c r="O4014">
        <f>COUNTIFS(F$1:F4014,F4014,A$1:A4014,A4014)</f>
        <v>91</v>
      </c>
      <c r="P4014" t="str">
        <f t="shared" si="188"/>
        <v>Travis Benjamin7</v>
      </c>
    </row>
    <row r="4015" spans="1:16" x14ac:dyDescent="0.25">
      <c r="A4015">
        <v>10</v>
      </c>
      <c r="B4015" t="s">
        <v>4204</v>
      </c>
      <c r="C4015" t="s">
        <v>8424</v>
      </c>
      <c r="D4015">
        <v>2.2599999999999998</v>
      </c>
      <c r="E4015" t="s">
        <v>54</v>
      </c>
      <c r="F4015" t="s">
        <v>87</v>
      </c>
      <c r="G4015">
        <v>4.4800000000000004</v>
      </c>
      <c r="H4015">
        <v>0.04</v>
      </c>
      <c r="I4015">
        <v>2.2200000000000002</v>
      </c>
      <c r="J4015">
        <v>4.9283999999999999</v>
      </c>
      <c r="K4015" t="str">
        <f>IFERROR(INDEX(Rosters!$C$2:$C$155,MATCH($B4015,Rosters!$B$2:$B$155,0)),"NA")</f>
        <v>NA</v>
      </c>
      <c r="L4015" t="str">
        <f t="shared" si="186"/>
        <v>NA10WR</v>
      </c>
      <c r="M4015">
        <f>COUNTIF(L$1:L4015,L4015)</f>
        <v>52</v>
      </c>
      <c r="N4015" t="str">
        <f t="shared" si="187"/>
        <v>NA10WR-52</v>
      </c>
      <c r="O4015">
        <f>COUNTIFS(F$1:F4015,F4015,A$1:A4015,A4015)</f>
        <v>97</v>
      </c>
      <c r="P4015" t="str">
        <f t="shared" si="188"/>
        <v>Dante Pettis10</v>
      </c>
    </row>
    <row r="4016" spans="1:16" x14ac:dyDescent="0.25">
      <c r="A4016">
        <v>8</v>
      </c>
      <c r="B4016" t="s">
        <v>338</v>
      </c>
      <c r="C4016" t="s">
        <v>8425</v>
      </c>
      <c r="D4016">
        <v>2.2599999999999998</v>
      </c>
      <c r="E4016" t="s">
        <v>34</v>
      </c>
      <c r="F4016" t="s">
        <v>87</v>
      </c>
      <c r="G4016">
        <v>4.13</v>
      </c>
      <c r="H4016">
        <v>0.39</v>
      </c>
      <c r="I4016">
        <v>1.87</v>
      </c>
      <c r="J4016">
        <v>3.4969000000000001</v>
      </c>
      <c r="K4016" t="str">
        <f>IFERROR(INDEX(Rosters!$C$2:$C$155,MATCH($B4016,Rosters!$B$2:$B$155,0)),"NA")</f>
        <v>NA</v>
      </c>
      <c r="L4016" t="str">
        <f t="shared" si="186"/>
        <v>NA8WR</v>
      </c>
      <c r="M4016">
        <f>COUNTIF(L$1:L4016,L4016)</f>
        <v>47</v>
      </c>
      <c r="N4016" t="str">
        <f t="shared" si="187"/>
        <v>NA8WR-47</v>
      </c>
      <c r="O4016">
        <f>COUNTIFS(F$1:F4016,F4016,A$1:A4016,A4016)</f>
        <v>96</v>
      </c>
      <c r="P4016" t="str">
        <f t="shared" si="188"/>
        <v>Jaron Brown8</v>
      </c>
    </row>
    <row r="4017" spans="1:16" x14ac:dyDescent="0.25">
      <c r="A4017">
        <v>13</v>
      </c>
      <c r="B4017" t="s">
        <v>1483</v>
      </c>
      <c r="C4017" t="s">
        <v>8426</v>
      </c>
      <c r="D4017">
        <v>2.2599999999999998</v>
      </c>
      <c r="E4017" t="s">
        <v>46</v>
      </c>
      <c r="F4017" t="s">
        <v>15</v>
      </c>
      <c r="G4017">
        <v>2.81</v>
      </c>
      <c r="H4017">
        <v>1.71</v>
      </c>
      <c r="I4017">
        <v>0.55000000000000004</v>
      </c>
      <c r="J4017">
        <v>0.30249999999999999</v>
      </c>
      <c r="K4017" t="str">
        <f>IFERROR(INDEX(Rosters!$C$2:$C$155,MATCH($B4017,Rosters!$B$2:$B$155,0)),"NA")</f>
        <v>NA</v>
      </c>
      <c r="L4017" t="str">
        <f t="shared" si="186"/>
        <v>NA13QB</v>
      </c>
      <c r="M4017">
        <f>COUNTIF(L$1:L4017,L4017)</f>
        <v>16</v>
      </c>
      <c r="N4017" t="str">
        <f t="shared" si="187"/>
        <v>NA13QB-16</v>
      </c>
      <c r="O4017">
        <f>COUNTIFS(F$1:F4017,F4017,A$1:A4017,A4017)</f>
        <v>33</v>
      </c>
      <c r="P4017" t="str">
        <f t="shared" si="188"/>
        <v>Lamar Jackson13</v>
      </c>
    </row>
    <row r="4018" spans="1:16" x14ac:dyDescent="0.25">
      <c r="A4018">
        <v>4</v>
      </c>
      <c r="B4018" t="s">
        <v>1423</v>
      </c>
      <c r="C4018">
        <f>-0.75-5.27</f>
        <v>-6.02</v>
      </c>
      <c r="D4018">
        <v>2.2599999999999998</v>
      </c>
      <c r="E4018" t="s">
        <v>423</v>
      </c>
      <c r="F4018" t="s">
        <v>114</v>
      </c>
      <c r="G4018">
        <v>5.27</v>
      </c>
      <c r="H4018">
        <v>-0.75</v>
      </c>
      <c r="I4018">
        <v>3.01</v>
      </c>
      <c r="J4018">
        <v>9.0601000000000003</v>
      </c>
      <c r="K4018" t="str">
        <f>IFERROR(INDEX(Rosters!$C$2:$C$155,MATCH($B4018,Rosters!$B$2:$B$155,0)),"NA")</f>
        <v>NA</v>
      </c>
      <c r="L4018" t="str">
        <f t="shared" si="186"/>
        <v>NA4TE</v>
      </c>
      <c r="M4018">
        <f>COUNTIF(L$1:L4018,L4018)</f>
        <v>25</v>
      </c>
      <c r="N4018" t="str">
        <f t="shared" si="187"/>
        <v>NA4TE-25</v>
      </c>
      <c r="O4018">
        <f>COUNTIFS(F$1:F4018,F4018,A$1:A4018,A4018)</f>
        <v>36</v>
      </c>
      <c r="P4018" t="str">
        <f t="shared" si="188"/>
        <v>Michael Gesicki4</v>
      </c>
    </row>
    <row r="4019" spans="1:16" x14ac:dyDescent="0.25">
      <c r="A4019">
        <v>12</v>
      </c>
      <c r="B4019" t="s">
        <v>362</v>
      </c>
      <c r="C4019">
        <f>-0.26-4.78</f>
        <v>-5.04</v>
      </c>
      <c r="D4019">
        <v>2.2599999999999998</v>
      </c>
      <c r="E4019" t="s">
        <v>74</v>
      </c>
      <c r="F4019" t="s">
        <v>114</v>
      </c>
      <c r="G4019">
        <v>4.78</v>
      </c>
      <c r="H4019">
        <v>-0.26</v>
      </c>
      <c r="I4019">
        <v>2.52</v>
      </c>
      <c r="J4019">
        <v>6.3503999999999996</v>
      </c>
      <c r="K4019" t="str">
        <f>IFERROR(INDEX(Rosters!$C$2:$C$155,MATCH($B4019,Rosters!$B$2:$B$155,0)),"NA")</f>
        <v>NA</v>
      </c>
      <c r="L4019" t="str">
        <f t="shared" si="186"/>
        <v>NA12TE</v>
      </c>
      <c r="M4019">
        <f>COUNTIF(L$1:L4019,L4019)</f>
        <v>31</v>
      </c>
      <c r="N4019" t="str">
        <f t="shared" si="187"/>
        <v>NA12TE-31</v>
      </c>
      <c r="O4019">
        <f>COUNTIFS(F$1:F4019,F4019,A$1:A4019,A4019)</f>
        <v>44</v>
      </c>
      <c r="P4019" t="str">
        <f t="shared" si="188"/>
        <v>Nick Vannett12</v>
      </c>
    </row>
    <row r="4020" spans="1:16" x14ac:dyDescent="0.25">
      <c r="A4020">
        <v>15</v>
      </c>
      <c r="B4020" t="s">
        <v>259</v>
      </c>
      <c r="C4020" t="s">
        <v>8424</v>
      </c>
      <c r="D4020">
        <v>2.2599999999999998</v>
      </c>
      <c r="E4020" t="s">
        <v>38</v>
      </c>
      <c r="F4020" t="s">
        <v>87</v>
      </c>
      <c r="G4020">
        <v>4.4800000000000004</v>
      </c>
      <c r="H4020">
        <v>0.04</v>
      </c>
      <c r="I4020">
        <v>2.2200000000000002</v>
      </c>
      <c r="J4020">
        <v>4.9283999999999999</v>
      </c>
      <c r="K4020" t="str">
        <f>IFERROR(INDEX(Rosters!$C$2:$C$155,MATCH($B4020,Rosters!$B$2:$B$155,0)),"NA")</f>
        <v>NA</v>
      </c>
      <c r="L4020" t="str">
        <f t="shared" si="186"/>
        <v>NA15WR</v>
      </c>
      <c r="M4020">
        <f>COUNTIF(L$1:L4020,L4020)</f>
        <v>57</v>
      </c>
      <c r="N4020" t="str">
        <f t="shared" si="187"/>
        <v>NA15WR-57</v>
      </c>
      <c r="O4020">
        <f>COUNTIFS(F$1:F4020,F4020,A$1:A4020,A4020)</f>
        <v>111</v>
      </c>
      <c r="P4020" t="str">
        <f t="shared" si="188"/>
        <v>Russell Shepard15</v>
      </c>
    </row>
    <row r="4021" spans="1:16" x14ac:dyDescent="0.25">
      <c r="A4021">
        <v>13</v>
      </c>
      <c r="B4021" t="s">
        <v>190</v>
      </c>
      <c r="C4021">
        <f>-0.34-4.86</f>
        <v>-5.2</v>
      </c>
      <c r="D4021">
        <v>2.2599999999999998</v>
      </c>
      <c r="E4021" t="s">
        <v>14</v>
      </c>
      <c r="F4021" t="s">
        <v>87</v>
      </c>
      <c r="G4021">
        <v>4.8600000000000003</v>
      </c>
      <c r="H4021">
        <v>-0.34</v>
      </c>
      <c r="I4021">
        <v>2.6</v>
      </c>
      <c r="J4021">
        <v>6.76</v>
      </c>
      <c r="K4021" t="str">
        <f>IFERROR(INDEX(Rosters!$C$2:$C$155,MATCH($B4021,Rosters!$B$2:$B$155,0)),"NA")</f>
        <v>NA</v>
      </c>
      <c r="L4021" t="str">
        <f t="shared" si="186"/>
        <v>NA13WR</v>
      </c>
      <c r="M4021">
        <f>COUNTIF(L$1:L4021,L4021)</f>
        <v>59</v>
      </c>
      <c r="N4021" t="str">
        <f t="shared" si="187"/>
        <v>NA13WR-59</v>
      </c>
      <c r="O4021">
        <f>COUNTIFS(F$1:F4021,F4021,A$1:A4021,A4021)</f>
        <v>113</v>
      </c>
      <c r="P4021" t="str">
        <f t="shared" si="188"/>
        <v>Tavon Austin13</v>
      </c>
    </row>
    <row r="4022" spans="1:16" x14ac:dyDescent="0.25">
      <c r="A4022">
        <v>17</v>
      </c>
      <c r="B4022" t="s">
        <v>286</v>
      </c>
      <c r="C4022">
        <f>-0.02-4.52</f>
        <v>-4.5399999999999991</v>
      </c>
      <c r="D4022">
        <v>2.25</v>
      </c>
      <c r="E4022" t="s">
        <v>29</v>
      </c>
      <c r="F4022" t="s">
        <v>114</v>
      </c>
      <c r="G4022">
        <v>4.5199999999999996</v>
      </c>
      <c r="H4022">
        <v>-0.02</v>
      </c>
      <c r="I4022">
        <v>2.27</v>
      </c>
      <c r="J4022">
        <v>5.1528999999999998</v>
      </c>
      <c r="K4022" t="str">
        <f>IFERROR(INDEX(Rosters!$C$2:$C$155,MATCH($B4022,Rosters!$B$2:$B$155,0)),"NA")</f>
        <v>NA</v>
      </c>
      <c r="L4022" t="str">
        <f t="shared" si="186"/>
        <v>NA17TE</v>
      </c>
      <c r="M4022">
        <f>COUNTIF(L$1:L4022,L4022)</f>
        <v>29</v>
      </c>
      <c r="N4022" t="str">
        <f t="shared" si="187"/>
        <v>NA17TE-29</v>
      </c>
      <c r="O4022">
        <f>COUNTIFS(F$1:F4022,F4022,A$1:A4022,A4022)</f>
        <v>43</v>
      </c>
      <c r="P4022" t="str">
        <f t="shared" si="188"/>
        <v>A.J. Derby17</v>
      </c>
    </row>
    <row r="4023" spans="1:16" x14ac:dyDescent="0.25">
      <c r="A4023">
        <v>6</v>
      </c>
      <c r="B4023" t="s">
        <v>373</v>
      </c>
      <c r="C4023">
        <f>-0.34-4.84</f>
        <v>-5.18</v>
      </c>
      <c r="D4023">
        <v>2.25</v>
      </c>
      <c r="E4023" t="s">
        <v>50</v>
      </c>
      <c r="F4023" t="s">
        <v>87</v>
      </c>
      <c r="G4023">
        <v>4.84</v>
      </c>
      <c r="H4023">
        <v>-0.34</v>
      </c>
      <c r="I4023">
        <v>2.59</v>
      </c>
      <c r="J4023">
        <v>6.7081</v>
      </c>
      <c r="K4023" t="str">
        <f>IFERROR(INDEX(Rosters!$C$2:$C$155,MATCH($B4023,Rosters!$B$2:$B$155,0)),"NA")</f>
        <v>NA</v>
      </c>
      <c r="L4023" t="str">
        <f t="shared" si="186"/>
        <v>NA6WR</v>
      </c>
      <c r="M4023">
        <f>COUNTIF(L$1:L4023,L4023)</f>
        <v>52</v>
      </c>
      <c r="N4023" t="str">
        <f t="shared" si="187"/>
        <v>NA6WR-52</v>
      </c>
      <c r="O4023">
        <f>COUNTIFS(F$1:F4023,F4023,A$1:A4023,A4023)</f>
        <v>102</v>
      </c>
      <c r="P4023" t="str">
        <f t="shared" si="188"/>
        <v>Cody Latimer6</v>
      </c>
    </row>
    <row r="4024" spans="1:16" x14ac:dyDescent="0.25">
      <c r="A4024">
        <v>10</v>
      </c>
      <c r="B4024" t="s">
        <v>316</v>
      </c>
      <c r="C4024" t="s">
        <v>8427</v>
      </c>
      <c r="D4024">
        <v>2.25</v>
      </c>
      <c r="E4024" t="s">
        <v>66</v>
      </c>
      <c r="F4024" t="s">
        <v>47</v>
      </c>
      <c r="G4024">
        <v>4.22</v>
      </c>
      <c r="H4024">
        <v>0.28000000000000003</v>
      </c>
      <c r="I4024">
        <v>1.97</v>
      </c>
      <c r="J4024">
        <v>3.8809</v>
      </c>
      <c r="K4024" t="str">
        <f>IFERROR(INDEX(Rosters!$C$2:$C$155,MATCH($B4024,Rosters!$B$2:$B$155,0)),"NA")</f>
        <v>NA</v>
      </c>
      <c r="L4024" t="str">
        <f t="shared" si="186"/>
        <v>NA10RB</v>
      </c>
      <c r="M4024">
        <f>COUNTIF(L$1:L4024,L4024)</f>
        <v>25</v>
      </c>
      <c r="N4024" t="str">
        <f t="shared" si="187"/>
        <v>NA10RB-25</v>
      </c>
      <c r="O4024">
        <f>COUNTIFS(F$1:F4024,F4024,A$1:A4024,A4024)</f>
        <v>64</v>
      </c>
      <c r="P4024" t="str">
        <f t="shared" si="188"/>
        <v>Corey Grant10</v>
      </c>
    </row>
    <row r="4025" spans="1:16" x14ac:dyDescent="0.25">
      <c r="A4025">
        <v>12</v>
      </c>
      <c r="B4025" t="s">
        <v>316</v>
      </c>
      <c r="C4025" t="s">
        <v>8428</v>
      </c>
      <c r="D4025">
        <v>2.25</v>
      </c>
      <c r="E4025" t="s">
        <v>29</v>
      </c>
      <c r="F4025" t="s">
        <v>47</v>
      </c>
      <c r="G4025">
        <v>4.43</v>
      </c>
      <c r="H4025">
        <v>7.0000000000000007E-2</v>
      </c>
      <c r="I4025">
        <v>2.1800000000000002</v>
      </c>
      <c r="J4025">
        <v>4.7523999999999997</v>
      </c>
      <c r="K4025" t="str">
        <f>IFERROR(INDEX(Rosters!$C$2:$C$155,MATCH($B4025,Rosters!$B$2:$B$155,0)),"NA")</f>
        <v>NA</v>
      </c>
      <c r="L4025" t="str">
        <f t="shared" si="186"/>
        <v>NA12RB</v>
      </c>
      <c r="M4025">
        <f>COUNTIF(L$1:L4025,L4025)</f>
        <v>25</v>
      </c>
      <c r="N4025" t="str">
        <f t="shared" si="187"/>
        <v>NA12RB-25</v>
      </c>
      <c r="O4025">
        <f>COUNTIFS(F$1:F4025,F4025,A$1:A4025,A4025)</f>
        <v>70</v>
      </c>
      <c r="P4025" t="str">
        <f t="shared" si="188"/>
        <v>Corey Grant12</v>
      </c>
    </row>
    <row r="4026" spans="1:16" x14ac:dyDescent="0.25">
      <c r="A4026">
        <v>4</v>
      </c>
      <c r="B4026" t="s">
        <v>275</v>
      </c>
      <c r="C4026" t="s">
        <v>4631</v>
      </c>
      <c r="D4026">
        <v>2.25</v>
      </c>
      <c r="E4026" t="s">
        <v>24</v>
      </c>
      <c r="F4026" t="s">
        <v>47</v>
      </c>
      <c r="G4026">
        <v>4.05</v>
      </c>
      <c r="H4026">
        <v>0.45</v>
      </c>
      <c r="I4026">
        <v>1.8</v>
      </c>
      <c r="J4026">
        <v>3.24</v>
      </c>
      <c r="K4026" t="str">
        <f>IFERROR(INDEX(Rosters!$C$2:$C$155,MATCH($B4026,Rosters!$B$2:$B$155,0)),"NA")</f>
        <v>NA</v>
      </c>
      <c r="L4026" t="str">
        <f t="shared" si="186"/>
        <v>NA4RB</v>
      </c>
      <c r="M4026">
        <f>COUNTIF(L$1:L4026,L4026)</f>
        <v>24</v>
      </c>
      <c r="N4026" t="str">
        <f t="shared" si="187"/>
        <v>NA4RB-24</v>
      </c>
      <c r="O4026">
        <f>COUNTIFS(F$1:F4026,F4026,A$1:A4026,A4026)</f>
        <v>63</v>
      </c>
      <c r="P4026" t="str">
        <f t="shared" si="188"/>
        <v>Devontae Booker4</v>
      </c>
    </row>
    <row r="4027" spans="1:16" x14ac:dyDescent="0.25">
      <c r="A4027">
        <v>12</v>
      </c>
      <c r="B4027" t="s">
        <v>320</v>
      </c>
      <c r="C4027" t="s">
        <v>8429</v>
      </c>
      <c r="D4027">
        <v>2.25</v>
      </c>
      <c r="E4027" t="s">
        <v>423</v>
      </c>
      <c r="F4027" t="s">
        <v>47</v>
      </c>
      <c r="G4027">
        <v>4.01</v>
      </c>
      <c r="H4027">
        <v>0.49</v>
      </c>
      <c r="I4027">
        <v>1.76</v>
      </c>
      <c r="J4027">
        <v>3.0975999999999999</v>
      </c>
      <c r="K4027" t="str">
        <f>IFERROR(INDEX(Rosters!$C$2:$C$155,MATCH($B4027,Rosters!$B$2:$B$155,0)),"NA")</f>
        <v>NA</v>
      </c>
      <c r="L4027" t="str">
        <f t="shared" si="186"/>
        <v>NA12RB</v>
      </c>
      <c r="M4027">
        <f>COUNTIF(L$1:L4027,L4027)</f>
        <v>26</v>
      </c>
      <c r="N4027" t="str">
        <f t="shared" si="187"/>
        <v>NA12RB-26</v>
      </c>
      <c r="O4027">
        <f>COUNTIFS(F$1:F4027,F4027,A$1:A4027,A4027)</f>
        <v>71</v>
      </c>
      <c r="P4027" t="str">
        <f t="shared" si="188"/>
        <v>Elijah McGuire12</v>
      </c>
    </row>
    <row r="4028" spans="1:16" x14ac:dyDescent="0.25">
      <c r="A4028">
        <v>3</v>
      </c>
      <c r="B4028" t="s">
        <v>1469</v>
      </c>
      <c r="C4028">
        <f>-0.39-4.89</f>
        <v>-5.2799999999999994</v>
      </c>
      <c r="D4028">
        <v>2.25</v>
      </c>
      <c r="E4028" t="s">
        <v>37</v>
      </c>
      <c r="F4028" t="s">
        <v>114</v>
      </c>
      <c r="G4028">
        <v>4.8899999999999997</v>
      </c>
      <c r="H4028">
        <v>-0.39</v>
      </c>
      <c r="I4028">
        <v>2.64</v>
      </c>
      <c r="J4028">
        <v>6.9695999999999998</v>
      </c>
      <c r="K4028" t="str">
        <f>IFERROR(INDEX(Rosters!$C$2:$C$155,MATCH($B4028,Rosters!$B$2:$B$155,0)),"NA")</f>
        <v>NA</v>
      </c>
      <c r="L4028" t="str">
        <f t="shared" si="186"/>
        <v>NA3TE</v>
      </c>
      <c r="M4028">
        <f>COUNTIF(L$1:L4028,L4028)</f>
        <v>25</v>
      </c>
      <c r="N4028" t="str">
        <f t="shared" si="187"/>
        <v>NA3TE-25</v>
      </c>
      <c r="O4028">
        <f>COUNTIFS(F$1:F4028,F4028,A$1:A4028,A4028)</f>
        <v>37</v>
      </c>
      <c r="P4028" t="str">
        <f t="shared" si="188"/>
        <v>Gerald Everett3</v>
      </c>
    </row>
    <row r="4029" spans="1:16" x14ac:dyDescent="0.25">
      <c r="A4029">
        <v>9</v>
      </c>
      <c r="B4029" t="s">
        <v>1423</v>
      </c>
      <c r="C4029">
        <f>-0.61-5.11</f>
        <v>-5.7200000000000006</v>
      </c>
      <c r="D4029">
        <v>2.25</v>
      </c>
      <c r="E4029" t="s">
        <v>73</v>
      </c>
      <c r="F4029" t="s">
        <v>114</v>
      </c>
      <c r="G4029">
        <v>5.1100000000000003</v>
      </c>
      <c r="H4029">
        <v>-0.61</v>
      </c>
      <c r="I4029">
        <v>2.86</v>
      </c>
      <c r="J4029">
        <v>8.1796000000000006</v>
      </c>
      <c r="K4029" t="str">
        <f>IFERROR(INDEX(Rosters!$C$2:$C$155,MATCH($B4029,Rosters!$B$2:$B$155,0)),"NA")</f>
        <v>NA</v>
      </c>
      <c r="L4029" t="str">
        <f t="shared" si="186"/>
        <v>NA9TE</v>
      </c>
      <c r="M4029">
        <f>COUNTIF(L$1:L4029,L4029)</f>
        <v>25</v>
      </c>
      <c r="N4029" t="str">
        <f t="shared" si="187"/>
        <v>NA9TE-25</v>
      </c>
      <c r="O4029">
        <f>COUNTIFS(F$1:F4029,F4029,A$1:A4029,A4029)</f>
        <v>36</v>
      </c>
      <c r="P4029" t="str">
        <f t="shared" si="188"/>
        <v>Michael Gesicki9</v>
      </c>
    </row>
    <row r="4030" spans="1:16" x14ac:dyDescent="0.25">
      <c r="A4030">
        <v>17</v>
      </c>
      <c r="B4030" t="s">
        <v>297</v>
      </c>
      <c r="C4030">
        <f>-0.38-4.88</f>
        <v>-5.26</v>
      </c>
      <c r="D4030">
        <v>2.25</v>
      </c>
      <c r="E4030" t="s">
        <v>77</v>
      </c>
      <c r="F4030" t="s">
        <v>114</v>
      </c>
      <c r="G4030">
        <v>4.88</v>
      </c>
      <c r="H4030">
        <v>-0.38</v>
      </c>
      <c r="I4030">
        <v>2.63</v>
      </c>
      <c r="J4030">
        <v>6.9169</v>
      </c>
      <c r="K4030" t="str">
        <f>IFERROR(INDEX(Rosters!$C$2:$C$155,MATCH($B4030,Rosters!$B$2:$B$155,0)),"NA")</f>
        <v>NA</v>
      </c>
      <c r="L4030" t="str">
        <f t="shared" si="186"/>
        <v>NA17TE</v>
      </c>
      <c r="M4030">
        <f>COUNTIF(L$1:L4030,L4030)</f>
        <v>30</v>
      </c>
      <c r="N4030" t="str">
        <f t="shared" si="187"/>
        <v>NA17TE-30</v>
      </c>
      <c r="O4030">
        <f>COUNTIFS(F$1:F4030,F4030,A$1:A4030,A4030)</f>
        <v>44</v>
      </c>
      <c r="P4030" t="str">
        <f t="shared" si="188"/>
        <v>Seth DeValve17</v>
      </c>
    </row>
    <row r="4031" spans="1:16" x14ac:dyDescent="0.25">
      <c r="A4031">
        <v>8</v>
      </c>
      <c r="B4031" t="s">
        <v>1646</v>
      </c>
      <c r="C4031" t="s">
        <v>8430</v>
      </c>
      <c r="D4031">
        <v>2.25</v>
      </c>
      <c r="E4031" t="s">
        <v>25</v>
      </c>
      <c r="F4031" t="s">
        <v>15</v>
      </c>
      <c r="G4031">
        <v>2.82</v>
      </c>
      <c r="H4031">
        <v>1.68</v>
      </c>
      <c r="I4031">
        <v>0.56999999999999995</v>
      </c>
      <c r="J4031">
        <v>0.32490000000000002</v>
      </c>
      <c r="K4031" t="str">
        <f>IFERROR(INDEX(Rosters!$C$2:$C$155,MATCH($B4031,Rosters!$B$2:$B$155,0)),"NA")</f>
        <v>NA</v>
      </c>
      <c r="L4031" t="str">
        <f t="shared" si="186"/>
        <v>NA8QB</v>
      </c>
      <c r="M4031">
        <f>COUNTIF(L$1:L4031,L4031)</f>
        <v>14</v>
      </c>
      <c r="N4031" t="str">
        <f t="shared" si="187"/>
        <v>NA8QB-14</v>
      </c>
      <c r="O4031">
        <f>COUNTIFS(F$1:F4031,F4031,A$1:A4031,A4031)</f>
        <v>29</v>
      </c>
      <c r="P4031" t="str">
        <f t="shared" si="188"/>
        <v>Taysom Hill8</v>
      </c>
    </row>
    <row r="4032" spans="1:16" x14ac:dyDescent="0.25">
      <c r="A4032">
        <v>15</v>
      </c>
      <c r="B4032" t="s">
        <v>4217</v>
      </c>
      <c r="C4032" t="s">
        <v>8431</v>
      </c>
      <c r="D4032">
        <v>2.25</v>
      </c>
      <c r="E4032" t="s">
        <v>74</v>
      </c>
      <c r="F4032" t="s">
        <v>87</v>
      </c>
      <c r="G4032">
        <v>4.41</v>
      </c>
      <c r="H4032">
        <v>0.09</v>
      </c>
      <c r="I4032">
        <v>2.16</v>
      </c>
      <c r="J4032">
        <v>4.6656000000000004</v>
      </c>
      <c r="K4032" t="str">
        <f>IFERROR(INDEX(Rosters!$C$2:$C$155,MATCH($B4032,Rosters!$B$2:$B$155,0)),"NA")</f>
        <v>NA</v>
      </c>
      <c r="L4032" t="str">
        <f t="shared" si="186"/>
        <v>NA15WR</v>
      </c>
      <c r="M4032">
        <f>COUNTIF(L$1:L4032,L4032)</f>
        <v>58</v>
      </c>
      <c r="N4032" t="str">
        <f t="shared" si="187"/>
        <v>NA15WR-58</v>
      </c>
      <c r="O4032">
        <f>COUNTIFS(F$1:F4032,F4032,A$1:A4032,A4032)</f>
        <v>112</v>
      </c>
      <c r="P4032" t="str">
        <f t="shared" si="188"/>
        <v>Tre'Quan Smith15</v>
      </c>
    </row>
    <row r="4033" spans="1:16" x14ac:dyDescent="0.25">
      <c r="A4033">
        <v>15</v>
      </c>
      <c r="B4033" t="s">
        <v>301</v>
      </c>
      <c r="C4033">
        <f>-0.06-4.54</f>
        <v>-4.5999999999999996</v>
      </c>
      <c r="D4033">
        <v>2.2400000000000002</v>
      </c>
      <c r="E4033" t="s">
        <v>32</v>
      </c>
      <c r="F4033" t="s">
        <v>114</v>
      </c>
      <c r="G4033">
        <v>4.54</v>
      </c>
      <c r="H4033">
        <v>-0.06</v>
      </c>
      <c r="I4033">
        <v>2.2999999999999998</v>
      </c>
      <c r="J4033">
        <v>5.29</v>
      </c>
      <c r="K4033" t="str">
        <f>IFERROR(INDEX(Rosters!$C$2:$C$155,MATCH($B4033,Rosters!$B$2:$B$155,0)),"NA")</f>
        <v>NA</v>
      </c>
      <c r="L4033" t="str">
        <f t="shared" si="186"/>
        <v>NA15TE</v>
      </c>
      <c r="M4033">
        <f>COUNTIF(L$1:L4033,L4033)</f>
        <v>25</v>
      </c>
      <c r="N4033" t="str">
        <f t="shared" si="187"/>
        <v>NA15TE-25</v>
      </c>
      <c r="O4033">
        <f>COUNTIFS(F$1:F4033,F4033,A$1:A4033,A4033)</f>
        <v>39</v>
      </c>
      <c r="P4033" t="str">
        <f t="shared" si="188"/>
        <v>C.J. Uzomah15</v>
      </c>
    </row>
    <row r="4034" spans="1:16" x14ac:dyDescent="0.25">
      <c r="A4034">
        <v>15</v>
      </c>
      <c r="B4034" t="s">
        <v>1586</v>
      </c>
      <c r="C4034" t="s">
        <v>4632</v>
      </c>
      <c r="D4034">
        <v>2.2400000000000002</v>
      </c>
      <c r="E4034" t="s">
        <v>36</v>
      </c>
      <c r="F4034" t="s">
        <v>114</v>
      </c>
      <c r="G4034">
        <v>4.18</v>
      </c>
      <c r="H4034">
        <v>0.3</v>
      </c>
      <c r="I4034">
        <v>1.94</v>
      </c>
      <c r="J4034">
        <v>3.7635999999999998</v>
      </c>
      <c r="K4034" t="str">
        <f>IFERROR(INDEX(Rosters!$C$2:$C$155,MATCH($B4034,Rosters!$B$2:$B$155,0)),"NA")</f>
        <v>NA</v>
      </c>
      <c r="L4034" t="str">
        <f t="shared" si="186"/>
        <v>NA15TE</v>
      </c>
      <c r="M4034">
        <f>COUNTIF(L$1:L4034,L4034)</f>
        <v>26</v>
      </c>
      <c r="N4034" t="str">
        <f t="shared" si="187"/>
        <v>NA15TE-26</v>
      </c>
      <c r="O4034">
        <f>COUNTIFS(F$1:F4034,F4034,A$1:A4034,A4034)</f>
        <v>40</v>
      </c>
      <c r="P4034" t="str">
        <f t="shared" si="188"/>
        <v>Eric Tomlinson15</v>
      </c>
    </row>
    <row r="4035" spans="1:16" x14ac:dyDescent="0.25">
      <c r="A4035">
        <v>10</v>
      </c>
      <c r="B4035" t="s">
        <v>231</v>
      </c>
      <c r="C4035" t="s">
        <v>4632</v>
      </c>
      <c r="D4035">
        <v>2.2400000000000002</v>
      </c>
      <c r="E4035" t="s">
        <v>24</v>
      </c>
      <c r="F4035" t="s">
        <v>114</v>
      </c>
      <c r="G4035">
        <v>4.18</v>
      </c>
      <c r="H4035">
        <v>0.3</v>
      </c>
      <c r="I4035">
        <v>1.94</v>
      </c>
      <c r="J4035">
        <v>3.7635999999999998</v>
      </c>
      <c r="K4035" t="str">
        <f>IFERROR(INDEX(Rosters!$C$2:$C$155,MATCH($B4035,Rosters!$B$2:$B$155,0)),"NA")</f>
        <v>NA</v>
      </c>
      <c r="L4035" t="str">
        <f t="shared" ref="L4035:L4098" si="189">K4035&amp;A4035&amp;F4035</f>
        <v>NA10TE</v>
      </c>
      <c r="M4035">
        <f>COUNTIF(L$1:L4035,L4035)</f>
        <v>31</v>
      </c>
      <c r="N4035" t="str">
        <f t="shared" ref="N4035:N4098" si="190">L4035&amp;"-"&amp;M4035</f>
        <v>NA10TE-31</v>
      </c>
      <c r="O4035">
        <f>COUNTIFS(F$1:F4035,F4035,A$1:A4035,A4035)</f>
        <v>44</v>
      </c>
      <c r="P4035" t="str">
        <f t="shared" ref="P4035:P4098" si="191">B4035&amp;A4035</f>
        <v>Jermaine Gresham10</v>
      </c>
    </row>
    <row r="4036" spans="1:16" x14ac:dyDescent="0.25">
      <c r="A4036">
        <v>3</v>
      </c>
      <c r="B4036" t="s">
        <v>1106</v>
      </c>
      <c r="C4036">
        <f>-0.59-5.07</f>
        <v>-5.66</v>
      </c>
      <c r="D4036">
        <v>2.2400000000000002</v>
      </c>
      <c r="E4036" t="s">
        <v>52</v>
      </c>
      <c r="F4036" t="s">
        <v>114</v>
      </c>
      <c r="G4036">
        <v>5.07</v>
      </c>
      <c r="H4036">
        <v>-0.59</v>
      </c>
      <c r="I4036">
        <v>2.83</v>
      </c>
      <c r="J4036">
        <v>8.0089000000000006</v>
      </c>
      <c r="K4036" t="str">
        <f>IFERROR(INDEX(Rosters!$C$2:$C$155,MATCH($B4036,Rosters!$B$2:$B$155,0)),"NA")</f>
        <v>NA</v>
      </c>
      <c r="L4036" t="str">
        <f t="shared" si="189"/>
        <v>NA3TE</v>
      </c>
      <c r="M4036">
        <f>COUNTIF(L$1:L4036,L4036)</f>
        <v>26</v>
      </c>
      <c r="N4036" t="str">
        <f t="shared" si="190"/>
        <v>NA3TE-26</v>
      </c>
      <c r="O4036">
        <f>COUNTIFS(F$1:F4036,F4036,A$1:A4036,A4036)</f>
        <v>38</v>
      </c>
      <c r="P4036" t="str">
        <f t="shared" si="191"/>
        <v>Jordan Leggett3</v>
      </c>
    </row>
    <row r="4037" spans="1:16" x14ac:dyDescent="0.25">
      <c r="A4037">
        <v>13</v>
      </c>
      <c r="B4037" t="s">
        <v>1106</v>
      </c>
      <c r="C4037" t="s">
        <v>4633</v>
      </c>
      <c r="D4037">
        <v>2.2400000000000002</v>
      </c>
      <c r="E4037" t="s">
        <v>38</v>
      </c>
      <c r="F4037" t="s">
        <v>114</v>
      </c>
      <c r="G4037">
        <v>4.42</v>
      </c>
      <c r="H4037">
        <v>0.06</v>
      </c>
      <c r="I4037">
        <v>2.1800000000000002</v>
      </c>
      <c r="J4037">
        <v>4.7523999999999997</v>
      </c>
      <c r="K4037" t="str">
        <f>IFERROR(INDEX(Rosters!$C$2:$C$155,MATCH($B4037,Rosters!$B$2:$B$155,0)),"NA")</f>
        <v>NA</v>
      </c>
      <c r="L4037" t="str">
        <f t="shared" si="189"/>
        <v>NA13TE</v>
      </c>
      <c r="M4037">
        <f>COUNTIF(L$1:L4037,L4037)</f>
        <v>33</v>
      </c>
      <c r="N4037" t="str">
        <f t="shared" si="190"/>
        <v>NA13TE-33</v>
      </c>
      <c r="O4037">
        <f>COUNTIFS(F$1:F4037,F4037,A$1:A4037,A4037)</f>
        <v>47</v>
      </c>
      <c r="P4037" t="str">
        <f t="shared" si="191"/>
        <v>Jordan Leggett13</v>
      </c>
    </row>
    <row r="4038" spans="1:16" x14ac:dyDescent="0.25">
      <c r="A4038">
        <v>9</v>
      </c>
      <c r="B4038" t="s">
        <v>315</v>
      </c>
      <c r="C4038" t="s">
        <v>4633</v>
      </c>
      <c r="D4038">
        <v>2.2400000000000002</v>
      </c>
      <c r="E4038" t="s">
        <v>22</v>
      </c>
      <c r="F4038" t="s">
        <v>114</v>
      </c>
      <c r="G4038">
        <v>4.42</v>
      </c>
      <c r="H4038">
        <v>0.06</v>
      </c>
      <c r="I4038">
        <v>2.1800000000000002</v>
      </c>
      <c r="J4038">
        <v>4.7523999999999997</v>
      </c>
      <c r="K4038" t="str">
        <f>IFERROR(INDEX(Rosters!$C$2:$C$155,MATCH($B4038,Rosters!$B$2:$B$155,0)),"NA")</f>
        <v>NA</v>
      </c>
      <c r="L4038" t="str">
        <f t="shared" si="189"/>
        <v>NA9TE</v>
      </c>
      <c r="M4038">
        <f>COUNTIF(L$1:L4038,L4038)</f>
        <v>26</v>
      </c>
      <c r="N4038" t="str">
        <f t="shared" si="190"/>
        <v>NA9TE-26</v>
      </c>
      <c r="O4038">
        <f>COUNTIFS(F$1:F4038,F4038,A$1:A4038,A4038)</f>
        <v>37</v>
      </c>
      <c r="P4038" t="str">
        <f t="shared" si="191"/>
        <v>Luke Stocker9</v>
      </c>
    </row>
    <row r="4039" spans="1:16" x14ac:dyDescent="0.25">
      <c r="A4039">
        <v>4</v>
      </c>
      <c r="B4039" t="s">
        <v>362</v>
      </c>
      <c r="C4039" t="s">
        <v>4632</v>
      </c>
      <c r="D4039">
        <v>2.2400000000000002</v>
      </c>
      <c r="E4039" t="s">
        <v>58</v>
      </c>
      <c r="F4039" t="s">
        <v>114</v>
      </c>
      <c r="G4039">
        <v>4.18</v>
      </c>
      <c r="H4039">
        <v>0.3</v>
      </c>
      <c r="I4039">
        <v>1.94</v>
      </c>
      <c r="J4039">
        <v>3.7635999999999998</v>
      </c>
      <c r="K4039" t="str">
        <f>IFERROR(INDEX(Rosters!$C$2:$C$155,MATCH($B4039,Rosters!$B$2:$B$155,0)),"NA")</f>
        <v>NA</v>
      </c>
      <c r="L4039" t="str">
        <f t="shared" si="189"/>
        <v>NA4TE</v>
      </c>
      <c r="M4039">
        <f>COUNTIF(L$1:L4039,L4039)</f>
        <v>26</v>
      </c>
      <c r="N4039" t="str">
        <f t="shared" si="190"/>
        <v>NA4TE-26</v>
      </c>
      <c r="O4039">
        <f>COUNTIFS(F$1:F4039,F4039,A$1:A4039,A4039)</f>
        <v>37</v>
      </c>
      <c r="P4039" t="str">
        <f t="shared" si="191"/>
        <v>Nick Vannett4</v>
      </c>
    </row>
    <row r="4040" spans="1:16" x14ac:dyDescent="0.25">
      <c r="A4040">
        <v>14</v>
      </c>
      <c r="B4040" t="s">
        <v>4217</v>
      </c>
      <c r="C4040" t="s">
        <v>8432</v>
      </c>
      <c r="D4040">
        <v>2.2400000000000002</v>
      </c>
      <c r="E4040" t="s">
        <v>17</v>
      </c>
      <c r="F4040" t="s">
        <v>87</v>
      </c>
      <c r="G4040">
        <v>4.24</v>
      </c>
      <c r="H4040">
        <v>0.24</v>
      </c>
      <c r="I4040">
        <v>2</v>
      </c>
      <c r="J4040">
        <v>4</v>
      </c>
      <c r="K4040" t="str">
        <f>IFERROR(INDEX(Rosters!$C$2:$C$155,MATCH($B4040,Rosters!$B$2:$B$155,0)),"NA")</f>
        <v>NA</v>
      </c>
      <c r="L4040" t="str">
        <f t="shared" si="189"/>
        <v>NA14WR</v>
      </c>
      <c r="M4040">
        <f>COUNTIF(L$1:L4040,L4040)</f>
        <v>58</v>
      </c>
      <c r="N4040" t="str">
        <f t="shared" si="190"/>
        <v>NA14WR-58</v>
      </c>
      <c r="O4040">
        <f>COUNTIFS(F$1:F4040,F4040,A$1:A4040,A4040)</f>
        <v>112</v>
      </c>
      <c r="P4040" t="str">
        <f t="shared" si="191"/>
        <v>Tre'Quan Smith14</v>
      </c>
    </row>
    <row r="4041" spans="1:16" x14ac:dyDescent="0.25">
      <c r="A4041">
        <v>6</v>
      </c>
      <c r="B4041" t="s">
        <v>265</v>
      </c>
      <c r="C4041" t="s">
        <v>4632</v>
      </c>
      <c r="D4041">
        <v>2.2400000000000002</v>
      </c>
      <c r="E4041" t="s">
        <v>74</v>
      </c>
      <c r="F4041" t="s">
        <v>114</v>
      </c>
      <c r="G4041">
        <v>4.18</v>
      </c>
      <c r="H4041">
        <v>0.3</v>
      </c>
      <c r="I4041">
        <v>1.94</v>
      </c>
      <c r="J4041">
        <v>3.7635999999999998</v>
      </c>
      <c r="K4041" t="str">
        <f>IFERROR(INDEX(Rosters!$C$2:$C$155,MATCH($B4041,Rosters!$B$2:$B$155,0)),"NA")</f>
        <v>NA</v>
      </c>
      <c r="L4041" t="str">
        <f t="shared" si="189"/>
        <v>NA6TE</v>
      </c>
      <c r="M4041">
        <f>COUNTIF(L$1:L4041,L4041)</f>
        <v>28</v>
      </c>
      <c r="N4041" t="str">
        <f t="shared" si="190"/>
        <v>NA6TE-28</v>
      </c>
      <c r="O4041">
        <f>COUNTIFS(F$1:F4041,F4041,A$1:A4041,A4041)</f>
        <v>40</v>
      </c>
      <c r="P4041" t="str">
        <f t="shared" si="191"/>
        <v>Vernon Davis6</v>
      </c>
    </row>
    <row r="4042" spans="1:16" x14ac:dyDescent="0.25">
      <c r="A4042">
        <v>1</v>
      </c>
      <c r="B4042" t="s">
        <v>1469</v>
      </c>
      <c r="C4042" t="s">
        <v>1491</v>
      </c>
      <c r="D4042">
        <v>2.23</v>
      </c>
      <c r="E4042" t="s">
        <v>32</v>
      </c>
      <c r="F4042" t="s">
        <v>114</v>
      </c>
      <c r="G4042">
        <v>4.45</v>
      </c>
      <c r="H4042">
        <v>0.01</v>
      </c>
      <c r="I4042">
        <v>2.2200000000000002</v>
      </c>
      <c r="J4042">
        <v>4.9283999999999999</v>
      </c>
      <c r="K4042" t="str">
        <f>IFERROR(INDEX(Rosters!$C$2:$C$155,MATCH($B4042,Rosters!$B$2:$B$155,0)),"NA")</f>
        <v>NA</v>
      </c>
      <c r="L4042" t="str">
        <f t="shared" si="189"/>
        <v>NA1TE</v>
      </c>
      <c r="M4042">
        <f>COUNTIF(L$1:L4042,L4042)</f>
        <v>18</v>
      </c>
      <c r="N4042" t="str">
        <f t="shared" si="190"/>
        <v>NA1TE-18</v>
      </c>
      <c r="O4042">
        <f>COUNTIFS(F$1:F4042,F4042,A$1:A4042,A4042)</f>
        <v>31</v>
      </c>
      <c r="P4042" t="str">
        <f t="shared" si="191"/>
        <v>Gerald Everett1</v>
      </c>
    </row>
    <row r="4043" spans="1:16" x14ac:dyDescent="0.25">
      <c r="A4043">
        <v>7</v>
      </c>
      <c r="B4043" t="s">
        <v>1457</v>
      </c>
      <c r="C4043" t="s">
        <v>4634</v>
      </c>
      <c r="D4043">
        <v>2.23</v>
      </c>
      <c r="E4043" t="s">
        <v>56</v>
      </c>
      <c r="F4043" t="s">
        <v>87</v>
      </c>
      <c r="G4043">
        <v>4.08</v>
      </c>
      <c r="H4043">
        <v>0.38</v>
      </c>
      <c r="I4043">
        <v>1.85</v>
      </c>
      <c r="J4043">
        <v>3.4224999999999999</v>
      </c>
      <c r="K4043" t="str">
        <f>IFERROR(INDEX(Rosters!$C$2:$C$155,MATCH($B4043,Rosters!$B$2:$B$155,0)),"NA")</f>
        <v>NA</v>
      </c>
      <c r="L4043" t="str">
        <f t="shared" si="189"/>
        <v>NA7WR</v>
      </c>
      <c r="M4043">
        <f>COUNTIF(L$1:L4043,L4043)</f>
        <v>47</v>
      </c>
      <c r="N4043" t="str">
        <f t="shared" si="190"/>
        <v>NA7WR-47</v>
      </c>
      <c r="O4043">
        <f>COUNTIFS(F$1:F4043,F4043,A$1:A4043,A4043)</f>
        <v>92</v>
      </c>
      <c r="P4043" t="str">
        <f t="shared" si="191"/>
        <v>Trent Taylor7</v>
      </c>
    </row>
    <row r="4044" spans="1:16" x14ac:dyDescent="0.25">
      <c r="A4044">
        <v>1</v>
      </c>
      <c r="B4044" t="s">
        <v>244</v>
      </c>
      <c r="C4044">
        <f>-0.41-4.87</f>
        <v>-5.28</v>
      </c>
      <c r="D4044">
        <v>2.23</v>
      </c>
      <c r="E4044" t="s">
        <v>32</v>
      </c>
      <c r="F4044" t="s">
        <v>114</v>
      </c>
      <c r="G4044">
        <v>4.87</v>
      </c>
      <c r="H4044">
        <v>-0.41</v>
      </c>
      <c r="I4044">
        <v>2.64</v>
      </c>
      <c r="J4044">
        <v>6.9695999999999998</v>
      </c>
      <c r="K4044" t="str">
        <f>IFERROR(INDEX(Rosters!$C$2:$C$155,MATCH($B4044,Rosters!$B$2:$B$155,0)),"NA")</f>
        <v>NA</v>
      </c>
      <c r="L4044" t="str">
        <f t="shared" si="189"/>
        <v>NA1TE</v>
      </c>
      <c r="M4044">
        <f>COUNTIF(L$1:L4044,L4044)</f>
        <v>19</v>
      </c>
      <c r="N4044" t="str">
        <f t="shared" si="190"/>
        <v>NA1TE-19</v>
      </c>
      <c r="O4044">
        <f>COUNTIFS(F$1:F4044,F4044,A$1:A4044,A4044)</f>
        <v>32</v>
      </c>
      <c r="P4044" t="str">
        <f t="shared" si="191"/>
        <v>Tyler Higbee1</v>
      </c>
    </row>
    <row r="4045" spans="1:16" x14ac:dyDescent="0.25">
      <c r="A4045">
        <v>17</v>
      </c>
      <c r="B4045" t="s">
        <v>312</v>
      </c>
      <c r="C4045" t="s">
        <v>8433</v>
      </c>
      <c r="D4045">
        <v>2.2200000000000002</v>
      </c>
      <c r="E4045" t="s">
        <v>77</v>
      </c>
      <c r="F4045" t="s">
        <v>114</v>
      </c>
      <c r="G4045">
        <v>3.88</v>
      </c>
      <c r="H4045">
        <v>0.56000000000000005</v>
      </c>
      <c r="I4045">
        <v>1.66</v>
      </c>
      <c r="J4045">
        <v>2.7555999999999998</v>
      </c>
      <c r="K4045" t="str">
        <f>IFERROR(INDEX(Rosters!$C$2:$C$155,MATCH($B4045,Rosters!$B$2:$B$155,0)),"NA")</f>
        <v>NA</v>
      </c>
      <c r="L4045" t="str">
        <f t="shared" si="189"/>
        <v>NA17TE</v>
      </c>
      <c r="M4045">
        <f>COUNTIF(L$1:L4045,L4045)</f>
        <v>31</v>
      </c>
      <c r="N4045" t="str">
        <f t="shared" si="190"/>
        <v>NA17TE-31</v>
      </c>
      <c r="O4045">
        <f>COUNTIFS(F$1:F4045,F4045,A$1:A4045,A4045)</f>
        <v>45</v>
      </c>
      <c r="P4045" t="str">
        <f t="shared" si="191"/>
        <v>Darren Fells17</v>
      </c>
    </row>
    <row r="4046" spans="1:16" x14ac:dyDescent="0.25">
      <c r="A4046">
        <v>8</v>
      </c>
      <c r="B4046" t="s">
        <v>1483</v>
      </c>
      <c r="C4046" t="s">
        <v>8434</v>
      </c>
      <c r="D4046">
        <v>2.2200000000000002</v>
      </c>
      <c r="E4046" t="s">
        <v>74</v>
      </c>
      <c r="F4046" t="s">
        <v>15</v>
      </c>
      <c r="G4046">
        <v>2.81</v>
      </c>
      <c r="H4046">
        <v>1.63</v>
      </c>
      <c r="I4046">
        <v>0.59</v>
      </c>
      <c r="J4046">
        <v>0.34810000000000002</v>
      </c>
      <c r="K4046" t="str">
        <f>IFERROR(INDEX(Rosters!$C$2:$C$155,MATCH($B4046,Rosters!$B$2:$B$155,0)),"NA")</f>
        <v>NA</v>
      </c>
      <c r="L4046" t="str">
        <f t="shared" si="189"/>
        <v>NA8QB</v>
      </c>
      <c r="M4046">
        <f>COUNTIF(L$1:L4046,L4046)</f>
        <v>15</v>
      </c>
      <c r="N4046" t="str">
        <f t="shared" si="190"/>
        <v>NA8QB-15</v>
      </c>
      <c r="O4046">
        <f>COUNTIFS(F$1:F4046,F4046,A$1:A4046,A4046)</f>
        <v>30</v>
      </c>
      <c r="P4046" t="str">
        <f t="shared" si="191"/>
        <v>Lamar Jackson8</v>
      </c>
    </row>
    <row r="4047" spans="1:16" x14ac:dyDescent="0.25">
      <c r="A4047">
        <v>12</v>
      </c>
      <c r="B4047" t="s">
        <v>1483</v>
      </c>
      <c r="C4047" t="s">
        <v>8435</v>
      </c>
      <c r="D4047">
        <v>2.2200000000000002</v>
      </c>
      <c r="E4047" t="s">
        <v>32</v>
      </c>
      <c r="F4047" t="s">
        <v>15</v>
      </c>
      <c r="G4047">
        <v>2.84</v>
      </c>
      <c r="H4047">
        <v>1.6</v>
      </c>
      <c r="I4047">
        <v>0.62</v>
      </c>
      <c r="J4047">
        <v>0.38440000000000002</v>
      </c>
      <c r="K4047" t="str">
        <f>IFERROR(INDEX(Rosters!$C$2:$C$155,MATCH($B4047,Rosters!$B$2:$B$155,0)),"NA")</f>
        <v>NA</v>
      </c>
      <c r="L4047" t="str">
        <f t="shared" si="189"/>
        <v>NA12QB</v>
      </c>
      <c r="M4047">
        <f>COUNTIF(L$1:L4047,L4047)</f>
        <v>17</v>
      </c>
      <c r="N4047" t="str">
        <f t="shared" si="190"/>
        <v>NA12QB-17</v>
      </c>
      <c r="O4047">
        <f>COUNTIFS(F$1:F4047,F4047,A$1:A4047,A4047)</f>
        <v>32</v>
      </c>
      <c r="P4047" t="str">
        <f t="shared" si="191"/>
        <v>Lamar Jackson12</v>
      </c>
    </row>
    <row r="4048" spans="1:16" x14ac:dyDescent="0.25">
      <c r="A4048">
        <v>14</v>
      </c>
      <c r="B4048" t="s">
        <v>282</v>
      </c>
      <c r="C4048" t="s">
        <v>8436</v>
      </c>
      <c r="D4048">
        <v>2.2200000000000002</v>
      </c>
      <c r="E4048" t="s">
        <v>72</v>
      </c>
      <c r="F4048" t="s">
        <v>47</v>
      </c>
      <c r="G4048">
        <v>4.26</v>
      </c>
      <c r="H4048">
        <v>0.18</v>
      </c>
      <c r="I4048">
        <v>2.04</v>
      </c>
      <c r="J4048">
        <v>4.1616</v>
      </c>
      <c r="K4048" t="str">
        <f>IFERROR(INDEX(Rosters!$C$2:$C$155,MATCH($B4048,Rosters!$B$2:$B$155,0)),"NA")</f>
        <v>NA</v>
      </c>
      <c r="L4048" t="str">
        <f t="shared" si="189"/>
        <v>NA14RB</v>
      </c>
      <c r="M4048">
        <f>COUNTIF(L$1:L4048,L4048)</f>
        <v>26</v>
      </c>
      <c r="N4048" t="str">
        <f t="shared" si="190"/>
        <v>NA14RB-26</v>
      </c>
      <c r="O4048">
        <f>COUNTIFS(F$1:F4048,F4048,A$1:A4048,A4048)</f>
        <v>73</v>
      </c>
      <c r="P4048" t="str">
        <f t="shared" si="191"/>
        <v>Malcolm Brown14</v>
      </c>
    </row>
    <row r="4049" spans="1:16" x14ac:dyDescent="0.25">
      <c r="A4049">
        <v>3</v>
      </c>
      <c r="B4049" t="s">
        <v>323</v>
      </c>
      <c r="C4049" t="s">
        <v>3790</v>
      </c>
      <c r="D4049">
        <v>2.2200000000000002</v>
      </c>
      <c r="E4049" t="s">
        <v>38</v>
      </c>
      <c r="F4049" t="s">
        <v>114</v>
      </c>
      <c r="G4049">
        <v>4.0999999999999996</v>
      </c>
      <c r="H4049">
        <v>0.34</v>
      </c>
      <c r="I4049">
        <v>1.88</v>
      </c>
      <c r="J4049">
        <v>3.5344000000000002</v>
      </c>
      <c r="K4049" t="str">
        <f>IFERROR(INDEX(Rosters!$C$2:$C$155,MATCH($B4049,Rosters!$B$2:$B$155,0)),"NA")</f>
        <v>NA</v>
      </c>
      <c r="L4049" t="str">
        <f t="shared" si="189"/>
        <v>NA3TE</v>
      </c>
      <c r="M4049">
        <f>COUNTIF(L$1:L4049,L4049)</f>
        <v>27</v>
      </c>
      <c r="N4049" t="str">
        <f t="shared" si="190"/>
        <v>NA3TE-27</v>
      </c>
      <c r="O4049">
        <f>COUNTIFS(F$1:F4049,F4049,A$1:A4049,A4049)</f>
        <v>39</v>
      </c>
      <c r="P4049" t="str">
        <f t="shared" si="191"/>
        <v>Niles Paul3</v>
      </c>
    </row>
    <row r="4050" spans="1:16" x14ac:dyDescent="0.25">
      <c r="A4050">
        <v>7</v>
      </c>
      <c r="B4050" t="s">
        <v>190</v>
      </c>
      <c r="C4050">
        <f>-0.46-4.9</f>
        <v>-5.36</v>
      </c>
      <c r="D4050">
        <v>2.2200000000000002</v>
      </c>
      <c r="E4050" t="s">
        <v>60</v>
      </c>
      <c r="F4050" t="s">
        <v>87</v>
      </c>
      <c r="G4050">
        <v>4.9000000000000004</v>
      </c>
      <c r="H4050">
        <v>-0.46</v>
      </c>
      <c r="I4050">
        <v>2.68</v>
      </c>
      <c r="J4050">
        <v>7.1824000000000003</v>
      </c>
      <c r="K4050" t="str">
        <f>IFERROR(INDEX(Rosters!$C$2:$C$155,MATCH($B4050,Rosters!$B$2:$B$155,0)),"NA")</f>
        <v>NA</v>
      </c>
      <c r="L4050" t="str">
        <f t="shared" si="189"/>
        <v>NA7WR</v>
      </c>
      <c r="M4050">
        <f>COUNTIF(L$1:L4050,L4050)</f>
        <v>48</v>
      </c>
      <c r="N4050" t="str">
        <f t="shared" si="190"/>
        <v>NA7WR-48</v>
      </c>
      <c r="O4050">
        <f>COUNTIFS(F$1:F4050,F4050,A$1:A4050,A4050)</f>
        <v>93</v>
      </c>
      <c r="P4050" t="str">
        <f t="shared" si="191"/>
        <v>Tavon Austin7</v>
      </c>
    </row>
    <row r="4051" spans="1:16" x14ac:dyDescent="0.25">
      <c r="A4051">
        <v>17</v>
      </c>
      <c r="B4051" t="s">
        <v>190</v>
      </c>
      <c r="C4051">
        <f>-0.1-4.54</f>
        <v>-4.6399999999999997</v>
      </c>
      <c r="D4051">
        <v>2.2200000000000002</v>
      </c>
      <c r="E4051" t="s">
        <v>54</v>
      </c>
      <c r="F4051" t="s">
        <v>87</v>
      </c>
      <c r="G4051">
        <v>4.54</v>
      </c>
      <c r="H4051">
        <v>-0.1</v>
      </c>
      <c r="I4051">
        <v>2.3199999999999998</v>
      </c>
      <c r="J4051">
        <v>5.3823999999999996</v>
      </c>
      <c r="K4051" t="str">
        <f>IFERROR(INDEX(Rosters!$C$2:$C$155,MATCH($B4051,Rosters!$B$2:$B$155,0)),"NA")</f>
        <v>NA</v>
      </c>
      <c r="L4051" t="str">
        <f t="shared" si="189"/>
        <v>NA17WR</v>
      </c>
      <c r="M4051">
        <f>COUNTIF(L$1:L4051,L4051)</f>
        <v>55</v>
      </c>
      <c r="N4051" t="str">
        <f t="shared" si="190"/>
        <v>NA17WR-55</v>
      </c>
      <c r="O4051">
        <f>COUNTIFS(F$1:F4051,F4051,A$1:A4051,A4051)</f>
        <v>109</v>
      </c>
      <c r="P4051" t="str">
        <f t="shared" si="191"/>
        <v>Tavon Austin17</v>
      </c>
    </row>
    <row r="4052" spans="1:16" x14ac:dyDescent="0.25">
      <c r="A4052">
        <v>11</v>
      </c>
      <c r="B4052" t="s">
        <v>249</v>
      </c>
      <c r="C4052" t="s">
        <v>8437</v>
      </c>
      <c r="D4052">
        <v>2.2200000000000002</v>
      </c>
      <c r="E4052" t="s">
        <v>42</v>
      </c>
      <c r="F4052" t="s">
        <v>87</v>
      </c>
      <c r="G4052">
        <v>4.16</v>
      </c>
      <c r="H4052">
        <v>0.28000000000000003</v>
      </c>
      <c r="I4052">
        <v>1.94</v>
      </c>
      <c r="J4052">
        <v>3.7635999999999998</v>
      </c>
      <c r="K4052" t="str">
        <f>IFERROR(INDEX(Rosters!$C$2:$C$155,MATCH($B4052,Rosters!$B$2:$B$155,0)),"NA")</f>
        <v>NA</v>
      </c>
      <c r="L4052" t="str">
        <f t="shared" si="189"/>
        <v>NA11WR</v>
      </c>
      <c r="M4052">
        <f>COUNTIF(L$1:L4052,L4052)</f>
        <v>40</v>
      </c>
      <c r="N4052" t="str">
        <f t="shared" si="190"/>
        <v>NA11WR-40</v>
      </c>
      <c r="O4052">
        <f>COUNTIFS(F$1:F4052,F4052,A$1:A4052,A4052)</f>
        <v>87</v>
      </c>
      <c r="P4052" t="str">
        <f t="shared" si="191"/>
        <v>Travis Benjamin11</v>
      </c>
    </row>
    <row r="4053" spans="1:16" x14ac:dyDescent="0.25">
      <c r="A4053">
        <v>6</v>
      </c>
      <c r="B4053" t="s">
        <v>2715</v>
      </c>
      <c r="C4053">
        <f>-0.52-4.94</f>
        <v>-5.4600000000000009</v>
      </c>
      <c r="D4053">
        <v>2.21</v>
      </c>
      <c r="E4053" t="s">
        <v>58</v>
      </c>
      <c r="F4053" t="s">
        <v>87</v>
      </c>
      <c r="G4053">
        <v>4.9400000000000004</v>
      </c>
      <c r="H4053">
        <v>-0.52</v>
      </c>
      <c r="I4053">
        <v>2.73</v>
      </c>
      <c r="J4053">
        <v>7.4528999999999996</v>
      </c>
      <c r="K4053" t="str">
        <f>IFERROR(INDEX(Rosters!$C$2:$C$155,MATCH($B4053,Rosters!$B$2:$B$155,0)),"NA")</f>
        <v>NA</v>
      </c>
      <c r="L4053" t="str">
        <f t="shared" si="189"/>
        <v>NA6WR</v>
      </c>
      <c r="M4053">
        <f>COUNTIF(L$1:L4053,L4053)</f>
        <v>53</v>
      </c>
      <c r="N4053" t="str">
        <f t="shared" si="190"/>
        <v>NA6WR-53</v>
      </c>
      <c r="O4053">
        <f>COUNTIFS(F$1:F4053,F4053,A$1:A4053,A4053)</f>
        <v>103</v>
      </c>
      <c r="P4053" t="str">
        <f t="shared" si="191"/>
        <v>Aldrick Robinson6</v>
      </c>
    </row>
    <row r="4054" spans="1:16" x14ac:dyDescent="0.25">
      <c r="A4054">
        <v>16</v>
      </c>
      <c r="B4054" t="s">
        <v>275</v>
      </c>
      <c r="C4054" t="s">
        <v>8438</v>
      </c>
      <c r="D4054">
        <v>2.21</v>
      </c>
      <c r="E4054" t="s">
        <v>32</v>
      </c>
      <c r="F4054" t="s">
        <v>47</v>
      </c>
      <c r="G4054">
        <v>4.0199999999999996</v>
      </c>
      <c r="H4054">
        <v>0.4</v>
      </c>
      <c r="I4054">
        <v>1.81</v>
      </c>
      <c r="J4054">
        <v>3.2761</v>
      </c>
      <c r="K4054" t="str">
        <f>IFERROR(INDEX(Rosters!$C$2:$C$155,MATCH($B4054,Rosters!$B$2:$B$155,0)),"NA")</f>
        <v>NA</v>
      </c>
      <c r="L4054" t="str">
        <f t="shared" si="189"/>
        <v>NA16RB</v>
      </c>
      <c r="M4054">
        <f>COUNTIF(L$1:L4054,L4054)</f>
        <v>25</v>
      </c>
      <c r="N4054" t="str">
        <f t="shared" si="190"/>
        <v>NA16RB-25</v>
      </c>
      <c r="O4054">
        <f>COUNTIFS(F$1:F4054,F4054,A$1:A4054,A4054)</f>
        <v>72</v>
      </c>
      <c r="P4054" t="str">
        <f t="shared" si="191"/>
        <v>Devontae Booker16</v>
      </c>
    </row>
    <row r="4055" spans="1:16" x14ac:dyDescent="0.25">
      <c r="A4055">
        <v>7</v>
      </c>
      <c r="B4055" t="s">
        <v>1586</v>
      </c>
      <c r="C4055">
        <f>-0.06-4.48</f>
        <v>-4.54</v>
      </c>
      <c r="D4055">
        <v>2.21</v>
      </c>
      <c r="E4055" t="s">
        <v>25</v>
      </c>
      <c r="F4055" t="s">
        <v>114</v>
      </c>
      <c r="G4055">
        <v>4.4800000000000004</v>
      </c>
      <c r="H4055">
        <v>-0.06</v>
      </c>
      <c r="I4055">
        <v>2.27</v>
      </c>
      <c r="J4055">
        <v>5.1528999999999998</v>
      </c>
      <c r="K4055" t="str">
        <f>IFERROR(INDEX(Rosters!$C$2:$C$155,MATCH($B4055,Rosters!$B$2:$B$155,0)),"NA")</f>
        <v>NA</v>
      </c>
      <c r="L4055" t="str">
        <f t="shared" si="189"/>
        <v>NA7TE</v>
      </c>
      <c r="M4055">
        <f>COUNTIF(L$1:L4055,L4055)</f>
        <v>27</v>
      </c>
      <c r="N4055" t="str">
        <f t="shared" si="190"/>
        <v>NA7TE-27</v>
      </c>
      <c r="O4055">
        <f>COUNTIFS(F$1:F4055,F4055,A$1:A4055,A4055)</f>
        <v>37</v>
      </c>
      <c r="P4055" t="str">
        <f t="shared" si="191"/>
        <v>Eric Tomlinson7</v>
      </c>
    </row>
    <row r="4056" spans="1:16" x14ac:dyDescent="0.25">
      <c r="A4056">
        <v>17</v>
      </c>
      <c r="B4056" t="s">
        <v>4225</v>
      </c>
      <c r="C4056" t="s">
        <v>8439</v>
      </c>
      <c r="D4056">
        <v>2.21</v>
      </c>
      <c r="E4056" t="s">
        <v>76</v>
      </c>
      <c r="F4056" t="s">
        <v>114</v>
      </c>
      <c r="G4056">
        <v>4.26</v>
      </c>
      <c r="H4056">
        <v>0.16</v>
      </c>
      <c r="I4056">
        <v>2.0499999999999998</v>
      </c>
      <c r="J4056">
        <v>4.2024999999999997</v>
      </c>
      <c r="K4056" t="str">
        <f>IFERROR(INDEX(Rosters!$C$2:$C$155,MATCH($B4056,Rosters!$B$2:$B$155,0)),"NA")</f>
        <v>NA</v>
      </c>
      <c r="L4056" t="str">
        <f t="shared" si="189"/>
        <v>NA17TE</v>
      </c>
      <c r="M4056">
        <f>COUNTIF(L$1:L4056,L4056)</f>
        <v>32</v>
      </c>
      <c r="N4056" t="str">
        <f t="shared" si="190"/>
        <v>NA17TE-32</v>
      </c>
      <c r="O4056">
        <f>COUNTIFS(F$1:F4056,F4056,A$1:A4056,A4056)</f>
        <v>46</v>
      </c>
      <c r="P4056" t="str">
        <f t="shared" si="191"/>
        <v>Jordan Akins17</v>
      </c>
    </row>
    <row r="4057" spans="1:16" x14ac:dyDescent="0.25">
      <c r="A4057">
        <v>5</v>
      </c>
      <c r="B4057" t="s">
        <v>1483</v>
      </c>
      <c r="C4057" t="s">
        <v>8440</v>
      </c>
      <c r="D4057">
        <v>2.21</v>
      </c>
      <c r="E4057" t="s">
        <v>52</v>
      </c>
      <c r="F4057" t="s">
        <v>15</v>
      </c>
      <c r="G4057">
        <v>2.75</v>
      </c>
      <c r="H4057">
        <v>1.67</v>
      </c>
      <c r="I4057">
        <v>0.54</v>
      </c>
      <c r="J4057">
        <v>0.29160000000000003</v>
      </c>
      <c r="K4057" t="str">
        <f>IFERROR(INDEX(Rosters!$C$2:$C$155,MATCH($B4057,Rosters!$B$2:$B$155,0)),"NA")</f>
        <v>NA</v>
      </c>
      <c r="L4057" t="str">
        <f t="shared" si="189"/>
        <v>NA5QB</v>
      </c>
      <c r="M4057">
        <f>COUNTIF(L$1:L4057,L4057)</f>
        <v>14</v>
      </c>
      <c r="N4057" t="str">
        <f t="shared" si="190"/>
        <v>NA5QB-14</v>
      </c>
      <c r="O4057">
        <f>COUNTIFS(F$1:F4057,F4057,A$1:A4057,A4057)</f>
        <v>31</v>
      </c>
      <c r="P4057" t="str">
        <f t="shared" si="191"/>
        <v>Lamar Jackson5</v>
      </c>
    </row>
    <row r="4058" spans="1:16" x14ac:dyDescent="0.25">
      <c r="A4058">
        <v>17</v>
      </c>
      <c r="B4058" t="s">
        <v>315</v>
      </c>
      <c r="C4058" t="s">
        <v>8441</v>
      </c>
      <c r="D4058">
        <v>2.21</v>
      </c>
      <c r="E4058" t="s">
        <v>66</v>
      </c>
      <c r="F4058" t="s">
        <v>114</v>
      </c>
      <c r="G4058">
        <v>4.33</v>
      </c>
      <c r="H4058">
        <v>0.09</v>
      </c>
      <c r="I4058">
        <v>2.12</v>
      </c>
      <c r="J4058">
        <v>4.4943999999999997</v>
      </c>
      <c r="K4058" t="str">
        <f>IFERROR(INDEX(Rosters!$C$2:$C$155,MATCH($B4058,Rosters!$B$2:$B$155,0)),"NA")</f>
        <v>NA</v>
      </c>
      <c r="L4058" t="str">
        <f t="shared" si="189"/>
        <v>NA17TE</v>
      </c>
      <c r="M4058">
        <f>COUNTIF(L$1:L4058,L4058)</f>
        <v>33</v>
      </c>
      <c r="N4058" t="str">
        <f t="shared" si="190"/>
        <v>NA17TE-33</v>
      </c>
      <c r="O4058">
        <f>COUNTIFS(F$1:F4058,F4058,A$1:A4058,A4058)</f>
        <v>47</v>
      </c>
      <c r="P4058" t="str">
        <f t="shared" si="191"/>
        <v>Luke Stocker17</v>
      </c>
    </row>
    <row r="4059" spans="1:16" x14ac:dyDescent="0.25">
      <c r="A4059">
        <v>8</v>
      </c>
      <c r="B4059" t="s">
        <v>362</v>
      </c>
      <c r="C4059" t="s">
        <v>8442</v>
      </c>
      <c r="D4059">
        <v>2.21</v>
      </c>
      <c r="E4059" t="s">
        <v>34</v>
      </c>
      <c r="F4059" t="s">
        <v>114</v>
      </c>
      <c r="G4059">
        <v>4.1100000000000003</v>
      </c>
      <c r="H4059">
        <v>0.31</v>
      </c>
      <c r="I4059">
        <v>1.9</v>
      </c>
      <c r="J4059">
        <v>3.61</v>
      </c>
      <c r="K4059" t="str">
        <f>IFERROR(INDEX(Rosters!$C$2:$C$155,MATCH($B4059,Rosters!$B$2:$B$155,0)),"NA")</f>
        <v>NA</v>
      </c>
      <c r="L4059" t="str">
        <f t="shared" si="189"/>
        <v>NA8TE</v>
      </c>
      <c r="M4059">
        <f>COUNTIF(L$1:L4059,L4059)</f>
        <v>29</v>
      </c>
      <c r="N4059" t="str">
        <f t="shared" si="190"/>
        <v>NA8TE-29</v>
      </c>
      <c r="O4059">
        <f>COUNTIFS(F$1:F4059,F4059,A$1:A4059,A4059)</f>
        <v>41</v>
      </c>
      <c r="P4059" t="str">
        <f t="shared" si="191"/>
        <v>Nick Vannett8</v>
      </c>
    </row>
    <row r="4060" spans="1:16" x14ac:dyDescent="0.25">
      <c r="A4060">
        <v>3</v>
      </c>
      <c r="B4060" t="s">
        <v>263</v>
      </c>
      <c r="C4060">
        <f>-0.3-4.72</f>
        <v>-5.0199999999999996</v>
      </c>
      <c r="D4060">
        <v>2.21</v>
      </c>
      <c r="E4060" t="s">
        <v>423</v>
      </c>
      <c r="F4060" t="s">
        <v>87</v>
      </c>
      <c r="G4060">
        <v>4.72</v>
      </c>
      <c r="H4060">
        <v>-0.3</v>
      </c>
      <c r="I4060">
        <v>2.5099999999999998</v>
      </c>
      <c r="J4060">
        <v>6.3000999999999996</v>
      </c>
      <c r="K4060" t="str">
        <f>IFERROR(INDEX(Rosters!$C$2:$C$155,MATCH($B4060,Rosters!$B$2:$B$155,0)),"NA")</f>
        <v>NA</v>
      </c>
      <c r="L4060" t="str">
        <f t="shared" si="189"/>
        <v>NA3WR</v>
      </c>
      <c r="M4060">
        <f>COUNTIF(L$1:L4060,L4060)</f>
        <v>49</v>
      </c>
      <c r="N4060" t="str">
        <f t="shared" si="190"/>
        <v>NA3WR-49</v>
      </c>
      <c r="O4060">
        <f>COUNTIFS(F$1:F4060,F4060,A$1:A4060,A4060)</f>
        <v>97</v>
      </c>
      <c r="P4060" t="str">
        <f t="shared" si="191"/>
        <v>T.J. Jones3</v>
      </c>
    </row>
    <row r="4061" spans="1:16" x14ac:dyDescent="0.25">
      <c r="A4061">
        <v>9</v>
      </c>
      <c r="B4061" t="s">
        <v>190</v>
      </c>
      <c r="C4061">
        <f>-0.17-4.59</f>
        <v>-4.76</v>
      </c>
      <c r="D4061">
        <v>2.21</v>
      </c>
      <c r="E4061" t="s">
        <v>38</v>
      </c>
      <c r="F4061" t="s">
        <v>87</v>
      </c>
      <c r="G4061">
        <v>4.59</v>
      </c>
      <c r="H4061">
        <v>-0.17</v>
      </c>
      <c r="I4061">
        <v>2.38</v>
      </c>
      <c r="J4061">
        <v>5.6643999999999997</v>
      </c>
      <c r="K4061" t="str">
        <f>IFERROR(INDEX(Rosters!$C$2:$C$155,MATCH($B4061,Rosters!$B$2:$B$155,0)),"NA")</f>
        <v>NA</v>
      </c>
      <c r="L4061" t="str">
        <f t="shared" si="189"/>
        <v>NA9WR</v>
      </c>
      <c r="M4061">
        <f>COUNTIF(L$1:L4061,L4061)</f>
        <v>50</v>
      </c>
      <c r="N4061" t="str">
        <f t="shared" si="190"/>
        <v>NA9WR-50</v>
      </c>
      <c r="O4061">
        <f>COUNTIFS(F$1:F4061,F4061,A$1:A4061,A4061)</f>
        <v>94</v>
      </c>
      <c r="P4061" t="str">
        <f t="shared" si="191"/>
        <v>Tavon Austin9</v>
      </c>
    </row>
    <row r="4062" spans="1:16" x14ac:dyDescent="0.25">
      <c r="A4062">
        <v>9</v>
      </c>
      <c r="B4062" t="s">
        <v>4217</v>
      </c>
      <c r="C4062">
        <f>-0.05-4.47</f>
        <v>-4.5199999999999996</v>
      </c>
      <c r="D4062">
        <v>2.21</v>
      </c>
      <c r="E4062" t="s">
        <v>56</v>
      </c>
      <c r="F4062" t="s">
        <v>87</v>
      </c>
      <c r="G4062">
        <v>4.47</v>
      </c>
      <c r="H4062">
        <v>-0.05</v>
      </c>
      <c r="I4062">
        <v>2.2599999999999998</v>
      </c>
      <c r="J4062">
        <v>5.1075999999999997</v>
      </c>
      <c r="K4062" t="str">
        <f>IFERROR(INDEX(Rosters!$C$2:$C$155,MATCH($B4062,Rosters!$B$2:$B$155,0)),"NA")</f>
        <v>NA</v>
      </c>
      <c r="L4062" t="str">
        <f t="shared" si="189"/>
        <v>NA9WR</v>
      </c>
      <c r="M4062">
        <f>COUNTIF(L$1:L4062,L4062)</f>
        <v>51</v>
      </c>
      <c r="N4062" t="str">
        <f t="shared" si="190"/>
        <v>NA9WR-51</v>
      </c>
      <c r="O4062">
        <f>COUNTIFS(F$1:F4062,F4062,A$1:A4062,A4062)</f>
        <v>95</v>
      </c>
      <c r="P4062" t="str">
        <f t="shared" si="191"/>
        <v>Tre'Quan Smith9</v>
      </c>
    </row>
    <row r="4063" spans="1:16" x14ac:dyDescent="0.25">
      <c r="A4063">
        <v>3</v>
      </c>
      <c r="B4063" t="s">
        <v>242</v>
      </c>
      <c r="C4063" t="s">
        <v>3791</v>
      </c>
      <c r="D4063">
        <v>2.2000000000000002</v>
      </c>
      <c r="E4063" t="s">
        <v>51</v>
      </c>
      <c r="F4063" t="s">
        <v>87</v>
      </c>
      <c r="G4063">
        <v>4.12</v>
      </c>
      <c r="H4063">
        <v>0.28000000000000003</v>
      </c>
      <c r="I4063">
        <v>1.92</v>
      </c>
      <c r="J4063">
        <v>3.6863999999999999</v>
      </c>
      <c r="K4063" t="str">
        <f>IFERROR(INDEX(Rosters!$C$2:$C$155,MATCH($B4063,Rosters!$B$2:$B$155,0)),"NA")</f>
        <v>NA</v>
      </c>
      <c r="L4063" t="str">
        <f t="shared" si="189"/>
        <v>NA3WR</v>
      </c>
      <c r="M4063">
        <f>COUNTIF(L$1:L4063,L4063)</f>
        <v>50</v>
      </c>
      <c r="N4063" t="str">
        <f t="shared" si="190"/>
        <v>NA3WR-50</v>
      </c>
      <c r="O4063">
        <f>COUNTIFS(F$1:F4063,F4063,A$1:A4063,A4063)</f>
        <v>98</v>
      </c>
      <c r="P4063" t="str">
        <f t="shared" si="191"/>
        <v>Adam Humphries3</v>
      </c>
    </row>
    <row r="4064" spans="1:16" x14ac:dyDescent="0.25">
      <c r="A4064">
        <v>12</v>
      </c>
      <c r="B4064" t="s">
        <v>373</v>
      </c>
      <c r="C4064">
        <f>-0.39-4.79</f>
        <v>-5.18</v>
      </c>
      <c r="D4064">
        <v>2.2000000000000002</v>
      </c>
      <c r="E4064" t="s">
        <v>50</v>
      </c>
      <c r="F4064" t="s">
        <v>87</v>
      </c>
      <c r="G4064">
        <v>4.79</v>
      </c>
      <c r="H4064">
        <v>-0.39</v>
      </c>
      <c r="I4064">
        <v>2.59</v>
      </c>
      <c r="J4064">
        <v>6.7081</v>
      </c>
      <c r="K4064" t="str">
        <f>IFERROR(INDEX(Rosters!$C$2:$C$155,MATCH($B4064,Rosters!$B$2:$B$155,0)),"NA")</f>
        <v>NA</v>
      </c>
      <c r="L4064" t="str">
        <f t="shared" si="189"/>
        <v>NA12WR</v>
      </c>
      <c r="M4064">
        <f>COUNTIF(L$1:L4064,L4064)</f>
        <v>54</v>
      </c>
      <c r="N4064" t="str">
        <f t="shared" si="190"/>
        <v>NA12WR-54</v>
      </c>
      <c r="O4064">
        <f>COUNTIFS(F$1:F4064,F4064,A$1:A4064,A4064)</f>
        <v>103</v>
      </c>
      <c r="P4064" t="str">
        <f t="shared" si="191"/>
        <v>Cody Latimer12</v>
      </c>
    </row>
    <row r="4065" spans="1:16" x14ac:dyDescent="0.25">
      <c r="A4065">
        <v>9</v>
      </c>
      <c r="B4065" t="s">
        <v>310</v>
      </c>
      <c r="C4065">
        <f>-0.19-4.59</f>
        <v>-4.78</v>
      </c>
      <c r="D4065">
        <v>2.2000000000000002</v>
      </c>
      <c r="E4065" t="s">
        <v>52</v>
      </c>
      <c r="F4065" t="s">
        <v>114</v>
      </c>
      <c r="G4065">
        <v>4.59</v>
      </c>
      <c r="H4065">
        <v>-0.19</v>
      </c>
      <c r="I4065">
        <v>2.39</v>
      </c>
      <c r="J4065">
        <v>5.7121000000000004</v>
      </c>
      <c r="K4065" t="str">
        <f>IFERROR(INDEX(Rosters!$C$2:$C$155,MATCH($B4065,Rosters!$B$2:$B$155,0)),"NA")</f>
        <v>NA</v>
      </c>
      <c r="L4065" t="str">
        <f t="shared" si="189"/>
        <v>NA9TE</v>
      </c>
      <c r="M4065">
        <f>COUNTIF(L$1:L4065,L4065)</f>
        <v>27</v>
      </c>
      <c r="N4065" t="str">
        <f t="shared" si="190"/>
        <v>NA9TE-27</v>
      </c>
      <c r="O4065">
        <f>COUNTIFS(F$1:F4065,F4065,A$1:A4065,A4065)</f>
        <v>38</v>
      </c>
      <c r="P4065" t="str">
        <f t="shared" si="191"/>
        <v>Demetrius Harris9</v>
      </c>
    </row>
    <row r="4066" spans="1:16" x14ac:dyDescent="0.25">
      <c r="A4066">
        <v>15</v>
      </c>
      <c r="B4066" t="s">
        <v>320</v>
      </c>
      <c r="C4066" t="s">
        <v>8443</v>
      </c>
      <c r="D4066">
        <v>2.2000000000000002</v>
      </c>
      <c r="E4066" t="s">
        <v>36</v>
      </c>
      <c r="F4066" t="s">
        <v>47</v>
      </c>
      <c r="G4066">
        <v>3.85</v>
      </c>
      <c r="H4066">
        <v>0.55000000000000004</v>
      </c>
      <c r="I4066">
        <v>1.65</v>
      </c>
      <c r="J4066">
        <v>2.7225000000000001</v>
      </c>
      <c r="K4066" t="str">
        <f>IFERROR(INDEX(Rosters!$C$2:$C$155,MATCH($B4066,Rosters!$B$2:$B$155,0)),"NA")</f>
        <v>NA</v>
      </c>
      <c r="L4066" t="str">
        <f t="shared" si="189"/>
        <v>NA15RB</v>
      </c>
      <c r="M4066">
        <f>COUNTIF(L$1:L4066,L4066)</f>
        <v>27</v>
      </c>
      <c r="N4066" t="str">
        <f t="shared" si="190"/>
        <v>NA15RB-27</v>
      </c>
      <c r="O4066">
        <f>COUNTIFS(F$1:F4066,F4066,A$1:A4066,A4066)</f>
        <v>74</v>
      </c>
      <c r="P4066" t="str">
        <f t="shared" si="191"/>
        <v>Elijah McGuire15</v>
      </c>
    </row>
    <row r="4067" spans="1:16" x14ac:dyDescent="0.25">
      <c r="A4067">
        <v>16</v>
      </c>
      <c r="B4067" t="s">
        <v>4206</v>
      </c>
      <c r="C4067" t="s">
        <v>8444</v>
      </c>
      <c r="D4067">
        <v>2.2000000000000002</v>
      </c>
      <c r="E4067" t="s">
        <v>74</v>
      </c>
      <c r="F4067" t="s">
        <v>47</v>
      </c>
      <c r="G4067">
        <v>4.25</v>
      </c>
      <c r="H4067">
        <v>0.15</v>
      </c>
      <c r="I4067">
        <v>2.0499999999999998</v>
      </c>
      <c r="J4067">
        <v>4.2024999999999997</v>
      </c>
      <c r="K4067" t="str">
        <f>IFERROR(INDEX(Rosters!$C$2:$C$155,MATCH($B4067,Rosters!$B$2:$B$155,0)),"NA")</f>
        <v>NA</v>
      </c>
      <c r="L4067" t="str">
        <f t="shared" si="189"/>
        <v>NA16RB</v>
      </c>
      <c r="M4067">
        <f>COUNTIF(L$1:L4067,L4067)</f>
        <v>26</v>
      </c>
      <c r="N4067" t="str">
        <f t="shared" si="190"/>
        <v>NA16RB-26</v>
      </c>
      <c r="O4067">
        <f>COUNTIFS(F$1:F4067,F4067,A$1:A4067,A4067)</f>
        <v>73</v>
      </c>
      <c r="P4067" t="str">
        <f t="shared" si="191"/>
        <v>Ito Smith16</v>
      </c>
    </row>
    <row r="4068" spans="1:16" x14ac:dyDescent="0.25">
      <c r="A4068">
        <v>3</v>
      </c>
      <c r="B4068" t="s">
        <v>4224</v>
      </c>
      <c r="C4068">
        <f>-0.11-4.51</f>
        <v>-4.62</v>
      </c>
      <c r="D4068">
        <v>2.2000000000000002</v>
      </c>
      <c r="E4068" t="s">
        <v>42</v>
      </c>
      <c r="F4068" t="s">
        <v>114</v>
      </c>
      <c r="G4068">
        <v>4.51</v>
      </c>
      <c r="H4068">
        <v>-0.11</v>
      </c>
      <c r="I4068">
        <v>2.31</v>
      </c>
      <c r="J4068">
        <v>5.3361000000000001</v>
      </c>
      <c r="K4068" t="str">
        <f>IFERROR(INDEX(Rosters!$C$2:$C$155,MATCH($B4068,Rosters!$B$2:$B$155,0)),"NA")</f>
        <v>NA</v>
      </c>
      <c r="L4068" t="str">
        <f t="shared" si="189"/>
        <v>NA3TE</v>
      </c>
      <c r="M4068">
        <f>COUNTIF(L$1:L4068,L4068)</f>
        <v>28</v>
      </c>
      <c r="N4068" t="str">
        <f t="shared" si="190"/>
        <v>NA3TE-28</v>
      </c>
      <c r="O4068">
        <f>COUNTIFS(F$1:F4068,F4068,A$1:A4068,A4068)</f>
        <v>40</v>
      </c>
      <c r="P4068" t="str">
        <f t="shared" si="191"/>
        <v>Mark Andrews3</v>
      </c>
    </row>
    <row r="4069" spans="1:16" x14ac:dyDescent="0.25">
      <c r="A4069">
        <v>4</v>
      </c>
      <c r="B4069" t="s">
        <v>323</v>
      </c>
      <c r="C4069">
        <f>-0.41-4.81</f>
        <v>-5.22</v>
      </c>
      <c r="D4069">
        <v>2.2000000000000002</v>
      </c>
      <c r="E4069" t="s">
        <v>73</v>
      </c>
      <c r="F4069" t="s">
        <v>114</v>
      </c>
      <c r="G4069">
        <v>4.8099999999999996</v>
      </c>
      <c r="H4069">
        <v>-0.41</v>
      </c>
      <c r="I4069">
        <v>2.61</v>
      </c>
      <c r="J4069">
        <v>6.8121</v>
      </c>
      <c r="K4069" t="str">
        <f>IFERROR(INDEX(Rosters!$C$2:$C$155,MATCH($B4069,Rosters!$B$2:$B$155,0)),"NA")</f>
        <v>NA</v>
      </c>
      <c r="L4069" t="str">
        <f t="shared" si="189"/>
        <v>NA4TE</v>
      </c>
      <c r="M4069">
        <f>COUNTIF(L$1:L4069,L4069)</f>
        <v>27</v>
      </c>
      <c r="N4069" t="str">
        <f t="shared" si="190"/>
        <v>NA4TE-27</v>
      </c>
      <c r="O4069">
        <f>COUNTIFS(F$1:F4069,F4069,A$1:A4069,A4069)</f>
        <v>38</v>
      </c>
      <c r="P4069" t="str">
        <f t="shared" si="191"/>
        <v>Niles Paul4</v>
      </c>
    </row>
    <row r="4070" spans="1:16" x14ac:dyDescent="0.25">
      <c r="A4070">
        <v>10</v>
      </c>
      <c r="B4070" t="s">
        <v>4232</v>
      </c>
      <c r="C4070" t="s">
        <v>8445</v>
      </c>
      <c r="D4070">
        <v>2.2000000000000002</v>
      </c>
      <c r="E4070" t="s">
        <v>60</v>
      </c>
      <c r="F4070" t="s">
        <v>47</v>
      </c>
      <c r="G4070">
        <v>4.3099999999999996</v>
      </c>
      <c r="H4070">
        <v>0.09</v>
      </c>
      <c r="I4070">
        <v>2.11</v>
      </c>
      <c r="J4070">
        <v>4.4520999999999997</v>
      </c>
      <c r="K4070" t="str">
        <f>IFERROR(INDEX(Rosters!$C$2:$C$155,MATCH($B4070,Rosters!$B$2:$B$155,0)),"NA")</f>
        <v>NA</v>
      </c>
      <c r="L4070" t="str">
        <f t="shared" si="189"/>
        <v>NA10RB</v>
      </c>
      <c r="M4070">
        <f>COUNTIF(L$1:L4070,L4070)</f>
        <v>26</v>
      </c>
      <c r="N4070" t="str">
        <f t="shared" si="190"/>
        <v>NA10RB-26</v>
      </c>
      <c r="O4070">
        <f>COUNTIFS(F$1:F4070,F4070,A$1:A4070,A4070)</f>
        <v>65</v>
      </c>
      <c r="P4070" t="str">
        <f t="shared" si="191"/>
        <v>Shaun Wilson10</v>
      </c>
    </row>
    <row r="4071" spans="1:16" x14ac:dyDescent="0.25">
      <c r="A4071">
        <v>3</v>
      </c>
      <c r="B4071" t="s">
        <v>237</v>
      </c>
      <c r="C4071" t="s">
        <v>3792</v>
      </c>
      <c r="D4071">
        <v>2.2000000000000002</v>
      </c>
      <c r="E4071" t="s">
        <v>58</v>
      </c>
      <c r="F4071" t="s">
        <v>87</v>
      </c>
      <c r="G4071">
        <v>3.78</v>
      </c>
      <c r="H4071">
        <v>0.62</v>
      </c>
      <c r="I4071">
        <v>1.58</v>
      </c>
      <c r="J4071">
        <v>2.4964</v>
      </c>
      <c r="K4071" t="str">
        <f>IFERROR(INDEX(Rosters!$C$2:$C$155,MATCH($B4071,Rosters!$B$2:$B$155,0)),"NA")</f>
        <v>NA</v>
      </c>
      <c r="L4071" t="str">
        <f t="shared" si="189"/>
        <v>NA3WR</v>
      </c>
      <c r="M4071">
        <f>COUNTIF(L$1:L4071,L4071)</f>
        <v>51</v>
      </c>
      <c r="N4071" t="str">
        <f t="shared" si="190"/>
        <v>NA3WR-51</v>
      </c>
      <c r="O4071">
        <f>COUNTIFS(F$1:F4071,F4071,A$1:A4071,A4071)</f>
        <v>99</v>
      </c>
      <c r="P4071" t="str">
        <f t="shared" si="191"/>
        <v>Taylor Gabriel3</v>
      </c>
    </row>
    <row r="4072" spans="1:16" x14ac:dyDescent="0.25">
      <c r="A4072">
        <v>5</v>
      </c>
      <c r="B4072" t="s">
        <v>1646</v>
      </c>
      <c r="C4072" t="s">
        <v>8446</v>
      </c>
      <c r="D4072">
        <v>2.2000000000000002</v>
      </c>
      <c r="E4072" t="s">
        <v>60</v>
      </c>
      <c r="F4072" t="s">
        <v>15</v>
      </c>
      <c r="G4072">
        <v>2.82</v>
      </c>
      <c r="H4072">
        <v>1.58</v>
      </c>
      <c r="I4072">
        <v>0.62</v>
      </c>
      <c r="J4072">
        <v>0.38440000000000002</v>
      </c>
      <c r="K4072" t="str">
        <f>IFERROR(INDEX(Rosters!$C$2:$C$155,MATCH($B4072,Rosters!$B$2:$B$155,0)),"NA")</f>
        <v>NA</v>
      </c>
      <c r="L4072" t="str">
        <f t="shared" si="189"/>
        <v>NA5QB</v>
      </c>
      <c r="M4072">
        <f>COUNTIF(L$1:L4072,L4072)</f>
        <v>15</v>
      </c>
      <c r="N4072" t="str">
        <f t="shared" si="190"/>
        <v>NA5QB-15</v>
      </c>
      <c r="O4072">
        <f>COUNTIFS(F$1:F4072,F4072,A$1:A4072,A4072)</f>
        <v>32</v>
      </c>
      <c r="P4072" t="str">
        <f t="shared" si="191"/>
        <v>Taysom Hill5</v>
      </c>
    </row>
    <row r="4073" spans="1:16" x14ac:dyDescent="0.25">
      <c r="A4073">
        <v>1</v>
      </c>
      <c r="B4073" t="s">
        <v>1492</v>
      </c>
      <c r="C4073" t="s">
        <v>1493</v>
      </c>
      <c r="D4073">
        <v>2.19</v>
      </c>
      <c r="E4073" t="s">
        <v>51</v>
      </c>
      <c r="F4073" t="s">
        <v>15</v>
      </c>
      <c r="G4073">
        <v>3.35</v>
      </c>
      <c r="H4073">
        <v>1.03</v>
      </c>
      <c r="I4073">
        <v>1.1599999999999999</v>
      </c>
      <c r="J4073">
        <v>1.3455999999999999</v>
      </c>
      <c r="K4073" t="str">
        <f>IFERROR(INDEX(Rosters!$C$2:$C$155,MATCH($B4073,Rosters!$B$2:$B$155,0)),"NA")</f>
        <v>perry</v>
      </c>
      <c r="L4073" t="str">
        <f t="shared" si="189"/>
        <v>perry1QB</v>
      </c>
      <c r="M4073">
        <f>COUNTIF(L$1:L4073,L4073)</f>
        <v>1</v>
      </c>
      <c r="N4073" t="str">
        <f t="shared" si="190"/>
        <v>perry1QB-1</v>
      </c>
      <c r="O4073">
        <f>COUNTIFS(F$1:F4073,F4073,A$1:A4073,A4073)</f>
        <v>33</v>
      </c>
      <c r="P4073" t="str">
        <f t="shared" si="191"/>
        <v>Baker Mayfield1</v>
      </c>
    </row>
    <row r="4074" spans="1:16" x14ac:dyDescent="0.25">
      <c r="A4074">
        <v>9</v>
      </c>
      <c r="B4074" t="s">
        <v>386</v>
      </c>
      <c r="C4074" t="s">
        <v>8447</v>
      </c>
      <c r="D4074">
        <v>2.19</v>
      </c>
      <c r="E4074" t="s">
        <v>51</v>
      </c>
      <c r="F4074" t="s">
        <v>114</v>
      </c>
      <c r="G4074">
        <v>4.22</v>
      </c>
      <c r="H4074">
        <v>0.16</v>
      </c>
      <c r="I4074">
        <v>2.0299999999999998</v>
      </c>
      <c r="J4074">
        <v>4.1208999999999998</v>
      </c>
      <c r="K4074" t="str">
        <f>IFERROR(INDEX(Rosters!$C$2:$C$155,MATCH($B4074,Rosters!$B$2:$B$155,0)),"NA")</f>
        <v>NA</v>
      </c>
      <c r="L4074" t="str">
        <f t="shared" si="189"/>
        <v>NA9TE</v>
      </c>
      <c r="M4074">
        <f>COUNTIF(L$1:L4074,L4074)</f>
        <v>28</v>
      </c>
      <c r="N4074" t="str">
        <f t="shared" si="190"/>
        <v>NA9TE-28</v>
      </c>
      <c r="O4074">
        <f>COUNTIFS(F$1:F4074,F4074,A$1:A4074,A4074)</f>
        <v>39</v>
      </c>
      <c r="P4074" t="str">
        <f t="shared" si="191"/>
        <v>Nick Boyle9</v>
      </c>
    </row>
    <row r="4075" spans="1:16" x14ac:dyDescent="0.25">
      <c r="A4075">
        <v>1</v>
      </c>
      <c r="B4075" t="s">
        <v>297</v>
      </c>
      <c r="C4075">
        <f>-0.11-4.49</f>
        <v>-4.6000000000000005</v>
      </c>
      <c r="D4075">
        <v>2.19</v>
      </c>
      <c r="E4075" t="s">
        <v>51</v>
      </c>
      <c r="F4075" t="s">
        <v>114</v>
      </c>
      <c r="G4075">
        <v>4.49</v>
      </c>
      <c r="H4075">
        <v>-0.11</v>
      </c>
      <c r="I4075">
        <v>2.2999999999999998</v>
      </c>
      <c r="J4075">
        <v>5.29</v>
      </c>
      <c r="K4075" t="str">
        <f>IFERROR(INDEX(Rosters!$C$2:$C$155,MATCH($B4075,Rosters!$B$2:$B$155,0)),"NA")</f>
        <v>NA</v>
      </c>
      <c r="L4075" t="str">
        <f t="shared" si="189"/>
        <v>NA1TE</v>
      </c>
      <c r="M4075">
        <f>COUNTIF(L$1:L4075,L4075)</f>
        <v>20</v>
      </c>
      <c r="N4075" t="str">
        <f t="shared" si="190"/>
        <v>NA1TE-20</v>
      </c>
      <c r="O4075">
        <f>COUNTIFS(F$1:F4075,F4075,A$1:A4075,A4075)</f>
        <v>33</v>
      </c>
      <c r="P4075" t="str">
        <f t="shared" si="191"/>
        <v>Seth DeValve1</v>
      </c>
    </row>
    <row r="4076" spans="1:16" x14ac:dyDescent="0.25">
      <c r="A4076">
        <v>13</v>
      </c>
      <c r="B4076" t="s">
        <v>1646</v>
      </c>
      <c r="C4076" t="s">
        <v>8448</v>
      </c>
      <c r="D4076">
        <v>2.19</v>
      </c>
      <c r="E4076" t="s">
        <v>22</v>
      </c>
      <c r="F4076" t="s">
        <v>15</v>
      </c>
      <c r="G4076">
        <v>2.82</v>
      </c>
      <c r="H4076">
        <v>1.56</v>
      </c>
      <c r="I4076">
        <v>0.63</v>
      </c>
      <c r="J4076">
        <v>0.39689999999999998</v>
      </c>
      <c r="K4076" t="str">
        <f>IFERROR(INDEX(Rosters!$C$2:$C$155,MATCH($B4076,Rosters!$B$2:$B$155,0)),"NA")</f>
        <v>NA</v>
      </c>
      <c r="L4076" t="str">
        <f t="shared" si="189"/>
        <v>NA13QB</v>
      </c>
      <c r="M4076">
        <f>COUNTIF(L$1:L4076,L4076)</f>
        <v>17</v>
      </c>
      <c r="N4076" t="str">
        <f t="shared" si="190"/>
        <v>NA13QB-17</v>
      </c>
      <c r="O4076">
        <f>COUNTIFS(F$1:F4076,F4076,A$1:A4076,A4076)</f>
        <v>34</v>
      </c>
      <c r="P4076" t="str">
        <f t="shared" si="191"/>
        <v>Taysom Hill13</v>
      </c>
    </row>
    <row r="4077" spans="1:16" x14ac:dyDescent="0.25">
      <c r="A4077">
        <v>15</v>
      </c>
      <c r="B4077" t="s">
        <v>1646</v>
      </c>
      <c r="C4077" t="s">
        <v>8449</v>
      </c>
      <c r="D4077">
        <v>2.19</v>
      </c>
      <c r="E4077" t="s">
        <v>74</v>
      </c>
      <c r="F4077" t="s">
        <v>15</v>
      </c>
      <c r="G4077">
        <v>2.77</v>
      </c>
      <c r="H4077">
        <v>1.61</v>
      </c>
      <c r="I4077">
        <v>0.57999999999999996</v>
      </c>
      <c r="J4077">
        <v>0.33639999999999998</v>
      </c>
      <c r="K4077" t="str">
        <f>IFERROR(INDEX(Rosters!$C$2:$C$155,MATCH($B4077,Rosters!$B$2:$B$155,0)),"NA")</f>
        <v>NA</v>
      </c>
      <c r="L4077" t="str">
        <f t="shared" si="189"/>
        <v>NA15QB</v>
      </c>
      <c r="M4077">
        <f>COUNTIF(L$1:L4077,L4077)</f>
        <v>17</v>
      </c>
      <c r="N4077" t="str">
        <f t="shared" si="190"/>
        <v>NA15QB-17</v>
      </c>
      <c r="O4077">
        <f>COUNTIFS(F$1:F4077,F4077,A$1:A4077,A4077)</f>
        <v>34</v>
      </c>
      <c r="P4077" t="str">
        <f t="shared" si="191"/>
        <v>Taysom Hill15</v>
      </c>
    </row>
    <row r="4078" spans="1:16" x14ac:dyDescent="0.25">
      <c r="A4078">
        <v>5</v>
      </c>
      <c r="B4078" t="s">
        <v>4217</v>
      </c>
      <c r="C4078">
        <f>-0.08-4.46</f>
        <v>-4.54</v>
      </c>
      <c r="D4078">
        <v>2.19</v>
      </c>
      <c r="E4078" t="s">
        <v>60</v>
      </c>
      <c r="F4078" t="s">
        <v>87</v>
      </c>
      <c r="G4078">
        <v>4.46</v>
      </c>
      <c r="H4078">
        <v>-0.08</v>
      </c>
      <c r="I4078">
        <v>2.27</v>
      </c>
      <c r="J4078">
        <v>5.1528999999999998</v>
      </c>
      <c r="K4078" t="str">
        <f>IFERROR(INDEX(Rosters!$C$2:$C$155,MATCH($B4078,Rosters!$B$2:$B$155,0)),"NA")</f>
        <v>NA</v>
      </c>
      <c r="L4078" t="str">
        <f t="shared" si="189"/>
        <v>NA5WR</v>
      </c>
      <c r="M4078">
        <f>COUNTIF(L$1:L4078,L4078)</f>
        <v>49</v>
      </c>
      <c r="N4078" t="str">
        <f t="shared" si="190"/>
        <v>NA5WR-49</v>
      </c>
      <c r="O4078">
        <f>COUNTIFS(F$1:F4078,F4078,A$1:A4078,A4078)</f>
        <v>99</v>
      </c>
      <c r="P4078" t="str">
        <f t="shared" si="191"/>
        <v>Tre'Quan Smith5</v>
      </c>
    </row>
    <row r="4079" spans="1:16" x14ac:dyDescent="0.25">
      <c r="A4079">
        <v>10</v>
      </c>
      <c r="B4079" t="s">
        <v>4217</v>
      </c>
      <c r="C4079" t="s">
        <v>8450</v>
      </c>
      <c r="D4079">
        <v>2.19</v>
      </c>
      <c r="E4079" t="s">
        <v>31</v>
      </c>
      <c r="F4079" t="s">
        <v>87</v>
      </c>
      <c r="G4079">
        <v>4.3499999999999996</v>
      </c>
      <c r="H4079">
        <v>0.03</v>
      </c>
      <c r="I4079">
        <v>2.16</v>
      </c>
      <c r="J4079">
        <v>4.6656000000000004</v>
      </c>
      <c r="K4079" t="str">
        <f>IFERROR(INDEX(Rosters!$C$2:$C$155,MATCH($B4079,Rosters!$B$2:$B$155,0)),"NA")</f>
        <v>NA</v>
      </c>
      <c r="L4079" t="str">
        <f t="shared" si="189"/>
        <v>NA10WR</v>
      </c>
      <c r="M4079">
        <f>COUNTIF(L$1:L4079,L4079)</f>
        <v>53</v>
      </c>
      <c r="N4079" t="str">
        <f t="shared" si="190"/>
        <v>NA10WR-53</v>
      </c>
      <c r="O4079">
        <f>COUNTIFS(F$1:F4079,F4079,A$1:A4079,A4079)</f>
        <v>98</v>
      </c>
      <c r="P4079" t="str">
        <f t="shared" si="191"/>
        <v>Tre'Quan Smith10</v>
      </c>
    </row>
    <row r="4080" spans="1:16" x14ac:dyDescent="0.25">
      <c r="A4080">
        <v>3</v>
      </c>
      <c r="B4080" t="s">
        <v>1457</v>
      </c>
      <c r="C4080" t="s">
        <v>3793</v>
      </c>
      <c r="D4080">
        <v>2.19</v>
      </c>
      <c r="E4080" t="s">
        <v>24</v>
      </c>
      <c r="F4080" t="s">
        <v>87</v>
      </c>
      <c r="G4080">
        <v>4.28</v>
      </c>
      <c r="H4080">
        <v>0.1</v>
      </c>
      <c r="I4080">
        <v>2.09</v>
      </c>
      <c r="J4080">
        <v>4.3681000000000001</v>
      </c>
      <c r="K4080" t="str">
        <f>IFERROR(INDEX(Rosters!$C$2:$C$155,MATCH($B4080,Rosters!$B$2:$B$155,0)),"NA")</f>
        <v>NA</v>
      </c>
      <c r="L4080" t="str">
        <f t="shared" si="189"/>
        <v>NA3WR</v>
      </c>
      <c r="M4080">
        <f>COUNTIF(L$1:L4080,L4080)</f>
        <v>52</v>
      </c>
      <c r="N4080" t="str">
        <f t="shared" si="190"/>
        <v>NA3WR-52</v>
      </c>
      <c r="O4080">
        <f>COUNTIFS(F$1:F4080,F4080,A$1:A4080,A4080)</f>
        <v>100</v>
      </c>
      <c r="P4080" t="str">
        <f t="shared" si="191"/>
        <v>Trent Taylor3</v>
      </c>
    </row>
    <row r="4081" spans="1:16" x14ac:dyDescent="0.25">
      <c r="A4081">
        <v>4</v>
      </c>
      <c r="B4081" t="s">
        <v>4210</v>
      </c>
      <c r="C4081" t="s">
        <v>3794</v>
      </c>
      <c r="D4081">
        <v>2.1800000000000002</v>
      </c>
      <c r="E4081" t="s">
        <v>54</v>
      </c>
      <c r="F4081" t="s">
        <v>87</v>
      </c>
      <c r="G4081">
        <v>4.12</v>
      </c>
      <c r="H4081">
        <v>0.24</v>
      </c>
      <c r="I4081">
        <v>1.94</v>
      </c>
      <c r="J4081">
        <v>3.7635999999999998</v>
      </c>
      <c r="K4081" t="str">
        <f>IFERROR(INDEX(Rosters!$C$2:$C$155,MATCH($B4081,Rosters!$B$2:$B$155,0)),"NA")</f>
        <v>NA</v>
      </c>
      <c r="L4081" t="str">
        <f t="shared" si="189"/>
        <v>NA4WR</v>
      </c>
      <c r="M4081">
        <f>COUNTIF(L$1:L4081,L4081)</f>
        <v>45</v>
      </c>
      <c r="N4081" t="str">
        <f t="shared" si="190"/>
        <v>NA4WR-45</v>
      </c>
      <c r="O4081">
        <f>COUNTIFS(F$1:F4081,F4081,A$1:A4081,A4081)</f>
        <v>95</v>
      </c>
      <c r="P4081" t="str">
        <f t="shared" si="191"/>
        <v>Austin Carr4</v>
      </c>
    </row>
    <row r="4082" spans="1:16" x14ac:dyDescent="0.25">
      <c r="A4082">
        <v>11</v>
      </c>
      <c r="B4082" t="s">
        <v>2599</v>
      </c>
      <c r="C4082" t="s">
        <v>8451</v>
      </c>
      <c r="D4082">
        <v>2.1800000000000002</v>
      </c>
      <c r="E4082" t="s">
        <v>58</v>
      </c>
      <c r="F4082" t="s">
        <v>87</v>
      </c>
      <c r="G4082">
        <v>4.32</v>
      </c>
      <c r="H4082">
        <v>0.04</v>
      </c>
      <c r="I4082">
        <v>2.14</v>
      </c>
      <c r="J4082">
        <v>4.5796000000000001</v>
      </c>
      <c r="K4082" t="str">
        <f>IFERROR(INDEX(Rosters!$C$2:$C$155,MATCH($B4082,Rosters!$B$2:$B$155,0)),"NA")</f>
        <v>NA</v>
      </c>
      <c r="L4082" t="str">
        <f t="shared" si="189"/>
        <v>NA11WR</v>
      </c>
      <c r="M4082">
        <f>COUNTIF(L$1:L4082,L4082)</f>
        <v>41</v>
      </c>
      <c r="N4082" t="str">
        <f t="shared" si="190"/>
        <v>NA11WR-41</v>
      </c>
      <c r="O4082">
        <f>COUNTIFS(F$1:F4082,F4082,A$1:A4082,A4082)</f>
        <v>88</v>
      </c>
      <c r="P4082" t="str">
        <f t="shared" si="191"/>
        <v>Brandon LaFell11</v>
      </c>
    </row>
    <row r="4083" spans="1:16" x14ac:dyDescent="0.25">
      <c r="A4083">
        <v>17</v>
      </c>
      <c r="B4083" t="s">
        <v>316</v>
      </c>
      <c r="C4083" t="s">
        <v>8452</v>
      </c>
      <c r="D4083">
        <v>2.1800000000000002</v>
      </c>
      <c r="E4083" t="s">
        <v>36</v>
      </c>
      <c r="F4083" t="s">
        <v>47</v>
      </c>
      <c r="G4083">
        <v>4.0999999999999996</v>
      </c>
      <c r="H4083">
        <v>0.26</v>
      </c>
      <c r="I4083">
        <v>1.92</v>
      </c>
      <c r="J4083">
        <v>3.6863999999999999</v>
      </c>
      <c r="K4083" t="str">
        <f>IFERROR(INDEX(Rosters!$C$2:$C$155,MATCH($B4083,Rosters!$B$2:$B$155,0)),"NA")</f>
        <v>NA</v>
      </c>
      <c r="L4083" t="str">
        <f t="shared" si="189"/>
        <v>NA17RB</v>
      </c>
      <c r="M4083">
        <f>COUNTIF(L$1:L4083,L4083)</f>
        <v>26</v>
      </c>
      <c r="N4083" t="str">
        <f t="shared" si="190"/>
        <v>NA17RB-26</v>
      </c>
      <c r="O4083">
        <f>COUNTIFS(F$1:F4083,F4083,A$1:A4083,A4083)</f>
        <v>73</v>
      </c>
      <c r="P4083" t="str">
        <f t="shared" si="191"/>
        <v>Corey Grant17</v>
      </c>
    </row>
    <row r="4084" spans="1:16" x14ac:dyDescent="0.25">
      <c r="A4084">
        <v>3</v>
      </c>
      <c r="B4084" t="s">
        <v>315</v>
      </c>
      <c r="C4084">
        <f>-0.21-4.57</f>
        <v>-4.78</v>
      </c>
      <c r="D4084">
        <v>2.1800000000000002</v>
      </c>
      <c r="E4084" t="s">
        <v>76</v>
      </c>
      <c r="F4084" t="s">
        <v>114</v>
      </c>
      <c r="G4084">
        <v>4.57</v>
      </c>
      <c r="H4084">
        <v>-0.21</v>
      </c>
      <c r="I4084">
        <v>2.39</v>
      </c>
      <c r="J4084">
        <v>5.7121000000000004</v>
      </c>
      <c r="K4084" t="str">
        <f>IFERROR(INDEX(Rosters!$C$2:$C$155,MATCH($B4084,Rosters!$B$2:$B$155,0)),"NA")</f>
        <v>NA</v>
      </c>
      <c r="L4084" t="str">
        <f t="shared" si="189"/>
        <v>NA3TE</v>
      </c>
      <c r="M4084">
        <f>COUNTIF(L$1:L4084,L4084)</f>
        <v>29</v>
      </c>
      <c r="N4084" t="str">
        <f t="shared" si="190"/>
        <v>NA3TE-29</v>
      </c>
      <c r="O4084">
        <f>COUNTIFS(F$1:F4084,F4084,A$1:A4084,A4084)</f>
        <v>41</v>
      </c>
      <c r="P4084" t="str">
        <f t="shared" si="191"/>
        <v>Luke Stocker3</v>
      </c>
    </row>
    <row r="4085" spans="1:16" x14ac:dyDescent="0.25">
      <c r="A4085">
        <v>5</v>
      </c>
      <c r="B4085" t="s">
        <v>386</v>
      </c>
      <c r="C4085" t="s">
        <v>8453</v>
      </c>
      <c r="D4085">
        <v>2.1800000000000002</v>
      </c>
      <c r="E4085" t="s">
        <v>52</v>
      </c>
      <c r="F4085" t="s">
        <v>114</v>
      </c>
      <c r="G4085">
        <v>4.05</v>
      </c>
      <c r="H4085">
        <v>0.31</v>
      </c>
      <c r="I4085">
        <v>1.87</v>
      </c>
      <c r="J4085">
        <v>3.4969000000000001</v>
      </c>
      <c r="K4085" t="str">
        <f>IFERROR(INDEX(Rosters!$C$2:$C$155,MATCH($B4085,Rosters!$B$2:$B$155,0)),"NA")</f>
        <v>NA</v>
      </c>
      <c r="L4085" t="str">
        <f t="shared" si="189"/>
        <v>NA5TE</v>
      </c>
      <c r="M4085">
        <f>COUNTIF(L$1:L4085,L4085)</f>
        <v>27</v>
      </c>
      <c r="N4085" t="str">
        <f t="shared" si="190"/>
        <v>NA5TE-27</v>
      </c>
      <c r="O4085">
        <f>COUNTIFS(F$1:F4085,F4085,A$1:A4085,A4085)</f>
        <v>38</v>
      </c>
      <c r="P4085" t="str">
        <f t="shared" si="191"/>
        <v>Nick Boyle5</v>
      </c>
    </row>
    <row r="4086" spans="1:16" x14ac:dyDescent="0.25">
      <c r="A4086">
        <v>17</v>
      </c>
      <c r="B4086" t="s">
        <v>1457</v>
      </c>
      <c r="C4086" t="s">
        <v>8454</v>
      </c>
      <c r="D4086">
        <v>2.1800000000000002</v>
      </c>
      <c r="E4086" t="s">
        <v>56</v>
      </c>
      <c r="F4086" t="s">
        <v>87</v>
      </c>
      <c r="G4086">
        <v>4.03</v>
      </c>
      <c r="H4086">
        <v>0.33</v>
      </c>
      <c r="I4086">
        <v>1.85</v>
      </c>
      <c r="J4086">
        <v>3.4224999999999999</v>
      </c>
      <c r="K4086" t="str">
        <f>IFERROR(INDEX(Rosters!$C$2:$C$155,MATCH($B4086,Rosters!$B$2:$B$155,0)),"NA")</f>
        <v>NA</v>
      </c>
      <c r="L4086" t="str">
        <f t="shared" si="189"/>
        <v>NA17WR</v>
      </c>
      <c r="M4086">
        <f>COUNTIF(L$1:L4086,L4086)</f>
        <v>56</v>
      </c>
      <c r="N4086" t="str">
        <f t="shared" si="190"/>
        <v>NA17WR-56</v>
      </c>
      <c r="O4086">
        <f>COUNTIFS(F$1:F4086,F4086,A$1:A4086,A4086)</f>
        <v>110</v>
      </c>
      <c r="P4086" t="str">
        <f t="shared" si="191"/>
        <v>Trent Taylor17</v>
      </c>
    </row>
    <row r="4087" spans="1:16" x14ac:dyDescent="0.25">
      <c r="A4087">
        <v>16</v>
      </c>
      <c r="B4087" t="s">
        <v>316</v>
      </c>
      <c r="C4087" t="s">
        <v>8455</v>
      </c>
      <c r="D4087">
        <v>2.17</v>
      </c>
      <c r="E4087" t="s">
        <v>19</v>
      </c>
      <c r="F4087" t="s">
        <v>47</v>
      </c>
      <c r="G4087">
        <v>3.96</v>
      </c>
      <c r="H4087">
        <v>0.38</v>
      </c>
      <c r="I4087">
        <v>1.79</v>
      </c>
      <c r="J4087">
        <v>3.2040999999999999</v>
      </c>
      <c r="K4087" t="str">
        <f>IFERROR(INDEX(Rosters!$C$2:$C$155,MATCH($B4087,Rosters!$B$2:$B$155,0)),"NA")</f>
        <v>NA</v>
      </c>
      <c r="L4087" t="str">
        <f t="shared" si="189"/>
        <v>NA16RB</v>
      </c>
      <c r="M4087">
        <f>COUNTIF(L$1:L4087,L4087)</f>
        <v>27</v>
      </c>
      <c r="N4087" t="str">
        <f t="shared" si="190"/>
        <v>NA16RB-27</v>
      </c>
      <c r="O4087">
        <f>COUNTIFS(F$1:F4087,F4087,A$1:A4087,A4087)</f>
        <v>74</v>
      </c>
      <c r="P4087" t="str">
        <f t="shared" si="191"/>
        <v>Corey Grant16</v>
      </c>
    </row>
    <row r="4088" spans="1:16" x14ac:dyDescent="0.25">
      <c r="A4088">
        <v>10</v>
      </c>
      <c r="B4088" t="s">
        <v>320</v>
      </c>
      <c r="C4088" t="s">
        <v>8456</v>
      </c>
      <c r="D4088">
        <v>2.17</v>
      </c>
      <c r="E4088" t="s">
        <v>29</v>
      </c>
      <c r="F4088" t="s">
        <v>47</v>
      </c>
      <c r="G4088">
        <v>3.94</v>
      </c>
      <c r="H4088">
        <v>0.4</v>
      </c>
      <c r="I4088">
        <v>1.77</v>
      </c>
      <c r="J4088">
        <v>3.1328999999999998</v>
      </c>
      <c r="K4088" t="str">
        <f>IFERROR(INDEX(Rosters!$C$2:$C$155,MATCH($B4088,Rosters!$B$2:$B$155,0)),"NA")</f>
        <v>NA</v>
      </c>
      <c r="L4088" t="str">
        <f t="shared" si="189"/>
        <v>NA10RB</v>
      </c>
      <c r="M4088">
        <f>COUNTIF(L$1:L4088,L4088)</f>
        <v>27</v>
      </c>
      <c r="N4088" t="str">
        <f t="shared" si="190"/>
        <v>NA10RB-27</v>
      </c>
      <c r="O4088">
        <f>COUNTIFS(F$1:F4088,F4088,A$1:A4088,A4088)</f>
        <v>66</v>
      </c>
      <c r="P4088" t="str">
        <f t="shared" si="191"/>
        <v>Elijah McGuire10</v>
      </c>
    </row>
    <row r="4089" spans="1:16" x14ac:dyDescent="0.25">
      <c r="A4089">
        <v>3</v>
      </c>
      <c r="B4089" t="s">
        <v>1517</v>
      </c>
      <c r="C4089" t="s">
        <v>3795</v>
      </c>
      <c r="D4089">
        <v>2.17</v>
      </c>
      <c r="E4089" t="s">
        <v>14</v>
      </c>
      <c r="F4089" t="s">
        <v>114</v>
      </c>
      <c r="G4089">
        <v>4.34</v>
      </c>
      <c r="H4089">
        <v>0</v>
      </c>
      <c r="I4089">
        <v>2.17</v>
      </c>
      <c r="J4089">
        <v>4.7088999999999999</v>
      </c>
      <c r="K4089" t="str">
        <f>IFERROR(INDEX(Rosters!$C$2:$C$155,MATCH($B4089,Rosters!$B$2:$B$155,0)),"NA")</f>
        <v>NA</v>
      </c>
      <c r="L4089" t="str">
        <f t="shared" si="189"/>
        <v>NA3TE</v>
      </c>
      <c r="M4089">
        <f>COUNTIF(L$1:L4089,L4089)</f>
        <v>30</v>
      </c>
      <c r="N4089" t="str">
        <f t="shared" si="190"/>
        <v>NA3TE-30</v>
      </c>
      <c r="O4089">
        <f>COUNTIFS(F$1:F4089,F4089,A$1:A4089,A4089)</f>
        <v>42</v>
      </c>
      <c r="P4089" t="str">
        <f t="shared" si="191"/>
        <v>Eric Saubert3</v>
      </c>
    </row>
    <row r="4090" spans="1:16" x14ac:dyDescent="0.25">
      <c r="A4090">
        <v>11</v>
      </c>
      <c r="B4090" t="s">
        <v>358</v>
      </c>
      <c r="C4090">
        <f>-0.28-4.62</f>
        <v>-4.9000000000000004</v>
      </c>
      <c r="D4090">
        <v>2.17</v>
      </c>
      <c r="E4090" t="s">
        <v>51</v>
      </c>
      <c r="F4090" t="s">
        <v>114</v>
      </c>
      <c r="G4090">
        <v>4.62</v>
      </c>
      <c r="H4090">
        <v>-0.28000000000000003</v>
      </c>
      <c r="I4090">
        <v>2.4500000000000002</v>
      </c>
      <c r="J4090">
        <v>6.0025000000000004</v>
      </c>
      <c r="K4090" t="str">
        <f>IFERROR(INDEX(Rosters!$C$2:$C$155,MATCH($B4090,Rosters!$B$2:$B$155,0)),"NA")</f>
        <v>NA</v>
      </c>
      <c r="L4090" t="str">
        <f t="shared" si="189"/>
        <v>NA11TE</v>
      </c>
      <c r="M4090">
        <f>COUNTIF(L$1:L4090,L4090)</f>
        <v>27</v>
      </c>
      <c r="N4090" t="str">
        <f t="shared" si="190"/>
        <v>NA11TE-27</v>
      </c>
      <c r="O4090">
        <f>COUNTIFS(F$1:F4090,F4090,A$1:A4090,A4090)</f>
        <v>39</v>
      </c>
      <c r="P4090" t="str">
        <f t="shared" si="191"/>
        <v>James O'Shaughnessy11</v>
      </c>
    </row>
    <row r="4091" spans="1:16" x14ac:dyDescent="0.25">
      <c r="A4091">
        <v>3</v>
      </c>
      <c r="B4091" t="s">
        <v>239</v>
      </c>
      <c r="C4091">
        <f>-1.22-5.56</f>
        <v>-6.7799999999999994</v>
      </c>
      <c r="D4091">
        <v>2.17</v>
      </c>
      <c r="E4091" t="s">
        <v>74</v>
      </c>
      <c r="F4091" t="s">
        <v>87</v>
      </c>
      <c r="G4091">
        <v>5.56</v>
      </c>
      <c r="H4091">
        <v>-1.22</v>
      </c>
      <c r="I4091">
        <v>3.39</v>
      </c>
      <c r="J4091">
        <v>11.492100000000001</v>
      </c>
      <c r="K4091" t="str">
        <f>IFERROR(INDEX(Rosters!$C$2:$C$155,MATCH($B4091,Rosters!$B$2:$B$155,0)),"NA")</f>
        <v>NA</v>
      </c>
      <c r="L4091" t="str">
        <f t="shared" si="189"/>
        <v>NA3WR</v>
      </c>
      <c r="M4091">
        <f>COUNTIF(L$1:L4091,L4091)</f>
        <v>53</v>
      </c>
      <c r="N4091" t="str">
        <f t="shared" si="190"/>
        <v>NA3WR-53</v>
      </c>
      <c r="O4091">
        <f>COUNTIFS(F$1:F4091,F4091,A$1:A4091,A4091)</f>
        <v>101</v>
      </c>
      <c r="P4091" t="str">
        <f t="shared" si="191"/>
        <v>John Ross3</v>
      </c>
    </row>
    <row r="4092" spans="1:16" x14ac:dyDescent="0.25">
      <c r="A4092">
        <v>1</v>
      </c>
      <c r="B4092" t="s">
        <v>1495</v>
      </c>
      <c r="C4092" t="s">
        <v>3372</v>
      </c>
      <c r="D4092">
        <v>2.17</v>
      </c>
      <c r="E4092" t="s">
        <v>19</v>
      </c>
      <c r="F4092" t="s">
        <v>114</v>
      </c>
      <c r="G4092">
        <v>4.09</v>
      </c>
      <c r="H4092">
        <v>0.25</v>
      </c>
      <c r="I4092">
        <v>1.92</v>
      </c>
      <c r="J4092">
        <v>3.6863999999999999</v>
      </c>
      <c r="K4092" t="str">
        <f>IFERROR(INDEX(Rosters!$C$2:$C$155,MATCH($B4092,Rosters!$B$2:$B$155,0)),"NA")</f>
        <v>NA</v>
      </c>
      <c r="L4092" t="str">
        <f t="shared" si="189"/>
        <v>NA1TE</v>
      </c>
      <c r="M4092">
        <f>COUNTIF(L$1:L4092,L4092)</f>
        <v>21</v>
      </c>
      <c r="N4092" t="str">
        <f t="shared" si="190"/>
        <v>NA1TE-21</v>
      </c>
      <c r="O4092">
        <f>COUNTIFS(F$1:F4092,F4092,A$1:A4092,A4092)</f>
        <v>34</v>
      </c>
      <c r="P4092" t="str">
        <f t="shared" si="191"/>
        <v>Jonnu Smith1</v>
      </c>
    </row>
    <row r="4093" spans="1:16" x14ac:dyDescent="0.25">
      <c r="A4093">
        <v>6</v>
      </c>
      <c r="B4093" t="s">
        <v>4226</v>
      </c>
      <c r="C4093">
        <f>-0.11-4.45</f>
        <v>-4.5600000000000005</v>
      </c>
      <c r="D4093">
        <v>2.17</v>
      </c>
      <c r="E4093" t="s">
        <v>29</v>
      </c>
      <c r="F4093" t="s">
        <v>114</v>
      </c>
      <c r="G4093">
        <v>4.45</v>
      </c>
      <c r="H4093">
        <v>-0.11</v>
      </c>
      <c r="I4093">
        <v>2.2799999999999998</v>
      </c>
      <c r="J4093">
        <v>5.1984000000000004</v>
      </c>
      <c r="K4093" t="str">
        <f>IFERROR(INDEX(Rosters!$C$2:$C$155,MATCH($B4093,Rosters!$B$2:$B$155,0)),"NA")</f>
        <v>NA</v>
      </c>
      <c r="L4093" t="str">
        <f t="shared" si="189"/>
        <v>NA6TE</v>
      </c>
      <c r="M4093">
        <f>COUNTIF(L$1:L4093,L4093)</f>
        <v>29</v>
      </c>
      <c r="N4093" t="str">
        <f t="shared" si="190"/>
        <v>NA6TE-29</v>
      </c>
      <c r="O4093">
        <f>COUNTIFS(F$1:F4093,F4093,A$1:A4093,A4093)</f>
        <v>41</v>
      </c>
      <c r="P4093" t="str">
        <f t="shared" si="191"/>
        <v>Jordan Thomas6</v>
      </c>
    </row>
    <row r="4094" spans="1:16" x14ac:dyDescent="0.25">
      <c r="A4094">
        <v>5</v>
      </c>
      <c r="B4094" t="s">
        <v>1336</v>
      </c>
      <c r="C4094" t="s">
        <v>8457</v>
      </c>
      <c r="D4094">
        <v>2.17</v>
      </c>
      <c r="E4094" t="s">
        <v>56</v>
      </c>
      <c r="F4094" t="s">
        <v>47</v>
      </c>
      <c r="G4094">
        <v>4.13</v>
      </c>
      <c r="H4094">
        <v>0.21</v>
      </c>
      <c r="I4094">
        <v>1.96</v>
      </c>
      <c r="J4094">
        <v>3.8416000000000001</v>
      </c>
      <c r="K4094" t="str">
        <f>IFERROR(INDEX(Rosters!$C$2:$C$155,MATCH($B4094,Rosters!$B$2:$B$155,0)),"NA")</f>
        <v>NA</v>
      </c>
      <c r="L4094" t="str">
        <f t="shared" si="189"/>
        <v>NA5RB</v>
      </c>
      <c r="M4094">
        <f>COUNTIF(L$1:L4094,L4094)</f>
        <v>23</v>
      </c>
      <c r="N4094" t="str">
        <f t="shared" si="190"/>
        <v>NA5RB-23</v>
      </c>
      <c r="O4094">
        <f>COUNTIFS(F$1:F4094,F4094,A$1:A4094,A4094)</f>
        <v>66</v>
      </c>
      <c r="P4094" t="str">
        <f t="shared" si="191"/>
        <v>Rashaad Penny5</v>
      </c>
    </row>
    <row r="4095" spans="1:16" x14ac:dyDescent="0.25">
      <c r="A4095">
        <v>8</v>
      </c>
      <c r="B4095" t="s">
        <v>387</v>
      </c>
      <c r="C4095" t="s">
        <v>3795</v>
      </c>
      <c r="D4095">
        <v>2.17</v>
      </c>
      <c r="E4095" t="s">
        <v>60</v>
      </c>
      <c r="F4095" t="s">
        <v>114</v>
      </c>
      <c r="G4095">
        <v>4.34</v>
      </c>
      <c r="H4095">
        <v>0</v>
      </c>
      <c r="I4095">
        <v>2.17</v>
      </c>
      <c r="J4095">
        <v>4.7088999999999999</v>
      </c>
      <c r="K4095" t="str">
        <f>IFERROR(INDEX(Rosters!$C$2:$C$155,MATCH($B4095,Rosters!$B$2:$B$155,0)),"NA")</f>
        <v>NA</v>
      </c>
      <c r="L4095" t="str">
        <f t="shared" si="189"/>
        <v>NA8TE</v>
      </c>
      <c r="M4095">
        <f>COUNTIF(L$1:L4095,L4095)</f>
        <v>30</v>
      </c>
      <c r="N4095" t="str">
        <f t="shared" si="190"/>
        <v>NA8TE-30</v>
      </c>
      <c r="O4095">
        <f>COUNTIFS(F$1:F4095,F4095,A$1:A4095,A4095)</f>
        <v>42</v>
      </c>
      <c r="P4095" t="str">
        <f t="shared" si="191"/>
        <v>Rhett Ellison8</v>
      </c>
    </row>
    <row r="4096" spans="1:16" x14ac:dyDescent="0.25">
      <c r="A4096">
        <v>4</v>
      </c>
      <c r="B4096" t="s">
        <v>259</v>
      </c>
      <c r="C4096" t="s">
        <v>4635</v>
      </c>
      <c r="D4096">
        <v>2.17</v>
      </c>
      <c r="E4096" t="s">
        <v>14</v>
      </c>
      <c r="F4096" t="s">
        <v>87</v>
      </c>
      <c r="G4096">
        <v>4.3099999999999996</v>
      </c>
      <c r="H4096">
        <v>0.03</v>
      </c>
      <c r="I4096">
        <v>2.14</v>
      </c>
      <c r="J4096">
        <v>4.5796000000000001</v>
      </c>
      <c r="K4096" t="str">
        <f>IFERROR(INDEX(Rosters!$C$2:$C$155,MATCH($B4096,Rosters!$B$2:$B$155,0)),"NA")</f>
        <v>NA</v>
      </c>
      <c r="L4096" t="str">
        <f t="shared" si="189"/>
        <v>NA4WR</v>
      </c>
      <c r="M4096">
        <f>COUNTIF(L$1:L4096,L4096)</f>
        <v>46</v>
      </c>
      <c r="N4096" t="str">
        <f t="shared" si="190"/>
        <v>NA4WR-46</v>
      </c>
      <c r="O4096">
        <f>COUNTIFS(F$1:F4096,F4096,A$1:A4096,A4096)</f>
        <v>96</v>
      </c>
      <c r="P4096" t="str">
        <f t="shared" si="191"/>
        <v>Russell Shepard4</v>
      </c>
    </row>
    <row r="4097" spans="1:16" x14ac:dyDescent="0.25">
      <c r="A4097">
        <v>15</v>
      </c>
      <c r="B4097" t="s">
        <v>297</v>
      </c>
      <c r="C4097">
        <f>-0.15-4.49</f>
        <v>-4.6400000000000006</v>
      </c>
      <c r="D4097">
        <v>2.17</v>
      </c>
      <c r="E4097" t="s">
        <v>42</v>
      </c>
      <c r="F4097" t="s">
        <v>114</v>
      </c>
      <c r="G4097">
        <v>4.49</v>
      </c>
      <c r="H4097">
        <v>-0.15</v>
      </c>
      <c r="I4097">
        <v>2.3199999999999998</v>
      </c>
      <c r="J4097">
        <v>5.3823999999999996</v>
      </c>
      <c r="K4097" t="str">
        <f>IFERROR(INDEX(Rosters!$C$2:$C$155,MATCH($B4097,Rosters!$B$2:$B$155,0)),"NA")</f>
        <v>NA</v>
      </c>
      <c r="L4097" t="str">
        <f t="shared" si="189"/>
        <v>NA15TE</v>
      </c>
      <c r="M4097">
        <f>COUNTIF(L$1:L4097,L4097)</f>
        <v>27</v>
      </c>
      <c r="N4097" t="str">
        <f t="shared" si="190"/>
        <v>NA15TE-27</v>
      </c>
      <c r="O4097">
        <f>COUNTIFS(F$1:F4097,F4097,A$1:A4097,A4097)</f>
        <v>41</v>
      </c>
      <c r="P4097" t="str">
        <f t="shared" si="191"/>
        <v>Seth DeValve15</v>
      </c>
    </row>
    <row r="4098" spans="1:16" x14ac:dyDescent="0.25">
      <c r="A4098">
        <v>6</v>
      </c>
      <c r="B4098" t="s">
        <v>249</v>
      </c>
      <c r="C4098" t="s">
        <v>8458</v>
      </c>
      <c r="D4098">
        <v>2.17</v>
      </c>
      <c r="E4098" t="s">
        <v>52</v>
      </c>
      <c r="F4098" t="s">
        <v>87</v>
      </c>
      <c r="G4098">
        <v>4.2699999999999996</v>
      </c>
      <c r="H4098">
        <v>7.0000000000000007E-2</v>
      </c>
      <c r="I4098">
        <v>2.1</v>
      </c>
      <c r="J4098">
        <v>4.41</v>
      </c>
      <c r="K4098" t="str">
        <f>IFERROR(INDEX(Rosters!$C$2:$C$155,MATCH($B4098,Rosters!$B$2:$B$155,0)),"NA")</f>
        <v>NA</v>
      </c>
      <c r="L4098" t="str">
        <f t="shared" si="189"/>
        <v>NA6WR</v>
      </c>
      <c r="M4098">
        <f>COUNTIF(L$1:L4098,L4098)</f>
        <v>54</v>
      </c>
      <c r="N4098" t="str">
        <f t="shared" si="190"/>
        <v>NA6WR-54</v>
      </c>
      <c r="O4098">
        <f>COUNTIFS(F$1:F4098,F4098,A$1:A4098,A4098)</f>
        <v>104</v>
      </c>
      <c r="P4098" t="str">
        <f t="shared" si="191"/>
        <v>Travis Benjamin6</v>
      </c>
    </row>
    <row r="4099" spans="1:16" x14ac:dyDescent="0.25">
      <c r="A4099">
        <v>12</v>
      </c>
      <c r="B4099" t="s">
        <v>249</v>
      </c>
      <c r="C4099" t="s">
        <v>8459</v>
      </c>
      <c r="D4099">
        <v>2.17</v>
      </c>
      <c r="E4099" t="s">
        <v>58</v>
      </c>
      <c r="F4099" t="s">
        <v>87</v>
      </c>
      <c r="G4099">
        <v>4.21</v>
      </c>
      <c r="H4099">
        <v>0.13</v>
      </c>
      <c r="I4099">
        <v>2.04</v>
      </c>
      <c r="J4099">
        <v>4.1616</v>
      </c>
      <c r="K4099" t="str">
        <f>IFERROR(INDEX(Rosters!$C$2:$C$155,MATCH($B4099,Rosters!$B$2:$B$155,0)),"NA")</f>
        <v>NA</v>
      </c>
      <c r="L4099" t="str">
        <f t="shared" ref="L4099:L4162" si="192">K4099&amp;A4099&amp;F4099</f>
        <v>NA12WR</v>
      </c>
      <c r="M4099">
        <f>COUNTIF(L$1:L4099,L4099)</f>
        <v>55</v>
      </c>
      <c r="N4099" t="str">
        <f t="shared" ref="N4099:N4162" si="193">L4099&amp;"-"&amp;M4099</f>
        <v>NA12WR-55</v>
      </c>
      <c r="O4099">
        <f>COUNTIFS(F$1:F4099,F4099,A$1:A4099,A4099)</f>
        <v>104</v>
      </c>
      <c r="P4099" t="str">
        <f t="shared" ref="P4099:P4162" si="194">B4099&amp;A4099</f>
        <v>Travis Benjamin12</v>
      </c>
    </row>
    <row r="4100" spans="1:16" x14ac:dyDescent="0.25">
      <c r="A4100">
        <v>17</v>
      </c>
      <c r="B4100" t="s">
        <v>121</v>
      </c>
      <c r="C4100" t="s">
        <v>8460</v>
      </c>
      <c r="D4100">
        <v>2.16</v>
      </c>
      <c r="E4100" t="s">
        <v>41</v>
      </c>
      <c r="F4100" t="s">
        <v>47</v>
      </c>
      <c r="G4100">
        <v>3.85</v>
      </c>
      <c r="H4100">
        <v>0.47</v>
      </c>
      <c r="I4100">
        <v>1.69</v>
      </c>
      <c r="J4100">
        <v>2.8561000000000001</v>
      </c>
      <c r="K4100" t="str">
        <f>IFERROR(INDEX(Rosters!$C$2:$C$155,MATCH($B4100,Rosters!$B$2:$B$155,0)),"NA")</f>
        <v>NA</v>
      </c>
      <c r="L4100" t="str">
        <f t="shared" si="192"/>
        <v>NA17RB</v>
      </c>
      <c r="M4100">
        <f>COUNTIF(L$1:L4100,L4100)</f>
        <v>27</v>
      </c>
      <c r="N4100" t="str">
        <f t="shared" si="193"/>
        <v>NA17RB-27</v>
      </c>
      <c r="O4100">
        <f>COUNTIFS(F$1:F4100,F4100,A$1:A4100,A4100)</f>
        <v>74</v>
      </c>
      <c r="P4100" t="str">
        <f t="shared" si="194"/>
        <v>Ameer Abdullah17</v>
      </c>
    </row>
    <row r="4101" spans="1:16" x14ac:dyDescent="0.25">
      <c r="A4101">
        <v>12</v>
      </c>
      <c r="B4101" t="s">
        <v>2599</v>
      </c>
      <c r="C4101" t="s">
        <v>8461</v>
      </c>
      <c r="D4101">
        <v>2.16</v>
      </c>
      <c r="E4101" t="s">
        <v>77</v>
      </c>
      <c r="F4101" t="s">
        <v>87</v>
      </c>
      <c r="G4101">
        <v>4.2</v>
      </c>
      <c r="H4101">
        <v>0.12</v>
      </c>
      <c r="I4101">
        <v>2.04</v>
      </c>
      <c r="J4101">
        <v>4.1616</v>
      </c>
      <c r="K4101" t="str">
        <f>IFERROR(INDEX(Rosters!$C$2:$C$155,MATCH($B4101,Rosters!$B$2:$B$155,0)),"NA")</f>
        <v>NA</v>
      </c>
      <c r="L4101" t="str">
        <f t="shared" si="192"/>
        <v>NA12WR</v>
      </c>
      <c r="M4101">
        <f>COUNTIF(L$1:L4101,L4101)</f>
        <v>56</v>
      </c>
      <c r="N4101" t="str">
        <f t="shared" si="193"/>
        <v>NA12WR-56</v>
      </c>
      <c r="O4101">
        <f>COUNTIFS(F$1:F4101,F4101,A$1:A4101,A4101)</f>
        <v>105</v>
      </c>
      <c r="P4101" t="str">
        <f t="shared" si="194"/>
        <v>Brandon LaFell12</v>
      </c>
    </row>
    <row r="4102" spans="1:16" x14ac:dyDescent="0.25">
      <c r="A4102">
        <v>2</v>
      </c>
      <c r="B4102" t="s">
        <v>216</v>
      </c>
      <c r="C4102" t="s">
        <v>1494</v>
      </c>
      <c r="D4102">
        <v>2.16</v>
      </c>
      <c r="E4102" t="s">
        <v>72</v>
      </c>
      <c r="F4102" t="s">
        <v>47</v>
      </c>
      <c r="G4102">
        <v>4.16</v>
      </c>
      <c r="H4102">
        <v>0.16</v>
      </c>
      <c r="I4102">
        <v>2</v>
      </c>
      <c r="J4102">
        <v>4</v>
      </c>
      <c r="K4102" t="str">
        <f>IFERROR(INDEX(Rosters!$C$2:$C$155,MATCH($B4102,Rosters!$B$2:$B$155,0)),"NA")</f>
        <v>NA</v>
      </c>
      <c r="L4102" t="str">
        <f t="shared" si="192"/>
        <v>NA2RB</v>
      </c>
      <c r="M4102">
        <f>COUNTIF(L$1:L4102,L4102)</f>
        <v>23</v>
      </c>
      <c r="N4102" t="str">
        <f t="shared" si="193"/>
        <v>NA2RB-23</v>
      </c>
      <c r="O4102">
        <f>COUNTIFS(F$1:F4102,F4102,A$1:A4102,A4102)</f>
        <v>65</v>
      </c>
      <c r="P4102" t="str">
        <f t="shared" si="194"/>
        <v>C.J. Prosise2</v>
      </c>
    </row>
    <row r="4103" spans="1:16" x14ac:dyDescent="0.25">
      <c r="A4103">
        <v>16</v>
      </c>
      <c r="B4103" t="s">
        <v>277</v>
      </c>
      <c r="C4103" t="s">
        <v>8462</v>
      </c>
      <c r="D4103">
        <v>2.16</v>
      </c>
      <c r="E4103" t="s">
        <v>72</v>
      </c>
      <c r="F4103" t="s">
        <v>114</v>
      </c>
      <c r="G4103">
        <v>3.75</v>
      </c>
      <c r="H4103">
        <v>0.56999999999999995</v>
      </c>
      <c r="I4103">
        <v>1.59</v>
      </c>
      <c r="J4103">
        <v>2.5280999999999998</v>
      </c>
      <c r="K4103" t="str">
        <f>IFERROR(INDEX(Rosters!$C$2:$C$155,MATCH($B4103,Rosters!$B$2:$B$155,0)),"NA")</f>
        <v>NA</v>
      </c>
      <c r="L4103" t="str">
        <f t="shared" si="192"/>
        <v>NA16TE</v>
      </c>
      <c r="M4103">
        <f>COUNTIF(L$1:L4103,L4103)</f>
        <v>35</v>
      </c>
      <c r="N4103" t="str">
        <f t="shared" si="193"/>
        <v>NA16TE-35</v>
      </c>
      <c r="O4103">
        <f>COUNTIFS(F$1:F4103,F4103,A$1:A4103,A4103)</f>
        <v>49</v>
      </c>
      <c r="P4103" t="str">
        <f t="shared" si="194"/>
        <v>Garrett Celek16</v>
      </c>
    </row>
    <row r="4104" spans="1:16" x14ac:dyDescent="0.25">
      <c r="A4104">
        <v>11</v>
      </c>
      <c r="B4104" t="s">
        <v>338</v>
      </c>
      <c r="C4104" t="s">
        <v>8463</v>
      </c>
      <c r="D4104">
        <v>2.16</v>
      </c>
      <c r="E4104" t="s">
        <v>41</v>
      </c>
      <c r="F4104" t="s">
        <v>87</v>
      </c>
      <c r="G4104">
        <v>4.0199999999999996</v>
      </c>
      <c r="H4104">
        <v>0.3</v>
      </c>
      <c r="I4104">
        <v>1.86</v>
      </c>
      <c r="J4104">
        <v>3.4596</v>
      </c>
      <c r="K4104" t="str">
        <f>IFERROR(INDEX(Rosters!$C$2:$C$155,MATCH($B4104,Rosters!$B$2:$B$155,0)),"NA")</f>
        <v>NA</v>
      </c>
      <c r="L4104" t="str">
        <f t="shared" si="192"/>
        <v>NA11WR</v>
      </c>
      <c r="M4104">
        <f>COUNTIF(L$1:L4104,L4104)</f>
        <v>42</v>
      </c>
      <c r="N4104" t="str">
        <f t="shared" si="193"/>
        <v>NA11WR-42</v>
      </c>
      <c r="O4104">
        <f>COUNTIFS(F$1:F4104,F4104,A$1:A4104,A4104)</f>
        <v>89</v>
      </c>
      <c r="P4104" t="str">
        <f t="shared" si="194"/>
        <v>Jaron Brown11</v>
      </c>
    </row>
    <row r="4105" spans="1:16" x14ac:dyDescent="0.25">
      <c r="A4105">
        <v>12</v>
      </c>
      <c r="B4105" t="s">
        <v>231</v>
      </c>
      <c r="C4105">
        <f>-0.59-4.91</f>
        <v>-5.5</v>
      </c>
      <c r="D4105">
        <v>2.16</v>
      </c>
      <c r="E4105" t="s">
        <v>37</v>
      </c>
      <c r="F4105" t="s">
        <v>114</v>
      </c>
      <c r="G4105">
        <v>4.91</v>
      </c>
      <c r="H4105">
        <v>-0.59</v>
      </c>
      <c r="I4105">
        <v>2.75</v>
      </c>
      <c r="J4105">
        <v>7.5625</v>
      </c>
      <c r="K4105" t="str">
        <f>IFERROR(INDEX(Rosters!$C$2:$C$155,MATCH($B4105,Rosters!$B$2:$B$155,0)),"NA")</f>
        <v>NA</v>
      </c>
      <c r="L4105" t="str">
        <f t="shared" si="192"/>
        <v>NA12TE</v>
      </c>
      <c r="M4105">
        <f>COUNTIF(L$1:L4105,L4105)</f>
        <v>32</v>
      </c>
      <c r="N4105" t="str">
        <f t="shared" si="193"/>
        <v>NA12TE-32</v>
      </c>
      <c r="O4105">
        <f>COUNTIFS(F$1:F4105,F4105,A$1:A4105,A4105)</f>
        <v>45</v>
      </c>
      <c r="P4105" t="str">
        <f t="shared" si="194"/>
        <v>Jermaine Gresham12</v>
      </c>
    </row>
    <row r="4106" spans="1:16" x14ac:dyDescent="0.25">
      <c r="A4106">
        <v>4</v>
      </c>
      <c r="B4106" t="s">
        <v>274</v>
      </c>
      <c r="C4106">
        <f>-0.26-4.58</f>
        <v>-4.84</v>
      </c>
      <c r="D4106">
        <v>2.16</v>
      </c>
      <c r="E4106" t="s">
        <v>66</v>
      </c>
      <c r="F4106" t="s">
        <v>114</v>
      </c>
      <c r="G4106">
        <v>4.58</v>
      </c>
      <c r="H4106">
        <v>-0.26</v>
      </c>
      <c r="I4106">
        <v>2.42</v>
      </c>
      <c r="J4106">
        <v>5.8563999999999998</v>
      </c>
      <c r="K4106" t="str">
        <f>IFERROR(INDEX(Rosters!$C$2:$C$155,MATCH($B4106,Rosters!$B$2:$B$155,0)),"NA")</f>
        <v>NA</v>
      </c>
      <c r="L4106" t="str">
        <f t="shared" si="192"/>
        <v>NA4TE</v>
      </c>
      <c r="M4106">
        <f>COUNTIF(L$1:L4106,L4106)</f>
        <v>28</v>
      </c>
      <c r="N4106" t="str">
        <f t="shared" si="193"/>
        <v>NA4TE-28</v>
      </c>
      <c r="O4106">
        <f>COUNTIFS(F$1:F4106,F4106,A$1:A4106,A4106)</f>
        <v>39</v>
      </c>
      <c r="P4106" t="str">
        <f t="shared" si="194"/>
        <v>Ryan Griffin4</v>
      </c>
    </row>
    <row r="4107" spans="1:16" x14ac:dyDescent="0.25">
      <c r="A4107">
        <v>9</v>
      </c>
      <c r="B4107" t="s">
        <v>1646</v>
      </c>
      <c r="C4107" t="s">
        <v>8464</v>
      </c>
      <c r="D4107">
        <v>2.16</v>
      </c>
      <c r="E4107" t="s">
        <v>56</v>
      </c>
      <c r="F4107" t="s">
        <v>15</v>
      </c>
      <c r="G4107">
        <v>2.75</v>
      </c>
      <c r="H4107">
        <v>1.57</v>
      </c>
      <c r="I4107">
        <v>0.59</v>
      </c>
      <c r="J4107">
        <v>0.34810000000000002</v>
      </c>
      <c r="K4107" t="str">
        <f>IFERROR(INDEX(Rosters!$C$2:$C$155,MATCH($B4107,Rosters!$B$2:$B$155,0)),"NA")</f>
        <v>NA</v>
      </c>
      <c r="L4107" t="str">
        <f t="shared" si="192"/>
        <v>NA9QB</v>
      </c>
      <c r="M4107">
        <f>COUNTIF(L$1:L4107,L4107)</f>
        <v>14</v>
      </c>
      <c r="N4107" t="str">
        <f t="shared" si="193"/>
        <v>NA9QB-14</v>
      </c>
      <c r="O4107">
        <f>COUNTIFS(F$1:F4107,F4107,A$1:A4107,A4107)</f>
        <v>28</v>
      </c>
      <c r="P4107" t="str">
        <f t="shared" si="194"/>
        <v>Taysom Hill9</v>
      </c>
    </row>
    <row r="4108" spans="1:16" x14ac:dyDescent="0.25">
      <c r="A4108">
        <v>8</v>
      </c>
      <c r="B4108" t="s">
        <v>286</v>
      </c>
      <c r="C4108">
        <f>-0.1-4.4</f>
        <v>-4.5</v>
      </c>
      <c r="D4108">
        <v>2.15</v>
      </c>
      <c r="E4108" t="s">
        <v>36</v>
      </c>
      <c r="F4108" t="s">
        <v>114</v>
      </c>
      <c r="G4108">
        <v>4.4000000000000004</v>
      </c>
      <c r="H4108">
        <v>-0.1</v>
      </c>
      <c r="I4108">
        <v>2.25</v>
      </c>
      <c r="J4108">
        <v>5.0625</v>
      </c>
      <c r="K4108" t="str">
        <f>IFERROR(INDEX(Rosters!$C$2:$C$155,MATCH($B4108,Rosters!$B$2:$B$155,0)),"NA")</f>
        <v>NA</v>
      </c>
      <c r="L4108" t="str">
        <f t="shared" si="192"/>
        <v>NA8TE</v>
      </c>
      <c r="M4108">
        <f>COUNTIF(L$1:L4108,L4108)</f>
        <v>31</v>
      </c>
      <c r="N4108" t="str">
        <f t="shared" si="193"/>
        <v>NA8TE-31</v>
      </c>
      <c r="O4108">
        <f>COUNTIFS(F$1:F4108,F4108,A$1:A4108,A4108)</f>
        <v>43</v>
      </c>
      <c r="P4108" t="str">
        <f t="shared" si="194"/>
        <v>A.J. Derby8</v>
      </c>
    </row>
    <row r="4109" spans="1:16" x14ac:dyDescent="0.25">
      <c r="A4109">
        <v>1</v>
      </c>
      <c r="B4109" t="s">
        <v>1124</v>
      </c>
      <c r="C4109">
        <f>-0.36-4.66</f>
        <v>-5.0200000000000005</v>
      </c>
      <c r="D4109">
        <v>2.15</v>
      </c>
      <c r="E4109" t="s">
        <v>37</v>
      </c>
      <c r="F4109" t="s">
        <v>87</v>
      </c>
      <c r="G4109">
        <v>4.66</v>
      </c>
      <c r="H4109">
        <v>-0.36</v>
      </c>
      <c r="I4109">
        <v>2.5099999999999998</v>
      </c>
      <c r="J4109">
        <v>6.3000999999999996</v>
      </c>
      <c r="K4109" t="str">
        <f>IFERROR(INDEX(Rosters!$C$2:$C$155,MATCH($B4109,Rosters!$B$2:$B$155,0)),"NA")</f>
        <v>NA</v>
      </c>
      <c r="L4109" t="str">
        <f t="shared" si="192"/>
        <v>NA1WR</v>
      </c>
      <c r="M4109">
        <f>COUNTIF(L$1:L4109,L4109)</f>
        <v>44</v>
      </c>
      <c r="N4109" t="str">
        <f t="shared" si="193"/>
        <v>NA1WR-44</v>
      </c>
      <c r="O4109">
        <f>COUNTIFS(F$1:F4109,F4109,A$1:A4109,A4109)</f>
        <v>93</v>
      </c>
      <c r="P4109" t="str">
        <f t="shared" si="194"/>
        <v>Chris Conley1</v>
      </c>
    </row>
    <row r="4110" spans="1:16" x14ac:dyDescent="0.25">
      <c r="A4110">
        <v>17</v>
      </c>
      <c r="B4110" t="s">
        <v>310</v>
      </c>
      <c r="C4110" t="s">
        <v>8465</v>
      </c>
      <c r="D4110">
        <v>2.15</v>
      </c>
      <c r="E4110" t="s">
        <v>32</v>
      </c>
      <c r="F4110" t="s">
        <v>114</v>
      </c>
      <c r="G4110">
        <v>3.9</v>
      </c>
      <c r="H4110">
        <v>0.4</v>
      </c>
      <c r="I4110">
        <v>1.75</v>
      </c>
      <c r="J4110">
        <v>3.0625</v>
      </c>
      <c r="K4110" t="str">
        <f>IFERROR(INDEX(Rosters!$C$2:$C$155,MATCH($B4110,Rosters!$B$2:$B$155,0)),"NA")</f>
        <v>NA</v>
      </c>
      <c r="L4110" t="str">
        <f t="shared" si="192"/>
        <v>NA17TE</v>
      </c>
      <c r="M4110">
        <f>COUNTIF(L$1:L4110,L4110)</f>
        <v>34</v>
      </c>
      <c r="N4110" t="str">
        <f t="shared" si="193"/>
        <v>NA17TE-34</v>
      </c>
      <c r="O4110">
        <f>COUNTIFS(F$1:F4110,F4110,A$1:A4110,A4110)</f>
        <v>48</v>
      </c>
      <c r="P4110" t="str">
        <f t="shared" si="194"/>
        <v>Demetrius Harris17</v>
      </c>
    </row>
    <row r="4111" spans="1:16" x14ac:dyDescent="0.25">
      <c r="A4111">
        <v>1</v>
      </c>
      <c r="B4111" t="s">
        <v>284</v>
      </c>
      <c r="C4111">
        <f>-0.08-4.38</f>
        <v>-4.46</v>
      </c>
      <c r="D4111">
        <v>2.15</v>
      </c>
      <c r="E4111" t="s">
        <v>41</v>
      </c>
      <c r="F4111" t="s">
        <v>114</v>
      </c>
      <c r="G4111">
        <v>4.38</v>
      </c>
      <c r="H4111">
        <v>-0.08</v>
      </c>
      <c r="I4111">
        <v>2.23</v>
      </c>
      <c r="J4111">
        <v>4.9729000000000001</v>
      </c>
      <c r="K4111" t="str">
        <f>IFERROR(INDEX(Rosters!$C$2:$C$155,MATCH($B4111,Rosters!$B$2:$B$155,0)),"NA")</f>
        <v>NA</v>
      </c>
      <c r="L4111" t="str">
        <f t="shared" si="192"/>
        <v>NA1TE</v>
      </c>
      <c r="M4111">
        <f>COUNTIF(L$1:L4111,L4111)</f>
        <v>22</v>
      </c>
      <c r="N4111" t="str">
        <f t="shared" si="193"/>
        <v>NA1TE-22</v>
      </c>
      <c r="O4111">
        <f>COUNTIFS(F$1:F4111,F4111,A$1:A4111,A4111)</f>
        <v>35</v>
      </c>
      <c r="P4111" t="str">
        <f t="shared" si="194"/>
        <v>Dion Sims1</v>
      </c>
    </row>
    <row r="4112" spans="1:16" x14ac:dyDescent="0.25">
      <c r="A4112">
        <v>12</v>
      </c>
      <c r="B4112" t="s">
        <v>358</v>
      </c>
      <c r="C4112">
        <f>-0.08-4.38</f>
        <v>-4.46</v>
      </c>
      <c r="D4112">
        <v>2.15</v>
      </c>
      <c r="E4112" t="s">
        <v>29</v>
      </c>
      <c r="F4112" t="s">
        <v>114</v>
      </c>
      <c r="G4112">
        <v>4.38</v>
      </c>
      <c r="H4112">
        <v>-0.08</v>
      </c>
      <c r="I4112">
        <v>2.23</v>
      </c>
      <c r="J4112">
        <v>4.9729000000000001</v>
      </c>
      <c r="K4112" t="str">
        <f>IFERROR(INDEX(Rosters!$C$2:$C$155,MATCH($B4112,Rosters!$B$2:$B$155,0)),"NA")</f>
        <v>NA</v>
      </c>
      <c r="L4112" t="str">
        <f t="shared" si="192"/>
        <v>NA12TE</v>
      </c>
      <c r="M4112">
        <f>COUNTIF(L$1:L4112,L4112)</f>
        <v>33</v>
      </c>
      <c r="N4112" t="str">
        <f t="shared" si="193"/>
        <v>NA12TE-33</v>
      </c>
      <c r="O4112">
        <f>COUNTIFS(F$1:F4112,F4112,A$1:A4112,A4112)</f>
        <v>46</v>
      </c>
      <c r="P4112" t="str">
        <f t="shared" si="194"/>
        <v>James O'Shaughnessy12</v>
      </c>
    </row>
    <row r="4113" spans="1:16" x14ac:dyDescent="0.25">
      <c r="A4113">
        <v>6</v>
      </c>
      <c r="B4113" t="s">
        <v>1336</v>
      </c>
      <c r="C4113" t="s">
        <v>8466</v>
      </c>
      <c r="D4113">
        <v>2.15</v>
      </c>
      <c r="E4113" t="s">
        <v>32</v>
      </c>
      <c r="F4113" t="s">
        <v>47</v>
      </c>
      <c r="G4113">
        <v>4.21</v>
      </c>
      <c r="H4113">
        <v>0.09</v>
      </c>
      <c r="I4113">
        <v>2.06</v>
      </c>
      <c r="J4113">
        <v>4.2435999999999998</v>
      </c>
      <c r="K4113" t="str">
        <f>IFERROR(INDEX(Rosters!$C$2:$C$155,MATCH($B4113,Rosters!$B$2:$B$155,0)),"NA")</f>
        <v>NA</v>
      </c>
      <c r="L4113" t="str">
        <f t="shared" si="192"/>
        <v>NA6RB</v>
      </c>
      <c r="M4113">
        <f>COUNTIF(L$1:L4113,L4113)</f>
        <v>25</v>
      </c>
      <c r="N4113" t="str">
        <f t="shared" si="193"/>
        <v>NA6RB-25</v>
      </c>
      <c r="O4113">
        <f>COUNTIFS(F$1:F4113,F4113,A$1:A4113,A4113)</f>
        <v>67</v>
      </c>
      <c r="P4113" t="str">
        <f t="shared" si="194"/>
        <v>Rashaad Penny6</v>
      </c>
    </row>
    <row r="4114" spans="1:16" x14ac:dyDescent="0.25">
      <c r="A4114">
        <v>17</v>
      </c>
      <c r="B4114" t="s">
        <v>249</v>
      </c>
      <c r="C4114" t="s">
        <v>8467</v>
      </c>
      <c r="D4114">
        <v>2.15</v>
      </c>
      <c r="E4114" t="s">
        <v>42</v>
      </c>
      <c r="F4114" t="s">
        <v>87</v>
      </c>
      <c r="G4114">
        <v>4.09</v>
      </c>
      <c r="H4114">
        <v>0.21</v>
      </c>
      <c r="I4114">
        <v>1.94</v>
      </c>
      <c r="J4114">
        <v>3.7635999999999998</v>
      </c>
      <c r="K4114" t="str">
        <f>IFERROR(INDEX(Rosters!$C$2:$C$155,MATCH($B4114,Rosters!$B$2:$B$155,0)),"NA")</f>
        <v>NA</v>
      </c>
      <c r="L4114" t="str">
        <f t="shared" si="192"/>
        <v>NA17WR</v>
      </c>
      <c r="M4114">
        <f>COUNTIF(L$1:L4114,L4114)</f>
        <v>57</v>
      </c>
      <c r="N4114" t="str">
        <f t="shared" si="193"/>
        <v>NA17WR-57</v>
      </c>
      <c r="O4114">
        <f>COUNTIFS(F$1:F4114,F4114,A$1:A4114,A4114)</f>
        <v>111</v>
      </c>
      <c r="P4114" t="str">
        <f t="shared" si="194"/>
        <v>Travis Benjamin17</v>
      </c>
    </row>
    <row r="4115" spans="1:16" x14ac:dyDescent="0.25">
      <c r="A4115">
        <v>10</v>
      </c>
      <c r="B4115" t="s">
        <v>244</v>
      </c>
      <c r="C4115" t="s">
        <v>8468</v>
      </c>
      <c r="D4115">
        <v>2.15</v>
      </c>
      <c r="E4115" t="s">
        <v>28</v>
      </c>
      <c r="F4115" t="s">
        <v>114</v>
      </c>
      <c r="G4115">
        <v>4.16</v>
      </c>
      <c r="H4115">
        <v>0.14000000000000001</v>
      </c>
      <c r="I4115">
        <v>2.0099999999999998</v>
      </c>
      <c r="J4115">
        <v>4.0400999999999998</v>
      </c>
      <c r="K4115" t="str">
        <f>IFERROR(INDEX(Rosters!$C$2:$C$155,MATCH($B4115,Rosters!$B$2:$B$155,0)),"NA")</f>
        <v>NA</v>
      </c>
      <c r="L4115" t="str">
        <f t="shared" si="192"/>
        <v>NA10TE</v>
      </c>
      <c r="M4115">
        <f>COUNTIF(L$1:L4115,L4115)</f>
        <v>32</v>
      </c>
      <c r="N4115" t="str">
        <f t="shared" si="193"/>
        <v>NA10TE-32</v>
      </c>
      <c r="O4115">
        <f>COUNTIFS(F$1:F4115,F4115,A$1:A4115,A4115)</f>
        <v>45</v>
      </c>
      <c r="P4115" t="str">
        <f t="shared" si="194"/>
        <v>Tyler Higbee10</v>
      </c>
    </row>
    <row r="4116" spans="1:16" x14ac:dyDescent="0.25">
      <c r="A4116">
        <v>13</v>
      </c>
      <c r="B4116" t="s">
        <v>250</v>
      </c>
      <c r="C4116">
        <f>-0.02-4.32</f>
        <v>-4.34</v>
      </c>
      <c r="D4116">
        <v>2.15</v>
      </c>
      <c r="E4116" t="s">
        <v>60</v>
      </c>
      <c r="F4116" t="s">
        <v>47</v>
      </c>
      <c r="G4116">
        <v>4.32</v>
      </c>
      <c r="H4116">
        <v>-0.02</v>
      </c>
      <c r="I4116">
        <v>2.17</v>
      </c>
      <c r="J4116">
        <v>4.7088999999999999</v>
      </c>
      <c r="K4116" t="str">
        <f>IFERROR(INDEX(Rosters!$C$2:$C$155,MATCH($B4116,Rosters!$B$2:$B$155,0)),"NA")</f>
        <v>NA</v>
      </c>
      <c r="L4116" t="str">
        <f t="shared" si="192"/>
        <v>NA13RB</v>
      </c>
      <c r="M4116">
        <f>COUNTIF(L$1:L4116,L4116)</f>
        <v>26</v>
      </c>
      <c r="N4116" t="str">
        <f t="shared" si="193"/>
        <v>NA13RB-26</v>
      </c>
      <c r="O4116">
        <f>COUNTIFS(F$1:F4116,F4116,A$1:A4116,A4116)</f>
        <v>73</v>
      </c>
      <c r="P4116" t="str">
        <f t="shared" si="194"/>
        <v>Wendell Smallwood13</v>
      </c>
    </row>
    <row r="4117" spans="1:16" x14ac:dyDescent="0.25">
      <c r="A4117">
        <v>1</v>
      </c>
      <c r="B4117" t="s">
        <v>242</v>
      </c>
      <c r="C4117" t="s">
        <v>1496</v>
      </c>
      <c r="D4117">
        <v>2.14</v>
      </c>
      <c r="E4117" t="s">
        <v>14</v>
      </c>
      <c r="F4117" t="s">
        <v>87</v>
      </c>
      <c r="G4117">
        <v>3.72</v>
      </c>
      <c r="H4117">
        <v>0.56000000000000005</v>
      </c>
      <c r="I4117">
        <v>1.58</v>
      </c>
      <c r="J4117">
        <v>2.4964</v>
      </c>
      <c r="K4117" t="str">
        <f>IFERROR(INDEX(Rosters!$C$2:$C$155,MATCH($B4117,Rosters!$B$2:$B$155,0)),"NA")</f>
        <v>NA</v>
      </c>
      <c r="L4117" t="str">
        <f t="shared" si="192"/>
        <v>NA1WR</v>
      </c>
      <c r="M4117">
        <f>COUNTIF(L$1:L4117,L4117)</f>
        <v>45</v>
      </c>
      <c r="N4117" t="str">
        <f t="shared" si="193"/>
        <v>NA1WR-45</v>
      </c>
      <c r="O4117">
        <f>COUNTIFS(F$1:F4117,F4117,A$1:A4117,A4117)</f>
        <v>94</v>
      </c>
      <c r="P4117" t="str">
        <f t="shared" si="194"/>
        <v>Adam Humphries1</v>
      </c>
    </row>
    <row r="4118" spans="1:16" x14ac:dyDescent="0.25">
      <c r="A4118">
        <v>3</v>
      </c>
      <c r="B4118" t="s">
        <v>312</v>
      </c>
      <c r="C4118">
        <f>-0.19-4.47</f>
        <v>-4.66</v>
      </c>
      <c r="D4118">
        <v>2.14</v>
      </c>
      <c r="E4118" t="s">
        <v>73</v>
      </c>
      <c r="F4118" t="s">
        <v>114</v>
      </c>
      <c r="G4118">
        <v>4.47</v>
      </c>
      <c r="H4118">
        <v>-0.19</v>
      </c>
      <c r="I4118">
        <v>2.33</v>
      </c>
      <c r="J4118">
        <v>5.4288999999999996</v>
      </c>
      <c r="K4118" t="str">
        <f>IFERROR(INDEX(Rosters!$C$2:$C$155,MATCH($B4118,Rosters!$B$2:$B$155,0)),"NA")</f>
        <v>NA</v>
      </c>
      <c r="L4118" t="str">
        <f t="shared" si="192"/>
        <v>NA3TE</v>
      </c>
      <c r="M4118">
        <f>COUNTIF(L$1:L4118,L4118)</f>
        <v>31</v>
      </c>
      <c r="N4118" t="str">
        <f t="shared" si="193"/>
        <v>NA3TE-31</v>
      </c>
      <c r="O4118">
        <f>COUNTIFS(F$1:F4118,F4118,A$1:A4118,A4118)</f>
        <v>43</v>
      </c>
      <c r="P4118" t="str">
        <f t="shared" si="194"/>
        <v>Darren Fells3</v>
      </c>
    </row>
    <row r="4119" spans="1:16" x14ac:dyDescent="0.25">
      <c r="A4119">
        <v>5</v>
      </c>
      <c r="B4119" t="s">
        <v>277</v>
      </c>
      <c r="C4119" t="s">
        <v>8469</v>
      </c>
      <c r="D4119">
        <v>2.14</v>
      </c>
      <c r="E4119" t="s">
        <v>58</v>
      </c>
      <c r="F4119" t="s">
        <v>114</v>
      </c>
      <c r="G4119">
        <v>3.69</v>
      </c>
      <c r="H4119">
        <v>0.59</v>
      </c>
      <c r="I4119">
        <v>1.55</v>
      </c>
      <c r="J4119">
        <v>2.4024999999999999</v>
      </c>
      <c r="K4119" t="str">
        <f>IFERROR(INDEX(Rosters!$C$2:$C$155,MATCH($B4119,Rosters!$B$2:$B$155,0)),"NA")</f>
        <v>NA</v>
      </c>
      <c r="L4119" t="str">
        <f t="shared" si="192"/>
        <v>NA5TE</v>
      </c>
      <c r="M4119">
        <f>COUNTIF(L$1:L4119,L4119)</f>
        <v>28</v>
      </c>
      <c r="N4119" t="str">
        <f t="shared" si="193"/>
        <v>NA5TE-28</v>
      </c>
      <c r="O4119">
        <f>COUNTIFS(F$1:F4119,F4119,A$1:A4119,A4119)</f>
        <v>39</v>
      </c>
      <c r="P4119" t="str">
        <f t="shared" si="194"/>
        <v>Garrett Celek5</v>
      </c>
    </row>
    <row r="4120" spans="1:16" x14ac:dyDescent="0.25">
      <c r="A4120">
        <v>12</v>
      </c>
      <c r="B4120" t="s">
        <v>287</v>
      </c>
      <c r="C4120">
        <f>-0.07-4.35</f>
        <v>-4.42</v>
      </c>
      <c r="D4120">
        <v>2.14</v>
      </c>
      <c r="E4120" t="s">
        <v>46</v>
      </c>
      <c r="F4120" t="s">
        <v>114</v>
      </c>
      <c r="G4120">
        <v>4.3499999999999996</v>
      </c>
      <c r="H4120">
        <v>-7.0000000000000007E-2</v>
      </c>
      <c r="I4120">
        <v>2.21</v>
      </c>
      <c r="J4120">
        <v>4.8841000000000001</v>
      </c>
      <c r="K4120" t="str">
        <f>IFERROR(INDEX(Rosters!$C$2:$C$155,MATCH($B4120,Rosters!$B$2:$B$155,0)),"NA")</f>
        <v>NA</v>
      </c>
      <c r="L4120" t="str">
        <f t="shared" si="192"/>
        <v>NA12TE</v>
      </c>
      <c r="M4120">
        <f>COUNTIF(L$1:L4120,L4120)</f>
        <v>34</v>
      </c>
      <c r="N4120" t="str">
        <f t="shared" si="193"/>
        <v>NA12TE-34</v>
      </c>
      <c r="O4120">
        <f>COUNTIFS(F$1:F4120,F4120,A$1:A4120,A4120)</f>
        <v>47</v>
      </c>
      <c r="P4120" t="str">
        <f t="shared" si="194"/>
        <v>Josh Hill12</v>
      </c>
    </row>
    <row r="4121" spans="1:16" x14ac:dyDescent="0.25">
      <c r="A4121">
        <v>16</v>
      </c>
      <c r="B4121" t="s">
        <v>282</v>
      </c>
      <c r="C4121" t="s">
        <v>8470</v>
      </c>
      <c r="D4121">
        <v>2.14</v>
      </c>
      <c r="E4121" t="s">
        <v>58</v>
      </c>
      <c r="F4121" t="s">
        <v>47</v>
      </c>
      <c r="G4121">
        <v>4.05</v>
      </c>
      <c r="H4121">
        <v>0.23</v>
      </c>
      <c r="I4121">
        <v>1.91</v>
      </c>
      <c r="J4121">
        <v>3.6480999999999999</v>
      </c>
      <c r="K4121" t="str">
        <f>IFERROR(INDEX(Rosters!$C$2:$C$155,MATCH($B4121,Rosters!$B$2:$B$155,0)),"NA")</f>
        <v>NA</v>
      </c>
      <c r="L4121" t="str">
        <f t="shared" si="192"/>
        <v>NA16RB</v>
      </c>
      <c r="M4121">
        <f>COUNTIF(L$1:L4121,L4121)</f>
        <v>28</v>
      </c>
      <c r="N4121" t="str">
        <f t="shared" si="193"/>
        <v>NA16RB-28</v>
      </c>
      <c r="O4121">
        <f>COUNTIFS(F$1:F4121,F4121,A$1:A4121,A4121)</f>
        <v>75</v>
      </c>
      <c r="P4121" t="str">
        <f t="shared" si="194"/>
        <v>Malcolm Brown16</v>
      </c>
    </row>
    <row r="4122" spans="1:16" x14ac:dyDescent="0.25">
      <c r="A4122">
        <v>5</v>
      </c>
      <c r="B4122" t="s">
        <v>2715</v>
      </c>
      <c r="C4122">
        <f>-0.66-4.92</f>
        <v>-5.58</v>
      </c>
      <c r="D4122">
        <v>2.13</v>
      </c>
      <c r="E4122" t="s">
        <v>50</v>
      </c>
      <c r="F4122" t="s">
        <v>87</v>
      </c>
      <c r="G4122">
        <v>4.92</v>
      </c>
      <c r="H4122">
        <v>-0.66</v>
      </c>
      <c r="I4122">
        <v>2.79</v>
      </c>
      <c r="J4122">
        <v>7.7840999999999996</v>
      </c>
      <c r="K4122" t="str">
        <f>IFERROR(INDEX(Rosters!$C$2:$C$155,MATCH($B4122,Rosters!$B$2:$B$155,0)),"NA")</f>
        <v>NA</v>
      </c>
      <c r="L4122" t="str">
        <f t="shared" si="192"/>
        <v>NA5WR</v>
      </c>
      <c r="M4122">
        <f>COUNTIF(L$1:L4122,L4122)</f>
        <v>50</v>
      </c>
      <c r="N4122" t="str">
        <f t="shared" si="193"/>
        <v>NA5WR-50</v>
      </c>
      <c r="O4122">
        <f>COUNTIFS(F$1:F4122,F4122,A$1:A4122,A4122)</f>
        <v>100</v>
      </c>
      <c r="P4122" t="str">
        <f t="shared" si="194"/>
        <v>Aldrick Robinson5</v>
      </c>
    </row>
    <row r="4123" spans="1:16" x14ac:dyDescent="0.25">
      <c r="A4123">
        <v>15</v>
      </c>
      <c r="B4123" t="s">
        <v>2715</v>
      </c>
      <c r="C4123">
        <f>-0.26-4.52</f>
        <v>-4.7799999999999994</v>
      </c>
      <c r="D4123">
        <v>2.13</v>
      </c>
      <c r="E4123" t="s">
        <v>19</v>
      </c>
      <c r="F4123" t="s">
        <v>87</v>
      </c>
      <c r="G4123">
        <v>4.5199999999999996</v>
      </c>
      <c r="H4123">
        <v>-0.26</v>
      </c>
      <c r="I4123">
        <v>2.39</v>
      </c>
      <c r="J4123">
        <v>5.7121000000000004</v>
      </c>
      <c r="K4123" t="str">
        <f>IFERROR(INDEX(Rosters!$C$2:$C$155,MATCH($B4123,Rosters!$B$2:$B$155,0)),"NA")</f>
        <v>NA</v>
      </c>
      <c r="L4123" t="str">
        <f t="shared" si="192"/>
        <v>NA15WR</v>
      </c>
      <c r="M4123">
        <f>COUNTIF(L$1:L4123,L4123)</f>
        <v>59</v>
      </c>
      <c r="N4123" t="str">
        <f t="shared" si="193"/>
        <v>NA15WR-59</v>
      </c>
      <c r="O4123">
        <f>COUNTIFS(F$1:F4123,F4123,A$1:A4123,A4123)</f>
        <v>113</v>
      </c>
      <c r="P4123" t="str">
        <f t="shared" si="194"/>
        <v>Aldrick Robinson15</v>
      </c>
    </row>
    <row r="4124" spans="1:16" x14ac:dyDescent="0.25">
      <c r="A4124">
        <v>17</v>
      </c>
      <c r="B4124" t="s">
        <v>2715</v>
      </c>
      <c r="C4124">
        <f>-0.63-4.89</f>
        <v>-5.52</v>
      </c>
      <c r="D4124">
        <v>2.13</v>
      </c>
      <c r="E4124" t="s">
        <v>72</v>
      </c>
      <c r="F4124" t="s">
        <v>87</v>
      </c>
      <c r="G4124">
        <v>4.8899999999999997</v>
      </c>
      <c r="H4124">
        <v>-0.63</v>
      </c>
      <c r="I4124">
        <v>2.76</v>
      </c>
      <c r="J4124">
        <v>7.6176000000000004</v>
      </c>
      <c r="K4124" t="str">
        <f>IFERROR(INDEX(Rosters!$C$2:$C$155,MATCH($B4124,Rosters!$B$2:$B$155,0)),"NA")</f>
        <v>NA</v>
      </c>
      <c r="L4124" t="str">
        <f t="shared" si="192"/>
        <v>NA17WR</v>
      </c>
      <c r="M4124">
        <f>COUNTIF(L$1:L4124,L4124)</f>
        <v>58</v>
      </c>
      <c r="N4124" t="str">
        <f t="shared" si="193"/>
        <v>NA17WR-58</v>
      </c>
      <c r="O4124">
        <f>COUNTIFS(F$1:F4124,F4124,A$1:A4124,A4124)</f>
        <v>112</v>
      </c>
      <c r="P4124" t="str">
        <f t="shared" si="194"/>
        <v>Aldrick Robinson17</v>
      </c>
    </row>
    <row r="4125" spans="1:16" x14ac:dyDescent="0.25">
      <c r="A4125">
        <v>3</v>
      </c>
      <c r="B4125" t="s">
        <v>4210</v>
      </c>
      <c r="C4125" t="s">
        <v>4231</v>
      </c>
      <c r="D4125">
        <v>2.13</v>
      </c>
      <c r="E4125" t="s">
        <v>46</v>
      </c>
      <c r="F4125" t="s">
        <v>87</v>
      </c>
      <c r="G4125">
        <v>4.09</v>
      </c>
      <c r="H4125">
        <v>0.17</v>
      </c>
      <c r="I4125">
        <v>1.96</v>
      </c>
      <c r="J4125">
        <v>3.8416000000000001</v>
      </c>
      <c r="K4125" t="str">
        <f>IFERROR(INDEX(Rosters!$C$2:$C$155,MATCH($B4125,Rosters!$B$2:$B$155,0)),"NA")</f>
        <v>NA</v>
      </c>
      <c r="L4125" t="str">
        <f t="shared" si="192"/>
        <v>NA3WR</v>
      </c>
      <c r="M4125">
        <f>COUNTIF(L$1:L4125,L4125)</f>
        <v>54</v>
      </c>
      <c r="N4125" t="str">
        <f t="shared" si="193"/>
        <v>NA3WR-54</v>
      </c>
      <c r="O4125">
        <f>COUNTIFS(F$1:F4125,F4125,A$1:A4125,A4125)</f>
        <v>102</v>
      </c>
      <c r="P4125" t="str">
        <f t="shared" si="194"/>
        <v>Austin Carr3</v>
      </c>
    </row>
    <row r="4126" spans="1:16" x14ac:dyDescent="0.25">
      <c r="A4126">
        <v>15</v>
      </c>
      <c r="B4126" t="s">
        <v>310</v>
      </c>
      <c r="C4126">
        <f>-0.38-4.64</f>
        <v>-5.0199999999999996</v>
      </c>
      <c r="D4126">
        <v>2.13</v>
      </c>
      <c r="E4126" t="s">
        <v>37</v>
      </c>
      <c r="F4126" t="s">
        <v>114</v>
      </c>
      <c r="G4126">
        <v>4.6399999999999997</v>
      </c>
      <c r="H4126">
        <v>-0.38</v>
      </c>
      <c r="I4126">
        <v>2.5099999999999998</v>
      </c>
      <c r="J4126">
        <v>6.3000999999999996</v>
      </c>
      <c r="K4126" t="str">
        <f>IFERROR(INDEX(Rosters!$C$2:$C$155,MATCH($B4126,Rosters!$B$2:$B$155,0)),"NA")</f>
        <v>NA</v>
      </c>
      <c r="L4126" t="str">
        <f t="shared" si="192"/>
        <v>NA15TE</v>
      </c>
      <c r="M4126">
        <f>COUNTIF(L$1:L4126,L4126)</f>
        <v>28</v>
      </c>
      <c r="N4126" t="str">
        <f t="shared" si="193"/>
        <v>NA15TE-28</v>
      </c>
      <c r="O4126">
        <f>COUNTIFS(F$1:F4126,F4126,A$1:A4126,A4126)</f>
        <v>42</v>
      </c>
      <c r="P4126" t="str">
        <f t="shared" si="194"/>
        <v>Demetrius Harris15</v>
      </c>
    </row>
    <row r="4127" spans="1:16" x14ac:dyDescent="0.25">
      <c r="A4127">
        <v>6</v>
      </c>
      <c r="B4127" t="s">
        <v>4612</v>
      </c>
      <c r="C4127">
        <f>-0.2-4.46</f>
        <v>-4.66</v>
      </c>
      <c r="D4127">
        <v>2.13</v>
      </c>
      <c r="E4127" t="s">
        <v>42</v>
      </c>
      <c r="F4127" t="s">
        <v>87</v>
      </c>
      <c r="G4127">
        <v>4.46</v>
      </c>
      <c r="H4127">
        <v>-0.2</v>
      </c>
      <c r="I4127">
        <v>2.33</v>
      </c>
      <c r="J4127">
        <v>5.4288999999999996</v>
      </c>
      <c r="K4127" t="str">
        <f>IFERROR(INDEX(Rosters!$C$2:$C$155,MATCH($B4127,Rosters!$B$2:$B$155,0)),"NA")</f>
        <v>NA</v>
      </c>
      <c r="L4127" t="str">
        <f t="shared" si="192"/>
        <v>NA6WR</v>
      </c>
      <c r="M4127">
        <f>COUNTIF(L$1:L4127,L4127)</f>
        <v>55</v>
      </c>
      <c r="N4127" t="str">
        <f t="shared" si="193"/>
        <v>NA6WR-55</v>
      </c>
      <c r="O4127">
        <f>COUNTIFS(F$1:F4127,F4127,A$1:A4127,A4127)</f>
        <v>105</v>
      </c>
      <c r="P4127" t="str">
        <f t="shared" si="194"/>
        <v>Khadarel Hodge6</v>
      </c>
    </row>
    <row r="4128" spans="1:16" x14ac:dyDescent="0.25">
      <c r="A4128">
        <v>11</v>
      </c>
      <c r="B4128" t="s">
        <v>315</v>
      </c>
      <c r="C4128" t="s">
        <v>8471</v>
      </c>
      <c r="D4128">
        <v>2.13</v>
      </c>
      <c r="E4128" t="s">
        <v>66</v>
      </c>
      <c r="F4128" t="s">
        <v>114</v>
      </c>
      <c r="G4128">
        <v>4.25</v>
      </c>
      <c r="H4128">
        <v>0.01</v>
      </c>
      <c r="I4128">
        <v>2.12</v>
      </c>
      <c r="J4128">
        <v>4.4943999999999997</v>
      </c>
      <c r="K4128" t="str">
        <f>IFERROR(INDEX(Rosters!$C$2:$C$155,MATCH($B4128,Rosters!$B$2:$B$155,0)),"NA")</f>
        <v>NA</v>
      </c>
      <c r="L4128" t="str">
        <f t="shared" si="192"/>
        <v>NA11TE</v>
      </c>
      <c r="M4128">
        <f>COUNTIF(L$1:L4128,L4128)</f>
        <v>28</v>
      </c>
      <c r="N4128" t="str">
        <f t="shared" si="193"/>
        <v>NA11TE-28</v>
      </c>
      <c r="O4128">
        <f>COUNTIFS(F$1:F4128,F4128,A$1:A4128,A4128)</f>
        <v>40</v>
      </c>
      <c r="P4128" t="str">
        <f t="shared" si="194"/>
        <v>Luke Stocker11</v>
      </c>
    </row>
    <row r="4129" spans="1:16" x14ac:dyDescent="0.25">
      <c r="A4129">
        <v>3</v>
      </c>
      <c r="B4129" t="s">
        <v>387</v>
      </c>
      <c r="C4129">
        <f>-0.49-4.75</f>
        <v>-5.24</v>
      </c>
      <c r="D4129">
        <v>2.13</v>
      </c>
      <c r="E4129" t="s">
        <v>36</v>
      </c>
      <c r="F4129" t="s">
        <v>114</v>
      </c>
      <c r="G4129">
        <v>4.75</v>
      </c>
      <c r="H4129">
        <v>-0.49</v>
      </c>
      <c r="I4129">
        <v>2.62</v>
      </c>
      <c r="J4129">
        <v>6.8643999999999998</v>
      </c>
      <c r="K4129" t="str">
        <f>IFERROR(INDEX(Rosters!$C$2:$C$155,MATCH($B4129,Rosters!$B$2:$B$155,0)),"NA")</f>
        <v>NA</v>
      </c>
      <c r="L4129" t="str">
        <f t="shared" si="192"/>
        <v>NA3TE</v>
      </c>
      <c r="M4129">
        <f>COUNTIF(L$1:L4129,L4129)</f>
        <v>32</v>
      </c>
      <c r="N4129" t="str">
        <f t="shared" si="193"/>
        <v>NA3TE-32</v>
      </c>
      <c r="O4129">
        <f>COUNTIFS(F$1:F4129,F4129,A$1:A4129,A4129)</f>
        <v>44</v>
      </c>
      <c r="P4129" t="str">
        <f t="shared" si="194"/>
        <v>Rhett Ellison3</v>
      </c>
    </row>
    <row r="4130" spans="1:16" x14ac:dyDescent="0.25">
      <c r="A4130">
        <v>6</v>
      </c>
      <c r="B4130" t="s">
        <v>250</v>
      </c>
      <c r="C4130" t="s">
        <v>8472</v>
      </c>
      <c r="D4130">
        <v>2.13</v>
      </c>
      <c r="E4130" t="s">
        <v>54</v>
      </c>
      <c r="F4130" t="s">
        <v>47</v>
      </c>
      <c r="G4130">
        <v>4.26</v>
      </c>
      <c r="H4130">
        <v>0</v>
      </c>
      <c r="I4130">
        <v>2.13</v>
      </c>
      <c r="J4130">
        <v>4.5369000000000002</v>
      </c>
      <c r="K4130" t="str">
        <f>IFERROR(INDEX(Rosters!$C$2:$C$155,MATCH($B4130,Rosters!$B$2:$B$155,0)),"NA")</f>
        <v>NA</v>
      </c>
      <c r="L4130" t="str">
        <f t="shared" si="192"/>
        <v>NA6RB</v>
      </c>
      <c r="M4130">
        <f>COUNTIF(L$1:L4130,L4130)</f>
        <v>26</v>
      </c>
      <c r="N4130" t="str">
        <f t="shared" si="193"/>
        <v>NA6RB-26</v>
      </c>
      <c r="O4130">
        <f>COUNTIFS(F$1:F4130,F4130,A$1:A4130,A4130)</f>
        <v>68</v>
      </c>
      <c r="P4130" t="str">
        <f t="shared" si="194"/>
        <v>Wendell Smallwood6</v>
      </c>
    </row>
    <row r="4131" spans="1:16" x14ac:dyDescent="0.25">
      <c r="A4131">
        <v>13</v>
      </c>
      <c r="B4131" t="s">
        <v>121</v>
      </c>
      <c r="C4131" t="s">
        <v>8473</v>
      </c>
      <c r="D4131">
        <v>2.12</v>
      </c>
      <c r="E4131" t="s">
        <v>56</v>
      </c>
      <c r="F4131" t="s">
        <v>47</v>
      </c>
      <c r="G4131">
        <v>3.84</v>
      </c>
      <c r="H4131">
        <v>0.4</v>
      </c>
      <c r="I4131">
        <v>1.72</v>
      </c>
      <c r="J4131">
        <v>2.9584000000000001</v>
      </c>
      <c r="K4131" t="str">
        <f>IFERROR(INDEX(Rosters!$C$2:$C$155,MATCH($B4131,Rosters!$B$2:$B$155,0)),"NA")</f>
        <v>NA</v>
      </c>
      <c r="L4131" t="str">
        <f t="shared" si="192"/>
        <v>NA13RB</v>
      </c>
      <c r="M4131">
        <f>COUNTIF(L$1:L4131,L4131)</f>
        <v>27</v>
      </c>
      <c r="N4131" t="str">
        <f t="shared" si="193"/>
        <v>NA13RB-27</v>
      </c>
      <c r="O4131">
        <f>COUNTIFS(F$1:F4131,F4131,A$1:A4131,A4131)</f>
        <v>74</v>
      </c>
      <c r="P4131" t="str">
        <f t="shared" si="194"/>
        <v>Ameer Abdullah13</v>
      </c>
    </row>
    <row r="4132" spans="1:16" x14ac:dyDescent="0.25">
      <c r="A4132">
        <v>12</v>
      </c>
      <c r="B4132" t="s">
        <v>233</v>
      </c>
      <c r="C4132">
        <f>-0.32-4.56</f>
        <v>-4.88</v>
      </c>
      <c r="D4132">
        <v>2.12</v>
      </c>
      <c r="E4132" t="s">
        <v>28</v>
      </c>
      <c r="F4132" t="s">
        <v>87</v>
      </c>
      <c r="G4132">
        <v>4.5599999999999996</v>
      </c>
      <c r="H4132">
        <v>-0.32</v>
      </c>
      <c r="I4132">
        <v>2.44</v>
      </c>
      <c r="J4132">
        <v>5.9535999999999998</v>
      </c>
      <c r="K4132" t="str">
        <f>IFERROR(INDEX(Rosters!$C$2:$C$155,MATCH($B4132,Rosters!$B$2:$B$155,0)),"NA")</f>
        <v>NA</v>
      </c>
      <c r="L4132" t="str">
        <f t="shared" si="192"/>
        <v>NA12WR</v>
      </c>
      <c r="M4132">
        <f>COUNTIF(L$1:L4132,L4132)</f>
        <v>57</v>
      </c>
      <c r="N4132" t="str">
        <f t="shared" si="193"/>
        <v>NA12WR-57</v>
      </c>
      <c r="O4132">
        <f>COUNTIFS(F$1:F4132,F4132,A$1:A4132,A4132)</f>
        <v>106</v>
      </c>
      <c r="P4132" t="str">
        <f t="shared" si="194"/>
        <v>Curtis Samuel12</v>
      </c>
    </row>
    <row r="4133" spans="1:16" x14ac:dyDescent="0.25">
      <c r="A4133">
        <v>4</v>
      </c>
      <c r="B4133" t="s">
        <v>304</v>
      </c>
      <c r="C4133">
        <f>-0.05-4.29</f>
        <v>-4.34</v>
      </c>
      <c r="D4133">
        <v>2.12</v>
      </c>
      <c r="E4133" t="s">
        <v>77</v>
      </c>
      <c r="F4133" t="s">
        <v>87</v>
      </c>
      <c r="G4133">
        <v>4.29</v>
      </c>
      <c r="H4133">
        <v>-0.05</v>
      </c>
      <c r="I4133">
        <v>2.17</v>
      </c>
      <c r="J4133">
        <v>4.7088999999999999</v>
      </c>
      <c r="K4133" t="str">
        <f>IFERROR(INDEX(Rosters!$C$2:$C$155,MATCH($B4133,Rosters!$B$2:$B$155,0)),"NA")</f>
        <v>NA</v>
      </c>
      <c r="L4133" t="str">
        <f t="shared" si="192"/>
        <v>NA4WR</v>
      </c>
      <c r="M4133">
        <f>COUNTIF(L$1:L4133,L4133)</f>
        <v>47</v>
      </c>
      <c r="N4133" t="str">
        <f t="shared" si="193"/>
        <v>NA4WR-47</v>
      </c>
      <c r="O4133">
        <f>COUNTIFS(F$1:F4133,F4133,A$1:A4133,A4133)</f>
        <v>97</v>
      </c>
      <c r="P4133" t="str">
        <f t="shared" si="194"/>
        <v>Darrius Heyward-Bey4</v>
      </c>
    </row>
    <row r="4134" spans="1:16" x14ac:dyDescent="0.25">
      <c r="A4134">
        <v>17</v>
      </c>
      <c r="B4134" t="s">
        <v>338</v>
      </c>
      <c r="C4134">
        <f>-0.11-4.35</f>
        <v>-4.46</v>
      </c>
      <c r="D4134">
        <v>2.12</v>
      </c>
      <c r="E4134" t="s">
        <v>58</v>
      </c>
      <c r="F4134" t="s">
        <v>87</v>
      </c>
      <c r="G4134">
        <v>4.3499999999999996</v>
      </c>
      <c r="H4134">
        <v>-0.11</v>
      </c>
      <c r="I4134">
        <v>2.23</v>
      </c>
      <c r="J4134">
        <v>4.9729000000000001</v>
      </c>
      <c r="K4134" t="str">
        <f>IFERROR(INDEX(Rosters!$C$2:$C$155,MATCH($B4134,Rosters!$B$2:$B$155,0)),"NA")</f>
        <v>NA</v>
      </c>
      <c r="L4134" t="str">
        <f t="shared" si="192"/>
        <v>NA17WR</v>
      </c>
      <c r="M4134">
        <f>COUNTIF(L$1:L4134,L4134)</f>
        <v>59</v>
      </c>
      <c r="N4134" t="str">
        <f t="shared" si="193"/>
        <v>NA17WR-59</v>
      </c>
      <c r="O4134">
        <f>COUNTIFS(F$1:F4134,F4134,A$1:A4134,A4134)</f>
        <v>113</v>
      </c>
      <c r="P4134" t="str">
        <f t="shared" si="194"/>
        <v>Jaron Brown17</v>
      </c>
    </row>
    <row r="4135" spans="1:16" x14ac:dyDescent="0.25">
      <c r="A4135">
        <v>7</v>
      </c>
      <c r="B4135" t="s">
        <v>4225</v>
      </c>
      <c r="C4135" t="s">
        <v>8474</v>
      </c>
      <c r="D4135">
        <v>2.12</v>
      </c>
      <c r="E4135" t="s">
        <v>76</v>
      </c>
      <c r="F4135" t="s">
        <v>114</v>
      </c>
      <c r="G4135">
        <v>4.17</v>
      </c>
      <c r="H4135">
        <v>7.0000000000000007E-2</v>
      </c>
      <c r="I4135">
        <v>2.0499999999999998</v>
      </c>
      <c r="J4135">
        <v>4.2024999999999997</v>
      </c>
      <c r="K4135" t="str">
        <f>IFERROR(INDEX(Rosters!$C$2:$C$155,MATCH($B4135,Rosters!$B$2:$B$155,0)),"NA")</f>
        <v>NA</v>
      </c>
      <c r="L4135" t="str">
        <f t="shared" si="192"/>
        <v>NA7TE</v>
      </c>
      <c r="M4135">
        <f>COUNTIF(L$1:L4135,L4135)</f>
        <v>28</v>
      </c>
      <c r="N4135" t="str">
        <f t="shared" si="193"/>
        <v>NA7TE-28</v>
      </c>
      <c r="O4135">
        <f>COUNTIFS(F$1:F4135,F4135,A$1:A4135,A4135)</f>
        <v>38</v>
      </c>
      <c r="P4135" t="str">
        <f t="shared" si="194"/>
        <v>Jordan Akins7</v>
      </c>
    </row>
    <row r="4136" spans="1:16" x14ac:dyDescent="0.25">
      <c r="A4136">
        <v>5</v>
      </c>
      <c r="B4136" t="s">
        <v>315</v>
      </c>
      <c r="C4136">
        <f>-0.05-4.29</f>
        <v>-4.34</v>
      </c>
      <c r="D4136">
        <v>2.12</v>
      </c>
      <c r="E4136" t="s">
        <v>29</v>
      </c>
      <c r="F4136" t="s">
        <v>114</v>
      </c>
      <c r="G4136">
        <v>4.29</v>
      </c>
      <c r="H4136">
        <v>-0.05</v>
      </c>
      <c r="I4136">
        <v>2.17</v>
      </c>
      <c r="J4136">
        <v>4.7088999999999999</v>
      </c>
      <c r="K4136" t="str">
        <f>IFERROR(INDEX(Rosters!$C$2:$C$155,MATCH($B4136,Rosters!$B$2:$B$155,0)),"NA")</f>
        <v>NA</v>
      </c>
      <c r="L4136" t="str">
        <f t="shared" si="192"/>
        <v>NA5TE</v>
      </c>
      <c r="M4136">
        <f>COUNTIF(L$1:L4136,L4136)</f>
        <v>29</v>
      </c>
      <c r="N4136" t="str">
        <f t="shared" si="193"/>
        <v>NA5TE-29</v>
      </c>
      <c r="O4136">
        <f>COUNTIFS(F$1:F4136,F4136,A$1:A4136,A4136)</f>
        <v>40</v>
      </c>
      <c r="P4136" t="str">
        <f t="shared" si="194"/>
        <v>Luke Stocker5</v>
      </c>
    </row>
    <row r="4137" spans="1:16" x14ac:dyDescent="0.25">
      <c r="A4137">
        <v>7</v>
      </c>
      <c r="B4137" t="s">
        <v>315</v>
      </c>
      <c r="C4137">
        <f>-0.05-4.29</f>
        <v>-4.34</v>
      </c>
      <c r="D4137">
        <v>2.12</v>
      </c>
      <c r="E4137" t="s">
        <v>37</v>
      </c>
      <c r="F4137" t="s">
        <v>114</v>
      </c>
      <c r="G4137">
        <v>4.29</v>
      </c>
      <c r="H4137">
        <v>-0.05</v>
      </c>
      <c r="I4137">
        <v>2.17</v>
      </c>
      <c r="J4137">
        <v>4.7088999999999999</v>
      </c>
      <c r="K4137" t="str">
        <f>IFERROR(INDEX(Rosters!$C$2:$C$155,MATCH($B4137,Rosters!$B$2:$B$155,0)),"NA")</f>
        <v>NA</v>
      </c>
      <c r="L4137" t="str">
        <f t="shared" si="192"/>
        <v>NA7TE</v>
      </c>
      <c r="M4137">
        <f>COUNTIF(L$1:L4137,L4137)</f>
        <v>29</v>
      </c>
      <c r="N4137" t="str">
        <f t="shared" si="193"/>
        <v>NA7TE-29</v>
      </c>
      <c r="O4137">
        <f>COUNTIFS(F$1:F4137,F4137,A$1:A4137,A4137)</f>
        <v>39</v>
      </c>
      <c r="P4137" t="str">
        <f t="shared" si="194"/>
        <v>Luke Stocker7</v>
      </c>
    </row>
    <row r="4138" spans="1:16" x14ac:dyDescent="0.25">
      <c r="A4138">
        <v>5</v>
      </c>
      <c r="B4138" t="s">
        <v>323</v>
      </c>
      <c r="C4138">
        <f>-0.05-4.29</f>
        <v>-4.34</v>
      </c>
      <c r="D4138">
        <v>2.12</v>
      </c>
      <c r="E4138" t="s">
        <v>24</v>
      </c>
      <c r="F4138" t="s">
        <v>114</v>
      </c>
      <c r="G4138">
        <v>4.29</v>
      </c>
      <c r="H4138">
        <v>-0.05</v>
      </c>
      <c r="I4138">
        <v>2.17</v>
      </c>
      <c r="J4138">
        <v>4.7088999999999999</v>
      </c>
      <c r="K4138" t="str">
        <f>IFERROR(INDEX(Rosters!$C$2:$C$155,MATCH($B4138,Rosters!$B$2:$B$155,0)),"NA")</f>
        <v>NA</v>
      </c>
      <c r="L4138" t="str">
        <f t="shared" si="192"/>
        <v>NA5TE</v>
      </c>
      <c r="M4138">
        <f>COUNTIF(L$1:L4138,L4138)</f>
        <v>30</v>
      </c>
      <c r="N4138" t="str">
        <f t="shared" si="193"/>
        <v>NA5TE-30</v>
      </c>
      <c r="O4138">
        <f>COUNTIFS(F$1:F4138,F4138,A$1:A4138,A4138)</f>
        <v>41</v>
      </c>
      <c r="P4138" t="str">
        <f t="shared" si="194"/>
        <v>Niles Paul5</v>
      </c>
    </row>
    <row r="4139" spans="1:16" x14ac:dyDescent="0.25">
      <c r="A4139">
        <v>3</v>
      </c>
      <c r="B4139" t="s">
        <v>4232</v>
      </c>
      <c r="C4139" t="s">
        <v>4233</v>
      </c>
      <c r="D4139">
        <v>2.12</v>
      </c>
      <c r="E4139" t="s">
        <v>51</v>
      </c>
      <c r="F4139" t="s">
        <v>47</v>
      </c>
      <c r="G4139">
        <v>3.92</v>
      </c>
      <c r="H4139">
        <v>0.32</v>
      </c>
      <c r="I4139">
        <v>1.8</v>
      </c>
      <c r="J4139">
        <v>3.24</v>
      </c>
      <c r="K4139" t="str">
        <f>IFERROR(INDEX(Rosters!$C$2:$C$155,MATCH($B4139,Rosters!$B$2:$B$155,0)),"NA")</f>
        <v>NA</v>
      </c>
      <c r="L4139" t="str">
        <f t="shared" si="192"/>
        <v>NA3RB</v>
      </c>
      <c r="M4139">
        <f>COUNTIF(L$1:L4139,L4139)</f>
        <v>27</v>
      </c>
      <c r="N4139" t="str">
        <f t="shared" si="193"/>
        <v>NA3RB-27</v>
      </c>
      <c r="O4139">
        <f>COUNTIFS(F$1:F4139,F4139,A$1:A4139,A4139)</f>
        <v>66</v>
      </c>
      <c r="P4139" t="str">
        <f t="shared" si="194"/>
        <v>Shaun Wilson3</v>
      </c>
    </row>
    <row r="4140" spans="1:16" x14ac:dyDescent="0.25">
      <c r="A4140">
        <v>12</v>
      </c>
      <c r="B4140" t="s">
        <v>4232</v>
      </c>
      <c r="C4140" t="s">
        <v>8475</v>
      </c>
      <c r="D4140">
        <v>2.12</v>
      </c>
      <c r="E4140" t="s">
        <v>30</v>
      </c>
      <c r="F4140" t="s">
        <v>47</v>
      </c>
      <c r="G4140">
        <v>4.0999999999999996</v>
      </c>
      <c r="H4140">
        <v>0.14000000000000001</v>
      </c>
      <c r="I4140">
        <v>1.98</v>
      </c>
      <c r="J4140">
        <v>3.9203999999999999</v>
      </c>
      <c r="K4140" t="str">
        <f>IFERROR(INDEX(Rosters!$C$2:$C$155,MATCH($B4140,Rosters!$B$2:$B$155,0)),"NA")</f>
        <v>NA</v>
      </c>
      <c r="L4140" t="str">
        <f t="shared" si="192"/>
        <v>NA12RB</v>
      </c>
      <c r="M4140">
        <f>COUNTIF(L$1:L4140,L4140)</f>
        <v>27</v>
      </c>
      <c r="N4140" t="str">
        <f t="shared" si="193"/>
        <v>NA12RB-27</v>
      </c>
      <c r="O4140">
        <f>COUNTIFS(F$1:F4140,F4140,A$1:A4140,A4140)</f>
        <v>72</v>
      </c>
      <c r="P4140" t="str">
        <f t="shared" si="194"/>
        <v>Shaun Wilson12</v>
      </c>
    </row>
    <row r="4141" spans="1:16" x14ac:dyDescent="0.25">
      <c r="A4141">
        <v>15</v>
      </c>
      <c r="B4141" t="s">
        <v>244</v>
      </c>
      <c r="C4141">
        <f>-0.29-4.53</f>
        <v>-4.82</v>
      </c>
      <c r="D4141">
        <v>2.12</v>
      </c>
      <c r="E4141" t="s">
        <v>50</v>
      </c>
      <c r="F4141" t="s">
        <v>114</v>
      </c>
      <c r="G4141">
        <v>4.53</v>
      </c>
      <c r="H4141">
        <v>-0.28999999999999998</v>
      </c>
      <c r="I4141">
        <v>2.41</v>
      </c>
      <c r="J4141">
        <v>5.8080999999999996</v>
      </c>
      <c r="K4141" t="str">
        <f>IFERROR(INDEX(Rosters!$C$2:$C$155,MATCH($B4141,Rosters!$B$2:$B$155,0)),"NA")</f>
        <v>NA</v>
      </c>
      <c r="L4141" t="str">
        <f t="shared" si="192"/>
        <v>NA15TE</v>
      </c>
      <c r="M4141">
        <f>COUNTIF(L$1:L4141,L4141)</f>
        <v>29</v>
      </c>
      <c r="N4141" t="str">
        <f t="shared" si="193"/>
        <v>NA15TE-29</v>
      </c>
      <c r="O4141">
        <f>COUNTIFS(F$1:F4141,F4141,A$1:A4141,A4141)</f>
        <v>43</v>
      </c>
      <c r="P4141" t="str">
        <f t="shared" si="194"/>
        <v>Tyler Higbee15</v>
      </c>
    </row>
    <row r="4142" spans="1:16" x14ac:dyDescent="0.25">
      <c r="A4142">
        <v>14</v>
      </c>
      <c r="B4142" t="s">
        <v>316</v>
      </c>
      <c r="C4142" t="s">
        <v>8476</v>
      </c>
      <c r="D4142">
        <v>2.11</v>
      </c>
      <c r="E4142" t="s">
        <v>38</v>
      </c>
      <c r="F4142" t="s">
        <v>47</v>
      </c>
      <c r="G4142">
        <v>3.79</v>
      </c>
      <c r="H4142">
        <v>0.43</v>
      </c>
      <c r="I4142">
        <v>1.68</v>
      </c>
      <c r="J4142">
        <v>2.8224</v>
      </c>
      <c r="K4142" t="str">
        <f>IFERROR(INDEX(Rosters!$C$2:$C$155,MATCH($B4142,Rosters!$B$2:$B$155,0)),"NA")</f>
        <v>NA</v>
      </c>
      <c r="L4142" t="str">
        <f t="shared" si="192"/>
        <v>NA14RB</v>
      </c>
      <c r="M4142">
        <f>COUNTIF(L$1:L4142,L4142)</f>
        <v>27</v>
      </c>
      <c r="N4142" t="str">
        <f t="shared" si="193"/>
        <v>NA14RB-27</v>
      </c>
      <c r="O4142">
        <f>COUNTIFS(F$1:F4142,F4142,A$1:A4142,A4142)</f>
        <v>74</v>
      </c>
      <c r="P4142" t="str">
        <f t="shared" si="194"/>
        <v>Corey Grant14</v>
      </c>
    </row>
    <row r="4143" spans="1:16" x14ac:dyDescent="0.25">
      <c r="A4143">
        <v>16</v>
      </c>
      <c r="B4143" t="s">
        <v>320</v>
      </c>
      <c r="C4143" t="s">
        <v>8477</v>
      </c>
      <c r="D4143">
        <v>2.11</v>
      </c>
      <c r="E4143" t="s">
        <v>41</v>
      </c>
      <c r="F4143" t="s">
        <v>47</v>
      </c>
      <c r="G4143">
        <v>3.7</v>
      </c>
      <c r="H4143">
        <v>0.52</v>
      </c>
      <c r="I4143">
        <v>1.59</v>
      </c>
      <c r="J4143">
        <v>2.5280999999999998</v>
      </c>
      <c r="K4143" t="str">
        <f>IFERROR(INDEX(Rosters!$C$2:$C$155,MATCH($B4143,Rosters!$B$2:$B$155,0)),"NA")</f>
        <v>NA</v>
      </c>
      <c r="L4143" t="str">
        <f t="shared" si="192"/>
        <v>NA16RB</v>
      </c>
      <c r="M4143">
        <f>COUNTIF(L$1:L4143,L4143)</f>
        <v>29</v>
      </c>
      <c r="N4143" t="str">
        <f t="shared" si="193"/>
        <v>NA16RB-29</v>
      </c>
      <c r="O4143">
        <f>COUNTIFS(F$1:F4143,F4143,A$1:A4143,A4143)</f>
        <v>76</v>
      </c>
      <c r="P4143" t="str">
        <f t="shared" si="194"/>
        <v>Elijah McGuire16</v>
      </c>
    </row>
    <row r="4144" spans="1:16" x14ac:dyDescent="0.25">
      <c r="A4144">
        <v>17</v>
      </c>
      <c r="B4144" t="s">
        <v>320</v>
      </c>
      <c r="C4144" t="s">
        <v>8478</v>
      </c>
      <c r="D4144">
        <v>2.11</v>
      </c>
      <c r="E4144" t="s">
        <v>423</v>
      </c>
      <c r="F4144" t="s">
        <v>47</v>
      </c>
      <c r="G4144">
        <v>3.87</v>
      </c>
      <c r="H4144">
        <v>0.35</v>
      </c>
      <c r="I4144">
        <v>1.76</v>
      </c>
      <c r="J4144">
        <v>3.0975999999999999</v>
      </c>
      <c r="K4144" t="str">
        <f>IFERROR(INDEX(Rosters!$C$2:$C$155,MATCH($B4144,Rosters!$B$2:$B$155,0)),"NA")</f>
        <v>NA</v>
      </c>
      <c r="L4144" t="str">
        <f t="shared" si="192"/>
        <v>NA17RB</v>
      </c>
      <c r="M4144">
        <f>COUNTIF(L$1:L4144,L4144)</f>
        <v>28</v>
      </c>
      <c r="N4144" t="str">
        <f t="shared" si="193"/>
        <v>NA17RB-28</v>
      </c>
      <c r="O4144">
        <f>COUNTIFS(F$1:F4144,F4144,A$1:A4144,A4144)</f>
        <v>75</v>
      </c>
      <c r="P4144" t="str">
        <f t="shared" si="194"/>
        <v>Elijah McGuire17</v>
      </c>
    </row>
    <row r="4145" spans="1:16" x14ac:dyDescent="0.25">
      <c r="A4145">
        <v>12</v>
      </c>
      <c r="B4145" t="s">
        <v>1586</v>
      </c>
      <c r="C4145">
        <f>-0.02-4.24</f>
        <v>-4.26</v>
      </c>
      <c r="D4145">
        <v>2.11</v>
      </c>
      <c r="E4145" t="s">
        <v>423</v>
      </c>
      <c r="F4145" t="s">
        <v>114</v>
      </c>
      <c r="G4145">
        <v>4.24</v>
      </c>
      <c r="H4145">
        <v>-0.02</v>
      </c>
      <c r="I4145">
        <v>2.13</v>
      </c>
      <c r="J4145">
        <v>4.5369000000000002</v>
      </c>
      <c r="K4145" t="str">
        <f>IFERROR(INDEX(Rosters!$C$2:$C$155,MATCH($B4145,Rosters!$B$2:$B$155,0)),"NA")</f>
        <v>NA</v>
      </c>
      <c r="L4145" t="str">
        <f t="shared" si="192"/>
        <v>NA12TE</v>
      </c>
      <c r="M4145">
        <f>COUNTIF(L$1:L4145,L4145)</f>
        <v>35</v>
      </c>
      <c r="N4145" t="str">
        <f t="shared" si="193"/>
        <v>NA12TE-35</v>
      </c>
      <c r="O4145">
        <f>COUNTIFS(F$1:F4145,F4145,A$1:A4145,A4145)</f>
        <v>48</v>
      </c>
      <c r="P4145" t="str">
        <f t="shared" si="194"/>
        <v>Eric Tomlinson12</v>
      </c>
    </row>
    <row r="4146" spans="1:16" x14ac:dyDescent="0.25">
      <c r="A4146">
        <v>15</v>
      </c>
      <c r="B4146" t="s">
        <v>277</v>
      </c>
      <c r="C4146" t="s">
        <v>8479</v>
      </c>
      <c r="D4146">
        <v>2.11</v>
      </c>
      <c r="E4146" t="s">
        <v>28</v>
      </c>
      <c r="F4146" t="s">
        <v>114</v>
      </c>
      <c r="G4146">
        <v>3.78</v>
      </c>
      <c r="H4146">
        <v>0.44</v>
      </c>
      <c r="I4146">
        <v>1.67</v>
      </c>
      <c r="J4146">
        <v>2.7888999999999999</v>
      </c>
      <c r="K4146" t="str">
        <f>IFERROR(INDEX(Rosters!$C$2:$C$155,MATCH($B4146,Rosters!$B$2:$B$155,0)),"NA")</f>
        <v>NA</v>
      </c>
      <c r="L4146" t="str">
        <f t="shared" si="192"/>
        <v>NA15TE</v>
      </c>
      <c r="M4146">
        <f>COUNTIF(L$1:L4146,L4146)</f>
        <v>30</v>
      </c>
      <c r="N4146" t="str">
        <f t="shared" si="193"/>
        <v>NA15TE-30</v>
      </c>
      <c r="O4146">
        <f>COUNTIFS(F$1:F4146,F4146,A$1:A4146,A4146)</f>
        <v>44</v>
      </c>
      <c r="P4146" t="str">
        <f t="shared" si="194"/>
        <v>Garrett Celek15</v>
      </c>
    </row>
    <row r="4147" spans="1:16" x14ac:dyDescent="0.25">
      <c r="A4147">
        <v>4</v>
      </c>
      <c r="B4147" t="s">
        <v>358</v>
      </c>
      <c r="C4147" t="s">
        <v>4636</v>
      </c>
      <c r="D4147">
        <v>2.11</v>
      </c>
      <c r="E4147" t="s">
        <v>73</v>
      </c>
      <c r="F4147" t="s">
        <v>114</v>
      </c>
      <c r="G4147">
        <v>3.9</v>
      </c>
      <c r="H4147">
        <v>0.32</v>
      </c>
      <c r="I4147">
        <v>1.79</v>
      </c>
      <c r="J4147">
        <v>3.2040999999999999</v>
      </c>
      <c r="K4147" t="str">
        <f>IFERROR(INDEX(Rosters!$C$2:$C$155,MATCH($B4147,Rosters!$B$2:$B$155,0)),"NA")</f>
        <v>NA</v>
      </c>
      <c r="L4147" t="str">
        <f t="shared" si="192"/>
        <v>NA4TE</v>
      </c>
      <c r="M4147">
        <f>COUNTIF(L$1:L4147,L4147)</f>
        <v>29</v>
      </c>
      <c r="N4147" t="str">
        <f t="shared" si="193"/>
        <v>NA4TE-29</v>
      </c>
      <c r="O4147">
        <f>COUNTIFS(F$1:F4147,F4147,A$1:A4147,A4147)</f>
        <v>40</v>
      </c>
      <c r="P4147" t="str">
        <f t="shared" si="194"/>
        <v>James O'Shaughnessy4</v>
      </c>
    </row>
    <row r="4148" spans="1:16" x14ac:dyDescent="0.25">
      <c r="A4148">
        <v>16</v>
      </c>
      <c r="B4148" t="s">
        <v>4217</v>
      </c>
      <c r="C4148" t="s">
        <v>8480</v>
      </c>
      <c r="D4148">
        <v>2.11</v>
      </c>
      <c r="E4148" t="s">
        <v>51</v>
      </c>
      <c r="F4148" t="s">
        <v>87</v>
      </c>
      <c r="G4148">
        <v>4.12</v>
      </c>
      <c r="H4148">
        <v>0.1</v>
      </c>
      <c r="I4148">
        <v>2.0099999999999998</v>
      </c>
      <c r="J4148">
        <v>4.0400999999999998</v>
      </c>
      <c r="K4148" t="str">
        <f>IFERROR(INDEX(Rosters!$C$2:$C$155,MATCH($B4148,Rosters!$B$2:$B$155,0)),"NA")</f>
        <v>NA</v>
      </c>
      <c r="L4148" t="str">
        <f t="shared" si="192"/>
        <v>NA16WR</v>
      </c>
      <c r="M4148">
        <f>COUNTIF(L$1:L4148,L4148)</f>
        <v>59</v>
      </c>
      <c r="N4148" t="str">
        <f t="shared" si="193"/>
        <v>NA16WR-59</v>
      </c>
      <c r="O4148">
        <f>COUNTIFS(F$1:F4148,F4148,A$1:A4148,A4148)</f>
        <v>113</v>
      </c>
      <c r="P4148" t="str">
        <f t="shared" si="194"/>
        <v>Tre'Quan Smith16</v>
      </c>
    </row>
    <row r="4149" spans="1:16" x14ac:dyDescent="0.25">
      <c r="A4149">
        <v>10</v>
      </c>
      <c r="B4149" t="s">
        <v>286</v>
      </c>
      <c r="C4149">
        <f>-0.13-4.33</f>
        <v>-4.46</v>
      </c>
      <c r="D4149">
        <v>2.1</v>
      </c>
      <c r="E4149" t="s">
        <v>41</v>
      </c>
      <c r="F4149" t="s">
        <v>114</v>
      </c>
      <c r="G4149">
        <v>4.33</v>
      </c>
      <c r="H4149">
        <v>-0.13</v>
      </c>
      <c r="I4149">
        <v>2.23</v>
      </c>
      <c r="J4149">
        <v>4.9729000000000001</v>
      </c>
      <c r="K4149" t="str">
        <f>IFERROR(INDEX(Rosters!$C$2:$C$155,MATCH($B4149,Rosters!$B$2:$B$155,0)),"NA")</f>
        <v>NA</v>
      </c>
      <c r="L4149" t="str">
        <f t="shared" si="192"/>
        <v>NA10TE</v>
      </c>
      <c r="M4149">
        <f>COUNTIF(L$1:L4149,L4149)</f>
        <v>33</v>
      </c>
      <c r="N4149" t="str">
        <f t="shared" si="193"/>
        <v>NA10TE-33</v>
      </c>
      <c r="O4149">
        <f>COUNTIFS(F$1:F4149,F4149,A$1:A4149,A4149)</f>
        <v>46</v>
      </c>
      <c r="P4149" t="str">
        <f t="shared" si="194"/>
        <v>A.J. Derby10</v>
      </c>
    </row>
    <row r="4150" spans="1:16" x14ac:dyDescent="0.25">
      <c r="A4150">
        <v>8</v>
      </c>
      <c r="B4150" t="s">
        <v>2715</v>
      </c>
      <c r="C4150">
        <f>-0.32-4.52</f>
        <v>-4.84</v>
      </c>
      <c r="D4150">
        <v>2.1</v>
      </c>
      <c r="E4150" t="s">
        <v>14</v>
      </c>
      <c r="F4150" t="s">
        <v>87</v>
      </c>
      <c r="G4150">
        <v>4.5199999999999996</v>
      </c>
      <c r="H4150">
        <v>-0.32</v>
      </c>
      <c r="I4150">
        <v>2.42</v>
      </c>
      <c r="J4150">
        <v>5.8563999999999998</v>
      </c>
      <c r="K4150" t="str">
        <f>IFERROR(INDEX(Rosters!$C$2:$C$155,MATCH($B4150,Rosters!$B$2:$B$155,0)),"NA")</f>
        <v>NA</v>
      </c>
      <c r="L4150" t="str">
        <f t="shared" si="192"/>
        <v>NA8WR</v>
      </c>
      <c r="M4150">
        <f>COUNTIF(L$1:L4150,L4150)</f>
        <v>48</v>
      </c>
      <c r="N4150" t="str">
        <f t="shared" si="193"/>
        <v>NA8WR-48</v>
      </c>
      <c r="O4150">
        <f>COUNTIFS(F$1:F4150,F4150,A$1:A4150,A4150)</f>
        <v>97</v>
      </c>
      <c r="P4150" t="str">
        <f t="shared" si="194"/>
        <v>Aldrick Robinson8</v>
      </c>
    </row>
    <row r="4151" spans="1:16" x14ac:dyDescent="0.25">
      <c r="A4151">
        <v>12</v>
      </c>
      <c r="B4151" t="s">
        <v>2715</v>
      </c>
      <c r="C4151">
        <f>-0.26-4.46</f>
        <v>-4.72</v>
      </c>
      <c r="D4151">
        <v>2.1</v>
      </c>
      <c r="E4151" t="s">
        <v>41</v>
      </c>
      <c r="F4151" t="s">
        <v>87</v>
      </c>
      <c r="G4151">
        <v>4.46</v>
      </c>
      <c r="H4151">
        <v>-0.26</v>
      </c>
      <c r="I4151">
        <v>2.36</v>
      </c>
      <c r="J4151">
        <v>5.5696000000000003</v>
      </c>
      <c r="K4151" t="str">
        <f>IFERROR(INDEX(Rosters!$C$2:$C$155,MATCH($B4151,Rosters!$B$2:$B$155,0)),"NA")</f>
        <v>NA</v>
      </c>
      <c r="L4151" t="str">
        <f t="shared" si="192"/>
        <v>NA12WR</v>
      </c>
      <c r="M4151">
        <f>COUNTIF(L$1:L4151,L4151)</f>
        <v>58</v>
      </c>
      <c r="N4151" t="str">
        <f t="shared" si="193"/>
        <v>NA12WR-58</v>
      </c>
      <c r="O4151">
        <f>COUNTIFS(F$1:F4151,F4151,A$1:A4151,A4151)</f>
        <v>107</v>
      </c>
      <c r="P4151" t="str">
        <f t="shared" si="194"/>
        <v>Aldrick Robinson12</v>
      </c>
    </row>
    <row r="4152" spans="1:16" x14ac:dyDescent="0.25">
      <c r="A4152">
        <v>8</v>
      </c>
      <c r="B4152" t="s">
        <v>275</v>
      </c>
      <c r="C4152" t="s">
        <v>8481</v>
      </c>
      <c r="D4152">
        <v>2.1</v>
      </c>
      <c r="E4152" t="s">
        <v>24</v>
      </c>
      <c r="F4152" t="s">
        <v>47</v>
      </c>
      <c r="G4152">
        <v>3.92</v>
      </c>
      <c r="H4152">
        <v>0.28000000000000003</v>
      </c>
      <c r="I4152">
        <v>1.82</v>
      </c>
      <c r="J4152">
        <v>3.3123999999999998</v>
      </c>
      <c r="K4152" t="str">
        <f>IFERROR(INDEX(Rosters!$C$2:$C$155,MATCH($B4152,Rosters!$B$2:$B$155,0)),"NA")</f>
        <v>NA</v>
      </c>
      <c r="L4152" t="str">
        <f t="shared" si="192"/>
        <v>NA8RB</v>
      </c>
      <c r="M4152">
        <f>COUNTIF(L$1:L4152,L4152)</f>
        <v>24</v>
      </c>
      <c r="N4152" t="str">
        <f t="shared" si="193"/>
        <v>NA8RB-24</v>
      </c>
      <c r="O4152">
        <f>COUNTIFS(F$1:F4152,F4152,A$1:A4152,A4152)</f>
        <v>64</v>
      </c>
      <c r="P4152" t="str">
        <f t="shared" si="194"/>
        <v>Devontae Booker8</v>
      </c>
    </row>
    <row r="4153" spans="1:16" x14ac:dyDescent="0.25">
      <c r="A4153">
        <v>4</v>
      </c>
      <c r="B4153" t="s">
        <v>4225</v>
      </c>
      <c r="C4153">
        <f>-0.49-4.69</f>
        <v>-5.1800000000000006</v>
      </c>
      <c r="D4153">
        <v>2.1</v>
      </c>
      <c r="E4153" t="s">
        <v>66</v>
      </c>
      <c r="F4153" t="s">
        <v>114</v>
      </c>
      <c r="G4153">
        <v>4.6900000000000004</v>
      </c>
      <c r="H4153">
        <v>-0.49</v>
      </c>
      <c r="I4153">
        <v>2.59</v>
      </c>
      <c r="J4153">
        <v>6.7081</v>
      </c>
      <c r="K4153" t="str">
        <f>IFERROR(INDEX(Rosters!$C$2:$C$155,MATCH($B4153,Rosters!$B$2:$B$155,0)),"NA")</f>
        <v>NA</v>
      </c>
      <c r="L4153" t="str">
        <f t="shared" si="192"/>
        <v>NA4TE</v>
      </c>
      <c r="M4153">
        <f>COUNTIF(L$1:L4153,L4153)</f>
        <v>30</v>
      </c>
      <c r="N4153" t="str">
        <f t="shared" si="193"/>
        <v>NA4TE-30</v>
      </c>
      <c r="O4153">
        <f>COUNTIFS(F$1:F4153,F4153,A$1:A4153,A4153)</f>
        <v>41</v>
      </c>
      <c r="P4153" t="str">
        <f t="shared" si="194"/>
        <v>Jordan Akins4</v>
      </c>
    </row>
    <row r="4154" spans="1:16" x14ac:dyDescent="0.25">
      <c r="A4154">
        <v>5</v>
      </c>
      <c r="B4154" t="s">
        <v>4225</v>
      </c>
      <c r="C4154" t="s">
        <v>4637</v>
      </c>
      <c r="D4154">
        <v>2.1</v>
      </c>
      <c r="E4154" t="s">
        <v>22</v>
      </c>
      <c r="F4154" t="s">
        <v>114</v>
      </c>
      <c r="G4154">
        <v>3.89</v>
      </c>
      <c r="H4154">
        <v>0.31</v>
      </c>
      <c r="I4154">
        <v>1.79</v>
      </c>
      <c r="J4154">
        <v>3.2040999999999999</v>
      </c>
      <c r="K4154" t="str">
        <f>IFERROR(INDEX(Rosters!$C$2:$C$155,MATCH($B4154,Rosters!$B$2:$B$155,0)),"NA")</f>
        <v>NA</v>
      </c>
      <c r="L4154" t="str">
        <f t="shared" si="192"/>
        <v>NA5TE</v>
      </c>
      <c r="M4154">
        <f>COUNTIF(L$1:L4154,L4154)</f>
        <v>31</v>
      </c>
      <c r="N4154" t="str">
        <f t="shared" si="193"/>
        <v>NA5TE-31</v>
      </c>
      <c r="O4154">
        <f>COUNTIFS(F$1:F4154,F4154,A$1:A4154,A4154)</f>
        <v>42</v>
      </c>
      <c r="P4154" t="str">
        <f t="shared" si="194"/>
        <v>Jordan Akins5</v>
      </c>
    </row>
    <row r="4155" spans="1:16" x14ac:dyDescent="0.25">
      <c r="A4155">
        <v>6</v>
      </c>
      <c r="B4155" t="s">
        <v>262</v>
      </c>
      <c r="C4155" t="s">
        <v>8482</v>
      </c>
      <c r="D4155">
        <v>2.1</v>
      </c>
      <c r="E4155" t="s">
        <v>58</v>
      </c>
      <c r="F4155" t="s">
        <v>87</v>
      </c>
      <c r="G4155">
        <v>4.1399999999999997</v>
      </c>
      <c r="H4155">
        <v>0.06</v>
      </c>
      <c r="I4155">
        <v>2.04</v>
      </c>
      <c r="J4155">
        <v>4.1616</v>
      </c>
      <c r="K4155" t="str">
        <f>IFERROR(INDEX(Rosters!$C$2:$C$155,MATCH($B4155,Rosters!$B$2:$B$155,0)),"NA")</f>
        <v>NA</v>
      </c>
      <c r="L4155" t="str">
        <f t="shared" si="192"/>
        <v>NA6WR</v>
      </c>
      <c r="M4155">
        <f>COUNTIF(L$1:L4155,L4155)</f>
        <v>56</v>
      </c>
      <c r="N4155" t="str">
        <f t="shared" si="193"/>
        <v>NA6WR-56</v>
      </c>
      <c r="O4155">
        <f>COUNTIFS(F$1:F4155,F4155,A$1:A4155,A4155)</f>
        <v>106</v>
      </c>
      <c r="P4155" t="str">
        <f t="shared" si="194"/>
        <v>Laquon Treadwell6</v>
      </c>
    </row>
    <row r="4156" spans="1:16" x14ac:dyDescent="0.25">
      <c r="A4156">
        <v>7</v>
      </c>
      <c r="B4156" t="s">
        <v>262</v>
      </c>
      <c r="C4156" t="s">
        <v>8483</v>
      </c>
      <c r="D4156">
        <v>2.1</v>
      </c>
      <c r="E4156" t="s">
        <v>73</v>
      </c>
      <c r="F4156" t="s">
        <v>87</v>
      </c>
      <c r="G4156">
        <v>4.12</v>
      </c>
      <c r="H4156">
        <v>0.08</v>
      </c>
      <c r="I4156">
        <v>2.02</v>
      </c>
      <c r="J4156">
        <v>4.0804</v>
      </c>
      <c r="K4156" t="str">
        <f>IFERROR(INDEX(Rosters!$C$2:$C$155,MATCH($B4156,Rosters!$B$2:$B$155,0)),"NA")</f>
        <v>NA</v>
      </c>
      <c r="L4156" t="str">
        <f t="shared" si="192"/>
        <v>NA7WR</v>
      </c>
      <c r="M4156">
        <f>COUNTIF(L$1:L4156,L4156)</f>
        <v>49</v>
      </c>
      <c r="N4156" t="str">
        <f t="shared" si="193"/>
        <v>NA7WR-49</v>
      </c>
      <c r="O4156">
        <f>COUNTIFS(F$1:F4156,F4156,A$1:A4156,A4156)</f>
        <v>94</v>
      </c>
      <c r="P4156" t="str">
        <f t="shared" si="194"/>
        <v>Laquon Treadwell7</v>
      </c>
    </row>
    <row r="4157" spans="1:16" x14ac:dyDescent="0.25">
      <c r="A4157">
        <v>13</v>
      </c>
      <c r="B4157" t="s">
        <v>387</v>
      </c>
      <c r="C4157" t="s">
        <v>4638</v>
      </c>
      <c r="D4157">
        <v>2.1</v>
      </c>
      <c r="E4157" t="s">
        <v>72</v>
      </c>
      <c r="F4157" t="s">
        <v>114</v>
      </c>
      <c r="G4157">
        <v>4.0199999999999996</v>
      </c>
      <c r="H4157">
        <v>0.18</v>
      </c>
      <c r="I4157">
        <v>1.92</v>
      </c>
      <c r="J4157">
        <v>3.6863999999999999</v>
      </c>
      <c r="K4157" t="str">
        <f>IFERROR(INDEX(Rosters!$C$2:$C$155,MATCH($B4157,Rosters!$B$2:$B$155,0)),"NA")</f>
        <v>NA</v>
      </c>
      <c r="L4157" t="str">
        <f t="shared" si="192"/>
        <v>NA13TE</v>
      </c>
      <c r="M4157">
        <f>COUNTIF(L$1:L4157,L4157)</f>
        <v>34</v>
      </c>
      <c r="N4157" t="str">
        <f t="shared" si="193"/>
        <v>NA13TE-34</v>
      </c>
      <c r="O4157">
        <f>COUNTIFS(F$1:F4157,F4157,A$1:A4157,A4157)</f>
        <v>48</v>
      </c>
      <c r="P4157" t="str">
        <f t="shared" si="194"/>
        <v>Rhett Ellison13</v>
      </c>
    </row>
    <row r="4158" spans="1:16" x14ac:dyDescent="0.25">
      <c r="A4158">
        <v>14</v>
      </c>
      <c r="B4158" t="s">
        <v>387</v>
      </c>
      <c r="C4158">
        <f>-0.07-4.27</f>
        <v>-4.34</v>
      </c>
      <c r="D4158">
        <v>2.1</v>
      </c>
      <c r="E4158" t="s">
        <v>60</v>
      </c>
      <c r="F4158" t="s">
        <v>114</v>
      </c>
      <c r="G4158">
        <v>4.2699999999999996</v>
      </c>
      <c r="H4158">
        <v>-7.0000000000000007E-2</v>
      </c>
      <c r="I4158">
        <v>2.17</v>
      </c>
      <c r="J4158">
        <v>4.7088999999999999</v>
      </c>
      <c r="K4158" t="str">
        <f>IFERROR(INDEX(Rosters!$C$2:$C$155,MATCH($B4158,Rosters!$B$2:$B$155,0)),"NA")</f>
        <v>NA</v>
      </c>
      <c r="L4158" t="str">
        <f t="shared" si="192"/>
        <v>NA14TE</v>
      </c>
      <c r="M4158">
        <f>COUNTIF(L$1:L4158,L4158)</f>
        <v>34</v>
      </c>
      <c r="N4158" t="str">
        <f t="shared" si="193"/>
        <v>NA14TE-34</v>
      </c>
      <c r="O4158">
        <f>COUNTIFS(F$1:F4158,F4158,A$1:A4158,A4158)</f>
        <v>48</v>
      </c>
      <c r="P4158" t="str">
        <f t="shared" si="194"/>
        <v>Rhett Ellison14</v>
      </c>
    </row>
    <row r="4159" spans="1:16" x14ac:dyDescent="0.25">
      <c r="A4159">
        <v>16</v>
      </c>
      <c r="B4159" t="s">
        <v>190</v>
      </c>
      <c r="C4159">
        <f>-0.32-4.52</f>
        <v>-4.84</v>
      </c>
      <c r="D4159">
        <v>2.1</v>
      </c>
      <c r="E4159" t="s">
        <v>17</v>
      </c>
      <c r="F4159" t="s">
        <v>87</v>
      </c>
      <c r="G4159">
        <v>4.5199999999999996</v>
      </c>
      <c r="H4159">
        <v>-0.32</v>
      </c>
      <c r="I4159">
        <v>2.42</v>
      </c>
      <c r="J4159">
        <v>5.8563999999999998</v>
      </c>
      <c r="K4159" t="str">
        <f>IFERROR(INDEX(Rosters!$C$2:$C$155,MATCH($B4159,Rosters!$B$2:$B$155,0)),"NA")</f>
        <v>NA</v>
      </c>
      <c r="L4159" t="str">
        <f t="shared" si="192"/>
        <v>NA16WR</v>
      </c>
      <c r="M4159">
        <f>COUNTIF(L$1:L4159,L4159)</f>
        <v>60</v>
      </c>
      <c r="N4159" t="str">
        <f t="shared" si="193"/>
        <v>NA16WR-60</v>
      </c>
      <c r="O4159">
        <f>COUNTIFS(F$1:F4159,F4159,A$1:A4159,A4159)</f>
        <v>114</v>
      </c>
      <c r="P4159" t="str">
        <f t="shared" si="194"/>
        <v>Tavon Austin16</v>
      </c>
    </row>
    <row r="4160" spans="1:16" x14ac:dyDescent="0.25">
      <c r="A4160">
        <v>1</v>
      </c>
      <c r="B4160" t="s">
        <v>268</v>
      </c>
      <c r="C4160">
        <f>-0.22-4.42</f>
        <v>-4.6399999999999997</v>
      </c>
      <c r="D4160">
        <v>2.1</v>
      </c>
      <c r="E4160" t="s">
        <v>76</v>
      </c>
      <c r="F4160" t="s">
        <v>47</v>
      </c>
      <c r="G4160">
        <v>4.42</v>
      </c>
      <c r="H4160">
        <v>-0.22</v>
      </c>
      <c r="I4160">
        <v>2.3199999999999998</v>
      </c>
      <c r="J4160">
        <v>5.3823999999999996</v>
      </c>
      <c r="K4160" t="str">
        <f>IFERROR(INDEX(Rosters!$C$2:$C$155,MATCH($B4160,Rosters!$B$2:$B$155,0)),"NA")</f>
        <v>NA</v>
      </c>
      <c r="L4160" t="str">
        <f t="shared" si="192"/>
        <v>NA1RB</v>
      </c>
      <c r="M4160">
        <f>COUNTIF(L$1:L4160,L4160)</f>
        <v>23</v>
      </c>
      <c r="N4160" t="str">
        <f t="shared" si="193"/>
        <v>NA1RB-23</v>
      </c>
      <c r="O4160">
        <f>COUNTIFS(F$1:F4160,F4160,A$1:A4160,A4160)</f>
        <v>65</v>
      </c>
      <c r="P4160" t="str">
        <f t="shared" si="194"/>
        <v>Wayne Gallman1</v>
      </c>
    </row>
    <row r="4161" spans="1:16" x14ac:dyDescent="0.25">
      <c r="A4161">
        <v>8</v>
      </c>
      <c r="B4161" t="s">
        <v>277</v>
      </c>
      <c r="C4161" t="s">
        <v>8484</v>
      </c>
      <c r="D4161">
        <v>2.09</v>
      </c>
      <c r="E4161" t="s">
        <v>58</v>
      </c>
      <c r="F4161" t="s">
        <v>114</v>
      </c>
      <c r="G4161">
        <v>3.64</v>
      </c>
      <c r="H4161">
        <v>0.54</v>
      </c>
      <c r="I4161">
        <v>1.55</v>
      </c>
      <c r="J4161">
        <v>2.4024999999999999</v>
      </c>
      <c r="K4161" t="str">
        <f>IFERROR(INDEX(Rosters!$C$2:$C$155,MATCH($B4161,Rosters!$B$2:$B$155,0)),"NA")</f>
        <v>NA</v>
      </c>
      <c r="L4161" t="str">
        <f t="shared" si="192"/>
        <v>NA8TE</v>
      </c>
      <c r="M4161">
        <f>COUNTIF(L$1:L4161,L4161)</f>
        <v>32</v>
      </c>
      <c r="N4161" t="str">
        <f t="shared" si="193"/>
        <v>NA8TE-32</v>
      </c>
      <c r="O4161">
        <f>COUNTIFS(F$1:F4161,F4161,A$1:A4161,A4161)</f>
        <v>44</v>
      </c>
      <c r="P4161" t="str">
        <f t="shared" si="194"/>
        <v>Garrett Celek8</v>
      </c>
    </row>
    <row r="4162" spans="1:16" x14ac:dyDescent="0.25">
      <c r="A4162">
        <v>2</v>
      </c>
      <c r="B4162" t="s">
        <v>1484</v>
      </c>
      <c r="C4162" t="s">
        <v>1498</v>
      </c>
      <c r="D4162">
        <v>2.09</v>
      </c>
      <c r="E4162" t="s">
        <v>32</v>
      </c>
      <c r="F4162" t="s">
        <v>114</v>
      </c>
      <c r="G4162">
        <v>4.1100000000000003</v>
      </c>
      <c r="H4162">
        <v>7.0000000000000007E-2</v>
      </c>
      <c r="I4162">
        <v>2.02</v>
      </c>
      <c r="J4162">
        <v>4.0804</v>
      </c>
      <c r="K4162" t="str">
        <f>IFERROR(INDEX(Rosters!$C$2:$C$155,MATCH($B4162,Rosters!$B$2:$B$155,0)),"NA")</f>
        <v>NA</v>
      </c>
      <c r="L4162" t="str">
        <f t="shared" si="192"/>
        <v>NA2TE</v>
      </c>
      <c r="M4162">
        <f>COUNTIF(L$1:L4162,L4162)</f>
        <v>25</v>
      </c>
      <c r="N4162" t="str">
        <f t="shared" si="193"/>
        <v>NA2TE-25</v>
      </c>
      <c r="O4162">
        <f>COUNTIFS(F$1:F4162,F4162,A$1:A4162,A4162)</f>
        <v>38</v>
      </c>
      <c r="P4162" t="str">
        <f t="shared" si="194"/>
        <v>Jake Butt2</v>
      </c>
    </row>
    <row r="4163" spans="1:16" x14ac:dyDescent="0.25">
      <c r="A4163">
        <v>15</v>
      </c>
      <c r="B4163" t="s">
        <v>358</v>
      </c>
      <c r="C4163">
        <f>-0.25-4.43</f>
        <v>-4.68</v>
      </c>
      <c r="D4163">
        <v>2.09</v>
      </c>
      <c r="E4163" t="s">
        <v>60</v>
      </c>
      <c r="F4163" t="s">
        <v>114</v>
      </c>
      <c r="G4163">
        <v>4.43</v>
      </c>
      <c r="H4163">
        <v>-0.25</v>
      </c>
      <c r="I4163">
        <v>2.34</v>
      </c>
      <c r="J4163">
        <v>5.4756</v>
      </c>
      <c r="K4163" t="str">
        <f>IFERROR(INDEX(Rosters!$C$2:$C$155,MATCH($B4163,Rosters!$B$2:$B$155,0)),"NA")</f>
        <v>NA</v>
      </c>
      <c r="L4163" t="str">
        <f t="shared" ref="L4163:L4226" si="195">K4163&amp;A4163&amp;F4163</f>
        <v>NA15TE</v>
      </c>
      <c r="M4163">
        <f>COUNTIF(L$1:L4163,L4163)</f>
        <v>31</v>
      </c>
      <c r="N4163" t="str">
        <f t="shared" ref="N4163:N4226" si="196">L4163&amp;"-"&amp;M4163</f>
        <v>NA15TE-31</v>
      </c>
      <c r="O4163">
        <f>COUNTIFS(F$1:F4163,F4163,A$1:A4163,A4163)</f>
        <v>45</v>
      </c>
      <c r="P4163" t="str">
        <f t="shared" ref="P4163:P4226" si="197">B4163&amp;A4163</f>
        <v>James O'Shaughnessy15</v>
      </c>
    </row>
    <row r="4164" spans="1:16" x14ac:dyDescent="0.25">
      <c r="A4164">
        <v>14</v>
      </c>
      <c r="B4164" t="s">
        <v>4225</v>
      </c>
      <c r="C4164" t="s">
        <v>8485</v>
      </c>
      <c r="D4164">
        <v>2.09</v>
      </c>
      <c r="E4164" t="s">
        <v>66</v>
      </c>
      <c r="F4164" t="s">
        <v>114</v>
      </c>
      <c r="G4164">
        <v>3.89</v>
      </c>
      <c r="H4164">
        <v>0.28999999999999998</v>
      </c>
      <c r="I4164">
        <v>1.8</v>
      </c>
      <c r="J4164">
        <v>3.24</v>
      </c>
      <c r="K4164" t="str">
        <f>IFERROR(INDEX(Rosters!$C$2:$C$155,MATCH($B4164,Rosters!$B$2:$B$155,0)),"NA")</f>
        <v>NA</v>
      </c>
      <c r="L4164" t="str">
        <f t="shared" si="195"/>
        <v>NA14TE</v>
      </c>
      <c r="M4164">
        <f>COUNTIF(L$1:L4164,L4164)</f>
        <v>35</v>
      </c>
      <c r="N4164" t="str">
        <f t="shared" si="196"/>
        <v>NA14TE-35</v>
      </c>
      <c r="O4164">
        <f>COUNTIFS(F$1:F4164,F4164,A$1:A4164,A4164)</f>
        <v>49</v>
      </c>
      <c r="P4164" t="str">
        <f t="shared" si="197"/>
        <v>Jordan Akins14</v>
      </c>
    </row>
    <row r="4165" spans="1:16" x14ac:dyDescent="0.25">
      <c r="A4165">
        <v>13</v>
      </c>
      <c r="B4165" t="s">
        <v>287</v>
      </c>
      <c r="C4165" t="s">
        <v>8486</v>
      </c>
      <c r="D4165">
        <v>2.09</v>
      </c>
      <c r="E4165" t="s">
        <v>22</v>
      </c>
      <c r="F4165" t="s">
        <v>114</v>
      </c>
      <c r="G4165">
        <v>4.12</v>
      </c>
      <c r="H4165">
        <v>0.06</v>
      </c>
      <c r="I4165">
        <v>2.0299999999999998</v>
      </c>
      <c r="J4165">
        <v>4.1208999999999998</v>
      </c>
      <c r="K4165" t="str">
        <f>IFERROR(INDEX(Rosters!$C$2:$C$155,MATCH($B4165,Rosters!$B$2:$B$155,0)),"NA")</f>
        <v>NA</v>
      </c>
      <c r="L4165" t="str">
        <f t="shared" si="195"/>
        <v>NA13TE</v>
      </c>
      <c r="M4165">
        <f>COUNTIF(L$1:L4165,L4165)</f>
        <v>35</v>
      </c>
      <c r="N4165" t="str">
        <f t="shared" si="196"/>
        <v>NA13TE-35</v>
      </c>
      <c r="O4165">
        <f>COUNTIFS(F$1:F4165,F4165,A$1:A4165,A4165)</f>
        <v>49</v>
      </c>
      <c r="P4165" t="str">
        <f t="shared" si="197"/>
        <v>Josh Hill13</v>
      </c>
    </row>
    <row r="4166" spans="1:16" x14ac:dyDescent="0.25">
      <c r="A4166">
        <v>5</v>
      </c>
      <c r="B4166" t="s">
        <v>4612</v>
      </c>
      <c r="C4166">
        <f>-0.3-4.48</f>
        <v>-4.78</v>
      </c>
      <c r="D4166">
        <v>2.09</v>
      </c>
      <c r="E4166" t="s">
        <v>28</v>
      </c>
      <c r="F4166" t="s">
        <v>87</v>
      </c>
      <c r="G4166">
        <v>4.4800000000000004</v>
      </c>
      <c r="H4166">
        <v>-0.3</v>
      </c>
      <c r="I4166">
        <v>2.39</v>
      </c>
      <c r="J4166">
        <v>5.7121000000000004</v>
      </c>
      <c r="K4166" t="str">
        <f>IFERROR(INDEX(Rosters!$C$2:$C$155,MATCH($B4166,Rosters!$B$2:$B$155,0)),"NA")</f>
        <v>NA</v>
      </c>
      <c r="L4166" t="str">
        <f t="shared" si="195"/>
        <v>NA5WR</v>
      </c>
      <c r="M4166">
        <f>COUNTIF(L$1:L4166,L4166)</f>
        <v>51</v>
      </c>
      <c r="N4166" t="str">
        <f t="shared" si="196"/>
        <v>NA5WR-51</v>
      </c>
      <c r="O4166">
        <f>COUNTIFS(F$1:F4166,F4166,A$1:A4166,A4166)</f>
        <v>101</v>
      </c>
      <c r="P4166" t="str">
        <f t="shared" si="197"/>
        <v>Khadarel Hodge5</v>
      </c>
    </row>
    <row r="4167" spans="1:16" x14ac:dyDescent="0.25">
      <c r="A4167">
        <v>3</v>
      </c>
      <c r="B4167" t="s">
        <v>1148</v>
      </c>
      <c r="C4167" t="s">
        <v>3796</v>
      </c>
      <c r="D4167">
        <v>2.09</v>
      </c>
      <c r="E4167" t="s">
        <v>22</v>
      </c>
      <c r="F4167" t="s">
        <v>47</v>
      </c>
      <c r="G4167">
        <v>4.18</v>
      </c>
      <c r="H4167">
        <v>0</v>
      </c>
      <c r="I4167">
        <v>2.09</v>
      </c>
      <c r="J4167">
        <v>4.3681000000000001</v>
      </c>
      <c r="K4167" t="str">
        <f>IFERROR(INDEX(Rosters!$C$2:$C$155,MATCH($B4167,Rosters!$B$2:$B$155,0)),"NA")</f>
        <v>NA</v>
      </c>
      <c r="L4167" t="str">
        <f t="shared" si="195"/>
        <v>NA3RB</v>
      </c>
      <c r="M4167">
        <f>COUNTIF(L$1:L4167,L4167)</f>
        <v>28</v>
      </c>
      <c r="N4167" t="str">
        <f t="shared" si="196"/>
        <v>NA3RB-28</v>
      </c>
      <c r="O4167">
        <f>COUNTIFS(F$1:F4167,F4167,A$1:A4167,A4167)</f>
        <v>67</v>
      </c>
      <c r="P4167" t="str">
        <f t="shared" si="197"/>
        <v>Mike Davis3</v>
      </c>
    </row>
    <row r="4168" spans="1:16" x14ac:dyDescent="0.25">
      <c r="A4168">
        <v>5</v>
      </c>
      <c r="B4168" t="s">
        <v>244</v>
      </c>
      <c r="C4168" t="s">
        <v>8487</v>
      </c>
      <c r="D4168">
        <v>2.09</v>
      </c>
      <c r="E4168" t="s">
        <v>28</v>
      </c>
      <c r="F4168" t="s">
        <v>114</v>
      </c>
      <c r="G4168">
        <v>4.0999999999999996</v>
      </c>
      <c r="H4168">
        <v>0.08</v>
      </c>
      <c r="I4168">
        <v>2.0099999999999998</v>
      </c>
      <c r="J4168">
        <v>4.0400999999999998</v>
      </c>
      <c r="K4168" t="str">
        <f>IFERROR(INDEX(Rosters!$C$2:$C$155,MATCH($B4168,Rosters!$B$2:$B$155,0)),"NA")</f>
        <v>NA</v>
      </c>
      <c r="L4168" t="str">
        <f t="shared" si="195"/>
        <v>NA5TE</v>
      </c>
      <c r="M4168">
        <f>COUNTIF(L$1:L4168,L4168)</f>
        <v>32</v>
      </c>
      <c r="N4168" t="str">
        <f t="shared" si="196"/>
        <v>NA5TE-32</v>
      </c>
      <c r="O4168">
        <f>COUNTIFS(F$1:F4168,F4168,A$1:A4168,A4168)</f>
        <v>43</v>
      </c>
      <c r="P4168" t="str">
        <f t="shared" si="197"/>
        <v>Tyler Higbee5</v>
      </c>
    </row>
    <row r="4169" spans="1:16" x14ac:dyDescent="0.25">
      <c r="A4169">
        <v>11</v>
      </c>
      <c r="B4169" t="s">
        <v>301</v>
      </c>
      <c r="C4169">
        <f>-0.39-4.55</f>
        <v>-4.9399999999999995</v>
      </c>
      <c r="D4169">
        <v>2.08</v>
      </c>
      <c r="E4169" t="s">
        <v>77</v>
      </c>
      <c r="F4169" t="s">
        <v>114</v>
      </c>
      <c r="G4169">
        <v>4.55</v>
      </c>
      <c r="H4169">
        <v>-0.39</v>
      </c>
      <c r="I4169">
        <v>2.4700000000000002</v>
      </c>
      <c r="J4169">
        <v>6.1009000000000002</v>
      </c>
      <c r="K4169" t="str">
        <f>IFERROR(INDEX(Rosters!$C$2:$C$155,MATCH($B4169,Rosters!$B$2:$B$155,0)),"NA")</f>
        <v>NA</v>
      </c>
      <c r="L4169" t="str">
        <f t="shared" si="195"/>
        <v>NA11TE</v>
      </c>
      <c r="M4169">
        <f>COUNTIF(L$1:L4169,L4169)</f>
        <v>29</v>
      </c>
      <c r="N4169" t="str">
        <f t="shared" si="196"/>
        <v>NA11TE-29</v>
      </c>
      <c r="O4169">
        <f>COUNTIFS(F$1:F4169,F4169,A$1:A4169,A4169)</f>
        <v>41</v>
      </c>
      <c r="P4169" t="str">
        <f t="shared" si="197"/>
        <v>C.J. Uzomah11</v>
      </c>
    </row>
    <row r="4170" spans="1:16" x14ac:dyDescent="0.25">
      <c r="A4170">
        <v>8</v>
      </c>
      <c r="B4170" t="s">
        <v>4204</v>
      </c>
      <c r="C4170">
        <f>-0.17-4.33</f>
        <v>-4.5</v>
      </c>
      <c r="D4170">
        <v>2.08</v>
      </c>
      <c r="E4170" t="s">
        <v>58</v>
      </c>
      <c r="F4170" t="s">
        <v>87</v>
      </c>
      <c r="G4170">
        <v>4.33</v>
      </c>
      <c r="H4170">
        <v>-0.17</v>
      </c>
      <c r="I4170">
        <v>2.25</v>
      </c>
      <c r="J4170">
        <v>5.0625</v>
      </c>
      <c r="K4170" t="str">
        <f>IFERROR(INDEX(Rosters!$C$2:$C$155,MATCH($B4170,Rosters!$B$2:$B$155,0)),"NA")</f>
        <v>NA</v>
      </c>
      <c r="L4170" t="str">
        <f t="shared" si="195"/>
        <v>NA8WR</v>
      </c>
      <c r="M4170">
        <f>COUNTIF(L$1:L4170,L4170)</f>
        <v>49</v>
      </c>
      <c r="N4170" t="str">
        <f t="shared" si="196"/>
        <v>NA8WR-49</v>
      </c>
      <c r="O4170">
        <f>COUNTIFS(F$1:F4170,F4170,A$1:A4170,A4170)</f>
        <v>98</v>
      </c>
      <c r="P4170" t="str">
        <f t="shared" si="197"/>
        <v>Dante Pettis8</v>
      </c>
    </row>
    <row r="4171" spans="1:16" x14ac:dyDescent="0.25">
      <c r="A4171">
        <v>8</v>
      </c>
      <c r="B4171" t="s">
        <v>1586</v>
      </c>
      <c r="C4171">
        <f>-0.11-4.27</f>
        <v>-4.38</v>
      </c>
      <c r="D4171">
        <v>2.08</v>
      </c>
      <c r="E4171" t="s">
        <v>72</v>
      </c>
      <c r="F4171" t="s">
        <v>114</v>
      </c>
      <c r="G4171">
        <v>4.2699999999999996</v>
      </c>
      <c r="H4171">
        <v>-0.11</v>
      </c>
      <c r="I4171">
        <v>2.19</v>
      </c>
      <c r="J4171">
        <v>4.7961</v>
      </c>
      <c r="K4171" t="str">
        <f>IFERROR(INDEX(Rosters!$C$2:$C$155,MATCH($B4171,Rosters!$B$2:$B$155,0)),"NA")</f>
        <v>NA</v>
      </c>
      <c r="L4171" t="str">
        <f t="shared" si="195"/>
        <v>NA8TE</v>
      </c>
      <c r="M4171">
        <f>COUNTIF(L$1:L4171,L4171)</f>
        <v>33</v>
      </c>
      <c r="N4171" t="str">
        <f t="shared" si="196"/>
        <v>NA8TE-33</v>
      </c>
      <c r="O4171">
        <f>COUNTIFS(F$1:F4171,F4171,A$1:A4171,A4171)</f>
        <v>45</v>
      </c>
      <c r="P4171" t="str">
        <f t="shared" si="197"/>
        <v>Eric Tomlinson8</v>
      </c>
    </row>
    <row r="4172" spans="1:16" x14ac:dyDescent="0.25">
      <c r="A4172">
        <v>1</v>
      </c>
      <c r="B4172" t="s">
        <v>198</v>
      </c>
      <c r="C4172">
        <f>-1.04-5.2</f>
        <v>-6.24</v>
      </c>
      <c r="D4172">
        <v>2.08</v>
      </c>
      <c r="E4172" t="s">
        <v>41</v>
      </c>
      <c r="F4172" t="s">
        <v>87</v>
      </c>
      <c r="G4172">
        <v>5.2</v>
      </c>
      <c r="H4172">
        <v>-1.04</v>
      </c>
      <c r="I4172">
        <v>3.12</v>
      </c>
      <c r="J4172">
        <v>9.7344000000000008</v>
      </c>
      <c r="K4172" t="str">
        <f>IFERROR(INDEX(Rosters!$C$2:$C$155,MATCH($B4172,Rosters!$B$2:$B$155,0)),"NA")</f>
        <v>NA</v>
      </c>
      <c r="L4172" t="str">
        <f t="shared" si="195"/>
        <v>NA1WR</v>
      </c>
      <c r="M4172">
        <f>COUNTIF(L$1:L4172,L4172)</f>
        <v>46</v>
      </c>
      <c r="N4172" t="str">
        <f t="shared" si="196"/>
        <v>NA1WR-46</v>
      </c>
      <c r="O4172">
        <f>COUNTIFS(F$1:F4172,F4172,A$1:A4172,A4172)</f>
        <v>95</v>
      </c>
      <c r="P4172" t="str">
        <f t="shared" si="197"/>
        <v>Kevin White1</v>
      </c>
    </row>
    <row r="4173" spans="1:16" x14ac:dyDescent="0.25">
      <c r="A4173">
        <v>16</v>
      </c>
      <c r="B4173" t="s">
        <v>362</v>
      </c>
      <c r="C4173">
        <f>-0.26-4.42</f>
        <v>-4.68</v>
      </c>
      <c r="D4173">
        <v>2.08</v>
      </c>
      <c r="E4173" t="s">
        <v>24</v>
      </c>
      <c r="F4173" t="s">
        <v>114</v>
      </c>
      <c r="G4173">
        <v>4.42</v>
      </c>
      <c r="H4173">
        <v>-0.26</v>
      </c>
      <c r="I4173">
        <v>2.34</v>
      </c>
      <c r="J4173">
        <v>5.4756</v>
      </c>
      <c r="K4173" t="str">
        <f>IFERROR(INDEX(Rosters!$C$2:$C$155,MATCH($B4173,Rosters!$B$2:$B$155,0)),"NA")</f>
        <v>NA</v>
      </c>
      <c r="L4173" t="str">
        <f t="shared" si="195"/>
        <v>NA16TE</v>
      </c>
      <c r="M4173">
        <f>COUNTIF(L$1:L4173,L4173)</f>
        <v>36</v>
      </c>
      <c r="N4173" t="str">
        <f t="shared" si="196"/>
        <v>NA16TE-36</v>
      </c>
      <c r="O4173">
        <f>COUNTIFS(F$1:F4173,F4173,A$1:A4173,A4173)</f>
        <v>50</v>
      </c>
      <c r="P4173" t="str">
        <f t="shared" si="197"/>
        <v>Nick Vannett16</v>
      </c>
    </row>
    <row r="4174" spans="1:16" x14ac:dyDescent="0.25">
      <c r="A4174">
        <v>8</v>
      </c>
      <c r="B4174" t="s">
        <v>4232</v>
      </c>
      <c r="C4174">
        <f>-0.12-4.28</f>
        <v>-4.4000000000000004</v>
      </c>
      <c r="D4174">
        <v>2.08</v>
      </c>
      <c r="E4174" t="s">
        <v>31</v>
      </c>
      <c r="F4174" t="s">
        <v>47</v>
      </c>
      <c r="G4174">
        <v>4.28</v>
      </c>
      <c r="H4174">
        <v>-0.12</v>
      </c>
      <c r="I4174">
        <v>2.2000000000000002</v>
      </c>
      <c r="J4174">
        <v>4.84</v>
      </c>
      <c r="K4174" t="str">
        <f>IFERROR(INDEX(Rosters!$C$2:$C$155,MATCH($B4174,Rosters!$B$2:$B$155,0)),"NA")</f>
        <v>NA</v>
      </c>
      <c r="L4174" t="str">
        <f t="shared" si="195"/>
        <v>NA8RB</v>
      </c>
      <c r="M4174">
        <f>COUNTIF(L$1:L4174,L4174)</f>
        <v>25</v>
      </c>
      <c r="N4174" t="str">
        <f t="shared" si="196"/>
        <v>NA8RB-25</v>
      </c>
      <c r="O4174">
        <f>COUNTIFS(F$1:F4174,F4174,A$1:A4174,A4174)</f>
        <v>65</v>
      </c>
      <c r="P4174" t="str">
        <f t="shared" si="197"/>
        <v>Shaun Wilson8</v>
      </c>
    </row>
    <row r="4175" spans="1:16" x14ac:dyDescent="0.25">
      <c r="A4175">
        <v>8</v>
      </c>
      <c r="B4175" t="s">
        <v>1336</v>
      </c>
      <c r="C4175" t="s">
        <v>8488</v>
      </c>
      <c r="D4175">
        <v>2.0699999999999998</v>
      </c>
      <c r="E4175" t="s">
        <v>34</v>
      </c>
      <c r="F4175" t="s">
        <v>47</v>
      </c>
      <c r="G4175">
        <v>4.07</v>
      </c>
      <c r="H4175">
        <v>7.0000000000000007E-2</v>
      </c>
      <c r="I4175">
        <v>2</v>
      </c>
      <c r="J4175">
        <v>4</v>
      </c>
      <c r="K4175" t="str">
        <f>IFERROR(INDEX(Rosters!$C$2:$C$155,MATCH($B4175,Rosters!$B$2:$B$155,0)),"NA")</f>
        <v>NA</v>
      </c>
      <c r="L4175" t="str">
        <f t="shared" si="195"/>
        <v>NA8RB</v>
      </c>
      <c r="M4175">
        <f>COUNTIF(L$1:L4175,L4175)</f>
        <v>26</v>
      </c>
      <c r="N4175" t="str">
        <f t="shared" si="196"/>
        <v>NA8RB-26</v>
      </c>
      <c r="O4175">
        <f>COUNTIFS(F$1:F4175,F4175,A$1:A4175,A4175)</f>
        <v>66</v>
      </c>
      <c r="P4175" t="str">
        <f t="shared" si="197"/>
        <v>Rashaad Penny8</v>
      </c>
    </row>
    <row r="4176" spans="1:16" x14ac:dyDescent="0.25">
      <c r="A4176">
        <v>9</v>
      </c>
      <c r="B4176" t="s">
        <v>1336</v>
      </c>
      <c r="C4176" t="s">
        <v>8489</v>
      </c>
      <c r="D4176">
        <v>2.0699999999999998</v>
      </c>
      <c r="E4176" t="s">
        <v>37</v>
      </c>
      <c r="F4176" t="s">
        <v>47</v>
      </c>
      <c r="G4176">
        <v>3.96</v>
      </c>
      <c r="H4176">
        <v>0.18</v>
      </c>
      <c r="I4176">
        <v>1.89</v>
      </c>
      <c r="J4176">
        <v>3.5720999999999998</v>
      </c>
      <c r="K4176" t="str">
        <f>IFERROR(INDEX(Rosters!$C$2:$C$155,MATCH($B4176,Rosters!$B$2:$B$155,0)),"NA")</f>
        <v>NA</v>
      </c>
      <c r="L4176" t="str">
        <f t="shared" si="195"/>
        <v>NA9RB</v>
      </c>
      <c r="M4176">
        <f>COUNTIF(L$1:L4176,L4176)</f>
        <v>20</v>
      </c>
      <c r="N4176" t="str">
        <f t="shared" si="196"/>
        <v>NA9RB-20</v>
      </c>
      <c r="O4176">
        <f>COUNTIFS(F$1:F4176,F4176,A$1:A4176,A4176)</f>
        <v>60</v>
      </c>
      <c r="P4176" t="str">
        <f t="shared" si="197"/>
        <v>Rashaad Penny9</v>
      </c>
    </row>
    <row r="4177" spans="1:16" x14ac:dyDescent="0.25">
      <c r="A4177">
        <v>16</v>
      </c>
      <c r="B4177" t="s">
        <v>4232</v>
      </c>
      <c r="C4177" t="s">
        <v>8490</v>
      </c>
      <c r="D4177">
        <v>2.0699999999999998</v>
      </c>
      <c r="E4177" t="s">
        <v>22</v>
      </c>
      <c r="F4177" t="s">
        <v>47</v>
      </c>
      <c r="G4177">
        <v>4.08</v>
      </c>
      <c r="H4177">
        <v>0.06</v>
      </c>
      <c r="I4177">
        <v>2.0099999999999998</v>
      </c>
      <c r="J4177">
        <v>4.0400999999999998</v>
      </c>
      <c r="K4177" t="str">
        <f>IFERROR(INDEX(Rosters!$C$2:$C$155,MATCH($B4177,Rosters!$B$2:$B$155,0)),"NA")</f>
        <v>NA</v>
      </c>
      <c r="L4177" t="str">
        <f t="shared" si="195"/>
        <v>NA16RB</v>
      </c>
      <c r="M4177">
        <f>COUNTIF(L$1:L4177,L4177)</f>
        <v>30</v>
      </c>
      <c r="N4177" t="str">
        <f t="shared" si="196"/>
        <v>NA16RB-30</v>
      </c>
      <c r="O4177">
        <f>COUNTIFS(F$1:F4177,F4177,A$1:A4177,A4177)</f>
        <v>77</v>
      </c>
      <c r="P4177" t="str">
        <f t="shared" si="197"/>
        <v>Shaun Wilson16</v>
      </c>
    </row>
    <row r="4178" spans="1:16" x14ac:dyDescent="0.25">
      <c r="A4178">
        <v>7</v>
      </c>
      <c r="B4178" t="s">
        <v>4217</v>
      </c>
      <c r="C4178">
        <f>-0.21-4.35</f>
        <v>-4.5599999999999996</v>
      </c>
      <c r="D4178">
        <v>2.0699999999999998</v>
      </c>
      <c r="E4178" t="s">
        <v>77</v>
      </c>
      <c r="F4178" t="s">
        <v>87</v>
      </c>
      <c r="G4178">
        <v>4.3499999999999996</v>
      </c>
      <c r="H4178">
        <v>-0.21</v>
      </c>
      <c r="I4178">
        <v>2.2799999999999998</v>
      </c>
      <c r="J4178">
        <v>5.1984000000000004</v>
      </c>
      <c r="K4178" t="str">
        <f>IFERROR(INDEX(Rosters!$C$2:$C$155,MATCH($B4178,Rosters!$B$2:$B$155,0)),"NA")</f>
        <v>NA</v>
      </c>
      <c r="L4178" t="str">
        <f t="shared" si="195"/>
        <v>NA7WR</v>
      </c>
      <c r="M4178">
        <f>COUNTIF(L$1:L4178,L4178)</f>
        <v>50</v>
      </c>
      <c r="N4178" t="str">
        <f t="shared" si="196"/>
        <v>NA7WR-50</v>
      </c>
      <c r="O4178">
        <f>COUNTIFS(F$1:F4178,F4178,A$1:A4178,A4178)</f>
        <v>95</v>
      </c>
      <c r="P4178" t="str">
        <f t="shared" si="197"/>
        <v>Tre'Quan Smith7</v>
      </c>
    </row>
    <row r="4179" spans="1:16" x14ac:dyDescent="0.25">
      <c r="A4179">
        <v>13</v>
      </c>
      <c r="B4179" t="s">
        <v>310</v>
      </c>
      <c r="C4179" t="s">
        <v>8491</v>
      </c>
      <c r="D4179">
        <v>2.06</v>
      </c>
      <c r="E4179" t="s">
        <v>32</v>
      </c>
      <c r="F4179" t="s">
        <v>114</v>
      </c>
      <c r="G4179">
        <v>3.81</v>
      </c>
      <c r="H4179">
        <v>0.31</v>
      </c>
      <c r="I4179">
        <v>1.75</v>
      </c>
      <c r="J4179">
        <v>3.0625</v>
      </c>
      <c r="K4179" t="str">
        <f>IFERROR(INDEX(Rosters!$C$2:$C$155,MATCH($B4179,Rosters!$B$2:$B$155,0)),"NA")</f>
        <v>NA</v>
      </c>
      <c r="L4179" t="str">
        <f t="shared" si="195"/>
        <v>NA13TE</v>
      </c>
      <c r="M4179">
        <f>COUNTIF(L$1:L4179,L4179)</f>
        <v>36</v>
      </c>
      <c r="N4179" t="str">
        <f t="shared" si="196"/>
        <v>NA13TE-36</v>
      </c>
      <c r="O4179">
        <f>COUNTIFS(F$1:F4179,F4179,A$1:A4179,A4179)</f>
        <v>50</v>
      </c>
      <c r="P4179" t="str">
        <f t="shared" si="197"/>
        <v>Demetrius Harris13</v>
      </c>
    </row>
    <row r="4180" spans="1:16" x14ac:dyDescent="0.25">
      <c r="A4180">
        <v>4</v>
      </c>
      <c r="B4180" t="s">
        <v>284</v>
      </c>
      <c r="C4180" t="s">
        <v>4639</v>
      </c>
      <c r="D4180">
        <v>2.06</v>
      </c>
      <c r="E4180" t="s">
        <v>17</v>
      </c>
      <c r="F4180" t="s">
        <v>114</v>
      </c>
      <c r="G4180">
        <v>4.12</v>
      </c>
      <c r="H4180">
        <v>0</v>
      </c>
      <c r="I4180">
        <v>2.06</v>
      </c>
      <c r="J4180">
        <v>4.2435999999999998</v>
      </c>
      <c r="K4180" t="str">
        <f>IFERROR(INDEX(Rosters!$C$2:$C$155,MATCH($B4180,Rosters!$B$2:$B$155,0)),"NA")</f>
        <v>NA</v>
      </c>
      <c r="L4180" t="str">
        <f t="shared" si="195"/>
        <v>NA4TE</v>
      </c>
      <c r="M4180">
        <f>COUNTIF(L$1:L4180,L4180)</f>
        <v>31</v>
      </c>
      <c r="N4180" t="str">
        <f t="shared" si="196"/>
        <v>NA4TE-31</v>
      </c>
      <c r="O4180">
        <f>COUNTIFS(F$1:F4180,F4180,A$1:A4180,A4180)</f>
        <v>42</v>
      </c>
      <c r="P4180" t="str">
        <f t="shared" si="197"/>
        <v>Dion Sims4</v>
      </c>
    </row>
    <row r="4181" spans="1:16" x14ac:dyDescent="0.25">
      <c r="A4181">
        <v>7</v>
      </c>
      <c r="B4181" t="s">
        <v>277</v>
      </c>
      <c r="C4181" t="s">
        <v>8492</v>
      </c>
      <c r="D4181">
        <v>2.06</v>
      </c>
      <c r="E4181" t="s">
        <v>56</v>
      </c>
      <c r="F4181" t="s">
        <v>114</v>
      </c>
      <c r="G4181">
        <v>3.63</v>
      </c>
      <c r="H4181">
        <v>0.49</v>
      </c>
      <c r="I4181">
        <v>1.57</v>
      </c>
      <c r="J4181">
        <v>2.4649000000000001</v>
      </c>
      <c r="K4181" t="str">
        <f>IFERROR(INDEX(Rosters!$C$2:$C$155,MATCH($B4181,Rosters!$B$2:$B$155,0)),"NA")</f>
        <v>NA</v>
      </c>
      <c r="L4181" t="str">
        <f t="shared" si="195"/>
        <v>NA7TE</v>
      </c>
      <c r="M4181">
        <f>COUNTIF(L$1:L4181,L4181)</f>
        <v>30</v>
      </c>
      <c r="N4181" t="str">
        <f t="shared" si="196"/>
        <v>NA7TE-30</v>
      </c>
      <c r="O4181">
        <f>COUNTIFS(F$1:F4181,F4181,A$1:A4181,A4181)</f>
        <v>40</v>
      </c>
      <c r="P4181" t="str">
        <f t="shared" si="197"/>
        <v>Garrett Celek7</v>
      </c>
    </row>
    <row r="4182" spans="1:16" x14ac:dyDescent="0.25">
      <c r="A4182">
        <v>14</v>
      </c>
      <c r="B4182" t="s">
        <v>231</v>
      </c>
      <c r="C4182" t="s">
        <v>8493</v>
      </c>
      <c r="D4182">
        <v>2.06</v>
      </c>
      <c r="E4182" t="s">
        <v>34</v>
      </c>
      <c r="F4182" t="s">
        <v>114</v>
      </c>
      <c r="G4182">
        <v>3.89</v>
      </c>
      <c r="H4182">
        <v>0.23</v>
      </c>
      <c r="I4182">
        <v>1.83</v>
      </c>
      <c r="J4182">
        <v>3.3489</v>
      </c>
      <c r="K4182" t="str">
        <f>IFERROR(INDEX(Rosters!$C$2:$C$155,MATCH($B4182,Rosters!$B$2:$B$155,0)),"NA")</f>
        <v>NA</v>
      </c>
      <c r="L4182" t="str">
        <f t="shared" si="195"/>
        <v>NA14TE</v>
      </c>
      <c r="M4182">
        <f>COUNTIF(L$1:L4182,L4182)</f>
        <v>36</v>
      </c>
      <c r="N4182" t="str">
        <f t="shared" si="196"/>
        <v>NA14TE-36</v>
      </c>
      <c r="O4182">
        <f>COUNTIFS(F$1:F4182,F4182,A$1:A4182,A4182)</f>
        <v>50</v>
      </c>
      <c r="P4182" t="str">
        <f t="shared" si="197"/>
        <v>Jermaine Gresham14</v>
      </c>
    </row>
    <row r="4183" spans="1:16" x14ac:dyDescent="0.25">
      <c r="A4183">
        <v>15</v>
      </c>
      <c r="B4183" t="s">
        <v>4225</v>
      </c>
      <c r="C4183">
        <f>-0.76-4.88</f>
        <v>-5.64</v>
      </c>
      <c r="D4183">
        <v>2.06</v>
      </c>
      <c r="E4183" t="s">
        <v>73</v>
      </c>
      <c r="F4183" t="s">
        <v>114</v>
      </c>
      <c r="G4183">
        <v>4.88</v>
      </c>
      <c r="H4183">
        <v>-0.76</v>
      </c>
      <c r="I4183">
        <v>2.82</v>
      </c>
      <c r="J4183">
        <v>7.9523999999999999</v>
      </c>
      <c r="K4183" t="str">
        <f>IFERROR(INDEX(Rosters!$C$2:$C$155,MATCH($B4183,Rosters!$B$2:$B$155,0)),"NA")</f>
        <v>NA</v>
      </c>
      <c r="L4183" t="str">
        <f t="shared" si="195"/>
        <v>NA15TE</v>
      </c>
      <c r="M4183">
        <f>COUNTIF(L$1:L4183,L4183)</f>
        <v>32</v>
      </c>
      <c r="N4183" t="str">
        <f t="shared" si="196"/>
        <v>NA15TE-32</v>
      </c>
      <c r="O4183">
        <f>COUNTIFS(F$1:F4183,F4183,A$1:A4183,A4183)</f>
        <v>46</v>
      </c>
      <c r="P4183" t="str">
        <f t="shared" si="197"/>
        <v>Jordan Akins15</v>
      </c>
    </row>
    <row r="4184" spans="1:16" x14ac:dyDescent="0.25">
      <c r="A4184">
        <v>10</v>
      </c>
      <c r="B4184" t="s">
        <v>287</v>
      </c>
      <c r="C4184">
        <f>-0.11-4.23</f>
        <v>-4.3400000000000007</v>
      </c>
      <c r="D4184">
        <v>2.06</v>
      </c>
      <c r="E4184" t="s">
        <v>31</v>
      </c>
      <c r="F4184" t="s">
        <v>114</v>
      </c>
      <c r="G4184">
        <v>4.2300000000000004</v>
      </c>
      <c r="H4184">
        <v>-0.11</v>
      </c>
      <c r="I4184">
        <v>2.17</v>
      </c>
      <c r="J4184">
        <v>4.7088999999999999</v>
      </c>
      <c r="K4184" t="str">
        <f>IFERROR(INDEX(Rosters!$C$2:$C$155,MATCH($B4184,Rosters!$B$2:$B$155,0)),"NA")</f>
        <v>NA</v>
      </c>
      <c r="L4184" t="str">
        <f t="shared" si="195"/>
        <v>NA10TE</v>
      </c>
      <c r="M4184">
        <f>COUNTIF(L$1:L4184,L4184)</f>
        <v>34</v>
      </c>
      <c r="N4184" t="str">
        <f t="shared" si="196"/>
        <v>NA10TE-34</v>
      </c>
      <c r="O4184">
        <f>COUNTIFS(F$1:F4184,F4184,A$1:A4184,A4184)</f>
        <v>47</v>
      </c>
      <c r="P4184" t="str">
        <f t="shared" si="197"/>
        <v>Josh Hill10</v>
      </c>
    </row>
    <row r="4185" spans="1:16" x14ac:dyDescent="0.25">
      <c r="A4185">
        <v>14</v>
      </c>
      <c r="B4185" t="s">
        <v>274</v>
      </c>
      <c r="C4185">
        <f>-0.46-4.58</f>
        <v>-5.04</v>
      </c>
      <c r="D4185">
        <v>2.06</v>
      </c>
      <c r="E4185" t="s">
        <v>66</v>
      </c>
      <c r="F4185" t="s">
        <v>114</v>
      </c>
      <c r="G4185">
        <v>4.58</v>
      </c>
      <c r="H4185">
        <v>-0.46</v>
      </c>
      <c r="I4185">
        <v>2.52</v>
      </c>
      <c r="J4185">
        <v>6.3503999999999996</v>
      </c>
      <c r="K4185" t="str">
        <f>IFERROR(INDEX(Rosters!$C$2:$C$155,MATCH($B4185,Rosters!$B$2:$B$155,0)),"NA")</f>
        <v>NA</v>
      </c>
      <c r="L4185" t="str">
        <f t="shared" si="195"/>
        <v>NA14TE</v>
      </c>
      <c r="M4185">
        <f>COUNTIF(L$1:L4185,L4185)</f>
        <v>37</v>
      </c>
      <c r="N4185" t="str">
        <f t="shared" si="196"/>
        <v>NA14TE-37</v>
      </c>
      <c r="O4185">
        <f>COUNTIFS(F$1:F4185,F4185,A$1:A4185,A4185)</f>
        <v>51</v>
      </c>
      <c r="P4185" t="str">
        <f t="shared" si="197"/>
        <v>Ryan Griffin14</v>
      </c>
    </row>
    <row r="4186" spans="1:16" x14ac:dyDescent="0.25">
      <c r="A4186">
        <v>1</v>
      </c>
      <c r="B4186" t="s">
        <v>265</v>
      </c>
      <c r="C4186">
        <f>-0.15-4.27</f>
        <v>-4.42</v>
      </c>
      <c r="D4186">
        <v>2.06</v>
      </c>
      <c r="E4186" t="s">
        <v>58</v>
      </c>
      <c r="F4186" t="s">
        <v>114</v>
      </c>
      <c r="G4186">
        <v>4.2699999999999996</v>
      </c>
      <c r="H4186">
        <v>-0.15</v>
      </c>
      <c r="I4186">
        <v>2.21</v>
      </c>
      <c r="J4186">
        <v>4.8841000000000001</v>
      </c>
      <c r="K4186" t="str">
        <f>IFERROR(INDEX(Rosters!$C$2:$C$155,MATCH($B4186,Rosters!$B$2:$B$155,0)),"NA")</f>
        <v>NA</v>
      </c>
      <c r="L4186" t="str">
        <f t="shared" si="195"/>
        <v>NA1TE</v>
      </c>
      <c r="M4186">
        <f>COUNTIF(L$1:L4186,L4186)</f>
        <v>23</v>
      </c>
      <c r="N4186" t="str">
        <f t="shared" si="196"/>
        <v>NA1TE-23</v>
      </c>
      <c r="O4186">
        <f>COUNTIFS(F$1:F4186,F4186,A$1:A4186,A4186)</f>
        <v>36</v>
      </c>
      <c r="P4186" t="str">
        <f t="shared" si="197"/>
        <v>Vernon Davis1</v>
      </c>
    </row>
    <row r="4187" spans="1:16" x14ac:dyDescent="0.25">
      <c r="A4187">
        <v>13</v>
      </c>
      <c r="B4187" t="s">
        <v>277</v>
      </c>
      <c r="C4187" t="s">
        <v>8494</v>
      </c>
      <c r="D4187">
        <v>2.0499999999999998</v>
      </c>
      <c r="E4187" t="s">
        <v>28</v>
      </c>
      <c r="F4187" t="s">
        <v>114</v>
      </c>
      <c r="G4187">
        <v>3.72</v>
      </c>
      <c r="H4187">
        <v>0.38</v>
      </c>
      <c r="I4187">
        <v>1.67</v>
      </c>
      <c r="J4187">
        <v>2.7888999999999999</v>
      </c>
      <c r="K4187" t="str">
        <f>IFERROR(INDEX(Rosters!$C$2:$C$155,MATCH($B4187,Rosters!$B$2:$B$155,0)),"NA")</f>
        <v>NA</v>
      </c>
      <c r="L4187" t="str">
        <f t="shared" si="195"/>
        <v>NA13TE</v>
      </c>
      <c r="M4187">
        <f>COUNTIF(L$1:L4187,L4187)</f>
        <v>37</v>
      </c>
      <c r="N4187" t="str">
        <f t="shared" si="196"/>
        <v>NA13TE-37</v>
      </c>
      <c r="O4187">
        <f>COUNTIFS(F$1:F4187,F4187,A$1:A4187,A4187)</f>
        <v>51</v>
      </c>
      <c r="P4187" t="str">
        <f t="shared" si="197"/>
        <v>Garrett Celek13</v>
      </c>
    </row>
    <row r="4188" spans="1:16" x14ac:dyDescent="0.25">
      <c r="A4188">
        <v>15</v>
      </c>
      <c r="B4188" t="s">
        <v>1106</v>
      </c>
      <c r="C4188">
        <f>-0.22-4.32</f>
        <v>-4.54</v>
      </c>
      <c r="D4188">
        <v>2.0499999999999998</v>
      </c>
      <c r="E4188" t="s">
        <v>36</v>
      </c>
      <c r="F4188" t="s">
        <v>114</v>
      </c>
      <c r="G4188">
        <v>4.32</v>
      </c>
      <c r="H4188">
        <v>-0.22</v>
      </c>
      <c r="I4188">
        <v>2.27</v>
      </c>
      <c r="J4188">
        <v>5.1528999999999998</v>
      </c>
      <c r="K4188" t="str">
        <f>IFERROR(INDEX(Rosters!$C$2:$C$155,MATCH($B4188,Rosters!$B$2:$B$155,0)),"NA")</f>
        <v>NA</v>
      </c>
      <c r="L4188" t="str">
        <f t="shared" si="195"/>
        <v>NA15TE</v>
      </c>
      <c r="M4188">
        <f>COUNTIF(L$1:L4188,L4188)</f>
        <v>33</v>
      </c>
      <c r="N4188" t="str">
        <f t="shared" si="196"/>
        <v>NA15TE-33</v>
      </c>
      <c r="O4188">
        <f>COUNTIFS(F$1:F4188,F4188,A$1:A4188,A4188)</f>
        <v>47</v>
      </c>
      <c r="P4188" t="str">
        <f t="shared" si="197"/>
        <v>Jordan Leggett15</v>
      </c>
    </row>
    <row r="4189" spans="1:16" x14ac:dyDescent="0.25">
      <c r="A4189">
        <v>5</v>
      </c>
      <c r="B4189" t="s">
        <v>287</v>
      </c>
      <c r="C4189">
        <f>-0.34-4.44</f>
        <v>-4.78</v>
      </c>
      <c r="D4189">
        <v>2.0499999999999998</v>
      </c>
      <c r="E4189" t="s">
        <v>60</v>
      </c>
      <c r="F4189" t="s">
        <v>114</v>
      </c>
      <c r="G4189">
        <v>4.4400000000000004</v>
      </c>
      <c r="H4189">
        <v>-0.34</v>
      </c>
      <c r="I4189">
        <v>2.39</v>
      </c>
      <c r="J4189">
        <v>5.7121000000000004</v>
      </c>
      <c r="K4189" t="str">
        <f>IFERROR(INDEX(Rosters!$C$2:$C$155,MATCH($B4189,Rosters!$B$2:$B$155,0)),"NA")</f>
        <v>NA</v>
      </c>
      <c r="L4189" t="str">
        <f t="shared" si="195"/>
        <v>NA5TE</v>
      </c>
      <c r="M4189">
        <f>COUNTIF(L$1:L4189,L4189)</f>
        <v>33</v>
      </c>
      <c r="N4189" t="str">
        <f t="shared" si="196"/>
        <v>NA5TE-33</v>
      </c>
      <c r="O4189">
        <f>COUNTIFS(F$1:F4189,F4189,A$1:A4189,A4189)</f>
        <v>44</v>
      </c>
      <c r="P4189" t="str">
        <f t="shared" si="197"/>
        <v>Josh Hill5</v>
      </c>
    </row>
    <row r="4190" spans="1:16" x14ac:dyDescent="0.25">
      <c r="A4190">
        <v>14</v>
      </c>
      <c r="B4190" t="s">
        <v>287</v>
      </c>
      <c r="C4190" t="s">
        <v>8495</v>
      </c>
      <c r="D4190">
        <v>2.0499999999999998</v>
      </c>
      <c r="E4190" t="s">
        <v>17</v>
      </c>
      <c r="F4190" t="s">
        <v>114</v>
      </c>
      <c r="G4190">
        <v>4.0599999999999996</v>
      </c>
      <c r="H4190">
        <v>0.04</v>
      </c>
      <c r="I4190">
        <v>2.0099999999999998</v>
      </c>
      <c r="J4190">
        <v>4.0400999999999998</v>
      </c>
      <c r="K4190" t="str">
        <f>IFERROR(INDEX(Rosters!$C$2:$C$155,MATCH($B4190,Rosters!$B$2:$B$155,0)),"NA")</f>
        <v>NA</v>
      </c>
      <c r="L4190" t="str">
        <f t="shared" si="195"/>
        <v>NA14TE</v>
      </c>
      <c r="M4190">
        <f>COUNTIF(L$1:L4190,L4190)</f>
        <v>38</v>
      </c>
      <c r="N4190" t="str">
        <f t="shared" si="196"/>
        <v>NA14TE-38</v>
      </c>
      <c r="O4190">
        <f>COUNTIFS(F$1:F4190,F4190,A$1:A4190,A4190)</f>
        <v>52</v>
      </c>
      <c r="P4190" t="str">
        <f t="shared" si="197"/>
        <v>Josh Hill14</v>
      </c>
    </row>
    <row r="4191" spans="1:16" x14ac:dyDescent="0.25">
      <c r="A4191">
        <v>5</v>
      </c>
      <c r="B4191" t="s">
        <v>274</v>
      </c>
      <c r="C4191">
        <f>-0.49-4.59</f>
        <v>-5.08</v>
      </c>
      <c r="D4191">
        <v>2.0499999999999998</v>
      </c>
      <c r="E4191" t="s">
        <v>22</v>
      </c>
      <c r="F4191" t="s">
        <v>114</v>
      </c>
      <c r="G4191">
        <v>4.59</v>
      </c>
      <c r="H4191">
        <v>-0.49</v>
      </c>
      <c r="I4191">
        <v>2.54</v>
      </c>
      <c r="J4191">
        <v>6.4516</v>
      </c>
      <c r="K4191" t="str">
        <f>IFERROR(INDEX(Rosters!$C$2:$C$155,MATCH($B4191,Rosters!$B$2:$B$155,0)),"NA")</f>
        <v>NA</v>
      </c>
      <c r="L4191" t="str">
        <f t="shared" si="195"/>
        <v>NA5TE</v>
      </c>
      <c r="M4191">
        <f>COUNTIF(L$1:L4191,L4191)</f>
        <v>34</v>
      </c>
      <c r="N4191" t="str">
        <f t="shared" si="196"/>
        <v>NA5TE-34</v>
      </c>
      <c r="O4191">
        <f>COUNTIFS(F$1:F4191,F4191,A$1:A4191,A4191)</f>
        <v>45</v>
      </c>
      <c r="P4191" t="str">
        <f t="shared" si="197"/>
        <v>Ryan Griffin5</v>
      </c>
    </row>
    <row r="4192" spans="1:16" x14ac:dyDescent="0.25">
      <c r="A4192">
        <v>5</v>
      </c>
      <c r="B4192" t="s">
        <v>190</v>
      </c>
      <c r="C4192">
        <f>-0.24-4.34</f>
        <v>-4.58</v>
      </c>
      <c r="D4192">
        <v>2.0499999999999998</v>
      </c>
      <c r="E4192" t="s">
        <v>36</v>
      </c>
      <c r="F4192" t="s">
        <v>87</v>
      </c>
      <c r="G4192">
        <v>4.34</v>
      </c>
      <c r="H4192">
        <v>-0.24</v>
      </c>
      <c r="I4192">
        <v>2.29</v>
      </c>
      <c r="J4192">
        <v>5.2441000000000004</v>
      </c>
      <c r="K4192" t="str">
        <f>IFERROR(INDEX(Rosters!$C$2:$C$155,MATCH($B4192,Rosters!$B$2:$B$155,0)),"NA")</f>
        <v>NA</v>
      </c>
      <c r="L4192" t="str">
        <f t="shared" si="195"/>
        <v>NA5WR</v>
      </c>
      <c r="M4192">
        <f>COUNTIF(L$1:L4192,L4192)</f>
        <v>52</v>
      </c>
      <c r="N4192" t="str">
        <f t="shared" si="196"/>
        <v>NA5WR-52</v>
      </c>
      <c r="O4192">
        <f>COUNTIFS(F$1:F4192,F4192,A$1:A4192,A4192)</f>
        <v>102</v>
      </c>
      <c r="P4192" t="str">
        <f t="shared" si="197"/>
        <v>Tavon Austin5</v>
      </c>
    </row>
    <row r="4193" spans="1:16" x14ac:dyDescent="0.25">
      <c r="A4193">
        <v>10</v>
      </c>
      <c r="B4193" t="s">
        <v>250</v>
      </c>
      <c r="C4193" t="s">
        <v>8496</v>
      </c>
      <c r="D4193">
        <v>2.0499999999999998</v>
      </c>
      <c r="E4193" t="s">
        <v>22</v>
      </c>
      <c r="F4193" t="s">
        <v>47</v>
      </c>
      <c r="G4193">
        <v>3.92</v>
      </c>
      <c r="H4193">
        <v>0.18</v>
      </c>
      <c r="I4193">
        <v>1.87</v>
      </c>
      <c r="J4193">
        <v>3.4969000000000001</v>
      </c>
      <c r="K4193" t="str">
        <f>IFERROR(INDEX(Rosters!$C$2:$C$155,MATCH($B4193,Rosters!$B$2:$B$155,0)),"NA")</f>
        <v>NA</v>
      </c>
      <c r="L4193" t="str">
        <f t="shared" si="195"/>
        <v>NA10RB</v>
      </c>
      <c r="M4193">
        <f>COUNTIF(L$1:L4193,L4193)</f>
        <v>28</v>
      </c>
      <c r="N4193" t="str">
        <f t="shared" si="196"/>
        <v>NA10RB-28</v>
      </c>
      <c r="O4193">
        <f>COUNTIFS(F$1:F4193,F4193,A$1:A4193,A4193)</f>
        <v>67</v>
      </c>
      <c r="P4193" t="str">
        <f t="shared" si="197"/>
        <v>Wendell Smallwood10</v>
      </c>
    </row>
    <row r="4194" spans="1:16" x14ac:dyDescent="0.25">
      <c r="A4194">
        <v>5</v>
      </c>
      <c r="B4194" t="s">
        <v>1387</v>
      </c>
      <c r="C4194">
        <f>-0.42-4.5</f>
        <v>-4.92</v>
      </c>
      <c r="D4194">
        <v>2.04</v>
      </c>
      <c r="E4194" t="s">
        <v>25</v>
      </c>
      <c r="F4194" t="s">
        <v>47</v>
      </c>
      <c r="G4194">
        <v>4.5</v>
      </c>
      <c r="H4194">
        <v>-0.42</v>
      </c>
      <c r="I4194">
        <v>2.46</v>
      </c>
      <c r="J4194">
        <v>6.0515999999999996</v>
      </c>
      <c r="K4194" t="str">
        <f>IFERROR(INDEX(Rosters!$C$2:$C$155,MATCH($B4194,Rosters!$B$2:$B$155,0)),"NA")</f>
        <v>NA</v>
      </c>
      <c r="L4194" t="str">
        <f t="shared" si="195"/>
        <v>NA5RB</v>
      </c>
      <c r="M4194">
        <f>COUNTIF(L$1:L4194,L4194)</f>
        <v>24</v>
      </c>
      <c r="N4194" t="str">
        <f t="shared" si="196"/>
        <v>NA5RB-24</v>
      </c>
      <c r="O4194">
        <f>COUNTIFS(F$1:F4194,F4194,A$1:A4194,A4194)</f>
        <v>67</v>
      </c>
      <c r="P4194" t="str">
        <f t="shared" si="197"/>
        <v>Corey Clement5</v>
      </c>
    </row>
    <row r="4195" spans="1:16" x14ac:dyDescent="0.25">
      <c r="A4195">
        <v>2</v>
      </c>
      <c r="B4195" t="s">
        <v>1469</v>
      </c>
      <c r="C4195" t="s">
        <v>1500</v>
      </c>
      <c r="D4195">
        <v>2.04</v>
      </c>
      <c r="E4195" t="s">
        <v>58</v>
      </c>
      <c r="F4195" t="s">
        <v>114</v>
      </c>
      <c r="G4195">
        <v>3.92</v>
      </c>
      <c r="H4195">
        <v>0.16</v>
      </c>
      <c r="I4195">
        <v>1.88</v>
      </c>
      <c r="J4195">
        <v>3.5344000000000002</v>
      </c>
      <c r="K4195" t="str">
        <f>IFERROR(INDEX(Rosters!$C$2:$C$155,MATCH($B4195,Rosters!$B$2:$B$155,0)),"NA")</f>
        <v>NA</v>
      </c>
      <c r="L4195" t="str">
        <f t="shared" si="195"/>
        <v>NA2TE</v>
      </c>
      <c r="M4195">
        <f>COUNTIF(L$1:L4195,L4195)</f>
        <v>26</v>
      </c>
      <c r="N4195" t="str">
        <f t="shared" si="196"/>
        <v>NA2TE-26</v>
      </c>
      <c r="O4195">
        <f>COUNTIFS(F$1:F4195,F4195,A$1:A4195,A4195)</f>
        <v>39</v>
      </c>
      <c r="P4195" t="str">
        <f t="shared" si="197"/>
        <v>Gerald Everett2</v>
      </c>
    </row>
    <row r="4196" spans="1:16" x14ac:dyDescent="0.25">
      <c r="A4196">
        <v>5</v>
      </c>
      <c r="B4196" t="s">
        <v>1495</v>
      </c>
      <c r="C4196">
        <f>-0.05-4.13</f>
        <v>-4.18</v>
      </c>
      <c r="D4196">
        <v>2.04</v>
      </c>
      <c r="E4196" t="s">
        <v>29</v>
      </c>
      <c r="F4196" t="s">
        <v>114</v>
      </c>
      <c r="G4196">
        <v>4.13</v>
      </c>
      <c r="H4196">
        <v>-0.05</v>
      </c>
      <c r="I4196">
        <v>2.09</v>
      </c>
      <c r="J4196">
        <v>4.3681000000000001</v>
      </c>
      <c r="K4196" t="str">
        <f>IFERROR(INDEX(Rosters!$C$2:$C$155,MATCH($B4196,Rosters!$B$2:$B$155,0)),"NA")</f>
        <v>NA</v>
      </c>
      <c r="L4196" t="str">
        <f t="shared" si="195"/>
        <v>NA5TE</v>
      </c>
      <c r="M4196">
        <f>COUNTIF(L$1:L4196,L4196)</f>
        <v>35</v>
      </c>
      <c r="N4196" t="str">
        <f t="shared" si="196"/>
        <v>NA5TE-35</v>
      </c>
      <c r="O4196">
        <f>COUNTIFS(F$1:F4196,F4196,A$1:A4196,A4196)</f>
        <v>46</v>
      </c>
      <c r="P4196" t="str">
        <f t="shared" si="197"/>
        <v>Jonnu Smith5</v>
      </c>
    </row>
    <row r="4197" spans="1:16" x14ac:dyDescent="0.25">
      <c r="A4197">
        <v>13</v>
      </c>
      <c r="B4197" t="s">
        <v>268</v>
      </c>
      <c r="C4197" t="s">
        <v>8497</v>
      </c>
      <c r="D4197">
        <v>2.04</v>
      </c>
      <c r="E4197" t="s">
        <v>72</v>
      </c>
      <c r="F4197" t="s">
        <v>47</v>
      </c>
      <c r="G4197">
        <v>3.8</v>
      </c>
      <c r="H4197">
        <v>0.28000000000000003</v>
      </c>
      <c r="I4197">
        <v>1.76</v>
      </c>
      <c r="J4197">
        <v>3.0975999999999999</v>
      </c>
      <c r="K4197" t="str">
        <f>IFERROR(INDEX(Rosters!$C$2:$C$155,MATCH($B4197,Rosters!$B$2:$B$155,0)),"NA")</f>
        <v>NA</v>
      </c>
      <c r="L4197" t="str">
        <f t="shared" si="195"/>
        <v>NA13RB</v>
      </c>
      <c r="M4197">
        <f>COUNTIF(L$1:L4197,L4197)</f>
        <v>28</v>
      </c>
      <c r="N4197" t="str">
        <f t="shared" si="196"/>
        <v>NA13RB-28</v>
      </c>
      <c r="O4197">
        <f>COUNTIFS(F$1:F4197,F4197,A$1:A4197,A4197)</f>
        <v>75</v>
      </c>
      <c r="P4197" t="str">
        <f t="shared" si="197"/>
        <v>Wayne Gallman13</v>
      </c>
    </row>
    <row r="4198" spans="1:16" x14ac:dyDescent="0.25">
      <c r="A4198">
        <v>6</v>
      </c>
      <c r="B4198" t="s">
        <v>283</v>
      </c>
      <c r="C4198">
        <f>-1.09-5.15</f>
        <v>-6.24</v>
      </c>
      <c r="D4198">
        <v>2.0299999999999998</v>
      </c>
      <c r="E4198" t="s">
        <v>24</v>
      </c>
      <c r="F4198" t="s">
        <v>87</v>
      </c>
      <c r="G4198">
        <v>5.15</v>
      </c>
      <c r="H4198">
        <v>-1.0900000000000001</v>
      </c>
      <c r="I4198">
        <v>3.12</v>
      </c>
      <c r="J4198">
        <v>9.7344000000000008</v>
      </c>
      <c r="K4198" t="str">
        <f>IFERROR(INDEX(Rosters!$C$2:$C$155,MATCH($B4198,Rosters!$B$2:$B$155,0)),"NA")</f>
        <v>NA</v>
      </c>
      <c r="L4198" t="str">
        <f t="shared" si="195"/>
        <v>NA6WR</v>
      </c>
      <c r="M4198">
        <f>COUNTIF(L$1:L4198,L4198)</f>
        <v>57</v>
      </c>
      <c r="N4198" t="str">
        <f t="shared" si="196"/>
        <v>NA6WR-57</v>
      </c>
      <c r="O4198">
        <f>COUNTIFS(F$1:F4198,F4198,A$1:A4198,A4198)</f>
        <v>107</v>
      </c>
      <c r="P4198" t="str">
        <f t="shared" si="197"/>
        <v>Cordarrelle Patterson6</v>
      </c>
    </row>
    <row r="4199" spans="1:16" x14ac:dyDescent="0.25">
      <c r="A4199">
        <v>14</v>
      </c>
      <c r="B4199" t="s">
        <v>320</v>
      </c>
      <c r="C4199" t="s">
        <v>8498</v>
      </c>
      <c r="D4199">
        <v>2.0299999999999998</v>
      </c>
      <c r="E4199" t="s">
        <v>29</v>
      </c>
      <c r="F4199" t="s">
        <v>47</v>
      </c>
      <c r="G4199">
        <v>3.8</v>
      </c>
      <c r="H4199">
        <v>0.26</v>
      </c>
      <c r="I4199">
        <v>1.77</v>
      </c>
      <c r="J4199">
        <v>3.1328999999999998</v>
      </c>
      <c r="K4199" t="str">
        <f>IFERROR(INDEX(Rosters!$C$2:$C$155,MATCH($B4199,Rosters!$B$2:$B$155,0)),"NA")</f>
        <v>NA</v>
      </c>
      <c r="L4199" t="str">
        <f t="shared" si="195"/>
        <v>NA14RB</v>
      </c>
      <c r="M4199">
        <f>COUNTIF(L$1:L4199,L4199)</f>
        <v>28</v>
      </c>
      <c r="N4199" t="str">
        <f t="shared" si="196"/>
        <v>NA14RB-28</v>
      </c>
      <c r="O4199">
        <f>COUNTIFS(F$1:F4199,F4199,A$1:A4199,A4199)</f>
        <v>75</v>
      </c>
      <c r="P4199" t="str">
        <f t="shared" si="197"/>
        <v>Elijah McGuire14</v>
      </c>
    </row>
    <row r="4200" spans="1:16" x14ac:dyDescent="0.25">
      <c r="A4200">
        <v>17</v>
      </c>
      <c r="B4200" t="s">
        <v>1586</v>
      </c>
      <c r="C4200">
        <f>-0.1-4.16</f>
        <v>-4.26</v>
      </c>
      <c r="D4200">
        <v>2.0299999999999998</v>
      </c>
      <c r="E4200" t="s">
        <v>423</v>
      </c>
      <c r="F4200" t="s">
        <v>114</v>
      </c>
      <c r="G4200">
        <v>4.16</v>
      </c>
      <c r="H4200">
        <v>-0.1</v>
      </c>
      <c r="I4200">
        <v>2.13</v>
      </c>
      <c r="J4200">
        <v>4.5369000000000002</v>
      </c>
      <c r="K4200" t="str">
        <f>IFERROR(INDEX(Rosters!$C$2:$C$155,MATCH($B4200,Rosters!$B$2:$B$155,0)),"NA")</f>
        <v>NA</v>
      </c>
      <c r="L4200" t="str">
        <f t="shared" si="195"/>
        <v>NA17TE</v>
      </c>
      <c r="M4200">
        <f>COUNTIF(L$1:L4200,L4200)</f>
        <v>35</v>
      </c>
      <c r="N4200" t="str">
        <f t="shared" si="196"/>
        <v>NA17TE-35</v>
      </c>
      <c r="O4200">
        <f>COUNTIFS(F$1:F4200,F4200,A$1:A4200,A4200)</f>
        <v>49</v>
      </c>
      <c r="P4200" t="str">
        <f t="shared" si="197"/>
        <v>Eric Tomlinson17</v>
      </c>
    </row>
    <row r="4201" spans="1:16" x14ac:dyDescent="0.25">
      <c r="A4201">
        <v>3</v>
      </c>
      <c r="B4201" t="s">
        <v>4225</v>
      </c>
      <c r="C4201">
        <f>-0.86-4.92</f>
        <v>-5.78</v>
      </c>
      <c r="D4201">
        <v>2.0299999999999998</v>
      </c>
      <c r="E4201" t="s">
        <v>54</v>
      </c>
      <c r="F4201" t="s">
        <v>114</v>
      </c>
      <c r="G4201">
        <v>4.92</v>
      </c>
      <c r="H4201">
        <v>-0.86</v>
      </c>
      <c r="I4201">
        <v>2.89</v>
      </c>
      <c r="J4201">
        <v>8.3521000000000001</v>
      </c>
      <c r="K4201" t="str">
        <f>IFERROR(INDEX(Rosters!$C$2:$C$155,MATCH($B4201,Rosters!$B$2:$B$155,0)),"NA")</f>
        <v>NA</v>
      </c>
      <c r="L4201" t="str">
        <f t="shared" si="195"/>
        <v>NA3TE</v>
      </c>
      <c r="M4201">
        <f>COUNTIF(L$1:L4201,L4201)</f>
        <v>33</v>
      </c>
      <c r="N4201" t="str">
        <f t="shared" si="196"/>
        <v>NA3TE-33</v>
      </c>
      <c r="O4201">
        <f>COUNTIFS(F$1:F4201,F4201,A$1:A4201,A4201)</f>
        <v>45</v>
      </c>
      <c r="P4201" t="str">
        <f t="shared" si="197"/>
        <v>Jordan Akins3</v>
      </c>
    </row>
    <row r="4202" spans="1:16" x14ac:dyDescent="0.25">
      <c r="A4202">
        <v>6</v>
      </c>
      <c r="B4202" t="s">
        <v>4225</v>
      </c>
      <c r="C4202">
        <f>-0.74-4.8</f>
        <v>-5.54</v>
      </c>
      <c r="D4202">
        <v>2.0299999999999998</v>
      </c>
      <c r="E4202" t="s">
        <v>29</v>
      </c>
      <c r="F4202" t="s">
        <v>114</v>
      </c>
      <c r="G4202">
        <v>4.8</v>
      </c>
      <c r="H4202">
        <v>-0.74</v>
      </c>
      <c r="I4202">
        <v>2.77</v>
      </c>
      <c r="J4202">
        <v>7.6729000000000003</v>
      </c>
      <c r="K4202" t="str">
        <f>IFERROR(INDEX(Rosters!$C$2:$C$155,MATCH($B4202,Rosters!$B$2:$B$155,0)),"NA")</f>
        <v>NA</v>
      </c>
      <c r="L4202" t="str">
        <f t="shared" si="195"/>
        <v>NA6TE</v>
      </c>
      <c r="M4202">
        <f>COUNTIF(L$1:L4202,L4202)</f>
        <v>30</v>
      </c>
      <c r="N4202" t="str">
        <f t="shared" si="196"/>
        <v>NA6TE-30</v>
      </c>
      <c r="O4202">
        <f>COUNTIFS(F$1:F4202,F4202,A$1:A4202,A4202)</f>
        <v>42</v>
      </c>
      <c r="P4202" t="str">
        <f t="shared" si="197"/>
        <v>Jordan Akins6</v>
      </c>
    </row>
    <row r="4203" spans="1:16" x14ac:dyDescent="0.25">
      <c r="A4203">
        <v>15</v>
      </c>
      <c r="B4203" t="s">
        <v>1130</v>
      </c>
      <c r="C4203" t="s">
        <v>8499</v>
      </c>
      <c r="D4203">
        <v>2.0299999999999998</v>
      </c>
      <c r="E4203" t="s">
        <v>36</v>
      </c>
      <c r="F4203" t="s">
        <v>114</v>
      </c>
      <c r="G4203">
        <v>3.79</v>
      </c>
      <c r="H4203">
        <v>0.27</v>
      </c>
      <c r="I4203">
        <v>1.76</v>
      </c>
      <c r="J4203">
        <v>3.0975999999999999</v>
      </c>
      <c r="K4203" t="str">
        <f>IFERROR(INDEX(Rosters!$C$2:$C$155,MATCH($B4203,Rosters!$B$2:$B$155,0)),"NA")</f>
        <v>NA</v>
      </c>
      <c r="L4203" t="str">
        <f t="shared" si="195"/>
        <v>NA15TE</v>
      </c>
      <c r="M4203">
        <f>COUNTIF(L$1:L4203,L4203)</f>
        <v>34</v>
      </c>
      <c r="N4203" t="str">
        <f t="shared" si="196"/>
        <v>NA15TE-34</v>
      </c>
      <c r="O4203">
        <f>COUNTIFS(F$1:F4203,F4203,A$1:A4203,A4203)</f>
        <v>48</v>
      </c>
      <c r="P4203" t="str">
        <f t="shared" si="197"/>
        <v>Neal Sterling15</v>
      </c>
    </row>
    <row r="4204" spans="1:16" x14ac:dyDescent="0.25">
      <c r="A4204">
        <v>11</v>
      </c>
      <c r="B4204" t="s">
        <v>190</v>
      </c>
      <c r="C4204">
        <f>-0.17-4.23</f>
        <v>-4.4000000000000004</v>
      </c>
      <c r="D4204">
        <v>2.0299999999999998</v>
      </c>
      <c r="E4204" t="s">
        <v>46</v>
      </c>
      <c r="F4204" t="s">
        <v>87</v>
      </c>
      <c r="G4204">
        <v>4.2300000000000004</v>
      </c>
      <c r="H4204">
        <v>-0.17</v>
      </c>
      <c r="I4204">
        <v>2.2000000000000002</v>
      </c>
      <c r="J4204">
        <v>4.84</v>
      </c>
      <c r="K4204" t="str">
        <f>IFERROR(INDEX(Rosters!$C$2:$C$155,MATCH($B4204,Rosters!$B$2:$B$155,0)),"NA")</f>
        <v>NA</v>
      </c>
      <c r="L4204" t="str">
        <f t="shared" si="195"/>
        <v>NA11WR</v>
      </c>
      <c r="M4204">
        <f>COUNTIF(L$1:L4204,L4204)</f>
        <v>43</v>
      </c>
      <c r="N4204" t="str">
        <f t="shared" si="196"/>
        <v>NA11WR-43</v>
      </c>
      <c r="O4204">
        <f>COUNTIFS(F$1:F4204,F4204,A$1:A4204,A4204)</f>
        <v>90</v>
      </c>
      <c r="P4204" t="str">
        <f t="shared" si="197"/>
        <v>Tavon Austin11</v>
      </c>
    </row>
    <row r="4205" spans="1:16" x14ac:dyDescent="0.25">
      <c r="A4205">
        <v>16</v>
      </c>
      <c r="B4205" t="s">
        <v>286</v>
      </c>
      <c r="C4205">
        <f>-0.12-4.16</f>
        <v>-4.28</v>
      </c>
      <c r="D4205">
        <v>2.02</v>
      </c>
      <c r="E4205" t="s">
        <v>76</v>
      </c>
      <c r="F4205" t="s">
        <v>114</v>
      </c>
      <c r="G4205">
        <v>4.16</v>
      </c>
      <c r="H4205">
        <v>-0.12</v>
      </c>
      <c r="I4205">
        <v>2.14</v>
      </c>
      <c r="J4205">
        <v>4.5796000000000001</v>
      </c>
      <c r="K4205" t="str">
        <f>IFERROR(INDEX(Rosters!$C$2:$C$155,MATCH($B4205,Rosters!$B$2:$B$155,0)),"NA")</f>
        <v>NA</v>
      </c>
      <c r="L4205" t="str">
        <f t="shared" si="195"/>
        <v>NA16TE</v>
      </c>
      <c r="M4205">
        <f>COUNTIF(L$1:L4205,L4205)</f>
        <v>37</v>
      </c>
      <c r="N4205" t="str">
        <f t="shared" si="196"/>
        <v>NA16TE-37</v>
      </c>
      <c r="O4205">
        <f>COUNTIFS(F$1:F4205,F4205,A$1:A4205,A4205)</f>
        <v>51</v>
      </c>
      <c r="P4205" t="str">
        <f t="shared" si="197"/>
        <v>A.J. Derby16</v>
      </c>
    </row>
    <row r="4206" spans="1:16" x14ac:dyDescent="0.25">
      <c r="A4206">
        <v>7</v>
      </c>
      <c r="B4206" t="s">
        <v>121</v>
      </c>
      <c r="C4206" t="s">
        <v>4640</v>
      </c>
      <c r="D4206">
        <v>2.02</v>
      </c>
      <c r="E4206" t="s">
        <v>19</v>
      </c>
      <c r="F4206" t="s">
        <v>47</v>
      </c>
      <c r="G4206">
        <v>3.62</v>
      </c>
      <c r="H4206">
        <v>0.42</v>
      </c>
      <c r="I4206">
        <v>1.6</v>
      </c>
      <c r="J4206">
        <v>2.56</v>
      </c>
      <c r="K4206" t="str">
        <f>IFERROR(INDEX(Rosters!$C$2:$C$155,MATCH($B4206,Rosters!$B$2:$B$155,0)),"NA")</f>
        <v>NA</v>
      </c>
      <c r="L4206" t="str">
        <f t="shared" si="195"/>
        <v>NA7RB</v>
      </c>
      <c r="M4206">
        <f>COUNTIF(L$1:L4206,L4206)</f>
        <v>23</v>
      </c>
      <c r="N4206" t="str">
        <f t="shared" si="196"/>
        <v>NA7RB-23</v>
      </c>
      <c r="O4206">
        <f>COUNTIFS(F$1:F4206,F4206,A$1:A4206,A4206)</f>
        <v>64</v>
      </c>
      <c r="P4206" t="str">
        <f t="shared" si="197"/>
        <v>Ameer Abdullah7</v>
      </c>
    </row>
    <row r="4207" spans="1:16" x14ac:dyDescent="0.25">
      <c r="A4207">
        <v>1</v>
      </c>
      <c r="B4207" t="s">
        <v>362</v>
      </c>
      <c r="C4207">
        <f>-0.25-4.29</f>
        <v>-4.54</v>
      </c>
      <c r="D4207">
        <v>2.02</v>
      </c>
      <c r="E4207" t="s">
        <v>42</v>
      </c>
      <c r="F4207" t="s">
        <v>114</v>
      </c>
      <c r="G4207">
        <v>4.29</v>
      </c>
      <c r="H4207">
        <v>-0.25</v>
      </c>
      <c r="I4207">
        <v>2.27</v>
      </c>
      <c r="J4207">
        <v>5.1528999999999998</v>
      </c>
      <c r="K4207" t="str">
        <f>IFERROR(INDEX(Rosters!$C$2:$C$155,MATCH($B4207,Rosters!$B$2:$B$155,0)),"NA")</f>
        <v>NA</v>
      </c>
      <c r="L4207" t="str">
        <f t="shared" si="195"/>
        <v>NA1TE</v>
      </c>
      <c r="M4207">
        <f>COUNTIF(L$1:L4207,L4207)</f>
        <v>24</v>
      </c>
      <c r="N4207" t="str">
        <f t="shared" si="196"/>
        <v>NA1TE-24</v>
      </c>
      <c r="O4207">
        <f>COUNTIFS(F$1:F4207,F4207,A$1:A4207,A4207)</f>
        <v>37</v>
      </c>
      <c r="P4207" t="str">
        <f t="shared" si="197"/>
        <v>Nick Vannett1</v>
      </c>
    </row>
    <row r="4208" spans="1:16" x14ac:dyDescent="0.25">
      <c r="A4208">
        <v>13</v>
      </c>
      <c r="B4208" t="s">
        <v>263</v>
      </c>
      <c r="C4208" t="s">
        <v>8500</v>
      </c>
      <c r="D4208">
        <v>2.02</v>
      </c>
      <c r="E4208" t="s">
        <v>56</v>
      </c>
      <c r="F4208" t="s">
        <v>87</v>
      </c>
      <c r="G4208">
        <v>3.9</v>
      </c>
      <c r="H4208">
        <v>0.14000000000000001</v>
      </c>
      <c r="I4208">
        <v>1.88</v>
      </c>
      <c r="J4208">
        <v>3.5344000000000002</v>
      </c>
      <c r="K4208" t="str">
        <f>IFERROR(INDEX(Rosters!$C$2:$C$155,MATCH($B4208,Rosters!$B$2:$B$155,0)),"NA")</f>
        <v>NA</v>
      </c>
      <c r="L4208" t="str">
        <f t="shared" si="195"/>
        <v>NA13WR</v>
      </c>
      <c r="M4208">
        <f>COUNTIF(L$1:L4208,L4208)</f>
        <v>60</v>
      </c>
      <c r="N4208" t="str">
        <f t="shared" si="196"/>
        <v>NA13WR-60</v>
      </c>
      <c r="O4208">
        <f>COUNTIFS(F$1:F4208,F4208,A$1:A4208,A4208)</f>
        <v>114</v>
      </c>
      <c r="P4208" t="str">
        <f t="shared" si="197"/>
        <v>T.J. Jones13</v>
      </c>
    </row>
    <row r="4209" spans="1:16" x14ac:dyDescent="0.25">
      <c r="A4209">
        <v>5</v>
      </c>
      <c r="B4209" t="s">
        <v>286</v>
      </c>
      <c r="C4209">
        <f>-0.17-4.19</f>
        <v>-4.3600000000000003</v>
      </c>
      <c r="D4209">
        <v>2.0099999999999998</v>
      </c>
      <c r="E4209" t="s">
        <v>31</v>
      </c>
      <c r="F4209" t="s">
        <v>114</v>
      </c>
      <c r="G4209">
        <v>4.1900000000000004</v>
      </c>
      <c r="H4209">
        <v>-0.17</v>
      </c>
      <c r="I4209">
        <v>2.1800000000000002</v>
      </c>
      <c r="J4209">
        <v>4.7523999999999997</v>
      </c>
      <c r="K4209" t="str">
        <f>IFERROR(INDEX(Rosters!$C$2:$C$155,MATCH($B4209,Rosters!$B$2:$B$155,0)),"NA")</f>
        <v>NA</v>
      </c>
      <c r="L4209" t="str">
        <f t="shared" si="195"/>
        <v>NA5TE</v>
      </c>
      <c r="M4209">
        <f>COUNTIF(L$1:L4209,L4209)</f>
        <v>36</v>
      </c>
      <c r="N4209" t="str">
        <f t="shared" si="196"/>
        <v>NA5TE-36</v>
      </c>
      <c r="O4209">
        <f>COUNTIFS(F$1:F4209,F4209,A$1:A4209,A4209)</f>
        <v>47</v>
      </c>
      <c r="P4209" t="str">
        <f t="shared" si="197"/>
        <v>A.J. Derby5</v>
      </c>
    </row>
    <row r="4210" spans="1:16" x14ac:dyDescent="0.25">
      <c r="A4210">
        <v>3</v>
      </c>
      <c r="B4210" t="s">
        <v>1423</v>
      </c>
      <c r="C4210">
        <f>-0.05-4.07</f>
        <v>-4.12</v>
      </c>
      <c r="D4210">
        <v>2.0099999999999998</v>
      </c>
      <c r="E4210" t="s">
        <v>32</v>
      </c>
      <c r="F4210" t="s">
        <v>114</v>
      </c>
      <c r="G4210">
        <v>4.07</v>
      </c>
      <c r="H4210">
        <v>-0.05</v>
      </c>
      <c r="I4210">
        <v>2.06</v>
      </c>
      <c r="J4210">
        <v>4.2435999999999998</v>
      </c>
      <c r="K4210" t="str">
        <f>IFERROR(INDEX(Rosters!$C$2:$C$155,MATCH($B4210,Rosters!$B$2:$B$155,0)),"NA")</f>
        <v>NA</v>
      </c>
      <c r="L4210" t="str">
        <f t="shared" si="195"/>
        <v>NA3TE</v>
      </c>
      <c r="M4210">
        <f>COUNTIF(L$1:L4210,L4210)</f>
        <v>34</v>
      </c>
      <c r="N4210" t="str">
        <f t="shared" si="196"/>
        <v>NA3TE-34</v>
      </c>
      <c r="O4210">
        <f>COUNTIFS(F$1:F4210,F4210,A$1:A4210,A4210)</f>
        <v>46</v>
      </c>
      <c r="P4210" t="str">
        <f t="shared" si="197"/>
        <v>Michael Gesicki3</v>
      </c>
    </row>
    <row r="4211" spans="1:16" x14ac:dyDescent="0.25">
      <c r="A4211">
        <v>15</v>
      </c>
      <c r="B4211" t="s">
        <v>1423</v>
      </c>
      <c r="C4211">
        <f>-0.7-4.72</f>
        <v>-5.42</v>
      </c>
      <c r="D4211">
        <v>2.0099999999999998</v>
      </c>
      <c r="E4211" t="s">
        <v>25</v>
      </c>
      <c r="F4211" t="s">
        <v>114</v>
      </c>
      <c r="G4211">
        <v>4.72</v>
      </c>
      <c r="H4211">
        <v>-0.7</v>
      </c>
      <c r="I4211">
        <v>2.71</v>
      </c>
      <c r="J4211">
        <v>7.3441000000000001</v>
      </c>
      <c r="K4211" t="str">
        <f>IFERROR(INDEX(Rosters!$C$2:$C$155,MATCH($B4211,Rosters!$B$2:$B$155,0)),"NA")</f>
        <v>NA</v>
      </c>
      <c r="L4211" t="str">
        <f t="shared" si="195"/>
        <v>NA15TE</v>
      </c>
      <c r="M4211">
        <f>COUNTIF(L$1:L4211,L4211)</f>
        <v>35</v>
      </c>
      <c r="N4211" t="str">
        <f t="shared" si="196"/>
        <v>NA15TE-35</v>
      </c>
      <c r="O4211">
        <f>COUNTIFS(F$1:F4211,F4211,A$1:A4211,A4211)</f>
        <v>49</v>
      </c>
      <c r="P4211" t="str">
        <f t="shared" si="197"/>
        <v>Michael Gesicki15</v>
      </c>
    </row>
    <row r="4212" spans="1:16" x14ac:dyDescent="0.25">
      <c r="A4212">
        <v>13</v>
      </c>
      <c r="B4212" t="s">
        <v>267</v>
      </c>
      <c r="C4212" t="s">
        <v>8501</v>
      </c>
      <c r="D4212">
        <v>2.0099999999999998</v>
      </c>
      <c r="E4212" t="s">
        <v>51</v>
      </c>
      <c r="F4212" t="s">
        <v>114</v>
      </c>
      <c r="G4212">
        <v>3.95</v>
      </c>
      <c r="H4212">
        <v>7.0000000000000007E-2</v>
      </c>
      <c r="I4212">
        <v>1.94</v>
      </c>
      <c r="J4212">
        <v>3.7635999999999998</v>
      </c>
      <c r="K4212" t="str">
        <f>IFERROR(INDEX(Rosters!$C$2:$C$155,MATCH($B4212,Rosters!$B$2:$B$155,0)),"NA")</f>
        <v>NA</v>
      </c>
      <c r="L4212" t="str">
        <f t="shared" si="195"/>
        <v>NA13TE</v>
      </c>
      <c r="M4212">
        <f>COUNTIF(L$1:L4212,L4212)</f>
        <v>38</v>
      </c>
      <c r="N4212" t="str">
        <f t="shared" si="196"/>
        <v>NA13TE-38</v>
      </c>
      <c r="O4212">
        <f>COUNTIFS(F$1:F4212,F4212,A$1:A4212,A4212)</f>
        <v>52</v>
      </c>
      <c r="P4212" t="str">
        <f t="shared" si="197"/>
        <v>Virgil Green13</v>
      </c>
    </row>
    <row r="4213" spans="1:16" x14ac:dyDescent="0.25">
      <c r="A4213">
        <v>2</v>
      </c>
      <c r="B4213" t="s">
        <v>351</v>
      </c>
      <c r="C4213">
        <f>-0.15-4.15</f>
        <v>-4.3000000000000007</v>
      </c>
      <c r="D4213">
        <v>2</v>
      </c>
      <c r="E4213" t="s">
        <v>46</v>
      </c>
      <c r="F4213" t="s">
        <v>47</v>
      </c>
      <c r="G4213">
        <v>4.1500000000000004</v>
      </c>
      <c r="H4213">
        <v>-0.15</v>
      </c>
      <c r="I4213">
        <v>2.15</v>
      </c>
      <c r="J4213">
        <v>4.6224999999999996</v>
      </c>
      <c r="K4213" t="str">
        <f>IFERROR(INDEX(Rosters!$C$2:$C$155,MATCH($B4213,Rosters!$B$2:$B$155,0)),"NA")</f>
        <v>NA</v>
      </c>
      <c r="L4213" t="str">
        <f t="shared" si="195"/>
        <v>NA2RB</v>
      </c>
      <c r="M4213">
        <f>COUNTIF(L$1:L4213,L4213)</f>
        <v>24</v>
      </c>
      <c r="N4213" t="str">
        <f t="shared" si="196"/>
        <v>NA2RB-24</v>
      </c>
      <c r="O4213">
        <f>COUNTIFS(F$1:F4213,F4213,A$1:A4213,A4213)</f>
        <v>66</v>
      </c>
      <c r="P4213" t="str">
        <f t="shared" si="197"/>
        <v>Cameron Artis-Payne2</v>
      </c>
    </row>
    <row r="4214" spans="1:16" x14ac:dyDescent="0.25">
      <c r="A4214">
        <v>14</v>
      </c>
      <c r="B4214" t="s">
        <v>277</v>
      </c>
      <c r="C4214" t="s">
        <v>8502</v>
      </c>
      <c r="D4214">
        <v>2</v>
      </c>
      <c r="E4214" t="s">
        <v>42</v>
      </c>
      <c r="F4214" t="s">
        <v>114</v>
      </c>
      <c r="G4214">
        <v>3.63</v>
      </c>
      <c r="H4214">
        <v>0.37</v>
      </c>
      <c r="I4214">
        <v>1.63</v>
      </c>
      <c r="J4214">
        <v>2.6568999999999998</v>
      </c>
      <c r="K4214" t="str">
        <f>IFERROR(INDEX(Rosters!$C$2:$C$155,MATCH($B4214,Rosters!$B$2:$B$155,0)),"NA")</f>
        <v>NA</v>
      </c>
      <c r="L4214" t="str">
        <f t="shared" si="195"/>
        <v>NA14TE</v>
      </c>
      <c r="M4214">
        <f>COUNTIF(L$1:L4214,L4214)</f>
        <v>39</v>
      </c>
      <c r="N4214" t="str">
        <f t="shared" si="196"/>
        <v>NA14TE-39</v>
      </c>
      <c r="O4214">
        <f>COUNTIFS(F$1:F4214,F4214,A$1:A4214,A4214)</f>
        <v>53</v>
      </c>
      <c r="P4214" t="str">
        <f t="shared" si="197"/>
        <v>Garrett Celek14</v>
      </c>
    </row>
    <row r="4215" spans="1:16" x14ac:dyDescent="0.25">
      <c r="A4215">
        <v>9</v>
      </c>
      <c r="B4215" t="s">
        <v>4264</v>
      </c>
      <c r="C4215">
        <f>-0.46-4.46</f>
        <v>-4.92</v>
      </c>
      <c r="D4215">
        <v>2</v>
      </c>
      <c r="E4215" t="s">
        <v>14</v>
      </c>
      <c r="F4215" t="s">
        <v>87</v>
      </c>
      <c r="G4215">
        <v>4.46</v>
      </c>
      <c r="H4215">
        <v>-0.46</v>
      </c>
      <c r="I4215">
        <v>2.46</v>
      </c>
      <c r="J4215">
        <v>6.0515999999999996</v>
      </c>
      <c r="K4215" t="str">
        <f>IFERROR(INDEX(Rosters!$C$2:$C$155,MATCH($B4215,Rosters!$B$2:$B$155,0)),"NA")</f>
        <v>NA</v>
      </c>
      <c r="L4215" t="str">
        <f t="shared" si="195"/>
        <v>NA9WR</v>
      </c>
      <c r="M4215">
        <f>COUNTIF(L$1:L4215,L4215)</f>
        <v>52</v>
      </c>
      <c r="N4215" t="str">
        <f t="shared" si="196"/>
        <v>NA9WR-52</v>
      </c>
      <c r="O4215">
        <f>COUNTIFS(F$1:F4215,F4215,A$1:A4215,A4215)</f>
        <v>96</v>
      </c>
      <c r="P4215" t="str">
        <f t="shared" si="197"/>
        <v>JoJo Natson9</v>
      </c>
    </row>
    <row r="4216" spans="1:16" x14ac:dyDescent="0.25">
      <c r="A4216">
        <v>4</v>
      </c>
      <c r="B4216" t="s">
        <v>1458</v>
      </c>
      <c r="C4216" t="s">
        <v>4641</v>
      </c>
      <c r="D4216">
        <v>2</v>
      </c>
      <c r="E4216" t="s">
        <v>423</v>
      </c>
      <c r="F4216" t="s">
        <v>47</v>
      </c>
      <c r="G4216">
        <v>3.77</v>
      </c>
      <c r="H4216">
        <v>0.23</v>
      </c>
      <c r="I4216">
        <v>1.77</v>
      </c>
      <c r="J4216">
        <v>3.1328999999999998</v>
      </c>
      <c r="K4216" t="str">
        <f>IFERROR(INDEX(Rosters!$C$2:$C$155,MATCH($B4216,Rosters!$B$2:$B$155,0)),"NA")</f>
        <v>NA</v>
      </c>
      <c r="L4216" t="str">
        <f t="shared" si="195"/>
        <v>NA4RB</v>
      </c>
      <c r="M4216">
        <f>COUNTIF(L$1:L4216,L4216)</f>
        <v>25</v>
      </c>
      <c r="N4216" t="str">
        <f t="shared" si="196"/>
        <v>NA4RB-25</v>
      </c>
      <c r="O4216">
        <f>COUNTIFS(F$1:F4216,F4216,A$1:A4216,A4216)</f>
        <v>64</v>
      </c>
      <c r="P4216" t="str">
        <f t="shared" si="197"/>
        <v>Kalen Ballage4</v>
      </c>
    </row>
    <row r="4217" spans="1:16" x14ac:dyDescent="0.25">
      <c r="A4217">
        <v>15</v>
      </c>
      <c r="B4217" t="s">
        <v>315</v>
      </c>
      <c r="C4217" t="s">
        <v>8503</v>
      </c>
      <c r="D4217">
        <v>2</v>
      </c>
      <c r="E4217" t="s">
        <v>54</v>
      </c>
      <c r="F4217" t="s">
        <v>114</v>
      </c>
      <c r="G4217">
        <v>3.74</v>
      </c>
      <c r="H4217">
        <v>0.26</v>
      </c>
      <c r="I4217">
        <v>1.74</v>
      </c>
      <c r="J4217">
        <v>3.0276000000000001</v>
      </c>
      <c r="K4217" t="str">
        <f>IFERROR(INDEX(Rosters!$C$2:$C$155,MATCH($B4217,Rosters!$B$2:$B$155,0)),"NA")</f>
        <v>NA</v>
      </c>
      <c r="L4217" t="str">
        <f t="shared" si="195"/>
        <v>NA15TE</v>
      </c>
      <c r="M4217">
        <f>COUNTIF(L$1:L4217,L4217)</f>
        <v>36</v>
      </c>
      <c r="N4217" t="str">
        <f t="shared" si="196"/>
        <v>NA15TE-36</v>
      </c>
      <c r="O4217">
        <f>COUNTIFS(F$1:F4217,F4217,A$1:A4217,A4217)</f>
        <v>50</v>
      </c>
      <c r="P4217" t="str">
        <f t="shared" si="197"/>
        <v>Luke Stocker15</v>
      </c>
    </row>
    <row r="4218" spans="1:16" x14ac:dyDescent="0.25">
      <c r="A4218">
        <v>6</v>
      </c>
      <c r="B4218" t="s">
        <v>362</v>
      </c>
      <c r="C4218" t="s">
        <v>8504</v>
      </c>
      <c r="D4218">
        <v>2</v>
      </c>
      <c r="E4218" t="s">
        <v>32</v>
      </c>
      <c r="F4218" t="s">
        <v>114</v>
      </c>
      <c r="G4218">
        <v>3.85</v>
      </c>
      <c r="H4218">
        <v>0.15</v>
      </c>
      <c r="I4218">
        <v>1.85</v>
      </c>
      <c r="J4218">
        <v>3.4224999999999999</v>
      </c>
      <c r="K4218" t="str">
        <f>IFERROR(INDEX(Rosters!$C$2:$C$155,MATCH($B4218,Rosters!$B$2:$B$155,0)),"NA")</f>
        <v>NA</v>
      </c>
      <c r="L4218" t="str">
        <f t="shared" si="195"/>
        <v>NA6TE</v>
      </c>
      <c r="M4218">
        <f>COUNTIF(L$1:L4218,L4218)</f>
        <v>31</v>
      </c>
      <c r="N4218" t="str">
        <f t="shared" si="196"/>
        <v>NA6TE-31</v>
      </c>
      <c r="O4218">
        <f>COUNTIFS(F$1:F4218,F4218,A$1:A4218,A4218)</f>
        <v>43</v>
      </c>
      <c r="P4218" t="str">
        <f t="shared" si="197"/>
        <v>Nick Vannett6</v>
      </c>
    </row>
    <row r="4219" spans="1:16" x14ac:dyDescent="0.25">
      <c r="A4219">
        <v>10</v>
      </c>
      <c r="B4219" t="s">
        <v>249</v>
      </c>
      <c r="C4219">
        <f>-0.58-4.58</f>
        <v>-5.16</v>
      </c>
      <c r="D4219">
        <v>2</v>
      </c>
      <c r="E4219" t="s">
        <v>32</v>
      </c>
      <c r="F4219" t="s">
        <v>87</v>
      </c>
      <c r="G4219">
        <v>4.58</v>
      </c>
      <c r="H4219">
        <v>-0.57999999999999996</v>
      </c>
      <c r="I4219">
        <v>2.58</v>
      </c>
      <c r="J4219">
        <v>6.6563999999999997</v>
      </c>
      <c r="K4219" t="str">
        <f>IFERROR(INDEX(Rosters!$C$2:$C$155,MATCH($B4219,Rosters!$B$2:$B$155,0)),"NA")</f>
        <v>NA</v>
      </c>
      <c r="L4219" t="str">
        <f t="shared" si="195"/>
        <v>NA10WR</v>
      </c>
      <c r="M4219">
        <f>COUNTIF(L$1:L4219,L4219)</f>
        <v>54</v>
      </c>
      <c r="N4219" t="str">
        <f t="shared" si="196"/>
        <v>NA10WR-54</v>
      </c>
      <c r="O4219">
        <f>COUNTIFS(F$1:F4219,F4219,A$1:A4219,A4219)</f>
        <v>99</v>
      </c>
      <c r="P4219" t="str">
        <f t="shared" si="197"/>
        <v>Travis Benjamin10</v>
      </c>
    </row>
    <row r="4220" spans="1:16" x14ac:dyDescent="0.25">
      <c r="A4220">
        <v>7</v>
      </c>
      <c r="B4220" t="s">
        <v>4204</v>
      </c>
      <c r="C4220">
        <f>-0.01-3.99</f>
        <v>-4</v>
      </c>
      <c r="D4220">
        <v>1.99</v>
      </c>
      <c r="E4220" t="s">
        <v>56</v>
      </c>
      <c r="F4220" t="s">
        <v>87</v>
      </c>
      <c r="G4220">
        <v>3.99</v>
      </c>
      <c r="H4220">
        <v>-0.01</v>
      </c>
      <c r="I4220">
        <v>2</v>
      </c>
      <c r="J4220">
        <v>4</v>
      </c>
      <c r="K4220" t="str">
        <f>IFERROR(INDEX(Rosters!$C$2:$C$155,MATCH($B4220,Rosters!$B$2:$B$155,0)),"NA")</f>
        <v>NA</v>
      </c>
      <c r="L4220" t="str">
        <f t="shared" si="195"/>
        <v>NA7WR</v>
      </c>
      <c r="M4220">
        <f>COUNTIF(L$1:L4220,L4220)</f>
        <v>51</v>
      </c>
      <c r="N4220" t="str">
        <f t="shared" si="196"/>
        <v>NA7WR-51</v>
      </c>
      <c r="O4220">
        <f>COUNTIFS(F$1:F4220,F4220,A$1:A4220,A4220)</f>
        <v>96</v>
      </c>
      <c r="P4220" t="str">
        <f t="shared" si="197"/>
        <v>Dante Pettis7</v>
      </c>
    </row>
    <row r="4221" spans="1:16" x14ac:dyDescent="0.25">
      <c r="A4221">
        <v>9</v>
      </c>
      <c r="B4221" t="s">
        <v>275</v>
      </c>
      <c r="C4221" t="s">
        <v>8505</v>
      </c>
      <c r="D4221">
        <v>1.99</v>
      </c>
      <c r="E4221" t="s">
        <v>36</v>
      </c>
      <c r="F4221" t="s">
        <v>47</v>
      </c>
      <c r="G4221">
        <v>3.64</v>
      </c>
      <c r="H4221">
        <v>0.34</v>
      </c>
      <c r="I4221">
        <v>1.65</v>
      </c>
      <c r="J4221">
        <v>2.7225000000000001</v>
      </c>
      <c r="K4221" t="str">
        <f>IFERROR(INDEX(Rosters!$C$2:$C$155,MATCH($B4221,Rosters!$B$2:$B$155,0)),"NA")</f>
        <v>NA</v>
      </c>
      <c r="L4221" t="str">
        <f t="shared" si="195"/>
        <v>NA9RB</v>
      </c>
      <c r="M4221">
        <f>COUNTIF(L$1:L4221,L4221)</f>
        <v>21</v>
      </c>
      <c r="N4221" t="str">
        <f t="shared" si="196"/>
        <v>NA9RB-21</v>
      </c>
      <c r="O4221">
        <f>COUNTIFS(F$1:F4221,F4221,A$1:A4221,A4221)</f>
        <v>61</v>
      </c>
      <c r="P4221" t="str">
        <f t="shared" si="197"/>
        <v>Devontae Booker9</v>
      </c>
    </row>
    <row r="4222" spans="1:16" x14ac:dyDescent="0.25">
      <c r="A4222">
        <v>1</v>
      </c>
      <c r="B4222" t="s">
        <v>254</v>
      </c>
      <c r="C4222">
        <f>-0.2-4.18</f>
        <v>-4.38</v>
      </c>
      <c r="D4222">
        <v>1.99</v>
      </c>
      <c r="E4222" t="s">
        <v>36</v>
      </c>
      <c r="F4222" t="s">
        <v>114</v>
      </c>
      <c r="G4222">
        <v>4.18</v>
      </c>
      <c r="H4222">
        <v>-0.2</v>
      </c>
      <c r="I4222">
        <v>2.19</v>
      </c>
      <c r="J4222">
        <v>4.7961</v>
      </c>
      <c r="K4222" t="str">
        <f>IFERROR(INDEX(Rosters!$C$2:$C$155,MATCH($B4222,Rosters!$B$2:$B$155,0)),"NA")</f>
        <v>NA</v>
      </c>
      <c r="L4222" t="str">
        <f t="shared" si="195"/>
        <v>NA1TE</v>
      </c>
      <c r="M4222">
        <f>COUNTIF(L$1:L4222,L4222)</f>
        <v>25</v>
      </c>
      <c r="N4222" t="str">
        <f t="shared" si="196"/>
        <v>NA1TE-25</v>
      </c>
      <c r="O4222">
        <f>COUNTIFS(F$1:F4222,F4222,A$1:A4222,A4222)</f>
        <v>38</v>
      </c>
      <c r="P4222" t="str">
        <f t="shared" si="197"/>
        <v>Dwayne Allen1</v>
      </c>
    </row>
    <row r="4223" spans="1:16" x14ac:dyDescent="0.25">
      <c r="A4223">
        <v>3</v>
      </c>
      <c r="B4223" t="s">
        <v>358</v>
      </c>
      <c r="C4223">
        <f>-0.09-4.07</f>
        <v>-4.16</v>
      </c>
      <c r="D4223">
        <v>1.99</v>
      </c>
      <c r="E4223" t="s">
        <v>38</v>
      </c>
      <c r="F4223" t="s">
        <v>114</v>
      </c>
      <c r="G4223">
        <v>4.07</v>
      </c>
      <c r="H4223">
        <v>-0.09</v>
      </c>
      <c r="I4223">
        <v>2.08</v>
      </c>
      <c r="J4223">
        <v>4.3263999999999996</v>
      </c>
      <c r="K4223" t="str">
        <f>IFERROR(INDEX(Rosters!$C$2:$C$155,MATCH($B4223,Rosters!$B$2:$B$155,0)),"NA")</f>
        <v>NA</v>
      </c>
      <c r="L4223" t="str">
        <f t="shared" si="195"/>
        <v>NA3TE</v>
      </c>
      <c r="M4223">
        <f>COUNTIF(L$1:L4223,L4223)</f>
        <v>35</v>
      </c>
      <c r="N4223" t="str">
        <f t="shared" si="196"/>
        <v>NA3TE-35</v>
      </c>
      <c r="O4223">
        <f>COUNTIFS(F$1:F4223,F4223,A$1:A4223,A4223)</f>
        <v>47</v>
      </c>
      <c r="P4223" t="str">
        <f t="shared" si="197"/>
        <v>James O'Shaughnessy3</v>
      </c>
    </row>
    <row r="4224" spans="1:16" x14ac:dyDescent="0.25">
      <c r="A4224">
        <v>8</v>
      </c>
      <c r="B4224" t="s">
        <v>4264</v>
      </c>
      <c r="C4224">
        <f>-0.4-4.38</f>
        <v>-4.78</v>
      </c>
      <c r="D4224">
        <v>1.99</v>
      </c>
      <c r="E4224" t="s">
        <v>41</v>
      </c>
      <c r="F4224" t="s">
        <v>87</v>
      </c>
      <c r="G4224">
        <v>4.38</v>
      </c>
      <c r="H4224">
        <v>-0.4</v>
      </c>
      <c r="I4224">
        <v>2.39</v>
      </c>
      <c r="J4224">
        <v>5.7121000000000004</v>
      </c>
      <c r="K4224" t="str">
        <f>IFERROR(INDEX(Rosters!$C$2:$C$155,MATCH($B4224,Rosters!$B$2:$B$155,0)),"NA")</f>
        <v>NA</v>
      </c>
      <c r="L4224" t="str">
        <f t="shared" si="195"/>
        <v>NA8WR</v>
      </c>
      <c r="M4224">
        <f>COUNTIF(L$1:L4224,L4224)</f>
        <v>50</v>
      </c>
      <c r="N4224" t="str">
        <f t="shared" si="196"/>
        <v>NA8WR-50</v>
      </c>
      <c r="O4224">
        <f>COUNTIFS(F$1:F4224,F4224,A$1:A4224,A4224)</f>
        <v>99</v>
      </c>
      <c r="P4224" t="str">
        <f t="shared" si="197"/>
        <v>JoJo Natson8</v>
      </c>
    </row>
    <row r="4225" spans="1:16" x14ac:dyDescent="0.25">
      <c r="A4225">
        <v>9</v>
      </c>
      <c r="B4225" t="s">
        <v>4226</v>
      </c>
      <c r="C4225" t="s">
        <v>8506</v>
      </c>
      <c r="D4225">
        <v>1.99</v>
      </c>
      <c r="E4225" t="s">
        <v>42</v>
      </c>
      <c r="F4225" t="s">
        <v>114</v>
      </c>
      <c r="G4225">
        <v>3.96</v>
      </c>
      <c r="H4225">
        <v>0.02</v>
      </c>
      <c r="I4225">
        <v>1.97</v>
      </c>
      <c r="J4225">
        <v>3.8809</v>
      </c>
      <c r="K4225" t="str">
        <f>IFERROR(INDEX(Rosters!$C$2:$C$155,MATCH($B4225,Rosters!$B$2:$B$155,0)),"NA")</f>
        <v>NA</v>
      </c>
      <c r="L4225" t="str">
        <f t="shared" si="195"/>
        <v>NA9TE</v>
      </c>
      <c r="M4225">
        <f>COUNTIF(L$1:L4225,L4225)</f>
        <v>29</v>
      </c>
      <c r="N4225" t="str">
        <f t="shared" si="196"/>
        <v>NA9TE-29</v>
      </c>
      <c r="O4225">
        <f>COUNTIFS(F$1:F4225,F4225,A$1:A4225,A4225)</f>
        <v>40</v>
      </c>
      <c r="P4225" t="str">
        <f t="shared" si="197"/>
        <v>Jordan Thomas9</v>
      </c>
    </row>
    <row r="4226" spans="1:16" x14ac:dyDescent="0.25">
      <c r="A4226">
        <v>14</v>
      </c>
      <c r="B4226" t="s">
        <v>1406</v>
      </c>
      <c r="C4226" t="s">
        <v>8505</v>
      </c>
      <c r="D4226">
        <v>1.99</v>
      </c>
      <c r="E4226" t="s">
        <v>24</v>
      </c>
      <c r="F4226" t="s">
        <v>47</v>
      </c>
      <c r="G4226">
        <v>3.64</v>
      </c>
      <c r="H4226">
        <v>0.34</v>
      </c>
      <c r="I4226">
        <v>1.65</v>
      </c>
      <c r="J4226">
        <v>2.7225000000000001</v>
      </c>
      <c r="K4226" t="str">
        <f>IFERROR(INDEX(Rosters!$C$2:$C$155,MATCH($B4226,Rosters!$B$2:$B$155,0)),"NA")</f>
        <v>NA</v>
      </c>
      <c r="L4226" t="str">
        <f t="shared" si="195"/>
        <v>NA14RB</v>
      </c>
      <c r="M4226">
        <f>COUNTIF(L$1:L4226,L4226)</f>
        <v>29</v>
      </c>
      <c r="N4226" t="str">
        <f t="shared" si="196"/>
        <v>NA14RB-29</v>
      </c>
      <c r="O4226">
        <f>COUNTIFS(F$1:F4226,F4226,A$1:A4226,A4226)</f>
        <v>76</v>
      </c>
      <c r="P4226" t="str">
        <f t="shared" si="197"/>
        <v>Kenneth Dixon14</v>
      </c>
    </row>
    <row r="4227" spans="1:16" x14ac:dyDescent="0.25">
      <c r="A4227">
        <v>10</v>
      </c>
      <c r="B4227" t="s">
        <v>1336</v>
      </c>
      <c r="C4227" t="s">
        <v>4642</v>
      </c>
      <c r="D4227">
        <v>1.99</v>
      </c>
      <c r="E4227" t="s">
        <v>56</v>
      </c>
      <c r="F4227" t="s">
        <v>47</v>
      </c>
      <c r="G4227">
        <v>3.95</v>
      </c>
      <c r="H4227">
        <v>0.03</v>
      </c>
      <c r="I4227">
        <v>1.96</v>
      </c>
      <c r="J4227">
        <v>3.8416000000000001</v>
      </c>
      <c r="K4227" t="str">
        <f>IFERROR(INDEX(Rosters!$C$2:$C$155,MATCH($B4227,Rosters!$B$2:$B$155,0)),"NA")</f>
        <v>NA</v>
      </c>
      <c r="L4227" t="str">
        <f t="shared" ref="L4227:L4290" si="198">K4227&amp;A4227&amp;F4227</f>
        <v>NA10RB</v>
      </c>
      <c r="M4227">
        <f>COUNTIF(L$1:L4227,L4227)</f>
        <v>29</v>
      </c>
      <c r="N4227" t="str">
        <f t="shared" ref="N4227:N4290" si="199">L4227&amp;"-"&amp;M4227</f>
        <v>NA10RB-29</v>
      </c>
      <c r="O4227">
        <f>COUNTIFS(F$1:F4227,F4227,A$1:A4227,A4227)</f>
        <v>68</v>
      </c>
      <c r="P4227" t="str">
        <f t="shared" ref="P4227:P4290" si="200">B4227&amp;A4227</f>
        <v>Rashaad Penny10</v>
      </c>
    </row>
    <row r="4228" spans="1:16" x14ac:dyDescent="0.25">
      <c r="A4228">
        <v>3</v>
      </c>
      <c r="B4228" t="s">
        <v>1640</v>
      </c>
      <c r="C4228">
        <f>-1.35-5.33</f>
        <v>-6.68</v>
      </c>
      <c r="D4228">
        <v>1.99</v>
      </c>
      <c r="E4228" t="s">
        <v>25</v>
      </c>
      <c r="F4228" t="s">
        <v>47</v>
      </c>
      <c r="G4228">
        <v>5.33</v>
      </c>
      <c r="H4228">
        <v>-1.35</v>
      </c>
      <c r="I4228">
        <v>3.34</v>
      </c>
      <c r="J4228">
        <v>11.1556</v>
      </c>
      <c r="K4228" t="str">
        <f>IFERROR(INDEX(Rosters!$C$2:$C$155,MATCH($B4228,Rosters!$B$2:$B$155,0)),"NA")</f>
        <v>NA</v>
      </c>
      <c r="L4228" t="str">
        <f t="shared" si="198"/>
        <v>NA3RB</v>
      </c>
      <c r="M4228">
        <f>COUNTIF(L$1:L4228,L4228)</f>
        <v>29</v>
      </c>
      <c r="N4228" t="str">
        <f t="shared" si="199"/>
        <v>NA3RB-29</v>
      </c>
      <c r="O4228">
        <f>COUNTIFS(F$1:F4228,F4228,A$1:A4228,A4228)</f>
        <v>68</v>
      </c>
      <c r="P4228" t="str">
        <f t="shared" si="200"/>
        <v>Taiwan Jones3</v>
      </c>
    </row>
    <row r="4229" spans="1:16" x14ac:dyDescent="0.25">
      <c r="A4229">
        <v>14</v>
      </c>
      <c r="B4229" t="s">
        <v>249</v>
      </c>
      <c r="C4229">
        <f>-0.32-4.3</f>
        <v>-4.62</v>
      </c>
      <c r="D4229">
        <v>1.99</v>
      </c>
      <c r="E4229" t="s">
        <v>31</v>
      </c>
      <c r="F4229" t="s">
        <v>87</v>
      </c>
      <c r="G4229">
        <v>4.3</v>
      </c>
      <c r="H4229">
        <v>-0.32</v>
      </c>
      <c r="I4229">
        <v>2.31</v>
      </c>
      <c r="J4229">
        <v>5.3361000000000001</v>
      </c>
      <c r="K4229" t="str">
        <f>IFERROR(INDEX(Rosters!$C$2:$C$155,MATCH($B4229,Rosters!$B$2:$B$155,0)),"NA")</f>
        <v>NA</v>
      </c>
      <c r="L4229" t="str">
        <f t="shared" si="198"/>
        <v>NA14WR</v>
      </c>
      <c r="M4229">
        <f>COUNTIF(L$1:L4229,L4229)</f>
        <v>59</v>
      </c>
      <c r="N4229" t="str">
        <f t="shared" si="199"/>
        <v>NA14WR-59</v>
      </c>
      <c r="O4229">
        <f>COUNTIFS(F$1:F4229,F4229,A$1:A4229,A4229)</f>
        <v>113</v>
      </c>
      <c r="P4229" t="str">
        <f t="shared" si="200"/>
        <v>Travis Benjamin14</v>
      </c>
    </row>
    <row r="4230" spans="1:16" x14ac:dyDescent="0.25">
      <c r="A4230">
        <v>17</v>
      </c>
      <c r="B4230" t="s">
        <v>250</v>
      </c>
      <c r="C4230">
        <f>-0.18-4.16</f>
        <v>-4.34</v>
      </c>
      <c r="D4230">
        <v>1.99</v>
      </c>
      <c r="E4230" t="s">
        <v>60</v>
      </c>
      <c r="F4230" t="s">
        <v>47</v>
      </c>
      <c r="G4230">
        <v>4.16</v>
      </c>
      <c r="H4230">
        <v>-0.18</v>
      </c>
      <c r="I4230">
        <v>2.17</v>
      </c>
      <c r="J4230">
        <v>4.7088999999999999</v>
      </c>
      <c r="K4230" t="str">
        <f>IFERROR(INDEX(Rosters!$C$2:$C$155,MATCH($B4230,Rosters!$B$2:$B$155,0)),"NA")</f>
        <v>NA</v>
      </c>
      <c r="L4230" t="str">
        <f t="shared" si="198"/>
        <v>NA17RB</v>
      </c>
      <c r="M4230">
        <f>COUNTIF(L$1:L4230,L4230)</f>
        <v>29</v>
      </c>
      <c r="N4230" t="str">
        <f t="shared" si="199"/>
        <v>NA17RB-29</v>
      </c>
      <c r="O4230">
        <f>COUNTIFS(F$1:F4230,F4230,A$1:A4230,A4230)</f>
        <v>76</v>
      </c>
      <c r="P4230" t="str">
        <f t="shared" si="200"/>
        <v>Wendell Smallwood17</v>
      </c>
    </row>
    <row r="4231" spans="1:16" x14ac:dyDescent="0.25">
      <c r="A4231">
        <v>13</v>
      </c>
      <c r="B4231" t="s">
        <v>231</v>
      </c>
      <c r="C4231" t="s">
        <v>8507</v>
      </c>
      <c r="D4231">
        <v>1.98</v>
      </c>
      <c r="E4231" t="s">
        <v>41</v>
      </c>
      <c r="F4231" t="s">
        <v>114</v>
      </c>
      <c r="G4231">
        <v>3.78</v>
      </c>
      <c r="H4231">
        <v>0.18</v>
      </c>
      <c r="I4231">
        <v>1.8</v>
      </c>
      <c r="J4231">
        <v>3.24</v>
      </c>
      <c r="K4231" t="str">
        <f>IFERROR(INDEX(Rosters!$C$2:$C$155,MATCH($B4231,Rosters!$B$2:$B$155,0)),"NA")</f>
        <v>NA</v>
      </c>
      <c r="L4231" t="str">
        <f t="shared" si="198"/>
        <v>NA13TE</v>
      </c>
      <c r="M4231">
        <f>COUNTIF(L$1:L4231,L4231)</f>
        <v>39</v>
      </c>
      <c r="N4231" t="str">
        <f t="shared" si="199"/>
        <v>NA13TE-39</v>
      </c>
      <c r="O4231">
        <f>COUNTIFS(F$1:F4231,F4231,A$1:A4231,A4231)</f>
        <v>53</v>
      </c>
      <c r="P4231" t="str">
        <f t="shared" si="200"/>
        <v>Jermaine Gresham13</v>
      </c>
    </row>
    <row r="4232" spans="1:16" x14ac:dyDescent="0.25">
      <c r="A4232">
        <v>7</v>
      </c>
      <c r="B4232" t="s">
        <v>4264</v>
      </c>
      <c r="C4232">
        <f>-0.48-4.44</f>
        <v>-4.92</v>
      </c>
      <c r="D4232">
        <v>1.98</v>
      </c>
      <c r="E4232" t="s">
        <v>30</v>
      </c>
      <c r="F4232" t="s">
        <v>87</v>
      </c>
      <c r="G4232">
        <v>4.4400000000000004</v>
      </c>
      <c r="H4232">
        <v>-0.48</v>
      </c>
      <c r="I4232">
        <v>2.46</v>
      </c>
      <c r="J4232">
        <v>6.0515999999999996</v>
      </c>
      <c r="K4232" t="str">
        <f>IFERROR(INDEX(Rosters!$C$2:$C$155,MATCH($B4232,Rosters!$B$2:$B$155,0)),"NA")</f>
        <v>NA</v>
      </c>
      <c r="L4232" t="str">
        <f t="shared" si="198"/>
        <v>NA7WR</v>
      </c>
      <c r="M4232">
        <f>COUNTIF(L$1:L4232,L4232)</f>
        <v>52</v>
      </c>
      <c r="N4232" t="str">
        <f t="shared" si="199"/>
        <v>NA7WR-52</v>
      </c>
      <c r="O4232">
        <f>COUNTIFS(F$1:F4232,F4232,A$1:A4232,A4232)</f>
        <v>97</v>
      </c>
      <c r="P4232" t="str">
        <f t="shared" si="200"/>
        <v>JoJo Natson7</v>
      </c>
    </row>
    <row r="4233" spans="1:16" x14ac:dyDescent="0.25">
      <c r="A4233">
        <v>10</v>
      </c>
      <c r="B4233" t="s">
        <v>259</v>
      </c>
      <c r="C4233">
        <f>-0.23-4.19</f>
        <v>-4.4200000000000008</v>
      </c>
      <c r="D4233">
        <v>1.98</v>
      </c>
      <c r="E4233" t="s">
        <v>30</v>
      </c>
      <c r="F4233" t="s">
        <v>87</v>
      </c>
      <c r="G4233">
        <v>4.1900000000000004</v>
      </c>
      <c r="H4233">
        <v>-0.23</v>
      </c>
      <c r="I4233">
        <v>2.21</v>
      </c>
      <c r="J4233">
        <v>4.8841000000000001</v>
      </c>
      <c r="K4233" t="str">
        <f>IFERROR(INDEX(Rosters!$C$2:$C$155,MATCH($B4233,Rosters!$B$2:$B$155,0)),"NA")</f>
        <v>NA</v>
      </c>
      <c r="L4233" t="str">
        <f t="shared" si="198"/>
        <v>NA10WR</v>
      </c>
      <c r="M4233">
        <f>COUNTIF(L$1:L4233,L4233)</f>
        <v>55</v>
      </c>
      <c r="N4233" t="str">
        <f t="shared" si="199"/>
        <v>NA10WR-55</v>
      </c>
      <c r="O4233">
        <f>COUNTIFS(F$1:F4233,F4233,A$1:A4233,A4233)</f>
        <v>100</v>
      </c>
      <c r="P4233" t="str">
        <f t="shared" si="200"/>
        <v>Russell Shepard10</v>
      </c>
    </row>
    <row r="4234" spans="1:16" x14ac:dyDescent="0.25">
      <c r="A4234">
        <v>15</v>
      </c>
      <c r="B4234" t="s">
        <v>190</v>
      </c>
      <c r="C4234">
        <f>-0.42-4.38</f>
        <v>-4.8</v>
      </c>
      <c r="D4234">
        <v>1.98</v>
      </c>
      <c r="E4234" t="s">
        <v>66</v>
      </c>
      <c r="F4234" t="s">
        <v>87</v>
      </c>
      <c r="G4234">
        <v>4.38</v>
      </c>
      <c r="H4234">
        <v>-0.42</v>
      </c>
      <c r="I4234">
        <v>2.4</v>
      </c>
      <c r="J4234">
        <v>5.76</v>
      </c>
      <c r="K4234" t="str">
        <f>IFERROR(INDEX(Rosters!$C$2:$C$155,MATCH($B4234,Rosters!$B$2:$B$155,0)),"NA")</f>
        <v>NA</v>
      </c>
      <c r="L4234" t="str">
        <f t="shared" si="198"/>
        <v>NA15WR</v>
      </c>
      <c r="M4234">
        <f>COUNTIF(L$1:L4234,L4234)</f>
        <v>60</v>
      </c>
      <c r="N4234" t="str">
        <f t="shared" si="199"/>
        <v>NA15WR-60</v>
      </c>
      <c r="O4234">
        <f>COUNTIFS(F$1:F4234,F4234,A$1:A4234,A4234)</f>
        <v>114</v>
      </c>
      <c r="P4234" t="str">
        <f t="shared" si="200"/>
        <v>Tavon Austin15</v>
      </c>
    </row>
    <row r="4235" spans="1:16" x14ac:dyDescent="0.25">
      <c r="A4235">
        <v>13</v>
      </c>
      <c r="B4235" t="s">
        <v>249</v>
      </c>
      <c r="C4235">
        <f>-0.27-4.23</f>
        <v>-4.5</v>
      </c>
      <c r="D4235">
        <v>1.98</v>
      </c>
      <c r="E4235" t="s">
        <v>51</v>
      </c>
      <c r="F4235" t="s">
        <v>87</v>
      </c>
      <c r="G4235">
        <v>4.2300000000000004</v>
      </c>
      <c r="H4235">
        <v>-0.27</v>
      </c>
      <c r="I4235">
        <v>2.25</v>
      </c>
      <c r="J4235">
        <v>5.0625</v>
      </c>
      <c r="K4235" t="str">
        <f>IFERROR(INDEX(Rosters!$C$2:$C$155,MATCH($B4235,Rosters!$B$2:$B$155,0)),"NA")</f>
        <v>NA</v>
      </c>
      <c r="L4235" t="str">
        <f t="shared" si="198"/>
        <v>NA13WR</v>
      </c>
      <c r="M4235">
        <f>COUNTIF(L$1:L4235,L4235)</f>
        <v>61</v>
      </c>
      <c r="N4235" t="str">
        <f t="shared" si="199"/>
        <v>NA13WR-61</v>
      </c>
      <c r="O4235">
        <f>COUNTIFS(F$1:F4235,F4235,A$1:A4235,A4235)</f>
        <v>115</v>
      </c>
      <c r="P4235" t="str">
        <f t="shared" si="200"/>
        <v>Travis Benjamin13</v>
      </c>
    </row>
    <row r="4236" spans="1:16" x14ac:dyDescent="0.25">
      <c r="A4236">
        <v>14</v>
      </c>
      <c r="B4236" t="s">
        <v>244</v>
      </c>
      <c r="C4236" t="s">
        <v>8508</v>
      </c>
      <c r="D4236">
        <v>1.98</v>
      </c>
      <c r="E4236" t="s">
        <v>72</v>
      </c>
      <c r="F4236" t="s">
        <v>114</v>
      </c>
      <c r="G4236">
        <v>3.84</v>
      </c>
      <c r="H4236">
        <v>0.12</v>
      </c>
      <c r="I4236">
        <v>1.86</v>
      </c>
      <c r="J4236">
        <v>3.4596</v>
      </c>
      <c r="K4236" t="str">
        <f>IFERROR(INDEX(Rosters!$C$2:$C$155,MATCH($B4236,Rosters!$B$2:$B$155,0)),"NA")</f>
        <v>NA</v>
      </c>
      <c r="L4236" t="str">
        <f t="shared" si="198"/>
        <v>NA14TE</v>
      </c>
      <c r="M4236">
        <f>COUNTIF(L$1:L4236,L4236)</f>
        <v>40</v>
      </c>
      <c r="N4236" t="str">
        <f t="shared" si="199"/>
        <v>NA14TE-40</v>
      </c>
      <c r="O4236">
        <f>COUNTIFS(F$1:F4236,F4236,A$1:A4236,A4236)</f>
        <v>54</v>
      </c>
      <c r="P4236" t="str">
        <f t="shared" si="200"/>
        <v>Tyler Higbee14</v>
      </c>
    </row>
    <row r="4237" spans="1:16" x14ac:dyDescent="0.25">
      <c r="A4237">
        <v>5</v>
      </c>
      <c r="B4237" t="s">
        <v>283</v>
      </c>
      <c r="C4237">
        <f>-0.82-4.76</f>
        <v>-5.58</v>
      </c>
      <c r="D4237">
        <v>1.97</v>
      </c>
      <c r="E4237" t="s">
        <v>66</v>
      </c>
      <c r="F4237" t="s">
        <v>87</v>
      </c>
      <c r="G4237">
        <v>4.76</v>
      </c>
      <c r="H4237">
        <v>-0.82</v>
      </c>
      <c r="I4237">
        <v>2.79</v>
      </c>
      <c r="J4237">
        <v>7.7840999999999996</v>
      </c>
      <c r="K4237" t="str">
        <f>IFERROR(INDEX(Rosters!$C$2:$C$155,MATCH($B4237,Rosters!$B$2:$B$155,0)),"NA")</f>
        <v>NA</v>
      </c>
      <c r="L4237" t="str">
        <f t="shared" si="198"/>
        <v>NA5WR</v>
      </c>
      <c r="M4237">
        <f>COUNTIF(L$1:L4237,L4237)</f>
        <v>53</v>
      </c>
      <c r="N4237" t="str">
        <f t="shared" si="199"/>
        <v>NA5WR-53</v>
      </c>
      <c r="O4237">
        <f>COUNTIFS(F$1:F4237,F4237,A$1:A4237,A4237)</f>
        <v>103</v>
      </c>
      <c r="P4237" t="str">
        <f t="shared" si="200"/>
        <v>Cordarrelle Patterson5</v>
      </c>
    </row>
    <row r="4238" spans="1:16" x14ac:dyDescent="0.25">
      <c r="A4238">
        <v>14</v>
      </c>
      <c r="B4238" t="s">
        <v>233</v>
      </c>
      <c r="C4238" t="s">
        <v>8509</v>
      </c>
      <c r="D4238">
        <v>1.97</v>
      </c>
      <c r="E4238" t="s">
        <v>52</v>
      </c>
      <c r="F4238" t="s">
        <v>87</v>
      </c>
      <c r="G4238">
        <v>3.91</v>
      </c>
      <c r="H4238">
        <v>0.03</v>
      </c>
      <c r="I4238">
        <v>1.94</v>
      </c>
      <c r="J4238">
        <v>3.7635999999999998</v>
      </c>
      <c r="K4238" t="str">
        <f>IFERROR(INDEX(Rosters!$C$2:$C$155,MATCH($B4238,Rosters!$B$2:$B$155,0)),"NA")</f>
        <v>NA</v>
      </c>
      <c r="L4238" t="str">
        <f t="shared" si="198"/>
        <v>NA14WR</v>
      </c>
      <c r="M4238">
        <f>COUNTIF(L$1:L4238,L4238)</f>
        <v>60</v>
      </c>
      <c r="N4238" t="str">
        <f t="shared" si="199"/>
        <v>NA14WR-60</v>
      </c>
      <c r="O4238">
        <f>COUNTIFS(F$1:F4238,F4238,A$1:A4238,A4238)</f>
        <v>114</v>
      </c>
      <c r="P4238" t="str">
        <f t="shared" si="200"/>
        <v>Curtis Samuel14</v>
      </c>
    </row>
    <row r="4239" spans="1:16" x14ac:dyDescent="0.25">
      <c r="A4239">
        <v>3</v>
      </c>
      <c r="B4239" t="s">
        <v>277</v>
      </c>
      <c r="C4239" t="s">
        <v>3797</v>
      </c>
      <c r="D4239">
        <v>1.97</v>
      </c>
      <c r="E4239" t="s">
        <v>24</v>
      </c>
      <c r="F4239" t="s">
        <v>114</v>
      </c>
      <c r="G4239">
        <v>3.85</v>
      </c>
      <c r="H4239">
        <v>0.09</v>
      </c>
      <c r="I4239">
        <v>1.88</v>
      </c>
      <c r="J4239">
        <v>3.5344000000000002</v>
      </c>
      <c r="K4239" t="str">
        <f>IFERROR(INDEX(Rosters!$C$2:$C$155,MATCH($B4239,Rosters!$B$2:$B$155,0)),"NA")</f>
        <v>NA</v>
      </c>
      <c r="L4239" t="str">
        <f t="shared" si="198"/>
        <v>NA3TE</v>
      </c>
      <c r="M4239">
        <f>COUNTIF(L$1:L4239,L4239)</f>
        <v>36</v>
      </c>
      <c r="N4239" t="str">
        <f t="shared" si="199"/>
        <v>NA3TE-36</v>
      </c>
      <c r="O4239">
        <f>COUNTIFS(F$1:F4239,F4239,A$1:A4239,A4239)</f>
        <v>48</v>
      </c>
      <c r="P4239" t="str">
        <f t="shared" si="200"/>
        <v>Garrett Celek3</v>
      </c>
    </row>
    <row r="4240" spans="1:16" x14ac:dyDescent="0.25">
      <c r="A4240">
        <v>12</v>
      </c>
      <c r="B4240" t="s">
        <v>338</v>
      </c>
      <c r="C4240">
        <f>-0.24-4.18</f>
        <v>-4.42</v>
      </c>
      <c r="D4240">
        <v>1.97</v>
      </c>
      <c r="E4240" t="s">
        <v>74</v>
      </c>
      <c r="F4240" t="s">
        <v>87</v>
      </c>
      <c r="G4240">
        <v>4.18</v>
      </c>
      <c r="H4240">
        <v>-0.24</v>
      </c>
      <c r="I4240">
        <v>2.21</v>
      </c>
      <c r="J4240">
        <v>4.8841000000000001</v>
      </c>
      <c r="K4240" t="str">
        <f>IFERROR(INDEX(Rosters!$C$2:$C$155,MATCH($B4240,Rosters!$B$2:$B$155,0)),"NA")</f>
        <v>NA</v>
      </c>
      <c r="L4240" t="str">
        <f t="shared" si="198"/>
        <v>NA12WR</v>
      </c>
      <c r="M4240">
        <f>COUNTIF(L$1:L4240,L4240)</f>
        <v>59</v>
      </c>
      <c r="N4240" t="str">
        <f t="shared" si="199"/>
        <v>NA12WR-59</v>
      </c>
      <c r="O4240">
        <f>COUNTIFS(F$1:F4240,F4240,A$1:A4240,A4240)</f>
        <v>108</v>
      </c>
      <c r="P4240" t="str">
        <f t="shared" si="200"/>
        <v>Jaron Brown12</v>
      </c>
    </row>
    <row r="4241" spans="1:16" x14ac:dyDescent="0.25">
      <c r="A4241">
        <v>11</v>
      </c>
      <c r="B4241" t="s">
        <v>4226</v>
      </c>
      <c r="C4241">
        <f>-0.36-4.3</f>
        <v>-4.66</v>
      </c>
      <c r="D4241">
        <v>1.97</v>
      </c>
      <c r="E4241" t="s">
        <v>60</v>
      </c>
      <c r="F4241" t="s">
        <v>114</v>
      </c>
      <c r="G4241">
        <v>4.3</v>
      </c>
      <c r="H4241">
        <v>-0.36</v>
      </c>
      <c r="I4241">
        <v>2.33</v>
      </c>
      <c r="J4241">
        <v>5.4288999999999996</v>
      </c>
      <c r="K4241" t="str">
        <f>IFERROR(INDEX(Rosters!$C$2:$C$155,MATCH($B4241,Rosters!$B$2:$B$155,0)),"NA")</f>
        <v>NA</v>
      </c>
      <c r="L4241" t="str">
        <f t="shared" si="198"/>
        <v>NA11TE</v>
      </c>
      <c r="M4241">
        <f>COUNTIF(L$1:L4241,L4241)</f>
        <v>30</v>
      </c>
      <c r="N4241" t="str">
        <f t="shared" si="199"/>
        <v>NA11TE-30</v>
      </c>
      <c r="O4241">
        <f>COUNTIFS(F$1:F4241,F4241,A$1:A4241,A4241)</f>
        <v>42</v>
      </c>
      <c r="P4241" t="str">
        <f t="shared" si="200"/>
        <v>Jordan Thomas11</v>
      </c>
    </row>
    <row r="4242" spans="1:16" x14ac:dyDescent="0.25">
      <c r="A4242">
        <v>11</v>
      </c>
      <c r="B4242" t="s">
        <v>1406</v>
      </c>
      <c r="C4242" t="s">
        <v>8510</v>
      </c>
      <c r="D4242">
        <v>1.97</v>
      </c>
      <c r="E4242" t="s">
        <v>31</v>
      </c>
      <c r="F4242" t="s">
        <v>47</v>
      </c>
      <c r="G4242">
        <v>3.53</v>
      </c>
      <c r="H4242">
        <v>0.41</v>
      </c>
      <c r="I4242">
        <v>1.56</v>
      </c>
      <c r="J4242">
        <v>2.4336000000000002</v>
      </c>
      <c r="K4242" t="str">
        <f>IFERROR(INDEX(Rosters!$C$2:$C$155,MATCH($B4242,Rosters!$B$2:$B$155,0)),"NA")</f>
        <v>NA</v>
      </c>
      <c r="L4242" t="str">
        <f t="shared" si="198"/>
        <v>NA11RB</v>
      </c>
      <c r="M4242">
        <f>COUNTIF(L$1:L4242,L4242)</f>
        <v>23</v>
      </c>
      <c r="N4242" t="str">
        <f t="shared" si="199"/>
        <v>NA11RB-23</v>
      </c>
      <c r="O4242">
        <f>COUNTIFS(F$1:F4242,F4242,A$1:A4242,A4242)</f>
        <v>61</v>
      </c>
      <c r="P4242" t="str">
        <f t="shared" si="200"/>
        <v>Kenneth Dixon11</v>
      </c>
    </row>
    <row r="4243" spans="1:16" x14ac:dyDescent="0.25">
      <c r="A4243">
        <v>17</v>
      </c>
      <c r="B4243" t="s">
        <v>362</v>
      </c>
      <c r="C4243">
        <f>-0.11-4.05</f>
        <v>-4.16</v>
      </c>
      <c r="D4243">
        <v>1.97</v>
      </c>
      <c r="E4243" t="s">
        <v>58</v>
      </c>
      <c r="F4243" t="s">
        <v>114</v>
      </c>
      <c r="G4243">
        <v>4.05</v>
      </c>
      <c r="H4243">
        <v>-0.11</v>
      </c>
      <c r="I4243">
        <v>2.08</v>
      </c>
      <c r="J4243">
        <v>4.3263999999999996</v>
      </c>
      <c r="K4243" t="str">
        <f>IFERROR(INDEX(Rosters!$C$2:$C$155,MATCH($B4243,Rosters!$B$2:$B$155,0)),"NA")</f>
        <v>NA</v>
      </c>
      <c r="L4243" t="str">
        <f t="shared" si="198"/>
        <v>NA17TE</v>
      </c>
      <c r="M4243">
        <f>COUNTIF(L$1:L4243,L4243)</f>
        <v>36</v>
      </c>
      <c r="N4243" t="str">
        <f t="shared" si="199"/>
        <v>NA17TE-36</v>
      </c>
      <c r="O4243">
        <f>COUNTIFS(F$1:F4243,F4243,A$1:A4243,A4243)</f>
        <v>50</v>
      </c>
      <c r="P4243" t="str">
        <f t="shared" si="200"/>
        <v>Nick Vannett17</v>
      </c>
    </row>
    <row r="4244" spans="1:16" x14ac:dyDescent="0.25">
      <c r="A4244">
        <v>8</v>
      </c>
      <c r="B4244" t="s">
        <v>274</v>
      </c>
      <c r="C4244">
        <f>-0.42-4.36</f>
        <v>-4.78</v>
      </c>
      <c r="D4244">
        <v>1.97</v>
      </c>
      <c r="E4244" t="s">
        <v>19</v>
      </c>
      <c r="F4244" t="s">
        <v>114</v>
      </c>
      <c r="G4244">
        <v>4.3600000000000003</v>
      </c>
      <c r="H4244">
        <v>-0.42</v>
      </c>
      <c r="I4244">
        <v>2.39</v>
      </c>
      <c r="J4244">
        <v>5.7121000000000004</v>
      </c>
      <c r="K4244" t="str">
        <f>IFERROR(INDEX(Rosters!$C$2:$C$155,MATCH($B4244,Rosters!$B$2:$B$155,0)),"NA")</f>
        <v>NA</v>
      </c>
      <c r="L4244" t="str">
        <f t="shared" si="198"/>
        <v>NA8TE</v>
      </c>
      <c r="M4244">
        <f>COUNTIF(L$1:L4244,L4244)</f>
        <v>34</v>
      </c>
      <c r="N4244" t="str">
        <f t="shared" si="199"/>
        <v>NA8TE-34</v>
      </c>
      <c r="O4244">
        <f>COUNTIFS(F$1:F4244,F4244,A$1:A4244,A4244)</f>
        <v>46</v>
      </c>
      <c r="P4244" t="str">
        <f t="shared" si="200"/>
        <v>Ryan Griffin8</v>
      </c>
    </row>
    <row r="4245" spans="1:16" x14ac:dyDescent="0.25">
      <c r="A4245">
        <v>12</v>
      </c>
      <c r="B4245" t="s">
        <v>275</v>
      </c>
      <c r="C4245" t="s">
        <v>8511</v>
      </c>
      <c r="D4245">
        <v>1.96</v>
      </c>
      <c r="E4245" t="s">
        <v>51</v>
      </c>
      <c r="F4245" t="s">
        <v>47</v>
      </c>
      <c r="G4245">
        <v>3.5</v>
      </c>
      <c r="H4245">
        <v>0.42</v>
      </c>
      <c r="I4245">
        <v>1.54</v>
      </c>
      <c r="J4245">
        <v>2.3715999999999999</v>
      </c>
      <c r="K4245" t="str">
        <f>IFERROR(INDEX(Rosters!$C$2:$C$155,MATCH($B4245,Rosters!$B$2:$B$155,0)),"NA")</f>
        <v>NA</v>
      </c>
      <c r="L4245" t="str">
        <f t="shared" si="198"/>
        <v>NA12RB</v>
      </c>
      <c r="M4245">
        <f>COUNTIF(L$1:L4245,L4245)</f>
        <v>28</v>
      </c>
      <c r="N4245" t="str">
        <f t="shared" si="199"/>
        <v>NA12RB-28</v>
      </c>
      <c r="O4245">
        <f>COUNTIFS(F$1:F4245,F4245,A$1:A4245,A4245)</f>
        <v>73</v>
      </c>
      <c r="P4245" t="str">
        <f t="shared" si="200"/>
        <v>Devontae Booker12</v>
      </c>
    </row>
    <row r="4246" spans="1:16" x14ac:dyDescent="0.25">
      <c r="A4246">
        <v>9</v>
      </c>
      <c r="B4246" t="s">
        <v>284</v>
      </c>
      <c r="C4246" t="s">
        <v>8512</v>
      </c>
      <c r="D4246">
        <v>1.96</v>
      </c>
      <c r="E4246" t="s">
        <v>29</v>
      </c>
      <c r="F4246" t="s">
        <v>114</v>
      </c>
      <c r="G4246">
        <v>3.87</v>
      </c>
      <c r="H4246">
        <v>0.05</v>
      </c>
      <c r="I4246">
        <v>1.91</v>
      </c>
      <c r="J4246">
        <v>3.6480999999999999</v>
      </c>
      <c r="K4246" t="str">
        <f>IFERROR(INDEX(Rosters!$C$2:$C$155,MATCH($B4246,Rosters!$B$2:$B$155,0)),"NA")</f>
        <v>NA</v>
      </c>
      <c r="L4246" t="str">
        <f t="shared" si="198"/>
        <v>NA9TE</v>
      </c>
      <c r="M4246">
        <f>COUNTIF(L$1:L4246,L4246)</f>
        <v>30</v>
      </c>
      <c r="N4246" t="str">
        <f t="shared" si="199"/>
        <v>NA9TE-30</v>
      </c>
      <c r="O4246">
        <f>COUNTIFS(F$1:F4246,F4246,A$1:A4246,A4246)</f>
        <v>41</v>
      </c>
      <c r="P4246" t="str">
        <f t="shared" si="200"/>
        <v>Dion Sims9</v>
      </c>
    </row>
    <row r="4247" spans="1:16" x14ac:dyDescent="0.25">
      <c r="A4247">
        <v>17</v>
      </c>
      <c r="B4247" t="s">
        <v>262</v>
      </c>
      <c r="C4247" t="s">
        <v>8513</v>
      </c>
      <c r="D4247">
        <v>1.96</v>
      </c>
      <c r="E4247" t="s">
        <v>72</v>
      </c>
      <c r="F4247" t="s">
        <v>87</v>
      </c>
      <c r="G4247">
        <v>3.77</v>
      </c>
      <c r="H4247">
        <v>0.15</v>
      </c>
      <c r="I4247">
        <v>1.81</v>
      </c>
      <c r="J4247">
        <v>3.2761</v>
      </c>
      <c r="K4247" t="str">
        <f>IFERROR(INDEX(Rosters!$C$2:$C$155,MATCH($B4247,Rosters!$B$2:$B$155,0)),"NA")</f>
        <v>NA</v>
      </c>
      <c r="L4247" t="str">
        <f t="shared" si="198"/>
        <v>NA17WR</v>
      </c>
      <c r="M4247">
        <f>COUNTIF(L$1:L4247,L4247)</f>
        <v>60</v>
      </c>
      <c r="N4247" t="str">
        <f t="shared" si="199"/>
        <v>NA17WR-60</v>
      </c>
      <c r="O4247">
        <f>COUNTIFS(F$1:F4247,F4247,A$1:A4247,A4247)</f>
        <v>114</v>
      </c>
      <c r="P4247" t="str">
        <f t="shared" si="200"/>
        <v>Laquon Treadwell17</v>
      </c>
    </row>
    <row r="4248" spans="1:16" x14ac:dyDescent="0.25">
      <c r="A4248">
        <v>12</v>
      </c>
      <c r="B4248" t="s">
        <v>270</v>
      </c>
      <c r="C4248" t="s">
        <v>8514</v>
      </c>
      <c r="D4248">
        <v>1.96</v>
      </c>
      <c r="E4248" t="s">
        <v>32</v>
      </c>
      <c r="F4248" t="s">
        <v>114</v>
      </c>
      <c r="G4248">
        <v>3.89</v>
      </c>
      <c r="H4248">
        <v>0.03</v>
      </c>
      <c r="I4248">
        <v>1.93</v>
      </c>
      <c r="J4248">
        <v>3.7248999999999999</v>
      </c>
      <c r="K4248" t="str">
        <f>IFERROR(INDEX(Rosters!$C$2:$C$155,MATCH($B4248,Rosters!$B$2:$B$155,0)),"NA")</f>
        <v>NA</v>
      </c>
      <c r="L4248" t="str">
        <f t="shared" si="198"/>
        <v>NA12TE</v>
      </c>
      <c r="M4248">
        <f>COUNTIF(L$1:L4248,L4248)</f>
        <v>36</v>
      </c>
      <c r="N4248" t="str">
        <f t="shared" si="199"/>
        <v>NA12TE-36</v>
      </c>
      <c r="O4248">
        <f>COUNTIFS(F$1:F4248,F4248,A$1:A4248,A4248)</f>
        <v>49</v>
      </c>
      <c r="P4248" t="str">
        <f t="shared" si="200"/>
        <v>Maxx Williams12</v>
      </c>
    </row>
    <row r="4249" spans="1:16" x14ac:dyDescent="0.25">
      <c r="A4249">
        <v>12</v>
      </c>
      <c r="B4249" t="s">
        <v>4208</v>
      </c>
      <c r="C4249" t="s">
        <v>615</v>
      </c>
      <c r="D4249">
        <v>1.95</v>
      </c>
      <c r="E4249" t="s">
        <v>60</v>
      </c>
      <c r="F4249" t="s">
        <v>114</v>
      </c>
      <c r="G4249">
        <v>3.66</v>
      </c>
      <c r="H4249">
        <v>0.24</v>
      </c>
      <c r="I4249">
        <v>1.71</v>
      </c>
      <c r="J4249">
        <v>2.9241000000000001</v>
      </c>
      <c r="K4249" t="str">
        <f>IFERROR(INDEX(Rosters!$C$2:$C$155,MATCH($B4249,Rosters!$B$2:$B$155,0)),"NA")</f>
        <v>NA</v>
      </c>
      <c r="L4249" t="str">
        <f t="shared" si="198"/>
        <v>NA12TE</v>
      </c>
      <c r="M4249">
        <f>COUNTIF(L$1:L4249,L4249)</f>
        <v>37</v>
      </c>
      <c r="N4249" t="str">
        <f t="shared" si="199"/>
        <v>NA12TE-37</v>
      </c>
      <c r="O4249">
        <f>COUNTIFS(F$1:F4249,F4249,A$1:A4249,A4249)</f>
        <v>50</v>
      </c>
      <c r="P4249" t="str">
        <f t="shared" si="200"/>
        <v>Blake Jarwin12</v>
      </c>
    </row>
    <row r="4250" spans="1:16" x14ac:dyDescent="0.25">
      <c r="A4250">
        <v>1</v>
      </c>
      <c r="B4250" t="s">
        <v>283</v>
      </c>
      <c r="C4250">
        <f>-1.28-5.18</f>
        <v>-6.46</v>
      </c>
      <c r="D4250">
        <v>1.95</v>
      </c>
      <c r="E4250" t="s">
        <v>36</v>
      </c>
      <c r="F4250" t="s">
        <v>87</v>
      </c>
      <c r="G4250">
        <v>5.18</v>
      </c>
      <c r="H4250">
        <v>-1.28</v>
      </c>
      <c r="I4250">
        <v>3.23</v>
      </c>
      <c r="J4250">
        <v>10.4329</v>
      </c>
      <c r="K4250" t="str">
        <f>IFERROR(INDEX(Rosters!$C$2:$C$155,MATCH($B4250,Rosters!$B$2:$B$155,0)),"NA")</f>
        <v>NA</v>
      </c>
      <c r="L4250" t="str">
        <f t="shared" si="198"/>
        <v>NA1WR</v>
      </c>
      <c r="M4250">
        <f>COUNTIF(L$1:L4250,L4250)</f>
        <v>47</v>
      </c>
      <c r="N4250" t="str">
        <f t="shared" si="199"/>
        <v>NA1WR-47</v>
      </c>
      <c r="O4250">
        <f>COUNTIFS(F$1:F4250,F4250,A$1:A4250,A4250)</f>
        <v>96</v>
      </c>
      <c r="P4250" t="str">
        <f t="shared" si="200"/>
        <v>Cordarrelle Patterson1</v>
      </c>
    </row>
    <row r="4251" spans="1:16" x14ac:dyDescent="0.25">
      <c r="A4251">
        <v>4</v>
      </c>
      <c r="B4251" t="s">
        <v>310</v>
      </c>
      <c r="C4251">
        <f>-0.01-3.91</f>
        <v>-3.92</v>
      </c>
      <c r="D4251">
        <v>1.95</v>
      </c>
      <c r="E4251" t="s">
        <v>42</v>
      </c>
      <c r="F4251" t="s">
        <v>114</v>
      </c>
      <c r="G4251">
        <v>3.91</v>
      </c>
      <c r="H4251">
        <v>-0.01</v>
      </c>
      <c r="I4251">
        <v>1.96</v>
      </c>
      <c r="J4251">
        <v>3.8416000000000001</v>
      </c>
      <c r="K4251" t="str">
        <f>IFERROR(INDEX(Rosters!$C$2:$C$155,MATCH($B4251,Rosters!$B$2:$B$155,0)),"NA")</f>
        <v>NA</v>
      </c>
      <c r="L4251" t="str">
        <f t="shared" si="198"/>
        <v>NA4TE</v>
      </c>
      <c r="M4251">
        <f>COUNTIF(L$1:L4251,L4251)</f>
        <v>32</v>
      </c>
      <c r="N4251" t="str">
        <f t="shared" si="199"/>
        <v>NA4TE-32</v>
      </c>
      <c r="O4251">
        <f>COUNTIFS(F$1:F4251,F4251,A$1:A4251,A4251)</f>
        <v>43</v>
      </c>
      <c r="P4251" t="str">
        <f t="shared" si="200"/>
        <v>Demetrius Harris4</v>
      </c>
    </row>
    <row r="4252" spans="1:16" x14ac:dyDescent="0.25">
      <c r="A4252">
        <v>17</v>
      </c>
      <c r="B4252" t="s">
        <v>277</v>
      </c>
      <c r="C4252" t="s">
        <v>8515</v>
      </c>
      <c r="D4252">
        <v>1.95</v>
      </c>
      <c r="E4252" t="s">
        <v>56</v>
      </c>
      <c r="F4252" t="s">
        <v>114</v>
      </c>
      <c r="G4252">
        <v>3.52</v>
      </c>
      <c r="H4252">
        <v>0.38</v>
      </c>
      <c r="I4252">
        <v>1.57</v>
      </c>
      <c r="J4252">
        <v>2.4649000000000001</v>
      </c>
      <c r="K4252" t="str">
        <f>IFERROR(INDEX(Rosters!$C$2:$C$155,MATCH($B4252,Rosters!$B$2:$B$155,0)),"NA")</f>
        <v>NA</v>
      </c>
      <c r="L4252" t="str">
        <f t="shared" si="198"/>
        <v>NA17TE</v>
      </c>
      <c r="M4252">
        <f>COUNTIF(L$1:L4252,L4252)</f>
        <v>37</v>
      </c>
      <c r="N4252" t="str">
        <f t="shared" si="199"/>
        <v>NA17TE-37</v>
      </c>
      <c r="O4252">
        <f>COUNTIFS(F$1:F4252,F4252,A$1:A4252,A4252)</f>
        <v>51</v>
      </c>
      <c r="P4252" t="str">
        <f t="shared" si="200"/>
        <v>Garrett Celek17</v>
      </c>
    </row>
    <row r="4253" spans="1:16" x14ac:dyDescent="0.25">
      <c r="A4253">
        <v>1</v>
      </c>
      <c r="B4253" t="s">
        <v>232</v>
      </c>
      <c r="C4253" t="s">
        <v>615</v>
      </c>
      <c r="D4253">
        <v>1.95</v>
      </c>
      <c r="E4253" t="s">
        <v>56</v>
      </c>
      <c r="F4253" t="s">
        <v>47</v>
      </c>
      <c r="G4253">
        <v>3.66</v>
      </c>
      <c r="H4253">
        <v>0.24</v>
      </c>
      <c r="I4253">
        <v>1.71</v>
      </c>
      <c r="J4253">
        <v>2.9241000000000001</v>
      </c>
      <c r="K4253" t="str">
        <f>IFERROR(INDEX(Rosters!$C$2:$C$155,MATCH($B4253,Rosters!$B$2:$B$155,0)),"NA")</f>
        <v>NA</v>
      </c>
      <c r="L4253" t="str">
        <f t="shared" si="198"/>
        <v>NA1RB</v>
      </c>
      <c r="M4253">
        <f>COUNTIF(L$1:L4253,L4253)</f>
        <v>24</v>
      </c>
      <c r="N4253" t="str">
        <f t="shared" si="199"/>
        <v>NA1RB-24</v>
      </c>
      <c r="O4253">
        <f>COUNTIFS(F$1:F4253,F4253,A$1:A4253,A4253)</f>
        <v>66</v>
      </c>
      <c r="P4253" t="str">
        <f t="shared" si="200"/>
        <v>Jalen Richard1</v>
      </c>
    </row>
    <row r="4254" spans="1:16" x14ac:dyDescent="0.25">
      <c r="A4254">
        <v>13</v>
      </c>
      <c r="B4254" t="s">
        <v>386</v>
      </c>
      <c r="C4254" t="s">
        <v>8516</v>
      </c>
      <c r="D4254">
        <v>1.95</v>
      </c>
      <c r="E4254" t="s">
        <v>46</v>
      </c>
      <c r="F4254" t="s">
        <v>114</v>
      </c>
      <c r="G4254">
        <v>3.8</v>
      </c>
      <c r="H4254">
        <v>0.1</v>
      </c>
      <c r="I4254">
        <v>1.85</v>
      </c>
      <c r="J4254">
        <v>3.4224999999999999</v>
      </c>
      <c r="K4254" t="str">
        <f>IFERROR(INDEX(Rosters!$C$2:$C$155,MATCH($B4254,Rosters!$B$2:$B$155,0)),"NA")</f>
        <v>NA</v>
      </c>
      <c r="L4254" t="str">
        <f t="shared" si="198"/>
        <v>NA13TE</v>
      </c>
      <c r="M4254">
        <f>COUNTIF(L$1:L4254,L4254)</f>
        <v>40</v>
      </c>
      <c r="N4254" t="str">
        <f t="shared" si="199"/>
        <v>NA13TE-40</v>
      </c>
      <c r="O4254">
        <f>COUNTIFS(F$1:F4254,F4254,A$1:A4254,A4254)</f>
        <v>54</v>
      </c>
      <c r="P4254" t="str">
        <f t="shared" si="200"/>
        <v>Nick Boyle13</v>
      </c>
    </row>
    <row r="4255" spans="1:16" x14ac:dyDescent="0.25">
      <c r="A4255">
        <v>17</v>
      </c>
      <c r="B4255" t="s">
        <v>4232</v>
      </c>
      <c r="C4255" t="s">
        <v>4643</v>
      </c>
      <c r="D4255">
        <v>1.95</v>
      </c>
      <c r="E4255" t="s">
        <v>46</v>
      </c>
      <c r="F4255" t="s">
        <v>47</v>
      </c>
      <c r="G4255">
        <v>3.69</v>
      </c>
      <c r="H4255">
        <v>0.21</v>
      </c>
      <c r="I4255">
        <v>1.74</v>
      </c>
      <c r="J4255">
        <v>3.0276000000000001</v>
      </c>
      <c r="K4255" t="str">
        <f>IFERROR(INDEX(Rosters!$C$2:$C$155,MATCH($B4255,Rosters!$B$2:$B$155,0)),"NA")</f>
        <v>NA</v>
      </c>
      <c r="L4255" t="str">
        <f t="shared" si="198"/>
        <v>NA17RB</v>
      </c>
      <c r="M4255">
        <f>COUNTIF(L$1:L4255,L4255)</f>
        <v>30</v>
      </c>
      <c r="N4255" t="str">
        <f t="shared" si="199"/>
        <v>NA17RB-30</v>
      </c>
      <c r="O4255">
        <f>COUNTIFS(F$1:F4255,F4255,A$1:A4255,A4255)</f>
        <v>77</v>
      </c>
      <c r="P4255" t="str">
        <f t="shared" si="200"/>
        <v>Shaun Wilson17</v>
      </c>
    </row>
    <row r="4256" spans="1:16" x14ac:dyDescent="0.25">
      <c r="A4256">
        <v>6</v>
      </c>
      <c r="B4256" t="s">
        <v>268</v>
      </c>
      <c r="C4256" t="s">
        <v>8517</v>
      </c>
      <c r="D4256">
        <v>1.95</v>
      </c>
      <c r="E4256" t="s">
        <v>50</v>
      </c>
      <c r="F4256" t="s">
        <v>47</v>
      </c>
      <c r="G4256">
        <v>3.68</v>
      </c>
      <c r="H4256">
        <v>0.22</v>
      </c>
      <c r="I4256">
        <v>1.73</v>
      </c>
      <c r="J4256">
        <v>2.9929000000000001</v>
      </c>
      <c r="K4256" t="str">
        <f>IFERROR(INDEX(Rosters!$C$2:$C$155,MATCH($B4256,Rosters!$B$2:$B$155,0)),"NA")</f>
        <v>NA</v>
      </c>
      <c r="L4256" t="str">
        <f t="shared" si="198"/>
        <v>NA6RB</v>
      </c>
      <c r="M4256">
        <f>COUNTIF(L$1:L4256,L4256)</f>
        <v>27</v>
      </c>
      <c r="N4256" t="str">
        <f t="shared" si="199"/>
        <v>NA6RB-27</v>
      </c>
      <c r="O4256">
        <f>COUNTIFS(F$1:F4256,F4256,A$1:A4256,A4256)</f>
        <v>69</v>
      </c>
      <c r="P4256" t="str">
        <f t="shared" si="200"/>
        <v>Wayne Gallman6</v>
      </c>
    </row>
    <row r="4257" spans="1:16" x14ac:dyDescent="0.25">
      <c r="A4257">
        <v>16</v>
      </c>
      <c r="B4257" t="s">
        <v>250</v>
      </c>
      <c r="C4257" t="s">
        <v>8518</v>
      </c>
      <c r="D4257">
        <v>1.95</v>
      </c>
      <c r="E4257" t="s">
        <v>36</v>
      </c>
      <c r="F4257" t="s">
        <v>47</v>
      </c>
      <c r="G4257">
        <v>3.64</v>
      </c>
      <c r="H4257">
        <v>0.26</v>
      </c>
      <c r="I4257">
        <v>1.69</v>
      </c>
      <c r="J4257">
        <v>2.8561000000000001</v>
      </c>
      <c r="K4257" t="str">
        <f>IFERROR(INDEX(Rosters!$C$2:$C$155,MATCH($B4257,Rosters!$B$2:$B$155,0)),"NA")</f>
        <v>NA</v>
      </c>
      <c r="L4257" t="str">
        <f t="shared" si="198"/>
        <v>NA16RB</v>
      </c>
      <c r="M4257">
        <f>COUNTIF(L$1:L4257,L4257)</f>
        <v>31</v>
      </c>
      <c r="N4257" t="str">
        <f t="shared" si="199"/>
        <v>NA16RB-31</v>
      </c>
      <c r="O4257">
        <f>COUNTIFS(F$1:F4257,F4257,A$1:A4257,A4257)</f>
        <v>78</v>
      </c>
      <c r="P4257" t="str">
        <f t="shared" si="200"/>
        <v>Wendell Smallwood16</v>
      </c>
    </row>
    <row r="4258" spans="1:16" x14ac:dyDescent="0.25">
      <c r="A4258">
        <v>11</v>
      </c>
      <c r="B4258" t="s">
        <v>2715</v>
      </c>
      <c r="C4258">
        <f>-0.82-4.7</f>
        <v>-5.5200000000000005</v>
      </c>
      <c r="D4258">
        <v>1.94</v>
      </c>
      <c r="E4258" t="s">
        <v>72</v>
      </c>
      <c r="F4258" t="s">
        <v>87</v>
      </c>
      <c r="G4258">
        <v>4.7</v>
      </c>
      <c r="H4258">
        <v>-0.82</v>
      </c>
      <c r="I4258">
        <v>2.76</v>
      </c>
      <c r="J4258">
        <v>7.6176000000000004</v>
      </c>
      <c r="K4258" t="str">
        <f>IFERROR(INDEX(Rosters!$C$2:$C$155,MATCH($B4258,Rosters!$B$2:$B$155,0)),"NA")</f>
        <v>NA</v>
      </c>
      <c r="L4258" t="str">
        <f t="shared" si="198"/>
        <v>NA11WR</v>
      </c>
      <c r="M4258">
        <f>COUNTIF(L$1:L4258,L4258)</f>
        <v>44</v>
      </c>
      <c r="N4258" t="str">
        <f t="shared" si="199"/>
        <v>NA11WR-44</v>
      </c>
      <c r="O4258">
        <f>COUNTIFS(F$1:F4258,F4258,A$1:A4258,A4258)</f>
        <v>91</v>
      </c>
      <c r="P4258" t="str">
        <f t="shared" si="200"/>
        <v>Aldrick Robinson11</v>
      </c>
    </row>
    <row r="4259" spans="1:16" x14ac:dyDescent="0.25">
      <c r="A4259">
        <v>3</v>
      </c>
      <c r="B4259" t="s">
        <v>1489</v>
      </c>
      <c r="C4259">
        <f>-0.04-3.92</f>
        <v>-3.96</v>
      </c>
      <c r="D4259">
        <v>1.94</v>
      </c>
      <c r="E4259" t="s">
        <v>72</v>
      </c>
      <c r="F4259" t="s">
        <v>87</v>
      </c>
      <c r="G4259">
        <v>3.92</v>
      </c>
      <c r="H4259">
        <v>-0.04</v>
      </c>
      <c r="I4259">
        <v>1.98</v>
      </c>
      <c r="J4259">
        <v>3.9203999999999999</v>
      </c>
      <c r="K4259" t="str">
        <f>IFERROR(INDEX(Rosters!$C$2:$C$155,MATCH($B4259,Rosters!$B$2:$B$155,0)),"NA")</f>
        <v>NA</v>
      </c>
      <c r="L4259" t="str">
        <f t="shared" si="198"/>
        <v>NA3WR</v>
      </c>
      <c r="M4259">
        <f>COUNTIF(L$1:L4259,L4259)</f>
        <v>55</v>
      </c>
      <c r="N4259" t="str">
        <f t="shared" si="199"/>
        <v>NA3WR-55</v>
      </c>
      <c r="O4259">
        <f>COUNTIFS(F$1:F4259,F4259,A$1:A4259,A4259)</f>
        <v>103</v>
      </c>
      <c r="P4259" t="str">
        <f t="shared" si="200"/>
        <v>Chad Williams3</v>
      </c>
    </row>
    <row r="4260" spans="1:16" x14ac:dyDescent="0.25">
      <c r="A4260">
        <v>5</v>
      </c>
      <c r="B4260" t="s">
        <v>1122</v>
      </c>
      <c r="C4260">
        <f>-1.04-4.92</f>
        <v>-5.96</v>
      </c>
      <c r="D4260">
        <v>1.94</v>
      </c>
      <c r="E4260" t="s">
        <v>25</v>
      </c>
      <c r="F4260" t="s">
        <v>47</v>
      </c>
      <c r="G4260">
        <v>4.92</v>
      </c>
      <c r="H4260">
        <v>-1.04</v>
      </c>
      <c r="I4260">
        <v>2.98</v>
      </c>
      <c r="J4260">
        <v>8.8803999999999998</v>
      </c>
      <c r="K4260" t="str">
        <f>IFERROR(INDEX(Rosters!$C$2:$C$155,MATCH($B4260,Rosters!$B$2:$B$155,0)),"NA")</f>
        <v>NA</v>
      </c>
      <c r="L4260" t="str">
        <f t="shared" si="198"/>
        <v>NA5RB</v>
      </c>
      <c r="M4260">
        <f>COUNTIF(L$1:L4260,L4260)</f>
        <v>25</v>
      </c>
      <c r="N4260" t="str">
        <f t="shared" si="199"/>
        <v>NA5RB-25</v>
      </c>
      <c r="O4260">
        <f>COUNTIFS(F$1:F4260,F4260,A$1:A4260,A4260)</f>
        <v>68</v>
      </c>
      <c r="P4260" t="str">
        <f t="shared" si="200"/>
        <v>Darren Sproles5</v>
      </c>
    </row>
    <row r="4261" spans="1:16" x14ac:dyDescent="0.25">
      <c r="A4261">
        <v>9</v>
      </c>
      <c r="B4261" t="s">
        <v>320</v>
      </c>
      <c r="C4261" t="s">
        <v>8519</v>
      </c>
      <c r="D4261">
        <v>1.94</v>
      </c>
      <c r="E4261" t="s">
        <v>19</v>
      </c>
      <c r="F4261" t="s">
        <v>47</v>
      </c>
      <c r="G4261">
        <v>3.5</v>
      </c>
      <c r="H4261">
        <v>0.38</v>
      </c>
      <c r="I4261">
        <v>1.56</v>
      </c>
      <c r="J4261">
        <v>2.4336000000000002</v>
      </c>
      <c r="K4261" t="str">
        <f>IFERROR(INDEX(Rosters!$C$2:$C$155,MATCH($B4261,Rosters!$B$2:$B$155,0)),"NA")</f>
        <v>NA</v>
      </c>
      <c r="L4261" t="str">
        <f t="shared" si="198"/>
        <v>NA9RB</v>
      </c>
      <c r="M4261">
        <f>COUNTIF(L$1:L4261,L4261)</f>
        <v>22</v>
      </c>
      <c r="N4261" t="str">
        <f t="shared" si="199"/>
        <v>NA9RB-22</v>
      </c>
      <c r="O4261">
        <f>COUNTIFS(F$1:F4261,F4261,A$1:A4261,A4261)</f>
        <v>62</v>
      </c>
      <c r="P4261" t="str">
        <f t="shared" si="200"/>
        <v>Elijah McGuire9</v>
      </c>
    </row>
    <row r="4262" spans="1:16" x14ac:dyDescent="0.25">
      <c r="A4262">
        <v>15</v>
      </c>
      <c r="B4262" t="s">
        <v>4226</v>
      </c>
      <c r="C4262" t="s">
        <v>8520</v>
      </c>
      <c r="D4262">
        <v>1.94</v>
      </c>
      <c r="E4262" t="s">
        <v>73</v>
      </c>
      <c r="F4262" t="s">
        <v>114</v>
      </c>
      <c r="G4262">
        <v>3.54</v>
      </c>
      <c r="H4262">
        <v>0.34</v>
      </c>
      <c r="I4262">
        <v>1.6</v>
      </c>
      <c r="J4262">
        <v>2.56</v>
      </c>
      <c r="K4262" t="str">
        <f>IFERROR(INDEX(Rosters!$C$2:$C$155,MATCH($B4262,Rosters!$B$2:$B$155,0)),"NA")</f>
        <v>NA</v>
      </c>
      <c r="L4262" t="str">
        <f t="shared" si="198"/>
        <v>NA15TE</v>
      </c>
      <c r="M4262">
        <f>COUNTIF(L$1:L4262,L4262)</f>
        <v>37</v>
      </c>
      <c r="N4262" t="str">
        <f t="shared" si="199"/>
        <v>NA15TE-37</v>
      </c>
      <c r="O4262">
        <f>COUNTIFS(F$1:F4262,F4262,A$1:A4262,A4262)</f>
        <v>51</v>
      </c>
      <c r="P4262" t="str">
        <f t="shared" si="200"/>
        <v>Jordan Thomas15</v>
      </c>
    </row>
    <row r="4263" spans="1:16" x14ac:dyDescent="0.25">
      <c r="A4263">
        <v>4</v>
      </c>
      <c r="B4263" t="s">
        <v>262</v>
      </c>
      <c r="C4263">
        <f>-0.16-4.04</f>
        <v>-4.2</v>
      </c>
      <c r="D4263">
        <v>1.94</v>
      </c>
      <c r="E4263" t="s">
        <v>56</v>
      </c>
      <c r="F4263" t="s">
        <v>87</v>
      </c>
      <c r="G4263">
        <v>4.04</v>
      </c>
      <c r="H4263">
        <v>-0.16</v>
      </c>
      <c r="I4263">
        <v>2.1</v>
      </c>
      <c r="J4263">
        <v>4.41</v>
      </c>
      <c r="K4263" t="str">
        <f>IFERROR(INDEX(Rosters!$C$2:$C$155,MATCH($B4263,Rosters!$B$2:$B$155,0)),"NA")</f>
        <v>NA</v>
      </c>
      <c r="L4263" t="str">
        <f t="shared" si="198"/>
        <v>NA4WR</v>
      </c>
      <c r="M4263">
        <f>COUNTIF(L$1:L4263,L4263)</f>
        <v>48</v>
      </c>
      <c r="N4263" t="str">
        <f t="shared" si="199"/>
        <v>NA4WR-48</v>
      </c>
      <c r="O4263">
        <f>COUNTIFS(F$1:F4263,F4263,A$1:A4263,A4263)</f>
        <v>98</v>
      </c>
      <c r="P4263" t="str">
        <f t="shared" si="200"/>
        <v>Laquon Treadwell4</v>
      </c>
    </row>
    <row r="4264" spans="1:16" x14ac:dyDescent="0.25">
      <c r="A4264">
        <v>3</v>
      </c>
      <c r="B4264" t="s">
        <v>1511</v>
      </c>
      <c r="C4264">
        <f>-0.08-3.96</f>
        <v>-4.04</v>
      </c>
      <c r="D4264">
        <v>1.94</v>
      </c>
      <c r="E4264" t="s">
        <v>76</v>
      </c>
      <c r="F4264" t="s">
        <v>87</v>
      </c>
      <c r="G4264">
        <v>3.96</v>
      </c>
      <c r="H4264">
        <v>-0.08</v>
      </c>
      <c r="I4264">
        <v>2.02</v>
      </c>
      <c r="J4264">
        <v>4.0804</v>
      </c>
      <c r="K4264" t="str">
        <f>IFERROR(INDEX(Rosters!$C$2:$C$155,MATCH($B4264,Rosters!$B$2:$B$155,0)),"NA")</f>
        <v>NA</v>
      </c>
      <c r="L4264" t="str">
        <f t="shared" si="198"/>
        <v>NA3WR</v>
      </c>
      <c r="M4264">
        <f>COUNTIF(L$1:L4264,L4264)</f>
        <v>56</v>
      </c>
      <c r="N4264" t="str">
        <f t="shared" si="199"/>
        <v>NA3WR-56</v>
      </c>
      <c r="O4264">
        <f>COUNTIFS(F$1:F4264,F4264,A$1:A4264,A4264)</f>
        <v>104</v>
      </c>
      <c r="P4264" t="str">
        <f t="shared" si="200"/>
        <v>Tajae Sharpe3</v>
      </c>
    </row>
    <row r="4265" spans="1:16" x14ac:dyDescent="0.25">
      <c r="A4265">
        <v>3</v>
      </c>
      <c r="B4265" t="s">
        <v>214</v>
      </c>
      <c r="C4265">
        <f>-0.12-4</f>
        <v>-4.12</v>
      </c>
      <c r="D4265">
        <v>1.94</v>
      </c>
      <c r="E4265" t="s">
        <v>17</v>
      </c>
      <c r="F4265" t="s">
        <v>114</v>
      </c>
      <c r="G4265">
        <v>4</v>
      </c>
      <c r="H4265">
        <v>-0.12</v>
      </c>
      <c r="I4265">
        <v>2.06</v>
      </c>
      <c r="J4265">
        <v>4.2435999999999998</v>
      </c>
      <c r="K4265" t="str">
        <f>IFERROR(INDEX(Rosters!$C$2:$C$155,MATCH($B4265,Rosters!$B$2:$B$155,0)),"NA")</f>
        <v>scott</v>
      </c>
      <c r="L4265" t="str">
        <f t="shared" si="198"/>
        <v>scott3TE</v>
      </c>
      <c r="M4265">
        <f>COUNTIF(L$1:L4265,L4265)</f>
        <v>2</v>
      </c>
      <c r="N4265" t="str">
        <f t="shared" si="199"/>
        <v>scott3TE-2</v>
      </c>
      <c r="O4265">
        <f>COUNTIFS(F$1:F4265,F4265,A$1:A4265,A4265)</f>
        <v>49</v>
      </c>
      <c r="P4265" t="str">
        <f t="shared" si="200"/>
        <v>Vance McDonald3</v>
      </c>
    </row>
    <row r="4266" spans="1:16" x14ac:dyDescent="0.25">
      <c r="A4266">
        <v>14</v>
      </c>
      <c r="B4266" t="s">
        <v>267</v>
      </c>
      <c r="C4266">
        <f>-0.11-3.99</f>
        <v>-4.1000000000000005</v>
      </c>
      <c r="D4266">
        <v>1.94</v>
      </c>
      <c r="E4266" t="s">
        <v>31</v>
      </c>
      <c r="F4266" t="s">
        <v>114</v>
      </c>
      <c r="G4266">
        <v>3.99</v>
      </c>
      <c r="H4266">
        <v>-0.11</v>
      </c>
      <c r="I4266">
        <v>2.0499999999999998</v>
      </c>
      <c r="J4266">
        <v>4.2024999999999997</v>
      </c>
      <c r="K4266" t="str">
        <f>IFERROR(INDEX(Rosters!$C$2:$C$155,MATCH($B4266,Rosters!$B$2:$B$155,0)),"NA")</f>
        <v>NA</v>
      </c>
      <c r="L4266" t="str">
        <f t="shared" si="198"/>
        <v>NA14TE</v>
      </c>
      <c r="M4266">
        <f>COUNTIF(L$1:L4266,L4266)</f>
        <v>41</v>
      </c>
      <c r="N4266" t="str">
        <f t="shared" si="199"/>
        <v>NA14TE-41</v>
      </c>
      <c r="O4266">
        <f>COUNTIFS(F$1:F4266,F4266,A$1:A4266,A4266)</f>
        <v>55</v>
      </c>
      <c r="P4266" t="str">
        <f t="shared" si="200"/>
        <v>Virgil Green14</v>
      </c>
    </row>
    <row r="4267" spans="1:16" x14ac:dyDescent="0.25">
      <c r="A4267">
        <v>17</v>
      </c>
      <c r="B4267" t="s">
        <v>4204</v>
      </c>
      <c r="C4267">
        <f>-0.07-3.93</f>
        <v>-4</v>
      </c>
      <c r="D4267">
        <v>1.93</v>
      </c>
      <c r="E4267" t="s">
        <v>56</v>
      </c>
      <c r="F4267" t="s">
        <v>87</v>
      </c>
      <c r="G4267">
        <v>3.93</v>
      </c>
      <c r="H4267">
        <v>-7.0000000000000007E-2</v>
      </c>
      <c r="I4267">
        <v>2</v>
      </c>
      <c r="J4267">
        <v>4</v>
      </c>
      <c r="K4267" t="str">
        <f>IFERROR(INDEX(Rosters!$C$2:$C$155,MATCH($B4267,Rosters!$B$2:$B$155,0)),"NA")</f>
        <v>NA</v>
      </c>
      <c r="L4267" t="str">
        <f t="shared" si="198"/>
        <v>NA17WR</v>
      </c>
      <c r="M4267">
        <f>COUNTIF(L$1:L4267,L4267)</f>
        <v>61</v>
      </c>
      <c r="N4267" t="str">
        <f t="shared" si="199"/>
        <v>NA17WR-61</v>
      </c>
      <c r="O4267">
        <f>COUNTIFS(F$1:F4267,F4267,A$1:A4267,A4267)</f>
        <v>115</v>
      </c>
      <c r="P4267" t="str">
        <f t="shared" si="200"/>
        <v>Dante Pettis17</v>
      </c>
    </row>
    <row r="4268" spans="1:16" x14ac:dyDescent="0.25">
      <c r="A4268">
        <v>5</v>
      </c>
      <c r="B4268" t="s">
        <v>358</v>
      </c>
      <c r="C4268" t="s">
        <v>8521</v>
      </c>
      <c r="D4268">
        <v>1.93</v>
      </c>
      <c r="E4268" t="s">
        <v>24</v>
      </c>
      <c r="F4268" t="s">
        <v>114</v>
      </c>
      <c r="G4268">
        <v>3.72</v>
      </c>
      <c r="H4268">
        <v>0.14000000000000001</v>
      </c>
      <c r="I4268">
        <v>1.79</v>
      </c>
      <c r="J4268">
        <v>3.2040999999999999</v>
      </c>
      <c r="K4268" t="str">
        <f>IFERROR(INDEX(Rosters!$C$2:$C$155,MATCH($B4268,Rosters!$B$2:$B$155,0)),"NA")</f>
        <v>NA</v>
      </c>
      <c r="L4268" t="str">
        <f t="shared" si="198"/>
        <v>NA5TE</v>
      </c>
      <c r="M4268">
        <f>COUNTIF(L$1:L4268,L4268)</f>
        <v>37</v>
      </c>
      <c r="N4268" t="str">
        <f t="shared" si="199"/>
        <v>NA5TE-37</v>
      </c>
      <c r="O4268">
        <f>COUNTIFS(F$1:F4268,F4268,A$1:A4268,A4268)</f>
        <v>48</v>
      </c>
      <c r="P4268" t="str">
        <f t="shared" si="200"/>
        <v>James O'Shaughnessy5</v>
      </c>
    </row>
    <row r="4269" spans="1:16" x14ac:dyDescent="0.25">
      <c r="A4269">
        <v>7</v>
      </c>
      <c r="B4269" t="s">
        <v>1106</v>
      </c>
      <c r="C4269">
        <f>-0.19-4.05</f>
        <v>-4.24</v>
      </c>
      <c r="D4269">
        <v>1.93</v>
      </c>
      <c r="E4269" t="s">
        <v>25</v>
      </c>
      <c r="F4269" t="s">
        <v>114</v>
      </c>
      <c r="G4269">
        <v>4.05</v>
      </c>
      <c r="H4269">
        <v>-0.19</v>
      </c>
      <c r="I4269">
        <v>2.12</v>
      </c>
      <c r="J4269">
        <v>4.4943999999999997</v>
      </c>
      <c r="K4269" t="str">
        <f>IFERROR(INDEX(Rosters!$C$2:$C$155,MATCH($B4269,Rosters!$B$2:$B$155,0)),"NA")</f>
        <v>NA</v>
      </c>
      <c r="L4269" t="str">
        <f t="shared" si="198"/>
        <v>NA7TE</v>
      </c>
      <c r="M4269">
        <f>COUNTIF(L$1:L4269,L4269)</f>
        <v>31</v>
      </c>
      <c r="N4269" t="str">
        <f t="shared" si="199"/>
        <v>NA7TE-31</v>
      </c>
      <c r="O4269">
        <f>COUNTIFS(F$1:F4269,F4269,A$1:A4269,A4269)</f>
        <v>41</v>
      </c>
      <c r="P4269" t="str">
        <f t="shared" si="200"/>
        <v>Jordan Leggett7</v>
      </c>
    </row>
    <row r="4270" spans="1:16" x14ac:dyDescent="0.25">
      <c r="A4270">
        <v>16</v>
      </c>
      <c r="B4270" t="s">
        <v>4226</v>
      </c>
      <c r="C4270" t="s">
        <v>8522</v>
      </c>
      <c r="D4270">
        <v>1.93</v>
      </c>
      <c r="E4270" t="s">
        <v>50</v>
      </c>
      <c r="F4270" t="s">
        <v>114</v>
      </c>
      <c r="G4270">
        <v>3.71</v>
      </c>
      <c r="H4270">
        <v>0.15</v>
      </c>
      <c r="I4270">
        <v>1.78</v>
      </c>
      <c r="J4270">
        <v>3.1684000000000001</v>
      </c>
      <c r="K4270" t="str">
        <f>IFERROR(INDEX(Rosters!$C$2:$C$155,MATCH($B4270,Rosters!$B$2:$B$155,0)),"NA")</f>
        <v>NA</v>
      </c>
      <c r="L4270" t="str">
        <f t="shared" si="198"/>
        <v>NA16TE</v>
      </c>
      <c r="M4270">
        <f>COUNTIF(L$1:L4270,L4270)</f>
        <v>38</v>
      </c>
      <c r="N4270" t="str">
        <f t="shared" si="199"/>
        <v>NA16TE-38</v>
      </c>
      <c r="O4270">
        <f>COUNTIFS(F$1:F4270,F4270,A$1:A4270,A4270)</f>
        <v>52</v>
      </c>
      <c r="P4270" t="str">
        <f t="shared" si="200"/>
        <v>Jordan Thomas16</v>
      </c>
    </row>
    <row r="4271" spans="1:16" x14ac:dyDescent="0.25">
      <c r="A4271">
        <v>3</v>
      </c>
      <c r="B4271" t="s">
        <v>292</v>
      </c>
      <c r="C4271" t="s">
        <v>3798</v>
      </c>
      <c r="D4271">
        <v>1.93</v>
      </c>
      <c r="E4271" t="s">
        <v>423</v>
      </c>
      <c r="F4271" t="s">
        <v>114</v>
      </c>
      <c r="G4271">
        <v>3.7</v>
      </c>
      <c r="H4271">
        <v>0.16</v>
      </c>
      <c r="I4271">
        <v>1.77</v>
      </c>
      <c r="J4271">
        <v>3.1328999999999998</v>
      </c>
      <c r="K4271" t="str">
        <f>IFERROR(INDEX(Rosters!$C$2:$C$155,MATCH($B4271,Rosters!$B$2:$B$155,0)),"NA")</f>
        <v>NA</v>
      </c>
      <c r="L4271" t="str">
        <f t="shared" si="198"/>
        <v>NA3TE</v>
      </c>
      <c r="M4271">
        <f>COUNTIF(L$1:L4271,L4271)</f>
        <v>37</v>
      </c>
      <c r="N4271" t="str">
        <f t="shared" si="199"/>
        <v>NA3TE-37</v>
      </c>
      <c r="O4271">
        <f>COUNTIFS(F$1:F4271,F4271,A$1:A4271,A4271)</f>
        <v>50</v>
      </c>
      <c r="P4271" t="str">
        <f t="shared" si="200"/>
        <v>Luke Willson3</v>
      </c>
    </row>
    <row r="4272" spans="1:16" x14ac:dyDescent="0.25">
      <c r="A4272">
        <v>12</v>
      </c>
      <c r="B4272" t="s">
        <v>386</v>
      </c>
      <c r="C4272" t="s">
        <v>8523</v>
      </c>
      <c r="D4272">
        <v>1.93</v>
      </c>
      <c r="E4272" t="s">
        <v>32</v>
      </c>
      <c r="F4272" t="s">
        <v>114</v>
      </c>
      <c r="G4272">
        <v>3.86</v>
      </c>
      <c r="H4272">
        <v>0</v>
      </c>
      <c r="I4272">
        <v>1.93</v>
      </c>
      <c r="J4272">
        <v>3.7248999999999999</v>
      </c>
      <c r="K4272" t="str">
        <f>IFERROR(INDEX(Rosters!$C$2:$C$155,MATCH($B4272,Rosters!$B$2:$B$155,0)),"NA")</f>
        <v>NA</v>
      </c>
      <c r="L4272" t="str">
        <f t="shared" si="198"/>
        <v>NA12TE</v>
      </c>
      <c r="M4272">
        <f>COUNTIF(L$1:L4272,L4272)</f>
        <v>38</v>
      </c>
      <c r="N4272" t="str">
        <f t="shared" si="199"/>
        <v>NA12TE-38</v>
      </c>
      <c r="O4272">
        <f>COUNTIFS(F$1:F4272,F4272,A$1:A4272,A4272)</f>
        <v>51</v>
      </c>
      <c r="P4272" t="str">
        <f t="shared" si="200"/>
        <v>Nick Boyle12</v>
      </c>
    </row>
    <row r="4273" spans="1:16" x14ac:dyDescent="0.25">
      <c r="A4273">
        <v>16</v>
      </c>
      <c r="B4273" t="s">
        <v>349</v>
      </c>
      <c r="C4273" t="s">
        <v>8524</v>
      </c>
      <c r="D4273">
        <v>1.93</v>
      </c>
      <c r="E4273" t="s">
        <v>58</v>
      </c>
      <c r="F4273" t="s">
        <v>87</v>
      </c>
      <c r="G4273">
        <v>3.83</v>
      </c>
      <c r="H4273">
        <v>0.03</v>
      </c>
      <c r="I4273">
        <v>1.9</v>
      </c>
      <c r="J4273">
        <v>3.61</v>
      </c>
      <c r="K4273" t="str">
        <f>IFERROR(INDEX(Rosters!$C$2:$C$155,MATCH($B4273,Rosters!$B$2:$B$155,0)),"NA")</f>
        <v>NA</v>
      </c>
      <c r="L4273" t="str">
        <f t="shared" si="198"/>
        <v>NA16WR</v>
      </c>
      <c r="M4273">
        <f>COUNTIF(L$1:L4273,L4273)</f>
        <v>61</v>
      </c>
      <c r="N4273" t="str">
        <f t="shared" si="199"/>
        <v>NA16WR-61</v>
      </c>
      <c r="O4273">
        <f>COUNTIFS(F$1:F4273,F4273,A$1:A4273,A4273)</f>
        <v>115</v>
      </c>
      <c r="P4273" t="str">
        <f t="shared" si="200"/>
        <v>Pharoh Cooper16</v>
      </c>
    </row>
    <row r="4274" spans="1:16" x14ac:dyDescent="0.25">
      <c r="A4274">
        <v>12</v>
      </c>
      <c r="B4274" t="s">
        <v>387</v>
      </c>
      <c r="C4274" t="s">
        <v>8524</v>
      </c>
      <c r="D4274">
        <v>1.93</v>
      </c>
      <c r="E4274" t="s">
        <v>50</v>
      </c>
      <c r="F4274" t="s">
        <v>114</v>
      </c>
      <c r="G4274">
        <v>3.83</v>
      </c>
      <c r="H4274">
        <v>0.03</v>
      </c>
      <c r="I4274">
        <v>1.9</v>
      </c>
      <c r="J4274">
        <v>3.61</v>
      </c>
      <c r="K4274" t="str">
        <f>IFERROR(INDEX(Rosters!$C$2:$C$155,MATCH($B4274,Rosters!$B$2:$B$155,0)),"NA")</f>
        <v>NA</v>
      </c>
      <c r="L4274" t="str">
        <f t="shared" si="198"/>
        <v>NA12TE</v>
      </c>
      <c r="M4274">
        <f>COUNTIF(L$1:L4274,L4274)</f>
        <v>39</v>
      </c>
      <c r="N4274" t="str">
        <f t="shared" si="199"/>
        <v>NA12TE-39</v>
      </c>
      <c r="O4274">
        <f>COUNTIFS(F$1:F4274,F4274,A$1:A4274,A4274)</f>
        <v>52</v>
      </c>
      <c r="P4274" t="str">
        <f t="shared" si="200"/>
        <v>Rhett Ellison12</v>
      </c>
    </row>
    <row r="4275" spans="1:16" x14ac:dyDescent="0.25">
      <c r="A4275">
        <v>1</v>
      </c>
      <c r="B4275" t="s">
        <v>190</v>
      </c>
      <c r="C4275">
        <f>-0.67-4.53</f>
        <v>-5.2</v>
      </c>
      <c r="D4275">
        <v>1.93</v>
      </c>
      <c r="E4275" t="s">
        <v>74</v>
      </c>
      <c r="F4275" t="s">
        <v>87</v>
      </c>
      <c r="G4275">
        <v>4.53</v>
      </c>
      <c r="H4275">
        <v>-0.67</v>
      </c>
      <c r="I4275">
        <v>2.6</v>
      </c>
      <c r="J4275">
        <v>6.76</v>
      </c>
      <c r="K4275" t="str">
        <f>IFERROR(INDEX(Rosters!$C$2:$C$155,MATCH($B4275,Rosters!$B$2:$B$155,0)),"NA")</f>
        <v>NA</v>
      </c>
      <c r="L4275" t="str">
        <f t="shared" si="198"/>
        <v>NA1WR</v>
      </c>
      <c r="M4275">
        <f>COUNTIF(L$1:L4275,L4275)</f>
        <v>48</v>
      </c>
      <c r="N4275" t="str">
        <f t="shared" si="199"/>
        <v>NA1WR-48</v>
      </c>
      <c r="O4275">
        <f>COUNTIFS(F$1:F4275,F4275,A$1:A4275,A4275)</f>
        <v>97</v>
      </c>
      <c r="P4275" t="str">
        <f t="shared" si="200"/>
        <v>Tavon Austin1</v>
      </c>
    </row>
    <row r="4276" spans="1:16" x14ac:dyDescent="0.25">
      <c r="A4276">
        <v>2</v>
      </c>
      <c r="B4276" t="s">
        <v>190</v>
      </c>
      <c r="C4276">
        <f>-0.52-4.38</f>
        <v>-4.9000000000000004</v>
      </c>
      <c r="D4276">
        <v>1.93</v>
      </c>
      <c r="E4276" t="s">
        <v>54</v>
      </c>
      <c r="F4276" t="s">
        <v>87</v>
      </c>
      <c r="G4276">
        <v>4.38</v>
      </c>
      <c r="H4276">
        <v>-0.52</v>
      </c>
      <c r="I4276">
        <v>2.4500000000000002</v>
      </c>
      <c r="J4276">
        <v>6.0025000000000004</v>
      </c>
      <c r="K4276" t="str">
        <f>IFERROR(INDEX(Rosters!$C$2:$C$155,MATCH($B4276,Rosters!$B$2:$B$155,0)),"NA")</f>
        <v>NA</v>
      </c>
      <c r="L4276" t="str">
        <f t="shared" si="198"/>
        <v>NA2WR</v>
      </c>
      <c r="M4276">
        <f>COUNTIF(L$1:L4276,L4276)</f>
        <v>48</v>
      </c>
      <c r="N4276" t="str">
        <f t="shared" si="199"/>
        <v>NA2WR-48</v>
      </c>
      <c r="O4276">
        <f>COUNTIFS(F$1:F4276,F4276,A$1:A4276,A4276)</f>
        <v>96</v>
      </c>
      <c r="P4276" t="str">
        <f t="shared" si="200"/>
        <v>Tavon Austin2</v>
      </c>
    </row>
    <row r="4277" spans="1:16" x14ac:dyDescent="0.25">
      <c r="A4277">
        <v>14</v>
      </c>
      <c r="B4277" t="s">
        <v>250</v>
      </c>
      <c r="C4277" t="s">
        <v>8525</v>
      </c>
      <c r="D4277">
        <v>1.93</v>
      </c>
      <c r="E4277" t="s">
        <v>22</v>
      </c>
      <c r="F4277" t="s">
        <v>47</v>
      </c>
      <c r="G4277">
        <v>3.8</v>
      </c>
      <c r="H4277">
        <v>0.06</v>
      </c>
      <c r="I4277">
        <v>1.87</v>
      </c>
      <c r="J4277">
        <v>3.4969000000000001</v>
      </c>
      <c r="K4277" t="str">
        <f>IFERROR(INDEX(Rosters!$C$2:$C$155,MATCH($B4277,Rosters!$B$2:$B$155,0)),"NA")</f>
        <v>NA</v>
      </c>
      <c r="L4277" t="str">
        <f t="shared" si="198"/>
        <v>NA14RB</v>
      </c>
      <c r="M4277">
        <f>COUNTIF(L$1:L4277,L4277)</f>
        <v>30</v>
      </c>
      <c r="N4277" t="str">
        <f t="shared" si="199"/>
        <v>NA14RB-30</v>
      </c>
      <c r="O4277">
        <f>COUNTIFS(F$1:F4277,F4277,A$1:A4277,A4277)</f>
        <v>77</v>
      </c>
      <c r="P4277" t="str">
        <f t="shared" si="200"/>
        <v>Wendell Smallwood14</v>
      </c>
    </row>
    <row r="4278" spans="1:16" x14ac:dyDescent="0.25">
      <c r="A4278">
        <v>3</v>
      </c>
      <c r="B4278" t="s">
        <v>275</v>
      </c>
      <c r="C4278" t="s">
        <v>3799</v>
      </c>
      <c r="D4278">
        <v>1.92</v>
      </c>
      <c r="E4278" t="s">
        <v>77</v>
      </c>
      <c r="F4278" t="s">
        <v>47</v>
      </c>
      <c r="G4278">
        <v>3.18</v>
      </c>
      <c r="H4278">
        <v>0.66</v>
      </c>
      <c r="I4278">
        <v>1.26</v>
      </c>
      <c r="J4278">
        <v>1.5875999999999999</v>
      </c>
      <c r="K4278" t="str">
        <f>IFERROR(INDEX(Rosters!$C$2:$C$155,MATCH($B4278,Rosters!$B$2:$B$155,0)),"NA")</f>
        <v>NA</v>
      </c>
      <c r="L4278" t="str">
        <f t="shared" si="198"/>
        <v>NA3RB</v>
      </c>
      <c r="M4278">
        <f>COUNTIF(L$1:L4278,L4278)</f>
        <v>30</v>
      </c>
      <c r="N4278" t="str">
        <f t="shared" si="199"/>
        <v>NA3RB-30</v>
      </c>
      <c r="O4278">
        <f>COUNTIFS(F$1:F4278,F4278,A$1:A4278,A4278)</f>
        <v>69</v>
      </c>
      <c r="P4278" t="str">
        <f t="shared" si="200"/>
        <v>Devontae Booker3</v>
      </c>
    </row>
    <row r="4279" spans="1:16" x14ac:dyDescent="0.25">
      <c r="A4279">
        <v>8</v>
      </c>
      <c r="B4279" t="s">
        <v>1106</v>
      </c>
      <c r="C4279">
        <f>-0.41-4.25</f>
        <v>-4.66</v>
      </c>
      <c r="D4279">
        <v>1.92</v>
      </c>
      <c r="E4279" t="s">
        <v>72</v>
      </c>
      <c r="F4279" t="s">
        <v>114</v>
      </c>
      <c r="G4279">
        <v>4.25</v>
      </c>
      <c r="H4279">
        <v>-0.41</v>
      </c>
      <c r="I4279">
        <v>2.33</v>
      </c>
      <c r="J4279">
        <v>5.4288999999999996</v>
      </c>
      <c r="K4279" t="str">
        <f>IFERROR(INDEX(Rosters!$C$2:$C$155,MATCH($B4279,Rosters!$B$2:$B$155,0)),"NA")</f>
        <v>NA</v>
      </c>
      <c r="L4279" t="str">
        <f t="shared" si="198"/>
        <v>NA8TE</v>
      </c>
      <c r="M4279">
        <f>COUNTIF(L$1:L4279,L4279)</f>
        <v>35</v>
      </c>
      <c r="N4279" t="str">
        <f t="shared" si="199"/>
        <v>NA8TE-35</v>
      </c>
      <c r="O4279">
        <f>COUNTIFS(F$1:F4279,F4279,A$1:A4279,A4279)</f>
        <v>47</v>
      </c>
      <c r="P4279" t="str">
        <f t="shared" si="200"/>
        <v>Jordan Leggett8</v>
      </c>
    </row>
    <row r="4280" spans="1:16" x14ac:dyDescent="0.25">
      <c r="A4280">
        <v>12</v>
      </c>
      <c r="B4280" t="s">
        <v>1130</v>
      </c>
      <c r="C4280" t="s">
        <v>8526</v>
      </c>
      <c r="D4280">
        <v>1.92</v>
      </c>
      <c r="E4280" t="s">
        <v>423</v>
      </c>
      <c r="F4280" t="s">
        <v>114</v>
      </c>
      <c r="G4280">
        <v>3.83</v>
      </c>
      <c r="H4280">
        <v>0.01</v>
      </c>
      <c r="I4280">
        <v>1.91</v>
      </c>
      <c r="J4280">
        <v>3.6480999999999999</v>
      </c>
      <c r="K4280" t="str">
        <f>IFERROR(INDEX(Rosters!$C$2:$C$155,MATCH($B4280,Rosters!$B$2:$B$155,0)),"NA")</f>
        <v>NA</v>
      </c>
      <c r="L4280" t="str">
        <f t="shared" si="198"/>
        <v>NA12TE</v>
      </c>
      <c r="M4280">
        <f>COUNTIF(L$1:L4280,L4280)</f>
        <v>40</v>
      </c>
      <c r="N4280" t="str">
        <f t="shared" si="199"/>
        <v>NA12TE-40</v>
      </c>
      <c r="O4280">
        <f>COUNTIFS(F$1:F4280,F4280,A$1:A4280,A4280)</f>
        <v>53</v>
      </c>
      <c r="P4280" t="str">
        <f t="shared" si="200"/>
        <v>Neal Sterling12</v>
      </c>
    </row>
    <row r="4281" spans="1:16" x14ac:dyDescent="0.25">
      <c r="A4281">
        <v>15</v>
      </c>
      <c r="B4281" t="s">
        <v>249</v>
      </c>
      <c r="C4281">
        <f>-0.6-4.44</f>
        <v>-5.04</v>
      </c>
      <c r="D4281">
        <v>1.92</v>
      </c>
      <c r="E4281" t="s">
        <v>24</v>
      </c>
      <c r="F4281" t="s">
        <v>87</v>
      </c>
      <c r="G4281">
        <v>4.4400000000000004</v>
      </c>
      <c r="H4281">
        <v>-0.6</v>
      </c>
      <c r="I4281">
        <v>2.52</v>
      </c>
      <c r="J4281">
        <v>6.3503999999999996</v>
      </c>
      <c r="K4281" t="str">
        <f>IFERROR(INDEX(Rosters!$C$2:$C$155,MATCH($B4281,Rosters!$B$2:$B$155,0)),"NA")</f>
        <v>NA</v>
      </c>
      <c r="L4281" t="str">
        <f t="shared" si="198"/>
        <v>NA15WR</v>
      </c>
      <c r="M4281">
        <f>COUNTIF(L$1:L4281,L4281)</f>
        <v>61</v>
      </c>
      <c r="N4281" t="str">
        <f t="shared" si="199"/>
        <v>NA15WR-61</v>
      </c>
      <c r="O4281">
        <f>COUNTIFS(F$1:F4281,F4281,A$1:A4281,A4281)</f>
        <v>115</v>
      </c>
      <c r="P4281" t="str">
        <f t="shared" si="200"/>
        <v>Travis Benjamin15</v>
      </c>
    </row>
    <row r="4282" spans="1:16" x14ac:dyDescent="0.25">
      <c r="A4282">
        <v>4</v>
      </c>
      <c r="B4282" t="s">
        <v>1517</v>
      </c>
      <c r="C4282" t="s">
        <v>4644</v>
      </c>
      <c r="D4282">
        <v>1.91</v>
      </c>
      <c r="E4282" t="s">
        <v>31</v>
      </c>
      <c r="F4282" t="s">
        <v>114</v>
      </c>
      <c r="G4282">
        <v>3.8</v>
      </c>
      <c r="H4282">
        <v>0.02</v>
      </c>
      <c r="I4282">
        <v>1.89</v>
      </c>
      <c r="J4282">
        <v>3.5720999999999998</v>
      </c>
      <c r="K4282" t="str">
        <f>IFERROR(INDEX(Rosters!$C$2:$C$155,MATCH($B4282,Rosters!$B$2:$B$155,0)),"NA")</f>
        <v>NA</v>
      </c>
      <c r="L4282" t="str">
        <f t="shared" si="198"/>
        <v>NA4TE</v>
      </c>
      <c r="M4282">
        <f>COUNTIF(L$1:L4282,L4282)</f>
        <v>33</v>
      </c>
      <c r="N4282" t="str">
        <f t="shared" si="199"/>
        <v>NA4TE-33</v>
      </c>
      <c r="O4282">
        <f>COUNTIFS(F$1:F4282,F4282,A$1:A4282,A4282)</f>
        <v>44</v>
      </c>
      <c r="P4282" t="str">
        <f t="shared" si="200"/>
        <v>Eric Saubert4</v>
      </c>
    </row>
    <row r="4283" spans="1:16" x14ac:dyDescent="0.25">
      <c r="A4283">
        <v>7</v>
      </c>
      <c r="B4283" t="s">
        <v>1517</v>
      </c>
      <c r="C4283">
        <f>-0.1-3.92</f>
        <v>-4.0199999999999996</v>
      </c>
      <c r="D4283">
        <v>1.91</v>
      </c>
      <c r="E4283" t="s">
        <v>54</v>
      </c>
      <c r="F4283" t="s">
        <v>114</v>
      </c>
      <c r="G4283">
        <v>3.92</v>
      </c>
      <c r="H4283">
        <v>-0.1</v>
      </c>
      <c r="I4283">
        <v>2.0099999999999998</v>
      </c>
      <c r="J4283">
        <v>4.0400999999999998</v>
      </c>
      <c r="K4283" t="str">
        <f>IFERROR(INDEX(Rosters!$C$2:$C$155,MATCH($B4283,Rosters!$B$2:$B$155,0)),"NA")</f>
        <v>NA</v>
      </c>
      <c r="L4283" t="str">
        <f t="shared" si="198"/>
        <v>NA7TE</v>
      </c>
      <c r="M4283">
        <f>COUNTIF(L$1:L4283,L4283)</f>
        <v>32</v>
      </c>
      <c r="N4283" t="str">
        <f t="shared" si="199"/>
        <v>NA7TE-32</v>
      </c>
      <c r="O4283">
        <f>COUNTIFS(F$1:F4283,F4283,A$1:A4283,A4283)</f>
        <v>42</v>
      </c>
      <c r="P4283" t="str">
        <f t="shared" si="200"/>
        <v>Eric Saubert7</v>
      </c>
    </row>
    <row r="4284" spans="1:16" x14ac:dyDescent="0.25">
      <c r="A4284">
        <v>9</v>
      </c>
      <c r="B4284" t="s">
        <v>338</v>
      </c>
      <c r="C4284" t="s">
        <v>8527</v>
      </c>
      <c r="D4284">
        <v>1.91</v>
      </c>
      <c r="E4284" t="s">
        <v>37</v>
      </c>
      <c r="F4284" t="s">
        <v>87</v>
      </c>
      <c r="G4284">
        <v>3.81</v>
      </c>
      <c r="H4284">
        <v>0.01</v>
      </c>
      <c r="I4284">
        <v>1.9</v>
      </c>
      <c r="J4284">
        <v>3.61</v>
      </c>
      <c r="K4284" t="str">
        <f>IFERROR(INDEX(Rosters!$C$2:$C$155,MATCH($B4284,Rosters!$B$2:$B$155,0)),"NA")</f>
        <v>NA</v>
      </c>
      <c r="L4284" t="str">
        <f t="shared" si="198"/>
        <v>NA9WR</v>
      </c>
      <c r="M4284">
        <f>COUNTIF(L$1:L4284,L4284)</f>
        <v>53</v>
      </c>
      <c r="N4284" t="str">
        <f t="shared" si="199"/>
        <v>NA9WR-53</v>
      </c>
      <c r="O4284">
        <f>COUNTIFS(F$1:F4284,F4284,A$1:A4284,A4284)</f>
        <v>97</v>
      </c>
      <c r="P4284" t="str">
        <f t="shared" si="200"/>
        <v>Jaron Brown9</v>
      </c>
    </row>
    <row r="4285" spans="1:16" x14ac:dyDescent="0.25">
      <c r="A4285">
        <v>6</v>
      </c>
      <c r="B4285" t="s">
        <v>231</v>
      </c>
      <c r="C4285">
        <f>-0.61-4.43</f>
        <v>-5.04</v>
      </c>
      <c r="D4285">
        <v>1.91</v>
      </c>
      <c r="E4285" t="s">
        <v>25</v>
      </c>
      <c r="F4285" t="s">
        <v>114</v>
      </c>
      <c r="G4285">
        <v>4.43</v>
      </c>
      <c r="H4285">
        <v>-0.61</v>
      </c>
      <c r="I4285">
        <v>2.52</v>
      </c>
      <c r="J4285">
        <v>6.3503999999999996</v>
      </c>
      <c r="K4285" t="str">
        <f>IFERROR(INDEX(Rosters!$C$2:$C$155,MATCH($B4285,Rosters!$B$2:$B$155,0)),"NA")</f>
        <v>NA</v>
      </c>
      <c r="L4285" t="str">
        <f t="shared" si="198"/>
        <v>NA6TE</v>
      </c>
      <c r="M4285">
        <f>COUNTIF(L$1:L4285,L4285)</f>
        <v>32</v>
      </c>
      <c r="N4285" t="str">
        <f t="shared" si="199"/>
        <v>NA6TE-32</v>
      </c>
      <c r="O4285">
        <f>COUNTIFS(F$1:F4285,F4285,A$1:A4285,A4285)</f>
        <v>44</v>
      </c>
      <c r="P4285" t="str">
        <f t="shared" si="200"/>
        <v>Jermaine Gresham6</v>
      </c>
    </row>
    <row r="4286" spans="1:16" x14ac:dyDescent="0.25">
      <c r="A4286">
        <v>13</v>
      </c>
      <c r="B4286" t="s">
        <v>279</v>
      </c>
      <c r="C4286">
        <f>-0.11-3.93</f>
        <v>-4.04</v>
      </c>
      <c r="D4286">
        <v>1.91</v>
      </c>
      <c r="E4286" t="s">
        <v>56</v>
      </c>
      <c r="F4286" t="s">
        <v>114</v>
      </c>
      <c r="G4286">
        <v>3.93</v>
      </c>
      <c r="H4286">
        <v>-0.11</v>
      </c>
      <c r="I4286">
        <v>2.02</v>
      </c>
      <c r="J4286">
        <v>4.0804</v>
      </c>
      <c r="K4286" t="str">
        <f>IFERROR(INDEX(Rosters!$C$2:$C$155,MATCH($B4286,Rosters!$B$2:$B$155,0)),"NA")</f>
        <v>NA</v>
      </c>
      <c r="L4286" t="str">
        <f t="shared" si="198"/>
        <v>NA13TE</v>
      </c>
      <c r="M4286">
        <f>COUNTIF(L$1:L4286,L4286)</f>
        <v>41</v>
      </c>
      <c r="N4286" t="str">
        <f t="shared" si="199"/>
        <v>NA13TE-41</v>
      </c>
      <c r="O4286">
        <f>COUNTIFS(F$1:F4286,F4286,A$1:A4286,A4286)</f>
        <v>55</v>
      </c>
      <c r="P4286" t="str">
        <f t="shared" si="200"/>
        <v>Levine Toilolo13</v>
      </c>
    </row>
    <row r="4287" spans="1:16" x14ac:dyDescent="0.25">
      <c r="A4287">
        <v>15</v>
      </c>
      <c r="B4287" t="s">
        <v>250</v>
      </c>
      <c r="C4287" t="s">
        <v>8528</v>
      </c>
      <c r="D4287">
        <v>1.91</v>
      </c>
      <c r="E4287" t="s">
        <v>56</v>
      </c>
      <c r="F4287" t="s">
        <v>47</v>
      </c>
      <c r="G4287">
        <v>3.78</v>
      </c>
      <c r="H4287">
        <v>0.04</v>
      </c>
      <c r="I4287">
        <v>1.87</v>
      </c>
      <c r="J4287">
        <v>3.4969000000000001</v>
      </c>
      <c r="K4287" t="str">
        <f>IFERROR(INDEX(Rosters!$C$2:$C$155,MATCH($B4287,Rosters!$B$2:$B$155,0)),"NA")</f>
        <v>NA</v>
      </c>
      <c r="L4287" t="str">
        <f t="shared" si="198"/>
        <v>NA15RB</v>
      </c>
      <c r="M4287">
        <f>COUNTIF(L$1:L4287,L4287)</f>
        <v>28</v>
      </c>
      <c r="N4287" t="str">
        <f t="shared" si="199"/>
        <v>NA15RB-28</v>
      </c>
      <c r="O4287">
        <f>COUNTIFS(F$1:F4287,F4287,A$1:A4287,A4287)</f>
        <v>75</v>
      </c>
      <c r="P4287" t="str">
        <f t="shared" si="200"/>
        <v>Wendell Smallwood15</v>
      </c>
    </row>
    <row r="4288" spans="1:16" x14ac:dyDescent="0.25">
      <c r="A4288">
        <v>7</v>
      </c>
      <c r="B4288" t="s">
        <v>286</v>
      </c>
      <c r="C4288" t="s">
        <v>8529</v>
      </c>
      <c r="D4288">
        <v>1.9</v>
      </c>
      <c r="E4288" t="s">
        <v>34</v>
      </c>
      <c r="F4288" t="s">
        <v>114</v>
      </c>
      <c r="G4288">
        <v>3.62</v>
      </c>
      <c r="H4288">
        <v>0.18</v>
      </c>
      <c r="I4288">
        <v>1.72</v>
      </c>
      <c r="J4288">
        <v>2.9584000000000001</v>
      </c>
      <c r="K4288" t="str">
        <f>IFERROR(INDEX(Rosters!$C$2:$C$155,MATCH($B4288,Rosters!$B$2:$B$155,0)),"NA")</f>
        <v>NA</v>
      </c>
      <c r="L4288" t="str">
        <f t="shared" si="198"/>
        <v>NA7TE</v>
      </c>
      <c r="M4288">
        <f>COUNTIF(L$1:L4288,L4288)</f>
        <v>33</v>
      </c>
      <c r="N4288" t="str">
        <f t="shared" si="199"/>
        <v>NA7TE-33</v>
      </c>
      <c r="O4288">
        <f>COUNTIFS(F$1:F4288,F4288,A$1:A4288,A4288)</f>
        <v>43</v>
      </c>
      <c r="P4288" t="str">
        <f t="shared" si="200"/>
        <v>A.J. Derby7</v>
      </c>
    </row>
    <row r="4289" spans="1:16" x14ac:dyDescent="0.25">
      <c r="A4289">
        <v>3</v>
      </c>
      <c r="B4289" t="s">
        <v>308</v>
      </c>
      <c r="C4289" t="s">
        <v>3800</v>
      </c>
      <c r="D4289">
        <v>1.9</v>
      </c>
      <c r="E4289" t="s">
        <v>77</v>
      </c>
      <c r="F4289" t="s">
        <v>114</v>
      </c>
      <c r="G4289">
        <v>3.76</v>
      </c>
      <c r="H4289">
        <v>0.04</v>
      </c>
      <c r="I4289">
        <v>1.86</v>
      </c>
      <c r="J4289">
        <v>3.4596</v>
      </c>
      <c r="K4289" t="str">
        <f>IFERROR(INDEX(Rosters!$C$2:$C$155,MATCH($B4289,Rosters!$B$2:$B$155,0)),"NA")</f>
        <v>NA</v>
      </c>
      <c r="L4289" t="str">
        <f t="shared" si="198"/>
        <v>NA3TE</v>
      </c>
      <c r="M4289">
        <f>COUNTIF(L$1:L4289,L4289)</f>
        <v>38</v>
      </c>
      <c r="N4289" t="str">
        <f t="shared" si="199"/>
        <v>NA3TE-38</v>
      </c>
      <c r="O4289">
        <f>COUNTIFS(F$1:F4289,F4289,A$1:A4289,A4289)</f>
        <v>51</v>
      </c>
      <c r="P4289" t="str">
        <f t="shared" si="200"/>
        <v>Jeff Heuerman3</v>
      </c>
    </row>
    <row r="4290" spans="1:16" x14ac:dyDescent="0.25">
      <c r="A4290">
        <v>15</v>
      </c>
      <c r="B4290" t="s">
        <v>231</v>
      </c>
      <c r="C4290" t="s">
        <v>8530</v>
      </c>
      <c r="D4290">
        <v>1.9</v>
      </c>
      <c r="E4290" t="s">
        <v>46</v>
      </c>
      <c r="F4290" t="s">
        <v>114</v>
      </c>
      <c r="G4290">
        <v>3.67</v>
      </c>
      <c r="H4290">
        <v>0.13</v>
      </c>
      <c r="I4290">
        <v>1.77</v>
      </c>
      <c r="J4290">
        <v>3.1328999999999998</v>
      </c>
      <c r="K4290" t="str">
        <f>IFERROR(INDEX(Rosters!$C$2:$C$155,MATCH($B4290,Rosters!$B$2:$B$155,0)),"NA")</f>
        <v>NA</v>
      </c>
      <c r="L4290" t="str">
        <f t="shared" si="198"/>
        <v>NA15TE</v>
      </c>
      <c r="M4290">
        <f>COUNTIF(L$1:L4290,L4290)</f>
        <v>38</v>
      </c>
      <c r="N4290" t="str">
        <f t="shared" si="199"/>
        <v>NA15TE-38</v>
      </c>
      <c r="O4290">
        <f>COUNTIFS(F$1:F4290,F4290,A$1:A4290,A4290)</f>
        <v>52</v>
      </c>
      <c r="P4290" t="str">
        <f t="shared" si="200"/>
        <v>Jermaine Gresham15</v>
      </c>
    </row>
    <row r="4291" spans="1:16" x14ac:dyDescent="0.25">
      <c r="A4291">
        <v>17</v>
      </c>
      <c r="B4291" t="s">
        <v>4226</v>
      </c>
      <c r="C4291" t="s">
        <v>8531</v>
      </c>
      <c r="D4291">
        <v>1.9</v>
      </c>
      <c r="E4291" t="s">
        <v>76</v>
      </c>
      <c r="F4291" t="s">
        <v>114</v>
      </c>
      <c r="G4291">
        <v>3.79</v>
      </c>
      <c r="H4291">
        <v>0.01</v>
      </c>
      <c r="I4291">
        <v>1.89</v>
      </c>
      <c r="J4291">
        <v>3.5720999999999998</v>
      </c>
      <c r="K4291" t="str">
        <f>IFERROR(INDEX(Rosters!$C$2:$C$155,MATCH($B4291,Rosters!$B$2:$B$155,0)),"NA")</f>
        <v>NA</v>
      </c>
      <c r="L4291" t="str">
        <f t="shared" ref="L4291:L4354" si="201">K4291&amp;A4291&amp;F4291</f>
        <v>NA17TE</v>
      </c>
      <c r="M4291">
        <f>COUNTIF(L$1:L4291,L4291)</f>
        <v>38</v>
      </c>
      <c r="N4291" t="str">
        <f t="shared" ref="N4291:N4354" si="202">L4291&amp;"-"&amp;M4291</f>
        <v>NA17TE-38</v>
      </c>
      <c r="O4291">
        <f>COUNTIFS(F$1:F4291,F4291,A$1:A4291,A4291)</f>
        <v>52</v>
      </c>
      <c r="P4291" t="str">
        <f t="shared" ref="P4291:P4354" si="203">B4291&amp;A4291</f>
        <v>Jordan Thomas17</v>
      </c>
    </row>
    <row r="4292" spans="1:16" x14ac:dyDescent="0.25">
      <c r="A4292">
        <v>11</v>
      </c>
      <c r="B4292" t="s">
        <v>262</v>
      </c>
      <c r="C4292" t="s">
        <v>8532</v>
      </c>
      <c r="D4292">
        <v>1.9</v>
      </c>
      <c r="E4292" t="s">
        <v>72</v>
      </c>
      <c r="F4292" t="s">
        <v>87</v>
      </c>
      <c r="G4292">
        <v>3.71</v>
      </c>
      <c r="H4292">
        <v>0.09</v>
      </c>
      <c r="I4292">
        <v>1.81</v>
      </c>
      <c r="J4292">
        <v>3.2761</v>
      </c>
      <c r="K4292" t="str">
        <f>IFERROR(INDEX(Rosters!$C$2:$C$155,MATCH($B4292,Rosters!$B$2:$B$155,0)),"NA")</f>
        <v>NA</v>
      </c>
      <c r="L4292" t="str">
        <f t="shared" si="201"/>
        <v>NA11WR</v>
      </c>
      <c r="M4292">
        <f>COUNTIF(L$1:L4292,L4292)</f>
        <v>45</v>
      </c>
      <c r="N4292" t="str">
        <f t="shared" si="202"/>
        <v>NA11WR-45</v>
      </c>
      <c r="O4292">
        <f>COUNTIFS(F$1:F4292,F4292,A$1:A4292,A4292)</f>
        <v>92</v>
      </c>
      <c r="P4292" t="str">
        <f t="shared" si="203"/>
        <v>Laquon Treadwell11</v>
      </c>
    </row>
    <row r="4293" spans="1:16" x14ac:dyDescent="0.25">
      <c r="A4293">
        <v>6</v>
      </c>
      <c r="B4293" t="s">
        <v>1130</v>
      </c>
      <c r="C4293" t="s">
        <v>8533</v>
      </c>
      <c r="D4293">
        <v>1.9</v>
      </c>
      <c r="E4293" t="s">
        <v>66</v>
      </c>
      <c r="F4293" t="s">
        <v>114</v>
      </c>
      <c r="G4293">
        <v>3.69</v>
      </c>
      <c r="H4293">
        <v>0.11</v>
      </c>
      <c r="I4293">
        <v>1.79</v>
      </c>
      <c r="J4293">
        <v>3.2040999999999999</v>
      </c>
      <c r="K4293" t="str">
        <f>IFERROR(INDEX(Rosters!$C$2:$C$155,MATCH($B4293,Rosters!$B$2:$B$155,0)),"NA")</f>
        <v>NA</v>
      </c>
      <c r="L4293" t="str">
        <f t="shared" si="201"/>
        <v>NA6TE</v>
      </c>
      <c r="M4293">
        <f>COUNTIF(L$1:L4293,L4293)</f>
        <v>33</v>
      </c>
      <c r="N4293" t="str">
        <f t="shared" si="202"/>
        <v>NA6TE-33</v>
      </c>
      <c r="O4293">
        <f>COUNTIFS(F$1:F4293,F4293,A$1:A4293,A4293)</f>
        <v>45</v>
      </c>
      <c r="P4293" t="str">
        <f t="shared" si="203"/>
        <v>Neal Sterling6</v>
      </c>
    </row>
    <row r="4294" spans="1:16" x14ac:dyDescent="0.25">
      <c r="A4294">
        <v>16</v>
      </c>
      <c r="B4294" t="s">
        <v>1130</v>
      </c>
      <c r="C4294" t="s">
        <v>8534</v>
      </c>
      <c r="D4294">
        <v>1.9</v>
      </c>
      <c r="E4294" t="s">
        <v>41</v>
      </c>
      <c r="F4294" t="s">
        <v>114</v>
      </c>
      <c r="G4294">
        <v>3.8</v>
      </c>
      <c r="H4294">
        <v>0</v>
      </c>
      <c r="I4294">
        <v>1.9</v>
      </c>
      <c r="J4294">
        <v>3.61</v>
      </c>
      <c r="K4294" t="str">
        <f>IFERROR(INDEX(Rosters!$C$2:$C$155,MATCH($B4294,Rosters!$B$2:$B$155,0)),"NA")</f>
        <v>NA</v>
      </c>
      <c r="L4294" t="str">
        <f t="shared" si="201"/>
        <v>NA16TE</v>
      </c>
      <c r="M4294">
        <f>COUNTIF(L$1:L4294,L4294)</f>
        <v>39</v>
      </c>
      <c r="N4294" t="str">
        <f t="shared" si="202"/>
        <v>NA16TE-39</v>
      </c>
      <c r="O4294">
        <f>COUNTIFS(F$1:F4294,F4294,A$1:A4294,A4294)</f>
        <v>53</v>
      </c>
      <c r="P4294" t="str">
        <f t="shared" si="203"/>
        <v>Neal Sterling16</v>
      </c>
    </row>
    <row r="4295" spans="1:16" x14ac:dyDescent="0.25">
      <c r="A4295">
        <v>11</v>
      </c>
      <c r="B4295" t="s">
        <v>250</v>
      </c>
      <c r="C4295" t="s">
        <v>8535</v>
      </c>
      <c r="D4295">
        <v>1.9</v>
      </c>
      <c r="E4295" t="s">
        <v>14</v>
      </c>
      <c r="F4295" t="s">
        <v>47</v>
      </c>
      <c r="G4295">
        <v>3.73</v>
      </c>
      <c r="H4295">
        <v>7.0000000000000007E-2</v>
      </c>
      <c r="I4295">
        <v>1.83</v>
      </c>
      <c r="J4295">
        <v>3.3489</v>
      </c>
      <c r="K4295" t="str">
        <f>IFERROR(INDEX(Rosters!$C$2:$C$155,MATCH($B4295,Rosters!$B$2:$B$155,0)),"NA")</f>
        <v>NA</v>
      </c>
      <c r="L4295" t="str">
        <f t="shared" si="201"/>
        <v>NA11RB</v>
      </c>
      <c r="M4295">
        <f>COUNTIF(L$1:L4295,L4295)</f>
        <v>24</v>
      </c>
      <c r="N4295" t="str">
        <f t="shared" si="202"/>
        <v>NA11RB-24</v>
      </c>
      <c r="O4295">
        <f>COUNTIFS(F$1:F4295,F4295,A$1:A4295,A4295)</f>
        <v>62</v>
      </c>
      <c r="P4295" t="str">
        <f t="shared" si="203"/>
        <v>Wendell Smallwood11</v>
      </c>
    </row>
    <row r="4296" spans="1:16" x14ac:dyDescent="0.25">
      <c r="A4296">
        <v>2</v>
      </c>
      <c r="B4296" t="s">
        <v>253</v>
      </c>
      <c r="C4296">
        <f>-0.09-3.87</f>
        <v>-3.96</v>
      </c>
      <c r="D4296">
        <v>1.89</v>
      </c>
      <c r="E4296" t="s">
        <v>74</v>
      </c>
      <c r="F4296" t="s">
        <v>87</v>
      </c>
      <c r="G4296">
        <v>3.87</v>
      </c>
      <c r="H4296">
        <v>-0.09</v>
      </c>
      <c r="I4296">
        <v>1.98</v>
      </c>
      <c r="J4296">
        <v>3.9203999999999999</v>
      </c>
      <c r="K4296" t="str">
        <f>IFERROR(INDEX(Rosters!$C$2:$C$155,MATCH($B4296,Rosters!$B$2:$B$155,0)),"NA")</f>
        <v>NA</v>
      </c>
      <c r="L4296" t="str">
        <f t="shared" si="201"/>
        <v>NA2WR</v>
      </c>
      <c r="M4296">
        <f>COUNTIF(L$1:L4296,L4296)</f>
        <v>49</v>
      </c>
      <c r="N4296" t="str">
        <f t="shared" si="202"/>
        <v>NA2WR-49</v>
      </c>
      <c r="O4296">
        <f>COUNTIFS(F$1:F4296,F4296,A$1:A4296,A4296)</f>
        <v>97</v>
      </c>
      <c r="P4296" t="str">
        <f t="shared" si="203"/>
        <v>Justin Hardy2</v>
      </c>
    </row>
    <row r="4297" spans="1:16" x14ac:dyDescent="0.25">
      <c r="A4297">
        <v>15</v>
      </c>
      <c r="B4297" t="s">
        <v>270</v>
      </c>
      <c r="C4297" t="s">
        <v>8536</v>
      </c>
      <c r="D4297">
        <v>1.89</v>
      </c>
      <c r="E4297" t="s">
        <v>17</v>
      </c>
      <c r="F4297" t="s">
        <v>114</v>
      </c>
      <c r="G4297">
        <v>3.78</v>
      </c>
      <c r="H4297">
        <v>0</v>
      </c>
      <c r="I4297">
        <v>1.89</v>
      </c>
      <c r="J4297">
        <v>3.5720999999999998</v>
      </c>
      <c r="K4297" t="str">
        <f>IFERROR(INDEX(Rosters!$C$2:$C$155,MATCH($B4297,Rosters!$B$2:$B$155,0)),"NA")</f>
        <v>NA</v>
      </c>
      <c r="L4297" t="str">
        <f t="shared" si="201"/>
        <v>NA15TE</v>
      </c>
      <c r="M4297">
        <f>COUNTIF(L$1:L4297,L4297)</f>
        <v>39</v>
      </c>
      <c r="N4297" t="str">
        <f t="shared" si="202"/>
        <v>NA15TE-39</v>
      </c>
      <c r="O4297">
        <f>COUNTIFS(F$1:F4297,F4297,A$1:A4297,A4297)</f>
        <v>53</v>
      </c>
      <c r="P4297" t="str">
        <f t="shared" si="203"/>
        <v>Maxx Williams15</v>
      </c>
    </row>
    <row r="4298" spans="1:16" x14ac:dyDescent="0.25">
      <c r="A4298">
        <v>15</v>
      </c>
      <c r="B4298" t="s">
        <v>386</v>
      </c>
      <c r="C4298" t="s">
        <v>8537</v>
      </c>
      <c r="D4298">
        <v>1.89</v>
      </c>
      <c r="E4298" t="s">
        <v>17</v>
      </c>
      <c r="F4298" t="s">
        <v>114</v>
      </c>
      <c r="G4298">
        <v>3.75</v>
      </c>
      <c r="H4298">
        <v>0.03</v>
      </c>
      <c r="I4298">
        <v>1.86</v>
      </c>
      <c r="J4298">
        <v>3.4596</v>
      </c>
      <c r="K4298" t="str">
        <f>IFERROR(INDEX(Rosters!$C$2:$C$155,MATCH($B4298,Rosters!$B$2:$B$155,0)),"NA")</f>
        <v>NA</v>
      </c>
      <c r="L4298" t="str">
        <f t="shared" si="201"/>
        <v>NA15TE</v>
      </c>
      <c r="M4298">
        <f>COUNTIF(L$1:L4298,L4298)</f>
        <v>40</v>
      </c>
      <c r="N4298" t="str">
        <f t="shared" si="202"/>
        <v>NA15TE-40</v>
      </c>
      <c r="O4298">
        <f>COUNTIFS(F$1:F4298,F4298,A$1:A4298,A4298)</f>
        <v>54</v>
      </c>
      <c r="P4298" t="str">
        <f t="shared" si="203"/>
        <v>Nick Boyle15</v>
      </c>
    </row>
    <row r="4299" spans="1:16" x14ac:dyDescent="0.25">
      <c r="A4299">
        <v>12</v>
      </c>
      <c r="B4299" t="s">
        <v>274</v>
      </c>
      <c r="C4299">
        <f>-0.35-4.13</f>
        <v>-4.4799999999999995</v>
      </c>
      <c r="D4299">
        <v>1.89</v>
      </c>
      <c r="E4299" t="s">
        <v>38</v>
      </c>
      <c r="F4299" t="s">
        <v>114</v>
      </c>
      <c r="G4299">
        <v>4.13</v>
      </c>
      <c r="H4299">
        <v>-0.35</v>
      </c>
      <c r="I4299">
        <v>2.2400000000000002</v>
      </c>
      <c r="J4299">
        <v>5.0175999999999998</v>
      </c>
      <c r="K4299" t="str">
        <f>IFERROR(INDEX(Rosters!$C$2:$C$155,MATCH($B4299,Rosters!$B$2:$B$155,0)),"NA")</f>
        <v>NA</v>
      </c>
      <c r="L4299" t="str">
        <f t="shared" si="201"/>
        <v>NA12TE</v>
      </c>
      <c r="M4299">
        <f>COUNTIF(L$1:L4299,L4299)</f>
        <v>41</v>
      </c>
      <c r="N4299" t="str">
        <f t="shared" si="202"/>
        <v>NA12TE-41</v>
      </c>
      <c r="O4299">
        <f>COUNTIFS(F$1:F4299,F4299,A$1:A4299,A4299)</f>
        <v>54</v>
      </c>
      <c r="P4299" t="str">
        <f t="shared" si="203"/>
        <v>Ryan Griffin12</v>
      </c>
    </row>
    <row r="4300" spans="1:16" x14ac:dyDescent="0.25">
      <c r="A4300">
        <v>2</v>
      </c>
      <c r="B4300" t="s">
        <v>1489</v>
      </c>
      <c r="C4300">
        <f>-0.05-3.81</f>
        <v>-3.86</v>
      </c>
      <c r="D4300">
        <v>1.88</v>
      </c>
      <c r="E4300" t="s">
        <v>56</v>
      </c>
      <c r="F4300" t="s">
        <v>87</v>
      </c>
      <c r="G4300">
        <v>3.81</v>
      </c>
      <c r="H4300">
        <v>-0.05</v>
      </c>
      <c r="I4300">
        <v>1.93</v>
      </c>
      <c r="J4300">
        <v>3.7248999999999999</v>
      </c>
      <c r="K4300" t="str">
        <f>IFERROR(INDEX(Rosters!$C$2:$C$155,MATCH($B4300,Rosters!$B$2:$B$155,0)),"NA")</f>
        <v>NA</v>
      </c>
      <c r="L4300" t="str">
        <f t="shared" si="201"/>
        <v>NA2WR</v>
      </c>
      <c r="M4300">
        <f>COUNTIF(L$1:L4300,L4300)</f>
        <v>50</v>
      </c>
      <c r="N4300" t="str">
        <f t="shared" si="202"/>
        <v>NA2WR-50</v>
      </c>
      <c r="O4300">
        <f>COUNTIFS(F$1:F4300,F4300,A$1:A4300,A4300)</f>
        <v>98</v>
      </c>
      <c r="P4300" t="str">
        <f t="shared" si="203"/>
        <v>Chad Williams2</v>
      </c>
    </row>
    <row r="4301" spans="1:16" x14ac:dyDescent="0.25">
      <c r="A4301">
        <v>14</v>
      </c>
      <c r="B4301" t="s">
        <v>275</v>
      </c>
      <c r="C4301" t="s">
        <v>8538</v>
      </c>
      <c r="D4301">
        <v>1.88</v>
      </c>
      <c r="E4301" t="s">
        <v>30</v>
      </c>
      <c r="F4301" t="s">
        <v>47</v>
      </c>
      <c r="G4301">
        <v>3.47</v>
      </c>
      <c r="H4301">
        <v>0.28999999999999998</v>
      </c>
      <c r="I4301">
        <v>1.59</v>
      </c>
      <c r="J4301">
        <v>2.5280999999999998</v>
      </c>
      <c r="K4301" t="str">
        <f>IFERROR(INDEX(Rosters!$C$2:$C$155,MATCH($B4301,Rosters!$B$2:$B$155,0)),"NA")</f>
        <v>NA</v>
      </c>
      <c r="L4301" t="str">
        <f t="shared" si="201"/>
        <v>NA14RB</v>
      </c>
      <c r="M4301">
        <f>COUNTIF(L$1:L4301,L4301)</f>
        <v>31</v>
      </c>
      <c r="N4301" t="str">
        <f t="shared" si="202"/>
        <v>NA14RB-31</v>
      </c>
      <c r="O4301">
        <f>COUNTIFS(F$1:F4301,F4301,A$1:A4301,A4301)</f>
        <v>78</v>
      </c>
      <c r="P4301" t="str">
        <f t="shared" si="203"/>
        <v>Devontae Booker14</v>
      </c>
    </row>
    <row r="4302" spans="1:16" x14ac:dyDescent="0.25">
      <c r="A4302">
        <v>5</v>
      </c>
      <c r="B4302" t="s">
        <v>1132</v>
      </c>
      <c r="C4302">
        <f>-0.07-3.83</f>
        <v>-3.9</v>
      </c>
      <c r="D4302">
        <v>1.88</v>
      </c>
      <c r="E4302" t="s">
        <v>32</v>
      </c>
      <c r="F4302" t="s">
        <v>87</v>
      </c>
      <c r="G4302">
        <v>3.83</v>
      </c>
      <c r="H4302">
        <v>-7.0000000000000007E-2</v>
      </c>
      <c r="I4302">
        <v>1.95</v>
      </c>
      <c r="J4302">
        <v>3.8025000000000002</v>
      </c>
      <c r="K4302" t="str">
        <f>IFERROR(INDEX(Rosters!$C$2:$C$155,MATCH($B4302,Rosters!$B$2:$B$155,0)),"NA")</f>
        <v>NA</v>
      </c>
      <c r="L4302" t="str">
        <f t="shared" si="201"/>
        <v>NA5WR</v>
      </c>
      <c r="M4302">
        <f>COUNTIF(L$1:L4302,L4302)</f>
        <v>54</v>
      </c>
      <c r="N4302" t="str">
        <f t="shared" si="202"/>
        <v>NA5WR-54</v>
      </c>
      <c r="O4302">
        <f>COUNTIFS(F$1:F4302,F4302,A$1:A4302,A4302)</f>
        <v>104</v>
      </c>
      <c r="P4302" t="str">
        <f t="shared" si="203"/>
        <v>Geremy Davis5</v>
      </c>
    </row>
    <row r="4303" spans="1:16" x14ac:dyDescent="0.25">
      <c r="A4303">
        <v>1</v>
      </c>
      <c r="B4303" t="s">
        <v>1497</v>
      </c>
      <c r="C4303" t="s">
        <v>1501</v>
      </c>
      <c r="D4303">
        <v>1.88</v>
      </c>
      <c r="E4303" t="s">
        <v>31</v>
      </c>
      <c r="F4303" t="s">
        <v>15</v>
      </c>
      <c r="G4303">
        <v>3.02</v>
      </c>
      <c r="H4303">
        <v>0.74</v>
      </c>
      <c r="I4303">
        <v>1.1399999999999999</v>
      </c>
      <c r="J4303">
        <v>1.2996000000000001</v>
      </c>
      <c r="K4303" t="str">
        <f>IFERROR(INDEX(Rosters!$C$2:$C$155,MATCH($B4303,Rosters!$B$2:$B$155,0)),"NA")</f>
        <v>NA</v>
      </c>
      <c r="L4303" t="str">
        <f t="shared" si="201"/>
        <v>NA1QB</v>
      </c>
      <c r="M4303">
        <f>COUNTIF(L$1:L4303,L4303)</f>
        <v>18</v>
      </c>
      <c r="N4303" t="str">
        <f t="shared" si="202"/>
        <v>NA1QB-18</v>
      </c>
      <c r="O4303">
        <f>COUNTIFS(F$1:F4303,F4303,A$1:A4303,A4303)</f>
        <v>34</v>
      </c>
      <c r="P4303" t="str">
        <f t="shared" si="203"/>
        <v>Jacoby Brissett1</v>
      </c>
    </row>
    <row r="4304" spans="1:16" x14ac:dyDescent="0.25">
      <c r="A4304">
        <v>12</v>
      </c>
      <c r="B4304" t="s">
        <v>1406</v>
      </c>
      <c r="C4304" t="s">
        <v>8539</v>
      </c>
      <c r="D4304">
        <v>1.88</v>
      </c>
      <c r="E4304" t="s">
        <v>32</v>
      </c>
      <c r="F4304" t="s">
        <v>47</v>
      </c>
      <c r="G4304">
        <v>3.44</v>
      </c>
      <c r="H4304">
        <v>0.32</v>
      </c>
      <c r="I4304">
        <v>1.56</v>
      </c>
      <c r="J4304">
        <v>2.4336000000000002</v>
      </c>
      <c r="K4304" t="str">
        <f>IFERROR(INDEX(Rosters!$C$2:$C$155,MATCH($B4304,Rosters!$B$2:$B$155,0)),"NA")</f>
        <v>NA</v>
      </c>
      <c r="L4304" t="str">
        <f t="shared" si="201"/>
        <v>NA12RB</v>
      </c>
      <c r="M4304">
        <f>COUNTIF(L$1:L4304,L4304)</f>
        <v>29</v>
      </c>
      <c r="N4304" t="str">
        <f t="shared" si="202"/>
        <v>NA12RB-29</v>
      </c>
      <c r="O4304">
        <f>COUNTIFS(F$1:F4304,F4304,A$1:A4304,A4304)</f>
        <v>74</v>
      </c>
      <c r="P4304" t="str">
        <f t="shared" si="203"/>
        <v>Kenneth Dixon12</v>
      </c>
    </row>
    <row r="4305" spans="1:16" x14ac:dyDescent="0.25">
      <c r="A4305">
        <v>15</v>
      </c>
      <c r="B4305" t="s">
        <v>1406</v>
      </c>
      <c r="C4305" t="s">
        <v>8540</v>
      </c>
      <c r="D4305">
        <v>1.88</v>
      </c>
      <c r="E4305" t="s">
        <v>17</v>
      </c>
      <c r="F4305" t="s">
        <v>47</v>
      </c>
      <c r="G4305">
        <v>3.57</v>
      </c>
      <c r="H4305">
        <v>0.19</v>
      </c>
      <c r="I4305">
        <v>1.69</v>
      </c>
      <c r="J4305">
        <v>2.8561000000000001</v>
      </c>
      <c r="K4305" t="str">
        <f>IFERROR(INDEX(Rosters!$C$2:$C$155,MATCH($B4305,Rosters!$B$2:$B$155,0)),"NA")</f>
        <v>NA</v>
      </c>
      <c r="L4305" t="str">
        <f t="shared" si="201"/>
        <v>NA15RB</v>
      </c>
      <c r="M4305">
        <f>COUNTIF(L$1:L4305,L4305)</f>
        <v>29</v>
      </c>
      <c r="N4305" t="str">
        <f t="shared" si="202"/>
        <v>NA15RB-29</v>
      </c>
      <c r="O4305">
        <f>COUNTIFS(F$1:F4305,F4305,A$1:A4305,A4305)</f>
        <v>76</v>
      </c>
      <c r="P4305" t="str">
        <f t="shared" si="203"/>
        <v>Kenneth Dixon15</v>
      </c>
    </row>
    <row r="4306" spans="1:16" x14ac:dyDescent="0.25">
      <c r="A4306">
        <v>14</v>
      </c>
      <c r="B4306" t="s">
        <v>270</v>
      </c>
      <c r="C4306" t="s">
        <v>8541</v>
      </c>
      <c r="D4306">
        <v>1.88</v>
      </c>
      <c r="E4306" t="s">
        <v>24</v>
      </c>
      <c r="F4306" t="s">
        <v>114</v>
      </c>
      <c r="G4306">
        <v>3.7</v>
      </c>
      <c r="H4306">
        <v>0.06</v>
      </c>
      <c r="I4306">
        <v>1.82</v>
      </c>
      <c r="J4306">
        <v>3.3123999999999998</v>
      </c>
      <c r="K4306" t="str">
        <f>IFERROR(INDEX(Rosters!$C$2:$C$155,MATCH($B4306,Rosters!$B$2:$B$155,0)),"NA")</f>
        <v>NA</v>
      </c>
      <c r="L4306" t="str">
        <f t="shared" si="201"/>
        <v>NA14TE</v>
      </c>
      <c r="M4306">
        <f>COUNTIF(L$1:L4306,L4306)</f>
        <v>42</v>
      </c>
      <c r="N4306" t="str">
        <f t="shared" si="202"/>
        <v>NA14TE-42</v>
      </c>
      <c r="O4306">
        <f>COUNTIFS(F$1:F4306,F4306,A$1:A4306,A4306)</f>
        <v>56</v>
      </c>
      <c r="P4306" t="str">
        <f t="shared" si="203"/>
        <v>Maxx Williams14</v>
      </c>
    </row>
    <row r="4307" spans="1:16" x14ac:dyDescent="0.25">
      <c r="A4307">
        <v>3</v>
      </c>
      <c r="B4307" t="s">
        <v>268</v>
      </c>
      <c r="C4307" t="s">
        <v>3801</v>
      </c>
      <c r="D4307">
        <v>1.88</v>
      </c>
      <c r="E4307" t="s">
        <v>36</v>
      </c>
      <c r="F4307" t="s">
        <v>47</v>
      </c>
      <c r="G4307">
        <v>3.53</v>
      </c>
      <c r="H4307">
        <v>0.23</v>
      </c>
      <c r="I4307">
        <v>1.65</v>
      </c>
      <c r="J4307">
        <v>2.7225000000000001</v>
      </c>
      <c r="K4307" t="str">
        <f>IFERROR(INDEX(Rosters!$C$2:$C$155,MATCH($B4307,Rosters!$B$2:$B$155,0)),"NA")</f>
        <v>NA</v>
      </c>
      <c r="L4307" t="str">
        <f t="shared" si="201"/>
        <v>NA3RB</v>
      </c>
      <c r="M4307">
        <f>COUNTIF(L$1:L4307,L4307)</f>
        <v>31</v>
      </c>
      <c r="N4307" t="str">
        <f t="shared" si="202"/>
        <v>NA3RB-31</v>
      </c>
      <c r="O4307">
        <f>COUNTIFS(F$1:F4307,F4307,A$1:A4307,A4307)</f>
        <v>70</v>
      </c>
      <c r="P4307" t="str">
        <f t="shared" si="203"/>
        <v>Wayne Gallman3</v>
      </c>
    </row>
    <row r="4308" spans="1:16" x14ac:dyDescent="0.25">
      <c r="A4308">
        <v>1</v>
      </c>
      <c r="B4308" t="s">
        <v>1036</v>
      </c>
      <c r="C4308" t="s">
        <v>1502</v>
      </c>
      <c r="D4308">
        <v>1.87</v>
      </c>
      <c r="E4308" t="s">
        <v>74</v>
      </c>
      <c r="F4308" t="s">
        <v>87</v>
      </c>
      <c r="G4308">
        <v>3.6</v>
      </c>
      <c r="H4308">
        <v>0.14000000000000001</v>
      </c>
      <c r="I4308">
        <v>1.73</v>
      </c>
      <c r="J4308">
        <v>2.9929000000000001</v>
      </c>
      <c r="K4308" t="str">
        <f>IFERROR(INDEX(Rosters!$C$2:$C$155,MATCH($B4308,Rosters!$B$2:$B$155,0)),"NA")</f>
        <v>NA</v>
      </c>
      <c r="L4308" t="str">
        <f t="shared" si="201"/>
        <v>NA1WR</v>
      </c>
      <c r="M4308">
        <f>COUNTIF(L$1:L4308,L4308)</f>
        <v>49</v>
      </c>
      <c r="N4308" t="str">
        <f t="shared" si="202"/>
        <v>NA1WR-49</v>
      </c>
      <c r="O4308">
        <f>COUNTIFS(F$1:F4308,F4308,A$1:A4308,A4308)</f>
        <v>98</v>
      </c>
      <c r="P4308" t="str">
        <f t="shared" si="203"/>
        <v>Deonte Thompson1</v>
      </c>
    </row>
    <row r="4309" spans="1:16" x14ac:dyDescent="0.25">
      <c r="A4309">
        <v>13</v>
      </c>
      <c r="B4309" t="s">
        <v>275</v>
      </c>
      <c r="C4309" t="s">
        <v>8542</v>
      </c>
      <c r="D4309">
        <v>1.87</v>
      </c>
      <c r="E4309" t="s">
        <v>31</v>
      </c>
      <c r="F4309" t="s">
        <v>47</v>
      </c>
      <c r="G4309">
        <v>3.44</v>
      </c>
      <c r="H4309">
        <v>0.3</v>
      </c>
      <c r="I4309">
        <v>1.57</v>
      </c>
      <c r="J4309">
        <v>2.4649000000000001</v>
      </c>
      <c r="K4309" t="str">
        <f>IFERROR(INDEX(Rosters!$C$2:$C$155,MATCH($B4309,Rosters!$B$2:$B$155,0)),"NA")</f>
        <v>NA</v>
      </c>
      <c r="L4309" t="str">
        <f t="shared" si="201"/>
        <v>NA13RB</v>
      </c>
      <c r="M4309">
        <f>COUNTIF(L$1:L4309,L4309)</f>
        <v>29</v>
      </c>
      <c r="N4309" t="str">
        <f t="shared" si="202"/>
        <v>NA13RB-29</v>
      </c>
      <c r="O4309">
        <f>COUNTIFS(F$1:F4309,F4309,A$1:A4309,A4309)</f>
        <v>76</v>
      </c>
      <c r="P4309" t="str">
        <f t="shared" si="203"/>
        <v>Devontae Booker13</v>
      </c>
    </row>
    <row r="4310" spans="1:16" x14ac:dyDescent="0.25">
      <c r="A4310">
        <v>6</v>
      </c>
      <c r="B4310" t="s">
        <v>1517</v>
      </c>
      <c r="C4310">
        <f>-0.12-3.86</f>
        <v>-3.98</v>
      </c>
      <c r="D4310">
        <v>1.87</v>
      </c>
      <c r="E4310" t="s">
        <v>17</v>
      </c>
      <c r="F4310" t="s">
        <v>114</v>
      </c>
      <c r="G4310">
        <v>3.86</v>
      </c>
      <c r="H4310">
        <v>-0.12</v>
      </c>
      <c r="I4310">
        <v>1.99</v>
      </c>
      <c r="J4310">
        <v>3.9601000000000002</v>
      </c>
      <c r="K4310" t="str">
        <f>IFERROR(INDEX(Rosters!$C$2:$C$155,MATCH($B4310,Rosters!$B$2:$B$155,0)),"NA")</f>
        <v>NA</v>
      </c>
      <c r="L4310" t="str">
        <f t="shared" si="201"/>
        <v>NA6TE</v>
      </c>
      <c r="M4310">
        <f>COUNTIF(L$1:L4310,L4310)</f>
        <v>34</v>
      </c>
      <c r="N4310" t="str">
        <f t="shared" si="202"/>
        <v>NA6TE-34</v>
      </c>
      <c r="O4310">
        <f>COUNTIFS(F$1:F4310,F4310,A$1:A4310,A4310)</f>
        <v>46</v>
      </c>
      <c r="P4310" t="str">
        <f t="shared" si="203"/>
        <v>Eric Saubert6</v>
      </c>
    </row>
    <row r="4311" spans="1:16" x14ac:dyDescent="0.25">
      <c r="A4311">
        <v>8</v>
      </c>
      <c r="B4311" t="s">
        <v>231</v>
      </c>
      <c r="C4311" t="s">
        <v>1502</v>
      </c>
      <c r="D4311">
        <v>1.87</v>
      </c>
      <c r="E4311" t="s">
        <v>30</v>
      </c>
      <c r="F4311" t="s">
        <v>114</v>
      </c>
      <c r="G4311">
        <v>3.6</v>
      </c>
      <c r="H4311">
        <v>0.14000000000000001</v>
      </c>
      <c r="I4311">
        <v>1.73</v>
      </c>
      <c r="J4311">
        <v>2.9929000000000001</v>
      </c>
      <c r="K4311" t="str">
        <f>IFERROR(INDEX(Rosters!$C$2:$C$155,MATCH($B4311,Rosters!$B$2:$B$155,0)),"NA")</f>
        <v>NA</v>
      </c>
      <c r="L4311" t="str">
        <f t="shared" si="201"/>
        <v>NA8TE</v>
      </c>
      <c r="M4311">
        <f>COUNTIF(L$1:L4311,L4311)</f>
        <v>36</v>
      </c>
      <c r="N4311" t="str">
        <f t="shared" si="202"/>
        <v>NA8TE-36</v>
      </c>
      <c r="O4311">
        <f>COUNTIFS(F$1:F4311,F4311,A$1:A4311,A4311)</f>
        <v>48</v>
      </c>
      <c r="P4311" t="str">
        <f t="shared" si="203"/>
        <v>Jermaine Gresham8</v>
      </c>
    </row>
    <row r="4312" spans="1:16" x14ac:dyDescent="0.25">
      <c r="A4312">
        <v>3</v>
      </c>
      <c r="B4312" t="s">
        <v>386</v>
      </c>
      <c r="C4312" t="s">
        <v>3802</v>
      </c>
      <c r="D4312">
        <v>1.87</v>
      </c>
      <c r="E4312" t="s">
        <v>42</v>
      </c>
      <c r="F4312" t="s">
        <v>114</v>
      </c>
      <c r="G4312">
        <v>3.49</v>
      </c>
      <c r="H4312">
        <v>0.25</v>
      </c>
      <c r="I4312">
        <v>1.62</v>
      </c>
      <c r="J4312">
        <v>2.6244000000000001</v>
      </c>
      <c r="K4312" t="str">
        <f>IFERROR(INDEX(Rosters!$C$2:$C$155,MATCH($B4312,Rosters!$B$2:$B$155,0)),"NA")</f>
        <v>NA</v>
      </c>
      <c r="L4312" t="str">
        <f t="shared" si="201"/>
        <v>NA3TE</v>
      </c>
      <c r="M4312">
        <f>COUNTIF(L$1:L4312,L4312)</f>
        <v>39</v>
      </c>
      <c r="N4312" t="str">
        <f t="shared" si="202"/>
        <v>NA3TE-39</v>
      </c>
      <c r="O4312">
        <f>COUNTIFS(F$1:F4312,F4312,A$1:A4312,A4312)</f>
        <v>52</v>
      </c>
      <c r="P4312" t="str">
        <f t="shared" si="203"/>
        <v>Nick Boyle3</v>
      </c>
    </row>
    <row r="4313" spans="1:16" x14ac:dyDescent="0.25">
      <c r="A4313">
        <v>7</v>
      </c>
      <c r="B4313" t="s">
        <v>4208</v>
      </c>
      <c r="C4313" t="s">
        <v>8543</v>
      </c>
      <c r="D4313">
        <v>1.86</v>
      </c>
      <c r="E4313" t="s">
        <v>60</v>
      </c>
      <c r="F4313" t="s">
        <v>114</v>
      </c>
      <c r="G4313">
        <v>3.57</v>
      </c>
      <c r="H4313">
        <v>0.15</v>
      </c>
      <c r="I4313">
        <v>1.71</v>
      </c>
      <c r="J4313">
        <v>2.9241000000000001</v>
      </c>
      <c r="K4313" t="str">
        <f>IFERROR(INDEX(Rosters!$C$2:$C$155,MATCH($B4313,Rosters!$B$2:$B$155,0)),"NA")</f>
        <v>NA</v>
      </c>
      <c r="L4313" t="str">
        <f t="shared" si="201"/>
        <v>NA7TE</v>
      </c>
      <c r="M4313">
        <f>COUNTIF(L$1:L4313,L4313)</f>
        <v>34</v>
      </c>
      <c r="N4313" t="str">
        <f t="shared" si="202"/>
        <v>NA7TE-34</v>
      </c>
      <c r="O4313">
        <f>COUNTIFS(F$1:F4313,F4313,A$1:A4313,A4313)</f>
        <v>44</v>
      </c>
      <c r="P4313" t="str">
        <f t="shared" si="203"/>
        <v>Blake Jarwin7</v>
      </c>
    </row>
    <row r="4314" spans="1:16" x14ac:dyDescent="0.25">
      <c r="A4314">
        <v>1</v>
      </c>
      <c r="B4314" t="s">
        <v>373</v>
      </c>
      <c r="C4314">
        <f>-0.54-4.26</f>
        <v>-4.8</v>
      </c>
      <c r="D4314">
        <v>1.86</v>
      </c>
      <c r="E4314" t="s">
        <v>76</v>
      </c>
      <c r="F4314" t="s">
        <v>87</v>
      </c>
      <c r="G4314">
        <v>4.26</v>
      </c>
      <c r="H4314">
        <v>-0.54</v>
      </c>
      <c r="I4314">
        <v>2.4</v>
      </c>
      <c r="J4314">
        <v>5.76</v>
      </c>
      <c r="K4314" t="str">
        <f>IFERROR(INDEX(Rosters!$C$2:$C$155,MATCH($B4314,Rosters!$B$2:$B$155,0)),"NA")</f>
        <v>NA</v>
      </c>
      <c r="L4314" t="str">
        <f t="shared" si="201"/>
        <v>NA1WR</v>
      </c>
      <c r="M4314">
        <f>COUNTIF(L$1:L4314,L4314)</f>
        <v>50</v>
      </c>
      <c r="N4314" t="str">
        <f t="shared" si="202"/>
        <v>NA1WR-50</v>
      </c>
      <c r="O4314">
        <f>COUNTIFS(F$1:F4314,F4314,A$1:A4314,A4314)</f>
        <v>99</v>
      </c>
      <c r="P4314" t="str">
        <f t="shared" si="203"/>
        <v>Cody Latimer1</v>
      </c>
    </row>
    <row r="4315" spans="1:16" x14ac:dyDescent="0.25">
      <c r="A4315">
        <v>6</v>
      </c>
      <c r="B4315" t="s">
        <v>233</v>
      </c>
      <c r="C4315">
        <f>-0.05-3.77</f>
        <v>-3.82</v>
      </c>
      <c r="D4315">
        <v>1.86</v>
      </c>
      <c r="E4315" t="s">
        <v>60</v>
      </c>
      <c r="F4315" t="s">
        <v>87</v>
      </c>
      <c r="G4315">
        <v>3.77</v>
      </c>
      <c r="H4315">
        <v>-0.05</v>
      </c>
      <c r="I4315">
        <v>1.91</v>
      </c>
      <c r="J4315">
        <v>3.6480999999999999</v>
      </c>
      <c r="K4315" t="str">
        <f>IFERROR(INDEX(Rosters!$C$2:$C$155,MATCH($B4315,Rosters!$B$2:$B$155,0)),"NA")</f>
        <v>NA</v>
      </c>
      <c r="L4315" t="str">
        <f t="shared" si="201"/>
        <v>NA6WR</v>
      </c>
      <c r="M4315">
        <f>COUNTIF(L$1:L4315,L4315)</f>
        <v>58</v>
      </c>
      <c r="N4315" t="str">
        <f t="shared" si="202"/>
        <v>NA6WR-58</v>
      </c>
      <c r="O4315">
        <f>COUNTIFS(F$1:F4315,F4315,A$1:A4315,A4315)</f>
        <v>108</v>
      </c>
      <c r="P4315" t="str">
        <f t="shared" si="203"/>
        <v>Curtis Samuel6</v>
      </c>
    </row>
    <row r="4316" spans="1:16" x14ac:dyDescent="0.25">
      <c r="A4316">
        <v>2</v>
      </c>
      <c r="B4316" t="s">
        <v>310</v>
      </c>
      <c r="C4316">
        <f>-0.4-4.12</f>
        <v>-4.5200000000000005</v>
      </c>
      <c r="D4316">
        <v>1.86</v>
      </c>
      <c r="E4316" t="s">
        <v>51</v>
      </c>
      <c r="F4316" t="s">
        <v>114</v>
      </c>
      <c r="G4316">
        <v>4.12</v>
      </c>
      <c r="H4316">
        <v>-0.4</v>
      </c>
      <c r="I4316">
        <v>2.2599999999999998</v>
      </c>
      <c r="J4316">
        <v>5.1075999999999997</v>
      </c>
      <c r="K4316" t="str">
        <f>IFERROR(INDEX(Rosters!$C$2:$C$155,MATCH($B4316,Rosters!$B$2:$B$155,0)),"NA")</f>
        <v>NA</v>
      </c>
      <c r="L4316" t="str">
        <f t="shared" si="201"/>
        <v>NA2TE</v>
      </c>
      <c r="M4316">
        <f>COUNTIF(L$1:L4316,L4316)</f>
        <v>27</v>
      </c>
      <c r="N4316" t="str">
        <f t="shared" si="202"/>
        <v>NA2TE-27</v>
      </c>
      <c r="O4316">
        <f>COUNTIFS(F$1:F4316,F4316,A$1:A4316,A4316)</f>
        <v>40</v>
      </c>
      <c r="P4316" t="str">
        <f t="shared" si="203"/>
        <v>Demetrius Harris2</v>
      </c>
    </row>
    <row r="4317" spans="1:16" x14ac:dyDescent="0.25">
      <c r="A4317">
        <v>16</v>
      </c>
      <c r="B4317" t="s">
        <v>284</v>
      </c>
      <c r="C4317" t="s">
        <v>8544</v>
      </c>
      <c r="D4317">
        <v>1.86</v>
      </c>
      <c r="E4317" t="s">
        <v>30</v>
      </c>
      <c r="F4317" t="s">
        <v>114</v>
      </c>
      <c r="G4317">
        <v>3.72</v>
      </c>
      <c r="H4317">
        <v>0</v>
      </c>
      <c r="I4317">
        <v>1.86</v>
      </c>
      <c r="J4317">
        <v>3.4596</v>
      </c>
      <c r="K4317" t="str">
        <f>IFERROR(INDEX(Rosters!$C$2:$C$155,MATCH($B4317,Rosters!$B$2:$B$155,0)),"NA")</f>
        <v>NA</v>
      </c>
      <c r="L4317" t="str">
        <f t="shared" si="201"/>
        <v>NA16TE</v>
      </c>
      <c r="M4317">
        <f>COUNTIF(L$1:L4317,L4317)</f>
        <v>40</v>
      </c>
      <c r="N4317" t="str">
        <f t="shared" si="202"/>
        <v>NA16TE-40</v>
      </c>
      <c r="O4317">
        <f>COUNTIFS(F$1:F4317,F4317,A$1:A4317,A4317)</f>
        <v>54</v>
      </c>
      <c r="P4317" t="str">
        <f t="shared" si="203"/>
        <v>Dion Sims16</v>
      </c>
    </row>
    <row r="4318" spans="1:16" x14ac:dyDescent="0.25">
      <c r="A4318">
        <v>14</v>
      </c>
      <c r="B4318" t="s">
        <v>349</v>
      </c>
      <c r="C4318">
        <f>-0.03-3.75</f>
        <v>-3.78</v>
      </c>
      <c r="D4318">
        <v>1.86</v>
      </c>
      <c r="E4318" t="s">
        <v>72</v>
      </c>
      <c r="F4318" t="s">
        <v>87</v>
      </c>
      <c r="G4318">
        <v>3.75</v>
      </c>
      <c r="H4318">
        <v>-0.03</v>
      </c>
      <c r="I4318">
        <v>1.89</v>
      </c>
      <c r="J4318">
        <v>3.5720999999999998</v>
      </c>
      <c r="K4318" t="str">
        <f>IFERROR(INDEX(Rosters!$C$2:$C$155,MATCH($B4318,Rosters!$B$2:$B$155,0)),"NA")</f>
        <v>NA</v>
      </c>
      <c r="L4318" t="str">
        <f t="shared" si="201"/>
        <v>NA14WR</v>
      </c>
      <c r="M4318">
        <f>COUNTIF(L$1:L4318,L4318)</f>
        <v>61</v>
      </c>
      <c r="N4318" t="str">
        <f t="shared" si="202"/>
        <v>NA14WR-61</v>
      </c>
      <c r="O4318">
        <f>COUNTIFS(F$1:F4318,F4318,A$1:A4318,A4318)</f>
        <v>115</v>
      </c>
      <c r="P4318" t="str">
        <f t="shared" si="203"/>
        <v>Pharoh Cooper14</v>
      </c>
    </row>
    <row r="4319" spans="1:16" x14ac:dyDescent="0.25">
      <c r="A4319">
        <v>13</v>
      </c>
      <c r="B4319" t="s">
        <v>259</v>
      </c>
      <c r="C4319" t="s">
        <v>4645</v>
      </c>
      <c r="D4319">
        <v>1.86</v>
      </c>
      <c r="E4319" t="s">
        <v>72</v>
      </c>
      <c r="F4319" t="s">
        <v>87</v>
      </c>
      <c r="G4319">
        <v>3.62</v>
      </c>
      <c r="H4319">
        <v>0.1</v>
      </c>
      <c r="I4319">
        <v>1.76</v>
      </c>
      <c r="J4319">
        <v>3.0975999999999999</v>
      </c>
      <c r="K4319" t="str">
        <f>IFERROR(INDEX(Rosters!$C$2:$C$155,MATCH($B4319,Rosters!$B$2:$B$155,0)),"NA")</f>
        <v>NA</v>
      </c>
      <c r="L4319" t="str">
        <f t="shared" si="201"/>
        <v>NA13WR</v>
      </c>
      <c r="M4319">
        <f>COUNTIF(L$1:L4319,L4319)</f>
        <v>62</v>
      </c>
      <c r="N4319" t="str">
        <f t="shared" si="202"/>
        <v>NA13WR-62</v>
      </c>
      <c r="O4319">
        <f>COUNTIFS(F$1:F4319,F4319,A$1:A4319,A4319)</f>
        <v>116</v>
      </c>
      <c r="P4319" t="str">
        <f t="shared" si="203"/>
        <v>Russell Shepard13</v>
      </c>
    </row>
    <row r="4320" spans="1:16" x14ac:dyDescent="0.25">
      <c r="A4320">
        <v>9</v>
      </c>
      <c r="B4320" t="s">
        <v>274</v>
      </c>
      <c r="C4320" t="s">
        <v>8545</v>
      </c>
      <c r="D4320">
        <v>1.86</v>
      </c>
      <c r="E4320" t="s">
        <v>42</v>
      </c>
      <c r="F4320" t="s">
        <v>114</v>
      </c>
      <c r="G4320">
        <v>3.71</v>
      </c>
      <c r="H4320">
        <v>0.01</v>
      </c>
      <c r="I4320">
        <v>1.85</v>
      </c>
      <c r="J4320">
        <v>3.4224999999999999</v>
      </c>
      <c r="K4320" t="str">
        <f>IFERROR(INDEX(Rosters!$C$2:$C$155,MATCH($B4320,Rosters!$B$2:$B$155,0)),"NA")</f>
        <v>NA</v>
      </c>
      <c r="L4320" t="str">
        <f t="shared" si="201"/>
        <v>NA9TE</v>
      </c>
      <c r="M4320">
        <f>COUNTIF(L$1:L4320,L4320)</f>
        <v>31</v>
      </c>
      <c r="N4320" t="str">
        <f t="shared" si="202"/>
        <v>NA9TE-31</v>
      </c>
      <c r="O4320">
        <f>COUNTIFS(F$1:F4320,F4320,A$1:A4320,A4320)</f>
        <v>42</v>
      </c>
      <c r="P4320" t="str">
        <f t="shared" si="203"/>
        <v>Ryan Griffin9</v>
      </c>
    </row>
    <row r="4321" spans="1:16" x14ac:dyDescent="0.25">
      <c r="A4321">
        <v>5</v>
      </c>
      <c r="B4321" t="s">
        <v>268</v>
      </c>
      <c r="C4321" t="s">
        <v>8546</v>
      </c>
      <c r="D4321">
        <v>1.86</v>
      </c>
      <c r="E4321" t="s">
        <v>74</v>
      </c>
      <c r="F4321" t="s">
        <v>47</v>
      </c>
      <c r="G4321">
        <v>3.65</v>
      </c>
      <c r="H4321">
        <v>7.0000000000000007E-2</v>
      </c>
      <c r="I4321">
        <v>1.79</v>
      </c>
      <c r="J4321">
        <v>3.2040999999999999</v>
      </c>
      <c r="K4321" t="str">
        <f>IFERROR(INDEX(Rosters!$C$2:$C$155,MATCH($B4321,Rosters!$B$2:$B$155,0)),"NA")</f>
        <v>NA</v>
      </c>
      <c r="L4321" t="str">
        <f t="shared" si="201"/>
        <v>NA5RB</v>
      </c>
      <c r="M4321">
        <f>COUNTIF(L$1:L4321,L4321)</f>
        <v>26</v>
      </c>
      <c r="N4321" t="str">
        <f t="shared" si="202"/>
        <v>NA5RB-26</v>
      </c>
      <c r="O4321">
        <f>COUNTIFS(F$1:F4321,F4321,A$1:A4321,A4321)</f>
        <v>69</v>
      </c>
      <c r="P4321" t="str">
        <f t="shared" si="203"/>
        <v>Wayne Gallman5</v>
      </c>
    </row>
    <row r="4322" spans="1:16" x14ac:dyDescent="0.25">
      <c r="A4322">
        <v>12</v>
      </c>
      <c r="B4322" t="s">
        <v>286</v>
      </c>
      <c r="C4322">
        <f>-0.32-4.02</f>
        <v>-4.34</v>
      </c>
      <c r="D4322">
        <v>1.85</v>
      </c>
      <c r="E4322" t="s">
        <v>66</v>
      </c>
      <c r="F4322" t="s">
        <v>114</v>
      </c>
      <c r="G4322">
        <v>4.0199999999999996</v>
      </c>
      <c r="H4322">
        <v>-0.32</v>
      </c>
      <c r="I4322">
        <v>2.17</v>
      </c>
      <c r="J4322">
        <v>4.7088999999999999</v>
      </c>
      <c r="K4322" t="str">
        <f>IFERROR(INDEX(Rosters!$C$2:$C$155,MATCH($B4322,Rosters!$B$2:$B$155,0)),"NA")</f>
        <v>NA</v>
      </c>
      <c r="L4322" t="str">
        <f t="shared" si="201"/>
        <v>NA12TE</v>
      </c>
      <c r="M4322">
        <f>COUNTIF(L$1:L4322,L4322)</f>
        <v>42</v>
      </c>
      <c r="N4322" t="str">
        <f t="shared" si="202"/>
        <v>NA12TE-42</v>
      </c>
      <c r="O4322">
        <f>COUNTIFS(F$1:F4322,F4322,A$1:A4322,A4322)</f>
        <v>55</v>
      </c>
      <c r="P4322" t="str">
        <f t="shared" si="203"/>
        <v>A.J. Derby12</v>
      </c>
    </row>
    <row r="4323" spans="1:16" x14ac:dyDescent="0.25">
      <c r="A4323">
        <v>13</v>
      </c>
      <c r="B4323" t="s">
        <v>2715</v>
      </c>
      <c r="C4323">
        <f>-0.41-4.11</f>
        <v>-4.5200000000000005</v>
      </c>
      <c r="D4323">
        <v>1.85</v>
      </c>
      <c r="E4323" t="s">
        <v>423</v>
      </c>
      <c r="F4323" t="s">
        <v>87</v>
      </c>
      <c r="G4323">
        <v>4.1100000000000003</v>
      </c>
      <c r="H4323">
        <v>-0.41</v>
      </c>
      <c r="I4323">
        <v>2.2599999999999998</v>
      </c>
      <c r="J4323">
        <v>5.1075999999999997</v>
      </c>
      <c r="K4323" t="str">
        <f>IFERROR(INDEX(Rosters!$C$2:$C$155,MATCH($B4323,Rosters!$B$2:$B$155,0)),"NA")</f>
        <v>NA</v>
      </c>
      <c r="L4323" t="str">
        <f t="shared" si="201"/>
        <v>NA13WR</v>
      </c>
      <c r="M4323">
        <f>COUNTIF(L$1:L4323,L4323)</f>
        <v>63</v>
      </c>
      <c r="N4323" t="str">
        <f t="shared" si="202"/>
        <v>NA13WR-63</v>
      </c>
      <c r="O4323">
        <f>COUNTIFS(F$1:F4323,F4323,A$1:A4323,A4323)</f>
        <v>117</v>
      </c>
      <c r="P4323" t="str">
        <f t="shared" si="203"/>
        <v>Aldrick Robinson13</v>
      </c>
    </row>
    <row r="4324" spans="1:16" x14ac:dyDescent="0.25">
      <c r="A4324">
        <v>16</v>
      </c>
      <c r="B4324" t="s">
        <v>121</v>
      </c>
      <c r="C4324" t="s">
        <v>8547</v>
      </c>
      <c r="D4324">
        <v>1.85</v>
      </c>
      <c r="E4324" t="s">
        <v>25</v>
      </c>
      <c r="F4324" t="s">
        <v>47</v>
      </c>
      <c r="G4324">
        <v>3.2</v>
      </c>
      <c r="H4324">
        <v>0.5</v>
      </c>
      <c r="I4324">
        <v>1.35</v>
      </c>
      <c r="J4324">
        <v>1.8225</v>
      </c>
      <c r="K4324" t="str">
        <f>IFERROR(INDEX(Rosters!$C$2:$C$155,MATCH($B4324,Rosters!$B$2:$B$155,0)),"NA")</f>
        <v>NA</v>
      </c>
      <c r="L4324" t="str">
        <f t="shared" si="201"/>
        <v>NA16RB</v>
      </c>
      <c r="M4324">
        <f>COUNTIF(L$1:L4324,L4324)</f>
        <v>32</v>
      </c>
      <c r="N4324" t="str">
        <f t="shared" si="202"/>
        <v>NA16RB-32</v>
      </c>
      <c r="O4324">
        <f>COUNTIFS(F$1:F4324,F4324,A$1:A4324,A4324)</f>
        <v>79</v>
      </c>
      <c r="P4324" t="str">
        <f t="shared" si="203"/>
        <v>Ameer Abdullah16</v>
      </c>
    </row>
    <row r="4325" spans="1:16" x14ac:dyDescent="0.25">
      <c r="A4325">
        <v>8</v>
      </c>
      <c r="B4325" t="s">
        <v>316</v>
      </c>
      <c r="C4325" t="s">
        <v>8548</v>
      </c>
      <c r="D4325">
        <v>1.85</v>
      </c>
      <c r="E4325" t="s">
        <v>50</v>
      </c>
      <c r="F4325" t="s">
        <v>47</v>
      </c>
      <c r="G4325">
        <v>3.61</v>
      </c>
      <c r="H4325">
        <v>0.09</v>
      </c>
      <c r="I4325">
        <v>1.76</v>
      </c>
      <c r="J4325">
        <v>3.0975999999999999</v>
      </c>
      <c r="K4325" t="str">
        <f>IFERROR(INDEX(Rosters!$C$2:$C$155,MATCH($B4325,Rosters!$B$2:$B$155,0)),"NA")</f>
        <v>NA</v>
      </c>
      <c r="L4325" t="str">
        <f t="shared" si="201"/>
        <v>NA8RB</v>
      </c>
      <c r="M4325">
        <f>COUNTIF(L$1:L4325,L4325)</f>
        <v>27</v>
      </c>
      <c r="N4325" t="str">
        <f t="shared" si="202"/>
        <v>NA8RB-27</v>
      </c>
      <c r="O4325">
        <f>COUNTIFS(F$1:F4325,F4325,A$1:A4325,A4325)</f>
        <v>67</v>
      </c>
      <c r="P4325" t="str">
        <f t="shared" si="203"/>
        <v>Corey Grant8</v>
      </c>
    </row>
    <row r="4326" spans="1:16" x14ac:dyDescent="0.25">
      <c r="A4326">
        <v>1</v>
      </c>
      <c r="B4326" t="s">
        <v>282</v>
      </c>
      <c r="C4326">
        <f>-0.02-3.72</f>
        <v>-3.74</v>
      </c>
      <c r="D4326">
        <v>1.85</v>
      </c>
      <c r="E4326" t="s">
        <v>32</v>
      </c>
      <c r="F4326" t="s">
        <v>47</v>
      </c>
      <c r="G4326">
        <v>3.72</v>
      </c>
      <c r="H4326">
        <v>-0.02</v>
      </c>
      <c r="I4326">
        <v>1.87</v>
      </c>
      <c r="J4326">
        <v>3.4969000000000001</v>
      </c>
      <c r="K4326" t="str">
        <f>IFERROR(INDEX(Rosters!$C$2:$C$155,MATCH($B4326,Rosters!$B$2:$B$155,0)),"NA")</f>
        <v>NA</v>
      </c>
      <c r="L4326" t="str">
        <f t="shared" si="201"/>
        <v>NA1RB</v>
      </c>
      <c r="M4326">
        <f>COUNTIF(L$1:L4326,L4326)</f>
        <v>25</v>
      </c>
      <c r="N4326" t="str">
        <f t="shared" si="202"/>
        <v>NA1RB-25</v>
      </c>
      <c r="O4326">
        <f>COUNTIFS(F$1:F4326,F4326,A$1:A4326,A4326)</f>
        <v>67</v>
      </c>
      <c r="P4326" t="str">
        <f t="shared" si="203"/>
        <v>Malcolm Brown1</v>
      </c>
    </row>
    <row r="4327" spans="1:16" x14ac:dyDescent="0.25">
      <c r="A4327">
        <v>9</v>
      </c>
      <c r="B4327" t="s">
        <v>1130</v>
      </c>
      <c r="C4327">
        <f>-0.02-3.72</f>
        <v>-3.74</v>
      </c>
      <c r="D4327">
        <v>1.85</v>
      </c>
      <c r="E4327" t="s">
        <v>19</v>
      </c>
      <c r="F4327" t="s">
        <v>114</v>
      </c>
      <c r="G4327">
        <v>3.72</v>
      </c>
      <c r="H4327">
        <v>-0.02</v>
      </c>
      <c r="I4327">
        <v>1.87</v>
      </c>
      <c r="J4327">
        <v>3.4969000000000001</v>
      </c>
      <c r="K4327" t="str">
        <f>IFERROR(INDEX(Rosters!$C$2:$C$155,MATCH($B4327,Rosters!$B$2:$B$155,0)),"NA")</f>
        <v>NA</v>
      </c>
      <c r="L4327" t="str">
        <f t="shared" si="201"/>
        <v>NA9TE</v>
      </c>
      <c r="M4327">
        <f>COUNTIF(L$1:L4327,L4327)</f>
        <v>32</v>
      </c>
      <c r="N4327" t="str">
        <f t="shared" si="202"/>
        <v>NA9TE-32</v>
      </c>
      <c r="O4327">
        <f>COUNTIFS(F$1:F4327,F4327,A$1:A4327,A4327)</f>
        <v>43</v>
      </c>
      <c r="P4327" t="str">
        <f t="shared" si="203"/>
        <v>Neal Sterling9</v>
      </c>
    </row>
    <row r="4328" spans="1:16" x14ac:dyDescent="0.25">
      <c r="A4328">
        <v>17</v>
      </c>
      <c r="B4328" t="s">
        <v>1130</v>
      </c>
      <c r="C4328">
        <f>-0.06-3.76</f>
        <v>-3.82</v>
      </c>
      <c r="D4328">
        <v>1.85</v>
      </c>
      <c r="E4328" t="s">
        <v>423</v>
      </c>
      <c r="F4328" t="s">
        <v>114</v>
      </c>
      <c r="G4328">
        <v>3.76</v>
      </c>
      <c r="H4328">
        <v>-0.06</v>
      </c>
      <c r="I4328">
        <v>1.91</v>
      </c>
      <c r="J4328">
        <v>3.6480999999999999</v>
      </c>
      <c r="K4328" t="str">
        <f>IFERROR(INDEX(Rosters!$C$2:$C$155,MATCH($B4328,Rosters!$B$2:$B$155,0)),"NA")</f>
        <v>NA</v>
      </c>
      <c r="L4328" t="str">
        <f t="shared" si="201"/>
        <v>NA17TE</v>
      </c>
      <c r="M4328">
        <f>COUNTIF(L$1:L4328,L4328)</f>
        <v>39</v>
      </c>
      <c r="N4328" t="str">
        <f t="shared" si="202"/>
        <v>NA17TE-39</v>
      </c>
      <c r="O4328">
        <f>COUNTIFS(F$1:F4328,F4328,A$1:A4328,A4328)</f>
        <v>53</v>
      </c>
      <c r="P4328" t="str">
        <f t="shared" si="203"/>
        <v>Neal Sterling17</v>
      </c>
    </row>
    <row r="4329" spans="1:16" x14ac:dyDescent="0.25">
      <c r="A4329">
        <v>5</v>
      </c>
      <c r="B4329" t="s">
        <v>262</v>
      </c>
      <c r="C4329" t="s">
        <v>8549</v>
      </c>
      <c r="D4329">
        <v>1.84</v>
      </c>
      <c r="E4329" t="s">
        <v>50</v>
      </c>
      <c r="F4329" t="s">
        <v>87</v>
      </c>
      <c r="G4329">
        <v>3.59</v>
      </c>
      <c r="H4329">
        <v>0.09</v>
      </c>
      <c r="I4329">
        <v>1.75</v>
      </c>
      <c r="J4329">
        <v>3.0625</v>
      </c>
      <c r="K4329" t="str">
        <f>IFERROR(INDEX(Rosters!$C$2:$C$155,MATCH($B4329,Rosters!$B$2:$B$155,0)),"NA")</f>
        <v>NA</v>
      </c>
      <c r="L4329" t="str">
        <f t="shared" si="201"/>
        <v>NA5WR</v>
      </c>
      <c r="M4329">
        <f>COUNTIF(L$1:L4329,L4329)</f>
        <v>55</v>
      </c>
      <c r="N4329" t="str">
        <f t="shared" si="202"/>
        <v>NA5WR-55</v>
      </c>
      <c r="O4329">
        <f>COUNTIFS(F$1:F4329,F4329,A$1:A4329,A4329)</f>
        <v>105</v>
      </c>
      <c r="P4329" t="str">
        <f t="shared" si="203"/>
        <v>Laquon Treadwell5</v>
      </c>
    </row>
    <row r="4330" spans="1:16" x14ac:dyDescent="0.25">
      <c r="A4330">
        <v>17</v>
      </c>
      <c r="B4330" t="s">
        <v>259</v>
      </c>
      <c r="C4330">
        <f>-0.28-3.96</f>
        <v>-4.24</v>
      </c>
      <c r="D4330">
        <v>1.84</v>
      </c>
      <c r="E4330" t="s">
        <v>22</v>
      </c>
      <c r="F4330" t="s">
        <v>87</v>
      </c>
      <c r="G4330">
        <v>3.96</v>
      </c>
      <c r="H4330">
        <v>-0.28000000000000003</v>
      </c>
      <c r="I4330">
        <v>2.12</v>
      </c>
      <c r="J4330">
        <v>4.4943999999999997</v>
      </c>
      <c r="K4330" t="str">
        <f>IFERROR(INDEX(Rosters!$C$2:$C$155,MATCH($B4330,Rosters!$B$2:$B$155,0)),"NA")</f>
        <v>NA</v>
      </c>
      <c r="L4330" t="str">
        <f t="shared" si="201"/>
        <v>NA17WR</v>
      </c>
      <c r="M4330">
        <f>COUNTIF(L$1:L4330,L4330)</f>
        <v>62</v>
      </c>
      <c r="N4330" t="str">
        <f t="shared" si="202"/>
        <v>NA17WR-62</v>
      </c>
      <c r="O4330">
        <f>COUNTIFS(F$1:F4330,F4330,A$1:A4330,A4330)</f>
        <v>116</v>
      </c>
      <c r="P4330" t="str">
        <f t="shared" si="203"/>
        <v>Russell Shepard17</v>
      </c>
    </row>
    <row r="4331" spans="1:16" x14ac:dyDescent="0.25">
      <c r="A4331">
        <v>6</v>
      </c>
      <c r="B4331" t="s">
        <v>275</v>
      </c>
      <c r="C4331" t="s">
        <v>8550</v>
      </c>
      <c r="D4331">
        <v>1.83</v>
      </c>
      <c r="E4331" t="s">
        <v>56</v>
      </c>
      <c r="F4331" t="s">
        <v>47</v>
      </c>
      <c r="G4331">
        <v>3.46</v>
      </c>
      <c r="H4331">
        <v>0.2</v>
      </c>
      <c r="I4331">
        <v>1.63</v>
      </c>
      <c r="J4331">
        <v>2.6568999999999998</v>
      </c>
      <c r="K4331" t="str">
        <f>IFERROR(INDEX(Rosters!$C$2:$C$155,MATCH($B4331,Rosters!$B$2:$B$155,0)),"NA")</f>
        <v>NA</v>
      </c>
      <c r="L4331" t="str">
        <f t="shared" si="201"/>
        <v>NA6RB</v>
      </c>
      <c r="M4331">
        <f>COUNTIF(L$1:L4331,L4331)</f>
        <v>28</v>
      </c>
      <c r="N4331" t="str">
        <f t="shared" si="202"/>
        <v>NA6RB-28</v>
      </c>
      <c r="O4331">
        <f>COUNTIFS(F$1:F4331,F4331,A$1:A4331,A4331)</f>
        <v>70</v>
      </c>
      <c r="P4331" t="str">
        <f t="shared" si="203"/>
        <v>Devontae Booker6</v>
      </c>
    </row>
    <row r="4332" spans="1:16" x14ac:dyDescent="0.25">
      <c r="A4332">
        <v>7</v>
      </c>
      <c r="B4332" t="s">
        <v>4226</v>
      </c>
      <c r="C4332">
        <f>-0.06-3.72</f>
        <v>-3.7800000000000002</v>
      </c>
      <c r="D4332">
        <v>1.83</v>
      </c>
      <c r="E4332" t="s">
        <v>76</v>
      </c>
      <c r="F4332" t="s">
        <v>114</v>
      </c>
      <c r="G4332">
        <v>3.72</v>
      </c>
      <c r="H4332">
        <v>-0.06</v>
      </c>
      <c r="I4332">
        <v>1.89</v>
      </c>
      <c r="J4332">
        <v>3.5720999999999998</v>
      </c>
      <c r="K4332" t="str">
        <f>IFERROR(INDEX(Rosters!$C$2:$C$155,MATCH($B4332,Rosters!$B$2:$B$155,0)),"NA")</f>
        <v>NA</v>
      </c>
      <c r="L4332" t="str">
        <f t="shared" si="201"/>
        <v>NA7TE</v>
      </c>
      <c r="M4332">
        <f>COUNTIF(L$1:L4332,L4332)</f>
        <v>35</v>
      </c>
      <c r="N4332" t="str">
        <f t="shared" si="202"/>
        <v>NA7TE-35</v>
      </c>
      <c r="O4332">
        <f>COUNTIFS(F$1:F4332,F4332,A$1:A4332,A4332)</f>
        <v>45</v>
      </c>
      <c r="P4332" t="str">
        <f t="shared" si="203"/>
        <v>Jordan Thomas7</v>
      </c>
    </row>
    <row r="4333" spans="1:16" x14ac:dyDescent="0.25">
      <c r="A4333">
        <v>13</v>
      </c>
      <c r="B4333" t="s">
        <v>1406</v>
      </c>
      <c r="C4333" t="s">
        <v>8551</v>
      </c>
      <c r="D4333">
        <v>1.83</v>
      </c>
      <c r="E4333" t="s">
        <v>46</v>
      </c>
      <c r="F4333" t="s">
        <v>47</v>
      </c>
      <c r="G4333">
        <v>3.55</v>
      </c>
      <c r="H4333">
        <v>0.11</v>
      </c>
      <c r="I4333">
        <v>1.72</v>
      </c>
      <c r="J4333">
        <v>2.9584000000000001</v>
      </c>
      <c r="K4333" t="str">
        <f>IFERROR(INDEX(Rosters!$C$2:$C$155,MATCH($B4333,Rosters!$B$2:$B$155,0)),"NA")</f>
        <v>NA</v>
      </c>
      <c r="L4333" t="str">
        <f t="shared" si="201"/>
        <v>NA13RB</v>
      </c>
      <c r="M4333">
        <f>COUNTIF(L$1:L4333,L4333)</f>
        <v>30</v>
      </c>
      <c r="N4333" t="str">
        <f t="shared" si="202"/>
        <v>NA13RB-30</v>
      </c>
      <c r="O4333">
        <f>COUNTIFS(F$1:F4333,F4333,A$1:A4333,A4333)</f>
        <v>77</v>
      </c>
      <c r="P4333" t="str">
        <f t="shared" si="203"/>
        <v>Kenneth Dixon13</v>
      </c>
    </row>
    <row r="4334" spans="1:16" x14ac:dyDescent="0.25">
      <c r="A4334">
        <v>16</v>
      </c>
      <c r="B4334" t="s">
        <v>274</v>
      </c>
      <c r="C4334" t="s">
        <v>8552</v>
      </c>
      <c r="D4334">
        <v>1.83</v>
      </c>
      <c r="E4334" t="s">
        <v>50</v>
      </c>
      <c r="F4334" t="s">
        <v>114</v>
      </c>
      <c r="G4334">
        <v>3.48</v>
      </c>
      <c r="H4334">
        <v>0.18</v>
      </c>
      <c r="I4334">
        <v>1.65</v>
      </c>
      <c r="J4334">
        <v>2.7225000000000001</v>
      </c>
      <c r="K4334" t="str">
        <f>IFERROR(INDEX(Rosters!$C$2:$C$155,MATCH($B4334,Rosters!$B$2:$B$155,0)),"NA")</f>
        <v>NA</v>
      </c>
      <c r="L4334" t="str">
        <f t="shared" si="201"/>
        <v>NA16TE</v>
      </c>
      <c r="M4334">
        <f>COUNTIF(L$1:L4334,L4334)</f>
        <v>41</v>
      </c>
      <c r="N4334" t="str">
        <f t="shared" si="202"/>
        <v>NA16TE-41</v>
      </c>
      <c r="O4334">
        <f>COUNTIFS(F$1:F4334,F4334,A$1:A4334,A4334)</f>
        <v>55</v>
      </c>
      <c r="P4334" t="str">
        <f t="shared" si="203"/>
        <v>Ryan Griffin16</v>
      </c>
    </row>
    <row r="4335" spans="1:16" x14ac:dyDescent="0.25">
      <c r="A4335">
        <v>7</v>
      </c>
      <c r="B4335" t="s">
        <v>310</v>
      </c>
      <c r="C4335">
        <f>-0.34-3.98</f>
        <v>-4.32</v>
      </c>
      <c r="D4335">
        <v>1.82</v>
      </c>
      <c r="E4335" t="s">
        <v>31</v>
      </c>
      <c r="F4335" t="s">
        <v>114</v>
      </c>
      <c r="G4335">
        <v>3.98</v>
      </c>
      <c r="H4335">
        <v>-0.34</v>
      </c>
      <c r="I4335">
        <v>2.16</v>
      </c>
      <c r="J4335">
        <v>4.6656000000000004</v>
      </c>
      <c r="K4335" t="str">
        <f>IFERROR(INDEX(Rosters!$C$2:$C$155,MATCH($B4335,Rosters!$B$2:$B$155,0)),"NA")</f>
        <v>NA</v>
      </c>
      <c r="L4335" t="str">
        <f t="shared" si="201"/>
        <v>NA7TE</v>
      </c>
      <c r="M4335">
        <f>COUNTIF(L$1:L4335,L4335)</f>
        <v>36</v>
      </c>
      <c r="N4335" t="str">
        <f t="shared" si="202"/>
        <v>NA7TE-36</v>
      </c>
      <c r="O4335">
        <f>COUNTIFS(F$1:F4335,F4335,A$1:A4335,A4335)</f>
        <v>46</v>
      </c>
      <c r="P4335" t="str">
        <f t="shared" si="203"/>
        <v>Demetrius Harris7</v>
      </c>
    </row>
    <row r="4336" spans="1:16" x14ac:dyDescent="0.25">
      <c r="A4336">
        <v>6</v>
      </c>
      <c r="B4336" t="s">
        <v>1423</v>
      </c>
      <c r="C4336">
        <f>-0.84-4.48</f>
        <v>-5.32</v>
      </c>
      <c r="D4336">
        <v>1.82</v>
      </c>
      <c r="E4336" t="s">
        <v>72</v>
      </c>
      <c r="F4336" t="s">
        <v>114</v>
      </c>
      <c r="G4336">
        <v>4.4800000000000004</v>
      </c>
      <c r="H4336">
        <v>-0.84</v>
      </c>
      <c r="I4336">
        <v>2.66</v>
      </c>
      <c r="J4336">
        <v>7.0755999999999997</v>
      </c>
      <c r="K4336" t="str">
        <f>IFERROR(INDEX(Rosters!$C$2:$C$155,MATCH($B4336,Rosters!$B$2:$B$155,0)),"NA")</f>
        <v>NA</v>
      </c>
      <c r="L4336" t="str">
        <f t="shared" si="201"/>
        <v>NA6TE</v>
      </c>
      <c r="M4336">
        <f>COUNTIF(L$1:L4336,L4336)</f>
        <v>35</v>
      </c>
      <c r="N4336" t="str">
        <f t="shared" si="202"/>
        <v>NA6TE-35</v>
      </c>
      <c r="O4336">
        <f>COUNTIFS(F$1:F4336,F4336,A$1:A4336,A4336)</f>
        <v>47</v>
      </c>
      <c r="P4336" t="str">
        <f t="shared" si="203"/>
        <v>Michael Gesicki6</v>
      </c>
    </row>
    <row r="4337" spans="1:16" x14ac:dyDescent="0.25">
      <c r="A4337">
        <v>7</v>
      </c>
      <c r="B4337" t="s">
        <v>323</v>
      </c>
      <c r="C4337" t="s">
        <v>8553</v>
      </c>
      <c r="D4337">
        <v>1.82</v>
      </c>
      <c r="E4337" t="s">
        <v>36</v>
      </c>
      <c r="F4337" t="s">
        <v>114</v>
      </c>
      <c r="G4337">
        <v>3.46</v>
      </c>
      <c r="H4337">
        <v>0.18</v>
      </c>
      <c r="I4337">
        <v>1.64</v>
      </c>
      <c r="J4337">
        <v>2.6896</v>
      </c>
      <c r="K4337" t="str">
        <f>IFERROR(INDEX(Rosters!$C$2:$C$155,MATCH($B4337,Rosters!$B$2:$B$155,0)),"NA")</f>
        <v>NA</v>
      </c>
      <c r="L4337" t="str">
        <f t="shared" si="201"/>
        <v>NA7TE</v>
      </c>
      <c r="M4337">
        <f>COUNTIF(L$1:L4337,L4337)</f>
        <v>37</v>
      </c>
      <c r="N4337" t="str">
        <f t="shared" si="202"/>
        <v>NA7TE-37</v>
      </c>
      <c r="O4337">
        <f>COUNTIFS(F$1:F4337,F4337,A$1:A4337,A4337)</f>
        <v>47</v>
      </c>
      <c r="P4337" t="str">
        <f t="shared" si="203"/>
        <v>Niles Paul7</v>
      </c>
    </row>
    <row r="4338" spans="1:16" x14ac:dyDescent="0.25">
      <c r="A4338">
        <v>5</v>
      </c>
      <c r="B4338" t="s">
        <v>259</v>
      </c>
      <c r="C4338">
        <f>-0.17-3.81</f>
        <v>-3.98</v>
      </c>
      <c r="D4338">
        <v>1.82</v>
      </c>
      <c r="E4338" t="s">
        <v>74</v>
      </c>
      <c r="F4338" t="s">
        <v>87</v>
      </c>
      <c r="G4338">
        <v>3.81</v>
      </c>
      <c r="H4338">
        <v>-0.17</v>
      </c>
      <c r="I4338">
        <v>1.99</v>
      </c>
      <c r="J4338">
        <v>3.9601000000000002</v>
      </c>
      <c r="K4338" t="str">
        <f>IFERROR(INDEX(Rosters!$C$2:$C$155,MATCH($B4338,Rosters!$B$2:$B$155,0)),"NA")</f>
        <v>NA</v>
      </c>
      <c r="L4338" t="str">
        <f t="shared" si="201"/>
        <v>NA5WR</v>
      </c>
      <c r="M4338">
        <f>COUNTIF(L$1:L4338,L4338)</f>
        <v>56</v>
      </c>
      <c r="N4338" t="str">
        <f t="shared" si="202"/>
        <v>NA5WR-56</v>
      </c>
      <c r="O4338">
        <f>COUNTIFS(F$1:F4338,F4338,A$1:A4338,A4338)</f>
        <v>106</v>
      </c>
      <c r="P4338" t="str">
        <f t="shared" si="203"/>
        <v>Russell Shepard5</v>
      </c>
    </row>
    <row r="4339" spans="1:16" x14ac:dyDescent="0.25">
      <c r="A4339">
        <v>6</v>
      </c>
      <c r="B4339" t="s">
        <v>4232</v>
      </c>
      <c r="C4339" t="s">
        <v>8554</v>
      </c>
      <c r="D4339">
        <v>1.82</v>
      </c>
      <c r="E4339" t="s">
        <v>46</v>
      </c>
      <c r="F4339" t="s">
        <v>47</v>
      </c>
      <c r="G4339">
        <v>3.56</v>
      </c>
      <c r="H4339">
        <v>0.08</v>
      </c>
      <c r="I4339">
        <v>1.74</v>
      </c>
      <c r="J4339">
        <v>3.0276000000000001</v>
      </c>
      <c r="K4339" t="str">
        <f>IFERROR(INDEX(Rosters!$C$2:$C$155,MATCH($B4339,Rosters!$B$2:$B$155,0)),"NA")</f>
        <v>NA</v>
      </c>
      <c r="L4339" t="str">
        <f t="shared" si="201"/>
        <v>NA6RB</v>
      </c>
      <c r="M4339">
        <f>COUNTIF(L$1:L4339,L4339)</f>
        <v>29</v>
      </c>
      <c r="N4339" t="str">
        <f t="shared" si="202"/>
        <v>NA6RB-29</v>
      </c>
      <c r="O4339">
        <f>COUNTIFS(F$1:F4339,F4339,A$1:A4339,A4339)</f>
        <v>71</v>
      </c>
      <c r="P4339" t="str">
        <f t="shared" si="203"/>
        <v>Shaun Wilson6</v>
      </c>
    </row>
    <row r="4340" spans="1:16" x14ac:dyDescent="0.25">
      <c r="A4340">
        <v>9</v>
      </c>
      <c r="B4340" t="s">
        <v>4208</v>
      </c>
      <c r="C4340" t="s">
        <v>8555</v>
      </c>
      <c r="D4340">
        <v>1.81</v>
      </c>
      <c r="E4340" t="s">
        <v>38</v>
      </c>
      <c r="F4340" t="s">
        <v>114</v>
      </c>
      <c r="G4340">
        <v>3.61</v>
      </c>
      <c r="H4340">
        <v>0.01</v>
      </c>
      <c r="I4340">
        <v>1.8</v>
      </c>
      <c r="J4340">
        <v>3.24</v>
      </c>
      <c r="K4340" t="str">
        <f>IFERROR(INDEX(Rosters!$C$2:$C$155,MATCH($B4340,Rosters!$B$2:$B$155,0)),"NA")</f>
        <v>NA</v>
      </c>
      <c r="L4340" t="str">
        <f t="shared" si="201"/>
        <v>NA9TE</v>
      </c>
      <c r="M4340">
        <f>COUNTIF(L$1:L4340,L4340)</f>
        <v>33</v>
      </c>
      <c r="N4340" t="str">
        <f t="shared" si="202"/>
        <v>NA9TE-33</v>
      </c>
      <c r="O4340">
        <f>COUNTIFS(F$1:F4340,F4340,A$1:A4340,A4340)</f>
        <v>44</v>
      </c>
      <c r="P4340" t="str">
        <f t="shared" si="203"/>
        <v>Blake Jarwin9</v>
      </c>
    </row>
    <row r="4341" spans="1:16" x14ac:dyDescent="0.25">
      <c r="A4341">
        <v>6</v>
      </c>
      <c r="B4341" t="s">
        <v>318</v>
      </c>
      <c r="C4341" t="s">
        <v>8556</v>
      </c>
      <c r="D4341">
        <v>1.81</v>
      </c>
      <c r="E4341" t="s">
        <v>58</v>
      </c>
      <c r="F4341" t="s">
        <v>114</v>
      </c>
      <c r="G4341">
        <v>3.59</v>
      </c>
      <c r="H4341">
        <v>0.03</v>
      </c>
      <c r="I4341">
        <v>1.78</v>
      </c>
      <c r="J4341">
        <v>3.1684000000000001</v>
      </c>
      <c r="K4341" t="str">
        <f>IFERROR(INDEX(Rosters!$C$2:$C$155,MATCH($B4341,Rosters!$B$2:$B$155,0)),"NA")</f>
        <v>NA</v>
      </c>
      <c r="L4341" t="str">
        <f t="shared" si="201"/>
        <v>NA6TE</v>
      </c>
      <c r="M4341">
        <f>COUNTIF(L$1:L4341,L4341)</f>
        <v>36</v>
      </c>
      <c r="N4341" t="str">
        <f t="shared" si="202"/>
        <v>NA6TE-36</v>
      </c>
      <c r="O4341">
        <f>COUNTIFS(F$1:F4341,F4341,A$1:A4341,A4341)</f>
        <v>48</v>
      </c>
      <c r="P4341" t="str">
        <f t="shared" si="203"/>
        <v>David Morgan6</v>
      </c>
    </row>
    <row r="4342" spans="1:16" x14ac:dyDescent="0.25">
      <c r="A4342">
        <v>5</v>
      </c>
      <c r="B4342" t="s">
        <v>1517</v>
      </c>
      <c r="C4342">
        <f>-0.12-3.74</f>
        <v>-3.8600000000000003</v>
      </c>
      <c r="D4342">
        <v>1.81</v>
      </c>
      <c r="E4342" t="s">
        <v>51</v>
      </c>
      <c r="F4342" t="s">
        <v>114</v>
      </c>
      <c r="G4342">
        <v>3.74</v>
      </c>
      <c r="H4342">
        <v>-0.12</v>
      </c>
      <c r="I4342">
        <v>1.93</v>
      </c>
      <c r="J4342">
        <v>3.7248999999999999</v>
      </c>
      <c r="K4342" t="str">
        <f>IFERROR(INDEX(Rosters!$C$2:$C$155,MATCH($B4342,Rosters!$B$2:$B$155,0)),"NA")</f>
        <v>NA</v>
      </c>
      <c r="L4342" t="str">
        <f t="shared" si="201"/>
        <v>NA5TE</v>
      </c>
      <c r="M4342">
        <f>COUNTIF(L$1:L4342,L4342)</f>
        <v>38</v>
      </c>
      <c r="N4342" t="str">
        <f t="shared" si="202"/>
        <v>NA5TE-38</v>
      </c>
      <c r="O4342">
        <f>COUNTIFS(F$1:F4342,F4342,A$1:A4342,A4342)</f>
        <v>49</v>
      </c>
      <c r="P4342" t="str">
        <f t="shared" si="203"/>
        <v>Eric Saubert5</v>
      </c>
    </row>
    <row r="4343" spans="1:16" x14ac:dyDescent="0.25">
      <c r="A4343">
        <v>3</v>
      </c>
      <c r="B4343" t="s">
        <v>1586</v>
      </c>
      <c r="C4343" t="s">
        <v>3803</v>
      </c>
      <c r="D4343">
        <v>1.81</v>
      </c>
      <c r="E4343" t="s">
        <v>52</v>
      </c>
      <c r="F4343" t="s">
        <v>114</v>
      </c>
      <c r="G4343">
        <v>3.3</v>
      </c>
      <c r="H4343">
        <v>0.32</v>
      </c>
      <c r="I4343">
        <v>1.49</v>
      </c>
      <c r="J4343">
        <v>2.2201</v>
      </c>
      <c r="K4343" t="str">
        <f>IFERROR(INDEX(Rosters!$C$2:$C$155,MATCH($B4343,Rosters!$B$2:$B$155,0)),"NA")</f>
        <v>NA</v>
      </c>
      <c r="L4343" t="str">
        <f t="shared" si="201"/>
        <v>NA3TE</v>
      </c>
      <c r="M4343">
        <f>COUNTIF(L$1:L4343,L4343)</f>
        <v>40</v>
      </c>
      <c r="N4343" t="str">
        <f t="shared" si="202"/>
        <v>NA3TE-40</v>
      </c>
      <c r="O4343">
        <f>COUNTIFS(F$1:F4343,F4343,A$1:A4343,A4343)</f>
        <v>53</v>
      </c>
      <c r="P4343" t="str">
        <f t="shared" si="203"/>
        <v>Eric Tomlinson3</v>
      </c>
    </row>
    <row r="4344" spans="1:16" x14ac:dyDescent="0.25">
      <c r="A4344">
        <v>3</v>
      </c>
      <c r="B4344" t="s">
        <v>1624</v>
      </c>
      <c r="C4344">
        <f>-0.31-3.93</f>
        <v>-4.24</v>
      </c>
      <c r="D4344">
        <v>1.81</v>
      </c>
      <c r="E4344" t="s">
        <v>72</v>
      </c>
      <c r="F4344" t="s">
        <v>114</v>
      </c>
      <c r="G4344">
        <v>3.93</v>
      </c>
      <c r="H4344">
        <v>-0.31</v>
      </c>
      <c r="I4344">
        <v>2.12</v>
      </c>
      <c r="J4344">
        <v>4.4943999999999997</v>
      </c>
      <c r="K4344" t="str">
        <f>IFERROR(INDEX(Rosters!$C$2:$C$155,MATCH($B4344,Rosters!$B$2:$B$155,0)),"NA")</f>
        <v>NA</v>
      </c>
      <c r="L4344" t="str">
        <f t="shared" si="201"/>
        <v>NA3TE</v>
      </c>
      <c r="M4344">
        <f>COUNTIF(L$1:L4344,L4344)</f>
        <v>41</v>
      </c>
      <c r="N4344" t="str">
        <f t="shared" si="202"/>
        <v>NA3TE-41</v>
      </c>
      <c r="O4344">
        <f>COUNTIFS(F$1:F4344,F4344,A$1:A4344,A4344)</f>
        <v>54</v>
      </c>
      <c r="P4344" t="str">
        <f t="shared" si="203"/>
        <v>Gabe Holmes3</v>
      </c>
    </row>
    <row r="4345" spans="1:16" x14ac:dyDescent="0.25">
      <c r="A4345">
        <v>3</v>
      </c>
      <c r="B4345" t="s">
        <v>232</v>
      </c>
      <c r="C4345" t="s">
        <v>3804</v>
      </c>
      <c r="D4345">
        <v>1.81</v>
      </c>
      <c r="E4345" t="s">
        <v>19</v>
      </c>
      <c r="F4345" t="s">
        <v>47</v>
      </c>
      <c r="G4345">
        <v>3.21</v>
      </c>
      <c r="H4345">
        <v>0.41</v>
      </c>
      <c r="I4345">
        <v>1.4</v>
      </c>
      <c r="J4345">
        <v>1.96</v>
      </c>
      <c r="K4345" t="str">
        <f>IFERROR(INDEX(Rosters!$C$2:$C$155,MATCH($B4345,Rosters!$B$2:$B$155,0)),"NA")</f>
        <v>NA</v>
      </c>
      <c r="L4345" t="str">
        <f t="shared" si="201"/>
        <v>NA3RB</v>
      </c>
      <c r="M4345">
        <f>COUNTIF(L$1:L4345,L4345)</f>
        <v>32</v>
      </c>
      <c r="N4345" t="str">
        <f t="shared" si="202"/>
        <v>NA3RB-32</v>
      </c>
      <c r="O4345">
        <f>COUNTIFS(F$1:F4345,F4345,A$1:A4345,A4345)</f>
        <v>71</v>
      </c>
      <c r="P4345" t="str">
        <f t="shared" si="203"/>
        <v>Jalen Richard3</v>
      </c>
    </row>
    <row r="4346" spans="1:16" x14ac:dyDescent="0.25">
      <c r="A4346">
        <v>5</v>
      </c>
      <c r="B4346" t="s">
        <v>231</v>
      </c>
      <c r="C4346" t="s">
        <v>8557</v>
      </c>
      <c r="D4346">
        <v>1.81</v>
      </c>
      <c r="E4346" t="s">
        <v>30</v>
      </c>
      <c r="F4346" t="s">
        <v>114</v>
      </c>
      <c r="G4346">
        <v>3.54</v>
      </c>
      <c r="H4346">
        <v>0.08</v>
      </c>
      <c r="I4346">
        <v>1.73</v>
      </c>
      <c r="J4346">
        <v>2.9929000000000001</v>
      </c>
      <c r="K4346" t="str">
        <f>IFERROR(INDEX(Rosters!$C$2:$C$155,MATCH($B4346,Rosters!$B$2:$B$155,0)),"NA")</f>
        <v>NA</v>
      </c>
      <c r="L4346" t="str">
        <f t="shared" si="201"/>
        <v>NA5TE</v>
      </c>
      <c r="M4346">
        <f>COUNTIF(L$1:L4346,L4346)</f>
        <v>39</v>
      </c>
      <c r="N4346" t="str">
        <f t="shared" si="202"/>
        <v>NA5TE-39</v>
      </c>
      <c r="O4346">
        <f>COUNTIFS(F$1:F4346,F4346,A$1:A4346,A4346)</f>
        <v>50</v>
      </c>
      <c r="P4346" t="str">
        <f t="shared" si="203"/>
        <v>Jermaine Gresham5</v>
      </c>
    </row>
    <row r="4347" spans="1:16" x14ac:dyDescent="0.25">
      <c r="A4347">
        <v>7</v>
      </c>
      <c r="B4347" t="s">
        <v>270</v>
      </c>
      <c r="C4347">
        <f>-0.11-3.73</f>
        <v>-3.84</v>
      </c>
      <c r="D4347">
        <v>1.81</v>
      </c>
      <c r="E4347" t="s">
        <v>14</v>
      </c>
      <c r="F4347" t="s">
        <v>114</v>
      </c>
      <c r="G4347">
        <v>3.73</v>
      </c>
      <c r="H4347">
        <v>-0.11</v>
      </c>
      <c r="I4347">
        <v>1.92</v>
      </c>
      <c r="J4347">
        <v>3.6863999999999999</v>
      </c>
      <c r="K4347" t="str">
        <f>IFERROR(INDEX(Rosters!$C$2:$C$155,MATCH($B4347,Rosters!$B$2:$B$155,0)),"NA")</f>
        <v>NA</v>
      </c>
      <c r="L4347" t="str">
        <f t="shared" si="201"/>
        <v>NA7TE</v>
      </c>
      <c r="M4347">
        <f>COUNTIF(L$1:L4347,L4347)</f>
        <v>38</v>
      </c>
      <c r="N4347" t="str">
        <f t="shared" si="202"/>
        <v>NA7TE-38</v>
      </c>
      <c r="O4347">
        <f>COUNTIFS(F$1:F4347,F4347,A$1:A4347,A4347)</f>
        <v>48</v>
      </c>
      <c r="P4347" t="str">
        <f t="shared" si="203"/>
        <v>Maxx Williams7</v>
      </c>
    </row>
    <row r="4348" spans="1:16" x14ac:dyDescent="0.25">
      <c r="A4348">
        <v>4</v>
      </c>
      <c r="B4348" t="s">
        <v>386</v>
      </c>
      <c r="C4348">
        <f>-0.06-3.68</f>
        <v>-3.74</v>
      </c>
      <c r="D4348">
        <v>1.81</v>
      </c>
      <c r="E4348" t="s">
        <v>51</v>
      </c>
      <c r="F4348" t="s">
        <v>114</v>
      </c>
      <c r="G4348">
        <v>3.68</v>
      </c>
      <c r="H4348">
        <v>-0.06</v>
      </c>
      <c r="I4348">
        <v>1.87</v>
      </c>
      <c r="J4348">
        <v>3.4969000000000001</v>
      </c>
      <c r="K4348" t="str">
        <f>IFERROR(INDEX(Rosters!$C$2:$C$155,MATCH($B4348,Rosters!$B$2:$B$155,0)),"NA")</f>
        <v>NA</v>
      </c>
      <c r="L4348" t="str">
        <f t="shared" si="201"/>
        <v>NA4TE</v>
      </c>
      <c r="M4348">
        <f>COUNTIF(L$1:L4348,L4348)</f>
        <v>34</v>
      </c>
      <c r="N4348" t="str">
        <f t="shared" si="202"/>
        <v>NA4TE-34</v>
      </c>
      <c r="O4348">
        <f>COUNTIFS(F$1:F4348,F4348,A$1:A4348,A4348)</f>
        <v>45</v>
      </c>
      <c r="P4348" t="str">
        <f t="shared" si="203"/>
        <v>Nick Boyle4</v>
      </c>
    </row>
    <row r="4349" spans="1:16" x14ac:dyDescent="0.25">
      <c r="A4349">
        <v>6</v>
      </c>
      <c r="B4349" t="s">
        <v>323</v>
      </c>
      <c r="C4349" t="s">
        <v>4646</v>
      </c>
      <c r="D4349">
        <v>1.81</v>
      </c>
      <c r="E4349" t="s">
        <v>22</v>
      </c>
      <c r="F4349" t="s">
        <v>114</v>
      </c>
      <c r="G4349">
        <v>3.42</v>
      </c>
      <c r="H4349">
        <v>0.2</v>
      </c>
      <c r="I4349">
        <v>1.61</v>
      </c>
      <c r="J4349">
        <v>2.5920999999999998</v>
      </c>
      <c r="K4349" t="str">
        <f>IFERROR(INDEX(Rosters!$C$2:$C$155,MATCH($B4349,Rosters!$B$2:$B$155,0)),"NA")</f>
        <v>NA</v>
      </c>
      <c r="L4349" t="str">
        <f t="shared" si="201"/>
        <v>NA6TE</v>
      </c>
      <c r="M4349">
        <f>COUNTIF(L$1:L4349,L4349)</f>
        <v>37</v>
      </c>
      <c r="N4349" t="str">
        <f t="shared" si="202"/>
        <v>NA6TE-37</v>
      </c>
      <c r="O4349">
        <f>COUNTIFS(F$1:F4349,F4349,A$1:A4349,A4349)</f>
        <v>49</v>
      </c>
      <c r="P4349" t="str">
        <f t="shared" si="203"/>
        <v>Niles Paul6</v>
      </c>
    </row>
    <row r="4350" spans="1:16" x14ac:dyDescent="0.25">
      <c r="A4350">
        <v>11</v>
      </c>
      <c r="B4350" t="s">
        <v>1336</v>
      </c>
      <c r="C4350" t="s">
        <v>4647</v>
      </c>
      <c r="D4350">
        <v>1.81</v>
      </c>
      <c r="E4350" t="s">
        <v>41</v>
      </c>
      <c r="F4350" t="s">
        <v>47</v>
      </c>
      <c r="G4350">
        <v>3.51</v>
      </c>
      <c r="H4350">
        <v>0.11</v>
      </c>
      <c r="I4350">
        <v>1.7</v>
      </c>
      <c r="J4350">
        <v>2.89</v>
      </c>
      <c r="K4350" t="str">
        <f>IFERROR(INDEX(Rosters!$C$2:$C$155,MATCH($B4350,Rosters!$B$2:$B$155,0)),"NA")</f>
        <v>NA</v>
      </c>
      <c r="L4350" t="str">
        <f t="shared" si="201"/>
        <v>NA11RB</v>
      </c>
      <c r="M4350">
        <f>COUNTIF(L$1:L4350,L4350)</f>
        <v>25</v>
      </c>
      <c r="N4350" t="str">
        <f t="shared" si="202"/>
        <v>NA11RB-25</v>
      </c>
      <c r="O4350">
        <f>COUNTIFS(F$1:F4350,F4350,A$1:A4350,A4350)</f>
        <v>63</v>
      </c>
      <c r="P4350" t="str">
        <f t="shared" si="203"/>
        <v>Rashaad Penny11</v>
      </c>
    </row>
    <row r="4351" spans="1:16" x14ac:dyDescent="0.25">
      <c r="A4351">
        <v>15</v>
      </c>
      <c r="B4351" t="s">
        <v>284</v>
      </c>
      <c r="C4351">
        <f>-0.01-3.61</f>
        <v>-3.6199999999999997</v>
      </c>
      <c r="D4351">
        <v>1.8</v>
      </c>
      <c r="E4351" t="s">
        <v>41</v>
      </c>
      <c r="F4351" t="s">
        <v>114</v>
      </c>
      <c r="G4351">
        <v>3.61</v>
      </c>
      <c r="H4351">
        <v>-0.01</v>
      </c>
      <c r="I4351">
        <v>1.81</v>
      </c>
      <c r="J4351">
        <v>3.2761</v>
      </c>
      <c r="K4351" t="str">
        <f>IFERROR(INDEX(Rosters!$C$2:$C$155,MATCH($B4351,Rosters!$B$2:$B$155,0)),"NA")</f>
        <v>NA</v>
      </c>
      <c r="L4351" t="str">
        <f t="shared" si="201"/>
        <v>NA15TE</v>
      </c>
      <c r="M4351">
        <f>COUNTIF(L$1:L4351,L4351)</f>
        <v>41</v>
      </c>
      <c r="N4351" t="str">
        <f t="shared" si="202"/>
        <v>NA15TE-41</v>
      </c>
      <c r="O4351">
        <f>COUNTIFS(F$1:F4351,F4351,A$1:A4351,A4351)</f>
        <v>55</v>
      </c>
      <c r="P4351" t="str">
        <f t="shared" si="203"/>
        <v>Dion Sims15</v>
      </c>
    </row>
    <row r="4352" spans="1:16" x14ac:dyDescent="0.25">
      <c r="A4352">
        <v>1</v>
      </c>
      <c r="B4352" t="s">
        <v>1484</v>
      </c>
      <c r="C4352">
        <f>-0.31-3.91</f>
        <v>-4.22</v>
      </c>
      <c r="D4352">
        <v>1.8</v>
      </c>
      <c r="E4352" t="s">
        <v>28</v>
      </c>
      <c r="F4352" t="s">
        <v>114</v>
      </c>
      <c r="G4352">
        <v>3.91</v>
      </c>
      <c r="H4352">
        <v>-0.31</v>
      </c>
      <c r="I4352">
        <v>2.11</v>
      </c>
      <c r="J4352">
        <v>4.4520999999999997</v>
      </c>
      <c r="K4352" t="str">
        <f>IFERROR(INDEX(Rosters!$C$2:$C$155,MATCH($B4352,Rosters!$B$2:$B$155,0)),"NA")</f>
        <v>NA</v>
      </c>
      <c r="L4352" t="str">
        <f t="shared" si="201"/>
        <v>NA1TE</v>
      </c>
      <c r="M4352">
        <f>COUNTIF(L$1:L4352,L4352)</f>
        <v>26</v>
      </c>
      <c r="N4352" t="str">
        <f t="shared" si="202"/>
        <v>NA1TE-26</v>
      </c>
      <c r="O4352">
        <f>COUNTIFS(F$1:F4352,F4352,A$1:A4352,A4352)</f>
        <v>39</v>
      </c>
      <c r="P4352" t="str">
        <f t="shared" si="203"/>
        <v>Jake Butt1</v>
      </c>
    </row>
    <row r="4353" spans="1:16" x14ac:dyDescent="0.25">
      <c r="A4353">
        <v>1</v>
      </c>
      <c r="B4353" t="s">
        <v>338</v>
      </c>
      <c r="C4353">
        <f>-0.23-3.83</f>
        <v>-4.0600000000000005</v>
      </c>
      <c r="D4353">
        <v>1.8</v>
      </c>
      <c r="E4353" t="s">
        <v>42</v>
      </c>
      <c r="F4353" t="s">
        <v>87</v>
      </c>
      <c r="G4353">
        <v>3.83</v>
      </c>
      <c r="H4353">
        <v>-0.23</v>
      </c>
      <c r="I4353">
        <v>2.0299999999999998</v>
      </c>
      <c r="J4353">
        <v>4.1208999999999998</v>
      </c>
      <c r="K4353" t="str">
        <f>IFERROR(INDEX(Rosters!$C$2:$C$155,MATCH($B4353,Rosters!$B$2:$B$155,0)),"NA")</f>
        <v>NA</v>
      </c>
      <c r="L4353" t="str">
        <f t="shared" si="201"/>
        <v>NA1WR</v>
      </c>
      <c r="M4353">
        <f>COUNTIF(L$1:L4353,L4353)</f>
        <v>51</v>
      </c>
      <c r="N4353" t="str">
        <f t="shared" si="202"/>
        <v>NA1WR-51</v>
      </c>
      <c r="O4353">
        <f>COUNTIFS(F$1:F4353,F4353,A$1:A4353,A4353)</f>
        <v>100</v>
      </c>
      <c r="P4353" t="str">
        <f t="shared" si="203"/>
        <v>Jaron Brown1</v>
      </c>
    </row>
    <row r="4354" spans="1:16" x14ac:dyDescent="0.25">
      <c r="A4354">
        <v>16</v>
      </c>
      <c r="B4354" t="s">
        <v>1423</v>
      </c>
      <c r="C4354">
        <f>-0.77-4.37</f>
        <v>-5.1400000000000006</v>
      </c>
      <c r="D4354">
        <v>1.8</v>
      </c>
      <c r="E4354" t="s">
        <v>76</v>
      </c>
      <c r="F4354" t="s">
        <v>114</v>
      </c>
      <c r="G4354">
        <v>4.37</v>
      </c>
      <c r="H4354">
        <v>-0.77</v>
      </c>
      <c r="I4354">
        <v>2.57</v>
      </c>
      <c r="J4354">
        <v>6.6048999999999998</v>
      </c>
      <c r="K4354" t="str">
        <f>IFERROR(INDEX(Rosters!$C$2:$C$155,MATCH($B4354,Rosters!$B$2:$B$155,0)),"NA")</f>
        <v>NA</v>
      </c>
      <c r="L4354" t="str">
        <f t="shared" si="201"/>
        <v>NA16TE</v>
      </c>
      <c r="M4354">
        <f>COUNTIF(L$1:L4354,L4354)</f>
        <v>42</v>
      </c>
      <c r="N4354" t="str">
        <f t="shared" si="202"/>
        <v>NA16TE-42</v>
      </c>
      <c r="O4354">
        <f>COUNTIFS(F$1:F4354,F4354,A$1:A4354,A4354)</f>
        <v>56</v>
      </c>
      <c r="P4354" t="str">
        <f t="shared" si="203"/>
        <v>Michael Gesicki16</v>
      </c>
    </row>
    <row r="4355" spans="1:16" x14ac:dyDescent="0.25">
      <c r="A4355">
        <v>10</v>
      </c>
      <c r="B4355" t="s">
        <v>349</v>
      </c>
      <c r="C4355" t="s">
        <v>8558</v>
      </c>
      <c r="D4355">
        <v>1.8</v>
      </c>
      <c r="E4355" t="s">
        <v>28</v>
      </c>
      <c r="F4355" t="s">
        <v>87</v>
      </c>
      <c r="G4355">
        <v>3.54</v>
      </c>
      <c r="H4355">
        <v>0.06</v>
      </c>
      <c r="I4355">
        <v>1.74</v>
      </c>
      <c r="J4355">
        <v>3.0276000000000001</v>
      </c>
      <c r="K4355" t="str">
        <f>IFERROR(INDEX(Rosters!$C$2:$C$155,MATCH($B4355,Rosters!$B$2:$B$155,0)),"NA")</f>
        <v>NA</v>
      </c>
      <c r="L4355" t="str">
        <f t="shared" ref="L4355:L4418" si="204">K4355&amp;A4355&amp;F4355</f>
        <v>NA10WR</v>
      </c>
      <c r="M4355">
        <f>COUNTIF(L$1:L4355,L4355)</f>
        <v>56</v>
      </c>
      <c r="N4355" t="str">
        <f t="shared" ref="N4355:N4418" si="205">L4355&amp;"-"&amp;M4355</f>
        <v>NA10WR-56</v>
      </c>
      <c r="O4355">
        <f>COUNTIFS(F$1:F4355,F4355,A$1:A4355,A4355)</f>
        <v>101</v>
      </c>
      <c r="P4355" t="str">
        <f t="shared" ref="P4355:P4418" si="206">B4355&amp;A4355</f>
        <v>Pharoh Cooper10</v>
      </c>
    </row>
    <row r="4356" spans="1:16" x14ac:dyDescent="0.25">
      <c r="A4356">
        <v>12</v>
      </c>
      <c r="B4356" t="s">
        <v>268</v>
      </c>
      <c r="C4356" t="s">
        <v>8559</v>
      </c>
      <c r="D4356">
        <v>1.8</v>
      </c>
      <c r="E4356" t="s">
        <v>50</v>
      </c>
      <c r="F4356" t="s">
        <v>47</v>
      </c>
      <c r="G4356">
        <v>3.53</v>
      </c>
      <c r="H4356">
        <v>7.0000000000000007E-2</v>
      </c>
      <c r="I4356">
        <v>1.73</v>
      </c>
      <c r="J4356">
        <v>2.9929000000000001</v>
      </c>
      <c r="K4356" t="str">
        <f>IFERROR(INDEX(Rosters!$C$2:$C$155,MATCH($B4356,Rosters!$B$2:$B$155,0)),"NA")</f>
        <v>NA</v>
      </c>
      <c r="L4356" t="str">
        <f t="shared" si="204"/>
        <v>NA12RB</v>
      </c>
      <c r="M4356">
        <f>COUNTIF(L$1:L4356,L4356)</f>
        <v>30</v>
      </c>
      <c r="N4356" t="str">
        <f t="shared" si="205"/>
        <v>NA12RB-30</v>
      </c>
      <c r="O4356">
        <f>COUNTIFS(F$1:F4356,F4356,A$1:A4356,A4356)</f>
        <v>75</v>
      </c>
      <c r="P4356" t="str">
        <f t="shared" si="206"/>
        <v>Wayne Gallman12</v>
      </c>
    </row>
    <row r="4357" spans="1:16" x14ac:dyDescent="0.25">
      <c r="A4357">
        <v>17</v>
      </c>
      <c r="B4357" t="s">
        <v>1495</v>
      </c>
      <c r="C4357">
        <f>-0.14-3.72</f>
        <v>-3.8600000000000003</v>
      </c>
      <c r="D4357">
        <v>1.79</v>
      </c>
      <c r="E4357" t="s">
        <v>66</v>
      </c>
      <c r="F4357" t="s">
        <v>114</v>
      </c>
      <c r="G4357">
        <v>3.72</v>
      </c>
      <c r="H4357">
        <v>-0.14000000000000001</v>
      </c>
      <c r="I4357">
        <v>1.93</v>
      </c>
      <c r="J4357">
        <v>3.7248999999999999</v>
      </c>
      <c r="K4357" t="str">
        <f>IFERROR(INDEX(Rosters!$C$2:$C$155,MATCH($B4357,Rosters!$B$2:$B$155,0)),"NA")</f>
        <v>NA</v>
      </c>
      <c r="L4357" t="str">
        <f t="shared" si="204"/>
        <v>NA17TE</v>
      </c>
      <c r="M4357">
        <f>COUNTIF(L$1:L4357,L4357)</f>
        <v>40</v>
      </c>
      <c r="N4357" t="str">
        <f t="shared" si="205"/>
        <v>NA17TE-40</v>
      </c>
      <c r="O4357">
        <f>COUNTIFS(F$1:F4357,F4357,A$1:A4357,A4357)</f>
        <v>54</v>
      </c>
      <c r="P4357" t="str">
        <f t="shared" si="206"/>
        <v>Jonnu Smith17</v>
      </c>
    </row>
    <row r="4358" spans="1:16" x14ac:dyDescent="0.25">
      <c r="A4358">
        <v>5</v>
      </c>
      <c r="B4358" t="s">
        <v>1106</v>
      </c>
      <c r="C4358">
        <f>-0.23-3.81</f>
        <v>-4.04</v>
      </c>
      <c r="D4358">
        <v>1.79</v>
      </c>
      <c r="E4358" t="s">
        <v>42</v>
      </c>
      <c r="F4358" t="s">
        <v>114</v>
      </c>
      <c r="G4358">
        <v>3.81</v>
      </c>
      <c r="H4358">
        <v>-0.23</v>
      </c>
      <c r="I4358">
        <v>2.02</v>
      </c>
      <c r="J4358">
        <v>4.0804</v>
      </c>
      <c r="K4358" t="str">
        <f>IFERROR(INDEX(Rosters!$C$2:$C$155,MATCH($B4358,Rosters!$B$2:$B$155,0)),"NA")</f>
        <v>NA</v>
      </c>
      <c r="L4358" t="str">
        <f t="shared" si="204"/>
        <v>NA5TE</v>
      </c>
      <c r="M4358">
        <f>COUNTIF(L$1:L4358,L4358)</f>
        <v>40</v>
      </c>
      <c r="N4358" t="str">
        <f t="shared" si="205"/>
        <v>NA5TE-40</v>
      </c>
      <c r="O4358">
        <f>COUNTIFS(F$1:F4358,F4358,A$1:A4358,A4358)</f>
        <v>51</v>
      </c>
      <c r="P4358" t="str">
        <f t="shared" si="206"/>
        <v>Jordan Leggett5</v>
      </c>
    </row>
    <row r="4359" spans="1:16" x14ac:dyDescent="0.25">
      <c r="A4359">
        <v>15</v>
      </c>
      <c r="B4359" t="s">
        <v>323</v>
      </c>
      <c r="C4359">
        <f>-0.25-3.83</f>
        <v>-4.08</v>
      </c>
      <c r="D4359">
        <v>1.79</v>
      </c>
      <c r="E4359" t="s">
        <v>60</v>
      </c>
      <c r="F4359" t="s">
        <v>114</v>
      </c>
      <c r="G4359">
        <v>3.83</v>
      </c>
      <c r="H4359">
        <v>-0.25</v>
      </c>
      <c r="I4359">
        <v>2.04</v>
      </c>
      <c r="J4359">
        <v>4.1616</v>
      </c>
      <c r="K4359" t="str">
        <f>IFERROR(INDEX(Rosters!$C$2:$C$155,MATCH($B4359,Rosters!$B$2:$B$155,0)),"NA")</f>
        <v>NA</v>
      </c>
      <c r="L4359" t="str">
        <f t="shared" si="204"/>
        <v>NA15TE</v>
      </c>
      <c r="M4359">
        <f>COUNTIF(L$1:L4359,L4359)</f>
        <v>42</v>
      </c>
      <c r="N4359" t="str">
        <f t="shared" si="205"/>
        <v>NA15TE-42</v>
      </c>
      <c r="O4359">
        <f>COUNTIFS(F$1:F4359,F4359,A$1:A4359,A4359)</f>
        <v>56</v>
      </c>
      <c r="P4359" t="str">
        <f t="shared" si="206"/>
        <v>Niles Paul15</v>
      </c>
    </row>
    <row r="4360" spans="1:16" x14ac:dyDescent="0.25">
      <c r="A4360">
        <v>7</v>
      </c>
      <c r="B4360" t="s">
        <v>259</v>
      </c>
      <c r="C4360">
        <f>-0.45-4.03</f>
        <v>-4.4800000000000004</v>
      </c>
      <c r="D4360">
        <v>1.79</v>
      </c>
      <c r="E4360" t="s">
        <v>46</v>
      </c>
      <c r="F4360" t="s">
        <v>87</v>
      </c>
      <c r="G4360">
        <v>4.03</v>
      </c>
      <c r="H4360">
        <v>-0.45</v>
      </c>
      <c r="I4360">
        <v>2.2400000000000002</v>
      </c>
      <c r="J4360">
        <v>5.0175999999999998</v>
      </c>
      <c r="K4360" t="str">
        <f>IFERROR(INDEX(Rosters!$C$2:$C$155,MATCH($B4360,Rosters!$B$2:$B$155,0)),"NA")</f>
        <v>NA</v>
      </c>
      <c r="L4360" t="str">
        <f t="shared" si="204"/>
        <v>NA7WR</v>
      </c>
      <c r="M4360">
        <f>COUNTIF(L$1:L4360,L4360)</f>
        <v>53</v>
      </c>
      <c r="N4360" t="str">
        <f t="shared" si="205"/>
        <v>NA7WR-53</v>
      </c>
      <c r="O4360">
        <f>COUNTIFS(F$1:F4360,F4360,A$1:A4360,A4360)</f>
        <v>98</v>
      </c>
      <c r="P4360" t="str">
        <f t="shared" si="206"/>
        <v>Russell Shepard7</v>
      </c>
    </row>
    <row r="4361" spans="1:16" x14ac:dyDescent="0.25">
      <c r="A4361">
        <v>8</v>
      </c>
      <c r="B4361" t="s">
        <v>268</v>
      </c>
      <c r="C4361">
        <f>-0.13-3.71</f>
        <v>-3.84</v>
      </c>
      <c r="D4361">
        <v>1.79</v>
      </c>
      <c r="E4361" t="s">
        <v>60</v>
      </c>
      <c r="F4361" t="s">
        <v>47</v>
      </c>
      <c r="G4361">
        <v>3.71</v>
      </c>
      <c r="H4361">
        <v>-0.13</v>
      </c>
      <c r="I4361">
        <v>1.92</v>
      </c>
      <c r="J4361">
        <v>3.6863999999999999</v>
      </c>
      <c r="K4361" t="str">
        <f>IFERROR(INDEX(Rosters!$C$2:$C$155,MATCH($B4361,Rosters!$B$2:$B$155,0)),"NA")</f>
        <v>NA</v>
      </c>
      <c r="L4361" t="str">
        <f t="shared" si="204"/>
        <v>NA8RB</v>
      </c>
      <c r="M4361">
        <f>COUNTIF(L$1:L4361,L4361)</f>
        <v>28</v>
      </c>
      <c r="N4361" t="str">
        <f t="shared" si="205"/>
        <v>NA8RB-28</v>
      </c>
      <c r="O4361">
        <f>COUNTIFS(F$1:F4361,F4361,A$1:A4361,A4361)</f>
        <v>68</v>
      </c>
      <c r="P4361" t="str">
        <f t="shared" si="206"/>
        <v>Wayne Gallman8</v>
      </c>
    </row>
    <row r="4362" spans="1:16" x14ac:dyDescent="0.25">
      <c r="A4362">
        <v>2</v>
      </c>
      <c r="B4362" t="s">
        <v>1492</v>
      </c>
      <c r="C4362" t="s">
        <v>1504</v>
      </c>
      <c r="D4362">
        <v>1.78</v>
      </c>
      <c r="E4362" t="s">
        <v>14</v>
      </c>
      <c r="F4362" t="s">
        <v>15</v>
      </c>
      <c r="G4362">
        <v>3</v>
      </c>
      <c r="H4362">
        <v>0.56000000000000005</v>
      </c>
      <c r="I4362">
        <v>1.22</v>
      </c>
      <c r="J4362">
        <v>1.4883999999999999</v>
      </c>
      <c r="K4362" t="str">
        <f>IFERROR(INDEX(Rosters!$C$2:$C$155,MATCH($B4362,Rosters!$B$2:$B$155,0)),"NA")</f>
        <v>perry</v>
      </c>
      <c r="L4362" t="str">
        <f t="shared" si="204"/>
        <v>perry2QB</v>
      </c>
      <c r="M4362">
        <f>COUNTIF(L$1:L4362,L4362)</f>
        <v>1</v>
      </c>
      <c r="N4362" t="str">
        <f t="shared" si="205"/>
        <v>perry2QB-1</v>
      </c>
      <c r="O4362">
        <f>COUNTIFS(F$1:F4362,F4362,A$1:A4362,A4362)</f>
        <v>33</v>
      </c>
      <c r="P4362" t="str">
        <f t="shared" si="206"/>
        <v>Baker Mayfield2</v>
      </c>
    </row>
    <row r="4363" spans="1:16" x14ac:dyDescent="0.25">
      <c r="A4363">
        <v>13</v>
      </c>
      <c r="B4363" t="s">
        <v>320</v>
      </c>
      <c r="C4363" t="s">
        <v>8560</v>
      </c>
      <c r="D4363">
        <v>1.78</v>
      </c>
      <c r="E4363" t="s">
        <v>38</v>
      </c>
      <c r="F4363" t="s">
        <v>47</v>
      </c>
      <c r="G4363">
        <v>3.06</v>
      </c>
      <c r="H4363">
        <v>0.5</v>
      </c>
      <c r="I4363">
        <v>1.28</v>
      </c>
      <c r="J4363">
        <v>1.6384000000000001</v>
      </c>
      <c r="K4363" t="str">
        <f>IFERROR(INDEX(Rosters!$C$2:$C$155,MATCH($B4363,Rosters!$B$2:$B$155,0)),"NA")</f>
        <v>NA</v>
      </c>
      <c r="L4363" t="str">
        <f t="shared" si="204"/>
        <v>NA13RB</v>
      </c>
      <c r="M4363">
        <f>COUNTIF(L$1:L4363,L4363)</f>
        <v>31</v>
      </c>
      <c r="N4363" t="str">
        <f t="shared" si="205"/>
        <v>NA13RB-31</v>
      </c>
      <c r="O4363">
        <f>COUNTIFS(F$1:F4363,F4363,A$1:A4363,A4363)</f>
        <v>78</v>
      </c>
      <c r="P4363" t="str">
        <f t="shared" si="206"/>
        <v>Elijah McGuire13</v>
      </c>
    </row>
    <row r="4364" spans="1:16" x14ac:dyDescent="0.25">
      <c r="A4364">
        <v>13</v>
      </c>
      <c r="B4364" t="s">
        <v>4206</v>
      </c>
      <c r="C4364" t="s">
        <v>8561</v>
      </c>
      <c r="D4364">
        <v>1.78</v>
      </c>
      <c r="E4364" t="s">
        <v>77</v>
      </c>
      <c r="F4364" t="s">
        <v>47</v>
      </c>
      <c r="G4364">
        <v>3.38</v>
      </c>
      <c r="H4364">
        <v>0.18</v>
      </c>
      <c r="I4364">
        <v>1.6</v>
      </c>
      <c r="J4364">
        <v>2.56</v>
      </c>
      <c r="K4364" t="str">
        <f>IFERROR(INDEX(Rosters!$C$2:$C$155,MATCH($B4364,Rosters!$B$2:$B$155,0)),"NA")</f>
        <v>NA</v>
      </c>
      <c r="L4364" t="str">
        <f t="shared" si="204"/>
        <v>NA13RB</v>
      </c>
      <c r="M4364">
        <f>COUNTIF(L$1:L4364,L4364)</f>
        <v>32</v>
      </c>
      <c r="N4364" t="str">
        <f t="shared" si="205"/>
        <v>NA13RB-32</v>
      </c>
      <c r="O4364">
        <f>COUNTIFS(F$1:F4364,F4364,A$1:A4364,A4364)</f>
        <v>79</v>
      </c>
      <c r="P4364" t="str">
        <f t="shared" si="206"/>
        <v>Ito Smith13</v>
      </c>
    </row>
    <row r="4365" spans="1:16" x14ac:dyDescent="0.25">
      <c r="A4365">
        <v>7</v>
      </c>
      <c r="B4365" t="s">
        <v>1495</v>
      </c>
      <c r="C4365">
        <f>-0.14-3.7</f>
        <v>-3.8400000000000003</v>
      </c>
      <c r="D4365">
        <v>1.78</v>
      </c>
      <c r="E4365" t="s">
        <v>37</v>
      </c>
      <c r="F4365" t="s">
        <v>114</v>
      </c>
      <c r="G4365">
        <v>3.7</v>
      </c>
      <c r="H4365">
        <v>-0.14000000000000001</v>
      </c>
      <c r="I4365">
        <v>1.92</v>
      </c>
      <c r="J4365">
        <v>3.6863999999999999</v>
      </c>
      <c r="K4365" t="str">
        <f>IFERROR(INDEX(Rosters!$C$2:$C$155,MATCH($B4365,Rosters!$B$2:$B$155,0)),"NA")</f>
        <v>NA</v>
      </c>
      <c r="L4365" t="str">
        <f t="shared" si="204"/>
        <v>NA7TE</v>
      </c>
      <c r="M4365">
        <f>COUNTIF(L$1:L4365,L4365)</f>
        <v>39</v>
      </c>
      <c r="N4365" t="str">
        <f t="shared" si="205"/>
        <v>NA7TE-39</v>
      </c>
      <c r="O4365">
        <f>COUNTIFS(F$1:F4365,F4365,A$1:A4365,A4365)</f>
        <v>49</v>
      </c>
      <c r="P4365" t="str">
        <f t="shared" si="206"/>
        <v>Jonnu Smith7</v>
      </c>
    </row>
    <row r="4366" spans="1:16" x14ac:dyDescent="0.25">
      <c r="A4366">
        <v>16</v>
      </c>
      <c r="B4366" t="s">
        <v>4225</v>
      </c>
      <c r="C4366">
        <f>-0.07-3.63</f>
        <v>-3.6999999999999997</v>
      </c>
      <c r="D4366">
        <v>1.78</v>
      </c>
      <c r="E4366" t="s">
        <v>50</v>
      </c>
      <c r="F4366" t="s">
        <v>114</v>
      </c>
      <c r="G4366">
        <v>3.63</v>
      </c>
      <c r="H4366">
        <v>-7.0000000000000007E-2</v>
      </c>
      <c r="I4366">
        <v>1.85</v>
      </c>
      <c r="J4366">
        <v>3.4224999999999999</v>
      </c>
      <c r="K4366" t="str">
        <f>IFERROR(INDEX(Rosters!$C$2:$C$155,MATCH($B4366,Rosters!$B$2:$B$155,0)),"NA")</f>
        <v>NA</v>
      </c>
      <c r="L4366" t="str">
        <f t="shared" si="204"/>
        <v>NA16TE</v>
      </c>
      <c r="M4366">
        <f>COUNTIF(L$1:L4366,L4366)</f>
        <v>43</v>
      </c>
      <c r="N4366" t="str">
        <f t="shared" si="205"/>
        <v>NA16TE-43</v>
      </c>
      <c r="O4366">
        <f>COUNTIFS(F$1:F4366,F4366,A$1:A4366,A4366)</f>
        <v>57</v>
      </c>
      <c r="P4366" t="str">
        <f t="shared" si="206"/>
        <v>Jordan Akins16</v>
      </c>
    </row>
    <row r="4367" spans="1:16" x14ac:dyDescent="0.25">
      <c r="A4367">
        <v>5</v>
      </c>
      <c r="B4367" t="s">
        <v>279</v>
      </c>
      <c r="C4367">
        <f>-0.15-3.71</f>
        <v>-3.86</v>
      </c>
      <c r="D4367">
        <v>1.78</v>
      </c>
      <c r="E4367" t="s">
        <v>41</v>
      </c>
      <c r="F4367" t="s">
        <v>114</v>
      </c>
      <c r="G4367">
        <v>3.71</v>
      </c>
      <c r="H4367">
        <v>-0.15</v>
      </c>
      <c r="I4367">
        <v>1.93</v>
      </c>
      <c r="J4367">
        <v>3.7248999999999999</v>
      </c>
      <c r="K4367" t="str">
        <f>IFERROR(INDEX(Rosters!$C$2:$C$155,MATCH($B4367,Rosters!$B$2:$B$155,0)),"NA")</f>
        <v>NA</v>
      </c>
      <c r="L4367" t="str">
        <f t="shared" si="204"/>
        <v>NA5TE</v>
      </c>
      <c r="M4367">
        <f>COUNTIF(L$1:L4367,L4367)</f>
        <v>41</v>
      </c>
      <c r="N4367" t="str">
        <f t="shared" si="205"/>
        <v>NA5TE-41</v>
      </c>
      <c r="O4367">
        <f>COUNTIFS(F$1:F4367,F4367,A$1:A4367,A4367)</f>
        <v>52</v>
      </c>
      <c r="P4367" t="str">
        <f t="shared" si="206"/>
        <v>Levine Toilolo5</v>
      </c>
    </row>
    <row r="4368" spans="1:16" x14ac:dyDescent="0.25">
      <c r="A4368">
        <v>7</v>
      </c>
      <c r="B4368" t="s">
        <v>4245</v>
      </c>
      <c r="C4368">
        <f>-0.39-3.95</f>
        <v>-4.34</v>
      </c>
      <c r="D4368">
        <v>1.78</v>
      </c>
      <c r="E4368" t="s">
        <v>76</v>
      </c>
      <c r="F4368" t="s">
        <v>87</v>
      </c>
      <c r="G4368">
        <v>3.95</v>
      </c>
      <c r="H4368">
        <v>-0.39</v>
      </c>
      <c r="I4368">
        <v>2.17</v>
      </c>
      <c r="J4368">
        <v>4.7088999999999999</v>
      </c>
      <c r="K4368" t="str">
        <f>IFERROR(INDEX(Rosters!$C$2:$C$155,MATCH($B4368,Rosters!$B$2:$B$155,0)),"NA")</f>
        <v>NA</v>
      </c>
      <c r="L4368" t="str">
        <f t="shared" si="204"/>
        <v>NA7WR</v>
      </c>
      <c r="M4368">
        <f>COUNTIF(L$1:L4368,L4368)</f>
        <v>54</v>
      </c>
      <c r="N4368" t="str">
        <f t="shared" si="205"/>
        <v>NA7WR-54</v>
      </c>
      <c r="O4368">
        <f>COUNTIFS(F$1:F4368,F4368,A$1:A4368,A4368)</f>
        <v>99</v>
      </c>
      <c r="P4368" t="str">
        <f t="shared" si="206"/>
        <v>Vyncint Smith7</v>
      </c>
    </row>
    <row r="4369" spans="1:16" x14ac:dyDescent="0.25">
      <c r="A4369">
        <v>4</v>
      </c>
      <c r="B4369" t="s">
        <v>318</v>
      </c>
      <c r="C4369">
        <f>-0.15-3.69</f>
        <v>-3.84</v>
      </c>
      <c r="D4369">
        <v>1.77</v>
      </c>
      <c r="E4369" t="s">
        <v>56</v>
      </c>
      <c r="F4369" t="s">
        <v>114</v>
      </c>
      <c r="G4369">
        <v>3.69</v>
      </c>
      <c r="H4369">
        <v>-0.15</v>
      </c>
      <c r="I4369">
        <v>1.92</v>
      </c>
      <c r="J4369">
        <v>3.6863999999999999</v>
      </c>
      <c r="K4369" t="str">
        <f>IFERROR(INDEX(Rosters!$C$2:$C$155,MATCH($B4369,Rosters!$B$2:$B$155,0)),"NA")</f>
        <v>NA</v>
      </c>
      <c r="L4369" t="str">
        <f t="shared" si="204"/>
        <v>NA4TE</v>
      </c>
      <c r="M4369">
        <f>COUNTIF(L$1:L4369,L4369)</f>
        <v>35</v>
      </c>
      <c r="N4369" t="str">
        <f t="shared" si="205"/>
        <v>NA4TE-35</v>
      </c>
      <c r="O4369">
        <f>COUNTIFS(F$1:F4369,F4369,A$1:A4369,A4369)</f>
        <v>46</v>
      </c>
      <c r="P4369" t="str">
        <f t="shared" si="206"/>
        <v>David Morgan4</v>
      </c>
    </row>
    <row r="4370" spans="1:16" x14ac:dyDescent="0.25">
      <c r="A4370">
        <v>6</v>
      </c>
      <c r="B4370" t="s">
        <v>310</v>
      </c>
      <c r="C4370">
        <f>-0.11-3.65</f>
        <v>-3.76</v>
      </c>
      <c r="D4370">
        <v>1.77</v>
      </c>
      <c r="E4370" t="s">
        <v>423</v>
      </c>
      <c r="F4370" t="s">
        <v>114</v>
      </c>
      <c r="G4370">
        <v>3.65</v>
      </c>
      <c r="H4370">
        <v>-0.11</v>
      </c>
      <c r="I4370">
        <v>1.88</v>
      </c>
      <c r="J4370">
        <v>3.5344000000000002</v>
      </c>
      <c r="K4370" t="str">
        <f>IFERROR(INDEX(Rosters!$C$2:$C$155,MATCH($B4370,Rosters!$B$2:$B$155,0)),"NA")</f>
        <v>NA</v>
      </c>
      <c r="L4370" t="str">
        <f t="shared" si="204"/>
        <v>NA6TE</v>
      </c>
      <c r="M4370">
        <f>COUNTIF(L$1:L4370,L4370)</f>
        <v>38</v>
      </c>
      <c r="N4370" t="str">
        <f t="shared" si="205"/>
        <v>NA6TE-38</v>
      </c>
      <c r="O4370">
        <f>COUNTIFS(F$1:F4370,F4370,A$1:A4370,A4370)</f>
        <v>50</v>
      </c>
      <c r="P4370" t="str">
        <f t="shared" si="206"/>
        <v>Demetrius Harris6</v>
      </c>
    </row>
    <row r="4371" spans="1:16" x14ac:dyDescent="0.25">
      <c r="A4371">
        <v>15</v>
      </c>
      <c r="B4371" t="s">
        <v>275</v>
      </c>
      <c r="C4371" t="s">
        <v>8562</v>
      </c>
      <c r="D4371">
        <v>1.77</v>
      </c>
      <c r="E4371" t="s">
        <v>52</v>
      </c>
      <c r="F4371" t="s">
        <v>47</v>
      </c>
      <c r="G4371">
        <v>3.08</v>
      </c>
      <c r="H4371">
        <v>0.46</v>
      </c>
      <c r="I4371">
        <v>1.31</v>
      </c>
      <c r="J4371">
        <v>1.7161</v>
      </c>
      <c r="K4371" t="str">
        <f>IFERROR(INDEX(Rosters!$C$2:$C$155,MATCH($B4371,Rosters!$B$2:$B$155,0)),"NA")</f>
        <v>NA</v>
      </c>
      <c r="L4371" t="str">
        <f t="shared" si="204"/>
        <v>NA15RB</v>
      </c>
      <c r="M4371">
        <f>COUNTIF(L$1:L4371,L4371)</f>
        <v>30</v>
      </c>
      <c r="N4371" t="str">
        <f t="shared" si="205"/>
        <v>NA15RB-30</v>
      </c>
      <c r="O4371">
        <f>COUNTIFS(F$1:F4371,F4371,A$1:A4371,A4371)</f>
        <v>77</v>
      </c>
      <c r="P4371" t="str">
        <f t="shared" si="206"/>
        <v>Devontae Booker15</v>
      </c>
    </row>
    <row r="4372" spans="1:16" x14ac:dyDescent="0.25">
      <c r="A4372">
        <v>1</v>
      </c>
      <c r="B4372" t="s">
        <v>277</v>
      </c>
      <c r="C4372">
        <f>-0.1-3.64</f>
        <v>-3.74</v>
      </c>
      <c r="D4372">
        <v>1.77</v>
      </c>
      <c r="E4372" t="s">
        <v>25</v>
      </c>
      <c r="F4372" t="s">
        <v>114</v>
      </c>
      <c r="G4372">
        <v>3.64</v>
      </c>
      <c r="H4372">
        <v>-0.1</v>
      </c>
      <c r="I4372">
        <v>1.87</v>
      </c>
      <c r="J4372">
        <v>3.4969000000000001</v>
      </c>
      <c r="K4372" t="str">
        <f>IFERROR(INDEX(Rosters!$C$2:$C$155,MATCH($B4372,Rosters!$B$2:$B$155,0)),"NA")</f>
        <v>NA</v>
      </c>
      <c r="L4372" t="str">
        <f t="shared" si="204"/>
        <v>NA1TE</v>
      </c>
      <c r="M4372">
        <f>COUNTIF(L$1:L4372,L4372)</f>
        <v>27</v>
      </c>
      <c r="N4372" t="str">
        <f t="shared" si="205"/>
        <v>NA1TE-27</v>
      </c>
      <c r="O4372">
        <f>COUNTIFS(F$1:F4372,F4372,A$1:A4372,A4372)</f>
        <v>40</v>
      </c>
      <c r="P4372" t="str">
        <f t="shared" si="206"/>
        <v>Garrett Celek1</v>
      </c>
    </row>
    <row r="4373" spans="1:16" x14ac:dyDescent="0.25">
      <c r="A4373">
        <v>12</v>
      </c>
      <c r="B4373" t="s">
        <v>279</v>
      </c>
      <c r="C4373">
        <f>-0.2-3.74</f>
        <v>-3.9400000000000004</v>
      </c>
      <c r="D4373">
        <v>1.77</v>
      </c>
      <c r="E4373" t="s">
        <v>72</v>
      </c>
      <c r="F4373" t="s">
        <v>114</v>
      </c>
      <c r="G4373">
        <v>3.74</v>
      </c>
      <c r="H4373">
        <v>-0.2</v>
      </c>
      <c r="I4373">
        <v>1.97</v>
      </c>
      <c r="J4373">
        <v>3.8809</v>
      </c>
      <c r="K4373" t="str">
        <f>IFERROR(INDEX(Rosters!$C$2:$C$155,MATCH($B4373,Rosters!$B$2:$B$155,0)),"NA")</f>
        <v>NA</v>
      </c>
      <c r="L4373" t="str">
        <f t="shared" si="204"/>
        <v>NA12TE</v>
      </c>
      <c r="M4373">
        <f>COUNTIF(L$1:L4373,L4373)</f>
        <v>43</v>
      </c>
      <c r="N4373" t="str">
        <f t="shared" si="205"/>
        <v>NA12TE-43</v>
      </c>
      <c r="O4373">
        <f>COUNTIFS(F$1:F4373,F4373,A$1:A4373,A4373)</f>
        <v>56</v>
      </c>
      <c r="P4373" t="str">
        <f t="shared" si="206"/>
        <v>Levine Toilolo12</v>
      </c>
    </row>
    <row r="4374" spans="1:16" x14ac:dyDescent="0.25">
      <c r="A4374">
        <v>16</v>
      </c>
      <c r="B4374" t="s">
        <v>259</v>
      </c>
      <c r="C4374">
        <f>-0.32-3.86</f>
        <v>-4.18</v>
      </c>
      <c r="D4374">
        <v>1.77</v>
      </c>
      <c r="E4374" t="s">
        <v>66</v>
      </c>
      <c r="F4374" t="s">
        <v>87</v>
      </c>
      <c r="G4374">
        <v>3.86</v>
      </c>
      <c r="H4374">
        <v>-0.32</v>
      </c>
      <c r="I4374">
        <v>2.09</v>
      </c>
      <c r="J4374">
        <v>4.3681000000000001</v>
      </c>
      <c r="K4374" t="str">
        <f>IFERROR(INDEX(Rosters!$C$2:$C$155,MATCH($B4374,Rosters!$B$2:$B$155,0)),"NA")</f>
        <v>NA</v>
      </c>
      <c r="L4374" t="str">
        <f t="shared" si="204"/>
        <v>NA16WR</v>
      </c>
      <c r="M4374">
        <f>COUNTIF(L$1:L4374,L4374)</f>
        <v>62</v>
      </c>
      <c r="N4374" t="str">
        <f t="shared" si="205"/>
        <v>NA16WR-62</v>
      </c>
      <c r="O4374">
        <f>COUNTIFS(F$1:F4374,F4374,A$1:A4374,A4374)</f>
        <v>116</v>
      </c>
      <c r="P4374" t="str">
        <f t="shared" si="206"/>
        <v>Russell Shepard16</v>
      </c>
    </row>
    <row r="4375" spans="1:16" x14ac:dyDescent="0.25">
      <c r="A4375">
        <v>15</v>
      </c>
      <c r="B4375" t="s">
        <v>286</v>
      </c>
      <c r="C4375">
        <f>-0.32-3.84</f>
        <v>-4.16</v>
      </c>
      <c r="D4375">
        <v>1.76</v>
      </c>
      <c r="E4375" t="s">
        <v>25</v>
      </c>
      <c r="F4375" t="s">
        <v>114</v>
      </c>
      <c r="G4375">
        <v>3.84</v>
      </c>
      <c r="H4375">
        <v>-0.32</v>
      </c>
      <c r="I4375">
        <v>2.08</v>
      </c>
      <c r="J4375">
        <v>4.3263999999999996</v>
      </c>
      <c r="K4375" t="str">
        <f>IFERROR(INDEX(Rosters!$C$2:$C$155,MATCH($B4375,Rosters!$B$2:$B$155,0)),"NA")</f>
        <v>NA</v>
      </c>
      <c r="L4375" t="str">
        <f t="shared" si="204"/>
        <v>NA15TE</v>
      </c>
      <c r="M4375">
        <f>COUNTIF(L$1:L4375,L4375)</f>
        <v>43</v>
      </c>
      <c r="N4375" t="str">
        <f t="shared" si="205"/>
        <v>NA15TE-43</v>
      </c>
      <c r="O4375">
        <f>COUNTIFS(F$1:F4375,F4375,A$1:A4375,A4375)</f>
        <v>57</v>
      </c>
      <c r="P4375" t="str">
        <f t="shared" si="206"/>
        <v>A.J. Derby15</v>
      </c>
    </row>
    <row r="4376" spans="1:16" x14ac:dyDescent="0.25">
      <c r="A4376">
        <v>7</v>
      </c>
      <c r="B4376" t="s">
        <v>284</v>
      </c>
      <c r="C4376" t="s">
        <v>8563</v>
      </c>
      <c r="D4376">
        <v>1.76</v>
      </c>
      <c r="E4376" t="s">
        <v>423</v>
      </c>
      <c r="F4376" t="s">
        <v>114</v>
      </c>
      <c r="G4376">
        <v>3.45</v>
      </c>
      <c r="H4376">
        <v>7.0000000000000007E-2</v>
      </c>
      <c r="I4376">
        <v>1.69</v>
      </c>
      <c r="J4376">
        <v>2.8561000000000001</v>
      </c>
      <c r="K4376" t="str">
        <f>IFERROR(INDEX(Rosters!$C$2:$C$155,MATCH($B4376,Rosters!$B$2:$B$155,0)),"NA")</f>
        <v>NA</v>
      </c>
      <c r="L4376" t="str">
        <f t="shared" si="204"/>
        <v>NA7TE</v>
      </c>
      <c r="M4376">
        <f>COUNTIF(L$1:L4376,L4376)</f>
        <v>40</v>
      </c>
      <c r="N4376" t="str">
        <f t="shared" si="205"/>
        <v>NA7TE-40</v>
      </c>
      <c r="O4376">
        <f>COUNTIFS(F$1:F4376,F4376,A$1:A4376,A4376)</f>
        <v>50</v>
      </c>
      <c r="P4376" t="str">
        <f t="shared" si="206"/>
        <v>Dion Sims7</v>
      </c>
    </row>
    <row r="4377" spans="1:16" x14ac:dyDescent="0.25">
      <c r="A4377">
        <v>17</v>
      </c>
      <c r="B4377" t="s">
        <v>1517</v>
      </c>
      <c r="C4377">
        <f>-0.23-3.75</f>
        <v>-3.98</v>
      </c>
      <c r="D4377">
        <v>1.76</v>
      </c>
      <c r="E4377" t="s">
        <v>17</v>
      </c>
      <c r="F4377" t="s">
        <v>114</v>
      </c>
      <c r="G4377">
        <v>3.75</v>
      </c>
      <c r="H4377">
        <v>-0.23</v>
      </c>
      <c r="I4377">
        <v>1.99</v>
      </c>
      <c r="J4377">
        <v>3.9601000000000002</v>
      </c>
      <c r="K4377" t="str">
        <f>IFERROR(INDEX(Rosters!$C$2:$C$155,MATCH($B4377,Rosters!$B$2:$B$155,0)),"NA")</f>
        <v>NA</v>
      </c>
      <c r="L4377" t="str">
        <f t="shared" si="204"/>
        <v>NA17TE</v>
      </c>
      <c r="M4377">
        <f>COUNTIF(L$1:L4377,L4377)</f>
        <v>41</v>
      </c>
      <c r="N4377" t="str">
        <f t="shared" si="205"/>
        <v>NA17TE-41</v>
      </c>
      <c r="O4377">
        <f>COUNTIFS(F$1:F4377,F4377,A$1:A4377,A4377)</f>
        <v>55</v>
      </c>
      <c r="P4377" t="str">
        <f t="shared" si="206"/>
        <v>Eric Saubert17</v>
      </c>
    </row>
    <row r="4378" spans="1:16" x14ac:dyDescent="0.25">
      <c r="A4378">
        <v>5</v>
      </c>
      <c r="B4378" t="s">
        <v>263</v>
      </c>
      <c r="C4378" t="s">
        <v>8564</v>
      </c>
      <c r="D4378">
        <v>1.76</v>
      </c>
      <c r="E4378" t="s">
        <v>41</v>
      </c>
      <c r="F4378" t="s">
        <v>87</v>
      </c>
      <c r="G4378">
        <v>3.31</v>
      </c>
      <c r="H4378">
        <v>0.21</v>
      </c>
      <c r="I4378">
        <v>1.55</v>
      </c>
      <c r="J4378">
        <v>2.4024999999999999</v>
      </c>
      <c r="K4378" t="str">
        <f>IFERROR(INDEX(Rosters!$C$2:$C$155,MATCH($B4378,Rosters!$B$2:$B$155,0)),"NA")</f>
        <v>NA</v>
      </c>
      <c r="L4378" t="str">
        <f t="shared" si="204"/>
        <v>NA5WR</v>
      </c>
      <c r="M4378">
        <f>COUNTIF(L$1:L4378,L4378)</f>
        <v>57</v>
      </c>
      <c r="N4378" t="str">
        <f t="shared" si="205"/>
        <v>NA5WR-57</v>
      </c>
      <c r="O4378">
        <f>COUNTIFS(F$1:F4378,F4378,A$1:A4378,A4378)</f>
        <v>107</v>
      </c>
      <c r="P4378" t="str">
        <f t="shared" si="206"/>
        <v>T.J. Jones5</v>
      </c>
    </row>
    <row r="4379" spans="1:16" x14ac:dyDescent="0.25">
      <c r="A4379">
        <v>2</v>
      </c>
      <c r="B4379" t="s">
        <v>303</v>
      </c>
      <c r="C4379">
        <f>-0.04-3.56</f>
        <v>-3.6</v>
      </c>
      <c r="D4379">
        <v>1.76</v>
      </c>
      <c r="E4379" t="s">
        <v>36</v>
      </c>
      <c r="F4379" t="s">
        <v>87</v>
      </c>
      <c r="G4379">
        <v>3.56</v>
      </c>
      <c r="H4379">
        <v>-0.04</v>
      </c>
      <c r="I4379">
        <v>1.8</v>
      </c>
      <c r="J4379">
        <v>3.24</v>
      </c>
      <c r="K4379" t="str">
        <f>IFERROR(INDEX(Rosters!$C$2:$C$155,MATCH($B4379,Rosters!$B$2:$B$155,0)),"NA")</f>
        <v>NA</v>
      </c>
      <c r="L4379" t="str">
        <f t="shared" si="204"/>
        <v>NA2WR</v>
      </c>
      <c r="M4379">
        <f>COUNTIF(L$1:L4379,L4379)</f>
        <v>51</v>
      </c>
      <c r="N4379" t="str">
        <f t="shared" si="205"/>
        <v>NA2WR-51</v>
      </c>
      <c r="O4379">
        <f>COUNTIFS(F$1:F4379,F4379,A$1:A4379,A4379)</f>
        <v>99</v>
      </c>
      <c r="P4379" t="str">
        <f t="shared" si="206"/>
        <v>Taywan Taylor2</v>
      </c>
    </row>
    <row r="4380" spans="1:16" x14ac:dyDescent="0.25">
      <c r="A4380">
        <v>2</v>
      </c>
      <c r="B4380" t="s">
        <v>244</v>
      </c>
      <c r="C4380">
        <f>-0.5-4.02</f>
        <v>-4.5199999999999996</v>
      </c>
      <c r="D4380">
        <v>1.76</v>
      </c>
      <c r="E4380" t="s">
        <v>58</v>
      </c>
      <c r="F4380" t="s">
        <v>114</v>
      </c>
      <c r="G4380">
        <v>4.0199999999999996</v>
      </c>
      <c r="H4380">
        <v>-0.5</v>
      </c>
      <c r="I4380">
        <v>2.2599999999999998</v>
      </c>
      <c r="J4380">
        <v>5.1075999999999997</v>
      </c>
      <c r="K4380" t="str">
        <f>IFERROR(INDEX(Rosters!$C$2:$C$155,MATCH($B4380,Rosters!$B$2:$B$155,0)),"NA")</f>
        <v>NA</v>
      </c>
      <c r="L4380" t="str">
        <f t="shared" si="204"/>
        <v>NA2TE</v>
      </c>
      <c r="M4380">
        <f>COUNTIF(L$1:L4380,L4380)</f>
        <v>28</v>
      </c>
      <c r="N4380" t="str">
        <f t="shared" si="205"/>
        <v>NA2TE-28</v>
      </c>
      <c r="O4380">
        <f>COUNTIFS(F$1:F4380,F4380,A$1:A4380,A4380)</f>
        <v>41</v>
      </c>
      <c r="P4380" t="str">
        <f t="shared" si="206"/>
        <v>Tyler Higbee2</v>
      </c>
    </row>
    <row r="4381" spans="1:16" x14ac:dyDescent="0.25">
      <c r="A4381">
        <v>5</v>
      </c>
      <c r="B4381" t="s">
        <v>4245</v>
      </c>
      <c r="C4381" t="s">
        <v>8565</v>
      </c>
      <c r="D4381">
        <v>1.76</v>
      </c>
      <c r="E4381" t="s">
        <v>22</v>
      </c>
      <c r="F4381" t="s">
        <v>87</v>
      </c>
      <c r="G4381">
        <v>3.3</v>
      </c>
      <c r="H4381">
        <v>0.22</v>
      </c>
      <c r="I4381">
        <v>1.54</v>
      </c>
      <c r="J4381">
        <v>2.3715999999999999</v>
      </c>
      <c r="K4381" t="str">
        <f>IFERROR(INDEX(Rosters!$C$2:$C$155,MATCH($B4381,Rosters!$B$2:$B$155,0)),"NA")</f>
        <v>NA</v>
      </c>
      <c r="L4381" t="str">
        <f t="shared" si="204"/>
        <v>NA5WR</v>
      </c>
      <c r="M4381">
        <f>COUNTIF(L$1:L4381,L4381)</f>
        <v>58</v>
      </c>
      <c r="N4381" t="str">
        <f t="shared" si="205"/>
        <v>NA5WR-58</v>
      </c>
      <c r="O4381">
        <f>COUNTIFS(F$1:F4381,F4381,A$1:A4381,A4381)</f>
        <v>108</v>
      </c>
      <c r="P4381" t="str">
        <f t="shared" si="206"/>
        <v>Vyncint Smith5</v>
      </c>
    </row>
    <row r="4382" spans="1:16" x14ac:dyDescent="0.25">
      <c r="A4382">
        <v>16</v>
      </c>
      <c r="B4382" t="s">
        <v>4208</v>
      </c>
      <c r="C4382">
        <f>-0.11-3.61</f>
        <v>-3.7199999999999998</v>
      </c>
      <c r="D4382">
        <v>1.75</v>
      </c>
      <c r="E4382" t="s">
        <v>17</v>
      </c>
      <c r="F4382" t="s">
        <v>114</v>
      </c>
      <c r="G4382">
        <v>3.61</v>
      </c>
      <c r="H4382">
        <v>-0.11</v>
      </c>
      <c r="I4382">
        <v>1.86</v>
      </c>
      <c r="J4382">
        <v>3.4596</v>
      </c>
      <c r="K4382" t="str">
        <f>IFERROR(INDEX(Rosters!$C$2:$C$155,MATCH($B4382,Rosters!$B$2:$B$155,0)),"NA")</f>
        <v>NA</v>
      </c>
      <c r="L4382" t="str">
        <f t="shared" si="204"/>
        <v>NA16TE</v>
      </c>
      <c r="M4382">
        <f>COUNTIF(L$1:L4382,L4382)</f>
        <v>44</v>
      </c>
      <c r="N4382" t="str">
        <f t="shared" si="205"/>
        <v>NA16TE-44</v>
      </c>
      <c r="O4382">
        <f>COUNTIFS(F$1:F4382,F4382,A$1:A4382,A4382)</f>
        <v>58</v>
      </c>
      <c r="P4382" t="str">
        <f t="shared" si="206"/>
        <v>Blake Jarwin16</v>
      </c>
    </row>
    <row r="4383" spans="1:16" x14ac:dyDescent="0.25">
      <c r="A4383">
        <v>9</v>
      </c>
      <c r="B4383" t="s">
        <v>1517</v>
      </c>
      <c r="C4383">
        <f>-0.18-3.68</f>
        <v>-3.8600000000000003</v>
      </c>
      <c r="D4383">
        <v>1.75</v>
      </c>
      <c r="E4383" t="s">
        <v>60</v>
      </c>
      <c r="F4383" t="s">
        <v>114</v>
      </c>
      <c r="G4383">
        <v>3.68</v>
      </c>
      <c r="H4383">
        <v>-0.18</v>
      </c>
      <c r="I4383">
        <v>1.93</v>
      </c>
      <c r="J4383">
        <v>3.7248999999999999</v>
      </c>
      <c r="K4383" t="str">
        <f>IFERROR(INDEX(Rosters!$C$2:$C$155,MATCH($B4383,Rosters!$B$2:$B$155,0)),"NA")</f>
        <v>NA</v>
      </c>
      <c r="L4383" t="str">
        <f t="shared" si="204"/>
        <v>NA9TE</v>
      </c>
      <c r="M4383">
        <f>COUNTIF(L$1:L4383,L4383)</f>
        <v>34</v>
      </c>
      <c r="N4383" t="str">
        <f t="shared" si="205"/>
        <v>NA9TE-34</v>
      </c>
      <c r="O4383">
        <f>COUNTIFS(F$1:F4383,F4383,A$1:A4383,A4383)</f>
        <v>45</v>
      </c>
      <c r="P4383" t="str">
        <f t="shared" si="206"/>
        <v>Eric Saubert9</v>
      </c>
    </row>
    <row r="4384" spans="1:16" x14ac:dyDescent="0.25">
      <c r="A4384">
        <v>11</v>
      </c>
      <c r="B4384" t="s">
        <v>1517</v>
      </c>
      <c r="C4384" t="s">
        <v>8566</v>
      </c>
      <c r="D4384">
        <v>1.75</v>
      </c>
      <c r="E4384" t="s">
        <v>22</v>
      </c>
      <c r="F4384" t="s">
        <v>114</v>
      </c>
      <c r="G4384">
        <v>3.5</v>
      </c>
      <c r="H4384">
        <v>0</v>
      </c>
      <c r="I4384">
        <v>1.75</v>
      </c>
      <c r="J4384">
        <v>3.0625</v>
      </c>
      <c r="K4384" t="str">
        <f>IFERROR(INDEX(Rosters!$C$2:$C$155,MATCH($B4384,Rosters!$B$2:$B$155,0)),"NA")</f>
        <v>NA</v>
      </c>
      <c r="L4384" t="str">
        <f t="shared" si="204"/>
        <v>NA11TE</v>
      </c>
      <c r="M4384">
        <f>COUNTIF(L$1:L4384,L4384)</f>
        <v>31</v>
      </c>
      <c r="N4384" t="str">
        <f t="shared" si="205"/>
        <v>NA11TE-31</v>
      </c>
      <c r="O4384">
        <f>COUNTIFS(F$1:F4384,F4384,A$1:A4384,A4384)</f>
        <v>43</v>
      </c>
      <c r="P4384" t="str">
        <f t="shared" si="206"/>
        <v>Eric Saubert11</v>
      </c>
    </row>
    <row r="4385" spans="1:16" x14ac:dyDescent="0.25">
      <c r="A4385">
        <v>2</v>
      </c>
      <c r="B4385" t="s">
        <v>241</v>
      </c>
      <c r="C4385">
        <f>-0.16-3.66</f>
        <v>-3.8200000000000003</v>
      </c>
      <c r="D4385">
        <v>1.75</v>
      </c>
      <c r="E4385" t="s">
        <v>56</v>
      </c>
      <c r="F4385" t="s">
        <v>87</v>
      </c>
      <c r="G4385">
        <v>3.66</v>
      </c>
      <c r="H4385">
        <v>-0.16</v>
      </c>
      <c r="I4385">
        <v>1.91</v>
      </c>
      <c r="J4385">
        <v>3.6480999999999999</v>
      </c>
      <c r="K4385" t="str">
        <f>IFERROR(INDEX(Rosters!$C$2:$C$155,MATCH($B4385,Rosters!$B$2:$B$155,0)),"NA")</f>
        <v>NA</v>
      </c>
      <c r="L4385" t="str">
        <f t="shared" si="204"/>
        <v>NA2WR</v>
      </c>
      <c r="M4385">
        <f>COUNTIF(L$1:L4385,L4385)</f>
        <v>52</v>
      </c>
      <c r="N4385" t="str">
        <f t="shared" si="205"/>
        <v>NA2WR-52</v>
      </c>
      <c r="O4385">
        <f>COUNTIFS(F$1:F4385,F4385,A$1:A4385,A4385)</f>
        <v>100</v>
      </c>
      <c r="P4385" t="str">
        <f t="shared" si="206"/>
        <v>J.J. Nelson2</v>
      </c>
    </row>
    <row r="4386" spans="1:16" x14ac:dyDescent="0.25">
      <c r="A4386">
        <v>17</v>
      </c>
      <c r="B4386" t="s">
        <v>323</v>
      </c>
      <c r="C4386" t="s">
        <v>8567</v>
      </c>
      <c r="D4386">
        <v>1.75</v>
      </c>
      <c r="E4386" t="s">
        <v>36</v>
      </c>
      <c r="F4386" t="s">
        <v>114</v>
      </c>
      <c r="G4386">
        <v>3.39</v>
      </c>
      <c r="H4386">
        <v>0.11</v>
      </c>
      <c r="I4386">
        <v>1.64</v>
      </c>
      <c r="J4386">
        <v>2.6896</v>
      </c>
      <c r="K4386" t="str">
        <f>IFERROR(INDEX(Rosters!$C$2:$C$155,MATCH($B4386,Rosters!$B$2:$B$155,0)),"NA")</f>
        <v>NA</v>
      </c>
      <c r="L4386" t="str">
        <f t="shared" si="204"/>
        <v>NA17TE</v>
      </c>
      <c r="M4386">
        <f>COUNTIF(L$1:L4386,L4386)</f>
        <v>42</v>
      </c>
      <c r="N4386" t="str">
        <f t="shared" si="205"/>
        <v>NA17TE-42</v>
      </c>
      <c r="O4386">
        <f>COUNTIFS(F$1:F4386,F4386,A$1:A4386,A4386)</f>
        <v>56</v>
      </c>
      <c r="P4386" t="str">
        <f t="shared" si="206"/>
        <v>Niles Paul17</v>
      </c>
    </row>
    <row r="4387" spans="1:16" x14ac:dyDescent="0.25">
      <c r="A4387">
        <v>13</v>
      </c>
      <c r="B4387" t="s">
        <v>274</v>
      </c>
      <c r="C4387">
        <f>-0.02-3.52</f>
        <v>-3.54</v>
      </c>
      <c r="D4387">
        <v>1.75</v>
      </c>
      <c r="E4387" t="s">
        <v>52</v>
      </c>
      <c r="F4387" t="s">
        <v>114</v>
      </c>
      <c r="G4387">
        <v>3.52</v>
      </c>
      <c r="H4387">
        <v>-0.02</v>
      </c>
      <c r="I4387">
        <v>1.77</v>
      </c>
      <c r="J4387">
        <v>3.1328999999999998</v>
      </c>
      <c r="K4387" t="str">
        <f>IFERROR(INDEX(Rosters!$C$2:$C$155,MATCH($B4387,Rosters!$B$2:$B$155,0)),"NA")</f>
        <v>NA</v>
      </c>
      <c r="L4387" t="str">
        <f t="shared" si="204"/>
        <v>NA13TE</v>
      </c>
      <c r="M4387">
        <f>COUNTIF(L$1:L4387,L4387)</f>
        <v>42</v>
      </c>
      <c r="N4387" t="str">
        <f t="shared" si="205"/>
        <v>NA13TE-42</v>
      </c>
      <c r="O4387">
        <f>COUNTIFS(F$1:F4387,F4387,A$1:A4387,A4387)</f>
        <v>56</v>
      </c>
      <c r="P4387" t="str">
        <f t="shared" si="206"/>
        <v>Ryan Griffin13</v>
      </c>
    </row>
    <row r="4388" spans="1:16" x14ac:dyDescent="0.25">
      <c r="A4388">
        <v>9</v>
      </c>
      <c r="B4388" t="s">
        <v>121</v>
      </c>
      <c r="C4388" t="s">
        <v>8568</v>
      </c>
      <c r="D4388">
        <v>1.74</v>
      </c>
      <c r="E4388" t="s">
        <v>25</v>
      </c>
      <c r="F4388" t="s">
        <v>47</v>
      </c>
      <c r="G4388">
        <v>3.09</v>
      </c>
      <c r="H4388">
        <v>0.39</v>
      </c>
      <c r="I4388">
        <v>1.35</v>
      </c>
      <c r="J4388">
        <v>1.8225</v>
      </c>
      <c r="K4388" t="str">
        <f>IFERROR(INDEX(Rosters!$C$2:$C$155,MATCH($B4388,Rosters!$B$2:$B$155,0)),"NA")</f>
        <v>NA</v>
      </c>
      <c r="L4388" t="str">
        <f t="shared" si="204"/>
        <v>NA9RB</v>
      </c>
      <c r="M4388">
        <f>COUNTIF(L$1:L4388,L4388)</f>
        <v>23</v>
      </c>
      <c r="N4388" t="str">
        <f t="shared" si="205"/>
        <v>NA9RB-23</v>
      </c>
      <c r="O4388">
        <f>COUNTIFS(F$1:F4388,F4388,A$1:A4388,A4388)</f>
        <v>63</v>
      </c>
      <c r="P4388" t="str">
        <f t="shared" si="206"/>
        <v>Ameer Abdullah9</v>
      </c>
    </row>
    <row r="4389" spans="1:16" x14ac:dyDescent="0.25">
      <c r="A4389">
        <v>4</v>
      </c>
      <c r="B4389" t="s">
        <v>4208</v>
      </c>
      <c r="C4389">
        <f>-0.38-3.86</f>
        <v>-4.24</v>
      </c>
      <c r="D4389">
        <v>1.74</v>
      </c>
      <c r="E4389" t="s">
        <v>34</v>
      </c>
      <c r="F4389" t="s">
        <v>114</v>
      </c>
      <c r="G4389">
        <v>3.86</v>
      </c>
      <c r="H4389">
        <v>-0.38</v>
      </c>
      <c r="I4389">
        <v>2.12</v>
      </c>
      <c r="J4389">
        <v>4.4943999999999997</v>
      </c>
      <c r="K4389" t="str">
        <f>IFERROR(INDEX(Rosters!$C$2:$C$155,MATCH($B4389,Rosters!$B$2:$B$155,0)),"NA")</f>
        <v>NA</v>
      </c>
      <c r="L4389" t="str">
        <f t="shared" si="204"/>
        <v>NA4TE</v>
      </c>
      <c r="M4389">
        <f>COUNTIF(L$1:L4389,L4389)</f>
        <v>36</v>
      </c>
      <c r="N4389" t="str">
        <f t="shared" si="205"/>
        <v>NA4TE-36</v>
      </c>
      <c r="O4389">
        <f>COUNTIFS(F$1:F4389,F4389,A$1:A4389,A4389)</f>
        <v>47</v>
      </c>
      <c r="P4389" t="str">
        <f t="shared" si="206"/>
        <v>Blake Jarwin4</v>
      </c>
    </row>
    <row r="4390" spans="1:16" x14ac:dyDescent="0.25">
      <c r="A4390">
        <v>5</v>
      </c>
      <c r="B4390" t="s">
        <v>318</v>
      </c>
      <c r="C4390">
        <f>-0.07-3.55</f>
        <v>-3.6199999999999997</v>
      </c>
      <c r="D4390">
        <v>1.74</v>
      </c>
      <c r="E4390" t="s">
        <v>50</v>
      </c>
      <c r="F4390" t="s">
        <v>114</v>
      </c>
      <c r="G4390">
        <v>3.55</v>
      </c>
      <c r="H4390">
        <v>-7.0000000000000007E-2</v>
      </c>
      <c r="I4390">
        <v>1.81</v>
      </c>
      <c r="J4390">
        <v>3.2761</v>
      </c>
      <c r="K4390" t="str">
        <f>IFERROR(INDEX(Rosters!$C$2:$C$155,MATCH($B4390,Rosters!$B$2:$B$155,0)),"NA")</f>
        <v>NA</v>
      </c>
      <c r="L4390" t="str">
        <f t="shared" si="204"/>
        <v>NA5TE</v>
      </c>
      <c r="M4390">
        <f>COUNTIF(L$1:L4390,L4390)</f>
        <v>42</v>
      </c>
      <c r="N4390" t="str">
        <f t="shared" si="205"/>
        <v>NA5TE-42</v>
      </c>
      <c r="O4390">
        <f>COUNTIFS(F$1:F4390,F4390,A$1:A4390,A4390)</f>
        <v>53</v>
      </c>
      <c r="P4390" t="str">
        <f t="shared" si="206"/>
        <v>David Morgan5</v>
      </c>
    </row>
    <row r="4391" spans="1:16" x14ac:dyDescent="0.25">
      <c r="A4391">
        <v>13</v>
      </c>
      <c r="B4391" t="s">
        <v>270</v>
      </c>
      <c r="C4391">
        <f>-0.03-3.51</f>
        <v>-3.5399999999999996</v>
      </c>
      <c r="D4391">
        <v>1.74</v>
      </c>
      <c r="E4391" t="s">
        <v>46</v>
      </c>
      <c r="F4391" t="s">
        <v>114</v>
      </c>
      <c r="G4391">
        <v>3.51</v>
      </c>
      <c r="H4391">
        <v>-0.03</v>
      </c>
      <c r="I4391">
        <v>1.77</v>
      </c>
      <c r="J4391">
        <v>3.1328999999999998</v>
      </c>
      <c r="K4391" t="str">
        <f>IFERROR(INDEX(Rosters!$C$2:$C$155,MATCH($B4391,Rosters!$B$2:$B$155,0)),"NA")</f>
        <v>NA</v>
      </c>
      <c r="L4391" t="str">
        <f t="shared" si="204"/>
        <v>NA13TE</v>
      </c>
      <c r="M4391">
        <f>COUNTIF(L$1:L4391,L4391)</f>
        <v>43</v>
      </c>
      <c r="N4391" t="str">
        <f t="shared" si="205"/>
        <v>NA13TE-43</v>
      </c>
      <c r="O4391">
        <f>COUNTIFS(F$1:F4391,F4391,A$1:A4391,A4391)</f>
        <v>57</v>
      </c>
      <c r="P4391" t="str">
        <f t="shared" si="206"/>
        <v>Maxx Williams13</v>
      </c>
    </row>
    <row r="4392" spans="1:16" x14ac:dyDescent="0.25">
      <c r="A4392">
        <v>1</v>
      </c>
      <c r="B4392" t="s">
        <v>286</v>
      </c>
      <c r="C4392">
        <f>-0.19-3.65</f>
        <v>-3.84</v>
      </c>
      <c r="D4392">
        <v>1.73</v>
      </c>
      <c r="E4392" t="s">
        <v>38</v>
      </c>
      <c r="F4392" t="s">
        <v>114</v>
      </c>
      <c r="G4392">
        <v>3.65</v>
      </c>
      <c r="H4392">
        <v>-0.19</v>
      </c>
      <c r="I4392">
        <v>1.92</v>
      </c>
      <c r="J4392">
        <v>3.6863999999999999</v>
      </c>
      <c r="K4392" t="str">
        <f>IFERROR(INDEX(Rosters!$C$2:$C$155,MATCH($B4392,Rosters!$B$2:$B$155,0)),"NA")</f>
        <v>NA</v>
      </c>
      <c r="L4392" t="str">
        <f t="shared" si="204"/>
        <v>NA1TE</v>
      </c>
      <c r="M4392">
        <f>COUNTIF(L$1:L4392,L4392)</f>
        <v>28</v>
      </c>
      <c r="N4392" t="str">
        <f t="shared" si="205"/>
        <v>NA1TE-28</v>
      </c>
      <c r="O4392">
        <f>COUNTIFS(F$1:F4392,F4392,A$1:A4392,A4392)</f>
        <v>41</v>
      </c>
      <c r="P4392" t="str">
        <f t="shared" si="206"/>
        <v>A.J. Derby1</v>
      </c>
    </row>
    <row r="4393" spans="1:16" x14ac:dyDescent="0.25">
      <c r="A4393">
        <v>2</v>
      </c>
      <c r="B4393" t="s">
        <v>286</v>
      </c>
      <c r="C4393">
        <f>-0.18-3.64</f>
        <v>-3.8200000000000003</v>
      </c>
      <c r="D4393">
        <v>1.73</v>
      </c>
      <c r="E4393" t="s">
        <v>73</v>
      </c>
      <c r="F4393" t="s">
        <v>114</v>
      </c>
      <c r="G4393">
        <v>3.64</v>
      </c>
      <c r="H4393">
        <v>-0.18</v>
      </c>
      <c r="I4393">
        <v>1.91</v>
      </c>
      <c r="J4393">
        <v>3.6480999999999999</v>
      </c>
      <c r="K4393" t="str">
        <f>IFERROR(INDEX(Rosters!$C$2:$C$155,MATCH($B4393,Rosters!$B$2:$B$155,0)),"NA")</f>
        <v>NA</v>
      </c>
      <c r="L4393" t="str">
        <f t="shared" si="204"/>
        <v>NA2TE</v>
      </c>
      <c r="M4393">
        <f>COUNTIF(L$1:L4393,L4393)</f>
        <v>29</v>
      </c>
      <c r="N4393" t="str">
        <f t="shared" si="205"/>
        <v>NA2TE-29</v>
      </c>
      <c r="O4393">
        <f>COUNTIFS(F$1:F4393,F4393,A$1:A4393,A4393)</f>
        <v>42</v>
      </c>
      <c r="P4393" t="str">
        <f t="shared" si="206"/>
        <v>A.J. Derby2</v>
      </c>
    </row>
    <row r="4394" spans="1:16" x14ac:dyDescent="0.25">
      <c r="A4394">
        <v>1</v>
      </c>
      <c r="B4394" t="s">
        <v>1489</v>
      </c>
      <c r="C4394">
        <f>-0.09-3.55</f>
        <v>-3.6399999999999997</v>
      </c>
      <c r="D4394">
        <v>1.73</v>
      </c>
      <c r="E4394" t="s">
        <v>60</v>
      </c>
      <c r="F4394" t="s">
        <v>87</v>
      </c>
      <c r="G4394">
        <v>3.55</v>
      </c>
      <c r="H4394">
        <v>-0.09</v>
      </c>
      <c r="I4394">
        <v>1.82</v>
      </c>
      <c r="J4394">
        <v>3.3123999999999998</v>
      </c>
      <c r="K4394" t="str">
        <f>IFERROR(INDEX(Rosters!$C$2:$C$155,MATCH($B4394,Rosters!$B$2:$B$155,0)),"NA")</f>
        <v>NA</v>
      </c>
      <c r="L4394" t="str">
        <f t="shared" si="204"/>
        <v>NA1WR</v>
      </c>
      <c r="M4394">
        <f>COUNTIF(L$1:L4394,L4394)</f>
        <v>52</v>
      </c>
      <c r="N4394" t="str">
        <f t="shared" si="205"/>
        <v>NA1WR-52</v>
      </c>
      <c r="O4394">
        <f>COUNTIFS(F$1:F4394,F4394,A$1:A4394,A4394)</f>
        <v>101</v>
      </c>
      <c r="P4394" t="str">
        <f t="shared" si="206"/>
        <v>Chad Williams1</v>
      </c>
    </row>
    <row r="4395" spans="1:16" x14ac:dyDescent="0.25">
      <c r="A4395">
        <v>2</v>
      </c>
      <c r="B4395" t="s">
        <v>309</v>
      </c>
      <c r="C4395" t="s">
        <v>1505</v>
      </c>
      <c r="D4395">
        <v>1.73</v>
      </c>
      <c r="E4395" t="s">
        <v>54</v>
      </c>
      <c r="F4395" t="s">
        <v>114</v>
      </c>
      <c r="G4395">
        <v>2.93</v>
      </c>
      <c r="H4395">
        <v>0.53</v>
      </c>
      <c r="I4395">
        <v>1.2</v>
      </c>
      <c r="J4395">
        <v>1.44</v>
      </c>
      <c r="K4395" t="str">
        <f>IFERROR(INDEX(Rosters!$C$2:$C$155,MATCH($B4395,Rosters!$B$2:$B$155,0)),"NA")</f>
        <v>NA</v>
      </c>
      <c r="L4395" t="str">
        <f t="shared" si="204"/>
        <v>NA2TE</v>
      </c>
      <c r="M4395">
        <f>COUNTIF(L$1:L4395,L4395)</f>
        <v>30</v>
      </c>
      <c r="N4395" t="str">
        <f t="shared" si="205"/>
        <v>NA2TE-30</v>
      </c>
      <c r="O4395">
        <f>COUNTIFS(F$1:F4395,F4395,A$1:A4395,A4395)</f>
        <v>43</v>
      </c>
      <c r="P4395" t="str">
        <f t="shared" si="206"/>
        <v>Geoff Swaim2</v>
      </c>
    </row>
    <row r="4396" spans="1:16" x14ac:dyDescent="0.25">
      <c r="A4396">
        <v>2</v>
      </c>
      <c r="B4396" t="s">
        <v>4225</v>
      </c>
      <c r="C4396">
        <f>-0.35-3.81</f>
        <v>-4.16</v>
      </c>
      <c r="D4396">
        <v>1.73</v>
      </c>
      <c r="E4396" t="s">
        <v>38</v>
      </c>
      <c r="F4396" t="s">
        <v>114</v>
      </c>
      <c r="G4396">
        <v>3.81</v>
      </c>
      <c r="H4396">
        <v>-0.35</v>
      </c>
      <c r="I4396">
        <v>2.08</v>
      </c>
      <c r="J4396">
        <v>4.3263999999999996</v>
      </c>
      <c r="K4396" t="str">
        <f>IFERROR(INDEX(Rosters!$C$2:$C$155,MATCH($B4396,Rosters!$B$2:$B$155,0)),"NA")</f>
        <v>NA</v>
      </c>
      <c r="L4396" t="str">
        <f t="shared" si="204"/>
        <v>NA2TE</v>
      </c>
      <c r="M4396">
        <f>COUNTIF(L$1:L4396,L4396)</f>
        <v>31</v>
      </c>
      <c r="N4396" t="str">
        <f t="shared" si="205"/>
        <v>NA2TE-31</v>
      </c>
      <c r="O4396">
        <f>COUNTIFS(F$1:F4396,F4396,A$1:A4396,A4396)</f>
        <v>44</v>
      </c>
      <c r="P4396" t="str">
        <f t="shared" si="206"/>
        <v>Jordan Akins2</v>
      </c>
    </row>
    <row r="4397" spans="1:16" x14ac:dyDescent="0.25">
      <c r="A4397">
        <v>15</v>
      </c>
      <c r="B4397" t="s">
        <v>274</v>
      </c>
      <c r="C4397">
        <f>-0.04-3.5</f>
        <v>-3.54</v>
      </c>
      <c r="D4397">
        <v>1.73</v>
      </c>
      <c r="E4397" t="s">
        <v>73</v>
      </c>
      <c r="F4397" t="s">
        <v>114</v>
      </c>
      <c r="G4397">
        <v>3.5</v>
      </c>
      <c r="H4397">
        <v>-0.04</v>
      </c>
      <c r="I4397">
        <v>1.77</v>
      </c>
      <c r="J4397">
        <v>3.1328999999999998</v>
      </c>
      <c r="K4397" t="str">
        <f>IFERROR(INDEX(Rosters!$C$2:$C$155,MATCH($B4397,Rosters!$B$2:$B$155,0)),"NA")</f>
        <v>NA</v>
      </c>
      <c r="L4397" t="str">
        <f t="shared" si="204"/>
        <v>NA15TE</v>
      </c>
      <c r="M4397">
        <f>COUNTIF(L$1:L4397,L4397)</f>
        <v>44</v>
      </c>
      <c r="N4397" t="str">
        <f t="shared" si="205"/>
        <v>NA15TE-44</v>
      </c>
      <c r="O4397">
        <f>COUNTIFS(F$1:F4397,F4397,A$1:A4397,A4397)</f>
        <v>58</v>
      </c>
      <c r="P4397" t="str">
        <f t="shared" si="206"/>
        <v>Ryan Griffin15</v>
      </c>
    </row>
    <row r="4398" spans="1:16" x14ac:dyDescent="0.25">
      <c r="A4398">
        <v>11</v>
      </c>
      <c r="B4398" t="s">
        <v>4232</v>
      </c>
      <c r="C4398" t="s">
        <v>8569</v>
      </c>
      <c r="D4398">
        <v>1.73</v>
      </c>
      <c r="E4398" t="s">
        <v>54</v>
      </c>
      <c r="F4398" t="s">
        <v>47</v>
      </c>
      <c r="G4398">
        <v>3.37</v>
      </c>
      <c r="H4398">
        <v>0.09</v>
      </c>
      <c r="I4398">
        <v>1.64</v>
      </c>
      <c r="J4398">
        <v>2.6896</v>
      </c>
      <c r="K4398" t="str">
        <f>IFERROR(INDEX(Rosters!$C$2:$C$155,MATCH($B4398,Rosters!$B$2:$B$155,0)),"NA")</f>
        <v>NA</v>
      </c>
      <c r="L4398" t="str">
        <f t="shared" si="204"/>
        <v>NA11RB</v>
      </c>
      <c r="M4398">
        <f>COUNTIF(L$1:L4398,L4398)</f>
        <v>26</v>
      </c>
      <c r="N4398" t="str">
        <f t="shared" si="205"/>
        <v>NA11RB-26</v>
      </c>
      <c r="O4398">
        <f>COUNTIFS(F$1:F4398,F4398,A$1:A4398,A4398)</f>
        <v>64</v>
      </c>
      <c r="P4398" t="str">
        <f t="shared" si="206"/>
        <v>Shaun Wilson11</v>
      </c>
    </row>
    <row r="4399" spans="1:16" x14ac:dyDescent="0.25">
      <c r="A4399">
        <v>14</v>
      </c>
      <c r="B4399" t="s">
        <v>268</v>
      </c>
      <c r="C4399">
        <f>-0.19-3.65</f>
        <v>-3.84</v>
      </c>
      <c r="D4399">
        <v>1.73</v>
      </c>
      <c r="E4399" t="s">
        <v>60</v>
      </c>
      <c r="F4399" t="s">
        <v>47</v>
      </c>
      <c r="G4399">
        <v>3.65</v>
      </c>
      <c r="H4399">
        <v>-0.19</v>
      </c>
      <c r="I4399">
        <v>1.92</v>
      </c>
      <c r="J4399">
        <v>3.6863999999999999</v>
      </c>
      <c r="K4399" t="str">
        <f>IFERROR(INDEX(Rosters!$C$2:$C$155,MATCH($B4399,Rosters!$B$2:$B$155,0)),"NA")</f>
        <v>NA</v>
      </c>
      <c r="L4399" t="str">
        <f t="shared" si="204"/>
        <v>NA14RB</v>
      </c>
      <c r="M4399">
        <f>COUNTIF(L$1:L4399,L4399)</f>
        <v>32</v>
      </c>
      <c r="N4399" t="str">
        <f t="shared" si="205"/>
        <v>NA14RB-32</v>
      </c>
      <c r="O4399">
        <f>COUNTIFS(F$1:F4399,F4399,A$1:A4399,A4399)</f>
        <v>79</v>
      </c>
      <c r="P4399" t="str">
        <f t="shared" si="206"/>
        <v>Wayne Gallman14</v>
      </c>
    </row>
    <row r="4400" spans="1:16" x14ac:dyDescent="0.25">
      <c r="A4400">
        <v>7</v>
      </c>
      <c r="B4400" t="s">
        <v>233</v>
      </c>
      <c r="C4400">
        <f>-0.22-3.66</f>
        <v>-3.8800000000000003</v>
      </c>
      <c r="D4400">
        <v>1.72</v>
      </c>
      <c r="E4400" t="s">
        <v>50</v>
      </c>
      <c r="F4400" t="s">
        <v>87</v>
      </c>
      <c r="G4400">
        <v>3.66</v>
      </c>
      <c r="H4400">
        <v>-0.22</v>
      </c>
      <c r="I4400">
        <v>1.94</v>
      </c>
      <c r="J4400">
        <v>3.7635999999999998</v>
      </c>
      <c r="K4400" t="str">
        <f>IFERROR(INDEX(Rosters!$C$2:$C$155,MATCH($B4400,Rosters!$B$2:$B$155,0)),"NA")</f>
        <v>NA</v>
      </c>
      <c r="L4400" t="str">
        <f t="shared" si="204"/>
        <v>NA7WR</v>
      </c>
      <c r="M4400">
        <f>COUNTIF(L$1:L4400,L4400)</f>
        <v>55</v>
      </c>
      <c r="N4400" t="str">
        <f t="shared" si="205"/>
        <v>NA7WR-55</v>
      </c>
      <c r="O4400">
        <f>COUNTIFS(F$1:F4400,F4400,A$1:A4400,A4400)</f>
        <v>100</v>
      </c>
      <c r="P4400" t="str">
        <f t="shared" si="206"/>
        <v>Curtis Samuel7</v>
      </c>
    </row>
    <row r="4401" spans="1:16" x14ac:dyDescent="0.25">
      <c r="A4401">
        <v>4</v>
      </c>
      <c r="B4401" t="s">
        <v>1469</v>
      </c>
      <c r="C4401">
        <f>-0.38-3.82</f>
        <v>-4.2</v>
      </c>
      <c r="D4401">
        <v>1.72</v>
      </c>
      <c r="E4401" t="s">
        <v>25</v>
      </c>
      <c r="F4401" t="s">
        <v>114</v>
      </c>
      <c r="G4401">
        <v>3.82</v>
      </c>
      <c r="H4401">
        <v>-0.38</v>
      </c>
      <c r="I4401">
        <v>2.1</v>
      </c>
      <c r="J4401">
        <v>4.41</v>
      </c>
      <c r="K4401" t="str">
        <f>IFERROR(INDEX(Rosters!$C$2:$C$155,MATCH($B4401,Rosters!$B$2:$B$155,0)),"NA")</f>
        <v>NA</v>
      </c>
      <c r="L4401" t="str">
        <f t="shared" si="204"/>
        <v>NA4TE</v>
      </c>
      <c r="M4401">
        <f>COUNTIF(L$1:L4401,L4401)</f>
        <v>37</v>
      </c>
      <c r="N4401" t="str">
        <f t="shared" si="205"/>
        <v>NA4TE-37</v>
      </c>
      <c r="O4401">
        <f>COUNTIFS(F$1:F4401,F4401,A$1:A4401,A4401)</f>
        <v>48</v>
      </c>
      <c r="P4401" t="str">
        <f t="shared" si="206"/>
        <v>Gerald Everett4</v>
      </c>
    </row>
    <row r="4402" spans="1:16" x14ac:dyDescent="0.25">
      <c r="A4402">
        <v>11</v>
      </c>
      <c r="B4402" t="s">
        <v>287</v>
      </c>
      <c r="C4402">
        <f>-0.25-3.69</f>
        <v>-3.94</v>
      </c>
      <c r="D4402">
        <v>1.72</v>
      </c>
      <c r="E4402" t="s">
        <v>50</v>
      </c>
      <c r="F4402" t="s">
        <v>114</v>
      </c>
      <c r="G4402">
        <v>3.69</v>
      </c>
      <c r="H4402">
        <v>-0.25</v>
      </c>
      <c r="I4402">
        <v>1.97</v>
      </c>
      <c r="J4402">
        <v>3.8809</v>
      </c>
      <c r="K4402" t="str">
        <f>IFERROR(INDEX(Rosters!$C$2:$C$155,MATCH($B4402,Rosters!$B$2:$B$155,0)),"NA")</f>
        <v>NA</v>
      </c>
      <c r="L4402" t="str">
        <f t="shared" si="204"/>
        <v>NA11TE</v>
      </c>
      <c r="M4402">
        <f>COUNTIF(L$1:L4402,L4402)</f>
        <v>32</v>
      </c>
      <c r="N4402" t="str">
        <f t="shared" si="205"/>
        <v>NA11TE-32</v>
      </c>
      <c r="O4402">
        <f>COUNTIFS(F$1:F4402,F4402,A$1:A4402,A4402)</f>
        <v>44</v>
      </c>
      <c r="P4402" t="str">
        <f t="shared" si="206"/>
        <v>Josh Hill11</v>
      </c>
    </row>
    <row r="4403" spans="1:16" x14ac:dyDescent="0.25">
      <c r="A4403">
        <v>17</v>
      </c>
      <c r="B4403" t="s">
        <v>287</v>
      </c>
      <c r="C4403">
        <f>-0.21-3.65</f>
        <v>-3.86</v>
      </c>
      <c r="D4403">
        <v>1.72</v>
      </c>
      <c r="E4403" t="s">
        <v>74</v>
      </c>
      <c r="F4403" t="s">
        <v>114</v>
      </c>
      <c r="G4403">
        <v>3.65</v>
      </c>
      <c r="H4403">
        <v>-0.21</v>
      </c>
      <c r="I4403">
        <v>1.93</v>
      </c>
      <c r="J4403">
        <v>3.7248999999999999</v>
      </c>
      <c r="K4403" t="str">
        <f>IFERROR(INDEX(Rosters!$C$2:$C$155,MATCH($B4403,Rosters!$B$2:$B$155,0)),"NA")</f>
        <v>NA</v>
      </c>
      <c r="L4403" t="str">
        <f t="shared" si="204"/>
        <v>NA17TE</v>
      </c>
      <c r="M4403">
        <f>COUNTIF(L$1:L4403,L4403)</f>
        <v>43</v>
      </c>
      <c r="N4403" t="str">
        <f t="shared" si="205"/>
        <v>NA17TE-43</v>
      </c>
      <c r="O4403">
        <f>COUNTIFS(F$1:F4403,F4403,A$1:A4403,A4403)</f>
        <v>57</v>
      </c>
      <c r="P4403" t="str">
        <f t="shared" si="206"/>
        <v>Josh Hill17</v>
      </c>
    </row>
    <row r="4404" spans="1:16" x14ac:dyDescent="0.25">
      <c r="A4404">
        <v>1</v>
      </c>
      <c r="B4404" t="s">
        <v>1506</v>
      </c>
      <c r="C4404" t="s">
        <v>1507</v>
      </c>
      <c r="D4404">
        <v>1.72</v>
      </c>
      <c r="E4404" t="s">
        <v>60</v>
      </c>
      <c r="F4404" t="s">
        <v>15</v>
      </c>
      <c r="G4404">
        <v>2.92</v>
      </c>
      <c r="H4404">
        <v>0.52</v>
      </c>
      <c r="I4404">
        <v>1.2</v>
      </c>
      <c r="J4404">
        <v>1.44</v>
      </c>
      <c r="K4404" t="str">
        <f>IFERROR(INDEX(Rosters!$C$2:$C$155,MATCH($B4404,Rosters!$B$2:$B$155,0)),"NA")</f>
        <v>NA</v>
      </c>
      <c r="L4404" t="str">
        <f t="shared" si="204"/>
        <v>NA1QB</v>
      </c>
      <c r="M4404">
        <f>COUNTIF(L$1:L4404,L4404)</f>
        <v>19</v>
      </c>
      <c r="N4404" t="str">
        <f t="shared" si="205"/>
        <v>NA1QB-19</v>
      </c>
      <c r="O4404">
        <f>COUNTIFS(F$1:F4404,F4404,A$1:A4404,A4404)</f>
        <v>35</v>
      </c>
      <c r="P4404" t="str">
        <f t="shared" si="206"/>
        <v>Josh Rosen1</v>
      </c>
    </row>
    <row r="4405" spans="1:16" x14ac:dyDescent="0.25">
      <c r="A4405">
        <v>11</v>
      </c>
      <c r="B4405" t="s">
        <v>279</v>
      </c>
      <c r="C4405">
        <f>-0.22-3.66</f>
        <v>-3.8800000000000003</v>
      </c>
      <c r="D4405">
        <v>1.72</v>
      </c>
      <c r="E4405" t="s">
        <v>74</v>
      </c>
      <c r="F4405" t="s">
        <v>114</v>
      </c>
      <c r="G4405">
        <v>3.66</v>
      </c>
      <c r="H4405">
        <v>-0.22</v>
      </c>
      <c r="I4405">
        <v>1.94</v>
      </c>
      <c r="J4405">
        <v>3.7635999999999998</v>
      </c>
      <c r="K4405" t="str">
        <f>IFERROR(INDEX(Rosters!$C$2:$C$155,MATCH($B4405,Rosters!$B$2:$B$155,0)),"NA")</f>
        <v>NA</v>
      </c>
      <c r="L4405" t="str">
        <f t="shared" si="204"/>
        <v>NA11TE</v>
      </c>
      <c r="M4405">
        <f>COUNTIF(L$1:L4405,L4405)</f>
        <v>33</v>
      </c>
      <c r="N4405" t="str">
        <f t="shared" si="205"/>
        <v>NA11TE-33</v>
      </c>
      <c r="O4405">
        <f>COUNTIFS(F$1:F4405,F4405,A$1:A4405,A4405)</f>
        <v>45</v>
      </c>
      <c r="P4405" t="str">
        <f t="shared" si="206"/>
        <v>Levine Toilolo11</v>
      </c>
    </row>
    <row r="4406" spans="1:16" x14ac:dyDescent="0.25">
      <c r="A4406">
        <v>14</v>
      </c>
      <c r="B4406" t="s">
        <v>279</v>
      </c>
      <c r="C4406">
        <f>-0.25-3.69</f>
        <v>-3.94</v>
      </c>
      <c r="D4406">
        <v>1.72</v>
      </c>
      <c r="E4406" t="s">
        <v>58</v>
      </c>
      <c r="F4406" t="s">
        <v>114</v>
      </c>
      <c r="G4406">
        <v>3.69</v>
      </c>
      <c r="H4406">
        <v>-0.25</v>
      </c>
      <c r="I4406">
        <v>1.97</v>
      </c>
      <c r="J4406">
        <v>3.8809</v>
      </c>
      <c r="K4406" t="str">
        <f>IFERROR(INDEX(Rosters!$C$2:$C$155,MATCH($B4406,Rosters!$B$2:$B$155,0)),"NA")</f>
        <v>NA</v>
      </c>
      <c r="L4406" t="str">
        <f t="shared" si="204"/>
        <v>NA14TE</v>
      </c>
      <c r="M4406">
        <f>COUNTIF(L$1:L4406,L4406)</f>
        <v>43</v>
      </c>
      <c r="N4406" t="str">
        <f t="shared" si="205"/>
        <v>NA14TE-43</v>
      </c>
      <c r="O4406">
        <f>COUNTIFS(F$1:F4406,F4406,A$1:A4406,A4406)</f>
        <v>57</v>
      </c>
      <c r="P4406" t="str">
        <f t="shared" si="206"/>
        <v>Levine Toilolo14</v>
      </c>
    </row>
    <row r="4407" spans="1:16" x14ac:dyDescent="0.25">
      <c r="A4407">
        <v>17</v>
      </c>
      <c r="B4407" t="s">
        <v>263</v>
      </c>
      <c r="C4407" t="s">
        <v>8570</v>
      </c>
      <c r="D4407">
        <v>1.72</v>
      </c>
      <c r="E4407" t="s">
        <v>41</v>
      </c>
      <c r="F4407" t="s">
        <v>87</v>
      </c>
      <c r="G4407">
        <v>3.27</v>
      </c>
      <c r="H4407">
        <v>0.17</v>
      </c>
      <c r="I4407">
        <v>1.55</v>
      </c>
      <c r="J4407">
        <v>2.4024999999999999</v>
      </c>
      <c r="K4407" t="str">
        <f>IFERROR(INDEX(Rosters!$C$2:$C$155,MATCH($B4407,Rosters!$B$2:$B$155,0)),"NA")</f>
        <v>NA</v>
      </c>
      <c r="L4407" t="str">
        <f t="shared" si="204"/>
        <v>NA17WR</v>
      </c>
      <c r="M4407">
        <f>COUNTIF(L$1:L4407,L4407)</f>
        <v>63</v>
      </c>
      <c r="N4407" t="str">
        <f t="shared" si="205"/>
        <v>NA17WR-63</v>
      </c>
      <c r="O4407">
        <f>COUNTIFS(F$1:F4407,F4407,A$1:A4407,A4407)</f>
        <v>117</v>
      </c>
      <c r="P4407" t="str">
        <f t="shared" si="206"/>
        <v>T.J. Jones17</v>
      </c>
    </row>
    <row r="4408" spans="1:16" x14ac:dyDescent="0.25">
      <c r="A4408">
        <v>3</v>
      </c>
      <c r="B4408" t="s">
        <v>121</v>
      </c>
      <c r="C4408" t="s">
        <v>3805</v>
      </c>
      <c r="D4408">
        <v>1.71</v>
      </c>
      <c r="E4408" t="s">
        <v>423</v>
      </c>
      <c r="F4408" t="s">
        <v>47</v>
      </c>
      <c r="G4408">
        <v>3.2</v>
      </c>
      <c r="H4408">
        <v>0.22</v>
      </c>
      <c r="I4408">
        <v>1.49</v>
      </c>
      <c r="J4408">
        <v>2.2201</v>
      </c>
      <c r="K4408" t="str">
        <f>IFERROR(INDEX(Rosters!$C$2:$C$155,MATCH($B4408,Rosters!$B$2:$B$155,0)),"NA")</f>
        <v>NA</v>
      </c>
      <c r="L4408" t="str">
        <f t="shared" si="204"/>
        <v>NA3RB</v>
      </c>
      <c r="M4408">
        <f>COUNTIF(L$1:L4408,L4408)</f>
        <v>33</v>
      </c>
      <c r="N4408" t="str">
        <f t="shared" si="205"/>
        <v>NA3RB-33</v>
      </c>
      <c r="O4408">
        <f>COUNTIFS(F$1:F4408,F4408,A$1:A4408,A4408)</f>
        <v>72</v>
      </c>
      <c r="P4408" t="str">
        <f t="shared" si="206"/>
        <v>Ameer Abdullah3</v>
      </c>
    </row>
    <row r="4409" spans="1:16" x14ac:dyDescent="0.25">
      <c r="A4409">
        <v>2</v>
      </c>
      <c r="B4409" t="s">
        <v>338</v>
      </c>
      <c r="C4409" t="s">
        <v>1139</v>
      </c>
      <c r="D4409">
        <v>1.71</v>
      </c>
      <c r="E4409" t="s">
        <v>72</v>
      </c>
      <c r="F4409" t="s">
        <v>87</v>
      </c>
      <c r="G4409">
        <v>3.37</v>
      </c>
      <c r="H4409">
        <v>0.05</v>
      </c>
      <c r="I4409">
        <v>1.66</v>
      </c>
      <c r="J4409">
        <v>2.7555999999999998</v>
      </c>
      <c r="K4409" t="str">
        <f>IFERROR(INDEX(Rosters!$C$2:$C$155,MATCH($B4409,Rosters!$B$2:$B$155,0)),"NA")</f>
        <v>NA</v>
      </c>
      <c r="L4409" t="str">
        <f t="shared" si="204"/>
        <v>NA2WR</v>
      </c>
      <c r="M4409">
        <f>COUNTIF(L$1:L4409,L4409)</f>
        <v>53</v>
      </c>
      <c r="N4409" t="str">
        <f t="shared" si="205"/>
        <v>NA2WR-53</v>
      </c>
      <c r="O4409">
        <f>COUNTIFS(F$1:F4409,F4409,A$1:A4409,A4409)</f>
        <v>101</v>
      </c>
      <c r="P4409" t="str">
        <f t="shared" si="206"/>
        <v>Jaron Brown2</v>
      </c>
    </row>
    <row r="4410" spans="1:16" x14ac:dyDescent="0.25">
      <c r="A4410">
        <v>11</v>
      </c>
      <c r="B4410" t="s">
        <v>1495</v>
      </c>
      <c r="C4410">
        <f>-0.22-3.64</f>
        <v>-3.8600000000000003</v>
      </c>
      <c r="D4410">
        <v>1.71</v>
      </c>
      <c r="E4410" t="s">
        <v>66</v>
      </c>
      <c r="F4410" t="s">
        <v>114</v>
      </c>
      <c r="G4410">
        <v>3.64</v>
      </c>
      <c r="H4410">
        <v>-0.22</v>
      </c>
      <c r="I4410">
        <v>1.93</v>
      </c>
      <c r="J4410">
        <v>3.7248999999999999</v>
      </c>
      <c r="K4410" t="str">
        <f>IFERROR(INDEX(Rosters!$C$2:$C$155,MATCH($B4410,Rosters!$B$2:$B$155,0)),"NA")</f>
        <v>NA</v>
      </c>
      <c r="L4410" t="str">
        <f t="shared" si="204"/>
        <v>NA11TE</v>
      </c>
      <c r="M4410">
        <f>COUNTIF(L$1:L4410,L4410)</f>
        <v>34</v>
      </c>
      <c r="N4410" t="str">
        <f t="shared" si="205"/>
        <v>NA11TE-34</v>
      </c>
      <c r="O4410">
        <f>COUNTIFS(F$1:F4410,F4410,A$1:A4410,A4410)</f>
        <v>46</v>
      </c>
      <c r="P4410" t="str">
        <f t="shared" si="206"/>
        <v>Jonnu Smith11</v>
      </c>
    </row>
    <row r="4411" spans="1:16" x14ac:dyDescent="0.25">
      <c r="A4411">
        <v>7</v>
      </c>
      <c r="B4411" t="s">
        <v>279</v>
      </c>
      <c r="C4411">
        <f>-0.18-3.6</f>
        <v>-3.7800000000000002</v>
      </c>
      <c r="D4411">
        <v>1.71</v>
      </c>
      <c r="E4411" t="s">
        <v>19</v>
      </c>
      <c r="F4411" t="s">
        <v>114</v>
      </c>
      <c r="G4411">
        <v>3.6</v>
      </c>
      <c r="H4411">
        <v>-0.18</v>
      </c>
      <c r="I4411">
        <v>1.89</v>
      </c>
      <c r="J4411">
        <v>3.5720999999999998</v>
      </c>
      <c r="K4411" t="str">
        <f>IFERROR(INDEX(Rosters!$C$2:$C$155,MATCH($B4411,Rosters!$B$2:$B$155,0)),"NA")</f>
        <v>NA</v>
      </c>
      <c r="L4411" t="str">
        <f t="shared" si="204"/>
        <v>NA7TE</v>
      </c>
      <c r="M4411">
        <f>COUNTIF(L$1:L4411,L4411)</f>
        <v>41</v>
      </c>
      <c r="N4411" t="str">
        <f t="shared" si="205"/>
        <v>NA7TE-41</v>
      </c>
      <c r="O4411">
        <f>COUNTIFS(F$1:F4411,F4411,A$1:A4411,A4411)</f>
        <v>51</v>
      </c>
      <c r="P4411" t="str">
        <f t="shared" si="206"/>
        <v>Levine Toilolo7</v>
      </c>
    </row>
    <row r="4412" spans="1:16" x14ac:dyDescent="0.25">
      <c r="A4412">
        <v>17</v>
      </c>
      <c r="B4412" t="s">
        <v>279</v>
      </c>
      <c r="C4412">
        <f>-0.22-3.64</f>
        <v>-3.8600000000000003</v>
      </c>
      <c r="D4412">
        <v>1.71</v>
      </c>
      <c r="E4412" t="s">
        <v>41</v>
      </c>
      <c r="F4412" t="s">
        <v>114</v>
      </c>
      <c r="G4412">
        <v>3.64</v>
      </c>
      <c r="H4412">
        <v>-0.22</v>
      </c>
      <c r="I4412">
        <v>1.93</v>
      </c>
      <c r="J4412">
        <v>3.7248999999999999</v>
      </c>
      <c r="K4412" t="str">
        <f>IFERROR(INDEX(Rosters!$C$2:$C$155,MATCH($B4412,Rosters!$B$2:$B$155,0)),"NA")</f>
        <v>NA</v>
      </c>
      <c r="L4412" t="str">
        <f t="shared" si="204"/>
        <v>NA17TE</v>
      </c>
      <c r="M4412">
        <f>COUNTIF(L$1:L4412,L4412)</f>
        <v>44</v>
      </c>
      <c r="N4412" t="str">
        <f t="shared" si="205"/>
        <v>NA17TE-44</v>
      </c>
      <c r="O4412">
        <f>COUNTIFS(F$1:F4412,F4412,A$1:A4412,A4412)</f>
        <v>58</v>
      </c>
      <c r="P4412" t="str">
        <f t="shared" si="206"/>
        <v>Levine Toilolo17</v>
      </c>
    </row>
    <row r="4413" spans="1:16" x14ac:dyDescent="0.25">
      <c r="A4413">
        <v>2</v>
      </c>
      <c r="B4413" t="s">
        <v>4224</v>
      </c>
      <c r="C4413">
        <f>-0.13-3.55</f>
        <v>-3.6799999999999997</v>
      </c>
      <c r="D4413">
        <v>1.71</v>
      </c>
      <c r="E4413" t="s">
        <v>31</v>
      </c>
      <c r="F4413" t="s">
        <v>114</v>
      </c>
      <c r="G4413">
        <v>3.55</v>
      </c>
      <c r="H4413">
        <v>-0.13</v>
      </c>
      <c r="I4413">
        <v>1.84</v>
      </c>
      <c r="J4413">
        <v>3.3856000000000002</v>
      </c>
      <c r="K4413" t="str">
        <f>IFERROR(INDEX(Rosters!$C$2:$C$155,MATCH($B4413,Rosters!$B$2:$B$155,0)),"NA")</f>
        <v>NA</v>
      </c>
      <c r="L4413" t="str">
        <f t="shared" si="204"/>
        <v>NA2TE</v>
      </c>
      <c r="M4413">
        <f>COUNTIF(L$1:L4413,L4413)</f>
        <v>32</v>
      </c>
      <c r="N4413" t="str">
        <f t="shared" si="205"/>
        <v>NA2TE-32</v>
      </c>
      <c r="O4413">
        <f>COUNTIFS(F$1:F4413,F4413,A$1:A4413,A4413)</f>
        <v>45</v>
      </c>
      <c r="P4413" t="str">
        <f t="shared" si="206"/>
        <v>Mark Andrews2</v>
      </c>
    </row>
    <row r="4414" spans="1:16" x14ac:dyDescent="0.25">
      <c r="A4414">
        <v>9</v>
      </c>
      <c r="B4414" t="s">
        <v>283</v>
      </c>
      <c r="C4414">
        <f>-1.05-4.45</f>
        <v>-5.5</v>
      </c>
      <c r="D4414">
        <v>1.7</v>
      </c>
      <c r="E4414" t="s">
        <v>41</v>
      </c>
      <c r="F4414" t="s">
        <v>87</v>
      </c>
      <c r="G4414">
        <v>4.45</v>
      </c>
      <c r="H4414">
        <v>-1.05</v>
      </c>
      <c r="I4414">
        <v>2.75</v>
      </c>
      <c r="J4414">
        <v>7.5625</v>
      </c>
      <c r="K4414" t="str">
        <f>IFERROR(INDEX(Rosters!$C$2:$C$155,MATCH($B4414,Rosters!$B$2:$B$155,0)),"NA")</f>
        <v>NA</v>
      </c>
      <c r="L4414" t="str">
        <f t="shared" si="204"/>
        <v>NA9WR</v>
      </c>
      <c r="M4414">
        <f>COUNTIF(L$1:L4414,L4414)</f>
        <v>54</v>
      </c>
      <c r="N4414" t="str">
        <f t="shared" si="205"/>
        <v>NA9WR-54</v>
      </c>
      <c r="O4414">
        <f>COUNTIFS(F$1:F4414,F4414,A$1:A4414,A4414)</f>
        <v>98</v>
      </c>
      <c r="P4414" t="str">
        <f t="shared" si="206"/>
        <v>Cordarrelle Patterson9</v>
      </c>
    </row>
    <row r="4415" spans="1:16" x14ac:dyDescent="0.25">
      <c r="A4415">
        <v>10</v>
      </c>
      <c r="B4415" t="s">
        <v>279</v>
      </c>
      <c r="C4415">
        <f>-0.27-3.67</f>
        <v>-3.94</v>
      </c>
      <c r="D4415">
        <v>1.7</v>
      </c>
      <c r="E4415" t="s">
        <v>72</v>
      </c>
      <c r="F4415" t="s">
        <v>114</v>
      </c>
      <c r="G4415">
        <v>3.67</v>
      </c>
      <c r="H4415">
        <v>-0.27</v>
      </c>
      <c r="I4415">
        <v>1.97</v>
      </c>
      <c r="J4415">
        <v>3.8809</v>
      </c>
      <c r="K4415" t="str">
        <f>IFERROR(INDEX(Rosters!$C$2:$C$155,MATCH($B4415,Rosters!$B$2:$B$155,0)),"NA")</f>
        <v>NA</v>
      </c>
      <c r="L4415" t="str">
        <f t="shared" si="204"/>
        <v>NA10TE</v>
      </c>
      <c r="M4415">
        <f>COUNTIF(L$1:L4415,L4415)</f>
        <v>35</v>
      </c>
      <c r="N4415" t="str">
        <f t="shared" si="205"/>
        <v>NA10TE-35</v>
      </c>
      <c r="O4415">
        <f>COUNTIFS(F$1:F4415,F4415,A$1:A4415,A4415)</f>
        <v>48</v>
      </c>
      <c r="P4415" t="str">
        <f t="shared" si="206"/>
        <v>Levine Toilolo10</v>
      </c>
    </row>
    <row r="4416" spans="1:16" x14ac:dyDescent="0.25">
      <c r="A4416">
        <v>1</v>
      </c>
      <c r="B4416" t="s">
        <v>288</v>
      </c>
      <c r="C4416" t="s">
        <v>1508</v>
      </c>
      <c r="D4416">
        <v>1.7</v>
      </c>
      <c r="E4416" t="s">
        <v>72</v>
      </c>
      <c r="F4416" t="s">
        <v>114</v>
      </c>
      <c r="G4416">
        <v>3.03</v>
      </c>
      <c r="H4416">
        <v>0.37</v>
      </c>
      <c r="I4416">
        <v>1.33</v>
      </c>
      <c r="J4416">
        <v>1.7688999999999999</v>
      </c>
      <c r="K4416" t="str">
        <f>IFERROR(INDEX(Rosters!$C$2:$C$155,MATCH($B4416,Rosters!$B$2:$B$155,0)),"NA")</f>
        <v>NA</v>
      </c>
      <c r="L4416" t="str">
        <f t="shared" si="204"/>
        <v>NA1TE</v>
      </c>
      <c r="M4416">
        <f>COUNTIF(L$1:L4416,L4416)</f>
        <v>29</v>
      </c>
      <c r="N4416" t="str">
        <f t="shared" si="205"/>
        <v>NA1TE-29</v>
      </c>
      <c r="O4416">
        <f>COUNTIFS(F$1:F4416,F4416,A$1:A4416,A4416)</f>
        <v>42</v>
      </c>
      <c r="P4416" t="str">
        <f t="shared" si="206"/>
        <v>Marcedes Lewis1</v>
      </c>
    </row>
    <row r="4417" spans="1:16" x14ac:dyDescent="0.25">
      <c r="A4417">
        <v>3</v>
      </c>
      <c r="B4417" t="s">
        <v>270</v>
      </c>
      <c r="C4417">
        <f>-0.19-3.59</f>
        <v>-3.78</v>
      </c>
      <c r="D4417">
        <v>1.7</v>
      </c>
      <c r="E4417" t="s">
        <v>42</v>
      </c>
      <c r="F4417" t="s">
        <v>114</v>
      </c>
      <c r="G4417">
        <v>3.59</v>
      </c>
      <c r="H4417">
        <v>-0.19</v>
      </c>
      <c r="I4417">
        <v>1.89</v>
      </c>
      <c r="J4417">
        <v>3.5720999999999998</v>
      </c>
      <c r="K4417" t="str">
        <f>IFERROR(INDEX(Rosters!$C$2:$C$155,MATCH($B4417,Rosters!$B$2:$B$155,0)),"NA")</f>
        <v>NA</v>
      </c>
      <c r="L4417" t="str">
        <f t="shared" si="204"/>
        <v>NA3TE</v>
      </c>
      <c r="M4417">
        <f>COUNTIF(L$1:L4417,L4417)</f>
        <v>42</v>
      </c>
      <c r="N4417" t="str">
        <f t="shared" si="205"/>
        <v>NA3TE-42</v>
      </c>
      <c r="O4417">
        <f>COUNTIFS(F$1:F4417,F4417,A$1:A4417,A4417)</f>
        <v>55</v>
      </c>
      <c r="P4417" t="str">
        <f t="shared" si="206"/>
        <v>Maxx Williams3</v>
      </c>
    </row>
    <row r="4418" spans="1:16" x14ac:dyDescent="0.25">
      <c r="A4418">
        <v>13</v>
      </c>
      <c r="B4418" t="s">
        <v>1336</v>
      </c>
      <c r="C4418" t="s">
        <v>8571</v>
      </c>
      <c r="D4418">
        <v>1.7</v>
      </c>
      <c r="E4418" t="s">
        <v>30</v>
      </c>
      <c r="F4418" t="s">
        <v>47</v>
      </c>
      <c r="G4418">
        <v>3.36</v>
      </c>
      <c r="H4418">
        <v>0.04</v>
      </c>
      <c r="I4418">
        <v>1.66</v>
      </c>
      <c r="J4418">
        <v>2.7555999999999998</v>
      </c>
      <c r="K4418" t="str">
        <f>IFERROR(INDEX(Rosters!$C$2:$C$155,MATCH($B4418,Rosters!$B$2:$B$155,0)),"NA")</f>
        <v>NA</v>
      </c>
      <c r="L4418" t="str">
        <f t="shared" si="204"/>
        <v>NA13RB</v>
      </c>
      <c r="M4418">
        <f>COUNTIF(L$1:L4418,L4418)</f>
        <v>33</v>
      </c>
      <c r="N4418" t="str">
        <f t="shared" si="205"/>
        <v>NA13RB-33</v>
      </c>
      <c r="O4418">
        <f>COUNTIFS(F$1:F4418,F4418,A$1:A4418,A4418)</f>
        <v>80</v>
      </c>
      <c r="P4418" t="str">
        <f t="shared" si="206"/>
        <v>Rashaad Penny13</v>
      </c>
    </row>
    <row r="4419" spans="1:16" x14ac:dyDescent="0.25">
      <c r="A4419">
        <v>17</v>
      </c>
      <c r="B4419" t="s">
        <v>274</v>
      </c>
      <c r="C4419" t="s">
        <v>8571</v>
      </c>
      <c r="D4419">
        <v>1.7</v>
      </c>
      <c r="E4419" t="s">
        <v>76</v>
      </c>
      <c r="F4419" t="s">
        <v>114</v>
      </c>
      <c r="G4419">
        <v>3.36</v>
      </c>
      <c r="H4419">
        <v>0.04</v>
      </c>
      <c r="I4419">
        <v>1.66</v>
      </c>
      <c r="J4419">
        <v>2.7555999999999998</v>
      </c>
      <c r="K4419" t="str">
        <f>IFERROR(INDEX(Rosters!$C$2:$C$155,MATCH($B4419,Rosters!$B$2:$B$155,0)),"NA")</f>
        <v>NA</v>
      </c>
      <c r="L4419" t="str">
        <f t="shared" ref="L4419:L4482" si="207">K4419&amp;A4419&amp;F4419</f>
        <v>NA17TE</v>
      </c>
      <c r="M4419">
        <f>COUNTIF(L$1:L4419,L4419)</f>
        <v>45</v>
      </c>
      <c r="N4419" t="str">
        <f t="shared" ref="N4419:N4482" si="208">L4419&amp;"-"&amp;M4419</f>
        <v>NA17TE-45</v>
      </c>
      <c r="O4419">
        <f>COUNTIFS(F$1:F4419,F4419,A$1:A4419,A4419)</f>
        <v>59</v>
      </c>
      <c r="P4419" t="str">
        <f t="shared" ref="P4419:P4482" si="209">B4419&amp;A4419</f>
        <v>Ryan Griffin17</v>
      </c>
    </row>
    <row r="4420" spans="1:16" x14ac:dyDescent="0.25">
      <c r="A4420">
        <v>9</v>
      </c>
      <c r="B4420" t="s">
        <v>351</v>
      </c>
      <c r="C4420" t="s">
        <v>8572</v>
      </c>
      <c r="D4420">
        <v>1.69</v>
      </c>
      <c r="E4420" t="s">
        <v>17</v>
      </c>
      <c r="F4420" t="s">
        <v>47</v>
      </c>
      <c r="G4420">
        <v>3.27</v>
      </c>
      <c r="H4420">
        <v>0.11</v>
      </c>
      <c r="I4420">
        <v>1.58</v>
      </c>
      <c r="J4420">
        <v>2.4964</v>
      </c>
      <c r="K4420" t="str">
        <f>IFERROR(INDEX(Rosters!$C$2:$C$155,MATCH($B4420,Rosters!$B$2:$B$155,0)),"NA")</f>
        <v>NA</v>
      </c>
      <c r="L4420" t="str">
        <f t="shared" si="207"/>
        <v>NA9RB</v>
      </c>
      <c r="M4420">
        <f>COUNTIF(L$1:L4420,L4420)</f>
        <v>24</v>
      </c>
      <c r="N4420" t="str">
        <f t="shared" si="208"/>
        <v>NA9RB-24</v>
      </c>
      <c r="O4420">
        <f>COUNTIFS(F$1:F4420,F4420,A$1:A4420,A4420)</f>
        <v>64</v>
      </c>
      <c r="P4420" t="str">
        <f t="shared" si="209"/>
        <v>Cameron Artis-Payne9</v>
      </c>
    </row>
    <row r="4421" spans="1:16" x14ac:dyDescent="0.25">
      <c r="A4421">
        <v>17</v>
      </c>
      <c r="B4421" t="s">
        <v>275</v>
      </c>
      <c r="C4421" t="s">
        <v>8573</v>
      </c>
      <c r="D4421">
        <v>1.69</v>
      </c>
      <c r="E4421" t="s">
        <v>37</v>
      </c>
      <c r="F4421" t="s">
        <v>47</v>
      </c>
      <c r="G4421">
        <v>3.01</v>
      </c>
      <c r="H4421">
        <v>0.37</v>
      </c>
      <c r="I4421">
        <v>1.32</v>
      </c>
      <c r="J4421">
        <v>1.7423999999999999</v>
      </c>
      <c r="K4421" t="str">
        <f>IFERROR(INDEX(Rosters!$C$2:$C$155,MATCH($B4421,Rosters!$B$2:$B$155,0)),"NA")</f>
        <v>NA</v>
      </c>
      <c r="L4421" t="str">
        <f t="shared" si="207"/>
        <v>NA17RB</v>
      </c>
      <c r="M4421">
        <f>COUNTIF(L$1:L4421,L4421)</f>
        <v>31</v>
      </c>
      <c r="N4421" t="str">
        <f t="shared" si="208"/>
        <v>NA17RB-31</v>
      </c>
      <c r="O4421">
        <f>COUNTIFS(F$1:F4421,F4421,A$1:A4421,A4421)</f>
        <v>78</v>
      </c>
      <c r="P4421" t="str">
        <f t="shared" si="209"/>
        <v>Devontae Booker17</v>
      </c>
    </row>
    <row r="4422" spans="1:16" x14ac:dyDescent="0.25">
      <c r="A4422">
        <v>13</v>
      </c>
      <c r="B4422" t="s">
        <v>284</v>
      </c>
      <c r="C4422">
        <f>-0.1-3.48</f>
        <v>-3.58</v>
      </c>
      <c r="D4422">
        <v>1.69</v>
      </c>
      <c r="E4422" t="s">
        <v>54</v>
      </c>
      <c r="F4422" t="s">
        <v>114</v>
      </c>
      <c r="G4422">
        <v>3.48</v>
      </c>
      <c r="H4422">
        <v>-0.1</v>
      </c>
      <c r="I4422">
        <v>1.79</v>
      </c>
      <c r="J4422">
        <v>3.2040999999999999</v>
      </c>
      <c r="K4422" t="str">
        <f>IFERROR(INDEX(Rosters!$C$2:$C$155,MATCH($B4422,Rosters!$B$2:$B$155,0)),"NA")</f>
        <v>NA</v>
      </c>
      <c r="L4422" t="str">
        <f t="shared" si="207"/>
        <v>NA13TE</v>
      </c>
      <c r="M4422">
        <f>COUNTIF(L$1:L4422,L4422)</f>
        <v>44</v>
      </c>
      <c r="N4422" t="str">
        <f t="shared" si="208"/>
        <v>NA13TE-44</v>
      </c>
      <c r="O4422">
        <f>COUNTIFS(F$1:F4422,F4422,A$1:A4422,A4422)</f>
        <v>58</v>
      </c>
      <c r="P4422" t="str">
        <f t="shared" si="209"/>
        <v>Dion Sims13</v>
      </c>
    </row>
    <row r="4423" spans="1:16" x14ac:dyDescent="0.25">
      <c r="A4423">
        <v>1</v>
      </c>
      <c r="B4423" t="s">
        <v>270</v>
      </c>
      <c r="C4423">
        <f>-0.44-3.82</f>
        <v>-4.26</v>
      </c>
      <c r="D4423">
        <v>1.69</v>
      </c>
      <c r="E4423" t="s">
        <v>29</v>
      </c>
      <c r="F4423" t="s">
        <v>114</v>
      </c>
      <c r="G4423">
        <v>3.82</v>
      </c>
      <c r="H4423">
        <v>-0.44</v>
      </c>
      <c r="I4423">
        <v>2.13</v>
      </c>
      <c r="J4423">
        <v>4.5369000000000002</v>
      </c>
      <c r="K4423" t="str">
        <f>IFERROR(INDEX(Rosters!$C$2:$C$155,MATCH($B4423,Rosters!$B$2:$B$155,0)),"NA")</f>
        <v>NA</v>
      </c>
      <c r="L4423" t="str">
        <f t="shared" si="207"/>
        <v>NA1TE</v>
      </c>
      <c r="M4423">
        <f>COUNTIF(L$1:L4423,L4423)</f>
        <v>30</v>
      </c>
      <c r="N4423" t="str">
        <f t="shared" si="208"/>
        <v>NA1TE-30</v>
      </c>
      <c r="O4423">
        <f>COUNTIFS(F$1:F4423,F4423,A$1:A4423,A4423)</f>
        <v>43</v>
      </c>
      <c r="P4423" t="str">
        <f t="shared" si="209"/>
        <v>Maxx Williams1</v>
      </c>
    </row>
    <row r="4424" spans="1:16" x14ac:dyDescent="0.25">
      <c r="A4424">
        <v>6</v>
      </c>
      <c r="B4424" t="s">
        <v>270</v>
      </c>
      <c r="C4424">
        <f>-0.17-3.55</f>
        <v>-3.7199999999999998</v>
      </c>
      <c r="D4424">
        <v>1.69</v>
      </c>
      <c r="E4424" t="s">
        <v>38</v>
      </c>
      <c r="F4424" t="s">
        <v>114</v>
      </c>
      <c r="G4424">
        <v>3.55</v>
      </c>
      <c r="H4424">
        <v>-0.17</v>
      </c>
      <c r="I4424">
        <v>1.86</v>
      </c>
      <c r="J4424">
        <v>3.4596</v>
      </c>
      <c r="K4424" t="str">
        <f>IFERROR(INDEX(Rosters!$C$2:$C$155,MATCH($B4424,Rosters!$B$2:$B$155,0)),"NA")</f>
        <v>NA</v>
      </c>
      <c r="L4424" t="str">
        <f t="shared" si="207"/>
        <v>NA6TE</v>
      </c>
      <c r="M4424">
        <f>COUNTIF(L$1:L4424,L4424)</f>
        <v>39</v>
      </c>
      <c r="N4424" t="str">
        <f t="shared" si="208"/>
        <v>NA6TE-39</v>
      </c>
      <c r="O4424">
        <f>COUNTIFS(F$1:F4424,F4424,A$1:A4424,A4424)</f>
        <v>51</v>
      </c>
      <c r="P4424" t="str">
        <f t="shared" si="209"/>
        <v>Maxx Williams6</v>
      </c>
    </row>
    <row r="4425" spans="1:16" x14ac:dyDescent="0.25">
      <c r="A4425">
        <v>11</v>
      </c>
      <c r="B4425" t="s">
        <v>270</v>
      </c>
      <c r="C4425">
        <f>-0.09-3.47</f>
        <v>-3.56</v>
      </c>
      <c r="D4425">
        <v>1.69</v>
      </c>
      <c r="E4425" t="s">
        <v>31</v>
      </c>
      <c r="F4425" t="s">
        <v>114</v>
      </c>
      <c r="G4425">
        <v>3.47</v>
      </c>
      <c r="H4425">
        <v>-0.09</v>
      </c>
      <c r="I4425">
        <v>1.78</v>
      </c>
      <c r="J4425">
        <v>3.1684000000000001</v>
      </c>
      <c r="K4425" t="str">
        <f>IFERROR(INDEX(Rosters!$C$2:$C$155,MATCH($B4425,Rosters!$B$2:$B$155,0)),"NA")</f>
        <v>NA</v>
      </c>
      <c r="L4425" t="str">
        <f t="shared" si="207"/>
        <v>NA11TE</v>
      </c>
      <c r="M4425">
        <f>COUNTIF(L$1:L4425,L4425)</f>
        <v>35</v>
      </c>
      <c r="N4425" t="str">
        <f t="shared" si="208"/>
        <v>NA11TE-35</v>
      </c>
      <c r="O4425">
        <f>COUNTIFS(F$1:F4425,F4425,A$1:A4425,A4425)</f>
        <v>47</v>
      </c>
      <c r="P4425" t="str">
        <f t="shared" si="209"/>
        <v>Maxx Williams11</v>
      </c>
    </row>
    <row r="4426" spans="1:16" x14ac:dyDescent="0.25">
      <c r="A4426">
        <v>2</v>
      </c>
      <c r="B4426" t="s">
        <v>263</v>
      </c>
      <c r="C4426" t="s">
        <v>1509</v>
      </c>
      <c r="D4426">
        <v>1.69</v>
      </c>
      <c r="E4426" t="s">
        <v>30</v>
      </c>
      <c r="F4426" t="s">
        <v>87</v>
      </c>
      <c r="G4426">
        <v>3.26</v>
      </c>
      <c r="H4426">
        <v>0.12</v>
      </c>
      <c r="I4426">
        <v>1.57</v>
      </c>
      <c r="J4426">
        <v>2.4649000000000001</v>
      </c>
      <c r="K4426" t="str">
        <f>IFERROR(INDEX(Rosters!$C$2:$C$155,MATCH($B4426,Rosters!$B$2:$B$155,0)),"NA")</f>
        <v>NA</v>
      </c>
      <c r="L4426" t="str">
        <f t="shared" si="207"/>
        <v>NA2WR</v>
      </c>
      <c r="M4426">
        <f>COUNTIF(L$1:L4426,L4426)</f>
        <v>54</v>
      </c>
      <c r="N4426" t="str">
        <f t="shared" si="208"/>
        <v>NA2WR-54</v>
      </c>
      <c r="O4426">
        <f>COUNTIFS(F$1:F4426,F4426,A$1:A4426,A4426)</f>
        <v>102</v>
      </c>
      <c r="P4426" t="str">
        <f t="shared" si="209"/>
        <v>T.J. Jones2</v>
      </c>
    </row>
    <row r="4427" spans="1:16" x14ac:dyDescent="0.25">
      <c r="A4427">
        <v>10</v>
      </c>
      <c r="B4427" t="s">
        <v>268</v>
      </c>
      <c r="C4427">
        <f>-0.37-3.75</f>
        <v>-4.12</v>
      </c>
      <c r="D4427">
        <v>1.69</v>
      </c>
      <c r="E4427" t="s">
        <v>30</v>
      </c>
      <c r="F4427" t="s">
        <v>47</v>
      </c>
      <c r="G4427">
        <v>3.75</v>
      </c>
      <c r="H4427">
        <v>-0.37</v>
      </c>
      <c r="I4427">
        <v>2.06</v>
      </c>
      <c r="J4427">
        <v>4.2435999999999998</v>
      </c>
      <c r="K4427" t="str">
        <f>IFERROR(INDEX(Rosters!$C$2:$C$155,MATCH($B4427,Rosters!$B$2:$B$155,0)),"NA")</f>
        <v>NA</v>
      </c>
      <c r="L4427" t="str">
        <f t="shared" si="207"/>
        <v>NA10RB</v>
      </c>
      <c r="M4427">
        <f>COUNTIF(L$1:L4427,L4427)</f>
        <v>30</v>
      </c>
      <c r="N4427" t="str">
        <f t="shared" si="208"/>
        <v>NA10RB-30</v>
      </c>
      <c r="O4427">
        <f>COUNTIFS(F$1:F4427,F4427,A$1:A4427,A4427)</f>
        <v>69</v>
      </c>
      <c r="P4427" t="str">
        <f t="shared" si="209"/>
        <v>Wayne Gallman10</v>
      </c>
    </row>
    <row r="4428" spans="1:16" x14ac:dyDescent="0.25">
      <c r="A4428">
        <v>6</v>
      </c>
      <c r="B4428" t="s">
        <v>4208</v>
      </c>
      <c r="C4428">
        <f>-0.02-3.38</f>
        <v>-3.4</v>
      </c>
      <c r="D4428">
        <v>1.68</v>
      </c>
      <c r="E4428" t="s">
        <v>76</v>
      </c>
      <c r="F4428" t="s">
        <v>114</v>
      </c>
      <c r="G4428">
        <v>3.38</v>
      </c>
      <c r="H4428">
        <v>-0.02</v>
      </c>
      <c r="I4428">
        <v>1.7</v>
      </c>
      <c r="J4428">
        <v>2.89</v>
      </c>
      <c r="K4428" t="str">
        <f>IFERROR(INDEX(Rosters!$C$2:$C$155,MATCH($B4428,Rosters!$B$2:$B$155,0)),"NA")</f>
        <v>NA</v>
      </c>
      <c r="L4428" t="str">
        <f t="shared" si="207"/>
        <v>NA6TE</v>
      </c>
      <c r="M4428">
        <f>COUNTIF(L$1:L4428,L4428)</f>
        <v>40</v>
      </c>
      <c r="N4428" t="str">
        <f t="shared" si="208"/>
        <v>NA6TE-40</v>
      </c>
      <c r="O4428">
        <f>COUNTIFS(F$1:F4428,F4428,A$1:A4428,A4428)</f>
        <v>52</v>
      </c>
      <c r="P4428" t="str">
        <f t="shared" si="209"/>
        <v>Blake Jarwin6</v>
      </c>
    </row>
    <row r="4429" spans="1:16" x14ac:dyDescent="0.25">
      <c r="A4429">
        <v>5</v>
      </c>
      <c r="B4429" t="s">
        <v>233</v>
      </c>
      <c r="C4429">
        <f>-0.51-3.87</f>
        <v>-4.38</v>
      </c>
      <c r="D4429">
        <v>1.68</v>
      </c>
      <c r="E4429" t="s">
        <v>54</v>
      </c>
      <c r="F4429" t="s">
        <v>87</v>
      </c>
      <c r="G4429">
        <v>3.87</v>
      </c>
      <c r="H4429">
        <v>-0.51</v>
      </c>
      <c r="I4429">
        <v>2.19</v>
      </c>
      <c r="J4429">
        <v>4.7961</v>
      </c>
      <c r="K4429" t="str">
        <f>IFERROR(INDEX(Rosters!$C$2:$C$155,MATCH($B4429,Rosters!$B$2:$B$155,0)),"NA")</f>
        <v>NA</v>
      </c>
      <c r="L4429" t="str">
        <f t="shared" si="207"/>
        <v>NA5WR</v>
      </c>
      <c r="M4429">
        <f>COUNTIF(L$1:L4429,L4429)</f>
        <v>59</v>
      </c>
      <c r="N4429" t="str">
        <f t="shared" si="208"/>
        <v>NA5WR-59</v>
      </c>
      <c r="O4429">
        <f>COUNTIFS(F$1:F4429,F4429,A$1:A4429,A4429)</f>
        <v>109</v>
      </c>
      <c r="P4429" t="str">
        <f t="shared" si="209"/>
        <v>Curtis Samuel5</v>
      </c>
    </row>
    <row r="4430" spans="1:16" x14ac:dyDescent="0.25">
      <c r="A4430">
        <v>17</v>
      </c>
      <c r="B4430" t="s">
        <v>318</v>
      </c>
      <c r="C4430">
        <f>-0.09-3.45</f>
        <v>-3.54</v>
      </c>
      <c r="D4430">
        <v>1.68</v>
      </c>
      <c r="E4430" t="s">
        <v>72</v>
      </c>
      <c r="F4430" t="s">
        <v>114</v>
      </c>
      <c r="G4430">
        <v>3.45</v>
      </c>
      <c r="H4430">
        <v>-0.09</v>
      </c>
      <c r="I4430">
        <v>1.77</v>
      </c>
      <c r="J4430">
        <v>3.1328999999999998</v>
      </c>
      <c r="K4430" t="str">
        <f>IFERROR(INDEX(Rosters!$C$2:$C$155,MATCH($B4430,Rosters!$B$2:$B$155,0)),"NA")</f>
        <v>NA</v>
      </c>
      <c r="L4430" t="str">
        <f t="shared" si="207"/>
        <v>NA17TE</v>
      </c>
      <c r="M4430">
        <f>COUNTIF(L$1:L4430,L4430)</f>
        <v>46</v>
      </c>
      <c r="N4430" t="str">
        <f t="shared" si="208"/>
        <v>NA17TE-46</v>
      </c>
      <c r="O4430">
        <f>COUNTIFS(F$1:F4430,F4430,A$1:A4430,A4430)</f>
        <v>60</v>
      </c>
      <c r="P4430" t="str">
        <f t="shared" si="209"/>
        <v>David Morgan17</v>
      </c>
    </row>
    <row r="4431" spans="1:16" x14ac:dyDescent="0.25">
      <c r="A4431">
        <v>6</v>
      </c>
      <c r="B4431" t="s">
        <v>284</v>
      </c>
      <c r="C4431">
        <f>-0.1-3.46</f>
        <v>-3.56</v>
      </c>
      <c r="D4431">
        <v>1.68</v>
      </c>
      <c r="E4431" t="s">
        <v>19</v>
      </c>
      <c r="F4431" t="s">
        <v>114</v>
      </c>
      <c r="G4431">
        <v>3.46</v>
      </c>
      <c r="H4431">
        <v>-0.1</v>
      </c>
      <c r="I4431">
        <v>1.78</v>
      </c>
      <c r="J4431">
        <v>3.1684000000000001</v>
      </c>
      <c r="K4431" t="str">
        <f>IFERROR(INDEX(Rosters!$C$2:$C$155,MATCH($B4431,Rosters!$B$2:$B$155,0)),"NA")</f>
        <v>NA</v>
      </c>
      <c r="L4431" t="str">
        <f t="shared" si="207"/>
        <v>NA6TE</v>
      </c>
      <c r="M4431">
        <f>COUNTIF(L$1:L4431,L4431)</f>
        <v>41</v>
      </c>
      <c r="N4431" t="str">
        <f t="shared" si="208"/>
        <v>NA6TE-41</v>
      </c>
      <c r="O4431">
        <f>COUNTIFS(F$1:F4431,F4431,A$1:A4431,A4431)</f>
        <v>53</v>
      </c>
      <c r="P4431" t="str">
        <f t="shared" si="209"/>
        <v>Dion Sims6</v>
      </c>
    </row>
    <row r="4432" spans="1:16" x14ac:dyDescent="0.25">
      <c r="A4432">
        <v>16</v>
      </c>
      <c r="B4432" t="s">
        <v>279</v>
      </c>
      <c r="C4432">
        <f>-0.29-3.65</f>
        <v>-3.94</v>
      </c>
      <c r="D4432">
        <v>1.68</v>
      </c>
      <c r="E4432" t="s">
        <v>25</v>
      </c>
      <c r="F4432" t="s">
        <v>114</v>
      </c>
      <c r="G4432">
        <v>3.65</v>
      </c>
      <c r="H4432">
        <v>-0.28999999999999998</v>
      </c>
      <c r="I4432">
        <v>1.97</v>
      </c>
      <c r="J4432">
        <v>3.8809</v>
      </c>
      <c r="K4432" t="str">
        <f>IFERROR(INDEX(Rosters!$C$2:$C$155,MATCH($B4432,Rosters!$B$2:$B$155,0)),"NA")</f>
        <v>NA</v>
      </c>
      <c r="L4432" t="str">
        <f t="shared" si="207"/>
        <v>NA16TE</v>
      </c>
      <c r="M4432">
        <f>COUNTIF(L$1:L4432,L4432)</f>
        <v>45</v>
      </c>
      <c r="N4432" t="str">
        <f t="shared" si="208"/>
        <v>NA16TE-45</v>
      </c>
      <c r="O4432">
        <f>COUNTIFS(F$1:F4432,F4432,A$1:A4432,A4432)</f>
        <v>59</v>
      </c>
      <c r="P4432" t="str">
        <f t="shared" si="209"/>
        <v>Levine Toilolo16</v>
      </c>
    </row>
    <row r="4433" spans="1:16" x14ac:dyDescent="0.25">
      <c r="A4433">
        <v>15</v>
      </c>
      <c r="B4433" t="s">
        <v>349</v>
      </c>
      <c r="C4433" t="s">
        <v>8574</v>
      </c>
      <c r="D4433">
        <v>1.68</v>
      </c>
      <c r="E4433" t="s">
        <v>50</v>
      </c>
      <c r="F4433" t="s">
        <v>87</v>
      </c>
      <c r="G4433">
        <v>3.36</v>
      </c>
      <c r="H4433">
        <v>0</v>
      </c>
      <c r="I4433">
        <v>1.68</v>
      </c>
      <c r="J4433">
        <v>2.8224</v>
      </c>
      <c r="K4433" t="str">
        <f>IFERROR(INDEX(Rosters!$C$2:$C$155,MATCH($B4433,Rosters!$B$2:$B$155,0)),"NA")</f>
        <v>NA</v>
      </c>
      <c r="L4433" t="str">
        <f t="shared" si="207"/>
        <v>NA15WR</v>
      </c>
      <c r="M4433">
        <f>COUNTIF(L$1:L4433,L4433)</f>
        <v>62</v>
      </c>
      <c r="N4433" t="str">
        <f t="shared" si="208"/>
        <v>NA15WR-62</v>
      </c>
      <c r="O4433">
        <f>COUNTIFS(F$1:F4433,F4433,A$1:A4433,A4433)</f>
        <v>116</v>
      </c>
      <c r="P4433" t="str">
        <f t="shared" si="209"/>
        <v>Pharoh Cooper15</v>
      </c>
    </row>
    <row r="4434" spans="1:16" x14ac:dyDescent="0.25">
      <c r="A4434">
        <v>10</v>
      </c>
      <c r="B4434" t="s">
        <v>283</v>
      </c>
      <c r="C4434">
        <f>-0.75-4.09</f>
        <v>-4.84</v>
      </c>
      <c r="D4434">
        <v>1.67</v>
      </c>
      <c r="E4434" t="s">
        <v>38</v>
      </c>
      <c r="F4434" t="s">
        <v>87</v>
      </c>
      <c r="G4434">
        <v>4.09</v>
      </c>
      <c r="H4434">
        <v>-0.75</v>
      </c>
      <c r="I4434">
        <v>2.42</v>
      </c>
      <c r="J4434">
        <v>5.8563999999999998</v>
      </c>
      <c r="K4434" t="str">
        <f>IFERROR(INDEX(Rosters!$C$2:$C$155,MATCH($B4434,Rosters!$B$2:$B$155,0)),"NA")</f>
        <v>NA</v>
      </c>
      <c r="L4434" t="str">
        <f t="shared" si="207"/>
        <v>NA10WR</v>
      </c>
      <c r="M4434">
        <f>COUNTIF(L$1:L4434,L4434)</f>
        <v>57</v>
      </c>
      <c r="N4434" t="str">
        <f t="shared" si="208"/>
        <v>NA10WR-57</v>
      </c>
      <c r="O4434">
        <f>COUNTIFS(F$1:F4434,F4434,A$1:A4434,A4434)</f>
        <v>102</v>
      </c>
      <c r="P4434" t="str">
        <f t="shared" si="209"/>
        <v>Cordarrelle Patterson10</v>
      </c>
    </row>
    <row r="4435" spans="1:16" x14ac:dyDescent="0.25">
      <c r="A4435">
        <v>3</v>
      </c>
      <c r="B4435" t="s">
        <v>4234</v>
      </c>
      <c r="C4435">
        <f>-0.36-3.7</f>
        <v>-4.0600000000000005</v>
      </c>
      <c r="D4435">
        <v>1.67</v>
      </c>
      <c r="E4435" t="s">
        <v>22</v>
      </c>
      <c r="F4435" t="s">
        <v>87</v>
      </c>
      <c r="G4435">
        <v>3.7</v>
      </c>
      <c r="H4435">
        <v>-0.36</v>
      </c>
      <c r="I4435">
        <v>2.0299999999999998</v>
      </c>
      <c r="J4435">
        <v>4.1208999999999998</v>
      </c>
      <c r="K4435" t="str">
        <f>IFERROR(INDEX(Rosters!$C$2:$C$155,MATCH($B4435,Rosters!$B$2:$B$155,0)),"NA")</f>
        <v>NA</v>
      </c>
      <c r="L4435" t="str">
        <f t="shared" si="207"/>
        <v>NA3WR</v>
      </c>
      <c r="M4435">
        <f>COUNTIF(L$1:L4435,L4435)</f>
        <v>57</v>
      </c>
      <c r="N4435" t="str">
        <f t="shared" si="208"/>
        <v>NA3WR-57</v>
      </c>
      <c r="O4435">
        <f>COUNTIFS(F$1:F4435,F4435,A$1:A4435,A4435)</f>
        <v>105</v>
      </c>
      <c r="P4435" t="str">
        <f t="shared" si="209"/>
        <v>David Moore3</v>
      </c>
    </row>
    <row r="4436" spans="1:16" x14ac:dyDescent="0.25">
      <c r="A4436">
        <v>5</v>
      </c>
      <c r="B4436" t="s">
        <v>338</v>
      </c>
      <c r="C4436">
        <f>-0.14-3.48</f>
        <v>-3.62</v>
      </c>
      <c r="D4436">
        <v>1.67</v>
      </c>
      <c r="E4436" t="s">
        <v>56</v>
      </c>
      <c r="F4436" t="s">
        <v>87</v>
      </c>
      <c r="G4436">
        <v>3.48</v>
      </c>
      <c r="H4436">
        <v>-0.14000000000000001</v>
      </c>
      <c r="I4436">
        <v>1.81</v>
      </c>
      <c r="J4436">
        <v>3.2761</v>
      </c>
      <c r="K4436" t="str">
        <f>IFERROR(INDEX(Rosters!$C$2:$C$155,MATCH($B4436,Rosters!$B$2:$B$155,0)),"NA")</f>
        <v>NA</v>
      </c>
      <c r="L4436" t="str">
        <f t="shared" si="207"/>
        <v>NA5WR</v>
      </c>
      <c r="M4436">
        <f>COUNTIF(L$1:L4436,L4436)</f>
        <v>60</v>
      </c>
      <c r="N4436" t="str">
        <f t="shared" si="208"/>
        <v>NA5WR-60</v>
      </c>
      <c r="O4436">
        <f>COUNTIFS(F$1:F4436,F4436,A$1:A4436,A4436)</f>
        <v>110</v>
      </c>
      <c r="P4436" t="str">
        <f t="shared" si="209"/>
        <v>Jaron Brown5</v>
      </c>
    </row>
    <row r="4437" spans="1:16" x14ac:dyDescent="0.25">
      <c r="A4437">
        <v>1</v>
      </c>
      <c r="B4437" t="s">
        <v>287</v>
      </c>
      <c r="C4437">
        <f>-0.6-3.94</f>
        <v>-4.54</v>
      </c>
      <c r="D4437">
        <v>1.67</v>
      </c>
      <c r="E4437" t="s">
        <v>17</v>
      </c>
      <c r="F4437" t="s">
        <v>114</v>
      </c>
      <c r="G4437">
        <v>3.94</v>
      </c>
      <c r="H4437">
        <v>-0.6</v>
      </c>
      <c r="I4437">
        <v>2.27</v>
      </c>
      <c r="J4437">
        <v>5.1528999999999998</v>
      </c>
      <c r="K4437" t="str">
        <f>IFERROR(INDEX(Rosters!$C$2:$C$155,MATCH($B4437,Rosters!$B$2:$B$155,0)),"NA")</f>
        <v>NA</v>
      </c>
      <c r="L4437" t="str">
        <f t="shared" si="207"/>
        <v>NA1TE</v>
      </c>
      <c r="M4437">
        <f>COUNTIF(L$1:L4437,L4437)</f>
        <v>31</v>
      </c>
      <c r="N4437" t="str">
        <f t="shared" si="208"/>
        <v>NA1TE-31</v>
      </c>
      <c r="O4437">
        <f>COUNTIFS(F$1:F4437,F4437,A$1:A4437,A4437)</f>
        <v>44</v>
      </c>
      <c r="P4437" t="str">
        <f t="shared" si="209"/>
        <v>Josh Hill1</v>
      </c>
    </row>
    <row r="4438" spans="1:16" x14ac:dyDescent="0.25">
      <c r="A4438">
        <v>16</v>
      </c>
      <c r="B4438" t="s">
        <v>1406</v>
      </c>
      <c r="C4438" t="s">
        <v>4648</v>
      </c>
      <c r="D4438">
        <v>1.67</v>
      </c>
      <c r="E4438" t="s">
        <v>37</v>
      </c>
      <c r="F4438" t="s">
        <v>47</v>
      </c>
      <c r="G4438">
        <v>3.29</v>
      </c>
      <c r="H4438">
        <v>0.05</v>
      </c>
      <c r="I4438">
        <v>1.62</v>
      </c>
      <c r="J4438">
        <v>2.6244000000000001</v>
      </c>
      <c r="K4438" t="str">
        <f>IFERROR(INDEX(Rosters!$C$2:$C$155,MATCH($B4438,Rosters!$B$2:$B$155,0)),"NA")</f>
        <v>NA</v>
      </c>
      <c r="L4438" t="str">
        <f t="shared" si="207"/>
        <v>NA16RB</v>
      </c>
      <c r="M4438">
        <f>COUNTIF(L$1:L4438,L4438)</f>
        <v>33</v>
      </c>
      <c r="N4438" t="str">
        <f t="shared" si="208"/>
        <v>NA16RB-33</v>
      </c>
      <c r="O4438">
        <f>COUNTIFS(F$1:F4438,F4438,A$1:A4438,A4438)</f>
        <v>80</v>
      </c>
      <c r="P4438" t="str">
        <f t="shared" si="209"/>
        <v>Kenneth Dixon16</v>
      </c>
    </row>
    <row r="4439" spans="1:16" x14ac:dyDescent="0.25">
      <c r="A4439">
        <v>1</v>
      </c>
      <c r="B4439" t="s">
        <v>323</v>
      </c>
      <c r="C4439">
        <f>-0.16-3.5</f>
        <v>-3.66</v>
      </c>
      <c r="D4439">
        <v>1.67</v>
      </c>
      <c r="E4439" t="s">
        <v>54</v>
      </c>
      <c r="F4439" t="s">
        <v>114</v>
      </c>
      <c r="G4439">
        <v>3.5</v>
      </c>
      <c r="H4439">
        <v>-0.16</v>
      </c>
      <c r="I4439">
        <v>1.83</v>
      </c>
      <c r="J4439">
        <v>3.3489</v>
      </c>
      <c r="K4439" t="str">
        <f>IFERROR(INDEX(Rosters!$C$2:$C$155,MATCH($B4439,Rosters!$B$2:$B$155,0)),"NA")</f>
        <v>NA</v>
      </c>
      <c r="L4439" t="str">
        <f t="shared" si="207"/>
        <v>NA1TE</v>
      </c>
      <c r="M4439">
        <f>COUNTIF(L$1:L4439,L4439)</f>
        <v>32</v>
      </c>
      <c r="N4439" t="str">
        <f t="shared" si="208"/>
        <v>NA1TE-32</v>
      </c>
      <c r="O4439">
        <f>COUNTIFS(F$1:F4439,F4439,A$1:A4439,A4439)</f>
        <v>45</v>
      </c>
      <c r="P4439" t="str">
        <f t="shared" si="209"/>
        <v>Niles Paul1</v>
      </c>
    </row>
    <row r="4440" spans="1:16" x14ac:dyDescent="0.25">
      <c r="A4440">
        <v>13</v>
      </c>
      <c r="B4440" t="s">
        <v>323</v>
      </c>
      <c r="C4440" t="s">
        <v>8575</v>
      </c>
      <c r="D4440">
        <v>1.67</v>
      </c>
      <c r="E4440" t="s">
        <v>66</v>
      </c>
      <c r="F4440" t="s">
        <v>114</v>
      </c>
      <c r="G4440">
        <v>3.24</v>
      </c>
      <c r="H4440">
        <v>0.1</v>
      </c>
      <c r="I4440">
        <v>1.57</v>
      </c>
      <c r="J4440">
        <v>2.4649000000000001</v>
      </c>
      <c r="K4440" t="str">
        <f>IFERROR(INDEX(Rosters!$C$2:$C$155,MATCH($B4440,Rosters!$B$2:$B$155,0)),"NA")</f>
        <v>NA</v>
      </c>
      <c r="L4440" t="str">
        <f t="shared" si="207"/>
        <v>NA13TE</v>
      </c>
      <c r="M4440">
        <f>COUNTIF(L$1:L4440,L4440)</f>
        <v>45</v>
      </c>
      <c r="N4440" t="str">
        <f t="shared" si="208"/>
        <v>NA13TE-45</v>
      </c>
      <c r="O4440">
        <f>COUNTIFS(F$1:F4440,F4440,A$1:A4440,A4440)</f>
        <v>59</v>
      </c>
      <c r="P4440" t="str">
        <f t="shared" si="209"/>
        <v>Niles Paul13</v>
      </c>
    </row>
    <row r="4441" spans="1:16" x14ac:dyDescent="0.25">
      <c r="A4441">
        <v>4</v>
      </c>
      <c r="B4441" t="s">
        <v>268</v>
      </c>
      <c r="C4441">
        <f>-0.07-3.41</f>
        <v>-3.48</v>
      </c>
      <c r="D4441">
        <v>1.67</v>
      </c>
      <c r="E4441" t="s">
        <v>14</v>
      </c>
      <c r="F4441" t="s">
        <v>47</v>
      </c>
      <c r="G4441">
        <v>3.41</v>
      </c>
      <c r="H4441">
        <v>-7.0000000000000007E-2</v>
      </c>
      <c r="I4441">
        <v>1.74</v>
      </c>
      <c r="J4441">
        <v>3.0276000000000001</v>
      </c>
      <c r="K4441" t="str">
        <f>IFERROR(INDEX(Rosters!$C$2:$C$155,MATCH($B4441,Rosters!$B$2:$B$155,0)),"NA")</f>
        <v>NA</v>
      </c>
      <c r="L4441" t="str">
        <f t="shared" si="207"/>
        <v>NA4RB</v>
      </c>
      <c r="M4441">
        <f>COUNTIF(L$1:L4441,L4441)</f>
        <v>26</v>
      </c>
      <c r="N4441" t="str">
        <f t="shared" si="208"/>
        <v>NA4RB-26</v>
      </c>
      <c r="O4441">
        <f>COUNTIFS(F$1:F4441,F4441,A$1:A4441,A4441)</f>
        <v>65</v>
      </c>
      <c r="P4441" t="str">
        <f t="shared" si="209"/>
        <v>Wayne Gallman4</v>
      </c>
    </row>
    <row r="4442" spans="1:16" x14ac:dyDescent="0.25">
      <c r="A4442">
        <v>16</v>
      </c>
      <c r="B4442" t="s">
        <v>268</v>
      </c>
      <c r="C4442">
        <f>-0.4-3.74</f>
        <v>-4.1400000000000006</v>
      </c>
      <c r="D4442">
        <v>1.67</v>
      </c>
      <c r="E4442" t="s">
        <v>66</v>
      </c>
      <c r="F4442" t="s">
        <v>47</v>
      </c>
      <c r="G4442">
        <v>3.74</v>
      </c>
      <c r="H4442">
        <v>-0.4</v>
      </c>
      <c r="I4442">
        <v>2.0699999999999998</v>
      </c>
      <c r="J4442">
        <v>4.2849000000000004</v>
      </c>
      <c r="K4442" t="str">
        <f>IFERROR(INDEX(Rosters!$C$2:$C$155,MATCH($B4442,Rosters!$B$2:$B$155,0)),"NA")</f>
        <v>NA</v>
      </c>
      <c r="L4442" t="str">
        <f t="shared" si="207"/>
        <v>NA16RB</v>
      </c>
      <c r="M4442">
        <f>COUNTIF(L$1:L4442,L4442)</f>
        <v>34</v>
      </c>
      <c r="N4442" t="str">
        <f t="shared" si="208"/>
        <v>NA16RB-34</v>
      </c>
      <c r="O4442">
        <f>COUNTIFS(F$1:F4442,F4442,A$1:A4442,A4442)</f>
        <v>81</v>
      </c>
      <c r="P4442" t="str">
        <f t="shared" si="209"/>
        <v>Wayne Gallman16</v>
      </c>
    </row>
    <row r="4443" spans="1:16" x14ac:dyDescent="0.25">
      <c r="A4443">
        <v>15</v>
      </c>
      <c r="B4443" t="s">
        <v>1517</v>
      </c>
      <c r="C4443">
        <f>-0.22-3.54</f>
        <v>-3.7600000000000002</v>
      </c>
      <c r="D4443">
        <v>1.66</v>
      </c>
      <c r="E4443" t="s">
        <v>58</v>
      </c>
      <c r="F4443" t="s">
        <v>114</v>
      </c>
      <c r="G4443">
        <v>3.54</v>
      </c>
      <c r="H4443">
        <v>-0.22</v>
      </c>
      <c r="I4443">
        <v>1.88</v>
      </c>
      <c r="J4443">
        <v>3.5344000000000002</v>
      </c>
      <c r="K4443" t="str">
        <f>IFERROR(INDEX(Rosters!$C$2:$C$155,MATCH($B4443,Rosters!$B$2:$B$155,0)),"NA")</f>
        <v>NA</v>
      </c>
      <c r="L4443" t="str">
        <f t="shared" si="207"/>
        <v>NA15TE</v>
      </c>
      <c r="M4443">
        <f>COUNTIF(L$1:L4443,L4443)</f>
        <v>45</v>
      </c>
      <c r="N4443" t="str">
        <f t="shared" si="208"/>
        <v>NA15TE-45</v>
      </c>
      <c r="O4443">
        <f>COUNTIFS(F$1:F4443,F4443,A$1:A4443,A4443)</f>
        <v>59</v>
      </c>
      <c r="P4443" t="str">
        <f t="shared" si="209"/>
        <v>Eric Saubert15</v>
      </c>
    </row>
    <row r="4444" spans="1:16" x14ac:dyDescent="0.25">
      <c r="A4444">
        <v>7</v>
      </c>
      <c r="B4444" t="s">
        <v>231</v>
      </c>
      <c r="C4444" t="s">
        <v>8576</v>
      </c>
      <c r="D4444">
        <v>1.66</v>
      </c>
      <c r="E4444" t="s">
        <v>42</v>
      </c>
      <c r="F4444" t="s">
        <v>114</v>
      </c>
      <c r="G4444">
        <v>3.26</v>
      </c>
      <c r="H4444">
        <v>0.06</v>
      </c>
      <c r="I4444">
        <v>1.6</v>
      </c>
      <c r="J4444">
        <v>2.56</v>
      </c>
      <c r="K4444" t="str">
        <f>IFERROR(INDEX(Rosters!$C$2:$C$155,MATCH($B4444,Rosters!$B$2:$B$155,0)),"NA")</f>
        <v>NA</v>
      </c>
      <c r="L4444" t="str">
        <f t="shared" si="207"/>
        <v>NA7TE</v>
      </c>
      <c r="M4444">
        <f>COUNTIF(L$1:L4444,L4444)</f>
        <v>42</v>
      </c>
      <c r="N4444" t="str">
        <f t="shared" si="208"/>
        <v>NA7TE-42</v>
      </c>
      <c r="O4444">
        <f>COUNTIFS(F$1:F4444,F4444,A$1:A4444,A4444)</f>
        <v>52</v>
      </c>
      <c r="P4444" t="str">
        <f t="shared" si="209"/>
        <v>Jermaine Gresham7</v>
      </c>
    </row>
    <row r="4445" spans="1:16" x14ac:dyDescent="0.25">
      <c r="A4445">
        <v>11</v>
      </c>
      <c r="B4445" t="s">
        <v>263</v>
      </c>
      <c r="C4445" t="s">
        <v>8577</v>
      </c>
      <c r="D4445">
        <v>1.66</v>
      </c>
      <c r="E4445" t="s">
        <v>74</v>
      </c>
      <c r="F4445" t="s">
        <v>87</v>
      </c>
      <c r="G4445">
        <v>3.31</v>
      </c>
      <c r="H4445">
        <v>0.01</v>
      </c>
      <c r="I4445">
        <v>1.65</v>
      </c>
      <c r="J4445">
        <v>2.7225000000000001</v>
      </c>
      <c r="K4445" t="str">
        <f>IFERROR(INDEX(Rosters!$C$2:$C$155,MATCH($B4445,Rosters!$B$2:$B$155,0)),"NA")</f>
        <v>NA</v>
      </c>
      <c r="L4445" t="str">
        <f t="shared" si="207"/>
        <v>NA11WR</v>
      </c>
      <c r="M4445">
        <f>COUNTIF(L$1:L4445,L4445)</f>
        <v>46</v>
      </c>
      <c r="N4445" t="str">
        <f t="shared" si="208"/>
        <v>NA11WR-46</v>
      </c>
      <c r="O4445">
        <f>COUNTIFS(F$1:F4445,F4445,A$1:A4445,A4445)</f>
        <v>93</v>
      </c>
      <c r="P4445" t="str">
        <f t="shared" si="209"/>
        <v>T.J. Jones11</v>
      </c>
    </row>
    <row r="4446" spans="1:16" x14ac:dyDescent="0.25">
      <c r="A4446">
        <v>9</v>
      </c>
      <c r="B4446" t="s">
        <v>4245</v>
      </c>
      <c r="C4446">
        <f>-0.45-3.77</f>
        <v>-4.22</v>
      </c>
      <c r="D4446">
        <v>1.66</v>
      </c>
      <c r="E4446" t="s">
        <v>42</v>
      </c>
      <c r="F4446" t="s">
        <v>87</v>
      </c>
      <c r="G4446">
        <v>3.77</v>
      </c>
      <c r="H4446">
        <v>-0.45</v>
      </c>
      <c r="I4446">
        <v>2.11</v>
      </c>
      <c r="J4446">
        <v>4.4520999999999997</v>
      </c>
      <c r="K4446" t="str">
        <f>IFERROR(INDEX(Rosters!$C$2:$C$155,MATCH($B4446,Rosters!$B$2:$B$155,0)),"NA")</f>
        <v>NA</v>
      </c>
      <c r="L4446" t="str">
        <f t="shared" si="207"/>
        <v>NA9WR</v>
      </c>
      <c r="M4446">
        <f>COUNTIF(L$1:L4446,L4446)</f>
        <v>55</v>
      </c>
      <c r="N4446" t="str">
        <f t="shared" si="208"/>
        <v>NA9WR-55</v>
      </c>
      <c r="O4446">
        <f>COUNTIFS(F$1:F4446,F4446,A$1:A4446,A4446)</f>
        <v>99</v>
      </c>
      <c r="P4446" t="str">
        <f t="shared" si="209"/>
        <v>Vyncint Smith9</v>
      </c>
    </row>
    <row r="4447" spans="1:16" x14ac:dyDescent="0.25">
      <c r="A4447">
        <v>4</v>
      </c>
      <c r="B4447" t="s">
        <v>348</v>
      </c>
      <c r="C4447" t="s">
        <v>4650</v>
      </c>
      <c r="D4447">
        <v>1.65</v>
      </c>
      <c r="E4447" t="s">
        <v>14</v>
      </c>
      <c r="F4447" t="s">
        <v>114</v>
      </c>
      <c r="G4447">
        <v>3.02</v>
      </c>
      <c r="H4447">
        <v>0.28000000000000003</v>
      </c>
      <c r="I4447">
        <v>1.37</v>
      </c>
      <c r="J4447">
        <v>1.8769</v>
      </c>
      <c r="K4447" t="str">
        <f>IFERROR(INDEX(Rosters!$C$2:$C$155,MATCH($B4447,Rosters!$B$2:$B$155,0)),"NA")</f>
        <v>NA</v>
      </c>
      <c r="L4447" t="str">
        <f t="shared" si="207"/>
        <v>NA4TE</v>
      </c>
      <c r="M4447">
        <f>COUNTIF(L$1:L4447,L4447)</f>
        <v>38</v>
      </c>
      <c r="N4447" t="str">
        <f t="shared" si="208"/>
        <v>NA4TE-38</v>
      </c>
      <c r="O4447">
        <f>COUNTIFS(F$1:F4447,F4447,A$1:A4447,A4447)</f>
        <v>49</v>
      </c>
      <c r="P4447" t="str">
        <f t="shared" si="209"/>
        <v>Jerell Adams4</v>
      </c>
    </row>
    <row r="4448" spans="1:16" x14ac:dyDescent="0.25">
      <c r="A4448">
        <v>17</v>
      </c>
      <c r="B4448" t="s">
        <v>231</v>
      </c>
      <c r="C4448" t="s">
        <v>4649</v>
      </c>
      <c r="D4448">
        <v>1.65</v>
      </c>
      <c r="E4448" t="s">
        <v>28</v>
      </c>
      <c r="F4448" t="s">
        <v>114</v>
      </c>
      <c r="G4448">
        <v>3.25</v>
      </c>
      <c r="H4448">
        <v>0.05</v>
      </c>
      <c r="I4448">
        <v>1.6</v>
      </c>
      <c r="J4448">
        <v>2.56</v>
      </c>
      <c r="K4448" t="str">
        <f>IFERROR(INDEX(Rosters!$C$2:$C$155,MATCH($B4448,Rosters!$B$2:$B$155,0)),"NA")</f>
        <v>NA</v>
      </c>
      <c r="L4448" t="str">
        <f t="shared" si="207"/>
        <v>NA17TE</v>
      </c>
      <c r="M4448">
        <f>COUNTIF(L$1:L4448,L4448)</f>
        <v>47</v>
      </c>
      <c r="N4448" t="str">
        <f t="shared" si="208"/>
        <v>NA17TE-47</v>
      </c>
      <c r="O4448">
        <f>COUNTIFS(F$1:F4448,F4448,A$1:A4448,A4448)</f>
        <v>61</v>
      </c>
      <c r="P4448" t="str">
        <f t="shared" si="209"/>
        <v>Jermaine Gresham17</v>
      </c>
    </row>
    <row r="4449" spans="1:16" x14ac:dyDescent="0.25">
      <c r="A4449">
        <v>1</v>
      </c>
      <c r="B4449" t="s">
        <v>1106</v>
      </c>
      <c r="C4449">
        <f>-0.15-3.45</f>
        <v>-3.6</v>
      </c>
      <c r="D4449">
        <v>1.65</v>
      </c>
      <c r="E4449" t="s">
        <v>34</v>
      </c>
      <c r="F4449" t="s">
        <v>114</v>
      </c>
      <c r="G4449">
        <v>3.45</v>
      </c>
      <c r="H4449">
        <v>-0.15</v>
      </c>
      <c r="I4449">
        <v>1.8</v>
      </c>
      <c r="J4449">
        <v>3.24</v>
      </c>
      <c r="K4449" t="str">
        <f>IFERROR(INDEX(Rosters!$C$2:$C$155,MATCH($B4449,Rosters!$B$2:$B$155,0)),"NA")</f>
        <v>NA</v>
      </c>
      <c r="L4449" t="str">
        <f t="shared" si="207"/>
        <v>NA1TE</v>
      </c>
      <c r="M4449">
        <f>COUNTIF(L$1:L4449,L4449)</f>
        <v>33</v>
      </c>
      <c r="N4449" t="str">
        <f t="shared" si="208"/>
        <v>NA1TE-33</v>
      </c>
      <c r="O4449">
        <f>COUNTIFS(F$1:F4449,F4449,A$1:A4449,A4449)</f>
        <v>46</v>
      </c>
      <c r="P4449" t="str">
        <f t="shared" si="209"/>
        <v>Jordan Leggett1</v>
      </c>
    </row>
    <row r="4450" spans="1:16" x14ac:dyDescent="0.25">
      <c r="A4450">
        <v>17</v>
      </c>
      <c r="B4450" t="s">
        <v>1556</v>
      </c>
      <c r="C4450">
        <f>-0.09-3.39</f>
        <v>-3.48</v>
      </c>
      <c r="D4450">
        <v>1.65</v>
      </c>
      <c r="E4450" t="s">
        <v>19</v>
      </c>
      <c r="F4450" t="s">
        <v>47</v>
      </c>
      <c r="G4450">
        <v>3.39</v>
      </c>
      <c r="H4450">
        <v>-0.09</v>
      </c>
      <c r="I4450">
        <v>1.74</v>
      </c>
      <c r="J4450">
        <v>3.0276000000000001</v>
      </c>
      <c r="K4450" t="str">
        <f>IFERROR(INDEX(Rosters!$C$2:$C$155,MATCH($B4450,Rosters!$B$2:$B$155,0)),"NA")</f>
        <v>NA</v>
      </c>
      <c r="L4450" t="str">
        <f t="shared" si="207"/>
        <v>NA17RB</v>
      </c>
      <c r="M4450">
        <f>COUNTIF(L$1:L4450,L4450)</f>
        <v>32</v>
      </c>
      <c r="N4450" t="str">
        <f t="shared" si="208"/>
        <v>NA17RB-32</v>
      </c>
      <c r="O4450">
        <f>COUNTIFS(F$1:F4450,F4450,A$1:A4450,A4450)</f>
        <v>79</v>
      </c>
      <c r="P4450" t="str">
        <f t="shared" si="209"/>
        <v>Marcus Murphy17</v>
      </c>
    </row>
    <row r="4451" spans="1:16" x14ac:dyDescent="0.25">
      <c r="A4451">
        <v>14</v>
      </c>
      <c r="B4451" t="s">
        <v>386</v>
      </c>
      <c r="C4451">
        <f>-0.09-3.39</f>
        <v>-3.48</v>
      </c>
      <c r="D4451">
        <v>1.65</v>
      </c>
      <c r="E4451" t="s">
        <v>24</v>
      </c>
      <c r="F4451" t="s">
        <v>114</v>
      </c>
      <c r="G4451">
        <v>3.39</v>
      </c>
      <c r="H4451">
        <v>-0.09</v>
      </c>
      <c r="I4451">
        <v>1.74</v>
      </c>
      <c r="J4451">
        <v>3.0276000000000001</v>
      </c>
      <c r="K4451" t="str">
        <f>IFERROR(INDEX(Rosters!$C$2:$C$155,MATCH($B4451,Rosters!$B$2:$B$155,0)),"NA")</f>
        <v>NA</v>
      </c>
      <c r="L4451" t="str">
        <f t="shared" si="207"/>
        <v>NA14TE</v>
      </c>
      <c r="M4451">
        <f>COUNTIF(L$1:L4451,L4451)</f>
        <v>44</v>
      </c>
      <c r="N4451" t="str">
        <f t="shared" si="208"/>
        <v>NA14TE-44</v>
      </c>
      <c r="O4451">
        <f>COUNTIFS(F$1:F4451,F4451,A$1:A4451,A4451)</f>
        <v>58</v>
      </c>
      <c r="P4451" t="str">
        <f t="shared" si="209"/>
        <v>Nick Boyle14</v>
      </c>
    </row>
    <row r="4452" spans="1:16" x14ac:dyDescent="0.25">
      <c r="A4452">
        <v>11</v>
      </c>
      <c r="B4452" t="s">
        <v>323</v>
      </c>
      <c r="C4452">
        <f>-0.25-3.55</f>
        <v>-3.8</v>
      </c>
      <c r="D4452">
        <v>1.65</v>
      </c>
      <c r="E4452" t="s">
        <v>51</v>
      </c>
      <c r="F4452" t="s">
        <v>114</v>
      </c>
      <c r="G4452">
        <v>3.55</v>
      </c>
      <c r="H4452">
        <v>-0.25</v>
      </c>
      <c r="I4452">
        <v>1.9</v>
      </c>
      <c r="J4452">
        <v>3.61</v>
      </c>
      <c r="K4452" t="str">
        <f>IFERROR(INDEX(Rosters!$C$2:$C$155,MATCH($B4452,Rosters!$B$2:$B$155,0)),"NA")</f>
        <v>NA</v>
      </c>
      <c r="L4452" t="str">
        <f t="shared" si="207"/>
        <v>NA11TE</v>
      </c>
      <c r="M4452">
        <f>COUNTIF(L$1:L4452,L4452)</f>
        <v>36</v>
      </c>
      <c r="N4452" t="str">
        <f t="shared" si="208"/>
        <v>NA11TE-36</v>
      </c>
      <c r="O4452">
        <f>COUNTIFS(F$1:F4452,F4452,A$1:A4452,A4452)</f>
        <v>48</v>
      </c>
      <c r="P4452" t="str">
        <f t="shared" si="209"/>
        <v>Niles Paul11</v>
      </c>
    </row>
    <row r="4453" spans="1:16" x14ac:dyDescent="0.25">
      <c r="A4453">
        <v>14</v>
      </c>
      <c r="B4453" t="s">
        <v>323</v>
      </c>
      <c r="C4453">
        <f>-0.28-3.58</f>
        <v>-3.8600000000000003</v>
      </c>
      <c r="D4453">
        <v>1.65</v>
      </c>
      <c r="E4453" t="s">
        <v>38</v>
      </c>
      <c r="F4453" t="s">
        <v>114</v>
      </c>
      <c r="G4453">
        <v>3.58</v>
      </c>
      <c r="H4453">
        <v>-0.28000000000000003</v>
      </c>
      <c r="I4453">
        <v>1.93</v>
      </c>
      <c r="J4453">
        <v>3.7248999999999999</v>
      </c>
      <c r="K4453" t="str">
        <f>IFERROR(INDEX(Rosters!$C$2:$C$155,MATCH($B4453,Rosters!$B$2:$B$155,0)),"NA")</f>
        <v>NA</v>
      </c>
      <c r="L4453" t="str">
        <f t="shared" si="207"/>
        <v>NA14TE</v>
      </c>
      <c r="M4453">
        <f>COUNTIF(L$1:L4453,L4453)</f>
        <v>45</v>
      </c>
      <c r="N4453" t="str">
        <f t="shared" si="208"/>
        <v>NA14TE-45</v>
      </c>
      <c r="O4453">
        <f>COUNTIFS(F$1:F4453,F4453,A$1:A4453,A4453)</f>
        <v>59</v>
      </c>
      <c r="P4453" t="str">
        <f t="shared" si="209"/>
        <v>Niles Paul14</v>
      </c>
    </row>
    <row r="4454" spans="1:16" x14ac:dyDescent="0.25">
      <c r="A4454">
        <v>6</v>
      </c>
      <c r="B4454" t="s">
        <v>274</v>
      </c>
      <c r="C4454">
        <f>-0.29-3.59</f>
        <v>-3.88</v>
      </c>
      <c r="D4454">
        <v>1.65</v>
      </c>
      <c r="E4454" t="s">
        <v>29</v>
      </c>
      <c r="F4454" t="s">
        <v>114</v>
      </c>
      <c r="G4454">
        <v>3.59</v>
      </c>
      <c r="H4454">
        <v>-0.28999999999999998</v>
      </c>
      <c r="I4454">
        <v>1.94</v>
      </c>
      <c r="J4454">
        <v>3.7635999999999998</v>
      </c>
      <c r="K4454" t="str">
        <f>IFERROR(INDEX(Rosters!$C$2:$C$155,MATCH($B4454,Rosters!$B$2:$B$155,0)),"NA")</f>
        <v>NA</v>
      </c>
      <c r="L4454" t="str">
        <f t="shared" si="207"/>
        <v>NA6TE</v>
      </c>
      <c r="M4454">
        <f>COUNTIF(L$1:L4454,L4454)</f>
        <v>42</v>
      </c>
      <c r="N4454" t="str">
        <f t="shared" si="208"/>
        <v>NA6TE-42</v>
      </c>
      <c r="O4454">
        <f>COUNTIFS(F$1:F4454,F4454,A$1:A4454,A4454)</f>
        <v>54</v>
      </c>
      <c r="P4454" t="str">
        <f t="shared" si="209"/>
        <v>Ryan Griffin6</v>
      </c>
    </row>
    <row r="4455" spans="1:16" x14ac:dyDescent="0.25">
      <c r="A4455">
        <v>3</v>
      </c>
      <c r="B4455" t="s">
        <v>3569</v>
      </c>
      <c r="C4455" t="s">
        <v>3806</v>
      </c>
      <c r="D4455">
        <v>1.64</v>
      </c>
      <c r="E4455" t="s">
        <v>38</v>
      </c>
      <c r="F4455" t="s">
        <v>47</v>
      </c>
      <c r="G4455">
        <v>2.84</v>
      </c>
      <c r="H4455">
        <v>0.44</v>
      </c>
      <c r="I4455">
        <v>1.2</v>
      </c>
      <c r="J4455">
        <v>1.44</v>
      </c>
      <c r="K4455" t="str">
        <f>IFERROR(INDEX(Rosters!$C$2:$C$155,MATCH($B4455,Rosters!$B$2:$B$155,0)),"NA")</f>
        <v>NA</v>
      </c>
      <c r="L4455" t="str">
        <f t="shared" si="207"/>
        <v>NA3RB</v>
      </c>
      <c r="M4455">
        <f>COUNTIF(L$1:L4455,L4455)</f>
        <v>34</v>
      </c>
      <c r="N4455" t="str">
        <f t="shared" si="208"/>
        <v>NA3RB-34</v>
      </c>
      <c r="O4455">
        <f>COUNTIFS(F$1:F4455,F4455,A$1:A4455,A4455)</f>
        <v>73</v>
      </c>
      <c r="P4455" t="str">
        <f t="shared" si="209"/>
        <v>Brandon Wilds3</v>
      </c>
    </row>
    <row r="4456" spans="1:16" x14ac:dyDescent="0.25">
      <c r="A4456">
        <v>14</v>
      </c>
      <c r="B4456" t="s">
        <v>318</v>
      </c>
      <c r="C4456">
        <f>-0.11-3.39</f>
        <v>-3.5</v>
      </c>
      <c r="D4456">
        <v>1.64</v>
      </c>
      <c r="E4456" t="s">
        <v>28</v>
      </c>
      <c r="F4456" t="s">
        <v>114</v>
      </c>
      <c r="G4456">
        <v>3.39</v>
      </c>
      <c r="H4456">
        <v>-0.11</v>
      </c>
      <c r="I4456">
        <v>1.75</v>
      </c>
      <c r="J4456">
        <v>3.0625</v>
      </c>
      <c r="K4456" t="str">
        <f>IFERROR(INDEX(Rosters!$C$2:$C$155,MATCH($B4456,Rosters!$B$2:$B$155,0)),"NA")</f>
        <v>NA</v>
      </c>
      <c r="L4456" t="str">
        <f t="shared" si="207"/>
        <v>NA14TE</v>
      </c>
      <c r="M4456">
        <f>COUNTIF(L$1:L4456,L4456)</f>
        <v>46</v>
      </c>
      <c r="N4456" t="str">
        <f t="shared" si="208"/>
        <v>NA14TE-46</v>
      </c>
      <c r="O4456">
        <f>COUNTIFS(F$1:F4456,F4456,A$1:A4456,A4456)</f>
        <v>60</v>
      </c>
      <c r="P4456" t="str">
        <f t="shared" si="209"/>
        <v>David Morgan14</v>
      </c>
    </row>
    <row r="4457" spans="1:16" x14ac:dyDescent="0.25">
      <c r="A4457">
        <v>15</v>
      </c>
      <c r="B4457" t="s">
        <v>287</v>
      </c>
      <c r="C4457">
        <f>-0.29-3.57</f>
        <v>-3.86</v>
      </c>
      <c r="D4457">
        <v>1.64</v>
      </c>
      <c r="E4457" t="s">
        <v>74</v>
      </c>
      <c r="F4457" t="s">
        <v>114</v>
      </c>
      <c r="G4457">
        <v>3.57</v>
      </c>
      <c r="H4457">
        <v>-0.28999999999999998</v>
      </c>
      <c r="I4457">
        <v>1.93</v>
      </c>
      <c r="J4457">
        <v>3.7248999999999999</v>
      </c>
      <c r="K4457" t="str">
        <f>IFERROR(INDEX(Rosters!$C$2:$C$155,MATCH($B4457,Rosters!$B$2:$B$155,0)),"NA")</f>
        <v>NA</v>
      </c>
      <c r="L4457" t="str">
        <f t="shared" si="207"/>
        <v>NA15TE</v>
      </c>
      <c r="M4457">
        <f>COUNTIF(L$1:L4457,L4457)</f>
        <v>46</v>
      </c>
      <c r="N4457" t="str">
        <f t="shared" si="208"/>
        <v>NA15TE-46</v>
      </c>
      <c r="O4457">
        <f>COUNTIFS(F$1:F4457,F4457,A$1:A4457,A4457)</f>
        <v>60</v>
      </c>
      <c r="P4457" t="str">
        <f t="shared" si="209"/>
        <v>Josh Hill15</v>
      </c>
    </row>
    <row r="4458" spans="1:16" x14ac:dyDescent="0.25">
      <c r="A4458">
        <v>4</v>
      </c>
      <c r="B4458" t="s">
        <v>300</v>
      </c>
      <c r="C4458" t="s">
        <v>4651</v>
      </c>
      <c r="D4458">
        <v>1.64</v>
      </c>
      <c r="E4458" t="s">
        <v>29</v>
      </c>
      <c r="F4458" t="s">
        <v>114</v>
      </c>
      <c r="G4458">
        <v>3.25</v>
      </c>
      <c r="H4458">
        <v>0.03</v>
      </c>
      <c r="I4458">
        <v>1.61</v>
      </c>
      <c r="J4458">
        <v>2.5920999999999998</v>
      </c>
      <c r="K4458" t="str">
        <f>IFERROR(INDEX(Rosters!$C$2:$C$155,MATCH($B4458,Rosters!$B$2:$B$155,0)),"NA")</f>
        <v>NA</v>
      </c>
      <c r="L4458" t="str">
        <f t="shared" si="207"/>
        <v>NA4TE</v>
      </c>
      <c r="M4458">
        <f>COUNTIF(L$1:L4458,L4458)</f>
        <v>39</v>
      </c>
      <c r="N4458" t="str">
        <f t="shared" si="208"/>
        <v>NA4TE-39</v>
      </c>
      <c r="O4458">
        <f>COUNTIFS(F$1:F4458,F4458,A$1:A4458,A4458)</f>
        <v>50</v>
      </c>
      <c r="P4458" t="str">
        <f t="shared" si="209"/>
        <v>Lance Kendricks4</v>
      </c>
    </row>
    <row r="4459" spans="1:16" x14ac:dyDescent="0.25">
      <c r="A4459">
        <v>8</v>
      </c>
      <c r="B4459" t="s">
        <v>279</v>
      </c>
      <c r="C4459">
        <f>-0.31-3.59</f>
        <v>-3.9</v>
      </c>
      <c r="D4459">
        <v>1.64</v>
      </c>
      <c r="E4459" t="s">
        <v>28</v>
      </c>
      <c r="F4459" t="s">
        <v>114</v>
      </c>
      <c r="G4459">
        <v>3.59</v>
      </c>
      <c r="H4459">
        <v>-0.31</v>
      </c>
      <c r="I4459">
        <v>1.95</v>
      </c>
      <c r="J4459">
        <v>3.8025000000000002</v>
      </c>
      <c r="K4459" t="str">
        <f>IFERROR(INDEX(Rosters!$C$2:$C$155,MATCH($B4459,Rosters!$B$2:$B$155,0)),"NA")</f>
        <v>NA</v>
      </c>
      <c r="L4459" t="str">
        <f t="shared" si="207"/>
        <v>NA8TE</v>
      </c>
      <c r="M4459">
        <f>COUNTIF(L$1:L4459,L4459)</f>
        <v>37</v>
      </c>
      <c r="N4459" t="str">
        <f t="shared" si="208"/>
        <v>NA8TE-37</v>
      </c>
      <c r="O4459">
        <f>COUNTIFS(F$1:F4459,F4459,A$1:A4459,A4459)</f>
        <v>49</v>
      </c>
      <c r="P4459" t="str">
        <f t="shared" si="209"/>
        <v>Levine Toilolo8</v>
      </c>
    </row>
    <row r="4460" spans="1:16" x14ac:dyDescent="0.25">
      <c r="A4460">
        <v>7</v>
      </c>
      <c r="B4460" t="s">
        <v>274</v>
      </c>
      <c r="C4460">
        <f>-0.02-3.3</f>
        <v>-3.32</v>
      </c>
      <c r="D4460">
        <v>1.64</v>
      </c>
      <c r="E4460" t="s">
        <v>76</v>
      </c>
      <c r="F4460" t="s">
        <v>114</v>
      </c>
      <c r="G4460">
        <v>3.3</v>
      </c>
      <c r="H4460">
        <v>-0.02</v>
      </c>
      <c r="I4460">
        <v>1.66</v>
      </c>
      <c r="J4460">
        <v>2.7555999999999998</v>
      </c>
      <c r="K4460" t="str">
        <f>IFERROR(INDEX(Rosters!$C$2:$C$155,MATCH($B4460,Rosters!$B$2:$B$155,0)),"NA")</f>
        <v>NA</v>
      </c>
      <c r="L4460" t="str">
        <f t="shared" si="207"/>
        <v>NA7TE</v>
      </c>
      <c r="M4460">
        <f>COUNTIF(L$1:L4460,L4460)</f>
        <v>43</v>
      </c>
      <c r="N4460" t="str">
        <f t="shared" si="208"/>
        <v>NA7TE-43</v>
      </c>
      <c r="O4460">
        <f>COUNTIFS(F$1:F4460,F4460,A$1:A4460,A4460)</f>
        <v>53</v>
      </c>
      <c r="P4460" t="str">
        <f t="shared" si="209"/>
        <v>Ryan Griffin7</v>
      </c>
    </row>
    <row r="4461" spans="1:16" x14ac:dyDescent="0.25">
      <c r="A4461">
        <v>10</v>
      </c>
      <c r="B4461" t="s">
        <v>338</v>
      </c>
      <c r="C4461">
        <f>-0.18-3.44</f>
        <v>-3.62</v>
      </c>
      <c r="D4461">
        <v>1.63</v>
      </c>
      <c r="E4461" t="s">
        <v>56</v>
      </c>
      <c r="F4461" t="s">
        <v>87</v>
      </c>
      <c r="G4461">
        <v>3.44</v>
      </c>
      <c r="H4461">
        <v>-0.18</v>
      </c>
      <c r="I4461">
        <v>1.81</v>
      </c>
      <c r="J4461">
        <v>3.2761</v>
      </c>
      <c r="K4461" t="str">
        <f>IFERROR(INDEX(Rosters!$C$2:$C$155,MATCH($B4461,Rosters!$B$2:$B$155,0)),"NA")</f>
        <v>NA</v>
      </c>
      <c r="L4461" t="str">
        <f t="shared" si="207"/>
        <v>NA10WR</v>
      </c>
      <c r="M4461">
        <f>COUNTIF(L$1:L4461,L4461)</f>
        <v>58</v>
      </c>
      <c r="N4461" t="str">
        <f t="shared" si="208"/>
        <v>NA10WR-58</v>
      </c>
      <c r="O4461">
        <f>COUNTIFS(F$1:F4461,F4461,A$1:A4461,A4461)</f>
        <v>103</v>
      </c>
      <c r="P4461" t="str">
        <f t="shared" si="209"/>
        <v>Jaron Brown10</v>
      </c>
    </row>
    <row r="4462" spans="1:16" x14ac:dyDescent="0.25">
      <c r="A4462">
        <v>9</v>
      </c>
      <c r="B4462" t="s">
        <v>1495</v>
      </c>
      <c r="C4462">
        <f>-0.25-3.51</f>
        <v>-3.76</v>
      </c>
      <c r="D4462">
        <v>1.63</v>
      </c>
      <c r="E4462" t="s">
        <v>22</v>
      </c>
      <c r="F4462" t="s">
        <v>114</v>
      </c>
      <c r="G4462">
        <v>3.51</v>
      </c>
      <c r="H4462">
        <v>-0.25</v>
      </c>
      <c r="I4462">
        <v>1.88</v>
      </c>
      <c r="J4462">
        <v>3.5344000000000002</v>
      </c>
      <c r="K4462" t="str">
        <f>IFERROR(INDEX(Rosters!$C$2:$C$155,MATCH($B4462,Rosters!$B$2:$B$155,0)),"NA")</f>
        <v>NA</v>
      </c>
      <c r="L4462" t="str">
        <f t="shared" si="207"/>
        <v>NA9TE</v>
      </c>
      <c r="M4462">
        <f>COUNTIF(L$1:L4462,L4462)</f>
        <v>35</v>
      </c>
      <c r="N4462" t="str">
        <f t="shared" si="208"/>
        <v>NA9TE-35</v>
      </c>
      <c r="O4462">
        <f>COUNTIFS(F$1:F4462,F4462,A$1:A4462,A4462)</f>
        <v>46</v>
      </c>
      <c r="P4462" t="str">
        <f t="shared" si="209"/>
        <v>Jonnu Smith9</v>
      </c>
    </row>
    <row r="4463" spans="1:16" x14ac:dyDescent="0.25">
      <c r="A4463">
        <v>8</v>
      </c>
      <c r="B4463" t="s">
        <v>1593</v>
      </c>
      <c r="C4463">
        <f>-0.35-3.61</f>
        <v>-3.96</v>
      </c>
      <c r="D4463">
        <v>1.63</v>
      </c>
      <c r="E4463" t="s">
        <v>41</v>
      </c>
      <c r="F4463" t="s">
        <v>87</v>
      </c>
      <c r="G4463">
        <v>3.61</v>
      </c>
      <c r="H4463">
        <v>-0.35</v>
      </c>
      <c r="I4463">
        <v>1.98</v>
      </c>
      <c r="J4463">
        <v>3.9203999999999999</v>
      </c>
      <c r="K4463" t="str">
        <f>IFERROR(INDEX(Rosters!$C$2:$C$155,MATCH($B4463,Rosters!$B$2:$B$155,0)),"NA")</f>
        <v>NA</v>
      </c>
      <c r="L4463" t="str">
        <f t="shared" si="207"/>
        <v>NA8WR</v>
      </c>
      <c r="M4463">
        <f>COUNTIF(L$1:L4463,L4463)</f>
        <v>51</v>
      </c>
      <c r="N4463" t="str">
        <f t="shared" si="208"/>
        <v>NA8WR-51</v>
      </c>
      <c r="O4463">
        <f>COUNTIFS(F$1:F4463,F4463,A$1:A4463,A4463)</f>
        <v>100</v>
      </c>
      <c r="P4463" t="str">
        <f t="shared" si="209"/>
        <v>Josh Reynolds8</v>
      </c>
    </row>
    <row r="4464" spans="1:16" x14ac:dyDescent="0.25">
      <c r="A4464">
        <v>17</v>
      </c>
      <c r="B4464" t="s">
        <v>1336</v>
      </c>
      <c r="C4464" t="s">
        <v>8578</v>
      </c>
      <c r="D4464">
        <v>1.63</v>
      </c>
      <c r="E4464" t="s">
        <v>58</v>
      </c>
      <c r="F4464" t="s">
        <v>47</v>
      </c>
      <c r="G4464">
        <v>3.06</v>
      </c>
      <c r="H4464">
        <v>0.2</v>
      </c>
      <c r="I4464">
        <v>1.43</v>
      </c>
      <c r="J4464">
        <v>2.0449000000000002</v>
      </c>
      <c r="K4464" t="str">
        <f>IFERROR(INDEX(Rosters!$C$2:$C$155,MATCH($B4464,Rosters!$B$2:$B$155,0)),"NA")</f>
        <v>NA</v>
      </c>
      <c r="L4464" t="str">
        <f t="shared" si="207"/>
        <v>NA17RB</v>
      </c>
      <c r="M4464">
        <f>COUNTIF(L$1:L4464,L4464)</f>
        <v>33</v>
      </c>
      <c r="N4464" t="str">
        <f t="shared" si="208"/>
        <v>NA17RB-33</v>
      </c>
      <c r="O4464">
        <f>COUNTIFS(F$1:F4464,F4464,A$1:A4464,A4464)</f>
        <v>80</v>
      </c>
      <c r="P4464" t="str">
        <f t="shared" si="209"/>
        <v>Rashaad Penny17</v>
      </c>
    </row>
    <row r="4465" spans="1:16" x14ac:dyDescent="0.25">
      <c r="A4465">
        <v>11</v>
      </c>
      <c r="B4465" t="s">
        <v>259</v>
      </c>
      <c r="C4465">
        <f>-0.41-3.67</f>
        <v>-4.08</v>
      </c>
      <c r="D4465">
        <v>1.63</v>
      </c>
      <c r="E4465" t="s">
        <v>17</v>
      </c>
      <c r="F4465" t="s">
        <v>87</v>
      </c>
      <c r="G4465">
        <v>3.67</v>
      </c>
      <c r="H4465">
        <v>-0.41</v>
      </c>
      <c r="I4465">
        <v>2.04</v>
      </c>
      <c r="J4465">
        <v>4.1616</v>
      </c>
      <c r="K4465" t="str">
        <f>IFERROR(INDEX(Rosters!$C$2:$C$155,MATCH($B4465,Rosters!$B$2:$B$155,0)),"NA")</f>
        <v>NA</v>
      </c>
      <c r="L4465" t="str">
        <f t="shared" si="207"/>
        <v>NA11WR</v>
      </c>
      <c r="M4465">
        <f>COUNTIF(L$1:L4465,L4465)</f>
        <v>47</v>
      </c>
      <c r="N4465" t="str">
        <f t="shared" si="208"/>
        <v>NA11WR-47</v>
      </c>
      <c r="O4465">
        <f>COUNTIFS(F$1:F4465,F4465,A$1:A4465,A4465)</f>
        <v>94</v>
      </c>
      <c r="P4465" t="str">
        <f t="shared" si="209"/>
        <v>Russell Shepard11</v>
      </c>
    </row>
    <row r="4466" spans="1:16" x14ac:dyDescent="0.25">
      <c r="A4466">
        <v>16</v>
      </c>
      <c r="B4466" t="s">
        <v>263</v>
      </c>
      <c r="C4466">
        <f>-0.12-3.38</f>
        <v>-3.5</v>
      </c>
      <c r="D4466">
        <v>1.63</v>
      </c>
      <c r="E4466" t="s">
        <v>25</v>
      </c>
      <c r="F4466" t="s">
        <v>87</v>
      </c>
      <c r="G4466">
        <v>3.38</v>
      </c>
      <c r="H4466">
        <v>-0.12</v>
      </c>
      <c r="I4466">
        <v>1.75</v>
      </c>
      <c r="J4466">
        <v>3.0625</v>
      </c>
      <c r="K4466" t="str">
        <f>IFERROR(INDEX(Rosters!$C$2:$C$155,MATCH($B4466,Rosters!$B$2:$B$155,0)),"NA")</f>
        <v>NA</v>
      </c>
      <c r="L4466" t="str">
        <f t="shared" si="207"/>
        <v>NA16WR</v>
      </c>
      <c r="M4466">
        <f>COUNTIF(L$1:L4466,L4466)</f>
        <v>63</v>
      </c>
      <c r="N4466" t="str">
        <f t="shared" si="208"/>
        <v>NA16WR-63</v>
      </c>
      <c r="O4466">
        <f>COUNTIFS(F$1:F4466,F4466,A$1:A4466,A4466)</f>
        <v>117</v>
      </c>
      <c r="P4466" t="str">
        <f t="shared" si="209"/>
        <v>T.J. Jones16</v>
      </c>
    </row>
    <row r="4467" spans="1:16" x14ac:dyDescent="0.25">
      <c r="A4467">
        <v>5</v>
      </c>
      <c r="B4467" t="s">
        <v>4656</v>
      </c>
      <c r="C4467" t="s">
        <v>8579</v>
      </c>
      <c r="D4467">
        <v>1.62</v>
      </c>
      <c r="E4467" t="s">
        <v>22</v>
      </c>
      <c r="F4467" t="s">
        <v>47</v>
      </c>
      <c r="G4467">
        <v>3.07</v>
      </c>
      <c r="H4467">
        <v>0.17</v>
      </c>
      <c r="I4467">
        <v>1.45</v>
      </c>
      <c r="J4467">
        <v>2.1025</v>
      </c>
      <c r="K4467" t="str">
        <f>IFERROR(INDEX(Rosters!$C$2:$C$155,MATCH($B4467,Rosters!$B$2:$B$155,0)),"NA")</f>
        <v>NA</v>
      </c>
      <c r="L4467" t="str">
        <f t="shared" si="207"/>
        <v>NA5RB</v>
      </c>
      <c r="M4467">
        <f>COUNTIF(L$1:L4467,L4467)</f>
        <v>27</v>
      </c>
      <c r="N4467" t="str">
        <f t="shared" si="208"/>
        <v>NA5RB-27</v>
      </c>
      <c r="O4467">
        <f>COUNTIFS(F$1:F4467,F4467,A$1:A4467,A4467)</f>
        <v>70</v>
      </c>
      <c r="P4467" t="str">
        <f t="shared" si="209"/>
        <v>Buddy Howell5</v>
      </c>
    </row>
    <row r="4468" spans="1:16" x14ac:dyDescent="0.25">
      <c r="A4468">
        <v>1</v>
      </c>
      <c r="B4468" t="s">
        <v>304</v>
      </c>
      <c r="C4468" t="s">
        <v>1510</v>
      </c>
      <c r="D4468">
        <v>1.62</v>
      </c>
      <c r="E4468" t="s">
        <v>52</v>
      </c>
      <c r="F4468" t="s">
        <v>87</v>
      </c>
      <c r="G4468">
        <v>3.16</v>
      </c>
      <c r="H4468">
        <v>0.08</v>
      </c>
      <c r="I4468">
        <v>1.54</v>
      </c>
      <c r="J4468">
        <v>2.3715999999999999</v>
      </c>
      <c r="K4468" t="str">
        <f>IFERROR(INDEX(Rosters!$C$2:$C$155,MATCH($B4468,Rosters!$B$2:$B$155,0)),"NA")</f>
        <v>NA</v>
      </c>
      <c r="L4468" t="str">
        <f t="shared" si="207"/>
        <v>NA1WR</v>
      </c>
      <c r="M4468">
        <f>COUNTIF(L$1:L4468,L4468)</f>
        <v>53</v>
      </c>
      <c r="N4468" t="str">
        <f t="shared" si="208"/>
        <v>NA1WR-53</v>
      </c>
      <c r="O4468">
        <f>COUNTIFS(F$1:F4468,F4468,A$1:A4468,A4468)</f>
        <v>102</v>
      </c>
      <c r="P4468" t="str">
        <f t="shared" si="209"/>
        <v>Darrius Heyward-Bey1</v>
      </c>
    </row>
    <row r="4469" spans="1:16" x14ac:dyDescent="0.25">
      <c r="A4469">
        <v>14</v>
      </c>
      <c r="B4469" t="s">
        <v>1517</v>
      </c>
      <c r="C4469">
        <f>-0.13-3.37</f>
        <v>-3.5</v>
      </c>
      <c r="D4469">
        <v>1.62</v>
      </c>
      <c r="E4469" t="s">
        <v>41</v>
      </c>
      <c r="F4469" t="s">
        <v>114</v>
      </c>
      <c r="G4469">
        <v>3.37</v>
      </c>
      <c r="H4469">
        <v>-0.13</v>
      </c>
      <c r="I4469">
        <v>1.75</v>
      </c>
      <c r="J4469">
        <v>3.0625</v>
      </c>
      <c r="K4469" t="str">
        <f>IFERROR(INDEX(Rosters!$C$2:$C$155,MATCH($B4469,Rosters!$B$2:$B$155,0)),"NA")</f>
        <v>NA</v>
      </c>
      <c r="L4469" t="str">
        <f t="shared" si="207"/>
        <v>NA14TE</v>
      </c>
      <c r="M4469">
        <f>COUNTIF(L$1:L4469,L4469)</f>
        <v>47</v>
      </c>
      <c r="N4469" t="str">
        <f t="shared" si="208"/>
        <v>NA14TE-47</v>
      </c>
      <c r="O4469">
        <f>COUNTIFS(F$1:F4469,F4469,A$1:A4469,A4469)</f>
        <v>61</v>
      </c>
      <c r="P4469" t="str">
        <f t="shared" si="209"/>
        <v>Eric Saubert14</v>
      </c>
    </row>
    <row r="4470" spans="1:16" x14ac:dyDescent="0.25">
      <c r="A4470">
        <v>2</v>
      </c>
      <c r="B4470" t="s">
        <v>142</v>
      </c>
      <c r="C4470" t="s">
        <v>3373</v>
      </c>
      <c r="D4470">
        <v>1.62</v>
      </c>
      <c r="E4470" t="s">
        <v>50</v>
      </c>
      <c r="F4470" t="s">
        <v>47</v>
      </c>
      <c r="G4470">
        <v>2.68</v>
      </c>
      <c r="H4470">
        <v>0.56000000000000005</v>
      </c>
      <c r="I4470">
        <v>1.06</v>
      </c>
      <c r="J4470">
        <v>1.1235999999999999</v>
      </c>
      <c r="K4470" t="str">
        <f>IFERROR(INDEX(Rosters!$C$2:$C$155,MATCH($B4470,Rosters!$B$2:$B$155,0)),"NA")</f>
        <v>NA</v>
      </c>
      <c r="L4470" t="str">
        <f t="shared" si="207"/>
        <v>NA2RB</v>
      </c>
      <c r="M4470">
        <f>COUNTIF(L$1:L4470,L4470)</f>
        <v>25</v>
      </c>
      <c r="N4470" t="str">
        <f t="shared" si="208"/>
        <v>NA2RB-25</v>
      </c>
      <c r="O4470">
        <f>COUNTIFS(F$1:F4470,F4470,A$1:A4470,A4470)</f>
        <v>67</v>
      </c>
      <c r="P4470" t="str">
        <f t="shared" si="209"/>
        <v>Jacquizz Rodgers2</v>
      </c>
    </row>
    <row r="4471" spans="1:16" x14ac:dyDescent="0.25">
      <c r="A4471">
        <v>13</v>
      </c>
      <c r="B4471" t="s">
        <v>1495</v>
      </c>
      <c r="C4471">
        <f>-0.08-3.32</f>
        <v>-3.4</v>
      </c>
      <c r="D4471">
        <v>1.62</v>
      </c>
      <c r="E4471" t="s">
        <v>73</v>
      </c>
      <c r="F4471" t="s">
        <v>114</v>
      </c>
      <c r="G4471">
        <v>3.32</v>
      </c>
      <c r="H4471">
        <v>-0.08</v>
      </c>
      <c r="I4471">
        <v>1.7</v>
      </c>
      <c r="J4471">
        <v>2.89</v>
      </c>
      <c r="K4471" t="str">
        <f>IFERROR(INDEX(Rosters!$C$2:$C$155,MATCH($B4471,Rosters!$B$2:$B$155,0)),"NA")</f>
        <v>NA</v>
      </c>
      <c r="L4471" t="str">
        <f t="shared" si="207"/>
        <v>NA13TE</v>
      </c>
      <c r="M4471">
        <f>COUNTIF(L$1:L4471,L4471)</f>
        <v>46</v>
      </c>
      <c r="N4471" t="str">
        <f t="shared" si="208"/>
        <v>NA13TE-46</v>
      </c>
      <c r="O4471">
        <f>COUNTIFS(F$1:F4471,F4471,A$1:A4471,A4471)</f>
        <v>60</v>
      </c>
      <c r="P4471" t="str">
        <f t="shared" si="209"/>
        <v>Jonnu Smith13</v>
      </c>
    </row>
    <row r="4472" spans="1:16" x14ac:dyDescent="0.25">
      <c r="A4472">
        <v>10</v>
      </c>
      <c r="B4472" t="s">
        <v>1130</v>
      </c>
      <c r="C4472">
        <f>-0.1-3.34</f>
        <v>-3.44</v>
      </c>
      <c r="D4472">
        <v>1.62</v>
      </c>
      <c r="E4472" t="s">
        <v>29</v>
      </c>
      <c r="F4472" t="s">
        <v>114</v>
      </c>
      <c r="G4472">
        <v>3.34</v>
      </c>
      <c r="H4472">
        <v>-0.1</v>
      </c>
      <c r="I4472">
        <v>1.72</v>
      </c>
      <c r="J4472">
        <v>2.9584000000000001</v>
      </c>
      <c r="K4472" t="str">
        <f>IFERROR(INDEX(Rosters!$C$2:$C$155,MATCH($B4472,Rosters!$B$2:$B$155,0)),"NA")</f>
        <v>NA</v>
      </c>
      <c r="L4472" t="str">
        <f t="shared" si="207"/>
        <v>NA10TE</v>
      </c>
      <c r="M4472">
        <f>COUNTIF(L$1:L4472,L4472)</f>
        <v>36</v>
      </c>
      <c r="N4472" t="str">
        <f t="shared" si="208"/>
        <v>NA10TE-36</v>
      </c>
      <c r="O4472">
        <f>COUNTIFS(F$1:F4472,F4472,A$1:A4472,A4472)</f>
        <v>49</v>
      </c>
      <c r="P4472" t="str">
        <f t="shared" si="209"/>
        <v>Neal Sterling10</v>
      </c>
    </row>
    <row r="4473" spans="1:16" x14ac:dyDescent="0.25">
      <c r="A4473">
        <v>10</v>
      </c>
      <c r="B4473" t="s">
        <v>323</v>
      </c>
      <c r="C4473" t="s">
        <v>8580</v>
      </c>
      <c r="D4473">
        <v>1.62</v>
      </c>
      <c r="E4473" t="s">
        <v>66</v>
      </c>
      <c r="F4473" t="s">
        <v>114</v>
      </c>
      <c r="G4473">
        <v>3.19</v>
      </c>
      <c r="H4473">
        <v>0.05</v>
      </c>
      <c r="I4473">
        <v>1.57</v>
      </c>
      <c r="J4473">
        <v>2.4649000000000001</v>
      </c>
      <c r="K4473" t="str">
        <f>IFERROR(INDEX(Rosters!$C$2:$C$155,MATCH($B4473,Rosters!$B$2:$B$155,0)),"NA")</f>
        <v>NA</v>
      </c>
      <c r="L4473" t="str">
        <f t="shared" si="207"/>
        <v>NA10TE</v>
      </c>
      <c r="M4473">
        <f>COUNTIF(L$1:L4473,L4473)</f>
        <v>37</v>
      </c>
      <c r="N4473" t="str">
        <f t="shared" si="208"/>
        <v>NA10TE-37</v>
      </c>
      <c r="O4473">
        <f>COUNTIFS(F$1:F4473,F4473,A$1:A4473,A4473)</f>
        <v>50</v>
      </c>
      <c r="P4473" t="str">
        <f t="shared" si="209"/>
        <v>Niles Paul10</v>
      </c>
    </row>
    <row r="4474" spans="1:16" x14ac:dyDescent="0.25">
      <c r="A4474">
        <v>1</v>
      </c>
      <c r="B4474" t="s">
        <v>216</v>
      </c>
      <c r="C4474">
        <f>-0.11-3.33</f>
        <v>-3.44</v>
      </c>
      <c r="D4474">
        <v>1.61</v>
      </c>
      <c r="E4474" t="s">
        <v>42</v>
      </c>
      <c r="F4474" t="s">
        <v>47</v>
      </c>
      <c r="G4474">
        <v>3.33</v>
      </c>
      <c r="H4474">
        <v>-0.11</v>
      </c>
      <c r="I4474">
        <v>1.72</v>
      </c>
      <c r="J4474">
        <v>2.9584000000000001</v>
      </c>
      <c r="K4474" t="str">
        <f>IFERROR(INDEX(Rosters!$C$2:$C$155,MATCH($B4474,Rosters!$B$2:$B$155,0)),"NA")</f>
        <v>NA</v>
      </c>
      <c r="L4474" t="str">
        <f t="shared" si="207"/>
        <v>NA1RB</v>
      </c>
      <c r="M4474">
        <f>COUNTIF(L$1:L4474,L4474)</f>
        <v>26</v>
      </c>
      <c r="N4474" t="str">
        <f t="shared" si="208"/>
        <v>NA1RB-26</v>
      </c>
      <c r="O4474">
        <f>COUNTIFS(F$1:F4474,F4474,A$1:A4474,A4474)</f>
        <v>68</v>
      </c>
      <c r="P4474" t="str">
        <f t="shared" si="209"/>
        <v>C.J. Prosise1</v>
      </c>
    </row>
    <row r="4475" spans="1:16" x14ac:dyDescent="0.25">
      <c r="A4475">
        <v>7</v>
      </c>
      <c r="B4475" t="s">
        <v>1458</v>
      </c>
      <c r="C4475" t="s">
        <v>8581</v>
      </c>
      <c r="D4475">
        <v>1.61</v>
      </c>
      <c r="E4475" t="s">
        <v>34</v>
      </c>
      <c r="F4475" t="s">
        <v>47</v>
      </c>
      <c r="G4475">
        <v>3.15</v>
      </c>
      <c r="H4475">
        <v>7.0000000000000007E-2</v>
      </c>
      <c r="I4475">
        <v>1.54</v>
      </c>
      <c r="J4475">
        <v>2.3715999999999999</v>
      </c>
      <c r="K4475" t="str">
        <f>IFERROR(INDEX(Rosters!$C$2:$C$155,MATCH($B4475,Rosters!$B$2:$B$155,0)),"NA")</f>
        <v>NA</v>
      </c>
      <c r="L4475" t="str">
        <f t="shared" si="207"/>
        <v>NA7RB</v>
      </c>
      <c r="M4475">
        <f>COUNTIF(L$1:L4475,L4475)</f>
        <v>24</v>
      </c>
      <c r="N4475" t="str">
        <f t="shared" si="208"/>
        <v>NA7RB-24</v>
      </c>
      <c r="O4475">
        <f>COUNTIFS(F$1:F4475,F4475,A$1:A4475,A4475)</f>
        <v>65</v>
      </c>
      <c r="P4475" t="str">
        <f t="shared" si="209"/>
        <v>Kalen Ballage7</v>
      </c>
    </row>
    <row r="4476" spans="1:16" x14ac:dyDescent="0.25">
      <c r="A4476">
        <v>9</v>
      </c>
      <c r="B4476" t="s">
        <v>279</v>
      </c>
      <c r="C4476">
        <f>-0.36-3.58</f>
        <v>-3.94</v>
      </c>
      <c r="D4476">
        <v>1.61</v>
      </c>
      <c r="E4476" t="s">
        <v>25</v>
      </c>
      <c r="F4476" t="s">
        <v>114</v>
      </c>
      <c r="G4476">
        <v>3.58</v>
      </c>
      <c r="H4476">
        <v>-0.36</v>
      </c>
      <c r="I4476">
        <v>1.97</v>
      </c>
      <c r="J4476">
        <v>3.8809</v>
      </c>
      <c r="K4476" t="str">
        <f>IFERROR(INDEX(Rosters!$C$2:$C$155,MATCH($B4476,Rosters!$B$2:$B$155,0)),"NA")</f>
        <v>NA</v>
      </c>
      <c r="L4476" t="str">
        <f t="shared" si="207"/>
        <v>NA9TE</v>
      </c>
      <c r="M4476">
        <f>COUNTIF(L$1:L4476,L4476)</f>
        <v>36</v>
      </c>
      <c r="N4476" t="str">
        <f t="shared" si="208"/>
        <v>NA9TE-36</v>
      </c>
      <c r="O4476">
        <f>COUNTIFS(F$1:F4476,F4476,A$1:A4476,A4476)</f>
        <v>47</v>
      </c>
      <c r="P4476" t="str">
        <f t="shared" si="209"/>
        <v>Levine Toilolo9</v>
      </c>
    </row>
    <row r="4477" spans="1:16" x14ac:dyDescent="0.25">
      <c r="A4477">
        <v>15</v>
      </c>
      <c r="B4477" t="s">
        <v>279</v>
      </c>
      <c r="C4477">
        <f>-0.31-3.53</f>
        <v>-3.84</v>
      </c>
      <c r="D4477">
        <v>1.61</v>
      </c>
      <c r="E4477" t="s">
        <v>29</v>
      </c>
      <c r="F4477" t="s">
        <v>114</v>
      </c>
      <c r="G4477">
        <v>3.53</v>
      </c>
      <c r="H4477">
        <v>-0.31</v>
      </c>
      <c r="I4477">
        <v>1.92</v>
      </c>
      <c r="J4477">
        <v>3.6863999999999999</v>
      </c>
      <c r="K4477" t="str">
        <f>IFERROR(INDEX(Rosters!$C$2:$C$155,MATCH($B4477,Rosters!$B$2:$B$155,0)),"NA")</f>
        <v>NA</v>
      </c>
      <c r="L4477" t="str">
        <f t="shared" si="207"/>
        <v>NA15TE</v>
      </c>
      <c r="M4477">
        <f>COUNTIF(L$1:L4477,L4477)</f>
        <v>47</v>
      </c>
      <c r="N4477" t="str">
        <f t="shared" si="208"/>
        <v>NA15TE-47</v>
      </c>
      <c r="O4477">
        <f>COUNTIFS(F$1:F4477,F4477,A$1:A4477,A4477)</f>
        <v>61</v>
      </c>
      <c r="P4477" t="str">
        <f t="shared" si="209"/>
        <v>Levine Toilolo15</v>
      </c>
    </row>
    <row r="4478" spans="1:16" x14ac:dyDescent="0.25">
      <c r="A4478">
        <v>11</v>
      </c>
      <c r="B4478" t="s">
        <v>318</v>
      </c>
      <c r="C4478">
        <f>-0.17-3.37</f>
        <v>-3.54</v>
      </c>
      <c r="D4478">
        <v>1.6</v>
      </c>
      <c r="E4478" t="s">
        <v>72</v>
      </c>
      <c r="F4478" t="s">
        <v>114</v>
      </c>
      <c r="G4478">
        <v>3.37</v>
      </c>
      <c r="H4478">
        <v>-0.17</v>
      </c>
      <c r="I4478">
        <v>1.77</v>
      </c>
      <c r="J4478">
        <v>3.1328999999999998</v>
      </c>
      <c r="K4478" t="str">
        <f>IFERROR(INDEX(Rosters!$C$2:$C$155,MATCH($B4478,Rosters!$B$2:$B$155,0)),"NA")</f>
        <v>NA</v>
      </c>
      <c r="L4478" t="str">
        <f t="shared" si="207"/>
        <v>NA11TE</v>
      </c>
      <c r="M4478">
        <f>COUNTIF(L$1:L4478,L4478)</f>
        <v>37</v>
      </c>
      <c r="N4478" t="str">
        <f t="shared" si="208"/>
        <v>NA11TE-37</v>
      </c>
      <c r="O4478">
        <f>COUNTIFS(F$1:F4478,F4478,A$1:A4478,A4478)</f>
        <v>49</v>
      </c>
      <c r="P4478" t="str">
        <f t="shared" si="209"/>
        <v>David Morgan11</v>
      </c>
    </row>
    <row r="4479" spans="1:16" x14ac:dyDescent="0.25">
      <c r="A4479">
        <v>4</v>
      </c>
      <c r="B4479" t="s">
        <v>380</v>
      </c>
      <c r="C4479">
        <f>-0.31-3.51</f>
        <v>-3.82</v>
      </c>
      <c r="D4479">
        <v>1.6</v>
      </c>
      <c r="E4479" t="s">
        <v>52</v>
      </c>
      <c r="F4479" t="s">
        <v>114</v>
      </c>
      <c r="G4479">
        <v>3.51</v>
      </c>
      <c r="H4479">
        <v>-0.31</v>
      </c>
      <c r="I4479">
        <v>1.91</v>
      </c>
      <c r="J4479">
        <v>3.6480999999999999</v>
      </c>
      <c r="K4479" t="str">
        <f>IFERROR(INDEX(Rosters!$C$2:$C$155,MATCH($B4479,Rosters!$B$2:$B$155,0)),"NA")</f>
        <v>NA</v>
      </c>
      <c r="L4479" t="str">
        <f t="shared" si="207"/>
        <v>NA4TE</v>
      </c>
      <c r="M4479">
        <f>COUNTIF(L$1:L4479,L4479)</f>
        <v>40</v>
      </c>
      <c r="N4479" t="str">
        <f t="shared" si="208"/>
        <v>NA4TE-40</v>
      </c>
      <c r="O4479">
        <f>COUNTIFS(F$1:F4479,F4479,A$1:A4479,A4479)</f>
        <v>51</v>
      </c>
      <c r="P4479" t="str">
        <f t="shared" si="209"/>
        <v>Derek Carrier4</v>
      </c>
    </row>
    <row r="4480" spans="1:16" x14ac:dyDescent="0.25">
      <c r="A4480">
        <v>11</v>
      </c>
      <c r="B4480" t="s">
        <v>275</v>
      </c>
      <c r="C4480" t="s">
        <v>1161</v>
      </c>
      <c r="D4480">
        <v>1.6</v>
      </c>
      <c r="E4480" t="s">
        <v>37</v>
      </c>
      <c r="F4480" t="s">
        <v>47</v>
      </c>
      <c r="G4480">
        <v>2.92</v>
      </c>
      <c r="H4480">
        <v>0.28000000000000003</v>
      </c>
      <c r="I4480">
        <v>1.32</v>
      </c>
      <c r="J4480">
        <v>1.7423999999999999</v>
      </c>
      <c r="K4480" t="str">
        <f>IFERROR(INDEX(Rosters!$C$2:$C$155,MATCH($B4480,Rosters!$B$2:$B$155,0)),"NA")</f>
        <v>NA</v>
      </c>
      <c r="L4480" t="str">
        <f t="shared" si="207"/>
        <v>NA11RB</v>
      </c>
      <c r="M4480">
        <f>COUNTIF(L$1:L4480,L4480)</f>
        <v>27</v>
      </c>
      <c r="N4480" t="str">
        <f t="shared" si="208"/>
        <v>NA11RB-27</v>
      </c>
      <c r="O4480">
        <f>COUNTIFS(F$1:F4480,F4480,A$1:A4480,A4480)</f>
        <v>65</v>
      </c>
      <c r="P4480" t="str">
        <f t="shared" si="209"/>
        <v>Devontae Booker11</v>
      </c>
    </row>
    <row r="4481" spans="1:16" x14ac:dyDescent="0.25">
      <c r="A4481">
        <v>10</v>
      </c>
      <c r="B4481" t="s">
        <v>284</v>
      </c>
      <c r="C4481">
        <f>-0.12-3.32</f>
        <v>-3.44</v>
      </c>
      <c r="D4481">
        <v>1.6</v>
      </c>
      <c r="E4481" t="s">
        <v>34</v>
      </c>
      <c r="F4481" t="s">
        <v>114</v>
      </c>
      <c r="G4481">
        <v>3.32</v>
      </c>
      <c r="H4481">
        <v>-0.12</v>
      </c>
      <c r="I4481">
        <v>1.72</v>
      </c>
      <c r="J4481">
        <v>2.9584000000000001</v>
      </c>
      <c r="K4481" t="str">
        <f>IFERROR(INDEX(Rosters!$C$2:$C$155,MATCH($B4481,Rosters!$B$2:$B$155,0)),"NA")</f>
        <v>NA</v>
      </c>
      <c r="L4481" t="str">
        <f t="shared" si="207"/>
        <v>NA10TE</v>
      </c>
      <c r="M4481">
        <f>COUNTIF(L$1:L4481,L4481)</f>
        <v>38</v>
      </c>
      <c r="N4481" t="str">
        <f t="shared" si="208"/>
        <v>NA10TE-38</v>
      </c>
      <c r="O4481">
        <f>COUNTIFS(F$1:F4481,F4481,A$1:A4481,A4481)</f>
        <v>51</v>
      </c>
      <c r="P4481" t="str">
        <f t="shared" si="209"/>
        <v>Dion Sims10</v>
      </c>
    </row>
    <row r="4482" spans="1:16" x14ac:dyDescent="0.25">
      <c r="A4482">
        <v>12</v>
      </c>
      <c r="B4482" t="s">
        <v>1495</v>
      </c>
      <c r="C4482">
        <f>-0.18-3.38</f>
        <v>-3.56</v>
      </c>
      <c r="D4482">
        <v>1.6</v>
      </c>
      <c r="E4482" t="s">
        <v>36</v>
      </c>
      <c r="F4482" t="s">
        <v>114</v>
      </c>
      <c r="G4482">
        <v>3.38</v>
      </c>
      <c r="H4482">
        <v>-0.18</v>
      </c>
      <c r="I4482">
        <v>1.78</v>
      </c>
      <c r="J4482">
        <v>3.1684000000000001</v>
      </c>
      <c r="K4482" t="str">
        <f>IFERROR(INDEX(Rosters!$C$2:$C$155,MATCH($B4482,Rosters!$B$2:$B$155,0)),"NA")</f>
        <v>NA</v>
      </c>
      <c r="L4482" t="str">
        <f t="shared" si="207"/>
        <v>NA12TE</v>
      </c>
      <c r="M4482">
        <f>COUNTIF(L$1:L4482,L4482)</f>
        <v>44</v>
      </c>
      <c r="N4482" t="str">
        <f t="shared" si="208"/>
        <v>NA12TE-44</v>
      </c>
      <c r="O4482">
        <f>COUNTIFS(F$1:F4482,F4482,A$1:A4482,A4482)</f>
        <v>57</v>
      </c>
      <c r="P4482" t="str">
        <f t="shared" si="209"/>
        <v>Jonnu Smith12</v>
      </c>
    </row>
    <row r="4483" spans="1:16" x14ac:dyDescent="0.25">
      <c r="A4483">
        <v>16</v>
      </c>
      <c r="B4483" t="s">
        <v>1495</v>
      </c>
      <c r="C4483" t="s">
        <v>8582</v>
      </c>
      <c r="D4483">
        <v>1.6</v>
      </c>
      <c r="E4483" t="s">
        <v>60</v>
      </c>
      <c r="F4483" t="s">
        <v>114</v>
      </c>
      <c r="G4483">
        <v>3.12</v>
      </c>
      <c r="H4483">
        <v>0.08</v>
      </c>
      <c r="I4483">
        <v>1.52</v>
      </c>
      <c r="J4483">
        <v>2.3104</v>
      </c>
      <c r="K4483" t="str">
        <f>IFERROR(INDEX(Rosters!$C$2:$C$155,MATCH($B4483,Rosters!$B$2:$B$155,0)),"NA")</f>
        <v>NA</v>
      </c>
      <c r="L4483" t="str">
        <f t="shared" ref="L4483:L4546" si="210">K4483&amp;A4483&amp;F4483</f>
        <v>NA16TE</v>
      </c>
      <c r="M4483">
        <f>COUNTIF(L$1:L4483,L4483)</f>
        <v>46</v>
      </c>
      <c r="N4483" t="str">
        <f t="shared" ref="N4483:N4546" si="211">L4483&amp;"-"&amp;M4483</f>
        <v>NA16TE-46</v>
      </c>
      <c r="O4483">
        <f>COUNTIFS(F$1:F4483,F4483,A$1:A4483,A4483)</f>
        <v>60</v>
      </c>
      <c r="P4483" t="str">
        <f t="shared" ref="P4483:P4546" si="212">B4483&amp;A4483</f>
        <v>Jonnu Smith16</v>
      </c>
    </row>
    <row r="4484" spans="1:16" x14ac:dyDescent="0.25">
      <c r="A4484">
        <v>2</v>
      </c>
      <c r="B4484" t="s">
        <v>288</v>
      </c>
      <c r="C4484" t="s">
        <v>1161</v>
      </c>
      <c r="D4484">
        <v>1.6</v>
      </c>
      <c r="E4484" t="s">
        <v>25</v>
      </c>
      <c r="F4484" t="s">
        <v>114</v>
      </c>
      <c r="G4484">
        <v>2.92</v>
      </c>
      <c r="H4484">
        <v>0.28000000000000003</v>
      </c>
      <c r="I4484">
        <v>1.32</v>
      </c>
      <c r="J4484">
        <v>1.7423999999999999</v>
      </c>
      <c r="K4484" t="str">
        <f>IFERROR(INDEX(Rosters!$C$2:$C$155,MATCH($B4484,Rosters!$B$2:$B$155,0)),"NA")</f>
        <v>NA</v>
      </c>
      <c r="L4484" t="str">
        <f t="shared" si="210"/>
        <v>NA2TE</v>
      </c>
      <c r="M4484">
        <f>COUNTIF(L$1:L4484,L4484)</f>
        <v>33</v>
      </c>
      <c r="N4484" t="str">
        <f t="shared" si="211"/>
        <v>NA2TE-33</v>
      </c>
      <c r="O4484">
        <f>COUNTIFS(F$1:F4484,F4484,A$1:A4484,A4484)</f>
        <v>46</v>
      </c>
      <c r="P4484" t="str">
        <f t="shared" si="212"/>
        <v>Marcedes Lewis2</v>
      </c>
    </row>
    <row r="4485" spans="1:16" x14ac:dyDescent="0.25">
      <c r="A4485">
        <v>4</v>
      </c>
      <c r="B4485" t="s">
        <v>1540</v>
      </c>
      <c r="C4485" t="s">
        <v>4652</v>
      </c>
      <c r="D4485">
        <v>1.6</v>
      </c>
      <c r="E4485" t="s">
        <v>77</v>
      </c>
      <c r="F4485" t="s">
        <v>87</v>
      </c>
      <c r="G4485">
        <v>2.89</v>
      </c>
      <c r="H4485">
        <v>0.31</v>
      </c>
      <c r="I4485">
        <v>1.29</v>
      </c>
      <c r="J4485">
        <v>1.6640999999999999</v>
      </c>
      <c r="K4485" t="str">
        <f>IFERROR(INDEX(Rosters!$C$2:$C$155,MATCH($B4485,Rosters!$B$2:$B$155,0)),"NA")</f>
        <v>NA</v>
      </c>
      <c r="L4485" t="str">
        <f t="shared" si="210"/>
        <v>NA4WR</v>
      </c>
      <c r="M4485">
        <f>COUNTIF(L$1:L4485,L4485)</f>
        <v>49</v>
      </c>
      <c r="N4485" t="str">
        <f t="shared" si="211"/>
        <v>NA4WR-49</v>
      </c>
      <c r="O4485">
        <f>COUNTIFS(F$1:F4485,F4485,A$1:A4485,A4485)</f>
        <v>99</v>
      </c>
      <c r="P4485" t="str">
        <f t="shared" si="212"/>
        <v>Ryan Switzer4</v>
      </c>
    </row>
    <row r="4486" spans="1:16" x14ac:dyDescent="0.25">
      <c r="A4486">
        <v>11</v>
      </c>
      <c r="B4486" t="s">
        <v>121</v>
      </c>
      <c r="C4486" t="s">
        <v>8583</v>
      </c>
      <c r="D4486">
        <v>1.59</v>
      </c>
      <c r="E4486" t="s">
        <v>74</v>
      </c>
      <c r="F4486" t="s">
        <v>47</v>
      </c>
      <c r="G4486">
        <v>2.87</v>
      </c>
      <c r="H4486">
        <v>0.31</v>
      </c>
      <c r="I4486">
        <v>1.28</v>
      </c>
      <c r="J4486">
        <v>1.6384000000000001</v>
      </c>
      <c r="K4486" t="str">
        <f>IFERROR(INDEX(Rosters!$C$2:$C$155,MATCH($B4486,Rosters!$B$2:$B$155,0)),"NA")</f>
        <v>NA</v>
      </c>
      <c r="L4486" t="str">
        <f t="shared" si="210"/>
        <v>NA11RB</v>
      </c>
      <c r="M4486">
        <f>COUNTIF(L$1:L4486,L4486)</f>
        <v>28</v>
      </c>
      <c r="N4486" t="str">
        <f t="shared" si="211"/>
        <v>NA11RB-28</v>
      </c>
      <c r="O4486">
        <f>COUNTIFS(F$1:F4486,F4486,A$1:A4486,A4486)</f>
        <v>66</v>
      </c>
      <c r="P4486" t="str">
        <f t="shared" si="212"/>
        <v>Ameer Abdullah11</v>
      </c>
    </row>
    <row r="4487" spans="1:16" x14ac:dyDescent="0.25">
      <c r="A4487">
        <v>5</v>
      </c>
      <c r="B4487" t="s">
        <v>4208</v>
      </c>
      <c r="C4487">
        <f>-0.28-3.46</f>
        <v>-3.74</v>
      </c>
      <c r="D4487">
        <v>1.59</v>
      </c>
      <c r="E4487" t="s">
        <v>36</v>
      </c>
      <c r="F4487" t="s">
        <v>114</v>
      </c>
      <c r="G4487">
        <v>3.46</v>
      </c>
      <c r="H4487">
        <v>-0.28000000000000003</v>
      </c>
      <c r="I4487">
        <v>1.87</v>
      </c>
      <c r="J4487">
        <v>3.4969000000000001</v>
      </c>
      <c r="K4487" t="str">
        <f>IFERROR(INDEX(Rosters!$C$2:$C$155,MATCH($B4487,Rosters!$B$2:$B$155,0)),"NA")</f>
        <v>NA</v>
      </c>
      <c r="L4487" t="str">
        <f t="shared" si="210"/>
        <v>NA5TE</v>
      </c>
      <c r="M4487">
        <f>COUNTIF(L$1:L4487,L4487)</f>
        <v>43</v>
      </c>
      <c r="N4487" t="str">
        <f t="shared" si="211"/>
        <v>NA5TE-43</v>
      </c>
      <c r="O4487">
        <f>COUNTIFS(F$1:F4487,F4487,A$1:A4487,A4487)</f>
        <v>54</v>
      </c>
      <c r="P4487" t="str">
        <f t="shared" si="212"/>
        <v>Blake Jarwin5</v>
      </c>
    </row>
    <row r="4488" spans="1:16" x14ac:dyDescent="0.25">
      <c r="A4488">
        <v>7</v>
      </c>
      <c r="B4488" t="s">
        <v>8584</v>
      </c>
      <c r="C4488" t="s">
        <v>8585</v>
      </c>
      <c r="D4488">
        <v>1.59</v>
      </c>
      <c r="E4488" t="s">
        <v>14</v>
      </c>
      <c r="F4488" t="s">
        <v>47</v>
      </c>
      <c r="G4488">
        <v>2.8</v>
      </c>
      <c r="H4488">
        <v>0.38</v>
      </c>
      <c r="I4488">
        <v>1.21</v>
      </c>
      <c r="J4488">
        <v>1.4641</v>
      </c>
      <c r="K4488" t="str">
        <f>IFERROR(INDEX(Rosters!$C$2:$C$155,MATCH($B4488,Rosters!$B$2:$B$155,0)),"NA")</f>
        <v>NA</v>
      </c>
      <c r="L4488" t="str">
        <f t="shared" si="210"/>
        <v>NA7RB</v>
      </c>
      <c r="M4488">
        <f>COUNTIF(L$1:L4488,L4488)</f>
        <v>25</v>
      </c>
      <c r="N4488" t="str">
        <f t="shared" si="211"/>
        <v>NA7RB-25</v>
      </c>
      <c r="O4488">
        <f>COUNTIFS(F$1:F4488,F4488,A$1:A4488,A4488)</f>
        <v>66</v>
      </c>
      <c r="P4488" t="str">
        <f t="shared" si="212"/>
        <v>De'Lance Turner7</v>
      </c>
    </row>
    <row r="4489" spans="1:16" x14ac:dyDescent="0.25">
      <c r="A4489">
        <v>8</v>
      </c>
      <c r="B4489" t="s">
        <v>320</v>
      </c>
      <c r="C4489" t="s">
        <v>8586</v>
      </c>
      <c r="D4489">
        <v>1.59</v>
      </c>
      <c r="E4489" t="s">
        <v>72</v>
      </c>
      <c r="F4489" t="s">
        <v>47</v>
      </c>
      <c r="G4489">
        <v>3.16</v>
      </c>
      <c r="H4489">
        <v>0.02</v>
      </c>
      <c r="I4489">
        <v>1.57</v>
      </c>
      <c r="J4489">
        <v>2.4649000000000001</v>
      </c>
      <c r="K4489" t="str">
        <f>IFERROR(INDEX(Rosters!$C$2:$C$155,MATCH($B4489,Rosters!$B$2:$B$155,0)),"NA")</f>
        <v>NA</v>
      </c>
      <c r="L4489" t="str">
        <f t="shared" si="210"/>
        <v>NA8RB</v>
      </c>
      <c r="M4489">
        <f>COUNTIF(L$1:L4489,L4489)</f>
        <v>29</v>
      </c>
      <c r="N4489" t="str">
        <f t="shared" si="211"/>
        <v>NA8RB-29</v>
      </c>
      <c r="O4489">
        <f>COUNTIFS(F$1:F4489,F4489,A$1:A4489,A4489)</f>
        <v>69</v>
      </c>
      <c r="P4489" t="str">
        <f t="shared" si="212"/>
        <v>Elijah McGuire8</v>
      </c>
    </row>
    <row r="4490" spans="1:16" x14ac:dyDescent="0.25">
      <c r="A4490">
        <v>4</v>
      </c>
      <c r="B4490" t="s">
        <v>1495</v>
      </c>
      <c r="C4490">
        <f>-0.22-3.4</f>
        <v>-3.62</v>
      </c>
      <c r="D4490">
        <v>1.59</v>
      </c>
      <c r="E4490" t="s">
        <v>50</v>
      </c>
      <c r="F4490" t="s">
        <v>114</v>
      </c>
      <c r="G4490">
        <v>3.4</v>
      </c>
      <c r="H4490">
        <v>-0.22</v>
      </c>
      <c r="I4490">
        <v>1.81</v>
      </c>
      <c r="J4490">
        <v>3.2761</v>
      </c>
      <c r="K4490" t="str">
        <f>IFERROR(INDEX(Rosters!$C$2:$C$155,MATCH($B4490,Rosters!$B$2:$B$155,0)),"NA")</f>
        <v>NA</v>
      </c>
      <c r="L4490" t="str">
        <f t="shared" si="210"/>
        <v>NA4TE</v>
      </c>
      <c r="M4490">
        <f>COUNTIF(L$1:L4490,L4490)</f>
        <v>41</v>
      </c>
      <c r="N4490" t="str">
        <f t="shared" si="211"/>
        <v>NA4TE-41</v>
      </c>
      <c r="O4490">
        <f>COUNTIFS(F$1:F4490,F4490,A$1:A4490,A4490)</f>
        <v>52</v>
      </c>
      <c r="P4490" t="str">
        <f t="shared" si="212"/>
        <v>Jonnu Smith4</v>
      </c>
    </row>
    <row r="4491" spans="1:16" x14ac:dyDescent="0.25">
      <c r="A4491">
        <v>2</v>
      </c>
      <c r="B4491" t="s">
        <v>287</v>
      </c>
      <c r="C4491">
        <f>-0.67-3.85</f>
        <v>-4.5200000000000005</v>
      </c>
      <c r="D4491">
        <v>1.59</v>
      </c>
      <c r="E4491" t="s">
        <v>52</v>
      </c>
      <c r="F4491" t="s">
        <v>114</v>
      </c>
      <c r="G4491">
        <v>3.85</v>
      </c>
      <c r="H4491">
        <v>-0.67</v>
      </c>
      <c r="I4491">
        <v>2.2599999999999998</v>
      </c>
      <c r="J4491">
        <v>5.1075999999999997</v>
      </c>
      <c r="K4491" t="str">
        <f>IFERROR(INDEX(Rosters!$C$2:$C$155,MATCH($B4491,Rosters!$B$2:$B$155,0)),"NA")</f>
        <v>NA</v>
      </c>
      <c r="L4491" t="str">
        <f t="shared" si="210"/>
        <v>NA2TE</v>
      </c>
      <c r="M4491">
        <f>COUNTIF(L$1:L4491,L4491)</f>
        <v>34</v>
      </c>
      <c r="N4491" t="str">
        <f t="shared" si="211"/>
        <v>NA2TE-34</v>
      </c>
      <c r="O4491">
        <f>COUNTIFS(F$1:F4491,F4491,A$1:A4491,A4491)</f>
        <v>47</v>
      </c>
      <c r="P4491" t="str">
        <f t="shared" si="212"/>
        <v>Josh Hill2</v>
      </c>
    </row>
    <row r="4492" spans="1:16" x14ac:dyDescent="0.25">
      <c r="A4492">
        <v>14</v>
      </c>
      <c r="B4492" t="s">
        <v>1458</v>
      </c>
      <c r="C4492" t="s">
        <v>8587</v>
      </c>
      <c r="D4492">
        <v>1.59</v>
      </c>
      <c r="E4492" t="s">
        <v>423</v>
      </c>
      <c r="F4492" t="s">
        <v>47</v>
      </c>
      <c r="G4492">
        <v>3.03</v>
      </c>
      <c r="H4492">
        <v>0.15</v>
      </c>
      <c r="I4492">
        <v>1.44</v>
      </c>
      <c r="J4492">
        <v>2.0735999999999999</v>
      </c>
      <c r="K4492" t="str">
        <f>IFERROR(INDEX(Rosters!$C$2:$C$155,MATCH($B4492,Rosters!$B$2:$B$155,0)),"NA")</f>
        <v>NA</v>
      </c>
      <c r="L4492" t="str">
        <f t="shared" si="210"/>
        <v>NA14RB</v>
      </c>
      <c r="M4492">
        <f>COUNTIF(L$1:L4492,L4492)</f>
        <v>33</v>
      </c>
      <c r="N4492" t="str">
        <f t="shared" si="211"/>
        <v>NA14RB-33</v>
      </c>
      <c r="O4492">
        <f>COUNTIFS(F$1:F4492,F4492,A$1:A4492,A4492)</f>
        <v>80</v>
      </c>
      <c r="P4492" t="str">
        <f t="shared" si="212"/>
        <v>Kalen Ballage14</v>
      </c>
    </row>
    <row r="4493" spans="1:16" x14ac:dyDescent="0.25">
      <c r="A4493">
        <v>7</v>
      </c>
      <c r="B4493" t="s">
        <v>263</v>
      </c>
      <c r="C4493" t="s">
        <v>8588</v>
      </c>
      <c r="D4493">
        <v>1.59</v>
      </c>
      <c r="E4493" t="s">
        <v>19</v>
      </c>
      <c r="F4493" t="s">
        <v>87</v>
      </c>
      <c r="G4493">
        <v>3.05</v>
      </c>
      <c r="H4493">
        <v>0.13</v>
      </c>
      <c r="I4493">
        <v>1.46</v>
      </c>
      <c r="J4493">
        <v>2.1316000000000002</v>
      </c>
      <c r="K4493" t="str">
        <f>IFERROR(INDEX(Rosters!$C$2:$C$155,MATCH($B4493,Rosters!$B$2:$B$155,0)),"NA")</f>
        <v>NA</v>
      </c>
      <c r="L4493" t="str">
        <f t="shared" si="210"/>
        <v>NA7WR</v>
      </c>
      <c r="M4493">
        <f>COUNTIF(L$1:L4493,L4493)</f>
        <v>56</v>
      </c>
      <c r="N4493" t="str">
        <f t="shared" si="211"/>
        <v>NA7WR-56</v>
      </c>
      <c r="O4493">
        <f>COUNTIFS(F$1:F4493,F4493,A$1:A4493,A4493)</f>
        <v>101</v>
      </c>
      <c r="P4493" t="str">
        <f t="shared" si="212"/>
        <v>T.J. Jones7</v>
      </c>
    </row>
    <row r="4494" spans="1:16" x14ac:dyDescent="0.25">
      <c r="A4494">
        <v>8</v>
      </c>
      <c r="B4494" t="s">
        <v>263</v>
      </c>
      <c r="C4494">
        <f>-0.23-3.41</f>
        <v>-3.64</v>
      </c>
      <c r="D4494">
        <v>1.59</v>
      </c>
      <c r="E4494" t="s">
        <v>28</v>
      </c>
      <c r="F4494" t="s">
        <v>87</v>
      </c>
      <c r="G4494">
        <v>3.41</v>
      </c>
      <c r="H4494">
        <v>-0.23</v>
      </c>
      <c r="I4494">
        <v>1.82</v>
      </c>
      <c r="J4494">
        <v>3.3123999999999998</v>
      </c>
      <c r="K4494" t="str">
        <f>IFERROR(INDEX(Rosters!$C$2:$C$155,MATCH($B4494,Rosters!$B$2:$B$155,0)),"NA")</f>
        <v>NA</v>
      </c>
      <c r="L4494" t="str">
        <f t="shared" si="210"/>
        <v>NA8WR</v>
      </c>
      <c r="M4494">
        <f>COUNTIF(L$1:L4494,L4494)</f>
        <v>52</v>
      </c>
      <c r="N4494" t="str">
        <f t="shared" si="211"/>
        <v>NA8WR-52</v>
      </c>
      <c r="O4494">
        <f>COUNTIFS(F$1:F4494,F4494,A$1:A4494,A4494)</f>
        <v>101</v>
      </c>
      <c r="P4494" t="str">
        <f t="shared" si="212"/>
        <v>T.J. Jones8</v>
      </c>
    </row>
    <row r="4495" spans="1:16" x14ac:dyDescent="0.25">
      <c r="A4495">
        <v>17</v>
      </c>
      <c r="B4495" t="s">
        <v>268</v>
      </c>
      <c r="C4495">
        <f>-0.03-3.21</f>
        <v>-3.2399999999999998</v>
      </c>
      <c r="D4495">
        <v>1.59</v>
      </c>
      <c r="E4495" t="s">
        <v>22</v>
      </c>
      <c r="F4495" t="s">
        <v>47</v>
      </c>
      <c r="G4495">
        <v>3.21</v>
      </c>
      <c r="H4495">
        <v>-0.03</v>
      </c>
      <c r="I4495">
        <v>1.62</v>
      </c>
      <c r="J4495">
        <v>2.6244000000000001</v>
      </c>
      <c r="K4495" t="str">
        <f>IFERROR(INDEX(Rosters!$C$2:$C$155,MATCH($B4495,Rosters!$B$2:$B$155,0)),"NA")</f>
        <v>NA</v>
      </c>
      <c r="L4495" t="str">
        <f t="shared" si="210"/>
        <v>NA17RB</v>
      </c>
      <c r="M4495">
        <f>COUNTIF(L$1:L4495,L4495)</f>
        <v>34</v>
      </c>
      <c r="N4495" t="str">
        <f t="shared" si="211"/>
        <v>NA17RB-34</v>
      </c>
      <c r="O4495">
        <f>COUNTIFS(F$1:F4495,F4495,A$1:A4495,A4495)</f>
        <v>81</v>
      </c>
      <c r="P4495" t="str">
        <f t="shared" si="212"/>
        <v>Wayne Gallman17</v>
      </c>
    </row>
    <row r="4496" spans="1:16" x14ac:dyDescent="0.25">
      <c r="A4496">
        <v>13</v>
      </c>
      <c r="B4496" t="s">
        <v>283</v>
      </c>
      <c r="C4496">
        <f>-0.76-3.92</f>
        <v>-4.68</v>
      </c>
      <c r="D4496">
        <v>1.58</v>
      </c>
      <c r="E4496" t="s">
        <v>25</v>
      </c>
      <c r="F4496" t="s">
        <v>87</v>
      </c>
      <c r="G4496">
        <v>3.92</v>
      </c>
      <c r="H4496">
        <v>-0.76</v>
      </c>
      <c r="I4496">
        <v>2.34</v>
      </c>
      <c r="J4496">
        <v>5.4756</v>
      </c>
      <c r="K4496" t="str">
        <f>IFERROR(INDEX(Rosters!$C$2:$C$155,MATCH($B4496,Rosters!$B$2:$B$155,0)),"NA")</f>
        <v>NA</v>
      </c>
      <c r="L4496" t="str">
        <f t="shared" si="210"/>
        <v>NA13WR</v>
      </c>
      <c r="M4496">
        <f>COUNTIF(L$1:L4496,L4496)</f>
        <v>64</v>
      </c>
      <c r="N4496" t="str">
        <f t="shared" si="211"/>
        <v>NA13WR-64</v>
      </c>
      <c r="O4496">
        <f>COUNTIFS(F$1:F4496,F4496,A$1:A4496,A4496)</f>
        <v>118</v>
      </c>
      <c r="P4496" t="str">
        <f t="shared" si="212"/>
        <v>Cordarrelle Patterson13</v>
      </c>
    </row>
    <row r="4497" spans="1:16" x14ac:dyDescent="0.25">
      <c r="A4497">
        <v>1</v>
      </c>
      <c r="B4497" t="s">
        <v>1503</v>
      </c>
      <c r="C4497">
        <f>-0.09-3.25</f>
        <v>-3.34</v>
      </c>
      <c r="D4497">
        <v>1.58</v>
      </c>
      <c r="E4497" t="s">
        <v>54</v>
      </c>
      <c r="F4497" t="s">
        <v>87</v>
      </c>
      <c r="G4497">
        <v>3.25</v>
      </c>
      <c r="H4497">
        <v>-0.09</v>
      </c>
      <c r="I4497">
        <v>1.67</v>
      </c>
      <c r="J4497">
        <v>2.7888999999999999</v>
      </c>
      <c r="K4497" t="str">
        <f>IFERROR(INDEX(Rosters!$C$2:$C$155,MATCH($B4497,Rosters!$B$2:$B$155,0)),"NA")</f>
        <v>NA</v>
      </c>
      <c r="L4497" t="str">
        <f t="shared" si="210"/>
        <v>NA1WR</v>
      </c>
      <c r="M4497">
        <f>COUNTIF(L$1:L4497,L4497)</f>
        <v>54</v>
      </c>
      <c r="N4497" t="str">
        <f t="shared" si="211"/>
        <v>NA1WR-54</v>
      </c>
      <c r="O4497">
        <f>COUNTIFS(F$1:F4497,F4497,A$1:A4497,A4497)</f>
        <v>103</v>
      </c>
      <c r="P4497" t="str">
        <f t="shared" si="212"/>
        <v>D.J. Chark1</v>
      </c>
    </row>
    <row r="4498" spans="1:16" x14ac:dyDescent="0.25">
      <c r="A4498">
        <v>5</v>
      </c>
      <c r="B4498" t="s">
        <v>275</v>
      </c>
      <c r="C4498" t="s">
        <v>8589</v>
      </c>
      <c r="D4498">
        <v>1.58</v>
      </c>
      <c r="E4498" t="s">
        <v>73</v>
      </c>
      <c r="F4498" t="s">
        <v>47</v>
      </c>
      <c r="G4498">
        <v>2.9</v>
      </c>
      <c r="H4498">
        <v>0.26</v>
      </c>
      <c r="I4498">
        <v>1.32</v>
      </c>
      <c r="J4498">
        <v>1.7423999999999999</v>
      </c>
      <c r="K4498" t="str">
        <f>IFERROR(INDEX(Rosters!$C$2:$C$155,MATCH($B4498,Rosters!$B$2:$B$155,0)),"NA")</f>
        <v>NA</v>
      </c>
      <c r="L4498" t="str">
        <f t="shared" si="210"/>
        <v>NA5RB</v>
      </c>
      <c r="M4498">
        <f>COUNTIF(L$1:L4498,L4498)</f>
        <v>28</v>
      </c>
      <c r="N4498" t="str">
        <f t="shared" si="211"/>
        <v>NA5RB-28</v>
      </c>
      <c r="O4498">
        <f>COUNTIFS(F$1:F4498,F4498,A$1:A4498,A4498)</f>
        <v>71</v>
      </c>
      <c r="P4498" t="str">
        <f t="shared" si="212"/>
        <v>Devontae Booker5</v>
      </c>
    </row>
    <row r="4499" spans="1:16" x14ac:dyDescent="0.25">
      <c r="A4499">
        <v>7</v>
      </c>
      <c r="B4499" t="s">
        <v>275</v>
      </c>
      <c r="C4499" t="s">
        <v>8590</v>
      </c>
      <c r="D4499">
        <v>1.58</v>
      </c>
      <c r="E4499" t="s">
        <v>58</v>
      </c>
      <c r="F4499" t="s">
        <v>47</v>
      </c>
      <c r="G4499">
        <v>2.99</v>
      </c>
      <c r="H4499">
        <v>0.17</v>
      </c>
      <c r="I4499">
        <v>1.41</v>
      </c>
      <c r="J4499">
        <v>1.9881</v>
      </c>
      <c r="K4499" t="str">
        <f>IFERROR(INDEX(Rosters!$C$2:$C$155,MATCH($B4499,Rosters!$B$2:$B$155,0)),"NA")</f>
        <v>NA</v>
      </c>
      <c r="L4499" t="str">
        <f t="shared" si="210"/>
        <v>NA7RB</v>
      </c>
      <c r="M4499">
        <f>COUNTIF(L$1:L4499,L4499)</f>
        <v>26</v>
      </c>
      <c r="N4499" t="str">
        <f t="shared" si="211"/>
        <v>NA7RB-26</v>
      </c>
      <c r="O4499">
        <f>COUNTIFS(F$1:F4499,F4499,A$1:A4499,A4499)</f>
        <v>67</v>
      </c>
      <c r="P4499" t="str">
        <f t="shared" si="212"/>
        <v>Devontae Booker7</v>
      </c>
    </row>
    <row r="4500" spans="1:16" x14ac:dyDescent="0.25">
      <c r="A4500">
        <v>2</v>
      </c>
      <c r="B4500" t="s">
        <v>308</v>
      </c>
      <c r="C4500">
        <f>-0.75-3.91</f>
        <v>-4.66</v>
      </c>
      <c r="D4500">
        <v>1.58</v>
      </c>
      <c r="E4500" t="s">
        <v>32</v>
      </c>
      <c r="F4500" t="s">
        <v>114</v>
      </c>
      <c r="G4500">
        <v>3.91</v>
      </c>
      <c r="H4500">
        <v>-0.75</v>
      </c>
      <c r="I4500">
        <v>2.33</v>
      </c>
      <c r="J4500">
        <v>5.4288999999999996</v>
      </c>
      <c r="K4500" t="str">
        <f>IFERROR(INDEX(Rosters!$C$2:$C$155,MATCH($B4500,Rosters!$B$2:$B$155,0)),"NA")</f>
        <v>NA</v>
      </c>
      <c r="L4500" t="str">
        <f t="shared" si="210"/>
        <v>NA2TE</v>
      </c>
      <c r="M4500">
        <f>COUNTIF(L$1:L4500,L4500)</f>
        <v>35</v>
      </c>
      <c r="N4500" t="str">
        <f t="shared" si="211"/>
        <v>NA2TE-35</v>
      </c>
      <c r="O4500">
        <f>COUNTIFS(F$1:F4500,F4500,A$1:A4500,A4500)</f>
        <v>48</v>
      </c>
      <c r="P4500" t="str">
        <f t="shared" si="212"/>
        <v>Jeff Heuerman2</v>
      </c>
    </row>
    <row r="4501" spans="1:16" x14ac:dyDescent="0.25">
      <c r="A4501">
        <v>5</v>
      </c>
      <c r="B4501" t="s">
        <v>327</v>
      </c>
      <c r="C4501">
        <f>-0.44-3.6</f>
        <v>-4.04</v>
      </c>
      <c r="D4501">
        <v>1.58</v>
      </c>
      <c r="E4501" t="s">
        <v>46</v>
      </c>
      <c r="F4501" t="s">
        <v>87</v>
      </c>
      <c r="G4501">
        <v>3.6</v>
      </c>
      <c r="H4501">
        <v>-0.44</v>
      </c>
      <c r="I4501">
        <v>2.02</v>
      </c>
      <c r="J4501">
        <v>4.0804</v>
      </c>
      <c r="K4501" t="str">
        <f>IFERROR(INDEX(Rosters!$C$2:$C$155,MATCH($B4501,Rosters!$B$2:$B$155,0)),"NA")</f>
        <v>NA</v>
      </c>
      <c r="L4501" t="str">
        <f t="shared" si="210"/>
        <v>NA5WR</v>
      </c>
      <c r="M4501">
        <f>COUNTIF(L$1:L4501,L4501)</f>
        <v>61</v>
      </c>
      <c r="N4501" t="str">
        <f t="shared" si="211"/>
        <v>NA5WR-61</v>
      </c>
      <c r="O4501">
        <f>COUNTIFS(F$1:F4501,F4501,A$1:A4501,A4501)</f>
        <v>111</v>
      </c>
      <c r="P4501" t="str">
        <f t="shared" si="212"/>
        <v>Justin Hunter5</v>
      </c>
    </row>
    <row r="4502" spans="1:16" x14ac:dyDescent="0.25">
      <c r="A4502">
        <v>14</v>
      </c>
      <c r="B4502" t="s">
        <v>1130</v>
      </c>
      <c r="C4502">
        <f>-0.14-3.3</f>
        <v>-3.44</v>
      </c>
      <c r="D4502">
        <v>1.58</v>
      </c>
      <c r="E4502" t="s">
        <v>29</v>
      </c>
      <c r="F4502" t="s">
        <v>114</v>
      </c>
      <c r="G4502">
        <v>3.3</v>
      </c>
      <c r="H4502">
        <v>-0.14000000000000001</v>
      </c>
      <c r="I4502">
        <v>1.72</v>
      </c>
      <c r="J4502">
        <v>2.9584000000000001</v>
      </c>
      <c r="K4502" t="str">
        <f>IFERROR(INDEX(Rosters!$C$2:$C$155,MATCH($B4502,Rosters!$B$2:$B$155,0)),"NA")</f>
        <v>NA</v>
      </c>
      <c r="L4502" t="str">
        <f t="shared" si="210"/>
        <v>NA14TE</v>
      </c>
      <c r="M4502">
        <f>COUNTIF(L$1:L4502,L4502)</f>
        <v>48</v>
      </c>
      <c r="N4502" t="str">
        <f t="shared" si="211"/>
        <v>NA14TE-48</v>
      </c>
      <c r="O4502">
        <f>COUNTIFS(F$1:F4502,F4502,A$1:A4502,A4502)</f>
        <v>62</v>
      </c>
      <c r="P4502" t="str">
        <f t="shared" si="212"/>
        <v>Neal Sterling14</v>
      </c>
    </row>
    <row r="4503" spans="1:16" x14ac:dyDescent="0.25">
      <c r="A4503">
        <v>15</v>
      </c>
      <c r="B4503" t="s">
        <v>1336</v>
      </c>
      <c r="C4503">
        <f>-0.08-3.24</f>
        <v>-3.3200000000000003</v>
      </c>
      <c r="D4503">
        <v>1.58</v>
      </c>
      <c r="E4503" t="s">
        <v>30</v>
      </c>
      <c r="F4503" t="s">
        <v>47</v>
      </c>
      <c r="G4503">
        <v>3.24</v>
      </c>
      <c r="H4503">
        <v>-0.08</v>
      </c>
      <c r="I4503">
        <v>1.66</v>
      </c>
      <c r="J4503">
        <v>2.7555999999999998</v>
      </c>
      <c r="K4503" t="str">
        <f>IFERROR(INDEX(Rosters!$C$2:$C$155,MATCH($B4503,Rosters!$B$2:$B$155,0)),"NA")</f>
        <v>NA</v>
      </c>
      <c r="L4503" t="str">
        <f t="shared" si="210"/>
        <v>NA15RB</v>
      </c>
      <c r="M4503">
        <f>COUNTIF(L$1:L4503,L4503)</f>
        <v>31</v>
      </c>
      <c r="N4503" t="str">
        <f t="shared" si="211"/>
        <v>NA15RB-31</v>
      </c>
      <c r="O4503">
        <f>COUNTIFS(F$1:F4503,F4503,A$1:A4503,A4503)</f>
        <v>78</v>
      </c>
      <c r="P4503" t="str">
        <f t="shared" si="212"/>
        <v>Rashaad Penny15</v>
      </c>
    </row>
    <row r="4504" spans="1:16" x14ac:dyDescent="0.25">
      <c r="A4504">
        <v>6</v>
      </c>
      <c r="B4504" t="s">
        <v>259</v>
      </c>
      <c r="C4504" t="s">
        <v>8591</v>
      </c>
      <c r="D4504">
        <v>1.58</v>
      </c>
      <c r="E4504" t="s">
        <v>50</v>
      </c>
      <c r="F4504" t="s">
        <v>87</v>
      </c>
      <c r="G4504">
        <v>2.93</v>
      </c>
      <c r="H4504">
        <v>0.23</v>
      </c>
      <c r="I4504">
        <v>1.35</v>
      </c>
      <c r="J4504">
        <v>1.8225</v>
      </c>
      <c r="K4504" t="str">
        <f>IFERROR(INDEX(Rosters!$C$2:$C$155,MATCH($B4504,Rosters!$B$2:$B$155,0)),"NA")</f>
        <v>NA</v>
      </c>
      <c r="L4504" t="str">
        <f t="shared" si="210"/>
        <v>NA6WR</v>
      </c>
      <c r="M4504">
        <f>COUNTIF(L$1:L4504,L4504)</f>
        <v>59</v>
      </c>
      <c r="N4504" t="str">
        <f t="shared" si="211"/>
        <v>NA6WR-59</v>
      </c>
      <c r="O4504">
        <f>COUNTIFS(F$1:F4504,F4504,A$1:A4504,A4504)</f>
        <v>109</v>
      </c>
      <c r="P4504" t="str">
        <f t="shared" si="212"/>
        <v>Russell Shepard6</v>
      </c>
    </row>
    <row r="4505" spans="1:16" x14ac:dyDescent="0.25">
      <c r="A4505">
        <v>7</v>
      </c>
      <c r="B4505" t="s">
        <v>268</v>
      </c>
      <c r="C4505">
        <f>-0.54-3.7</f>
        <v>-4.24</v>
      </c>
      <c r="D4505">
        <v>1.58</v>
      </c>
      <c r="E4505" t="s">
        <v>46</v>
      </c>
      <c r="F4505" t="s">
        <v>47</v>
      </c>
      <c r="G4505">
        <v>3.7</v>
      </c>
      <c r="H4505">
        <v>-0.54</v>
      </c>
      <c r="I4505">
        <v>2.12</v>
      </c>
      <c r="J4505">
        <v>4.4943999999999997</v>
      </c>
      <c r="K4505" t="str">
        <f>IFERROR(INDEX(Rosters!$C$2:$C$155,MATCH($B4505,Rosters!$B$2:$B$155,0)),"NA")</f>
        <v>NA</v>
      </c>
      <c r="L4505" t="str">
        <f t="shared" si="210"/>
        <v>NA7RB</v>
      </c>
      <c r="M4505">
        <f>COUNTIF(L$1:L4505,L4505)</f>
        <v>27</v>
      </c>
      <c r="N4505" t="str">
        <f t="shared" si="211"/>
        <v>NA7RB-27</v>
      </c>
      <c r="O4505">
        <f>COUNTIFS(F$1:F4505,F4505,A$1:A4505,A4505)</f>
        <v>68</v>
      </c>
      <c r="P4505" t="str">
        <f t="shared" si="212"/>
        <v>Wayne Gallman7</v>
      </c>
    </row>
    <row r="4506" spans="1:16" x14ac:dyDescent="0.25">
      <c r="A4506">
        <v>15</v>
      </c>
      <c r="B4506" t="s">
        <v>268</v>
      </c>
      <c r="C4506" t="s">
        <v>8592</v>
      </c>
      <c r="D4506">
        <v>1.58</v>
      </c>
      <c r="E4506" t="s">
        <v>38</v>
      </c>
      <c r="F4506" t="s">
        <v>47</v>
      </c>
      <c r="G4506">
        <v>2.89</v>
      </c>
      <c r="H4506">
        <v>0.27</v>
      </c>
      <c r="I4506">
        <v>1.31</v>
      </c>
      <c r="J4506">
        <v>1.7161</v>
      </c>
      <c r="K4506" t="str">
        <f>IFERROR(INDEX(Rosters!$C$2:$C$155,MATCH($B4506,Rosters!$B$2:$B$155,0)),"NA")</f>
        <v>NA</v>
      </c>
      <c r="L4506" t="str">
        <f t="shared" si="210"/>
        <v>NA15RB</v>
      </c>
      <c r="M4506">
        <f>COUNTIF(L$1:L4506,L4506)</f>
        <v>32</v>
      </c>
      <c r="N4506" t="str">
        <f t="shared" si="211"/>
        <v>NA15RB-32</v>
      </c>
      <c r="O4506">
        <f>COUNTIFS(F$1:F4506,F4506,A$1:A4506,A4506)</f>
        <v>79</v>
      </c>
      <c r="P4506" t="str">
        <f t="shared" si="212"/>
        <v>Wayne Gallman15</v>
      </c>
    </row>
    <row r="4507" spans="1:16" x14ac:dyDescent="0.25">
      <c r="A4507">
        <v>8</v>
      </c>
      <c r="B4507" t="s">
        <v>250</v>
      </c>
      <c r="C4507">
        <f>-0.29-3.45</f>
        <v>-3.74</v>
      </c>
      <c r="D4507">
        <v>1.58</v>
      </c>
      <c r="E4507" t="s">
        <v>76</v>
      </c>
      <c r="F4507" t="s">
        <v>47</v>
      </c>
      <c r="G4507">
        <v>3.45</v>
      </c>
      <c r="H4507">
        <v>-0.28999999999999998</v>
      </c>
      <c r="I4507">
        <v>1.87</v>
      </c>
      <c r="J4507">
        <v>3.4969000000000001</v>
      </c>
      <c r="K4507" t="str">
        <f>IFERROR(INDEX(Rosters!$C$2:$C$155,MATCH($B4507,Rosters!$B$2:$B$155,0)),"NA")</f>
        <v>NA</v>
      </c>
      <c r="L4507" t="str">
        <f t="shared" si="210"/>
        <v>NA8RB</v>
      </c>
      <c r="M4507">
        <f>COUNTIF(L$1:L4507,L4507)</f>
        <v>30</v>
      </c>
      <c r="N4507" t="str">
        <f t="shared" si="211"/>
        <v>NA8RB-30</v>
      </c>
      <c r="O4507">
        <f>COUNTIFS(F$1:F4507,F4507,A$1:A4507,A4507)</f>
        <v>70</v>
      </c>
      <c r="P4507" t="str">
        <f t="shared" si="212"/>
        <v>Wendell Smallwood8</v>
      </c>
    </row>
    <row r="4508" spans="1:16" x14ac:dyDescent="0.25">
      <c r="A4508">
        <v>13</v>
      </c>
      <c r="B4508" t="s">
        <v>351</v>
      </c>
      <c r="C4508">
        <f>-0.01-3.15</f>
        <v>-3.1599999999999997</v>
      </c>
      <c r="D4508">
        <v>1.57</v>
      </c>
      <c r="E4508" t="s">
        <v>17</v>
      </c>
      <c r="F4508" t="s">
        <v>47</v>
      </c>
      <c r="G4508">
        <v>3.15</v>
      </c>
      <c r="H4508">
        <v>-0.01</v>
      </c>
      <c r="I4508">
        <v>1.58</v>
      </c>
      <c r="J4508">
        <v>2.4964</v>
      </c>
      <c r="K4508" t="str">
        <f>IFERROR(INDEX(Rosters!$C$2:$C$155,MATCH($B4508,Rosters!$B$2:$B$155,0)),"NA")</f>
        <v>NA</v>
      </c>
      <c r="L4508" t="str">
        <f t="shared" si="210"/>
        <v>NA13RB</v>
      </c>
      <c r="M4508">
        <f>COUNTIF(L$1:L4508,L4508)</f>
        <v>34</v>
      </c>
      <c r="N4508" t="str">
        <f t="shared" si="211"/>
        <v>NA13RB-34</v>
      </c>
      <c r="O4508">
        <f>COUNTIFS(F$1:F4508,F4508,A$1:A4508,A4508)</f>
        <v>81</v>
      </c>
      <c r="P4508" t="str">
        <f t="shared" si="212"/>
        <v>Cameron Artis-Payne13</v>
      </c>
    </row>
    <row r="4509" spans="1:16" x14ac:dyDescent="0.25">
      <c r="A4509">
        <v>17</v>
      </c>
      <c r="B4509" t="s">
        <v>300</v>
      </c>
      <c r="C4509">
        <f>-0.35-3.49</f>
        <v>-3.8400000000000003</v>
      </c>
      <c r="D4509">
        <v>1.57</v>
      </c>
      <c r="E4509" t="s">
        <v>34</v>
      </c>
      <c r="F4509" t="s">
        <v>114</v>
      </c>
      <c r="G4509">
        <v>3.49</v>
      </c>
      <c r="H4509">
        <v>-0.35</v>
      </c>
      <c r="I4509">
        <v>1.92</v>
      </c>
      <c r="J4509">
        <v>3.6863999999999999</v>
      </c>
      <c r="K4509" t="str">
        <f>IFERROR(INDEX(Rosters!$C$2:$C$155,MATCH($B4509,Rosters!$B$2:$B$155,0)),"NA")</f>
        <v>NA</v>
      </c>
      <c r="L4509" t="str">
        <f t="shared" si="210"/>
        <v>NA17TE</v>
      </c>
      <c r="M4509">
        <f>COUNTIF(L$1:L4509,L4509)</f>
        <v>48</v>
      </c>
      <c r="N4509" t="str">
        <f t="shared" si="211"/>
        <v>NA17TE-48</v>
      </c>
      <c r="O4509">
        <f>COUNTIFS(F$1:F4509,F4509,A$1:A4509,A4509)</f>
        <v>62</v>
      </c>
      <c r="P4509" t="str">
        <f t="shared" si="212"/>
        <v>Lance Kendricks17</v>
      </c>
    </row>
    <row r="4510" spans="1:16" x14ac:dyDescent="0.25">
      <c r="A4510">
        <v>1</v>
      </c>
      <c r="B4510" t="s">
        <v>263</v>
      </c>
      <c r="C4510">
        <f>-0.32-3.46</f>
        <v>-3.78</v>
      </c>
      <c r="D4510">
        <v>1.57</v>
      </c>
      <c r="E4510" t="s">
        <v>73</v>
      </c>
      <c r="F4510" t="s">
        <v>87</v>
      </c>
      <c r="G4510">
        <v>3.46</v>
      </c>
      <c r="H4510">
        <v>-0.32</v>
      </c>
      <c r="I4510">
        <v>1.89</v>
      </c>
      <c r="J4510">
        <v>3.5720999999999998</v>
      </c>
      <c r="K4510" t="str">
        <f>IFERROR(INDEX(Rosters!$C$2:$C$155,MATCH($B4510,Rosters!$B$2:$B$155,0)),"NA")</f>
        <v>NA</v>
      </c>
      <c r="L4510" t="str">
        <f t="shared" si="210"/>
        <v>NA1WR</v>
      </c>
      <c r="M4510">
        <f>COUNTIF(L$1:L4510,L4510)</f>
        <v>55</v>
      </c>
      <c r="N4510" t="str">
        <f t="shared" si="211"/>
        <v>NA1WR-55</v>
      </c>
      <c r="O4510">
        <f>COUNTIFS(F$1:F4510,F4510,A$1:A4510,A4510)</f>
        <v>104</v>
      </c>
      <c r="P4510" t="str">
        <f t="shared" si="212"/>
        <v>T.J. Jones1</v>
      </c>
    </row>
    <row r="4511" spans="1:16" x14ac:dyDescent="0.25">
      <c r="A4511">
        <v>9</v>
      </c>
      <c r="B4511" t="s">
        <v>263</v>
      </c>
      <c r="C4511">
        <f>-0.18-3.32</f>
        <v>-3.5</v>
      </c>
      <c r="D4511">
        <v>1.57</v>
      </c>
      <c r="E4511" t="s">
        <v>25</v>
      </c>
      <c r="F4511" t="s">
        <v>87</v>
      </c>
      <c r="G4511">
        <v>3.32</v>
      </c>
      <c r="H4511">
        <v>-0.18</v>
      </c>
      <c r="I4511">
        <v>1.75</v>
      </c>
      <c r="J4511">
        <v>3.0625</v>
      </c>
      <c r="K4511" t="str">
        <f>IFERROR(INDEX(Rosters!$C$2:$C$155,MATCH($B4511,Rosters!$B$2:$B$155,0)),"NA")</f>
        <v>NA</v>
      </c>
      <c r="L4511" t="str">
        <f t="shared" si="210"/>
        <v>NA9WR</v>
      </c>
      <c r="M4511">
        <f>COUNTIF(L$1:L4511,L4511)</f>
        <v>56</v>
      </c>
      <c r="N4511" t="str">
        <f t="shared" si="211"/>
        <v>NA9WR-56</v>
      </c>
      <c r="O4511">
        <f>COUNTIFS(F$1:F4511,F4511,A$1:A4511,A4511)</f>
        <v>100</v>
      </c>
      <c r="P4511" t="str">
        <f t="shared" si="212"/>
        <v>T.J. Jones9</v>
      </c>
    </row>
    <row r="4512" spans="1:16" x14ac:dyDescent="0.25">
      <c r="A4512">
        <v>3</v>
      </c>
      <c r="B4512" t="s">
        <v>4208</v>
      </c>
      <c r="C4512">
        <f>-0.31-3.43</f>
        <v>-3.74</v>
      </c>
      <c r="D4512">
        <v>1.56</v>
      </c>
      <c r="E4512" t="s">
        <v>28</v>
      </c>
      <c r="F4512" t="s">
        <v>114</v>
      </c>
      <c r="G4512">
        <v>3.43</v>
      </c>
      <c r="H4512">
        <v>-0.31</v>
      </c>
      <c r="I4512">
        <v>1.87</v>
      </c>
      <c r="J4512">
        <v>3.4969000000000001</v>
      </c>
      <c r="K4512" t="str">
        <f>IFERROR(INDEX(Rosters!$C$2:$C$155,MATCH($B4512,Rosters!$B$2:$B$155,0)),"NA")</f>
        <v>NA</v>
      </c>
      <c r="L4512" t="str">
        <f t="shared" si="210"/>
        <v>NA3TE</v>
      </c>
      <c r="M4512">
        <f>COUNTIF(L$1:L4512,L4512)</f>
        <v>43</v>
      </c>
      <c r="N4512" t="str">
        <f t="shared" si="211"/>
        <v>NA3TE-43</v>
      </c>
      <c r="O4512">
        <f>COUNTIFS(F$1:F4512,F4512,A$1:A4512,A4512)</f>
        <v>56</v>
      </c>
      <c r="P4512" t="str">
        <f t="shared" si="212"/>
        <v>Blake Jarwin3</v>
      </c>
    </row>
    <row r="4513" spans="1:16" x14ac:dyDescent="0.25">
      <c r="A4513">
        <v>3</v>
      </c>
      <c r="B4513" t="s">
        <v>241</v>
      </c>
      <c r="C4513">
        <f>-0.26-3.38</f>
        <v>-3.6399999999999997</v>
      </c>
      <c r="D4513">
        <v>1.56</v>
      </c>
      <c r="E4513" t="s">
        <v>72</v>
      </c>
      <c r="F4513" t="s">
        <v>87</v>
      </c>
      <c r="G4513">
        <v>3.38</v>
      </c>
      <c r="H4513">
        <v>-0.26</v>
      </c>
      <c r="I4513">
        <v>1.82</v>
      </c>
      <c r="J4513">
        <v>3.3123999999999998</v>
      </c>
      <c r="K4513" t="str">
        <f>IFERROR(INDEX(Rosters!$C$2:$C$155,MATCH($B4513,Rosters!$B$2:$B$155,0)),"NA")</f>
        <v>NA</v>
      </c>
      <c r="L4513" t="str">
        <f t="shared" si="210"/>
        <v>NA3WR</v>
      </c>
      <c r="M4513">
        <f>COUNTIF(L$1:L4513,L4513)</f>
        <v>58</v>
      </c>
      <c r="N4513" t="str">
        <f t="shared" si="211"/>
        <v>NA3WR-58</v>
      </c>
      <c r="O4513">
        <f>COUNTIFS(F$1:F4513,F4513,A$1:A4513,A4513)</f>
        <v>106</v>
      </c>
      <c r="P4513" t="str">
        <f t="shared" si="212"/>
        <v>J.J. Nelson3</v>
      </c>
    </row>
    <row r="4514" spans="1:16" x14ac:dyDescent="0.25">
      <c r="A4514">
        <v>9</v>
      </c>
      <c r="B4514" t="s">
        <v>4225</v>
      </c>
      <c r="C4514">
        <f>-0.18-3.3</f>
        <v>-3.48</v>
      </c>
      <c r="D4514">
        <v>1.56</v>
      </c>
      <c r="E4514" t="s">
        <v>42</v>
      </c>
      <c r="F4514" t="s">
        <v>114</v>
      </c>
      <c r="G4514">
        <v>3.3</v>
      </c>
      <c r="H4514">
        <v>-0.18</v>
      </c>
      <c r="I4514">
        <v>1.74</v>
      </c>
      <c r="J4514">
        <v>3.0276000000000001</v>
      </c>
      <c r="K4514" t="str">
        <f>IFERROR(INDEX(Rosters!$C$2:$C$155,MATCH($B4514,Rosters!$B$2:$B$155,0)),"NA")</f>
        <v>NA</v>
      </c>
      <c r="L4514" t="str">
        <f t="shared" si="210"/>
        <v>NA9TE</v>
      </c>
      <c r="M4514">
        <f>COUNTIF(L$1:L4514,L4514)</f>
        <v>37</v>
      </c>
      <c r="N4514" t="str">
        <f t="shared" si="211"/>
        <v>NA9TE-37</v>
      </c>
      <c r="O4514">
        <f>COUNTIFS(F$1:F4514,F4514,A$1:A4514,A4514)</f>
        <v>48</v>
      </c>
      <c r="P4514" t="str">
        <f t="shared" si="212"/>
        <v>Jordan Akins9</v>
      </c>
    </row>
    <row r="4515" spans="1:16" x14ac:dyDescent="0.25">
      <c r="A4515">
        <v>8</v>
      </c>
      <c r="B4515" t="s">
        <v>1458</v>
      </c>
      <c r="C4515" t="s">
        <v>8593</v>
      </c>
      <c r="D4515">
        <v>1.56</v>
      </c>
      <c r="E4515" t="s">
        <v>36</v>
      </c>
      <c r="F4515" t="s">
        <v>47</v>
      </c>
      <c r="G4515">
        <v>3.01</v>
      </c>
      <c r="H4515">
        <v>0.11</v>
      </c>
      <c r="I4515">
        <v>1.45</v>
      </c>
      <c r="J4515">
        <v>2.1025</v>
      </c>
      <c r="K4515" t="str">
        <f>IFERROR(INDEX(Rosters!$C$2:$C$155,MATCH($B4515,Rosters!$B$2:$B$155,0)),"NA")</f>
        <v>NA</v>
      </c>
      <c r="L4515" t="str">
        <f t="shared" si="210"/>
        <v>NA8RB</v>
      </c>
      <c r="M4515">
        <f>COUNTIF(L$1:L4515,L4515)</f>
        <v>31</v>
      </c>
      <c r="N4515" t="str">
        <f t="shared" si="211"/>
        <v>NA8RB-31</v>
      </c>
      <c r="O4515">
        <f>COUNTIFS(F$1:F4515,F4515,A$1:A4515,A4515)</f>
        <v>71</v>
      </c>
      <c r="P4515" t="str">
        <f t="shared" si="212"/>
        <v>Kalen Ballage8</v>
      </c>
    </row>
    <row r="4516" spans="1:16" x14ac:dyDescent="0.25">
      <c r="A4516">
        <v>4</v>
      </c>
      <c r="B4516" t="s">
        <v>279</v>
      </c>
      <c r="C4516" t="s">
        <v>4653</v>
      </c>
      <c r="D4516">
        <v>1.56</v>
      </c>
      <c r="E4516" t="s">
        <v>22</v>
      </c>
      <c r="F4516" t="s">
        <v>114</v>
      </c>
      <c r="G4516">
        <v>2.96</v>
      </c>
      <c r="H4516">
        <v>0.16</v>
      </c>
      <c r="I4516">
        <v>1.4</v>
      </c>
      <c r="J4516">
        <v>1.96</v>
      </c>
      <c r="K4516" t="str">
        <f>IFERROR(INDEX(Rosters!$C$2:$C$155,MATCH($B4516,Rosters!$B$2:$B$155,0)),"NA")</f>
        <v>NA</v>
      </c>
      <c r="L4516" t="str">
        <f t="shared" si="210"/>
        <v>NA4TE</v>
      </c>
      <c r="M4516">
        <f>COUNTIF(L$1:L4516,L4516)</f>
        <v>42</v>
      </c>
      <c r="N4516" t="str">
        <f t="shared" si="211"/>
        <v>NA4TE-42</v>
      </c>
      <c r="O4516">
        <f>COUNTIFS(F$1:F4516,F4516,A$1:A4516,A4516)</f>
        <v>53</v>
      </c>
      <c r="P4516" t="str">
        <f t="shared" si="212"/>
        <v>Levine Toilolo4</v>
      </c>
    </row>
    <row r="4517" spans="1:16" x14ac:dyDescent="0.25">
      <c r="A4517">
        <v>13</v>
      </c>
      <c r="B4517" t="s">
        <v>1556</v>
      </c>
      <c r="C4517">
        <f>-0.18-3.3</f>
        <v>-3.48</v>
      </c>
      <c r="D4517">
        <v>1.56</v>
      </c>
      <c r="E4517" t="s">
        <v>19</v>
      </c>
      <c r="F4517" t="s">
        <v>47</v>
      </c>
      <c r="G4517">
        <v>3.3</v>
      </c>
      <c r="H4517">
        <v>-0.18</v>
      </c>
      <c r="I4517">
        <v>1.74</v>
      </c>
      <c r="J4517">
        <v>3.0276000000000001</v>
      </c>
      <c r="K4517" t="str">
        <f>IFERROR(INDEX(Rosters!$C$2:$C$155,MATCH($B4517,Rosters!$B$2:$B$155,0)),"NA")</f>
        <v>NA</v>
      </c>
      <c r="L4517" t="str">
        <f t="shared" si="210"/>
        <v>NA13RB</v>
      </c>
      <c r="M4517">
        <f>COUNTIF(L$1:L4517,L4517)</f>
        <v>35</v>
      </c>
      <c r="N4517" t="str">
        <f t="shared" si="211"/>
        <v>NA13RB-35</v>
      </c>
      <c r="O4517">
        <f>COUNTIFS(F$1:F4517,F4517,A$1:A4517,A4517)</f>
        <v>82</v>
      </c>
      <c r="P4517" t="str">
        <f t="shared" si="212"/>
        <v>Marcus Murphy13</v>
      </c>
    </row>
    <row r="4518" spans="1:16" x14ac:dyDescent="0.25">
      <c r="A4518">
        <v>14</v>
      </c>
      <c r="B4518" t="s">
        <v>144</v>
      </c>
      <c r="C4518">
        <f>-0.18-3.3</f>
        <v>-3.48</v>
      </c>
      <c r="D4518">
        <v>1.56</v>
      </c>
      <c r="E4518" t="s">
        <v>17</v>
      </c>
      <c r="F4518" t="s">
        <v>47</v>
      </c>
      <c r="G4518">
        <v>3.3</v>
      </c>
      <c r="H4518">
        <v>-0.18</v>
      </c>
      <c r="I4518">
        <v>1.74</v>
      </c>
      <c r="J4518">
        <v>3.0276000000000001</v>
      </c>
      <c r="K4518" t="str">
        <f>IFERROR(INDEX(Rosters!$C$2:$C$155,MATCH($B4518,Rosters!$B$2:$B$155,0)),"NA")</f>
        <v>NA</v>
      </c>
      <c r="L4518" t="str">
        <f t="shared" si="210"/>
        <v>NA14RB</v>
      </c>
      <c r="M4518">
        <f>COUNTIF(L$1:L4518,L4518)</f>
        <v>34</v>
      </c>
      <c r="N4518" t="str">
        <f t="shared" si="211"/>
        <v>NA14RB-34</v>
      </c>
      <c r="O4518">
        <f>COUNTIFS(F$1:F4518,F4518,A$1:A4518,A4518)</f>
        <v>81</v>
      </c>
      <c r="P4518" t="str">
        <f t="shared" si="212"/>
        <v>Mike Gillislee14</v>
      </c>
    </row>
    <row r="4519" spans="1:16" x14ac:dyDescent="0.25">
      <c r="A4519">
        <v>12</v>
      </c>
      <c r="B4519" t="s">
        <v>259</v>
      </c>
      <c r="C4519" t="s">
        <v>8594</v>
      </c>
      <c r="D4519">
        <v>1.56</v>
      </c>
      <c r="E4519" t="s">
        <v>50</v>
      </c>
      <c r="F4519" t="s">
        <v>87</v>
      </c>
      <c r="G4519">
        <v>2.91</v>
      </c>
      <c r="H4519">
        <v>0.21</v>
      </c>
      <c r="I4519">
        <v>1.35</v>
      </c>
      <c r="J4519">
        <v>1.8225</v>
      </c>
      <c r="K4519" t="str">
        <f>IFERROR(INDEX(Rosters!$C$2:$C$155,MATCH($B4519,Rosters!$B$2:$B$155,0)),"NA")</f>
        <v>NA</v>
      </c>
      <c r="L4519" t="str">
        <f t="shared" si="210"/>
        <v>NA12WR</v>
      </c>
      <c r="M4519">
        <f>COUNTIF(L$1:L4519,L4519)</f>
        <v>60</v>
      </c>
      <c r="N4519" t="str">
        <f t="shared" si="211"/>
        <v>NA12WR-60</v>
      </c>
      <c r="O4519">
        <f>COUNTIFS(F$1:F4519,F4519,A$1:A4519,A4519)</f>
        <v>109</v>
      </c>
      <c r="P4519" t="str">
        <f t="shared" si="212"/>
        <v>Russell Shepard12</v>
      </c>
    </row>
    <row r="4520" spans="1:16" x14ac:dyDescent="0.25">
      <c r="A4520">
        <v>8</v>
      </c>
      <c r="B4520" t="s">
        <v>4245</v>
      </c>
      <c r="C4520" t="s">
        <v>4654</v>
      </c>
      <c r="D4520">
        <v>1.56</v>
      </c>
      <c r="E4520" t="s">
        <v>19</v>
      </c>
      <c r="F4520" t="s">
        <v>87</v>
      </c>
      <c r="G4520">
        <v>3.07</v>
      </c>
      <c r="H4520">
        <v>0.05</v>
      </c>
      <c r="I4520">
        <v>1.51</v>
      </c>
      <c r="J4520">
        <v>2.2801</v>
      </c>
      <c r="K4520" t="str">
        <f>IFERROR(INDEX(Rosters!$C$2:$C$155,MATCH($B4520,Rosters!$B$2:$B$155,0)),"NA")</f>
        <v>NA</v>
      </c>
      <c r="L4520" t="str">
        <f t="shared" si="210"/>
        <v>NA8WR</v>
      </c>
      <c r="M4520">
        <f>COUNTIF(L$1:L4520,L4520)</f>
        <v>53</v>
      </c>
      <c r="N4520" t="str">
        <f t="shared" si="211"/>
        <v>NA8WR-53</v>
      </c>
      <c r="O4520">
        <f>COUNTIFS(F$1:F4520,F4520,A$1:A4520,A4520)</f>
        <v>102</v>
      </c>
      <c r="P4520" t="str">
        <f t="shared" si="212"/>
        <v>Vyncint Smith8</v>
      </c>
    </row>
    <row r="4521" spans="1:16" x14ac:dyDescent="0.25">
      <c r="A4521">
        <v>12</v>
      </c>
      <c r="B4521" t="s">
        <v>1517</v>
      </c>
      <c r="C4521">
        <f>-0.15-3.25</f>
        <v>-3.4</v>
      </c>
      <c r="D4521">
        <v>1.55</v>
      </c>
      <c r="E4521" t="s">
        <v>14</v>
      </c>
      <c r="F4521" t="s">
        <v>114</v>
      </c>
      <c r="G4521">
        <v>3.25</v>
      </c>
      <c r="H4521">
        <v>-0.15</v>
      </c>
      <c r="I4521">
        <v>1.7</v>
      </c>
      <c r="J4521">
        <v>2.89</v>
      </c>
      <c r="K4521" t="str">
        <f>IFERROR(INDEX(Rosters!$C$2:$C$155,MATCH($B4521,Rosters!$B$2:$B$155,0)),"NA")</f>
        <v>NA</v>
      </c>
      <c r="L4521" t="str">
        <f t="shared" si="210"/>
        <v>NA12TE</v>
      </c>
      <c r="M4521">
        <f>COUNTIF(L$1:L4521,L4521)</f>
        <v>45</v>
      </c>
      <c r="N4521" t="str">
        <f t="shared" si="211"/>
        <v>NA12TE-45</v>
      </c>
      <c r="O4521">
        <f>COUNTIFS(F$1:F4521,F4521,A$1:A4521,A4521)</f>
        <v>58</v>
      </c>
      <c r="P4521" t="str">
        <f t="shared" si="212"/>
        <v>Eric Saubert12</v>
      </c>
    </row>
    <row r="4522" spans="1:16" x14ac:dyDescent="0.25">
      <c r="A4522">
        <v>1</v>
      </c>
      <c r="B4522" t="s">
        <v>142</v>
      </c>
      <c r="C4522" t="s">
        <v>1512</v>
      </c>
      <c r="D4522">
        <v>1.55</v>
      </c>
      <c r="E4522" t="s">
        <v>14</v>
      </c>
      <c r="F4522" t="s">
        <v>47</v>
      </c>
      <c r="G4522">
        <v>2.59</v>
      </c>
      <c r="H4522">
        <v>0.51</v>
      </c>
      <c r="I4522">
        <v>1.04</v>
      </c>
      <c r="J4522">
        <v>1.0815999999999999</v>
      </c>
      <c r="K4522" t="str">
        <f>IFERROR(INDEX(Rosters!$C$2:$C$155,MATCH($B4522,Rosters!$B$2:$B$155,0)),"NA")</f>
        <v>NA</v>
      </c>
      <c r="L4522" t="str">
        <f t="shared" si="210"/>
        <v>NA1RB</v>
      </c>
      <c r="M4522">
        <f>COUNTIF(L$1:L4522,L4522)</f>
        <v>27</v>
      </c>
      <c r="N4522" t="str">
        <f t="shared" si="211"/>
        <v>NA1RB-27</v>
      </c>
      <c r="O4522">
        <f>COUNTIFS(F$1:F4522,F4522,A$1:A4522,A4522)</f>
        <v>69</v>
      </c>
      <c r="P4522" t="str">
        <f t="shared" si="212"/>
        <v>Jacquizz Rodgers1</v>
      </c>
    </row>
    <row r="4523" spans="1:16" x14ac:dyDescent="0.25">
      <c r="A4523">
        <v>14</v>
      </c>
      <c r="B4523" t="s">
        <v>327</v>
      </c>
      <c r="C4523">
        <f>-0.45-3.55</f>
        <v>-4</v>
      </c>
      <c r="D4523">
        <v>1.55</v>
      </c>
      <c r="E4523" t="s">
        <v>32</v>
      </c>
      <c r="F4523" t="s">
        <v>87</v>
      </c>
      <c r="G4523">
        <v>3.55</v>
      </c>
      <c r="H4523">
        <v>-0.45</v>
      </c>
      <c r="I4523">
        <v>2</v>
      </c>
      <c r="J4523">
        <v>4</v>
      </c>
      <c r="K4523" t="str">
        <f>IFERROR(INDEX(Rosters!$C$2:$C$155,MATCH($B4523,Rosters!$B$2:$B$155,0)),"NA")</f>
        <v>NA</v>
      </c>
      <c r="L4523" t="str">
        <f t="shared" si="210"/>
        <v>NA14WR</v>
      </c>
      <c r="M4523">
        <f>COUNTIF(L$1:L4523,L4523)</f>
        <v>62</v>
      </c>
      <c r="N4523" t="str">
        <f t="shared" si="211"/>
        <v>NA14WR-62</v>
      </c>
      <c r="O4523">
        <f>COUNTIFS(F$1:F4523,F4523,A$1:A4523,A4523)</f>
        <v>116</v>
      </c>
      <c r="P4523" t="str">
        <f t="shared" si="212"/>
        <v>Justin Hunter14</v>
      </c>
    </row>
    <row r="4524" spans="1:16" x14ac:dyDescent="0.25">
      <c r="A4524">
        <v>2</v>
      </c>
      <c r="B4524" t="s">
        <v>323</v>
      </c>
      <c r="C4524">
        <f>-0.23-3.33</f>
        <v>-3.56</v>
      </c>
      <c r="D4524">
        <v>1.55</v>
      </c>
      <c r="E4524" t="s">
        <v>423</v>
      </c>
      <c r="F4524" t="s">
        <v>114</v>
      </c>
      <c r="G4524">
        <v>3.33</v>
      </c>
      <c r="H4524">
        <v>-0.23</v>
      </c>
      <c r="I4524">
        <v>1.78</v>
      </c>
      <c r="J4524">
        <v>3.1684000000000001</v>
      </c>
      <c r="K4524" t="str">
        <f>IFERROR(INDEX(Rosters!$C$2:$C$155,MATCH($B4524,Rosters!$B$2:$B$155,0)),"NA")</f>
        <v>NA</v>
      </c>
      <c r="L4524" t="str">
        <f t="shared" si="210"/>
        <v>NA2TE</v>
      </c>
      <c r="M4524">
        <f>COUNTIF(L$1:L4524,L4524)</f>
        <v>36</v>
      </c>
      <c r="N4524" t="str">
        <f t="shared" si="211"/>
        <v>NA2TE-36</v>
      </c>
      <c r="O4524">
        <f>COUNTIFS(F$1:F4524,F4524,A$1:A4524,A4524)</f>
        <v>49</v>
      </c>
      <c r="P4524" t="str">
        <f t="shared" si="212"/>
        <v>Niles Paul2</v>
      </c>
    </row>
    <row r="4525" spans="1:16" x14ac:dyDescent="0.25">
      <c r="A4525">
        <v>2</v>
      </c>
      <c r="B4525" t="s">
        <v>259</v>
      </c>
      <c r="C4525" t="s">
        <v>1513</v>
      </c>
      <c r="D4525">
        <v>1.55</v>
      </c>
      <c r="E4525" t="s">
        <v>22</v>
      </c>
      <c r="F4525" t="s">
        <v>87</v>
      </c>
      <c r="G4525">
        <v>3.04</v>
      </c>
      <c r="H4525">
        <v>0.06</v>
      </c>
      <c r="I4525">
        <v>1.49</v>
      </c>
      <c r="J4525">
        <v>2.2201</v>
      </c>
      <c r="K4525" t="str">
        <f>IFERROR(INDEX(Rosters!$C$2:$C$155,MATCH($B4525,Rosters!$B$2:$B$155,0)),"NA")</f>
        <v>NA</v>
      </c>
      <c r="L4525" t="str">
        <f t="shared" si="210"/>
        <v>NA2WR</v>
      </c>
      <c r="M4525">
        <f>COUNTIF(L$1:L4525,L4525)</f>
        <v>55</v>
      </c>
      <c r="N4525" t="str">
        <f t="shared" si="211"/>
        <v>NA2WR-55</v>
      </c>
      <c r="O4525">
        <f>COUNTIFS(F$1:F4525,F4525,A$1:A4525,A4525)</f>
        <v>103</v>
      </c>
      <c r="P4525" t="str">
        <f t="shared" si="212"/>
        <v>Russell Shepard2</v>
      </c>
    </row>
    <row r="4526" spans="1:16" x14ac:dyDescent="0.25">
      <c r="A4526">
        <v>3</v>
      </c>
      <c r="B4526" t="s">
        <v>274</v>
      </c>
      <c r="C4526" t="s">
        <v>3807</v>
      </c>
      <c r="D4526">
        <v>1.55</v>
      </c>
      <c r="E4526" t="s">
        <v>54</v>
      </c>
      <c r="F4526" t="s">
        <v>114</v>
      </c>
      <c r="G4526">
        <v>3.07</v>
      </c>
      <c r="H4526">
        <v>0.03</v>
      </c>
      <c r="I4526">
        <v>1.52</v>
      </c>
      <c r="J4526">
        <v>2.3104</v>
      </c>
      <c r="K4526" t="str">
        <f>IFERROR(INDEX(Rosters!$C$2:$C$155,MATCH($B4526,Rosters!$B$2:$B$155,0)),"NA")</f>
        <v>NA</v>
      </c>
      <c r="L4526" t="str">
        <f t="shared" si="210"/>
        <v>NA3TE</v>
      </c>
      <c r="M4526">
        <f>COUNTIF(L$1:L4526,L4526)</f>
        <v>44</v>
      </c>
      <c r="N4526" t="str">
        <f t="shared" si="211"/>
        <v>NA3TE-44</v>
      </c>
      <c r="O4526">
        <f>COUNTIFS(F$1:F4526,F4526,A$1:A4526,A4526)</f>
        <v>57</v>
      </c>
      <c r="P4526" t="str">
        <f t="shared" si="212"/>
        <v>Ryan Griffin3</v>
      </c>
    </row>
    <row r="4527" spans="1:16" x14ac:dyDescent="0.25">
      <c r="A4527">
        <v>5</v>
      </c>
      <c r="B4527" t="s">
        <v>337</v>
      </c>
      <c r="C4527">
        <f>-0.25-3.35</f>
        <v>-3.6</v>
      </c>
      <c r="D4527">
        <v>1.55</v>
      </c>
      <c r="E4527" t="s">
        <v>22</v>
      </c>
      <c r="F4527" t="s">
        <v>87</v>
      </c>
      <c r="G4527">
        <v>3.35</v>
      </c>
      <c r="H4527">
        <v>-0.25</v>
      </c>
      <c r="I4527">
        <v>1.8</v>
      </c>
      <c r="J4527">
        <v>3.24</v>
      </c>
      <c r="K4527" t="str">
        <f>IFERROR(INDEX(Rosters!$C$2:$C$155,MATCH($B4527,Rosters!$B$2:$B$155,0)),"NA")</f>
        <v>NA</v>
      </c>
      <c r="L4527" t="str">
        <f t="shared" si="210"/>
        <v>NA5WR</v>
      </c>
      <c r="M4527">
        <f>COUNTIF(L$1:L4527,L4527)</f>
        <v>62</v>
      </c>
      <c r="N4527" t="str">
        <f t="shared" si="211"/>
        <v>NA5WR-62</v>
      </c>
      <c r="O4527">
        <f>COUNTIFS(F$1:F4527,F4527,A$1:A4527,A4527)</f>
        <v>112</v>
      </c>
      <c r="P4527" t="str">
        <f t="shared" si="212"/>
        <v>Sammie Coates5</v>
      </c>
    </row>
    <row r="4528" spans="1:16" x14ac:dyDescent="0.25">
      <c r="A4528">
        <v>8</v>
      </c>
      <c r="B4528" t="s">
        <v>337</v>
      </c>
      <c r="C4528">
        <f>-0.09-3.19</f>
        <v>-3.28</v>
      </c>
      <c r="D4528">
        <v>1.55</v>
      </c>
      <c r="E4528" t="s">
        <v>19</v>
      </c>
      <c r="F4528" t="s">
        <v>87</v>
      </c>
      <c r="G4528">
        <v>3.19</v>
      </c>
      <c r="H4528">
        <v>-0.09</v>
      </c>
      <c r="I4528">
        <v>1.64</v>
      </c>
      <c r="J4528">
        <v>2.6896</v>
      </c>
      <c r="K4528" t="str">
        <f>IFERROR(INDEX(Rosters!$C$2:$C$155,MATCH($B4528,Rosters!$B$2:$B$155,0)),"NA")</f>
        <v>NA</v>
      </c>
      <c r="L4528" t="str">
        <f t="shared" si="210"/>
        <v>NA8WR</v>
      </c>
      <c r="M4528">
        <f>COUNTIF(L$1:L4528,L4528)</f>
        <v>54</v>
      </c>
      <c r="N4528" t="str">
        <f t="shared" si="211"/>
        <v>NA8WR-54</v>
      </c>
      <c r="O4528">
        <f>COUNTIFS(F$1:F4528,F4528,A$1:A4528,A4528)</f>
        <v>103</v>
      </c>
      <c r="P4528" t="str">
        <f t="shared" si="212"/>
        <v>Sammie Coates8</v>
      </c>
    </row>
    <row r="4529" spans="1:16" x14ac:dyDescent="0.25">
      <c r="A4529">
        <v>4</v>
      </c>
      <c r="B4529" t="s">
        <v>263</v>
      </c>
      <c r="C4529">
        <f>-0.04-3.14</f>
        <v>-3.18</v>
      </c>
      <c r="D4529">
        <v>1.55</v>
      </c>
      <c r="E4529" t="s">
        <v>22</v>
      </c>
      <c r="F4529" t="s">
        <v>87</v>
      </c>
      <c r="G4529">
        <v>3.14</v>
      </c>
      <c r="H4529">
        <v>-0.04</v>
      </c>
      <c r="I4529">
        <v>1.59</v>
      </c>
      <c r="J4529">
        <v>2.5280999999999998</v>
      </c>
      <c r="K4529" t="str">
        <f>IFERROR(INDEX(Rosters!$C$2:$C$155,MATCH($B4529,Rosters!$B$2:$B$155,0)),"NA")</f>
        <v>NA</v>
      </c>
      <c r="L4529" t="str">
        <f t="shared" si="210"/>
        <v>NA4WR</v>
      </c>
      <c r="M4529">
        <f>COUNTIF(L$1:L4529,L4529)</f>
        <v>50</v>
      </c>
      <c r="N4529" t="str">
        <f t="shared" si="211"/>
        <v>NA4WR-50</v>
      </c>
      <c r="O4529">
        <f>COUNTIFS(F$1:F4529,F4529,A$1:A4529,A4529)</f>
        <v>100</v>
      </c>
      <c r="P4529" t="str">
        <f t="shared" si="212"/>
        <v>T.J. Jones4</v>
      </c>
    </row>
    <row r="4530" spans="1:16" x14ac:dyDescent="0.25">
      <c r="A4530">
        <v>8</v>
      </c>
      <c r="B4530" t="s">
        <v>121</v>
      </c>
      <c r="C4530" t="s">
        <v>8595</v>
      </c>
      <c r="D4530">
        <v>1.54</v>
      </c>
      <c r="E4530" t="s">
        <v>28</v>
      </c>
      <c r="F4530" t="s">
        <v>47</v>
      </c>
      <c r="G4530">
        <v>2.66</v>
      </c>
      <c r="H4530">
        <v>0.42</v>
      </c>
      <c r="I4530">
        <v>1.1200000000000001</v>
      </c>
      <c r="J4530">
        <v>1.2544</v>
      </c>
      <c r="K4530" t="str">
        <f>IFERROR(INDEX(Rosters!$C$2:$C$155,MATCH($B4530,Rosters!$B$2:$B$155,0)),"NA")</f>
        <v>NA</v>
      </c>
      <c r="L4530" t="str">
        <f t="shared" si="210"/>
        <v>NA8RB</v>
      </c>
      <c r="M4530">
        <f>COUNTIF(L$1:L4530,L4530)</f>
        <v>32</v>
      </c>
      <c r="N4530" t="str">
        <f t="shared" si="211"/>
        <v>NA8RB-32</v>
      </c>
      <c r="O4530">
        <f>COUNTIFS(F$1:F4530,F4530,A$1:A4530,A4530)</f>
        <v>72</v>
      </c>
      <c r="P4530" t="str">
        <f t="shared" si="212"/>
        <v>Ameer Abdullah8</v>
      </c>
    </row>
    <row r="4531" spans="1:16" x14ac:dyDescent="0.25">
      <c r="A4531">
        <v>12</v>
      </c>
      <c r="B4531" t="s">
        <v>121</v>
      </c>
      <c r="C4531" t="s">
        <v>8596</v>
      </c>
      <c r="D4531">
        <v>1.54</v>
      </c>
      <c r="E4531" t="s">
        <v>72</v>
      </c>
      <c r="F4531" t="s">
        <v>47</v>
      </c>
      <c r="G4531">
        <v>2.67</v>
      </c>
      <c r="H4531">
        <v>0.41</v>
      </c>
      <c r="I4531">
        <v>1.1299999999999999</v>
      </c>
      <c r="J4531">
        <v>1.2768999999999999</v>
      </c>
      <c r="K4531" t="str">
        <f>IFERROR(INDEX(Rosters!$C$2:$C$155,MATCH($B4531,Rosters!$B$2:$B$155,0)),"NA")</f>
        <v>NA</v>
      </c>
      <c r="L4531" t="str">
        <f t="shared" si="210"/>
        <v>NA12RB</v>
      </c>
      <c r="M4531">
        <f>COUNTIF(L$1:L4531,L4531)</f>
        <v>31</v>
      </c>
      <c r="N4531" t="str">
        <f t="shared" si="211"/>
        <v>NA12RB-31</v>
      </c>
      <c r="O4531">
        <f>COUNTIFS(F$1:F4531,F4531,A$1:A4531,A4531)</f>
        <v>76</v>
      </c>
      <c r="P4531" t="str">
        <f t="shared" si="212"/>
        <v>Ameer Abdullah12</v>
      </c>
    </row>
    <row r="4532" spans="1:16" x14ac:dyDescent="0.25">
      <c r="A4532">
        <v>2</v>
      </c>
      <c r="B4532" t="s">
        <v>4206</v>
      </c>
      <c r="C4532" t="s">
        <v>4235</v>
      </c>
      <c r="D4532">
        <v>1.54</v>
      </c>
      <c r="E4532" t="s">
        <v>74</v>
      </c>
      <c r="F4532" t="s">
        <v>47</v>
      </c>
      <c r="G4532">
        <v>3.08</v>
      </c>
      <c r="H4532">
        <v>0</v>
      </c>
      <c r="I4532">
        <v>1.54</v>
      </c>
      <c r="J4532">
        <v>2.3715999999999999</v>
      </c>
      <c r="K4532" t="str">
        <f>IFERROR(INDEX(Rosters!$C$2:$C$155,MATCH($B4532,Rosters!$B$2:$B$155,0)),"NA")</f>
        <v>NA</v>
      </c>
      <c r="L4532" t="str">
        <f t="shared" si="210"/>
        <v>NA2RB</v>
      </c>
      <c r="M4532">
        <f>COUNTIF(L$1:L4532,L4532)</f>
        <v>26</v>
      </c>
      <c r="N4532" t="str">
        <f t="shared" si="211"/>
        <v>NA2RB-26</v>
      </c>
      <c r="O4532">
        <f>COUNTIFS(F$1:F4532,F4532,A$1:A4532,A4532)</f>
        <v>68</v>
      </c>
      <c r="P4532" t="str">
        <f t="shared" si="212"/>
        <v>Ito Smith2</v>
      </c>
    </row>
    <row r="4533" spans="1:16" x14ac:dyDescent="0.25">
      <c r="A4533">
        <v>7</v>
      </c>
      <c r="B4533" t="s">
        <v>287</v>
      </c>
      <c r="C4533">
        <f>-0.41-3.49</f>
        <v>-3.9000000000000004</v>
      </c>
      <c r="D4533">
        <v>1.54</v>
      </c>
      <c r="E4533" t="s">
        <v>77</v>
      </c>
      <c r="F4533" t="s">
        <v>114</v>
      </c>
      <c r="G4533">
        <v>3.49</v>
      </c>
      <c r="H4533">
        <v>-0.41</v>
      </c>
      <c r="I4533">
        <v>1.95</v>
      </c>
      <c r="J4533">
        <v>3.8025000000000002</v>
      </c>
      <c r="K4533" t="str">
        <f>IFERROR(INDEX(Rosters!$C$2:$C$155,MATCH($B4533,Rosters!$B$2:$B$155,0)),"NA")</f>
        <v>NA</v>
      </c>
      <c r="L4533" t="str">
        <f t="shared" si="210"/>
        <v>NA7TE</v>
      </c>
      <c r="M4533">
        <f>COUNTIF(L$1:L4533,L4533)</f>
        <v>44</v>
      </c>
      <c r="N4533" t="str">
        <f t="shared" si="211"/>
        <v>NA7TE-44</v>
      </c>
      <c r="O4533">
        <f>COUNTIFS(F$1:F4533,F4533,A$1:A4533,A4533)</f>
        <v>54</v>
      </c>
      <c r="P4533" t="str">
        <f t="shared" si="212"/>
        <v>Josh Hill7</v>
      </c>
    </row>
    <row r="4534" spans="1:16" x14ac:dyDescent="0.25">
      <c r="A4534">
        <v>2</v>
      </c>
      <c r="B4534" t="s">
        <v>1506</v>
      </c>
      <c r="C4534" t="s">
        <v>1514</v>
      </c>
      <c r="D4534">
        <v>1.54</v>
      </c>
      <c r="E4534" t="s">
        <v>56</v>
      </c>
      <c r="F4534" t="s">
        <v>15</v>
      </c>
      <c r="G4534">
        <v>2.72</v>
      </c>
      <c r="H4534">
        <v>0.36</v>
      </c>
      <c r="I4534">
        <v>1.18</v>
      </c>
      <c r="J4534">
        <v>1.3924000000000001</v>
      </c>
      <c r="K4534" t="str">
        <f>IFERROR(INDEX(Rosters!$C$2:$C$155,MATCH($B4534,Rosters!$B$2:$B$155,0)),"NA")</f>
        <v>NA</v>
      </c>
      <c r="L4534" t="str">
        <f t="shared" si="210"/>
        <v>NA2QB</v>
      </c>
      <c r="M4534">
        <f>COUNTIF(L$1:L4534,L4534)</f>
        <v>18</v>
      </c>
      <c r="N4534" t="str">
        <f t="shared" si="211"/>
        <v>NA2QB-18</v>
      </c>
      <c r="O4534">
        <f>COUNTIFS(F$1:F4534,F4534,A$1:A4534,A4534)</f>
        <v>34</v>
      </c>
      <c r="P4534" t="str">
        <f t="shared" si="212"/>
        <v>Josh Rosen2</v>
      </c>
    </row>
    <row r="4535" spans="1:16" x14ac:dyDescent="0.25">
      <c r="A4535">
        <v>8</v>
      </c>
      <c r="B4535" t="s">
        <v>300</v>
      </c>
      <c r="C4535">
        <f>-0.29-3.37</f>
        <v>-3.66</v>
      </c>
      <c r="D4535">
        <v>1.54</v>
      </c>
      <c r="E4535" t="s">
        <v>56</v>
      </c>
      <c r="F4535" t="s">
        <v>114</v>
      </c>
      <c r="G4535">
        <v>3.37</v>
      </c>
      <c r="H4535">
        <v>-0.28999999999999998</v>
      </c>
      <c r="I4535">
        <v>1.83</v>
      </c>
      <c r="J4535">
        <v>3.3489</v>
      </c>
      <c r="K4535" t="str">
        <f>IFERROR(INDEX(Rosters!$C$2:$C$155,MATCH($B4535,Rosters!$B$2:$B$155,0)),"NA")</f>
        <v>NA</v>
      </c>
      <c r="L4535" t="str">
        <f t="shared" si="210"/>
        <v>NA8TE</v>
      </c>
      <c r="M4535">
        <f>COUNTIF(L$1:L4535,L4535)</f>
        <v>38</v>
      </c>
      <c r="N4535" t="str">
        <f t="shared" si="211"/>
        <v>NA8TE-38</v>
      </c>
      <c r="O4535">
        <f>COUNTIFS(F$1:F4535,F4535,A$1:A4535,A4535)</f>
        <v>50</v>
      </c>
      <c r="P4535" t="str">
        <f t="shared" si="212"/>
        <v>Lance Kendricks8</v>
      </c>
    </row>
    <row r="4536" spans="1:16" x14ac:dyDescent="0.25">
      <c r="A4536">
        <v>12</v>
      </c>
      <c r="B4536" t="s">
        <v>323</v>
      </c>
      <c r="C4536">
        <f>-0.39-3.47</f>
        <v>-3.8600000000000003</v>
      </c>
      <c r="D4536">
        <v>1.54</v>
      </c>
      <c r="E4536" t="s">
        <v>29</v>
      </c>
      <c r="F4536" t="s">
        <v>114</v>
      </c>
      <c r="G4536">
        <v>3.47</v>
      </c>
      <c r="H4536">
        <v>-0.39</v>
      </c>
      <c r="I4536">
        <v>1.93</v>
      </c>
      <c r="J4536">
        <v>3.7248999999999999</v>
      </c>
      <c r="K4536" t="str">
        <f>IFERROR(INDEX(Rosters!$C$2:$C$155,MATCH($B4536,Rosters!$B$2:$B$155,0)),"NA")</f>
        <v>NA</v>
      </c>
      <c r="L4536" t="str">
        <f t="shared" si="210"/>
        <v>NA12TE</v>
      </c>
      <c r="M4536">
        <f>COUNTIF(L$1:L4536,L4536)</f>
        <v>46</v>
      </c>
      <c r="N4536" t="str">
        <f t="shared" si="211"/>
        <v>NA12TE-46</v>
      </c>
      <c r="O4536">
        <f>COUNTIFS(F$1:F4536,F4536,A$1:A4536,A4536)</f>
        <v>59</v>
      </c>
      <c r="P4536" t="str">
        <f t="shared" si="212"/>
        <v>Niles Paul12</v>
      </c>
    </row>
    <row r="4537" spans="1:16" x14ac:dyDescent="0.25">
      <c r="A4537">
        <v>12</v>
      </c>
      <c r="B4537" t="s">
        <v>1336</v>
      </c>
      <c r="C4537" t="s">
        <v>8597</v>
      </c>
      <c r="D4537">
        <v>1.54</v>
      </c>
      <c r="E4537" t="s">
        <v>74</v>
      </c>
      <c r="F4537" t="s">
        <v>47</v>
      </c>
      <c r="G4537">
        <v>2.98</v>
      </c>
      <c r="H4537">
        <v>0.1</v>
      </c>
      <c r="I4537">
        <v>1.44</v>
      </c>
      <c r="J4537">
        <v>2.0735999999999999</v>
      </c>
      <c r="K4537" t="str">
        <f>IFERROR(INDEX(Rosters!$C$2:$C$155,MATCH($B4537,Rosters!$B$2:$B$155,0)),"NA")</f>
        <v>NA</v>
      </c>
      <c r="L4537" t="str">
        <f t="shared" si="210"/>
        <v>NA12RB</v>
      </c>
      <c r="M4537">
        <f>COUNTIF(L$1:L4537,L4537)</f>
        <v>32</v>
      </c>
      <c r="N4537" t="str">
        <f t="shared" si="211"/>
        <v>NA12RB-32</v>
      </c>
      <c r="O4537">
        <f>COUNTIFS(F$1:F4537,F4537,A$1:A4537,A4537)</f>
        <v>77</v>
      </c>
      <c r="P4537" t="str">
        <f t="shared" si="212"/>
        <v>Rashaad Penny12</v>
      </c>
    </row>
    <row r="4538" spans="1:16" x14ac:dyDescent="0.25">
      <c r="A4538">
        <v>12</v>
      </c>
      <c r="B4538" t="s">
        <v>263</v>
      </c>
      <c r="C4538">
        <f>-0.19-3.27</f>
        <v>-3.46</v>
      </c>
      <c r="D4538">
        <v>1.54</v>
      </c>
      <c r="E4538" t="s">
        <v>72</v>
      </c>
      <c r="F4538" t="s">
        <v>87</v>
      </c>
      <c r="G4538">
        <v>3.27</v>
      </c>
      <c r="H4538">
        <v>-0.19</v>
      </c>
      <c r="I4538">
        <v>1.73</v>
      </c>
      <c r="J4538">
        <v>2.9929000000000001</v>
      </c>
      <c r="K4538" t="str">
        <f>IFERROR(INDEX(Rosters!$C$2:$C$155,MATCH($B4538,Rosters!$B$2:$B$155,0)),"NA")</f>
        <v>NA</v>
      </c>
      <c r="L4538" t="str">
        <f t="shared" si="210"/>
        <v>NA12WR</v>
      </c>
      <c r="M4538">
        <f>COUNTIF(L$1:L4538,L4538)</f>
        <v>61</v>
      </c>
      <c r="N4538" t="str">
        <f t="shared" si="211"/>
        <v>NA12WR-61</v>
      </c>
      <c r="O4538">
        <f>COUNTIFS(F$1:F4538,F4538,A$1:A4538,A4538)</f>
        <v>110</v>
      </c>
      <c r="P4538" t="str">
        <f t="shared" si="212"/>
        <v>T.J. Jones12</v>
      </c>
    </row>
    <row r="4539" spans="1:16" x14ac:dyDescent="0.25">
      <c r="A4539">
        <v>6</v>
      </c>
      <c r="B4539" t="s">
        <v>4245</v>
      </c>
      <c r="C4539" t="s">
        <v>4235</v>
      </c>
      <c r="D4539">
        <v>1.54</v>
      </c>
      <c r="E4539" t="s">
        <v>29</v>
      </c>
      <c r="F4539" t="s">
        <v>87</v>
      </c>
      <c r="G4539">
        <v>3.08</v>
      </c>
      <c r="H4539">
        <v>0</v>
      </c>
      <c r="I4539">
        <v>1.54</v>
      </c>
      <c r="J4539">
        <v>2.3715999999999999</v>
      </c>
      <c r="K4539" t="str">
        <f>IFERROR(INDEX(Rosters!$C$2:$C$155,MATCH($B4539,Rosters!$B$2:$B$155,0)),"NA")</f>
        <v>NA</v>
      </c>
      <c r="L4539" t="str">
        <f t="shared" si="210"/>
        <v>NA6WR</v>
      </c>
      <c r="M4539">
        <f>COUNTIF(L$1:L4539,L4539)</f>
        <v>60</v>
      </c>
      <c r="N4539" t="str">
        <f t="shared" si="211"/>
        <v>NA6WR-60</v>
      </c>
      <c r="O4539">
        <f>COUNTIFS(F$1:F4539,F4539,A$1:A4539,A4539)</f>
        <v>110</v>
      </c>
      <c r="P4539" t="str">
        <f t="shared" si="212"/>
        <v>Vyncint Smith6</v>
      </c>
    </row>
    <row r="4540" spans="1:16" x14ac:dyDescent="0.25">
      <c r="A4540">
        <v>7</v>
      </c>
      <c r="B4540" t="s">
        <v>250</v>
      </c>
      <c r="C4540">
        <f>-0.18-3.26</f>
        <v>-3.44</v>
      </c>
      <c r="D4540">
        <v>1.54</v>
      </c>
      <c r="E4540" t="s">
        <v>74</v>
      </c>
      <c r="F4540" t="s">
        <v>47</v>
      </c>
      <c r="G4540">
        <v>3.26</v>
      </c>
      <c r="H4540">
        <v>-0.18</v>
      </c>
      <c r="I4540">
        <v>1.72</v>
      </c>
      <c r="J4540">
        <v>2.9584000000000001</v>
      </c>
      <c r="K4540" t="str">
        <f>IFERROR(INDEX(Rosters!$C$2:$C$155,MATCH($B4540,Rosters!$B$2:$B$155,0)),"NA")</f>
        <v>NA</v>
      </c>
      <c r="L4540" t="str">
        <f t="shared" si="210"/>
        <v>NA7RB</v>
      </c>
      <c r="M4540">
        <f>COUNTIF(L$1:L4540,L4540)</f>
        <v>28</v>
      </c>
      <c r="N4540" t="str">
        <f t="shared" si="211"/>
        <v>NA7RB-28</v>
      </c>
      <c r="O4540">
        <f>COUNTIFS(F$1:F4540,F4540,A$1:A4540,A4540)</f>
        <v>69</v>
      </c>
      <c r="P4540" t="str">
        <f t="shared" si="212"/>
        <v>Wendell Smallwood7</v>
      </c>
    </row>
    <row r="4541" spans="1:16" x14ac:dyDescent="0.25">
      <c r="A4541">
        <v>9</v>
      </c>
      <c r="B4541" t="s">
        <v>286</v>
      </c>
      <c r="C4541" t="s">
        <v>4655</v>
      </c>
      <c r="D4541">
        <v>1.53</v>
      </c>
      <c r="E4541" t="s">
        <v>73</v>
      </c>
      <c r="F4541" t="s">
        <v>114</v>
      </c>
      <c r="G4541">
        <v>2.97</v>
      </c>
      <c r="H4541">
        <v>0.09</v>
      </c>
      <c r="I4541">
        <v>1.44</v>
      </c>
      <c r="J4541">
        <v>2.0735999999999999</v>
      </c>
      <c r="K4541" t="str">
        <f>IFERROR(INDEX(Rosters!$C$2:$C$155,MATCH($B4541,Rosters!$B$2:$B$155,0)),"NA")</f>
        <v>NA</v>
      </c>
      <c r="L4541" t="str">
        <f t="shared" si="210"/>
        <v>NA9TE</v>
      </c>
      <c r="M4541">
        <f>COUNTIF(L$1:L4541,L4541)</f>
        <v>38</v>
      </c>
      <c r="N4541" t="str">
        <f t="shared" si="211"/>
        <v>NA9TE-38</v>
      </c>
      <c r="O4541">
        <f>COUNTIFS(F$1:F4541,F4541,A$1:A4541,A4541)</f>
        <v>49</v>
      </c>
      <c r="P4541" t="str">
        <f t="shared" si="212"/>
        <v>A.J. Derby9</v>
      </c>
    </row>
    <row r="4542" spans="1:16" x14ac:dyDescent="0.25">
      <c r="A4542">
        <v>14</v>
      </c>
      <c r="B4542" t="s">
        <v>4208</v>
      </c>
      <c r="C4542" t="s">
        <v>8598</v>
      </c>
      <c r="D4542">
        <v>1.53</v>
      </c>
      <c r="E4542" t="s">
        <v>50</v>
      </c>
      <c r="F4542" t="s">
        <v>114</v>
      </c>
      <c r="G4542">
        <v>3.04</v>
      </c>
      <c r="H4542">
        <v>0.02</v>
      </c>
      <c r="I4542">
        <v>1.51</v>
      </c>
      <c r="J4542">
        <v>2.2801</v>
      </c>
      <c r="K4542" t="str">
        <f>IFERROR(INDEX(Rosters!$C$2:$C$155,MATCH($B4542,Rosters!$B$2:$B$155,0)),"NA")</f>
        <v>NA</v>
      </c>
      <c r="L4542" t="str">
        <f t="shared" si="210"/>
        <v>NA14TE</v>
      </c>
      <c r="M4542">
        <f>COUNTIF(L$1:L4542,L4542)</f>
        <v>49</v>
      </c>
      <c r="N4542" t="str">
        <f t="shared" si="211"/>
        <v>NA14TE-49</v>
      </c>
      <c r="O4542">
        <f>COUNTIFS(F$1:F4542,F4542,A$1:A4542,A4542)</f>
        <v>63</v>
      </c>
      <c r="P4542" t="str">
        <f t="shared" si="212"/>
        <v>Blake Jarwin14</v>
      </c>
    </row>
    <row r="4543" spans="1:16" x14ac:dyDescent="0.25">
      <c r="A4543">
        <v>12</v>
      </c>
      <c r="B4543" t="s">
        <v>284</v>
      </c>
      <c r="C4543">
        <f>-0.19-3.25</f>
        <v>-3.44</v>
      </c>
      <c r="D4543">
        <v>1.53</v>
      </c>
      <c r="E4543" t="s">
        <v>34</v>
      </c>
      <c r="F4543" t="s">
        <v>114</v>
      </c>
      <c r="G4543">
        <v>3.25</v>
      </c>
      <c r="H4543">
        <v>-0.19</v>
      </c>
      <c r="I4543">
        <v>1.72</v>
      </c>
      <c r="J4543">
        <v>2.9584000000000001</v>
      </c>
      <c r="K4543" t="str">
        <f>IFERROR(INDEX(Rosters!$C$2:$C$155,MATCH($B4543,Rosters!$B$2:$B$155,0)),"NA")</f>
        <v>NA</v>
      </c>
      <c r="L4543" t="str">
        <f t="shared" si="210"/>
        <v>NA12TE</v>
      </c>
      <c r="M4543">
        <f>COUNTIF(L$1:L4543,L4543)</f>
        <v>47</v>
      </c>
      <c r="N4543" t="str">
        <f t="shared" si="211"/>
        <v>NA12TE-47</v>
      </c>
      <c r="O4543">
        <f>COUNTIFS(F$1:F4543,F4543,A$1:A4543,A4543)</f>
        <v>60</v>
      </c>
      <c r="P4543" t="str">
        <f t="shared" si="212"/>
        <v>Dion Sims12</v>
      </c>
    </row>
    <row r="4544" spans="1:16" x14ac:dyDescent="0.25">
      <c r="A4544">
        <v>5</v>
      </c>
      <c r="B4544" t="s">
        <v>4687</v>
      </c>
      <c r="C4544">
        <f>-0.01-3.07</f>
        <v>-3.0799999999999996</v>
      </c>
      <c r="D4544">
        <v>1.53</v>
      </c>
      <c r="E4544" t="s">
        <v>25</v>
      </c>
      <c r="F4544" t="s">
        <v>47</v>
      </c>
      <c r="G4544">
        <v>3.07</v>
      </c>
      <c r="H4544">
        <v>-0.01</v>
      </c>
      <c r="I4544">
        <v>1.54</v>
      </c>
      <c r="J4544">
        <v>2.3715999999999999</v>
      </c>
      <c r="K4544" t="str">
        <f>IFERROR(INDEX(Rosters!$C$2:$C$155,MATCH($B4544,Rosters!$B$2:$B$155,0)),"NA")</f>
        <v>NA</v>
      </c>
      <c r="L4544" t="str">
        <f t="shared" si="210"/>
        <v>NA5RB</v>
      </c>
      <c r="M4544">
        <f>COUNTIF(L$1:L4544,L4544)</f>
        <v>29</v>
      </c>
      <c r="N4544" t="str">
        <f t="shared" si="211"/>
        <v>NA5RB-29</v>
      </c>
      <c r="O4544">
        <f>COUNTIFS(F$1:F4544,F4544,A$1:A4544,A4544)</f>
        <v>72</v>
      </c>
      <c r="P4544" t="str">
        <f t="shared" si="212"/>
        <v>Josh Adams5</v>
      </c>
    </row>
    <row r="4545" spans="1:16" x14ac:dyDescent="0.25">
      <c r="A4545">
        <v>14</v>
      </c>
      <c r="B4545" t="s">
        <v>263</v>
      </c>
      <c r="C4545">
        <f>-0.19-3.25</f>
        <v>-3.44</v>
      </c>
      <c r="D4545">
        <v>1.53</v>
      </c>
      <c r="E4545" t="s">
        <v>58</v>
      </c>
      <c r="F4545" t="s">
        <v>87</v>
      </c>
      <c r="G4545">
        <v>3.25</v>
      </c>
      <c r="H4545">
        <v>-0.19</v>
      </c>
      <c r="I4545">
        <v>1.72</v>
      </c>
      <c r="J4545">
        <v>2.9584000000000001</v>
      </c>
      <c r="K4545" t="str">
        <f>IFERROR(INDEX(Rosters!$C$2:$C$155,MATCH($B4545,Rosters!$B$2:$B$155,0)),"NA")</f>
        <v>NA</v>
      </c>
      <c r="L4545" t="str">
        <f t="shared" si="210"/>
        <v>NA14WR</v>
      </c>
      <c r="M4545">
        <f>COUNTIF(L$1:L4545,L4545)</f>
        <v>63</v>
      </c>
      <c r="N4545" t="str">
        <f t="shared" si="211"/>
        <v>NA14WR-63</v>
      </c>
      <c r="O4545">
        <f>COUNTIFS(F$1:F4545,F4545,A$1:A4545,A4545)</f>
        <v>117</v>
      </c>
      <c r="P4545" t="str">
        <f t="shared" si="212"/>
        <v>T.J. Jones14</v>
      </c>
    </row>
    <row r="4546" spans="1:16" x14ac:dyDescent="0.25">
      <c r="A4546">
        <v>17</v>
      </c>
      <c r="B4546" t="s">
        <v>4208</v>
      </c>
      <c r="C4546">
        <f>-0.06-3.1</f>
        <v>-3.16</v>
      </c>
      <c r="D4546">
        <v>1.52</v>
      </c>
      <c r="E4546" t="s">
        <v>54</v>
      </c>
      <c r="F4546" t="s">
        <v>114</v>
      </c>
      <c r="G4546">
        <v>3.1</v>
      </c>
      <c r="H4546">
        <v>-0.06</v>
      </c>
      <c r="I4546">
        <v>1.58</v>
      </c>
      <c r="J4546">
        <v>2.4964</v>
      </c>
      <c r="K4546" t="str">
        <f>IFERROR(INDEX(Rosters!$C$2:$C$155,MATCH($B4546,Rosters!$B$2:$B$155,0)),"NA")</f>
        <v>NA</v>
      </c>
      <c r="L4546" t="str">
        <f t="shared" si="210"/>
        <v>NA17TE</v>
      </c>
      <c r="M4546">
        <f>COUNTIF(L$1:L4546,L4546)</f>
        <v>49</v>
      </c>
      <c r="N4546" t="str">
        <f t="shared" si="211"/>
        <v>NA17TE-49</v>
      </c>
      <c r="O4546">
        <f>COUNTIFS(F$1:F4546,F4546,A$1:A4546,A4546)</f>
        <v>63</v>
      </c>
      <c r="P4546" t="str">
        <f t="shared" si="212"/>
        <v>Blake Jarwin17</v>
      </c>
    </row>
    <row r="4547" spans="1:16" x14ac:dyDescent="0.25">
      <c r="A4547">
        <v>7</v>
      </c>
      <c r="B4547" t="s">
        <v>318</v>
      </c>
      <c r="C4547">
        <f>-0.31-3.35</f>
        <v>-3.66</v>
      </c>
      <c r="D4547">
        <v>1.52</v>
      </c>
      <c r="E4547" t="s">
        <v>73</v>
      </c>
      <c r="F4547" t="s">
        <v>114</v>
      </c>
      <c r="G4547">
        <v>3.35</v>
      </c>
      <c r="H4547">
        <v>-0.31</v>
      </c>
      <c r="I4547">
        <v>1.83</v>
      </c>
      <c r="J4547">
        <v>3.3489</v>
      </c>
      <c r="K4547" t="str">
        <f>IFERROR(INDEX(Rosters!$C$2:$C$155,MATCH($B4547,Rosters!$B$2:$B$155,0)),"NA")</f>
        <v>NA</v>
      </c>
      <c r="L4547" t="str">
        <f t="shared" ref="L4547:L4610" si="213">K4547&amp;A4547&amp;F4547</f>
        <v>NA7TE</v>
      </c>
      <c r="M4547">
        <f>COUNTIF(L$1:L4547,L4547)</f>
        <v>45</v>
      </c>
      <c r="N4547" t="str">
        <f t="shared" ref="N4547:N4610" si="214">L4547&amp;"-"&amp;M4547</f>
        <v>NA7TE-45</v>
      </c>
      <c r="O4547">
        <f>COUNTIFS(F$1:F4547,F4547,A$1:A4547,A4547)</f>
        <v>55</v>
      </c>
      <c r="P4547" t="str">
        <f t="shared" ref="P4547:P4610" si="215">B4547&amp;A4547</f>
        <v>David Morgan7</v>
      </c>
    </row>
    <row r="4548" spans="1:16" x14ac:dyDescent="0.25">
      <c r="A4548">
        <v>9</v>
      </c>
      <c r="B4548" t="s">
        <v>318</v>
      </c>
      <c r="C4548">
        <f>-0.1-3.14</f>
        <v>-3.24</v>
      </c>
      <c r="D4548">
        <v>1.52</v>
      </c>
      <c r="E4548" t="s">
        <v>34</v>
      </c>
      <c r="F4548" t="s">
        <v>114</v>
      </c>
      <c r="G4548">
        <v>3.14</v>
      </c>
      <c r="H4548">
        <v>-0.1</v>
      </c>
      <c r="I4548">
        <v>1.62</v>
      </c>
      <c r="J4548">
        <v>2.6244000000000001</v>
      </c>
      <c r="K4548" t="str">
        <f>IFERROR(INDEX(Rosters!$C$2:$C$155,MATCH($B4548,Rosters!$B$2:$B$155,0)),"NA")</f>
        <v>NA</v>
      </c>
      <c r="L4548" t="str">
        <f t="shared" si="213"/>
        <v>NA9TE</v>
      </c>
      <c r="M4548">
        <f>COUNTIF(L$1:L4548,L4548)</f>
        <v>39</v>
      </c>
      <c r="N4548" t="str">
        <f t="shared" si="214"/>
        <v>NA9TE-39</v>
      </c>
      <c r="O4548">
        <f>COUNTIFS(F$1:F4548,F4548,A$1:A4548,A4548)</f>
        <v>50</v>
      </c>
      <c r="P4548" t="str">
        <f t="shared" si="215"/>
        <v>David Morgan9</v>
      </c>
    </row>
    <row r="4549" spans="1:16" x14ac:dyDescent="0.25">
      <c r="A4549">
        <v>4</v>
      </c>
      <c r="B4549" t="s">
        <v>1106</v>
      </c>
      <c r="C4549">
        <f>-0.25-3.29</f>
        <v>-3.54</v>
      </c>
      <c r="D4549">
        <v>1.52</v>
      </c>
      <c r="E4549" t="s">
        <v>76</v>
      </c>
      <c r="F4549" t="s">
        <v>114</v>
      </c>
      <c r="G4549">
        <v>3.29</v>
      </c>
      <c r="H4549">
        <v>-0.25</v>
      </c>
      <c r="I4549">
        <v>1.77</v>
      </c>
      <c r="J4549">
        <v>3.1328999999999998</v>
      </c>
      <c r="K4549" t="str">
        <f>IFERROR(INDEX(Rosters!$C$2:$C$155,MATCH($B4549,Rosters!$B$2:$B$155,0)),"NA")</f>
        <v>NA</v>
      </c>
      <c r="L4549" t="str">
        <f t="shared" si="213"/>
        <v>NA4TE</v>
      </c>
      <c r="M4549">
        <f>COUNTIF(L$1:L4549,L4549)</f>
        <v>43</v>
      </c>
      <c r="N4549" t="str">
        <f t="shared" si="214"/>
        <v>NA4TE-43</v>
      </c>
      <c r="O4549">
        <f>COUNTIFS(F$1:F4549,F4549,A$1:A4549,A4549)</f>
        <v>54</v>
      </c>
      <c r="P4549" t="str">
        <f t="shared" si="215"/>
        <v>Jordan Leggett4</v>
      </c>
    </row>
    <row r="4550" spans="1:16" x14ac:dyDescent="0.25">
      <c r="A4550">
        <v>5</v>
      </c>
      <c r="B4550" t="s">
        <v>300</v>
      </c>
      <c r="C4550">
        <f>-0.4-3.44</f>
        <v>-3.84</v>
      </c>
      <c r="D4550">
        <v>1.52</v>
      </c>
      <c r="E4550" t="s">
        <v>34</v>
      </c>
      <c r="F4550" t="s">
        <v>114</v>
      </c>
      <c r="G4550">
        <v>3.44</v>
      </c>
      <c r="H4550">
        <v>-0.4</v>
      </c>
      <c r="I4550">
        <v>1.92</v>
      </c>
      <c r="J4550">
        <v>3.6863999999999999</v>
      </c>
      <c r="K4550" t="str">
        <f>IFERROR(INDEX(Rosters!$C$2:$C$155,MATCH($B4550,Rosters!$B$2:$B$155,0)),"NA")</f>
        <v>NA</v>
      </c>
      <c r="L4550" t="str">
        <f t="shared" si="213"/>
        <v>NA5TE</v>
      </c>
      <c r="M4550">
        <f>COUNTIF(L$1:L4550,L4550)</f>
        <v>44</v>
      </c>
      <c r="N4550" t="str">
        <f t="shared" si="214"/>
        <v>NA5TE-44</v>
      </c>
      <c r="O4550">
        <f>COUNTIFS(F$1:F4550,F4550,A$1:A4550,A4550)</f>
        <v>55</v>
      </c>
      <c r="P4550" t="str">
        <f t="shared" si="215"/>
        <v>Lance Kendricks5</v>
      </c>
    </row>
    <row r="4551" spans="1:16" x14ac:dyDescent="0.25">
      <c r="A4551">
        <v>10</v>
      </c>
      <c r="B4551" t="s">
        <v>300</v>
      </c>
      <c r="C4551">
        <f>-0.33-3.37</f>
        <v>-3.7</v>
      </c>
      <c r="D4551">
        <v>1.52</v>
      </c>
      <c r="E4551" t="s">
        <v>19</v>
      </c>
      <c r="F4551" t="s">
        <v>114</v>
      </c>
      <c r="G4551">
        <v>3.37</v>
      </c>
      <c r="H4551">
        <v>-0.33</v>
      </c>
      <c r="I4551">
        <v>1.85</v>
      </c>
      <c r="J4551">
        <v>3.4224999999999999</v>
      </c>
      <c r="K4551" t="str">
        <f>IFERROR(INDEX(Rosters!$C$2:$C$155,MATCH($B4551,Rosters!$B$2:$B$155,0)),"NA")</f>
        <v>NA</v>
      </c>
      <c r="L4551" t="str">
        <f t="shared" si="213"/>
        <v>NA10TE</v>
      </c>
      <c r="M4551">
        <f>COUNTIF(L$1:L4551,L4551)</f>
        <v>39</v>
      </c>
      <c r="N4551" t="str">
        <f t="shared" si="214"/>
        <v>NA10TE-39</v>
      </c>
      <c r="O4551">
        <f>COUNTIFS(F$1:F4551,F4551,A$1:A4551,A4551)</f>
        <v>52</v>
      </c>
      <c r="P4551" t="str">
        <f t="shared" si="215"/>
        <v>Lance Kendricks10</v>
      </c>
    </row>
    <row r="4552" spans="1:16" x14ac:dyDescent="0.25">
      <c r="A4552">
        <v>15</v>
      </c>
      <c r="B4552" t="s">
        <v>4208</v>
      </c>
      <c r="C4552">
        <f>-0.19-3.21</f>
        <v>-3.4</v>
      </c>
      <c r="D4552">
        <v>1.51</v>
      </c>
      <c r="E4552" t="s">
        <v>66</v>
      </c>
      <c r="F4552" t="s">
        <v>114</v>
      </c>
      <c r="G4552">
        <v>3.21</v>
      </c>
      <c r="H4552">
        <v>-0.19</v>
      </c>
      <c r="I4552">
        <v>1.7</v>
      </c>
      <c r="J4552">
        <v>2.89</v>
      </c>
      <c r="K4552" t="str">
        <f>IFERROR(INDEX(Rosters!$C$2:$C$155,MATCH($B4552,Rosters!$B$2:$B$155,0)),"NA")</f>
        <v>NA</v>
      </c>
      <c r="L4552" t="str">
        <f t="shared" si="213"/>
        <v>NA15TE</v>
      </c>
      <c r="M4552">
        <f>COUNTIF(L$1:L4552,L4552)</f>
        <v>48</v>
      </c>
      <c r="N4552" t="str">
        <f t="shared" si="214"/>
        <v>NA15TE-48</v>
      </c>
      <c r="O4552">
        <f>COUNTIFS(F$1:F4552,F4552,A$1:A4552,A4552)</f>
        <v>62</v>
      </c>
      <c r="P4552" t="str">
        <f t="shared" si="215"/>
        <v>Blake Jarwin15</v>
      </c>
    </row>
    <row r="4553" spans="1:16" x14ac:dyDescent="0.25">
      <c r="A4553">
        <v>3</v>
      </c>
      <c r="B4553" t="s">
        <v>2947</v>
      </c>
      <c r="C4553">
        <f>-0.03-3.05</f>
        <v>-3.0799999999999996</v>
      </c>
      <c r="D4553">
        <v>1.51</v>
      </c>
      <c r="E4553" t="s">
        <v>14</v>
      </c>
      <c r="F4553" t="s">
        <v>47</v>
      </c>
      <c r="G4553">
        <v>3.05</v>
      </c>
      <c r="H4553">
        <v>-0.03</v>
      </c>
      <c r="I4553">
        <v>1.54</v>
      </c>
      <c r="J4553">
        <v>2.3715999999999999</v>
      </c>
      <c r="K4553" t="str">
        <f>IFERROR(INDEX(Rosters!$C$2:$C$155,MATCH($B4553,Rosters!$B$2:$B$155,0)),"NA")</f>
        <v>NA</v>
      </c>
      <c r="L4553" t="str">
        <f t="shared" si="213"/>
        <v>NA3RB</v>
      </c>
      <c r="M4553">
        <f>COUNTIF(L$1:L4553,L4553)</f>
        <v>35</v>
      </c>
      <c r="N4553" t="str">
        <f t="shared" si="214"/>
        <v>NA3RB-35</v>
      </c>
      <c r="O4553">
        <f>COUNTIFS(F$1:F4553,F4553,A$1:A4553,A4553)</f>
        <v>74</v>
      </c>
      <c r="P4553" t="str">
        <f t="shared" si="215"/>
        <v>Brian Hill3</v>
      </c>
    </row>
    <row r="4554" spans="1:16" x14ac:dyDescent="0.25">
      <c r="A4554">
        <v>5</v>
      </c>
      <c r="B4554" t="s">
        <v>342</v>
      </c>
      <c r="C4554" t="s">
        <v>8599</v>
      </c>
      <c r="D4554">
        <v>1.51</v>
      </c>
      <c r="E4554" t="s">
        <v>19</v>
      </c>
      <c r="F4554" t="s">
        <v>87</v>
      </c>
      <c r="G4554">
        <v>2.98</v>
      </c>
      <c r="H4554">
        <v>0.04</v>
      </c>
      <c r="I4554">
        <v>1.47</v>
      </c>
      <c r="J4554">
        <v>2.1608999999999998</v>
      </c>
      <c r="K4554" t="str">
        <f>IFERROR(INDEX(Rosters!$C$2:$C$155,MATCH($B4554,Rosters!$B$2:$B$155,0)),"NA")</f>
        <v>NA</v>
      </c>
      <c r="L4554" t="str">
        <f t="shared" si="213"/>
        <v>NA5WR</v>
      </c>
      <c r="M4554">
        <f>COUNTIF(L$1:L4554,L4554)</f>
        <v>63</v>
      </c>
      <c r="N4554" t="str">
        <f t="shared" si="214"/>
        <v>NA5WR-63</v>
      </c>
      <c r="O4554">
        <f>COUNTIFS(F$1:F4554,F4554,A$1:A4554,A4554)</f>
        <v>113</v>
      </c>
      <c r="P4554" t="str">
        <f t="shared" si="215"/>
        <v>Cody Core5</v>
      </c>
    </row>
    <row r="4555" spans="1:16" x14ac:dyDescent="0.25">
      <c r="A4555">
        <v>2</v>
      </c>
      <c r="B4555" t="s">
        <v>304</v>
      </c>
      <c r="C4555">
        <f>-0.25-3.27</f>
        <v>-3.52</v>
      </c>
      <c r="D4555">
        <v>1.51</v>
      </c>
      <c r="E4555" t="s">
        <v>24</v>
      </c>
      <c r="F4555" t="s">
        <v>87</v>
      </c>
      <c r="G4555">
        <v>3.27</v>
      </c>
      <c r="H4555">
        <v>-0.25</v>
      </c>
      <c r="I4555">
        <v>1.76</v>
      </c>
      <c r="J4555">
        <v>3.0975999999999999</v>
      </c>
      <c r="K4555" t="str">
        <f>IFERROR(INDEX(Rosters!$C$2:$C$155,MATCH($B4555,Rosters!$B$2:$B$155,0)),"NA")</f>
        <v>NA</v>
      </c>
      <c r="L4555" t="str">
        <f t="shared" si="213"/>
        <v>NA2WR</v>
      </c>
      <c r="M4555">
        <f>COUNTIF(L$1:L4555,L4555)</f>
        <v>56</v>
      </c>
      <c r="N4555" t="str">
        <f t="shared" si="214"/>
        <v>NA2WR-56</v>
      </c>
      <c r="O4555">
        <f>COUNTIFS(F$1:F4555,F4555,A$1:A4555,A4555)</f>
        <v>104</v>
      </c>
      <c r="P4555" t="str">
        <f t="shared" si="215"/>
        <v>Darrius Heyward-Bey2</v>
      </c>
    </row>
    <row r="4556" spans="1:16" x14ac:dyDescent="0.25">
      <c r="A4556">
        <v>9</v>
      </c>
      <c r="B4556" t="s">
        <v>339</v>
      </c>
      <c r="C4556" t="s">
        <v>8600</v>
      </c>
      <c r="D4556">
        <v>1.51</v>
      </c>
      <c r="E4556" t="s">
        <v>32</v>
      </c>
      <c r="F4556" t="s">
        <v>47</v>
      </c>
      <c r="G4556">
        <v>2.89</v>
      </c>
      <c r="H4556">
        <v>0.13</v>
      </c>
      <c r="I4556">
        <v>1.38</v>
      </c>
      <c r="J4556">
        <v>1.9044000000000001</v>
      </c>
      <c r="K4556" t="str">
        <f>IFERROR(INDEX(Rosters!$C$2:$C$155,MATCH($B4556,Rosters!$B$2:$B$155,0)),"NA")</f>
        <v>NA</v>
      </c>
      <c r="L4556" t="str">
        <f t="shared" si="213"/>
        <v>NA9RB</v>
      </c>
      <c r="M4556">
        <f>COUNTIF(L$1:L4556,L4556)</f>
        <v>25</v>
      </c>
      <c r="N4556" t="str">
        <f t="shared" si="214"/>
        <v>NA9RB-25</v>
      </c>
      <c r="O4556">
        <f>COUNTIFS(F$1:F4556,F4556,A$1:A4556,A4556)</f>
        <v>65</v>
      </c>
      <c r="P4556" t="str">
        <f t="shared" si="215"/>
        <v>Kyle Juszczyk9</v>
      </c>
    </row>
    <row r="4557" spans="1:16" x14ac:dyDescent="0.25">
      <c r="A4557">
        <v>14</v>
      </c>
      <c r="B4557" t="s">
        <v>300</v>
      </c>
      <c r="C4557">
        <f>-0.42-3.44</f>
        <v>-3.86</v>
      </c>
      <c r="D4557">
        <v>1.51</v>
      </c>
      <c r="E4557" t="s">
        <v>46</v>
      </c>
      <c r="F4557" t="s">
        <v>114</v>
      </c>
      <c r="G4557">
        <v>3.44</v>
      </c>
      <c r="H4557">
        <v>-0.42</v>
      </c>
      <c r="I4557">
        <v>1.93</v>
      </c>
      <c r="J4557">
        <v>3.7248999999999999</v>
      </c>
      <c r="K4557" t="str">
        <f>IFERROR(INDEX(Rosters!$C$2:$C$155,MATCH($B4557,Rosters!$B$2:$B$155,0)),"NA")</f>
        <v>NA</v>
      </c>
      <c r="L4557" t="str">
        <f t="shared" si="213"/>
        <v>NA14TE</v>
      </c>
      <c r="M4557">
        <f>COUNTIF(L$1:L4557,L4557)</f>
        <v>50</v>
      </c>
      <c r="N4557" t="str">
        <f t="shared" si="214"/>
        <v>NA14TE-50</v>
      </c>
      <c r="O4557">
        <f>COUNTIFS(F$1:F4557,F4557,A$1:A4557,A4557)</f>
        <v>64</v>
      </c>
      <c r="P4557" t="str">
        <f t="shared" si="215"/>
        <v>Lance Kendricks14</v>
      </c>
    </row>
    <row r="4558" spans="1:16" x14ac:dyDescent="0.25">
      <c r="A4558">
        <v>14</v>
      </c>
      <c r="B4558" t="s">
        <v>1336</v>
      </c>
      <c r="C4558" t="s">
        <v>8601</v>
      </c>
      <c r="D4558">
        <v>1.51</v>
      </c>
      <c r="E4558" t="s">
        <v>25</v>
      </c>
      <c r="F4558" t="s">
        <v>47</v>
      </c>
      <c r="G4558">
        <v>2.67</v>
      </c>
      <c r="H4558">
        <v>0.35</v>
      </c>
      <c r="I4558">
        <v>1.1599999999999999</v>
      </c>
      <c r="J4558">
        <v>1.3455999999999999</v>
      </c>
      <c r="K4558" t="str">
        <f>IFERROR(INDEX(Rosters!$C$2:$C$155,MATCH($B4558,Rosters!$B$2:$B$155,0)),"NA")</f>
        <v>NA</v>
      </c>
      <c r="L4558" t="str">
        <f t="shared" si="213"/>
        <v>NA14RB</v>
      </c>
      <c r="M4558">
        <f>COUNTIF(L$1:L4558,L4558)</f>
        <v>35</v>
      </c>
      <c r="N4558" t="str">
        <f t="shared" si="214"/>
        <v>NA14RB-35</v>
      </c>
      <c r="O4558">
        <f>COUNTIFS(F$1:F4558,F4558,A$1:A4558,A4558)</f>
        <v>82</v>
      </c>
      <c r="P4558" t="str">
        <f t="shared" si="215"/>
        <v>Rashaad Penny14</v>
      </c>
    </row>
    <row r="4559" spans="1:16" x14ac:dyDescent="0.25">
      <c r="A4559">
        <v>15</v>
      </c>
      <c r="B4559" t="s">
        <v>263</v>
      </c>
      <c r="C4559" t="s">
        <v>8602</v>
      </c>
      <c r="D4559">
        <v>1.51</v>
      </c>
      <c r="E4559" t="s">
        <v>29</v>
      </c>
      <c r="F4559" t="s">
        <v>87</v>
      </c>
      <c r="G4559">
        <v>2.85</v>
      </c>
      <c r="H4559">
        <v>0.17</v>
      </c>
      <c r="I4559">
        <v>1.34</v>
      </c>
      <c r="J4559">
        <v>1.7956000000000001</v>
      </c>
      <c r="K4559" t="str">
        <f>IFERROR(INDEX(Rosters!$C$2:$C$155,MATCH($B4559,Rosters!$B$2:$B$155,0)),"NA")</f>
        <v>NA</v>
      </c>
      <c r="L4559" t="str">
        <f t="shared" si="213"/>
        <v>NA15WR</v>
      </c>
      <c r="M4559">
        <f>COUNTIF(L$1:L4559,L4559)</f>
        <v>63</v>
      </c>
      <c r="N4559" t="str">
        <f t="shared" si="214"/>
        <v>NA15WR-63</v>
      </c>
      <c r="O4559">
        <f>COUNTIFS(F$1:F4559,F4559,A$1:A4559,A4559)</f>
        <v>117</v>
      </c>
      <c r="P4559" t="str">
        <f t="shared" si="215"/>
        <v>T.J. Jones15</v>
      </c>
    </row>
    <row r="4560" spans="1:16" x14ac:dyDescent="0.25">
      <c r="A4560">
        <v>12</v>
      </c>
      <c r="B4560" t="s">
        <v>339</v>
      </c>
      <c r="C4560" t="s">
        <v>8603</v>
      </c>
      <c r="D4560">
        <v>1.5</v>
      </c>
      <c r="E4560" t="s">
        <v>17</v>
      </c>
      <c r="F4560" t="s">
        <v>47</v>
      </c>
      <c r="G4560">
        <v>2.88</v>
      </c>
      <c r="H4560">
        <v>0.12</v>
      </c>
      <c r="I4560">
        <v>1.38</v>
      </c>
      <c r="J4560">
        <v>1.9044000000000001</v>
      </c>
      <c r="K4560" t="str">
        <f>IFERROR(INDEX(Rosters!$C$2:$C$155,MATCH($B4560,Rosters!$B$2:$B$155,0)),"NA")</f>
        <v>NA</v>
      </c>
      <c r="L4560" t="str">
        <f t="shared" si="213"/>
        <v>NA12RB</v>
      </c>
      <c r="M4560">
        <f>COUNTIF(L$1:L4560,L4560)</f>
        <v>33</v>
      </c>
      <c r="N4560" t="str">
        <f t="shared" si="214"/>
        <v>NA12RB-33</v>
      </c>
      <c r="O4560">
        <f>COUNTIFS(F$1:F4560,F4560,A$1:A4560,A4560)</f>
        <v>78</v>
      </c>
      <c r="P4560" t="str">
        <f t="shared" si="215"/>
        <v>Kyle Juszczyk12</v>
      </c>
    </row>
    <row r="4561" spans="1:16" x14ac:dyDescent="0.25">
      <c r="A4561">
        <v>15</v>
      </c>
      <c r="B4561" t="s">
        <v>1556</v>
      </c>
      <c r="C4561">
        <f>-0.17-3.17</f>
        <v>-3.34</v>
      </c>
      <c r="D4561">
        <v>1.5</v>
      </c>
      <c r="E4561" t="s">
        <v>34</v>
      </c>
      <c r="F4561" t="s">
        <v>47</v>
      </c>
      <c r="G4561">
        <v>3.17</v>
      </c>
      <c r="H4561">
        <v>-0.17</v>
      </c>
      <c r="I4561">
        <v>1.67</v>
      </c>
      <c r="J4561">
        <v>2.7888999999999999</v>
      </c>
      <c r="K4561" t="str">
        <f>IFERROR(INDEX(Rosters!$C$2:$C$155,MATCH($B4561,Rosters!$B$2:$B$155,0)),"NA")</f>
        <v>NA</v>
      </c>
      <c r="L4561" t="str">
        <f t="shared" si="213"/>
        <v>NA15RB</v>
      </c>
      <c r="M4561">
        <f>COUNTIF(L$1:L4561,L4561)</f>
        <v>33</v>
      </c>
      <c r="N4561" t="str">
        <f t="shared" si="214"/>
        <v>NA15RB-33</v>
      </c>
      <c r="O4561">
        <f>COUNTIFS(F$1:F4561,F4561,A$1:A4561,A4561)</f>
        <v>80</v>
      </c>
      <c r="P4561" t="str">
        <f t="shared" si="215"/>
        <v>Marcus Murphy15</v>
      </c>
    </row>
    <row r="4562" spans="1:16" x14ac:dyDescent="0.25">
      <c r="A4562">
        <v>4</v>
      </c>
      <c r="B4562" t="s">
        <v>270</v>
      </c>
      <c r="C4562">
        <f>-0.21-3.21</f>
        <v>-3.42</v>
      </c>
      <c r="D4562">
        <v>1.5</v>
      </c>
      <c r="E4562" t="s">
        <v>51</v>
      </c>
      <c r="F4562" t="s">
        <v>114</v>
      </c>
      <c r="G4562">
        <v>3.21</v>
      </c>
      <c r="H4562">
        <v>-0.21</v>
      </c>
      <c r="I4562">
        <v>1.71</v>
      </c>
      <c r="J4562">
        <v>2.9241000000000001</v>
      </c>
      <c r="K4562" t="str">
        <f>IFERROR(INDEX(Rosters!$C$2:$C$155,MATCH($B4562,Rosters!$B$2:$B$155,0)),"NA")</f>
        <v>NA</v>
      </c>
      <c r="L4562" t="str">
        <f t="shared" si="213"/>
        <v>NA4TE</v>
      </c>
      <c r="M4562">
        <f>COUNTIF(L$1:L4562,L4562)</f>
        <v>44</v>
      </c>
      <c r="N4562" t="str">
        <f t="shared" si="214"/>
        <v>NA4TE-44</v>
      </c>
      <c r="O4562">
        <f>COUNTIFS(F$1:F4562,F4562,A$1:A4562,A4562)</f>
        <v>55</v>
      </c>
      <c r="P4562" t="str">
        <f t="shared" si="215"/>
        <v>Maxx Williams4</v>
      </c>
    </row>
    <row r="4563" spans="1:16" x14ac:dyDescent="0.25">
      <c r="A4563">
        <v>9</v>
      </c>
      <c r="B4563" t="s">
        <v>270</v>
      </c>
      <c r="C4563">
        <f>-0.15-3.15</f>
        <v>-3.3</v>
      </c>
      <c r="D4563">
        <v>1.5</v>
      </c>
      <c r="E4563" t="s">
        <v>51</v>
      </c>
      <c r="F4563" t="s">
        <v>114</v>
      </c>
      <c r="G4563">
        <v>3.15</v>
      </c>
      <c r="H4563">
        <v>-0.15</v>
      </c>
      <c r="I4563">
        <v>1.65</v>
      </c>
      <c r="J4563">
        <v>2.7225000000000001</v>
      </c>
      <c r="K4563" t="str">
        <f>IFERROR(INDEX(Rosters!$C$2:$C$155,MATCH($B4563,Rosters!$B$2:$B$155,0)),"NA")</f>
        <v>NA</v>
      </c>
      <c r="L4563" t="str">
        <f t="shared" si="213"/>
        <v>NA9TE</v>
      </c>
      <c r="M4563">
        <f>COUNTIF(L$1:L4563,L4563)</f>
        <v>40</v>
      </c>
      <c r="N4563" t="str">
        <f t="shared" si="214"/>
        <v>NA9TE-40</v>
      </c>
      <c r="O4563">
        <f>COUNTIFS(F$1:F4563,F4563,A$1:A4563,A4563)</f>
        <v>51</v>
      </c>
      <c r="P4563" t="str">
        <f t="shared" si="215"/>
        <v>Maxx Williams9</v>
      </c>
    </row>
    <row r="4564" spans="1:16" x14ac:dyDescent="0.25">
      <c r="A4564">
        <v>10</v>
      </c>
      <c r="B4564" t="s">
        <v>263</v>
      </c>
      <c r="C4564">
        <f>-0.23-3.23</f>
        <v>-3.46</v>
      </c>
      <c r="D4564">
        <v>1.5</v>
      </c>
      <c r="E4564" t="s">
        <v>72</v>
      </c>
      <c r="F4564" t="s">
        <v>87</v>
      </c>
      <c r="G4564">
        <v>3.23</v>
      </c>
      <c r="H4564">
        <v>-0.23</v>
      </c>
      <c r="I4564">
        <v>1.73</v>
      </c>
      <c r="J4564">
        <v>2.9929000000000001</v>
      </c>
      <c r="K4564" t="str">
        <f>IFERROR(INDEX(Rosters!$C$2:$C$155,MATCH($B4564,Rosters!$B$2:$B$155,0)),"NA")</f>
        <v>NA</v>
      </c>
      <c r="L4564" t="str">
        <f t="shared" si="213"/>
        <v>NA10WR</v>
      </c>
      <c r="M4564">
        <f>COUNTIF(L$1:L4564,L4564)</f>
        <v>59</v>
      </c>
      <c r="N4564" t="str">
        <f t="shared" si="214"/>
        <v>NA10WR-59</v>
      </c>
      <c r="O4564">
        <f>COUNTIFS(F$1:F4564,F4564,A$1:A4564,A4564)</f>
        <v>104</v>
      </c>
      <c r="P4564" t="str">
        <f t="shared" si="215"/>
        <v>T.J. Jones10</v>
      </c>
    </row>
    <row r="4565" spans="1:16" x14ac:dyDescent="0.25">
      <c r="A4565">
        <v>11</v>
      </c>
      <c r="B4565" t="s">
        <v>268</v>
      </c>
      <c r="C4565" t="s">
        <v>8604</v>
      </c>
      <c r="D4565">
        <v>1.5</v>
      </c>
      <c r="E4565" t="s">
        <v>17</v>
      </c>
      <c r="F4565" t="s">
        <v>47</v>
      </c>
      <c r="G4565">
        <v>2.91</v>
      </c>
      <c r="H4565">
        <v>0.09</v>
      </c>
      <c r="I4565">
        <v>1.41</v>
      </c>
      <c r="J4565">
        <v>1.9881</v>
      </c>
      <c r="K4565" t="str">
        <f>IFERROR(INDEX(Rosters!$C$2:$C$155,MATCH($B4565,Rosters!$B$2:$B$155,0)),"NA")</f>
        <v>NA</v>
      </c>
      <c r="L4565" t="str">
        <f t="shared" si="213"/>
        <v>NA11RB</v>
      </c>
      <c r="M4565">
        <f>COUNTIF(L$1:L4565,L4565)</f>
        <v>29</v>
      </c>
      <c r="N4565" t="str">
        <f t="shared" si="214"/>
        <v>NA11RB-29</v>
      </c>
      <c r="O4565">
        <f>COUNTIFS(F$1:F4565,F4565,A$1:A4565,A4565)</f>
        <v>67</v>
      </c>
      <c r="P4565" t="str">
        <f t="shared" si="215"/>
        <v>Wayne Gallman11</v>
      </c>
    </row>
    <row r="4566" spans="1:16" x14ac:dyDescent="0.25">
      <c r="A4566">
        <v>8</v>
      </c>
      <c r="B4566" t="s">
        <v>233</v>
      </c>
      <c r="C4566" t="s">
        <v>8605</v>
      </c>
      <c r="D4566">
        <v>1.49</v>
      </c>
      <c r="E4566" t="s">
        <v>77</v>
      </c>
      <c r="F4566" t="s">
        <v>87</v>
      </c>
      <c r="G4566">
        <v>2.97</v>
      </c>
      <c r="H4566">
        <v>0.01</v>
      </c>
      <c r="I4566">
        <v>1.48</v>
      </c>
      <c r="J4566">
        <v>2.1903999999999999</v>
      </c>
      <c r="K4566" t="str">
        <f>IFERROR(INDEX(Rosters!$C$2:$C$155,MATCH($B4566,Rosters!$B$2:$B$155,0)),"NA")</f>
        <v>NA</v>
      </c>
      <c r="L4566" t="str">
        <f t="shared" si="213"/>
        <v>NA8WR</v>
      </c>
      <c r="M4566">
        <f>COUNTIF(L$1:L4566,L4566)</f>
        <v>55</v>
      </c>
      <c r="N4566" t="str">
        <f t="shared" si="214"/>
        <v>NA8WR-55</v>
      </c>
      <c r="O4566">
        <f>COUNTIFS(F$1:F4566,F4566,A$1:A4566,A4566)</f>
        <v>104</v>
      </c>
      <c r="P4566" t="str">
        <f t="shared" si="215"/>
        <v>Curtis Samuel8</v>
      </c>
    </row>
    <row r="4567" spans="1:16" x14ac:dyDescent="0.25">
      <c r="A4567">
        <v>4</v>
      </c>
      <c r="B4567" t="s">
        <v>254</v>
      </c>
      <c r="C4567">
        <f>-0.02-3</f>
        <v>-3.02</v>
      </c>
      <c r="D4567">
        <v>1.49</v>
      </c>
      <c r="E4567" t="s">
        <v>19</v>
      </c>
      <c r="F4567" t="s">
        <v>114</v>
      </c>
      <c r="G4567">
        <v>3</v>
      </c>
      <c r="H4567">
        <v>-0.02</v>
      </c>
      <c r="I4567">
        <v>1.51</v>
      </c>
      <c r="J4567">
        <v>2.2801</v>
      </c>
      <c r="K4567" t="str">
        <f>IFERROR(INDEX(Rosters!$C$2:$C$155,MATCH($B4567,Rosters!$B$2:$B$155,0)),"NA")</f>
        <v>NA</v>
      </c>
      <c r="L4567" t="str">
        <f t="shared" si="213"/>
        <v>NA4TE</v>
      </c>
      <c r="M4567">
        <f>COUNTIF(L$1:L4567,L4567)</f>
        <v>45</v>
      </c>
      <c r="N4567" t="str">
        <f t="shared" si="214"/>
        <v>NA4TE-45</v>
      </c>
      <c r="O4567">
        <f>COUNTIFS(F$1:F4567,F4567,A$1:A4567,A4567)</f>
        <v>56</v>
      </c>
      <c r="P4567" t="str">
        <f t="shared" si="215"/>
        <v>Dwayne Allen4</v>
      </c>
    </row>
    <row r="4568" spans="1:16" x14ac:dyDescent="0.25">
      <c r="A4568">
        <v>16</v>
      </c>
      <c r="B4568" t="s">
        <v>1517</v>
      </c>
      <c r="C4568">
        <f>-0.28-3.26</f>
        <v>-3.54</v>
      </c>
      <c r="D4568">
        <v>1.49</v>
      </c>
      <c r="E4568" t="s">
        <v>74</v>
      </c>
      <c r="F4568" t="s">
        <v>114</v>
      </c>
      <c r="G4568">
        <v>3.26</v>
      </c>
      <c r="H4568">
        <v>-0.28000000000000003</v>
      </c>
      <c r="I4568">
        <v>1.77</v>
      </c>
      <c r="J4568">
        <v>3.1328999999999998</v>
      </c>
      <c r="K4568" t="str">
        <f>IFERROR(INDEX(Rosters!$C$2:$C$155,MATCH($B4568,Rosters!$B$2:$B$155,0)),"NA")</f>
        <v>NA</v>
      </c>
      <c r="L4568" t="str">
        <f t="shared" si="213"/>
        <v>NA16TE</v>
      </c>
      <c r="M4568">
        <f>COUNTIF(L$1:L4568,L4568)</f>
        <v>47</v>
      </c>
      <c r="N4568" t="str">
        <f t="shared" si="214"/>
        <v>NA16TE-47</v>
      </c>
      <c r="O4568">
        <f>COUNTIFS(F$1:F4568,F4568,A$1:A4568,A4568)</f>
        <v>61</v>
      </c>
      <c r="P4568" t="str">
        <f t="shared" si="215"/>
        <v>Eric Saubert16</v>
      </c>
    </row>
    <row r="4569" spans="1:16" x14ac:dyDescent="0.25">
      <c r="A4569">
        <v>6</v>
      </c>
      <c r="B4569" t="s">
        <v>1458</v>
      </c>
      <c r="C4569" t="s">
        <v>8606</v>
      </c>
      <c r="D4569">
        <v>1.49</v>
      </c>
      <c r="E4569" t="s">
        <v>72</v>
      </c>
      <c r="F4569" t="s">
        <v>47</v>
      </c>
      <c r="G4569">
        <v>2.91</v>
      </c>
      <c r="H4569">
        <v>7.0000000000000007E-2</v>
      </c>
      <c r="I4569">
        <v>1.42</v>
      </c>
      <c r="J4569">
        <v>2.0164</v>
      </c>
      <c r="K4569" t="str">
        <f>IFERROR(INDEX(Rosters!$C$2:$C$155,MATCH($B4569,Rosters!$B$2:$B$155,0)),"NA")</f>
        <v>NA</v>
      </c>
      <c r="L4569" t="str">
        <f t="shared" si="213"/>
        <v>NA6RB</v>
      </c>
      <c r="M4569">
        <f>COUNTIF(L$1:L4569,L4569)</f>
        <v>30</v>
      </c>
      <c r="N4569" t="str">
        <f t="shared" si="214"/>
        <v>NA6RB-30</v>
      </c>
      <c r="O4569">
        <f>COUNTIFS(F$1:F4569,F4569,A$1:A4569,A4569)</f>
        <v>72</v>
      </c>
      <c r="P4569" t="str">
        <f t="shared" si="215"/>
        <v>Kalen Ballage6</v>
      </c>
    </row>
    <row r="4570" spans="1:16" x14ac:dyDescent="0.25">
      <c r="A4570">
        <v>6</v>
      </c>
      <c r="B4570" t="s">
        <v>300</v>
      </c>
      <c r="C4570">
        <f>-0.36-3.34</f>
        <v>-3.6999999999999997</v>
      </c>
      <c r="D4570">
        <v>1.49</v>
      </c>
      <c r="E4570" t="s">
        <v>30</v>
      </c>
      <c r="F4570" t="s">
        <v>114</v>
      </c>
      <c r="G4570">
        <v>3.34</v>
      </c>
      <c r="H4570">
        <v>-0.36</v>
      </c>
      <c r="I4570">
        <v>1.85</v>
      </c>
      <c r="J4570">
        <v>3.4224999999999999</v>
      </c>
      <c r="K4570" t="str">
        <f>IFERROR(INDEX(Rosters!$C$2:$C$155,MATCH($B4570,Rosters!$B$2:$B$155,0)),"NA")</f>
        <v>NA</v>
      </c>
      <c r="L4570" t="str">
        <f t="shared" si="213"/>
        <v>NA6TE</v>
      </c>
      <c r="M4570">
        <f>COUNTIF(L$1:L4570,L4570)</f>
        <v>43</v>
      </c>
      <c r="N4570" t="str">
        <f t="shared" si="214"/>
        <v>NA6TE-43</v>
      </c>
      <c r="O4570">
        <f>COUNTIFS(F$1:F4570,F4570,A$1:A4570,A4570)</f>
        <v>55</v>
      </c>
      <c r="P4570" t="str">
        <f t="shared" si="215"/>
        <v>Lance Kendricks6</v>
      </c>
    </row>
    <row r="4571" spans="1:16" x14ac:dyDescent="0.25">
      <c r="A4571">
        <v>12</v>
      </c>
      <c r="B4571" t="s">
        <v>144</v>
      </c>
      <c r="C4571">
        <f>-0.14-3.12</f>
        <v>-3.2600000000000002</v>
      </c>
      <c r="D4571">
        <v>1.49</v>
      </c>
      <c r="E4571" t="s">
        <v>46</v>
      </c>
      <c r="F4571" t="s">
        <v>47</v>
      </c>
      <c r="G4571">
        <v>3.12</v>
      </c>
      <c r="H4571">
        <v>-0.14000000000000001</v>
      </c>
      <c r="I4571">
        <v>1.63</v>
      </c>
      <c r="J4571">
        <v>2.6568999999999998</v>
      </c>
      <c r="K4571" t="str">
        <f>IFERROR(INDEX(Rosters!$C$2:$C$155,MATCH($B4571,Rosters!$B$2:$B$155,0)),"NA")</f>
        <v>NA</v>
      </c>
      <c r="L4571" t="str">
        <f t="shared" si="213"/>
        <v>NA12RB</v>
      </c>
      <c r="M4571">
        <f>COUNTIF(L$1:L4571,L4571)</f>
        <v>34</v>
      </c>
      <c r="N4571" t="str">
        <f t="shared" si="214"/>
        <v>NA12RB-34</v>
      </c>
      <c r="O4571">
        <f>COUNTIFS(F$1:F4571,F4571,A$1:A4571,A4571)</f>
        <v>79</v>
      </c>
      <c r="P4571" t="str">
        <f t="shared" si="215"/>
        <v>Mike Gillislee12</v>
      </c>
    </row>
    <row r="4572" spans="1:16" x14ac:dyDescent="0.25">
      <c r="A4572">
        <v>14</v>
      </c>
      <c r="B4572" t="s">
        <v>121</v>
      </c>
      <c r="C4572" t="s">
        <v>8607</v>
      </c>
      <c r="D4572">
        <v>1.48</v>
      </c>
      <c r="E4572" t="s">
        <v>58</v>
      </c>
      <c r="F4572" t="s">
        <v>47</v>
      </c>
      <c r="G4572">
        <v>2.7</v>
      </c>
      <c r="H4572">
        <v>0.26</v>
      </c>
      <c r="I4572">
        <v>1.22</v>
      </c>
      <c r="J4572">
        <v>1.4883999999999999</v>
      </c>
      <c r="K4572" t="str">
        <f>IFERROR(INDEX(Rosters!$C$2:$C$155,MATCH($B4572,Rosters!$B$2:$B$155,0)),"NA")</f>
        <v>NA</v>
      </c>
      <c r="L4572" t="str">
        <f t="shared" si="213"/>
        <v>NA14RB</v>
      </c>
      <c r="M4572">
        <f>COUNTIF(L$1:L4572,L4572)</f>
        <v>36</v>
      </c>
      <c r="N4572" t="str">
        <f t="shared" si="214"/>
        <v>NA14RB-36</v>
      </c>
      <c r="O4572">
        <f>COUNTIFS(F$1:F4572,F4572,A$1:A4572,A4572)</f>
        <v>83</v>
      </c>
      <c r="P4572" t="str">
        <f t="shared" si="215"/>
        <v>Ameer Abdullah14</v>
      </c>
    </row>
    <row r="4573" spans="1:16" x14ac:dyDescent="0.25">
      <c r="A4573">
        <v>10</v>
      </c>
      <c r="B4573" t="s">
        <v>4208</v>
      </c>
      <c r="C4573">
        <f>-0.03-2.99</f>
        <v>-3.02</v>
      </c>
      <c r="D4573">
        <v>1.48</v>
      </c>
      <c r="E4573" t="s">
        <v>50</v>
      </c>
      <c r="F4573" t="s">
        <v>114</v>
      </c>
      <c r="G4573">
        <v>2.99</v>
      </c>
      <c r="H4573">
        <v>-0.03</v>
      </c>
      <c r="I4573">
        <v>1.51</v>
      </c>
      <c r="J4573">
        <v>2.2801</v>
      </c>
      <c r="K4573" t="str">
        <f>IFERROR(INDEX(Rosters!$C$2:$C$155,MATCH($B4573,Rosters!$B$2:$B$155,0)),"NA")</f>
        <v>NA</v>
      </c>
      <c r="L4573" t="str">
        <f t="shared" si="213"/>
        <v>NA10TE</v>
      </c>
      <c r="M4573">
        <f>COUNTIF(L$1:L4573,L4573)</f>
        <v>40</v>
      </c>
      <c r="N4573" t="str">
        <f t="shared" si="214"/>
        <v>NA10TE-40</v>
      </c>
      <c r="O4573">
        <f>COUNTIFS(F$1:F4573,F4573,A$1:A4573,A4573)</f>
        <v>53</v>
      </c>
      <c r="P4573" t="str">
        <f t="shared" si="215"/>
        <v>Blake Jarwin10</v>
      </c>
    </row>
    <row r="4574" spans="1:16" x14ac:dyDescent="0.25">
      <c r="A4574">
        <v>14</v>
      </c>
      <c r="B4574" t="s">
        <v>283</v>
      </c>
      <c r="C4574">
        <f>-0.86-3.82</f>
        <v>-4.68</v>
      </c>
      <c r="D4574">
        <v>1.48</v>
      </c>
      <c r="E4574" t="s">
        <v>19</v>
      </c>
      <c r="F4574" t="s">
        <v>87</v>
      </c>
      <c r="G4574">
        <v>3.82</v>
      </c>
      <c r="H4574">
        <v>-0.86</v>
      </c>
      <c r="I4574">
        <v>2.34</v>
      </c>
      <c r="J4574">
        <v>5.4756</v>
      </c>
      <c r="K4574" t="str">
        <f>IFERROR(INDEX(Rosters!$C$2:$C$155,MATCH($B4574,Rosters!$B$2:$B$155,0)),"NA")</f>
        <v>NA</v>
      </c>
      <c r="L4574" t="str">
        <f t="shared" si="213"/>
        <v>NA14WR</v>
      </c>
      <c r="M4574">
        <f>COUNTIF(L$1:L4574,L4574)</f>
        <v>64</v>
      </c>
      <c r="N4574" t="str">
        <f t="shared" si="214"/>
        <v>NA14WR-64</v>
      </c>
      <c r="O4574">
        <f>COUNTIFS(F$1:F4574,F4574,A$1:A4574,A4574)</f>
        <v>118</v>
      </c>
      <c r="P4574" t="str">
        <f t="shared" si="215"/>
        <v>Cordarrelle Patterson14</v>
      </c>
    </row>
    <row r="4575" spans="1:16" x14ac:dyDescent="0.25">
      <c r="A4575">
        <v>1</v>
      </c>
      <c r="B4575" t="s">
        <v>312</v>
      </c>
      <c r="C4575" t="s">
        <v>1515</v>
      </c>
      <c r="D4575">
        <v>1.48</v>
      </c>
      <c r="E4575" t="s">
        <v>51</v>
      </c>
      <c r="F4575" t="s">
        <v>114</v>
      </c>
      <c r="G4575">
        <v>2.75</v>
      </c>
      <c r="H4575">
        <v>0.21</v>
      </c>
      <c r="I4575">
        <v>1.27</v>
      </c>
      <c r="J4575">
        <v>1.6129</v>
      </c>
      <c r="K4575" t="str">
        <f>IFERROR(INDEX(Rosters!$C$2:$C$155,MATCH($B4575,Rosters!$B$2:$B$155,0)),"NA")</f>
        <v>NA</v>
      </c>
      <c r="L4575" t="str">
        <f t="shared" si="213"/>
        <v>NA1TE</v>
      </c>
      <c r="M4575">
        <f>COUNTIF(L$1:L4575,L4575)</f>
        <v>34</v>
      </c>
      <c r="N4575" t="str">
        <f t="shared" si="214"/>
        <v>NA1TE-34</v>
      </c>
      <c r="O4575">
        <f>COUNTIFS(F$1:F4575,F4575,A$1:A4575,A4575)</f>
        <v>47</v>
      </c>
      <c r="P4575" t="str">
        <f t="shared" si="215"/>
        <v>Darren Fells1</v>
      </c>
    </row>
    <row r="4576" spans="1:16" x14ac:dyDescent="0.25">
      <c r="A4576">
        <v>17</v>
      </c>
      <c r="B4576" t="s">
        <v>1469</v>
      </c>
      <c r="C4576">
        <f>-0.27-3.23</f>
        <v>-3.5</v>
      </c>
      <c r="D4576">
        <v>1.48</v>
      </c>
      <c r="E4576" t="s">
        <v>30</v>
      </c>
      <c r="F4576" t="s">
        <v>114</v>
      </c>
      <c r="G4576">
        <v>3.23</v>
      </c>
      <c r="H4576">
        <v>-0.27</v>
      </c>
      <c r="I4576">
        <v>1.75</v>
      </c>
      <c r="J4576">
        <v>3.0625</v>
      </c>
      <c r="K4576" t="str">
        <f>IFERROR(INDEX(Rosters!$C$2:$C$155,MATCH($B4576,Rosters!$B$2:$B$155,0)),"NA")</f>
        <v>NA</v>
      </c>
      <c r="L4576" t="str">
        <f t="shared" si="213"/>
        <v>NA17TE</v>
      </c>
      <c r="M4576">
        <f>COUNTIF(L$1:L4576,L4576)</f>
        <v>50</v>
      </c>
      <c r="N4576" t="str">
        <f t="shared" si="214"/>
        <v>NA17TE-50</v>
      </c>
      <c r="O4576">
        <f>COUNTIFS(F$1:F4576,F4576,A$1:A4576,A4576)</f>
        <v>64</v>
      </c>
      <c r="P4576" t="str">
        <f t="shared" si="215"/>
        <v>Gerald Everett17</v>
      </c>
    </row>
    <row r="4577" spans="1:16" x14ac:dyDescent="0.25">
      <c r="A4577">
        <v>10</v>
      </c>
      <c r="B4577" t="s">
        <v>1458</v>
      </c>
      <c r="C4577" t="s">
        <v>8608</v>
      </c>
      <c r="D4577">
        <v>1.48</v>
      </c>
      <c r="E4577" t="s">
        <v>41</v>
      </c>
      <c r="F4577" t="s">
        <v>47</v>
      </c>
      <c r="G4577">
        <v>2.91</v>
      </c>
      <c r="H4577">
        <v>0.05</v>
      </c>
      <c r="I4577">
        <v>1.43</v>
      </c>
      <c r="J4577">
        <v>2.0449000000000002</v>
      </c>
      <c r="K4577" t="str">
        <f>IFERROR(INDEX(Rosters!$C$2:$C$155,MATCH($B4577,Rosters!$B$2:$B$155,0)),"NA")</f>
        <v>NA</v>
      </c>
      <c r="L4577" t="str">
        <f t="shared" si="213"/>
        <v>NA10RB</v>
      </c>
      <c r="M4577">
        <f>COUNTIF(L$1:L4577,L4577)</f>
        <v>31</v>
      </c>
      <c r="N4577" t="str">
        <f t="shared" si="214"/>
        <v>NA10RB-31</v>
      </c>
      <c r="O4577">
        <f>COUNTIFS(F$1:F4577,F4577,A$1:A4577,A4577)</f>
        <v>70</v>
      </c>
      <c r="P4577" t="str">
        <f t="shared" si="215"/>
        <v>Kalen Ballage10</v>
      </c>
    </row>
    <row r="4578" spans="1:16" x14ac:dyDescent="0.25">
      <c r="A4578">
        <v>16</v>
      </c>
      <c r="B4578" t="s">
        <v>1458</v>
      </c>
      <c r="C4578" t="s">
        <v>8609</v>
      </c>
      <c r="D4578">
        <v>1.48</v>
      </c>
      <c r="E4578" t="s">
        <v>76</v>
      </c>
      <c r="F4578" t="s">
        <v>47</v>
      </c>
      <c r="G4578">
        <v>2.79</v>
      </c>
      <c r="H4578">
        <v>0.17</v>
      </c>
      <c r="I4578">
        <v>1.31</v>
      </c>
      <c r="J4578">
        <v>1.7161</v>
      </c>
      <c r="K4578" t="str">
        <f>IFERROR(INDEX(Rosters!$C$2:$C$155,MATCH($B4578,Rosters!$B$2:$B$155,0)),"NA")</f>
        <v>NA</v>
      </c>
      <c r="L4578" t="str">
        <f t="shared" si="213"/>
        <v>NA16RB</v>
      </c>
      <c r="M4578">
        <f>COUNTIF(L$1:L4578,L4578)</f>
        <v>35</v>
      </c>
      <c r="N4578" t="str">
        <f t="shared" si="214"/>
        <v>NA16RB-35</v>
      </c>
      <c r="O4578">
        <f>COUNTIFS(F$1:F4578,F4578,A$1:A4578,A4578)</f>
        <v>82</v>
      </c>
      <c r="P4578" t="str">
        <f t="shared" si="215"/>
        <v>Kalen Ballage16</v>
      </c>
    </row>
    <row r="4579" spans="1:16" x14ac:dyDescent="0.25">
      <c r="A4579">
        <v>10</v>
      </c>
      <c r="B4579" t="s">
        <v>121</v>
      </c>
      <c r="C4579" t="s">
        <v>8610</v>
      </c>
      <c r="D4579">
        <v>1.47</v>
      </c>
      <c r="E4579" t="s">
        <v>72</v>
      </c>
      <c r="F4579" t="s">
        <v>47</v>
      </c>
      <c r="G4579">
        <v>2.6</v>
      </c>
      <c r="H4579">
        <v>0.34</v>
      </c>
      <c r="I4579">
        <v>1.1299999999999999</v>
      </c>
      <c r="J4579">
        <v>1.2768999999999999</v>
      </c>
      <c r="K4579" t="str">
        <f>IFERROR(INDEX(Rosters!$C$2:$C$155,MATCH($B4579,Rosters!$B$2:$B$155,0)),"NA")</f>
        <v>NA</v>
      </c>
      <c r="L4579" t="str">
        <f t="shared" si="213"/>
        <v>NA10RB</v>
      </c>
      <c r="M4579">
        <f>COUNTIF(L$1:L4579,L4579)</f>
        <v>32</v>
      </c>
      <c r="N4579" t="str">
        <f t="shared" si="214"/>
        <v>NA10RB-32</v>
      </c>
      <c r="O4579">
        <f>COUNTIFS(F$1:F4579,F4579,A$1:A4579,A4579)</f>
        <v>71</v>
      </c>
      <c r="P4579" t="str">
        <f t="shared" si="215"/>
        <v>Ameer Abdullah10</v>
      </c>
    </row>
    <row r="4580" spans="1:16" x14ac:dyDescent="0.25">
      <c r="A4580">
        <v>8</v>
      </c>
      <c r="B4580" t="s">
        <v>284</v>
      </c>
      <c r="C4580">
        <f>-0.06-3</f>
        <v>-3.06</v>
      </c>
      <c r="D4580">
        <v>1.47</v>
      </c>
      <c r="E4580" t="s">
        <v>73</v>
      </c>
      <c r="F4580" t="s">
        <v>114</v>
      </c>
      <c r="G4580">
        <v>3</v>
      </c>
      <c r="H4580">
        <v>-0.06</v>
      </c>
      <c r="I4580">
        <v>1.53</v>
      </c>
      <c r="J4580">
        <v>2.3409</v>
      </c>
      <c r="K4580" t="str">
        <f>IFERROR(INDEX(Rosters!$C$2:$C$155,MATCH($B4580,Rosters!$B$2:$B$155,0)),"NA")</f>
        <v>NA</v>
      </c>
      <c r="L4580" t="str">
        <f t="shared" si="213"/>
        <v>NA8TE</v>
      </c>
      <c r="M4580">
        <f>COUNTIF(L$1:L4580,L4580)</f>
        <v>39</v>
      </c>
      <c r="N4580" t="str">
        <f t="shared" si="214"/>
        <v>NA8TE-39</v>
      </c>
      <c r="O4580">
        <f>COUNTIFS(F$1:F4580,F4580,A$1:A4580,A4580)</f>
        <v>51</v>
      </c>
      <c r="P4580" t="str">
        <f t="shared" si="215"/>
        <v>Dion Sims8</v>
      </c>
    </row>
    <row r="4581" spans="1:16" x14ac:dyDescent="0.25">
      <c r="A4581">
        <v>1</v>
      </c>
      <c r="B4581" t="s">
        <v>308</v>
      </c>
      <c r="C4581">
        <f>-0.79-3.73</f>
        <v>-4.5199999999999996</v>
      </c>
      <c r="D4581">
        <v>1.47</v>
      </c>
      <c r="E4581" t="s">
        <v>28</v>
      </c>
      <c r="F4581" t="s">
        <v>114</v>
      </c>
      <c r="G4581">
        <v>3.73</v>
      </c>
      <c r="H4581">
        <v>-0.79</v>
      </c>
      <c r="I4581">
        <v>2.2599999999999998</v>
      </c>
      <c r="J4581">
        <v>5.1075999999999997</v>
      </c>
      <c r="K4581" t="str">
        <f>IFERROR(INDEX(Rosters!$C$2:$C$155,MATCH($B4581,Rosters!$B$2:$B$155,0)),"NA")</f>
        <v>NA</v>
      </c>
      <c r="L4581" t="str">
        <f t="shared" si="213"/>
        <v>NA1TE</v>
      </c>
      <c r="M4581">
        <f>COUNTIF(L$1:L4581,L4581)</f>
        <v>35</v>
      </c>
      <c r="N4581" t="str">
        <f t="shared" si="214"/>
        <v>NA1TE-35</v>
      </c>
      <c r="O4581">
        <f>COUNTIFS(F$1:F4581,F4581,A$1:A4581,A4581)</f>
        <v>48</v>
      </c>
      <c r="P4581" t="str">
        <f t="shared" si="215"/>
        <v>Jeff Heuerman1</v>
      </c>
    </row>
    <row r="4582" spans="1:16" x14ac:dyDescent="0.25">
      <c r="A4582">
        <v>12</v>
      </c>
      <c r="B4582" t="s">
        <v>300</v>
      </c>
      <c r="C4582" t="s">
        <v>8611</v>
      </c>
      <c r="D4582">
        <v>1.47</v>
      </c>
      <c r="E4582" t="s">
        <v>25</v>
      </c>
      <c r="F4582" t="s">
        <v>114</v>
      </c>
      <c r="G4582">
        <v>2.94</v>
      </c>
      <c r="H4582">
        <v>0</v>
      </c>
      <c r="I4582">
        <v>1.47</v>
      </c>
      <c r="J4582">
        <v>2.1608999999999998</v>
      </c>
      <c r="K4582" t="str">
        <f>IFERROR(INDEX(Rosters!$C$2:$C$155,MATCH($B4582,Rosters!$B$2:$B$155,0)),"NA")</f>
        <v>NA</v>
      </c>
      <c r="L4582" t="str">
        <f t="shared" si="213"/>
        <v>NA12TE</v>
      </c>
      <c r="M4582">
        <f>COUNTIF(L$1:L4582,L4582)</f>
        <v>48</v>
      </c>
      <c r="N4582" t="str">
        <f t="shared" si="214"/>
        <v>NA12TE-48</v>
      </c>
      <c r="O4582">
        <f>COUNTIFS(F$1:F4582,F4582,A$1:A4582,A4582)</f>
        <v>61</v>
      </c>
      <c r="P4582" t="str">
        <f t="shared" si="215"/>
        <v>Lance Kendricks12</v>
      </c>
    </row>
    <row r="4583" spans="1:16" x14ac:dyDescent="0.25">
      <c r="A4583">
        <v>8</v>
      </c>
      <c r="B4583" t="s">
        <v>1556</v>
      </c>
      <c r="C4583">
        <f>-0.23-3.17</f>
        <v>-3.4</v>
      </c>
      <c r="D4583">
        <v>1.47</v>
      </c>
      <c r="E4583" t="s">
        <v>423</v>
      </c>
      <c r="F4583" t="s">
        <v>47</v>
      </c>
      <c r="G4583">
        <v>3.17</v>
      </c>
      <c r="H4583">
        <v>-0.23</v>
      </c>
      <c r="I4583">
        <v>1.7</v>
      </c>
      <c r="J4583">
        <v>2.89</v>
      </c>
      <c r="K4583" t="str">
        <f>IFERROR(INDEX(Rosters!$C$2:$C$155,MATCH($B4583,Rosters!$B$2:$B$155,0)),"NA")</f>
        <v>NA</v>
      </c>
      <c r="L4583" t="str">
        <f t="shared" si="213"/>
        <v>NA8RB</v>
      </c>
      <c r="M4583">
        <f>COUNTIF(L$1:L4583,L4583)</f>
        <v>33</v>
      </c>
      <c r="N4583" t="str">
        <f t="shared" si="214"/>
        <v>NA8RB-33</v>
      </c>
      <c r="O4583">
        <f>COUNTIFS(F$1:F4583,F4583,A$1:A4583,A4583)</f>
        <v>73</v>
      </c>
      <c r="P4583" t="str">
        <f t="shared" si="215"/>
        <v>Marcus Murphy8</v>
      </c>
    </row>
    <row r="4584" spans="1:16" x14ac:dyDescent="0.25">
      <c r="A4584">
        <v>14</v>
      </c>
      <c r="B4584" t="s">
        <v>1556</v>
      </c>
      <c r="C4584" t="s">
        <v>8612</v>
      </c>
      <c r="D4584">
        <v>1.47</v>
      </c>
      <c r="E4584" t="s">
        <v>73</v>
      </c>
      <c r="F4584" t="s">
        <v>47</v>
      </c>
      <c r="G4584">
        <v>2.92</v>
      </c>
      <c r="H4584">
        <v>0.02</v>
      </c>
      <c r="I4584">
        <v>1.45</v>
      </c>
      <c r="J4584">
        <v>2.1025</v>
      </c>
      <c r="K4584" t="str">
        <f>IFERROR(INDEX(Rosters!$C$2:$C$155,MATCH($B4584,Rosters!$B$2:$B$155,0)),"NA")</f>
        <v>NA</v>
      </c>
      <c r="L4584" t="str">
        <f t="shared" si="213"/>
        <v>NA14RB</v>
      </c>
      <c r="M4584">
        <f>COUNTIF(L$1:L4584,L4584)</f>
        <v>37</v>
      </c>
      <c r="N4584" t="str">
        <f t="shared" si="214"/>
        <v>NA14RB-37</v>
      </c>
      <c r="O4584">
        <f>COUNTIFS(F$1:F4584,F4584,A$1:A4584,A4584)</f>
        <v>84</v>
      </c>
      <c r="P4584" t="str">
        <f t="shared" si="215"/>
        <v>Marcus Murphy14</v>
      </c>
    </row>
    <row r="4585" spans="1:16" x14ac:dyDescent="0.25">
      <c r="A4585">
        <v>11</v>
      </c>
      <c r="B4585" t="s">
        <v>274</v>
      </c>
      <c r="C4585">
        <f>-0.14-3.08</f>
        <v>-3.22</v>
      </c>
      <c r="D4585">
        <v>1.47</v>
      </c>
      <c r="E4585" t="s">
        <v>60</v>
      </c>
      <c r="F4585" t="s">
        <v>114</v>
      </c>
      <c r="G4585">
        <v>3.08</v>
      </c>
      <c r="H4585">
        <v>-0.14000000000000001</v>
      </c>
      <c r="I4585">
        <v>1.61</v>
      </c>
      <c r="J4585">
        <v>2.5920999999999998</v>
      </c>
      <c r="K4585" t="str">
        <f>IFERROR(INDEX(Rosters!$C$2:$C$155,MATCH($B4585,Rosters!$B$2:$B$155,0)),"NA")</f>
        <v>NA</v>
      </c>
      <c r="L4585" t="str">
        <f t="shared" si="213"/>
        <v>NA11TE</v>
      </c>
      <c r="M4585">
        <f>COUNTIF(L$1:L4585,L4585)</f>
        <v>38</v>
      </c>
      <c r="N4585" t="str">
        <f t="shared" si="214"/>
        <v>NA11TE-38</v>
      </c>
      <c r="O4585">
        <f>COUNTIFS(F$1:F4585,F4585,A$1:A4585,A4585)</f>
        <v>50</v>
      </c>
      <c r="P4585" t="str">
        <f t="shared" si="215"/>
        <v>Ryan Griffin11</v>
      </c>
    </row>
    <row r="4586" spans="1:16" x14ac:dyDescent="0.25">
      <c r="A4586">
        <v>6</v>
      </c>
      <c r="B4586" t="s">
        <v>286</v>
      </c>
      <c r="C4586">
        <f>-0.11-3.03</f>
        <v>-3.1399999999999997</v>
      </c>
      <c r="D4586">
        <v>1.46</v>
      </c>
      <c r="E4586" t="s">
        <v>72</v>
      </c>
      <c r="F4586" t="s">
        <v>114</v>
      </c>
      <c r="G4586">
        <v>3.03</v>
      </c>
      <c r="H4586">
        <v>-0.11</v>
      </c>
      <c r="I4586">
        <v>1.57</v>
      </c>
      <c r="J4586">
        <v>2.4649000000000001</v>
      </c>
      <c r="K4586" t="str">
        <f>IFERROR(INDEX(Rosters!$C$2:$C$155,MATCH($B4586,Rosters!$B$2:$B$155,0)),"NA")</f>
        <v>NA</v>
      </c>
      <c r="L4586" t="str">
        <f t="shared" si="213"/>
        <v>NA6TE</v>
      </c>
      <c r="M4586">
        <f>COUNTIF(L$1:L4586,L4586)</f>
        <v>44</v>
      </c>
      <c r="N4586" t="str">
        <f t="shared" si="214"/>
        <v>NA6TE-44</v>
      </c>
      <c r="O4586">
        <f>COUNTIFS(F$1:F4586,F4586,A$1:A4586,A4586)</f>
        <v>56</v>
      </c>
      <c r="P4586" t="str">
        <f t="shared" si="215"/>
        <v>A.J. Derby6</v>
      </c>
    </row>
    <row r="4587" spans="1:16" x14ac:dyDescent="0.25">
      <c r="A4587">
        <v>17</v>
      </c>
      <c r="B4587" t="s">
        <v>1524</v>
      </c>
      <c r="C4587">
        <f>-0.19-3.11</f>
        <v>-3.3</v>
      </c>
      <c r="D4587">
        <v>1.46</v>
      </c>
      <c r="E4587" t="s">
        <v>66</v>
      </c>
      <c r="F4587" t="s">
        <v>47</v>
      </c>
      <c r="G4587">
        <v>3.11</v>
      </c>
      <c r="H4587">
        <v>-0.19</v>
      </c>
      <c r="I4587">
        <v>1.65</v>
      </c>
      <c r="J4587">
        <v>2.7225000000000001</v>
      </c>
      <c r="K4587" t="str">
        <f>IFERROR(INDEX(Rosters!$C$2:$C$155,MATCH($B4587,Rosters!$B$2:$B$155,0)),"NA")</f>
        <v>NA</v>
      </c>
      <c r="L4587" t="str">
        <f t="shared" si="213"/>
        <v>NA17RB</v>
      </c>
      <c r="M4587">
        <f>COUNTIF(L$1:L4587,L4587)</f>
        <v>35</v>
      </c>
      <c r="N4587" t="str">
        <f t="shared" si="214"/>
        <v>NA17RB-35</v>
      </c>
      <c r="O4587">
        <f>COUNTIFS(F$1:F4587,F4587,A$1:A4587,A4587)</f>
        <v>82</v>
      </c>
      <c r="P4587" t="str">
        <f t="shared" si="215"/>
        <v>David Fluellen17</v>
      </c>
    </row>
    <row r="4588" spans="1:16" x14ac:dyDescent="0.25">
      <c r="A4588">
        <v>15</v>
      </c>
      <c r="B4588" t="s">
        <v>1495</v>
      </c>
      <c r="C4588">
        <f>-0.01-2.93</f>
        <v>-2.94</v>
      </c>
      <c r="D4588">
        <v>1.46</v>
      </c>
      <c r="E4588" t="s">
        <v>54</v>
      </c>
      <c r="F4588" t="s">
        <v>114</v>
      </c>
      <c r="G4588">
        <v>2.93</v>
      </c>
      <c r="H4588">
        <v>-0.01</v>
      </c>
      <c r="I4588">
        <v>1.47</v>
      </c>
      <c r="J4588">
        <v>2.1608999999999998</v>
      </c>
      <c r="K4588" t="str">
        <f>IFERROR(INDEX(Rosters!$C$2:$C$155,MATCH($B4588,Rosters!$B$2:$B$155,0)),"NA")</f>
        <v>NA</v>
      </c>
      <c r="L4588" t="str">
        <f t="shared" si="213"/>
        <v>NA15TE</v>
      </c>
      <c r="M4588">
        <f>COUNTIF(L$1:L4588,L4588)</f>
        <v>49</v>
      </c>
      <c r="N4588" t="str">
        <f t="shared" si="214"/>
        <v>NA15TE-49</v>
      </c>
      <c r="O4588">
        <f>COUNTIFS(F$1:F4588,F4588,A$1:A4588,A4588)</f>
        <v>63</v>
      </c>
      <c r="P4588" t="str">
        <f t="shared" si="215"/>
        <v>Jonnu Smith15</v>
      </c>
    </row>
    <row r="4589" spans="1:16" x14ac:dyDescent="0.25">
      <c r="A4589">
        <v>2</v>
      </c>
      <c r="B4589" t="s">
        <v>282</v>
      </c>
      <c r="C4589">
        <f>-0.28-3.2</f>
        <v>-3.4800000000000004</v>
      </c>
      <c r="D4589">
        <v>1.46</v>
      </c>
      <c r="E4589" t="s">
        <v>58</v>
      </c>
      <c r="F4589" t="s">
        <v>47</v>
      </c>
      <c r="G4589">
        <v>3.2</v>
      </c>
      <c r="H4589">
        <v>-0.28000000000000003</v>
      </c>
      <c r="I4589">
        <v>1.74</v>
      </c>
      <c r="J4589">
        <v>3.0276000000000001</v>
      </c>
      <c r="K4589" t="str">
        <f>IFERROR(INDEX(Rosters!$C$2:$C$155,MATCH($B4589,Rosters!$B$2:$B$155,0)),"NA")</f>
        <v>NA</v>
      </c>
      <c r="L4589" t="str">
        <f t="shared" si="213"/>
        <v>NA2RB</v>
      </c>
      <c r="M4589">
        <f>COUNTIF(L$1:L4589,L4589)</f>
        <v>27</v>
      </c>
      <c r="N4589" t="str">
        <f t="shared" si="214"/>
        <v>NA2RB-27</v>
      </c>
      <c r="O4589">
        <f>COUNTIFS(F$1:F4589,F4589,A$1:A4589,A4589)</f>
        <v>69</v>
      </c>
      <c r="P4589" t="str">
        <f t="shared" si="215"/>
        <v>Malcolm Brown2</v>
      </c>
    </row>
    <row r="4590" spans="1:16" x14ac:dyDescent="0.25">
      <c r="A4590">
        <v>8</v>
      </c>
      <c r="B4590" t="s">
        <v>259</v>
      </c>
      <c r="C4590">
        <f>-0.03-2.95</f>
        <v>-2.98</v>
      </c>
      <c r="D4590">
        <v>1.46</v>
      </c>
      <c r="E4590" t="s">
        <v>60</v>
      </c>
      <c r="F4590" t="s">
        <v>87</v>
      </c>
      <c r="G4590">
        <v>2.95</v>
      </c>
      <c r="H4590">
        <v>-0.03</v>
      </c>
      <c r="I4590">
        <v>1.49</v>
      </c>
      <c r="J4590">
        <v>2.2201</v>
      </c>
      <c r="K4590" t="str">
        <f>IFERROR(INDEX(Rosters!$C$2:$C$155,MATCH($B4590,Rosters!$B$2:$B$155,0)),"NA")</f>
        <v>NA</v>
      </c>
      <c r="L4590" t="str">
        <f t="shared" si="213"/>
        <v>NA8WR</v>
      </c>
      <c r="M4590">
        <f>COUNTIF(L$1:L4590,L4590)</f>
        <v>56</v>
      </c>
      <c r="N4590" t="str">
        <f t="shared" si="214"/>
        <v>NA8WR-56</v>
      </c>
      <c r="O4590">
        <f>COUNTIFS(F$1:F4590,F4590,A$1:A4590,A4590)</f>
        <v>105</v>
      </c>
      <c r="P4590" t="str">
        <f t="shared" si="215"/>
        <v>Russell Shepard8</v>
      </c>
    </row>
    <row r="4591" spans="1:16" x14ac:dyDescent="0.25">
      <c r="A4591">
        <v>16</v>
      </c>
      <c r="B4591" t="s">
        <v>318</v>
      </c>
      <c r="C4591">
        <f>-0.17-3.07</f>
        <v>-3.2399999999999998</v>
      </c>
      <c r="D4591">
        <v>1.45</v>
      </c>
      <c r="E4591" t="s">
        <v>34</v>
      </c>
      <c r="F4591" t="s">
        <v>114</v>
      </c>
      <c r="G4591">
        <v>3.07</v>
      </c>
      <c r="H4591">
        <v>-0.17</v>
      </c>
      <c r="I4591">
        <v>1.62</v>
      </c>
      <c r="J4591">
        <v>2.6244000000000001</v>
      </c>
      <c r="K4591" t="str">
        <f>IFERROR(INDEX(Rosters!$C$2:$C$155,MATCH($B4591,Rosters!$B$2:$B$155,0)),"NA")</f>
        <v>NA</v>
      </c>
      <c r="L4591" t="str">
        <f t="shared" si="213"/>
        <v>NA16TE</v>
      </c>
      <c r="M4591">
        <f>COUNTIF(L$1:L4591,L4591)</f>
        <v>48</v>
      </c>
      <c r="N4591" t="str">
        <f t="shared" si="214"/>
        <v>NA16TE-48</v>
      </c>
      <c r="O4591">
        <f>COUNTIFS(F$1:F4591,F4591,A$1:A4591,A4591)</f>
        <v>62</v>
      </c>
      <c r="P4591" t="str">
        <f t="shared" si="215"/>
        <v>David Morgan16</v>
      </c>
    </row>
    <row r="4592" spans="1:16" x14ac:dyDescent="0.25">
      <c r="A4592">
        <v>17</v>
      </c>
      <c r="B4592" t="s">
        <v>270</v>
      </c>
      <c r="C4592">
        <f>-0.09-2.99</f>
        <v>-3.08</v>
      </c>
      <c r="D4592">
        <v>1.45</v>
      </c>
      <c r="E4592" t="s">
        <v>52</v>
      </c>
      <c r="F4592" t="s">
        <v>114</v>
      </c>
      <c r="G4592">
        <v>2.99</v>
      </c>
      <c r="H4592">
        <v>-0.09</v>
      </c>
      <c r="I4592">
        <v>1.54</v>
      </c>
      <c r="J4592">
        <v>2.3715999999999999</v>
      </c>
      <c r="K4592" t="str">
        <f>IFERROR(INDEX(Rosters!$C$2:$C$155,MATCH($B4592,Rosters!$B$2:$B$155,0)),"NA")</f>
        <v>NA</v>
      </c>
      <c r="L4592" t="str">
        <f t="shared" si="213"/>
        <v>NA17TE</v>
      </c>
      <c r="M4592">
        <f>COUNTIF(L$1:L4592,L4592)</f>
        <v>51</v>
      </c>
      <c r="N4592" t="str">
        <f t="shared" si="214"/>
        <v>NA17TE-51</v>
      </c>
      <c r="O4592">
        <f>COUNTIFS(F$1:F4592,F4592,A$1:A4592,A4592)</f>
        <v>65</v>
      </c>
      <c r="P4592" t="str">
        <f t="shared" si="215"/>
        <v>Maxx Williams17</v>
      </c>
    </row>
    <row r="4593" spans="1:16" x14ac:dyDescent="0.25">
      <c r="A4593">
        <v>2</v>
      </c>
      <c r="B4593" t="s">
        <v>1503</v>
      </c>
      <c r="C4593">
        <f>-0.31-3.19</f>
        <v>-3.5</v>
      </c>
      <c r="D4593">
        <v>1.44</v>
      </c>
      <c r="E4593" t="s">
        <v>423</v>
      </c>
      <c r="F4593" t="s">
        <v>87</v>
      </c>
      <c r="G4593">
        <v>3.19</v>
      </c>
      <c r="H4593">
        <v>-0.31</v>
      </c>
      <c r="I4593">
        <v>1.75</v>
      </c>
      <c r="J4593">
        <v>3.0625</v>
      </c>
      <c r="K4593" t="str">
        <f>IFERROR(INDEX(Rosters!$C$2:$C$155,MATCH($B4593,Rosters!$B$2:$B$155,0)),"NA")</f>
        <v>NA</v>
      </c>
      <c r="L4593" t="str">
        <f t="shared" si="213"/>
        <v>NA2WR</v>
      </c>
      <c r="M4593">
        <f>COUNTIF(L$1:L4593,L4593)</f>
        <v>57</v>
      </c>
      <c r="N4593" t="str">
        <f t="shared" si="214"/>
        <v>NA2WR-57</v>
      </c>
      <c r="O4593">
        <f>COUNTIFS(F$1:F4593,F4593,A$1:A4593,A4593)</f>
        <v>105</v>
      </c>
      <c r="P4593" t="str">
        <f t="shared" si="215"/>
        <v>D.J. Chark2</v>
      </c>
    </row>
    <row r="4594" spans="1:16" x14ac:dyDescent="0.25">
      <c r="A4594">
        <v>16</v>
      </c>
      <c r="B4594" t="s">
        <v>1524</v>
      </c>
      <c r="C4594">
        <f>-0.19-3.07</f>
        <v>-3.26</v>
      </c>
      <c r="D4594">
        <v>1.44</v>
      </c>
      <c r="E4594" t="s">
        <v>60</v>
      </c>
      <c r="F4594" t="s">
        <v>47</v>
      </c>
      <c r="G4594">
        <v>3.07</v>
      </c>
      <c r="H4594">
        <v>-0.19</v>
      </c>
      <c r="I4594">
        <v>1.63</v>
      </c>
      <c r="J4594">
        <v>2.6568999999999998</v>
      </c>
      <c r="K4594" t="str">
        <f>IFERROR(INDEX(Rosters!$C$2:$C$155,MATCH($B4594,Rosters!$B$2:$B$155,0)),"NA")</f>
        <v>NA</v>
      </c>
      <c r="L4594" t="str">
        <f t="shared" si="213"/>
        <v>NA16RB</v>
      </c>
      <c r="M4594">
        <f>COUNTIF(L$1:L4594,L4594)</f>
        <v>36</v>
      </c>
      <c r="N4594" t="str">
        <f t="shared" si="214"/>
        <v>NA16RB-36</v>
      </c>
      <c r="O4594">
        <f>COUNTIFS(F$1:F4594,F4594,A$1:A4594,A4594)</f>
        <v>83</v>
      </c>
      <c r="P4594" t="str">
        <f t="shared" si="215"/>
        <v>David Fluellen16</v>
      </c>
    </row>
    <row r="4595" spans="1:16" x14ac:dyDescent="0.25">
      <c r="A4595">
        <v>11</v>
      </c>
      <c r="B4595" t="s">
        <v>300</v>
      </c>
      <c r="C4595" t="s">
        <v>8613</v>
      </c>
      <c r="D4595">
        <v>1.44</v>
      </c>
      <c r="E4595" t="s">
        <v>28</v>
      </c>
      <c r="F4595" t="s">
        <v>114</v>
      </c>
      <c r="G4595">
        <v>2.87</v>
      </c>
      <c r="H4595">
        <v>0.01</v>
      </c>
      <c r="I4595">
        <v>1.43</v>
      </c>
      <c r="J4595">
        <v>2.0449000000000002</v>
      </c>
      <c r="K4595" t="str">
        <f>IFERROR(INDEX(Rosters!$C$2:$C$155,MATCH($B4595,Rosters!$B$2:$B$155,0)),"NA")</f>
        <v>NA</v>
      </c>
      <c r="L4595" t="str">
        <f t="shared" si="213"/>
        <v>NA11TE</v>
      </c>
      <c r="M4595">
        <f>COUNTIF(L$1:L4595,L4595)</f>
        <v>39</v>
      </c>
      <c r="N4595" t="str">
        <f t="shared" si="214"/>
        <v>NA11TE-39</v>
      </c>
      <c r="O4595">
        <f>COUNTIFS(F$1:F4595,F4595,A$1:A4595,A4595)</f>
        <v>51</v>
      </c>
      <c r="P4595" t="str">
        <f t="shared" si="215"/>
        <v>Lance Kendricks11</v>
      </c>
    </row>
    <row r="4596" spans="1:16" x14ac:dyDescent="0.25">
      <c r="A4596">
        <v>13</v>
      </c>
      <c r="B4596" t="s">
        <v>144</v>
      </c>
      <c r="C4596">
        <f>-0.21-3.09</f>
        <v>-3.3</v>
      </c>
      <c r="D4596">
        <v>1.44</v>
      </c>
      <c r="E4596" t="s">
        <v>22</v>
      </c>
      <c r="F4596" t="s">
        <v>47</v>
      </c>
      <c r="G4596">
        <v>3.09</v>
      </c>
      <c r="H4596">
        <v>-0.21</v>
      </c>
      <c r="I4596">
        <v>1.65</v>
      </c>
      <c r="J4596">
        <v>2.7225000000000001</v>
      </c>
      <c r="K4596" t="str">
        <f>IFERROR(INDEX(Rosters!$C$2:$C$155,MATCH($B4596,Rosters!$B$2:$B$155,0)),"NA")</f>
        <v>NA</v>
      </c>
      <c r="L4596" t="str">
        <f t="shared" si="213"/>
        <v>NA13RB</v>
      </c>
      <c r="M4596">
        <f>COUNTIF(L$1:L4596,L4596)</f>
        <v>36</v>
      </c>
      <c r="N4596" t="str">
        <f t="shared" si="214"/>
        <v>NA13RB-36</v>
      </c>
      <c r="O4596">
        <f>COUNTIFS(F$1:F4596,F4596,A$1:A4596,A4596)</f>
        <v>83</v>
      </c>
      <c r="P4596" t="str">
        <f t="shared" si="215"/>
        <v>Mike Gillislee13</v>
      </c>
    </row>
    <row r="4597" spans="1:16" x14ac:dyDescent="0.25">
      <c r="A4597">
        <v>8</v>
      </c>
      <c r="B4597" t="s">
        <v>1130</v>
      </c>
      <c r="C4597">
        <f>-0.02-2.9</f>
        <v>-2.92</v>
      </c>
      <c r="D4597">
        <v>1.44</v>
      </c>
      <c r="E4597" t="s">
        <v>72</v>
      </c>
      <c r="F4597" t="s">
        <v>114</v>
      </c>
      <c r="G4597">
        <v>2.9</v>
      </c>
      <c r="H4597">
        <v>-0.02</v>
      </c>
      <c r="I4597">
        <v>1.46</v>
      </c>
      <c r="J4597">
        <v>2.1316000000000002</v>
      </c>
      <c r="K4597" t="str">
        <f>IFERROR(INDEX(Rosters!$C$2:$C$155,MATCH($B4597,Rosters!$B$2:$B$155,0)),"NA")</f>
        <v>NA</v>
      </c>
      <c r="L4597" t="str">
        <f t="shared" si="213"/>
        <v>NA8TE</v>
      </c>
      <c r="M4597">
        <f>COUNTIF(L$1:L4597,L4597)</f>
        <v>40</v>
      </c>
      <c r="N4597" t="str">
        <f t="shared" si="214"/>
        <v>NA8TE-40</v>
      </c>
      <c r="O4597">
        <f>COUNTIFS(F$1:F4597,F4597,A$1:A4597,A4597)</f>
        <v>52</v>
      </c>
      <c r="P4597" t="str">
        <f t="shared" si="215"/>
        <v>Neal Sterling8</v>
      </c>
    </row>
    <row r="4598" spans="1:16" x14ac:dyDescent="0.25">
      <c r="A4598">
        <v>7</v>
      </c>
      <c r="B4598" t="s">
        <v>4232</v>
      </c>
      <c r="C4598" t="s">
        <v>8614</v>
      </c>
      <c r="D4598">
        <v>1.44</v>
      </c>
      <c r="E4598" t="s">
        <v>52</v>
      </c>
      <c r="F4598" t="s">
        <v>47</v>
      </c>
      <c r="G4598">
        <v>2.82</v>
      </c>
      <c r="H4598">
        <v>0.06</v>
      </c>
      <c r="I4598">
        <v>1.38</v>
      </c>
      <c r="J4598">
        <v>1.9044000000000001</v>
      </c>
      <c r="K4598" t="str">
        <f>IFERROR(INDEX(Rosters!$C$2:$C$155,MATCH($B4598,Rosters!$B$2:$B$155,0)),"NA")</f>
        <v>NA</v>
      </c>
      <c r="L4598" t="str">
        <f t="shared" si="213"/>
        <v>NA7RB</v>
      </c>
      <c r="M4598">
        <f>COUNTIF(L$1:L4598,L4598)</f>
        <v>29</v>
      </c>
      <c r="N4598" t="str">
        <f t="shared" si="214"/>
        <v>NA7RB-29</v>
      </c>
      <c r="O4598">
        <f>COUNTIFS(F$1:F4598,F4598,A$1:A4598,A4598)</f>
        <v>70</v>
      </c>
      <c r="P4598" t="str">
        <f t="shared" si="215"/>
        <v>Shaun Wilson7</v>
      </c>
    </row>
    <row r="4599" spans="1:16" x14ac:dyDescent="0.25">
      <c r="A4599">
        <v>15</v>
      </c>
      <c r="B4599" t="s">
        <v>121</v>
      </c>
      <c r="C4599" t="s">
        <v>8615</v>
      </c>
      <c r="D4599">
        <v>1.43</v>
      </c>
      <c r="E4599" t="s">
        <v>29</v>
      </c>
      <c r="F4599" t="s">
        <v>47</v>
      </c>
      <c r="G4599">
        <v>2.69</v>
      </c>
      <c r="H4599">
        <v>0.17</v>
      </c>
      <c r="I4599">
        <v>1.26</v>
      </c>
      <c r="J4599">
        <v>1.5875999999999999</v>
      </c>
      <c r="K4599" t="str">
        <f>IFERROR(INDEX(Rosters!$C$2:$C$155,MATCH($B4599,Rosters!$B$2:$B$155,0)),"NA")</f>
        <v>NA</v>
      </c>
      <c r="L4599" t="str">
        <f t="shared" si="213"/>
        <v>NA15RB</v>
      </c>
      <c r="M4599">
        <f>COUNTIF(L$1:L4599,L4599)</f>
        <v>34</v>
      </c>
      <c r="N4599" t="str">
        <f t="shared" si="214"/>
        <v>NA15RB-34</v>
      </c>
      <c r="O4599">
        <f>COUNTIFS(F$1:F4599,F4599,A$1:A4599,A4599)</f>
        <v>81</v>
      </c>
      <c r="P4599" t="str">
        <f t="shared" si="215"/>
        <v>Ameer Abdullah15</v>
      </c>
    </row>
    <row r="4600" spans="1:16" x14ac:dyDescent="0.25">
      <c r="A4600">
        <v>10</v>
      </c>
      <c r="B4600" t="s">
        <v>1517</v>
      </c>
      <c r="C4600">
        <f>-0.04-2.9</f>
        <v>-2.94</v>
      </c>
      <c r="D4600">
        <v>1.43</v>
      </c>
      <c r="E4600" t="s">
        <v>52</v>
      </c>
      <c r="F4600" t="s">
        <v>114</v>
      </c>
      <c r="G4600">
        <v>2.9</v>
      </c>
      <c r="H4600">
        <v>-0.04</v>
      </c>
      <c r="I4600">
        <v>1.47</v>
      </c>
      <c r="J4600">
        <v>2.1608999999999998</v>
      </c>
      <c r="K4600" t="str">
        <f>IFERROR(INDEX(Rosters!$C$2:$C$155,MATCH($B4600,Rosters!$B$2:$B$155,0)),"NA")</f>
        <v>NA</v>
      </c>
      <c r="L4600" t="str">
        <f t="shared" si="213"/>
        <v>NA10TE</v>
      </c>
      <c r="M4600">
        <f>COUNTIF(L$1:L4600,L4600)</f>
        <v>41</v>
      </c>
      <c r="N4600" t="str">
        <f t="shared" si="214"/>
        <v>NA10TE-41</v>
      </c>
      <c r="O4600">
        <f>COUNTIFS(F$1:F4600,F4600,A$1:A4600,A4600)</f>
        <v>54</v>
      </c>
      <c r="P4600" t="str">
        <f t="shared" si="215"/>
        <v>Eric Saubert10</v>
      </c>
    </row>
    <row r="4601" spans="1:16" x14ac:dyDescent="0.25">
      <c r="A4601">
        <v>7</v>
      </c>
      <c r="B4601" t="s">
        <v>1593</v>
      </c>
      <c r="C4601">
        <f>-0.55-3.41</f>
        <v>-3.96</v>
      </c>
      <c r="D4601">
        <v>1.43</v>
      </c>
      <c r="E4601" t="s">
        <v>30</v>
      </c>
      <c r="F4601" t="s">
        <v>87</v>
      </c>
      <c r="G4601">
        <v>3.41</v>
      </c>
      <c r="H4601">
        <v>-0.55000000000000004</v>
      </c>
      <c r="I4601">
        <v>1.98</v>
      </c>
      <c r="J4601">
        <v>3.9203999999999999</v>
      </c>
      <c r="K4601" t="str">
        <f>IFERROR(INDEX(Rosters!$C$2:$C$155,MATCH($B4601,Rosters!$B$2:$B$155,0)),"NA")</f>
        <v>NA</v>
      </c>
      <c r="L4601" t="str">
        <f t="shared" si="213"/>
        <v>NA7WR</v>
      </c>
      <c r="M4601">
        <f>COUNTIF(L$1:L4601,L4601)</f>
        <v>57</v>
      </c>
      <c r="N4601" t="str">
        <f t="shared" si="214"/>
        <v>NA7WR-57</v>
      </c>
      <c r="O4601">
        <f>COUNTIFS(F$1:F4601,F4601,A$1:A4601,A4601)</f>
        <v>102</v>
      </c>
      <c r="P4601" t="str">
        <f t="shared" si="215"/>
        <v>Josh Reynolds7</v>
      </c>
    </row>
    <row r="4602" spans="1:16" x14ac:dyDescent="0.25">
      <c r="A4602">
        <v>16</v>
      </c>
      <c r="B4602" t="s">
        <v>300</v>
      </c>
      <c r="C4602" t="s">
        <v>8616</v>
      </c>
      <c r="D4602">
        <v>1.43</v>
      </c>
      <c r="E4602" t="s">
        <v>73</v>
      </c>
      <c r="F4602" t="s">
        <v>114</v>
      </c>
      <c r="G4602">
        <v>2.85</v>
      </c>
      <c r="H4602">
        <v>0.01</v>
      </c>
      <c r="I4602">
        <v>1.42</v>
      </c>
      <c r="J4602">
        <v>2.0164</v>
      </c>
      <c r="K4602" t="str">
        <f>IFERROR(INDEX(Rosters!$C$2:$C$155,MATCH($B4602,Rosters!$B$2:$B$155,0)),"NA")</f>
        <v>NA</v>
      </c>
      <c r="L4602" t="str">
        <f t="shared" si="213"/>
        <v>NA16TE</v>
      </c>
      <c r="M4602">
        <f>COUNTIF(L$1:L4602,L4602)</f>
        <v>49</v>
      </c>
      <c r="N4602" t="str">
        <f t="shared" si="214"/>
        <v>NA16TE-49</v>
      </c>
      <c r="O4602">
        <f>COUNTIFS(F$1:F4602,F4602,A$1:A4602,A4602)</f>
        <v>63</v>
      </c>
      <c r="P4602" t="str">
        <f t="shared" si="215"/>
        <v>Lance Kendricks16</v>
      </c>
    </row>
    <row r="4603" spans="1:16" x14ac:dyDescent="0.25">
      <c r="A4603">
        <v>14</v>
      </c>
      <c r="B4603" t="s">
        <v>259</v>
      </c>
      <c r="C4603">
        <f>-0.06-2.92</f>
        <v>-2.98</v>
      </c>
      <c r="D4603">
        <v>1.43</v>
      </c>
      <c r="E4603" t="s">
        <v>60</v>
      </c>
      <c r="F4603" t="s">
        <v>87</v>
      </c>
      <c r="G4603">
        <v>2.92</v>
      </c>
      <c r="H4603">
        <v>-0.06</v>
      </c>
      <c r="I4603">
        <v>1.49</v>
      </c>
      <c r="J4603">
        <v>2.2201</v>
      </c>
      <c r="K4603" t="str">
        <f>IFERROR(INDEX(Rosters!$C$2:$C$155,MATCH($B4603,Rosters!$B$2:$B$155,0)),"NA")</f>
        <v>NA</v>
      </c>
      <c r="L4603" t="str">
        <f t="shared" si="213"/>
        <v>NA14WR</v>
      </c>
      <c r="M4603">
        <f>COUNTIF(L$1:L4603,L4603)</f>
        <v>65</v>
      </c>
      <c r="N4603" t="str">
        <f t="shared" si="214"/>
        <v>NA14WR-65</v>
      </c>
      <c r="O4603">
        <f>COUNTIFS(F$1:F4603,F4603,A$1:A4603,A4603)</f>
        <v>119</v>
      </c>
      <c r="P4603" t="str">
        <f t="shared" si="215"/>
        <v>Russell Shepard14</v>
      </c>
    </row>
    <row r="4604" spans="1:16" x14ac:dyDescent="0.25">
      <c r="A4604">
        <v>13</v>
      </c>
      <c r="B4604" t="s">
        <v>4232</v>
      </c>
      <c r="C4604" t="s">
        <v>8617</v>
      </c>
      <c r="D4604">
        <v>1.43</v>
      </c>
      <c r="E4604" t="s">
        <v>74</v>
      </c>
      <c r="F4604" t="s">
        <v>47</v>
      </c>
      <c r="G4604">
        <v>2.79</v>
      </c>
      <c r="H4604">
        <v>7.0000000000000007E-2</v>
      </c>
      <c r="I4604">
        <v>1.36</v>
      </c>
      <c r="J4604">
        <v>1.8495999999999999</v>
      </c>
      <c r="K4604" t="str">
        <f>IFERROR(INDEX(Rosters!$C$2:$C$155,MATCH($B4604,Rosters!$B$2:$B$155,0)),"NA")</f>
        <v>NA</v>
      </c>
      <c r="L4604" t="str">
        <f t="shared" si="213"/>
        <v>NA13RB</v>
      </c>
      <c r="M4604">
        <f>COUNTIF(L$1:L4604,L4604)</f>
        <v>37</v>
      </c>
      <c r="N4604" t="str">
        <f t="shared" si="214"/>
        <v>NA13RB-37</v>
      </c>
      <c r="O4604">
        <f>COUNTIFS(F$1:F4604,F4604,A$1:A4604,A4604)</f>
        <v>84</v>
      </c>
      <c r="P4604" t="str">
        <f t="shared" si="215"/>
        <v>Shaun Wilson13</v>
      </c>
    </row>
    <row r="4605" spans="1:16" x14ac:dyDescent="0.25">
      <c r="A4605">
        <v>4</v>
      </c>
      <c r="B4605" t="s">
        <v>1581</v>
      </c>
      <c r="C4605">
        <f>-0.15-3.01</f>
        <v>-3.1599999999999997</v>
      </c>
      <c r="D4605">
        <v>1.43</v>
      </c>
      <c r="E4605" t="s">
        <v>77</v>
      </c>
      <c r="F4605" t="s">
        <v>47</v>
      </c>
      <c r="G4605">
        <v>3.01</v>
      </c>
      <c r="H4605">
        <v>-0.15</v>
      </c>
      <c r="I4605">
        <v>1.58</v>
      </c>
      <c r="J4605">
        <v>2.4964</v>
      </c>
      <c r="K4605" t="str">
        <f>IFERROR(INDEX(Rosters!$C$2:$C$155,MATCH($B4605,Rosters!$B$2:$B$155,0)),"NA")</f>
        <v>NA</v>
      </c>
      <c r="L4605" t="str">
        <f t="shared" si="213"/>
        <v>NA4RB</v>
      </c>
      <c r="M4605">
        <f>COUNTIF(L$1:L4605,L4605)</f>
        <v>27</v>
      </c>
      <c r="N4605" t="str">
        <f t="shared" si="214"/>
        <v>NA4RB-27</v>
      </c>
      <c r="O4605">
        <f>COUNTIFS(F$1:F4605,F4605,A$1:A4605,A4605)</f>
        <v>66</v>
      </c>
      <c r="P4605" t="str">
        <f t="shared" si="215"/>
        <v>Stevan Ridley4</v>
      </c>
    </row>
    <row r="4606" spans="1:16" x14ac:dyDescent="0.25">
      <c r="A4606">
        <v>12</v>
      </c>
      <c r="B4606" t="s">
        <v>4210</v>
      </c>
      <c r="C4606" t="s">
        <v>8618</v>
      </c>
      <c r="D4606">
        <v>1.42</v>
      </c>
      <c r="E4606" t="s">
        <v>46</v>
      </c>
      <c r="F4606" t="s">
        <v>87</v>
      </c>
      <c r="G4606">
        <v>2.5099999999999998</v>
      </c>
      <c r="H4606">
        <v>0.33</v>
      </c>
      <c r="I4606">
        <v>1.0900000000000001</v>
      </c>
      <c r="J4606">
        <v>1.1880999999999999</v>
      </c>
      <c r="K4606" t="str">
        <f>IFERROR(INDEX(Rosters!$C$2:$C$155,MATCH($B4606,Rosters!$B$2:$B$155,0)),"NA")</f>
        <v>NA</v>
      </c>
      <c r="L4606" t="str">
        <f t="shared" si="213"/>
        <v>NA12WR</v>
      </c>
      <c r="M4606">
        <f>COUNTIF(L$1:L4606,L4606)</f>
        <v>62</v>
      </c>
      <c r="N4606" t="str">
        <f t="shared" si="214"/>
        <v>NA12WR-62</v>
      </c>
      <c r="O4606">
        <f>COUNTIFS(F$1:F4606,F4606,A$1:A4606,A4606)</f>
        <v>111</v>
      </c>
      <c r="P4606" t="str">
        <f t="shared" si="215"/>
        <v>Austin Carr12</v>
      </c>
    </row>
    <row r="4607" spans="1:16" x14ac:dyDescent="0.25">
      <c r="A4607">
        <v>6</v>
      </c>
      <c r="B4607" t="s">
        <v>351</v>
      </c>
      <c r="C4607" t="s">
        <v>8619</v>
      </c>
      <c r="D4607">
        <v>1.42</v>
      </c>
      <c r="E4607" t="s">
        <v>60</v>
      </c>
      <c r="F4607" t="s">
        <v>47</v>
      </c>
      <c r="G4607">
        <v>2.78</v>
      </c>
      <c r="H4607">
        <v>0.06</v>
      </c>
      <c r="I4607">
        <v>1.36</v>
      </c>
      <c r="J4607">
        <v>1.8495999999999999</v>
      </c>
      <c r="K4607" t="str">
        <f>IFERROR(INDEX(Rosters!$C$2:$C$155,MATCH($B4607,Rosters!$B$2:$B$155,0)),"NA")</f>
        <v>NA</v>
      </c>
      <c r="L4607" t="str">
        <f t="shared" si="213"/>
        <v>NA6RB</v>
      </c>
      <c r="M4607">
        <f>COUNTIF(L$1:L4607,L4607)</f>
        <v>31</v>
      </c>
      <c r="N4607" t="str">
        <f t="shared" si="214"/>
        <v>NA6RB-31</v>
      </c>
      <c r="O4607">
        <f>COUNTIFS(F$1:F4607,F4607,A$1:A4607,A4607)</f>
        <v>73</v>
      </c>
      <c r="P4607" t="str">
        <f t="shared" si="215"/>
        <v>Cameron Artis-Payne6</v>
      </c>
    </row>
    <row r="4608" spans="1:16" x14ac:dyDescent="0.25">
      <c r="A4608">
        <v>11</v>
      </c>
      <c r="B4608" t="s">
        <v>284</v>
      </c>
      <c r="C4608">
        <f>-0.18-3.02</f>
        <v>-3.2</v>
      </c>
      <c r="D4608">
        <v>1.42</v>
      </c>
      <c r="E4608" t="s">
        <v>25</v>
      </c>
      <c r="F4608" t="s">
        <v>114</v>
      </c>
      <c r="G4608">
        <v>3.02</v>
      </c>
      <c r="H4608">
        <v>-0.18</v>
      </c>
      <c r="I4608">
        <v>1.6</v>
      </c>
      <c r="J4608">
        <v>2.56</v>
      </c>
      <c r="K4608" t="str">
        <f>IFERROR(INDEX(Rosters!$C$2:$C$155,MATCH($B4608,Rosters!$B$2:$B$155,0)),"NA")</f>
        <v>NA</v>
      </c>
      <c r="L4608" t="str">
        <f t="shared" si="213"/>
        <v>NA11TE</v>
      </c>
      <c r="M4608">
        <f>COUNTIF(L$1:L4608,L4608)</f>
        <v>40</v>
      </c>
      <c r="N4608" t="str">
        <f t="shared" si="214"/>
        <v>NA11TE-40</v>
      </c>
      <c r="O4608">
        <f>COUNTIFS(F$1:F4608,F4608,A$1:A4608,A4608)</f>
        <v>52</v>
      </c>
      <c r="P4608" t="str">
        <f t="shared" si="215"/>
        <v>Dion Sims11</v>
      </c>
    </row>
    <row r="4609" spans="1:16" x14ac:dyDescent="0.25">
      <c r="A4609">
        <v>3</v>
      </c>
      <c r="B4609" t="s">
        <v>279</v>
      </c>
      <c r="C4609" t="s">
        <v>3808</v>
      </c>
      <c r="D4609">
        <v>1.42</v>
      </c>
      <c r="E4609" t="s">
        <v>423</v>
      </c>
      <c r="F4609" t="s">
        <v>114</v>
      </c>
      <c r="G4609">
        <v>2.8</v>
      </c>
      <c r="H4609">
        <v>0.04</v>
      </c>
      <c r="I4609">
        <v>1.38</v>
      </c>
      <c r="J4609">
        <v>1.9044000000000001</v>
      </c>
      <c r="K4609" t="str">
        <f>IFERROR(INDEX(Rosters!$C$2:$C$155,MATCH($B4609,Rosters!$B$2:$B$155,0)),"NA")</f>
        <v>NA</v>
      </c>
      <c r="L4609" t="str">
        <f t="shared" si="213"/>
        <v>NA3TE</v>
      </c>
      <c r="M4609">
        <f>COUNTIF(L$1:L4609,L4609)</f>
        <v>45</v>
      </c>
      <c r="N4609" t="str">
        <f t="shared" si="214"/>
        <v>NA3TE-45</v>
      </c>
      <c r="O4609">
        <f>COUNTIFS(F$1:F4609,F4609,A$1:A4609,A4609)</f>
        <v>58</v>
      </c>
      <c r="P4609" t="str">
        <f t="shared" si="215"/>
        <v>Levine Toilolo3</v>
      </c>
    </row>
    <row r="4610" spans="1:16" x14ac:dyDescent="0.25">
      <c r="A4610">
        <v>2</v>
      </c>
      <c r="B4610" t="s">
        <v>270</v>
      </c>
      <c r="C4610">
        <f>-0.57-3.41</f>
        <v>-3.98</v>
      </c>
      <c r="D4610">
        <v>1.42</v>
      </c>
      <c r="E4610" t="s">
        <v>31</v>
      </c>
      <c r="F4610" t="s">
        <v>114</v>
      </c>
      <c r="G4610">
        <v>3.41</v>
      </c>
      <c r="H4610">
        <v>-0.56999999999999995</v>
      </c>
      <c r="I4610">
        <v>1.99</v>
      </c>
      <c r="J4610">
        <v>3.9601000000000002</v>
      </c>
      <c r="K4610" t="str">
        <f>IFERROR(INDEX(Rosters!$C$2:$C$155,MATCH($B4610,Rosters!$B$2:$B$155,0)),"NA")</f>
        <v>NA</v>
      </c>
      <c r="L4610" t="str">
        <f t="shared" si="213"/>
        <v>NA2TE</v>
      </c>
      <c r="M4610">
        <f>COUNTIF(L$1:L4610,L4610)</f>
        <v>37</v>
      </c>
      <c r="N4610" t="str">
        <f t="shared" si="214"/>
        <v>NA2TE-37</v>
      </c>
      <c r="O4610">
        <f>COUNTIFS(F$1:F4610,F4610,A$1:A4610,A4610)</f>
        <v>50</v>
      </c>
      <c r="P4610" t="str">
        <f t="shared" si="215"/>
        <v>Maxx Williams2</v>
      </c>
    </row>
    <row r="4611" spans="1:16" x14ac:dyDescent="0.25">
      <c r="A4611">
        <v>5</v>
      </c>
      <c r="B4611" t="s">
        <v>373</v>
      </c>
      <c r="C4611">
        <f>-0.73-3.55</f>
        <v>-4.2799999999999994</v>
      </c>
      <c r="D4611">
        <v>1.41</v>
      </c>
      <c r="E4611" t="s">
        <v>74</v>
      </c>
      <c r="F4611" t="s">
        <v>87</v>
      </c>
      <c r="G4611">
        <v>3.55</v>
      </c>
      <c r="H4611">
        <v>-0.73</v>
      </c>
      <c r="I4611">
        <v>2.14</v>
      </c>
      <c r="J4611">
        <v>4.5796000000000001</v>
      </c>
      <c r="K4611" t="str">
        <f>IFERROR(INDEX(Rosters!$C$2:$C$155,MATCH($B4611,Rosters!$B$2:$B$155,0)),"NA")</f>
        <v>NA</v>
      </c>
      <c r="L4611" t="str">
        <f t="shared" ref="L4611:L4674" si="216">K4611&amp;A4611&amp;F4611</f>
        <v>NA5WR</v>
      </c>
      <c r="M4611">
        <f>COUNTIF(L$1:L4611,L4611)</f>
        <v>64</v>
      </c>
      <c r="N4611" t="str">
        <f t="shared" ref="N4611:N4674" si="217">L4611&amp;"-"&amp;M4611</f>
        <v>NA5WR-64</v>
      </c>
      <c r="O4611">
        <f>COUNTIFS(F$1:F4611,F4611,A$1:A4611,A4611)</f>
        <v>114</v>
      </c>
      <c r="P4611" t="str">
        <f t="shared" ref="P4611:P4674" si="218">B4611&amp;A4611</f>
        <v>Cody Latimer5</v>
      </c>
    </row>
    <row r="4612" spans="1:16" x14ac:dyDescent="0.25">
      <c r="A4612">
        <v>7</v>
      </c>
      <c r="B4612" t="s">
        <v>1469</v>
      </c>
      <c r="C4612">
        <f>-0.34-3.16</f>
        <v>-3.5</v>
      </c>
      <c r="D4612">
        <v>1.41</v>
      </c>
      <c r="E4612" t="s">
        <v>30</v>
      </c>
      <c r="F4612" t="s">
        <v>114</v>
      </c>
      <c r="G4612">
        <v>3.16</v>
      </c>
      <c r="H4612">
        <v>-0.34</v>
      </c>
      <c r="I4612">
        <v>1.75</v>
      </c>
      <c r="J4612">
        <v>3.0625</v>
      </c>
      <c r="K4612" t="str">
        <f>IFERROR(INDEX(Rosters!$C$2:$C$155,MATCH($B4612,Rosters!$B$2:$B$155,0)),"NA")</f>
        <v>NA</v>
      </c>
      <c r="L4612" t="str">
        <f t="shared" si="216"/>
        <v>NA7TE</v>
      </c>
      <c r="M4612">
        <f>COUNTIF(L$1:L4612,L4612)</f>
        <v>46</v>
      </c>
      <c r="N4612" t="str">
        <f t="shared" si="217"/>
        <v>NA7TE-46</v>
      </c>
      <c r="O4612">
        <f>COUNTIFS(F$1:F4612,F4612,A$1:A4612,A4612)</f>
        <v>56</v>
      </c>
      <c r="P4612" t="str">
        <f t="shared" si="218"/>
        <v>Gerald Everett7</v>
      </c>
    </row>
    <row r="4613" spans="1:16" x14ac:dyDescent="0.25">
      <c r="A4613">
        <v>6</v>
      </c>
      <c r="B4613" t="s">
        <v>4264</v>
      </c>
      <c r="C4613">
        <f>-0.45-3.27</f>
        <v>-3.72</v>
      </c>
      <c r="D4613">
        <v>1.41</v>
      </c>
      <c r="E4613" t="s">
        <v>42</v>
      </c>
      <c r="F4613" t="s">
        <v>87</v>
      </c>
      <c r="G4613">
        <v>3.27</v>
      </c>
      <c r="H4613">
        <v>-0.45</v>
      </c>
      <c r="I4613">
        <v>1.86</v>
      </c>
      <c r="J4613">
        <v>3.4596</v>
      </c>
      <c r="K4613" t="str">
        <f>IFERROR(INDEX(Rosters!$C$2:$C$155,MATCH($B4613,Rosters!$B$2:$B$155,0)),"NA")</f>
        <v>NA</v>
      </c>
      <c r="L4613" t="str">
        <f t="shared" si="216"/>
        <v>NA6WR</v>
      </c>
      <c r="M4613">
        <f>COUNTIF(L$1:L4613,L4613)</f>
        <v>61</v>
      </c>
      <c r="N4613" t="str">
        <f t="shared" si="217"/>
        <v>NA6WR-61</v>
      </c>
      <c r="O4613">
        <f>COUNTIFS(F$1:F4613,F4613,A$1:A4613,A4613)</f>
        <v>111</v>
      </c>
      <c r="P4613" t="str">
        <f t="shared" si="218"/>
        <v>JoJo Natson6</v>
      </c>
    </row>
    <row r="4614" spans="1:16" x14ac:dyDescent="0.25">
      <c r="A4614">
        <v>10</v>
      </c>
      <c r="B4614" t="s">
        <v>1495</v>
      </c>
      <c r="C4614">
        <f>-0.08-2.9</f>
        <v>-2.98</v>
      </c>
      <c r="D4614">
        <v>1.41</v>
      </c>
      <c r="E4614" t="s">
        <v>423</v>
      </c>
      <c r="F4614" t="s">
        <v>114</v>
      </c>
      <c r="G4614">
        <v>2.9</v>
      </c>
      <c r="H4614">
        <v>-0.08</v>
      </c>
      <c r="I4614">
        <v>1.49</v>
      </c>
      <c r="J4614">
        <v>2.2201</v>
      </c>
      <c r="K4614" t="str">
        <f>IFERROR(INDEX(Rosters!$C$2:$C$155,MATCH($B4614,Rosters!$B$2:$B$155,0)),"NA")</f>
        <v>NA</v>
      </c>
      <c r="L4614" t="str">
        <f t="shared" si="216"/>
        <v>NA10TE</v>
      </c>
      <c r="M4614">
        <f>COUNTIF(L$1:L4614,L4614)</f>
        <v>42</v>
      </c>
      <c r="N4614" t="str">
        <f t="shared" si="217"/>
        <v>NA10TE-42</v>
      </c>
      <c r="O4614">
        <f>COUNTIFS(F$1:F4614,F4614,A$1:A4614,A4614)</f>
        <v>55</v>
      </c>
      <c r="P4614" t="str">
        <f t="shared" si="218"/>
        <v>Jonnu Smith10</v>
      </c>
    </row>
    <row r="4615" spans="1:16" x14ac:dyDescent="0.25">
      <c r="A4615">
        <v>9</v>
      </c>
      <c r="B4615" t="s">
        <v>1593</v>
      </c>
      <c r="C4615">
        <f>-0.57-3.39</f>
        <v>-3.96</v>
      </c>
      <c r="D4615">
        <v>1.41</v>
      </c>
      <c r="E4615" t="s">
        <v>14</v>
      </c>
      <c r="F4615" t="s">
        <v>87</v>
      </c>
      <c r="G4615">
        <v>3.39</v>
      </c>
      <c r="H4615">
        <v>-0.56999999999999995</v>
      </c>
      <c r="I4615">
        <v>1.98</v>
      </c>
      <c r="J4615">
        <v>3.9203999999999999</v>
      </c>
      <c r="K4615" t="str">
        <f>IFERROR(INDEX(Rosters!$C$2:$C$155,MATCH($B4615,Rosters!$B$2:$B$155,0)),"NA")</f>
        <v>NA</v>
      </c>
      <c r="L4615" t="str">
        <f t="shared" si="216"/>
        <v>NA9WR</v>
      </c>
      <c r="M4615">
        <f>COUNTIF(L$1:L4615,L4615)</f>
        <v>57</v>
      </c>
      <c r="N4615" t="str">
        <f t="shared" si="217"/>
        <v>NA9WR-57</v>
      </c>
      <c r="O4615">
        <f>COUNTIFS(F$1:F4615,F4615,A$1:A4615,A4615)</f>
        <v>101</v>
      </c>
      <c r="P4615" t="str">
        <f t="shared" si="218"/>
        <v>Josh Reynolds9</v>
      </c>
    </row>
    <row r="4616" spans="1:16" x14ac:dyDescent="0.25">
      <c r="A4616">
        <v>12</v>
      </c>
      <c r="B4616" t="s">
        <v>1458</v>
      </c>
      <c r="C4616">
        <f>-0.01-2.81</f>
        <v>-2.82</v>
      </c>
      <c r="D4616">
        <v>1.4</v>
      </c>
      <c r="E4616" t="s">
        <v>66</v>
      </c>
      <c r="F4616" t="s">
        <v>47</v>
      </c>
      <c r="G4616">
        <v>2.81</v>
      </c>
      <c r="H4616">
        <v>-0.01</v>
      </c>
      <c r="I4616">
        <v>1.41</v>
      </c>
      <c r="J4616">
        <v>1.9881</v>
      </c>
      <c r="K4616" t="str">
        <f>IFERROR(INDEX(Rosters!$C$2:$C$155,MATCH($B4616,Rosters!$B$2:$B$155,0)),"NA")</f>
        <v>NA</v>
      </c>
      <c r="L4616" t="str">
        <f t="shared" si="216"/>
        <v>NA12RB</v>
      </c>
      <c r="M4616">
        <f>COUNTIF(L$1:L4616,L4616)</f>
        <v>35</v>
      </c>
      <c r="N4616" t="str">
        <f t="shared" si="217"/>
        <v>NA12RB-35</v>
      </c>
      <c r="O4616">
        <f>COUNTIFS(F$1:F4616,F4616,A$1:A4616,A4616)</f>
        <v>80</v>
      </c>
      <c r="P4616" t="str">
        <f t="shared" si="218"/>
        <v>Kalen Ballage12</v>
      </c>
    </row>
    <row r="4617" spans="1:16" x14ac:dyDescent="0.25">
      <c r="A4617">
        <v>7</v>
      </c>
      <c r="B4617" t="s">
        <v>1556</v>
      </c>
      <c r="C4617">
        <f>-0.36-3.16</f>
        <v>-3.52</v>
      </c>
      <c r="D4617">
        <v>1.4</v>
      </c>
      <c r="E4617" t="s">
        <v>66</v>
      </c>
      <c r="F4617" t="s">
        <v>47</v>
      </c>
      <c r="G4617">
        <v>3.16</v>
      </c>
      <c r="H4617">
        <v>-0.36</v>
      </c>
      <c r="I4617">
        <v>1.76</v>
      </c>
      <c r="J4617">
        <v>3.0975999999999999</v>
      </c>
      <c r="K4617" t="str">
        <f>IFERROR(INDEX(Rosters!$C$2:$C$155,MATCH($B4617,Rosters!$B$2:$B$155,0)),"NA")</f>
        <v>NA</v>
      </c>
      <c r="L4617" t="str">
        <f t="shared" si="216"/>
        <v>NA7RB</v>
      </c>
      <c r="M4617">
        <f>COUNTIF(L$1:L4617,L4617)</f>
        <v>30</v>
      </c>
      <c r="N4617" t="str">
        <f t="shared" si="217"/>
        <v>NA7RB-30</v>
      </c>
      <c r="O4617">
        <f>COUNTIFS(F$1:F4617,F4617,A$1:A4617,A4617)</f>
        <v>71</v>
      </c>
      <c r="P4617" t="str">
        <f t="shared" si="218"/>
        <v>Marcus Murphy7</v>
      </c>
    </row>
    <row r="4618" spans="1:16" x14ac:dyDescent="0.25">
      <c r="A4618">
        <v>5</v>
      </c>
      <c r="B4618" t="s">
        <v>270</v>
      </c>
      <c r="C4618">
        <f>-0.14-2.94</f>
        <v>-3.08</v>
      </c>
      <c r="D4618">
        <v>1.4</v>
      </c>
      <c r="E4618" t="s">
        <v>52</v>
      </c>
      <c r="F4618" t="s">
        <v>114</v>
      </c>
      <c r="G4618">
        <v>2.94</v>
      </c>
      <c r="H4618">
        <v>-0.14000000000000001</v>
      </c>
      <c r="I4618">
        <v>1.54</v>
      </c>
      <c r="J4618">
        <v>2.3715999999999999</v>
      </c>
      <c r="K4618" t="str">
        <f>IFERROR(INDEX(Rosters!$C$2:$C$155,MATCH($B4618,Rosters!$B$2:$B$155,0)),"NA")</f>
        <v>NA</v>
      </c>
      <c r="L4618" t="str">
        <f t="shared" si="216"/>
        <v>NA5TE</v>
      </c>
      <c r="M4618">
        <f>COUNTIF(L$1:L4618,L4618)</f>
        <v>45</v>
      </c>
      <c r="N4618" t="str">
        <f t="shared" si="217"/>
        <v>NA5TE-45</v>
      </c>
      <c r="O4618">
        <f>COUNTIFS(F$1:F4618,F4618,A$1:A4618,A4618)</f>
        <v>56</v>
      </c>
      <c r="P4618" t="str">
        <f t="shared" si="218"/>
        <v>Maxx Williams5</v>
      </c>
    </row>
    <row r="4619" spans="1:16" x14ac:dyDescent="0.25">
      <c r="A4619">
        <v>14</v>
      </c>
      <c r="B4619" t="s">
        <v>1581</v>
      </c>
      <c r="C4619">
        <f>-0.22-3.02</f>
        <v>-3.24</v>
      </c>
      <c r="D4619">
        <v>1.4</v>
      </c>
      <c r="E4619" t="s">
        <v>32</v>
      </c>
      <c r="F4619" t="s">
        <v>47</v>
      </c>
      <c r="G4619">
        <v>3.02</v>
      </c>
      <c r="H4619">
        <v>-0.22</v>
      </c>
      <c r="I4619">
        <v>1.62</v>
      </c>
      <c r="J4619">
        <v>2.6244000000000001</v>
      </c>
      <c r="K4619" t="str">
        <f>IFERROR(INDEX(Rosters!$C$2:$C$155,MATCH($B4619,Rosters!$B$2:$B$155,0)),"NA")</f>
        <v>NA</v>
      </c>
      <c r="L4619" t="str">
        <f t="shared" si="216"/>
        <v>NA14RB</v>
      </c>
      <c r="M4619">
        <f>COUNTIF(L$1:L4619,L4619)</f>
        <v>38</v>
      </c>
      <c r="N4619" t="str">
        <f t="shared" si="217"/>
        <v>NA14RB-38</v>
      </c>
      <c r="O4619">
        <f>COUNTIFS(F$1:F4619,F4619,A$1:A4619,A4619)</f>
        <v>85</v>
      </c>
      <c r="P4619" t="str">
        <f t="shared" si="218"/>
        <v>Stevan Ridley14</v>
      </c>
    </row>
    <row r="4620" spans="1:16" x14ac:dyDescent="0.25">
      <c r="A4620">
        <v>13</v>
      </c>
      <c r="B4620" t="s">
        <v>4208</v>
      </c>
      <c r="C4620">
        <f>-0.17-2.95</f>
        <v>-3.12</v>
      </c>
      <c r="D4620">
        <v>1.39</v>
      </c>
      <c r="E4620" t="s">
        <v>14</v>
      </c>
      <c r="F4620" t="s">
        <v>114</v>
      </c>
      <c r="G4620">
        <v>2.95</v>
      </c>
      <c r="H4620">
        <v>-0.17</v>
      </c>
      <c r="I4620">
        <v>1.56</v>
      </c>
      <c r="J4620">
        <v>2.4336000000000002</v>
      </c>
      <c r="K4620" t="str">
        <f>IFERROR(INDEX(Rosters!$C$2:$C$155,MATCH($B4620,Rosters!$B$2:$B$155,0)),"NA")</f>
        <v>NA</v>
      </c>
      <c r="L4620" t="str">
        <f t="shared" si="216"/>
        <v>NA13TE</v>
      </c>
      <c r="M4620">
        <f>COUNTIF(L$1:L4620,L4620)</f>
        <v>47</v>
      </c>
      <c r="N4620" t="str">
        <f t="shared" si="217"/>
        <v>NA13TE-47</v>
      </c>
      <c r="O4620">
        <f>COUNTIFS(F$1:F4620,F4620,A$1:A4620,A4620)</f>
        <v>61</v>
      </c>
      <c r="P4620" t="str">
        <f t="shared" si="218"/>
        <v>Blake Jarwin13</v>
      </c>
    </row>
    <row r="4621" spans="1:16" x14ac:dyDescent="0.25">
      <c r="A4621">
        <v>4</v>
      </c>
      <c r="B4621" t="s">
        <v>4656</v>
      </c>
      <c r="C4621">
        <f>-0.04-2.82</f>
        <v>-2.86</v>
      </c>
      <c r="D4621">
        <v>1.39</v>
      </c>
      <c r="E4621" t="s">
        <v>66</v>
      </c>
      <c r="F4621" t="s">
        <v>47</v>
      </c>
      <c r="G4621">
        <v>2.82</v>
      </c>
      <c r="H4621">
        <v>-0.04</v>
      </c>
      <c r="I4621">
        <v>1.43</v>
      </c>
      <c r="J4621">
        <v>2.0449000000000002</v>
      </c>
      <c r="K4621" t="str">
        <f>IFERROR(INDEX(Rosters!$C$2:$C$155,MATCH($B4621,Rosters!$B$2:$B$155,0)),"NA")</f>
        <v>NA</v>
      </c>
      <c r="L4621" t="str">
        <f t="shared" si="216"/>
        <v>NA4RB</v>
      </c>
      <c r="M4621">
        <f>COUNTIF(L$1:L4621,L4621)</f>
        <v>28</v>
      </c>
      <c r="N4621" t="str">
        <f t="shared" si="217"/>
        <v>NA4RB-28</v>
      </c>
      <c r="O4621">
        <f>COUNTIFS(F$1:F4621,F4621,A$1:A4621,A4621)</f>
        <v>67</v>
      </c>
      <c r="P4621" t="str">
        <f t="shared" si="218"/>
        <v>Buddy Howell4</v>
      </c>
    </row>
    <row r="4622" spans="1:16" x14ac:dyDescent="0.25">
      <c r="A4622">
        <v>2</v>
      </c>
      <c r="B4622" t="s">
        <v>91</v>
      </c>
      <c r="C4622" t="s">
        <v>3568</v>
      </c>
      <c r="D4622">
        <v>1.39</v>
      </c>
      <c r="E4622" t="s">
        <v>25</v>
      </c>
      <c r="F4622" t="s">
        <v>15</v>
      </c>
      <c r="G4622">
        <v>2.2799999999999998</v>
      </c>
      <c r="H4622">
        <v>0.5</v>
      </c>
      <c r="I4622">
        <v>0.89</v>
      </c>
      <c r="J4622">
        <v>0.79210000000000003</v>
      </c>
      <c r="K4622" t="str">
        <f>IFERROR(INDEX(Rosters!$C$2:$C$155,MATCH($B4622,Rosters!$B$2:$B$155,0)),"NA")</f>
        <v>NA</v>
      </c>
      <c r="L4622" t="str">
        <f t="shared" si="216"/>
        <v>NA2QB</v>
      </c>
      <c r="M4622">
        <f>COUNTIF(L$1:L4622,L4622)</f>
        <v>19</v>
      </c>
      <c r="N4622" t="str">
        <f t="shared" si="217"/>
        <v>NA2QB-19</v>
      </c>
      <c r="O4622">
        <f>COUNTIFS(F$1:F4622,F4622,A$1:A4622,A4622)</f>
        <v>35</v>
      </c>
      <c r="P4622" t="str">
        <f t="shared" si="218"/>
        <v>DeShone Kizer2</v>
      </c>
    </row>
    <row r="4623" spans="1:16" x14ac:dyDescent="0.25">
      <c r="A4623">
        <v>5</v>
      </c>
      <c r="B4623" t="s">
        <v>348</v>
      </c>
      <c r="C4623">
        <f>-0.23-3.01</f>
        <v>-3.2399999999999998</v>
      </c>
      <c r="D4623">
        <v>1.39</v>
      </c>
      <c r="E4623" t="s">
        <v>74</v>
      </c>
      <c r="F4623" t="s">
        <v>114</v>
      </c>
      <c r="G4623">
        <v>3.01</v>
      </c>
      <c r="H4623">
        <v>-0.23</v>
      </c>
      <c r="I4623">
        <v>1.62</v>
      </c>
      <c r="J4623">
        <v>2.6244000000000001</v>
      </c>
      <c r="K4623" t="str">
        <f>IFERROR(INDEX(Rosters!$C$2:$C$155,MATCH($B4623,Rosters!$B$2:$B$155,0)),"NA")</f>
        <v>NA</v>
      </c>
      <c r="L4623" t="str">
        <f t="shared" si="216"/>
        <v>NA5TE</v>
      </c>
      <c r="M4623">
        <f>COUNTIF(L$1:L4623,L4623)</f>
        <v>46</v>
      </c>
      <c r="N4623" t="str">
        <f t="shared" si="217"/>
        <v>NA5TE-46</v>
      </c>
      <c r="O4623">
        <f>COUNTIFS(F$1:F4623,F4623,A$1:A4623,A4623)</f>
        <v>57</v>
      </c>
      <c r="P4623" t="str">
        <f t="shared" si="218"/>
        <v>Jerell Adams5</v>
      </c>
    </row>
    <row r="4624" spans="1:16" x14ac:dyDescent="0.25">
      <c r="A4624">
        <v>3</v>
      </c>
      <c r="B4624" t="s">
        <v>287</v>
      </c>
      <c r="C4624">
        <f>-0.03-2.81</f>
        <v>-2.84</v>
      </c>
      <c r="D4624">
        <v>1.39</v>
      </c>
      <c r="E4624" t="s">
        <v>46</v>
      </c>
      <c r="F4624" t="s">
        <v>114</v>
      </c>
      <c r="G4624">
        <v>2.81</v>
      </c>
      <c r="H4624">
        <v>-0.03</v>
      </c>
      <c r="I4624">
        <v>1.42</v>
      </c>
      <c r="J4624">
        <v>2.0164</v>
      </c>
      <c r="K4624" t="str">
        <f>IFERROR(INDEX(Rosters!$C$2:$C$155,MATCH($B4624,Rosters!$B$2:$B$155,0)),"NA")</f>
        <v>NA</v>
      </c>
      <c r="L4624" t="str">
        <f t="shared" si="216"/>
        <v>NA3TE</v>
      </c>
      <c r="M4624">
        <f>COUNTIF(L$1:L4624,L4624)</f>
        <v>46</v>
      </c>
      <c r="N4624" t="str">
        <f t="shared" si="217"/>
        <v>NA3TE-46</v>
      </c>
      <c r="O4624">
        <f>COUNTIFS(F$1:F4624,F4624,A$1:A4624,A4624)</f>
        <v>59</v>
      </c>
      <c r="P4624" t="str">
        <f t="shared" si="218"/>
        <v>Josh Hill3</v>
      </c>
    </row>
    <row r="4625" spans="1:16" x14ac:dyDescent="0.25">
      <c r="A4625">
        <v>16</v>
      </c>
      <c r="B4625" t="s">
        <v>1556</v>
      </c>
      <c r="C4625">
        <f>-0.31-3.09</f>
        <v>-3.4</v>
      </c>
      <c r="D4625">
        <v>1.39</v>
      </c>
      <c r="E4625" t="s">
        <v>423</v>
      </c>
      <c r="F4625" t="s">
        <v>47</v>
      </c>
      <c r="G4625">
        <v>3.09</v>
      </c>
      <c r="H4625">
        <v>-0.31</v>
      </c>
      <c r="I4625">
        <v>1.7</v>
      </c>
      <c r="J4625">
        <v>2.89</v>
      </c>
      <c r="K4625" t="str">
        <f>IFERROR(INDEX(Rosters!$C$2:$C$155,MATCH($B4625,Rosters!$B$2:$B$155,0)),"NA")</f>
        <v>NA</v>
      </c>
      <c r="L4625" t="str">
        <f t="shared" si="216"/>
        <v>NA16RB</v>
      </c>
      <c r="M4625">
        <f>COUNTIF(L$1:L4625,L4625)</f>
        <v>37</v>
      </c>
      <c r="N4625" t="str">
        <f t="shared" si="217"/>
        <v>NA16RB-37</v>
      </c>
      <c r="O4625">
        <f>COUNTIFS(F$1:F4625,F4625,A$1:A4625,A4625)</f>
        <v>84</v>
      </c>
      <c r="P4625" t="str">
        <f t="shared" si="218"/>
        <v>Marcus Murphy16</v>
      </c>
    </row>
    <row r="4626" spans="1:16" x14ac:dyDescent="0.25">
      <c r="A4626">
        <v>16</v>
      </c>
      <c r="B4626" t="s">
        <v>351</v>
      </c>
      <c r="C4626" t="s">
        <v>8620</v>
      </c>
      <c r="D4626">
        <v>1.38</v>
      </c>
      <c r="E4626" t="s">
        <v>46</v>
      </c>
      <c r="F4626" t="s">
        <v>47</v>
      </c>
      <c r="G4626">
        <v>2.73</v>
      </c>
      <c r="H4626">
        <v>0.03</v>
      </c>
      <c r="I4626">
        <v>1.35</v>
      </c>
      <c r="J4626">
        <v>1.8225</v>
      </c>
      <c r="K4626" t="str">
        <f>IFERROR(INDEX(Rosters!$C$2:$C$155,MATCH($B4626,Rosters!$B$2:$B$155,0)),"NA")</f>
        <v>NA</v>
      </c>
      <c r="L4626" t="str">
        <f t="shared" si="216"/>
        <v>NA16RB</v>
      </c>
      <c r="M4626">
        <f>COUNTIF(L$1:L4626,L4626)</f>
        <v>38</v>
      </c>
      <c r="N4626" t="str">
        <f t="shared" si="217"/>
        <v>NA16RB-38</v>
      </c>
      <c r="O4626">
        <f>COUNTIFS(F$1:F4626,F4626,A$1:A4626,A4626)</f>
        <v>85</v>
      </c>
      <c r="P4626" t="str">
        <f t="shared" si="218"/>
        <v>Cameron Artis-Payne16</v>
      </c>
    </row>
    <row r="4627" spans="1:16" x14ac:dyDescent="0.25">
      <c r="A4627">
        <v>6</v>
      </c>
      <c r="B4627" t="s">
        <v>380</v>
      </c>
      <c r="C4627">
        <f>-0.12-2.88</f>
        <v>-3</v>
      </c>
      <c r="D4627">
        <v>1.38</v>
      </c>
      <c r="E4627" t="s">
        <v>28</v>
      </c>
      <c r="F4627" t="s">
        <v>114</v>
      </c>
      <c r="G4627">
        <v>2.88</v>
      </c>
      <c r="H4627">
        <v>-0.12</v>
      </c>
      <c r="I4627">
        <v>1.5</v>
      </c>
      <c r="J4627">
        <v>2.25</v>
      </c>
      <c r="K4627" t="str">
        <f>IFERROR(INDEX(Rosters!$C$2:$C$155,MATCH($B4627,Rosters!$B$2:$B$155,0)),"NA")</f>
        <v>NA</v>
      </c>
      <c r="L4627" t="str">
        <f t="shared" si="216"/>
        <v>NA6TE</v>
      </c>
      <c r="M4627">
        <f>COUNTIF(L$1:L4627,L4627)</f>
        <v>45</v>
      </c>
      <c r="N4627" t="str">
        <f t="shared" si="217"/>
        <v>NA6TE-45</v>
      </c>
      <c r="O4627">
        <f>COUNTIFS(F$1:F4627,F4627,A$1:A4627,A4627)</f>
        <v>57</v>
      </c>
      <c r="P4627" t="str">
        <f t="shared" si="218"/>
        <v>Derek Carrier6</v>
      </c>
    </row>
    <row r="4628" spans="1:16" x14ac:dyDescent="0.25">
      <c r="A4628">
        <v>16</v>
      </c>
      <c r="B4628" t="s">
        <v>380</v>
      </c>
      <c r="C4628">
        <f>-0.12-2.88</f>
        <v>-3</v>
      </c>
      <c r="D4628">
        <v>1.38</v>
      </c>
      <c r="E4628" t="s">
        <v>42</v>
      </c>
      <c r="F4628" t="s">
        <v>114</v>
      </c>
      <c r="G4628">
        <v>2.88</v>
      </c>
      <c r="H4628">
        <v>-0.12</v>
      </c>
      <c r="I4628">
        <v>1.5</v>
      </c>
      <c r="J4628">
        <v>2.25</v>
      </c>
      <c r="K4628" t="str">
        <f>IFERROR(INDEX(Rosters!$C$2:$C$155,MATCH($B4628,Rosters!$B$2:$B$155,0)),"NA")</f>
        <v>NA</v>
      </c>
      <c r="L4628" t="str">
        <f t="shared" si="216"/>
        <v>NA16TE</v>
      </c>
      <c r="M4628">
        <f>COUNTIF(L$1:L4628,L4628)</f>
        <v>50</v>
      </c>
      <c r="N4628" t="str">
        <f t="shared" si="217"/>
        <v>NA16TE-50</v>
      </c>
      <c r="O4628">
        <f>COUNTIFS(F$1:F4628,F4628,A$1:A4628,A4628)</f>
        <v>64</v>
      </c>
      <c r="P4628" t="str">
        <f t="shared" si="218"/>
        <v>Derek Carrier16</v>
      </c>
    </row>
    <row r="4629" spans="1:16" x14ac:dyDescent="0.25">
      <c r="A4629">
        <v>13</v>
      </c>
      <c r="B4629" t="s">
        <v>1517</v>
      </c>
      <c r="C4629">
        <f>-0.17-2.93</f>
        <v>-3.1</v>
      </c>
      <c r="D4629">
        <v>1.38</v>
      </c>
      <c r="E4629" t="s">
        <v>77</v>
      </c>
      <c r="F4629" t="s">
        <v>114</v>
      </c>
      <c r="G4629">
        <v>2.93</v>
      </c>
      <c r="H4629">
        <v>-0.17</v>
      </c>
      <c r="I4629">
        <v>1.55</v>
      </c>
      <c r="J4629">
        <v>2.4024999999999999</v>
      </c>
      <c r="K4629" t="str">
        <f>IFERROR(INDEX(Rosters!$C$2:$C$155,MATCH($B4629,Rosters!$B$2:$B$155,0)),"NA")</f>
        <v>NA</v>
      </c>
      <c r="L4629" t="str">
        <f t="shared" si="216"/>
        <v>NA13TE</v>
      </c>
      <c r="M4629">
        <f>COUNTIF(L$1:L4629,L4629)</f>
        <v>48</v>
      </c>
      <c r="N4629" t="str">
        <f t="shared" si="217"/>
        <v>NA13TE-48</v>
      </c>
      <c r="O4629">
        <f>COUNTIFS(F$1:F4629,F4629,A$1:A4629,A4629)</f>
        <v>62</v>
      </c>
      <c r="P4629" t="str">
        <f t="shared" si="218"/>
        <v>Eric Saubert13</v>
      </c>
    </row>
    <row r="4630" spans="1:16" x14ac:dyDescent="0.25">
      <c r="A4630">
        <v>4</v>
      </c>
      <c r="B4630" t="s">
        <v>1586</v>
      </c>
      <c r="C4630" t="s">
        <v>4657</v>
      </c>
      <c r="D4630">
        <v>1.38</v>
      </c>
      <c r="E4630" t="s">
        <v>76</v>
      </c>
      <c r="F4630" t="s">
        <v>114</v>
      </c>
      <c r="G4630">
        <v>2.72</v>
      </c>
      <c r="H4630">
        <v>0.04</v>
      </c>
      <c r="I4630">
        <v>1.34</v>
      </c>
      <c r="J4630">
        <v>1.7956000000000001</v>
      </c>
      <c r="K4630" t="str">
        <f>IFERROR(INDEX(Rosters!$C$2:$C$155,MATCH($B4630,Rosters!$B$2:$B$155,0)),"NA")</f>
        <v>NA</v>
      </c>
      <c r="L4630" t="str">
        <f t="shared" si="216"/>
        <v>NA4TE</v>
      </c>
      <c r="M4630">
        <f>COUNTIF(L$1:L4630,L4630)</f>
        <v>46</v>
      </c>
      <c r="N4630" t="str">
        <f t="shared" si="217"/>
        <v>NA4TE-46</v>
      </c>
      <c r="O4630">
        <f>COUNTIFS(F$1:F4630,F4630,A$1:A4630,A4630)</f>
        <v>57</v>
      </c>
      <c r="P4630" t="str">
        <f t="shared" si="218"/>
        <v>Eric Tomlinson4</v>
      </c>
    </row>
    <row r="4631" spans="1:16" x14ac:dyDescent="0.25">
      <c r="A4631">
        <v>10</v>
      </c>
      <c r="B4631" t="s">
        <v>1469</v>
      </c>
      <c r="C4631">
        <f>-0.05-2.81</f>
        <v>-2.86</v>
      </c>
      <c r="D4631">
        <v>1.38</v>
      </c>
      <c r="E4631" t="s">
        <v>28</v>
      </c>
      <c r="F4631" t="s">
        <v>114</v>
      </c>
      <c r="G4631">
        <v>2.81</v>
      </c>
      <c r="H4631">
        <v>-0.05</v>
      </c>
      <c r="I4631">
        <v>1.43</v>
      </c>
      <c r="J4631">
        <v>2.0449000000000002</v>
      </c>
      <c r="K4631" t="str">
        <f>IFERROR(INDEX(Rosters!$C$2:$C$155,MATCH($B4631,Rosters!$B$2:$B$155,0)),"NA")</f>
        <v>NA</v>
      </c>
      <c r="L4631" t="str">
        <f t="shared" si="216"/>
        <v>NA10TE</v>
      </c>
      <c r="M4631">
        <f>COUNTIF(L$1:L4631,L4631)</f>
        <v>43</v>
      </c>
      <c r="N4631" t="str">
        <f t="shared" si="217"/>
        <v>NA10TE-43</v>
      </c>
      <c r="O4631">
        <f>COUNTIFS(F$1:F4631,F4631,A$1:A4631,A4631)</f>
        <v>56</v>
      </c>
      <c r="P4631" t="str">
        <f t="shared" si="218"/>
        <v>Gerald Everett10</v>
      </c>
    </row>
    <row r="4632" spans="1:16" x14ac:dyDescent="0.25">
      <c r="A4632">
        <v>15</v>
      </c>
      <c r="B4632" t="s">
        <v>1469</v>
      </c>
      <c r="C4632" t="s">
        <v>8620</v>
      </c>
      <c r="D4632">
        <v>1.38</v>
      </c>
      <c r="E4632" t="s">
        <v>50</v>
      </c>
      <c r="F4632" t="s">
        <v>114</v>
      </c>
      <c r="G4632">
        <v>2.73</v>
      </c>
      <c r="H4632">
        <v>0.03</v>
      </c>
      <c r="I4632">
        <v>1.35</v>
      </c>
      <c r="J4632">
        <v>1.8225</v>
      </c>
      <c r="K4632" t="str">
        <f>IFERROR(INDEX(Rosters!$C$2:$C$155,MATCH($B4632,Rosters!$B$2:$B$155,0)),"NA")</f>
        <v>NA</v>
      </c>
      <c r="L4632" t="str">
        <f t="shared" si="216"/>
        <v>NA15TE</v>
      </c>
      <c r="M4632">
        <f>COUNTIF(L$1:L4632,L4632)</f>
        <v>50</v>
      </c>
      <c r="N4632" t="str">
        <f t="shared" si="217"/>
        <v>NA15TE-50</v>
      </c>
      <c r="O4632">
        <f>COUNTIFS(F$1:F4632,F4632,A$1:A4632,A4632)</f>
        <v>64</v>
      </c>
      <c r="P4632" t="str">
        <f t="shared" si="218"/>
        <v>Gerald Everett15</v>
      </c>
    </row>
    <row r="4633" spans="1:16" x14ac:dyDescent="0.25">
      <c r="A4633">
        <v>10</v>
      </c>
      <c r="B4633" t="s">
        <v>1556</v>
      </c>
      <c r="C4633">
        <f>-0.07-2.83</f>
        <v>-2.9</v>
      </c>
      <c r="D4633">
        <v>1.38</v>
      </c>
      <c r="E4633" t="s">
        <v>73</v>
      </c>
      <c r="F4633" t="s">
        <v>47</v>
      </c>
      <c r="G4633">
        <v>2.83</v>
      </c>
      <c r="H4633">
        <v>-7.0000000000000007E-2</v>
      </c>
      <c r="I4633">
        <v>1.45</v>
      </c>
      <c r="J4633">
        <v>2.1025</v>
      </c>
      <c r="K4633" t="str">
        <f>IFERROR(INDEX(Rosters!$C$2:$C$155,MATCH($B4633,Rosters!$B$2:$B$155,0)),"NA")</f>
        <v>NA</v>
      </c>
      <c r="L4633" t="str">
        <f t="shared" si="216"/>
        <v>NA10RB</v>
      </c>
      <c r="M4633">
        <f>COUNTIF(L$1:L4633,L4633)</f>
        <v>33</v>
      </c>
      <c r="N4633" t="str">
        <f t="shared" si="217"/>
        <v>NA10RB-33</v>
      </c>
      <c r="O4633">
        <f>COUNTIFS(F$1:F4633,F4633,A$1:A4633,A4633)</f>
        <v>72</v>
      </c>
      <c r="P4633" t="str">
        <f t="shared" si="218"/>
        <v>Marcus Murphy10</v>
      </c>
    </row>
    <row r="4634" spans="1:16" x14ac:dyDescent="0.25">
      <c r="A4634">
        <v>8</v>
      </c>
      <c r="B4634" t="s">
        <v>270</v>
      </c>
      <c r="C4634">
        <f>-0.34-3.1</f>
        <v>-3.44</v>
      </c>
      <c r="D4634">
        <v>1.38</v>
      </c>
      <c r="E4634" t="s">
        <v>74</v>
      </c>
      <c r="F4634" t="s">
        <v>114</v>
      </c>
      <c r="G4634">
        <v>3.1</v>
      </c>
      <c r="H4634">
        <v>-0.34</v>
      </c>
      <c r="I4634">
        <v>1.72</v>
      </c>
      <c r="J4634">
        <v>2.9584000000000001</v>
      </c>
      <c r="K4634" t="str">
        <f>IFERROR(INDEX(Rosters!$C$2:$C$155,MATCH($B4634,Rosters!$B$2:$B$155,0)),"NA")</f>
        <v>NA</v>
      </c>
      <c r="L4634" t="str">
        <f t="shared" si="216"/>
        <v>NA8TE</v>
      </c>
      <c r="M4634">
        <f>COUNTIF(L$1:L4634,L4634)</f>
        <v>41</v>
      </c>
      <c r="N4634" t="str">
        <f t="shared" si="217"/>
        <v>NA8TE-41</v>
      </c>
      <c r="O4634">
        <f>COUNTIFS(F$1:F4634,F4634,A$1:A4634,A4634)</f>
        <v>53</v>
      </c>
      <c r="P4634" t="str">
        <f t="shared" si="218"/>
        <v>Maxx Williams8</v>
      </c>
    </row>
    <row r="4635" spans="1:16" x14ac:dyDescent="0.25">
      <c r="A4635">
        <v>2</v>
      </c>
      <c r="B4635" t="s">
        <v>386</v>
      </c>
      <c r="C4635">
        <f>-0.21-2.97</f>
        <v>-3.18</v>
      </c>
      <c r="D4635">
        <v>1.38</v>
      </c>
      <c r="E4635" t="s">
        <v>31</v>
      </c>
      <c r="F4635" t="s">
        <v>114</v>
      </c>
      <c r="G4635">
        <v>2.97</v>
      </c>
      <c r="H4635">
        <v>-0.21</v>
      </c>
      <c r="I4635">
        <v>1.59</v>
      </c>
      <c r="J4635">
        <v>2.5280999999999998</v>
      </c>
      <c r="K4635" t="str">
        <f>IFERROR(INDEX(Rosters!$C$2:$C$155,MATCH($B4635,Rosters!$B$2:$B$155,0)),"NA")</f>
        <v>NA</v>
      </c>
      <c r="L4635" t="str">
        <f t="shared" si="216"/>
        <v>NA2TE</v>
      </c>
      <c r="M4635">
        <f>COUNTIF(L$1:L4635,L4635)</f>
        <v>38</v>
      </c>
      <c r="N4635" t="str">
        <f t="shared" si="217"/>
        <v>NA2TE-38</v>
      </c>
      <c r="O4635">
        <f>COUNTIFS(F$1:F4635,F4635,A$1:A4635,A4635)</f>
        <v>51</v>
      </c>
      <c r="P4635" t="str">
        <f t="shared" si="218"/>
        <v>Nick Boyle2</v>
      </c>
    </row>
    <row r="4636" spans="1:16" x14ac:dyDescent="0.25">
      <c r="A4636">
        <v>8</v>
      </c>
      <c r="B4636" t="s">
        <v>323</v>
      </c>
      <c r="C4636">
        <f>-0.53-3.29</f>
        <v>-3.8200000000000003</v>
      </c>
      <c r="D4636">
        <v>1.38</v>
      </c>
      <c r="E4636" t="s">
        <v>50</v>
      </c>
      <c r="F4636" t="s">
        <v>114</v>
      </c>
      <c r="G4636">
        <v>3.29</v>
      </c>
      <c r="H4636">
        <v>-0.53</v>
      </c>
      <c r="I4636">
        <v>1.91</v>
      </c>
      <c r="J4636">
        <v>3.6480999999999999</v>
      </c>
      <c r="K4636" t="str">
        <f>IFERROR(INDEX(Rosters!$C$2:$C$155,MATCH($B4636,Rosters!$B$2:$B$155,0)),"NA")</f>
        <v>NA</v>
      </c>
      <c r="L4636" t="str">
        <f t="shared" si="216"/>
        <v>NA8TE</v>
      </c>
      <c r="M4636">
        <f>COUNTIF(L$1:L4636,L4636)</f>
        <v>42</v>
      </c>
      <c r="N4636" t="str">
        <f t="shared" si="217"/>
        <v>NA8TE-42</v>
      </c>
      <c r="O4636">
        <f>COUNTIFS(F$1:F4636,F4636,A$1:A4636,A4636)</f>
        <v>54</v>
      </c>
      <c r="P4636" t="str">
        <f t="shared" si="218"/>
        <v>Niles Paul8</v>
      </c>
    </row>
    <row r="4637" spans="1:16" x14ac:dyDescent="0.25">
      <c r="A4637">
        <v>2</v>
      </c>
      <c r="B4637" t="s">
        <v>387</v>
      </c>
      <c r="C4637">
        <f>-0.2-2.96</f>
        <v>-3.16</v>
      </c>
      <c r="D4637">
        <v>1.38</v>
      </c>
      <c r="E4637" t="s">
        <v>22</v>
      </c>
      <c r="F4637" t="s">
        <v>114</v>
      </c>
      <c r="G4637">
        <v>2.96</v>
      </c>
      <c r="H4637">
        <v>-0.2</v>
      </c>
      <c r="I4637">
        <v>1.58</v>
      </c>
      <c r="J4637">
        <v>2.4964</v>
      </c>
      <c r="K4637" t="str">
        <f>IFERROR(INDEX(Rosters!$C$2:$C$155,MATCH($B4637,Rosters!$B$2:$B$155,0)),"NA")</f>
        <v>NA</v>
      </c>
      <c r="L4637" t="str">
        <f t="shared" si="216"/>
        <v>NA2TE</v>
      </c>
      <c r="M4637">
        <f>COUNTIF(L$1:L4637,L4637)</f>
        <v>39</v>
      </c>
      <c r="N4637" t="str">
        <f t="shared" si="217"/>
        <v>NA2TE-39</v>
      </c>
      <c r="O4637">
        <f>COUNTIFS(F$1:F4637,F4637,A$1:A4637,A4637)</f>
        <v>52</v>
      </c>
      <c r="P4637" t="str">
        <f t="shared" si="218"/>
        <v>Rhett Ellison2</v>
      </c>
    </row>
    <row r="4638" spans="1:16" x14ac:dyDescent="0.25">
      <c r="A4638">
        <v>17</v>
      </c>
      <c r="B4638" t="s">
        <v>314</v>
      </c>
      <c r="C4638" t="s">
        <v>8621</v>
      </c>
      <c r="D4638">
        <v>1.38</v>
      </c>
      <c r="E4638" t="s">
        <v>46</v>
      </c>
      <c r="F4638" t="s">
        <v>15</v>
      </c>
      <c r="G4638">
        <v>1.96</v>
      </c>
      <c r="H4638">
        <v>0.8</v>
      </c>
      <c r="I4638">
        <v>0.57999999999999996</v>
      </c>
      <c r="J4638">
        <v>0.33639999999999998</v>
      </c>
      <c r="K4638" t="str">
        <f>IFERROR(INDEX(Rosters!$C$2:$C$155,MATCH($B4638,Rosters!$B$2:$B$155,0)),"NA")</f>
        <v>NA</v>
      </c>
      <c r="L4638" t="str">
        <f t="shared" si="216"/>
        <v>NA17QB</v>
      </c>
      <c r="M4638">
        <f>COUNTIF(L$1:L4638,L4638)</f>
        <v>18</v>
      </c>
      <c r="N4638" t="str">
        <f t="shared" si="217"/>
        <v>NA17QB-18</v>
      </c>
      <c r="O4638">
        <f>COUNTIFS(F$1:F4638,F4638,A$1:A4638,A4638)</f>
        <v>35</v>
      </c>
      <c r="P4638" t="str">
        <f t="shared" si="218"/>
        <v>Ryan Fitzpatrick17</v>
      </c>
    </row>
    <row r="4639" spans="1:16" x14ac:dyDescent="0.25">
      <c r="A4639">
        <v>8</v>
      </c>
      <c r="B4639" t="s">
        <v>4210</v>
      </c>
      <c r="C4639" t="s">
        <v>8622</v>
      </c>
      <c r="D4639">
        <v>1.37</v>
      </c>
      <c r="E4639" t="s">
        <v>25</v>
      </c>
      <c r="F4639" t="s">
        <v>87</v>
      </c>
      <c r="G4639">
        <v>2.67</v>
      </c>
      <c r="H4639">
        <v>7.0000000000000007E-2</v>
      </c>
      <c r="I4639">
        <v>1.3</v>
      </c>
      <c r="J4639">
        <v>1.69</v>
      </c>
      <c r="K4639" t="str">
        <f>IFERROR(INDEX(Rosters!$C$2:$C$155,MATCH($B4639,Rosters!$B$2:$B$155,0)),"NA")</f>
        <v>NA</v>
      </c>
      <c r="L4639" t="str">
        <f t="shared" si="216"/>
        <v>NA8WR</v>
      </c>
      <c r="M4639">
        <f>COUNTIF(L$1:L4639,L4639)</f>
        <v>57</v>
      </c>
      <c r="N4639" t="str">
        <f t="shared" si="217"/>
        <v>NA8WR-57</v>
      </c>
      <c r="O4639">
        <f>COUNTIFS(F$1:F4639,F4639,A$1:A4639,A4639)</f>
        <v>106</v>
      </c>
      <c r="P4639" t="str">
        <f t="shared" si="218"/>
        <v>Austin Carr8</v>
      </c>
    </row>
    <row r="4640" spans="1:16" x14ac:dyDescent="0.25">
      <c r="A4640">
        <v>17</v>
      </c>
      <c r="B4640" t="s">
        <v>283</v>
      </c>
      <c r="C4640">
        <f>-0.84-3.58</f>
        <v>-4.42</v>
      </c>
      <c r="D4640">
        <v>1.37</v>
      </c>
      <c r="E4640" t="s">
        <v>73</v>
      </c>
      <c r="F4640" t="s">
        <v>87</v>
      </c>
      <c r="G4640">
        <v>3.58</v>
      </c>
      <c r="H4640">
        <v>-0.84</v>
      </c>
      <c r="I4640">
        <v>2.21</v>
      </c>
      <c r="J4640">
        <v>4.8841000000000001</v>
      </c>
      <c r="K4640" t="str">
        <f>IFERROR(INDEX(Rosters!$C$2:$C$155,MATCH($B4640,Rosters!$B$2:$B$155,0)),"NA")</f>
        <v>NA</v>
      </c>
      <c r="L4640" t="str">
        <f t="shared" si="216"/>
        <v>NA17WR</v>
      </c>
      <c r="M4640">
        <f>COUNTIF(L$1:L4640,L4640)</f>
        <v>64</v>
      </c>
      <c r="N4640" t="str">
        <f t="shared" si="217"/>
        <v>NA17WR-64</v>
      </c>
      <c r="O4640">
        <f>COUNTIFS(F$1:F4640,F4640,A$1:A4640,A4640)</f>
        <v>118</v>
      </c>
      <c r="P4640" t="str">
        <f t="shared" si="218"/>
        <v>Cordarrelle Patterson17</v>
      </c>
    </row>
    <row r="4641" spans="1:16" x14ac:dyDescent="0.25">
      <c r="A4641">
        <v>11</v>
      </c>
      <c r="B4641" t="s">
        <v>1524</v>
      </c>
      <c r="C4641">
        <f>-0.28-3.02</f>
        <v>-3.3</v>
      </c>
      <c r="D4641">
        <v>1.37</v>
      </c>
      <c r="E4641" t="s">
        <v>66</v>
      </c>
      <c r="F4641" t="s">
        <v>47</v>
      </c>
      <c r="G4641">
        <v>3.02</v>
      </c>
      <c r="H4641">
        <v>-0.28000000000000003</v>
      </c>
      <c r="I4641">
        <v>1.65</v>
      </c>
      <c r="J4641">
        <v>2.7225000000000001</v>
      </c>
      <c r="K4641" t="str">
        <f>IFERROR(INDEX(Rosters!$C$2:$C$155,MATCH($B4641,Rosters!$B$2:$B$155,0)),"NA")</f>
        <v>NA</v>
      </c>
      <c r="L4641" t="str">
        <f t="shared" si="216"/>
        <v>NA11RB</v>
      </c>
      <c r="M4641">
        <f>COUNTIF(L$1:L4641,L4641)</f>
        <v>30</v>
      </c>
      <c r="N4641" t="str">
        <f t="shared" si="217"/>
        <v>NA11RB-30</v>
      </c>
      <c r="O4641">
        <f>COUNTIFS(F$1:F4641,F4641,A$1:A4641,A4641)</f>
        <v>68</v>
      </c>
      <c r="P4641" t="str">
        <f t="shared" si="218"/>
        <v>David Fluellen11</v>
      </c>
    </row>
    <row r="4642" spans="1:16" x14ac:dyDescent="0.25">
      <c r="A4642">
        <v>3</v>
      </c>
      <c r="B4642" t="s">
        <v>380</v>
      </c>
      <c r="C4642">
        <f>-0.19-2.93</f>
        <v>-3.12</v>
      </c>
      <c r="D4642">
        <v>1.37</v>
      </c>
      <c r="E4642" t="s">
        <v>19</v>
      </c>
      <c r="F4642" t="s">
        <v>114</v>
      </c>
      <c r="G4642">
        <v>2.93</v>
      </c>
      <c r="H4642">
        <v>-0.19</v>
      </c>
      <c r="I4642">
        <v>1.56</v>
      </c>
      <c r="J4642">
        <v>2.4336000000000002</v>
      </c>
      <c r="K4642" t="str">
        <f>IFERROR(INDEX(Rosters!$C$2:$C$155,MATCH($B4642,Rosters!$B$2:$B$155,0)),"NA")</f>
        <v>NA</v>
      </c>
      <c r="L4642" t="str">
        <f t="shared" si="216"/>
        <v>NA3TE</v>
      </c>
      <c r="M4642">
        <f>COUNTIF(L$1:L4642,L4642)</f>
        <v>47</v>
      </c>
      <c r="N4642" t="str">
        <f t="shared" si="217"/>
        <v>NA3TE-47</v>
      </c>
      <c r="O4642">
        <f>COUNTIFS(F$1:F4642,F4642,A$1:A4642,A4642)</f>
        <v>60</v>
      </c>
      <c r="P4642" t="str">
        <f t="shared" si="218"/>
        <v>Derek Carrier3</v>
      </c>
    </row>
    <row r="4643" spans="1:16" x14ac:dyDescent="0.25">
      <c r="A4643">
        <v>10</v>
      </c>
      <c r="B4643" t="s">
        <v>327</v>
      </c>
      <c r="C4643">
        <f>-0.41-3.15</f>
        <v>-3.56</v>
      </c>
      <c r="D4643">
        <v>1.37</v>
      </c>
      <c r="E4643" t="s">
        <v>74</v>
      </c>
      <c r="F4643" t="s">
        <v>87</v>
      </c>
      <c r="G4643">
        <v>3.15</v>
      </c>
      <c r="H4643">
        <v>-0.41</v>
      </c>
      <c r="I4643">
        <v>1.78</v>
      </c>
      <c r="J4643">
        <v>3.1684000000000001</v>
      </c>
      <c r="K4643" t="str">
        <f>IFERROR(INDEX(Rosters!$C$2:$C$155,MATCH($B4643,Rosters!$B$2:$B$155,0)),"NA")</f>
        <v>NA</v>
      </c>
      <c r="L4643" t="str">
        <f t="shared" si="216"/>
        <v>NA10WR</v>
      </c>
      <c r="M4643">
        <f>COUNTIF(L$1:L4643,L4643)</f>
        <v>60</v>
      </c>
      <c r="N4643" t="str">
        <f t="shared" si="217"/>
        <v>NA10WR-60</v>
      </c>
      <c r="O4643">
        <f>COUNTIFS(F$1:F4643,F4643,A$1:A4643,A4643)</f>
        <v>105</v>
      </c>
      <c r="P4643" t="str">
        <f t="shared" si="218"/>
        <v>Justin Hunter10</v>
      </c>
    </row>
    <row r="4644" spans="1:16" x14ac:dyDescent="0.25">
      <c r="A4644">
        <v>7</v>
      </c>
      <c r="B4644" t="s">
        <v>337</v>
      </c>
      <c r="C4644" t="s">
        <v>8623</v>
      </c>
      <c r="D4644">
        <v>1.37</v>
      </c>
      <c r="E4644" t="s">
        <v>76</v>
      </c>
      <c r="F4644" t="s">
        <v>87</v>
      </c>
      <c r="G4644">
        <v>2.6</v>
      </c>
      <c r="H4644">
        <v>0.14000000000000001</v>
      </c>
      <c r="I4644">
        <v>1.23</v>
      </c>
      <c r="J4644">
        <v>1.5128999999999999</v>
      </c>
      <c r="K4644" t="str">
        <f>IFERROR(INDEX(Rosters!$C$2:$C$155,MATCH($B4644,Rosters!$B$2:$B$155,0)),"NA")</f>
        <v>NA</v>
      </c>
      <c r="L4644" t="str">
        <f t="shared" si="216"/>
        <v>NA7WR</v>
      </c>
      <c r="M4644">
        <f>COUNTIF(L$1:L4644,L4644)</f>
        <v>58</v>
      </c>
      <c r="N4644" t="str">
        <f t="shared" si="217"/>
        <v>NA7WR-58</v>
      </c>
      <c r="O4644">
        <f>COUNTIFS(F$1:F4644,F4644,A$1:A4644,A4644)</f>
        <v>103</v>
      </c>
      <c r="P4644" t="str">
        <f t="shared" si="218"/>
        <v>Sammie Coates7</v>
      </c>
    </row>
    <row r="4645" spans="1:16" x14ac:dyDescent="0.25">
      <c r="A4645">
        <v>11</v>
      </c>
      <c r="B4645" t="s">
        <v>4245</v>
      </c>
      <c r="C4645">
        <f>-0.14-2.88</f>
        <v>-3.02</v>
      </c>
      <c r="D4645">
        <v>1.37</v>
      </c>
      <c r="E4645" t="s">
        <v>60</v>
      </c>
      <c r="F4645" t="s">
        <v>87</v>
      </c>
      <c r="G4645">
        <v>2.88</v>
      </c>
      <c r="H4645">
        <v>-0.14000000000000001</v>
      </c>
      <c r="I4645">
        <v>1.51</v>
      </c>
      <c r="J4645">
        <v>2.2801</v>
      </c>
      <c r="K4645" t="str">
        <f>IFERROR(INDEX(Rosters!$C$2:$C$155,MATCH($B4645,Rosters!$B$2:$B$155,0)),"NA")</f>
        <v>NA</v>
      </c>
      <c r="L4645" t="str">
        <f t="shared" si="216"/>
        <v>NA11WR</v>
      </c>
      <c r="M4645">
        <f>COUNTIF(L$1:L4645,L4645)</f>
        <v>48</v>
      </c>
      <c r="N4645" t="str">
        <f t="shared" si="217"/>
        <v>NA11WR-48</v>
      </c>
      <c r="O4645">
        <f>COUNTIFS(F$1:F4645,F4645,A$1:A4645,A4645)</f>
        <v>95</v>
      </c>
      <c r="P4645" t="str">
        <f t="shared" si="218"/>
        <v>Vyncint Smith11</v>
      </c>
    </row>
    <row r="4646" spans="1:16" x14ac:dyDescent="0.25">
      <c r="A4646">
        <v>17</v>
      </c>
      <c r="B4646" t="s">
        <v>4210</v>
      </c>
      <c r="C4646" t="s">
        <v>8624</v>
      </c>
      <c r="D4646">
        <v>1.36</v>
      </c>
      <c r="E4646" t="s">
        <v>74</v>
      </c>
      <c r="F4646" t="s">
        <v>87</v>
      </c>
      <c r="G4646">
        <v>2.59</v>
      </c>
      <c r="H4646">
        <v>0.13</v>
      </c>
      <c r="I4646">
        <v>1.23</v>
      </c>
      <c r="J4646">
        <v>1.5128999999999999</v>
      </c>
      <c r="K4646" t="str">
        <f>IFERROR(INDEX(Rosters!$C$2:$C$155,MATCH($B4646,Rosters!$B$2:$B$155,0)),"NA")</f>
        <v>NA</v>
      </c>
      <c r="L4646" t="str">
        <f t="shared" si="216"/>
        <v>NA17WR</v>
      </c>
      <c r="M4646">
        <f>COUNTIF(L$1:L4646,L4646)</f>
        <v>65</v>
      </c>
      <c r="N4646" t="str">
        <f t="shared" si="217"/>
        <v>NA17WR-65</v>
      </c>
      <c r="O4646">
        <f>COUNTIFS(F$1:F4646,F4646,A$1:A4646,A4646)</f>
        <v>119</v>
      </c>
      <c r="P4646" t="str">
        <f t="shared" si="218"/>
        <v>Austin Carr17</v>
      </c>
    </row>
    <row r="4647" spans="1:16" x14ac:dyDescent="0.25">
      <c r="A4647">
        <v>2</v>
      </c>
      <c r="B4647" t="s">
        <v>283</v>
      </c>
      <c r="C4647">
        <f>-1.87-4.59</f>
        <v>-6.46</v>
      </c>
      <c r="D4647">
        <v>1.36</v>
      </c>
      <c r="E4647" t="s">
        <v>76</v>
      </c>
      <c r="F4647" t="s">
        <v>87</v>
      </c>
      <c r="G4647">
        <v>4.59</v>
      </c>
      <c r="H4647">
        <v>-1.87</v>
      </c>
      <c r="I4647">
        <v>3.23</v>
      </c>
      <c r="J4647">
        <v>10.4329</v>
      </c>
      <c r="K4647" t="str">
        <f>IFERROR(INDEX(Rosters!$C$2:$C$155,MATCH($B4647,Rosters!$B$2:$B$155,0)),"NA")</f>
        <v>NA</v>
      </c>
      <c r="L4647" t="str">
        <f t="shared" si="216"/>
        <v>NA2WR</v>
      </c>
      <c r="M4647">
        <f>COUNTIF(L$1:L4647,L4647)</f>
        <v>58</v>
      </c>
      <c r="N4647" t="str">
        <f t="shared" si="217"/>
        <v>NA2WR-58</v>
      </c>
      <c r="O4647">
        <f>COUNTIFS(F$1:F4647,F4647,A$1:A4647,A4647)</f>
        <v>106</v>
      </c>
      <c r="P4647" t="str">
        <f t="shared" si="218"/>
        <v>Cordarrelle Patterson2</v>
      </c>
    </row>
    <row r="4648" spans="1:16" x14ac:dyDescent="0.25">
      <c r="A4648">
        <v>12</v>
      </c>
      <c r="B4648" t="s">
        <v>283</v>
      </c>
      <c r="C4648">
        <f>-0.85-3.57</f>
        <v>-4.42</v>
      </c>
      <c r="D4648">
        <v>1.36</v>
      </c>
      <c r="E4648" t="s">
        <v>73</v>
      </c>
      <c r="F4648" t="s">
        <v>87</v>
      </c>
      <c r="G4648">
        <v>3.57</v>
      </c>
      <c r="H4648">
        <v>-0.85</v>
      </c>
      <c r="I4648">
        <v>2.21</v>
      </c>
      <c r="J4648">
        <v>4.8841000000000001</v>
      </c>
      <c r="K4648" t="str">
        <f>IFERROR(INDEX(Rosters!$C$2:$C$155,MATCH($B4648,Rosters!$B$2:$B$155,0)),"NA")</f>
        <v>NA</v>
      </c>
      <c r="L4648" t="str">
        <f t="shared" si="216"/>
        <v>NA12WR</v>
      </c>
      <c r="M4648">
        <f>COUNTIF(L$1:L4648,L4648)</f>
        <v>63</v>
      </c>
      <c r="N4648" t="str">
        <f t="shared" si="217"/>
        <v>NA12WR-63</v>
      </c>
      <c r="O4648">
        <f>COUNTIFS(F$1:F4648,F4648,A$1:A4648,A4648)</f>
        <v>112</v>
      </c>
      <c r="P4648" t="str">
        <f t="shared" si="218"/>
        <v>Cordarrelle Patterson12</v>
      </c>
    </row>
    <row r="4649" spans="1:16" x14ac:dyDescent="0.25">
      <c r="A4649">
        <v>1</v>
      </c>
      <c r="B4649" t="s">
        <v>318</v>
      </c>
      <c r="C4649" t="s">
        <v>1518</v>
      </c>
      <c r="D4649">
        <v>1.36</v>
      </c>
      <c r="E4649" t="s">
        <v>30</v>
      </c>
      <c r="F4649" t="s">
        <v>114</v>
      </c>
      <c r="G4649">
        <v>2.67</v>
      </c>
      <c r="H4649">
        <v>0.05</v>
      </c>
      <c r="I4649">
        <v>1.31</v>
      </c>
      <c r="J4649">
        <v>1.7161</v>
      </c>
      <c r="K4649" t="str">
        <f>IFERROR(INDEX(Rosters!$C$2:$C$155,MATCH($B4649,Rosters!$B$2:$B$155,0)),"NA")</f>
        <v>NA</v>
      </c>
      <c r="L4649" t="str">
        <f t="shared" si="216"/>
        <v>NA1TE</v>
      </c>
      <c r="M4649">
        <f>COUNTIF(L$1:L4649,L4649)</f>
        <v>36</v>
      </c>
      <c r="N4649" t="str">
        <f t="shared" si="217"/>
        <v>NA1TE-36</v>
      </c>
      <c r="O4649">
        <f>COUNTIFS(F$1:F4649,F4649,A$1:A4649,A4649)</f>
        <v>49</v>
      </c>
      <c r="P4649" t="str">
        <f t="shared" si="218"/>
        <v>David Morgan1</v>
      </c>
    </row>
    <row r="4650" spans="1:16" x14ac:dyDescent="0.25">
      <c r="A4650">
        <v>9</v>
      </c>
      <c r="B4650" t="s">
        <v>8584</v>
      </c>
      <c r="C4650" t="s">
        <v>8625</v>
      </c>
      <c r="D4650">
        <v>1.36</v>
      </c>
      <c r="E4650" t="s">
        <v>51</v>
      </c>
      <c r="F4650" t="s">
        <v>47</v>
      </c>
      <c r="G4650">
        <v>2.68</v>
      </c>
      <c r="H4650">
        <v>0.04</v>
      </c>
      <c r="I4650">
        <v>1.32</v>
      </c>
      <c r="J4650">
        <v>1.7423999999999999</v>
      </c>
      <c r="K4650" t="str">
        <f>IFERROR(INDEX(Rosters!$C$2:$C$155,MATCH($B4650,Rosters!$B$2:$B$155,0)),"NA")</f>
        <v>NA</v>
      </c>
      <c r="L4650" t="str">
        <f t="shared" si="216"/>
        <v>NA9RB</v>
      </c>
      <c r="M4650">
        <f>COUNTIF(L$1:L4650,L4650)</f>
        <v>26</v>
      </c>
      <c r="N4650" t="str">
        <f t="shared" si="217"/>
        <v>NA9RB-26</v>
      </c>
      <c r="O4650">
        <f>COUNTIFS(F$1:F4650,F4650,A$1:A4650,A4650)</f>
        <v>66</v>
      </c>
      <c r="P4650" t="str">
        <f t="shared" si="218"/>
        <v>De'Lance Turner9</v>
      </c>
    </row>
    <row r="4651" spans="1:16" x14ac:dyDescent="0.25">
      <c r="A4651">
        <v>17</v>
      </c>
      <c r="B4651" t="s">
        <v>284</v>
      </c>
      <c r="C4651">
        <f>-0.24-2.96</f>
        <v>-3.2</v>
      </c>
      <c r="D4651">
        <v>1.36</v>
      </c>
      <c r="E4651" t="s">
        <v>25</v>
      </c>
      <c r="F4651" t="s">
        <v>114</v>
      </c>
      <c r="G4651">
        <v>2.96</v>
      </c>
      <c r="H4651">
        <v>-0.24</v>
      </c>
      <c r="I4651">
        <v>1.6</v>
      </c>
      <c r="J4651">
        <v>2.56</v>
      </c>
      <c r="K4651" t="str">
        <f>IFERROR(INDEX(Rosters!$C$2:$C$155,MATCH($B4651,Rosters!$B$2:$B$155,0)),"NA")</f>
        <v>NA</v>
      </c>
      <c r="L4651" t="str">
        <f t="shared" si="216"/>
        <v>NA17TE</v>
      </c>
      <c r="M4651">
        <f>COUNTIF(L$1:L4651,L4651)</f>
        <v>52</v>
      </c>
      <c r="N4651" t="str">
        <f t="shared" si="217"/>
        <v>NA17TE-52</v>
      </c>
      <c r="O4651">
        <f>COUNTIFS(F$1:F4651,F4651,A$1:A4651,A4651)</f>
        <v>66</v>
      </c>
      <c r="P4651" t="str">
        <f t="shared" si="218"/>
        <v>Dion Sims17</v>
      </c>
    </row>
    <row r="4652" spans="1:16" x14ac:dyDescent="0.25">
      <c r="A4652">
        <v>1</v>
      </c>
      <c r="B4652" t="s">
        <v>309</v>
      </c>
      <c r="C4652" t="s">
        <v>1519</v>
      </c>
      <c r="D4652">
        <v>1.36</v>
      </c>
      <c r="E4652" t="s">
        <v>74</v>
      </c>
      <c r="F4652" t="s">
        <v>114</v>
      </c>
      <c r="G4652">
        <v>2.42</v>
      </c>
      <c r="H4652">
        <v>0.3</v>
      </c>
      <c r="I4652">
        <v>1.06</v>
      </c>
      <c r="J4652">
        <v>1.1235999999999999</v>
      </c>
      <c r="K4652" t="str">
        <f>IFERROR(INDEX(Rosters!$C$2:$C$155,MATCH($B4652,Rosters!$B$2:$B$155,0)),"NA")</f>
        <v>NA</v>
      </c>
      <c r="L4652" t="str">
        <f t="shared" si="216"/>
        <v>NA1TE</v>
      </c>
      <c r="M4652">
        <f>COUNTIF(L$1:L4652,L4652)</f>
        <v>37</v>
      </c>
      <c r="N4652" t="str">
        <f t="shared" si="217"/>
        <v>NA1TE-37</v>
      </c>
      <c r="O4652">
        <f>COUNTIFS(F$1:F4652,F4652,A$1:A4652,A4652)</f>
        <v>50</v>
      </c>
      <c r="P4652" t="str">
        <f t="shared" si="218"/>
        <v>Geoff Swaim1</v>
      </c>
    </row>
    <row r="4653" spans="1:16" x14ac:dyDescent="0.25">
      <c r="A4653">
        <v>16</v>
      </c>
      <c r="B4653" t="s">
        <v>1469</v>
      </c>
      <c r="C4653">
        <f>-0.09-2.81</f>
        <v>-2.9</v>
      </c>
      <c r="D4653">
        <v>1.36</v>
      </c>
      <c r="E4653" t="s">
        <v>58</v>
      </c>
      <c r="F4653" t="s">
        <v>114</v>
      </c>
      <c r="G4653">
        <v>2.81</v>
      </c>
      <c r="H4653">
        <v>-0.09</v>
      </c>
      <c r="I4653">
        <v>1.45</v>
      </c>
      <c r="J4653">
        <v>2.1025</v>
      </c>
      <c r="K4653" t="str">
        <f>IFERROR(INDEX(Rosters!$C$2:$C$155,MATCH($B4653,Rosters!$B$2:$B$155,0)),"NA")</f>
        <v>NA</v>
      </c>
      <c r="L4653" t="str">
        <f t="shared" si="216"/>
        <v>NA16TE</v>
      </c>
      <c r="M4653">
        <f>COUNTIF(L$1:L4653,L4653)</f>
        <v>51</v>
      </c>
      <c r="N4653" t="str">
        <f t="shared" si="217"/>
        <v>NA16TE-51</v>
      </c>
      <c r="O4653">
        <f>COUNTIFS(F$1:F4653,F4653,A$1:A4653,A4653)</f>
        <v>65</v>
      </c>
      <c r="P4653" t="str">
        <f t="shared" si="218"/>
        <v>Gerald Everett16</v>
      </c>
    </row>
    <row r="4654" spans="1:16" x14ac:dyDescent="0.25">
      <c r="A4654">
        <v>2</v>
      </c>
      <c r="B4654" t="s">
        <v>1497</v>
      </c>
      <c r="C4654" t="s">
        <v>1520</v>
      </c>
      <c r="D4654">
        <v>1.36</v>
      </c>
      <c r="E4654" t="s">
        <v>60</v>
      </c>
      <c r="F4654" t="s">
        <v>15</v>
      </c>
      <c r="G4654">
        <v>2.58</v>
      </c>
      <c r="H4654">
        <v>0.14000000000000001</v>
      </c>
      <c r="I4654">
        <v>1.22</v>
      </c>
      <c r="J4654">
        <v>1.4883999999999999</v>
      </c>
      <c r="K4654" t="str">
        <f>IFERROR(INDEX(Rosters!$C$2:$C$155,MATCH($B4654,Rosters!$B$2:$B$155,0)),"NA")</f>
        <v>NA</v>
      </c>
      <c r="L4654" t="str">
        <f t="shared" si="216"/>
        <v>NA2QB</v>
      </c>
      <c r="M4654">
        <f>COUNTIF(L$1:L4654,L4654)</f>
        <v>20</v>
      </c>
      <c r="N4654" t="str">
        <f t="shared" si="217"/>
        <v>NA2QB-20</v>
      </c>
      <c r="O4654">
        <f>COUNTIFS(F$1:F4654,F4654,A$1:A4654,A4654)</f>
        <v>36</v>
      </c>
      <c r="P4654" t="str">
        <f t="shared" si="218"/>
        <v>Jacoby Brissett2</v>
      </c>
    </row>
    <row r="4655" spans="1:16" x14ac:dyDescent="0.25">
      <c r="A4655">
        <v>15</v>
      </c>
      <c r="B4655" t="s">
        <v>327</v>
      </c>
      <c r="C4655">
        <f>-0.5-3.22</f>
        <v>-3.72</v>
      </c>
      <c r="D4655">
        <v>1.36</v>
      </c>
      <c r="E4655" t="s">
        <v>423</v>
      </c>
      <c r="F4655" t="s">
        <v>87</v>
      </c>
      <c r="G4655">
        <v>3.22</v>
      </c>
      <c r="H4655">
        <v>-0.5</v>
      </c>
      <c r="I4655">
        <v>1.86</v>
      </c>
      <c r="J4655">
        <v>3.4596</v>
      </c>
      <c r="K4655" t="str">
        <f>IFERROR(INDEX(Rosters!$C$2:$C$155,MATCH($B4655,Rosters!$B$2:$B$155,0)),"NA")</f>
        <v>NA</v>
      </c>
      <c r="L4655" t="str">
        <f t="shared" si="216"/>
        <v>NA15WR</v>
      </c>
      <c r="M4655">
        <f>COUNTIF(L$1:L4655,L4655)</f>
        <v>64</v>
      </c>
      <c r="N4655" t="str">
        <f t="shared" si="217"/>
        <v>NA15WR-64</v>
      </c>
      <c r="O4655">
        <f>COUNTIFS(F$1:F4655,F4655,A$1:A4655,A4655)</f>
        <v>118</v>
      </c>
      <c r="P4655" t="str">
        <f t="shared" si="218"/>
        <v>Justin Hunter15</v>
      </c>
    </row>
    <row r="4656" spans="1:16" x14ac:dyDescent="0.25">
      <c r="A4656">
        <v>17</v>
      </c>
      <c r="B4656" t="s">
        <v>1406</v>
      </c>
      <c r="C4656">
        <f>-0.1-2.82</f>
        <v>-2.92</v>
      </c>
      <c r="D4656">
        <v>1.36</v>
      </c>
      <c r="E4656" t="s">
        <v>52</v>
      </c>
      <c r="F4656" t="s">
        <v>47</v>
      </c>
      <c r="G4656">
        <v>2.82</v>
      </c>
      <c r="H4656">
        <v>-0.1</v>
      </c>
      <c r="I4656">
        <v>1.46</v>
      </c>
      <c r="J4656">
        <v>2.1316000000000002</v>
      </c>
      <c r="K4656" t="str">
        <f>IFERROR(INDEX(Rosters!$C$2:$C$155,MATCH($B4656,Rosters!$B$2:$B$155,0)),"NA")</f>
        <v>NA</v>
      </c>
      <c r="L4656" t="str">
        <f t="shared" si="216"/>
        <v>NA17RB</v>
      </c>
      <c r="M4656">
        <f>COUNTIF(L$1:L4656,L4656)</f>
        <v>36</v>
      </c>
      <c r="N4656" t="str">
        <f t="shared" si="217"/>
        <v>NA17RB-36</v>
      </c>
      <c r="O4656">
        <f>COUNTIFS(F$1:F4656,F4656,A$1:A4656,A4656)</f>
        <v>83</v>
      </c>
      <c r="P4656" t="str">
        <f t="shared" si="218"/>
        <v>Kenneth Dixon17</v>
      </c>
    </row>
    <row r="4657" spans="1:16" x14ac:dyDescent="0.25">
      <c r="A4657">
        <v>9</v>
      </c>
      <c r="B4657" t="s">
        <v>1556</v>
      </c>
      <c r="C4657">
        <f>-0.12-2.84</f>
        <v>-2.96</v>
      </c>
      <c r="D4657">
        <v>1.36</v>
      </c>
      <c r="E4657" t="s">
        <v>72</v>
      </c>
      <c r="F4657" t="s">
        <v>47</v>
      </c>
      <c r="G4657">
        <v>2.84</v>
      </c>
      <c r="H4657">
        <v>-0.12</v>
      </c>
      <c r="I4657">
        <v>1.48</v>
      </c>
      <c r="J4657">
        <v>2.1903999999999999</v>
      </c>
      <c r="K4657" t="str">
        <f>IFERROR(INDEX(Rosters!$C$2:$C$155,MATCH($B4657,Rosters!$B$2:$B$155,0)),"NA")</f>
        <v>NA</v>
      </c>
      <c r="L4657" t="str">
        <f t="shared" si="216"/>
        <v>NA9RB</v>
      </c>
      <c r="M4657">
        <f>COUNTIF(L$1:L4657,L4657)</f>
        <v>27</v>
      </c>
      <c r="N4657" t="str">
        <f t="shared" si="217"/>
        <v>NA9RB-27</v>
      </c>
      <c r="O4657">
        <f>COUNTIFS(F$1:F4657,F4657,A$1:A4657,A4657)</f>
        <v>67</v>
      </c>
      <c r="P4657" t="str">
        <f t="shared" si="218"/>
        <v>Marcus Murphy9</v>
      </c>
    </row>
    <row r="4658" spans="1:16" x14ac:dyDescent="0.25">
      <c r="A4658">
        <v>2</v>
      </c>
      <c r="B4658" t="s">
        <v>798</v>
      </c>
      <c r="C4658">
        <f>-0.65-3.37</f>
        <v>-4.0200000000000005</v>
      </c>
      <c r="D4658">
        <v>1.36</v>
      </c>
      <c r="E4658" t="s">
        <v>14</v>
      </c>
      <c r="F4658" t="s">
        <v>87</v>
      </c>
      <c r="G4658">
        <v>3.37</v>
      </c>
      <c r="H4658">
        <v>-0.65</v>
      </c>
      <c r="I4658">
        <v>2.0099999999999998</v>
      </c>
      <c r="J4658">
        <v>4.0400999999999998</v>
      </c>
      <c r="K4658" t="str">
        <f>IFERROR(INDEX(Rosters!$C$2:$C$155,MATCH($B4658,Rosters!$B$2:$B$155,0)),"NA")</f>
        <v>NA</v>
      </c>
      <c r="L4658" t="str">
        <f t="shared" si="216"/>
        <v>NA2WR</v>
      </c>
      <c r="M4658">
        <f>COUNTIF(L$1:L4658,L4658)</f>
        <v>59</v>
      </c>
      <c r="N4658" t="str">
        <f t="shared" si="217"/>
        <v>NA2WR-59</v>
      </c>
      <c r="O4658">
        <f>COUNTIFS(F$1:F4658,F4658,A$1:A4658,A4658)</f>
        <v>107</v>
      </c>
      <c r="P4658" t="str">
        <f t="shared" si="218"/>
        <v>Rashard Higgins2</v>
      </c>
    </row>
    <row r="4659" spans="1:16" x14ac:dyDescent="0.25">
      <c r="A4659">
        <v>11</v>
      </c>
      <c r="B4659" t="s">
        <v>4208</v>
      </c>
      <c r="C4659">
        <f>-0.22-2.92</f>
        <v>-3.14</v>
      </c>
      <c r="D4659">
        <v>1.35</v>
      </c>
      <c r="E4659" t="s">
        <v>46</v>
      </c>
      <c r="F4659" t="s">
        <v>114</v>
      </c>
      <c r="G4659">
        <v>2.92</v>
      </c>
      <c r="H4659">
        <v>-0.22</v>
      </c>
      <c r="I4659">
        <v>1.57</v>
      </c>
      <c r="J4659">
        <v>2.4649000000000001</v>
      </c>
      <c r="K4659" t="str">
        <f>IFERROR(INDEX(Rosters!$C$2:$C$155,MATCH($B4659,Rosters!$B$2:$B$155,0)),"NA")</f>
        <v>NA</v>
      </c>
      <c r="L4659" t="str">
        <f t="shared" si="216"/>
        <v>NA11TE</v>
      </c>
      <c r="M4659">
        <f>COUNTIF(L$1:L4659,L4659)</f>
        <v>41</v>
      </c>
      <c r="N4659" t="str">
        <f t="shared" si="217"/>
        <v>NA11TE-41</v>
      </c>
      <c r="O4659">
        <f>COUNTIFS(F$1:F4659,F4659,A$1:A4659,A4659)</f>
        <v>53</v>
      </c>
      <c r="P4659" t="str">
        <f t="shared" si="218"/>
        <v>Blake Jarwin11</v>
      </c>
    </row>
    <row r="4660" spans="1:16" x14ac:dyDescent="0.25">
      <c r="A4660">
        <v>5</v>
      </c>
      <c r="B4660" t="s">
        <v>1469</v>
      </c>
      <c r="C4660">
        <f>-0.08-2.78</f>
        <v>-2.86</v>
      </c>
      <c r="D4660">
        <v>1.35</v>
      </c>
      <c r="E4660" t="s">
        <v>28</v>
      </c>
      <c r="F4660" t="s">
        <v>114</v>
      </c>
      <c r="G4660">
        <v>2.78</v>
      </c>
      <c r="H4660">
        <v>-0.08</v>
      </c>
      <c r="I4660">
        <v>1.43</v>
      </c>
      <c r="J4660">
        <v>2.0449000000000002</v>
      </c>
      <c r="K4660" t="str">
        <f>IFERROR(INDEX(Rosters!$C$2:$C$155,MATCH($B4660,Rosters!$B$2:$B$155,0)),"NA")</f>
        <v>NA</v>
      </c>
      <c r="L4660" t="str">
        <f t="shared" si="216"/>
        <v>NA5TE</v>
      </c>
      <c r="M4660">
        <f>COUNTIF(L$1:L4660,L4660)</f>
        <v>47</v>
      </c>
      <c r="N4660" t="str">
        <f t="shared" si="217"/>
        <v>NA5TE-47</v>
      </c>
      <c r="O4660">
        <f>COUNTIFS(F$1:F4660,F4660,A$1:A4660,A4660)</f>
        <v>58</v>
      </c>
      <c r="P4660" t="str">
        <f t="shared" si="218"/>
        <v>Gerald Everett5</v>
      </c>
    </row>
    <row r="4661" spans="1:16" x14ac:dyDescent="0.25">
      <c r="A4661">
        <v>5</v>
      </c>
      <c r="B4661" t="s">
        <v>1625</v>
      </c>
      <c r="C4661" t="s">
        <v>8626</v>
      </c>
      <c r="D4661">
        <v>1.35</v>
      </c>
      <c r="E4661" t="s">
        <v>66</v>
      </c>
      <c r="F4661" t="s">
        <v>114</v>
      </c>
      <c r="G4661">
        <v>2.57</v>
      </c>
      <c r="H4661">
        <v>0.13</v>
      </c>
      <c r="I4661">
        <v>1.22</v>
      </c>
      <c r="J4661">
        <v>1.4883999999999999</v>
      </c>
      <c r="K4661" t="str">
        <f>IFERROR(INDEX(Rosters!$C$2:$C$155,MATCH($B4661,Rosters!$B$2:$B$155,0)),"NA")</f>
        <v>NA</v>
      </c>
      <c r="L4661" t="str">
        <f t="shared" si="216"/>
        <v>NA5TE</v>
      </c>
      <c r="M4661">
        <f>COUNTIF(L$1:L4661,L4661)</f>
        <v>48</v>
      </c>
      <c r="N4661" t="str">
        <f t="shared" si="217"/>
        <v>NA5TE-48</v>
      </c>
      <c r="O4661">
        <f>COUNTIFS(F$1:F4661,F4661,A$1:A4661,A4661)</f>
        <v>59</v>
      </c>
      <c r="P4661" t="str">
        <f t="shared" si="218"/>
        <v>Jacob Hollister5</v>
      </c>
    </row>
    <row r="4662" spans="1:16" x14ac:dyDescent="0.25">
      <c r="A4662">
        <v>5</v>
      </c>
      <c r="B4662" t="s">
        <v>1458</v>
      </c>
      <c r="C4662">
        <f>-0.12-2.82</f>
        <v>-2.94</v>
      </c>
      <c r="D4662">
        <v>1.35</v>
      </c>
      <c r="E4662" t="s">
        <v>31</v>
      </c>
      <c r="F4662" t="s">
        <v>47</v>
      </c>
      <c r="G4662">
        <v>2.82</v>
      </c>
      <c r="H4662">
        <v>-0.12</v>
      </c>
      <c r="I4662">
        <v>1.47</v>
      </c>
      <c r="J4662">
        <v>2.1608999999999998</v>
      </c>
      <c r="K4662" t="str">
        <f>IFERROR(INDEX(Rosters!$C$2:$C$155,MATCH($B4662,Rosters!$B$2:$B$155,0)),"NA")</f>
        <v>NA</v>
      </c>
      <c r="L4662" t="str">
        <f t="shared" si="216"/>
        <v>NA5RB</v>
      </c>
      <c r="M4662">
        <f>COUNTIF(L$1:L4662,L4662)</f>
        <v>30</v>
      </c>
      <c r="N4662" t="str">
        <f t="shared" si="217"/>
        <v>NA5RB-30</v>
      </c>
      <c r="O4662">
        <f>COUNTIFS(F$1:F4662,F4662,A$1:A4662,A4662)</f>
        <v>73</v>
      </c>
      <c r="P4662" t="str">
        <f t="shared" si="218"/>
        <v>Kalen Ballage5</v>
      </c>
    </row>
    <row r="4663" spans="1:16" x14ac:dyDescent="0.25">
      <c r="A4663">
        <v>9</v>
      </c>
      <c r="B4663" t="s">
        <v>300</v>
      </c>
      <c r="C4663">
        <f>-0.34-3.04</f>
        <v>-3.38</v>
      </c>
      <c r="D4663">
        <v>1.35</v>
      </c>
      <c r="E4663" t="s">
        <v>423</v>
      </c>
      <c r="F4663" t="s">
        <v>114</v>
      </c>
      <c r="G4663">
        <v>3.04</v>
      </c>
      <c r="H4663">
        <v>-0.34</v>
      </c>
      <c r="I4663">
        <v>1.69</v>
      </c>
      <c r="J4663">
        <v>2.8561000000000001</v>
      </c>
      <c r="K4663" t="str">
        <f>IFERROR(INDEX(Rosters!$C$2:$C$155,MATCH($B4663,Rosters!$B$2:$B$155,0)),"NA")</f>
        <v>NA</v>
      </c>
      <c r="L4663" t="str">
        <f t="shared" si="216"/>
        <v>NA9TE</v>
      </c>
      <c r="M4663">
        <f>COUNTIF(L$1:L4663,L4663)</f>
        <v>41</v>
      </c>
      <c r="N4663" t="str">
        <f t="shared" si="217"/>
        <v>NA9TE-41</v>
      </c>
      <c r="O4663">
        <f>COUNTIFS(F$1:F4663,F4663,A$1:A4663,A4663)</f>
        <v>52</v>
      </c>
      <c r="P4663" t="str">
        <f t="shared" si="218"/>
        <v>Lance Kendricks9</v>
      </c>
    </row>
    <row r="4664" spans="1:16" x14ac:dyDescent="0.25">
      <c r="A4664">
        <v>12</v>
      </c>
      <c r="B4664" t="s">
        <v>1556</v>
      </c>
      <c r="C4664" t="s">
        <v>8627</v>
      </c>
      <c r="D4664">
        <v>1.35</v>
      </c>
      <c r="E4664" t="s">
        <v>76</v>
      </c>
      <c r="F4664" t="s">
        <v>47</v>
      </c>
      <c r="G4664">
        <v>2.68</v>
      </c>
      <c r="H4664">
        <v>0.02</v>
      </c>
      <c r="I4664">
        <v>1.33</v>
      </c>
      <c r="J4664">
        <v>1.7688999999999999</v>
      </c>
      <c r="K4664" t="str">
        <f>IFERROR(INDEX(Rosters!$C$2:$C$155,MATCH($B4664,Rosters!$B$2:$B$155,0)),"NA")</f>
        <v>NA</v>
      </c>
      <c r="L4664" t="str">
        <f t="shared" si="216"/>
        <v>NA12RB</v>
      </c>
      <c r="M4664">
        <f>COUNTIF(L$1:L4664,L4664)</f>
        <v>36</v>
      </c>
      <c r="N4664" t="str">
        <f t="shared" si="217"/>
        <v>NA12RB-36</v>
      </c>
      <c r="O4664">
        <f>COUNTIFS(F$1:F4664,F4664,A$1:A4664,A4664)</f>
        <v>81</v>
      </c>
      <c r="P4664" t="str">
        <f t="shared" si="218"/>
        <v>Marcus Murphy12</v>
      </c>
    </row>
    <row r="4665" spans="1:16" x14ac:dyDescent="0.25">
      <c r="A4665">
        <v>5</v>
      </c>
      <c r="B4665" t="s">
        <v>336</v>
      </c>
      <c r="C4665">
        <f>-0.24-2.92</f>
        <v>-3.16</v>
      </c>
      <c r="D4665">
        <v>1.34</v>
      </c>
      <c r="E4665" t="s">
        <v>73</v>
      </c>
      <c r="F4665" t="s">
        <v>47</v>
      </c>
      <c r="G4665">
        <v>2.92</v>
      </c>
      <c r="H4665">
        <v>-0.24</v>
      </c>
      <c r="I4665">
        <v>1.58</v>
      </c>
      <c r="J4665">
        <v>2.4964</v>
      </c>
      <c r="K4665" t="str">
        <f>IFERROR(INDEX(Rosters!$C$2:$C$155,MATCH($B4665,Rosters!$B$2:$B$155,0)),"NA")</f>
        <v>NA</v>
      </c>
      <c r="L4665" t="str">
        <f t="shared" si="216"/>
        <v>NA5RB</v>
      </c>
      <c r="M4665">
        <f>COUNTIF(L$1:L4665,L4665)</f>
        <v>31</v>
      </c>
      <c r="N4665" t="str">
        <f t="shared" si="217"/>
        <v>NA5RB-31</v>
      </c>
      <c r="O4665">
        <f>COUNTIFS(F$1:F4665,F4665,A$1:A4665,A4665)</f>
        <v>74</v>
      </c>
      <c r="P4665" t="str">
        <f t="shared" si="218"/>
        <v>Andy Janovich5</v>
      </c>
    </row>
    <row r="4666" spans="1:16" x14ac:dyDescent="0.25">
      <c r="A4666">
        <v>14</v>
      </c>
      <c r="B4666" t="s">
        <v>1495</v>
      </c>
      <c r="C4666">
        <f>-0.1-2.78</f>
        <v>-2.88</v>
      </c>
      <c r="D4666">
        <v>1.34</v>
      </c>
      <c r="E4666" t="s">
        <v>76</v>
      </c>
      <c r="F4666" t="s">
        <v>114</v>
      </c>
      <c r="G4666">
        <v>2.78</v>
      </c>
      <c r="H4666">
        <v>-0.1</v>
      </c>
      <c r="I4666">
        <v>1.44</v>
      </c>
      <c r="J4666">
        <v>2.0735999999999999</v>
      </c>
      <c r="K4666" t="str">
        <f>IFERROR(INDEX(Rosters!$C$2:$C$155,MATCH($B4666,Rosters!$B$2:$B$155,0)),"NA")</f>
        <v>NA</v>
      </c>
      <c r="L4666" t="str">
        <f t="shared" si="216"/>
        <v>NA14TE</v>
      </c>
      <c r="M4666">
        <f>COUNTIF(L$1:L4666,L4666)</f>
        <v>51</v>
      </c>
      <c r="N4666" t="str">
        <f t="shared" si="217"/>
        <v>NA14TE-51</v>
      </c>
      <c r="O4666">
        <f>COUNTIFS(F$1:F4666,F4666,A$1:A4666,A4666)</f>
        <v>65</v>
      </c>
      <c r="P4666" t="str">
        <f t="shared" si="218"/>
        <v>Jonnu Smith14</v>
      </c>
    </row>
    <row r="4667" spans="1:16" x14ac:dyDescent="0.25">
      <c r="A4667">
        <v>9</v>
      </c>
      <c r="B4667" t="s">
        <v>337</v>
      </c>
      <c r="C4667">
        <f>-0.27-2.95</f>
        <v>-3.22</v>
      </c>
      <c r="D4667">
        <v>1.34</v>
      </c>
      <c r="E4667" t="s">
        <v>42</v>
      </c>
      <c r="F4667" t="s">
        <v>87</v>
      </c>
      <c r="G4667">
        <v>2.95</v>
      </c>
      <c r="H4667">
        <v>-0.27</v>
      </c>
      <c r="I4667">
        <v>1.61</v>
      </c>
      <c r="J4667">
        <v>2.5920999999999998</v>
      </c>
      <c r="K4667" t="str">
        <f>IFERROR(INDEX(Rosters!$C$2:$C$155,MATCH($B4667,Rosters!$B$2:$B$155,0)),"NA")</f>
        <v>NA</v>
      </c>
      <c r="L4667" t="str">
        <f t="shared" si="216"/>
        <v>NA9WR</v>
      </c>
      <c r="M4667">
        <f>COUNTIF(L$1:L4667,L4667)</f>
        <v>58</v>
      </c>
      <c r="N4667" t="str">
        <f t="shared" si="217"/>
        <v>NA9WR-58</v>
      </c>
      <c r="O4667">
        <f>COUNTIFS(F$1:F4667,F4667,A$1:A4667,A4667)</f>
        <v>102</v>
      </c>
      <c r="P4667" t="str">
        <f t="shared" si="218"/>
        <v>Sammie Coates9</v>
      </c>
    </row>
    <row r="4668" spans="1:16" x14ac:dyDescent="0.25">
      <c r="A4668">
        <v>1</v>
      </c>
      <c r="B4668" t="s">
        <v>1511</v>
      </c>
      <c r="C4668">
        <f>-0.15-2.83</f>
        <v>-2.98</v>
      </c>
      <c r="D4668">
        <v>1.34</v>
      </c>
      <c r="E4668" t="s">
        <v>19</v>
      </c>
      <c r="F4668" t="s">
        <v>87</v>
      </c>
      <c r="G4668">
        <v>2.83</v>
      </c>
      <c r="H4668">
        <v>-0.15</v>
      </c>
      <c r="I4668">
        <v>1.49</v>
      </c>
      <c r="J4668">
        <v>2.2201</v>
      </c>
      <c r="K4668" t="str">
        <f>IFERROR(INDEX(Rosters!$C$2:$C$155,MATCH($B4668,Rosters!$B$2:$B$155,0)),"NA")</f>
        <v>NA</v>
      </c>
      <c r="L4668" t="str">
        <f t="shared" si="216"/>
        <v>NA1WR</v>
      </c>
      <c r="M4668">
        <f>COUNTIF(L$1:L4668,L4668)</f>
        <v>56</v>
      </c>
      <c r="N4668" t="str">
        <f t="shared" si="217"/>
        <v>NA1WR-56</v>
      </c>
      <c r="O4668">
        <f>COUNTIFS(F$1:F4668,F4668,A$1:A4668,A4668)</f>
        <v>105</v>
      </c>
      <c r="P4668" t="str">
        <f t="shared" si="218"/>
        <v>Tajae Sharpe1</v>
      </c>
    </row>
    <row r="4669" spans="1:16" x14ac:dyDescent="0.25">
      <c r="A4669">
        <v>15</v>
      </c>
      <c r="B4669" t="s">
        <v>4210</v>
      </c>
      <c r="C4669" t="s">
        <v>8628</v>
      </c>
      <c r="D4669">
        <v>1.33</v>
      </c>
      <c r="E4669" t="s">
        <v>74</v>
      </c>
      <c r="F4669" t="s">
        <v>87</v>
      </c>
      <c r="G4669">
        <v>2.56</v>
      </c>
      <c r="H4669">
        <v>0.1</v>
      </c>
      <c r="I4669">
        <v>1.23</v>
      </c>
      <c r="J4669">
        <v>1.5128999999999999</v>
      </c>
      <c r="K4669" t="str">
        <f>IFERROR(INDEX(Rosters!$C$2:$C$155,MATCH($B4669,Rosters!$B$2:$B$155,0)),"NA")</f>
        <v>NA</v>
      </c>
      <c r="L4669" t="str">
        <f t="shared" si="216"/>
        <v>NA15WR</v>
      </c>
      <c r="M4669">
        <f>COUNTIF(L$1:L4669,L4669)</f>
        <v>65</v>
      </c>
      <c r="N4669" t="str">
        <f t="shared" si="217"/>
        <v>NA15WR-65</v>
      </c>
      <c r="O4669">
        <f>COUNTIFS(F$1:F4669,F4669,A$1:A4669,A4669)</f>
        <v>119</v>
      </c>
      <c r="P4669" t="str">
        <f t="shared" si="218"/>
        <v>Austin Carr15</v>
      </c>
    </row>
    <row r="4670" spans="1:16" x14ac:dyDescent="0.25">
      <c r="A4670">
        <v>2</v>
      </c>
      <c r="B4670" t="s">
        <v>312</v>
      </c>
      <c r="C4670" t="s">
        <v>1521</v>
      </c>
      <c r="D4670">
        <v>1.33</v>
      </c>
      <c r="E4670" t="s">
        <v>14</v>
      </c>
      <c r="F4670" t="s">
        <v>114</v>
      </c>
      <c r="G4670">
        <v>2.31</v>
      </c>
      <c r="H4670">
        <v>0.35</v>
      </c>
      <c r="I4670">
        <v>0.98</v>
      </c>
      <c r="J4670">
        <v>0.96040000000000003</v>
      </c>
      <c r="K4670" t="str">
        <f>IFERROR(INDEX(Rosters!$C$2:$C$155,MATCH($B4670,Rosters!$B$2:$B$155,0)),"NA")</f>
        <v>NA</v>
      </c>
      <c r="L4670" t="str">
        <f t="shared" si="216"/>
        <v>NA2TE</v>
      </c>
      <c r="M4670">
        <f>COUNTIF(L$1:L4670,L4670)</f>
        <v>40</v>
      </c>
      <c r="N4670" t="str">
        <f t="shared" si="217"/>
        <v>NA2TE-40</v>
      </c>
      <c r="O4670">
        <f>COUNTIFS(F$1:F4670,F4670,A$1:A4670,A4670)</f>
        <v>53</v>
      </c>
      <c r="P4670" t="str">
        <f t="shared" si="218"/>
        <v>Darren Fells2</v>
      </c>
    </row>
    <row r="4671" spans="1:16" x14ac:dyDescent="0.25">
      <c r="A4671">
        <v>8</v>
      </c>
      <c r="B4671" t="s">
        <v>318</v>
      </c>
      <c r="C4671">
        <f>-0.09-2.75</f>
        <v>-2.84</v>
      </c>
      <c r="D4671">
        <v>1.33</v>
      </c>
      <c r="E4671" t="s">
        <v>14</v>
      </c>
      <c r="F4671" t="s">
        <v>114</v>
      </c>
      <c r="G4671">
        <v>2.75</v>
      </c>
      <c r="H4671">
        <v>-0.09</v>
      </c>
      <c r="I4671">
        <v>1.42</v>
      </c>
      <c r="J4671">
        <v>2.0164</v>
      </c>
      <c r="K4671" t="str">
        <f>IFERROR(INDEX(Rosters!$C$2:$C$155,MATCH($B4671,Rosters!$B$2:$B$155,0)),"NA")</f>
        <v>NA</v>
      </c>
      <c r="L4671" t="str">
        <f t="shared" si="216"/>
        <v>NA8TE</v>
      </c>
      <c r="M4671">
        <f>COUNTIF(L$1:L4671,L4671)</f>
        <v>43</v>
      </c>
      <c r="N4671" t="str">
        <f t="shared" si="217"/>
        <v>NA8TE-43</v>
      </c>
      <c r="O4671">
        <f>COUNTIFS(F$1:F4671,F4671,A$1:A4671,A4671)</f>
        <v>55</v>
      </c>
      <c r="P4671" t="str">
        <f t="shared" si="218"/>
        <v>David Morgan8</v>
      </c>
    </row>
    <row r="4672" spans="1:16" x14ac:dyDescent="0.25">
      <c r="A4672">
        <v>12</v>
      </c>
      <c r="B4672" t="s">
        <v>318</v>
      </c>
      <c r="C4672">
        <f>-0.09-2.75</f>
        <v>-2.84</v>
      </c>
      <c r="D4672">
        <v>1.33</v>
      </c>
      <c r="E4672" t="s">
        <v>41</v>
      </c>
      <c r="F4672" t="s">
        <v>114</v>
      </c>
      <c r="G4672">
        <v>2.75</v>
      </c>
      <c r="H4672">
        <v>-0.09</v>
      </c>
      <c r="I4672">
        <v>1.42</v>
      </c>
      <c r="J4672">
        <v>2.0164</v>
      </c>
      <c r="K4672" t="str">
        <f>IFERROR(INDEX(Rosters!$C$2:$C$155,MATCH($B4672,Rosters!$B$2:$B$155,0)),"NA")</f>
        <v>NA</v>
      </c>
      <c r="L4672" t="str">
        <f t="shared" si="216"/>
        <v>NA12TE</v>
      </c>
      <c r="M4672">
        <f>COUNTIF(L$1:L4672,L4672)</f>
        <v>49</v>
      </c>
      <c r="N4672" t="str">
        <f t="shared" si="217"/>
        <v>NA12TE-49</v>
      </c>
      <c r="O4672">
        <f>COUNTIFS(F$1:F4672,F4672,A$1:A4672,A4672)</f>
        <v>62</v>
      </c>
      <c r="P4672" t="str">
        <f t="shared" si="218"/>
        <v>David Morgan12</v>
      </c>
    </row>
    <row r="4673" spans="1:16" x14ac:dyDescent="0.25">
      <c r="A4673">
        <v>14</v>
      </c>
      <c r="B4673" t="s">
        <v>380</v>
      </c>
      <c r="C4673">
        <f>-0.21-2.87</f>
        <v>-3.08</v>
      </c>
      <c r="D4673">
        <v>1.33</v>
      </c>
      <c r="E4673" t="s">
        <v>51</v>
      </c>
      <c r="F4673" t="s">
        <v>114</v>
      </c>
      <c r="G4673">
        <v>2.87</v>
      </c>
      <c r="H4673">
        <v>-0.21</v>
      </c>
      <c r="I4673">
        <v>1.54</v>
      </c>
      <c r="J4673">
        <v>2.3715999999999999</v>
      </c>
      <c r="K4673" t="str">
        <f>IFERROR(INDEX(Rosters!$C$2:$C$155,MATCH($B4673,Rosters!$B$2:$B$155,0)),"NA")</f>
        <v>NA</v>
      </c>
      <c r="L4673" t="str">
        <f t="shared" si="216"/>
        <v>NA14TE</v>
      </c>
      <c r="M4673">
        <f>COUNTIF(L$1:L4673,L4673)</f>
        <v>52</v>
      </c>
      <c r="N4673" t="str">
        <f t="shared" si="217"/>
        <v>NA14TE-52</v>
      </c>
      <c r="O4673">
        <f>COUNTIFS(F$1:F4673,F4673,A$1:A4673,A4673)</f>
        <v>66</v>
      </c>
      <c r="P4673" t="str">
        <f t="shared" si="218"/>
        <v>Derek Carrier14</v>
      </c>
    </row>
    <row r="4674" spans="1:16" x14ac:dyDescent="0.25">
      <c r="A4674">
        <v>17</v>
      </c>
      <c r="B4674" t="s">
        <v>327</v>
      </c>
      <c r="C4674">
        <f>-0.37-3.03</f>
        <v>-3.4</v>
      </c>
      <c r="D4674">
        <v>1.33</v>
      </c>
      <c r="E4674" t="s">
        <v>31</v>
      </c>
      <c r="F4674" t="s">
        <v>87</v>
      </c>
      <c r="G4674">
        <v>3.03</v>
      </c>
      <c r="H4674">
        <v>-0.37</v>
      </c>
      <c r="I4674">
        <v>1.7</v>
      </c>
      <c r="J4674">
        <v>2.89</v>
      </c>
      <c r="K4674" t="str">
        <f>IFERROR(INDEX(Rosters!$C$2:$C$155,MATCH($B4674,Rosters!$B$2:$B$155,0)),"NA")</f>
        <v>NA</v>
      </c>
      <c r="L4674" t="str">
        <f t="shared" si="216"/>
        <v>NA17WR</v>
      </c>
      <c r="M4674">
        <f>COUNTIF(L$1:L4674,L4674)</f>
        <v>66</v>
      </c>
      <c r="N4674" t="str">
        <f t="shared" si="217"/>
        <v>NA17WR-66</v>
      </c>
      <c r="O4674">
        <f>COUNTIFS(F$1:F4674,F4674,A$1:A4674,A4674)</f>
        <v>120</v>
      </c>
      <c r="P4674" t="str">
        <f t="shared" si="218"/>
        <v>Justin Hunter17</v>
      </c>
    </row>
    <row r="4675" spans="1:16" x14ac:dyDescent="0.25">
      <c r="A4675">
        <v>15</v>
      </c>
      <c r="B4675" t="s">
        <v>318</v>
      </c>
      <c r="C4675">
        <f>-0.09-2.73</f>
        <v>-2.82</v>
      </c>
      <c r="D4675">
        <v>1.32</v>
      </c>
      <c r="E4675" t="s">
        <v>19</v>
      </c>
      <c r="F4675" t="s">
        <v>114</v>
      </c>
      <c r="G4675">
        <v>2.73</v>
      </c>
      <c r="H4675">
        <v>-0.09</v>
      </c>
      <c r="I4675">
        <v>1.41</v>
      </c>
      <c r="J4675">
        <v>1.9881</v>
      </c>
      <c r="K4675" t="str">
        <f>IFERROR(INDEX(Rosters!$C$2:$C$155,MATCH($B4675,Rosters!$B$2:$B$155,0)),"NA")</f>
        <v>NA</v>
      </c>
      <c r="L4675" t="str">
        <f t="shared" ref="L4675:L4738" si="219">K4675&amp;A4675&amp;F4675</f>
        <v>NA15TE</v>
      </c>
      <c r="M4675">
        <f>COUNTIF(L$1:L4675,L4675)</f>
        <v>51</v>
      </c>
      <c r="N4675" t="str">
        <f t="shared" ref="N4675:N4738" si="220">L4675&amp;"-"&amp;M4675</f>
        <v>NA15TE-51</v>
      </c>
      <c r="O4675">
        <f>COUNTIFS(F$1:F4675,F4675,A$1:A4675,A4675)</f>
        <v>65</v>
      </c>
      <c r="P4675" t="str">
        <f t="shared" ref="P4675:P4738" si="221">B4675&amp;A4675</f>
        <v>David Morgan15</v>
      </c>
    </row>
    <row r="4676" spans="1:16" x14ac:dyDescent="0.25">
      <c r="A4676">
        <v>5</v>
      </c>
      <c r="B4676" t="s">
        <v>4244</v>
      </c>
      <c r="C4676">
        <f>-0.44-3.08</f>
        <v>-3.52</v>
      </c>
      <c r="D4676">
        <v>1.32</v>
      </c>
      <c r="E4676" t="s">
        <v>32</v>
      </c>
      <c r="F4676" t="s">
        <v>87</v>
      </c>
      <c r="G4676">
        <v>3.08</v>
      </c>
      <c r="H4676">
        <v>-0.44</v>
      </c>
      <c r="I4676">
        <v>1.76</v>
      </c>
      <c r="J4676">
        <v>3.0975999999999999</v>
      </c>
      <c r="K4676" t="str">
        <f>IFERROR(INDEX(Rosters!$C$2:$C$155,MATCH($B4676,Rosters!$B$2:$B$155,0)),"NA")</f>
        <v>NA</v>
      </c>
      <c r="L4676" t="str">
        <f t="shared" si="219"/>
        <v>NA5WR</v>
      </c>
      <c r="M4676">
        <f>COUNTIF(L$1:L4676,L4676)</f>
        <v>65</v>
      </c>
      <c r="N4676" t="str">
        <f t="shared" si="220"/>
        <v>NA5WR-65</v>
      </c>
      <c r="O4676">
        <f>COUNTIFS(F$1:F4676,F4676,A$1:A4676,A4676)</f>
        <v>115</v>
      </c>
      <c r="P4676" t="str">
        <f t="shared" si="221"/>
        <v>J.J. Jones5</v>
      </c>
    </row>
    <row r="4677" spans="1:16" x14ac:dyDescent="0.25">
      <c r="A4677">
        <v>5</v>
      </c>
      <c r="B4677" t="s">
        <v>1556</v>
      </c>
      <c r="C4677">
        <f>-0.35-2.99</f>
        <v>-3.3400000000000003</v>
      </c>
      <c r="D4677">
        <v>1.32</v>
      </c>
      <c r="E4677" t="s">
        <v>38</v>
      </c>
      <c r="F4677" t="s">
        <v>47</v>
      </c>
      <c r="G4677">
        <v>2.99</v>
      </c>
      <c r="H4677">
        <v>-0.35</v>
      </c>
      <c r="I4677">
        <v>1.67</v>
      </c>
      <c r="J4677">
        <v>2.7888999999999999</v>
      </c>
      <c r="K4677" t="str">
        <f>IFERROR(INDEX(Rosters!$C$2:$C$155,MATCH($B4677,Rosters!$B$2:$B$155,0)),"NA")</f>
        <v>NA</v>
      </c>
      <c r="L4677" t="str">
        <f t="shared" si="219"/>
        <v>NA5RB</v>
      </c>
      <c r="M4677">
        <f>COUNTIF(L$1:L4677,L4677)</f>
        <v>32</v>
      </c>
      <c r="N4677" t="str">
        <f t="shared" si="220"/>
        <v>NA5RB-32</v>
      </c>
      <c r="O4677">
        <f>COUNTIFS(F$1:F4677,F4677,A$1:A4677,A4677)</f>
        <v>75</v>
      </c>
      <c r="P4677" t="str">
        <f t="shared" si="221"/>
        <v>Marcus Murphy5</v>
      </c>
    </row>
    <row r="4678" spans="1:16" x14ac:dyDescent="0.25">
      <c r="A4678">
        <v>16</v>
      </c>
      <c r="B4678" t="s">
        <v>323</v>
      </c>
      <c r="C4678">
        <f>-0.15-2.79</f>
        <v>-2.94</v>
      </c>
      <c r="D4678">
        <v>1.32</v>
      </c>
      <c r="E4678" t="s">
        <v>19</v>
      </c>
      <c r="F4678" t="s">
        <v>114</v>
      </c>
      <c r="G4678">
        <v>2.79</v>
      </c>
      <c r="H4678">
        <v>-0.15</v>
      </c>
      <c r="I4678">
        <v>1.47</v>
      </c>
      <c r="J4678">
        <v>2.1608999999999998</v>
      </c>
      <c r="K4678" t="str">
        <f>IFERROR(INDEX(Rosters!$C$2:$C$155,MATCH($B4678,Rosters!$B$2:$B$155,0)),"NA")</f>
        <v>NA</v>
      </c>
      <c r="L4678" t="str">
        <f t="shared" si="219"/>
        <v>NA16TE</v>
      </c>
      <c r="M4678">
        <f>COUNTIF(L$1:L4678,L4678)</f>
        <v>52</v>
      </c>
      <c r="N4678" t="str">
        <f t="shared" si="220"/>
        <v>NA16TE-52</v>
      </c>
      <c r="O4678">
        <f>COUNTIFS(F$1:F4678,F4678,A$1:A4678,A4678)</f>
        <v>66</v>
      </c>
      <c r="P4678" t="str">
        <f t="shared" si="221"/>
        <v>Niles Paul16</v>
      </c>
    </row>
    <row r="4679" spans="1:16" x14ac:dyDescent="0.25">
      <c r="A4679">
        <v>9</v>
      </c>
      <c r="B4679" t="s">
        <v>1524</v>
      </c>
      <c r="C4679">
        <f>-0.34-2.96</f>
        <v>-3.3</v>
      </c>
      <c r="D4679">
        <v>1.31</v>
      </c>
      <c r="E4679" t="s">
        <v>22</v>
      </c>
      <c r="F4679" t="s">
        <v>47</v>
      </c>
      <c r="G4679">
        <v>2.96</v>
      </c>
      <c r="H4679">
        <v>-0.34</v>
      </c>
      <c r="I4679">
        <v>1.65</v>
      </c>
      <c r="J4679">
        <v>2.7225000000000001</v>
      </c>
      <c r="K4679" t="str">
        <f>IFERROR(INDEX(Rosters!$C$2:$C$155,MATCH($B4679,Rosters!$B$2:$B$155,0)),"NA")</f>
        <v>NA</v>
      </c>
      <c r="L4679" t="str">
        <f t="shared" si="219"/>
        <v>NA9RB</v>
      </c>
      <c r="M4679">
        <f>COUNTIF(L$1:L4679,L4679)</f>
        <v>28</v>
      </c>
      <c r="N4679" t="str">
        <f t="shared" si="220"/>
        <v>NA9RB-28</v>
      </c>
      <c r="O4679">
        <f>COUNTIFS(F$1:F4679,F4679,A$1:A4679,A4679)</f>
        <v>68</v>
      </c>
      <c r="P4679" t="str">
        <f t="shared" si="221"/>
        <v>David Fluellen9</v>
      </c>
    </row>
    <row r="4680" spans="1:16" x14ac:dyDescent="0.25">
      <c r="A4680">
        <v>4</v>
      </c>
      <c r="B4680" t="s">
        <v>4234</v>
      </c>
      <c r="C4680">
        <f>-0.04-2.66</f>
        <v>-2.7</v>
      </c>
      <c r="D4680">
        <v>1.31</v>
      </c>
      <c r="E4680" t="s">
        <v>58</v>
      </c>
      <c r="F4680" t="s">
        <v>87</v>
      </c>
      <c r="G4680">
        <v>2.66</v>
      </c>
      <c r="H4680">
        <v>-0.04</v>
      </c>
      <c r="I4680">
        <v>1.35</v>
      </c>
      <c r="J4680">
        <v>1.8225</v>
      </c>
      <c r="K4680" t="str">
        <f>IFERROR(INDEX(Rosters!$C$2:$C$155,MATCH($B4680,Rosters!$B$2:$B$155,0)),"NA")</f>
        <v>NA</v>
      </c>
      <c r="L4680" t="str">
        <f t="shared" si="219"/>
        <v>NA4WR</v>
      </c>
      <c r="M4680">
        <f>COUNTIF(L$1:L4680,L4680)</f>
        <v>51</v>
      </c>
      <c r="N4680" t="str">
        <f t="shared" si="220"/>
        <v>NA4WR-51</v>
      </c>
      <c r="O4680">
        <f>COUNTIFS(F$1:F4680,F4680,A$1:A4680,A4680)</f>
        <v>101</v>
      </c>
      <c r="P4680" t="str">
        <f t="shared" si="221"/>
        <v>David Moore4</v>
      </c>
    </row>
    <row r="4681" spans="1:16" x14ac:dyDescent="0.25">
      <c r="A4681">
        <v>6</v>
      </c>
      <c r="B4681" t="s">
        <v>1469</v>
      </c>
      <c r="C4681">
        <f>-0.13-2.75</f>
        <v>-2.88</v>
      </c>
      <c r="D4681">
        <v>1.31</v>
      </c>
      <c r="E4681" t="s">
        <v>42</v>
      </c>
      <c r="F4681" t="s">
        <v>114</v>
      </c>
      <c r="G4681">
        <v>2.75</v>
      </c>
      <c r="H4681">
        <v>-0.13</v>
      </c>
      <c r="I4681">
        <v>1.44</v>
      </c>
      <c r="J4681">
        <v>2.0735999999999999</v>
      </c>
      <c r="K4681" t="str">
        <f>IFERROR(INDEX(Rosters!$C$2:$C$155,MATCH($B4681,Rosters!$B$2:$B$155,0)),"NA")</f>
        <v>NA</v>
      </c>
      <c r="L4681" t="str">
        <f t="shared" si="219"/>
        <v>NA6TE</v>
      </c>
      <c r="M4681">
        <f>COUNTIF(L$1:L4681,L4681)</f>
        <v>46</v>
      </c>
      <c r="N4681" t="str">
        <f t="shared" si="220"/>
        <v>NA6TE-46</v>
      </c>
      <c r="O4681">
        <f>COUNTIFS(F$1:F4681,F4681,A$1:A4681,A4681)</f>
        <v>58</v>
      </c>
      <c r="P4681" t="str">
        <f t="shared" si="221"/>
        <v>Gerald Everett6</v>
      </c>
    </row>
    <row r="4682" spans="1:16" x14ac:dyDescent="0.25">
      <c r="A4682">
        <v>6</v>
      </c>
      <c r="B4682" t="s">
        <v>327</v>
      </c>
      <c r="C4682">
        <f>-0.39-3.01</f>
        <v>-3.4</v>
      </c>
      <c r="D4682">
        <v>1.31</v>
      </c>
      <c r="E4682" t="s">
        <v>31</v>
      </c>
      <c r="F4682" t="s">
        <v>87</v>
      </c>
      <c r="G4682">
        <v>3.01</v>
      </c>
      <c r="H4682">
        <v>-0.39</v>
      </c>
      <c r="I4682">
        <v>1.7</v>
      </c>
      <c r="J4682">
        <v>2.89</v>
      </c>
      <c r="K4682" t="str">
        <f>IFERROR(INDEX(Rosters!$C$2:$C$155,MATCH($B4682,Rosters!$B$2:$B$155,0)),"NA")</f>
        <v>NA</v>
      </c>
      <c r="L4682" t="str">
        <f t="shared" si="219"/>
        <v>NA6WR</v>
      </c>
      <c r="M4682">
        <f>COUNTIF(L$1:L4682,L4682)</f>
        <v>62</v>
      </c>
      <c r="N4682" t="str">
        <f t="shared" si="220"/>
        <v>NA6WR-62</v>
      </c>
      <c r="O4682">
        <f>COUNTIFS(F$1:F4682,F4682,A$1:A4682,A4682)</f>
        <v>112</v>
      </c>
      <c r="P4682" t="str">
        <f t="shared" si="221"/>
        <v>Justin Hunter6</v>
      </c>
    </row>
    <row r="4683" spans="1:16" x14ac:dyDescent="0.25">
      <c r="A4683">
        <v>3</v>
      </c>
      <c r="B4683" t="s">
        <v>339</v>
      </c>
      <c r="C4683" t="s">
        <v>3809</v>
      </c>
      <c r="D4683">
        <v>1.31</v>
      </c>
      <c r="E4683" t="s">
        <v>24</v>
      </c>
      <c r="F4683" t="s">
        <v>47</v>
      </c>
      <c r="G4683">
        <v>2.52</v>
      </c>
      <c r="H4683">
        <v>0.1</v>
      </c>
      <c r="I4683">
        <v>1.21</v>
      </c>
      <c r="J4683">
        <v>1.4641</v>
      </c>
      <c r="K4683" t="str">
        <f>IFERROR(INDEX(Rosters!$C$2:$C$155,MATCH($B4683,Rosters!$B$2:$B$155,0)),"NA")</f>
        <v>NA</v>
      </c>
      <c r="L4683" t="str">
        <f t="shared" si="219"/>
        <v>NA3RB</v>
      </c>
      <c r="M4683">
        <f>COUNTIF(L$1:L4683,L4683)</f>
        <v>36</v>
      </c>
      <c r="N4683" t="str">
        <f t="shared" si="220"/>
        <v>NA3RB-36</v>
      </c>
      <c r="O4683">
        <f>COUNTIFS(F$1:F4683,F4683,A$1:A4683,A4683)</f>
        <v>75</v>
      </c>
      <c r="P4683" t="str">
        <f t="shared" si="221"/>
        <v>Kyle Juszczyk3</v>
      </c>
    </row>
    <row r="4684" spans="1:16" x14ac:dyDescent="0.25">
      <c r="A4684">
        <v>15</v>
      </c>
      <c r="B4684" t="s">
        <v>339</v>
      </c>
      <c r="C4684" t="s">
        <v>8629</v>
      </c>
      <c r="D4684">
        <v>1.31</v>
      </c>
      <c r="E4684" t="s">
        <v>28</v>
      </c>
      <c r="F4684" t="s">
        <v>47</v>
      </c>
      <c r="G4684">
        <v>2.4900000000000002</v>
      </c>
      <c r="H4684">
        <v>0.13</v>
      </c>
      <c r="I4684">
        <v>1.18</v>
      </c>
      <c r="J4684">
        <v>1.3924000000000001</v>
      </c>
      <c r="K4684" t="str">
        <f>IFERROR(INDEX(Rosters!$C$2:$C$155,MATCH($B4684,Rosters!$B$2:$B$155,0)),"NA")</f>
        <v>NA</v>
      </c>
      <c r="L4684" t="str">
        <f t="shared" si="219"/>
        <v>NA15RB</v>
      </c>
      <c r="M4684">
        <f>COUNTIF(L$1:L4684,L4684)</f>
        <v>35</v>
      </c>
      <c r="N4684" t="str">
        <f t="shared" si="220"/>
        <v>NA15RB-35</v>
      </c>
      <c r="O4684">
        <f>COUNTIFS(F$1:F4684,F4684,A$1:A4684,A4684)</f>
        <v>82</v>
      </c>
      <c r="P4684" t="str">
        <f t="shared" si="221"/>
        <v>Kyle Juszczyk15</v>
      </c>
    </row>
    <row r="4685" spans="1:16" x14ac:dyDescent="0.25">
      <c r="A4685">
        <v>9</v>
      </c>
      <c r="B4685" t="s">
        <v>4232</v>
      </c>
      <c r="C4685">
        <f>-0.05-2.67</f>
        <v>-2.7199999999999998</v>
      </c>
      <c r="D4685">
        <v>1.31</v>
      </c>
      <c r="E4685" t="s">
        <v>74</v>
      </c>
      <c r="F4685" t="s">
        <v>47</v>
      </c>
      <c r="G4685">
        <v>2.67</v>
      </c>
      <c r="H4685">
        <v>-0.05</v>
      </c>
      <c r="I4685">
        <v>1.36</v>
      </c>
      <c r="J4685">
        <v>1.8495999999999999</v>
      </c>
      <c r="K4685" t="str">
        <f>IFERROR(INDEX(Rosters!$C$2:$C$155,MATCH($B4685,Rosters!$B$2:$B$155,0)),"NA")</f>
        <v>NA</v>
      </c>
      <c r="L4685" t="str">
        <f t="shared" si="219"/>
        <v>NA9RB</v>
      </c>
      <c r="M4685">
        <f>COUNTIF(L$1:L4685,L4685)</f>
        <v>29</v>
      </c>
      <c r="N4685" t="str">
        <f t="shared" si="220"/>
        <v>NA9RB-29</v>
      </c>
      <c r="O4685">
        <f>COUNTIFS(F$1:F4685,F4685,A$1:A4685,A4685)</f>
        <v>69</v>
      </c>
      <c r="P4685" t="str">
        <f t="shared" si="221"/>
        <v>Shaun Wilson9</v>
      </c>
    </row>
    <row r="4686" spans="1:16" x14ac:dyDescent="0.25">
      <c r="A4686">
        <v>16</v>
      </c>
      <c r="B4686" t="s">
        <v>4210</v>
      </c>
      <c r="C4686" t="s">
        <v>8630</v>
      </c>
      <c r="D4686">
        <v>1.3</v>
      </c>
      <c r="E4686" t="s">
        <v>51</v>
      </c>
      <c r="F4686" t="s">
        <v>87</v>
      </c>
      <c r="G4686">
        <v>2.48</v>
      </c>
      <c r="H4686">
        <v>0.12</v>
      </c>
      <c r="I4686">
        <v>1.18</v>
      </c>
      <c r="J4686">
        <v>1.3924000000000001</v>
      </c>
      <c r="K4686" t="str">
        <f>IFERROR(INDEX(Rosters!$C$2:$C$155,MATCH($B4686,Rosters!$B$2:$B$155,0)),"NA")</f>
        <v>NA</v>
      </c>
      <c r="L4686" t="str">
        <f t="shared" si="219"/>
        <v>NA16WR</v>
      </c>
      <c r="M4686">
        <f>COUNTIF(L$1:L4686,L4686)</f>
        <v>64</v>
      </c>
      <c r="N4686" t="str">
        <f t="shared" si="220"/>
        <v>NA16WR-64</v>
      </c>
      <c r="O4686">
        <f>COUNTIFS(F$1:F4686,F4686,A$1:A4686,A4686)</f>
        <v>118</v>
      </c>
      <c r="P4686" t="str">
        <f t="shared" si="221"/>
        <v>Austin Carr16</v>
      </c>
    </row>
    <row r="4687" spans="1:16" x14ac:dyDescent="0.25">
      <c r="A4687">
        <v>8</v>
      </c>
      <c r="B4687" t="s">
        <v>287</v>
      </c>
      <c r="C4687">
        <f>-0.18-2.78</f>
        <v>-2.96</v>
      </c>
      <c r="D4687">
        <v>1.3</v>
      </c>
      <c r="E4687" t="s">
        <v>25</v>
      </c>
      <c r="F4687" t="s">
        <v>114</v>
      </c>
      <c r="G4687">
        <v>2.78</v>
      </c>
      <c r="H4687">
        <v>-0.18</v>
      </c>
      <c r="I4687">
        <v>1.48</v>
      </c>
      <c r="J4687">
        <v>2.1903999999999999</v>
      </c>
      <c r="K4687" t="str">
        <f>IFERROR(INDEX(Rosters!$C$2:$C$155,MATCH($B4687,Rosters!$B$2:$B$155,0)),"NA")</f>
        <v>NA</v>
      </c>
      <c r="L4687" t="str">
        <f t="shared" si="219"/>
        <v>NA8TE</v>
      </c>
      <c r="M4687">
        <f>COUNTIF(L$1:L4687,L4687)</f>
        <v>44</v>
      </c>
      <c r="N4687" t="str">
        <f t="shared" si="220"/>
        <v>NA8TE-44</v>
      </c>
      <c r="O4687">
        <f>COUNTIFS(F$1:F4687,F4687,A$1:A4687,A4687)</f>
        <v>56</v>
      </c>
      <c r="P4687" t="str">
        <f t="shared" si="221"/>
        <v>Josh Hill8</v>
      </c>
    </row>
    <row r="4688" spans="1:16" x14ac:dyDescent="0.25">
      <c r="A4688">
        <v>13</v>
      </c>
      <c r="B4688" t="s">
        <v>1458</v>
      </c>
      <c r="C4688">
        <f>-0.07-2.67</f>
        <v>-2.7399999999999998</v>
      </c>
      <c r="D4688">
        <v>1.3</v>
      </c>
      <c r="E4688" t="s">
        <v>29</v>
      </c>
      <c r="F4688" t="s">
        <v>47</v>
      </c>
      <c r="G4688">
        <v>2.67</v>
      </c>
      <c r="H4688">
        <v>-7.0000000000000007E-2</v>
      </c>
      <c r="I4688">
        <v>1.37</v>
      </c>
      <c r="J4688">
        <v>1.8769</v>
      </c>
      <c r="K4688" t="str">
        <f>IFERROR(INDEX(Rosters!$C$2:$C$155,MATCH($B4688,Rosters!$B$2:$B$155,0)),"NA")</f>
        <v>NA</v>
      </c>
      <c r="L4688" t="str">
        <f t="shared" si="219"/>
        <v>NA13RB</v>
      </c>
      <c r="M4688">
        <f>COUNTIF(L$1:L4688,L4688)</f>
        <v>38</v>
      </c>
      <c r="N4688" t="str">
        <f t="shared" si="220"/>
        <v>NA13RB-38</v>
      </c>
      <c r="O4688">
        <f>COUNTIFS(F$1:F4688,F4688,A$1:A4688,A4688)</f>
        <v>85</v>
      </c>
      <c r="P4688" t="str">
        <f t="shared" si="221"/>
        <v>Kalen Ballage13</v>
      </c>
    </row>
    <row r="4689" spans="1:16" x14ac:dyDescent="0.25">
      <c r="A4689">
        <v>13</v>
      </c>
      <c r="B4689" t="s">
        <v>300</v>
      </c>
      <c r="C4689" t="s">
        <v>8631</v>
      </c>
      <c r="D4689">
        <v>1.3</v>
      </c>
      <c r="E4689" t="s">
        <v>58</v>
      </c>
      <c r="F4689" t="s">
        <v>114</v>
      </c>
      <c r="G4689">
        <v>2.6</v>
      </c>
      <c r="H4689">
        <v>0</v>
      </c>
      <c r="I4689">
        <v>1.3</v>
      </c>
      <c r="J4689">
        <v>1.69</v>
      </c>
      <c r="K4689" t="str">
        <f>IFERROR(INDEX(Rosters!$C$2:$C$155,MATCH($B4689,Rosters!$B$2:$B$155,0)),"NA")</f>
        <v>NA</v>
      </c>
      <c r="L4689" t="str">
        <f t="shared" si="219"/>
        <v>NA13TE</v>
      </c>
      <c r="M4689">
        <f>COUNTIF(L$1:L4689,L4689)</f>
        <v>49</v>
      </c>
      <c r="N4689" t="str">
        <f t="shared" si="220"/>
        <v>NA13TE-49</v>
      </c>
      <c r="O4689">
        <f>COUNTIFS(F$1:F4689,F4689,A$1:A4689,A4689)</f>
        <v>63</v>
      </c>
      <c r="P4689" t="str">
        <f t="shared" si="221"/>
        <v>Lance Kendricks13</v>
      </c>
    </row>
    <row r="4690" spans="1:16" x14ac:dyDescent="0.25">
      <c r="A4690">
        <v>6</v>
      </c>
      <c r="B4690" t="s">
        <v>1556</v>
      </c>
      <c r="C4690">
        <f>-0.31-2.91</f>
        <v>-3.22</v>
      </c>
      <c r="D4690">
        <v>1.3</v>
      </c>
      <c r="E4690" t="s">
        <v>36</v>
      </c>
      <c r="F4690" t="s">
        <v>47</v>
      </c>
      <c r="G4690">
        <v>2.91</v>
      </c>
      <c r="H4690">
        <v>-0.31</v>
      </c>
      <c r="I4690">
        <v>1.61</v>
      </c>
      <c r="J4690">
        <v>2.5920999999999998</v>
      </c>
      <c r="K4690" t="str">
        <f>IFERROR(INDEX(Rosters!$C$2:$C$155,MATCH($B4690,Rosters!$B$2:$B$155,0)),"NA")</f>
        <v>NA</v>
      </c>
      <c r="L4690" t="str">
        <f t="shared" si="219"/>
        <v>NA6RB</v>
      </c>
      <c r="M4690">
        <f>COUNTIF(L$1:L4690,L4690)</f>
        <v>32</v>
      </c>
      <c r="N4690" t="str">
        <f t="shared" si="220"/>
        <v>NA6RB-32</v>
      </c>
      <c r="O4690">
        <f>COUNTIFS(F$1:F4690,F4690,A$1:A4690,A4690)</f>
        <v>74</v>
      </c>
      <c r="P4690" t="str">
        <f t="shared" si="221"/>
        <v>Marcus Murphy6</v>
      </c>
    </row>
    <row r="4691" spans="1:16" x14ac:dyDescent="0.25">
      <c r="A4691">
        <v>7</v>
      </c>
      <c r="B4691" t="s">
        <v>4223</v>
      </c>
      <c r="C4691">
        <f>-0.11-2.71</f>
        <v>-2.82</v>
      </c>
      <c r="D4691">
        <v>1.3</v>
      </c>
      <c r="E4691" t="s">
        <v>25</v>
      </c>
      <c r="F4691" t="s">
        <v>47</v>
      </c>
      <c r="G4691">
        <v>2.71</v>
      </c>
      <c r="H4691">
        <v>-0.11</v>
      </c>
      <c r="I4691">
        <v>1.41</v>
      </c>
      <c r="J4691">
        <v>1.9881</v>
      </c>
      <c r="K4691" t="str">
        <f>IFERROR(INDEX(Rosters!$C$2:$C$155,MATCH($B4691,Rosters!$B$2:$B$155,0)),"NA")</f>
        <v>NA</v>
      </c>
      <c r="L4691" t="str">
        <f t="shared" si="219"/>
        <v>NA7RB</v>
      </c>
      <c r="M4691">
        <f>COUNTIF(L$1:L4691,L4691)</f>
        <v>31</v>
      </c>
      <c r="N4691" t="str">
        <f t="shared" si="220"/>
        <v>NA7RB-31</v>
      </c>
      <c r="O4691">
        <f>COUNTIFS(F$1:F4691,F4691,A$1:A4691,A4691)</f>
        <v>72</v>
      </c>
      <c r="P4691" t="str">
        <f t="shared" si="221"/>
        <v>Trenton Cannon7</v>
      </c>
    </row>
    <row r="4692" spans="1:16" x14ac:dyDescent="0.25">
      <c r="A4692">
        <v>10</v>
      </c>
      <c r="B4692" t="s">
        <v>380</v>
      </c>
      <c r="C4692">
        <f>-0.27-2.85</f>
        <v>-3.12</v>
      </c>
      <c r="D4692">
        <v>1.29</v>
      </c>
      <c r="E4692" t="s">
        <v>37</v>
      </c>
      <c r="F4692" t="s">
        <v>114</v>
      </c>
      <c r="G4692">
        <v>2.85</v>
      </c>
      <c r="H4692">
        <v>-0.27</v>
      </c>
      <c r="I4692">
        <v>1.56</v>
      </c>
      <c r="J4692">
        <v>2.4336000000000002</v>
      </c>
      <c r="K4692" t="str">
        <f>IFERROR(INDEX(Rosters!$C$2:$C$155,MATCH($B4692,Rosters!$B$2:$B$155,0)),"NA")</f>
        <v>NA</v>
      </c>
      <c r="L4692" t="str">
        <f t="shared" si="219"/>
        <v>NA10TE</v>
      </c>
      <c r="M4692">
        <f>COUNTIF(L$1:L4692,L4692)</f>
        <v>44</v>
      </c>
      <c r="N4692" t="str">
        <f t="shared" si="220"/>
        <v>NA10TE-44</v>
      </c>
      <c r="O4692">
        <f>COUNTIFS(F$1:F4692,F4692,A$1:A4692,A4692)</f>
        <v>57</v>
      </c>
      <c r="P4692" t="str">
        <f t="shared" si="221"/>
        <v>Derek Carrier10</v>
      </c>
    </row>
    <row r="4693" spans="1:16" x14ac:dyDescent="0.25">
      <c r="A4693">
        <v>14</v>
      </c>
      <c r="B4693" t="s">
        <v>1469</v>
      </c>
      <c r="C4693">
        <f>-0.07-2.65</f>
        <v>-2.7199999999999998</v>
      </c>
      <c r="D4693">
        <v>1.29</v>
      </c>
      <c r="E4693" t="s">
        <v>72</v>
      </c>
      <c r="F4693" t="s">
        <v>114</v>
      </c>
      <c r="G4693">
        <v>2.65</v>
      </c>
      <c r="H4693">
        <v>-7.0000000000000007E-2</v>
      </c>
      <c r="I4693">
        <v>1.36</v>
      </c>
      <c r="J4693">
        <v>1.8495999999999999</v>
      </c>
      <c r="K4693" t="str">
        <f>IFERROR(INDEX(Rosters!$C$2:$C$155,MATCH($B4693,Rosters!$B$2:$B$155,0)),"NA")</f>
        <v>NA</v>
      </c>
      <c r="L4693" t="str">
        <f t="shared" si="219"/>
        <v>NA14TE</v>
      </c>
      <c r="M4693">
        <f>COUNTIF(L$1:L4693,L4693)</f>
        <v>53</v>
      </c>
      <c r="N4693" t="str">
        <f t="shared" si="220"/>
        <v>NA14TE-53</v>
      </c>
      <c r="O4693">
        <f>COUNTIFS(F$1:F4693,F4693,A$1:A4693,A4693)</f>
        <v>67</v>
      </c>
      <c r="P4693" t="str">
        <f t="shared" si="221"/>
        <v>Gerald Everett14</v>
      </c>
    </row>
    <row r="4694" spans="1:16" x14ac:dyDescent="0.25">
      <c r="A4694">
        <v>13</v>
      </c>
      <c r="B4694" t="s">
        <v>327</v>
      </c>
      <c r="C4694">
        <f>-0.53-3.11</f>
        <v>-3.6399999999999997</v>
      </c>
      <c r="D4694">
        <v>1.29</v>
      </c>
      <c r="E4694" t="s">
        <v>37</v>
      </c>
      <c r="F4694" t="s">
        <v>87</v>
      </c>
      <c r="G4694">
        <v>3.11</v>
      </c>
      <c r="H4694">
        <v>-0.53</v>
      </c>
      <c r="I4694">
        <v>1.82</v>
      </c>
      <c r="J4694">
        <v>3.3123999999999998</v>
      </c>
      <c r="K4694" t="str">
        <f>IFERROR(INDEX(Rosters!$C$2:$C$155,MATCH($B4694,Rosters!$B$2:$B$155,0)),"NA")</f>
        <v>NA</v>
      </c>
      <c r="L4694" t="str">
        <f t="shared" si="219"/>
        <v>NA13WR</v>
      </c>
      <c r="M4694">
        <f>COUNTIF(L$1:L4694,L4694)</f>
        <v>65</v>
      </c>
      <c r="N4694" t="str">
        <f t="shared" si="220"/>
        <v>NA13WR-65</v>
      </c>
      <c r="O4694">
        <f>COUNTIFS(F$1:F4694,F4694,A$1:A4694,A4694)</f>
        <v>119</v>
      </c>
      <c r="P4694" t="str">
        <f t="shared" si="221"/>
        <v>Justin Hunter13</v>
      </c>
    </row>
    <row r="4695" spans="1:16" x14ac:dyDescent="0.25">
      <c r="A4695">
        <v>9</v>
      </c>
      <c r="B4695" t="s">
        <v>1458</v>
      </c>
      <c r="C4695" t="s">
        <v>8632</v>
      </c>
      <c r="D4695">
        <v>1.29</v>
      </c>
      <c r="E4695" t="s">
        <v>73</v>
      </c>
      <c r="F4695" t="s">
        <v>47</v>
      </c>
      <c r="G4695">
        <v>2.4900000000000002</v>
      </c>
      <c r="H4695">
        <v>0.09</v>
      </c>
      <c r="I4695">
        <v>1.2</v>
      </c>
      <c r="J4695">
        <v>1.44</v>
      </c>
      <c r="K4695" t="str">
        <f>IFERROR(INDEX(Rosters!$C$2:$C$155,MATCH($B4695,Rosters!$B$2:$B$155,0)),"NA")</f>
        <v>NA</v>
      </c>
      <c r="L4695" t="str">
        <f t="shared" si="219"/>
        <v>NA9RB</v>
      </c>
      <c r="M4695">
        <f>COUNTIF(L$1:L4695,L4695)</f>
        <v>30</v>
      </c>
      <c r="N4695" t="str">
        <f t="shared" si="220"/>
        <v>NA9RB-30</v>
      </c>
      <c r="O4695">
        <f>COUNTIFS(F$1:F4695,F4695,A$1:A4695,A4695)</f>
        <v>70</v>
      </c>
      <c r="P4695" t="str">
        <f t="shared" si="221"/>
        <v>Kalen Ballage9</v>
      </c>
    </row>
    <row r="4696" spans="1:16" x14ac:dyDescent="0.25">
      <c r="A4696">
        <v>14</v>
      </c>
      <c r="B4696" t="s">
        <v>339</v>
      </c>
      <c r="C4696" t="s">
        <v>8633</v>
      </c>
      <c r="D4696">
        <v>1.29</v>
      </c>
      <c r="E4696" t="s">
        <v>42</v>
      </c>
      <c r="F4696" t="s">
        <v>47</v>
      </c>
      <c r="G4696">
        <v>2.4500000000000002</v>
      </c>
      <c r="H4696">
        <v>0.13</v>
      </c>
      <c r="I4696">
        <v>1.1599999999999999</v>
      </c>
      <c r="J4696">
        <v>1.3455999999999999</v>
      </c>
      <c r="K4696" t="str">
        <f>IFERROR(INDEX(Rosters!$C$2:$C$155,MATCH($B4696,Rosters!$B$2:$B$155,0)),"NA")</f>
        <v>NA</v>
      </c>
      <c r="L4696" t="str">
        <f t="shared" si="219"/>
        <v>NA14RB</v>
      </c>
      <c r="M4696">
        <f>COUNTIF(L$1:L4696,L4696)</f>
        <v>39</v>
      </c>
      <c r="N4696" t="str">
        <f t="shared" si="220"/>
        <v>NA14RB-39</v>
      </c>
      <c r="O4696">
        <f>COUNTIFS(F$1:F4696,F4696,A$1:A4696,A4696)</f>
        <v>86</v>
      </c>
      <c r="P4696" t="str">
        <f t="shared" si="221"/>
        <v>Kyle Juszczyk14</v>
      </c>
    </row>
    <row r="4697" spans="1:16" x14ac:dyDescent="0.25">
      <c r="A4697">
        <v>16</v>
      </c>
      <c r="B4697" t="s">
        <v>270</v>
      </c>
      <c r="C4697">
        <f>-0.27-2.85</f>
        <v>-3.12</v>
      </c>
      <c r="D4697">
        <v>1.29</v>
      </c>
      <c r="E4697" t="s">
        <v>37</v>
      </c>
      <c r="F4697" t="s">
        <v>114</v>
      </c>
      <c r="G4697">
        <v>2.85</v>
      </c>
      <c r="H4697">
        <v>-0.27</v>
      </c>
      <c r="I4697">
        <v>1.56</v>
      </c>
      <c r="J4697">
        <v>2.4336000000000002</v>
      </c>
      <c r="K4697" t="str">
        <f>IFERROR(INDEX(Rosters!$C$2:$C$155,MATCH($B4697,Rosters!$B$2:$B$155,0)),"NA")</f>
        <v>NA</v>
      </c>
      <c r="L4697" t="str">
        <f t="shared" si="219"/>
        <v>NA16TE</v>
      </c>
      <c r="M4697">
        <f>COUNTIF(L$1:L4697,L4697)</f>
        <v>53</v>
      </c>
      <c r="N4697" t="str">
        <f t="shared" si="220"/>
        <v>NA16TE-53</v>
      </c>
      <c r="O4697">
        <f>COUNTIFS(F$1:F4697,F4697,A$1:A4697,A4697)</f>
        <v>67</v>
      </c>
      <c r="P4697" t="str">
        <f t="shared" si="221"/>
        <v>Maxx Williams16</v>
      </c>
    </row>
    <row r="4698" spans="1:16" x14ac:dyDescent="0.25">
      <c r="A4698">
        <v>6</v>
      </c>
      <c r="B4698" t="s">
        <v>314</v>
      </c>
      <c r="C4698" t="s">
        <v>8634</v>
      </c>
      <c r="D4698">
        <v>1.29</v>
      </c>
      <c r="E4698" t="s">
        <v>46</v>
      </c>
      <c r="F4698" t="s">
        <v>15</v>
      </c>
      <c r="G4698">
        <v>1.87</v>
      </c>
      <c r="H4698">
        <v>0.71</v>
      </c>
      <c r="I4698">
        <v>0.57999999999999996</v>
      </c>
      <c r="J4698">
        <v>0.33639999999999998</v>
      </c>
      <c r="K4698" t="str">
        <f>IFERROR(INDEX(Rosters!$C$2:$C$155,MATCH($B4698,Rosters!$B$2:$B$155,0)),"NA")</f>
        <v>NA</v>
      </c>
      <c r="L4698" t="str">
        <f t="shared" si="219"/>
        <v>NA6QB</v>
      </c>
      <c r="M4698">
        <f>COUNTIF(L$1:L4698,L4698)</f>
        <v>17</v>
      </c>
      <c r="N4698" t="str">
        <f t="shared" si="220"/>
        <v>NA6QB-17</v>
      </c>
      <c r="O4698">
        <f>COUNTIFS(F$1:F4698,F4698,A$1:A4698,A4698)</f>
        <v>32</v>
      </c>
      <c r="P4698" t="str">
        <f t="shared" si="221"/>
        <v>Ryan Fitzpatrick6</v>
      </c>
    </row>
    <row r="4699" spans="1:16" x14ac:dyDescent="0.25">
      <c r="A4699">
        <v>15</v>
      </c>
      <c r="B4699" t="s">
        <v>283</v>
      </c>
      <c r="C4699">
        <f>-0.89-3.45</f>
        <v>-4.34</v>
      </c>
      <c r="D4699">
        <v>1.28</v>
      </c>
      <c r="E4699" t="s">
        <v>51</v>
      </c>
      <c r="F4699" t="s">
        <v>87</v>
      </c>
      <c r="G4699">
        <v>3.45</v>
      </c>
      <c r="H4699">
        <v>-0.89</v>
      </c>
      <c r="I4699">
        <v>2.17</v>
      </c>
      <c r="J4699">
        <v>4.7088999999999999</v>
      </c>
      <c r="K4699" t="str">
        <f>IFERROR(INDEX(Rosters!$C$2:$C$155,MATCH($B4699,Rosters!$B$2:$B$155,0)),"NA")</f>
        <v>NA</v>
      </c>
      <c r="L4699" t="str">
        <f t="shared" si="219"/>
        <v>NA15WR</v>
      </c>
      <c r="M4699">
        <f>COUNTIF(L$1:L4699,L4699)</f>
        <v>66</v>
      </c>
      <c r="N4699" t="str">
        <f t="shared" si="220"/>
        <v>NA15WR-66</v>
      </c>
      <c r="O4699">
        <f>COUNTIFS(F$1:F4699,F4699,A$1:A4699,A4699)</f>
        <v>120</v>
      </c>
      <c r="P4699" t="str">
        <f t="shared" si="221"/>
        <v>Cordarrelle Patterson15</v>
      </c>
    </row>
    <row r="4700" spans="1:16" x14ac:dyDescent="0.25">
      <c r="A4700">
        <v>9</v>
      </c>
      <c r="B4700" t="s">
        <v>144</v>
      </c>
      <c r="C4700">
        <f>-0.31-2.87</f>
        <v>-3.18</v>
      </c>
      <c r="D4700">
        <v>1.28</v>
      </c>
      <c r="E4700" t="s">
        <v>56</v>
      </c>
      <c r="F4700" t="s">
        <v>47</v>
      </c>
      <c r="G4700">
        <v>2.87</v>
      </c>
      <c r="H4700">
        <v>-0.31</v>
      </c>
      <c r="I4700">
        <v>1.59</v>
      </c>
      <c r="J4700">
        <v>2.5280999999999998</v>
      </c>
      <c r="K4700" t="str">
        <f>IFERROR(INDEX(Rosters!$C$2:$C$155,MATCH($B4700,Rosters!$B$2:$B$155,0)),"NA")</f>
        <v>NA</v>
      </c>
      <c r="L4700" t="str">
        <f t="shared" si="219"/>
        <v>NA9RB</v>
      </c>
      <c r="M4700">
        <f>COUNTIF(L$1:L4700,L4700)</f>
        <v>31</v>
      </c>
      <c r="N4700" t="str">
        <f t="shared" si="220"/>
        <v>NA9RB-31</v>
      </c>
      <c r="O4700">
        <f>COUNTIFS(F$1:F4700,F4700,A$1:A4700,A4700)</f>
        <v>71</v>
      </c>
      <c r="P4700" t="str">
        <f t="shared" si="221"/>
        <v>Mike Gillislee9</v>
      </c>
    </row>
    <row r="4701" spans="1:16" x14ac:dyDescent="0.25">
      <c r="A4701">
        <v>7</v>
      </c>
      <c r="B4701" t="s">
        <v>1130</v>
      </c>
      <c r="C4701">
        <f>-0.03-2.59</f>
        <v>-2.6199999999999997</v>
      </c>
      <c r="D4701">
        <v>1.28</v>
      </c>
      <c r="E4701" t="s">
        <v>25</v>
      </c>
      <c r="F4701" t="s">
        <v>114</v>
      </c>
      <c r="G4701">
        <v>2.59</v>
      </c>
      <c r="H4701">
        <v>-0.03</v>
      </c>
      <c r="I4701">
        <v>1.31</v>
      </c>
      <c r="J4701">
        <v>1.7161</v>
      </c>
      <c r="K4701" t="str">
        <f>IFERROR(INDEX(Rosters!$C$2:$C$155,MATCH($B4701,Rosters!$B$2:$B$155,0)),"NA")</f>
        <v>NA</v>
      </c>
      <c r="L4701" t="str">
        <f t="shared" si="219"/>
        <v>NA7TE</v>
      </c>
      <c r="M4701">
        <f>COUNTIF(L$1:L4701,L4701)</f>
        <v>47</v>
      </c>
      <c r="N4701" t="str">
        <f t="shared" si="220"/>
        <v>NA7TE-47</v>
      </c>
      <c r="O4701">
        <f>COUNTIFS(F$1:F4701,F4701,A$1:A4701,A4701)</f>
        <v>57</v>
      </c>
      <c r="P4701" t="str">
        <f t="shared" si="221"/>
        <v>Neal Sterling7</v>
      </c>
    </row>
    <row r="4702" spans="1:16" x14ac:dyDescent="0.25">
      <c r="A4702">
        <v>14</v>
      </c>
      <c r="B4702" t="s">
        <v>314</v>
      </c>
      <c r="C4702" t="s">
        <v>8635</v>
      </c>
      <c r="D4702">
        <v>1.28</v>
      </c>
      <c r="E4702" t="s">
        <v>14</v>
      </c>
      <c r="F4702" t="s">
        <v>15</v>
      </c>
      <c r="G4702">
        <v>1.88</v>
      </c>
      <c r="H4702">
        <v>0.68</v>
      </c>
      <c r="I4702">
        <v>0.6</v>
      </c>
      <c r="J4702">
        <v>0.36</v>
      </c>
      <c r="K4702" t="str">
        <f>IFERROR(INDEX(Rosters!$C$2:$C$155,MATCH($B4702,Rosters!$B$2:$B$155,0)),"NA")</f>
        <v>NA</v>
      </c>
      <c r="L4702" t="str">
        <f t="shared" si="219"/>
        <v>NA14QB</v>
      </c>
      <c r="M4702">
        <f>COUNTIF(L$1:L4702,L4702)</f>
        <v>18</v>
      </c>
      <c r="N4702" t="str">
        <f t="shared" si="220"/>
        <v>NA14QB-18</v>
      </c>
      <c r="O4702">
        <f>COUNTIFS(F$1:F4702,F4702,A$1:A4702,A4702)</f>
        <v>35</v>
      </c>
      <c r="P4702" t="str">
        <f t="shared" si="221"/>
        <v>Ryan Fitzpatrick14</v>
      </c>
    </row>
    <row r="4703" spans="1:16" x14ac:dyDescent="0.25">
      <c r="A4703">
        <v>15</v>
      </c>
      <c r="B4703" t="s">
        <v>336</v>
      </c>
      <c r="C4703">
        <f>-0.18-2.72</f>
        <v>-2.9000000000000004</v>
      </c>
      <c r="D4703">
        <v>1.27</v>
      </c>
      <c r="E4703" t="s">
        <v>52</v>
      </c>
      <c r="F4703" t="s">
        <v>47</v>
      </c>
      <c r="G4703">
        <v>2.72</v>
      </c>
      <c r="H4703">
        <v>-0.18</v>
      </c>
      <c r="I4703">
        <v>1.45</v>
      </c>
      <c r="J4703">
        <v>2.1025</v>
      </c>
      <c r="K4703" t="str">
        <f>IFERROR(INDEX(Rosters!$C$2:$C$155,MATCH($B4703,Rosters!$B$2:$B$155,0)),"NA")</f>
        <v>NA</v>
      </c>
      <c r="L4703" t="str">
        <f t="shared" si="219"/>
        <v>NA15RB</v>
      </c>
      <c r="M4703">
        <f>COUNTIF(L$1:L4703,L4703)</f>
        <v>36</v>
      </c>
      <c r="N4703" t="str">
        <f t="shared" si="220"/>
        <v>NA15RB-36</v>
      </c>
      <c r="O4703">
        <f>COUNTIFS(F$1:F4703,F4703,A$1:A4703,A4703)</f>
        <v>83</v>
      </c>
      <c r="P4703" t="str">
        <f t="shared" si="221"/>
        <v>Andy Janovich15</v>
      </c>
    </row>
    <row r="4704" spans="1:16" x14ac:dyDescent="0.25">
      <c r="A4704">
        <v>14</v>
      </c>
      <c r="B4704" t="s">
        <v>4210</v>
      </c>
      <c r="C4704" t="s">
        <v>8636</v>
      </c>
      <c r="D4704">
        <v>1.27</v>
      </c>
      <c r="E4704" t="s">
        <v>17</v>
      </c>
      <c r="F4704" t="s">
        <v>87</v>
      </c>
      <c r="G4704">
        <v>2.35</v>
      </c>
      <c r="H4704">
        <v>0.19</v>
      </c>
      <c r="I4704">
        <v>1.08</v>
      </c>
      <c r="J4704">
        <v>1.1664000000000001</v>
      </c>
      <c r="K4704" t="str">
        <f>IFERROR(INDEX(Rosters!$C$2:$C$155,MATCH($B4704,Rosters!$B$2:$B$155,0)),"NA")</f>
        <v>NA</v>
      </c>
      <c r="L4704" t="str">
        <f t="shared" si="219"/>
        <v>NA14WR</v>
      </c>
      <c r="M4704">
        <f>COUNTIF(L$1:L4704,L4704)</f>
        <v>66</v>
      </c>
      <c r="N4704" t="str">
        <f t="shared" si="220"/>
        <v>NA14WR-66</v>
      </c>
      <c r="O4704">
        <f>COUNTIFS(F$1:F4704,F4704,A$1:A4704,A4704)</f>
        <v>120</v>
      </c>
      <c r="P4704" t="str">
        <f t="shared" si="221"/>
        <v>Austin Carr14</v>
      </c>
    </row>
    <row r="4705" spans="1:16" x14ac:dyDescent="0.25">
      <c r="A4705">
        <v>2</v>
      </c>
      <c r="B4705" t="s">
        <v>318</v>
      </c>
      <c r="C4705" t="s">
        <v>1522</v>
      </c>
      <c r="D4705">
        <v>1.27</v>
      </c>
      <c r="E4705" t="s">
        <v>41</v>
      </c>
      <c r="F4705" t="s">
        <v>114</v>
      </c>
      <c r="G4705">
        <v>2.52</v>
      </c>
      <c r="H4705">
        <v>0.02</v>
      </c>
      <c r="I4705">
        <v>1.25</v>
      </c>
      <c r="J4705">
        <v>1.5625</v>
      </c>
      <c r="K4705" t="str">
        <f>IFERROR(INDEX(Rosters!$C$2:$C$155,MATCH($B4705,Rosters!$B$2:$B$155,0)),"NA")</f>
        <v>NA</v>
      </c>
      <c r="L4705" t="str">
        <f t="shared" si="219"/>
        <v>NA2TE</v>
      </c>
      <c r="M4705">
        <f>COUNTIF(L$1:L4705,L4705)</f>
        <v>41</v>
      </c>
      <c r="N4705" t="str">
        <f t="shared" si="220"/>
        <v>NA2TE-41</v>
      </c>
      <c r="O4705">
        <f>COUNTIFS(F$1:F4705,F4705,A$1:A4705,A4705)</f>
        <v>54</v>
      </c>
      <c r="P4705" t="str">
        <f t="shared" si="221"/>
        <v>David Morgan2</v>
      </c>
    </row>
    <row r="4706" spans="1:16" x14ac:dyDescent="0.25">
      <c r="A4706">
        <v>11</v>
      </c>
      <c r="B4706" t="s">
        <v>380</v>
      </c>
      <c r="C4706">
        <f>-0.19-2.73</f>
        <v>-2.92</v>
      </c>
      <c r="D4706">
        <v>1.27</v>
      </c>
      <c r="E4706" t="s">
        <v>58</v>
      </c>
      <c r="F4706" t="s">
        <v>114</v>
      </c>
      <c r="G4706">
        <v>2.73</v>
      </c>
      <c r="H4706">
        <v>-0.19</v>
      </c>
      <c r="I4706">
        <v>1.46</v>
      </c>
      <c r="J4706">
        <v>2.1316000000000002</v>
      </c>
      <c r="K4706" t="str">
        <f>IFERROR(INDEX(Rosters!$C$2:$C$155,MATCH($B4706,Rosters!$B$2:$B$155,0)),"NA")</f>
        <v>NA</v>
      </c>
      <c r="L4706" t="str">
        <f t="shared" si="219"/>
        <v>NA11TE</v>
      </c>
      <c r="M4706">
        <f>COUNTIF(L$1:L4706,L4706)</f>
        <v>42</v>
      </c>
      <c r="N4706" t="str">
        <f t="shared" si="220"/>
        <v>NA11TE-42</v>
      </c>
      <c r="O4706">
        <f>COUNTIFS(F$1:F4706,F4706,A$1:A4706,A4706)</f>
        <v>54</v>
      </c>
      <c r="P4706" t="str">
        <f t="shared" si="221"/>
        <v>Derek Carrier11</v>
      </c>
    </row>
    <row r="4707" spans="1:16" x14ac:dyDescent="0.25">
      <c r="A4707">
        <v>16</v>
      </c>
      <c r="B4707" t="s">
        <v>339</v>
      </c>
      <c r="C4707">
        <f>-0.04-2.58</f>
        <v>-2.62</v>
      </c>
      <c r="D4707">
        <v>1.27</v>
      </c>
      <c r="E4707" t="s">
        <v>72</v>
      </c>
      <c r="F4707" t="s">
        <v>47</v>
      </c>
      <c r="G4707">
        <v>2.58</v>
      </c>
      <c r="H4707">
        <v>-0.04</v>
      </c>
      <c r="I4707">
        <v>1.31</v>
      </c>
      <c r="J4707">
        <v>1.7161</v>
      </c>
      <c r="K4707" t="str">
        <f>IFERROR(INDEX(Rosters!$C$2:$C$155,MATCH($B4707,Rosters!$B$2:$B$155,0)),"NA")</f>
        <v>NA</v>
      </c>
      <c r="L4707" t="str">
        <f t="shared" si="219"/>
        <v>NA16RB</v>
      </c>
      <c r="M4707">
        <f>COUNTIF(L$1:L4707,L4707)</f>
        <v>39</v>
      </c>
      <c r="N4707" t="str">
        <f t="shared" si="220"/>
        <v>NA16RB-39</v>
      </c>
      <c r="O4707">
        <f>COUNTIFS(F$1:F4707,F4707,A$1:A4707,A4707)</f>
        <v>86</v>
      </c>
      <c r="P4707" t="str">
        <f t="shared" si="221"/>
        <v>Kyle Juszczyk16</v>
      </c>
    </row>
    <row r="4708" spans="1:16" x14ac:dyDescent="0.25">
      <c r="A4708">
        <v>13</v>
      </c>
      <c r="B4708" t="s">
        <v>1130</v>
      </c>
      <c r="C4708" t="s">
        <v>8637</v>
      </c>
      <c r="D4708">
        <v>1.27</v>
      </c>
      <c r="E4708" t="s">
        <v>38</v>
      </c>
      <c r="F4708" t="s">
        <v>114</v>
      </c>
      <c r="G4708">
        <v>2.5</v>
      </c>
      <c r="H4708">
        <v>0.04</v>
      </c>
      <c r="I4708">
        <v>1.23</v>
      </c>
      <c r="J4708">
        <v>1.5128999999999999</v>
      </c>
      <c r="K4708" t="str">
        <f>IFERROR(INDEX(Rosters!$C$2:$C$155,MATCH($B4708,Rosters!$B$2:$B$155,0)),"NA")</f>
        <v>NA</v>
      </c>
      <c r="L4708" t="str">
        <f t="shared" si="219"/>
        <v>NA13TE</v>
      </c>
      <c r="M4708">
        <f>COUNTIF(L$1:L4708,L4708)</f>
        <v>50</v>
      </c>
      <c r="N4708" t="str">
        <f t="shared" si="220"/>
        <v>NA13TE-50</v>
      </c>
      <c r="O4708">
        <f>COUNTIFS(F$1:F4708,F4708,A$1:A4708,A4708)</f>
        <v>64</v>
      </c>
      <c r="P4708" t="str">
        <f t="shared" si="221"/>
        <v>Neal Sterling13</v>
      </c>
    </row>
    <row r="4709" spans="1:16" x14ac:dyDescent="0.25">
      <c r="A4709">
        <v>13</v>
      </c>
      <c r="B4709" t="s">
        <v>1581</v>
      </c>
      <c r="C4709">
        <f>-0.4-2.94</f>
        <v>-3.34</v>
      </c>
      <c r="D4709">
        <v>1.27</v>
      </c>
      <c r="E4709" t="s">
        <v>37</v>
      </c>
      <c r="F4709" t="s">
        <v>47</v>
      </c>
      <c r="G4709">
        <v>2.94</v>
      </c>
      <c r="H4709">
        <v>-0.4</v>
      </c>
      <c r="I4709">
        <v>1.67</v>
      </c>
      <c r="J4709">
        <v>2.7888999999999999</v>
      </c>
      <c r="K4709" t="str">
        <f>IFERROR(INDEX(Rosters!$C$2:$C$155,MATCH($B4709,Rosters!$B$2:$B$155,0)),"NA")</f>
        <v>NA</v>
      </c>
      <c r="L4709" t="str">
        <f t="shared" si="219"/>
        <v>NA13RB</v>
      </c>
      <c r="M4709">
        <f>COUNTIF(L$1:L4709,L4709)</f>
        <v>39</v>
      </c>
      <c r="N4709" t="str">
        <f t="shared" si="220"/>
        <v>NA13RB-39</v>
      </c>
      <c r="O4709">
        <f>COUNTIFS(F$1:F4709,F4709,A$1:A4709,A4709)</f>
        <v>86</v>
      </c>
      <c r="P4709" t="str">
        <f t="shared" si="221"/>
        <v>Stevan Ridley13</v>
      </c>
    </row>
    <row r="4710" spans="1:16" x14ac:dyDescent="0.25">
      <c r="A4710">
        <v>17</v>
      </c>
      <c r="B4710" t="s">
        <v>1581</v>
      </c>
      <c r="C4710" t="s">
        <v>8638</v>
      </c>
      <c r="D4710">
        <v>1.27</v>
      </c>
      <c r="E4710" t="s">
        <v>31</v>
      </c>
      <c r="F4710" t="s">
        <v>47</v>
      </c>
      <c r="G4710">
        <v>2.46</v>
      </c>
      <c r="H4710">
        <v>0.08</v>
      </c>
      <c r="I4710">
        <v>1.19</v>
      </c>
      <c r="J4710">
        <v>1.4160999999999999</v>
      </c>
      <c r="K4710" t="str">
        <f>IFERROR(INDEX(Rosters!$C$2:$C$155,MATCH($B4710,Rosters!$B$2:$B$155,0)),"NA")</f>
        <v>NA</v>
      </c>
      <c r="L4710" t="str">
        <f t="shared" si="219"/>
        <v>NA17RB</v>
      </c>
      <c r="M4710">
        <f>COUNTIF(L$1:L4710,L4710)</f>
        <v>37</v>
      </c>
      <c r="N4710" t="str">
        <f t="shared" si="220"/>
        <v>NA17RB-37</v>
      </c>
      <c r="O4710">
        <f>COUNTIFS(F$1:F4710,F4710,A$1:A4710,A4710)</f>
        <v>84</v>
      </c>
      <c r="P4710" t="str">
        <f t="shared" si="221"/>
        <v>Stevan Ridley17</v>
      </c>
    </row>
    <row r="4711" spans="1:16" x14ac:dyDescent="0.25">
      <c r="A4711">
        <v>5</v>
      </c>
      <c r="B4711" t="s">
        <v>346</v>
      </c>
      <c r="C4711">
        <f>-0.13-2.65</f>
        <v>-2.78</v>
      </c>
      <c r="D4711">
        <v>1.26</v>
      </c>
      <c r="E4711" t="s">
        <v>19</v>
      </c>
      <c r="F4711" t="s">
        <v>87</v>
      </c>
      <c r="G4711">
        <v>2.65</v>
      </c>
      <c r="H4711">
        <v>-0.13</v>
      </c>
      <c r="I4711">
        <v>1.39</v>
      </c>
      <c r="J4711">
        <v>1.9320999999999999</v>
      </c>
      <c r="K4711" t="str">
        <f>IFERROR(INDEX(Rosters!$C$2:$C$155,MATCH($B4711,Rosters!$B$2:$B$155,0)),"NA")</f>
        <v>NA</v>
      </c>
      <c r="L4711" t="str">
        <f t="shared" si="219"/>
        <v>NA5WR</v>
      </c>
      <c r="M4711">
        <f>COUNTIF(L$1:L4711,L4711)</f>
        <v>66</v>
      </c>
      <c r="N4711" t="str">
        <f t="shared" si="220"/>
        <v>NA5WR-66</v>
      </c>
      <c r="O4711">
        <f>COUNTIFS(F$1:F4711,F4711,A$1:A4711,A4711)</f>
        <v>116</v>
      </c>
      <c r="P4711" t="str">
        <f t="shared" si="221"/>
        <v>Alex Erickson5</v>
      </c>
    </row>
    <row r="4712" spans="1:16" x14ac:dyDescent="0.25">
      <c r="A4712">
        <v>13</v>
      </c>
      <c r="B4712" t="s">
        <v>4210</v>
      </c>
      <c r="C4712" t="s">
        <v>8639</v>
      </c>
      <c r="D4712">
        <v>1.26</v>
      </c>
      <c r="E4712" t="s">
        <v>22</v>
      </c>
      <c r="F4712" t="s">
        <v>87</v>
      </c>
      <c r="G4712">
        <v>2.41</v>
      </c>
      <c r="H4712">
        <v>0.11</v>
      </c>
      <c r="I4712">
        <v>1.1499999999999999</v>
      </c>
      <c r="J4712">
        <v>1.3225</v>
      </c>
      <c r="K4712" t="str">
        <f>IFERROR(INDEX(Rosters!$C$2:$C$155,MATCH($B4712,Rosters!$B$2:$B$155,0)),"NA")</f>
        <v>NA</v>
      </c>
      <c r="L4712" t="str">
        <f t="shared" si="219"/>
        <v>NA13WR</v>
      </c>
      <c r="M4712">
        <f>COUNTIF(L$1:L4712,L4712)</f>
        <v>66</v>
      </c>
      <c r="N4712" t="str">
        <f t="shared" si="220"/>
        <v>NA13WR-66</v>
      </c>
      <c r="O4712">
        <f>COUNTIFS(F$1:F4712,F4712,A$1:A4712,A4712)</f>
        <v>120</v>
      </c>
      <c r="P4712" t="str">
        <f t="shared" si="221"/>
        <v>Austin Carr13</v>
      </c>
    </row>
    <row r="4713" spans="1:16" x14ac:dyDescent="0.25">
      <c r="A4713">
        <v>10</v>
      </c>
      <c r="B4713" t="s">
        <v>1524</v>
      </c>
      <c r="C4713">
        <f>-0.11-2.63</f>
        <v>-2.7399999999999998</v>
      </c>
      <c r="D4713">
        <v>1.26</v>
      </c>
      <c r="E4713" t="s">
        <v>423</v>
      </c>
      <c r="F4713" t="s">
        <v>47</v>
      </c>
      <c r="G4713">
        <v>2.63</v>
      </c>
      <c r="H4713">
        <v>-0.11</v>
      </c>
      <c r="I4713">
        <v>1.37</v>
      </c>
      <c r="J4713">
        <v>1.8769</v>
      </c>
      <c r="K4713" t="str">
        <f>IFERROR(INDEX(Rosters!$C$2:$C$155,MATCH($B4713,Rosters!$B$2:$B$155,0)),"NA")</f>
        <v>NA</v>
      </c>
      <c r="L4713" t="str">
        <f t="shared" si="219"/>
        <v>NA10RB</v>
      </c>
      <c r="M4713">
        <f>COUNTIF(L$1:L4713,L4713)</f>
        <v>34</v>
      </c>
      <c r="N4713" t="str">
        <f t="shared" si="220"/>
        <v>NA10RB-34</v>
      </c>
      <c r="O4713">
        <f>COUNTIFS(F$1:F4713,F4713,A$1:A4713,A4713)</f>
        <v>73</v>
      </c>
      <c r="P4713" t="str">
        <f t="shared" si="221"/>
        <v>David Fluellen10</v>
      </c>
    </row>
    <row r="4714" spans="1:16" x14ac:dyDescent="0.25">
      <c r="A4714">
        <v>1</v>
      </c>
      <c r="B4714" t="s">
        <v>358</v>
      </c>
      <c r="C4714" t="s">
        <v>1523</v>
      </c>
      <c r="D4714">
        <v>1.26</v>
      </c>
      <c r="E4714" t="s">
        <v>54</v>
      </c>
      <c r="F4714" t="s">
        <v>114</v>
      </c>
      <c r="G4714">
        <v>2.5099999999999998</v>
      </c>
      <c r="H4714">
        <v>0.01</v>
      </c>
      <c r="I4714">
        <v>1.25</v>
      </c>
      <c r="J4714">
        <v>1.5625</v>
      </c>
      <c r="K4714" t="str">
        <f>IFERROR(INDEX(Rosters!$C$2:$C$155,MATCH($B4714,Rosters!$B$2:$B$155,0)),"NA")</f>
        <v>NA</v>
      </c>
      <c r="L4714" t="str">
        <f t="shared" si="219"/>
        <v>NA1TE</v>
      </c>
      <c r="M4714">
        <f>COUNTIF(L$1:L4714,L4714)</f>
        <v>38</v>
      </c>
      <c r="N4714" t="str">
        <f t="shared" si="220"/>
        <v>NA1TE-38</v>
      </c>
      <c r="O4714">
        <f>COUNTIFS(F$1:F4714,F4714,A$1:A4714,A4714)</f>
        <v>51</v>
      </c>
      <c r="P4714" t="str">
        <f t="shared" si="221"/>
        <v>James O'Shaughnessy1</v>
      </c>
    </row>
    <row r="4715" spans="1:16" x14ac:dyDescent="0.25">
      <c r="A4715">
        <v>5</v>
      </c>
      <c r="B4715" t="s">
        <v>8640</v>
      </c>
      <c r="C4715" t="s">
        <v>8641</v>
      </c>
      <c r="D4715">
        <v>1.26</v>
      </c>
      <c r="E4715" t="s">
        <v>74</v>
      </c>
      <c r="F4715" t="s">
        <v>87</v>
      </c>
      <c r="G4715">
        <v>2.46</v>
      </c>
      <c r="H4715">
        <v>0.06</v>
      </c>
      <c r="I4715">
        <v>1.2</v>
      </c>
      <c r="J4715">
        <v>1.44</v>
      </c>
      <c r="K4715" t="str">
        <f>IFERROR(INDEX(Rosters!$C$2:$C$155,MATCH($B4715,Rosters!$B$2:$B$155,0)),"NA")</f>
        <v>NA</v>
      </c>
      <c r="L4715" t="str">
        <f t="shared" si="219"/>
        <v>NA5WR</v>
      </c>
      <c r="M4715">
        <f>COUNTIF(L$1:L4715,L4715)</f>
        <v>67</v>
      </c>
      <c r="N4715" t="str">
        <f t="shared" si="220"/>
        <v>NA5WR-67</v>
      </c>
      <c r="O4715">
        <f>COUNTIFS(F$1:F4715,F4715,A$1:A4715,A4715)</f>
        <v>117</v>
      </c>
      <c r="P4715" t="str">
        <f t="shared" si="221"/>
        <v>Jawill Davis5</v>
      </c>
    </row>
    <row r="4716" spans="1:16" x14ac:dyDescent="0.25">
      <c r="A4716">
        <v>4</v>
      </c>
      <c r="B4716" t="s">
        <v>1593</v>
      </c>
      <c r="C4716">
        <f>-0.22-2.74</f>
        <v>-2.9600000000000004</v>
      </c>
      <c r="D4716">
        <v>1.26</v>
      </c>
      <c r="E4716" t="s">
        <v>25</v>
      </c>
      <c r="F4716" t="s">
        <v>87</v>
      </c>
      <c r="G4716">
        <v>2.74</v>
      </c>
      <c r="H4716">
        <v>-0.22</v>
      </c>
      <c r="I4716">
        <v>1.48</v>
      </c>
      <c r="J4716">
        <v>2.1903999999999999</v>
      </c>
      <c r="K4716" t="str">
        <f>IFERROR(INDEX(Rosters!$C$2:$C$155,MATCH($B4716,Rosters!$B$2:$B$155,0)),"NA")</f>
        <v>NA</v>
      </c>
      <c r="L4716" t="str">
        <f t="shared" si="219"/>
        <v>NA4WR</v>
      </c>
      <c r="M4716">
        <f>COUNTIF(L$1:L4716,L4716)</f>
        <v>52</v>
      </c>
      <c r="N4716" t="str">
        <f t="shared" si="220"/>
        <v>NA4WR-52</v>
      </c>
      <c r="O4716">
        <f>COUNTIFS(F$1:F4716,F4716,A$1:A4716,A4716)</f>
        <v>102</v>
      </c>
      <c r="P4716" t="str">
        <f t="shared" si="221"/>
        <v>Josh Reynolds4</v>
      </c>
    </row>
    <row r="4717" spans="1:16" x14ac:dyDescent="0.25">
      <c r="A4717">
        <v>10</v>
      </c>
      <c r="B4717" t="s">
        <v>339</v>
      </c>
      <c r="C4717">
        <f>-0.07-2.59</f>
        <v>-2.6599999999999997</v>
      </c>
      <c r="D4717">
        <v>1.26</v>
      </c>
      <c r="E4717" t="s">
        <v>54</v>
      </c>
      <c r="F4717" t="s">
        <v>47</v>
      </c>
      <c r="G4717">
        <v>2.59</v>
      </c>
      <c r="H4717">
        <v>-7.0000000000000007E-2</v>
      </c>
      <c r="I4717">
        <v>1.33</v>
      </c>
      <c r="J4717">
        <v>1.7688999999999999</v>
      </c>
      <c r="K4717" t="str">
        <f>IFERROR(INDEX(Rosters!$C$2:$C$155,MATCH($B4717,Rosters!$B$2:$B$155,0)),"NA")</f>
        <v>NA</v>
      </c>
      <c r="L4717" t="str">
        <f t="shared" si="219"/>
        <v>NA10RB</v>
      </c>
      <c r="M4717">
        <f>COUNTIF(L$1:L4717,L4717)</f>
        <v>35</v>
      </c>
      <c r="N4717" t="str">
        <f t="shared" si="220"/>
        <v>NA10RB-35</v>
      </c>
      <c r="O4717">
        <f>COUNTIFS(F$1:F4717,F4717,A$1:A4717,A4717)</f>
        <v>74</v>
      </c>
      <c r="P4717" t="str">
        <f t="shared" si="221"/>
        <v>Kyle Juszczyk10</v>
      </c>
    </row>
    <row r="4718" spans="1:16" x14ac:dyDescent="0.25">
      <c r="A4718">
        <v>13</v>
      </c>
      <c r="B4718" t="s">
        <v>339</v>
      </c>
      <c r="C4718" t="s">
        <v>8642</v>
      </c>
      <c r="D4718">
        <v>1.26</v>
      </c>
      <c r="E4718" t="s">
        <v>28</v>
      </c>
      <c r="F4718" t="s">
        <v>47</v>
      </c>
      <c r="G4718">
        <v>2.44</v>
      </c>
      <c r="H4718">
        <v>0.08</v>
      </c>
      <c r="I4718">
        <v>1.18</v>
      </c>
      <c r="J4718">
        <v>1.3924000000000001</v>
      </c>
      <c r="K4718" t="str">
        <f>IFERROR(INDEX(Rosters!$C$2:$C$155,MATCH($B4718,Rosters!$B$2:$B$155,0)),"NA")</f>
        <v>NA</v>
      </c>
      <c r="L4718" t="str">
        <f t="shared" si="219"/>
        <v>NA13RB</v>
      </c>
      <c r="M4718">
        <f>COUNTIF(L$1:L4718,L4718)</f>
        <v>40</v>
      </c>
      <c r="N4718" t="str">
        <f t="shared" si="220"/>
        <v>NA13RB-40</v>
      </c>
      <c r="O4718">
        <f>COUNTIFS(F$1:F4718,F4718,A$1:A4718,A4718)</f>
        <v>87</v>
      </c>
      <c r="P4718" t="str">
        <f t="shared" si="221"/>
        <v>Kyle Juszczyk13</v>
      </c>
    </row>
    <row r="4719" spans="1:16" x14ac:dyDescent="0.25">
      <c r="A4719">
        <v>15</v>
      </c>
      <c r="B4719" t="s">
        <v>300</v>
      </c>
      <c r="C4719">
        <f>-0.04-2.56</f>
        <v>-2.6</v>
      </c>
      <c r="D4719">
        <v>1.26</v>
      </c>
      <c r="E4719" t="s">
        <v>72</v>
      </c>
      <c r="F4719" t="s">
        <v>114</v>
      </c>
      <c r="G4719">
        <v>2.56</v>
      </c>
      <c r="H4719">
        <v>-0.04</v>
      </c>
      <c r="I4719">
        <v>1.3</v>
      </c>
      <c r="J4719">
        <v>1.69</v>
      </c>
      <c r="K4719" t="str">
        <f>IFERROR(INDEX(Rosters!$C$2:$C$155,MATCH($B4719,Rosters!$B$2:$B$155,0)),"NA")</f>
        <v>NA</v>
      </c>
      <c r="L4719" t="str">
        <f t="shared" si="219"/>
        <v>NA15TE</v>
      </c>
      <c r="M4719">
        <f>COUNTIF(L$1:L4719,L4719)</f>
        <v>52</v>
      </c>
      <c r="N4719" t="str">
        <f t="shared" si="220"/>
        <v>NA15TE-52</v>
      </c>
      <c r="O4719">
        <f>COUNTIFS(F$1:F4719,F4719,A$1:A4719,A4719)</f>
        <v>66</v>
      </c>
      <c r="P4719" t="str">
        <f t="shared" si="221"/>
        <v>Lance Kendricks15</v>
      </c>
    </row>
    <row r="4720" spans="1:16" x14ac:dyDescent="0.25">
      <c r="A4720">
        <v>5</v>
      </c>
      <c r="B4720" t="s">
        <v>144</v>
      </c>
      <c r="C4720">
        <f>-0.27-2.79</f>
        <v>-3.06</v>
      </c>
      <c r="D4720">
        <v>1.26</v>
      </c>
      <c r="E4720" t="s">
        <v>60</v>
      </c>
      <c r="F4720" t="s">
        <v>47</v>
      </c>
      <c r="G4720">
        <v>2.79</v>
      </c>
      <c r="H4720">
        <v>-0.27</v>
      </c>
      <c r="I4720">
        <v>1.53</v>
      </c>
      <c r="J4720">
        <v>2.3409</v>
      </c>
      <c r="K4720" t="str">
        <f>IFERROR(INDEX(Rosters!$C$2:$C$155,MATCH($B4720,Rosters!$B$2:$B$155,0)),"NA")</f>
        <v>NA</v>
      </c>
      <c r="L4720" t="str">
        <f t="shared" si="219"/>
        <v>NA5RB</v>
      </c>
      <c r="M4720">
        <f>COUNTIF(L$1:L4720,L4720)</f>
        <v>33</v>
      </c>
      <c r="N4720" t="str">
        <f t="shared" si="220"/>
        <v>NA5RB-33</v>
      </c>
      <c r="O4720">
        <f>COUNTIFS(F$1:F4720,F4720,A$1:A4720,A4720)</f>
        <v>76</v>
      </c>
      <c r="P4720" t="str">
        <f t="shared" si="221"/>
        <v>Mike Gillislee5</v>
      </c>
    </row>
    <row r="4721" spans="1:16" x14ac:dyDescent="0.25">
      <c r="A4721">
        <v>11</v>
      </c>
      <c r="B4721" t="s">
        <v>84</v>
      </c>
      <c r="C4721" t="s">
        <v>8643</v>
      </c>
      <c r="D4721">
        <v>1.26</v>
      </c>
      <c r="E4721" t="s">
        <v>32</v>
      </c>
      <c r="F4721" t="s">
        <v>15</v>
      </c>
      <c r="G4721">
        <v>1.8</v>
      </c>
      <c r="H4721">
        <v>0.72</v>
      </c>
      <c r="I4721">
        <v>0.54</v>
      </c>
      <c r="J4721">
        <v>0.29160000000000003</v>
      </c>
      <c r="K4721" t="str">
        <f>IFERROR(INDEX(Rosters!$C$2:$C$155,MATCH($B4721,Rosters!$B$2:$B$155,0)),"NA")</f>
        <v>NA</v>
      </c>
      <c r="L4721" t="str">
        <f t="shared" si="219"/>
        <v>NA11QB</v>
      </c>
      <c r="M4721">
        <f>COUNTIF(L$1:L4721,L4721)</f>
        <v>14</v>
      </c>
      <c r="N4721" t="str">
        <f t="shared" si="220"/>
        <v>NA11QB-14</v>
      </c>
      <c r="O4721">
        <f>COUNTIFS(F$1:F4721,F4721,A$1:A4721,A4721)</f>
        <v>29</v>
      </c>
      <c r="P4721" t="str">
        <f t="shared" si="221"/>
        <v>Mike Glennon11</v>
      </c>
    </row>
    <row r="4722" spans="1:16" x14ac:dyDescent="0.25">
      <c r="A4722">
        <v>10</v>
      </c>
      <c r="B4722" t="s">
        <v>314</v>
      </c>
      <c r="C4722" t="s">
        <v>8644</v>
      </c>
      <c r="D4722">
        <v>1.26</v>
      </c>
      <c r="E4722" t="s">
        <v>60</v>
      </c>
      <c r="F4722" t="s">
        <v>15</v>
      </c>
      <c r="G4722">
        <v>2.0099999999999998</v>
      </c>
      <c r="H4722">
        <v>0.51</v>
      </c>
      <c r="I4722">
        <v>0.75</v>
      </c>
      <c r="J4722">
        <v>0.5625</v>
      </c>
      <c r="K4722" t="str">
        <f>IFERROR(INDEX(Rosters!$C$2:$C$155,MATCH($B4722,Rosters!$B$2:$B$155,0)),"NA")</f>
        <v>NA</v>
      </c>
      <c r="L4722" t="str">
        <f t="shared" si="219"/>
        <v>NA10QB</v>
      </c>
      <c r="M4722">
        <f>COUNTIF(L$1:L4722,L4722)</f>
        <v>14</v>
      </c>
      <c r="N4722" t="str">
        <f t="shared" si="220"/>
        <v>NA10QB-14</v>
      </c>
      <c r="O4722">
        <f>COUNTIFS(F$1:F4722,F4722,A$1:A4722,A4722)</f>
        <v>30</v>
      </c>
      <c r="P4722" t="str">
        <f t="shared" si="221"/>
        <v>Ryan Fitzpatrick10</v>
      </c>
    </row>
    <row r="4723" spans="1:16" x14ac:dyDescent="0.25">
      <c r="A4723">
        <v>4</v>
      </c>
      <c r="B4723" t="s">
        <v>1131</v>
      </c>
      <c r="C4723">
        <f>-0.39-2.91</f>
        <v>-3.3000000000000003</v>
      </c>
      <c r="D4723">
        <v>1.26</v>
      </c>
      <c r="E4723" t="s">
        <v>66</v>
      </c>
      <c r="F4723" t="s">
        <v>47</v>
      </c>
      <c r="G4723">
        <v>2.91</v>
      </c>
      <c r="H4723">
        <v>-0.39</v>
      </c>
      <c r="I4723">
        <v>1.65</v>
      </c>
      <c r="J4723">
        <v>2.7225000000000001</v>
      </c>
      <c r="K4723" t="str">
        <f>IFERROR(INDEX(Rosters!$C$2:$C$155,MATCH($B4723,Rosters!$B$2:$B$155,0)),"NA")</f>
        <v>NA</v>
      </c>
      <c r="L4723" t="str">
        <f t="shared" si="219"/>
        <v>NA4RB</v>
      </c>
      <c r="M4723">
        <f>COUNTIF(L$1:L4723,L4723)</f>
        <v>29</v>
      </c>
      <c r="N4723" t="str">
        <f t="shared" si="220"/>
        <v>NA4RB-29</v>
      </c>
      <c r="O4723">
        <f>COUNTIFS(F$1:F4723,F4723,A$1:A4723,A4723)</f>
        <v>68</v>
      </c>
      <c r="P4723" t="str">
        <f t="shared" si="221"/>
        <v>Tyler Ervin4</v>
      </c>
    </row>
    <row r="4724" spans="1:16" x14ac:dyDescent="0.25">
      <c r="A4724">
        <v>3</v>
      </c>
      <c r="B4724" t="s">
        <v>336</v>
      </c>
      <c r="C4724">
        <f>-0.13-2.63</f>
        <v>-2.76</v>
      </c>
      <c r="D4724">
        <v>1.25</v>
      </c>
      <c r="E4724" t="s">
        <v>77</v>
      </c>
      <c r="F4724" t="s">
        <v>47</v>
      </c>
      <c r="G4724">
        <v>2.63</v>
      </c>
      <c r="H4724">
        <v>-0.13</v>
      </c>
      <c r="I4724">
        <v>1.38</v>
      </c>
      <c r="J4724">
        <v>1.9044000000000001</v>
      </c>
      <c r="K4724" t="str">
        <f>IFERROR(INDEX(Rosters!$C$2:$C$155,MATCH($B4724,Rosters!$B$2:$B$155,0)),"NA")</f>
        <v>NA</v>
      </c>
      <c r="L4724" t="str">
        <f t="shared" si="219"/>
        <v>NA3RB</v>
      </c>
      <c r="M4724">
        <f>COUNTIF(L$1:L4724,L4724)</f>
        <v>37</v>
      </c>
      <c r="N4724" t="str">
        <f t="shared" si="220"/>
        <v>NA3RB-37</v>
      </c>
      <c r="O4724">
        <f>COUNTIFS(F$1:F4724,F4724,A$1:A4724,A4724)</f>
        <v>76</v>
      </c>
      <c r="P4724" t="str">
        <f t="shared" si="221"/>
        <v>Andy Janovich3</v>
      </c>
    </row>
    <row r="4725" spans="1:16" x14ac:dyDescent="0.25">
      <c r="A4725">
        <v>3</v>
      </c>
      <c r="B4725" t="s">
        <v>351</v>
      </c>
      <c r="C4725">
        <f>-0.27-2.77</f>
        <v>-3.04</v>
      </c>
      <c r="D4725">
        <v>1.25</v>
      </c>
      <c r="E4725" t="s">
        <v>31</v>
      </c>
      <c r="F4725" t="s">
        <v>47</v>
      </c>
      <c r="G4725">
        <v>2.77</v>
      </c>
      <c r="H4725">
        <v>-0.27</v>
      </c>
      <c r="I4725">
        <v>1.52</v>
      </c>
      <c r="J4725">
        <v>2.3104</v>
      </c>
      <c r="K4725" t="str">
        <f>IFERROR(INDEX(Rosters!$C$2:$C$155,MATCH($B4725,Rosters!$B$2:$B$155,0)),"NA")</f>
        <v>NA</v>
      </c>
      <c r="L4725" t="str">
        <f t="shared" si="219"/>
        <v>NA3RB</v>
      </c>
      <c r="M4725">
        <f>COUNTIF(L$1:L4725,L4725)</f>
        <v>38</v>
      </c>
      <c r="N4725" t="str">
        <f t="shared" si="220"/>
        <v>NA3RB-38</v>
      </c>
      <c r="O4725">
        <f>COUNTIFS(F$1:F4725,F4725,A$1:A4725,A4725)</f>
        <v>77</v>
      </c>
      <c r="P4725" t="str">
        <f t="shared" si="221"/>
        <v>Cameron Artis-Payne3</v>
      </c>
    </row>
    <row r="4726" spans="1:16" x14ac:dyDescent="0.25">
      <c r="A4726">
        <v>5</v>
      </c>
      <c r="B4726" t="s">
        <v>330</v>
      </c>
      <c r="C4726">
        <f>-0.33-2.83</f>
        <v>-3.16</v>
      </c>
      <c r="D4726">
        <v>1.25</v>
      </c>
      <c r="E4726" t="s">
        <v>54</v>
      </c>
      <c r="F4726" t="s">
        <v>114</v>
      </c>
      <c r="G4726">
        <v>2.83</v>
      </c>
      <c r="H4726">
        <v>-0.33</v>
      </c>
      <c r="I4726">
        <v>1.58</v>
      </c>
      <c r="J4726">
        <v>2.4964</v>
      </c>
      <c r="K4726" t="str">
        <f>IFERROR(INDEX(Rosters!$C$2:$C$155,MATCH($B4726,Rosters!$B$2:$B$155,0)),"NA")</f>
        <v>NA</v>
      </c>
      <c r="L4726" t="str">
        <f t="shared" si="219"/>
        <v>NA5TE</v>
      </c>
      <c r="M4726">
        <f>COUNTIF(L$1:L4726,L4726)</f>
        <v>49</v>
      </c>
      <c r="N4726" t="str">
        <f t="shared" si="220"/>
        <v>NA5TE-49</v>
      </c>
      <c r="O4726">
        <f>COUNTIFS(F$1:F4726,F4726,A$1:A4726,A4726)</f>
        <v>60</v>
      </c>
      <c r="P4726" t="str">
        <f t="shared" si="221"/>
        <v>Chris Manhertz5</v>
      </c>
    </row>
    <row r="4727" spans="1:16" x14ac:dyDescent="0.25">
      <c r="A4727">
        <v>13</v>
      </c>
      <c r="B4727" t="s">
        <v>318</v>
      </c>
      <c r="C4727">
        <f>-0.15-2.65</f>
        <v>-2.8</v>
      </c>
      <c r="D4727">
        <v>1.25</v>
      </c>
      <c r="E4727" t="s">
        <v>423</v>
      </c>
      <c r="F4727" t="s">
        <v>114</v>
      </c>
      <c r="G4727">
        <v>2.65</v>
      </c>
      <c r="H4727">
        <v>-0.15</v>
      </c>
      <c r="I4727">
        <v>1.4</v>
      </c>
      <c r="J4727">
        <v>1.96</v>
      </c>
      <c r="K4727" t="str">
        <f>IFERROR(INDEX(Rosters!$C$2:$C$155,MATCH($B4727,Rosters!$B$2:$B$155,0)),"NA")</f>
        <v>NA</v>
      </c>
      <c r="L4727" t="str">
        <f t="shared" si="219"/>
        <v>NA13TE</v>
      </c>
      <c r="M4727">
        <f>COUNTIF(L$1:L4727,L4727)</f>
        <v>51</v>
      </c>
      <c r="N4727" t="str">
        <f t="shared" si="220"/>
        <v>NA13TE-51</v>
      </c>
      <c r="O4727">
        <f>COUNTIFS(F$1:F4727,F4727,A$1:A4727,A4727)</f>
        <v>65</v>
      </c>
      <c r="P4727" t="str">
        <f t="shared" si="221"/>
        <v>David Morgan13</v>
      </c>
    </row>
    <row r="4728" spans="1:16" x14ac:dyDescent="0.25">
      <c r="A4728">
        <v>5</v>
      </c>
      <c r="B4728" t="s">
        <v>339</v>
      </c>
      <c r="C4728">
        <f>-0.04-2.54</f>
        <v>-2.58</v>
      </c>
      <c r="D4728">
        <v>1.25</v>
      </c>
      <c r="E4728" t="s">
        <v>58</v>
      </c>
      <c r="F4728" t="s">
        <v>47</v>
      </c>
      <c r="G4728">
        <v>2.54</v>
      </c>
      <c r="H4728">
        <v>-0.04</v>
      </c>
      <c r="I4728">
        <v>1.29</v>
      </c>
      <c r="J4728">
        <v>1.6640999999999999</v>
      </c>
      <c r="K4728" t="str">
        <f>IFERROR(INDEX(Rosters!$C$2:$C$155,MATCH($B4728,Rosters!$B$2:$B$155,0)),"NA")</f>
        <v>NA</v>
      </c>
      <c r="L4728" t="str">
        <f t="shared" si="219"/>
        <v>NA5RB</v>
      </c>
      <c r="M4728">
        <f>COUNTIF(L$1:L4728,L4728)</f>
        <v>34</v>
      </c>
      <c r="N4728" t="str">
        <f t="shared" si="220"/>
        <v>NA5RB-34</v>
      </c>
      <c r="O4728">
        <f>COUNTIFS(F$1:F4728,F4728,A$1:A4728,A4728)</f>
        <v>77</v>
      </c>
      <c r="P4728" t="str">
        <f t="shared" si="221"/>
        <v>Kyle Juszczyk5</v>
      </c>
    </row>
    <row r="4729" spans="1:16" x14ac:dyDescent="0.25">
      <c r="A4729">
        <v>5</v>
      </c>
      <c r="B4729" t="s">
        <v>4246</v>
      </c>
      <c r="C4729">
        <f>-0.22-2.72</f>
        <v>-2.9400000000000004</v>
      </c>
      <c r="D4729">
        <v>1.25</v>
      </c>
      <c r="E4729" t="s">
        <v>74</v>
      </c>
      <c r="F4729" t="s">
        <v>114</v>
      </c>
      <c r="G4729">
        <v>2.72</v>
      </c>
      <c r="H4729">
        <v>-0.22</v>
      </c>
      <c r="I4729">
        <v>1.47</v>
      </c>
      <c r="J4729">
        <v>2.1608999999999998</v>
      </c>
      <c r="K4729" t="str">
        <f>IFERROR(INDEX(Rosters!$C$2:$C$155,MATCH($B4729,Rosters!$B$2:$B$155,0)),"NA")</f>
        <v>NA</v>
      </c>
      <c r="L4729" t="str">
        <f t="shared" si="219"/>
        <v>NA5TE</v>
      </c>
      <c r="M4729">
        <f>COUNTIF(L$1:L4729,L4729)</f>
        <v>50</v>
      </c>
      <c r="N4729" t="str">
        <f t="shared" si="220"/>
        <v>NA5TE-50</v>
      </c>
      <c r="O4729">
        <f>COUNTIFS(F$1:F4729,F4729,A$1:A4729,A4729)</f>
        <v>61</v>
      </c>
      <c r="P4729" t="str">
        <f t="shared" si="221"/>
        <v>Scott Simonson5</v>
      </c>
    </row>
    <row r="4730" spans="1:16" x14ac:dyDescent="0.25">
      <c r="A4730">
        <v>5</v>
      </c>
      <c r="B4730" t="s">
        <v>1581</v>
      </c>
      <c r="C4730">
        <f>-0.16-2.66</f>
        <v>-2.8200000000000003</v>
      </c>
      <c r="D4730">
        <v>1.25</v>
      </c>
      <c r="E4730" t="s">
        <v>46</v>
      </c>
      <c r="F4730" t="s">
        <v>47</v>
      </c>
      <c r="G4730">
        <v>2.66</v>
      </c>
      <c r="H4730">
        <v>-0.16</v>
      </c>
      <c r="I4730">
        <v>1.41</v>
      </c>
      <c r="J4730">
        <v>1.9881</v>
      </c>
      <c r="K4730" t="str">
        <f>IFERROR(INDEX(Rosters!$C$2:$C$155,MATCH($B4730,Rosters!$B$2:$B$155,0)),"NA")</f>
        <v>NA</v>
      </c>
      <c r="L4730" t="str">
        <f t="shared" si="219"/>
        <v>NA5RB</v>
      </c>
      <c r="M4730">
        <f>COUNTIF(L$1:L4730,L4730)</f>
        <v>35</v>
      </c>
      <c r="N4730" t="str">
        <f t="shared" si="220"/>
        <v>NA5RB-35</v>
      </c>
      <c r="O4730">
        <f>COUNTIFS(F$1:F4730,F4730,A$1:A4730,A4730)</f>
        <v>78</v>
      </c>
      <c r="P4730" t="str">
        <f t="shared" si="221"/>
        <v>Stevan Ridley5</v>
      </c>
    </row>
    <row r="4731" spans="1:16" x14ac:dyDescent="0.25">
      <c r="A4731">
        <v>4</v>
      </c>
      <c r="B4731" t="s">
        <v>1618</v>
      </c>
      <c r="C4731" t="s">
        <v>4658</v>
      </c>
      <c r="D4731">
        <v>1.25</v>
      </c>
      <c r="E4731" t="s">
        <v>58</v>
      </c>
      <c r="F4731" t="s">
        <v>47</v>
      </c>
      <c r="G4731">
        <v>2.33</v>
      </c>
      <c r="H4731">
        <v>0.17</v>
      </c>
      <c r="I4731">
        <v>1.08</v>
      </c>
      <c r="J4731">
        <v>1.1664000000000001</v>
      </c>
      <c r="K4731" t="str">
        <f>IFERROR(INDEX(Rosters!$C$2:$C$155,MATCH($B4731,Rosters!$B$2:$B$155,0)),"NA")</f>
        <v>NA</v>
      </c>
      <c r="L4731" t="str">
        <f t="shared" si="219"/>
        <v>NA4RB</v>
      </c>
      <c r="M4731">
        <f>COUNTIF(L$1:L4731,L4731)</f>
        <v>30</v>
      </c>
      <c r="N4731" t="str">
        <f t="shared" si="220"/>
        <v>NA4RB-30</v>
      </c>
      <c r="O4731">
        <f>COUNTIFS(F$1:F4731,F4731,A$1:A4731,A4731)</f>
        <v>69</v>
      </c>
      <c r="P4731" t="str">
        <f t="shared" si="221"/>
        <v>Tre Madden4</v>
      </c>
    </row>
    <row r="4732" spans="1:16" x14ac:dyDescent="0.25">
      <c r="A4732">
        <v>7</v>
      </c>
      <c r="B4732" t="s">
        <v>336</v>
      </c>
      <c r="C4732">
        <f>-0.25-2.73</f>
        <v>-2.98</v>
      </c>
      <c r="D4732">
        <v>1.24</v>
      </c>
      <c r="E4732" t="s">
        <v>58</v>
      </c>
      <c r="F4732" t="s">
        <v>47</v>
      </c>
      <c r="G4732">
        <v>2.73</v>
      </c>
      <c r="H4732">
        <v>-0.25</v>
      </c>
      <c r="I4732">
        <v>1.49</v>
      </c>
      <c r="J4732">
        <v>2.2201</v>
      </c>
      <c r="K4732" t="str">
        <f>IFERROR(INDEX(Rosters!$C$2:$C$155,MATCH($B4732,Rosters!$B$2:$B$155,0)),"NA")</f>
        <v>NA</v>
      </c>
      <c r="L4732" t="str">
        <f t="shared" si="219"/>
        <v>NA7RB</v>
      </c>
      <c r="M4732">
        <f>COUNTIF(L$1:L4732,L4732)</f>
        <v>32</v>
      </c>
      <c r="N4732" t="str">
        <f t="shared" si="220"/>
        <v>NA7RB-32</v>
      </c>
      <c r="O4732">
        <f>COUNTIFS(F$1:F4732,F4732,A$1:A4732,A4732)</f>
        <v>73</v>
      </c>
      <c r="P4732" t="str">
        <f t="shared" si="221"/>
        <v>Andy Janovich7</v>
      </c>
    </row>
    <row r="4733" spans="1:16" x14ac:dyDescent="0.25">
      <c r="A4733">
        <v>9</v>
      </c>
      <c r="B4733" t="s">
        <v>336</v>
      </c>
      <c r="C4733">
        <f>-0.05-2.53</f>
        <v>-2.5799999999999996</v>
      </c>
      <c r="D4733">
        <v>1.24</v>
      </c>
      <c r="E4733" t="s">
        <v>36</v>
      </c>
      <c r="F4733" t="s">
        <v>47</v>
      </c>
      <c r="G4733">
        <v>2.5299999999999998</v>
      </c>
      <c r="H4733">
        <v>-0.05</v>
      </c>
      <c r="I4733">
        <v>1.29</v>
      </c>
      <c r="J4733">
        <v>1.6640999999999999</v>
      </c>
      <c r="K4733" t="str">
        <f>IFERROR(INDEX(Rosters!$C$2:$C$155,MATCH($B4733,Rosters!$B$2:$B$155,0)),"NA")</f>
        <v>NA</v>
      </c>
      <c r="L4733" t="str">
        <f t="shared" si="219"/>
        <v>NA9RB</v>
      </c>
      <c r="M4733">
        <f>COUNTIF(L$1:L4733,L4733)</f>
        <v>32</v>
      </c>
      <c r="N4733" t="str">
        <f t="shared" si="220"/>
        <v>NA9RB-32</v>
      </c>
      <c r="O4733">
        <f>COUNTIFS(F$1:F4733,F4733,A$1:A4733,A4733)</f>
        <v>72</v>
      </c>
      <c r="P4733" t="str">
        <f t="shared" si="221"/>
        <v>Andy Janovich9</v>
      </c>
    </row>
    <row r="4734" spans="1:16" x14ac:dyDescent="0.25">
      <c r="A4734">
        <v>5</v>
      </c>
      <c r="B4734" t="s">
        <v>4210</v>
      </c>
      <c r="C4734" t="s">
        <v>8645</v>
      </c>
      <c r="D4734">
        <v>1.24</v>
      </c>
      <c r="E4734" t="s">
        <v>60</v>
      </c>
      <c r="F4734" t="s">
        <v>87</v>
      </c>
      <c r="G4734">
        <v>2.2200000000000002</v>
      </c>
      <c r="H4734">
        <v>0.26</v>
      </c>
      <c r="I4734">
        <v>0.98</v>
      </c>
      <c r="J4734">
        <v>0.96040000000000003</v>
      </c>
      <c r="K4734" t="str">
        <f>IFERROR(INDEX(Rosters!$C$2:$C$155,MATCH($B4734,Rosters!$B$2:$B$155,0)),"NA")</f>
        <v>NA</v>
      </c>
      <c r="L4734" t="str">
        <f t="shared" si="219"/>
        <v>NA5WR</v>
      </c>
      <c r="M4734">
        <f>COUNTIF(L$1:L4734,L4734)</f>
        <v>68</v>
      </c>
      <c r="N4734" t="str">
        <f t="shared" si="220"/>
        <v>NA5WR-68</v>
      </c>
      <c r="O4734">
        <f>COUNTIFS(F$1:F4734,F4734,A$1:A4734,A4734)</f>
        <v>118</v>
      </c>
      <c r="P4734" t="str">
        <f t="shared" si="221"/>
        <v>Austin Carr5</v>
      </c>
    </row>
    <row r="4735" spans="1:16" x14ac:dyDescent="0.25">
      <c r="A4735">
        <v>5</v>
      </c>
      <c r="B4735" t="s">
        <v>351</v>
      </c>
      <c r="C4735">
        <f>-0.08-2.56</f>
        <v>-2.64</v>
      </c>
      <c r="D4735">
        <v>1.24</v>
      </c>
      <c r="E4735" t="s">
        <v>54</v>
      </c>
      <c r="F4735" t="s">
        <v>47</v>
      </c>
      <c r="G4735">
        <v>2.56</v>
      </c>
      <c r="H4735">
        <v>-0.08</v>
      </c>
      <c r="I4735">
        <v>1.32</v>
      </c>
      <c r="J4735">
        <v>1.7423999999999999</v>
      </c>
      <c r="K4735" t="str">
        <f>IFERROR(INDEX(Rosters!$C$2:$C$155,MATCH($B4735,Rosters!$B$2:$B$155,0)),"NA")</f>
        <v>NA</v>
      </c>
      <c r="L4735" t="str">
        <f t="shared" si="219"/>
        <v>NA5RB</v>
      </c>
      <c r="M4735">
        <f>COUNTIF(L$1:L4735,L4735)</f>
        <v>36</v>
      </c>
      <c r="N4735" t="str">
        <f t="shared" si="220"/>
        <v>NA5RB-36</v>
      </c>
      <c r="O4735">
        <f>COUNTIFS(F$1:F4735,F4735,A$1:A4735,A4735)</f>
        <v>79</v>
      </c>
      <c r="P4735" t="str">
        <f t="shared" si="221"/>
        <v>Cameron Artis-Payne5</v>
      </c>
    </row>
    <row r="4736" spans="1:16" x14ac:dyDescent="0.25">
      <c r="A4736">
        <v>8</v>
      </c>
      <c r="B4736" t="s">
        <v>351</v>
      </c>
      <c r="C4736" t="s">
        <v>8646</v>
      </c>
      <c r="D4736">
        <v>1.24</v>
      </c>
      <c r="E4736" t="s">
        <v>77</v>
      </c>
      <c r="F4736" t="s">
        <v>47</v>
      </c>
      <c r="G4736">
        <v>2.34</v>
      </c>
      <c r="H4736">
        <v>0.14000000000000001</v>
      </c>
      <c r="I4736">
        <v>1.1000000000000001</v>
      </c>
      <c r="J4736">
        <v>1.21</v>
      </c>
      <c r="K4736" t="str">
        <f>IFERROR(INDEX(Rosters!$C$2:$C$155,MATCH($B4736,Rosters!$B$2:$B$155,0)),"NA")</f>
        <v>NA</v>
      </c>
      <c r="L4736" t="str">
        <f t="shared" si="219"/>
        <v>NA8RB</v>
      </c>
      <c r="M4736">
        <f>COUNTIF(L$1:L4736,L4736)</f>
        <v>34</v>
      </c>
      <c r="N4736" t="str">
        <f t="shared" si="220"/>
        <v>NA8RB-34</v>
      </c>
      <c r="O4736">
        <f>COUNTIFS(F$1:F4736,F4736,A$1:A4736,A4736)</f>
        <v>74</v>
      </c>
      <c r="P4736" t="str">
        <f t="shared" si="221"/>
        <v>Cameron Artis-Payne8</v>
      </c>
    </row>
    <row r="4737" spans="1:16" x14ac:dyDescent="0.25">
      <c r="A4737">
        <v>5</v>
      </c>
      <c r="B4737" t="s">
        <v>380</v>
      </c>
      <c r="C4737">
        <f>-0.32-2.8</f>
        <v>-3.1199999999999997</v>
      </c>
      <c r="D4737">
        <v>1.24</v>
      </c>
      <c r="E4737" t="s">
        <v>37</v>
      </c>
      <c r="F4737" t="s">
        <v>114</v>
      </c>
      <c r="G4737">
        <v>2.8</v>
      </c>
      <c r="H4737">
        <v>-0.32</v>
      </c>
      <c r="I4737">
        <v>1.56</v>
      </c>
      <c r="J4737">
        <v>2.4336000000000002</v>
      </c>
      <c r="K4737" t="str">
        <f>IFERROR(INDEX(Rosters!$C$2:$C$155,MATCH($B4737,Rosters!$B$2:$B$155,0)),"NA")</f>
        <v>NA</v>
      </c>
      <c r="L4737" t="str">
        <f t="shared" si="219"/>
        <v>NA5TE</v>
      </c>
      <c r="M4737">
        <f>COUNTIF(L$1:L4737,L4737)</f>
        <v>51</v>
      </c>
      <c r="N4737" t="str">
        <f t="shared" si="220"/>
        <v>NA5TE-51</v>
      </c>
      <c r="O4737">
        <f>COUNTIFS(F$1:F4737,F4737,A$1:A4737,A4737)</f>
        <v>62</v>
      </c>
      <c r="P4737" t="str">
        <f t="shared" si="221"/>
        <v>Derek Carrier5</v>
      </c>
    </row>
    <row r="4738" spans="1:16" x14ac:dyDescent="0.25">
      <c r="A4738">
        <v>17</v>
      </c>
      <c r="B4738" t="s">
        <v>1458</v>
      </c>
      <c r="C4738">
        <f>-0.13-2.61</f>
        <v>-2.7399999999999998</v>
      </c>
      <c r="D4738">
        <v>1.24</v>
      </c>
      <c r="E4738" t="s">
        <v>29</v>
      </c>
      <c r="F4738" t="s">
        <v>47</v>
      </c>
      <c r="G4738">
        <v>2.61</v>
      </c>
      <c r="H4738">
        <v>-0.13</v>
      </c>
      <c r="I4738">
        <v>1.37</v>
      </c>
      <c r="J4738">
        <v>1.8769</v>
      </c>
      <c r="K4738" t="str">
        <f>IFERROR(INDEX(Rosters!$C$2:$C$155,MATCH($B4738,Rosters!$B$2:$B$155,0)),"NA")</f>
        <v>NA</v>
      </c>
      <c r="L4738" t="str">
        <f t="shared" si="219"/>
        <v>NA17RB</v>
      </c>
      <c r="M4738">
        <f>COUNTIF(L$1:L4738,L4738)</f>
        <v>38</v>
      </c>
      <c r="N4738" t="str">
        <f t="shared" si="220"/>
        <v>NA17RB-38</v>
      </c>
      <c r="O4738">
        <f>COUNTIFS(F$1:F4738,F4738,A$1:A4738,A4738)</f>
        <v>85</v>
      </c>
      <c r="P4738" t="str">
        <f t="shared" si="221"/>
        <v>Kalen Ballage17</v>
      </c>
    </row>
    <row r="4739" spans="1:16" x14ac:dyDescent="0.25">
      <c r="A4739">
        <v>7</v>
      </c>
      <c r="B4739" t="s">
        <v>314</v>
      </c>
      <c r="C4739" t="s">
        <v>8647</v>
      </c>
      <c r="D4739">
        <v>1.24</v>
      </c>
      <c r="E4739" t="s">
        <v>52</v>
      </c>
      <c r="F4739" t="s">
        <v>15</v>
      </c>
      <c r="G4739">
        <v>1.93</v>
      </c>
      <c r="H4739">
        <v>0.55000000000000004</v>
      </c>
      <c r="I4739">
        <v>0.69</v>
      </c>
      <c r="J4739">
        <v>0.47610000000000002</v>
      </c>
      <c r="K4739" t="str">
        <f>IFERROR(INDEX(Rosters!$C$2:$C$155,MATCH($B4739,Rosters!$B$2:$B$155,0)),"NA")</f>
        <v>NA</v>
      </c>
      <c r="L4739" t="str">
        <f t="shared" ref="L4739:L4802" si="222">K4739&amp;A4739&amp;F4739</f>
        <v>NA7QB</v>
      </c>
      <c r="M4739">
        <f>COUNTIF(L$1:L4739,L4739)</f>
        <v>17</v>
      </c>
      <c r="N4739" t="str">
        <f t="shared" ref="N4739:N4802" si="223">L4739&amp;"-"&amp;M4739</f>
        <v>NA7QB-17</v>
      </c>
      <c r="O4739">
        <f>COUNTIFS(F$1:F4739,F4739,A$1:A4739,A4739)</f>
        <v>31</v>
      </c>
      <c r="P4739" t="str">
        <f t="shared" ref="P4739:P4802" si="224">B4739&amp;A4739</f>
        <v>Ryan Fitzpatrick7</v>
      </c>
    </row>
    <row r="4740" spans="1:16" x14ac:dyDescent="0.25">
      <c r="A4740">
        <v>4</v>
      </c>
      <c r="B4740" t="s">
        <v>4223</v>
      </c>
      <c r="C4740">
        <f>-0.06-2.54</f>
        <v>-2.6</v>
      </c>
      <c r="D4740">
        <v>1.24</v>
      </c>
      <c r="E4740" t="s">
        <v>76</v>
      </c>
      <c r="F4740" t="s">
        <v>47</v>
      </c>
      <c r="G4740">
        <v>2.54</v>
      </c>
      <c r="H4740">
        <v>-0.06</v>
      </c>
      <c r="I4740">
        <v>1.3</v>
      </c>
      <c r="J4740">
        <v>1.69</v>
      </c>
      <c r="K4740" t="str">
        <f>IFERROR(INDEX(Rosters!$C$2:$C$155,MATCH($B4740,Rosters!$B$2:$B$155,0)),"NA")</f>
        <v>NA</v>
      </c>
      <c r="L4740" t="str">
        <f t="shared" si="222"/>
        <v>NA4RB</v>
      </c>
      <c r="M4740">
        <f>COUNTIF(L$1:L4740,L4740)</f>
        <v>31</v>
      </c>
      <c r="N4740" t="str">
        <f t="shared" si="223"/>
        <v>NA4RB-31</v>
      </c>
      <c r="O4740">
        <f>COUNTIFS(F$1:F4740,F4740,A$1:A4740,A4740)</f>
        <v>70</v>
      </c>
      <c r="P4740" t="str">
        <f t="shared" si="224"/>
        <v>Trenton Cannon4</v>
      </c>
    </row>
    <row r="4741" spans="1:16" x14ac:dyDescent="0.25">
      <c r="A4741">
        <v>13</v>
      </c>
      <c r="B4741" t="s">
        <v>365</v>
      </c>
      <c r="C4741" t="s">
        <v>8648</v>
      </c>
      <c r="D4741">
        <v>1.23</v>
      </c>
      <c r="E4741" t="s">
        <v>30</v>
      </c>
      <c r="F4741" t="s">
        <v>15</v>
      </c>
      <c r="G4741">
        <v>1.8</v>
      </c>
      <c r="H4741">
        <v>0.66</v>
      </c>
      <c r="I4741">
        <v>0.56999999999999995</v>
      </c>
      <c r="J4741">
        <v>0.32490000000000002</v>
      </c>
      <c r="K4741" t="str">
        <f>IFERROR(INDEX(Rosters!$C$2:$C$155,MATCH($B4741,Rosters!$B$2:$B$155,0)),"NA")</f>
        <v>NA</v>
      </c>
      <c r="L4741" t="str">
        <f t="shared" si="222"/>
        <v>NA13QB</v>
      </c>
      <c r="M4741">
        <f>COUNTIF(L$1:L4741,L4741)</f>
        <v>18</v>
      </c>
      <c r="N4741" t="str">
        <f t="shared" si="223"/>
        <v>NA13QB-18</v>
      </c>
      <c r="O4741">
        <f>COUNTIFS(F$1:F4741,F4741,A$1:A4741,A4741)</f>
        <v>35</v>
      </c>
      <c r="P4741" t="str">
        <f t="shared" si="224"/>
        <v>Brett Hundley13</v>
      </c>
    </row>
    <row r="4742" spans="1:16" x14ac:dyDescent="0.25">
      <c r="A4742">
        <v>8</v>
      </c>
      <c r="B4742" t="s">
        <v>1543</v>
      </c>
      <c r="C4742" t="s">
        <v>8649</v>
      </c>
      <c r="D4742">
        <v>1.23</v>
      </c>
      <c r="E4742" t="s">
        <v>36</v>
      </c>
      <c r="F4742" t="s">
        <v>15</v>
      </c>
      <c r="G4742">
        <v>1.77</v>
      </c>
      <c r="H4742">
        <v>0.69</v>
      </c>
      <c r="I4742">
        <v>0.54</v>
      </c>
      <c r="J4742">
        <v>0.29160000000000003</v>
      </c>
      <c r="K4742" t="str">
        <f>IFERROR(INDEX(Rosters!$C$2:$C$155,MATCH($B4742,Rosters!$B$2:$B$155,0)),"NA")</f>
        <v>NA</v>
      </c>
      <c r="L4742" t="str">
        <f t="shared" si="222"/>
        <v>NA8QB</v>
      </c>
      <c r="M4742">
        <f>COUNTIF(L$1:L4742,L4742)</f>
        <v>16</v>
      </c>
      <c r="N4742" t="str">
        <f t="shared" si="223"/>
        <v>NA8QB-16</v>
      </c>
      <c r="O4742">
        <f>COUNTIFS(F$1:F4742,F4742,A$1:A4742,A4742)</f>
        <v>31</v>
      </c>
      <c r="P4742" t="str">
        <f t="shared" si="224"/>
        <v>David Fales8</v>
      </c>
    </row>
    <row r="4743" spans="1:16" x14ac:dyDescent="0.25">
      <c r="A4743">
        <v>2</v>
      </c>
      <c r="B4743" t="s">
        <v>358</v>
      </c>
      <c r="C4743" t="s">
        <v>1525</v>
      </c>
      <c r="D4743">
        <v>1.23</v>
      </c>
      <c r="E4743" t="s">
        <v>423</v>
      </c>
      <c r="F4743" t="s">
        <v>114</v>
      </c>
      <c r="G4743">
        <v>2.4300000000000002</v>
      </c>
      <c r="H4743">
        <v>0.03</v>
      </c>
      <c r="I4743">
        <v>1.2</v>
      </c>
      <c r="J4743">
        <v>1.44</v>
      </c>
      <c r="K4743" t="str">
        <f>IFERROR(INDEX(Rosters!$C$2:$C$155,MATCH($B4743,Rosters!$B$2:$B$155,0)),"NA")</f>
        <v>NA</v>
      </c>
      <c r="L4743" t="str">
        <f t="shared" si="222"/>
        <v>NA2TE</v>
      </c>
      <c r="M4743">
        <f>COUNTIF(L$1:L4743,L4743)</f>
        <v>42</v>
      </c>
      <c r="N4743" t="str">
        <f t="shared" si="223"/>
        <v>NA2TE-42</v>
      </c>
      <c r="O4743">
        <f>COUNTIFS(F$1:F4743,F4743,A$1:A4743,A4743)</f>
        <v>55</v>
      </c>
      <c r="P4743" t="str">
        <f t="shared" si="224"/>
        <v>James O'Shaughnessy2</v>
      </c>
    </row>
    <row r="4744" spans="1:16" x14ac:dyDescent="0.25">
      <c r="A4744">
        <v>16</v>
      </c>
      <c r="B4744" t="s">
        <v>144</v>
      </c>
      <c r="C4744">
        <f>-0.37-2.83</f>
        <v>-3.2</v>
      </c>
      <c r="D4744">
        <v>1.23</v>
      </c>
      <c r="E4744" t="s">
        <v>51</v>
      </c>
      <c r="F4744" t="s">
        <v>47</v>
      </c>
      <c r="G4744">
        <v>2.83</v>
      </c>
      <c r="H4744">
        <v>-0.37</v>
      </c>
      <c r="I4744">
        <v>1.6</v>
      </c>
      <c r="J4744">
        <v>2.56</v>
      </c>
      <c r="K4744" t="str">
        <f>IFERROR(INDEX(Rosters!$C$2:$C$155,MATCH($B4744,Rosters!$B$2:$B$155,0)),"NA")</f>
        <v>NA</v>
      </c>
      <c r="L4744" t="str">
        <f t="shared" si="222"/>
        <v>NA16RB</v>
      </c>
      <c r="M4744">
        <f>COUNTIF(L$1:L4744,L4744)</f>
        <v>40</v>
      </c>
      <c r="N4744" t="str">
        <f t="shared" si="223"/>
        <v>NA16RB-40</v>
      </c>
      <c r="O4744">
        <f>COUNTIFS(F$1:F4744,F4744,A$1:A4744,A4744)</f>
        <v>87</v>
      </c>
      <c r="P4744" t="str">
        <f t="shared" si="224"/>
        <v>Mike Gillislee16</v>
      </c>
    </row>
    <row r="4745" spans="1:16" x14ac:dyDescent="0.25">
      <c r="A4745">
        <v>14</v>
      </c>
      <c r="B4745" t="s">
        <v>84</v>
      </c>
      <c r="C4745" t="s">
        <v>8650</v>
      </c>
      <c r="D4745">
        <v>1.23</v>
      </c>
      <c r="E4745" t="s">
        <v>34</v>
      </c>
      <c r="F4745" t="s">
        <v>15</v>
      </c>
      <c r="G4745">
        <v>1.78</v>
      </c>
      <c r="H4745">
        <v>0.68</v>
      </c>
      <c r="I4745">
        <v>0.55000000000000004</v>
      </c>
      <c r="J4745">
        <v>0.30249999999999999</v>
      </c>
      <c r="K4745" t="str">
        <f>IFERROR(INDEX(Rosters!$C$2:$C$155,MATCH($B4745,Rosters!$B$2:$B$155,0)),"NA")</f>
        <v>NA</v>
      </c>
      <c r="L4745" t="str">
        <f t="shared" si="222"/>
        <v>NA14QB</v>
      </c>
      <c r="M4745">
        <f>COUNTIF(L$1:L4745,L4745)</f>
        <v>19</v>
      </c>
      <c r="N4745" t="str">
        <f t="shared" si="223"/>
        <v>NA14QB-19</v>
      </c>
      <c r="O4745">
        <f>COUNTIFS(F$1:F4745,F4745,A$1:A4745,A4745)</f>
        <v>36</v>
      </c>
      <c r="P4745" t="str">
        <f t="shared" si="224"/>
        <v>Mike Glennon14</v>
      </c>
    </row>
    <row r="4746" spans="1:16" x14ac:dyDescent="0.25">
      <c r="A4746">
        <v>11</v>
      </c>
      <c r="B4746" t="s">
        <v>314</v>
      </c>
      <c r="C4746" t="s">
        <v>8651</v>
      </c>
      <c r="D4746">
        <v>1.23</v>
      </c>
      <c r="E4746" t="s">
        <v>54</v>
      </c>
      <c r="F4746" t="s">
        <v>15</v>
      </c>
      <c r="G4746">
        <v>1.87</v>
      </c>
      <c r="H4746">
        <v>0.59</v>
      </c>
      <c r="I4746">
        <v>0.64</v>
      </c>
      <c r="J4746">
        <v>0.40960000000000002</v>
      </c>
      <c r="K4746" t="str">
        <f>IFERROR(INDEX(Rosters!$C$2:$C$155,MATCH($B4746,Rosters!$B$2:$B$155,0)),"NA")</f>
        <v>NA</v>
      </c>
      <c r="L4746" t="str">
        <f t="shared" si="222"/>
        <v>NA11QB</v>
      </c>
      <c r="M4746">
        <f>COUNTIF(L$1:L4746,L4746)</f>
        <v>15</v>
      </c>
      <c r="N4746" t="str">
        <f t="shared" si="223"/>
        <v>NA11QB-15</v>
      </c>
      <c r="O4746">
        <f>COUNTIFS(F$1:F4746,F4746,A$1:A4746,A4746)</f>
        <v>30</v>
      </c>
      <c r="P4746" t="str">
        <f t="shared" si="224"/>
        <v>Ryan Fitzpatrick11</v>
      </c>
    </row>
    <row r="4747" spans="1:16" x14ac:dyDescent="0.25">
      <c r="A4747">
        <v>12</v>
      </c>
      <c r="B4747" t="s">
        <v>314</v>
      </c>
      <c r="C4747" t="s">
        <v>8652</v>
      </c>
      <c r="D4747">
        <v>1.23</v>
      </c>
      <c r="E4747" t="s">
        <v>30</v>
      </c>
      <c r="F4747" t="s">
        <v>15</v>
      </c>
      <c r="G4747">
        <v>1.84</v>
      </c>
      <c r="H4747">
        <v>0.62</v>
      </c>
      <c r="I4747">
        <v>0.61</v>
      </c>
      <c r="J4747">
        <v>0.37209999999999999</v>
      </c>
      <c r="K4747" t="str">
        <f>IFERROR(INDEX(Rosters!$C$2:$C$155,MATCH($B4747,Rosters!$B$2:$B$155,0)),"NA")</f>
        <v>NA</v>
      </c>
      <c r="L4747" t="str">
        <f t="shared" si="222"/>
        <v>NA12QB</v>
      </c>
      <c r="M4747">
        <f>COUNTIF(L$1:L4747,L4747)</f>
        <v>18</v>
      </c>
      <c r="N4747" t="str">
        <f t="shared" si="223"/>
        <v>NA12QB-18</v>
      </c>
      <c r="O4747">
        <f>COUNTIFS(F$1:F4747,F4747,A$1:A4747,A4747)</f>
        <v>33</v>
      </c>
      <c r="P4747" t="str">
        <f t="shared" si="224"/>
        <v>Ryan Fitzpatrick12</v>
      </c>
    </row>
    <row r="4748" spans="1:16" x14ac:dyDescent="0.25">
      <c r="A4748">
        <v>11</v>
      </c>
      <c r="B4748" t="s">
        <v>337</v>
      </c>
      <c r="C4748">
        <f>-0.25-2.71</f>
        <v>-2.96</v>
      </c>
      <c r="D4748">
        <v>1.23</v>
      </c>
      <c r="E4748" t="s">
        <v>60</v>
      </c>
      <c r="F4748" t="s">
        <v>87</v>
      </c>
      <c r="G4748">
        <v>2.71</v>
      </c>
      <c r="H4748">
        <v>-0.25</v>
      </c>
      <c r="I4748">
        <v>1.48</v>
      </c>
      <c r="J4748">
        <v>2.1903999999999999</v>
      </c>
      <c r="K4748" t="str">
        <f>IFERROR(INDEX(Rosters!$C$2:$C$155,MATCH($B4748,Rosters!$B$2:$B$155,0)),"NA")</f>
        <v>NA</v>
      </c>
      <c r="L4748" t="str">
        <f t="shared" si="222"/>
        <v>NA11WR</v>
      </c>
      <c r="M4748">
        <f>COUNTIF(L$1:L4748,L4748)</f>
        <v>49</v>
      </c>
      <c r="N4748" t="str">
        <f t="shared" si="223"/>
        <v>NA11WR-49</v>
      </c>
      <c r="O4748">
        <f>COUNTIFS(F$1:F4748,F4748,A$1:A4748,A4748)</f>
        <v>96</v>
      </c>
      <c r="P4748" t="str">
        <f t="shared" si="224"/>
        <v>Sammie Coates11</v>
      </c>
    </row>
    <row r="4749" spans="1:16" x14ac:dyDescent="0.25">
      <c r="A4749">
        <v>11</v>
      </c>
      <c r="B4749" t="s">
        <v>4210</v>
      </c>
      <c r="C4749">
        <f>-0.01-2.45</f>
        <v>-2.46</v>
      </c>
      <c r="D4749">
        <v>1.22</v>
      </c>
      <c r="E4749" t="s">
        <v>50</v>
      </c>
      <c r="F4749" t="s">
        <v>87</v>
      </c>
      <c r="G4749">
        <v>2.4500000000000002</v>
      </c>
      <c r="H4749">
        <v>-0.01</v>
      </c>
      <c r="I4749">
        <v>1.23</v>
      </c>
      <c r="J4749">
        <v>1.5128999999999999</v>
      </c>
      <c r="K4749" t="str">
        <f>IFERROR(INDEX(Rosters!$C$2:$C$155,MATCH($B4749,Rosters!$B$2:$B$155,0)),"NA")</f>
        <v>NA</v>
      </c>
      <c r="L4749" t="str">
        <f t="shared" si="222"/>
        <v>NA11WR</v>
      </c>
      <c r="M4749">
        <f>COUNTIF(L$1:L4749,L4749)</f>
        <v>50</v>
      </c>
      <c r="N4749" t="str">
        <f t="shared" si="223"/>
        <v>NA11WR-50</v>
      </c>
      <c r="O4749">
        <f>COUNTIFS(F$1:F4749,F4749,A$1:A4749,A4749)</f>
        <v>97</v>
      </c>
      <c r="P4749" t="str">
        <f t="shared" si="224"/>
        <v>Austin Carr11</v>
      </c>
    </row>
    <row r="4750" spans="1:16" x14ac:dyDescent="0.25">
      <c r="A4750">
        <v>5</v>
      </c>
      <c r="B4750" t="s">
        <v>361</v>
      </c>
      <c r="C4750">
        <f>-0.09-2.53</f>
        <v>-2.6199999999999997</v>
      </c>
      <c r="D4750">
        <v>1.22</v>
      </c>
      <c r="E4750" t="s">
        <v>76</v>
      </c>
      <c r="F4750" t="s">
        <v>87</v>
      </c>
      <c r="G4750">
        <v>2.5299999999999998</v>
      </c>
      <c r="H4750">
        <v>-0.09</v>
      </c>
      <c r="I4750">
        <v>1.31</v>
      </c>
      <c r="J4750">
        <v>1.7161</v>
      </c>
      <c r="K4750" t="str">
        <f>IFERROR(INDEX(Rosters!$C$2:$C$155,MATCH($B4750,Rosters!$B$2:$B$155,0)),"NA")</f>
        <v>NA</v>
      </c>
      <c r="L4750" t="str">
        <f t="shared" si="222"/>
        <v>NA5WR</v>
      </c>
      <c r="M4750">
        <f>COUNTIF(L$1:L4750,L4750)</f>
        <v>69</v>
      </c>
      <c r="N4750" t="str">
        <f t="shared" si="223"/>
        <v>NA5WR-69</v>
      </c>
      <c r="O4750">
        <f>COUNTIFS(F$1:F4750,F4750,A$1:A4750,A4750)</f>
        <v>119</v>
      </c>
      <c r="P4750" t="str">
        <f t="shared" si="224"/>
        <v>De'Anthony Thomas5</v>
      </c>
    </row>
    <row r="4751" spans="1:16" x14ac:dyDescent="0.25">
      <c r="A4751">
        <v>9</v>
      </c>
      <c r="B4751" t="s">
        <v>380</v>
      </c>
      <c r="C4751">
        <f>-0.32-2.76</f>
        <v>-3.0799999999999996</v>
      </c>
      <c r="D4751">
        <v>1.22</v>
      </c>
      <c r="E4751" t="s">
        <v>30</v>
      </c>
      <c r="F4751" t="s">
        <v>114</v>
      </c>
      <c r="G4751">
        <v>2.76</v>
      </c>
      <c r="H4751">
        <v>-0.32</v>
      </c>
      <c r="I4751">
        <v>1.54</v>
      </c>
      <c r="J4751">
        <v>2.3715999999999999</v>
      </c>
      <c r="K4751" t="str">
        <f>IFERROR(INDEX(Rosters!$C$2:$C$155,MATCH($B4751,Rosters!$B$2:$B$155,0)),"NA")</f>
        <v>NA</v>
      </c>
      <c r="L4751" t="str">
        <f t="shared" si="222"/>
        <v>NA9TE</v>
      </c>
      <c r="M4751">
        <f>COUNTIF(L$1:L4751,L4751)</f>
        <v>42</v>
      </c>
      <c r="N4751" t="str">
        <f t="shared" si="223"/>
        <v>NA9TE-42</v>
      </c>
      <c r="O4751">
        <f>COUNTIFS(F$1:F4751,F4751,A$1:A4751,A4751)</f>
        <v>53</v>
      </c>
      <c r="P4751" t="str">
        <f t="shared" si="224"/>
        <v>Derek Carrier9</v>
      </c>
    </row>
    <row r="4752" spans="1:16" x14ac:dyDescent="0.25">
      <c r="A4752">
        <v>6</v>
      </c>
      <c r="B4752" t="s">
        <v>1495</v>
      </c>
      <c r="C4752">
        <f>-0.19-2.63</f>
        <v>-2.82</v>
      </c>
      <c r="D4752">
        <v>1.22</v>
      </c>
      <c r="E4752" t="s">
        <v>77</v>
      </c>
      <c r="F4752" t="s">
        <v>114</v>
      </c>
      <c r="G4752">
        <v>2.63</v>
      </c>
      <c r="H4752">
        <v>-0.19</v>
      </c>
      <c r="I4752">
        <v>1.41</v>
      </c>
      <c r="J4752">
        <v>1.9881</v>
      </c>
      <c r="K4752" t="str">
        <f>IFERROR(INDEX(Rosters!$C$2:$C$155,MATCH($B4752,Rosters!$B$2:$B$155,0)),"NA")</f>
        <v>NA</v>
      </c>
      <c r="L4752" t="str">
        <f t="shared" si="222"/>
        <v>NA6TE</v>
      </c>
      <c r="M4752">
        <f>COUNTIF(L$1:L4752,L4752)</f>
        <v>47</v>
      </c>
      <c r="N4752" t="str">
        <f t="shared" si="223"/>
        <v>NA6TE-47</v>
      </c>
      <c r="O4752">
        <f>COUNTIFS(F$1:F4752,F4752,A$1:A4752,A4752)</f>
        <v>59</v>
      </c>
      <c r="P4752" t="str">
        <f t="shared" si="224"/>
        <v>Jonnu Smith6</v>
      </c>
    </row>
    <row r="4753" spans="1:16" x14ac:dyDescent="0.25">
      <c r="A4753">
        <v>13</v>
      </c>
      <c r="B4753" t="s">
        <v>314</v>
      </c>
      <c r="C4753" t="s">
        <v>8653</v>
      </c>
      <c r="D4753">
        <v>1.22</v>
      </c>
      <c r="E4753" t="s">
        <v>74</v>
      </c>
      <c r="F4753" t="s">
        <v>15</v>
      </c>
      <c r="G4753">
        <v>1.91</v>
      </c>
      <c r="H4753">
        <v>0.53</v>
      </c>
      <c r="I4753">
        <v>0.69</v>
      </c>
      <c r="J4753">
        <v>0.47610000000000002</v>
      </c>
      <c r="K4753" t="str">
        <f>IFERROR(INDEX(Rosters!$C$2:$C$155,MATCH($B4753,Rosters!$B$2:$B$155,0)),"NA")</f>
        <v>NA</v>
      </c>
      <c r="L4753" t="str">
        <f t="shared" si="222"/>
        <v>NA13QB</v>
      </c>
      <c r="M4753">
        <f>COUNTIF(L$1:L4753,L4753)</f>
        <v>19</v>
      </c>
      <c r="N4753" t="str">
        <f t="shared" si="223"/>
        <v>NA13QB-19</v>
      </c>
      <c r="O4753">
        <f>COUNTIFS(F$1:F4753,F4753,A$1:A4753,A4753)</f>
        <v>36</v>
      </c>
      <c r="P4753" t="str">
        <f t="shared" si="224"/>
        <v>Ryan Fitzpatrick13</v>
      </c>
    </row>
    <row r="4754" spans="1:16" x14ac:dyDescent="0.25">
      <c r="A4754">
        <v>8</v>
      </c>
      <c r="B4754" t="s">
        <v>1581</v>
      </c>
      <c r="C4754">
        <f>-0.02-2.46</f>
        <v>-2.48</v>
      </c>
      <c r="D4754">
        <v>1.22</v>
      </c>
      <c r="E4754" t="s">
        <v>52</v>
      </c>
      <c r="F4754" t="s">
        <v>47</v>
      </c>
      <c r="G4754">
        <v>2.46</v>
      </c>
      <c r="H4754">
        <v>-0.02</v>
      </c>
      <c r="I4754">
        <v>1.24</v>
      </c>
      <c r="J4754">
        <v>1.5376000000000001</v>
      </c>
      <c r="K4754" t="str">
        <f>IFERROR(INDEX(Rosters!$C$2:$C$155,MATCH($B4754,Rosters!$B$2:$B$155,0)),"NA")</f>
        <v>NA</v>
      </c>
      <c r="L4754" t="str">
        <f t="shared" si="222"/>
        <v>NA8RB</v>
      </c>
      <c r="M4754">
        <f>COUNTIF(L$1:L4754,L4754)</f>
        <v>35</v>
      </c>
      <c r="N4754" t="str">
        <f t="shared" si="223"/>
        <v>NA8RB-35</v>
      </c>
      <c r="O4754">
        <f>COUNTIFS(F$1:F4754,F4754,A$1:A4754,A4754)</f>
        <v>75</v>
      </c>
      <c r="P4754" t="str">
        <f t="shared" si="224"/>
        <v>Stevan Ridley8</v>
      </c>
    </row>
    <row r="4755" spans="1:16" x14ac:dyDescent="0.25">
      <c r="A4755">
        <v>11</v>
      </c>
      <c r="B4755" t="s">
        <v>365</v>
      </c>
      <c r="C4755" t="s">
        <v>8654</v>
      </c>
      <c r="D4755">
        <v>1.21</v>
      </c>
      <c r="E4755" t="s">
        <v>41</v>
      </c>
      <c r="F4755" t="s">
        <v>15</v>
      </c>
      <c r="G4755">
        <v>1.78</v>
      </c>
      <c r="H4755">
        <v>0.64</v>
      </c>
      <c r="I4755">
        <v>0.56999999999999995</v>
      </c>
      <c r="J4755">
        <v>0.32490000000000002</v>
      </c>
      <c r="K4755" t="str">
        <f>IFERROR(INDEX(Rosters!$C$2:$C$155,MATCH($B4755,Rosters!$B$2:$B$155,0)),"NA")</f>
        <v>NA</v>
      </c>
      <c r="L4755" t="str">
        <f t="shared" si="222"/>
        <v>NA11QB</v>
      </c>
      <c r="M4755">
        <f>COUNTIF(L$1:L4755,L4755)</f>
        <v>16</v>
      </c>
      <c r="N4755" t="str">
        <f t="shared" si="223"/>
        <v>NA11QB-16</v>
      </c>
      <c r="O4755">
        <f>COUNTIFS(F$1:F4755,F4755,A$1:A4755,A4755)</f>
        <v>31</v>
      </c>
      <c r="P4755" t="str">
        <f t="shared" si="224"/>
        <v>Brett Hundley11</v>
      </c>
    </row>
    <row r="4756" spans="1:16" x14ac:dyDescent="0.25">
      <c r="A4756">
        <v>7</v>
      </c>
      <c r="B4756" t="s">
        <v>1543</v>
      </c>
      <c r="C4756" t="s">
        <v>8655</v>
      </c>
      <c r="D4756">
        <v>1.21</v>
      </c>
      <c r="E4756" t="s">
        <v>34</v>
      </c>
      <c r="F4756" t="s">
        <v>15</v>
      </c>
      <c r="G4756">
        <v>1.76</v>
      </c>
      <c r="H4756">
        <v>0.66</v>
      </c>
      <c r="I4756">
        <v>0.55000000000000004</v>
      </c>
      <c r="J4756">
        <v>0.30249999999999999</v>
      </c>
      <c r="K4756" t="str">
        <f>IFERROR(INDEX(Rosters!$C$2:$C$155,MATCH($B4756,Rosters!$B$2:$B$155,0)),"NA")</f>
        <v>NA</v>
      </c>
      <c r="L4756" t="str">
        <f t="shared" si="222"/>
        <v>NA7QB</v>
      </c>
      <c r="M4756">
        <f>COUNTIF(L$1:L4756,L4756)</f>
        <v>18</v>
      </c>
      <c r="N4756" t="str">
        <f t="shared" si="223"/>
        <v>NA7QB-18</v>
      </c>
      <c r="O4756">
        <f>COUNTIFS(F$1:F4756,F4756,A$1:A4756,A4756)</f>
        <v>32</v>
      </c>
      <c r="P4756" t="str">
        <f t="shared" si="224"/>
        <v>David Fales7</v>
      </c>
    </row>
    <row r="4757" spans="1:16" x14ac:dyDescent="0.25">
      <c r="A4757">
        <v>8</v>
      </c>
      <c r="B4757" t="s">
        <v>380</v>
      </c>
      <c r="C4757">
        <f>-0.29-2.71</f>
        <v>-3</v>
      </c>
      <c r="D4757">
        <v>1.21</v>
      </c>
      <c r="E4757" t="s">
        <v>66</v>
      </c>
      <c r="F4757" t="s">
        <v>114</v>
      </c>
      <c r="G4757">
        <v>2.71</v>
      </c>
      <c r="H4757">
        <v>-0.28999999999999998</v>
      </c>
      <c r="I4757">
        <v>1.5</v>
      </c>
      <c r="J4757">
        <v>2.25</v>
      </c>
      <c r="K4757" t="str">
        <f>IFERROR(INDEX(Rosters!$C$2:$C$155,MATCH($B4757,Rosters!$B$2:$B$155,0)),"NA")</f>
        <v>NA</v>
      </c>
      <c r="L4757" t="str">
        <f t="shared" si="222"/>
        <v>NA8TE</v>
      </c>
      <c r="M4757">
        <f>COUNTIF(L$1:L4757,L4757)</f>
        <v>45</v>
      </c>
      <c r="N4757" t="str">
        <f t="shared" si="223"/>
        <v>NA8TE-45</v>
      </c>
      <c r="O4757">
        <f>COUNTIFS(F$1:F4757,F4757,A$1:A4757,A4757)</f>
        <v>57</v>
      </c>
      <c r="P4757" t="str">
        <f t="shared" si="224"/>
        <v>Derek Carrier8</v>
      </c>
    </row>
    <row r="4758" spans="1:16" x14ac:dyDescent="0.25">
      <c r="A4758">
        <v>8</v>
      </c>
      <c r="B4758" t="s">
        <v>327</v>
      </c>
      <c r="C4758">
        <f>-0.44-2.86</f>
        <v>-3.3</v>
      </c>
      <c r="D4758">
        <v>1.21</v>
      </c>
      <c r="E4758" t="s">
        <v>52</v>
      </c>
      <c r="F4758" t="s">
        <v>87</v>
      </c>
      <c r="G4758">
        <v>2.86</v>
      </c>
      <c r="H4758">
        <v>-0.44</v>
      </c>
      <c r="I4758">
        <v>1.65</v>
      </c>
      <c r="J4758">
        <v>2.7225000000000001</v>
      </c>
      <c r="K4758" t="str">
        <f>IFERROR(INDEX(Rosters!$C$2:$C$155,MATCH($B4758,Rosters!$B$2:$B$155,0)),"NA")</f>
        <v>NA</v>
      </c>
      <c r="L4758" t="str">
        <f t="shared" si="222"/>
        <v>NA8WR</v>
      </c>
      <c r="M4758">
        <f>COUNTIF(L$1:L4758,L4758)</f>
        <v>58</v>
      </c>
      <c r="N4758" t="str">
        <f t="shared" si="223"/>
        <v>NA8WR-58</v>
      </c>
      <c r="O4758">
        <f>COUNTIFS(F$1:F4758,F4758,A$1:A4758,A4758)</f>
        <v>107</v>
      </c>
      <c r="P4758" t="str">
        <f t="shared" si="224"/>
        <v>Justin Hunter8</v>
      </c>
    </row>
    <row r="4759" spans="1:16" x14ac:dyDescent="0.25">
      <c r="A4759">
        <v>1</v>
      </c>
      <c r="B4759" t="s">
        <v>279</v>
      </c>
      <c r="C4759" t="s">
        <v>1016</v>
      </c>
      <c r="D4759">
        <v>1.21</v>
      </c>
      <c r="E4759" t="s">
        <v>73</v>
      </c>
      <c r="F4759" t="s">
        <v>114</v>
      </c>
      <c r="G4759">
        <v>2.41</v>
      </c>
      <c r="H4759">
        <v>0.01</v>
      </c>
      <c r="I4759">
        <v>1.2</v>
      </c>
      <c r="J4759">
        <v>1.44</v>
      </c>
      <c r="K4759" t="str">
        <f>IFERROR(INDEX(Rosters!$C$2:$C$155,MATCH($B4759,Rosters!$B$2:$B$155,0)),"NA")</f>
        <v>NA</v>
      </c>
      <c r="L4759" t="str">
        <f t="shared" si="222"/>
        <v>NA1TE</v>
      </c>
      <c r="M4759">
        <f>COUNTIF(L$1:L4759,L4759)</f>
        <v>39</v>
      </c>
      <c r="N4759" t="str">
        <f t="shared" si="223"/>
        <v>NA1TE-39</v>
      </c>
      <c r="O4759">
        <f>COUNTIFS(F$1:F4759,F4759,A$1:A4759,A4759)</f>
        <v>52</v>
      </c>
      <c r="P4759" t="str">
        <f t="shared" si="224"/>
        <v>Levine Toilolo1</v>
      </c>
    </row>
    <row r="4760" spans="1:16" x14ac:dyDescent="0.25">
      <c r="A4760">
        <v>6</v>
      </c>
      <c r="B4760" t="s">
        <v>337</v>
      </c>
      <c r="C4760">
        <f>-0.05-2.47</f>
        <v>-2.52</v>
      </c>
      <c r="D4760">
        <v>1.21</v>
      </c>
      <c r="E4760" t="s">
        <v>29</v>
      </c>
      <c r="F4760" t="s">
        <v>87</v>
      </c>
      <c r="G4760">
        <v>2.4700000000000002</v>
      </c>
      <c r="H4760">
        <v>-0.05</v>
      </c>
      <c r="I4760">
        <v>1.26</v>
      </c>
      <c r="J4760">
        <v>1.5875999999999999</v>
      </c>
      <c r="K4760" t="str">
        <f>IFERROR(INDEX(Rosters!$C$2:$C$155,MATCH($B4760,Rosters!$B$2:$B$155,0)),"NA")</f>
        <v>NA</v>
      </c>
      <c r="L4760" t="str">
        <f t="shared" si="222"/>
        <v>NA6WR</v>
      </c>
      <c r="M4760">
        <f>COUNTIF(L$1:L4760,L4760)</f>
        <v>63</v>
      </c>
      <c r="N4760" t="str">
        <f t="shared" si="223"/>
        <v>NA6WR-63</v>
      </c>
      <c r="O4760">
        <f>COUNTIFS(F$1:F4760,F4760,A$1:A4760,A4760)</f>
        <v>113</v>
      </c>
      <c r="P4760" t="str">
        <f t="shared" si="224"/>
        <v>Sammie Coates6</v>
      </c>
    </row>
    <row r="4761" spans="1:16" x14ac:dyDescent="0.25">
      <c r="A4761">
        <v>1</v>
      </c>
      <c r="B4761" t="s">
        <v>250</v>
      </c>
      <c r="C4761">
        <f>-0.12-2.54</f>
        <v>-2.66</v>
      </c>
      <c r="D4761">
        <v>1.21</v>
      </c>
      <c r="E4761" t="s">
        <v>46</v>
      </c>
      <c r="F4761" t="s">
        <v>47</v>
      </c>
      <c r="G4761">
        <v>2.54</v>
      </c>
      <c r="H4761">
        <v>-0.12</v>
      </c>
      <c r="I4761">
        <v>1.33</v>
      </c>
      <c r="J4761">
        <v>1.7688999999999999</v>
      </c>
      <c r="K4761" t="str">
        <f>IFERROR(INDEX(Rosters!$C$2:$C$155,MATCH($B4761,Rosters!$B$2:$B$155,0)),"NA")</f>
        <v>NA</v>
      </c>
      <c r="L4761" t="str">
        <f t="shared" si="222"/>
        <v>NA1RB</v>
      </c>
      <c r="M4761">
        <f>COUNTIF(L$1:L4761,L4761)</f>
        <v>28</v>
      </c>
      <c r="N4761" t="str">
        <f t="shared" si="223"/>
        <v>NA1RB-28</v>
      </c>
      <c r="O4761">
        <f>COUNTIFS(F$1:F4761,F4761,A$1:A4761,A4761)</f>
        <v>70</v>
      </c>
      <c r="P4761" t="str">
        <f t="shared" si="224"/>
        <v>Wendell Smallwood1</v>
      </c>
    </row>
    <row r="4762" spans="1:16" x14ac:dyDescent="0.25">
      <c r="A4762">
        <v>9</v>
      </c>
      <c r="B4762" t="s">
        <v>4210</v>
      </c>
      <c r="C4762" t="s">
        <v>8656</v>
      </c>
      <c r="D4762">
        <v>1.2</v>
      </c>
      <c r="E4762" t="s">
        <v>56</v>
      </c>
      <c r="F4762" t="s">
        <v>87</v>
      </c>
      <c r="G4762">
        <v>2.2599999999999998</v>
      </c>
      <c r="H4762">
        <v>0.14000000000000001</v>
      </c>
      <c r="I4762">
        <v>1.06</v>
      </c>
      <c r="J4762">
        <v>1.1235999999999999</v>
      </c>
      <c r="K4762" t="str">
        <f>IFERROR(INDEX(Rosters!$C$2:$C$155,MATCH($B4762,Rosters!$B$2:$B$155,0)),"NA")</f>
        <v>NA</v>
      </c>
      <c r="L4762" t="str">
        <f t="shared" si="222"/>
        <v>NA9WR</v>
      </c>
      <c r="M4762">
        <f>COUNTIF(L$1:L4762,L4762)</f>
        <v>59</v>
      </c>
      <c r="N4762" t="str">
        <f t="shared" si="223"/>
        <v>NA9WR-59</v>
      </c>
      <c r="O4762">
        <f>COUNTIFS(F$1:F4762,F4762,A$1:A4762,A4762)</f>
        <v>103</v>
      </c>
      <c r="P4762" t="str">
        <f t="shared" si="224"/>
        <v>Austin Carr9</v>
      </c>
    </row>
    <row r="4763" spans="1:16" x14ac:dyDescent="0.25">
      <c r="A4763">
        <v>3</v>
      </c>
      <c r="B4763" t="s">
        <v>293</v>
      </c>
      <c r="C4763">
        <f>-0.26-2.66</f>
        <v>-2.92</v>
      </c>
      <c r="D4763">
        <v>1.2</v>
      </c>
      <c r="E4763" t="s">
        <v>58</v>
      </c>
      <c r="F4763" t="s">
        <v>47</v>
      </c>
      <c r="G4763">
        <v>2.66</v>
      </c>
      <c r="H4763">
        <v>-0.26</v>
      </c>
      <c r="I4763">
        <v>1.46</v>
      </c>
      <c r="J4763">
        <v>2.1316000000000002</v>
      </c>
      <c r="K4763" t="str">
        <f>IFERROR(INDEX(Rosters!$C$2:$C$155,MATCH($B4763,Rosters!$B$2:$B$155,0)),"NA")</f>
        <v>NA</v>
      </c>
      <c r="L4763" t="str">
        <f t="shared" si="222"/>
        <v>NA3RB</v>
      </c>
      <c r="M4763">
        <f>COUNTIF(L$1:L4763,L4763)</f>
        <v>39</v>
      </c>
      <c r="N4763" t="str">
        <f t="shared" si="223"/>
        <v>NA3RB-39</v>
      </c>
      <c r="O4763">
        <f>COUNTIFS(F$1:F4763,F4763,A$1:A4763,A4763)</f>
        <v>78</v>
      </c>
      <c r="P4763" t="str">
        <f t="shared" si="224"/>
        <v>Benny Cunningham3</v>
      </c>
    </row>
    <row r="4764" spans="1:16" x14ac:dyDescent="0.25">
      <c r="A4764">
        <v>6</v>
      </c>
      <c r="B4764" t="s">
        <v>365</v>
      </c>
      <c r="C4764" t="s">
        <v>8657</v>
      </c>
      <c r="D4764">
        <v>1.2</v>
      </c>
      <c r="E4764" t="s">
        <v>32</v>
      </c>
      <c r="F4764" t="s">
        <v>15</v>
      </c>
      <c r="G4764">
        <v>1.76</v>
      </c>
      <c r="H4764">
        <v>0.64</v>
      </c>
      <c r="I4764">
        <v>0.56000000000000005</v>
      </c>
      <c r="J4764">
        <v>0.31359999999999999</v>
      </c>
      <c r="K4764" t="str">
        <f>IFERROR(INDEX(Rosters!$C$2:$C$155,MATCH($B4764,Rosters!$B$2:$B$155,0)),"NA")</f>
        <v>NA</v>
      </c>
      <c r="L4764" t="str">
        <f t="shared" si="222"/>
        <v>NA6QB</v>
      </c>
      <c r="M4764">
        <f>COUNTIF(L$1:L4764,L4764)</f>
        <v>18</v>
      </c>
      <c r="N4764" t="str">
        <f t="shared" si="223"/>
        <v>NA6QB-18</v>
      </c>
      <c r="O4764">
        <f>COUNTIFS(F$1:F4764,F4764,A$1:A4764,A4764)</f>
        <v>33</v>
      </c>
      <c r="P4764" t="str">
        <f t="shared" si="224"/>
        <v>Brett Hundley6</v>
      </c>
    </row>
    <row r="4765" spans="1:16" x14ac:dyDescent="0.25">
      <c r="A4765">
        <v>5</v>
      </c>
      <c r="B4765" t="s">
        <v>1128</v>
      </c>
      <c r="C4765">
        <f>-0.23-2.63</f>
        <v>-2.86</v>
      </c>
      <c r="D4765">
        <v>1.2</v>
      </c>
      <c r="E4765" t="s">
        <v>54</v>
      </c>
      <c r="F4765" t="s">
        <v>87</v>
      </c>
      <c r="G4765">
        <v>2.63</v>
      </c>
      <c r="H4765">
        <v>-0.23</v>
      </c>
      <c r="I4765">
        <v>1.43</v>
      </c>
      <c r="J4765">
        <v>2.0449000000000002</v>
      </c>
      <c r="K4765" t="str">
        <f>IFERROR(INDEX(Rosters!$C$2:$C$155,MATCH($B4765,Rosters!$B$2:$B$155,0)),"NA")</f>
        <v>NA</v>
      </c>
      <c r="L4765" t="str">
        <f t="shared" si="222"/>
        <v>NA5WR</v>
      </c>
      <c r="M4765">
        <f>COUNTIF(L$1:L4765,L4765)</f>
        <v>70</v>
      </c>
      <c r="N4765" t="str">
        <f t="shared" si="223"/>
        <v>NA5WR-70</v>
      </c>
      <c r="O4765">
        <f>COUNTIFS(F$1:F4765,F4765,A$1:A4765,A4765)</f>
        <v>120</v>
      </c>
      <c r="P4765" t="str">
        <f t="shared" si="224"/>
        <v>Damiere Byrd5</v>
      </c>
    </row>
    <row r="4766" spans="1:16" x14ac:dyDescent="0.25">
      <c r="A4766">
        <v>12</v>
      </c>
      <c r="B4766" t="s">
        <v>380</v>
      </c>
      <c r="C4766">
        <f>-0.06-2.46</f>
        <v>-2.52</v>
      </c>
      <c r="D4766">
        <v>1.2</v>
      </c>
      <c r="E4766" t="s">
        <v>77</v>
      </c>
      <c r="F4766" t="s">
        <v>114</v>
      </c>
      <c r="G4766">
        <v>2.46</v>
      </c>
      <c r="H4766">
        <v>-0.06</v>
      </c>
      <c r="I4766">
        <v>1.26</v>
      </c>
      <c r="J4766">
        <v>1.5875999999999999</v>
      </c>
      <c r="K4766" t="str">
        <f>IFERROR(INDEX(Rosters!$C$2:$C$155,MATCH($B4766,Rosters!$B$2:$B$155,0)),"NA")</f>
        <v>NA</v>
      </c>
      <c r="L4766" t="str">
        <f t="shared" si="222"/>
        <v>NA12TE</v>
      </c>
      <c r="M4766">
        <f>COUNTIF(L$1:L4766,L4766)</f>
        <v>50</v>
      </c>
      <c r="N4766" t="str">
        <f t="shared" si="223"/>
        <v>NA12TE-50</v>
      </c>
      <c r="O4766">
        <f>COUNTIFS(F$1:F4766,F4766,A$1:A4766,A4766)</f>
        <v>63</v>
      </c>
      <c r="P4766" t="str">
        <f t="shared" si="224"/>
        <v>Derek Carrier12</v>
      </c>
    </row>
    <row r="4767" spans="1:16" x14ac:dyDescent="0.25">
      <c r="A4767">
        <v>4</v>
      </c>
      <c r="B4767" t="s">
        <v>2964</v>
      </c>
      <c r="C4767">
        <f>-0.06-2.46</f>
        <v>-2.52</v>
      </c>
      <c r="D4767">
        <v>1.2</v>
      </c>
      <c r="E4767" t="s">
        <v>54</v>
      </c>
      <c r="F4767" t="s">
        <v>47</v>
      </c>
      <c r="G4767">
        <v>2.46</v>
      </c>
      <c r="H4767">
        <v>-0.06</v>
      </c>
      <c r="I4767">
        <v>1.26</v>
      </c>
      <c r="J4767">
        <v>1.5875999999999999</v>
      </c>
      <c r="K4767" t="str">
        <f>IFERROR(INDEX(Rosters!$C$2:$C$155,MATCH($B4767,Rosters!$B$2:$B$155,0)),"NA")</f>
        <v>NA</v>
      </c>
      <c r="L4767" t="str">
        <f t="shared" si="222"/>
        <v>NA4RB</v>
      </c>
      <c r="M4767">
        <f>COUNTIF(L$1:L4767,L4767)</f>
        <v>32</v>
      </c>
      <c r="N4767" t="str">
        <f t="shared" si="223"/>
        <v>NA4RB-32</v>
      </c>
      <c r="O4767">
        <f>COUNTIFS(F$1:F4767,F4767,A$1:A4767,A4767)</f>
        <v>71</v>
      </c>
      <c r="P4767" t="str">
        <f t="shared" si="224"/>
        <v>Dwayne Washington4</v>
      </c>
    </row>
    <row r="4768" spans="1:16" x14ac:dyDescent="0.25">
      <c r="A4768">
        <v>5</v>
      </c>
      <c r="B4768" t="s">
        <v>4264</v>
      </c>
      <c r="C4768">
        <f>-0.22-2.62</f>
        <v>-2.8400000000000003</v>
      </c>
      <c r="D4768">
        <v>1.2</v>
      </c>
      <c r="E4768" t="s">
        <v>28</v>
      </c>
      <c r="F4768" t="s">
        <v>87</v>
      </c>
      <c r="G4768">
        <v>2.62</v>
      </c>
      <c r="H4768">
        <v>-0.22</v>
      </c>
      <c r="I4768">
        <v>1.42</v>
      </c>
      <c r="J4768">
        <v>2.0164</v>
      </c>
      <c r="K4768" t="str">
        <f>IFERROR(INDEX(Rosters!$C$2:$C$155,MATCH($B4768,Rosters!$B$2:$B$155,0)),"NA")</f>
        <v>NA</v>
      </c>
      <c r="L4768" t="str">
        <f t="shared" si="222"/>
        <v>NA5WR</v>
      </c>
      <c r="M4768">
        <f>COUNTIF(L$1:L4768,L4768)</f>
        <v>71</v>
      </c>
      <c r="N4768" t="str">
        <f t="shared" si="223"/>
        <v>NA5WR-71</v>
      </c>
      <c r="O4768">
        <f>COUNTIFS(F$1:F4768,F4768,A$1:A4768,A4768)</f>
        <v>121</v>
      </c>
      <c r="P4768" t="str">
        <f t="shared" si="224"/>
        <v>JoJo Natson5</v>
      </c>
    </row>
    <row r="4769" spans="1:16" x14ac:dyDescent="0.25">
      <c r="A4769">
        <v>5</v>
      </c>
      <c r="B4769" t="s">
        <v>1593</v>
      </c>
      <c r="C4769">
        <f>-0.66-3.06</f>
        <v>-3.72</v>
      </c>
      <c r="D4769">
        <v>1.2</v>
      </c>
      <c r="E4769" t="s">
        <v>28</v>
      </c>
      <c r="F4769" t="s">
        <v>87</v>
      </c>
      <c r="G4769">
        <v>3.06</v>
      </c>
      <c r="H4769">
        <v>-0.66</v>
      </c>
      <c r="I4769">
        <v>1.86</v>
      </c>
      <c r="J4769">
        <v>3.4596</v>
      </c>
      <c r="K4769" t="str">
        <f>IFERROR(INDEX(Rosters!$C$2:$C$155,MATCH($B4769,Rosters!$B$2:$B$155,0)),"NA")</f>
        <v>NA</v>
      </c>
      <c r="L4769" t="str">
        <f t="shared" si="222"/>
        <v>NA5WR</v>
      </c>
      <c r="M4769">
        <f>COUNTIF(L$1:L4769,L4769)</f>
        <v>72</v>
      </c>
      <c r="N4769" t="str">
        <f t="shared" si="223"/>
        <v>NA5WR-72</v>
      </c>
      <c r="O4769">
        <f>COUNTIFS(F$1:F4769,F4769,A$1:A4769,A4769)</f>
        <v>122</v>
      </c>
      <c r="P4769" t="str">
        <f t="shared" si="224"/>
        <v>Josh Reynolds5</v>
      </c>
    </row>
    <row r="4770" spans="1:16" x14ac:dyDescent="0.25">
      <c r="A4770">
        <v>11</v>
      </c>
      <c r="B4770" t="s">
        <v>327</v>
      </c>
      <c r="C4770">
        <f>-1.41-3.81</f>
        <v>-5.22</v>
      </c>
      <c r="D4770">
        <v>1.2</v>
      </c>
      <c r="E4770" t="s">
        <v>76</v>
      </c>
      <c r="F4770" t="s">
        <v>87</v>
      </c>
      <c r="G4770">
        <v>3.81</v>
      </c>
      <c r="H4770">
        <v>-1.41</v>
      </c>
      <c r="I4770">
        <v>2.61</v>
      </c>
      <c r="J4770">
        <v>6.8121</v>
      </c>
      <c r="K4770" t="str">
        <f>IFERROR(INDEX(Rosters!$C$2:$C$155,MATCH($B4770,Rosters!$B$2:$B$155,0)),"NA")</f>
        <v>NA</v>
      </c>
      <c r="L4770" t="str">
        <f t="shared" si="222"/>
        <v>NA11WR</v>
      </c>
      <c r="M4770">
        <f>COUNTIF(L$1:L4770,L4770)</f>
        <v>51</v>
      </c>
      <c r="N4770" t="str">
        <f t="shared" si="223"/>
        <v>NA11WR-51</v>
      </c>
      <c r="O4770">
        <f>COUNTIFS(F$1:F4770,F4770,A$1:A4770,A4770)</f>
        <v>98</v>
      </c>
      <c r="P4770" t="str">
        <f t="shared" si="224"/>
        <v>Justin Hunter11</v>
      </c>
    </row>
    <row r="4771" spans="1:16" x14ac:dyDescent="0.25">
      <c r="A4771">
        <v>15</v>
      </c>
      <c r="B4771" t="s">
        <v>1458</v>
      </c>
      <c r="C4771" t="s">
        <v>8658</v>
      </c>
      <c r="D4771">
        <v>1.2</v>
      </c>
      <c r="E4771" t="s">
        <v>25</v>
      </c>
      <c r="F4771" t="s">
        <v>47</v>
      </c>
      <c r="G4771">
        <v>2.4</v>
      </c>
      <c r="H4771">
        <v>0</v>
      </c>
      <c r="I4771">
        <v>1.2</v>
      </c>
      <c r="J4771">
        <v>1.44</v>
      </c>
      <c r="K4771" t="str">
        <f>IFERROR(INDEX(Rosters!$C$2:$C$155,MATCH($B4771,Rosters!$B$2:$B$155,0)),"NA")</f>
        <v>NA</v>
      </c>
      <c r="L4771" t="str">
        <f t="shared" si="222"/>
        <v>NA15RB</v>
      </c>
      <c r="M4771">
        <f>COUNTIF(L$1:L4771,L4771)</f>
        <v>37</v>
      </c>
      <c r="N4771" t="str">
        <f t="shared" si="223"/>
        <v>NA15RB-37</v>
      </c>
      <c r="O4771">
        <f>COUNTIFS(F$1:F4771,F4771,A$1:A4771,A4771)</f>
        <v>84</v>
      </c>
      <c r="P4771" t="str">
        <f t="shared" si="224"/>
        <v>Kalen Ballage15</v>
      </c>
    </row>
    <row r="4772" spans="1:16" x14ac:dyDescent="0.25">
      <c r="A4772">
        <v>2</v>
      </c>
      <c r="B4772" t="s">
        <v>279</v>
      </c>
      <c r="C4772">
        <f>-0.11-2.51</f>
        <v>-2.6199999999999997</v>
      </c>
      <c r="D4772">
        <v>1.2</v>
      </c>
      <c r="E4772" t="s">
        <v>30</v>
      </c>
      <c r="F4772" t="s">
        <v>114</v>
      </c>
      <c r="G4772">
        <v>2.5099999999999998</v>
      </c>
      <c r="H4772">
        <v>-0.11</v>
      </c>
      <c r="I4772">
        <v>1.31</v>
      </c>
      <c r="J4772">
        <v>1.7161</v>
      </c>
      <c r="K4772" t="str">
        <f>IFERROR(INDEX(Rosters!$C$2:$C$155,MATCH($B4772,Rosters!$B$2:$B$155,0)),"NA")</f>
        <v>NA</v>
      </c>
      <c r="L4772" t="str">
        <f t="shared" si="222"/>
        <v>NA2TE</v>
      </c>
      <c r="M4772">
        <f>COUNTIF(L$1:L4772,L4772)</f>
        <v>43</v>
      </c>
      <c r="N4772" t="str">
        <f t="shared" si="223"/>
        <v>NA2TE-43</v>
      </c>
      <c r="O4772">
        <f>COUNTIFS(F$1:F4772,F4772,A$1:A4772,A4772)</f>
        <v>56</v>
      </c>
      <c r="P4772" t="str">
        <f t="shared" si="224"/>
        <v>Levine Toilolo2</v>
      </c>
    </row>
    <row r="4773" spans="1:16" x14ac:dyDescent="0.25">
      <c r="A4773">
        <v>16</v>
      </c>
      <c r="B4773" t="s">
        <v>314</v>
      </c>
      <c r="C4773" t="s">
        <v>8659</v>
      </c>
      <c r="D4773">
        <v>1.2</v>
      </c>
      <c r="E4773" t="s">
        <v>22</v>
      </c>
      <c r="F4773" t="s">
        <v>15</v>
      </c>
      <c r="G4773">
        <v>1.82</v>
      </c>
      <c r="H4773">
        <v>0.57999999999999996</v>
      </c>
      <c r="I4773">
        <v>0.62</v>
      </c>
      <c r="J4773">
        <v>0.38440000000000002</v>
      </c>
      <c r="K4773" t="str">
        <f>IFERROR(INDEX(Rosters!$C$2:$C$155,MATCH($B4773,Rosters!$B$2:$B$155,0)),"NA")</f>
        <v>NA</v>
      </c>
      <c r="L4773" t="str">
        <f t="shared" si="222"/>
        <v>NA16QB</v>
      </c>
      <c r="M4773">
        <f>COUNTIF(L$1:L4773,L4773)</f>
        <v>18</v>
      </c>
      <c r="N4773" t="str">
        <f t="shared" si="223"/>
        <v>NA16QB-18</v>
      </c>
      <c r="O4773">
        <f>COUNTIFS(F$1:F4773,F4773,A$1:A4773,A4773)</f>
        <v>35</v>
      </c>
      <c r="P4773" t="str">
        <f t="shared" si="224"/>
        <v>Ryan Fitzpatrick16</v>
      </c>
    </row>
    <row r="4774" spans="1:16" x14ac:dyDescent="0.25">
      <c r="A4774">
        <v>6</v>
      </c>
      <c r="B4774" t="s">
        <v>336</v>
      </c>
      <c r="C4774">
        <f>-0.24-2.62</f>
        <v>-2.8600000000000003</v>
      </c>
      <c r="D4774">
        <v>1.19</v>
      </c>
      <c r="E4774" t="s">
        <v>56</v>
      </c>
      <c r="F4774" t="s">
        <v>47</v>
      </c>
      <c r="G4774">
        <v>2.62</v>
      </c>
      <c r="H4774">
        <v>-0.24</v>
      </c>
      <c r="I4774">
        <v>1.43</v>
      </c>
      <c r="J4774">
        <v>2.0449000000000002</v>
      </c>
      <c r="K4774" t="str">
        <f>IFERROR(INDEX(Rosters!$C$2:$C$155,MATCH($B4774,Rosters!$B$2:$B$155,0)),"NA")</f>
        <v>NA</v>
      </c>
      <c r="L4774" t="str">
        <f t="shared" si="222"/>
        <v>NA6RB</v>
      </c>
      <c r="M4774">
        <f>COUNTIF(L$1:L4774,L4774)</f>
        <v>33</v>
      </c>
      <c r="N4774" t="str">
        <f t="shared" si="223"/>
        <v>NA6RB-33</v>
      </c>
      <c r="O4774">
        <f>COUNTIFS(F$1:F4774,F4774,A$1:A4774,A4774)</f>
        <v>75</v>
      </c>
      <c r="P4774" t="str">
        <f t="shared" si="224"/>
        <v>Andy Janovich6</v>
      </c>
    </row>
    <row r="4775" spans="1:16" x14ac:dyDescent="0.25">
      <c r="A4775">
        <v>16</v>
      </c>
      <c r="B4775" t="s">
        <v>365</v>
      </c>
      <c r="C4775" t="s">
        <v>8660</v>
      </c>
      <c r="D4775">
        <v>1.19</v>
      </c>
      <c r="E4775" t="s">
        <v>24</v>
      </c>
      <c r="F4775" t="s">
        <v>15</v>
      </c>
      <c r="G4775">
        <v>1.77</v>
      </c>
      <c r="H4775">
        <v>0.61</v>
      </c>
      <c r="I4775">
        <v>0.57999999999999996</v>
      </c>
      <c r="J4775">
        <v>0.33639999999999998</v>
      </c>
      <c r="K4775" t="str">
        <f>IFERROR(INDEX(Rosters!$C$2:$C$155,MATCH($B4775,Rosters!$B$2:$B$155,0)),"NA")</f>
        <v>NA</v>
      </c>
      <c r="L4775" t="str">
        <f t="shared" si="222"/>
        <v>NA16QB</v>
      </c>
      <c r="M4775">
        <f>COUNTIF(L$1:L4775,L4775)</f>
        <v>19</v>
      </c>
      <c r="N4775" t="str">
        <f t="shared" si="223"/>
        <v>NA16QB-19</v>
      </c>
      <c r="O4775">
        <f>COUNTIFS(F$1:F4775,F4775,A$1:A4775,A4775)</f>
        <v>36</v>
      </c>
      <c r="P4775" t="str">
        <f t="shared" si="224"/>
        <v>Brett Hundley16</v>
      </c>
    </row>
    <row r="4776" spans="1:16" x14ac:dyDescent="0.25">
      <c r="A4776">
        <v>7</v>
      </c>
      <c r="B4776" t="s">
        <v>330</v>
      </c>
      <c r="C4776">
        <f>-0.23-2.61</f>
        <v>-2.84</v>
      </c>
      <c r="D4776">
        <v>1.19</v>
      </c>
      <c r="E4776" t="s">
        <v>50</v>
      </c>
      <c r="F4776" t="s">
        <v>114</v>
      </c>
      <c r="G4776">
        <v>2.61</v>
      </c>
      <c r="H4776">
        <v>-0.23</v>
      </c>
      <c r="I4776">
        <v>1.42</v>
      </c>
      <c r="J4776">
        <v>2.0164</v>
      </c>
      <c r="K4776" t="str">
        <f>IFERROR(INDEX(Rosters!$C$2:$C$155,MATCH($B4776,Rosters!$B$2:$B$155,0)),"NA")</f>
        <v>NA</v>
      </c>
      <c r="L4776" t="str">
        <f t="shared" si="222"/>
        <v>NA7TE</v>
      </c>
      <c r="M4776">
        <f>COUNTIF(L$1:L4776,L4776)</f>
        <v>48</v>
      </c>
      <c r="N4776" t="str">
        <f t="shared" si="223"/>
        <v>NA7TE-48</v>
      </c>
      <c r="O4776">
        <f>COUNTIFS(F$1:F4776,F4776,A$1:A4776,A4776)</f>
        <v>58</v>
      </c>
      <c r="P4776" t="str">
        <f t="shared" si="224"/>
        <v>Chris Manhertz7</v>
      </c>
    </row>
    <row r="4777" spans="1:16" x14ac:dyDescent="0.25">
      <c r="A4777">
        <v>12</v>
      </c>
      <c r="B4777" t="s">
        <v>1543</v>
      </c>
      <c r="C4777" t="s">
        <v>8661</v>
      </c>
      <c r="D4777">
        <v>1.19</v>
      </c>
      <c r="E4777" t="s">
        <v>66</v>
      </c>
      <c r="F4777" t="s">
        <v>15</v>
      </c>
      <c r="G4777">
        <v>1.71</v>
      </c>
      <c r="H4777">
        <v>0.67</v>
      </c>
      <c r="I4777">
        <v>0.52</v>
      </c>
      <c r="J4777">
        <v>0.27039999999999997</v>
      </c>
      <c r="K4777" t="str">
        <f>IFERROR(INDEX(Rosters!$C$2:$C$155,MATCH($B4777,Rosters!$B$2:$B$155,0)),"NA")</f>
        <v>NA</v>
      </c>
      <c r="L4777" t="str">
        <f t="shared" si="222"/>
        <v>NA12QB</v>
      </c>
      <c r="M4777">
        <f>COUNTIF(L$1:L4777,L4777)</f>
        <v>19</v>
      </c>
      <c r="N4777" t="str">
        <f t="shared" si="223"/>
        <v>NA12QB-19</v>
      </c>
      <c r="O4777">
        <f>COUNTIFS(F$1:F4777,F4777,A$1:A4777,A4777)</f>
        <v>34</v>
      </c>
      <c r="P4777" t="str">
        <f t="shared" si="224"/>
        <v>David Fales12</v>
      </c>
    </row>
    <row r="4778" spans="1:16" x14ac:dyDescent="0.25">
      <c r="A4778">
        <v>3</v>
      </c>
      <c r="B4778" t="s">
        <v>254</v>
      </c>
      <c r="C4778">
        <f>-0.25-2.63</f>
        <v>-2.88</v>
      </c>
      <c r="D4778">
        <v>1.19</v>
      </c>
      <c r="E4778" t="s">
        <v>34</v>
      </c>
      <c r="F4778" t="s">
        <v>114</v>
      </c>
      <c r="G4778">
        <v>2.63</v>
      </c>
      <c r="H4778">
        <v>-0.25</v>
      </c>
      <c r="I4778">
        <v>1.44</v>
      </c>
      <c r="J4778">
        <v>2.0735999999999999</v>
      </c>
      <c r="K4778" t="str">
        <f>IFERROR(INDEX(Rosters!$C$2:$C$155,MATCH($B4778,Rosters!$B$2:$B$155,0)),"NA")</f>
        <v>NA</v>
      </c>
      <c r="L4778" t="str">
        <f t="shared" si="222"/>
        <v>NA3TE</v>
      </c>
      <c r="M4778">
        <f>COUNTIF(L$1:L4778,L4778)</f>
        <v>48</v>
      </c>
      <c r="N4778" t="str">
        <f t="shared" si="223"/>
        <v>NA3TE-48</v>
      </c>
      <c r="O4778">
        <f>COUNTIFS(F$1:F4778,F4778,A$1:A4778,A4778)</f>
        <v>61</v>
      </c>
      <c r="P4778" t="str">
        <f t="shared" si="224"/>
        <v>Dwayne Allen3</v>
      </c>
    </row>
    <row r="4779" spans="1:16" x14ac:dyDescent="0.25">
      <c r="A4779">
        <v>6</v>
      </c>
      <c r="B4779" t="s">
        <v>1593</v>
      </c>
      <c r="C4779">
        <f>-0.67-3.05</f>
        <v>-3.7199999999999998</v>
      </c>
      <c r="D4779">
        <v>1.19</v>
      </c>
      <c r="E4779" t="s">
        <v>42</v>
      </c>
      <c r="F4779" t="s">
        <v>87</v>
      </c>
      <c r="G4779">
        <v>3.05</v>
      </c>
      <c r="H4779">
        <v>-0.67</v>
      </c>
      <c r="I4779">
        <v>1.86</v>
      </c>
      <c r="J4779">
        <v>3.4596</v>
      </c>
      <c r="K4779" t="str">
        <f>IFERROR(INDEX(Rosters!$C$2:$C$155,MATCH($B4779,Rosters!$B$2:$B$155,0)),"NA")</f>
        <v>NA</v>
      </c>
      <c r="L4779" t="str">
        <f t="shared" si="222"/>
        <v>NA6WR</v>
      </c>
      <c r="M4779">
        <f>COUNTIF(L$1:L4779,L4779)</f>
        <v>64</v>
      </c>
      <c r="N4779" t="str">
        <f t="shared" si="223"/>
        <v>NA6WR-64</v>
      </c>
      <c r="O4779">
        <f>COUNTIFS(F$1:F4779,F4779,A$1:A4779,A4779)</f>
        <v>114</v>
      </c>
      <c r="P4779" t="str">
        <f t="shared" si="224"/>
        <v>Josh Reynolds6</v>
      </c>
    </row>
    <row r="4780" spans="1:16" x14ac:dyDescent="0.25">
      <c r="A4780">
        <v>3</v>
      </c>
      <c r="B4780" t="s">
        <v>300</v>
      </c>
      <c r="C4780">
        <f>-0.01-2.39</f>
        <v>-2.4</v>
      </c>
      <c r="D4780">
        <v>1.19</v>
      </c>
      <c r="E4780" t="s">
        <v>60</v>
      </c>
      <c r="F4780" t="s">
        <v>114</v>
      </c>
      <c r="G4780">
        <v>2.39</v>
      </c>
      <c r="H4780">
        <v>-0.01</v>
      </c>
      <c r="I4780">
        <v>1.2</v>
      </c>
      <c r="J4780">
        <v>1.44</v>
      </c>
      <c r="K4780" t="str">
        <f>IFERROR(INDEX(Rosters!$C$2:$C$155,MATCH($B4780,Rosters!$B$2:$B$155,0)),"NA")</f>
        <v>NA</v>
      </c>
      <c r="L4780" t="str">
        <f t="shared" si="222"/>
        <v>NA3TE</v>
      </c>
      <c r="M4780">
        <f>COUNTIF(L$1:L4780,L4780)</f>
        <v>49</v>
      </c>
      <c r="N4780" t="str">
        <f t="shared" si="223"/>
        <v>NA3TE-49</v>
      </c>
      <c r="O4780">
        <f>COUNTIFS(F$1:F4780,F4780,A$1:A4780,A4780)</f>
        <v>62</v>
      </c>
      <c r="P4780" t="str">
        <f t="shared" si="224"/>
        <v>Lance Kendricks3</v>
      </c>
    </row>
    <row r="4781" spans="1:16" x14ac:dyDescent="0.25">
      <c r="A4781">
        <v>17</v>
      </c>
      <c r="B4781" t="s">
        <v>390</v>
      </c>
      <c r="C4781" t="s">
        <v>8662</v>
      </c>
      <c r="D4781">
        <v>1.19</v>
      </c>
      <c r="E4781" t="s">
        <v>31</v>
      </c>
      <c r="F4781" t="s">
        <v>47</v>
      </c>
      <c r="G4781">
        <v>2.19</v>
      </c>
      <c r="H4781">
        <v>0.19</v>
      </c>
      <c r="I4781">
        <v>1</v>
      </c>
      <c r="J4781">
        <v>1</v>
      </c>
      <c r="K4781" t="str">
        <f>IFERROR(INDEX(Rosters!$C$2:$C$155,MATCH($B4781,Rosters!$B$2:$B$155,0)),"NA")</f>
        <v>NA</v>
      </c>
      <c r="L4781" t="str">
        <f t="shared" si="222"/>
        <v>NA17RB</v>
      </c>
      <c r="M4781">
        <f>COUNTIF(L$1:L4781,L4781)</f>
        <v>39</v>
      </c>
      <c r="N4781" t="str">
        <f t="shared" si="223"/>
        <v>NA17RB-39</v>
      </c>
      <c r="O4781">
        <f>COUNTIFS(F$1:F4781,F4781,A$1:A4781,A4781)</f>
        <v>86</v>
      </c>
      <c r="P4781" t="str">
        <f t="shared" si="224"/>
        <v>Roosevelt Nix17</v>
      </c>
    </row>
    <row r="4782" spans="1:16" x14ac:dyDescent="0.25">
      <c r="A4782">
        <v>12</v>
      </c>
      <c r="B4782" t="s">
        <v>1581</v>
      </c>
      <c r="C4782">
        <f>-0.11-2.49</f>
        <v>-2.6</v>
      </c>
      <c r="D4782">
        <v>1.19</v>
      </c>
      <c r="E4782" t="s">
        <v>42</v>
      </c>
      <c r="F4782" t="s">
        <v>47</v>
      </c>
      <c r="G4782">
        <v>2.4900000000000002</v>
      </c>
      <c r="H4782">
        <v>-0.11</v>
      </c>
      <c r="I4782">
        <v>1.3</v>
      </c>
      <c r="J4782">
        <v>1.69</v>
      </c>
      <c r="K4782" t="str">
        <f>IFERROR(INDEX(Rosters!$C$2:$C$155,MATCH($B4782,Rosters!$B$2:$B$155,0)),"NA")</f>
        <v>NA</v>
      </c>
      <c r="L4782" t="str">
        <f t="shared" si="222"/>
        <v>NA12RB</v>
      </c>
      <c r="M4782">
        <f>COUNTIF(L$1:L4782,L4782)</f>
        <v>37</v>
      </c>
      <c r="N4782" t="str">
        <f t="shared" si="223"/>
        <v>NA12RB-37</v>
      </c>
      <c r="O4782">
        <f>COUNTIFS(F$1:F4782,F4782,A$1:A4782,A4782)</f>
        <v>82</v>
      </c>
      <c r="P4782" t="str">
        <f t="shared" si="224"/>
        <v>Stevan Ridley12</v>
      </c>
    </row>
    <row r="4783" spans="1:16" x14ac:dyDescent="0.25">
      <c r="A4783">
        <v>14</v>
      </c>
      <c r="B4783" t="s">
        <v>1131</v>
      </c>
      <c r="C4783">
        <f>-0.22-2.6</f>
        <v>-2.8200000000000003</v>
      </c>
      <c r="D4783">
        <v>1.19</v>
      </c>
      <c r="E4783" t="s">
        <v>66</v>
      </c>
      <c r="F4783" t="s">
        <v>47</v>
      </c>
      <c r="G4783">
        <v>2.6</v>
      </c>
      <c r="H4783">
        <v>-0.22</v>
      </c>
      <c r="I4783">
        <v>1.41</v>
      </c>
      <c r="J4783">
        <v>1.9881</v>
      </c>
      <c r="K4783" t="str">
        <f>IFERROR(INDEX(Rosters!$C$2:$C$155,MATCH($B4783,Rosters!$B$2:$B$155,0)),"NA")</f>
        <v>NA</v>
      </c>
      <c r="L4783" t="str">
        <f t="shared" si="222"/>
        <v>NA14RB</v>
      </c>
      <c r="M4783">
        <f>COUNTIF(L$1:L4783,L4783)</f>
        <v>40</v>
      </c>
      <c r="N4783" t="str">
        <f t="shared" si="223"/>
        <v>NA14RB-40</v>
      </c>
      <c r="O4783">
        <f>COUNTIFS(F$1:F4783,F4783,A$1:A4783,A4783)</f>
        <v>87</v>
      </c>
      <c r="P4783" t="str">
        <f t="shared" si="224"/>
        <v>Tyler Ervin14</v>
      </c>
    </row>
    <row r="4784" spans="1:16" x14ac:dyDescent="0.25">
      <c r="A4784">
        <v>8</v>
      </c>
      <c r="B4784" t="s">
        <v>8584</v>
      </c>
      <c r="C4784" t="s">
        <v>8663</v>
      </c>
      <c r="D4784">
        <v>1.18</v>
      </c>
      <c r="E4784" t="s">
        <v>74</v>
      </c>
      <c r="F4784" t="s">
        <v>47</v>
      </c>
      <c r="G4784">
        <v>2.2999999999999998</v>
      </c>
      <c r="H4784">
        <v>0.06</v>
      </c>
      <c r="I4784">
        <v>1.1200000000000001</v>
      </c>
      <c r="J4784">
        <v>1.2544</v>
      </c>
      <c r="K4784" t="str">
        <f>IFERROR(INDEX(Rosters!$C$2:$C$155,MATCH($B4784,Rosters!$B$2:$B$155,0)),"NA")</f>
        <v>NA</v>
      </c>
      <c r="L4784" t="str">
        <f t="shared" si="222"/>
        <v>NA8RB</v>
      </c>
      <c r="M4784">
        <f>COUNTIF(L$1:L4784,L4784)</f>
        <v>36</v>
      </c>
      <c r="N4784" t="str">
        <f t="shared" si="223"/>
        <v>NA8RB-36</v>
      </c>
      <c r="O4784">
        <f>COUNTIFS(F$1:F4784,F4784,A$1:A4784,A4784)</f>
        <v>76</v>
      </c>
      <c r="P4784" t="str">
        <f t="shared" si="224"/>
        <v>De'Lance Turner8</v>
      </c>
    </row>
    <row r="4785" spans="1:16" x14ac:dyDescent="0.25">
      <c r="A4785">
        <v>2</v>
      </c>
      <c r="B4785" t="s">
        <v>380</v>
      </c>
      <c r="C4785">
        <f>-0.09-2.45</f>
        <v>-2.54</v>
      </c>
      <c r="D4785">
        <v>1.18</v>
      </c>
      <c r="E4785" t="s">
        <v>42</v>
      </c>
      <c r="F4785" t="s">
        <v>114</v>
      </c>
      <c r="G4785">
        <v>2.4500000000000002</v>
      </c>
      <c r="H4785">
        <v>-0.09</v>
      </c>
      <c r="I4785">
        <v>1.27</v>
      </c>
      <c r="J4785">
        <v>1.6129</v>
      </c>
      <c r="K4785" t="str">
        <f>IFERROR(INDEX(Rosters!$C$2:$C$155,MATCH($B4785,Rosters!$B$2:$B$155,0)),"NA")</f>
        <v>NA</v>
      </c>
      <c r="L4785" t="str">
        <f t="shared" si="222"/>
        <v>NA2TE</v>
      </c>
      <c r="M4785">
        <f>COUNTIF(L$1:L4785,L4785)</f>
        <v>44</v>
      </c>
      <c r="N4785" t="str">
        <f t="shared" si="223"/>
        <v>NA2TE-44</v>
      </c>
      <c r="O4785">
        <f>COUNTIFS(F$1:F4785,F4785,A$1:A4785,A4785)</f>
        <v>57</v>
      </c>
      <c r="P4785" t="str">
        <f t="shared" si="224"/>
        <v>Derek Carrier2</v>
      </c>
    </row>
    <row r="4786" spans="1:16" x14ac:dyDescent="0.25">
      <c r="A4786">
        <v>16</v>
      </c>
      <c r="B4786" t="s">
        <v>88</v>
      </c>
      <c r="C4786" t="s">
        <v>8664</v>
      </c>
      <c r="D4786">
        <v>1.18</v>
      </c>
      <c r="E4786" t="s">
        <v>41</v>
      </c>
      <c r="F4786" t="s">
        <v>15</v>
      </c>
      <c r="G4786">
        <v>1.76</v>
      </c>
      <c r="H4786">
        <v>0.6</v>
      </c>
      <c r="I4786">
        <v>0.57999999999999996</v>
      </c>
      <c r="J4786">
        <v>0.33639999999999998</v>
      </c>
      <c r="K4786" t="str">
        <f>IFERROR(INDEX(Rosters!$C$2:$C$155,MATCH($B4786,Rosters!$B$2:$B$155,0)),"NA")</f>
        <v>NA</v>
      </c>
      <c r="L4786" t="str">
        <f t="shared" si="222"/>
        <v>NA16QB</v>
      </c>
      <c r="M4786">
        <f>COUNTIF(L$1:L4786,L4786)</f>
        <v>20</v>
      </c>
      <c r="N4786" t="str">
        <f t="shared" si="223"/>
        <v>NA16QB-20</v>
      </c>
      <c r="O4786">
        <f>COUNTIFS(F$1:F4786,F4786,A$1:A4786,A4786)</f>
        <v>37</v>
      </c>
      <c r="P4786" t="str">
        <f t="shared" si="224"/>
        <v>Josh McCown16</v>
      </c>
    </row>
    <row r="4787" spans="1:16" x14ac:dyDescent="0.25">
      <c r="A4787">
        <v>8</v>
      </c>
      <c r="B4787" t="s">
        <v>339</v>
      </c>
      <c r="C4787">
        <f>-0.11-2.47</f>
        <v>-2.58</v>
      </c>
      <c r="D4787">
        <v>1.18</v>
      </c>
      <c r="E4787" t="s">
        <v>58</v>
      </c>
      <c r="F4787" t="s">
        <v>47</v>
      </c>
      <c r="G4787">
        <v>2.4700000000000002</v>
      </c>
      <c r="H4787">
        <v>-0.11</v>
      </c>
      <c r="I4787">
        <v>1.29</v>
      </c>
      <c r="J4787">
        <v>1.6640999999999999</v>
      </c>
      <c r="K4787" t="str">
        <f>IFERROR(INDEX(Rosters!$C$2:$C$155,MATCH($B4787,Rosters!$B$2:$B$155,0)),"NA")</f>
        <v>NA</v>
      </c>
      <c r="L4787" t="str">
        <f t="shared" si="222"/>
        <v>NA8RB</v>
      </c>
      <c r="M4787">
        <f>COUNTIF(L$1:L4787,L4787)</f>
        <v>37</v>
      </c>
      <c r="N4787" t="str">
        <f t="shared" si="223"/>
        <v>NA8RB-37</v>
      </c>
      <c r="O4787">
        <f>COUNTIFS(F$1:F4787,F4787,A$1:A4787,A4787)</f>
        <v>77</v>
      </c>
      <c r="P4787" t="str">
        <f t="shared" si="224"/>
        <v>Kyle Juszczyk8</v>
      </c>
    </row>
    <row r="4788" spans="1:16" x14ac:dyDescent="0.25">
      <c r="A4788">
        <v>10</v>
      </c>
      <c r="B4788" t="s">
        <v>144</v>
      </c>
      <c r="C4788">
        <f>-0.4-2.76</f>
        <v>-3.1599999999999997</v>
      </c>
      <c r="D4788">
        <v>1.18</v>
      </c>
      <c r="E4788" t="s">
        <v>31</v>
      </c>
      <c r="F4788" t="s">
        <v>47</v>
      </c>
      <c r="G4788">
        <v>2.76</v>
      </c>
      <c r="H4788">
        <v>-0.4</v>
      </c>
      <c r="I4788">
        <v>1.58</v>
      </c>
      <c r="J4788">
        <v>2.4964</v>
      </c>
      <c r="K4788" t="str">
        <f>IFERROR(INDEX(Rosters!$C$2:$C$155,MATCH($B4788,Rosters!$B$2:$B$155,0)),"NA")</f>
        <v>NA</v>
      </c>
      <c r="L4788" t="str">
        <f t="shared" si="222"/>
        <v>NA10RB</v>
      </c>
      <c r="M4788">
        <f>COUNTIF(L$1:L4788,L4788)</f>
        <v>36</v>
      </c>
      <c r="N4788" t="str">
        <f t="shared" si="223"/>
        <v>NA10RB-36</v>
      </c>
      <c r="O4788">
        <f>COUNTIFS(F$1:F4788,F4788,A$1:A4788,A4788)</f>
        <v>75</v>
      </c>
      <c r="P4788" t="str">
        <f t="shared" si="224"/>
        <v>Mike Gillislee10</v>
      </c>
    </row>
    <row r="4789" spans="1:16" x14ac:dyDescent="0.25">
      <c r="A4789">
        <v>15</v>
      </c>
      <c r="B4789" t="s">
        <v>1581</v>
      </c>
      <c r="C4789" t="s">
        <v>8665</v>
      </c>
      <c r="D4789">
        <v>1.18</v>
      </c>
      <c r="E4789" t="s">
        <v>423</v>
      </c>
      <c r="F4789" t="s">
        <v>47</v>
      </c>
      <c r="G4789">
        <v>2.36</v>
      </c>
      <c r="H4789">
        <v>0</v>
      </c>
      <c r="I4789">
        <v>1.18</v>
      </c>
      <c r="J4789">
        <v>1.3924000000000001</v>
      </c>
      <c r="K4789" t="str">
        <f>IFERROR(INDEX(Rosters!$C$2:$C$155,MATCH($B4789,Rosters!$B$2:$B$155,0)),"NA")</f>
        <v>NA</v>
      </c>
      <c r="L4789" t="str">
        <f t="shared" si="222"/>
        <v>NA15RB</v>
      </c>
      <c r="M4789">
        <f>COUNTIF(L$1:L4789,L4789)</f>
        <v>38</v>
      </c>
      <c r="N4789" t="str">
        <f t="shared" si="223"/>
        <v>NA15RB-38</v>
      </c>
      <c r="O4789">
        <f>COUNTIFS(F$1:F4789,F4789,A$1:A4789,A4789)</f>
        <v>85</v>
      </c>
      <c r="P4789" t="str">
        <f t="shared" si="224"/>
        <v>Stevan Ridley15</v>
      </c>
    </row>
    <row r="4790" spans="1:16" x14ac:dyDescent="0.25">
      <c r="A4790">
        <v>15</v>
      </c>
      <c r="B4790" t="s">
        <v>1524</v>
      </c>
      <c r="C4790">
        <f>-0.29-2.63</f>
        <v>-2.92</v>
      </c>
      <c r="D4790">
        <v>1.17</v>
      </c>
      <c r="E4790" t="s">
        <v>54</v>
      </c>
      <c r="F4790" t="s">
        <v>47</v>
      </c>
      <c r="G4790">
        <v>2.63</v>
      </c>
      <c r="H4790">
        <v>-0.28999999999999998</v>
      </c>
      <c r="I4790">
        <v>1.46</v>
      </c>
      <c r="J4790">
        <v>2.1316000000000002</v>
      </c>
      <c r="K4790" t="str">
        <f>IFERROR(INDEX(Rosters!$C$2:$C$155,MATCH($B4790,Rosters!$B$2:$B$155,0)),"NA")</f>
        <v>NA</v>
      </c>
      <c r="L4790" t="str">
        <f t="shared" si="222"/>
        <v>NA15RB</v>
      </c>
      <c r="M4790">
        <f>COUNTIF(L$1:L4790,L4790)</f>
        <v>39</v>
      </c>
      <c r="N4790" t="str">
        <f t="shared" si="223"/>
        <v>NA15RB-39</v>
      </c>
      <c r="O4790">
        <f>COUNTIFS(F$1:F4790,F4790,A$1:A4790,A4790)</f>
        <v>86</v>
      </c>
      <c r="P4790" t="str">
        <f t="shared" si="224"/>
        <v>David Fluellen15</v>
      </c>
    </row>
    <row r="4791" spans="1:16" x14ac:dyDescent="0.25">
      <c r="A4791">
        <v>5</v>
      </c>
      <c r="B4791" t="s">
        <v>254</v>
      </c>
      <c r="C4791">
        <f>-0.49-2.83</f>
        <v>-3.3200000000000003</v>
      </c>
      <c r="D4791">
        <v>1.17</v>
      </c>
      <c r="E4791" t="s">
        <v>66</v>
      </c>
      <c r="F4791" t="s">
        <v>114</v>
      </c>
      <c r="G4791">
        <v>2.83</v>
      </c>
      <c r="H4791">
        <v>-0.49</v>
      </c>
      <c r="I4791">
        <v>1.66</v>
      </c>
      <c r="J4791">
        <v>2.7555999999999998</v>
      </c>
      <c r="K4791" t="str">
        <f>IFERROR(INDEX(Rosters!$C$2:$C$155,MATCH($B4791,Rosters!$B$2:$B$155,0)),"NA")</f>
        <v>NA</v>
      </c>
      <c r="L4791" t="str">
        <f t="shared" si="222"/>
        <v>NA5TE</v>
      </c>
      <c r="M4791">
        <f>COUNTIF(L$1:L4791,L4791)</f>
        <v>52</v>
      </c>
      <c r="N4791" t="str">
        <f t="shared" si="223"/>
        <v>NA5TE-52</v>
      </c>
      <c r="O4791">
        <f>COUNTIFS(F$1:F4791,F4791,A$1:A4791,A4791)</f>
        <v>63</v>
      </c>
      <c r="P4791" t="str">
        <f t="shared" si="224"/>
        <v>Dwayne Allen5</v>
      </c>
    </row>
    <row r="4792" spans="1:16" x14ac:dyDescent="0.25">
      <c r="A4792">
        <v>9</v>
      </c>
      <c r="B4792" t="s">
        <v>1469</v>
      </c>
      <c r="C4792">
        <f>-0.28-2.62</f>
        <v>-2.9000000000000004</v>
      </c>
      <c r="D4792">
        <v>1.17</v>
      </c>
      <c r="E4792" t="s">
        <v>14</v>
      </c>
      <c r="F4792" t="s">
        <v>114</v>
      </c>
      <c r="G4792">
        <v>2.62</v>
      </c>
      <c r="H4792">
        <v>-0.28000000000000003</v>
      </c>
      <c r="I4792">
        <v>1.45</v>
      </c>
      <c r="J4792">
        <v>2.1025</v>
      </c>
      <c r="K4792" t="str">
        <f>IFERROR(INDEX(Rosters!$C$2:$C$155,MATCH($B4792,Rosters!$B$2:$B$155,0)),"NA")</f>
        <v>NA</v>
      </c>
      <c r="L4792" t="str">
        <f t="shared" si="222"/>
        <v>NA9TE</v>
      </c>
      <c r="M4792">
        <f>COUNTIF(L$1:L4792,L4792)</f>
        <v>43</v>
      </c>
      <c r="N4792" t="str">
        <f t="shared" si="223"/>
        <v>NA9TE-43</v>
      </c>
      <c r="O4792">
        <f>COUNTIFS(F$1:F4792,F4792,A$1:A4792,A4792)</f>
        <v>54</v>
      </c>
      <c r="P4792" t="str">
        <f t="shared" si="224"/>
        <v>Gerald Everett9</v>
      </c>
    </row>
    <row r="4793" spans="1:16" x14ac:dyDescent="0.25">
      <c r="A4793">
        <v>12</v>
      </c>
      <c r="B4793" t="s">
        <v>88</v>
      </c>
      <c r="C4793" t="s">
        <v>8666</v>
      </c>
      <c r="D4793">
        <v>1.17</v>
      </c>
      <c r="E4793" t="s">
        <v>423</v>
      </c>
      <c r="F4793" t="s">
        <v>15</v>
      </c>
      <c r="G4793">
        <v>1.75</v>
      </c>
      <c r="H4793">
        <v>0.59</v>
      </c>
      <c r="I4793">
        <v>0.57999999999999996</v>
      </c>
      <c r="J4793">
        <v>0.33639999999999998</v>
      </c>
      <c r="K4793" t="str">
        <f>IFERROR(INDEX(Rosters!$C$2:$C$155,MATCH($B4793,Rosters!$B$2:$B$155,0)),"NA")</f>
        <v>NA</v>
      </c>
      <c r="L4793" t="str">
        <f t="shared" si="222"/>
        <v>NA12QB</v>
      </c>
      <c r="M4793">
        <f>COUNTIF(L$1:L4793,L4793)</f>
        <v>20</v>
      </c>
      <c r="N4793" t="str">
        <f t="shared" si="223"/>
        <v>NA12QB-20</v>
      </c>
      <c r="O4793">
        <f>COUNTIFS(F$1:F4793,F4793,A$1:A4793,A4793)</f>
        <v>35</v>
      </c>
      <c r="P4793" t="str">
        <f t="shared" si="224"/>
        <v>Josh McCown12</v>
      </c>
    </row>
    <row r="4794" spans="1:16" x14ac:dyDescent="0.25">
      <c r="A4794">
        <v>9</v>
      </c>
      <c r="B4794" t="s">
        <v>327</v>
      </c>
      <c r="C4794">
        <f>-1.43-3.77</f>
        <v>-5.2</v>
      </c>
      <c r="D4794">
        <v>1.17</v>
      </c>
      <c r="E4794" t="s">
        <v>77</v>
      </c>
      <c r="F4794" t="s">
        <v>87</v>
      </c>
      <c r="G4794">
        <v>3.77</v>
      </c>
      <c r="H4794">
        <v>-1.43</v>
      </c>
      <c r="I4794">
        <v>2.6</v>
      </c>
      <c r="J4794">
        <v>6.76</v>
      </c>
      <c r="K4794" t="str">
        <f>IFERROR(INDEX(Rosters!$C$2:$C$155,MATCH($B4794,Rosters!$B$2:$B$155,0)),"NA")</f>
        <v>NA</v>
      </c>
      <c r="L4794" t="str">
        <f t="shared" si="222"/>
        <v>NA9WR</v>
      </c>
      <c r="M4794">
        <f>COUNTIF(L$1:L4794,L4794)</f>
        <v>60</v>
      </c>
      <c r="N4794" t="str">
        <f t="shared" si="223"/>
        <v>NA9WR-60</v>
      </c>
      <c r="O4794">
        <f>COUNTIFS(F$1:F4794,F4794,A$1:A4794,A4794)</f>
        <v>104</v>
      </c>
      <c r="P4794" t="str">
        <f t="shared" si="224"/>
        <v>Justin Hunter9</v>
      </c>
    </row>
    <row r="4795" spans="1:16" x14ac:dyDescent="0.25">
      <c r="A4795">
        <v>8</v>
      </c>
      <c r="B4795" t="s">
        <v>84</v>
      </c>
      <c r="C4795" t="s">
        <v>8667</v>
      </c>
      <c r="D4795">
        <v>1.17</v>
      </c>
      <c r="E4795" t="s">
        <v>30</v>
      </c>
      <c r="F4795" t="s">
        <v>15</v>
      </c>
      <c r="G4795">
        <v>1.73</v>
      </c>
      <c r="H4795">
        <v>0.61</v>
      </c>
      <c r="I4795">
        <v>0.56000000000000005</v>
      </c>
      <c r="J4795">
        <v>0.31359999999999999</v>
      </c>
      <c r="K4795" t="str">
        <f>IFERROR(INDEX(Rosters!$C$2:$C$155,MATCH($B4795,Rosters!$B$2:$B$155,0)),"NA")</f>
        <v>NA</v>
      </c>
      <c r="L4795" t="str">
        <f t="shared" si="222"/>
        <v>NA8QB</v>
      </c>
      <c r="M4795">
        <f>COUNTIF(L$1:L4795,L4795)</f>
        <v>17</v>
      </c>
      <c r="N4795" t="str">
        <f t="shared" si="223"/>
        <v>NA8QB-17</v>
      </c>
      <c r="O4795">
        <f>COUNTIFS(F$1:F4795,F4795,A$1:A4795,A4795)</f>
        <v>32</v>
      </c>
      <c r="P4795" t="str">
        <f t="shared" si="224"/>
        <v>Mike Glennon8</v>
      </c>
    </row>
    <row r="4796" spans="1:16" x14ac:dyDescent="0.25">
      <c r="A4796">
        <v>1</v>
      </c>
      <c r="B4796" t="s">
        <v>332</v>
      </c>
      <c r="C4796">
        <f>-0.31-2.65</f>
        <v>-2.96</v>
      </c>
      <c r="D4796">
        <v>1.17</v>
      </c>
      <c r="E4796" t="s">
        <v>38</v>
      </c>
      <c r="F4796" t="s">
        <v>47</v>
      </c>
      <c r="G4796">
        <v>2.65</v>
      </c>
      <c r="H4796">
        <v>-0.31</v>
      </c>
      <c r="I4796">
        <v>1.48</v>
      </c>
      <c r="J4796">
        <v>2.1903999999999999</v>
      </c>
      <c r="K4796" t="str">
        <f>IFERROR(INDEX(Rosters!$C$2:$C$155,MATCH($B4796,Rosters!$B$2:$B$155,0)),"NA")</f>
        <v>NA</v>
      </c>
      <c r="L4796" t="str">
        <f t="shared" si="222"/>
        <v>NA1RB</v>
      </c>
      <c r="M4796">
        <f>COUNTIF(L$1:L4796,L4796)</f>
        <v>29</v>
      </c>
      <c r="N4796" t="str">
        <f t="shared" si="223"/>
        <v>NA1RB-29</v>
      </c>
      <c r="O4796">
        <f>COUNTIFS(F$1:F4796,F4796,A$1:A4796,A4796)</f>
        <v>71</v>
      </c>
      <c r="P4796" t="str">
        <f t="shared" si="224"/>
        <v>Senorise Perry1</v>
      </c>
    </row>
    <row r="4797" spans="1:16" x14ac:dyDescent="0.25">
      <c r="A4797">
        <v>6</v>
      </c>
      <c r="B4797" t="s">
        <v>1581</v>
      </c>
      <c r="C4797">
        <f>-0.02-2.36</f>
        <v>-2.38</v>
      </c>
      <c r="D4797">
        <v>1.17</v>
      </c>
      <c r="E4797" t="s">
        <v>31</v>
      </c>
      <c r="F4797" t="s">
        <v>47</v>
      </c>
      <c r="G4797">
        <v>2.36</v>
      </c>
      <c r="H4797">
        <v>-0.02</v>
      </c>
      <c r="I4797">
        <v>1.19</v>
      </c>
      <c r="J4797">
        <v>1.4160999999999999</v>
      </c>
      <c r="K4797" t="str">
        <f>IFERROR(INDEX(Rosters!$C$2:$C$155,MATCH($B4797,Rosters!$B$2:$B$155,0)),"NA")</f>
        <v>NA</v>
      </c>
      <c r="L4797" t="str">
        <f t="shared" si="222"/>
        <v>NA6RB</v>
      </c>
      <c r="M4797">
        <f>COUNTIF(L$1:L4797,L4797)</f>
        <v>34</v>
      </c>
      <c r="N4797" t="str">
        <f t="shared" si="223"/>
        <v>NA6RB-34</v>
      </c>
      <c r="O4797">
        <f>COUNTIFS(F$1:F4797,F4797,A$1:A4797,A4797)</f>
        <v>76</v>
      </c>
      <c r="P4797" t="str">
        <f t="shared" si="224"/>
        <v>Stevan Ridley6</v>
      </c>
    </row>
    <row r="4798" spans="1:16" x14ac:dyDescent="0.25">
      <c r="A4798">
        <v>16</v>
      </c>
      <c r="B4798" t="s">
        <v>1581</v>
      </c>
      <c r="C4798">
        <f>-0.07-2.41</f>
        <v>-2.48</v>
      </c>
      <c r="D4798">
        <v>1.17</v>
      </c>
      <c r="E4798" t="s">
        <v>14</v>
      </c>
      <c r="F4798" t="s">
        <v>47</v>
      </c>
      <c r="G4798">
        <v>2.41</v>
      </c>
      <c r="H4798">
        <v>-7.0000000000000007E-2</v>
      </c>
      <c r="I4798">
        <v>1.24</v>
      </c>
      <c r="J4798">
        <v>1.5376000000000001</v>
      </c>
      <c r="K4798" t="str">
        <f>IFERROR(INDEX(Rosters!$C$2:$C$155,MATCH($B4798,Rosters!$B$2:$B$155,0)),"NA")</f>
        <v>NA</v>
      </c>
      <c r="L4798" t="str">
        <f t="shared" si="222"/>
        <v>NA16RB</v>
      </c>
      <c r="M4798">
        <f>COUNTIF(L$1:L4798,L4798)</f>
        <v>41</v>
      </c>
      <c r="N4798" t="str">
        <f t="shared" si="223"/>
        <v>NA16RB-41</v>
      </c>
      <c r="O4798">
        <f>COUNTIFS(F$1:F4798,F4798,A$1:A4798,A4798)</f>
        <v>88</v>
      </c>
      <c r="P4798" t="str">
        <f t="shared" si="224"/>
        <v>Stevan Ridley16</v>
      </c>
    </row>
    <row r="4799" spans="1:16" x14ac:dyDescent="0.25">
      <c r="A4799">
        <v>13</v>
      </c>
      <c r="B4799" t="s">
        <v>336</v>
      </c>
      <c r="C4799">
        <f>-0.29-2.61</f>
        <v>-2.9</v>
      </c>
      <c r="D4799">
        <v>1.1599999999999999</v>
      </c>
      <c r="E4799" t="s">
        <v>31</v>
      </c>
      <c r="F4799" t="s">
        <v>47</v>
      </c>
      <c r="G4799">
        <v>2.61</v>
      </c>
      <c r="H4799">
        <v>-0.28999999999999998</v>
      </c>
      <c r="I4799">
        <v>1.45</v>
      </c>
      <c r="J4799">
        <v>2.1025</v>
      </c>
      <c r="K4799" t="str">
        <f>IFERROR(INDEX(Rosters!$C$2:$C$155,MATCH($B4799,Rosters!$B$2:$B$155,0)),"NA")</f>
        <v>NA</v>
      </c>
      <c r="L4799" t="str">
        <f t="shared" si="222"/>
        <v>NA13RB</v>
      </c>
      <c r="M4799">
        <f>COUNTIF(L$1:L4799,L4799)</f>
        <v>41</v>
      </c>
      <c r="N4799" t="str">
        <f t="shared" si="223"/>
        <v>NA13RB-41</v>
      </c>
      <c r="O4799">
        <f>COUNTIFS(F$1:F4799,F4799,A$1:A4799,A4799)</f>
        <v>88</v>
      </c>
      <c r="P4799" t="str">
        <f t="shared" si="224"/>
        <v>Andy Janovich13</v>
      </c>
    </row>
    <row r="4800" spans="1:16" x14ac:dyDescent="0.25">
      <c r="A4800">
        <v>7</v>
      </c>
      <c r="B4800" t="s">
        <v>283</v>
      </c>
      <c r="C4800">
        <f>-0.97-3.29</f>
        <v>-4.26</v>
      </c>
      <c r="D4800">
        <v>1.1599999999999999</v>
      </c>
      <c r="E4800" t="s">
        <v>72</v>
      </c>
      <c r="F4800" t="s">
        <v>87</v>
      </c>
      <c r="G4800">
        <v>3.29</v>
      </c>
      <c r="H4800">
        <v>-0.97</v>
      </c>
      <c r="I4800">
        <v>2.13</v>
      </c>
      <c r="J4800">
        <v>4.5369000000000002</v>
      </c>
      <c r="K4800" t="str">
        <f>IFERROR(INDEX(Rosters!$C$2:$C$155,MATCH($B4800,Rosters!$B$2:$B$155,0)),"NA")</f>
        <v>NA</v>
      </c>
      <c r="L4800" t="str">
        <f t="shared" si="222"/>
        <v>NA7WR</v>
      </c>
      <c r="M4800">
        <f>COUNTIF(L$1:L4800,L4800)</f>
        <v>59</v>
      </c>
      <c r="N4800" t="str">
        <f t="shared" si="223"/>
        <v>NA7WR-59</v>
      </c>
      <c r="O4800">
        <f>COUNTIFS(F$1:F4800,F4800,A$1:A4800,A4800)</f>
        <v>104</v>
      </c>
      <c r="P4800" t="str">
        <f t="shared" si="224"/>
        <v>Cordarrelle Patterson7</v>
      </c>
    </row>
    <row r="4801" spans="1:16" x14ac:dyDescent="0.25">
      <c r="A4801">
        <v>8</v>
      </c>
      <c r="B4801" t="s">
        <v>283</v>
      </c>
      <c r="C4801">
        <f>-1.05-3.37</f>
        <v>-4.42</v>
      </c>
      <c r="D4801">
        <v>1.1599999999999999</v>
      </c>
      <c r="E4801" t="s">
        <v>29</v>
      </c>
      <c r="F4801" t="s">
        <v>87</v>
      </c>
      <c r="G4801">
        <v>3.37</v>
      </c>
      <c r="H4801">
        <v>-1.05</v>
      </c>
      <c r="I4801">
        <v>2.21</v>
      </c>
      <c r="J4801">
        <v>4.8841000000000001</v>
      </c>
      <c r="K4801" t="str">
        <f>IFERROR(INDEX(Rosters!$C$2:$C$155,MATCH($B4801,Rosters!$B$2:$B$155,0)),"NA")</f>
        <v>NA</v>
      </c>
      <c r="L4801" t="str">
        <f t="shared" si="222"/>
        <v>NA8WR</v>
      </c>
      <c r="M4801">
        <f>COUNTIF(L$1:L4801,L4801)</f>
        <v>59</v>
      </c>
      <c r="N4801" t="str">
        <f t="shared" si="223"/>
        <v>NA8WR-59</v>
      </c>
      <c r="O4801">
        <f>COUNTIFS(F$1:F4801,F4801,A$1:A4801,A4801)</f>
        <v>108</v>
      </c>
      <c r="P4801" t="str">
        <f t="shared" si="224"/>
        <v>Cordarrelle Patterson8</v>
      </c>
    </row>
    <row r="4802" spans="1:16" x14ac:dyDescent="0.25">
      <c r="A4802">
        <v>16</v>
      </c>
      <c r="B4802" t="s">
        <v>283</v>
      </c>
      <c r="C4802">
        <f>-1.05-3.37</f>
        <v>-4.42</v>
      </c>
      <c r="D4802">
        <v>1.1599999999999999</v>
      </c>
      <c r="E4802" t="s">
        <v>29</v>
      </c>
      <c r="F4802" t="s">
        <v>87</v>
      </c>
      <c r="G4802">
        <v>3.37</v>
      </c>
      <c r="H4802">
        <v>-1.05</v>
      </c>
      <c r="I4802">
        <v>2.21</v>
      </c>
      <c r="J4802">
        <v>4.8841000000000001</v>
      </c>
      <c r="K4802" t="str">
        <f>IFERROR(INDEX(Rosters!$C$2:$C$155,MATCH($B4802,Rosters!$B$2:$B$155,0)),"NA")</f>
        <v>NA</v>
      </c>
      <c r="L4802" t="str">
        <f t="shared" si="222"/>
        <v>NA16WR</v>
      </c>
      <c r="M4802">
        <f>COUNTIF(L$1:L4802,L4802)</f>
        <v>65</v>
      </c>
      <c r="N4802" t="str">
        <f t="shared" si="223"/>
        <v>NA16WR-65</v>
      </c>
      <c r="O4802">
        <f>COUNTIFS(F$1:F4802,F4802,A$1:A4802,A4802)</f>
        <v>119</v>
      </c>
      <c r="P4802" t="str">
        <f t="shared" si="224"/>
        <v>Cordarrelle Patterson16</v>
      </c>
    </row>
    <row r="4803" spans="1:16" x14ac:dyDescent="0.25">
      <c r="A4803">
        <v>6</v>
      </c>
      <c r="B4803" t="s">
        <v>88</v>
      </c>
      <c r="C4803" t="s">
        <v>8668</v>
      </c>
      <c r="D4803">
        <v>1.1599999999999999</v>
      </c>
      <c r="E4803" t="s">
        <v>66</v>
      </c>
      <c r="F4803" t="s">
        <v>15</v>
      </c>
      <c r="G4803">
        <v>1.73</v>
      </c>
      <c r="H4803">
        <v>0.59</v>
      </c>
      <c r="I4803">
        <v>0.56999999999999995</v>
      </c>
      <c r="J4803">
        <v>0.32490000000000002</v>
      </c>
      <c r="K4803" t="str">
        <f>IFERROR(INDEX(Rosters!$C$2:$C$155,MATCH($B4803,Rosters!$B$2:$B$155,0)),"NA")</f>
        <v>NA</v>
      </c>
      <c r="L4803" t="str">
        <f t="shared" ref="L4803:L4866" si="225">K4803&amp;A4803&amp;F4803</f>
        <v>NA6QB</v>
      </c>
      <c r="M4803">
        <f>COUNTIF(L$1:L4803,L4803)</f>
        <v>19</v>
      </c>
      <c r="N4803" t="str">
        <f t="shared" ref="N4803:N4866" si="226">L4803&amp;"-"&amp;M4803</f>
        <v>NA6QB-19</v>
      </c>
      <c r="O4803">
        <f>COUNTIFS(F$1:F4803,F4803,A$1:A4803,A4803)</f>
        <v>34</v>
      </c>
      <c r="P4803" t="str">
        <f t="shared" ref="P4803:P4866" si="227">B4803&amp;A4803</f>
        <v>Josh McCown6</v>
      </c>
    </row>
    <row r="4804" spans="1:16" x14ac:dyDescent="0.25">
      <c r="A4804">
        <v>16</v>
      </c>
      <c r="B4804" t="s">
        <v>327</v>
      </c>
      <c r="C4804">
        <f>-0.52-2.84</f>
        <v>-3.36</v>
      </c>
      <c r="D4804">
        <v>1.1599999999999999</v>
      </c>
      <c r="E4804" t="s">
        <v>14</v>
      </c>
      <c r="F4804" t="s">
        <v>87</v>
      </c>
      <c r="G4804">
        <v>2.84</v>
      </c>
      <c r="H4804">
        <v>-0.52</v>
      </c>
      <c r="I4804">
        <v>1.68</v>
      </c>
      <c r="J4804">
        <v>2.8224</v>
      </c>
      <c r="K4804" t="str">
        <f>IFERROR(INDEX(Rosters!$C$2:$C$155,MATCH($B4804,Rosters!$B$2:$B$155,0)),"NA")</f>
        <v>NA</v>
      </c>
      <c r="L4804" t="str">
        <f t="shared" si="225"/>
        <v>NA16WR</v>
      </c>
      <c r="M4804">
        <f>COUNTIF(L$1:L4804,L4804)</f>
        <v>66</v>
      </c>
      <c r="N4804" t="str">
        <f t="shared" si="226"/>
        <v>NA16WR-66</v>
      </c>
      <c r="O4804">
        <f>COUNTIFS(F$1:F4804,F4804,A$1:A4804,A4804)</f>
        <v>120</v>
      </c>
      <c r="P4804" t="str">
        <f t="shared" si="227"/>
        <v>Justin Hunter16</v>
      </c>
    </row>
    <row r="4805" spans="1:16" x14ac:dyDescent="0.25">
      <c r="A4805">
        <v>13</v>
      </c>
      <c r="B4805" t="s">
        <v>84</v>
      </c>
      <c r="C4805" t="s">
        <v>8669</v>
      </c>
      <c r="D4805">
        <v>1.1599999999999999</v>
      </c>
      <c r="E4805" t="s">
        <v>41</v>
      </c>
      <c r="F4805" t="s">
        <v>15</v>
      </c>
      <c r="G4805">
        <v>1.68</v>
      </c>
      <c r="H4805">
        <v>0.64</v>
      </c>
      <c r="I4805">
        <v>0.52</v>
      </c>
      <c r="J4805">
        <v>0.27039999999999997</v>
      </c>
      <c r="K4805" t="str">
        <f>IFERROR(INDEX(Rosters!$C$2:$C$155,MATCH($B4805,Rosters!$B$2:$B$155,0)),"NA")</f>
        <v>NA</v>
      </c>
      <c r="L4805" t="str">
        <f t="shared" si="225"/>
        <v>NA13QB</v>
      </c>
      <c r="M4805">
        <f>COUNTIF(L$1:L4805,L4805)</f>
        <v>20</v>
      </c>
      <c r="N4805" t="str">
        <f t="shared" si="226"/>
        <v>NA13QB-20</v>
      </c>
      <c r="O4805">
        <f>COUNTIFS(F$1:F4805,F4805,A$1:A4805,A4805)</f>
        <v>37</v>
      </c>
      <c r="P4805" t="str">
        <f t="shared" si="227"/>
        <v>Mike Glennon13</v>
      </c>
    </row>
    <row r="4806" spans="1:16" x14ac:dyDescent="0.25">
      <c r="A4806">
        <v>5</v>
      </c>
      <c r="B4806" t="s">
        <v>390</v>
      </c>
      <c r="C4806" t="s">
        <v>8670</v>
      </c>
      <c r="D4806">
        <v>1.1599999999999999</v>
      </c>
      <c r="E4806" t="s">
        <v>46</v>
      </c>
      <c r="F4806" t="s">
        <v>47</v>
      </c>
      <c r="G4806">
        <v>2.23</v>
      </c>
      <c r="H4806">
        <v>0.09</v>
      </c>
      <c r="I4806">
        <v>1.07</v>
      </c>
      <c r="J4806">
        <v>1.1449</v>
      </c>
      <c r="K4806" t="str">
        <f>IFERROR(INDEX(Rosters!$C$2:$C$155,MATCH($B4806,Rosters!$B$2:$B$155,0)),"NA")</f>
        <v>NA</v>
      </c>
      <c r="L4806" t="str">
        <f t="shared" si="225"/>
        <v>NA5RB</v>
      </c>
      <c r="M4806">
        <f>COUNTIF(L$1:L4806,L4806)</f>
        <v>37</v>
      </c>
      <c r="N4806" t="str">
        <f t="shared" si="226"/>
        <v>NA5RB-37</v>
      </c>
      <c r="O4806">
        <f>COUNTIFS(F$1:F4806,F4806,A$1:A4806,A4806)</f>
        <v>80</v>
      </c>
      <c r="P4806" t="str">
        <f t="shared" si="227"/>
        <v>Roosevelt Nix5</v>
      </c>
    </row>
    <row r="4807" spans="1:16" x14ac:dyDescent="0.25">
      <c r="A4807">
        <v>6</v>
      </c>
      <c r="B4807" t="s">
        <v>68</v>
      </c>
      <c r="C4807" t="s">
        <v>8671</v>
      </c>
      <c r="D4807">
        <v>1.1599999999999999</v>
      </c>
      <c r="E4807" t="s">
        <v>37</v>
      </c>
      <c r="F4807" t="s">
        <v>15</v>
      </c>
      <c r="G4807">
        <v>1.84</v>
      </c>
      <c r="H4807">
        <v>0.48</v>
      </c>
      <c r="I4807">
        <v>0.68</v>
      </c>
      <c r="J4807">
        <v>0.46239999999999998</v>
      </c>
      <c r="K4807" t="str">
        <f>IFERROR(INDEX(Rosters!$C$2:$C$155,MATCH($B4807,Rosters!$B$2:$B$155,0)),"NA")</f>
        <v>NA</v>
      </c>
      <c r="L4807" t="str">
        <f t="shared" si="225"/>
        <v>NA6QB</v>
      </c>
      <c r="M4807">
        <f>COUNTIF(L$1:L4807,L4807)</f>
        <v>20</v>
      </c>
      <c r="N4807" t="str">
        <f t="shared" si="226"/>
        <v>NA6QB-20</v>
      </c>
      <c r="O4807">
        <f>COUNTIFS(F$1:F4807,F4807,A$1:A4807,A4807)</f>
        <v>35</v>
      </c>
      <c r="P4807" t="str">
        <f t="shared" si="227"/>
        <v>Tyrod Taylor6</v>
      </c>
    </row>
    <row r="4808" spans="1:16" x14ac:dyDescent="0.25">
      <c r="A4808">
        <v>5</v>
      </c>
      <c r="B4808" t="s">
        <v>1566</v>
      </c>
      <c r="C4808" t="s">
        <v>8672</v>
      </c>
      <c r="D4808">
        <v>1.1599999999999999</v>
      </c>
      <c r="E4808" t="s">
        <v>58</v>
      </c>
      <c r="F4808" t="s">
        <v>87</v>
      </c>
      <c r="G4808">
        <v>2.2599999999999998</v>
      </c>
      <c r="H4808">
        <v>0.06</v>
      </c>
      <c r="I4808">
        <v>1.1000000000000001</v>
      </c>
      <c r="J4808">
        <v>1.21</v>
      </c>
      <c r="K4808" t="str">
        <f>IFERROR(INDEX(Rosters!$C$2:$C$155,MATCH($B4808,Rosters!$B$2:$B$155,0)),"NA")</f>
        <v>NA</v>
      </c>
      <c r="L4808" t="str">
        <f t="shared" si="225"/>
        <v>NA5WR</v>
      </c>
      <c r="M4808">
        <f>COUNTIF(L$1:L4808,L4808)</f>
        <v>73</v>
      </c>
      <c r="N4808" t="str">
        <f t="shared" si="226"/>
        <v>NA5WR-73</v>
      </c>
      <c r="O4808">
        <f>COUNTIFS(F$1:F4808,F4808,A$1:A4808,A4808)</f>
        <v>123</v>
      </c>
      <c r="P4808" t="str">
        <f t="shared" si="227"/>
        <v>Victor Bolden Jr.5</v>
      </c>
    </row>
    <row r="4809" spans="1:16" x14ac:dyDescent="0.25">
      <c r="A4809">
        <v>10</v>
      </c>
      <c r="B4809" t="s">
        <v>4210</v>
      </c>
      <c r="C4809" t="s">
        <v>8673</v>
      </c>
      <c r="D4809">
        <v>1.1499999999999999</v>
      </c>
      <c r="E4809" t="s">
        <v>31</v>
      </c>
      <c r="F4809" t="s">
        <v>87</v>
      </c>
      <c r="G4809">
        <v>2.21</v>
      </c>
      <c r="H4809">
        <v>0.09</v>
      </c>
      <c r="I4809">
        <v>1.06</v>
      </c>
      <c r="J4809">
        <v>1.1235999999999999</v>
      </c>
      <c r="K4809" t="str">
        <f>IFERROR(INDEX(Rosters!$C$2:$C$155,MATCH($B4809,Rosters!$B$2:$B$155,0)),"NA")</f>
        <v>NA</v>
      </c>
      <c r="L4809" t="str">
        <f t="shared" si="225"/>
        <v>NA10WR</v>
      </c>
      <c r="M4809">
        <f>COUNTIF(L$1:L4809,L4809)</f>
        <v>61</v>
      </c>
      <c r="N4809" t="str">
        <f t="shared" si="226"/>
        <v>NA10WR-61</v>
      </c>
      <c r="O4809">
        <f>COUNTIFS(F$1:F4809,F4809,A$1:A4809,A4809)</f>
        <v>106</v>
      </c>
      <c r="P4809" t="str">
        <f t="shared" si="227"/>
        <v>Austin Carr10</v>
      </c>
    </row>
    <row r="4810" spans="1:16" x14ac:dyDescent="0.25">
      <c r="A4810">
        <v>8</v>
      </c>
      <c r="B4810" t="s">
        <v>365</v>
      </c>
      <c r="C4810" t="s">
        <v>8674</v>
      </c>
      <c r="D4810">
        <v>1.1499999999999999</v>
      </c>
      <c r="E4810" t="s">
        <v>34</v>
      </c>
      <c r="F4810" t="s">
        <v>15</v>
      </c>
      <c r="G4810">
        <v>1.73</v>
      </c>
      <c r="H4810">
        <v>0.56999999999999995</v>
      </c>
      <c r="I4810">
        <v>0.57999999999999996</v>
      </c>
      <c r="J4810">
        <v>0.33639999999999998</v>
      </c>
      <c r="K4810" t="str">
        <f>IFERROR(INDEX(Rosters!$C$2:$C$155,MATCH($B4810,Rosters!$B$2:$B$155,0)),"NA")</f>
        <v>NA</v>
      </c>
      <c r="L4810" t="str">
        <f t="shared" si="225"/>
        <v>NA8QB</v>
      </c>
      <c r="M4810">
        <f>COUNTIF(L$1:L4810,L4810)</f>
        <v>18</v>
      </c>
      <c r="N4810" t="str">
        <f t="shared" si="226"/>
        <v>NA8QB-18</v>
      </c>
      <c r="O4810">
        <f>COUNTIFS(F$1:F4810,F4810,A$1:A4810,A4810)</f>
        <v>33</v>
      </c>
      <c r="P4810" t="str">
        <f t="shared" si="227"/>
        <v>Brett Hundley8</v>
      </c>
    </row>
    <row r="4811" spans="1:16" x14ac:dyDescent="0.25">
      <c r="A4811">
        <v>15</v>
      </c>
      <c r="B4811" t="s">
        <v>365</v>
      </c>
      <c r="C4811" t="s">
        <v>8675</v>
      </c>
      <c r="D4811">
        <v>1.1499999999999999</v>
      </c>
      <c r="E4811" t="s">
        <v>30</v>
      </c>
      <c r="F4811" t="s">
        <v>15</v>
      </c>
      <c r="G4811">
        <v>1.72</v>
      </c>
      <c r="H4811">
        <v>0.57999999999999996</v>
      </c>
      <c r="I4811">
        <v>0.56999999999999995</v>
      </c>
      <c r="J4811">
        <v>0.32490000000000002</v>
      </c>
      <c r="K4811" t="str">
        <f>IFERROR(INDEX(Rosters!$C$2:$C$155,MATCH($B4811,Rosters!$B$2:$B$155,0)),"NA")</f>
        <v>NA</v>
      </c>
      <c r="L4811" t="str">
        <f t="shared" si="225"/>
        <v>NA15QB</v>
      </c>
      <c r="M4811">
        <f>COUNTIF(L$1:L4811,L4811)</f>
        <v>18</v>
      </c>
      <c r="N4811" t="str">
        <f t="shared" si="226"/>
        <v>NA15QB-18</v>
      </c>
      <c r="O4811">
        <f>COUNTIFS(F$1:F4811,F4811,A$1:A4811,A4811)</f>
        <v>35</v>
      </c>
      <c r="P4811" t="str">
        <f t="shared" si="227"/>
        <v>Brett Hundley15</v>
      </c>
    </row>
    <row r="4812" spans="1:16" x14ac:dyDescent="0.25">
      <c r="A4812">
        <v>15</v>
      </c>
      <c r="B4812" t="s">
        <v>351</v>
      </c>
      <c r="C4812">
        <f>-0.16-2.46</f>
        <v>-2.62</v>
      </c>
      <c r="D4812">
        <v>1.1499999999999999</v>
      </c>
      <c r="E4812" t="s">
        <v>14</v>
      </c>
      <c r="F4812" t="s">
        <v>47</v>
      </c>
      <c r="G4812">
        <v>2.46</v>
      </c>
      <c r="H4812">
        <v>-0.16</v>
      </c>
      <c r="I4812">
        <v>1.31</v>
      </c>
      <c r="J4812">
        <v>1.7161</v>
      </c>
      <c r="K4812" t="str">
        <f>IFERROR(INDEX(Rosters!$C$2:$C$155,MATCH($B4812,Rosters!$B$2:$B$155,0)),"NA")</f>
        <v>NA</v>
      </c>
      <c r="L4812" t="str">
        <f t="shared" si="225"/>
        <v>NA15RB</v>
      </c>
      <c r="M4812">
        <f>COUNTIF(L$1:L4812,L4812)</f>
        <v>40</v>
      </c>
      <c r="N4812" t="str">
        <f t="shared" si="226"/>
        <v>NA15RB-40</v>
      </c>
      <c r="O4812">
        <f>COUNTIFS(F$1:F4812,F4812,A$1:A4812,A4812)</f>
        <v>87</v>
      </c>
      <c r="P4812" t="str">
        <f t="shared" si="227"/>
        <v>Cameron Artis-Payne15</v>
      </c>
    </row>
    <row r="4813" spans="1:16" x14ac:dyDescent="0.25">
      <c r="A4813">
        <v>3</v>
      </c>
      <c r="B4813" t="s">
        <v>69</v>
      </c>
      <c r="C4813" t="s">
        <v>4237</v>
      </c>
      <c r="D4813">
        <v>1.1499999999999999</v>
      </c>
      <c r="E4813" t="s">
        <v>76</v>
      </c>
      <c r="F4813" t="s">
        <v>15</v>
      </c>
      <c r="G4813">
        <v>1.83</v>
      </c>
      <c r="H4813">
        <v>0.47</v>
      </c>
      <c r="I4813">
        <v>0.68</v>
      </c>
      <c r="J4813">
        <v>0.46239999999999998</v>
      </c>
      <c r="K4813" t="str">
        <f>IFERROR(INDEX(Rosters!$C$2:$C$155,MATCH($B4813,Rosters!$B$2:$B$155,0)),"NA")</f>
        <v>NA</v>
      </c>
      <c r="L4813" t="str">
        <f t="shared" si="225"/>
        <v>NA3QB</v>
      </c>
      <c r="M4813">
        <f>COUNTIF(L$1:L4813,L4813)</f>
        <v>17</v>
      </c>
      <c r="N4813" t="str">
        <f t="shared" si="226"/>
        <v>NA3QB-17</v>
      </c>
      <c r="O4813">
        <f>COUNTIFS(F$1:F4813,F4813,A$1:A4813,A4813)</f>
        <v>33</v>
      </c>
      <c r="P4813" t="str">
        <f t="shared" si="227"/>
        <v>Marcus Mariota3</v>
      </c>
    </row>
    <row r="4814" spans="1:16" x14ac:dyDescent="0.25">
      <c r="A4814">
        <v>1</v>
      </c>
      <c r="B4814" t="s">
        <v>386</v>
      </c>
      <c r="C4814">
        <f>-0.25-2.55</f>
        <v>-2.8</v>
      </c>
      <c r="D4814">
        <v>1.1499999999999999</v>
      </c>
      <c r="E4814" t="s">
        <v>29</v>
      </c>
      <c r="F4814" t="s">
        <v>114</v>
      </c>
      <c r="G4814">
        <v>2.5499999999999998</v>
      </c>
      <c r="H4814">
        <v>-0.25</v>
      </c>
      <c r="I4814">
        <v>1.4</v>
      </c>
      <c r="J4814">
        <v>1.96</v>
      </c>
      <c r="K4814" t="str">
        <f>IFERROR(INDEX(Rosters!$C$2:$C$155,MATCH($B4814,Rosters!$B$2:$B$155,0)),"NA")</f>
        <v>NA</v>
      </c>
      <c r="L4814" t="str">
        <f t="shared" si="225"/>
        <v>NA1TE</v>
      </c>
      <c r="M4814">
        <f>COUNTIF(L$1:L4814,L4814)</f>
        <v>40</v>
      </c>
      <c r="N4814" t="str">
        <f t="shared" si="226"/>
        <v>NA1TE-40</v>
      </c>
      <c r="O4814">
        <f>COUNTIFS(F$1:F4814,F4814,A$1:A4814,A4814)</f>
        <v>53</v>
      </c>
      <c r="P4814" t="str">
        <f t="shared" si="227"/>
        <v>Nick Boyle1</v>
      </c>
    </row>
    <row r="4815" spans="1:16" x14ac:dyDescent="0.25">
      <c r="A4815">
        <v>8</v>
      </c>
      <c r="B4815" t="s">
        <v>314</v>
      </c>
      <c r="C4815" t="s">
        <v>8676</v>
      </c>
      <c r="D4815">
        <v>1.1499999999999999</v>
      </c>
      <c r="E4815" t="s">
        <v>31</v>
      </c>
      <c r="F4815" t="s">
        <v>15</v>
      </c>
      <c r="G4815">
        <v>1.81</v>
      </c>
      <c r="H4815">
        <v>0.49</v>
      </c>
      <c r="I4815">
        <v>0.66</v>
      </c>
      <c r="J4815">
        <v>0.43559999999999999</v>
      </c>
      <c r="K4815" t="str">
        <f>IFERROR(INDEX(Rosters!$C$2:$C$155,MATCH($B4815,Rosters!$B$2:$B$155,0)),"NA")</f>
        <v>NA</v>
      </c>
      <c r="L4815" t="str">
        <f t="shared" si="225"/>
        <v>NA8QB</v>
      </c>
      <c r="M4815">
        <f>COUNTIF(L$1:L4815,L4815)</f>
        <v>19</v>
      </c>
      <c r="N4815" t="str">
        <f t="shared" si="226"/>
        <v>NA8QB-19</v>
      </c>
      <c r="O4815">
        <f>COUNTIFS(F$1:F4815,F4815,A$1:A4815,A4815)</f>
        <v>34</v>
      </c>
      <c r="P4815" t="str">
        <f t="shared" si="227"/>
        <v>Ryan Fitzpatrick8</v>
      </c>
    </row>
    <row r="4816" spans="1:16" x14ac:dyDescent="0.25">
      <c r="A4816">
        <v>16</v>
      </c>
      <c r="B4816" t="s">
        <v>68</v>
      </c>
      <c r="C4816" t="s">
        <v>8677</v>
      </c>
      <c r="D4816">
        <v>1.1499999999999999</v>
      </c>
      <c r="E4816" t="s">
        <v>31</v>
      </c>
      <c r="F4816" t="s">
        <v>15</v>
      </c>
      <c r="G4816">
        <v>1.85</v>
      </c>
      <c r="H4816">
        <v>0.45</v>
      </c>
      <c r="I4816">
        <v>0.7</v>
      </c>
      <c r="J4816">
        <v>0.49</v>
      </c>
      <c r="K4816" t="str">
        <f>IFERROR(INDEX(Rosters!$C$2:$C$155,MATCH($B4816,Rosters!$B$2:$B$155,0)),"NA")</f>
        <v>NA</v>
      </c>
      <c r="L4816" t="str">
        <f t="shared" si="225"/>
        <v>NA16QB</v>
      </c>
      <c r="M4816">
        <f>COUNTIF(L$1:L4816,L4816)</f>
        <v>21</v>
      </c>
      <c r="N4816" t="str">
        <f t="shared" si="226"/>
        <v>NA16QB-21</v>
      </c>
      <c r="O4816">
        <f>COUNTIFS(F$1:F4816,F4816,A$1:A4816,A4816)</f>
        <v>38</v>
      </c>
      <c r="P4816" t="str">
        <f t="shared" si="227"/>
        <v>Tyrod Taylor16</v>
      </c>
    </row>
    <row r="4817" spans="1:16" x14ac:dyDescent="0.25">
      <c r="A4817">
        <v>2</v>
      </c>
      <c r="B4817" t="s">
        <v>250</v>
      </c>
      <c r="C4817">
        <f>-0.05-2.35</f>
        <v>-2.4</v>
      </c>
      <c r="D4817">
        <v>1.1499999999999999</v>
      </c>
      <c r="E4817" t="s">
        <v>17</v>
      </c>
      <c r="F4817" t="s">
        <v>47</v>
      </c>
      <c r="G4817">
        <v>2.35</v>
      </c>
      <c r="H4817">
        <v>-0.05</v>
      </c>
      <c r="I4817">
        <v>1.2</v>
      </c>
      <c r="J4817">
        <v>1.44</v>
      </c>
      <c r="K4817" t="str">
        <f>IFERROR(INDEX(Rosters!$C$2:$C$155,MATCH($B4817,Rosters!$B$2:$B$155,0)),"NA")</f>
        <v>NA</v>
      </c>
      <c r="L4817" t="str">
        <f t="shared" si="225"/>
        <v>NA2RB</v>
      </c>
      <c r="M4817">
        <f>COUNTIF(L$1:L4817,L4817)</f>
        <v>28</v>
      </c>
      <c r="N4817" t="str">
        <f t="shared" si="226"/>
        <v>NA2RB-28</v>
      </c>
      <c r="O4817">
        <f>COUNTIFS(F$1:F4817,F4817,A$1:A4817,A4817)</f>
        <v>70</v>
      </c>
      <c r="P4817" t="str">
        <f t="shared" si="227"/>
        <v>Wendell Smallwood2</v>
      </c>
    </row>
    <row r="4818" spans="1:16" x14ac:dyDescent="0.25">
      <c r="A4818">
        <v>6</v>
      </c>
      <c r="B4818" t="s">
        <v>330</v>
      </c>
      <c r="C4818">
        <f>-0.56-2.84</f>
        <v>-3.4</v>
      </c>
      <c r="D4818">
        <v>1.1399999999999999</v>
      </c>
      <c r="E4818" t="s">
        <v>60</v>
      </c>
      <c r="F4818" t="s">
        <v>114</v>
      </c>
      <c r="G4818">
        <v>2.84</v>
      </c>
      <c r="H4818">
        <v>-0.56000000000000005</v>
      </c>
      <c r="I4818">
        <v>1.7</v>
      </c>
      <c r="J4818">
        <v>2.89</v>
      </c>
      <c r="K4818" t="str">
        <f>IFERROR(INDEX(Rosters!$C$2:$C$155,MATCH($B4818,Rosters!$B$2:$B$155,0)),"NA")</f>
        <v>NA</v>
      </c>
      <c r="L4818" t="str">
        <f t="shared" si="225"/>
        <v>NA6TE</v>
      </c>
      <c r="M4818">
        <f>COUNTIF(L$1:L4818,L4818)</f>
        <v>48</v>
      </c>
      <c r="N4818" t="str">
        <f t="shared" si="226"/>
        <v>NA6TE-48</v>
      </c>
      <c r="O4818">
        <f>COUNTIFS(F$1:F4818,F4818,A$1:A4818,A4818)</f>
        <v>60</v>
      </c>
      <c r="P4818" t="str">
        <f t="shared" si="227"/>
        <v>Chris Manhertz6</v>
      </c>
    </row>
    <row r="4819" spans="1:16" x14ac:dyDescent="0.25">
      <c r="A4819">
        <v>14</v>
      </c>
      <c r="B4819" t="s">
        <v>1543</v>
      </c>
      <c r="C4819" t="s">
        <v>8678</v>
      </c>
      <c r="D4819">
        <v>1.1399999999999999</v>
      </c>
      <c r="E4819" t="s">
        <v>423</v>
      </c>
      <c r="F4819" t="s">
        <v>15</v>
      </c>
      <c r="G4819">
        <v>1.69</v>
      </c>
      <c r="H4819">
        <v>0.59</v>
      </c>
      <c r="I4819">
        <v>0.55000000000000004</v>
      </c>
      <c r="J4819">
        <v>0.30249999999999999</v>
      </c>
      <c r="K4819" t="str">
        <f>IFERROR(INDEX(Rosters!$C$2:$C$155,MATCH($B4819,Rosters!$B$2:$B$155,0)),"NA")</f>
        <v>NA</v>
      </c>
      <c r="L4819" t="str">
        <f t="shared" si="225"/>
        <v>NA14QB</v>
      </c>
      <c r="M4819">
        <f>COUNTIF(L$1:L4819,L4819)</f>
        <v>20</v>
      </c>
      <c r="N4819" t="str">
        <f t="shared" si="226"/>
        <v>NA14QB-20</v>
      </c>
      <c r="O4819">
        <f>COUNTIFS(F$1:F4819,F4819,A$1:A4819,A4819)</f>
        <v>37</v>
      </c>
      <c r="P4819" t="str">
        <f t="shared" si="227"/>
        <v>David Fales14</v>
      </c>
    </row>
    <row r="4820" spans="1:16" x14ac:dyDescent="0.25">
      <c r="A4820">
        <v>13</v>
      </c>
      <c r="B4820" t="s">
        <v>380</v>
      </c>
      <c r="C4820">
        <f>-0.4-2.68</f>
        <v>-3.08</v>
      </c>
      <c r="D4820">
        <v>1.1399999999999999</v>
      </c>
      <c r="E4820" t="s">
        <v>24</v>
      </c>
      <c r="F4820" t="s">
        <v>114</v>
      </c>
      <c r="G4820">
        <v>2.68</v>
      </c>
      <c r="H4820">
        <v>-0.4</v>
      </c>
      <c r="I4820">
        <v>1.54</v>
      </c>
      <c r="J4820">
        <v>2.3715999999999999</v>
      </c>
      <c r="K4820" t="str">
        <f>IFERROR(INDEX(Rosters!$C$2:$C$155,MATCH($B4820,Rosters!$B$2:$B$155,0)),"NA")</f>
        <v>NA</v>
      </c>
      <c r="L4820" t="str">
        <f t="shared" si="225"/>
        <v>NA13TE</v>
      </c>
      <c r="M4820">
        <f>COUNTIF(L$1:L4820,L4820)</f>
        <v>52</v>
      </c>
      <c r="N4820" t="str">
        <f t="shared" si="226"/>
        <v>NA13TE-52</v>
      </c>
      <c r="O4820">
        <f>COUNTIFS(F$1:F4820,F4820,A$1:A4820,A4820)</f>
        <v>66</v>
      </c>
      <c r="P4820" t="str">
        <f t="shared" si="227"/>
        <v>Derek Carrier13</v>
      </c>
    </row>
    <row r="4821" spans="1:16" x14ac:dyDescent="0.25">
      <c r="A4821">
        <v>15</v>
      </c>
      <c r="B4821" t="s">
        <v>380</v>
      </c>
      <c r="C4821">
        <f>-0.31-2.59</f>
        <v>-2.9</v>
      </c>
      <c r="D4821">
        <v>1.1399999999999999</v>
      </c>
      <c r="E4821" t="s">
        <v>31</v>
      </c>
      <c r="F4821" t="s">
        <v>114</v>
      </c>
      <c r="G4821">
        <v>2.59</v>
      </c>
      <c r="H4821">
        <v>-0.31</v>
      </c>
      <c r="I4821">
        <v>1.45</v>
      </c>
      <c r="J4821">
        <v>2.1025</v>
      </c>
      <c r="K4821" t="str">
        <f>IFERROR(INDEX(Rosters!$C$2:$C$155,MATCH($B4821,Rosters!$B$2:$B$155,0)),"NA")</f>
        <v>NA</v>
      </c>
      <c r="L4821" t="str">
        <f t="shared" si="225"/>
        <v>NA15TE</v>
      </c>
      <c r="M4821">
        <f>COUNTIF(L$1:L4821,L4821)</f>
        <v>53</v>
      </c>
      <c r="N4821" t="str">
        <f t="shared" si="226"/>
        <v>NA15TE-53</v>
      </c>
      <c r="O4821">
        <f>COUNTIFS(F$1:F4821,F4821,A$1:A4821,A4821)</f>
        <v>67</v>
      </c>
      <c r="P4821" t="str">
        <f t="shared" si="227"/>
        <v>Derek Carrier15</v>
      </c>
    </row>
    <row r="4822" spans="1:16" x14ac:dyDescent="0.25">
      <c r="A4822">
        <v>6</v>
      </c>
      <c r="B4822" t="s">
        <v>339</v>
      </c>
      <c r="C4822" t="s">
        <v>8679</v>
      </c>
      <c r="D4822">
        <v>1.1399999999999999</v>
      </c>
      <c r="E4822" t="s">
        <v>41</v>
      </c>
      <c r="F4822" t="s">
        <v>47</v>
      </c>
      <c r="G4822">
        <v>2.19</v>
      </c>
      <c r="H4822">
        <v>0.09</v>
      </c>
      <c r="I4822">
        <v>1.05</v>
      </c>
      <c r="J4822">
        <v>1.1025</v>
      </c>
      <c r="K4822" t="str">
        <f>IFERROR(INDEX(Rosters!$C$2:$C$155,MATCH($B4822,Rosters!$B$2:$B$155,0)),"NA")</f>
        <v>NA</v>
      </c>
      <c r="L4822" t="str">
        <f t="shared" si="225"/>
        <v>NA6RB</v>
      </c>
      <c r="M4822">
        <f>COUNTIF(L$1:L4822,L4822)</f>
        <v>35</v>
      </c>
      <c r="N4822" t="str">
        <f t="shared" si="226"/>
        <v>NA6RB-35</v>
      </c>
      <c r="O4822">
        <f>COUNTIFS(F$1:F4822,F4822,A$1:A4822,A4822)</f>
        <v>77</v>
      </c>
      <c r="P4822" t="str">
        <f t="shared" si="227"/>
        <v>Kyle Juszczyk6</v>
      </c>
    </row>
    <row r="4823" spans="1:16" x14ac:dyDescent="0.25">
      <c r="A4823">
        <v>2</v>
      </c>
      <c r="B4823" t="s">
        <v>1526</v>
      </c>
      <c r="C4823">
        <f>-0.3-2.58</f>
        <v>-2.88</v>
      </c>
      <c r="D4823">
        <v>1.1399999999999999</v>
      </c>
      <c r="E4823" t="s">
        <v>30</v>
      </c>
      <c r="F4823" t="s">
        <v>114</v>
      </c>
      <c r="G4823">
        <v>2.58</v>
      </c>
      <c r="H4823">
        <v>-0.3</v>
      </c>
      <c r="I4823">
        <v>1.44</v>
      </c>
      <c r="J4823">
        <v>2.0735999999999999</v>
      </c>
      <c r="K4823" t="str">
        <f>IFERROR(INDEX(Rosters!$C$2:$C$155,MATCH($B4823,Rosters!$B$2:$B$155,0)),"NA")</f>
        <v>NA</v>
      </c>
      <c r="L4823" t="str">
        <f t="shared" si="225"/>
        <v>NA2TE</v>
      </c>
      <c r="M4823">
        <f>COUNTIF(L$1:L4823,L4823)</f>
        <v>45</v>
      </c>
      <c r="N4823" t="str">
        <f t="shared" si="226"/>
        <v>NA2TE-45</v>
      </c>
      <c r="O4823">
        <f>COUNTIFS(F$1:F4823,F4823,A$1:A4823,A4823)</f>
        <v>58</v>
      </c>
      <c r="P4823" t="str">
        <f t="shared" si="227"/>
        <v>Michael Roberts2</v>
      </c>
    </row>
    <row r="4824" spans="1:16" x14ac:dyDescent="0.25">
      <c r="A4824">
        <v>10</v>
      </c>
      <c r="B4824" t="s">
        <v>84</v>
      </c>
      <c r="C4824" t="s">
        <v>8680</v>
      </c>
      <c r="D4824">
        <v>1.1399999999999999</v>
      </c>
      <c r="E4824" t="s">
        <v>24</v>
      </c>
      <c r="F4824" t="s">
        <v>15</v>
      </c>
      <c r="G4824">
        <v>1.7</v>
      </c>
      <c r="H4824">
        <v>0.57999999999999996</v>
      </c>
      <c r="I4824">
        <v>0.56000000000000005</v>
      </c>
      <c r="J4824">
        <v>0.31359999999999999</v>
      </c>
      <c r="K4824" t="str">
        <f>IFERROR(INDEX(Rosters!$C$2:$C$155,MATCH($B4824,Rosters!$B$2:$B$155,0)),"NA")</f>
        <v>NA</v>
      </c>
      <c r="L4824" t="str">
        <f t="shared" si="225"/>
        <v>NA10QB</v>
      </c>
      <c r="M4824">
        <f>COUNTIF(L$1:L4824,L4824)</f>
        <v>15</v>
      </c>
      <c r="N4824" t="str">
        <f t="shared" si="226"/>
        <v>NA10QB-15</v>
      </c>
      <c r="O4824">
        <f>COUNTIFS(F$1:F4824,F4824,A$1:A4824,A4824)</f>
        <v>31</v>
      </c>
      <c r="P4824" t="str">
        <f t="shared" si="227"/>
        <v>Mike Glennon10</v>
      </c>
    </row>
    <row r="4825" spans="1:16" x14ac:dyDescent="0.25">
      <c r="A4825">
        <v>9</v>
      </c>
      <c r="B4825" t="s">
        <v>314</v>
      </c>
      <c r="C4825" t="s">
        <v>8681</v>
      </c>
      <c r="D4825">
        <v>1.1399999999999999</v>
      </c>
      <c r="E4825" t="s">
        <v>74</v>
      </c>
      <c r="F4825" t="s">
        <v>15</v>
      </c>
      <c r="G4825">
        <v>1.83</v>
      </c>
      <c r="H4825">
        <v>0.45</v>
      </c>
      <c r="I4825">
        <v>0.69</v>
      </c>
      <c r="J4825">
        <v>0.47610000000000002</v>
      </c>
      <c r="K4825" t="str">
        <f>IFERROR(INDEX(Rosters!$C$2:$C$155,MATCH($B4825,Rosters!$B$2:$B$155,0)),"NA")</f>
        <v>NA</v>
      </c>
      <c r="L4825" t="str">
        <f t="shared" si="225"/>
        <v>NA9QB</v>
      </c>
      <c r="M4825">
        <f>COUNTIF(L$1:L4825,L4825)</f>
        <v>15</v>
      </c>
      <c r="N4825" t="str">
        <f t="shared" si="226"/>
        <v>NA9QB-15</v>
      </c>
      <c r="O4825">
        <f>COUNTIFS(F$1:F4825,F4825,A$1:A4825,A4825)</f>
        <v>29</v>
      </c>
      <c r="P4825" t="str">
        <f t="shared" si="227"/>
        <v>Ryan Fitzpatrick9</v>
      </c>
    </row>
    <row r="4826" spans="1:16" x14ac:dyDescent="0.25">
      <c r="A4826">
        <v>4</v>
      </c>
      <c r="B4826" t="s">
        <v>4246</v>
      </c>
      <c r="C4826">
        <f>-0.11-2.39</f>
        <v>-2.5</v>
      </c>
      <c r="D4826">
        <v>1.1399999999999999</v>
      </c>
      <c r="E4826" t="s">
        <v>14</v>
      </c>
      <c r="F4826" t="s">
        <v>114</v>
      </c>
      <c r="G4826">
        <v>2.39</v>
      </c>
      <c r="H4826">
        <v>-0.11</v>
      </c>
      <c r="I4826">
        <v>1.25</v>
      </c>
      <c r="J4826">
        <v>1.5625</v>
      </c>
      <c r="K4826" t="str">
        <f>IFERROR(INDEX(Rosters!$C$2:$C$155,MATCH($B4826,Rosters!$B$2:$B$155,0)),"NA")</f>
        <v>NA</v>
      </c>
      <c r="L4826" t="str">
        <f t="shared" si="225"/>
        <v>NA4TE</v>
      </c>
      <c r="M4826">
        <f>COUNTIF(L$1:L4826,L4826)</f>
        <v>47</v>
      </c>
      <c r="N4826" t="str">
        <f t="shared" si="226"/>
        <v>NA4TE-47</v>
      </c>
      <c r="O4826">
        <f>COUNTIFS(F$1:F4826,F4826,A$1:A4826,A4826)</f>
        <v>58</v>
      </c>
      <c r="P4826" t="str">
        <f t="shared" si="227"/>
        <v>Scott Simonson4</v>
      </c>
    </row>
    <row r="4827" spans="1:16" x14ac:dyDescent="0.25">
      <c r="A4827">
        <v>5</v>
      </c>
      <c r="B4827" t="s">
        <v>4223</v>
      </c>
      <c r="C4827">
        <f>-0.14-2.42</f>
        <v>-2.56</v>
      </c>
      <c r="D4827">
        <v>1.1399999999999999</v>
      </c>
      <c r="E4827" t="s">
        <v>42</v>
      </c>
      <c r="F4827" t="s">
        <v>47</v>
      </c>
      <c r="G4827">
        <v>2.42</v>
      </c>
      <c r="H4827">
        <v>-0.14000000000000001</v>
      </c>
      <c r="I4827">
        <v>1.28</v>
      </c>
      <c r="J4827">
        <v>1.6384000000000001</v>
      </c>
      <c r="K4827" t="str">
        <f>IFERROR(INDEX(Rosters!$C$2:$C$155,MATCH($B4827,Rosters!$B$2:$B$155,0)),"NA")</f>
        <v>NA</v>
      </c>
      <c r="L4827" t="str">
        <f t="shared" si="225"/>
        <v>NA5RB</v>
      </c>
      <c r="M4827">
        <f>COUNTIF(L$1:L4827,L4827)</f>
        <v>38</v>
      </c>
      <c r="N4827" t="str">
        <f t="shared" si="226"/>
        <v>NA5RB-38</v>
      </c>
      <c r="O4827">
        <f>COUNTIFS(F$1:F4827,F4827,A$1:A4827,A4827)</f>
        <v>81</v>
      </c>
      <c r="P4827" t="str">
        <f t="shared" si="227"/>
        <v>Trenton Cannon5</v>
      </c>
    </row>
    <row r="4828" spans="1:16" x14ac:dyDescent="0.25">
      <c r="A4828">
        <v>8</v>
      </c>
      <c r="B4828" t="s">
        <v>1131</v>
      </c>
      <c r="C4828">
        <f>-0.21-2.49</f>
        <v>-2.7</v>
      </c>
      <c r="D4828">
        <v>1.1399999999999999</v>
      </c>
      <c r="E4828" t="s">
        <v>19</v>
      </c>
      <c r="F4828" t="s">
        <v>47</v>
      </c>
      <c r="G4828">
        <v>2.4900000000000002</v>
      </c>
      <c r="H4828">
        <v>-0.21</v>
      </c>
      <c r="I4828">
        <v>1.35</v>
      </c>
      <c r="J4828">
        <v>1.8225</v>
      </c>
      <c r="K4828" t="str">
        <f>IFERROR(INDEX(Rosters!$C$2:$C$155,MATCH($B4828,Rosters!$B$2:$B$155,0)),"NA")</f>
        <v>NA</v>
      </c>
      <c r="L4828" t="str">
        <f t="shared" si="225"/>
        <v>NA8RB</v>
      </c>
      <c r="M4828">
        <f>COUNTIF(L$1:L4828,L4828)</f>
        <v>38</v>
      </c>
      <c r="N4828" t="str">
        <f t="shared" si="226"/>
        <v>NA8RB-38</v>
      </c>
      <c r="O4828">
        <f>COUNTIFS(F$1:F4828,F4828,A$1:A4828,A4828)</f>
        <v>78</v>
      </c>
      <c r="P4828" t="str">
        <f t="shared" si="227"/>
        <v>Tyler Ervin8</v>
      </c>
    </row>
    <row r="4829" spans="1:16" x14ac:dyDescent="0.25">
      <c r="A4829">
        <v>9</v>
      </c>
      <c r="B4829" t="s">
        <v>68</v>
      </c>
      <c r="C4829" t="s">
        <v>8682</v>
      </c>
      <c r="D4829">
        <v>1.1399999999999999</v>
      </c>
      <c r="E4829" t="s">
        <v>24</v>
      </c>
      <c r="F4829" t="s">
        <v>15</v>
      </c>
      <c r="G4829">
        <v>1.84</v>
      </c>
      <c r="H4829">
        <v>0.44</v>
      </c>
      <c r="I4829">
        <v>0.7</v>
      </c>
      <c r="J4829">
        <v>0.49</v>
      </c>
      <c r="K4829" t="str">
        <f>IFERROR(INDEX(Rosters!$C$2:$C$155,MATCH($B4829,Rosters!$B$2:$B$155,0)),"NA")</f>
        <v>NA</v>
      </c>
      <c r="L4829" t="str">
        <f t="shared" si="225"/>
        <v>NA9QB</v>
      </c>
      <c r="M4829">
        <f>COUNTIF(L$1:L4829,L4829)</f>
        <v>16</v>
      </c>
      <c r="N4829" t="str">
        <f t="shared" si="226"/>
        <v>NA9QB-16</v>
      </c>
      <c r="O4829">
        <f>COUNTIFS(F$1:F4829,F4829,A$1:A4829,A4829)</f>
        <v>30</v>
      </c>
      <c r="P4829" t="str">
        <f t="shared" si="227"/>
        <v>Tyrod Taylor9</v>
      </c>
    </row>
    <row r="4830" spans="1:16" x14ac:dyDescent="0.25">
      <c r="A4830">
        <v>10</v>
      </c>
      <c r="B4830" t="s">
        <v>68</v>
      </c>
      <c r="C4830" t="s">
        <v>8682</v>
      </c>
      <c r="D4830">
        <v>1.1399999999999999</v>
      </c>
      <c r="E4830" t="s">
        <v>46</v>
      </c>
      <c r="F4830" t="s">
        <v>15</v>
      </c>
      <c r="G4830">
        <v>1.84</v>
      </c>
      <c r="H4830">
        <v>0.44</v>
      </c>
      <c r="I4830">
        <v>0.7</v>
      </c>
      <c r="J4830">
        <v>0.49</v>
      </c>
      <c r="K4830" t="str">
        <f>IFERROR(INDEX(Rosters!$C$2:$C$155,MATCH($B4830,Rosters!$B$2:$B$155,0)),"NA")</f>
        <v>NA</v>
      </c>
      <c r="L4830" t="str">
        <f t="shared" si="225"/>
        <v>NA10QB</v>
      </c>
      <c r="M4830">
        <f>COUNTIF(L$1:L4830,L4830)</f>
        <v>16</v>
      </c>
      <c r="N4830" t="str">
        <f t="shared" si="226"/>
        <v>NA10QB-16</v>
      </c>
      <c r="O4830">
        <f>COUNTIFS(F$1:F4830,F4830,A$1:A4830,A4830)</f>
        <v>32</v>
      </c>
      <c r="P4830" t="str">
        <f t="shared" si="227"/>
        <v>Tyrod Taylor10</v>
      </c>
    </row>
    <row r="4831" spans="1:16" x14ac:dyDescent="0.25">
      <c r="A4831">
        <v>6</v>
      </c>
      <c r="B4831" t="s">
        <v>1118</v>
      </c>
      <c r="C4831" t="s">
        <v>8683</v>
      </c>
      <c r="D4831">
        <v>1.1299999999999999</v>
      </c>
      <c r="E4831" t="s">
        <v>24</v>
      </c>
      <c r="F4831" t="s">
        <v>15</v>
      </c>
      <c r="G4831">
        <v>1.84</v>
      </c>
      <c r="H4831">
        <v>0.42</v>
      </c>
      <c r="I4831">
        <v>0.71</v>
      </c>
      <c r="J4831">
        <v>0.50409999999999999</v>
      </c>
      <c r="K4831" t="str">
        <f>IFERROR(INDEX(Rosters!$C$2:$C$155,MATCH($B4831,Rosters!$B$2:$B$155,0)),"NA")</f>
        <v>NA</v>
      </c>
      <c r="L4831" t="str">
        <f t="shared" si="225"/>
        <v>NA6QB</v>
      </c>
      <c r="M4831">
        <f>COUNTIF(L$1:L4831,L4831)</f>
        <v>21</v>
      </c>
      <c r="N4831" t="str">
        <f t="shared" si="226"/>
        <v>NA6QB-21</v>
      </c>
      <c r="O4831">
        <f>COUNTIFS(F$1:F4831,F4831,A$1:A4831,A4831)</f>
        <v>36</v>
      </c>
      <c r="P4831" t="str">
        <f t="shared" si="227"/>
        <v>Brian Hoyer6</v>
      </c>
    </row>
    <row r="4832" spans="1:16" x14ac:dyDescent="0.25">
      <c r="A4832">
        <v>3</v>
      </c>
      <c r="B4832" t="s">
        <v>1367</v>
      </c>
      <c r="C4832">
        <f>-0.01-2.27</f>
        <v>-2.2799999999999998</v>
      </c>
      <c r="D4832">
        <v>1.1299999999999999</v>
      </c>
      <c r="E4832" t="s">
        <v>46</v>
      </c>
      <c r="F4832" t="s">
        <v>87</v>
      </c>
      <c r="G4832">
        <v>2.27</v>
      </c>
      <c r="H4832">
        <v>-0.01</v>
      </c>
      <c r="I4832">
        <v>1.1399999999999999</v>
      </c>
      <c r="J4832">
        <v>1.2996000000000001</v>
      </c>
      <c r="K4832" t="str">
        <f>IFERROR(INDEX(Rosters!$C$2:$C$155,MATCH($B4832,Rosters!$B$2:$B$155,0)),"NA")</f>
        <v>NA</v>
      </c>
      <c r="L4832" t="str">
        <f t="shared" si="225"/>
        <v>NA3WR</v>
      </c>
      <c r="M4832">
        <f>COUNTIF(L$1:L4832,L4832)</f>
        <v>59</v>
      </c>
      <c r="N4832" t="str">
        <f t="shared" si="226"/>
        <v>NA3WR-59</v>
      </c>
      <c r="O4832">
        <f>COUNTIFS(F$1:F4832,F4832,A$1:A4832,A4832)</f>
        <v>107</v>
      </c>
      <c r="P4832" t="str">
        <f t="shared" si="227"/>
        <v>Cameron Meredith3</v>
      </c>
    </row>
    <row r="4833" spans="1:16" x14ac:dyDescent="0.25">
      <c r="A4833">
        <v>2</v>
      </c>
      <c r="B4833" t="s">
        <v>232</v>
      </c>
      <c r="C4833">
        <f>-0.03-2.29</f>
        <v>-2.3199999999999998</v>
      </c>
      <c r="D4833">
        <v>1.1299999999999999</v>
      </c>
      <c r="E4833" t="s">
        <v>42</v>
      </c>
      <c r="F4833" t="s">
        <v>47</v>
      </c>
      <c r="G4833">
        <v>2.29</v>
      </c>
      <c r="H4833">
        <v>-0.03</v>
      </c>
      <c r="I4833">
        <v>1.1599999999999999</v>
      </c>
      <c r="J4833">
        <v>1.3455999999999999</v>
      </c>
      <c r="K4833" t="str">
        <f>IFERROR(INDEX(Rosters!$C$2:$C$155,MATCH($B4833,Rosters!$B$2:$B$155,0)),"NA")</f>
        <v>NA</v>
      </c>
      <c r="L4833" t="str">
        <f t="shared" si="225"/>
        <v>NA2RB</v>
      </c>
      <c r="M4833">
        <f>COUNTIF(L$1:L4833,L4833)</f>
        <v>29</v>
      </c>
      <c r="N4833" t="str">
        <f t="shared" si="226"/>
        <v>NA2RB-29</v>
      </c>
      <c r="O4833">
        <f>COUNTIFS(F$1:F4833,F4833,A$1:A4833,A4833)</f>
        <v>71</v>
      </c>
      <c r="P4833" t="str">
        <f t="shared" si="227"/>
        <v>Jalen Richard2</v>
      </c>
    </row>
    <row r="4834" spans="1:16" x14ac:dyDescent="0.25">
      <c r="A4834">
        <v>15</v>
      </c>
      <c r="B4834" t="s">
        <v>88</v>
      </c>
      <c r="C4834" t="s">
        <v>8684</v>
      </c>
      <c r="D4834">
        <v>1.1299999999999999</v>
      </c>
      <c r="E4834" t="s">
        <v>36</v>
      </c>
      <c r="F4834" t="s">
        <v>15</v>
      </c>
      <c r="G4834">
        <v>1.72</v>
      </c>
      <c r="H4834">
        <v>0.54</v>
      </c>
      <c r="I4834">
        <v>0.59</v>
      </c>
      <c r="J4834">
        <v>0.34810000000000002</v>
      </c>
      <c r="K4834" t="str">
        <f>IFERROR(INDEX(Rosters!$C$2:$C$155,MATCH($B4834,Rosters!$B$2:$B$155,0)),"NA")</f>
        <v>NA</v>
      </c>
      <c r="L4834" t="str">
        <f t="shared" si="225"/>
        <v>NA15QB</v>
      </c>
      <c r="M4834">
        <f>COUNTIF(L$1:L4834,L4834)</f>
        <v>19</v>
      </c>
      <c r="N4834" t="str">
        <f t="shared" si="226"/>
        <v>NA15QB-19</v>
      </c>
      <c r="O4834">
        <f>COUNTIFS(F$1:F4834,F4834,A$1:A4834,A4834)</f>
        <v>36</v>
      </c>
      <c r="P4834" t="str">
        <f t="shared" si="227"/>
        <v>Josh McCown15</v>
      </c>
    </row>
    <row r="4835" spans="1:16" x14ac:dyDescent="0.25">
      <c r="A4835">
        <v>6</v>
      </c>
      <c r="B4835" t="s">
        <v>390</v>
      </c>
      <c r="C4835" t="s">
        <v>8685</v>
      </c>
      <c r="D4835">
        <v>1.1299999999999999</v>
      </c>
      <c r="E4835" t="s">
        <v>31</v>
      </c>
      <c r="F4835" t="s">
        <v>47</v>
      </c>
      <c r="G4835">
        <v>2.13</v>
      </c>
      <c r="H4835">
        <v>0.13</v>
      </c>
      <c r="I4835">
        <v>1</v>
      </c>
      <c r="J4835">
        <v>1</v>
      </c>
      <c r="K4835" t="str">
        <f>IFERROR(INDEX(Rosters!$C$2:$C$155,MATCH($B4835,Rosters!$B$2:$B$155,0)),"NA")</f>
        <v>NA</v>
      </c>
      <c r="L4835" t="str">
        <f t="shared" si="225"/>
        <v>NA6RB</v>
      </c>
      <c r="M4835">
        <f>COUNTIF(L$1:L4835,L4835)</f>
        <v>36</v>
      </c>
      <c r="N4835" t="str">
        <f t="shared" si="226"/>
        <v>NA6RB-36</v>
      </c>
      <c r="O4835">
        <f>COUNTIFS(F$1:F4835,F4835,A$1:A4835,A4835)</f>
        <v>78</v>
      </c>
      <c r="P4835" t="str">
        <f t="shared" si="227"/>
        <v>Roosevelt Nix6</v>
      </c>
    </row>
    <row r="4836" spans="1:16" x14ac:dyDescent="0.25">
      <c r="A4836">
        <v>1</v>
      </c>
      <c r="B4836" t="s">
        <v>259</v>
      </c>
      <c r="C4836">
        <f>-0.3-2.56</f>
        <v>-2.86</v>
      </c>
      <c r="D4836">
        <v>1.1299999999999999</v>
      </c>
      <c r="E4836" t="s">
        <v>76</v>
      </c>
      <c r="F4836" t="s">
        <v>87</v>
      </c>
      <c r="G4836">
        <v>2.56</v>
      </c>
      <c r="H4836">
        <v>-0.3</v>
      </c>
      <c r="I4836">
        <v>1.43</v>
      </c>
      <c r="J4836">
        <v>2.0449000000000002</v>
      </c>
      <c r="K4836" t="str">
        <f>IFERROR(INDEX(Rosters!$C$2:$C$155,MATCH($B4836,Rosters!$B$2:$B$155,0)),"NA")</f>
        <v>NA</v>
      </c>
      <c r="L4836" t="str">
        <f t="shared" si="225"/>
        <v>NA1WR</v>
      </c>
      <c r="M4836">
        <f>COUNTIF(L$1:L4836,L4836)</f>
        <v>57</v>
      </c>
      <c r="N4836" t="str">
        <f t="shared" si="226"/>
        <v>NA1WR-57</v>
      </c>
      <c r="O4836">
        <f>COUNTIFS(F$1:F4836,F4836,A$1:A4836,A4836)</f>
        <v>106</v>
      </c>
      <c r="P4836" t="str">
        <f t="shared" si="227"/>
        <v>Russell Shepard1</v>
      </c>
    </row>
    <row r="4837" spans="1:16" x14ac:dyDescent="0.25">
      <c r="A4837">
        <v>2</v>
      </c>
      <c r="B4837" t="s">
        <v>332</v>
      </c>
      <c r="C4837">
        <f>-0.38-2.64</f>
        <v>-3.02</v>
      </c>
      <c r="D4837">
        <v>1.1299999999999999</v>
      </c>
      <c r="E4837" t="s">
        <v>73</v>
      </c>
      <c r="F4837" t="s">
        <v>47</v>
      </c>
      <c r="G4837">
        <v>2.64</v>
      </c>
      <c r="H4837">
        <v>-0.38</v>
      </c>
      <c r="I4837">
        <v>1.51</v>
      </c>
      <c r="J4837">
        <v>2.2801</v>
      </c>
      <c r="K4837" t="str">
        <f>IFERROR(INDEX(Rosters!$C$2:$C$155,MATCH($B4837,Rosters!$B$2:$B$155,0)),"NA")</f>
        <v>NA</v>
      </c>
      <c r="L4837" t="str">
        <f t="shared" si="225"/>
        <v>NA2RB</v>
      </c>
      <c r="M4837">
        <f>COUNTIF(L$1:L4837,L4837)</f>
        <v>30</v>
      </c>
      <c r="N4837" t="str">
        <f t="shared" si="226"/>
        <v>NA2RB-30</v>
      </c>
      <c r="O4837">
        <f>COUNTIFS(F$1:F4837,F4837,A$1:A4837,A4837)</f>
        <v>72</v>
      </c>
      <c r="P4837" t="str">
        <f t="shared" si="227"/>
        <v>Senorise Perry2</v>
      </c>
    </row>
    <row r="4838" spans="1:16" x14ac:dyDescent="0.25">
      <c r="A4838">
        <v>14</v>
      </c>
      <c r="B4838" t="s">
        <v>68</v>
      </c>
      <c r="C4838" t="s">
        <v>8686</v>
      </c>
      <c r="D4838">
        <v>1.1299999999999999</v>
      </c>
      <c r="E4838" t="s">
        <v>74</v>
      </c>
      <c r="F4838" t="s">
        <v>15</v>
      </c>
      <c r="G4838">
        <v>1.81</v>
      </c>
      <c r="H4838">
        <v>0.45</v>
      </c>
      <c r="I4838">
        <v>0.68</v>
      </c>
      <c r="J4838">
        <v>0.46239999999999998</v>
      </c>
      <c r="K4838" t="str">
        <f>IFERROR(INDEX(Rosters!$C$2:$C$155,MATCH($B4838,Rosters!$B$2:$B$155,0)),"NA")</f>
        <v>NA</v>
      </c>
      <c r="L4838" t="str">
        <f t="shared" si="225"/>
        <v>NA14QB</v>
      </c>
      <c r="M4838">
        <f>COUNTIF(L$1:L4838,L4838)</f>
        <v>21</v>
      </c>
      <c r="N4838" t="str">
        <f t="shared" si="226"/>
        <v>NA14QB-21</v>
      </c>
      <c r="O4838">
        <f>COUNTIFS(F$1:F4838,F4838,A$1:A4838,A4838)</f>
        <v>38</v>
      </c>
      <c r="P4838" t="str">
        <f t="shared" si="227"/>
        <v>Tyrod Taylor14</v>
      </c>
    </row>
    <row r="4839" spans="1:16" x14ac:dyDescent="0.25">
      <c r="A4839">
        <v>17</v>
      </c>
      <c r="B4839" t="s">
        <v>336</v>
      </c>
      <c r="C4839">
        <f>-0.25-2.49</f>
        <v>-2.74</v>
      </c>
      <c r="D4839">
        <v>1.1200000000000001</v>
      </c>
      <c r="E4839" t="s">
        <v>37</v>
      </c>
      <c r="F4839" t="s">
        <v>47</v>
      </c>
      <c r="G4839">
        <v>2.4900000000000002</v>
      </c>
      <c r="H4839">
        <v>-0.25</v>
      </c>
      <c r="I4839">
        <v>1.37</v>
      </c>
      <c r="J4839">
        <v>1.8769</v>
      </c>
      <c r="K4839" t="str">
        <f>IFERROR(INDEX(Rosters!$C$2:$C$155,MATCH($B4839,Rosters!$B$2:$B$155,0)),"NA")</f>
        <v>NA</v>
      </c>
      <c r="L4839" t="str">
        <f t="shared" si="225"/>
        <v>NA17RB</v>
      </c>
      <c r="M4839">
        <f>COUNTIF(L$1:L4839,L4839)</f>
        <v>40</v>
      </c>
      <c r="N4839" t="str">
        <f t="shared" si="226"/>
        <v>NA17RB-40</v>
      </c>
      <c r="O4839">
        <f>COUNTIFS(F$1:F4839,F4839,A$1:A4839,A4839)</f>
        <v>87</v>
      </c>
      <c r="P4839" t="str">
        <f t="shared" si="227"/>
        <v>Andy Janovich17</v>
      </c>
    </row>
    <row r="4840" spans="1:16" x14ac:dyDescent="0.25">
      <c r="A4840">
        <v>10</v>
      </c>
      <c r="B4840" t="s">
        <v>1543</v>
      </c>
      <c r="C4840" t="s">
        <v>8687</v>
      </c>
      <c r="D4840">
        <v>1.1200000000000001</v>
      </c>
      <c r="E4840" t="s">
        <v>41</v>
      </c>
      <c r="F4840" t="s">
        <v>15</v>
      </c>
      <c r="G4840">
        <v>1.66</v>
      </c>
      <c r="H4840">
        <v>0.57999999999999996</v>
      </c>
      <c r="I4840">
        <v>0.54</v>
      </c>
      <c r="J4840">
        <v>0.29160000000000003</v>
      </c>
      <c r="K4840" t="str">
        <f>IFERROR(INDEX(Rosters!$C$2:$C$155,MATCH($B4840,Rosters!$B$2:$B$155,0)),"NA")</f>
        <v>NA</v>
      </c>
      <c r="L4840" t="str">
        <f t="shared" si="225"/>
        <v>NA10QB</v>
      </c>
      <c r="M4840">
        <f>COUNTIF(L$1:L4840,L4840)</f>
        <v>17</v>
      </c>
      <c r="N4840" t="str">
        <f t="shared" si="226"/>
        <v>NA10QB-17</v>
      </c>
      <c r="O4840">
        <f>COUNTIFS(F$1:F4840,F4840,A$1:A4840,A4840)</f>
        <v>33</v>
      </c>
      <c r="P4840" t="str">
        <f t="shared" si="227"/>
        <v>David Fales10</v>
      </c>
    </row>
    <row r="4841" spans="1:16" x14ac:dyDescent="0.25">
      <c r="A4841">
        <v>6</v>
      </c>
      <c r="B4841" t="s">
        <v>1524</v>
      </c>
      <c r="C4841" t="s">
        <v>8688</v>
      </c>
      <c r="D4841">
        <v>1.1200000000000001</v>
      </c>
      <c r="E4841" t="s">
        <v>77</v>
      </c>
      <c r="F4841" t="s">
        <v>47</v>
      </c>
      <c r="G4841">
        <v>2.19</v>
      </c>
      <c r="H4841">
        <v>0.05</v>
      </c>
      <c r="I4841">
        <v>1.07</v>
      </c>
      <c r="J4841">
        <v>1.1449</v>
      </c>
      <c r="K4841" t="str">
        <f>IFERROR(INDEX(Rosters!$C$2:$C$155,MATCH($B4841,Rosters!$B$2:$B$155,0)),"NA")</f>
        <v>NA</v>
      </c>
      <c r="L4841" t="str">
        <f t="shared" si="225"/>
        <v>NA6RB</v>
      </c>
      <c r="M4841">
        <f>COUNTIF(L$1:L4841,L4841)</f>
        <v>37</v>
      </c>
      <c r="N4841" t="str">
        <f t="shared" si="226"/>
        <v>NA6RB-37</v>
      </c>
      <c r="O4841">
        <f>COUNTIFS(F$1:F4841,F4841,A$1:A4841,A4841)</f>
        <v>79</v>
      </c>
      <c r="P4841" t="str">
        <f t="shared" si="227"/>
        <v>David Fluellen6</v>
      </c>
    </row>
    <row r="4842" spans="1:16" x14ac:dyDescent="0.25">
      <c r="A4842">
        <v>14</v>
      </c>
      <c r="B4842" t="s">
        <v>1524</v>
      </c>
      <c r="C4842" t="s">
        <v>8689</v>
      </c>
      <c r="D4842">
        <v>1.1200000000000001</v>
      </c>
      <c r="E4842" t="s">
        <v>76</v>
      </c>
      <c r="F4842" t="s">
        <v>47</v>
      </c>
      <c r="G4842">
        <v>2.2000000000000002</v>
      </c>
      <c r="H4842">
        <v>0.04</v>
      </c>
      <c r="I4842">
        <v>1.08</v>
      </c>
      <c r="J4842">
        <v>1.1664000000000001</v>
      </c>
      <c r="K4842" t="str">
        <f>IFERROR(INDEX(Rosters!$C$2:$C$155,MATCH($B4842,Rosters!$B$2:$B$155,0)),"NA")</f>
        <v>NA</v>
      </c>
      <c r="L4842" t="str">
        <f t="shared" si="225"/>
        <v>NA14RB</v>
      </c>
      <c r="M4842">
        <f>COUNTIF(L$1:L4842,L4842)</f>
        <v>41</v>
      </c>
      <c r="N4842" t="str">
        <f t="shared" si="226"/>
        <v>NA14RB-41</v>
      </c>
      <c r="O4842">
        <f>COUNTIFS(F$1:F4842,F4842,A$1:A4842,A4842)</f>
        <v>88</v>
      </c>
      <c r="P4842" t="str">
        <f t="shared" si="227"/>
        <v>David Fluellen14</v>
      </c>
    </row>
    <row r="4843" spans="1:16" x14ac:dyDescent="0.25">
      <c r="A4843">
        <v>6</v>
      </c>
      <c r="B4843" t="s">
        <v>8584</v>
      </c>
      <c r="C4843">
        <f>-0.02-2.26</f>
        <v>-2.2799999999999998</v>
      </c>
      <c r="D4843">
        <v>1.1200000000000001</v>
      </c>
      <c r="E4843" t="s">
        <v>38</v>
      </c>
      <c r="F4843" t="s">
        <v>47</v>
      </c>
      <c r="G4843">
        <v>2.2599999999999998</v>
      </c>
      <c r="H4843">
        <v>-0.02</v>
      </c>
      <c r="I4843">
        <v>1.1399999999999999</v>
      </c>
      <c r="J4843">
        <v>1.2996000000000001</v>
      </c>
      <c r="K4843" t="str">
        <f>IFERROR(INDEX(Rosters!$C$2:$C$155,MATCH($B4843,Rosters!$B$2:$B$155,0)),"NA")</f>
        <v>NA</v>
      </c>
      <c r="L4843" t="str">
        <f t="shared" si="225"/>
        <v>NA6RB</v>
      </c>
      <c r="M4843">
        <f>COUNTIF(L$1:L4843,L4843)</f>
        <v>38</v>
      </c>
      <c r="N4843" t="str">
        <f t="shared" si="226"/>
        <v>NA6RB-38</v>
      </c>
      <c r="O4843">
        <f>COUNTIFS(F$1:F4843,F4843,A$1:A4843,A4843)</f>
        <v>80</v>
      </c>
      <c r="P4843" t="str">
        <f t="shared" si="227"/>
        <v>De'Lance Turner6</v>
      </c>
    </row>
    <row r="4844" spans="1:16" x14ac:dyDescent="0.25">
      <c r="A4844">
        <v>2</v>
      </c>
      <c r="B4844" t="s">
        <v>1586</v>
      </c>
      <c r="C4844">
        <f>-0.04-2.28</f>
        <v>-2.3199999999999998</v>
      </c>
      <c r="D4844">
        <v>1.1200000000000001</v>
      </c>
      <c r="E4844" t="s">
        <v>19</v>
      </c>
      <c r="F4844" t="s">
        <v>114</v>
      </c>
      <c r="G4844">
        <v>2.2799999999999998</v>
      </c>
      <c r="H4844">
        <v>-0.04</v>
      </c>
      <c r="I4844">
        <v>1.1599999999999999</v>
      </c>
      <c r="J4844">
        <v>1.3455999999999999</v>
      </c>
      <c r="K4844" t="str">
        <f>IFERROR(INDEX(Rosters!$C$2:$C$155,MATCH($B4844,Rosters!$B$2:$B$155,0)),"NA")</f>
        <v>NA</v>
      </c>
      <c r="L4844" t="str">
        <f t="shared" si="225"/>
        <v>NA2TE</v>
      </c>
      <c r="M4844">
        <f>COUNTIF(L$1:L4844,L4844)</f>
        <v>46</v>
      </c>
      <c r="N4844" t="str">
        <f t="shared" si="226"/>
        <v>NA2TE-46</v>
      </c>
      <c r="O4844">
        <f>COUNTIFS(F$1:F4844,F4844,A$1:A4844,A4844)</f>
        <v>59</v>
      </c>
      <c r="P4844" t="str">
        <f t="shared" si="227"/>
        <v>Eric Tomlinson2</v>
      </c>
    </row>
    <row r="4845" spans="1:16" x14ac:dyDescent="0.25">
      <c r="A4845">
        <v>8</v>
      </c>
      <c r="B4845" t="s">
        <v>1469</v>
      </c>
      <c r="C4845">
        <f>-0.17-2.41</f>
        <v>-2.58</v>
      </c>
      <c r="D4845">
        <v>1.1200000000000001</v>
      </c>
      <c r="E4845" t="s">
        <v>41</v>
      </c>
      <c r="F4845" t="s">
        <v>114</v>
      </c>
      <c r="G4845">
        <v>2.41</v>
      </c>
      <c r="H4845">
        <v>-0.17</v>
      </c>
      <c r="I4845">
        <v>1.29</v>
      </c>
      <c r="J4845">
        <v>1.6640999999999999</v>
      </c>
      <c r="K4845" t="str">
        <f>IFERROR(INDEX(Rosters!$C$2:$C$155,MATCH($B4845,Rosters!$B$2:$B$155,0)),"NA")</f>
        <v>NA</v>
      </c>
      <c r="L4845" t="str">
        <f t="shared" si="225"/>
        <v>NA8TE</v>
      </c>
      <c r="M4845">
        <f>COUNTIF(L$1:L4845,L4845)</f>
        <v>46</v>
      </c>
      <c r="N4845" t="str">
        <f t="shared" si="226"/>
        <v>NA8TE-46</v>
      </c>
      <c r="O4845">
        <f>COUNTIFS(F$1:F4845,F4845,A$1:A4845,A4845)</f>
        <v>58</v>
      </c>
      <c r="P4845" t="str">
        <f t="shared" si="227"/>
        <v>Gerald Everett8</v>
      </c>
    </row>
    <row r="4846" spans="1:16" x14ac:dyDescent="0.25">
      <c r="A4846">
        <v>15</v>
      </c>
      <c r="B4846" t="s">
        <v>84</v>
      </c>
      <c r="C4846" t="s">
        <v>8690</v>
      </c>
      <c r="D4846">
        <v>1.1200000000000001</v>
      </c>
      <c r="E4846" t="s">
        <v>46</v>
      </c>
      <c r="F4846" t="s">
        <v>15</v>
      </c>
      <c r="G4846">
        <v>1.65</v>
      </c>
      <c r="H4846">
        <v>0.59</v>
      </c>
      <c r="I4846">
        <v>0.53</v>
      </c>
      <c r="J4846">
        <v>0.28089999999999998</v>
      </c>
      <c r="K4846" t="str">
        <f>IFERROR(INDEX(Rosters!$C$2:$C$155,MATCH($B4846,Rosters!$B$2:$B$155,0)),"NA")</f>
        <v>NA</v>
      </c>
      <c r="L4846" t="str">
        <f t="shared" si="225"/>
        <v>NA15QB</v>
      </c>
      <c r="M4846">
        <f>COUNTIF(L$1:L4846,L4846)</f>
        <v>20</v>
      </c>
      <c r="N4846" t="str">
        <f t="shared" si="226"/>
        <v>NA15QB-20</v>
      </c>
      <c r="O4846">
        <f>COUNTIFS(F$1:F4846,F4846,A$1:A4846,A4846)</f>
        <v>37</v>
      </c>
      <c r="P4846" t="str">
        <f t="shared" si="227"/>
        <v>Mike Glennon15</v>
      </c>
    </row>
    <row r="4847" spans="1:16" x14ac:dyDescent="0.25">
      <c r="A4847">
        <v>15</v>
      </c>
      <c r="B4847" t="s">
        <v>390</v>
      </c>
      <c r="C4847" t="s">
        <v>8691</v>
      </c>
      <c r="D4847">
        <v>1.1200000000000001</v>
      </c>
      <c r="E4847" t="s">
        <v>423</v>
      </c>
      <c r="F4847" t="s">
        <v>47</v>
      </c>
      <c r="G4847">
        <v>2.15</v>
      </c>
      <c r="H4847">
        <v>0.09</v>
      </c>
      <c r="I4847">
        <v>1.03</v>
      </c>
      <c r="J4847">
        <v>1.0609</v>
      </c>
      <c r="K4847" t="str">
        <f>IFERROR(INDEX(Rosters!$C$2:$C$155,MATCH($B4847,Rosters!$B$2:$B$155,0)),"NA")</f>
        <v>NA</v>
      </c>
      <c r="L4847" t="str">
        <f t="shared" si="225"/>
        <v>NA15RB</v>
      </c>
      <c r="M4847">
        <f>COUNTIF(L$1:L4847,L4847)</f>
        <v>41</v>
      </c>
      <c r="N4847" t="str">
        <f t="shared" si="226"/>
        <v>NA15RB-41</v>
      </c>
      <c r="O4847">
        <f>COUNTIFS(F$1:F4847,F4847,A$1:A4847,A4847)</f>
        <v>88</v>
      </c>
      <c r="P4847" t="str">
        <f t="shared" si="227"/>
        <v>Roosevelt Nix15</v>
      </c>
    </row>
    <row r="4848" spans="1:16" x14ac:dyDescent="0.25">
      <c r="A4848">
        <v>9</v>
      </c>
      <c r="B4848" t="s">
        <v>102</v>
      </c>
      <c r="C4848" t="s">
        <v>8692</v>
      </c>
      <c r="D4848">
        <v>1.1200000000000001</v>
      </c>
      <c r="E4848" t="s">
        <v>34</v>
      </c>
      <c r="F4848" t="s">
        <v>15</v>
      </c>
      <c r="G4848">
        <v>1.73</v>
      </c>
      <c r="H4848">
        <v>0.51</v>
      </c>
      <c r="I4848">
        <v>0.61</v>
      </c>
      <c r="J4848">
        <v>0.37209999999999999</v>
      </c>
      <c r="K4848" t="str">
        <f>IFERROR(INDEX(Rosters!$C$2:$C$155,MATCH($B4848,Rosters!$B$2:$B$155,0)),"NA")</f>
        <v>NA</v>
      </c>
      <c r="L4848" t="str">
        <f t="shared" si="225"/>
        <v>NA9QB</v>
      </c>
      <c r="M4848">
        <f>COUNTIF(L$1:L4848,L4848)</f>
        <v>17</v>
      </c>
      <c r="N4848" t="str">
        <f t="shared" si="226"/>
        <v>NA9QB-17</v>
      </c>
      <c r="O4848">
        <f>COUNTIFS(F$1:F4848,F4848,A$1:A4848,A4848)</f>
        <v>31</v>
      </c>
      <c r="P4848" t="str">
        <f t="shared" si="227"/>
        <v>Trevor Siemian9</v>
      </c>
    </row>
    <row r="4849" spans="1:16" x14ac:dyDescent="0.25">
      <c r="A4849">
        <v>8</v>
      </c>
      <c r="B4849" t="s">
        <v>68</v>
      </c>
      <c r="C4849" t="s">
        <v>8693</v>
      </c>
      <c r="D4849">
        <v>1.1200000000000001</v>
      </c>
      <c r="E4849" t="s">
        <v>51</v>
      </c>
      <c r="F4849" t="s">
        <v>15</v>
      </c>
      <c r="G4849">
        <v>1.85</v>
      </c>
      <c r="H4849">
        <v>0.39</v>
      </c>
      <c r="I4849">
        <v>0.73</v>
      </c>
      <c r="J4849">
        <v>0.53290000000000004</v>
      </c>
      <c r="K4849" t="str">
        <f>IFERROR(INDEX(Rosters!$C$2:$C$155,MATCH($B4849,Rosters!$B$2:$B$155,0)),"NA")</f>
        <v>NA</v>
      </c>
      <c r="L4849" t="str">
        <f t="shared" si="225"/>
        <v>NA8QB</v>
      </c>
      <c r="M4849">
        <f>COUNTIF(L$1:L4849,L4849)</f>
        <v>20</v>
      </c>
      <c r="N4849" t="str">
        <f t="shared" si="226"/>
        <v>NA8QB-20</v>
      </c>
      <c r="O4849">
        <f>COUNTIFS(F$1:F4849,F4849,A$1:A4849,A4849)</f>
        <v>35</v>
      </c>
      <c r="P4849" t="str">
        <f t="shared" si="227"/>
        <v>Tyrod Taylor8</v>
      </c>
    </row>
    <row r="4850" spans="1:16" x14ac:dyDescent="0.25">
      <c r="A4850">
        <v>11</v>
      </c>
      <c r="B4850" t="s">
        <v>351</v>
      </c>
      <c r="C4850" t="s">
        <v>8694</v>
      </c>
      <c r="D4850">
        <v>1.1100000000000001</v>
      </c>
      <c r="E4850" t="s">
        <v>34</v>
      </c>
      <c r="F4850" t="s">
        <v>47</v>
      </c>
      <c r="G4850">
        <v>2.15</v>
      </c>
      <c r="H4850">
        <v>7.0000000000000007E-2</v>
      </c>
      <c r="I4850">
        <v>1.04</v>
      </c>
      <c r="J4850">
        <v>1.0815999999999999</v>
      </c>
      <c r="K4850" t="str">
        <f>IFERROR(INDEX(Rosters!$C$2:$C$155,MATCH($B4850,Rosters!$B$2:$B$155,0)),"NA")</f>
        <v>NA</v>
      </c>
      <c r="L4850" t="str">
        <f t="shared" si="225"/>
        <v>NA11RB</v>
      </c>
      <c r="M4850">
        <f>COUNTIF(L$1:L4850,L4850)</f>
        <v>31</v>
      </c>
      <c r="N4850" t="str">
        <f t="shared" si="226"/>
        <v>NA11RB-31</v>
      </c>
      <c r="O4850">
        <f>COUNTIFS(F$1:F4850,F4850,A$1:A4850,A4850)</f>
        <v>69</v>
      </c>
      <c r="P4850" t="str">
        <f t="shared" si="227"/>
        <v>Cameron Artis-Payne11</v>
      </c>
    </row>
    <row r="4851" spans="1:16" x14ac:dyDescent="0.25">
      <c r="A4851">
        <v>9</v>
      </c>
      <c r="B4851" t="s">
        <v>88</v>
      </c>
      <c r="C4851" t="s">
        <v>8695</v>
      </c>
      <c r="D4851">
        <v>1.1100000000000001</v>
      </c>
      <c r="E4851" t="s">
        <v>19</v>
      </c>
      <c r="F4851" t="s">
        <v>15</v>
      </c>
      <c r="G4851">
        <v>1.7</v>
      </c>
      <c r="H4851">
        <v>0.52</v>
      </c>
      <c r="I4851">
        <v>0.59</v>
      </c>
      <c r="J4851">
        <v>0.34810000000000002</v>
      </c>
      <c r="K4851" t="str">
        <f>IFERROR(INDEX(Rosters!$C$2:$C$155,MATCH($B4851,Rosters!$B$2:$B$155,0)),"NA")</f>
        <v>NA</v>
      </c>
      <c r="L4851" t="str">
        <f t="shared" si="225"/>
        <v>NA9QB</v>
      </c>
      <c r="M4851">
        <f>COUNTIF(L$1:L4851,L4851)</f>
        <v>18</v>
      </c>
      <c r="N4851" t="str">
        <f t="shared" si="226"/>
        <v>NA9QB-18</v>
      </c>
      <c r="O4851">
        <f>COUNTIFS(F$1:F4851,F4851,A$1:A4851,A4851)</f>
        <v>32</v>
      </c>
      <c r="P4851" t="str">
        <f t="shared" si="227"/>
        <v>Josh McCown9</v>
      </c>
    </row>
    <row r="4852" spans="1:16" x14ac:dyDescent="0.25">
      <c r="A4852">
        <v>5</v>
      </c>
      <c r="B4852" t="s">
        <v>84</v>
      </c>
      <c r="C4852" t="s">
        <v>8696</v>
      </c>
      <c r="D4852">
        <v>1.1100000000000001</v>
      </c>
      <c r="E4852" t="s">
        <v>30</v>
      </c>
      <c r="F4852" t="s">
        <v>15</v>
      </c>
      <c r="G4852">
        <v>1.67</v>
      </c>
      <c r="H4852">
        <v>0.55000000000000004</v>
      </c>
      <c r="I4852">
        <v>0.56000000000000005</v>
      </c>
      <c r="J4852">
        <v>0.31359999999999999</v>
      </c>
      <c r="K4852" t="str">
        <f>IFERROR(INDEX(Rosters!$C$2:$C$155,MATCH($B4852,Rosters!$B$2:$B$155,0)),"NA")</f>
        <v>NA</v>
      </c>
      <c r="L4852" t="str">
        <f t="shared" si="225"/>
        <v>NA5QB</v>
      </c>
      <c r="M4852">
        <f>COUNTIF(L$1:L4852,L4852)</f>
        <v>16</v>
      </c>
      <c r="N4852" t="str">
        <f t="shared" si="226"/>
        <v>NA5QB-16</v>
      </c>
      <c r="O4852">
        <f>COUNTIFS(F$1:F4852,F4852,A$1:A4852,A4852)</f>
        <v>33</v>
      </c>
      <c r="P4852" t="str">
        <f t="shared" si="227"/>
        <v>Mike Glennon5</v>
      </c>
    </row>
    <row r="4853" spans="1:16" x14ac:dyDescent="0.25">
      <c r="A4853">
        <v>1</v>
      </c>
      <c r="B4853" t="s">
        <v>387</v>
      </c>
      <c r="C4853">
        <f>-0.17-2.39</f>
        <v>-2.56</v>
      </c>
      <c r="D4853">
        <v>1.1100000000000001</v>
      </c>
      <c r="E4853" t="s">
        <v>76</v>
      </c>
      <c r="F4853" t="s">
        <v>114</v>
      </c>
      <c r="G4853">
        <v>2.39</v>
      </c>
      <c r="H4853">
        <v>-0.17</v>
      </c>
      <c r="I4853">
        <v>1.28</v>
      </c>
      <c r="J4853">
        <v>1.6384000000000001</v>
      </c>
      <c r="K4853" t="str">
        <f>IFERROR(INDEX(Rosters!$C$2:$C$155,MATCH($B4853,Rosters!$B$2:$B$155,0)),"NA")</f>
        <v>NA</v>
      </c>
      <c r="L4853" t="str">
        <f t="shared" si="225"/>
        <v>NA1TE</v>
      </c>
      <c r="M4853">
        <f>COUNTIF(L$1:L4853,L4853)</f>
        <v>41</v>
      </c>
      <c r="N4853" t="str">
        <f t="shared" si="226"/>
        <v>NA1TE-41</v>
      </c>
      <c r="O4853">
        <f>COUNTIFS(F$1:F4853,F4853,A$1:A4853,A4853)</f>
        <v>54</v>
      </c>
      <c r="P4853" t="str">
        <f t="shared" si="227"/>
        <v>Rhett Ellison1</v>
      </c>
    </row>
    <row r="4854" spans="1:16" x14ac:dyDescent="0.25">
      <c r="A4854">
        <v>12</v>
      </c>
      <c r="B4854" t="s">
        <v>336</v>
      </c>
      <c r="C4854">
        <f>-0.25-2.45</f>
        <v>-2.7</v>
      </c>
      <c r="D4854">
        <v>1.1000000000000001</v>
      </c>
      <c r="E4854" t="s">
        <v>51</v>
      </c>
      <c r="F4854" t="s">
        <v>47</v>
      </c>
      <c r="G4854">
        <v>2.4500000000000002</v>
      </c>
      <c r="H4854">
        <v>-0.25</v>
      </c>
      <c r="I4854">
        <v>1.35</v>
      </c>
      <c r="J4854">
        <v>1.8225</v>
      </c>
      <c r="K4854" t="str">
        <f>IFERROR(INDEX(Rosters!$C$2:$C$155,MATCH($B4854,Rosters!$B$2:$B$155,0)),"NA")</f>
        <v>NA</v>
      </c>
      <c r="L4854" t="str">
        <f t="shared" si="225"/>
        <v>NA12RB</v>
      </c>
      <c r="M4854">
        <f>COUNTIF(L$1:L4854,L4854)</f>
        <v>38</v>
      </c>
      <c r="N4854" t="str">
        <f t="shared" si="226"/>
        <v>NA12RB-38</v>
      </c>
      <c r="O4854">
        <f>COUNTIFS(F$1:F4854,F4854,A$1:A4854,A4854)</f>
        <v>83</v>
      </c>
      <c r="P4854" t="str">
        <f t="shared" si="227"/>
        <v>Andy Janovich12</v>
      </c>
    </row>
    <row r="4855" spans="1:16" x14ac:dyDescent="0.25">
      <c r="A4855">
        <v>17</v>
      </c>
      <c r="B4855" t="s">
        <v>380</v>
      </c>
      <c r="C4855">
        <f>-0.44-2.64</f>
        <v>-3.08</v>
      </c>
      <c r="D4855">
        <v>1.1000000000000001</v>
      </c>
      <c r="E4855" t="s">
        <v>24</v>
      </c>
      <c r="F4855" t="s">
        <v>114</v>
      </c>
      <c r="G4855">
        <v>2.64</v>
      </c>
      <c r="H4855">
        <v>-0.44</v>
      </c>
      <c r="I4855">
        <v>1.54</v>
      </c>
      <c r="J4855">
        <v>2.3715999999999999</v>
      </c>
      <c r="K4855" t="str">
        <f>IFERROR(INDEX(Rosters!$C$2:$C$155,MATCH($B4855,Rosters!$B$2:$B$155,0)),"NA")</f>
        <v>NA</v>
      </c>
      <c r="L4855" t="str">
        <f t="shared" si="225"/>
        <v>NA17TE</v>
      </c>
      <c r="M4855">
        <f>COUNTIF(L$1:L4855,L4855)</f>
        <v>53</v>
      </c>
      <c r="N4855" t="str">
        <f t="shared" si="226"/>
        <v>NA17TE-53</v>
      </c>
      <c r="O4855">
        <f>COUNTIFS(F$1:F4855,F4855,A$1:A4855,A4855)</f>
        <v>67</v>
      </c>
      <c r="P4855" t="str">
        <f t="shared" si="227"/>
        <v>Derek Carrier17</v>
      </c>
    </row>
    <row r="4856" spans="1:16" x14ac:dyDescent="0.25">
      <c r="A4856">
        <v>17</v>
      </c>
      <c r="B4856" t="s">
        <v>88</v>
      </c>
      <c r="C4856" t="s">
        <v>8697</v>
      </c>
      <c r="D4856">
        <v>1.1000000000000001</v>
      </c>
      <c r="E4856" t="s">
        <v>423</v>
      </c>
      <c r="F4856" t="s">
        <v>15</v>
      </c>
      <c r="G4856">
        <v>1.68</v>
      </c>
      <c r="H4856">
        <v>0.52</v>
      </c>
      <c r="I4856">
        <v>0.57999999999999996</v>
      </c>
      <c r="J4856">
        <v>0.33639999999999998</v>
      </c>
      <c r="K4856" t="str">
        <f>IFERROR(INDEX(Rosters!$C$2:$C$155,MATCH($B4856,Rosters!$B$2:$B$155,0)),"NA")</f>
        <v>NA</v>
      </c>
      <c r="L4856" t="str">
        <f t="shared" si="225"/>
        <v>NA17QB</v>
      </c>
      <c r="M4856">
        <f>COUNTIF(L$1:L4856,L4856)</f>
        <v>19</v>
      </c>
      <c r="N4856" t="str">
        <f t="shared" si="226"/>
        <v>NA17QB-19</v>
      </c>
      <c r="O4856">
        <f>COUNTIFS(F$1:F4856,F4856,A$1:A4856,A4856)</f>
        <v>36</v>
      </c>
      <c r="P4856" t="str">
        <f t="shared" si="227"/>
        <v>Josh McCown17</v>
      </c>
    </row>
    <row r="4857" spans="1:16" x14ac:dyDescent="0.25">
      <c r="A4857">
        <v>3</v>
      </c>
      <c r="B4857" t="s">
        <v>4236</v>
      </c>
      <c r="C4857">
        <f>-0.14-2.34</f>
        <v>-2.48</v>
      </c>
      <c r="D4857">
        <v>1.1000000000000001</v>
      </c>
      <c r="E4857" t="s">
        <v>60</v>
      </c>
      <c r="F4857" t="s">
        <v>87</v>
      </c>
      <c r="G4857">
        <v>2.34</v>
      </c>
      <c r="H4857">
        <v>-0.14000000000000001</v>
      </c>
      <c r="I4857">
        <v>1.24</v>
      </c>
      <c r="J4857">
        <v>1.5376000000000001</v>
      </c>
      <c r="K4857" t="str">
        <f>IFERROR(INDEX(Rosters!$C$2:$C$155,MATCH($B4857,Rosters!$B$2:$B$155,0)),"NA")</f>
        <v>aj</v>
      </c>
      <c r="L4857" t="str">
        <f t="shared" si="225"/>
        <v>aj3WR</v>
      </c>
      <c r="M4857">
        <f>COUNTIF(L$1:L4857,L4857)</f>
        <v>6</v>
      </c>
      <c r="N4857" t="str">
        <f t="shared" si="226"/>
        <v>aj3WR-6</v>
      </c>
      <c r="O4857">
        <f>COUNTIFS(F$1:F4857,F4857,A$1:A4857,A4857)</f>
        <v>108</v>
      </c>
      <c r="P4857" t="str">
        <f t="shared" si="227"/>
        <v>Marquez Valdes-Scantling3</v>
      </c>
    </row>
    <row r="4858" spans="1:16" x14ac:dyDescent="0.25">
      <c r="A4858">
        <v>10</v>
      </c>
      <c r="B4858" t="s">
        <v>390</v>
      </c>
      <c r="C4858" t="s">
        <v>8698</v>
      </c>
      <c r="D4858">
        <v>1.1000000000000001</v>
      </c>
      <c r="E4858" t="s">
        <v>74</v>
      </c>
      <c r="F4858" t="s">
        <v>47</v>
      </c>
      <c r="G4858">
        <v>2.06</v>
      </c>
      <c r="H4858">
        <v>0.14000000000000001</v>
      </c>
      <c r="I4858">
        <v>0.96</v>
      </c>
      <c r="J4858">
        <v>0.92159999999999997</v>
      </c>
      <c r="K4858" t="str">
        <f>IFERROR(INDEX(Rosters!$C$2:$C$155,MATCH($B4858,Rosters!$B$2:$B$155,0)),"NA")</f>
        <v>NA</v>
      </c>
      <c r="L4858" t="str">
        <f t="shared" si="225"/>
        <v>NA10RB</v>
      </c>
      <c r="M4858">
        <f>COUNTIF(L$1:L4858,L4858)</f>
        <v>37</v>
      </c>
      <c r="N4858" t="str">
        <f t="shared" si="226"/>
        <v>NA10RB-37</v>
      </c>
      <c r="O4858">
        <f>COUNTIFS(F$1:F4858,F4858,A$1:A4858,A4858)</f>
        <v>76</v>
      </c>
      <c r="P4858" t="str">
        <f t="shared" si="227"/>
        <v>Roosevelt Nix10</v>
      </c>
    </row>
    <row r="4859" spans="1:16" x14ac:dyDescent="0.25">
      <c r="A4859">
        <v>14</v>
      </c>
      <c r="B4859" t="s">
        <v>390</v>
      </c>
      <c r="C4859">
        <f>-0.14-2.34</f>
        <v>-2.48</v>
      </c>
      <c r="D4859">
        <v>1.1000000000000001</v>
      </c>
      <c r="E4859" t="s">
        <v>32</v>
      </c>
      <c r="F4859" t="s">
        <v>47</v>
      </c>
      <c r="G4859">
        <v>2.34</v>
      </c>
      <c r="H4859">
        <v>-0.14000000000000001</v>
      </c>
      <c r="I4859">
        <v>1.24</v>
      </c>
      <c r="J4859">
        <v>1.5376000000000001</v>
      </c>
      <c r="K4859" t="str">
        <f>IFERROR(INDEX(Rosters!$C$2:$C$155,MATCH($B4859,Rosters!$B$2:$B$155,0)),"NA")</f>
        <v>NA</v>
      </c>
      <c r="L4859" t="str">
        <f t="shared" si="225"/>
        <v>NA14RB</v>
      </c>
      <c r="M4859">
        <f>COUNTIF(L$1:L4859,L4859)</f>
        <v>42</v>
      </c>
      <c r="N4859" t="str">
        <f t="shared" si="226"/>
        <v>NA14RB-42</v>
      </c>
      <c r="O4859">
        <f>COUNTIFS(F$1:F4859,F4859,A$1:A4859,A4859)</f>
        <v>89</v>
      </c>
      <c r="P4859" t="str">
        <f t="shared" si="227"/>
        <v>Roosevelt Nix14</v>
      </c>
    </row>
    <row r="4860" spans="1:16" x14ac:dyDescent="0.25">
      <c r="A4860">
        <v>8</v>
      </c>
      <c r="B4860" t="s">
        <v>102</v>
      </c>
      <c r="C4860" t="s">
        <v>8699</v>
      </c>
      <c r="D4860">
        <v>1.1000000000000001</v>
      </c>
      <c r="E4860" t="s">
        <v>14</v>
      </c>
      <c r="F4860" t="s">
        <v>15</v>
      </c>
      <c r="G4860">
        <v>1.7</v>
      </c>
      <c r="H4860">
        <v>0.5</v>
      </c>
      <c r="I4860">
        <v>0.6</v>
      </c>
      <c r="J4860">
        <v>0.36</v>
      </c>
      <c r="K4860" t="str">
        <f>IFERROR(INDEX(Rosters!$C$2:$C$155,MATCH($B4860,Rosters!$B$2:$B$155,0)),"NA")</f>
        <v>NA</v>
      </c>
      <c r="L4860" t="str">
        <f t="shared" si="225"/>
        <v>NA8QB</v>
      </c>
      <c r="M4860">
        <f>COUNTIF(L$1:L4860,L4860)</f>
        <v>21</v>
      </c>
      <c r="N4860" t="str">
        <f t="shared" si="226"/>
        <v>NA8QB-21</v>
      </c>
      <c r="O4860">
        <f>COUNTIFS(F$1:F4860,F4860,A$1:A4860,A4860)</f>
        <v>36</v>
      </c>
      <c r="P4860" t="str">
        <f t="shared" si="227"/>
        <v>Trevor Siemian8</v>
      </c>
    </row>
    <row r="4861" spans="1:16" x14ac:dyDescent="0.25">
      <c r="A4861">
        <v>12</v>
      </c>
      <c r="B4861" t="s">
        <v>102</v>
      </c>
      <c r="C4861" t="s">
        <v>8699</v>
      </c>
      <c r="D4861">
        <v>1.1000000000000001</v>
      </c>
      <c r="E4861" t="s">
        <v>41</v>
      </c>
      <c r="F4861" t="s">
        <v>15</v>
      </c>
      <c r="G4861">
        <v>1.7</v>
      </c>
      <c r="H4861">
        <v>0.5</v>
      </c>
      <c r="I4861">
        <v>0.6</v>
      </c>
      <c r="J4861">
        <v>0.36</v>
      </c>
      <c r="K4861" t="str">
        <f>IFERROR(INDEX(Rosters!$C$2:$C$155,MATCH($B4861,Rosters!$B$2:$B$155,0)),"NA")</f>
        <v>NA</v>
      </c>
      <c r="L4861" t="str">
        <f t="shared" si="225"/>
        <v>NA12QB</v>
      </c>
      <c r="M4861">
        <f>COUNTIF(L$1:L4861,L4861)</f>
        <v>21</v>
      </c>
      <c r="N4861" t="str">
        <f t="shared" si="226"/>
        <v>NA12QB-21</v>
      </c>
      <c r="O4861">
        <f>COUNTIFS(F$1:F4861,F4861,A$1:A4861,A4861)</f>
        <v>36</v>
      </c>
      <c r="P4861" t="str">
        <f t="shared" si="227"/>
        <v>Trevor Siemian12</v>
      </c>
    </row>
    <row r="4862" spans="1:16" x14ac:dyDescent="0.25">
      <c r="A4862">
        <v>17</v>
      </c>
      <c r="B4862" t="s">
        <v>351</v>
      </c>
      <c r="C4862">
        <f>-0.22-2.4</f>
        <v>-2.62</v>
      </c>
      <c r="D4862">
        <v>1.0900000000000001</v>
      </c>
      <c r="E4862" t="s">
        <v>14</v>
      </c>
      <c r="F4862" t="s">
        <v>47</v>
      </c>
      <c r="G4862">
        <v>2.4</v>
      </c>
      <c r="H4862">
        <v>-0.22</v>
      </c>
      <c r="I4862">
        <v>1.31</v>
      </c>
      <c r="J4862">
        <v>1.7161</v>
      </c>
      <c r="K4862" t="str">
        <f>IFERROR(INDEX(Rosters!$C$2:$C$155,MATCH($B4862,Rosters!$B$2:$B$155,0)),"NA")</f>
        <v>NA</v>
      </c>
      <c r="L4862" t="str">
        <f t="shared" si="225"/>
        <v>NA17RB</v>
      </c>
      <c r="M4862">
        <f>COUNTIF(L$1:L4862,L4862)</f>
        <v>41</v>
      </c>
      <c r="N4862" t="str">
        <f t="shared" si="226"/>
        <v>NA17RB-41</v>
      </c>
      <c r="O4862">
        <f>COUNTIFS(F$1:F4862,F4862,A$1:A4862,A4862)</f>
        <v>88</v>
      </c>
      <c r="P4862" t="str">
        <f t="shared" si="227"/>
        <v>Cameron Artis-Payne17</v>
      </c>
    </row>
    <row r="4863" spans="1:16" x14ac:dyDescent="0.25">
      <c r="A4863">
        <v>5</v>
      </c>
      <c r="B4863" t="s">
        <v>68</v>
      </c>
      <c r="C4863" t="s">
        <v>8700</v>
      </c>
      <c r="D4863">
        <v>1.0900000000000001</v>
      </c>
      <c r="E4863" t="s">
        <v>77</v>
      </c>
      <c r="F4863" t="s">
        <v>15</v>
      </c>
      <c r="G4863">
        <v>1.79</v>
      </c>
      <c r="H4863">
        <v>0.39</v>
      </c>
      <c r="I4863">
        <v>0.7</v>
      </c>
      <c r="J4863">
        <v>0.49</v>
      </c>
      <c r="K4863" t="str">
        <f>IFERROR(INDEX(Rosters!$C$2:$C$155,MATCH($B4863,Rosters!$B$2:$B$155,0)),"NA")</f>
        <v>NA</v>
      </c>
      <c r="L4863" t="str">
        <f t="shared" si="225"/>
        <v>NA5QB</v>
      </c>
      <c r="M4863">
        <f>COUNTIF(L$1:L4863,L4863)</f>
        <v>17</v>
      </c>
      <c r="N4863" t="str">
        <f t="shared" si="226"/>
        <v>NA5QB-17</v>
      </c>
      <c r="O4863">
        <f>COUNTIFS(F$1:F4863,F4863,A$1:A4863,A4863)</f>
        <v>34</v>
      </c>
      <c r="P4863" t="str">
        <f t="shared" si="227"/>
        <v>Tyrod Taylor5</v>
      </c>
    </row>
    <row r="4864" spans="1:16" x14ac:dyDescent="0.25">
      <c r="A4864">
        <v>13</v>
      </c>
      <c r="B4864" t="s">
        <v>68</v>
      </c>
      <c r="C4864" t="s">
        <v>8701</v>
      </c>
      <c r="D4864">
        <v>1.0900000000000001</v>
      </c>
      <c r="E4864" t="s">
        <v>36</v>
      </c>
      <c r="F4864" t="s">
        <v>15</v>
      </c>
      <c r="G4864">
        <v>1.8</v>
      </c>
      <c r="H4864">
        <v>0.38</v>
      </c>
      <c r="I4864">
        <v>0.71</v>
      </c>
      <c r="J4864">
        <v>0.50409999999999999</v>
      </c>
      <c r="K4864" t="str">
        <f>IFERROR(INDEX(Rosters!$C$2:$C$155,MATCH($B4864,Rosters!$B$2:$B$155,0)),"NA")</f>
        <v>NA</v>
      </c>
      <c r="L4864" t="str">
        <f t="shared" si="225"/>
        <v>NA13QB</v>
      </c>
      <c r="M4864">
        <f>COUNTIF(L$1:L4864,L4864)</f>
        <v>21</v>
      </c>
      <c r="N4864" t="str">
        <f t="shared" si="226"/>
        <v>NA13QB-21</v>
      </c>
      <c r="O4864">
        <f>COUNTIFS(F$1:F4864,F4864,A$1:A4864,A4864)</f>
        <v>38</v>
      </c>
      <c r="P4864" t="str">
        <f t="shared" si="227"/>
        <v>Tyrod Taylor13</v>
      </c>
    </row>
    <row r="4865" spans="1:16" x14ac:dyDescent="0.25">
      <c r="A4865">
        <v>11</v>
      </c>
      <c r="B4865" t="s">
        <v>1469</v>
      </c>
      <c r="C4865">
        <f>-0.34-2.5</f>
        <v>-2.84</v>
      </c>
      <c r="D4865">
        <v>1.08</v>
      </c>
      <c r="E4865" t="s">
        <v>24</v>
      </c>
      <c r="F4865" t="s">
        <v>114</v>
      </c>
      <c r="G4865">
        <v>2.5</v>
      </c>
      <c r="H4865">
        <v>-0.34</v>
      </c>
      <c r="I4865">
        <v>1.42</v>
      </c>
      <c r="J4865">
        <v>2.0164</v>
      </c>
      <c r="K4865" t="str">
        <f>IFERROR(INDEX(Rosters!$C$2:$C$155,MATCH($B4865,Rosters!$B$2:$B$155,0)),"NA")</f>
        <v>NA</v>
      </c>
      <c r="L4865" t="str">
        <f t="shared" si="225"/>
        <v>NA11TE</v>
      </c>
      <c r="M4865">
        <f>COUNTIF(L$1:L4865,L4865)</f>
        <v>43</v>
      </c>
      <c r="N4865" t="str">
        <f t="shared" si="226"/>
        <v>NA11TE-43</v>
      </c>
      <c r="O4865">
        <f>COUNTIFS(F$1:F4865,F4865,A$1:A4865,A4865)</f>
        <v>55</v>
      </c>
      <c r="P4865" t="str">
        <f t="shared" si="227"/>
        <v>Gerald Everett11</v>
      </c>
    </row>
    <row r="4866" spans="1:16" x14ac:dyDescent="0.25">
      <c r="A4866">
        <v>15</v>
      </c>
      <c r="B4866" t="s">
        <v>102</v>
      </c>
      <c r="C4866" t="s">
        <v>8702</v>
      </c>
      <c r="D4866">
        <v>1.08</v>
      </c>
      <c r="E4866" t="s">
        <v>19</v>
      </c>
      <c r="F4866" t="s">
        <v>15</v>
      </c>
      <c r="G4866">
        <v>1.68</v>
      </c>
      <c r="H4866">
        <v>0.48</v>
      </c>
      <c r="I4866">
        <v>0.6</v>
      </c>
      <c r="J4866">
        <v>0.36</v>
      </c>
      <c r="K4866" t="str">
        <f>IFERROR(INDEX(Rosters!$C$2:$C$155,MATCH($B4866,Rosters!$B$2:$B$155,0)),"NA")</f>
        <v>NA</v>
      </c>
      <c r="L4866" t="str">
        <f t="shared" si="225"/>
        <v>NA15QB</v>
      </c>
      <c r="M4866">
        <f>COUNTIF(L$1:L4866,L4866)</f>
        <v>21</v>
      </c>
      <c r="N4866" t="str">
        <f t="shared" si="226"/>
        <v>NA15QB-21</v>
      </c>
      <c r="O4866">
        <f>COUNTIFS(F$1:F4866,F4866,A$1:A4866,A4866)</f>
        <v>38</v>
      </c>
      <c r="P4866" t="str">
        <f t="shared" si="227"/>
        <v>Trevor Siemian15</v>
      </c>
    </row>
    <row r="4867" spans="1:16" x14ac:dyDescent="0.25">
      <c r="A4867">
        <v>11</v>
      </c>
      <c r="B4867" t="s">
        <v>1131</v>
      </c>
      <c r="C4867">
        <f>-0.35-2.51</f>
        <v>-2.86</v>
      </c>
      <c r="D4867">
        <v>1.08</v>
      </c>
      <c r="E4867" t="s">
        <v>60</v>
      </c>
      <c r="F4867" t="s">
        <v>47</v>
      </c>
      <c r="G4867">
        <v>2.5099999999999998</v>
      </c>
      <c r="H4867">
        <v>-0.35</v>
      </c>
      <c r="I4867">
        <v>1.43</v>
      </c>
      <c r="J4867">
        <v>2.0449000000000002</v>
      </c>
      <c r="K4867" t="str">
        <f>IFERROR(INDEX(Rosters!$C$2:$C$155,MATCH($B4867,Rosters!$B$2:$B$155,0)),"NA")</f>
        <v>NA</v>
      </c>
      <c r="L4867" t="str">
        <f t="shared" ref="L4867:L4930" si="228">K4867&amp;A4867&amp;F4867</f>
        <v>NA11RB</v>
      </c>
      <c r="M4867">
        <f>COUNTIF(L$1:L4867,L4867)</f>
        <v>32</v>
      </c>
      <c r="N4867" t="str">
        <f t="shared" ref="N4867:N4930" si="229">L4867&amp;"-"&amp;M4867</f>
        <v>NA11RB-32</v>
      </c>
      <c r="O4867">
        <f>COUNTIFS(F$1:F4867,F4867,A$1:A4867,A4867)</f>
        <v>70</v>
      </c>
      <c r="P4867" t="str">
        <f t="shared" ref="P4867:P4930" si="230">B4867&amp;A4867</f>
        <v>Tyler Ervin11</v>
      </c>
    </row>
    <row r="4868" spans="1:16" x14ac:dyDescent="0.25">
      <c r="A4868">
        <v>13</v>
      </c>
      <c r="B4868" t="s">
        <v>390</v>
      </c>
      <c r="C4868" t="s">
        <v>8703</v>
      </c>
      <c r="D4868">
        <v>1.07</v>
      </c>
      <c r="E4868" t="s">
        <v>37</v>
      </c>
      <c r="F4868" t="s">
        <v>47</v>
      </c>
      <c r="G4868">
        <v>1.99</v>
      </c>
      <c r="H4868">
        <v>0.15</v>
      </c>
      <c r="I4868">
        <v>0.92</v>
      </c>
      <c r="J4868">
        <v>0.84640000000000004</v>
      </c>
      <c r="K4868" t="str">
        <f>IFERROR(INDEX(Rosters!$C$2:$C$155,MATCH($B4868,Rosters!$B$2:$B$155,0)),"NA")</f>
        <v>NA</v>
      </c>
      <c r="L4868" t="str">
        <f t="shared" si="228"/>
        <v>NA13RB</v>
      </c>
      <c r="M4868">
        <f>COUNTIF(L$1:L4868,L4868)</f>
        <v>42</v>
      </c>
      <c r="N4868" t="str">
        <f t="shared" si="229"/>
        <v>NA13RB-42</v>
      </c>
      <c r="O4868">
        <f>COUNTIFS(F$1:F4868,F4868,A$1:A4868,A4868)</f>
        <v>89</v>
      </c>
      <c r="P4868" t="str">
        <f t="shared" si="230"/>
        <v>Roosevelt Nix13</v>
      </c>
    </row>
    <row r="4869" spans="1:16" x14ac:dyDescent="0.25">
      <c r="A4869">
        <v>6</v>
      </c>
      <c r="B4869" t="s">
        <v>4223</v>
      </c>
      <c r="C4869">
        <f>-0.1-2.24</f>
        <v>-2.3400000000000003</v>
      </c>
      <c r="D4869">
        <v>1.07</v>
      </c>
      <c r="E4869" t="s">
        <v>66</v>
      </c>
      <c r="F4869" t="s">
        <v>47</v>
      </c>
      <c r="G4869">
        <v>2.2400000000000002</v>
      </c>
      <c r="H4869">
        <v>-0.1</v>
      </c>
      <c r="I4869">
        <v>1.17</v>
      </c>
      <c r="J4869">
        <v>1.3689</v>
      </c>
      <c r="K4869" t="str">
        <f>IFERROR(INDEX(Rosters!$C$2:$C$155,MATCH($B4869,Rosters!$B$2:$B$155,0)),"NA")</f>
        <v>NA</v>
      </c>
      <c r="L4869" t="str">
        <f t="shared" si="228"/>
        <v>NA6RB</v>
      </c>
      <c r="M4869">
        <f>COUNTIF(L$1:L4869,L4869)</f>
        <v>39</v>
      </c>
      <c r="N4869" t="str">
        <f t="shared" si="229"/>
        <v>NA6RB-39</v>
      </c>
      <c r="O4869">
        <f>COUNTIFS(F$1:F4869,F4869,A$1:A4869,A4869)</f>
        <v>81</v>
      </c>
      <c r="P4869" t="str">
        <f t="shared" si="230"/>
        <v>Trenton Cannon6</v>
      </c>
    </row>
    <row r="4870" spans="1:16" x14ac:dyDescent="0.25">
      <c r="A4870">
        <v>13</v>
      </c>
      <c r="B4870" t="s">
        <v>102</v>
      </c>
      <c r="C4870" t="s">
        <v>8704</v>
      </c>
      <c r="D4870">
        <v>1.07</v>
      </c>
      <c r="E4870" t="s">
        <v>423</v>
      </c>
      <c r="F4870" t="s">
        <v>15</v>
      </c>
      <c r="G4870">
        <v>1.67</v>
      </c>
      <c r="H4870">
        <v>0.47</v>
      </c>
      <c r="I4870">
        <v>0.6</v>
      </c>
      <c r="J4870">
        <v>0.36</v>
      </c>
      <c r="K4870" t="str">
        <f>IFERROR(INDEX(Rosters!$C$2:$C$155,MATCH($B4870,Rosters!$B$2:$B$155,0)),"NA")</f>
        <v>NA</v>
      </c>
      <c r="L4870" t="str">
        <f t="shared" si="228"/>
        <v>NA13QB</v>
      </c>
      <c r="M4870">
        <f>COUNTIF(L$1:L4870,L4870)</f>
        <v>22</v>
      </c>
      <c r="N4870" t="str">
        <f t="shared" si="229"/>
        <v>NA13QB-22</v>
      </c>
      <c r="O4870">
        <f>COUNTIFS(F$1:F4870,F4870,A$1:A4870,A4870)</f>
        <v>39</v>
      </c>
      <c r="P4870" t="str">
        <f t="shared" si="230"/>
        <v>Trevor Siemian13</v>
      </c>
    </row>
    <row r="4871" spans="1:16" x14ac:dyDescent="0.25">
      <c r="A4871">
        <v>7</v>
      </c>
      <c r="B4871" t="s">
        <v>68</v>
      </c>
      <c r="C4871" t="s">
        <v>8705</v>
      </c>
      <c r="D4871">
        <v>1.07</v>
      </c>
      <c r="E4871" t="s">
        <v>17</v>
      </c>
      <c r="F4871" t="s">
        <v>15</v>
      </c>
      <c r="G4871">
        <v>1.78</v>
      </c>
      <c r="H4871">
        <v>0.36</v>
      </c>
      <c r="I4871">
        <v>0.71</v>
      </c>
      <c r="J4871">
        <v>0.50409999999999999</v>
      </c>
      <c r="K4871" t="str">
        <f>IFERROR(INDEX(Rosters!$C$2:$C$155,MATCH($B4871,Rosters!$B$2:$B$155,0)),"NA")</f>
        <v>NA</v>
      </c>
      <c r="L4871" t="str">
        <f t="shared" si="228"/>
        <v>NA7QB</v>
      </c>
      <c r="M4871">
        <f>COUNTIF(L$1:L4871,L4871)</f>
        <v>19</v>
      </c>
      <c r="N4871" t="str">
        <f t="shared" si="229"/>
        <v>NA7QB-19</v>
      </c>
      <c r="O4871">
        <f>COUNTIFS(F$1:F4871,F4871,A$1:A4871,A4871)</f>
        <v>33</v>
      </c>
      <c r="P4871" t="str">
        <f t="shared" si="230"/>
        <v>Tyrod Taylor7</v>
      </c>
    </row>
    <row r="4872" spans="1:16" x14ac:dyDescent="0.25">
      <c r="A4872">
        <v>12</v>
      </c>
      <c r="B4872" t="s">
        <v>68</v>
      </c>
      <c r="C4872" t="s">
        <v>8706</v>
      </c>
      <c r="D4872">
        <v>1.07</v>
      </c>
      <c r="E4872" t="s">
        <v>31</v>
      </c>
      <c r="F4872" t="s">
        <v>15</v>
      </c>
      <c r="G4872">
        <v>1.77</v>
      </c>
      <c r="H4872">
        <v>0.37</v>
      </c>
      <c r="I4872">
        <v>0.7</v>
      </c>
      <c r="J4872">
        <v>0.49</v>
      </c>
      <c r="K4872" t="str">
        <f>IFERROR(INDEX(Rosters!$C$2:$C$155,MATCH($B4872,Rosters!$B$2:$B$155,0)),"NA")</f>
        <v>NA</v>
      </c>
      <c r="L4872" t="str">
        <f t="shared" si="228"/>
        <v>NA12QB</v>
      </c>
      <c r="M4872">
        <f>COUNTIF(L$1:L4872,L4872)</f>
        <v>22</v>
      </c>
      <c r="N4872" t="str">
        <f t="shared" si="229"/>
        <v>NA12QB-22</v>
      </c>
      <c r="O4872">
        <f>COUNTIFS(F$1:F4872,F4872,A$1:A4872,A4872)</f>
        <v>37</v>
      </c>
      <c r="P4872" t="str">
        <f t="shared" si="230"/>
        <v>Tyrod Taylor12</v>
      </c>
    </row>
    <row r="4873" spans="1:16" x14ac:dyDescent="0.25">
      <c r="A4873">
        <v>15</v>
      </c>
      <c r="B4873" t="s">
        <v>68</v>
      </c>
      <c r="C4873" t="s">
        <v>8707</v>
      </c>
      <c r="D4873">
        <v>1.07</v>
      </c>
      <c r="E4873" t="s">
        <v>42</v>
      </c>
      <c r="F4873" t="s">
        <v>15</v>
      </c>
      <c r="G4873">
        <v>1.76</v>
      </c>
      <c r="H4873">
        <v>0.38</v>
      </c>
      <c r="I4873">
        <v>0.69</v>
      </c>
      <c r="J4873">
        <v>0.47610000000000002</v>
      </c>
      <c r="K4873" t="str">
        <f>IFERROR(INDEX(Rosters!$C$2:$C$155,MATCH($B4873,Rosters!$B$2:$B$155,0)),"NA")</f>
        <v>NA</v>
      </c>
      <c r="L4873" t="str">
        <f t="shared" si="228"/>
        <v>NA15QB</v>
      </c>
      <c r="M4873">
        <f>COUNTIF(L$1:L4873,L4873)</f>
        <v>22</v>
      </c>
      <c r="N4873" t="str">
        <f t="shared" si="229"/>
        <v>NA15QB-22</v>
      </c>
      <c r="O4873">
        <f>COUNTIFS(F$1:F4873,F4873,A$1:A4873,A4873)</f>
        <v>39</v>
      </c>
      <c r="P4873" t="str">
        <f t="shared" si="230"/>
        <v>Tyrod Taylor15</v>
      </c>
    </row>
    <row r="4874" spans="1:16" x14ac:dyDescent="0.25">
      <c r="A4874">
        <v>17</v>
      </c>
      <c r="B4874" t="s">
        <v>68</v>
      </c>
      <c r="C4874" t="s">
        <v>8708</v>
      </c>
      <c r="D4874">
        <v>1.07</v>
      </c>
      <c r="E4874" t="s">
        <v>77</v>
      </c>
      <c r="F4874" t="s">
        <v>15</v>
      </c>
      <c r="G4874">
        <v>1.75</v>
      </c>
      <c r="H4874">
        <v>0.39</v>
      </c>
      <c r="I4874">
        <v>0.68</v>
      </c>
      <c r="J4874">
        <v>0.46239999999999998</v>
      </c>
      <c r="K4874" t="str">
        <f>IFERROR(INDEX(Rosters!$C$2:$C$155,MATCH($B4874,Rosters!$B$2:$B$155,0)),"NA")</f>
        <v>NA</v>
      </c>
      <c r="L4874" t="str">
        <f t="shared" si="228"/>
        <v>NA17QB</v>
      </c>
      <c r="M4874">
        <f>COUNTIF(L$1:L4874,L4874)</f>
        <v>20</v>
      </c>
      <c r="N4874" t="str">
        <f t="shared" si="229"/>
        <v>NA17QB-20</v>
      </c>
      <c r="O4874">
        <f>COUNTIFS(F$1:F4874,F4874,A$1:A4874,A4874)</f>
        <v>37</v>
      </c>
      <c r="P4874" t="str">
        <f t="shared" si="230"/>
        <v>Tyrod Taylor17</v>
      </c>
    </row>
    <row r="4875" spans="1:16" x14ac:dyDescent="0.25">
      <c r="A4875">
        <v>1</v>
      </c>
      <c r="B4875" t="s">
        <v>293</v>
      </c>
      <c r="C4875" t="s">
        <v>1528</v>
      </c>
      <c r="D4875">
        <v>1.06</v>
      </c>
      <c r="E4875" t="s">
        <v>41</v>
      </c>
      <c r="F4875" t="s">
        <v>47</v>
      </c>
      <c r="G4875">
        <v>2.1</v>
      </c>
      <c r="H4875">
        <v>0.02</v>
      </c>
      <c r="I4875">
        <v>1.04</v>
      </c>
      <c r="J4875">
        <v>1.0815999999999999</v>
      </c>
      <c r="K4875" t="str">
        <f>IFERROR(INDEX(Rosters!$C$2:$C$155,MATCH($B4875,Rosters!$B$2:$B$155,0)),"NA")</f>
        <v>NA</v>
      </c>
      <c r="L4875" t="str">
        <f t="shared" si="228"/>
        <v>NA1RB</v>
      </c>
      <c r="M4875">
        <f>COUNTIF(L$1:L4875,L4875)</f>
        <v>30</v>
      </c>
      <c r="N4875" t="str">
        <f t="shared" si="229"/>
        <v>NA1RB-30</v>
      </c>
      <c r="O4875">
        <f>COUNTIFS(F$1:F4875,F4875,A$1:A4875,A4875)</f>
        <v>72</v>
      </c>
      <c r="P4875" t="str">
        <f t="shared" si="230"/>
        <v>Benny Cunningham1</v>
      </c>
    </row>
    <row r="4876" spans="1:16" x14ac:dyDescent="0.25">
      <c r="A4876">
        <v>3</v>
      </c>
      <c r="B4876" t="s">
        <v>284</v>
      </c>
      <c r="C4876">
        <f>-0.15-2.27</f>
        <v>-2.42</v>
      </c>
      <c r="D4876">
        <v>1.06</v>
      </c>
      <c r="E4876" t="s">
        <v>58</v>
      </c>
      <c r="F4876" t="s">
        <v>114</v>
      </c>
      <c r="G4876">
        <v>2.27</v>
      </c>
      <c r="H4876">
        <v>-0.15</v>
      </c>
      <c r="I4876">
        <v>1.21</v>
      </c>
      <c r="J4876">
        <v>1.4641</v>
      </c>
      <c r="K4876" t="str">
        <f>IFERROR(INDEX(Rosters!$C$2:$C$155,MATCH($B4876,Rosters!$B$2:$B$155,0)),"NA")</f>
        <v>NA</v>
      </c>
      <c r="L4876" t="str">
        <f t="shared" si="228"/>
        <v>NA3TE</v>
      </c>
      <c r="M4876">
        <f>COUNTIF(L$1:L4876,L4876)</f>
        <v>50</v>
      </c>
      <c r="N4876" t="str">
        <f t="shared" si="229"/>
        <v>NA3TE-50</v>
      </c>
      <c r="O4876">
        <f>COUNTIFS(F$1:F4876,F4876,A$1:A4876,A4876)</f>
        <v>63</v>
      </c>
      <c r="P4876" t="str">
        <f t="shared" si="230"/>
        <v>Dion Sims3</v>
      </c>
    </row>
    <row r="4877" spans="1:16" x14ac:dyDescent="0.25">
      <c r="A4877">
        <v>4</v>
      </c>
      <c r="B4877" t="s">
        <v>1497</v>
      </c>
      <c r="C4877" t="s">
        <v>4659</v>
      </c>
      <c r="D4877">
        <v>1.06</v>
      </c>
      <c r="E4877" t="s">
        <v>36</v>
      </c>
      <c r="F4877" t="s">
        <v>15</v>
      </c>
      <c r="G4877">
        <v>1.66</v>
      </c>
      <c r="H4877">
        <v>0.46</v>
      </c>
      <c r="I4877">
        <v>0.6</v>
      </c>
      <c r="J4877">
        <v>0.36</v>
      </c>
      <c r="K4877" t="str">
        <f>IFERROR(INDEX(Rosters!$C$2:$C$155,MATCH($B4877,Rosters!$B$2:$B$155,0)),"NA")</f>
        <v>NA</v>
      </c>
      <c r="L4877" t="str">
        <f t="shared" si="228"/>
        <v>NA4QB</v>
      </c>
      <c r="M4877">
        <f>COUNTIF(L$1:L4877,L4877)</f>
        <v>17</v>
      </c>
      <c r="N4877" t="str">
        <f t="shared" si="229"/>
        <v>NA4QB-17</v>
      </c>
      <c r="O4877">
        <f>COUNTIFS(F$1:F4877,F4877,A$1:A4877,A4877)</f>
        <v>32</v>
      </c>
      <c r="P4877" t="str">
        <f t="shared" si="230"/>
        <v>Jacoby Brissett4</v>
      </c>
    </row>
    <row r="4878" spans="1:16" x14ac:dyDescent="0.25">
      <c r="A4878">
        <v>9</v>
      </c>
      <c r="B4878" t="s">
        <v>390</v>
      </c>
      <c r="C4878" t="s">
        <v>8709</v>
      </c>
      <c r="D4878">
        <v>1.06</v>
      </c>
      <c r="E4878" t="s">
        <v>77</v>
      </c>
      <c r="F4878" t="s">
        <v>47</v>
      </c>
      <c r="G4878">
        <v>2</v>
      </c>
      <c r="H4878">
        <v>0.12</v>
      </c>
      <c r="I4878">
        <v>0.94</v>
      </c>
      <c r="J4878">
        <v>0.88360000000000005</v>
      </c>
      <c r="K4878" t="str">
        <f>IFERROR(INDEX(Rosters!$C$2:$C$155,MATCH($B4878,Rosters!$B$2:$B$155,0)),"NA")</f>
        <v>NA</v>
      </c>
      <c r="L4878" t="str">
        <f t="shared" si="228"/>
        <v>NA9RB</v>
      </c>
      <c r="M4878">
        <f>COUNTIF(L$1:L4878,L4878)</f>
        <v>33</v>
      </c>
      <c r="N4878" t="str">
        <f t="shared" si="229"/>
        <v>NA9RB-33</v>
      </c>
      <c r="O4878">
        <f>COUNTIFS(F$1:F4878,F4878,A$1:A4878,A4878)</f>
        <v>73</v>
      </c>
      <c r="P4878" t="str">
        <f t="shared" si="230"/>
        <v>Roosevelt Nix9</v>
      </c>
    </row>
    <row r="4879" spans="1:16" x14ac:dyDescent="0.25">
      <c r="A4879">
        <v>11</v>
      </c>
      <c r="B4879" t="s">
        <v>336</v>
      </c>
      <c r="C4879">
        <f>-0.32-2.42</f>
        <v>-2.7399999999999998</v>
      </c>
      <c r="D4879">
        <v>1.05</v>
      </c>
      <c r="E4879" t="s">
        <v>37</v>
      </c>
      <c r="F4879" t="s">
        <v>47</v>
      </c>
      <c r="G4879">
        <v>2.42</v>
      </c>
      <c r="H4879">
        <v>-0.32</v>
      </c>
      <c r="I4879">
        <v>1.37</v>
      </c>
      <c r="J4879">
        <v>1.8769</v>
      </c>
      <c r="K4879" t="str">
        <f>IFERROR(INDEX(Rosters!$C$2:$C$155,MATCH($B4879,Rosters!$B$2:$B$155,0)),"NA")</f>
        <v>NA</v>
      </c>
      <c r="L4879" t="str">
        <f t="shared" si="228"/>
        <v>NA11RB</v>
      </c>
      <c r="M4879">
        <f>COUNTIF(L$1:L4879,L4879)</f>
        <v>33</v>
      </c>
      <c r="N4879" t="str">
        <f t="shared" si="229"/>
        <v>NA11RB-33</v>
      </c>
      <c r="O4879">
        <f>COUNTIFS(F$1:F4879,F4879,A$1:A4879,A4879)</f>
        <v>71</v>
      </c>
      <c r="P4879" t="str">
        <f t="shared" si="230"/>
        <v>Andy Janovich11</v>
      </c>
    </row>
    <row r="4880" spans="1:16" x14ac:dyDescent="0.25">
      <c r="A4880">
        <v>16</v>
      </c>
      <c r="B4880" t="s">
        <v>1118</v>
      </c>
      <c r="C4880" t="s">
        <v>8710</v>
      </c>
      <c r="D4880">
        <v>1.05</v>
      </c>
      <c r="E4880" t="s">
        <v>29</v>
      </c>
      <c r="F4880" t="s">
        <v>15</v>
      </c>
      <c r="G4880">
        <v>1.74</v>
      </c>
      <c r="H4880">
        <v>0.36</v>
      </c>
      <c r="I4880">
        <v>0.69</v>
      </c>
      <c r="J4880">
        <v>0.47610000000000002</v>
      </c>
      <c r="K4880" t="str">
        <f>IFERROR(INDEX(Rosters!$C$2:$C$155,MATCH($B4880,Rosters!$B$2:$B$155,0)),"NA")</f>
        <v>NA</v>
      </c>
      <c r="L4880" t="str">
        <f t="shared" si="228"/>
        <v>NA16QB</v>
      </c>
      <c r="M4880">
        <f>COUNTIF(L$1:L4880,L4880)</f>
        <v>22</v>
      </c>
      <c r="N4880" t="str">
        <f t="shared" si="229"/>
        <v>NA16QB-22</v>
      </c>
      <c r="O4880">
        <f>COUNTIFS(F$1:F4880,F4880,A$1:A4880,A4880)</f>
        <v>39</v>
      </c>
      <c r="P4880" t="str">
        <f t="shared" si="230"/>
        <v>Brian Hoyer16</v>
      </c>
    </row>
    <row r="4881" spans="1:16" x14ac:dyDescent="0.25">
      <c r="A4881">
        <v>3</v>
      </c>
      <c r="B4881" t="s">
        <v>88</v>
      </c>
      <c r="C4881" t="s">
        <v>3810</v>
      </c>
      <c r="D4881">
        <v>1.05</v>
      </c>
      <c r="E4881" t="s">
        <v>52</v>
      </c>
      <c r="F4881" t="s">
        <v>15</v>
      </c>
      <c r="G4881">
        <v>1.63</v>
      </c>
      <c r="H4881">
        <v>0.47</v>
      </c>
      <c r="I4881">
        <v>0.57999999999999996</v>
      </c>
      <c r="J4881">
        <v>0.33639999999999998</v>
      </c>
      <c r="K4881" t="str">
        <f>IFERROR(INDEX(Rosters!$C$2:$C$155,MATCH($B4881,Rosters!$B$2:$B$155,0)),"NA")</f>
        <v>NA</v>
      </c>
      <c r="L4881" t="str">
        <f t="shared" si="228"/>
        <v>NA3QB</v>
      </c>
      <c r="M4881">
        <f>COUNTIF(L$1:L4881,L4881)</f>
        <v>18</v>
      </c>
      <c r="N4881" t="str">
        <f t="shared" si="229"/>
        <v>NA3QB-18</v>
      </c>
      <c r="O4881">
        <f>COUNTIFS(F$1:F4881,F4881,A$1:A4881,A4881)</f>
        <v>34</v>
      </c>
      <c r="P4881" t="str">
        <f t="shared" si="230"/>
        <v>Josh McCown3</v>
      </c>
    </row>
    <row r="4882" spans="1:16" x14ac:dyDescent="0.25">
      <c r="A4882">
        <v>13</v>
      </c>
      <c r="B4882" t="s">
        <v>88</v>
      </c>
      <c r="C4882" t="s">
        <v>8711</v>
      </c>
      <c r="D4882">
        <v>1.05</v>
      </c>
      <c r="E4882" t="s">
        <v>38</v>
      </c>
      <c r="F4882" t="s">
        <v>15</v>
      </c>
      <c r="G4882">
        <v>1.66</v>
      </c>
      <c r="H4882">
        <v>0.44</v>
      </c>
      <c r="I4882">
        <v>0.61</v>
      </c>
      <c r="J4882">
        <v>0.37209999999999999</v>
      </c>
      <c r="K4882" t="str">
        <f>IFERROR(INDEX(Rosters!$C$2:$C$155,MATCH($B4882,Rosters!$B$2:$B$155,0)),"NA")</f>
        <v>NA</v>
      </c>
      <c r="L4882" t="str">
        <f t="shared" si="228"/>
        <v>NA13QB</v>
      </c>
      <c r="M4882">
        <f>COUNTIF(L$1:L4882,L4882)</f>
        <v>23</v>
      </c>
      <c r="N4882" t="str">
        <f t="shared" si="229"/>
        <v>NA13QB-23</v>
      </c>
      <c r="O4882">
        <f>COUNTIFS(F$1:F4882,F4882,A$1:A4882,A4882)</f>
        <v>40</v>
      </c>
      <c r="P4882" t="str">
        <f t="shared" si="230"/>
        <v>Josh McCown13</v>
      </c>
    </row>
    <row r="4883" spans="1:16" x14ac:dyDescent="0.25">
      <c r="A4883">
        <v>2</v>
      </c>
      <c r="B4883" t="s">
        <v>339</v>
      </c>
      <c r="C4883" t="s">
        <v>1529</v>
      </c>
      <c r="D4883">
        <v>1.05</v>
      </c>
      <c r="E4883" t="s">
        <v>34</v>
      </c>
      <c r="F4883" t="s">
        <v>47</v>
      </c>
      <c r="G4883">
        <v>1.97</v>
      </c>
      <c r="H4883">
        <v>0.13</v>
      </c>
      <c r="I4883">
        <v>0.92</v>
      </c>
      <c r="J4883">
        <v>0.84640000000000004</v>
      </c>
      <c r="K4883" t="str">
        <f>IFERROR(INDEX(Rosters!$C$2:$C$155,MATCH($B4883,Rosters!$B$2:$B$155,0)),"NA")</f>
        <v>NA</v>
      </c>
      <c r="L4883" t="str">
        <f t="shared" si="228"/>
        <v>NA2RB</v>
      </c>
      <c r="M4883">
        <f>COUNTIF(L$1:L4883,L4883)</f>
        <v>31</v>
      </c>
      <c r="N4883" t="str">
        <f t="shared" si="229"/>
        <v>NA2RB-31</v>
      </c>
      <c r="O4883">
        <f>COUNTIFS(F$1:F4883,F4883,A$1:A4883,A4883)</f>
        <v>73</v>
      </c>
      <c r="P4883" t="str">
        <f t="shared" si="230"/>
        <v>Kyle Juszczyk2</v>
      </c>
    </row>
    <row r="4884" spans="1:16" x14ac:dyDescent="0.25">
      <c r="A4884">
        <v>8</v>
      </c>
      <c r="B4884" t="s">
        <v>144</v>
      </c>
      <c r="C4884">
        <f>-0.36-2.46</f>
        <v>-2.82</v>
      </c>
      <c r="D4884">
        <v>1.05</v>
      </c>
      <c r="E4884" t="s">
        <v>25</v>
      </c>
      <c r="F4884" t="s">
        <v>47</v>
      </c>
      <c r="G4884">
        <v>2.46</v>
      </c>
      <c r="H4884">
        <v>-0.36</v>
      </c>
      <c r="I4884">
        <v>1.41</v>
      </c>
      <c r="J4884">
        <v>1.9881</v>
      </c>
      <c r="K4884" t="str">
        <f>IFERROR(INDEX(Rosters!$C$2:$C$155,MATCH($B4884,Rosters!$B$2:$B$155,0)),"NA")</f>
        <v>NA</v>
      </c>
      <c r="L4884" t="str">
        <f t="shared" si="228"/>
        <v>NA8RB</v>
      </c>
      <c r="M4884">
        <f>COUNTIF(L$1:L4884,L4884)</f>
        <v>39</v>
      </c>
      <c r="N4884" t="str">
        <f t="shared" si="229"/>
        <v>NA8RB-39</v>
      </c>
      <c r="O4884">
        <f>COUNTIFS(F$1:F4884,F4884,A$1:A4884,A4884)</f>
        <v>79</v>
      </c>
      <c r="P4884" t="str">
        <f t="shared" si="230"/>
        <v>Mike Gillislee8</v>
      </c>
    </row>
    <row r="4885" spans="1:16" x14ac:dyDescent="0.25">
      <c r="A4885">
        <v>9</v>
      </c>
      <c r="B4885" t="s">
        <v>1499</v>
      </c>
      <c r="C4885">
        <f>-0.07-2.17</f>
        <v>-2.2399999999999998</v>
      </c>
      <c r="D4885">
        <v>1.05</v>
      </c>
      <c r="E4885" t="s">
        <v>38</v>
      </c>
      <c r="F4885" t="s">
        <v>114</v>
      </c>
      <c r="G4885">
        <v>2.17</v>
      </c>
      <c r="H4885">
        <v>-7.0000000000000007E-2</v>
      </c>
      <c r="I4885">
        <v>1.1200000000000001</v>
      </c>
      <c r="J4885">
        <v>1.2544</v>
      </c>
      <c r="K4885" t="str">
        <f>IFERROR(INDEX(Rosters!$C$2:$C$155,MATCH($B4885,Rosters!$B$2:$B$155,0)),"NA")</f>
        <v>NA</v>
      </c>
      <c r="L4885" t="str">
        <f t="shared" si="228"/>
        <v>NA9TE</v>
      </c>
      <c r="M4885">
        <f>COUNTIF(L$1:L4885,L4885)</f>
        <v>44</v>
      </c>
      <c r="N4885" t="str">
        <f t="shared" si="229"/>
        <v>NA9TE-44</v>
      </c>
      <c r="O4885">
        <f>COUNTIFS(F$1:F4885,F4885,A$1:A4885,A4885)</f>
        <v>55</v>
      </c>
      <c r="P4885" t="str">
        <f t="shared" si="230"/>
        <v>Rico Gathers9</v>
      </c>
    </row>
    <row r="4886" spans="1:16" x14ac:dyDescent="0.25">
      <c r="A4886">
        <v>15</v>
      </c>
      <c r="B4886" t="s">
        <v>314</v>
      </c>
      <c r="C4886" t="s">
        <v>8710</v>
      </c>
      <c r="D4886">
        <v>1.05</v>
      </c>
      <c r="E4886" t="s">
        <v>77</v>
      </c>
      <c r="F4886" t="s">
        <v>15</v>
      </c>
      <c r="G4886">
        <v>1.74</v>
      </c>
      <c r="H4886">
        <v>0.36</v>
      </c>
      <c r="I4886">
        <v>0.69</v>
      </c>
      <c r="J4886">
        <v>0.47610000000000002</v>
      </c>
      <c r="K4886" t="str">
        <f>IFERROR(INDEX(Rosters!$C$2:$C$155,MATCH($B4886,Rosters!$B$2:$B$155,0)),"NA")</f>
        <v>NA</v>
      </c>
      <c r="L4886" t="str">
        <f t="shared" si="228"/>
        <v>NA15QB</v>
      </c>
      <c r="M4886">
        <f>COUNTIF(L$1:L4886,L4886)</f>
        <v>23</v>
      </c>
      <c r="N4886" t="str">
        <f t="shared" si="229"/>
        <v>NA15QB-23</v>
      </c>
      <c r="O4886">
        <f>COUNTIFS(F$1:F4886,F4886,A$1:A4886,A4886)</f>
        <v>40</v>
      </c>
      <c r="P4886" t="str">
        <f t="shared" si="230"/>
        <v>Ryan Fitzpatrick15</v>
      </c>
    </row>
    <row r="4887" spans="1:16" x14ac:dyDescent="0.25">
      <c r="A4887">
        <v>3</v>
      </c>
      <c r="B4887" t="s">
        <v>1634</v>
      </c>
      <c r="C4887">
        <f>-0.66-2.76</f>
        <v>-3.42</v>
      </c>
      <c r="D4887">
        <v>1.05</v>
      </c>
      <c r="E4887" t="s">
        <v>66</v>
      </c>
      <c r="F4887" t="s">
        <v>87</v>
      </c>
      <c r="G4887">
        <v>2.76</v>
      </c>
      <c r="H4887">
        <v>-0.66</v>
      </c>
      <c r="I4887">
        <v>1.71</v>
      </c>
      <c r="J4887">
        <v>2.9241000000000001</v>
      </c>
      <c r="K4887" t="str">
        <f>IFERROR(INDEX(Rosters!$C$2:$C$155,MATCH($B4887,Rosters!$B$2:$B$155,0)),"NA")</f>
        <v>NA</v>
      </c>
      <c r="L4887" t="str">
        <f t="shared" si="228"/>
        <v>NA3WR</v>
      </c>
      <c r="M4887">
        <f>COUNTIF(L$1:L4887,L4887)</f>
        <v>60</v>
      </c>
      <c r="N4887" t="str">
        <f t="shared" si="229"/>
        <v>NA3WR-60</v>
      </c>
      <c r="O4887">
        <f>COUNTIFS(F$1:F4887,F4887,A$1:A4887,A4887)</f>
        <v>109</v>
      </c>
      <c r="P4887" t="str">
        <f t="shared" si="230"/>
        <v>Shelton Gibson3</v>
      </c>
    </row>
    <row r="4888" spans="1:16" x14ac:dyDescent="0.25">
      <c r="A4888">
        <v>10</v>
      </c>
      <c r="B4888" t="s">
        <v>1581</v>
      </c>
      <c r="C4888">
        <f>-0.03-2.13</f>
        <v>-2.1599999999999997</v>
      </c>
      <c r="D4888">
        <v>1.05</v>
      </c>
      <c r="E4888" t="s">
        <v>74</v>
      </c>
      <c r="F4888" t="s">
        <v>47</v>
      </c>
      <c r="G4888">
        <v>2.13</v>
      </c>
      <c r="H4888">
        <v>-0.03</v>
      </c>
      <c r="I4888">
        <v>1.08</v>
      </c>
      <c r="J4888">
        <v>1.1664000000000001</v>
      </c>
      <c r="K4888" t="str">
        <f>IFERROR(INDEX(Rosters!$C$2:$C$155,MATCH($B4888,Rosters!$B$2:$B$155,0)),"NA")</f>
        <v>NA</v>
      </c>
      <c r="L4888" t="str">
        <f t="shared" si="228"/>
        <v>NA10RB</v>
      </c>
      <c r="M4888">
        <f>COUNTIF(L$1:L4888,L4888)</f>
        <v>38</v>
      </c>
      <c r="N4888" t="str">
        <f t="shared" si="229"/>
        <v>NA10RB-38</v>
      </c>
      <c r="O4888">
        <f>COUNTIFS(F$1:F4888,F4888,A$1:A4888,A4888)</f>
        <v>77</v>
      </c>
      <c r="P4888" t="str">
        <f t="shared" si="230"/>
        <v>Stevan Ridley10</v>
      </c>
    </row>
    <row r="4889" spans="1:16" x14ac:dyDescent="0.25">
      <c r="A4889">
        <v>16</v>
      </c>
      <c r="B4889" t="s">
        <v>102</v>
      </c>
      <c r="C4889" t="s">
        <v>8711</v>
      </c>
      <c r="D4889">
        <v>1.05</v>
      </c>
      <c r="E4889" t="s">
        <v>34</v>
      </c>
      <c r="F4889" t="s">
        <v>15</v>
      </c>
      <c r="G4889">
        <v>1.66</v>
      </c>
      <c r="H4889">
        <v>0.44</v>
      </c>
      <c r="I4889">
        <v>0.61</v>
      </c>
      <c r="J4889">
        <v>0.37209999999999999</v>
      </c>
      <c r="K4889" t="str">
        <f>IFERROR(INDEX(Rosters!$C$2:$C$155,MATCH($B4889,Rosters!$B$2:$B$155,0)),"NA")</f>
        <v>NA</v>
      </c>
      <c r="L4889" t="str">
        <f t="shared" si="228"/>
        <v>NA16QB</v>
      </c>
      <c r="M4889">
        <f>COUNTIF(L$1:L4889,L4889)</f>
        <v>23</v>
      </c>
      <c r="N4889" t="str">
        <f t="shared" si="229"/>
        <v>NA16QB-23</v>
      </c>
      <c r="O4889">
        <f>COUNTIFS(F$1:F4889,F4889,A$1:A4889,A4889)</f>
        <v>40</v>
      </c>
      <c r="P4889" t="str">
        <f t="shared" si="230"/>
        <v>Trevor Siemian16</v>
      </c>
    </row>
    <row r="4890" spans="1:16" x14ac:dyDescent="0.25">
      <c r="A4890">
        <v>5</v>
      </c>
      <c r="B4890" t="s">
        <v>365</v>
      </c>
      <c r="C4890" t="s">
        <v>8712</v>
      </c>
      <c r="D4890">
        <v>1.04</v>
      </c>
      <c r="E4890" t="s">
        <v>56</v>
      </c>
      <c r="F4890" t="s">
        <v>15</v>
      </c>
      <c r="G4890">
        <v>1.65</v>
      </c>
      <c r="H4890">
        <v>0.43</v>
      </c>
      <c r="I4890">
        <v>0.61</v>
      </c>
      <c r="J4890">
        <v>0.37209999999999999</v>
      </c>
      <c r="K4890" t="str">
        <f>IFERROR(INDEX(Rosters!$C$2:$C$155,MATCH($B4890,Rosters!$B$2:$B$155,0)),"NA")</f>
        <v>NA</v>
      </c>
      <c r="L4890" t="str">
        <f t="shared" si="228"/>
        <v>NA5QB</v>
      </c>
      <c r="M4890">
        <f>COUNTIF(L$1:L4890,L4890)</f>
        <v>18</v>
      </c>
      <c r="N4890" t="str">
        <f t="shared" si="229"/>
        <v>NA5QB-18</v>
      </c>
      <c r="O4890">
        <f>COUNTIFS(F$1:F4890,F4890,A$1:A4890,A4890)</f>
        <v>35</v>
      </c>
      <c r="P4890" t="str">
        <f t="shared" si="230"/>
        <v>Brett Hundley5</v>
      </c>
    </row>
    <row r="4891" spans="1:16" x14ac:dyDescent="0.25">
      <c r="A4891">
        <v>12</v>
      </c>
      <c r="B4891" t="s">
        <v>1524</v>
      </c>
      <c r="C4891">
        <f>-0.37-2.45</f>
        <v>-2.8200000000000003</v>
      </c>
      <c r="D4891">
        <v>1.04</v>
      </c>
      <c r="E4891" t="s">
        <v>36</v>
      </c>
      <c r="F4891" t="s">
        <v>47</v>
      </c>
      <c r="G4891">
        <v>2.4500000000000002</v>
      </c>
      <c r="H4891">
        <v>-0.37</v>
      </c>
      <c r="I4891">
        <v>1.41</v>
      </c>
      <c r="J4891">
        <v>1.9881</v>
      </c>
      <c r="K4891" t="str">
        <f>IFERROR(INDEX(Rosters!$C$2:$C$155,MATCH($B4891,Rosters!$B$2:$B$155,0)),"NA")</f>
        <v>NA</v>
      </c>
      <c r="L4891" t="str">
        <f t="shared" si="228"/>
        <v>NA12RB</v>
      </c>
      <c r="M4891">
        <f>COUNTIF(L$1:L4891,L4891)</f>
        <v>39</v>
      </c>
      <c r="N4891" t="str">
        <f t="shared" si="229"/>
        <v>NA12RB-39</v>
      </c>
      <c r="O4891">
        <f>COUNTIFS(F$1:F4891,F4891,A$1:A4891,A4891)</f>
        <v>84</v>
      </c>
      <c r="P4891" t="str">
        <f t="shared" si="230"/>
        <v>David Fluellen12</v>
      </c>
    </row>
    <row r="4892" spans="1:16" x14ac:dyDescent="0.25">
      <c r="A4892">
        <v>5</v>
      </c>
      <c r="B4892" t="s">
        <v>317</v>
      </c>
      <c r="C4892" t="s">
        <v>8713</v>
      </c>
      <c r="D4892">
        <v>1.04</v>
      </c>
      <c r="E4892" t="s">
        <v>32</v>
      </c>
      <c r="F4892" t="s">
        <v>47</v>
      </c>
      <c r="G4892">
        <v>1.92</v>
      </c>
      <c r="H4892">
        <v>0.16</v>
      </c>
      <c r="I4892">
        <v>0.88</v>
      </c>
      <c r="J4892">
        <v>0.77439999999999998</v>
      </c>
      <c r="K4892" t="str">
        <f>IFERROR(INDEX(Rosters!$C$2:$C$155,MATCH($B4892,Rosters!$B$2:$B$155,0)),"NA")</f>
        <v>NA</v>
      </c>
      <c r="L4892" t="str">
        <f t="shared" si="228"/>
        <v>NA5RB</v>
      </c>
      <c r="M4892">
        <f>COUNTIF(L$1:L4892,L4892)</f>
        <v>39</v>
      </c>
      <c r="N4892" t="str">
        <f t="shared" si="229"/>
        <v>NA5RB-39</v>
      </c>
      <c r="O4892">
        <f>COUNTIFS(F$1:F4892,F4892,A$1:A4892,A4892)</f>
        <v>82</v>
      </c>
      <c r="P4892" t="str">
        <f t="shared" si="230"/>
        <v>Derek Watt5</v>
      </c>
    </row>
    <row r="4893" spans="1:16" x14ac:dyDescent="0.25">
      <c r="A4893">
        <v>5</v>
      </c>
      <c r="B4893" t="s">
        <v>1109</v>
      </c>
      <c r="C4893" t="s">
        <v>8714</v>
      </c>
      <c r="D4893">
        <v>1.04</v>
      </c>
      <c r="E4893" t="s">
        <v>32</v>
      </c>
      <c r="F4893" t="s">
        <v>15</v>
      </c>
      <c r="G4893">
        <v>1.69</v>
      </c>
      <c r="H4893">
        <v>0.39</v>
      </c>
      <c r="I4893">
        <v>0.65</v>
      </c>
      <c r="J4893">
        <v>0.42249999999999999</v>
      </c>
      <c r="K4893" t="str">
        <f>IFERROR(INDEX(Rosters!$C$2:$C$155,MATCH($B4893,Rosters!$B$2:$B$155,0)),"NA")</f>
        <v>NA</v>
      </c>
      <c r="L4893" t="str">
        <f t="shared" si="228"/>
        <v>NA5QB</v>
      </c>
      <c r="M4893">
        <f>COUNTIF(L$1:L4893,L4893)</f>
        <v>19</v>
      </c>
      <c r="N4893" t="str">
        <f t="shared" si="229"/>
        <v>NA5QB-19</v>
      </c>
      <c r="O4893">
        <f>COUNTIFS(F$1:F4893,F4893,A$1:A4893,A4893)</f>
        <v>36</v>
      </c>
      <c r="P4893" t="str">
        <f t="shared" si="230"/>
        <v>Geno Smith5</v>
      </c>
    </row>
    <row r="4894" spans="1:16" x14ac:dyDescent="0.25">
      <c r="A4894">
        <v>4</v>
      </c>
      <c r="B4894" t="s">
        <v>4612</v>
      </c>
      <c r="C4894" t="s">
        <v>4660</v>
      </c>
      <c r="D4894">
        <v>1.04</v>
      </c>
      <c r="E4894" t="s">
        <v>25</v>
      </c>
      <c r="F4894" t="s">
        <v>87</v>
      </c>
      <c r="G4894">
        <v>2.08</v>
      </c>
      <c r="H4894">
        <v>0</v>
      </c>
      <c r="I4894">
        <v>1.04</v>
      </c>
      <c r="J4894">
        <v>1.0815999999999999</v>
      </c>
      <c r="K4894" t="str">
        <f>IFERROR(INDEX(Rosters!$C$2:$C$155,MATCH($B4894,Rosters!$B$2:$B$155,0)),"NA")</f>
        <v>NA</v>
      </c>
      <c r="L4894" t="str">
        <f t="shared" si="228"/>
        <v>NA4WR</v>
      </c>
      <c r="M4894">
        <f>COUNTIF(L$1:L4894,L4894)</f>
        <v>53</v>
      </c>
      <c r="N4894" t="str">
        <f t="shared" si="229"/>
        <v>NA4WR-53</v>
      </c>
      <c r="O4894">
        <f>COUNTIFS(F$1:F4894,F4894,A$1:A4894,A4894)</f>
        <v>103</v>
      </c>
      <c r="P4894" t="str">
        <f t="shared" si="230"/>
        <v>Khadarel Hodge4</v>
      </c>
    </row>
    <row r="4895" spans="1:16" x14ac:dyDescent="0.25">
      <c r="A4895">
        <v>4</v>
      </c>
      <c r="B4895" t="s">
        <v>339</v>
      </c>
      <c r="C4895">
        <f>-0.12-2.2</f>
        <v>-2.3200000000000003</v>
      </c>
      <c r="D4895">
        <v>1.04</v>
      </c>
      <c r="E4895" t="s">
        <v>37</v>
      </c>
      <c r="F4895" t="s">
        <v>47</v>
      </c>
      <c r="G4895">
        <v>2.2000000000000002</v>
      </c>
      <c r="H4895">
        <v>-0.12</v>
      </c>
      <c r="I4895">
        <v>1.1599999999999999</v>
      </c>
      <c r="J4895">
        <v>1.3455999999999999</v>
      </c>
      <c r="K4895" t="str">
        <f>IFERROR(INDEX(Rosters!$C$2:$C$155,MATCH($B4895,Rosters!$B$2:$B$155,0)),"NA")</f>
        <v>NA</v>
      </c>
      <c r="L4895" t="str">
        <f t="shared" si="228"/>
        <v>NA4RB</v>
      </c>
      <c r="M4895">
        <f>COUNTIF(L$1:L4895,L4895)</f>
        <v>33</v>
      </c>
      <c r="N4895" t="str">
        <f t="shared" si="229"/>
        <v>NA4RB-33</v>
      </c>
      <c r="O4895">
        <f>COUNTIFS(F$1:F4895,F4895,A$1:A4895,A4895)</f>
        <v>72</v>
      </c>
      <c r="P4895" t="str">
        <f t="shared" si="230"/>
        <v>Kyle Juszczyk4</v>
      </c>
    </row>
    <row r="4896" spans="1:16" x14ac:dyDescent="0.25">
      <c r="A4896">
        <v>12</v>
      </c>
      <c r="B4896" t="s">
        <v>84</v>
      </c>
      <c r="C4896" t="s">
        <v>8715</v>
      </c>
      <c r="D4896">
        <v>1.04</v>
      </c>
      <c r="E4896" t="s">
        <v>37</v>
      </c>
      <c r="F4896" t="s">
        <v>15</v>
      </c>
      <c r="G4896">
        <v>1.56</v>
      </c>
      <c r="H4896">
        <v>0.52</v>
      </c>
      <c r="I4896">
        <v>0.52</v>
      </c>
      <c r="J4896">
        <v>0.27039999999999997</v>
      </c>
      <c r="K4896" t="str">
        <f>IFERROR(INDEX(Rosters!$C$2:$C$155,MATCH($B4896,Rosters!$B$2:$B$155,0)),"NA")</f>
        <v>NA</v>
      </c>
      <c r="L4896" t="str">
        <f t="shared" si="228"/>
        <v>NA12QB</v>
      </c>
      <c r="M4896">
        <f>COUNTIF(L$1:L4896,L4896)</f>
        <v>23</v>
      </c>
      <c r="N4896" t="str">
        <f t="shared" si="229"/>
        <v>NA12QB-23</v>
      </c>
      <c r="O4896">
        <f>COUNTIFS(F$1:F4896,F4896,A$1:A4896,A4896)</f>
        <v>38</v>
      </c>
      <c r="P4896" t="str">
        <f t="shared" si="230"/>
        <v>Mike Glennon12</v>
      </c>
    </row>
    <row r="4897" spans="1:16" x14ac:dyDescent="0.25">
      <c r="A4897">
        <v>2</v>
      </c>
      <c r="B4897" t="s">
        <v>293</v>
      </c>
      <c r="C4897" t="s">
        <v>1530</v>
      </c>
      <c r="D4897">
        <v>1.03</v>
      </c>
      <c r="E4897" t="s">
        <v>28</v>
      </c>
      <c r="F4897" t="s">
        <v>47</v>
      </c>
      <c r="G4897">
        <v>1.99</v>
      </c>
      <c r="H4897">
        <v>7.0000000000000007E-2</v>
      </c>
      <c r="I4897">
        <v>0.96</v>
      </c>
      <c r="J4897">
        <v>0.92159999999999997</v>
      </c>
      <c r="K4897" t="str">
        <f>IFERROR(INDEX(Rosters!$C$2:$C$155,MATCH($B4897,Rosters!$B$2:$B$155,0)),"NA")</f>
        <v>NA</v>
      </c>
      <c r="L4897" t="str">
        <f t="shared" si="228"/>
        <v>NA2RB</v>
      </c>
      <c r="M4897">
        <f>COUNTIF(L$1:L4897,L4897)</f>
        <v>32</v>
      </c>
      <c r="N4897" t="str">
        <f t="shared" si="229"/>
        <v>NA2RB-32</v>
      </c>
      <c r="O4897">
        <f>COUNTIFS(F$1:F4897,F4897,A$1:A4897,A4897)</f>
        <v>74</v>
      </c>
      <c r="P4897" t="str">
        <f t="shared" si="230"/>
        <v>Benny Cunningham2</v>
      </c>
    </row>
    <row r="4898" spans="1:16" x14ac:dyDescent="0.25">
      <c r="A4898">
        <v>14</v>
      </c>
      <c r="B4898" t="s">
        <v>365</v>
      </c>
      <c r="C4898" t="s">
        <v>4661</v>
      </c>
      <c r="D4898">
        <v>1.03</v>
      </c>
      <c r="E4898" t="s">
        <v>25</v>
      </c>
      <c r="F4898" t="s">
        <v>15</v>
      </c>
      <c r="G4898">
        <v>1.57</v>
      </c>
      <c r="H4898">
        <v>0.49</v>
      </c>
      <c r="I4898">
        <v>0.54</v>
      </c>
      <c r="J4898">
        <v>0.29160000000000003</v>
      </c>
      <c r="K4898" t="str">
        <f>IFERROR(INDEX(Rosters!$C$2:$C$155,MATCH($B4898,Rosters!$B$2:$B$155,0)),"NA")</f>
        <v>NA</v>
      </c>
      <c r="L4898" t="str">
        <f t="shared" si="228"/>
        <v>NA14QB</v>
      </c>
      <c r="M4898">
        <f>COUNTIF(L$1:L4898,L4898)</f>
        <v>22</v>
      </c>
      <c r="N4898" t="str">
        <f t="shared" si="229"/>
        <v>NA14QB-22</v>
      </c>
      <c r="O4898">
        <f>COUNTIFS(F$1:F4898,F4898,A$1:A4898,A4898)</f>
        <v>39</v>
      </c>
      <c r="P4898" t="str">
        <f t="shared" si="230"/>
        <v>Brett Hundley14</v>
      </c>
    </row>
    <row r="4899" spans="1:16" x14ac:dyDescent="0.25">
      <c r="A4899">
        <v>5</v>
      </c>
      <c r="B4899" t="s">
        <v>1543</v>
      </c>
      <c r="C4899" t="s">
        <v>8716</v>
      </c>
      <c r="D4899">
        <v>1.03</v>
      </c>
      <c r="E4899" t="s">
        <v>31</v>
      </c>
      <c r="F4899" t="s">
        <v>15</v>
      </c>
      <c r="G4899">
        <v>1.55</v>
      </c>
      <c r="H4899">
        <v>0.51</v>
      </c>
      <c r="I4899">
        <v>0.52</v>
      </c>
      <c r="J4899">
        <v>0.27039999999999997</v>
      </c>
      <c r="K4899" t="str">
        <f>IFERROR(INDEX(Rosters!$C$2:$C$155,MATCH($B4899,Rosters!$B$2:$B$155,0)),"NA")</f>
        <v>NA</v>
      </c>
      <c r="L4899" t="str">
        <f t="shared" si="228"/>
        <v>NA5QB</v>
      </c>
      <c r="M4899">
        <f>COUNTIF(L$1:L4899,L4899)</f>
        <v>20</v>
      </c>
      <c r="N4899" t="str">
        <f t="shared" si="229"/>
        <v>NA5QB-20</v>
      </c>
      <c r="O4899">
        <f>COUNTIFS(F$1:F4899,F4899,A$1:A4899,A4899)</f>
        <v>37</v>
      </c>
      <c r="P4899" t="str">
        <f t="shared" si="230"/>
        <v>David Fales5</v>
      </c>
    </row>
    <row r="4900" spans="1:16" x14ac:dyDescent="0.25">
      <c r="A4900">
        <v>5</v>
      </c>
      <c r="B4900" t="s">
        <v>341</v>
      </c>
      <c r="C4900">
        <f>-0.03-2.09</f>
        <v>-2.1199999999999997</v>
      </c>
      <c r="D4900">
        <v>1.03</v>
      </c>
      <c r="E4900" t="s">
        <v>76</v>
      </c>
      <c r="F4900" t="s">
        <v>87</v>
      </c>
      <c r="G4900">
        <v>2.09</v>
      </c>
      <c r="H4900">
        <v>-0.03</v>
      </c>
      <c r="I4900">
        <v>1.06</v>
      </c>
      <c r="J4900">
        <v>1.1235999999999999</v>
      </c>
      <c r="K4900" t="str">
        <f>IFERROR(INDEX(Rosters!$C$2:$C$155,MATCH($B4900,Rosters!$B$2:$B$155,0)),"NA")</f>
        <v>NA</v>
      </c>
      <c r="L4900" t="str">
        <f t="shared" si="228"/>
        <v>NA5WR</v>
      </c>
      <c r="M4900">
        <f>COUNTIF(L$1:L4900,L4900)</f>
        <v>74</v>
      </c>
      <c r="N4900" t="str">
        <f t="shared" si="229"/>
        <v>NA5WR-74</v>
      </c>
      <c r="O4900">
        <f>COUNTIFS(F$1:F4900,F4900,A$1:A4900,A4900)</f>
        <v>124</v>
      </c>
      <c r="P4900" t="str">
        <f t="shared" si="230"/>
        <v>Demarcus Robinson5</v>
      </c>
    </row>
    <row r="4901" spans="1:16" x14ac:dyDescent="0.25">
      <c r="A4901">
        <v>5</v>
      </c>
      <c r="B4901" t="s">
        <v>1499</v>
      </c>
      <c r="C4901">
        <f>-0.07-2.13</f>
        <v>-2.1999999999999997</v>
      </c>
      <c r="D4901">
        <v>1.03</v>
      </c>
      <c r="E4901" t="s">
        <v>36</v>
      </c>
      <c r="F4901" t="s">
        <v>114</v>
      </c>
      <c r="G4901">
        <v>2.13</v>
      </c>
      <c r="H4901">
        <v>-7.0000000000000007E-2</v>
      </c>
      <c r="I4901">
        <v>1.1000000000000001</v>
      </c>
      <c r="J4901">
        <v>1.21</v>
      </c>
      <c r="K4901" t="str">
        <f>IFERROR(INDEX(Rosters!$C$2:$C$155,MATCH($B4901,Rosters!$B$2:$B$155,0)),"NA")</f>
        <v>NA</v>
      </c>
      <c r="L4901" t="str">
        <f t="shared" si="228"/>
        <v>NA5TE</v>
      </c>
      <c r="M4901">
        <f>COUNTIF(L$1:L4901,L4901)</f>
        <v>53</v>
      </c>
      <c r="N4901" t="str">
        <f t="shared" si="229"/>
        <v>NA5TE-53</v>
      </c>
      <c r="O4901">
        <f>COUNTIFS(F$1:F4901,F4901,A$1:A4901,A4901)</f>
        <v>64</v>
      </c>
      <c r="P4901" t="str">
        <f t="shared" si="230"/>
        <v>Rico Gathers5</v>
      </c>
    </row>
    <row r="4902" spans="1:16" x14ac:dyDescent="0.25">
      <c r="A4902">
        <v>12</v>
      </c>
      <c r="B4902" t="s">
        <v>1499</v>
      </c>
      <c r="C4902">
        <f>-0.09-2.15</f>
        <v>-2.2399999999999998</v>
      </c>
      <c r="D4902">
        <v>1.03</v>
      </c>
      <c r="E4902" t="s">
        <v>60</v>
      </c>
      <c r="F4902" t="s">
        <v>114</v>
      </c>
      <c r="G4902">
        <v>2.15</v>
      </c>
      <c r="H4902">
        <v>-0.09</v>
      </c>
      <c r="I4902">
        <v>1.1200000000000001</v>
      </c>
      <c r="J4902">
        <v>1.2544</v>
      </c>
      <c r="K4902" t="str">
        <f>IFERROR(INDEX(Rosters!$C$2:$C$155,MATCH($B4902,Rosters!$B$2:$B$155,0)),"NA")</f>
        <v>NA</v>
      </c>
      <c r="L4902" t="str">
        <f t="shared" si="228"/>
        <v>NA12TE</v>
      </c>
      <c r="M4902">
        <f>COUNTIF(L$1:L4902,L4902)</f>
        <v>51</v>
      </c>
      <c r="N4902" t="str">
        <f t="shared" si="229"/>
        <v>NA12TE-51</v>
      </c>
      <c r="O4902">
        <f>COUNTIFS(F$1:F4902,F4902,A$1:A4902,A4902)</f>
        <v>64</v>
      </c>
      <c r="P4902" t="str">
        <f t="shared" si="230"/>
        <v>Rico Gathers12</v>
      </c>
    </row>
    <row r="4903" spans="1:16" x14ac:dyDescent="0.25">
      <c r="A4903">
        <v>8</v>
      </c>
      <c r="B4903" t="s">
        <v>336</v>
      </c>
      <c r="C4903">
        <f>-0.58-2.62</f>
        <v>-3.2</v>
      </c>
      <c r="D4903">
        <v>1.02</v>
      </c>
      <c r="E4903" t="s">
        <v>24</v>
      </c>
      <c r="F4903" t="s">
        <v>47</v>
      </c>
      <c r="G4903">
        <v>2.62</v>
      </c>
      <c r="H4903">
        <v>-0.57999999999999996</v>
      </c>
      <c r="I4903">
        <v>1.6</v>
      </c>
      <c r="J4903">
        <v>2.56</v>
      </c>
      <c r="K4903" t="str">
        <f>IFERROR(INDEX(Rosters!$C$2:$C$155,MATCH($B4903,Rosters!$B$2:$B$155,0)),"NA")</f>
        <v>NA</v>
      </c>
      <c r="L4903" t="str">
        <f t="shared" si="228"/>
        <v>NA8RB</v>
      </c>
      <c r="M4903">
        <f>COUNTIF(L$1:L4903,L4903)</f>
        <v>40</v>
      </c>
      <c r="N4903" t="str">
        <f t="shared" si="229"/>
        <v>NA8RB-40</v>
      </c>
      <c r="O4903">
        <f>COUNTIFS(F$1:F4903,F4903,A$1:A4903,A4903)</f>
        <v>80</v>
      </c>
      <c r="P4903" t="str">
        <f t="shared" si="230"/>
        <v>Andy Janovich8</v>
      </c>
    </row>
    <row r="4904" spans="1:16" x14ac:dyDescent="0.25">
      <c r="A4904">
        <v>14</v>
      </c>
      <c r="B4904" t="s">
        <v>336</v>
      </c>
      <c r="C4904">
        <f>-0.23-2.27</f>
        <v>-2.5</v>
      </c>
      <c r="D4904">
        <v>1.02</v>
      </c>
      <c r="E4904" t="s">
        <v>30</v>
      </c>
      <c r="F4904" t="s">
        <v>47</v>
      </c>
      <c r="G4904">
        <v>2.27</v>
      </c>
      <c r="H4904">
        <v>-0.23</v>
      </c>
      <c r="I4904">
        <v>1.25</v>
      </c>
      <c r="J4904">
        <v>1.5625</v>
      </c>
      <c r="K4904" t="str">
        <f>IFERROR(INDEX(Rosters!$C$2:$C$155,MATCH($B4904,Rosters!$B$2:$B$155,0)),"NA")</f>
        <v>NA</v>
      </c>
      <c r="L4904" t="str">
        <f t="shared" si="228"/>
        <v>NA14RB</v>
      </c>
      <c r="M4904">
        <f>COUNTIF(L$1:L4904,L4904)</f>
        <v>43</v>
      </c>
      <c r="N4904" t="str">
        <f t="shared" si="229"/>
        <v>NA14RB-43</v>
      </c>
      <c r="O4904">
        <f>COUNTIFS(F$1:F4904,F4904,A$1:A4904,A4904)</f>
        <v>90</v>
      </c>
      <c r="P4904" t="str">
        <f t="shared" si="230"/>
        <v>Andy Janovich14</v>
      </c>
    </row>
    <row r="4905" spans="1:16" x14ac:dyDescent="0.25">
      <c r="A4905">
        <v>13</v>
      </c>
      <c r="B4905" t="s">
        <v>1543</v>
      </c>
      <c r="C4905" t="s">
        <v>8717</v>
      </c>
      <c r="D4905">
        <v>1.02</v>
      </c>
      <c r="E4905" t="s">
        <v>29</v>
      </c>
      <c r="F4905" t="s">
        <v>15</v>
      </c>
      <c r="G4905">
        <v>1.53</v>
      </c>
      <c r="H4905">
        <v>0.51</v>
      </c>
      <c r="I4905">
        <v>0.51</v>
      </c>
      <c r="J4905">
        <v>0.2601</v>
      </c>
      <c r="K4905" t="str">
        <f>IFERROR(INDEX(Rosters!$C$2:$C$155,MATCH($B4905,Rosters!$B$2:$B$155,0)),"NA")</f>
        <v>NA</v>
      </c>
      <c r="L4905" t="str">
        <f t="shared" si="228"/>
        <v>NA13QB</v>
      </c>
      <c r="M4905">
        <f>COUNTIF(L$1:L4905,L4905)</f>
        <v>24</v>
      </c>
      <c r="N4905" t="str">
        <f t="shared" si="229"/>
        <v>NA13QB-24</v>
      </c>
      <c r="O4905">
        <f>COUNTIFS(F$1:F4905,F4905,A$1:A4905,A4905)</f>
        <v>41</v>
      </c>
      <c r="P4905" t="str">
        <f t="shared" si="230"/>
        <v>David Fales13</v>
      </c>
    </row>
    <row r="4906" spans="1:16" x14ac:dyDescent="0.25">
      <c r="A4906">
        <v>5</v>
      </c>
      <c r="B4906" t="s">
        <v>1622</v>
      </c>
      <c r="C4906">
        <f>-0.04-2.08</f>
        <v>-2.12</v>
      </c>
      <c r="D4906">
        <v>1.02</v>
      </c>
      <c r="E4906" t="s">
        <v>58</v>
      </c>
      <c r="F4906" t="s">
        <v>87</v>
      </c>
      <c r="G4906">
        <v>2.08</v>
      </c>
      <c r="H4906">
        <v>-0.04</v>
      </c>
      <c r="I4906">
        <v>1.06</v>
      </c>
      <c r="J4906">
        <v>1.1235999999999999</v>
      </c>
      <c r="K4906" t="str">
        <f>IFERROR(INDEX(Rosters!$C$2:$C$155,MATCH($B4906,Rosters!$B$2:$B$155,0)),"NA")</f>
        <v>NA</v>
      </c>
      <c r="L4906" t="str">
        <f t="shared" si="228"/>
        <v>NA5WR</v>
      </c>
      <c r="M4906">
        <f>COUNTIF(L$1:L4906,L4906)</f>
        <v>75</v>
      </c>
      <c r="N4906" t="str">
        <f t="shared" si="229"/>
        <v>NA5WR-75</v>
      </c>
      <c r="O4906">
        <f>COUNTIFS(F$1:F4906,F4906,A$1:A4906,A4906)</f>
        <v>125</v>
      </c>
      <c r="P4906" t="str">
        <f t="shared" si="230"/>
        <v>Kendrick Bourne5</v>
      </c>
    </row>
    <row r="4907" spans="1:16" x14ac:dyDescent="0.25">
      <c r="A4907">
        <v>11</v>
      </c>
      <c r="B4907" t="s">
        <v>390</v>
      </c>
      <c r="C4907" t="s">
        <v>8718</v>
      </c>
      <c r="D4907">
        <v>1.02</v>
      </c>
      <c r="E4907" t="s">
        <v>76</v>
      </c>
      <c r="F4907" t="s">
        <v>47</v>
      </c>
      <c r="G4907">
        <v>1.96</v>
      </c>
      <c r="H4907">
        <v>0.08</v>
      </c>
      <c r="I4907">
        <v>0.94</v>
      </c>
      <c r="J4907">
        <v>0.88360000000000005</v>
      </c>
      <c r="K4907" t="str">
        <f>IFERROR(INDEX(Rosters!$C$2:$C$155,MATCH($B4907,Rosters!$B$2:$B$155,0)),"NA")</f>
        <v>NA</v>
      </c>
      <c r="L4907" t="str">
        <f t="shared" si="228"/>
        <v>NA11RB</v>
      </c>
      <c r="M4907">
        <f>COUNTIF(L$1:L4907,L4907)</f>
        <v>34</v>
      </c>
      <c r="N4907" t="str">
        <f t="shared" si="229"/>
        <v>NA11RB-34</v>
      </c>
      <c r="O4907">
        <f>COUNTIFS(F$1:F4907,F4907,A$1:A4907,A4907)</f>
        <v>72</v>
      </c>
      <c r="P4907" t="str">
        <f t="shared" si="230"/>
        <v>Roosevelt Nix11</v>
      </c>
    </row>
    <row r="4908" spans="1:16" x14ac:dyDescent="0.25">
      <c r="A4908">
        <v>4</v>
      </c>
      <c r="B4908" t="s">
        <v>336</v>
      </c>
      <c r="C4908">
        <f>-0.28-2.3</f>
        <v>-2.58</v>
      </c>
      <c r="D4908">
        <v>1.01</v>
      </c>
      <c r="E4908" t="s">
        <v>24</v>
      </c>
      <c r="F4908" t="s">
        <v>47</v>
      </c>
      <c r="G4908">
        <v>2.2999999999999998</v>
      </c>
      <c r="H4908">
        <v>-0.28000000000000003</v>
      </c>
      <c r="I4908">
        <v>1.29</v>
      </c>
      <c r="J4908">
        <v>1.6640999999999999</v>
      </c>
      <c r="K4908" t="str">
        <f>IFERROR(INDEX(Rosters!$C$2:$C$155,MATCH($B4908,Rosters!$B$2:$B$155,0)),"NA")</f>
        <v>NA</v>
      </c>
      <c r="L4908" t="str">
        <f t="shared" si="228"/>
        <v>NA4RB</v>
      </c>
      <c r="M4908">
        <f>COUNTIF(L$1:L4908,L4908)</f>
        <v>34</v>
      </c>
      <c r="N4908" t="str">
        <f t="shared" si="229"/>
        <v>NA4RB-34</v>
      </c>
      <c r="O4908">
        <f>COUNTIFS(F$1:F4908,F4908,A$1:A4908,A4908)</f>
        <v>73</v>
      </c>
      <c r="P4908" t="str">
        <f t="shared" si="230"/>
        <v>Andy Janovich4</v>
      </c>
    </row>
    <row r="4909" spans="1:16" x14ac:dyDescent="0.25">
      <c r="A4909">
        <v>3</v>
      </c>
      <c r="B4909" t="s">
        <v>365</v>
      </c>
      <c r="C4909" t="s">
        <v>1531</v>
      </c>
      <c r="D4909">
        <v>1.01</v>
      </c>
      <c r="E4909" t="s">
        <v>22</v>
      </c>
      <c r="F4909" t="s">
        <v>15</v>
      </c>
      <c r="G4909">
        <v>1.66</v>
      </c>
      <c r="H4909">
        <v>0.36</v>
      </c>
      <c r="I4909">
        <v>0.65</v>
      </c>
      <c r="J4909">
        <v>0.42249999999999999</v>
      </c>
      <c r="K4909" t="str">
        <f>IFERROR(INDEX(Rosters!$C$2:$C$155,MATCH($B4909,Rosters!$B$2:$B$155,0)),"NA")</f>
        <v>NA</v>
      </c>
      <c r="L4909" t="str">
        <f t="shared" si="228"/>
        <v>NA3QB</v>
      </c>
      <c r="M4909">
        <f>COUNTIF(L$1:L4909,L4909)</f>
        <v>19</v>
      </c>
      <c r="N4909" t="str">
        <f t="shared" si="229"/>
        <v>NA3QB-19</v>
      </c>
      <c r="O4909">
        <f>COUNTIFS(F$1:F4909,F4909,A$1:A4909,A4909)</f>
        <v>35</v>
      </c>
      <c r="P4909" t="str">
        <f t="shared" si="230"/>
        <v>Brett Hundley3</v>
      </c>
    </row>
    <row r="4910" spans="1:16" x14ac:dyDescent="0.25">
      <c r="A4910">
        <v>9</v>
      </c>
      <c r="B4910" t="s">
        <v>365</v>
      </c>
      <c r="C4910" t="s">
        <v>8719</v>
      </c>
      <c r="D4910">
        <v>1.01</v>
      </c>
      <c r="E4910" t="s">
        <v>37</v>
      </c>
      <c r="F4910" t="s">
        <v>15</v>
      </c>
      <c r="G4910">
        <v>1.55</v>
      </c>
      <c r="H4910">
        <v>0.47</v>
      </c>
      <c r="I4910">
        <v>0.54</v>
      </c>
      <c r="J4910">
        <v>0.29160000000000003</v>
      </c>
      <c r="K4910" t="str">
        <f>IFERROR(INDEX(Rosters!$C$2:$C$155,MATCH($B4910,Rosters!$B$2:$B$155,0)),"NA")</f>
        <v>NA</v>
      </c>
      <c r="L4910" t="str">
        <f t="shared" si="228"/>
        <v>NA9QB</v>
      </c>
      <c r="M4910">
        <f>COUNTIF(L$1:L4910,L4910)</f>
        <v>19</v>
      </c>
      <c r="N4910" t="str">
        <f t="shared" si="229"/>
        <v>NA9QB-19</v>
      </c>
      <c r="O4910">
        <f>COUNTIFS(F$1:F4910,F4910,A$1:A4910,A4910)</f>
        <v>33</v>
      </c>
      <c r="P4910" t="str">
        <f t="shared" si="230"/>
        <v>Brett Hundley9</v>
      </c>
    </row>
    <row r="4911" spans="1:16" x14ac:dyDescent="0.25">
      <c r="A4911">
        <v>9</v>
      </c>
      <c r="B4911" t="s">
        <v>1118</v>
      </c>
      <c r="C4911" t="s">
        <v>8720</v>
      </c>
      <c r="D4911">
        <v>1.01</v>
      </c>
      <c r="E4911" t="s">
        <v>41</v>
      </c>
      <c r="F4911" t="s">
        <v>15</v>
      </c>
      <c r="G4911">
        <v>1.69</v>
      </c>
      <c r="H4911">
        <v>0.33</v>
      </c>
      <c r="I4911">
        <v>0.68</v>
      </c>
      <c r="J4911">
        <v>0.46239999999999998</v>
      </c>
      <c r="K4911" t="str">
        <f>IFERROR(INDEX(Rosters!$C$2:$C$155,MATCH($B4911,Rosters!$B$2:$B$155,0)),"NA")</f>
        <v>NA</v>
      </c>
      <c r="L4911" t="str">
        <f t="shared" si="228"/>
        <v>NA9QB</v>
      </c>
      <c r="M4911">
        <f>COUNTIF(L$1:L4911,L4911)</f>
        <v>20</v>
      </c>
      <c r="N4911" t="str">
        <f t="shared" si="229"/>
        <v>NA9QB-20</v>
      </c>
      <c r="O4911">
        <f>COUNTIFS(F$1:F4911,F4911,A$1:A4911,A4911)</f>
        <v>34</v>
      </c>
      <c r="P4911" t="str">
        <f t="shared" si="230"/>
        <v>Brian Hoyer9</v>
      </c>
    </row>
    <row r="4912" spans="1:16" x14ac:dyDescent="0.25">
      <c r="A4912">
        <v>7</v>
      </c>
      <c r="B4912" t="s">
        <v>351</v>
      </c>
      <c r="C4912">
        <f>-0.08-2.1</f>
        <v>-2.1800000000000002</v>
      </c>
      <c r="D4912">
        <v>1.01</v>
      </c>
      <c r="E4912" t="s">
        <v>50</v>
      </c>
      <c r="F4912" t="s">
        <v>47</v>
      </c>
      <c r="G4912">
        <v>2.1</v>
      </c>
      <c r="H4912">
        <v>-0.08</v>
      </c>
      <c r="I4912">
        <v>1.0900000000000001</v>
      </c>
      <c r="J4912">
        <v>1.1880999999999999</v>
      </c>
      <c r="K4912" t="str">
        <f>IFERROR(INDEX(Rosters!$C$2:$C$155,MATCH($B4912,Rosters!$B$2:$B$155,0)),"NA")</f>
        <v>NA</v>
      </c>
      <c r="L4912" t="str">
        <f t="shared" si="228"/>
        <v>NA7RB</v>
      </c>
      <c r="M4912">
        <f>COUNTIF(L$1:L4912,L4912)</f>
        <v>33</v>
      </c>
      <c r="N4912" t="str">
        <f t="shared" si="229"/>
        <v>NA7RB-33</v>
      </c>
      <c r="O4912">
        <f>COUNTIFS(F$1:F4912,F4912,A$1:A4912,A4912)</f>
        <v>74</v>
      </c>
      <c r="P4912" t="str">
        <f t="shared" si="230"/>
        <v>Cameron Artis-Payne7</v>
      </c>
    </row>
    <row r="4913" spans="1:16" x14ac:dyDescent="0.25">
      <c r="A4913">
        <v>12</v>
      </c>
      <c r="B4913" t="s">
        <v>351</v>
      </c>
      <c r="C4913">
        <f>-0.02-2.04</f>
        <v>-2.06</v>
      </c>
      <c r="D4913">
        <v>1.01</v>
      </c>
      <c r="E4913" t="s">
        <v>28</v>
      </c>
      <c r="F4913" t="s">
        <v>47</v>
      </c>
      <c r="G4913">
        <v>2.04</v>
      </c>
      <c r="H4913">
        <v>-0.02</v>
      </c>
      <c r="I4913">
        <v>1.03</v>
      </c>
      <c r="J4913">
        <v>1.0609</v>
      </c>
      <c r="K4913" t="str">
        <f>IFERROR(INDEX(Rosters!$C$2:$C$155,MATCH($B4913,Rosters!$B$2:$B$155,0)),"NA")</f>
        <v>NA</v>
      </c>
      <c r="L4913" t="str">
        <f t="shared" si="228"/>
        <v>NA12RB</v>
      </c>
      <c r="M4913">
        <f>COUNTIF(L$1:L4913,L4913)</f>
        <v>40</v>
      </c>
      <c r="N4913" t="str">
        <f t="shared" si="229"/>
        <v>NA12RB-40</v>
      </c>
      <c r="O4913">
        <f>COUNTIFS(F$1:F4913,F4913,A$1:A4913,A4913)</f>
        <v>85</v>
      </c>
      <c r="P4913" t="str">
        <f t="shared" si="230"/>
        <v>Cameron Artis-Payne12</v>
      </c>
    </row>
    <row r="4914" spans="1:16" x14ac:dyDescent="0.25">
      <c r="A4914">
        <v>5</v>
      </c>
      <c r="B4914" t="s">
        <v>1524</v>
      </c>
      <c r="C4914">
        <f>-0.22-2.24</f>
        <v>-2.4600000000000004</v>
      </c>
      <c r="D4914">
        <v>1.01</v>
      </c>
      <c r="E4914" t="s">
        <v>29</v>
      </c>
      <c r="F4914" t="s">
        <v>47</v>
      </c>
      <c r="G4914">
        <v>2.2400000000000002</v>
      </c>
      <c r="H4914">
        <v>-0.22</v>
      </c>
      <c r="I4914">
        <v>1.23</v>
      </c>
      <c r="J4914">
        <v>1.5128999999999999</v>
      </c>
      <c r="K4914" t="str">
        <f>IFERROR(INDEX(Rosters!$C$2:$C$155,MATCH($B4914,Rosters!$B$2:$B$155,0)),"NA")</f>
        <v>NA</v>
      </c>
      <c r="L4914" t="str">
        <f t="shared" si="228"/>
        <v>NA5RB</v>
      </c>
      <c r="M4914">
        <f>COUNTIF(L$1:L4914,L4914)</f>
        <v>40</v>
      </c>
      <c r="N4914" t="str">
        <f t="shared" si="229"/>
        <v>NA5RB-40</v>
      </c>
      <c r="O4914">
        <f>COUNTIFS(F$1:F4914,F4914,A$1:A4914,A4914)</f>
        <v>83</v>
      </c>
      <c r="P4914" t="str">
        <f t="shared" si="230"/>
        <v>David Fluellen5</v>
      </c>
    </row>
    <row r="4915" spans="1:16" x14ac:dyDescent="0.25">
      <c r="A4915">
        <v>7</v>
      </c>
      <c r="B4915" t="s">
        <v>1524</v>
      </c>
      <c r="C4915">
        <f>-0.23-2.25</f>
        <v>-2.48</v>
      </c>
      <c r="D4915">
        <v>1.01</v>
      </c>
      <c r="E4915" t="s">
        <v>37</v>
      </c>
      <c r="F4915" t="s">
        <v>47</v>
      </c>
      <c r="G4915">
        <v>2.25</v>
      </c>
      <c r="H4915">
        <v>-0.23</v>
      </c>
      <c r="I4915">
        <v>1.24</v>
      </c>
      <c r="J4915">
        <v>1.5376000000000001</v>
      </c>
      <c r="K4915" t="str">
        <f>IFERROR(INDEX(Rosters!$C$2:$C$155,MATCH($B4915,Rosters!$B$2:$B$155,0)),"NA")</f>
        <v>NA</v>
      </c>
      <c r="L4915" t="str">
        <f t="shared" si="228"/>
        <v>NA7RB</v>
      </c>
      <c r="M4915">
        <f>COUNTIF(L$1:L4915,L4915)</f>
        <v>34</v>
      </c>
      <c r="N4915" t="str">
        <f t="shared" si="229"/>
        <v>NA7RB-34</v>
      </c>
      <c r="O4915">
        <f>COUNTIFS(F$1:F4915,F4915,A$1:A4915,A4915)</f>
        <v>75</v>
      </c>
      <c r="P4915" t="str">
        <f t="shared" si="230"/>
        <v>David Fluellen7</v>
      </c>
    </row>
    <row r="4916" spans="1:16" x14ac:dyDescent="0.25">
      <c r="A4916">
        <v>1</v>
      </c>
      <c r="B4916" t="s">
        <v>380</v>
      </c>
      <c r="C4916">
        <f>-0.2-2.22</f>
        <v>-2.4200000000000004</v>
      </c>
      <c r="D4916">
        <v>1.01</v>
      </c>
      <c r="E4916" t="s">
        <v>56</v>
      </c>
      <c r="F4916" t="s">
        <v>114</v>
      </c>
      <c r="G4916">
        <v>2.2200000000000002</v>
      </c>
      <c r="H4916">
        <v>-0.2</v>
      </c>
      <c r="I4916">
        <v>1.21</v>
      </c>
      <c r="J4916">
        <v>1.4641</v>
      </c>
      <c r="K4916" t="str">
        <f>IFERROR(INDEX(Rosters!$C$2:$C$155,MATCH($B4916,Rosters!$B$2:$B$155,0)),"NA")</f>
        <v>NA</v>
      </c>
      <c r="L4916" t="str">
        <f t="shared" si="228"/>
        <v>NA1TE</v>
      </c>
      <c r="M4916">
        <f>COUNTIF(L$1:L4916,L4916)</f>
        <v>42</v>
      </c>
      <c r="N4916" t="str">
        <f t="shared" si="229"/>
        <v>NA1TE-42</v>
      </c>
      <c r="O4916">
        <f>COUNTIFS(F$1:F4916,F4916,A$1:A4916,A4916)</f>
        <v>55</v>
      </c>
      <c r="P4916" t="str">
        <f t="shared" si="230"/>
        <v>Derek Carrier1</v>
      </c>
    </row>
    <row r="4917" spans="1:16" x14ac:dyDescent="0.25">
      <c r="A4917">
        <v>5</v>
      </c>
      <c r="B4917" t="s">
        <v>1631</v>
      </c>
      <c r="C4917">
        <f>-0.34-2.36</f>
        <v>-2.6999999999999997</v>
      </c>
      <c r="D4917">
        <v>1.01</v>
      </c>
      <c r="E4917" t="s">
        <v>19</v>
      </c>
      <c r="F4917" t="s">
        <v>87</v>
      </c>
      <c r="G4917">
        <v>2.36</v>
      </c>
      <c r="H4917">
        <v>-0.34</v>
      </c>
      <c r="I4917">
        <v>1.35</v>
      </c>
      <c r="J4917">
        <v>1.8225</v>
      </c>
      <c r="K4917" t="str">
        <f>IFERROR(INDEX(Rosters!$C$2:$C$155,MATCH($B4917,Rosters!$B$2:$B$155,0)),"NA")</f>
        <v>NA</v>
      </c>
      <c r="L4917" t="str">
        <f t="shared" si="228"/>
        <v>NA5WR</v>
      </c>
      <c r="M4917">
        <f>COUNTIF(L$1:L4917,L4917)</f>
        <v>76</v>
      </c>
      <c r="N4917" t="str">
        <f t="shared" si="229"/>
        <v>NA5WR-76</v>
      </c>
      <c r="O4917">
        <f>COUNTIFS(F$1:F4917,F4917,A$1:A4917,A4917)</f>
        <v>126</v>
      </c>
      <c r="P4917" t="str">
        <f t="shared" si="230"/>
        <v>Josh Malone5</v>
      </c>
    </row>
    <row r="4918" spans="1:16" x14ac:dyDescent="0.25">
      <c r="A4918">
        <v>17</v>
      </c>
      <c r="B4918" t="s">
        <v>144</v>
      </c>
      <c r="C4918">
        <f>-0.19-2.21</f>
        <v>-2.4</v>
      </c>
      <c r="D4918">
        <v>1.01</v>
      </c>
      <c r="E4918" t="s">
        <v>74</v>
      </c>
      <c r="F4918" t="s">
        <v>47</v>
      </c>
      <c r="G4918">
        <v>2.21</v>
      </c>
      <c r="H4918">
        <v>-0.19</v>
      </c>
      <c r="I4918">
        <v>1.2</v>
      </c>
      <c r="J4918">
        <v>1.44</v>
      </c>
      <c r="K4918" t="str">
        <f>IFERROR(INDEX(Rosters!$C$2:$C$155,MATCH($B4918,Rosters!$B$2:$B$155,0)),"NA")</f>
        <v>NA</v>
      </c>
      <c r="L4918" t="str">
        <f t="shared" si="228"/>
        <v>NA17RB</v>
      </c>
      <c r="M4918">
        <f>COUNTIF(L$1:L4918,L4918)</f>
        <v>42</v>
      </c>
      <c r="N4918" t="str">
        <f t="shared" si="229"/>
        <v>NA17RB-42</v>
      </c>
      <c r="O4918">
        <f>COUNTIFS(F$1:F4918,F4918,A$1:A4918,A4918)</f>
        <v>89</v>
      </c>
      <c r="P4918" t="str">
        <f t="shared" si="230"/>
        <v>Mike Gillislee17</v>
      </c>
    </row>
    <row r="4919" spans="1:16" x14ac:dyDescent="0.25">
      <c r="A4919">
        <v>4</v>
      </c>
      <c r="B4919" t="s">
        <v>390</v>
      </c>
      <c r="C4919">
        <f>-0.12-2.14</f>
        <v>-2.2600000000000002</v>
      </c>
      <c r="D4919">
        <v>1.01</v>
      </c>
      <c r="E4919" t="s">
        <v>77</v>
      </c>
      <c r="F4919" t="s">
        <v>47</v>
      </c>
      <c r="G4919">
        <v>2.14</v>
      </c>
      <c r="H4919">
        <v>-0.12</v>
      </c>
      <c r="I4919">
        <v>1.1299999999999999</v>
      </c>
      <c r="J4919">
        <v>1.2768999999999999</v>
      </c>
      <c r="K4919" t="str">
        <f>IFERROR(INDEX(Rosters!$C$2:$C$155,MATCH($B4919,Rosters!$B$2:$B$155,0)),"NA")</f>
        <v>NA</v>
      </c>
      <c r="L4919" t="str">
        <f t="shared" si="228"/>
        <v>NA4RB</v>
      </c>
      <c r="M4919">
        <f>COUNTIF(L$1:L4919,L4919)</f>
        <v>35</v>
      </c>
      <c r="N4919" t="str">
        <f t="shared" si="229"/>
        <v>NA4RB-35</v>
      </c>
      <c r="O4919">
        <f>COUNTIFS(F$1:F4919,F4919,A$1:A4919,A4919)</f>
        <v>74</v>
      </c>
      <c r="P4919" t="str">
        <f t="shared" si="230"/>
        <v>Roosevelt Nix4</v>
      </c>
    </row>
    <row r="4920" spans="1:16" x14ac:dyDescent="0.25">
      <c r="A4920">
        <v>3</v>
      </c>
      <c r="B4920" t="s">
        <v>332</v>
      </c>
      <c r="C4920">
        <f>-0.37-2.39</f>
        <v>-2.7600000000000002</v>
      </c>
      <c r="D4920">
        <v>1.01</v>
      </c>
      <c r="E4920" t="s">
        <v>32</v>
      </c>
      <c r="F4920" t="s">
        <v>47</v>
      </c>
      <c r="G4920">
        <v>2.39</v>
      </c>
      <c r="H4920">
        <v>-0.37</v>
      </c>
      <c r="I4920">
        <v>1.38</v>
      </c>
      <c r="J4920">
        <v>1.9044000000000001</v>
      </c>
      <c r="K4920" t="str">
        <f>IFERROR(INDEX(Rosters!$C$2:$C$155,MATCH($B4920,Rosters!$B$2:$B$155,0)),"NA")</f>
        <v>NA</v>
      </c>
      <c r="L4920" t="str">
        <f t="shared" si="228"/>
        <v>NA3RB</v>
      </c>
      <c r="M4920">
        <f>COUNTIF(L$1:L4920,L4920)</f>
        <v>40</v>
      </c>
      <c r="N4920" t="str">
        <f t="shared" si="229"/>
        <v>NA3RB-40</v>
      </c>
      <c r="O4920">
        <f>COUNTIFS(F$1:F4920,F4920,A$1:A4920,A4920)</f>
        <v>79</v>
      </c>
      <c r="P4920" t="str">
        <f t="shared" si="230"/>
        <v>Senorise Perry3</v>
      </c>
    </row>
    <row r="4921" spans="1:16" x14ac:dyDescent="0.25">
      <c r="A4921">
        <v>15</v>
      </c>
      <c r="B4921" t="s">
        <v>4232</v>
      </c>
      <c r="C4921">
        <f>-0.03-2.05</f>
        <v>-2.0799999999999996</v>
      </c>
      <c r="D4921">
        <v>1.01</v>
      </c>
      <c r="E4921" t="s">
        <v>77</v>
      </c>
      <c r="F4921" t="s">
        <v>47</v>
      </c>
      <c r="G4921">
        <v>2.0499999999999998</v>
      </c>
      <c r="H4921">
        <v>-0.03</v>
      </c>
      <c r="I4921">
        <v>1.04</v>
      </c>
      <c r="J4921">
        <v>1.0815999999999999</v>
      </c>
      <c r="K4921" t="str">
        <f>IFERROR(INDEX(Rosters!$C$2:$C$155,MATCH($B4921,Rosters!$B$2:$B$155,0)),"NA")</f>
        <v>NA</v>
      </c>
      <c r="L4921" t="str">
        <f t="shared" si="228"/>
        <v>NA15RB</v>
      </c>
      <c r="M4921">
        <f>COUNTIF(L$1:L4921,L4921)</f>
        <v>42</v>
      </c>
      <c r="N4921" t="str">
        <f t="shared" si="229"/>
        <v>NA15RB-42</v>
      </c>
      <c r="O4921">
        <f>COUNTIFS(F$1:F4921,F4921,A$1:A4921,A4921)</f>
        <v>89</v>
      </c>
      <c r="P4921" t="str">
        <f t="shared" si="230"/>
        <v>Shaun Wilson15</v>
      </c>
    </row>
    <row r="4922" spans="1:16" x14ac:dyDescent="0.25">
      <c r="A4922">
        <v>16</v>
      </c>
      <c r="B4922" t="s">
        <v>2661</v>
      </c>
      <c r="C4922" t="s">
        <v>8721</v>
      </c>
      <c r="D4922">
        <v>1</v>
      </c>
      <c r="E4922" t="s">
        <v>17</v>
      </c>
      <c r="F4922" t="s">
        <v>87</v>
      </c>
      <c r="G4922">
        <v>1.98</v>
      </c>
      <c r="H4922">
        <v>0.02</v>
      </c>
      <c r="I4922">
        <v>0.98</v>
      </c>
      <c r="J4922">
        <v>0.96040000000000003</v>
      </c>
      <c r="K4922" t="str">
        <f>IFERROR(INDEX(Rosters!$C$2:$C$155,MATCH($B4922,Rosters!$B$2:$B$155,0)),"NA")</f>
        <v>NA</v>
      </c>
      <c r="L4922" t="str">
        <f t="shared" si="228"/>
        <v>NA16WR</v>
      </c>
      <c r="M4922">
        <f>COUNTIF(L$1:L4922,L4922)</f>
        <v>67</v>
      </c>
      <c r="N4922" t="str">
        <f t="shared" si="229"/>
        <v>NA16WR-67</v>
      </c>
      <c r="O4922">
        <f>COUNTIFS(F$1:F4922,F4922,A$1:A4922,A4922)</f>
        <v>121</v>
      </c>
      <c r="P4922" t="str">
        <f t="shared" si="230"/>
        <v>Brice Butler16</v>
      </c>
    </row>
    <row r="4923" spans="1:16" x14ac:dyDescent="0.25">
      <c r="A4923">
        <v>8</v>
      </c>
      <c r="B4923" t="s">
        <v>330</v>
      </c>
      <c r="C4923">
        <f>-0.32-2.32</f>
        <v>-2.6399999999999997</v>
      </c>
      <c r="D4923">
        <v>1</v>
      </c>
      <c r="E4923" t="s">
        <v>77</v>
      </c>
      <c r="F4923" t="s">
        <v>114</v>
      </c>
      <c r="G4923">
        <v>2.3199999999999998</v>
      </c>
      <c r="H4923">
        <v>-0.32</v>
      </c>
      <c r="I4923">
        <v>1.32</v>
      </c>
      <c r="J4923">
        <v>1.7423999999999999</v>
      </c>
      <c r="K4923" t="str">
        <f>IFERROR(INDEX(Rosters!$C$2:$C$155,MATCH($B4923,Rosters!$B$2:$B$155,0)),"NA")</f>
        <v>NA</v>
      </c>
      <c r="L4923" t="str">
        <f t="shared" si="228"/>
        <v>NA8TE</v>
      </c>
      <c r="M4923">
        <f>COUNTIF(L$1:L4923,L4923)</f>
        <v>47</v>
      </c>
      <c r="N4923" t="str">
        <f t="shared" si="229"/>
        <v>NA8TE-47</v>
      </c>
      <c r="O4923">
        <f>COUNTIFS(F$1:F4923,F4923,A$1:A4923,A4923)</f>
        <v>59</v>
      </c>
      <c r="P4923" t="str">
        <f t="shared" si="230"/>
        <v>Chris Manhertz8</v>
      </c>
    </row>
    <row r="4924" spans="1:16" x14ac:dyDescent="0.25">
      <c r="A4924">
        <v>2</v>
      </c>
      <c r="B4924" t="s">
        <v>1517</v>
      </c>
      <c r="C4924" t="s">
        <v>1532</v>
      </c>
      <c r="D4924">
        <v>1</v>
      </c>
      <c r="E4924" t="s">
        <v>74</v>
      </c>
      <c r="F4924" t="s">
        <v>114</v>
      </c>
      <c r="G4924">
        <v>1.84</v>
      </c>
      <c r="H4924">
        <v>0.16</v>
      </c>
      <c r="I4924">
        <v>0.84</v>
      </c>
      <c r="J4924">
        <v>0.7056</v>
      </c>
      <c r="K4924" t="str">
        <f>IFERROR(INDEX(Rosters!$C$2:$C$155,MATCH($B4924,Rosters!$B$2:$B$155,0)),"NA")</f>
        <v>NA</v>
      </c>
      <c r="L4924" t="str">
        <f t="shared" si="228"/>
        <v>NA2TE</v>
      </c>
      <c r="M4924">
        <f>COUNTIF(L$1:L4924,L4924)</f>
        <v>47</v>
      </c>
      <c r="N4924" t="str">
        <f t="shared" si="229"/>
        <v>NA2TE-47</v>
      </c>
      <c r="O4924">
        <f>COUNTIFS(F$1:F4924,F4924,A$1:A4924,A4924)</f>
        <v>60</v>
      </c>
      <c r="P4924" t="str">
        <f t="shared" si="230"/>
        <v>Eric Saubert2</v>
      </c>
    </row>
    <row r="4925" spans="1:16" x14ac:dyDescent="0.25">
      <c r="A4925">
        <v>16</v>
      </c>
      <c r="B4925" t="s">
        <v>390</v>
      </c>
      <c r="C4925">
        <f>-0.04-2.04</f>
        <v>-2.08</v>
      </c>
      <c r="D4925">
        <v>1</v>
      </c>
      <c r="E4925" t="s">
        <v>14</v>
      </c>
      <c r="F4925" t="s">
        <v>47</v>
      </c>
      <c r="G4925">
        <v>2.04</v>
      </c>
      <c r="H4925">
        <v>-0.04</v>
      </c>
      <c r="I4925">
        <v>1.04</v>
      </c>
      <c r="J4925">
        <v>1.0815999999999999</v>
      </c>
      <c r="K4925" t="str">
        <f>IFERROR(INDEX(Rosters!$C$2:$C$155,MATCH($B4925,Rosters!$B$2:$B$155,0)),"NA")</f>
        <v>NA</v>
      </c>
      <c r="L4925" t="str">
        <f t="shared" si="228"/>
        <v>NA16RB</v>
      </c>
      <c r="M4925">
        <f>COUNTIF(L$1:L4925,L4925)</f>
        <v>42</v>
      </c>
      <c r="N4925" t="str">
        <f t="shared" si="229"/>
        <v>NA16RB-42</v>
      </c>
      <c r="O4925">
        <f>COUNTIFS(F$1:F4925,F4925,A$1:A4925,A4925)</f>
        <v>89</v>
      </c>
      <c r="P4925" t="str">
        <f t="shared" si="230"/>
        <v>Roosevelt Nix16</v>
      </c>
    </row>
    <row r="4926" spans="1:16" x14ac:dyDescent="0.25">
      <c r="A4926">
        <v>7</v>
      </c>
      <c r="B4926" t="s">
        <v>4210</v>
      </c>
      <c r="C4926">
        <f>-0.11-2.09</f>
        <v>-2.1999999999999997</v>
      </c>
      <c r="D4926">
        <v>0.99</v>
      </c>
      <c r="E4926" t="s">
        <v>77</v>
      </c>
      <c r="F4926" t="s">
        <v>87</v>
      </c>
      <c r="G4926">
        <v>2.09</v>
      </c>
      <c r="H4926">
        <v>-0.11</v>
      </c>
      <c r="I4926">
        <v>1.1000000000000001</v>
      </c>
      <c r="J4926">
        <v>1.21</v>
      </c>
      <c r="K4926" t="str">
        <f>IFERROR(INDEX(Rosters!$C$2:$C$155,MATCH($B4926,Rosters!$B$2:$B$155,0)),"NA")</f>
        <v>NA</v>
      </c>
      <c r="L4926" t="str">
        <f t="shared" si="228"/>
        <v>NA7WR</v>
      </c>
      <c r="M4926">
        <f>COUNTIF(L$1:L4926,L4926)</f>
        <v>60</v>
      </c>
      <c r="N4926" t="str">
        <f t="shared" si="229"/>
        <v>NA7WR-60</v>
      </c>
      <c r="O4926">
        <f>COUNTIFS(F$1:F4926,F4926,A$1:A4926,A4926)</f>
        <v>105</v>
      </c>
      <c r="P4926" t="str">
        <f t="shared" si="230"/>
        <v>Austin Carr7</v>
      </c>
    </row>
    <row r="4927" spans="1:16" x14ac:dyDescent="0.25">
      <c r="A4927">
        <v>4</v>
      </c>
      <c r="B4927" t="s">
        <v>1118</v>
      </c>
      <c r="C4927" t="s">
        <v>4662</v>
      </c>
      <c r="D4927">
        <v>0.99</v>
      </c>
      <c r="E4927" t="s">
        <v>19</v>
      </c>
      <c r="F4927" t="s">
        <v>15</v>
      </c>
      <c r="G4927">
        <v>1.62</v>
      </c>
      <c r="H4927">
        <v>0.36</v>
      </c>
      <c r="I4927">
        <v>0.63</v>
      </c>
      <c r="J4927">
        <v>0.39689999999999998</v>
      </c>
      <c r="K4927" t="str">
        <f>IFERROR(INDEX(Rosters!$C$2:$C$155,MATCH($B4927,Rosters!$B$2:$B$155,0)),"NA")</f>
        <v>NA</v>
      </c>
      <c r="L4927" t="str">
        <f t="shared" si="228"/>
        <v>NA4QB</v>
      </c>
      <c r="M4927">
        <f>COUNTIF(L$1:L4927,L4927)</f>
        <v>18</v>
      </c>
      <c r="N4927" t="str">
        <f t="shared" si="229"/>
        <v>NA4QB-18</v>
      </c>
      <c r="O4927">
        <f>COUNTIFS(F$1:F4927,F4927,A$1:A4927,A4927)</f>
        <v>33</v>
      </c>
      <c r="P4927" t="str">
        <f t="shared" si="230"/>
        <v>Brian Hoyer4</v>
      </c>
    </row>
    <row r="4928" spans="1:16" x14ac:dyDescent="0.25">
      <c r="A4928">
        <v>5</v>
      </c>
      <c r="B4928" t="s">
        <v>1118</v>
      </c>
      <c r="C4928" t="s">
        <v>8722</v>
      </c>
      <c r="D4928">
        <v>0.99</v>
      </c>
      <c r="E4928" t="s">
        <v>66</v>
      </c>
      <c r="F4928" t="s">
        <v>15</v>
      </c>
      <c r="G4928">
        <v>1.69</v>
      </c>
      <c r="H4928">
        <v>0.28999999999999998</v>
      </c>
      <c r="I4928">
        <v>0.7</v>
      </c>
      <c r="J4928">
        <v>0.49</v>
      </c>
      <c r="K4928" t="str">
        <f>IFERROR(INDEX(Rosters!$C$2:$C$155,MATCH($B4928,Rosters!$B$2:$B$155,0)),"NA")</f>
        <v>NA</v>
      </c>
      <c r="L4928" t="str">
        <f t="shared" si="228"/>
        <v>NA5QB</v>
      </c>
      <c r="M4928">
        <f>COUNTIF(L$1:L4928,L4928)</f>
        <v>21</v>
      </c>
      <c r="N4928" t="str">
        <f t="shared" si="229"/>
        <v>NA5QB-21</v>
      </c>
      <c r="O4928">
        <f>COUNTIFS(F$1:F4928,F4928,A$1:A4928,A4928)</f>
        <v>38</v>
      </c>
      <c r="P4928" t="str">
        <f t="shared" si="230"/>
        <v>Brian Hoyer5</v>
      </c>
    </row>
    <row r="4929" spans="1:16" x14ac:dyDescent="0.25">
      <c r="A4929">
        <v>15</v>
      </c>
      <c r="B4929" t="s">
        <v>1118</v>
      </c>
      <c r="C4929" t="s">
        <v>8723</v>
      </c>
      <c r="D4929">
        <v>0.99</v>
      </c>
      <c r="E4929" t="s">
        <v>51</v>
      </c>
      <c r="F4929" t="s">
        <v>15</v>
      </c>
      <c r="G4929">
        <v>1.67</v>
      </c>
      <c r="H4929">
        <v>0.31</v>
      </c>
      <c r="I4929">
        <v>0.68</v>
      </c>
      <c r="J4929">
        <v>0.46239999999999998</v>
      </c>
      <c r="K4929" t="str">
        <f>IFERROR(INDEX(Rosters!$C$2:$C$155,MATCH($B4929,Rosters!$B$2:$B$155,0)),"NA")</f>
        <v>NA</v>
      </c>
      <c r="L4929" t="str">
        <f t="shared" si="228"/>
        <v>NA15QB</v>
      </c>
      <c r="M4929">
        <f>COUNTIF(L$1:L4929,L4929)</f>
        <v>24</v>
      </c>
      <c r="N4929" t="str">
        <f t="shared" si="229"/>
        <v>NA15QB-24</v>
      </c>
      <c r="O4929">
        <f>COUNTIFS(F$1:F4929,F4929,A$1:A4929,A4929)</f>
        <v>41</v>
      </c>
      <c r="P4929" t="str">
        <f t="shared" si="230"/>
        <v>Brian Hoyer15</v>
      </c>
    </row>
    <row r="4930" spans="1:16" x14ac:dyDescent="0.25">
      <c r="A4930">
        <v>14</v>
      </c>
      <c r="B4930" t="s">
        <v>351</v>
      </c>
      <c r="C4930">
        <f>-0.1-2.08</f>
        <v>-2.1800000000000002</v>
      </c>
      <c r="D4930">
        <v>0.99</v>
      </c>
      <c r="E4930" t="s">
        <v>52</v>
      </c>
      <c r="F4930" t="s">
        <v>47</v>
      </c>
      <c r="G4930">
        <v>2.08</v>
      </c>
      <c r="H4930">
        <v>-0.1</v>
      </c>
      <c r="I4930">
        <v>1.0900000000000001</v>
      </c>
      <c r="J4930">
        <v>1.1880999999999999</v>
      </c>
      <c r="K4930" t="str">
        <f>IFERROR(INDEX(Rosters!$C$2:$C$155,MATCH($B4930,Rosters!$B$2:$B$155,0)),"NA")</f>
        <v>NA</v>
      </c>
      <c r="L4930" t="str">
        <f t="shared" si="228"/>
        <v>NA14RB</v>
      </c>
      <c r="M4930">
        <f>COUNTIF(L$1:L4930,L4930)</f>
        <v>44</v>
      </c>
      <c r="N4930" t="str">
        <f t="shared" si="229"/>
        <v>NA14RB-44</v>
      </c>
      <c r="O4930">
        <f>COUNTIFS(F$1:F4930,F4930,A$1:A4930,A4930)</f>
        <v>91</v>
      </c>
      <c r="P4930" t="str">
        <f t="shared" si="230"/>
        <v>Cameron Artis-Payne14</v>
      </c>
    </row>
    <row r="4931" spans="1:16" x14ac:dyDescent="0.25">
      <c r="A4931">
        <v>15</v>
      </c>
      <c r="B4931" t="s">
        <v>1109</v>
      </c>
      <c r="C4931" t="s">
        <v>3811</v>
      </c>
      <c r="D4931">
        <v>0.99</v>
      </c>
      <c r="E4931" t="s">
        <v>24</v>
      </c>
      <c r="F4931" t="s">
        <v>15</v>
      </c>
      <c r="G4931">
        <v>1.63</v>
      </c>
      <c r="H4931">
        <v>0.35</v>
      </c>
      <c r="I4931">
        <v>0.64</v>
      </c>
      <c r="J4931">
        <v>0.40960000000000002</v>
      </c>
      <c r="K4931" t="str">
        <f>IFERROR(INDEX(Rosters!$C$2:$C$155,MATCH($B4931,Rosters!$B$2:$B$155,0)),"NA")</f>
        <v>NA</v>
      </c>
      <c r="L4931" t="str">
        <f t="shared" ref="L4931:L4994" si="231">K4931&amp;A4931&amp;F4931</f>
        <v>NA15QB</v>
      </c>
      <c r="M4931">
        <f>COUNTIF(L$1:L4931,L4931)</f>
        <v>25</v>
      </c>
      <c r="N4931" t="str">
        <f t="shared" ref="N4931:N4994" si="232">L4931&amp;"-"&amp;M4931</f>
        <v>NA15QB-25</v>
      </c>
      <c r="O4931">
        <f>COUNTIFS(F$1:F4931,F4931,A$1:A4931,A4931)</f>
        <v>42</v>
      </c>
      <c r="P4931" t="str">
        <f t="shared" ref="P4931:P4994" si="233">B4931&amp;A4931</f>
        <v>Geno Smith15</v>
      </c>
    </row>
    <row r="4932" spans="1:16" x14ac:dyDescent="0.25">
      <c r="A4932">
        <v>15</v>
      </c>
      <c r="B4932" t="s">
        <v>1497</v>
      </c>
      <c r="C4932" t="s">
        <v>8724</v>
      </c>
      <c r="D4932">
        <v>0.99</v>
      </c>
      <c r="E4932" t="s">
        <v>22</v>
      </c>
      <c r="F4932" t="s">
        <v>15</v>
      </c>
      <c r="G4932">
        <v>1.52</v>
      </c>
      <c r="H4932">
        <v>0.46</v>
      </c>
      <c r="I4932">
        <v>0.53</v>
      </c>
      <c r="J4932">
        <v>0.28089999999999998</v>
      </c>
      <c r="K4932" t="str">
        <f>IFERROR(INDEX(Rosters!$C$2:$C$155,MATCH($B4932,Rosters!$B$2:$B$155,0)),"NA")</f>
        <v>NA</v>
      </c>
      <c r="L4932" t="str">
        <f t="shared" si="231"/>
        <v>NA15QB</v>
      </c>
      <c r="M4932">
        <f>COUNTIF(L$1:L4932,L4932)</f>
        <v>26</v>
      </c>
      <c r="N4932" t="str">
        <f t="shared" si="232"/>
        <v>NA15QB-26</v>
      </c>
      <c r="O4932">
        <f>COUNTIFS(F$1:F4932,F4932,A$1:A4932,A4932)</f>
        <v>43</v>
      </c>
      <c r="P4932" t="str">
        <f t="shared" si="233"/>
        <v>Jacoby Brissett15</v>
      </c>
    </row>
    <row r="4933" spans="1:16" x14ac:dyDescent="0.25">
      <c r="A4933">
        <v>2</v>
      </c>
      <c r="B4933" t="s">
        <v>88</v>
      </c>
      <c r="C4933" t="s">
        <v>1533</v>
      </c>
      <c r="D4933">
        <v>0.99</v>
      </c>
      <c r="E4933" t="s">
        <v>19</v>
      </c>
      <c r="F4933" t="s">
        <v>15</v>
      </c>
      <c r="G4933">
        <v>1.58</v>
      </c>
      <c r="H4933">
        <v>0.4</v>
      </c>
      <c r="I4933">
        <v>0.59</v>
      </c>
      <c r="J4933">
        <v>0.34810000000000002</v>
      </c>
      <c r="K4933" t="str">
        <f>IFERROR(INDEX(Rosters!$C$2:$C$155,MATCH($B4933,Rosters!$B$2:$B$155,0)),"NA")</f>
        <v>NA</v>
      </c>
      <c r="L4933" t="str">
        <f t="shared" si="231"/>
        <v>NA2QB</v>
      </c>
      <c r="M4933">
        <f>COUNTIF(L$1:L4933,L4933)</f>
        <v>21</v>
      </c>
      <c r="N4933" t="str">
        <f t="shared" si="232"/>
        <v>NA2QB-21</v>
      </c>
      <c r="O4933">
        <f>COUNTIFS(F$1:F4933,F4933,A$1:A4933,A4933)</f>
        <v>37</v>
      </c>
      <c r="P4933" t="str">
        <f t="shared" si="233"/>
        <v>Josh McCown2</v>
      </c>
    </row>
    <row r="4934" spans="1:16" x14ac:dyDescent="0.25">
      <c r="A4934">
        <v>6</v>
      </c>
      <c r="B4934" t="s">
        <v>391</v>
      </c>
      <c r="C4934" t="s">
        <v>8725</v>
      </c>
      <c r="D4934">
        <v>0.99</v>
      </c>
      <c r="E4934" t="s">
        <v>24</v>
      </c>
      <c r="F4934" t="s">
        <v>87</v>
      </c>
      <c r="G4934">
        <v>1.98</v>
      </c>
      <c r="H4934">
        <v>0</v>
      </c>
      <c r="I4934">
        <v>0.99</v>
      </c>
      <c r="J4934">
        <v>0.98009999999999997</v>
      </c>
      <c r="K4934" t="str">
        <f>IFERROR(INDEX(Rosters!$C$2:$C$155,MATCH($B4934,Rosters!$B$2:$B$155,0)),"NA")</f>
        <v>NA</v>
      </c>
      <c r="L4934" t="str">
        <f t="shared" si="231"/>
        <v>NA6WR</v>
      </c>
      <c r="M4934">
        <f>COUNTIF(L$1:L4934,L4934)</f>
        <v>65</v>
      </c>
      <c r="N4934" t="str">
        <f t="shared" si="232"/>
        <v>NA6WR-65</v>
      </c>
      <c r="O4934">
        <f>COUNTIFS(F$1:F4934,F4934,A$1:A4934,A4934)</f>
        <v>115</v>
      </c>
      <c r="P4934" t="str">
        <f t="shared" si="233"/>
        <v>Matt Slater6</v>
      </c>
    </row>
    <row r="4935" spans="1:16" x14ac:dyDescent="0.25">
      <c r="A4935">
        <v>7</v>
      </c>
      <c r="B4935" t="s">
        <v>84</v>
      </c>
      <c r="C4935" t="s">
        <v>1533</v>
      </c>
      <c r="D4935">
        <v>0.99</v>
      </c>
      <c r="E4935" t="s">
        <v>42</v>
      </c>
      <c r="F4935" t="s">
        <v>15</v>
      </c>
      <c r="G4935">
        <v>1.58</v>
      </c>
      <c r="H4935">
        <v>0.4</v>
      </c>
      <c r="I4935">
        <v>0.59</v>
      </c>
      <c r="J4935">
        <v>0.34810000000000002</v>
      </c>
      <c r="K4935" t="str">
        <f>IFERROR(INDEX(Rosters!$C$2:$C$155,MATCH($B4935,Rosters!$B$2:$B$155,0)),"NA")</f>
        <v>NA</v>
      </c>
      <c r="L4935" t="str">
        <f t="shared" si="231"/>
        <v>NA7QB</v>
      </c>
      <c r="M4935">
        <f>COUNTIF(L$1:L4935,L4935)</f>
        <v>20</v>
      </c>
      <c r="N4935" t="str">
        <f t="shared" si="232"/>
        <v>NA7QB-20</v>
      </c>
      <c r="O4935">
        <f>COUNTIFS(F$1:F4935,F4935,A$1:A4935,A4935)</f>
        <v>34</v>
      </c>
      <c r="P4935" t="str">
        <f t="shared" si="233"/>
        <v>Mike Glennon7</v>
      </c>
    </row>
    <row r="4936" spans="1:16" x14ac:dyDescent="0.25">
      <c r="A4936">
        <v>13</v>
      </c>
      <c r="B4936" t="s">
        <v>1499</v>
      </c>
      <c r="C4936">
        <f>-0.09-2.07</f>
        <v>-2.1599999999999997</v>
      </c>
      <c r="D4936">
        <v>0.99</v>
      </c>
      <c r="E4936" t="s">
        <v>14</v>
      </c>
      <c r="F4936" t="s">
        <v>114</v>
      </c>
      <c r="G4936">
        <v>2.0699999999999998</v>
      </c>
      <c r="H4936">
        <v>-0.09</v>
      </c>
      <c r="I4936">
        <v>1.08</v>
      </c>
      <c r="J4936">
        <v>1.1664000000000001</v>
      </c>
      <c r="K4936" t="str">
        <f>IFERROR(INDEX(Rosters!$C$2:$C$155,MATCH($B4936,Rosters!$B$2:$B$155,0)),"NA")</f>
        <v>NA</v>
      </c>
      <c r="L4936" t="str">
        <f t="shared" si="231"/>
        <v>NA13TE</v>
      </c>
      <c r="M4936">
        <f>COUNTIF(L$1:L4936,L4936)</f>
        <v>53</v>
      </c>
      <c r="N4936" t="str">
        <f t="shared" si="232"/>
        <v>NA13TE-53</v>
      </c>
      <c r="O4936">
        <f>COUNTIFS(F$1:F4936,F4936,A$1:A4936,A4936)</f>
        <v>67</v>
      </c>
      <c r="P4936" t="str">
        <f t="shared" si="233"/>
        <v>Rico Gathers13</v>
      </c>
    </row>
    <row r="4937" spans="1:16" x14ac:dyDescent="0.25">
      <c r="A4937">
        <v>3</v>
      </c>
      <c r="B4937" t="s">
        <v>102</v>
      </c>
      <c r="C4937" t="s">
        <v>3812</v>
      </c>
      <c r="D4937">
        <v>0.99</v>
      </c>
      <c r="E4937" t="s">
        <v>29</v>
      </c>
      <c r="F4937" t="s">
        <v>15</v>
      </c>
      <c r="G4937">
        <v>1.64</v>
      </c>
      <c r="H4937">
        <v>0.34</v>
      </c>
      <c r="I4937">
        <v>0.65</v>
      </c>
      <c r="J4937">
        <v>0.42249999999999999</v>
      </c>
      <c r="K4937" t="str">
        <f>IFERROR(INDEX(Rosters!$C$2:$C$155,MATCH($B4937,Rosters!$B$2:$B$155,0)),"NA")</f>
        <v>NA</v>
      </c>
      <c r="L4937" t="str">
        <f t="shared" si="231"/>
        <v>NA3QB</v>
      </c>
      <c r="M4937">
        <f>COUNTIF(L$1:L4937,L4937)</f>
        <v>20</v>
      </c>
      <c r="N4937" t="str">
        <f t="shared" si="232"/>
        <v>NA3QB-20</v>
      </c>
      <c r="O4937">
        <f>COUNTIFS(F$1:F4937,F4937,A$1:A4937,A4937)</f>
        <v>36</v>
      </c>
      <c r="P4937" t="str">
        <f t="shared" si="233"/>
        <v>Trevor Siemian3</v>
      </c>
    </row>
    <row r="4938" spans="1:16" x14ac:dyDescent="0.25">
      <c r="A4938">
        <v>10</v>
      </c>
      <c r="B4938" t="s">
        <v>365</v>
      </c>
      <c r="C4938" t="s">
        <v>8726</v>
      </c>
      <c r="D4938">
        <v>0.98</v>
      </c>
      <c r="E4938" t="s">
        <v>56</v>
      </c>
      <c r="F4938" t="s">
        <v>15</v>
      </c>
      <c r="G4938">
        <v>1.59</v>
      </c>
      <c r="H4938">
        <v>0.37</v>
      </c>
      <c r="I4938">
        <v>0.61</v>
      </c>
      <c r="J4938">
        <v>0.37209999999999999</v>
      </c>
      <c r="K4938" t="str">
        <f>IFERROR(INDEX(Rosters!$C$2:$C$155,MATCH($B4938,Rosters!$B$2:$B$155,0)),"NA")</f>
        <v>NA</v>
      </c>
      <c r="L4938" t="str">
        <f t="shared" si="231"/>
        <v>NA10QB</v>
      </c>
      <c r="M4938">
        <f>COUNTIF(L$1:L4938,L4938)</f>
        <v>18</v>
      </c>
      <c r="N4938" t="str">
        <f t="shared" si="232"/>
        <v>NA10QB-18</v>
      </c>
      <c r="O4938">
        <f>COUNTIFS(F$1:F4938,F4938,A$1:A4938,A4938)</f>
        <v>34</v>
      </c>
      <c r="P4938" t="str">
        <f t="shared" si="233"/>
        <v>Brett Hundley10</v>
      </c>
    </row>
    <row r="4939" spans="1:16" x14ac:dyDescent="0.25">
      <c r="A4939">
        <v>8</v>
      </c>
      <c r="B4939" t="s">
        <v>1118</v>
      </c>
      <c r="C4939" t="s">
        <v>8727</v>
      </c>
      <c r="D4939">
        <v>0.98</v>
      </c>
      <c r="E4939" t="s">
        <v>29</v>
      </c>
      <c r="F4939" t="s">
        <v>15</v>
      </c>
      <c r="G4939">
        <v>1.67</v>
      </c>
      <c r="H4939">
        <v>0.28999999999999998</v>
      </c>
      <c r="I4939">
        <v>0.69</v>
      </c>
      <c r="J4939">
        <v>0.47610000000000002</v>
      </c>
      <c r="K4939" t="str">
        <f>IFERROR(INDEX(Rosters!$C$2:$C$155,MATCH($B4939,Rosters!$B$2:$B$155,0)),"NA")</f>
        <v>NA</v>
      </c>
      <c r="L4939" t="str">
        <f t="shared" si="231"/>
        <v>NA8QB</v>
      </c>
      <c r="M4939">
        <f>COUNTIF(L$1:L4939,L4939)</f>
        <v>22</v>
      </c>
      <c r="N4939" t="str">
        <f t="shared" si="232"/>
        <v>NA8QB-22</v>
      </c>
      <c r="O4939">
        <f>COUNTIFS(F$1:F4939,F4939,A$1:A4939,A4939)</f>
        <v>37</v>
      </c>
      <c r="P4939" t="str">
        <f t="shared" si="233"/>
        <v>Brian Hoyer8</v>
      </c>
    </row>
    <row r="4940" spans="1:16" x14ac:dyDescent="0.25">
      <c r="A4940">
        <v>10</v>
      </c>
      <c r="B4940" t="s">
        <v>351</v>
      </c>
      <c r="C4940">
        <f>-0.01-1.97</f>
        <v>-1.98</v>
      </c>
      <c r="D4940">
        <v>0.98</v>
      </c>
      <c r="E4940" t="s">
        <v>51</v>
      </c>
      <c r="F4940" t="s">
        <v>47</v>
      </c>
      <c r="G4940">
        <v>1.97</v>
      </c>
      <c r="H4940">
        <v>-0.01</v>
      </c>
      <c r="I4940">
        <v>0.99</v>
      </c>
      <c r="J4940">
        <v>0.98009999999999997</v>
      </c>
      <c r="K4940" t="str">
        <f>IFERROR(INDEX(Rosters!$C$2:$C$155,MATCH($B4940,Rosters!$B$2:$B$155,0)),"NA")</f>
        <v>NA</v>
      </c>
      <c r="L4940" t="str">
        <f t="shared" si="231"/>
        <v>NA10RB</v>
      </c>
      <c r="M4940">
        <f>COUNTIF(L$1:L4940,L4940)</f>
        <v>39</v>
      </c>
      <c r="N4940" t="str">
        <f t="shared" si="232"/>
        <v>NA10RB-39</v>
      </c>
      <c r="O4940">
        <f>COUNTIFS(F$1:F4940,F4940,A$1:A4940,A4940)</f>
        <v>78</v>
      </c>
      <c r="P4940" t="str">
        <f t="shared" si="233"/>
        <v>Cameron Artis-Payne10</v>
      </c>
    </row>
    <row r="4941" spans="1:16" x14ac:dyDescent="0.25">
      <c r="A4941">
        <v>1</v>
      </c>
      <c r="B4941" t="s">
        <v>91</v>
      </c>
      <c r="C4941" t="s">
        <v>1713</v>
      </c>
      <c r="D4941">
        <v>0.98</v>
      </c>
      <c r="E4941" t="s">
        <v>72</v>
      </c>
      <c r="F4941" t="s">
        <v>15</v>
      </c>
      <c r="G4941">
        <v>1.62</v>
      </c>
      <c r="H4941">
        <v>0.34</v>
      </c>
      <c r="I4941">
        <v>0.64</v>
      </c>
      <c r="J4941">
        <v>0.40960000000000002</v>
      </c>
      <c r="K4941" t="str">
        <f>IFERROR(INDEX(Rosters!$C$2:$C$155,MATCH($B4941,Rosters!$B$2:$B$155,0)),"NA")</f>
        <v>NA</v>
      </c>
      <c r="L4941" t="str">
        <f t="shared" si="231"/>
        <v>NA1QB</v>
      </c>
      <c r="M4941">
        <f>COUNTIF(L$1:L4941,L4941)</f>
        <v>20</v>
      </c>
      <c r="N4941" t="str">
        <f t="shared" si="232"/>
        <v>NA1QB-20</v>
      </c>
      <c r="O4941">
        <f>COUNTIFS(F$1:F4941,F4941,A$1:A4941,A4941)</f>
        <v>36</v>
      </c>
      <c r="P4941" t="str">
        <f t="shared" si="233"/>
        <v>DeShone Kizer1</v>
      </c>
    </row>
    <row r="4942" spans="1:16" x14ac:dyDescent="0.25">
      <c r="A4942">
        <v>10</v>
      </c>
      <c r="B4942" t="s">
        <v>1109</v>
      </c>
      <c r="C4942" t="s">
        <v>8728</v>
      </c>
      <c r="D4942">
        <v>0.98</v>
      </c>
      <c r="E4942" t="s">
        <v>32</v>
      </c>
      <c r="F4942" t="s">
        <v>15</v>
      </c>
      <c r="G4942">
        <v>1.63</v>
      </c>
      <c r="H4942">
        <v>0.33</v>
      </c>
      <c r="I4942">
        <v>0.65</v>
      </c>
      <c r="J4942">
        <v>0.42249999999999999</v>
      </c>
      <c r="K4942" t="str">
        <f>IFERROR(INDEX(Rosters!$C$2:$C$155,MATCH($B4942,Rosters!$B$2:$B$155,0)),"NA")</f>
        <v>NA</v>
      </c>
      <c r="L4942" t="str">
        <f t="shared" si="231"/>
        <v>NA10QB</v>
      </c>
      <c r="M4942">
        <f>COUNTIF(L$1:L4942,L4942)</f>
        <v>19</v>
      </c>
      <c r="N4942" t="str">
        <f t="shared" si="232"/>
        <v>NA10QB-19</v>
      </c>
      <c r="O4942">
        <f>COUNTIFS(F$1:F4942,F4942,A$1:A4942,A4942)</f>
        <v>35</v>
      </c>
      <c r="P4942" t="str">
        <f t="shared" si="233"/>
        <v>Geno Smith10</v>
      </c>
    </row>
    <row r="4943" spans="1:16" x14ac:dyDescent="0.25">
      <c r="A4943">
        <v>14</v>
      </c>
      <c r="B4943" t="s">
        <v>1497</v>
      </c>
      <c r="C4943" t="s">
        <v>8729</v>
      </c>
      <c r="D4943">
        <v>0.98</v>
      </c>
      <c r="E4943" t="s">
        <v>36</v>
      </c>
      <c r="F4943" t="s">
        <v>15</v>
      </c>
      <c r="G4943">
        <v>1.51</v>
      </c>
      <c r="H4943">
        <v>0.45</v>
      </c>
      <c r="I4943">
        <v>0.53</v>
      </c>
      <c r="J4943">
        <v>0.28089999999999998</v>
      </c>
      <c r="K4943" t="str">
        <f>IFERROR(INDEX(Rosters!$C$2:$C$155,MATCH($B4943,Rosters!$B$2:$B$155,0)),"NA")</f>
        <v>NA</v>
      </c>
      <c r="L4943" t="str">
        <f t="shared" si="231"/>
        <v>NA14QB</v>
      </c>
      <c r="M4943">
        <f>COUNTIF(L$1:L4943,L4943)</f>
        <v>23</v>
      </c>
      <c r="N4943" t="str">
        <f t="shared" si="232"/>
        <v>NA14QB-23</v>
      </c>
      <c r="O4943">
        <f>COUNTIFS(F$1:F4943,F4943,A$1:A4943,A4943)</f>
        <v>40</v>
      </c>
      <c r="P4943" t="str">
        <f t="shared" si="233"/>
        <v>Jacoby Brissett14</v>
      </c>
    </row>
    <row r="4944" spans="1:16" x14ac:dyDescent="0.25">
      <c r="A4944">
        <v>7</v>
      </c>
      <c r="B4944" t="s">
        <v>88</v>
      </c>
      <c r="C4944" t="s">
        <v>8726</v>
      </c>
      <c r="D4944">
        <v>0.98</v>
      </c>
      <c r="E4944" t="s">
        <v>25</v>
      </c>
      <c r="F4944" t="s">
        <v>15</v>
      </c>
      <c r="G4944">
        <v>1.59</v>
      </c>
      <c r="H4944">
        <v>0.37</v>
      </c>
      <c r="I4944">
        <v>0.61</v>
      </c>
      <c r="J4944">
        <v>0.37209999999999999</v>
      </c>
      <c r="K4944" t="str">
        <f>IFERROR(INDEX(Rosters!$C$2:$C$155,MATCH($B4944,Rosters!$B$2:$B$155,0)),"NA")</f>
        <v>NA</v>
      </c>
      <c r="L4944" t="str">
        <f t="shared" si="231"/>
        <v>NA7QB</v>
      </c>
      <c r="M4944">
        <f>COUNTIF(L$1:L4944,L4944)</f>
        <v>21</v>
      </c>
      <c r="N4944" t="str">
        <f t="shared" si="232"/>
        <v>NA7QB-21</v>
      </c>
      <c r="O4944">
        <f>COUNTIFS(F$1:F4944,F4944,A$1:A4944,A4944)</f>
        <v>35</v>
      </c>
      <c r="P4944" t="str">
        <f t="shared" si="233"/>
        <v>Josh McCown7</v>
      </c>
    </row>
    <row r="4945" spans="1:16" x14ac:dyDescent="0.25">
      <c r="A4945">
        <v>10</v>
      </c>
      <c r="B4945" t="s">
        <v>88</v>
      </c>
      <c r="C4945" t="s">
        <v>8730</v>
      </c>
      <c r="D4945">
        <v>0.98</v>
      </c>
      <c r="E4945" t="s">
        <v>29</v>
      </c>
      <c r="F4945" t="s">
        <v>15</v>
      </c>
      <c r="G4945">
        <v>1.55</v>
      </c>
      <c r="H4945">
        <v>0.41</v>
      </c>
      <c r="I4945">
        <v>0.56999999999999995</v>
      </c>
      <c r="J4945">
        <v>0.32490000000000002</v>
      </c>
      <c r="K4945" t="str">
        <f>IFERROR(INDEX(Rosters!$C$2:$C$155,MATCH($B4945,Rosters!$B$2:$B$155,0)),"NA")</f>
        <v>NA</v>
      </c>
      <c r="L4945" t="str">
        <f t="shared" si="231"/>
        <v>NA10QB</v>
      </c>
      <c r="M4945">
        <f>COUNTIF(L$1:L4945,L4945)</f>
        <v>20</v>
      </c>
      <c r="N4945" t="str">
        <f t="shared" si="232"/>
        <v>NA10QB-20</v>
      </c>
      <c r="O4945">
        <f>COUNTIFS(F$1:F4945,F4945,A$1:A4945,A4945)</f>
        <v>36</v>
      </c>
      <c r="P4945" t="str">
        <f t="shared" si="233"/>
        <v>Josh McCown10</v>
      </c>
    </row>
    <row r="4946" spans="1:16" x14ac:dyDescent="0.25">
      <c r="A4946">
        <v>7</v>
      </c>
      <c r="B4946" t="s">
        <v>339</v>
      </c>
      <c r="C4946">
        <f>-0.25-2.21</f>
        <v>-2.46</v>
      </c>
      <c r="D4946">
        <v>0.98</v>
      </c>
      <c r="E4946" t="s">
        <v>56</v>
      </c>
      <c r="F4946" t="s">
        <v>47</v>
      </c>
      <c r="G4946">
        <v>2.21</v>
      </c>
      <c r="H4946">
        <v>-0.25</v>
      </c>
      <c r="I4946">
        <v>1.23</v>
      </c>
      <c r="J4946">
        <v>1.5128999999999999</v>
      </c>
      <c r="K4946" t="str">
        <f>IFERROR(INDEX(Rosters!$C$2:$C$155,MATCH($B4946,Rosters!$B$2:$B$155,0)),"NA")</f>
        <v>NA</v>
      </c>
      <c r="L4946" t="str">
        <f t="shared" si="231"/>
        <v>NA7RB</v>
      </c>
      <c r="M4946">
        <f>COUNTIF(L$1:L4946,L4946)</f>
        <v>35</v>
      </c>
      <c r="N4946" t="str">
        <f t="shared" si="232"/>
        <v>NA7RB-35</v>
      </c>
      <c r="O4946">
        <f>COUNTIFS(F$1:F4946,F4946,A$1:A4946,A4946)</f>
        <v>76</v>
      </c>
      <c r="P4946" t="str">
        <f t="shared" si="233"/>
        <v>Kyle Juszczyk7</v>
      </c>
    </row>
    <row r="4947" spans="1:16" x14ac:dyDescent="0.25">
      <c r="A4947">
        <v>3</v>
      </c>
      <c r="B4947" t="s">
        <v>390</v>
      </c>
      <c r="C4947">
        <f>-0.19-2.15</f>
        <v>-2.34</v>
      </c>
      <c r="D4947">
        <v>0.98</v>
      </c>
      <c r="E4947" t="s">
        <v>17</v>
      </c>
      <c r="F4947" t="s">
        <v>47</v>
      </c>
      <c r="G4947">
        <v>2.15</v>
      </c>
      <c r="H4947">
        <v>-0.19</v>
      </c>
      <c r="I4947">
        <v>1.17</v>
      </c>
      <c r="J4947">
        <v>1.3689</v>
      </c>
      <c r="K4947" t="str">
        <f>IFERROR(INDEX(Rosters!$C$2:$C$155,MATCH($B4947,Rosters!$B$2:$B$155,0)),"NA")</f>
        <v>NA</v>
      </c>
      <c r="L4947" t="str">
        <f t="shared" si="231"/>
        <v>NA3RB</v>
      </c>
      <c r="M4947">
        <f>COUNTIF(L$1:L4947,L4947)</f>
        <v>41</v>
      </c>
      <c r="N4947" t="str">
        <f t="shared" si="232"/>
        <v>NA3RB-41</v>
      </c>
      <c r="O4947">
        <f>COUNTIFS(F$1:F4947,F4947,A$1:A4947,A4947)</f>
        <v>80</v>
      </c>
      <c r="P4947" t="str">
        <f t="shared" si="233"/>
        <v>Roosevelt Nix3</v>
      </c>
    </row>
    <row r="4948" spans="1:16" x14ac:dyDescent="0.25">
      <c r="A4948">
        <v>1</v>
      </c>
      <c r="B4948" t="s">
        <v>276</v>
      </c>
      <c r="C4948" t="s">
        <v>1782</v>
      </c>
      <c r="D4948">
        <v>0.97</v>
      </c>
      <c r="E4948" t="s">
        <v>77</v>
      </c>
      <c r="F4948" t="s">
        <v>87</v>
      </c>
      <c r="G4948">
        <v>1.88</v>
      </c>
      <c r="H4948">
        <v>0.06</v>
      </c>
      <c r="I4948">
        <v>0.91</v>
      </c>
      <c r="J4948">
        <v>0.82809999999999995</v>
      </c>
      <c r="K4948" t="str">
        <f>IFERROR(INDEX(Rosters!$C$2:$C$155,MATCH($B4948,Rosters!$B$2:$B$155,0)),"NA")</f>
        <v>NA</v>
      </c>
      <c r="L4948" t="str">
        <f t="shared" si="231"/>
        <v>NA1WR</v>
      </c>
      <c r="M4948">
        <f>COUNTIF(L$1:L4948,L4948)</f>
        <v>58</v>
      </c>
      <c r="N4948" t="str">
        <f t="shared" si="232"/>
        <v>NA1WR-58</v>
      </c>
      <c r="O4948">
        <f>COUNTIFS(F$1:F4948,F4948,A$1:A4948,A4948)</f>
        <v>107</v>
      </c>
      <c r="P4948" t="str">
        <f t="shared" si="233"/>
        <v>Andre Holmes1</v>
      </c>
    </row>
    <row r="4949" spans="1:16" x14ac:dyDescent="0.25">
      <c r="A4949">
        <v>13</v>
      </c>
      <c r="B4949" t="s">
        <v>1118</v>
      </c>
      <c r="C4949" t="s">
        <v>4663</v>
      </c>
      <c r="D4949">
        <v>0.97</v>
      </c>
      <c r="E4949" t="s">
        <v>25</v>
      </c>
      <c r="F4949" t="s">
        <v>15</v>
      </c>
      <c r="G4949">
        <v>1.59</v>
      </c>
      <c r="H4949">
        <v>0.35</v>
      </c>
      <c r="I4949">
        <v>0.62</v>
      </c>
      <c r="J4949">
        <v>0.38440000000000002</v>
      </c>
      <c r="K4949" t="str">
        <f>IFERROR(INDEX(Rosters!$C$2:$C$155,MATCH($B4949,Rosters!$B$2:$B$155,0)),"NA")</f>
        <v>NA</v>
      </c>
      <c r="L4949" t="str">
        <f t="shared" si="231"/>
        <v>NA13QB</v>
      </c>
      <c r="M4949">
        <f>COUNTIF(L$1:L4949,L4949)</f>
        <v>25</v>
      </c>
      <c r="N4949" t="str">
        <f t="shared" si="232"/>
        <v>NA13QB-25</v>
      </c>
      <c r="O4949">
        <f>COUNTIFS(F$1:F4949,F4949,A$1:A4949,A4949)</f>
        <v>42</v>
      </c>
      <c r="P4949" t="str">
        <f t="shared" si="233"/>
        <v>Brian Hoyer13</v>
      </c>
    </row>
    <row r="4950" spans="1:16" x14ac:dyDescent="0.25">
      <c r="A4950">
        <v>15</v>
      </c>
      <c r="B4950" t="s">
        <v>1543</v>
      </c>
      <c r="C4950" t="s">
        <v>8731</v>
      </c>
      <c r="D4950">
        <v>0.97</v>
      </c>
      <c r="E4950" t="s">
        <v>25</v>
      </c>
      <c r="F4950" t="s">
        <v>15</v>
      </c>
      <c r="G4950">
        <v>1.48</v>
      </c>
      <c r="H4950">
        <v>0.46</v>
      </c>
      <c r="I4950">
        <v>0.51</v>
      </c>
      <c r="J4950">
        <v>0.2601</v>
      </c>
      <c r="K4950" t="str">
        <f>IFERROR(INDEX(Rosters!$C$2:$C$155,MATCH($B4950,Rosters!$B$2:$B$155,0)),"NA")</f>
        <v>NA</v>
      </c>
      <c r="L4950" t="str">
        <f t="shared" si="231"/>
        <v>NA15QB</v>
      </c>
      <c r="M4950">
        <f>COUNTIF(L$1:L4950,L4950)</f>
        <v>27</v>
      </c>
      <c r="N4950" t="str">
        <f t="shared" si="232"/>
        <v>NA15QB-27</v>
      </c>
      <c r="O4950">
        <f>COUNTIFS(F$1:F4950,F4950,A$1:A4950,A4950)</f>
        <v>44</v>
      </c>
      <c r="P4950" t="str">
        <f t="shared" si="233"/>
        <v>David Fales15</v>
      </c>
    </row>
    <row r="4951" spans="1:16" x14ac:dyDescent="0.25">
      <c r="A4951">
        <v>17</v>
      </c>
      <c r="B4951" t="s">
        <v>1543</v>
      </c>
      <c r="C4951" t="s">
        <v>8731</v>
      </c>
      <c r="D4951">
        <v>0.97</v>
      </c>
      <c r="E4951" t="s">
        <v>29</v>
      </c>
      <c r="F4951" t="s">
        <v>15</v>
      </c>
      <c r="G4951">
        <v>1.48</v>
      </c>
      <c r="H4951">
        <v>0.46</v>
      </c>
      <c r="I4951">
        <v>0.51</v>
      </c>
      <c r="J4951">
        <v>0.2601</v>
      </c>
      <c r="K4951" t="str">
        <f>IFERROR(INDEX(Rosters!$C$2:$C$155,MATCH($B4951,Rosters!$B$2:$B$155,0)),"NA")</f>
        <v>NA</v>
      </c>
      <c r="L4951" t="str">
        <f t="shared" si="231"/>
        <v>NA17QB</v>
      </c>
      <c r="M4951">
        <f>COUNTIF(L$1:L4951,L4951)</f>
        <v>21</v>
      </c>
      <c r="N4951" t="str">
        <f t="shared" si="232"/>
        <v>NA17QB-21</v>
      </c>
      <c r="O4951">
        <f>COUNTIFS(F$1:F4951,F4951,A$1:A4951,A4951)</f>
        <v>38</v>
      </c>
      <c r="P4951" t="str">
        <f t="shared" si="233"/>
        <v>David Fales17</v>
      </c>
    </row>
    <row r="4952" spans="1:16" x14ac:dyDescent="0.25">
      <c r="A4952">
        <v>1</v>
      </c>
      <c r="B4952" t="s">
        <v>1524</v>
      </c>
      <c r="C4952">
        <f>-0.64-2.58</f>
        <v>-3.22</v>
      </c>
      <c r="D4952">
        <v>0.97</v>
      </c>
      <c r="E4952" t="s">
        <v>19</v>
      </c>
      <c r="F4952" t="s">
        <v>47</v>
      </c>
      <c r="G4952">
        <v>2.58</v>
      </c>
      <c r="H4952">
        <v>-0.64</v>
      </c>
      <c r="I4952">
        <v>1.61</v>
      </c>
      <c r="J4952">
        <v>2.5920999999999998</v>
      </c>
      <c r="K4952" t="str">
        <f>IFERROR(INDEX(Rosters!$C$2:$C$155,MATCH($B4952,Rosters!$B$2:$B$155,0)),"NA")</f>
        <v>NA</v>
      </c>
      <c r="L4952" t="str">
        <f t="shared" si="231"/>
        <v>NA1RB</v>
      </c>
      <c r="M4952">
        <f>COUNTIF(L$1:L4952,L4952)</f>
        <v>31</v>
      </c>
      <c r="N4952" t="str">
        <f t="shared" si="232"/>
        <v>NA1RB-31</v>
      </c>
      <c r="O4952">
        <f>COUNTIFS(F$1:F4952,F4952,A$1:A4952,A4952)</f>
        <v>73</v>
      </c>
      <c r="P4952" t="str">
        <f t="shared" si="233"/>
        <v>David Fluellen1</v>
      </c>
    </row>
    <row r="4953" spans="1:16" x14ac:dyDescent="0.25">
      <c r="A4953">
        <v>13</v>
      </c>
      <c r="B4953" t="s">
        <v>1524</v>
      </c>
      <c r="C4953">
        <f>-0.05-1.99</f>
        <v>-2.04</v>
      </c>
      <c r="D4953">
        <v>0.97</v>
      </c>
      <c r="E4953" t="s">
        <v>73</v>
      </c>
      <c r="F4953" t="s">
        <v>47</v>
      </c>
      <c r="G4953">
        <v>1.99</v>
      </c>
      <c r="H4953">
        <v>-0.05</v>
      </c>
      <c r="I4953">
        <v>1.02</v>
      </c>
      <c r="J4953">
        <v>1.0404</v>
      </c>
      <c r="K4953" t="str">
        <f>IFERROR(INDEX(Rosters!$C$2:$C$155,MATCH($B4953,Rosters!$B$2:$B$155,0)),"NA")</f>
        <v>NA</v>
      </c>
      <c r="L4953" t="str">
        <f t="shared" si="231"/>
        <v>NA13RB</v>
      </c>
      <c r="M4953">
        <f>COUNTIF(L$1:L4953,L4953)</f>
        <v>43</v>
      </c>
      <c r="N4953" t="str">
        <f t="shared" si="232"/>
        <v>NA13RB-43</v>
      </c>
      <c r="O4953">
        <f>COUNTIFS(F$1:F4953,F4953,A$1:A4953,A4953)</f>
        <v>90</v>
      </c>
      <c r="P4953" t="str">
        <f t="shared" si="233"/>
        <v>David Fluellen13</v>
      </c>
    </row>
    <row r="4954" spans="1:16" x14ac:dyDescent="0.25">
      <c r="A4954">
        <v>10</v>
      </c>
      <c r="B4954" t="s">
        <v>317</v>
      </c>
      <c r="C4954" t="s">
        <v>8732</v>
      </c>
      <c r="D4954">
        <v>0.97</v>
      </c>
      <c r="E4954" t="s">
        <v>32</v>
      </c>
      <c r="F4954" t="s">
        <v>47</v>
      </c>
      <c r="G4954">
        <v>1.85</v>
      </c>
      <c r="H4954">
        <v>0.09</v>
      </c>
      <c r="I4954">
        <v>0.88</v>
      </c>
      <c r="J4954">
        <v>0.77439999999999998</v>
      </c>
      <c r="K4954" t="str">
        <f>IFERROR(INDEX(Rosters!$C$2:$C$155,MATCH($B4954,Rosters!$B$2:$B$155,0)),"NA")</f>
        <v>NA</v>
      </c>
      <c r="L4954" t="str">
        <f t="shared" si="231"/>
        <v>NA10RB</v>
      </c>
      <c r="M4954">
        <f>COUNTIF(L$1:L4954,L4954)</f>
        <v>40</v>
      </c>
      <c r="N4954" t="str">
        <f t="shared" si="232"/>
        <v>NA10RB-40</v>
      </c>
      <c r="O4954">
        <f>COUNTIFS(F$1:F4954,F4954,A$1:A4954,A4954)</f>
        <v>79</v>
      </c>
      <c r="P4954" t="str">
        <f t="shared" si="233"/>
        <v>Derek Watt10</v>
      </c>
    </row>
    <row r="4955" spans="1:16" x14ac:dyDescent="0.25">
      <c r="A4955">
        <v>1</v>
      </c>
      <c r="B4955" t="s">
        <v>1517</v>
      </c>
      <c r="C4955" t="s">
        <v>1534</v>
      </c>
      <c r="D4955">
        <v>0.97</v>
      </c>
      <c r="E4955" t="s">
        <v>50</v>
      </c>
      <c r="F4955" t="s">
        <v>114</v>
      </c>
      <c r="G4955">
        <v>1.81</v>
      </c>
      <c r="H4955">
        <v>0.13</v>
      </c>
      <c r="I4955">
        <v>0.84</v>
      </c>
      <c r="J4955">
        <v>0.7056</v>
      </c>
      <c r="K4955" t="str">
        <f>IFERROR(INDEX(Rosters!$C$2:$C$155,MATCH($B4955,Rosters!$B$2:$B$155,0)),"NA")</f>
        <v>NA</v>
      </c>
      <c r="L4955" t="str">
        <f t="shared" si="231"/>
        <v>NA1TE</v>
      </c>
      <c r="M4955">
        <f>COUNTIF(L$1:L4955,L4955)</f>
        <v>43</v>
      </c>
      <c r="N4955" t="str">
        <f t="shared" si="232"/>
        <v>NA1TE-43</v>
      </c>
      <c r="O4955">
        <f>COUNTIFS(F$1:F4955,F4955,A$1:A4955,A4955)</f>
        <v>56</v>
      </c>
      <c r="P4955" t="str">
        <f t="shared" si="233"/>
        <v>Eric Saubert1</v>
      </c>
    </row>
    <row r="4956" spans="1:16" x14ac:dyDescent="0.25">
      <c r="A4956">
        <v>1</v>
      </c>
      <c r="B4956" t="s">
        <v>88</v>
      </c>
      <c r="C4956" t="s">
        <v>1535</v>
      </c>
      <c r="D4956">
        <v>0.97</v>
      </c>
      <c r="E4956" t="s">
        <v>34</v>
      </c>
      <c r="F4956" t="s">
        <v>15</v>
      </c>
      <c r="G4956">
        <v>1.55</v>
      </c>
      <c r="H4956">
        <v>0.39</v>
      </c>
      <c r="I4956">
        <v>0.57999999999999996</v>
      </c>
      <c r="J4956">
        <v>0.33639999999999998</v>
      </c>
      <c r="K4956" t="str">
        <f>IFERROR(INDEX(Rosters!$C$2:$C$155,MATCH($B4956,Rosters!$B$2:$B$155,0)),"NA")</f>
        <v>NA</v>
      </c>
      <c r="L4956" t="str">
        <f t="shared" si="231"/>
        <v>NA1QB</v>
      </c>
      <c r="M4956">
        <f>COUNTIF(L$1:L4956,L4956)</f>
        <v>21</v>
      </c>
      <c r="N4956" t="str">
        <f t="shared" si="232"/>
        <v>NA1QB-21</v>
      </c>
      <c r="O4956">
        <f>COUNTIFS(F$1:F4956,F4956,A$1:A4956,A4956)</f>
        <v>37</v>
      </c>
      <c r="P4956" t="str">
        <f t="shared" si="233"/>
        <v>Josh McCown1</v>
      </c>
    </row>
    <row r="4957" spans="1:16" x14ac:dyDescent="0.25">
      <c r="A4957">
        <v>12</v>
      </c>
      <c r="B4957" t="s">
        <v>327</v>
      </c>
      <c r="C4957">
        <f>-0.38-2.32</f>
        <v>-2.6999999999999997</v>
      </c>
      <c r="D4957">
        <v>0.97</v>
      </c>
      <c r="E4957" t="s">
        <v>42</v>
      </c>
      <c r="F4957" t="s">
        <v>87</v>
      </c>
      <c r="G4957">
        <v>2.3199999999999998</v>
      </c>
      <c r="H4957">
        <v>-0.38</v>
      </c>
      <c r="I4957">
        <v>1.35</v>
      </c>
      <c r="J4957">
        <v>1.8225</v>
      </c>
      <c r="K4957" t="str">
        <f>IFERROR(INDEX(Rosters!$C$2:$C$155,MATCH($B4957,Rosters!$B$2:$B$155,0)),"NA")</f>
        <v>NA</v>
      </c>
      <c r="L4957" t="str">
        <f t="shared" si="231"/>
        <v>NA12WR</v>
      </c>
      <c r="M4957">
        <f>COUNTIF(L$1:L4957,L4957)</f>
        <v>64</v>
      </c>
      <c r="N4957" t="str">
        <f t="shared" si="232"/>
        <v>NA12WR-64</v>
      </c>
      <c r="O4957">
        <f>COUNTIFS(F$1:F4957,F4957,A$1:A4957,A4957)</f>
        <v>113</v>
      </c>
      <c r="P4957" t="str">
        <f t="shared" si="233"/>
        <v>Justin Hunter12</v>
      </c>
    </row>
    <row r="4958" spans="1:16" x14ac:dyDescent="0.25">
      <c r="A4958">
        <v>1</v>
      </c>
      <c r="B4958" t="s">
        <v>102</v>
      </c>
      <c r="C4958" t="s">
        <v>1536</v>
      </c>
      <c r="D4958">
        <v>0.97</v>
      </c>
      <c r="E4958" t="s">
        <v>30</v>
      </c>
      <c r="F4958" t="s">
        <v>15</v>
      </c>
      <c r="G4958">
        <v>1.57</v>
      </c>
      <c r="H4958">
        <v>0.37</v>
      </c>
      <c r="I4958">
        <v>0.6</v>
      </c>
      <c r="J4958">
        <v>0.36</v>
      </c>
      <c r="K4958" t="str">
        <f>IFERROR(INDEX(Rosters!$C$2:$C$155,MATCH($B4958,Rosters!$B$2:$B$155,0)),"NA")</f>
        <v>NA</v>
      </c>
      <c r="L4958" t="str">
        <f t="shared" si="231"/>
        <v>NA1QB</v>
      </c>
      <c r="M4958">
        <f>COUNTIF(L$1:L4958,L4958)</f>
        <v>22</v>
      </c>
      <c r="N4958" t="str">
        <f t="shared" si="232"/>
        <v>NA1QB-22</v>
      </c>
      <c r="O4958">
        <f>COUNTIFS(F$1:F4958,F4958,A$1:A4958,A4958)</f>
        <v>38</v>
      </c>
      <c r="P4958" t="str">
        <f t="shared" si="233"/>
        <v>Trevor Siemian1</v>
      </c>
    </row>
    <row r="4959" spans="1:16" x14ac:dyDescent="0.25">
      <c r="A4959">
        <v>16</v>
      </c>
      <c r="B4959" t="s">
        <v>8733</v>
      </c>
      <c r="C4959" t="s">
        <v>8734</v>
      </c>
      <c r="D4959">
        <v>0.96</v>
      </c>
      <c r="E4959" t="s">
        <v>36</v>
      </c>
      <c r="F4959" t="s">
        <v>87</v>
      </c>
      <c r="G4959">
        <v>1.87</v>
      </c>
      <c r="H4959">
        <v>0.05</v>
      </c>
      <c r="I4959">
        <v>0.91</v>
      </c>
      <c r="J4959">
        <v>0.82809999999999995</v>
      </c>
      <c r="K4959" t="str">
        <f>IFERROR(INDEX(Rosters!$C$2:$C$155,MATCH($B4959,Rosters!$B$2:$B$155,0)),"NA")</f>
        <v>NA</v>
      </c>
      <c r="L4959" t="str">
        <f t="shared" si="231"/>
        <v>NA16WR</v>
      </c>
      <c r="M4959">
        <f>COUNTIF(L$1:L4959,L4959)</f>
        <v>68</v>
      </c>
      <c r="N4959" t="str">
        <f t="shared" si="232"/>
        <v>NA16WR-68</v>
      </c>
      <c r="O4959">
        <f>COUNTIFS(F$1:F4959,F4959,A$1:A4959,A4959)</f>
        <v>122</v>
      </c>
      <c r="P4959" t="str">
        <f t="shared" si="233"/>
        <v>DeAndre Carter16</v>
      </c>
    </row>
    <row r="4960" spans="1:16" x14ac:dyDescent="0.25">
      <c r="A4960">
        <v>15</v>
      </c>
      <c r="B4960" t="s">
        <v>317</v>
      </c>
      <c r="C4960" t="s">
        <v>8735</v>
      </c>
      <c r="D4960">
        <v>0.96</v>
      </c>
      <c r="E4960" t="s">
        <v>24</v>
      </c>
      <c r="F4960" t="s">
        <v>47</v>
      </c>
      <c r="G4960">
        <v>1.89</v>
      </c>
      <c r="H4960">
        <v>0.03</v>
      </c>
      <c r="I4960">
        <v>0.93</v>
      </c>
      <c r="J4960">
        <v>0.8649</v>
      </c>
      <c r="K4960" t="str">
        <f>IFERROR(INDEX(Rosters!$C$2:$C$155,MATCH($B4960,Rosters!$B$2:$B$155,0)),"NA")</f>
        <v>NA</v>
      </c>
      <c r="L4960" t="str">
        <f t="shared" si="231"/>
        <v>NA15RB</v>
      </c>
      <c r="M4960">
        <f>COUNTIF(L$1:L4960,L4960)</f>
        <v>43</v>
      </c>
      <c r="N4960" t="str">
        <f t="shared" si="232"/>
        <v>NA15RB-43</v>
      </c>
      <c r="O4960">
        <f>COUNTIFS(F$1:F4960,F4960,A$1:A4960,A4960)</f>
        <v>90</v>
      </c>
      <c r="P4960" t="str">
        <f t="shared" si="233"/>
        <v>Derek Watt15</v>
      </c>
    </row>
    <row r="4961" spans="1:16" x14ac:dyDescent="0.25">
      <c r="A4961">
        <v>4</v>
      </c>
      <c r="B4961" t="s">
        <v>91</v>
      </c>
      <c r="C4961" t="s">
        <v>4664</v>
      </c>
      <c r="D4961">
        <v>0.96</v>
      </c>
      <c r="E4961" t="s">
        <v>29</v>
      </c>
      <c r="F4961" t="s">
        <v>15</v>
      </c>
      <c r="G4961">
        <v>1.56</v>
      </c>
      <c r="H4961">
        <v>0.36</v>
      </c>
      <c r="I4961">
        <v>0.6</v>
      </c>
      <c r="J4961">
        <v>0.36</v>
      </c>
      <c r="K4961" t="str">
        <f>IFERROR(INDEX(Rosters!$C$2:$C$155,MATCH($B4961,Rosters!$B$2:$B$155,0)),"NA")</f>
        <v>NA</v>
      </c>
      <c r="L4961" t="str">
        <f t="shared" si="231"/>
        <v>NA4QB</v>
      </c>
      <c r="M4961">
        <f>COUNTIF(L$1:L4961,L4961)</f>
        <v>19</v>
      </c>
      <c r="N4961" t="str">
        <f t="shared" si="232"/>
        <v>NA4QB-19</v>
      </c>
      <c r="O4961">
        <f>COUNTIFS(F$1:F4961,F4961,A$1:A4961,A4961)</f>
        <v>34</v>
      </c>
      <c r="P4961" t="str">
        <f t="shared" si="233"/>
        <v>DeShone Kizer4</v>
      </c>
    </row>
    <row r="4962" spans="1:16" x14ac:dyDescent="0.25">
      <c r="A4962">
        <v>4</v>
      </c>
      <c r="B4962" t="s">
        <v>383</v>
      </c>
      <c r="C4962" t="s">
        <v>5035</v>
      </c>
      <c r="D4962">
        <v>0.96</v>
      </c>
      <c r="E4962" t="s">
        <v>32</v>
      </c>
      <c r="F4962" t="s">
        <v>15</v>
      </c>
      <c r="G4962">
        <v>1.57</v>
      </c>
      <c r="H4962">
        <v>0.35</v>
      </c>
      <c r="I4962">
        <v>0.61</v>
      </c>
      <c r="J4962">
        <v>0.37209999999999999</v>
      </c>
      <c r="K4962" t="str">
        <f>IFERROR(INDEX(Rosters!$C$2:$C$155,MATCH($B4962,Rosters!$B$2:$B$155,0)),"NA")</f>
        <v>NA</v>
      </c>
      <c r="L4962" t="str">
        <f t="shared" si="231"/>
        <v>NA4QB</v>
      </c>
      <c r="M4962">
        <f>COUNTIF(L$1:L4962,L4962)</f>
        <v>20</v>
      </c>
      <c r="N4962" t="str">
        <f t="shared" si="232"/>
        <v>NA4QB-20</v>
      </c>
      <c r="O4962">
        <f>COUNTIFS(F$1:F4962,F4962,A$1:A4962,A4962)</f>
        <v>35</v>
      </c>
      <c r="P4962" t="str">
        <f t="shared" si="233"/>
        <v>Drew Stanton4</v>
      </c>
    </row>
    <row r="4963" spans="1:16" x14ac:dyDescent="0.25">
      <c r="A4963">
        <v>16</v>
      </c>
      <c r="B4963" t="s">
        <v>1618</v>
      </c>
      <c r="C4963" t="s">
        <v>8736</v>
      </c>
      <c r="D4963">
        <v>0.96</v>
      </c>
      <c r="E4963" t="s">
        <v>24</v>
      </c>
      <c r="F4963" t="s">
        <v>47</v>
      </c>
      <c r="G4963">
        <v>1.8</v>
      </c>
      <c r="H4963">
        <v>0.12</v>
      </c>
      <c r="I4963">
        <v>0.84</v>
      </c>
      <c r="J4963">
        <v>0.7056</v>
      </c>
      <c r="K4963" t="str">
        <f>IFERROR(INDEX(Rosters!$C$2:$C$155,MATCH($B4963,Rosters!$B$2:$B$155,0)),"NA")</f>
        <v>NA</v>
      </c>
      <c r="L4963" t="str">
        <f t="shared" si="231"/>
        <v>NA16RB</v>
      </c>
      <c r="M4963">
        <f>COUNTIF(L$1:L4963,L4963)</f>
        <v>43</v>
      </c>
      <c r="N4963" t="str">
        <f t="shared" si="232"/>
        <v>NA16RB-43</v>
      </c>
      <c r="O4963">
        <f>COUNTIFS(F$1:F4963,F4963,A$1:A4963,A4963)</f>
        <v>90</v>
      </c>
      <c r="P4963" t="str">
        <f t="shared" si="233"/>
        <v>Tre Madden16</v>
      </c>
    </row>
    <row r="4964" spans="1:16" x14ac:dyDescent="0.25">
      <c r="A4964">
        <v>4</v>
      </c>
      <c r="B4964" t="s">
        <v>4221</v>
      </c>
      <c r="C4964">
        <f>-0.19-2.09</f>
        <v>-2.2799999999999998</v>
      </c>
      <c r="D4964">
        <v>0.95</v>
      </c>
      <c r="E4964" t="s">
        <v>76</v>
      </c>
      <c r="F4964" t="s">
        <v>114</v>
      </c>
      <c r="G4964">
        <v>2.09</v>
      </c>
      <c r="H4964">
        <v>-0.19</v>
      </c>
      <c r="I4964">
        <v>1.1399999999999999</v>
      </c>
      <c r="J4964">
        <v>1.2996000000000001</v>
      </c>
      <c r="K4964" t="str">
        <f>IFERROR(INDEX(Rosters!$C$2:$C$155,MATCH($B4964,Rosters!$B$2:$B$155,0)),"NA")</f>
        <v>NA</v>
      </c>
      <c r="L4964" t="str">
        <f t="shared" si="231"/>
        <v>NA4TE</v>
      </c>
      <c r="M4964">
        <f>COUNTIF(L$1:L4964,L4964)</f>
        <v>48</v>
      </c>
      <c r="N4964" t="str">
        <f t="shared" si="232"/>
        <v>NA4TE-48</v>
      </c>
      <c r="O4964">
        <f>COUNTIFS(F$1:F4964,F4964,A$1:A4964,A4964)</f>
        <v>59</v>
      </c>
      <c r="P4964" t="str">
        <f t="shared" si="233"/>
        <v>Chris Herndon4</v>
      </c>
    </row>
    <row r="4965" spans="1:16" x14ac:dyDescent="0.25">
      <c r="A4965">
        <v>9</v>
      </c>
      <c r="B4965" t="s">
        <v>1543</v>
      </c>
      <c r="C4965" t="s">
        <v>8737</v>
      </c>
      <c r="D4965">
        <v>0.95</v>
      </c>
      <c r="E4965" t="s">
        <v>73</v>
      </c>
      <c r="F4965" t="s">
        <v>15</v>
      </c>
      <c r="G4965">
        <v>1.44</v>
      </c>
      <c r="H4965">
        <v>0.46</v>
      </c>
      <c r="I4965">
        <v>0.49</v>
      </c>
      <c r="J4965">
        <v>0.24010000000000001</v>
      </c>
      <c r="K4965" t="str">
        <f>IFERROR(INDEX(Rosters!$C$2:$C$155,MATCH($B4965,Rosters!$B$2:$B$155,0)),"NA")</f>
        <v>NA</v>
      </c>
      <c r="L4965" t="str">
        <f t="shared" si="231"/>
        <v>NA9QB</v>
      </c>
      <c r="M4965">
        <f>COUNTIF(L$1:L4965,L4965)</f>
        <v>21</v>
      </c>
      <c r="N4965" t="str">
        <f t="shared" si="232"/>
        <v>NA9QB-21</v>
      </c>
      <c r="O4965">
        <f>COUNTIFS(F$1:F4965,F4965,A$1:A4965,A4965)</f>
        <v>35</v>
      </c>
      <c r="P4965" t="str">
        <f t="shared" si="233"/>
        <v>David Fales9</v>
      </c>
    </row>
    <row r="4966" spans="1:16" x14ac:dyDescent="0.25">
      <c r="A4966">
        <v>13</v>
      </c>
      <c r="B4966" t="s">
        <v>1469</v>
      </c>
      <c r="C4966">
        <f>-0.25-2.15</f>
        <v>-2.4</v>
      </c>
      <c r="D4966">
        <v>0.95</v>
      </c>
      <c r="E4966" t="s">
        <v>34</v>
      </c>
      <c r="F4966" t="s">
        <v>114</v>
      </c>
      <c r="G4966">
        <v>2.15</v>
      </c>
      <c r="H4966">
        <v>-0.25</v>
      </c>
      <c r="I4966">
        <v>1.2</v>
      </c>
      <c r="J4966">
        <v>1.44</v>
      </c>
      <c r="K4966" t="str">
        <f>IFERROR(INDEX(Rosters!$C$2:$C$155,MATCH($B4966,Rosters!$B$2:$B$155,0)),"NA")</f>
        <v>NA</v>
      </c>
      <c r="L4966" t="str">
        <f t="shared" si="231"/>
        <v>NA13TE</v>
      </c>
      <c r="M4966">
        <f>COUNTIF(L$1:L4966,L4966)</f>
        <v>54</v>
      </c>
      <c r="N4966" t="str">
        <f t="shared" si="232"/>
        <v>NA13TE-54</v>
      </c>
      <c r="O4966">
        <f>COUNTIFS(F$1:F4966,F4966,A$1:A4966,A4966)</f>
        <v>68</v>
      </c>
      <c r="P4966" t="str">
        <f t="shared" si="233"/>
        <v>Gerald Everett13</v>
      </c>
    </row>
    <row r="4967" spans="1:16" x14ac:dyDescent="0.25">
      <c r="A4967">
        <v>8</v>
      </c>
      <c r="B4967" t="s">
        <v>1497</v>
      </c>
      <c r="C4967" t="s">
        <v>3813</v>
      </c>
      <c r="D4967">
        <v>0.95</v>
      </c>
      <c r="E4967" t="s">
        <v>32</v>
      </c>
      <c r="F4967" t="s">
        <v>15</v>
      </c>
      <c r="G4967">
        <v>1.49</v>
      </c>
      <c r="H4967">
        <v>0.41</v>
      </c>
      <c r="I4967">
        <v>0.54</v>
      </c>
      <c r="J4967">
        <v>0.29160000000000003</v>
      </c>
      <c r="K4967" t="str">
        <f>IFERROR(INDEX(Rosters!$C$2:$C$155,MATCH($B4967,Rosters!$B$2:$B$155,0)),"NA")</f>
        <v>NA</v>
      </c>
      <c r="L4967" t="str">
        <f t="shared" si="231"/>
        <v>NA8QB</v>
      </c>
      <c r="M4967">
        <f>COUNTIF(L$1:L4967,L4967)</f>
        <v>23</v>
      </c>
      <c r="N4967" t="str">
        <f t="shared" si="232"/>
        <v>NA8QB-23</v>
      </c>
      <c r="O4967">
        <f>COUNTIFS(F$1:F4967,F4967,A$1:A4967,A4967)</f>
        <v>38</v>
      </c>
      <c r="P4967" t="str">
        <f t="shared" si="233"/>
        <v>Jacoby Brissett8</v>
      </c>
    </row>
    <row r="4968" spans="1:16" x14ac:dyDescent="0.25">
      <c r="A4968">
        <v>12</v>
      </c>
      <c r="B4968" t="s">
        <v>1497</v>
      </c>
      <c r="C4968" t="s">
        <v>8738</v>
      </c>
      <c r="D4968">
        <v>0.95</v>
      </c>
      <c r="E4968" t="s">
        <v>19</v>
      </c>
      <c r="F4968" t="s">
        <v>15</v>
      </c>
      <c r="G4968">
        <v>1.48</v>
      </c>
      <c r="H4968">
        <v>0.42</v>
      </c>
      <c r="I4968">
        <v>0.53</v>
      </c>
      <c r="J4968">
        <v>0.28089999999999998</v>
      </c>
      <c r="K4968" t="str">
        <f>IFERROR(INDEX(Rosters!$C$2:$C$155,MATCH($B4968,Rosters!$B$2:$B$155,0)),"NA")</f>
        <v>NA</v>
      </c>
      <c r="L4968" t="str">
        <f t="shared" si="231"/>
        <v>NA12QB</v>
      </c>
      <c r="M4968">
        <f>COUNTIF(L$1:L4968,L4968)</f>
        <v>24</v>
      </c>
      <c r="N4968" t="str">
        <f t="shared" si="232"/>
        <v>NA12QB-24</v>
      </c>
      <c r="O4968">
        <f>COUNTIFS(F$1:F4968,F4968,A$1:A4968,A4968)</f>
        <v>39</v>
      </c>
      <c r="P4968" t="str">
        <f t="shared" si="233"/>
        <v>Jacoby Brissett12</v>
      </c>
    </row>
    <row r="4969" spans="1:16" x14ac:dyDescent="0.25">
      <c r="A4969">
        <v>11</v>
      </c>
      <c r="B4969" t="s">
        <v>359</v>
      </c>
      <c r="C4969" t="s">
        <v>8739</v>
      </c>
      <c r="D4969">
        <v>0.95</v>
      </c>
      <c r="E4969" t="s">
        <v>25</v>
      </c>
      <c r="F4969" t="s">
        <v>87</v>
      </c>
      <c r="G4969">
        <v>1.81</v>
      </c>
      <c r="H4969">
        <v>0.09</v>
      </c>
      <c r="I4969">
        <v>0.86</v>
      </c>
      <c r="J4969">
        <v>0.73960000000000004</v>
      </c>
      <c r="K4969" t="str">
        <f>IFERROR(INDEX(Rosters!$C$2:$C$155,MATCH($B4969,Rosters!$B$2:$B$155,0)),"NA")</f>
        <v>NA</v>
      </c>
      <c r="L4969" t="str">
        <f t="shared" si="231"/>
        <v>NA11WR</v>
      </c>
      <c r="M4969">
        <f>COUNTIF(L$1:L4969,L4969)</f>
        <v>52</v>
      </c>
      <c r="N4969" t="str">
        <f t="shared" si="232"/>
        <v>NA11WR-52</v>
      </c>
      <c r="O4969">
        <f>COUNTIFS(F$1:F4969,F4969,A$1:A4969,A4969)</f>
        <v>99</v>
      </c>
      <c r="P4969" t="str">
        <f t="shared" si="233"/>
        <v>Josh Bellamy11</v>
      </c>
    </row>
    <row r="4970" spans="1:16" x14ac:dyDescent="0.25">
      <c r="A4970">
        <v>3</v>
      </c>
      <c r="B4970" t="s">
        <v>222</v>
      </c>
      <c r="C4970">
        <f>-0.37-2.27</f>
        <v>-2.64</v>
      </c>
      <c r="D4970">
        <v>0.95</v>
      </c>
      <c r="E4970" t="s">
        <v>28</v>
      </c>
      <c r="F4970" t="s">
        <v>87</v>
      </c>
      <c r="G4970">
        <v>2.27</v>
      </c>
      <c r="H4970">
        <v>-0.37</v>
      </c>
      <c r="I4970">
        <v>1.32</v>
      </c>
      <c r="J4970">
        <v>1.7423999999999999</v>
      </c>
      <c r="K4970" t="str">
        <f>IFERROR(INDEX(Rosters!$C$2:$C$155,MATCH($B4970,Rosters!$B$2:$B$155,0)),"NA")</f>
        <v>NA</v>
      </c>
      <c r="L4970" t="str">
        <f t="shared" si="231"/>
        <v>NA3WR</v>
      </c>
      <c r="M4970">
        <f>COUNTIF(L$1:L4970,L4970)</f>
        <v>61</v>
      </c>
      <c r="N4970" t="str">
        <f t="shared" si="232"/>
        <v>NA3WR-61</v>
      </c>
      <c r="O4970">
        <f>COUNTIFS(F$1:F4970,F4970,A$1:A4970,A4970)</f>
        <v>110</v>
      </c>
      <c r="P4970" t="str">
        <f t="shared" si="233"/>
        <v>Terrance Williams3</v>
      </c>
    </row>
    <row r="4971" spans="1:16" x14ac:dyDescent="0.25">
      <c r="A4971">
        <v>17</v>
      </c>
      <c r="B4971" t="s">
        <v>1627</v>
      </c>
      <c r="C4971" t="s">
        <v>8740</v>
      </c>
      <c r="D4971">
        <v>0.94</v>
      </c>
      <c r="E4971" t="s">
        <v>66</v>
      </c>
      <c r="F4971" t="s">
        <v>15</v>
      </c>
      <c r="G4971">
        <v>1.62</v>
      </c>
      <c r="H4971">
        <v>0.26</v>
      </c>
      <c r="I4971">
        <v>0.68</v>
      </c>
      <c r="J4971">
        <v>0.46239999999999998</v>
      </c>
      <c r="K4971" t="str">
        <f>IFERROR(INDEX(Rosters!$C$2:$C$155,MATCH($B4971,Rosters!$B$2:$B$155,0)),"NA")</f>
        <v>NA</v>
      </c>
      <c r="L4971" t="str">
        <f t="shared" si="231"/>
        <v>NA17QB</v>
      </c>
      <c r="M4971">
        <f>COUNTIF(L$1:L4971,L4971)</f>
        <v>22</v>
      </c>
      <c r="N4971" t="str">
        <f t="shared" si="232"/>
        <v>NA17QB-22</v>
      </c>
      <c r="O4971">
        <f>COUNTIFS(F$1:F4971,F4971,A$1:A4971,A4971)</f>
        <v>39</v>
      </c>
      <c r="P4971" t="str">
        <f t="shared" si="233"/>
        <v>Blaine Gabbert17</v>
      </c>
    </row>
    <row r="4972" spans="1:16" x14ac:dyDescent="0.25">
      <c r="A4972">
        <v>3</v>
      </c>
      <c r="B4972" t="s">
        <v>1116</v>
      </c>
      <c r="C4972" t="s">
        <v>3814</v>
      </c>
      <c r="D4972">
        <v>0.94</v>
      </c>
      <c r="E4972" t="s">
        <v>54</v>
      </c>
      <c r="F4972" t="s">
        <v>15</v>
      </c>
      <c r="G4972">
        <v>1.46</v>
      </c>
      <c r="H4972">
        <v>0.42</v>
      </c>
      <c r="I4972">
        <v>0.52</v>
      </c>
      <c r="J4972">
        <v>0.27039999999999997</v>
      </c>
      <c r="K4972" t="str">
        <f>IFERROR(INDEX(Rosters!$C$2:$C$155,MATCH($B4972,Rosters!$B$2:$B$155,0)),"NA")</f>
        <v>NA</v>
      </c>
      <c r="L4972" t="str">
        <f t="shared" si="231"/>
        <v>NA3QB</v>
      </c>
      <c r="M4972">
        <f>COUNTIF(L$1:L4972,L4972)</f>
        <v>21</v>
      </c>
      <c r="N4972" t="str">
        <f t="shared" si="232"/>
        <v>NA3QB-21</v>
      </c>
      <c r="O4972">
        <f>COUNTIFS(F$1:F4972,F4972,A$1:A4972,A4972)</f>
        <v>37</v>
      </c>
      <c r="P4972" t="str">
        <f t="shared" si="233"/>
        <v>Brandon Weeden3</v>
      </c>
    </row>
    <row r="4973" spans="1:16" x14ac:dyDescent="0.25">
      <c r="A4973">
        <v>4</v>
      </c>
      <c r="B4973" t="s">
        <v>2947</v>
      </c>
      <c r="C4973" t="s">
        <v>4665</v>
      </c>
      <c r="D4973">
        <v>0.94</v>
      </c>
      <c r="E4973" t="s">
        <v>31</v>
      </c>
      <c r="F4973" t="s">
        <v>47</v>
      </c>
      <c r="G4973">
        <v>1.72</v>
      </c>
      <c r="H4973">
        <v>0.16</v>
      </c>
      <c r="I4973">
        <v>0.78</v>
      </c>
      <c r="J4973">
        <v>0.60840000000000005</v>
      </c>
      <c r="K4973" t="str">
        <f>IFERROR(INDEX(Rosters!$C$2:$C$155,MATCH($B4973,Rosters!$B$2:$B$155,0)),"NA")</f>
        <v>NA</v>
      </c>
      <c r="L4973" t="str">
        <f t="shared" si="231"/>
        <v>NA4RB</v>
      </c>
      <c r="M4973">
        <f>COUNTIF(L$1:L4973,L4973)</f>
        <v>36</v>
      </c>
      <c r="N4973" t="str">
        <f t="shared" si="232"/>
        <v>NA4RB-36</v>
      </c>
      <c r="O4973">
        <f>COUNTIFS(F$1:F4973,F4973,A$1:A4973,A4973)</f>
        <v>75</v>
      </c>
      <c r="P4973" t="str">
        <f t="shared" si="233"/>
        <v>Brian Hill4</v>
      </c>
    </row>
    <row r="4974" spans="1:16" x14ac:dyDescent="0.25">
      <c r="A4974">
        <v>14</v>
      </c>
      <c r="B4974" t="s">
        <v>1118</v>
      </c>
      <c r="C4974" t="s">
        <v>8741</v>
      </c>
      <c r="D4974">
        <v>0.94</v>
      </c>
      <c r="E4974" t="s">
        <v>19</v>
      </c>
      <c r="F4974" t="s">
        <v>15</v>
      </c>
      <c r="G4974">
        <v>1.64</v>
      </c>
      <c r="H4974">
        <v>0.24</v>
      </c>
      <c r="I4974">
        <v>0.7</v>
      </c>
      <c r="J4974">
        <v>0.49</v>
      </c>
      <c r="K4974" t="str">
        <f>IFERROR(INDEX(Rosters!$C$2:$C$155,MATCH($B4974,Rosters!$B$2:$B$155,0)),"NA")</f>
        <v>NA</v>
      </c>
      <c r="L4974" t="str">
        <f t="shared" si="231"/>
        <v>NA14QB</v>
      </c>
      <c r="M4974">
        <f>COUNTIF(L$1:L4974,L4974)</f>
        <v>24</v>
      </c>
      <c r="N4974" t="str">
        <f t="shared" si="232"/>
        <v>NA14QB-24</v>
      </c>
      <c r="O4974">
        <f>COUNTIFS(F$1:F4974,F4974,A$1:A4974,A4974)</f>
        <v>41</v>
      </c>
      <c r="P4974" t="str">
        <f t="shared" si="233"/>
        <v>Brian Hoyer14</v>
      </c>
    </row>
    <row r="4975" spans="1:16" x14ac:dyDescent="0.25">
      <c r="A4975">
        <v>6</v>
      </c>
      <c r="B4975" t="s">
        <v>1543</v>
      </c>
      <c r="C4975" t="s">
        <v>8742</v>
      </c>
      <c r="D4975">
        <v>0.94</v>
      </c>
      <c r="E4975" t="s">
        <v>72</v>
      </c>
      <c r="F4975" t="s">
        <v>15</v>
      </c>
      <c r="G4975">
        <v>1.43</v>
      </c>
      <c r="H4975">
        <v>0.45</v>
      </c>
      <c r="I4975">
        <v>0.49</v>
      </c>
      <c r="J4975">
        <v>0.24010000000000001</v>
      </c>
      <c r="K4975" t="str">
        <f>IFERROR(INDEX(Rosters!$C$2:$C$155,MATCH($B4975,Rosters!$B$2:$B$155,0)),"NA")</f>
        <v>NA</v>
      </c>
      <c r="L4975" t="str">
        <f t="shared" si="231"/>
        <v>NA6QB</v>
      </c>
      <c r="M4975">
        <f>COUNTIF(L$1:L4975,L4975)</f>
        <v>22</v>
      </c>
      <c r="N4975" t="str">
        <f t="shared" si="232"/>
        <v>NA6QB-22</v>
      </c>
      <c r="O4975">
        <f>COUNTIFS(F$1:F4975,F4975,A$1:A4975,A4975)</f>
        <v>37</v>
      </c>
      <c r="P4975" t="str">
        <f t="shared" si="233"/>
        <v>David Fales6</v>
      </c>
    </row>
    <row r="4976" spans="1:16" x14ac:dyDescent="0.25">
      <c r="A4976">
        <v>5</v>
      </c>
      <c r="B4976" t="s">
        <v>8584</v>
      </c>
      <c r="C4976">
        <f>-0.16-2.04</f>
        <v>-2.2000000000000002</v>
      </c>
      <c r="D4976">
        <v>0.94</v>
      </c>
      <c r="E4976" t="s">
        <v>52</v>
      </c>
      <c r="F4976" t="s">
        <v>47</v>
      </c>
      <c r="G4976">
        <v>2.04</v>
      </c>
      <c r="H4976">
        <v>-0.16</v>
      </c>
      <c r="I4976">
        <v>1.1000000000000001</v>
      </c>
      <c r="J4976">
        <v>1.21</v>
      </c>
      <c r="K4976" t="str">
        <f>IFERROR(INDEX(Rosters!$C$2:$C$155,MATCH($B4976,Rosters!$B$2:$B$155,0)),"NA")</f>
        <v>NA</v>
      </c>
      <c r="L4976" t="str">
        <f t="shared" si="231"/>
        <v>NA5RB</v>
      </c>
      <c r="M4976">
        <f>COUNTIF(L$1:L4976,L4976)</f>
        <v>41</v>
      </c>
      <c r="N4976" t="str">
        <f t="shared" si="232"/>
        <v>NA5RB-41</v>
      </c>
      <c r="O4976">
        <f>COUNTIFS(F$1:F4976,F4976,A$1:A4976,A4976)</f>
        <v>84</v>
      </c>
      <c r="P4976" t="str">
        <f t="shared" si="233"/>
        <v>De'Lance Turner5</v>
      </c>
    </row>
    <row r="4977" spans="1:16" x14ac:dyDescent="0.25">
      <c r="A4977">
        <v>11</v>
      </c>
      <c r="B4977" t="s">
        <v>1109</v>
      </c>
      <c r="C4977" t="s">
        <v>3815</v>
      </c>
      <c r="D4977">
        <v>0.94</v>
      </c>
      <c r="E4977" t="s">
        <v>42</v>
      </c>
      <c r="F4977" t="s">
        <v>15</v>
      </c>
      <c r="G4977">
        <v>1.56</v>
      </c>
      <c r="H4977">
        <v>0.32</v>
      </c>
      <c r="I4977">
        <v>0.62</v>
      </c>
      <c r="J4977">
        <v>0.38440000000000002</v>
      </c>
      <c r="K4977" t="str">
        <f>IFERROR(INDEX(Rosters!$C$2:$C$155,MATCH($B4977,Rosters!$B$2:$B$155,0)),"NA")</f>
        <v>NA</v>
      </c>
      <c r="L4977" t="str">
        <f t="shared" si="231"/>
        <v>NA11QB</v>
      </c>
      <c r="M4977">
        <f>COUNTIF(L$1:L4977,L4977)</f>
        <v>17</v>
      </c>
      <c r="N4977" t="str">
        <f t="shared" si="232"/>
        <v>NA11QB-17</v>
      </c>
      <c r="O4977">
        <f>COUNTIFS(F$1:F4977,F4977,A$1:A4977,A4977)</f>
        <v>32</v>
      </c>
      <c r="P4977" t="str">
        <f t="shared" si="233"/>
        <v>Geno Smith11</v>
      </c>
    </row>
    <row r="4978" spans="1:16" x14ac:dyDescent="0.25">
      <c r="A4978">
        <v>11</v>
      </c>
      <c r="B4978" t="s">
        <v>1497</v>
      </c>
      <c r="C4978" t="s">
        <v>8743</v>
      </c>
      <c r="D4978">
        <v>0.94</v>
      </c>
      <c r="E4978" t="s">
        <v>38</v>
      </c>
      <c r="F4978" t="s">
        <v>15</v>
      </c>
      <c r="G4978">
        <v>1.48</v>
      </c>
      <c r="H4978">
        <v>0.4</v>
      </c>
      <c r="I4978">
        <v>0.54</v>
      </c>
      <c r="J4978">
        <v>0.29160000000000003</v>
      </c>
      <c r="K4978" t="str">
        <f>IFERROR(INDEX(Rosters!$C$2:$C$155,MATCH($B4978,Rosters!$B$2:$B$155,0)),"NA")</f>
        <v>NA</v>
      </c>
      <c r="L4978" t="str">
        <f t="shared" si="231"/>
        <v>NA11QB</v>
      </c>
      <c r="M4978">
        <f>COUNTIF(L$1:L4978,L4978)</f>
        <v>18</v>
      </c>
      <c r="N4978" t="str">
        <f t="shared" si="232"/>
        <v>NA11QB-18</v>
      </c>
      <c r="O4978">
        <f>COUNTIFS(F$1:F4978,F4978,A$1:A4978,A4978)</f>
        <v>33</v>
      </c>
      <c r="P4978" t="str">
        <f t="shared" si="233"/>
        <v>Jacoby Brissett11</v>
      </c>
    </row>
    <row r="4979" spans="1:16" x14ac:dyDescent="0.25">
      <c r="A4979">
        <v>14</v>
      </c>
      <c r="B4979" t="s">
        <v>88</v>
      </c>
      <c r="C4979" t="s">
        <v>8744</v>
      </c>
      <c r="D4979">
        <v>0.94</v>
      </c>
      <c r="E4979" t="s">
        <v>29</v>
      </c>
      <c r="F4979" t="s">
        <v>15</v>
      </c>
      <c r="G4979">
        <v>1.51</v>
      </c>
      <c r="H4979">
        <v>0.37</v>
      </c>
      <c r="I4979">
        <v>0.56999999999999995</v>
      </c>
      <c r="J4979">
        <v>0.32490000000000002</v>
      </c>
      <c r="K4979" t="str">
        <f>IFERROR(INDEX(Rosters!$C$2:$C$155,MATCH($B4979,Rosters!$B$2:$B$155,0)),"NA")</f>
        <v>NA</v>
      </c>
      <c r="L4979" t="str">
        <f t="shared" si="231"/>
        <v>NA14QB</v>
      </c>
      <c r="M4979">
        <f>COUNTIF(L$1:L4979,L4979)</f>
        <v>25</v>
      </c>
      <c r="N4979" t="str">
        <f t="shared" si="232"/>
        <v>NA14QB-25</v>
      </c>
      <c r="O4979">
        <f>COUNTIFS(F$1:F4979,F4979,A$1:A4979,A4979)</f>
        <v>42</v>
      </c>
      <c r="P4979" t="str">
        <f t="shared" si="233"/>
        <v>Josh McCown14</v>
      </c>
    </row>
    <row r="4980" spans="1:16" x14ac:dyDescent="0.25">
      <c r="A4980">
        <v>15</v>
      </c>
      <c r="B4980" t="s">
        <v>144</v>
      </c>
      <c r="C4980">
        <f>-0.26-2.14</f>
        <v>-2.4000000000000004</v>
      </c>
      <c r="D4980">
        <v>0.94</v>
      </c>
      <c r="E4980" t="s">
        <v>74</v>
      </c>
      <c r="F4980" t="s">
        <v>47</v>
      </c>
      <c r="G4980">
        <v>2.14</v>
      </c>
      <c r="H4980">
        <v>-0.26</v>
      </c>
      <c r="I4980">
        <v>1.2</v>
      </c>
      <c r="J4980">
        <v>1.44</v>
      </c>
      <c r="K4980" t="str">
        <f>IFERROR(INDEX(Rosters!$C$2:$C$155,MATCH($B4980,Rosters!$B$2:$B$155,0)),"NA")</f>
        <v>NA</v>
      </c>
      <c r="L4980" t="str">
        <f t="shared" si="231"/>
        <v>NA15RB</v>
      </c>
      <c r="M4980">
        <f>COUNTIF(L$1:L4980,L4980)</f>
        <v>44</v>
      </c>
      <c r="N4980" t="str">
        <f t="shared" si="232"/>
        <v>NA15RB-44</v>
      </c>
      <c r="O4980">
        <f>COUNTIFS(F$1:F4980,F4980,A$1:A4980,A4980)</f>
        <v>91</v>
      </c>
      <c r="P4980" t="str">
        <f t="shared" si="233"/>
        <v>Mike Gillislee15</v>
      </c>
    </row>
    <row r="4981" spans="1:16" x14ac:dyDescent="0.25">
      <c r="A4981">
        <v>17</v>
      </c>
      <c r="B4981" t="s">
        <v>84</v>
      </c>
      <c r="C4981" t="s">
        <v>8745</v>
      </c>
      <c r="D4981">
        <v>0.94</v>
      </c>
      <c r="E4981" t="s">
        <v>28</v>
      </c>
      <c r="F4981" t="s">
        <v>15</v>
      </c>
      <c r="G4981">
        <v>1.54</v>
      </c>
      <c r="H4981">
        <v>0.34</v>
      </c>
      <c r="I4981">
        <v>0.6</v>
      </c>
      <c r="J4981">
        <v>0.36</v>
      </c>
      <c r="K4981" t="str">
        <f>IFERROR(INDEX(Rosters!$C$2:$C$155,MATCH($B4981,Rosters!$B$2:$B$155,0)),"NA")</f>
        <v>NA</v>
      </c>
      <c r="L4981" t="str">
        <f t="shared" si="231"/>
        <v>NA17QB</v>
      </c>
      <c r="M4981">
        <f>COUNTIF(L$1:L4981,L4981)</f>
        <v>23</v>
      </c>
      <c r="N4981" t="str">
        <f t="shared" si="232"/>
        <v>NA17QB-23</v>
      </c>
      <c r="O4981">
        <f>COUNTIFS(F$1:F4981,F4981,A$1:A4981,A4981)</f>
        <v>40</v>
      </c>
      <c r="P4981" t="str">
        <f t="shared" si="233"/>
        <v>Mike Glennon17</v>
      </c>
    </row>
    <row r="4982" spans="1:16" x14ac:dyDescent="0.25">
      <c r="A4982">
        <v>1</v>
      </c>
      <c r="B4982" t="s">
        <v>349</v>
      </c>
      <c r="C4982">
        <f>-1.03-2.91</f>
        <v>-3.9400000000000004</v>
      </c>
      <c r="D4982">
        <v>0.94</v>
      </c>
      <c r="E4982" t="s">
        <v>32</v>
      </c>
      <c r="F4982" t="s">
        <v>87</v>
      </c>
      <c r="G4982">
        <v>2.91</v>
      </c>
      <c r="H4982">
        <v>-1.03</v>
      </c>
      <c r="I4982">
        <v>1.97</v>
      </c>
      <c r="J4982">
        <v>3.8809</v>
      </c>
      <c r="K4982" t="str">
        <f>IFERROR(INDEX(Rosters!$C$2:$C$155,MATCH($B4982,Rosters!$B$2:$B$155,0)),"NA")</f>
        <v>NA</v>
      </c>
      <c r="L4982" t="str">
        <f t="shared" si="231"/>
        <v>NA1WR</v>
      </c>
      <c r="M4982">
        <f>COUNTIF(L$1:L4982,L4982)</f>
        <v>59</v>
      </c>
      <c r="N4982" t="str">
        <f t="shared" si="232"/>
        <v>NA1WR-59</v>
      </c>
      <c r="O4982">
        <f>COUNTIFS(F$1:F4982,F4982,A$1:A4982,A4982)</f>
        <v>108</v>
      </c>
      <c r="P4982" t="str">
        <f t="shared" si="233"/>
        <v>Pharoh Cooper1</v>
      </c>
    </row>
    <row r="4983" spans="1:16" x14ac:dyDescent="0.25">
      <c r="A4983">
        <v>10</v>
      </c>
      <c r="B4983" t="s">
        <v>1499</v>
      </c>
      <c r="C4983">
        <f>-0.12-2</f>
        <v>-2.12</v>
      </c>
      <c r="D4983">
        <v>0.94</v>
      </c>
      <c r="E4983" t="s">
        <v>50</v>
      </c>
      <c r="F4983" t="s">
        <v>114</v>
      </c>
      <c r="G4983">
        <v>2</v>
      </c>
      <c r="H4983">
        <v>-0.12</v>
      </c>
      <c r="I4983">
        <v>1.06</v>
      </c>
      <c r="J4983">
        <v>1.1235999999999999</v>
      </c>
      <c r="K4983" t="str">
        <f>IFERROR(INDEX(Rosters!$C$2:$C$155,MATCH($B4983,Rosters!$B$2:$B$155,0)),"NA")</f>
        <v>NA</v>
      </c>
      <c r="L4983" t="str">
        <f t="shared" si="231"/>
        <v>NA10TE</v>
      </c>
      <c r="M4983">
        <f>COUNTIF(L$1:L4983,L4983)</f>
        <v>45</v>
      </c>
      <c r="N4983" t="str">
        <f t="shared" si="232"/>
        <v>NA10TE-45</v>
      </c>
      <c r="O4983">
        <f>COUNTIFS(F$1:F4983,F4983,A$1:A4983,A4983)</f>
        <v>58</v>
      </c>
      <c r="P4983" t="str">
        <f t="shared" si="233"/>
        <v>Rico Gathers10</v>
      </c>
    </row>
    <row r="4984" spans="1:16" x14ac:dyDescent="0.25">
      <c r="A4984">
        <v>14</v>
      </c>
      <c r="B4984" t="s">
        <v>1499</v>
      </c>
      <c r="C4984">
        <f>-0.12-2</f>
        <v>-2.12</v>
      </c>
      <c r="D4984">
        <v>0.94</v>
      </c>
      <c r="E4984" t="s">
        <v>50</v>
      </c>
      <c r="F4984" t="s">
        <v>114</v>
      </c>
      <c r="G4984">
        <v>2</v>
      </c>
      <c r="H4984">
        <v>-0.12</v>
      </c>
      <c r="I4984">
        <v>1.06</v>
      </c>
      <c r="J4984">
        <v>1.1235999999999999</v>
      </c>
      <c r="K4984" t="str">
        <f>IFERROR(INDEX(Rosters!$C$2:$C$155,MATCH($B4984,Rosters!$B$2:$B$155,0)),"NA")</f>
        <v>NA</v>
      </c>
      <c r="L4984" t="str">
        <f t="shared" si="231"/>
        <v>NA14TE</v>
      </c>
      <c r="M4984">
        <f>COUNTIF(L$1:L4984,L4984)</f>
        <v>54</v>
      </c>
      <c r="N4984" t="str">
        <f t="shared" si="232"/>
        <v>NA14TE-54</v>
      </c>
      <c r="O4984">
        <f>COUNTIFS(F$1:F4984,F4984,A$1:A4984,A4984)</f>
        <v>68</v>
      </c>
      <c r="P4984" t="str">
        <f t="shared" si="233"/>
        <v>Rico Gathers14</v>
      </c>
    </row>
    <row r="4985" spans="1:16" x14ac:dyDescent="0.25">
      <c r="A4985">
        <v>5</v>
      </c>
      <c r="B4985" t="s">
        <v>1123</v>
      </c>
      <c r="C4985" t="s">
        <v>8746</v>
      </c>
      <c r="D4985">
        <v>0.94</v>
      </c>
      <c r="E4985" t="s">
        <v>423</v>
      </c>
      <c r="F4985" t="s">
        <v>47</v>
      </c>
      <c r="G4985">
        <v>1.88</v>
      </c>
      <c r="H4985">
        <v>0</v>
      </c>
      <c r="I4985">
        <v>0.94</v>
      </c>
      <c r="J4985">
        <v>0.88360000000000005</v>
      </c>
      <c r="K4985" t="str">
        <f>IFERROR(INDEX(Rosters!$C$2:$C$155,MATCH($B4985,Rosters!$B$2:$B$155,0)),"NA")</f>
        <v>NA</v>
      </c>
      <c r="L4985" t="str">
        <f t="shared" si="231"/>
        <v>NA5RB</v>
      </c>
      <c r="M4985">
        <f>COUNTIF(L$1:L4985,L4985)</f>
        <v>42</v>
      </c>
      <c r="N4985" t="str">
        <f t="shared" si="232"/>
        <v>NA5RB-42</v>
      </c>
      <c r="O4985">
        <f>COUNTIFS(F$1:F4985,F4985,A$1:A4985,A4985)</f>
        <v>85</v>
      </c>
      <c r="P4985" t="str">
        <f t="shared" si="233"/>
        <v>Robert Turbin5</v>
      </c>
    </row>
    <row r="4986" spans="1:16" x14ac:dyDescent="0.25">
      <c r="A4986">
        <v>5</v>
      </c>
      <c r="B4986" t="s">
        <v>4221</v>
      </c>
      <c r="C4986">
        <f>-0.15-2.01</f>
        <v>-2.1599999999999997</v>
      </c>
      <c r="D4986">
        <v>0.93</v>
      </c>
      <c r="E4986" t="s">
        <v>42</v>
      </c>
      <c r="F4986" t="s">
        <v>114</v>
      </c>
      <c r="G4986">
        <v>2.0099999999999998</v>
      </c>
      <c r="H4986">
        <v>-0.15</v>
      </c>
      <c r="I4986">
        <v>1.08</v>
      </c>
      <c r="J4986">
        <v>1.1664000000000001</v>
      </c>
      <c r="K4986" t="str">
        <f>IFERROR(INDEX(Rosters!$C$2:$C$155,MATCH($B4986,Rosters!$B$2:$B$155,0)),"NA")</f>
        <v>NA</v>
      </c>
      <c r="L4986" t="str">
        <f t="shared" si="231"/>
        <v>NA5TE</v>
      </c>
      <c r="M4986">
        <f>COUNTIF(L$1:L4986,L4986)</f>
        <v>54</v>
      </c>
      <c r="N4986" t="str">
        <f t="shared" si="232"/>
        <v>NA5TE-54</v>
      </c>
      <c r="O4986">
        <f>COUNTIFS(F$1:F4986,F4986,A$1:A4986,A4986)</f>
        <v>65</v>
      </c>
      <c r="P4986" t="str">
        <f t="shared" si="233"/>
        <v>Chris Herndon5</v>
      </c>
    </row>
    <row r="4987" spans="1:16" x14ac:dyDescent="0.25">
      <c r="A4987">
        <v>7</v>
      </c>
      <c r="B4987" t="s">
        <v>744</v>
      </c>
      <c r="C4987" t="s">
        <v>8747</v>
      </c>
      <c r="D4987">
        <v>0.93</v>
      </c>
      <c r="E4987" t="s">
        <v>36</v>
      </c>
      <c r="F4987" t="s">
        <v>15</v>
      </c>
      <c r="G4987">
        <v>1.53</v>
      </c>
      <c r="H4987">
        <v>0.33</v>
      </c>
      <c r="I4987">
        <v>0.6</v>
      </c>
      <c r="J4987">
        <v>0.36</v>
      </c>
      <c r="K4987" t="str">
        <f>IFERROR(INDEX(Rosters!$C$2:$C$155,MATCH($B4987,Rosters!$B$2:$B$155,0)),"NA")</f>
        <v>NA</v>
      </c>
      <c r="L4987" t="str">
        <f t="shared" si="231"/>
        <v>NA7QB</v>
      </c>
      <c r="M4987">
        <f>COUNTIF(L$1:L4987,L4987)</f>
        <v>22</v>
      </c>
      <c r="N4987" t="str">
        <f t="shared" si="232"/>
        <v>NA7QB-22</v>
      </c>
      <c r="O4987">
        <f>COUNTIFS(F$1:F4987,F4987,A$1:A4987,A4987)</f>
        <v>36</v>
      </c>
      <c r="P4987" t="str">
        <f t="shared" si="233"/>
        <v>Cody Kessler7</v>
      </c>
    </row>
    <row r="4988" spans="1:16" x14ac:dyDescent="0.25">
      <c r="A4988">
        <v>17</v>
      </c>
      <c r="B4988" t="s">
        <v>339</v>
      </c>
      <c r="C4988">
        <f>-0.3-2.16</f>
        <v>-2.46</v>
      </c>
      <c r="D4988">
        <v>0.93</v>
      </c>
      <c r="E4988" t="s">
        <v>56</v>
      </c>
      <c r="F4988" t="s">
        <v>47</v>
      </c>
      <c r="G4988">
        <v>2.16</v>
      </c>
      <c r="H4988">
        <v>-0.3</v>
      </c>
      <c r="I4988">
        <v>1.23</v>
      </c>
      <c r="J4988">
        <v>1.5128999999999999</v>
      </c>
      <c r="K4988" t="str">
        <f>IFERROR(INDEX(Rosters!$C$2:$C$155,MATCH($B4988,Rosters!$B$2:$B$155,0)),"NA")</f>
        <v>NA</v>
      </c>
      <c r="L4988" t="str">
        <f t="shared" si="231"/>
        <v>NA17RB</v>
      </c>
      <c r="M4988">
        <f>COUNTIF(L$1:L4988,L4988)</f>
        <v>43</v>
      </c>
      <c r="N4988" t="str">
        <f t="shared" si="232"/>
        <v>NA17RB-43</v>
      </c>
      <c r="O4988">
        <f>COUNTIFS(F$1:F4988,F4988,A$1:A4988,A4988)</f>
        <v>90</v>
      </c>
      <c r="P4988" t="str">
        <f t="shared" si="233"/>
        <v>Kyle Juszczyk17</v>
      </c>
    </row>
    <row r="4989" spans="1:16" x14ac:dyDescent="0.25">
      <c r="A4989">
        <v>9</v>
      </c>
      <c r="B4989" t="s">
        <v>391</v>
      </c>
      <c r="C4989" t="s">
        <v>8748</v>
      </c>
      <c r="D4989">
        <v>0.93</v>
      </c>
      <c r="E4989" t="s">
        <v>41</v>
      </c>
      <c r="F4989" t="s">
        <v>87</v>
      </c>
      <c r="G4989">
        <v>1.84</v>
      </c>
      <c r="H4989">
        <v>0.02</v>
      </c>
      <c r="I4989">
        <v>0.91</v>
      </c>
      <c r="J4989">
        <v>0.82809999999999995</v>
      </c>
      <c r="K4989" t="str">
        <f>IFERROR(INDEX(Rosters!$C$2:$C$155,MATCH($B4989,Rosters!$B$2:$B$155,0)),"NA")</f>
        <v>NA</v>
      </c>
      <c r="L4989" t="str">
        <f t="shared" si="231"/>
        <v>NA9WR</v>
      </c>
      <c r="M4989">
        <f>COUNTIF(L$1:L4989,L4989)</f>
        <v>61</v>
      </c>
      <c r="N4989" t="str">
        <f t="shared" si="232"/>
        <v>NA9WR-61</v>
      </c>
      <c r="O4989">
        <f>COUNTIFS(F$1:F4989,F4989,A$1:A4989,A4989)</f>
        <v>105</v>
      </c>
      <c r="P4989" t="str">
        <f t="shared" si="233"/>
        <v>Matt Slater9</v>
      </c>
    </row>
    <row r="4990" spans="1:16" x14ac:dyDescent="0.25">
      <c r="A4990">
        <v>6</v>
      </c>
      <c r="B4990" t="s">
        <v>84</v>
      </c>
      <c r="C4990" t="s">
        <v>8747</v>
      </c>
      <c r="D4990">
        <v>0.93</v>
      </c>
      <c r="E4990" t="s">
        <v>25</v>
      </c>
      <c r="F4990" t="s">
        <v>15</v>
      </c>
      <c r="G4990">
        <v>1.53</v>
      </c>
      <c r="H4990">
        <v>0.33</v>
      </c>
      <c r="I4990">
        <v>0.6</v>
      </c>
      <c r="J4990">
        <v>0.36</v>
      </c>
      <c r="K4990" t="str">
        <f>IFERROR(INDEX(Rosters!$C$2:$C$155,MATCH($B4990,Rosters!$B$2:$B$155,0)),"NA")</f>
        <v>NA</v>
      </c>
      <c r="L4990" t="str">
        <f t="shared" si="231"/>
        <v>NA6QB</v>
      </c>
      <c r="M4990">
        <f>COUNTIF(L$1:L4990,L4990)</f>
        <v>23</v>
      </c>
      <c r="N4990" t="str">
        <f t="shared" si="232"/>
        <v>NA6QB-23</v>
      </c>
      <c r="O4990">
        <f>COUNTIFS(F$1:F4990,F4990,A$1:A4990,A4990)</f>
        <v>38</v>
      </c>
      <c r="P4990" t="str">
        <f t="shared" si="233"/>
        <v>Mike Glennon6</v>
      </c>
    </row>
    <row r="4991" spans="1:16" x14ac:dyDescent="0.25">
      <c r="A4991">
        <v>16</v>
      </c>
      <c r="B4991" t="s">
        <v>84</v>
      </c>
      <c r="C4991" t="s">
        <v>3816</v>
      </c>
      <c r="D4991">
        <v>0.93</v>
      </c>
      <c r="E4991" t="s">
        <v>56</v>
      </c>
      <c r="F4991" t="s">
        <v>15</v>
      </c>
      <c r="G4991">
        <v>1.48</v>
      </c>
      <c r="H4991">
        <v>0.38</v>
      </c>
      <c r="I4991">
        <v>0.55000000000000004</v>
      </c>
      <c r="J4991">
        <v>0.30249999999999999</v>
      </c>
      <c r="K4991" t="str">
        <f>IFERROR(INDEX(Rosters!$C$2:$C$155,MATCH($B4991,Rosters!$B$2:$B$155,0)),"NA")</f>
        <v>NA</v>
      </c>
      <c r="L4991" t="str">
        <f t="shared" si="231"/>
        <v>NA16QB</v>
      </c>
      <c r="M4991">
        <f>COUNTIF(L$1:L4991,L4991)</f>
        <v>24</v>
      </c>
      <c r="N4991" t="str">
        <f t="shared" si="232"/>
        <v>NA16QB-24</v>
      </c>
      <c r="O4991">
        <f>COUNTIFS(F$1:F4991,F4991,A$1:A4991,A4991)</f>
        <v>41</v>
      </c>
      <c r="P4991" t="str">
        <f t="shared" si="233"/>
        <v>Mike Glennon16</v>
      </c>
    </row>
    <row r="4992" spans="1:16" x14ac:dyDescent="0.25">
      <c r="A4992">
        <v>3</v>
      </c>
      <c r="B4992" t="s">
        <v>1540</v>
      </c>
      <c r="C4992" t="s">
        <v>3817</v>
      </c>
      <c r="D4992">
        <v>0.93</v>
      </c>
      <c r="E4992" t="s">
        <v>17</v>
      </c>
      <c r="F4992" t="s">
        <v>87</v>
      </c>
      <c r="G4992">
        <v>1.8</v>
      </c>
      <c r="H4992">
        <v>0.06</v>
      </c>
      <c r="I4992">
        <v>0.87</v>
      </c>
      <c r="J4992">
        <v>0.75690000000000002</v>
      </c>
      <c r="K4992" t="str">
        <f>IFERROR(INDEX(Rosters!$C$2:$C$155,MATCH($B4992,Rosters!$B$2:$B$155,0)),"NA")</f>
        <v>NA</v>
      </c>
      <c r="L4992" t="str">
        <f t="shared" si="231"/>
        <v>NA3WR</v>
      </c>
      <c r="M4992">
        <f>COUNTIF(L$1:L4992,L4992)</f>
        <v>62</v>
      </c>
      <c r="N4992" t="str">
        <f t="shared" si="232"/>
        <v>NA3WR-62</v>
      </c>
      <c r="O4992">
        <f>COUNTIFS(F$1:F4992,F4992,A$1:A4992,A4992)</f>
        <v>111</v>
      </c>
      <c r="P4992" t="str">
        <f t="shared" si="233"/>
        <v>Ryan Switzer3</v>
      </c>
    </row>
    <row r="4993" spans="1:16" x14ac:dyDescent="0.25">
      <c r="A4993">
        <v>11</v>
      </c>
      <c r="B4993" t="s">
        <v>347</v>
      </c>
      <c r="C4993" t="s">
        <v>8749</v>
      </c>
      <c r="D4993">
        <v>0.93</v>
      </c>
      <c r="E4993" t="s">
        <v>24</v>
      </c>
      <c r="F4993" t="s">
        <v>15</v>
      </c>
      <c r="G4993">
        <v>1.62</v>
      </c>
      <c r="H4993">
        <v>0.24</v>
      </c>
      <c r="I4993">
        <v>0.69</v>
      </c>
      <c r="J4993">
        <v>0.47610000000000002</v>
      </c>
      <c r="K4993" t="str">
        <f>IFERROR(INDEX(Rosters!$C$2:$C$155,MATCH($B4993,Rosters!$B$2:$B$155,0)),"NA")</f>
        <v>NA</v>
      </c>
      <c r="L4993" t="str">
        <f t="shared" si="231"/>
        <v>NA11QB</v>
      </c>
      <c r="M4993">
        <f>COUNTIF(L$1:L4993,L4993)</f>
        <v>19</v>
      </c>
      <c r="N4993" t="str">
        <f t="shared" si="232"/>
        <v>NA11QB-19</v>
      </c>
      <c r="O4993">
        <f>COUNTIFS(F$1:F4993,F4993,A$1:A4993,A4993)</f>
        <v>34</v>
      </c>
      <c r="P4993" t="str">
        <f t="shared" si="233"/>
        <v>Sean Mannion11</v>
      </c>
    </row>
    <row r="4994" spans="1:16" x14ac:dyDescent="0.25">
      <c r="A4994">
        <v>17</v>
      </c>
      <c r="B4994" t="s">
        <v>347</v>
      </c>
      <c r="C4994" t="s">
        <v>8750</v>
      </c>
      <c r="D4994">
        <v>0.93</v>
      </c>
      <c r="E4994" t="s">
        <v>30</v>
      </c>
      <c r="F4994" t="s">
        <v>15</v>
      </c>
      <c r="G4994">
        <v>1.58</v>
      </c>
      <c r="H4994">
        <v>0.28000000000000003</v>
      </c>
      <c r="I4994">
        <v>0.65</v>
      </c>
      <c r="J4994">
        <v>0.42249999999999999</v>
      </c>
      <c r="K4994" t="str">
        <f>IFERROR(INDEX(Rosters!$C$2:$C$155,MATCH($B4994,Rosters!$B$2:$B$155,0)),"NA")</f>
        <v>NA</v>
      </c>
      <c r="L4994" t="str">
        <f t="shared" si="231"/>
        <v>NA17QB</v>
      </c>
      <c r="M4994">
        <f>COUNTIF(L$1:L4994,L4994)</f>
        <v>24</v>
      </c>
      <c r="N4994" t="str">
        <f t="shared" si="232"/>
        <v>NA17QB-24</v>
      </c>
      <c r="O4994">
        <f>COUNTIFS(F$1:F4994,F4994,A$1:A4994,A4994)</f>
        <v>41</v>
      </c>
      <c r="P4994" t="str">
        <f t="shared" si="233"/>
        <v>Sean Mannion17</v>
      </c>
    </row>
    <row r="4995" spans="1:16" x14ac:dyDescent="0.25">
      <c r="A4995">
        <v>6</v>
      </c>
      <c r="B4995" t="s">
        <v>1618</v>
      </c>
      <c r="C4995" t="s">
        <v>8751</v>
      </c>
      <c r="D4995">
        <v>0.93</v>
      </c>
      <c r="E4995" t="s">
        <v>32</v>
      </c>
      <c r="F4995" t="s">
        <v>47</v>
      </c>
      <c r="G4995">
        <v>1.82</v>
      </c>
      <c r="H4995">
        <v>0.04</v>
      </c>
      <c r="I4995">
        <v>0.89</v>
      </c>
      <c r="J4995">
        <v>0.79210000000000003</v>
      </c>
      <c r="K4995" t="str">
        <f>IFERROR(INDEX(Rosters!$C$2:$C$155,MATCH($B4995,Rosters!$B$2:$B$155,0)),"NA")</f>
        <v>NA</v>
      </c>
      <c r="L4995" t="str">
        <f t="shared" ref="L4995:L5058" si="234">K4995&amp;A4995&amp;F4995</f>
        <v>NA6RB</v>
      </c>
      <c r="M4995">
        <f>COUNTIF(L$1:L4995,L4995)</f>
        <v>40</v>
      </c>
      <c r="N4995" t="str">
        <f t="shared" ref="N4995:N5058" si="235">L4995&amp;"-"&amp;M4995</f>
        <v>NA6RB-40</v>
      </c>
      <c r="O4995">
        <f>COUNTIFS(F$1:F4995,F4995,A$1:A4995,A4995)</f>
        <v>82</v>
      </c>
      <c r="P4995" t="str">
        <f t="shared" ref="P4995:P5058" si="236">B4995&amp;A4995</f>
        <v>Tre Madden6</v>
      </c>
    </row>
    <row r="4996" spans="1:16" x14ac:dyDescent="0.25">
      <c r="A4996">
        <v>4</v>
      </c>
      <c r="B4996" t="s">
        <v>239</v>
      </c>
      <c r="C4996">
        <f>-0.39-2.23</f>
        <v>-2.62</v>
      </c>
      <c r="D4996">
        <v>0.92</v>
      </c>
      <c r="E4996" t="s">
        <v>46</v>
      </c>
      <c r="F4996" t="s">
        <v>87</v>
      </c>
      <c r="G4996">
        <v>2.23</v>
      </c>
      <c r="H4996">
        <v>-0.39</v>
      </c>
      <c r="I4996">
        <v>1.31</v>
      </c>
      <c r="J4996">
        <v>1.7161</v>
      </c>
      <c r="K4996" t="str">
        <f>IFERROR(INDEX(Rosters!$C$2:$C$155,MATCH($B4996,Rosters!$B$2:$B$155,0)),"NA")</f>
        <v>NA</v>
      </c>
      <c r="L4996" t="str">
        <f t="shared" si="234"/>
        <v>NA4WR</v>
      </c>
      <c r="M4996">
        <f>COUNTIF(L$1:L4996,L4996)</f>
        <v>54</v>
      </c>
      <c r="N4996" t="str">
        <f t="shared" si="235"/>
        <v>NA4WR-54</v>
      </c>
      <c r="O4996">
        <f>COUNTIFS(F$1:F4996,F4996,A$1:A4996,A4996)</f>
        <v>104</v>
      </c>
      <c r="P4996" t="str">
        <f t="shared" si="236"/>
        <v>John Ross4</v>
      </c>
    </row>
    <row r="4997" spans="1:16" x14ac:dyDescent="0.25">
      <c r="A4997">
        <v>11</v>
      </c>
      <c r="B4997" t="s">
        <v>4612</v>
      </c>
      <c r="C4997">
        <f>-0.06-1.9</f>
        <v>-1.96</v>
      </c>
      <c r="D4997">
        <v>0.92</v>
      </c>
      <c r="E4997" t="s">
        <v>24</v>
      </c>
      <c r="F4997" t="s">
        <v>87</v>
      </c>
      <c r="G4997">
        <v>1.9</v>
      </c>
      <c r="H4997">
        <v>-0.06</v>
      </c>
      <c r="I4997">
        <v>0.98</v>
      </c>
      <c r="J4997">
        <v>0.96040000000000003</v>
      </c>
      <c r="K4997" t="str">
        <f>IFERROR(INDEX(Rosters!$C$2:$C$155,MATCH($B4997,Rosters!$B$2:$B$155,0)),"NA")</f>
        <v>NA</v>
      </c>
      <c r="L4997" t="str">
        <f t="shared" si="234"/>
        <v>NA11WR</v>
      </c>
      <c r="M4997">
        <f>COUNTIF(L$1:L4997,L4997)</f>
        <v>53</v>
      </c>
      <c r="N4997" t="str">
        <f t="shared" si="235"/>
        <v>NA11WR-53</v>
      </c>
      <c r="O4997">
        <f>COUNTIFS(F$1:F4997,F4997,A$1:A4997,A4997)</f>
        <v>100</v>
      </c>
      <c r="P4997" t="str">
        <f t="shared" si="236"/>
        <v>Khadarel Hodge11</v>
      </c>
    </row>
    <row r="4998" spans="1:16" x14ac:dyDescent="0.25">
      <c r="A4998">
        <v>7</v>
      </c>
      <c r="B4998" t="s">
        <v>4238</v>
      </c>
      <c r="C4998">
        <f>-0.15-1.99</f>
        <v>-2.14</v>
      </c>
      <c r="D4998">
        <v>0.92</v>
      </c>
      <c r="E4998" t="s">
        <v>31</v>
      </c>
      <c r="F4998" t="s">
        <v>87</v>
      </c>
      <c r="G4998">
        <v>1.99</v>
      </c>
      <c r="H4998">
        <v>-0.15</v>
      </c>
      <c r="I4998">
        <v>1.07</v>
      </c>
      <c r="J4998">
        <v>1.1449</v>
      </c>
      <c r="K4998" t="str">
        <f>IFERROR(INDEX(Rosters!$C$2:$C$155,MATCH($B4998,Rosters!$B$2:$B$155,0)),"NA")</f>
        <v>NA</v>
      </c>
      <c r="L4998" t="str">
        <f t="shared" si="234"/>
        <v>NA7WR</v>
      </c>
      <c r="M4998">
        <f>COUNTIF(L$1:L4998,L4998)</f>
        <v>61</v>
      </c>
      <c r="N4998" t="str">
        <f t="shared" si="235"/>
        <v>NA7WR-61</v>
      </c>
      <c r="O4998">
        <f>COUNTIFS(F$1:F4998,F4998,A$1:A4998,A4998)</f>
        <v>106</v>
      </c>
      <c r="P4998" t="str">
        <f t="shared" si="236"/>
        <v>Marcus Kemp7</v>
      </c>
    </row>
    <row r="4999" spans="1:16" x14ac:dyDescent="0.25">
      <c r="A4999">
        <v>16</v>
      </c>
      <c r="B4999" t="s">
        <v>1499</v>
      </c>
      <c r="C4999">
        <f>-0.05-1.89</f>
        <v>-1.94</v>
      </c>
      <c r="D4999">
        <v>0.92</v>
      </c>
      <c r="E4999" t="s">
        <v>17</v>
      </c>
      <c r="F4999" t="s">
        <v>114</v>
      </c>
      <c r="G4999">
        <v>1.89</v>
      </c>
      <c r="H4999">
        <v>-0.05</v>
      </c>
      <c r="I4999">
        <v>0.97</v>
      </c>
      <c r="J4999">
        <v>0.94089999999999996</v>
      </c>
      <c r="K4999" t="str">
        <f>IFERROR(INDEX(Rosters!$C$2:$C$155,MATCH($B4999,Rosters!$B$2:$B$155,0)),"NA")</f>
        <v>NA</v>
      </c>
      <c r="L4999" t="str">
        <f t="shared" si="234"/>
        <v>NA16TE</v>
      </c>
      <c r="M4999">
        <f>COUNTIF(L$1:L4999,L4999)</f>
        <v>54</v>
      </c>
      <c r="N4999" t="str">
        <f t="shared" si="235"/>
        <v>NA16TE-54</v>
      </c>
      <c r="O4999">
        <f>COUNTIFS(F$1:F4999,F4999,A$1:A4999,A4999)</f>
        <v>68</v>
      </c>
      <c r="P4999" t="str">
        <f t="shared" si="236"/>
        <v>Rico Gathers16</v>
      </c>
    </row>
    <row r="5000" spans="1:16" x14ac:dyDescent="0.25">
      <c r="A5000">
        <v>2</v>
      </c>
      <c r="B5000" t="s">
        <v>390</v>
      </c>
      <c r="C5000">
        <f>-0.43-2.27</f>
        <v>-2.7</v>
      </c>
      <c r="D5000">
        <v>0.92</v>
      </c>
      <c r="E5000" t="s">
        <v>24</v>
      </c>
      <c r="F5000" t="s">
        <v>47</v>
      </c>
      <c r="G5000">
        <v>2.27</v>
      </c>
      <c r="H5000">
        <v>-0.43</v>
      </c>
      <c r="I5000">
        <v>1.35</v>
      </c>
      <c r="J5000">
        <v>1.8225</v>
      </c>
      <c r="K5000" t="str">
        <f>IFERROR(INDEX(Rosters!$C$2:$C$155,MATCH($B5000,Rosters!$B$2:$B$155,0)),"NA")</f>
        <v>NA</v>
      </c>
      <c r="L5000" t="str">
        <f t="shared" si="234"/>
        <v>NA2RB</v>
      </c>
      <c r="M5000">
        <f>COUNTIF(L$1:L5000,L5000)</f>
        <v>33</v>
      </c>
      <c r="N5000" t="str">
        <f t="shared" si="235"/>
        <v>NA2RB-33</v>
      </c>
      <c r="O5000">
        <f>COUNTIFS(F$1:F5000,F5000,A$1:A5000,A5000)</f>
        <v>75</v>
      </c>
      <c r="P5000" t="str">
        <f t="shared" si="236"/>
        <v>Roosevelt Nix2</v>
      </c>
    </row>
    <row r="5001" spans="1:16" x14ac:dyDescent="0.25">
      <c r="A5001">
        <v>1</v>
      </c>
      <c r="B5001" t="s">
        <v>1131</v>
      </c>
      <c r="C5001">
        <f>-0.6-2.44</f>
        <v>-3.04</v>
      </c>
      <c r="D5001">
        <v>0.92</v>
      </c>
      <c r="E5001" t="s">
        <v>423</v>
      </c>
      <c r="F5001" t="s">
        <v>47</v>
      </c>
      <c r="G5001">
        <v>2.44</v>
      </c>
      <c r="H5001">
        <v>-0.6</v>
      </c>
      <c r="I5001">
        <v>1.52</v>
      </c>
      <c r="J5001">
        <v>2.3104</v>
      </c>
      <c r="K5001" t="str">
        <f>IFERROR(INDEX(Rosters!$C$2:$C$155,MATCH($B5001,Rosters!$B$2:$B$155,0)),"NA")</f>
        <v>NA</v>
      </c>
      <c r="L5001" t="str">
        <f t="shared" si="234"/>
        <v>NA1RB</v>
      </c>
      <c r="M5001">
        <f>COUNTIF(L$1:L5001,L5001)</f>
        <v>32</v>
      </c>
      <c r="N5001" t="str">
        <f t="shared" si="235"/>
        <v>NA1RB-32</v>
      </c>
      <c r="O5001">
        <f>COUNTIFS(F$1:F5001,F5001,A$1:A5001,A5001)</f>
        <v>74</v>
      </c>
      <c r="P5001" t="str">
        <f t="shared" si="236"/>
        <v>Tyler Ervin1</v>
      </c>
    </row>
    <row r="5002" spans="1:16" x14ac:dyDescent="0.25">
      <c r="A5002">
        <v>10</v>
      </c>
      <c r="B5002" t="s">
        <v>1118</v>
      </c>
      <c r="C5002" t="s">
        <v>8752</v>
      </c>
      <c r="D5002">
        <v>0.91</v>
      </c>
      <c r="E5002" t="s">
        <v>38</v>
      </c>
      <c r="F5002" t="s">
        <v>15</v>
      </c>
      <c r="G5002">
        <v>1.59</v>
      </c>
      <c r="H5002">
        <v>0.23</v>
      </c>
      <c r="I5002">
        <v>0.68</v>
      </c>
      <c r="J5002">
        <v>0.46239999999999998</v>
      </c>
      <c r="K5002" t="str">
        <f>IFERROR(INDEX(Rosters!$C$2:$C$155,MATCH($B5002,Rosters!$B$2:$B$155,0)),"NA")</f>
        <v>NA</v>
      </c>
      <c r="L5002" t="str">
        <f t="shared" si="234"/>
        <v>NA10QB</v>
      </c>
      <c r="M5002">
        <f>COUNTIF(L$1:L5002,L5002)</f>
        <v>21</v>
      </c>
      <c r="N5002" t="str">
        <f t="shared" si="235"/>
        <v>NA10QB-21</v>
      </c>
      <c r="O5002">
        <f>COUNTIFS(F$1:F5002,F5002,A$1:A5002,A5002)</f>
        <v>37</v>
      </c>
      <c r="P5002" t="str">
        <f t="shared" si="236"/>
        <v>Brian Hoyer10</v>
      </c>
    </row>
    <row r="5003" spans="1:16" x14ac:dyDescent="0.25">
      <c r="A5003">
        <v>12</v>
      </c>
      <c r="B5003" t="s">
        <v>2661</v>
      </c>
      <c r="C5003" t="s">
        <v>8753</v>
      </c>
      <c r="D5003">
        <v>0.91</v>
      </c>
      <c r="E5003" t="s">
        <v>60</v>
      </c>
      <c r="F5003" t="s">
        <v>87</v>
      </c>
      <c r="G5003">
        <v>1.76</v>
      </c>
      <c r="H5003">
        <v>0.06</v>
      </c>
      <c r="I5003">
        <v>0.85</v>
      </c>
      <c r="J5003">
        <v>0.72250000000000003</v>
      </c>
      <c r="K5003" t="str">
        <f>IFERROR(INDEX(Rosters!$C$2:$C$155,MATCH($B5003,Rosters!$B$2:$B$155,0)),"NA")</f>
        <v>NA</v>
      </c>
      <c r="L5003" t="str">
        <f t="shared" si="234"/>
        <v>NA12WR</v>
      </c>
      <c r="M5003">
        <f>COUNTIF(L$1:L5003,L5003)</f>
        <v>65</v>
      </c>
      <c r="N5003" t="str">
        <f t="shared" si="235"/>
        <v>NA12WR-65</v>
      </c>
      <c r="O5003">
        <f>COUNTIFS(F$1:F5003,F5003,A$1:A5003,A5003)</f>
        <v>114</v>
      </c>
      <c r="P5003" t="str">
        <f t="shared" si="236"/>
        <v>Brice Butler12</v>
      </c>
    </row>
    <row r="5004" spans="1:16" x14ac:dyDescent="0.25">
      <c r="A5004">
        <v>4</v>
      </c>
      <c r="B5004" t="s">
        <v>384</v>
      </c>
      <c r="C5004" t="s">
        <v>3818</v>
      </c>
      <c r="D5004">
        <v>0.91</v>
      </c>
      <c r="E5004" t="s">
        <v>17</v>
      </c>
      <c r="F5004" t="s">
        <v>15</v>
      </c>
      <c r="G5004">
        <v>1.51</v>
      </c>
      <c r="H5004">
        <v>0.31</v>
      </c>
      <c r="I5004">
        <v>0.6</v>
      </c>
      <c r="J5004">
        <v>0.36</v>
      </c>
      <c r="K5004" t="str">
        <f>IFERROR(INDEX(Rosters!$C$2:$C$155,MATCH($B5004,Rosters!$B$2:$B$155,0)),"NA")</f>
        <v>NA</v>
      </c>
      <c r="L5004" t="str">
        <f t="shared" si="234"/>
        <v>NA4QB</v>
      </c>
      <c r="M5004">
        <f>COUNTIF(L$1:L5004,L5004)</f>
        <v>21</v>
      </c>
      <c r="N5004" t="str">
        <f t="shared" si="235"/>
        <v>NA4QB-21</v>
      </c>
      <c r="O5004">
        <f>COUNTIFS(F$1:F5004,F5004,A$1:A5004,A5004)</f>
        <v>36</v>
      </c>
      <c r="P5004" t="str">
        <f t="shared" si="236"/>
        <v>Chase Daniel4</v>
      </c>
    </row>
    <row r="5005" spans="1:16" x14ac:dyDescent="0.25">
      <c r="A5005">
        <v>3</v>
      </c>
      <c r="B5005" t="s">
        <v>283</v>
      </c>
      <c r="C5005">
        <f>-0.2-2.02</f>
        <v>-2.2200000000000002</v>
      </c>
      <c r="D5005">
        <v>0.91</v>
      </c>
      <c r="E5005" t="s">
        <v>34</v>
      </c>
      <c r="F5005" t="s">
        <v>87</v>
      </c>
      <c r="G5005">
        <v>2.02</v>
      </c>
      <c r="H5005">
        <v>-0.2</v>
      </c>
      <c r="I5005">
        <v>1.1100000000000001</v>
      </c>
      <c r="J5005">
        <v>1.2321</v>
      </c>
      <c r="K5005" t="str">
        <f>IFERROR(INDEX(Rosters!$C$2:$C$155,MATCH($B5005,Rosters!$B$2:$B$155,0)),"NA")</f>
        <v>NA</v>
      </c>
      <c r="L5005" t="str">
        <f t="shared" si="234"/>
        <v>NA3WR</v>
      </c>
      <c r="M5005">
        <f>COUNTIF(L$1:L5005,L5005)</f>
        <v>63</v>
      </c>
      <c r="N5005" t="str">
        <f t="shared" si="235"/>
        <v>NA3WR-63</v>
      </c>
      <c r="O5005">
        <f>COUNTIFS(F$1:F5005,F5005,A$1:A5005,A5005)</f>
        <v>112</v>
      </c>
      <c r="P5005" t="str">
        <f t="shared" si="236"/>
        <v>Cordarrelle Patterson3</v>
      </c>
    </row>
    <row r="5006" spans="1:16" x14ac:dyDescent="0.25">
      <c r="A5006">
        <v>2</v>
      </c>
      <c r="B5006" t="s">
        <v>1524</v>
      </c>
      <c r="C5006">
        <f>-0.47-2.29</f>
        <v>-2.76</v>
      </c>
      <c r="D5006">
        <v>0.91</v>
      </c>
      <c r="E5006" t="s">
        <v>36</v>
      </c>
      <c r="F5006" t="s">
        <v>47</v>
      </c>
      <c r="G5006">
        <v>2.29</v>
      </c>
      <c r="H5006">
        <v>-0.47</v>
      </c>
      <c r="I5006">
        <v>1.38</v>
      </c>
      <c r="J5006">
        <v>1.9044000000000001</v>
      </c>
      <c r="K5006" t="str">
        <f>IFERROR(INDEX(Rosters!$C$2:$C$155,MATCH($B5006,Rosters!$B$2:$B$155,0)),"NA")</f>
        <v>NA</v>
      </c>
      <c r="L5006" t="str">
        <f t="shared" si="234"/>
        <v>NA2RB</v>
      </c>
      <c r="M5006">
        <f>COUNTIF(L$1:L5006,L5006)</f>
        <v>34</v>
      </c>
      <c r="N5006" t="str">
        <f t="shared" si="235"/>
        <v>NA2RB-34</v>
      </c>
      <c r="O5006">
        <f>COUNTIFS(F$1:F5006,F5006,A$1:A5006,A5006)</f>
        <v>76</v>
      </c>
      <c r="P5006" t="str">
        <f t="shared" si="236"/>
        <v>David Fluellen2</v>
      </c>
    </row>
    <row r="5007" spans="1:16" x14ac:dyDescent="0.25">
      <c r="A5007">
        <v>4</v>
      </c>
      <c r="B5007" t="s">
        <v>317</v>
      </c>
      <c r="C5007" t="s">
        <v>4666</v>
      </c>
      <c r="D5007">
        <v>0.91</v>
      </c>
      <c r="E5007" t="s">
        <v>30</v>
      </c>
      <c r="F5007" t="s">
        <v>47</v>
      </c>
      <c r="G5007">
        <v>1.72</v>
      </c>
      <c r="H5007">
        <v>0.1</v>
      </c>
      <c r="I5007">
        <v>0.81</v>
      </c>
      <c r="J5007">
        <v>0.65610000000000002</v>
      </c>
      <c r="K5007" t="str">
        <f>IFERROR(INDEX(Rosters!$C$2:$C$155,MATCH($B5007,Rosters!$B$2:$B$155,0)),"NA")</f>
        <v>NA</v>
      </c>
      <c r="L5007" t="str">
        <f t="shared" si="234"/>
        <v>NA4RB</v>
      </c>
      <c r="M5007">
        <f>COUNTIF(L$1:L5007,L5007)</f>
        <v>37</v>
      </c>
      <c r="N5007" t="str">
        <f t="shared" si="235"/>
        <v>NA4RB-37</v>
      </c>
      <c r="O5007">
        <f>COUNTIFS(F$1:F5007,F5007,A$1:A5007,A5007)</f>
        <v>76</v>
      </c>
      <c r="P5007" t="str">
        <f t="shared" si="236"/>
        <v>Derek Watt4</v>
      </c>
    </row>
    <row r="5008" spans="1:16" x14ac:dyDescent="0.25">
      <c r="A5008">
        <v>17</v>
      </c>
      <c r="B5008" t="s">
        <v>359</v>
      </c>
      <c r="C5008" t="s">
        <v>8754</v>
      </c>
      <c r="D5008">
        <v>0.91</v>
      </c>
      <c r="E5008" t="s">
        <v>25</v>
      </c>
      <c r="F5008" t="s">
        <v>87</v>
      </c>
      <c r="G5008">
        <v>1.77</v>
      </c>
      <c r="H5008">
        <v>0.05</v>
      </c>
      <c r="I5008">
        <v>0.86</v>
      </c>
      <c r="J5008">
        <v>0.73960000000000004</v>
      </c>
      <c r="K5008" t="str">
        <f>IFERROR(INDEX(Rosters!$C$2:$C$155,MATCH($B5008,Rosters!$B$2:$B$155,0)),"NA")</f>
        <v>NA</v>
      </c>
      <c r="L5008" t="str">
        <f t="shared" si="234"/>
        <v>NA17WR</v>
      </c>
      <c r="M5008">
        <f>COUNTIF(L$1:L5008,L5008)</f>
        <v>67</v>
      </c>
      <c r="N5008" t="str">
        <f t="shared" si="235"/>
        <v>NA17WR-67</v>
      </c>
      <c r="O5008">
        <f>COUNTIFS(F$1:F5008,F5008,A$1:A5008,A5008)</f>
        <v>121</v>
      </c>
      <c r="P5008" t="str">
        <f t="shared" si="236"/>
        <v>Josh Bellamy17</v>
      </c>
    </row>
    <row r="5009" spans="1:16" x14ac:dyDescent="0.25">
      <c r="A5009">
        <v>5</v>
      </c>
      <c r="B5009" t="s">
        <v>88</v>
      </c>
      <c r="C5009" t="s">
        <v>3819</v>
      </c>
      <c r="D5009">
        <v>0.91</v>
      </c>
      <c r="E5009" t="s">
        <v>42</v>
      </c>
      <c r="F5009" t="s">
        <v>15</v>
      </c>
      <c r="G5009">
        <v>1.49</v>
      </c>
      <c r="H5009">
        <v>0.33</v>
      </c>
      <c r="I5009">
        <v>0.57999999999999996</v>
      </c>
      <c r="J5009">
        <v>0.33639999999999998</v>
      </c>
      <c r="K5009" t="str">
        <f>IFERROR(INDEX(Rosters!$C$2:$C$155,MATCH($B5009,Rosters!$B$2:$B$155,0)),"NA")</f>
        <v>NA</v>
      </c>
      <c r="L5009" t="str">
        <f t="shared" si="234"/>
        <v>NA5QB</v>
      </c>
      <c r="M5009">
        <f>COUNTIF(L$1:L5009,L5009)</f>
        <v>22</v>
      </c>
      <c r="N5009" t="str">
        <f t="shared" si="235"/>
        <v>NA5QB-22</v>
      </c>
      <c r="O5009">
        <f>COUNTIFS(F$1:F5009,F5009,A$1:A5009,A5009)</f>
        <v>39</v>
      </c>
      <c r="P5009" t="str">
        <f t="shared" si="236"/>
        <v>Josh McCown5</v>
      </c>
    </row>
    <row r="5010" spans="1:16" x14ac:dyDescent="0.25">
      <c r="A5010">
        <v>14</v>
      </c>
      <c r="B5010" t="s">
        <v>1146</v>
      </c>
      <c r="C5010" t="s">
        <v>8754</v>
      </c>
      <c r="D5010">
        <v>0.91</v>
      </c>
      <c r="E5010" t="s">
        <v>54</v>
      </c>
      <c r="F5010" t="s">
        <v>87</v>
      </c>
      <c r="G5010">
        <v>1.77</v>
      </c>
      <c r="H5010">
        <v>0.05</v>
      </c>
      <c r="I5010">
        <v>0.86</v>
      </c>
      <c r="J5010">
        <v>0.73960000000000004</v>
      </c>
      <c r="K5010" t="str">
        <f>IFERROR(INDEX(Rosters!$C$2:$C$155,MATCH($B5010,Rosters!$B$2:$B$155,0)),"NA")</f>
        <v>NA</v>
      </c>
      <c r="L5010" t="str">
        <f t="shared" si="234"/>
        <v>NA14WR</v>
      </c>
      <c r="M5010">
        <f>COUNTIF(L$1:L5010,L5010)</f>
        <v>67</v>
      </c>
      <c r="N5010" t="str">
        <f t="shared" si="235"/>
        <v>NA14WR-67</v>
      </c>
      <c r="O5010">
        <f>COUNTIFS(F$1:F5010,F5010,A$1:A5010,A5010)</f>
        <v>121</v>
      </c>
      <c r="P5010" t="str">
        <f t="shared" si="236"/>
        <v>Maurice Harris14</v>
      </c>
    </row>
    <row r="5011" spans="1:16" x14ac:dyDescent="0.25">
      <c r="A5011">
        <v>4</v>
      </c>
      <c r="B5011" t="s">
        <v>1148</v>
      </c>
      <c r="C5011">
        <f>-0.06-1.88</f>
        <v>-1.94</v>
      </c>
      <c r="D5011">
        <v>0.91</v>
      </c>
      <c r="E5011" t="s">
        <v>58</v>
      </c>
      <c r="F5011" t="s">
        <v>47</v>
      </c>
      <c r="G5011">
        <v>1.88</v>
      </c>
      <c r="H5011">
        <v>-0.06</v>
      </c>
      <c r="I5011">
        <v>0.97</v>
      </c>
      <c r="J5011">
        <v>0.94089999999999996</v>
      </c>
      <c r="K5011" t="str">
        <f>IFERROR(INDEX(Rosters!$C$2:$C$155,MATCH($B5011,Rosters!$B$2:$B$155,0)),"NA")</f>
        <v>NA</v>
      </c>
      <c r="L5011" t="str">
        <f t="shared" si="234"/>
        <v>NA4RB</v>
      </c>
      <c r="M5011">
        <f>COUNTIF(L$1:L5011,L5011)</f>
        <v>38</v>
      </c>
      <c r="N5011" t="str">
        <f t="shared" si="235"/>
        <v>NA4RB-38</v>
      </c>
      <c r="O5011">
        <f>COUNTIFS(F$1:F5011,F5011,A$1:A5011,A5011)</f>
        <v>77</v>
      </c>
      <c r="P5011" t="str">
        <f t="shared" si="236"/>
        <v>Mike Davis4</v>
      </c>
    </row>
    <row r="5012" spans="1:16" x14ac:dyDescent="0.25">
      <c r="A5012">
        <v>7</v>
      </c>
      <c r="B5012" t="s">
        <v>344</v>
      </c>
      <c r="C5012" t="s">
        <v>3819</v>
      </c>
      <c r="D5012">
        <v>0.91</v>
      </c>
      <c r="E5012" t="s">
        <v>74</v>
      </c>
      <c r="F5012" t="s">
        <v>15</v>
      </c>
      <c r="G5012">
        <v>1.49</v>
      </c>
      <c r="H5012">
        <v>0.33</v>
      </c>
      <c r="I5012">
        <v>0.57999999999999996</v>
      </c>
      <c r="J5012">
        <v>0.33639999999999998</v>
      </c>
      <c r="K5012" t="str">
        <f>IFERROR(INDEX(Rosters!$C$2:$C$155,MATCH($B5012,Rosters!$B$2:$B$155,0)),"NA")</f>
        <v>NA</v>
      </c>
      <c r="L5012" t="str">
        <f t="shared" si="234"/>
        <v>NA7QB</v>
      </c>
      <c r="M5012">
        <f>COUNTIF(L$1:L5012,L5012)</f>
        <v>23</v>
      </c>
      <c r="N5012" t="str">
        <f t="shared" si="235"/>
        <v>NA7QB-23</v>
      </c>
      <c r="O5012">
        <f>COUNTIFS(F$1:F5012,F5012,A$1:A5012,A5012)</f>
        <v>37</v>
      </c>
      <c r="P5012" t="str">
        <f t="shared" si="236"/>
        <v>Nick Foles7</v>
      </c>
    </row>
    <row r="5013" spans="1:16" x14ac:dyDescent="0.25">
      <c r="A5013">
        <v>16</v>
      </c>
      <c r="B5013" t="s">
        <v>344</v>
      </c>
      <c r="C5013" t="s">
        <v>1538</v>
      </c>
      <c r="D5013">
        <v>0.91</v>
      </c>
      <c r="E5013" t="s">
        <v>36</v>
      </c>
      <c r="F5013" t="s">
        <v>15</v>
      </c>
      <c r="G5013">
        <v>1.53</v>
      </c>
      <c r="H5013">
        <v>0.28999999999999998</v>
      </c>
      <c r="I5013">
        <v>0.62</v>
      </c>
      <c r="J5013">
        <v>0.38440000000000002</v>
      </c>
      <c r="K5013" t="str">
        <f>IFERROR(INDEX(Rosters!$C$2:$C$155,MATCH($B5013,Rosters!$B$2:$B$155,0)),"NA")</f>
        <v>NA</v>
      </c>
      <c r="L5013" t="str">
        <f t="shared" si="234"/>
        <v>NA16QB</v>
      </c>
      <c r="M5013">
        <f>COUNTIF(L$1:L5013,L5013)</f>
        <v>25</v>
      </c>
      <c r="N5013" t="str">
        <f t="shared" si="235"/>
        <v>NA16QB-25</v>
      </c>
      <c r="O5013">
        <f>COUNTIFS(F$1:F5013,F5013,A$1:A5013,A5013)</f>
        <v>42</v>
      </c>
      <c r="P5013" t="str">
        <f t="shared" si="236"/>
        <v>Nick Foles16</v>
      </c>
    </row>
    <row r="5014" spans="1:16" x14ac:dyDescent="0.25">
      <c r="A5014">
        <v>2</v>
      </c>
      <c r="B5014" t="s">
        <v>102</v>
      </c>
      <c r="C5014" t="s">
        <v>1538</v>
      </c>
      <c r="D5014">
        <v>0.91</v>
      </c>
      <c r="E5014" t="s">
        <v>41</v>
      </c>
      <c r="F5014" t="s">
        <v>15</v>
      </c>
      <c r="G5014">
        <v>1.53</v>
      </c>
      <c r="H5014">
        <v>0.28999999999999998</v>
      </c>
      <c r="I5014">
        <v>0.62</v>
      </c>
      <c r="J5014">
        <v>0.38440000000000002</v>
      </c>
      <c r="K5014" t="str">
        <f>IFERROR(INDEX(Rosters!$C$2:$C$155,MATCH($B5014,Rosters!$B$2:$B$155,0)),"NA")</f>
        <v>NA</v>
      </c>
      <c r="L5014" t="str">
        <f t="shared" si="234"/>
        <v>NA2QB</v>
      </c>
      <c r="M5014">
        <f>COUNTIF(L$1:L5014,L5014)</f>
        <v>22</v>
      </c>
      <c r="N5014" t="str">
        <f t="shared" si="235"/>
        <v>NA2QB-22</v>
      </c>
      <c r="O5014">
        <f>COUNTIFS(F$1:F5014,F5014,A$1:A5014,A5014)</f>
        <v>38</v>
      </c>
      <c r="P5014" t="str">
        <f t="shared" si="236"/>
        <v>Trevor Siemian2</v>
      </c>
    </row>
    <row r="5015" spans="1:16" x14ac:dyDescent="0.25">
      <c r="A5015">
        <v>17</v>
      </c>
      <c r="B5015" t="s">
        <v>365</v>
      </c>
      <c r="C5015" t="s">
        <v>8755</v>
      </c>
      <c r="D5015">
        <v>0.9</v>
      </c>
      <c r="E5015" t="s">
        <v>58</v>
      </c>
      <c r="F5015" t="s">
        <v>15</v>
      </c>
      <c r="G5015">
        <v>1.42</v>
      </c>
      <c r="H5015">
        <v>0.38</v>
      </c>
      <c r="I5015">
        <v>0.52</v>
      </c>
      <c r="J5015">
        <v>0.27039999999999997</v>
      </c>
      <c r="K5015" t="str">
        <f>IFERROR(INDEX(Rosters!$C$2:$C$155,MATCH($B5015,Rosters!$B$2:$B$155,0)),"NA")</f>
        <v>NA</v>
      </c>
      <c r="L5015" t="str">
        <f t="shared" si="234"/>
        <v>NA17QB</v>
      </c>
      <c r="M5015">
        <f>COUNTIF(L$1:L5015,L5015)</f>
        <v>25</v>
      </c>
      <c r="N5015" t="str">
        <f t="shared" si="235"/>
        <v>NA17QB-25</v>
      </c>
      <c r="O5015">
        <f>COUNTIFS(F$1:F5015,F5015,A$1:A5015,A5015)</f>
        <v>42</v>
      </c>
      <c r="P5015" t="str">
        <f t="shared" si="236"/>
        <v>Brett Hundley17</v>
      </c>
    </row>
    <row r="5016" spans="1:16" x14ac:dyDescent="0.25">
      <c r="A5016">
        <v>2</v>
      </c>
      <c r="B5016" t="s">
        <v>1537</v>
      </c>
      <c r="C5016" t="s">
        <v>1539</v>
      </c>
      <c r="D5016">
        <v>0.9</v>
      </c>
      <c r="E5016" t="s">
        <v>34</v>
      </c>
      <c r="F5016" t="s">
        <v>15</v>
      </c>
      <c r="G5016">
        <v>1.51</v>
      </c>
      <c r="H5016">
        <v>0.28999999999999998</v>
      </c>
      <c r="I5016">
        <v>0.61</v>
      </c>
      <c r="J5016">
        <v>0.37209999999999999</v>
      </c>
      <c r="K5016" t="str">
        <f>IFERROR(INDEX(Rosters!$C$2:$C$155,MATCH($B5016,Rosters!$B$2:$B$155,0)),"NA")</f>
        <v>NA</v>
      </c>
      <c r="L5016" t="str">
        <f t="shared" si="234"/>
        <v>NA2QB</v>
      </c>
      <c r="M5016">
        <f>COUNTIF(L$1:L5016,L5016)</f>
        <v>23</v>
      </c>
      <c r="N5016" t="str">
        <f t="shared" si="235"/>
        <v>NA2QB-23</v>
      </c>
      <c r="O5016">
        <f>COUNTIFS(F$1:F5016,F5016,A$1:A5016,A5016)</f>
        <v>39</v>
      </c>
      <c r="P5016" t="str">
        <f t="shared" si="236"/>
        <v>C.J. Beathard2</v>
      </c>
    </row>
    <row r="5017" spans="1:16" x14ac:dyDescent="0.25">
      <c r="A5017">
        <v>7</v>
      </c>
      <c r="B5017" t="s">
        <v>384</v>
      </c>
      <c r="C5017" t="s">
        <v>4668</v>
      </c>
      <c r="D5017">
        <v>0.9</v>
      </c>
      <c r="E5017" t="s">
        <v>423</v>
      </c>
      <c r="F5017" t="s">
        <v>15</v>
      </c>
      <c r="G5017">
        <v>1.52</v>
      </c>
      <c r="H5017">
        <v>0.28000000000000003</v>
      </c>
      <c r="I5017">
        <v>0.62</v>
      </c>
      <c r="J5017">
        <v>0.38440000000000002</v>
      </c>
      <c r="K5017" t="str">
        <f>IFERROR(INDEX(Rosters!$C$2:$C$155,MATCH($B5017,Rosters!$B$2:$B$155,0)),"NA")</f>
        <v>NA</v>
      </c>
      <c r="L5017" t="str">
        <f t="shared" si="234"/>
        <v>NA7QB</v>
      </c>
      <c r="M5017">
        <f>COUNTIF(L$1:L5017,L5017)</f>
        <v>24</v>
      </c>
      <c r="N5017" t="str">
        <f t="shared" si="235"/>
        <v>NA7QB-24</v>
      </c>
      <c r="O5017">
        <f>COUNTIFS(F$1:F5017,F5017,A$1:A5017,A5017)</f>
        <v>38</v>
      </c>
      <c r="P5017" t="str">
        <f t="shared" si="236"/>
        <v>Chase Daniel7</v>
      </c>
    </row>
    <row r="5018" spans="1:16" x14ac:dyDescent="0.25">
      <c r="A5018">
        <v>7</v>
      </c>
      <c r="B5018" t="s">
        <v>317</v>
      </c>
      <c r="C5018" t="s">
        <v>8756</v>
      </c>
      <c r="D5018">
        <v>0.9</v>
      </c>
      <c r="E5018" t="s">
        <v>38</v>
      </c>
      <c r="F5018" t="s">
        <v>47</v>
      </c>
      <c r="G5018">
        <v>1.68</v>
      </c>
      <c r="H5018">
        <v>0.12</v>
      </c>
      <c r="I5018">
        <v>0.78</v>
      </c>
      <c r="J5018">
        <v>0.60840000000000005</v>
      </c>
      <c r="K5018" t="str">
        <f>IFERROR(INDEX(Rosters!$C$2:$C$155,MATCH($B5018,Rosters!$B$2:$B$155,0)),"NA")</f>
        <v>NA</v>
      </c>
      <c r="L5018" t="str">
        <f t="shared" si="234"/>
        <v>NA7RB</v>
      </c>
      <c r="M5018">
        <f>COUNTIF(L$1:L5018,L5018)</f>
        <v>36</v>
      </c>
      <c r="N5018" t="str">
        <f t="shared" si="235"/>
        <v>NA7RB-36</v>
      </c>
      <c r="O5018">
        <f>COUNTIFS(F$1:F5018,F5018,A$1:A5018,A5018)</f>
        <v>77</v>
      </c>
      <c r="P5018" t="str">
        <f t="shared" si="236"/>
        <v>Derek Watt7</v>
      </c>
    </row>
    <row r="5019" spans="1:16" x14ac:dyDescent="0.25">
      <c r="A5019">
        <v>17</v>
      </c>
      <c r="B5019" t="s">
        <v>1497</v>
      </c>
      <c r="C5019" t="s">
        <v>8757</v>
      </c>
      <c r="D5019">
        <v>0.9</v>
      </c>
      <c r="E5019" t="s">
        <v>38</v>
      </c>
      <c r="F5019" t="s">
        <v>15</v>
      </c>
      <c r="G5019">
        <v>1.44</v>
      </c>
      <c r="H5019">
        <v>0.36</v>
      </c>
      <c r="I5019">
        <v>0.54</v>
      </c>
      <c r="J5019">
        <v>0.29160000000000003</v>
      </c>
      <c r="K5019" t="str">
        <f>IFERROR(INDEX(Rosters!$C$2:$C$155,MATCH($B5019,Rosters!$B$2:$B$155,0)),"NA")</f>
        <v>NA</v>
      </c>
      <c r="L5019" t="str">
        <f t="shared" si="234"/>
        <v>NA17QB</v>
      </c>
      <c r="M5019">
        <f>COUNTIF(L$1:L5019,L5019)</f>
        <v>26</v>
      </c>
      <c r="N5019" t="str">
        <f t="shared" si="235"/>
        <v>NA17QB-26</v>
      </c>
      <c r="O5019">
        <f>COUNTIFS(F$1:F5019,F5019,A$1:A5019,A5019)</f>
        <v>43</v>
      </c>
      <c r="P5019" t="str">
        <f t="shared" si="236"/>
        <v>Jacoby Brissett17</v>
      </c>
    </row>
    <row r="5020" spans="1:16" x14ac:dyDescent="0.25">
      <c r="A5020">
        <v>2</v>
      </c>
      <c r="B5020" t="s">
        <v>198</v>
      </c>
      <c r="C5020">
        <f>-0.08-1.88</f>
        <v>-1.96</v>
      </c>
      <c r="D5020">
        <v>0.9</v>
      </c>
      <c r="E5020" t="s">
        <v>28</v>
      </c>
      <c r="F5020" t="s">
        <v>87</v>
      </c>
      <c r="G5020">
        <v>1.88</v>
      </c>
      <c r="H5020">
        <v>-0.08</v>
      </c>
      <c r="I5020">
        <v>0.98</v>
      </c>
      <c r="J5020">
        <v>0.96040000000000003</v>
      </c>
      <c r="K5020" t="str">
        <f>IFERROR(INDEX(Rosters!$C$2:$C$155,MATCH($B5020,Rosters!$B$2:$B$155,0)),"NA")</f>
        <v>NA</v>
      </c>
      <c r="L5020" t="str">
        <f t="shared" si="234"/>
        <v>NA2WR</v>
      </c>
      <c r="M5020">
        <f>COUNTIF(L$1:L5020,L5020)</f>
        <v>60</v>
      </c>
      <c r="N5020" t="str">
        <f t="shared" si="235"/>
        <v>NA2WR-60</v>
      </c>
      <c r="O5020">
        <f>COUNTIFS(F$1:F5020,F5020,A$1:A5020,A5020)</f>
        <v>108</v>
      </c>
      <c r="P5020" t="str">
        <f t="shared" si="236"/>
        <v>Kevin White2</v>
      </c>
    </row>
    <row r="5021" spans="1:16" x14ac:dyDescent="0.25">
      <c r="A5021">
        <v>7</v>
      </c>
      <c r="B5021" t="s">
        <v>1499</v>
      </c>
      <c r="C5021">
        <f>-0.22-2.02</f>
        <v>-2.2400000000000002</v>
      </c>
      <c r="D5021">
        <v>0.9</v>
      </c>
      <c r="E5021" t="s">
        <v>60</v>
      </c>
      <c r="F5021" t="s">
        <v>114</v>
      </c>
      <c r="G5021">
        <v>2.02</v>
      </c>
      <c r="H5021">
        <v>-0.22</v>
      </c>
      <c r="I5021">
        <v>1.1200000000000001</v>
      </c>
      <c r="J5021">
        <v>1.2544</v>
      </c>
      <c r="K5021" t="str">
        <f>IFERROR(INDEX(Rosters!$C$2:$C$155,MATCH($B5021,Rosters!$B$2:$B$155,0)),"NA")</f>
        <v>NA</v>
      </c>
      <c r="L5021" t="str">
        <f t="shared" si="234"/>
        <v>NA7TE</v>
      </c>
      <c r="M5021">
        <f>COUNTIF(L$1:L5021,L5021)</f>
        <v>49</v>
      </c>
      <c r="N5021" t="str">
        <f t="shared" si="235"/>
        <v>NA7TE-49</v>
      </c>
      <c r="O5021">
        <f>COUNTIFS(F$1:F5021,F5021,A$1:A5021,A5021)</f>
        <v>59</v>
      </c>
      <c r="P5021" t="str">
        <f t="shared" si="236"/>
        <v>Rico Gathers7</v>
      </c>
    </row>
    <row r="5022" spans="1:16" x14ac:dyDescent="0.25">
      <c r="A5022">
        <v>2</v>
      </c>
      <c r="B5022" t="s">
        <v>1540</v>
      </c>
      <c r="C5022" t="s">
        <v>1541</v>
      </c>
      <c r="D5022">
        <v>0.9</v>
      </c>
      <c r="E5022" t="s">
        <v>24</v>
      </c>
      <c r="F5022" t="s">
        <v>87</v>
      </c>
      <c r="G5022">
        <v>1.8</v>
      </c>
      <c r="H5022">
        <v>0</v>
      </c>
      <c r="I5022">
        <v>0.9</v>
      </c>
      <c r="J5022">
        <v>0.81</v>
      </c>
      <c r="K5022" t="str">
        <f>IFERROR(INDEX(Rosters!$C$2:$C$155,MATCH($B5022,Rosters!$B$2:$B$155,0)),"NA")</f>
        <v>NA</v>
      </c>
      <c r="L5022" t="str">
        <f t="shared" si="234"/>
        <v>NA2WR</v>
      </c>
      <c r="M5022">
        <f>COUNTIF(L$1:L5022,L5022)</f>
        <v>61</v>
      </c>
      <c r="N5022" t="str">
        <f t="shared" si="235"/>
        <v>NA2WR-61</v>
      </c>
      <c r="O5022">
        <f>COUNTIFS(F$1:F5022,F5022,A$1:A5022,A5022)</f>
        <v>109</v>
      </c>
      <c r="P5022" t="str">
        <f t="shared" si="236"/>
        <v>Ryan Switzer2</v>
      </c>
    </row>
    <row r="5023" spans="1:16" x14ac:dyDescent="0.25">
      <c r="A5023">
        <v>8</v>
      </c>
      <c r="B5023" t="s">
        <v>347</v>
      </c>
      <c r="C5023" t="s">
        <v>4667</v>
      </c>
      <c r="D5023">
        <v>0.9</v>
      </c>
      <c r="E5023" t="s">
        <v>41</v>
      </c>
      <c r="F5023" t="s">
        <v>15</v>
      </c>
      <c r="G5023">
        <v>1.57</v>
      </c>
      <c r="H5023">
        <v>0.23</v>
      </c>
      <c r="I5023">
        <v>0.67</v>
      </c>
      <c r="J5023">
        <v>0.44890000000000002</v>
      </c>
      <c r="K5023" t="str">
        <f>IFERROR(INDEX(Rosters!$C$2:$C$155,MATCH($B5023,Rosters!$B$2:$B$155,0)),"NA")</f>
        <v>NA</v>
      </c>
      <c r="L5023" t="str">
        <f t="shared" si="234"/>
        <v>NA8QB</v>
      </c>
      <c r="M5023">
        <f>COUNTIF(L$1:L5023,L5023)</f>
        <v>24</v>
      </c>
      <c r="N5023" t="str">
        <f t="shared" si="235"/>
        <v>NA8QB-24</v>
      </c>
      <c r="O5023">
        <f>COUNTIFS(F$1:F5023,F5023,A$1:A5023,A5023)</f>
        <v>39</v>
      </c>
      <c r="P5023" t="str">
        <f t="shared" si="236"/>
        <v>Sean Mannion8</v>
      </c>
    </row>
    <row r="5024" spans="1:16" x14ac:dyDescent="0.25">
      <c r="A5024">
        <v>14</v>
      </c>
      <c r="B5024" t="s">
        <v>1116</v>
      </c>
      <c r="C5024" t="s">
        <v>8758</v>
      </c>
      <c r="D5024">
        <v>0.89</v>
      </c>
      <c r="E5024" t="s">
        <v>66</v>
      </c>
      <c r="F5024" t="s">
        <v>15</v>
      </c>
      <c r="G5024">
        <v>1.5</v>
      </c>
      <c r="H5024">
        <v>0.28000000000000003</v>
      </c>
      <c r="I5024">
        <v>0.61</v>
      </c>
      <c r="J5024">
        <v>0.37209999999999999</v>
      </c>
      <c r="K5024" t="str">
        <f>IFERROR(INDEX(Rosters!$C$2:$C$155,MATCH($B5024,Rosters!$B$2:$B$155,0)),"NA")</f>
        <v>NA</v>
      </c>
      <c r="L5024" t="str">
        <f t="shared" si="234"/>
        <v>NA14QB</v>
      </c>
      <c r="M5024">
        <f>COUNTIF(L$1:L5024,L5024)</f>
        <v>26</v>
      </c>
      <c r="N5024" t="str">
        <f t="shared" si="235"/>
        <v>NA14QB-26</v>
      </c>
      <c r="O5024">
        <f>COUNTIFS(F$1:F5024,F5024,A$1:A5024,A5024)</f>
        <v>43</v>
      </c>
      <c r="P5024" t="str">
        <f t="shared" si="236"/>
        <v>Brandon Weeden14</v>
      </c>
    </row>
    <row r="5025" spans="1:16" x14ac:dyDescent="0.25">
      <c r="A5025">
        <v>10</v>
      </c>
      <c r="B5025" t="s">
        <v>384</v>
      </c>
      <c r="C5025" t="s">
        <v>8759</v>
      </c>
      <c r="D5025">
        <v>0.89</v>
      </c>
      <c r="E5025" t="s">
        <v>34</v>
      </c>
      <c r="F5025" t="s">
        <v>15</v>
      </c>
      <c r="G5025">
        <v>1.52</v>
      </c>
      <c r="H5025">
        <v>0.26</v>
      </c>
      <c r="I5025">
        <v>0.63</v>
      </c>
      <c r="J5025">
        <v>0.39689999999999998</v>
      </c>
      <c r="K5025" t="str">
        <f>IFERROR(INDEX(Rosters!$C$2:$C$155,MATCH($B5025,Rosters!$B$2:$B$155,0)),"NA")</f>
        <v>NA</v>
      </c>
      <c r="L5025" t="str">
        <f t="shared" si="234"/>
        <v>NA10QB</v>
      </c>
      <c r="M5025">
        <f>COUNTIF(L$1:L5025,L5025)</f>
        <v>22</v>
      </c>
      <c r="N5025" t="str">
        <f t="shared" si="235"/>
        <v>NA10QB-22</v>
      </c>
      <c r="O5025">
        <f>COUNTIFS(F$1:F5025,F5025,A$1:A5025,A5025)</f>
        <v>38</v>
      </c>
      <c r="P5025" t="str">
        <f t="shared" si="236"/>
        <v>Chase Daniel10</v>
      </c>
    </row>
    <row r="5026" spans="1:16" x14ac:dyDescent="0.25">
      <c r="A5026">
        <v>9</v>
      </c>
      <c r="B5026" t="s">
        <v>331</v>
      </c>
      <c r="C5026" t="s">
        <v>4670</v>
      </c>
      <c r="D5026">
        <v>0.89</v>
      </c>
      <c r="E5026" t="s">
        <v>46</v>
      </c>
      <c r="F5026" t="s">
        <v>15</v>
      </c>
      <c r="G5026">
        <v>1.51</v>
      </c>
      <c r="H5026">
        <v>0.27</v>
      </c>
      <c r="I5026">
        <v>0.62</v>
      </c>
      <c r="J5026">
        <v>0.38440000000000002</v>
      </c>
      <c r="K5026" t="str">
        <f>IFERROR(INDEX(Rosters!$C$2:$C$155,MATCH($B5026,Rosters!$B$2:$B$155,0)),"NA")</f>
        <v>NA</v>
      </c>
      <c r="L5026" t="str">
        <f t="shared" si="234"/>
        <v>NA9QB</v>
      </c>
      <c r="M5026">
        <f>COUNTIF(L$1:L5026,L5026)</f>
        <v>22</v>
      </c>
      <c r="N5026" t="str">
        <f t="shared" si="235"/>
        <v>NA9QB-22</v>
      </c>
      <c r="O5026">
        <f>COUNTIFS(F$1:F5026,F5026,A$1:A5026,A5026)</f>
        <v>36</v>
      </c>
      <c r="P5026" t="str">
        <f t="shared" si="236"/>
        <v>Colt McCoy9</v>
      </c>
    </row>
    <row r="5027" spans="1:16" x14ac:dyDescent="0.25">
      <c r="A5027">
        <v>15</v>
      </c>
      <c r="B5027" t="s">
        <v>1132</v>
      </c>
      <c r="C5027">
        <f>-0.06-1.84</f>
        <v>-1.9000000000000001</v>
      </c>
      <c r="D5027">
        <v>0.89</v>
      </c>
      <c r="E5027" t="s">
        <v>24</v>
      </c>
      <c r="F5027" t="s">
        <v>87</v>
      </c>
      <c r="G5027">
        <v>1.84</v>
      </c>
      <c r="H5027">
        <v>-0.06</v>
      </c>
      <c r="I5027">
        <v>0.95</v>
      </c>
      <c r="J5027">
        <v>0.90249999999999997</v>
      </c>
      <c r="K5027" t="str">
        <f>IFERROR(INDEX(Rosters!$C$2:$C$155,MATCH($B5027,Rosters!$B$2:$B$155,0)),"NA")</f>
        <v>NA</v>
      </c>
      <c r="L5027" t="str">
        <f t="shared" si="234"/>
        <v>NA15WR</v>
      </c>
      <c r="M5027">
        <f>COUNTIF(L$1:L5027,L5027)</f>
        <v>67</v>
      </c>
      <c r="N5027" t="str">
        <f t="shared" si="235"/>
        <v>NA15WR-67</v>
      </c>
      <c r="O5027">
        <f>COUNTIFS(F$1:F5027,F5027,A$1:A5027,A5027)</f>
        <v>121</v>
      </c>
      <c r="P5027" t="str">
        <f t="shared" si="236"/>
        <v>Geremy Davis15</v>
      </c>
    </row>
    <row r="5028" spans="1:16" x14ac:dyDescent="0.25">
      <c r="A5028">
        <v>12</v>
      </c>
      <c r="B5028" t="s">
        <v>4690</v>
      </c>
      <c r="C5028" t="s">
        <v>8760</v>
      </c>
      <c r="D5028">
        <v>0.89</v>
      </c>
      <c r="E5028" t="s">
        <v>41</v>
      </c>
      <c r="F5028" t="s">
        <v>47</v>
      </c>
      <c r="G5028">
        <v>1.74</v>
      </c>
      <c r="H5028">
        <v>0.04</v>
      </c>
      <c r="I5028">
        <v>0.85</v>
      </c>
      <c r="J5028">
        <v>0.72250000000000003</v>
      </c>
      <c r="K5028" t="str">
        <f>IFERROR(INDEX(Rosters!$C$2:$C$155,MATCH($B5028,Rosters!$B$2:$B$155,0)),"NA")</f>
        <v>NA</v>
      </c>
      <c r="L5028" t="str">
        <f t="shared" si="234"/>
        <v>NA12RB</v>
      </c>
      <c r="M5028">
        <f>COUNTIF(L$1:L5028,L5028)</f>
        <v>41</v>
      </c>
      <c r="N5028" t="str">
        <f t="shared" si="235"/>
        <v>NA12RB-41</v>
      </c>
      <c r="O5028">
        <f>COUNTIFS(F$1:F5028,F5028,A$1:A5028,A5028)</f>
        <v>86</v>
      </c>
      <c r="P5028" t="str">
        <f t="shared" si="236"/>
        <v>Mike Boone12</v>
      </c>
    </row>
    <row r="5029" spans="1:16" x14ac:dyDescent="0.25">
      <c r="A5029">
        <v>3</v>
      </c>
      <c r="B5029" t="s">
        <v>344</v>
      </c>
      <c r="C5029" t="s">
        <v>3820</v>
      </c>
      <c r="D5029">
        <v>0.89</v>
      </c>
      <c r="E5029" t="s">
        <v>66</v>
      </c>
      <c r="F5029" t="s">
        <v>15</v>
      </c>
      <c r="G5029">
        <v>1.55</v>
      </c>
      <c r="H5029">
        <v>0.23</v>
      </c>
      <c r="I5029">
        <v>0.66</v>
      </c>
      <c r="J5029">
        <v>0.43559999999999999</v>
      </c>
      <c r="K5029" t="str">
        <f>IFERROR(INDEX(Rosters!$C$2:$C$155,MATCH($B5029,Rosters!$B$2:$B$155,0)),"NA")</f>
        <v>NA</v>
      </c>
      <c r="L5029" t="str">
        <f t="shared" si="234"/>
        <v>NA3QB</v>
      </c>
      <c r="M5029">
        <f>COUNTIF(L$1:L5029,L5029)</f>
        <v>22</v>
      </c>
      <c r="N5029" t="str">
        <f t="shared" si="235"/>
        <v>NA3QB-22</v>
      </c>
      <c r="O5029">
        <f>COUNTIFS(F$1:F5029,F5029,A$1:A5029,A5029)</f>
        <v>38</v>
      </c>
      <c r="P5029" t="str">
        <f t="shared" si="236"/>
        <v>Nick Foles3</v>
      </c>
    </row>
    <row r="5030" spans="1:16" x14ac:dyDescent="0.25">
      <c r="A5030">
        <v>10</v>
      </c>
      <c r="B5030" t="s">
        <v>344</v>
      </c>
      <c r="C5030" t="s">
        <v>8759</v>
      </c>
      <c r="D5030">
        <v>0.89</v>
      </c>
      <c r="E5030" t="s">
        <v>22</v>
      </c>
      <c r="F5030" t="s">
        <v>15</v>
      </c>
      <c r="G5030">
        <v>1.52</v>
      </c>
      <c r="H5030">
        <v>0.26</v>
      </c>
      <c r="I5030">
        <v>0.63</v>
      </c>
      <c r="J5030">
        <v>0.39689999999999998</v>
      </c>
      <c r="K5030" t="str">
        <f>IFERROR(INDEX(Rosters!$C$2:$C$155,MATCH($B5030,Rosters!$B$2:$B$155,0)),"NA")</f>
        <v>NA</v>
      </c>
      <c r="L5030" t="str">
        <f t="shared" si="234"/>
        <v>NA10QB</v>
      </c>
      <c r="M5030">
        <f>COUNTIF(L$1:L5030,L5030)</f>
        <v>23</v>
      </c>
      <c r="N5030" t="str">
        <f t="shared" si="235"/>
        <v>NA10QB-23</v>
      </c>
      <c r="O5030">
        <f>COUNTIFS(F$1:F5030,F5030,A$1:A5030,A5030)</f>
        <v>39</v>
      </c>
      <c r="P5030" t="str">
        <f t="shared" si="236"/>
        <v>Nick Foles10</v>
      </c>
    </row>
    <row r="5031" spans="1:16" x14ac:dyDescent="0.25">
      <c r="A5031">
        <v>12</v>
      </c>
      <c r="B5031" t="s">
        <v>344</v>
      </c>
      <c r="C5031" t="s">
        <v>4669</v>
      </c>
      <c r="D5031">
        <v>0.89</v>
      </c>
      <c r="E5031" t="s">
        <v>54</v>
      </c>
      <c r="F5031" t="s">
        <v>15</v>
      </c>
      <c r="G5031">
        <v>1.49</v>
      </c>
      <c r="H5031">
        <v>0.28999999999999998</v>
      </c>
      <c r="I5031">
        <v>0.6</v>
      </c>
      <c r="J5031">
        <v>0.36</v>
      </c>
      <c r="K5031" t="str">
        <f>IFERROR(INDEX(Rosters!$C$2:$C$155,MATCH($B5031,Rosters!$B$2:$B$155,0)),"NA")</f>
        <v>NA</v>
      </c>
      <c r="L5031" t="str">
        <f t="shared" si="234"/>
        <v>NA12QB</v>
      </c>
      <c r="M5031">
        <f>COUNTIF(L$1:L5031,L5031)</f>
        <v>25</v>
      </c>
      <c r="N5031" t="str">
        <f t="shared" si="235"/>
        <v>NA12QB-25</v>
      </c>
      <c r="O5031">
        <f>COUNTIFS(F$1:F5031,F5031,A$1:A5031,A5031)</f>
        <v>40</v>
      </c>
      <c r="P5031" t="str">
        <f t="shared" si="236"/>
        <v>Nick Foles12</v>
      </c>
    </row>
    <row r="5032" spans="1:16" x14ac:dyDescent="0.25">
      <c r="A5032">
        <v>6</v>
      </c>
      <c r="B5032" t="s">
        <v>1499</v>
      </c>
      <c r="C5032">
        <f>-0.12-1.9</f>
        <v>-2.02</v>
      </c>
      <c r="D5032">
        <v>0.89</v>
      </c>
      <c r="E5032" t="s">
        <v>76</v>
      </c>
      <c r="F5032" t="s">
        <v>114</v>
      </c>
      <c r="G5032">
        <v>1.9</v>
      </c>
      <c r="H5032">
        <v>-0.12</v>
      </c>
      <c r="I5032">
        <v>1.01</v>
      </c>
      <c r="J5032">
        <v>1.0201</v>
      </c>
      <c r="K5032" t="str">
        <f>IFERROR(INDEX(Rosters!$C$2:$C$155,MATCH($B5032,Rosters!$B$2:$B$155,0)),"NA")</f>
        <v>NA</v>
      </c>
      <c r="L5032" t="str">
        <f t="shared" si="234"/>
        <v>NA6TE</v>
      </c>
      <c r="M5032">
        <f>COUNTIF(L$1:L5032,L5032)</f>
        <v>49</v>
      </c>
      <c r="N5032" t="str">
        <f t="shared" si="235"/>
        <v>NA6TE-49</v>
      </c>
      <c r="O5032">
        <f>COUNTIFS(F$1:F5032,F5032,A$1:A5032,A5032)</f>
        <v>61</v>
      </c>
      <c r="P5032" t="str">
        <f t="shared" si="236"/>
        <v>Rico Gathers6</v>
      </c>
    </row>
    <row r="5033" spans="1:16" x14ac:dyDescent="0.25">
      <c r="A5033">
        <v>11</v>
      </c>
      <c r="B5033" t="s">
        <v>1499</v>
      </c>
      <c r="C5033">
        <f>-0.17-1.95</f>
        <v>-2.12</v>
      </c>
      <c r="D5033">
        <v>0.89</v>
      </c>
      <c r="E5033" t="s">
        <v>46</v>
      </c>
      <c r="F5033" t="s">
        <v>114</v>
      </c>
      <c r="G5033">
        <v>1.95</v>
      </c>
      <c r="H5033">
        <v>-0.17</v>
      </c>
      <c r="I5033">
        <v>1.06</v>
      </c>
      <c r="J5033">
        <v>1.1235999999999999</v>
      </c>
      <c r="K5033" t="str">
        <f>IFERROR(INDEX(Rosters!$C$2:$C$155,MATCH($B5033,Rosters!$B$2:$B$155,0)),"NA")</f>
        <v>NA</v>
      </c>
      <c r="L5033" t="str">
        <f t="shared" si="234"/>
        <v>NA11TE</v>
      </c>
      <c r="M5033">
        <f>COUNTIF(L$1:L5033,L5033)</f>
        <v>44</v>
      </c>
      <c r="N5033" t="str">
        <f t="shared" si="235"/>
        <v>NA11TE-44</v>
      </c>
      <c r="O5033">
        <f>COUNTIFS(F$1:F5033,F5033,A$1:A5033,A5033)</f>
        <v>56</v>
      </c>
      <c r="P5033" t="str">
        <f t="shared" si="236"/>
        <v>Rico Gathers11</v>
      </c>
    </row>
    <row r="5034" spans="1:16" x14ac:dyDescent="0.25">
      <c r="A5034">
        <v>7</v>
      </c>
      <c r="B5034" t="s">
        <v>102</v>
      </c>
      <c r="C5034" t="s">
        <v>8761</v>
      </c>
      <c r="D5034">
        <v>0.89</v>
      </c>
      <c r="E5034" t="s">
        <v>73</v>
      </c>
      <c r="F5034" t="s">
        <v>15</v>
      </c>
      <c r="G5034">
        <v>1.46</v>
      </c>
      <c r="H5034">
        <v>0.32</v>
      </c>
      <c r="I5034">
        <v>0.56999999999999995</v>
      </c>
      <c r="J5034">
        <v>0.32490000000000002</v>
      </c>
      <c r="K5034" t="str">
        <f>IFERROR(INDEX(Rosters!$C$2:$C$155,MATCH($B5034,Rosters!$B$2:$B$155,0)),"NA")</f>
        <v>NA</v>
      </c>
      <c r="L5034" t="str">
        <f t="shared" si="234"/>
        <v>NA7QB</v>
      </c>
      <c r="M5034">
        <f>COUNTIF(L$1:L5034,L5034)</f>
        <v>25</v>
      </c>
      <c r="N5034" t="str">
        <f t="shared" si="235"/>
        <v>NA7QB-25</v>
      </c>
      <c r="O5034">
        <f>COUNTIFS(F$1:F5034,F5034,A$1:A5034,A5034)</f>
        <v>39</v>
      </c>
      <c r="P5034" t="str">
        <f t="shared" si="236"/>
        <v>Trevor Siemian7</v>
      </c>
    </row>
    <row r="5035" spans="1:16" x14ac:dyDescent="0.25">
      <c r="A5035">
        <v>14</v>
      </c>
      <c r="B5035" t="s">
        <v>102</v>
      </c>
      <c r="C5035" t="s">
        <v>8761</v>
      </c>
      <c r="D5035">
        <v>0.89</v>
      </c>
      <c r="E5035" t="s">
        <v>28</v>
      </c>
      <c r="F5035" t="s">
        <v>15</v>
      </c>
      <c r="G5035">
        <v>1.46</v>
      </c>
      <c r="H5035">
        <v>0.32</v>
      </c>
      <c r="I5035">
        <v>0.56999999999999995</v>
      </c>
      <c r="J5035">
        <v>0.32490000000000002</v>
      </c>
      <c r="K5035" t="str">
        <f>IFERROR(INDEX(Rosters!$C$2:$C$155,MATCH($B5035,Rosters!$B$2:$B$155,0)),"NA")</f>
        <v>NA</v>
      </c>
      <c r="L5035" t="str">
        <f t="shared" si="234"/>
        <v>NA14QB</v>
      </c>
      <c r="M5035">
        <f>COUNTIF(L$1:L5035,L5035)</f>
        <v>27</v>
      </c>
      <c r="N5035" t="str">
        <f t="shared" si="235"/>
        <v>NA14QB-27</v>
      </c>
      <c r="O5035">
        <f>COUNTIFS(F$1:F5035,F5035,A$1:A5035,A5035)</f>
        <v>44</v>
      </c>
      <c r="P5035" t="str">
        <f t="shared" si="236"/>
        <v>Trevor Siemian14</v>
      </c>
    </row>
    <row r="5036" spans="1:16" x14ac:dyDescent="0.25">
      <c r="A5036">
        <v>16</v>
      </c>
      <c r="B5036" t="s">
        <v>336</v>
      </c>
      <c r="C5036">
        <f>-0.32-2.08</f>
        <v>-2.4</v>
      </c>
      <c r="D5036">
        <v>0.88</v>
      </c>
      <c r="E5036" t="s">
        <v>32</v>
      </c>
      <c r="F5036" t="s">
        <v>47</v>
      </c>
      <c r="G5036">
        <v>2.08</v>
      </c>
      <c r="H5036">
        <v>-0.32</v>
      </c>
      <c r="I5036">
        <v>1.2</v>
      </c>
      <c r="J5036">
        <v>1.44</v>
      </c>
      <c r="K5036" t="str">
        <f>IFERROR(INDEX(Rosters!$C$2:$C$155,MATCH($B5036,Rosters!$B$2:$B$155,0)),"NA")</f>
        <v>NA</v>
      </c>
      <c r="L5036" t="str">
        <f t="shared" si="234"/>
        <v>NA16RB</v>
      </c>
      <c r="M5036">
        <f>COUNTIF(L$1:L5036,L5036)</f>
        <v>44</v>
      </c>
      <c r="N5036" t="str">
        <f t="shared" si="235"/>
        <v>NA16RB-44</v>
      </c>
      <c r="O5036">
        <f>COUNTIFS(F$1:F5036,F5036,A$1:A5036,A5036)</f>
        <v>91</v>
      </c>
      <c r="P5036" t="str">
        <f t="shared" si="236"/>
        <v>Andy Janovich16</v>
      </c>
    </row>
    <row r="5037" spans="1:16" x14ac:dyDescent="0.25">
      <c r="A5037">
        <v>3</v>
      </c>
      <c r="B5037" t="s">
        <v>1492</v>
      </c>
      <c r="C5037" t="s">
        <v>1545</v>
      </c>
      <c r="D5037">
        <v>0.88</v>
      </c>
      <c r="E5037" t="s">
        <v>73</v>
      </c>
      <c r="F5037" t="s">
        <v>15</v>
      </c>
      <c r="G5037">
        <v>1.48</v>
      </c>
      <c r="H5037">
        <v>0.28000000000000003</v>
      </c>
      <c r="I5037">
        <v>0.6</v>
      </c>
      <c r="J5037">
        <v>0.36</v>
      </c>
      <c r="K5037" t="str">
        <f>IFERROR(INDEX(Rosters!$C$2:$C$155,MATCH($B5037,Rosters!$B$2:$B$155,0)),"NA")</f>
        <v>perry</v>
      </c>
      <c r="L5037" t="str">
        <f t="shared" si="234"/>
        <v>perry3QB</v>
      </c>
      <c r="M5037">
        <f>COUNTIF(L$1:L5037,L5037)</f>
        <v>2</v>
      </c>
      <c r="N5037" t="str">
        <f t="shared" si="235"/>
        <v>perry3QB-2</v>
      </c>
      <c r="O5037">
        <f>COUNTIFS(F$1:F5037,F5037,A$1:A5037,A5037)</f>
        <v>39</v>
      </c>
      <c r="P5037" t="str">
        <f t="shared" si="236"/>
        <v>Baker Mayfield3</v>
      </c>
    </row>
    <row r="5038" spans="1:16" x14ac:dyDescent="0.25">
      <c r="A5038">
        <v>11</v>
      </c>
      <c r="B5038" t="s">
        <v>1627</v>
      </c>
      <c r="C5038" t="s">
        <v>8762</v>
      </c>
      <c r="D5038">
        <v>0.88</v>
      </c>
      <c r="E5038" t="s">
        <v>66</v>
      </c>
      <c r="F5038" t="s">
        <v>15</v>
      </c>
      <c r="G5038">
        <v>1.56</v>
      </c>
      <c r="H5038">
        <v>0.2</v>
      </c>
      <c r="I5038">
        <v>0.68</v>
      </c>
      <c r="J5038">
        <v>0.46239999999999998</v>
      </c>
      <c r="K5038" t="str">
        <f>IFERROR(INDEX(Rosters!$C$2:$C$155,MATCH($B5038,Rosters!$B$2:$B$155,0)),"NA")</f>
        <v>NA</v>
      </c>
      <c r="L5038" t="str">
        <f t="shared" si="234"/>
        <v>NA11QB</v>
      </c>
      <c r="M5038">
        <f>COUNTIF(L$1:L5038,L5038)</f>
        <v>20</v>
      </c>
      <c r="N5038" t="str">
        <f t="shared" si="235"/>
        <v>NA11QB-20</v>
      </c>
      <c r="O5038">
        <f>COUNTIFS(F$1:F5038,F5038,A$1:A5038,A5038)</f>
        <v>35</v>
      </c>
      <c r="P5038" t="str">
        <f t="shared" si="236"/>
        <v>Blaine Gabbert11</v>
      </c>
    </row>
    <row r="5039" spans="1:16" x14ac:dyDescent="0.25">
      <c r="A5039">
        <v>12</v>
      </c>
      <c r="B5039" t="s">
        <v>1627</v>
      </c>
      <c r="C5039" t="s">
        <v>8763</v>
      </c>
      <c r="D5039">
        <v>0.88</v>
      </c>
      <c r="E5039" t="s">
        <v>36</v>
      </c>
      <c r="F5039" t="s">
        <v>15</v>
      </c>
      <c r="G5039">
        <v>1.53</v>
      </c>
      <c r="H5039">
        <v>0.23</v>
      </c>
      <c r="I5039">
        <v>0.65</v>
      </c>
      <c r="J5039">
        <v>0.42249999999999999</v>
      </c>
      <c r="K5039" t="str">
        <f>IFERROR(INDEX(Rosters!$C$2:$C$155,MATCH($B5039,Rosters!$B$2:$B$155,0)),"NA")</f>
        <v>NA</v>
      </c>
      <c r="L5039" t="str">
        <f t="shared" si="234"/>
        <v>NA12QB</v>
      </c>
      <c r="M5039">
        <f>COUNTIF(L$1:L5039,L5039)</f>
        <v>26</v>
      </c>
      <c r="N5039" t="str">
        <f t="shared" si="235"/>
        <v>NA12QB-26</v>
      </c>
      <c r="O5039">
        <f>COUNTIFS(F$1:F5039,F5039,A$1:A5039,A5039)</f>
        <v>41</v>
      </c>
      <c r="P5039" t="str">
        <f t="shared" si="236"/>
        <v>Blaine Gabbert12</v>
      </c>
    </row>
    <row r="5040" spans="1:16" x14ac:dyDescent="0.25">
      <c r="A5040">
        <v>5</v>
      </c>
      <c r="B5040" t="s">
        <v>1116</v>
      </c>
      <c r="C5040" t="s">
        <v>8764</v>
      </c>
      <c r="D5040">
        <v>0.88</v>
      </c>
      <c r="E5040" t="s">
        <v>22</v>
      </c>
      <c r="F5040" t="s">
        <v>15</v>
      </c>
      <c r="G5040">
        <v>1.49</v>
      </c>
      <c r="H5040">
        <v>0.27</v>
      </c>
      <c r="I5040">
        <v>0.61</v>
      </c>
      <c r="J5040">
        <v>0.37209999999999999</v>
      </c>
      <c r="K5040" t="str">
        <f>IFERROR(INDEX(Rosters!$C$2:$C$155,MATCH($B5040,Rosters!$B$2:$B$155,0)),"NA")</f>
        <v>NA</v>
      </c>
      <c r="L5040" t="str">
        <f t="shared" si="234"/>
        <v>NA5QB</v>
      </c>
      <c r="M5040">
        <f>COUNTIF(L$1:L5040,L5040)</f>
        <v>23</v>
      </c>
      <c r="N5040" t="str">
        <f t="shared" si="235"/>
        <v>NA5QB-23</v>
      </c>
      <c r="O5040">
        <f>COUNTIFS(F$1:F5040,F5040,A$1:A5040,A5040)</f>
        <v>40</v>
      </c>
      <c r="P5040" t="str">
        <f t="shared" si="236"/>
        <v>Brandon Weeden5</v>
      </c>
    </row>
    <row r="5041" spans="1:16" x14ac:dyDescent="0.25">
      <c r="A5041">
        <v>6</v>
      </c>
      <c r="B5041" t="s">
        <v>1116</v>
      </c>
      <c r="C5041" t="s">
        <v>8765</v>
      </c>
      <c r="D5041">
        <v>0.88</v>
      </c>
      <c r="E5041" t="s">
        <v>29</v>
      </c>
      <c r="F5041" t="s">
        <v>15</v>
      </c>
      <c r="G5041">
        <v>1.42</v>
      </c>
      <c r="H5041">
        <v>0.34</v>
      </c>
      <c r="I5041">
        <v>0.54</v>
      </c>
      <c r="J5041">
        <v>0.29160000000000003</v>
      </c>
      <c r="K5041" t="str">
        <f>IFERROR(INDEX(Rosters!$C$2:$C$155,MATCH($B5041,Rosters!$B$2:$B$155,0)),"NA")</f>
        <v>NA</v>
      </c>
      <c r="L5041" t="str">
        <f t="shared" si="234"/>
        <v>NA6QB</v>
      </c>
      <c r="M5041">
        <f>COUNTIF(L$1:L5041,L5041)</f>
        <v>24</v>
      </c>
      <c r="N5041" t="str">
        <f t="shared" si="235"/>
        <v>NA6QB-24</v>
      </c>
      <c r="O5041">
        <f>COUNTIFS(F$1:F5041,F5041,A$1:A5041,A5041)</f>
        <v>39</v>
      </c>
      <c r="P5041" t="str">
        <f t="shared" si="236"/>
        <v>Brandon Weeden6</v>
      </c>
    </row>
    <row r="5042" spans="1:16" x14ac:dyDescent="0.25">
      <c r="A5042">
        <v>4</v>
      </c>
      <c r="B5042" t="s">
        <v>365</v>
      </c>
      <c r="C5042" t="s">
        <v>4671</v>
      </c>
      <c r="D5042">
        <v>0.88</v>
      </c>
      <c r="E5042" t="s">
        <v>58</v>
      </c>
      <c r="F5042" t="s">
        <v>15</v>
      </c>
      <c r="G5042">
        <v>1.35</v>
      </c>
      <c r="H5042">
        <v>0.41</v>
      </c>
      <c r="I5042">
        <v>0.47</v>
      </c>
      <c r="J5042">
        <v>0.22090000000000001</v>
      </c>
      <c r="K5042" t="str">
        <f>IFERROR(INDEX(Rosters!$C$2:$C$155,MATCH($B5042,Rosters!$B$2:$B$155,0)),"NA")</f>
        <v>NA</v>
      </c>
      <c r="L5042" t="str">
        <f t="shared" si="234"/>
        <v>NA4QB</v>
      </c>
      <c r="M5042">
        <f>COUNTIF(L$1:L5042,L5042)</f>
        <v>22</v>
      </c>
      <c r="N5042" t="str">
        <f t="shared" si="235"/>
        <v>NA4QB-22</v>
      </c>
      <c r="O5042">
        <f>COUNTIFS(F$1:F5042,F5042,A$1:A5042,A5042)</f>
        <v>37</v>
      </c>
      <c r="P5042" t="str">
        <f t="shared" si="236"/>
        <v>Brett Hundley4</v>
      </c>
    </row>
    <row r="5043" spans="1:16" x14ac:dyDescent="0.25">
      <c r="A5043">
        <v>7</v>
      </c>
      <c r="B5043" t="s">
        <v>2661</v>
      </c>
      <c r="C5043" t="s">
        <v>8766</v>
      </c>
      <c r="D5043">
        <v>0.88</v>
      </c>
      <c r="E5043" t="s">
        <v>60</v>
      </c>
      <c r="F5043" t="s">
        <v>87</v>
      </c>
      <c r="G5043">
        <v>1.73</v>
      </c>
      <c r="H5043">
        <v>0.03</v>
      </c>
      <c r="I5043">
        <v>0.85</v>
      </c>
      <c r="J5043">
        <v>0.72250000000000003</v>
      </c>
      <c r="K5043" t="str">
        <f>IFERROR(INDEX(Rosters!$C$2:$C$155,MATCH($B5043,Rosters!$B$2:$B$155,0)),"NA")</f>
        <v>NA</v>
      </c>
      <c r="L5043" t="str">
        <f t="shared" si="234"/>
        <v>NA7WR</v>
      </c>
      <c r="M5043">
        <f>COUNTIF(L$1:L5043,L5043)</f>
        <v>62</v>
      </c>
      <c r="N5043" t="str">
        <f t="shared" si="235"/>
        <v>NA7WR-62</v>
      </c>
      <c r="O5043">
        <f>COUNTIFS(F$1:F5043,F5043,A$1:A5043,A5043)</f>
        <v>107</v>
      </c>
      <c r="P5043" t="str">
        <f t="shared" si="236"/>
        <v>Brice Butler7</v>
      </c>
    </row>
    <row r="5044" spans="1:16" x14ac:dyDescent="0.25">
      <c r="A5044">
        <v>15</v>
      </c>
      <c r="B5044" t="s">
        <v>384</v>
      </c>
      <c r="C5044" t="s">
        <v>8764</v>
      </c>
      <c r="D5044">
        <v>0.88</v>
      </c>
      <c r="E5044" t="s">
        <v>41</v>
      </c>
      <c r="F5044" t="s">
        <v>15</v>
      </c>
      <c r="G5044">
        <v>1.49</v>
      </c>
      <c r="H5044">
        <v>0.27</v>
      </c>
      <c r="I5044">
        <v>0.61</v>
      </c>
      <c r="J5044">
        <v>0.37209999999999999</v>
      </c>
      <c r="K5044" t="str">
        <f>IFERROR(INDEX(Rosters!$C$2:$C$155,MATCH($B5044,Rosters!$B$2:$B$155,0)),"NA")</f>
        <v>NA</v>
      </c>
      <c r="L5044" t="str">
        <f t="shared" si="234"/>
        <v>NA15QB</v>
      </c>
      <c r="M5044">
        <f>COUNTIF(L$1:L5044,L5044)</f>
        <v>28</v>
      </c>
      <c r="N5044" t="str">
        <f t="shared" si="235"/>
        <v>NA15QB-28</v>
      </c>
      <c r="O5044">
        <f>COUNTIFS(F$1:F5044,F5044,A$1:A5044,A5044)</f>
        <v>45</v>
      </c>
      <c r="P5044" t="str">
        <f t="shared" si="236"/>
        <v>Chase Daniel15</v>
      </c>
    </row>
    <row r="5045" spans="1:16" x14ac:dyDescent="0.25">
      <c r="A5045">
        <v>5</v>
      </c>
      <c r="B5045" t="s">
        <v>744</v>
      </c>
      <c r="C5045" t="s">
        <v>1545</v>
      </c>
      <c r="D5045">
        <v>0.88</v>
      </c>
      <c r="E5045" t="s">
        <v>24</v>
      </c>
      <c r="F5045" t="s">
        <v>15</v>
      </c>
      <c r="G5045">
        <v>1.48</v>
      </c>
      <c r="H5045">
        <v>0.28000000000000003</v>
      </c>
      <c r="I5045">
        <v>0.6</v>
      </c>
      <c r="J5045">
        <v>0.36</v>
      </c>
      <c r="K5045" t="str">
        <f>IFERROR(INDEX(Rosters!$C$2:$C$155,MATCH($B5045,Rosters!$B$2:$B$155,0)),"NA")</f>
        <v>NA</v>
      </c>
      <c r="L5045" t="str">
        <f t="shared" si="234"/>
        <v>NA5QB</v>
      </c>
      <c r="M5045">
        <f>COUNTIF(L$1:L5045,L5045)</f>
        <v>24</v>
      </c>
      <c r="N5045" t="str">
        <f t="shared" si="235"/>
        <v>NA5QB-24</v>
      </c>
      <c r="O5045">
        <f>COUNTIFS(F$1:F5045,F5045,A$1:A5045,A5045)</f>
        <v>41</v>
      </c>
      <c r="P5045" t="str">
        <f t="shared" si="236"/>
        <v>Cody Kessler5</v>
      </c>
    </row>
    <row r="5046" spans="1:16" x14ac:dyDescent="0.25">
      <c r="A5046">
        <v>13</v>
      </c>
      <c r="B5046" t="s">
        <v>744</v>
      </c>
      <c r="C5046" t="s">
        <v>4672</v>
      </c>
      <c r="D5046">
        <v>0.88</v>
      </c>
      <c r="E5046" t="s">
        <v>66</v>
      </c>
      <c r="F5046" t="s">
        <v>15</v>
      </c>
      <c r="G5046">
        <v>1.44</v>
      </c>
      <c r="H5046">
        <v>0.32</v>
      </c>
      <c r="I5046">
        <v>0.56000000000000005</v>
      </c>
      <c r="J5046">
        <v>0.31359999999999999</v>
      </c>
      <c r="K5046" t="str">
        <f>IFERROR(INDEX(Rosters!$C$2:$C$155,MATCH($B5046,Rosters!$B$2:$B$155,0)),"NA")</f>
        <v>NA</v>
      </c>
      <c r="L5046" t="str">
        <f t="shared" si="234"/>
        <v>NA13QB</v>
      </c>
      <c r="M5046">
        <f>COUNTIF(L$1:L5046,L5046)</f>
        <v>26</v>
      </c>
      <c r="N5046" t="str">
        <f t="shared" si="235"/>
        <v>NA13QB-26</v>
      </c>
      <c r="O5046">
        <f>COUNTIFS(F$1:F5046,F5046,A$1:A5046,A5046)</f>
        <v>43</v>
      </c>
      <c r="P5046" t="str">
        <f t="shared" si="236"/>
        <v>Cody Kessler13</v>
      </c>
    </row>
    <row r="5047" spans="1:16" x14ac:dyDescent="0.25">
      <c r="A5047">
        <v>11</v>
      </c>
      <c r="B5047" t="s">
        <v>331</v>
      </c>
      <c r="C5047" t="s">
        <v>8767</v>
      </c>
      <c r="D5047">
        <v>0.88</v>
      </c>
      <c r="E5047" t="s">
        <v>36</v>
      </c>
      <c r="F5047" t="s">
        <v>15</v>
      </c>
      <c r="G5047">
        <v>1.51</v>
      </c>
      <c r="H5047">
        <v>0.25</v>
      </c>
      <c r="I5047">
        <v>0.63</v>
      </c>
      <c r="J5047">
        <v>0.39689999999999998</v>
      </c>
      <c r="K5047" t="str">
        <f>IFERROR(INDEX(Rosters!$C$2:$C$155,MATCH($B5047,Rosters!$B$2:$B$155,0)),"NA")</f>
        <v>NA</v>
      </c>
      <c r="L5047" t="str">
        <f t="shared" si="234"/>
        <v>NA11QB</v>
      </c>
      <c r="M5047">
        <f>COUNTIF(L$1:L5047,L5047)</f>
        <v>21</v>
      </c>
      <c r="N5047" t="str">
        <f t="shared" si="235"/>
        <v>NA11QB-21</v>
      </c>
      <c r="O5047">
        <f>COUNTIFS(F$1:F5047,F5047,A$1:A5047,A5047)</f>
        <v>36</v>
      </c>
      <c r="P5047" t="str">
        <f t="shared" si="236"/>
        <v>Colt McCoy11</v>
      </c>
    </row>
    <row r="5048" spans="1:16" x14ac:dyDescent="0.25">
      <c r="A5048">
        <v>14</v>
      </c>
      <c r="B5048" t="s">
        <v>331</v>
      </c>
      <c r="C5048" t="s">
        <v>8768</v>
      </c>
      <c r="D5048">
        <v>0.88</v>
      </c>
      <c r="E5048" t="s">
        <v>54</v>
      </c>
      <c r="F5048" t="s">
        <v>15</v>
      </c>
      <c r="G5048">
        <v>1.47</v>
      </c>
      <c r="H5048">
        <v>0.28999999999999998</v>
      </c>
      <c r="I5048">
        <v>0.59</v>
      </c>
      <c r="J5048">
        <v>0.34810000000000002</v>
      </c>
      <c r="K5048" t="str">
        <f>IFERROR(INDEX(Rosters!$C$2:$C$155,MATCH($B5048,Rosters!$B$2:$B$155,0)),"NA")</f>
        <v>NA</v>
      </c>
      <c r="L5048" t="str">
        <f t="shared" si="234"/>
        <v>NA14QB</v>
      </c>
      <c r="M5048">
        <f>COUNTIF(L$1:L5048,L5048)</f>
        <v>28</v>
      </c>
      <c r="N5048" t="str">
        <f t="shared" si="235"/>
        <v>NA14QB-28</v>
      </c>
      <c r="O5048">
        <f>COUNTIFS(F$1:F5048,F5048,A$1:A5048,A5048)</f>
        <v>45</v>
      </c>
      <c r="P5048" t="str">
        <f t="shared" si="236"/>
        <v>Colt McCoy14</v>
      </c>
    </row>
    <row r="5049" spans="1:16" x14ac:dyDescent="0.25">
      <c r="A5049">
        <v>7</v>
      </c>
      <c r="B5049" t="s">
        <v>1109</v>
      </c>
      <c r="C5049" t="s">
        <v>8764</v>
      </c>
      <c r="D5049">
        <v>0.88</v>
      </c>
      <c r="E5049" t="s">
        <v>38</v>
      </c>
      <c r="F5049" t="s">
        <v>15</v>
      </c>
      <c r="G5049">
        <v>1.49</v>
      </c>
      <c r="H5049">
        <v>0.27</v>
      </c>
      <c r="I5049">
        <v>0.61</v>
      </c>
      <c r="J5049">
        <v>0.37209999999999999</v>
      </c>
      <c r="K5049" t="str">
        <f>IFERROR(INDEX(Rosters!$C$2:$C$155,MATCH($B5049,Rosters!$B$2:$B$155,0)),"NA")</f>
        <v>NA</v>
      </c>
      <c r="L5049" t="str">
        <f t="shared" si="234"/>
        <v>NA7QB</v>
      </c>
      <c r="M5049">
        <f>COUNTIF(L$1:L5049,L5049)</f>
        <v>26</v>
      </c>
      <c r="N5049" t="str">
        <f t="shared" si="235"/>
        <v>NA7QB-26</v>
      </c>
      <c r="O5049">
        <f>COUNTIFS(F$1:F5049,F5049,A$1:A5049,A5049)</f>
        <v>40</v>
      </c>
      <c r="P5049" t="str">
        <f t="shared" si="236"/>
        <v>Geno Smith7</v>
      </c>
    </row>
    <row r="5050" spans="1:16" x14ac:dyDescent="0.25">
      <c r="A5050">
        <v>12</v>
      </c>
      <c r="B5050" t="s">
        <v>1109</v>
      </c>
      <c r="C5050" t="s">
        <v>1544</v>
      </c>
      <c r="D5050">
        <v>0.88</v>
      </c>
      <c r="E5050" t="s">
        <v>58</v>
      </c>
      <c r="F5050" t="s">
        <v>15</v>
      </c>
      <c r="G5050">
        <v>1.5</v>
      </c>
      <c r="H5050">
        <v>0.26</v>
      </c>
      <c r="I5050">
        <v>0.62</v>
      </c>
      <c r="J5050">
        <v>0.38440000000000002</v>
      </c>
      <c r="K5050" t="str">
        <f>IFERROR(INDEX(Rosters!$C$2:$C$155,MATCH($B5050,Rosters!$B$2:$B$155,0)),"NA")</f>
        <v>NA</v>
      </c>
      <c r="L5050" t="str">
        <f t="shared" si="234"/>
        <v>NA12QB</v>
      </c>
      <c r="M5050">
        <f>COUNTIF(L$1:L5050,L5050)</f>
        <v>27</v>
      </c>
      <c r="N5050" t="str">
        <f t="shared" si="235"/>
        <v>NA12QB-27</v>
      </c>
      <c r="O5050">
        <f>COUNTIFS(F$1:F5050,F5050,A$1:A5050,A5050)</f>
        <v>42</v>
      </c>
      <c r="P5050" t="str">
        <f t="shared" si="236"/>
        <v>Geno Smith12</v>
      </c>
    </row>
    <row r="5051" spans="1:16" x14ac:dyDescent="0.25">
      <c r="A5051">
        <v>14</v>
      </c>
      <c r="B5051" t="s">
        <v>1109</v>
      </c>
      <c r="C5051" t="s">
        <v>1544</v>
      </c>
      <c r="D5051">
        <v>0.88</v>
      </c>
      <c r="E5051" t="s">
        <v>31</v>
      </c>
      <c r="F5051" t="s">
        <v>15</v>
      </c>
      <c r="G5051">
        <v>1.5</v>
      </c>
      <c r="H5051">
        <v>0.26</v>
      </c>
      <c r="I5051">
        <v>0.62</v>
      </c>
      <c r="J5051">
        <v>0.38440000000000002</v>
      </c>
      <c r="K5051" t="str">
        <f>IFERROR(INDEX(Rosters!$C$2:$C$155,MATCH($B5051,Rosters!$B$2:$B$155,0)),"NA")</f>
        <v>NA</v>
      </c>
      <c r="L5051" t="str">
        <f t="shared" si="234"/>
        <v>NA14QB</v>
      </c>
      <c r="M5051">
        <f>COUNTIF(L$1:L5051,L5051)</f>
        <v>29</v>
      </c>
      <c r="N5051" t="str">
        <f t="shared" si="235"/>
        <v>NA14QB-29</v>
      </c>
      <c r="O5051">
        <f>COUNTIFS(F$1:F5051,F5051,A$1:A5051,A5051)</f>
        <v>46</v>
      </c>
      <c r="P5051" t="str">
        <f t="shared" si="236"/>
        <v>Geno Smith14</v>
      </c>
    </row>
    <row r="5052" spans="1:16" x14ac:dyDescent="0.25">
      <c r="A5052">
        <v>17</v>
      </c>
      <c r="B5052" t="s">
        <v>1109</v>
      </c>
      <c r="C5052" t="s">
        <v>1544</v>
      </c>
      <c r="D5052">
        <v>0.88</v>
      </c>
      <c r="E5052" t="s">
        <v>42</v>
      </c>
      <c r="F5052" t="s">
        <v>15</v>
      </c>
      <c r="G5052">
        <v>1.5</v>
      </c>
      <c r="H5052">
        <v>0.26</v>
      </c>
      <c r="I5052">
        <v>0.62</v>
      </c>
      <c r="J5052">
        <v>0.38440000000000002</v>
      </c>
      <c r="K5052" t="str">
        <f>IFERROR(INDEX(Rosters!$C$2:$C$155,MATCH($B5052,Rosters!$B$2:$B$155,0)),"NA")</f>
        <v>NA</v>
      </c>
      <c r="L5052" t="str">
        <f t="shared" si="234"/>
        <v>NA17QB</v>
      </c>
      <c r="M5052">
        <f>COUNTIF(L$1:L5052,L5052)</f>
        <v>27</v>
      </c>
      <c r="N5052" t="str">
        <f t="shared" si="235"/>
        <v>NA17QB-27</v>
      </c>
      <c r="O5052">
        <f>COUNTIFS(F$1:F5052,F5052,A$1:A5052,A5052)</f>
        <v>44</v>
      </c>
      <c r="P5052" t="str">
        <f t="shared" si="236"/>
        <v>Geno Smith17</v>
      </c>
    </row>
    <row r="5053" spans="1:16" x14ac:dyDescent="0.25">
      <c r="A5053">
        <v>16</v>
      </c>
      <c r="B5053" t="s">
        <v>1497</v>
      </c>
      <c r="C5053" t="s">
        <v>8769</v>
      </c>
      <c r="D5053">
        <v>0.88</v>
      </c>
      <c r="E5053" t="s">
        <v>54</v>
      </c>
      <c r="F5053" t="s">
        <v>15</v>
      </c>
      <c r="G5053">
        <v>1.37</v>
      </c>
      <c r="H5053">
        <v>0.39</v>
      </c>
      <c r="I5053">
        <v>0.49</v>
      </c>
      <c r="J5053">
        <v>0.24010000000000001</v>
      </c>
      <c r="K5053" t="str">
        <f>IFERROR(INDEX(Rosters!$C$2:$C$155,MATCH($B5053,Rosters!$B$2:$B$155,0)),"NA")</f>
        <v>NA</v>
      </c>
      <c r="L5053" t="str">
        <f t="shared" si="234"/>
        <v>NA16QB</v>
      </c>
      <c r="M5053">
        <f>COUNTIF(L$1:L5053,L5053)</f>
        <v>26</v>
      </c>
      <c r="N5053" t="str">
        <f t="shared" si="235"/>
        <v>NA16QB-26</v>
      </c>
      <c r="O5053">
        <f>COUNTIFS(F$1:F5053,F5053,A$1:A5053,A5053)</f>
        <v>43</v>
      </c>
      <c r="P5053" t="str">
        <f t="shared" si="236"/>
        <v>Jacoby Brissett16</v>
      </c>
    </row>
    <row r="5054" spans="1:16" x14ac:dyDescent="0.25">
      <c r="A5054">
        <v>5</v>
      </c>
      <c r="B5054" t="s">
        <v>391</v>
      </c>
      <c r="C5054">
        <f>-0.05-1.81</f>
        <v>-1.86</v>
      </c>
      <c r="D5054">
        <v>0.88</v>
      </c>
      <c r="E5054" t="s">
        <v>66</v>
      </c>
      <c r="F5054" t="s">
        <v>87</v>
      </c>
      <c r="G5054">
        <v>1.81</v>
      </c>
      <c r="H5054">
        <v>-0.05</v>
      </c>
      <c r="I5054">
        <v>0.93</v>
      </c>
      <c r="J5054">
        <v>0.8649</v>
      </c>
      <c r="K5054" t="str">
        <f>IFERROR(INDEX(Rosters!$C$2:$C$155,MATCH($B5054,Rosters!$B$2:$B$155,0)),"NA")</f>
        <v>NA</v>
      </c>
      <c r="L5054" t="str">
        <f t="shared" si="234"/>
        <v>NA5WR</v>
      </c>
      <c r="M5054">
        <f>COUNTIF(L$1:L5054,L5054)</f>
        <v>77</v>
      </c>
      <c r="N5054" t="str">
        <f t="shared" si="235"/>
        <v>NA5WR-77</v>
      </c>
      <c r="O5054">
        <f>COUNTIFS(F$1:F5054,F5054,A$1:A5054,A5054)</f>
        <v>127</v>
      </c>
      <c r="P5054" t="str">
        <f t="shared" si="236"/>
        <v>Matt Slater5</v>
      </c>
    </row>
    <row r="5055" spans="1:16" x14ac:dyDescent="0.25">
      <c r="A5055">
        <v>15</v>
      </c>
      <c r="B5055" t="s">
        <v>1499</v>
      </c>
      <c r="C5055">
        <f>-0.24-2</f>
        <v>-2.2400000000000002</v>
      </c>
      <c r="D5055">
        <v>0.88</v>
      </c>
      <c r="E5055" t="s">
        <v>66</v>
      </c>
      <c r="F5055" t="s">
        <v>114</v>
      </c>
      <c r="G5055">
        <v>2</v>
      </c>
      <c r="H5055">
        <v>-0.24</v>
      </c>
      <c r="I5055">
        <v>1.1200000000000001</v>
      </c>
      <c r="J5055">
        <v>1.2544</v>
      </c>
      <c r="K5055" t="str">
        <f>IFERROR(INDEX(Rosters!$C$2:$C$155,MATCH($B5055,Rosters!$B$2:$B$155,0)),"NA")</f>
        <v>NA</v>
      </c>
      <c r="L5055" t="str">
        <f t="shared" si="234"/>
        <v>NA15TE</v>
      </c>
      <c r="M5055">
        <f>COUNTIF(L$1:L5055,L5055)</f>
        <v>54</v>
      </c>
      <c r="N5055" t="str">
        <f t="shared" si="235"/>
        <v>NA15TE-54</v>
      </c>
      <c r="O5055">
        <f>COUNTIFS(F$1:F5055,F5055,A$1:A5055,A5055)</f>
        <v>68</v>
      </c>
      <c r="P5055" t="str">
        <f t="shared" si="236"/>
        <v>Rico Gathers15</v>
      </c>
    </row>
    <row r="5056" spans="1:16" x14ac:dyDescent="0.25">
      <c r="A5056">
        <v>7</v>
      </c>
      <c r="B5056" t="s">
        <v>347</v>
      </c>
      <c r="C5056" t="s">
        <v>8763</v>
      </c>
      <c r="D5056">
        <v>0.88</v>
      </c>
      <c r="E5056" t="s">
        <v>30</v>
      </c>
      <c r="F5056" t="s">
        <v>15</v>
      </c>
      <c r="G5056">
        <v>1.53</v>
      </c>
      <c r="H5056">
        <v>0.23</v>
      </c>
      <c r="I5056">
        <v>0.65</v>
      </c>
      <c r="J5056">
        <v>0.42249999999999999</v>
      </c>
      <c r="K5056" t="str">
        <f>IFERROR(INDEX(Rosters!$C$2:$C$155,MATCH($B5056,Rosters!$B$2:$B$155,0)),"NA")</f>
        <v>NA</v>
      </c>
      <c r="L5056" t="str">
        <f t="shared" si="234"/>
        <v>NA7QB</v>
      </c>
      <c r="M5056">
        <f>COUNTIF(L$1:L5056,L5056)</f>
        <v>27</v>
      </c>
      <c r="N5056" t="str">
        <f t="shared" si="235"/>
        <v>NA7QB-27</v>
      </c>
      <c r="O5056">
        <f>COUNTIFS(F$1:F5056,F5056,A$1:A5056,A5056)</f>
        <v>41</v>
      </c>
      <c r="P5056" t="str">
        <f t="shared" si="236"/>
        <v>Sean Mannion7</v>
      </c>
    </row>
    <row r="5057" spans="1:16" x14ac:dyDescent="0.25">
      <c r="A5057">
        <v>9</v>
      </c>
      <c r="B5057" t="s">
        <v>347</v>
      </c>
      <c r="C5057" t="s">
        <v>8770</v>
      </c>
      <c r="D5057">
        <v>0.88</v>
      </c>
      <c r="E5057" t="s">
        <v>14</v>
      </c>
      <c r="F5057" t="s">
        <v>15</v>
      </c>
      <c r="G5057">
        <v>1.54</v>
      </c>
      <c r="H5057">
        <v>0.22</v>
      </c>
      <c r="I5057">
        <v>0.66</v>
      </c>
      <c r="J5057">
        <v>0.43559999999999999</v>
      </c>
      <c r="K5057" t="str">
        <f>IFERROR(INDEX(Rosters!$C$2:$C$155,MATCH($B5057,Rosters!$B$2:$B$155,0)),"NA")</f>
        <v>NA</v>
      </c>
      <c r="L5057" t="str">
        <f t="shared" si="234"/>
        <v>NA9QB</v>
      </c>
      <c r="M5057">
        <f>COUNTIF(L$1:L5057,L5057)</f>
        <v>23</v>
      </c>
      <c r="N5057" t="str">
        <f t="shared" si="235"/>
        <v>NA9QB-23</v>
      </c>
      <c r="O5057">
        <f>COUNTIFS(F$1:F5057,F5057,A$1:A5057,A5057)</f>
        <v>37</v>
      </c>
      <c r="P5057" t="str">
        <f t="shared" si="236"/>
        <v>Sean Mannion9</v>
      </c>
    </row>
    <row r="5058" spans="1:16" x14ac:dyDescent="0.25">
      <c r="A5058">
        <v>13</v>
      </c>
      <c r="B5058" t="s">
        <v>347</v>
      </c>
      <c r="C5058" t="s">
        <v>8762</v>
      </c>
      <c r="D5058">
        <v>0.88</v>
      </c>
      <c r="E5058" t="s">
        <v>34</v>
      </c>
      <c r="F5058" t="s">
        <v>15</v>
      </c>
      <c r="G5058">
        <v>1.56</v>
      </c>
      <c r="H5058">
        <v>0.2</v>
      </c>
      <c r="I5058">
        <v>0.68</v>
      </c>
      <c r="J5058">
        <v>0.46239999999999998</v>
      </c>
      <c r="K5058" t="str">
        <f>IFERROR(INDEX(Rosters!$C$2:$C$155,MATCH($B5058,Rosters!$B$2:$B$155,0)),"NA")</f>
        <v>NA</v>
      </c>
      <c r="L5058" t="str">
        <f t="shared" si="234"/>
        <v>NA13QB</v>
      </c>
      <c r="M5058">
        <f>COUNTIF(L$1:L5058,L5058)</f>
        <v>27</v>
      </c>
      <c r="N5058" t="str">
        <f t="shared" si="235"/>
        <v>NA13QB-27</v>
      </c>
      <c r="O5058">
        <f>COUNTIFS(F$1:F5058,F5058,A$1:A5058,A5058)</f>
        <v>44</v>
      </c>
      <c r="P5058" t="str">
        <f t="shared" si="236"/>
        <v>Sean Mannion13</v>
      </c>
    </row>
    <row r="5059" spans="1:16" x14ac:dyDescent="0.25">
      <c r="A5059">
        <v>9</v>
      </c>
      <c r="B5059" t="s">
        <v>1627</v>
      </c>
      <c r="C5059" t="s">
        <v>8771</v>
      </c>
      <c r="D5059">
        <v>0.87</v>
      </c>
      <c r="E5059" t="s">
        <v>22</v>
      </c>
      <c r="F5059" t="s">
        <v>15</v>
      </c>
      <c r="G5059">
        <v>1.56</v>
      </c>
      <c r="H5059">
        <v>0.18</v>
      </c>
      <c r="I5059">
        <v>0.69</v>
      </c>
      <c r="J5059">
        <v>0.47610000000000002</v>
      </c>
      <c r="K5059" t="str">
        <f>IFERROR(INDEX(Rosters!$C$2:$C$155,MATCH($B5059,Rosters!$B$2:$B$155,0)),"NA")</f>
        <v>NA</v>
      </c>
      <c r="L5059" t="str">
        <f t="shared" ref="L5059:L5122" si="237">K5059&amp;A5059&amp;F5059</f>
        <v>NA9QB</v>
      </c>
      <c r="M5059">
        <f>COUNTIF(L$1:L5059,L5059)</f>
        <v>24</v>
      </c>
      <c r="N5059" t="str">
        <f t="shared" ref="N5059:N5122" si="238">L5059&amp;"-"&amp;M5059</f>
        <v>NA9QB-24</v>
      </c>
      <c r="O5059">
        <f>COUNTIFS(F$1:F5059,F5059,A$1:A5059,A5059)</f>
        <v>38</v>
      </c>
      <c r="P5059" t="str">
        <f t="shared" ref="P5059:P5122" si="239">B5059&amp;A5059</f>
        <v>Blaine Gabbert9</v>
      </c>
    </row>
    <row r="5060" spans="1:16" x14ac:dyDescent="0.25">
      <c r="A5060">
        <v>10</v>
      </c>
      <c r="B5060" t="s">
        <v>1627</v>
      </c>
      <c r="C5060" t="s">
        <v>8772</v>
      </c>
      <c r="D5060">
        <v>0.87</v>
      </c>
      <c r="E5060" t="s">
        <v>423</v>
      </c>
      <c r="F5060" t="s">
        <v>15</v>
      </c>
      <c r="G5060">
        <v>1.54</v>
      </c>
      <c r="H5060">
        <v>0.2</v>
      </c>
      <c r="I5060">
        <v>0.67</v>
      </c>
      <c r="J5060">
        <v>0.44890000000000002</v>
      </c>
      <c r="K5060" t="str">
        <f>IFERROR(INDEX(Rosters!$C$2:$C$155,MATCH($B5060,Rosters!$B$2:$B$155,0)),"NA")</f>
        <v>NA</v>
      </c>
      <c r="L5060" t="str">
        <f t="shared" si="237"/>
        <v>NA10QB</v>
      </c>
      <c r="M5060">
        <f>COUNTIF(L$1:L5060,L5060)</f>
        <v>24</v>
      </c>
      <c r="N5060" t="str">
        <f t="shared" si="238"/>
        <v>NA10QB-24</v>
      </c>
      <c r="O5060">
        <f>COUNTIFS(F$1:F5060,F5060,A$1:A5060,A5060)</f>
        <v>40</v>
      </c>
      <c r="P5060" t="str">
        <f t="shared" si="239"/>
        <v>Blaine Gabbert10</v>
      </c>
    </row>
    <row r="5061" spans="1:16" x14ac:dyDescent="0.25">
      <c r="A5061">
        <v>5</v>
      </c>
      <c r="B5061" t="s">
        <v>3569</v>
      </c>
      <c r="C5061" t="s">
        <v>8773</v>
      </c>
      <c r="D5061">
        <v>0.87</v>
      </c>
      <c r="E5061" t="s">
        <v>24</v>
      </c>
      <c r="F5061" t="s">
        <v>47</v>
      </c>
      <c r="G5061">
        <v>1.72</v>
      </c>
      <c r="H5061">
        <v>0.02</v>
      </c>
      <c r="I5061">
        <v>0.85</v>
      </c>
      <c r="J5061">
        <v>0.72250000000000003</v>
      </c>
      <c r="K5061" t="str">
        <f>IFERROR(INDEX(Rosters!$C$2:$C$155,MATCH($B5061,Rosters!$B$2:$B$155,0)),"NA")</f>
        <v>NA</v>
      </c>
      <c r="L5061" t="str">
        <f t="shared" si="237"/>
        <v>NA5RB</v>
      </c>
      <c r="M5061">
        <f>COUNTIF(L$1:L5061,L5061)</f>
        <v>43</v>
      </c>
      <c r="N5061" t="str">
        <f t="shared" si="238"/>
        <v>NA5RB-43</v>
      </c>
      <c r="O5061">
        <f>COUNTIFS(F$1:F5061,F5061,A$1:A5061,A5061)</f>
        <v>86</v>
      </c>
      <c r="P5061" t="str">
        <f t="shared" si="239"/>
        <v>Brandon Wilds5</v>
      </c>
    </row>
    <row r="5062" spans="1:16" x14ac:dyDescent="0.25">
      <c r="A5062">
        <v>5</v>
      </c>
      <c r="B5062" t="s">
        <v>2661</v>
      </c>
      <c r="C5062">
        <f>-0.13-1.87</f>
        <v>-2</v>
      </c>
      <c r="D5062">
        <v>0.87</v>
      </c>
      <c r="E5062" t="s">
        <v>36</v>
      </c>
      <c r="F5062" t="s">
        <v>87</v>
      </c>
      <c r="G5062">
        <v>1.87</v>
      </c>
      <c r="H5062">
        <v>-0.13</v>
      </c>
      <c r="I5062">
        <v>1</v>
      </c>
      <c r="J5062">
        <v>1</v>
      </c>
      <c r="K5062" t="str">
        <f>IFERROR(INDEX(Rosters!$C$2:$C$155,MATCH($B5062,Rosters!$B$2:$B$155,0)),"NA")</f>
        <v>NA</v>
      </c>
      <c r="L5062" t="str">
        <f t="shared" si="237"/>
        <v>NA5WR</v>
      </c>
      <c r="M5062">
        <f>COUNTIF(L$1:L5062,L5062)</f>
        <v>78</v>
      </c>
      <c r="N5062" t="str">
        <f t="shared" si="238"/>
        <v>NA5WR-78</v>
      </c>
      <c r="O5062">
        <f>COUNTIFS(F$1:F5062,F5062,A$1:A5062,A5062)</f>
        <v>128</v>
      </c>
      <c r="P5062" t="str">
        <f t="shared" si="239"/>
        <v>Brice Butler5</v>
      </c>
    </row>
    <row r="5063" spans="1:16" x14ac:dyDescent="0.25">
      <c r="A5063">
        <v>13</v>
      </c>
      <c r="B5063" t="s">
        <v>384</v>
      </c>
      <c r="C5063" t="s">
        <v>8774</v>
      </c>
      <c r="D5063">
        <v>0.87</v>
      </c>
      <c r="E5063" t="s">
        <v>54</v>
      </c>
      <c r="F5063" t="s">
        <v>15</v>
      </c>
      <c r="G5063">
        <v>1.48</v>
      </c>
      <c r="H5063">
        <v>0.26</v>
      </c>
      <c r="I5063">
        <v>0.61</v>
      </c>
      <c r="J5063">
        <v>0.37209999999999999</v>
      </c>
      <c r="K5063" t="str">
        <f>IFERROR(INDEX(Rosters!$C$2:$C$155,MATCH($B5063,Rosters!$B$2:$B$155,0)),"NA")</f>
        <v>NA</v>
      </c>
      <c r="L5063" t="str">
        <f t="shared" si="237"/>
        <v>NA13QB</v>
      </c>
      <c r="M5063">
        <f>COUNTIF(L$1:L5063,L5063)</f>
        <v>28</v>
      </c>
      <c r="N5063" t="str">
        <f t="shared" si="238"/>
        <v>NA13QB-28</v>
      </c>
      <c r="O5063">
        <f>COUNTIFS(F$1:F5063,F5063,A$1:A5063,A5063)</f>
        <v>45</v>
      </c>
      <c r="P5063" t="str">
        <f t="shared" si="239"/>
        <v>Chase Daniel13</v>
      </c>
    </row>
    <row r="5064" spans="1:16" x14ac:dyDescent="0.25">
      <c r="A5064">
        <v>17</v>
      </c>
      <c r="B5064" t="s">
        <v>744</v>
      </c>
      <c r="C5064" t="s">
        <v>3821</v>
      </c>
      <c r="D5064">
        <v>0.87</v>
      </c>
      <c r="E5064" t="s">
        <v>36</v>
      </c>
      <c r="F5064" t="s">
        <v>15</v>
      </c>
      <c r="G5064">
        <v>1.47</v>
      </c>
      <c r="H5064">
        <v>0.27</v>
      </c>
      <c r="I5064">
        <v>0.6</v>
      </c>
      <c r="J5064">
        <v>0.36</v>
      </c>
      <c r="K5064" t="str">
        <f>IFERROR(INDEX(Rosters!$C$2:$C$155,MATCH($B5064,Rosters!$B$2:$B$155,0)),"NA")</f>
        <v>NA</v>
      </c>
      <c r="L5064" t="str">
        <f t="shared" si="237"/>
        <v>NA17QB</v>
      </c>
      <c r="M5064">
        <f>COUNTIF(L$1:L5064,L5064)</f>
        <v>28</v>
      </c>
      <c r="N5064" t="str">
        <f t="shared" si="238"/>
        <v>NA17QB-28</v>
      </c>
      <c r="O5064">
        <f>COUNTIFS(F$1:F5064,F5064,A$1:A5064,A5064)</f>
        <v>45</v>
      </c>
      <c r="P5064" t="str">
        <f t="shared" si="239"/>
        <v>Cody Kessler17</v>
      </c>
    </row>
    <row r="5065" spans="1:16" x14ac:dyDescent="0.25">
      <c r="A5065">
        <v>7</v>
      </c>
      <c r="B5065" t="s">
        <v>331</v>
      </c>
      <c r="C5065" t="s">
        <v>8774</v>
      </c>
      <c r="D5065">
        <v>0.87</v>
      </c>
      <c r="E5065" t="s">
        <v>22</v>
      </c>
      <c r="F5065" t="s">
        <v>15</v>
      </c>
      <c r="G5065">
        <v>1.48</v>
      </c>
      <c r="H5065">
        <v>0.26</v>
      </c>
      <c r="I5065">
        <v>0.61</v>
      </c>
      <c r="J5065">
        <v>0.37209999999999999</v>
      </c>
      <c r="K5065" t="str">
        <f>IFERROR(INDEX(Rosters!$C$2:$C$155,MATCH($B5065,Rosters!$B$2:$B$155,0)),"NA")</f>
        <v>NA</v>
      </c>
      <c r="L5065" t="str">
        <f t="shared" si="237"/>
        <v>NA7QB</v>
      </c>
      <c r="M5065">
        <f>COUNTIF(L$1:L5065,L5065)</f>
        <v>28</v>
      </c>
      <c r="N5065" t="str">
        <f t="shared" si="238"/>
        <v>NA7QB-28</v>
      </c>
      <c r="O5065">
        <f>COUNTIFS(F$1:F5065,F5065,A$1:A5065,A5065)</f>
        <v>42</v>
      </c>
      <c r="P5065" t="str">
        <f t="shared" si="239"/>
        <v>Colt McCoy7</v>
      </c>
    </row>
    <row r="5066" spans="1:16" x14ac:dyDescent="0.25">
      <c r="A5066">
        <v>5</v>
      </c>
      <c r="B5066" t="s">
        <v>1497</v>
      </c>
      <c r="C5066" t="s">
        <v>8775</v>
      </c>
      <c r="D5066">
        <v>0.87</v>
      </c>
      <c r="E5066" t="s">
        <v>423</v>
      </c>
      <c r="F5066" t="s">
        <v>15</v>
      </c>
      <c r="G5066">
        <v>1.38</v>
      </c>
      <c r="H5066">
        <v>0.36</v>
      </c>
      <c r="I5066">
        <v>0.51</v>
      </c>
      <c r="J5066">
        <v>0.2601</v>
      </c>
      <c r="K5066" t="str">
        <f>IFERROR(INDEX(Rosters!$C$2:$C$155,MATCH($B5066,Rosters!$B$2:$B$155,0)),"NA")</f>
        <v>NA</v>
      </c>
      <c r="L5066" t="str">
        <f t="shared" si="237"/>
        <v>NA5QB</v>
      </c>
      <c r="M5066">
        <f>COUNTIF(L$1:L5066,L5066)</f>
        <v>25</v>
      </c>
      <c r="N5066" t="str">
        <f t="shared" si="238"/>
        <v>NA5QB-25</v>
      </c>
      <c r="O5066">
        <f>COUNTIFS(F$1:F5066,F5066,A$1:A5066,A5066)</f>
        <v>42</v>
      </c>
      <c r="P5066" t="str">
        <f t="shared" si="239"/>
        <v>Jacoby Brissett5</v>
      </c>
    </row>
    <row r="5067" spans="1:16" x14ac:dyDescent="0.25">
      <c r="A5067">
        <v>15</v>
      </c>
      <c r="B5067" t="s">
        <v>348</v>
      </c>
      <c r="C5067" t="s">
        <v>8776</v>
      </c>
      <c r="D5067">
        <v>0.87</v>
      </c>
      <c r="E5067" t="s">
        <v>38</v>
      </c>
      <c r="F5067" t="s">
        <v>114</v>
      </c>
      <c r="G5067">
        <v>1.61</v>
      </c>
      <c r="H5067">
        <v>0.13</v>
      </c>
      <c r="I5067">
        <v>0.74</v>
      </c>
      <c r="J5067">
        <v>0.54759999999999998</v>
      </c>
      <c r="K5067" t="str">
        <f>IFERROR(INDEX(Rosters!$C$2:$C$155,MATCH($B5067,Rosters!$B$2:$B$155,0)),"NA")</f>
        <v>NA</v>
      </c>
      <c r="L5067" t="str">
        <f t="shared" si="237"/>
        <v>NA15TE</v>
      </c>
      <c r="M5067">
        <f>COUNTIF(L$1:L5067,L5067)</f>
        <v>55</v>
      </c>
      <c r="N5067" t="str">
        <f t="shared" si="238"/>
        <v>NA15TE-55</v>
      </c>
      <c r="O5067">
        <f>COUNTIFS(F$1:F5067,F5067,A$1:A5067,A5067)</f>
        <v>69</v>
      </c>
      <c r="P5067" t="str">
        <f t="shared" si="239"/>
        <v>Jerell Adams15</v>
      </c>
    </row>
    <row r="5068" spans="1:16" x14ac:dyDescent="0.25">
      <c r="A5068">
        <v>13</v>
      </c>
      <c r="B5068" t="s">
        <v>4612</v>
      </c>
      <c r="C5068">
        <f>-0.08-1.82</f>
        <v>-1.9000000000000001</v>
      </c>
      <c r="D5068">
        <v>0.87</v>
      </c>
      <c r="E5068" t="s">
        <v>34</v>
      </c>
      <c r="F5068" t="s">
        <v>87</v>
      </c>
      <c r="G5068">
        <v>1.82</v>
      </c>
      <c r="H5068">
        <v>-0.08</v>
      </c>
      <c r="I5068">
        <v>0.95</v>
      </c>
      <c r="J5068">
        <v>0.90249999999999997</v>
      </c>
      <c r="K5068" t="str">
        <f>IFERROR(INDEX(Rosters!$C$2:$C$155,MATCH($B5068,Rosters!$B$2:$B$155,0)),"NA")</f>
        <v>NA</v>
      </c>
      <c r="L5068" t="str">
        <f t="shared" si="237"/>
        <v>NA13WR</v>
      </c>
      <c r="M5068">
        <f>COUNTIF(L$1:L5068,L5068)</f>
        <v>67</v>
      </c>
      <c r="N5068" t="str">
        <f t="shared" si="238"/>
        <v>NA13WR-67</v>
      </c>
      <c r="O5068">
        <f>COUNTIFS(F$1:F5068,F5068,A$1:A5068,A5068)</f>
        <v>121</v>
      </c>
      <c r="P5068" t="str">
        <f t="shared" si="239"/>
        <v>Khadarel Hodge13</v>
      </c>
    </row>
    <row r="5069" spans="1:16" x14ac:dyDescent="0.25">
      <c r="A5069">
        <v>8</v>
      </c>
      <c r="B5069" t="s">
        <v>1146</v>
      </c>
      <c r="C5069" t="s">
        <v>8777</v>
      </c>
      <c r="D5069">
        <v>0.87</v>
      </c>
      <c r="E5069" t="s">
        <v>54</v>
      </c>
      <c r="F5069" t="s">
        <v>87</v>
      </c>
      <c r="G5069">
        <v>1.73</v>
      </c>
      <c r="H5069">
        <v>0.01</v>
      </c>
      <c r="I5069">
        <v>0.86</v>
      </c>
      <c r="J5069">
        <v>0.73960000000000004</v>
      </c>
      <c r="K5069" t="str">
        <f>IFERROR(INDEX(Rosters!$C$2:$C$155,MATCH($B5069,Rosters!$B$2:$B$155,0)),"NA")</f>
        <v>NA</v>
      </c>
      <c r="L5069" t="str">
        <f t="shared" si="237"/>
        <v>NA8WR</v>
      </c>
      <c r="M5069">
        <f>COUNTIF(L$1:L5069,L5069)</f>
        <v>60</v>
      </c>
      <c r="N5069" t="str">
        <f t="shared" si="238"/>
        <v>NA8WR-60</v>
      </c>
      <c r="O5069">
        <f>COUNTIFS(F$1:F5069,F5069,A$1:A5069,A5069)</f>
        <v>109</v>
      </c>
      <c r="P5069" t="str">
        <f t="shared" si="239"/>
        <v>Maurice Harris8</v>
      </c>
    </row>
    <row r="5070" spans="1:16" x14ac:dyDescent="0.25">
      <c r="A5070">
        <v>9</v>
      </c>
      <c r="B5070" t="s">
        <v>1146</v>
      </c>
      <c r="C5070">
        <f>-0.04-1.78</f>
        <v>-1.82</v>
      </c>
      <c r="D5070">
        <v>0.87</v>
      </c>
      <c r="E5070" t="s">
        <v>46</v>
      </c>
      <c r="F5070" t="s">
        <v>87</v>
      </c>
      <c r="G5070">
        <v>1.78</v>
      </c>
      <c r="H5070">
        <v>-0.04</v>
      </c>
      <c r="I5070">
        <v>0.91</v>
      </c>
      <c r="J5070">
        <v>0.82809999999999995</v>
      </c>
      <c r="K5070" t="str">
        <f>IFERROR(INDEX(Rosters!$C$2:$C$155,MATCH($B5070,Rosters!$B$2:$B$155,0)),"NA")</f>
        <v>NA</v>
      </c>
      <c r="L5070" t="str">
        <f t="shared" si="237"/>
        <v>NA9WR</v>
      </c>
      <c r="M5070">
        <f>COUNTIF(L$1:L5070,L5070)</f>
        <v>62</v>
      </c>
      <c r="N5070" t="str">
        <f t="shared" si="238"/>
        <v>NA9WR-62</v>
      </c>
      <c r="O5070">
        <f>COUNTIFS(F$1:F5070,F5070,A$1:A5070,A5070)</f>
        <v>106</v>
      </c>
      <c r="P5070" t="str">
        <f t="shared" si="239"/>
        <v>Maurice Harris9</v>
      </c>
    </row>
    <row r="5071" spans="1:16" x14ac:dyDescent="0.25">
      <c r="A5071">
        <v>12</v>
      </c>
      <c r="B5071" t="s">
        <v>2889</v>
      </c>
      <c r="C5071" t="s">
        <v>8778</v>
      </c>
      <c r="D5071">
        <v>0.87</v>
      </c>
      <c r="E5071" t="s">
        <v>46</v>
      </c>
      <c r="F5071" t="s">
        <v>47</v>
      </c>
      <c r="G5071">
        <v>1.66</v>
      </c>
      <c r="H5071">
        <v>0.08</v>
      </c>
      <c r="I5071">
        <v>0.79</v>
      </c>
      <c r="J5071">
        <v>0.62409999999999999</v>
      </c>
      <c r="K5071" t="str">
        <f>IFERROR(INDEX(Rosters!$C$2:$C$155,MATCH($B5071,Rosters!$B$2:$B$155,0)),"NA")</f>
        <v>NA</v>
      </c>
      <c r="L5071" t="str">
        <f t="shared" si="237"/>
        <v>NA12RB</v>
      </c>
      <c r="M5071">
        <f>COUNTIF(L$1:L5071,L5071)</f>
        <v>42</v>
      </c>
      <c r="N5071" t="str">
        <f t="shared" si="238"/>
        <v>NA12RB-42</v>
      </c>
      <c r="O5071">
        <f>COUNTIFS(F$1:F5071,F5071,A$1:A5071,A5071)</f>
        <v>87</v>
      </c>
      <c r="P5071" t="str">
        <f t="shared" si="239"/>
        <v>Zach Line12</v>
      </c>
    </row>
    <row r="5072" spans="1:16" x14ac:dyDescent="0.25">
      <c r="A5072">
        <v>14</v>
      </c>
      <c r="B5072" t="s">
        <v>2889</v>
      </c>
      <c r="C5072" t="s">
        <v>8779</v>
      </c>
      <c r="D5072">
        <v>0.87</v>
      </c>
      <c r="E5072" t="s">
        <v>17</v>
      </c>
      <c r="F5072" t="s">
        <v>47</v>
      </c>
      <c r="G5072">
        <v>1.63</v>
      </c>
      <c r="H5072">
        <v>0.11</v>
      </c>
      <c r="I5072">
        <v>0.76</v>
      </c>
      <c r="J5072">
        <v>0.5776</v>
      </c>
      <c r="K5072" t="str">
        <f>IFERROR(INDEX(Rosters!$C$2:$C$155,MATCH($B5072,Rosters!$B$2:$B$155,0)),"NA")</f>
        <v>NA</v>
      </c>
      <c r="L5072" t="str">
        <f t="shared" si="237"/>
        <v>NA14RB</v>
      </c>
      <c r="M5072">
        <f>COUNTIF(L$1:L5072,L5072)</f>
        <v>45</v>
      </c>
      <c r="N5072" t="str">
        <f t="shared" si="238"/>
        <v>NA14RB-45</v>
      </c>
      <c r="O5072">
        <f>COUNTIFS(F$1:F5072,F5072,A$1:A5072,A5072)</f>
        <v>92</v>
      </c>
      <c r="P5072" t="str">
        <f t="shared" si="239"/>
        <v>Zach Line14</v>
      </c>
    </row>
    <row r="5073" spans="1:16" x14ac:dyDescent="0.25">
      <c r="A5073">
        <v>13</v>
      </c>
      <c r="B5073" t="s">
        <v>324</v>
      </c>
      <c r="C5073" t="s">
        <v>8780</v>
      </c>
      <c r="D5073">
        <v>0.86</v>
      </c>
      <c r="E5073" t="s">
        <v>24</v>
      </c>
      <c r="F5073" t="s">
        <v>15</v>
      </c>
      <c r="G5073">
        <v>1.47</v>
      </c>
      <c r="H5073">
        <v>0.25</v>
      </c>
      <c r="I5073">
        <v>0.61</v>
      </c>
      <c r="J5073">
        <v>0.37209999999999999</v>
      </c>
      <c r="K5073" t="str">
        <f>IFERROR(INDEX(Rosters!$C$2:$C$155,MATCH($B5073,Rosters!$B$2:$B$155,0)),"NA")</f>
        <v>NA</v>
      </c>
      <c r="L5073" t="str">
        <f t="shared" si="237"/>
        <v>NA13QB</v>
      </c>
      <c r="M5073">
        <f>COUNTIF(L$1:L5073,L5073)</f>
        <v>29</v>
      </c>
      <c r="N5073" t="str">
        <f t="shared" si="238"/>
        <v>NA13QB-29</v>
      </c>
      <c r="O5073">
        <f>COUNTIFS(F$1:F5073,F5073,A$1:A5073,A5073)</f>
        <v>46</v>
      </c>
      <c r="P5073" t="str">
        <f t="shared" si="239"/>
        <v>A.J. McCarron13</v>
      </c>
    </row>
    <row r="5074" spans="1:16" x14ac:dyDescent="0.25">
      <c r="A5074">
        <v>8</v>
      </c>
      <c r="B5074" t="s">
        <v>1116</v>
      </c>
      <c r="C5074" t="s">
        <v>4674</v>
      </c>
      <c r="D5074">
        <v>0.86</v>
      </c>
      <c r="E5074" t="s">
        <v>19</v>
      </c>
      <c r="F5074" t="s">
        <v>15</v>
      </c>
      <c r="G5074">
        <v>1.43</v>
      </c>
      <c r="H5074">
        <v>0.28999999999999998</v>
      </c>
      <c r="I5074">
        <v>0.56999999999999995</v>
      </c>
      <c r="J5074">
        <v>0.32490000000000002</v>
      </c>
      <c r="K5074" t="str">
        <f>IFERROR(INDEX(Rosters!$C$2:$C$155,MATCH($B5074,Rosters!$B$2:$B$155,0)),"NA")</f>
        <v>NA</v>
      </c>
      <c r="L5074" t="str">
        <f t="shared" si="237"/>
        <v>NA8QB</v>
      </c>
      <c r="M5074">
        <f>COUNTIF(L$1:L5074,L5074)</f>
        <v>25</v>
      </c>
      <c r="N5074" t="str">
        <f t="shared" si="238"/>
        <v>NA8QB-25</v>
      </c>
      <c r="O5074">
        <f>COUNTIFS(F$1:F5074,F5074,A$1:A5074,A5074)</f>
        <v>40</v>
      </c>
      <c r="P5074" t="str">
        <f t="shared" si="239"/>
        <v>Brandon Weeden8</v>
      </c>
    </row>
    <row r="5075" spans="1:16" x14ac:dyDescent="0.25">
      <c r="A5075">
        <v>12</v>
      </c>
      <c r="B5075" t="s">
        <v>1116</v>
      </c>
      <c r="C5075" t="s">
        <v>8781</v>
      </c>
      <c r="D5075">
        <v>0.86</v>
      </c>
      <c r="E5075" t="s">
        <v>38</v>
      </c>
      <c r="F5075" t="s">
        <v>15</v>
      </c>
      <c r="G5075">
        <v>1.42</v>
      </c>
      <c r="H5075">
        <v>0.3</v>
      </c>
      <c r="I5075">
        <v>0.56000000000000005</v>
      </c>
      <c r="J5075">
        <v>0.31359999999999999</v>
      </c>
      <c r="K5075" t="str">
        <f>IFERROR(INDEX(Rosters!$C$2:$C$155,MATCH($B5075,Rosters!$B$2:$B$155,0)),"NA")</f>
        <v>NA</v>
      </c>
      <c r="L5075" t="str">
        <f t="shared" si="237"/>
        <v>NA12QB</v>
      </c>
      <c r="M5075">
        <f>COUNTIF(L$1:L5075,L5075)</f>
        <v>28</v>
      </c>
      <c r="N5075" t="str">
        <f t="shared" si="238"/>
        <v>NA12QB-28</v>
      </c>
      <c r="O5075">
        <f>COUNTIFS(F$1:F5075,F5075,A$1:A5075,A5075)</f>
        <v>43</v>
      </c>
      <c r="P5075" t="str">
        <f t="shared" si="239"/>
        <v>Brandon Weeden12</v>
      </c>
    </row>
    <row r="5076" spans="1:16" x14ac:dyDescent="0.25">
      <c r="A5076">
        <v>17</v>
      </c>
      <c r="B5076" t="s">
        <v>1118</v>
      </c>
      <c r="C5076" t="s">
        <v>4673</v>
      </c>
      <c r="D5076">
        <v>0.86</v>
      </c>
      <c r="E5076" t="s">
        <v>73</v>
      </c>
      <c r="F5076" t="s">
        <v>15</v>
      </c>
      <c r="G5076">
        <v>1.51</v>
      </c>
      <c r="H5076">
        <v>0.21</v>
      </c>
      <c r="I5076">
        <v>0.65</v>
      </c>
      <c r="J5076">
        <v>0.42249999999999999</v>
      </c>
      <c r="K5076" t="str">
        <f>IFERROR(INDEX(Rosters!$C$2:$C$155,MATCH($B5076,Rosters!$B$2:$B$155,0)),"NA")</f>
        <v>NA</v>
      </c>
      <c r="L5076" t="str">
        <f t="shared" si="237"/>
        <v>NA17QB</v>
      </c>
      <c r="M5076">
        <f>COUNTIF(L$1:L5076,L5076)</f>
        <v>29</v>
      </c>
      <c r="N5076" t="str">
        <f t="shared" si="238"/>
        <v>NA17QB-29</v>
      </c>
      <c r="O5076">
        <f>COUNTIFS(F$1:F5076,F5076,A$1:A5076,A5076)</f>
        <v>46</v>
      </c>
      <c r="P5076" t="str">
        <f t="shared" si="239"/>
        <v>Brian Hoyer17</v>
      </c>
    </row>
    <row r="5077" spans="1:16" x14ac:dyDescent="0.25">
      <c r="A5077">
        <v>3</v>
      </c>
      <c r="B5077" t="s">
        <v>1537</v>
      </c>
      <c r="C5077" t="s">
        <v>3822</v>
      </c>
      <c r="D5077">
        <v>0.86</v>
      </c>
      <c r="E5077" t="s">
        <v>24</v>
      </c>
      <c r="F5077" t="s">
        <v>15</v>
      </c>
      <c r="G5077">
        <v>1.48</v>
      </c>
      <c r="H5077">
        <v>0.24</v>
      </c>
      <c r="I5077">
        <v>0.62</v>
      </c>
      <c r="J5077">
        <v>0.38440000000000002</v>
      </c>
      <c r="K5077" t="str">
        <f>IFERROR(INDEX(Rosters!$C$2:$C$155,MATCH($B5077,Rosters!$B$2:$B$155,0)),"NA")</f>
        <v>NA</v>
      </c>
      <c r="L5077" t="str">
        <f t="shared" si="237"/>
        <v>NA3QB</v>
      </c>
      <c r="M5077">
        <f>COUNTIF(L$1:L5077,L5077)</f>
        <v>23</v>
      </c>
      <c r="N5077" t="str">
        <f t="shared" si="238"/>
        <v>NA3QB-23</v>
      </c>
      <c r="O5077">
        <f>COUNTIFS(F$1:F5077,F5077,A$1:A5077,A5077)</f>
        <v>40</v>
      </c>
      <c r="P5077" t="str">
        <f t="shared" si="239"/>
        <v>C.J. Beathard3</v>
      </c>
    </row>
    <row r="5078" spans="1:16" x14ac:dyDescent="0.25">
      <c r="A5078">
        <v>6</v>
      </c>
      <c r="B5078" t="s">
        <v>744</v>
      </c>
      <c r="C5078" t="s">
        <v>8781</v>
      </c>
      <c r="D5078">
        <v>0.86</v>
      </c>
      <c r="E5078" t="s">
        <v>22</v>
      </c>
      <c r="F5078" t="s">
        <v>15</v>
      </c>
      <c r="G5078">
        <v>1.42</v>
      </c>
      <c r="H5078">
        <v>0.3</v>
      </c>
      <c r="I5078">
        <v>0.56000000000000005</v>
      </c>
      <c r="J5078">
        <v>0.31359999999999999</v>
      </c>
      <c r="K5078" t="str">
        <f>IFERROR(INDEX(Rosters!$C$2:$C$155,MATCH($B5078,Rosters!$B$2:$B$155,0)),"NA")</f>
        <v>NA</v>
      </c>
      <c r="L5078" t="str">
        <f t="shared" si="237"/>
        <v>NA6QB</v>
      </c>
      <c r="M5078">
        <f>COUNTIF(L$1:L5078,L5078)</f>
        <v>25</v>
      </c>
      <c r="N5078" t="str">
        <f t="shared" si="238"/>
        <v>NA6QB-25</v>
      </c>
      <c r="O5078">
        <f>COUNTIFS(F$1:F5078,F5078,A$1:A5078,A5078)</f>
        <v>40</v>
      </c>
      <c r="P5078" t="str">
        <f t="shared" si="239"/>
        <v>Cody Kessler6</v>
      </c>
    </row>
    <row r="5079" spans="1:16" x14ac:dyDescent="0.25">
      <c r="A5079">
        <v>10</v>
      </c>
      <c r="B5079" t="s">
        <v>8733</v>
      </c>
      <c r="C5079" t="s">
        <v>8782</v>
      </c>
      <c r="D5079">
        <v>0.86</v>
      </c>
      <c r="E5079" t="s">
        <v>22</v>
      </c>
      <c r="F5079" t="s">
        <v>87</v>
      </c>
      <c r="G5079">
        <v>1.67</v>
      </c>
      <c r="H5079">
        <v>0.05</v>
      </c>
      <c r="I5079">
        <v>0.81</v>
      </c>
      <c r="J5079">
        <v>0.65610000000000002</v>
      </c>
      <c r="K5079" t="str">
        <f>IFERROR(INDEX(Rosters!$C$2:$C$155,MATCH($B5079,Rosters!$B$2:$B$155,0)),"NA")</f>
        <v>NA</v>
      </c>
      <c r="L5079" t="str">
        <f t="shared" si="237"/>
        <v>NA10WR</v>
      </c>
      <c r="M5079">
        <f>COUNTIF(L$1:L5079,L5079)</f>
        <v>62</v>
      </c>
      <c r="N5079" t="str">
        <f t="shared" si="238"/>
        <v>NA10WR-62</v>
      </c>
      <c r="O5079">
        <f>COUNTIFS(F$1:F5079,F5079,A$1:A5079,A5079)</f>
        <v>107</v>
      </c>
      <c r="P5079" t="str">
        <f t="shared" si="239"/>
        <v>DeAndre Carter10</v>
      </c>
    </row>
    <row r="5080" spans="1:16" x14ac:dyDescent="0.25">
      <c r="A5080">
        <v>14</v>
      </c>
      <c r="B5080" t="s">
        <v>317</v>
      </c>
      <c r="C5080" t="s">
        <v>8783</v>
      </c>
      <c r="D5080">
        <v>0.86</v>
      </c>
      <c r="E5080" t="s">
        <v>31</v>
      </c>
      <c r="F5080" t="s">
        <v>47</v>
      </c>
      <c r="G5080">
        <v>1.58</v>
      </c>
      <c r="H5080">
        <v>0.14000000000000001</v>
      </c>
      <c r="I5080">
        <v>0.72</v>
      </c>
      <c r="J5080">
        <v>0.51839999999999997</v>
      </c>
      <c r="K5080" t="str">
        <f>IFERROR(INDEX(Rosters!$C$2:$C$155,MATCH($B5080,Rosters!$B$2:$B$155,0)),"NA")</f>
        <v>NA</v>
      </c>
      <c r="L5080" t="str">
        <f t="shared" si="237"/>
        <v>NA14RB</v>
      </c>
      <c r="M5080">
        <f>COUNTIF(L$1:L5080,L5080)</f>
        <v>46</v>
      </c>
      <c r="N5080" t="str">
        <f t="shared" si="238"/>
        <v>NA14RB-46</v>
      </c>
      <c r="O5080">
        <f>COUNTIFS(F$1:F5080,F5080,A$1:A5080,A5080)</f>
        <v>93</v>
      </c>
      <c r="P5080" t="str">
        <f t="shared" si="239"/>
        <v>Derek Watt14</v>
      </c>
    </row>
    <row r="5081" spans="1:16" x14ac:dyDescent="0.25">
      <c r="A5081">
        <v>6</v>
      </c>
      <c r="B5081" t="s">
        <v>1109</v>
      </c>
      <c r="C5081" t="s">
        <v>8780</v>
      </c>
      <c r="D5081">
        <v>0.86</v>
      </c>
      <c r="E5081" t="s">
        <v>52</v>
      </c>
      <c r="F5081" t="s">
        <v>15</v>
      </c>
      <c r="G5081">
        <v>1.47</v>
      </c>
      <c r="H5081">
        <v>0.25</v>
      </c>
      <c r="I5081">
        <v>0.61</v>
      </c>
      <c r="J5081">
        <v>0.37209999999999999</v>
      </c>
      <c r="K5081" t="str">
        <f>IFERROR(INDEX(Rosters!$C$2:$C$155,MATCH($B5081,Rosters!$B$2:$B$155,0)),"NA")</f>
        <v>NA</v>
      </c>
      <c r="L5081" t="str">
        <f t="shared" si="237"/>
        <v>NA6QB</v>
      </c>
      <c r="M5081">
        <f>COUNTIF(L$1:L5081,L5081)</f>
        <v>26</v>
      </c>
      <c r="N5081" t="str">
        <f t="shared" si="238"/>
        <v>NA6QB-26</v>
      </c>
      <c r="O5081">
        <f>COUNTIFS(F$1:F5081,F5081,A$1:A5081,A5081)</f>
        <v>41</v>
      </c>
      <c r="P5081" t="str">
        <f t="shared" si="239"/>
        <v>Geno Smith6</v>
      </c>
    </row>
    <row r="5082" spans="1:16" x14ac:dyDescent="0.25">
      <c r="A5082">
        <v>10</v>
      </c>
      <c r="B5082" t="s">
        <v>1132</v>
      </c>
      <c r="C5082">
        <f>-0.08-1.8</f>
        <v>-1.8800000000000001</v>
      </c>
      <c r="D5082">
        <v>0.86</v>
      </c>
      <c r="E5082" t="s">
        <v>32</v>
      </c>
      <c r="F5082" t="s">
        <v>87</v>
      </c>
      <c r="G5082">
        <v>1.8</v>
      </c>
      <c r="H5082">
        <v>-0.08</v>
      </c>
      <c r="I5082">
        <v>0.94</v>
      </c>
      <c r="J5082">
        <v>0.88360000000000005</v>
      </c>
      <c r="K5082" t="str">
        <f>IFERROR(INDEX(Rosters!$C$2:$C$155,MATCH($B5082,Rosters!$B$2:$B$155,0)),"NA")</f>
        <v>NA</v>
      </c>
      <c r="L5082" t="str">
        <f t="shared" si="237"/>
        <v>NA10WR</v>
      </c>
      <c r="M5082">
        <f>COUNTIF(L$1:L5082,L5082)</f>
        <v>63</v>
      </c>
      <c r="N5082" t="str">
        <f t="shared" si="238"/>
        <v>NA10WR-63</v>
      </c>
      <c r="O5082">
        <f>COUNTIFS(F$1:F5082,F5082,A$1:A5082,A5082)</f>
        <v>108</v>
      </c>
      <c r="P5082" t="str">
        <f t="shared" si="239"/>
        <v>Geremy Davis10</v>
      </c>
    </row>
    <row r="5083" spans="1:16" x14ac:dyDescent="0.25">
      <c r="A5083">
        <v>17</v>
      </c>
      <c r="B5083" t="s">
        <v>348</v>
      </c>
      <c r="C5083" t="s">
        <v>8784</v>
      </c>
      <c r="D5083">
        <v>0.86</v>
      </c>
      <c r="E5083" t="s">
        <v>22</v>
      </c>
      <c r="F5083" t="s">
        <v>114</v>
      </c>
      <c r="G5083">
        <v>1.53</v>
      </c>
      <c r="H5083">
        <v>0.19</v>
      </c>
      <c r="I5083">
        <v>0.67</v>
      </c>
      <c r="J5083">
        <v>0.44890000000000002</v>
      </c>
      <c r="K5083" t="str">
        <f>IFERROR(INDEX(Rosters!$C$2:$C$155,MATCH($B5083,Rosters!$B$2:$B$155,0)),"NA")</f>
        <v>NA</v>
      </c>
      <c r="L5083" t="str">
        <f t="shared" si="237"/>
        <v>NA17TE</v>
      </c>
      <c r="M5083">
        <f>COUNTIF(L$1:L5083,L5083)</f>
        <v>54</v>
      </c>
      <c r="N5083" t="str">
        <f t="shared" si="238"/>
        <v>NA17TE-54</v>
      </c>
      <c r="O5083">
        <f>COUNTIFS(F$1:F5083,F5083,A$1:A5083,A5083)</f>
        <v>68</v>
      </c>
      <c r="P5083" t="str">
        <f t="shared" si="239"/>
        <v>Jerell Adams17</v>
      </c>
    </row>
    <row r="5084" spans="1:16" x14ac:dyDescent="0.25">
      <c r="A5084">
        <v>6</v>
      </c>
      <c r="B5084" t="s">
        <v>359</v>
      </c>
      <c r="C5084">
        <f>-0.05-1.77</f>
        <v>-1.82</v>
      </c>
      <c r="D5084">
        <v>0.86</v>
      </c>
      <c r="E5084" t="s">
        <v>19</v>
      </c>
      <c r="F5084" t="s">
        <v>87</v>
      </c>
      <c r="G5084">
        <v>1.77</v>
      </c>
      <c r="H5084">
        <v>-0.05</v>
      </c>
      <c r="I5084">
        <v>0.91</v>
      </c>
      <c r="J5084">
        <v>0.82809999999999995</v>
      </c>
      <c r="K5084" t="str">
        <f>IFERROR(INDEX(Rosters!$C$2:$C$155,MATCH($B5084,Rosters!$B$2:$B$155,0)),"NA")</f>
        <v>NA</v>
      </c>
      <c r="L5084" t="str">
        <f t="shared" si="237"/>
        <v>NA6WR</v>
      </c>
      <c r="M5084">
        <f>COUNTIF(L$1:L5084,L5084)</f>
        <v>66</v>
      </c>
      <c r="N5084" t="str">
        <f t="shared" si="238"/>
        <v>NA6WR-66</v>
      </c>
      <c r="O5084">
        <f>COUNTIFS(F$1:F5084,F5084,A$1:A5084,A5084)</f>
        <v>116</v>
      </c>
      <c r="P5084" t="str">
        <f t="shared" si="239"/>
        <v>Josh Bellamy6</v>
      </c>
    </row>
    <row r="5085" spans="1:16" x14ac:dyDescent="0.25">
      <c r="A5085">
        <v>10</v>
      </c>
      <c r="B5085" t="s">
        <v>359</v>
      </c>
      <c r="C5085">
        <f>-0.03-1.75</f>
        <v>-1.78</v>
      </c>
      <c r="D5085">
        <v>0.86</v>
      </c>
      <c r="E5085" t="s">
        <v>34</v>
      </c>
      <c r="F5085" t="s">
        <v>87</v>
      </c>
      <c r="G5085">
        <v>1.75</v>
      </c>
      <c r="H5085">
        <v>-0.03</v>
      </c>
      <c r="I5085">
        <v>0.89</v>
      </c>
      <c r="J5085">
        <v>0.79210000000000003</v>
      </c>
      <c r="K5085" t="str">
        <f>IFERROR(INDEX(Rosters!$C$2:$C$155,MATCH($B5085,Rosters!$B$2:$B$155,0)),"NA")</f>
        <v>NA</v>
      </c>
      <c r="L5085" t="str">
        <f t="shared" si="237"/>
        <v>NA10WR</v>
      </c>
      <c r="M5085">
        <f>COUNTIF(L$1:L5085,L5085)</f>
        <v>64</v>
      </c>
      <c r="N5085" t="str">
        <f t="shared" si="238"/>
        <v>NA10WR-64</v>
      </c>
      <c r="O5085">
        <f>COUNTIFS(F$1:F5085,F5085,A$1:A5085,A5085)</f>
        <v>109</v>
      </c>
      <c r="P5085" t="str">
        <f t="shared" si="239"/>
        <v>Josh Bellamy10</v>
      </c>
    </row>
    <row r="5086" spans="1:16" x14ac:dyDescent="0.25">
      <c r="A5086">
        <v>14</v>
      </c>
      <c r="B5086" t="s">
        <v>359</v>
      </c>
      <c r="C5086" t="s">
        <v>8785</v>
      </c>
      <c r="D5086">
        <v>0.86</v>
      </c>
      <c r="E5086" t="s">
        <v>56</v>
      </c>
      <c r="F5086" t="s">
        <v>87</v>
      </c>
      <c r="G5086">
        <v>1.72</v>
      </c>
      <c r="H5086">
        <v>0</v>
      </c>
      <c r="I5086">
        <v>0.86</v>
      </c>
      <c r="J5086">
        <v>0.73960000000000004</v>
      </c>
      <c r="K5086" t="str">
        <f>IFERROR(INDEX(Rosters!$C$2:$C$155,MATCH($B5086,Rosters!$B$2:$B$155,0)),"NA")</f>
        <v>NA</v>
      </c>
      <c r="L5086" t="str">
        <f t="shared" si="237"/>
        <v>NA14WR</v>
      </c>
      <c r="M5086">
        <f>COUNTIF(L$1:L5086,L5086)</f>
        <v>68</v>
      </c>
      <c r="N5086" t="str">
        <f t="shared" si="238"/>
        <v>NA14WR-68</v>
      </c>
      <c r="O5086">
        <f>COUNTIFS(F$1:F5086,F5086,A$1:A5086,A5086)</f>
        <v>122</v>
      </c>
      <c r="P5086" t="str">
        <f t="shared" si="239"/>
        <v>Josh Bellamy14</v>
      </c>
    </row>
    <row r="5087" spans="1:16" x14ac:dyDescent="0.25">
      <c r="A5087">
        <v>15</v>
      </c>
      <c r="B5087" t="s">
        <v>359</v>
      </c>
      <c r="C5087">
        <f>-0.05-1.77</f>
        <v>-1.82</v>
      </c>
      <c r="D5087">
        <v>0.86</v>
      </c>
      <c r="E5087" t="s">
        <v>41</v>
      </c>
      <c r="F5087" t="s">
        <v>87</v>
      </c>
      <c r="G5087">
        <v>1.77</v>
      </c>
      <c r="H5087">
        <v>-0.05</v>
      </c>
      <c r="I5087">
        <v>0.91</v>
      </c>
      <c r="J5087">
        <v>0.82809999999999995</v>
      </c>
      <c r="K5087" t="str">
        <f>IFERROR(INDEX(Rosters!$C$2:$C$155,MATCH($B5087,Rosters!$B$2:$B$155,0)),"NA")</f>
        <v>NA</v>
      </c>
      <c r="L5087" t="str">
        <f t="shared" si="237"/>
        <v>NA15WR</v>
      </c>
      <c r="M5087">
        <f>COUNTIF(L$1:L5087,L5087)</f>
        <v>68</v>
      </c>
      <c r="N5087" t="str">
        <f t="shared" si="238"/>
        <v>NA15WR-68</v>
      </c>
      <c r="O5087">
        <f>COUNTIFS(F$1:F5087,F5087,A$1:A5087,A5087)</f>
        <v>122</v>
      </c>
      <c r="P5087" t="str">
        <f t="shared" si="239"/>
        <v>Josh Bellamy15</v>
      </c>
    </row>
    <row r="5088" spans="1:16" x14ac:dyDescent="0.25">
      <c r="A5088">
        <v>1</v>
      </c>
      <c r="B5088" t="s">
        <v>300</v>
      </c>
      <c r="C5088">
        <f>-0.13-1.85</f>
        <v>-1.98</v>
      </c>
      <c r="D5088">
        <v>0.86</v>
      </c>
      <c r="E5088" t="s">
        <v>72</v>
      </c>
      <c r="F5088" t="s">
        <v>114</v>
      </c>
      <c r="G5088">
        <v>1.85</v>
      </c>
      <c r="H5088">
        <v>-0.13</v>
      </c>
      <c r="I5088">
        <v>0.99</v>
      </c>
      <c r="J5088">
        <v>0.98009999999999997</v>
      </c>
      <c r="K5088" t="str">
        <f>IFERROR(INDEX(Rosters!$C$2:$C$155,MATCH($B5088,Rosters!$B$2:$B$155,0)),"NA")</f>
        <v>NA</v>
      </c>
      <c r="L5088" t="str">
        <f t="shared" si="237"/>
        <v>NA1TE</v>
      </c>
      <c r="M5088">
        <f>COUNTIF(L$1:L5088,L5088)</f>
        <v>44</v>
      </c>
      <c r="N5088" t="str">
        <f t="shared" si="238"/>
        <v>NA1TE-44</v>
      </c>
      <c r="O5088">
        <f>COUNTIFS(F$1:F5088,F5088,A$1:A5088,A5088)</f>
        <v>57</v>
      </c>
      <c r="P5088" t="str">
        <f t="shared" si="239"/>
        <v>Lance Kendricks1</v>
      </c>
    </row>
    <row r="5089" spans="1:16" x14ac:dyDescent="0.25">
      <c r="A5089">
        <v>5</v>
      </c>
      <c r="B5089" t="s">
        <v>8786</v>
      </c>
      <c r="C5089">
        <f>-0.1-1.82</f>
        <v>-1.9200000000000002</v>
      </c>
      <c r="D5089">
        <v>0.86</v>
      </c>
      <c r="E5089" t="s">
        <v>24</v>
      </c>
      <c r="F5089" t="s">
        <v>87</v>
      </c>
      <c r="G5089">
        <v>1.82</v>
      </c>
      <c r="H5089">
        <v>-0.1</v>
      </c>
      <c r="I5089">
        <v>0.96</v>
      </c>
      <c r="J5089">
        <v>0.92159999999999997</v>
      </c>
      <c r="K5089" t="str">
        <f>IFERROR(INDEX(Rosters!$C$2:$C$155,MATCH($B5089,Rosters!$B$2:$B$155,0)),"NA")</f>
        <v>NA</v>
      </c>
      <c r="L5089" t="str">
        <f t="shared" si="237"/>
        <v>NA5WR</v>
      </c>
      <c r="M5089">
        <f>COUNTIF(L$1:L5089,L5089)</f>
        <v>79</v>
      </c>
      <c r="N5089" t="str">
        <f t="shared" si="238"/>
        <v>NA5WR-79</v>
      </c>
      <c r="O5089">
        <f>COUNTIFS(F$1:F5089,F5089,A$1:A5089,A5089)</f>
        <v>129</v>
      </c>
      <c r="P5089" t="str">
        <f t="shared" si="239"/>
        <v>Rashad Greene5</v>
      </c>
    </row>
    <row r="5090" spans="1:16" x14ac:dyDescent="0.25">
      <c r="A5090">
        <v>1</v>
      </c>
      <c r="B5090" t="s">
        <v>390</v>
      </c>
      <c r="C5090">
        <f>-0.57-2.29</f>
        <v>-2.86</v>
      </c>
      <c r="D5090">
        <v>0.86</v>
      </c>
      <c r="E5090" t="s">
        <v>52</v>
      </c>
      <c r="F5090" t="s">
        <v>47</v>
      </c>
      <c r="G5090">
        <v>2.29</v>
      </c>
      <c r="H5090">
        <v>-0.56999999999999995</v>
      </c>
      <c r="I5090">
        <v>1.43</v>
      </c>
      <c r="J5090">
        <v>2.0449000000000002</v>
      </c>
      <c r="K5090" t="str">
        <f>IFERROR(INDEX(Rosters!$C$2:$C$155,MATCH($B5090,Rosters!$B$2:$B$155,0)),"NA")</f>
        <v>NA</v>
      </c>
      <c r="L5090" t="str">
        <f t="shared" si="237"/>
        <v>NA1RB</v>
      </c>
      <c r="M5090">
        <f>COUNTIF(L$1:L5090,L5090)</f>
        <v>33</v>
      </c>
      <c r="N5090" t="str">
        <f t="shared" si="238"/>
        <v>NA1RB-33</v>
      </c>
      <c r="O5090">
        <f>COUNTIFS(F$1:F5090,F5090,A$1:A5090,A5090)</f>
        <v>75</v>
      </c>
      <c r="P5090" t="str">
        <f t="shared" si="239"/>
        <v>Roosevelt Nix1</v>
      </c>
    </row>
    <row r="5091" spans="1:16" x14ac:dyDescent="0.25">
      <c r="A5091">
        <v>12</v>
      </c>
      <c r="B5091" t="s">
        <v>1131</v>
      </c>
      <c r="C5091" t="s">
        <v>8787</v>
      </c>
      <c r="D5091">
        <v>0.86</v>
      </c>
      <c r="E5091" t="s">
        <v>38</v>
      </c>
      <c r="F5091" t="s">
        <v>47</v>
      </c>
      <c r="G5091">
        <v>1.61</v>
      </c>
      <c r="H5091">
        <v>0.11</v>
      </c>
      <c r="I5091">
        <v>0.75</v>
      </c>
      <c r="J5091">
        <v>0.5625</v>
      </c>
      <c r="K5091" t="str">
        <f>IFERROR(INDEX(Rosters!$C$2:$C$155,MATCH($B5091,Rosters!$B$2:$B$155,0)),"NA")</f>
        <v>NA</v>
      </c>
      <c r="L5091" t="str">
        <f t="shared" si="237"/>
        <v>NA12RB</v>
      </c>
      <c r="M5091">
        <f>COUNTIF(L$1:L5091,L5091)</f>
        <v>43</v>
      </c>
      <c r="N5091" t="str">
        <f t="shared" si="238"/>
        <v>NA12RB-43</v>
      </c>
      <c r="O5091">
        <f>COUNTIFS(F$1:F5091,F5091,A$1:A5091,A5091)</f>
        <v>88</v>
      </c>
      <c r="P5091" t="str">
        <f t="shared" si="239"/>
        <v>Tyler Ervin12</v>
      </c>
    </row>
    <row r="5092" spans="1:16" x14ac:dyDescent="0.25">
      <c r="A5092">
        <v>5</v>
      </c>
      <c r="B5092" t="s">
        <v>2889</v>
      </c>
      <c r="C5092" t="s">
        <v>8783</v>
      </c>
      <c r="D5092">
        <v>0.86</v>
      </c>
      <c r="E5092" t="s">
        <v>60</v>
      </c>
      <c r="F5092" t="s">
        <v>47</v>
      </c>
      <c r="G5092">
        <v>1.58</v>
      </c>
      <c r="H5092">
        <v>0.14000000000000001</v>
      </c>
      <c r="I5092">
        <v>0.72</v>
      </c>
      <c r="J5092">
        <v>0.51839999999999997</v>
      </c>
      <c r="K5092" t="str">
        <f>IFERROR(INDEX(Rosters!$C$2:$C$155,MATCH($B5092,Rosters!$B$2:$B$155,0)),"NA")</f>
        <v>NA</v>
      </c>
      <c r="L5092" t="str">
        <f t="shared" si="237"/>
        <v>NA5RB</v>
      </c>
      <c r="M5092">
        <f>COUNTIF(L$1:L5092,L5092)</f>
        <v>44</v>
      </c>
      <c r="N5092" t="str">
        <f t="shared" si="238"/>
        <v>NA5RB-44</v>
      </c>
      <c r="O5092">
        <f>COUNTIFS(F$1:F5092,F5092,A$1:A5092,A5092)</f>
        <v>87</v>
      </c>
      <c r="P5092" t="str">
        <f t="shared" si="239"/>
        <v>Zach Line5</v>
      </c>
    </row>
    <row r="5093" spans="1:16" x14ac:dyDescent="0.25">
      <c r="A5093">
        <v>2</v>
      </c>
      <c r="B5093" t="s">
        <v>336</v>
      </c>
      <c r="C5093">
        <f>-0.21-1.91</f>
        <v>-2.12</v>
      </c>
      <c r="D5093">
        <v>0.85</v>
      </c>
      <c r="E5093" t="s">
        <v>32</v>
      </c>
      <c r="F5093" t="s">
        <v>47</v>
      </c>
      <c r="G5093">
        <v>1.91</v>
      </c>
      <c r="H5093">
        <v>-0.21</v>
      </c>
      <c r="I5093">
        <v>1.06</v>
      </c>
      <c r="J5093">
        <v>1.1235999999999999</v>
      </c>
      <c r="K5093" t="str">
        <f>IFERROR(INDEX(Rosters!$C$2:$C$155,MATCH($B5093,Rosters!$B$2:$B$155,0)),"NA")</f>
        <v>NA</v>
      </c>
      <c r="L5093" t="str">
        <f t="shared" si="237"/>
        <v>NA2RB</v>
      </c>
      <c r="M5093">
        <f>COUNTIF(L$1:L5093,L5093)</f>
        <v>35</v>
      </c>
      <c r="N5093" t="str">
        <f t="shared" si="238"/>
        <v>NA2RB-35</v>
      </c>
      <c r="O5093">
        <f>COUNTIFS(F$1:F5093,F5093,A$1:A5093,A5093)</f>
        <v>77</v>
      </c>
      <c r="P5093" t="str">
        <f t="shared" si="239"/>
        <v>Andy Janovich2</v>
      </c>
    </row>
    <row r="5094" spans="1:16" x14ac:dyDescent="0.25">
      <c r="A5094">
        <v>12</v>
      </c>
      <c r="B5094" t="s">
        <v>365</v>
      </c>
      <c r="C5094" t="s">
        <v>8788</v>
      </c>
      <c r="D5094">
        <v>0.85</v>
      </c>
      <c r="E5094" t="s">
        <v>74</v>
      </c>
      <c r="F5094" t="s">
        <v>15</v>
      </c>
      <c r="G5094">
        <v>1.37</v>
      </c>
      <c r="H5094">
        <v>0.33</v>
      </c>
      <c r="I5094">
        <v>0.52</v>
      </c>
      <c r="J5094">
        <v>0.27039999999999997</v>
      </c>
      <c r="K5094" t="str">
        <f>IFERROR(INDEX(Rosters!$C$2:$C$155,MATCH($B5094,Rosters!$B$2:$B$155,0)),"NA")</f>
        <v>NA</v>
      </c>
      <c r="L5094" t="str">
        <f t="shared" si="237"/>
        <v>NA12QB</v>
      </c>
      <c r="M5094">
        <f>COUNTIF(L$1:L5094,L5094)</f>
        <v>29</v>
      </c>
      <c r="N5094" t="str">
        <f t="shared" si="238"/>
        <v>NA12QB-29</v>
      </c>
      <c r="O5094">
        <f>COUNTIFS(F$1:F5094,F5094,A$1:A5094,A5094)</f>
        <v>44</v>
      </c>
      <c r="P5094" t="str">
        <f t="shared" si="239"/>
        <v>Brett Hundley12</v>
      </c>
    </row>
    <row r="5095" spans="1:16" x14ac:dyDescent="0.25">
      <c r="A5095">
        <v>13</v>
      </c>
      <c r="B5095" t="s">
        <v>1550</v>
      </c>
      <c r="C5095" t="s">
        <v>8789</v>
      </c>
      <c r="D5095">
        <v>0.85</v>
      </c>
      <c r="E5095" t="s">
        <v>14</v>
      </c>
      <c r="F5095" t="s">
        <v>15</v>
      </c>
      <c r="G5095">
        <v>1.52</v>
      </c>
      <c r="H5095">
        <v>0.18</v>
      </c>
      <c r="I5095">
        <v>0.67</v>
      </c>
      <c r="J5095">
        <v>0.44890000000000002</v>
      </c>
      <c r="K5095" t="str">
        <f>IFERROR(INDEX(Rosters!$C$2:$C$155,MATCH($B5095,Rosters!$B$2:$B$155,0)),"NA")</f>
        <v>NA</v>
      </c>
      <c r="L5095" t="str">
        <f t="shared" si="237"/>
        <v>NA13QB</v>
      </c>
      <c r="M5095">
        <f>COUNTIF(L$1:L5095,L5095)</f>
        <v>30</v>
      </c>
      <c r="N5095" t="str">
        <f t="shared" si="238"/>
        <v>NA13QB-30</v>
      </c>
      <c r="O5095">
        <f>COUNTIFS(F$1:F5095,F5095,A$1:A5095,A5095)</f>
        <v>47</v>
      </c>
      <c r="P5095" t="str">
        <f t="shared" si="239"/>
        <v>Cooper Rush13</v>
      </c>
    </row>
    <row r="5096" spans="1:16" x14ac:dyDescent="0.25">
      <c r="A5096">
        <v>6</v>
      </c>
      <c r="B5096" t="s">
        <v>254</v>
      </c>
      <c r="C5096">
        <f>-0.3-2</f>
        <v>-2.2999999999999998</v>
      </c>
      <c r="D5096">
        <v>0.85</v>
      </c>
      <c r="E5096" t="s">
        <v>24</v>
      </c>
      <c r="F5096" t="s">
        <v>114</v>
      </c>
      <c r="G5096">
        <v>2</v>
      </c>
      <c r="H5096">
        <v>-0.3</v>
      </c>
      <c r="I5096">
        <v>1.1499999999999999</v>
      </c>
      <c r="J5096">
        <v>1.3225</v>
      </c>
      <c r="K5096" t="str">
        <f>IFERROR(INDEX(Rosters!$C$2:$C$155,MATCH($B5096,Rosters!$B$2:$B$155,0)),"NA")</f>
        <v>NA</v>
      </c>
      <c r="L5096" t="str">
        <f t="shared" si="237"/>
        <v>NA6TE</v>
      </c>
      <c r="M5096">
        <f>COUNTIF(L$1:L5096,L5096)</f>
        <v>50</v>
      </c>
      <c r="N5096" t="str">
        <f t="shared" si="238"/>
        <v>NA6TE-50</v>
      </c>
      <c r="O5096">
        <f>COUNTIFS(F$1:F5096,F5096,A$1:A5096,A5096)</f>
        <v>62</v>
      </c>
      <c r="P5096" t="str">
        <f t="shared" si="239"/>
        <v>Dwayne Allen6</v>
      </c>
    </row>
    <row r="5097" spans="1:16" x14ac:dyDescent="0.25">
      <c r="A5097">
        <v>9</v>
      </c>
      <c r="B5097" t="s">
        <v>1109</v>
      </c>
      <c r="C5097" t="s">
        <v>8790</v>
      </c>
      <c r="D5097">
        <v>0.85</v>
      </c>
      <c r="E5097" t="s">
        <v>28</v>
      </c>
      <c r="F5097" t="s">
        <v>15</v>
      </c>
      <c r="G5097">
        <v>1.47</v>
      </c>
      <c r="H5097">
        <v>0.23</v>
      </c>
      <c r="I5097">
        <v>0.62</v>
      </c>
      <c r="J5097">
        <v>0.38440000000000002</v>
      </c>
      <c r="K5097" t="str">
        <f>IFERROR(INDEX(Rosters!$C$2:$C$155,MATCH($B5097,Rosters!$B$2:$B$155,0)),"NA")</f>
        <v>NA</v>
      </c>
      <c r="L5097" t="str">
        <f t="shared" si="237"/>
        <v>NA9QB</v>
      </c>
      <c r="M5097">
        <f>COUNTIF(L$1:L5097,L5097)</f>
        <v>25</v>
      </c>
      <c r="N5097" t="str">
        <f t="shared" si="238"/>
        <v>NA9QB-25</v>
      </c>
      <c r="O5097">
        <f>COUNTIFS(F$1:F5097,F5097,A$1:A5097,A5097)</f>
        <v>39</v>
      </c>
      <c r="P5097" t="str">
        <f t="shared" si="239"/>
        <v>Geno Smith9</v>
      </c>
    </row>
    <row r="5098" spans="1:16" x14ac:dyDescent="0.25">
      <c r="A5098">
        <v>4</v>
      </c>
      <c r="B5098" t="s">
        <v>1132</v>
      </c>
      <c r="C5098">
        <f>-0.09-1.79</f>
        <v>-1.8800000000000001</v>
      </c>
      <c r="D5098">
        <v>0.85</v>
      </c>
      <c r="E5098" t="s">
        <v>30</v>
      </c>
      <c r="F5098" t="s">
        <v>87</v>
      </c>
      <c r="G5098">
        <v>1.79</v>
      </c>
      <c r="H5098">
        <v>-0.09</v>
      </c>
      <c r="I5098">
        <v>0.94</v>
      </c>
      <c r="J5098">
        <v>0.88360000000000005</v>
      </c>
      <c r="K5098" t="str">
        <f>IFERROR(INDEX(Rosters!$C$2:$C$155,MATCH($B5098,Rosters!$B$2:$B$155,0)),"NA")</f>
        <v>NA</v>
      </c>
      <c r="L5098" t="str">
        <f t="shared" si="237"/>
        <v>NA4WR</v>
      </c>
      <c r="M5098">
        <f>COUNTIF(L$1:L5098,L5098)</f>
        <v>55</v>
      </c>
      <c r="N5098" t="str">
        <f t="shared" si="238"/>
        <v>NA4WR-55</v>
      </c>
      <c r="O5098">
        <f>COUNTIFS(F$1:F5098,F5098,A$1:A5098,A5098)</f>
        <v>105</v>
      </c>
      <c r="P5098" t="str">
        <f t="shared" si="239"/>
        <v>Geremy Davis4</v>
      </c>
    </row>
    <row r="5099" spans="1:16" x14ac:dyDescent="0.25">
      <c r="A5099">
        <v>3</v>
      </c>
      <c r="B5099" t="s">
        <v>368</v>
      </c>
      <c r="C5099">
        <f>-0.28-1.98</f>
        <v>-2.2599999999999998</v>
      </c>
      <c r="D5099">
        <v>0.85</v>
      </c>
      <c r="E5099" t="s">
        <v>19</v>
      </c>
      <c r="F5099" t="s">
        <v>47</v>
      </c>
      <c r="G5099">
        <v>1.98</v>
      </c>
      <c r="H5099">
        <v>-0.28000000000000003</v>
      </c>
      <c r="I5099">
        <v>1.1299999999999999</v>
      </c>
      <c r="J5099">
        <v>1.2768999999999999</v>
      </c>
      <c r="K5099" t="str">
        <f>IFERROR(INDEX(Rosters!$C$2:$C$155,MATCH($B5099,Rosters!$B$2:$B$155,0)),"NA")</f>
        <v>NA</v>
      </c>
      <c r="L5099" t="str">
        <f t="shared" si="237"/>
        <v>NA3RB</v>
      </c>
      <c r="M5099">
        <f>COUNTIF(L$1:L5099,L5099)</f>
        <v>42</v>
      </c>
      <c r="N5099" t="str">
        <f t="shared" si="238"/>
        <v>NA3RB-42</v>
      </c>
      <c r="O5099">
        <f>COUNTIFS(F$1:F5099,F5099,A$1:A5099,A5099)</f>
        <v>81</v>
      </c>
      <c r="P5099" t="str">
        <f t="shared" si="239"/>
        <v>Keith Smith3</v>
      </c>
    </row>
    <row r="5100" spans="1:16" x14ac:dyDescent="0.25">
      <c r="A5100">
        <v>5</v>
      </c>
      <c r="B5100" t="s">
        <v>344</v>
      </c>
      <c r="C5100" t="s">
        <v>3823</v>
      </c>
      <c r="D5100">
        <v>0.85</v>
      </c>
      <c r="E5100" t="s">
        <v>25</v>
      </c>
      <c r="F5100" t="s">
        <v>15</v>
      </c>
      <c r="G5100">
        <v>1.44</v>
      </c>
      <c r="H5100">
        <v>0.26</v>
      </c>
      <c r="I5100">
        <v>0.59</v>
      </c>
      <c r="J5100">
        <v>0.34810000000000002</v>
      </c>
      <c r="K5100" t="str">
        <f>IFERROR(INDEX(Rosters!$C$2:$C$155,MATCH($B5100,Rosters!$B$2:$B$155,0)),"NA")</f>
        <v>NA</v>
      </c>
      <c r="L5100" t="str">
        <f t="shared" si="237"/>
        <v>NA5QB</v>
      </c>
      <c r="M5100">
        <f>COUNTIF(L$1:L5100,L5100)</f>
        <v>26</v>
      </c>
      <c r="N5100" t="str">
        <f t="shared" si="238"/>
        <v>NA5QB-26</v>
      </c>
      <c r="O5100">
        <f>COUNTIFS(F$1:F5100,F5100,A$1:A5100,A5100)</f>
        <v>43</v>
      </c>
      <c r="P5100" t="str">
        <f t="shared" si="239"/>
        <v>Nick Foles5</v>
      </c>
    </row>
    <row r="5101" spans="1:16" x14ac:dyDescent="0.25">
      <c r="A5101">
        <v>6</v>
      </c>
      <c r="B5101" t="s">
        <v>344</v>
      </c>
      <c r="C5101" t="s">
        <v>4675</v>
      </c>
      <c r="D5101">
        <v>0.85</v>
      </c>
      <c r="E5101" t="s">
        <v>54</v>
      </c>
      <c r="F5101" t="s">
        <v>15</v>
      </c>
      <c r="G5101">
        <v>1.45</v>
      </c>
      <c r="H5101">
        <v>0.25</v>
      </c>
      <c r="I5101">
        <v>0.6</v>
      </c>
      <c r="J5101">
        <v>0.36</v>
      </c>
      <c r="K5101" t="str">
        <f>IFERROR(INDEX(Rosters!$C$2:$C$155,MATCH($B5101,Rosters!$B$2:$B$155,0)),"NA")</f>
        <v>NA</v>
      </c>
      <c r="L5101" t="str">
        <f t="shared" si="237"/>
        <v>NA6QB</v>
      </c>
      <c r="M5101">
        <f>COUNTIF(L$1:L5101,L5101)</f>
        <v>27</v>
      </c>
      <c r="N5101" t="str">
        <f t="shared" si="238"/>
        <v>NA6QB-27</v>
      </c>
      <c r="O5101">
        <f>COUNTIFS(F$1:F5101,F5101,A$1:A5101,A5101)</f>
        <v>42</v>
      </c>
      <c r="P5101" t="str">
        <f t="shared" si="239"/>
        <v>Nick Foles6</v>
      </c>
    </row>
    <row r="5102" spans="1:16" x14ac:dyDescent="0.25">
      <c r="A5102">
        <v>9</v>
      </c>
      <c r="B5102" t="s">
        <v>1581</v>
      </c>
      <c r="C5102">
        <f>-0.14-1.84</f>
        <v>-1.98</v>
      </c>
      <c r="D5102">
        <v>0.85</v>
      </c>
      <c r="E5102" t="s">
        <v>77</v>
      </c>
      <c r="F5102" t="s">
        <v>47</v>
      </c>
      <c r="G5102">
        <v>1.84</v>
      </c>
      <c r="H5102">
        <v>-0.14000000000000001</v>
      </c>
      <c r="I5102">
        <v>0.99</v>
      </c>
      <c r="J5102">
        <v>0.98009999999999997</v>
      </c>
      <c r="K5102" t="str">
        <f>IFERROR(INDEX(Rosters!$C$2:$C$155,MATCH($B5102,Rosters!$B$2:$B$155,0)),"NA")</f>
        <v>NA</v>
      </c>
      <c r="L5102" t="str">
        <f t="shared" si="237"/>
        <v>NA9RB</v>
      </c>
      <c r="M5102">
        <f>COUNTIF(L$1:L5102,L5102)</f>
        <v>34</v>
      </c>
      <c r="N5102" t="str">
        <f t="shared" si="238"/>
        <v>NA9RB-34</v>
      </c>
      <c r="O5102">
        <f>COUNTIFS(F$1:F5102,F5102,A$1:A5102,A5102)</f>
        <v>74</v>
      </c>
      <c r="P5102" t="str">
        <f t="shared" si="239"/>
        <v>Stevan Ridley9</v>
      </c>
    </row>
    <row r="5103" spans="1:16" x14ac:dyDescent="0.25">
      <c r="A5103">
        <v>11</v>
      </c>
      <c r="B5103" t="s">
        <v>1581</v>
      </c>
      <c r="C5103">
        <f>-0.1-1.8</f>
        <v>-1.9000000000000001</v>
      </c>
      <c r="D5103">
        <v>0.85</v>
      </c>
      <c r="E5103" t="s">
        <v>76</v>
      </c>
      <c r="F5103" t="s">
        <v>47</v>
      </c>
      <c r="G5103">
        <v>1.8</v>
      </c>
      <c r="H5103">
        <v>-0.1</v>
      </c>
      <c r="I5103">
        <v>0.95</v>
      </c>
      <c r="J5103">
        <v>0.90249999999999997</v>
      </c>
      <c r="K5103" t="str">
        <f>IFERROR(INDEX(Rosters!$C$2:$C$155,MATCH($B5103,Rosters!$B$2:$B$155,0)),"NA")</f>
        <v>NA</v>
      </c>
      <c r="L5103" t="str">
        <f t="shared" si="237"/>
        <v>NA11RB</v>
      </c>
      <c r="M5103">
        <f>COUNTIF(L$1:L5103,L5103)</f>
        <v>35</v>
      </c>
      <c r="N5103" t="str">
        <f t="shared" si="238"/>
        <v>NA11RB-35</v>
      </c>
      <c r="O5103">
        <f>COUNTIFS(F$1:F5103,F5103,A$1:A5103,A5103)</f>
        <v>73</v>
      </c>
      <c r="P5103" t="str">
        <f t="shared" si="239"/>
        <v>Stevan Ridley11</v>
      </c>
    </row>
    <row r="5104" spans="1:16" x14ac:dyDescent="0.25">
      <c r="A5104">
        <v>17</v>
      </c>
      <c r="B5104" t="s">
        <v>102</v>
      </c>
      <c r="C5104" t="s">
        <v>8788</v>
      </c>
      <c r="D5104">
        <v>0.85</v>
      </c>
      <c r="E5104" t="s">
        <v>72</v>
      </c>
      <c r="F5104" t="s">
        <v>15</v>
      </c>
      <c r="G5104">
        <v>1.37</v>
      </c>
      <c r="H5104">
        <v>0.33</v>
      </c>
      <c r="I5104">
        <v>0.52</v>
      </c>
      <c r="J5104">
        <v>0.27039999999999997</v>
      </c>
      <c r="K5104" t="str">
        <f>IFERROR(INDEX(Rosters!$C$2:$C$155,MATCH($B5104,Rosters!$B$2:$B$155,0)),"NA")</f>
        <v>NA</v>
      </c>
      <c r="L5104" t="str">
        <f t="shared" si="237"/>
        <v>NA17QB</v>
      </c>
      <c r="M5104">
        <f>COUNTIF(L$1:L5104,L5104)</f>
        <v>30</v>
      </c>
      <c r="N5104" t="str">
        <f t="shared" si="238"/>
        <v>NA17QB-30</v>
      </c>
      <c r="O5104">
        <f>COUNTIFS(F$1:F5104,F5104,A$1:A5104,A5104)</f>
        <v>47</v>
      </c>
      <c r="P5104" t="str">
        <f t="shared" si="239"/>
        <v>Trevor Siemian17</v>
      </c>
    </row>
    <row r="5105" spans="1:16" x14ac:dyDescent="0.25">
      <c r="A5105">
        <v>1</v>
      </c>
      <c r="B5105" t="s">
        <v>336</v>
      </c>
      <c r="C5105" t="s">
        <v>1546</v>
      </c>
      <c r="D5105">
        <v>0.84</v>
      </c>
      <c r="E5105" t="s">
        <v>28</v>
      </c>
      <c r="F5105" t="s">
        <v>47</v>
      </c>
      <c r="G5105">
        <v>1.66</v>
      </c>
      <c r="H5105">
        <v>0.02</v>
      </c>
      <c r="I5105">
        <v>0.82</v>
      </c>
      <c r="J5105">
        <v>0.6724</v>
      </c>
      <c r="K5105" t="str">
        <f>IFERROR(INDEX(Rosters!$C$2:$C$155,MATCH($B5105,Rosters!$B$2:$B$155,0)),"NA")</f>
        <v>NA</v>
      </c>
      <c r="L5105" t="str">
        <f t="shared" si="237"/>
        <v>NA1RB</v>
      </c>
      <c r="M5105">
        <f>COUNTIF(L$1:L5105,L5105)</f>
        <v>34</v>
      </c>
      <c r="N5105" t="str">
        <f t="shared" si="238"/>
        <v>NA1RB-34</v>
      </c>
      <c r="O5105">
        <f>COUNTIFS(F$1:F5105,F5105,A$1:A5105,A5105)</f>
        <v>76</v>
      </c>
      <c r="P5105" t="str">
        <f t="shared" si="239"/>
        <v>Andy Janovich1</v>
      </c>
    </row>
    <row r="5106" spans="1:16" x14ac:dyDescent="0.25">
      <c r="A5106">
        <v>12</v>
      </c>
      <c r="B5106" t="s">
        <v>384</v>
      </c>
      <c r="C5106" t="s">
        <v>8791</v>
      </c>
      <c r="D5106">
        <v>0.84</v>
      </c>
      <c r="E5106" t="s">
        <v>34</v>
      </c>
      <c r="F5106" t="s">
        <v>15</v>
      </c>
      <c r="G5106">
        <v>1.47</v>
      </c>
      <c r="H5106">
        <v>0.21</v>
      </c>
      <c r="I5106">
        <v>0.63</v>
      </c>
      <c r="J5106">
        <v>0.39689999999999998</v>
      </c>
      <c r="K5106" t="str">
        <f>IFERROR(INDEX(Rosters!$C$2:$C$155,MATCH($B5106,Rosters!$B$2:$B$155,0)),"NA")</f>
        <v>NA</v>
      </c>
      <c r="L5106" t="str">
        <f t="shared" si="237"/>
        <v>NA12QB</v>
      </c>
      <c r="M5106">
        <f>COUNTIF(L$1:L5106,L5106)</f>
        <v>30</v>
      </c>
      <c r="N5106" t="str">
        <f t="shared" si="238"/>
        <v>NA12QB-30</v>
      </c>
      <c r="O5106">
        <f>COUNTIFS(F$1:F5106,F5106,A$1:A5106,A5106)</f>
        <v>45</v>
      </c>
      <c r="P5106" t="str">
        <f t="shared" si="239"/>
        <v>Chase Daniel12</v>
      </c>
    </row>
    <row r="5107" spans="1:16" x14ac:dyDescent="0.25">
      <c r="A5107">
        <v>12</v>
      </c>
      <c r="B5107" t="s">
        <v>1550</v>
      </c>
      <c r="C5107" t="s">
        <v>8792</v>
      </c>
      <c r="D5107">
        <v>0.84</v>
      </c>
      <c r="E5107" t="s">
        <v>60</v>
      </c>
      <c r="F5107" t="s">
        <v>15</v>
      </c>
      <c r="G5107">
        <v>1.49</v>
      </c>
      <c r="H5107">
        <v>0.19</v>
      </c>
      <c r="I5107">
        <v>0.65</v>
      </c>
      <c r="J5107">
        <v>0.42249999999999999</v>
      </c>
      <c r="K5107" t="str">
        <f>IFERROR(INDEX(Rosters!$C$2:$C$155,MATCH($B5107,Rosters!$B$2:$B$155,0)),"NA")</f>
        <v>NA</v>
      </c>
      <c r="L5107" t="str">
        <f t="shared" si="237"/>
        <v>NA12QB</v>
      </c>
      <c r="M5107">
        <f>COUNTIF(L$1:L5107,L5107)</f>
        <v>31</v>
      </c>
      <c r="N5107" t="str">
        <f t="shared" si="238"/>
        <v>NA12QB-31</v>
      </c>
      <c r="O5107">
        <f>COUNTIFS(F$1:F5107,F5107,A$1:A5107,A5107)</f>
        <v>46</v>
      </c>
      <c r="P5107" t="str">
        <f t="shared" si="239"/>
        <v>Cooper Rush12</v>
      </c>
    </row>
    <row r="5108" spans="1:16" x14ac:dyDescent="0.25">
      <c r="A5108">
        <v>16</v>
      </c>
      <c r="B5108" t="s">
        <v>1550</v>
      </c>
      <c r="C5108" t="s">
        <v>8793</v>
      </c>
      <c r="D5108">
        <v>0.84</v>
      </c>
      <c r="E5108" t="s">
        <v>17</v>
      </c>
      <c r="F5108" t="s">
        <v>15</v>
      </c>
      <c r="G5108">
        <v>1.51</v>
      </c>
      <c r="H5108">
        <v>0.17</v>
      </c>
      <c r="I5108">
        <v>0.67</v>
      </c>
      <c r="J5108">
        <v>0.44890000000000002</v>
      </c>
      <c r="K5108" t="str">
        <f>IFERROR(INDEX(Rosters!$C$2:$C$155,MATCH($B5108,Rosters!$B$2:$B$155,0)),"NA")</f>
        <v>NA</v>
      </c>
      <c r="L5108" t="str">
        <f t="shared" si="237"/>
        <v>NA16QB</v>
      </c>
      <c r="M5108">
        <f>COUNTIF(L$1:L5108,L5108)</f>
        <v>27</v>
      </c>
      <c r="N5108" t="str">
        <f t="shared" si="238"/>
        <v>NA16QB-27</v>
      </c>
      <c r="O5108">
        <f>COUNTIFS(F$1:F5108,F5108,A$1:A5108,A5108)</f>
        <v>44</v>
      </c>
      <c r="P5108" t="str">
        <f t="shared" si="239"/>
        <v>Cooper Rush16</v>
      </c>
    </row>
    <row r="5109" spans="1:16" x14ac:dyDescent="0.25">
      <c r="A5109">
        <v>17</v>
      </c>
      <c r="B5109" t="s">
        <v>1550</v>
      </c>
      <c r="C5109" t="s">
        <v>8794</v>
      </c>
      <c r="D5109">
        <v>0.84</v>
      </c>
      <c r="E5109" t="s">
        <v>54</v>
      </c>
      <c r="F5109" t="s">
        <v>15</v>
      </c>
      <c r="G5109">
        <v>1.5</v>
      </c>
      <c r="H5109">
        <v>0.18</v>
      </c>
      <c r="I5109">
        <v>0.66</v>
      </c>
      <c r="J5109">
        <v>0.43559999999999999</v>
      </c>
      <c r="K5109" t="str">
        <f>IFERROR(INDEX(Rosters!$C$2:$C$155,MATCH($B5109,Rosters!$B$2:$B$155,0)),"NA")</f>
        <v>NA</v>
      </c>
      <c r="L5109" t="str">
        <f t="shared" si="237"/>
        <v>NA17QB</v>
      </c>
      <c r="M5109">
        <f>COUNTIF(L$1:L5109,L5109)</f>
        <v>31</v>
      </c>
      <c r="N5109" t="str">
        <f t="shared" si="238"/>
        <v>NA17QB-31</v>
      </c>
      <c r="O5109">
        <f>COUNTIFS(F$1:F5109,F5109,A$1:A5109,A5109)</f>
        <v>48</v>
      </c>
      <c r="P5109" t="str">
        <f t="shared" si="239"/>
        <v>Cooper Rush17</v>
      </c>
    </row>
    <row r="5110" spans="1:16" x14ac:dyDescent="0.25">
      <c r="A5110">
        <v>10</v>
      </c>
      <c r="B5110" t="s">
        <v>304</v>
      </c>
      <c r="C5110" t="s">
        <v>1546</v>
      </c>
      <c r="D5110">
        <v>0.84</v>
      </c>
      <c r="E5110" t="s">
        <v>74</v>
      </c>
      <c r="F5110" t="s">
        <v>87</v>
      </c>
      <c r="G5110">
        <v>1.66</v>
      </c>
      <c r="H5110">
        <v>0.02</v>
      </c>
      <c r="I5110">
        <v>0.82</v>
      </c>
      <c r="J5110">
        <v>0.6724</v>
      </c>
      <c r="K5110" t="str">
        <f>IFERROR(INDEX(Rosters!$C$2:$C$155,MATCH($B5110,Rosters!$B$2:$B$155,0)),"NA")</f>
        <v>NA</v>
      </c>
      <c r="L5110" t="str">
        <f t="shared" si="237"/>
        <v>NA10WR</v>
      </c>
      <c r="M5110">
        <f>COUNTIF(L$1:L5110,L5110)</f>
        <v>65</v>
      </c>
      <c r="N5110" t="str">
        <f t="shared" si="238"/>
        <v>NA10WR-65</v>
      </c>
      <c r="O5110">
        <f>COUNTIFS(F$1:F5110,F5110,A$1:A5110,A5110)</f>
        <v>110</v>
      </c>
      <c r="P5110" t="str">
        <f t="shared" si="239"/>
        <v>Darrius Heyward-Bey10</v>
      </c>
    </row>
    <row r="5111" spans="1:16" x14ac:dyDescent="0.25">
      <c r="A5111">
        <v>5</v>
      </c>
      <c r="B5111" t="s">
        <v>1633</v>
      </c>
      <c r="C5111">
        <f>-0.18-1.86</f>
        <v>-2.04</v>
      </c>
      <c r="D5111">
        <v>0.84</v>
      </c>
      <c r="E5111" t="s">
        <v>423</v>
      </c>
      <c r="F5111" t="s">
        <v>87</v>
      </c>
      <c r="G5111">
        <v>1.86</v>
      </c>
      <c r="H5111">
        <v>-0.18</v>
      </c>
      <c r="I5111">
        <v>1.02</v>
      </c>
      <c r="J5111">
        <v>1.0404</v>
      </c>
      <c r="K5111" t="str">
        <f>IFERROR(INDEX(Rosters!$C$2:$C$155,MATCH($B5111,Rosters!$B$2:$B$155,0)),"NA")</f>
        <v>NA</v>
      </c>
      <c r="L5111" t="str">
        <f t="shared" si="237"/>
        <v>NA5WR</v>
      </c>
      <c r="M5111">
        <f>COUNTIF(L$1:L5111,L5111)</f>
        <v>80</v>
      </c>
      <c r="N5111" t="str">
        <f t="shared" si="238"/>
        <v>NA5WR-80</v>
      </c>
      <c r="O5111">
        <f>COUNTIFS(F$1:F5111,F5111,A$1:A5111,A5111)</f>
        <v>130</v>
      </c>
      <c r="P5111" t="str">
        <f t="shared" si="239"/>
        <v>Marcus Johnson5</v>
      </c>
    </row>
    <row r="5112" spans="1:16" x14ac:dyDescent="0.25">
      <c r="A5112">
        <v>13</v>
      </c>
      <c r="B5112" t="s">
        <v>391</v>
      </c>
      <c r="C5112">
        <f>-0.02-1.7</f>
        <v>-1.72</v>
      </c>
      <c r="D5112">
        <v>0.84</v>
      </c>
      <c r="E5112" t="s">
        <v>25</v>
      </c>
      <c r="F5112" t="s">
        <v>87</v>
      </c>
      <c r="G5112">
        <v>1.7</v>
      </c>
      <c r="H5112">
        <v>-0.02</v>
      </c>
      <c r="I5112">
        <v>0.86</v>
      </c>
      <c r="J5112">
        <v>0.73960000000000004</v>
      </c>
      <c r="K5112" t="str">
        <f>IFERROR(INDEX(Rosters!$C$2:$C$155,MATCH($B5112,Rosters!$B$2:$B$155,0)),"NA")</f>
        <v>NA</v>
      </c>
      <c r="L5112" t="str">
        <f t="shared" si="237"/>
        <v>NA13WR</v>
      </c>
      <c r="M5112">
        <f>COUNTIF(L$1:L5112,L5112)</f>
        <v>68</v>
      </c>
      <c r="N5112" t="str">
        <f t="shared" si="238"/>
        <v>NA13WR-68</v>
      </c>
      <c r="O5112">
        <f>COUNTIFS(F$1:F5112,F5112,A$1:A5112,A5112)</f>
        <v>122</v>
      </c>
      <c r="P5112" t="str">
        <f t="shared" si="239"/>
        <v>Matt Slater13</v>
      </c>
    </row>
    <row r="5113" spans="1:16" x14ac:dyDescent="0.25">
      <c r="A5113">
        <v>14</v>
      </c>
      <c r="B5113" t="s">
        <v>344</v>
      </c>
      <c r="C5113" t="s">
        <v>8791</v>
      </c>
      <c r="D5113">
        <v>0.84</v>
      </c>
      <c r="E5113" t="s">
        <v>22</v>
      </c>
      <c r="F5113" t="s">
        <v>15</v>
      </c>
      <c r="G5113">
        <v>1.47</v>
      </c>
      <c r="H5113">
        <v>0.21</v>
      </c>
      <c r="I5113">
        <v>0.63</v>
      </c>
      <c r="J5113">
        <v>0.39689999999999998</v>
      </c>
      <c r="K5113" t="str">
        <f>IFERROR(INDEX(Rosters!$C$2:$C$155,MATCH($B5113,Rosters!$B$2:$B$155,0)),"NA")</f>
        <v>NA</v>
      </c>
      <c r="L5113" t="str">
        <f t="shared" si="237"/>
        <v>NA14QB</v>
      </c>
      <c r="M5113">
        <f>COUNTIF(L$1:L5113,L5113)</f>
        <v>30</v>
      </c>
      <c r="N5113" t="str">
        <f t="shared" si="238"/>
        <v>NA14QB-30</v>
      </c>
      <c r="O5113">
        <f>COUNTIFS(F$1:F5113,F5113,A$1:A5113,A5113)</f>
        <v>47</v>
      </c>
      <c r="P5113" t="str">
        <f t="shared" si="239"/>
        <v>Nick Foles14</v>
      </c>
    </row>
    <row r="5114" spans="1:16" x14ac:dyDescent="0.25">
      <c r="A5114">
        <v>16</v>
      </c>
      <c r="B5114" t="s">
        <v>1627</v>
      </c>
      <c r="C5114" t="s">
        <v>8795</v>
      </c>
      <c r="D5114">
        <v>0.83</v>
      </c>
      <c r="E5114" t="s">
        <v>60</v>
      </c>
      <c r="F5114" t="s">
        <v>15</v>
      </c>
      <c r="G5114">
        <v>1.5</v>
      </c>
      <c r="H5114">
        <v>0.16</v>
      </c>
      <c r="I5114">
        <v>0.67</v>
      </c>
      <c r="J5114">
        <v>0.44890000000000002</v>
      </c>
      <c r="K5114" t="str">
        <f>IFERROR(INDEX(Rosters!$C$2:$C$155,MATCH($B5114,Rosters!$B$2:$B$155,0)),"NA")</f>
        <v>NA</v>
      </c>
      <c r="L5114" t="str">
        <f t="shared" si="237"/>
        <v>NA16QB</v>
      </c>
      <c r="M5114">
        <f>COUNTIF(L$1:L5114,L5114)</f>
        <v>28</v>
      </c>
      <c r="N5114" t="str">
        <f t="shared" si="238"/>
        <v>NA16QB-28</v>
      </c>
      <c r="O5114">
        <f>COUNTIFS(F$1:F5114,F5114,A$1:A5114,A5114)</f>
        <v>45</v>
      </c>
      <c r="P5114" t="str">
        <f t="shared" si="239"/>
        <v>Blaine Gabbert16</v>
      </c>
    </row>
    <row r="5115" spans="1:16" x14ac:dyDescent="0.25">
      <c r="A5115">
        <v>7</v>
      </c>
      <c r="B5115" t="s">
        <v>2274</v>
      </c>
      <c r="C5115" t="s">
        <v>8796</v>
      </c>
      <c r="D5115">
        <v>0.83</v>
      </c>
      <c r="E5115" t="s">
        <v>34</v>
      </c>
      <c r="F5115" t="s">
        <v>47</v>
      </c>
      <c r="G5115">
        <v>1.63</v>
      </c>
      <c r="H5115">
        <v>0.03</v>
      </c>
      <c r="I5115">
        <v>0.8</v>
      </c>
      <c r="J5115">
        <v>0.64</v>
      </c>
      <c r="K5115" t="str">
        <f>IFERROR(INDEX(Rosters!$C$2:$C$155,MATCH($B5115,Rosters!$B$2:$B$155,0)),"NA")</f>
        <v>NA</v>
      </c>
      <c r="L5115" t="str">
        <f t="shared" si="237"/>
        <v>NA7RB</v>
      </c>
      <c r="M5115">
        <f>COUNTIF(L$1:L5115,L5115)</f>
        <v>37</v>
      </c>
      <c r="N5115" t="str">
        <f t="shared" si="238"/>
        <v>NA7RB-37</v>
      </c>
      <c r="O5115">
        <f>COUNTIFS(F$1:F5115,F5115,A$1:A5115,A5115)</f>
        <v>78</v>
      </c>
      <c r="P5115" t="str">
        <f t="shared" si="239"/>
        <v>Brandon Bolden7</v>
      </c>
    </row>
    <row r="5116" spans="1:16" x14ac:dyDescent="0.25">
      <c r="A5116">
        <v>11</v>
      </c>
      <c r="B5116" t="s">
        <v>2661</v>
      </c>
      <c r="C5116">
        <f>-0.02-1.68</f>
        <v>-1.7</v>
      </c>
      <c r="D5116">
        <v>0.83</v>
      </c>
      <c r="E5116" t="s">
        <v>46</v>
      </c>
      <c r="F5116" t="s">
        <v>87</v>
      </c>
      <c r="G5116">
        <v>1.68</v>
      </c>
      <c r="H5116">
        <v>-0.02</v>
      </c>
      <c r="I5116">
        <v>0.85</v>
      </c>
      <c r="J5116">
        <v>0.72250000000000003</v>
      </c>
      <c r="K5116" t="str">
        <f>IFERROR(INDEX(Rosters!$C$2:$C$155,MATCH($B5116,Rosters!$B$2:$B$155,0)),"NA")</f>
        <v>NA</v>
      </c>
      <c r="L5116" t="str">
        <f t="shared" si="237"/>
        <v>NA11WR</v>
      </c>
      <c r="M5116">
        <f>COUNTIF(L$1:L5116,L5116)</f>
        <v>54</v>
      </c>
      <c r="N5116" t="str">
        <f t="shared" si="238"/>
        <v>NA11WR-54</v>
      </c>
      <c r="O5116">
        <f>COUNTIFS(F$1:F5116,F5116,A$1:A5116,A5116)</f>
        <v>101</v>
      </c>
      <c r="P5116" t="str">
        <f t="shared" si="239"/>
        <v>Brice Butler11</v>
      </c>
    </row>
    <row r="5117" spans="1:16" x14ac:dyDescent="0.25">
      <c r="A5117">
        <v>17</v>
      </c>
      <c r="B5117" t="s">
        <v>2661</v>
      </c>
      <c r="C5117">
        <f>-0.02-1.68</f>
        <v>-1.7</v>
      </c>
      <c r="D5117">
        <v>0.83</v>
      </c>
      <c r="E5117" t="s">
        <v>54</v>
      </c>
      <c r="F5117" t="s">
        <v>87</v>
      </c>
      <c r="G5117">
        <v>1.68</v>
      </c>
      <c r="H5117">
        <v>-0.02</v>
      </c>
      <c r="I5117">
        <v>0.85</v>
      </c>
      <c r="J5117">
        <v>0.72250000000000003</v>
      </c>
      <c r="K5117" t="str">
        <f>IFERROR(INDEX(Rosters!$C$2:$C$155,MATCH($B5117,Rosters!$B$2:$B$155,0)),"NA")</f>
        <v>NA</v>
      </c>
      <c r="L5117" t="str">
        <f t="shared" si="237"/>
        <v>NA17WR</v>
      </c>
      <c r="M5117">
        <f>COUNTIF(L$1:L5117,L5117)</f>
        <v>68</v>
      </c>
      <c r="N5117" t="str">
        <f t="shared" si="238"/>
        <v>NA17WR-68</v>
      </c>
      <c r="O5117">
        <f>COUNTIFS(F$1:F5117,F5117,A$1:A5117,A5117)</f>
        <v>122</v>
      </c>
      <c r="P5117" t="str">
        <f t="shared" si="239"/>
        <v>Brice Butler17</v>
      </c>
    </row>
    <row r="5118" spans="1:16" x14ac:dyDescent="0.25">
      <c r="A5118">
        <v>6</v>
      </c>
      <c r="B5118" t="s">
        <v>384</v>
      </c>
      <c r="C5118" t="s">
        <v>8797</v>
      </c>
      <c r="D5118">
        <v>0.83</v>
      </c>
      <c r="E5118" t="s">
        <v>19</v>
      </c>
      <c r="F5118" t="s">
        <v>15</v>
      </c>
      <c r="G5118">
        <v>1.44</v>
      </c>
      <c r="H5118">
        <v>0.22</v>
      </c>
      <c r="I5118">
        <v>0.61</v>
      </c>
      <c r="J5118">
        <v>0.37209999999999999</v>
      </c>
      <c r="K5118" t="str">
        <f>IFERROR(INDEX(Rosters!$C$2:$C$155,MATCH($B5118,Rosters!$B$2:$B$155,0)),"NA")</f>
        <v>NA</v>
      </c>
      <c r="L5118" t="str">
        <f t="shared" si="237"/>
        <v>NA6QB</v>
      </c>
      <c r="M5118">
        <f>COUNTIF(L$1:L5118,L5118)</f>
        <v>28</v>
      </c>
      <c r="N5118" t="str">
        <f t="shared" si="238"/>
        <v>NA6QB-28</v>
      </c>
      <c r="O5118">
        <f>COUNTIFS(F$1:F5118,F5118,A$1:A5118,A5118)</f>
        <v>43</v>
      </c>
      <c r="P5118" t="str">
        <f t="shared" si="239"/>
        <v>Chase Daniel6</v>
      </c>
    </row>
    <row r="5119" spans="1:16" x14ac:dyDescent="0.25">
      <c r="A5119">
        <v>10</v>
      </c>
      <c r="B5119" t="s">
        <v>744</v>
      </c>
      <c r="C5119" t="s">
        <v>8798</v>
      </c>
      <c r="D5119">
        <v>0.83</v>
      </c>
      <c r="E5119" t="s">
        <v>66</v>
      </c>
      <c r="F5119" t="s">
        <v>15</v>
      </c>
      <c r="G5119">
        <v>1.39</v>
      </c>
      <c r="H5119">
        <v>0.27</v>
      </c>
      <c r="I5119">
        <v>0.56000000000000005</v>
      </c>
      <c r="J5119">
        <v>0.31359999999999999</v>
      </c>
      <c r="K5119" t="str">
        <f>IFERROR(INDEX(Rosters!$C$2:$C$155,MATCH($B5119,Rosters!$B$2:$B$155,0)),"NA")</f>
        <v>NA</v>
      </c>
      <c r="L5119" t="str">
        <f t="shared" si="237"/>
        <v>NA10QB</v>
      </c>
      <c r="M5119">
        <f>COUNTIF(L$1:L5119,L5119)</f>
        <v>25</v>
      </c>
      <c r="N5119" t="str">
        <f t="shared" si="238"/>
        <v>NA10QB-25</v>
      </c>
      <c r="O5119">
        <f>COUNTIFS(F$1:F5119,F5119,A$1:A5119,A5119)</f>
        <v>41</v>
      </c>
      <c r="P5119" t="str">
        <f t="shared" si="239"/>
        <v>Cody Kessler10</v>
      </c>
    </row>
    <row r="5120" spans="1:16" x14ac:dyDescent="0.25">
      <c r="A5120">
        <v>3</v>
      </c>
      <c r="B5120" t="s">
        <v>331</v>
      </c>
      <c r="C5120" t="s">
        <v>3824</v>
      </c>
      <c r="D5120">
        <v>0.83</v>
      </c>
      <c r="E5120" t="s">
        <v>41</v>
      </c>
      <c r="F5120" t="s">
        <v>15</v>
      </c>
      <c r="G5120">
        <v>1.42</v>
      </c>
      <c r="H5120">
        <v>0.24</v>
      </c>
      <c r="I5120">
        <v>0.59</v>
      </c>
      <c r="J5120">
        <v>0.34810000000000002</v>
      </c>
      <c r="K5120" t="str">
        <f>IFERROR(INDEX(Rosters!$C$2:$C$155,MATCH($B5120,Rosters!$B$2:$B$155,0)),"NA")</f>
        <v>NA</v>
      </c>
      <c r="L5120" t="str">
        <f t="shared" si="237"/>
        <v>NA3QB</v>
      </c>
      <c r="M5120">
        <f>COUNTIF(L$1:L5120,L5120)</f>
        <v>24</v>
      </c>
      <c r="N5120" t="str">
        <f t="shared" si="238"/>
        <v>NA3QB-24</v>
      </c>
      <c r="O5120">
        <f>COUNTIFS(F$1:F5120,F5120,A$1:A5120,A5120)</f>
        <v>41</v>
      </c>
      <c r="P5120" t="str">
        <f t="shared" si="239"/>
        <v>Colt McCoy3</v>
      </c>
    </row>
    <row r="5121" spans="1:16" x14ac:dyDescent="0.25">
      <c r="A5121">
        <v>8</v>
      </c>
      <c r="B5121" t="s">
        <v>331</v>
      </c>
      <c r="C5121" t="s">
        <v>3824</v>
      </c>
      <c r="D5121">
        <v>0.83</v>
      </c>
      <c r="E5121" t="s">
        <v>54</v>
      </c>
      <c r="F5121" t="s">
        <v>15</v>
      </c>
      <c r="G5121">
        <v>1.42</v>
      </c>
      <c r="H5121">
        <v>0.24</v>
      </c>
      <c r="I5121">
        <v>0.59</v>
      </c>
      <c r="J5121">
        <v>0.34810000000000002</v>
      </c>
      <c r="K5121" t="str">
        <f>IFERROR(INDEX(Rosters!$C$2:$C$155,MATCH($B5121,Rosters!$B$2:$B$155,0)),"NA")</f>
        <v>NA</v>
      </c>
      <c r="L5121" t="str">
        <f t="shared" si="237"/>
        <v>NA8QB</v>
      </c>
      <c r="M5121">
        <f>COUNTIF(L$1:L5121,L5121)</f>
        <v>26</v>
      </c>
      <c r="N5121" t="str">
        <f t="shared" si="238"/>
        <v>NA8QB-26</v>
      </c>
      <c r="O5121">
        <f>COUNTIFS(F$1:F5121,F5121,A$1:A5121,A5121)</f>
        <v>41</v>
      </c>
      <c r="P5121" t="str">
        <f t="shared" si="239"/>
        <v>Colt McCoy8</v>
      </c>
    </row>
    <row r="5122" spans="1:16" x14ac:dyDescent="0.25">
      <c r="A5122">
        <v>7</v>
      </c>
      <c r="B5122" t="s">
        <v>1497</v>
      </c>
      <c r="C5122" t="s">
        <v>4676</v>
      </c>
      <c r="D5122">
        <v>0.83</v>
      </c>
      <c r="E5122" t="s">
        <v>29</v>
      </c>
      <c r="F5122" t="s">
        <v>15</v>
      </c>
      <c r="G5122">
        <v>1.34</v>
      </c>
      <c r="H5122">
        <v>0.32</v>
      </c>
      <c r="I5122">
        <v>0.51</v>
      </c>
      <c r="J5122">
        <v>0.2601</v>
      </c>
      <c r="K5122" t="str">
        <f>IFERROR(INDEX(Rosters!$C$2:$C$155,MATCH($B5122,Rosters!$B$2:$B$155,0)),"NA")</f>
        <v>NA</v>
      </c>
      <c r="L5122" t="str">
        <f t="shared" si="237"/>
        <v>NA7QB</v>
      </c>
      <c r="M5122">
        <f>COUNTIF(L$1:L5122,L5122)</f>
        <v>29</v>
      </c>
      <c r="N5122" t="str">
        <f t="shared" si="238"/>
        <v>NA7QB-29</v>
      </c>
      <c r="O5122">
        <f>COUNTIFS(F$1:F5122,F5122,A$1:A5122,A5122)</f>
        <v>43</v>
      </c>
      <c r="P5122" t="str">
        <f t="shared" si="239"/>
        <v>Jacoby Brissett7</v>
      </c>
    </row>
    <row r="5123" spans="1:16" x14ac:dyDescent="0.25">
      <c r="A5123">
        <v>11</v>
      </c>
      <c r="B5123" t="s">
        <v>348</v>
      </c>
      <c r="C5123" t="s">
        <v>8799</v>
      </c>
      <c r="D5123">
        <v>0.83</v>
      </c>
      <c r="E5123" t="s">
        <v>17</v>
      </c>
      <c r="F5123" t="s">
        <v>114</v>
      </c>
      <c r="G5123">
        <v>1.55</v>
      </c>
      <c r="H5123">
        <v>0.11</v>
      </c>
      <c r="I5123">
        <v>0.72</v>
      </c>
      <c r="J5123">
        <v>0.51839999999999997</v>
      </c>
      <c r="K5123" t="str">
        <f>IFERROR(INDEX(Rosters!$C$2:$C$155,MATCH($B5123,Rosters!$B$2:$B$155,0)),"NA")</f>
        <v>NA</v>
      </c>
      <c r="L5123" t="str">
        <f t="shared" ref="L5123:L5186" si="240">K5123&amp;A5123&amp;F5123</f>
        <v>NA11TE</v>
      </c>
      <c r="M5123">
        <f>COUNTIF(L$1:L5123,L5123)</f>
        <v>45</v>
      </c>
      <c r="N5123" t="str">
        <f t="shared" ref="N5123:N5186" si="241">L5123&amp;"-"&amp;M5123</f>
        <v>NA11TE-45</v>
      </c>
      <c r="O5123">
        <f>COUNTIFS(F$1:F5123,F5123,A$1:A5123,A5123)</f>
        <v>57</v>
      </c>
      <c r="P5123" t="str">
        <f t="shared" ref="P5123:P5186" si="242">B5123&amp;A5123</f>
        <v>Jerell Adams11</v>
      </c>
    </row>
    <row r="5124" spans="1:16" x14ac:dyDescent="0.25">
      <c r="A5124">
        <v>12</v>
      </c>
      <c r="B5124" t="s">
        <v>359</v>
      </c>
      <c r="C5124">
        <f>-0.06-1.72</f>
        <v>-1.78</v>
      </c>
      <c r="D5124">
        <v>0.83</v>
      </c>
      <c r="E5124" t="s">
        <v>34</v>
      </c>
      <c r="F5124" t="s">
        <v>87</v>
      </c>
      <c r="G5124">
        <v>1.72</v>
      </c>
      <c r="H5124">
        <v>-0.06</v>
      </c>
      <c r="I5124">
        <v>0.89</v>
      </c>
      <c r="J5124">
        <v>0.79210000000000003</v>
      </c>
      <c r="K5124" t="str">
        <f>IFERROR(INDEX(Rosters!$C$2:$C$155,MATCH($B5124,Rosters!$B$2:$B$155,0)),"NA")</f>
        <v>NA</v>
      </c>
      <c r="L5124" t="str">
        <f t="shared" si="240"/>
        <v>NA12WR</v>
      </c>
      <c r="M5124">
        <f>COUNTIF(L$1:L5124,L5124)</f>
        <v>66</v>
      </c>
      <c r="N5124" t="str">
        <f t="shared" si="241"/>
        <v>NA12WR-66</v>
      </c>
      <c r="O5124">
        <f>COUNTIFS(F$1:F5124,F5124,A$1:A5124,A5124)</f>
        <v>115</v>
      </c>
      <c r="P5124" t="str">
        <f t="shared" si="242"/>
        <v>Josh Bellamy12</v>
      </c>
    </row>
    <row r="5125" spans="1:16" x14ac:dyDescent="0.25">
      <c r="A5125">
        <v>8</v>
      </c>
      <c r="B5125" t="s">
        <v>390</v>
      </c>
      <c r="C5125">
        <f>-0.06-1.72</f>
        <v>-1.78</v>
      </c>
      <c r="D5125">
        <v>0.83</v>
      </c>
      <c r="E5125" t="s">
        <v>52</v>
      </c>
      <c r="F5125" t="s">
        <v>47</v>
      </c>
      <c r="G5125">
        <v>1.72</v>
      </c>
      <c r="H5125">
        <v>-0.06</v>
      </c>
      <c r="I5125">
        <v>0.89</v>
      </c>
      <c r="J5125">
        <v>0.79210000000000003</v>
      </c>
      <c r="K5125" t="str">
        <f>IFERROR(INDEX(Rosters!$C$2:$C$155,MATCH($B5125,Rosters!$B$2:$B$155,0)),"NA")</f>
        <v>NA</v>
      </c>
      <c r="L5125" t="str">
        <f t="shared" si="240"/>
        <v>NA8RB</v>
      </c>
      <c r="M5125">
        <f>COUNTIF(L$1:L5125,L5125)</f>
        <v>41</v>
      </c>
      <c r="N5125" t="str">
        <f t="shared" si="241"/>
        <v>NA8RB-41</v>
      </c>
      <c r="O5125">
        <f>COUNTIFS(F$1:F5125,F5125,A$1:A5125,A5125)</f>
        <v>81</v>
      </c>
      <c r="P5125" t="str">
        <f t="shared" si="242"/>
        <v>Roosevelt Nix8</v>
      </c>
    </row>
    <row r="5126" spans="1:16" x14ac:dyDescent="0.25">
      <c r="A5126">
        <v>12</v>
      </c>
      <c r="B5126" t="s">
        <v>390</v>
      </c>
      <c r="C5126">
        <f>-0.13-1.79</f>
        <v>-1.92</v>
      </c>
      <c r="D5126">
        <v>0.83</v>
      </c>
      <c r="E5126" t="s">
        <v>42</v>
      </c>
      <c r="F5126" t="s">
        <v>47</v>
      </c>
      <c r="G5126">
        <v>1.79</v>
      </c>
      <c r="H5126">
        <v>-0.13</v>
      </c>
      <c r="I5126">
        <v>0.96</v>
      </c>
      <c r="J5126">
        <v>0.92159999999999997</v>
      </c>
      <c r="K5126" t="str">
        <f>IFERROR(INDEX(Rosters!$C$2:$C$155,MATCH($B5126,Rosters!$B$2:$B$155,0)),"NA")</f>
        <v>NA</v>
      </c>
      <c r="L5126" t="str">
        <f t="shared" si="240"/>
        <v>NA12RB</v>
      </c>
      <c r="M5126">
        <f>COUNTIF(L$1:L5126,L5126)</f>
        <v>44</v>
      </c>
      <c r="N5126" t="str">
        <f t="shared" si="241"/>
        <v>NA12RB-44</v>
      </c>
      <c r="O5126">
        <f>COUNTIFS(F$1:F5126,F5126,A$1:A5126,A5126)</f>
        <v>89</v>
      </c>
      <c r="P5126" t="str">
        <f t="shared" si="242"/>
        <v>Roosevelt Nix12</v>
      </c>
    </row>
    <row r="5127" spans="1:16" x14ac:dyDescent="0.25">
      <c r="A5127">
        <v>3</v>
      </c>
      <c r="B5127" t="s">
        <v>1618</v>
      </c>
      <c r="C5127">
        <f>-0.33-1.99</f>
        <v>-2.3199999999999998</v>
      </c>
      <c r="D5127">
        <v>0.83</v>
      </c>
      <c r="E5127" t="s">
        <v>22</v>
      </c>
      <c r="F5127" t="s">
        <v>47</v>
      </c>
      <c r="G5127">
        <v>1.99</v>
      </c>
      <c r="H5127">
        <v>-0.33</v>
      </c>
      <c r="I5127">
        <v>1.1599999999999999</v>
      </c>
      <c r="J5127">
        <v>1.3455999999999999</v>
      </c>
      <c r="K5127" t="str">
        <f>IFERROR(INDEX(Rosters!$C$2:$C$155,MATCH($B5127,Rosters!$B$2:$B$155,0)),"NA")</f>
        <v>NA</v>
      </c>
      <c r="L5127" t="str">
        <f t="shared" si="240"/>
        <v>NA3RB</v>
      </c>
      <c r="M5127">
        <f>COUNTIF(L$1:L5127,L5127)</f>
        <v>43</v>
      </c>
      <c r="N5127" t="str">
        <f t="shared" si="241"/>
        <v>NA3RB-43</v>
      </c>
      <c r="O5127">
        <f>COUNTIFS(F$1:F5127,F5127,A$1:A5127,A5127)</f>
        <v>82</v>
      </c>
      <c r="P5127" t="str">
        <f t="shared" si="242"/>
        <v>Tre Madden3</v>
      </c>
    </row>
    <row r="5128" spans="1:16" x14ac:dyDescent="0.25">
      <c r="A5128">
        <v>4</v>
      </c>
      <c r="B5128" t="s">
        <v>346</v>
      </c>
      <c r="C5128">
        <f>-0.09-1.73</f>
        <v>-1.82</v>
      </c>
      <c r="D5128">
        <v>0.82</v>
      </c>
      <c r="E5128" t="s">
        <v>46</v>
      </c>
      <c r="F5128" t="s">
        <v>87</v>
      </c>
      <c r="G5128">
        <v>1.73</v>
      </c>
      <c r="H5128">
        <v>-0.09</v>
      </c>
      <c r="I5128">
        <v>0.91</v>
      </c>
      <c r="J5128">
        <v>0.82809999999999995</v>
      </c>
      <c r="K5128" t="str">
        <f>IFERROR(INDEX(Rosters!$C$2:$C$155,MATCH($B5128,Rosters!$B$2:$B$155,0)),"NA")</f>
        <v>NA</v>
      </c>
      <c r="L5128" t="str">
        <f t="shared" si="240"/>
        <v>NA4WR</v>
      </c>
      <c r="M5128">
        <f>COUNTIF(L$1:L5128,L5128)</f>
        <v>56</v>
      </c>
      <c r="N5128" t="str">
        <f t="shared" si="241"/>
        <v>NA4WR-56</v>
      </c>
      <c r="O5128">
        <f>COUNTIFS(F$1:F5128,F5128,A$1:A5128,A5128)</f>
        <v>106</v>
      </c>
      <c r="P5128" t="str">
        <f t="shared" si="242"/>
        <v>Alex Erickson4</v>
      </c>
    </row>
    <row r="5129" spans="1:16" x14ac:dyDescent="0.25">
      <c r="A5129">
        <v>4</v>
      </c>
      <c r="B5129" t="s">
        <v>1116</v>
      </c>
      <c r="C5129" t="s">
        <v>4678</v>
      </c>
      <c r="D5129">
        <v>0.82</v>
      </c>
      <c r="E5129" t="s">
        <v>66</v>
      </c>
      <c r="F5129" t="s">
        <v>15</v>
      </c>
      <c r="G5129">
        <v>1.4</v>
      </c>
      <c r="H5129">
        <v>0.24</v>
      </c>
      <c r="I5129">
        <v>0.57999999999999996</v>
      </c>
      <c r="J5129">
        <v>0.33639999999999998</v>
      </c>
      <c r="K5129" t="str">
        <f>IFERROR(INDEX(Rosters!$C$2:$C$155,MATCH($B5129,Rosters!$B$2:$B$155,0)),"NA")</f>
        <v>NA</v>
      </c>
      <c r="L5129" t="str">
        <f t="shared" si="240"/>
        <v>NA4QB</v>
      </c>
      <c r="M5129">
        <f>COUNTIF(L$1:L5129,L5129)</f>
        <v>23</v>
      </c>
      <c r="N5129" t="str">
        <f t="shared" si="241"/>
        <v>NA4QB-23</v>
      </c>
      <c r="O5129">
        <f>COUNTIFS(F$1:F5129,F5129,A$1:A5129,A5129)</f>
        <v>38</v>
      </c>
      <c r="P5129" t="str">
        <f t="shared" si="242"/>
        <v>Brandon Weeden4</v>
      </c>
    </row>
    <row r="5130" spans="1:16" x14ac:dyDescent="0.25">
      <c r="A5130">
        <v>9</v>
      </c>
      <c r="B5130" t="s">
        <v>2661</v>
      </c>
      <c r="C5130">
        <f>-0.08-1.72</f>
        <v>-1.8</v>
      </c>
      <c r="D5130">
        <v>0.82</v>
      </c>
      <c r="E5130" t="s">
        <v>38</v>
      </c>
      <c r="F5130" t="s">
        <v>87</v>
      </c>
      <c r="G5130">
        <v>1.72</v>
      </c>
      <c r="H5130">
        <v>-0.08</v>
      </c>
      <c r="I5130">
        <v>0.9</v>
      </c>
      <c r="J5130">
        <v>0.81</v>
      </c>
      <c r="K5130" t="str">
        <f>IFERROR(INDEX(Rosters!$C$2:$C$155,MATCH($B5130,Rosters!$B$2:$B$155,0)),"NA")</f>
        <v>NA</v>
      </c>
      <c r="L5130" t="str">
        <f t="shared" si="240"/>
        <v>NA9WR</v>
      </c>
      <c r="M5130">
        <f>COUNTIF(L$1:L5130,L5130)</f>
        <v>63</v>
      </c>
      <c r="N5130" t="str">
        <f t="shared" si="241"/>
        <v>NA9WR-63</v>
      </c>
      <c r="O5130">
        <f>COUNTIFS(F$1:F5130,F5130,A$1:A5130,A5130)</f>
        <v>107</v>
      </c>
      <c r="P5130" t="str">
        <f t="shared" si="242"/>
        <v>Brice Butler9</v>
      </c>
    </row>
    <row r="5131" spans="1:16" x14ac:dyDescent="0.25">
      <c r="A5131">
        <v>5</v>
      </c>
      <c r="B5131" t="s">
        <v>331</v>
      </c>
      <c r="C5131" t="s">
        <v>8800</v>
      </c>
      <c r="D5131">
        <v>0.82</v>
      </c>
      <c r="E5131" t="s">
        <v>14</v>
      </c>
      <c r="F5131" t="s">
        <v>15</v>
      </c>
      <c r="G5131">
        <v>1.43</v>
      </c>
      <c r="H5131">
        <v>0.21</v>
      </c>
      <c r="I5131">
        <v>0.61</v>
      </c>
      <c r="J5131">
        <v>0.37209999999999999</v>
      </c>
      <c r="K5131" t="str">
        <f>IFERROR(INDEX(Rosters!$C$2:$C$155,MATCH($B5131,Rosters!$B$2:$B$155,0)),"NA")</f>
        <v>NA</v>
      </c>
      <c r="L5131" t="str">
        <f t="shared" si="240"/>
        <v>NA5QB</v>
      </c>
      <c r="M5131">
        <f>COUNTIF(L$1:L5131,L5131)</f>
        <v>27</v>
      </c>
      <c r="N5131" t="str">
        <f t="shared" si="241"/>
        <v>NA5QB-27</v>
      </c>
      <c r="O5131">
        <f>COUNTIFS(F$1:F5131,F5131,A$1:A5131,A5131)</f>
        <v>44</v>
      </c>
      <c r="P5131" t="str">
        <f t="shared" si="242"/>
        <v>Colt McCoy5</v>
      </c>
    </row>
    <row r="5132" spans="1:16" x14ac:dyDescent="0.25">
      <c r="A5132">
        <v>12</v>
      </c>
      <c r="B5132" t="s">
        <v>331</v>
      </c>
      <c r="C5132" t="s">
        <v>8800</v>
      </c>
      <c r="D5132">
        <v>0.82</v>
      </c>
      <c r="E5132" t="s">
        <v>22</v>
      </c>
      <c r="F5132" t="s">
        <v>15</v>
      </c>
      <c r="G5132">
        <v>1.43</v>
      </c>
      <c r="H5132">
        <v>0.21</v>
      </c>
      <c r="I5132">
        <v>0.61</v>
      </c>
      <c r="J5132">
        <v>0.37209999999999999</v>
      </c>
      <c r="K5132" t="str">
        <f>IFERROR(INDEX(Rosters!$C$2:$C$155,MATCH($B5132,Rosters!$B$2:$B$155,0)),"NA")</f>
        <v>NA</v>
      </c>
      <c r="L5132" t="str">
        <f t="shared" si="240"/>
        <v>NA12QB</v>
      </c>
      <c r="M5132">
        <f>COUNTIF(L$1:L5132,L5132)</f>
        <v>32</v>
      </c>
      <c r="N5132" t="str">
        <f t="shared" si="241"/>
        <v>NA12QB-32</v>
      </c>
      <c r="O5132">
        <f>COUNTIFS(F$1:F5132,F5132,A$1:A5132,A5132)</f>
        <v>47</v>
      </c>
      <c r="P5132" t="str">
        <f t="shared" si="242"/>
        <v>Colt McCoy12</v>
      </c>
    </row>
    <row r="5133" spans="1:16" x14ac:dyDescent="0.25">
      <c r="A5133">
        <v>4</v>
      </c>
      <c r="B5133" t="s">
        <v>1550</v>
      </c>
      <c r="C5133" t="s">
        <v>1547</v>
      </c>
      <c r="D5133">
        <v>0.82</v>
      </c>
      <c r="E5133" t="s">
        <v>34</v>
      </c>
      <c r="F5133" t="s">
        <v>15</v>
      </c>
      <c r="G5133">
        <v>1.38</v>
      </c>
      <c r="H5133">
        <v>0.26</v>
      </c>
      <c r="I5133">
        <v>0.56000000000000005</v>
      </c>
      <c r="J5133">
        <v>0.31359999999999999</v>
      </c>
      <c r="K5133" t="str">
        <f>IFERROR(INDEX(Rosters!$C$2:$C$155,MATCH($B5133,Rosters!$B$2:$B$155,0)),"NA")</f>
        <v>NA</v>
      </c>
      <c r="L5133" t="str">
        <f t="shared" si="240"/>
        <v>NA4QB</v>
      </c>
      <c r="M5133">
        <f>COUNTIF(L$1:L5133,L5133)</f>
        <v>24</v>
      </c>
      <c r="N5133" t="str">
        <f t="shared" si="241"/>
        <v>NA4QB-24</v>
      </c>
      <c r="O5133">
        <f>COUNTIFS(F$1:F5133,F5133,A$1:A5133,A5133)</f>
        <v>39</v>
      </c>
      <c r="P5133" t="str">
        <f t="shared" si="242"/>
        <v>Cooper Rush4</v>
      </c>
    </row>
    <row r="5134" spans="1:16" x14ac:dyDescent="0.25">
      <c r="A5134">
        <v>6</v>
      </c>
      <c r="B5134" t="s">
        <v>1550</v>
      </c>
      <c r="C5134" t="s">
        <v>8801</v>
      </c>
      <c r="D5134">
        <v>0.82</v>
      </c>
      <c r="E5134" t="s">
        <v>76</v>
      </c>
      <c r="F5134" t="s">
        <v>15</v>
      </c>
      <c r="G5134">
        <v>1.42</v>
      </c>
      <c r="H5134">
        <v>0.22</v>
      </c>
      <c r="I5134">
        <v>0.6</v>
      </c>
      <c r="J5134">
        <v>0.36</v>
      </c>
      <c r="K5134" t="str">
        <f>IFERROR(INDEX(Rosters!$C$2:$C$155,MATCH($B5134,Rosters!$B$2:$B$155,0)),"NA")</f>
        <v>NA</v>
      </c>
      <c r="L5134" t="str">
        <f t="shared" si="240"/>
        <v>NA6QB</v>
      </c>
      <c r="M5134">
        <f>COUNTIF(L$1:L5134,L5134)</f>
        <v>29</v>
      </c>
      <c r="N5134" t="str">
        <f t="shared" si="241"/>
        <v>NA6QB-29</v>
      </c>
      <c r="O5134">
        <f>COUNTIFS(F$1:F5134,F5134,A$1:A5134,A5134)</f>
        <v>44</v>
      </c>
      <c r="P5134" t="str">
        <f t="shared" si="242"/>
        <v>Cooper Rush6</v>
      </c>
    </row>
    <row r="5135" spans="1:16" x14ac:dyDescent="0.25">
      <c r="A5135">
        <v>11</v>
      </c>
      <c r="B5135" t="s">
        <v>1550</v>
      </c>
      <c r="C5135" t="s">
        <v>4677</v>
      </c>
      <c r="D5135">
        <v>0.82</v>
      </c>
      <c r="E5135" t="s">
        <v>46</v>
      </c>
      <c r="F5135" t="s">
        <v>15</v>
      </c>
      <c r="G5135">
        <v>1.49</v>
      </c>
      <c r="H5135">
        <v>0.15</v>
      </c>
      <c r="I5135">
        <v>0.67</v>
      </c>
      <c r="J5135">
        <v>0.44890000000000002</v>
      </c>
      <c r="K5135" t="str">
        <f>IFERROR(INDEX(Rosters!$C$2:$C$155,MATCH($B5135,Rosters!$B$2:$B$155,0)),"NA")</f>
        <v>NA</v>
      </c>
      <c r="L5135" t="str">
        <f t="shared" si="240"/>
        <v>NA11QB</v>
      </c>
      <c r="M5135">
        <f>COUNTIF(L$1:L5135,L5135)</f>
        <v>22</v>
      </c>
      <c r="N5135" t="str">
        <f t="shared" si="241"/>
        <v>NA11QB-22</v>
      </c>
      <c r="O5135">
        <f>COUNTIFS(F$1:F5135,F5135,A$1:A5135,A5135)</f>
        <v>37</v>
      </c>
      <c r="P5135" t="str">
        <f t="shared" si="242"/>
        <v>Cooper Rush11</v>
      </c>
    </row>
    <row r="5136" spans="1:16" x14ac:dyDescent="0.25">
      <c r="A5136">
        <v>14</v>
      </c>
      <c r="B5136" t="s">
        <v>8733</v>
      </c>
      <c r="C5136" t="s">
        <v>8802</v>
      </c>
      <c r="D5136">
        <v>0.82</v>
      </c>
      <c r="E5136" t="s">
        <v>22</v>
      </c>
      <c r="F5136" t="s">
        <v>87</v>
      </c>
      <c r="G5136">
        <v>1.63</v>
      </c>
      <c r="H5136">
        <v>0.01</v>
      </c>
      <c r="I5136">
        <v>0.81</v>
      </c>
      <c r="J5136">
        <v>0.65610000000000002</v>
      </c>
      <c r="K5136" t="str">
        <f>IFERROR(INDEX(Rosters!$C$2:$C$155,MATCH($B5136,Rosters!$B$2:$B$155,0)),"NA")</f>
        <v>NA</v>
      </c>
      <c r="L5136" t="str">
        <f t="shared" si="240"/>
        <v>NA14WR</v>
      </c>
      <c r="M5136">
        <f>COUNTIF(L$1:L5136,L5136)</f>
        <v>69</v>
      </c>
      <c r="N5136" t="str">
        <f t="shared" si="241"/>
        <v>NA14WR-69</v>
      </c>
      <c r="O5136">
        <f>COUNTIFS(F$1:F5136,F5136,A$1:A5136,A5136)</f>
        <v>123</v>
      </c>
      <c r="P5136" t="str">
        <f t="shared" si="242"/>
        <v>DeAndre Carter14</v>
      </c>
    </row>
    <row r="5137" spans="1:16" x14ac:dyDescent="0.25">
      <c r="A5137">
        <v>5</v>
      </c>
      <c r="B5137" t="s">
        <v>1560</v>
      </c>
      <c r="C5137">
        <f>-0.18-1.82</f>
        <v>-2</v>
      </c>
      <c r="D5137">
        <v>0.82</v>
      </c>
      <c r="E5137" t="s">
        <v>24</v>
      </c>
      <c r="F5137" t="s">
        <v>87</v>
      </c>
      <c r="G5137">
        <v>1.82</v>
      </c>
      <c r="H5137">
        <v>-0.18</v>
      </c>
      <c r="I5137">
        <v>1</v>
      </c>
      <c r="J5137">
        <v>1</v>
      </c>
      <c r="K5137" t="str">
        <f>IFERROR(INDEX(Rosters!$C$2:$C$155,MATCH($B5137,Rosters!$B$2:$B$155,0)),"NA")</f>
        <v>NA</v>
      </c>
      <c r="L5137" t="str">
        <f t="shared" si="240"/>
        <v>NA5WR</v>
      </c>
      <c r="M5137">
        <f>COUNTIF(L$1:L5137,L5137)</f>
        <v>81</v>
      </c>
      <c r="N5137" t="str">
        <f t="shared" si="241"/>
        <v>NA5WR-81</v>
      </c>
      <c r="O5137">
        <f>COUNTIFS(F$1:F5137,F5137,A$1:A5137,A5137)</f>
        <v>131</v>
      </c>
      <c r="P5137" t="str">
        <f t="shared" si="242"/>
        <v>Jaydon Mickens5</v>
      </c>
    </row>
    <row r="5138" spans="1:16" x14ac:dyDescent="0.25">
      <c r="A5138">
        <v>16</v>
      </c>
      <c r="B5138" t="s">
        <v>1560</v>
      </c>
      <c r="C5138">
        <f>-0.15-1.79</f>
        <v>-1.94</v>
      </c>
      <c r="D5138">
        <v>0.82</v>
      </c>
      <c r="E5138" t="s">
        <v>19</v>
      </c>
      <c r="F5138" t="s">
        <v>87</v>
      </c>
      <c r="G5138">
        <v>1.79</v>
      </c>
      <c r="H5138">
        <v>-0.15</v>
      </c>
      <c r="I5138">
        <v>0.97</v>
      </c>
      <c r="J5138">
        <v>0.94089999999999996</v>
      </c>
      <c r="K5138" t="str">
        <f>IFERROR(INDEX(Rosters!$C$2:$C$155,MATCH($B5138,Rosters!$B$2:$B$155,0)),"NA")</f>
        <v>NA</v>
      </c>
      <c r="L5138" t="str">
        <f t="shared" si="240"/>
        <v>NA16WR</v>
      </c>
      <c r="M5138">
        <f>COUNTIF(L$1:L5138,L5138)</f>
        <v>69</v>
      </c>
      <c r="N5138" t="str">
        <f t="shared" si="241"/>
        <v>NA16WR-69</v>
      </c>
      <c r="O5138">
        <f>COUNTIFS(F$1:F5138,F5138,A$1:A5138,A5138)</f>
        <v>123</v>
      </c>
      <c r="P5138" t="str">
        <f t="shared" si="242"/>
        <v>Jaydon Mickens16</v>
      </c>
    </row>
    <row r="5139" spans="1:16" x14ac:dyDescent="0.25">
      <c r="A5139">
        <v>9</v>
      </c>
      <c r="B5139" t="s">
        <v>359</v>
      </c>
      <c r="C5139">
        <f>-0.06-1.7</f>
        <v>-1.76</v>
      </c>
      <c r="D5139">
        <v>0.82</v>
      </c>
      <c r="E5139" t="s">
        <v>29</v>
      </c>
      <c r="F5139" t="s">
        <v>87</v>
      </c>
      <c r="G5139">
        <v>1.7</v>
      </c>
      <c r="H5139">
        <v>-0.06</v>
      </c>
      <c r="I5139">
        <v>0.88</v>
      </c>
      <c r="J5139">
        <v>0.77439999999999998</v>
      </c>
      <c r="K5139" t="str">
        <f>IFERROR(INDEX(Rosters!$C$2:$C$155,MATCH($B5139,Rosters!$B$2:$B$155,0)),"NA")</f>
        <v>NA</v>
      </c>
      <c r="L5139" t="str">
        <f t="shared" si="240"/>
        <v>NA9WR</v>
      </c>
      <c r="M5139">
        <f>COUNTIF(L$1:L5139,L5139)</f>
        <v>64</v>
      </c>
      <c r="N5139" t="str">
        <f t="shared" si="241"/>
        <v>NA9WR-64</v>
      </c>
      <c r="O5139">
        <f>COUNTIFS(F$1:F5139,F5139,A$1:A5139,A5139)</f>
        <v>108</v>
      </c>
      <c r="P5139" t="str">
        <f t="shared" si="242"/>
        <v>Josh Bellamy9</v>
      </c>
    </row>
    <row r="5140" spans="1:16" x14ac:dyDescent="0.25">
      <c r="A5140">
        <v>16</v>
      </c>
      <c r="B5140" t="s">
        <v>359</v>
      </c>
      <c r="C5140">
        <f>-0.09-1.73</f>
        <v>-1.82</v>
      </c>
      <c r="D5140">
        <v>0.82</v>
      </c>
      <c r="E5140" t="s">
        <v>30</v>
      </c>
      <c r="F5140" t="s">
        <v>87</v>
      </c>
      <c r="G5140">
        <v>1.73</v>
      </c>
      <c r="H5140">
        <v>-0.09</v>
      </c>
      <c r="I5140">
        <v>0.91</v>
      </c>
      <c r="J5140">
        <v>0.82809999999999995</v>
      </c>
      <c r="K5140" t="str">
        <f>IFERROR(INDEX(Rosters!$C$2:$C$155,MATCH($B5140,Rosters!$B$2:$B$155,0)),"NA")</f>
        <v>NA</v>
      </c>
      <c r="L5140" t="str">
        <f t="shared" si="240"/>
        <v>NA16WR</v>
      </c>
      <c r="M5140">
        <f>COUNTIF(L$1:L5140,L5140)</f>
        <v>70</v>
      </c>
      <c r="N5140" t="str">
        <f t="shared" si="241"/>
        <v>NA16WR-70</v>
      </c>
      <c r="O5140">
        <f>COUNTIFS(F$1:F5140,F5140,A$1:A5140,A5140)</f>
        <v>124</v>
      </c>
      <c r="P5140" t="str">
        <f t="shared" si="242"/>
        <v>Josh Bellamy16</v>
      </c>
    </row>
    <row r="5141" spans="1:16" x14ac:dyDescent="0.25">
      <c r="A5141">
        <v>8</v>
      </c>
      <c r="B5141" t="s">
        <v>88</v>
      </c>
      <c r="C5141" t="s">
        <v>1547</v>
      </c>
      <c r="D5141">
        <v>0.82</v>
      </c>
      <c r="E5141" t="s">
        <v>72</v>
      </c>
      <c r="F5141" t="s">
        <v>15</v>
      </c>
      <c r="G5141">
        <v>1.38</v>
      </c>
      <c r="H5141">
        <v>0.26</v>
      </c>
      <c r="I5141">
        <v>0.56000000000000005</v>
      </c>
      <c r="J5141">
        <v>0.31359999999999999</v>
      </c>
      <c r="K5141" t="str">
        <f>IFERROR(INDEX(Rosters!$C$2:$C$155,MATCH($B5141,Rosters!$B$2:$B$155,0)),"NA")</f>
        <v>NA</v>
      </c>
      <c r="L5141" t="str">
        <f t="shared" si="240"/>
        <v>NA8QB</v>
      </c>
      <c r="M5141">
        <f>COUNTIF(L$1:L5141,L5141)</f>
        <v>27</v>
      </c>
      <c r="N5141" t="str">
        <f t="shared" si="241"/>
        <v>NA8QB-27</v>
      </c>
      <c r="O5141">
        <f>COUNTIFS(F$1:F5141,F5141,A$1:A5141,A5141)</f>
        <v>42</v>
      </c>
      <c r="P5141" t="str">
        <f t="shared" si="242"/>
        <v>Josh McCown8</v>
      </c>
    </row>
    <row r="5142" spans="1:16" x14ac:dyDescent="0.25">
      <c r="A5142">
        <v>15</v>
      </c>
      <c r="B5142" t="s">
        <v>4238</v>
      </c>
      <c r="C5142">
        <f>-0.23-1.87</f>
        <v>-2.1</v>
      </c>
      <c r="D5142">
        <v>0.82</v>
      </c>
      <c r="E5142" t="s">
        <v>37</v>
      </c>
      <c r="F5142" t="s">
        <v>87</v>
      </c>
      <c r="G5142">
        <v>1.87</v>
      </c>
      <c r="H5142">
        <v>-0.23</v>
      </c>
      <c r="I5142">
        <v>1.05</v>
      </c>
      <c r="J5142">
        <v>1.1025</v>
      </c>
      <c r="K5142" t="str">
        <f>IFERROR(INDEX(Rosters!$C$2:$C$155,MATCH($B5142,Rosters!$B$2:$B$155,0)),"NA")</f>
        <v>NA</v>
      </c>
      <c r="L5142" t="str">
        <f t="shared" si="240"/>
        <v>NA15WR</v>
      </c>
      <c r="M5142">
        <f>COUNTIF(L$1:L5142,L5142)</f>
        <v>69</v>
      </c>
      <c r="N5142" t="str">
        <f t="shared" si="241"/>
        <v>NA15WR-69</v>
      </c>
      <c r="O5142">
        <f>COUNTIFS(F$1:F5142,F5142,A$1:A5142,A5142)</f>
        <v>123</v>
      </c>
      <c r="P5142" t="str">
        <f t="shared" si="242"/>
        <v>Marcus Kemp15</v>
      </c>
    </row>
    <row r="5143" spans="1:16" x14ac:dyDescent="0.25">
      <c r="A5143">
        <v>6</v>
      </c>
      <c r="B5143" t="s">
        <v>1594</v>
      </c>
      <c r="C5143">
        <f>-0.01-1.65</f>
        <v>-1.66</v>
      </c>
      <c r="D5143">
        <v>0.82</v>
      </c>
      <c r="E5143" t="s">
        <v>17</v>
      </c>
      <c r="F5143" t="s">
        <v>87</v>
      </c>
      <c r="G5143">
        <v>1.65</v>
      </c>
      <c r="H5143">
        <v>-0.01</v>
      </c>
      <c r="I5143">
        <v>0.83</v>
      </c>
      <c r="J5143">
        <v>0.68889999999999996</v>
      </c>
      <c r="K5143" t="str">
        <f>IFERROR(INDEX(Rosters!$C$2:$C$155,MATCH($B5143,Rosters!$B$2:$B$155,0)),"NA")</f>
        <v>NA</v>
      </c>
      <c r="L5143" t="str">
        <f t="shared" si="240"/>
        <v>NA6WR</v>
      </c>
      <c r="M5143">
        <f>COUNTIF(L$1:L5143,L5143)</f>
        <v>67</v>
      </c>
      <c r="N5143" t="str">
        <f t="shared" si="241"/>
        <v>NA6WR-67</v>
      </c>
      <c r="O5143">
        <f>COUNTIFS(F$1:F5143,F5143,A$1:A5143,A5143)</f>
        <v>117</v>
      </c>
      <c r="P5143" t="str">
        <f t="shared" si="242"/>
        <v>Marvin Hall6</v>
      </c>
    </row>
    <row r="5144" spans="1:16" x14ac:dyDescent="0.25">
      <c r="A5144">
        <v>1</v>
      </c>
      <c r="B5144" t="s">
        <v>1526</v>
      </c>
      <c r="C5144">
        <f>-0.18-1.82</f>
        <v>-2</v>
      </c>
      <c r="D5144">
        <v>0.82</v>
      </c>
      <c r="E5144" t="s">
        <v>73</v>
      </c>
      <c r="F5144" t="s">
        <v>114</v>
      </c>
      <c r="G5144">
        <v>1.82</v>
      </c>
      <c r="H5144">
        <v>-0.18</v>
      </c>
      <c r="I5144">
        <v>1</v>
      </c>
      <c r="J5144">
        <v>1</v>
      </c>
      <c r="K5144" t="str">
        <f>IFERROR(INDEX(Rosters!$C$2:$C$155,MATCH($B5144,Rosters!$B$2:$B$155,0)),"NA")</f>
        <v>NA</v>
      </c>
      <c r="L5144" t="str">
        <f t="shared" si="240"/>
        <v>NA1TE</v>
      </c>
      <c r="M5144">
        <f>COUNTIF(L$1:L5144,L5144)</f>
        <v>45</v>
      </c>
      <c r="N5144" t="str">
        <f t="shared" si="241"/>
        <v>NA1TE-45</v>
      </c>
      <c r="O5144">
        <f>COUNTIFS(F$1:F5144,F5144,A$1:A5144,A5144)</f>
        <v>58</v>
      </c>
      <c r="P5144" t="str">
        <f t="shared" si="242"/>
        <v>Michael Roberts1</v>
      </c>
    </row>
    <row r="5145" spans="1:16" x14ac:dyDescent="0.25">
      <c r="A5145">
        <v>8</v>
      </c>
      <c r="B5145" t="s">
        <v>4690</v>
      </c>
      <c r="C5145">
        <f>-0.01-1.65</f>
        <v>-1.66</v>
      </c>
      <c r="D5145">
        <v>0.82</v>
      </c>
      <c r="E5145" t="s">
        <v>14</v>
      </c>
      <c r="F5145" t="s">
        <v>47</v>
      </c>
      <c r="G5145">
        <v>1.65</v>
      </c>
      <c r="H5145">
        <v>-0.01</v>
      </c>
      <c r="I5145">
        <v>0.83</v>
      </c>
      <c r="J5145">
        <v>0.68889999999999996</v>
      </c>
      <c r="K5145" t="str">
        <f>IFERROR(INDEX(Rosters!$C$2:$C$155,MATCH($B5145,Rosters!$B$2:$B$155,0)),"NA")</f>
        <v>NA</v>
      </c>
      <c r="L5145" t="str">
        <f t="shared" si="240"/>
        <v>NA8RB</v>
      </c>
      <c r="M5145">
        <f>COUNTIF(L$1:L5145,L5145)</f>
        <v>42</v>
      </c>
      <c r="N5145" t="str">
        <f t="shared" si="241"/>
        <v>NA8RB-42</v>
      </c>
      <c r="O5145">
        <f>COUNTIFS(F$1:F5145,F5145,A$1:A5145,A5145)</f>
        <v>82</v>
      </c>
      <c r="P5145" t="str">
        <f t="shared" si="242"/>
        <v>Mike Boone8</v>
      </c>
    </row>
    <row r="5146" spans="1:16" x14ac:dyDescent="0.25">
      <c r="A5146">
        <v>12</v>
      </c>
      <c r="B5146" t="s">
        <v>8803</v>
      </c>
      <c r="C5146" t="s">
        <v>8802</v>
      </c>
      <c r="D5146">
        <v>0.82</v>
      </c>
      <c r="E5146" t="s">
        <v>41</v>
      </c>
      <c r="F5146" t="s">
        <v>47</v>
      </c>
      <c r="G5146">
        <v>1.63</v>
      </c>
      <c r="H5146">
        <v>0.01</v>
      </c>
      <c r="I5146">
        <v>0.81</v>
      </c>
      <c r="J5146">
        <v>0.65610000000000002</v>
      </c>
      <c r="K5146" t="str">
        <f>IFERROR(INDEX(Rosters!$C$2:$C$155,MATCH($B5146,Rosters!$B$2:$B$155,0)),"NA")</f>
        <v>NA</v>
      </c>
      <c r="L5146" t="str">
        <f t="shared" si="240"/>
        <v>NA12RB</v>
      </c>
      <c r="M5146">
        <f>COUNTIF(L$1:L5146,L5146)</f>
        <v>45</v>
      </c>
      <c r="N5146" t="str">
        <f t="shared" si="241"/>
        <v>NA12RB-45</v>
      </c>
      <c r="O5146">
        <f>COUNTIFS(F$1:F5146,F5146,A$1:A5146,A5146)</f>
        <v>90</v>
      </c>
      <c r="P5146" t="str">
        <f t="shared" si="242"/>
        <v>Roc Thomas12</v>
      </c>
    </row>
    <row r="5147" spans="1:16" x14ac:dyDescent="0.25">
      <c r="A5147">
        <v>16</v>
      </c>
      <c r="B5147" t="s">
        <v>4246</v>
      </c>
      <c r="C5147" t="s">
        <v>8804</v>
      </c>
      <c r="D5147">
        <v>0.82</v>
      </c>
      <c r="E5147" t="s">
        <v>66</v>
      </c>
      <c r="F5147" t="s">
        <v>114</v>
      </c>
      <c r="G5147">
        <v>1.48</v>
      </c>
      <c r="H5147">
        <v>0.16</v>
      </c>
      <c r="I5147">
        <v>0.66</v>
      </c>
      <c r="J5147">
        <v>0.43559999999999999</v>
      </c>
      <c r="K5147" t="str">
        <f>IFERROR(INDEX(Rosters!$C$2:$C$155,MATCH($B5147,Rosters!$B$2:$B$155,0)),"NA")</f>
        <v>NA</v>
      </c>
      <c r="L5147" t="str">
        <f t="shared" si="240"/>
        <v>NA16TE</v>
      </c>
      <c r="M5147">
        <f>COUNTIF(L$1:L5147,L5147)</f>
        <v>55</v>
      </c>
      <c r="N5147" t="str">
        <f t="shared" si="241"/>
        <v>NA16TE-55</v>
      </c>
      <c r="O5147">
        <f>COUNTIFS(F$1:F5147,F5147,A$1:A5147,A5147)</f>
        <v>69</v>
      </c>
      <c r="P5147" t="str">
        <f t="shared" si="242"/>
        <v>Scott Simonson16</v>
      </c>
    </row>
    <row r="5148" spans="1:16" x14ac:dyDescent="0.25">
      <c r="A5148">
        <v>6</v>
      </c>
      <c r="B5148" t="s">
        <v>102</v>
      </c>
      <c r="C5148" t="s">
        <v>8805</v>
      </c>
      <c r="D5148">
        <v>0.82</v>
      </c>
      <c r="E5148" t="s">
        <v>58</v>
      </c>
      <c r="F5148" t="s">
        <v>15</v>
      </c>
      <c r="G5148">
        <v>1.35</v>
      </c>
      <c r="H5148">
        <v>0.28999999999999998</v>
      </c>
      <c r="I5148">
        <v>0.53</v>
      </c>
      <c r="J5148">
        <v>0.28089999999999998</v>
      </c>
      <c r="K5148" t="str">
        <f>IFERROR(INDEX(Rosters!$C$2:$C$155,MATCH($B5148,Rosters!$B$2:$B$155,0)),"NA")</f>
        <v>NA</v>
      </c>
      <c r="L5148" t="str">
        <f t="shared" si="240"/>
        <v>NA6QB</v>
      </c>
      <c r="M5148">
        <f>COUNTIF(L$1:L5148,L5148)</f>
        <v>30</v>
      </c>
      <c r="N5148" t="str">
        <f t="shared" si="241"/>
        <v>NA6QB-30</v>
      </c>
      <c r="O5148">
        <f>COUNTIFS(F$1:F5148,F5148,A$1:A5148,A5148)</f>
        <v>45</v>
      </c>
      <c r="P5148" t="str">
        <f t="shared" si="242"/>
        <v>Trevor Siemian6</v>
      </c>
    </row>
    <row r="5149" spans="1:16" x14ac:dyDescent="0.25">
      <c r="A5149">
        <v>9</v>
      </c>
      <c r="B5149" t="s">
        <v>2889</v>
      </c>
      <c r="C5149" t="s">
        <v>8806</v>
      </c>
      <c r="D5149">
        <v>0.82</v>
      </c>
      <c r="E5149" t="s">
        <v>56</v>
      </c>
      <c r="F5149" t="s">
        <v>47</v>
      </c>
      <c r="G5149">
        <v>1.53</v>
      </c>
      <c r="H5149">
        <v>0.11</v>
      </c>
      <c r="I5149">
        <v>0.71</v>
      </c>
      <c r="J5149">
        <v>0.50409999999999999</v>
      </c>
      <c r="K5149" t="str">
        <f>IFERROR(INDEX(Rosters!$C$2:$C$155,MATCH($B5149,Rosters!$B$2:$B$155,0)),"NA")</f>
        <v>NA</v>
      </c>
      <c r="L5149" t="str">
        <f t="shared" si="240"/>
        <v>NA9RB</v>
      </c>
      <c r="M5149">
        <f>COUNTIF(L$1:L5149,L5149)</f>
        <v>35</v>
      </c>
      <c r="N5149" t="str">
        <f t="shared" si="241"/>
        <v>NA9RB-35</v>
      </c>
      <c r="O5149">
        <f>COUNTIFS(F$1:F5149,F5149,A$1:A5149,A5149)</f>
        <v>75</v>
      </c>
      <c r="P5149" t="str">
        <f t="shared" si="242"/>
        <v>Zach Line9</v>
      </c>
    </row>
    <row r="5150" spans="1:16" x14ac:dyDescent="0.25">
      <c r="A5150">
        <v>17</v>
      </c>
      <c r="B5150" t="s">
        <v>324</v>
      </c>
      <c r="C5150" t="s">
        <v>8807</v>
      </c>
      <c r="D5150">
        <v>0.81</v>
      </c>
      <c r="E5150" t="s">
        <v>24</v>
      </c>
      <c r="F5150" t="s">
        <v>15</v>
      </c>
      <c r="G5150">
        <v>1.42</v>
      </c>
      <c r="H5150">
        <v>0.2</v>
      </c>
      <c r="I5150">
        <v>0.61</v>
      </c>
      <c r="J5150">
        <v>0.37209999999999999</v>
      </c>
      <c r="K5150" t="str">
        <f>IFERROR(INDEX(Rosters!$C$2:$C$155,MATCH($B5150,Rosters!$B$2:$B$155,0)),"NA")</f>
        <v>NA</v>
      </c>
      <c r="L5150" t="str">
        <f t="shared" si="240"/>
        <v>NA17QB</v>
      </c>
      <c r="M5150">
        <f>COUNTIF(L$1:L5150,L5150)</f>
        <v>32</v>
      </c>
      <c r="N5150" t="str">
        <f t="shared" si="241"/>
        <v>NA17QB-32</v>
      </c>
      <c r="O5150">
        <f>COUNTIFS(F$1:F5150,F5150,A$1:A5150,A5150)</f>
        <v>49</v>
      </c>
      <c r="P5150" t="str">
        <f t="shared" si="242"/>
        <v>A.J. McCarron17</v>
      </c>
    </row>
    <row r="5151" spans="1:16" x14ac:dyDescent="0.25">
      <c r="A5151">
        <v>11</v>
      </c>
      <c r="B5151" t="s">
        <v>1116</v>
      </c>
      <c r="C5151" t="s">
        <v>8808</v>
      </c>
      <c r="D5151">
        <v>0.81</v>
      </c>
      <c r="E5151" t="s">
        <v>60</v>
      </c>
      <c r="F5151" t="s">
        <v>15</v>
      </c>
      <c r="G5151">
        <v>1.41</v>
      </c>
      <c r="H5151">
        <v>0.21</v>
      </c>
      <c r="I5151">
        <v>0.6</v>
      </c>
      <c r="J5151">
        <v>0.36</v>
      </c>
      <c r="K5151" t="str">
        <f>IFERROR(INDEX(Rosters!$C$2:$C$155,MATCH($B5151,Rosters!$B$2:$B$155,0)),"NA")</f>
        <v>NA</v>
      </c>
      <c r="L5151" t="str">
        <f t="shared" si="240"/>
        <v>NA11QB</v>
      </c>
      <c r="M5151">
        <f>COUNTIF(L$1:L5151,L5151)</f>
        <v>23</v>
      </c>
      <c r="N5151" t="str">
        <f t="shared" si="241"/>
        <v>NA11QB-23</v>
      </c>
      <c r="O5151">
        <f>COUNTIFS(F$1:F5151,F5151,A$1:A5151,A5151)</f>
        <v>38</v>
      </c>
      <c r="P5151" t="str">
        <f t="shared" si="242"/>
        <v>Brandon Weeden11</v>
      </c>
    </row>
    <row r="5152" spans="1:16" x14ac:dyDescent="0.25">
      <c r="A5152">
        <v>12</v>
      </c>
      <c r="B5152" t="s">
        <v>1118</v>
      </c>
      <c r="C5152" t="s">
        <v>8809</v>
      </c>
      <c r="D5152">
        <v>0.81</v>
      </c>
      <c r="E5152" t="s">
        <v>73</v>
      </c>
      <c r="F5152" t="s">
        <v>15</v>
      </c>
      <c r="G5152">
        <v>1.46</v>
      </c>
      <c r="H5152">
        <v>0.16</v>
      </c>
      <c r="I5152">
        <v>0.65</v>
      </c>
      <c r="J5152">
        <v>0.42249999999999999</v>
      </c>
      <c r="K5152" t="str">
        <f>IFERROR(INDEX(Rosters!$C$2:$C$155,MATCH($B5152,Rosters!$B$2:$B$155,0)),"NA")</f>
        <v>NA</v>
      </c>
      <c r="L5152" t="str">
        <f t="shared" si="240"/>
        <v>NA12QB</v>
      </c>
      <c r="M5152">
        <f>COUNTIF(L$1:L5152,L5152)</f>
        <v>33</v>
      </c>
      <c r="N5152" t="str">
        <f t="shared" si="241"/>
        <v>NA12QB-33</v>
      </c>
      <c r="O5152">
        <f>COUNTIFS(F$1:F5152,F5152,A$1:A5152,A5152)</f>
        <v>48</v>
      </c>
      <c r="P5152" t="str">
        <f t="shared" si="242"/>
        <v>Brian Hoyer12</v>
      </c>
    </row>
    <row r="5153" spans="1:16" x14ac:dyDescent="0.25">
      <c r="A5153">
        <v>2</v>
      </c>
      <c r="B5153" t="s">
        <v>2926</v>
      </c>
      <c r="C5153">
        <f>-0.13-1.75</f>
        <v>-1.88</v>
      </c>
      <c r="D5153">
        <v>0.81</v>
      </c>
      <c r="E5153" t="s">
        <v>66</v>
      </c>
      <c r="F5153" t="s">
        <v>87</v>
      </c>
      <c r="G5153">
        <v>1.75</v>
      </c>
      <c r="H5153">
        <v>-0.13</v>
      </c>
      <c r="I5153">
        <v>0.94</v>
      </c>
      <c r="J5153">
        <v>0.88360000000000005</v>
      </c>
      <c r="K5153" t="str">
        <f>IFERROR(INDEX(Rosters!$C$2:$C$155,MATCH($B5153,Rosters!$B$2:$B$155,0)),"NA")</f>
        <v>NA</v>
      </c>
      <c r="L5153" t="str">
        <f t="shared" si="240"/>
        <v>NA2WR</v>
      </c>
      <c r="M5153">
        <f>COUNTIF(L$1:L5153,L5153)</f>
        <v>62</v>
      </c>
      <c r="N5153" t="str">
        <f t="shared" si="241"/>
        <v>NA2WR-62</v>
      </c>
      <c r="O5153">
        <f>COUNTIFS(F$1:F5153,F5153,A$1:A5153,A5153)</f>
        <v>110</v>
      </c>
      <c r="P5153" t="str">
        <f t="shared" si="242"/>
        <v>Brian Quick2</v>
      </c>
    </row>
    <row r="5154" spans="1:16" x14ac:dyDescent="0.25">
      <c r="A5154">
        <v>4</v>
      </c>
      <c r="B5154" t="s">
        <v>2661</v>
      </c>
      <c r="C5154">
        <f>-0.03-1.65</f>
        <v>-1.68</v>
      </c>
      <c r="D5154">
        <v>0.81</v>
      </c>
      <c r="E5154" t="s">
        <v>34</v>
      </c>
      <c r="F5154" t="s">
        <v>87</v>
      </c>
      <c r="G5154">
        <v>1.65</v>
      </c>
      <c r="H5154">
        <v>-0.03</v>
      </c>
      <c r="I5154">
        <v>0.84</v>
      </c>
      <c r="J5154">
        <v>0.7056</v>
      </c>
      <c r="K5154" t="str">
        <f>IFERROR(INDEX(Rosters!$C$2:$C$155,MATCH($B5154,Rosters!$B$2:$B$155,0)),"NA")</f>
        <v>NA</v>
      </c>
      <c r="L5154" t="str">
        <f t="shared" si="240"/>
        <v>NA4WR</v>
      </c>
      <c r="M5154">
        <f>COUNTIF(L$1:L5154,L5154)</f>
        <v>57</v>
      </c>
      <c r="N5154" t="str">
        <f t="shared" si="241"/>
        <v>NA4WR-57</v>
      </c>
      <c r="O5154">
        <f>COUNTIFS(F$1:F5154,F5154,A$1:A5154,A5154)</f>
        <v>107</v>
      </c>
      <c r="P5154" t="str">
        <f t="shared" si="242"/>
        <v>Brice Butler4</v>
      </c>
    </row>
    <row r="5155" spans="1:16" x14ac:dyDescent="0.25">
      <c r="A5155">
        <v>9</v>
      </c>
      <c r="B5155" t="s">
        <v>384</v>
      </c>
      <c r="C5155" t="s">
        <v>1140</v>
      </c>
      <c r="D5155">
        <v>0.81</v>
      </c>
      <c r="E5155" t="s">
        <v>29</v>
      </c>
      <c r="F5155" t="s">
        <v>15</v>
      </c>
      <c r="G5155">
        <v>1.37</v>
      </c>
      <c r="H5155">
        <v>0.25</v>
      </c>
      <c r="I5155">
        <v>0.56000000000000005</v>
      </c>
      <c r="J5155">
        <v>0.31359999999999999</v>
      </c>
      <c r="K5155" t="str">
        <f>IFERROR(INDEX(Rosters!$C$2:$C$155,MATCH($B5155,Rosters!$B$2:$B$155,0)),"NA")</f>
        <v>NA</v>
      </c>
      <c r="L5155" t="str">
        <f t="shared" si="240"/>
        <v>NA9QB</v>
      </c>
      <c r="M5155">
        <f>COUNTIF(L$1:L5155,L5155)</f>
        <v>26</v>
      </c>
      <c r="N5155" t="str">
        <f t="shared" si="241"/>
        <v>NA9QB-26</v>
      </c>
      <c r="O5155">
        <f>COUNTIFS(F$1:F5155,F5155,A$1:A5155,A5155)</f>
        <v>40</v>
      </c>
      <c r="P5155" t="str">
        <f t="shared" si="242"/>
        <v>Chase Daniel9</v>
      </c>
    </row>
    <row r="5156" spans="1:16" x14ac:dyDescent="0.25">
      <c r="A5156">
        <v>9</v>
      </c>
      <c r="B5156" t="s">
        <v>1550</v>
      </c>
      <c r="C5156" t="s">
        <v>8810</v>
      </c>
      <c r="D5156">
        <v>0.81</v>
      </c>
      <c r="E5156" t="s">
        <v>38</v>
      </c>
      <c r="F5156" t="s">
        <v>15</v>
      </c>
      <c r="G5156">
        <v>1.43</v>
      </c>
      <c r="H5156">
        <v>0.19</v>
      </c>
      <c r="I5156">
        <v>0.62</v>
      </c>
      <c r="J5156">
        <v>0.38440000000000002</v>
      </c>
      <c r="K5156" t="str">
        <f>IFERROR(INDEX(Rosters!$C$2:$C$155,MATCH($B5156,Rosters!$B$2:$B$155,0)),"NA")</f>
        <v>NA</v>
      </c>
      <c r="L5156" t="str">
        <f t="shared" si="240"/>
        <v>NA9QB</v>
      </c>
      <c r="M5156">
        <f>COUNTIF(L$1:L5156,L5156)</f>
        <v>27</v>
      </c>
      <c r="N5156" t="str">
        <f t="shared" si="241"/>
        <v>NA9QB-27</v>
      </c>
      <c r="O5156">
        <f>COUNTIFS(F$1:F5156,F5156,A$1:A5156,A5156)</f>
        <v>41</v>
      </c>
      <c r="P5156" t="str">
        <f t="shared" si="242"/>
        <v>Cooper Rush9</v>
      </c>
    </row>
    <row r="5157" spans="1:16" x14ac:dyDescent="0.25">
      <c r="A5157">
        <v>13</v>
      </c>
      <c r="B5157" t="s">
        <v>304</v>
      </c>
      <c r="C5157">
        <f>-0.04-1.66</f>
        <v>-1.7</v>
      </c>
      <c r="D5157">
        <v>0.81</v>
      </c>
      <c r="E5157" t="s">
        <v>37</v>
      </c>
      <c r="F5157" t="s">
        <v>87</v>
      </c>
      <c r="G5157">
        <v>1.66</v>
      </c>
      <c r="H5157">
        <v>-0.04</v>
      </c>
      <c r="I5157">
        <v>0.85</v>
      </c>
      <c r="J5157">
        <v>0.72250000000000003</v>
      </c>
      <c r="K5157" t="str">
        <f>IFERROR(INDEX(Rosters!$C$2:$C$155,MATCH($B5157,Rosters!$B$2:$B$155,0)),"NA")</f>
        <v>NA</v>
      </c>
      <c r="L5157" t="str">
        <f t="shared" si="240"/>
        <v>NA13WR</v>
      </c>
      <c r="M5157">
        <f>COUNTIF(L$1:L5157,L5157)</f>
        <v>69</v>
      </c>
      <c r="N5157" t="str">
        <f t="shared" si="241"/>
        <v>NA13WR-69</v>
      </c>
      <c r="O5157">
        <f>COUNTIFS(F$1:F5157,F5157,A$1:A5157,A5157)</f>
        <v>123</v>
      </c>
      <c r="P5157" t="str">
        <f t="shared" si="242"/>
        <v>Darrius Heyward-Bey13</v>
      </c>
    </row>
    <row r="5158" spans="1:16" x14ac:dyDescent="0.25">
      <c r="A5158">
        <v>2</v>
      </c>
      <c r="B5158" t="s">
        <v>8733</v>
      </c>
      <c r="C5158">
        <f>-0.16-1.78</f>
        <v>-1.94</v>
      </c>
      <c r="D5158">
        <v>0.81</v>
      </c>
      <c r="E5158" t="s">
        <v>17</v>
      </c>
      <c r="F5158" t="s">
        <v>87</v>
      </c>
      <c r="G5158">
        <v>1.78</v>
      </c>
      <c r="H5158">
        <v>-0.16</v>
      </c>
      <c r="I5158">
        <v>0.97</v>
      </c>
      <c r="J5158">
        <v>0.94089999999999996</v>
      </c>
      <c r="K5158" t="str">
        <f>IFERROR(INDEX(Rosters!$C$2:$C$155,MATCH($B5158,Rosters!$B$2:$B$155,0)),"NA")</f>
        <v>NA</v>
      </c>
      <c r="L5158" t="str">
        <f t="shared" si="240"/>
        <v>NA2WR</v>
      </c>
      <c r="M5158">
        <f>COUNTIF(L$1:L5158,L5158)</f>
        <v>63</v>
      </c>
      <c r="N5158" t="str">
        <f t="shared" si="241"/>
        <v>NA2WR-63</v>
      </c>
      <c r="O5158">
        <f>COUNTIFS(F$1:F5158,F5158,A$1:A5158,A5158)</f>
        <v>111</v>
      </c>
      <c r="P5158" t="str">
        <f t="shared" si="242"/>
        <v>DeAndre Carter2</v>
      </c>
    </row>
    <row r="5159" spans="1:16" x14ac:dyDescent="0.25">
      <c r="A5159">
        <v>11</v>
      </c>
      <c r="B5159" t="s">
        <v>8733</v>
      </c>
      <c r="C5159" t="s">
        <v>4680</v>
      </c>
      <c r="D5159">
        <v>0.81</v>
      </c>
      <c r="E5159" t="s">
        <v>14</v>
      </c>
      <c r="F5159" t="s">
        <v>87</v>
      </c>
      <c r="G5159">
        <v>1.6</v>
      </c>
      <c r="H5159">
        <v>0.02</v>
      </c>
      <c r="I5159">
        <v>0.79</v>
      </c>
      <c r="J5159">
        <v>0.62409999999999999</v>
      </c>
      <c r="K5159" t="str">
        <f>IFERROR(INDEX(Rosters!$C$2:$C$155,MATCH($B5159,Rosters!$B$2:$B$155,0)),"NA")</f>
        <v>NA</v>
      </c>
      <c r="L5159" t="str">
        <f t="shared" si="240"/>
        <v>NA11WR</v>
      </c>
      <c r="M5159">
        <f>COUNTIF(L$1:L5159,L5159)</f>
        <v>55</v>
      </c>
      <c r="N5159" t="str">
        <f t="shared" si="241"/>
        <v>NA11WR-55</v>
      </c>
      <c r="O5159">
        <f>COUNTIFS(F$1:F5159,F5159,A$1:A5159,A5159)</f>
        <v>102</v>
      </c>
      <c r="P5159" t="str">
        <f t="shared" si="242"/>
        <v>DeAndre Carter11</v>
      </c>
    </row>
    <row r="5160" spans="1:16" x14ac:dyDescent="0.25">
      <c r="A5160">
        <v>9</v>
      </c>
      <c r="B5160" t="s">
        <v>254</v>
      </c>
      <c r="C5160">
        <f>-0.3-1.92</f>
        <v>-2.2199999999999998</v>
      </c>
      <c r="D5160">
        <v>0.81</v>
      </c>
      <c r="E5160" t="s">
        <v>41</v>
      </c>
      <c r="F5160" t="s">
        <v>114</v>
      </c>
      <c r="G5160">
        <v>1.92</v>
      </c>
      <c r="H5160">
        <v>-0.3</v>
      </c>
      <c r="I5160">
        <v>1.1100000000000001</v>
      </c>
      <c r="J5160">
        <v>1.2321</v>
      </c>
      <c r="K5160" t="str">
        <f>IFERROR(INDEX(Rosters!$C$2:$C$155,MATCH($B5160,Rosters!$B$2:$B$155,0)),"NA")</f>
        <v>NA</v>
      </c>
      <c r="L5160" t="str">
        <f t="shared" si="240"/>
        <v>NA9TE</v>
      </c>
      <c r="M5160">
        <f>COUNTIF(L$1:L5160,L5160)</f>
        <v>45</v>
      </c>
      <c r="N5160" t="str">
        <f t="shared" si="241"/>
        <v>NA9TE-45</v>
      </c>
      <c r="O5160">
        <f>COUNTIFS(F$1:F5160,F5160,A$1:A5160,A5160)</f>
        <v>56</v>
      </c>
      <c r="P5160" t="str">
        <f t="shared" si="242"/>
        <v>Dwayne Allen9</v>
      </c>
    </row>
    <row r="5161" spans="1:16" x14ac:dyDescent="0.25">
      <c r="A5161">
        <v>4</v>
      </c>
      <c r="B5161" t="s">
        <v>1109</v>
      </c>
      <c r="C5161" t="s">
        <v>4679</v>
      </c>
      <c r="D5161">
        <v>0.81</v>
      </c>
      <c r="E5161" t="s">
        <v>30</v>
      </c>
      <c r="F5161" t="s">
        <v>15</v>
      </c>
      <c r="G5161">
        <v>1.36</v>
      </c>
      <c r="H5161">
        <v>0.26</v>
      </c>
      <c r="I5161">
        <v>0.55000000000000004</v>
      </c>
      <c r="J5161">
        <v>0.30249999999999999</v>
      </c>
      <c r="K5161" t="str">
        <f>IFERROR(INDEX(Rosters!$C$2:$C$155,MATCH($B5161,Rosters!$B$2:$B$155,0)),"NA")</f>
        <v>NA</v>
      </c>
      <c r="L5161" t="str">
        <f t="shared" si="240"/>
        <v>NA4QB</v>
      </c>
      <c r="M5161">
        <f>COUNTIF(L$1:L5161,L5161)</f>
        <v>25</v>
      </c>
      <c r="N5161" t="str">
        <f t="shared" si="241"/>
        <v>NA4QB-25</v>
      </c>
      <c r="O5161">
        <f>COUNTIFS(F$1:F5161,F5161,A$1:A5161,A5161)</f>
        <v>40</v>
      </c>
      <c r="P5161" t="str">
        <f t="shared" si="242"/>
        <v>Geno Smith4</v>
      </c>
    </row>
    <row r="5162" spans="1:16" x14ac:dyDescent="0.25">
      <c r="A5162">
        <v>17</v>
      </c>
      <c r="B5162" t="s">
        <v>1516</v>
      </c>
      <c r="C5162" t="s">
        <v>4680</v>
      </c>
      <c r="D5162">
        <v>0.81</v>
      </c>
      <c r="E5162" t="s">
        <v>34</v>
      </c>
      <c r="F5162" t="s">
        <v>87</v>
      </c>
      <c r="G5162">
        <v>1.6</v>
      </c>
      <c r="H5162">
        <v>0.02</v>
      </c>
      <c r="I5162">
        <v>0.79</v>
      </c>
      <c r="J5162">
        <v>0.62409999999999999</v>
      </c>
      <c r="K5162" t="str">
        <f>IFERROR(INDEX(Rosters!$C$2:$C$155,MATCH($B5162,Rosters!$B$2:$B$155,0)),"NA")</f>
        <v>NA</v>
      </c>
      <c r="L5162" t="str">
        <f t="shared" si="240"/>
        <v>NA17WR</v>
      </c>
      <c r="M5162">
        <f>COUNTIF(L$1:L5162,L5162)</f>
        <v>69</v>
      </c>
      <c r="N5162" t="str">
        <f t="shared" si="241"/>
        <v>NA17WR-69</v>
      </c>
      <c r="O5162">
        <f>COUNTIFS(F$1:F5162,F5162,A$1:A5162,A5162)</f>
        <v>123</v>
      </c>
      <c r="P5162" t="str">
        <f t="shared" si="242"/>
        <v>J'Mon Moore17</v>
      </c>
    </row>
    <row r="5163" spans="1:16" x14ac:dyDescent="0.25">
      <c r="A5163">
        <v>10</v>
      </c>
      <c r="B5163" t="s">
        <v>1490</v>
      </c>
      <c r="C5163">
        <f>-0.02-1.64</f>
        <v>-1.66</v>
      </c>
      <c r="D5163">
        <v>0.81</v>
      </c>
      <c r="E5163" t="s">
        <v>56</v>
      </c>
      <c r="F5163" t="s">
        <v>47</v>
      </c>
      <c r="G5163">
        <v>1.64</v>
      </c>
      <c r="H5163">
        <v>-0.02</v>
      </c>
      <c r="I5163">
        <v>0.83</v>
      </c>
      <c r="J5163">
        <v>0.68889999999999996</v>
      </c>
      <c r="K5163" t="str">
        <f>IFERROR(INDEX(Rosters!$C$2:$C$155,MATCH($B5163,Rosters!$B$2:$B$155,0)),"NA")</f>
        <v>NA</v>
      </c>
      <c r="L5163" t="str">
        <f t="shared" si="240"/>
        <v>NA10RB</v>
      </c>
      <c r="M5163">
        <f>COUNTIF(L$1:L5163,L5163)</f>
        <v>41</v>
      </c>
      <c r="N5163" t="str">
        <f t="shared" si="241"/>
        <v>NA10RB-41</v>
      </c>
      <c r="O5163">
        <f>COUNTIFS(F$1:F5163,F5163,A$1:A5163,A5163)</f>
        <v>80</v>
      </c>
      <c r="P5163" t="str">
        <f t="shared" si="242"/>
        <v>J.D. McKissic10</v>
      </c>
    </row>
    <row r="5164" spans="1:16" x14ac:dyDescent="0.25">
      <c r="A5164">
        <v>10</v>
      </c>
      <c r="B5164" t="s">
        <v>348</v>
      </c>
      <c r="C5164" t="s">
        <v>8811</v>
      </c>
      <c r="D5164">
        <v>0.81</v>
      </c>
      <c r="E5164" t="s">
        <v>30</v>
      </c>
      <c r="F5164" t="s">
        <v>114</v>
      </c>
      <c r="G5164">
        <v>1.49</v>
      </c>
      <c r="H5164">
        <v>0.13</v>
      </c>
      <c r="I5164">
        <v>0.68</v>
      </c>
      <c r="J5164">
        <v>0.46239999999999998</v>
      </c>
      <c r="K5164" t="str">
        <f>IFERROR(INDEX(Rosters!$C$2:$C$155,MATCH($B5164,Rosters!$B$2:$B$155,0)),"NA")</f>
        <v>NA</v>
      </c>
      <c r="L5164" t="str">
        <f t="shared" si="240"/>
        <v>NA10TE</v>
      </c>
      <c r="M5164">
        <f>COUNTIF(L$1:L5164,L5164)</f>
        <v>46</v>
      </c>
      <c r="N5164" t="str">
        <f t="shared" si="241"/>
        <v>NA10TE-46</v>
      </c>
      <c r="O5164">
        <f>COUNTIFS(F$1:F5164,F5164,A$1:A5164,A5164)</f>
        <v>59</v>
      </c>
      <c r="P5164" t="str">
        <f t="shared" si="242"/>
        <v>Jerell Adams10</v>
      </c>
    </row>
    <row r="5165" spans="1:16" x14ac:dyDescent="0.25">
      <c r="A5165">
        <v>13</v>
      </c>
      <c r="B5165" t="s">
        <v>359</v>
      </c>
      <c r="C5165">
        <f>-0.07-1.69</f>
        <v>-1.76</v>
      </c>
      <c r="D5165">
        <v>0.81</v>
      </c>
      <c r="E5165" t="s">
        <v>54</v>
      </c>
      <c r="F5165" t="s">
        <v>87</v>
      </c>
      <c r="G5165">
        <v>1.69</v>
      </c>
      <c r="H5165">
        <v>-7.0000000000000007E-2</v>
      </c>
      <c r="I5165">
        <v>0.88</v>
      </c>
      <c r="J5165">
        <v>0.77439999999999998</v>
      </c>
      <c r="K5165" t="str">
        <f>IFERROR(INDEX(Rosters!$C$2:$C$155,MATCH($B5165,Rosters!$B$2:$B$155,0)),"NA")</f>
        <v>NA</v>
      </c>
      <c r="L5165" t="str">
        <f t="shared" si="240"/>
        <v>NA13WR</v>
      </c>
      <c r="M5165">
        <f>COUNTIF(L$1:L5165,L5165)</f>
        <v>70</v>
      </c>
      <c r="N5165" t="str">
        <f t="shared" si="241"/>
        <v>NA13WR-70</v>
      </c>
      <c r="O5165">
        <f>COUNTIFS(F$1:F5165,F5165,A$1:A5165,A5165)</f>
        <v>124</v>
      </c>
      <c r="P5165" t="str">
        <f t="shared" si="242"/>
        <v>Josh Bellamy13</v>
      </c>
    </row>
    <row r="5166" spans="1:16" x14ac:dyDescent="0.25">
      <c r="A5166">
        <v>3</v>
      </c>
      <c r="B5166" t="s">
        <v>1506</v>
      </c>
      <c r="C5166" t="s">
        <v>3826</v>
      </c>
      <c r="D5166">
        <v>0.81</v>
      </c>
      <c r="E5166" t="s">
        <v>72</v>
      </c>
      <c r="F5166" t="s">
        <v>15</v>
      </c>
      <c r="G5166">
        <v>1.39</v>
      </c>
      <c r="H5166">
        <v>0.23</v>
      </c>
      <c r="I5166">
        <v>0.57999999999999996</v>
      </c>
      <c r="J5166">
        <v>0.33639999999999998</v>
      </c>
      <c r="K5166" t="str">
        <f>IFERROR(INDEX(Rosters!$C$2:$C$155,MATCH($B5166,Rosters!$B$2:$B$155,0)),"NA")</f>
        <v>NA</v>
      </c>
      <c r="L5166" t="str">
        <f t="shared" si="240"/>
        <v>NA3QB</v>
      </c>
      <c r="M5166">
        <f>COUNTIF(L$1:L5166,L5166)</f>
        <v>25</v>
      </c>
      <c r="N5166" t="str">
        <f t="shared" si="241"/>
        <v>NA3QB-25</v>
      </c>
      <c r="O5166">
        <f>COUNTIFS(F$1:F5166,F5166,A$1:A5166,A5166)</f>
        <v>42</v>
      </c>
      <c r="P5166" t="str">
        <f t="shared" si="242"/>
        <v>Josh Rosen3</v>
      </c>
    </row>
    <row r="5167" spans="1:16" x14ac:dyDescent="0.25">
      <c r="A5167">
        <v>3</v>
      </c>
      <c r="B5167" t="s">
        <v>4238</v>
      </c>
      <c r="C5167">
        <f>-0.13-1.75</f>
        <v>-1.88</v>
      </c>
      <c r="D5167">
        <v>0.81</v>
      </c>
      <c r="E5167" t="s">
        <v>30</v>
      </c>
      <c r="F5167" t="s">
        <v>87</v>
      </c>
      <c r="G5167">
        <v>1.75</v>
      </c>
      <c r="H5167">
        <v>-0.13</v>
      </c>
      <c r="I5167">
        <v>0.94</v>
      </c>
      <c r="J5167">
        <v>0.88360000000000005</v>
      </c>
      <c r="K5167" t="str">
        <f>IFERROR(INDEX(Rosters!$C$2:$C$155,MATCH($B5167,Rosters!$B$2:$B$155,0)),"NA")</f>
        <v>NA</v>
      </c>
      <c r="L5167" t="str">
        <f t="shared" si="240"/>
        <v>NA3WR</v>
      </c>
      <c r="M5167">
        <f>COUNTIF(L$1:L5167,L5167)</f>
        <v>64</v>
      </c>
      <c r="N5167" t="str">
        <f t="shared" si="241"/>
        <v>NA3WR-64</v>
      </c>
      <c r="O5167">
        <f>COUNTIFS(F$1:F5167,F5167,A$1:A5167,A5167)</f>
        <v>113</v>
      </c>
      <c r="P5167" t="str">
        <f t="shared" si="242"/>
        <v>Marcus Kemp3</v>
      </c>
    </row>
    <row r="5168" spans="1:16" x14ac:dyDescent="0.25">
      <c r="A5168">
        <v>10</v>
      </c>
      <c r="B5168" t="s">
        <v>1146</v>
      </c>
      <c r="C5168">
        <f>-0.06-1.68</f>
        <v>-1.74</v>
      </c>
      <c r="D5168">
        <v>0.81</v>
      </c>
      <c r="E5168" t="s">
        <v>17</v>
      </c>
      <c r="F5168" t="s">
        <v>87</v>
      </c>
      <c r="G5168">
        <v>1.68</v>
      </c>
      <c r="H5168">
        <v>-0.06</v>
      </c>
      <c r="I5168">
        <v>0.87</v>
      </c>
      <c r="J5168">
        <v>0.75690000000000002</v>
      </c>
      <c r="K5168" t="str">
        <f>IFERROR(INDEX(Rosters!$C$2:$C$155,MATCH($B5168,Rosters!$B$2:$B$155,0)),"NA")</f>
        <v>NA</v>
      </c>
      <c r="L5168" t="str">
        <f t="shared" si="240"/>
        <v>NA10WR</v>
      </c>
      <c r="M5168">
        <f>COUNTIF(L$1:L5168,L5168)</f>
        <v>66</v>
      </c>
      <c r="N5168" t="str">
        <f t="shared" si="241"/>
        <v>NA10WR-66</v>
      </c>
      <c r="O5168">
        <f>COUNTIFS(F$1:F5168,F5168,A$1:A5168,A5168)</f>
        <v>111</v>
      </c>
      <c r="P5168" t="str">
        <f t="shared" si="242"/>
        <v>Maurice Harris10</v>
      </c>
    </row>
    <row r="5169" spans="1:16" x14ac:dyDescent="0.25">
      <c r="A5169">
        <v>15</v>
      </c>
      <c r="B5169" t="s">
        <v>4690</v>
      </c>
      <c r="C5169">
        <f>-0.02-1.64</f>
        <v>-1.66</v>
      </c>
      <c r="D5169">
        <v>0.81</v>
      </c>
      <c r="E5169" t="s">
        <v>19</v>
      </c>
      <c r="F5169" t="s">
        <v>47</v>
      </c>
      <c r="G5169">
        <v>1.64</v>
      </c>
      <c r="H5169">
        <v>-0.02</v>
      </c>
      <c r="I5169">
        <v>0.83</v>
      </c>
      <c r="J5169">
        <v>0.68889999999999996</v>
      </c>
      <c r="K5169" t="str">
        <f>IFERROR(INDEX(Rosters!$C$2:$C$155,MATCH($B5169,Rosters!$B$2:$B$155,0)),"NA")</f>
        <v>NA</v>
      </c>
      <c r="L5169" t="str">
        <f t="shared" si="240"/>
        <v>NA15RB</v>
      </c>
      <c r="M5169">
        <f>COUNTIF(L$1:L5169,L5169)</f>
        <v>45</v>
      </c>
      <c r="N5169" t="str">
        <f t="shared" si="241"/>
        <v>NA15RB-45</v>
      </c>
      <c r="O5169">
        <f>COUNTIFS(F$1:F5169,F5169,A$1:A5169,A5169)</f>
        <v>92</v>
      </c>
      <c r="P5169" t="str">
        <f t="shared" si="242"/>
        <v>Mike Boone15</v>
      </c>
    </row>
    <row r="5170" spans="1:16" x14ac:dyDescent="0.25">
      <c r="A5170">
        <v>11</v>
      </c>
      <c r="B5170" t="s">
        <v>144</v>
      </c>
      <c r="C5170">
        <f>-0.07-1.69</f>
        <v>-1.76</v>
      </c>
      <c r="D5170">
        <v>0.81</v>
      </c>
      <c r="E5170" t="s">
        <v>50</v>
      </c>
      <c r="F5170" t="s">
        <v>47</v>
      </c>
      <c r="G5170">
        <v>1.69</v>
      </c>
      <c r="H5170">
        <v>-7.0000000000000007E-2</v>
      </c>
      <c r="I5170">
        <v>0.88</v>
      </c>
      <c r="J5170">
        <v>0.77439999999999998</v>
      </c>
      <c r="K5170" t="str">
        <f>IFERROR(INDEX(Rosters!$C$2:$C$155,MATCH($B5170,Rosters!$B$2:$B$155,0)),"NA")</f>
        <v>NA</v>
      </c>
      <c r="L5170" t="str">
        <f t="shared" si="240"/>
        <v>NA11RB</v>
      </c>
      <c r="M5170">
        <f>COUNTIF(L$1:L5170,L5170)</f>
        <v>36</v>
      </c>
      <c r="N5170" t="str">
        <f t="shared" si="241"/>
        <v>NA11RB-36</v>
      </c>
      <c r="O5170">
        <f>COUNTIFS(F$1:F5170,F5170,A$1:A5170,A5170)</f>
        <v>74</v>
      </c>
      <c r="P5170" t="str">
        <f t="shared" si="242"/>
        <v>Mike Gillislee11</v>
      </c>
    </row>
    <row r="5171" spans="1:16" x14ac:dyDescent="0.25">
      <c r="A5171">
        <v>8</v>
      </c>
      <c r="B5171" t="s">
        <v>8803</v>
      </c>
      <c r="C5171">
        <f>-0.03-1.65</f>
        <v>-1.68</v>
      </c>
      <c r="D5171">
        <v>0.81</v>
      </c>
      <c r="E5171" t="s">
        <v>14</v>
      </c>
      <c r="F5171" t="s">
        <v>47</v>
      </c>
      <c r="G5171">
        <v>1.65</v>
      </c>
      <c r="H5171">
        <v>-0.03</v>
      </c>
      <c r="I5171">
        <v>0.84</v>
      </c>
      <c r="J5171">
        <v>0.7056</v>
      </c>
      <c r="K5171" t="str">
        <f>IFERROR(INDEX(Rosters!$C$2:$C$155,MATCH($B5171,Rosters!$B$2:$B$155,0)),"NA")</f>
        <v>NA</v>
      </c>
      <c r="L5171" t="str">
        <f t="shared" si="240"/>
        <v>NA8RB</v>
      </c>
      <c r="M5171">
        <f>COUNTIF(L$1:L5171,L5171)</f>
        <v>43</v>
      </c>
      <c r="N5171" t="str">
        <f t="shared" si="241"/>
        <v>NA8RB-43</v>
      </c>
      <c r="O5171">
        <f>COUNTIFS(F$1:F5171,F5171,A$1:A5171,A5171)</f>
        <v>83</v>
      </c>
      <c r="P5171" t="str">
        <f t="shared" si="242"/>
        <v>Roc Thomas8</v>
      </c>
    </row>
    <row r="5172" spans="1:16" x14ac:dyDescent="0.25">
      <c r="A5172">
        <v>10</v>
      </c>
      <c r="B5172" t="s">
        <v>4246</v>
      </c>
      <c r="C5172" t="s">
        <v>8812</v>
      </c>
      <c r="D5172">
        <v>0.81</v>
      </c>
      <c r="E5172" t="s">
        <v>30</v>
      </c>
      <c r="F5172" t="s">
        <v>114</v>
      </c>
      <c r="G5172">
        <v>1.44</v>
      </c>
      <c r="H5172">
        <v>0.18</v>
      </c>
      <c r="I5172">
        <v>0.63</v>
      </c>
      <c r="J5172">
        <v>0.39689999999999998</v>
      </c>
      <c r="K5172" t="str">
        <f>IFERROR(INDEX(Rosters!$C$2:$C$155,MATCH($B5172,Rosters!$B$2:$B$155,0)),"NA")</f>
        <v>NA</v>
      </c>
      <c r="L5172" t="str">
        <f t="shared" si="240"/>
        <v>NA10TE</v>
      </c>
      <c r="M5172">
        <f>COUNTIF(L$1:L5172,L5172)</f>
        <v>47</v>
      </c>
      <c r="N5172" t="str">
        <f t="shared" si="241"/>
        <v>NA10TE-47</v>
      </c>
      <c r="O5172">
        <f>COUNTIFS(F$1:F5172,F5172,A$1:A5172,A5172)</f>
        <v>60</v>
      </c>
      <c r="P5172" t="str">
        <f t="shared" si="242"/>
        <v>Scott Simonson10</v>
      </c>
    </row>
    <row r="5173" spans="1:16" x14ac:dyDescent="0.25">
      <c r="A5173">
        <v>10</v>
      </c>
      <c r="B5173" t="s">
        <v>4243</v>
      </c>
      <c r="C5173">
        <f>-0.15-1.77</f>
        <v>-1.92</v>
      </c>
      <c r="D5173">
        <v>0.81</v>
      </c>
      <c r="E5173" t="s">
        <v>17</v>
      </c>
      <c r="F5173" t="s">
        <v>87</v>
      </c>
      <c r="G5173">
        <v>1.77</v>
      </c>
      <c r="H5173">
        <v>-0.15</v>
      </c>
      <c r="I5173">
        <v>0.96</v>
      </c>
      <c r="J5173">
        <v>0.92159999999999997</v>
      </c>
      <c r="K5173" t="str">
        <f>IFERROR(INDEX(Rosters!$C$2:$C$155,MATCH($B5173,Rosters!$B$2:$B$155,0)),"NA")</f>
        <v>NA</v>
      </c>
      <c r="L5173" t="str">
        <f t="shared" si="240"/>
        <v>NA10WR</v>
      </c>
      <c r="M5173">
        <f>COUNTIF(L$1:L5173,L5173)</f>
        <v>67</v>
      </c>
      <c r="N5173" t="str">
        <f t="shared" si="241"/>
        <v>NA10WR-67</v>
      </c>
      <c r="O5173">
        <f>COUNTIFS(F$1:F5173,F5173,A$1:A5173,A5173)</f>
        <v>112</v>
      </c>
      <c r="P5173" t="str">
        <f t="shared" si="242"/>
        <v>Trey Quinn10</v>
      </c>
    </row>
    <row r="5174" spans="1:16" x14ac:dyDescent="0.25">
      <c r="A5174">
        <v>14</v>
      </c>
      <c r="B5174" t="s">
        <v>4243</v>
      </c>
      <c r="C5174" t="s">
        <v>8813</v>
      </c>
      <c r="D5174">
        <v>0.81</v>
      </c>
      <c r="E5174" t="s">
        <v>54</v>
      </c>
      <c r="F5174" t="s">
        <v>87</v>
      </c>
      <c r="G5174">
        <v>1.61</v>
      </c>
      <c r="H5174">
        <v>0.01</v>
      </c>
      <c r="I5174">
        <v>0.8</v>
      </c>
      <c r="J5174">
        <v>0.64</v>
      </c>
      <c r="K5174" t="str">
        <f>IFERROR(INDEX(Rosters!$C$2:$C$155,MATCH($B5174,Rosters!$B$2:$B$155,0)),"NA")</f>
        <v>NA</v>
      </c>
      <c r="L5174" t="str">
        <f t="shared" si="240"/>
        <v>NA14WR</v>
      </c>
      <c r="M5174">
        <f>COUNTIF(L$1:L5174,L5174)</f>
        <v>70</v>
      </c>
      <c r="N5174" t="str">
        <f t="shared" si="241"/>
        <v>NA14WR-70</v>
      </c>
      <c r="O5174">
        <f>COUNTIFS(F$1:F5174,F5174,A$1:A5174,A5174)</f>
        <v>124</v>
      </c>
      <c r="P5174" t="str">
        <f t="shared" si="242"/>
        <v>Trey Quinn14</v>
      </c>
    </row>
    <row r="5175" spans="1:16" x14ac:dyDescent="0.25">
      <c r="A5175">
        <v>6</v>
      </c>
      <c r="B5175" t="s">
        <v>1131</v>
      </c>
      <c r="C5175" t="s">
        <v>3825</v>
      </c>
      <c r="D5175">
        <v>0.81</v>
      </c>
      <c r="E5175" t="s">
        <v>29</v>
      </c>
      <c r="F5175" t="s">
        <v>47</v>
      </c>
      <c r="G5175">
        <v>1.5</v>
      </c>
      <c r="H5175">
        <v>0.12</v>
      </c>
      <c r="I5175">
        <v>0.69</v>
      </c>
      <c r="J5175">
        <v>0.47610000000000002</v>
      </c>
      <c r="K5175" t="str">
        <f>IFERROR(INDEX(Rosters!$C$2:$C$155,MATCH($B5175,Rosters!$B$2:$B$155,0)),"NA")</f>
        <v>NA</v>
      </c>
      <c r="L5175" t="str">
        <f t="shared" si="240"/>
        <v>NA6RB</v>
      </c>
      <c r="M5175">
        <f>COUNTIF(L$1:L5175,L5175)</f>
        <v>41</v>
      </c>
      <c r="N5175" t="str">
        <f t="shared" si="241"/>
        <v>NA6RB-41</v>
      </c>
      <c r="O5175">
        <f>COUNTIFS(F$1:F5175,F5175,A$1:A5175,A5175)</f>
        <v>83</v>
      </c>
      <c r="P5175" t="str">
        <f t="shared" si="242"/>
        <v>Tyler Ervin6</v>
      </c>
    </row>
    <row r="5176" spans="1:16" x14ac:dyDescent="0.25">
      <c r="A5176">
        <v>17</v>
      </c>
      <c r="B5176" t="s">
        <v>1131</v>
      </c>
      <c r="C5176">
        <f>-0.21-1.83</f>
        <v>-2.04</v>
      </c>
      <c r="D5176">
        <v>0.81</v>
      </c>
      <c r="E5176" t="s">
        <v>76</v>
      </c>
      <c r="F5176" t="s">
        <v>47</v>
      </c>
      <c r="G5176">
        <v>1.83</v>
      </c>
      <c r="H5176">
        <v>-0.21</v>
      </c>
      <c r="I5176">
        <v>1.02</v>
      </c>
      <c r="J5176">
        <v>1.0404</v>
      </c>
      <c r="K5176" t="str">
        <f>IFERROR(INDEX(Rosters!$C$2:$C$155,MATCH($B5176,Rosters!$B$2:$B$155,0)),"NA")</f>
        <v>NA</v>
      </c>
      <c r="L5176" t="str">
        <f t="shared" si="240"/>
        <v>NA17RB</v>
      </c>
      <c r="M5176">
        <f>COUNTIF(L$1:L5176,L5176)</f>
        <v>44</v>
      </c>
      <c r="N5176" t="str">
        <f t="shared" si="241"/>
        <v>NA17RB-44</v>
      </c>
      <c r="O5176">
        <f>COUNTIFS(F$1:F5176,F5176,A$1:A5176,A5176)</f>
        <v>91</v>
      </c>
      <c r="P5176" t="str">
        <f t="shared" si="242"/>
        <v>Tyler Ervin17</v>
      </c>
    </row>
    <row r="5177" spans="1:16" x14ac:dyDescent="0.25">
      <c r="A5177">
        <v>13</v>
      </c>
      <c r="B5177" t="s">
        <v>1627</v>
      </c>
      <c r="C5177" t="s">
        <v>8814</v>
      </c>
      <c r="D5177">
        <v>0.8</v>
      </c>
      <c r="E5177" t="s">
        <v>73</v>
      </c>
      <c r="F5177" t="s">
        <v>15</v>
      </c>
      <c r="G5177">
        <v>1.44</v>
      </c>
      <c r="H5177">
        <v>0.16</v>
      </c>
      <c r="I5177">
        <v>0.64</v>
      </c>
      <c r="J5177">
        <v>0.40960000000000002</v>
      </c>
      <c r="K5177" t="str">
        <f>IFERROR(INDEX(Rosters!$C$2:$C$155,MATCH($B5177,Rosters!$B$2:$B$155,0)),"NA")</f>
        <v>NA</v>
      </c>
      <c r="L5177" t="str">
        <f t="shared" si="240"/>
        <v>NA13QB</v>
      </c>
      <c r="M5177">
        <f>COUNTIF(L$1:L5177,L5177)</f>
        <v>31</v>
      </c>
      <c r="N5177" t="str">
        <f t="shared" si="241"/>
        <v>NA13QB-31</v>
      </c>
      <c r="O5177">
        <f>COUNTIFS(F$1:F5177,F5177,A$1:A5177,A5177)</f>
        <v>48</v>
      </c>
      <c r="P5177" t="str">
        <f t="shared" si="242"/>
        <v>Blaine Gabbert13</v>
      </c>
    </row>
    <row r="5178" spans="1:16" x14ac:dyDescent="0.25">
      <c r="A5178">
        <v>14</v>
      </c>
      <c r="B5178" t="s">
        <v>384</v>
      </c>
      <c r="C5178" t="s">
        <v>8815</v>
      </c>
      <c r="D5178">
        <v>0.8</v>
      </c>
      <c r="E5178" t="s">
        <v>56</v>
      </c>
      <c r="F5178" t="s">
        <v>15</v>
      </c>
      <c r="G5178">
        <v>1.41</v>
      </c>
      <c r="H5178">
        <v>0.19</v>
      </c>
      <c r="I5178">
        <v>0.61</v>
      </c>
      <c r="J5178">
        <v>0.37209999999999999</v>
      </c>
      <c r="K5178" t="str">
        <f>IFERROR(INDEX(Rosters!$C$2:$C$155,MATCH($B5178,Rosters!$B$2:$B$155,0)),"NA")</f>
        <v>NA</v>
      </c>
      <c r="L5178" t="str">
        <f t="shared" si="240"/>
        <v>NA14QB</v>
      </c>
      <c r="M5178">
        <f>COUNTIF(L$1:L5178,L5178)</f>
        <v>31</v>
      </c>
      <c r="N5178" t="str">
        <f t="shared" si="241"/>
        <v>NA14QB-31</v>
      </c>
      <c r="O5178">
        <f>COUNTIFS(F$1:F5178,F5178,A$1:A5178,A5178)</f>
        <v>48</v>
      </c>
      <c r="P5178" t="str">
        <f t="shared" si="242"/>
        <v>Chase Daniel14</v>
      </c>
    </row>
    <row r="5179" spans="1:16" x14ac:dyDescent="0.25">
      <c r="A5179">
        <v>16</v>
      </c>
      <c r="B5179" t="s">
        <v>384</v>
      </c>
      <c r="C5179" t="s">
        <v>8816</v>
      </c>
      <c r="D5179">
        <v>0.8</v>
      </c>
      <c r="E5179" t="s">
        <v>30</v>
      </c>
      <c r="F5179" t="s">
        <v>15</v>
      </c>
      <c r="G5179">
        <v>1.43</v>
      </c>
      <c r="H5179">
        <v>0.17</v>
      </c>
      <c r="I5179">
        <v>0.63</v>
      </c>
      <c r="J5179">
        <v>0.39689999999999998</v>
      </c>
      <c r="K5179" t="str">
        <f>IFERROR(INDEX(Rosters!$C$2:$C$155,MATCH($B5179,Rosters!$B$2:$B$155,0)),"NA")</f>
        <v>NA</v>
      </c>
      <c r="L5179" t="str">
        <f t="shared" si="240"/>
        <v>NA16QB</v>
      </c>
      <c r="M5179">
        <f>COUNTIF(L$1:L5179,L5179)</f>
        <v>29</v>
      </c>
      <c r="N5179" t="str">
        <f t="shared" si="241"/>
        <v>NA16QB-29</v>
      </c>
      <c r="O5179">
        <f>COUNTIFS(F$1:F5179,F5179,A$1:A5179,A5179)</f>
        <v>46</v>
      </c>
      <c r="P5179" t="str">
        <f t="shared" si="242"/>
        <v>Chase Daniel16</v>
      </c>
    </row>
    <row r="5180" spans="1:16" x14ac:dyDescent="0.25">
      <c r="A5180">
        <v>10</v>
      </c>
      <c r="B5180" t="s">
        <v>331</v>
      </c>
      <c r="C5180" t="s">
        <v>8816</v>
      </c>
      <c r="D5180">
        <v>0.8</v>
      </c>
      <c r="E5180" t="s">
        <v>17</v>
      </c>
      <c r="F5180" t="s">
        <v>15</v>
      </c>
      <c r="G5180">
        <v>1.43</v>
      </c>
      <c r="H5180">
        <v>0.17</v>
      </c>
      <c r="I5180">
        <v>0.63</v>
      </c>
      <c r="J5180">
        <v>0.39689999999999998</v>
      </c>
      <c r="K5180" t="str">
        <f>IFERROR(INDEX(Rosters!$C$2:$C$155,MATCH($B5180,Rosters!$B$2:$B$155,0)),"NA")</f>
        <v>NA</v>
      </c>
      <c r="L5180" t="str">
        <f t="shared" si="240"/>
        <v>NA10QB</v>
      </c>
      <c r="M5180">
        <f>COUNTIF(L$1:L5180,L5180)</f>
        <v>26</v>
      </c>
      <c r="N5180" t="str">
        <f t="shared" si="241"/>
        <v>NA10QB-26</v>
      </c>
      <c r="O5180">
        <f>COUNTIFS(F$1:F5180,F5180,A$1:A5180,A5180)</f>
        <v>42</v>
      </c>
      <c r="P5180" t="str">
        <f t="shared" si="242"/>
        <v>Colt McCoy10</v>
      </c>
    </row>
    <row r="5181" spans="1:16" x14ac:dyDescent="0.25">
      <c r="A5181">
        <v>14</v>
      </c>
      <c r="B5181" t="s">
        <v>1550</v>
      </c>
      <c r="C5181" t="s">
        <v>8815</v>
      </c>
      <c r="D5181">
        <v>0.8</v>
      </c>
      <c r="E5181" t="s">
        <v>50</v>
      </c>
      <c r="F5181" t="s">
        <v>15</v>
      </c>
      <c r="G5181">
        <v>1.41</v>
      </c>
      <c r="H5181">
        <v>0.19</v>
      </c>
      <c r="I5181">
        <v>0.61</v>
      </c>
      <c r="J5181">
        <v>0.37209999999999999</v>
      </c>
      <c r="K5181" t="str">
        <f>IFERROR(INDEX(Rosters!$C$2:$C$155,MATCH($B5181,Rosters!$B$2:$B$155,0)),"NA")</f>
        <v>NA</v>
      </c>
      <c r="L5181" t="str">
        <f t="shared" si="240"/>
        <v>NA14QB</v>
      </c>
      <c r="M5181">
        <f>COUNTIF(L$1:L5181,L5181)</f>
        <v>32</v>
      </c>
      <c r="N5181" t="str">
        <f t="shared" si="241"/>
        <v>NA14QB-32</v>
      </c>
      <c r="O5181">
        <f>COUNTIFS(F$1:F5181,F5181,A$1:A5181,A5181)</f>
        <v>49</v>
      </c>
      <c r="P5181" t="str">
        <f t="shared" si="242"/>
        <v>Cooper Rush14</v>
      </c>
    </row>
    <row r="5182" spans="1:16" x14ac:dyDescent="0.25">
      <c r="A5182">
        <v>16</v>
      </c>
      <c r="B5182" t="s">
        <v>1543</v>
      </c>
      <c r="C5182" t="s">
        <v>8817</v>
      </c>
      <c r="D5182">
        <v>0.8</v>
      </c>
      <c r="E5182" t="s">
        <v>76</v>
      </c>
      <c r="F5182" t="s">
        <v>15</v>
      </c>
      <c r="G5182">
        <v>1.29</v>
      </c>
      <c r="H5182">
        <v>0.31</v>
      </c>
      <c r="I5182">
        <v>0.49</v>
      </c>
      <c r="J5182">
        <v>0.24010000000000001</v>
      </c>
      <c r="K5182" t="str">
        <f>IFERROR(INDEX(Rosters!$C$2:$C$155,MATCH($B5182,Rosters!$B$2:$B$155,0)),"NA")</f>
        <v>NA</v>
      </c>
      <c r="L5182" t="str">
        <f t="shared" si="240"/>
        <v>NA16QB</v>
      </c>
      <c r="M5182">
        <f>COUNTIF(L$1:L5182,L5182)</f>
        <v>30</v>
      </c>
      <c r="N5182" t="str">
        <f t="shared" si="241"/>
        <v>NA16QB-30</v>
      </c>
      <c r="O5182">
        <f>COUNTIFS(F$1:F5182,F5182,A$1:A5182,A5182)</f>
        <v>47</v>
      </c>
      <c r="P5182" t="str">
        <f t="shared" si="242"/>
        <v>David Fales16</v>
      </c>
    </row>
    <row r="5183" spans="1:16" x14ac:dyDescent="0.25">
      <c r="A5183">
        <v>13</v>
      </c>
      <c r="B5183" t="s">
        <v>4234</v>
      </c>
      <c r="C5183" t="s">
        <v>4683</v>
      </c>
      <c r="D5183">
        <v>0.8</v>
      </c>
      <c r="E5183" t="s">
        <v>30</v>
      </c>
      <c r="F5183" t="s">
        <v>87</v>
      </c>
      <c r="G5183">
        <v>1.57</v>
      </c>
      <c r="H5183">
        <v>0.03</v>
      </c>
      <c r="I5183">
        <v>0.77</v>
      </c>
      <c r="J5183">
        <v>0.59289999999999998</v>
      </c>
      <c r="K5183" t="str">
        <f>IFERROR(INDEX(Rosters!$C$2:$C$155,MATCH($B5183,Rosters!$B$2:$B$155,0)),"NA")</f>
        <v>NA</v>
      </c>
      <c r="L5183" t="str">
        <f t="shared" si="240"/>
        <v>NA13WR</v>
      </c>
      <c r="M5183">
        <f>COUNTIF(L$1:L5183,L5183)</f>
        <v>71</v>
      </c>
      <c r="N5183" t="str">
        <f t="shared" si="241"/>
        <v>NA13WR-71</v>
      </c>
      <c r="O5183">
        <f>COUNTIFS(F$1:F5183,F5183,A$1:A5183,A5183)</f>
        <v>125</v>
      </c>
      <c r="P5183" t="str">
        <f t="shared" si="242"/>
        <v>David Moore13</v>
      </c>
    </row>
    <row r="5184" spans="1:16" x14ac:dyDescent="0.25">
      <c r="A5184">
        <v>12</v>
      </c>
      <c r="B5184" t="s">
        <v>1516</v>
      </c>
      <c r="C5184" t="s">
        <v>4682</v>
      </c>
      <c r="D5184">
        <v>0.8</v>
      </c>
      <c r="E5184" t="s">
        <v>25</v>
      </c>
      <c r="F5184" t="s">
        <v>87</v>
      </c>
      <c r="G5184">
        <v>1.54</v>
      </c>
      <c r="H5184">
        <v>0.06</v>
      </c>
      <c r="I5184">
        <v>0.74</v>
      </c>
      <c r="J5184">
        <v>0.54759999999999998</v>
      </c>
      <c r="K5184" t="str">
        <f>IFERROR(INDEX(Rosters!$C$2:$C$155,MATCH($B5184,Rosters!$B$2:$B$155,0)),"NA")</f>
        <v>NA</v>
      </c>
      <c r="L5184" t="str">
        <f t="shared" si="240"/>
        <v>NA12WR</v>
      </c>
      <c r="M5184">
        <f>COUNTIF(L$1:L5184,L5184)</f>
        <v>67</v>
      </c>
      <c r="N5184" t="str">
        <f t="shared" si="241"/>
        <v>NA12WR-67</v>
      </c>
      <c r="O5184">
        <f>COUNTIFS(F$1:F5184,F5184,A$1:A5184,A5184)</f>
        <v>116</v>
      </c>
      <c r="P5184" t="str">
        <f t="shared" si="242"/>
        <v>J'Mon Moore12</v>
      </c>
    </row>
    <row r="5185" spans="1:16" x14ac:dyDescent="0.25">
      <c r="A5185">
        <v>6</v>
      </c>
      <c r="B5185" t="s">
        <v>1560</v>
      </c>
      <c r="C5185">
        <f>-0.15-1.75</f>
        <v>-1.9</v>
      </c>
      <c r="D5185">
        <v>0.8</v>
      </c>
      <c r="E5185" t="s">
        <v>22</v>
      </c>
      <c r="F5185" t="s">
        <v>87</v>
      </c>
      <c r="G5185">
        <v>1.75</v>
      </c>
      <c r="H5185">
        <v>-0.15</v>
      </c>
      <c r="I5185">
        <v>0.95</v>
      </c>
      <c r="J5185">
        <v>0.90249999999999997</v>
      </c>
      <c r="K5185" t="str">
        <f>IFERROR(INDEX(Rosters!$C$2:$C$155,MATCH($B5185,Rosters!$B$2:$B$155,0)),"NA")</f>
        <v>NA</v>
      </c>
      <c r="L5185" t="str">
        <f t="shared" si="240"/>
        <v>NA6WR</v>
      </c>
      <c r="M5185">
        <f>COUNTIF(L$1:L5185,L5185)</f>
        <v>68</v>
      </c>
      <c r="N5185" t="str">
        <f t="shared" si="241"/>
        <v>NA6WR-68</v>
      </c>
      <c r="O5185">
        <f>COUNTIFS(F$1:F5185,F5185,A$1:A5185,A5185)</f>
        <v>118</v>
      </c>
      <c r="P5185" t="str">
        <f t="shared" si="242"/>
        <v>Jaydon Mickens6</v>
      </c>
    </row>
    <row r="5186" spans="1:16" x14ac:dyDescent="0.25">
      <c r="A5186">
        <v>7</v>
      </c>
      <c r="B5186" t="s">
        <v>1560</v>
      </c>
      <c r="C5186">
        <f>-0.14-1.74</f>
        <v>-1.88</v>
      </c>
      <c r="D5186">
        <v>0.8</v>
      </c>
      <c r="E5186" t="s">
        <v>36</v>
      </c>
      <c r="F5186" t="s">
        <v>87</v>
      </c>
      <c r="G5186">
        <v>1.74</v>
      </c>
      <c r="H5186">
        <v>-0.14000000000000001</v>
      </c>
      <c r="I5186">
        <v>0.94</v>
      </c>
      <c r="J5186">
        <v>0.88360000000000005</v>
      </c>
      <c r="K5186" t="str">
        <f>IFERROR(INDEX(Rosters!$C$2:$C$155,MATCH($B5186,Rosters!$B$2:$B$155,0)),"NA")</f>
        <v>NA</v>
      </c>
      <c r="L5186" t="str">
        <f t="shared" si="240"/>
        <v>NA7WR</v>
      </c>
      <c r="M5186">
        <f>COUNTIF(L$1:L5186,L5186)</f>
        <v>63</v>
      </c>
      <c r="N5186" t="str">
        <f t="shared" si="241"/>
        <v>NA7WR-63</v>
      </c>
      <c r="O5186">
        <f>COUNTIFS(F$1:F5186,F5186,A$1:A5186,A5186)</f>
        <v>108</v>
      </c>
      <c r="P5186" t="str">
        <f t="shared" si="242"/>
        <v>Jaydon Mickens7</v>
      </c>
    </row>
    <row r="5187" spans="1:16" x14ac:dyDescent="0.25">
      <c r="A5187">
        <v>13</v>
      </c>
      <c r="B5187" t="s">
        <v>1560</v>
      </c>
      <c r="C5187">
        <f>-0.12-1.72</f>
        <v>-1.8399999999999999</v>
      </c>
      <c r="D5187">
        <v>0.8</v>
      </c>
      <c r="E5187" t="s">
        <v>66</v>
      </c>
      <c r="F5187" t="s">
        <v>87</v>
      </c>
      <c r="G5187">
        <v>1.72</v>
      </c>
      <c r="H5187">
        <v>-0.12</v>
      </c>
      <c r="I5187">
        <v>0.92</v>
      </c>
      <c r="J5187">
        <v>0.84640000000000004</v>
      </c>
      <c r="K5187" t="str">
        <f>IFERROR(INDEX(Rosters!$C$2:$C$155,MATCH($B5187,Rosters!$B$2:$B$155,0)),"NA")</f>
        <v>NA</v>
      </c>
      <c r="L5187" t="str">
        <f t="shared" ref="L5187:L5250" si="243">K5187&amp;A5187&amp;F5187</f>
        <v>NA13WR</v>
      </c>
      <c r="M5187">
        <f>COUNTIF(L$1:L5187,L5187)</f>
        <v>72</v>
      </c>
      <c r="N5187" t="str">
        <f t="shared" ref="N5187:N5250" si="244">L5187&amp;"-"&amp;M5187</f>
        <v>NA13WR-72</v>
      </c>
      <c r="O5187">
        <f>COUNTIFS(F$1:F5187,F5187,A$1:A5187,A5187)</f>
        <v>126</v>
      </c>
      <c r="P5187" t="str">
        <f t="shared" ref="P5187:P5250" si="245">B5187&amp;A5187</f>
        <v>Jaydon Mickens13</v>
      </c>
    </row>
    <row r="5188" spans="1:16" x14ac:dyDescent="0.25">
      <c r="A5188">
        <v>14</v>
      </c>
      <c r="B5188" t="s">
        <v>1560</v>
      </c>
      <c r="C5188">
        <f>-0.12-1.72</f>
        <v>-1.8399999999999999</v>
      </c>
      <c r="D5188">
        <v>0.8</v>
      </c>
      <c r="E5188" t="s">
        <v>38</v>
      </c>
      <c r="F5188" t="s">
        <v>87</v>
      </c>
      <c r="G5188">
        <v>1.72</v>
      </c>
      <c r="H5188">
        <v>-0.12</v>
      </c>
      <c r="I5188">
        <v>0.92</v>
      </c>
      <c r="J5188">
        <v>0.84640000000000004</v>
      </c>
      <c r="K5188" t="str">
        <f>IFERROR(INDEX(Rosters!$C$2:$C$155,MATCH($B5188,Rosters!$B$2:$B$155,0)),"NA")</f>
        <v>NA</v>
      </c>
      <c r="L5188" t="str">
        <f t="shared" si="243"/>
        <v>NA14WR</v>
      </c>
      <c r="M5188">
        <f>COUNTIF(L$1:L5188,L5188)</f>
        <v>71</v>
      </c>
      <c r="N5188" t="str">
        <f t="shared" si="244"/>
        <v>NA14WR-71</v>
      </c>
      <c r="O5188">
        <f>COUNTIFS(F$1:F5188,F5188,A$1:A5188,A5188)</f>
        <v>125</v>
      </c>
      <c r="P5188" t="str">
        <f t="shared" si="245"/>
        <v>Jaydon Mickens14</v>
      </c>
    </row>
    <row r="5189" spans="1:16" x14ac:dyDescent="0.25">
      <c r="A5189">
        <v>7</v>
      </c>
      <c r="B5189" t="s">
        <v>348</v>
      </c>
      <c r="C5189" t="s">
        <v>8818</v>
      </c>
      <c r="D5189">
        <v>0.8</v>
      </c>
      <c r="E5189" t="s">
        <v>46</v>
      </c>
      <c r="F5189" t="s">
        <v>114</v>
      </c>
      <c r="G5189">
        <v>1.47</v>
      </c>
      <c r="H5189">
        <v>0.13</v>
      </c>
      <c r="I5189">
        <v>0.67</v>
      </c>
      <c r="J5189">
        <v>0.44890000000000002</v>
      </c>
      <c r="K5189" t="str">
        <f>IFERROR(INDEX(Rosters!$C$2:$C$155,MATCH($B5189,Rosters!$B$2:$B$155,0)),"NA")</f>
        <v>NA</v>
      </c>
      <c r="L5189" t="str">
        <f t="shared" si="243"/>
        <v>NA7TE</v>
      </c>
      <c r="M5189">
        <f>COUNTIF(L$1:L5189,L5189)</f>
        <v>50</v>
      </c>
      <c r="N5189" t="str">
        <f t="shared" si="244"/>
        <v>NA7TE-50</v>
      </c>
      <c r="O5189">
        <f>COUNTIFS(F$1:F5189,F5189,A$1:A5189,A5189)</f>
        <v>60</v>
      </c>
      <c r="P5189" t="str">
        <f t="shared" si="245"/>
        <v>Jerell Adams7</v>
      </c>
    </row>
    <row r="5190" spans="1:16" x14ac:dyDescent="0.25">
      <c r="A5190">
        <v>16</v>
      </c>
      <c r="B5190" t="s">
        <v>348</v>
      </c>
      <c r="C5190" t="s">
        <v>8818</v>
      </c>
      <c r="D5190">
        <v>0.8</v>
      </c>
      <c r="E5190" t="s">
        <v>66</v>
      </c>
      <c r="F5190" t="s">
        <v>114</v>
      </c>
      <c r="G5190">
        <v>1.47</v>
      </c>
      <c r="H5190">
        <v>0.13</v>
      </c>
      <c r="I5190">
        <v>0.67</v>
      </c>
      <c r="J5190">
        <v>0.44890000000000002</v>
      </c>
      <c r="K5190" t="str">
        <f>IFERROR(INDEX(Rosters!$C$2:$C$155,MATCH($B5190,Rosters!$B$2:$B$155,0)),"NA")</f>
        <v>NA</v>
      </c>
      <c r="L5190" t="str">
        <f t="shared" si="243"/>
        <v>NA16TE</v>
      </c>
      <c r="M5190">
        <f>COUNTIF(L$1:L5190,L5190)</f>
        <v>56</v>
      </c>
      <c r="N5190" t="str">
        <f t="shared" si="244"/>
        <v>NA16TE-56</v>
      </c>
      <c r="O5190">
        <f>COUNTIFS(F$1:F5190,F5190,A$1:A5190,A5190)</f>
        <v>70</v>
      </c>
      <c r="P5190" t="str">
        <f t="shared" si="245"/>
        <v>Jerell Adams16</v>
      </c>
    </row>
    <row r="5191" spans="1:16" x14ac:dyDescent="0.25">
      <c r="A5191">
        <v>11</v>
      </c>
      <c r="B5191" t="s">
        <v>4238</v>
      </c>
      <c r="C5191">
        <f>-0.05-1.65</f>
        <v>-1.7</v>
      </c>
      <c r="D5191">
        <v>0.8</v>
      </c>
      <c r="E5191" t="s">
        <v>56</v>
      </c>
      <c r="F5191" t="s">
        <v>87</v>
      </c>
      <c r="G5191">
        <v>1.65</v>
      </c>
      <c r="H5191">
        <v>-0.05</v>
      </c>
      <c r="I5191">
        <v>0.85</v>
      </c>
      <c r="J5191">
        <v>0.72250000000000003</v>
      </c>
      <c r="K5191" t="str">
        <f>IFERROR(INDEX(Rosters!$C$2:$C$155,MATCH($B5191,Rosters!$B$2:$B$155,0)),"NA")</f>
        <v>NA</v>
      </c>
      <c r="L5191" t="str">
        <f t="shared" si="243"/>
        <v>NA11WR</v>
      </c>
      <c r="M5191">
        <f>COUNTIF(L$1:L5191,L5191)</f>
        <v>56</v>
      </c>
      <c r="N5191" t="str">
        <f t="shared" si="244"/>
        <v>NA11WR-56</v>
      </c>
      <c r="O5191">
        <f>COUNTIFS(F$1:F5191,F5191,A$1:A5191,A5191)</f>
        <v>103</v>
      </c>
      <c r="P5191" t="str">
        <f t="shared" si="245"/>
        <v>Marcus Kemp11</v>
      </c>
    </row>
    <row r="5192" spans="1:16" x14ac:dyDescent="0.25">
      <c r="A5192">
        <v>6</v>
      </c>
      <c r="B5192" t="s">
        <v>1146</v>
      </c>
      <c r="C5192" t="s">
        <v>4683</v>
      </c>
      <c r="D5192">
        <v>0.8</v>
      </c>
      <c r="E5192" t="s">
        <v>74</v>
      </c>
      <c r="F5192" t="s">
        <v>87</v>
      </c>
      <c r="G5192">
        <v>1.57</v>
      </c>
      <c r="H5192">
        <v>0.03</v>
      </c>
      <c r="I5192">
        <v>0.77</v>
      </c>
      <c r="J5192">
        <v>0.59289999999999998</v>
      </c>
      <c r="K5192" t="str">
        <f>IFERROR(INDEX(Rosters!$C$2:$C$155,MATCH($B5192,Rosters!$B$2:$B$155,0)),"NA")</f>
        <v>NA</v>
      </c>
      <c r="L5192" t="str">
        <f t="shared" si="243"/>
        <v>NA6WR</v>
      </c>
      <c r="M5192">
        <f>COUNTIF(L$1:L5192,L5192)</f>
        <v>69</v>
      </c>
      <c r="N5192" t="str">
        <f t="shared" si="244"/>
        <v>NA6WR-69</v>
      </c>
      <c r="O5192">
        <f>COUNTIFS(F$1:F5192,F5192,A$1:A5192,A5192)</f>
        <v>119</v>
      </c>
      <c r="P5192" t="str">
        <f t="shared" si="245"/>
        <v>Maurice Harris6</v>
      </c>
    </row>
    <row r="5193" spans="1:16" x14ac:dyDescent="0.25">
      <c r="A5193">
        <v>13</v>
      </c>
      <c r="B5193" t="s">
        <v>4690</v>
      </c>
      <c r="C5193">
        <f>-0.03-1.63</f>
        <v>-1.66</v>
      </c>
      <c r="D5193">
        <v>0.8</v>
      </c>
      <c r="E5193" t="s">
        <v>423</v>
      </c>
      <c r="F5193" t="s">
        <v>47</v>
      </c>
      <c r="G5193">
        <v>1.63</v>
      </c>
      <c r="H5193">
        <v>-0.03</v>
      </c>
      <c r="I5193">
        <v>0.83</v>
      </c>
      <c r="J5193">
        <v>0.68889999999999996</v>
      </c>
      <c r="K5193" t="str">
        <f>IFERROR(INDEX(Rosters!$C$2:$C$155,MATCH($B5193,Rosters!$B$2:$B$155,0)),"NA")</f>
        <v>NA</v>
      </c>
      <c r="L5193" t="str">
        <f t="shared" si="243"/>
        <v>NA13RB</v>
      </c>
      <c r="M5193">
        <f>COUNTIF(L$1:L5193,L5193)</f>
        <v>44</v>
      </c>
      <c r="N5193" t="str">
        <f t="shared" si="244"/>
        <v>NA13RB-44</v>
      </c>
      <c r="O5193">
        <f>COUNTIFS(F$1:F5193,F5193,A$1:A5193,A5193)</f>
        <v>91</v>
      </c>
      <c r="P5193" t="str">
        <f t="shared" si="245"/>
        <v>Mike Boone13</v>
      </c>
    </row>
    <row r="5194" spans="1:16" x14ac:dyDescent="0.25">
      <c r="A5194">
        <v>4</v>
      </c>
      <c r="B5194" t="s">
        <v>84</v>
      </c>
      <c r="C5194" t="s">
        <v>5036</v>
      </c>
      <c r="D5194">
        <v>0.8</v>
      </c>
      <c r="E5194" t="s">
        <v>28</v>
      </c>
      <c r="F5194" t="s">
        <v>15</v>
      </c>
      <c r="G5194">
        <v>1.4</v>
      </c>
      <c r="H5194">
        <v>0.2</v>
      </c>
      <c r="I5194">
        <v>0.6</v>
      </c>
      <c r="J5194">
        <v>0.36</v>
      </c>
      <c r="K5194" t="str">
        <f>IFERROR(INDEX(Rosters!$C$2:$C$155,MATCH($B5194,Rosters!$B$2:$B$155,0)),"NA")</f>
        <v>NA</v>
      </c>
      <c r="L5194" t="str">
        <f t="shared" si="243"/>
        <v>NA4QB</v>
      </c>
      <c r="M5194">
        <f>COUNTIF(L$1:L5194,L5194)</f>
        <v>26</v>
      </c>
      <c r="N5194" t="str">
        <f t="shared" si="244"/>
        <v>NA4QB-26</v>
      </c>
      <c r="O5194">
        <f>COUNTIFS(F$1:F5194,F5194,A$1:A5194,A5194)</f>
        <v>41</v>
      </c>
      <c r="P5194" t="str">
        <f t="shared" si="245"/>
        <v>Mike Glennon4</v>
      </c>
    </row>
    <row r="5195" spans="1:16" x14ac:dyDescent="0.25">
      <c r="A5195">
        <v>11</v>
      </c>
      <c r="B5195" t="s">
        <v>344</v>
      </c>
      <c r="C5195" t="s">
        <v>4681</v>
      </c>
      <c r="D5195">
        <v>0.8</v>
      </c>
      <c r="E5195" t="s">
        <v>14</v>
      </c>
      <c r="F5195" t="s">
        <v>15</v>
      </c>
      <c r="G5195">
        <v>1.42</v>
      </c>
      <c r="H5195">
        <v>0.18</v>
      </c>
      <c r="I5195">
        <v>0.62</v>
      </c>
      <c r="J5195">
        <v>0.38440000000000002</v>
      </c>
      <c r="K5195" t="str">
        <f>IFERROR(INDEX(Rosters!$C$2:$C$155,MATCH($B5195,Rosters!$B$2:$B$155,0)),"NA")</f>
        <v>NA</v>
      </c>
      <c r="L5195" t="str">
        <f t="shared" si="243"/>
        <v>NA11QB</v>
      </c>
      <c r="M5195">
        <f>COUNTIF(L$1:L5195,L5195)</f>
        <v>24</v>
      </c>
      <c r="N5195" t="str">
        <f t="shared" si="244"/>
        <v>NA11QB-24</v>
      </c>
      <c r="O5195">
        <f>COUNTIFS(F$1:F5195,F5195,A$1:A5195,A5195)</f>
        <v>39</v>
      </c>
      <c r="P5195" t="str">
        <f t="shared" si="245"/>
        <v>Nick Foles11</v>
      </c>
    </row>
    <row r="5196" spans="1:16" x14ac:dyDescent="0.25">
      <c r="A5196">
        <v>10</v>
      </c>
      <c r="B5196" t="s">
        <v>3036</v>
      </c>
      <c r="C5196" t="s">
        <v>8819</v>
      </c>
      <c r="D5196">
        <v>0.8</v>
      </c>
      <c r="E5196" t="s">
        <v>423</v>
      </c>
      <c r="F5196" t="s">
        <v>87</v>
      </c>
      <c r="G5196">
        <v>1.56</v>
      </c>
      <c r="H5196">
        <v>0.04</v>
      </c>
      <c r="I5196">
        <v>0.76</v>
      </c>
      <c r="J5196">
        <v>0.5776</v>
      </c>
      <c r="K5196" t="str">
        <f>IFERROR(INDEX(Rosters!$C$2:$C$155,MATCH($B5196,Rosters!$B$2:$B$155,0)),"NA")</f>
        <v>NA</v>
      </c>
      <c r="L5196" t="str">
        <f t="shared" si="243"/>
        <v>NA10WR</v>
      </c>
      <c r="M5196">
        <f>COUNTIF(L$1:L5196,L5196)</f>
        <v>68</v>
      </c>
      <c r="N5196" t="str">
        <f t="shared" si="244"/>
        <v>NA10WR-68</v>
      </c>
      <c r="O5196">
        <f>COUNTIFS(F$1:F5196,F5196,A$1:A5196,A5196)</f>
        <v>113</v>
      </c>
      <c r="P5196" t="str">
        <f t="shared" si="245"/>
        <v>Nick Williams10</v>
      </c>
    </row>
    <row r="5197" spans="1:16" x14ac:dyDescent="0.25">
      <c r="A5197">
        <v>17</v>
      </c>
      <c r="B5197" t="s">
        <v>4246</v>
      </c>
      <c r="C5197" t="s">
        <v>8814</v>
      </c>
      <c r="D5197">
        <v>0.8</v>
      </c>
      <c r="E5197" t="s">
        <v>22</v>
      </c>
      <c r="F5197" t="s">
        <v>114</v>
      </c>
      <c r="G5197">
        <v>1.44</v>
      </c>
      <c r="H5197">
        <v>0.16</v>
      </c>
      <c r="I5197">
        <v>0.64</v>
      </c>
      <c r="J5197">
        <v>0.40960000000000002</v>
      </c>
      <c r="K5197" t="str">
        <f>IFERROR(INDEX(Rosters!$C$2:$C$155,MATCH($B5197,Rosters!$B$2:$B$155,0)),"NA")</f>
        <v>NA</v>
      </c>
      <c r="L5197" t="str">
        <f t="shared" si="243"/>
        <v>NA17TE</v>
      </c>
      <c r="M5197">
        <f>COUNTIF(L$1:L5197,L5197)</f>
        <v>55</v>
      </c>
      <c r="N5197" t="str">
        <f t="shared" si="244"/>
        <v>NA17TE-55</v>
      </c>
      <c r="O5197">
        <f>COUNTIFS(F$1:F5197,F5197,A$1:A5197,A5197)</f>
        <v>69</v>
      </c>
      <c r="P5197" t="str">
        <f t="shared" si="245"/>
        <v>Scott Simonson17</v>
      </c>
    </row>
    <row r="5198" spans="1:16" x14ac:dyDescent="0.25">
      <c r="A5198">
        <v>6</v>
      </c>
      <c r="B5198" t="s">
        <v>347</v>
      </c>
      <c r="C5198" t="s">
        <v>3827</v>
      </c>
      <c r="D5198">
        <v>0.8</v>
      </c>
      <c r="E5198" t="s">
        <v>42</v>
      </c>
      <c r="F5198" t="s">
        <v>15</v>
      </c>
      <c r="G5198">
        <v>1.39</v>
      </c>
      <c r="H5198">
        <v>0.21</v>
      </c>
      <c r="I5198">
        <v>0.59</v>
      </c>
      <c r="J5198">
        <v>0.34810000000000002</v>
      </c>
      <c r="K5198" t="str">
        <f>IFERROR(INDEX(Rosters!$C$2:$C$155,MATCH($B5198,Rosters!$B$2:$B$155,0)),"NA")</f>
        <v>NA</v>
      </c>
      <c r="L5198" t="str">
        <f t="shared" si="243"/>
        <v>NA6QB</v>
      </c>
      <c r="M5198">
        <f>COUNTIF(L$1:L5198,L5198)</f>
        <v>31</v>
      </c>
      <c r="N5198" t="str">
        <f t="shared" si="244"/>
        <v>NA6QB-31</v>
      </c>
      <c r="O5198">
        <f>COUNTIFS(F$1:F5198,F5198,A$1:A5198,A5198)</f>
        <v>46</v>
      </c>
      <c r="P5198" t="str">
        <f t="shared" si="245"/>
        <v>Sean Mannion6</v>
      </c>
    </row>
    <row r="5199" spans="1:16" x14ac:dyDescent="0.25">
      <c r="A5199">
        <v>10</v>
      </c>
      <c r="B5199" t="s">
        <v>347</v>
      </c>
      <c r="C5199" t="s">
        <v>3827</v>
      </c>
      <c r="D5199">
        <v>0.8</v>
      </c>
      <c r="E5199" t="s">
        <v>28</v>
      </c>
      <c r="F5199" t="s">
        <v>15</v>
      </c>
      <c r="G5199">
        <v>1.39</v>
      </c>
      <c r="H5199">
        <v>0.21</v>
      </c>
      <c r="I5199">
        <v>0.59</v>
      </c>
      <c r="J5199">
        <v>0.34810000000000002</v>
      </c>
      <c r="K5199" t="str">
        <f>IFERROR(INDEX(Rosters!$C$2:$C$155,MATCH($B5199,Rosters!$B$2:$B$155,0)),"NA")</f>
        <v>NA</v>
      </c>
      <c r="L5199" t="str">
        <f t="shared" si="243"/>
        <v>NA10QB</v>
      </c>
      <c r="M5199">
        <f>COUNTIF(L$1:L5199,L5199)</f>
        <v>27</v>
      </c>
      <c r="N5199" t="str">
        <f t="shared" si="244"/>
        <v>NA10QB-27</v>
      </c>
      <c r="O5199">
        <f>COUNTIFS(F$1:F5199,F5199,A$1:A5199,A5199)</f>
        <v>43</v>
      </c>
      <c r="P5199" t="str">
        <f t="shared" si="245"/>
        <v>Sean Mannion10</v>
      </c>
    </row>
    <row r="5200" spans="1:16" x14ac:dyDescent="0.25">
      <c r="A5200">
        <v>17</v>
      </c>
      <c r="B5200" t="s">
        <v>4703</v>
      </c>
      <c r="C5200">
        <f>-0.11-1.71</f>
        <v>-1.82</v>
      </c>
      <c r="D5200">
        <v>0.8</v>
      </c>
      <c r="E5200" t="s">
        <v>52</v>
      </c>
      <c r="F5200" t="s">
        <v>87</v>
      </c>
      <c r="G5200">
        <v>1.71</v>
      </c>
      <c r="H5200">
        <v>-0.11</v>
      </c>
      <c r="I5200">
        <v>0.91</v>
      </c>
      <c r="J5200">
        <v>0.82809999999999995</v>
      </c>
      <c r="K5200" t="str">
        <f>IFERROR(INDEX(Rosters!$C$2:$C$155,MATCH($B5200,Rosters!$B$2:$B$155,0)),"NA")</f>
        <v>NA</v>
      </c>
      <c r="L5200" t="str">
        <f t="shared" si="243"/>
        <v>NA17WR</v>
      </c>
      <c r="M5200">
        <f>COUNTIF(L$1:L5200,L5200)</f>
        <v>70</v>
      </c>
      <c r="N5200" t="str">
        <f t="shared" si="244"/>
        <v>NA17WR-70</v>
      </c>
      <c r="O5200">
        <f>COUNTIFS(F$1:F5200,F5200,A$1:A5200,A5200)</f>
        <v>124</v>
      </c>
      <c r="P5200" t="str">
        <f t="shared" si="245"/>
        <v>Tim White17</v>
      </c>
    </row>
    <row r="5201" spans="1:16" x14ac:dyDescent="0.25">
      <c r="A5201">
        <v>11</v>
      </c>
      <c r="B5201" t="s">
        <v>102</v>
      </c>
      <c r="C5201" t="s">
        <v>8820</v>
      </c>
      <c r="D5201">
        <v>0.8</v>
      </c>
      <c r="E5201" t="s">
        <v>72</v>
      </c>
      <c r="F5201" t="s">
        <v>15</v>
      </c>
      <c r="G5201">
        <v>1.32</v>
      </c>
      <c r="H5201">
        <v>0.28000000000000003</v>
      </c>
      <c r="I5201">
        <v>0.52</v>
      </c>
      <c r="J5201">
        <v>0.27039999999999997</v>
      </c>
      <c r="K5201" t="str">
        <f>IFERROR(INDEX(Rosters!$C$2:$C$155,MATCH($B5201,Rosters!$B$2:$B$155,0)),"NA")</f>
        <v>NA</v>
      </c>
      <c r="L5201" t="str">
        <f t="shared" si="243"/>
        <v>NA11QB</v>
      </c>
      <c r="M5201">
        <f>COUNTIF(L$1:L5201,L5201)</f>
        <v>25</v>
      </c>
      <c r="N5201" t="str">
        <f t="shared" si="244"/>
        <v>NA11QB-25</v>
      </c>
      <c r="O5201">
        <f>COUNTIFS(F$1:F5201,F5201,A$1:A5201,A5201)</f>
        <v>40</v>
      </c>
      <c r="P5201" t="str">
        <f t="shared" si="245"/>
        <v>Trevor Siemian11</v>
      </c>
    </row>
    <row r="5202" spans="1:16" x14ac:dyDescent="0.25">
      <c r="A5202">
        <v>2</v>
      </c>
      <c r="B5202" t="s">
        <v>1131</v>
      </c>
      <c r="C5202">
        <f>-0.71-2.31</f>
        <v>-3.02</v>
      </c>
      <c r="D5202">
        <v>0.8</v>
      </c>
      <c r="E5202" t="s">
        <v>38</v>
      </c>
      <c r="F5202" t="s">
        <v>47</v>
      </c>
      <c r="G5202">
        <v>2.31</v>
      </c>
      <c r="H5202">
        <v>-0.71</v>
      </c>
      <c r="I5202">
        <v>1.51</v>
      </c>
      <c r="J5202">
        <v>2.2801</v>
      </c>
      <c r="K5202" t="str">
        <f>IFERROR(INDEX(Rosters!$C$2:$C$155,MATCH($B5202,Rosters!$B$2:$B$155,0)),"NA")</f>
        <v>NA</v>
      </c>
      <c r="L5202" t="str">
        <f t="shared" si="243"/>
        <v>NA2RB</v>
      </c>
      <c r="M5202">
        <f>COUNTIF(L$1:L5202,L5202)</f>
        <v>36</v>
      </c>
      <c r="N5202" t="str">
        <f t="shared" si="244"/>
        <v>NA2RB-36</v>
      </c>
      <c r="O5202">
        <f>COUNTIFS(F$1:F5202,F5202,A$1:A5202,A5202)</f>
        <v>78</v>
      </c>
      <c r="P5202" t="str">
        <f t="shared" si="245"/>
        <v>Tyler Ervin2</v>
      </c>
    </row>
    <row r="5203" spans="1:16" x14ac:dyDescent="0.25">
      <c r="A5203">
        <v>3</v>
      </c>
      <c r="B5203" t="s">
        <v>346</v>
      </c>
      <c r="C5203">
        <f>-0.21-1.79</f>
        <v>-2</v>
      </c>
      <c r="D5203">
        <v>0.79</v>
      </c>
      <c r="E5203" t="s">
        <v>74</v>
      </c>
      <c r="F5203" t="s">
        <v>87</v>
      </c>
      <c r="G5203">
        <v>1.79</v>
      </c>
      <c r="H5203">
        <v>-0.21</v>
      </c>
      <c r="I5203">
        <v>1</v>
      </c>
      <c r="J5203">
        <v>1</v>
      </c>
      <c r="K5203" t="str">
        <f>IFERROR(INDEX(Rosters!$C$2:$C$155,MATCH($B5203,Rosters!$B$2:$B$155,0)),"NA")</f>
        <v>NA</v>
      </c>
      <c r="L5203" t="str">
        <f t="shared" si="243"/>
        <v>NA3WR</v>
      </c>
      <c r="M5203">
        <f>COUNTIF(L$1:L5203,L5203)</f>
        <v>65</v>
      </c>
      <c r="N5203" t="str">
        <f t="shared" si="244"/>
        <v>NA3WR-65</v>
      </c>
      <c r="O5203">
        <f>COUNTIFS(F$1:F5203,F5203,A$1:A5203,A5203)</f>
        <v>114</v>
      </c>
      <c r="P5203" t="str">
        <f t="shared" si="245"/>
        <v>Alex Erickson3</v>
      </c>
    </row>
    <row r="5204" spans="1:16" x14ac:dyDescent="0.25">
      <c r="A5204">
        <v>13</v>
      </c>
      <c r="B5204" t="s">
        <v>1116</v>
      </c>
      <c r="C5204" t="s">
        <v>878</v>
      </c>
      <c r="D5204">
        <v>0.79</v>
      </c>
      <c r="E5204" t="s">
        <v>52</v>
      </c>
      <c r="F5204" t="s">
        <v>15</v>
      </c>
      <c r="G5204">
        <v>1.34</v>
      </c>
      <c r="H5204">
        <v>0.24</v>
      </c>
      <c r="I5204">
        <v>0.55000000000000004</v>
      </c>
      <c r="J5204">
        <v>0.30249999999999999</v>
      </c>
      <c r="K5204" t="str">
        <f>IFERROR(INDEX(Rosters!$C$2:$C$155,MATCH($B5204,Rosters!$B$2:$B$155,0)),"NA")</f>
        <v>NA</v>
      </c>
      <c r="L5204" t="str">
        <f t="shared" si="243"/>
        <v>NA13QB</v>
      </c>
      <c r="M5204">
        <f>COUNTIF(L$1:L5204,L5204)</f>
        <v>32</v>
      </c>
      <c r="N5204" t="str">
        <f t="shared" si="244"/>
        <v>NA13QB-32</v>
      </c>
      <c r="O5204">
        <f>COUNTIFS(F$1:F5204,F5204,A$1:A5204,A5204)</f>
        <v>49</v>
      </c>
      <c r="P5204" t="str">
        <f t="shared" si="245"/>
        <v>Brandon Weeden13</v>
      </c>
    </row>
    <row r="5205" spans="1:16" x14ac:dyDescent="0.25">
      <c r="A5205">
        <v>3</v>
      </c>
      <c r="B5205" t="s">
        <v>384</v>
      </c>
      <c r="C5205" t="s">
        <v>3828</v>
      </c>
      <c r="D5205">
        <v>0.79</v>
      </c>
      <c r="E5205" t="s">
        <v>58</v>
      </c>
      <c r="F5205" t="s">
        <v>15</v>
      </c>
      <c r="G5205">
        <v>1.37</v>
      </c>
      <c r="H5205">
        <v>0.21</v>
      </c>
      <c r="I5205">
        <v>0.57999999999999996</v>
      </c>
      <c r="J5205">
        <v>0.33639999999999998</v>
      </c>
      <c r="K5205" t="str">
        <f>IFERROR(INDEX(Rosters!$C$2:$C$155,MATCH($B5205,Rosters!$B$2:$B$155,0)),"NA")</f>
        <v>NA</v>
      </c>
      <c r="L5205" t="str">
        <f t="shared" si="243"/>
        <v>NA3QB</v>
      </c>
      <c r="M5205">
        <f>COUNTIF(L$1:L5205,L5205)</f>
        <v>26</v>
      </c>
      <c r="N5205" t="str">
        <f t="shared" si="244"/>
        <v>NA3QB-26</v>
      </c>
      <c r="O5205">
        <f>COUNTIFS(F$1:F5205,F5205,A$1:A5205,A5205)</f>
        <v>43</v>
      </c>
      <c r="P5205" t="str">
        <f t="shared" si="245"/>
        <v>Chase Daniel3</v>
      </c>
    </row>
    <row r="5206" spans="1:16" x14ac:dyDescent="0.25">
      <c r="A5206">
        <v>5</v>
      </c>
      <c r="B5206" t="s">
        <v>1550</v>
      </c>
      <c r="C5206" t="s">
        <v>8821</v>
      </c>
      <c r="D5206">
        <v>0.79</v>
      </c>
      <c r="E5206" t="s">
        <v>36</v>
      </c>
      <c r="F5206" t="s">
        <v>15</v>
      </c>
      <c r="G5206">
        <v>1.46</v>
      </c>
      <c r="H5206">
        <v>0.12</v>
      </c>
      <c r="I5206">
        <v>0.67</v>
      </c>
      <c r="J5206">
        <v>0.44890000000000002</v>
      </c>
      <c r="K5206" t="str">
        <f>IFERROR(INDEX(Rosters!$C$2:$C$155,MATCH($B5206,Rosters!$B$2:$B$155,0)),"NA")</f>
        <v>NA</v>
      </c>
      <c r="L5206" t="str">
        <f t="shared" si="243"/>
        <v>NA5QB</v>
      </c>
      <c r="M5206">
        <f>COUNTIF(L$1:L5206,L5206)</f>
        <v>28</v>
      </c>
      <c r="N5206" t="str">
        <f t="shared" si="244"/>
        <v>NA5QB-28</v>
      </c>
      <c r="O5206">
        <f>COUNTIFS(F$1:F5206,F5206,A$1:A5206,A5206)</f>
        <v>45</v>
      </c>
      <c r="P5206" t="str">
        <f t="shared" si="245"/>
        <v>Cooper Rush5</v>
      </c>
    </row>
    <row r="5207" spans="1:16" x14ac:dyDescent="0.25">
      <c r="A5207">
        <v>7</v>
      </c>
      <c r="B5207" t="s">
        <v>1550</v>
      </c>
      <c r="C5207" t="s">
        <v>8822</v>
      </c>
      <c r="D5207">
        <v>0.79</v>
      </c>
      <c r="E5207" t="s">
        <v>60</v>
      </c>
      <c r="F5207" t="s">
        <v>15</v>
      </c>
      <c r="G5207">
        <v>1.44</v>
      </c>
      <c r="H5207">
        <v>0.14000000000000001</v>
      </c>
      <c r="I5207">
        <v>0.65</v>
      </c>
      <c r="J5207">
        <v>0.42249999999999999</v>
      </c>
      <c r="K5207" t="str">
        <f>IFERROR(INDEX(Rosters!$C$2:$C$155,MATCH($B5207,Rosters!$B$2:$B$155,0)),"NA")</f>
        <v>NA</v>
      </c>
      <c r="L5207" t="str">
        <f t="shared" si="243"/>
        <v>NA7QB</v>
      </c>
      <c r="M5207">
        <f>COUNTIF(L$1:L5207,L5207)</f>
        <v>30</v>
      </c>
      <c r="N5207" t="str">
        <f t="shared" si="244"/>
        <v>NA7QB-30</v>
      </c>
      <c r="O5207">
        <f>COUNTIFS(F$1:F5207,F5207,A$1:A5207,A5207)</f>
        <v>44</v>
      </c>
      <c r="P5207" t="str">
        <f t="shared" si="245"/>
        <v>Cooper Rush7</v>
      </c>
    </row>
    <row r="5208" spans="1:16" x14ac:dyDescent="0.25">
      <c r="A5208">
        <v>8</v>
      </c>
      <c r="B5208" t="s">
        <v>304</v>
      </c>
      <c r="C5208" t="s">
        <v>8823</v>
      </c>
      <c r="D5208">
        <v>0.79</v>
      </c>
      <c r="E5208" t="s">
        <v>52</v>
      </c>
      <c r="F5208" t="s">
        <v>87</v>
      </c>
      <c r="G5208">
        <v>1.49</v>
      </c>
      <c r="H5208">
        <v>0.09</v>
      </c>
      <c r="I5208">
        <v>0.7</v>
      </c>
      <c r="J5208">
        <v>0.49</v>
      </c>
      <c r="K5208" t="str">
        <f>IFERROR(INDEX(Rosters!$C$2:$C$155,MATCH($B5208,Rosters!$B$2:$B$155,0)),"NA")</f>
        <v>NA</v>
      </c>
      <c r="L5208" t="str">
        <f t="shared" si="243"/>
        <v>NA8WR</v>
      </c>
      <c r="M5208">
        <f>COUNTIF(L$1:L5208,L5208)</f>
        <v>61</v>
      </c>
      <c r="N5208" t="str">
        <f t="shared" si="244"/>
        <v>NA8WR-61</v>
      </c>
      <c r="O5208">
        <f>COUNTIFS(F$1:F5208,F5208,A$1:A5208,A5208)</f>
        <v>110</v>
      </c>
      <c r="P5208" t="str">
        <f t="shared" si="245"/>
        <v>Darrius Heyward-Bey8</v>
      </c>
    </row>
    <row r="5209" spans="1:16" x14ac:dyDescent="0.25">
      <c r="A5209">
        <v>17</v>
      </c>
      <c r="B5209" t="s">
        <v>304</v>
      </c>
      <c r="C5209">
        <f>-0.03-1.61</f>
        <v>-1.6400000000000001</v>
      </c>
      <c r="D5209">
        <v>0.79</v>
      </c>
      <c r="E5209" t="s">
        <v>31</v>
      </c>
      <c r="F5209" t="s">
        <v>87</v>
      </c>
      <c r="G5209">
        <v>1.61</v>
      </c>
      <c r="H5209">
        <v>-0.03</v>
      </c>
      <c r="I5209">
        <v>0.82</v>
      </c>
      <c r="J5209">
        <v>0.6724</v>
      </c>
      <c r="K5209" t="str">
        <f>IFERROR(INDEX(Rosters!$C$2:$C$155,MATCH($B5209,Rosters!$B$2:$B$155,0)),"NA")</f>
        <v>NA</v>
      </c>
      <c r="L5209" t="str">
        <f t="shared" si="243"/>
        <v>NA17WR</v>
      </c>
      <c r="M5209">
        <f>COUNTIF(L$1:L5209,L5209)</f>
        <v>71</v>
      </c>
      <c r="N5209" t="str">
        <f t="shared" si="244"/>
        <v>NA17WR-71</v>
      </c>
      <c r="O5209">
        <f>COUNTIFS(F$1:F5209,F5209,A$1:A5209,A5209)</f>
        <v>125</v>
      </c>
      <c r="P5209" t="str">
        <f t="shared" si="245"/>
        <v>Darrius Heyward-Bey17</v>
      </c>
    </row>
    <row r="5210" spans="1:16" x14ac:dyDescent="0.25">
      <c r="A5210">
        <v>13</v>
      </c>
      <c r="B5210" t="s">
        <v>317</v>
      </c>
      <c r="C5210" t="s">
        <v>4685</v>
      </c>
      <c r="D5210">
        <v>0.79</v>
      </c>
      <c r="E5210" t="s">
        <v>51</v>
      </c>
      <c r="F5210" t="s">
        <v>47</v>
      </c>
      <c r="G5210">
        <v>1.57</v>
      </c>
      <c r="H5210">
        <v>0.01</v>
      </c>
      <c r="I5210">
        <v>0.78</v>
      </c>
      <c r="J5210">
        <v>0.60840000000000005</v>
      </c>
      <c r="K5210" t="str">
        <f>IFERROR(INDEX(Rosters!$C$2:$C$155,MATCH($B5210,Rosters!$B$2:$B$155,0)),"NA")</f>
        <v>NA</v>
      </c>
      <c r="L5210" t="str">
        <f t="shared" si="243"/>
        <v>NA13RB</v>
      </c>
      <c r="M5210">
        <f>COUNTIF(L$1:L5210,L5210)</f>
        <v>45</v>
      </c>
      <c r="N5210" t="str">
        <f t="shared" si="244"/>
        <v>NA13RB-45</v>
      </c>
      <c r="O5210">
        <f>COUNTIFS(F$1:F5210,F5210,A$1:A5210,A5210)</f>
        <v>92</v>
      </c>
      <c r="P5210" t="str">
        <f t="shared" si="245"/>
        <v>Derek Watt13</v>
      </c>
    </row>
    <row r="5211" spans="1:16" x14ac:dyDescent="0.25">
      <c r="A5211">
        <v>13</v>
      </c>
      <c r="B5211" t="s">
        <v>1109</v>
      </c>
      <c r="C5211" t="s">
        <v>1551</v>
      </c>
      <c r="D5211">
        <v>0.79</v>
      </c>
      <c r="E5211" t="s">
        <v>51</v>
      </c>
      <c r="F5211" t="s">
        <v>15</v>
      </c>
      <c r="G5211">
        <v>1.36</v>
      </c>
      <c r="H5211">
        <v>0.22</v>
      </c>
      <c r="I5211">
        <v>0.56999999999999995</v>
      </c>
      <c r="J5211">
        <v>0.32490000000000002</v>
      </c>
      <c r="K5211" t="str">
        <f>IFERROR(INDEX(Rosters!$C$2:$C$155,MATCH($B5211,Rosters!$B$2:$B$155,0)),"NA")</f>
        <v>NA</v>
      </c>
      <c r="L5211" t="str">
        <f t="shared" si="243"/>
        <v>NA13QB</v>
      </c>
      <c r="M5211">
        <f>COUNTIF(L$1:L5211,L5211)</f>
        <v>33</v>
      </c>
      <c r="N5211" t="str">
        <f t="shared" si="244"/>
        <v>NA13QB-33</v>
      </c>
      <c r="O5211">
        <f>COUNTIFS(F$1:F5211,F5211,A$1:A5211,A5211)</f>
        <v>50</v>
      </c>
      <c r="P5211" t="str">
        <f t="shared" si="245"/>
        <v>Geno Smith13</v>
      </c>
    </row>
    <row r="5212" spans="1:16" x14ac:dyDescent="0.25">
      <c r="A5212">
        <v>16</v>
      </c>
      <c r="B5212" t="s">
        <v>1109</v>
      </c>
      <c r="C5212" t="s">
        <v>3828</v>
      </c>
      <c r="D5212">
        <v>0.79</v>
      </c>
      <c r="E5212" t="s">
        <v>77</v>
      </c>
      <c r="F5212" t="s">
        <v>15</v>
      </c>
      <c r="G5212">
        <v>1.37</v>
      </c>
      <c r="H5212">
        <v>0.21</v>
      </c>
      <c r="I5212">
        <v>0.57999999999999996</v>
      </c>
      <c r="J5212">
        <v>0.33639999999999998</v>
      </c>
      <c r="K5212" t="str">
        <f>IFERROR(INDEX(Rosters!$C$2:$C$155,MATCH($B5212,Rosters!$B$2:$B$155,0)),"NA")</f>
        <v>NA</v>
      </c>
      <c r="L5212" t="str">
        <f t="shared" si="243"/>
        <v>NA16QB</v>
      </c>
      <c r="M5212">
        <f>COUNTIF(L$1:L5212,L5212)</f>
        <v>31</v>
      </c>
      <c r="N5212" t="str">
        <f t="shared" si="244"/>
        <v>NA16QB-31</v>
      </c>
      <c r="O5212">
        <f>COUNTIFS(F$1:F5212,F5212,A$1:A5212,A5212)</f>
        <v>48</v>
      </c>
      <c r="P5212" t="str">
        <f t="shared" si="245"/>
        <v>Geno Smith16</v>
      </c>
    </row>
    <row r="5213" spans="1:16" x14ac:dyDescent="0.25">
      <c r="A5213">
        <v>4</v>
      </c>
      <c r="B5213" t="s">
        <v>1516</v>
      </c>
      <c r="C5213" t="s">
        <v>4684</v>
      </c>
      <c r="D5213">
        <v>0.79</v>
      </c>
      <c r="E5213" t="s">
        <v>29</v>
      </c>
      <c r="F5213" t="s">
        <v>87</v>
      </c>
      <c r="G5213">
        <v>1.56</v>
      </c>
      <c r="H5213">
        <v>0.02</v>
      </c>
      <c r="I5213">
        <v>0.77</v>
      </c>
      <c r="J5213">
        <v>0.59289999999999998</v>
      </c>
      <c r="K5213" t="str">
        <f>IFERROR(INDEX(Rosters!$C$2:$C$155,MATCH($B5213,Rosters!$B$2:$B$155,0)),"NA")</f>
        <v>NA</v>
      </c>
      <c r="L5213" t="str">
        <f t="shared" si="243"/>
        <v>NA4WR</v>
      </c>
      <c r="M5213">
        <f>COUNTIF(L$1:L5213,L5213)</f>
        <v>58</v>
      </c>
      <c r="N5213" t="str">
        <f t="shared" si="244"/>
        <v>NA4WR-58</v>
      </c>
      <c r="O5213">
        <f>COUNTIFS(F$1:F5213,F5213,A$1:A5213,A5213)</f>
        <v>108</v>
      </c>
      <c r="P5213" t="str">
        <f t="shared" si="245"/>
        <v>J'Mon Moore4</v>
      </c>
    </row>
    <row r="5214" spans="1:16" x14ac:dyDescent="0.25">
      <c r="A5214">
        <v>6</v>
      </c>
      <c r="B5214" t="s">
        <v>1516</v>
      </c>
      <c r="C5214" t="s">
        <v>8824</v>
      </c>
      <c r="D5214">
        <v>0.79</v>
      </c>
      <c r="E5214" t="s">
        <v>30</v>
      </c>
      <c r="F5214" t="s">
        <v>87</v>
      </c>
      <c r="G5214">
        <v>1.52</v>
      </c>
      <c r="H5214">
        <v>0.06</v>
      </c>
      <c r="I5214">
        <v>0.73</v>
      </c>
      <c r="J5214">
        <v>0.53290000000000004</v>
      </c>
      <c r="K5214" t="str">
        <f>IFERROR(INDEX(Rosters!$C$2:$C$155,MATCH($B5214,Rosters!$B$2:$B$155,0)),"NA")</f>
        <v>NA</v>
      </c>
      <c r="L5214" t="str">
        <f t="shared" si="243"/>
        <v>NA6WR</v>
      </c>
      <c r="M5214">
        <f>COUNTIF(L$1:L5214,L5214)</f>
        <v>70</v>
      </c>
      <c r="N5214" t="str">
        <f t="shared" si="244"/>
        <v>NA6WR-70</v>
      </c>
      <c r="O5214">
        <f>COUNTIFS(F$1:F5214,F5214,A$1:A5214,A5214)</f>
        <v>120</v>
      </c>
      <c r="P5214" t="str">
        <f t="shared" si="245"/>
        <v>J'Mon Moore6</v>
      </c>
    </row>
    <row r="5215" spans="1:16" x14ac:dyDescent="0.25">
      <c r="A5215">
        <v>7</v>
      </c>
      <c r="B5215" t="s">
        <v>359</v>
      </c>
      <c r="C5215">
        <f>-0.03-1.61</f>
        <v>-1.6400000000000001</v>
      </c>
      <c r="D5215">
        <v>0.79</v>
      </c>
      <c r="E5215" t="s">
        <v>423</v>
      </c>
      <c r="F5215" t="s">
        <v>87</v>
      </c>
      <c r="G5215">
        <v>1.61</v>
      </c>
      <c r="H5215">
        <v>-0.03</v>
      </c>
      <c r="I5215">
        <v>0.82</v>
      </c>
      <c r="J5215">
        <v>0.6724</v>
      </c>
      <c r="K5215" t="str">
        <f>IFERROR(INDEX(Rosters!$C$2:$C$155,MATCH($B5215,Rosters!$B$2:$B$155,0)),"NA")</f>
        <v>NA</v>
      </c>
      <c r="L5215" t="str">
        <f t="shared" si="243"/>
        <v>NA7WR</v>
      </c>
      <c r="M5215">
        <f>COUNTIF(L$1:L5215,L5215)</f>
        <v>64</v>
      </c>
      <c r="N5215" t="str">
        <f t="shared" si="244"/>
        <v>NA7WR-64</v>
      </c>
      <c r="O5215">
        <f>COUNTIFS(F$1:F5215,F5215,A$1:A5215,A5215)</f>
        <v>109</v>
      </c>
      <c r="P5215" t="str">
        <f t="shared" si="245"/>
        <v>Josh Bellamy7</v>
      </c>
    </row>
    <row r="5216" spans="1:16" x14ac:dyDescent="0.25">
      <c r="A5216">
        <v>17</v>
      </c>
      <c r="B5216" t="s">
        <v>4612</v>
      </c>
      <c r="C5216">
        <f>-0.12-1.7</f>
        <v>-1.8199999999999998</v>
      </c>
      <c r="D5216">
        <v>0.79</v>
      </c>
      <c r="E5216" t="s">
        <v>30</v>
      </c>
      <c r="F5216" t="s">
        <v>87</v>
      </c>
      <c r="G5216">
        <v>1.7</v>
      </c>
      <c r="H5216">
        <v>-0.12</v>
      </c>
      <c r="I5216">
        <v>0.91</v>
      </c>
      <c r="J5216">
        <v>0.82809999999999995</v>
      </c>
      <c r="K5216" t="str">
        <f>IFERROR(INDEX(Rosters!$C$2:$C$155,MATCH($B5216,Rosters!$B$2:$B$155,0)),"NA")</f>
        <v>NA</v>
      </c>
      <c r="L5216" t="str">
        <f t="shared" si="243"/>
        <v>NA17WR</v>
      </c>
      <c r="M5216">
        <f>COUNTIF(L$1:L5216,L5216)</f>
        <v>72</v>
      </c>
      <c r="N5216" t="str">
        <f t="shared" si="244"/>
        <v>NA17WR-72</v>
      </c>
      <c r="O5216">
        <f>COUNTIFS(F$1:F5216,F5216,A$1:A5216,A5216)</f>
        <v>126</v>
      </c>
      <c r="P5216" t="str">
        <f t="shared" si="245"/>
        <v>Khadarel Hodge17</v>
      </c>
    </row>
    <row r="5217" spans="1:16" x14ac:dyDescent="0.25">
      <c r="A5217">
        <v>17</v>
      </c>
      <c r="B5217" t="s">
        <v>1594</v>
      </c>
      <c r="C5217">
        <f>-0.04-1.62</f>
        <v>-1.6600000000000001</v>
      </c>
      <c r="D5217">
        <v>0.79</v>
      </c>
      <c r="E5217" t="s">
        <v>17</v>
      </c>
      <c r="F5217" t="s">
        <v>87</v>
      </c>
      <c r="G5217">
        <v>1.62</v>
      </c>
      <c r="H5217">
        <v>-0.04</v>
      </c>
      <c r="I5217">
        <v>0.83</v>
      </c>
      <c r="J5217">
        <v>0.68889999999999996</v>
      </c>
      <c r="K5217" t="str">
        <f>IFERROR(INDEX(Rosters!$C$2:$C$155,MATCH($B5217,Rosters!$B$2:$B$155,0)),"NA")</f>
        <v>NA</v>
      </c>
      <c r="L5217" t="str">
        <f t="shared" si="243"/>
        <v>NA17WR</v>
      </c>
      <c r="M5217">
        <f>COUNTIF(L$1:L5217,L5217)</f>
        <v>73</v>
      </c>
      <c r="N5217" t="str">
        <f t="shared" si="244"/>
        <v>NA17WR-73</v>
      </c>
      <c r="O5217">
        <f>COUNTIFS(F$1:F5217,F5217,A$1:A5217,A5217)</f>
        <v>127</v>
      </c>
      <c r="P5217" t="str">
        <f t="shared" si="245"/>
        <v>Marvin Hall17</v>
      </c>
    </row>
    <row r="5218" spans="1:16" x14ac:dyDescent="0.25">
      <c r="A5218">
        <v>14</v>
      </c>
      <c r="B5218" t="s">
        <v>391</v>
      </c>
      <c r="C5218">
        <f>-0.07-1.65</f>
        <v>-1.72</v>
      </c>
      <c r="D5218">
        <v>0.79</v>
      </c>
      <c r="E5218" t="s">
        <v>19</v>
      </c>
      <c r="F5218" t="s">
        <v>87</v>
      </c>
      <c r="G5218">
        <v>1.65</v>
      </c>
      <c r="H5218">
        <v>-7.0000000000000007E-2</v>
      </c>
      <c r="I5218">
        <v>0.86</v>
      </c>
      <c r="J5218">
        <v>0.73960000000000004</v>
      </c>
      <c r="K5218" t="str">
        <f>IFERROR(INDEX(Rosters!$C$2:$C$155,MATCH($B5218,Rosters!$B$2:$B$155,0)),"NA")</f>
        <v>NA</v>
      </c>
      <c r="L5218" t="str">
        <f t="shared" si="243"/>
        <v>NA14WR</v>
      </c>
      <c r="M5218">
        <f>COUNTIF(L$1:L5218,L5218)</f>
        <v>72</v>
      </c>
      <c r="N5218" t="str">
        <f t="shared" si="244"/>
        <v>NA14WR-72</v>
      </c>
      <c r="O5218">
        <f>COUNTIFS(F$1:F5218,F5218,A$1:A5218,A5218)</f>
        <v>126</v>
      </c>
      <c r="P5218" t="str">
        <f t="shared" si="245"/>
        <v>Matt Slater14</v>
      </c>
    </row>
    <row r="5219" spans="1:16" x14ac:dyDescent="0.25">
      <c r="A5219">
        <v>15</v>
      </c>
      <c r="B5219" t="s">
        <v>344</v>
      </c>
      <c r="C5219" t="s">
        <v>8825</v>
      </c>
      <c r="D5219">
        <v>0.79</v>
      </c>
      <c r="E5219" t="s">
        <v>56</v>
      </c>
      <c r="F5219" t="s">
        <v>15</v>
      </c>
      <c r="G5219">
        <v>1.39</v>
      </c>
      <c r="H5219">
        <v>0.19</v>
      </c>
      <c r="I5219">
        <v>0.6</v>
      </c>
      <c r="J5219">
        <v>0.36</v>
      </c>
      <c r="K5219" t="str">
        <f>IFERROR(INDEX(Rosters!$C$2:$C$155,MATCH($B5219,Rosters!$B$2:$B$155,0)),"NA")</f>
        <v>NA</v>
      </c>
      <c r="L5219" t="str">
        <f t="shared" si="243"/>
        <v>NA15QB</v>
      </c>
      <c r="M5219">
        <f>COUNTIF(L$1:L5219,L5219)</f>
        <v>29</v>
      </c>
      <c r="N5219" t="str">
        <f t="shared" si="244"/>
        <v>NA15QB-29</v>
      </c>
      <c r="O5219">
        <f>COUNTIFS(F$1:F5219,F5219,A$1:A5219,A5219)</f>
        <v>46</v>
      </c>
      <c r="P5219" t="str">
        <f t="shared" si="245"/>
        <v>Nick Foles15</v>
      </c>
    </row>
    <row r="5220" spans="1:16" x14ac:dyDescent="0.25">
      <c r="A5220">
        <v>4</v>
      </c>
      <c r="B5220" t="s">
        <v>328</v>
      </c>
      <c r="C5220">
        <f>-0.16-1.74</f>
        <v>-1.9</v>
      </c>
      <c r="D5220">
        <v>0.79</v>
      </c>
      <c r="E5220" t="s">
        <v>41</v>
      </c>
      <c r="F5220" t="s">
        <v>47</v>
      </c>
      <c r="G5220">
        <v>1.74</v>
      </c>
      <c r="H5220">
        <v>-0.16</v>
      </c>
      <c r="I5220">
        <v>0.95</v>
      </c>
      <c r="J5220">
        <v>0.90249999999999997</v>
      </c>
      <c r="K5220" t="str">
        <f>IFERROR(INDEX(Rosters!$C$2:$C$155,MATCH($B5220,Rosters!$B$2:$B$155,0)),"NA")</f>
        <v>NA</v>
      </c>
      <c r="L5220" t="str">
        <f t="shared" si="243"/>
        <v>NA4RB</v>
      </c>
      <c r="M5220">
        <f>COUNTIF(L$1:L5220,L5220)</f>
        <v>39</v>
      </c>
      <c r="N5220" t="str">
        <f t="shared" si="244"/>
        <v>NA4RB-39</v>
      </c>
      <c r="O5220">
        <f>COUNTIFS(F$1:F5220,F5220,A$1:A5220,A5220)</f>
        <v>78</v>
      </c>
      <c r="P5220" t="str">
        <f t="shared" si="245"/>
        <v>Patrick DiMarco4</v>
      </c>
    </row>
    <row r="5221" spans="1:16" x14ac:dyDescent="0.25">
      <c r="A5221">
        <v>7</v>
      </c>
      <c r="B5221" t="s">
        <v>8786</v>
      </c>
      <c r="C5221">
        <f>-0.18-1.76</f>
        <v>-1.94</v>
      </c>
      <c r="D5221">
        <v>0.79</v>
      </c>
      <c r="E5221" t="s">
        <v>36</v>
      </c>
      <c r="F5221" t="s">
        <v>87</v>
      </c>
      <c r="G5221">
        <v>1.76</v>
      </c>
      <c r="H5221">
        <v>-0.18</v>
      </c>
      <c r="I5221">
        <v>0.97</v>
      </c>
      <c r="J5221">
        <v>0.94089999999999996</v>
      </c>
      <c r="K5221" t="str">
        <f>IFERROR(INDEX(Rosters!$C$2:$C$155,MATCH($B5221,Rosters!$B$2:$B$155,0)),"NA")</f>
        <v>NA</v>
      </c>
      <c r="L5221" t="str">
        <f t="shared" si="243"/>
        <v>NA7WR</v>
      </c>
      <c r="M5221">
        <f>COUNTIF(L$1:L5221,L5221)</f>
        <v>65</v>
      </c>
      <c r="N5221" t="str">
        <f t="shared" si="244"/>
        <v>NA7WR-65</v>
      </c>
      <c r="O5221">
        <f>COUNTIFS(F$1:F5221,F5221,A$1:A5221,A5221)</f>
        <v>110</v>
      </c>
      <c r="P5221" t="str">
        <f t="shared" si="245"/>
        <v>Rashad Greene7</v>
      </c>
    </row>
    <row r="5222" spans="1:16" x14ac:dyDescent="0.25">
      <c r="A5222">
        <v>9</v>
      </c>
      <c r="B5222" t="s">
        <v>1131</v>
      </c>
      <c r="C5222">
        <f>-0.17-1.75</f>
        <v>-1.92</v>
      </c>
      <c r="D5222">
        <v>0.79</v>
      </c>
      <c r="E5222" t="s">
        <v>42</v>
      </c>
      <c r="F5222" t="s">
        <v>47</v>
      </c>
      <c r="G5222">
        <v>1.75</v>
      </c>
      <c r="H5222">
        <v>-0.17</v>
      </c>
      <c r="I5222">
        <v>0.96</v>
      </c>
      <c r="J5222">
        <v>0.92159999999999997</v>
      </c>
      <c r="K5222" t="str">
        <f>IFERROR(INDEX(Rosters!$C$2:$C$155,MATCH($B5222,Rosters!$B$2:$B$155,0)),"NA")</f>
        <v>NA</v>
      </c>
      <c r="L5222" t="str">
        <f t="shared" si="243"/>
        <v>NA9RB</v>
      </c>
      <c r="M5222">
        <f>COUNTIF(L$1:L5222,L5222)</f>
        <v>36</v>
      </c>
      <c r="N5222" t="str">
        <f t="shared" si="244"/>
        <v>NA9RB-36</v>
      </c>
      <c r="O5222">
        <f>COUNTIFS(F$1:F5222,F5222,A$1:A5222,A5222)</f>
        <v>76</v>
      </c>
      <c r="P5222" t="str">
        <f t="shared" si="245"/>
        <v>Tyler Ervin9</v>
      </c>
    </row>
    <row r="5223" spans="1:16" x14ac:dyDescent="0.25">
      <c r="A5223">
        <v>13</v>
      </c>
      <c r="B5223" t="s">
        <v>1131</v>
      </c>
      <c r="C5223" t="s">
        <v>8824</v>
      </c>
      <c r="D5223">
        <v>0.79</v>
      </c>
      <c r="E5223" t="s">
        <v>52</v>
      </c>
      <c r="F5223" t="s">
        <v>47</v>
      </c>
      <c r="G5223">
        <v>1.52</v>
      </c>
      <c r="H5223">
        <v>0.06</v>
      </c>
      <c r="I5223">
        <v>0.73</v>
      </c>
      <c r="J5223">
        <v>0.53290000000000004</v>
      </c>
      <c r="K5223" t="str">
        <f>IFERROR(INDEX(Rosters!$C$2:$C$155,MATCH($B5223,Rosters!$B$2:$B$155,0)),"NA")</f>
        <v>NA</v>
      </c>
      <c r="L5223" t="str">
        <f t="shared" si="243"/>
        <v>NA13RB</v>
      </c>
      <c r="M5223">
        <f>COUNTIF(L$1:L5223,L5223)</f>
        <v>46</v>
      </c>
      <c r="N5223" t="str">
        <f t="shared" si="244"/>
        <v>NA13RB-46</v>
      </c>
      <c r="O5223">
        <f>COUNTIFS(F$1:F5223,F5223,A$1:A5223,A5223)</f>
        <v>93</v>
      </c>
      <c r="P5223" t="str">
        <f t="shared" si="245"/>
        <v>Tyler Ervin13</v>
      </c>
    </row>
    <row r="5224" spans="1:16" x14ac:dyDescent="0.25">
      <c r="A5224">
        <v>15</v>
      </c>
      <c r="B5224" t="s">
        <v>1627</v>
      </c>
      <c r="C5224" t="s">
        <v>8826</v>
      </c>
      <c r="D5224">
        <v>0.78</v>
      </c>
      <c r="E5224" t="s">
        <v>54</v>
      </c>
      <c r="F5224" t="s">
        <v>15</v>
      </c>
      <c r="G5224">
        <v>1.45</v>
      </c>
      <c r="H5224">
        <v>0.11</v>
      </c>
      <c r="I5224">
        <v>0.67</v>
      </c>
      <c r="J5224">
        <v>0.44890000000000002</v>
      </c>
      <c r="K5224" t="str">
        <f>IFERROR(INDEX(Rosters!$C$2:$C$155,MATCH($B5224,Rosters!$B$2:$B$155,0)),"NA")</f>
        <v>NA</v>
      </c>
      <c r="L5224" t="str">
        <f t="shared" si="243"/>
        <v>NA15QB</v>
      </c>
      <c r="M5224">
        <f>COUNTIF(L$1:L5224,L5224)</f>
        <v>30</v>
      </c>
      <c r="N5224" t="str">
        <f t="shared" si="244"/>
        <v>NA15QB-30</v>
      </c>
      <c r="O5224">
        <f>COUNTIFS(F$1:F5224,F5224,A$1:A5224,A5224)</f>
        <v>47</v>
      </c>
      <c r="P5224" t="str">
        <f t="shared" si="245"/>
        <v>Blaine Gabbert15</v>
      </c>
    </row>
    <row r="5225" spans="1:16" x14ac:dyDescent="0.25">
      <c r="A5225">
        <v>5</v>
      </c>
      <c r="B5225" t="s">
        <v>2947</v>
      </c>
      <c r="C5225">
        <f>-0.02-1.58</f>
        <v>-1.6</v>
      </c>
      <c r="D5225">
        <v>0.78</v>
      </c>
      <c r="E5225" t="s">
        <v>51</v>
      </c>
      <c r="F5225" t="s">
        <v>47</v>
      </c>
      <c r="G5225">
        <v>1.58</v>
      </c>
      <c r="H5225">
        <v>-0.02</v>
      </c>
      <c r="I5225">
        <v>0.8</v>
      </c>
      <c r="J5225">
        <v>0.64</v>
      </c>
      <c r="K5225" t="str">
        <f>IFERROR(INDEX(Rosters!$C$2:$C$155,MATCH($B5225,Rosters!$B$2:$B$155,0)),"NA")</f>
        <v>NA</v>
      </c>
      <c r="L5225" t="str">
        <f t="shared" si="243"/>
        <v>NA5RB</v>
      </c>
      <c r="M5225">
        <f>COUNTIF(L$1:L5225,L5225)</f>
        <v>45</v>
      </c>
      <c r="N5225" t="str">
        <f t="shared" si="244"/>
        <v>NA5RB-45</v>
      </c>
      <c r="O5225">
        <f>COUNTIFS(F$1:F5225,F5225,A$1:A5225,A5225)</f>
        <v>88</v>
      </c>
      <c r="P5225" t="str">
        <f t="shared" si="245"/>
        <v>Brian Hill5</v>
      </c>
    </row>
    <row r="5226" spans="1:16" x14ac:dyDescent="0.25">
      <c r="A5226">
        <v>1</v>
      </c>
      <c r="B5226" t="s">
        <v>1118</v>
      </c>
      <c r="C5226" t="s">
        <v>1552</v>
      </c>
      <c r="D5226">
        <v>0.78</v>
      </c>
      <c r="E5226" t="s">
        <v>36</v>
      </c>
      <c r="F5226" t="s">
        <v>15</v>
      </c>
      <c r="G5226">
        <v>1.44</v>
      </c>
      <c r="H5226">
        <v>0.12</v>
      </c>
      <c r="I5226">
        <v>0.66</v>
      </c>
      <c r="J5226">
        <v>0.43559999999999999</v>
      </c>
      <c r="K5226" t="str">
        <f>IFERROR(INDEX(Rosters!$C$2:$C$155,MATCH($B5226,Rosters!$B$2:$B$155,0)),"NA")</f>
        <v>NA</v>
      </c>
      <c r="L5226" t="str">
        <f t="shared" si="243"/>
        <v>NA1QB</v>
      </c>
      <c r="M5226">
        <f>COUNTIF(L$1:L5226,L5226)</f>
        <v>23</v>
      </c>
      <c r="N5226" t="str">
        <f t="shared" si="244"/>
        <v>NA1QB-23</v>
      </c>
      <c r="O5226">
        <f>COUNTIFS(F$1:F5226,F5226,A$1:A5226,A5226)</f>
        <v>39</v>
      </c>
      <c r="P5226" t="str">
        <f t="shared" si="245"/>
        <v>Brian Hoyer1</v>
      </c>
    </row>
    <row r="5227" spans="1:16" x14ac:dyDescent="0.25">
      <c r="A5227">
        <v>7</v>
      </c>
      <c r="B5227" t="s">
        <v>1118</v>
      </c>
      <c r="C5227" t="s">
        <v>4689</v>
      </c>
      <c r="D5227">
        <v>0.78</v>
      </c>
      <c r="E5227" t="s">
        <v>72</v>
      </c>
      <c r="F5227" t="s">
        <v>15</v>
      </c>
      <c r="G5227">
        <v>1.39</v>
      </c>
      <c r="H5227">
        <v>0.17</v>
      </c>
      <c r="I5227">
        <v>0.61</v>
      </c>
      <c r="J5227">
        <v>0.37209999999999999</v>
      </c>
      <c r="K5227" t="str">
        <f>IFERROR(INDEX(Rosters!$C$2:$C$155,MATCH($B5227,Rosters!$B$2:$B$155,0)),"NA")</f>
        <v>NA</v>
      </c>
      <c r="L5227" t="str">
        <f t="shared" si="243"/>
        <v>NA7QB</v>
      </c>
      <c r="M5227">
        <f>COUNTIF(L$1:L5227,L5227)</f>
        <v>31</v>
      </c>
      <c r="N5227" t="str">
        <f t="shared" si="244"/>
        <v>NA7QB-31</v>
      </c>
      <c r="O5227">
        <f>COUNTIFS(F$1:F5227,F5227,A$1:A5227,A5227)</f>
        <v>45</v>
      </c>
      <c r="P5227" t="str">
        <f t="shared" si="245"/>
        <v>Brian Hoyer7</v>
      </c>
    </row>
    <row r="5228" spans="1:16" x14ac:dyDescent="0.25">
      <c r="A5228">
        <v>16</v>
      </c>
      <c r="B5228" t="s">
        <v>2926</v>
      </c>
      <c r="C5228">
        <f>-0.1-1.66</f>
        <v>-1.76</v>
      </c>
      <c r="D5228">
        <v>0.78</v>
      </c>
      <c r="E5228" t="s">
        <v>38</v>
      </c>
      <c r="F5228" t="s">
        <v>87</v>
      </c>
      <c r="G5228">
        <v>1.66</v>
      </c>
      <c r="H5228">
        <v>-0.1</v>
      </c>
      <c r="I5228">
        <v>0.88</v>
      </c>
      <c r="J5228">
        <v>0.77439999999999998</v>
      </c>
      <c r="K5228" t="str">
        <f>IFERROR(INDEX(Rosters!$C$2:$C$155,MATCH($B5228,Rosters!$B$2:$B$155,0)),"NA")</f>
        <v>NA</v>
      </c>
      <c r="L5228" t="str">
        <f t="shared" si="243"/>
        <v>NA16WR</v>
      </c>
      <c r="M5228">
        <f>COUNTIF(L$1:L5228,L5228)</f>
        <v>71</v>
      </c>
      <c r="N5228" t="str">
        <f t="shared" si="244"/>
        <v>NA16WR-71</v>
      </c>
      <c r="O5228">
        <f>COUNTIFS(F$1:F5228,F5228,A$1:A5228,A5228)</f>
        <v>125</v>
      </c>
      <c r="P5228" t="str">
        <f t="shared" si="245"/>
        <v>Brian Quick16</v>
      </c>
    </row>
    <row r="5229" spans="1:16" x14ac:dyDescent="0.25">
      <c r="A5229">
        <v>4</v>
      </c>
      <c r="B5229" t="s">
        <v>1489</v>
      </c>
      <c r="C5229">
        <f>-0.58-2.14</f>
        <v>-2.72</v>
      </c>
      <c r="D5229">
        <v>0.78</v>
      </c>
      <c r="E5229" t="s">
        <v>28</v>
      </c>
      <c r="F5229" t="s">
        <v>87</v>
      </c>
      <c r="G5229">
        <v>2.14</v>
      </c>
      <c r="H5229">
        <v>-0.57999999999999996</v>
      </c>
      <c r="I5229">
        <v>1.36</v>
      </c>
      <c r="J5229">
        <v>1.8495999999999999</v>
      </c>
      <c r="K5229" t="str">
        <f>IFERROR(INDEX(Rosters!$C$2:$C$155,MATCH($B5229,Rosters!$B$2:$B$155,0)),"NA")</f>
        <v>NA</v>
      </c>
      <c r="L5229" t="str">
        <f t="shared" si="243"/>
        <v>NA4WR</v>
      </c>
      <c r="M5229">
        <f>COUNTIF(L$1:L5229,L5229)</f>
        <v>59</v>
      </c>
      <c r="N5229" t="str">
        <f t="shared" si="244"/>
        <v>NA4WR-59</v>
      </c>
      <c r="O5229">
        <f>COUNTIFS(F$1:F5229,F5229,A$1:A5229,A5229)</f>
        <v>109</v>
      </c>
      <c r="P5229" t="str">
        <f t="shared" si="245"/>
        <v>Chad Williams4</v>
      </c>
    </row>
    <row r="5230" spans="1:16" x14ac:dyDescent="0.25">
      <c r="A5230">
        <v>13</v>
      </c>
      <c r="B5230" t="s">
        <v>1126</v>
      </c>
      <c r="C5230">
        <f>-0.14-1.7</f>
        <v>-1.8399999999999999</v>
      </c>
      <c r="D5230">
        <v>0.78</v>
      </c>
      <c r="E5230" t="s">
        <v>38</v>
      </c>
      <c r="F5230" t="s">
        <v>87</v>
      </c>
      <c r="G5230">
        <v>1.7</v>
      </c>
      <c r="H5230">
        <v>-0.14000000000000001</v>
      </c>
      <c r="I5230">
        <v>0.92</v>
      </c>
      <c r="J5230">
        <v>0.84640000000000004</v>
      </c>
      <c r="K5230" t="str">
        <f>IFERROR(INDEX(Rosters!$C$2:$C$155,MATCH($B5230,Rosters!$B$2:$B$155,0)),"NA")</f>
        <v>NA</v>
      </c>
      <c r="L5230" t="str">
        <f t="shared" si="243"/>
        <v>NA13WR</v>
      </c>
      <c r="M5230">
        <f>COUNTIF(L$1:L5230,L5230)</f>
        <v>73</v>
      </c>
      <c r="N5230" t="str">
        <f t="shared" si="244"/>
        <v>NA13WR-73</v>
      </c>
      <c r="O5230">
        <f>COUNTIFS(F$1:F5230,F5230,A$1:A5230,A5230)</f>
        <v>127</v>
      </c>
      <c r="P5230" t="str">
        <f t="shared" si="245"/>
        <v>Charone Peake13</v>
      </c>
    </row>
    <row r="5231" spans="1:16" x14ac:dyDescent="0.25">
      <c r="A5231">
        <v>8</v>
      </c>
      <c r="B5231" t="s">
        <v>384</v>
      </c>
      <c r="C5231" t="s">
        <v>4686</v>
      </c>
      <c r="D5231">
        <v>0.78</v>
      </c>
      <c r="E5231" t="s">
        <v>73</v>
      </c>
      <c r="F5231" t="s">
        <v>15</v>
      </c>
      <c r="G5231">
        <v>1.33</v>
      </c>
      <c r="H5231">
        <v>0.23</v>
      </c>
      <c r="I5231">
        <v>0.55000000000000004</v>
      </c>
      <c r="J5231">
        <v>0.30249999999999999</v>
      </c>
      <c r="K5231" t="str">
        <f>IFERROR(INDEX(Rosters!$C$2:$C$155,MATCH($B5231,Rosters!$B$2:$B$155,0)),"NA")</f>
        <v>NA</v>
      </c>
      <c r="L5231" t="str">
        <f t="shared" si="243"/>
        <v>NA8QB</v>
      </c>
      <c r="M5231">
        <f>COUNTIF(L$1:L5231,L5231)</f>
        <v>28</v>
      </c>
      <c r="N5231" t="str">
        <f t="shared" si="244"/>
        <v>NA8QB-28</v>
      </c>
      <c r="O5231">
        <f>COUNTIFS(F$1:F5231,F5231,A$1:A5231,A5231)</f>
        <v>43</v>
      </c>
      <c r="P5231" t="str">
        <f t="shared" si="245"/>
        <v>Chase Daniel8</v>
      </c>
    </row>
    <row r="5232" spans="1:16" x14ac:dyDescent="0.25">
      <c r="A5232">
        <v>11</v>
      </c>
      <c r="B5232" t="s">
        <v>384</v>
      </c>
      <c r="C5232" t="s">
        <v>4686</v>
      </c>
      <c r="D5232">
        <v>0.78</v>
      </c>
      <c r="E5232" t="s">
        <v>25</v>
      </c>
      <c r="F5232" t="s">
        <v>15</v>
      </c>
      <c r="G5232">
        <v>1.33</v>
      </c>
      <c r="H5232">
        <v>0.23</v>
      </c>
      <c r="I5232">
        <v>0.55000000000000004</v>
      </c>
      <c r="J5232">
        <v>0.30249999999999999</v>
      </c>
      <c r="K5232" t="str">
        <f>IFERROR(INDEX(Rosters!$C$2:$C$155,MATCH($B5232,Rosters!$B$2:$B$155,0)),"NA")</f>
        <v>NA</v>
      </c>
      <c r="L5232" t="str">
        <f t="shared" si="243"/>
        <v>NA11QB</v>
      </c>
      <c r="M5232">
        <f>COUNTIF(L$1:L5232,L5232)</f>
        <v>26</v>
      </c>
      <c r="N5232" t="str">
        <f t="shared" si="244"/>
        <v>NA11QB-26</v>
      </c>
      <c r="O5232">
        <f>COUNTIFS(F$1:F5232,F5232,A$1:A5232,A5232)</f>
        <v>41</v>
      </c>
      <c r="P5232" t="str">
        <f t="shared" si="245"/>
        <v>Chase Daniel11</v>
      </c>
    </row>
    <row r="5233" spans="1:16" x14ac:dyDescent="0.25">
      <c r="A5233">
        <v>2</v>
      </c>
      <c r="B5233" t="s">
        <v>331</v>
      </c>
      <c r="C5233" t="s">
        <v>1033</v>
      </c>
      <c r="D5233">
        <v>0.78</v>
      </c>
      <c r="E5233" t="s">
        <v>66</v>
      </c>
      <c r="F5233" t="s">
        <v>15</v>
      </c>
      <c r="G5233">
        <v>1.4</v>
      </c>
      <c r="H5233">
        <v>0.16</v>
      </c>
      <c r="I5233">
        <v>0.62</v>
      </c>
      <c r="J5233">
        <v>0.38440000000000002</v>
      </c>
      <c r="K5233" t="str">
        <f>IFERROR(INDEX(Rosters!$C$2:$C$155,MATCH($B5233,Rosters!$B$2:$B$155,0)),"NA")</f>
        <v>NA</v>
      </c>
      <c r="L5233" t="str">
        <f t="shared" si="243"/>
        <v>NA2QB</v>
      </c>
      <c r="M5233">
        <f>COUNTIF(L$1:L5233,L5233)</f>
        <v>24</v>
      </c>
      <c r="N5233" t="str">
        <f t="shared" si="244"/>
        <v>NA2QB-24</v>
      </c>
      <c r="O5233">
        <f>COUNTIFS(F$1:F5233,F5233,A$1:A5233,A5233)</f>
        <v>40</v>
      </c>
      <c r="P5233" t="str">
        <f t="shared" si="245"/>
        <v>Colt McCoy2</v>
      </c>
    </row>
    <row r="5234" spans="1:16" x14ac:dyDescent="0.25">
      <c r="A5234">
        <v>16</v>
      </c>
      <c r="B5234" t="s">
        <v>331</v>
      </c>
      <c r="C5234" t="s">
        <v>8827</v>
      </c>
      <c r="D5234">
        <v>0.78</v>
      </c>
      <c r="E5234" t="s">
        <v>38</v>
      </c>
      <c r="F5234" t="s">
        <v>15</v>
      </c>
      <c r="G5234">
        <v>1.3</v>
      </c>
      <c r="H5234">
        <v>0.26</v>
      </c>
      <c r="I5234">
        <v>0.52</v>
      </c>
      <c r="J5234">
        <v>0.27039999999999997</v>
      </c>
      <c r="K5234" t="str">
        <f>IFERROR(INDEX(Rosters!$C$2:$C$155,MATCH($B5234,Rosters!$B$2:$B$155,0)),"NA")</f>
        <v>NA</v>
      </c>
      <c r="L5234" t="str">
        <f t="shared" si="243"/>
        <v>NA16QB</v>
      </c>
      <c r="M5234">
        <f>COUNTIF(L$1:L5234,L5234)</f>
        <v>32</v>
      </c>
      <c r="N5234" t="str">
        <f t="shared" si="244"/>
        <v>NA16QB-32</v>
      </c>
      <c r="O5234">
        <f>COUNTIFS(F$1:F5234,F5234,A$1:A5234,A5234)</f>
        <v>49</v>
      </c>
      <c r="P5234" t="str">
        <f t="shared" si="245"/>
        <v>Colt McCoy16</v>
      </c>
    </row>
    <row r="5235" spans="1:16" x14ac:dyDescent="0.25">
      <c r="A5235">
        <v>15</v>
      </c>
      <c r="B5235" t="s">
        <v>1550</v>
      </c>
      <c r="C5235" t="s">
        <v>8826</v>
      </c>
      <c r="D5235">
        <v>0.78</v>
      </c>
      <c r="E5235" t="s">
        <v>66</v>
      </c>
      <c r="F5235" t="s">
        <v>15</v>
      </c>
      <c r="G5235">
        <v>1.45</v>
      </c>
      <c r="H5235">
        <v>0.11</v>
      </c>
      <c r="I5235">
        <v>0.67</v>
      </c>
      <c r="J5235">
        <v>0.44890000000000002</v>
      </c>
      <c r="K5235" t="str">
        <f>IFERROR(INDEX(Rosters!$C$2:$C$155,MATCH($B5235,Rosters!$B$2:$B$155,0)),"NA")</f>
        <v>NA</v>
      </c>
      <c r="L5235" t="str">
        <f t="shared" si="243"/>
        <v>NA15QB</v>
      </c>
      <c r="M5235">
        <f>COUNTIF(L$1:L5235,L5235)</f>
        <v>31</v>
      </c>
      <c r="N5235" t="str">
        <f t="shared" si="244"/>
        <v>NA15QB-31</v>
      </c>
      <c r="O5235">
        <f>COUNTIFS(F$1:F5235,F5235,A$1:A5235,A5235)</f>
        <v>48</v>
      </c>
      <c r="P5235" t="str">
        <f t="shared" si="245"/>
        <v>Cooper Rush15</v>
      </c>
    </row>
    <row r="5236" spans="1:16" x14ac:dyDescent="0.25">
      <c r="A5236">
        <v>5</v>
      </c>
      <c r="B5236" t="s">
        <v>8733</v>
      </c>
      <c r="C5236">
        <f>-0.08-1.64</f>
        <v>-1.72</v>
      </c>
      <c r="D5236">
        <v>0.78</v>
      </c>
      <c r="E5236" t="s">
        <v>25</v>
      </c>
      <c r="F5236" t="s">
        <v>87</v>
      </c>
      <c r="G5236">
        <v>1.64</v>
      </c>
      <c r="H5236">
        <v>-0.08</v>
      </c>
      <c r="I5236">
        <v>0.86</v>
      </c>
      <c r="J5236">
        <v>0.73960000000000004</v>
      </c>
      <c r="K5236" t="str">
        <f>IFERROR(INDEX(Rosters!$C$2:$C$155,MATCH($B5236,Rosters!$B$2:$B$155,0)),"NA")</f>
        <v>NA</v>
      </c>
      <c r="L5236" t="str">
        <f t="shared" si="243"/>
        <v>NA5WR</v>
      </c>
      <c r="M5236">
        <f>COUNTIF(L$1:L5236,L5236)</f>
        <v>82</v>
      </c>
      <c r="N5236" t="str">
        <f t="shared" si="244"/>
        <v>NA5WR-82</v>
      </c>
      <c r="O5236">
        <f>COUNTIFS(F$1:F5236,F5236,A$1:A5236,A5236)</f>
        <v>132</v>
      </c>
      <c r="P5236" t="str">
        <f t="shared" si="245"/>
        <v>DeAndre Carter5</v>
      </c>
    </row>
    <row r="5237" spans="1:16" x14ac:dyDescent="0.25">
      <c r="A5237">
        <v>10</v>
      </c>
      <c r="B5237" t="s">
        <v>1516</v>
      </c>
      <c r="C5237" t="s">
        <v>8828</v>
      </c>
      <c r="D5237">
        <v>0.78</v>
      </c>
      <c r="E5237" t="s">
        <v>19</v>
      </c>
      <c r="F5237" t="s">
        <v>87</v>
      </c>
      <c r="G5237">
        <v>1.51</v>
      </c>
      <c r="H5237">
        <v>0.05</v>
      </c>
      <c r="I5237">
        <v>0.73</v>
      </c>
      <c r="J5237">
        <v>0.53290000000000004</v>
      </c>
      <c r="K5237" t="str">
        <f>IFERROR(INDEX(Rosters!$C$2:$C$155,MATCH($B5237,Rosters!$B$2:$B$155,0)),"NA")</f>
        <v>NA</v>
      </c>
      <c r="L5237" t="str">
        <f t="shared" si="243"/>
        <v>NA10WR</v>
      </c>
      <c r="M5237">
        <f>COUNTIF(L$1:L5237,L5237)</f>
        <v>69</v>
      </c>
      <c r="N5237" t="str">
        <f t="shared" si="244"/>
        <v>NA10WR-69</v>
      </c>
      <c r="O5237">
        <f>COUNTIFS(F$1:F5237,F5237,A$1:A5237,A5237)</f>
        <v>114</v>
      </c>
      <c r="P5237" t="str">
        <f t="shared" si="245"/>
        <v>J'Mon Moore10</v>
      </c>
    </row>
    <row r="5238" spans="1:16" x14ac:dyDescent="0.25">
      <c r="A5238">
        <v>13</v>
      </c>
      <c r="B5238" t="s">
        <v>1516</v>
      </c>
      <c r="C5238" t="s">
        <v>8826</v>
      </c>
      <c r="D5238">
        <v>0.78</v>
      </c>
      <c r="E5238" t="s">
        <v>58</v>
      </c>
      <c r="F5238" t="s">
        <v>87</v>
      </c>
      <c r="G5238">
        <v>1.45</v>
      </c>
      <c r="H5238">
        <v>0.11</v>
      </c>
      <c r="I5238">
        <v>0.67</v>
      </c>
      <c r="J5238">
        <v>0.44890000000000002</v>
      </c>
      <c r="K5238" t="str">
        <f>IFERROR(INDEX(Rosters!$C$2:$C$155,MATCH($B5238,Rosters!$B$2:$B$155,0)),"NA")</f>
        <v>NA</v>
      </c>
      <c r="L5238" t="str">
        <f t="shared" si="243"/>
        <v>NA13WR</v>
      </c>
      <c r="M5238">
        <f>COUNTIF(L$1:L5238,L5238)</f>
        <v>74</v>
      </c>
      <c r="N5238" t="str">
        <f t="shared" si="244"/>
        <v>NA13WR-74</v>
      </c>
      <c r="O5238">
        <f>COUNTIFS(F$1:F5238,F5238,A$1:A5238,A5238)</f>
        <v>128</v>
      </c>
      <c r="P5238" t="str">
        <f t="shared" si="245"/>
        <v>J'Mon Moore13</v>
      </c>
    </row>
    <row r="5239" spans="1:16" x14ac:dyDescent="0.25">
      <c r="A5239">
        <v>4</v>
      </c>
      <c r="B5239" t="s">
        <v>1560</v>
      </c>
      <c r="C5239">
        <f>-0.05-1.61</f>
        <v>-1.6600000000000001</v>
      </c>
      <c r="D5239">
        <v>0.78</v>
      </c>
      <c r="E5239" t="s">
        <v>73</v>
      </c>
      <c r="F5239" t="s">
        <v>87</v>
      </c>
      <c r="G5239">
        <v>1.61</v>
      </c>
      <c r="H5239">
        <v>-0.05</v>
      </c>
      <c r="I5239">
        <v>0.83</v>
      </c>
      <c r="J5239">
        <v>0.68889999999999996</v>
      </c>
      <c r="K5239" t="str">
        <f>IFERROR(INDEX(Rosters!$C$2:$C$155,MATCH($B5239,Rosters!$B$2:$B$155,0)),"NA")</f>
        <v>NA</v>
      </c>
      <c r="L5239" t="str">
        <f t="shared" si="243"/>
        <v>NA4WR</v>
      </c>
      <c r="M5239">
        <f>COUNTIF(L$1:L5239,L5239)</f>
        <v>60</v>
      </c>
      <c r="N5239" t="str">
        <f t="shared" si="244"/>
        <v>NA4WR-60</v>
      </c>
      <c r="O5239">
        <f>COUNTIFS(F$1:F5239,F5239,A$1:A5239,A5239)</f>
        <v>110</v>
      </c>
      <c r="P5239" t="str">
        <f t="shared" si="245"/>
        <v>Jaydon Mickens4</v>
      </c>
    </row>
    <row r="5240" spans="1:16" x14ac:dyDescent="0.25">
      <c r="A5240">
        <v>6</v>
      </c>
      <c r="B5240" t="s">
        <v>253</v>
      </c>
      <c r="C5240">
        <f>-0.26-1.82</f>
        <v>-2.08</v>
      </c>
      <c r="D5240">
        <v>0.78</v>
      </c>
      <c r="E5240" t="s">
        <v>17</v>
      </c>
      <c r="F5240" t="s">
        <v>87</v>
      </c>
      <c r="G5240">
        <v>1.82</v>
      </c>
      <c r="H5240">
        <v>-0.26</v>
      </c>
      <c r="I5240">
        <v>1.04</v>
      </c>
      <c r="J5240">
        <v>1.0815999999999999</v>
      </c>
      <c r="K5240" t="str">
        <f>IFERROR(INDEX(Rosters!$C$2:$C$155,MATCH($B5240,Rosters!$B$2:$B$155,0)),"NA")</f>
        <v>NA</v>
      </c>
      <c r="L5240" t="str">
        <f t="shared" si="243"/>
        <v>NA6WR</v>
      </c>
      <c r="M5240">
        <f>COUNTIF(L$1:L5240,L5240)</f>
        <v>71</v>
      </c>
      <c r="N5240" t="str">
        <f t="shared" si="244"/>
        <v>NA6WR-71</v>
      </c>
      <c r="O5240">
        <f>COUNTIFS(F$1:F5240,F5240,A$1:A5240,A5240)</f>
        <v>121</v>
      </c>
      <c r="P5240" t="str">
        <f t="shared" si="245"/>
        <v>Justin Hardy6</v>
      </c>
    </row>
    <row r="5241" spans="1:16" x14ac:dyDescent="0.25">
      <c r="A5241">
        <v>4</v>
      </c>
      <c r="B5241" t="s">
        <v>1473</v>
      </c>
      <c r="C5241" t="s">
        <v>4688</v>
      </c>
      <c r="D5241">
        <v>0.78</v>
      </c>
      <c r="E5241" t="s">
        <v>30</v>
      </c>
      <c r="F5241" t="s">
        <v>47</v>
      </c>
      <c r="G5241">
        <v>1.55</v>
      </c>
      <c r="H5241">
        <v>0.01</v>
      </c>
      <c r="I5241">
        <v>0.77</v>
      </c>
      <c r="J5241">
        <v>0.59289999999999998</v>
      </c>
      <c r="K5241" t="str">
        <f>IFERROR(INDEX(Rosters!$C$2:$C$155,MATCH($B5241,Rosters!$B$2:$B$155,0)),"NA")</f>
        <v>NA</v>
      </c>
      <c r="L5241" t="str">
        <f t="shared" si="243"/>
        <v>NA4RB</v>
      </c>
      <c r="M5241">
        <f>COUNTIF(L$1:L5241,L5241)</f>
        <v>40</v>
      </c>
      <c r="N5241" t="str">
        <f t="shared" si="244"/>
        <v>NA4RB-40</v>
      </c>
      <c r="O5241">
        <f>COUNTIFS(F$1:F5241,F5241,A$1:A5241,A5241)</f>
        <v>79</v>
      </c>
      <c r="P5241" t="str">
        <f t="shared" si="245"/>
        <v>Justin Jackson4</v>
      </c>
    </row>
    <row r="5242" spans="1:16" x14ac:dyDescent="0.25">
      <c r="A5242">
        <v>2</v>
      </c>
      <c r="B5242" t="s">
        <v>4238</v>
      </c>
      <c r="C5242" t="s">
        <v>4239</v>
      </c>
      <c r="D5242">
        <v>0.78</v>
      </c>
      <c r="E5242" t="s">
        <v>51</v>
      </c>
      <c r="F5242" t="s">
        <v>87</v>
      </c>
      <c r="G5242">
        <v>1.54</v>
      </c>
      <c r="H5242">
        <v>0.02</v>
      </c>
      <c r="I5242">
        <v>0.76</v>
      </c>
      <c r="J5242">
        <v>0.5776</v>
      </c>
      <c r="K5242" t="str">
        <f>IFERROR(INDEX(Rosters!$C$2:$C$155,MATCH($B5242,Rosters!$B$2:$B$155,0)),"NA")</f>
        <v>NA</v>
      </c>
      <c r="L5242" t="str">
        <f t="shared" si="243"/>
        <v>NA2WR</v>
      </c>
      <c r="M5242">
        <f>COUNTIF(L$1:L5242,L5242)</f>
        <v>64</v>
      </c>
      <c r="N5242" t="str">
        <f t="shared" si="244"/>
        <v>NA2WR-64</v>
      </c>
      <c r="O5242">
        <f>COUNTIFS(F$1:F5242,F5242,A$1:A5242,A5242)</f>
        <v>112</v>
      </c>
      <c r="P5242" t="str">
        <f t="shared" si="245"/>
        <v>Marcus Kemp2</v>
      </c>
    </row>
    <row r="5243" spans="1:16" x14ac:dyDescent="0.25">
      <c r="A5243">
        <v>17</v>
      </c>
      <c r="B5243" t="s">
        <v>4238</v>
      </c>
      <c r="C5243">
        <f>-0.05-1.61</f>
        <v>-1.6600000000000001</v>
      </c>
      <c r="D5243">
        <v>0.78</v>
      </c>
      <c r="E5243" t="s">
        <v>32</v>
      </c>
      <c r="F5243" t="s">
        <v>87</v>
      </c>
      <c r="G5243">
        <v>1.61</v>
      </c>
      <c r="H5243">
        <v>-0.05</v>
      </c>
      <c r="I5243">
        <v>0.83</v>
      </c>
      <c r="J5243">
        <v>0.68889999999999996</v>
      </c>
      <c r="K5243" t="str">
        <f>IFERROR(INDEX(Rosters!$C$2:$C$155,MATCH($B5243,Rosters!$B$2:$B$155,0)),"NA")</f>
        <v>NA</v>
      </c>
      <c r="L5243" t="str">
        <f t="shared" si="243"/>
        <v>NA17WR</v>
      </c>
      <c r="M5243">
        <f>COUNTIF(L$1:L5243,L5243)</f>
        <v>74</v>
      </c>
      <c r="N5243" t="str">
        <f t="shared" si="244"/>
        <v>NA17WR-74</v>
      </c>
      <c r="O5243">
        <f>COUNTIFS(F$1:F5243,F5243,A$1:A5243,A5243)</f>
        <v>128</v>
      </c>
      <c r="P5243" t="str">
        <f t="shared" si="245"/>
        <v>Marcus Kemp17</v>
      </c>
    </row>
    <row r="5244" spans="1:16" x14ac:dyDescent="0.25">
      <c r="A5244">
        <v>4</v>
      </c>
      <c r="B5244" t="s">
        <v>344</v>
      </c>
      <c r="C5244" t="s">
        <v>4689</v>
      </c>
      <c r="D5244">
        <v>0.78</v>
      </c>
      <c r="E5244" t="s">
        <v>38</v>
      </c>
      <c r="F5244" t="s">
        <v>15</v>
      </c>
      <c r="G5244">
        <v>1.39</v>
      </c>
      <c r="H5244">
        <v>0.17</v>
      </c>
      <c r="I5244">
        <v>0.61</v>
      </c>
      <c r="J5244">
        <v>0.37209999999999999</v>
      </c>
      <c r="K5244" t="str">
        <f>IFERROR(INDEX(Rosters!$C$2:$C$155,MATCH($B5244,Rosters!$B$2:$B$155,0)),"NA")</f>
        <v>NA</v>
      </c>
      <c r="L5244" t="str">
        <f t="shared" si="243"/>
        <v>NA4QB</v>
      </c>
      <c r="M5244">
        <f>COUNTIF(L$1:L5244,L5244)</f>
        <v>27</v>
      </c>
      <c r="N5244" t="str">
        <f t="shared" si="244"/>
        <v>NA4QB-27</v>
      </c>
      <c r="O5244">
        <f>COUNTIFS(F$1:F5244,F5244,A$1:A5244,A5244)</f>
        <v>42</v>
      </c>
      <c r="P5244" t="str">
        <f t="shared" si="245"/>
        <v>Nick Foles4</v>
      </c>
    </row>
    <row r="5245" spans="1:16" x14ac:dyDescent="0.25">
      <c r="A5245">
        <v>17</v>
      </c>
      <c r="B5245" t="s">
        <v>1499</v>
      </c>
      <c r="C5245">
        <f>-0.17-1.73</f>
        <v>-1.9</v>
      </c>
      <c r="D5245">
        <v>0.78</v>
      </c>
      <c r="E5245" t="s">
        <v>54</v>
      </c>
      <c r="F5245" t="s">
        <v>114</v>
      </c>
      <c r="G5245">
        <v>1.73</v>
      </c>
      <c r="H5245">
        <v>-0.17</v>
      </c>
      <c r="I5245">
        <v>0.95</v>
      </c>
      <c r="J5245">
        <v>0.90249999999999997</v>
      </c>
      <c r="K5245" t="str">
        <f>IFERROR(INDEX(Rosters!$C$2:$C$155,MATCH($B5245,Rosters!$B$2:$B$155,0)),"NA")</f>
        <v>NA</v>
      </c>
      <c r="L5245" t="str">
        <f t="shared" si="243"/>
        <v>NA17TE</v>
      </c>
      <c r="M5245">
        <f>COUNTIF(L$1:L5245,L5245)</f>
        <v>56</v>
      </c>
      <c r="N5245" t="str">
        <f t="shared" si="244"/>
        <v>NA17TE-56</v>
      </c>
      <c r="O5245">
        <f>COUNTIFS(F$1:F5245,F5245,A$1:A5245,A5245)</f>
        <v>70</v>
      </c>
      <c r="P5245" t="str">
        <f t="shared" si="245"/>
        <v>Rico Gathers17</v>
      </c>
    </row>
    <row r="5246" spans="1:16" x14ac:dyDescent="0.25">
      <c r="A5246">
        <v>11</v>
      </c>
      <c r="B5246" t="s">
        <v>4246</v>
      </c>
      <c r="C5246" t="s">
        <v>1552</v>
      </c>
      <c r="D5246">
        <v>0.78</v>
      </c>
      <c r="E5246" t="s">
        <v>17</v>
      </c>
      <c r="F5246" t="s">
        <v>114</v>
      </c>
      <c r="G5246">
        <v>1.44</v>
      </c>
      <c r="H5246">
        <v>0.12</v>
      </c>
      <c r="I5246">
        <v>0.66</v>
      </c>
      <c r="J5246">
        <v>0.43559999999999999</v>
      </c>
      <c r="K5246" t="str">
        <f>IFERROR(INDEX(Rosters!$C$2:$C$155,MATCH($B5246,Rosters!$B$2:$B$155,0)),"NA")</f>
        <v>NA</v>
      </c>
      <c r="L5246" t="str">
        <f t="shared" si="243"/>
        <v>NA11TE</v>
      </c>
      <c r="M5246">
        <f>COUNTIF(L$1:L5246,L5246)</f>
        <v>46</v>
      </c>
      <c r="N5246" t="str">
        <f t="shared" si="244"/>
        <v>NA11TE-46</v>
      </c>
      <c r="O5246">
        <f>COUNTIFS(F$1:F5246,F5246,A$1:A5246,A5246)</f>
        <v>58</v>
      </c>
      <c r="P5246" t="str">
        <f t="shared" si="245"/>
        <v>Scott Simonson11</v>
      </c>
    </row>
    <row r="5247" spans="1:16" x14ac:dyDescent="0.25">
      <c r="A5247">
        <v>5</v>
      </c>
      <c r="B5247" t="s">
        <v>4703</v>
      </c>
      <c r="C5247">
        <f>-0.13-1.69</f>
        <v>-1.8199999999999998</v>
      </c>
      <c r="D5247">
        <v>0.78</v>
      </c>
      <c r="E5247" t="s">
        <v>52</v>
      </c>
      <c r="F5247" t="s">
        <v>87</v>
      </c>
      <c r="G5247">
        <v>1.69</v>
      </c>
      <c r="H5247">
        <v>-0.13</v>
      </c>
      <c r="I5247">
        <v>0.91</v>
      </c>
      <c r="J5247">
        <v>0.82809999999999995</v>
      </c>
      <c r="K5247" t="str">
        <f>IFERROR(INDEX(Rosters!$C$2:$C$155,MATCH($B5247,Rosters!$B$2:$B$155,0)),"NA")</f>
        <v>NA</v>
      </c>
      <c r="L5247" t="str">
        <f t="shared" si="243"/>
        <v>NA5WR</v>
      </c>
      <c r="M5247">
        <f>COUNTIF(L$1:L5247,L5247)</f>
        <v>83</v>
      </c>
      <c r="N5247" t="str">
        <f t="shared" si="244"/>
        <v>NA5WR-83</v>
      </c>
      <c r="O5247">
        <f>COUNTIFS(F$1:F5247,F5247,A$1:A5247,A5247)</f>
        <v>133</v>
      </c>
      <c r="P5247" t="str">
        <f t="shared" si="245"/>
        <v>Tim White5</v>
      </c>
    </row>
    <row r="5248" spans="1:16" x14ac:dyDescent="0.25">
      <c r="A5248">
        <v>16</v>
      </c>
      <c r="B5248" t="s">
        <v>4703</v>
      </c>
      <c r="C5248" t="s">
        <v>4688</v>
      </c>
      <c r="D5248">
        <v>0.78</v>
      </c>
      <c r="E5248" t="s">
        <v>37</v>
      </c>
      <c r="F5248" t="s">
        <v>87</v>
      </c>
      <c r="G5248">
        <v>1.55</v>
      </c>
      <c r="H5248">
        <v>0.01</v>
      </c>
      <c r="I5248">
        <v>0.77</v>
      </c>
      <c r="J5248">
        <v>0.59289999999999998</v>
      </c>
      <c r="K5248" t="str">
        <f>IFERROR(INDEX(Rosters!$C$2:$C$155,MATCH($B5248,Rosters!$B$2:$B$155,0)),"NA")</f>
        <v>NA</v>
      </c>
      <c r="L5248" t="str">
        <f t="shared" si="243"/>
        <v>NA16WR</v>
      </c>
      <c r="M5248">
        <f>COUNTIF(L$1:L5248,L5248)</f>
        <v>72</v>
      </c>
      <c r="N5248" t="str">
        <f t="shared" si="244"/>
        <v>NA16WR-72</v>
      </c>
      <c r="O5248">
        <f>COUNTIFS(F$1:F5248,F5248,A$1:A5248,A5248)</f>
        <v>126</v>
      </c>
      <c r="P5248" t="str">
        <f t="shared" si="245"/>
        <v>Tim White16</v>
      </c>
    </row>
    <row r="5249" spans="1:16" x14ac:dyDescent="0.25">
      <c r="A5249">
        <v>4</v>
      </c>
      <c r="B5249" t="s">
        <v>102</v>
      </c>
      <c r="C5249" t="s">
        <v>3829</v>
      </c>
      <c r="D5249">
        <v>0.78</v>
      </c>
      <c r="E5249" t="s">
        <v>56</v>
      </c>
      <c r="F5249" t="s">
        <v>15</v>
      </c>
      <c r="G5249">
        <v>1.35</v>
      </c>
      <c r="H5249">
        <v>0.21</v>
      </c>
      <c r="I5249">
        <v>0.56999999999999995</v>
      </c>
      <c r="J5249">
        <v>0.32490000000000002</v>
      </c>
      <c r="K5249" t="str">
        <f>IFERROR(INDEX(Rosters!$C$2:$C$155,MATCH($B5249,Rosters!$B$2:$B$155,0)),"NA")</f>
        <v>NA</v>
      </c>
      <c r="L5249" t="str">
        <f t="shared" si="243"/>
        <v>NA4QB</v>
      </c>
      <c r="M5249">
        <f>COUNTIF(L$1:L5249,L5249)</f>
        <v>28</v>
      </c>
      <c r="N5249" t="str">
        <f t="shared" si="244"/>
        <v>NA4QB-28</v>
      </c>
      <c r="O5249">
        <f>COUNTIFS(F$1:F5249,F5249,A$1:A5249,A5249)</f>
        <v>43</v>
      </c>
      <c r="P5249" t="str">
        <f t="shared" si="245"/>
        <v>Trevor Siemian4</v>
      </c>
    </row>
    <row r="5250" spans="1:16" x14ac:dyDescent="0.25">
      <c r="A5250">
        <v>13</v>
      </c>
      <c r="B5250" t="s">
        <v>2889</v>
      </c>
      <c r="C5250" t="s">
        <v>8829</v>
      </c>
      <c r="D5250">
        <v>0.78</v>
      </c>
      <c r="E5250" t="s">
        <v>22</v>
      </c>
      <c r="F5250" t="s">
        <v>47</v>
      </c>
      <c r="G5250">
        <v>1.46</v>
      </c>
      <c r="H5250">
        <v>0.1</v>
      </c>
      <c r="I5250">
        <v>0.68</v>
      </c>
      <c r="J5250">
        <v>0.46239999999999998</v>
      </c>
      <c r="K5250" t="str">
        <f>IFERROR(INDEX(Rosters!$C$2:$C$155,MATCH($B5250,Rosters!$B$2:$B$155,0)),"NA")</f>
        <v>NA</v>
      </c>
      <c r="L5250" t="str">
        <f t="shared" si="243"/>
        <v>NA13RB</v>
      </c>
      <c r="M5250">
        <f>COUNTIF(L$1:L5250,L5250)</f>
        <v>47</v>
      </c>
      <c r="N5250" t="str">
        <f t="shared" si="244"/>
        <v>NA13RB-47</v>
      </c>
      <c r="O5250">
        <f>COUNTIFS(F$1:F5250,F5250,A$1:A5250,A5250)</f>
        <v>94</v>
      </c>
      <c r="P5250" t="str">
        <f t="shared" si="245"/>
        <v>Zach Line13</v>
      </c>
    </row>
    <row r="5251" spans="1:16" x14ac:dyDescent="0.25">
      <c r="A5251">
        <v>1</v>
      </c>
      <c r="B5251" t="s">
        <v>1116</v>
      </c>
      <c r="C5251" t="s">
        <v>1553</v>
      </c>
      <c r="D5251">
        <v>0.77</v>
      </c>
      <c r="E5251" t="s">
        <v>423</v>
      </c>
      <c r="F5251" t="s">
        <v>15</v>
      </c>
      <c r="G5251">
        <v>1.37</v>
      </c>
      <c r="H5251">
        <v>0.17</v>
      </c>
      <c r="I5251">
        <v>0.6</v>
      </c>
      <c r="J5251">
        <v>0.36</v>
      </c>
      <c r="K5251" t="str">
        <f>IFERROR(INDEX(Rosters!$C$2:$C$155,MATCH($B5251,Rosters!$B$2:$B$155,0)),"NA")</f>
        <v>NA</v>
      </c>
      <c r="L5251" t="str">
        <f t="shared" ref="L5251:L5314" si="246">K5251&amp;A5251&amp;F5251</f>
        <v>NA1QB</v>
      </c>
      <c r="M5251">
        <f>COUNTIF(L$1:L5251,L5251)</f>
        <v>24</v>
      </c>
      <c r="N5251" t="str">
        <f t="shared" ref="N5251:N5314" si="247">L5251&amp;"-"&amp;M5251</f>
        <v>NA1QB-24</v>
      </c>
      <c r="O5251">
        <f>COUNTIFS(F$1:F5251,F5251,A$1:A5251,A5251)</f>
        <v>40</v>
      </c>
      <c r="P5251" t="str">
        <f t="shared" ref="P5251:P5314" si="248">B5251&amp;A5251</f>
        <v>Brandon Weeden1</v>
      </c>
    </row>
    <row r="5252" spans="1:16" x14ac:dyDescent="0.25">
      <c r="A5252">
        <v>3</v>
      </c>
      <c r="B5252" t="s">
        <v>2926</v>
      </c>
      <c r="C5252">
        <f>-0.16-1.7</f>
        <v>-1.8599999999999999</v>
      </c>
      <c r="D5252">
        <v>0.77</v>
      </c>
      <c r="E5252" t="s">
        <v>41</v>
      </c>
      <c r="F5252" t="s">
        <v>87</v>
      </c>
      <c r="G5252">
        <v>1.7</v>
      </c>
      <c r="H5252">
        <v>-0.16</v>
      </c>
      <c r="I5252">
        <v>0.93</v>
      </c>
      <c r="J5252">
        <v>0.8649</v>
      </c>
      <c r="K5252" t="str">
        <f>IFERROR(INDEX(Rosters!$C$2:$C$155,MATCH($B5252,Rosters!$B$2:$B$155,0)),"NA")</f>
        <v>NA</v>
      </c>
      <c r="L5252" t="str">
        <f t="shared" si="246"/>
        <v>NA3WR</v>
      </c>
      <c r="M5252">
        <f>COUNTIF(L$1:L5252,L5252)</f>
        <v>66</v>
      </c>
      <c r="N5252" t="str">
        <f t="shared" si="247"/>
        <v>NA3WR-66</v>
      </c>
      <c r="O5252">
        <f>COUNTIFS(F$1:F5252,F5252,A$1:A5252,A5252)</f>
        <v>115</v>
      </c>
      <c r="P5252" t="str">
        <f t="shared" si="248"/>
        <v>Brian Quick3</v>
      </c>
    </row>
    <row r="5253" spans="1:16" x14ac:dyDescent="0.25">
      <c r="A5253">
        <v>3</v>
      </c>
      <c r="B5253" t="s">
        <v>304</v>
      </c>
      <c r="C5253">
        <f>-0.01-1.55</f>
        <v>-1.56</v>
      </c>
      <c r="D5253">
        <v>0.77</v>
      </c>
      <c r="E5253" t="s">
        <v>17</v>
      </c>
      <c r="F5253" t="s">
        <v>87</v>
      </c>
      <c r="G5253">
        <v>1.55</v>
      </c>
      <c r="H5253">
        <v>-0.01</v>
      </c>
      <c r="I5253">
        <v>0.78</v>
      </c>
      <c r="J5253">
        <v>0.60840000000000005</v>
      </c>
      <c r="K5253" t="str">
        <f>IFERROR(INDEX(Rosters!$C$2:$C$155,MATCH($B5253,Rosters!$B$2:$B$155,0)),"NA")</f>
        <v>NA</v>
      </c>
      <c r="L5253" t="str">
        <f t="shared" si="246"/>
        <v>NA3WR</v>
      </c>
      <c r="M5253">
        <f>COUNTIF(L$1:L5253,L5253)</f>
        <v>67</v>
      </c>
      <c r="N5253" t="str">
        <f t="shared" si="247"/>
        <v>NA3WR-67</v>
      </c>
      <c r="O5253">
        <f>COUNTIFS(F$1:F5253,F5253,A$1:A5253,A5253)</f>
        <v>116</v>
      </c>
      <c r="P5253" t="str">
        <f t="shared" si="248"/>
        <v>Darrius Heyward-Bey3</v>
      </c>
    </row>
    <row r="5254" spans="1:16" x14ac:dyDescent="0.25">
      <c r="A5254">
        <v>15</v>
      </c>
      <c r="B5254" t="s">
        <v>4234</v>
      </c>
      <c r="C5254" t="s">
        <v>4691</v>
      </c>
      <c r="D5254">
        <v>0.77</v>
      </c>
      <c r="E5254" t="s">
        <v>30</v>
      </c>
      <c r="F5254" t="s">
        <v>87</v>
      </c>
      <c r="G5254">
        <v>1.54</v>
      </c>
      <c r="H5254">
        <v>0</v>
      </c>
      <c r="I5254">
        <v>0.77</v>
      </c>
      <c r="J5254">
        <v>0.59289999999999998</v>
      </c>
      <c r="K5254" t="str">
        <f>IFERROR(INDEX(Rosters!$C$2:$C$155,MATCH($B5254,Rosters!$B$2:$B$155,0)),"NA")</f>
        <v>NA</v>
      </c>
      <c r="L5254" t="str">
        <f t="shared" si="246"/>
        <v>NA15WR</v>
      </c>
      <c r="M5254">
        <f>COUNTIF(L$1:L5254,L5254)</f>
        <v>70</v>
      </c>
      <c r="N5254" t="str">
        <f t="shared" si="247"/>
        <v>NA15WR-70</v>
      </c>
      <c r="O5254">
        <f>COUNTIFS(F$1:F5254,F5254,A$1:A5254,A5254)</f>
        <v>124</v>
      </c>
      <c r="P5254" t="str">
        <f t="shared" si="248"/>
        <v>David Moore15</v>
      </c>
    </row>
    <row r="5255" spans="1:16" x14ac:dyDescent="0.25">
      <c r="A5255">
        <v>3</v>
      </c>
      <c r="B5255" t="s">
        <v>91</v>
      </c>
      <c r="C5255" t="s">
        <v>3830</v>
      </c>
      <c r="D5255">
        <v>0.77</v>
      </c>
      <c r="E5255" t="s">
        <v>60</v>
      </c>
      <c r="F5255" t="s">
        <v>15</v>
      </c>
      <c r="G5255">
        <v>1.36</v>
      </c>
      <c r="H5255">
        <v>0.18</v>
      </c>
      <c r="I5255">
        <v>0.59</v>
      </c>
      <c r="J5255">
        <v>0.34810000000000002</v>
      </c>
      <c r="K5255" t="str">
        <f>IFERROR(INDEX(Rosters!$C$2:$C$155,MATCH($B5255,Rosters!$B$2:$B$155,0)),"NA")</f>
        <v>NA</v>
      </c>
      <c r="L5255" t="str">
        <f t="shared" si="246"/>
        <v>NA3QB</v>
      </c>
      <c r="M5255">
        <f>COUNTIF(L$1:L5255,L5255)</f>
        <v>27</v>
      </c>
      <c r="N5255" t="str">
        <f t="shared" si="247"/>
        <v>NA3QB-27</v>
      </c>
      <c r="O5255">
        <f>COUNTIFS(F$1:F5255,F5255,A$1:A5255,A5255)</f>
        <v>44</v>
      </c>
      <c r="P5255" t="str">
        <f t="shared" si="248"/>
        <v>DeShone Kizer3</v>
      </c>
    </row>
    <row r="5256" spans="1:16" x14ac:dyDescent="0.25">
      <c r="A5256">
        <v>8</v>
      </c>
      <c r="B5256" t="s">
        <v>1560</v>
      </c>
      <c r="C5256" t="s">
        <v>8830</v>
      </c>
      <c r="D5256">
        <v>0.77</v>
      </c>
      <c r="E5256" t="s">
        <v>50</v>
      </c>
      <c r="F5256" t="s">
        <v>87</v>
      </c>
      <c r="G5256">
        <v>1.48</v>
      </c>
      <c r="H5256">
        <v>0.06</v>
      </c>
      <c r="I5256">
        <v>0.71</v>
      </c>
      <c r="J5256">
        <v>0.50409999999999999</v>
      </c>
      <c r="K5256" t="str">
        <f>IFERROR(INDEX(Rosters!$C$2:$C$155,MATCH($B5256,Rosters!$B$2:$B$155,0)),"NA")</f>
        <v>NA</v>
      </c>
      <c r="L5256" t="str">
        <f t="shared" si="246"/>
        <v>NA8WR</v>
      </c>
      <c r="M5256">
        <f>COUNTIF(L$1:L5256,L5256)</f>
        <v>62</v>
      </c>
      <c r="N5256" t="str">
        <f t="shared" si="247"/>
        <v>NA8WR-62</v>
      </c>
      <c r="O5256">
        <f>COUNTIFS(F$1:F5256,F5256,A$1:A5256,A5256)</f>
        <v>111</v>
      </c>
      <c r="P5256" t="str">
        <f t="shared" si="248"/>
        <v>Jaydon Mickens8</v>
      </c>
    </row>
    <row r="5257" spans="1:16" x14ac:dyDescent="0.25">
      <c r="A5257">
        <v>10</v>
      </c>
      <c r="B5257" t="s">
        <v>1560</v>
      </c>
      <c r="C5257">
        <f>-0.15-1.69</f>
        <v>-1.8399999999999999</v>
      </c>
      <c r="D5257">
        <v>0.77</v>
      </c>
      <c r="E5257" t="s">
        <v>66</v>
      </c>
      <c r="F5257" t="s">
        <v>87</v>
      </c>
      <c r="G5257">
        <v>1.69</v>
      </c>
      <c r="H5257">
        <v>-0.15</v>
      </c>
      <c r="I5257">
        <v>0.92</v>
      </c>
      <c r="J5257">
        <v>0.84640000000000004</v>
      </c>
      <c r="K5257" t="str">
        <f>IFERROR(INDEX(Rosters!$C$2:$C$155,MATCH($B5257,Rosters!$B$2:$B$155,0)),"NA")</f>
        <v>NA</v>
      </c>
      <c r="L5257" t="str">
        <f t="shared" si="246"/>
        <v>NA10WR</v>
      </c>
      <c r="M5257">
        <f>COUNTIF(L$1:L5257,L5257)</f>
        <v>70</v>
      </c>
      <c r="N5257" t="str">
        <f t="shared" si="247"/>
        <v>NA10WR-70</v>
      </c>
      <c r="O5257">
        <f>COUNTIFS(F$1:F5257,F5257,A$1:A5257,A5257)</f>
        <v>115</v>
      </c>
      <c r="P5257" t="str">
        <f t="shared" si="248"/>
        <v>Jaydon Mickens10</v>
      </c>
    </row>
    <row r="5258" spans="1:16" x14ac:dyDescent="0.25">
      <c r="A5258">
        <v>17</v>
      </c>
      <c r="B5258" t="s">
        <v>1560</v>
      </c>
      <c r="C5258">
        <f>-0.17-1.71</f>
        <v>-1.88</v>
      </c>
      <c r="D5258">
        <v>0.77</v>
      </c>
      <c r="E5258" t="s">
        <v>36</v>
      </c>
      <c r="F5258" t="s">
        <v>87</v>
      </c>
      <c r="G5258">
        <v>1.71</v>
      </c>
      <c r="H5258">
        <v>-0.17</v>
      </c>
      <c r="I5258">
        <v>0.94</v>
      </c>
      <c r="J5258">
        <v>0.88360000000000005</v>
      </c>
      <c r="K5258" t="str">
        <f>IFERROR(INDEX(Rosters!$C$2:$C$155,MATCH($B5258,Rosters!$B$2:$B$155,0)),"NA")</f>
        <v>NA</v>
      </c>
      <c r="L5258" t="str">
        <f t="shared" si="246"/>
        <v>NA17WR</v>
      </c>
      <c r="M5258">
        <f>COUNTIF(L$1:L5258,L5258)</f>
        <v>75</v>
      </c>
      <c r="N5258" t="str">
        <f t="shared" si="247"/>
        <v>NA17WR-75</v>
      </c>
      <c r="O5258">
        <f>COUNTIFS(F$1:F5258,F5258,A$1:A5258,A5258)</f>
        <v>129</v>
      </c>
      <c r="P5258" t="str">
        <f t="shared" si="248"/>
        <v>Jaydon Mickens17</v>
      </c>
    </row>
    <row r="5259" spans="1:16" x14ac:dyDescent="0.25">
      <c r="A5259">
        <v>3</v>
      </c>
      <c r="B5259" t="s">
        <v>345</v>
      </c>
      <c r="C5259" t="s">
        <v>3831</v>
      </c>
      <c r="D5259">
        <v>0.77</v>
      </c>
      <c r="E5259" t="s">
        <v>14</v>
      </c>
      <c r="F5259" t="s">
        <v>15</v>
      </c>
      <c r="G5259">
        <v>1.42</v>
      </c>
      <c r="H5259">
        <v>0.12</v>
      </c>
      <c r="I5259">
        <v>0.65</v>
      </c>
      <c r="J5259">
        <v>0.42249999999999999</v>
      </c>
      <c r="K5259" t="str">
        <f>IFERROR(INDEX(Rosters!$C$2:$C$155,MATCH($B5259,Rosters!$B$2:$B$155,0)),"NA")</f>
        <v>NA</v>
      </c>
      <c r="L5259" t="str">
        <f t="shared" si="246"/>
        <v>NA3QB</v>
      </c>
      <c r="M5259">
        <f>COUNTIF(L$1:L5259,L5259)</f>
        <v>28</v>
      </c>
      <c r="N5259" t="str">
        <f t="shared" si="247"/>
        <v>NA3QB-28</v>
      </c>
      <c r="O5259">
        <f>COUNTIFS(F$1:F5259,F5259,A$1:A5259,A5259)</f>
        <v>45</v>
      </c>
      <c r="P5259" t="str">
        <f t="shared" si="248"/>
        <v>Matt Schaub3</v>
      </c>
    </row>
    <row r="5260" spans="1:16" x14ac:dyDescent="0.25">
      <c r="A5260">
        <v>11</v>
      </c>
      <c r="B5260" t="s">
        <v>1146</v>
      </c>
      <c r="C5260">
        <f>-0.05-1.59</f>
        <v>-1.6400000000000001</v>
      </c>
      <c r="D5260">
        <v>0.77</v>
      </c>
      <c r="E5260" t="s">
        <v>36</v>
      </c>
      <c r="F5260" t="s">
        <v>87</v>
      </c>
      <c r="G5260">
        <v>1.59</v>
      </c>
      <c r="H5260">
        <v>-0.05</v>
      </c>
      <c r="I5260">
        <v>0.82</v>
      </c>
      <c r="J5260">
        <v>0.6724</v>
      </c>
      <c r="K5260" t="str">
        <f>IFERROR(INDEX(Rosters!$C$2:$C$155,MATCH($B5260,Rosters!$B$2:$B$155,0)),"NA")</f>
        <v>NA</v>
      </c>
      <c r="L5260" t="str">
        <f t="shared" si="246"/>
        <v>NA11WR</v>
      </c>
      <c r="M5260">
        <f>COUNTIF(L$1:L5260,L5260)</f>
        <v>57</v>
      </c>
      <c r="N5260" t="str">
        <f t="shared" si="247"/>
        <v>NA11WR-57</v>
      </c>
      <c r="O5260">
        <f>COUNTIFS(F$1:F5260,F5260,A$1:A5260,A5260)</f>
        <v>104</v>
      </c>
      <c r="P5260" t="str">
        <f t="shared" si="248"/>
        <v>Maurice Harris11</v>
      </c>
    </row>
    <row r="5261" spans="1:16" x14ac:dyDescent="0.25">
      <c r="A5261">
        <v>9</v>
      </c>
      <c r="B5261" t="s">
        <v>8803</v>
      </c>
      <c r="C5261">
        <f>-0.01-1.55</f>
        <v>-1.56</v>
      </c>
      <c r="D5261">
        <v>0.77</v>
      </c>
      <c r="E5261" t="s">
        <v>34</v>
      </c>
      <c r="F5261" t="s">
        <v>47</v>
      </c>
      <c r="G5261">
        <v>1.55</v>
      </c>
      <c r="H5261">
        <v>-0.01</v>
      </c>
      <c r="I5261">
        <v>0.78</v>
      </c>
      <c r="J5261">
        <v>0.60840000000000005</v>
      </c>
      <c r="K5261" t="str">
        <f>IFERROR(INDEX(Rosters!$C$2:$C$155,MATCH($B5261,Rosters!$B$2:$B$155,0)),"NA")</f>
        <v>NA</v>
      </c>
      <c r="L5261" t="str">
        <f t="shared" si="246"/>
        <v>NA9RB</v>
      </c>
      <c r="M5261">
        <f>COUNTIF(L$1:L5261,L5261)</f>
        <v>37</v>
      </c>
      <c r="N5261" t="str">
        <f t="shared" si="247"/>
        <v>NA9RB-37</v>
      </c>
      <c r="O5261">
        <f>COUNTIFS(F$1:F5261,F5261,A$1:A5261,A5261)</f>
        <v>77</v>
      </c>
      <c r="P5261" t="str">
        <f t="shared" si="248"/>
        <v>Roc Thomas9</v>
      </c>
    </row>
    <row r="5262" spans="1:16" x14ac:dyDescent="0.25">
      <c r="A5262">
        <v>14</v>
      </c>
      <c r="B5262" t="s">
        <v>4656</v>
      </c>
      <c r="C5262" t="s">
        <v>8831</v>
      </c>
      <c r="D5262">
        <v>0.76</v>
      </c>
      <c r="E5262" t="s">
        <v>66</v>
      </c>
      <c r="F5262" t="s">
        <v>47</v>
      </c>
      <c r="G5262">
        <v>1.44</v>
      </c>
      <c r="H5262">
        <v>0.08</v>
      </c>
      <c r="I5262">
        <v>0.68</v>
      </c>
      <c r="J5262">
        <v>0.46239999999999998</v>
      </c>
      <c r="K5262" t="str">
        <f>IFERROR(INDEX(Rosters!$C$2:$C$155,MATCH($B5262,Rosters!$B$2:$B$155,0)),"NA")</f>
        <v>NA</v>
      </c>
      <c r="L5262" t="str">
        <f t="shared" si="246"/>
        <v>NA14RB</v>
      </c>
      <c r="M5262">
        <f>COUNTIF(L$1:L5262,L5262)</f>
        <v>47</v>
      </c>
      <c r="N5262" t="str">
        <f t="shared" si="247"/>
        <v>NA14RB-47</v>
      </c>
      <c r="O5262">
        <f>COUNTIFS(F$1:F5262,F5262,A$1:A5262,A5262)</f>
        <v>94</v>
      </c>
      <c r="P5262" t="str">
        <f t="shared" si="248"/>
        <v>Buddy Howell14</v>
      </c>
    </row>
    <row r="5263" spans="1:16" x14ac:dyDescent="0.25">
      <c r="A5263">
        <v>2</v>
      </c>
      <c r="B5263" t="s">
        <v>384</v>
      </c>
      <c r="C5263" t="s">
        <v>1156</v>
      </c>
      <c r="D5263">
        <v>0.76</v>
      </c>
      <c r="E5263" t="s">
        <v>28</v>
      </c>
      <c r="F5263" t="s">
        <v>15</v>
      </c>
      <c r="G5263">
        <v>1.31</v>
      </c>
      <c r="H5263">
        <v>0.21</v>
      </c>
      <c r="I5263">
        <v>0.55000000000000004</v>
      </c>
      <c r="J5263">
        <v>0.30249999999999999</v>
      </c>
      <c r="K5263" t="str">
        <f>IFERROR(INDEX(Rosters!$C$2:$C$155,MATCH($B5263,Rosters!$B$2:$B$155,0)),"NA")</f>
        <v>NA</v>
      </c>
      <c r="L5263" t="str">
        <f t="shared" si="246"/>
        <v>NA2QB</v>
      </c>
      <c r="M5263">
        <f>COUNTIF(L$1:L5263,L5263)</f>
        <v>25</v>
      </c>
      <c r="N5263" t="str">
        <f t="shared" si="247"/>
        <v>NA2QB-25</v>
      </c>
      <c r="O5263">
        <f>COUNTIFS(F$1:F5263,F5263,A$1:A5263,A5263)</f>
        <v>41</v>
      </c>
      <c r="P5263" t="str">
        <f t="shared" si="248"/>
        <v>Chase Daniel2</v>
      </c>
    </row>
    <row r="5264" spans="1:16" x14ac:dyDescent="0.25">
      <c r="A5264">
        <v>11</v>
      </c>
      <c r="B5264" t="s">
        <v>357</v>
      </c>
      <c r="C5264">
        <f>-0.03-1.55</f>
        <v>-1.58</v>
      </c>
      <c r="D5264">
        <v>0.76</v>
      </c>
      <c r="E5264" t="s">
        <v>31</v>
      </c>
      <c r="F5264" t="s">
        <v>87</v>
      </c>
      <c r="G5264">
        <v>1.55</v>
      </c>
      <c r="H5264">
        <v>-0.03</v>
      </c>
      <c r="I5264">
        <v>0.79</v>
      </c>
      <c r="J5264">
        <v>0.62409999999999999</v>
      </c>
      <c r="K5264" t="str">
        <f>IFERROR(INDEX(Rosters!$C$2:$C$155,MATCH($B5264,Rosters!$B$2:$B$155,0)),"NA")</f>
        <v>NA</v>
      </c>
      <c r="L5264" t="str">
        <f t="shared" si="246"/>
        <v>NA11WR</v>
      </c>
      <c r="M5264">
        <f>COUNTIF(L$1:L5264,L5264)</f>
        <v>58</v>
      </c>
      <c r="N5264" t="str">
        <f t="shared" si="247"/>
        <v>NA11WR-58</v>
      </c>
      <c r="O5264">
        <f>COUNTIFS(F$1:F5264,F5264,A$1:A5264,A5264)</f>
        <v>105</v>
      </c>
      <c r="P5264" t="str">
        <f t="shared" si="248"/>
        <v>Chris Moore11</v>
      </c>
    </row>
    <row r="5265" spans="1:16" x14ac:dyDescent="0.25">
      <c r="A5265">
        <v>6</v>
      </c>
      <c r="B5265" t="s">
        <v>331</v>
      </c>
      <c r="C5265" t="s">
        <v>1110</v>
      </c>
      <c r="D5265">
        <v>0.76</v>
      </c>
      <c r="E5265" t="s">
        <v>74</v>
      </c>
      <c r="F5265" t="s">
        <v>15</v>
      </c>
      <c r="G5265">
        <v>1.3</v>
      </c>
      <c r="H5265">
        <v>0.22</v>
      </c>
      <c r="I5265">
        <v>0.54</v>
      </c>
      <c r="J5265">
        <v>0.29160000000000003</v>
      </c>
      <c r="K5265" t="str">
        <f>IFERROR(INDEX(Rosters!$C$2:$C$155,MATCH($B5265,Rosters!$B$2:$B$155,0)),"NA")</f>
        <v>NA</v>
      </c>
      <c r="L5265" t="str">
        <f t="shared" si="246"/>
        <v>NA6QB</v>
      </c>
      <c r="M5265">
        <f>COUNTIF(L$1:L5265,L5265)</f>
        <v>32</v>
      </c>
      <c r="N5265" t="str">
        <f t="shared" si="247"/>
        <v>NA6QB-32</v>
      </c>
      <c r="O5265">
        <f>COUNTIFS(F$1:F5265,F5265,A$1:A5265,A5265)</f>
        <v>47</v>
      </c>
      <c r="P5265" t="str">
        <f t="shared" si="248"/>
        <v>Colt McCoy6</v>
      </c>
    </row>
    <row r="5266" spans="1:16" x14ac:dyDescent="0.25">
      <c r="A5266">
        <v>8</v>
      </c>
      <c r="B5266" t="s">
        <v>4729</v>
      </c>
      <c r="C5266">
        <f>-0.06-1.58</f>
        <v>-1.6400000000000001</v>
      </c>
      <c r="D5266">
        <v>0.76</v>
      </c>
      <c r="E5266" t="s">
        <v>24</v>
      </c>
      <c r="F5266" t="s">
        <v>87</v>
      </c>
      <c r="G5266">
        <v>1.58</v>
      </c>
      <c r="H5266">
        <v>-0.06</v>
      </c>
      <c r="I5266">
        <v>0.82</v>
      </c>
      <c r="J5266">
        <v>0.6724</v>
      </c>
      <c r="K5266" t="str">
        <f>IFERROR(INDEX(Rosters!$C$2:$C$155,MATCH($B5266,Rosters!$B$2:$B$155,0)),"NA")</f>
        <v>NA</v>
      </c>
      <c r="L5266" t="str">
        <f t="shared" si="246"/>
        <v>NA8WR</v>
      </c>
      <c r="M5266">
        <f>COUNTIF(L$1:L5266,L5266)</f>
        <v>63</v>
      </c>
      <c r="N5266" t="str">
        <f t="shared" si="247"/>
        <v>NA8WR-63</v>
      </c>
      <c r="O5266">
        <f>COUNTIFS(F$1:F5266,F5266,A$1:A5266,A5266)</f>
        <v>112</v>
      </c>
      <c r="P5266" t="str">
        <f t="shared" si="248"/>
        <v>DaeSean Hamilton8</v>
      </c>
    </row>
    <row r="5267" spans="1:16" x14ac:dyDescent="0.25">
      <c r="A5267">
        <v>6</v>
      </c>
      <c r="B5267" t="s">
        <v>304</v>
      </c>
      <c r="C5267">
        <f>-0.06-1.58</f>
        <v>-1.6400000000000001</v>
      </c>
      <c r="D5267">
        <v>0.76</v>
      </c>
      <c r="E5267" t="s">
        <v>31</v>
      </c>
      <c r="F5267" t="s">
        <v>87</v>
      </c>
      <c r="G5267">
        <v>1.58</v>
      </c>
      <c r="H5267">
        <v>-0.06</v>
      </c>
      <c r="I5267">
        <v>0.82</v>
      </c>
      <c r="J5267">
        <v>0.6724</v>
      </c>
      <c r="K5267" t="str">
        <f>IFERROR(INDEX(Rosters!$C$2:$C$155,MATCH($B5267,Rosters!$B$2:$B$155,0)),"NA")</f>
        <v>NA</v>
      </c>
      <c r="L5267" t="str">
        <f t="shared" si="246"/>
        <v>NA6WR</v>
      </c>
      <c r="M5267">
        <f>COUNTIF(L$1:L5267,L5267)</f>
        <v>72</v>
      </c>
      <c r="N5267" t="str">
        <f t="shared" si="247"/>
        <v>NA6WR-72</v>
      </c>
      <c r="O5267">
        <f>COUNTIFS(F$1:F5267,F5267,A$1:A5267,A5267)</f>
        <v>122</v>
      </c>
      <c r="P5267" t="str">
        <f t="shared" si="248"/>
        <v>Darrius Heyward-Bey6</v>
      </c>
    </row>
    <row r="5268" spans="1:16" x14ac:dyDescent="0.25">
      <c r="A5268">
        <v>4</v>
      </c>
      <c r="B5268" t="s">
        <v>8733</v>
      </c>
      <c r="C5268" t="s">
        <v>8832</v>
      </c>
      <c r="D5268">
        <v>0.76</v>
      </c>
      <c r="E5268" t="s">
        <v>38</v>
      </c>
      <c r="F5268" t="s">
        <v>87</v>
      </c>
      <c r="G5268">
        <v>1.48</v>
      </c>
      <c r="H5268">
        <v>0.04</v>
      </c>
      <c r="I5268">
        <v>0.72</v>
      </c>
      <c r="J5268">
        <v>0.51839999999999997</v>
      </c>
      <c r="K5268" t="str">
        <f>IFERROR(INDEX(Rosters!$C$2:$C$155,MATCH($B5268,Rosters!$B$2:$B$155,0)),"NA")</f>
        <v>NA</v>
      </c>
      <c r="L5268" t="str">
        <f t="shared" si="246"/>
        <v>NA4WR</v>
      </c>
      <c r="M5268">
        <f>COUNTIF(L$1:L5268,L5268)</f>
        <v>61</v>
      </c>
      <c r="N5268" t="str">
        <f t="shared" si="247"/>
        <v>NA4WR-61</v>
      </c>
      <c r="O5268">
        <f>COUNTIFS(F$1:F5268,F5268,A$1:A5268,A5268)</f>
        <v>111</v>
      </c>
      <c r="P5268" t="str">
        <f t="shared" si="248"/>
        <v>DeAndre Carter4</v>
      </c>
    </row>
    <row r="5269" spans="1:16" x14ac:dyDescent="0.25">
      <c r="A5269">
        <v>17</v>
      </c>
      <c r="B5269" t="s">
        <v>91</v>
      </c>
      <c r="C5269" t="s">
        <v>8833</v>
      </c>
      <c r="D5269">
        <v>0.76</v>
      </c>
      <c r="E5269" t="s">
        <v>34</v>
      </c>
      <c r="F5269" t="s">
        <v>15</v>
      </c>
      <c r="G5269">
        <v>1.42</v>
      </c>
      <c r="H5269">
        <v>0.1</v>
      </c>
      <c r="I5269">
        <v>0.66</v>
      </c>
      <c r="J5269">
        <v>0.43559999999999999</v>
      </c>
      <c r="K5269" t="str">
        <f>IFERROR(INDEX(Rosters!$C$2:$C$155,MATCH($B5269,Rosters!$B$2:$B$155,0)),"NA")</f>
        <v>NA</v>
      </c>
      <c r="L5269" t="str">
        <f t="shared" si="246"/>
        <v>NA17QB</v>
      </c>
      <c r="M5269">
        <f>COUNTIF(L$1:L5269,L5269)</f>
        <v>33</v>
      </c>
      <c r="N5269" t="str">
        <f t="shared" si="247"/>
        <v>NA17QB-33</v>
      </c>
      <c r="O5269">
        <f>COUNTIFS(F$1:F5269,F5269,A$1:A5269,A5269)</f>
        <v>50</v>
      </c>
      <c r="P5269" t="str">
        <f t="shared" si="248"/>
        <v>DeShone Kizer17</v>
      </c>
    </row>
    <row r="5270" spans="1:16" x14ac:dyDescent="0.25">
      <c r="A5270">
        <v>7</v>
      </c>
      <c r="B5270" t="s">
        <v>2765</v>
      </c>
      <c r="C5270">
        <f>-0.03-1.55</f>
        <v>-1.58</v>
      </c>
      <c r="D5270">
        <v>0.76</v>
      </c>
      <c r="E5270" t="s">
        <v>46</v>
      </c>
      <c r="F5270" t="s">
        <v>47</v>
      </c>
      <c r="G5270">
        <v>1.55</v>
      </c>
      <c r="H5270">
        <v>-0.03</v>
      </c>
      <c r="I5270">
        <v>0.79</v>
      </c>
      <c r="J5270">
        <v>0.62409999999999999</v>
      </c>
      <c r="K5270" t="str">
        <f>IFERROR(INDEX(Rosters!$C$2:$C$155,MATCH($B5270,Rosters!$B$2:$B$155,0)),"NA")</f>
        <v>NA</v>
      </c>
      <c r="L5270" t="str">
        <f t="shared" si="246"/>
        <v>NA7RB</v>
      </c>
      <c r="M5270">
        <f>COUNTIF(L$1:L5270,L5270)</f>
        <v>38</v>
      </c>
      <c r="N5270" t="str">
        <f t="shared" si="247"/>
        <v>NA7RB-38</v>
      </c>
      <c r="O5270">
        <f>COUNTIFS(F$1:F5270,F5270,A$1:A5270,A5270)</f>
        <v>79</v>
      </c>
      <c r="P5270" t="str">
        <f t="shared" si="248"/>
        <v>Elijhaa Penny7</v>
      </c>
    </row>
    <row r="5271" spans="1:16" x14ac:dyDescent="0.25">
      <c r="A5271">
        <v>7</v>
      </c>
      <c r="B5271" t="s">
        <v>1132</v>
      </c>
      <c r="C5271">
        <f>-0.06-1.58</f>
        <v>-1.6400000000000001</v>
      </c>
      <c r="D5271">
        <v>0.76</v>
      </c>
      <c r="E5271" t="s">
        <v>38</v>
      </c>
      <c r="F5271" t="s">
        <v>87</v>
      </c>
      <c r="G5271">
        <v>1.58</v>
      </c>
      <c r="H5271">
        <v>-0.06</v>
      </c>
      <c r="I5271">
        <v>0.82</v>
      </c>
      <c r="J5271">
        <v>0.6724</v>
      </c>
      <c r="K5271" t="str">
        <f>IFERROR(INDEX(Rosters!$C$2:$C$155,MATCH($B5271,Rosters!$B$2:$B$155,0)),"NA")</f>
        <v>NA</v>
      </c>
      <c r="L5271" t="str">
        <f t="shared" si="246"/>
        <v>NA7WR</v>
      </c>
      <c r="M5271">
        <f>COUNTIF(L$1:L5271,L5271)</f>
        <v>66</v>
      </c>
      <c r="N5271" t="str">
        <f t="shared" si="247"/>
        <v>NA7WR-66</v>
      </c>
      <c r="O5271">
        <f>COUNTIFS(F$1:F5271,F5271,A$1:A5271,A5271)</f>
        <v>111</v>
      </c>
      <c r="P5271" t="str">
        <f t="shared" si="248"/>
        <v>Geremy Davis7</v>
      </c>
    </row>
    <row r="5272" spans="1:16" x14ac:dyDescent="0.25">
      <c r="A5272">
        <v>2</v>
      </c>
      <c r="B5272" t="s">
        <v>1548</v>
      </c>
      <c r="C5272" t="s">
        <v>1110</v>
      </c>
      <c r="D5272">
        <v>0.76</v>
      </c>
      <c r="E5272" t="s">
        <v>66</v>
      </c>
      <c r="F5272" t="s">
        <v>114</v>
      </c>
      <c r="G5272">
        <v>1.3</v>
      </c>
      <c r="H5272">
        <v>0.22</v>
      </c>
      <c r="I5272">
        <v>0.54</v>
      </c>
      <c r="J5272">
        <v>0.29160000000000003</v>
      </c>
      <c r="K5272" t="str">
        <f>IFERROR(INDEX(Rosters!$C$2:$C$155,MATCH($B5272,Rosters!$B$2:$B$155,0)),"NA")</f>
        <v>NA</v>
      </c>
      <c r="L5272" t="str">
        <f t="shared" si="246"/>
        <v>NA2TE</v>
      </c>
      <c r="M5272">
        <f>COUNTIF(L$1:L5272,L5272)</f>
        <v>48</v>
      </c>
      <c r="N5272" t="str">
        <f t="shared" si="247"/>
        <v>NA2TE-48</v>
      </c>
      <c r="O5272">
        <f>COUNTIFS(F$1:F5272,F5272,A$1:A5272,A5272)</f>
        <v>61</v>
      </c>
      <c r="P5272" t="str">
        <f t="shared" si="248"/>
        <v>Jeremy Sprinkle2</v>
      </c>
    </row>
    <row r="5273" spans="1:16" x14ac:dyDescent="0.25">
      <c r="A5273">
        <v>12</v>
      </c>
      <c r="B5273" t="s">
        <v>4687</v>
      </c>
      <c r="C5273" t="s">
        <v>8833</v>
      </c>
      <c r="D5273">
        <v>0.76</v>
      </c>
      <c r="E5273" t="s">
        <v>54</v>
      </c>
      <c r="F5273" t="s">
        <v>47</v>
      </c>
      <c r="G5273">
        <v>1.42</v>
      </c>
      <c r="H5273">
        <v>0.1</v>
      </c>
      <c r="I5273">
        <v>0.66</v>
      </c>
      <c r="J5273">
        <v>0.43559999999999999</v>
      </c>
      <c r="K5273" t="str">
        <f>IFERROR(INDEX(Rosters!$C$2:$C$155,MATCH($B5273,Rosters!$B$2:$B$155,0)),"NA")</f>
        <v>NA</v>
      </c>
      <c r="L5273" t="str">
        <f t="shared" si="246"/>
        <v>NA12RB</v>
      </c>
      <c r="M5273">
        <f>COUNTIF(L$1:L5273,L5273)</f>
        <v>46</v>
      </c>
      <c r="N5273" t="str">
        <f t="shared" si="247"/>
        <v>NA12RB-46</v>
      </c>
      <c r="O5273">
        <f>COUNTIFS(F$1:F5273,F5273,A$1:A5273,A5273)</f>
        <v>91</v>
      </c>
      <c r="P5273" t="str">
        <f t="shared" si="248"/>
        <v>Josh Adams12</v>
      </c>
    </row>
    <row r="5274" spans="1:16" x14ac:dyDescent="0.25">
      <c r="A5274">
        <v>17</v>
      </c>
      <c r="B5274" t="s">
        <v>253</v>
      </c>
      <c r="C5274">
        <f>-0.28-1.8</f>
        <v>-2.08</v>
      </c>
      <c r="D5274">
        <v>0.76</v>
      </c>
      <c r="E5274" t="s">
        <v>17</v>
      </c>
      <c r="F5274" t="s">
        <v>87</v>
      </c>
      <c r="G5274">
        <v>1.8</v>
      </c>
      <c r="H5274">
        <v>-0.28000000000000003</v>
      </c>
      <c r="I5274">
        <v>1.04</v>
      </c>
      <c r="J5274">
        <v>1.0815999999999999</v>
      </c>
      <c r="K5274" t="str">
        <f>IFERROR(INDEX(Rosters!$C$2:$C$155,MATCH($B5274,Rosters!$B$2:$B$155,0)),"NA")</f>
        <v>NA</v>
      </c>
      <c r="L5274" t="str">
        <f t="shared" si="246"/>
        <v>NA17WR</v>
      </c>
      <c r="M5274">
        <f>COUNTIF(L$1:L5274,L5274)</f>
        <v>76</v>
      </c>
      <c r="N5274" t="str">
        <f t="shared" si="247"/>
        <v>NA17WR-76</v>
      </c>
      <c r="O5274">
        <f>COUNTIFS(F$1:F5274,F5274,A$1:A5274,A5274)</f>
        <v>130</v>
      </c>
      <c r="P5274" t="str">
        <f t="shared" si="248"/>
        <v>Justin Hardy17</v>
      </c>
    </row>
    <row r="5275" spans="1:16" x14ac:dyDescent="0.25">
      <c r="A5275">
        <v>17</v>
      </c>
      <c r="B5275" t="s">
        <v>8834</v>
      </c>
      <c r="C5275" t="s">
        <v>4692</v>
      </c>
      <c r="D5275">
        <v>0.76</v>
      </c>
      <c r="E5275" t="s">
        <v>46</v>
      </c>
      <c r="F5275" t="s">
        <v>87</v>
      </c>
      <c r="G5275">
        <v>1.5</v>
      </c>
      <c r="H5275">
        <v>0.02</v>
      </c>
      <c r="I5275">
        <v>0.74</v>
      </c>
      <c r="J5275">
        <v>0.54759999999999998</v>
      </c>
      <c r="K5275" t="str">
        <f>IFERROR(INDEX(Rosters!$C$2:$C$155,MATCH($B5275,Rosters!$B$2:$B$155,0)),"NA")</f>
        <v>NA</v>
      </c>
      <c r="L5275" t="str">
        <f t="shared" si="246"/>
        <v>NA17WR</v>
      </c>
      <c r="M5275">
        <f>COUNTIF(L$1:L5275,L5275)</f>
        <v>77</v>
      </c>
      <c r="N5275" t="str">
        <f t="shared" si="247"/>
        <v>NA17WR-77</v>
      </c>
      <c r="O5275">
        <f>COUNTIFS(F$1:F5275,F5275,A$1:A5275,A5275)</f>
        <v>131</v>
      </c>
      <c r="P5275" t="str">
        <f t="shared" si="248"/>
        <v>Justin Watson17</v>
      </c>
    </row>
    <row r="5276" spans="1:16" x14ac:dyDescent="0.25">
      <c r="A5276">
        <v>4</v>
      </c>
      <c r="B5276" t="s">
        <v>4215</v>
      </c>
      <c r="C5276">
        <f>-0.05-1.57</f>
        <v>-1.62</v>
      </c>
      <c r="D5276">
        <v>0.76</v>
      </c>
      <c r="E5276" t="s">
        <v>46</v>
      </c>
      <c r="F5276" t="s">
        <v>47</v>
      </c>
      <c r="G5276">
        <v>1.57</v>
      </c>
      <c r="H5276">
        <v>-0.05</v>
      </c>
      <c r="I5276">
        <v>0.81</v>
      </c>
      <c r="J5276">
        <v>0.65610000000000002</v>
      </c>
      <c r="K5276" t="str">
        <f>IFERROR(INDEX(Rosters!$C$2:$C$155,MATCH($B5276,Rosters!$B$2:$B$155,0)),"NA")</f>
        <v>NA</v>
      </c>
      <c r="L5276" t="str">
        <f t="shared" si="246"/>
        <v>NA4RB</v>
      </c>
      <c r="M5276">
        <f>COUNTIF(L$1:L5276,L5276)</f>
        <v>41</v>
      </c>
      <c r="N5276" t="str">
        <f t="shared" si="247"/>
        <v>NA4RB-41</v>
      </c>
      <c r="O5276">
        <f>COUNTIFS(F$1:F5276,F5276,A$1:A5276,A5276)</f>
        <v>80</v>
      </c>
      <c r="P5276" t="str">
        <f t="shared" si="248"/>
        <v>Mark Walton4</v>
      </c>
    </row>
    <row r="5277" spans="1:16" x14ac:dyDescent="0.25">
      <c r="A5277">
        <v>15</v>
      </c>
      <c r="B5277" t="s">
        <v>1526</v>
      </c>
      <c r="C5277" t="s">
        <v>8831</v>
      </c>
      <c r="D5277">
        <v>0.76</v>
      </c>
      <c r="E5277" t="s">
        <v>29</v>
      </c>
      <c r="F5277" t="s">
        <v>114</v>
      </c>
      <c r="G5277">
        <v>1.44</v>
      </c>
      <c r="H5277">
        <v>0.08</v>
      </c>
      <c r="I5277">
        <v>0.68</v>
      </c>
      <c r="J5277">
        <v>0.46239999999999998</v>
      </c>
      <c r="K5277" t="str">
        <f>IFERROR(INDEX(Rosters!$C$2:$C$155,MATCH($B5277,Rosters!$B$2:$B$155,0)),"NA")</f>
        <v>NA</v>
      </c>
      <c r="L5277" t="str">
        <f t="shared" si="246"/>
        <v>NA15TE</v>
      </c>
      <c r="M5277">
        <f>COUNTIF(L$1:L5277,L5277)</f>
        <v>56</v>
      </c>
      <c r="N5277" t="str">
        <f t="shared" si="247"/>
        <v>NA15TE-56</v>
      </c>
      <c r="O5277">
        <f>COUNTIFS(F$1:F5277,F5277,A$1:A5277,A5277)</f>
        <v>70</v>
      </c>
      <c r="P5277" t="str">
        <f t="shared" si="248"/>
        <v>Michael Roberts15</v>
      </c>
    </row>
    <row r="5278" spans="1:16" x14ac:dyDescent="0.25">
      <c r="A5278">
        <v>16</v>
      </c>
      <c r="B5278" t="s">
        <v>1526</v>
      </c>
      <c r="C5278" t="s">
        <v>8835</v>
      </c>
      <c r="D5278">
        <v>0.76</v>
      </c>
      <c r="E5278" t="s">
        <v>25</v>
      </c>
      <c r="F5278" t="s">
        <v>114</v>
      </c>
      <c r="G5278">
        <v>1.46</v>
      </c>
      <c r="H5278">
        <v>0.06</v>
      </c>
      <c r="I5278">
        <v>0.7</v>
      </c>
      <c r="J5278">
        <v>0.49</v>
      </c>
      <c r="K5278" t="str">
        <f>IFERROR(INDEX(Rosters!$C$2:$C$155,MATCH($B5278,Rosters!$B$2:$B$155,0)),"NA")</f>
        <v>NA</v>
      </c>
      <c r="L5278" t="str">
        <f t="shared" si="246"/>
        <v>NA16TE</v>
      </c>
      <c r="M5278">
        <f>COUNTIF(L$1:L5278,L5278)</f>
        <v>57</v>
      </c>
      <c r="N5278" t="str">
        <f t="shared" si="247"/>
        <v>NA16TE-57</v>
      </c>
      <c r="O5278">
        <f>COUNTIFS(F$1:F5278,F5278,A$1:A5278,A5278)</f>
        <v>71</v>
      </c>
      <c r="P5278" t="str">
        <f t="shared" si="248"/>
        <v>Michael Roberts16</v>
      </c>
    </row>
    <row r="5279" spans="1:16" x14ac:dyDescent="0.25">
      <c r="A5279">
        <v>9</v>
      </c>
      <c r="B5279" t="s">
        <v>4690</v>
      </c>
      <c r="C5279" t="s">
        <v>4692</v>
      </c>
      <c r="D5279">
        <v>0.76</v>
      </c>
      <c r="E5279" t="s">
        <v>34</v>
      </c>
      <c r="F5279" t="s">
        <v>47</v>
      </c>
      <c r="G5279">
        <v>1.5</v>
      </c>
      <c r="H5279">
        <v>0.02</v>
      </c>
      <c r="I5279">
        <v>0.74</v>
      </c>
      <c r="J5279">
        <v>0.54759999999999998</v>
      </c>
      <c r="K5279" t="str">
        <f>IFERROR(INDEX(Rosters!$C$2:$C$155,MATCH($B5279,Rosters!$B$2:$B$155,0)),"NA")</f>
        <v>NA</v>
      </c>
      <c r="L5279" t="str">
        <f t="shared" si="246"/>
        <v>NA9RB</v>
      </c>
      <c r="M5279">
        <f>COUNTIF(L$1:L5279,L5279)</f>
        <v>38</v>
      </c>
      <c r="N5279" t="str">
        <f t="shared" si="247"/>
        <v>NA9RB-38</v>
      </c>
      <c r="O5279">
        <f>COUNTIFS(F$1:F5279,F5279,A$1:A5279,A5279)</f>
        <v>78</v>
      </c>
      <c r="P5279" t="str">
        <f t="shared" si="248"/>
        <v>Mike Boone9</v>
      </c>
    </row>
    <row r="5280" spans="1:16" x14ac:dyDescent="0.25">
      <c r="A5280">
        <v>17</v>
      </c>
      <c r="B5280" t="s">
        <v>8786</v>
      </c>
      <c r="C5280">
        <f>-0.21-1.73</f>
        <v>-1.94</v>
      </c>
      <c r="D5280">
        <v>0.76</v>
      </c>
      <c r="E5280" t="s">
        <v>36</v>
      </c>
      <c r="F5280" t="s">
        <v>87</v>
      </c>
      <c r="G5280">
        <v>1.73</v>
      </c>
      <c r="H5280">
        <v>-0.21</v>
      </c>
      <c r="I5280">
        <v>0.97</v>
      </c>
      <c r="J5280">
        <v>0.94089999999999996</v>
      </c>
      <c r="K5280" t="str">
        <f>IFERROR(INDEX(Rosters!$C$2:$C$155,MATCH($B5280,Rosters!$B$2:$B$155,0)),"NA")</f>
        <v>NA</v>
      </c>
      <c r="L5280" t="str">
        <f t="shared" si="246"/>
        <v>NA17WR</v>
      </c>
      <c r="M5280">
        <f>COUNTIF(L$1:L5280,L5280)</f>
        <v>78</v>
      </c>
      <c r="N5280" t="str">
        <f t="shared" si="247"/>
        <v>NA17WR-78</v>
      </c>
      <c r="O5280">
        <f>COUNTIFS(F$1:F5280,F5280,A$1:A5280,A5280)</f>
        <v>132</v>
      </c>
      <c r="P5280" t="str">
        <f t="shared" si="248"/>
        <v>Rashad Greene17</v>
      </c>
    </row>
    <row r="5281" spans="1:16" x14ac:dyDescent="0.25">
      <c r="A5281">
        <v>5</v>
      </c>
      <c r="B5281" t="s">
        <v>347</v>
      </c>
      <c r="C5281" t="s">
        <v>8836</v>
      </c>
      <c r="D5281">
        <v>0.76</v>
      </c>
      <c r="E5281" t="s">
        <v>28</v>
      </c>
      <c r="F5281" t="s">
        <v>15</v>
      </c>
      <c r="G5281">
        <v>1.35</v>
      </c>
      <c r="H5281">
        <v>0.17</v>
      </c>
      <c r="I5281">
        <v>0.59</v>
      </c>
      <c r="J5281">
        <v>0.34810000000000002</v>
      </c>
      <c r="K5281" t="str">
        <f>IFERROR(INDEX(Rosters!$C$2:$C$155,MATCH($B5281,Rosters!$B$2:$B$155,0)),"NA")</f>
        <v>NA</v>
      </c>
      <c r="L5281" t="str">
        <f t="shared" si="246"/>
        <v>NA5QB</v>
      </c>
      <c r="M5281">
        <f>COUNTIF(L$1:L5281,L5281)</f>
        <v>29</v>
      </c>
      <c r="N5281" t="str">
        <f t="shared" si="247"/>
        <v>NA5QB-29</v>
      </c>
      <c r="O5281">
        <f>COUNTIFS(F$1:F5281,F5281,A$1:A5281,A5281)</f>
        <v>46</v>
      </c>
      <c r="P5281" t="str">
        <f t="shared" si="248"/>
        <v>Sean Mannion5</v>
      </c>
    </row>
    <row r="5282" spans="1:16" x14ac:dyDescent="0.25">
      <c r="A5282">
        <v>4</v>
      </c>
      <c r="B5282" t="s">
        <v>332</v>
      </c>
      <c r="C5282">
        <f>-0.19-1.71</f>
        <v>-1.9</v>
      </c>
      <c r="D5282">
        <v>0.76</v>
      </c>
      <c r="E5282" t="s">
        <v>423</v>
      </c>
      <c r="F5282" t="s">
        <v>47</v>
      </c>
      <c r="G5282">
        <v>1.71</v>
      </c>
      <c r="H5282">
        <v>-0.19</v>
      </c>
      <c r="I5282">
        <v>0.95</v>
      </c>
      <c r="J5282">
        <v>0.90249999999999997</v>
      </c>
      <c r="K5282" t="str">
        <f>IFERROR(INDEX(Rosters!$C$2:$C$155,MATCH($B5282,Rosters!$B$2:$B$155,0)),"NA")</f>
        <v>NA</v>
      </c>
      <c r="L5282" t="str">
        <f t="shared" si="246"/>
        <v>NA4RB</v>
      </c>
      <c r="M5282">
        <f>COUNTIF(L$1:L5282,L5282)</f>
        <v>42</v>
      </c>
      <c r="N5282" t="str">
        <f t="shared" si="247"/>
        <v>NA4RB-42</v>
      </c>
      <c r="O5282">
        <f>COUNTIFS(F$1:F5282,F5282,A$1:A5282,A5282)</f>
        <v>81</v>
      </c>
      <c r="P5282" t="str">
        <f t="shared" si="248"/>
        <v>Senorise Perry4</v>
      </c>
    </row>
    <row r="5283" spans="1:16" x14ac:dyDescent="0.25">
      <c r="A5283">
        <v>6</v>
      </c>
      <c r="B5283" t="s">
        <v>4703</v>
      </c>
      <c r="C5283">
        <f>-0.13-1.65</f>
        <v>-1.7799999999999998</v>
      </c>
      <c r="D5283">
        <v>0.76</v>
      </c>
      <c r="E5283" t="s">
        <v>38</v>
      </c>
      <c r="F5283" t="s">
        <v>87</v>
      </c>
      <c r="G5283">
        <v>1.65</v>
      </c>
      <c r="H5283">
        <v>-0.13</v>
      </c>
      <c r="I5283">
        <v>0.89</v>
      </c>
      <c r="J5283">
        <v>0.79210000000000003</v>
      </c>
      <c r="K5283" t="str">
        <f>IFERROR(INDEX(Rosters!$C$2:$C$155,MATCH($B5283,Rosters!$B$2:$B$155,0)),"NA")</f>
        <v>NA</v>
      </c>
      <c r="L5283" t="str">
        <f t="shared" si="246"/>
        <v>NA6WR</v>
      </c>
      <c r="M5283">
        <f>COUNTIF(L$1:L5283,L5283)</f>
        <v>73</v>
      </c>
      <c r="N5283" t="str">
        <f t="shared" si="247"/>
        <v>NA6WR-73</v>
      </c>
      <c r="O5283">
        <f>COUNTIFS(F$1:F5283,F5283,A$1:A5283,A5283)</f>
        <v>123</v>
      </c>
      <c r="P5283" t="str">
        <f t="shared" si="248"/>
        <v>Tim White6</v>
      </c>
    </row>
    <row r="5284" spans="1:16" x14ac:dyDescent="0.25">
      <c r="A5284">
        <v>8</v>
      </c>
      <c r="B5284" t="s">
        <v>1618</v>
      </c>
      <c r="C5284" t="s">
        <v>3832</v>
      </c>
      <c r="D5284">
        <v>0.76</v>
      </c>
      <c r="E5284" t="s">
        <v>34</v>
      </c>
      <c r="F5284" t="s">
        <v>47</v>
      </c>
      <c r="G5284">
        <v>1.45</v>
      </c>
      <c r="H5284">
        <v>7.0000000000000007E-2</v>
      </c>
      <c r="I5284">
        <v>0.69</v>
      </c>
      <c r="J5284">
        <v>0.47610000000000002</v>
      </c>
      <c r="K5284" t="str">
        <f>IFERROR(INDEX(Rosters!$C$2:$C$155,MATCH($B5284,Rosters!$B$2:$B$155,0)),"NA")</f>
        <v>NA</v>
      </c>
      <c r="L5284" t="str">
        <f t="shared" si="246"/>
        <v>NA8RB</v>
      </c>
      <c r="M5284">
        <f>COUNTIF(L$1:L5284,L5284)</f>
        <v>44</v>
      </c>
      <c r="N5284" t="str">
        <f t="shared" si="247"/>
        <v>NA8RB-44</v>
      </c>
      <c r="O5284">
        <f>COUNTIFS(F$1:F5284,F5284,A$1:A5284,A5284)</f>
        <v>84</v>
      </c>
      <c r="P5284" t="str">
        <f t="shared" si="248"/>
        <v>Tre Madden8</v>
      </c>
    </row>
    <row r="5285" spans="1:16" x14ac:dyDescent="0.25">
      <c r="A5285">
        <v>13</v>
      </c>
      <c r="B5285" t="s">
        <v>1618</v>
      </c>
      <c r="C5285" t="s">
        <v>8837</v>
      </c>
      <c r="D5285">
        <v>0.76</v>
      </c>
      <c r="E5285" t="s">
        <v>30</v>
      </c>
      <c r="F5285" t="s">
        <v>47</v>
      </c>
      <c r="G5285">
        <v>1.36</v>
      </c>
      <c r="H5285">
        <v>0.16</v>
      </c>
      <c r="I5285">
        <v>0.6</v>
      </c>
      <c r="J5285">
        <v>0.36</v>
      </c>
      <c r="K5285" t="str">
        <f>IFERROR(INDEX(Rosters!$C$2:$C$155,MATCH($B5285,Rosters!$B$2:$B$155,0)),"NA")</f>
        <v>NA</v>
      </c>
      <c r="L5285" t="str">
        <f t="shared" si="246"/>
        <v>NA13RB</v>
      </c>
      <c r="M5285">
        <f>COUNTIF(L$1:L5285,L5285)</f>
        <v>48</v>
      </c>
      <c r="N5285" t="str">
        <f t="shared" si="247"/>
        <v>NA13RB-48</v>
      </c>
      <c r="O5285">
        <f>COUNTIFS(F$1:F5285,F5285,A$1:A5285,A5285)</f>
        <v>95</v>
      </c>
      <c r="P5285" t="str">
        <f t="shared" si="248"/>
        <v>Tre Madden13</v>
      </c>
    </row>
    <row r="5286" spans="1:16" x14ac:dyDescent="0.25">
      <c r="A5286">
        <v>3</v>
      </c>
      <c r="B5286" t="s">
        <v>1131</v>
      </c>
      <c r="C5286">
        <f>-0.11-1.63</f>
        <v>-1.74</v>
      </c>
      <c r="D5286">
        <v>0.76</v>
      </c>
      <c r="E5286" t="s">
        <v>54</v>
      </c>
      <c r="F5286" t="s">
        <v>47</v>
      </c>
      <c r="G5286">
        <v>1.63</v>
      </c>
      <c r="H5286">
        <v>-0.11</v>
      </c>
      <c r="I5286">
        <v>0.87</v>
      </c>
      <c r="J5286">
        <v>0.75690000000000002</v>
      </c>
      <c r="K5286" t="str">
        <f>IFERROR(INDEX(Rosters!$C$2:$C$155,MATCH($B5286,Rosters!$B$2:$B$155,0)),"NA")</f>
        <v>NA</v>
      </c>
      <c r="L5286" t="str">
        <f t="shared" si="246"/>
        <v>NA3RB</v>
      </c>
      <c r="M5286">
        <f>COUNTIF(L$1:L5286,L5286)</f>
        <v>44</v>
      </c>
      <c r="N5286" t="str">
        <f t="shared" si="247"/>
        <v>NA3RB-44</v>
      </c>
      <c r="O5286">
        <f>COUNTIFS(F$1:F5286,F5286,A$1:A5286,A5286)</f>
        <v>83</v>
      </c>
      <c r="P5286" t="str">
        <f t="shared" si="248"/>
        <v>Tyler Ervin3</v>
      </c>
    </row>
    <row r="5287" spans="1:16" x14ac:dyDescent="0.25">
      <c r="A5287">
        <v>7</v>
      </c>
      <c r="B5287" t="s">
        <v>1131</v>
      </c>
      <c r="C5287">
        <f>-0.26-1.78</f>
        <v>-2.04</v>
      </c>
      <c r="D5287">
        <v>0.76</v>
      </c>
      <c r="E5287" t="s">
        <v>76</v>
      </c>
      <c r="F5287" t="s">
        <v>47</v>
      </c>
      <c r="G5287">
        <v>1.78</v>
      </c>
      <c r="H5287">
        <v>-0.26</v>
      </c>
      <c r="I5287">
        <v>1.02</v>
      </c>
      <c r="J5287">
        <v>1.0404</v>
      </c>
      <c r="K5287" t="str">
        <f>IFERROR(INDEX(Rosters!$C$2:$C$155,MATCH($B5287,Rosters!$B$2:$B$155,0)),"NA")</f>
        <v>NA</v>
      </c>
      <c r="L5287" t="str">
        <f t="shared" si="246"/>
        <v>NA7RB</v>
      </c>
      <c r="M5287">
        <f>COUNTIF(L$1:L5287,L5287)</f>
        <v>39</v>
      </c>
      <c r="N5287" t="str">
        <f t="shared" si="247"/>
        <v>NA7RB-39</v>
      </c>
      <c r="O5287">
        <f>COUNTIFS(F$1:F5287,F5287,A$1:A5287,A5287)</f>
        <v>80</v>
      </c>
      <c r="P5287" t="str">
        <f t="shared" si="248"/>
        <v>Tyler Ervin7</v>
      </c>
    </row>
    <row r="5288" spans="1:16" x14ac:dyDescent="0.25">
      <c r="A5288">
        <v>13</v>
      </c>
      <c r="B5288" t="s">
        <v>2661</v>
      </c>
      <c r="C5288">
        <f>-0.13-1.63</f>
        <v>-1.7599999999999998</v>
      </c>
      <c r="D5288">
        <v>0.75</v>
      </c>
      <c r="E5288" t="s">
        <v>14</v>
      </c>
      <c r="F5288" t="s">
        <v>87</v>
      </c>
      <c r="G5288">
        <v>1.63</v>
      </c>
      <c r="H5288">
        <v>-0.13</v>
      </c>
      <c r="I5288">
        <v>0.88</v>
      </c>
      <c r="J5288">
        <v>0.77439999999999998</v>
      </c>
      <c r="K5288" t="str">
        <f>IFERROR(INDEX(Rosters!$C$2:$C$155,MATCH($B5288,Rosters!$B$2:$B$155,0)),"NA")</f>
        <v>NA</v>
      </c>
      <c r="L5288" t="str">
        <f t="shared" si="246"/>
        <v>NA13WR</v>
      </c>
      <c r="M5288">
        <f>COUNTIF(L$1:L5288,L5288)</f>
        <v>75</v>
      </c>
      <c r="N5288" t="str">
        <f t="shared" si="247"/>
        <v>NA13WR-75</v>
      </c>
      <c r="O5288">
        <f>COUNTIFS(F$1:F5288,F5288,A$1:A5288,A5288)</f>
        <v>129</v>
      </c>
      <c r="P5288" t="str">
        <f t="shared" si="248"/>
        <v>Brice Butler13</v>
      </c>
    </row>
    <row r="5289" spans="1:16" x14ac:dyDescent="0.25">
      <c r="A5289">
        <v>6</v>
      </c>
      <c r="B5289" t="s">
        <v>1126</v>
      </c>
      <c r="C5289" t="s">
        <v>4694</v>
      </c>
      <c r="D5289">
        <v>0.75</v>
      </c>
      <c r="E5289" t="s">
        <v>66</v>
      </c>
      <c r="F5289" t="s">
        <v>87</v>
      </c>
      <c r="G5289">
        <v>1.47</v>
      </c>
      <c r="H5289">
        <v>0.03</v>
      </c>
      <c r="I5289">
        <v>0.72</v>
      </c>
      <c r="J5289">
        <v>0.51839999999999997</v>
      </c>
      <c r="K5289" t="str">
        <f>IFERROR(INDEX(Rosters!$C$2:$C$155,MATCH($B5289,Rosters!$B$2:$B$155,0)),"NA")</f>
        <v>NA</v>
      </c>
      <c r="L5289" t="str">
        <f t="shared" si="246"/>
        <v>NA6WR</v>
      </c>
      <c r="M5289">
        <f>COUNTIF(L$1:L5289,L5289)</f>
        <v>74</v>
      </c>
      <c r="N5289" t="str">
        <f t="shared" si="247"/>
        <v>NA6WR-74</v>
      </c>
      <c r="O5289">
        <f>COUNTIFS(F$1:F5289,F5289,A$1:A5289,A5289)</f>
        <v>124</v>
      </c>
      <c r="P5289" t="str">
        <f t="shared" si="248"/>
        <v>Charone Peake6</v>
      </c>
    </row>
    <row r="5290" spans="1:16" x14ac:dyDescent="0.25">
      <c r="A5290">
        <v>16</v>
      </c>
      <c r="B5290" t="s">
        <v>1126</v>
      </c>
      <c r="C5290" t="s">
        <v>8838</v>
      </c>
      <c r="D5290">
        <v>0.75</v>
      </c>
      <c r="E5290" t="s">
        <v>41</v>
      </c>
      <c r="F5290" t="s">
        <v>87</v>
      </c>
      <c r="G5290">
        <v>1.46</v>
      </c>
      <c r="H5290">
        <v>0.04</v>
      </c>
      <c r="I5290">
        <v>0.71</v>
      </c>
      <c r="J5290">
        <v>0.50409999999999999</v>
      </c>
      <c r="K5290" t="str">
        <f>IFERROR(INDEX(Rosters!$C$2:$C$155,MATCH($B5290,Rosters!$B$2:$B$155,0)),"NA")</f>
        <v>NA</v>
      </c>
      <c r="L5290" t="str">
        <f t="shared" si="246"/>
        <v>NA16WR</v>
      </c>
      <c r="M5290">
        <f>COUNTIF(L$1:L5290,L5290)</f>
        <v>73</v>
      </c>
      <c r="N5290" t="str">
        <f t="shared" si="247"/>
        <v>NA16WR-73</v>
      </c>
      <c r="O5290">
        <f>COUNTIFS(F$1:F5290,F5290,A$1:A5290,A5290)</f>
        <v>127</v>
      </c>
      <c r="P5290" t="str">
        <f t="shared" si="248"/>
        <v>Charone Peake16</v>
      </c>
    </row>
    <row r="5291" spans="1:16" x14ac:dyDescent="0.25">
      <c r="A5291">
        <v>1</v>
      </c>
      <c r="B5291" t="s">
        <v>384</v>
      </c>
      <c r="C5291" t="s">
        <v>1554</v>
      </c>
      <c r="D5291">
        <v>0.75</v>
      </c>
      <c r="E5291" t="s">
        <v>41</v>
      </c>
      <c r="F5291" t="s">
        <v>15</v>
      </c>
      <c r="G5291">
        <v>1.34</v>
      </c>
      <c r="H5291">
        <v>0.16</v>
      </c>
      <c r="I5291">
        <v>0.59</v>
      </c>
      <c r="J5291">
        <v>0.34810000000000002</v>
      </c>
      <c r="K5291" t="str">
        <f>IFERROR(INDEX(Rosters!$C$2:$C$155,MATCH($B5291,Rosters!$B$2:$B$155,0)),"NA")</f>
        <v>NA</v>
      </c>
      <c r="L5291" t="str">
        <f t="shared" si="246"/>
        <v>NA1QB</v>
      </c>
      <c r="M5291">
        <f>COUNTIF(L$1:L5291,L5291)</f>
        <v>25</v>
      </c>
      <c r="N5291" t="str">
        <f t="shared" si="247"/>
        <v>NA1QB-25</v>
      </c>
      <c r="O5291">
        <f>COUNTIFS(F$1:F5291,F5291,A$1:A5291,A5291)</f>
        <v>41</v>
      </c>
      <c r="P5291" t="str">
        <f t="shared" si="248"/>
        <v>Chase Daniel1</v>
      </c>
    </row>
    <row r="5292" spans="1:16" x14ac:dyDescent="0.25">
      <c r="A5292">
        <v>15</v>
      </c>
      <c r="B5292" t="s">
        <v>744</v>
      </c>
      <c r="C5292" t="s">
        <v>8839</v>
      </c>
      <c r="D5292">
        <v>0.75</v>
      </c>
      <c r="E5292" t="s">
        <v>60</v>
      </c>
      <c r="F5292" t="s">
        <v>15</v>
      </c>
      <c r="G5292">
        <v>1.35</v>
      </c>
      <c r="H5292">
        <v>0.15</v>
      </c>
      <c r="I5292">
        <v>0.6</v>
      </c>
      <c r="J5292">
        <v>0.36</v>
      </c>
      <c r="K5292" t="str">
        <f>IFERROR(INDEX(Rosters!$C$2:$C$155,MATCH($B5292,Rosters!$B$2:$B$155,0)),"NA")</f>
        <v>NA</v>
      </c>
      <c r="L5292" t="str">
        <f t="shared" si="246"/>
        <v>NA15QB</v>
      </c>
      <c r="M5292">
        <f>COUNTIF(L$1:L5292,L5292)</f>
        <v>32</v>
      </c>
      <c r="N5292" t="str">
        <f t="shared" si="247"/>
        <v>NA15QB-32</v>
      </c>
      <c r="O5292">
        <f>COUNTIFS(F$1:F5292,F5292,A$1:A5292,A5292)</f>
        <v>49</v>
      </c>
      <c r="P5292" t="str">
        <f t="shared" si="248"/>
        <v>Cody Kessler15</v>
      </c>
    </row>
    <row r="5293" spans="1:16" x14ac:dyDescent="0.25">
      <c r="A5293">
        <v>10</v>
      </c>
      <c r="B5293" t="s">
        <v>1550</v>
      </c>
      <c r="C5293" t="s">
        <v>8840</v>
      </c>
      <c r="D5293">
        <v>0.75</v>
      </c>
      <c r="E5293" t="s">
        <v>50</v>
      </c>
      <c r="F5293" t="s">
        <v>15</v>
      </c>
      <c r="G5293">
        <v>1.36</v>
      </c>
      <c r="H5293">
        <v>0.14000000000000001</v>
      </c>
      <c r="I5293">
        <v>0.61</v>
      </c>
      <c r="J5293">
        <v>0.37209999999999999</v>
      </c>
      <c r="K5293" t="str">
        <f>IFERROR(INDEX(Rosters!$C$2:$C$155,MATCH($B5293,Rosters!$B$2:$B$155,0)),"NA")</f>
        <v>NA</v>
      </c>
      <c r="L5293" t="str">
        <f t="shared" si="246"/>
        <v>NA10QB</v>
      </c>
      <c r="M5293">
        <f>COUNTIF(L$1:L5293,L5293)</f>
        <v>28</v>
      </c>
      <c r="N5293" t="str">
        <f t="shared" si="247"/>
        <v>NA10QB-28</v>
      </c>
      <c r="O5293">
        <f>COUNTIFS(F$1:F5293,F5293,A$1:A5293,A5293)</f>
        <v>44</v>
      </c>
      <c r="P5293" t="str">
        <f t="shared" si="248"/>
        <v>Cooper Rush10</v>
      </c>
    </row>
    <row r="5294" spans="1:16" x14ac:dyDescent="0.25">
      <c r="A5294">
        <v>3</v>
      </c>
      <c r="B5294" t="s">
        <v>361</v>
      </c>
      <c r="C5294">
        <f>-0.23-1.73</f>
        <v>-1.96</v>
      </c>
      <c r="D5294">
        <v>0.75</v>
      </c>
      <c r="E5294" t="s">
        <v>30</v>
      </c>
      <c r="F5294" t="s">
        <v>87</v>
      </c>
      <c r="G5294">
        <v>1.73</v>
      </c>
      <c r="H5294">
        <v>-0.23</v>
      </c>
      <c r="I5294">
        <v>0.98</v>
      </c>
      <c r="J5294">
        <v>0.96040000000000003</v>
      </c>
      <c r="K5294" t="str">
        <f>IFERROR(INDEX(Rosters!$C$2:$C$155,MATCH($B5294,Rosters!$B$2:$B$155,0)),"NA")</f>
        <v>NA</v>
      </c>
      <c r="L5294" t="str">
        <f t="shared" si="246"/>
        <v>NA3WR</v>
      </c>
      <c r="M5294">
        <f>COUNTIF(L$1:L5294,L5294)</f>
        <v>68</v>
      </c>
      <c r="N5294" t="str">
        <f t="shared" si="247"/>
        <v>NA3WR-68</v>
      </c>
      <c r="O5294">
        <f>COUNTIFS(F$1:F5294,F5294,A$1:A5294,A5294)</f>
        <v>117</v>
      </c>
      <c r="P5294" t="str">
        <f t="shared" si="248"/>
        <v>De'Anthony Thomas3</v>
      </c>
    </row>
    <row r="5295" spans="1:16" x14ac:dyDescent="0.25">
      <c r="A5295">
        <v>1</v>
      </c>
      <c r="B5295" t="s">
        <v>317</v>
      </c>
      <c r="C5295">
        <f>-0.08-1.58</f>
        <v>-1.6600000000000001</v>
      </c>
      <c r="D5295">
        <v>0.75</v>
      </c>
      <c r="E5295" t="s">
        <v>24</v>
      </c>
      <c r="F5295" t="s">
        <v>47</v>
      </c>
      <c r="G5295">
        <v>1.58</v>
      </c>
      <c r="H5295">
        <v>-0.08</v>
      </c>
      <c r="I5295">
        <v>0.83</v>
      </c>
      <c r="J5295">
        <v>0.68889999999999996</v>
      </c>
      <c r="K5295" t="str">
        <f>IFERROR(INDEX(Rosters!$C$2:$C$155,MATCH($B5295,Rosters!$B$2:$B$155,0)),"NA")</f>
        <v>NA</v>
      </c>
      <c r="L5295" t="str">
        <f t="shared" si="246"/>
        <v>NA1RB</v>
      </c>
      <c r="M5295">
        <f>COUNTIF(L$1:L5295,L5295)</f>
        <v>35</v>
      </c>
      <c r="N5295" t="str">
        <f t="shared" si="247"/>
        <v>NA1RB-35</v>
      </c>
      <c r="O5295">
        <f>COUNTIFS(F$1:F5295,F5295,A$1:A5295,A5295)</f>
        <v>77</v>
      </c>
      <c r="P5295" t="str">
        <f t="shared" si="248"/>
        <v>Derek Watt1</v>
      </c>
    </row>
    <row r="5296" spans="1:16" x14ac:dyDescent="0.25">
      <c r="A5296">
        <v>6</v>
      </c>
      <c r="B5296" t="s">
        <v>91</v>
      </c>
      <c r="C5296" t="s">
        <v>8841</v>
      </c>
      <c r="D5296">
        <v>0.75</v>
      </c>
      <c r="E5296" t="s">
        <v>30</v>
      </c>
      <c r="F5296" t="s">
        <v>15</v>
      </c>
      <c r="G5296">
        <v>1.39</v>
      </c>
      <c r="H5296">
        <v>0.11</v>
      </c>
      <c r="I5296">
        <v>0.64</v>
      </c>
      <c r="J5296">
        <v>0.40960000000000002</v>
      </c>
      <c r="K5296" t="str">
        <f>IFERROR(INDEX(Rosters!$C$2:$C$155,MATCH($B5296,Rosters!$B$2:$B$155,0)),"NA")</f>
        <v>NA</v>
      </c>
      <c r="L5296" t="str">
        <f t="shared" si="246"/>
        <v>NA6QB</v>
      </c>
      <c r="M5296">
        <f>COUNTIF(L$1:L5296,L5296)</f>
        <v>33</v>
      </c>
      <c r="N5296" t="str">
        <f t="shared" si="247"/>
        <v>NA6QB-33</v>
      </c>
      <c r="O5296">
        <f>COUNTIFS(F$1:F5296,F5296,A$1:A5296,A5296)</f>
        <v>48</v>
      </c>
      <c r="P5296" t="str">
        <f t="shared" si="248"/>
        <v>DeShone Kizer6</v>
      </c>
    </row>
    <row r="5297" spans="1:16" x14ac:dyDescent="0.25">
      <c r="A5297">
        <v>14</v>
      </c>
      <c r="B5297" t="s">
        <v>1516</v>
      </c>
      <c r="C5297" t="s">
        <v>4693</v>
      </c>
      <c r="D5297">
        <v>0.75</v>
      </c>
      <c r="E5297" t="s">
        <v>46</v>
      </c>
      <c r="F5297" t="s">
        <v>87</v>
      </c>
      <c r="G5297">
        <v>1.49</v>
      </c>
      <c r="H5297">
        <v>0.01</v>
      </c>
      <c r="I5297">
        <v>0.74</v>
      </c>
      <c r="J5297">
        <v>0.54759999999999998</v>
      </c>
      <c r="K5297" t="str">
        <f>IFERROR(INDEX(Rosters!$C$2:$C$155,MATCH($B5297,Rosters!$B$2:$B$155,0)),"NA")</f>
        <v>NA</v>
      </c>
      <c r="L5297" t="str">
        <f t="shared" si="246"/>
        <v>NA14WR</v>
      </c>
      <c r="M5297">
        <f>COUNTIF(L$1:L5297,L5297)</f>
        <v>73</v>
      </c>
      <c r="N5297" t="str">
        <f t="shared" si="247"/>
        <v>NA14WR-73</v>
      </c>
      <c r="O5297">
        <f>COUNTIFS(F$1:F5297,F5297,A$1:A5297,A5297)</f>
        <v>127</v>
      </c>
      <c r="P5297" t="str">
        <f t="shared" si="248"/>
        <v>J'Mon Moore14</v>
      </c>
    </row>
    <row r="5298" spans="1:16" x14ac:dyDescent="0.25">
      <c r="A5298">
        <v>16</v>
      </c>
      <c r="B5298" t="s">
        <v>1516</v>
      </c>
      <c r="C5298" t="s">
        <v>8842</v>
      </c>
      <c r="D5298">
        <v>0.75</v>
      </c>
      <c r="E5298" t="s">
        <v>73</v>
      </c>
      <c r="F5298" t="s">
        <v>87</v>
      </c>
      <c r="G5298">
        <v>1.41</v>
      </c>
      <c r="H5298">
        <v>0.09</v>
      </c>
      <c r="I5298">
        <v>0.66</v>
      </c>
      <c r="J5298">
        <v>0.43559999999999999</v>
      </c>
      <c r="K5298" t="str">
        <f>IFERROR(INDEX(Rosters!$C$2:$C$155,MATCH($B5298,Rosters!$B$2:$B$155,0)),"NA")</f>
        <v>NA</v>
      </c>
      <c r="L5298" t="str">
        <f t="shared" si="246"/>
        <v>NA16WR</v>
      </c>
      <c r="M5298">
        <f>COUNTIF(L$1:L5298,L5298)</f>
        <v>74</v>
      </c>
      <c r="N5298" t="str">
        <f t="shared" si="247"/>
        <v>NA16WR-74</v>
      </c>
      <c r="O5298">
        <f>COUNTIFS(F$1:F5298,F5298,A$1:A5298,A5298)</f>
        <v>128</v>
      </c>
      <c r="P5298" t="str">
        <f t="shared" si="248"/>
        <v>J'Mon Moore16</v>
      </c>
    </row>
    <row r="5299" spans="1:16" x14ac:dyDescent="0.25">
      <c r="A5299">
        <v>11</v>
      </c>
      <c r="B5299" t="s">
        <v>4687</v>
      </c>
      <c r="C5299">
        <f>-0.05-1.55</f>
        <v>-1.6</v>
      </c>
      <c r="D5299">
        <v>0.75</v>
      </c>
      <c r="E5299" t="s">
        <v>14</v>
      </c>
      <c r="F5299" t="s">
        <v>47</v>
      </c>
      <c r="G5299">
        <v>1.55</v>
      </c>
      <c r="H5299">
        <v>-0.05</v>
      </c>
      <c r="I5299">
        <v>0.8</v>
      </c>
      <c r="J5299">
        <v>0.64</v>
      </c>
      <c r="K5299" t="str">
        <f>IFERROR(INDEX(Rosters!$C$2:$C$155,MATCH($B5299,Rosters!$B$2:$B$155,0)),"NA")</f>
        <v>NA</v>
      </c>
      <c r="L5299" t="str">
        <f t="shared" si="246"/>
        <v>NA11RB</v>
      </c>
      <c r="M5299">
        <f>COUNTIF(L$1:L5299,L5299)</f>
        <v>37</v>
      </c>
      <c r="N5299" t="str">
        <f t="shared" si="247"/>
        <v>NA11RB-37</v>
      </c>
      <c r="O5299">
        <f>COUNTIFS(F$1:F5299,F5299,A$1:A5299,A5299)</f>
        <v>75</v>
      </c>
      <c r="P5299" t="str">
        <f t="shared" si="248"/>
        <v>Josh Adams11</v>
      </c>
    </row>
    <row r="5300" spans="1:16" x14ac:dyDescent="0.25">
      <c r="A5300">
        <v>8</v>
      </c>
      <c r="B5300" t="s">
        <v>359</v>
      </c>
      <c r="C5300">
        <f>-0.01-1.51</f>
        <v>-1.52</v>
      </c>
      <c r="D5300">
        <v>0.75</v>
      </c>
      <c r="E5300" t="s">
        <v>73</v>
      </c>
      <c r="F5300" t="s">
        <v>87</v>
      </c>
      <c r="G5300">
        <v>1.51</v>
      </c>
      <c r="H5300">
        <v>-0.01</v>
      </c>
      <c r="I5300">
        <v>0.76</v>
      </c>
      <c r="J5300">
        <v>0.5776</v>
      </c>
      <c r="K5300" t="str">
        <f>IFERROR(INDEX(Rosters!$C$2:$C$155,MATCH($B5300,Rosters!$B$2:$B$155,0)),"NA")</f>
        <v>NA</v>
      </c>
      <c r="L5300" t="str">
        <f t="shared" si="246"/>
        <v>NA8WR</v>
      </c>
      <c r="M5300">
        <f>COUNTIF(L$1:L5300,L5300)</f>
        <v>64</v>
      </c>
      <c r="N5300" t="str">
        <f t="shared" si="247"/>
        <v>NA8WR-64</v>
      </c>
      <c r="O5300">
        <f>COUNTIFS(F$1:F5300,F5300,A$1:A5300,A5300)</f>
        <v>113</v>
      </c>
      <c r="P5300" t="str">
        <f t="shared" si="248"/>
        <v>Josh Bellamy8</v>
      </c>
    </row>
    <row r="5301" spans="1:16" x14ac:dyDescent="0.25">
      <c r="A5301">
        <v>7</v>
      </c>
      <c r="B5301" t="s">
        <v>253</v>
      </c>
      <c r="C5301">
        <f>-0.31-1.81</f>
        <v>-2.12</v>
      </c>
      <c r="D5301">
        <v>0.75</v>
      </c>
      <c r="E5301" t="s">
        <v>54</v>
      </c>
      <c r="F5301" t="s">
        <v>87</v>
      </c>
      <c r="G5301">
        <v>1.81</v>
      </c>
      <c r="H5301">
        <v>-0.31</v>
      </c>
      <c r="I5301">
        <v>1.06</v>
      </c>
      <c r="J5301">
        <v>1.1235999999999999</v>
      </c>
      <c r="K5301" t="str">
        <f>IFERROR(INDEX(Rosters!$C$2:$C$155,MATCH($B5301,Rosters!$B$2:$B$155,0)),"NA")</f>
        <v>NA</v>
      </c>
      <c r="L5301" t="str">
        <f t="shared" si="246"/>
        <v>NA7WR</v>
      </c>
      <c r="M5301">
        <f>COUNTIF(L$1:L5301,L5301)</f>
        <v>67</v>
      </c>
      <c r="N5301" t="str">
        <f t="shared" si="247"/>
        <v>NA7WR-67</v>
      </c>
      <c r="O5301">
        <f>COUNTIFS(F$1:F5301,F5301,A$1:A5301,A5301)</f>
        <v>112</v>
      </c>
      <c r="P5301" t="str">
        <f t="shared" si="248"/>
        <v>Justin Hardy7</v>
      </c>
    </row>
    <row r="5302" spans="1:16" x14ac:dyDescent="0.25">
      <c r="A5302">
        <v>13</v>
      </c>
      <c r="B5302" t="s">
        <v>4238</v>
      </c>
      <c r="C5302">
        <f>-0.08-1.58</f>
        <v>-1.6600000000000001</v>
      </c>
      <c r="D5302">
        <v>0.75</v>
      </c>
      <c r="E5302" t="s">
        <v>32</v>
      </c>
      <c r="F5302" t="s">
        <v>87</v>
      </c>
      <c r="G5302">
        <v>1.58</v>
      </c>
      <c r="H5302">
        <v>-0.08</v>
      </c>
      <c r="I5302">
        <v>0.83</v>
      </c>
      <c r="J5302">
        <v>0.68889999999999996</v>
      </c>
      <c r="K5302" t="str">
        <f>IFERROR(INDEX(Rosters!$C$2:$C$155,MATCH($B5302,Rosters!$B$2:$B$155,0)),"NA")</f>
        <v>NA</v>
      </c>
      <c r="L5302" t="str">
        <f t="shared" si="246"/>
        <v>NA13WR</v>
      </c>
      <c r="M5302">
        <f>COUNTIF(L$1:L5302,L5302)</f>
        <v>76</v>
      </c>
      <c r="N5302" t="str">
        <f t="shared" si="247"/>
        <v>NA13WR-76</v>
      </c>
      <c r="O5302">
        <f>COUNTIFS(F$1:F5302,F5302,A$1:A5302,A5302)</f>
        <v>130</v>
      </c>
      <c r="P5302" t="str">
        <f t="shared" si="248"/>
        <v>Marcus Kemp13</v>
      </c>
    </row>
    <row r="5303" spans="1:16" x14ac:dyDescent="0.25">
      <c r="A5303">
        <v>7</v>
      </c>
      <c r="B5303" t="s">
        <v>1526</v>
      </c>
      <c r="C5303" t="s">
        <v>3833</v>
      </c>
      <c r="D5303">
        <v>0.75</v>
      </c>
      <c r="E5303" t="s">
        <v>19</v>
      </c>
      <c r="F5303" t="s">
        <v>114</v>
      </c>
      <c r="G5303">
        <v>1.37</v>
      </c>
      <c r="H5303">
        <v>0.13</v>
      </c>
      <c r="I5303">
        <v>0.62</v>
      </c>
      <c r="J5303">
        <v>0.38440000000000002</v>
      </c>
      <c r="K5303" t="str">
        <f>IFERROR(INDEX(Rosters!$C$2:$C$155,MATCH($B5303,Rosters!$B$2:$B$155,0)),"NA")</f>
        <v>NA</v>
      </c>
      <c r="L5303" t="str">
        <f t="shared" si="246"/>
        <v>NA7TE</v>
      </c>
      <c r="M5303">
        <f>COUNTIF(L$1:L5303,L5303)</f>
        <v>51</v>
      </c>
      <c r="N5303" t="str">
        <f t="shared" si="247"/>
        <v>NA7TE-51</v>
      </c>
      <c r="O5303">
        <f>COUNTIFS(F$1:F5303,F5303,A$1:A5303,A5303)</f>
        <v>61</v>
      </c>
      <c r="P5303" t="str">
        <f t="shared" si="248"/>
        <v>Michael Roberts7</v>
      </c>
    </row>
    <row r="5304" spans="1:16" x14ac:dyDescent="0.25">
      <c r="A5304">
        <v>15</v>
      </c>
      <c r="B5304" t="s">
        <v>8803</v>
      </c>
      <c r="C5304">
        <f>-0.03-1.53</f>
        <v>-1.56</v>
      </c>
      <c r="D5304">
        <v>0.75</v>
      </c>
      <c r="E5304" t="s">
        <v>19</v>
      </c>
      <c r="F5304" t="s">
        <v>47</v>
      </c>
      <c r="G5304">
        <v>1.53</v>
      </c>
      <c r="H5304">
        <v>-0.03</v>
      </c>
      <c r="I5304">
        <v>0.78</v>
      </c>
      <c r="J5304">
        <v>0.60840000000000005</v>
      </c>
      <c r="K5304" t="str">
        <f>IFERROR(INDEX(Rosters!$C$2:$C$155,MATCH($B5304,Rosters!$B$2:$B$155,0)),"NA")</f>
        <v>NA</v>
      </c>
      <c r="L5304" t="str">
        <f t="shared" si="246"/>
        <v>NA15RB</v>
      </c>
      <c r="M5304">
        <f>COUNTIF(L$1:L5304,L5304)</f>
        <v>46</v>
      </c>
      <c r="N5304" t="str">
        <f t="shared" si="247"/>
        <v>NA15RB-46</v>
      </c>
      <c r="O5304">
        <f>COUNTIFS(F$1:F5304,F5304,A$1:A5304,A5304)</f>
        <v>93</v>
      </c>
      <c r="P5304" t="str">
        <f t="shared" si="248"/>
        <v>Roc Thomas15</v>
      </c>
    </row>
    <row r="5305" spans="1:16" x14ac:dyDescent="0.25">
      <c r="A5305">
        <v>3</v>
      </c>
      <c r="B5305" t="s">
        <v>347</v>
      </c>
      <c r="C5305" t="s">
        <v>3835</v>
      </c>
      <c r="D5305">
        <v>0.75</v>
      </c>
      <c r="E5305" t="s">
        <v>37</v>
      </c>
      <c r="F5305" t="s">
        <v>15</v>
      </c>
      <c r="G5305">
        <v>1.25</v>
      </c>
      <c r="H5305">
        <v>0.25</v>
      </c>
      <c r="I5305">
        <v>0.5</v>
      </c>
      <c r="J5305">
        <v>0.25</v>
      </c>
      <c r="K5305" t="str">
        <f>IFERROR(INDEX(Rosters!$C$2:$C$155,MATCH($B5305,Rosters!$B$2:$B$155,0)),"NA")</f>
        <v>NA</v>
      </c>
      <c r="L5305" t="str">
        <f t="shared" si="246"/>
        <v>NA3QB</v>
      </c>
      <c r="M5305">
        <f>COUNTIF(L$1:L5305,L5305)</f>
        <v>29</v>
      </c>
      <c r="N5305" t="str">
        <f t="shared" si="247"/>
        <v>NA3QB-29</v>
      </c>
      <c r="O5305">
        <f>COUNTIFS(F$1:F5305,F5305,A$1:A5305,A5305)</f>
        <v>46</v>
      </c>
      <c r="P5305" t="str">
        <f t="shared" si="248"/>
        <v>Sean Mannion3</v>
      </c>
    </row>
    <row r="5306" spans="1:16" x14ac:dyDescent="0.25">
      <c r="A5306">
        <v>15</v>
      </c>
      <c r="B5306" t="s">
        <v>4703</v>
      </c>
      <c r="C5306" t="s">
        <v>3834</v>
      </c>
      <c r="D5306">
        <v>0.75</v>
      </c>
      <c r="E5306" t="s">
        <v>17</v>
      </c>
      <c r="F5306" t="s">
        <v>87</v>
      </c>
      <c r="G5306">
        <v>1.45</v>
      </c>
      <c r="H5306">
        <v>0.05</v>
      </c>
      <c r="I5306">
        <v>0.7</v>
      </c>
      <c r="J5306">
        <v>0.49</v>
      </c>
      <c r="K5306" t="str">
        <f>IFERROR(INDEX(Rosters!$C$2:$C$155,MATCH($B5306,Rosters!$B$2:$B$155,0)),"NA")</f>
        <v>NA</v>
      </c>
      <c r="L5306" t="str">
        <f t="shared" si="246"/>
        <v>NA15WR</v>
      </c>
      <c r="M5306">
        <f>COUNTIF(L$1:L5306,L5306)</f>
        <v>71</v>
      </c>
      <c r="N5306" t="str">
        <f t="shared" si="247"/>
        <v>NA15WR-71</v>
      </c>
      <c r="O5306">
        <f>COUNTIFS(F$1:F5306,F5306,A$1:A5306,A5306)</f>
        <v>125</v>
      </c>
      <c r="P5306" t="str">
        <f t="shared" si="248"/>
        <v>Tim White15</v>
      </c>
    </row>
    <row r="5307" spans="1:16" x14ac:dyDescent="0.25">
      <c r="A5307">
        <v>11</v>
      </c>
      <c r="B5307" t="s">
        <v>4243</v>
      </c>
      <c r="C5307">
        <f>-0.19-1.69</f>
        <v>-1.88</v>
      </c>
      <c r="D5307">
        <v>0.75</v>
      </c>
      <c r="E5307" t="s">
        <v>36</v>
      </c>
      <c r="F5307" t="s">
        <v>87</v>
      </c>
      <c r="G5307">
        <v>1.69</v>
      </c>
      <c r="H5307">
        <v>-0.19</v>
      </c>
      <c r="I5307">
        <v>0.94</v>
      </c>
      <c r="J5307">
        <v>0.88360000000000005</v>
      </c>
      <c r="K5307" t="str">
        <f>IFERROR(INDEX(Rosters!$C$2:$C$155,MATCH($B5307,Rosters!$B$2:$B$155,0)),"NA")</f>
        <v>NA</v>
      </c>
      <c r="L5307" t="str">
        <f t="shared" si="246"/>
        <v>NA11WR</v>
      </c>
      <c r="M5307">
        <f>COUNTIF(L$1:L5307,L5307)</f>
        <v>59</v>
      </c>
      <c r="N5307" t="str">
        <f t="shared" si="247"/>
        <v>NA11WR-59</v>
      </c>
      <c r="O5307">
        <f>COUNTIFS(F$1:F5307,F5307,A$1:A5307,A5307)</f>
        <v>106</v>
      </c>
      <c r="P5307" t="str">
        <f t="shared" si="248"/>
        <v>Trey Quinn11</v>
      </c>
    </row>
    <row r="5308" spans="1:16" x14ac:dyDescent="0.25">
      <c r="A5308">
        <v>7</v>
      </c>
      <c r="B5308" t="s">
        <v>1627</v>
      </c>
      <c r="C5308" t="s">
        <v>8843</v>
      </c>
      <c r="D5308">
        <v>0.74</v>
      </c>
      <c r="E5308" t="s">
        <v>37</v>
      </c>
      <c r="F5308" t="s">
        <v>15</v>
      </c>
      <c r="G5308">
        <v>1.39</v>
      </c>
      <c r="H5308">
        <v>0.09</v>
      </c>
      <c r="I5308">
        <v>0.65</v>
      </c>
      <c r="J5308">
        <v>0.42249999999999999</v>
      </c>
      <c r="K5308" t="str">
        <f>IFERROR(INDEX(Rosters!$C$2:$C$155,MATCH($B5308,Rosters!$B$2:$B$155,0)),"NA")</f>
        <v>NA</v>
      </c>
      <c r="L5308" t="str">
        <f t="shared" si="246"/>
        <v>NA7QB</v>
      </c>
      <c r="M5308">
        <f>COUNTIF(L$1:L5308,L5308)</f>
        <v>32</v>
      </c>
      <c r="N5308" t="str">
        <f t="shared" si="247"/>
        <v>NA7QB-32</v>
      </c>
      <c r="O5308">
        <f>COUNTIFS(F$1:F5308,F5308,A$1:A5308,A5308)</f>
        <v>46</v>
      </c>
      <c r="P5308" t="str">
        <f t="shared" si="248"/>
        <v>Blaine Gabbert7</v>
      </c>
    </row>
    <row r="5309" spans="1:16" x14ac:dyDescent="0.25">
      <c r="A5309">
        <v>15</v>
      </c>
      <c r="B5309" t="s">
        <v>2661</v>
      </c>
      <c r="C5309">
        <f>-0.15-1.63</f>
        <v>-1.7799999999999998</v>
      </c>
      <c r="D5309">
        <v>0.74</v>
      </c>
      <c r="E5309" t="s">
        <v>66</v>
      </c>
      <c r="F5309" t="s">
        <v>87</v>
      </c>
      <c r="G5309">
        <v>1.63</v>
      </c>
      <c r="H5309">
        <v>-0.15</v>
      </c>
      <c r="I5309">
        <v>0.89</v>
      </c>
      <c r="J5309">
        <v>0.79210000000000003</v>
      </c>
      <c r="K5309" t="str">
        <f>IFERROR(INDEX(Rosters!$C$2:$C$155,MATCH($B5309,Rosters!$B$2:$B$155,0)),"NA")</f>
        <v>NA</v>
      </c>
      <c r="L5309" t="str">
        <f t="shared" si="246"/>
        <v>NA15WR</v>
      </c>
      <c r="M5309">
        <f>COUNTIF(L$1:L5309,L5309)</f>
        <v>72</v>
      </c>
      <c r="N5309" t="str">
        <f t="shared" si="247"/>
        <v>NA15WR-72</v>
      </c>
      <c r="O5309">
        <f>COUNTIFS(F$1:F5309,F5309,A$1:A5309,A5309)</f>
        <v>126</v>
      </c>
      <c r="P5309" t="str">
        <f t="shared" si="248"/>
        <v>Brice Butler15</v>
      </c>
    </row>
    <row r="5310" spans="1:16" x14ac:dyDescent="0.25">
      <c r="A5310">
        <v>9</v>
      </c>
      <c r="B5310" t="s">
        <v>357</v>
      </c>
      <c r="C5310">
        <f>-0.05-1.53</f>
        <v>-1.58</v>
      </c>
      <c r="D5310">
        <v>0.74</v>
      </c>
      <c r="E5310" t="s">
        <v>51</v>
      </c>
      <c r="F5310" t="s">
        <v>87</v>
      </c>
      <c r="G5310">
        <v>1.53</v>
      </c>
      <c r="H5310">
        <v>-0.05</v>
      </c>
      <c r="I5310">
        <v>0.79</v>
      </c>
      <c r="J5310">
        <v>0.62409999999999999</v>
      </c>
      <c r="K5310" t="str">
        <f>IFERROR(INDEX(Rosters!$C$2:$C$155,MATCH($B5310,Rosters!$B$2:$B$155,0)),"NA")</f>
        <v>NA</v>
      </c>
      <c r="L5310" t="str">
        <f t="shared" si="246"/>
        <v>NA9WR</v>
      </c>
      <c r="M5310">
        <f>COUNTIF(L$1:L5310,L5310)</f>
        <v>65</v>
      </c>
      <c r="N5310" t="str">
        <f t="shared" si="247"/>
        <v>NA9WR-65</v>
      </c>
      <c r="O5310">
        <f>COUNTIFS(F$1:F5310,F5310,A$1:A5310,A5310)</f>
        <v>109</v>
      </c>
      <c r="P5310" t="str">
        <f t="shared" si="248"/>
        <v>Chris Moore9</v>
      </c>
    </row>
    <row r="5311" spans="1:16" x14ac:dyDescent="0.25">
      <c r="A5311">
        <v>16</v>
      </c>
      <c r="B5311" t="s">
        <v>357</v>
      </c>
      <c r="C5311">
        <f>-0.08-1.56</f>
        <v>-1.6400000000000001</v>
      </c>
      <c r="D5311">
        <v>0.74</v>
      </c>
      <c r="E5311" t="s">
        <v>37</v>
      </c>
      <c r="F5311" t="s">
        <v>87</v>
      </c>
      <c r="G5311">
        <v>1.56</v>
      </c>
      <c r="H5311">
        <v>-0.08</v>
      </c>
      <c r="I5311">
        <v>0.82</v>
      </c>
      <c r="J5311">
        <v>0.6724</v>
      </c>
      <c r="K5311" t="str">
        <f>IFERROR(INDEX(Rosters!$C$2:$C$155,MATCH($B5311,Rosters!$B$2:$B$155,0)),"NA")</f>
        <v>NA</v>
      </c>
      <c r="L5311" t="str">
        <f t="shared" si="246"/>
        <v>NA16WR</v>
      </c>
      <c r="M5311">
        <f>COUNTIF(L$1:L5311,L5311)</f>
        <v>75</v>
      </c>
      <c r="N5311" t="str">
        <f t="shared" si="247"/>
        <v>NA16WR-75</v>
      </c>
      <c r="O5311">
        <f>COUNTIFS(F$1:F5311,F5311,A$1:A5311,A5311)</f>
        <v>129</v>
      </c>
      <c r="P5311" t="str">
        <f t="shared" si="248"/>
        <v>Chris Moore16</v>
      </c>
    </row>
    <row r="5312" spans="1:16" x14ac:dyDescent="0.25">
      <c r="A5312">
        <v>17</v>
      </c>
      <c r="B5312" t="s">
        <v>4729</v>
      </c>
      <c r="C5312">
        <f>-0.04-1.52</f>
        <v>-1.56</v>
      </c>
      <c r="D5312">
        <v>0.74</v>
      </c>
      <c r="E5312" t="s">
        <v>37</v>
      </c>
      <c r="F5312" t="s">
        <v>87</v>
      </c>
      <c r="G5312">
        <v>1.52</v>
      </c>
      <c r="H5312">
        <v>-0.04</v>
      </c>
      <c r="I5312">
        <v>0.78</v>
      </c>
      <c r="J5312">
        <v>0.60840000000000005</v>
      </c>
      <c r="K5312" t="str">
        <f>IFERROR(INDEX(Rosters!$C$2:$C$155,MATCH($B5312,Rosters!$B$2:$B$155,0)),"NA")</f>
        <v>NA</v>
      </c>
      <c r="L5312" t="str">
        <f t="shared" si="246"/>
        <v>NA17WR</v>
      </c>
      <c r="M5312">
        <f>COUNTIF(L$1:L5312,L5312)</f>
        <v>79</v>
      </c>
      <c r="N5312" t="str">
        <f t="shared" si="247"/>
        <v>NA17WR-79</v>
      </c>
      <c r="O5312">
        <f>COUNTIFS(F$1:F5312,F5312,A$1:A5312,A5312)</f>
        <v>133</v>
      </c>
      <c r="P5312" t="str">
        <f t="shared" si="248"/>
        <v>DaeSean Hamilton17</v>
      </c>
    </row>
    <row r="5313" spans="1:16" x14ac:dyDescent="0.25">
      <c r="A5313">
        <v>8</v>
      </c>
      <c r="B5313" t="s">
        <v>4234</v>
      </c>
      <c r="C5313" t="s">
        <v>852</v>
      </c>
      <c r="D5313">
        <v>0.74</v>
      </c>
      <c r="E5313" t="s">
        <v>34</v>
      </c>
      <c r="F5313" t="s">
        <v>87</v>
      </c>
      <c r="G5313">
        <v>1.43</v>
      </c>
      <c r="H5313">
        <v>0.05</v>
      </c>
      <c r="I5313">
        <v>0.69</v>
      </c>
      <c r="J5313">
        <v>0.47610000000000002</v>
      </c>
      <c r="K5313" t="str">
        <f>IFERROR(INDEX(Rosters!$C$2:$C$155,MATCH($B5313,Rosters!$B$2:$B$155,0)),"NA")</f>
        <v>NA</v>
      </c>
      <c r="L5313" t="str">
        <f t="shared" si="246"/>
        <v>NA8WR</v>
      </c>
      <c r="M5313">
        <f>COUNTIF(L$1:L5313,L5313)</f>
        <v>65</v>
      </c>
      <c r="N5313" t="str">
        <f t="shared" si="247"/>
        <v>NA8WR-65</v>
      </c>
      <c r="O5313">
        <f>COUNTIFS(F$1:F5313,F5313,A$1:A5313,A5313)</f>
        <v>114</v>
      </c>
      <c r="P5313" t="str">
        <f t="shared" si="248"/>
        <v>David Moore8</v>
      </c>
    </row>
    <row r="5314" spans="1:16" x14ac:dyDescent="0.25">
      <c r="A5314">
        <v>14</v>
      </c>
      <c r="B5314" t="s">
        <v>4234</v>
      </c>
      <c r="C5314" t="s">
        <v>8844</v>
      </c>
      <c r="D5314">
        <v>0.74</v>
      </c>
      <c r="E5314" t="s">
        <v>25</v>
      </c>
      <c r="F5314" t="s">
        <v>87</v>
      </c>
      <c r="G5314">
        <v>1.31</v>
      </c>
      <c r="H5314">
        <v>0.17</v>
      </c>
      <c r="I5314">
        <v>0.56999999999999995</v>
      </c>
      <c r="J5314">
        <v>0.32490000000000002</v>
      </c>
      <c r="K5314" t="str">
        <f>IFERROR(INDEX(Rosters!$C$2:$C$155,MATCH($B5314,Rosters!$B$2:$B$155,0)),"NA")</f>
        <v>NA</v>
      </c>
      <c r="L5314" t="str">
        <f t="shared" si="246"/>
        <v>NA14WR</v>
      </c>
      <c r="M5314">
        <f>COUNTIF(L$1:L5314,L5314)</f>
        <v>74</v>
      </c>
      <c r="N5314" t="str">
        <f t="shared" si="247"/>
        <v>NA14WR-74</v>
      </c>
      <c r="O5314">
        <f>COUNTIFS(F$1:F5314,F5314,A$1:A5314,A5314)</f>
        <v>128</v>
      </c>
      <c r="P5314" t="str">
        <f t="shared" si="248"/>
        <v>David Moore14</v>
      </c>
    </row>
    <row r="5315" spans="1:16" x14ac:dyDescent="0.25">
      <c r="A5315">
        <v>16</v>
      </c>
      <c r="B5315" t="s">
        <v>4234</v>
      </c>
      <c r="C5315">
        <f>-0.02-1.5</f>
        <v>-1.52</v>
      </c>
      <c r="D5315">
        <v>0.74</v>
      </c>
      <c r="E5315" t="s">
        <v>24</v>
      </c>
      <c r="F5315" t="s">
        <v>87</v>
      </c>
      <c r="G5315">
        <v>1.5</v>
      </c>
      <c r="H5315">
        <v>-0.02</v>
      </c>
      <c r="I5315">
        <v>0.76</v>
      </c>
      <c r="J5315">
        <v>0.5776</v>
      </c>
      <c r="K5315" t="str">
        <f>IFERROR(INDEX(Rosters!$C$2:$C$155,MATCH($B5315,Rosters!$B$2:$B$155,0)),"NA")</f>
        <v>NA</v>
      </c>
      <c r="L5315" t="str">
        <f t="shared" ref="L5315:L5378" si="249">K5315&amp;A5315&amp;F5315</f>
        <v>NA16WR</v>
      </c>
      <c r="M5315">
        <f>COUNTIF(L$1:L5315,L5315)</f>
        <v>76</v>
      </c>
      <c r="N5315" t="str">
        <f t="shared" ref="N5315:N5378" si="250">L5315&amp;"-"&amp;M5315</f>
        <v>NA16WR-76</v>
      </c>
      <c r="O5315">
        <f>COUNTIFS(F$1:F5315,F5315,A$1:A5315,A5315)</f>
        <v>130</v>
      </c>
      <c r="P5315" t="str">
        <f t="shared" ref="P5315:P5378" si="251">B5315&amp;A5315</f>
        <v>David Moore16</v>
      </c>
    </row>
    <row r="5316" spans="1:16" x14ac:dyDescent="0.25">
      <c r="A5316">
        <v>3</v>
      </c>
      <c r="B5316" t="s">
        <v>317</v>
      </c>
      <c r="C5316">
        <f>-0.12-1.6</f>
        <v>-1.7200000000000002</v>
      </c>
      <c r="D5316">
        <v>0.74</v>
      </c>
      <c r="E5316" t="s">
        <v>56</v>
      </c>
      <c r="F5316" t="s">
        <v>47</v>
      </c>
      <c r="G5316">
        <v>1.6</v>
      </c>
      <c r="H5316">
        <v>-0.12</v>
      </c>
      <c r="I5316">
        <v>0.86</v>
      </c>
      <c r="J5316">
        <v>0.73960000000000004</v>
      </c>
      <c r="K5316" t="str">
        <f>IFERROR(INDEX(Rosters!$C$2:$C$155,MATCH($B5316,Rosters!$B$2:$B$155,0)),"NA")</f>
        <v>NA</v>
      </c>
      <c r="L5316" t="str">
        <f t="shared" si="249"/>
        <v>NA3RB</v>
      </c>
      <c r="M5316">
        <f>COUNTIF(L$1:L5316,L5316)</f>
        <v>45</v>
      </c>
      <c r="N5316" t="str">
        <f t="shared" si="250"/>
        <v>NA3RB-45</v>
      </c>
      <c r="O5316">
        <f>COUNTIFS(F$1:F5316,F5316,A$1:A5316,A5316)</f>
        <v>84</v>
      </c>
      <c r="P5316" t="str">
        <f t="shared" si="251"/>
        <v>Derek Watt3</v>
      </c>
    </row>
    <row r="5317" spans="1:16" x14ac:dyDescent="0.25">
      <c r="A5317">
        <v>9</v>
      </c>
      <c r="B5317" t="s">
        <v>91</v>
      </c>
      <c r="C5317" t="s">
        <v>1000</v>
      </c>
      <c r="D5317">
        <v>0.74</v>
      </c>
      <c r="E5317" t="s">
        <v>423</v>
      </c>
      <c r="F5317" t="s">
        <v>15</v>
      </c>
      <c r="G5317">
        <v>1.36</v>
      </c>
      <c r="H5317">
        <v>0.12</v>
      </c>
      <c r="I5317">
        <v>0.62</v>
      </c>
      <c r="J5317">
        <v>0.38440000000000002</v>
      </c>
      <c r="K5317" t="str">
        <f>IFERROR(INDEX(Rosters!$C$2:$C$155,MATCH($B5317,Rosters!$B$2:$B$155,0)),"NA")</f>
        <v>NA</v>
      </c>
      <c r="L5317" t="str">
        <f t="shared" si="249"/>
        <v>NA9QB</v>
      </c>
      <c r="M5317">
        <f>COUNTIF(L$1:L5317,L5317)</f>
        <v>28</v>
      </c>
      <c r="N5317" t="str">
        <f t="shared" si="250"/>
        <v>NA9QB-28</v>
      </c>
      <c r="O5317">
        <f>COUNTIFS(F$1:F5317,F5317,A$1:A5317,A5317)</f>
        <v>42</v>
      </c>
      <c r="P5317" t="str">
        <f t="shared" si="251"/>
        <v>DeShone Kizer9</v>
      </c>
    </row>
    <row r="5318" spans="1:16" x14ac:dyDescent="0.25">
      <c r="A5318">
        <v>11</v>
      </c>
      <c r="B5318" t="s">
        <v>253</v>
      </c>
      <c r="C5318">
        <f>-0.32-1.8</f>
        <v>-2.12</v>
      </c>
      <c r="D5318">
        <v>0.74</v>
      </c>
      <c r="E5318" t="s">
        <v>22</v>
      </c>
      <c r="F5318" t="s">
        <v>87</v>
      </c>
      <c r="G5318">
        <v>1.8</v>
      </c>
      <c r="H5318">
        <v>-0.32</v>
      </c>
      <c r="I5318">
        <v>1.06</v>
      </c>
      <c r="J5318">
        <v>1.1235999999999999</v>
      </c>
      <c r="K5318" t="str">
        <f>IFERROR(INDEX(Rosters!$C$2:$C$155,MATCH($B5318,Rosters!$B$2:$B$155,0)),"NA")</f>
        <v>NA</v>
      </c>
      <c r="L5318" t="str">
        <f t="shared" si="249"/>
        <v>NA11WR</v>
      </c>
      <c r="M5318">
        <f>COUNTIF(L$1:L5318,L5318)</f>
        <v>60</v>
      </c>
      <c r="N5318" t="str">
        <f t="shared" si="250"/>
        <v>NA11WR-60</v>
      </c>
      <c r="O5318">
        <f>COUNTIFS(F$1:F5318,F5318,A$1:A5318,A5318)</f>
        <v>107</v>
      </c>
      <c r="P5318" t="str">
        <f t="shared" si="251"/>
        <v>Justin Hardy11</v>
      </c>
    </row>
    <row r="5319" spans="1:16" x14ac:dyDescent="0.25">
      <c r="A5319">
        <v>2</v>
      </c>
      <c r="B5319" t="s">
        <v>1556</v>
      </c>
      <c r="C5319" t="s">
        <v>852</v>
      </c>
      <c r="D5319">
        <v>0.74</v>
      </c>
      <c r="E5319" t="s">
        <v>37</v>
      </c>
      <c r="F5319" t="s">
        <v>47</v>
      </c>
      <c r="G5319">
        <v>1.43</v>
      </c>
      <c r="H5319">
        <v>0.05</v>
      </c>
      <c r="I5319">
        <v>0.69</v>
      </c>
      <c r="J5319">
        <v>0.47610000000000002</v>
      </c>
      <c r="K5319" t="str">
        <f>IFERROR(INDEX(Rosters!$C$2:$C$155,MATCH($B5319,Rosters!$B$2:$B$155,0)),"NA")</f>
        <v>NA</v>
      </c>
      <c r="L5319" t="str">
        <f t="shared" si="249"/>
        <v>NA2RB</v>
      </c>
      <c r="M5319">
        <f>COUNTIF(L$1:L5319,L5319)</f>
        <v>37</v>
      </c>
      <c r="N5319" t="str">
        <f t="shared" si="250"/>
        <v>NA2RB-37</v>
      </c>
      <c r="O5319">
        <f>COUNTIFS(F$1:F5319,F5319,A$1:A5319,A5319)</f>
        <v>79</v>
      </c>
      <c r="P5319" t="str">
        <f t="shared" si="251"/>
        <v>Marcus Murphy2</v>
      </c>
    </row>
    <row r="5320" spans="1:16" x14ac:dyDescent="0.25">
      <c r="A5320">
        <v>16</v>
      </c>
      <c r="B5320" t="s">
        <v>391</v>
      </c>
      <c r="C5320" t="s">
        <v>4696</v>
      </c>
      <c r="D5320">
        <v>0.74</v>
      </c>
      <c r="E5320" t="s">
        <v>29</v>
      </c>
      <c r="F5320" t="s">
        <v>87</v>
      </c>
      <c r="G5320">
        <v>1.48</v>
      </c>
      <c r="H5320">
        <v>0</v>
      </c>
      <c r="I5320">
        <v>0.74</v>
      </c>
      <c r="J5320">
        <v>0.54759999999999998</v>
      </c>
      <c r="K5320" t="str">
        <f>IFERROR(INDEX(Rosters!$C$2:$C$155,MATCH($B5320,Rosters!$B$2:$B$155,0)),"NA")</f>
        <v>NA</v>
      </c>
      <c r="L5320" t="str">
        <f t="shared" si="249"/>
        <v>NA16WR</v>
      </c>
      <c r="M5320">
        <f>COUNTIF(L$1:L5320,L5320)</f>
        <v>77</v>
      </c>
      <c r="N5320" t="str">
        <f t="shared" si="250"/>
        <v>NA16WR-77</v>
      </c>
      <c r="O5320">
        <f>COUNTIFS(F$1:F5320,F5320,A$1:A5320,A5320)</f>
        <v>131</v>
      </c>
      <c r="P5320" t="str">
        <f t="shared" si="251"/>
        <v>Matt Slater16</v>
      </c>
    </row>
    <row r="5321" spans="1:16" x14ac:dyDescent="0.25">
      <c r="A5321">
        <v>7</v>
      </c>
      <c r="B5321" t="s">
        <v>1146</v>
      </c>
      <c r="C5321">
        <f>-0.07-1.55</f>
        <v>-1.62</v>
      </c>
      <c r="D5321">
        <v>0.74</v>
      </c>
      <c r="E5321" t="s">
        <v>22</v>
      </c>
      <c r="F5321" t="s">
        <v>87</v>
      </c>
      <c r="G5321">
        <v>1.55</v>
      </c>
      <c r="H5321">
        <v>-7.0000000000000007E-2</v>
      </c>
      <c r="I5321">
        <v>0.81</v>
      </c>
      <c r="J5321">
        <v>0.65610000000000002</v>
      </c>
      <c r="K5321" t="str">
        <f>IFERROR(INDEX(Rosters!$C$2:$C$155,MATCH($B5321,Rosters!$B$2:$B$155,0)),"NA")</f>
        <v>NA</v>
      </c>
      <c r="L5321" t="str">
        <f t="shared" si="249"/>
        <v>NA7WR</v>
      </c>
      <c r="M5321">
        <f>COUNTIF(L$1:L5321,L5321)</f>
        <v>68</v>
      </c>
      <c r="N5321" t="str">
        <f t="shared" si="250"/>
        <v>NA7WR-68</v>
      </c>
      <c r="O5321">
        <f>COUNTIFS(F$1:F5321,F5321,A$1:A5321,A5321)</f>
        <v>113</v>
      </c>
      <c r="P5321" t="str">
        <f t="shared" si="251"/>
        <v>Maurice Harris7</v>
      </c>
    </row>
    <row r="5322" spans="1:16" x14ac:dyDescent="0.25">
      <c r="A5322">
        <v>8</v>
      </c>
      <c r="B5322" t="s">
        <v>1526</v>
      </c>
      <c r="C5322" t="s">
        <v>4695</v>
      </c>
      <c r="D5322">
        <v>0.74</v>
      </c>
      <c r="E5322" t="s">
        <v>28</v>
      </c>
      <c r="F5322" t="s">
        <v>114</v>
      </c>
      <c r="G5322">
        <v>1.44</v>
      </c>
      <c r="H5322">
        <v>0.04</v>
      </c>
      <c r="I5322">
        <v>0.7</v>
      </c>
      <c r="J5322">
        <v>0.49</v>
      </c>
      <c r="K5322" t="str">
        <f>IFERROR(INDEX(Rosters!$C$2:$C$155,MATCH($B5322,Rosters!$B$2:$B$155,0)),"NA")</f>
        <v>NA</v>
      </c>
      <c r="L5322" t="str">
        <f t="shared" si="249"/>
        <v>NA8TE</v>
      </c>
      <c r="M5322">
        <f>COUNTIF(L$1:L5322,L5322)</f>
        <v>48</v>
      </c>
      <c r="N5322" t="str">
        <f t="shared" si="250"/>
        <v>NA8TE-48</v>
      </c>
      <c r="O5322">
        <f>COUNTIFS(F$1:F5322,F5322,A$1:A5322,A5322)</f>
        <v>60</v>
      </c>
      <c r="P5322" t="str">
        <f t="shared" si="251"/>
        <v>Michael Roberts8</v>
      </c>
    </row>
    <row r="5323" spans="1:16" x14ac:dyDescent="0.25">
      <c r="A5323">
        <v>16</v>
      </c>
      <c r="B5323" t="s">
        <v>8786</v>
      </c>
      <c r="C5323">
        <f>-0.12-1.6</f>
        <v>-1.7200000000000002</v>
      </c>
      <c r="D5323">
        <v>0.74</v>
      </c>
      <c r="E5323" t="s">
        <v>19</v>
      </c>
      <c r="F5323" t="s">
        <v>87</v>
      </c>
      <c r="G5323">
        <v>1.6</v>
      </c>
      <c r="H5323">
        <v>-0.12</v>
      </c>
      <c r="I5323">
        <v>0.86</v>
      </c>
      <c r="J5323">
        <v>0.73960000000000004</v>
      </c>
      <c r="K5323" t="str">
        <f>IFERROR(INDEX(Rosters!$C$2:$C$155,MATCH($B5323,Rosters!$B$2:$B$155,0)),"NA")</f>
        <v>NA</v>
      </c>
      <c r="L5323" t="str">
        <f t="shared" si="249"/>
        <v>NA16WR</v>
      </c>
      <c r="M5323">
        <f>COUNTIF(L$1:L5323,L5323)</f>
        <v>78</v>
      </c>
      <c r="N5323" t="str">
        <f t="shared" si="250"/>
        <v>NA16WR-78</v>
      </c>
      <c r="O5323">
        <f>COUNTIFS(F$1:F5323,F5323,A$1:A5323,A5323)</f>
        <v>132</v>
      </c>
      <c r="P5323" t="str">
        <f t="shared" si="251"/>
        <v>Rashad Greene16</v>
      </c>
    </row>
    <row r="5324" spans="1:16" x14ac:dyDescent="0.25">
      <c r="A5324">
        <v>7</v>
      </c>
      <c r="B5324" t="s">
        <v>4703</v>
      </c>
      <c r="C5324" t="s">
        <v>8845</v>
      </c>
      <c r="D5324">
        <v>0.74</v>
      </c>
      <c r="E5324" t="s">
        <v>14</v>
      </c>
      <c r="F5324" t="s">
        <v>87</v>
      </c>
      <c r="G5324">
        <v>1.41</v>
      </c>
      <c r="H5324">
        <v>7.0000000000000007E-2</v>
      </c>
      <c r="I5324">
        <v>0.67</v>
      </c>
      <c r="J5324">
        <v>0.44890000000000002</v>
      </c>
      <c r="K5324" t="str">
        <f>IFERROR(INDEX(Rosters!$C$2:$C$155,MATCH($B5324,Rosters!$B$2:$B$155,0)),"NA")</f>
        <v>NA</v>
      </c>
      <c r="L5324" t="str">
        <f t="shared" si="249"/>
        <v>NA7WR</v>
      </c>
      <c r="M5324">
        <f>COUNTIF(L$1:L5324,L5324)</f>
        <v>69</v>
      </c>
      <c r="N5324" t="str">
        <f t="shared" si="250"/>
        <v>NA7WR-69</v>
      </c>
      <c r="O5324">
        <f>COUNTIFS(F$1:F5324,F5324,A$1:A5324,A5324)</f>
        <v>114</v>
      </c>
      <c r="P5324" t="str">
        <f t="shared" si="251"/>
        <v>Tim White7</v>
      </c>
    </row>
    <row r="5325" spans="1:16" x14ac:dyDescent="0.25">
      <c r="A5325">
        <v>11</v>
      </c>
      <c r="B5325" t="s">
        <v>1618</v>
      </c>
      <c r="C5325" t="s">
        <v>8846</v>
      </c>
      <c r="D5325">
        <v>0.74</v>
      </c>
      <c r="E5325" t="s">
        <v>41</v>
      </c>
      <c r="F5325" t="s">
        <v>47</v>
      </c>
      <c r="G5325">
        <v>1.34</v>
      </c>
      <c r="H5325">
        <v>0.14000000000000001</v>
      </c>
      <c r="I5325">
        <v>0.6</v>
      </c>
      <c r="J5325">
        <v>0.36</v>
      </c>
      <c r="K5325" t="str">
        <f>IFERROR(INDEX(Rosters!$C$2:$C$155,MATCH($B5325,Rosters!$B$2:$B$155,0)),"NA")</f>
        <v>NA</v>
      </c>
      <c r="L5325" t="str">
        <f t="shared" si="249"/>
        <v>NA11RB</v>
      </c>
      <c r="M5325">
        <f>COUNTIF(L$1:L5325,L5325)</f>
        <v>38</v>
      </c>
      <c r="N5325" t="str">
        <f t="shared" si="250"/>
        <v>NA11RB-38</v>
      </c>
      <c r="O5325">
        <f>COUNTIFS(F$1:F5325,F5325,A$1:A5325,A5325)</f>
        <v>76</v>
      </c>
      <c r="P5325" t="str">
        <f t="shared" si="251"/>
        <v>Tre Madden11</v>
      </c>
    </row>
    <row r="5326" spans="1:16" x14ac:dyDescent="0.25">
      <c r="A5326">
        <v>8</v>
      </c>
      <c r="B5326" t="s">
        <v>324</v>
      </c>
      <c r="C5326" t="s">
        <v>8847</v>
      </c>
      <c r="D5326">
        <v>0.73</v>
      </c>
      <c r="E5326" t="s">
        <v>66</v>
      </c>
      <c r="F5326" t="s">
        <v>15</v>
      </c>
      <c r="G5326">
        <v>1.24</v>
      </c>
      <c r="H5326">
        <v>0.22</v>
      </c>
      <c r="I5326">
        <v>0.51</v>
      </c>
      <c r="J5326">
        <v>0.2601</v>
      </c>
      <c r="K5326" t="str">
        <f>IFERROR(INDEX(Rosters!$C$2:$C$155,MATCH($B5326,Rosters!$B$2:$B$155,0)),"NA")</f>
        <v>NA</v>
      </c>
      <c r="L5326" t="str">
        <f t="shared" si="249"/>
        <v>NA8QB</v>
      </c>
      <c r="M5326">
        <f>COUNTIF(L$1:L5326,L5326)</f>
        <v>29</v>
      </c>
      <c r="N5326" t="str">
        <f t="shared" si="250"/>
        <v>NA8QB-29</v>
      </c>
      <c r="O5326">
        <f>COUNTIFS(F$1:F5326,F5326,A$1:A5326,A5326)</f>
        <v>44</v>
      </c>
      <c r="P5326" t="str">
        <f t="shared" si="251"/>
        <v>A.J. McCarron8</v>
      </c>
    </row>
    <row r="5327" spans="1:16" x14ac:dyDescent="0.25">
      <c r="A5327">
        <v>2</v>
      </c>
      <c r="B5327" t="s">
        <v>1116</v>
      </c>
      <c r="C5327" t="s">
        <v>1557</v>
      </c>
      <c r="D5327">
        <v>0.73</v>
      </c>
      <c r="E5327" t="s">
        <v>38</v>
      </c>
      <c r="F5327" t="s">
        <v>15</v>
      </c>
      <c r="G5327">
        <v>1.31</v>
      </c>
      <c r="H5327">
        <v>0.15</v>
      </c>
      <c r="I5327">
        <v>0.57999999999999996</v>
      </c>
      <c r="J5327">
        <v>0.33639999999999998</v>
      </c>
      <c r="K5327" t="str">
        <f>IFERROR(INDEX(Rosters!$C$2:$C$155,MATCH($B5327,Rosters!$B$2:$B$155,0)),"NA")</f>
        <v>NA</v>
      </c>
      <c r="L5327" t="str">
        <f t="shared" si="249"/>
        <v>NA2QB</v>
      </c>
      <c r="M5327">
        <f>COUNTIF(L$1:L5327,L5327)</f>
        <v>26</v>
      </c>
      <c r="N5327" t="str">
        <f t="shared" si="250"/>
        <v>NA2QB-26</v>
      </c>
      <c r="O5327">
        <f>COUNTIFS(F$1:F5327,F5327,A$1:A5327,A5327)</f>
        <v>42</v>
      </c>
      <c r="P5327" t="str">
        <f t="shared" si="251"/>
        <v>Brandon Weeden2</v>
      </c>
    </row>
    <row r="5328" spans="1:16" x14ac:dyDescent="0.25">
      <c r="A5328">
        <v>17</v>
      </c>
      <c r="B5328" t="s">
        <v>1116</v>
      </c>
      <c r="C5328" t="s">
        <v>3836</v>
      </c>
      <c r="D5328">
        <v>0.73</v>
      </c>
      <c r="E5328" t="s">
        <v>76</v>
      </c>
      <c r="F5328" t="s">
        <v>15</v>
      </c>
      <c r="G5328">
        <v>1.25</v>
      </c>
      <c r="H5328">
        <v>0.21</v>
      </c>
      <c r="I5328">
        <v>0.52</v>
      </c>
      <c r="J5328">
        <v>0.27039999999999997</v>
      </c>
      <c r="K5328" t="str">
        <f>IFERROR(INDEX(Rosters!$C$2:$C$155,MATCH($B5328,Rosters!$B$2:$B$155,0)),"NA")</f>
        <v>NA</v>
      </c>
      <c r="L5328" t="str">
        <f t="shared" si="249"/>
        <v>NA17QB</v>
      </c>
      <c r="M5328">
        <f>COUNTIF(L$1:L5328,L5328)</f>
        <v>34</v>
      </c>
      <c r="N5328" t="str">
        <f t="shared" si="250"/>
        <v>NA17QB-34</v>
      </c>
      <c r="O5328">
        <f>COUNTIFS(F$1:F5328,F5328,A$1:A5328,A5328)</f>
        <v>51</v>
      </c>
      <c r="P5328" t="str">
        <f t="shared" si="251"/>
        <v>Brandon Weeden17</v>
      </c>
    </row>
    <row r="5329" spans="1:16" x14ac:dyDescent="0.25">
      <c r="A5329">
        <v>3</v>
      </c>
      <c r="B5329" t="s">
        <v>1118</v>
      </c>
      <c r="C5329" t="s">
        <v>1557</v>
      </c>
      <c r="D5329">
        <v>0.73</v>
      </c>
      <c r="E5329" t="s">
        <v>34</v>
      </c>
      <c r="F5329" t="s">
        <v>15</v>
      </c>
      <c r="G5329">
        <v>1.31</v>
      </c>
      <c r="H5329">
        <v>0.15</v>
      </c>
      <c r="I5329">
        <v>0.57999999999999996</v>
      </c>
      <c r="J5329">
        <v>0.33639999999999998</v>
      </c>
      <c r="K5329" t="str">
        <f>IFERROR(INDEX(Rosters!$C$2:$C$155,MATCH($B5329,Rosters!$B$2:$B$155,0)),"NA")</f>
        <v>NA</v>
      </c>
      <c r="L5329" t="str">
        <f t="shared" si="249"/>
        <v>NA3QB</v>
      </c>
      <c r="M5329">
        <f>COUNTIF(L$1:L5329,L5329)</f>
        <v>30</v>
      </c>
      <c r="N5329" t="str">
        <f t="shared" si="250"/>
        <v>NA3QB-30</v>
      </c>
      <c r="O5329">
        <f>COUNTIFS(F$1:F5329,F5329,A$1:A5329,A5329)</f>
        <v>47</v>
      </c>
      <c r="P5329" t="str">
        <f t="shared" si="251"/>
        <v>Brian Hoyer3</v>
      </c>
    </row>
    <row r="5330" spans="1:16" x14ac:dyDescent="0.25">
      <c r="A5330">
        <v>7</v>
      </c>
      <c r="B5330" t="s">
        <v>2926</v>
      </c>
      <c r="C5330" t="s">
        <v>8848</v>
      </c>
      <c r="D5330">
        <v>0.73</v>
      </c>
      <c r="E5330" t="s">
        <v>22</v>
      </c>
      <c r="F5330" t="s">
        <v>87</v>
      </c>
      <c r="G5330">
        <v>1.46</v>
      </c>
      <c r="H5330">
        <v>0</v>
      </c>
      <c r="I5330">
        <v>0.73</v>
      </c>
      <c r="J5330">
        <v>0.53290000000000004</v>
      </c>
      <c r="K5330" t="str">
        <f>IFERROR(INDEX(Rosters!$C$2:$C$155,MATCH($B5330,Rosters!$B$2:$B$155,0)),"NA")</f>
        <v>NA</v>
      </c>
      <c r="L5330" t="str">
        <f t="shared" si="249"/>
        <v>NA7WR</v>
      </c>
      <c r="M5330">
        <f>COUNTIF(L$1:L5330,L5330)</f>
        <v>70</v>
      </c>
      <c r="N5330" t="str">
        <f t="shared" si="250"/>
        <v>NA7WR-70</v>
      </c>
      <c r="O5330">
        <f>COUNTIFS(F$1:F5330,F5330,A$1:A5330,A5330)</f>
        <v>115</v>
      </c>
      <c r="P5330" t="str">
        <f t="shared" si="251"/>
        <v>Brian Quick7</v>
      </c>
    </row>
    <row r="5331" spans="1:16" x14ac:dyDescent="0.25">
      <c r="A5331">
        <v>10</v>
      </c>
      <c r="B5331" t="s">
        <v>2926</v>
      </c>
      <c r="C5331" t="s">
        <v>8849</v>
      </c>
      <c r="D5331">
        <v>0.73</v>
      </c>
      <c r="E5331" t="s">
        <v>17</v>
      </c>
      <c r="F5331" t="s">
        <v>87</v>
      </c>
      <c r="G5331">
        <v>1.42</v>
      </c>
      <c r="H5331">
        <v>0.04</v>
      </c>
      <c r="I5331">
        <v>0.69</v>
      </c>
      <c r="J5331">
        <v>0.47610000000000002</v>
      </c>
      <c r="K5331" t="str">
        <f>IFERROR(INDEX(Rosters!$C$2:$C$155,MATCH($B5331,Rosters!$B$2:$B$155,0)),"NA")</f>
        <v>NA</v>
      </c>
      <c r="L5331" t="str">
        <f t="shared" si="249"/>
        <v>NA10WR</v>
      </c>
      <c r="M5331">
        <f>COUNTIF(L$1:L5331,L5331)</f>
        <v>71</v>
      </c>
      <c r="N5331" t="str">
        <f t="shared" si="250"/>
        <v>NA10WR-71</v>
      </c>
      <c r="O5331">
        <f>COUNTIFS(F$1:F5331,F5331,A$1:A5331,A5331)</f>
        <v>116</v>
      </c>
      <c r="P5331" t="str">
        <f t="shared" si="251"/>
        <v>Brian Quick10</v>
      </c>
    </row>
    <row r="5332" spans="1:16" x14ac:dyDescent="0.25">
      <c r="A5332">
        <v>11</v>
      </c>
      <c r="B5332" t="s">
        <v>2926</v>
      </c>
      <c r="C5332" t="s">
        <v>8850</v>
      </c>
      <c r="D5332">
        <v>0.73</v>
      </c>
      <c r="E5332" t="s">
        <v>36</v>
      </c>
      <c r="F5332" t="s">
        <v>87</v>
      </c>
      <c r="G5332">
        <v>1.37</v>
      </c>
      <c r="H5332">
        <v>0.09</v>
      </c>
      <c r="I5332">
        <v>0.64</v>
      </c>
      <c r="J5332">
        <v>0.40960000000000002</v>
      </c>
      <c r="K5332" t="str">
        <f>IFERROR(INDEX(Rosters!$C$2:$C$155,MATCH($B5332,Rosters!$B$2:$B$155,0)),"NA")</f>
        <v>NA</v>
      </c>
      <c r="L5332" t="str">
        <f t="shared" si="249"/>
        <v>NA11WR</v>
      </c>
      <c r="M5332">
        <f>COUNTIF(L$1:L5332,L5332)</f>
        <v>61</v>
      </c>
      <c r="N5332" t="str">
        <f t="shared" si="250"/>
        <v>NA11WR-61</v>
      </c>
      <c r="O5332">
        <f>COUNTIFS(F$1:F5332,F5332,A$1:A5332,A5332)</f>
        <v>108</v>
      </c>
      <c r="P5332" t="str">
        <f t="shared" si="251"/>
        <v>Brian Quick11</v>
      </c>
    </row>
    <row r="5333" spans="1:16" x14ac:dyDescent="0.25">
      <c r="A5333">
        <v>15</v>
      </c>
      <c r="B5333" t="s">
        <v>2926</v>
      </c>
      <c r="C5333">
        <f>-0.01-1.47</f>
        <v>-1.48</v>
      </c>
      <c r="D5333">
        <v>0.73</v>
      </c>
      <c r="E5333" t="s">
        <v>76</v>
      </c>
      <c r="F5333" t="s">
        <v>87</v>
      </c>
      <c r="G5333">
        <v>1.47</v>
      </c>
      <c r="H5333">
        <v>-0.01</v>
      </c>
      <c r="I5333">
        <v>0.74</v>
      </c>
      <c r="J5333">
        <v>0.54759999999999998</v>
      </c>
      <c r="K5333" t="str">
        <f>IFERROR(INDEX(Rosters!$C$2:$C$155,MATCH($B5333,Rosters!$B$2:$B$155,0)),"NA")</f>
        <v>NA</v>
      </c>
      <c r="L5333" t="str">
        <f t="shared" si="249"/>
        <v>NA15WR</v>
      </c>
      <c r="M5333">
        <f>COUNTIF(L$1:L5333,L5333)</f>
        <v>73</v>
      </c>
      <c r="N5333" t="str">
        <f t="shared" si="250"/>
        <v>NA15WR-73</v>
      </c>
      <c r="O5333">
        <f>COUNTIFS(F$1:F5333,F5333,A$1:A5333,A5333)</f>
        <v>127</v>
      </c>
      <c r="P5333" t="str">
        <f t="shared" si="251"/>
        <v>Brian Quick15</v>
      </c>
    </row>
    <row r="5334" spans="1:16" x14ac:dyDescent="0.25">
      <c r="A5334">
        <v>3</v>
      </c>
      <c r="B5334" t="s">
        <v>1126</v>
      </c>
      <c r="C5334">
        <f>-0.13-1.59</f>
        <v>-1.7200000000000002</v>
      </c>
      <c r="D5334">
        <v>0.73</v>
      </c>
      <c r="E5334" t="s">
        <v>52</v>
      </c>
      <c r="F5334" t="s">
        <v>87</v>
      </c>
      <c r="G5334">
        <v>1.59</v>
      </c>
      <c r="H5334">
        <v>-0.13</v>
      </c>
      <c r="I5334">
        <v>0.86</v>
      </c>
      <c r="J5334">
        <v>0.73960000000000004</v>
      </c>
      <c r="K5334" t="str">
        <f>IFERROR(INDEX(Rosters!$C$2:$C$155,MATCH($B5334,Rosters!$B$2:$B$155,0)),"NA")</f>
        <v>NA</v>
      </c>
      <c r="L5334" t="str">
        <f t="shared" si="249"/>
        <v>NA3WR</v>
      </c>
      <c r="M5334">
        <f>COUNTIF(L$1:L5334,L5334)</f>
        <v>69</v>
      </c>
      <c r="N5334" t="str">
        <f t="shared" si="250"/>
        <v>NA3WR-69</v>
      </c>
      <c r="O5334">
        <f>COUNTIFS(F$1:F5334,F5334,A$1:A5334,A5334)</f>
        <v>118</v>
      </c>
      <c r="P5334" t="str">
        <f t="shared" si="251"/>
        <v>Charone Peake3</v>
      </c>
    </row>
    <row r="5335" spans="1:16" x14ac:dyDescent="0.25">
      <c r="A5335">
        <v>17</v>
      </c>
      <c r="B5335" t="s">
        <v>384</v>
      </c>
      <c r="C5335" t="s">
        <v>1101</v>
      </c>
      <c r="D5335">
        <v>0.73</v>
      </c>
      <c r="E5335" t="s">
        <v>25</v>
      </c>
      <c r="F5335" t="s">
        <v>15</v>
      </c>
      <c r="G5335">
        <v>1.28</v>
      </c>
      <c r="H5335">
        <v>0.18</v>
      </c>
      <c r="I5335">
        <v>0.55000000000000004</v>
      </c>
      <c r="J5335">
        <v>0.30249999999999999</v>
      </c>
      <c r="K5335" t="str">
        <f>IFERROR(INDEX(Rosters!$C$2:$C$155,MATCH($B5335,Rosters!$B$2:$B$155,0)),"NA")</f>
        <v>NA</v>
      </c>
      <c r="L5335" t="str">
        <f t="shared" si="249"/>
        <v>NA17QB</v>
      </c>
      <c r="M5335">
        <f>COUNTIF(L$1:L5335,L5335)</f>
        <v>35</v>
      </c>
      <c r="N5335" t="str">
        <f t="shared" si="250"/>
        <v>NA17QB-35</v>
      </c>
      <c r="O5335">
        <f>COUNTIFS(F$1:F5335,F5335,A$1:A5335,A5335)</f>
        <v>52</v>
      </c>
      <c r="P5335" t="str">
        <f t="shared" si="251"/>
        <v>Chase Daniel17</v>
      </c>
    </row>
    <row r="5336" spans="1:16" x14ac:dyDescent="0.25">
      <c r="A5336">
        <v>15</v>
      </c>
      <c r="B5336" t="s">
        <v>357</v>
      </c>
      <c r="C5336">
        <f>-0.11-1.57</f>
        <v>-1.6800000000000002</v>
      </c>
      <c r="D5336">
        <v>0.73</v>
      </c>
      <c r="E5336" t="s">
        <v>17</v>
      </c>
      <c r="F5336" t="s">
        <v>87</v>
      </c>
      <c r="G5336">
        <v>1.57</v>
      </c>
      <c r="H5336">
        <v>-0.11</v>
      </c>
      <c r="I5336">
        <v>0.84</v>
      </c>
      <c r="J5336">
        <v>0.7056</v>
      </c>
      <c r="K5336" t="str">
        <f>IFERROR(INDEX(Rosters!$C$2:$C$155,MATCH($B5336,Rosters!$B$2:$B$155,0)),"NA")</f>
        <v>NA</v>
      </c>
      <c r="L5336" t="str">
        <f t="shared" si="249"/>
        <v>NA15WR</v>
      </c>
      <c r="M5336">
        <f>COUNTIF(L$1:L5336,L5336)</f>
        <v>74</v>
      </c>
      <c r="N5336" t="str">
        <f t="shared" si="250"/>
        <v>NA15WR-74</v>
      </c>
      <c r="O5336">
        <f>COUNTIFS(F$1:F5336,F5336,A$1:A5336,A5336)</f>
        <v>128</v>
      </c>
      <c r="P5336" t="str">
        <f t="shared" si="251"/>
        <v>Chris Moore15</v>
      </c>
    </row>
    <row r="5337" spans="1:16" x14ac:dyDescent="0.25">
      <c r="A5337">
        <v>10</v>
      </c>
      <c r="B5337" t="s">
        <v>342</v>
      </c>
      <c r="C5337" t="s">
        <v>4698</v>
      </c>
      <c r="D5337">
        <v>0.73</v>
      </c>
      <c r="E5337" t="s">
        <v>14</v>
      </c>
      <c r="F5337" t="s">
        <v>87</v>
      </c>
      <c r="G5337">
        <v>1.44</v>
      </c>
      <c r="H5337">
        <v>0.02</v>
      </c>
      <c r="I5337">
        <v>0.71</v>
      </c>
      <c r="J5337">
        <v>0.50409999999999999</v>
      </c>
      <c r="K5337" t="str">
        <f>IFERROR(INDEX(Rosters!$C$2:$C$155,MATCH($B5337,Rosters!$B$2:$B$155,0)),"NA")</f>
        <v>NA</v>
      </c>
      <c r="L5337" t="str">
        <f t="shared" si="249"/>
        <v>NA10WR</v>
      </c>
      <c r="M5337">
        <f>COUNTIF(L$1:L5337,L5337)</f>
        <v>72</v>
      </c>
      <c r="N5337" t="str">
        <f t="shared" si="250"/>
        <v>NA10WR-72</v>
      </c>
      <c r="O5337">
        <f>COUNTIFS(F$1:F5337,F5337,A$1:A5337,A5337)</f>
        <v>117</v>
      </c>
      <c r="P5337" t="str">
        <f t="shared" si="251"/>
        <v>Cody Core10</v>
      </c>
    </row>
    <row r="5338" spans="1:16" x14ac:dyDescent="0.25">
      <c r="A5338">
        <v>11</v>
      </c>
      <c r="B5338" t="s">
        <v>744</v>
      </c>
      <c r="C5338" t="s">
        <v>8851</v>
      </c>
      <c r="D5338">
        <v>0.73</v>
      </c>
      <c r="E5338" t="s">
        <v>51</v>
      </c>
      <c r="F5338" t="s">
        <v>15</v>
      </c>
      <c r="G5338">
        <v>1.29</v>
      </c>
      <c r="H5338">
        <v>0.17</v>
      </c>
      <c r="I5338">
        <v>0.56000000000000005</v>
      </c>
      <c r="J5338">
        <v>0.31359999999999999</v>
      </c>
      <c r="K5338" t="str">
        <f>IFERROR(INDEX(Rosters!$C$2:$C$155,MATCH($B5338,Rosters!$B$2:$B$155,0)),"NA")</f>
        <v>NA</v>
      </c>
      <c r="L5338" t="str">
        <f t="shared" si="249"/>
        <v>NA11QB</v>
      </c>
      <c r="M5338">
        <f>COUNTIF(L$1:L5338,L5338)</f>
        <v>27</v>
      </c>
      <c r="N5338" t="str">
        <f t="shared" si="250"/>
        <v>NA11QB-27</v>
      </c>
      <c r="O5338">
        <f>COUNTIFS(F$1:F5338,F5338,A$1:A5338,A5338)</f>
        <v>42</v>
      </c>
      <c r="P5338" t="str">
        <f t="shared" si="251"/>
        <v>Cody Kessler11</v>
      </c>
    </row>
    <row r="5339" spans="1:16" x14ac:dyDescent="0.25">
      <c r="A5339">
        <v>2</v>
      </c>
      <c r="B5339" t="s">
        <v>1550</v>
      </c>
      <c r="C5339" t="s">
        <v>1101</v>
      </c>
      <c r="D5339">
        <v>0.73</v>
      </c>
      <c r="E5339" t="s">
        <v>54</v>
      </c>
      <c r="F5339" t="s">
        <v>15</v>
      </c>
      <c r="G5339">
        <v>1.28</v>
      </c>
      <c r="H5339">
        <v>0.18</v>
      </c>
      <c r="I5339">
        <v>0.55000000000000004</v>
      </c>
      <c r="J5339">
        <v>0.30249999999999999</v>
      </c>
      <c r="K5339" t="str">
        <f>IFERROR(INDEX(Rosters!$C$2:$C$155,MATCH($B5339,Rosters!$B$2:$B$155,0)),"NA")</f>
        <v>NA</v>
      </c>
      <c r="L5339" t="str">
        <f t="shared" si="249"/>
        <v>NA2QB</v>
      </c>
      <c r="M5339">
        <f>COUNTIF(L$1:L5339,L5339)</f>
        <v>27</v>
      </c>
      <c r="N5339" t="str">
        <f t="shared" si="250"/>
        <v>NA2QB-27</v>
      </c>
      <c r="O5339">
        <f>COUNTIFS(F$1:F5339,F5339,A$1:A5339,A5339)</f>
        <v>43</v>
      </c>
      <c r="P5339" t="str">
        <f t="shared" si="251"/>
        <v>Cooper Rush2</v>
      </c>
    </row>
    <row r="5340" spans="1:16" x14ac:dyDescent="0.25">
      <c r="A5340">
        <v>7</v>
      </c>
      <c r="B5340" t="s">
        <v>1503</v>
      </c>
      <c r="C5340">
        <f>-0.08-1.54</f>
        <v>-1.62</v>
      </c>
      <c r="D5340">
        <v>0.73</v>
      </c>
      <c r="E5340" t="s">
        <v>36</v>
      </c>
      <c r="F5340" t="s">
        <v>87</v>
      </c>
      <c r="G5340">
        <v>1.54</v>
      </c>
      <c r="H5340">
        <v>-0.08</v>
      </c>
      <c r="I5340">
        <v>0.81</v>
      </c>
      <c r="J5340">
        <v>0.65610000000000002</v>
      </c>
      <c r="K5340" t="str">
        <f>IFERROR(INDEX(Rosters!$C$2:$C$155,MATCH($B5340,Rosters!$B$2:$B$155,0)),"NA")</f>
        <v>NA</v>
      </c>
      <c r="L5340" t="str">
        <f t="shared" si="249"/>
        <v>NA7WR</v>
      </c>
      <c r="M5340">
        <f>COUNTIF(L$1:L5340,L5340)</f>
        <v>71</v>
      </c>
      <c r="N5340" t="str">
        <f t="shared" si="250"/>
        <v>NA7WR-71</v>
      </c>
      <c r="O5340">
        <f>COUNTIFS(F$1:F5340,F5340,A$1:A5340,A5340)</f>
        <v>116</v>
      </c>
      <c r="P5340" t="str">
        <f t="shared" si="251"/>
        <v>D.J. Chark7</v>
      </c>
    </row>
    <row r="5341" spans="1:16" x14ac:dyDescent="0.25">
      <c r="A5341">
        <v>11</v>
      </c>
      <c r="B5341" t="s">
        <v>4234</v>
      </c>
      <c r="C5341" t="s">
        <v>4697</v>
      </c>
      <c r="D5341">
        <v>0.73</v>
      </c>
      <c r="E5341" t="s">
        <v>41</v>
      </c>
      <c r="F5341" t="s">
        <v>87</v>
      </c>
      <c r="G5341">
        <v>1.4</v>
      </c>
      <c r="H5341">
        <v>0.06</v>
      </c>
      <c r="I5341">
        <v>0.67</v>
      </c>
      <c r="J5341">
        <v>0.44890000000000002</v>
      </c>
      <c r="K5341" t="str">
        <f>IFERROR(INDEX(Rosters!$C$2:$C$155,MATCH($B5341,Rosters!$B$2:$B$155,0)),"NA")</f>
        <v>NA</v>
      </c>
      <c r="L5341" t="str">
        <f t="shared" si="249"/>
        <v>NA11WR</v>
      </c>
      <c r="M5341">
        <f>COUNTIF(L$1:L5341,L5341)</f>
        <v>62</v>
      </c>
      <c r="N5341" t="str">
        <f t="shared" si="250"/>
        <v>NA11WR-62</v>
      </c>
      <c r="O5341">
        <f>COUNTIFS(F$1:F5341,F5341,A$1:A5341,A5341)</f>
        <v>109</v>
      </c>
      <c r="P5341" t="str">
        <f t="shared" si="251"/>
        <v>David Moore11</v>
      </c>
    </row>
    <row r="5342" spans="1:16" x14ac:dyDescent="0.25">
      <c r="A5342">
        <v>14</v>
      </c>
      <c r="B5342" t="s">
        <v>8584</v>
      </c>
      <c r="C5342" t="s">
        <v>4697</v>
      </c>
      <c r="D5342">
        <v>0.73</v>
      </c>
      <c r="E5342" t="s">
        <v>24</v>
      </c>
      <c r="F5342" t="s">
        <v>47</v>
      </c>
      <c r="G5342">
        <v>1.4</v>
      </c>
      <c r="H5342">
        <v>0.06</v>
      </c>
      <c r="I5342">
        <v>0.67</v>
      </c>
      <c r="J5342">
        <v>0.44890000000000002</v>
      </c>
      <c r="K5342" t="str">
        <f>IFERROR(INDEX(Rosters!$C$2:$C$155,MATCH($B5342,Rosters!$B$2:$B$155,0)),"NA")</f>
        <v>NA</v>
      </c>
      <c r="L5342" t="str">
        <f t="shared" si="249"/>
        <v>NA14RB</v>
      </c>
      <c r="M5342">
        <f>COUNTIF(L$1:L5342,L5342)</f>
        <v>48</v>
      </c>
      <c r="N5342" t="str">
        <f t="shared" si="250"/>
        <v>NA14RB-48</v>
      </c>
      <c r="O5342">
        <f>COUNTIFS(F$1:F5342,F5342,A$1:A5342,A5342)</f>
        <v>95</v>
      </c>
      <c r="P5342" t="str">
        <f t="shared" si="251"/>
        <v>De'Lance Turner14</v>
      </c>
    </row>
    <row r="5343" spans="1:16" x14ac:dyDescent="0.25">
      <c r="A5343">
        <v>10</v>
      </c>
      <c r="B5343" t="s">
        <v>91</v>
      </c>
      <c r="C5343" t="s">
        <v>8850</v>
      </c>
      <c r="D5343">
        <v>0.73</v>
      </c>
      <c r="E5343" t="s">
        <v>19</v>
      </c>
      <c r="F5343" t="s">
        <v>15</v>
      </c>
      <c r="G5343">
        <v>1.37</v>
      </c>
      <c r="H5343">
        <v>0.09</v>
      </c>
      <c r="I5343">
        <v>0.64</v>
      </c>
      <c r="J5343">
        <v>0.40960000000000002</v>
      </c>
      <c r="K5343" t="str">
        <f>IFERROR(INDEX(Rosters!$C$2:$C$155,MATCH($B5343,Rosters!$B$2:$B$155,0)),"NA")</f>
        <v>NA</v>
      </c>
      <c r="L5343" t="str">
        <f t="shared" si="249"/>
        <v>NA10QB</v>
      </c>
      <c r="M5343">
        <f>COUNTIF(L$1:L5343,L5343)</f>
        <v>29</v>
      </c>
      <c r="N5343" t="str">
        <f t="shared" si="250"/>
        <v>NA10QB-29</v>
      </c>
      <c r="O5343">
        <f>COUNTIFS(F$1:F5343,F5343,A$1:A5343,A5343)</f>
        <v>45</v>
      </c>
      <c r="P5343" t="str">
        <f t="shared" si="251"/>
        <v>DeShone Kizer10</v>
      </c>
    </row>
    <row r="5344" spans="1:16" x14ac:dyDescent="0.25">
      <c r="A5344">
        <v>9</v>
      </c>
      <c r="B5344" t="s">
        <v>1516</v>
      </c>
      <c r="C5344" t="s">
        <v>4698</v>
      </c>
      <c r="D5344">
        <v>0.73</v>
      </c>
      <c r="E5344" t="s">
        <v>423</v>
      </c>
      <c r="F5344" t="s">
        <v>87</v>
      </c>
      <c r="G5344">
        <v>1.44</v>
      </c>
      <c r="H5344">
        <v>0.02</v>
      </c>
      <c r="I5344">
        <v>0.71</v>
      </c>
      <c r="J5344">
        <v>0.50409999999999999</v>
      </c>
      <c r="K5344" t="str">
        <f>IFERROR(INDEX(Rosters!$C$2:$C$155,MATCH($B5344,Rosters!$B$2:$B$155,0)),"NA")</f>
        <v>NA</v>
      </c>
      <c r="L5344" t="str">
        <f t="shared" si="249"/>
        <v>NA9WR</v>
      </c>
      <c r="M5344">
        <f>COUNTIF(L$1:L5344,L5344)</f>
        <v>66</v>
      </c>
      <c r="N5344" t="str">
        <f t="shared" si="250"/>
        <v>NA9WR-66</v>
      </c>
      <c r="O5344">
        <f>COUNTIFS(F$1:F5344,F5344,A$1:A5344,A5344)</f>
        <v>110</v>
      </c>
      <c r="P5344" t="str">
        <f t="shared" si="251"/>
        <v>J'Mon Moore9</v>
      </c>
    </row>
    <row r="5345" spans="1:16" x14ac:dyDescent="0.25">
      <c r="A5345">
        <v>6</v>
      </c>
      <c r="B5345" t="s">
        <v>1497</v>
      </c>
      <c r="C5345" t="s">
        <v>1558</v>
      </c>
      <c r="D5345">
        <v>0.73</v>
      </c>
      <c r="E5345" t="s">
        <v>73</v>
      </c>
      <c r="F5345" t="s">
        <v>15</v>
      </c>
      <c r="G5345">
        <v>1.27</v>
      </c>
      <c r="H5345">
        <v>0.19</v>
      </c>
      <c r="I5345">
        <v>0.54</v>
      </c>
      <c r="J5345">
        <v>0.29160000000000003</v>
      </c>
      <c r="K5345" t="str">
        <f>IFERROR(INDEX(Rosters!$C$2:$C$155,MATCH($B5345,Rosters!$B$2:$B$155,0)),"NA")</f>
        <v>NA</v>
      </c>
      <c r="L5345" t="str">
        <f t="shared" si="249"/>
        <v>NA6QB</v>
      </c>
      <c r="M5345">
        <f>COUNTIF(L$1:L5345,L5345)</f>
        <v>34</v>
      </c>
      <c r="N5345" t="str">
        <f t="shared" si="250"/>
        <v>NA6QB-34</v>
      </c>
      <c r="O5345">
        <f>COUNTIFS(F$1:F5345,F5345,A$1:A5345,A5345)</f>
        <v>49</v>
      </c>
      <c r="P5345" t="str">
        <f t="shared" si="251"/>
        <v>Jacoby Brissett6</v>
      </c>
    </row>
    <row r="5346" spans="1:16" x14ac:dyDescent="0.25">
      <c r="A5346">
        <v>3</v>
      </c>
      <c r="B5346" t="s">
        <v>1560</v>
      </c>
      <c r="C5346">
        <f>-0.16-1.62</f>
        <v>-1.78</v>
      </c>
      <c r="D5346">
        <v>0.73</v>
      </c>
      <c r="E5346" t="s">
        <v>38</v>
      </c>
      <c r="F5346" t="s">
        <v>87</v>
      </c>
      <c r="G5346">
        <v>1.62</v>
      </c>
      <c r="H5346">
        <v>-0.16</v>
      </c>
      <c r="I5346">
        <v>0.89</v>
      </c>
      <c r="J5346">
        <v>0.79210000000000003</v>
      </c>
      <c r="K5346" t="str">
        <f>IFERROR(INDEX(Rosters!$C$2:$C$155,MATCH($B5346,Rosters!$B$2:$B$155,0)),"NA")</f>
        <v>NA</v>
      </c>
      <c r="L5346" t="str">
        <f t="shared" si="249"/>
        <v>NA3WR</v>
      </c>
      <c r="M5346">
        <f>COUNTIF(L$1:L5346,L5346)</f>
        <v>70</v>
      </c>
      <c r="N5346" t="str">
        <f t="shared" si="250"/>
        <v>NA3WR-70</v>
      </c>
      <c r="O5346">
        <f>COUNTIFS(F$1:F5346,F5346,A$1:A5346,A5346)</f>
        <v>119</v>
      </c>
      <c r="P5346" t="str">
        <f t="shared" si="251"/>
        <v>Jaydon Mickens3</v>
      </c>
    </row>
    <row r="5347" spans="1:16" x14ac:dyDescent="0.25">
      <c r="A5347">
        <v>10</v>
      </c>
      <c r="B5347" t="s">
        <v>4687</v>
      </c>
      <c r="C5347">
        <f>-0.05-1.51</f>
        <v>-1.56</v>
      </c>
      <c r="D5347">
        <v>0.73</v>
      </c>
      <c r="E5347" t="s">
        <v>22</v>
      </c>
      <c r="F5347" t="s">
        <v>47</v>
      </c>
      <c r="G5347">
        <v>1.51</v>
      </c>
      <c r="H5347">
        <v>-0.05</v>
      </c>
      <c r="I5347">
        <v>0.78</v>
      </c>
      <c r="J5347">
        <v>0.60840000000000005</v>
      </c>
      <c r="K5347" t="str">
        <f>IFERROR(INDEX(Rosters!$C$2:$C$155,MATCH($B5347,Rosters!$B$2:$B$155,0)),"NA")</f>
        <v>NA</v>
      </c>
      <c r="L5347" t="str">
        <f t="shared" si="249"/>
        <v>NA10RB</v>
      </c>
      <c r="M5347">
        <f>COUNTIF(L$1:L5347,L5347)</f>
        <v>42</v>
      </c>
      <c r="N5347" t="str">
        <f t="shared" si="250"/>
        <v>NA10RB-42</v>
      </c>
      <c r="O5347">
        <f>COUNTIFS(F$1:F5347,F5347,A$1:A5347,A5347)</f>
        <v>81</v>
      </c>
      <c r="P5347" t="str">
        <f t="shared" si="251"/>
        <v>Josh Adams10</v>
      </c>
    </row>
    <row r="5348" spans="1:16" x14ac:dyDescent="0.25">
      <c r="A5348">
        <v>16</v>
      </c>
      <c r="B5348" t="s">
        <v>4687</v>
      </c>
      <c r="C5348">
        <f>-0.04-1.5</f>
        <v>-1.54</v>
      </c>
      <c r="D5348">
        <v>0.73</v>
      </c>
      <c r="E5348" t="s">
        <v>36</v>
      </c>
      <c r="F5348" t="s">
        <v>47</v>
      </c>
      <c r="G5348">
        <v>1.5</v>
      </c>
      <c r="H5348">
        <v>-0.04</v>
      </c>
      <c r="I5348">
        <v>0.77</v>
      </c>
      <c r="J5348">
        <v>0.59289999999999998</v>
      </c>
      <c r="K5348" t="str">
        <f>IFERROR(INDEX(Rosters!$C$2:$C$155,MATCH($B5348,Rosters!$B$2:$B$155,0)),"NA")</f>
        <v>NA</v>
      </c>
      <c r="L5348" t="str">
        <f t="shared" si="249"/>
        <v>NA16RB</v>
      </c>
      <c r="M5348">
        <f>COUNTIF(L$1:L5348,L5348)</f>
        <v>45</v>
      </c>
      <c r="N5348" t="str">
        <f t="shared" si="250"/>
        <v>NA16RB-45</v>
      </c>
      <c r="O5348">
        <f>COUNTIFS(F$1:F5348,F5348,A$1:A5348,A5348)</f>
        <v>92</v>
      </c>
      <c r="P5348" t="str">
        <f t="shared" si="251"/>
        <v>Josh Adams16</v>
      </c>
    </row>
    <row r="5349" spans="1:16" x14ac:dyDescent="0.25">
      <c r="A5349">
        <v>6</v>
      </c>
      <c r="B5349" t="s">
        <v>8834</v>
      </c>
      <c r="C5349">
        <f>-0.01-1.47</f>
        <v>-1.48</v>
      </c>
      <c r="D5349">
        <v>0.73</v>
      </c>
      <c r="E5349" t="s">
        <v>46</v>
      </c>
      <c r="F5349" t="s">
        <v>87</v>
      </c>
      <c r="G5349">
        <v>1.47</v>
      </c>
      <c r="H5349">
        <v>-0.01</v>
      </c>
      <c r="I5349">
        <v>0.74</v>
      </c>
      <c r="J5349">
        <v>0.54759999999999998</v>
      </c>
      <c r="K5349" t="str">
        <f>IFERROR(INDEX(Rosters!$C$2:$C$155,MATCH($B5349,Rosters!$B$2:$B$155,0)),"NA")</f>
        <v>NA</v>
      </c>
      <c r="L5349" t="str">
        <f t="shared" si="249"/>
        <v>NA6WR</v>
      </c>
      <c r="M5349">
        <f>COUNTIF(L$1:L5349,L5349)</f>
        <v>75</v>
      </c>
      <c r="N5349" t="str">
        <f t="shared" si="250"/>
        <v>NA6WR-75</v>
      </c>
      <c r="O5349">
        <f>COUNTIFS(F$1:F5349,F5349,A$1:A5349,A5349)</f>
        <v>125</v>
      </c>
      <c r="P5349" t="str">
        <f t="shared" si="251"/>
        <v>Justin Watson6</v>
      </c>
    </row>
    <row r="5350" spans="1:16" x14ac:dyDescent="0.25">
      <c r="A5350">
        <v>10</v>
      </c>
      <c r="B5350" t="s">
        <v>198</v>
      </c>
      <c r="C5350">
        <f>-0.11-1.57</f>
        <v>-1.6800000000000002</v>
      </c>
      <c r="D5350">
        <v>0.73</v>
      </c>
      <c r="E5350" t="s">
        <v>34</v>
      </c>
      <c r="F5350" t="s">
        <v>87</v>
      </c>
      <c r="G5350">
        <v>1.57</v>
      </c>
      <c r="H5350">
        <v>-0.11</v>
      </c>
      <c r="I5350">
        <v>0.84</v>
      </c>
      <c r="J5350">
        <v>0.7056</v>
      </c>
      <c r="K5350" t="str">
        <f>IFERROR(INDEX(Rosters!$C$2:$C$155,MATCH($B5350,Rosters!$B$2:$B$155,0)),"NA")</f>
        <v>NA</v>
      </c>
      <c r="L5350" t="str">
        <f t="shared" si="249"/>
        <v>NA10WR</v>
      </c>
      <c r="M5350">
        <f>COUNTIF(L$1:L5350,L5350)</f>
        <v>73</v>
      </c>
      <c r="N5350" t="str">
        <f t="shared" si="250"/>
        <v>NA10WR-73</v>
      </c>
      <c r="O5350">
        <f>COUNTIFS(F$1:F5350,F5350,A$1:A5350,A5350)</f>
        <v>118</v>
      </c>
      <c r="P5350" t="str">
        <f t="shared" si="251"/>
        <v>Kevin White10</v>
      </c>
    </row>
    <row r="5351" spans="1:16" x14ac:dyDescent="0.25">
      <c r="A5351">
        <v>9</v>
      </c>
      <c r="B5351" t="s">
        <v>4238</v>
      </c>
      <c r="C5351">
        <f>-0.29-1.75</f>
        <v>-2.04</v>
      </c>
      <c r="D5351">
        <v>0.73</v>
      </c>
      <c r="E5351" t="s">
        <v>52</v>
      </c>
      <c r="F5351" t="s">
        <v>87</v>
      </c>
      <c r="G5351">
        <v>1.75</v>
      </c>
      <c r="H5351">
        <v>-0.28999999999999998</v>
      </c>
      <c r="I5351">
        <v>1.02</v>
      </c>
      <c r="J5351">
        <v>1.0404</v>
      </c>
      <c r="K5351" t="str">
        <f>IFERROR(INDEX(Rosters!$C$2:$C$155,MATCH($B5351,Rosters!$B$2:$B$155,0)),"NA")</f>
        <v>NA</v>
      </c>
      <c r="L5351" t="str">
        <f t="shared" si="249"/>
        <v>NA9WR</v>
      </c>
      <c r="M5351">
        <f>COUNTIF(L$1:L5351,L5351)</f>
        <v>67</v>
      </c>
      <c r="N5351" t="str">
        <f t="shared" si="250"/>
        <v>NA9WR-67</v>
      </c>
      <c r="O5351">
        <f>COUNTIFS(F$1:F5351,F5351,A$1:A5351,A5351)</f>
        <v>111</v>
      </c>
      <c r="P5351" t="str">
        <f t="shared" si="251"/>
        <v>Marcus Kemp9</v>
      </c>
    </row>
    <row r="5352" spans="1:16" x14ac:dyDescent="0.25">
      <c r="A5352">
        <v>10</v>
      </c>
      <c r="B5352" t="s">
        <v>391</v>
      </c>
      <c r="C5352">
        <f>-0.11-1.57</f>
        <v>-1.6800000000000002</v>
      </c>
      <c r="D5352">
        <v>0.73</v>
      </c>
      <c r="E5352" t="s">
        <v>38</v>
      </c>
      <c r="F5352" t="s">
        <v>87</v>
      </c>
      <c r="G5352">
        <v>1.57</v>
      </c>
      <c r="H5352">
        <v>-0.11</v>
      </c>
      <c r="I5352">
        <v>0.84</v>
      </c>
      <c r="J5352">
        <v>0.7056</v>
      </c>
      <c r="K5352" t="str">
        <f>IFERROR(INDEX(Rosters!$C$2:$C$155,MATCH($B5352,Rosters!$B$2:$B$155,0)),"NA")</f>
        <v>NA</v>
      </c>
      <c r="L5352" t="str">
        <f t="shared" si="249"/>
        <v>NA10WR</v>
      </c>
      <c r="M5352">
        <f>COUNTIF(L$1:L5352,L5352)</f>
        <v>74</v>
      </c>
      <c r="N5352" t="str">
        <f t="shared" si="250"/>
        <v>NA10WR-74</v>
      </c>
      <c r="O5352">
        <f>COUNTIFS(F$1:F5352,F5352,A$1:A5352,A5352)</f>
        <v>119</v>
      </c>
      <c r="P5352" t="str">
        <f t="shared" si="251"/>
        <v>Matt Slater10</v>
      </c>
    </row>
    <row r="5353" spans="1:16" x14ac:dyDescent="0.25">
      <c r="A5353">
        <v>15</v>
      </c>
      <c r="B5353" t="s">
        <v>391</v>
      </c>
      <c r="C5353" t="s">
        <v>8848</v>
      </c>
      <c r="D5353">
        <v>0.73</v>
      </c>
      <c r="E5353" t="s">
        <v>51</v>
      </c>
      <c r="F5353" t="s">
        <v>87</v>
      </c>
      <c r="G5353">
        <v>1.46</v>
      </c>
      <c r="H5353">
        <v>0</v>
      </c>
      <c r="I5353">
        <v>0.73</v>
      </c>
      <c r="J5353">
        <v>0.53290000000000004</v>
      </c>
      <c r="K5353" t="str">
        <f>IFERROR(INDEX(Rosters!$C$2:$C$155,MATCH($B5353,Rosters!$B$2:$B$155,0)),"NA")</f>
        <v>NA</v>
      </c>
      <c r="L5353" t="str">
        <f t="shared" si="249"/>
        <v>NA15WR</v>
      </c>
      <c r="M5353">
        <f>COUNTIF(L$1:L5353,L5353)</f>
        <v>75</v>
      </c>
      <c r="N5353" t="str">
        <f t="shared" si="250"/>
        <v>NA15WR-75</v>
      </c>
      <c r="O5353">
        <f>COUNTIFS(F$1:F5353,F5353,A$1:A5353,A5353)</f>
        <v>129</v>
      </c>
      <c r="P5353" t="str">
        <f t="shared" si="251"/>
        <v>Matt Slater15</v>
      </c>
    </row>
    <row r="5354" spans="1:16" x14ac:dyDescent="0.25">
      <c r="A5354">
        <v>17</v>
      </c>
      <c r="B5354" t="s">
        <v>1112</v>
      </c>
      <c r="C5354" t="s">
        <v>3837</v>
      </c>
      <c r="D5354">
        <v>0.73</v>
      </c>
      <c r="E5354" t="s">
        <v>30</v>
      </c>
      <c r="F5354" t="s">
        <v>87</v>
      </c>
      <c r="G5354">
        <v>1.45</v>
      </c>
      <c r="H5354">
        <v>0.01</v>
      </c>
      <c r="I5354">
        <v>0.72</v>
      </c>
      <c r="J5354">
        <v>0.51839999999999997</v>
      </c>
      <c r="K5354" t="str">
        <f>IFERROR(INDEX(Rosters!$C$2:$C$155,MATCH($B5354,Rosters!$B$2:$B$155,0)),"NA")</f>
        <v>NA</v>
      </c>
      <c r="L5354" t="str">
        <f t="shared" si="249"/>
        <v>NA17WR</v>
      </c>
      <c r="M5354">
        <f>COUNTIF(L$1:L5354,L5354)</f>
        <v>80</v>
      </c>
      <c r="N5354" t="str">
        <f t="shared" si="250"/>
        <v>NA17WR-80</v>
      </c>
      <c r="O5354">
        <f>COUNTIFS(F$1:F5354,F5354,A$1:A5354,A5354)</f>
        <v>134</v>
      </c>
      <c r="P5354" t="str">
        <f t="shared" si="251"/>
        <v>Mike Thomas17</v>
      </c>
    </row>
    <row r="5355" spans="1:16" x14ac:dyDescent="0.25">
      <c r="A5355">
        <v>12</v>
      </c>
      <c r="B5355" t="s">
        <v>3036</v>
      </c>
      <c r="C5355">
        <f>-0.03-1.49</f>
        <v>-1.52</v>
      </c>
      <c r="D5355">
        <v>0.73</v>
      </c>
      <c r="E5355" t="s">
        <v>36</v>
      </c>
      <c r="F5355" t="s">
        <v>87</v>
      </c>
      <c r="G5355">
        <v>1.49</v>
      </c>
      <c r="H5355">
        <v>-0.03</v>
      </c>
      <c r="I5355">
        <v>0.76</v>
      </c>
      <c r="J5355">
        <v>0.5776</v>
      </c>
      <c r="K5355" t="str">
        <f>IFERROR(INDEX(Rosters!$C$2:$C$155,MATCH($B5355,Rosters!$B$2:$B$155,0)),"NA")</f>
        <v>NA</v>
      </c>
      <c r="L5355" t="str">
        <f t="shared" si="249"/>
        <v>NA12WR</v>
      </c>
      <c r="M5355">
        <f>COUNTIF(L$1:L5355,L5355)</f>
        <v>68</v>
      </c>
      <c r="N5355" t="str">
        <f t="shared" si="250"/>
        <v>NA12WR-68</v>
      </c>
      <c r="O5355">
        <f>COUNTIFS(F$1:F5355,F5355,A$1:A5355,A5355)</f>
        <v>117</v>
      </c>
      <c r="P5355" t="str">
        <f t="shared" si="251"/>
        <v>Nick Williams12</v>
      </c>
    </row>
    <row r="5356" spans="1:16" x14ac:dyDescent="0.25">
      <c r="A5356">
        <v>6</v>
      </c>
      <c r="B5356" t="s">
        <v>8786</v>
      </c>
      <c r="C5356">
        <f>-0.16-1.62</f>
        <v>-1.78</v>
      </c>
      <c r="D5356">
        <v>0.73</v>
      </c>
      <c r="E5356" t="s">
        <v>22</v>
      </c>
      <c r="F5356" t="s">
        <v>87</v>
      </c>
      <c r="G5356">
        <v>1.62</v>
      </c>
      <c r="H5356">
        <v>-0.16</v>
      </c>
      <c r="I5356">
        <v>0.89</v>
      </c>
      <c r="J5356">
        <v>0.79210000000000003</v>
      </c>
      <c r="K5356" t="str">
        <f>IFERROR(INDEX(Rosters!$C$2:$C$155,MATCH($B5356,Rosters!$B$2:$B$155,0)),"NA")</f>
        <v>NA</v>
      </c>
      <c r="L5356" t="str">
        <f t="shared" si="249"/>
        <v>NA6WR</v>
      </c>
      <c r="M5356">
        <f>COUNTIF(L$1:L5356,L5356)</f>
        <v>76</v>
      </c>
      <c r="N5356" t="str">
        <f t="shared" si="250"/>
        <v>NA6WR-76</v>
      </c>
      <c r="O5356">
        <f>COUNTIFS(F$1:F5356,F5356,A$1:A5356,A5356)</f>
        <v>126</v>
      </c>
      <c r="P5356" t="str">
        <f t="shared" si="251"/>
        <v>Rashad Greene6</v>
      </c>
    </row>
    <row r="5357" spans="1:16" x14ac:dyDescent="0.25">
      <c r="A5357">
        <v>8</v>
      </c>
      <c r="B5357" t="s">
        <v>4246</v>
      </c>
      <c r="C5357" t="s">
        <v>8848</v>
      </c>
      <c r="D5357">
        <v>0.73</v>
      </c>
      <c r="E5357" t="s">
        <v>60</v>
      </c>
      <c r="F5357" t="s">
        <v>114</v>
      </c>
      <c r="G5357">
        <v>1.46</v>
      </c>
      <c r="H5357">
        <v>0</v>
      </c>
      <c r="I5357">
        <v>0.73</v>
      </c>
      <c r="J5357">
        <v>0.53290000000000004</v>
      </c>
      <c r="K5357" t="str">
        <f>IFERROR(INDEX(Rosters!$C$2:$C$155,MATCH($B5357,Rosters!$B$2:$B$155,0)),"NA")</f>
        <v>NA</v>
      </c>
      <c r="L5357" t="str">
        <f t="shared" si="249"/>
        <v>NA8TE</v>
      </c>
      <c r="M5357">
        <f>COUNTIF(L$1:L5357,L5357)</f>
        <v>49</v>
      </c>
      <c r="N5357" t="str">
        <f t="shared" si="250"/>
        <v>NA8TE-49</v>
      </c>
      <c r="O5357">
        <f>COUNTIFS(F$1:F5357,F5357,A$1:A5357,A5357)</f>
        <v>61</v>
      </c>
      <c r="P5357" t="str">
        <f t="shared" si="251"/>
        <v>Scott Simonson8</v>
      </c>
    </row>
    <row r="5358" spans="1:16" x14ac:dyDescent="0.25">
      <c r="A5358">
        <v>13</v>
      </c>
      <c r="B5358" t="s">
        <v>4703</v>
      </c>
      <c r="C5358" t="s">
        <v>3837</v>
      </c>
      <c r="D5358">
        <v>0.73</v>
      </c>
      <c r="E5358" t="s">
        <v>46</v>
      </c>
      <c r="F5358" t="s">
        <v>87</v>
      </c>
      <c r="G5358">
        <v>1.45</v>
      </c>
      <c r="H5358">
        <v>0.01</v>
      </c>
      <c r="I5358">
        <v>0.72</v>
      </c>
      <c r="J5358">
        <v>0.51839999999999997</v>
      </c>
      <c r="K5358" t="str">
        <f>IFERROR(INDEX(Rosters!$C$2:$C$155,MATCH($B5358,Rosters!$B$2:$B$155,0)),"NA")</f>
        <v>NA</v>
      </c>
      <c r="L5358" t="str">
        <f t="shared" si="249"/>
        <v>NA13WR</v>
      </c>
      <c r="M5358">
        <f>COUNTIF(L$1:L5358,L5358)</f>
        <v>77</v>
      </c>
      <c r="N5358" t="str">
        <f t="shared" si="250"/>
        <v>NA13WR-77</v>
      </c>
      <c r="O5358">
        <f>COUNTIFS(F$1:F5358,F5358,A$1:A5358,A5358)</f>
        <v>131</v>
      </c>
      <c r="P5358" t="str">
        <f t="shared" si="251"/>
        <v>Tim White13</v>
      </c>
    </row>
    <row r="5359" spans="1:16" x14ac:dyDescent="0.25">
      <c r="A5359">
        <v>4</v>
      </c>
      <c r="B5359" t="s">
        <v>1566</v>
      </c>
      <c r="C5359">
        <f>-0.08-1.54</f>
        <v>-1.62</v>
      </c>
      <c r="D5359">
        <v>0.73</v>
      </c>
      <c r="E5359" t="s">
        <v>37</v>
      </c>
      <c r="F5359" t="s">
        <v>87</v>
      </c>
      <c r="G5359">
        <v>1.54</v>
      </c>
      <c r="H5359">
        <v>-0.08</v>
      </c>
      <c r="I5359">
        <v>0.81</v>
      </c>
      <c r="J5359">
        <v>0.65610000000000002</v>
      </c>
      <c r="K5359" t="str">
        <f>IFERROR(INDEX(Rosters!$C$2:$C$155,MATCH($B5359,Rosters!$B$2:$B$155,0)),"NA")</f>
        <v>NA</v>
      </c>
      <c r="L5359" t="str">
        <f t="shared" si="249"/>
        <v>NA4WR</v>
      </c>
      <c r="M5359">
        <f>COUNTIF(L$1:L5359,L5359)</f>
        <v>62</v>
      </c>
      <c r="N5359" t="str">
        <f t="shared" si="250"/>
        <v>NA4WR-62</v>
      </c>
      <c r="O5359">
        <f>COUNTIFS(F$1:F5359,F5359,A$1:A5359,A5359)</f>
        <v>112</v>
      </c>
      <c r="P5359" t="str">
        <f t="shared" si="251"/>
        <v>Victor Bolden Jr.4</v>
      </c>
    </row>
    <row r="5360" spans="1:16" x14ac:dyDescent="0.25">
      <c r="A5360">
        <v>3</v>
      </c>
      <c r="B5360" t="s">
        <v>2599</v>
      </c>
      <c r="C5360" t="s">
        <v>4241</v>
      </c>
      <c r="D5360">
        <v>0.72</v>
      </c>
      <c r="E5360" t="s">
        <v>19</v>
      </c>
      <c r="F5360" t="s">
        <v>87</v>
      </c>
      <c r="G5360">
        <v>1.44</v>
      </c>
      <c r="H5360">
        <v>0</v>
      </c>
      <c r="I5360">
        <v>0.72</v>
      </c>
      <c r="J5360">
        <v>0.51839999999999997</v>
      </c>
      <c r="K5360" t="str">
        <f>IFERROR(INDEX(Rosters!$C$2:$C$155,MATCH($B5360,Rosters!$B$2:$B$155,0)),"NA")</f>
        <v>NA</v>
      </c>
      <c r="L5360" t="str">
        <f t="shared" si="249"/>
        <v>NA3WR</v>
      </c>
      <c r="M5360">
        <f>COUNTIF(L$1:L5360,L5360)</f>
        <v>71</v>
      </c>
      <c r="N5360" t="str">
        <f t="shared" si="250"/>
        <v>NA3WR-71</v>
      </c>
      <c r="O5360">
        <f>COUNTIFS(F$1:F5360,F5360,A$1:A5360,A5360)</f>
        <v>120</v>
      </c>
      <c r="P5360" t="str">
        <f t="shared" si="251"/>
        <v>Brandon LaFell3</v>
      </c>
    </row>
    <row r="5361" spans="1:16" x14ac:dyDescent="0.25">
      <c r="A5361">
        <v>13</v>
      </c>
      <c r="B5361" t="s">
        <v>216</v>
      </c>
      <c r="C5361">
        <f>-0.08-1.52</f>
        <v>-1.6</v>
      </c>
      <c r="D5361">
        <v>0.72</v>
      </c>
      <c r="E5361" t="s">
        <v>30</v>
      </c>
      <c r="F5361" t="s">
        <v>47</v>
      </c>
      <c r="G5361">
        <v>1.52</v>
      </c>
      <c r="H5361">
        <v>-0.08</v>
      </c>
      <c r="I5361">
        <v>0.8</v>
      </c>
      <c r="J5361">
        <v>0.64</v>
      </c>
      <c r="K5361" t="str">
        <f>IFERROR(INDEX(Rosters!$C$2:$C$155,MATCH($B5361,Rosters!$B$2:$B$155,0)),"NA")</f>
        <v>NA</v>
      </c>
      <c r="L5361" t="str">
        <f t="shared" si="249"/>
        <v>NA13RB</v>
      </c>
      <c r="M5361">
        <f>COUNTIF(L$1:L5361,L5361)</f>
        <v>49</v>
      </c>
      <c r="N5361" t="str">
        <f t="shared" si="250"/>
        <v>NA13RB-49</v>
      </c>
      <c r="O5361">
        <f>COUNTIFS(F$1:F5361,F5361,A$1:A5361,A5361)</f>
        <v>96</v>
      </c>
      <c r="P5361" t="str">
        <f t="shared" si="251"/>
        <v>C.J. Prosise13</v>
      </c>
    </row>
    <row r="5362" spans="1:16" x14ac:dyDescent="0.25">
      <c r="A5362">
        <v>7</v>
      </c>
      <c r="B5362" t="s">
        <v>1126</v>
      </c>
      <c r="C5362" t="s">
        <v>4700</v>
      </c>
      <c r="D5362">
        <v>0.72</v>
      </c>
      <c r="E5362" t="s">
        <v>25</v>
      </c>
      <c r="F5362" t="s">
        <v>87</v>
      </c>
      <c r="G5362">
        <v>1.43</v>
      </c>
      <c r="H5362">
        <v>0.01</v>
      </c>
      <c r="I5362">
        <v>0.71</v>
      </c>
      <c r="J5362">
        <v>0.50409999999999999</v>
      </c>
      <c r="K5362" t="str">
        <f>IFERROR(INDEX(Rosters!$C$2:$C$155,MATCH($B5362,Rosters!$B$2:$B$155,0)),"NA")</f>
        <v>NA</v>
      </c>
      <c r="L5362" t="str">
        <f t="shared" si="249"/>
        <v>NA7WR</v>
      </c>
      <c r="M5362">
        <f>COUNTIF(L$1:L5362,L5362)</f>
        <v>72</v>
      </c>
      <c r="N5362" t="str">
        <f t="shared" si="250"/>
        <v>NA7WR-72</v>
      </c>
      <c r="O5362">
        <f>COUNTIFS(F$1:F5362,F5362,A$1:A5362,A5362)</f>
        <v>117</v>
      </c>
      <c r="P5362" t="str">
        <f t="shared" si="251"/>
        <v>Charone Peake7</v>
      </c>
    </row>
    <row r="5363" spans="1:16" x14ac:dyDescent="0.25">
      <c r="A5363">
        <v>15</v>
      </c>
      <c r="B5363" t="s">
        <v>1126</v>
      </c>
      <c r="C5363" t="s">
        <v>4241</v>
      </c>
      <c r="D5363">
        <v>0.72</v>
      </c>
      <c r="E5363" t="s">
        <v>36</v>
      </c>
      <c r="F5363" t="s">
        <v>87</v>
      </c>
      <c r="G5363">
        <v>1.44</v>
      </c>
      <c r="H5363">
        <v>0</v>
      </c>
      <c r="I5363">
        <v>0.72</v>
      </c>
      <c r="J5363">
        <v>0.51839999999999997</v>
      </c>
      <c r="K5363" t="str">
        <f>IFERROR(INDEX(Rosters!$C$2:$C$155,MATCH($B5363,Rosters!$B$2:$B$155,0)),"NA")</f>
        <v>NA</v>
      </c>
      <c r="L5363" t="str">
        <f t="shared" si="249"/>
        <v>NA15WR</v>
      </c>
      <c r="M5363">
        <f>COUNTIF(L$1:L5363,L5363)</f>
        <v>76</v>
      </c>
      <c r="N5363" t="str">
        <f t="shared" si="250"/>
        <v>NA15WR-76</v>
      </c>
      <c r="O5363">
        <f>COUNTIFS(F$1:F5363,F5363,A$1:A5363,A5363)</f>
        <v>130</v>
      </c>
      <c r="P5363" t="str">
        <f t="shared" si="251"/>
        <v>Charone Peake15</v>
      </c>
    </row>
    <row r="5364" spans="1:16" x14ac:dyDescent="0.25">
      <c r="A5364">
        <v>16</v>
      </c>
      <c r="B5364" t="s">
        <v>744</v>
      </c>
      <c r="C5364" t="s">
        <v>8852</v>
      </c>
      <c r="D5364">
        <v>0.72</v>
      </c>
      <c r="E5364" t="s">
        <v>19</v>
      </c>
      <c r="F5364" t="s">
        <v>15</v>
      </c>
      <c r="G5364">
        <v>1.21</v>
      </c>
      <c r="H5364">
        <v>0.23</v>
      </c>
      <c r="I5364">
        <v>0.49</v>
      </c>
      <c r="J5364">
        <v>0.24010000000000001</v>
      </c>
      <c r="K5364" t="str">
        <f>IFERROR(INDEX(Rosters!$C$2:$C$155,MATCH($B5364,Rosters!$B$2:$B$155,0)),"NA")</f>
        <v>NA</v>
      </c>
      <c r="L5364" t="str">
        <f t="shared" si="249"/>
        <v>NA16QB</v>
      </c>
      <c r="M5364">
        <f>COUNTIF(L$1:L5364,L5364)</f>
        <v>33</v>
      </c>
      <c r="N5364" t="str">
        <f t="shared" si="250"/>
        <v>NA16QB-33</v>
      </c>
      <c r="O5364">
        <f>COUNTIFS(F$1:F5364,F5364,A$1:A5364,A5364)</f>
        <v>50</v>
      </c>
      <c r="P5364" t="str">
        <f t="shared" si="251"/>
        <v>Cody Kessler16</v>
      </c>
    </row>
    <row r="5365" spans="1:16" x14ac:dyDescent="0.25">
      <c r="A5365">
        <v>15</v>
      </c>
      <c r="B5365" t="s">
        <v>304</v>
      </c>
      <c r="C5365">
        <f>-0.12-1.56</f>
        <v>-1.6800000000000002</v>
      </c>
      <c r="D5365">
        <v>0.72</v>
      </c>
      <c r="E5365" t="s">
        <v>423</v>
      </c>
      <c r="F5365" t="s">
        <v>87</v>
      </c>
      <c r="G5365">
        <v>1.56</v>
      </c>
      <c r="H5365">
        <v>-0.12</v>
      </c>
      <c r="I5365">
        <v>0.84</v>
      </c>
      <c r="J5365">
        <v>0.7056</v>
      </c>
      <c r="K5365" t="str">
        <f>IFERROR(INDEX(Rosters!$C$2:$C$155,MATCH($B5365,Rosters!$B$2:$B$155,0)),"NA")</f>
        <v>NA</v>
      </c>
      <c r="L5365" t="str">
        <f t="shared" si="249"/>
        <v>NA15WR</v>
      </c>
      <c r="M5365">
        <f>COUNTIF(L$1:L5365,L5365)</f>
        <v>77</v>
      </c>
      <c r="N5365" t="str">
        <f t="shared" si="250"/>
        <v>NA15WR-77</v>
      </c>
      <c r="O5365">
        <f>COUNTIFS(F$1:F5365,F5365,A$1:A5365,A5365)</f>
        <v>131</v>
      </c>
      <c r="P5365" t="str">
        <f t="shared" si="251"/>
        <v>Darrius Heyward-Bey15</v>
      </c>
    </row>
    <row r="5366" spans="1:16" x14ac:dyDescent="0.25">
      <c r="A5366">
        <v>6</v>
      </c>
      <c r="B5366" t="s">
        <v>4234</v>
      </c>
      <c r="C5366">
        <f>-0.01-1.45</f>
        <v>-1.46</v>
      </c>
      <c r="D5366">
        <v>0.72</v>
      </c>
      <c r="E5366" t="s">
        <v>32</v>
      </c>
      <c r="F5366" t="s">
        <v>87</v>
      </c>
      <c r="G5366">
        <v>1.45</v>
      </c>
      <c r="H5366">
        <v>-0.01</v>
      </c>
      <c r="I5366">
        <v>0.73</v>
      </c>
      <c r="J5366">
        <v>0.53290000000000004</v>
      </c>
      <c r="K5366" t="str">
        <f>IFERROR(INDEX(Rosters!$C$2:$C$155,MATCH($B5366,Rosters!$B$2:$B$155,0)),"NA")</f>
        <v>NA</v>
      </c>
      <c r="L5366" t="str">
        <f t="shared" si="249"/>
        <v>NA6WR</v>
      </c>
      <c r="M5366">
        <f>COUNTIF(L$1:L5366,L5366)</f>
        <v>77</v>
      </c>
      <c r="N5366" t="str">
        <f t="shared" si="250"/>
        <v>NA6WR-77</v>
      </c>
      <c r="O5366">
        <f>COUNTIFS(F$1:F5366,F5366,A$1:A5366,A5366)</f>
        <v>127</v>
      </c>
      <c r="P5366" t="str">
        <f t="shared" si="251"/>
        <v>David Moore6</v>
      </c>
    </row>
    <row r="5367" spans="1:16" x14ac:dyDescent="0.25">
      <c r="A5367">
        <v>17</v>
      </c>
      <c r="B5367" t="s">
        <v>4234</v>
      </c>
      <c r="C5367" t="s">
        <v>4242</v>
      </c>
      <c r="D5367">
        <v>0.72</v>
      </c>
      <c r="E5367" t="s">
        <v>58</v>
      </c>
      <c r="F5367" t="s">
        <v>87</v>
      </c>
      <c r="G5367">
        <v>1.42</v>
      </c>
      <c r="H5367">
        <v>0.02</v>
      </c>
      <c r="I5367">
        <v>0.7</v>
      </c>
      <c r="J5367">
        <v>0.49</v>
      </c>
      <c r="K5367" t="str">
        <f>IFERROR(INDEX(Rosters!$C$2:$C$155,MATCH($B5367,Rosters!$B$2:$B$155,0)),"NA")</f>
        <v>NA</v>
      </c>
      <c r="L5367" t="str">
        <f t="shared" si="249"/>
        <v>NA17WR</v>
      </c>
      <c r="M5367">
        <f>COUNTIF(L$1:L5367,L5367)</f>
        <v>81</v>
      </c>
      <c r="N5367" t="str">
        <f t="shared" si="250"/>
        <v>NA17WR-81</v>
      </c>
      <c r="O5367">
        <f>COUNTIFS(F$1:F5367,F5367,A$1:A5367,A5367)</f>
        <v>135</v>
      </c>
      <c r="P5367" t="str">
        <f t="shared" si="251"/>
        <v>David Moore17</v>
      </c>
    </row>
    <row r="5368" spans="1:16" x14ac:dyDescent="0.25">
      <c r="A5368">
        <v>13</v>
      </c>
      <c r="B5368" t="s">
        <v>8584</v>
      </c>
      <c r="C5368" t="s">
        <v>8853</v>
      </c>
      <c r="D5368">
        <v>0.72</v>
      </c>
      <c r="E5368" t="s">
        <v>46</v>
      </c>
      <c r="F5368" t="s">
        <v>47</v>
      </c>
      <c r="G5368">
        <v>1.36</v>
      </c>
      <c r="H5368">
        <v>0.08</v>
      </c>
      <c r="I5368">
        <v>0.64</v>
      </c>
      <c r="J5368">
        <v>0.40960000000000002</v>
      </c>
      <c r="K5368" t="str">
        <f>IFERROR(INDEX(Rosters!$C$2:$C$155,MATCH($B5368,Rosters!$B$2:$B$155,0)),"NA")</f>
        <v>NA</v>
      </c>
      <c r="L5368" t="str">
        <f t="shared" si="249"/>
        <v>NA13RB</v>
      </c>
      <c r="M5368">
        <f>COUNTIF(L$1:L5368,L5368)</f>
        <v>50</v>
      </c>
      <c r="N5368" t="str">
        <f t="shared" si="250"/>
        <v>NA13RB-50</v>
      </c>
      <c r="O5368">
        <f>COUNTIFS(F$1:F5368,F5368,A$1:A5368,A5368)</f>
        <v>97</v>
      </c>
      <c r="P5368" t="str">
        <f t="shared" si="251"/>
        <v>De'Lance Turner13</v>
      </c>
    </row>
    <row r="5369" spans="1:16" x14ac:dyDescent="0.25">
      <c r="A5369">
        <v>2</v>
      </c>
      <c r="B5369" t="s">
        <v>317</v>
      </c>
      <c r="C5369">
        <f>-0.05-1.49</f>
        <v>-1.54</v>
      </c>
      <c r="D5369">
        <v>0.72</v>
      </c>
      <c r="E5369" t="s">
        <v>29</v>
      </c>
      <c r="F5369" t="s">
        <v>47</v>
      </c>
      <c r="G5369">
        <v>1.49</v>
      </c>
      <c r="H5369">
        <v>-0.05</v>
      </c>
      <c r="I5369">
        <v>0.77</v>
      </c>
      <c r="J5369">
        <v>0.59289999999999998</v>
      </c>
      <c r="K5369" t="str">
        <f>IFERROR(INDEX(Rosters!$C$2:$C$155,MATCH($B5369,Rosters!$B$2:$B$155,0)),"NA")</f>
        <v>NA</v>
      </c>
      <c r="L5369" t="str">
        <f t="shared" si="249"/>
        <v>NA2RB</v>
      </c>
      <c r="M5369">
        <f>COUNTIF(L$1:L5369,L5369)</f>
        <v>38</v>
      </c>
      <c r="N5369" t="str">
        <f t="shared" si="250"/>
        <v>NA2RB-38</v>
      </c>
      <c r="O5369">
        <f>COUNTIFS(F$1:F5369,F5369,A$1:A5369,A5369)</f>
        <v>80</v>
      </c>
      <c r="P5369" t="str">
        <f t="shared" si="251"/>
        <v>Derek Watt2</v>
      </c>
    </row>
    <row r="5370" spans="1:16" x14ac:dyDescent="0.25">
      <c r="A5370">
        <v>5</v>
      </c>
      <c r="B5370" t="s">
        <v>91</v>
      </c>
      <c r="C5370" t="s">
        <v>4699</v>
      </c>
      <c r="D5370">
        <v>0.72</v>
      </c>
      <c r="E5370" t="s">
        <v>34</v>
      </c>
      <c r="F5370" t="s">
        <v>15</v>
      </c>
      <c r="G5370">
        <v>1.38</v>
      </c>
      <c r="H5370">
        <v>0.06</v>
      </c>
      <c r="I5370">
        <v>0.66</v>
      </c>
      <c r="J5370">
        <v>0.43559999999999999</v>
      </c>
      <c r="K5370" t="str">
        <f>IFERROR(INDEX(Rosters!$C$2:$C$155,MATCH($B5370,Rosters!$B$2:$B$155,0)),"NA")</f>
        <v>NA</v>
      </c>
      <c r="L5370" t="str">
        <f t="shared" si="249"/>
        <v>NA5QB</v>
      </c>
      <c r="M5370">
        <f>COUNTIF(L$1:L5370,L5370)</f>
        <v>30</v>
      </c>
      <c r="N5370" t="str">
        <f t="shared" si="250"/>
        <v>NA5QB-30</v>
      </c>
      <c r="O5370">
        <f>COUNTIFS(F$1:F5370,F5370,A$1:A5370,A5370)</f>
        <v>47</v>
      </c>
      <c r="P5370" t="str">
        <f t="shared" si="251"/>
        <v>DeShone Kizer5</v>
      </c>
    </row>
    <row r="5371" spans="1:16" x14ac:dyDescent="0.25">
      <c r="A5371">
        <v>12</v>
      </c>
      <c r="B5371" t="s">
        <v>91</v>
      </c>
      <c r="C5371" t="s">
        <v>8854</v>
      </c>
      <c r="D5371">
        <v>0.72</v>
      </c>
      <c r="E5371" t="s">
        <v>25</v>
      </c>
      <c r="F5371" t="s">
        <v>15</v>
      </c>
      <c r="G5371">
        <v>1.32</v>
      </c>
      <c r="H5371">
        <v>0.12</v>
      </c>
      <c r="I5371">
        <v>0.6</v>
      </c>
      <c r="J5371">
        <v>0.36</v>
      </c>
      <c r="K5371" t="str">
        <f>IFERROR(INDEX(Rosters!$C$2:$C$155,MATCH($B5371,Rosters!$B$2:$B$155,0)),"NA")</f>
        <v>NA</v>
      </c>
      <c r="L5371" t="str">
        <f t="shared" si="249"/>
        <v>NA12QB</v>
      </c>
      <c r="M5371">
        <f>COUNTIF(L$1:L5371,L5371)</f>
        <v>34</v>
      </c>
      <c r="N5371" t="str">
        <f t="shared" si="250"/>
        <v>NA12QB-34</v>
      </c>
      <c r="O5371">
        <f>COUNTIFS(F$1:F5371,F5371,A$1:A5371,A5371)</f>
        <v>49</v>
      </c>
      <c r="P5371" t="str">
        <f t="shared" si="251"/>
        <v>DeShone Kizer12</v>
      </c>
    </row>
    <row r="5372" spans="1:16" x14ac:dyDescent="0.25">
      <c r="A5372">
        <v>2</v>
      </c>
      <c r="B5372" t="s">
        <v>254</v>
      </c>
      <c r="C5372">
        <f>-0.18-1.62</f>
        <v>-1.8</v>
      </c>
      <c r="D5372">
        <v>0.72</v>
      </c>
      <c r="E5372" t="s">
        <v>76</v>
      </c>
      <c r="F5372" t="s">
        <v>114</v>
      </c>
      <c r="G5372">
        <v>1.62</v>
      </c>
      <c r="H5372">
        <v>-0.18</v>
      </c>
      <c r="I5372">
        <v>0.9</v>
      </c>
      <c r="J5372">
        <v>0.81</v>
      </c>
      <c r="K5372" t="str">
        <f>IFERROR(INDEX(Rosters!$C$2:$C$155,MATCH($B5372,Rosters!$B$2:$B$155,0)),"NA")</f>
        <v>NA</v>
      </c>
      <c r="L5372" t="str">
        <f t="shared" si="249"/>
        <v>NA2TE</v>
      </c>
      <c r="M5372">
        <f>COUNTIF(L$1:L5372,L5372)</f>
        <v>49</v>
      </c>
      <c r="N5372" t="str">
        <f t="shared" si="250"/>
        <v>NA2TE-49</v>
      </c>
      <c r="O5372">
        <f>COUNTIFS(F$1:F5372,F5372,A$1:A5372,A5372)</f>
        <v>62</v>
      </c>
      <c r="P5372" t="str">
        <f t="shared" si="251"/>
        <v>Dwayne Allen2</v>
      </c>
    </row>
    <row r="5373" spans="1:16" x14ac:dyDescent="0.25">
      <c r="A5373">
        <v>4</v>
      </c>
      <c r="B5373" t="s">
        <v>61</v>
      </c>
      <c r="C5373" t="s">
        <v>5037</v>
      </c>
      <c r="D5373">
        <v>0.72</v>
      </c>
      <c r="E5373" t="s">
        <v>72</v>
      </c>
      <c r="F5373" t="s">
        <v>15</v>
      </c>
      <c r="G5373">
        <v>1.26</v>
      </c>
      <c r="H5373">
        <v>0.18</v>
      </c>
      <c r="I5373">
        <v>0.54</v>
      </c>
      <c r="J5373">
        <v>0.29160000000000003</v>
      </c>
      <c r="K5373" t="str">
        <f>IFERROR(INDEX(Rosters!$C$2:$C$155,MATCH($B5373,Rosters!$B$2:$B$155,0)),"NA")</f>
        <v>NA</v>
      </c>
      <c r="L5373" t="str">
        <f t="shared" si="249"/>
        <v>NA4QB</v>
      </c>
      <c r="M5373">
        <f>COUNTIF(L$1:L5373,L5373)</f>
        <v>29</v>
      </c>
      <c r="N5373" t="str">
        <f t="shared" si="250"/>
        <v>NA4QB-29</v>
      </c>
      <c r="O5373">
        <f>COUNTIFS(F$1:F5373,F5373,A$1:A5373,A5373)</f>
        <v>44</v>
      </c>
      <c r="P5373" t="str">
        <f t="shared" si="251"/>
        <v>Jameis Winston4</v>
      </c>
    </row>
    <row r="5374" spans="1:16" x14ac:dyDescent="0.25">
      <c r="A5374">
        <v>8</v>
      </c>
      <c r="B5374" t="s">
        <v>348</v>
      </c>
      <c r="C5374">
        <f>-0.01-1.45</f>
        <v>-1.46</v>
      </c>
      <c r="D5374">
        <v>0.72</v>
      </c>
      <c r="E5374" t="s">
        <v>60</v>
      </c>
      <c r="F5374" t="s">
        <v>114</v>
      </c>
      <c r="G5374">
        <v>1.45</v>
      </c>
      <c r="H5374">
        <v>-0.01</v>
      </c>
      <c r="I5374">
        <v>0.73</v>
      </c>
      <c r="J5374">
        <v>0.53290000000000004</v>
      </c>
      <c r="K5374" t="str">
        <f>IFERROR(INDEX(Rosters!$C$2:$C$155,MATCH($B5374,Rosters!$B$2:$B$155,0)),"NA")</f>
        <v>NA</v>
      </c>
      <c r="L5374" t="str">
        <f t="shared" si="249"/>
        <v>NA8TE</v>
      </c>
      <c r="M5374">
        <f>COUNTIF(L$1:L5374,L5374)</f>
        <v>50</v>
      </c>
      <c r="N5374" t="str">
        <f t="shared" si="250"/>
        <v>NA8TE-50</v>
      </c>
      <c r="O5374">
        <f>COUNTIFS(F$1:F5374,F5374,A$1:A5374,A5374)</f>
        <v>62</v>
      </c>
      <c r="P5374" t="str">
        <f t="shared" si="251"/>
        <v>Jerell Adams8</v>
      </c>
    </row>
    <row r="5375" spans="1:16" x14ac:dyDescent="0.25">
      <c r="A5375">
        <v>3</v>
      </c>
      <c r="B5375" t="s">
        <v>1548</v>
      </c>
      <c r="C5375" t="s">
        <v>1561</v>
      </c>
      <c r="D5375">
        <v>0.72</v>
      </c>
      <c r="E5375" t="s">
        <v>41</v>
      </c>
      <c r="F5375" t="s">
        <v>114</v>
      </c>
      <c r="G5375">
        <v>1.3</v>
      </c>
      <c r="H5375">
        <v>0.14000000000000001</v>
      </c>
      <c r="I5375">
        <v>0.57999999999999996</v>
      </c>
      <c r="J5375">
        <v>0.33639999999999998</v>
      </c>
      <c r="K5375" t="str">
        <f>IFERROR(INDEX(Rosters!$C$2:$C$155,MATCH($B5375,Rosters!$B$2:$B$155,0)),"NA")</f>
        <v>NA</v>
      </c>
      <c r="L5375" t="str">
        <f t="shared" si="249"/>
        <v>NA3TE</v>
      </c>
      <c r="M5375">
        <f>COUNTIF(L$1:L5375,L5375)</f>
        <v>51</v>
      </c>
      <c r="N5375" t="str">
        <f t="shared" si="250"/>
        <v>NA3TE-51</v>
      </c>
      <c r="O5375">
        <f>COUNTIFS(F$1:F5375,F5375,A$1:A5375,A5375)</f>
        <v>64</v>
      </c>
      <c r="P5375" t="str">
        <f t="shared" si="251"/>
        <v>Jeremy Sprinkle3</v>
      </c>
    </row>
    <row r="5376" spans="1:16" x14ac:dyDescent="0.25">
      <c r="A5376">
        <v>1</v>
      </c>
      <c r="B5376" t="s">
        <v>1277</v>
      </c>
      <c r="C5376" t="s">
        <v>1561</v>
      </c>
      <c r="D5376">
        <v>0.72</v>
      </c>
      <c r="E5376" t="s">
        <v>77</v>
      </c>
      <c r="F5376" t="s">
        <v>15</v>
      </c>
      <c r="G5376">
        <v>1.3</v>
      </c>
      <c r="H5376">
        <v>0.14000000000000001</v>
      </c>
      <c r="I5376">
        <v>0.57999999999999996</v>
      </c>
      <c r="J5376">
        <v>0.33639999999999998</v>
      </c>
      <c r="K5376" t="str">
        <f>IFERROR(INDEX(Rosters!$C$2:$C$155,MATCH($B5376,Rosters!$B$2:$B$155,0)),"NA")</f>
        <v>NA</v>
      </c>
      <c r="L5376" t="str">
        <f t="shared" si="249"/>
        <v>NA1QB</v>
      </c>
      <c r="M5376">
        <f>COUNTIF(L$1:L5376,L5376)</f>
        <v>26</v>
      </c>
      <c r="N5376" t="str">
        <f t="shared" si="250"/>
        <v>NA1QB-26</v>
      </c>
      <c r="O5376">
        <f>COUNTIFS(F$1:F5376,F5376,A$1:A5376,A5376)</f>
        <v>42</v>
      </c>
      <c r="P5376" t="str">
        <f t="shared" si="251"/>
        <v>Josh Allen1</v>
      </c>
    </row>
    <row r="5377" spans="1:16" x14ac:dyDescent="0.25">
      <c r="A5377">
        <v>3</v>
      </c>
      <c r="B5377" t="s">
        <v>253</v>
      </c>
      <c r="C5377" t="s">
        <v>1783</v>
      </c>
      <c r="D5377">
        <v>0.72</v>
      </c>
      <c r="E5377" t="s">
        <v>14</v>
      </c>
      <c r="F5377" t="s">
        <v>87</v>
      </c>
      <c r="G5377">
        <v>1.29</v>
      </c>
      <c r="H5377">
        <v>0.15</v>
      </c>
      <c r="I5377">
        <v>0.56999999999999995</v>
      </c>
      <c r="J5377">
        <v>0.32490000000000002</v>
      </c>
      <c r="K5377" t="str">
        <f>IFERROR(INDEX(Rosters!$C$2:$C$155,MATCH($B5377,Rosters!$B$2:$B$155,0)),"NA")</f>
        <v>NA</v>
      </c>
      <c r="L5377" t="str">
        <f t="shared" si="249"/>
        <v>NA3WR</v>
      </c>
      <c r="M5377">
        <f>COUNTIF(L$1:L5377,L5377)</f>
        <v>72</v>
      </c>
      <c r="N5377" t="str">
        <f t="shared" si="250"/>
        <v>NA3WR-72</v>
      </c>
      <c r="O5377">
        <f>COUNTIFS(F$1:F5377,F5377,A$1:A5377,A5377)</f>
        <v>121</v>
      </c>
      <c r="P5377" t="str">
        <f t="shared" si="251"/>
        <v>Justin Hardy3</v>
      </c>
    </row>
    <row r="5378" spans="1:16" x14ac:dyDescent="0.25">
      <c r="A5378">
        <v>6</v>
      </c>
      <c r="B5378" t="s">
        <v>4238</v>
      </c>
      <c r="C5378">
        <f>-0.1-1.54</f>
        <v>-1.6400000000000001</v>
      </c>
      <c r="D5378">
        <v>0.72</v>
      </c>
      <c r="E5378" t="s">
        <v>423</v>
      </c>
      <c r="F5378" t="s">
        <v>87</v>
      </c>
      <c r="G5378">
        <v>1.54</v>
      </c>
      <c r="H5378">
        <v>-0.1</v>
      </c>
      <c r="I5378">
        <v>0.82</v>
      </c>
      <c r="J5378">
        <v>0.6724</v>
      </c>
      <c r="K5378" t="str">
        <f>IFERROR(INDEX(Rosters!$C$2:$C$155,MATCH($B5378,Rosters!$B$2:$B$155,0)),"NA")</f>
        <v>NA</v>
      </c>
      <c r="L5378" t="str">
        <f t="shared" si="249"/>
        <v>NA6WR</v>
      </c>
      <c r="M5378">
        <f>COUNTIF(L$1:L5378,L5378)</f>
        <v>78</v>
      </c>
      <c r="N5378" t="str">
        <f t="shared" si="250"/>
        <v>NA6WR-78</v>
      </c>
      <c r="O5378">
        <f>COUNTIFS(F$1:F5378,F5378,A$1:A5378,A5378)</f>
        <v>128</v>
      </c>
      <c r="P5378" t="str">
        <f t="shared" si="251"/>
        <v>Marcus Kemp6</v>
      </c>
    </row>
    <row r="5379" spans="1:16" x14ac:dyDescent="0.25">
      <c r="A5379">
        <v>1</v>
      </c>
      <c r="B5379" t="s">
        <v>391</v>
      </c>
      <c r="C5379">
        <f>-0.01-1.45</f>
        <v>-1.46</v>
      </c>
      <c r="D5379">
        <v>0.72</v>
      </c>
      <c r="E5379" t="s">
        <v>36</v>
      </c>
      <c r="F5379" t="s">
        <v>87</v>
      </c>
      <c r="G5379">
        <v>1.45</v>
      </c>
      <c r="H5379">
        <v>-0.01</v>
      </c>
      <c r="I5379">
        <v>0.73</v>
      </c>
      <c r="J5379">
        <v>0.53290000000000004</v>
      </c>
      <c r="K5379" t="str">
        <f>IFERROR(INDEX(Rosters!$C$2:$C$155,MATCH($B5379,Rosters!$B$2:$B$155,0)),"NA")</f>
        <v>NA</v>
      </c>
      <c r="L5379" t="str">
        <f t="shared" ref="L5379:L5442" si="252">K5379&amp;A5379&amp;F5379</f>
        <v>NA1WR</v>
      </c>
      <c r="M5379">
        <f>COUNTIF(L$1:L5379,L5379)</f>
        <v>60</v>
      </c>
      <c r="N5379" t="str">
        <f t="shared" ref="N5379:N5442" si="253">L5379&amp;"-"&amp;M5379</f>
        <v>NA1WR-60</v>
      </c>
      <c r="O5379">
        <f>COUNTIFS(F$1:F5379,F5379,A$1:A5379,A5379)</f>
        <v>109</v>
      </c>
      <c r="P5379" t="str">
        <f t="shared" ref="P5379:P5442" si="254">B5379&amp;A5379</f>
        <v>Matt Slater1</v>
      </c>
    </row>
    <row r="5380" spans="1:16" x14ac:dyDescent="0.25">
      <c r="A5380">
        <v>12</v>
      </c>
      <c r="B5380" t="s">
        <v>1146</v>
      </c>
      <c r="C5380">
        <f>-0.09-1.53</f>
        <v>-1.62</v>
      </c>
      <c r="D5380">
        <v>0.72</v>
      </c>
      <c r="E5380" t="s">
        <v>22</v>
      </c>
      <c r="F5380" t="s">
        <v>87</v>
      </c>
      <c r="G5380">
        <v>1.53</v>
      </c>
      <c r="H5380">
        <v>-0.09</v>
      </c>
      <c r="I5380">
        <v>0.81</v>
      </c>
      <c r="J5380">
        <v>0.65610000000000002</v>
      </c>
      <c r="K5380" t="str">
        <f>IFERROR(INDEX(Rosters!$C$2:$C$155,MATCH($B5380,Rosters!$B$2:$B$155,0)),"NA")</f>
        <v>NA</v>
      </c>
      <c r="L5380" t="str">
        <f t="shared" si="252"/>
        <v>NA12WR</v>
      </c>
      <c r="M5380">
        <f>COUNTIF(L$1:L5380,L5380)</f>
        <v>69</v>
      </c>
      <c r="N5380" t="str">
        <f t="shared" si="253"/>
        <v>NA12WR-69</v>
      </c>
      <c r="O5380">
        <f>COUNTIFS(F$1:F5380,F5380,A$1:A5380,A5380)</f>
        <v>118</v>
      </c>
      <c r="P5380" t="str">
        <f t="shared" si="254"/>
        <v>Maurice Harris12</v>
      </c>
    </row>
    <row r="5381" spans="1:16" x14ac:dyDescent="0.25">
      <c r="A5381">
        <v>5</v>
      </c>
      <c r="B5381" t="s">
        <v>1526</v>
      </c>
      <c r="C5381" t="s">
        <v>5037</v>
      </c>
      <c r="D5381">
        <v>0.72</v>
      </c>
      <c r="E5381" t="s">
        <v>41</v>
      </c>
      <c r="F5381" t="s">
        <v>114</v>
      </c>
      <c r="G5381">
        <v>1.26</v>
      </c>
      <c r="H5381">
        <v>0.18</v>
      </c>
      <c r="I5381">
        <v>0.54</v>
      </c>
      <c r="J5381">
        <v>0.29160000000000003</v>
      </c>
      <c r="K5381" t="str">
        <f>IFERROR(INDEX(Rosters!$C$2:$C$155,MATCH($B5381,Rosters!$B$2:$B$155,0)),"NA")</f>
        <v>NA</v>
      </c>
      <c r="L5381" t="str">
        <f t="shared" si="252"/>
        <v>NA5TE</v>
      </c>
      <c r="M5381">
        <f>COUNTIF(L$1:L5381,L5381)</f>
        <v>55</v>
      </c>
      <c r="N5381" t="str">
        <f t="shared" si="253"/>
        <v>NA5TE-55</v>
      </c>
      <c r="O5381">
        <f>COUNTIFS(F$1:F5381,F5381,A$1:A5381,A5381)</f>
        <v>66</v>
      </c>
      <c r="P5381" t="str">
        <f t="shared" si="254"/>
        <v>Michael Roberts5</v>
      </c>
    </row>
    <row r="5382" spans="1:16" x14ac:dyDescent="0.25">
      <c r="A5382">
        <v>9</v>
      </c>
      <c r="B5382" t="s">
        <v>1526</v>
      </c>
      <c r="C5382" t="s">
        <v>4242</v>
      </c>
      <c r="D5382">
        <v>0.72</v>
      </c>
      <c r="E5382" t="s">
        <v>25</v>
      </c>
      <c r="F5382" t="s">
        <v>114</v>
      </c>
      <c r="G5382">
        <v>1.42</v>
      </c>
      <c r="H5382">
        <v>0.02</v>
      </c>
      <c r="I5382">
        <v>0.7</v>
      </c>
      <c r="J5382">
        <v>0.49</v>
      </c>
      <c r="K5382" t="str">
        <f>IFERROR(INDEX(Rosters!$C$2:$C$155,MATCH($B5382,Rosters!$B$2:$B$155,0)),"NA")</f>
        <v>NA</v>
      </c>
      <c r="L5382" t="str">
        <f t="shared" si="252"/>
        <v>NA9TE</v>
      </c>
      <c r="M5382">
        <f>COUNTIF(L$1:L5382,L5382)</f>
        <v>46</v>
      </c>
      <c r="N5382" t="str">
        <f t="shared" si="253"/>
        <v>NA9TE-46</v>
      </c>
      <c r="O5382">
        <f>COUNTIFS(F$1:F5382,F5382,A$1:A5382,A5382)</f>
        <v>57</v>
      </c>
      <c r="P5382" t="str">
        <f t="shared" si="254"/>
        <v>Michael Roberts9</v>
      </c>
    </row>
    <row r="5383" spans="1:16" x14ac:dyDescent="0.25">
      <c r="A5383">
        <v>13</v>
      </c>
      <c r="B5383" t="s">
        <v>1526</v>
      </c>
      <c r="C5383" t="s">
        <v>1111</v>
      </c>
      <c r="D5383">
        <v>0.72</v>
      </c>
      <c r="E5383" t="s">
        <v>56</v>
      </c>
      <c r="F5383" t="s">
        <v>114</v>
      </c>
      <c r="G5383">
        <v>1.37</v>
      </c>
      <c r="H5383">
        <v>7.0000000000000007E-2</v>
      </c>
      <c r="I5383">
        <v>0.65</v>
      </c>
      <c r="J5383">
        <v>0.42249999999999999</v>
      </c>
      <c r="K5383" t="str">
        <f>IFERROR(INDEX(Rosters!$C$2:$C$155,MATCH($B5383,Rosters!$B$2:$B$155,0)),"NA")</f>
        <v>NA</v>
      </c>
      <c r="L5383" t="str">
        <f t="shared" si="252"/>
        <v>NA13TE</v>
      </c>
      <c r="M5383">
        <f>COUNTIF(L$1:L5383,L5383)</f>
        <v>55</v>
      </c>
      <c r="N5383" t="str">
        <f t="shared" si="253"/>
        <v>NA13TE-55</v>
      </c>
      <c r="O5383">
        <f>COUNTIFS(F$1:F5383,F5383,A$1:A5383,A5383)</f>
        <v>69</v>
      </c>
      <c r="P5383" t="str">
        <f t="shared" si="254"/>
        <v>Michael Roberts13</v>
      </c>
    </row>
    <row r="5384" spans="1:16" x14ac:dyDescent="0.25">
      <c r="A5384">
        <v>5</v>
      </c>
      <c r="B5384" t="s">
        <v>8855</v>
      </c>
      <c r="C5384">
        <f>-0.11-1.55</f>
        <v>-1.6600000000000001</v>
      </c>
      <c r="D5384">
        <v>0.72</v>
      </c>
      <c r="E5384" t="s">
        <v>423</v>
      </c>
      <c r="F5384" t="s">
        <v>114</v>
      </c>
      <c r="G5384">
        <v>1.55</v>
      </c>
      <c r="H5384">
        <v>-0.11</v>
      </c>
      <c r="I5384">
        <v>0.83</v>
      </c>
      <c r="J5384">
        <v>0.68889999999999996</v>
      </c>
      <c r="K5384" t="str">
        <f>IFERROR(INDEX(Rosters!$C$2:$C$155,MATCH($B5384,Rosters!$B$2:$B$155,0)),"NA")</f>
        <v>NA</v>
      </c>
      <c r="L5384" t="str">
        <f t="shared" si="252"/>
        <v>NA5TE</v>
      </c>
      <c r="M5384">
        <f>COUNTIF(L$1:L5384,L5384)</f>
        <v>56</v>
      </c>
      <c r="N5384" t="str">
        <f t="shared" si="253"/>
        <v>NA5TE-56</v>
      </c>
      <c r="O5384">
        <f>COUNTIFS(F$1:F5384,F5384,A$1:A5384,A5384)</f>
        <v>67</v>
      </c>
      <c r="P5384" t="str">
        <f t="shared" si="254"/>
        <v>Mo Alie-Cox5</v>
      </c>
    </row>
    <row r="5385" spans="1:16" x14ac:dyDescent="0.25">
      <c r="A5385">
        <v>13</v>
      </c>
      <c r="B5385" t="s">
        <v>344</v>
      </c>
      <c r="C5385" t="s">
        <v>1561</v>
      </c>
      <c r="D5385">
        <v>0.72</v>
      </c>
      <c r="E5385" t="s">
        <v>60</v>
      </c>
      <c r="F5385" t="s">
        <v>15</v>
      </c>
      <c r="G5385">
        <v>1.3</v>
      </c>
      <c r="H5385">
        <v>0.14000000000000001</v>
      </c>
      <c r="I5385">
        <v>0.57999999999999996</v>
      </c>
      <c r="J5385">
        <v>0.33639999999999998</v>
      </c>
      <c r="K5385" t="str">
        <f>IFERROR(INDEX(Rosters!$C$2:$C$155,MATCH($B5385,Rosters!$B$2:$B$155,0)),"NA")</f>
        <v>NA</v>
      </c>
      <c r="L5385" t="str">
        <f t="shared" si="252"/>
        <v>NA13QB</v>
      </c>
      <c r="M5385">
        <f>COUNTIF(L$1:L5385,L5385)</f>
        <v>34</v>
      </c>
      <c r="N5385" t="str">
        <f t="shared" si="253"/>
        <v>NA13QB-34</v>
      </c>
      <c r="O5385">
        <f>COUNTIFS(F$1:F5385,F5385,A$1:A5385,A5385)</f>
        <v>51</v>
      </c>
      <c r="P5385" t="str">
        <f t="shared" si="254"/>
        <v>Nick Foles13</v>
      </c>
    </row>
    <row r="5386" spans="1:16" x14ac:dyDescent="0.25">
      <c r="A5386">
        <v>9</v>
      </c>
      <c r="B5386" t="s">
        <v>3036</v>
      </c>
      <c r="C5386">
        <f>-0.04-1.48</f>
        <v>-1.52</v>
      </c>
      <c r="D5386">
        <v>0.72</v>
      </c>
      <c r="E5386" t="s">
        <v>22</v>
      </c>
      <c r="F5386" t="s">
        <v>87</v>
      </c>
      <c r="G5386">
        <v>1.48</v>
      </c>
      <c r="H5386">
        <v>-0.04</v>
      </c>
      <c r="I5386">
        <v>0.76</v>
      </c>
      <c r="J5386">
        <v>0.5776</v>
      </c>
      <c r="K5386" t="str">
        <f>IFERROR(INDEX(Rosters!$C$2:$C$155,MATCH($B5386,Rosters!$B$2:$B$155,0)),"NA")</f>
        <v>NA</v>
      </c>
      <c r="L5386" t="str">
        <f t="shared" si="252"/>
        <v>NA9WR</v>
      </c>
      <c r="M5386">
        <f>COUNTIF(L$1:L5386,L5386)</f>
        <v>68</v>
      </c>
      <c r="N5386" t="str">
        <f t="shared" si="253"/>
        <v>NA9WR-68</v>
      </c>
      <c r="O5386">
        <f>COUNTIFS(F$1:F5386,F5386,A$1:A5386,A5386)</f>
        <v>112</v>
      </c>
      <c r="P5386" t="str">
        <f t="shared" si="254"/>
        <v>Nick Williams9</v>
      </c>
    </row>
    <row r="5387" spans="1:16" x14ac:dyDescent="0.25">
      <c r="A5387">
        <v>15</v>
      </c>
      <c r="B5387" t="s">
        <v>8786</v>
      </c>
      <c r="C5387">
        <f>-0.02-1.46</f>
        <v>-1.48</v>
      </c>
      <c r="D5387">
        <v>0.72</v>
      </c>
      <c r="E5387" t="s">
        <v>60</v>
      </c>
      <c r="F5387" t="s">
        <v>87</v>
      </c>
      <c r="G5387">
        <v>1.46</v>
      </c>
      <c r="H5387">
        <v>-0.02</v>
      </c>
      <c r="I5387">
        <v>0.74</v>
      </c>
      <c r="J5387">
        <v>0.54759999999999998</v>
      </c>
      <c r="K5387" t="str">
        <f>IFERROR(INDEX(Rosters!$C$2:$C$155,MATCH($B5387,Rosters!$B$2:$B$155,0)),"NA")</f>
        <v>NA</v>
      </c>
      <c r="L5387" t="str">
        <f t="shared" si="252"/>
        <v>NA15WR</v>
      </c>
      <c r="M5387">
        <f>COUNTIF(L$1:L5387,L5387)</f>
        <v>78</v>
      </c>
      <c r="N5387" t="str">
        <f t="shared" si="253"/>
        <v>NA15WR-78</v>
      </c>
      <c r="O5387">
        <f>COUNTIFS(F$1:F5387,F5387,A$1:A5387,A5387)</f>
        <v>132</v>
      </c>
      <c r="P5387" t="str">
        <f t="shared" si="254"/>
        <v>Rashad Greene15</v>
      </c>
    </row>
    <row r="5388" spans="1:16" x14ac:dyDescent="0.25">
      <c r="A5388">
        <v>14</v>
      </c>
      <c r="B5388" t="s">
        <v>347</v>
      </c>
      <c r="C5388" t="s">
        <v>1561</v>
      </c>
      <c r="D5388">
        <v>0.72</v>
      </c>
      <c r="E5388" t="s">
        <v>72</v>
      </c>
      <c r="F5388" t="s">
        <v>15</v>
      </c>
      <c r="G5388">
        <v>1.3</v>
      </c>
      <c r="H5388">
        <v>0.14000000000000001</v>
      </c>
      <c r="I5388">
        <v>0.57999999999999996</v>
      </c>
      <c r="J5388">
        <v>0.33639999999999998</v>
      </c>
      <c r="K5388" t="str">
        <f>IFERROR(INDEX(Rosters!$C$2:$C$155,MATCH($B5388,Rosters!$B$2:$B$155,0)),"NA")</f>
        <v>NA</v>
      </c>
      <c r="L5388" t="str">
        <f t="shared" si="252"/>
        <v>NA14QB</v>
      </c>
      <c r="M5388">
        <f>COUNTIF(L$1:L5388,L5388)</f>
        <v>33</v>
      </c>
      <c r="N5388" t="str">
        <f t="shared" si="253"/>
        <v>NA14QB-33</v>
      </c>
      <c r="O5388">
        <f>COUNTIFS(F$1:F5388,F5388,A$1:A5388,A5388)</f>
        <v>50</v>
      </c>
      <c r="P5388" t="str">
        <f t="shared" si="254"/>
        <v>Sean Mannion14</v>
      </c>
    </row>
    <row r="5389" spans="1:16" x14ac:dyDescent="0.25">
      <c r="A5389">
        <v>15</v>
      </c>
      <c r="B5389" t="s">
        <v>347</v>
      </c>
      <c r="C5389" t="s">
        <v>8856</v>
      </c>
      <c r="D5389">
        <v>0.72</v>
      </c>
      <c r="E5389" t="s">
        <v>50</v>
      </c>
      <c r="F5389" t="s">
        <v>15</v>
      </c>
      <c r="G5389">
        <v>1.28</v>
      </c>
      <c r="H5389">
        <v>0.16</v>
      </c>
      <c r="I5389">
        <v>0.56000000000000005</v>
      </c>
      <c r="J5389">
        <v>0.31359999999999999</v>
      </c>
      <c r="K5389" t="str">
        <f>IFERROR(INDEX(Rosters!$C$2:$C$155,MATCH($B5389,Rosters!$B$2:$B$155,0)),"NA")</f>
        <v>NA</v>
      </c>
      <c r="L5389" t="str">
        <f t="shared" si="252"/>
        <v>NA15QB</v>
      </c>
      <c r="M5389">
        <f>COUNTIF(L$1:L5389,L5389)</f>
        <v>33</v>
      </c>
      <c r="N5389" t="str">
        <f t="shared" si="253"/>
        <v>NA15QB-33</v>
      </c>
      <c r="O5389">
        <f>COUNTIFS(F$1:F5389,F5389,A$1:A5389,A5389)</f>
        <v>50</v>
      </c>
      <c r="P5389" t="str">
        <f t="shared" si="254"/>
        <v>Sean Mannion15</v>
      </c>
    </row>
    <row r="5390" spans="1:16" x14ac:dyDescent="0.25">
      <c r="A5390">
        <v>16</v>
      </c>
      <c r="B5390" t="s">
        <v>347</v>
      </c>
      <c r="C5390" t="s">
        <v>1783</v>
      </c>
      <c r="D5390">
        <v>0.72</v>
      </c>
      <c r="E5390" t="s">
        <v>58</v>
      </c>
      <c r="F5390" t="s">
        <v>15</v>
      </c>
      <c r="G5390">
        <v>1.29</v>
      </c>
      <c r="H5390">
        <v>0.15</v>
      </c>
      <c r="I5390">
        <v>0.56999999999999995</v>
      </c>
      <c r="J5390">
        <v>0.32490000000000002</v>
      </c>
      <c r="K5390" t="str">
        <f>IFERROR(INDEX(Rosters!$C$2:$C$155,MATCH($B5390,Rosters!$B$2:$B$155,0)),"NA")</f>
        <v>NA</v>
      </c>
      <c r="L5390" t="str">
        <f t="shared" si="252"/>
        <v>NA16QB</v>
      </c>
      <c r="M5390">
        <f>COUNTIF(L$1:L5390,L5390)</f>
        <v>34</v>
      </c>
      <c r="N5390" t="str">
        <f t="shared" si="253"/>
        <v>NA16QB-34</v>
      </c>
      <c r="O5390">
        <f>COUNTIFS(F$1:F5390,F5390,A$1:A5390,A5390)</f>
        <v>51</v>
      </c>
      <c r="P5390" t="str">
        <f t="shared" si="254"/>
        <v>Sean Mannion16</v>
      </c>
    </row>
    <row r="5391" spans="1:16" x14ac:dyDescent="0.25">
      <c r="A5391">
        <v>8</v>
      </c>
      <c r="B5391" t="s">
        <v>4703</v>
      </c>
      <c r="C5391">
        <f>-0.04-1.48</f>
        <v>-1.52</v>
      </c>
      <c r="D5391">
        <v>0.72</v>
      </c>
      <c r="E5391" t="s">
        <v>74</v>
      </c>
      <c r="F5391" t="s">
        <v>87</v>
      </c>
      <c r="G5391">
        <v>1.48</v>
      </c>
      <c r="H5391">
        <v>-0.04</v>
      </c>
      <c r="I5391">
        <v>0.76</v>
      </c>
      <c r="J5391">
        <v>0.5776</v>
      </c>
      <c r="K5391" t="str">
        <f>IFERROR(INDEX(Rosters!$C$2:$C$155,MATCH($B5391,Rosters!$B$2:$B$155,0)),"NA")</f>
        <v>NA</v>
      </c>
      <c r="L5391" t="str">
        <f t="shared" si="252"/>
        <v>NA8WR</v>
      </c>
      <c r="M5391">
        <f>COUNTIF(L$1:L5391,L5391)</f>
        <v>66</v>
      </c>
      <c r="N5391" t="str">
        <f t="shared" si="253"/>
        <v>NA8WR-66</v>
      </c>
      <c r="O5391">
        <f>COUNTIFS(F$1:F5391,F5391,A$1:A5391,A5391)</f>
        <v>115</v>
      </c>
      <c r="P5391" t="str">
        <f t="shared" si="254"/>
        <v>Tim White8</v>
      </c>
    </row>
    <row r="5392" spans="1:16" x14ac:dyDescent="0.25">
      <c r="A5392">
        <v>16</v>
      </c>
      <c r="B5392" t="s">
        <v>1131</v>
      </c>
      <c r="C5392">
        <f>-0.23-1.67</f>
        <v>-1.9</v>
      </c>
      <c r="D5392">
        <v>0.72</v>
      </c>
      <c r="E5392" t="s">
        <v>50</v>
      </c>
      <c r="F5392" t="s">
        <v>47</v>
      </c>
      <c r="G5392">
        <v>1.67</v>
      </c>
      <c r="H5392">
        <v>-0.23</v>
      </c>
      <c r="I5392">
        <v>0.95</v>
      </c>
      <c r="J5392">
        <v>0.90249999999999997</v>
      </c>
      <c r="K5392" t="str">
        <f>IFERROR(INDEX(Rosters!$C$2:$C$155,MATCH($B5392,Rosters!$B$2:$B$155,0)),"NA")</f>
        <v>NA</v>
      </c>
      <c r="L5392" t="str">
        <f t="shared" si="252"/>
        <v>NA16RB</v>
      </c>
      <c r="M5392">
        <f>COUNTIF(L$1:L5392,L5392)</f>
        <v>46</v>
      </c>
      <c r="N5392" t="str">
        <f t="shared" si="253"/>
        <v>NA16RB-46</v>
      </c>
      <c r="O5392">
        <f>COUNTIFS(F$1:F5392,F5392,A$1:A5392,A5392)</f>
        <v>93</v>
      </c>
      <c r="P5392" t="str">
        <f t="shared" si="254"/>
        <v>Tyler Ervin16</v>
      </c>
    </row>
    <row r="5393" spans="1:16" x14ac:dyDescent="0.25">
      <c r="A5393">
        <v>16</v>
      </c>
      <c r="B5393" t="s">
        <v>4240</v>
      </c>
      <c r="C5393">
        <f>-0.07-1.51</f>
        <v>-1.58</v>
      </c>
      <c r="D5393">
        <v>0.72</v>
      </c>
      <c r="E5393" t="s">
        <v>54</v>
      </c>
      <c r="F5393" t="s">
        <v>87</v>
      </c>
      <c r="G5393">
        <v>1.51</v>
      </c>
      <c r="H5393">
        <v>-7.0000000000000007E-2</v>
      </c>
      <c r="I5393">
        <v>0.79</v>
      </c>
      <c r="J5393">
        <v>0.62409999999999999</v>
      </c>
      <c r="K5393" t="str">
        <f>IFERROR(INDEX(Rosters!$C$2:$C$155,MATCH($B5393,Rosters!$B$2:$B$155,0)),"NA")</f>
        <v>NA</v>
      </c>
      <c r="L5393" t="str">
        <f t="shared" si="252"/>
        <v>NA16WR</v>
      </c>
      <c r="M5393">
        <f>COUNTIF(L$1:L5393,L5393)</f>
        <v>79</v>
      </c>
      <c r="N5393" t="str">
        <f t="shared" si="253"/>
        <v>NA16WR-79</v>
      </c>
      <c r="O5393">
        <f>COUNTIFS(F$1:F5393,F5393,A$1:A5393,A5393)</f>
        <v>133</v>
      </c>
      <c r="P5393" t="str">
        <f t="shared" si="254"/>
        <v>Zach Pascal16</v>
      </c>
    </row>
    <row r="5394" spans="1:16" x14ac:dyDescent="0.25">
      <c r="A5394">
        <v>14</v>
      </c>
      <c r="B5394" t="s">
        <v>2274</v>
      </c>
      <c r="C5394">
        <f>-0.08-1.5</f>
        <v>-1.58</v>
      </c>
      <c r="D5394">
        <v>0.71</v>
      </c>
      <c r="E5394" t="s">
        <v>423</v>
      </c>
      <c r="F5394" t="s">
        <v>47</v>
      </c>
      <c r="G5394">
        <v>1.5</v>
      </c>
      <c r="H5394">
        <v>-0.08</v>
      </c>
      <c r="I5394">
        <v>0.79</v>
      </c>
      <c r="J5394">
        <v>0.62409999999999999</v>
      </c>
      <c r="K5394" t="str">
        <f>IFERROR(INDEX(Rosters!$C$2:$C$155,MATCH($B5394,Rosters!$B$2:$B$155,0)),"NA")</f>
        <v>NA</v>
      </c>
      <c r="L5394" t="str">
        <f t="shared" si="252"/>
        <v>NA14RB</v>
      </c>
      <c r="M5394">
        <f>COUNTIF(L$1:L5394,L5394)</f>
        <v>49</v>
      </c>
      <c r="N5394" t="str">
        <f t="shared" si="253"/>
        <v>NA14RB-49</v>
      </c>
      <c r="O5394">
        <f>COUNTIFS(F$1:F5394,F5394,A$1:A5394,A5394)</f>
        <v>96</v>
      </c>
      <c r="P5394" t="str">
        <f t="shared" si="254"/>
        <v>Brandon Bolden14</v>
      </c>
    </row>
    <row r="5395" spans="1:16" x14ac:dyDescent="0.25">
      <c r="A5395">
        <v>15</v>
      </c>
      <c r="B5395" t="s">
        <v>1116</v>
      </c>
      <c r="C5395" t="s">
        <v>1563</v>
      </c>
      <c r="D5395">
        <v>0.71</v>
      </c>
      <c r="E5395" t="s">
        <v>73</v>
      </c>
      <c r="F5395" t="s">
        <v>15</v>
      </c>
      <c r="G5395">
        <v>1.25</v>
      </c>
      <c r="H5395">
        <v>0.17</v>
      </c>
      <c r="I5395">
        <v>0.54</v>
      </c>
      <c r="J5395">
        <v>0.29160000000000003</v>
      </c>
      <c r="K5395" t="str">
        <f>IFERROR(INDEX(Rosters!$C$2:$C$155,MATCH($B5395,Rosters!$B$2:$B$155,0)),"NA")</f>
        <v>NA</v>
      </c>
      <c r="L5395" t="str">
        <f t="shared" si="252"/>
        <v>NA15QB</v>
      </c>
      <c r="M5395">
        <f>COUNTIF(L$1:L5395,L5395)</f>
        <v>34</v>
      </c>
      <c r="N5395" t="str">
        <f t="shared" si="253"/>
        <v>NA15QB-34</v>
      </c>
      <c r="O5395">
        <f>COUNTIFS(F$1:F5395,F5395,A$1:A5395,A5395)</f>
        <v>51</v>
      </c>
      <c r="P5395" t="str">
        <f t="shared" si="254"/>
        <v>Brandon Weeden15</v>
      </c>
    </row>
    <row r="5396" spans="1:16" x14ac:dyDescent="0.25">
      <c r="A5396">
        <v>12</v>
      </c>
      <c r="B5396" t="s">
        <v>357</v>
      </c>
      <c r="C5396">
        <f>-0.07-1.49</f>
        <v>-1.56</v>
      </c>
      <c r="D5396">
        <v>0.71</v>
      </c>
      <c r="E5396" t="s">
        <v>32</v>
      </c>
      <c r="F5396" t="s">
        <v>87</v>
      </c>
      <c r="G5396">
        <v>1.49</v>
      </c>
      <c r="H5396">
        <v>-7.0000000000000007E-2</v>
      </c>
      <c r="I5396">
        <v>0.78</v>
      </c>
      <c r="J5396">
        <v>0.60840000000000005</v>
      </c>
      <c r="K5396" t="str">
        <f>IFERROR(INDEX(Rosters!$C$2:$C$155,MATCH($B5396,Rosters!$B$2:$B$155,0)),"NA")</f>
        <v>NA</v>
      </c>
      <c r="L5396" t="str">
        <f t="shared" si="252"/>
        <v>NA12WR</v>
      </c>
      <c r="M5396">
        <f>COUNTIF(L$1:L5396,L5396)</f>
        <v>70</v>
      </c>
      <c r="N5396" t="str">
        <f t="shared" si="253"/>
        <v>NA12WR-70</v>
      </c>
      <c r="O5396">
        <f>COUNTIFS(F$1:F5396,F5396,A$1:A5396,A5396)</f>
        <v>119</v>
      </c>
      <c r="P5396" t="str">
        <f t="shared" si="254"/>
        <v>Chris Moore12</v>
      </c>
    </row>
    <row r="5397" spans="1:16" x14ac:dyDescent="0.25">
      <c r="A5397">
        <v>14</v>
      </c>
      <c r="B5397" t="s">
        <v>357</v>
      </c>
      <c r="C5397">
        <f>-0.13-1.55</f>
        <v>-1.6800000000000002</v>
      </c>
      <c r="D5397">
        <v>0.71</v>
      </c>
      <c r="E5397" t="s">
        <v>24</v>
      </c>
      <c r="F5397" t="s">
        <v>87</v>
      </c>
      <c r="G5397">
        <v>1.55</v>
      </c>
      <c r="H5397">
        <v>-0.13</v>
      </c>
      <c r="I5397">
        <v>0.84</v>
      </c>
      <c r="J5397">
        <v>0.7056</v>
      </c>
      <c r="K5397" t="str">
        <f>IFERROR(INDEX(Rosters!$C$2:$C$155,MATCH($B5397,Rosters!$B$2:$B$155,0)),"NA")</f>
        <v>NA</v>
      </c>
      <c r="L5397" t="str">
        <f t="shared" si="252"/>
        <v>NA14WR</v>
      </c>
      <c r="M5397">
        <f>COUNTIF(L$1:L5397,L5397)</f>
        <v>75</v>
      </c>
      <c r="N5397" t="str">
        <f t="shared" si="253"/>
        <v>NA14WR-75</v>
      </c>
      <c r="O5397">
        <f>COUNTIFS(F$1:F5397,F5397,A$1:A5397,A5397)</f>
        <v>129</v>
      </c>
      <c r="P5397" t="str">
        <f t="shared" si="254"/>
        <v>Chris Moore14</v>
      </c>
    </row>
    <row r="5398" spans="1:16" x14ac:dyDescent="0.25">
      <c r="A5398">
        <v>11</v>
      </c>
      <c r="B5398" t="s">
        <v>4729</v>
      </c>
      <c r="C5398">
        <f>-0.07-1.49</f>
        <v>-1.56</v>
      </c>
      <c r="D5398">
        <v>0.71</v>
      </c>
      <c r="E5398" t="s">
        <v>37</v>
      </c>
      <c r="F5398" t="s">
        <v>87</v>
      </c>
      <c r="G5398">
        <v>1.49</v>
      </c>
      <c r="H5398">
        <v>-7.0000000000000007E-2</v>
      </c>
      <c r="I5398">
        <v>0.78</v>
      </c>
      <c r="J5398">
        <v>0.60840000000000005</v>
      </c>
      <c r="K5398" t="str">
        <f>IFERROR(INDEX(Rosters!$C$2:$C$155,MATCH($B5398,Rosters!$B$2:$B$155,0)),"NA")</f>
        <v>NA</v>
      </c>
      <c r="L5398" t="str">
        <f t="shared" si="252"/>
        <v>NA11WR</v>
      </c>
      <c r="M5398">
        <f>COUNTIF(L$1:L5398,L5398)</f>
        <v>63</v>
      </c>
      <c r="N5398" t="str">
        <f t="shared" si="253"/>
        <v>NA11WR-63</v>
      </c>
      <c r="O5398">
        <f>COUNTIFS(F$1:F5398,F5398,A$1:A5398,A5398)</f>
        <v>110</v>
      </c>
      <c r="P5398" t="str">
        <f t="shared" si="254"/>
        <v>DaeSean Hamilton11</v>
      </c>
    </row>
    <row r="5399" spans="1:16" x14ac:dyDescent="0.25">
      <c r="A5399">
        <v>13</v>
      </c>
      <c r="B5399" t="s">
        <v>4729</v>
      </c>
      <c r="C5399">
        <f>-0.04-1.46</f>
        <v>-1.5</v>
      </c>
      <c r="D5399">
        <v>0.71</v>
      </c>
      <c r="E5399" t="s">
        <v>31</v>
      </c>
      <c r="F5399" t="s">
        <v>87</v>
      </c>
      <c r="G5399">
        <v>1.46</v>
      </c>
      <c r="H5399">
        <v>-0.04</v>
      </c>
      <c r="I5399">
        <v>0.75</v>
      </c>
      <c r="J5399">
        <v>0.5625</v>
      </c>
      <c r="K5399" t="str">
        <f>IFERROR(INDEX(Rosters!$C$2:$C$155,MATCH($B5399,Rosters!$B$2:$B$155,0)),"NA")</f>
        <v>NA</v>
      </c>
      <c r="L5399" t="str">
        <f t="shared" si="252"/>
        <v>NA13WR</v>
      </c>
      <c r="M5399">
        <f>COUNTIF(L$1:L5399,L5399)</f>
        <v>78</v>
      </c>
      <c r="N5399" t="str">
        <f t="shared" si="253"/>
        <v>NA13WR-78</v>
      </c>
      <c r="O5399">
        <f>COUNTIFS(F$1:F5399,F5399,A$1:A5399,A5399)</f>
        <v>132</v>
      </c>
      <c r="P5399" t="str">
        <f t="shared" si="254"/>
        <v>DaeSean Hamilton13</v>
      </c>
    </row>
    <row r="5400" spans="1:16" x14ac:dyDescent="0.25">
      <c r="A5400">
        <v>15</v>
      </c>
      <c r="B5400" t="s">
        <v>361</v>
      </c>
      <c r="C5400">
        <f>-0.04-1.46</f>
        <v>-1.5</v>
      </c>
      <c r="D5400">
        <v>0.71</v>
      </c>
      <c r="E5400" t="s">
        <v>37</v>
      </c>
      <c r="F5400" t="s">
        <v>87</v>
      </c>
      <c r="G5400">
        <v>1.46</v>
      </c>
      <c r="H5400">
        <v>-0.04</v>
      </c>
      <c r="I5400">
        <v>0.75</v>
      </c>
      <c r="J5400">
        <v>0.5625</v>
      </c>
      <c r="K5400" t="str">
        <f>IFERROR(INDEX(Rosters!$C$2:$C$155,MATCH($B5400,Rosters!$B$2:$B$155,0)),"NA")</f>
        <v>NA</v>
      </c>
      <c r="L5400" t="str">
        <f t="shared" si="252"/>
        <v>NA15WR</v>
      </c>
      <c r="M5400">
        <f>COUNTIF(L$1:L5400,L5400)</f>
        <v>79</v>
      </c>
      <c r="N5400" t="str">
        <f t="shared" si="253"/>
        <v>NA15WR-79</v>
      </c>
      <c r="O5400">
        <f>COUNTIFS(F$1:F5400,F5400,A$1:A5400,A5400)</f>
        <v>133</v>
      </c>
      <c r="P5400" t="str">
        <f t="shared" si="254"/>
        <v>De'Anthony Thomas15</v>
      </c>
    </row>
    <row r="5401" spans="1:16" x14ac:dyDescent="0.25">
      <c r="A5401">
        <v>11</v>
      </c>
      <c r="B5401" t="s">
        <v>8584</v>
      </c>
      <c r="C5401" t="s">
        <v>8857</v>
      </c>
      <c r="D5401">
        <v>0.71</v>
      </c>
      <c r="E5401" t="s">
        <v>31</v>
      </c>
      <c r="F5401" t="s">
        <v>47</v>
      </c>
      <c r="G5401">
        <v>1.34</v>
      </c>
      <c r="H5401">
        <v>0.08</v>
      </c>
      <c r="I5401">
        <v>0.63</v>
      </c>
      <c r="J5401">
        <v>0.39689999999999998</v>
      </c>
      <c r="K5401" t="str">
        <f>IFERROR(INDEX(Rosters!$C$2:$C$155,MATCH($B5401,Rosters!$B$2:$B$155,0)),"NA")</f>
        <v>NA</v>
      </c>
      <c r="L5401" t="str">
        <f t="shared" si="252"/>
        <v>NA11RB</v>
      </c>
      <c r="M5401">
        <f>COUNTIF(L$1:L5401,L5401)</f>
        <v>39</v>
      </c>
      <c r="N5401" t="str">
        <f t="shared" si="253"/>
        <v>NA11RB-39</v>
      </c>
      <c r="O5401">
        <f>COUNTIFS(F$1:F5401,F5401,A$1:A5401,A5401)</f>
        <v>77</v>
      </c>
      <c r="P5401" t="str">
        <f t="shared" si="254"/>
        <v>De'Lance Turner11</v>
      </c>
    </row>
    <row r="5402" spans="1:16" x14ac:dyDescent="0.25">
      <c r="A5402">
        <v>14</v>
      </c>
      <c r="B5402" t="s">
        <v>91</v>
      </c>
      <c r="C5402" t="s">
        <v>3838</v>
      </c>
      <c r="D5402">
        <v>0.71</v>
      </c>
      <c r="E5402" t="s">
        <v>46</v>
      </c>
      <c r="F5402" t="s">
        <v>15</v>
      </c>
      <c r="G5402">
        <v>1.32</v>
      </c>
      <c r="H5402">
        <v>0.1</v>
      </c>
      <c r="I5402">
        <v>0.61</v>
      </c>
      <c r="J5402">
        <v>0.37209999999999999</v>
      </c>
      <c r="K5402" t="str">
        <f>IFERROR(INDEX(Rosters!$C$2:$C$155,MATCH($B5402,Rosters!$B$2:$B$155,0)),"NA")</f>
        <v>NA</v>
      </c>
      <c r="L5402" t="str">
        <f t="shared" si="252"/>
        <v>NA14QB</v>
      </c>
      <c r="M5402">
        <f>COUNTIF(L$1:L5402,L5402)</f>
        <v>34</v>
      </c>
      <c r="N5402" t="str">
        <f t="shared" si="253"/>
        <v>NA14QB-34</v>
      </c>
      <c r="O5402">
        <f>COUNTIFS(F$1:F5402,F5402,A$1:A5402,A5402)</f>
        <v>51</v>
      </c>
      <c r="P5402" t="str">
        <f t="shared" si="254"/>
        <v>DeShone Kizer14</v>
      </c>
    </row>
    <row r="5403" spans="1:16" x14ac:dyDescent="0.25">
      <c r="A5403">
        <v>13</v>
      </c>
      <c r="B5403" t="s">
        <v>1132</v>
      </c>
      <c r="C5403" t="s">
        <v>8858</v>
      </c>
      <c r="D5403">
        <v>0.71</v>
      </c>
      <c r="E5403" t="s">
        <v>51</v>
      </c>
      <c r="F5403" t="s">
        <v>87</v>
      </c>
      <c r="G5403">
        <v>1.42</v>
      </c>
      <c r="H5403">
        <v>0</v>
      </c>
      <c r="I5403">
        <v>0.71</v>
      </c>
      <c r="J5403">
        <v>0.50409999999999999</v>
      </c>
      <c r="K5403" t="str">
        <f>IFERROR(INDEX(Rosters!$C$2:$C$155,MATCH($B5403,Rosters!$B$2:$B$155,0)),"NA")</f>
        <v>NA</v>
      </c>
      <c r="L5403" t="str">
        <f t="shared" si="252"/>
        <v>NA13WR</v>
      </c>
      <c r="M5403">
        <f>COUNTIF(L$1:L5403,L5403)</f>
        <v>79</v>
      </c>
      <c r="N5403" t="str">
        <f t="shared" si="253"/>
        <v>NA13WR-79</v>
      </c>
      <c r="O5403">
        <f>COUNTIFS(F$1:F5403,F5403,A$1:A5403,A5403)</f>
        <v>133</v>
      </c>
      <c r="P5403" t="str">
        <f t="shared" si="254"/>
        <v>Geremy Davis13</v>
      </c>
    </row>
    <row r="5404" spans="1:16" x14ac:dyDescent="0.25">
      <c r="A5404">
        <v>16</v>
      </c>
      <c r="B5404" t="s">
        <v>1490</v>
      </c>
      <c r="C5404" t="s">
        <v>8859</v>
      </c>
      <c r="D5404">
        <v>0.71</v>
      </c>
      <c r="E5404" t="s">
        <v>24</v>
      </c>
      <c r="F5404" t="s">
        <v>47</v>
      </c>
      <c r="G5404">
        <v>1.38</v>
      </c>
      <c r="H5404">
        <v>0.04</v>
      </c>
      <c r="I5404">
        <v>0.67</v>
      </c>
      <c r="J5404">
        <v>0.44890000000000002</v>
      </c>
      <c r="K5404" t="str">
        <f>IFERROR(INDEX(Rosters!$C$2:$C$155,MATCH($B5404,Rosters!$B$2:$B$155,0)),"NA")</f>
        <v>NA</v>
      </c>
      <c r="L5404" t="str">
        <f t="shared" si="252"/>
        <v>NA16RB</v>
      </c>
      <c r="M5404">
        <f>COUNTIF(L$1:L5404,L5404)</f>
        <v>47</v>
      </c>
      <c r="N5404" t="str">
        <f t="shared" si="253"/>
        <v>NA16RB-47</v>
      </c>
      <c r="O5404">
        <f>COUNTIFS(F$1:F5404,F5404,A$1:A5404,A5404)</f>
        <v>94</v>
      </c>
      <c r="P5404" t="str">
        <f t="shared" si="254"/>
        <v>J.D. McKissic16</v>
      </c>
    </row>
    <row r="5405" spans="1:16" x14ac:dyDescent="0.25">
      <c r="A5405">
        <v>11</v>
      </c>
      <c r="B5405" t="s">
        <v>1560</v>
      </c>
      <c r="C5405">
        <f>-0.14-1.56</f>
        <v>-1.7000000000000002</v>
      </c>
      <c r="D5405">
        <v>0.71</v>
      </c>
      <c r="E5405" t="s">
        <v>51</v>
      </c>
      <c r="F5405" t="s">
        <v>87</v>
      </c>
      <c r="G5405">
        <v>1.56</v>
      </c>
      <c r="H5405">
        <v>-0.14000000000000001</v>
      </c>
      <c r="I5405">
        <v>0.85</v>
      </c>
      <c r="J5405">
        <v>0.72250000000000003</v>
      </c>
      <c r="K5405" t="str">
        <f>IFERROR(INDEX(Rosters!$C$2:$C$155,MATCH($B5405,Rosters!$B$2:$B$155,0)),"NA")</f>
        <v>NA</v>
      </c>
      <c r="L5405" t="str">
        <f t="shared" si="252"/>
        <v>NA11WR</v>
      </c>
      <c r="M5405">
        <f>COUNTIF(L$1:L5405,L5405)</f>
        <v>64</v>
      </c>
      <c r="N5405" t="str">
        <f t="shared" si="253"/>
        <v>NA11WR-64</v>
      </c>
      <c r="O5405">
        <f>COUNTIFS(F$1:F5405,F5405,A$1:A5405,A5405)</f>
        <v>111</v>
      </c>
      <c r="P5405" t="str">
        <f t="shared" si="254"/>
        <v>Jaydon Mickens11</v>
      </c>
    </row>
    <row r="5406" spans="1:16" x14ac:dyDescent="0.25">
      <c r="A5406">
        <v>15</v>
      </c>
      <c r="B5406" t="s">
        <v>1560</v>
      </c>
      <c r="C5406">
        <f>-0.15-1.57</f>
        <v>-1.72</v>
      </c>
      <c r="D5406">
        <v>0.71</v>
      </c>
      <c r="E5406" t="s">
        <v>60</v>
      </c>
      <c r="F5406" t="s">
        <v>87</v>
      </c>
      <c r="G5406">
        <v>1.57</v>
      </c>
      <c r="H5406">
        <v>-0.15</v>
      </c>
      <c r="I5406">
        <v>0.86</v>
      </c>
      <c r="J5406">
        <v>0.73960000000000004</v>
      </c>
      <c r="K5406" t="str">
        <f>IFERROR(INDEX(Rosters!$C$2:$C$155,MATCH($B5406,Rosters!$B$2:$B$155,0)),"NA")</f>
        <v>NA</v>
      </c>
      <c r="L5406" t="str">
        <f t="shared" si="252"/>
        <v>NA15WR</v>
      </c>
      <c r="M5406">
        <f>COUNTIF(L$1:L5406,L5406)</f>
        <v>80</v>
      </c>
      <c r="N5406" t="str">
        <f t="shared" si="253"/>
        <v>NA15WR-80</v>
      </c>
      <c r="O5406">
        <f>COUNTIFS(F$1:F5406,F5406,A$1:A5406,A5406)</f>
        <v>134</v>
      </c>
      <c r="P5406" t="str">
        <f t="shared" si="254"/>
        <v>Jaydon Mickens15</v>
      </c>
    </row>
    <row r="5407" spans="1:16" x14ac:dyDescent="0.25">
      <c r="A5407">
        <v>13</v>
      </c>
      <c r="B5407" t="s">
        <v>348</v>
      </c>
      <c r="C5407">
        <f>-0.11-1.53</f>
        <v>-1.6400000000000001</v>
      </c>
      <c r="D5407">
        <v>0.71</v>
      </c>
      <c r="E5407" t="s">
        <v>72</v>
      </c>
      <c r="F5407" t="s">
        <v>114</v>
      </c>
      <c r="G5407">
        <v>1.53</v>
      </c>
      <c r="H5407">
        <v>-0.11</v>
      </c>
      <c r="I5407">
        <v>0.82</v>
      </c>
      <c r="J5407">
        <v>0.6724</v>
      </c>
      <c r="K5407" t="str">
        <f>IFERROR(INDEX(Rosters!$C$2:$C$155,MATCH($B5407,Rosters!$B$2:$B$155,0)),"NA")</f>
        <v>NA</v>
      </c>
      <c r="L5407" t="str">
        <f t="shared" si="252"/>
        <v>NA13TE</v>
      </c>
      <c r="M5407">
        <f>COUNTIF(L$1:L5407,L5407)</f>
        <v>56</v>
      </c>
      <c r="N5407" t="str">
        <f t="shared" si="253"/>
        <v>NA13TE-56</v>
      </c>
      <c r="O5407">
        <f>COUNTIFS(F$1:F5407,F5407,A$1:A5407,A5407)</f>
        <v>70</v>
      </c>
      <c r="P5407" t="str">
        <f t="shared" si="254"/>
        <v>Jerell Adams13</v>
      </c>
    </row>
    <row r="5408" spans="1:16" x14ac:dyDescent="0.25">
      <c r="A5408">
        <v>13</v>
      </c>
      <c r="B5408" t="s">
        <v>8834</v>
      </c>
      <c r="C5408" t="s">
        <v>8860</v>
      </c>
      <c r="D5408">
        <v>0.71</v>
      </c>
      <c r="E5408" t="s">
        <v>74</v>
      </c>
      <c r="F5408" t="s">
        <v>87</v>
      </c>
      <c r="G5408">
        <v>1.35</v>
      </c>
      <c r="H5408">
        <v>7.0000000000000007E-2</v>
      </c>
      <c r="I5408">
        <v>0.64</v>
      </c>
      <c r="J5408">
        <v>0.40960000000000002</v>
      </c>
      <c r="K5408" t="str">
        <f>IFERROR(INDEX(Rosters!$C$2:$C$155,MATCH($B5408,Rosters!$B$2:$B$155,0)),"NA")</f>
        <v>NA</v>
      </c>
      <c r="L5408" t="str">
        <f t="shared" si="252"/>
        <v>NA13WR</v>
      </c>
      <c r="M5408">
        <f>COUNTIF(L$1:L5408,L5408)</f>
        <v>80</v>
      </c>
      <c r="N5408" t="str">
        <f t="shared" si="253"/>
        <v>NA13WR-80</v>
      </c>
      <c r="O5408">
        <f>COUNTIFS(F$1:F5408,F5408,A$1:A5408,A5408)</f>
        <v>134</v>
      </c>
      <c r="P5408" t="str">
        <f t="shared" si="254"/>
        <v>Justin Watson13</v>
      </c>
    </row>
    <row r="5409" spans="1:16" x14ac:dyDescent="0.25">
      <c r="A5409">
        <v>16</v>
      </c>
      <c r="B5409" t="s">
        <v>8834</v>
      </c>
      <c r="C5409">
        <f>-0.07-1.49</f>
        <v>-1.56</v>
      </c>
      <c r="D5409">
        <v>0.71</v>
      </c>
      <c r="E5409" t="s">
        <v>22</v>
      </c>
      <c r="F5409" t="s">
        <v>87</v>
      </c>
      <c r="G5409">
        <v>1.49</v>
      </c>
      <c r="H5409">
        <v>-7.0000000000000007E-2</v>
      </c>
      <c r="I5409">
        <v>0.78</v>
      </c>
      <c r="J5409">
        <v>0.60840000000000005</v>
      </c>
      <c r="K5409" t="str">
        <f>IFERROR(INDEX(Rosters!$C$2:$C$155,MATCH($B5409,Rosters!$B$2:$B$155,0)),"NA")</f>
        <v>NA</v>
      </c>
      <c r="L5409" t="str">
        <f t="shared" si="252"/>
        <v>NA16WR</v>
      </c>
      <c r="M5409">
        <f>COUNTIF(L$1:L5409,L5409)</f>
        <v>80</v>
      </c>
      <c r="N5409" t="str">
        <f t="shared" si="253"/>
        <v>NA16WR-80</v>
      </c>
      <c r="O5409">
        <f>COUNTIFS(F$1:F5409,F5409,A$1:A5409,A5409)</f>
        <v>134</v>
      </c>
      <c r="P5409" t="str">
        <f t="shared" si="254"/>
        <v>Justin Watson16</v>
      </c>
    </row>
    <row r="5410" spans="1:16" x14ac:dyDescent="0.25">
      <c r="A5410">
        <v>5</v>
      </c>
      <c r="B5410" t="s">
        <v>2769</v>
      </c>
      <c r="C5410">
        <f>-0.22-1.64</f>
        <v>-1.8599999999999999</v>
      </c>
      <c r="D5410">
        <v>0.71</v>
      </c>
      <c r="E5410" t="s">
        <v>14</v>
      </c>
      <c r="F5410" t="s">
        <v>47</v>
      </c>
      <c r="G5410">
        <v>1.64</v>
      </c>
      <c r="H5410">
        <v>-0.22</v>
      </c>
      <c r="I5410">
        <v>0.93</v>
      </c>
      <c r="J5410">
        <v>0.8649</v>
      </c>
      <c r="K5410" t="str">
        <f>IFERROR(INDEX(Rosters!$C$2:$C$155,MATCH($B5410,Rosters!$B$2:$B$155,0)),"NA")</f>
        <v>NA</v>
      </c>
      <c r="L5410" t="str">
        <f t="shared" si="252"/>
        <v>NA5RB</v>
      </c>
      <c r="M5410">
        <f>COUNTIF(L$1:L5410,L5410)</f>
        <v>46</v>
      </c>
      <c r="N5410" t="str">
        <f t="shared" si="253"/>
        <v>NA5RB-46</v>
      </c>
      <c r="O5410">
        <f>COUNTIFS(F$1:F5410,F5410,A$1:A5410,A5410)</f>
        <v>89</v>
      </c>
      <c r="P5410" t="str">
        <f t="shared" si="254"/>
        <v>Kapri Bibbs5</v>
      </c>
    </row>
    <row r="5411" spans="1:16" x14ac:dyDescent="0.25">
      <c r="A5411">
        <v>2</v>
      </c>
      <c r="B5411" t="s">
        <v>300</v>
      </c>
      <c r="C5411">
        <f>-0.19-1.61</f>
        <v>-1.8</v>
      </c>
      <c r="D5411">
        <v>0.71</v>
      </c>
      <c r="E5411" t="s">
        <v>25</v>
      </c>
      <c r="F5411" t="s">
        <v>114</v>
      </c>
      <c r="G5411">
        <v>1.61</v>
      </c>
      <c r="H5411">
        <v>-0.19</v>
      </c>
      <c r="I5411">
        <v>0.9</v>
      </c>
      <c r="J5411">
        <v>0.81</v>
      </c>
      <c r="K5411" t="str">
        <f>IFERROR(INDEX(Rosters!$C$2:$C$155,MATCH($B5411,Rosters!$B$2:$B$155,0)),"NA")</f>
        <v>NA</v>
      </c>
      <c r="L5411" t="str">
        <f t="shared" si="252"/>
        <v>NA2TE</v>
      </c>
      <c r="M5411">
        <f>COUNTIF(L$1:L5411,L5411)</f>
        <v>50</v>
      </c>
      <c r="N5411" t="str">
        <f t="shared" si="253"/>
        <v>NA2TE-50</v>
      </c>
      <c r="O5411">
        <f>COUNTIFS(F$1:F5411,F5411,A$1:A5411,A5411)</f>
        <v>63</v>
      </c>
      <c r="P5411" t="str">
        <f t="shared" si="254"/>
        <v>Lance Kendricks2</v>
      </c>
    </row>
    <row r="5412" spans="1:16" x14ac:dyDescent="0.25">
      <c r="A5412">
        <v>4</v>
      </c>
      <c r="B5412" t="s">
        <v>391</v>
      </c>
      <c r="C5412">
        <f>-0.07-1.49</f>
        <v>-1.56</v>
      </c>
      <c r="D5412">
        <v>0.71</v>
      </c>
      <c r="E5412" t="s">
        <v>19</v>
      </c>
      <c r="F5412" t="s">
        <v>87</v>
      </c>
      <c r="G5412">
        <v>1.49</v>
      </c>
      <c r="H5412">
        <v>-7.0000000000000007E-2</v>
      </c>
      <c r="I5412">
        <v>0.78</v>
      </c>
      <c r="J5412">
        <v>0.60840000000000005</v>
      </c>
      <c r="K5412" t="str">
        <f>IFERROR(INDEX(Rosters!$C$2:$C$155,MATCH($B5412,Rosters!$B$2:$B$155,0)),"NA")</f>
        <v>NA</v>
      </c>
      <c r="L5412" t="str">
        <f t="shared" si="252"/>
        <v>NA4WR</v>
      </c>
      <c r="M5412">
        <f>COUNTIF(L$1:L5412,L5412)</f>
        <v>63</v>
      </c>
      <c r="N5412" t="str">
        <f t="shared" si="253"/>
        <v>NA4WR-63</v>
      </c>
      <c r="O5412">
        <f>COUNTIFS(F$1:F5412,F5412,A$1:A5412,A5412)</f>
        <v>113</v>
      </c>
      <c r="P5412" t="str">
        <f t="shared" si="254"/>
        <v>Matt Slater4</v>
      </c>
    </row>
    <row r="5413" spans="1:16" x14ac:dyDescent="0.25">
      <c r="A5413">
        <v>8</v>
      </c>
      <c r="B5413" t="s">
        <v>391</v>
      </c>
      <c r="C5413">
        <f>-0.03-1.45</f>
        <v>-1.48</v>
      </c>
      <c r="D5413">
        <v>0.71</v>
      </c>
      <c r="E5413" t="s">
        <v>29</v>
      </c>
      <c r="F5413" t="s">
        <v>87</v>
      </c>
      <c r="G5413">
        <v>1.45</v>
      </c>
      <c r="H5413">
        <v>-0.03</v>
      </c>
      <c r="I5413">
        <v>0.74</v>
      </c>
      <c r="J5413">
        <v>0.54759999999999998</v>
      </c>
      <c r="K5413" t="str">
        <f>IFERROR(INDEX(Rosters!$C$2:$C$155,MATCH($B5413,Rosters!$B$2:$B$155,0)),"NA")</f>
        <v>NA</v>
      </c>
      <c r="L5413" t="str">
        <f t="shared" si="252"/>
        <v>NA8WR</v>
      </c>
      <c r="M5413">
        <f>COUNTIF(L$1:L5413,L5413)</f>
        <v>67</v>
      </c>
      <c r="N5413" t="str">
        <f t="shared" si="253"/>
        <v>NA8WR-67</v>
      </c>
      <c r="O5413">
        <f>COUNTIFS(F$1:F5413,F5413,A$1:A5413,A5413)</f>
        <v>116</v>
      </c>
      <c r="P5413" t="str">
        <f t="shared" si="254"/>
        <v>Matt Slater8</v>
      </c>
    </row>
    <row r="5414" spans="1:16" x14ac:dyDescent="0.25">
      <c r="A5414">
        <v>3</v>
      </c>
      <c r="B5414" t="s">
        <v>1146</v>
      </c>
      <c r="C5414">
        <f>-0.19-1.61</f>
        <v>-1.8</v>
      </c>
      <c r="D5414">
        <v>0.71</v>
      </c>
      <c r="E5414" t="s">
        <v>41</v>
      </c>
      <c r="F5414" t="s">
        <v>87</v>
      </c>
      <c r="G5414">
        <v>1.61</v>
      </c>
      <c r="H5414">
        <v>-0.19</v>
      </c>
      <c r="I5414">
        <v>0.9</v>
      </c>
      <c r="J5414">
        <v>0.81</v>
      </c>
      <c r="K5414" t="str">
        <f>IFERROR(INDEX(Rosters!$C$2:$C$155,MATCH($B5414,Rosters!$B$2:$B$155,0)),"NA")</f>
        <v>NA</v>
      </c>
      <c r="L5414" t="str">
        <f t="shared" si="252"/>
        <v>NA3WR</v>
      </c>
      <c r="M5414">
        <f>COUNTIF(L$1:L5414,L5414)</f>
        <v>73</v>
      </c>
      <c r="N5414" t="str">
        <f t="shared" si="253"/>
        <v>NA3WR-73</v>
      </c>
      <c r="O5414">
        <f>COUNTIFS(F$1:F5414,F5414,A$1:A5414,A5414)</f>
        <v>122</v>
      </c>
      <c r="P5414" t="str">
        <f t="shared" si="254"/>
        <v>Maurice Harris3</v>
      </c>
    </row>
    <row r="5415" spans="1:16" x14ac:dyDescent="0.25">
      <c r="A5415">
        <v>12</v>
      </c>
      <c r="B5415" t="s">
        <v>8786</v>
      </c>
      <c r="C5415">
        <f>-0.03-1.45</f>
        <v>-1.48</v>
      </c>
      <c r="D5415">
        <v>0.71</v>
      </c>
      <c r="E5415" t="s">
        <v>29</v>
      </c>
      <c r="F5415" t="s">
        <v>87</v>
      </c>
      <c r="G5415">
        <v>1.45</v>
      </c>
      <c r="H5415">
        <v>-0.03</v>
      </c>
      <c r="I5415">
        <v>0.74</v>
      </c>
      <c r="J5415">
        <v>0.54759999999999998</v>
      </c>
      <c r="K5415" t="str">
        <f>IFERROR(INDEX(Rosters!$C$2:$C$155,MATCH($B5415,Rosters!$B$2:$B$155,0)),"NA")</f>
        <v>NA</v>
      </c>
      <c r="L5415" t="str">
        <f t="shared" si="252"/>
        <v>NA12WR</v>
      </c>
      <c r="M5415">
        <f>COUNTIF(L$1:L5415,L5415)</f>
        <v>71</v>
      </c>
      <c r="N5415" t="str">
        <f t="shared" si="253"/>
        <v>NA12WR-71</v>
      </c>
      <c r="O5415">
        <f>COUNTIFS(F$1:F5415,F5415,A$1:A5415,A5415)</f>
        <v>120</v>
      </c>
      <c r="P5415" t="str">
        <f t="shared" si="254"/>
        <v>Rashad Greene12</v>
      </c>
    </row>
    <row r="5416" spans="1:16" x14ac:dyDescent="0.25">
      <c r="A5416">
        <v>9</v>
      </c>
      <c r="B5416" t="s">
        <v>4260</v>
      </c>
      <c r="C5416">
        <f>-0.1-1.52</f>
        <v>-1.62</v>
      </c>
      <c r="D5416">
        <v>0.71</v>
      </c>
      <c r="E5416" t="s">
        <v>72</v>
      </c>
      <c r="F5416" t="s">
        <v>87</v>
      </c>
      <c r="G5416">
        <v>1.52</v>
      </c>
      <c r="H5416">
        <v>-0.1</v>
      </c>
      <c r="I5416">
        <v>0.81</v>
      </c>
      <c r="J5416">
        <v>0.65610000000000002</v>
      </c>
      <c r="K5416" t="str">
        <f>IFERROR(INDEX(Rosters!$C$2:$C$155,MATCH($B5416,Rosters!$B$2:$B$155,0)),"NA")</f>
        <v>NA</v>
      </c>
      <c r="L5416" t="str">
        <f t="shared" si="252"/>
        <v>NA9WR</v>
      </c>
      <c r="M5416">
        <f>COUNTIF(L$1:L5416,L5416)</f>
        <v>69</v>
      </c>
      <c r="N5416" t="str">
        <f t="shared" si="253"/>
        <v>NA9WR-69</v>
      </c>
      <c r="O5416">
        <f>COUNTIFS(F$1:F5416,F5416,A$1:A5416,A5416)</f>
        <v>113</v>
      </c>
      <c r="P5416" t="str">
        <f t="shared" si="254"/>
        <v>Robert Foster9</v>
      </c>
    </row>
    <row r="5417" spans="1:16" x14ac:dyDescent="0.25">
      <c r="A5417">
        <v>13</v>
      </c>
      <c r="B5417" t="s">
        <v>8803</v>
      </c>
      <c r="C5417">
        <f>-0.07-1.49</f>
        <v>-1.56</v>
      </c>
      <c r="D5417">
        <v>0.71</v>
      </c>
      <c r="E5417" t="s">
        <v>423</v>
      </c>
      <c r="F5417" t="s">
        <v>47</v>
      </c>
      <c r="G5417">
        <v>1.49</v>
      </c>
      <c r="H5417">
        <v>-7.0000000000000007E-2</v>
      </c>
      <c r="I5417">
        <v>0.78</v>
      </c>
      <c r="J5417">
        <v>0.60840000000000005</v>
      </c>
      <c r="K5417" t="str">
        <f>IFERROR(INDEX(Rosters!$C$2:$C$155,MATCH($B5417,Rosters!$B$2:$B$155,0)),"NA")</f>
        <v>NA</v>
      </c>
      <c r="L5417" t="str">
        <f t="shared" si="252"/>
        <v>NA13RB</v>
      </c>
      <c r="M5417">
        <f>COUNTIF(L$1:L5417,L5417)</f>
        <v>51</v>
      </c>
      <c r="N5417" t="str">
        <f t="shared" si="253"/>
        <v>NA13RB-51</v>
      </c>
      <c r="O5417">
        <f>COUNTIFS(F$1:F5417,F5417,A$1:A5417,A5417)</f>
        <v>98</v>
      </c>
      <c r="P5417" t="str">
        <f t="shared" si="254"/>
        <v>Roc Thomas13</v>
      </c>
    </row>
    <row r="5418" spans="1:16" x14ac:dyDescent="0.25">
      <c r="A5418">
        <v>1</v>
      </c>
      <c r="B5418" t="s">
        <v>1540</v>
      </c>
      <c r="C5418">
        <f>-0.07-1.49</f>
        <v>-1.56</v>
      </c>
      <c r="D5418">
        <v>0.71</v>
      </c>
      <c r="E5418" t="s">
        <v>52</v>
      </c>
      <c r="F5418" t="s">
        <v>87</v>
      </c>
      <c r="G5418">
        <v>1.49</v>
      </c>
      <c r="H5418">
        <v>-7.0000000000000007E-2</v>
      </c>
      <c r="I5418">
        <v>0.78</v>
      </c>
      <c r="J5418">
        <v>0.60840000000000005</v>
      </c>
      <c r="K5418" t="str">
        <f>IFERROR(INDEX(Rosters!$C$2:$C$155,MATCH($B5418,Rosters!$B$2:$B$155,0)),"NA")</f>
        <v>NA</v>
      </c>
      <c r="L5418" t="str">
        <f t="shared" si="252"/>
        <v>NA1WR</v>
      </c>
      <c r="M5418">
        <f>COUNTIF(L$1:L5418,L5418)</f>
        <v>61</v>
      </c>
      <c r="N5418" t="str">
        <f t="shared" si="253"/>
        <v>NA1WR-61</v>
      </c>
      <c r="O5418">
        <f>COUNTIFS(F$1:F5418,F5418,A$1:A5418,A5418)</f>
        <v>110</v>
      </c>
      <c r="P5418" t="str">
        <f t="shared" si="254"/>
        <v>Ryan Switzer1</v>
      </c>
    </row>
    <row r="5419" spans="1:16" x14ac:dyDescent="0.25">
      <c r="A5419">
        <v>14</v>
      </c>
      <c r="B5419" t="s">
        <v>4246</v>
      </c>
      <c r="C5419">
        <f>-0.02-1.44</f>
        <v>-1.46</v>
      </c>
      <c r="D5419">
        <v>0.71</v>
      </c>
      <c r="E5419" t="s">
        <v>60</v>
      </c>
      <c r="F5419" t="s">
        <v>114</v>
      </c>
      <c r="G5419">
        <v>1.44</v>
      </c>
      <c r="H5419">
        <v>-0.02</v>
      </c>
      <c r="I5419">
        <v>0.73</v>
      </c>
      <c r="J5419">
        <v>0.53290000000000004</v>
      </c>
      <c r="K5419" t="str">
        <f>IFERROR(INDEX(Rosters!$C$2:$C$155,MATCH($B5419,Rosters!$B$2:$B$155,0)),"NA")</f>
        <v>NA</v>
      </c>
      <c r="L5419" t="str">
        <f t="shared" si="252"/>
        <v>NA14TE</v>
      </c>
      <c r="M5419">
        <f>COUNTIF(L$1:L5419,L5419)</f>
        <v>55</v>
      </c>
      <c r="N5419" t="str">
        <f t="shared" si="253"/>
        <v>NA14TE-55</v>
      </c>
      <c r="O5419">
        <f>COUNTIFS(F$1:F5419,F5419,A$1:A5419,A5419)</f>
        <v>69</v>
      </c>
      <c r="P5419" t="str">
        <f t="shared" si="254"/>
        <v>Scott Simonson14</v>
      </c>
    </row>
    <row r="5420" spans="1:16" x14ac:dyDescent="0.25">
      <c r="A5420">
        <v>15</v>
      </c>
      <c r="B5420" t="s">
        <v>4246</v>
      </c>
      <c r="C5420" t="s">
        <v>8857</v>
      </c>
      <c r="D5420">
        <v>0.71</v>
      </c>
      <c r="E5420" t="s">
        <v>38</v>
      </c>
      <c r="F5420" t="s">
        <v>114</v>
      </c>
      <c r="G5420">
        <v>1.34</v>
      </c>
      <c r="H5420">
        <v>0.08</v>
      </c>
      <c r="I5420">
        <v>0.63</v>
      </c>
      <c r="J5420">
        <v>0.39689999999999998</v>
      </c>
      <c r="K5420" t="str">
        <f>IFERROR(INDEX(Rosters!$C$2:$C$155,MATCH($B5420,Rosters!$B$2:$B$155,0)),"NA")</f>
        <v>NA</v>
      </c>
      <c r="L5420" t="str">
        <f t="shared" si="252"/>
        <v>NA15TE</v>
      </c>
      <c r="M5420">
        <f>COUNTIF(L$1:L5420,L5420)</f>
        <v>57</v>
      </c>
      <c r="N5420" t="str">
        <f t="shared" si="253"/>
        <v>NA15TE-57</v>
      </c>
      <c r="O5420">
        <f>COUNTIFS(F$1:F5420,F5420,A$1:A5420,A5420)</f>
        <v>71</v>
      </c>
      <c r="P5420" t="str">
        <f t="shared" si="254"/>
        <v>Scott Simonson15</v>
      </c>
    </row>
    <row r="5421" spans="1:16" x14ac:dyDescent="0.25">
      <c r="A5421">
        <v>9</v>
      </c>
      <c r="B5421" t="s">
        <v>4703</v>
      </c>
      <c r="C5421">
        <f>-0.04-1.46</f>
        <v>-1.5</v>
      </c>
      <c r="D5421">
        <v>0.71</v>
      </c>
      <c r="E5421" t="s">
        <v>51</v>
      </c>
      <c r="F5421" t="s">
        <v>87</v>
      </c>
      <c r="G5421">
        <v>1.46</v>
      </c>
      <c r="H5421">
        <v>-0.04</v>
      </c>
      <c r="I5421">
        <v>0.75</v>
      </c>
      <c r="J5421">
        <v>0.5625</v>
      </c>
      <c r="K5421" t="str">
        <f>IFERROR(INDEX(Rosters!$C$2:$C$155,MATCH($B5421,Rosters!$B$2:$B$155,0)),"NA")</f>
        <v>NA</v>
      </c>
      <c r="L5421" t="str">
        <f t="shared" si="252"/>
        <v>NA9WR</v>
      </c>
      <c r="M5421">
        <f>COUNTIF(L$1:L5421,L5421)</f>
        <v>70</v>
      </c>
      <c r="N5421" t="str">
        <f t="shared" si="253"/>
        <v>NA9WR-70</v>
      </c>
      <c r="O5421">
        <f>COUNTIFS(F$1:F5421,F5421,A$1:A5421,A5421)</f>
        <v>114</v>
      </c>
      <c r="P5421" t="str">
        <f t="shared" si="254"/>
        <v>Tim White9</v>
      </c>
    </row>
    <row r="5422" spans="1:16" x14ac:dyDescent="0.25">
      <c r="A5422">
        <v>12</v>
      </c>
      <c r="B5422" t="s">
        <v>4703</v>
      </c>
      <c r="C5422" t="s">
        <v>4702</v>
      </c>
      <c r="D5422">
        <v>0.71</v>
      </c>
      <c r="E5422" t="s">
        <v>32</v>
      </c>
      <c r="F5422" t="s">
        <v>87</v>
      </c>
      <c r="G5422">
        <v>1.4</v>
      </c>
      <c r="H5422">
        <v>0.02</v>
      </c>
      <c r="I5422">
        <v>0.69</v>
      </c>
      <c r="J5422">
        <v>0.47610000000000002</v>
      </c>
      <c r="K5422" t="str">
        <f>IFERROR(INDEX(Rosters!$C$2:$C$155,MATCH($B5422,Rosters!$B$2:$B$155,0)),"NA")</f>
        <v>NA</v>
      </c>
      <c r="L5422" t="str">
        <f t="shared" si="252"/>
        <v>NA12WR</v>
      </c>
      <c r="M5422">
        <f>COUNTIF(L$1:L5422,L5422)</f>
        <v>72</v>
      </c>
      <c r="N5422" t="str">
        <f t="shared" si="253"/>
        <v>NA12WR-72</v>
      </c>
      <c r="O5422">
        <f>COUNTIFS(F$1:F5422,F5422,A$1:A5422,A5422)</f>
        <v>121</v>
      </c>
      <c r="P5422" t="str">
        <f t="shared" si="254"/>
        <v>Tim White12</v>
      </c>
    </row>
    <row r="5423" spans="1:16" x14ac:dyDescent="0.25">
      <c r="A5423">
        <v>14</v>
      </c>
      <c r="B5423" t="s">
        <v>4703</v>
      </c>
      <c r="C5423">
        <f>-0.03-1.45</f>
        <v>-1.48</v>
      </c>
      <c r="D5423">
        <v>0.71</v>
      </c>
      <c r="E5423" t="s">
        <v>24</v>
      </c>
      <c r="F5423" t="s">
        <v>87</v>
      </c>
      <c r="G5423">
        <v>1.45</v>
      </c>
      <c r="H5423">
        <v>-0.03</v>
      </c>
      <c r="I5423">
        <v>0.74</v>
      </c>
      <c r="J5423">
        <v>0.54759999999999998</v>
      </c>
      <c r="K5423" t="str">
        <f>IFERROR(INDEX(Rosters!$C$2:$C$155,MATCH($B5423,Rosters!$B$2:$B$155,0)),"NA")</f>
        <v>NA</v>
      </c>
      <c r="L5423" t="str">
        <f t="shared" si="252"/>
        <v>NA14WR</v>
      </c>
      <c r="M5423">
        <f>COUNTIF(L$1:L5423,L5423)</f>
        <v>76</v>
      </c>
      <c r="N5423" t="str">
        <f t="shared" si="253"/>
        <v>NA14WR-76</v>
      </c>
      <c r="O5423">
        <f>COUNTIFS(F$1:F5423,F5423,A$1:A5423,A5423)</f>
        <v>130</v>
      </c>
      <c r="P5423" t="str">
        <f t="shared" si="254"/>
        <v>Tim White14</v>
      </c>
    </row>
    <row r="5424" spans="1:16" x14ac:dyDescent="0.25">
      <c r="A5424">
        <v>5</v>
      </c>
      <c r="B5424" t="s">
        <v>102</v>
      </c>
      <c r="C5424" t="s">
        <v>8861</v>
      </c>
      <c r="D5424">
        <v>0.71</v>
      </c>
      <c r="E5424" t="s">
        <v>50</v>
      </c>
      <c r="F5424" t="s">
        <v>15</v>
      </c>
      <c r="G5424">
        <v>1.26</v>
      </c>
      <c r="H5424">
        <v>0.16</v>
      </c>
      <c r="I5424">
        <v>0.55000000000000004</v>
      </c>
      <c r="J5424">
        <v>0.30249999999999999</v>
      </c>
      <c r="K5424" t="str">
        <f>IFERROR(INDEX(Rosters!$C$2:$C$155,MATCH($B5424,Rosters!$B$2:$B$155,0)),"NA")</f>
        <v>NA</v>
      </c>
      <c r="L5424" t="str">
        <f t="shared" si="252"/>
        <v>NA5QB</v>
      </c>
      <c r="M5424">
        <f>COUNTIF(L$1:L5424,L5424)</f>
        <v>31</v>
      </c>
      <c r="N5424" t="str">
        <f t="shared" si="253"/>
        <v>NA5QB-31</v>
      </c>
      <c r="O5424">
        <f>COUNTIFS(F$1:F5424,F5424,A$1:A5424,A5424)</f>
        <v>48</v>
      </c>
      <c r="P5424" t="str">
        <f t="shared" si="254"/>
        <v>Trevor Siemian5</v>
      </c>
    </row>
    <row r="5425" spans="1:16" x14ac:dyDescent="0.25">
      <c r="A5425">
        <v>12</v>
      </c>
      <c r="B5425" t="s">
        <v>2926</v>
      </c>
      <c r="C5425">
        <f>-0.03-1.43</f>
        <v>-1.46</v>
      </c>
      <c r="D5425">
        <v>0.7</v>
      </c>
      <c r="E5425" t="s">
        <v>22</v>
      </c>
      <c r="F5425" t="s">
        <v>87</v>
      </c>
      <c r="G5425">
        <v>1.43</v>
      </c>
      <c r="H5425">
        <v>-0.03</v>
      </c>
      <c r="I5425">
        <v>0.73</v>
      </c>
      <c r="J5425">
        <v>0.53290000000000004</v>
      </c>
      <c r="K5425" t="str">
        <f>IFERROR(INDEX(Rosters!$C$2:$C$155,MATCH($B5425,Rosters!$B$2:$B$155,0)),"NA")</f>
        <v>NA</v>
      </c>
      <c r="L5425" t="str">
        <f t="shared" si="252"/>
        <v>NA12WR</v>
      </c>
      <c r="M5425">
        <f>COUNTIF(L$1:L5425,L5425)</f>
        <v>73</v>
      </c>
      <c r="N5425" t="str">
        <f t="shared" si="253"/>
        <v>NA12WR-73</v>
      </c>
      <c r="O5425">
        <f>COUNTIFS(F$1:F5425,F5425,A$1:A5425,A5425)</f>
        <v>122</v>
      </c>
      <c r="P5425" t="str">
        <f t="shared" si="254"/>
        <v>Brian Quick12</v>
      </c>
    </row>
    <row r="5426" spans="1:16" x14ac:dyDescent="0.25">
      <c r="A5426">
        <v>14</v>
      </c>
      <c r="B5426" t="s">
        <v>2926</v>
      </c>
      <c r="C5426" t="s">
        <v>8862</v>
      </c>
      <c r="D5426">
        <v>0.7</v>
      </c>
      <c r="E5426" t="s">
        <v>54</v>
      </c>
      <c r="F5426" t="s">
        <v>87</v>
      </c>
      <c r="G5426">
        <v>1.33</v>
      </c>
      <c r="H5426">
        <v>7.0000000000000007E-2</v>
      </c>
      <c r="I5426">
        <v>0.63</v>
      </c>
      <c r="J5426">
        <v>0.39689999999999998</v>
      </c>
      <c r="K5426" t="str">
        <f>IFERROR(INDEX(Rosters!$C$2:$C$155,MATCH($B5426,Rosters!$B$2:$B$155,0)),"NA")</f>
        <v>NA</v>
      </c>
      <c r="L5426" t="str">
        <f t="shared" si="252"/>
        <v>NA14WR</v>
      </c>
      <c r="M5426">
        <f>COUNTIF(L$1:L5426,L5426)</f>
        <v>77</v>
      </c>
      <c r="N5426" t="str">
        <f t="shared" si="253"/>
        <v>NA14WR-77</v>
      </c>
      <c r="O5426">
        <f>COUNTIFS(F$1:F5426,F5426,A$1:A5426,A5426)</f>
        <v>131</v>
      </c>
      <c r="P5426" t="str">
        <f t="shared" si="254"/>
        <v>Brian Quick14</v>
      </c>
    </row>
    <row r="5427" spans="1:16" x14ac:dyDescent="0.25">
      <c r="A5427">
        <v>12</v>
      </c>
      <c r="B5427" t="s">
        <v>744</v>
      </c>
      <c r="C5427" t="s">
        <v>4707</v>
      </c>
      <c r="D5427">
        <v>0.7</v>
      </c>
      <c r="E5427" t="s">
        <v>29</v>
      </c>
      <c r="F5427" t="s">
        <v>15</v>
      </c>
      <c r="G5427">
        <v>1.26</v>
      </c>
      <c r="H5427">
        <v>0.14000000000000001</v>
      </c>
      <c r="I5427">
        <v>0.56000000000000005</v>
      </c>
      <c r="J5427">
        <v>0.31359999999999999</v>
      </c>
      <c r="K5427" t="str">
        <f>IFERROR(INDEX(Rosters!$C$2:$C$155,MATCH($B5427,Rosters!$B$2:$B$155,0)),"NA")</f>
        <v>NA</v>
      </c>
      <c r="L5427" t="str">
        <f t="shared" si="252"/>
        <v>NA12QB</v>
      </c>
      <c r="M5427">
        <f>COUNTIF(L$1:L5427,L5427)</f>
        <v>35</v>
      </c>
      <c r="N5427" t="str">
        <f t="shared" si="253"/>
        <v>NA12QB-35</v>
      </c>
      <c r="O5427">
        <f>COUNTIFS(F$1:F5427,F5427,A$1:A5427,A5427)</f>
        <v>50</v>
      </c>
      <c r="P5427" t="str">
        <f t="shared" si="254"/>
        <v>Cody Kessler12</v>
      </c>
    </row>
    <row r="5428" spans="1:16" x14ac:dyDescent="0.25">
      <c r="A5428">
        <v>14</v>
      </c>
      <c r="B5428" t="s">
        <v>744</v>
      </c>
      <c r="C5428" t="s">
        <v>8863</v>
      </c>
      <c r="D5428">
        <v>0.7</v>
      </c>
      <c r="E5428" t="s">
        <v>38</v>
      </c>
      <c r="F5428" t="s">
        <v>15</v>
      </c>
      <c r="G5428">
        <v>1.22</v>
      </c>
      <c r="H5428">
        <v>0.18</v>
      </c>
      <c r="I5428">
        <v>0.52</v>
      </c>
      <c r="J5428">
        <v>0.27039999999999997</v>
      </c>
      <c r="K5428" t="str">
        <f>IFERROR(INDEX(Rosters!$C$2:$C$155,MATCH($B5428,Rosters!$B$2:$B$155,0)),"NA")</f>
        <v>NA</v>
      </c>
      <c r="L5428" t="str">
        <f t="shared" si="252"/>
        <v>NA14QB</v>
      </c>
      <c r="M5428">
        <f>COUNTIF(L$1:L5428,L5428)</f>
        <v>35</v>
      </c>
      <c r="N5428" t="str">
        <f t="shared" si="253"/>
        <v>NA14QB-35</v>
      </c>
      <c r="O5428">
        <f>COUNTIFS(F$1:F5428,F5428,A$1:A5428,A5428)</f>
        <v>52</v>
      </c>
      <c r="P5428" t="str">
        <f t="shared" si="254"/>
        <v>Cody Kessler14</v>
      </c>
    </row>
    <row r="5429" spans="1:16" x14ac:dyDescent="0.25">
      <c r="A5429">
        <v>17</v>
      </c>
      <c r="B5429" t="s">
        <v>1503</v>
      </c>
      <c r="C5429">
        <f>-0.11-1.51</f>
        <v>-1.62</v>
      </c>
      <c r="D5429">
        <v>0.7</v>
      </c>
      <c r="E5429" t="s">
        <v>36</v>
      </c>
      <c r="F5429" t="s">
        <v>87</v>
      </c>
      <c r="G5429">
        <v>1.51</v>
      </c>
      <c r="H5429">
        <v>-0.11</v>
      </c>
      <c r="I5429">
        <v>0.81</v>
      </c>
      <c r="J5429">
        <v>0.65610000000000002</v>
      </c>
      <c r="K5429" t="str">
        <f>IFERROR(INDEX(Rosters!$C$2:$C$155,MATCH($B5429,Rosters!$B$2:$B$155,0)),"NA")</f>
        <v>NA</v>
      </c>
      <c r="L5429" t="str">
        <f t="shared" si="252"/>
        <v>NA17WR</v>
      </c>
      <c r="M5429">
        <f>COUNTIF(L$1:L5429,L5429)</f>
        <v>82</v>
      </c>
      <c r="N5429" t="str">
        <f t="shared" si="253"/>
        <v>NA17WR-82</v>
      </c>
      <c r="O5429">
        <f>COUNTIFS(F$1:F5429,F5429,A$1:A5429,A5429)</f>
        <v>136</v>
      </c>
      <c r="P5429" t="str">
        <f t="shared" si="254"/>
        <v>D.J. Chark17</v>
      </c>
    </row>
    <row r="5430" spans="1:16" x14ac:dyDescent="0.25">
      <c r="A5430">
        <v>2</v>
      </c>
      <c r="B5430" t="s">
        <v>1115</v>
      </c>
      <c r="C5430">
        <f>-0.01-1.41</f>
        <v>-1.42</v>
      </c>
      <c r="D5430">
        <v>0.7</v>
      </c>
      <c r="E5430" t="s">
        <v>36</v>
      </c>
      <c r="F5430" t="s">
        <v>87</v>
      </c>
      <c r="G5430">
        <v>1.41</v>
      </c>
      <c r="H5430">
        <v>-0.01</v>
      </c>
      <c r="I5430">
        <v>0.71</v>
      </c>
      <c r="J5430">
        <v>0.50409999999999999</v>
      </c>
      <c r="K5430" t="str">
        <f>IFERROR(INDEX(Rosters!$C$2:$C$155,MATCH($B5430,Rosters!$B$2:$B$155,0)),"NA")</f>
        <v>NA</v>
      </c>
      <c r="L5430" t="str">
        <f t="shared" si="252"/>
        <v>NA2WR</v>
      </c>
      <c r="M5430">
        <f>COUNTIF(L$1:L5430,L5430)</f>
        <v>65</v>
      </c>
      <c r="N5430" t="str">
        <f t="shared" si="253"/>
        <v>NA2WR-65</v>
      </c>
      <c r="O5430">
        <f>COUNTIFS(F$1:F5430,F5430,A$1:A5430,A5430)</f>
        <v>113</v>
      </c>
      <c r="P5430" t="str">
        <f t="shared" si="254"/>
        <v>Darius Jennings2</v>
      </c>
    </row>
    <row r="5431" spans="1:16" x14ac:dyDescent="0.25">
      <c r="A5431">
        <v>14</v>
      </c>
      <c r="B5431" t="s">
        <v>254</v>
      </c>
      <c r="C5431">
        <f>-0.39-1.79</f>
        <v>-2.1800000000000002</v>
      </c>
      <c r="D5431">
        <v>0.7</v>
      </c>
      <c r="E5431" t="s">
        <v>19</v>
      </c>
      <c r="F5431" t="s">
        <v>114</v>
      </c>
      <c r="G5431">
        <v>1.79</v>
      </c>
      <c r="H5431">
        <v>-0.39</v>
      </c>
      <c r="I5431">
        <v>1.0900000000000001</v>
      </c>
      <c r="J5431">
        <v>1.1880999999999999</v>
      </c>
      <c r="K5431" t="str">
        <f>IFERROR(INDEX(Rosters!$C$2:$C$155,MATCH($B5431,Rosters!$B$2:$B$155,0)),"NA")</f>
        <v>NA</v>
      </c>
      <c r="L5431" t="str">
        <f t="shared" si="252"/>
        <v>NA14TE</v>
      </c>
      <c r="M5431">
        <f>COUNTIF(L$1:L5431,L5431)</f>
        <v>56</v>
      </c>
      <c r="N5431" t="str">
        <f t="shared" si="253"/>
        <v>NA14TE-56</v>
      </c>
      <c r="O5431">
        <f>COUNTIFS(F$1:F5431,F5431,A$1:A5431,A5431)</f>
        <v>70</v>
      </c>
      <c r="P5431" t="str">
        <f t="shared" si="254"/>
        <v>Dwayne Allen14</v>
      </c>
    </row>
    <row r="5432" spans="1:16" x14ac:dyDescent="0.25">
      <c r="A5432">
        <v>4</v>
      </c>
      <c r="B5432" t="s">
        <v>2765</v>
      </c>
      <c r="C5432" t="s">
        <v>1564</v>
      </c>
      <c r="D5432">
        <v>0.7</v>
      </c>
      <c r="E5432" t="s">
        <v>14</v>
      </c>
      <c r="F5432" t="s">
        <v>47</v>
      </c>
      <c r="G5432">
        <v>1.38</v>
      </c>
      <c r="H5432">
        <v>0.02</v>
      </c>
      <c r="I5432">
        <v>0.68</v>
      </c>
      <c r="J5432">
        <v>0.46239999999999998</v>
      </c>
      <c r="K5432" t="str">
        <f>IFERROR(INDEX(Rosters!$C$2:$C$155,MATCH($B5432,Rosters!$B$2:$B$155,0)),"NA")</f>
        <v>NA</v>
      </c>
      <c r="L5432" t="str">
        <f t="shared" si="252"/>
        <v>NA4RB</v>
      </c>
      <c r="M5432">
        <f>COUNTIF(L$1:L5432,L5432)</f>
        <v>43</v>
      </c>
      <c r="N5432" t="str">
        <f t="shared" si="253"/>
        <v>NA4RB-43</v>
      </c>
      <c r="O5432">
        <f>COUNTIFS(F$1:F5432,F5432,A$1:A5432,A5432)</f>
        <v>82</v>
      </c>
      <c r="P5432" t="str">
        <f t="shared" si="254"/>
        <v>Elijhaa Penny4</v>
      </c>
    </row>
    <row r="5433" spans="1:16" x14ac:dyDescent="0.25">
      <c r="A5433">
        <v>6</v>
      </c>
      <c r="B5433" t="s">
        <v>4687</v>
      </c>
      <c r="C5433" t="s">
        <v>4705</v>
      </c>
      <c r="D5433">
        <v>0.7</v>
      </c>
      <c r="E5433" t="s">
        <v>54</v>
      </c>
      <c r="F5433" t="s">
        <v>47</v>
      </c>
      <c r="G5433">
        <v>1.36</v>
      </c>
      <c r="H5433">
        <v>0.04</v>
      </c>
      <c r="I5433">
        <v>0.66</v>
      </c>
      <c r="J5433">
        <v>0.43559999999999999</v>
      </c>
      <c r="K5433" t="str">
        <f>IFERROR(INDEX(Rosters!$C$2:$C$155,MATCH($B5433,Rosters!$B$2:$B$155,0)),"NA")</f>
        <v>NA</v>
      </c>
      <c r="L5433" t="str">
        <f t="shared" si="252"/>
        <v>NA6RB</v>
      </c>
      <c r="M5433">
        <f>COUNTIF(L$1:L5433,L5433)</f>
        <v>42</v>
      </c>
      <c r="N5433" t="str">
        <f t="shared" si="253"/>
        <v>NA6RB-42</v>
      </c>
      <c r="O5433">
        <f>COUNTIFS(F$1:F5433,F5433,A$1:A5433,A5433)</f>
        <v>84</v>
      </c>
      <c r="P5433" t="str">
        <f t="shared" si="254"/>
        <v>Josh Adams6</v>
      </c>
    </row>
    <row r="5434" spans="1:16" x14ac:dyDescent="0.25">
      <c r="A5434">
        <v>4</v>
      </c>
      <c r="B5434" t="s">
        <v>88</v>
      </c>
      <c r="C5434" t="s">
        <v>4706</v>
      </c>
      <c r="D5434">
        <v>0.7</v>
      </c>
      <c r="E5434" t="s">
        <v>76</v>
      </c>
      <c r="F5434" t="s">
        <v>15</v>
      </c>
      <c r="G5434">
        <v>1.21</v>
      </c>
      <c r="H5434">
        <v>0.19</v>
      </c>
      <c r="I5434">
        <v>0.51</v>
      </c>
      <c r="J5434">
        <v>0.2601</v>
      </c>
      <c r="K5434" t="str">
        <f>IFERROR(INDEX(Rosters!$C$2:$C$155,MATCH($B5434,Rosters!$B$2:$B$155,0)),"NA")</f>
        <v>NA</v>
      </c>
      <c r="L5434" t="str">
        <f t="shared" si="252"/>
        <v>NA4QB</v>
      </c>
      <c r="M5434">
        <f>COUNTIF(L$1:L5434,L5434)</f>
        <v>30</v>
      </c>
      <c r="N5434" t="str">
        <f t="shared" si="253"/>
        <v>NA4QB-30</v>
      </c>
      <c r="O5434">
        <f>COUNTIFS(F$1:F5434,F5434,A$1:A5434,A5434)</f>
        <v>45</v>
      </c>
      <c r="P5434" t="str">
        <f t="shared" si="254"/>
        <v>Josh McCown4</v>
      </c>
    </row>
    <row r="5435" spans="1:16" x14ac:dyDescent="0.25">
      <c r="A5435">
        <v>12</v>
      </c>
      <c r="B5435" t="s">
        <v>253</v>
      </c>
      <c r="C5435">
        <f>-0.37-1.77</f>
        <v>-2.14</v>
      </c>
      <c r="D5435">
        <v>0.7</v>
      </c>
      <c r="E5435" t="s">
        <v>14</v>
      </c>
      <c r="F5435" t="s">
        <v>87</v>
      </c>
      <c r="G5435">
        <v>1.77</v>
      </c>
      <c r="H5435">
        <v>-0.37</v>
      </c>
      <c r="I5435">
        <v>1.07</v>
      </c>
      <c r="J5435">
        <v>1.1449</v>
      </c>
      <c r="K5435" t="str">
        <f>IFERROR(INDEX(Rosters!$C$2:$C$155,MATCH($B5435,Rosters!$B$2:$B$155,0)),"NA")</f>
        <v>NA</v>
      </c>
      <c r="L5435" t="str">
        <f t="shared" si="252"/>
        <v>NA12WR</v>
      </c>
      <c r="M5435">
        <f>COUNTIF(L$1:L5435,L5435)</f>
        <v>74</v>
      </c>
      <c r="N5435" t="str">
        <f t="shared" si="253"/>
        <v>NA12WR-74</v>
      </c>
      <c r="O5435">
        <f>COUNTIFS(F$1:F5435,F5435,A$1:A5435,A5435)</f>
        <v>123</v>
      </c>
      <c r="P5435" t="str">
        <f t="shared" si="254"/>
        <v>Justin Hardy12</v>
      </c>
    </row>
    <row r="5436" spans="1:16" x14ac:dyDescent="0.25">
      <c r="A5436">
        <v>14</v>
      </c>
      <c r="B5436" t="s">
        <v>253</v>
      </c>
      <c r="C5436">
        <f>-0.37-1.77</f>
        <v>-2.14</v>
      </c>
      <c r="D5436">
        <v>0.7</v>
      </c>
      <c r="E5436" t="s">
        <v>41</v>
      </c>
      <c r="F5436" t="s">
        <v>87</v>
      </c>
      <c r="G5436">
        <v>1.77</v>
      </c>
      <c r="H5436">
        <v>-0.37</v>
      </c>
      <c r="I5436">
        <v>1.07</v>
      </c>
      <c r="J5436">
        <v>1.1449</v>
      </c>
      <c r="K5436" t="str">
        <f>IFERROR(INDEX(Rosters!$C$2:$C$155,MATCH($B5436,Rosters!$B$2:$B$155,0)),"NA")</f>
        <v>NA</v>
      </c>
      <c r="L5436" t="str">
        <f t="shared" si="252"/>
        <v>NA14WR</v>
      </c>
      <c r="M5436">
        <f>COUNTIF(L$1:L5436,L5436)</f>
        <v>78</v>
      </c>
      <c r="N5436" t="str">
        <f t="shared" si="253"/>
        <v>NA14WR-78</v>
      </c>
      <c r="O5436">
        <f>COUNTIFS(F$1:F5436,F5436,A$1:A5436,A5436)</f>
        <v>132</v>
      </c>
      <c r="P5436" t="str">
        <f t="shared" si="254"/>
        <v>Justin Hardy14</v>
      </c>
    </row>
    <row r="5437" spans="1:16" x14ac:dyDescent="0.25">
      <c r="A5437">
        <v>8</v>
      </c>
      <c r="B5437" t="s">
        <v>8834</v>
      </c>
      <c r="C5437" t="s">
        <v>1564</v>
      </c>
      <c r="D5437">
        <v>0.7</v>
      </c>
      <c r="E5437" t="s">
        <v>31</v>
      </c>
      <c r="F5437" t="s">
        <v>87</v>
      </c>
      <c r="G5437">
        <v>1.38</v>
      </c>
      <c r="H5437">
        <v>0.02</v>
      </c>
      <c r="I5437">
        <v>0.68</v>
      </c>
      <c r="J5437">
        <v>0.46239999999999998</v>
      </c>
      <c r="K5437" t="str">
        <f>IFERROR(INDEX(Rosters!$C$2:$C$155,MATCH($B5437,Rosters!$B$2:$B$155,0)),"NA")</f>
        <v>NA</v>
      </c>
      <c r="L5437" t="str">
        <f t="shared" si="252"/>
        <v>NA8WR</v>
      </c>
      <c r="M5437">
        <f>COUNTIF(L$1:L5437,L5437)</f>
        <v>68</v>
      </c>
      <c r="N5437" t="str">
        <f t="shared" si="253"/>
        <v>NA8WR-68</v>
      </c>
      <c r="O5437">
        <f>COUNTIFS(F$1:F5437,F5437,A$1:A5437,A5437)</f>
        <v>117</v>
      </c>
      <c r="P5437" t="str">
        <f t="shared" si="254"/>
        <v>Justin Watson8</v>
      </c>
    </row>
    <row r="5438" spans="1:16" x14ac:dyDescent="0.25">
      <c r="A5438">
        <v>11</v>
      </c>
      <c r="B5438" t="s">
        <v>8834</v>
      </c>
      <c r="C5438" t="s">
        <v>4704</v>
      </c>
      <c r="D5438">
        <v>0.7</v>
      </c>
      <c r="E5438" t="s">
        <v>54</v>
      </c>
      <c r="F5438" t="s">
        <v>87</v>
      </c>
      <c r="G5438">
        <v>1.39</v>
      </c>
      <c r="H5438">
        <v>0.01</v>
      </c>
      <c r="I5438">
        <v>0.69</v>
      </c>
      <c r="J5438">
        <v>0.47610000000000002</v>
      </c>
      <c r="K5438" t="str">
        <f>IFERROR(INDEX(Rosters!$C$2:$C$155,MATCH($B5438,Rosters!$B$2:$B$155,0)),"NA")</f>
        <v>NA</v>
      </c>
      <c r="L5438" t="str">
        <f t="shared" si="252"/>
        <v>NA11WR</v>
      </c>
      <c r="M5438">
        <f>COUNTIF(L$1:L5438,L5438)</f>
        <v>65</v>
      </c>
      <c r="N5438" t="str">
        <f t="shared" si="253"/>
        <v>NA11WR-65</v>
      </c>
      <c r="O5438">
        <f>COUNTIFS(F$1:F5438,F5438,A$1:A5438,A5438)</f>
        <v>112</v>
      </c>
      <c r="P5438" t="str">
        <f t="shared" si="254"/>
        <v>Justin Watson11</v>
      </c>
    </row>
    <row r="5439" spans="1:16" x14ac:dyDescent="0.25">
      <c r="A5439">
        <v>15</v>
      </c>
      <c r="B5439" t="s">
        <v>198</v>
      </c>
      <c r="C5439">
        <f>-0.13-1.53</f>
        <v>-1.6600000000000001</v>
      </c>
      <c r="D5439">
        <v>0.7</v>
      </c>
      <c r="E5439" t="s">
        <v>41</v>
      </c>
      <c r="F5439" t="s">
        <v>87</v>
      </c>
      <c r="G5439">
        <v>1.53</v>
      </c>
      <c r="H5439">
        <v>-0.13</v>
      </c>
      <c r="I5439">
        <v>0.83</v>
      </c>
      <c r="J5439">
        <v>0.68889999999999996</v>
      </c>
      <c r="K5439" t="str">
        <f>IFERROR(INDEX(Rosters!$C$2:$C$155,MATCH($B5439,Rosters!$B$2:$B$155,0)),"NA")</f>
        <v>NA</v>
      </c>
      <c r="L5439" t="str">
        <f t="shared" si="252"/>
        <v>NA15WR</v>
      </c>
      <c r="M5439">
        <f>COUNTIF(L$1:L5439,L5439)</f>
        <v>81</v>
      </c>
      <c r="N5439" t="str">
        <f t="shared" si="253"/>
        <v>NA15WR-81</v>
      </c>
      <c r="O5439">
        <f>COUNTIFS(F$1:F5439,F5439,A$1:A5439,A5439)</f>
        <v>135</v>
      </c>
      <c r="P5439" t="str">
        <f t="shared" si="254"/>
        <v>Kevin White15</v>
      </c>
    </row>
    <row r="5440" spans="1:16" x14ac:dyDescent="0.25">
      <c r="A5440">
        <v>14</v>
      </c>
      <c r="B5440" t="s">
        <v>1583</v>
      </c>
      <c r="C5440">
        <f>-0.03-1.43</f>
        <v>-1.46</v>
      </c>
      <c r="D5440">
        <v>0.7</v>
      </c>
      <c r="E5440" t="s">
        <v>73</v>
      </c>
      <c r="F5440" t="s">
        <v>114</v>
      </c>
      <c r="G5440">
        <v>1.43</v>
      </c>
      <c r="H5440">
        <v>-0.03</v>
      </c>
      <c r="I5440">
        <v>0.73</v>
      </c>
      <c r="J5440">
        <v>0.53290000000000004</v>
      </c>
      <c r="K5440" t="str">
        <f>IFERROR(INDEX(Rosters!$C$2:$C$155,MATCH($B5440,Rosters!$B$2:$B$155,0)),"NA")</f>
        <v>NA</v>
      </c>
      <c r="L5440" t="str">
        <f t="shared" si="252"/>
        <v>NA14TE</v>
      </c>
      <c r="M5440">
        <f>COUNTIF(L$1:L5440,L5440)</f>
        <v>57</v>
      </c>
      <c r="N5440" t="str">
        <f t="shared" si="253"/>
        <v>NA14TE-57</v>
      </c>
      <c r="O5440">
        <f>COUNTIFS(F$1:F5440,F5440,A$1:A5440,A5440)</f>
        <v>71</v>
      </c>
      <c r="P5440" t="str">
        <f t="shared" si="254"/>
        <v>Logan Thomas14</v>
      </c>
    </row>
    <row r="5441" spans="1:16" x14ac:dyDescent="0.25">
      <c r="A5441">
        <v>17</v>
      </c>
      <c r="B5441" t="s">
        <v>1526</v>
      </c>
      <c r="C5441" t="s">
        <v>8864</v>
      </c>
      <c r="D5441">
        <v>0.7</v>
      </c>
      <c r="E5441" t="s">
        <v>41</v>
      </c>
      <c r="F5441" t="s">
        <v>114</v>
      </c>
      <c r="G5441">
        <v>1.24</v>
      </c>
      <c r="H5441">
        <v>0.16</v>
      </c>
      <c r="I5441">
        <v>0.54</v>
      </c>
      <c r="J5441">
        <v>0.29160000000000003</v>
      </c>
      <c r="K5441" t="str">
        <f>IFERROR(INDEX(Rosters!$C$2:$C$155,MATCH($B5441,Rosters!$B$2:$B$155,0)),"NA")</f>
        <v>NA</v>
      </c>
      <c r="L5441" t="str">
        <f t="shared" si="252"/>
        <v>NA17TE</v>
      </c>
      <c r="M5441">
        <f>COUNTIF(L$1:L5441,L5441)</f>
        <v>57</v>
      </c>
      <c r="N5441" t="str">
        <f t="shared" si="253"/>
        <v>NA17TE-57</v>
      </c>
      <c r="O5441">
        <f>COUNTIFS(F$1:F5441,F5441,A$1:A5441,A5441)</f>
        <v>71</v>
      </c>
      <c r="P5441" t="str">
        <f t="shared" si="254"/>
        <v>Michael Roberts17</v>
      </c>
    </row>
    <row r="5442" spans="1:16" x14ac:dyDescent="0.25">
      <c r="A5442">
        <v>13</v>
      </c>
      <c r="B5442" t="s">
        <v>3036</v>
      </c>
      <c r="C5442">
        <f>-0.05-1.45</f>
        <v>-1.5</v>
      </c>
      <c r="D5442">
        <v>0.7</v>
      </c>
      <c r="E5442" t="s">
        <v>73</v>
      </c>
      <c r="F5442" t="s">
        <v>87</v>
      </c>
      <c r="G5442">
        <v>1.45</v>
      </c>
      <c r="H5442">
        <v>-0.05</v>
      </c>
      <c r="I5442">
        <v>0.75</v>
      </c>
      <c r="J5442">
        <v>0.5625</v>
      </c>
      <c r="K5442" t="str">
        <f>IFERROR(INDEX(Rosters!$C$2:$C$155,MATCH($B5442,Rosters!$B$2:$B$155,0)),"NA")</f>
        <v>NA</v>
      </c>
      <c r="L5442" t="str">
        <f t="shared" si="252"/>
        <v>NA13WR</v>
      </c>
      <c r="M5442">
        <f>COUNTIF(L$1:L5442,L5442)</f>
        <v>81</v>
      </c>
      <c r="N5442" t="str">
        <f t="shared" si="253"/>
        <v>NA13WR-81</v>
      </c>
      <c r="O5442">
        <f>COUNTIFS(F$1:F5442,F5442,A$1:A5442,A5442)</f>
        <v>135</v>
      </c>
      <c r="P5442" t="str">
        <f t="shared" si="254"/>
        <v>Nick Williams13</v>
      </c>
    </row>
    <row r="5443" spans="1:16" x14ac:dyDescent="0.25">
      <c r="A5443">
        <v>14</v>
      </c>
      <c r="B5443" t="s">
        <v>3036</v>
      </c>
      <c r="C5443">
        <f>-0.09-1.49</f>
        <v>-1.58</v>
      </c>
      <c r="D5443">
        <v>0.7</v>
      </c>
      <c r="E5443" t="s">
        <v>76</v>
      </c>
      <c r="F5443" t="s">
        <v>87</v>
      </c>
      <c r="G5443">
        <v>1.49</v>
      </c>
      <c r="H5443">
        <v>-0.09</v>
      </c>
      <c r="I5443">
        <v>0.79</v>
      </c>
      <c r="J5443">
        <v>0.62409999999999999</v>
      </c>
      <c r="K5443" t="str">
        <f>IFERROR(INDEX(Rosters!$C$2:$C$155,MATCH($B5443,Rosters!$B$2:$B$155,0)),"NA")</f>
        <v>NA</v>
      </c>
      <c r="L5443" t="str">
        <f t="shared" ref="L5443:L5506" si="255">K5443&amp;A5443&amp;F5443</f>
        <v>NA14WR</v>
      </c>
      <c r="M5443">
        <f>COUNTIF(L$1:L5443,L5443)</f>
        <v>79</v>
      </c>
      <c r="N5443" t="str">
        <f t="shared" ref="N5443:N5506" si="256">L5443&amp;"-"&amp;M5443</f>
        <v>NA14WR-79</v>
      </c>
      <c r="O5443">
        <f>COUNTIFS(F$1:F5443,F5443,A$1:A5443,A5443)</f>
        <v>133</v>
      </c>
      <c r="P5443" t="str">
        <f t="shared" ref="P5443:P5506" si="257">B5443&amp;A5443</f>
        <v>Nick Williams14</v>
      </c>
    </row>
    <row r="5444" spans="1:16" x14ac:dyDescent="0.25">
      <c r="A5444">
        <v>17</v>
      </c>
      <c r="B5444" t="s">
        <v>3036</v>
      </c>
      <c r="C5444">
        <f>-0.05-1.45</f>
        <v>-1.5</v>
      </c>
      <c r="D5444">
        <v>0.7</v>
      </c>
      <c r="E5444" t="s">
        <v>66</v>
      </c>
      <c r="F5444" t="s">
        <v>87</v>
      </c>
      <c r="G5444">
        <v>1.45</v>
      </c>
      <c r="H5444">
        <v>-0.05</v>
      </c>
      <c r="I5444">
        <v>0.75</v>
      </c>
      <c r="J5444">
        <v>0.5625</v>
      </c>
      <c r="K5444" t="str">
        <f>IFERROR(INDEX(Rosters!$C$2:$C$155,MATCH($B5444,Rosters!$B$2:$B$155,0)),"NA")</f>
        <v>NA</v>
      </c>
      <c r="L5444" t="str">
        <f t="shared" si="255"/>
        <v>NA17WR</v>
      </c>
      <c r="M5444">
        <f>COUNTIF(L$1:L5444,L5444)</f>
        <v>83</v>
      </c>
      <c r="N5444" t="str">
        <f t="shared" si="256"/>
        <v>NA17WR-83</v>
      </c>
      <c r="O5444">
        <f>COUNTIFS(F$1:F5444,F5444,A$1:A5444,A5444)</f>
        <v>137</v>
      </c>
      <c r="P5444" t="str">
        <f t="shared" si="257"/>
        <v>Nick Williams17</v>
      </c>
    </row>
    <row r="5445" spans="1:16" x14ac:dyDescent="0.25">
      <c r="A5445">
        <v>16</v>
      </c>
      <c r="B5445" t="s">
        <v>8803</v>
      </c>
      <c r="C5445">
        <f>-0.08-1.48</f>
        <v>-1.56</v>
      </c>
      <c r="D5445">
        <v>0.7</v>
      </c>
      <c r="E5445" t="s">
        <v>34</v>
      </c>
      <c r="F5445" t="s">
        <v>47</v>
      </c>
      <c r="G5445">
        <v>1.48</v>
      </c>
      <c r="H5445">
        <v>-0.08</v>
      </c>
      <c r="I5445">
        <v>0.78</v>
      </c>
      <c r="J5445">
        <v>0.60840000000000005</v>
      </c>
      <c r="K5445" t="str">
        <f>IFERROR(INDEX(Rosters!$C$2:$C$155,MATCH($B5445,Rosters!$B$2:$B$155,0)),"NA")</f>
        <v>NA</v>
      </c>
      <c r="L5445" t="str">
        <f t="shared" si="255"/>
        <v>NA16RB</v>
      </c>
      <c r="M5445">
        <f>COUNTIF(L$1:L5445,L5445)</f>
        <v>48</v>
      </c>
      <c r="N5445" t="str">
        <f t="shared" si="256"/>
        <v>NA16RB-48</v>
      </c>
      <c r="O5445">
        <f>COUNTIFS(F$1:F5445,F5445,A$1:A5445,A5445)</f>
        <v>95</v>
      </c>
      <c r="P5445" t="str">
        <f t="shared" si="257"/>
        <v>Roc Thomas16</v>
      </c>
    </row>
    <row r="5446" spans="1:16" x14ac:dyDescent="0.25">
      <c r="A5446">
        <v>5</v>
      </c>
      <c r="B5446" t="s">
        <v>164</v>
      </c>
      <c r="C5446">
        <f>-0.1-1.5</f>
        <v>-1.6</v>
      </c>
      <c r="D5446">
        <v>0.7</v>
      </c>
      <c r="E5446" t="s">
        <v>14</v>
      </c>
      <c r="F5446" t="s">
        <v>47</v>
      </c>
      <c r="G5446">
        <v>1.5</v>
      </c>
      <c r="H5446">
        <v>-0.1</v>
      </c>
      <c r="I5446">
        <v>0.8</v>
      </c>
      <c r="J5446">
        <v>0.64</v>
      </c>
      <c r="K5446" t="str">
        <f>IFERROR(INDEX(Rosters!$C$2:$C$155,MATCH($B5446,Rosters!$B$2:$B$155,0)),"NA")</f>
        <v>NA</v>
      </c>
      <c r="L5446" t="str">
        <f t="shared" si="255"/>
        <v>NA5RB</v>
      </c>
      <c r="M5446">
        <f>COUNTIF(L$1:L5446,L5446)</f>
        <v>47</v>
      </c>
      <c r="N5446" t="str">
        <f t="shared" si="256"/>
        <v>NA5RB-47</v>
      </c>
      <c r="O5446">
        <f>COUNTIFS(F$1:F5446,F5446,A$1:A5446,A5446)</f>
        <v>90</v>
      </c>
      <c r="P5446" t="str">
        <f t="shared" si="257"/>
        <v>Samaje Perine5</v>
      </c>
    </row>
    <row r="5447" spans="1:16" x14ac:dyDescent="0.25">
      <c r="A5447">
        <v>15</v>
      </c>
      <c r="B5447" t="s">
        <v>1618</v>
      </c>
      <c r="C5447" t="s">
        <v>8865</v>
      </c>
      <c r="D5447">
        <v>0.7</v>
      </c>
      <c r="E5447" t="s">
        <v>30</v>
      </c>
      <c r="F5447" t="s">
        <v>47</v>
      </c>
      <c r="G5447">
        <v>1.3</v>
      </c>
      <c r="H5447">
        <v>0.1</v>
      </c>
      <c r="I5447">
        <v>0.6</v>
      </c>
      <c r="J5447">
        <v>0.36</v>
      </c>
      <c r="K5447" t="str">
        <f>IFERROR(INDEX(Rosters!$C$2:$C$155,MATCH($B5447,Rosters!$B$2:$B$155,0)),"NA")</f>
        <v>NA</v>
      </c>
      <c r="L5447" t="str">
        <f t="shared" si="255"/>
        <v>NA15RB</v>
      </c>
      <c r="M5447">
        <f>COUNTIF(L$1:L5447,L5447)</f>
        <v>47</v>
      </c>
      <c r="N5447" t="str">
        <f t="shared" si="256"/>
        <v>NA15RB-47</v>
      </c>
      <c r="O5447">
        <f>COUNTIFS(F$1:F5447,F5447,A$1:A5447,A5447)</f>
        <v>94</v>
      </c>
      <c r="P5447" t="str">
        <f t="shared" si="257"/>
        <v>Tre Madden15</v>
      </c>
    </row>
    <row r="5448" spans="1:16" x14ac:dyDescent="0.25">
      <c r="A5448">
        <v>15</v>
      </c>
      <c r="B5448" t="s">
        <v>1131</v>
      </c>
      <c r="C5448">
        <f>-0.04-1.44</f>
        <v>-1.48</v>
      </c>
      <c r="D5448">
        <v>0.7</v>
      </c>
      <c r="E5448" t="s">
        <v>73</v>
      </c>
      <c r="F5448" t="s">
        <v>47</v>
      </c>
      <c r="G5448">
        <v>1.44</v>
      </c>
      <c r="H5448">
        <v>-0.04</v>
      </c>
      <c r="I5448">
        <v>0.74</v>
      </c>
      <c r="J5448">
        <v>0.54759999999999998</v>
      </c>
      <c r="K5448" t="str">
        <f>IFERROR(INDEX(Rosters!$C$2:$C$155,MATCH($B5448,Rosters!$B$2:$B$155,0)),"NA")</f>
        <v>NA</v>
      </c>
      <c r="L5448" t="str">
        <f t="shared" si="255"/>
        <v>NA15RB</v>
      </c>
      <c r="M5448">
        <f>COUNTIF(L$1:L5448,L5448)</f>
        <v>48</v>
      </c>
      <c r="N5448" t="str">
        <f t="shared" si="256"/>
        <v>NA15RB-48</v>
      </c>
      <c r="O5448">
        <f>COUNTIFS(F$1:F5448,F5448,A$1:A5448,A5448)</f>
        <v>95</v>
      </c>
      <c r="P5448" t="str">
        <f t="shared" si="257"/>
        <v>Tyler Ervin15</v>
      </c>
    </row>
    <row r="5449" spans="1:16" x14ac:dyDescent="0.25">
      <c r="A5449">
        <v>1</v>
      </c>
      <c r="B5449" t="s">
        <v>1555</v>
      </c>
      <c r="C5449" t="s">
        <v>1568</v>
      </c>
      <c r="D5449">
        <v>0.69</v>
      </c>
      <c r="E5449" t="s">
        <v>22</v>
      </c>
      <c r="F5449" t="s">
        <v>47</v>
      </c>
      <c r="G5449">
        <v>1.28</v>
      </c>
      <c r="H5449">
        <v>0.1</v>
      </c>
      <c r="I5449">
        <v>0.59</v>
      </c>
      <c r="J5449">
        <v>0.34810000000000002</v>
      </c>
      <c r="K5449" t="str">
        <f>IFERROR(INDEX(Rosters!$C$2:$C$155,MATCH($B5449,Rosters!$B$2:$B$155,0)),"NA")</f>
        <v>NA</v>
      </c>
      <c r="L5449" t="str">
        <f t="shared" si="255"/>
        <v>NA1RB</v>
      </c>
      <c r="M5449">
        <f>COUNTIF(L$1:L5449,L5449)</f>
        <v>36</v>
      </c>
      <c r="N5449" t="str">
        <f t="shared" si="256"/>
        <v>NA1RB-36</v>
      </c>
      <c r="O5449">
        <f>COUNTIFS(F$1:F5449,F5449,A$1:A5449,A5449)</f>
        <v>78</v>
      </c>
      <c r="P5449" t="str">
        <f t="shared" si="257"/>
        <v>Alex Armah1</v>
      </c>
    </row>
    <row r="5450" spans="1:16" x14ac:dyDescent="0.25">
      <c r="A5450">
        <v>15</v>
      </c>
      <c r="B5450" t="s">
        <v>1572</v>
      </c>
      <c r="C5450" t="s">
        <v>1567</v>
      </c>
      <c r="D5450">
        <v>0.69</v>
      </c>
      <c r="E5450" t="s">
        <v>29</v>
      </c>
      <c r="F5450" t="s">
        <v>87</v>
      </c>
      <c r="G5450">
        <v>1.38</v>
      </c>
      <c r="H5450">
        <v>0</v>
      </c>
      <c r="I5450">
        <v>0.69</v>
      </c>
      <c r="J5450">
        <v>0.47610000000000002</v>
      </c>
      <c r="K5450" t="str">
        <f>IFERROR(INDEX(Rosters!$C$2:$C$155,MATCH($B5450,Rosters!$B$2:$B$155,0)),"NA")</f>
        <v>NA</v>
      </c>
      <c r="L5450" t="str">
        <f t="shared" si="255"/>
        <v>NA15WR</v>
      </c>
      <c r="M5450">
        <f>COUNTIF(L$1:L5450,L5450)</f>
        <v>82</v>
      </c>
      <c r="N5450" t="str">
        <f t="shared" si="256"/>
        <v>NA15WR-82</v>
      </c>
      <c r="O5450">
        <f>COUNTIFS(F$1:F5450,F5450,A$1:A5450,A5450)</f>
        <v>136</v>
      </c>
      <c r="P5450" t="str">
        <f t="shared" si="257"/>
        <v>Andy Jones15</v>
      </c>
    </row>
    <row r="5451" spans="1:16" x14ac:dyDescent="0.25">
      <c r="A5451">
        <v>4</v>
      </c>
      <c r="B5451" t="s">
        <v>1542</v>
      </c>
      <c r="C5451" t="s">
        <v>1568</v>
      </c>
      <c r="D5451">
        <v>0.69</v>
      </c>
      <c r="E5451" t="s">
        <v>72</v>
      </c>
      <c r="F5451" t="s">
        <v>114</v>
      </c>
      <c r="G5451">
        <v>1.28</v>
      </c>
      <c r="H5451">
        <v>0.1</v>
      </c>
      <c r="I5451">
        <v>0.59</v>
      </c>
      <c r="J5451">
        <v>0.34810000000000002</v>
      </c>
      <c r="K5451" t="str">
        <f>IFERROR(INDEX(Rosters!$C$2:$C$155,MATCH($B5451,Rosters!$B$2:$B$155,0)),"NA")</f>
        <v>NA</v>
      </c>
      <c r="L5451" t="str">
        <f t="shared" si="255"/>
        <v>NA4TE</v>
      </c>
      <c r="M5451">
        <f>COUNTIF(L$1:L5451,L5451)</f>
        <v>49</v>
      </c>
      <c r="N5451" t="str">
        <f t="shared" si="256"/>
        <v>NA4TE-49</v>
      </c>
      <c r="O5451">
        <f>COUNTIFS(F$1:F5451,F5451,A$1:A5451,A5451)</f>
        <v>60</v>
      </c>
      <c r="P5451" t="str">
        <f t="shared" si="257"/>
        <v>Antony Auclair4</v>
      </c>
    </row>
    <row r="5452" spans="1:16" x14ac:dyDescent="0.25">
      <c r="A5452">
        <v>7</v>
      </c>
      <c r="B5452" t="s">
        <v>1116</v>
      </c>
      <c r="C5452" t="s">
        <v>4709</v>
      </c>
      <c r="D5452">
        <v>0.69</v>
      </c>
      <c r="E5452" t="s">
        <v>76</v>
      </c>
      <c r="F5452" t="s">
        <v>15</v>
      </c>
      <c r="G5452">
        <v>1.21</v>
      </c>
      <c r="H5452">
        <v>0.17</v>
      </c>
      <c r="I5452">
        <v>0.52</v>
      </c>
      <c r="J5452">
        <v>0.27039999999999997</v>
      </c>
      <c r="K5452" t="str">
        <f>IFERROR(INDEX(Rosters!$C$2:$C$155,MATCH($B5452,Rosters!$B$2:$B$155,0)),"NA")</f>
        <v>NA</v>
      </c>
      <c r="L5452" t="str">
        <f t="shared" si="255"/>
        <v>NA7QB</v>
      </c>
      <c r="M5452">
        <f>COUNTIF(L$1:L5452,L5452)</f>
        <v>33</v>
      </c>
      <c r="N5452" t="str">
        <f t="shared" si="256"/>
        <v>NA7QB-33</v>
      </c>
      <c r="O5452">
        <f>COUNTIFS(F$1:F5452,F5452,A$1:A5452,A5452)</f>
        <v>47</v>
      </c>
      <c r="P5452" t="str">
        <f t="shared" si="257"/>
        <v>Brandon Weeden7</v>
      </c>
    </row>
    <row r="5453" spans="1:16" x14ac:dyDescent="0.25">
      <c r="A5453">
        <v>16</v>
      </c>
      <c r="B5453" t="s">
        <v>1116</v>
      </c>
      <c r="C5453" t="s">
        <v>4709</v>
      </c>
      <c r="D5453">
        <v>0.69</v>
      </c>
      <c r="E5453" t="s">
        <v>50</v>
      </c>
      <c r="F5453" t="s">
        <v>15</v>
      </c>
      <c r="G5453">
        <v>1.21</v>
      </c>
      <c r="H5453">
        <v>0.17</v>
      </c>
      <c r="I5453">
        <v>0.52</v>
      </c>
      <c r="J5453">
        <v>0.27039999999999997</v>
      </c>
      <c r="K5453" t="str">
        <f>IFERROR(INDEX(Rosters!$C$2:$C$155,MATCH($B5453,Rosters!$B$2:$B$155,0)),"NA")</f>
        <v>NA</v>
      </c>
      <c r="L5453" t="str">
        <f t="shared" si="255"/>
        <v>NA16QB</v>
      </c>
      <c r="M5453">
        <f>COUNTIF(L$1:L5453,L5453)</f>
        <v>35</v>
      </c>
      <c r="N5453" t="str">
        <f t="shared" si="256"/>
        <v>NA16QB-35</v>
      </c>
      <c r="O5453">
        <f>COUNTIFS(F$1:F5453,F5453,A$1:A5453,A5453)</f>
        <v>52</v>
      </c>
      <c r="P5453" t="str">
        <f t="shared" si="257"/>
        <v>Brandon Weeden16</v>
      </c>
    </row>
    <row r="5454" spans="1:16" x14ac:dyDescent="0.25">
      <c r="A5454">
        <v>6</v>
      </c>
      <c r="B5454" t="s">
        <v>2926</v>
      </c>
      <c r="C5454" t="s">
        <v>8866</v>
      </c>
      <c r="D5454">
        <v>0.69</v>
      </c>
      <c r="E5454" t="s">
        <v>74</v>
      </c>
      <c r="F5454" t="s">
        <v>87</v>
      </c>
      <c r="G5454">
        <v>1.32</v>
      </c>
      <c r="H5454">
        <v>0.06</v>
      </c>
      <c r="I5454">
        <v>0.63</v>
      </c>
      <c r="J5454">
        <v>0.39689999999999998</v>
      </c>
      <c r="K5454" t="str">
        <f>IFERROR(INDEX(Rosters!$C$2:$C$155,MATCH($B5454,Rosters!$B$2:$B$155,0)),"NA")</f>
        <v>NA</v>
      </c>
      <c r="L5454" t="str">
        <f t="shared" si="255"/>
        <v>NA6WR</v>
      </c>
      <c r="M5454">
        <f>COUNTIF(L$1:L5454,L5454)</f>
        <v>79</v>
      </c>
      <c r="N5454" t="str">
        <f t="shared" si="256"/>
        <v>NA6WR-79</v>
      </c>
      <c r="O5454">
        <f>COUNTIFS(F$1:F5454,F5454,A$1:A5454,A5454)</f>
        <v>129</v>
      </c>
      <c r="P5454" t="str">
        <f t="shared" si="257"/>
        <v>Brian Quick6</v>
      </c>
    </row>
    <row r="5455" spans="1:16" x14ac:dyDescent="0.25">
      <c r="A5455">
        <v>8</v>
      </c>
      <c r="B5455" t="s">
        <v>4656</v>
      </c>
      <c r="C5455">
        <f>-0.02-1.4</f>
        <v>-1.42</v>
      </c>
      <c r="D5455">
        <v>0.69</v>
      </c>
      <c r="E5455" t="s">
        <v>19</v>
      </c>
      <c r="F5455" t="s">
        <v>47</v>
      </c>
      <c r="G5455">
        <v>1.4</v>
      </c>
      <c r="H5455">
        <v>-0.02</v>
      </c>
      <c r="I5455">
        <v>0.71</v>
      </c>
      <c r="J5455">
        <v>0.50409999999999999</v>
      </c>
      <c r="K5455" t="str">
        <f>IFERROR(INDEX(Rosters!$C$2:$C$155,MATCH($B5455,Rosters!$B$2:$B$155,0)),"NA")</f>
        <v>NA</v>
      </c>
      <c r="L5455" t="str">
        <f t="shared" si="255"/>
        <v>NA8RB</v>
      </c>
      <c r="M5455">
        <f>COUNTIF(L$1:L5455,L5455)</f>
        <v>45</v>
      </c>
      <c r="N5455" t="str">
        <f t="shared" si="256"/>
        <v>NA8RB-45</v>
      </c>
      <c r="O5455">
        <f>COUNTIFS(F$1:F5455,F5455,A$1:A5455,A5455)</f>
        <v>85</v>
      </c>
      <c r="P5455" t="str">
        <f t="shared" si="257"/>
        <v>Buddy Howell8</v>
      </c>
    </row>
    <row r="5456" spans="1:16" x14ac:dyDescent="0.25">
      <c r="A5456">
        <v>8</v>
      </c>
      <c r="B5456" t="s">
        <v>216</v>
      </c>
      <c r="C5456">
        <f>-0.09-1.47</f>
        <v>-1.56</v>
      </c>
      <c r="D5456">
        <v>0.69</v>
      </c>
      <c r="E5456" t="s">
        <v>34</v>
      </c>
      <c r="F5456" t="s">
        <v>47</v>
      </c>
      <c r="G5456">
        <v>1.47</v>
      </c>
      <c r="H5456">
        <v>-0.09</v>
      </c>
      <c r="I5456">
        <v>0.78</v>
      </c>
      <c r="J5456">
        <v>0.60840000000000005</v>
      </c>
      <c r="K5456" t="str">
        <f>IFERROR(INDEX(Rosters!$C$2:$C$155,MATCH($B5456,Rosters!$B$2:$B$155,0)),"NA")</f>
        <v>NA</v>
      </c>
      <c r="L5456" t="str">
        <f t="shared" si="255"/>
        <v>NA8RB</v>
      </c>
      <c r="M5456">
        <f>COUNTIF(L$1:L5456,L5456)</f>
        <v>46</v>
      </c>
      <c r="N5456" t="str">
        <f t="shared" si="256"/>
        <v>NA8RB-46</v>
      </c>
      <c r="O5456">
        <f>COUNTIFS(F$1:F5456,F5456,A$1:A5456,A5456)</f>
        <v>86</v>
      </c>
      <c r="P5456" t="str">
        <f t="shared" si="257"/>
        <v>C.J. Prosise8</v>
      </c>
    </row>
    <row r="5457" spans="1:16" x14ac:dyDescent="0.25">
      <c r="A5457">
        <v>11</v>
      </c>
      <c r="B5457" t="s">
        <v>216</v>
      </c>
      <c r="C5457">
        <f>-0.08-1.46</f>
        <v>-1.54</v>
      </c>
      <c r="D5457">
        <v>0.69</v>
      </c>
      <c r="E5457" t="s">
        <v>41</v>
      </c>
      <c r="F5457" t="s">
        <v>47</v>
      </c>
      <c r="G5457">
        <v>1.46</v>
      </c>
      <c r="H5457">
        <v>-0.08</v>
      </c>
      <c r="I5457">
        <v>0.77</v>
      </c>
      <c r="J5457">
        <v>0.59289999999999998</v>
      </c>
      <c r="K5457" t="str">
        <f>IFERROR(INDEX(Rosters!$C$2:$C$155,MATCH($B5457,Rosters!$B$2:$B$155,0)),"NA")</f>
        <v>NA</v>
      </c>
      <c r="L5457" t="str">
        <f t="shared" si="255"/>
        <v>NA11RB</v>
      </c>
      <c r="M5457">
        <f>COUNTIF(L$1:L5457,L5457)</f>
        <v>40</v>
      </c>
      <c r="N5457" t="str">
        <f t="shared" si="256"/>
        <v>NA11RB-40</v>
      </c>
      <c r="O5457">
        <f>COUNTIFS(F$1:F5457,F5457,A$1:A5457,A5457)</f>
        <v>78</v>
      </c>
      <c r="P5457" t="str">
        <f t="shared" si="257"/>
        <v>C.J. Prosise11</v>
      </c>
    </row>
    <row r="5458" spans="1:16" x14ac:dyDescent="0.25">
      <c r="A5458">
        <v>9</v>
      </c>
      <c r="B5458" t="s">
        <v>1126</v>
      </c>
      <c r="C5458" t="s">
        <v>8867</v>
      </c>
      <c r="D5458">
        <v>0.69</v>
      </c>
      <c r="E5458" t="s">
        <v>19</v>
      </c>
      <c r="F5458" t="s">
        <v>87</v>
      </c>
      <c r="G5458">
        <v>1.37</v>
      </c>
      <c r="H5458">
        <v>0.01</v>
      </c>
      <c r="I5458">
        <v>0.68</v>
      </c>
      <c r="J5458">
        <v>0.46239999999999998</v>
      </c>
      <c r="K5458" t="str">
        <f>IFERROR(INDEX(Rosters!$C$2:$C$155,MATCH($B5458,Rosters!$B$2:$B$155,0)),"NA")</f>
        <v>NA</v>
      </c>
      <c r="L5458" t="str">
        <f t="shared" si="255"/>
        <v>NA9WR</v>
      </c>
      <c r="M5458">
        <f>COUNTIF(L$1:L5458,L5458)</f>
        <v>71</v>
      </c>
      <c r="N5458" t="str">
        <f t="shared" si="256"/>
        <v>NA9WR-71</v>
      </c>
      <c r="O5458">
        <f>COUNTIFS(F$1:F5458,F5458,A$1:A5458,A5458)</f>
        <v>115</v>
      </c>
      <c r="P5458" t="str">
        <f t="shared" si="257"/>
        <v>Charone Peake9</v>
      </c>
    </row>
    <row r="5459" spans="1:16" x14ac:dyDescent="0.25">
      <c r="A5459">
        <v>12</v>
      </c>
      <c r="B5459" t="s">
        <v>1126</v>
      </c>
      <c r="C5459" t="s">
        <v>3839</v>
      </c>
      <c r="D5459">
        <v>0.69</v>
      </c>
      <c r="E5459" t="s">
        <v>423</v>
      </c>
      <c r="F5459" t="s">
        <v>87</v>
      </c>
      <c r="G5459">
        <v>1.36</v>
      </c>
      <c r="H5459">
        <v>0.02</v>
      </c>
      <c r="I5459">
        <v>0.67</v>
      </c>
      <c r="J5459">
        <v>0.44890000000000002</v>
      </c>
      <c r="K5459" t="str">
        <f>IFERROR(INDEX(Rosters!$C$2:$C$155,MATCH($B5459,Rosters!$B$2:$B$155,0)),"NA")</f>
        <v>NA</v>
      </c>
      <c r="L5459" t="str">
        <f t="shared" si="255"/>
        <v>NA12WR</v>
      </c>
      <c r="M5459">
        <f>COUNTIF(L$1:L5459,L5459)</f>
        <v>75</v>
      </c>
      <c r="N5459" t="str">
        <f t="shared" si="256"/>
        <v>NA12WR-75</v>
      </c>
      <c r="O5459">
        <f>COUNTIFS(F$1:F5459,F5459,A$1:A5459,A5459)</f>
        <v>124</v>
      </c>
      <c r="P5459" t="str">
        <f t="shared" si="257"/>
        <v>Charone Peake12</v>
      </c>
    </row>
    <row r="5460" spans="1:16" x14ac:dyDescent="0.25">
      <c r="A5460">
        <v>8</v>
      </c>
      <c r="B5460" t="s">
        <v>342</v>
      </c>
      <c r="C5460">
        <f>-0.06-1.44</f>
        <v>-1.5</v>
      </c>
      <c r="D5460">
        <v>0.69</v>
      </c>
      <c r="E5460" t="s">
        <v>17</v>
      </c>
      <c r="F5460" t="s">
        <v>87</v>
      </c>
      <c r="G5460">
        <v>1.44</v>
      </c>
      <c r="H5460">
        <v>-0.06</v>
      </c>
      <c r="I5460">
        <v>0.75</v>
      </c>
      <c r="J5460">
        <v>0.5625</v>
      </c>
      <c r="K5460" t="str">
        <f>IFERROR(INDEX(Rosters!$C$2:$C$155,MATCH($B5460,Rosters!$B$2:$B$155,0)),"NA")</f>
        <v>NA</v>
      </c>
      <c r="L5460" t="str">
        <f t="shared" si="255"/>
        <v>NA8WR</v>
      </c>
      <c r="M5460">
        <f>COUNTIF(L$1:L5460,L5460)</f>
        <v>69</v>
      </c>
      <c r="N5460" t="str">
        <f t="shared" si="256"/>
        <v>NA8WR-69</v>
      </c>
      <c r="O5460">
        <f>COUNTIFS(F$1:F5460,F5460,A$1:A5460,A5460)</f>
        <v>118</v>
      </c>
      <c r="P5460" t="str">
        <f t="shared" si="257"/>
        <v>Cody Core8</v>
      </c>
    </row>
    <row r="5461" spans="1:16" x14ac:dyDescent="0.25">
      <c r="A5461">
        <v>14</v>
      </c>
      <c r="B5461" t="s">
        <v>4729</v>
      </c>
      <c r="C5461">
        <f>-0.04-1.42</f>
        <v>-1.46</v>
      </c>
      <c r="D5461">
        <v>0.69</v>
      </c>
      <c r="E5461" t="s">
        <v>30</v>
      </c>
      <c r="F5461" t="s">
        <v>87</v>
      </c>
      <c r="G5461">
        <v>1.42</v>
      </c>
      <c r="H5461">
        <v>-0.04</v>
      </c>
      <c r="I5461">
        <v>0.73</v>
      </c>
      <c r="J5461">
        <v>0.53290000000000004</v>
      </c>
      <c r="K5461" t="str">
        <f>IFERROR(INDEX(Rosters!$C$2:$C$155,MATCH($B5461,Rosters!$B$2:$B$155,0)),"NA")</f>
        <v>NA</v>
      </c>
      <c r="L5461" t="str">
        <f t="shared" si="255"/>
        <v>NA14WR</v>
      </c>
      <c r="M5461">
        <f>COUNTIF(L$1:L5461,L5461)</f>
        <v>80</v>
      </c>
      <c r="N5461" t="str">
        <f t="shared" si="256"/>
        <v>NA14WR-80</v>
      </c>
      <c r="O5461">
        <f>COUNTIFS(F$1:F5461,F5461,A$1:A5461,A5461)</f>
        <v>134</v>
      </c>
      <c r="P5461" t="str">
        <f t="shared" si="257"/>
        <v>DaeSean Hamilton14</v>
      </c>
    </row>
    <row r="5462" spans="1:16" x14ac:dyDescent="0.25">
      <c r="A5462">
        <v>12</v>
      </c>
      <c r="B5462" t="s">
        <v>8584</v>
      </c>
      <c r="C5462" t="s">
        <v>8866</v>
      </c>
      <c r="D5462">
        <v>0.69</v>
      </c>
      <c r="E5462" t="s">
        <v>32</v>
      </c>
      <c r="F5462" t="s">
        <v>47</v>
      </c>
      <c r="G5462">
        <v>1.32</v>
      </c>
      <c r="H5462">
        <v>0.06</v>
      </c>
      <c r="I5462">
        <v>0.63</v>
      </c>
      <c r="J5462">
        <v>0.39689999999999998</v>
      </c>
      <c r="K5462" t="str">
        <f>IFERROR(INDEX(Rosters!$C$2:$C$155,MATCH($B5462,Rosters!$B$2:$B$155,0)),"NA")</f>
        <v>NA</v>
      </c>
      <c r="L5462" t="str">
        <f t="shared" si="255"/>
        <v>NA12RB</v>
      </c>
      <c r="M5462">
        <f>COUNTIF(L$1:L5462,L5462)</f>
        <v>47</v>
      </c>
      <c r="N5462" t="str">
        <f t="shared" si="256"/>
        <v>NA12RB-47</v>
      </c>
      <c r="O5462">
        <f>COUNTIFS(F$1:F5462,F5462,A$1:A5462,A5462)</f>
        <v>92</v>
      </c>
      <c r="P5462" t="str">
        <f t="shared" si="257"/>
        <v>De'Lance Turner12</v>
      </c>
    </row>
    <row r="5463" spans="1:16" x14ac:dyDescent="0.25">
      <c r="A5463">
        <v>12</v>
      </c>
      <c r="B5463" t="s">
        <v>8733</v>
      </c>
      <c r="C5463" t="s">
        <v>8868</v>
      </c>
      <c r="D5463">
        <v>0.69</v>
      </c>
      <c r="E5463" t="s">
        <v>54</v>
      </c>
      <c r="F5463" t="s">
        <v>87</v>
      </c>
      <c r="G5463">
        <v>1.26</v>
      </c>
      <c r="H5463">
        <v>0.12</v>
      </c>
      <c r="I5463">
        <v>0.56999999999999995</v>
      </c>
      <c r="J5463">
        <v>0.32490000000000002</v>
      </c>
      <c r="K5463" t="str">
        <f>IFERROR(INDEX(Rosters!$C$2:$C$155,MATCH($B5463,Rosters!$B$2:$B$155,0)),"NA")</f>
        <v>NA</v>
      </c>
      <c r="L5463" t="str">
        <f t="shared" si="255"/>
        <v>NA12WR</v>
      </c>
      <c r="M5463">
        <f>COUNTIF(L$1:L5463,L5463)</f>
        <v>76</v>
      </c>
      <c r="N5463" t="str">
        <f t="shared" si="256"/>
        <v>NA12WR-76</v>
      </c>
      <c r="O5463">
        <f>COUNTIFS(F$1:F5463,F5463,A$1:A5463,A5463)</f>
        <v>125</v>
      </c>
      <c r="P5463" t="str">
        <f t="shared" si="257"/>
        <v>DeAndre Carter12</v>
      </c>
    </row>
    <row r="5464" spans="1:16" x14ac:dyDescent="0.25">
      <c r="A5464">
        <v>13</v>
      </c>
      <c r="B5464" t="s">
        <v>218</v>
      </c>
      <c r="C5464" t="s">
        <v>8868</v>
      </c>
      <c r="D5464">
        <v>0.69</v>
      </c>
      <c r="E5464" t="s">
        <v>24</v>
      </c>
      <c r="F5464" t="s">
        <v>47</v>
      </c>
      <c r="G5464">
        <v>1.26</v>
      </c>
      <c r="H5464">
        <v>0.12</v>
      </c>
      <c r="I5464">
        <v>0.56999999999999995</v>
      </c>
      <c r="J5464">
        <v>0.32490000000000002</v>
      </c>
      <c r="K5464" t="str">
        <f>IFERROR(INDEX(Rosters!$C$2:$C$155,MATCH($B5464,Rosters!$B$2:$B$155,0)),"NA")</f>
        <v>NA</v>
      </c>
      <c r="L5464" t="str">
        <f t="shared" si="255"/>
        <v>NA13RB</v>
      </c>
      <c r="M5464">
        <f>COUNTIF(L$1:L5464,L5464)</f>
        <v>52</v>
      </c>
      <c r="N5464" t="str">
        <f t="shared" si="256"/>
        <v>NA13RB-52</v>
      </c>
      <c r="O5464">
        <f>COUNTIFS(F$1:F5464,F5464,A$1:A5464,A5464)</f>
        <v>99</v>
      </c>
      <c r="P5464" t="str">
        <f t="shared" si="257"/>
        <v>DeAndre Washington13</v>
      </c>
    </row>
    <row r="5465" spans="1:16" x14ac:dyDescent="0.25">
      <c r="A5465">
        <v>8</v>
      </c>
      <c r="B5465" t="s">
        <v>1516</v>
      </c>
      <c r="C5465" t="s">
        <v>3839</v>
      </c>
      <c r="D5465">
        <v>0.69</v>
      </c>
      <c r="E5465" t="s">
        <v>56</v>
      </c>
      <c r="F5465" t="s">
        <v>87</v>
      </c>
      <c r="G5465">
        <v>1.36</v>
      </c>
      <c r="H5465">
        <v>0.02</v>
      </c>
      <c r="I5465">
        <v>0.67</v>
      </c>
      <c r="J5465">
        <v>0.44890000000000002</v>
      </c>
      <c r="K5465" t="str">
        <f>IFERROR(INDEX(Rosters!$C$2:$C$155,MATCH($B5465,Rosters!$B$2:$B$155,0)),"NA")</f>
        <v>NA</v>
      </c>
      <c r="L5465" t="str">
        <f t="shared" si="255"/>
        <v>NA8WR</v>
      </c>
      <c r="M5465">
        <f>COUNTIF(L$1:L5465,L5465)</f>
        <v>70</v>
      </c>
      <c r="N5465" t="str">
        <f t="shared" si="256"/>
        <v>NA8WR-70</v>
      </c>
      <c r="O5465">
        <f>COUNTIFS(F$1:F5465,F5465,A$1:A5465,A5465)</f>
        <v>119</v>
      </c>
      <c r="P5465" t="str">
        <f t="shared" si="257"/>
        <v>J'Mon Moore8</v>
      </c>
    </row>
    <row r="5466" spans="1:16" x14ac:dyDescent="0.25">
      <c r="A5466">
        <v>12</v>
      </c>
      <c r="B5466" t="s">
        <v>1560</v>
      </c>
      <c r="C5466">
        <f>-0.16-1.54</f>
        <v>-1.7</v>
      </c>
      <c r="D5466">
        <v>0.69</v>
      </c>
      <c r="E5466" t="s">
        <v>29</v>
      </c>
      <c r="F5466" t="s">
        <v>87</v>
      </c>
      <c r="G5466">
        <v>1.54</v>
      </c>
      <c r="H5466">
        <v>-0.16</v>
      </c>
      <c r="I5466">
        <v>0.85</v>
      </c>
      <c r="J5466">
        <v>0.72250000000000003</v>
      </c>
      <c r="K5466" t="str">
        <f>IFERROR(INDEX(Rosters!$C$2:$C$155,MATCH($B5466,Rosters!$B$2:$B$155,0)),"NA")</f>
        <v>NA</v>
      </c>
      <c r="L5466" t="str">
        <f t="shared" si="255"/>
        <v>NA12WR</v>
      </c>
      <c r="M5466">
        <f>COUNTIF(L$1:L5466,L5466)</f>
        <v>77</v>
      </c>
      <c r="N5466" t="str">
        <f t="shared" si="256"/>
        <v>NA12WR-77</v>
      </c>
      <c r="O5466">
        <f>COUNTIFS(F$1:F5466,F5466,A$1:A5466,A5466)</f>
        <v>126</v>
      </c>
      <c r="P5466" t="str">
        <f t="shared" si="257"/>
        <v>Jaydon Mickens12</v>
      </c>
    </row>
    <row r="5467" spans="1:16" x14ac:dyDescent="0.25">
      <c r="A5467">
        <v>14</v>
      </c>
      <c r="B5467" t="s">
        <v>348</v>
      </c>
      <c r="C5467">
        <f>-0.04-1.42</f>
        <v>-1.46</v>
      </c>
      <c r="D5467">
        <v>0.69</v>
      </c>
      <c r="E5467" t="s">
        <v>60</v>
      </c>
      <c r="F5467" t="s">
        <v>114</v>
      </c>
      <c r="G5467">
        <v>1.42</v>
      </c>
      <c r="H5467">
        <v>-0.04</v>
      </c>
      <c r="I5467">
        <v>0.73</v>
      </c>
      <c r="J5467">
        <v>0.53290000000000004</v>
      </c>
      <c r="K5467" t="str">
        <f>IFERROR(INDEX(Rosters!$C$2:$C$155,MATCH($B5467,Rosters!$B$2:$B$155,0)),"NA")</f>
        <v>NA</v>
      </c>
      <c r="L5467" t="str">
        <f t="shared" si="255"/>
        <v>NA14TE</v>
      </c>
      <c r="M5467">
        <f>COUNTIF(L$1:L5467,L5467)</f>
        <v>58</v>
      </c>
      <c r="N5467" t="str">
        <f t="shared" si="256"/>
        <v>NA14TE-58</v>
      </c>
      <c r="O5467">
        <f>COUNTIFS(F$1:F5467,F5467,A$1:A5467,A5467)</f>
        <v>72</v>
      </c>
      <c r="P5467" t="str">
        <f t="shared" si="257"/>
        <v>Jerell Adams14</v>
      </c>
    </row>
    <row r="5468" spans="1:16" x14ac:dyDescent="0.25">
      <c r="A5468">
        <v>9</v>
      </c>
      <c r="B5468" t="s">
        <v>253</v>
      </c>
      <c r="C5468">
        <f>-0.35-1.73</f>
        <v>-2.08</v>
      </c>
      <c r="D5468">
        <v>0.69</v>
      </c>
      <c r="E5468" t="s">
        <v>60</v>
      </c>
      <c r="F5468" t="s">
        <v>87</v>
      </c>
      <c r="G5468">
        <v>1.73</v>
      </c>
      <c r="H5468">
        <v>-0.35</v>
      </c>
      <c r="I5468">
        <v>1.04</v>
      </c>
      <c r="J5468">
        <v>1.0815999999999999</v>
      </c>
      <c r="K5468" t="str">
        <f>IFERROR(INDEX(Rosters!$C$2:$C$155,MATCH($B5468,Rosters!$B$2:$B$155,0)),"NA")</f>
        <v>NA</v>
      </c>
      <c r="L5468" t="str">
        <f t="shared" si="255"/>
        <v>NA9WR</v>
      </c>
      <c r="M5468">
        <f>COUNTIF(L$1:L5468,L5468)</f>
        <v>72</v>
      </c>
      <c r="N5468" t="str">
        <f t="shared" si="256"/>
        <v>NA9WR-72</v>
      </c>
      <c r="O5468">
        <f>COUNTIFS(F$1:F5468,F5468,A$1:A5468,A5468)</f>
        <v>116</v>
      </c>
      <c r="P5468" t="str">
        <f t="shared" si="257"/>
        <v>Justin Hardy9</v>
      </c>
    </row>
    <row r="5469" spans="1:16" x14ac:dyDescent="0.25">
      <c r="A5469">
        <v>10</v>
      </c>
      <c r="B5469" t="s">
        <v>253</v>
      </c>
      <c r="C5469">
        <f>-0.36-1.74</f>
        <v>-2.1</v>
      </c>
      <c r="D5469">
        <v>0.69</v>
      </c>
      <c r="E5469" t="s">
        <v>52</v>
      </c>
      <c r="F5469" t="s">
        <v>87</v>
      </c>
      <c r="G5469">
        <v>1.74</v>
      </c>
      <c r="H5469">
        <v>-0.36</v>
      </c>
      <c r="I5469">
        <v>1.05</v>
      </c>
      <c r="J5469">
        <v>1.1025</v>
      </c>
      <c r="K5469" t="str">
        <f>IFERROR(INDEX(Rosters!$C$2:$C$155,MATCH($B5469,Rosters!$B$2:$B$155,0)),"NA")</f>
        <v>NA</v>
      </c>
      <c r="L5469" t="str">
        <f t="shared" si="255"/>
        <v>NA10WR</v>
      </c>
      <c r="M5469">
        <f>COUNTIF(L$1:L5469,L5469)</f>
        <v>75</v>
      </c>
      <c r="N5469" t="str">
        <f t="shared" si="256"/>
        <v>NA10WR-75</v>
      </c>
      <c r="O5469">
        <f>COUNTIFS(F$1:F5469,F5469,A$1:A5469,A5469)</f>
        <v>120</v>
      </c>
      <c r="P5469" t="str">
        <f t="shared" si="257"/>
        <v>Justin Hardy10</v>
      </c>
    </row>
    <row r="5470" spans="1:16" x14ac:dyDescent="0.25">
      <c r="A5470">
        <v>15</v>
      </c>
      <c r="B5470" t="s">
        <v>253</v>
      </c>
      <c r="C5470">
        <f>-0.32-1.7</f>
        <v>-2.02</v>
      </c>
      <c r="D5470">
        <v>0.69</v>
      </c>
      <c r="E5470" t="s">
        <v>58</v>
      </c>
      <c r="F5470" t="s">
        <v>87</v>
      </c>
      <c r="G5470">
        <v>1.7</v>
      </c>
      <c r="H5470">
        <v>-0.32</v>
      </c>
      <c r="I5470">
        <v>1.01</v>
      </c>
      <c r="J5470">
        <v>1.0201</v>
      </c>
      <c r="K5470" t="str">
        <f>IFERROR(INDEX(Rosters!$C$2:$C$155,MATCH($B5470,Rosters!$B$2:$B$155,0)),"NA")</f>
        <v>NA</v>
      </c>
      <c r="L5470" t="str">
        <f t="shared" si="255"/>
        <v>NA15WR</v>
      </c>
      <c r="M5470">
        <f>COUNTIF(L$1:L5470,L5470)</f>
        <v>83</v>
      </c>
      <c r="N5470" t="str">
        <f t="shared" si="256"/>
        <v>NA15WR-83</v>
      </c>
      <c r="O5470">
        <f>COUNTIFS(F$1:F5470,F5470,A$1:A5470,A5470)</f>
        <v>137</v>
      </c>
      <c r="P5470" t="str">
        <f t="shared" si="257"/>
        <v>Justin Hardy15</v>
      </c>
    </row>
    <row r="5471" spans="1:16" x14ac:dyDescent="0.25">
      <c r="A5471">
        <v>9</v>
      </c>
      <c r="B5471" t="s">
        <v>8834</v>
      </c>
      <c r="C5471" t="s">
        <v>1569</v>
      </c>
      <c r="D5471">
        <v>0.69</v>
      </c>
      <c r="E5471" t="s">
        <v>74</v>
      </c>
      <c r="F5471" t="s">
        <v>87</v>
      </c>
      <c r="G5471">
        <v>1.33</v>
      </c>
      <c r="H5471">
        <v>0.05</v>
      </c>
      <c r="I5471">
        <v>0.64</v>
      </c>
      <c r="J5471">
        <v>0.40960000000000002</v>
      </c>
      <c r="K5471" t="str">
        <f>IFERROR(INDEX(Rosters!$C$2:$C$155,MATCH($B5471,Rosters!$B$2:$B$155,0)),"NA")</f>
        <v>NA</v>
      </c>
      <c r="L5471" t="str">
        <f t="shared" si="255"/>
        <v>NA9WR</v>
      </c>
      <c r="M5471">
        <f>COUNTIF(L$1:L5471,L5471)</f>
        <v>73</v>
      </c>
      <c r="N5471" t="str">
        <f t="shared" si="256"/>
        <v>NA9WR-73</v>
      </c>
      <c r="O5471">
        <f>COUNTIFS(F$1:F5471,F5471,A$1:A5471,A5471)</f>
        <v>117</v>
      </c>
      <c r="P5471" t="str">
        <f t="shared" si="257"/>
        <v>Justin Watson9</v>
      </c>
    </row>
    <row r="5472" spans="1:16" x14ac:dyDescent="0.25">
      <c r="A5472">
        <v>12</v>
      </c>
      <c r="B5472" t="s">
        <v>198</v>
      </c>
      <c r="C5472">
        <f>-0.15-1.53</f>
        <v>-1.68</v>
      </c>
      <c r="D5472">
        <v>0.69</v>
      </c>
      <c r="E5472" t="s">
        <v>34</v>
      </c>
      <c r="F5472" t="s">
        <v>87</v>
      </c>
      <c r="G5472">
        <v>1.53</v>
      </c>
      <c r="H5472">
        <v>-0.15</v>
      </c>
      <c r="I5472">
        <v>0.84</v>
      </c>
      <c r="J5472">
        <v>0.7056</v>
      </c>
      <c r="K5472" t="str">
        <f>IFERROR(INDEX(Rosters!$C$2:$C$155,MATCH($B5472,Rosters!$B$2:$B$155,0)),"NA")</f>
        <v>NA</v>
      </c>
      <c r="L5472" t="str">
        <f t="shared" si="255"/>
        <v>NA12WR</v>
      </c>
      <c r="M5472">
        <f>COUNTIF(L$1:L5472,L5472)</f>
        <v>78</v>
      </c>
      <c r="N5472" t="str">
        <f t="shared" si="256"/>
        <v>NA12WR-78</v>
      </c>
      <c r="O5472">
        <f>COUNTIFS(F$1:F5472,F5472,A$1:A5472,A5472)</f>
        <v>127</v>
      </c>
      <c r="P5472" t="str">
        <f t="shared" si="257"/>
        <v>Kevin White12</v>
      </c>
    </row>
    <row r="5473" spans="1:16" x14ac:dyDescent="0.25">
      <c r="A5473">
        <v>15</v>
      </c>
      <c r="B5473" t="s">
        <v>1583</v>
      </c>
      <c r="C5473" t="s">
        <v>8869</v>
      </c>
      <c r="D5473">
        <v>0.69</v>
      </c>
      <c r="E5473" t="s">
        <v>34</v>
      </c>
      <c r="F5473" t="s">
        <v>114</v>
      </c>
      <c r="G5473">
        <v>1.35</v>
      </c>
      <c r="H5473">
        <v>0.03</v>
      </c>
      <c r="I5473">
        <v>0.66</v>
      </c>
      <c r="J5473">
        <v>0.43559999999999999</v>
      </c>
      <c r="K5473" t="str">
        <f>IFERROR(INDEX(Rosters!$C$2:$C$155,MATCH($B5473,Rosters!$B$2:$B$155,0)),"NA")</f>
        <v>NA</v>
      </c>
      <c r="L5473" t="str">
        <f t="shared" si="255"/>
        <v>NA15TE</v>
      </c>
      <c r="M5473">
        <f>COUNTIF(L$1:L5473,L5473)</f>
        <v>58</v>
      </c>
      <c r="N5473" t="str">
        <f t="shared" si="256"/>
        <v>NA15TE-58</v>
      </c>
      <c r="O5473">
        <f>COUNTIFS(F$1:F5473,F5473,A$1:A5473,A5473)</f>
        <v>72</v>
      </c>
      <c r="P5473" t="str">
        <f t="shared" si="257"/>
        <v>Logan Thomas15</v>
      </c>
    </row>
    <row r="5474" spans="1:16" x14ac:dyDescent="0.25">
      <c r="A5474">
        <v>10</v>
      </c>
      <c r="B5474" t="s">
        <v>4215</v>
      </c>
      <c r="C5474" t="s">
        <v>1569</v>
      </c>
      <c r="D5474">
        <v>0.69</v>
      </c>
      <c r="E5474" t="s">
        <v>14</v>
      </c>
      <c r="F5474" t="s">
        <v>47</v>
      </c>
      <c r="G5474">
        <v>1.33</v>
      </c>
      <c r="H5474">
        <v>0.05</v>
      </c>
      <c r="I5474">
        <v>0.64</v>
      </c>
      <c r="J5474">
        <v>0.40960000000000002</v>
      </c>
      <c r="K5474" t="str">
        <f>IFERROR(INDEX(Rosters!$C$2:$C$155,MATCH($B5474,Rosters!$B$2:$B$155,0)),"NA")</f>
        <v>NA</v>
      </c>
      <c r="L5474" t="str">
        <f t="shared" si="255"/>
        <v>NA10RB</v>
      </c>
      <c r="M5474">
        <f>COUNTIF(L$1:L5474,L5474)</f>
        <v>43</v>
      </c>
      <c r="N5474" t="str">
        <f t="shared" si="256"/>
        <v>NA10RB-43</v>
      </c>
      <c r="O5474">
        <f>COUNTIFS(F$1:F5474,F5474,A$1:A5474,A5474)</f>
        <v>82</v>
      </c>
      <c r="P5474" t="str">
        <f t="shared" si="257"/>
        <v>Mark Walton10</v>
      </c>
    </row>
    <row r="5475" spans="1:16" x14ac:dyDescent="0.25">
      <c r="A5475">
        <v>7</v>
      </c>
      <c r="B5475" t="s">
        <v>1594</v>
      </c>
      <c r="C5475" t="s">
        <v>1567</v>
      </c>
      <c r="D5475">
        <v>0.69</v>
      </c>
      <c r="E5475" t="s">
        <v>54</v>
      </c>
      <c r="F5475" t="s">
        <v>87</v>
      </c>
      <c r="G5475">
        <v>1.38</v>
      </c>
      <c r="H5475">
        <v>0</v>
      </c>
      <c r="I5475">
        <v>0.69</v>
      </c>
      <c r="J5475">
        <v>0.47610000000000002</v>
      </c>
      <c r="K5475" t="str">
        <f>IFERROR(INDEX(Rosters!$C$2:$C$155,MATCH($B5475,Rosters!$B$2:$B$155,0)),"NA")</f>
        <v>NA</v>
      </c>
      <c r="L5475" t="str">
        <f t="shared" si="255"/>
        <v>NA7WR</v>
      </c>
      <c r="M5475">
        <f>COUNTIF(L$1:L5475,L5475)</f>
        <v>73</v>
      </c>
      <c r="N5475" t="str">
        <f t="shared" si="256"/>
        <v>NA7WR-73</v>
      </c>
      <c r="O5475">
        <f>COUNTIFS(F$1:F5475,F5475,A$1:A5475,A5475)</f>
        <v>118</v>
      </c>
      <c r="P5475" t="str">
        <f t="shared" si="257"/>
        <v>Marvin Hall7</v>
      </c>
    </row>
    <row r="5476" spans="1:16" x14ac:dyDescent="0.25">
      <c r="A5476">
        <v>12</v>
      </c>
      <c r="B5476" t="s">
        <v>1526</v>
      </c>
      <c r="C5476">
        <f>-0.01-1.39</f>
        <v>-1.4</v>
      </c>
      <c r="D5476">
        <v>0.69</v>
      </c>
      <c r="E5476" t="s">
        <v>72</v>
      </c>
      <c r="F5476" t="s">
        <v>114</v>
      </c>
      <c r="G5476">
        <v>1.39</v>
      </c>
      <c r="H5476">
        <v>-0.01</v>
      </c>
      <c r="I5476">
        <v>0.7</v>
      </c>
      <c r="J5476">
        <v>0.49</v>
      </c>
      <c r="K5476" t="str">
        <f>IFERROR(INDEX(Rosters!$C$2:$C$155,MATCH($B5476,Rosters!$B$2:$B$155,0)),"NA")</f>
        <v>NA</v>
      </c>
      <c r="L5476" t="str">
        <f t="shared" si="255"/>
        <v>NA12TE</v>
      </c>
      <c r="M5476">
        <f>COUNTIF(L$1:L5476,L5476)</f>
        <v>52</v>
      </c>
      <c r="N5476" t="str">
        <f t="shared" si="256"/>
        <v>NA12TE-52</v>
      </c>
      <c r="O5476">
        <f>COUNTIFS(F$1:F5476,F5476,A$1:A5476,A5476)</f>
        <v>65</v>
      </c>
      <c r="P5476" t="str">
        <f t="shared" si="257"/>
        <v>Michael Roberts12</v>
      </c>
    </row>
    <row r="5477" spans="1:16" x14ac:dyDescent="0.25">
      <c r="A5477">
        <v>16</v>
      </c>
      <c r="B5477" t="s">
        <v>4690</v>
      </c>
      <c r="C5477">
        <f>-0.05-1.43</f>
        <v>-1.48</v>
      </c>
      <c r="D5477">
        <v>0.69</v>
      </c>
      <c r="E5477" t="s">
        <v>34</v>
      </c>
      <c r="F5477" t="s">
        <v>47</v>
      </c>
      <c r="G5477">
        <v>1.43</v>
      </c>
      <c r="H5477">
        <v>-0.05</v>
      </c>
      <c r="I5477">
        <v>0.74</v>
      </c>
      <c r="J5477">
        <v>0.54759999999999998</v>
      </c>
      <c r="K5477" t="str">
        <f>IFERROR(INDEX(Rosters!$C$2:$C$155,MATCH($B5477,Rosters!$B$2:$B$155,0)),"NA")</f>
        <v>NA</v>
      </c>
      <c r="L5477" t="str">
        <f t="shared" si="255"/>
        <v>NA16RB</v>
      </c>
      <c r="M5477">
        <f>COUNTIF(L$1:L5477,L5477)</f>
        <v>49</v>
      </c>
      <c r="N5477" t="str">
        <f t="shared" si="256"/>
        <v>NA16RB-49</v>
      </c>
      <c r="O5477">
        <f>COUNTIFS(F$1:F5477,F5477,A$1:A5477,A5477)</f>
        <v>96</v>
      </c>
      <c r="P5477" t="str">
        <f t="shared" si="257"/>
        <v>Mike Boone16</v>
      </c>
    </row>
    <row r="5478" spans="1:16" x14ac:dyDescent="0.25">
      <c r="A5478">
        <v>17</v>
      </c>
      <c r="B5478" t="s">
        <v>344</v>
      </c>
      <c r="C5478" t="s">
        <v>8870</v>
      </c>
      <c r="D5478">
        <v>0.69</v>
      </c>
      <c r="E5478" t="s">
        <v>60</v>
      </c>
      <c r="F5478" t="s">
        <v>15</v>
      </c>
      <c r="G5478">
        <v>1.27</v>
      </c>
      <c r="H5478">
        <v>0.11</v>
      </c>
      <c r="I5478">
        <v>0.57999999999999996</v>
      </c>
      <c r="J5478">
        <v>0.33639999999999998</v>
      </c>
      <c r="K5478" t="str">
        <f>IFERROR(INDEX(Rosters!$C$2:$C$155,MATCH($B5478,Rosters!$B$2:$B$155,0)),"NA")</f>
        <v>NA</v>
      </c>
      <c r="L5478" t="str">
        <f t="shared" si="255"/>
        <v>NA17QB</v>
      </c>
      <c r="M5478">
        <f>COUNTIF(L$1:L5478,L5478)</f>
        <v>36</v>
      </c>
      <c r="N5478" t="str">
        <f t="shared" si="256"/>
        <v>NA17QB-36</v>
      </c>
      <c r="O5478">
        <f>COUNTIFS(F$1:F5478,F5478,A$1:A5478,A5478)</f>
        <v>53</v>
      </c>
      <c r="P5478" t="str">
        <f t="shared" si="257"/>
        <v>Nick Foles17</v>
      </c>
    </row>
    <row r="5479" spans="1:16" x14ac:dyDescent="0.25">
      <c r="A5479">
        <v>4</v>
      </c>
      <c r="B5479" t="s">
        <v>3374</v>
      </c>
      <c r="C5479">
        <f>-0.02-1.4</f>
        <v>-1.42</v>
      </c>
      <c r="D5479">
        <v>0.69</v>
      </c>
      <c r="E5479" t="s">
        <v>51</v>
      </c>
      <c r="F5479" t="s">
        <v>47</v>
      </c>
      <c r="G5479">
        <v>1.4</v>
      </c>
      <c r="H5479">
        <v>-0.02</v>
      </c>
      <c r="I5479">
        <v>0.71</v>
      </c>
      <c r="J5479">
        <v>0.50409999999999999</v>
      </c>
      <c r="K5479" t="str">
        <f>IFERROR(INDEX(Rosters!$C$2:$C$155,MATCH($B5479,Rosters!$B$2:$B$155,0)),"NA")</f>
        <v>NA</v>
      </c>
      <c r="L5479" t="str">
        <f t="shared" si="255"/>
        <v>NA4RB</v>
      </c>
      <c r="M5479">
        <f>COUNTIF(L$1:L5479,L5479)</f>
        <v>44</v>
      </c>
      <c r="N5479" t="str">
        <f t="shared" si="256"/>
        <v>NA4RB-44</v>
      </c>
      <c r="O5479">
        <f>COUNTIFS(F$1:F5479,F5479,A$1:A5479,A5479)</f>
        <v>83</v>
      </c>
      <c r="P5479" t="str">
        <f t="shared" si="257"/>
        <v>Patrick Ricard4</v>
      </c>
    </row>
    <row r="5480" spans="1:16" x14ac:dyDescent="0.25">
      <c r="A5480">
        <v>9</v>
      </c>
      <c r="B5480" t="s">
        <v>3374</v>
      </c>
      <c r="C5480" t="s">
        <v>8867</v>
      </c>
      <c r="D5480">
        <v>0.69</v>
      </c>
      <c r="E5480" t="s">
        <v>51</v>
      </c>
      <c r="F5480" t="s">
        <v>47</v>
      </c>
      <c r="G5480">
        <v>1.37</v>
      </c>
      <c r="H5480">
        <v>0.01</v>
      </c>
      <c r="I5480">
        <v>0.68</v>
      </c>
      <c r="J5480">
        <v>0.46239999999999998</v>
      </c>
      <c r="K5480" t="str">
        <f>IFERROR(INDEX(Rosters!$C$2:$C$155,MATCH($B5480,Rosters!$B$2:$B$155,0)),"NA")</f>
        <v>NA</v>
      </c>
      <c r="L5480" t="str">
        <f t="shared" si="255"/>
        <v>NA9RB</v>
      </c>
      <c r="M5480">
        <f>COUNTIF(L$1:L5480,L5480)</f>
        <v>39</v>
      </c>
      <c r="N5480" t="str">
        <f t="shared" si="256"/>
        <v>NA9RB-39</v>
      </c>
      <c r="O5480">
        <f>COUNTIFS(F$1:F5480,F5480,A$1:A5480,A5480)</f>
        <v>79</v>
      </c>
      <c r="P5480" t="str">
        <f t="shared" si="257"/>
        <v>Patrick Ricard9</v>
      </c>
    </row>
    <row r="5481" spans="1:16" x14ac:dyDescent="0.25">
      <c r="A5481">
        <v>11</v>
      </c>
      <c r="B5481" t="s">
        <v>8786</v>
      </c>
      <c r="C5481">
        <f>-0.04-1.42</f>
        <v>-1.46</v>
      </c>
      <c r="D5481">
        <v>0.69</v>
      </c>
      <c r="E5481" t="s">
        <v>51</v>
      </c>
      <c r="F5481" t="s">
        <v>87</v>
      </c>
      <c r="G5481">
        <v>1.42</v>
      </c>
      <c r="H5481">
        <v>-0.04</v>
      </c>
      <c r="I5481">
        <v>0.73</v>
      </c>
      <c r="J5481">
        <v>0.53290000000000004</v>
      </c>
      <c r="K5481" t="str">
        <f>IFERROR(INDEX(Rosters!$C$2:$C$155,MATCH($B5481,Rosters!$B$2:$B$155,0)),"NA")</f>
        <v>NA</v>
      </c>
      <c r="L5481" t="str">
        <f t="shared" si="255"/>
        <v>NA11WR</v>
      </c>
      <c r="M5481">
        <f>COUNTIF(L$1:L5481,L5481)</f>
        <v>66</v>
      </c>
      <c r="N5481" t="str">
        <f t="shared" si="256"/>
        <v>NA11WR-66</v>
      </c>
      <c r="O5481">
        <f>COUNTIFS(F$1:F5481,F5481,A$1:A5481,A5481)</f>
        <v>113</v>
      </c>
      <c r="P5481" t="str">
        <f t="shared" si="257"/>
        <v>Rashad Greene11</v>
      </c>
    </row>
    <row r="5482" spans="1:16" x14ac:dyDescent="0.25">
      <c r="A5482">
        <v>13</v>
      </c>
      <c r="B5482" t="s">
        <v>8786</v>
      </c>
      <c r="C5482">
        <f>-0.15-1.53</f>
        <v>-1.68</v>
      </c>
      <c r="D5482">
        <v>0.69</v>
      </c>
      <c r="E5482" t="s">
        <v>66</v>
      </c>
      <c r="F5482" t="s">
        <v>87</v>
      </c>
      <c r="G5482">
        <v>1.53</v>
      </c>
      <c r="H5482">
        <v>-0.15</v>
      </c>
      <c r="I5482">
        <v>0.84</v>
      </c>
      <c r="J5482">
        <v>0.7056</v>
      </c>
      <c r="K5482" t="str">
        <f>IFERROR(INDEX(Rosters!$C$2:$C$155,MATCH($B5482,Rosters!$B$2:$B$155,0)),"NA")</f>
        <v>NA</v>
      </c>
      <c r="L5482" t="str">
        <f t="shared" si="255"/>
        <v>NA13WR</v>
      </c>
      <c r="M5482">
        <f>COUNTIF(L$1:L5482,L5482)</f>
        <v>82</v>
      </c>
      <c r="N5482" t="str">
        <f t="shared" si="256"/>
        <v>NA13WR-82</v>
      </c>
      <c r="O5482">
        <f>COUNTIFS(F$1:F5482,F5482,A$1:A5482,A5482)</f>
        <v>136</v>
      </c>
      <c r="P5482" t="str">
        <f t="shared" si="257"/>
        <v>Rashad Greene13</v>
      </c>
    </row>
    <row r="5483" spans="1:16" x14ac:dyDescent="0.25">
      <c r="A5483">
        <v>4</v>
      </c>
      <c r="B5483" t="s">
        <v>337</v>
      </c>
      <c r="C5483">
        <f>-0.02-1.4</f>
        <v>-1.42</v>
      </c>
      <c r="D5483">
        <v>0.69</v>
      </c>
      <c r="E5483" t="s">
        <v>66</v>
      </c>
      <c r="F5483" t="s">
        <v>87</v>
      </c>
      <c r="G5483">
        <v>1.4</v>
      </c>
      <c r="H5483">
        <v>-0.02</v>
      </c>
      <c r="I5483">
        <v>0.71</v>
      </c>
      <c r="J5483">
        <v>0.50409999999999999</v>
      </c>
      <c r="K5483" t="str">
        <f>IFERROR(INDEX(Rosters!$C$2:$C$155,MATCH($B5483,Rosters!$B$2:$B$155,0)),"NA")</f>
        <v>NA</v>
      </c>
      <c r="L5483" t="str">
        <f t="shared" si="255"/>
        <v>NA4WR</v>
      </c>
      <c r="M5483">
        <f>COUNTIF(L$1:L5483,L5483)</f>
        <v>64</v>
      </c>
      <c r="N5483" t="str">
        <f t="shared" si="256"/>
        <v>NA4WR-64</v>
      </c>
      <c r="O5483">
        <f>COUNTIFS(F$1:F5483,F5483,A$1:A5483,A5483)</f>
        <v>114</v>
      </c>
      <c r="P5483" t="str">
        <f t="shared" si="257"/>
        <v>Sammie Coates4</v>
      </c>
    </row>
    <row r="5484" spans="1:16" x14ac:dyDescent="0.25">
      <c r="A5484">
        <v>14</v>
      </c>
      <c r="B5484" t="s">
        <v>332</v>
      </c>
      <c r="C5484">
        <f>-0.2-1.58</f>
        <v>-1.78</v>
      </c>
      <c r="D5484">
        <v>0.69</v>
      </c>
      <c r="E5484" t="s">
        <v>423</v>
      </c>
      <c r="F5484" t="s">
        <v>47</v>
      </c>
      <c r="G5484">
        <v>1.58</v>
      </c>
      <c r="H5484">
        <v>-0.2</v>
      </c>
      <c r="I5484">
        <v>0.89</v>
      </c>
      <c r="J5484">
        <v>0.79210000000000003</v>
      </c>
      <c r="K5484" t="str">
        <f>IFERROR(INDEX(Rosters!$C$2:$C$155,MATCH($B5484,Rosters!$B$2:$B$155,0)),"NA")</f>
        <v>NA</v>
      </c>
      <c r="L5484" t="str">
        <f t="shared" si="255"/>
        <v>NA14RB</v>
      </c>
      <c r="M5484">
        <f>COUNTIF(L$1:L5484,L5484)</f>
        <v>50</v>
      </c>
      <c r="N5484" t="str">
        <f t="shared" si="256"/>
        <v>NA14RB-50</v>
      </c>
      <c r="O5484">
        <f>COUNTIFS(F$1:F5484,F5484,A$1:A5484,A5484)</f>
        <v>97</v>
      </c>
      <c r="P5484" t="str">
        <f t="shared" si="257"/>
        <v>Senorise Perry14</v>
      </c>
    </row>
    <row r="5485" spans="1:16" x14ac:dyDescent="0.25">
      <c r="A5485">
        <v>10</v>
      </c>
      <c r="B5485" t="s">
        <v>4223</v>
      </c>
      <c r="C5485" t="s">
        <v>4708</v>
      </c>
      <c r="D5485">
        <v>0.69</v>
      </c>
      <c r="E5485" t="s">
        <v>29</v>
      </c>
      <c r="F5485" t="s">
        <v>47</v>
      </c>
      <c r="G5485">
        <v>1.34</v>
      </c>
      <c r="H5485">
        <v>0.04</v>
      </c>
      <c r="I5485">
        <v>0.65</v>
      </c>
      <c r="J5485">
        <v>0.42249999999999999</v>
      </c>
      <c r="K5485" t="str">
        <f>IFERROR(INDEX(Rosters!$C$2:$C$155,MATCH($B5485,Rosters!$B$2:$B$155,0)),"NA")</f>
        <v>NA</v>
      </c>
      <c r="L5485" t="str">
        <f t="shared" si="255"/>
        <v>NA10RB</v>
      </c>
      <c r="M5485">
        <f>COUNTIF(L$1:L5485,L5485)</f>
        <v>44</v>
      </c>
      <c r="N5485" t="str">
        <f t="shared" si="256"/>
        <v>NA10RB-44</v>
      </c>
      <c r="O5485">
        <f>COUNTIFS(F$1:F5485,F5485,A$1:A5485,A5485)</f>
        <v>83</v>
      </c>
      <c r="P5485" t="str">
        <f t="shared" si="257"/>
        <v>Trenton Cannon10</v>
      </c>
    </row>
    <row r="5486" spans="1:16" x14ac:dyDescent="0.25">
      <c r="A5486">
        <v>12</v>
      </c>
      <c r="B5486" t="s">
        <v>4243</v>
      </c>
      <c r="C5486">
        <f>-0.16-1.54</f>
        <v>-1.7</v>
      </c>
      <c r="D5486">
        <v>0.69</v>
      </c>
      <c r="E5486" t="s">
        <v>22</v>
      </c>
      <c r="F5486" t="s">
        <v>87</v>
      </c>
      <c r="G5486">
        <v>1.54</v>
      </c>
      <c r="H5486">
        <v>-0.16</v>
      </c>
      <c r="I5486">
        <v>0.85</v>
      </c>
      <c r="J5486">
        <v>0.72250000000000003</v>
      </c>
      <c r="K5486" t="str">
        <f>IFERROR(INDEX(Rosters!$C$2:$C$155,MATCH($B5486,Rosters!$B$2:$B$155,0)),"NA")</f>
        <v>NA</v>
      </c>
      <c r="L5486" t="str">
        <f t="shared" si="255"/>
        <v>NA12WR</v>
      </c>
      <c r="M5486">
        <f>COUNTIF(L$1:L5486,L5486)</f>
        <v>79</v>
      </c>
      <c r="N5486" t="str">
        <f t="shared" si="256"/>
        <v>NA12WR-79</v>
      </c>
      <c r="O5486">
        <f>COUNTIFS(F$1:F5486,F5486,A$1:A5486,A5486)</f>
        <v>128</v>
      </c>
      <c r="P5486" t="str">
        <f t="shared" si="257"/>
        <v>Trey Quinn12</v>
      </c>
    </row>
    <row r="5487" spans="1:16" x14ac:dyDescent="0.25">
      <c r="A5487">
        <v>15</v>
      </c>
      <c r="B5487" t="s">
        <v>1555</v>
      </c>
      <c r="C5487" t="s">
        <v>4714</v>
      </c>
      <c r="D5487">
        <v>0.68</v>
      </c>
      <c r="E5487" t="s">
        <v>14</v>
      </c>
      <c r="F5487" t="s">
        <v>47</v>
      </c>
      <c r="G5487">
        <v>1.29</v>
      </c>
      <c r="H5487">
        <v>7.0000000000000007E-2</v>
      </c>
      <c r="I5487">
        <v>0.61</v>
      </c>
      <c r="J5487">
        <v>0.37209999999999999</v>
      </c>
      <c r="K5487" t="str">
        <f>IFERROR(INDEX(Rosters!$C$2:$C$155,MATCH($B5487,Rosters!$B$2:$B$155,0)),"NA")</f>
        <v>NA</v>
      </c>
      <c r="L5487" t="str">
        <f t="shared" si="255"/>
        <v>NA15RB</v>
      </c>
      <c r="M5487">
        <f>COUNTIF(L$1:L5487,L5487)</f>
        <v>49</v>
      </c>
      <c r="N5487" t="str">
        <f t="shared" si="256"/>
        <v>NA15RB-49</v>
      </c>
      <c r="O5487">
        <f>COUNTIFS(F$1:F5487,F5487,A$1:A5487,A5487)</f>
        <v>96</v>
      </c>
      <c r="P5487" t="str">
        <f t="shared" si="257"/>
        <v>Alex Armah15</v>
      </c>
    </row>
    <row r="5488" spans="1:16" x14ac:dyDescent="0.25">
      <c r="A5488">
        <v>9</v>
      </c>
      <c r="B5488" t="s">
        <v>1116</v>
      </c>
      <c r="C5488" t="s">
        <v>8871</v>
      </c>
      <c r="D5488">
        <v>0.68</v>
      </c>
      <c r="E5488" t="s">
        <v>42</v>
      </c>
      <c r="F5488" t="s">
        <v>15</v>
      </c>
      <c r="G5488">
        <v>1.18</v>
      </c>
      <c r="H5488">
        <v>0.18</v>
      </c>
      <c r="I5488">
        <v>0.5</v>
      </c>
      <c r="J5488">
        <v>0.25</v>
      </c>
      <c r="K5488" t="str">
        <f>IFERROR(INDEX(Rosters!$C$2:$C$155,MATCH($B5488,Rosters!$B$2:$B$155,0)),"NA")</f>
        <v>NA</v>
      </c>
      <c r="L5488" t="str">
        <f t="shared" si="255"/>
        <v>NA9QB</v>
      </c>
      <c r="M5488">
        <f>COUNTIF(L$1:L5488,L5488)</f>
        <v>29</v>
      </c>
      <c r="N5488" t="str">
        <f t="shared" si="256"/>
        <v>NA9QB-29</v>
      </c>
      <c r="O5488">
        <f>COUNTIFS(F$1:F5488,F5488,A$1:A5488,A5488)</f>
        <v>43</v>
      </c>
      <c r="P5488" t="str">
        <f t="shared" si="257"/>
        <v>Brandon Weeden9</v>
      </c>
    </row>
    <row r="5489" spans="1:16" x14ac:dyDescent="0.25">
      <c r="A5489">
        <v>8</v>
      </c>
      <c r="B5489" t="s">
        <v>2926</v>
      </c>
      <c r="C5489" t="s">
        <v>8872</v>
      </c>
      <c r="D5489">
        <v>0.68</v>
      </c>
      <c r="E5489" t="s">
        <v>54</v>
      </c>
      <c r="F5489" t="s">
        <v>87</v>
      </c>
      <c r="G5489">
        <v>1.31</v>
      </c>
      <c r="H5489">
        <v>0.05</v>
      </c>
      <c r="I5489">
        <v>0.63</v>
      </c>
      <c r="J5489">
        <v>0.39689999999999998</v>
      </c>
      <c r="K5489" t="str">
        <f>IFERROR(INDEX(Rosters!$C$2:$C$155,MATCH($B5489,Rosters!$B$2:$B$155,0)),"NA")</f>
        <v>NA</v>
      </c>
      <c r="L5489" t="str">
        <f t="shared" si="255"/>
        <v>NA8WR</v>
      </c>
      <c r="M5489">
        <f>COUNTIF(L$1:L5489,L5489)</f>
        <v>71</v>
      </c>
      <c r="N5489" t="str">
        <f t="shared" si="256"/>
        <v>NA8WR-71</v>
      </c>
      <c r="O5489">
        <f>COUNTIFS(F$1:F5489,F5489,A$1:A5489,A5489)</f>
        <v>120</v>
      </c>
      <c r="P5489" t="str">
        <f t="shared" si="257"/>
        <v>Brian Quick8</v>
      </c>
    </row>
    <row r="5490" spans="1:16" x14ac:dyDescent="0.25">
      <c r="A5490">
        <v>9</v>
      </c>
      <c r="B5490" t="s">
        <v>2926</v>
      </c>
      <c r="C5490" t="s">
        <v>4711</v>
      </c>
      <c r="D5490">
        <v>0.68</v>
      </c>
      <c r="E5490" t="s">
        <v>46</v>
      </c>
      <c r="F5490" t="s">
        <v>87</v>
      </c>
      <c r="G5490">
        <v>1.34</v>
      </c>
      <c r="H5490">
        <v>0.02</v>
      </c>
      <c r="I5490">
        <v>0.66</v>
      </c>
      <c r="J5490">
        <v>0.43559999999999999</v>
      </c>
      <c r="K5490" t="str">
        <f>IFERROR(INDEX(Rosters!$C$2:$C$155,MATCH($B5490,Rosters!$B$2:$B$155,0)),"NA")</f>
        <v>NA</v>
      </c>
      <c r="L5490" t="str">
        <f t="shared" si="255"/>
        <v>NA9WR</v>
      </c>
      <c r="M5490">
        <f>COUNTIF(L$1:L5490,L5490)</f>
        <v>74</v>
      </c>
      <c r="N5490" t="str">
        <f t="shared" si="256"/>
        <v>NA9WR-74</v>
      </c>
      <c r="O5490">
        <f>COUNTIFS(F$1:F5490,F5490,A$1:A5490,A5490)</f>
        <v>118</v>
      </c>
      <c r="P5490" t="str">
        <f t="shared" si="257"/>
        <v>Brian Quick9</v>
      </c>
    </row>
    <row r="5491" spans="1:16" x14ac:dyDescent="0.25">
      <c r="A5491">
        <v>15</v>
      </c>
      <c r="B5491" t="s">
        <v>216</v>
      </c>
      <c r="C5491">
        <f>-0.12-1.48</f>
        <v>-1.6</v>
      </c>
      <c r="D5491">
        <v>0.68</v>
      </c>
      <c r="E5491" t="s">
        <v>30</v>
      </c>
      <c r="F5491" t="s">
        <v>47</v>
      </c>
      <c r="G5491">
        <v>1.48</v>
      </c>
      <c r="H5491">
        <v>-0.12</v>
      </c>
      <c r="I5491">
        <v>0.8</v>
      </c>
      <c r="J5491">
        <v>0.64</v>
      </c>
      <c r="K5491" t="str">
        <f>IFERROR(INDEX(Rosters!$C$2:$C$155,MATCH($B5491,Rosters!$B$2:$B$155,0)),"NA")</f>
        <v>NA</v>
      </c>
      <c r="L5491" t="str">
        <f t="shared" si="255"/>
        <v>NA15RB</v>
      </c>
      <c r="M5491">
        <f>COUNTIF(L$1:L5491,L5491)</f>
        <v>50</v>
      </c>
      <c r="N5491" t="str">
        <f t="shared" si="256"/>
        <v>NA15RB-50</v>
      </c>
      <c r="O5491">
        <f>COUNTIFS(F$1:F5491,F5491,A$1:A5491,A5491)</f>
        <v>97</v>
      </c>
      <c r="P5491" t="str">
        <f t="shared" si="257"/>
        <v>C.J. Prosise15</v>
      </c>
    </row>
    <row r="5492" spans="1:16" x14ac:dyDescent="0.25">
      <c r="A5492">
        <v>17</v>
      </c>
      <c r="B5492" t="s">
        <v>357</v>
      </c>
      <c r="C5492">
        <f>-0.08-1.44</f>
        <v>-1.52</v>
      </c>
      <c r="D5492">
        <v>0.68</v>
      </c>
      <c r="E5492" t="s">
        <v>52</v>
      </c>
      <c r="F5492" t="s">
        <v>87</v>
      </c>
      <c r="G5492">
        <v>1.44</v>
      </c>
      <c r="H5492">
        <v>-0.08</v>
      </c>
      <c r="I5492">
        <v>0.76</v>
      </c>
      <c r="J5492">
        <v>0.5776</v>
      </c>
      <c r="K5492" t="str">
        <f>IFERROR(INDEX(Rosters!$C$2:$C$155,MATCH($B5492,Rosters!$B$2:$B$155,0)),"NA")</f>
        <v>NA</v>
      </c>
      <c r="L5492" t="str">
        <f t="shared" si="255"/>
        <v>NA17WR</v>
      </c>
      <c r="M5492">
        <f>COUNTIF(L$1:L5492,L5492)</f>
        <v>84</v>
      </c>
      <c r="N5492" t="str">
        <f t="shared" si="256"/>
        <v>NA17WR-84</v>
      </c>
      <c r="O5492">
        <f>COUNTIFS(F$1:F5492,F5492,A$1:A5492,A5492)</f>
        <v>138</v>
      </c>
      <c r="P5492" t="str">
        <f t="shared" si="257"/>
        <v>Chris Moore17</v>
      </c>
    </row>
    <row r="5493" spans="1:16" x14ac:dyDescent="0.25">
      <c r="A5493">
        <v>12</v>
      </c>
      <c r="B5493" t="s">
        <v>342</v>
      </c>
      <c r="C5493" t="s">
        <v>4711</v>
      </c>
      <c r="D5493">
        <v>0.68</v>
      </c>
      <c r="E5493" t="s">
        <v>52</v>
      </c>
      <c r="F5493" t="s">
        <v>87</v>
      </c>
      <c r="G5493">
        <v>1.34</v>
      </c>
      <c r="H5493">
        <v>0.02</v>
      </c>
      <c r="I5493">
        <v>0.66</v>
      </c>
      <c r="J5493">
        <v>0.43559999999999999</v>
      </c>
      <c r="K5493" t="str">
        <f>IFERROR(INDEX(Rosters!$C$2:$C$155,MATCH($B5493,Rosters!$B$2:$B$155,0)),"NA")</f>
        <v>NA</v>
      </c>
      <c r="L5493" t="str">
        <f t="shared" si="255"/>
        <v>NA12WR</v>
      </c>
      <c r="M5493">
        <f>COUNTIF(L$1:L5493,L5493)</f>
        <v>80</v>
      </c>
      <c r="N5493" t="str">
        <f t="shared" si="256"/>
        <v>NA12WR-80</v>
      </c>
      <c r="O5493">
        <f>COUNTIFS(F$1:F5493,F5493,A$1:A5493,A5493)</f>
        <v>129</v>
      </c>
      <c r="P5493" t="str">
        <f t="shared" si="257"/>
        <v>Cody Core12</v>
      </c>
    </row>
    <row r="5494" spans="1:16" x14ac:dyDescent="0.25">
      <c r="A5494">
        <v>1</v>
      </c>
      <c r="B5494" t="s">
        <v>331</v>
      </c>
      <c r="C5494" t="s">
        <v>1017</v>
      </c>
      <c r="D5494">
        <v>0.68</v>
      </c>
      <c r="E5494" t="s">
        <v>58</v>
      </c>
      <c r="F5494" t="s">
        <v>15</v>
      </c>
      <c r="G5494">
        <v>1.23</v>
      </c>
      <c r="H5494">
        <v>0.13</v>
      </c>
      <c r="I5494">
        <v>0.55000000000000004</v>
      </c>
      <c r="J5494">
        <v>0.30249999999999999</v>
      </c>
      <c r="K5494" t="str">
        <f>IFERROR(INDEX(Rosters!$C$2:$C$155,MATCH($B5494,Rosters!$B$2:$B$155,0)),"NA")</f>
        <v>NA</v>
      </c>
      <c r="L5494" t="str">
        <f t="shared" si="255"/>
        <v>NA1QB</v>
      </c>
      <c r="M5494">
        <f>COUNTIF(L$1:L5494,L5494)</f>
        <v>27</v>
      </c>
      <c r="N5494" t="str">
        <f t="shared" si="256"/>
        <v>NA1QB-27</v>
      </c>
      <c r="O5494">
        <f>COUNTIFS(F$1:F5494,F5494,A$1:A5494,A5494)</f>
        <v>43</v>
      </c>
      <c r="P5494" t="str">
        <f t="shared" si="257"/>
        <v>Colt McCoy1</v>
      </c>
    </row>
    <row r="5495" spans="1:16" x14ac:dyDescent="0.25">
      <c r="A5495">
        <v>15</v>
      </c>
      <c r="B5495" t="s">
        <v>331</v>
      </c>
      <c r="C5495" t="s">
        <v>8871</v>
      </c>
      <c r="D5495">
        <v>0.68</v>
      </c>
      <c r="E5495" t="s">
        <v>76</v>
      </c>
      <c r="F5495" t="s">
        <v>15</v>
      </c>
      <c r="G5495">
        <v>1.18</v>
      </c>
      <c r="H5495">
        <v>0.18</v>
      </c>
      <c r="I5495">
        <v>0.5</v>
      </c>
      <c r="J5495">
        <v>0.25</v>
      </c>
      <c r="K5495" t="str">
        <f>IFERROR(INDEX(Rosters!$C$2:$C$155,MATCH($B5495,Rosters!$B$2:$B$155,0)),"NA")</f>
        <v>NA</v>
      </c>
      <c r="L5495" t="str">
        <f t="shared" si="255"/>
        <v>NA15QB</v>
      </c>
      <c r="M5495">
        <f>COUNTIF(L$1:L5495,L5495)</f>
        <v>35</v>
      </c>
      <c r="N5495" t="str">
        <f t="shared" si="256"/>
        <v>NA15QB-35</v>
      </c>
      <c r="O5495">
        <f>COUNTIFS(F$1:F5495,F5495,A$1:A5495,A5495)</f>
        <v>52</v>
      </c>
      <c r="P5495" t="str">
        <f t="shared" si="257"/>
        <v>Colt McCoy15</v>
      </c>
    </row>
    <row r="5496" spans="1:16" x14ac:dyDescent="0.25">
      <c r="A5496">
        <v>1</v>
      </c>
      <c r="B5496" t="s">
        <v>1550</v>
      </c>
      <c r="C5496" t="s">
        <v>1571</v>
      </c>
      <c r="D5496">
        <v>0.68</v>
      </c>
      <c r="E5496" t="s">
        <v>74</v>
      </c>
      <c r="F5496" t="s">
        <v>15</v>
      </c>
      <c r="G5496">
        <v>1.21</v>
      </c>
      <c r="H5496">
        <v>0.15</v>
      </c>
      <c r="I5496">
        <v>0.53</v>
      </c>
      <c r="J5496">
        <v>0.28089999999999998</v>
      </c>
      <c r="K5496" t="str">
        <f>IFERROR(INDEX(Rosters!$C$2:$C$155,MATCH($B5496,Rosters!$B$2:$B$155,0)),"NA")</f>
        <v>NA</v>
      </c>
      <c r="L5496" t="str">
        <f t="shared" si="255"/>
        <v>NA1QB</v>
      </c>
      <c r="M5496">
        <f>COUNTIF(L$1:L5496,L5496)</f>
        <v>28</v>
      </c>
      <c r="N5496" t="str">
        <f t="shared" si="256"/>
        <v>NA1QB-28</v>
      </c>
      <c r="O5496">
        <f>COUNTIFS(F$1:F5496,F5496,A$1:A5496,A5496)</f>
        <v>44</v>
      </c>
      <c r="P5496" t="str">
        <f t="shared" si="257"/>
        <v>Cooper Rush1</v>
      </c>
    </row>
    <row r="5497" spans="1:16" x14ac:dyDescent="0.25">
      <c r="A5497">
        <v>13</v>
      </c>
      <c r="B5497" t="s">
        <v>1503</v>
      </c>
      <c r="C5497">
        <f>-0.12-1.48</f>
        <v>-1.6</v>
      </c>
      <c r="D5497">
        <v>0.68</v>
      </c>
      <c r="E5497" t="s">
        <v>66</v>
      </c>
      <c r="F5497" t="s">
        <v>87</v>
      </c>
      <c r="G5497">
        <v>1.48</v>
      </c>
      <c r="H5497">
        <v>-0.12</v>
      </c>
      <c r="I5497">
        <v>0.8</v>
      </c>
      <c r="J5497">
        <v>0.64</v>
      </c>
      <c r="K5497" t="str">
        <f>IFERROR(INDEX(Rosters!$C$2:$C$155,MATCH($B5497,Rosters!$B$2:$B$155,0)),"NA")</f>
        <v>NA</v>
      </c>
      <c r="L5497" t="str">
        <f t="shared" si="255"/>
        <v>NA13WR</v>
      </c>
      <c r="M5497">
        <f>COUNTIF(L$1:L5497,L5497)</f>
        <v>83</v>
      </c>
      <c r="N5497" t="str">
        <f t="shared" si="256"/>
        <v>NA13WR-83</v>
      </c>
      <c r="O5497">
        <f>COUNTIFS(F$1:F5497,F5497,A$1:A5497,A5497)</f>
        <v>137</v>
      </c>
      <c r="P5497" t="str">
        <f t="shared" si="257"/>
        <v>D.J. Chark13</v>
      </c>
    </row>
    <row r="5498" spans="1:16" x14ac:dyDescent="0.25">
      <c r="A5498">
        <v>15</v>
      </c>
      <c r="B5498" t="s">
        <v>8584</v>
      </c>
      <c r="C5498" t="s">
        <v>4714</v>
      </c>
      <c r="D5498">
        <v>0.68</v>
      </c>
      <c r="E5498" t="s">
        <v>17</v>
      </c>
      <c r="F5498" t="s">
        <v>47</v>
      </c>
      <c r="G5498">
        <v>1.29</v>
      </c>
      <c r="H5498">
        <v>7.0000000000000007E-2</v>
      </c>
      <c r="I5498">
        <v>0.61</v>
      </c>
      <c r="J5498">
        <v>0.37209999999999999</v>
      </c>
      <c r="K5498" t="str">
        <f>IFERROR(INDEX(Rosters!$C$2:$C$155,MATCH($B5498,Rosters!$B$2:$B$155,0)),"NA")</f>
        <v>NA</v>
      </c>
      <c r="L5498" t="str">
        <f t="shared" si="255"/>
        <v>NA15RB</v>
      </c>
      <c r="M5498">
        <f>COUNTIF(L$1:L5498,L5498)</f>
        <v>51</v>
      </c>
      <c r="N5498" t="str">
        <f t="shared" si="256"/>
        <v>NA15RB-51</v>
      </c>
      <c r="O5498">
        <f>COUNTIFS(F$1:F5498,F5498,A$1:A5498,A5498)</f>
        <v>98</v>
      </c>
      <c r="P5498" t="str">
        <f t="shared" si="257"/>
        <v>De'Lance Turner15</v>
      </c>
    </row>
    <row r="5499" spans="1:16" x14ac:dyDescent="0.25">
      <c r="A5499">
        <v>8</v>
      </c>
      <c r="B5499" t="s">
        <v>8733</v>
      </c>
      <c r="C5499">
        <f>-0.02-1.38</f>
        <v>-1.4</v>
      </c>
      <c r="D5499">
        <v>0.68</v>
      </c>
      <c r="E5499" t="s">
        <v>76</v>
      </c>
      <c r="F5499" t="s">
        <v>87</v>
      </c>
      <c r="G5499">
        <v>1.38</v>
      </c>
      <c r="H5499">
        <v>-0.02</v>
      </c>
      <c r="I5499">
        <v>0.7</v>
      </c>
      <c r="J5499">
        <v>0.49</v>
      </c>
      <c r="K5499" t="str">
        <f>IFERROR(INDEX(Rosters!$C$2:$C$155,MATCH($B5499,Rosters!$B$2:$B$155,0)),"NA")</f>
        <v>NA</v>
      </c>
      <c r="L5499" t="str">
        <f t="shared" si="255"/>
        <v>NA8WR</v>
      </c>
      <c r="M5499">
        <f>COUNTIF(L$1:L5499,L5499)</f>
        <v>72</v>
      </c>
      <c r="N5499" t="str">
        <f t="shared" si="256"/>
        <v>NA8WR-72</v>
      </c>
      <c r="O5499">
        <f>COUNTIFS(F$1:F5499,F5499,A$1:A5499,A5499)</f>
        <v>121</v>
      </c>
      <c r="P5499" t="str">
        <f t="shared" si="257"/>
        <v>DeAndre Carter8</v>
      </c>
    </row>
    <row r="5500" spans="1:16" x14ac:dyDescent="0.25">
      <c r="A5500">
        <v>15</v>
      </c>
      <c r="B5500" t="s">
        <v>254</v>
      </c>
      <c r="C5500">
        <f>-0.39-1.75</f>
        <v>-2.14</v>
      </c>
      <c r="D5500">
        <v>0.68</v>
      </c>
      <c r="E5500" t="s">
        <v>51</v>
      </c>
      <c r="F5500" t="s">
        <v>114</v>
      </c>
      <c r="G5500">
        <v>1.75</v>
      </c>
      <c r="H5500">
        <v>-0.39</v>
      </c>
      <c r="I5500">
        <v>1.07</v>
      </c>
      <c r="J5500">
        <v>1.1449</v>
      </c>
      <c r="K5500" t="str">
        <f>IFERROR(INDEX(Rosters!$C$2:$C$155,MATCH($B5500,Rosters!$B$2:$B$155,0)),"NA")</f>
        <v>NA</v>
      </c>
      <c r="L5500" t="str">
        <f t="shared" si="255"/>
        <v>NA15TE</v>
      </c>
      <c r="M5500">
        <f>COUNTIF(L$1:L5500,L5500)</f>
        <v>59</v>
      </c>
      <c r="N5500" t="str">
        <f t="shared" si="256"/>
        <v>NA15TE-59</v>
      </c>
      <c r="O5500">
        <f>COUNTIFS(F$1:F5500,F5500,A$1:A5500,A5500)</f>
        <v>73</v>
      </c>
      <c r="P5500" t="str">
        <f t="shared" si="257"/>
        <v>Dwayne Allen15</v>
      </c>
    </row>
    <row r="5501" spans="1:16" x14ac:dyDescent="0.25">
      <c r="A5501">
        <v>8</v>
      </c>
      <c r="B5501" t="s">
        <v>2765</v>
      </c>
      <c r="C5501" t="s">
        <v>4711</v>
      </c>
      <c r="D5501">
        <v>0.68</v>
      </c>
      <c r="E5501" t="s">
        <v>60</v>
      </c>
      <c r="F5501" t="s">
        <v>47</v>
      </c>
      <c r="G5501">
        <v>1.34</v>
      </c>
      <c r="H5501">
        <v>0.02</v>
      </c>
      <c r="I5501">
        <v>0.66</v>
      </c>
      <c r="J5501">
        <v>0.43559999999999999</v>
      </c>
      <c r="K5501" t="str">
        <f>IFERROR(INDEX(Rosters!$C$2:$C$155,MATCH($B5501,Rosters!$B$2:$B$155,0)),"NA")</f>
        <v>NA</v>
      </c>
      <c r="L5501" t="str">
        <f t="shared" si="255"/>
        <v>NA8RB</v>
      </c>
      <c r="M5501">
        <f>COUNTIF(L$1:L5501,L5501)</f>
        <v>47</v>
      </c>
      <c r="N5501" t="str">
        <f t="shared" si="256"/>
        <v>NA8RB-47</v>
      </c>
      <c r="O5501">
        <f>COUNTIFS(F$1:F5501,F5501,A$1:A5501,A5501)</f>
        <v>87</v>
      </c>
      <c r="P5501" t="str">
        <f t="shared" si="257"/>
        <v>Elijhaa Penny8</v>
      </c>
    </row>
    <row r="5502" spans="1:16" x14ac:dyDescent="0.25">
      <c r="A5502">
        <v>10</v>
      </c>
      <c r="B5502" t="s">
        <v>2765</v>
      </c>
      <c r="C5502" t="s">
        <v>4712</v>
      </c>
      <c r="D5502">
        <v>0.68</v>
      </c>
      <c r="E5502" t="s">
        <v>30</v>
      </c>
      <c r="F5502" t="s">
        <v>47</v>
      </c>
      <c r="G5502">
        <v>1.33</v>
      </c>
      <c r="H5502">
        <v>0.03</v>
      </c>
      <c r="I5502">
        <v>0.65</v>
      </c>
      <c r="J5502">
        <v>0.42249999999999999</v>
      </c>
      <c r="K5502" t="str">
        <f>IFERROR(INDEX(Rosters!$C$2:$C$155,MATCH($B5502,Rosters!$B$2:$B$155,0)),"NA")</f>
        <v>NA</v>
      </c>
      <c r="L5502" t="str">
        <f t="shared" si="255"/>
        <v>NA10RB</v>
      </c>
      <c r="M5502">
        <f>COUNTIF(L$1:L5502,L5502)</f>
        <v>45</v>
      </c>
      <c r="N5502" t="str">
        <f t="shared" si="256"/>
        <v>NA10RB-45</v>
      </c>
      <c r="O5502">
        <f>COUNTIFS(F$1:F5502,F5502,A$1:A5502,A5502)</f>
        <v>84</v>
      </c>
      <c r="P5502" t="str">
        <f t="shared" si="257"/>
        <v>Elijhaa Penny10</v>
      </c>
    </row>
    <row r="5503" spans="1:16" x14ac:dyDescent="0.25">
      <c r="A5503">
        <v>17</v>
      </c>
      <c r="B5503" t="s">
        <v>2765</v>
      </c>
      <c r="C5503" t="s">
        <v>4712</v>
      </c>
      <c r="D5503">
        <v>0.68</v>
      </c>
      <c r="E5503" t="s">
        <v>22</v>
      </c>
      <c r="F5503" t="s">
        <v>47</v>
      </c>
      <c r="G5503">
        <v>1.33</v>
      </c>
      <c r="H5503">
        <v>0.03</v>
      </c>
      <c r="I5503">
        <v>0.65</v>
      </c>
      <c r="J5503">
        <v>0.42249999999999999</v>
      </c>
      <c r="K5503" t="str">
        <f>IFERROR(INDEX(Rosters!$C$2:$C$155,MATCH($B5503,Rosters!$B$2:$B$155,0)),"NA")</f>
        <v>NA</v>
      </c>
      <c r="L5503" t="str">
        <f t="shared" si="255"/>
        <v>NA17RB</v>
      </c>
      <c r="M5503">
        <f>COUNTIF(L$1:L5503,L5503)</f>
        <v>45</v>
      </c>
      <c r="N5503" t="str">
        <f t="shared" si="256"/>
        <v>NA17RB-45</v>
      </c>
      <c r="O5503">
        <f>COUNTIFS(F$1:F5503,F5503,A$1:A5503,A5503)</f>
        <v>92</v>
      </c>
      <c r="P5503" t="str">
        <f t="shared" si="257"/>
        <v>Elijhaa Penny17</v>
      </c>
    </row>
    <row r="5504" spans="1:16" x14ac:dyDescent="0.25">
      <c r="A5504">
        <v>14</v>
      </c>
      <c r="B5504" t="s">
        <v>1132</v>
      </c>
      <c r="C5504">
        <f>-0.02-1.38</f>
        <v>-1.4</v>
      </c>
      <c r="D5504">
        <v>0.68</v>
      </c>
      <c r="E5504" t="s">
        <v>31</v>
      </c>
      <c r="F5504" t="s">
        <v>87</v>
      </c>
      <c r="G5504">
        <v>1.38</v>
      </c>
      <c r="H5504">
        <v>-0.02</v>
      </c>
      <c r="I5504">
        <v>0.7</v>
      </c>
      <c r="J5504">
        <v>0.49</v>
      </c>
      <c r="K5504" t="str">
        <f>IFERROR(INDEX(Rosters!$C$2:$C$155,MATCH($B5504,Rosters!$B$2:$B$155,0)),"NA")</f>
        <v>NA</v>
      </c>
      <c r="L5504" t="str">
        <f t="shared" si="255"/>
        <v>NA14WR</v>
      </c>
      <c r="M5504">
        <f>COUNTIF(L$1:L5504,L5504)</f>
        <v>81</v>
      </c>
      <c r="N5504" t="str">
        <f t="shared" si="256"/>
        <v>NA14WR-81</v>
      </c>
      <c r="O5504">
        <f>COUNTIFS(F$1:F5504,F5504,A$1:A5504,A5504)</f>
        <v>135</v>
      </c>
      <c r="P5504" t="str">
        <f t="shared" si="257"/>
        <v>Geremy Davis14</v>
      </c>
    </row>
    <row r="5505" spans="1:16" x14ac:dyDescent="0.25">
      <c r="A5505">
        <v>15</v>
      </c>
      <c r="B5505" t="s">
        <v>1516</v>
      </c>
      <c r="C5505" t="s">
        <v>4712</v>
      </c>
      <c r="D5505">
        <v>0.68</v>
      </c>
      <c r="E5505" t="s">
        <v>72</v>
      </c>
      <c r="F5505" t="s">
        <v>87</v>
      </c>
      <c r="G5505">
        <v>1.33</v>
      </c>
      <c r="H5505">
        <v>0.03</v>
      </c>
      <c r="I5505">
        <v>0.65</v>
      </c>
      <c r="J5505">
        <v>0.42249999999999999</v>
      </c>
      <c r="K5505" t="str">
        <f>IFERROR(INDEX(Rosters!$C$2:$C$155,MATCH($B5505,Rosters!$B$2:$B$155,0)),"NA")</f>
        <v>NA</v>
      </c>
      <c r="L5505" t="str">
        <f t="shared" si="255"/>
        <v>NA15WR</v>
      </c>
      <c r="M5505">
        <f>COUNTIF(L$1:L5505,L5505)</f>
        <v>84</v>
      </c>
      <c r="N5505" t="str">
        <f t="shared" si="256"/>
        <v>NA15WR-84</v>
      </c>
      <c r="O5505">
        <f>COUNTIFS(F$1:F5505,F5505,A$1:A5505,A5505)</f>
        <v>138</v>
      </c>
      <c r="P5505" t="str">
        <f t="shared" si="257"/>
        <v>J'Mon Moore15</v>
      </c>
    </row>
    <row r="5506" spans="1:16" x14ac:dyDescent="0.25">
      <c r="A5506">
        <v>2</v>
      </c>
      <c r="B5506" t="s">
        <v>4244</v>
      </c>
      <c r="C5506">
        <f>-0.02-1.38</f>
        <v>-1.4</v>
      </c>
      <c r="D5506">
        <v>0.68</v>
      </c>
      <c r="E5506" t="s">
        <v>29</v>
      </c>
      <c r="F5506" t="s">
        <v>87</v>
      </c>
      <c r="G5506">
        <v>1.38</v>
      </c>
      <c r="H5506">
        <v>-0.02</v>
      </c>
      <c r="I5506">
        <v>0.7</v>
      </c>
      <c r="J5506">
        <v>0.49</v>
      </c>
      <c r="K5506" t="str">
        <f>IFERROR(INDEX(Rosters!$C$2:$C$155,MATCH($B5506,Rosters!$B$2:$B$155,0)),"NA")</f>
        <v>NA</v>
      </c>
      <c r="L5506" t="str">
        <f t="shared" si="255"/>
        <v>NA2WR</v>
      </c>
      <c r="M5506">
        <f>COUNTIF(L$1:L5506,L5506)</f>
        <v>66</v>
      </c>
      <c r="N5506" t="str">
        <f t="shared" si="256"/>
        <v>NA2WR-66</v>
      </c>
      <c r="O5506">
        <f>COUNTIFS(F$1:F5506,F5506,A$1:A5506,A5506)</f>
        <v>114</v>
      </c>
      <c r="P5506" t="str">
        <f t="shared" si="257"/>
        <v>J.J. Jones2</v>
      </c>
    </row>
    <row r="5507" spans="1:16" x14ac:dyDescent="0.25">
      <c r="A5507">
        <v>13</v>
      </c>
      <c r="B5507" t="s">
        <v>4687</v>
      </c>
      <c r="C5507" t="s">
        <v>4710</v>
      </c>
      <c r="D5507">
        <v>0.68</v>
      </c>
      <c r="E5507" t="s">
        <v>60</v>
      </c>
      <c r="F5507" t="s">
        <v>47</v>
      </c>
      <c r="G5507">
        <v>1.32</v>
      </c>
      <c r="H5507">
        <v>0.04</v>
      </c>
      <c r="I5507">
        <v>0.64</v>
      </c>
      <c r="J5507">
        <v>0.40960000000000002</v>
      </c>
      <c r="K5507" t="str">
        <f>IFERROR(INDEX(Rosters!$C$2:$C$155,MATCH($B5507,Rosters!$B$2:$B$155,0)),"NA")</f>
        <v>NA</v>
      </c>
      <c r="L5507" t="str">
        <f t="shared" ref="L5507:L5570" si="258">K5507&amp;A5507&amp;F5507</f>
        <v>NA13RB</v>
      </c>
      <c r="M5507">
        <f>COUNTIF(L$1:L5507,L5507)</f>
        <v>53</v>
      </c>
      <c r="N5507" t="str">
        <f t="shared" ref="N5507:N5570" si="259">L5507&amp;"-"&amp;M5507</f>
        <v>NA13RB-53</v>
      </c>
      <c r="O5507">
        <f>COUNTIFS(F$1:F5507,F5507,A$1:A5507,A5507)</f>
        <v>100</v>
      </c>
      <c r="P5507" t="str">
        <f t="shared" ref="P5507:P5570" si="260">B5507&amp;A5507</f>
        <v>Josh Adams13</v>
      </c>
    </row>
    <row r="5508" spans="1:16" x14ac:dyDescent="0.25">
      <c r="A5508">
        <v>14</v>
      </c>
      <c r="B5508" t="s">
        <v>1473</v>
      </c>
      <c r="C5508" t="s">
        <v>8873</v>
      </c>
      <c r="D5508">
        <v>0.68</v>
      </c>
      <c r="E5508" t="s">
        <v>31</v>
      </c>
      <c r="F5508" t="s">
        <v>47</v>
      </c>
      <c r="G5508">
        <v>1.36</v>
      </c>
      <c r="H5508">
        <v>0</v>
      </c>
      <c r="I5508">
        <v>0.68</v>
      </c>
      <c r="J5508">
        <v>0.46239999999999998</v>
      </c>
      <c r="K5508" t="str">
        <f>IFERROR(INDEX(Rosters!$C$2:$C$155,MATCH($B5508,Rosters!$B$2:$B$155,0)),"NA")</f>
        <v>NA</v>
      </c>
      <c r="L5508" t="str">
        <f t="shared" si="258"/>
        <v>NA14RB</v>
      </c>
      <c r="M5508">
        <f>COUNTIF(L$1:L5508,L5508)</f>
        <v>51</v>
      </c>
      <c r="N5508" t="str">
        <f t="shared" si="259"/>
        <v>NA14RB-51</v>
      </c>
      <c r="O5508">
        <f>COUNTIFS(F$1:F5508,F5508,A$1:A5508,A5508)</f>
        <v>98</v>
      </c>
      <c r="P5508" t="str">
        <f t="shared" si="260"/>
        <v>Justin Jackson14</v>
      </c>
    </row>
    <row r="5509" spans="1:16" x14ac:dyDescent="0.25">
      <c r="A5509">
        <v>7</v>
      </c>
      <c r="B5509" t="s">
        <v>198</v>
      </c>
      <c r="C5509">
        <f>-0.12-1.48</f>
        <v>-1.6</v>
      </c>
      <c r="D5509">
        <v>0.68</v>
      </c>
      <c r="E5509" t="s">
        <v>423</v>
      </c>
      <c r="F5509" t="s">
        <v>87</v>
      </c>
      <c r="G5509">
        <v>1.48</v>
      </c>
      <c r="H5509">
        <v>-0.12</v>
      </c>
      <c r="I5509">
        <v>0.8</v>
      </c>
      <c r="J5509">
        <v>0.64</v>
      </c>
      <c r="K5509" t="str">
        <f>IFERROR(INDEX(Rosters!$C$2:$C$155,MATCH($B5509,Rosters!$B$2:$B$155,0)),"NA")</f>
        <v>NA</v>
      </c>
      <c r="L5509" t="str">
        <f t="shared" si="258"/>
        <v>NA7WR</v>
      </c>
      <c r="M5509">
        <f>COUNTIF(L$1:L5509,L5509)</f>
        <v>74</v>
      </c>
      <c r="N5509" t="str">
        <f t="shared" si="259"/>
        <v>NA7WR-74</v>
      </c>
      <c r="O5509">
        <f>COUNTIFS(F$1:F5509,F5509,A$1:A5509,A5509)</f>
        <v>119</v>
      </c>
      <c r="P5509" t="str">
        <f t="shared" si="260"/>
        <v>Kevin White7</v>
      </c>
    </row>
    <row r="5510" spans="1:16" x14ac:dyDescent="0.25">
      <c r="A5510">
        <v>10</v>
      </c>
      <c r="B5510" t="s">
        <v>4612</v>
      </c>
      <c r="C5510">
        <f>-0.08-1.44</f>
        <v>-1.52</v>
      </c>
      <c r="D5510">
        <v>0.68</v>
      </c>
      <c r="E5510" t="s">
        <v>28</v>
      </c>
      <c r="F5510" t="s">
        <v>87</v>
      </c>
      <c r="G5510">
        <v>1.44</v>
      </c>
      <c r="H5510">
        <v>-0.08</v>
      </c>
      <c r="I5510">
        <v>0.76</v>
      </c>
      <c r="J5510">
        <v>0.5776</v>
      </c>
      <c r="K5510" t="str">
        <f>IFERROR(INDEX(Rosters!$C$2:$C$155,MATCH($B5510,Rosters!$B$2:$B$155,0)),"NA")</f>
        <v>NA</v>
      </c>
      <c r="L5510" t="str">
        <f t="shared" si="258"/>
        <v>NA10WR</v>
      </c>
      <c r="M5510">
        <f>COUNTIF(L$1:L5510,L5510)</f>
        <v>76</v>
      </c>
      <c r="N5510" t="str">
        <f t="shared" si="259"/>
        <v>NA10WR-76</v>
      </c>
      <c r="O5510">
        <f>COUNTIFS(F$1:F5510,F5510,A$1:A5510,A5510)</f>
        <v>121</v>
      </c>
      <c r="P5510" t="str">
        <f t="shared" si="260"/>
        <v>Khadarel Hodge10</v>
      </c>
    </row>
    <row r="5511" spans="1:16" x14ac:dyDescent="0.25">
      <c r="A5511">
        <v>3</v>
      </c>
      <c r="B5511" t="s">
        <v>391</v>
      </c>
      <c r="C5511">
        <f>-0.06-1.42</f>
        <v>-1.48</v>
      </c>
      <c r="D5511">
        <v>0.68</v>
      </c>
      <c r="E5511" t="s">
        <v>34</v>
      </c>
      <c r="F5511" t="s">
        <v>87</v>
      </c>
      <c r="G5511">
        <v>1.42</v>
      </c>
      <c r="H5511">
        <v>-0.06</v>
      </c>
      <c r="I5511">
        <v>0.74</v>
      </c>
      <c r="J5511">
        <v>0.54759999999999998</v>
      </c>
      <c r="K5511" t="str">
        <f>IFERROR(INDEX(Rosters!$C$2:$C$155,MATCH($B5511,Rosters!$B$2:$B$155,0)),"NA")</f>
        <v>NA</v>
      </c>
      <c r="L5511" t="str">
        <f t="shared" si="258"/>
        <v>NA3WR</v>
      </c>
      <c r="M5511">
        <f>COUNTIF(L$1:L5511,L5511)</f>
        <v>74</v>
      </c>
      <c r="N5511" t="str">
        <f t="shared" si="259"/>
        <v>NA3WR-74</v>
      </c>
      <c r="O5511">
        <f>COUNTIFS(F$1:F5511,F5511,A$1:A5511,A5511)</f>
        <v>123</v>
      </c>
      <c r="P5511" t="str">
        <f t="shared" si="260"/>
        <v>Matt Slater3</v>
      </c>
    </row>
    <row r="5512" spans="1:16" x14ac:dyDescent="0.25">
      <c r="A5512">
        <v>7</v>
      </c>
      <c r="B5512" t="s">
        <v>4246</v>
      </c>
      <c r="C5512" t="s">
        <v>4713</v>
      </c>
      <c r="D5512">
        <v>0.68</v>
      </c>
      <c r="E5512" t="s">
        <v>46</v>
      </c>
      <c r="F5512" t="s">
        <v>114</v>
      </c>
      <c r="G5512">
        <v>1.24</v>
      </c>
      <c r="H5512">
        <v>0.12</v>
      </c>
      <c r="I5512">
        <v>0.56000000000000005</v>
      </c>
      <c r="J5512">
        <v>0.31359999999999999</v>
      </c>
      <c r="K5512" t="str">
        <f>IFERROR(INDEX(Rosters!$C$2:$C$155,MATCH($B5512,Rosters!$B$2:$B$155,0)),"NA")</f>
        <v>NA</v>
      </c>
      <c r="L5512" t="str">
        <f t="shared" si="258"/>
        <v>NA7TE</v>
      </c>
      <c r="M5512">
        <f>COUNTIF(L$1:L5512,L5512)</f>
        <v>52</v>
      </c>
      <c r="N5512" t="str">
        <f t="shared" si="259"/>
        <v>NA7TE-52</v>
      </c>
      <c r="O5512">
        <f>COUNTIFS(F$1:F5512,F5512,A$1:A5512,A5512)</f>
        <v>62</v>
      </c>
      <c r="P5512" t="str">
        <f t="shared" si="260"/>
        <v>Scott Simonson7</v>
      </c>
    </row>
    <row r="5513" spans="1:16" x14ac:dyDescent="0.25">
      <c r="A5513">
        <v>4</v>
      </c>
      <c r="B5513" t="s">
        <v>347</v>
      </c>
      <c r="C5513" t="s">
        <v>4715</v>
      </c>
      <c r="D5513">
        <v>0.68</v>
      </c>
      <c r="E5513" t="s">
        <v>25</v>
      </c>
      <c r="F5513" t="s">
        <v>15</v>
      </c>
      <c r="G5513">
        <v>1.1399999999999999</v>
      </c>
      <c r="H5513">
        <v>0.22</v>
      </c>
      <c r="I5513">
        <v>0.46</v>
      </c>
      <c r="J5513">
        <v>0.21160000000000001</v>
      </c>
      <c r="K5513" t="str">
        <f>IFERROR(INDEX(Rosters!$C$2:$C$155,MATCH($B5513,Rosters!$B$2:$B$155,0)),"NA")</f>
        <v>NA</v>
      </c>
      <c r="L5513" t="str">
        <f t="shared" si="258"/>
        <v>NA4QB</v>
      </c>
      <c r="M5513">
        <f>COUNTIF(L$1:L5513,L5513)</f>
        <v>31</v>
      </c>
      <c r="N5513" t="str">
        <f t="shared" si="259"/>
        <v>NA4QB-31</v>
      </c>
      <c r="O5513">
        <f>COUNTIFS(F$1:F5513,F5513,A$1:A5513,A5513)</f>
        <v>46</v>
      </c>
      <c r="P5513" t="str">
        <f t="shared" si="260"/>
        <v>Sean Mannion4</v>
      </c>
    </row>
    <row r="5514" spans="1:16" x14ac:dyDescent="0.25">
      <c r="A5514">
        <v>11</v>
      </c>
      <c r="B5514" t="s">
        <v>4254</v>
      </c>
      <c r="C5514" t="s">
        <v>8873</v>
      </c>
      <c r="D5514">
        <v>0.68</v>
      </c>
      <c r="E5514" t="s">
        <v>32</v>
      </c>
      <c r="F5514" t="s">
        <v>47</v>
      </c>
      <c r="G5514">
        <v>1.36</v>
      </c>
      <c r="H5514">
        <v>0</v>
      </c>
      <c r="I5514">
        <v>0.68</v>
      </c>
      <c r="J5514">
        <v>0.46239999999999998</v>
      </c>
      <c r="K5514" t="str">
        <f>IFERROR(INDEX(Rosters!$C$2:$C$155,MATCH($B5514,Rosters!$B$2:$B$155,0)),"NA")</f>
        <v>NA</v>
      </c>
      <c r="L5514" t="str">
        <f t="shared" si="258"/>
        <v>NA11RB</v>
      </c>
      <c r="M5514">
        <f>COUNTIF(L$1:L5514,L5514)</f>
        <v>41</v>
      </c>
      <c r="N5514" t="str">
        <f t="shared" si="259"/>
        <v>NA11RB-41</v>
      </c>
      <c r="O5514">
        <f>COUNTIFS(F$1:F5514,F5514,A$1:A5514,A5514)</f>
        <v>79</v>
      </c>
      <c r="P5514" t="str">
        <f t="shared" si="260"/>
        <v>T.J. Logan11</v>
      </c>
    </row>
    <row r="5515" spans="1:16" x14ac:dyDescent="0.25">
      <c r="A5515">
        <v>14</v>
      </c>
      <c r="B5515" t="s">
        <v>4254</v>
      </c>
      <c r="C5515" t="s">
        <v>3570</v>
      </c>
      <c r="D5515">
        <v>0.68</v>
      </c>
      <c r="E5515" t="s">
        <v>34</v>
      </c>
      <c r="F5515" t="s">
        <v>47</v>
      </c>
      <c r="G5515">
        <v>1.35</v>
      </c>
      <c r="H5515">
        <v>0.01</v>
      </c>
      <c r="I5515">
        <v>0.67</v>
      </c>
      <c r="J5515">
        <v>0.44890000000000002</v>
      </c>
      <c r="K5515" t="str">
        <f>IFERROR(INDEX(Rosters!$C$2:$C$155,MATCH($B5515,Rosters!$B$2:$B$155,0)),"NA")</f>
        <v>NA</v>
      </c>
      <c r="L5515" t="str">
        <f t="shared" si="258"/>
        <v>NA14RB</v>
      </c>
      <c r="M5515">
        <f>COUNTIF(L$1:L5515,L5515)</f>
        <v>52</v>
      </c>
      <c r="N5515" t="str">
        <f t="shared" si="259"/>
        <v>NA14RB-52</v>
      </c>
      <c r="O5515">
        <f>COUNTIFS(F$1:F5515,F5515,A$1:A5515,A5515)</f>
        <v>99</v>
      </c>
      <c r="P5515" t="str">
        <f t="shared" si="260"/>
        <v>T.J. Logan14</v>
      </c>
    </row>
    <row r="5516" spans="1:16" x14ac:dyDescent="0.25">
      <c r="A5516">
        <v>15</v>
      </c>
      <c r="B5516" t="s">
        <v>4240</v>
      </c>
      <c r="C5516">
        <f>-0.08-1.44</f>
        <v>-1.52</v>
      </c>
      <c r="D5516">
        <v>0.68</v>
      </c>
      <c r="E5516" t="s">
        <v>22</v>
      </c>
      <c r="F5516" t="s">
        <v>87</v>
      </c>
      <c r="G5516">
        <v>1.44</v>
      </c>
      <c r="H5516">
        <v>-0.08</v>
      </c>
      <c r="I5516">
        <v>0.76</v>
      </c>
      <c r="J5516">
        <v>0.5776</v>
      </c>
      <c r="K5516" t="str">
        <f>IFERROR(INDEX(Rosters!$C$2:$C$155,MATCH($B5516,Rosters!$B$2:$B$155,0)),"NA")</f>
        <v>NA</v>
      </c>
      <c r="L5516" t="str">
        <f t="shared" si="258"/>
        <v>NA15WR</v>
      </c>
      <c r="M5516">
        <f>COUNTIF(L$1:L5516,L5516)</f>
        <v>85</v>
      </c>
      <c r="N5516" t="str">
        <f t="shared" si="259"/>
        <v>NA15WR-85</v>
      </c>
      <c r="O5516">
        <f>COUNTIFS(F$1:F5516,F5516,A$1:A5516,A5516)</f>
        <v>139</v>
      </c>
      <c r="P5516" t="str">
        <f t="shared" si="260"/>
        <v>Zach Pascal15</v>
      </c>
    </row>
    <row r="5517" spans="1:16" x14ac:dyDescent="0.25">
      <c r="A5517">
        <v>9</v>
      </c>
      <c r="B5517" t="s">
        <v>324</v>
      </c>
      <c r="C5517" t="s">
        <v>8874</v>
      </c>
      <c r="D5517">
        <v>0.67</v>
      </c>
      <c r="E5517" t="s">
        <v>30</v>
      </c>
      <c r="F5517" t="s">
        <v>15</v>
      </c>
      <c r="G5517">
        <v>1.19</v>
      </c>
      <c r="H5517">
        <v>0.15</v>
      </c>
      <c r="I5517">
        <v>0.52</v>
      </c>
      <c r="J5517">
        <v>0.27039999999999997</v>
      </c>
      <c r="K5517" t="str">
        <f>IFERROR(INDEX(Rosters!$C$2:$C$155,MATCH($B5517,Rosters!$B$2:$B$155,0)),"NA")</f>
        <v>NA</v>
      </c>
      <c r="L5517" t="str">
        <f t="shared" si="258"/>
        <v>NA9QB</v>
      </c>
      <c r="M5517">
        <f>COUNTIF(L$1:L5517,L5517)</f>
        <v>30</v>
      </c>
      <c r="N5517" t="str">
        <f t="shared" si="259"/>
        <v>NA9QB-30</v>
      </c>
      <c r="O5517">
        <f>COUNTIFS(F$1:F5517,F5517,A$1:A5517,A5517)</f>
        <v>44</v>
      </c>
      <c r="P5517" t="str">
        <f t="shared" si="260"/>
        <v>A.J. McCarron9</v>
      </c>
    </row>
    <row r="5518" spans="1:16" x14ac:dyDescent="0.25">
      <c r="A5518">
        <v>1</v>
      </c>
      <c r="B5518" t="s">
        <v>1129</v>
      </c>
      <c r="C5518">
        <f>-0.09-1.43</f>
        <v>-1.52</v>
      </c>
      <c r="D5518">
        <v>0.67</v>
      </c>
      <c r="E5518" t="s">
        <v>14</v>
      </c>
      <c r="F5518" t="s">
        <v>114</v>
      </c>
      <c r="G5518">
        <v>1.43</v>
      </c>
      <c r="H5518">
        <v>-0.09</v>
      </c>
      <c r="I5518">
        <v>0.76</v>
      </c>
      <c r="J5518">
        <v>0.5776</v>
      </c>
      <c r="K5518" t="str">
        <f>IFERROR(INDEX(Rosters!$C$2:$C$155,MATCH($B5518,Rosters!$B$2:$B$155,0)),"NA")</f>
        <v>NA</v>
      </c>
      <c r="L5518" t="str">
        <f t="shared" si="258"/>
        <v>NA1TE</v>
      </c>
      <c r="M5518">
        <f>COUNTIF(L$1:L5518,L5518)</f>
        <v>46</v>
      </c>
      <c r="N5518" t="str">
        <f t="shared" si="259"/>
        <v>NA1TE-46</v>
      </c>
      <c r="O5518">
        <f>COUNTIFS(F$1:F5518,F5518,A$1:A5518,A5518)</f>
        <v>59</v>
      </c>
      <c r="P5518" t="str">
        <f t="shared" si="260"/>
        <v>Alan Cross1</v>
      </c>
    </row>
    <row r="5519" spans="1:16" x14ac:dyDescent="0.25">
      <c r="A5519">
        <v>16</v>
      </c>
      <c r="B5519" t="s">
        <v>1555</v>
      </c>
      <c r="C5519" t="s">
        <v>3840</v>
      </c>
      <c r="D5519">
        <v>0.67</v>
      </c>
      <c r="E5519" t="s">
        <v>46</v>
      </c>
      <c r="F5519" t="s">
        <v>47</v>
      </c>
      <c r="G5519">
        <v>1.2</v>
      </c>
      <c r="H5519">
        <v>0.14000000000000001</v>
      </c>
      <c r="I5519">
        <v>0.53</v>
      </c>
      <c r="J5519">
        <v>0.28089999999999998</v>
      </c>
      <c r="K5519" t="str">
        <f>IFERROR(INDEX(Rosters!$C$2:$C$155,MATCH($B5519,Rosters!$B$2:$B$155,0)),"NA")</f>
        <v>NA</v>
      </c>
      <c r="L5519" t="str">
        <f t="shared" si="258"/>
        <v>NA16RB</v>
      </c>
      <c r="M5519">
        <f>COUNTIF(L$1:L5519,L5519)</f>
        <v>50</v>
      </c>
      <c r="N5519" t="str">
        <f t="shared" si="259"/>
        <v>NA16RB-50</v>
      </c>
      <c r="O5519">
        <f>COUNTIFS(F$1:F5519,F5519,A$1:A5519,A5519)</f>
        <v>97</v>
      </c>
      <c r="P5519" t="str">
        <f t="shared" si="260"/>
        <v>Alex Armah16</v>
      </c>
    </row>
    <row r="5520" spans="1:16" x14ac:dyDescent="0.25">
      <c r="A5520">
        <v>5</v>
      </c>
      <c r="B5520" t="s">
        <v>2926</v>
      </c>
      <c r="C5520" t="s">
        <v>1573</v>
      </c>
      <c r="D5520">
        <v>0.67</v>
      </c>
      <c r="E5520" t="s">
        <v>14</v>
      </c>
      <c r="F5520" t="s">
        <v>87</v>
      </c>
      <c r="G5520">
        <v>1.33</v>
      </c>
      <c r="H5520">
        <v>0.01</v>
      </c>
      <c r="I5520">
        <v>0.66</v>
      </c>
      <c r="J5520">
        <v>0.43559999999999999</v>
      </c>
      <c r="K5520" t="str">
        <f>IFERROR(INDEX(Rosters!$C$2:$C$155,MATCH($B5520,Rosters!$B$2:$B$155,0)),"NA")</f>
        <v>NA</v>
      </c>
      <c r="L5520" t="str">
        <f t="shared" si="258"/>
        <v>NA5WR</v>
      </c>
      <c r="M5520">
        <f>COUNTIF(L$1:L5520,L5520)</f>
        <v>84</v>
      </c>
      <c r="N5520" t="str">
        <f t="shared" si="259"/>
        <v>NA5WR-84</v>
      </c>
      <c r="O5520">
        <f>COUNTIFS(F$1:F5520,F5520,A$1:A5520,A5520)</f>
        <v>134</v>
      </c>
      <c r="P5520" t="str">
        <f t="shared" si="260"/>
        <v>Brian Quick5</v>
      </c>
    </row>
    <row r="5521" spans="1:16" x14ac:dyDescent="0.25">
      <c r="A5521">
        <v>1</v>
      </c>
      <c r="B5521" t="s">
        <v>1537</v>
      </c>
      <c r="C5521" t="s">
        <v>1575</v>
      </c>
      <c r="D5521">
        <v>0.67</v>
      </c>
      <c r="E5521" t="s">
        <v>25</v>
      </c>
      <c r="F5521" t="s">
        <v>15</v>
      </c>
      <c r="G5521">
        <v>1.1200000000000001</v>
      </c>
      <c r="H5521">
        <v>0.22</v>
      </c>
      <c r="I5521">
        <v>0.45</v>
      </c>
      <c r="J5521">
        <v>0.20250000000000001</v>
      </c>
      <c r="K5521" t="str">
        <f>IFERROR(INDEX(Rosters!$C$2:$C$155,MATCH($B5521,Rosters!$B$2:$B$155,0)),"NA")</f>
        <v>NA</v>
      </c>
      <c r="L5521" t="str">
        <f t="shared" si="258"/>
        <v>NA1QB</v>
      </c>
      <c r="M5521">
        <f>COUNTIF(L$1:L5521,L5521)</f>
        <v>29</v>
      </c>
      <c r="N5521" t="str">
        <f t="shared" si="259"/>
        <v>NA1QB-29</v>
      </c>
      <c r="O5521">
        <f>COUNTIFS(F$1:F5521,F5521,A$1:A5521,A5521)</f>
        <v>45</v>
      </c>
      <c r="P5521" t="str">
        <f t="shared" si="260"/>
        <v>C.J. Beathard1</v>
      </c>
    </row>
    <row r="5522" spans="1:16" x14ac:dyDescent="0.25">
      <c r="A5522">
        <v>2</v>
      </c>
      <c r="B5522" t="s">
        <v>1126</v>
      </c>
      <c r="C5522" t="s">
        <v>1034</v>
      </c>
      <c r="D5522">
        <v>0.67</v>
      </c>
      <c r="E5522" t="s">
        <v>19</v>
      </c>
      <c r="F5522" t="s">
        <v>87</v>
      </c>
      <c r="G5522">
        <v>1.24</v>
      </c>
      <c r="H5522">
        <v>0.1</v>
      </c>
      <c r="I5522">
        <v>0.56999999999999995</v>
      </c>
      <c r="J5522">
        <v>0.32490000000000002</v>
      </c>
      <c r="K5522" t="str">
        <f>IFERROR(INDEX(Rosters!$C$2:$C$155,MATCH($B5522,Rosters!$B$2:$B$155,0)),"NA")</f>
        <v>NA</v>
      </c>
      <c r="L5522" t="str">
        <f t="shared" si="258"/>
        <v>NA2WR</v>
      </c>
      <c r="M5522">
        <f>COUNTIF(L$1:L5522,L5522)</f>
        <v>67</v>
      </c>
      <c r="N5522" t="str">
        <f t="shared" si="259"/>
        <v>NA2WR-67</v>
      </c>
      <c r="O5522">
        <f>COUNTIFS(F$1:F5522,F5522,A$1:A5522,A5522)</f>
        <v>115</v>
      </c>
      <c r="P5522" t="str">
        <f t="shared" si="260"/>
        <v>Charone Peake2</v>
      </c>
    </row>
    <row r="5523" spans="1:16" x14ac:dyDescent="0.25">
      <c r="A5523">
        <v>16</v>
      </c>
      <c r="B5523" t="s">
        <v>342</v>
      </c>
      <c r="C5523" t="s">
        <v>1573</v>
      </c>
      <c r="D5523">
        <v>0.67</v>
      </c>
      <c r="E5523" t="s">
        <v>52</v>
      </c>
      <c r="F5523" t="s">
        <v>87</v>
      </c>
      <c r="G5523">
        <v>1.33</v>
      </c>
      <c r="H5523">
        <v>0.01</v>
      </c>
      <c r="I5523">
        <v>0.66</v>
      </c>
      <c r="J5523">
        <v>0.43559999999999999</v>
      </c>
      <c r="K5523" t="str">
        <f>IFERROR(INDEX(Rosters!$C$2:$C$155,MATCH($B5523,Rosters!$B$2:$B$155,0)),"NA")</f>
        <v>NA</v>
      </c>
      <c r="L5523" t="str">
        <f t="shared" si="258"/>
        <v>NA16WR</v>
      </c>
      <c r="M5523">
        <f>COUNTIF(L$1:L5523,L5523)</f>
        <v>81</v>
      </c>
      <c r="N5523" t="str">
        <f t="shared" si="259"/>
        <v>NA16WR-81</v>
      </c>
      <c r="O5523">
        <f>COUNTIFS(F$1:F5523,F5523,A$1:A5523,A5523)</f>
        <v>135</v>
      </c>
      <c r="P5523" t="str">
        <f t="shared" si="260"/>
        <v>Cody Core16</v>
      </c>
    </row>
    <row r="5524" spans="1:16" x14ac:dyDescent="0.25">
      <c r="A5524">
        <v>17</v>
      </c>
      <c r="B5524" t="s">
        <v>331</v>
      </c>
      <c r="C5524" t="s">
        <v>8875</v>
      </c>
      <c r="D5524">
        <v>0.67</v>
      </c>
      <c r="E5524" t="s">
        <v>50</v>
      </c>
      <c r="F5524" t="s">
        <v>15</v>
      </c>
      <c r="G5524">
        <v>1.1299999999999999</v>
      </c>
      <c r="H5524">
        <v>0.21</v>
      </c>
      <c r="I5524">
        <v>0.46</v>
      </c>
      <c r="J5524">
        <v>0.21160000000000001</v>
      </c>
      <c r="K5524" t="str">
        <f>IFERROR(INDEX(Rosters!$C$2:$C$155,MATCH($B5524,Rosters!$B$2:$B$155,0)),"NA")</f>
        <v>NA</v>
      </c>
      <c r="L5524" t="str">
        <f t="shared" si="258"/>
        <v>NA17QB</v>
      </c>
      <c r="M5524">
        <f>COUNTIF(L$1:L5524,L5524)</f>
        <v>37</v>
      </c>
      <c r="N5524" t="str">
        <f t="shared" si="259"/>
        <v>NA17QB-37</v>
      </c>
      <c r="O5524">
        <f>COUNTIFS(F$1:F5524,F5524,A$1:A5524,A5524)</f>
        <v>54</v>
      </c>
      <c r="P5524" t="str">
        <f t="shared" si="260"/>
        <v>Colt McCoy17</v>
      </c>
    </row>
    <row r="5525" spans="1:16" x14ac:dyDescent="0.25">
      <c r="A5525">
        <v>14</v>
      </c>
      <c r="B5525" t="s">
        <v>304</v>
      </c>
      <c r="C5525">
        <f>-0.12-1.46</f>
        <v>-1.58</v>
      </c>
      <c r="D5525">
        <v>0.67</v>
      </c>
      <c r="E5525" t="s">
        <v>32</v>
      </c>
      <c r="F5525" t="s">
        <v>87</v>
      </c>
      <c r="G5525">
        <v>1.46</v>
      </c>
      <c r="H5525">
        <v>-0.12</v>
      </c>
      <c r="I5525">
        <v>0.79</v>
      </c>
      <c r="J5525">
        <v>0.62409999999999999</v>
      </c>
      <c r="K5525" t="str">
        <f>IFERROR(INDEX(Rosters!$C$2:$C$155,MATCH($B5525,Rosters!$B$2:$B$155,0)),"NA")</f>
        <v>NA</v>
      </c>
      <c r="L5525" t="str">
        <f t="shared" si="258"/>
        <v>NA14WR</v>
      </c>
      <c r="M5525">
        <f>COUNTIF(L$1:L5525,L5525)</f>
        <v>82</v>
      </c>
      <c r="N5525" t="str">
        <f t="shared" si="259"/>
        <v>NA14WR-82</v>
      </c>
      <c r="O5525">
        <f>COUNTIFS(F$1:F5525,F5525,A$1:A5525,A5525)</f>
        <v>136</v>
      </c>
      <c r="P5525" t="str">
        <f t="shared" si="260"/>
        <v>Darrius Heyward-Bey14</v>
      </c>
    </row>
    <row r="5526" spans="1:16" x14ac:dyDescent="0.25">
      <c r="A5526">
        <v>6</v>
      </c>
      <c r="B5526" t="s">
        <v>8733</v>
      </c>
      <c r="C5526" t="s">
        <v>1034</v>
      </c>
      <c r="D5526">
        <v>0.67</v>
      </c>
      <c r="E5526" t="s">
        <v>54</v>
      </c>
      <c r="F5526" t="s">
        <v>87</v>
      </c>
      <c r="G5526">
        <v>1.24</v>
      </c>
      <c r="H5526">
        <v>0.1</v>
      </c>
      <c r="I5526">
        <v>0.56999999999999995</v>
      </c>
      <c r="J5526">
        <v>0.32490000000000002</v>
      </c>
      <c r="K5526" t="str">
        <f>IFERROR(INDEX(Rosters!$C$2:$C$155,MATCH($B5526,Rosters!$B$2:$B$155,0)),"NA")</f>
        <v>NA</v>
      </c>
      <c r="L5526" t="str">
        <f t="shared" si="258"/>
        <v>NA6WR</v>
      </c>
      <c r="M5526">
        <f>COUNTIF(L$1:L5526,L5526)</f>
        <v>80</v>
      </c>
      <c r="N5526" t="str">
        <f t="shared" si="259"/>
        <v>NA6WR-80</v>
      </c>
      <c r="O5526">
        <f>COUNTIFS(F$1:F5526,F5526,A$1:A5526,A5526)</f>
        <v>130</v>
      </c>
      <c r="P5526" t="str">
        <f t="shared" si="260"/>
        <v>DeAndre Carter6</v>
      </c>
    </row>
    <row r="5527" spans="1:16" x14ac:dyDescent="0.25">
      <c r="A5527">
        <v>13</v>
      </c>
      <c r="B5527" t="s">
        <v>91</v>
      </c>
      <c r="C5527" t="s">
        <v>1034</v>
      </c>
      <c r="D5527">
        <v>0.67</v>
      </c>
      <c r="E5527" t="s">
        <v>58</v>
      </c>
      <c r="F5527" t="s">
        <v>15</v>
      </c>
      <c r="G5527">
        <v>1.24</v>
      </c>
      <c r="H5527">
        <v>0.1</v>
      </c>
      <c r="I5527">
        <v>0.56999999999999995</v>
      </c>
      <c r="J5527">
        <v>0.32490000000000002</v>
      </c>
      <c r="K5527" t="str">
        <f>IFERROR(INDEX(Rosters!$C$2:$C$155,MATCH($B5527,Rosters!$B$2:$B$155,0)),"NA")</f>
        <v>NA</v>
      </c>
      <c r="L5527" t="str">
        <f t="shared" si="258"/>
        <v>NA13QB</v>
      </c>
      <c r="M5527">
        <f>COUNTIF(L$1:L5527,L5527)</f>
        <v>35</v>
      </c>
      <c r="N5527" t="str">
        <f t="shared" si="259"/>
        <v>NA13QB-35</v>
      </c>
      <c r="O5527">
        <f>COUNTIFS(F$1:F5527,F5527,A$1:A5527,A5527)</f>
        <v>52</v>
      </c>
      <c r="P5527" t="str">
        <f t="shared" si="260"/>
        <v>DeShone Kizer13</v>
      </c>
    </row>
    <row r="5528" spans="1:16" x14ac:dyDescent="0.25">
      <c r="A5528">
        <v>16</v>
      </c>
      <c r="B5528" t="s">
        <v>91</v>
      </c>
      <c r="C5528" t="s">
        <v>1574</v>
      </c>
      <c r="D5528">
        <v>0.67</v>
      </c>
      <c r="E5528" t="s">
        <v>73</v>
      </c>
      <c r="F5528" t="s">
        <v>15</v>
      </c>
      <c r="G5528">
        <v>1.26</v>
      </c>
      <c r="H5528">
        <v>0.08</v>
      </c>
      <c r="I5528">
        <v>0.59</v>
      </c>
      <c r="J5528">
        <v>0.34810000000000002</v>
      </c>
      <c r="K5528" t="str">
        <f>IFERROR(INDEX(Rosters!$C$2:$C$155,MATCH($B5528,Rosters!$B$2:$B$155,0)),"NA")</f>
        <v>NA</v>
      </c>
      <c r="L5528" t="str">
        <f t="shared" si="258"/>
        <v>NA16QB</v>
      </c>
      <c r="M5528">
        <f>COUNTIF(L$1:L5528,L5528)</f>
        <v>36</v>
      </c>
      <c r="N5528" t="str">
        <f t="shared" si="259"/>
        <v>NA16QB-36</v>
      </c>
      <c r="O5528">
        <f>COUNTIFS(F$1:F5528,F5528,A$1:A5528,A5528)</f>
        <v>53</v>
      </c>
      <c r="P5528" t="str">
        <f t="shared" si="260"/>
        <v>DeShone Kizer16</v>
      </c>
    </row>
    <row r="5529" spans="1:16" x14ac:dyDescent="0.25">
      <c r="A5529">
        <v>11</v>
      </c>
      <c r="B5529" t="s">
        <v>1490</v>
      </c>
      <c r="C5529" t="s">
        <v>8876</v>
      </c>
      <c r="D5529">
        <v>0.67</v>
      </c>
      <c r="E5529" t="s">
        <v>41</v>
      </c>
      <c r="F5529" t="s">
        <v>47</v>
      </c>
      <c r="G5529">
        <v>1.34</v>
      </c>
      <c r="H5529">
        <v>0</v>
      </c>
      <c r="I5529">
        <v>0.67</v>
      </c>
      <c r="J5529">
        <v>0.44890000000000002</v>
      </c>
      <c r="K5529" t="str">
        <f>IFERROR(INDEX(Rosters!$C$2:$C$155,MATCH($B5529,Rosters!$B$2:$B$155,0)),"NA")</f>
        <v>NA</v>
      </c>
      <c r="L5529" t="str">
        <f t="shared" si="258"/>
        <v>NA11RB</v>
      </c>
      <c r="M5529">
        <f>COUNTIF(L$1:L5529,L5529)</f>
        <v>42</v>
      </c>
      <c r="N5529" t="str">
        <f t="shared" si="259"/>
        <v>NA11RB-42</v>
      </c>
      <c r="O5529">
        <f>COUNTIFS(F$1:F5529,F5529,A$1:A5529,A5529)</f>
        <v>80</v>
      </c>
      <c r="P5529" t="str">
        <f t="shared" si="260"/>
        <v>J.D. McKissic11</v>
      </c>
    </row>
    <row r="5530" spans="1:16" x14ac:dyDescent="0.25">
      <c r="A5530">
        <v>14</v>
      </c>
      <c r="B5530" t="s">
        <v>1548</v>
      </c>
      <c r="C5530" t="s">
        <v>8877</v>
      </c>
      <c r="D5530">
        <v>0.67</v>
      </c>
      <c r="E5530" t="s">
        <v>54</v>
      </c>
      <c r="F5530" t="s">
        <v>114</v>
      </c>
      <c r="G5530">
        <v>1.28</v>
      </c>
      <c r="H5530">
        <v>0.06</v>
      </c>
      <c r="I5530">
        <v>0.61</v>
      </c>
      <c r="J5530">
        <v>0.37209999999999999</v>
      </c>
      <c r="K5530" t="str">
        <f>IFERROR(INDEX(Rosters!$C$2:$C$155,MATCH($B5530,Rosters!$B$2:$B$155,0)),"NA")</f>
        <v>NA</v>
      </c>
      <c r="L5530" t="str">
        <f t="shared" si="258"/>
        <v>NA14TE</v>
      </c>
      <c r="M5530">
        <f>COUNTIF(L$1:L5530,L5530)</f>
        <v>59</v>
      </c>
      <c r="N5530" t="str">
        <f t="shared" si="259"/>
        <v>NA14TE-59</v>
      </c>
      <c r="O5530">
        <f>COUNTIFS(F$1:F5530,F5530,A$1:A5530,A5530)</f>
        <v>73</v>
      </c>
      <c r="P5530" t="str">
        <f t="shared" si="260"/>
        <v>Jeremy Sprinkle14</v>
      </c>
    </row>
    <row r="5531" spans="1:16" x14ac:dyDescent="0.25">
      <c r="A5531">
        <v>15</v>
      </c>
      <c r="B5531" t="s">
        <v>335</v>
      </c>
      <c r="C5531" t="s">
        <v>340</v>
      </c>
      <c r="D5531">
        <v>0.67</v>
      </c>
      <c r="E5531" t="s">
        <v>52</v>
      </c>
      <c r="F5531" t="s">
        <v>87</v>
      </c>
      <c r="G5531">
        <v>1.27</v>
      </c>
      <c r="H5531">
        <v>7.0000000000000007E-2</v>
      </c>
      <c r="I5531">
        <v>0.6</v>
      </c>
      <c r="J5531">
        <v>0.36</v>
      </c>
      <c r="K5531" t="str">
        <f>IFERROR(INDEX(Rosters!$C$2:$C$155,MATCH($B5531,Rosters!$B$2:$B$155,0)),"NA")</f>
        <v>NA</v>
      </c>
      <c r="L5531" t="str">
        <f t="shared" si="258"/>
        <v>NA15WR</v>
      </c>
      <c r="M5531">
        <f>COUNTIF(L$1:L5531,L5531)</f>
        <v>86</v>
      </c>
      <c r="N5531" t="str">
        <f t="shared" si="259"/>
        <v>NA15WR-86</v>
      </c>
      <c r="O5531">
        <f>COUNTIFS(F$1:F5531,F5531,A$1:A5531,A5531)</f>
        <v>140</v>
      </c>
      <c r="P5531" t="str">
        <f t="shared" si="260"/>
        <v>Jordan Taylor15</v>
      </c>
    </row>
    <row r="5532" spans="1:16" x14ac:dyDescent="0.25">
      <c r="A5532">
        <v>14</v>
      </c>
      <c r="B5532" t="s">
        <v>4687</v>
      </c>
      <c r="C5532">
        <f>-0.11-1.45</f>
        <v>-1.56</v>
      </c>
      <c r="D5532">
        <v>0.67</v>
      </c>
      <c r="E5532" t="s">
        <v>22</v>
      </c>
      <c r="F5532" t="s">
        <v>47</v>
      </c>
      <c r="G5532">
        <v>1.45</v>
      </c>
      <c r="H5532">
        <v>-0.11</v>
      </c>
      <c r="I5532">
        <v>0.78</v>
      </c>
      <c r="J5532">
        <v>0.60840000000000005</v>
      </c>
      <c r="K5532" t="str">
        <f>IFERROR(INDEX(Rosters!$C$2:$C$155,MATCH($B5532,Rosters!$B$2:$B$155,0)),"NA")</f>
        <v>NA</v>
      </c>
      <c r="L5532" t="str">
        <f t="shared" si="258"/>
        <v>NA14RB</v>
      </c>
      <c r="M5532">
        <f>COUNTIF(L$1:L5532,L5532)</f>
        <v>53</v>
      </c>
      <c r="N5532" t="str">
        <f t="shared" si="259"/>
        <v>NA14RB-53</v>
      </c>
      <c r="O5532">
        <f>COUNTIFS(F$1:F5532,F5532,A$1:A5532,A5532)</f>
        <v>100</v>
      </c>
      <c r="P5532" t="str">
        <f t="shared" si="260"/>
        <v>Josh Adams14</v>
      </c>
    </row>
    <row r="5533" spans="1:16" x14ac:dyDescent="0.25">
      <c r="A5533">
        <v>4</v>
      </c>
      <c r="B5533" t="s">
        <v>253</v>
      </c>
      <c r="C5533" t="s">
        <v>340</v>
      </c>
      <c r="D5533">
        <v>0.67</v>
      </c>
      <c r="E5533" t="s">
        <v>31</v>
      </c>
      <c r="F5533" t="s">
        <v>87</v>
      </c>
      <c r="G5533">
        <v>1.27</v>
      </c>
      <c r="H5533">
        <v>7.0000000000000007E-2</v>
      </c>
      <c r="I5533">
        <v>0.6</v>
      </c>
      <c r="J5533">
        <v>0.36</v>
      </c>
      <c r="K5533" t="str">
        <f>IFERROR(INDEX(Rosters!$C$2:$C$155,MATCH($B5533,Rosters!$B$2:$B$155,0)),"NA")</f>
        <v>NA</v>
      </c>
      <c r="L5533" t="str">
        <f t="shared" si="258"/>
        <v>NA4WR</v>
      </c>
      <c r="M5533">
        <f>COUNTIF(L$1:L5533,L5533)</f>
        <v>65</v>
      </c>
      <c r="N5533" t="str">
        <f t="shared" si="259"/>
        <v>NA4WR-65</v>
      </c>
      <c r="O5533">
        <f>COUNTIFS(F$1:F5533,F5533,A$1:A5533,A5533)</f>
        <v>115</v>
      </c>
      <c r="P5533" t="str">
        <f t="shared" si="260"/>
        <v>Justin Hardy4</v>
      </c>
    </row>
    <row r="5534" spans="1:16" x14ac:dyDescent="0.25">
      <c r="A5534">
        <v>5</v>
      </c>
      <c r="B5534" t="s">
        <v>253</v>
      </c>
      <c r="C5534">
        <f>-0.38-1.72</f>
        <v>-2.1</v>
      </c>
      <c r="D5534">
        <v>0.67</v>
      </c>
      <c r="E5534" t="s">
        <v>51</v>
      </c>
      <c r="F5534" t="s">
        <v>87</v>
      </c>
      <c r="G5534">
        <v>1.72</v>
      </c>
      <c r="H5534">
        <v>-0.38</v>
      </c>
      <c r="I5534">
        <v>1.05</v>
      </c>
      <c r="J5534">
        <v>1.1025</v>
      </c>
      <c r="K5534" t="str">
        <f>IFERROR(INDEX(Rosters!$C$2:$C$155,MATCH($B5534,Rosters!$B$2:$B$155,0)),"NA")</f>
        <v>NA</v>
      </c>
      <c r="L5534" t="str">
        <f t="shared" si="258"/>
        <v>NA5WR</v>
      </c>
      <c r="M5534">
        <f>COUNTIF(L$1:L5534,L5534)</f>
        <v>85</v>
      </c>
      <c r="N5534" t="str">
        <f t="shared" si="259"/>
        <v>NA5WR-85</v>
      </c>
      <c r="O5534">
        <f>COUNTIFS(F$1:F5534,F5534,A$1:A5534,A5534)</f>
        <v>135</v>
      </c>
      <c r="P5534" t="str">
        <f t="shared" si="260"/>
        <v>Justin Hardy5</v>
      </c>
    </row>
    <row r="5535" spans="1:16" x14ac:dyDescent="0.25">
      <c r="A5535">
        <v>5</v>
      </c>
      <c r="B5535" t="s">
        <v>1473</v>
      </c>
      <c r="C5535" t="s">
        <v>8876</v>
      </c>
      <c r="D5535">
        <v>0.67</v>
      </c>
      <c r="E5535" t="s">
        <v>32</v>
      </c>
      <c r="F5535" t="s">
        <v>47</v>
      </c>
      <c r="G5535">
        <v>1.34</v>
      </c>
      <c r="H5535">
        <v>0</v>
      </c>
      <c r="I5535">
        <v>0.67</v>
      </c>
      <c r="J5535">
        <v>0.44890000000000002</v>
      </c>
      <c r="K5535" t="str">
        <f>IFERROR(INDEX(Rosters!$C$2:$C$155,MATCH($B5535,Rosters!$B$2:$B$155,0)),"NA")</f>
        <v>NA</v>
      </c>
      <c r="L5535" t="str">
        <f t="shared" si="258"/>
        <v>NA5RB</v>
      </c>
      <c r="M5535">
        <f>COUNTIF(L$1:L5535,L5535)</f>
        <v>48</v>
      </c>
      <c r="N5535" t="str">
        <f t="shared" si="259"/>
        <v>NA5RB-48</v>
      </c>
      <c r="O5535">
        <f>COUNTIFS(F$1:F5535,F5535,A$1:A5535,A5535)</f>
        <v>91</v>
      </c>
      <c r="P5535" t="str">
        <f t="shared" si="260"/>
        <v>Justin Jackson5</v>
      </c>
    </row>
    <row r="5536" spans="1:16" x14ac:dyDescent="0.25">
      <c r="A5536">
        <v>6</v>
      </c>
      <c r="B5536" t="s">
        <v>198</v>
      </c>
      <c r="C5536">
        <f>-0.15-1.49</f>
        <v>-1.64</v>
      </c>
      <c r="D5536">
        <v>0.67</v>
      </c>
      <c r="E5536" t="s">
        <v>19</v>
      </c>
      <c r="F5536" t="s">
        <v>87</v>
      </c>
      <c r="G5536">
        <v>1.49</v>
      </c>
      <c r="H5536">
        <v>-0.15</v>
      </c>
      <c r="I5536">
        <v>0.82</v>
      </c>
      <c r="J5536">
        <v>0.6724</v>
      </c>
      <c r="K5536" t="str">
        <f>IFERROR(INDEX(Rosters!$C$2:$C$155,MATCH($B5536,Rosters!$B$2:$B$155,0)),"NA")</f>
        <v>NA</v>
      </c>
      <c r="L5536" t="str">
        <f t="shared" si="258"/>
        <v>NA6WR</v>
      </c>
      <c r="M5536">
        <f>COUNTIF(L$1:L5536,L5536)</f>
        <v>81</v>
      </c>
      <c r="N5536" t="str">
        <f t="shared" si="259"/>
        <v>NA6WR-81</v>
      </c>
      <c r="O5536">
        <f>COUNTIFS(F$1:F5536,F5536,A$1:A5536,A5536)</f>
        <v>131</v>
      </c>
      <c r="P5536" t="str">
        <f t="shared" si="260"/>
        <v>Kevin White6</v>
      </c>
    </row>
    <row r="5537" spans="1:16" x14ac:dyDescent="0.25">
      <c r="A5537">
        <v>10</v>
      </c>
      <c r="B5537" t="s">
        <v>1583</v>
      </c>
      <c r="C5537">
        <f>-0.06-1.4</f>
        <v>-1.46</v>
      </c>
      <c r="D5537">
        <v>0.67</v>
      </c>
      <c r="E5537" t="s">
        <v>73</v>
      </c>
      <c r="F5537" t="s">
        <v>114</v>
      </c>
      <c r="G5537">
        <v>1.4</v>
      </c>
      <c r="H5537">
        <v>-0.06</v>
      </c>
      <c r="I5537">
        <v>0.73</v>
      </c>
      <c r="J5537">
        <v>0.53290000000000004</v>
      </c>
      <c r="K5537" t="str">
        <f>IFERROR(INDEX(Rosters!$C$2:$C$155,MATCH($B5537,Rosters!$B$2:$B$155,0)),"NA")</f>
        <v>NA</v>
      </c>
      <c r="L5537" t="str">
        <f t="shared" si="258"/>
        <v>NA10TE</v>
      </c>
      <c r="M5537">
        <f>COUNTIF(L$1:L5537,L5537)</f>
        <v>48</v>
      </c>
      <c r="N5537" t="str">
        <f t="shared" si="259"/>
        <v>NA10TE-48</v>
      </c>
      <c r="O5537">
        <f>COUNTIFS(F$1:F5537,F5537,A$1:A5537,A5537)</f>
        <v>61</v>
      </c>
      <c r="P5537" t="str">
        <f t="shared" si="260"/>
        <v>Logan Thomas10</v>
      </c>
    </row>
    <row r="5538" spans="1:16" x14ac:dyDescent="0.25">
      <c r="A5538">
        <v>14</v>
      </c>
      <c r="B5538" t="s">
        <v>1526</v>
      </c>
      <c r="C5538">
        <f>-0.03-1.37</f>
        <v>-1.4000000000000001</v>
      </c>
      <c r="D5538">
        <v>0.67</v>
      </c>
      <c r="E5538" t="s">
        <v>58</v>
      </c>
      <c r="F5538" t="s">
        <v>114</v>
      </c>
      <c r="G5538">
        <v>1.37</v>
      </c>
      <c r="H5538">
        <v>-0.03</v>
      </c>
      <c r="I5538">
        <v>0.7</v>
      </c>
      <c r="J5538">
        <v>0.49</v>
      </c>
      <c r="K5538" t="str">
        <f>IFERROR(INDEX(Rosters!$C$2:$C$155,MATCH($B5538,Rosters!$B$2:$B$155,0)),"NA")</f>
        <v>NA</v>
      </c>
      <c r="L5538" t="str">
        <f t="shared" si="258"/>
        <v>NA14TE</v>
      </c>
      <c r="M5538">
        <f>COUNTIF(L$1:L5538,L5538)</f>
        <v>60</v>
      </c>
      <c r="N5538" t="str">
        <f t="shared" si="259"/>
        <v>NA14TE-60</v>
      </c>
      <c r="O5538">
        <f>COUNTIFS(F$1:F5538,F5538,A$1:A5538,A5538)</f>
        <v>74</v>
      </c>
      <c r="P5538" t="str">
        <f t="shared" si="260"/>
        <v>Michael Roberts14</v>
      </c>
    </row>
    <row r="5539" spans="1:16" x14ac:dyDescent="0.25">
      <c r="A5539">
        <v>11</v>
      </c>
      <c r="B5539" t="s">
        <v>3036</v>
      </c>
      <c r="C5539">
        <f>-0.08-1.42</f>
        <v>-1.5</v>
      </c>
      <c r="D5539">
        <v>0.67</v>
      </c>
      <c r="E5539" t="s">
        <v>66</v>
      </c>
      <c r="F5539" t="s">
        <v>87</v>
      </c>
      <c r="G5539">
        <v>1.42</v>
      </c>
      <c r="H5539">
        <v>-0.08</v>
      </c>
      <c r="I5539">
        <v>0.75</v>
      </c>
      <c r="J5539">
        <v>0.5625</v>
      </c>
      <c r="K5539" t="str">
        <f>IFERROR(INDEX(Rosters!$C$2:$C$155,MATCH($B5539,Rosters!$B$2:$B$155,0)),"NA")</f>
        <v>NA</v>
      </c>
      <c r="L5539" t="str">
        <f t="shared" si="258"/>
        <v>NA11WR</v>
      </c>
      <c r="M5539">
        <f>COUNTIF(L$1:L5539,L5539)</f>
        <v>67</v>
      </c>
      <c r="N5539" t="str">
        <f t="shared" si="259"/>
        <v>NA11WR-67</v>
      </c>
      <c r="O5539">
        <f>COUNTIFS(F$1:F5539,F5539,A$1:A5539,A5539)</f>
        <v>114</v>
      </c>
      <c r="P5539" t="str">
        <f t="shared" si="260"/>
        <v>Nick Williams11</v>
      </c>
    </row>
    <row r="5540" spans="1:16" x14ac:dyDescent="0.25">
      <c r="A5540">
        <v>15</v>
      </c>
      <c r="B5540" t="s">
        <v>3036</v>
      </c>
      <c r="C5540">
        <f>-0.07-1.41</f>
        <v>-1.48</v>
      </c>
      <c r="D5540">
        <v>0.67</v>
      </c>
      <c r="E5540" t="s">
        <v>54</v>
      </c>
      <c r="F5540" t="s">
        <v>87</v>
      </c>
      <c r="G5540">
        <v>1.41</v>
      </c>
      <c r="H5540">
        <v>-7.0000000000000007E-2</v>
      </c>
      <c r="I5540">
        <v>0.74</v>
      </c>
      <c r="J5540">
        <v>0.54759999999999998</v>
      </c>
      <c r="K5540" t="str">
        <f>IFERROR(INDEX(Rosters!$C$2:$C$155,MATCH($B5540,Rosters!$B$2:$B$155,0)),"NA")</f>
        <v>NA</v>
      </c>
      <c r="L5540" t="str">
        <f t="shared" si="258"/>
        <v>NA15WR</v>
      </c>
      <c r="M5540">
        <f>COUNTIF(L$1:L5540,L5540)</f>
        <v>87</v>
      </c>
      <c r="N5540" t="str">
        <f t="shared" si="259"/>
        <v>NA15WR-87</v>
      </c>
      <c r="O5540">
        <f>COUNTIFS(F$1:F5540,F5540,A$1:A5540,A5540)</f>
        <v>141</v>
      </c>
      <c r="P5540" t="str">
        <f t="shared" si="260"/>
        <v>Nick Williams15</v>
      </c>
    </row>
    <row r="5541" spans="1:16" x14ac:dyDescent="0.25">
      <c r="A5541">
        <v>3</v>
      </c>
      <c r="B5541" t="s">
        <v>2968</v>
      </c>
      <c r="C5541" t="s">
        <v>3840</v>
      </c>
      <c r="D5541">
        <v>0.67</v>
      </c>
      <c r="E5541" t="s">
        <v>73</v>
      </c>
      <c r="F5541" t="s">
        <v>114</v>
      </c>
      <c r="G5541">
        <v>1.2</v>
      </c>
      <c r="H5541">
        <v>0.14000000000000001</v>
      </c>
      <c r="I5541">
        <v>0.53</v>
      </c>
      <c r="J5541">
        <v>0.28089999999999998</v>
      </c>
      <c r="K5541" t="str">
        <f>IFERROR(INDEX(Rosters!$C$2:$C$155,MATCH($B5541,Rosters!$B$2:$B$155,0)),"NA")</f>
        <v>NA</v>
      </c>
      <c r="L5541" t="str">
        <f t="shared" si="258"/>
        <v>NA3TE</v>
      </c>
      <c r="M5541">
        <f>COUNTIF(L$1:L5541,L5541)</f>
        <v>52</v>
      </c>
      <c r="N5541" t="str">
        <f t="shared" si="259"/>
        <v>NA3TE-52</v>
      </c>
      <c r="O5541">
        <f>COUNTIFS(F$1:F5541,F5541,A$1:A5541,A5541)</f>
        <v>65</v>
      </c>
      <c r="P5541" t="str">
        <f t="shared" si="260"/>
        <v>Orson Charles3</v>
      </c>
    </row>
    <row r="5542" spans="1:16" x14ac:dyDescent="0.25">
      <c r="A5542">
        <v>6</v>
      </c>
      <c r="B5542" t="s">
        <v>328</v>
      </c>
      <c r="C5542">
        <f>-0.25-1.59</f>
        <v>-1.84</v>
      </c>
      <c r="D5542">
        <v>0.67</v>
      </c>
      <c r="E5542" t="s">
        <v>36</v>
      </c>
      <c r="F5542" t="s">
        <v>47</v>
      </c>
      <c r="G5542">
        <v>1.59</v>
      </c>
      <c r="H5542">
        <v>-0.25</v>
      </c>
      <c r="I5542">
        <v>0.92</v>
      </c>
      <c r="J5542">
        <v>0.84640000000000004</v>
      </c>
      <c r="K5542" t="str">
        <f>IFERROR(INDEX(Rosters!$C$2:$C$155,MATCH($B5542,Rosters!$B$2:$B$155,0)),"NA")</f>
        <v>NA</v>
      </c>
      <c r="L5542" t="str">
        <f t="shared" si="258"/>
        <v>NA6RB</v>
      </c>
      <c r="M5542">
        <f>COUNTIF(L$1:L5542,L5542)</f>
        <v>43</v>
      </c>
      <c r="N5542" t="str">
        <f t="shared" si="259"/>
        <v>NA6RB-43</v>
      </c>
      <c r="O5542">
        <f>COUNTIFS(F$1:F5542,F5542,A$1:A5542,A5542)</f>
        <v>85</v>
      </c>
      <c r="P5542" t="str">
        <f t="shared" si="260"/>
        <v>Patrick DiMarco6</v>
      </c>
    </row>
    <row r="5543" spans="1:16" x14ac:dyDescent="0.25">
      <c r="A5543">
        <v>10</v>
      </c>
      <c r="B5543" t="s">
        <v>8786</v>
      </c>
      <c r="C5543">
        <f>-0.17-1.51</f>
        <v>-1.68</v>
      </c>
      <c r="D5543">
        <v>0.67</v>
      </c>
      <c r="E5543" t="s">
        <v>66</v>
      </c>
      <c r="F5543" t="s">
        <v>87</v>
      </c>
      <c r="G5543">
        <v>1.51</v>
      </c>
      <c r="H5543">
        <v>-0.17</v>
      </c>
      <c r="I5543">
        <v>0.84</v>
      </c>
      <c r="J5543">
        <v>0.7056</v>
      </c>
      <c r="K5543" t="str">
        <f>IFERROR(INDEX(Rosters!$C$2:$C$155,MATCH($B5543,Rosters!$B$2:$B$155,0)),"NA")</f>
        <v>NA</v>
      </c>
      <c r="L5543" t="str">
        <f t="shared" si="258"/>
        <v>NA10WR</v>
      </c>
      <c r="M5543">
        <f>COUNTIF(L$1:L5543,L5543)</f>
        <v>77</v>
      </c>
      <c r="N5543" t="str">
        <f t="shared" si="259"/>
        <v>NA10WR-77</v>
      </c>
      <c r="O5543">
        <f>COUNTIFS(F$1:F5543,F5543,A$1:A5543,A5543)</f>
        <v>122</v>
      </c>
      <c r="P5543" t="str">
        <f t="shared" si="260"/>
        <v>Rashad Greene10</v>
      </c>
    </row>
    <row r="5544" spans="1:16" x14ac:dyDescent="0.25">
      <c r="A5544">
        <v>14</v>
      </c>
      <c r="B5544" t="s">
        <v>8786</v>
      </c>
      <c r="C5544">
        <f>-0.17-1.51</f>
        <v>-1.68</v>
      </c>
      <c r="D5544">
        <v>0.67</v>
      </c>
      <c r="E5544" t="s">
        <v>38</v>
      </c>
      <c r="F5544" t="s">
        <v>87</v>
      </c>
      <c r="G5544">
        <v>1.51</v>
      </c>
      <c r="H5544">
        <v>-0.17</v>
      </c>
      <c r="I5544">
        <v>0.84</v>
      </c>
      <c r="J5544">
        <v>0.7056</v>
      </c>
      <c r="K5544" t="str">
        <f>IFERROR(INDEX(Rosters!$C$2:$C$155,MATCH($B5544,Rosters!$B$2:$B$155,0)),"NA")</f>
        <v>NA</v>
      </c>
      <c r="L5544" t="str">
        <f t="shared" si="258"/>
        <v>NA14WR</v>
      </c>
      <c r="M5544">
        <f>COUNTIF(L$1:L5544,L5544)</f>
        <v>83</v>
      </c>
      <c r="N5544" t="str">
        <f t="shared" si="259"/>
        <v>NA14WR-83</v>
      </c>
      <c r="O5544">
        <f>COUNTIFS(F$1:F5544,F5544,A$1:A5544,A5544)</f>
        <v>137</v>
      </c>
      <c r="P5544" t="str">
        <f t="shared" si="260"/>
        <v>Rashad Greene14</v>
      </c>
    </row>
    <row r="5545" spans="1:16" x14ac:dyDescent="0.25">
      <c r="A5545">
        <v>9</v>
      </c>
      <c r="B5545" t="s">
        <v>3845</v>
      </c>
      <c r="C5545" t="s">
        <v>1573</v>
      </c>
      <c r="D5545">
        <v>0.67</v>
      </c>
      <c r="E5545" t="s">
        <v>24</v>
      </c>
      <c r="F5545" t="s">
        <v>87</v>
      </c>
      <c r="G5545">
        <v>1.33</v>
      </c>
      <c r="H5545">
        <v>0.01</v>
      </c>
      <c r="I5545">
        <v>0.66</v>
      </c>
      <c r="J5545">
        <v>0.43559999999999999</v>
      </c>
      <c r="K5545" t="str">
        <f>IFERROR(INDEX(Rosters!$C$2:$C$155,MATCH($B5545,Rosters!$B$2:$B$155,0)),"NA")</f>
        <v>NA</v>
      </c>
      <c r="L5545" t="str">
        <f t="shared" si="258"/>
        <v>NA9WR</v>
      </c>
      <c r="M5545">
        <f>COUNTIF(L$1:L5545,L5545)</f>
        <v>75</v>
      </c>
      <c r="N5545" t="str">
        <f t="shared" si="259"/>
        <v>NA9WR-75</v>
      </c>
      <c r="O5545">
        <f>COUNTIFS(F$1:F5545,F5545,A$1:A5545,A5545)</f>
        <v>119</v>
      </c>
      <c r="P5545" t="str">
        <f t="shared" si="260"/>
        <v>Rod Streater9</v>
      </c>
    </row>
    <row r="5546" spans="1:16" x14ac:dyDescent="0.25">
      <c r="A5546">
        <v>5</v>
      </c>
      <c r="B5546" t="s">
        <v>332</v>
      </c>
      <c r="C5546">
        <f>-0.22-1.56</f>
        <v>-1.78</v>
      </c>
      <c r="D5546">
        <v>0.67</v>
      </c>
      <c r="E5546" t="s">
        <v>31</v>
      </c>
      <c r="F5546" t="s">
        <v>47</v>
      </c>
      <c r="G5546">
        <v>1.56</v>
      </c>
      <c r="H5546">
        <v>-0.22</v>
      </c>
      <c r="I5546">
        <v>0.89</v>
      </c>
      <c r="J5546">
        <v>0.79210000000000003</v>
      </c>
      <c r="K5546" t="str">
        <f>IFERROR(INDEX(Rosters!$C$2:$C$155,MATCH($B5546,Rosters!$B$2:$B$155,0)),"NA")</f>
        <v>NA</v>
      </c>
      <c r="L5546" t="str">
        <f t="shared" si="258"/>
        <v>NA5RB</v>
      </c>
      <c r="M5546">
        <f>COUNTIF(L$1:L5546,L5546)</f>
        <v>49</v>
      </c>
      <c r="N5546" t="str">
        <f t="shared" si="259"/>
        <v>NA5RB-49</v>
      </c>
      <c r="O5546">
        <f>COUNTIFS(F$1:F5546,F5546,A$1:A5546,A5546)</f>
        <v>92</v>
      </c>
      <c r="P5546" t="str">
        <f t="shared" si="260"/>
        <v>Senorise Perry5</v>
      </c>
    </row>
    <row r="5547" spans="1:16" x14ac:dyDescent="0.25">
      <c r="A5547">
        <v>5</v>
      </c>
      <c r="B5547" t="s">
        <v>2792</v>
      </c>
      <c r="C5547">
        <f>-0.16-1.5</f>
        <v>-1.66</v>
      </c>
      <c r="D5547">
        <v>0.67</v>
      </c>
      <c r="E5547" t="s">
        <v>19</v>
      </c>
      <c r="F5547" t="s">
        <v>47</v>
      </c>
      <c r="G5547">
        <v>1.5</v>
      </c>
      <c r="H5547">
        <v>-0.16</v>
      </c>
      <c r="I5547">
        <v>0.83</v>
      </c>
      <c r="J5547">
        <v>0.68889999999999996</v>
      </c>
      <c r="K5547" t="str">
        <f>IFERROR(INDEX(Rosters!$C$2:$C$155,MATCH($B5547,Rosters!$B$2:$B$155,0)),"NA")</f>
        <v>NA</v>
      </c>
      <c r="L5547" t="str">
        <f t="shared" si="258"/>
        <v>NA5RB</v>
      </c>
      <c r="M5547">
        <f>COUNTIF(L$1:L5547,L5547)</f>
        <v>50</v>
      </c>
      <c r="N5547" t="str">
        <f t="shared" si="259"/>
        <v>NA5RB-50</v>
      </c>
      <c r="O5547">
        <f>COUNTIFS(F$1:F5547,F5547,A$1:A5547,A5547)</f>
        <v>93</v>
      </c>
      <c r="P5547" t="str">
        <f t="shared" si="260"/>
        <v>Thomas Rawls5</v>
      </c>
    </row>
    <row r="5548" spans="1:16" x14ac:dyDescent="0.25">
      <c r="A5548">
        <v>14</v>
      </c>
      <c r="B5548" t="s">
        <v>324</v>
      </c>
      <c r="C5548" t="s">
        <v>8878</v>
      </c>
      <c r="D5548">
        <v>0.66</v>
      </c>
      <c r="E5548" t="s">
        <v>51</v>
      </c>
      <c r="F5548" t="s">
        <v>15</v>
      </c>
      <c r="G5548">
        <v>1.2</v>
      </c>
      <c r="H5548">
        <v>0.12</v>
      </c>
      <c r="I5548">
        <v>0.54</v>
      </c>
      <c r="J5548">
        <v>0.29160000000000003</v>
      </c>
      <c r="K5548" t="str">
        <f>IFERROR(INDEX(Rosters!$C$2:$C$155,MATCH($B5548,Rosters!$B$2:$B$155,0)),"NA")</f>
        <v>NA</v>
      </c>
      <c r="L5548" t="str">
        <f t="shared" si="258"/>
        <v>NA14QB</v>
      </c>
      <c r="M5548">
        <f>COUNTIF(L$1:L5548,L5548)</f>
        <v>36</v>
      </c>
      <c r="N5548" t="str">
        <f t="shared" si="259"/>
        <v>NA14QB-36</v>
      </c>
      <c r="O5548">
        <f>COUNTIFS(F$1:F5548,F5548,A$1:A5548,A5548)</f>
        <v>53</v>
      </c>
      <c r="P5548" t="str">
        <f t="shared" si="260"/>
        <v>A.J. McCarron14</v>
      </c>
    </row>
    <row r="5549" spans="1:16" x14ac:dyDescent="0.25">
      <c r="A5549">
        <v>8</v>
      </c>
      <c r="B5549" t="s">
        <v>1614</v>
      </c>
      <c r="C5549" t="s">
        <v>3842</v>
      </c>
      <c r="D5549">
        <v>0.66</v>
      </c>
      <c r="E5549" t="s">
        <v>42</v>
      </c>
      <c r="F5549" t="s">
        <v>114</v>
      </c>
      <c r="G5549">
        <v>1.28</v>
      </c>
      <c r="H5549">
        <v>0.04</v>
      </c>
      <c r="I5549">
        <v>0.62</v>
      </c>
      <c r="J5549">
        <v>0.38440000000000002</v>
      </c>
      <c r="K5549" t="str">
        <f>IFERROR(INDEX(Rosters!$C$2:$C$155,MATCH($B5549,Rosters!$B$2:$B$155,0)),"NA")</f>
        <v>NA</v>
      </c>
      <c r="L5549" t="str">
        <f t="shared" si="258"/>
        <v>NA8TE</v>
      </c>
      <c r="M5549">
        <f>COUNTIF(L$1:L5549,L5549)</f>
        <v>51</v>
      </c>
      <c r="N5549" t="str">
        <f t="shared" si="259"/>
        <v>NA8TE-51</v>
      </c>
      <c r="O5549">
        <f>COUNTIFS(F$1:F5549,F5549,A$1:A5549,A5549)</f>
        <v>63</v>
      </c>
      <c r="P5549" t="str">
        <f t="shared" si="260"/>
        <v>Alex Ellis8</v>
      </c>
    </row>
    <row r="5550" spans="1:16" x14ac:dyDescent="0.25">
      <c r="A5550">
        <v>16</v>
      </c>
      <c r="B5550" t="s">
        <v>1572</v>
      </c>
      <c r="C5550" t="s">
        <v>8879</v>
      </c>
      <c r="D5550">
        <v>0.66</v>
      </c>
      <c r="E5550" t="s">
        <v>25</v>
      </c>
      <c r="F5550" t="s">
        <v>87</v>
      </c>
      <c r="G5550">
        <v>1.24</v>
      </c>
      <c r="H5550">
        <v>0.08</v>
      </c>
      <c r="I5550">
        <v>0.57999999999999996</v>
      </c>
      <c r="J5550">
        <v>0.33639999999999998</v>
      </c>
      <c r="K5550" t="str">
        <f>IFERROR(INDEX(Rosters!$C$2:$C$155,MATCH($B5550,Rosters!$B$2:$B$155,0)),"NA")</f>
        <v>NA</v>
      </c>
      <c r="L5550" t="str">
        <f t="shared" si="258"/>
        <v>NA16WR</v>
      </c>
      <c r="M5550">
        <f>COUNTIF(L$1:L5550,L5550)</f>
        <v>82</v>
      </c>
      <c r="N5550" t="str">
        <f t="shared" si="259"/>
        <v>NA16WR-82</v>
      </c>
      <c r="O5550">
        <f>COUNTIFS(F$1:F5550,F5550,A$1:A5550,A5550)</f>
        <v>136</v>
      </c>
      <c r="P5550" t="str">
        <f t="shared" si="260"/>
        <v>Andy Jones16</v>
      </c>
    </row>
    <row r="5551" spans="1:16" x14ac:dyDescent="0.25">
      <c r="A5551">
        <v>3</v>
      </c>
      <c r="B5551" t="s">
        <v>1542</v>
      </c>
      <c r="C5551" t="s">
        <v>3841</v>
      </c>
      <c r="D5551">
        <v>0.66</v>
      </c>
      <c r="E5551" t="s">
        <v>51</v>
      </c>
      <c r="F5551" t="s">
        <v>114</v>
      </c>
      <c r="G5551">
        <v>1.3</v>
      </c>
      <c r="H5551">
        <v>0.02</v>
      </c>
      <c r="I5551">
        <v>0.64</v>
      </c>
      <c r="J5551">
        <v>0.40960000000000002</v>
      </c>
      <c r="K5551" t="str">
        <f>IFERROR(INDEX(Rosters!$C$2:$C$155,MATCH($B5551,Rosters!$B$2:$B$155,0)),"NA")</f>
        <v>NA</v>
      </c>
      <c r="L5551" t="str">
        <f t="shared" si="258"/>
        <v>NA3TE</v>
      </c>
      <c r="M5551">
        <f>COUNTIF(L$1:L5551,L5551)</f>
        <v>53</v>
      </c>
      <c r="N5551" t="str">
        <f t="shared" si="259"/>
        <v>NA3TE-53</v>
      </c>
      <c r="O5551">
        <f>COUNTIFS(F$1:F5551,F5551,A$1:A5551,A5551)</f>
        <v>66</v>
      </c>
      <c r="P5551" t="str">
        <f t="shared" si="260"/>
        <v>Antony Auclair3</v>
      </c>
    </row>
    <row r="5552" spans="1:16" x14ac:dyDescent="0.25">
      <c r="A5552">
        <v>2</v>
      </c>
      <c r="B5552" t="s">
        <v>3569</v>
      </c>
      <c r="C5552">
        <f>-0.01-1.33</f>
        <v>-1.34</v>
      </c>
      <c r="D5552">
        <v>0.66</v>
      </c>
      <c r="E5552" t="s">
        <v>423</v>
      </c>
      <c r="F5552" t="s">
        <v>47</v>
      </c>
      <c r="G5552">
        <v>1.33</v>
      </c>
      <c r="H5552">
        <v>-0.01</v>
      </c>
      <c r="I5552">
        <v>0.67</v>
      </c>
      <c r="J5552">
        <v>0.44890000000000002</v>
      </c>
      <c r="K5552" t="str">
        <f>IFERROR(INDEX(Rosters!$C$2:$C$155,MATCH($B5552,Rosters!$B$2:$B$155,0)),"NA")</f>
        <v>NA</v>
      </c>
      <c r="L5552" t="str">
        <f t="shared" si="258"/>
        <v>NA2RB</v>
      </c>
      <c r="M5552">
        <f>COUNTIF(L$1:L5552,L5552)</f>
        <v>39</v>
      </c>
      <c r="N5552" t="str">
        <f t="shared" si="259"/>
        <v>NA2RB-39</v>
      </c>
      <c r="O5552">
        <f>COUNTIFS(F$1:F5552,F5552,A$1:A5552,A5552)</f>
        <v>81</v>
      </c>
      <c r="P5552" t="str">
        <f t="shared" si="260"/>
        <v>Brandon Wilds2</v>
      </c>
    </row>
    <row r="5553" spans="1:16" x14ac:dyDescent="0.25">
      <c r="A5553">
        <v>17</v>
      </c>
      <c r="B5553" t="s">
        <v>1126</v>
      </c>
      <c r="C5553">
        <f>-0.01-1.33</f>
        <v>-1.34</v>
      </c>
      <c r="D5553">
        <v>0.66</v>
      </c>
      <c r="E5553" t="s">
        <v>423</v>
      </c>
      <c r="F5553" t="s">
        <v>87</v>
      </c>
      <c r="G5553">
        <v>1.33</v>
      </c>
      <c r="H5553">
        <v>-0.01</v>
      </c>
      <c r="I5553">
        <v>0.67</v>
      </c>
      <c r="J5553">
        <v>0.44890000000000002</v>
      </c>
      <c r="K5553" t="str">
        <f>IFERROR(INDEX(Rosters!$C$2:$C$155,MATCH($B5553,Rosters!$B$2:$B$155,0)),"NA")</f>
        <v>NA</v>
      </c>
      <c r="L5553" t="str">
        <f t="shared" si="258"/>
        <v>NA17WR</v>
      </c>
      <c r="M5553">
        <f>COUNTIF(L$1:L5553,L5553)</f>
        <v>85</v>
      </c>
      <c r="N5553" t="str">
        <f t="shared" si="259"/>
        <v>NA17WR-85</v>
      </c>
      <c r="O5553">
        <f>COUNTIFS(F$1:F5553,F5553,A$1:A5553,A5553)</f>
        <v>139</v>
      </c>
      <c r="P5553" t="str">
        <f t="shared" si="260"/>
        <v>Charone Peake17</v>
      </c>
    </row>
    <row r="5554" spans="1:16" x14ac:dyDescent="0.25">
      <c r="A5554">
        <v>5</v>
      </c>
      <c r="B5554" t="s">
        <v>357</v>
      </c>
      <c r="C5554">
        <f>-0.1-1.42</f>
        <v>-1.52</v>
      </c>
      <c r="D5554">
        <v>0.66</v>
      </c>
      <c r="E5554" t="s">
        <v>52</v>
      </c>
      <c r="F5554" t="s">
        <v>87</v>
      </c>
      <c r="G5554">
        <v>1.42</v>
      </c>
      <c r="H5554">
        <v>-0.1</v>
      </c>
      <c r="I5554">
        <v>0.76</v>
      </c>
      <c r="J5554">
        <v>0.5776</v>
      </c>
      <c r="K5554" t="str">
        <f>IFERROR(INDEX(Rosters!$C$2:$C$155,MATCH($B5554,Rosters!$B$2:$B$155,0)),"NA")</f>
        <v>NA</v>
      </c>
      <c r="L5554" t="str">
        <f t="shared" si="258"/>
        <v>NA5WR</v>
      </c>
      <c r="M5554">
        <f>COUNTIF(L$1:L5554,L5554)</f>
        <v>86</v>
      </c>
      <c r="N5554" t="str">
        <f t="shared" si="259"/>
        <v>NA5WR-86</v>
      </c>
      <c r="O5554">
        <f>COUNTIFS(F$1:F5554,F5554,A$1:A5554,A5554)</f>
        <v>136</v>
      </c>
      <c r="P5554" t="str">
        <f t="shared" si="260"/>
        <v>Chris Moore5</v>
      </c>
    </row>
    <row r="5555" spans="1:16" x14ac:dyDescent="0.25">
      <c r="A5555">
        <v>6</v>
      </c>
      <c r="B5555" t="s">
        <v>357</v>
      </c>
      <c r="C5555">
        <f>-0.14-1.46</f>
        <v>-1.6</v>
      </c>
      <c r="D5555">
        <v>0.66</v>
      </c>
      <c r="E5555" t="s">
        <v>38</v>
      </c>
      <c r="F5555" t="s">
        <v>87</v>
      </c>
      <c r="G5555">
        <v>1.46</v>
      </c>
      <c r="H5555">
        <v>-0.14000000000000001</v>
      </c>
      <c r="I5555">
        <v>0.8</v>
      </c>
      <c r="J5555">
        <v>0.64</v>
      </c>
      <c r="K5555" t="str">
        <f>IFERROR(INDEX(Rosters!$C$2:$C$155,MATCH($B5555,Rosters!$B$2:$B$155,0)),"NA")</f>
        <v>NA</v>
      </c>
      <c r="L5555" t="str">
        <f t="shared" si="258"/>
        <v>NA6WR</v>
      </c>
      <c r="M5555">
        <f>COUNTIF(L$1:L5555,L5555)</f>
        <v>82</v>
      </c>
      <c r="N5555" t="str">
        <f t="shared" si="259"/>
        <v>NA6WR-82</v>
      </c>
      <c r="O5555">
        <f>COUNTIFS(F$1:F5555,F5555,A$1:A5555,A5555)</f>
        <v>132</v>
      </c>
      <c r="P5555" t="str">
        <f t="shared" si="260"/>
        <v>Chris Moore6</v>
      </c>
    </row>
    <row r="5556" spans="1:16" x14ac:dyDescent="0.25">
      <c r="A5556">
        <v>6</v>
      </c>
      <c r="B5556" t="s">
        <v>1503</v>
      </c>
      <c r="C5556">
        <f>-0.15-1.47</f>
        <v>-1.6199999999999999</v>
      </c>
      <c r="D5556">
        <v>0.66</v>
      </c>
      <c r="E5556" t="s">
        <v>22</v>
      </c>
      <c r="F5556" t="s">
        <v>87</v>
      </c>
      <c r="G5556">
        <v>1.47</v>
      </c>
      <c r="H5556">
        <v>-0.15</v>
      </c>
      <c r="I5556">
        <v>0.81</v>
      </c>
      <c r="J5556">
        <v>0.65610000000000002</v>
      </c>
      <c r="K5556" t="str">
        <f>IFERROR(INDEX(Rosters!$C$2:$C$155,MATCH($B5556,Rosters!$B$2:$B$155,0)),"NA")</f>
        <v>NA</v>
      </c>
      <c r="L5556" t="str">
        <f t="shared" si="258"/>
        <v>NA6WR</v>
      </c>
      <c r="M5556">
        <f>COUNTIF(L$1:L5556,L5556)</f>
        <v>83</v>
      </c>
      <c r="N5556" t="str">
        <f t="shared" si="259"/>
        <v>NA6WR-83</v>
      </c>
      <c r="O5556">
        <f>COUNTIFS(F$1:F5556,F5556,A$1:A5556,A5556)</f>
        <v>133</v>
      </c>
      <c r="P5556" t="str">
        <f t="shared" si="260"/>
        <v>D.J. Chark6</v>
      </c>
    </row>
    <row r="5557" spans="1:16" x14ac:dyDescent="0.25">
      <c r="A5557">
        <v>16</v>
      </c>
      <c r="B5557" t="s">
        <v>4729</v>
      </c>
      <c r="C5557">
        <f>-0.14-1.46</f>
        <v>-1.6</v>
      </c>
      <c r="D5557">
        <v>0.66</v>
      </c>
      <c r="E5557" t="s">
        <v>32</v>
      </c>
      <c r="F5557" t="s">
        <v>87</v>
      </c>
      <c r="G5557">
        <v>1.46</v>
      </c>
      <c r="H5557">
        <v>-0.14000000000000001</v>
      </c>
      <c r="I5557">
        <v>0.8</v>
      </c>
      <c r="J5557">
        <v>0.64</v>
      </c>
      <c r="K5557" t="str">
        <f>IFERROR(INDEX(Rosters!$C$2:$C$155,MATCH($B5557,Rosters!$B$2:$B$155,0)),"NA")</f>
        <v>NA</v>
      </c>
      <c r="L5557" t="str">
        <f t="shared" si="258"/>
        <v>NA16WR</v>
      </c>
      <c r="M5557">
        <f>COUNTIF(L$1:L5557,L5557)</f>
        <v>83</v>
      </c>
      <c r="N5557" t="str">
        <f t="shared" si="259"/>
        <v>NA16WR-83</v>
      </c>
      <c r="O5557">
        <f>COUNTIFS(F$1:F5557,F5557,A$1:A5557,A5557)</f>
        <v>137</v>
      </c>
      <c r="P5557" t="str">
        <f t="shared" si="260"/>
        <v>DaeSean Hamilton16</v>
      </c>
    </row>
    <row r="5558" spans="1:16" x14ac:dyDescent="0.25">
      <c r="A5558">
        <v>9</v>
      </c>
      <c r="B5558" t="s">
        <v>361</v>
      </c>
      <c r="C5558">
        <f>-0.07-1.39</f>
        <v>-1.46</v>
      </c>
      <c r="D5558">
        <v>0.66</v>
      </c>
      <c r="E5558" t="s">
        <v>52</v>
      </c>
      <c r="F5558" t="s">
        <v>87</v>
      </c>
      <c r="G5558">
        <v>1.39</v>
      </c>
      <c r="H5558">
        <v>-7.0000000000000007E-2</v>
      </c>
      <c r="I5558">
        <v>0.73</v>
      </c>
      <c r="J5558">
        <v>0.53290000000000004</v>
      </c>
      <c r="K5558" t="str">
        <f>IFERROR(INDEX(Rosters!$C$2:$C$155,MATCH($B5558,Rosters!$B$2:$B$155,0)),"NA")</f>
        <v>NA</v>
      </c>
      <c r="L5558" t="str">
        <f t="shared" si="258"/>
        <v>NA9WR</v>
      </c>
      <c r="M5558">
        <f>COUNTIF(L$1:L5558,L5558)</f>
        <v>76</v>
      </c>
      <c r="N5558" t="str">
        <f t="shared" si="259"/>
        <v>NA9WR-76</v>
      </c>
      <c r="O5558">
        <f>COUNTIFS(F$1:F5558,F5558,A$1:A5558,A5558)</f>
        <v>120</v>
      </c>
      <c r="P5558" t="str">
        <f t="shared" si="260"/>
        <v>De'Anthony Thomas9</v>
      </c>
    </row>
    <row r="5559" spans="1:16" x14ac:dyDescent="0.25">
      <c r="A5559">
        <v>8</v>
      </c>
      <c r="B5559" t="s">
        <v>218</v>
      </c>
      <c r="C5559" t="s">
        <v>8879</v>
      </c>
      <c r="D5559">
        <v>0.66</v>
      </c>
      <c r="E5559" t="s">
        <v>66</v>
      </c>
      <c r="F5559" t="s">
        <v>47</v>
      </c>
      <c r="G5559">
        <v>1.24</v>
      </c>
      <c r="H5559">
        <v>0.08</v>
      </c>
      <c r="I5559">
        <v>0.57999999999999996</v>
      </c>
      <c r="J5559">
        <v>0.33639999999999998</v>
      </c>
      <c r="K5559" t="str">
        <f>IFERROR(INDEX(Rosters!$C$2:$C$155,MATCH($B5559,Rosters!$B$2:$B$155,0)),"NA")</f>
        <v>NA</v>
      </c>
      <c r="L5559" t="str">
        <f t="shared" si="258"/>
        <v>NA8RB</v>
      </c>
      <c r="M5559">
        <f>COUNTIF(L$1:L5559,L5559)</f>
        <v>48</v>
      </c>
      <c r="N5559" t="str">
        <f t="shared" si="259"/>
        <v>NA8RB-48</v>
      </c>
      <c r="O5559">
        <f>COUNTIFS(F$1:F5559,F5559,A$1:A5559,A5559)</f>
        <v>88</v>
      </c>
      <c r="P5559" t="str">
        <f t="shared" si="260"/>
        <v>DeAndre Washington8</v>
      </c>
    </row>
    <row r="5560" spans="1:16" x14ac:dyDescent="0.25">
      <c r="A5560">
        <v>5</v>
      </c>
      <c r="B5560" t="s">
        <v>2765</v>
      </c>
      <c r="C5560">
        <f>-0.01-1.33</f>
        <v>-1.34</v>
      </c>
      <c r="D5560">
        <v>0.66</v>
      </c>
      <c r="E5560" t="s">
        <v>74</v>
      </c>
      <c r="F5560" t="s">
        <v>47</v>
      </c>
      <c r="G5560">
        <v>1.33</v>
      </c>
      <c r="H5560">
        <v>-0.01</v>
      </c>
      <c r="I5560">
        <v>0.67</v>
      </c>
      <c r="J5560">
        <v>0.44890000000000002</v>
      </c>
      <c r="K5560" t="str">
        <f>IFERROR(INDEX(Rosters!$C$2:$C$155,MATCH($B5560,Rosters!$B$2:$B$155,0)),"NA")</f>
        <v>NA</v>
      </c>
      <c r="L5560" t="str">
        <f t="shared" si="258"/>
        <v>NA5RB</v>
      </c>
      <c r="M5560">
        <f>COUNTIF(L$1:L5560,L5560)</f>
        <v>51</v>
      </c>
      <c r="N5560" t="str">
        <f t="shared" si="259"/>
        <v>NA5RB-51</v>
      </c>
      <c r="O5560">
        <f>COUNTIFS(F$1:F5560,F5560,A$1:A5560,A5560)</f>
        <v>94</v>
      </c>
      <c r="P5560" t="str">
        <f t="shared" si="260"/>
        <v>Elijhaa Penny5</v>
      </c>
    </row>
    <row r="5561" spans="1:16" x14ac:dyDescent="0.25">
      <c r="A5561">
        <v>11</v>
      </c>
      <c r="B5561" t="s">
        <v>2765</v>
      </c>
      <c r="C5561" t="s">
        <v>8880</v>
      </c>
      <c r="D5561">
        <v>0.66</v>
      </c>
      <c r="E5561" t="s">
        <v>17</v>
      </c>
      <c r="F5561" t="s">
        <v>47</v>
      </c>
      <c r="G5561">
        <v>1.23</v>
      </c>
      <c r="H5561">
        <v>0.09</v>
      </c>
      <c r="I5561">
        <v>0.56999999999999995</v>
      </c>
      <c r="J5561">
        <v>0.32490000000000002</v>
      </c>
      <c r="K5561" t="str">
        <f>IFERROR(INDEX(Rosters!$C$2:$C$155,MATCH($B5561,Rosters!$B$2:$B$155,0)),"NA")</f>
        <v>NA</v>
      </c>
      <c r="L5561" t="str">
        <f t="shared" si="258"/>
        <v>NA11RB</v>
      </c>
      <c r="M5561">
        <f>COUNTIF(L$1:L5561,L5561)</f>
        <v>43</v>
      </c>
      <c r="N5561" t="str">
        <f t="shared" si="259"/>
        <v>NA11RB-43</v>
      </c>
      <c r="O5561">
        <f>COUNTIFS(F$1:F5561,F5561,A$1:A5561,A5561)</f>
        <v>81</v>
      </c>
      <c r="P5561" t="str">
        <f t="shared" si="260"/>
        <v>Elijhaa Penny11</v>
      </c>
    </row>
    <row r="5562" spans="1:16" x14ac:dyDescent="0.25">
      <c r="A5562">
        <v>15</v>
      </c>
      <c r="B5562" t="s">
        <v>2765</v>
      </c>
      <c r="C5562" t="s">
        <v>8881</v>
      </c>
      <c r="D5562">
        <v>0.66</v>
      </c>
      <c r="E5562" t="s">
        <v>38</v>
      </c>
      <c r="F5562" t="s">
        <v>47</v>
      </c>
      <c r="G5562">
        <v>1.26</v>
      </c>
      <c r="H5562">
        <v>0.06</v>
      </c>
      <c r="I5562">
        <v>0.6</v>
      </c>
      <c r="J5562">
        <v>0.36</v>
      </c>
      <c r="K5562" t="str">
        <f>IFERROR(INDEX(Rosters!$C$2:$C$155,MATCH($B5562,Rosters!$B$2:$B$155,0)),"NA")</f>
        <v>NA</v>
      </c>
      <c r="L5562" t="str">
        <f t="shared" si="258"/>
        <v>NA15RB</v>
      </c>
      <c r="M5562">
        <f>COUNTIF(L$1:L5562,L5562)</f>
        <v>52</v>
      </c>
      <c r="N5562" t="str">
        <f t="shared" si="259"/>
        <v>NA15RB-52</v>
      </c>
      <c r="O5562">
        <f>COUNTIFS(F$1:F5562,F5562,A$1:A5562,A5562)</f>
        <v>99</v>
      </c>
      <c r="P5562" t="str">
        <f t="shared" si="260"/>
        <v>Elijhaa Penny15</v>
      </c>
    </row>
    <row r="5563" spans="1:16" x14ac:dyDescent="0.25">
      <c r="A5563">
        <v>16</v>
      </c>
      <c r="B5563" t="s">
        <v>2765</v>
      </c>
      <c r="C5563" t="s">
        <v>1578</v>
      </c>
      <c r="D5563">
        <v>0.66</v>
      </c>
      <c r="E5563" t="s">
        <v>66</v>
      </c>
      <c r="F5563" t="s">
        <v>47</v>
      </c>
      <c r="G5563">
        <v>1.31</v>
      </c>
      <c r="H5563">
        <v>0.01</v>
      </c>
      <c r="I5563">
        <v>0.65</v>
      </c>
      <c r="J5563">
        <v>0.42249999999999999</v>
      </c>
      <c r="K5563" t="str">
        <f>IFERROR(INDEX(Rosters!$C$2:$C$155,MATCH($B5563,Rosters!$B$2:$B$155,0)),"NA")</f>
        <v>NA</v>
      </c>
      <c r="L5563" t="str">
        <f t="shared" si="258"/>
        <v>NA16RB</v>
      </c>
      <c r="M5563">
        <f>COUNTIF(L$1:L5563,L5563)</f>
        <v>51</v>
      </c>
      <c r="N5563" t="str">
        <f t="shared" si="259"/>
        <v>NA16RB-51</v>
      </c>
      <c r="O5563">
        <f>COUNTIFS(F$1:F5563,F5563,A$1:A5563,A5563)</f>
        <v>98</v>
      </c>
      <c r="P5563" t="str">
        <f t="shared" si="260"/>
        <v>Elijhaa Penny16</v>
      </c>
    </row>
    <row r="5564" spans="1:16" x14ac:dyDescent="0.25">
      <c r="A5564">
        <v>11</v>
      </c>
      <c r="B5564" t="s">
        <v>1516</v>
      </c>
      <c r="C5564" t="s">
        <v>3375</v>
      </c>
      <c r="D5564">
        <v>0.66</v>
      </c>
      <c r="E5564" t="s">
        <v>28</v>
      </c>
      <c r="F5564" t="s">
        <v>87</v>
      </c>
      <c r="G5564">
        <v>1.29</v>
      </c>
      <c r="H5564">
        <v>0.03</v>
      </c>
      <c r="I5564">
        <v>0.63</v>
      </c>
      <c r="J5564">
        <v>0.39689999999999998</v>
      </c>
      <c r="K5564" t="str">
        <f>IFERROR(INDEX(Rosters!$C$2:$C$155,MATCH($B5564,Rosters!$B$2:$B$155,0)),"NA")</f>
        <v>NA</v>
      </c>
      <c r="L5564" t="str">
        <f t="shared" si="258"/>
        <v>NA11WR</v>
      </c>
      <c r="M5564">
        <f>COUNTIF(L$1:L5564,L5564)</f>
        <v>68</v>
      </c>
      <c r="N5564" t="str">
        <f t="shared" si="259"/>
        <v>NA11WR-68</v>
      </c>
      <c r="O5564">
        <f>COUNTIFS(F$1:F5564,F5564,A$1:A5564,A5564)</f>
        <v>115</v>
      </c>
      <c r="P5564" t="str">
        <f t="shared" si="260"/>
        <v>J'Mon Moore11</v>
      </c>
    </row>
    <row r="5565" spans="1:16" x14ac:dyDescent="0.25">
      <c r="A5565">
        <v>11</v>
      </c>
      <c r="B5565" t="s">
        <v>1565</v>
      </c>
      <c r="C5565" t="s">
        <v>8882</v>
      </c>
      <c r="D5565">
        <v>0.66</v>
      </c>
      <c r="E5565" t="s">
        <v>24</v>
      </c>
      <c r="F5565" t="s">
        <v>47</v>
      </c>
      <c r="G5565">
        <v>1.22</v>
      </c>
      <c r="H5565">
        <v>0.1</v>
      </c>
      <c r="I5565">
        <v>0.56000000000000005</v>
      </c>
      <c r="J5565">
        <v>0.31359999999999999</v>
      </c>
      <c r="K5565" t="str">
        <f>IFERROR(INDEX(Rosters!$C$2:$C$155,MATCH($B5565,Rosters!$B$2:$B$155,0)),"NA")</f>
        <v>NA</v>
      </c>
      <c r="L5565" t="str">
        <f t="shared" si="258"/>
        <v>NA11RB</v>
      </c>
      <c r="M5565">
        <f>COUNTIF(L$1:L5565,L5565)</f>
        <v>44</v>
      </c>
      <c r="N5565" t="str">
        <f t="shared" si="259"/>
        <v>NA11RB-44</v>
      </c>
      <c r="O5565">
        <f>COUNTIFS(F$1:F5565,F5565,A$1:A5565,A5565)</f>
        <v>82</v>
      </c>
      <c r="P5565" t="str">
        <f t="shared" si="260"/>
        <v>Justin Davis11</v>
      </c>
    </row>
    <row r="5566" spans="1:16" x14ac:dyDescent="0.25">
      <c r="A5566">
        <v>12</v>
      </c>
      <c r="B5566" t="s">
        <v>8834</v>
      </c>
      <c r="C5566">
        <f>-0.09-1.41</f>
        <v>-1.5</v>
      </c>
      <c r="D5566">
        <v>0.66</v>
      </c>
      <c r="E5566" t="s">
        <v>30</v>
      </c>
      <c r="F5566" t="s">
        <v>87</v>
      </c>
      <c r="G5566">
        <v>1.41</v>
      </c>
      <c r="H5566">
        <v>-0.09</v>
      </c>
      <c r="I5566">
        <v>0.75</v>
      </c>
      <c r="J5566">
        <v>0.5625</v>
      </c>
      <c r="K5566" t="str">
        <f>IFERROR(INDEX(Rosters!$C$2:$C$155,MATCH($B5566,Rosters!$B$2:$B$155,0)),"NA")</f>
        <v>NA</v>
      </c>
      <c r="L5566" t="str">
        <f t="shared" si="258"/>
        <v>NA12WR</v>
      </c>
      <c r="M5566">
        <f>COUNTIF(L$1:L5566,L5566)</f>
        <v>81</v>
      </c>
      <c r="N5566" t="str">
        <f t="shared" si="259"/>
        <v>NA12WR-81</v>
      </c>
      <c r="O5566">
        <f>COUNTIFS(F$1:F5566,F5566,A$1:A5566,A5566)</f>
        <v>130</v>
      </c>
      <c r="P5566" t="str">
        <f t="shared" si="260"/>
        <v>Justin Watson12</v>
      </c>
    </row>
    <row r="5567" spans="1:16" x14ac:dyDescent="0.25">
      <c r="A5567">
        <v>15</v>
      </c>
      <c r="B5567" t="s">
        <v>4612</v>
      </c>
      <c r="C5567">
        <f>-0.02-1.34</f>
        <v>-1.36</v>
      </c>
      <c r="D5567">
        <v>0.66</v>
      </c>
      <c r="E5567" t="s">
        <v>50</v>
      </c>
      <c r="F5567" t="s">
        <v>87</v>
      </c>
      <c r="G5567">
        <v>1.34</v>
      </c>
      <c r="H5567">
        <v>-0.02</v>
      </c>
      <c r="I5567">
        <v>0.68</v>
      </c>
      <c r="J5567">
        <v>0.46239999999999998</v>
      </c>
      <c r="K5567" t="str">
        <f>IFERROR(INDEX(Rosters!$C$2:$C$155,MATCH($B5567,Rosters!$B$2:$B$155,0)),"NA")</f>
        <v>NA</v>
      </c>
      <c r="L5567" t="str">
        <f t="shared" si="258"/>
        <v>NA15WR</v>
      </c>
      <c r="M5567">
        <f>COUNTIF(L$1:L5567,L5567)</f>
        <v>88</v>
      </c>
      <c r="N5567" t="str">
        <f t="shared" si="259"/>
        <v>NA15WR-88</v>
      </c>
      <c r="O5567">
        <f>COUNTIFS(F$1:F5567,F5567,A$1:A5567,A5567)</f>
        <v>142</v>
      </c>
      <c r="P5567" t="str">
        <f t="shared" si="260"/>
        <v>Khadarel Hodge15</v>
      </c>
    </row>
    <row r="5568" spans="1:16" x14ac:dyDescent="0.25">
      <c r="A5568">
        <v>5</v>
      </c>
      <c r="B5568" t="s">
        <v>1125</v>
      </c>
      <c r="C5568" t="s">
        <v>8882</v>
      </c>
      <c r="D5568">
        <v>0.66</v>
      </c>
      <c r="E5568" t="s">
        <v>51</v>
      </c>
      <c r="F5568" t="s">
        <v>114</v>
      </c>
      <c r="G5568">
        <v>1.22</v>
      </c>
      <c r="H5568">
        <v>0.1</v>
      </c>
      <c r="I5568">
        <v>0.56000000000000005</v>
      </c>
      <c r="J5568">
        <v>0.31359999999999999</v>
      </c>
      <c r="K5568" t="str">
        <f>IFERROR(INDEX(Rosters!$C$2:$C$155,MATCH($B5568,Rosters!$B$2:$B$155,0)),"NA")</f>
        <v>NA</v>
      </c>
      <c r="L5568" t="str">
        <f t="shared" si="258"/>
        <v>NA5TE</v>
      </c>
      <c r="M5568">
        <f>COUNTIF(L$1:L5568,L5568)</f>
        <v>57</v>
      </c>
      <c r="N5568" t="str">
        <f t="shared" si="259"/>
        <v>NA5TE-57</v>
      </c>
      <c r="O5568">
        <f>COUNTIFS(F$1:F5568,F5568,A$1:A5568,A5568)</f>
        <v>68</v>
      </c>
      <c r="P5568" t="str">
        <f t="shared" si="260"/>
        <v>Logan Paulsen5</v>
      </c>
    </row>
    <row r="5569" spans="1:16" x14ac:dyDescent="0.25">
      <c r="A5569">
        <v>11</v>
      </c>
      <c r="B5569" t="s">
        <v>1594</v>
      </c>
      <c r="C5569">
        <f>-0.03-1.35</f>
        <v>-1.3800000000000001</v>
      </c>
      <c r="D5569">
        <v>0.66</v>
      </c>
      <c r="E5569" t="s">
        <v>22</v>
      </c>
      <c r="F5569" t="s">
        <v>87</v>
      </c>
      <c r="G5569">
        <v>1.35</v>
      </c>
      <c r="H5569">
        <v>-0.03</v>
      </c>
      <c r="I5569">
        <v>0.69</v>
      </c>
      <c r="J5569">
        <v>0.47610000000000002</v>
      </c>
      <c r="K5569" t="str">
        <f>IFERROR(INDEX(Rosters!$C$2:$C$155,MATCH($B5569,Rosters!$B$2:$B$155,0)),"NA")</f>
        <v>NA</v>
      </c>
      <c r="L5569" t="str">
        <f t="shared" si="258"/>
        <v>NA11WR</v>
      </c>
      <c r="M5569">
        <f>COUNTIF(L$1:L5569,L5569)</f>
        <v>69</v>
      </c>
      <c r="N5569" t="str">
        <f t="shared" si="259"/>
        <v>NA11WR-69</v>
      </c>
      <c r="O5569">
        <f>COUNTIFS(F$1:F5569,F5569,A$1:A5569,A5569)</f>
        <v>116</v>
      </c>
      <c r="P5569" t="str">
        <f t="shared" si="260"/>
        <v>Marvin Hall11</v>
      </c>
    </row>
    <row r="5570" spans="1:16" x14ac:dyDescent="0.25">
      <c r="A5570">
        <v>10</v>
      </c>
      <c r="B5570" t="s">
        <v>1526</v>
      </c>
      <c r="C5570">
        <f>-0.04-1.36</f>
        <v>-1.4000000000000001</v>
      </c>
      <c r="D5570">
        <v>0.66</v>
      </c>
      <c r="E5570" t="s">
        <v>72</v>
      </c>
      <c r="F5570" t="s">
        <v>114</v>
      </c>
      <c r="G5570">
        <v>1.36</v>
      </c>
      <c r="H5570">
        <v>-0.04</v>
      </c>
      <c r="I5570">
        <v>0.7</v>
      </c>
      <c r="J5570">
        <v>0.49</v>
      </c>
      <c r="K5570" t="str">
        <f>IFERROR(INDEX(Rosters!$C$2:$C$155,MATCH($B5570,Rosters!$B$2:$B$155,0)),"NA")</f>
        <v>NA</v>
      </c>
      <c r="L5570" t="str">
        <f t="shared" si="258"/>
        <v>NA10TE</v>
      </c>
      <c r="M5570">
        <f>COUNTIF(L$1:L5570,L5570)</f>
        <v>49</v>
      </c>
      <c r="N5570" t="str">
        <f t="shared" si="259"/>
        <v>NA10TE-49</v>
      </c>
      <c r="O5570">
        <f>COUNTIFS(F$1:F5570,F5570,A$1:A5570,A5570)</f>
        <v>62</v>
      </c>
      <c r="P5570" t="str">
        <f t="shared" si="260"/>
        <v>Michael Roberts10</v>
      </c>
    </row>
    <row r="5571" spans="1:16" x14ac:dyDescent="0.25">
      <c r="A5571">
        <v>6</v>
      </c>
      <c r="B5571" t="s">
        <v>4690</v>
      </c>
      <c r="C5571" t="s">
        <v>1579</v>
      </c>
      <c r="D5571">
        <v>0.66</v>
      </c>
      <c r="E5571" t="s">
        <v>58</v>
      </c>
      <c r="F5571" t="s">
        <v>47</v>
      </c>
      <c r="G5571">
        <v>1.32</v>
      </c>
      <c r="H5571">
        <v>0</v>
      </c>
      <c r="I5571">
        <v>0.66</v>
      </c>
      <c r="J5571">
        <v>0.43559999999999999</v>
      </c>
      <c r="K5571" t="str">
        <f>IFERROR(INDEX(Rosters!$C$2:$C$155,MATCH($B5571,Rosters!$B$2:$B$155,0)),"NA")</f>
        <v>NA</v>
      </c>
      <c r="L5571" t="str">
        <f t="shared" ref="L5571:L5634" si="261">K5571&amp;A5571&amp;F5571</f>
        <v>NA6RB</v>
      </c>
      <c r="M5571">
        <f>COUNTIF(L$1:L5571,L5571)</f>
        <v>44</v>
      </c>
      <c r="N5571" t="str">
        <f t="shared" ref="N5571:N5634" si="262">L5571&amp;"-"&amp;M5571</f>
        <v>NA6RB-44</v>
      </c>
      <c r="O5571">
        <f>COUNTIFS(F$1:F5571,F5571,A$1:A5571,A5571)</f>
        <v>86</v>
      </c>
      <c r="P5571" t="str">
        <f t="shared" ref="P5571:P5634" si="263">B5571&amp;A5571</f>
        <v>Mike Boone6</v>
      </c>
    </row>
    <row r="5572" spans="1:16" x14ac:dyDescent="0.25">
      <c r="A5572">
        <v>8</v>
      </c>
      <c r="B5572" t="s">
        <v>344</v>
      </c>
      <c r="C5572" t="s">
        <v>8883</v>
      </c>
      <c r="D5572">
        <v>0.66</v>
      </c>
      <c r="E5572" t="s">
        <v>76</v>
      </c>
      <c r="F5572" t="s">
        <v>15</v>
      </c>
      <c r="G5572">
        <v>1.19</v>
      </c>
      <c r="H5572">
        <v>0.13</v>
      </c>
      <c r="I5572">
        <v>0.53</v>
      </c>
      <c r="J5572">
        <v>0.28089999999999998</v>
      </c>
      <c r="K5572" t="str">
        <f>IFERROR(INDEX(Rosters!$C$2:$C$155,MATCH($B5572,Rosters!$B$2:$B$155,0)),"NA")</f>
        <v>NA</v>
      </c>
      <c r="L5572" t="str">
        <f t="shared" si="261"/>
        <v>NA8QB</v>
      </c>
      <c r="M5572">
        <f>COUNTIF(L$1:L5572,L5572)</f>
        <v>30</v>
      </c>
      <c r="N5572" t="str">
        <f t="shared" si="262"/>
        <v>NA8QB-30</v>
      </c>
      <c r="O5572">
        <f>COUNTIFS(F$1:F5572,F5572,A$1:A5572,A5572)</f>
        <v>45</v>
      </c>
      <c r="P5572" t="str">
        <f t="shared" si="263"/>
        <v>Nick Foles8</v>
      </c>
    </row>
    <row r="5573" spans="1:16" x14ac:dyDescent="0.25">
      <c r="A5573">
        <v>4</v>
      </c>
      <c r="B5573" t="s">
        <v>2968</v>
      </c>
      <c r="C5573">
        <f>-0.01-1.33</f>
        <v>-1.34</v>
      </c>
      <c r="D5573">
        <v>0.66</v>
      </c>
      <c r="E5573" t="s">
        <v>32</v>
      </c>
      <c r="F5573" t="s">
        <v>114</v>
      </c>
      <c r="G5573">
        <v>1.33</v>
      </c>
      <c r="H5573">
        <v>-0.01</v>
      </c>
      <c r="I5573">
        <v>0.67</v>
      </c>
      <c r="J5573">
        <v>0.44890000000000002</v>
      </c>
      <c r="K5573" t="str">
        <f>IFERROR(INDEX(Rosters!$C$2:$C$155,MATCH($B5573,Rosters!$B$2:$B$155,0)),"NA")</f>
        <v>NA</v>
      </c>
      <c r="L5573" t="str">
        <f t="shared" si="261"/>
        <v>NA4TE</v>
      </c>
      <c r="M5573">
        <f>COUNTIF(L$1:L5573,L5573)</f>
        <v>50</v>
      </c>
      <c r="N5573" t="str">
        <f t="shared" si="262"/>
        <v>NA4TE-50</v>
      </c>
      <c r="O5573">
        <f>COUNTIFS(F$1:F5573,F5573,A$1:A5573,A5573)</f>
        <v>61</v>
      </c>
      <c r="P5573" t="str">
        <f t="shared" si="263"/>
        <v>Orson Charles4</v>
      </c>
    </row>
    <row r="5574" spans="1:16" x14ac:dyDescent="0.25">
      <c r="A5574">
        <v>13</v>
      </c>
      <c r="B5574" t="s">
        <v>3374</v>
      </c>
      <c r="C5574">
        <f>-0.03-1.35</f>
        <v>-1.3800000000000001</v>
      </c>
      <c r="D5574">
        <v>0.66</v>
      </c>
      <c r="E5574" t="s">
        <v>46</v>
      </c>
      <c r="F5574" t="s">
        <v>47</v>
      </c>
      <c r="G5574">
        <v>1.35</v>
      </c>
      <c r="H5574">
        <v>-0.03</v>
      </c>
      <c r="I5574">
        <v>0.69</v>
      </c>
      <c r="J5574">
        <v>0.47610000000000002</v>
      </c>
      <c r="K5574" t="str">
        <f>IFERROR(INDEX(Rosters!$C$2:$C$155,MATCH($B5574,Rosters!$B$2:$B$155,0)),"NA")</f>
        <v>NA</v>
      </c>
      <c r="L5574" t="str">
        <f t="shared" si="261"/>
        <v>NA13RB</v>
      </c>
      <c r="M5574">
        <f>COUNTIF(L$1:L5574,L5574)</f>
        <v>54</v>
      </c>
      <c r="N5574" t="str">
        <f t="shared" si="262"/>
        <v>NA13RB-54</v>
      </c>
      <c r="O5574">
        <f>COUNTIFS(F$1:F5574,F5574,A$1:A5574,A5574)</f>
        <v>101</v>
      </c>
      <c r="P5574" t="str">
        <f t="shared" si="263"/>
        <v>Patrick Ricard13</v>
      </c>
    </row>
    <row r="5575" spans="1:16" x14ac:dyDescent="0.25">
      <c r="A5575">
        <v>6</v>
      </c>
      <c r="B5575" t="s">
        <v>4701</v>
      </c>
      <c r="C5575">
        <f>-0.1-1.42</f>
        <v>-1.52</v>
      </c>
      <c r="D5575">
        <v>0.66</v>
      </c>
      <c r="E5575" t="s">
        <v>36</v>
      </c>
      <c r="F5575" t="s">
        <v>87</v>
      </c>
      <c r="G5575">
        <v>1.42</v>
      </c>
      <c r="H5575">
        <v>-0.1</v>
      </c>
      <c r="I5575">
        <v>0.76</v>
      </c>
      <c r="J5575">
        <v>0.5776</v>
      </c>
      <c r="K5575" t="str">
        <f>IFERROR(INDEX(Rosters!$C$2:$C$155,MATCH($B5575,Rosters!$B$2:$B$155,0)),"NA")</f>
        <v>NA</v>
      </c>
      <c r="L5575" t="str">
        <f t="shared" si="261"/>
        <v>NA6WR</v>
      </c>
      <c r="M5575">
        <f>COUNTIF(L$1:L5575,L5575)</f>
        <v>84</v>
      </c>
      <c r="N5575" t="str">
        <f t="shared" si="262"/>
        <v>NA6WR-84</v>
      </c>
      <c r="O5575">
        <f>COUNTIFS(F$1:F5575,F5575,A$1:A5575,A5575)</f>
        <v>134</v>
      </c>
      <c r="P5575" t="str">
        <f t="shared" si="263"/>
        <v>Ray-Ray McCloud6</v>
      </c>
    </row>
    <row r="5576" spans="1:16" x14ac:dyDescent="0.25">
      <c r="A5576">
        <v>5</v>
      </c>
      <c r="B5576" t="s">
        <v>4260</v>
      </c>
      <c r="C5576">
        <f>-0.08-1.4</f>
        <v>-1.48</v>
      </c>
      <c r="D5576">
        <v>0.66</v>
      </c>
      <c r="E5576" t="s">
        <v>38</v>
      </c>
      <c r="F5576" t="s">
        <v>87</v>
      </c>
      <c r="G5576">
        <v>1.4</v>
      </c>
      <c r="H5576">
        <v>-0.08</v>
      </c>
      <c r="I5576">
        <v>0.74</v>
      </c>
      <c r="J5576">
        <v>0.54759999999999998</v>
      </c>
      <c r="K5576" t="str">
        <f>IFERROR(INDEX(Rosters!$C$2:$C$155,MATCH($B5576,Rosters!$B$2:$B$155,0)),"NA")</f>
        <v>NA</v>
      </c>
      <c r="L5576" t="str">
        <f t="shared" si="261"/>
        <v>NA5WR</v>
      </c>
      <c r="M5576">
        <f>COUNTIF(L$1:L5576,L5576)</f>
        <v>87</v>
      </c>
      <c r="N5576" t="str">
        <f t="shared" si="262"/>
        <v>NA5WR-87</v>
      </c>
      <c r="O5576">
        <f>COUNTIFS(F$1:F5576,F5576,A$1:A5576,A5576)</f>
        <v>137</v>
      </c>
      <c r="P5576" t="str">
        <f t="shared" si="263"/>
        <v>Robert Foster5</v>
      </c>
    </row>
    <row r="5577" spans="1:16" x14ac:dyDescent="0.25">
      <c r="A5577">
        <v>10</v>
      </c>
      <c r="B5577" t="s">
        <v>332</v>
      </c>
      <c r="C5577">
        <f>-0.22-1.54</f>
        <v>-1.76</v>
      </c>
      <c r="D5577">
        <v>0.66</v>
      </c>
      <c r="E5577" t="s">
        <v>41</v>
      </c>
      <c r="F5577" t="s">
        <v>47</v>
      </c>
      <c r="G5577">
        <v>1.54</v>
      </c>
      <c r="H5577">
        <v>-0.22</v>
      </c>
      <c r="I5577">
        <v>0.88</v>
      </c>
      <c r="J5577">
        <v>0.77439999999999998</v>
      </c>
      <c r="K5577" t="str">
        <f>IFERROR(INDEX(Rosters!$C$2:$C$155,MATCH($B5577,Rosters!$B$2:$B$155,0)),"NA")</f>
        <v>NA</v>
      </c>
      <c r="L5577" t="str">
        <f t="shared" si="261"/>
        <v>NA10RB</v>
      </c>
      <c r="M5577">
        <f>COUNTIF(L$1:L5577,L5577)</f>
        <v>46</v>
      </c>
      <c r="N5577" t="str">
        <f t="shared" si="262"/>
        <v>NA10RB-46</v>
      </c>
      <c r="O5577">
        <f>COUNTIFS(F$1:F5577,F5577,A$1:A5577,A5577)</f>
        <v>85</v>
      </c>
      <c r="P5577" t="str">
        <f t="shared" si="263"/>
        <v>Senorise Perry10</v>
      </c>
    </row>
    <row r="5578" spans="1:16" x14ac:dyDescent="0.25">
      <c r="A5578">
        <v>2</v>
      </c>
      <c r="B5578" t="s">
        <v>4232</v>
      </c>
      <c r="C5578">
        <f>-0.15-1.47</f>
        <v>-1.6199999999999999</v>
      </c>
      <c r="D5578">
        <v>0.66</v>
      </c>
      <c r="E5578" t="s">
        <v>50</v>
      </c>
      <c r="F5578" t="s">
        <v>47</v>
      </c>
      <c r="G5578">
        <v>1.47</v>
      </c>
      <c r="H5578">
        <v>-0.15</v>
      </c>
      <c r="I5578">
        <v>0.81</v>
      </c>
      <c r="J5578">
        <v>0.65610000000000002</v>
      </c>
      <c r="K5578" t="str">
        <f>IFERROR(INDEX(Rosters!$C$2:$C$155,MATCH($B5578,Rosters!$B$2:$B$155,0)),"NA")</f>
        <v>NA</v>
      </c>
      <c r="L5578" t="str">
        <f t="shared" si="261"/>
        <v>NA2RB</v>
      </c>
      <c r="M5578">
        <f>COUNTIF(L$1:L5578,L5578)</f>
        <v>40</v>
      </c>
      <c r="N5578" t="str">
        <f t="shared" si="262"/>
        <v>NA2RB-40</v>
      </c>
      <c r="O5578">
        <f>COUNTIFS(F$1:F5578,F5578,A$1:A5578,A5578)</f>
        <v>82</v>
      </c>
      <c r="P5578" t="str">
        <f t="shared" si="263"/>
        <v>Shaun Wilson2</v>
      </c>
    </row>
    <row r="5579" spans="1:16" x14ac:dyDescent="0.25">
      <c r="A5579">
        <v>14</v>
      </c>
      <c r="B5579" t="s">
        <v>4223</v>
      </c>
      <c r="C5579" t="s">
        <v>1578</v>
      </c>
      <c r="D5579">
        <v>0.66</v>
      </c>
      <c r="E5579" t="s">
        <v>29</v>
      </c>
      <c r="F5579" t="s">
        <v>47</v>
      </c>
      <c r="G5579">
        <v>1.31</v>
      </c>
      <c r="H5579">
        <v>0.01</v>
      </c>
      <c r="I5579">
        <v>0.65</v>
      </c>
      <c r="J5579">
        <v>0.42249999999999999</v>
      </c>
      <c r="K5579" t="str">
        <f>IFERROR(INDEX(Rosters!$C$2:$C$155,MATCH($B5579,Rosters!$B$2:$B$155,0)),"NA")</f>
        <v>NA</v>
      </c>
      <c r="L5579" t="str">
        <f t="shared" si="261"/>
        <v>NA14RB</v>
      </c>
      <c r="M5579">
        <f>COUNTIF(L$1:L5579,L5579)</f>
        <v>54</v>
      </c>
      <c r="N5579" t="str">
        <f t="shared" si="262"/>
        <v>NA14RB-54</v>
      </c>
      <c r="O5579">
        <f>COUNTIFS(F$1:F5579,F5579,A$1:A5579,A5579)</f>
        <v>101</v>
      </c>
      <c r="P5579" t="str">
        <f t="shared" si="263"/>
        <v>Trenton Cannon14</v>
      </c>
    </row>
    <row r="5580" spans="1:16" x14ac:dyDescent="0.25">
      <c r="A5580">
        <v>7</v>
      </c>
      <c r="B5580" t="s">
        <v>1614</v>
      </c>
      <c r="C5580" t="s">
        <v>4716</v>
      </c>
      <c r="D5580">
        <v>0.65</v>
      </c>
      <c r="E5580" t="s">
        <v>31</v>
      </c>
      <c r="F5580" t="s">
        <v>114</v>
      </c>
      <c r="G5580">
        <v>1.22</v>
      </c>
      <c r="H5580">
        <v>0.08</v>
      </c>
      <c r="I5580">
        <v>0.56999999999999995</v>
      </c>
      <c r="J5580">
        <v>0.32490000000000002</v>
      </c>
      <c r="K5580" t="str">
        <f>IFERROR(INDEX(Rosters!$C$2:$C$155,MATCH($B5580,Rosters!$B$2:$B$155,0)),"NA")</f>
        <v>NA</v>
      </c>
      <c r="L5580" t="str">
        <f t="shared" si="261"/>
        <v>NA7TE</v>
      </c>
      <c r="M5580">
        <f>COUNTIF(L$1:L5580,L5580)</f>
        <v>53</v>
      </c>
      <c r="N5580" t="str">
        <f t="shared" si="262"/>
        <v>NA7TE-53</v>
      </c>
      <c r="O5580">
        <f>COUNTIFS(F$1:F5580,F5580,A$1:A5580,A5580)</f>
        <v>63</v>
      </c>
      <c r="P5580" t="str">
        <f t="shared" si="263"/>
        <v>Alex Ellis7</v>
      </c>
    </row>
    <row r="5581" spans="1:16" x14ac:dyDescent="0.25">
      <c r="A5581">
        <v>8</v>
      </c>
      <c r="B5581" t="s">
        <v>346</v>
      </c>
      <c r="C5581">
        <f>-0.01-1.31</f>
        <v>-1.32</v>
      </c>
      <c r="D5581">
        <v>0.65</v>
      </c>
      <c r="E5581" t="s">
        <v>17</v>
      </c>
      <c r="F5581" t="s">
        <v>87</v>
      </c>
      <c r="G5581">
        <v>1.31</v>
      </c>
      <c r="H5581">
        <v>-0.01</v>
      </c>
      <c r="I5581">
        <v>0.66</v>
      </c>
      <c r="J5581">
        <v>0.43559999999999999</v>
      </c>
      <c r="K5581" t="str">
        <f>IFERROR(INDEX(Rosters!$C$2:$C$155,MATCH($B5581,Rosters!$B$2:$B$155,0)),"NA")</f>
        <v>NA</v>
      </c>
      <c r="L5581" t="str">
        <f t="shared" si="261"/>
        <v>NA8WR</v>
      </c>
      <c r="M5581">
        <f>COUNTIF(L$1:L5581,L5581)</f>
        <v>73</v>
      </c>
      <c r="N5581" t="str">
        <f t="shared" si="262"/>
        <v>NA8WR-73</v>
      </c>
      <c r="O5581">
        <f>COUNTIFS(F$1:F5581,F5581,A$1:A5581,A5581)</f>
        <v>122</v>
      </c>
      <c r="P5581" t="str">
        <f t="shared" si="263"/>
        <v>Alex Erickson8</v>
      </c>
    </row>
    <row r="5582" spans="1:16" x14ac:dyDescent="0.25">
      <c r="A5582">
        <v>11</v>
      </c>
      <c r="B5582" t="s">
        <v>1572</v>
      </c>
      <c r="C5582" t="s">
        <v>8884</v>
      </c>
      <c r="D5582">
        <v>0.65</v>
      </c>
      <c r="E5582" t="s">
        <v>74</v>
      </c>
      <c r="F5582" t="s">
        <v>87</v>
      </c>
      <c r="G5582">
        <v>1.27</v>
      </c>
      <c r="H5582">
        <v>0.03</v>
      </c>
      <c r="I5582">
        <v>0.62</v>
      </c>
      <c r="J5582">
        <v>0.38440000000000002</v>
      </c>
      <c r="K5582" t="str">
        <f>IFERROR(INDEX(Rosters!$C$2:$C$155,MATCH($B5582,Rosters!$B$2:$B$155,0)),"NA")</f>
        <v>NA</v>
      </c>
      <c r="L5582" t="str">
        <f t="shared" si="261"/>
        <v>NA11WR</v>
      </c>
      <c r="M5582">
        <f>COUNTIF(L$1:L5582,L5582)</f>
        <v>70</v>
      </c>
      <c r="N5582" t="str">
        <f t="shared" si="262"/>
        <v>NA11WR-70</v>
      </c>
      <c r="O5582">
        <f>COUNTIFS(F$1:F5582,F5582,A$1:A5582,A5582)</f>
        <v>117</v>
      </c>
      <c r="P5582" t="str">
        <f t="shared" si="263"/>
        <v>Andy Jones11</v>
      </c>
    </row>
    <row r="5583" spans="1:16" x14ac:dyDescent="0.25">
      <c r="A5583">
        <v>9</v>
      </c>
      <c r="B5583" t="s">
        <v>216</v>
      </c>
      <c r="C5583">
        <f>-0.08-1.38</f>
        <v>-1.46</v>
      </c>
      <c r="D5583">
        <v>0.65</v>
      </c>
      <c r="E5583" t="s">
        <v>37</v>
      </c>
      <c r="F5583" t="s">
        <v>47</v>
      </c>
      <c r="G5583">
        <v>1.38</v>
      </c>
      <c r="H5583">
        <v>-0.08</v>
      </c>
      <c r="I5583">
        <v>0.73</v>
      </c>
      <c r="J5583">
        <v>0.53290000000000004</v>
      </c>
      <c r="K5583" t="str">
        <f>IFERROR(INDEX(Rosters!$C$2:$C$155,MATCH($B5583,Rosters!$B$2:$B$155,0)),"NA")</f>
        <v>NA</v>
      </c>
      <c r="L5583" t="str">
        <f t="shared" si="261"/>
        <v>NA9RB</v>
      </c>
      <c r="M5583">
        <f>COUNTIF(L$1:L5583,L5583)</f>
        <v>40</v>
      </c>
      <c r="N5583" t="str">
        <f t="shared" si="262"/>
        <v>NA9RB-40</v>
      </c>
      <c r="O5583">
        <f>COUNTIFS(F$1:F5583,F5583,A$1:A5583,A5583)</f>
        <v>80</v>
      </c>
      <c r="P5583" t="str">
        <f t="shared" si="263"/>
        <v>C.J. Prosise9</v>
      </c>
    </row>
    <row r="5584" spans="1:16" x14ac:dyDescent="0.25">
      <c r="A5584">
        <v>5</v>
      </c>
      <c r="B5584" t="s">
        <v>1126</v>
      </c>
      <c r="C5584">
        <f>-0.03-1.33</f>
        <v>-1.36</v>
      </c>
      <c r="D5584">
        <v>0.65</v>
      </c>
      <c r="E5584" t="s">
        <v>42</v>
      </c>
      <c r="F5584" t="s">
        <v>87</v>
      </c>
      <c r="G5584">
        <v>1.33</v>
      </c>
      <c r="H5584">
        <v>-0.03</v>
      </c>
      <c r="I5584">
        <v>0.68</v>
      </c>
      <c r="J5584">
        <v>0.46239999999999998</v>
      </c>
      <c r="K5584" t="str">
        <f>IFERROR(INDEX(Rosters!$C$2:$C$155,MATCH($B5584,Rosters!$B$2:$B$155,0)),"NA")</f>
        <v>NA</v>
      </c>
      <c r="L5584" t="str">
        <f t="shared" si="261"/>
        <v>NA5WR</v>
      </c>
      <c r="M5584">
        <f>COUNTIF(L$1:L5584,L5584)</f>
        <v>88</v>
      </c>
      <c r="N5584" t="str">
        <f t="shared" si="262"/>
        <v>NA5WR-88</v>
      </c>
      <c r="O5584">
        <f>COUNTIFS(F$1:F5584,F5584,A$1:A5584,A5584)</f>
        <v>138</v>
      </c>
      <c r="P5584" t="str">
        <f t="shared" si="263"/>
        <v>Charone Peake5</v>
      </c>
    </row>
    <row r="5585" spans="1:16" x14ac:dyDescent="0.25">
      <c r="A5585">
        <v>7</v>
      </c>
      <c r="B5585" t="s">
        <v>357</v>
      </c>
      <c r="C5585">
        <f>-0.08-1.38</f>
        <v>-1.46</v>
      </c>
      <c r="D5585">
        <v>0.65</v>
      </c>
      <c r="E5585" t="s">
        <v>14</v>
      </c>
      <c r="F5585" t="s">
        <v>87</v>
      </c>
      <c r="G5585">
        <v>1.38</v>
      </c>
      <c r="H5585">
        <v>-0.08</v>
      </c>
      <c r="I5585">
        <v>0.73</v>
      </c>
      <c r="J5585">
        <v>0.53290000000000004</v>
      </c>
      <c r="K5585" t="str">
        <f>IFERROR(INDEX(Rosters!$C$2:$C$155,MATCH($B5585,Rosters!$B$2:$B$155,0)),"NA")</f>
        <v>NA</v>
      </c>
      <c r="L5585" t="str">
        <f t="shared" si="261"/>
        <v>NA7WR</v>
      </c>
      <c r="M5585">
        <f>COUNTIF(L$1:L5585,L5585)</f>
        <v>75</v>
      </c>
      <c r="N5585" t="str">
        <f t="shared" si="262"/>
        <v>NA7WR-75</v>
      </c>
      <c r="O5585">
        <f>COUNTIFS(F$1:F5585,F5585,A$1:A5585,A5585)</f>
        <v>120</v>
      </c>
      <c r="P5585" t="str">
        <f t="shared" si="263"/>
        <v>Chris Moore7</v>
      </c>
    </row>
    <row r="5586" spans="1:16" x14ac:dyDescent="0.25">
      <c r="A5586">
        <v>3</v>
      </c>
      <c r="B5586" t="s">
        <v>1550</v>
      </c>
      <c r="C5586" t="s">
        <v>3844</v>
      </c>
      <c r="D5586">
        <v>0.65</v>
      </c>
      <c r="E5586" t="s">
        <v>28</v>
      </c>
      <c r="F5586" t="s">
        <v>15</v>
      </c>
      <c r="G5586">
        <v>1.1599999999999999</v>
      </c>
      <c r="H5586">
        <v>0.14000000000000001</v>
      </c>
      <c r="I5586">
        <v>0.51</v>
      </c>
      <c r="J5586">
        <v>0.2601</v>
      </c>
      <c r="K5586" t="str">
        <f>IFERROR(INDEX(Rosters!$C$2:$C$155,MATCH($B5586,Rosters!$B$2:$B$155,0)),"NA")</f>
        <v>NA</v>
      </c>
      <c r="L5586" t="str">
        <f t="shared" si="261"/>
        <v>NA3QB</v>
      </c>
      <c r="M5586">
        <f>COUNTIF(L$1:L5586,L5586)</f>
        <v>31</v>
      </c>
      <c r="N5586" t="str">
        <f t="shared" si="262"/>
        <v>NA3QB-31</v>
      </c>
      <c r="O5586">
        <f>COUNTIFS(F$1:F5586,F5586,A$1:A5586,A5586)</f>
        <v>48</v>
      </c>
      <c r="P5586" t="str">
        <f t="shared" si="263"/>
        <v>Cooper Rush3</v>
      </c>
    </row>
    <row r="5587" spans="1:16" x14ac:dyDescent="0.25">
      <c r="A5587">
        <v>10</v>
      </c>
      <c r="B5587" t="s">
        <v>1503</v>
      </c>
      <c r="C5587">
        <f>-0.15-1.45</f>
        <v>-1.5999999999999999</v>
      </c>
      <c r="D5587">
        <v>0.65</v>
      </c>
      <c r="E5587" t="s">
        <v>66</v>
      </c>
      <c r="F5587" t="s">
        <v>87</v>
      </c>
      <c r="G5587">
        <v>1.45</v>
      </c>
      <c r="H5587">
        <v>-0.15</v>
      </c>
      <c r="I5587">
        <v>0.8</v>
      </c>
      <c r="J5587">
        <v>0.64</v>
      </c>
      <c r="K5587" t="str">
        <f>IFERROR(INDEX(Rosters!$C$2:$C$155,MATCH($B5587,Rosters!$B$2:$B$155,0)),"NA")</f>
        <v>NA</v>
      </c>
      <c r="L5587" t="str">
        <f t="shared" si="261"/>
        <v>NA10WR</v>
      </c>
      <c r="M5587">
        <f>COUNTIF(L$1:L5587,L5587)</f>
        <v>78</v>
      </c>
      <c r="N5587" t="str">
        <f t="shared" si="262"/>
        <v>NA10WR-78</v>
      </c>
      <c r="O5587">
        <f>COUNTIFS(F$1:F5587,F5587,A$1:A5587,A5587)</f>
        <v>123</v>
      </c>
      <c r="P5587" t="str">
        <f t="shared" si="263"/>
        <v>D.J. Chark10</v>
      </c>
    </row>
    <row r="5588" spans="1:16" x14ac:dyDescent="0.25">
      <c r="A5588">
        <v>9</v>
      </c>
      <c r="B5588" t="s">
        <v>4729</v>
      </c>
      <c r="C5588">
        <f>-0.08-1.38</f>
        <v>-1.46</v>
      </c>
      <c r="D5588">
        <v>0.65</v>
      </c>
      <c r="E5588" t="s">
        <v>36</v>
      </c>
      <c r="F5588" t="s">
        <v>87</v>
      </c>
      <c r="G5588">
        <v>1.38</v>
      </c>
      <c r="H5588">
        <v>-0.08</v>
      </c>
      <c r="I5588">
        <v>0.73</v>
      </c>
      <c r="J5588">
        <v>0.53290000000000004</v>
      </c>
      <c r="K5588" t="str">
        <f>IFERROR(INDEX(Rosters!$C$2:$C$155,MATCH($B5588,Rosters!$B$2:$B$155,0)),"NA")</f>
        <v>NA</v>
      </c>
      <c r="L5588" t="str">
        <f t="shared" si="261"/>
        <v>NA9WR</v>
      </c>
      <c r="M5588">
        <f>COUNTIF(L$1:L5588,L5588)</f>
        <v>77</v>
      </c>
      <c r="N5588" t="str">
        <f t="shared" si="262"/>
        <v>NA9WR-77</v>
      </c>
      <c r="O5588">
        <f>COUNTIFS(F$1:F5588,F5588,A$1:A5588,A5588)</f>
        <v>121</v>
      </c>
      <c r="P5588" t="str">
        <f t="shared" si="263"/>
        <v>DaeSean Hamilton9</v>
      </c>
    </row>
    <row r="5589" spans="1:16" x14ac:dyDescent="0.25">
      <c r="A5589">
        <v>1</v>
      </c>
      <c r="B5589" t="s">
        <v>1115</v>
      </c>
      <c r="C5589">
        <f>-0.05-1.35</f>
        <v>-1.4000000000000001</v>
      </c>
      <c r="D5589">
        <v>0.65</v>
      </c>
      <c r="E5589" t="s">
        <v>19</v>
      </c>
      <c r="F5589" t="s">
        <v>87</v>
      </c>
      <c r="G5589">
        <v>1.35</v>
      </c>
      <c r="H5589">
        <v>-0.05</v>
      </c>
      <c r="I5589">
        <v>0.7</v>
      </c>
      <c r="J5589">
        <v>0.49</v>
      </c>
      <c r="K5589" t="str">
        <f>IFERROR(INDEX(Rosters!$C$2:$C$155,MATCH($B5589,Rosters!$B$2:$B$155,0)),"NA")</f>
        <v>NA</v>
      </c>
      <c r="L5589" t="str">
        <f t="shared" si="261"/>
        <v>NA1WR</v>
      </c>
      <c r="M5589">
        <f>COUNTIF(L$1:L5589,L5589)</f>
        <v>62</v>
      </c>
      <c r="N5589" t="str">
        <f t="shared" si="262"/>
        <v>NA1WR-62</v>
      </c>
      <c r="O5589">
        <f>COUNTIFS(F$1:F5589,F5589,A$1:A5589,A5589)</f>
        <v>111</v>
      </c>
      <c r="P5589" t="str">
        <f t="shared" si="263"/>
        <v>Darius Jennings1</v>
      </c>
    </row>
    <row r="5590" spans="1:16" x14ac:dyDescent="0.25">
      <c r="A5590">
        <v>17</v>
      </c>
      <c r="B5590" t="s">
        <v>218</v>
      </c>
      <c r="C5590" t="s">
        <v>4716</v>
      </c>
      <c r="D5590">
        <v>0.65</v>
      </c>
      <c r="E5590" t="s">
        <v>24</v>
      </c>
      <c r="F5590" t="s">
        <v>47</v>
      </c>
      <c r="G5590">
        <v>1.22</v>
      </c>
      <c r="H5590">
        <v>0.08</v>
      </c>
      <c r="I5590">
        <v>0.56999999999999995</v>
      </c>
      <c r="J5590">
        <v>0.32490000000000002</v>
      </c>
      <c r="K5590" t="str">
        <f>IFERROR(INDEX(Rosters!$C$2:$C$155,MATCH($B5590,Rosters!$B$2:$B$155,0)),"NA")</f>
        <v>NA</v>
      </c>
      <c r="L5590" t="str">
        <f t="shared" si="261"/>
        <v>NA17RB</v>
      </c>
      <c r="M5590">
        <f>COUNTIF(L$1:L5590,L5590)</f>
        <v>46</v>
      </c>
      <c r="N5590" t="str">
        <f t="shared" si="262"/>
        <v>NA17RB-46</v>
      </c>
      <c r="O5590">
        <f>COUNTIFS(F$1:F5590,F5590,A$1:A5590,A5590)</f>
        <v>93</v>
      </c>
      <c r="P5590" t="str">
        <f t="shared" si="263"/>
        <v>DeAndre Washington17</v>
      </c>
    </row>
    <row r="5591" spans="1:16" x14ac:dyDescent="0.25">
      <c r="A5591">
        <v>10</v>
      </c>
      <c r="B5591" t="s">
        <v>254</v>
      </c>
      <c r="C5591">
        <f>-0.44-1.74</f>
        <v>-2.1800000000000002</v>
      </c>
      <c r="D5591">
        <v>0.65</v>
      </c>
      <c r="E5591" t="s">
        <v>38</v>
      </c>
      <c r="F5591" t="s">
        <v>114</v>
      </c>
      <c r="G5591">
        <v>1.74</v>
      </c>
      <c r="H5591">
        <v>-0.44</v>
      </c>
      <c r="I5591">
        <v>1.0900000000000001</v>
      </c>
      <c r="J5591">
        <v>1.1880999999999999</v>
      </c>
      <c r="K5591" t="str">
        <f>IFERROR(INDEX(Rosters!$C$2:$C$155,MATCH($B5591,Rosters!$B$2:$B$155,0)),"NA")</f>
        <v>NA</v>
      </c>
      <c r="L5591" t="str">
        <f t="shared" si="261"/>
        <v>NA10TE</v>
      </c>
      <c r="M5591">
        <f>COUNTIF(L$1:L5591,L5591)</f>
        <v>50</v>
      </c>
      <c r="N5591" t="str">
        <f t="shared" si="262"/>
        <v>NA10TE-50</v>
      </c>
      <c r="O5591">
        <f>COUNTIFS(F$1:F5591,F5591,A$1:A5591,A5591)</f>
        <v>63</v>
      </c>
      <c r="P5591" t="str">
        <f t="shared" si="263"/>
        <v>Dwayne Allen10</v>
      </c>
    </row>
    <row r="5592" spans="1:16" x14ac:dyDescent="0.25">
      <c r="A5592">
        <v>3</v>
      </c>
      <c r="B5592" t="s">
        <v>1127</v>
      </c>
      <c r="C5592">
        <f>-0.05-1.35</f>
        <v>-1.4000000000000001</v>
      </c>
      <c r="D5592">
        <v>0.65</v>
      </c>
      <c r="E5592" t="s">
        <v>19</v>
      </c>
      <c r="F5592" t="s">
        <v>87</v>
      </c>
      <c r="G5592">
        <v>1.35</v>
      </c>
      <c r="H5592">
        <v>-0.05</v>
      </c>
      <c r="I5592">
        <v>0.7</v>
      </c>
      <c r="J5592">
        <v>0.49</v>
      </c>
      <c r="K5592" t="str">
        <f>IFERROR(INDEX(Rosters!$C$2:$C$155,MATCH($B5592,Rosters!$B$2:$B$155,0)),"NA")</f>
        <v>NA</v>
      </c>
      <c r="L5592" t="str">
        <f t="shared" si="261"/>
        <v>NA3WR</v>
      </c>
      <c r="M5592">
        <f>COUNTIF(L$1:L5592,L5592)</f>
        <v>75</v>
      </c>
      <c r="N5592" t="str">
        <f t="shared" si="262"/>
        <v>NA3WR-75</v>
      </c>
      <c r="O5592">
        <f>COUNTIFS(F$1:F5592,F5592,A$1:A5592,A5592)</f>
        <v>124</v>
      </c>
      <c r="P5592" t="str">
        <f t="shared" si="263"/>
        <v>Dwayne Harris3</v>
      </c>
    </row>
    <row r="5593" spans="1:16" x14ac:dyDescent="0.25">
      <c r="A5593">
        <v>8</v>
      </c>
      <c r="B5593" t="s">
        <v>2808</v>
      </c>
      <c r="C5593" t="s">
        <v>1141</v>
      </c>
      <c r="D5593">
        <v>0.65</v>
      </c>
      <c r="E5593" t="s">
        <v>52</v>
      </c>
      <c r="F5593" t="s">
        <v>87</v>
      </c>
      <c r="G5593">
        <v>1.28</v>
      </c>
      <c r="H5593">
        <v>0.02</v>
      </c>
      <c r="I5593">
        <v>0.63</v>
      </c>
      <c r="J5593">
        <v>0.39689999999999998</v>
      </c>
      <c r="K5593" t="str">
        <f>IFERROR(INDEX(Rosters!$C$2:$C$155,MATCH($B5593,Rosters!$B$2:$B$155,0)),"NA")</f>
        <v>NA</v>
      </c>
      <c r="L5593" t="str">
        <f t="shared" si="261"/>
        <v>NA8WR</v>
      </c>
      <c r="M5593">
        <f>COUNTIF(L$1:L5593,L5593)</f>
        <v>74</v>
      </c>
      <c r="N5593" t="str">
        <f t="shared" si="262"/>
        <v>NA8WR-74</v>
      </c>
      <c r="O5593">
        <f>COUNTIFS(F$1:F5593,F5593,A$1:A5593,A5593)</f>
        <v>123</v>
      </c>
      <c r="P5593" t="str">
        <f t="shared" si="263"/>
        <v>Eli Rogers8</v>
      </c>
    </row>
    <row r="5594" spans="1:16" x14ac:dyDescent="0.25">
      <c r="A5594">
        <v>14</v>
      </c>
      <c r="B5594" t="s">
        <v>2765</v>
      </c>
      <c r="C5594">
        <f>-0.01-1.31</f>
        <v>-1.32</v>
      </c>
      <c r="D5594">
        <v>0.65</v>
      </c>
      <c r="E5594" t="s">
        <v>60</v>
      </c>
      <c r="F5594" t="s">
        <v>47</v>
      </c>
      <c r="G5594">
        <v>1.31</v>
      </c>
      <c r="H5594">
        <v>-0.01</v>
      </c>
      <c r="I5594">
        <v>0.66</v>
      </c>
      <c r="J5594">
        <v>0.43559999999999999</v>
      </c>
      <c r="K5594" t="str">
        <f>IFERROR(INDEX(Rosters!$C$2:$C$155,MATCH($B5594,Rosters!$B$2:$B$155,0)),"NA")</f>
        <v>NA</v>
      </c>
      <c r="L5594" t="str">
        <f t="shared" si="261"/>
        <v>NA14RB</v>
      </c>
      <c r="M5594">
        <f>COUNTIF(L$1:L5594,L5594)</f>
        <v>55</v>
      </c>
      <c r="N5594" t="str">
        <f t="shared" si="262"/>
        <v>NA14RB-55</v>
      </c>
      <c r="O5594">
        <f>COUNTIFS(F$1:F5594,F5594,A$1:A5594,A5594)</f>
        <v>102</v>
      </c>
      <c r="P5594" t="str">
        <f t="shared" si="263"/>
        <v>Elijhaa Penny14</v>
      </c>
    </row>
    <row r="5595" spans="1:16" x14ac:dyDescent="0.25">
      <c r="A5595">
        <v>6</v>
      </c>
      <c r="B5595" t="s">
        <v>4251</v>
      </c>
      <c r="C5595" t="s">
        <v>4718</v>
      </c>
      <c r="D5595">
        <v>0.65</v>
      </c>
      <c r="E5595" t="s">
        <v>36</v>
      </c>
      <c r="F5595" t="s">
        <v>114</v>
      </c>
      <c r="G5595">
        <v>1.29</v>
      </c>
      <c r="H5595">
        <v>0.01</v>
      </c>
      <c r="I5595">
        <v>0.64</v>
      </c>
      <c r="J5595">
        <v>0.40960000000000002</v>
      </c>
      <c r="K5595" t="str">
        <f>IFERROR(INDEX(Rosters!$C$2:$C$155,MATCH($B5595,Rosters!$B$2:$B$155,0)),"NA")</f>
        <v>NA</v>
      </c>
      <c r="L5595" t="str">
        <f t="shared" si="261"/>
        <v>NA6TE</v>
      </c>
      <c r="M5595">
        <f>COUNTIF(L$1:L5595,L5595)</f>
        <v>51</v>
      </c>
      <c r="N5595" t="str">
        <f t="shared" si="262"/>
        <v>NA6TE-51</v>
      </c>
      <c r="O5595">
        <f>COUNTIFS(F$1:F5595,F5595,A$1:A5595,A5595)</f>
        <v>63</v>
      </c>
      <c r="P5595" t="str">
        <f t="shared" si="263"/>
        <v>Jason Croom6</v>
      </c>
    </row>
    <row r="5596" spans="1:16" x14ac:dyDescent="0.25">
      <c r="A5596">
        <v>17</v>
      </c>
      <c r="B5596" t="s">
        <v>4251</v>
      </c>
      <c r="C5596" t="s">
        <v>3843</v>
      </c>
      <c r="D5596">
        <v>0.65</v>
      </c>
      <c r="E5596" t="s">
        <v>19</v>
      </c>
      <c r="F5596" t="s">
        <v>114</v>
      </c>
      <c r="G5596">
        <v>1.3</v>
      </c>
      <c r="H5596">
        <v>0</v>
      </c>
      <c r="I5596">
        <v>0.65</v>
      </c>
      <c r="J5596">
        <v>0.42249999999999999</v>
      </c>
      <c r="K5596" t="str">
        <f>IFERROR(INDEX(Rosters!$C$2:$C$155,MATCH($B5596,Rosters!$B$2:$B$155,0)),"NA")</f>
        <v>NA</v>
      </c>
      <c r="L5596" t="str">
        <f t="shared" si="261"/>
        <v>NA17TE</v>
      </c>
      <c r="M5596">
        <f>COUNTIF(L$1:L5596,L5596)</f>
        <v>58</v>
      </c>
      <c r="N5596" t="str">
        <f t="shared" si="262"/>
        <v>NA17TE-58</v>
      </c>
      <c r="O5596">
        <f>COUNTIFS(F$1:F5596,F5596,A$1:A5596,A5596)</f>
        <v>72</v>
      </c>
      <c r="P5596" t="str">
        <f t="shared" si="263"/>
        <v>Jason Croom17</v>
      </c>
    </row>
    <row r="5597" spans="1:16" x14ac:dyDescent="0.25">
      <c r="A5597">
        <v>10</v>
      </c>
      <c r="B5597" t="s">
        <v>8885</v>
      </c>
      <c r="C5597">
        <f>-0.14-1.44</f>
        <v>-1.58</v>
      </c>
      <c r="D5597">
        <v>0.65</v>
      </c>
      <c r="E5597" t="s">
        <v>34</v>
      </c>
      <c r="F5597" t="s">
        <v>87</v>
      </c>
      <c r="G5597">
        <v>1.44</v>
      </c>
      <c r="H5597">
        <v>-0.14000000000000001</v>
      </c>
      <c r="I5597">
        <v>0.79</v>
      </c>
      <c r="J5597">
        <v>0.62409999999999999</v>
      </c>
      <c r="K5597" t="str">
        <f>IFERROR(INDEX(Rosters!$C$2:$C$155,MATCH($B5597,Rosters!$B$2:$B$155,0)),"NA")</f>
        <v>NA</v>
      </c>
      <c r="L5597" t="str">
        <f t="shared" si="261"/>
        <v>NA10WR</v>
      </c>
      <c r="M5597">
        <f>COUNTIF(L$1:L5597,L5597)</f>
        <v>79</v>
      </c>
      <c r="N5597" t="str">
        <f t="shared" si="262"/>
        <v>NA10WR-79</v>
      </c>
      <c r="O5597">
        <f>COUNTIFS(F$1:F5597,F5597,A$1:A5597,A5597)</f>
        <v>124</v>
      </c>
      <c r="P5597" t="str">
        <f t="shared" si="263"/>
        <v>Javon Wims10</v>
      </c>
    </row>
    <row r="5598" spans="1:16" x14ac:dyDescent="0.25">
      <c r="A5598">
        <v>15</v>
      </c>
      <c r="B5598" t="s">
        <v>8640</v>
      </c>
      <c r="C5598">
        <f>-0.02-1.32</f>
        <v>-1.34</v>
      </c>
      <c r="D5598">
        <v>0.65</v>
      </c>
      <c r="E5598" t="s">
        <v>38</v>
      </c>
      <c r="F5598" t="s">
        <v>87</v>
      </c>
      <c r="G5598">
        <v>1.32</v>
      </c>
      <c r="H5598">
        <v>-0.02</v>
      </c>
      <c r="I5598">
        <v>0.67</v>
      </c>
      <c r="J5598">
        <v>0.44890000000000002</v>
      </c>
      <c r="K5598" t="str">
        <f>IFERROR(INDEX(Rosters!$C$2:$C$155,MATCH($B5598,Rosters!$B$2:$B$155,0)),"NA")</f>
        <v>NA</v>
      </c>
      <c r="L5598" t="str">
        <f t="shared" si="261"/>
        <v>NA15WR</v>
      </c>
      <c r="M5598">
        <f>COUNTIF(L$1:L5598,L5598)</f>
        <v>89</v>
      </c>
      <c r="N5598" t="str">
        <f t="shared" si="262"/>
        <v>NA15WR-89</v>
      </c>
      <c r="O5598">
        <f>COUNTIFS(F$1:F5598,F5598,A$1:A5598,A5598)</f>
        <v>143</v>
      </c>
      <c r="P5598" t="str">
        <f t="shared" si="263"/>
        <v>Jawill Davis15</v>
      </c>
    </row>
    <row r="5599" spans="1:16" x14ac:dyDescent="0.25">
      <c r="A5599">
        <v>15</v>
      </c>
      <c r="B5599" t="s">
        <v>1473</v>
      </c>
      <c r="C5599">
        <f>-0.05-1.35</f>
        <v>-1.4000000000000001</v>
      </c>
      <c r="D5599">
        <v>0.65</v>
      </c>
      <c r="E5599" t="s">
        <v>24</v>
      </c>
      <c r="F5599" t="s">
        <v>47</v>
      </c>
      <c r="G5599">
        <v>1.35</v>
      </c>
      <c r="H5599">
        <v>-0.05</v>
      </c>
      <c r="I5599">
        <v>0.7</v>
      </c>
      <c r="J5599">
        <v>0.49</v>
      </c>
      <c r="K5599" t="str">
        <f>IFERROR(INDEX(Rosters!$C$2:$C$155,MATCH($B5599,Rosters!$B$2:$B$155,0)),"NA")</f>
        <v>NA</v>
      </c>
      <c r="L5599" t="str">
        <f t="shared" si="261"/>
        <v>NA15RB</v>
      </c>
      <c r="M5599">
        <f>COUNTIF(L$1:L5599,L5599)</f>
        <v>53</v>
      </c>
      <c r="N5599" t="str">
        <f t="shared" si="262"/>
        <v>NA15RB-53</v>
      </c>
      <c r="O5599">
        <f>COUNTIFS(F$1:F5599,F5599,A$1:A5599,A5599)</f>
        <v>100</v>
      </c>
      <c r="P5599" t="str">
        <f t="shared" si="263"/>
        <v>Justin Jackson15</v>
      </c>
    </row>
    <row r="5600" spans="1:16" x14ac:dyDescent="0.25">
      <c r="A5600">
        <v>9</v>
      </c>
      <c r="B5600" t="s">
        <v>1622</v>
      </c>
      <c r="C5600">
        <f>-0.05-1.35</f>
        <v>-1.4000000000000001</v>
      </c>
      <c r="D5600">
        <v>0.65</v>
      </c>
      <c r="E5600" t="s">
        <v>32</v>
      </c>
      <c r="F5600" t="s">
        <v>87</v>
      </c>
      <c r="G5600">
        <v>1.35</v>
      </c>
      <c r="H5600">
        <v>-0.05</v>
      </c>
      <c r="I5600">
        <v>0.7</v>
      </c>
      <c r="J5600">
        <v>0.49</v>
      </c>
      <c r="K5600" t="str">
        <f>IFERROR(INDEX(Rosters!$C$2:$C$155,MATCH($B5600,Rosters!$B$2:$B$155,0)),"NA")</f>
        <v>NA</v>
      </c>
      <c r="L5600" t="str">
        <f t="shared" si="261"/>
        <v>NA9WR</v>
      </c>
      <c r="M5600">
        <f>COUNTIF(L$1:L5600,L5600)</f>
        <v>78</v>
      </c>
      <c r="N5600" t="str">
        <f t="shared" si="262"/>
        <v>NA9WR-78</v>
      </c>
      <c r="O5600">
        <f>COUNTIFS(F$1:F5600,F5600,A$1:A5600,A5600)</f>
        <v>122</v>
      </c>
      <c r="P5600" t="str">
        <f t="shared" si="263"/>
        <v>Kendrick Bourne9</v>
      </c>
    </row>
    <row r="5601" spans="1:16" x14ac:dyDescent="0.25">
      <c r="A5601">
        <v>16</v>
      </c>
      <c r="B5601" t="s">
        <v>198</v>
      </c>
      <c r="C5601">
        <f>-0.15-1.45</f>
        <v>-1.5999999999999999</v>
      </c>
      <c r="D5601">
        <v>0.65</v>
      </c>
      <c r="E5601" t="s">
        <v>30</v>
      </c>
      <c r="F5601" t="s">
        <v>87</v>
      </c>
      <c r="G5601">
        <v>1.45</v>
      </c>
      <c r="H5601">
        <v>-0.15</v>
      </c>
      <c r="I5601">
        <v>0.8</v>
      </c>
      <c r="J5601">
        <v>0.64</v>
      </c>
      <c r="K5601" t="str">
        <f>IFERROR(INDEX(Rosters!$C$2:$C$155,MATCH($B5601,Rosters!$B$2:$B$155,0)),"NA")</f>
        <v>NA</v>
      </c>
      <c r="L5601" t="str">
        <f t="shared" si="261"/>
        <v>NA16WR</v>
      </c>
      <c r="M5601">
        <f>COUNTIF(L$1:L5601,L5601)</f>
        <v>84</v>
      </c>
      <c r="N5601" t="str">
        <f t="shared" si="262"/>
        <v>NA16WR-84</v>
      </c>
      <c r="O5601">
        <f>COUNTIFS(F$1:F5601,F5601,A$1:A5601,A5601)</f>
        <v>138</v>
      </c>
      <c r="P5601" t="str">
        <f t="shared" si="263"/>
        <v>Kevin White16</v>
      </c>
    </row>
    <row r="5602" spans="1:16" x14ac:dyDescent="0.25">
      <c r="A5602">
        <v>8</v>
      </c>
      <c r="B5602" t="s">
        <v>1583</v>
      </c>
      <c r="C5602">
        <f>-0.01-1.31</f>
        <v>-1.32</v>
      </c>
      <c r="D5602">
        <v>0.65</v>
      </c>
      <c r="E5602" t="s">
        <v>423</v>
      </c>
      <c r="F5602" t="s">
        <v>114</v>
      </c>
      <c r="G5602">
        <v>1.31</v>
      </c>
      <c r="H5602">
        <v>-0.01</v>
      </c>
      <c r="I5602">
        <v>0.66</v>
      </c>
      <c r="J5602">
        <v>0.43559999999999999</v>
      </c>
      <c r="K5602" t="str">
        <f>IFERROR(INDEX(Rosters!$C$2:$C$155,MATCH($B5602,Rosters!$B$2:$B$155,0)),"NA")</f>
        <v>NA</v>
      </c>
      <c r="L5602" t="str">
        <f t="shared" si="261"/>
        <v>NA8TE</v>
      </c>
      <c r="M5602">
        <f>COUNTIF(L$1:L5602,L5602)</f>
        <v>52</v>
      </c>
      <c r="N5602" t="str">
        <f t="shared" si="262"/>
        <v>NA8TE-52</v>
      </c>
      <c r="O5602">
        <f>COUNTIFS(F$1:F5602,F5602,A$1:A5602,A5602)</f>
        <v>64</v>
      </c>
      <c r="P5602" t="str">
        <f t="shared" si="263"/>
        <v>Logan Thomas8</v>
      </c>
    </row>
    <row r="5603" spans="1:16" x14ac:dyDescent="0.25">
      <c r="A5603">
        <v>9</v>
      </c>
      <c r="B5603" t="s">
        <v>1583</v>
      </c>
      <c r="C5603">
        <f>-0.03-1.33</f>
        <v>-1.36</v>
      </c>
      <c r="D5603">
        <v>0.65</v>
      </c>
      <c r="E5603" t="s">
        <v>72</v>
      </c>
      <c r="F5603" t="s">
        <v>114</v>
      </c>
      <c r="G5603">
        <v>1.33</v>
      </c>
      <c r="H5603">
        <v>-0.03</v>
      </c>
      <c r="I5603">
        <v>0.68</v>
      </c>
      <c r="J5603">
        <v>0.46239999999999998</v>
      </c>
      <c r="K5603" t="str">
        <f>IFERROR(INDEX(Rosters!$C$2:$C$155,MATCH($B5603,Rosters!$B$2:$B$155,0)),"NA")</f>
        <v>NA</v>
      </c>
      <c r="L5603" t="str">
        <f t="shared" si="261"/>
        <v>NA9TE</v>
      </c>
      <c r="M5603">
        <f>COUNTIF(L$1:L5603,L5603)</f>
        <v>47</v>
      </c>
      <c r="N5603" t="str">
        <f t="shared" si="262"/>
        <v>NA9TE-47</v>
      </c>
      <c r="O5603">
        <f>COUNTIFS(F$1:F5603,F5603,A$1:A5603,A5603)</f>
        <v>58</v>
      </c>
      <c r="P5603" t="str">
        <f t="shared" si="263"/>
        <v>Logan Thomas9</v>
      </c>
    </row>
    <row r="5604" spans="1:16" x14ac:dyDescent="0.25">
      <c r="A5604">
        <v>17</v>
      </c>
      <c r="B5604" t="s">
        <v>391</v>
      </c>
      <c r="C5604">
        <f>-0.01-1.31</f>
        <v>-1.32</v>
      </c>
      <c r="D5604">
        <v>0.65</v>
      </c>
      <c r="E5604" t="s">
        <v>73</v>
      </c>
      <c r="F5604" t="s">
        <v>87</v>
      </c>
      <c r="G5604">
        <v>1.31</v>
      </c>
      <c r="H5604">
        <v>-0.01</v>
      </c>
      <c r="I5604">
        <v>0.66</v>
      </c>
      <c r="J5604">
        <v>0.43559999999999999</v>
      </c>
      <c r="K5604" t="str">
        <f>IFERROR(INDEX(Rosters!$C$2:$C$155,MATCH($B5604,Rosters!$B$2:$B$155,0)),"NA")</f>
        <v>NA</v>
      </c>
      <c r="L5604" t="str">
        <f t="shared" si="261"/>
        <v>NA17WR</v>
      </c>
      <c r="M5604">
        <f>COUNTIF(L$1:L5604,L5604)</f>
        <v>86</v>
      </c>
      <c r="N5604" t="str">
        <f t="shared" si="262"/>
        <v>NA17WR-86</v>
      </c>
      <c r="O5604">
        <f>COUNTIFS(F$1:F5604,F5604,A$1:A5604,A5604)</f>
        <v>140</v>
      </c>
      <c r="P5604" t="str">
        <f t="shared" si="263"/>
        <v>Matt Slater17</v>
      </c>
    </row>
    <row r="5605" spans="1:16" x14ac:dyDescent="0.25">
      <c r="A5605">
        <v>16</v>
      </c>
      <c r="B5605" t="s">
        <v>1146</v>
      </c>
      <c r="C5605">
        <f>-0.16-1.46</f>
        <v>-1.6199999999999999</v>
      </c>
      <c r="D5605">
        <v>0.65</v>
      </c>
      <c r="E5605" t="s">
        <v>38</v>
      </c>
      <c r="F5605" t="s">
        <v>87</v>
      </c>
      <c r="G5605">
        <v>1.46</v>
      </c>
      <c r="H5605">
        <v>-0.16</v>
      </c>
      <c r="I5605">
        <v>0.81</v>
      </c>
      <c r="J5605">
        <v>0.65610000000000002</v>
      </c>
      <c r="K5605" t="str">
        <f>IFERROR(INDEX(Rosters!$C$2:$C$155,MATCH($B5605,Rosters!$B$2:$B$155,0)),"NA")</f>
        <v>NA</v>
      </c>
      <c r="L5605" t="str">
        <f t="shared" si="261"/>
        <v>NA16WR</v>
      </c>
      <c r="M5605">
        <f>COUNTIF(L$1:L5605,L5605)</f>
        <v>85</v>
      </c>
      <c r="N5605" t="str">
        <f t="shared" si="262"/>
        <v>NA16WR-85</v>
      </c>
      <c r="O5605">
        <f>COUNTIFS(F$1:F5605,F5605,A$1:A5605,A5605)</f>
        <v>139</v>
      </c>
      <c r="P5605" t="str">
        <f t="shared" si="263"/>
        <v>Maurice Harris16</v>
      </c>
    </row>
    <row r="5606" spans="1:16" x14ac:dyDescent="0.25">
      <c r="A5606">
        <v>15</v>
      </c>
      <c r="B5606" t="s">
        <v>1636</v>
      </c>
      <c r="C5606" t="s">
        <v>4717</v>
      </c>
      <c r="D5606">
        <v>0.65</v>
      </c>
      <c r="E5606" t="s">
        <v>41</v>
      </c>
      <c r="F5606" t="s">
        <v>47</v>
      </c>
      <c r="G5606">
        <v>1.19</v>
      </c>
      <c r="H5606">
        <v>0.11</v>
      </c>
      <c r="I5606">
        <v>0.54</v>
      </c>
      <c r="J5606">
        <v>0.29160000000000003</v>
      </c>
      <c r="K5606" t="str">
        <f>IFERROR(INDEX(Rosters!$C$2:$C$155,MATCH($B5606,Rosters!$B$2:$B$155,0)),"NA")</f>
        <v>NA</v>
      </c>
      <c r="L5606" t="str">
        <f t="shared" si="261"/>
        <v>NA15RB</v>
      </c>
      <c r="M5606">
        <f>COUNTIF(L$1:L5606,L5606)</f>
        <v>54</v>
      </c>
      <c r="N5606" t="str">
        <f t="shared" si="262"/>
        <v>NA15RB-54</v>
      </c>
      <c r="O5606">
        <f>COUNTIFS(F$1:F5606,F5606,A$1:A5606,A5606)</f>
        <v>101</v>
      </c>
      <c r="P5606" t="str">
        <f t="shared" si="263"/>
        <v>Michael Burton15</v>
      </c>
    </row>
    <row r="5607" spans="1:16" x14ac:dyDescent="0.25">
      <c r="A5607">
        <v>16</v>
      </c>
      <c r="B5607" t="s">
        <v>1584</v>
      </c>
      <c r="C5607" t="s">
        <v>1141</v>
      </c>
      <c r="D5607">
        <v>0.65</v>
      </c>
      <c r="E5607" t="s">
        <v>60</v>
      </c>
      <c r="F5607" t="s">
        <v>114</v>
      </c>
      <c r="G5607">
        <v>1.28</v>
      </c>
      <c r="H5607">
        <v>0.02</v>
      </c>
      <c r="I5607">
        <v>0.63</v>
      </c>
      <c r="J5607">
        <v>0.39689999999999998</v>
      </c>
      <c r="K5607" t="str">
        <f>IFERROR(INDEX(Rosters!$C$2:$C$155,MATCH($B5607,Rosters!$B$2:$B$155,0)),"NA")</f>
        <v>NA</v>
      </c>
      <c r="L5607" t="str">
        <f t="shared" si="261"/>
        <v>NA16TE</v>
      </c>
      <c r="M5607">
        <f>COUNTIF(L$1:L5607,L5607)</f>
        <v>58</v>
      </c>
      <c r="N5607" t="str">
        <f t="shared" si="262"/>
        <v>NA16TE-58</v>
      </c>
      <c r="O5607">
        <f>COUNTIFS(F$1:F5607,F5607,A$1:A5607,A5607)</f>
        <v>72</v>
      </c>
      <c r="P5607" t="str">
        <f t="shared" si="263"/>
        <v>MyCole Pruitt16</v>
      </c>
    </row>
    <row r="5608" spans="1:16" x14ac:dyDescent="0.25">
      <c r="A5608">
        <v>16</v>
      </c>
      <c r="B5608" t="s">
        <v>1623</v>
      </c>
      <c r="C5608">
        <f>-0.09-1.39</f>
        <v>-1.48</v>
      </c>
      <c r="D5608">
        <v>0.65</v>
      </c>
      <c r="E5608" t="s">
        <v>17</v>
      </c>
      <c r="F5608" t="s">
        <v>87</v>
      </c>
      <c r="G5608">
        <v>1.39</v>
      </c>
      <c r="H5608">
        <v>-0.09</v>
      </c>
      <c r="I5608">
        <v>0.74</v>
      </c>
      <c r="J5608">
        <v>0.54759999999999998</v>
      </c>
      <c r="K5608" t="str">
        <f>IFERROR(INDEX(Rosters!$C$2:$C$155,MATCH($B5608,Rosters!$B$2:$B$155,0)),"NA")</f>
        <v>NA</v>
      </c>
      <c r="L5608" t="str">
        <f t="shared" si="261"/>
        <v>NA16WR</v>
      </c>
      <c r="M5608">
        <f>COUNTIF(L$1:L5608,L5608)</f>
        <v>86</v>
      </c>
      <c r="N5608" t="str">
        <f t="shared" si="262"/>
        <v>NA16WR-86</v>
      </c>
      <c r="O5608">
        <f>COUNTIFS(F$1:F5608,F5608,A$1:A5608,A5608)</f>
        <v>140</v>
      </c>
      <c r="P5608" t="str">
        <f t="shared" si="263"/>
        <v>Noah Brown16</v>
      </c>
    </row>
    <row r="5609" spans="1:16" x14ac:dyDescent="0.25">
      <c r="A5609">
        <v>7</v>
      </c>
      <c r="B5609" t="s">
        <v>3374</v>
      </c>
      <c r="C5609" t="s">
        <v>343</v>
      </c>
      <c r="D5609">
        <v>0.65</v>
      </c>
      <c r="E5609" t="s">
        <v>14</v>
      </c>
      <c r="F5609" t="s">
        <v>47</v>
      </c>
      <c r="G5609">
        <v>1.23</v>
      </c>
      <c r="H5609">
        <v>7.0000000000000007E-2</v>
      </c>
      <c r="I5609">
        <v>0.57999999999999996</v>
      </c>
      <c r="J5609">
        <v>0.33639999999999998</v>
      </c>
      <c r="K5609" t="str">
        <f>IFERROR(INDEX(Rosters!$C$2:$C$155,MATCH($B5609,Rosters!$B$2:$B$155,0)),"NA")</f>
        <v>NA</v>
      </c>
      <c r="L5609" t="str">
        <f t="shared" si="261"/>
        <v>NA7RB</v>
      </c>
      <c r="M5609">
        <f>COUNTIF(L$1:L5609,L5609)</f>
        <v>40</v>
      </c>
      <c r="N5609" t="str">
        <f t="shared" si="262"/>
        <v>NA7RB-40</v>
      </c>
      <c r="O5609">
        <f>COUNTIFS(F$1:F5609,F5609,A$1:A5609,A5609)</f>
        <v>81</v>
      </c>
      <c r="P5609" t="str">
        <f t="shared" si="263"/>
        <v>Patrick Ricard7</v>
      </c>
    </row>
    <row r="5610" spans="1:16" x14ac:dyDescent="0.25">
      <c r="A5610">
        <v>1</v>
      </c>
      <c r="B5610" t="s">
        <v>3533</v>
      </c>
      <c r="C5610" t="s">
        <v>343</v>
      </c>
      <c r="D5610">
        <v>0.65</v>
      </c>
      <c r="E5610" t="s">
        <v>28</v>
      </c>
      <c r="F5610" t="s">
        <v>47</v>
      </c>
      <c r="G5610">
        <v>1.23</v>
      </c>
      <c r="H5610">
        <v>7.0000000000000007E-2</v>
      </c>
      <c r="I5610">
        <v>0.57999999999999996</v>
      </c>
      <c r="J5610">
        <v>0.33639999999999998</v>
      </c>
      <c r="K5610" t="str">
        <f>IFERROR(INDEX(Rosters!$C$2:$C$155,MATCH($B5610,Rosters!$B$2:$B$155,0)),"NA")</f>
        <v>perry</v>
      </c>
      <c r="L5610" t="str">
        <f t="shared" si="261"/>
        <v>perry1RB</v>
      </c>
      <c r="M5610">
        <f>COUNTIF(L$1:L5610,L5610)</f>
        <v>4</v>
      </c>
      <c r="N5610" t="str">
        <f t="shared" si="262"/>
        <v>perry1RB-4</v>
      </c>
      <c r="O5610">
        <f>COUNTIFS(F$1:F5610,F5610,A$1:A5610,A5610)</f>
        <v>79</v>
      </c>
      <c r="P5610" t="str">
        <f t="shared" si="263"/>
        <v>Phillip Lindsay1</v>
      </c>
    </row>
    <row r="5611" spans="1:16" x14ac:dyDescent="0.25">
      <c r="A5611">
        <v>14</v>
      </c>
      <c r="B5611" t="s">
        <v>4260</v>
      </c>
      <c r="C5611">
        <f>-0.11-1.41</f>
        <v>-1.52</v>
      </c>
      <c r="D5611">
        <v>0.65</v>
      </c>
      <c r="E5611" t="s">
        <v>73</v>
      </c>
      <c r="F5611" t="s">
        <v>87</v>
      </c>
      <c r="G5611">
        <v>1.41</v>
      </c>
      <c r="H5611">
        <v>-0.11</v>
      </c>
      <c r="I5611">
        <v>0.76</v>
      </c>
      <c r="J5611">
        <v>0.5776</v>
      </c>
      <c r="K5611" t="str">
        <f>IFERROR(INDEX(Rosters!$C$2:$C$155,MATCH($B5611,Rosters!$B$2:$B$155,0)),"NA")</f>
        <v>NA</v>
      </c>
      <c r="L5611" t="str">
        <f t="shared" si="261"/>
        <v>NA14WR</v>
      </c>
      <c r="M5611">
        <f>COUNTIF(L$1:L5611,L5611)</f>
        <v>84</v>
      </c>
      <c r="N5611" t="str">
        <f t="shared" si="262"/>
        <v>NA14WR-84</v>
      </c>
      <c r="O5611">
        <f>COUNTIFS(F$1:F5611,F5611,A$1:A5611,A5611)</f>
        <v>138</v>
      </c>
      <c r="P5611" t="str">
        <f t="shared" si="263"/>
        <v>Robert Foster14</v>
      </c>
    </row>
    <row r="5612" spans="1:16" x14ac:dyDescent="0.25">
      <c r="A5612">
        <v>11</v>
      </c>
      <c r="B5612" t="s">
        <v>4703</v>
      </c>
      <c r="C5612" t="s">
        <v>1141</v>
      </c>
      <c r="D5612">
        <v>0.65</v>
      </c>
      <c r="E5612" t="s">
        <v>31</v>
      </c>
      <c r="F5612" t="s">
        <v>87</v>
      </c>
      <c r="G5612">
        <v>1.28</v>
      </c>
      <c r="H5612">
        <v>0.02</v>
      </c>
      <c r="I5612">
        <v>0.63</v>
      </c>
      <c r="J5612">
        <v>0.39689999999999998</v>
      </c>
      <c r="K5612" t="str">
        <f>IFERROR(INDEX(Rosters!$C$2:$C$155,MATCH($B5612,Rosters!$B$2:$B$155,0)),"NA")</f>
        <v>NA</v>
      </c>
      <c r="L5612" t="str">
        <f t="shared" si="261"/>
        <v>NA11WR</v>
      </c>
      <c r="M5612">
        <f>COUNTIF(L$1:L5612,L5612)</f>
        <v>71</v>
      </c>
      <c r="N5612" t="str">
        <f t="shared" si="262"/>
        <v>NA11WR-71</v>
      </c>
      <c r="O5612">
        <f>COUNTIFS(F$1:F5612,F5612,A$1:A5612,A5612)</f>
        <v>118</v>
      </c>
      <c r="P5612" t="str">
        <f t="shared" si="263"/>
        <v>Tim White11</v>
      </c>
    </row>
    <row r="5613" spans="1:16" x14ac:dyDescent="0.25">
      <c r="A5613">
        <v>11</v>
      </c>
      <c r="B5613" t="s">
        <v>2889</v>
      </c>
      <c r="C5613" t="s">
        <v>1580</v>
      </c>
      <c r="D5613">
        <v>0.65</v>
      </c>
      <c r="E5613" t="s">
        <v>50</v>
      </c>
      <c r="F5613" t="s">
        <v>47</v>
      </c>
      <c r="G5613">
        <v>1.25</v>
      </c>
      <c r="H5613">
        <v>0.05</v>
      </c>
      <c r="I5613">
        <v>0.6</v>
      </c>
      <c r="J5613">
        <v>0.36</v>
      </c>
      <c r="K5613" t="str">
        <f>IFERROR(INDEX(Rosters!$C$2:$C$155,MATCH($B5613,Rosters!$B$2:$B$155,0)),"NA")</f>
        <v>NA</v>
      </c>
      <c r="L5613" t="str">
        <f t="shared" si="261"/>
        <v>NA11RB</v>
      </c>
      <c r="M5613">
        <f>COUNTIF(L$1:L5613,L5613)</f>
        <v>45</v>
      </c>
      <c r="N5613" t="str">
        <f t="shared" si="262"/>
        <v>NA11RB-45</v>
      </c>
      <c r="O5613">
        <f>COUNTIFS(F$1:F5613,F5613,A$1:A5613,A5613)</f>
        <v>83</v>
      </c>
      <c r="P5613" t="str">
        <f t="shared" si="263"/>
        <v>Zach Line11</v>
      </c>
    </row>
    <row r="5614" spans="1:16" x14ac:dyDescent="0.25">
      <c r="A5614">
        <v>8</v>
      </c>
      <c r="B5614" t="s">
        <v>4240</v>
      </c>
      <c r="C5614">
        <f>-0.14-1.44</f>
        <v>-1.58</v>
      </c>
      <c r="D5614">
        <v>0.65</v>
      </c>
      <c r="E5614" t="s">
        <v>32</v>
      </c>
      <c r="F5614" t="s">
        <v>87</v>
      </c>
      <c r="G5614">
        <v>1.44</v>
      </c>
      <c r="H5614">
        <v>-0.14000000000000001</v>
      </c>
      <c r="I5614">
        <v>0.79</v>
      </c>
      <c r="J5614">
        <v>0.62409999999999999</v>
      </c>
      <c r="K5614" t="str">
        <f>IFERROR(INDEX(Rosters!$C$2:$C$155,MATCH($B5614,Rosters!$B$2:$B$155,0)),"NA")</f>
        <v>NA</v>
      </c>
      <c r="L5614" t="str">
        <f t="shared" si="261"/>
        <v>NA8WR</v>
      </c>
      <c r="M5614">
        <f>COUNTIF(L$1:L5614,L5614)</f>
        <v>75</v>
      </c>
      <c r="N5614" t="str">
        <f t="shared" si="262"/>
        <v>NA8WR-75</v>
      </c>
      <c r="O5614">
        <f>COUNTIFS(F$1:F5614,F5614,A$1:A5614,A5614)</f>
        <v>124</v>
      </c>
      <c r="P5614" t="str">
        <f t="shared" si="263"/>
        <v>Zach Pascal8</v>
      </c>
    </row>
    <row r="5615" spans="1:16" x14ac:dyDescent="0.25">
      <c r="A5615">
        <v>6</v>
      </c>
      <c r="B5615" t="s">
        <v>324</v>
      </c>
      <c r="C5615" t="s">
        <v>4722</v>
      </c>
      <c r="D5615">
        <v>0.64</v>
      </c>
      <c r="E5615" t="s">
        <v>28</v>
      </c>
      <c r="F5615" t="s">
        <v>15</v>
      </c>
      <c r="G5615">
        <v>1.19</v>
      </c>
      <c r="H5615">
        <v>0.09</v>
      </c>
      <c r="I5615">
        <v>0.55000000000000004</v>
      </c>
      <c r="J5615">
        <v>0.30249999999999999</v>
      </c>
      <c r="K5615" t="str">
        <f>IFERROR(INDEX(Rosters!$C$2:$C$155,MATCH($B5615,Rosters!$B$2:$B$155,0)),"NA")</f>
        <v>NA</v>
      </c>
      <c r="L5615" t="str">
        <f t="shared" si="261"/>
        <v>NA6QB</v>
      </c>
      <c r="M5615">
        <f>COUNTIF(L$1:L5615,L5615)</f>
        <v>35</v>
      </c>
      <c r="N5615" t="str">
        <f t="shared" si="262"/>
        <v>NA6QB-35</v>
      </c>
      <c r="O5615">
        <f>COUNTIFS(F$1:F5615,F5615,A$1:A5615,A5615)</f>
        <v>50</v>
      </c>
      <c r="P5615" t="str">
        <f t="shared" si="263"/>
        <v>A.J. McCarron6</v>
      </c>
    </row>
    <row r="5616" spans="1:16" x14ac:dyDescent="0.25">
      <c r="A5616">
        <v>9</v>
      </c>
      <c r="B5616" t="s">
        <v>1572</v>
      </c>
      <c r="C5616" t="s">
        <v>4719</v>
      </c>
      <c r="D5616">
        <v>0.64</v>
      </c>
      <c r="E5616" t="s">
        <v>25</v>
      </c>
      <c r="F5616" t="s">
        <v>87</v>
      </c>
      <c r="G5616">
        <v>1.22</v>
      </c>
      <c r="H5616">
        <v>0.06</v>
      </c>
      <c r="I5616">
        <v>0.57999999999999996</v>
      </c>
      <c r="J5616">
        <v>0.33639999999999998</v>
      </c>
      <c r="K5616" t="str">
        <f>IFERROR(INDEX(Rosters!$C$2:$C$155,MATCH($B5616,Rosters!$B$2:$B$155,0)),"NA")</f>
        <v>NA</v>
      </c>
      <c r="L5616" t="str">
        <f t="shared" si="261"/>
        <v>NA9WR</v>
      </c>
      <c r="M5616">
        <f>COUNTIF(L$1:L5616,L5616)</f>
        <v>79</v>
      </c>
      <c r="N5616" t="str">
        <f t="shared" si="262"/>
        <v>NA9WR-79</v>
      </c>
      <c r="O5616">
        <f>COUNTIFS(F$1:F5616,F5616,A$1:A5616,A5616)</f>
        <v>123</v>
      </c>
      <c r="P5616" t="str">
        <f t="shared" si="263"/>
        <v>Andy Jones9</v>
      </c>
    </row>
    <row r="5617" spans="1:16" x14ac:dyDescent="0.25">
      <c r="A5617">
        <v>1</v>
      </c>
      <c r="B5617" t="s">
        <v>365</v>
      </c>
      <c r="C5617" t="s">
        <v>1157</v>
      </c>
      <c r="D5617">
        <v>0.64</v>
      </c>
      <c r="E5617" t="s">
        <v>72</v>
      </c>
      <c r="F5617" t="s">
        <v>15</v>
      </c>
      <c r="G5617">
        <v>1.26</v>
      </c>
      <c r="H5617">
        <v>0.02</v>
      </c>
      <c r="I5617">
        <v>0.62</v>
      </c>
      <c r="J5617">
        <v>0.38440000000000002</v>
      </c>
      <c r="K5617" t="str">
        <f>IFERROR(INDEX(Rosters!$C$2:$C$155,MATCH($B5617,Rosters!$B$2:$B$155,0)),"NA")</f>
        <v>NA</v>
      </c>
      <c r="L5617" t="str">
        <f t="shared" si="261"/>
        <v>NA1QB</v>
      </c>
      <c r="M5617">
        <f>COUNTIF(L$1:L5617,L5617)</f>
        <v>30</v>
      </c>
      <c r="N5617" t="str">
        <f t="shared" si="262"/>
        <v>NA1QB-30</v>
      </c>
      <c r="O5617">
        <f>COUNTIFS(F$1:F5617,F5617,A$1:A5617,A5617)</f>
        <v>46</v>
      </c>
      <c r="P5617" t="str">
        <f t="shared" si="263"/>
        <v>Brett Hundley1</v>
      </c>
    </row>
    <row r="5618" spans="1:16" x14ac:dyDescent="0.25">
      <c r="A5618">
        <v>6</v>
      </c>
      <c r="B5618" t="s">
        <v>2661</v>
      </c>
      <c r="C5618" t="s">
        <v>8886</v>
      </c>
      <c r="D5618">
        <v>0.64</v>
      </c>
      <c r="E5618" t="s">
        <v>76</v>
      </c>
      <c r="F5618" t="s">
        <v>87</v>
      </c>
      <c r="G5618">
        <v>1.23</v>
      </c>
      <c r="H5618">
        <v>0.05</v>
      </c>
      <c r="I5618">
        <v>0.59</v>
      </c>
      <c r="J5618">
        <v>0.34810000000000002</v>
      </c>
      <c r="K5618" t="str">
        <f>IFERROR(INDEX(Rosters!$C$2:$C$155,MATCH($B5618,Rosters!$B$2:$B$155,0)),"NA")</f>
        <v>NA</v>
      </c>
      <c r="L5618" t="str">
        <f t="shared" si="261"/>
        <v>NA6WR</v>
      </c>
      <c r="M5618">
        <f>COUNTIF(L$1:L5618,L5618)</f>
        <v>85</v>
      </c>
      <c r="N5618" t="str">
        <f t="shared" si="262"/>
        <v>NA6WR-85</v>
      </c>
      <c r="O5618">
        <f>COUNTIFS(F$1:F5618,F5618,A$1:A5618,A5618)</f>
        <v>135</v>
      </c>
      <c r="P5618" t="str">
        <f t="shared" si="263"/>
        <v>Brice Butler6</v>
      </c>
    </row>
    <row r="5619" spans="1:16" x14ac:dyDescent="0.25">
      <c r="A5619">
        <v>16</v>
      </c>
      <c r="B5619" t="s">
        <v>216</v>
      </c>
      <c r="C5619">
        <f>-0.02-1.3</f>
        <v>-1.32</v>
      </c>
      <c r="D5619">
        <v>0.64</v>
      </c>
      <c r="E5619" t="s">
        <v>24</v>
      </c>
      <c r="F5619" t="s">
        <v>47</v>
      </c>
      <c r="G5619">
        <v>1.3</v>
      </c>
      <c r="H5619">
        <v>-0.02</v>
      </c>
      <c r="I5619">
        <v>0.66</v>
      </c>
      <c r="J5619">
        <v>0.43559999999999999</v>
      </c>
      <c r="K5619" t="str">
        <f>IFERROR(INDEX(Rosters!$C$2:$C$155,MATCH($B5619,Rosters!$B$2:$B$155,0)),"NA")</f>
        <v>NA</v>
      </c>
      <c r="L5619" t="str">
        <f t="shared" si="261"/>
        <v>NA16RB</v>
      </c>
      <c r="M5619">
        <f>COUNTIF(L$1:L5619,L5619)</f>
        <v>52</v>
      </c>
      <c r="N5619" t="str">
        <f t="shared" si="262"/>
        <v>NA16RB-52</v>
      </c>
      <c r="O5619">
        <f>COUNTIFS(F$1:F5619,F5619,A$1:A5619,A5619)</f>
        <v>99</v>
      </c>
      <c r="P5619" t="str">
        <f t="shared" si="263"/>
        <v>C.J. Prosise16</v>
      </c>
    </row>
    <row r="5620" spans="1:16" x14ac:dyDescent="0.25">
      <c r="A5620">
        <v>8</v>
      </c>
      <c r="B5620" t="s">
        <v>357</v>
      </c>
      <c r="C5620">
        <f>-0.03-1.31</f>
        <v>-1.34</v>
      </c>
      <c r="D5620">
        <v>0.64</v>
      </c>
      <c r="E5620" t="s">
        <v>74</v>
      </c>
      <c r="F5620" t="s">
        <v>87</v>
      </c>
      <c r="G5620">
        <v>1.31</v>
      </c>
      <c r="H5620">
        <v>-0.03</v>
      </c>
      <c r="I5620">
        <v>0.67</v>
      </c>
      <c r="J5620">
        <v>0.44890000000000002</v>
      </c>
      <c r="K5620" t="str">
        <f>IFERROR(INDEX(Rosters!$C$2:$C$155,MATCH($B5620,Rosters!$B$2:$B$155,0)),"NA")</f>
        <v>NA</v>
      </c>
      <c r="L5620" t="str">
        <f t="shared" si="261"/>
        <v>NA8WR</v>
      </c>
      <c r="M5620">
        <f>COUNTIF(L$1:L5620,L5620)</f>
        <v>76</v>
      </c>
      <c r="N5620" t="str">
        <f t="shared" si="262"/>
        <v>NA8WR-76</v>
      </c>
      <c r="O5620">
        <f>COUNTIFS(F$1:F5620,F5620,A$1:A5620,A5620)</f>
        <v>125</v>
      </c>
      <c r="P5620" t="str">
        <f t="shared" si="263"/>
        <v>Chris Moore8</v>
      </c>
    </row>
    <row r="5621" spans="1:16" x14ac:dyDescent="0.25">
      <c r="A5621">
        <v>8</v>
      </c>
      <c r="B5621" t="s">
        <v>744</v>
      </c>
      <c r="C5621" t="s">
        <v>8887</v>
      </c>
      <c r="D5621">
        <v>0.64</v>
      </c>
      <c r="E5621" t="s">
        <v>50</v>
      </c>
      <c r="F5621" t="s">
        <v>15</v>
      </c>
      <c r="G5621">
        <v>1.1299999999999999</v>
      </c>
      <c r="H5621">
        <v>0.15</v>
      </c>
      <c r="I5621">
        <v>0.49</v>
      </c>
      <c r="J5621">
        <v>0.24010000000000001</v>
      </c>
      <c r="K5621" t="str">
        <f>IFERROR(INDEX(Rosters!$C$2:$C$155,MATCH($B5621,Rosters!$B$2:$B$155,0)),"NA")</f>
        <v>NA</v>
      </c>
      <c r="L5621" t="str">
        <f t="shared" si="261"/>
        <v>NA8QB</v>
      </c>
      <c r="M5621">
        <f>COUNTIF(L$1:L5621,L5621)</f>
        <v>31</v>
      </c>
      <c r="N5621" t="str">
        <f t="shared" si="262"/>
        <v>NA8QB-31</v>
      </c>
      <c r="O5621">
        <f>COUNTIFS(F$1:F5621,F5621,A$1:A5621,A5621)</f>
        <v>46</v>
      </c>
      <c r="P5621" t="str">
        <f t="shared" si="263"/>
        <v>Cody Kessler8</v>
      </c>
    </row>
    <row r="5622" spans="1:16" x14ac:dyDescent="0.25">
      <c r="A5622">
        <v>6</v>
      </c>
      <c r="B5622" t="s">
        <v>317</v>
      </c>
      <c r="C5622" t="s">
        <v>4723</v>
      </c>
      <c r="D5622">
        <v>0.64</v>
      </c>
      <c r="E5622" t="s">
        <v>52</v>
      </c>
      <c r="F5622" t="s">
        <v>47</v>
      </c>
      <c r="G5622">
        <v>1.18</v>
      </c>
      <c r="H5622">
        <v>0.1</v>
      </c>
      <c r="I5622">
        <v>0.54</v>
      </c>
      <c r="J5622">
        <v>0.29160000000000003</v>
      </c>
      <c r="K5622" t="str">
        <f>IFERROR(INDEX(Rosters!$C$2:$C$155,MATCH($B5622,Rosters!$B$2:$B$155,0)),"NA")</f>
        <v>NA</v>
      </c>
      <c r="L5622" t="str">
        <f t="shared" si="261"/>
        <v>NA6RB</v>
      </c>
      <c r="M5622">
        <f>COUNTIF(L$1:L5622,L5622)</f>
        <v>45</v>
      </c>
      <c r="N5622" t="str">
        <f t="shared" si="262"/>
        <v>NA6RB-45</v>
      </c>
      <c r="O5622">
        <f>COUNTIFS(F$1:F5622,F5622,A$1:A5622,A5622)</f>
        <v>87</v>
      </c>
      <c r="P5622" t="str">
        <f t="shared" si="263"/>
        <v>Derek Watt6</v>
      </c>
    </row>
    <row r="5623" spans="1:16" x14ac:dyDescent="0.25">
      <c r="A5623">
        <v>15</v>
      </c>
      <c r="B5623" t="s">
        <v>91</v>
      </c>
      <c r="C5623" t="s">
        <v>4720</v>
      </c>
      <c r="D5623">
        <v>0.64</v>
      </c>
      <c r="E5623" t="s">
        <v>72</v>
      </c>
      <c r="F5623" t="s">
        <v>15</v>
      </c>
      <c r="G5623">
        <v>1.21</v>
      </c>
      <c r="H5623">
        <v>7.0000000000000007E-2</v>
      </c>
      <c r="I5623">
        <v>0.56999999999999995</v>
      </c>
      <c r="J5623">
        <v>0.32490000000000002</v>
      </c>
      <c r="K5623" t="str">
        <f>IFERROR(INDEX(Rosters!$C$2:$C$155,MATCH($B5623,Rosters!$B$2:$B$155,0)),"NA")</f>
        <v>NA</v>
      </c>
      <c r="L5623" t="str">
        <f t="shared" si="261"/>
        <v>NA15QB</v>
      </c>
      <c r="M5623">
        <f>COUNTIF(L$1:L5623,L5623)</f>
        <v>36</v>
      </c>
      <c r="N5623" t="str">
        <f t="shared" si="262"/>
        <v>NA15QB-36</v>
      </c>
      <c r="O5623">
        <f>COUNTIFS(F$1:F5623,F5623,A$1:A5623,A5623)</f>
        <v>53</v>
      </c>
      <c r="P5623" t="str">
        <f t="shared" si="263"/>
        <v>DeShone Kizer15</v>
      </c>
    </row>
    <row r="5624" spans="1:16" x14ac:dyDescent="0.25">
      <c r="A5624">
        <v>12</v>
      </c>
      <c r="B5624" t="s">
        <v>1132</v>
      </c>
      <c r="C5624" t="s">
        <v>4721</v>
      </c>
      <c r="D5624">
        <v>0.64</v>
      </c>
      <c r="E5624" t="s">
        <v>58</v>
      </c>
      <c r="F5624" t="s">
        <v>87</v>
      </c>
      <c r="G5624">
        <v>1.28</v>
      </c>
      <c r="H5624">
        <v>0</v>
      </c>
      <c r="I5624">
        <v>0.64</v>
      </c>
      <c r="J5624">
        <v>0.40960000000000002</v>
      </c>
      <c r="K5624" t="str">
        <f>IFERROR(INDEX(Rosters!$C$2:$C$155,MATCH($B5624,Rosters!$B$2:$B$155,0)),"NA")</f>
        <v>NA</v>
      </c>
      <c r="L5624" t="str">
        <f t="shared" si="261"/>
        <v>NA12WR</v>
      </c>
      <c r="M5624">
        <f>COUNTIF(L$1:L5624,L5624)</f>
        <v>82</v>
      </c>
      <c r="N5624" t="str">
        <f t="shared" si="262"/>
        <v>NA12WR-82</v>
      </c>
      <c r="O5624">
        <f>COUNTIFS(F$1:F5624,F5624,A$1:A5624,A5624)</f>
        <v>131</v>
      </c>
      <c r="P5624" t="str">
        <f t="shared" si="263"/>
        <v>Geremy Davis12</v>
      </c>
    </row>
    <row r="5625" spans="1:16" x14ac:dyDescent="0.25">
      <c r="A5625">
        <v>9</v>
      </c>
      <c r="B5625" t="s">
        <v>1490</v>
      </c>
      <c r="C5625">
        <f>-0.05-1.33</f>
        <v>-1.3800000000000001</v>
      </c>
      <c r="D5625">
        <v>0.64</v>
      </c>
      <c r="E5625" t="s">
        <v>37</v>
      </c>
      <c r="F5625" t="s">
        <v>47</v>
      </c>
      <c r="G5625">
        <v>1.33</v>
      </c>
      <c r="H5625">
        <v>-0.05</v>
      </c>
      <c r="I5625">
        <v>0.69</v>
      </c>
      <c r="J5625">
        <v>0.47610000000000002</v>
      </c>
      <c r="K5625" t="str">
        <f>IFERROR(INDEX(Rosters!$C$2:$C$155,MATCH($B5625,Rosters!$B$2:$B$155,0)),"NA")</f>
        <v>NA</v>
      </c>
      <c r="L5625" t="str">
        <f t="shared" si="261"/>
        <v>NA9RB</v>
      </c>
      <c r="M5625">
        <f>COUNTIF(L$1:L5625,L5625)</f>
        <v>41</v>
      </c>
      <c r="N5625" t="str">
        <f t="shared" si="262"/>
        <v>NA9RB-41</v>
      </c>
      <c r="O5625">
        <f>COUNTIFS(F$1:F5625,F5625,A$1:A5625,A5625)</f>
        <v>81</v>
      </c>
      <c r="P5625" t="str">
        <f t="shared" si="263"/>
        <v>J.D. McKissic9</v>
      </c>
    </row>
    <row r="5626" spans="1:16" x14ac:dyDescent="0.25">
      <c r="A5626">
        <v>10</v>
      </c>
      <c r="B5626" t="s">
        <v>1497</v>
      </c>
      <c r="C5626" t="s">
        <v>4723</v>
      </c>
      <c r="D5626">
        <v>0.64</v>
      </c>
      <c r="E5626" t="s">
        <v>76</v>
      </c>
      <c r="F5626" t="s">
        <v>15</v>
      </c>
      <c r="G5626">
        <v>1.18</v>
      </c>
      <c r="H5626">
        <v>0.1</v>
      </c>
      <c r="I5626">
        <v>0.54</v>
      </c>
      <c r="J5626">
        <v>0.29160000000000003</v>
      </c>
      <c r="K5626" t="str">
        <f>IFERROR(INDEX(Rosters!$C$2:$C$155,MATCH($B5626,Rosters!$B$2:$B$155,0)),"NA")</f>
        <v>NA</v>
      </c>
      <c r="L5626" t="str">
        <f t="shared" si="261"/>
        <v>NA10QB</v>
      </c>
      <c r="M5626">
        <f>COUNTIF(L$1:L5626,L5626)</f>
        <v>30</v>
      </c>
      <c r="N5626" t="str">
        <f t="shared" si="262"/>
        <v>NA10QB-30</v>
      </c>
      <c r="O5626">
        <f>COUNTIFS(F$1:F5626,F5626,A$1:A5626,A5626)</f>
        <v>46</v>
      </c>
      <c r="P5626" t="str">
        <f t="shared" si="263"/>
        <v>Jacoby Brissett10</v>
      </c>
    </row>
    <row r="5627" spans="1:16" x14ac:dyDescent="0.25">
      <c r="A5627">
        <v>5</v>
      </c>
      <c r="B5627" t="s">
        <v>4251</v>
      </c>
      <c r="C5627" t="s">
        <v>4721</v>
      </c>
      <c r="D5627">
        <v>0.64</v>
      </c>
      <c r="E5627" t="s">
        <v>38</v>
      </c>
      <c r="F5627" t="s">
        <v>114</v>
      </c>
      <c r="G5627">
        <v>1.28</v>
      </c>
      <c r="H5627">
        <v>0</v>
      </c>
      <c r="I5627">
        <v>0.64</v>
      </c>
      <c r="J5627">
        <v>0.40960000000000002</v>
      </c>
      <c r="K5627" t="str">
        <f>IFERROR(INDEX(Rosters!$C$2:$C$155,MATCH($B5627,Rosters!$B$2:$B$155,0)),"NA")</f>
        <v>NA</v>
      </c>
      <c r="L5627" t="str">
        <f t="shared" si="261"/>
        <v>NA5TE</v>
      </c>
      <c r="M5627">
        <f>COUNTIF(L$1:L5627,L5627)</f>
        <v>58</v>
      </c>
      <c r="N5627" t="str">
        <f t="shared" si="262"/>
        <v>NA5TE-58</v>
      </c>
      <c r="O5627">
        <f>COUNTIFS(F$1:F5627,F5627,A$1:A5627,A5627)</f>
        <v>69</v>
      </c>
      <c r="P5627" t="str">
        <f t="shared" si="263"/>
        <v>Jason Croom5</v>
      </c>
    </row>
    <row r="5628" spans="1:16" x14ac:dyDescent="0.25">
      <c r="A5628">
        <v>16</v>
      </c>
      <c r="B5628" t="s">
        <v>8885</v>
      </c>
      <c r="C5628">
        <f>-0.1-1.38</f>
        <v>-1.48</v>
      </c>
      <c r="D5628">
        <v>0.64</v>
      </c>
      <c r="E5628" t="s">
        <v>30</v>
      </c>
      <c r="F5628" t="s">
        <v>87</v>
      </c>
      <c r="G5628">
        <v>1.38</v>
      </c>
      <c r="H5628">
        <v>-0.1</v>
      </c>
      <c r="I5628">
        <v>0.74</v>
      </c>
      <c r="J5628">
        <v>0.54759999999999998</v>
      </c>
      <c r="K5628" t="str">
        <f>IFERROR(INDEX(Rosters!$C$2:$C$155,MATCH($B5628,Rosters!$B$2:$B$155,0)),"NA")</f>
        <v>NA</v>
      </c>
      <c r="L5628" t="str">
        <f t="shared" si="261"/>
        <v>NA16WR</v>
      </c>
      <c r="M5628">
        <f>COUNTIF(L$1:L5628,L5628)</f>
        <v>87</v>
      </c>
      <c r="N5628" t="str">
        <f t="shared" si="262"/>
        <v>NA16WR-87</v>
      </c>
      <c r="O5628">
        <f>COUNTIFS(F$1:F5628,F5628,A$1:A5628,A5628)</f>
        <v>141</v>
      </c>
      <c r="P5628" t="str">
        <f t="shared" si="263"/>
        <v>Javon Wims16</v>
      </c>
    </row>
    <row r="5629" spans="1:16" x14ac:dyDescent="0.25">
      <c r="A5629">
        <v>16</v>
      </c>
      <c r="B5629" t="s">
        <v>8640</v>
      </c>
      <c r="C5629">
        <f>-0.05-1.33</f>
        <v>-1.3800000000000001</v>
      </c>
      <c r="D5629">
        <v>0.64</v>
      </c>
      <c r="E5629" t="s">
        <v>66</v>
      </c>
      <c r="F5629" t="s">
        <v>87</v>
      </c>
      <c r="G5629">
        <v>1.33</v>
      </c>
      <c r="H5629">
        <v>-0.05</v>
      </c>
      <c r="I5629">
        <v>0.69</v>
      </c>
      <c r="J5629">
        <v>0.47610000000000002</v>
      </c>
      <c r="K5629" t="str">
        <f>IFERROR(INDEX(Rosters!$C$2:$C$155,MATCH($B5629,Rosters!$B$2:$B$155,0)),"NA")</f>
        <v>NA</v>
      </c>
      <c r="L5629" t="str">
        <f t="shared" si="261"/>
        <v>NA16WR</v>
      </c>
      <c r="M5629">
        <f>COUNTIF(L$1:L5629,L5629)</f>
        <v>88</v>
      </c>
      <c r="N5629" t="str">
        <f t="shared" si="262"/>
        <v>NA16WR-88</v>
      </c>
      <c r="O5629">
        <f>COUNTIFS(F$1:F5629,F5629,A$1:A5629,A5629)</f>
        <v>142</v>
      </c>
      <c r="P5629" t="str">
        <f t="shared" si="263"/>
        <v>Jawill Davis16</v>
      </c>
    </row>
    <row r="5630" spans="1:16" x14ac:dyDescent="0.25">
      <c r="A5630">
        <v>8</v>
      </c>
      <c r="B5630" t="s">
        <v>1548</v>
      </c>
      <c r="C5630" t="s">
        <v>8888</v>
      </c>
      <c r="D5630">
        <v>0.64</v>
      </c>
      <c r="E5630" t="s">
        <v>54</v>
      </c>
      <c r="F5630" t="s">
        <v>114</v>
      </c>
      <c r="G5630">
        <v>1.25</v>
      </c>
      <c r="H5630">
        <v>0.03</v>
      </c>
      <c r="I5630">
        <v>0.61</v>
      </c>
      <c r="J5630">
        <v>0.37209999999999999</v>
      </c>
      <c r="K5630" t="str">
        <f>IFERROR(INDEX(Rosters!$C$2:$C$155,MATCH($B5630,Rosters!$B$2:$B$155,0)),"NA")</f>
        <v>NA</v>
      </c>
      <c r="L5630" t="str">
        <f t="shared" si="261"/>
        <v>NA8TE</v>
      </c>
      <c r="M5630">
        <f>COUNTIF(L$1:L5630,L5630)</f>
        <v>53</v>
      </c>
      <c r="N5630" t="str">
        <f t="shared" si="262"/>
        <v>NA8TE-53</v>
      </c>
      <c r="O5630">
        <f>COUNTIFS(F$1:F5630,F5630,A$1:A5630,A5630)</f>
        <v>65</v>
      </c>
      <c r="P5630" t="str">
        <f t="shared" si="263"/>
        <v>Jeremy Sprinkle8</v>
      </c>
    </row>
    <row r="5631" spans="1:16" x14ac:dyDescent="0.25">
      <c r="A5631">
        <v>11</v>
      </c>
      <c r="B5631" t="s">
        <v>4264</v>
      </c>
      <c r="C5631">
        <f>-0.15-1.43</f>
        <v>-1.5799999999999998</v>
      </c>
      <c r="D5631">
        <v>0.64</v>
      </c>
      <c r="E5631" t="s">
        <v>24</v>
      </c>
      <c r="F5631" t="s">
        <v>87</v>
      </c>
      <c r="G5631">
        <v>1.43</v>
      </c>
      <c r="H5631">
        <v>-0.15</v>
      </c>
      <c r="I5631">
        <v>0.79</v>
      </c>
      <c r="J5631">
        <v>0.62409999999999999</v>
      </c>
      <c r="K5631" t="str">
        <f>IFERROR(INDEX(Rosters!$C$2:$C$155,MATCH($B5631,Rosters!$B$2:$B$155,0)),"NA")</f>
        <v>NA</v>
      </c>
      <c r="L5631" t="str">
        <f t="shared" si="261"/>
        <v>NA11WR</v>
      </c>
      <c r="M5631">
        <f>COUNTIF(L$1:L5631,L5631)</f>
        <v>72</v>
      </c>
      <c r="N5631" t="str">
        <f t="shared" si="262"/>
        <v>NA11WR-72</v>
      </c>
      <c r="O5631">
        <f>COUNTIFS(F$1:F5631,F5631,A$1:A5631,A5631)</f>
        <v>119</v>
      </c>
      <c r="P5631" t="str">
        <f t="shared" si="263"/>
        <v>JoJo Natson11</v>
      </c>
    </row>
    <row r="5632" spans="1:16" x14ac:dyDescent="0.25">
      <c r="A5632">
        <v>17</v>
      </c>
      <c r="B5632" t="s">
        <v>4264</v>
      </c>
      <c r="C5632">
        <f>-0.14-1.42</f>
        <v>-1.56</v>
      </c>
      <c r="D5632">
        <v>0.64</v>
      </c>
      <c r="E5632" t="s">
        <v>30</v>
      </c>
      <c r="F5632" t="s">
        <v>87</v>
      </c>
      <c r="G5632">
        <v>1.42</v>
      </c>
      <c r="H5632">
        <v>-0.14000000000000001</v>
      </c>
      <c r="I5632">
        <v>0.78</v>
      </c>
      <c r="J5632">
        <v>0.60840000000000005</v>
      </c>
      <c r="K5632" t="str">
        <f>IFERROR(INDEX(Rosters!$C$2:$C$155,MATCH($B5632,Rosters!$B$2:$B$155,0)),"NA")</f>
        <v>NA</v>
      </c>
      <c r="L5632" t="str">
        <f t="shared" si="261"/>
        <v>NA17WR</v>
      </c>
      <c r="M5632">
        <f>COUNTIF(L$1:L5632,L5632)</f>
        <v>87</v>
      </c>
      <c r="N5632" t="str">
        <f t="shared" si="262"/>
        <v>NA17WR-87</v>
      </c>
      <c r="O5632">
        <f>COUNTIFS(F$1:F5632,F5632,A$1:A5632,A5632)</f>
        <v>141</v>
      </c>
      <c r="P5632" t="str">
        <f t="shared" si="263"/>
        <v>JoJo Natson17</v>
      </c>
    </row>
    <row r="5633" spans="1:16" x14ac:dyDescent="0.25">
      <c r="A5633">
        <v>17</v>
      </c>
      <c r="B5633" t="s">
        <v>335</v>
      </c>
      <c r="C5633" t="s">
        <v>8886</v>
      </c>
      <c r="D5633">
        <v>0.64</v>
      </c>
      <c r="E5633" t="s">
        <v>37</v>
      </c>
      <c r="F5633" t="s">
        <v>87</v>
      </c>
      <c r="G5633">
        <v>1.23</v>
      </c>
      <c r="H5633">
        <v>0.05</v>
      </c>
      <c r="I5633">
        <v>0.59</v>
      </c>
      <c r="J5633">
        <v>0.34810000000000002</v>
      </c>
      <c r="K5633" t="str">
        <f>IFERROR(INDEX(Rosters!$C$2:$C$155,MATCH($B5633,Rosters!$B$2:$B$155,0)),"NA")</f>
        <v>NA</v>
      </c>
      <c r="L5633" t="str">
        <f t="shared" si="261"/>
        <v>NA17WR</v>
      </c>
      <c r="M5633">
        <f>COUNTIF(L$1:L5633,L5633)</f>
        <v>88</v>
      </c>
      <c r="N5633" t="str">
        <f t="shared" si="262"/>
        <v>NA17WR-88</v>
      </c>
      <c r="O5633">
        <f>COUNTIFS(F$1:F5633,F5633,A$1:A5633,A5633)</f>
        <v>142</v>
      </c>
      <c r="P5633" t="str">
        <f t="shared" si="263"/>
        <v>Jordan Taylor17</v>
      </c>
    </row>
    <row r="5634" spans="1:16" x14ac:dyDescent="0.25">
      <c r="A5634">
        <v>8</v>
      </c>
      <c r="B5634" t="s">
        <v>4238</v>
      </c>
      <c r="C5634">
        <f>-0.26-1.54</f>
        <v>-1.8</v>
      </c>
      <c r="D5634">
        <v>0.64</v>
      </c>
      <c r="E5634" t="s">
        <v>42</v>
      </c>
      <c r="F5634" t="s">
        <v>87</v>
      </c>
      <c r="G5634">
        <v>1.54</v>
      </c>
      <c r="H5634">
        <v>-0.26</v>
      </c>
      <c r="I5634">
        <v>0.9</v>
      </c>
      <c r="J5634">
        <v>0.81</v>
      </c>
      <c r="K5634" t="str">
        <f>IFERROR(INDEX(Rosters!$C$2:$C$155,MATCH($B5634,Rosters!$B$2:$B$155,0)),"NA")</f>
        <v>NA</v>
      </c>
      <c r="L5634" t="str">
        <f t="shared" si="261"/>
        <v>NA8WR</v>
      </c>
      <c r="M5634">
        <f>COUNTIF(L$1:L5634,L5634)</f>
        <v>77</v>
      </c>
      <c r="N5634" t="str">
        <f t="shared" si="262"/>
        <v>NA8WR-77</v>
      </c>
      <c r="O5634">
        <f>COUNTIFS(F$1:F5634,F5634,A$1:A5634,A5634)</f>
        <v>126</v>
      </c>
      <c r="P5634" t="str">
        <f t="shared" si="263"/>
        <v>Marcus Kemp8</v>
      </c>
    </row>
    <row r="5635" spans="1:16" x14ac:dyDescent="0.25">
      <c r="A5635">
        <v>16</v>
      </c>
      <c r="B5635" t="s">
        <v>4238</v>
      </c>
      <c r="C5635">
        <f>-0.26-1.54</f>
        <v>-1.8</v>
      </c>
      <c r="D5635">
        <v>0.64</v>
      </c>
      <c r="E5635" t="s">
        <v>28</v>
      </c>
      <c r="F5635" t="s">
        <v>87</v>
      </c>
      <c r="G5635">
        <v>1.54</v>
      </c>
      <c r="H5635">
        <v>-0.26</v>
      </c>
      <c r="I5635">
        <v>0.9</v>
      </c>
      <c r="J5635">
        <v>0.81</v>
      </c>
      <c r="K5635" t="str">
        <f>IFERROR(INDEX(Rosters!$C$2:$C$155,MATCH($B5635,Rosters!$B$2:$B$155,0)),"NA")</f>
        <v>NA</v>
      </c>
      <c r="L5635" t="str">
        <f t="shared" ref="L5635:L5698" si="264">K5635&amp;A5635&amp;F5635</f>
        <v>NA16WR</v>
      </c>
      <c r="M5635">
        <f>COUNTIF(L$1:L5635,L5635)</f>
        <v>89</v>
      </c>
      <c r="N5635" t="str">
        <f t="shared" ref="N5635:N5698" si="265">L5635&amp;"-"&amp;M5635</f>
        <v>NA16WR-89</v>
      </c>
      <c r="O5635">
        <f>COUNTIFS(F$1:F5635,F5635,A$1:A5635,A5635)</f>
        <v>143</v>
      </c>
      <c r="P5635" t="str">
        <f t="shared" ref="P5635:P5698" si="266">B5635&amp;A5635</f>
        <v>Marcus Kemp16</v>
      </c>
    </row>
    <row r="5636" spans="1:16" x14ac:dyDescent="0.25">
      <c r="A5636">
        <v>13</v>
      </c>
      <c r="B5636" t="s">
        <v>345</v>
      </c>
      <c r="C5636" t="s">
        <v>4722</v>
      </c>
      <c r="D5636">
        <v>0.64</v>
      </c>
      <c r="E5636" t="s">
        <v>77</v>
      </c>
      <c r="F5636" t="s">
        <v>15</v>
      </c>
      <c r="G5636">
        <v>1.19</v>
      </c>
      <c r="H5636">
        <v>0.09</v>
      </c>
      <c r="I5636">
        <v>0.55000000000000004</v>
      </c>
      <c r="J5636">
        <v>0.30249999999999999</v>
      </c>
      <c r="K5636" t="str">
        <f>IFERROR(INDEX(Rosters!$C$2:$C$155,MATCH($B5636,Rosters!$B$2:$B$155,0)),"NA")</f>
        <v>NA</v>
      </c>
      <c r="L5636" t="str">
        <f t="shared" si="264"/>
        <v>NA13QB</v>
      </c>
      <c r="M5636">
        <f>COUNTIF(L$1:L5636,L5636)</f>
        <v>36</v>
      </c>
      <c r="N5636" t="str">
        <f t="shared" si="265"/>
        <v>NA13QB-36</v>
      </c>
      <c r="O5636">
        <f>COUNTIFS(F$1:F5636,F5636,A$1:A5636,A5636)</f>
        <v>53</v>
      </c>
      <c r="P5636" t="str">
        <f t="shared" si="266"/>
        <v>Matt Schaub13</v>
      </c>
    </row>
    <row r="5637" spans="1:16" x14ac:dyDescent="0.25">
      <c r="A5637">
        <v>7</v>
      </c>
      <c r="B5637" t="s">
        <v>391</v>
      </c>
      <c r="C5637">
        <f>-0.01-1.29</f>
        <v>-1.3</v>
      </c>
      <c r="D5637">
        <v>0.64</v>
      </c>
      <c r="E5637" t="s">
        <v>72</v>
      </c>
      <c r="F5637" t="s">
        <v>87</v>
      </c>
      <c r="G5637">
        <v>1.29</v>
      </c>
      <c r="H5637">
        <v>-0.01</v>
      </c>
      <c r="I5637">
        <v>0.65</v>
      </c>
      <c r="J5637">
        <v>0.42249999999999999</v>
      </c>
      <c r="K5637" t="str">
        <f>IFERROR(INDEX(Rosters!$C$2:$C$155,MATCH($B5637,Rosters!$B$2:$B$155,0)),"NA")</f>
        <v>NA</v>
      </c>
      <c r="L5637" t="str">
        <f t="shared" si="264"/>
        <v>NA7WR</v>
      </c>
      <c r="M5637">
        <f>COUNTIF(L$1:L5637,L5637)</f>
        <v>76</v>
      </c>
      <c r="N5637" t="str">
        <f t="shared" si="265"/>
        <v>NA7WR-76</v>
      </c>
      <c r="O5637">
        <f>COUNTIFS(F$1:F5637,F5637,A$1:A5637,A5637)</f>
        <v>121</v>
      </c>
      <c r="P5637" t="str">
        <f t="shared" si="266"/>
        <v>Matt Slater7</v>
      </c>
    </row>
    <row r="5638" spans="1:16" x14ac:dyDescent="0.25">
      <c r="A5638">
        <v>5</v>
      </c>
      <c r="B5638" t="s">
        <v>1146</v>
      </c>
      <c r="C5638">
        <f>-0.13-1.41</f>
        <v>-1.54</v>
      </c>
      <c r="D5638">
        <v>0.64</v>
      </c>
      <c r="E5638" t="s">
        <v>14</v>
      </c>
      <c r="F5638" t="s">
        <v>87</v>
      </c>
      <c r="G5638">
        <v>1.41</v>
      </c>
      <c r="H5638">
        <v>-0.13</v>
      </c>
      <c r="I5638">
        <v>0.77</v>
      </c>
      <c r="J5638">
        <v>0.59289999999999998</v>
      </c>
      <c r="K5638" t="str">
        <f>IFERROR(INDEX(Rosters!$C$2:$C$155,MATCH($B5638,Rosters!$B$2:$B$155,0)),"NA")</f>
        <v>NA</v>
      </c>
      <c r="L5638" t="str">
        <f t="shared" si="264"/>
        <v>NA5WR</v>
      </c>
      <c r="M5638">
        <f>COUNTIF(L$1:L5638,L5638)</f>
        <v>89</v>
      </c>
      <c r="N5638" t="str">
        <f t="shared" si="265"/>
        <v>NA5WR-89</v>
      </c>
      <c r="O5638">
        <f>COUNTIFS(F$1:F5638,F5638,A$1:A5638,A5638)</f>
        <v>139</v>
      </c>
      <c r="P5638" t="str">
        <f t="shared" si="266"/>
        <v>Maurice Harris5</v>
      </c>
    </row>
    <row r="5639" spans="1:16" x14ac:dyDescent="0.25">
      <c r="A5639">
        <v>17</v>
      </c>
      <c r="B5639" t="s">
        <v>1146</v>
      </c>
      <c r="C5639" t="s">
        <v>8889</v>
      </c>
      <c r="D5639">
        <v>0.64</v>
      </c>
      <c r="E5639" t="s">
        <v>50</v>
      </c>
      <c r="F5639" t="s">
        <v>87</v>
      </c>
      <c r="G5639">
        <v>1.27</v>
      </c>
      <c r="H5639">
        <v>0.01</v>
      </c>
      <c r="I5639">
        <v>0.63</v>
      </c>
      <c r="J5639">
        <v>0.39689999999999998</v>
      </c>
      <c r="K5639" t="str">
        <f>IFERROR(INDEX(Rosters!$C$2:$C$155,MATCH($B5639,Rosters!$B$2:$B$155,0)),"NA")</f>
        <v>NA</v>
      </c>
      <c r="L5639" t="str">
        <f t="shared" si="264"/>
        <v>NA17WR</v>
      </c>
      <c r="M5639">
        <f>COUNTIF(L$1:L5639,L5639)</f>
        <v>89</v>
      </c>
      <c r="N5639" t="str">
        <f t="shared" si="265"/>
        <v>NA17WR-89</v>
      </c>
      <c r="O5639">
        <f>COUNTIFS(F$1:F5639,F5639,A$1:A5639,A5639)</f>
        <v>143</v>
      </c>
      <c r="P5639" t="str">
        <f t="shared" si="266"/>
        <v>Maurice Harris17</v>
      </c>
    </row>
    <row r="5640" spans="1:16" x14ac:dyDescent="0.25">
      <c r="A5640">
        <v>4</v>
      </c>
      <c r="B5640" t="s">
        <v>4248</v>
      </c>
      <c r="C5640" t="s">
        <v>4723</v>
      </c>
      <c r="D5640">
        <v>0.64</v>
      </c>
      <c r="E5640" t="s">
        <v>22</v>
      </c>
      <c r="F5640" t="s">
        <v>47</v>
      </c>
      <c r="G5640">
        <v>1.18</v>
      </c>
      <c r="H5640">
        <v>0.1</v>
      </c>
      <c r="I5640">
        <v>0.54</v>
      </c>
      <c r="J5640">
        <v>0.29160000000000003</v>
      </c>
      <c r="K5640" t="str">
        <f>IFERROR(INDEX(Rosters!$C$2:$C$155,MATCH($B5640,Rosters!$B$2:$B$155,0)),"NA")</f>
        <v>NA</v>
      </c>
      <c r="L5640" t="str">
        <f t="shared" si="264"/>
        <v>NA4RB</v>
      </c>
      <c r="M5640">
        <f>COUNTIF(L$1:L5640,L5640)</f>
        <v>45</v>
      </c>
      <c r="N5640" t="str">
        <f t="shared" si="265"/>
        <v>NA4RB-45</v>
      </c>
      <c r="O5640">
        <f>COUNTIFS(F$1:F5640,F5640,A$1:A5640,A5640)</f>
        <v>84</v>
      </c>
      <c r="P5640" t="str">
        <f t="shared" si="266"/>
        <v>Nick Bellore4</v>
      </c>
    </row>
    <row r="5641" spans="1:16" x14ac:dyDescent="0.25">
      <c r="A5641">
        <v>5</v>
      </c>
      <c r="B5641" t="s">
        <v>3036</v>
      </c>
      <c r="C5641">
        <f>-0.07-1.35</f>
        <v>-1.4200000000000002</v>
      </c>
      <c r="D5641">
        <v>0.64</v>
      </c>
      <c r="E5641" t="s">
        <v>29</v>
      </c>
      <c r="F5641" t="s">
        <v>87</v>
      </c>
      <c r="G5641">
        <v>1.35</v>
      </c>
      <c r="H5641">
        <v>-7.0000000000000007E-2</v>
      </c>
      <c r="I5641">
        <v>0.71</v>
      </c>
      <c r="J5641">
        <v>0.50409999999999999</v>
      </c>
      <c r="K5641" t="str">
        <f>IFERROR(INDEX(Rosters!$C$2:$C$155,MATCH($B5641,Rosters!$B$2:$B$155,0)),"NA")</f>
        <v>NA</v>
      </c>
      <c r="L5641" t="str">
        <f t="shared" si="264"/>
        <v>NA5WR</v>
      </c>
      <c r="M5641">
        <f>COUNTIF(L$1:L5641,L5641)</f>
        <v>90</v>
      </c>
      <c r="N5641" t="str">
        <f t="shared" si="265"/>
        <v>NA5WR-90</v>
      </c>
      <c r="O5641">
        <f>COUNTIFS(F$1:F5641,F5641,A$1:A5641,A5641)</f>
        <v>140</v>
      </c>
      <c r="P5641" t="str">
        <f t="shared" si="266"/>
        <v>Nick Williams5</v>
      </c>
    </row>
    <row r="5642" spans="1:16" x14ac:dyDescent="0.25">
      <c r="A5642">
        <v>5</v>
      </c>
      <c r="B5642" t="s">
        <v>1618</v>
      </c>
      <c r="C5642">
        <f>-0.11-1.39</f>
        <v>-1.5</v>
      </c>
      <c r="D5642">
        <v>0.64</v>
      </c>
      <c r="E5642" t="s">
        <v>56</v>
      </c>
      <c r="F5642" t="s">
        <v>47</v>
      </c>
      <c r="G5642">
        <v>1.39</v>
      </c>
      <c r="H5642">
        <v>-0.11</v>
      </c>
      <c r="I5642">
        <v>0.75</v>
      </c>
      <c r="J5642">
        <v>0.5625</v>
      </c>
      <c r="K5642" t="str">
        <f>IFERROR(INDEX(Rosters!$C$2:$C$155,MATCH($B5642,Rosters!$B$2:$B$155,0)),"NA")</f>
        <v>NA</v>
      </c>
      <c r="L5642" t="str">
        <f t="shared" si="264"/>
        <v>NA5RB</v>
      </c>
      <c r="M5642">
        <f>COUNTIF(L$1:L5642,L5642)</f>
        <v>52</v>
      </c>
      <c r="N5642" t="str">
        <f t="shared" si="265"/>
        <v>NA5RB-52</v>
      </c>
      <c r="O5642">
        <f>COUNTIFS(F$1:F5642,F5642,A$1:A5642,A5642)</f>
        <v>95</v>
      </c>
      <c r="P5642" t="str">
        <f t="shared" si="266"/>
        <v>Tre Madden5</v>
      </c>
    </row>
    <row r="5643" spans="1:16" x14ac:dyDescent="0.25">
      <c r="A5643">
        <v>9</v>
      </c>
      <c r="B5643" t="s">
        <v>1618</v>
      </c>
      <c r="C5643" t="s">
        <v>4723</v>
      </c>
      <c r="D5643">
        <v>0.64</v>
      </c>
      <c r="E5643" t="s">
        <v>37</v>
      </c>
      <c r="F5643" t="s">
        <v>47</v>
      </c>
      <c r="G5643">
        <v>1.18</v>
      </c>
      <c r="H5643">
        <v>0.1</v>
      </c>
      <c r="I5643">
        <v>0.54</v>
      </c>
      <c r="J5643">
        <v>0.29160000000000003</v>
      </c>
      <c r="K5643" t="str">
        <f>IFERROR(INDEX(Rosters!$C$2:$C$155,MATCH($B5643,Rosters!$B$2:$B$155,0)),"NA")</f>
        <v>NA</v>
      </c>
      <c r="L5643" t="str">
        <f t="shared" si="264"/>
        <v>NA9RB</v>
      </c>
      <c r="M5643">
        <f>COUNTIF(L$1:L5643,L5643)</f>
        <v>42</v>
      </c>
      <c r="N5643" t="str">
        <f t="shared" si="265"/>
        <v>NA9RB-42</v>
      </c>
      <c r="O5643">
        <f>COUNTIFS(F$1:F5643,F5643,A$1:A5643,A5643)</f>
        <v>82</v>
      </c>
      <c r="P5643" t="str">
        <f t="shared" si="266"/>
        <v>Tre Madden9</v>
      </c>
    </row>
    <row r="5644" spans="1:16" x14ac:dyDescent="0.25">
      <c r="A5644">
        <v>3</v>
      </c>
      <c r="B5644" t="s">
        <v>324</v>
      </c>
      <c r="C5644" t="s">
        <v>1582</v>
      </c>
      <c r="D5644">
        <v>0.63</v>
      </c>
      <c r="E5644" t="s">
        <v>19</v>
      </c>
      <c r="F5644" t="s">
        <v>15</v>
      </c>
      <c r="G5644">
        <v>1.1599999999999999</v>
      </c>
      <c r="H5644">
        <v>0.1</v>
      </c>
      <c r="I5644">
        <v>0.53</v>
      </c>
      <c r="J5644">
        <v>0.28089999999999998</v>
      </c>
      <c r="K5644" t="str">
        <f>IFERROR(INDEX(Rosters!$C$2:$C$155,MATCH($B5644,Rosters!$B$2:$B$155,0)),"NA")</f>
        <v>NA</v>
      </c>
      <c r="L5644" t="str">
        <f t="shared" si="264"/>
        <v>NA3QB</v>
      </c>
      <c r="M5644">
        <f>COUNTIF(L$1:L5644,L5644)</f>
        <v>32</v>
      </c>
      <c r="N5644" t="str">
        <f t="shared" si="265"/>
        <v>NA3QB-32</v>
      </c>
      <c r="O5644">
        <f>COUNTIFS(F$1:F5644,F5644,A$1:A5644,A5644)</f>
        <v>49</v>
      </c>
      <c r="P5644" t="str">
        <f t="shared" si="266"/>
        <v>A.J. McCarron3</v>
      </c>
    </row>
    <row r="5645" spans="1:16" x14ac:dyDescent="0.25">
      <c r="A5645">
        <v>3</v>
      </c>
      <c r="B5645" t="s">
        <v>1555</v>
      </c>
      <c r="C5645">
        <f>-0.07-1.33</f>
        <v>-1.4000000000000001</v>
      </c>
      <c r="D5645">
        <v>0.63</v>
      </c>
      <c r="E5645" t="s">
        <v>31</v>
      </c>
      <c r="F5645" t="s">
        <v>47</v>
      </c>
      <c r="G5645">
        <v>1.33</v>
      </c>
      <c r="H5645">
        <v>-7.0000000000000007E-2</v>
      </c>
      <c r="I5645">
        <v>0.7</v>
      </c>
      <c r="J5645">
        <v>0.49</v>
      </c>
      <c r="K5645" t="str">
        <f>IFERROR(INDEX(Rosters!$C$2:$C$155,MATCH($B5645,Rosters!$B$2:$B$155,0)),"NA")</f>
        <v>NA</v>
      </c>
      <c r="L5645" t="str">
        <f t="shared" si="264"/>
        <v>NA3RB</v>
      </c>
      <c r="M5645">
        <f>COUNTIF(L$1:L5645,L5645)</f>
        <v>46</v>
      </c>
      <c r="N5645" t="str">
        <f t="shared" si="265"/>
        <v>NA3RB-46</v>
      </c>
      <c r="O5645">
        <f>COUNTIFS(F$1:F5645,F5645,A$1:A5645,A5645)</f>
        <v>85</v>
      </c>
      <c r="P5645" t="str">
        <f t="shared" si="266"/>
        <v>Alex Armah3</v>
      </c>
    </row>
    <row r="5646" spans="1:16" x14ac:dyDescent="0.25">
      <c r="A5646">
        <v>9</v>
      </c>
      <c r="B5646" t="s">
        <v>1555</v>
      </c>
      <c r="C5646" t="s">
        <v>8890</v>
      </c>
      <c r="D5646">
        <v>0.63</v>
      </c>
      <c r="E5646" t="s">
        <v>17</v>
      </c>
      <c r="F5646" t="s">
        <v>47</v>
      </c>
      <c r="G5646">
        <v>1.1399999999999999</v>
      </c>
      <c r="H5646">
        <v>0.12</v>
      </c>
      <c r="I5646">
        <v>0.51</v>
      </c>
      <c r="J5646">
        <v>0.2601</v>
      </c>
      <c r="K5646" t="str">
        <f>IFERROR(INDEX(Rosters!$C$2:$C$155,MATCH($B5646,Rosters!$B$2:$B$155,0)),"NA")</f>
        <v>NA</v>
      </c>
      <c r="L5646" t="str">
        <f t="shared" si="264"/>
        <v>NA9RB</v>
      </c>
      <c r="M5646">
        <f>COUNTIF(L$1:L5646,L5646)</f>
        <v>43</v>
      </c>
      <c r="N5646" t="str">
        <f t="shared" si="265"/>
        <v>NA9RB-43</v>
      </c>
      <c r="O5646">
        <f>COUNTIFS(F$1:F5646,F5646,A$1:A5646,A5646)</f>
        <v>83</v>
      </c>
      <c r="P5646" t="str">
        <f t="shared" si="266"/>
        <v>Alex Armah9</v>
      </c>
    </row>
    <row r="5647" spans="1:16" x14ac:dyDescent="0.25">
      <c r="A5647">
        <v>5</v>
      </c>
      <c r="B5647" t="s">
        <v>1614</v>
      </c>
      <c r="C5647" t="s">
        <v>8891</v>
      </c>
      <c r="D5647">
        <v>0.63</v>
      </c>
      <c r="E5647" t="s">
        <v>76</v>
      </c>
      <c r="F5647" t="s">
        <v>114</v>
      </c>
      <c r="G5647">
        <v>1.26</v>
      </c>
      <c r="H5647">
        <v>0</v>
      </c>
      <c r="I5647">
        <v>0.63</v>
      </c>
      <c r="J5647">
        <v>0.39689999999999998</v>
      </c>
      <c r="K5647" t="str">
        <f>IFERROR(INDEX(Rosters!$C$2:$C$155,MATCH($B5647,Rosters!$B$2:$B$155,0)),"NA")</f>
        <v>NA</v>
      </c>
      <c r="L5647" t="str">
        <f t="shared" si="264"/>
        <v>NA5TE</v>
      </c>
      <c r="M5647">
        <f>COUNTIF(L$1:L5647,L5647)</f>
        <v>59</v>
      </c>
      <c r="N5647" t="str">
        <f t="shared" si="265"/>
        <v>NA5TE-59</v>
      </c>
      <c r="O5647">
        <f>COUNTIFS(F$1:F5647,F5647,A$1:A5647,A5647)</f>
        <v>70</v>
      </c>
      <c r="P5647" t="str">
        <f t="shared" si="266"/>
        <v>Alex Ellis5</v>
      </c>
    </row>
    <row r="5648" spans="1:16" x14ac:dyDescent="0.25">
      <c r="A5648">
        <v>12</v>
      </c>
      <c r="B5648" t="s">
        <v>1572</v>
      </c>
      <c r="C5648" t="s">
        <v>8892</v>
      </c>
      <c r="D5648">
        <v>0.63</v>
      </c>
      <c r="E5648" t="s">
        <v>72</v>
      </c>
      <c r="F5648" t="s">
        <v>87</v>
      </c>
      <c r="G5648">
        <v>1.25</v>
      </c>
      <c r="H5648">
        <v>0.01</v>
      </c>
      <c r="I5648">
        <v>0.62</v>
      </c>
      <c r="J5648">
        <v>0.38440000000000002</v>
      </c>
      <c r="K5648" t="str">
        <f>IFERROR(INDEX(Rosters!$C$2:$C$155,MATCH($B5648,Rosters!$B$2:$B$155,0)),"NA")</f>
        <v>NA</v>
      </c>
      <c r="L5648" t="str">
        <f t="shared" si="264"/>
        <v>NA12WR</v>
      </c>
      <c r="M5648">
        <f>COUNTIF(L$1:L5648,L5648)</f>
        <v>83</v>
      </c>
      <c r="N5648" t="str">
        <f t="shared" si="265"/>
        <v>NA12WR-83</v>
      </c>
      <c r="O5648">
        <f>COUNTIFS(F$1:F5648,F5648,A$1:A5648,A5648)</f>
        <v>132</v>
      </c>
      <c r="P5648" t="str">
        <f t="shared" si="266"/>
        <v>Andy Jones12</v>
      </c>
    </row>
    <row r="5649" spans="1:16" x14ac:dyDescent="0.25">
      <c r="A5649">
        <v>14</v>
      </c>
      <c r="B5649" t="s">
        <v>1572</v>
      </c>
      <c r="C5649" t="s">
        <v>1585</v>
      </c>
      <c r="D5649">
        <v>0.63</v>
      </c>
      <c r="E5649" t="s">
        <v>58</v>
      </c>
      <c r="F5649" t="s">
        <v>87</v>
      </c>
      <c r="G5649">
        <v>1.24</v>
      </c>
      <c r="H5649">
        <v>0.02</v>
      </c>
      <c r="I5649">
        <v>0.61</v>
      </c>
      <c r="J5649">
        <v>0.37209999999999999</v>
      </c>
      <c r="K5649" t="str">
        <f>IFERROR(INDEX(Rosters!$C$2:$C$155,MATCH($B5649,Rosters!$B$2:$B$155,0)),"NA")</f>
        <v>NA</v>
      </c>
      <c r="L5649" t="str">
        <f t="shared" si="264"/>
        <v>NA14WR</v>
      </c>
      <c r="M5649">
        <f>COUNTIF(L$1:L5649,L5649)</f>
        <v>85</v>
      </c>
      <c r="N5649" t="str">
        <f t="shared" si="265"/>
        <v>NA14WR-85</v>
      </c>
      <c r="O5649">
        <f>COUNTIFS(F$1:F5649,F5649,A$1:A5649,A5649)</f>
        <v>139</v>
      </c>
      <c r="P5649" t="str">
        <f t="shared" si="266"/>
        <v>Andy Jones14</v>
      </c>
    </row>
    <row r="5650" spans="1:16" x14ac:dyDescent="0.25">
      <c r="A5650">
        <v>4</v>
      </c>
      <c r="B5650" t="s">
        <v>385</v>
      </c>
      <c r="C5650">
        <f>-0.01-1.27</f>
        <v>-1.28</v>
      </c>
      <c r="D5650">
        <v>0.63</v>
      </c>
      <c r="E5650" t="s">
        <v>42</v>
      </c>
      <c r="F5650" t="s">
        <v>47</v>
      </c>
      <c r="G5650">
        <v>1.27</v>
      </c>
      <c r="H5650">
        <v>-0.01</v>
      </c>
      <c r="I5650">
        <v>0.64</v>
      </c>
      <c r="J5650">
        <v>0.40960000000000002</v>
      </c>
      <c r="K5650" t="str">
        <f>IFERROR(INDEX(Rosters!$C$2:$C$155,MATCH($B5650,Rosters!$B$2:$B$155,0)),"NA")</f>
        <v>NA</v>
      </c>
      <c r="L5650" t="str">
        <f t="shared" si="264"/>
        <v>NA4RB</v>
      </c>
      <c r="M5650">
        <f>COUNTIF(L$1:L5650,L5650)</f>
        <v>46</v>
      </c>
      <c r="N5650" t="str">
        <f t="shared" si="265"/>
        <v>NA4RB-46</v>
      </c>
      <c r="O5650">
        <f>COUNTIFS(F$1:F5650,F5650,A$1:A5650,A5650)</f>
        <v>85</v>
      </c>
      <c r="P5650" t="str">
        <f t="shared" si="266"/>
        <v>Anthony Sherman4</v>
      </c>
    </row>
    <row r="5651" spans="1:16" x14ac:dyDescent="0.25">
      <c r="A5651">
        <v>10</v>
      </c>
      <c r="B5651" t="s">
        <v>2274</v>
      </c>
      <c r="C5651">
        <f>-0.1-1.36</f>
        <v>-1.4600000000000002</v>
      </c>
      <c r="D5651">
        <v>0.63</v>
      </c>
      <c r="E5651" t="s">
        <v>41</v>
      </c>
      <c r="F5651" t="s">
        <v>47</v>
      </c>
      <c r="G5651">
        <v>1.36</v>
      </c>
      <c r="H5651">
        <v>-0.1</v>
      </c>
      <c r="I5651">
        <v>0.73</v>
      </c>
      <c r="J5651">
        <v>0.53290000000000004</v>
      </c>
      <c r="K5651" t="str">
        <f>IFERROR(INDEX(Rosters!$C$2:$C$155,MATCH($B5651,Rosters!$B$2:$B$155,0)),"NA")</f>
        <v>NA</v>
      </c>
      <c r="L5651" t="str">
        <f t="shared" si="264"/>
        <v>NA10RB</v>
      </c>
      <c r="M5651">
        <f>COUNTIF(L$1:L5651,L5651)</f>
        <v>47</v>
      </c>
      <c r="N5651" t="str">
        <f t="shared" si="265"/>
        <v>NA10RB-47</v>
      </c>
      <c r="O5651">
        <f>COUNTIFS(F$1:F5651,F5651,A$1:A5651,A5651)</f>
        <v>86</v>
      </c>
      <c r="P5651" t="str">
        <f t="shared" si="266"/>
        <v>Brandon Bolden10</v>
      </c>
    </row>
    <row r="5652" spans="1:16" x14ac:dyDescent="0.25">
      <c r="A5652">
        <v>12</v>
      </c>
      <c r="B5652" t="s">
        <v>2851</v>
      </c>
      <c r="C5652">
        <f>-0.13-1.39</f>
        <v>-1.52</v>
      </c>
      <c r="D5652">
        <v>0.63</v>
      </c>
      <c r="E5652" t="s">
        <v>46</v>
      </c>
      <c r="F5652" t="s">
        <v>87</v>
      </c>
      <c r="G5652">
        <v>1.39</v>
      </c>
      <c r="H5652">
        <v>-0.13</v>
      </c>
      <c r="I5652">
        <v>0.76</v>
      </c>
      <c r="J5652">
        <v>0.5776</v>
      </c>
      <c r="K5652" t="str">
        <f>IFERROR(INDEX(Rosters!$C$2:$C$155,MATCH($B5652,Rosters!$B$2:$B$155,0)),"NA")</f>
        <v>NA</v>
      </c>
      <c r="L5652" t="str">
        <f t="shared" si="264"/>
        <v>NA12WR</v>
      </c>
      <c r="M5652">
        <f>COUNTIF(L$1:L5652,L5652)</f>
        <v>84</v>
      </c>
      <c r="N5652" t="str">
        <f t="shared" si="265"/>
        <v>NA12WR-84</v>
      </c>
      <c r="O5652">
        <f>COUNTIFS(F$1:F5652,F5652,A$1:A5652,A5652)</f>
        <v>133</v>
      </c>
      <c r="P5652" t="str">
        <f t="shared" si="266"/>
        <v>Brandon Tate12</v>
      </c>
    </row>
    <row r="5653" spans="1:16" x14ac:dyDescent="0.25">
      <c r="A5653">
        <v>7</v>
      </c>
      <c r="B5653" t="s">
        <v>3569</v>
      </c>
      <c r="C5653" t="s">
        <v>8893</v>
      </c>
      <c r="D5653">
        <v>0.63</v>
      </c>
      <c r="E5653" t="s">
        <v>36</v>
      </c>
      <c r="F5653" t="s">
        <v>47</v>
      </c>
      <c r="G5653">
        <v>1.17</v>
      </c>
      <c r="H5653">
        <v>0.09</v>
      </c>
      <c r="I5653">
        <v>0.54</v>
      </c>
      <c r="J5653">
        <v>0.29160000000000003</v>
      </c>
      <c r="K5653" t="str">
        <f>IFERROR(INDEX(Rosters!$C$2:$C$155,MATCH($B5653,Rosters!$B$2:$B$155,0)),"NA")</f>
        <v>NA</v>
      </c>
      <c r="L5653" t="str">
        <f t="shared" si="264"/>
        <v>NA7RB</v>
      </c>
      <c r="M5653">
        <f>COUNTIF(L$1:L5653,L5653)</f>
        <v>41</v>
      </c>
      <c r="N5653" t="str">
        <f t="shared" si="265"/>
        <v>NA7RB-41</v>
      </c>
      <c r="O5653">
        <f>COUNTIFS(F$1:F5653,F5653,A$1:A5653,A5653)</f>
        <v>82</v>
      </c>
      <c r="P5653" t="str">
        <f t="shared" si="266"/>
        <v>Brandon Wilds7</v>
      </c>
    </row>
    <row r="5654" spans="1:16" x14ac:dyDescent="0.25">
      <c r="A5654">
        <v>13</v>
      </c>
      <c r="B5654" t="s">
        <v>331</v>
      </c>
      <c r="C5654" t="s">
        <v>8894</v>
      </c>
      <c r="D5654">
        <v>0.63</v>
      </c>
      <c r="E5654" t="s">
        <v>50</v>
      </c>
      <c r="F5654" t="s">
        <v>15</v>
      </c>
      <c r="G5654">
        <v>1.0900000000000001</v>
      </c>
      <c r="H5654">
        <v>0.17</v>
      </c>
      <c r="I5654">
        <v>0.46</v>
      </c>
      <c r="J5654">
        <v>0.21160000000000001</v>
      </c>
      <c r="K5654" t="str">
        <f>IFERROR(INDEX(Rosters!$C$2:$C$155,MATCH($B5654,Rosters!$B$2:$B$155,0)),"NA")</f>
        <v>NA</v>
      </c>
      <c r="L5654" t="str">
        <f t="shared" si="264"/>
        <v>NA13QB</v>
      </c>
      <c r="M5654">
        <f>COUNTIF(L$1:L5654,L5654)</f>
        <v>37</v>
      </c>
      <c r="N5654" t="str">
        <f t="shared" si="265"/>
        <v>NA13QB-37</v>
      </c>
      <c r="O5654">
        <f>COUNTIFS(F$1:F5654,F5654,A$1:A5654,A5654)</f>
        <v>54</v>
      </c>
      <c r="P5654" t="str">
        <f t="shared" si="266"/>
        <v>Colt McCoy13</v>
      </c>
    </row>
    <row r="5655" spans="1:16" x14ac:dyDescent="0.25">
      <c r="A5655">
        <v>4</v>
      </c>
      <c r="B5655" t="s">
        <v>1559</v>
      </c>
      <c r="C5655" t="s">
        <v>3846</v>
      </c>
      <c r="D5655">
        <v>0.63</v>
      </c>
      <c r="E5655" t="s">
        <v>17</v>
      </c>
      <c r="F5655" t="s">
        <v>114</v>
      </c>
      <c r="G5655">
        <v>1.19</v>
      </c>
      <c r="H5655">
        <v>7.0000000000000007E-2</v>
      </c>
      <c r="I5655">
        <v>0.56000000000000005</v>
      </c>
      <c r="J5655">
        <v>0.31359999999999999</v>
      </c>
      <c r="K5655" t="str">
        <f>IFERROR(INDEX(Rosters!$C$2:$C$155,MATCH($B5655,Rosters!$B$2:$B$155,0)),"NA")</f>
        <v>NA</v>
      </c>
      <c r="L5655" t="str">
        <f t="shared" si="264"/>
        <v>NA4TE</v>
      </c>
      <c r="M5655">
        <f>COUNTIF(L$1:L5655,L5655)</f>
        <v>51</v>
      </c>
      <c r="N5655" t="str">
        <f t="shared" si="265"/>
        <v>NA4TE-51</v>
      </c>
      <c r="O5655">
        <f>COUNTIFS(F$1:F5655,F5655,A$1:A5655,A5655)</f>
        <v>62</v>
      </c>
      <c r="P5655" t="str">
        <f t="shared" si="266"/>
        <v>Daniel Brown4</v>
      </c>
    </row>
    <row r="5656" spans="1:16" x14ac:dyDescent="0.25">
      <c r="A5656">
        <v>12</v>
      </c>
      <c r="B5656" t="s">
        <v>304</v>
      </c>
      <c r="C5656">
        <f>-0.05-1.31</f>
        <v>-1.36</v>
      </c>
      <c r="D5656">
        <v>0.63</v>
      </c>
      <c r="E5656" t="s">
        <v>42</v>
      </c>
      <c r="F5656" t="s">
        <v>87</v>
      </c>
      <c r="G5656">
        <v>1.31</v>
      </c>
      <c r="H5656">
        <v>-0.05</v>
      </c>
      <c r="I5656">
        <v>0.68</v>
      </c>
      <c r="J5656">
        <v>0.46239999999999998</v>
      </c>
      <c r="K5656" t="str">
        <f>IFERROR(INDEX(Rosters!$C$2:$C$155,MATCH($B5656,Rosters!$B$2:$B$155,0)),"NA")</f>
        <v>NA</v>
      </c>
      <c r="L5656" t="str">
        <f t="shared" si="264"/>
        <v>NA12WR</v>
      </c>
      <c r="M5656">
        <f>COUNTIF(L$1:L5656,L5656)</f>
        <v>85</v>
      </c>
      <c r="N5656" t="str">
        <f t="shared" si="265"/>
        <v>NA12WR-85</v>
      </c>
      <c r="O5656">
        <f>COUNTIFS(F$1:F5656,F5656,A$1:A5656,A5656)</f>
        <v>134</v>
      </c>
      <c r="P5656" t="str">
        <f t="shared" si="266"/>
        <v>Darrius Heyward-Bey12</v>
      </c>
    </row>
    <row r="5657" spans="1:16" x14ac:dyDescent="0.25">
      <c r="A5657">
        <v>2</v>
      </c>
      <c r="B5657" t="s">
        <v>4234</v>
      </c>
      <c r="C5657">
        <f>-0.05-1.31</f>
        <v>-1.36</v>
      </c>
      <c r="D5657">
        <v>0.63</v>
      </c>
      <c r="E5657" t="s">
        <v>72</v>
      </c>
      <c r="F5657" t="s">
        <v>87</v>
      </c>
      <c r="G5657">
        <v>1.31</v>
      </c>
      <c r="H5657">
        <v>-0.05</v>
      </c>
      <c r="I5657">
        <v>0.68</v>
      </c>
      <c r="J5657">
        <v>0.46239999999999998</v>
      </c>
      <c r="K5657" t="str">
        <f>IFERROR(INDEX(Rosters!$C$2:$C$155,MATCH($B5657,Rosters!$B$2:$B$155,0)),"NA")</f>
        <v>NA</v>
      </c>
      <c r="L5657" t="str">
        <f t="shared" si="264"/>
        <v>NA2WR</v>
      </c>
      <c r="M5657">
        <f>COUNTIF(L$1:L5657,L5657)</f>
        <v>68</v>
      </c>
      <c r="N5657" t="str">
        <f t="shared" si="265"/>
        <v>NA2WR-68</v>
      </c>
      <c r="O5657">
        <f>COUNTIFS(F$1:F5657,F5657,A$1:A5657,A5657)</f>
        <v>116</v>
      </c>
      <c r="P5657" t="str">
        <f t="shared" si="266"/>
        <v>David Moore2</v>
      </c>
    </row>
    <row r="5658" spans="1:16" x14ac:dyDescent="0.25">
      <c r="A5658">
        <v>17</v>
      </c>
      <c r="B5658" t="s">
        <v>254</v>
      </c>
      <c r="C5658">
        <f>-0.31-1.57</f>
        <v>-1.8800000000000001</v>
      </c>
      <c r="D5658">
        <v>0.63</v>
      </c>
      <c r="E5658" t="s">
        <v>73</v>
      </c>
      <c r="F5658" t="s">
        <v>114</v>
      </c>
      <c r="G5658">
        <v>1.57</v>
      </c>
      <c r="H5658">
        <v>-0.31</v>
      </c>
      <c r="I5658">
        <v>0.94</v>
      </c>
      <c r="J5658">
        <v>0.88360000000000005</v>
      </c>
      <c r="K5658" t="str">
        <f>IFERROR(INDEX(Rosters!$C$2:$C$155,MATCH($B5658,Rosters!$B$2:$B$155,0)),"NA")</f>
        <v>NA</v>
      </c>
      <c r="L5658" t="str">
        <f t="shared" si="264"/>
        <v>NA17TE</v>
      </c>
      <c r="M5658">
        <f>COUNTIF(L$1:L5658,L5658)</f>
        <v>59</v>
      </c>
      <c r="N5658" t="str">
        <f t="shared" si="265"/>
        <v>NA17TE-59</v>
      </c>
      <c r="O5658">
        <f>COUNTIFS(F$1:F5658,F5658,A$1:A5658,A5658)</f>
        <v>73</v>
      </c>
      <c r="P5658" t="str">
        <f t="shared" si="266"/>
        <v>Dwayne Allen17</v>
      </c>
    </row>
    <row r="5659" spans="1:16" x14ac:dyDescent="0.25">
      <c r="A5659">
        <v>17</v>
      </c>
      <c r="B5659" t="s">
        <v>4687</v>
      </c>
      <c r="C5659">
        <f>-0.01-1.27</f>
        <v>-1.28</v>
      </c>
      <c r="D5659">
        <v>0.63</v>
      </c>
      <c r="E5659" t="s">
        <v>60</v>
      </c>
      <c r="F5659" t="s">
        <v>47</v>
      </c>
      <c r="G5659">
        <v>1.27</v>
      </c>
      <c r="H5659">
        <v>-0.01</v>
      </c>
      <c r="I5659">
        <v>0.64</v>
      </c>
      <c r="J5659">
        <v>0.40960000000000002</v>
      </c>
      <c r="K5659" t="str">
        <f>IFERROR(INDEX(Rosters!$C$2:$C$155,MATCH($B5659,Rosters!$B$2:$B$155,0)),"NA")</f>
        <v>NA</v>
      </c>
      <c r="L5659" t="str">
        <f t="shared" si="264"/>
        <v>NA17RB</v>
      </c>
      <c r="M5659">
        <f>COUNTIF(L$1:L5659,L5659)</f>
        <v>47</v>
      </c>
      <c r="N5659" t="str">
        <f t="shared" si="265"/>
        <v>NA17RB-47</v>
      </c>
      <c r="O5659">
        <f>COUNTIFS(F$1:F5659,F5659,A$1:A5659,A5659)</f>
        <v>94</v>
      </c>
      <c r="P5659" t="str">
        <f t="shared" si="266"/>
        <v>Josh Adams17</v>
      </c>
    </row>
    <row r="5660" spans="1:16" x14ac:dyDescent="0.25">
      <c r="A5660">
        <v>7</v>
      </c>
      <c r="B5660" t="s">
        <v>1473</v>
      </c>
      <c r="C5660" t="s">
        <v>8892</v>
      </c>
      <c r="D5660">
        <v>0.63</v>
      </c>
      <c r="E5660" t="s">
        <v>38</v>
      </c>
      <c r="F5660" t="s">
        <v>47</v>
      </c>
      <c r="G5660">
        <v>1.25</v>
      </c>
      <c r="H5660">
        <v>0.01</v>
      </c>
      <c r="I5660">
        <v>0.62</v>
      </c>
      <c r="J5660">
        <v>0.38440000000000002</v>
      </c>
      <c r="K5660" t="str">
        <f>IFERROR(INDEX(Rosters!$C$2:$C$155,MATCH($B5660,Rosters!$B$2:$B$155,0)),"NA")</f>
        <v>NA</v>
      </c>
      <c r="L5660" t="str">
        <f t="shared" si="264"/>
        <v>NA7RB</v>
      </c>
      <c r="M5660">
        <f>COUNTIF(L$1:L5660,L5660)</f>
        <v>42</v>
      </c>
      <c r="N5660" t="str">
        <f t="shared" si="265"/>
        <v>NA7RB-42</v>
      </c>
      <c r="O5660">
        <f>COUNTIFS(F$1:F5660,F5660,A$1:A5660,A5660)</f>
        <v>83</v>
      </c>
      <c r="P5660" t="str">
        <f t="shared" si="266"/>
        <v>Justin Jackson7</v>
      </c>
    </row>
    <row r="5661" spans="1:16" x14ac:dyDescent="0.25">
      <c r="A5661">
        <v>10</v>
      </c>
      <c r="B5661" t="s">
        <v>1473</v>
      </c>
      <c r="C5661">
        <f>-0.04-1.3</f>
        <v>-1.34</v>
      </c>
      <c r="D5661">
        <v>0.63</v>
      </c>
      <c r="E5661" t="s">
        <v>32</v>
      </c>
      <c r="F5661" t="s">
        <v>47</v>
      </c>
      <c r="G5661">
        <v>1.3</v>
      </c>
      <c r="H5661">
        <v>-0.04</v>
      </c>
      <c r="I5661">
        <v>0.67</v>
      </c>
      <c r="J5661">
        <v>0.44890000000000002</v>
      </c>
      <c r="K5661" t="str">
        <f>IFERROR(INDEX(Rosters!$C$2:$C$155,MATCH($B5661,Rosters!$B$2:$B$155,0)),"NA")</f>
        <v>NA</v>
      </c>
      <c r="L5661" t="str">
        <f t="shared" si="264"/>
        <v>NA10RB</v>
      </c>
      <c r="M5661">
        <f>COUNTIF(L$1:L5661,L5661)</f>
        <v>48</v>
      </c>
      <c r="N5661" t="str">
        <f t="shared" si="265"/>
        <v>NA10RB-48</v>
      </c>
      <c r="O5661">
        <f>COUNTIFS(F$1:F5661,F5661,A$1:A5661,A5661)</f>
        <v>87</v>
      </c>
      <c r="P5661" t="str">
        <f t="shared" si="266"/>
        <v>Justin Jackson10</v>
      </c>
    </row>
    <row r="5662" spans="1:16" x14ac:dyDescent="0.25">
      <c r="A5662">
        <v>13</v>
      </c>
      <c r="B5662" t="s">
        <v>1473</v>
      </c>
      <c r="C5662">
        <f>-0.07-1.33</f>
        <v>-1.4000000000000001</v>
      </c>
      <c r="D5662">
        <v>0.63</v>
      </c>
      <c r="E5662" t="s">
        <v>51</v>
      </c>
      <c r="F5662" t="s">
        <v>47</v>
      </c>
      <c r="G5662">
        <v>1.33</v>
      </c>
      <c r="H5662">
        <v>-7.0000000000000007E-2</v>
      </c>
      <c r="I5662">
        <v>0.7</v>
      </c>
      <c r="J5662">
        <v>0.49</v>
      </c>
      <c r="K5662" t="str">
        <f>IFERROR(INDEX(Rosters!$C$2:$C$155,MATCH($B5662,Rosters!$B$2:$B$155,0)),"NA")</f>
        <v>NA</v>
      </c>
      <c r="L5662" t="str">
        <f t="shared" si="264"/>
        <v>NA13RB</v>
      </c>
      <c r="M5662">
        <f>COUNTIF(L$1:L5662,L5662)</f>
        <v>55</v>
      </c>
      <c r="N5662" t="str">
        <f t="shared" si="265"/>
        <v>NA13RB-55</v>
      </c>
      <c r="O5662">
        <f>COUNTIFS(F$1:F5662,F5662,A$1:A5662,A5662)</f>
        <v>102</v>
      </c>
      <c r="P5662" t="str">
        <f t="shared" si="266"/>
        <v>Justin Jackson13</v>
      </c>
    </row>
    <row r="5663" spans="1:16" x14ac:dyDescent="0.25">
      <c r="A5663">
        <v>7</v>
      </c>
      <c r="B5663" t="s">
        <v>8834</v>
      </c>
      <c r="C5663" t="s">
        <v>4725</v>
      </c>
      <c r="D5663">
        <v>0.63</v>
      </c>
      <c r="E5663" t="s">
        <v>52</v>
      </c>
      <c r="F5663" t="s">
        <v>87</v>
      </c>
      <c r="G5663">
        <v>1.21</v>
      </c>
      <c r="H5663">
        <v>0.05</v>
      </c>
      <c r="I5663">
        <v>0.57999999999999996</v>
      </c>
      <c r="J5663">
        <v>0.33639999999999998</v>
      </c>
      <c r="K5663" t="str">
        <f>IFERROR(INDEX(Rosters!$C$2:$C$155,MATCH($B5663,Rosters!$B$2:$B$155,0)),"NA")</f>
        <v>NA</v>
      </c>
      <c r="L5663" t="str">
        <f t="shared" si="264"/>
        <v>NA7WR</v>
      </c>
      <c r="M5663">
        <f>COUNTIF(L$1:L5663,L5663)</f>
        <v>77</v>
      </c>
      <c r="N5663" t="str">
        <f t="shared" si="265"/>
        <v>NA7WR-77</v>
      </c>
      <c r="O5663">
        <f>COUNTIFS(F$1:F5663,F5663,A$1:A5663,A5663)</f>
        <v>122</v>
      </c>
      <c r="P5663" t="str">
        <f t="shared" si="266"/>
        <v>Justin Watson7</v>
      </c>
    </row>
    <row r="5664" spans="1:16" x14ac:dyDescent="0.25">
      <c r="A5664">
        <v>4</v>
      </c>
      <c r="B5664" t="s">
        <v>2854</v>
      </c>
      <c r="C5664">
        <f>-0.3-1.56</f>
        <v>-1.86</v>
      </c>
      <c r="D5664">
        <v>0.63</v>
      </c>
      <c r="E5664" t="s">
        <v>38</v>
      </c>
      <c r="F5664" t="s">
        <v>87</v>
      </c>
      <c r="G5664">
        <v>1.56</v>
      </c>
      <c r="H5664">
        <v>-0.3</v>
      </c>
      <c r="I5664">
        <v>0.93</v>
      </c>
      <c r="J5664">
        <v>0.8649</v>
      </c>
      <c r="K5664" t="str">
        <f>IFERROR(INDEX(Rosters!$C$2:$C$155,MATCH($B5664,Rosters!$B$2:$B$155,0)),"NA")</f>
        <v>NA</v>
      </c>
      <c r="L5664" t="str">
        <f t="shared" si="264"/>
        <v>NA4WR</v>
      </c>
      <c r="M5664">
        <f>COUNTIF(L$1:L5664,L5664)</f>
        <v>66</v>
      </c>
      <c r="N5664" t="str">
        <f t="shared" si="265"/>
        <v>NA4WR-66</v>
      </c>
      <c r="O5664">
        <f>COUNTIFS(F$1:F5664,F5664,A$1:A5664,A5664)</f>
        <v>116</v>
      </c>
      <c r="P5664" t="str">
        <f t="shared" si="266"/>
        <v>Kamar Aiken4</v>
      </c>
    </row>
    <row r="5665" spans="1:16" x14ac:dyDescent="0.25">
      <c r="A5665">
        <v>17</v>
      </c>
      <c r="B5665" t="s">
        <v>2769</v>
      </c>
      <c r="C5665">
        <f>-0.13-1.39</f>
        <v>-1.52</v>
      </c>
      <c r="D5665">
        <v>0.63</v>
      </c>
      <c r="E5665" t="s">
        <v>50</v>
      </c>
      <c r="F5665" t="s">
        <v>47</v>
      </c>
      <c r="G5665">
        <v>1.39</v>
      </c>
      <c r="H5665">
        <v>-0.13</v>
      </c>
      <c r="I5665">
        <v>0.76</v>
      </c>
      <c r="J5665">
        <v>0.5776</v>
      </c>
      <c r="K5665" t="str">
        <f>IFERROR(INDEX(Rosters!$C$2:$C$155,MATCH($B5665,Rosters!$B$2:$B$155,0)),"NA")</f>
        <v>NA</v>
      </c>
      <c r="L5665" t="str">
        <f t="shared" si="264"/>
        <v>NA17RB</v>
      </c>
      <c r="M5665">
        <f>COUNTIF(L$1:L5665,L5665)</f>
        <v>48</v>
      </c>
      <c r="N5665" t="str">
        <f t="shared" si="265"/>
        <v>NA17RB-48</v>
      </c>
      <c r="O5665">
        <f>COUNTIFS(F$1:F5665,F5665,A$1:A5665,A5665)</f>
        <v>95</v>
      </c>
      <c r="P5665" t="str">
        <f t="shared" si="266"/>
        <v>Kapri Bibbs17</v>
      </c>
    </row>
    <row r="5666" spans="1:16" x14ac:dyDescent="0.25">
      <c r="A5666">
        <v>16</v>
      </c>
      <c r="B5666" t="s">
        <v>4612</v>
      </c>
      <c r="C5666">
        <f>-0.02-1.28</f>
        <v>-1.3</v>
      </c>
      <c r="D5666">
        <v>0.63</v>
      </c>
      <c r="E5666" t="s">
        <v>58</v>
      </c>
      <c r="F5666" t="s">
        <v>87</v>
      </c>
      <c r="G5666">
        <v>1.28</v>
      </c>
      <c r="H5666">
        <v>-0.02</v>
      </c>
      <c r="I5666">
        <v>0.65</v>
      </c>
      <c r="J5666">
        <v>0.42249999999999999</v>
      </c>
      <c r="K5666" t="str">
        <f>IFERROR(INDEX(Rosters!$C$2:$C$155,MATCH($B5666,Rosters!$B$2:$B$155,0)),"NA")</f>
        <v>NA</v>
      </c>
      <c r="L5666" t="str">
        <f t="shared" si="264"/>
        <v>NA16WR</v>
      </c>
      <c r="M5666">
        <f>COUNTIF(L$1:L5666,L5666)</f>
        <v>90</v>
      </c>
      <c r="N5666" t="str">
        <f t="shared" si="265"/>
        <v>NA16WR-90</v>
      </c>
      <c r="O5666">
        <f>COUNTIFS(F$1:F5666,F5666,A$1:A5666,A5666)</f>
        <v>144</v>
      </c>
      <c r="P5666" t="str">
        <f t="shared" si="266"/>
        <v>Khadarel Hodge16</v>
      </c>
    </row>
    <row r="5667" spans="1:16" x14ac:dyDescent="0.25">
      <c r="A5667">
        <v>1</v>
      </c>
      <c r="B5667" t="s">
        <v>339</v>
      </c>
      <c r="C5667">
        <f>-0.08-1.34</f>
        <v>-1.4200000000000002</v>
      </c>
      <c r="D5667">
        <v>0.63</v>
      </c>
      <c r="E5667" t="s">
        <v>25</v>
      </c>
      <c r="F5667" t="s">
        <v>47</v>
      </c>
      <c r="G5667">
        <v>1.34</v>
      </c>
      <c r="H5667">
        <v>-0.08</v>
      </c>
      <c r="I5667">
        <v>0.71</v>
      </c>
      <c r="J5667">
        <v>0.50409999999999999</v>
      </c>
      <c r="K5667" t="str">
        <f>IFERROR(INDEX(Rosters!$C$2:$C$155,MATCH($B5667,Rosters!$B$2:$B$155,0)),"NA")</f>
        <v>NA</v>
      </c>
      <c r="L5667" t="str">
        <f t="shared" si="264"/>
        <v>NA1RB</v>
      </c>
      <c r="M5667">
        <f>COUNTIF(L$1:L5667,L5667)</f>
        <v>37</v>
      </c>
      <c r="N5667" t="str">
        <f t="shared" si="265"/>
        <v>NA1RB-37</v>
      </c>
      <c r="O5667">
        <f>COUNTIFS(F$1:F5667,F5667,A$1:A5667,A5667)</f>
        <v>80</v>
      </c>
      <c r="P5667" t="str">
        <f t="shared" si="266"/>
        <v>Kyle Juszczyk1</v>
      </c>
    </row>
    <row r="5668" spans="1:16" x14ac:dyDescent="0.25">
      <c r="A5668">
        <v>10</v>
      </c>
      <c r="B5668" t="s">
        <v>1125</v>
      </c>
      <c r="C5668" t="s">
        <v>8892</v>
      </c>
      <c r="D5668">
        <v>0.63</v>
      </c>
      <c r="E5668" t="s">
        <v>52</v>
      </c>
      <c r="F5668" t="s">
        <v>114</v>
      </c>
      <c r="G5668">
        <v>1.25</v>
      </c>
      <c r="H5668">
        <v>0.01</v>
      </c>
      <c r="I5668">
        <v>0.62</v>
      </c>
      <c r="J5668">
        <v>0.38440000000000002</v>
      </c>
      <c r="K5668" t="str">
        <f>IFERROR(INDEX(Rosters!$C$2:$C$155,MATCH($B5668,Rosters!$B$2:$B$155,0)),"NA")</f>
        <v>NA</v>
      </c>
      <c r="L5668" t="str">
        <f t="shared" si="264"/>
        <v>NA10TE</v>
      </c>
      <c r="M5668">
        <f>COUNTIF(L$1:L5668,L5668)</f>
        <v>51</v>
      </c>
      <c r="N5668" t="str">
        <f t="shared" si="265"/>
        <v>NA10TE-51</v>
      </c>
      <c r="O5668">
        <f>COUNTIFS(F$1:F5668,F5668,A$1:A5668,A5668)</f>
        <v>64</v>
      </c>
      <c r="P5668" t="str">
        <f t="shared" si="266"/>
        <v>Logan Paulsen10</v>
      </c>
    </row>
    <row r="5669" spans="1:16" x14ac:dyDescent="0.25">
      <c r="A5669">
        <v>5</v>
      </c>
      <c r="B5669" t="s">
        <v>1583</v>
      </c>
      <c r="C5669">
        <f>-0.05-1.31</f>
        <v>-1.36</v>
      </c>
      <c r="D5669">
        <v>0.63</v>
      </c>
      <c r="E5669" t="s">
        <v>38</v>
      </c>
      <c r="F5669" t="s">
        <v>114</v>
      </c>
      <c r="G5669">
        <v>1.31</v>
      </c>
      <c r="H5669">
        <v>-0.05</v>
      </c>
      <c r="I5669">
        <v>0.68</v>
      </c>
      <c r="J5669">
        <v>0.46239999999999998</v>
      </c>
      <c r="K5669" t="str">
        <f>IFERROR(INDEX(Rosters!$C$2:$C$155,MATCH($B5669,Rosters!$B$2:$B$155,0)),"NA")</f>
        <v>NA</v>
      </c>
      <c r="L5669" t="str">
        <f t="shared" si="264"/>
        <v>NA5TE</v>
      </c>
      <c r="M5669">
        <f>COUNTIF(L$1:L5669,L5669)</f>
        <v>60</v>
      </c>
      <c r="N5669" t="str">
        <f t="shared" si="265"/>
        <v>NA5TE-60</v>
      </c>
      <c r="O5669">
        <f>COUNTIFS(F$1:F5669,F5669,A$1:A5669,A5669)</f>
        <v>71</v>
      </c>
      <c r="P5669" t="str">
        <f t="shared" si="266"/>
        <v>Logan Thomas5</v>
      </c>
    </row>
    <row r="5670" spans="1:16" x14ac:dyDescent="0.25">
      <c r="A5670">
        <v>7</v>
      </c>
      <c r="B5670" t="s">
        <v>1583</v>
      </c>
      <c r="C5670">
        <f>-0.04-1.3</f>
        <v>-1.34</v>
      </c>
      <c r="D5670">
        <v>0.63</v>
      </c>
      <c r="E5670" t="s">
        <v>66</v>
      </c>
      <c r="F5670" t="s">
        <v>114</v>
      </c>
      <c r="G5670">
        <v>1.3</v>
      </c>
      <c r="H5670">
        <v>-0.04</v>
      </c>
      <c r="I5670">
        <v>0.67</v>
      </c>
      <c r="J5670">
        <v>0.44890000000000002</v>
      </c>
      <c r="K5670" t="str">
        <f>IFERROR(INDEX(Rosters!$C$2:$C$155,MATCH($B5670,Rosters!$B$2:$B$155,0)),"NA")</f>
        <v>NA</v>
      </c>
      <c r="L5670" t="str">
        <f t="shared" si="264"/>
        <v>NA7TE</v>
      </c>
      <c r="M5670">
        <f>COUNTIF(L$1:L5670,L5670)</f>
        <v>54</v>
      </c>
      <c r="N5670" t="str">
        <f t="shared" si="265"/>
        <v>NA7TE-54</v>
      </c>
      <c r="O5670">
        <f>COUNTIFS(F$1:F5670,F5670,A$1:A5670,A5670)</f>
        <v>64</v>
      </c>
      <c r="P5670" t="str">
        <f t="shared" si="266"/>
        <v>Logan Thomas7</v>
      </c>
    </row>
    <row r="5671" spans="1:16" x14ac:dyDescent="0.25">
      <c r="A5671">
        <v>12</v>
      </c>
      <c r="B5671" t="s">
        <v>391</v>
      </c>
      <c r="C5671">
        <f>-0.03-1.29</f>
        <v>-1.32</v>
      </c>
      <c r="D5671">
        <v>0.63</v>
      </c>
      <c r="E5671" t="s">
        <v>73</v>
      </c>
      <c r="F5671" t="s">
        <v>87</v>
      </c>
      <c r="G5671">
        <v>1.29</v>
      </c>
      <c r="H5671">
        <v>-0.03</v>
      </c>
      <c r="I5671">
        <v>0.66</v>
      </c>
      <c r="J5671">
        <v>0.43559999999999999</v>
      </c>
      <c r="K5671" t="str">
        <f>IFERROR(INDEX(Rosters!$C$2:$C$155,MATCH($B5671,Rosters!$B$2:$B$155,0)),"NA")</f>
        <v>NA</v>
      </c>
      <c r="L5671" t="str">
        <f t="shared" si="264"/>
        <v>NA12WR</v>
      </c>
      <c r="M5671">
        <f>COUNTIF(L$1:L5671,L5671)</f>
        <v>86</v>
      </c>
      <c r="N5671" t="str">
        <f t="shared" si="265"/>
        <v>NA12WR-86</v>
      </c>
      <c r="O5671">
        <f>COUNTIFS(F$1:F5671,F5671,A$1:A5671,A5671)</f>
        <v>135</v>
      </c>
      <c r="P5671" t="str">
        <f t="shared" si="266"/>
        <v>Matt Slater12</v>
      </c>
    </row>
    <row r="5672" spans="1:16" x14ac:dyDescent="0.25">
      <c r="A5672">
        <v>10</v>
      </c>
      <c r="B5672" t="s">
        <v>1636</v>
      </c>
      <c r="C5672" t="s">
        <v>4724</v>
      </c>
      <c r="D5672">
        <v>0.63</v>
      </c>
      <c r="E5672" t="s">
        <v>34</v>
      </c>
      <c r="F5672" t="s">
        <v>47</v>
      </c>
      <c r="G5672">
        <v>1.18</v>
      </c>
      <c r="H5672">
        <v>0.08</v>
      </c>
      <c r="I5672">
        <v>0.55000000000000004</v>
      </c>
      <c r="J5672">
        <v>0.30249999999999999</v>
      </c>
      <c r="K5672" t="str">
        <f>IFERROR(INDEX(Rosters!$C$2:$C$155,MATCH($B5672,Rosters!$B$2:$B$155,0)),"NA")</f>
        <v>NA</v>
      </c>
      <c r="L5672" t="str">
        <f t="shared" si="264"/>
        <v>NA10RB</v>
      </c>
      <c r="M5672">
        <f>COUNTIF(L$1:L5672,L5672)</f>
        <v>49</v>
      </c>
      <c r="N5672" t="str">
        <f t="shared" si="265"/>
        <v>NA10RB-49</v>
      </c>
      <c r="O5672">
        <f>COUNTIFS(F$1:F5672,F5672,A$1:A5672,A5672)</f>
        <v>88</v>
      </c>
      <c r="P5672" t="str">
        <f t="shared" si="266"/>
        <v>Michael Burton10</v>
      </c>
    </row>
    <row r="5673" spans="1:16" x14ac:dyDescent="0.25">
      <c r="A5673">
        <v>11</v>
      </c>
      <c r="B5673" t="s">
        <v>1526</v>
      </c>
      <c r="C5673">
        <f>-0.04-1.3</f>
        <v>-1.34</v>
      </c>
      <c r="D5673">
        <v>0.63</v>
      </c>
      <c r="E5673" t="s">
        <v>74</v>
      </c>
      <c r="F5673" t="s">
        <v>114</v>
      </c>
      <c r="G5673">
        <v>1.3</v>
      </c>
      <c r="H5673">
        <v>-0.04</v>
      </c>
      <c r="I5673">
        <v>0.67</v>
      </c>
      <c r="J5673">
        <v>0.44890000000000002</v>
      </c>
      <c r="K5673" t="str">
        <f>IFERROR(INDEX(Rosters!$C$2:$C$155,MATCH($B5673,Rosters!$B$2:$B$155,0)),"NA")</f>
        <v>NA</v>
      </c>
      <c r="L5673" t="str">
        <f t="shared" si="264"/>
        <v>NA11TE</v>
      </c>
      <c r="M5673">
        <f>COUNTIF(L$1:L5673,L5673)</f>
        <v>47</v>
      </c>
      <c r="N5673" t="str">
        <f t="shared" si="265"/>
        <v>NA11TE-47</v>
      </c>
      <c r="O5673">
        <f>COUNTIFS(F$1:F5673,F5673,A$1:A5673,A5673)</f>
        <v>59</v>
      </c>
      <c r="P5673" t="str">
        <f t="shared" si="266"/>
        <v>Michael Roberts11</v>
      </c>
    </row>
    <row r="5674" spans="1:16" x14ac:dyDescent="0.25">
      <c r="A5674">
        <v>5</v>
      </c>
      <c r="B5674" t="s">
        <v>1130</v>
      </c>
      <c r="C5674">
        <f>-0.38-1.64</f>
        <v>-2.02</v>
      </c>
      <c r="D5674">
        <v>0.63</v>
      </c>
      <c r="E5674" t="s">
        <v>42</v>
      </c>
      <c r="F5674" t="s">
        <v>114</v>
      </c>
      <c r="G5674">
        <v>1.64</v>
      </c>
      <c r="H5674">
        <v>-0.38</v>
      </c>
      <c r="I5674">
        <v>1.01</v>
      </c>
      <c r="J5674">
        <v>1.0201</v>
      </c>
      <c r="K5674" t="str">
        <f>IFERROR(INDEX(Rosters!$C$2:$C$155,MATCH($B5674,Rosters!$B$2:$B$155,0)),"NA")</f>
        <v>NA</v>
      </c>
      <c r="L5674" t="str">
        <f t="shared" si="264"/>
        <v>NA5TE</v>
      </c>
      <c r="M5674">
        <f>COUNTIF(L$1:L5674,L5674)</f>
        <v>61</v>
      </c>
      <c r="N5674" t="str">
        <f t="shared" si="265"/>
        <v>NA5TE-61</v>
      </c>
      <c r="O5674">
        <f>COUNTIFS(F$1:F5674,F5674,A$1:A5674,A5674)</f>
        <v>72</v>
      </c>
      <c r="P5674" t="str">
        <f t="shared" si="266"/>
        <v>Neal Sterling5</v>
      </c>
    </row>
    <row r="5675" spans="1:16" x14ac:dyDescent="0.25">
      <c r="A5675">
        <v>4</v>
      </c>
      <c r="B5675" t="s">
        <v>3036</v>
      </c>
      <c r="C5675">
        <f>-0.12-1.38</f>
        <v>-1.5</v>
      </c>
      <c r="D5675">
        <v>0.63</v>
      </c>
      <c r="E5675" t="s">
        <v>50</v>
      </c>
      <c r="F5675" t="s">
        <v>87</v>
      </c>
      <c r="G5675">
        <v>1.38</v>
      </c>
      <c r="H5675">
        <v>-0.12</v>
      </c>
      <c r="I5675">
        <v>0.75</v>
      </c>
      <c r="J5675">
        <v>0.5625</v>
      </c>
      <c r="K5675" t="str">
        <f>IFERROR(INDEX(Rosters!$C$2:$C$155,MATCH($B5675,Rosters!$B$2:$B$155,0)),"NA")</f>
        <v>NA</v>
      </c>
      <c r="L5675" t="str">
        <f t="shared" si="264"/>
        <v>NA4WR</v>
      </c>
      <c r="M5675">
        <f>COUNTIF(L$1:L5675,L5675)</f>
        <v>67</v>
      </c>
      <c r="N5675" t="str">
        <f t="shared" si="265"/>
        <v>NA4WR-67</v>
      </c>
      <c r="O5675">
        <f>COUNTIFS(F$1:F5675,F5675,A$1:A5675,A5675)</f>
        <v>117</v>
      </c>
      <c r="P5675" t="str">
        <f t="shared" si="266"/>
        <v>Nick Williams4</v>
      </c>
    </row>
    <row r="5676" spans="1:16" x14ac:dyDescent="0.25">
      <c r="A5676">
        <v>7</v>
      </c>
      <c r="B5676" t="s">
        <v>3036</v>
      </c>
      <c r="C5676">
        <f>-0.08-1.34</f>
        <v>-1.4200000000000002</v>
      </c>
      <c r="D5676">
        <v>0.63</v>
      </c>
      <c r="E5676" t="s">
        <v>37</v>
      </c>
      <c r="F5676" t="s">
        <v>87</v>
      </c>
      <c r="G5676">
        <v>1.34</v>
      </c>
      <c r="H5676">
        <v>-0.08</v>
      </c>
      <c r="I5676">
        <v>0.71</v>
      </c>
      <c r="J5676">
        <v>0.50409999999999999</v>
      </c>
      <c r="K5676" t="str">
        <f>IFERROR(INDEX(Rosters!$C$2:$C$155,MATCH($B5676,Rosters!$B$2:$B$155,0)),"NA")</f>
        <v>NA</v>
      </c>
      <c r="L5676" t="str">
        <f t="shared" si="264"/>
        <v>NA7WR</v>
      </c>
      <c r="M5676">
        <f>COUNTIF(L$1:L5676,L5676)</f>
        <v>78</v>
      </c>
      <c r="N5676" t="str">
        <f t="shared" si="265"/>
        <v>NA7WR-78</v>
      </c>
      <c r="O5676">
        <f>COUNTIFS(F$1:F5676,F5676,A$1:A5676,A5676)</f>
        <v>123</v>
      </c>
      <c r="P5676" t="str">
        <f t="shared" si="266"/>
        <v>Nick Williams7</v>
      </c>
    </row>
    <row r="5677" spans="1:16" x14ac:dyDescent="0.25">
      <c r="A5677">
        <v>8</v>
      </c>
      <c r="B5677" t="s">
        <v>8786</v>
      </c>
      <c r="C5677">
        <f>-0.04-1.3</f>
        <v>-1.34</v>
      </c>
      <c r="D5677">
        <v>0.63</v>
      </c>
      <c r="E5677" t="s">
        <v>50</v>
      </c>
      <c r="F5677" t="s">
        <v>87</v>
      </c>
      <c r="G5677">
        <v>1.3</v>
      </c>
      <c r="H5677">
        <v>-0.04</v>
      </c>
      <c r="I5677">
        <v>0.67</v>
      </c>
      <c r="J5677">
        <v>0.44890000000000002</v>
      </c>
      <c r="K5677" t="str">
        <f>IFERROR(INDEX(Rosters!$C$2:$C$155,MATCH($B5677,Rosters!$B$2:$B$155,0)),"NA")</f>
        <v>NA</v>
      </c>
      <c r="L5677" t="str">
        <f t="shared" si="264"/>
        <v>NA8WR</v>
      </c>
      <c r="M5677">
        <f>COUNTIF(L$1:L5677,L5677)</f>
        <v>78</v>
      </c>
      <c r="N5677" t="str">
        <f t="shared" si="265"/>
        <v>NA8WR-78</v>
      </c>
      <c r="O5677">
        <f>COUNTIFS(F$1:F5677,F5677,A$1:A5677,A5677)</f>
        <v>127</v>
      </c>
      <c r="P5677" t="str">
        <f t="shared" si="266"/>
        <v>Rashad Greene8</v>
      </c>
    </row>
    <row r="5678" spans="1:16" x14ac:dyDescent="0.25">
      <c r="A5678">
        <v>13</v>
      </c>
      <c r="B5678" t="s">
        <v>332</v>
      </c>
      <c r="C5678">
        <f>-0.21-1.47</f>
        <v>-1.68</v>
      </c>
      <c r="D5678">
        <v>0.63</v>
      </c>
      <c r="E5678" t="s">
        <v>29</v>
      </c>
      <c r="F5678" t="s">
        <v>47</v>
      </c>
      <c r="G5678">
        <v>1.47</v>
      </c>
      <c r="H5678">
        <v>-0.21</v>
      </c>
      <c r="I5678">
        <v>0.84</v>
      </c>
      <c r="J5678">
        <v>0.7056</v>
      </c>
      <c r="K5678" t="str">
        <f>IFERROR(INDEX(Rosters!$C$2:$C$155,MATCH($B5678,Rosters!$B$2:$B$155,0)),"NA")</f>
        <v>NA</v>
      </c>
      <c r="L5678" t="str">
        <f t="shared" si="264"/>
        <v>NA13RB</v>
      </c>
      <c r="M5678">
        <f>COUNTIF(L$1:L5678,L5678)</f>
        <v>56</v>
      </c>
      <c r="N5678" t="str">
        <f t="shared" si="265"/>
        <v>NA13RB-56</v>
      </c>
      <c r="O5678">
        <f>COUNTIFS(F$1:F5678,F5678,A$1:A5678,A5678)</f>
        <v>103</v>
      </c>
      <c r="P5678" t="str">
        <f t="shared" si="266"/>
        <v>Senorise Perry13</v>
      </c>
    </row>
    <row r="5679" spans="1:16" x14ac:dyDescent="0.25">
      <c r="A5679">
        <v>10</v>
      </c>
      <c r="B5679" t="s">
        <v>4254</v>
      </c>
      <c r="C5679">
        <f>-0.03-1.29</f>
        <v>-1.32</v>
      </c>
      <c r="D5679">
        <v>0.63</v>
      </c>
      <c r="E5679" t="s">
        <v>24</v>
      </c>
      <c r="F5679" t="s">
        <v>47</v>
      </c>
      <c r="G5679">
        <v>1.29</v>
      </c>
      <c r="H5679">
        <v>-0.03</v>
      </c>
      <c r="I5679">
        <v>0.66</v>
      </c>
      <c r="J5679">
        <v>0.43559999999999999</v>
      </c>
      <c r="K5679" t="str">
        <f>IFERROR(INDEX(Rosters!$C$2:$C$155,MATCH($B5679,Rosters!$B$2:$B$155,0)),"NA")</f>
        <v>NA</v>
      </c>
      <c r="L5679" t="str">
        <f t="shared" si="264"/>
        <v>NA10RB</v>
      </c>
      <c r="M5679">
        <f>COUNTIF(L$1:L5679,L5679)</f>
        <v>50</v>
      </c>
      <c r="N5679" t="str">
        <f t="shared" si="265"/>
        <v>NA10RB-50</v>
      </c>
      <c r="O5679">
        <f>COUNTIFS(F$1:F5679,F5679,A$1:A5679,A5679)</f>
        <v>89</v>
      </c>
      <c r="P5679" t="str">
        <f t="shared" si="266"/>
        <v>T.J. Logan10</v>
      </c>
    </row>
    <row r="5680" spans="1:16" x14ac:dyDescent="0.25">
      <c r="A5680">
        <v>13</v>
      </c>
      <c r="B5680" t="s">
        <v>4245</v>
      </c>
      <c r="C5680">
        <f>-0.03-1.29</f>
        <v>-1.32</v>
      </c>
      <c r="D5680">
        <v>0.63</v>
      </c>
      <c r="E5680" t="s">
        <v>52</v>
      </c>
      <c r="F5680" t="s">
        <v>87</v>
      </c>
      <c r="G5680">
        <v>1.29</v>
      </c>
      <c r="H5680">
        <v>-0.03</v>
      </c>
      <c r="I5680">
        <v>0.66</v>
      </c>
      <c r="J5680">
        <v>0.43559999999999999</v>
      </c>
      <c r="K5680" t="str">
        <f>IFERROR(INDEX(Rosters!$C$2:$C$155,MATCH($B5680,Rosters!$B$2:$B$155,0)),"NA")</f>
        <v>NA</v>
      </c>
      <c r="L5680" t="str">
        <f t="shared" si="264"/>
        <v>NA13WR</v>
      </c>
      <c r="M5680">
        <f>COUNTIF(L$1:L5680,L5680)</f>
        <v>84</v>
      </c>
      <c r="N5680" t="str">
        <f t="shared" si="265"/>
        <v>NA13WR-84</v>
      </c>
      <c r="O5680">
        <f>COUNTIFS(F$1:F5680,F5680,A$1:A5680,A5680)</f>
        <v>138</v>
      </c>
      <c r="P5680" t="str">
        <f t="shared" si="266"/>
        <v>Vyncint Smith13</v>
      </c>
    </row>
    <row r="5681" spans="1:16" x14ac:dyDescent="0.25">
      <c r="A5681">
        <v>3</v>
      </c>
      <c r="B5681" t="s">
        <v>2889</v>
      </c>
      <c r="C5681">
        <f>-0.14-1.4</f>
        <v>-1.54</v>
      </c>
      <c r="D5681">
        <v>0.63</v>
      </c>
      <c r="E5681" t="s">
        <v>46</v>
      </c>
      <c r="F5681" t="s">
        <v>47</v>
      </c>
      <c r="G5681">
        <v>1.4</v>
      </c>
      <c r="H5681">
        <v>-0.14000000000000001</v>
      </c>
      <c r="I5681">
        <v>0.77</v>
      </c>
      <c r="J5681">
        <v>0.59289999999999998</v>
      </c>
      <c r="K5681" t="str">
        <f>IFERROR(INDEX(Rosters!$C$2:$C$155,MATCH($B5681,Rosters!$B$2:$B$155,0)),"NA")</f>
        <v>NA</v>
      </c>
      <c r="L5681" t="str">
        <f t="shared" si="264"/>
        <v>NA3RB</v>
      </c>
      <c r="M5681">
        <f>COUNTIF(L$1:L5681,L5681)</f>
        <v>47</v>
      </c>
      <c r="N5681" t="str">
        <f t="shared" si="265"/>
        <v>NA3RB-47</v>
      </c>
      <c r="O5681">
        <f>COUNTIFS(F$1:F5681,F5681,A$1:A5681,A5681)</f>
        <v>86</v>
      </c>
      <c r="P5681" t="str">
        <f t="shared" si="266"/>
        <v>Zach Line3</v>
      </c>
    </row>
    <row r="5682" spans="1:16" x14ac:dyDescent="0.25">
      <c r="A5682">
        <v>16</v>
      </c>
      <c r="B5682" t="s">
        <v>2889</v>
      </c>
      <c r="C5682" t="s">
        <v>8891</v>
      </c>
      <c r="D5682">
        <v>0.63</v>
      </c>
      <c r="E5682" t="s">
        <v>51</v>
      </c>
      <c r="F5682" t="s">
        <v>47</v>
      </c>
      <c r="G5682">
        <v>1.26</v>
      </c>
      <c r="H5682">
        <v>0</v>
      </c>
      <c r="I5682">
        <v>0.63</v>
      </c>
      <c r="J5682">
        <v>0.39689999999999998</v>
      </c>
      <c r="K5682" t="str">
        <f>IFERROR(INDEX(Rosters!$C$2:$C$155,MATCH($B5682,Rosters!$B$2:$B$155,0)),"NA")</f>
        <v>NA</v>
      </c>
      <c r="L5682" t="str">
        <f t="shared" si="264"/>
        <v>NA16RB</v>
      </c>
      <c r="M5682">
        <f>COUNTIF(L$1:L5682,L5682)</f>
        <v>53</v>
      </c>
      <c r="N5682" t="str">
        <f t="shared" si="265"/>
        <v>NA16RB-53</v>
      </c>
      <c r="O5682">
        <f>COUNTIFS(F$1:F5682,F5682,A$1:A5682,A5682)</f>
        <v>100</v>
      </c>
      <c r="P5682" t="str">
        <f t="shared" si="266"/>
        <v>Zach Line16</v>
      </c>
    </row>
    <row r="5683" spans="1:16" x14ac:dyDescent="0.25">
      <c r="A5683">
        <v>17</v>
      </c>
      <c r="B5683" t="s">
        <v>2889</v>
      </c>
      <c r="C5683" t="s">
        <v>1585</v>
      </c>
      <c r="D5683">
        <v>0.63</v>
      </c>
      <c r="E5683" t="s">
        <v>74</v>
      </c>
      <c r="F5683" t="s">
        <v>47</v>
      </c>
      <c r="G5683">
        <v>1.24</v>
      </c>
      <c r="H5683">
        <v>0.02</v>
      </c>
      <c r="I5683">
        <v>0.61</v>
      </c>
      <c r="J5683">
        <v>0.37209999999999999</v>
      </c>
      <c r="K5683" t="str">
        <f>IFERROR(INDEX(Rosters!$C$2:$C$155,MATCH($B5683,Rosters!$B$2:$B$155,0)),"NA")</f>
        <v>NA</v>
      </c>
      <c r="L5683" t="str">
        <f t="shared" si="264"/>
        <v>NA17RB</v>
      </c>
      <c r="M5683">
        <f>COUNTIF(L$1:L5683,L5683)</f>
        <v>49</v>
      </c>
      <c r="N5683" t="str">
        <f t="shared" si="265"/>
        <v>NA17RB-49</v>
      </c>
      <c r="O5683">
        <f>COUNTIFS(F$1:F5683,F5683,A$1:A5683,A5683)</f>
        <v>96</v>
      </c>
      <c r="P5683" t="str">
        <f t="shared" si="266"/>
        <v>Zach Line17</v>
      </c>
    </row>
    <row r="5684" spans="1:16" x14ac:dyDescent="0.25">
      <c r="A5684">
        <v>15</v>
      </c>
      <c r="B5684" t="s">
        <v>324</v>
      </c>
      <c r="C5684" t="s">
        <v>3849</v>
      </c>
      <c r="D5684">
        <v>0.62</v>
      </c>
      <c r="E5684" t="s">
        <v>31</v>
      </c>
      <c r="F5684" t="s">
        <v>15</v>
      </c>
      <c r="G5684">
        <v>1.1599999999999999</v>
      </c>
      <c r="H5684">
        <v>0.08</v>
      </c>
      <c r="I5684">
        <v>0.54</v>
      </c>
      <c r="J5684">
        <v>0.29160000000000003</v>
      </c>
      <c r="K5684" t="str">
        <f>IFERROR(INDEX(Rosters!$C$2:$C$155,MATCH($B5684,Rosters!$B$2:$B$155,0)),"NA")</f>
        <v>NA</v>
      </c>
      <c r="L5684" t="str">
        <f t="shared" si="264"/>
        <v>NA15QB</v>
      </c>
      <c r="M5684">
        <f>COUNTIF(L$1:L5684,L5684)</f>
        <v>37</v>
      </c>
      <c r="N5684" t="str">
        <f t="shared" si="265"/>
        <v>NA15QB-37</v>
      </c>
      <c r="O5684">
        <f>COUNTIFS(F$1:F5684,F5684,A$1:A5684,A5684)</f>
        <v>54</v>
      </c>
      <c r="P5684" t="str">
        <f t="shared" si="266"/>
        <v>A.J. McCarron15</v>
      </c>
    </row>
    <row r="5685" spans="1:16" x14ac:dyDescent="0.25">
      <c r="A5685">
        <v>16</v>
      </c>
      <c r="B5685" t="s">
        <v>324</v>
      </c>
      <c r="C5685" t="s">
        <v>853</v>
      </c>
      <c r="D5685">
        <v>0.62</v>
      </c>
      <c r="E5685" t="s">
        <v>42</v>
      </c>
      <c r="F5685" t="s">
        <v>15</v>
      </c>
      <c r="G5685">
        <v>1.18</v>
      </c>
      <c r="H5685">
        <v>0.06</v>
      </c>
      <c r="I5685">
        <v>0.56000000000000005</v>
      </c>
      <c r="J5685">
        <v>0.31359999999999999</v>
      </c>
      <c r="K5685" t="str">
        <f>IFERROR(INDEX(Rosters!$C$2:$C$155,MATCH($B5685,Rosters!$B$2:$B$155,0)),"NA")</f>
        <v>NA</v>
      </c>
      <c r="L5685" t="str">
        <f t="shared" si="264"/>
        <v>NA16QB</v>
      </c>
      <c r="M5685">
        <f>COUNTIF(L$1:L5685,L5685)</f>
        <v>37</v>
      </c>
      <c r="N5685" t="str">
        <f t="shared" si="265"/>
        <v>NA16QB-37</v>
      </c>
      <c r="O5685">
        <f>COUNTIFS(F$1:F5685,F5685,A$1:A5685,A5685)</f>
        <v>54</v>
      </c>
      <c r="P5685" t="str">
        <f t="shared" si="266"/>
        <v>A.J. McCarron16</v>
      </c>
    </row>
    <row r="5686" spans="1:16" x14ac:dyDescent="0.25">
      <c r="A5686">
        <v>17</v>
      </c>
      <c r="B5686" t="s">
        <v>1555</v>
      </c>
      <c r="C5686" t="s">
        <v>4726</v>
      </c>
      <c r="D5686">
        <v>0.62</v>
      </c>
      <c r="E5686" t="s">
        <v>14</v>
      </c>
      <c r="F5686" t="s">
        <v>47</v>
      </c>
      <c r="G5686">
        <v>1.23</v>
      </c>
      <c r="H5686">
        <v>0.01</v>
      </c>
      <c r="I5686">
        <v>0.61</v>
      </c>
      <c r="J5686">
        <v>0.37209999999999999</v>
      </c>
      <c r="K5686" t="str">
        <f>IFERROR(INDEX(Rosters!$C$2:$C$155,MATCH($B5686,Rosters!$B$2:$B$155,0)),"NA")</f>
        <v>NA</v>
      </c>
      <c r="L5686" t="str">
        <f t="shared" si="264"/>
        <v>NA17RB</v>
      </c>
      <c r="M5686">
        <f>COUNTIF(L$1:L5686,L5686)</f>
        <v>50</v>
      </c>
      <c r="N5686" t="str">
        <f t="shared" si="265"/>
        <v>NA17RB-50</v>
      </c>
      <c r="O5686">
        <f>COUNTIFS(F$1:F5686,F5686,A$1:A5686,A5686)</f>
        <v>97</v>
      </c>
      <c r="P5686" t="str">
        <f t="shared" si="266"/>
        <v>Alex Armah17</v>
      </c>
    </row>
    <row r="5687" spans="1:16" x14ac:dyDescent="0.25">
      <c r="A5687">
        <v>15</v>
      </c>
      <c r="B5687" t="s">
        <v>1614</v>
      </c>
      <c r="C5687" t="s">
        <v>3849</v>
      </c>
      <c r="D5687">
        <v>0.62</v>
      </c>
      <c r="E5687" t="s">
        <v>37</v>
      </c>
      <c r="F5687" t="s">
        <v>114</v>
      </c>
      <c r="G5687">
        <v>1.1599999999999999</v>
      </c>
      <c r="H5687">
        <v>0.08</v>
      </c>
      <c r="I5687">
        <v>0.54</v>
      </c>
      <c r="J5687">
        <v>0.29160000000000003</v>
      </c>
      <c r="K5687" t="str">
        <f>IFERROR(INDEX(Rosters!$C$2:$C$155,MATCH($B5687,Rosters!$B$2:$B$155,0)),"NA")</f>
        <v>NA</v>
      </c>
      <c r="L5687" t="str">
        <f t="shared" si="264"/>
        <v>NA15TE</v>
      </c>
      <c r="M5687">
        <f>COUNTIF(L$1:L5687,L5687)</f>
        <v>60</v>
      </c>
      <c r="N5687" t="str">
        <f t="shared" si="265"/>
        <v>NA15TE-60</v>
      </c>
      <c r="O5687">
        <f>COUNTIFS(F$1:F5687,F5687,A$1:A5687,A5687)</f>
        <v>74</v>
      </c>
      <c r="P5687" t="str">
        <f t="shared" si="266"/>
        <v>Alex Ellis15</v>
      </c>
    </row>
    <row r="5688" spans="1:16" x14ac:dyDescent="0.25">
      <c r="A5688">
        <v>16</v>
      </c>
      <c r="B5688" t="s">
        <v>1614</v>
      </c>
      <c r="C5688">
        <f>-0.01-1.25</f>
        <v>-1.26</v>
      </c>
      <c r="D5688">
        <v>0.62</v>
      </c>
      <c r="E5688" t="s">
        <v>28</v>
      </c>
      <c r="F5688" t="s">
        <v>114</v>
      </c>
      <c r="G5688">
        <v>1.25</v>
      </c>
      <c r="H5688">
        <v>-0.01</v>
      </c>
      <c r="I5688">
        <v>0.63</v>
      </c>
      <c r="J5688">
        <v>0.39689999999999998</v>
      </c>
      <c r="K5688" t="str">
        <f>IFERROR(INDEX(Rosters!$C$2:$C$155,MATCH($B5688,Rosters!$B$2:$B$155,0)),"NA")</f>
        <v>NA</v>
      </c>
      <c r="L5688" t="str">
        <f t="shared" si="264"/>
        <v>NA16TE</v>
      </c>
      <c r="M5688">
        <f>COUNTIF(L$1:L5688,L5688)</f>
        <v>59</v>
      </c>
      <c r="N5688" t="str">
        <f t="shared" si="265"/>
        <v>NA16TE-59</v>
      </c>
      <c r="O5688">
        <f>COUNTIFS(F$1:F5688,F5688,A$1:A5688,A5688)</f>
        <v>73</v>
      </c>
      <c r="P5688" t="str">
        <f t="shared" si="266"/>
        <v>Alex Ellis16</v>
      </c>
    </row>
    <row r="5689" spans="1:16" x14ac:dyDescent="0.25">
      <c r="A5689">
        <v>8</v>
      </c>
      <c r="B5689" t="s">
        <v>1572</v>
      </c>
      <c r="C5689" t="s">
        <v>8895</v>
      </c>
      <c r="D5689">
        <v>0.62</v>
      </c>
      <c r="E5689" t="s">
        <v>28</v>
      </c>
      <c r="F5689" t="s">
        <v>87</v>
      </c>
      <c r="G5689">
        <v>1.21</v>
      </c>
      <c r="H5689">
        <v>0.03</v>
      </c>
      <c r="I5689">
        <v>0.59</v>
      </c>
      <c r="J5689">
        <v>0.34810000000000002</v>
      </c>
      <c r="K5689" t="str">
        <f>IFERROR(INDEX(Rosters!$C$2:$C$155,MATCH($B5689,Rosters!$B$2:$B$155,0)),"NA")</f>
        <v>NA</v>
      </c>
      <c r="L5689" t="str">
        <f t="shared" si="264"/>
        <v>NA8WR</v>
      </c>
      <c r="M5689">
        <f>COUNTIF(L$1:L5689,L5689)</f>
        <v>79</v>
      </c>
      <c r="N5689" t="str">
        <f t="shared" si="265"/>
        <v>NA8WR-79</v>
      </c>
      <c r="O5689">
        <f>COUNTIFS(F$1:F5689,F5689,A$1:A5689,A5689)</f>
        <v>128</v>
      </c>
      <c r="P5689" t="str">
        <f t="shared" si="266"/>
        <v>Andy Jones8</v>
      </c>
    </row>
    <row r="5690" spans="1:16" x14ac:dyDescent="0.25">
      <c r="A5690">
        <v>1</v>
      </c>
      <c r="B5690" t="s">
        <v>1542</v>
      </c>
      <c r="C5690" t="s">
        <v>1142</v>
      </c>
      <c r="D5690">
        <v>0.62</v>
      </c>
      <c r="E5690" t="s">
        <v>14</v>
      </c>
      <c r="F5690" t="s">
        <v>114</v>
      </c>
      <c r="G5690">
        <v>1.17</v>
      </c>
      <c r="H5690">
        <v>7.0000000000000007E-2</v>
      </c>
      <c r="I5690">
        <v>0.55000000000000004</v>
      </c>
      <c r="J5690">
        <v>0.30249999999999999</v>
      </c>
      <c r="K5690" t="str">
        <f>IFERROR(INDEX(Rosters!$C$2:$C$155,MATCH($B5690,Rosters!$B$2:$B$155,0)),"NA")</f>
        <v>NA</v>
      </c>
      <c r="L5690" t="str">
        <f t="shared" si="264"/>
        <v>NA1TE</v>
      </c>
      <c r="M5690">
        <f>COUNTIF(L$1:L5690,L5690)</f>
        <v>47</v>
      </c>
      <c r="N5690" t="str">
        <f t="shared" si="265"/>
        <v>NA1TE-47</v>
      </c>
      <c r="O5690">
        <f>COUNTIFS(F$1:F5690,F5690,A$1:A5690,A5690)</f>
        <v>60</v>
      </c>
      <c r="P5690" t="str">
        <f t="shared" si="266"/>
        <v>Antony Auclair1</v>
      </c>
    </row>
    <row r="5691" spans="1:16" x14ac:dyDescent="0.25">
      <c r="A5691">
        <v>2</v>
      </c>
      <c r="B5691" t="s">
        <v>365</v>
      </c>
      <c r="C5691" t="s">
        <v>853</v>
      </c>
      <c r="D5691">
        <v>0.62</v>
      </c>
      <c r="E5691" t="s">
        <v>25</v>
      </c>
      <c r="F5691" t="s">
        <v>15</v>
      </c>
      <c r="G5691">
        <v>1.18</v>
      </c>
      <c r="H5691">
        <v>0.06</v>
      </c>
      <c r="I5691">
        <v>0.56000000000000005</v>
      </c>
      <c r="J5691">
        <v>0.31359999999999999</v>
      </c>
      <c r="K5691" t="str">
        <f>IFERROR(INDEX(Rosters!$C$2:$C$155,MATCH($B5691,Rosters!$B$2:$B$155,0)),"NA")</f>
        <v>NA</v>
      </c>
      <c r="L5691" t="str">
        <f t="shared" si="264"/>
        <v>NA2QB</v>
      </c>
      <c r="M5691">
        <f>COUNTIF(L$1:L5691,L5691)</f>
        <v>28</v>
      </c>
      <c r="N5691" t="str">
        <f t="shared" si="265"/>
        <v>NA2QB-28</v>
      </c>
      <c r="O5691">
        <f>COUNTIFS(F$1:F5691,F5691,A$1:A5691,A5691)</f>
        <v>44</v>
      </c>
      <c r="P5691" t="str">
        <f t="shared" si="266"/>
        <v>Brett Hundley2</v>
      </c>
    </row>
    <row r="5692" spans="1:16" x14ac:dyDescent="0.25">
      <c r="A5692">
        <v>17</v>
      </c>
      <c r="B5692" t="s">
        <v>2926</v>
      </c>
      <c r="C5692">
        <f>-0.02-1.26</f>
        <v>-1.28</v>
      </c>
      <c r="D5692">
        <v>0.62</v>
      </c>
      <c r="E5692" t="s">
        <v>50</v>
      </c>
      <c r="F5692" t="s">
        <v>87</v>
      </c>
      <c r="G5692">
        <v>1.26</v>
      </c>
      <c r="H5692">
        <v>-0.02</v>
      </c>
      <c r="I5692">
        <v>0.64</v>
      </c>
      <c r="J5692">
        <v>0.40960000000000002</v>
      </c>
      <c r="K5692" t="str">
        <f>IFERROR(INDEX(Rosters!$C$2:$C$155,MATCH($B5692,Rosters!$B$2:$B$155,0)),"NA")</f>
        <v>NA</v>
      </c>
      <c r="L5692" t="str">
        <f t="shared" si="264"/>
        <v>NA17WR</v>
      </c>
      <c r="M5692">
        <f>COUNTIF(L$1:L5692,L5692)</f>
        <v>90</v>
      </c>
      <c r="N5692" t="str">
        <f t="shared" si="265"/>
        <v>NA17WR-90</v>
      </c>
      <c r="O5692">
        <f>COUNTIFS(F$1:F5692,F5692,A$1:A5692,A5692)</f>
        <v>144</v>
      </c>
      <c r="P5692" t="str">
        <f t="shared" si="266"/>
        <v>Brian Quick17</v>
      </c>
    </row>
    <row r="5693" spans="1:16" x14ac:dyDescent="0.25">
      <c r="A5693">
        <v>13</v>
      </c>
      <c r="B5693" t="s">
        <v>357</v>
      </c>
      <c r="C5693">
        <f>-0.13-1.37</f>
        <v>-1.5</v>
      </c>
      <c r="D5693">
        <v>0.62</v>
      </c>
      <c r="E5693" t="s">
        <v>46</v>
      </c>
      <c r="F5693" t="s">
        <v>87</v>
      </c>
      <c r="G5693">
        <v>1.37</v>
      </c>
      <c r="H5693">
        <v>-0.13</v>
      </c>
      <c r="I5693">
        <v>0.75</v>
      </c>
      <c r="J5693">
        <v>0.5625</v>
      </c>
      <c r="K5693" t="str">
        <f>IFERROR(INDEX(Rosters!$C$2:$C$155,MATCH($B5693,Rosters!$B$2:$B$155,0)),"NA")</f>
        <v>NA</v>
      </c>
      <c r="L5693" t="str">
        <f t="shared" si="264"/>
        <v>NA13WR</v>
      </c>
      <c r="M5693">
        <f>COUNTIF(L$1:L5693,L5693)</f>
        <v>85</v>
      </c>
      <c r="N5693" t="str">
        <f t="shared" si="265"/>
        <v>NA13WR-85</v>
      </c>
      <c r="O5693">
        <f>COUNTIFS(F$1:F5693,F5693,A$1:A5693,A5693)</f>
        <v>139</v>
      </c>
      <c r="P5693" t="str">
        <f t="shared" si="266"/>
        <v>Chris Moore13</v>
      </c>
    </row>
    <row r="5694" spans="1:16" x14ac:dyDescent="0.25">
      <c r="A5694">
        <v>13</v>
      </c>
      <c r="B5694" t="s">
        <v>342</v>
      </c>
      <c r="C5694" t="s">
        <v>8896</v>
      </c>
      <c r="D5694">
        <v>0.62</v>
      </c>
      <c r="E5694" t="s">
        <v>42</v>
      </c>
      <c r="F5694" t="s">
        <v>87</v>
      </c>
      <c r="G5694">
        <v>1.1299999999999999</v>
      </c>
      <c r="H5694">
        <v>0.11</v>
      </c>
      <c r="I5694">
        <v>0.51</v>
      </c>
      <c r="J5694">
        <v>0.2601</v>
      </c>
      <c r="K5694" t="str">
        <f>IFERROR(INDEX(Rosters!$C$2:$C$155,MATCH($B5694,Rosters!$B$2:$B$155,0)),"NA")</f>
        <v>NA</v>
      </c>
      <c r="L5694" t="str">
        <f t="shared" si="264"/>
        <v>NA13WR</v>
      </c>
      <c r="M5694">
        <f>COUNTIF(L$1:L5694,L5694)</f>
        <v>86</v>
      </c>
      <c r="N5694" t="str">
        <f t="shared" si="265"/>
        <v>NA13WR-86</v>
      </c>
      <c r="O5694">
        <f>COUNTIFS(F$1:F5694,F5694,A$1:A5694,A5694)</f>
        <v>140</v>
      </c>
      <c r="P5694" t="str">
        <f t="shared" si="266"/>
        <v>Cody Core13</v>
      </c>
    </row>
    <row r="5695" spans="1:16" x14ac:dyDescent="0.25">
      <c r="A5695">
        <v>3</v>
      </c>
      <c r="B5695" t="s">
        <v>1503</v>
      </c>
      <c r="C5695">
        <f>-0.05-1.29</f>
        <v>-1.34</v>
      </c>
      <c r="D5695">
        <v>0.62</v>
      </c>
      <c r="E5695" t="s">
        <v>38</v>
      </c>
      <c r="F5695" t="s">
        <v>87</v>
      </c>
      <c r="G5695">
        <v>1.29</v>
      </c>
      <c r="H5695">
        <v>-0.05</v>
      </c>
      <c r="I5695">
        <v>0.67</v>
      </c>
      <c r="J5695">
        <v>0.44890000000000002</v>
      </c>
      <c r="K5695" t="str">
        <f>IFERROR(INDEX(Rosters!$C$2:$C$155,MATCH($B5695,Rosters!$B$2:$B$155,0)),"NA")</f>
        <v>NA</v>
      </c>
      <c r="L5695" t="str">
        <f t="shared" si="264"/>
        <v>NA3WR</v>
      </c>
      <c r="M5695">
        <f>COUNTIF(L$1:L5695,L5695)</f>
        <v>76</v>
      </c>
      <c r="N5695" t="str">
        <f t="shared" si="265"/>
        <v>NA3WR-76</v>
      </c>
      <c r="O5695">
        <f>COUNTIFS(F$1:F5695,F5695,A$1:A5695,A5695)</f>
        <v>125</v>
      </c>
      <c r="P5695" t="str">
        <f t="shared" si="266"/>
        <v>D.J. Chark3</v>
      </c>
    </row>
    <row r="5696" spans="1:16" x14ac:dyDescent="0.25">
      <c r="A5696">
        <v>7</v>
      </c>
      <c r="B5696" t="s">
        <v>4729</v>
      </c>
      <c r="C5696">
        <f>-0.03-1.27</f>
        <v>-1.3</v>
      </c>
      <c r="D5696">
        <v>0.62</v>
      </c>
      <c r="E5696" t="s">
        <v>58</v>
      </c>
      <c r="F5696" t="s">
        <v>87</v>
      </c>
      <c r="G5696">
        <v>1.27</v>
      </c>
      <c r="H5696">
        <v>-0.03</v>
      </c>
      <c r="I5696">
        <v>0.65</v>
      </c>
      <c r="J5696">
        <v>0.42249999999999999</v>
      </c>
      <c r="K5696" t="str">
        <f>IFERROR(INDEX(Rosters!$C$2:$C$155,MATCH($B5696,Rosters!$B$2:$B$155,0)),"NA")</f>
        <v>NA</v>
      </c>
      <c r="L5696" t="str">
        <f t="shared" si="264"/>
        <v>NA7WR</v>
      </c>
      <c r="M5696">
        <f>COUNTIF(L$1:L5696,L5696)</f>
        <v>79</v>
      </c>
      <c r="N5696" t="str">
        <f t="shared" si="265"/>
        <v>NA7WR-79</v>
      </c>
      <c r="O5696">
        <f>COUNTIFS(F$1:F5696,F5696,A$1:A5696,A5696)</f>
        <v>124</v>
      </c>
      <c r="P5696" t="str">
        <f t="shared" si="266"/>
        <v>DaeSean Hamilton7</v>
      </c>
    </row>
    <row r="5697" spans="1:16" x14ac:dyDescent="0.25">
      <c r="A5697">
        <v>15</v>
      </c>
      <c r="B5697" t="s">
        <v>4729</v>
      </c>
      <c r="C5697" t="s">
        <v>3848</v>
      </c>
      <c r="D5697">
        <v>0.62</v>
      </c>
      <c r="E5697" t="s">
        <v>52</v>
      </c>
      <c r="F5697" t="s">
        <v>87</v>
      </c>
      <c r="G5697">
        <v>1.19</v>
      </c>
      <c r="H5697">
        <v>0.05</v>
      </c>
      <c r="I5697">
        <v>0.56999999999999995</v>
      </c>
      <c r="J5697">
        <v>0.32490000000000002</v>
      </c>
      <c r="K5697" t="str">
        <f>IFERROR(INDEX(Rosters!$C$2:$C$155,MATCH($B5697,Rosters!$B$2:$B$155,0)),"NA")</f>
        <v>NA</v>
      </c>
      <c r="L5697" t="str">
        <f t="shared" si="264"/>
        <v>NA15WR</v>
      </c>
      <c r="M5697">
        <f>COUNTIF(L$1:L5697,L5697)</f>
        <v>90</v>
      </c>
      <c r="N5697" t="str">
        <f t="shared" si="265"/>
        <v>NA15WR-90</v>
      </c>
      <c r="O5697">
        <f>COUNTIFS(F$1:F5697,F5697,A$1:A5697,A5697)</f>
        <v>144</v>
      </c>
      <c r="P5697" t="str">
        <f t="shared" si="266"/>
        <v>DaeSean Hamilton15</v>
      </c>
    </row>
    <row r="5698" spans="1:16" x14ac:dyDescent="0.25">
      <c r="A5698">
        <v>16</v>
      </c>
      <c r="B5698" t="s">
        <v>304</v>
      </c>
      <c r="C5698">
        <f>-0.1-1.34</f>
        <v>-1.4400000000000002</v>
      </c>
      <c r="D5698">
        <v>0.62</v>
      </c>
      <c r="E5698" t="s">
        <v>14</v>
      </c>
      <c r="F5698" t="s">
        <v>87</v>
      </c>
      <c r="G5698">
        <v>1.34</v>
      </c>
      <c r="H5698">
        <v>-0.1</v>
      </c>
      <c r="I5698">
        <v>0.72</v>
      </c>
      <c r="J5698">
        <v>0.51839999999999997</v>
      </c>
      <c r="K5698" t="str">
        <f>IFERROR(INDEX(Rosters!$C$2:$C$155,MATCH($B5698,Rosters!$B$2:$B$155,0)),"NA")</f>
        <v>NA</v>
      </c>
      <c r="L5698" t="str">
        <f t="shared" si="264"/>
        <v>NA16WR</v>
      </c>
      <c r="M5698">
        <f>COUNTIF(L$1:L5698,L5698)</f>
        <v>91</v>
      </c>
      <c r="N5698" t="str">
        <f t="shared" si="265"/>
        <v>NA16WR-91</v>
      </c>
      <c r="O5698">
        <f>COUNTIFS(F$1:F5698,F5698,A$1:A5698,A5698)</f>
        <v>145</v>
      </c>
      <c r="P5698" t="str">
        <f t="shared" si="266"/>
        <v>Darrius Heyward-Bey16</v>
      </c>
    </row>
    <row r="5699" spans="1:16" x14ac:dyDescent="0.25">
      <c r="A5699">
        <v>6</v>
      </c>
      <c r="B5699" t="s">
        <v>361</v>
      </c>
      <c r="C5699">
        <f>-0.09-1.33</f>
        <v>-1.4200000000000002</v>
      </c>
      <c r="D5699">
        <v>0.62</v>
      </c>
      <c r="E5699" t="s">
        <v>423</v>
      </c>
      <c r="F5699" t="s">
        <v>87</v>
      </c>
      <c r="G5699">
        <v>1.33</v>
      </c>
      <c r="H5699">
        <v>-0.09</v>
      </c>
      <c r="I5699">
        <v>0.71</v>
      </c>
      <c r="J5699">
        <v>0.50409999999999999</v>
      </c>
      <c r="K5699" t="str">
        <f>IFERROR(INDEX(Rosters!$C$2:$C$155,MATCH($B5699,Rosters!$B$2:$B$155,0)),"NA")</f>
        <v>NA</v>
      </c>
      <c r="L5699" t="str">
        <f t="shared" ref="L5699:L5762" si="267">K5699&amp;A5699&amp;F5699</f>
        <v>NA6WR</v>
      </c>
      <c r="M5699">
        <f>COUNTIF(L$1:L5699,L5699)</f>
        <v>86</v>
      </c>
      <c r="N5699" t="str">
        <f t="shared" ref="N5699:N5762" si="268">L5699&amp;"-"&amp;M5699</f>
        <v>NA6WR-86</v>
      </c>
      <c r="O5699">
        <f>COUNTIFS(F$1:F5699,F5699,A$1:A5699,A5699)</f>
        <v>136</v>
      </c>
      <c r="P5699" t="str">
        <f t="shared" ref="P5699:P5762" si="269">B5699&amp;A5699</f>
        <v>De'Anthony Thomas6</v>
      </c>
    </row>
    <row r="5700" spans="1:16" x14ac:dyDescent="0.25">
      <c r="A5700">
        <v>7</v>
      </c>
      <c r="B5700" t="s">
        <v>361</v>
      </c>
      <c r="C5700">
        <f>-0.08-1.32</f>
        <v>-1.4000000000000001</v>
      </c>
      <c r="D5700">
        <v>0.62</v>
      </c>
      <c r="E5700" t="s">
        <v>31</v>
      </c>
      <c r="F5700" t="s">
        <v>87</v>
      </c>
      <c r="G5700">
        <v>1.32</v>
      </c>
      <c r="H5700">
        <v>-0.08</v>
      </c>
      <c r="I5700">
        <v>0.7</v>
      </c>
      <c r="J5700">
        <v>0.49</v>
      </c>
      <c r="K5700" t="str">
        <f>IFERROR(INDEX(Rosters!$C$2:$C$155,MATCH($B5700,Rosters!$B$2:$B$155,0)),"NA")</f>
        <v>NA</v>
      </c>
      <c r="L5700" t="str">
        <f t="shared" si="267"/>
        <v>NA7WR</v>
      </c>
      <c r="M5700">
        <f>COUNTIF(L$1:L5700,L5700)</f>
        <v>80</v>
      </c>
      <c r="N5700" t="str">
        <f t="shared" si="268"/>
        <v>NA7WR-80</v>
      </c>
      <c r="O5700">
        <f>COUNTIFS(F$1:F5700,F5700,A$1:A5700,A5700)</f>
        <v>125</v>
      </c>
      <c r="P5700" t="str">
        <f t="shared" si="269"/>
        <v>De'Anthony Thomas7</v>
      </c>
    </row>
    <row r="5701" spans="1:16" x14ac:dyDescent="0.25">
      <c r="A5701">
        <v>7</v>
      </c>
      <c r="B5701" t="s">
        <v>8733</v>
      </c>
      <c r="C5701" t="s">
        <v>3848</v>
      </c>
      <c r="D5701">
        <v>0.62</v>
      </c>
      <c r="E5701" t="s">
        <v>74</v>
      </c>
      <c r="F5701" t="s">
        <v>87</v>
      </c>
      <c r="G5701">
        <v>1.19</v>
      </c>
      <c r="H5701">
        <v>0.05</v>
      </c>
      <c r="I5701">
        <v>0.56999999999999995</v>
      </c>
      <c r="J5701">
        <v>0.32490000000000002</v>
      </c>
      <c r="K5701" t="str">
        <f>IFERROR(INDEX(Rosters!$C$2:$C$155,MATCH($B5701,Rosters!$B$2:$B$155,0)),"NA")</f>
        <v>NA</v>
      </c>
      <c r="L5701" t="str">
        <f t="shared" si="267"/>
        <v>NA7WR</v>
      </c>
      <c r="M5701">
        <f>COUNTIF(L$1:L5701,L5701)</f>
        <v>81</v>
      </c>
      <c r="N5701" t="str">
        <f t="shared" si="268"/>
        <v>NA7WR-81</v>
      </c>
      <c r="O5701">
        <f>COUNTIFS(F$1:F5701,F5701,A$1:A5701,A5701)</f>
        <v>126</v>
      </c>
      <c r="P5701" t="str">
        <f t="shared" si="269"/>
        <v>DeAndre Carter7</v>
      </c>
    </row>
    <row r="5702" spans="1:16" x14ac:dyDescent="0.25">
      <c r="A5702">
        <v>1</v>
      </c>
      <c r="B5702" t="s">
        <v>1127</v>
      </c>
      <c r="C5702">
        <f>-0.02-1.26</f>
        <v>-1.28</v>
      </c>
      <c r="D5702">
        <v>0.62</v>
      </c>
      <c r="E5702" t="s">
        <v>56</v>
      </c>
      <c r="F5702" t="s">
        <v>87</v>
      </c>
      <c r="G5702">
        <v>1.26</v>
      </c>
      <c r="H5702">
        <v>-0.02</v>
      </c>
      <c r="I5702">
        <v>0.64</v>
      </c>
      <c r="J5702">
        <v>0.40960000000000002</v>
      </c>
      <c r="K5702" t="str">
        <f>IFERROR(INDEX(Rosters!$C$2:$C$155,MATCH($B5702,Rosters!$B$2:$B$155,0)),"NA")</f>
        <v>NA</v>
      </c>
      <c r="L5702" t="str">
        <f t="shared" si="267"/>
        <v>NA1WR</v>
      </c>
      <c r="M5702">
        <f>COUNTIF(L$1:L5702,L5702)</f>
        <v>63</v>
      </c>
      <c r="N5702" t="str">
        <f t="shared" si="268"/>
        <v>NA1WR-63</v>
      </c>
      <c r="O5702">
        <f>COUNTIFS(F$1:F5702,F5702,A$1:A5702,A5702)</f>
        <v>112</v>
      </c>
      <c r="P5702" t="str">
        <f t="shared" si="269"/>
        <v>Dwayne Harris1</v>
      </c>
    </row>
    <row r="5703" spans="1:16" x14ac:dyDescent="0.25">
      <c r="A5703">
        <v>6</v>
      </c>
      <c r="B5703" t="s">
        <v>1132</v>
      </c>
      <c r="C5703" t="s">
        <v>8895</v>
      </c>
      <c r="D5703">
        <v>0.62</v>
      </c>
      <c r="E5703" t="s">
        <v>52</v>
      </c>
      <c r="F5703" t="s">
        <v>87</v>
      </c>
      <c r="G5703">
        <v>1.21</v>
      </c>
      <c r="H5703">
        <v>0.03</v>
      </c>
      <c r="I5703">
        <v>0.59</v>
      </c>
      <c r="J5703">
        <v>0.34810000000000002</v>
      </c>
      <c r="K5703" t="str">
        <f>IFERROR(INDEX(Rosters!$C$2:$C$155,MATCH($B5703,Rosters!$B$2:$B$155,0)),"NA")</f>
        <v>NA</v>
      </c>
      <c r="L5703" t="str">
        <f t="shared" si="267"/>
        <v>NA6WR</v>
      </c>
      <c r="M5703">
        <f>COUNTIF(L$1:L5703,L5703)</f>
        <v>87</v>
      </c>
      <c r="N5703" t="str">
        <f t="shared" si="268"/>
        <v>NA6WR-87</v>
      </c>
      <c r="O5703">
        <f>COUNTIFS(F$1:F5703,F5703,A$1:A5703,A5703)</f>
        <v>137</v>
      </c>
      <c r="P5703" t="str">
        <f t="shared" si="269"/>
        <v>Geremy Davis6</v>
      </c>
    </row>
    <row r="5704" spans="1:16" x14ac:dyDescent="0.25">
      <c r="A5704">
        <v>8</v>
      </c>
      <c r="B5704" t="s">
        <v>1490</v>
      </c>
      <c r="C5704">
        <f>-0.01-1.25</f>
        <v>-1.26</v>
      </c>
      <c r="D5704">
        <v>0.62</v>
      </c>
      <c r="E5704" t="s">
        <v>34</v>
      </c>
      <c r="F5704" t="s">
        <v>47</v>
      </c>
      <c r="G5704">
        <v>1.25</v>
      </c>
      <c r="H5704">
        <v>-0.01</v>
      </c>
      <c r="I5704">
        <v>0.63</v>
      </c>
      <c r="J5704">
        <v>0.39689999999999998</v>
      </c>
      <c r="K5704" t="str">
        <f>IFERROR(INDEX(Rosters!$C$2:$C$155,MATCH($B5704,Rosters!$B$2:$B$155,0)),"NA")</f>
        <v>NA</v>
      </c>
      <c r="L5704" t="str">
        <f t="shared" si="267"/>
        <v>NA8RB</v>
      </c>
      <c r="M5704">
        <f>COUNTIF(L$1:L5704,L5704)</f>
        <v>49</v>
      </c>
      <c r="N5704" t="str">
        <f t="shared" si="268"/>
        <v>NA8RB-49</v>
      </c>
      <c r="O5704">
        <f>COUNTIFS(F$1:F5704,F5704,A$1:A5704,A5704)</f>
        <v>89</v>
      </c>
      <c r="P5704" t="str">
        <f t="shared" si="269"/>
        <v>J.D. McKissic8</v>
      </c>
    </row>
    <row r="5705" spans="1:16" x14ac:dyDescent="0.25">
      <c r="A5705">
        <v>6</v>
      </c>
      <c r="B5705" t="s">
        <v>8885</v>
      </c>
      <c r="C5705">
        <f>-0.12-1.36</f>
        <v>-1.48</v>
      </c>
      <c r="D5705">
        <v>0.62</v>
      </c>
      <c r="E5705" t="s">
        <v>19</v>
      </c>
      <c r="F5705" t="s">
        <v>87</v>
      </c>
      <c r="G5705">
        <v>1.36</v>
      </c>
      <c r="H5705">
        <v>-0.12</v>
      </c>
      <c r="I5705">
        <v>0.74</v>
      </c>
      <c r="J5705">
        <v>0.54759999999999998</v>
      </c>
      <c r="K5705" t="str">
        <f>IFERROR(INDEX(Rosters!$C$2:$C$155,MATCH($B5705,Rosters!$B$2:$B$155,0)),"NA")</f>
        <v>NA</v>
      </c>
      <c r="L5705" t="str">
        <f t="shared" si="267"/>
        <v>NA6WR</v>
      </c>
      <c r="M5705">
        <f>COUNTIF(L$1:L5705,L5705)</f>
        <v>88</v>
      </c>
      <c r="N5705" t="str">
        <f t="shared" si="268"/>
        <v>NA6WR-88</v>
      </c>
      <c r="O5705">
        <f>COUNTIFS(F$1:F5705,F5705,A$1:A5705,A5705)</f>
        <v>138</v>
      </c>
      <c r="P5705" t="str">
        <f t="shared" si="269"/>
        <v>Javon Wims6</v>
      </c>
    </row>
    <row r="5706" spans="1:16" x14ac:dyDescent="0.25">
      <c r="A5706">
        <v>12</v>
      </c>
      <c r="B5706" t="s">
        <v>8885</v>
      </c>
      <c r="C5706">
        <f>-0.17-1.41</f>
        <v>-1.5799999999999998</v>
      </c>
      <c r="D5706">
        <v>0.62</v>
      </c>
      <c r="E5706" t="s">
        <v>34</v>
      </c>
      <c r="F5706" t="s">
        <v>87</v>
      </c>
      <c r="G5706">
        <v>1.41</v>
      </c>
      <c r="H5706">
        <v>-0.17</v>
      </c>
      <c r="I5706">
        <v>0.79</v>
      </c>
      <c r="J5706">
        <v>0.62409999999999999</v>
      </c>
      <c r="K5706" t="str">
        <f>IFERROR(INDEX(Rosters!$C$2:$C$155,MATCH($B5706,Rosters!$B$2:$B$155,0)),"NA")</f>
        <v>NA</v>
      </c>
      <c r="L5706" t="str">
        <f t="shared" si="267"/>
        <v>NA12WR</v>
      </c>
      <c r="M5706">
        <f>COUNTIF(L$1:L5706,L5706)</f>
        <v>87</v>
      </c>
      <c r="N5706" t="str">
        <f t="shared" si="268"/>
        <v>NA12WR-87</v>
      </c>
      <c r="O5706">
        <f>COUNTIFS(F$1:F5706,F5706,A$1:A5706,A5706)</f>
        <v>136</v>
      </c>
      <c r="P5706" t="str">
        <f t="shared" si="269"/>
        <v>Javon Wims12</v>
      </c>
    </row>
    <row r="5707" spans="1:16" x14ac:dyDescent="0.25">
      <c r="A5707">
        <v>10</v>
      </c>
      <c r="B5707" t="s">
        <v>8640</v>
      </c>
      <c r="C5707">
        <f>-0.06-1.3</f>
        <v>-1.36</v>
      </c>
      <c r="D5707">
        <v>0.62</v>
      </c>
      <c r="E5707" t="s">
        <v>30</v>
      </c>
      <c r="F5707" t="s">
        <v>87</v>
      </c>
      <c r="G5707">
        <v>1.3</v>
      </c>
      <c r="H5707">
        <v>-0.06</v>
      </c>
      <c r="I5707">
        <v>0.68</v>
      </c>
      <c r="J5707">
        <v>0.46239999999999998</v>
      </c>
      <c r="K5707" t="str">
        <f>IFERROR(INDEX(Rosters!$C$2:$C$155,MATCH($B5707,Rosters!$B$2:$B$155,0)),"NA")</f>
        <v>NA</v>
      </c>
      <c r="L5707" t="str">
        <f t="shared" si="267"/>
        <v>NA10WR</v>
      </c>
      <c r="M5707">
        <f>COUNTIF(L$1:L5707,L5707)</f>
        <v>80</v>
      </c>
      <c r="N5707" t="str">
        <f t="shared" si="268"/>
        <v>NA10WR-80</v>
      </c>
      <c r="O5707">
        <f>COUNTIFS(F$1:F5707,F5707,A$1:A5707,A5707)</f>
        <v>125</v>
      </c>
      <c r="P5707" t="str">
        <f t="shared" si="269"/>
        <v>Jawill Davis10</v>
      </c>
    </row>
    <row r="5708" spans="1:16" x14ac:dyDescent="0.25">
      <c r="A5708">
        <v>2</v>
      </c>
      <c r="B5708" t="s">
        <v>1560</v>
      </c>
      <c r="C5708">
        <f>-0.19-1.43</f>
        <v>-1.6199999999999999</v>
      </c>
      <c r="D5708">
        <v>0.62</v>
      </c>
      <c r="E5708" t="s">
        <v>423</v>
      </c>
      <c r="F5708" t="s">
        <v>87</v>
      </c>
      <c r="G5708">
        <v>1.43</v>
      </c>
      <c r="H5708">
        <v>-0.19</v>
      </c>
      <c r="I5708">
        <v>0.81</v>
      </c>
      <c r="J5708">
        <v>0.65610000000000002</v>
      </c>
      <c r="K5708" t="str">
        <f>IFERROR(INDEX(Rosters!$C$2:$C$155,MATCH($B5708,Rosters!$B$2:$B$155,0)),"NA")</f>
        <v>NA</v>
      </c>
      <c r="L5708" t="str">
        <f t="shared" si="267"/>
        <v>NA2WR</v>
      </c>
      <c r="M5708">
        <f>COUNTIF(L$1:L5708,L5708)</f>
        <v>69</v>
      </c>
      <c r="N5708" t="str">
        <f t="shared" si="268"/>
        <v>NA2WR-69</v>
      </c>
      <c r="O5708">
        <f>COUNTIFS(F$1:F5708,F5708,A$1:A5708,A5708)</f>
        <v>117</v>
      </c>
      <c r="P5708" t="str">
        <f t="shared" si="269"/>
        <v>Jaydon Mickens2</v>
      </c>
    </row>
    <row r="5709" spans="1:16" x14ac:dyDescent="0.25">
      <c r="A5709">
        <v>5</v>
      </c>
      <c r="B5709" t="s">
        <v>1548</v>
      </c>
      <c r="C5709">
        <f>-0.02-1.26</f>
        <v>-1.28</v>
      </c>
      <c r="D5709">
        <v>0.62</v>
      </c>
      <c r="E5709" t="s">
        <v>14</v>
      </c>
      <c r="F5709" t="s">
        <v>114</v>
      </c>
      <c r="G5709">
        <v>1.26</v>
      </c>
      <c r="H5709">
        <v>-0.02</v>
      </c>
      <c r="I5709">
        <v>0.64</v>
      </c>
      <c r="J5709">
        <v>0.40960000000000002</v>
      </c>
      <c r="K5709" t="str">
        <f>IFERROR(INDEX(Rosters!$C$2:$C$155,MATCH($B5709,Rosters!$B$2:$B$155,0)),"NA")</f>
        <v>NA</v>
      </c>
      <c r="L5709" t="str">
        <f t="shared" si="267"/>
        <v>NA5TE</v>
      </c>
      <c r="M5709">
        <f>COUNTIF(L$1:L5709,L5709)</f>
        <v>62</v>
      </c>
      <c r="N5709" t="str">
        <f t="shared" si="268"/>
        <v>NA5TE-62</v>
      </c>
      <c r="O5709">
        <f>COUNTIFS(F$1:F5709,F5709,A$1:A5709,A5709)</f>
        <v>73</v>
      </c>
      <c r="P5709" t="str">
        <f t="shared" si="269"/>
        <v>Jeremy Sprinkle5</v>
      </c>
    </row>
    <row r="5710" spans="1:16" x14ac:dyDescent="0.25">
      <c r="A5710">
        <v>11</v>
      </c>
      <c r="B5710" t="s">
        <v>335</v>
      </c>
      <c r="C5710" t="s">
        <v>8895</v>
      </c>
      <c r="D5710">
        <v>0.62</v>
      </c>
      <c r="E5710" t="s">
        <v>37</v>
      </c>
      <c r="F5710" t="s">
        <v>87</v>
      </c>
      <c r="G5710">
        <v>1.21</v>
      </c>
      <c r="H5710">
        <v>0.03</v>
      </c>
      <c r="I5710">
        <v>0.59</v>
      </c>
      <c r="J5710">
        <v>0.34810000000000002</v>
      </c>
      <c r="K5710" t="str">
        <f>IFERROR(INDEX(Rosters!$C$2:$C$155,MATCH($B5710,Rosters!$B$2:$B$155,0)),"NA")</f>
        <v>NA</v>
      </c>
      <c r="L5710" t="str">
        <f t="shared" si="267"/>
        <v>NA11WR</v>
      </c>
      <c r="M5710">
        <f>COUNTIF(L$1:L5710,L5710)</f>
        <v>73</v>
      </c>
      <c r="N5710" t="str">
        <f t="shared" si="268"/>
        <v>NA11WR-73</v>
      </c>
      <c r="O5710">
        <f>COUNTIFS(F$1:F5710,F5710,A$1:A5710,A5710)</f>
        <v>120</v>
      </c>
      <c r="P5710" t="str">
        <f t="shared" si="269"/>
        <v>Jordan Taylor11</v>
      </c>
    </row>
    <row r="5711" spans="1:16" x14ac:dyDescent="0.25">
      <c r="A5711">
        <v>2</v>
      </c>
      <c r="B5711" t="s">
        <v>4226</v>
      </c>
      <c r="C5711">
        <f>-0.07-1.31</f>
        <v>-1.3800000000000001</v>
      </c>
      <c r="D5711">
        <v>0.62</v>
      </c>
      <c r="E5711" t="s">
        <v>38</v>
      </c>
      <c r="F5711" t="s">
        <v>114</v>
      </c>
      <c r="G5711">
        <v>1.31</v>
      </c>
      <c r="H5711">
        <v>-7.0000000000000007E-2</v>
      </c>
      <c r="I5711">
        <v>0.69</v>
      </c>
      <c r="J5711">
        <v>0.47610000000000002</v>
      </c>
      <c r="K5711" t="str">
        <f>IFERROR(INDEX(Rosters!$C$2:$C$155,MATCH($B5711,Rosters!$B$2:$B$155,0)),"NA")</f>
        <v>NA</v>
      </c>
      <c r="L5711" t="str">
        <f t="shared" si="267"/>
        <v>NA2TE</v>
      </c>
      <c r="M5711">
        <f>COUNTIF(L$1:L5711,L5711)</f>
        <v>51</v>
      </c>
      <c r="N5711" t="str">
        <f t="shared" si="268"/>
        <v>NA2TE-51</v>
      </c>
      <c r="O5711">
        <f>COUNTIFS(F$1:F5711,F5711,A$1:A5711,A5711)</f>
        <v>64</v>
      </c>
      <c r="P5711" t="str">
        <f t="shared" si="269"/>
        <v>Jordan Thomas2</v>
      </c>
    </row>
    <row r="5712" spans="1:16" x14ac:dyDescent="0.25">
      <c r="A5712">
        <v>16</v>
      </c>
      <c r="B5712" t="s">
        <v>253</v>
      </c>
      <c r="C5712">
        <f>-0.37-1.61</f>
        <v>-1.98</v>
      </c>
      <c r="D5712">
        <v>0.62</v>
      </c>
      <c r="E5712" t="s">
        <v>74</v>
      </c>
      <c r="F5712" t="s">
        <v>87</v>
      </c>
      <c r="G5712">
        <v>1.61</v>
      </c>
      <c r="H5712">
        <v>-0.37</v>
      </c>
      <c r="I5712">
        <v>0.99</v>
      </c>
      <c r="J5712">
        <v>0.98009999999999997</v>
      </c>
      <c r="K5712" t="str">
        <f>IFERROR(INDEX(Rosters!$C$2:$C$155,MATCH($B5712,Rosters!$B$2:$B$155,0)),"NA")</f>
        <v>NA</v>
      </c>
      <c r="L5712" t="str">
        <f t="shared" si="267"/>
        <v>NA16WR</v>
      </c>
      <c r="M5712">
        <f>COUNTIF(L$1:L5712,L5712)</f>
        <v>92</v>
      </c>
      <c r="N5712" t="str">
        <f t="shared" si="268"/>
        <v>NA16WR-92</v>
      </c>
      <c r="O5712">
        <f>COUNTIFS(F$1:F5712,F5712,A$1:A5712,A5712)</f>
        <v>146</v>
      </c>
      <c r="P5712" t="str">
        <f t="shared" si="269"/>
        <v>Justin Hardy16</v>
      </c>
    </row>
    <row r="5713" spans="1:16" x14ac:dyDescent="0.25">
      <c r="A5713">
        <v>14</v>
      </c>
      <c r="B5713" t="s">
        <v>4612</v>
      </c>
      <c r="C5713">
        <f>-0.03-1.27</f>
        <v>-1.3</v>
      </c>
      <c r="D5713">
        <v>0.62</v>
      </c>
      <c r="E5713" t="s">
        <v>72</v>
      </c>
      <c r="F5713" t="s">
        <v>87</v>
      </c>
      <c r="G5713">
        <v>1.27</v>
      </c>
      <c r="H5713">
        <v>-0.03</v>
      </c>
      <c r="I5713">
        <v>0.65</v>
      </c>
      <c r="J5713">
        <v>0.42249999999999999</v>
      </c>
      <c r="K5713" t="str">
        <f>IFERROR(INDEX(Rosters!$C$2:$C$155,MATCH($B5713,Rosters!$B$2:$B$155,0)),"NA")</f>
        <v>NA</v>
      </c>
      <c r="L5713" t="str">
        <f t="shared" si="267"/>
        <v>NA14WR</v>
      </c>
      <c r="M5713">
        <f>COUNTIF(L$1:L5713,L5713)</f>
        <v>86</v>
      </c>
      <c r="N5713" t="str">
        <f t="shared" si="268"/>
        <v>NA14WR-86</v>
      </c>
      <c r="O5713">
        <f>COUNTIFS(F$1:F5713,F5713,A$1:A5713,A5713)</f>
        <v>140</v>
      </c>
      <c r="P5713" t="str">
        <f t="shared" si="269"/>
        <v>Khadarel Hodge14</v>
      </c>
    </row>
    <row r="5714" spans="1:16" x14ac:dyDescent="0.25">
      <c r="A5714">
        <v>16</v>
      </c>
      <c r="B5714" t="s">
        <v>1583</v>
      </c>
      <c r="C5714">
        <f>-0.04-1.28</f>
        <v>-1.32</v>
      </c>
      <c r="D5714">
        <v>0.62</v>
      </c>
      <c r="E5714" t="s">
        <v>423</v>
      </c>
      <c r="F5714" t="s">
        <v>114</v>
      </c>
      <c r="G5714">
        <v>1.28</v>
      </c>
      <c r="H5714">
        <v>-0.04</v>
      </c>
      <c r="I5714">
        <v>0.66</v>
      </c>
      <c r="J5714">
        <v>0.43559999999999999</v>
      </c>
      <c r="K5714" t="str">
        <f>IFERROR(INDEX(Rosters!$C$2:$C$155,MATCH($B5714,Rosters!$B$2:$B$155,0)),"NA")</f>
        <v>NA</v>
      </c>
      <c r="L5714" t="str">
        <f t="shared" si="267"/>
        <v>NA16TE</v>
      </c>
      <c r="M5714">
        <f>COUNTIF(L$1:L5714,L5714)</f>
        <v>60</v>
      </c>
      <c r="N5714" t="str">
        <f t="shared" si="268"/>
        <v>NA16TE-60</v>
      </c>
      <c r="O5714">
        <f>COUNTIFS(F$1:F5714,F5714,A$1:A5714,A5714)</f>
        <v>74</v>
      </c>
      <c r="P5714" t="str">
        <f t="shared" si="269"/>
        <v>Logan Thomas16</v>
      </c>
    </row>
    <row r="5715" spans="1:16" x14ac:dyDescent="0.25">
      <c r="A5715">
        <v>17</v>
      </c>
      <c r="B5715" t="s">
        <v>1583</v>
      </c>
      <c r="C5715">
        <f>-0.03-1.27</f>
        <v>-1.3</v>
      </c>
      <c r="D5715">
        <v>0.62</v>
      </c>
      <c r="E5715" t="s">
        <v>19</v>
      </c>
      <c r="F5715" t="s">
        <v>114</v>
      </c>
      <c r="G5715">
        <v>1.27</v>
      </c>
      <c r="H5715">
        <v>-0.03</v>
      </c>
      <c r="I5715">
        <v>0.65</v>
      </c>
      <c r="J5715">
        <v>0.42249999999999999</v>
      </c>
      <c r="K5715" t="str">
        <f>IFERROR(INDEX(Rosters!$C$2:$C$155,MATCH($B5715,Rosters!$B$2:$B$155,0)),"NA")</f>
        <v>NA</v>
      </c>
      <c r="L5715" t="str">
        <f t="shared" si="267"/>
        <v>NA17TE</v>
      </c>
      <c r="M5715">
        <f>COUNTIF(L$1:L5715,L5715)</f>
        <v>60</v>
      </c>
      <c r="N5715" t="str">
        <f t="shared" si="268"/>
        <v>NA17TE-60</v>
      </c>
      <c r="O5715">
        <f>COUNTIFS(F$1:F5715,F5715,A$1:A5715,A5715)</f>
        <v>74</v>
      </c>
      <c r="P5715" t="str">
        <f t="shared" si="269"/>
        <v>Logan Thomas17</v>
      </c>
    </row>
    <row r="5716" spans="1:16" x14ac:dyDescent="0.25">
      <c r="A5716">
        <v>14</v>
      </c>
      <c r="B5716" t="s">
        <v>4238</v>
      </c>
      <c r="C5716">
        <f>-0.24-1.48</f>
        <v>-1.72</v>
      </c>
      <c r="D5716">
        <v>0.62</v>
      </c>
      <c r="E5716" t="s">
        <v>77</v>
      </c>
      <c r="F5716" t="s">
        <v>87</v>
      </c>
      <c r="G5716">
        <v>1.48</v>
      </c>
      <c r="H5716">
        <v>-0.24</v>
      </c>
      <c r="I5716">
        <v>0.86</v>
      </c>
      <c r="J5716">
        <v>0.73960000000000004</v>
      </c>
      <c r="K5716" t="str">
        <f>IFERROR(INDEX(Rosters!$C$2:$C$155,MATCH($B5716,Rosters!$B$2:$B$155,0)),"NA")</f>
        <v>NA</v>
      </c>
      <c r="L5716" t="str">
        <f t="shared" si="267"/>
        <v>NA14WR</v>
      </c>
      <c r="M5716">
        <f>COUNTIF(L$1:L5716,L5716)</f>
        <v>87</v>
      </c>
      <c r="N5716" t="str">
        <f t="shared" si="268"/>
        <v>NA14WR-87</v>
      </c>
      <c r="O5716">
        <f>COUNTIFS(F$1:F5716,F5716,A$1:A5716,A5716)</f>
        <v>141</v>
      </c>
      <c r="P5716" t="str">
        <f t="shared" si="269"/>
        <v>Marcus Kemp14</v>
      </c>
    </row>
    <row r="5717" spans="1:16" x14ac:dyDescent="0.25">
      <c r="A5717">
        <v>14</v>
      </c>
      <c r="B5717" t="s">
        <v>1594</v>
      </c>
      <c r="C5717">
        <f>-0.06-1.3</f>
        <v>-1.36</v>
      </c>
      <c r="D5717">
        <v>0.62</v>
      </c>
      <c r="E5717" t="s">
        <v>41</v>
      </c>
      <c r="F5717" t="s">
        <v>87</v>
      </c>
      <c r="G5717">
        <v>1.3</v>
      </c>
      <c r="H5717">
        <v>-0.06</v>
      </c>
      <c r="I5717">
        <v>0.68</v>
      </c>
      <c r="J5717">
        <v>0.46239999999999998</v>
      </c>
      <c r="K5717" t="str">
        <f>IFERROR(INDEX(Rosters!$C$2:$C$155,MATCH($B5717,Rosters!$B$2:$B$155,0)),"NA")</f>
        <v>NA</v>
      </c>
      <c r="L5717" t="str">
        <f t="shared" si="267"/>
        <v>NA14WR</v>
      </c>
      <c r="M5717">
        <f>COUNTIF(L$1:L5717,L5717)</f>
        <v>88</v>
      </c>
      <c r="N5717" t="str">
        <f t="shared" si="268"/>
        <v>NA14WR-88</v>
      </c>
      <c r="O5717">
        <f>COUNTIFS(F$1:F5717,F5717,A$1:A5717,A5717)</f>
        <v>142</v>
      </c>
      <c r="P5717" t="str">
        <f t="shared" si="269"/>
        <v>Marvin Hall14</v>
      </c>
    </row>
    <row r="5718" spans="1:16" x14ac:dyDescent="0.25">
      <c r="A5718">
        <v>13</v>
      </c>
      <c r="B5718" t="s">
        <v>1146</v>
      </c>
      <c r="C5718">
        <f>-0.01-1.25</f>
        <v>-1.26</v>
      </c>
      <c r="D5718">
        <v>0.62</v>
      </c>
      <c r="E5718" t="s">
        <v>50</v>
      </c>
      <c r="F5718" t="s">
        <v>87</v>
      </c>
      <c r="G5718">
        <v>1.25</v>
      </c>
      <c r="H5718">
        <v>-0.01</v>
      </c>
      <c r="I5718">
        <v>0.63</v>
      </c>
      <c r="J5718">
        <v>0.39689999999999998</v>
      </c>
      <c r="K5718" t="str">
        <f>IFERROR(INDEX(Rosters!$C$2:$C$155,MATCH($B5718,Rosters!$B$2:$B$155,0)),"NA")</f>
        <v>NA</v>
      </c>
      <c r="L5718" t="str">
        <f t="shared" si="267"/>
        <v>NA13WR</v>
      </c>
      <c r="M5718">
        <f>COUNTIF(L$1:L5718,L5718)</f>
        <v>87</v>
      </c>
      <c r="N5718" t="str">
        <f t="shared" si="268"/>
        <v>NA13WR-87</v>
      </c>
      <c r="O5718">
        <f>COUNTIFS(F$1:F5718,F5718,A$1:A5718,A5718)</f>
        <v>141</v>
      </c>
      <c r="P5718" t="str">
        <f t="shared" si="269"/>
        <v>Maurice Harris13</v>
      </c>
    </row>
    <row r="5719" spans="1:16" x14ac:dyDescent="0.25">
      <c r="A5719">
        <v>7</v>
      </c>
      <c r="B5719" t="s">
        <v>1636</v>
      </c>
      <c r="C5719" t="s">
        <v>8897</v>
      </c>
      <c r="D5719">
        <v>0.62</v>
      </c>
      <c r="E5719" t="s">
        <v>423</v>
      </c>
      <c r="F5719" t="s">
        <v>47</v>
      </c>
      <c r="G5719">
        <v>1.1499999999999999</v>
      </c>
      <c r="H5719">
        <v>0.09</v>
      </c>
      <c r="I5719">
        <v>0.53</v>
      </c>
      <c r="J5719">
        <v>0.28089999999999998</v>
      </c>
      <c r="K5719" t="str">
        <f>IFERROR(INDEX(Rosters!$C$2:$C$155,MATCH($B5719,Rosters!$B$2:$B$155,0)),"NA")</f>
        <v>NA</v>
      </c>
      <c r="L5719" t="str">
        <f t="shared" si="267"/>
        <v>NA7RB</v>
      </c>
      <c r="M5719">
        <f>COUNTIF(L$1:L5719,L5719)</f>
        <v>43</v>
      </c>
      <c r="N5719" t="str">
        <f t="shared" si="268"/>
        <v>NA7RB-43</v>
      </c>
      <c r="O5719">
        <f>COUNTIFS(F$1:F5719,F5719,A$1:A5719,A5719)</f>
        <v>84</v>
      </c>
      <c r="P5719" t="str">
        <f t="shared" si="269"/>
        <v>Michael Burton7</v>
      </c>
    </row>
    <row r="5720" spans="1:16" x14ac:dyDescent="0.25">
      <c r="A5720">
        <v>16</v>
      </c>
      <c r="B5720" t="s">
        <v>1636</v>
      </c>
      <c r="C5720" t="s">
        <v>8897</v>
      </c>
      <c r="D5720">
        <v>0.62</v>
      </c>
      <c r="E5720" t="s">
        <v>30</v>
      </c>
      <c r="F5720" t="s">
        <v>47</v>
      </c>
      <c r="G5720">
        <v>1.1499999999999999</v>
      </c>
      <c r="H5720">
        <v>0.09</v>
      </c>
      <c r="I5720">
        <v>0.53</v>
      </c>
      <c r="J5720">
        <v>0.28089999999999998</v>
      </c>
      <c r="K5720" t="str">
        <f>IFERROR(INDEX(Rosters!$C$2:$C$155,MATCH($B5720,Rosters!$B$2:$B$155,0)),"NA")</f>
        <v>NA</v>
      </c>
      <c r="L5720" t="str">
        <f t="shared" si="267"/>
        <v>NA16RB</v>
      </c>
      <c r="M5720">
        <f>COUNTIF(L$1:L5720,L5720)</f>
        <v>54</v>
      </c>
      <c r="N5720" t="str">
        <f t="shared" si="268"/>
        <v>NA16RB-54</v>
      </c>
      <c r="O5720">
        <f>COUNTIFS(F$1:F5720,F5720,A$1:A5720,A5720)</f>
        <v>101</v>
      </c>
      <c r="P5720" t="str">
        <f t="shared" si="269"/>
        <v>Michael Burton16</v>
      </c>
    </row>
    <row r="5721" spans="1:16" x14ac:dyDescent="0.25">
      <c r="A5721">
        <v>11</v>
      </c>
      <c r="B5721" t="s">
        <v>3374</v>
      </c>
      <c r="C5721">
        <f>-0.05-1.29</f>
        <v>-1.34</v>
      </c>
      <c r="D5721">
        <v>0.62</v>
      </c>
      <c r="E5721" t="s">
        <v>31</v>
      </c>
      <c r="F5721" t="s">
        <v>47</v>
      </c>
      <c r="G5721">
        <v>1.29</v>
      </c>
      <c r="H5721">
        <v>-0.05</v>
      </c>
      <c r="I5721">
        <v>0.67</v>
      </c>
      <c r="J5721">
        <v>0.44890000000000002</v>
      </c>
      <c r="K5721" t="str">
        <f>IFERROR(INDEX(Rosters!$C$2:$C$155,MATCH($B5721,Rosters!$B$2:$B$155,0)),"NA")</f>
        <v>NA</v>
      </c>
      <c r="L5721" t="str">
        <f t="shared" si="267"/>
        <v>NA11RB</v>
      </c>
      <c r="M5721">
        <f>COUNTIF(L$1:L5721,L5721)</f>
        <v>46</v>
      </c>
      <c r="N5721" t="str">
        <f t="shared" si="268"/>
        <v>NA11RB-46</v>
      </c>
      <c r="O5721">
        <f>COUNTIFS(F$1:F5721,F5721,A$1:A5721,A5721)</f>
        <v>84</v>
      </c>
      <c r="P5721" t="str">
        <f t="shared" si="269"/>
        <v>Patrick Ricard11</v>
      </c>
    </row>
    <row r="5722" spans="1:16" x14ac:dyDescent="0.25">
      <c r="A5722">
        <v>15</v>
      </c>
      <c r="B5722" t="s">
        <v>3374</v>
      </c>
      <c r="C5722" t="s">
        <v>4247</v>
      </c>
      <c r="D5722">
        <v>0.62</v>
      </c>
      <c r="E5722" t="s">
        <v>17</v>
      </c>
      <c r="F5722" t="s">
        <v>47</v>
      </c>
      <c r="G5722">
        <v>1.24</v>
      </c>
      <c r="H5722">
        <v>0</v>
      </c>
      <c r="I5722">
        <v>0.62</v>
      </c>
      <c r="J5722">
        <v>0.38440000000000002</v>
      </c>
      <c r="K5722" t="str">
        <f>IFERROR(INDEX(Rosters!$C$2:$C$155,MATCH($B5722,Rosters!$B$2:$B$155,0)),"NA")</f>
        <v>NA</v>
      </c>
      <c r="L5722" t="str">
        <f t="shared" si="267"/>
        <v>NA15RB</v>
      </c>
      <c r="M5722">
        <f>COUNTIF(L$1:L5722,L5722)</f>
        <v>55</v>
      </c>
      <c r="N5722" t="str">
        <f t="shared" si="268"/>
        <v>NA15RB-55</v>
      </c>
      <c r="O5722">
        <f>COUNTIFS(F$1:F5722,F5722,A$1:A5722,A5722)</f>
        <v>102</v>
      </c>
      <c r="P5722" t="str">
        <f t="shared" si="269"/>
        <v>Patrick Ricard15</v>
      </c>
    </row>
    <row r="5723" spans="1:16" x14ac:dyDescent="0.25">
      <c r="A5723">
        <v>16</v>
      </c>
      <c r="B5723" t="s">
        <v>3374</v>
      </c>
      <c r="C5723">
        <f>-0.05-1.29</f>
        <v>-1.34</v>
      </c>
      <c r="D5723">
        <v>0.62</v>
      </c>
      <c r="E5723" t="s">
        <v>37</v>
      </c>
      <c r="F5723" t="s">
        <v>47</v>
      </c>
      <c r="G5723">
        <v>1.29</v>
      </c>
      <c r="H5723">
        <v>-0.05</v>
      </c>
      <c r="I5723">
        <v>0.67</v>
      </c>
      <c r="J5723">
        <v>0.44890000000000002</v>
      </c>
      <c r="K5723" t="str">
        <f>IFERROR(INDEX(Rosters!$C$2:$C$155,MATCH($B5723,Rosters!$B$2:$B$155,0)),"NA")</f>
        <v>NA</v>
      </c>
      <c r="L5723" t="str">
        <f t="shared" si="267"/>
        <v>NA16RB</v>
      </c>
      <c r="M5723">
        <f>COUNTIF(L$1:L5723,L5723)</f>
        <v>55</v>
      </c>
      <c r="N5723" t="str">
        <f t="shared" si="268"/>
        <v>NA16RB-55</v>
      </c>
      <c r="O5723">
        <f>COUNTIFS(F$1:F5723,F5723,A$1:A5723,A5723)</f>
        <v>102</v>
      </c>
      <c r="P5723" t="str">
        <f t="shared" si="269"/>
        <v>Patrick Ricard16</v>
      </c>
    </row>
    <row r="5724" spans="1:16" x14ac:dyDescent="0.25">
      <c r="A5724">
        <v>5</v>
      </c>
      <c r="B5724" t="s">
        <v>4701</v>
      </c>
      <c r="C5724">
        <f>-0.14-1.38</f>
        <v>-1.52</v>
      </c>
      <c r="D5724">
        <v>0.62</v>
      </c>
      <c r="E5724" t="s">
        <v>38</v>
      </c>
      <c r="F5724" t="s">
        <v>87</v>
      </c>
      <c r="G5724">
        <v>1.38</v>
      </c>
      <c r="H5724">
        <v>-0.14000000000000001</v>
      </c>
      <c r="I5724">
        <v>0.76</v>
      </c>
      <c r="J5724">
        <v>0.5776</v>
      </c>
      <c r="K5724" t="str">
        <f>IFERROR(INDEX(Rosters!$C$2:$C$155,MATCH($B5724,Rosters!$B$2:$B$155,0)),"NA")</f>
        <v>NA</v>
      </c>
      <c r="L5724" t="str">
        <f t="shared" si="267"/>
        <v>NA5WR</v>
      </c>
      <c r="M5724">
        <f>COUNTIF(L$1:L5724,L5724)</f>
        <v>91</v>
      </c>
      <c r="N5724" t="str">
        <f t="shared" si="268"/>
        <v>NA5WR-91</v>
      </c>
      <c r="O5724">
        <f>COUNTIFS(F$1:F5724,F5724,A$1:A5724,A5724)</f>
        <v>141</v>
      </c>
      <c r="P5724" t="str">
        <f t="shared" si="269"/>
        <v>Ray-Ray McCloud5</v>
      </c>
    </row>
    <row r="5725" spans="1:16" x14ac:dyDescent="0.25">
      <c r="A5725">
        <v>10</v>
      </c>
      <c r="B5725" t="s">
        <v>4260</v>
      </c>
      <c r="C5725">
        <f>-0.14-1.38</f>
        <v>-1.52</v>
      </c>
      <c r="D5725">
        <v>0.62</v>
      </c>
      <c r="E5725" t="s">
        <v>73</v>
      </c>
      <c r="F5725" t="s">
        <v>87</v>
      </c>
      <c r="G5725">
        <v>1.38</v>
      </c>
      <c r="H5725">
        <v>-0.14000000000000001</v>
      </c>
      <c r="I5725">
        <v>0.76</v>
      </c>
      <c r="J5725">
        <v>0.5776</v>
      </c>
      <c r="K5725" t="str">
        <f>IFERROR(INDEX(Rosters!$C$2:$C$155,MATCH($B5725,Rosters!$B$2:$B$155,0)),"NA")</f>
        <v>NA</v>
      </c>
      <c r="L5725" t="str">
        <f t="shared" si="267"/>
        <v>NA10WR</v>
      </c>
      <c r="M5725">
        <f>COUNTIF(L$1:L5725,L5725)</f>
        <v>81</v>
      </c>
      <c r="N5725" t="str">
        <f t="shared" si="268"/>
        <v>NA10WR-81</v>
      </c>
      <c r="O5725">
        <f>COUNTIFS(F$1:F5725,F5725,A$1:A5725,A5725)</f>
        <v>126</v>
      </c>
      <c r="P5725" t="str">
        <f t="shared" si="269"/>
        <v>Robert Foster10</v>
      </c>
    </row>
    <row r="5726" spans="1:16" x14ac:dyDescent="0.25">
      <c r="A5726">
        <v>17</v>
      </c>
      <c r="B5726" t="s">
        <v>4260</v>
      </c>
      <c r="C5726">
        <f>-0.1-1.34</f>
        <v>-1.4400000000000002</v>
      </c>
      <c r="D5726">
        <v>0.62</v>
      </c>
      <c r="E5726" t="s">
        <v>19</v>
      </c>
      <c r="F5726" t="s">
        <v>87</v>
      </c>
      <c r="G5726">
        <v>1.34</v>
      </c>
      <c r="H5726">
        <v>-0.1</v>
      </c>
      <c r="I5726">
        <v>0.72</v>
      </c>
      <c r="J5726">
        <v>0.51839999999999997</v>
      </c>
      <c r="K5726" t="str">
        <f>IFERROR(INDEX(Rosters!$C$2:$C$155,MATCH($B5726,Rosters!$B$2:$B$155,0)),"NA")</f>
        <v>NA</v>
      </c>
      <c r="L5726" t="str">
        <f t="shared" si="267"/>
        <v>NA17WR</v>
      </c>
      <c r="M5726">
        <f>COUNTIF(L$1:L5726,L5726)</f>
        <v>91</v>
      </c>
      <c r="N5726" t="str">
        <f t="shared" si="268"/>
        <v>NA17WR-91</v>
      </c>
      <c r="O5726">
        <f>COUNTIFS(F$1:F5726,F5726,A$1:A5726,A5726)</f>
        <v>145</v>
      </c>
      <c r="P5726" t="str">
        <f t="shared" si="269"/>
        <v>Robert Foster17</v>
      </c>
    </row>
    <row r="5727" spans="1:16" x14ac:dyDescent="0.25">
      <c r="A5727">
        <v>7</v>
      </c>
      <c r="B5727" t="s">
        <v>3845</v>
      </c>
      <c r="C5727">
        <f>-0.14-1.38</f>
        <v>-1.52</v>
      </c>
      <c r="D5727">
        <v>0.62</v>
      </c>
      <c r="E5727" t="s">
        <v>17</v>
      </c>
      <c r="F5727" t="s">
        <v>87</v>
      </c>
      <c r="G5727">
        <v>1.38</v>
      </c>
      <c r="H5727">
        <v>-0.14000000000000001</v>
      </c>
      <c r="I5727">
        <v>0.76</v>
      </c>
      <c r="J5727">
        <v>0.5776</v>
      </c>
      <c r="K5727" t="str">
        <f>IFERROR(INDEX(Rosters!$C$2:$C$155,MATCH($B5727,Rosters!$B$2:$B$155,0)),"NA")</f>
        <v>NA</v>
      </c>
      <c r="L5727" t="str">
        <f t="shared" si="267"/>
        <v>NA7WR</v>
      </c>
      <c r="M5727">
        <f>COUNTIF(L$1:L5727,L5727)</f>
        <v>82</v>
      </c>
      <c r="N5727" t="str">
        <f t="shared" si="268"/>
        <v>NA7WR-82</v>
      </c>
      <c r="O5727">
        <f>COUNTIFS(F$1:F5727,F5727,A$1:A5727,A5727)</f>
        <v>127</v>
      </c>
      <c r="P5727" t="str">
        <f t="shared" si="269"/>
        <v>Rod Streater7</v>
      </c>
    </row>
    <row r="5728" spans="1:16" x14ac:dyDescent="0.25">
      <c r="A5728">
        <v>14</v>
      </c>
      <c r="B5728" t="s">
        <v>3845</v>
      </c>
      <c r="C5728" t="s">
        <v>3847</v>
      </c>
      <c r="D5728">
        <v>0.62</v>
      </c>
      <c r="E5728" t="s">
        <v>74</v>
      </c>
      <c r="F5728" t="s">
        <v>87</v>
      </c>
      <c r="G5728">
        <v>1.22</v>
      </c>
      <c r="H5728">
        <v>0.02</v>
      </c>
      <c r="I5728">
        <v>0.6</v>
      </c>
      <c r="J5728">
        <v>0.36</v>
      </c>
      <c r="K5728" t="str">
        <f>IFERROR(INDEX(Rosters!$C$2:$C$155,MATCH($B5728,Rosters!$B$2:$B$155,0)),"NA")</f>
        <v>NA</v>
      </c>
      <c r="L5728" t="str">
        <f t="shared" si="267"/>
        <v>NA14WR</v>
      </c>
      <c r="M5728">
        <f>COUNTIF(L$1:L5728,L5728)</f>
        <v>89</v>
      </c>
      <c r="N5728" t="str">
        <f t="shared" si="268"/>
        <v>NA14WR-89</v>
      </c>
      <c r="O5728">
        <f>COUNTIFS(F$1:F5728,F5728,A$1:A5728,A5728)</f>
        <v>143</v>
      </c>
      <c r="P5728" t="str">
        <f t="shared" si="269"/>
        <v>Rod Streater14</v>
      </c>
    </row>
    <row r="5729" spans="1:16" x14ac:dyDescent="0.25">
      <c r="A5729">
        <v>2</v>
      </c>
      <c r="B5729" t="s">
        <v>1581</v>
      </c>
      <c r="C5729">
        <f>-0.63-1.87</f>
        <v>-2.5</v>
      </c>
      <c r="D5729">
        <v>0.62</v>
      </c>
      <c r="E5729" t="s">
        <v>24</v>
      </c>
      <c r="F5729" t="s">
        <v>47</v>
      </c>
      <c r="G5729">
        <v>1.87</v>
      </c>
      <c r="H5729">
        <v>-0.63</v>
      </c>
      <c r="I5729">
        <v>1.25</v>
      </c>
      <c r="J5729">
        <v>1.5625</v>
      </c>
      <c r="K5729" t="str">
        <f>IFERROR(INDEX(Rosters!$C$2:$C$155,MATCH($B5729,Rosters!$B$2:$B$155,0)),"NA")</f>
        <v>NA</v>
      </c>
      <c r="L5729" t="str">
        <f t="shared" si="267"/>
        <v>NA2RB</v>
      </c>
      <c r="M5729">
        <f>COUNTIF(L$1:L5729,L5729)</f>
        <v>41</v>
      </c>
      <c r="N5729" t="str">
        <f t="shared" si="268"/>
        <v>NA2RB-41</v>
      </c>
      <c r="O5729">
        <f>COUNTIFS(F$1:F5729,F5729,A$1:A5729,A5729)</f>
        <v>83</v>
      </c>
      <c r="P5729" t="str">
        <f t="shared" si="269"/>
        <v>Stevan Ridley2</v>
      </c>
    </row>
    <row r="5730" spans="1:16" x14ac:dyDescent="0.25">
      <c r="A5730">
        <v>4</v>
      </c>
      <c r="B5730" t="s">
        <v>4703</v>
      </c>
      <c r="C5730">
        <f>-0.13-1.37</f>
        <v>-1.5</v>
      </c>
      <c r="D5730">
        <v>0.62</v>
      </c>
      <c r="E5730" t="s">
        <v>51</v>
      </c>
      <c r="F5730" t="s">
        <v>87</v>
      </c>
      <c r="G5730">
        <v>1.37</v>
      </c>
      <c r="H5730">
        <v>-0.13</v>
      </c>
      <c r="I5730">
        <v>0.75</v>
      </c>
      <c r="J5730">
        <v>0.5625</v>
      </c>
      <c r="K5730" t="str">
        <f>IFERROR(INDEX(Rosters!$C$2:$C$155,MATCH($B5730,Rosters!$B$2:$B$155,0)),"NA")</f>
        <v>NA</v>
      </c>
      <c r="L5730" t="str">
        <f t="shared" si="267"/>
        <v>NA4WR</v>
      </c>
      <c r="M5730">
        <f>COUNTIF(L$1:L5730,L5730)</f>
        <v>68</v>
      </c>
      <c r="N5730" t="str">
        <f t="shared" si="268"/>
        <v>NA4WR-68</v>
      </c>
      <c r="O5730">
        <f>COUNTIFS(F$1:F5730,F5730,A$1:A5730,A5730)</f>
        <v>118</v>
      </c>
      <c r="P5730" t="str">
        <f t="shared" si="269"/>
        <v>Tim White4</v>
      </c>
    </row>
    <row r="5731" spans="1:16" x14ac:dyDescent="0.25">
      <c r="A5731">
        <v>3</v>
      </c>
      <c r="B5731" t="s">
        <v>1566</v>
      </c>
      <c r="C5731">
        <f>-0.12-1.36</f>
        <v>-1.48</v>
      </c>
      <c r="D5731">
        <v>0.62</v>
      </c>
      <c r="E5731" t="s">
        <v>24</v>
      </c>
      <c r="F5731" t="s">
        <v>87</v>
      </c>
      <c r="G5731">
        <v>1.36</v>
      </c>
      <c r="H5731">
        <v>-0.12</v>
      </c>
      <c r="I5731">
        <v>0.74</v>
      </c>
      <c r="J5731">
        <v>0.54759999999999998</v>
      </c>
      <c r="K5731" t="str">
        <f>IFERROR(INDEX(Rosters!$C$2:$C$155,MATCH($B5731,Rosters!$B$2:$B$155,0)),"NA")</f>
        <v>NA</v>
      </c>
      <c r="L5731" t="str">
        <f t="shared" si="267"/>
        <v>NA3WR</v>
      </c>
      <c r="M5731">
        <f>COUNTIF(L$1:L5731,L5731)</f>
        <v>77</v>
      </c>
      <c r="N5731" t="str">
        <f t="shared" si="268"/>
        <v>NA3WR-77</v>
      </c>
      <c r="O5731">
        <f>COUNTIFS(F$1:F5731,F5731,A$1:A5731,A5731)</f>
        <v>126</v>
      </c>
      <c r="P5731" t="str">
        <f t="shared" si="269"/>
        <v>Victor Bolden Jr.3</v>
      </c>
    </row>
    <row r="5732" spans="1:16" x14ac:dyDescent="0.25">
      <c r="A5732">
        <v>4</v>
      </c>
      <c r="B5732" t="s">
        <v>2889</v>
      </c>
      <c r="C5732">
        <f>-0.04-1.28</f>
        <v>-1.32</v>
      </c>
      <c r="D5732">
        <v>0.62</v>
      </c>
      <c r="E5732" t="s">
        <v>54</v>
      </c>
      <c r="F5732" t="s">
        <v>47</v>
      </c>
      <c r="G5732">
        <v>1.28</v>
      </c>
      <c r="H5732">
        <v>-0.04</v>
      </c>
      <c r="I5732">
        <v>0.66</v>
      </c>
      <c r="J5732">
        <v>0.43559999999999999</v>
      </c>
      <c r="K5732" t="str">
        <f>IFERROR(INDEX(Rosters!$C$2:$C$155,MATCH($B5732,Rosters!$B$2:$B$155,0)),"NA")</f>
        <v>NA</v>
      </c>
      <c r="L5732" t="str">
        <f t="shared" si="267"/>
        <v>NA4RB</v>
      </c>
      <c r="M5732">
        <f>COUNTIF(L$1:L5732,L5732)</f>
        <v>47</v>
      </c>
      <c r="N5732" t="str">
        <f t="shared" si="268"/>
        <v>NA4RB-47</v>
      </c>
      <c r="O5732">
        <f>COUNTIFS(F$1:F5732,F5732,A$1:A5732,A5732)</f>
        <v>86</v>
      </c>
      <c r="P5732" t="str">
        <f t="shared" si="269"/>
        <v>Zach Line4</v>
      </c>
    </row>
    <row r="5733" spans="1:16" x14ac:dyDescent="0.25">
      <c r="A5733">
        <v>10</v>
      </c>
      <c r="B5733" t="s">
        <v>4240</v>
      </c>
      <c r="C5733" t="s">
        <v>4247</v>
      </c>
      <c r="D5733">
        <v>0.62</v>
      </c>
      <c r="E5733" t="s">
        <v>76</v>
      </c>
      <c r="F5733" t="s">
        <v>87</v>
      </c>
      <c r="G5733">
        <v>1.24</v>
      </c>
      <c r="H5733">
        <v>0</v>
      </c>
      <c r="I5733">
        <v>0.62</v>
      </c>
      <c r="J5733">
        <v>0.38440000000000002</v>
      </c>
      <c r="K5733" t="str">
        <f>IFERROR(INDEX(Rosters!$C$2:$C$155,MATCH($B5733,Rosters!$B$2:$B$155,0)),"NA")</f>
        <v>NA</v>
      </c>
      <c r="L5733" t="str">
        <f t="shared" si="267"/>
        <v>NA10WR</v>
      </c>
      <c r="M5733">
        <f>COUNTIF(L$1:L5733,L5733)</f>
        <v>82</v>
      </c>
      <c r="N5733" t="str">
        <f t="shared" si="268"/>
        <v>NA10WR-82</v>
      </c>
      <c r="O5733">
        <f>COUNTIFS(F$1:F5733,F5733,A$1:A5733,A5733)</f>
        <v>127</v>
      </c>
      <c r="P5733" t="str">
        <f t="shared" si="269"/>
        <v>Zach Pascal10</v>
      </c>
    </row>
    <row r="5734" spans="1:16" x14ac:dyDescent="0.25">
      <c r="A5734">
        <v>4</v>
      </c>
      <c r="B5734" t="s">
        <v>324</v>
      </c>
      <c r="C5734" t="s">
        <v>4727</v>
      </c>
      <c r="D5734">
        <v>0.61</v>
      </c>
      <c r="E5734" t="s">
        <v>52</v>
      </c>
      <c r="F5734" t="s">
        <v>15</v>
      </c>
      <c r="G5734">
        <v>1.1200000000000001</v>
      </c>
      <c r="H5734">
        <v>0.1</v>
      </c>
      <c r="I5734">
        <v>0.51</v>
      </c>
      <c r="J5734">
        <v>0.2601</v>
      </c>
      <c r="K5734" t="str">
        <f>IFERROR(INDEX(Rosters!$C$2:$C$155,MATCH($B5734,Rosters!$B$2:$B$155,0)),"NA")</f>
        <v>NA</v>
      </c>
      <c r="L5734" t="str">
        <f t="shared" si="267"/>
        <v>NA4QB</v>
      </c>
      <c r="M5734">
        <f>COUNTIF(L$1:L5734,L5734)</f>
        <v>32</v>
      </c>
      <c r="N5734" t="str">
        <f t="shared" si="268"/>
        <v>NA4QB-32</v>
      </c>
      <c r="O5734">
        <f>COUNTIFS(F$1:F5734,F5734,A$1:A5734,A5734)</f>
        <v>47</v>
      </c>
      <c r="P5734" t="str">
        <f t="shared" si="269"/>
        <v>A.J. McCarron4</v>
      </c>
    </row>
    <row r="5735" spans="1:16" x14ac:dyDescent="0.25">
      <c r="A5735">
        <v>10</v>
      </c>
      <c r="B5735" t="s">
        <v>324</v>
      </c>
      <c r="C5735" t="s">
        <v>3850</v>
      </c>
      <c r="D5735">
        <v>0.61</v>
      </c>
      <c r="E5735" t="s">
        <v>37</v>
      </c>
      <c r="F5735" t="s">
        <v>15</v>
      </c>
      <c r="G5735">
        <v>1.1000000000000001</v>
      </c>
      <c r="H5735">
        <v>0.12</v>
      </c>
      <c r="I5735">
        <v>0.49</v>
      </c>
      <c r="J5735">
        <v>0.24010000000000001</v>
      </c>
      <c r="K5735" t="str">
        <f>IFERROR(INDEX(Rosters!$C$2:$C$155,MATCH($B5735,Rosters!$B$2:$B$155,0)),"NA")</f>
        <v>NA</v>
      </c>
      <c r="L5735" t="str">
        <f t="shared" si="267"/>
        <v>NA10QB</v>
      </c>
      <c r="M5735">
        <f>COUNTIF(L$1:L5735,L5735)</f>
        <v>31</v>
      </c>
      <c r="N5735" t="str">
        <f t="shared" si="268"/>
        <v>NA10QB-31</v>
      </c>
      <c r="O5735">
        <f>COUNTIFS(F$1:F5735,F5735,A$1:A5735,A5735)</f>
        <v>47</v>
      </c>
      <c r="P5735" t="str">
        <f t="shared" si="269"/>
        <v>A.J. McCarron10</v>
      </c>
    </row>
    <row r="5736" spans="1:16" x14ac:dyDescent="0.25">
      <c r="A5736">
        <v>2</v>
      </c>
      <c r="B5736" t="s">
        <v>1555</v>
      </c>
      <c r="C5736" t="s">
        <v>1588</v>
      </c>
      <c r="D5736">
        <v>0.61</v>
      </c>
      <c r="E5736" t="s">
        <v>46</v>
      </c>
      <c r="F5736" t="s">
        <v>47</v>
      </c>
      <c r="G5736">
        <v>1.19</v>
      </c>
      <c r="H5736">
        <v>0.03</v>
      </c>
      <c r="I5736">
        <v>0.57999999999999996</v>
      </c>
      <c r="J5736">
        <v>0.33639999999999998</v>
      </c>
      <c r="K5736" t="str">
        <f>IFERROR(INDEX(Rosters!$C$2:$C$155,MATCH($B5736,Rosters!$B$2:$B$155,0)),"NA")</f>
        <v>NA</v>
      </c>
      <c r="L5736" t="str">
        <f t="shared" si="267"/>
        <v>NA2RB</v>
      </c>
      <c r="M5736">
        <f>COUNTIF(L$1:L5736,L5736)</f>
        <v>42</v>
      </c>
      <c r="N5736" t="str">
        <f t="shared" si="268"/>
        <v>NA2RB-42</v>
      </c>
      <c r="O5736">
        <f>COUNTIFS(F$1:F5736,F5736,A$1:A5736,A5736)</f>
        <v>84</v>
      </c>
      <c r="P5736" t="str">
        <f t="shared" si="269"/>
        <v>Alex Armah2</v>
      </c>
    </row>
    <row r="5737" spans="1:16" x14ac:dyDescent="0.25">
      <c r="A5737">
        <v>10</v>
      </c>
      <c r="B5737" t="s">
        <v>1614</v>
      </c>
      <c r="C5737" t="s">
        <v>1588</v>
      </c>
      <c r="D5737">
        <v>0.61</v>
      </c>
      <c r="E5737" t="s">
        <v>58</v>
      </c>
      <c r="F5737" t="s">
        <v>114</v>
      </c>
      <c r="G5737">
        <v>1.19</v>
      </c>
      <c r="H5737">
        <v>0.03</v>
      </c>
      <c r="I5737">
        <v>0.57999999999999996</v>
      </c>
      <c r="J5737">
        <v>0.33639999999999998</v>
      </c>
      <c r="K5737" t="str">
        <f>IFERROR(INDEX(Rosters!$C$2:$C$155,MATCH($B5737,Rosters!$B$2:$B$155,0)),"NA")</f>
        <v>NA</v>
      </c>
      <c r="L5737" t="str">
        <f t="shared" si="267"/>
        <v>NA10TE</v>
      </c>
      <c r="M5737">
        <f>COUNTIF(L$1:L5737,L5737)</f>
        <v>52</v>
      </c>
      <c r="N5737" t="str">
        <f t="shared" si="268"/>
        <v>NA10TE-52</v>
      </c>
      <c r="O5737">
        <f>COUNTIFS(F$1:F5737,F5737,A$1:A5737,A5737)</f>
        <v>65</v>
      </c>
      <c r="P5737" t="str">
        <f t="shared" si="269"/>
        <v>Alex Ellis10</v>
      </c>
    </row>
    <row r="5738" spans="1:16" x14ac:dyDescent="0.25">
      <c r="A5738">
        <v>14</v>
      </c>
      <c r="B5738" t="s">
        <v>1614</v>
      </c>
      <c r="C5738">
        <f>-0.02-1.24</f>
        <v>-1.26</v>
      </c>
      <c r="D5738">
        <v>0.61</v>
      </c>
      <c r="E5738" t="s">
        <v>77</v>
      </c>
      <c r="F5738" t="s">
        <v>114</v>
      </c>
      <c r="G5738">
        <v>1.24</v>
      </c>
      <c r="H5738">
        <v>-0.02</v>
      </c>
      <c r="I5738">
        <v>0.63</v>
      </c>
      <c r="J5738">
        <v>0.39689999999999998</v>
      </c>
      <c r="K5738" t="str">
        <f>IFERROR(INDEX(Rosters!$C$2:$C$155,MATCH($B5738,Rosters!$B$2:$B$155,0)),"NA")</f>
        <v>NA</v>
      </c>
      <c r="L5738" t="str">
        <f t="shared" si="267"/>
        <v>NA14TE</v>
      </c>
      <c r="M5738">
        <f>COUNTIF(L$1:L5738,L5738)</f>
        <v>61</v>
      </c>
      <c r="N5738" t="str">
        <f t="shared" si="268"/>
        <v>NA14TE-61</v>
      </c>
      <c r="O5738">
        <f>COUNTIFS(F$1:F5738,F5738,A$1:A5738,A5738)</f>
        <v>75</v>
      </c>
      <c r="P5738" t="str">
        <f t="shared" si="269"/>
        <v>Alex Ellis14</v>
      </c>
    </row>
    <row r="5739" spans="1:16" x14ac:dyDescent="0.25">
      <c r="A5739">
        <v>10</v>
      </c>
      <c r="B5739" t="s">
        <v>1572</v>
      </c>
      <c r="C5739">
        <f>-0.01-1.23</f>
        <v>-1.24</v>
      </c>
      <c r="D5739">
        <v>0.61</v>
      </c>
      <c r="E5739" t="s">
        <v>72</v>
      </c>
      <c r="F5739" t="s">
        <v>87</v>
      </c>
      <c r="G5739">
        <v>1.23</v>
      </c>
      <c r="H5739">
        <v>-0.01</v>
      </c>
      <c r="I5739">
        <v>0.62</v>
      </c>
      <c r="J5739">
        <v>0.38440000000000002</v>
      </c>
      <c r="K5739" t="str">
        <f>IFERROR(INDEX(Rosters!$C$2:$C$155,MATCH($B5739,Rosters!$B$2:$B$155,0)),"NA")</f>
        <v>NA</v>
      </c>
      <c r="L5739" t="str">
        <f t="shared" si="267"/>
        <v>NA10WR</v>
      </c>
      <c r="M5739">
        <f>COUNTIF(L$1:L5739,L5739)</f>
        <v>83</v>
      </c>
      <c r="N5739" t="str">
        <f t="shared" si="268"/>
        <v>NA10WR-83</v>
      </c>
      <c r="O5739">
        <f>COUNTIFS(F$1:F5739,F5739,A$1:A5739,A5739)</f>
        <v>128</v>
      </c>
      <c r="P5739" t="str">
        <f t="shared" si="269"/>
        <v>Andy Jones10</v>
      </c>
    </row>
    <row r="5740" spans="1:16" x14ac:dyDescent="0.25">
      <c r="A5740">
        <v>13</v>
      </c>
      <c r="B5740" t="s">
        <v>1572</v>
      </c>
      <c r="C5740" t="s">
        <v>1018</v>
      </c>
      <c r="D5740">
        <v>0.61</v>
      </c>
      <c r="E5740" t="s">
        <v>56</v>
      </c>
      <c r="F5740" t="s">
        <v>87</v>
      </c>
      <c r="G5740">
        <v>1.1499999999999999</v>
      </c>
      <c r="H5740">
        <v>7.0000000000000007E-2</v>
      </c>
      <c r="I5740">
        <v>0.54</v>
      </c>
      <c r="J5740">
        <v>0.29160000000000003</v>
      </c>
      <c r="K5740" t="str">
        <f>IFERROR(INDEX(Rosters!$C$2:$C$155,MATCH($B5740,Rosters!$B$2:$B$155,0)),"NA")</f>
        <v>NA</v>
      </c>
      <c r="L5740" t="str">
        <f t="shared" si="267"/>
        <v>NA13WR</v>
      </c>
      <c r="M5740">
        <f>COUNTIF(L$1:L5740,L5740)</f>
        <v>88</v>
      </c>
      <c r="N5740" t="str">
        <f t="shared" si="268"/>
        <v>NA13WR-88</v>
      </c>
      <c r="O5740">
        <f>COUNTIFS(F$1:F5740,F5740,A$1:A5740,A5740)</f>
        <v>142</v>
      </c>
      <c r="P5740" t="str">
        <f t="shared" si="269"/>
        <v>Andy Jones13</v>
      </c>
    </row>
    <row r="5741" spans="1:16" x14ac:dyDescent="0.25">
      <c r="A5741">
        <v>4</v>
      </c>
      <c r="B5741" t="s">
        <v>1145</v>
      </c>
      <c r="C5741">
        <f>-0.05-1.27</f>
        <v>-1.32</v>
      </c>
      <c r="D5741">
        <v>0.61</v>
      </c>
      <c r="E5741" t="s">
        <v>17</v>
      </c>
      <c r="F5741" t="s">
        <v>114</v>
      </c>
      <c r="G5741">
        <v>1.27</v>
      </c>
      <c r="H5741">
        <v>-0.05</v>
      </c>
      <c r="I5741">
        <v>0.66</v>
      </c>
      <c r="J5741">
        <v>0.43559999999999999</v>
      </c>
      <c r="K5741" t="str">
        <f>IFERROR(INDEX(Rosters!$C$2:$C$155,MATCH($B5741,Rosters!$B$2:$B$155,0)),"NA")</f>
        <v>NA</v>
      </c>
      <c r="L5741" t="str">
        <f t="shared" si="267"/>
        <v>NA4TE</v>
      </c>
      <c r="M5741">
        <f>COUNTIF(L$1:L5741,L5741)</f>
        <v>52</v>
      </c>
      <c r="N5741" t="str">
        <f t="shared" si="268"/>
        <v>NA4TE-52</v>
      </c>
      <c r="O5741">
        <f>COUNTIFS(F$1:F5741,F5741,A$1:A5741,A5741)</f>
        <v>63</v>
      </c>
      <c r="P5741" t="str">
        <f t="shared" si="269"/>
        <v>Ben Braunecker4</v>
      </c>
    </row>
    <row r="5742" spans="1:16" x14ac:dyDescent="0.25">
      <c r="A5742">
        <v>14</v>
      </c>
      <c r="B5742" t="s">
        <v>2851</v>
      </c>
      <c r="C5742">
        <f>-0.21-1.43</f>
        <v>-1.64</v>
      </c>
      <c r="D5742">
        <v>0.61</v>
      </c>
      <c r="E5742" t="s">
        <v>17</v>
      </c>
      <c r="F5742" t="s">
        <v>87</v>
      </c>
      <c r="G5742">
        <v>1.43</v>
      </c>
      <c r="H5742">
        <v>-0.21</v>
      </c>
      <c r="I5742">
        <v>0.82</v>
      </c>
      <c r="J5742">
        <v>0.6724</v>
      </c>
      <c r="K5742" t="str">
        <f>IFERROR(INDEX(Rosters!$C$2:$C$155,MATCH($B5742,Rosters!$B$2:$B$155,0)),"NA")</f>
        <v>NA</v>
      </c>
      <c r="L5742" t="str">
        <f t="shared" si="267"/>
        <v>NA14WR</v>
      </c>
      <c r="M5742">
        <f>COUNTIF(L$1:L5742,L5742)</f>
        <v>90</v>
      </c>
      <c r="N5742" t="str">
        <f t="shared" si="268"/>
        <v>NA14WR-90</v>
      </c>
      <c r="O5742">
        <f>COUNTIFS(F$1:F5742,F5742,A$1:A5742,A5742)</f>
        <v>144</v>
      </c>
      <c r="P5742" t="str">
        <f t="shared" si="269"/>
        <v>Brandon Tate14</v>
      </c>
    </row>
    <row r="5743" spans="1:16" x14ac:dyDescent="0.25">
      <c r="A5743">
        <v>6</v>
      </c>
      <c r="B5743" t="s">
        <v>3569</v>
      </c>
      <c r="C5743" t="s">
        <v>8898</v>
      </c>
      <c r="D5743">
        <v>0.61</v>
      </c>
      <c r="E5743" t="s">
        <v>22</v>
      </c>
      <c r="F5743" t="s">
        <v>47</v>
      </c>
      <c r="G5743">
        <v>1.1599999999999999</v>
      </c>
      <c r="H5743">
        <v>0.06</v>
      </c>
      <c r="I5743">
        <v>0.55000000000000004</v>
      </c>
      <c r="J5743">
        <v>0.30249999999999999</v>
      </c>
      <c r="K5743" t="str">
        <f>IFERROR(INDEX(Rosters!$C$2:$C$155,MATCH($B5743,Rosters!$B$2:$B$155,0)),"NA")</f>
        <v>NA</v>
      </c>
      <c r="L5743" t="str">
        <f t="shared" si="267"/>
        <v>NA6RB</v>
      </c>
      <c r="M5743">
        <f>COUNTIF(L$1:L5743,L5743)</f>
        <v>46</v>
      </c>
      <c r="N5743" t="str">
        <f t="shared" si="268"/>
        <v>NA6RB-46</v>
      </c>
      <c r="O5743">
        <f>COUNTIFS(F$1:F5743,F5743,A$1:A5743,A5743)</f>
        <v>88</v>
      </c>
      <c r="P5743" t="str">
        <f t="shared" si="269"/>
        <v>Brandon Wilds6</v>
      </c>
    </row>
    <row r="5744" spans="1:16" x14ac:dyDescent="0.25">
      <c r="A5744">
        <v>6</v>
      </c>
      <c r="B5744" t="s">
        <v>2947</v>
      </c>
      <c r="C5744">
        <f>-0.02-1.24</f>
        <v>-1.26</v>
      </c>
      <c r="D5744">
        <v>0.61</v>
      </c>
      <c r="E5744" t="s">
        <v>17</v>
      </c>
      <c r="F5744" t="s">
        <v>47</v>
      </c>
      <c r="G5744">
        <v>1.24</v>
      </c>
      <c r="H5744">
        <v>-0.02</v>
      </c>
      <c r="I5744">
        <v>0.63</v>
      </c>
      <c r="J5744">
        <v>0.39689999999999998</v>
      </c>
      <c r="K5744" t="str">
        <f>IFERROR(INDEX(Rosters!$C$2:$C$155,MATCH($B5744,Rosters!$B$2:$B$155,0)),"NA")</f>
        <v>NA</v>
      </c>
      <c r="L5744" t="str">
        <f t="shared" si="267"/>
        <v>NA6RB</v>
      </c>
      <c r="M5744">
        <f>COUNTIF(L$1:L5744,L5744)</f>
        <v>47</v>
      </c>
      <c r="N5744" t="str">
        <f t="shared" si="268"/>
        <v>NA6RB-47</v>
      </c>
      <c r="O5744">
        <f>COUNTIFS(F$1:F5744,F5744,A$1:A5744,A5744)</f>
        <v>89</v>
      </c>
      <c r="P5744" t="str">
        <f t="shared" si="269"/>
        <v>Brian Hill6</v>
      </c>
    </row>
    <row r="5745" spans="1:16" x14ac:dyDescent="0.25">
      <c r="A5745">
        <v>13</v>
      </c>
      <c r="B5745" t="s">
        <v>2926</v>
      </c>
      <c r="C5745">
        <f>-0.03-1.25</f>
        <v>-1.28</v>
      </c>
      <c r="D5745">
        <v>0.61</v>
      </c>
      <c r="E5745" t="s">
        <v>50</v>
      </c>
      <c r="F5745" t="s">
        <v>87</v>
      </c>
      <c r="G5745">
        <v>1.25</v>
      </c>
      <c r="H5745">
        <v>-0.03</v>
      </c>
      <c r="I5745">
        <v>0.64</v>
      </c>
      <c r="J5745">
        <v>0.40960000000000002</v>
      </c>
      <c r="K5745" t="str">
        <f>IFERROR(INDEX(Rosters!$C$2:$C$155,MATCH($B5745,Rosters!$B$2:$B$155,0)),"NA")</f>
        <v>NA</v>
      </c>
      <c r="L5745" t="str">
        <f t="shared" si="267"/>
        <v>NA13WR</v>
      </c>
      <c r="M5745">
        <f>COUNTIF(L$1:L5745,L5745)</f>
        <v>89</v>
      </c>
      <c r="N5745" t="str">
        <f t="shared" si="268"/>
        <v>NA13WR-89</v>
      </c>
      <c r="O5745">
        <f>COUNTIFS(F$1:F5745,F5745,A$1:A5745,A5745)</f>
        <v>143</v>
      </c>
      <c r="P5745" t="str">
        <f t="shared" si="269"/>
        <v>Brian Quick13</v>
      </c>
    </row>
    <row r="5746" spans="1:16" x14ac:dyDescent="0.25">
      <c r="A5746">
        <v>9</v>
      </c>
      <c r="B5746" t="s">
        <v>1549</v>
      </c>
      <c r="C5746">
        <f>-0.13-1.35</f>
        <v>-1.48</v>
      </c>
      <c r="D5746">
        <v>0.61</v>
      </c>
      <c r="E5746" t="s">
        <v>34</v>
      </c>
      <c r="F5746" t="s">
        <v>47</v>
      </c>
      <c r="G5746">
        <v>1.35</v>
      </c>
      <c r="H5746">
        <v>-0.13</v>
      </c>
      <c r="I5746">
        <v>0.74</v>
      </c>
      <c r="J5746">
        <v>0.54759999999999998</v>
      </c>
      <c r="K5746" t="str">
        <f>IFERROR(INDEX(Rosters!$C$2:$C$155,MATCH($B5746,Rosters!$B$2:$B$155,0)),"NA")</f>
        <v>NA</v>
      </c>
      <c r="L5746" t="str">
        <f t="shared" si="267"/>
        <v>NA9RB</v>
      </c>
      <c r="M5746">
        <f>COUNTIF(L$1:L5746,L5746)</f>
        <v>44</v>
      </c>
      <c r="N5746" t="str">
        <f t="shared" si="268"/>
        <v>NA9RB-44</v>
      </c>
      <c r="O5746">
        <f>COUNTIFS(F$1:F5746,F5746,A$1:A5746,A5746)</f>
        <v>84</v>
      </c>
      <c r="P5746" t="str">
        <f t="shared" si="269"/>
        <v>C.J. Ham9</v>
      </c>
    </row>
    <row r="5747" spans="1:16" x14ac:dyDescent="0.25">
      <c r="A5747">
        <v>5</v>
      </c>
      <c r="B5747" t="s">
        <v>1503</v>
      </c>
      <c r="C5747">
        <f>-0.19-1.41</f>
        <v>-1.5999999999999999</v>
      </c>
      <c r="D5747">
        <v>0.61</v>
      </c>
      <c r="E5747" t="s">
        <v>24</v>
      </c>
      <c r="F5747" t="s">
        <v>87</v>
      </c>
      <c r="G5747">
        <v>1.41</v>
      </c>
      <c r="H5747">
        <v>-0.19</v>
      </c>
      <c r="I5747">
        <v>0.8</v>
      </c>
      <c r="J5747">
        <v>0.64</v>
      </c>
      <c r="K5747" t="str">
        <f>IFERROR(INDEX(Rosters!$C$2:$C$155,MATCH($B5747,Rosters!$B$2:$B$155,0)),"NA")</f>
        <v>NA</v>
      </c>
      <c r="L5747" t="str">
        <f t="shared" si="267"/>
        <v>NA5WR</v>
      </c>
      <c r="M5747">
        <f>COUNTIF(L$1:L5747,L5747)</f>
        <v>92</v>
      </c>
      <c r="N5747" t="str">
        <f t="shared" si="268"/>
        <v>NA5WR-92</v>
      </c>
      <c r="O5747">
        <f>COUNTIFS(F$1:F5747,F5747,A$1:A5747,A5747)</f>
        <v>142</v>
      </c>
      <c r="P5747" t="str">
        <f t="shared" si="269"/>
        <v>D.J. Chark5</v>
      </c>
    </row>
    <row r="5748" spans="1:16" x14ac:dyDescent="0.25">
      <c r="A5748">
        <v>1</v>
      </c>
      <c r="B5748" t="s">
        <v>1128</v>
      </c>
      <c r="C5748">
        <f>-0.03-1.25</f>
        <v>-1.28</v>
      </c>
      <c r="D5748">
        <v>0.61</v>
      </c>
      <c r="E5748" t="s">
        <v>22</v>
      </c>
      <c r="F5748" t="s">
        <v>87</v>
      </c>
      <c r="G5748">
        <v>1.25</v>
      </c>
      <c r="H5748">
        <v>-0.03</v>
      </c>
      <c r="I5748">
        <v>0.64</v>
      </c>
      <c r="J5748">
        <v>0.40960000000000002</v>
      </c>
      <c r="K5748" t="str">
        <f>IFERROR(INDEX(Rosters!$C$2:$C$155,MATCH($B5748,Rosters!$B$2:$B$155,0)),"NA")</f>
        <v>NA</v>
      </c>
      <c r="L5748" t="str">
        <f t="shared" si="267"/>
        <v>NA1WR</v>
      </c>
      <c r="M5748">
        <f>COUNTIF(L$1:L5748,L5748)</f>
        <v>64</v>
      </c>
      <c r="N5748" t="str">
        <f t="shared" si="268"/>
        <v>NA1WR-64</v>
      </c>
      <c r="O5748">
        <f>COUNTIFS(F$1:F5748,F5748,A$1:A5748,A5748)</f>
        <v>113</v>
      </c>
      <c r="P5748" t="str">
        <f t="shared" si="269"/>
        <v>Damiere Byrd1</v>
      </c>
    </row>
    <row r="5749" spans="1:16" x14ac:dyDescent="0.25">
      <c r="A5749">
        <v>7</v>
      </c>
      <c r="B5749" t="s">
        <v>1559</v>
      </c>
      <c r="C5749">
        <f>-0.03-1.25</f>
        <v>-1.28</v>
      </c>
      <c r="D5749">
        <v>0.61</v>
      </c>
      <c r="E5749" t="s">
        <v>423</v>
      </c>
      <c r="F5749" t="s">
        <v>114</v>
      </c>
      <c r="G5749">
        <v>1.25</v>
      </c>
      <c r="H5749">
        <v>-0.03</v>
      </c>
      <c r="I5749">
        <v>0.64</v>
      </c>
      <c r="J5749">
        <v>0.40960000000000002</v>
      </c>
      <c r="K5749" t="str">
        <f>IFERROR(INDEX(Rosters!$C$2:$C$155,MATCH($B5749,Rosters!$B$2:$B$155,0)),"NA")</f>
        <v>NA</v>
      </c>
      <c r="L5749" t="str">
        <f t="shared" si="267"/>
        <v>NA7TE</v>
      </c>
      <c r="M5749">
        <f>COUNTIF(L$1:L5749,L5749)</f>
        <v>55</v>
      </c>
      <c r="N5749" t="str">
        <f t="shared" si="268"/>
        <v>NA7TE-55</v>
      </c>
      <c r="O5749">
        <f>COUNTIFS(F$1:F5749,F5749,A$1:A5749,A5749)</f>
        <v>65</v>
      </c>
      <c r="P5749" t="str">
        <f t="shared" si="269"/>
        <v>Daniel Brown7</v>
      </c>
    </row>
    <row r="5750" spans="1:16" x14ac:dyDescent="0.25">
      <c r="A5750">
        <v>13</v>
      </c>
      <c r="B5750" t="s">
        <v>8733</v>
      </c>
      <c r="C5750" t="s">
        <v>1590</v>
      </c>
      <c r="D5750">
        <v>0.61</v>
      </c>
      <c r="E5750" t="s">
        <v>60</v>
      </c>
      <c r="F5750" t="s">
        <v>87</v>
      </c>
      <c r="G5750">
        <v>1.0900000000000001</v>
      </c>
      <c r="H5750">
        <v>0.13</v>
      </c>
      <c r="I5750">
        <v>0.48</v>
      </c>
      <c r="J5750">
        <v>0.23039999999999999</v>
      </c>
      <c r="K5750" t="str">
        <f>IFERROR(INDEX(Rosters!$C$2:$C$155,MATCH($B5750,Rosters!$B$2:$B$155,0)),"NA")</f>
        <v>NA</v>
      </c>
      <c r="L5750" t="str">
        <f t="shared" si="267"/>
        <v>NA13WR</v>
      </c>
      <c r="M5750">
        <f>COUNTIF(L$1:L5750,L5750)</f>
        <v>90</v>
      </c>
      <c r="N5750" t="str">
        <f t="shared" si="268"/>
        <v>NA13WR-90</v>
      </c>
      <c r="O5750">
        <f>COUNTIFS(F$1:F5750,F5750,A$1:A5750,A5750)</f>
        <v>144</v>
      </c>
      <c r="P5750" t="str">
        <f t="shared" si="269"/>
        <v>DeAndre Carter13</v>
      </c>
    </row>
    <row r="5751" spans="1:16" x14ac:dyDescent="0.25">
      <c r="A5751">
        <v>16</v>
      </c>
      <c r="B5751" t="s">
        <v>218</v>
      </c>
      <c r="C5751">
        <f>-0.03-1.25</f>
        <v>-1.28</v>
      </c>
      <c r="D5751">
        <v>0.61</v>
      </c>
      <c r="E5751" t="s">
        <v>42</v>
      </c>
      <c r="F5751" t="s">
        <v>47</v>
      </c>
      <c r="G5751">
        <v>1.25</v>
      </c>
      <c r="H5751">
        <v>-0.03</v>
      </c>
      <c r="I5751">
        <v>0.64</v>
      </c>
      <c r="J5751">
        <v>0.40960000000000002</v>
      </c>
      <c r="K5751" t="str">
        <f>IFERROR(INDEX(Rosters!$C$2:$C$155,MATCH($B5751,Rosters!$B$2:$B$155,0)),"NA")</f>
        <v>NA</v>
      </c>
      <c r="L5751" t="str">
        <f t="shared" si="267"/>
        <v>NA16RB</v>
      </c>
      <c r="M5751">
        <f>COUNTIF(L$1:L5751,L5751)</f>
        <v>56</v>
      </c>
      <c r="N5751" t="str">
        <f t="shared" si="268"/>
        <v>NA16RB-56</v>
      </c>
      <c r="O5751">
        <f>COUNTIFS(F$1:F5751,F5751,A$1:A5751,A5751)</f>
        <v>103</v>
      </c>
      <c r="P5751" t="str">
        <f t="shared" si="269"/>
        <v>DeAndre Washington16</v>
      </c>
    </row>
    <row r="5752" spans="1:16" x14ac:dyDescent="0.25">
      <c r="A5752">
        <v>8</v>
      </c>
      <c r="B5752" t="s">
        <v>91</v>
      </c>
      <c r="C5752" t="s">
        <v>1160</v>
      </c>
      <c r="D5752">
        <v>0.61</v>
      </c>
      <c r="E5752" t="s">
        <v>56</v>
      </c>
      <c r="F5752" t="s">
        <v>15</v>
      </c>
      <c r="G5752">
        <v>1.17</v>
      </c>
      <c r="H5752">
        <v>0.05</v>
      </c>
      <c r="I5752">
        <v>0.56000000000000005</v>
      </c>
      <c r="J5752">
        <v>0.31359999999999999</v>
      </c>
      <c r="K5752" t="str">
        <f>IFERROR(INDEX(Rosters!$C$2:$C$155,MATCH($B5752,Rosters!$B$2:$B$155,0)),"NA")</f>
        <v>NA</v>
      </c>
      <c r="L5752" t="str">
        <f t="shared" si="267"/>
        <v>NA8QB</v>
      </c>
      <c r="M5752">
        <f>COUNTIF(L$1:L5752,L5752)</f>
        <v>32</v>
      </c>
      <c r="N5752" t="str">
        <f t="shared" si="268"/>
        <v>NA8QB-32</v>
      </c>
      <c r="O5752">
        <f>COUNTIFS(F$1:F5752,F5752,A$1:A5752,A5752)</f>
        <v>47</v>
      </c>
      <c r="P5752" t="str">
        <f t="shared" si="269"/>
        <v>DeShone Kizer8</v>
      </c>
    </row>
    <row r="5753" spans="1:16" x14ac:dyDescent="0.25">
      <c r="A5753">
        <v>11</v>
      </c>
      <c r="B5753" t="s">
        <v>91</v>
      </c>
      <c r="C5753" t="s">
        <v>4728</v>
      </c>
      <c r="D5753">
        <v>0.61</v>
      </c>
      <c r="E5753" t="s">
        <v>28</v>
      </c>
      <c r="F5753" t="s">
        <v>15</v>
      </c>
      <c r="G5753">
        <v>1.2</v>
      </c>
      <c r="H5753">
        <v>0.02</v>
      </c>
      <c r="I5753">
        <v>0.59</v>
      </c>
      <c r="J5753">
        <v>0.34810000000000002</v>
      </c>
      <c r="K5753" t="str">
        <f>IFERROR(INDEX(Rosters!$C$2:$C$155,MATCH($B5753,Rosters!$B$2:$B$155,0)),"NA")</f>
        <v>NA</v>
      </c>
      <c r="L5753" t="str">
        <f t="shared" si="267"/>
        <v>NA11QB</v>
      </c>
      <c r="M5753">
        <f>COUNTIF(L$1:L5753,L5753)</f>
        <v>28</v>
      </c>
      <c r="N5753" t="str">
        <f t="shared" si="268"/>
        <v>NA11QB-28</v>
      </c>
      <c r="O5753">
        <f>COUNTIFS(F$1:F5753,F5753,A$1:A5753,A5753)</f>
        <v>43</v>
      </c>
      <c r="P5753" t="str">
        <f t="shared" si="269"/>
        <v>DeShone Kizer11</v>
      </c>
    </row>
    <row r="5754" spans="1:16" x14ac:dyDescent="0.25">
      <c r="A5754">
        <v>12</v>
      </c>
      <c r="B5754" t="s">
        <v>254</v>
      </c>
      <c r="C5754">
        <f>-0.33-1.55</f>
        <v>-1.8800000000000001</v>
      </c>
      <c r="D5754">
        <v>0.61</v>
      </c>
      <c r="E5754" t="s">
        <v>73</v>
      </c>
      <c r="F5754" t="s">
        <v>114</v>
      </c>
      <c r="G5754">
        <v>1.55</v>
      </c>
      <c r="H5754">
        <v>-0.33</v>
      </c>
      <c r="I5754">
        <v>0.94</v>
      </c>
      <c r="J5754">
        <v>0.88360000000000005</v>
      </c>
      <c r="K5754" t="str">
        <f>IFERROR(INDEX(Rosters!$C$2:$C$155,MATCH($B5754,Rosters!$B$2:$B$155,0)),"NA")</f>
        <v>NA</v>
      </c>
      <c r="L5754" t="str">
        <f t="shared" si="267"/>
        <v>NA12TE</v>
      </c>
      <c r="M5754">
        <f>COUNTIF(L$1:L5754,L5754)</f>
        <v>53</v>
      </c>
      <c r="N5754" t="str">
        <f t="shared" si="268"/>
        <v>NA12TE-53</v>
      </c>
      <c r="O5754">
        <f>COUNTIFS(F$1:F5754,F5754,A$1:A5754,A5754)</f>
        <v>66</v>
      </c>
      <c r="P5754" t="str">
        <f t="shared" si="269"/>
        <v>Dwayne Allen12</v>
      </c>
    </row>
    <row r="5755" spans="1:16" x14ac:dyDescent="0.25">
      <c r="A5755">
        <v>16</v>
      </c>
      <c r="B5755" t="s">
        <v>1132</v>
      </c>
      <c r="C5755">
        <f>-0.01-1.23</f>
        <v>-1.24</v>
      </c>
      <c r="D5755">
        <v>0.61</v>
      </c>
      <c r="E5755" t="s">
        <v>77</v>
      </c>
      <c r="F5755" t="s">
        <v>87</v>
      </c>
      <c r="G5755">
        <v>1.23</v>
      </c>
      <c r="H5755">
        <v>-0.01</v>
      </c>
      <c r="I5755">
        <v>0.62</v>
      </c>
      <c r="J5755">
        <v>0.38440000000000002</v>
      </c>
      <c r="K5755" t="str">
        <f>IFERROR(INDEX(Rosters!$C$2:$C$155,MATCH($B5755,Rosters!$B$2:$B$155,0)),"NA")</f>
        <v>NA</v>
      </c>
      <c r="L5755" t="str">
        <f t="shared" si="267"/>
        <v>NA16WR</v>
      </c>
      <c r="M5755">
        <f>COUNTIF(L$1:L5755,L5755)</f>
        <v>93</v>
      </c>
      <c r="N5755" t="str">
        <f t="shared" si="268"/>
        <v>NA16WR-93</v>
      </c>
      <c r="O5755">
        <f>COUNTIFS(F$1:F5755,F5755,A$1:A5755,A5755)</f>
        <v>147</v>
      </c>
      <c r="P5755" t="str">
        <f t="shared" si="269"/>
        <v>Geremy Davis16</v>
      </c>
    </row>
    <row r="5756" spans="1:16" x14ac:dyDescent="0.25">
      <c r="A5756">
        <v>7</v>
      </c>
      <c r="B5756" t="s">
        <v>4244</v>
      </c>
      <c r="C5756">
        <f>-0.14-1.36</f>
        <v>-1.5</v>
      </c>
      <c r="D5756">
        <v>0.61</v>
      </c>
      <c r="E5756" t="s">
        <v>38</v>
      </c>
      <c r="F5756" t="s">
        <v>87</v>
      </c>
      <c r="G5756">
        <v>1.36</v>
      </c>
      <c r="H5756">
        <v>-0.14000000000000001</v>
      </c>
      <c r="I5756">
        <v>0.75</v>
      </c>
      <c r="J5756">
        <v>0.5625</v>
      </c>
      <c r="K5756" t="str">
        <f>IFERROR(INDEX(Rosters!$C$2:$C$155,MATCH($B5756,Rosters!$B$2:$B$155,0)),"NA")</f>
        <v>NA</v>
      </c>
      <c r="L5756" t="str">
        <f t="shared" si="267"/>
        <v>NA7WR</v>
      </c>
      <c r="M5756">
        <f>COUNTIF(L$1:L5756,L5756)</f>
        <v>83</v>
      </c>
      <c r="N5756" t="str">
        <f t="shared" si="268"/>
        <v>NA7WR-83</v>
      </c>
      <c r="O5756">
        <f>COUNTIFS(F$1:F5756,F5756,A$1:A5756,A5756)</f>
        <v>128</v>
      </c>
      <c r="P5756" t="str">
        <f t="shared" si="269"/>
        <v>J.J. Jones7</v>
      </c>
    </row>
    <row r="5757" spans="1:16" x14ac:dyDescent="0.25">
      <c r="A5757">
        <v>13</v>
      </c>
      <c r="B5757" t="s">
        <v>1497</v>
      </c>
      <c r="C5757" t="s">
        <v>1018</v>
      </c>
      <c r="D5757">
        <v>0.61</v>
      </c>
      <c r="E5757" t="s">
        <v>76</v>
      </c>
      <c r="F5757" t="s">
        <v>15</v>
      </c>
      <c r="G5757">
        <v>1.1499999999999999</v>
      </c>
      <c r="H5757">
        <v>7.0000000000000007E-2</v>
      </c>
      <c r="I5757">
        <v>0.54</v>
      </c>
      <c r="J5757">
        <v>0.29160000000000003</v>
      </c>
      <c r="K5757" t="str">
        <f>IFERROR(INDEX(Rosters!$C$2:$C$155,MATCH($B5757,Rosters!$B$2:$B$155,0)),"NA")</f>
        <v>NA</v>
      </c>
      <c r="L5757" t="str">
        <f t="shared" si="267"/>
        <v>NA13QB</v>
      </c>
      <c r="M5757">
        <f>COUNTIF(L$1:L5757,L5757)</f>
        <v>38</v>
      </c>
      <c r="N5757" t="str">
        <f t="shared" si="268"/>
        <v>NA13QB-38</v>
      </c>
      <c r="O5757">
        <f>COUNTIFS(F$1:F5757,F5757,A$1:A5757,A5757)</f>
        <v>55</v>
      </c>
      <c r="P5757" t="str">
        <f t="shared" si="269"/>
        <v>Jacoby Brissett13</v>
      </c>
    </row>
    <row r="5758" spans="1:16" x14ac:dyDescent="0.25">
      <c r="A5758">
        <v>13</v>
      </c>
      <c r="B5758" t="s">
        <v>4251</v>
      </c>
      <c r="C5758">
        <f>-0.04-1.26</f>
        <v>-1.3</v>
      </c>
      <c r="D5758">
        <v>0.61</v>
      </c>
      <c r="E5758" t="s">
        <v>19</v>
      </c>
      <c r="F5758" t="s">
        <v>114</v>
      </c>
      <c r="G5758">
        <v>1.26</v>
      </c>
      <c r="H5758">
        <v>-0.04</v>
      </c>
      <c r="I5758">
        <v>0.65</v>
      </c>
      <c r="J5758">
        <v>0.42249999999999999</v>
      </c>
      <c r="K5758" t="str">
        <f>IFERROR(INDEX(Rosters!$C$2:$C$155,MATCH($B5758,Rosters!$B$2:$B$155,0)),"NA")</f>
        <v>NA</v>
      </c>
      <c r="L5758" t="str">
        <f t="shared" si="267"/>
        <v>NA13TE</v>
      </c>
      <c r="M5758">
        <f>COUNTIF(L$1:L5758,L5758)</f>
        <v>57</v>
      </c>
      <c r="N5758" t="str">
        <f t="shared" si="268"/>
        <v>NA13TE-57</v>
      </c>
      <c r="O5758">
        <f>COUNTIFS(F$1:F5758,F5758,A$1:A5758,A5758)</f>
        <v>71</v>
      </c>
      <c r="P5758" t="str">
        <f t="shared" si="269"/>
        <v>Jason Croom13</v>
      </c>
    </row>
    <row r="5759" spans="1:16" x14ac:dyDescent="0.25">
      <c r="A5759">
        <v>13</v>
      </c>
      <c r="B5759" t="s">
        <v>8640</v>
      </c>
      <c r="C5759" t="s">
        <v>4728</v>
      </c>
      <c r="D5759">
        <v>0.61</v>
      </c>
      <c r="E5759" t="s">
        <v>72</v>
      </c>
      <c r="F5759" t="s">
        <v>87</v>
      </c>
      <c r="G5759">
        <v>1.2</v>
      </c>
      <c r="H5759">
        <v>0.02</v>
      </c>
      <c r="I5759">
        <v>0.59</v>
      </c>
      <c r="J5759">
        <v>0.34810000000000002</v>
      </c>
      <c r="K5759" t="str">
        <f>IFERROR(INDEX(Rosters!$C$2:$C$155,MATCH($B5759,Rosters!$B$2:$B$155,0)),"NA")</f>
        <v>NA</v>
      </c>
      <c r="L5759" t="str">
        <f t="shared" si="267"/>
        <v>NA13WR</v>
      </c>
      <c r="M5759">
        <f>COUNTIF(L$1:L5759,L5759)</f>
        <v>91</v>
      </c>
      <c r="N5759" t="str">
        <f t="shared" si="268"/>
        <v>NA13WR-91</v>
      </c>
      <c r="O5759">
        <f>COUNTIFS(F$1:F5759,F5759,A$1:A5759,A5759)</f>
        <v>145</v>
      </c>
      <c r="P5759" t="str">
        <f t="shared" si="269"/>
        <v>Jawill Davis13</v>
      </c>
    </row>
    <row r="5760" spans="1:16" x14ac:dyDescent="0.25">
      <c r="A5760">
        <v>17</v>
      </c>
      <c r="B5760" t="s">
        <v>8640</v>
      </c>
      <c r="C5760">
        <f>-0.06-1.28</f>
        <v>-1.34</v>
      </c>
      <c r="D5760">
        <v>0.61</v>
      </c>
      <c r="E5760" t="s">
        <v>22</v>
      </c>
      <c r="F5760" t="s">
        <v>87</v>
      </c>
      <c r="G5760">
        <v>1.28</v>
      </c>
      <c r="H5760">
        <v>-0.06</v>
      </c>
      <c r="I5760">
        <v>0.67</v>
      </c>
      <c r="J5760">
        <v>0.44890000000000002</v>
      </c>
      <c r="K5760" t="str">
        <f>IFERROR(INDEX(Rosters!$C$2:$C$155,MATCH($B5760,Rosters!$B$2:$B$155,0)),"NA")</f>
        <v>NA</v>
      </c>
      <c r="L5760" t="str">
        <f t="shared" si="267"/>
        <v>NA17WR</v>
      </c>
      <c r="M5760">
        <f>COUNTIF(L$1:L5760,L5760)</f>
        <v>92</v>
      </c>
      <c r="N5760" t="str">
        <f t="shared" si="268"/>
        <v>NA17WR-92</v>
      </c>
      <c r="O5760">
        <f>COUNTIFS(F$1:F5760,F5760,A$1:A5760,A5760)</f>
        <v>146</v>
      </c>
      <c r="P5760" t="str">
        <f t="shared" si="269"/>
        <v>Jawill Davis17</v>
      </c>
    </row>
    <row r="5761" spans="1:16" x14ac:dyDescent="0.25">
      <c r="A5761">
        <v>1</v>
      </c>
      <c r="B5761" t="s">
        <v>1548</v>
      </c>
      <c r="C5761" t="s">
        <v>1590</v>
      </c>
      <c r="D5761">
        <v>0.61</v>
      </c>
      <c r="E5761" t="s">
        <v>58</v>
      </c>
      <c r="F5761" t="s">
        <v>114</v>
      </c>
      <c r="G5761">
        <v>1.0900000000000001</v>
      </c>
      <c r="H5761">
        <v>0.13</v>
      </c>
      <c r="I5761">
        <v>0.48</v>
      </c>
      <c r="J5761">
        <v>0.23039999999999999</v>
      </c>
      <c r="K5761" t="str">
        <f>IFERROR(INDEX(Rosters!$C$2:$C$155,MATCH($B5761,Rosters!$B$2:$B$155,0)),"NA")</f>
        <v>NA</v>
      </c>
      <c r="L5761" t="str">
        <f t="shared" si="267"/>
        <v>NA1TE</v>
      </c>
      <c r="M5761">
        <f>COUNTIF(L$1:L5761,L5761)</f>
        <v>48</v>
      </c>
      <c r="N5761" t="str">
        <f t="shared" si="268"/>
        <v>NA1TE-48</v>
      </c>
      <c r="O5761">
        <f>COUNTIFS(F$1:F5761,F5761,A$1:A5761,A5761)</f>
        <v>61</v>
      </c>
      <c r="P5761" t="str">
        <f t="shared" si="269"/>
        <v>Jeremy Sprinkle1</v>
      </c>
    </row>
    <row r="5762" spans="1:16" x14ac:dyDescent="0.25">
      <c r="A5762">
        <v>15</v>
      </c>
      <c r="B5762" t="s">
        <v>4687</v>
      </c>
      <c r="C5762" t="s">
        <v>1588</v>
      </c>
      <c r="D5762">
        <v>0.61</v>
      </c>
      <c r="E5762" t="s">
        <v>56</v>
      </c>
      <c r="F5762" t="s">
        <v>47</v>
      </c>
      <c r="G5762">
        <v>1.19</v>
      </c>
      <c r="H5762">
        <v>0.03</v>
      </c>
      <c r="I5762">
        <v>0.57999999999999996</v>
      </c>
      <c r="J5762">
        <v>0.33639999999999998</v>
      </c>
      <c r="K5762" t="str">
        <f>IFERROR(INDEX(Rosters!$C$2:$C$155,MATCH($B5762,Rosters!$B$2:$B$155,0)),"NA")</f>
        <v>NA</v>
      </c>
      <c r="L5762" t="str">
        <f t="shared" si="267"/>
        <v>NA15RB</v>
      </c>
      <c r="M5762">
        <f>COUNTIF(L$1:L5762,L5762)</f>
        <v>56</v>
      </c>
      <c r="N5762" t="str">
        <f t="shared" si="268"/>
        <v>NA15RB-56</v>
      </c>
      <c r="O5762">
        <f>COUNTIFS(F$1:F5762,F5762,A$1:A5762,A5762)</f>
        <v>103</v>
      </c>
      <c r="P5762" t="str">
        <f t="shared" si="269"/>
        <v>Josh Adams15</v>
      </c>
    </row>
    <row r="5763" spans="1:16" x14ac:dyDescent="0.25">
      <c r="A5763">
        <v>12</v>
      </c>
      <c r="B5763" t="s">
        <v>1622</v>
      </c>
      <c r="C5763">
        <f>-0.1-1.32</f>
        <v>-1.4200000000000002</v>
      </c>
      <c r="D5763">
        <v>0.61</v>
      </c>
      <c r="E5763" t="s">
        <v>17</v>
      </c>
      <c r="F5763" t="s">
        <v>87</v>
      </c>
      <c r="G5763">
        <v>1.32</v>
      </c>
      <c r="H5763">
        <v>-0.1</v>
      </c>
      <c r="I5763">
        <v>0.71</v>
      </c>
      <c r="J5763">
        <v>0.50409999999999999</v>
      </c>
      <c r="K5763" t="str">
        <f>IFERROR(INDEX(Rosters!$C$2:$C$155,MATCH($B5763,Rosters!$B$2:$B$155,0)),"NA")</f>
        <v>NA</v>
      </c>
      <c r="L5763" t="str">
        <f t="shared" ref="L5763:L5826" si="270">K5763&amp;A5763&amp;F5763</f>
        <v>NA12WR</v>
      </c>
      <c r="M5763">
        <f>COUNTIF(L$1:L5763,L5763)</f>
        <v>88</v>
      </c>
      <c r="N5763" t="str">
        <f t="shared" ref="N5763:N5826" si="271">L5763&amp;"-"&amp;M5763</f>
        <v>NA12WR-88</v>
      </c>
      <c r="O5763">
        <f>COUNTIFS(F$1:F5763,F5763,A$1:A5763,A5763)</f>
        <v>137</v>
      </c>
      <c r="P5763" t="str">
        <f t="shared" ref="P5763:P5826" si="272">B5763&amp;A5763</f>
        <v>Kendrick Bourne12</v>
      </c>
    </row>
    <row r="5764" spans="1:16" x14ac:dyDescent="0.25">
      <c r="A5764">
        <v>13</v>
      </c>
      <c r="B5764" t="s">
        <v>198</v>
      </c>
      <c r="C5764">
        <f>-0.17-1.39</f>
        <v>-1.5599999999999998</v>
      </c>
      <c r="D5764">
        <v>0.61</v>
      </c>
      <c r="E5764" t="s">
        <v>54</v>
      </c>
      <c r="F5764" t="s">
        <v>87</v>
      </c>
      <c r="G5764">
        <v>1.39</v>
      </c>
      <c r="H5764">
        <v>-0.17</v>
      </c>
      <c r="I5764">
        <v>0.78</v>
      </c>
      <c r="J5764">
        <v>0.60840000000000005</v>
      </c>
      <c r="K5764" t="str">
        <f>IFERROR(INDEX(Rosters!$C$2:$C$155,MATCH($B5764,Rosters!$B$2:$B$155,0)),"NA")</f>
        <v>NA</v>
      </c>
      <c r="L5764" t="str">
        <f t="shared" si="270"/>
        <v>NA13WR</v>
      </c>
      <c r="M5764">
        <f>COUNTIF(L$1:L5764,L5764)</f>
        <v>92</v>
      </c>
      <c r="N5764" t="str">
        <f t="shared" si="271"/>
        <v>NA13WR-92</v>
      </c>
      <c r="O5764">
        <f>COUNTIFS(F$1:F5764,F5764,A$1:A5764,A5764)</f>
        <v>146</v>
      </c>
      <c r="P5764" t="str">
        <f t="shared" si="272"/>
        <v>Kevin White13</v>
      </c>
    </row>
    <row r="5765" spans="1:16" x14ac:dyDescent="0.25">
      <c r="A5765">
        <v>7</v>
      </c>
      <c r="B5765" t="s">
        <v>1125</v>
      </c>
      <c r="C5765" t="s">
        <v>1018</v>
      </c>
      <c r="D5765">
        <v>0.61</v>
      </c>
      <c r="E5765" t="s">
        <v>54</v>
      </c>
      <c r="F5765" t="s">
        <v>114</v>
      </c>
      <c r="G5765">
        <v>1.1499999999999999</v>
      </c>
      <c r="H5765">
        <v>7.0000000000000007E-2</v>
      </c>
      <c r="I5765">
        <v>0.54</v>
      </c>
      <c r="J5765">
        <v>0.29160000000000003</v>
      </c>
      <c r="K5765" t="str">
        <f>IFERROR(INDEX(Rosters!$C$2:$C$155,MATCH($B5765,Rosters!$B$2:$B$155,0)),"NA")</f>
        <v>NA</v>
      </c>
      <c r="L5765" t="str">
        <f t="shared" si="270"/>
        <v>NA7TE</v>
      </c>
      <c r="M5765">
        <f>COUNTIF(L$1:L5765,L5765)</f>
        <v>56</v>
      </c>
      <c r="N5765" t="str">
        <f t="shared" si="271"/>
        <v>NA7TE-56</v>
      </c>
      <c r="O5765">
        <f>COUNTIFS(F$1:F5765,F5765,A$1:A5765,A5765)</f>
        <v>66</v>
      </c>
      <c r="P5765" t="str">
        <f t="shared" si="272"/>
        <v>Logan Paulsen7</v>
      </c>
    </row>
    <row r="5766" spans="1:16" x14ac:dyDescent="0.25">
      <c r="A5766">
        <v>15</v>
      </c>
      <c r="B5766" t="s">
        <v>1125</v>
      </c>
      <c r="C5766" t="s">
        <v>1160</v>
      </c>
      <c r="D5766">
        <v>0.61</v>
      </c>
      <c r="E5766" t="s">
        <v>58</v>
      </c>
      <c r="F5766" t="s">
        <v>114</v>
      </c>
      <c r="G5766">
        <v>1.17</v>
      </c>
      <c r="H5766">
        <v>0.05</v>
      </c>
      <c r="I5766">
        <v>0.56000000000000005</v>
      </c>
      <c r="J5766">
        <v>0.31359999999999999</v>
      </c>
      <c r="K5766" t="str">
        <f>IFERROR(INDEX(Rosters!$C$2:$C$155,MATCH($B5766,Rosters!$B$2:$B$155,0)),"NA")</f>
        <v>NA</v>
      </c>
      <c r="L5766" t="str">
        <f t="shared" si="270"/>
        <v>NA15TE</v>
      </c>
      <c r="M5766">
        <f>COUNTIF(L$1:L5766,L5766)</f>
        <v>61</v>
      </c>
      <c r="N5766" t="str">
        <f t="shared" si="271"/>
        <v>NA15TE-61</v>
      </c>
      <c r="O5766">
        <f>COUNTIFS(F$1:F5766,F5766,A$1:A5766,A5766)</f>
        <v>75</v>
      </c>
      <c r="P5766" t="str">
        <f t="shared" si="272"/>
        <v>Logan Paulsen15</v>
      </c>
    </row>
    <row r="5767" spans="1:16" x14ac:dyDescent="0.25">
      <c r="A5767">
        <v>6</v>
      </c>
      <c r="B5767" t="s">
        <v>1583</v>
      </c>
      <c r="C5767">
        <f>-0.09-1.31</f>
        <v>-1.4000000000000001</v>
      </c>
      <c r="D5767">
        <v>0.61</v>
      </c>
      <c r="E5767" t="s">
        <v>36</v>
      </c>
      <c r="F5767" t="s">
        <v>114</v>
      </c>
      <c r="G5767">
        <v>1.31</v>
      </c>
      <c r="H5767">
        <v>-0.09</v>
      </c>
      <c r="I5767">
        <v>0.7</v>
      </c>
      <c r="J5767">
        <v>0.49</v>
      </c>
      <c r="K5767" t="str">
        <f>IFERROR(INDEX(Rosters!$C$2:$C$155,MATCH($B5767,Rosters!$B$2:$B$155,0)),"NA")</f>
        <v>NA</v>
      </c>
      <c r="L5767" t="str">
        <f t="shared" si="270"/>
        <v>NA6TE</v>
      </c>
      <c r="M5767">
        <f>COUNTIF(L$1:L5767,L5767)</f>
        <v>52</v>
      </c>
      <c r="N5767" t="str">
        <f t="shared" si="271"/>
        <v>NA6TE-52</v>
      </c>
      <c r="O5767">
        <f>COUNTIFS(F$1:F5767,F5767,A$1:A5767,A5767)</f>
        <v>64</v>
      </c>
      <c r="P5767" t="str">
        <f t="shared" si="272"/>
        <v>Logan Thomas6</v>
      </c>
    </row>
    <row r="5768" spans="1:16" x14ac:dyDescent="0.25">
      <c r="A5768">
        <v>1</v>
      </c>
      <c r="B5768" t="s">
        <v>1556</v>
      </c>
      <c r="C5768" t="s">
        <v>1588</v>
      </c>
      <c r="D5768">
        <v>0.61</v>
      </c>
      <c r="E5768" t="s">
        <v>77</v>
      </c>
      <c r="F5768" t="s">
        <v>47</v>
      </c>
      <c r="G5768">
        <v>1.19</v>
      </c>
      <c r="H5768">
        <v>0.03</v>
      </c>
      <c r="I5768">
        <v>0.57999999999999996</v>
      </c>
      <c r="J5768">
        <v>0.33639999999999998</v>
      </c>
      <c r="K5768" t="str">
        <f>IFERROR(INDEX(Rosters!$C$2:$C$155,MATCH($B5768,Rosters!$B$2:$B$155,0)),"NA")</f>
        <v>NA</v>
      </c>
      <c r="L5768" t="str">
        <f t="shared" si="270"/>
        <v>NA1RB</v>
      </c>
      <c r="M5768">
        <f>COUNTIF(L$1:L5768,L5768)</f>
        <v>38</v>
      </c>
      <c r="N5768" t="str">
        <f t="shared" si="271"/>
        <v>NA1RB-38</v>
      </c>
      <c r="O5768">
        <f>COUNTIFS(F$1:F5768,F5768,A$1:A5768,A5768)</f>
        <v>81</v>
      </c>
      <c r="P5768" t="str">
        <f t="shared" si="272"/>
        <v>Marcus Murphy1</v>
      </c>
    </row>
    <row r="5769" spans="1:16" x14ac:dyDescent="0.25">
      <c r="A5769">
        <v>12</v>
      </c>
      <c r="B5769" t="s">
        <v>4215</v>
      </c>
      <c r="C5769" t="s">
        <v>1160</v>
      </c>
      <c r="D5769">
        <v>0.61</v>
      </c>
      <c r="E5769" t="s">
        <v>52</v>
      </c>
      <c r="F5769" t="s">
        <v>47</v>
      </c>
      <c r="G5769">
        <v>1.17</v>
      </c>
      <c r="H5769">
        <v>0.05</v>
      </c>
      <c r="I5769">
        <v>0.56000000000000005</v>
      </c>
      <c r="J5769">
        <v>0.31359999999999999</v>
      </c>
      <c r="K5769" t="str">
        <f>IFERROR(INDEX(Rosters!$C$2:$C$155,MATCH($B5769,Rosters!$B$2:$B$155,0)),"NA")</f>
        <v>NA</v>
      </c>
      <c r="L5769" t="str">
        <f t="shared" si="270"/>
        <v>NA12RB</v>
      </c>
      <c r="M5769">
        <f>COUNTIF(L$1:L5769,L5769)</f>
        <v>48</v>
      </c>
      <c r="N5769" t="str">
        <f t="shared" si="271"/>
        <v>NA12RB-48</v>
      </c>
      <c r="O5769">
        <f>COUNTIFS(F$1:F5769,F5769,A$1:A5769,A5769)</f>
        <v>93</v>
      </c>
      <c r="P5769" t="str">
        <f t="shared" si="272"/>
        <v>Mark Walton12</v>
      </c>
    </row>
    <row r="5770" spans="1:16" x14ac:dyDescent="0.25">
      <c r="A5770">
        <v>9</v>
      </c>
      <c r="B5770" t="s">
        <v>1594</v>
      </c>
      <c r="C5770" t="s">
        <v>1587</v>
      </c>
      <c r="D5770">
        <v>0.61</v>
      </c>
      <c r="E5770" t="s">
        <v>60</v>
      </c>
      <c r="F5770" t="s">
        <v>87</v>
      </c>
      <c r="G5770">
        <v>1.22</v>
      </c>
      <c r="H5770">
        <v>0</v>
      </c>
      <c r="I5770">
        <v>0.61</v>
      </c>
      <c r="J5770">
        <v>0.37209999999999999</v>
      </c>
      <c r="K5770" t="str">
        <f>IFERROR(INDEX(Rosters!$C$2:$C$155,MATCH($B5770,Rosters!$B$2:$B$155,0)),"NA")</f>
        <v>NA</v>
      </c>
      <c r="L5770" t="str">
        <f t="shared" si="270"/>
        <v>NA9WR</v>
      </c>
      <c r="M5770">
        <f>COUNTIF(L$1:L5770,L5770)</f>
        <v>80</v>
      </c>
      <c r="N5770" t="str">
        <f t="shared" si="271"/>
        <v>NA9WR-80</v>
      </c>
      <c r="O5770">
        <f>COUNTIFS(F$1:F5770,F5770,A$1:A5770,A5770)</f>
        <v>124</v>
      </c>
      <c r="P5770" t="str">
        <f t="shared" si="272"/>
        <v>Marvin Hall9</v>
      </c>
    </row>
    <row r="5771" spans="1:16" x14ac:dyDescent="0.25">
      <c r="A5771">
        <v>12</v>
      </c>
      <c r="B5771" t="s">
        <v>1594</v>
      </c>
      <c r="C5771">
        <f>-0.07-1.29</f>
        <v>-1.36</v>
      </c>
      <c r="D5771">
        <v>0.61</v>
      </c>
      <c r="E5771" t="s">
        <v>14</v>
      </c>
      <c r="F5771" t="s">
        <v>87</v>
      </c>
      <c r="G5771">
        <v>1.29</v>
      </c>
      <c r="H5771">
        <v>-7.0000000000000007E-2</v>
      </c>
      <c r="I5771">
        <v>0.68</v>
      </c>
      <c r="J5771">
        <v>0.46239999999999998</v>
      </c>
      <c r="K5771" t="str">
        <f>IFERROR(INDEX(Rosters!$C$2:$C$155,MATCH($B5771,Rosters!$B$2:$B$155,0)),"NA")</f>
        <v>NA</v>
      </c>
      <c r="L5771" t="str">
        <f t="shared" si="270"/>
        <v>NA12WR</v>
      </c>
      <c r="M5771">
        <f>COUNTIF(L$1:L5771,L5771)</f>
        <v>89</v>
      </c>
      <c r="N5771" t="str">
        <f t="shared" si="271"/>
        <v>NA12WR-89</v>
      </c>
      <c r="O5771">
        <f>COUNTIFS(F$1:F5771,F5771,A$1:A5771,A5771)</f>
        <v>138</v>
      </c>
      <c r="P5771" t="str">
        <f t="shared" si="272"/>
        <v>Marvin Hall12</v>
      </c>
    </row>
    <row r="5772" spans="1:16" x14ac:dyDescent="0.25">
      <c r="A5772">
        <v>12</v>
      </c>
      <c r="B5772" t="s">
        <v>3126</v>
      </c>
      <c r="C5772" t="s">
        <v>1587</v>
      </c>
      <c r="D5772">
        <v>0.61</v>
      </c>
      <c r="E5772" t="s">
        <v>51</v>
      </c>
      <c r="F5772" t="s">
        <v>114</v>
      </c>
      <c r="G5772">
        <v>1.22</v>
      </c>
      <c r="H5772">
        <v>0</v>
      </c>
      <c r="I5772">
        <v>0.61</v>
      </c>
      <c r="J5772">
        <v>0.37209999999999999</v>
      </c>
      <c r="K5772" t="str">
        <f>IFERROR(INDEX(Rosters!$C$2:$C$155,MATCH($B5772,Rosters!$B$2:$B$155,0)),"NA")</f>
        <v>NA</v>
      </c>
      <c r="L5772" t="str">
        <f t="shared" si="270"/>
        <v>NA12TE</v>
      </c>
      <c r="M5772">
        <f>COUNTIF(L$1:L5772,L5772)</f>
        <v>54</v>
      </c>
      <c r="N5772" t="str">
        <f t="shared" si="271"/>
        <v>NA12TE-54</v>
      </c>
      <c r="O5772">
        <f>COUNTIFS(F$1:F5772,F5772,A$1:A5772,A5772)</f>
        <v>67</v>
      </c>
      <c r="P5772" t="str">
        <f t="shared" si="272"/>
        <v>Matt LaCosse12</v>
      </c>
    </row>
    <row r="5773" spans="1:16" x14ac:dyDescent="0.25">
      <c r="A5773">
        <v>17</v>
      </c>
      <c r="B5773" t="s">
        <v>3126</v>
      </c>
      <c r="C5773">
        <f>-0.01-1.23</f>
        <v>-1.24</v>
      </c>
      <c r="D5773">
        <v>0.61</v>
      </c>
      <c r="E5773" t="s">
        <v>37</v>
      </c>
      <c r="F5773" t="s">
        <v>114</v>
      </c>
      <c r="G5773">
        <v>1.23</v>
      </c>
      <c r="H5773">
        <v>-0.01</v>
      </c>
      <c r="I5773">
        <v>0.62</v>
      </c>
      <c r="J5773">
        <v>0.38440000000000002</v>
      </c>
      <c r="K5773" t="str">
        <f>IFERROR(INDEX(Rosters!$C$2:$C$155,MATCH($B5773,Rosters!$B$2:$B$155,0)),"NA")</f>
        <v>NA</v>
      </c>
      <c r="L5773" t="str">
        <f t="shared" si="270"/>
        <v>NA17TE</v>
      </c>
      <c r="M5773">
        <f>COUNTIF(L$1:L5773,L5773)</f>
        <v>61</v>
      </c>
      <c r="N5773" t="str">
        <f t="shared" si="271"/>
        <v>NA17TE-61</v>
      </c>
      <c r="O5773">
        <f>COUNTIFS(F$1:F5773,F5773,A$1:A5773,A5773)</f>
        <v>75</v>
      </c>
      <c r="P5773" t="str">
        <f t="shared" si="272"/>
        <v>Matt LaCosse17</v>
      </c>
    </row>
    <row r="5774" spans="1:16" x14ac:dyDescent="0.25">
      <c r="A5774">
        <v>6</v>
      </c>
      <c r="B5774" t="s">
        <v>1636</v>
      </c>
      <c r="C5774" t="s">
        <v>1589</v>
      </c>
      <c r="D5774">
        <v>0.61</v>
      </c>
      <c r="E5774" t="s">
        <v>19</v>
      </c>
      <c r="F5774" t="s">
        <v>47</v>
      </c>
      <c r="G5774">
        <v>1.1299999999999999</v>
      </c>
      <c r="H5774">
        <v>0.09</v>
      </c>
      <c r="I5774">
        <v>0.52</v>
      </c>
      <c r="J5774">
        <v>0.27039999999999997</v>
      </c>
      <c r="K5774" t="str">
        <f>IFERROR(INDEX(Rosters!$C$2:$C$155,MATCH($B5774,Rosters!$B$2:$B$155,0)),"NA")</f>
        <v>NA</v>
      </c>
      <c r="L5774" t="str">
        <f t="shared" si="270"/>
        <v>NA6RB</v>
      </c>
      <c r="M5774">
        <f>COUNTIF(L$1:L5774,L5774)</f>
        <v>48</v>
      </c>
      <c r="N5774" t="str">
        <f t="shared" si="271"/>
        <v>NA6RB-48</v>
      </c>
      <c r="O5774">
        <f>COUNTIFS(F$1:F5774,F5774,A$1:A5774,A5774)</f>
        <v>90</v>
      </c>
      <c r="P5774" t="str">
        <f t="shared" si="272"/>
        <v>Michael Burton6</v>
      </c>
    </row>
    <row r="5775" spans="1:16" x14ac:dyDescent="0.25">
      <c r="A5775">
        <v>3</v>
      </c>
      <c r="B5775" t="s">
        <v>4248</v>
      </c>
      <c r="C5775">
        <f>-0.03-1.25</f>
        <v>-1.28</v>
      </c>
      <c r="D5775">
        <v>0.61</v>
      </c>
      <c r="E5775" t="s">
        <v>423</v>
      </c>
      <c r="F5775" t="s">
        <v>47</v>
      </c>
      <c r="G5775">
        <v>1.25</v>
      </c>
      <c r="H5775">
        <v>-0.03</v>
      </c>
      <c r="I5775">
        <v>0.64</v>
      </c>
      <c r="J5775">
        <v>0.40960000000000002</v>
      </c>
      <c r="K5775" t="str">
        <f>IFERROR(INDEX(Rosters!$C$2:$C$155,MATCH($B5775,Rosters!$B$2:$B$155,0)),"NA")</f>
        <v>NA</v>
      </c>
      <c r="L5775" t="str">
        <f t="shared" si="270"/>
        <v>NA3RB</v>
      </c>
      <c r="M5775">
        <f>COUNTIF(L$1:L5775,L5775)</f>
        <v>48</v>
      </c>
      <c r="N5775" t="str">
        <f t="shared" si="271"/>
        <v>NA3RB-48</v>
      </c>
      <c r="O5775">
        <f>COUNTIFS(F$1:F5775,F5775,A$1:A5775,A5775)</f>
        <v>87</v>
      </c>
      <c r="P5775" t="str">
        <f t="shared" si="272"/>
        <v>Nick Bellore3</v>
      </c>
    </row>
    <row r="5776" spans="1:16" x14ac:dyDescent="0.25">
      <c r="A5776">
        <v>6</v>
      </c>
      <c r="B5776" t="s">
        <v>3036</v>
      </c>
      <c r="C5776">
        <f>-0.11-1.33</f>
        <v>-1.4400000000000002</v>
      </c>
      <c r="D5776">
        <v>0.61</v>
      </c>
      <c r="E5776" t="s">
        <v>77</v>
      </c>
      <c r="F5776" t="s">
        <v>87</v>
      </c>
      <c r="G5776">
        <v>1.33</v>
      </c>
      <c r="H5776">
        <v>-0.11</v>
      </c>
      <c r="I5776">
        <v>0.72</v>
      </c>
      <c r="J5776">
        <v>0.51839999999999997</v>
      </c>
      <c r="K5776" t="str">
        <f>IFERROR(INDEX(Rosters!$C$2:$C$155,MATCH($B5776,Rosters!$B$2:$B$155,0)),"NA")</f>
        <v>NA</v>
      </c>
      <c r="L5776" t="str">
        <f t="shared" si="270"/>
        <v>NA6WR</v>
      </c>
      <c r="M5776">
        <f>COUNTIF(L$1:L5776,L5776)</f>
        <v>89</v>
      </c>
      <c r="N5776" t="str">
        <f t="shared" si="271"/>
        <v>NA6WR-89</v>
      </c>
      <c r="O5776">
        <f>COUNTIFS(F$1:F5776,F5776,A$1:A5776,A5776)</f>
        <v>139</v>
      </c>
      <c r="P5776" t="str">
        <f t="shared" si="272"/>
        <v>Nick Williams6</v>
      </c>
    </row>
    <row r="5777" spans="1:16" x14ac:dyDescent="0.25">
      <c r="A5777">
        <v>10</v>
      </c>
      <c r="B5777" t="s">
        <v>2968</v>
      </c>
      <c r="C5777" t="s">
        <v>1587</v>
      </c>
      <c r="D5777">
        <v>0.61</v>
      </c>
      <c r="E5777" t="s">
        <v>46</v>
      </c>
      <c r="F5777" t="s">
        <v>114</v>
      </c>
      <c r="G5777">
        <v>1.22</v>
      </c>
      <c r="H5777">
        <v>0</v>
      </c>
      <c r="I5777">
        <v>0.61</v>
      </c>
      <c r="J5777">
        <v>0.37209999999999999</v>
      </c>
      <c r="K5777" t="str">
        <f>IFERROR(INDEX(Rosters!$C$2:$C$155,MATCH($B5777,Rosters!$B$2:$B$155,0)),"NA")</f>
        <v>NA</v>
      </c>
      <c r="L5777" t="str">
        <f t="shared" si="270"/>
        <v>NA10TE</v>
      </c>
      <c r="M5777">
        <f>COUNTIF(L$1:L5777,L5777)</f>
        <v>53</v>
      </c>
      <c r="N5777" t="str">
        <f t="shared" si="271"/>
        <v>NA10TE-53</v>
      </c>
      <c r="O5777">
        <f>COUNTIFS(F$1:F5777,F5777,A$1:A5777,A5777)</f>
        <v>66</v>
      </c>
      <c r="P5777" t="str">
        <f t="shared" si="272"/>
        <v>Orson Charles10</v>
      </c>
    </row>
    <row r="5778" spans="1:16" x14ac:dyDescent="0.25">
      <c r="A5778">
        <v>15</v>
      </c>
      <c r="B5778" t="s">
        <v>328</v>
      </c>
      <c r="C5778">
        <f>-0.28-1.5</f>
        <v>-1.78</v>
      </c>
      <c r="D5778">
        <v>0.61</v>
      </c>
      <c r="E5778" t="s">
        <v>34</v>
      </c>
      <c r="F5778" t="s">
        <v>47</v>
      </c>
      <c r="G5778">
        <v>1.5</v>
      </c>
      <c r="H5778">
        <v>-0.28000000000000003</v>
      </c>
      <c r="I5778">
        <v>0.89</v>
      </c>
      <c r="J5778">
        <v>0.79210000000000003</v>
      </c>
      <c r="K5778" t="str">
        <f>IFERROR(INDEX(Rosters!$C$2:$C$155,MATCH($B5778,Rosters!$B$2:$B$155,0)),"NA")</f>
        <v>NA</v>
      </c>
      <c r="L5778" t="str">
        <f t="shared" si="270"/>
        <v>NA15RB</v>
      </c>
      <c r="M5778">
        <f>COUNTIF(L$1:L5778,L5778)</f>
        <v>57</v>
      </c>
      <c r="N5778" t="str">
        <f t="shared" si="271"/>
        <v>NA15RB-57</v>
      </c>
      <c r="O5778">
        <f>COUNTIFS(F$1:F5778,F5778,A$1:A5778,A5778)</f>
        <v>104</v>
      </c>
      <c r="P5778" t="str">
        <f t="shared" si="272"/>
        <v>Patrick DiMarco15</v>
      </c>
    </row>
    <row r="5779" spans="1:16" x14ac:dyDescent="0.25">
      <c r="A5779">
        <v>2</v>
      </c>
      <c r="B5779" t="s">
        <v>3374</v>
      </c>
      <c r="C5779" t="s">
        <v>1160</v>
      </c>
      <c r="D5779">
        <v>0.61</v>
      </c>
      <c r="E5779" t="s">
        <v>31</v>
      </c>
      <c r="F5779" t="s">
        <v>47</v>
      </c>
      <c r="G5779">
        <v>1.17</v>
      </c>
      <c r="H5779">
        <v>0.05</v>
      </c>
      <c r="I5779">
        <v>0.56000000000000005</v>
      </c>
      <c r="J5779">
        <v>0.31359999999999999</v>
      </c>
      <c r="K5779" t="str">
        <f>IFERROR(INDEX(Rosters!$C$2:$C$155,MATCH($B5779,Rosters!$B$2:$B$155,0)),"NA")</f>
        <v>NA</v>
      </c>
      <c r="L5779" t="str">
        <f t="shared" si="270"/>
        <v>NA2RB</v>
      </c>
      <c r="M5779">
        <f>COUNTIF(L$1:L5779,L5779)</f>
        <v>43</v>
      </c>
      <c r="N5779" t="str">
        <f t="shared" si="271"/>
        <v>NA2RB-43</v>
      </c>
      <c r="O5779">
        <f>COUNTIFS(F$1:F5779,F5779,A$1:A5779,A5779)</f>
        <v>85</v>
      </c>
      <c r="P5779" t="str">
        <f t="shared" si="272"/>
        <v>Patrick Ricard2</v>
      </c>
    </row>
    <row r="5780" spans="1:16" x14ac:dyDescent="0.25">
      <c r="A5780">
        <v>10</v>
      </c>
      <c r="B5780" t="s">
        <v>295</v>
      </c>
      <c r="C5780" t="s">
        <v>3851</v>
      </c>
      <c r="D5780">
        <v>0.61</v>
      </c>
      <c r="E5780" t="s">
        <v>22</v>
      </c>
      <c r="F5780" t="s">
        <v>114</v>
      </c>
      <c r="G5780">
        <v>1.21</v>
      </c>
      <c r="H5780">
        <v>0.01</v>
      </c>
      <c r="I5780">
        <v>0.6</v>
      </c>
      <c r="J5780">
        <v>0.36</v>
      </c>
      <c r="K5780" t="str">
        <f>IFERROR(INDEX(Rosters!$C$2:$C$155,MATCH($B5780,Rosters!$B$2:$B$155,0)),"NA")</f>
        <v>NA</v>
      </c>
      <c r="L5780" t="str">
        <f t="shared" si="270"/>
        <v>NA10TE</v>
      </c>
      <c r="M5780">
        <f>COUNTIF(L$1:L5780,L5780)</f>
        <v>54</v>
      </c>
      <c r="N5780" t="str">
        <f t="shared" si="271"/>
        <v>NA10TE-54</v>
      </c>
      <c r="O5780">
        <f>COUNTIFS(F$1:F5780,F5780,A$1:A5780,A5780)</f>
        <v>67</v>
      </c>
      <c r="P5780" t="str">
        <f t="shared" si="272"/>
        <v>Richard Rodgers10</v>
      </c>
    </row>
    <row r="5781" spans="1:16" x14ac:dyDescent="0.25">
      <c r="A5781">
        <v>4</v>
      </c>
      <c r="B5781" t="s">
        <v>3845</v>
      </c>
      <c r="C5781">
        <f>-0.04-1.26</f>
        <v>-1.3</v>
      </c>
      <c r="D5781">
        <v>0.61</v>
      </c>
      <c r="E5781" t="s">
        <v>32</v>
      </c>
      <c r="F5781" t="s">
        <v>87</v>
      </c>
      <c r="G5781">
        <v>1.26</v>
      </c>
      <c r="H5781">
        <v>-0.04</v>
      </c>
      <c r="I5781">
        <v>0.65</v>
      </c>
      <c r="J5781">
        <v>0.42249999999999999</v>
      </c>
      <c r="K5781" t="str">
        <f>IFERROR(INDEX(Rosters!$C$2:$C$155,MATCH($B5781,Rosters!$B$2:$B$155,0)),"NA")</f>
        <v>NA</v>
      </c>
      <c r="L5781" t="str">
        <f t="shared" si="270"/>
        <v>NA4WR</v>
      </c>
      <c r="M5781">
        <f>COUNTIF(L$1:L5781,L5781)</f>
        <v>69</v>
      </c>
      <c r="N5781" t="str">
        <f t="shared" si="271"/>
        <v>NA4WR-69</v>
      </c>
      <c r="O5781">
        <f>COUNTIFS(F$1:F5781,F5781,A$1:A5781,A5781)</f>
        <v>119</v>
      </c>
      <c r="P5781" t="str">
        <f t="shared" si="272"/>
        <v>Rod Streater4</v>
      </c>
    </row>
    <row r="5782" spans="1:16" x14ac:dyDescent="0.25">
      <c r="A5782">
        <v>10</v>
      </c>
      <c r="B5782" t="s">
        <v>3845</v>
      </c>
      <c r="C5782">
        <f>-0.1-1.32</f>
        <v>-1.4200000000000002</v>
      </c>
      <c r="D5782">
        <v>0.61</v>
      </c>
      <c r="E5782" t="s">
        <v>46</v>
      </c>
      <c r="F5782" t="s">
        <v>87</v>
      </c>
      <c r="G5782">
        <v>1.32</v>
      </c>
      <c r="H5782">
        <v>-0.1</v>
      </c>
      <c r="I5782">
        <v>0.71</v>
      </c>
      <c r="J5782">
        <v>0.50409999999999999</v>
      </c>
      <c r="K5782" t="str">
        <f>IFERROR(INDEX(Rosters!$C$2:$C$155,MATCH($B5782,Rosters!$B$2:$B$155,0)),"NA")</f>
        <v>NA</v>
      </c>
      <c r="L5782" t="str">
        <f t="shared" si="270"/>
        <v>NA10WR</v>
      </c>
      <c r="M5782">
        <f>COUNTIF(L$1:L5782,L5782)</f>
        <v>84</v>
      </c>
      <c r="N5782" t="str">
        <f t="shared" si="271"/>
        <v>NA10WR-84</v>
      </c>
      <c r="O5782">
        <f>COUNTIFS(F$1:F5782,F5782,A$1:A5782,A5782)</f>
        <v>129</v>
      </c>
      <c r="P5782" t="str">
        <f t="shared" si="272"/>
        <v>Rod Streater10</v>
      </c>
    </row>
    <row r="5783" spans="1:16" x14ac:dyDescent="0.25">
      <c r="A5783">
        <v>5</v>
      </c>
      <c r="B5783" t="s">
        <v>745</v>
      </c>
      <c r="C5783">
        <f>-0.03-1.25</f>
        <v>-1.28</v>
      </c>
      <c r="D5783">
        <v>0.61</v>
      </c>
      <c r="E5783" t="s">
        <v>60</v>
      </c>
      <c r="F5783" t="s">
        <v>15</v>
      </c>
      <c r="G5783">
        <v>1.25</v>
      </c>
      <c r="H5783">
        <v>-0.03</v>
      </c>
      <c r="I5783">
        <v>0.64</v>
      </c>
      <c r="J5783">
        <v>0.40960000000000002</v>
      </c>
      <c r="K5783" t="str">
        <f>IFERROR(INDEX(Rosters!$C$2:$C$155,MATCH($B5783,Rosters!$B$2:$B$155,0)),"NA")</f>
        <v>NA</v>
      </c>
      <c r="L5783" t="str">
        <f t="shared" si="270"/>
        <v>NA5QB</v>
      </c>
      <c r="M5783">
        <f>COUNTIF(L$1:L5783,L5783)</f>
        <v>32</v>
      </c>
      <c r="N5783" t="str">
        <f t="shared" si="271"/>
        <v>NA5QB-32</v>
      </c>
      <c r="O5783">
        <f>COUNTIFS(F$1:F5783,F5783,A$1:A5783,A5783)</f>
        <v>49</v>
      </c>
      <c r="P5783" t="str">
        <f t="shared" si="272"/>
        <v>Teddy Bridgewater5</v>
      </c>
    </row>
    <row r="5784" spans="1:16" x14ac:dyDescent="0.25">
      <c r="A5784">
        <v>6</v>
      </c>
      <c r="B5784" t="s">
        <v>1566</v>
      </c>
      <c r="C5784">
        <f>-0.1-1.32</f>
        <v>-1.4200000000000002</v>
      </c>
      <c r="D5784">
        <v>0.61</v>
      </c>
      <c r="E5784" t="s">
        <v>41</v>
      </c>
      <c r="F5784" t="s">
        <v>87</v>
      </c>
      <c r="G5784">
        <v>1.32</v>
      </c>
      <c r="H5784">
        <v>-0.1</v>
      </c>
      <c r="I5784">
        <v>0.71</v>
      </c>
      <c r="J5784">
        <v>0.50409999999999999</v>
      </c>
      <c r="K5784" t="str">
        <f>IFERROR(INDEX(Rosters!$C$2:$C$155,MATCH($B5784,Rosters!$B$2:$B$155,0)),"NA")</f>
        <v>NA</v>
      </c>
      <c r="L5784" t="str">
        <f t="shared" si="270"/>
        <v>NA6WR</v>
      </c>
      <c r="M5784">
        <f>COUNTIF(L$1:L5784,L5784)</f>
        <v>90</v>
      </c>
      <c r="N5784" t="str">
        <f t="shared" si="271"/>
        <v>NA6WR-90</v>
      </c>
      <c r="O5784">
        <f>COUNTIFS(F$1:F5784,F5784,A$1:A5784,A5784)</f>
        <v>140</v>
      </c>
      <c r="P5784" t="str">
        <f t="shared" si="272"/>
        <v>Victor Bolden Jr.6</v>
      </c>
    </row>
    <row r="5785" spans="1:16" x14ac:dyDescent="0.25">
      <c r="A5785">
        <v>12</v>
      </c>
      <c r="B5785" t="s">
        <v>1566</v>
      </c>
      <c r="C5785">
        <f>-0.14-1.36</f>
        <v>-1.5</v>
      </c>
      <c r="D5785">
        <v>0.61</v>
      </c>
      <c r="E5785" t="s">
        <v>17</v>
      </c>
      <c r="F5785" t="s">
        <v>87</v>
      </c>
      <c r="G5785">
        <v>1.36</v>
      </c>
      <c r="H5785">
        <v>-0.14000000000000001</v>
      </c>
      <c r="I5785">
        <v>0.75</v>
      </c>
      <c r="J5785">
        <v>0.5625</v>
      </c>
      <c r="K5785" t="str">
        <f>IFERROR(INDEX(Rosters!$C$2:$C$155,MATCH($B5785,Rosters!$B$2:$B$155,0)),"NA")</f>
        <v>NA</v>
      </c>
      <c r="L5785" t="str">
        <f t="shared" si="270"/>
        <v>NA12WR</v>
      </c>
      <c r="M5785">
        <f>COUNTIF(L$1:L5785,L5785)</f>
        <v>90</v>
      </c>
      <c r="N5785" t="str">
        <f t="shared" si="271"/>
        <v>NA12WR-90</v>
      </c>
      <c r="O5785">
        <f>COUNTIFS(F$1:F5785,F5785,A$1:A5785,A5785)</f>
        <v>139</v>
      </c>
      <c r="P5785" t="str">
        <f t="shared" si="272"/>
        <v>Victor Bolden Jr.12</v>
      </c>
    </row>
    <row r="5786" spans="1:16" x14ac:dyDescent="0.25">
      <c r="A5786">
        <v>10</v>
      </c>
      <c r="B5786" t="s">
        <v>2889</v>
      </c>
      <c r="C5786">
        <f>-0.06-1.28</f>
        <v>-1.34</v>
      </c>
      <c r="D5786">
        <v>0.61</v>
      </c>
      <c r="E5786" t="s">
        <v>31</v>
      </c>
      <c r="F5786" t="s">
        <v>47</v>
      </c>
      <c r="G5786">
        <v>1.28</v>
      </c>
      <c r="H5786">
        <v>-0.06</v>
      </c>
      <c r="I5786">
        <v>0.67</v>
      </c>
      <c r="J5786">
        <v>0.44890000000000002</v>
      </c>
      <c r="K5786" t="str">
        <f>IFERROR(INDEX(Rosters!$C$2:$C$155,MATCH($B5786,Rosters!$B$2:$B$155,0)),"NA")</f>
        <v>NA</v>
      </c>
      <c r="L5786" t="str">
        <f t="shared" si="270"/>
        <v>NA10RB</v>
      </c>
      <c r="M5786">
        <f>COUNTIF(L$1:L5786,L5786)</f>
        <v>51</v>
      </c>
      <c r="N5786" t="str">
        <f t="shared" si="271"/>
        <v>NA10RB-51</v>
      </c>
      <c r="O5786">
        <f>COUNTIFS(F$1:F5786,F5786,A$1:A5786,A5786)</f>
        <v>90</v>
      </c>
      <c r="P5786" t="str">
        <f t="shared" si="272"/>
        <v>Zach Line10</v>
      </c>
    </row>
    <row r="5787" spans="1:16" x14ac:dyDescent="0.25">
      <c r="A5787">
        <v>12</v>
      </c>
      <c r="B5787" t="s">
        <v>4240</v>
      </c>
      <c r="C5787">
        <f>-0.13-1.35</f>
        <v>-1.48</v>
      </c>
      <c r="D5787">
        <v>0.61</v>
      </c>
      <c r="E5787" t="s">
        <v>19</v>
      </c>
      <c r="F5787" t="s">
        <v>87</v>
      </c>
      <c r="G5787">
        <v>1.35</v>
      </c>
      <c r="H5787">
        <v>-0.13</v>
      </c>
      <c r="I5787">
        <v>0.74</v>
      </c>
      <c r="J5787">
        <v>0.54759999999999998</v>
      </c>
      <c r="K5787" t="str">
        <f>IFERROR(INDEX(Rosters!$C$2:$C$155,MATCH($B5787,Rosters!$B$2:$B$155,0)),"NA")</f>
        <v>NA</v>
      </c>
      <c r="L5787" t="str">
        <f t="shared" si="270"/>
        <v>NA12WR</v>
      </c>
      <c r="M5787">
        <f>COUNTIF(L$1:L5787,L5787)</f>
        <v>91</v>
      </c>
      <c r="N5787" t="str">
        <f t="shared" si="271"/>
        <v>NA12WR-91</v>
      </c>
      <c r="O5787">
        <f>COUNTIFS(F$1:F5787,F5787,A$1:A5787,A5787)</f>
        <v>140</v>
      </c>
      <c r="P5787" t="str">
        <f t="shared" si="272"/>
        <v>Zach Pascal12</v>
      </c>
    </row>
    <row r="5788" spans="1:16" x14ac:dyDescent="0.25">
      <c r="A5788">
        <v>6</v>
      </c>
      <c r="B5788" t="s">
        <v>1614</v>
      </c>
      <c r="C5788" t="s">
        <v>8899</v>
      </c>
      <c r="D5788">
        <v>0.6</v>
      </c>
      <c r="E5788" t="s">
        <v>423</v>
      </c>
      <c r="F5788" t="s">
        <v>114</v>
      </c>
      <c r="G5788">
        <v>1.1399999999999999</v>
      </c>
      <c r="H5788">
        <v>0.06</v>
      </c>
      <c r="I5788">
        <v>0.54</v>
      </c>
      <c r="J5788">
        <v>0.29160000000000003</v>
      </c>
      <c r="K5788" t="str">
        <f>IFERROR(INDEX(Rosters!$C$2:$C$155,MATCH($B5788,Rosters!$B$2:$B$155,0)),"NA")</f>
        <v>NA</v>
      </c>
      <c r="L5788" t="str">
        <f t="shared" si="270"/>
        <v>NA6TE</v>
      </c>
      <c r="M5788">
        <f>COUNTIF(L$1:L5788,L5788)</f>
        <v>53</v>
      </c>
      <c r="N5788" t="str">
        <f t="shared" si="271"/>
        <v>NA6TE-53</v>
      </c>
      <c r="O5788">
        <f>COUNTIFS(F$1:F5788,F5788,A$1:A5788,A5788)</f>
        <v>65</v>
      </c>
      <c r="P5788" t="str">
        <f t="shared" si="272"/>
        <v>Alex Ellis6</v>
      </c>
    </row>
    <row r="5789" spans="1:16" x14ac:dyDescent="0.25">
      <c r="A5789">
        <v>5</v>
      </c>
      <c r="B5789" t="s">
        <v>1572</v>
      </c>
      <c r="C5789" t="s">
        <v>1591</v>
      </c>
      <c r="D5789">
        <v>0.6</v>
      </c>
      <c r="E5789" t="s">
        <v>41</v>
      </c>
      <c r="F5789" t="s">
        <v>87</v>
      </c>
      <c r="G5789">
        <v>1.2</v>
      </c>
      <c r="H5789">
        <v>0</v>
      </c>
      <c r="I5789">
        <v>0.6</v>
      </c>
      <c r="J5789">
        <v>0.36</v>
      </c>
      <c r="K5789" t="str">
        <f>IFERROR(INDEX(Rosters!$C$2:$C$155,MATCH($B5789,Rosters!$B$2:$B$155,0)),"NA")</f>
        <v>NA</v>
      </c>
      <c r="L5789" t="str">
        <f t="shared" si="270"/>
        <v>NA5WR</v>
      </c>
      <c r="M5789">
        <f>COUNTIF(L$1:L5789,L5789)</f>
        <v>93</v>
      </c>
      <c r="N5789" t="str">
        <f t="shared" si="271"/>
        <v>NA5WR-93</v>
      </c>
      <c r="O5789">
        <f>COUNTIFS(F$1:F5789,F5789,A$1:A5789,A5789)</f>
        <v>143</v>
      </c>
      <c r="P5789" t="str">
        <f t="shared" si="272"/>
        <v>Andy Jones5</v>
      </c>
    </row>
    <row r="5790" spans="1:16" x14ac:dyDescent="0.25">
      <c r="A5790">
        <v>3</v>
      </c>
      <c r="B5790" t="s">
        <v>385</v>
      </c>
      <c r="C5790">
        <f>-0.03-1.23</f>
        <v>-1.26</v>
      </c>
      <c r="D5790">
        <v>0.6</v>
      </c>
      <c r="E5790" t="s">
        <v>30</v>
      </c>
      <c r="F5790" t="s">
        <v>47</v>
      </c>
      <c r="G5790">
        <v>1.23</v>
      </c>
      <c r="H5790">
        <v>-0.03</v>
      </c>
      <c r="I5790">
        <v>0.63</v>
      </c>
      <c r="J5790">
        <v>0.39689999999999998</v>
      </c>
      <c r="K5790" t="str">
        <f>IFERROR(INDEX(Rosters!$C$2:$C$155,MATCH($B5790,Rosters!$B$2:$B$155,0)),"NA")</f>
        <v>NA</v>
      </c>
      <c r="L5790" t="str">
        <f t="shared" si="270"/>
        <v>NA3RB</v>
      </c>
      <c r="M5790">
        <f>COUNTIF(L$1:L5790,L5790)</f>
        <v>49</v>
      </c>
      <c r="N5790" t="str">
        <f t="shared" si="271"/>
        <v>NA3RB-49</v>
      </c>
      <c r="O5790">
        <f>COUNTIFS(F$1:F5790,F5790,A$1:A5790,A5790)</f>
        <v>88</v>
      </c>
      <c r="P5790" t="str">
        <f t="shared" si="272"/>
        <v>Anthony Sherman3</v>
      </c>
    </row>
    <row r="5791" spans="1:16" x14ac:dyDescent="0.25">
      <c r="A5791">
        <v>7</v>
      </c>
      <c r="B5791" t="s">
        <v>385</v>
      </c>
      <c r="C5791">
        <f>-0.01-1.21</f>
        <v>-1.22</v>
      </c>
      <c r="D5791">
        <v>0.6</v>
      </c>
      <c r="E5791" t="s">
        <v>31</v>
      </c>
      <c r="F5791" t="s">
        <v>47</v>
      </c>
      <c r="G5791">
        <v>1.21</v>
      </c>
      <c r="H5791">
        <v>-0.01</v>
      </c>
      <c r="I5791">
        <v>0.61</v>
      </c>
      <c r="J5791">
        <v>0.37209999999999999</v>
      </c>
      <c r="K5791" t="str">
        <f>IFERROR(INDEX(Rosters!$C$2:$C$155,MATCH($B5791,Rosters!$B$2:$B$155,0)),"NA")</f>
        <v>NA</v>
      </c>
      <c r="L5791" t="str">
        <f t="shared" si="270"/>
        <v>NA7RB</v>
      </c>
      <c r="M5791">
        <f>COUNTIF(L$1:L5791,L5791)</f>
        <v>44</v>
      </c>
      <c r="N5791" t="str">
        <f t="shared" si="271"/>
        <v>NA7RB-44</v>
      </c>
      <c r="O5791">
        <f>COUNTIFS(F$1:F5791,F5791,A$1:A5791,A5791)</f>
        <v>85</v>
      </c>
      <c r="P5791" t="str">
        <f t="shared" si="272"/>
        <v>Anthony Sherman7</v>
      </c>
    </row>
    <row r="5792" spans="1:16" x14ac:dyDescent="0.25">
      <c r="A5792">
        <v>14</v>
      </c>
      <c r="B5792" t="s">
        <v>1627</v>
      </c>
      <c r="C5792" t="s">
        <v>8900</v>
      </c>
      <c r="D5792">
        <v>0.6</v>
      </c>
      <c r="E5792" t="s">
        <v>76</v>
      </c>
      <c r="F5792" t="s">
        <v>15</v>
      </c>
      <c r="G5792">
        <v>1.1299999999999999</v>
      </c>
      <c r="H5792">
        <v>7.0000000000000007E-2</v>
      </c>
      <c r="I5792">
        <v>0.53</v>
      </c>
      <c r="J5792">
        <v>0.28089999999999998</v>
      </c>
      <c r="K5792" t="str">
        <f>IFERROR(INDEX(Rosters!$C$2:$C$155,MATCH($B5792,Rosters!$B$2:$B$155,0)),"NA")</f>
        <v>NA</v>
      </c>
      <c r="L5792" t="str">
        <f t="shared" si="270"/>
        <v>NA14QB</v>
      </c>
      <c r="M5792">
        <f>COUNTIF(L$1:L5792,L5792)</f>
        <v>37</v>
      </c>
      <c r="N5792" t="str">
        <f t="shared" si="271"/>
        <v>NA14QB-37</v>
      </c>
      <c r="O5792">
        <f>COUNTIFS(F$1:F5792,F5792,A$1:A5792,A5792)</f>
        <v>54</v>
      </c>
      <c r="P5792" t="str">
        <f t="shared" si="272"/>
        <v>Blaine Gabbert14</v>
      </c>
    </row>
    <row r="5793" spans="1:16" x14ac:dyDescent="0.25">
      <c r="A5793">
        <v>11</v>
      </c>
      <c r="B5793" t="s">
        <v>2851</v>
      </c>
      <c r="C5793">
        <f>-0.05-1.25</f>
        <v>-1.3</v>
      </c>
      <c r="D5793">
        <v>0.6</v>
      </c>
      <c r="E5793" t="s">
        <v>50</v>
      </c>
      <c r="F5793" t="s">
        <v>87</v>
      </c>
      <c r="G5793">
        <v>1.25</v>
      </c>
      <c r="H5793">
        <v>-0.05</v>
      </c>
      <c r="I5793">
        <v>0.65</v>
      </c>
      <c r="J5793">
        <v>0.42249999999999999</v>
      </c>
      <c r="K5793" t="str">
        <f>IFERROR(INDEX(Rosters!$C$2:$C$155,MATCH($B5793,Rosters!$B$2:$B$155,0)),"NA")</f>
        <v>NA</v>
      </c>
      <c r="L5793" t="str">
        <f t="shared" si="270"/>
        <v>NA11WR</v>
      </c>
      <c r="M5793">
        <f>COUNTIF(L$1:L5793,L5793)</f>
        <v>74</v>
      </c>
      <c r="N5793" t="str">
        <f t="shared" si="271"/>
        <v>NA11WR-74</v>
      </c>
      <c r="O5793">
        <f>COUNTIFS(F$1:F5793,F5793,A$1:A5793,A5793)</f>
        <v>121</v>
      </c>
      <c r="P5793" t="str">
        <f t="shared" si="272"/>
        <v>Brandon Tate11</v>
      </c>
    </row>
    <row r="5794" spans="1:16" x14ac:dyDescent="0.25">
      <c r="A5794">
        <v>13</v>
      </c>
      <c r="B5794" t="s">
        <v>3569</v>
      </c>
      <c r="C5794" t="s">
        <v>3852</v>
      </c>
      <c r="D5794">
        <v>0.6</v>
      </c>
      <c r="E5794" t="s">
        <v>66</v>
      </c>
      <c r="F5794" t="s">
        <v>47</v>
      </c>
      <c r="G5794">
        <v>1.1200000000000001</v>
      </c>
      <c r="H5794">
        <v>0.08</v>
      </c>
      <c r="I5794">
        <v>0.52</v>
      </c>
      <c r="J5794">
        <v>0.27039999999999997</v>
      </c>
      <c r="K5794" t="str">
        <f>IFERROR(INDEX(Rosters!$C$2:$C$155,MATCH($B5794,Rosters!$B$2:$B$155,0)),"NA")</f>
        <v>NA</v>
      </c>
      <c r="L5794" t="str">
        <f t="shared" si="270"/>
        <v>NA13RB</v>
      </c>
      <c r="M5794">
        <f>COUNTIF(L$1:L5794,L5794)</f>
        <v>57</v>
      </c>
      <c r="N5794" t="str">
        <f t="shared" si="271"/>
        <v>NA13RB-57</v>
      </c>
      <c r="O5794">
        <f>COUNTIFS(F$1:F5794,F5794,A$1:A5794,A5794)</f>
        <v>104</v>
      </c>
      <c r="P5794" t="str">
        <f t="shared" si="272"/>
        <v>Brandon Wilds13</v>
      </c>
    </row>
    <row r="5795" spans="1:16" x14ac:dyDescent="0.25">
      <c r="A5795">
        <v>7</v>
      </c>
      <c r="B5795" t="s">
        <v>2947</v>
      </c>
      <c r="C5795" t="s">
        <v>8899</v>
      </c>
      <c r="D5795">
        <v>0.6</v>
      </c>
      <c r="E5795" t="s">
        <v>54</v>
      </c>
      <c r="F5795" t="s">
        <v>47</v>
      </c>
      <c r="G5795">
        <v>1.1399999999999999</v>
      </c>
      <c r="H5795">
        <v>0.06</v>
      </c>
      <c r="I5795">
        <v>0.54</v>
      </c>
      <c r="J5795">
        <v>0.29160000000000003</v>
      </c>
      <c r="K5795" t="str">
        <f>IFERROR(INDEX(Rosters!$C$2:$C$155,MATCH($B5795,Rosters!$B$2:$B$155,0)),"NA")</f>
        <v>NA</v>
      </c>
      <c r="L5795" t="str">
        <f t="shared" si="270"/>
        <v>NA7RB</v>
      </c>
      <c r="M5795">
        <f>COUNTIF(L$1:L5795,L5795)</f>
        <v>45</v>
      </c>
      <c r="N5795" t="str">
        <f t="shared" si="271"/>
        <v>NA7RB-45</v>
      </c>
      <c r="O5795">
        <f>COUNTIFS(F$1:F5795,F5795,A$1:A5795,A5795)</f>
        <v>86</v>
      </c>
      <c r="P5795" t="str">
        <f t="shared" si="272"/>
        <v>Brian Hill7</v>
      </c>
    </row>
    <row r="5796" spans="1:16" x14ac:dyDescent="0.25">
      <c r="A5796">
        <v>14</v>
      </c>
      <c r="B5796" t="s">
        <v>8901</v>
      </c>
      <c r="C5796">
        <f>-0.03-1.23</f>
        <v>-1.26</v>
      </c>
      <c r="D5796">
        <v>0.6</v>
      </c>
      <c r="E5796" t="s">
        <v>30</v>
      </c>
      <c r="F5796" t="s">
        <v>114</v>
      </c>
      <c r="G5796">
        <v>1.23</v>
      </c>
      <c r="H5796">
        <v>-0.03</v>
      </c>
      <c r="I5796">
        <v>0.63</v>
      </c>
      <c r="J5796">
        <v>0.39689999999999998</v>
      </c>
      <c r="K5796" t="str">
        <f>IFERROR(INDEX(Rosters!$C$2:$C$155,MATCH($B5796,Rosters!$B$2:$B$155,0)),"NA")</f>
        <v>NA</v>
      </c>
      <c r="L5796" t="str">
        <f t="shared" si="270"/>
        <v>NA14TE</v>
      </c>
      <c r="M5796">
        <f>COUNTIF(L$1:L5796,L5796)</f>
        <v>62</v>
      </c>
      <c r="N5796" t="str">
        <f t="shared" si="271"/>
        <v>NA14TE-62</v>
      </c>
      <c r="O5796">
        <f>COUNTIFS(F$1:F5796,F5796,A$1:A5796,A5796)</f>
        <v>76</v>
      </c>
      <c r="P5796" t="str">
        <f t="shared" si="272"/>
        <v>Brian Parker14</v>
      </c>
    </row>
    <row r="5797" spans="1:16" x14ac:dyDescent="0.25">
      <c r="A5797">
        <v>14</v>
      </c>
      <c r="B5797" t="s">
        <v>2661</v>
      </c>
      <c r="C5797" t="s">
        <v>4249</v>
      </c>
      <c r="D5797">
        <v>0.6</v>
      </c>
      <c r="E5797" t="s">
        <v>50</v>
      </c>
      <c r="F5797" t="s">
        <v>87</v>
      </c>
      <c r="G5797">
        <v>1.19</v>
      </c>
      <c r="H5797">
        <v>0.01</v>
      </c>
      <c r="I5797">
        <v>0.59</v>
      </c>
      <c r="J5797">
        <v>0.34810000000000002</v>
      </c>
      <c r="K5797" t="str">
        <f>IFERROR(INDEX(Rosters!$C$2:$C$155,MATCH($B5797,Rosters!$B$2:$B$155,0)),"NA")</f>
        <v>NA</v>
      </c>
      <c r="L5797" t="str">
        <f t="shared" si="270"/>
        <v>NA14WR</v>
      </c>
      <c r="M5797">
        <f>COUNTIF(L$1:L5797,L5797)</f>
        <v>91</v>
      </c>
      <c r="N5797" t="str">
        <f t="shared" si="271"/>
        <v>NA14WR-91</v>
      </c>
      <c r="O5797">
        <f>COUNTIFS(F$1:F5797,F5797,A$1:A5797,A5797)</f>
        <v>145</v>
      </c>
      <c r="P5797" t="str">
        <f t="shared" si="272"/>
        <v>Brice Butler14</v>
      </c>
    </row>
    <row r="5798" spans="1:16" x14ac:dyDescent="0.25">
      <c r="A5798">
        <v>2</v>
      </c>
      <c r="B5798" t="s">
        <v>1549</v>
      </c>
      <c r="C5798">
        <f>-0.03-1.23</f>
        <v>-1.26</v>
      </c>
      <c r="D5798">
        <v>0.6</v>
      </c>
      <c r="E5798" t="s">
        <v>41</v>
      </c>
      <c r="F5798" t="s">
        <v>47</v>
      </c>
      <c r="G5798">
        <v>1.23</v>
      </c>
      <c r="H5798">
        <v>-0.03</v>
      </c>
      <c r="I5798">
        <v>0.63</v>
      </c>
      <c r="J5798">
        <v>0.39689999999999998</v>
      </c>
      <c r="K5798" t="str">
        <f>IFERROR(INDEX(Rosters!$C$2:$C$155,MATCH($B5798,Rosters!$B$2:$B$155,0)),"NA")</f>
        <v>NA</v>
      </c>
      <c r="L5798" t="str">
        <f t="shared" si="270"/>
        <v>NA2RB</v>
      </c>
      <c r="M5798">
        <f>COUNTIF(L$1:L5798,L5798)</f>
        <v>44</v>
      </c>
      <c r="N5798" t="str">
        <f t="shared" si="271"/>
        <v>NA2RB-44</v>
      </c>
      <c r="O5798">
        <f>COUNTIFS(F$1:F5798,F5798,A$1:A5798,A5798)</f>
        <v>86</v>
      </c>
      <c r="P5798" t="str">
        <f t="shared" si="272"/>
        <v>C.J. Ham2</v>
      </c>
    </row>
    <row r="5799" spans="1:16" x14ac:dyDescent="0.25">
      <c r="A5799">
        <v>1</v>
      </c>
      <c r="B5799" t="s">
        <v>1126</v>
      </c>
      <c r="C5799" t="s">
        <v>1592</v>
      </c>
      <c r="D5799">
        <v>0.6</v>
      </c>
      <c r="E5799" t="s">
        <v>34</v>
      </c>
      <c r="F5799" t="s">
        <v>87</v>
      </c>
      <c r="G5799">
        <v>1.17</v>
      </c>
      <c r="H5799">
        <v>0.03</v>
      </c>
      <c r="I5799">
        <v>0.56999999999999995</v>
      </c>
      <c r="J5799">
        <v>0.32490000000000002</v>
      </c>
      <c r="K5799" t="str">
        <f>IFERROR(INDEX(Rosters!$C$2:$C$155,MATCH($B5799,Rosters!$B$2:$B$155,0)),"NA")</f>
        <v>NA</v>
      </c>
      <c r="L5799" t="str">
        <f t="shared" si="270"/>
        <v>NA1WR</v>
      </c>
      <c r="M5799">
        <f>COUNTIF(L$1:L5799,L5799)</f>
        <v>65</v>
      </c>
      <c r="N5799" t="str">
        <f t="shared" si="271"/>
        <v>NA1WR-65</v>
      </c>
      <c r="O5799">
        <f>COUNTIFS(F$1:F5799,F5799,A$1:A5799,A5799)</f>
        <v>114</v>
      </c>
      <c r="P5799" t="str">
        <f t="shared" si="272"/>
        <v>Charone Peake1</v>
      </c>
    </row>
    <row r="5800" spans="1:16" x14ac:dyDescent="0.25">
      <c r="A5800">
        <v>8</v>
      </c>
      <c r="B5800" t="s">
        <v>1126</v>
      </c>
      <c r="C5800">
        <f>-0.07-1.27</f>
        <v>-1.34</v>
      </c>
      <c r="D5800">
        <v>0.6</v>
      </c>
      <c r="E5800" t="s">
        <v>72</v>
      </c>
      <c r="F5800" t="s">
        <v>87</v>
      </c>
      <c r="G5800">
        <v>1.27</v>
      </c>
      <c r="H5800">
        <v>-7.0000000000000007E-2</v>
      </c>
      <c r="I5800">
        <v>0.67</v>
      </c>
      <c r="J5800">
        <v>0.44890000000000002</v>
      </c>
      <c r="K5800" t="str">
        <f>IFERROR(INDEX(Rosters!$C$2:$C$155,MATCH($B5800,Rosters!$B$2:$B$155,0)),"NA")</f>
        <v>NA</v>
      </c>
      <c r="L5800" t="str">
        <f t="shared" si="270"/>
        <v>NA8WR</v>
      </c>
      <c r="M5800">
        <f>COUNTIF(L$1:L5800,L5800)</f>
        <v>80</v>
      </c>
      <c r="N5800" t="str">
        <f t="shared" si="271"/>
        <v>NA8WR-80</v>
      </c>
      <c r="O5800">
        <f>COUNTIFS(F$1:F5800,F5800,A$1:A5800,A5800)</f>
        <v>129</v>
      </c>
      <c r="P5800" t="str">
        <f t="shared" si="272"/>
        <v>Charone Peake8</v>
      </c>
    </row>
    <row r="5801" spans="1:16" x14ac:dyDescent="0.25">
      <c r="A5801">
        <v>14</v>
      </c>
      <c r="B5801" t="s">
        <v>1562</v>
      </c>
      <c r="C5801">
        <f>-0.03-1.23</f>
        <v>-1.26</v>
      </c>
      <c r="D5801">
        <v>0.6</v>
      </c>
      <c r="E5801" t="s">
        <v>42</v>
      </c>
      <c r="F5801" t="s">
        <v>114</v>
      </c>
      <c r="G5801">
        <v>1.23</v>
      </c>
      <c r="H5801">
        <v>-0.03</v>
      </c>
      <c r="I5801">
        <v>0.63</v>
      </c>
      <c r="J5801">
        <v>0.39689999999999998</v>
      </c>
      <c r="K5801" t="str">
        <f>IFERROR(INDEX(Rosters!$C$2:$C$155,MATCH($B5801,Rosters!$B$2:$B$155,0)),"NA")</f>
        <v>NA</v>
      </c>
      <c r="L5801" t="str">
        <f t="shared" si="270"/>
        <v>NA14TE</v>
      </c>
      <c r="M5801">
        <f>COUNTIF(L$1:L5801,L5801)</f>
        <v>63</v>
      </c>
      <c r="N5801" t="str">
        <f t="shared" si="271"/>
        <v>NA14TE-63</v>
      </c>
      <c r="O5801">
        <f>COUNTIFS(F$1:F5801,F5801,A$1:A5801,A5801)</f>
        <v>77</v>
      </c>
      <c r="P5801" t="str">
        <f t="shared" si="272"/>
        <v>Cole Wick14</v>
      </c>
    </row>
    <row r="5802" spans="1:16" x14ac:dyDescent="0.25">
      <c r="A5802">
        <v>11</v>
      </c>
      <c r="B5802" t="s">
        <v>1128</v>
      </c>
      <c r="C5802">
        <f>-0.13-1.33</f>
        <v>-1.46</v>
      </c>
      <c r="D5802">
        <v>0.6</v>
      </c>
      <c r="E5802" t="s">
        <v>34</v>
      </c>
      <c r="F5802" t="s">
        <v>87</v>
      </c>
      <c r="G5802">
        <v>1.33</v>
      </c>
      <c r="H5802">
        <v>-0.13</v>
      </c>
      <c r="I5802">
        <v>0.73</v>
      </c>
      <c r="J5802">
        <v>0.53290000000000004</v>
      </c>
      <c r="K5802" t="str">
        <f>IFERROR(INDEX(Rosters!$C$2:$C$155,MATCH($B5802,Rosters!$B$2:$B$155,0)),"NA")</f>
        <v>NA</v>
      </c>
      <c r="L5802" t="str">
        <f t="shared" si="270"/>
        <v>NA11WR</v>
      </c>
      <c r="M5802">
        <f>COUNTIF(L$1:L5802,L5802)</f>
        <v>75</v>
      </c>
      <c r="N5802" t="str">
        <f t="shared" si="271"/>
        <v>NA11WR-75</v>
      </c>
      <c r="O5802">
        <f>COUNTIFS(F$1:F5802,F5802,A$1:A5802,A5802)</f>
        <v>122</v>
      </c>
      <c r="P5802" t="str">
        <f t="shared" si="272"/>
        <v>Damiere Byrd11</v>
      </c>
    </row>
    <row r="5803" spans="1:16" x14ac:dyDescent="0.25">
      <c r="A5803">
        <v>12</v>
      </c>
      <c r="B5803" t="s">
        <v>1115</v>
      </c>
      <c r="C5803" t="s">
        <v>3853</v>
      </c>
      <c r="D5803">
        <v>0.6</v>
      </c>
      <c r="E5803" t="s">
        <v>36</v>
      </c>
      <c r="F5803" t="s">
        <v>87</v>
      </c>
      <c r="G5803">
        <v>1.1100000000000001</v>
      </c>
      <c r="H5803">
        <v>0.09</v>
      </c>
      <c r="I5803">
        <v>0.51</v>
      </c>
      <c r="J5803">
        <v>0.2601</v>
      </c>
      <c r="K5803" t="str">
        <f>IFERROR(INDEX(Rosters!$C$2:$C$155,MATCH($B5803,Rosters!$B$2:$B$155,0)),"NA")</f>
        <v>NA</v>
      </c>
      <c r="L5803" t="str">
        <f t="shared" si="270"/>
        <v>NA12WR</v>
      </c>
      <c r="M5803">
        <f>COUNTIF(L$1:L5803,L5803)</f>
        <v>92</v>
      </c>
      <c r="N5803" t="str">
        <f t="shared" si="271"/>
        <v>NA12WR-92</v>
      </c>
      <c r="O5803">
        <f>COUNTIFS(F$1:F5803,F5803,A$1:A5803,A5803)</f>
        <v>141</v>
      </c>
      <c r="P5803" t="str">
        <f t="shared" si="272"/>
        <v>Darius Jennings12</v>
      </c>
    </row>
    <row r="5804" spans="1:16" x14ac:dyDescent="0.25">
      <c r="A5804">
        <v>11</v>
      </c>
      <c r="B5804" t="s">
        <v>304</v>
      </c>
      <c r="C5804">
        <f>-0.07-1.27</f>
        <v>-1.34</v>
      </c>
      <c r="D5804">
        <v>0.6</v>
      </c>
      <c r="E5804" t="s">
        <v>76</v>
      </c>
      <c r="F5804" t="s">
        <v>87</v>
      </c>
      <c r="G5804">
        <v>1.27</v>
      </c>
      <c r="H5804">
        <v>-7.0000000000000007E-2</v>
      </c>
      <c r="I5804">
        <v>0.67</v>
      </c>
      <c r="J5804">
        <v>0.44890000000000002</v>
      </c>
      <c r="K5804" t="str">
        <f>IFERROR(INDEX(Rosters!$C$2:$C$155,MATCH($B5804,Rosters!$B$2:$B$155,0)),"NA")</f>
        <v>NA</v>
      </c>
      <c r="L5804" t="str">
        <f t="shared" si="270"/>
        <v>NA11WR</v>
      </c>
      <c r="M5804">
        <f>COUNTIF(L$1:L5804,L5804)</f>
        <v>76</v>
      </c>
      <c r="N5804" t="str">
        <f t="shared" si="271"/>
        <v>NA11WR-76</v>
      </c>
      <c r="O5804">
        <f>COUNTIFS(F$1:F5804,F5804,A$1:A5804,A5804)</f>
        <v>123</v>
      </c>
      <c r="P5804" t="str">
        <f t="shared" si="272"/>
        <v>Darrius Heyward-Bey11</v>
      </c>
    </row>
    <row r="5805" spans="1:16" x14ac:dyDescent="0.25">
      <c r="A5805">
        <v>12</v>
      </c>
      <c r="B5805" t="s">
        <v>4234</v>
      </c>
      <c r="C5805">
        <f>-0.06-1.26</f>
        <v>-1.32</v>
      </c>
      <c r="D5805">
        <v>0.6</v>
      </c>
      <c r="E5805" t="s">
        <v>74</v>
      </c>
      <c r="F5805" t="s">
        <v>87</v>
      </c>
      <c r="G5805">
        <v>1.26</v>
      </c>
      <c r="H5805">
        <v>-0.06</v>
      </c>
      <c r="I5805">
        <v>0.66</v>
      </c>
      <c r="J5805">
        <v>0.43559999999999999</v>
      </c>
      <c r="K5805" t="str">
        <f>IFERROR(INDEX(Rosters!$C$2:$C$155,MATCH($B5805,Rosters!$B$2:$B$155,0)),"NA")</f>
        <v>NA</v>
      </c>
      <c r="L5805" t="str">
        <f t="shared" si="270"/>
        <v>NA12WR</v>
      </c>
      <c r="M5805">
        <f>COUNTIF(L$1:L5805,L5805)</f>
        <v>93</v>
      </c>
      <c r="N5805" t="str">
        <f t="shared" si="271"/>
        <v>NA12WR-93</v>
      </c>
      <c r="O5805">
        <f>COUNTIFS(F$1:F5805,F5805,A$1:A5805,A5805)</f>
        <v>142</v>
      </c>
      <c r="P5805" t="str">
        <f t="shared" si="272"/>
        <v>David Moore12</v>
      </c>
    </row>
    <row r="5806" spans="1:16" x14ac:dyDescent="0.25">
      <c r="A5806">
        <v>8</v>
      </c>
      <c r="B5806" t="s">
        <v>361</v>
      </c>
      <c r="C5806" t="s">
        <v>1591</v>
      </c>
      <c r="D5806">
        <v>0.6</v>
      </c>
      <c r="E5806" t="s">
        <v>42</v>
      </c>
      <c r="F5806" t="s">
        <v>87</v>
      </c>
      <c r="G5806">
        <v>1.2</v>
      </c>
      <c r="H5806">
        <v>0</v>
      </c>
      <c r="I5806">
        <v>0.6</v>
      </c>
      <c r="J5806">
        <v>0.36</v>
      </c>
      <c r="K5806" t="str">
        <f>IFERROR(INDEX(Rosters!$C$2:$C$155,MATCH($B5806,Rosters!$B$2:$B$155,0)),"NA")</f>
        <v>NA</v>
      </c>
      <c r="L5806" t="str">
        <f t="shared" si="270"/>
        <v>NA8WR</v>
      </c>
      <c r="M5806">
        <f>COUNTIF(L$1:L5806,L5806)</f>
        <v>81</v>
      </c>
      <c r="N5806" t="str">
        <f t="shared" si="271"/>
        <v>NA8WR-81</v>
      </c>
      <c r="O5806">
        <f>COUNTIFS(F$1:F5806,F5806,A$1:A5806,A5806)</f>
        <v>130</v>
      </c>
      <c r="P5806" t="str">
        <f t="shared" si="272"/>
        <v>De'Anthony Thomas8</v>
      </c>
    </row>
    <row r="5807" spans="1:16" x14ac:dyDescent="0.25">
      <c r="A5807">
        <v>16</v>
      </c>
      <c r="B5807" t="s">
        <v>317</v>
      </c>
      <c r="C5807" t="s">
        <v>8902</v>
      </c>
      <c r="D5807">
        <v>0.6</v>
      </c>
      <c r="E5807" t="s">
        <v>77</v>
      </c>
      <c r="F5807" t="s">
        <v>47</v>
      </c>
      <c r="G5807">
        <v>1.0900000000000001</v>
      </c>
      <c r="H5807">
        <v>0.11</v>
      </c>
      <c r="I5807">
        <v>0.49</v>
      </c>
      <c r="J5807">
        <v>0.24010000000000001</v>
      </c>
      <c r="K5807" t="str">
        <f>IFERROR(INDEX(Rosters!$C$2:$C$155,MATCH($B5807,Rosters!$B$2:$B$155,0)),"NA")</f>
        <v>NA</v>
      </c>
      <c r="L5807" t="str">
        <f t="shared" si="270"/>
        <v>NA16RB</v>
      </c>
      <c r="M5807">
        <f>COUNTIF(L$1:L5807,L5807)</f>
        <v>57</v>
      </c>
      <c r="N5807" t="str">
        <f t="shared" si="271"/>
        <v>NA16RB-57</v>
      </c>
      <c r="O5807">
        <f>COUNTIFS(F$1:F5807,F5807,A$1:A5807,A5807)</f>
        <v>104</v>
      </c>
      <c r="P5807" t="str">
        <f t="shared" si="272"/>
        <v>Derek Watt16</v>
      </c>
    </row>
    <row r="5808" spans="1:16" x14ac:dyDescent="0.25">
      <c r="A5808">
        <v>16</v>
      </c>
      <c r="B5808" t="s">
        <v>254</v>
      </c>
      <c r="C5808">
        <f>-0.33-1.53</f>
        <v>-1.86</v>
      </c>
      <c r="D5808">
        <v>0.6</v>
      </c>
      <c r="E5808" t="s">
        <v>29</v>
      </c>
      <c r="F5808" t="s">
        <v>114</v>
      </c>
      <c r="G5808">
        <v>1.53</v>
      </c>
      <c r="H5808">
        <v>-0.33</v>
      </c>
      <c r="I5808">
        <v>0.93</v>
      </c>
      <c r="J5808">
        <v>0.8649</v>
      </c>
      <c r="K5808" t="str">
        <f>IFERROR(INDEX(Rosters!$C$2:$C$155,MATCH($B5808,Rosters!$B$2:$B$155,0)),"NA")</f>
        <v>NA</v>
      </c>
      <c r="L5808" t="str">
        <f t="shared" si="270"/>
        <v>NA16TE</v>
      </c>
      <c r="M5808">
        <f>COUNTIF(L$1:L5808,L5808)</f>
        <v>61</v>
      </c>
      <c r="N5808" t="str">
        <f t="shared" si="271"/>
        <v>NA16TE-61</v>
      </c>
      <c r="O5808">
        <f>COUNTIFS(F$1:F5808,F5808,A$1:A5808,A5808)</f>
        <v>75</v>
      </c>
      <c r="P5808" t="str">
        <f t="shared" si="272"/>
        <v>Dwayne Allen16</v>
      </c>
    </row>
    <row r="5809" spans="1:16" x14ac:dyDescent="0.25">
      <c r="A5809">
        <v>15</v>
      </c>
      <c r="B5809" t="s">
        <v>2808</v>
      </c>
      <c r="C5809" t="s">
        <v>1035</v>
      </c>
      <c r="D5809">
        <v>0.6</v>
      </c>
      <c r="E5809" t="s">
        <v>423</v>
      </c>
      <c r="F5809" t="s">
        <v>87</v>
      </c>
      <c r="G5809">
        <v>1.1599999999999999</v>
      </c>
      <c r="H5809">
        <v>0.04</v>
      </c>
      <c r="I5809">
        <v>0.56000000000000005</v>
      </c>
      <c r="J5809">
        <v>0.31359999999999999</v>
      </c>
      <c r="K5809" t="str">
        <f>IFERROR(INDEX(Rosters!$C$2:$C$155,MATCH($B5809,Rosters!$B$2:$B$155,0)),"NA")</f>
        <v>NA</v>
      </c>
      <c r="L5809" t="str">
        <f t="shared" si="270"/>
        <v>NA15WR</v>
      </c>
      <c r="M5809">
        <f>COUNTIF(L$1:L5809,L5809)</f>
        <v>91</v>
      </c>
      <c r="N5809" t="str">
        <f t="shared" si="271"/>
        <v>NA15WR-91</v>
      </c>
      <c r="O5809">
        <f>COUNTIFS(F$1:F5809,F5809,A$1:A5809,A5809)</f>
        <v>145</v>
      </c>
      <c r="P5809" t="str">
        <f t="shared" si="272"/>
        <v>Eli Rogers15</v>
      </c>
    </row>
    <row r="5810" spans="1:16" x14ac:dyDescent="0.25">
      <c r="A5810">
        <v>13</v>
      </c>
      <c r="B5810" t="s">
        <v>1490</v>
      </c>
      <c r="C5810" t="s">
        <v>8899</v>
      </c>
      <c r="D5810">
        <v>0.6</v>
      </c>
      <c r="E5810" t="s">
        <v>30</v>
      </c>
      <c r="F5810" t="s">
        <v>47</v>
      </c>
      <c r="G5810">
        <v>1.1399999999999999</v>
      </c>
      <c r="H5810">
        <v>0.06</v>
      </c>
      <c r="I5810">
        <v>0.54</v>
      </c>
      <c r="J5810">
        <v>0.29160000000000003</v>
      </c>
      <c r="K5810" t="str">
        <f>IFERROR(INDEX(Rosters!$C$2:$C$155,MATCH($B5810,Rosters!$B$2:$B$155,0)),"NA")</f>
        <v>NA</v>
      </c>
      <c r="L5810" t="str">
        <f t="shared" si="270"/>
        <v>NA13RB</v>
      </c>
      <c r="M5810">
        <f>COUNTIF(L$1:L5810,L5810)</f>
        <v>58</v>
      </c>
      <c r="N5810" t="str">
        <f t="shared" si="271"/>
        <v>NA13RB-58</v>
      </c>
      <c r="O5810">
        <f>COUNTIFS(F$1:F5810,F5810,A$1:A5810,A5810)</f>
        <v>105</v>
      </c>
      <c r="P5810" t="str">
        <f t="shared" si="272"/>
        <v>J.D. McKissic13</v>
      </c>
    </row>
    <row r="5811" spans="1:16" x14ac:dyDescent="0.25">
      <c r="A5811">
        <v>17</v>
      </c>
      <c r="B5811" t="s">
        <v>1490</v>
      </c>
      <c r="C5811" t="s">
        <v>8903</v>
      </c>
      <c r="D5811">
        <v>0.6</v>
      </c>
      <c r="E5811" t="s">
        <v>58</v>
      </c>
      <c r="F5811" t="s">
        <v>47</v>
      </c>
      <c r="G5811">
        <v>1.05</v>
      </c>
      <c r="H5811">
        <v>0.15</v>
      </c>
      <c r="I5811">
        <v>0.45</v>
      </c>
      <c r="J5811">
        <v>0.20250000000000001</v>
      </c>
      <c r="K5811" t="str">
        <f>IFERROR(INDEX(Rosters!$C$2:$C$155,MATCH($B5811,Rosters!$B$2:$B$155,0)),"NA")</f>
        <v>NA</v>
      </c>
      <c r="L5811" t="str">
        <f t="shared" si="270"/>
        <v>NA17RB</v>
      </c>
      <c r="M5811">
        <f>COUNTIF(L$1:L5811,L5811)</f>
        <v>51</v>
      </c>
      <c r="N5811" t="str">
        <f t="shared" si="271"/>
        <v>NA17RB-51</v>
      </c>
      <c r="O5811">
        <f>COUNTIFS(F$1:F5811,F5811,A$1:A5811,A5811)</f>
        <v>98</v>
      </c>
      <c r="P5811" t="str">
        <f t="shared" si="272"/>
        <v>J.D. McKissic17</v>
      </c>
    </row>
    <row r="5812" spans="1:16" x14ac:dyDescent="0.25">
      <c r="A5812">
        <v>6</v>
      </c>
      <c r="B5812" t="s">
        <v>4244</v>
      </c>
      <c r="C5812">
        <f>-0.1-1.3</f>
        <v>-1.4000000000000001</v>
      </c>
      <c r="D5812">
        <v>0.6</v>
      </c>
      <c r="E5812" t="s">
        <v>52</v>
      </c>
      <c r="F5812" t="s">
        <v>87</v>
      </c>
      <c r="G5812">
        <v>1.3</v>
      </c>
      <c r="H5812">
        <v>-0.1</v>
      </c>
      <c r="I5812">
        <v>0.7</v>
      </c>
      <c r="J5812">
        <v>0.49</v>
      </c>
      <c r="K5812" t="str">
        <f>IFERROR(INDEX(Rosters!$C$2:$C$155,MATCH($B5812,Rosters!$B$2:$B$155,0)),"NA")</f>
        <v>NA</v>
      </c>
      <c r="L5812" t="str">
        <f t="shared" si="270"/>
        <v>NA6WR</v>
      </c>
      <c r="M5812">
        <f>COUNTIF(L$1:L5812,L5812)</f>
        <v>91</v>
      </c>
      <c r="N5812" t="str">
        <f t="shared" si="271"/>
        <v>NA6WR-91</v>
      </c>
      <c r="O5812">
        <f>COUNTIFS(F$1:F5812,F5812,A$1:A5812,A5812)</f>
        <v>141</v>
      </c>
      <c r="P5812" t="str">
        <f t="shared" si="272"/>
        <v>J.J. Jones6</v>
      </c>
    </row>
    <row r="5813" spans="1:16" x14ac:dyDescent="0.25">
      <c r="A5813">
        <v>10</v>
      </c>
      <c r="B5813" t="s">
        <v>4244</v>
      </c>
      <c r="C5813">
        <f>-0.25-1.45</f>
        <v>-1.7</v>
      </c>
      <c r="D5813">
        <v>0.6</v>
      </c>
      <c r="E5813" t="s">
        <v>32</v>
      </c>
      <c r="F5813" t="s">
        <v>87</v>
      </c>
      <c r="G5813">
        <v>1.45</v>
      </c>
      <c r="H5813">
        <v>-0.25</v>
      </c>
      <c r="I5813">
        <v>0.85</v>
      </c>
      <c r="J5813">
        <v>0.72250000000000003</v>
      </c>
      <c r="K5813" t="str">
        <f>IFERROR(INDEX(Rosters!$C$2:$C$155,MATCH($B5813,Rosters!$B$2:$B$155,0)),"NA")</f>
        <v>NA</v>
      </c>
      <c r="L5813" t="str">
        <f t="shared" si="270"/>
        <v>NA10WR</v>
      </c>
      <c r="M5813">
        <f>COUNTIF(L$1:L5813,L5813)</f>
        <v>85</v>
      </c>
      <c r="N5813" t="str">
        <f t="shared" si="271"/>
        <v>NA10WR-85</v>
      </c>
      <c r="O5813">
        <f>COUNTIFS(F$1:F5813,F5813,A$1:A5813,A5813)</f>
        <v>130</v>
      </c>
      <c r="P5813" t="str">
        <f t="shared" si="272"/>
        <v>J.J. Jones10</v>
      </c>
    </row>
    <row r="5814" spans="1:16" x14ac:dyDescent="0.25">
      <c r="A5814">
        <v>2</v>
      </c>
      <c r="B5814" t="s">
        <v>296</v>
      </c>
      <c r="C5814" t="s">
        <v>1035</v>
      </c>
      <c r="D5814">
        <v>0.6</v>
      </c>
      <c r="E5814" t="s">
        <v>46</v>
      </c>
      <c r="F5814" t="s">
        <v>87</v>
      </c>
      <c r="G5814">
        <v>1.1599999999999999</v>
      </c>
      <c r="H5814">
        <v>0.04</v>
      </c>
      <c r="I5814">
        <v>0.56000000000000005</v>
      </c>
      <c r="J5814">
        <v>0.31359999999999999</v>
      </c>
      <c r="K5814" t="str">
        <f>IFERROR(INDEX(Rosters!$C$2:$C$155,MATCH($B5814,Rosters!$B$2:$B$155,0)),"NA")</f>
        <v>NA</v>
      </c>
      <c r="L5814" t="str">
        <f t="shared" si="270"/>
        <v>NA2WR</v>
      </c>
      <c r="M5814">
        <f>COUNTIF(L$1:L5814,L5814)</f>
        <v>70</v>
      </c>
      <c r="N5814" t="str">
        <f t="shared" si="271"/>
        <v>NA2WR-70</v>
      </c>
      <c r="O5814">
        <f>COUNTIFS(F$1:F5814,F5814,A$1:A5814,A5814)</f>
        <v>118</v>
      </c>
      <c r="P5814" t="str">
        <f t="shared" si="272"/>
        <v>Jarius Wright2</v>
      </c>
    </row>
    <row r="5815" spans="1:16" x14ac:dyDescent="0.25">
      <c r="A5815">
        <v>15</v>
      </c>
      <c r="B5815" t="s">
        <v>8885</v>
      </c>
      <c r="C5815">
        <f>-0.15-1.35</f>
        <v>-1.5</v>
      </c>
      <c r="D5815">
        <v>0.6</v>
      </c>
      <c r="E5815" t="s">
        <v>41</v>
      </c>
      <c r="F5815" t="s">
        <v>87</v>
      </c>
      <c r="G5815">
        <v>1.35</v>
      </c>
      <c r="H5815">
        <v>-0.15</v>
      </c>
      <c r="I5815">
        <v>0.75</v>
      </c>
      <c r="J5815">
        <v>0.5625</v>
      </c>
      <c r="K5815" t="str">
        <f>IFERROR(INDEX(Rosters!$C$2:$C$155,MATCH($B5815,Rosters!$B$2:$B$155,0)),"NA")</f>
        <v>NA</v>
      </c>
      <c r="L5815" t="str">
        <f t="shared" si="270"/>
        <v>NA15WR</v>
      </c>
      <c r="M5815">
        <f>COUNTIF(L$1:L5815,L5815)</f>
        <v>92</v>
      </c>
      <c r="N5815" t="str">
        <f t="shared" si="271"/>
        <v>NA15WR-92</v>
      </c>
      <c r="O5815">
        <f>COUNTIFS(F$1:F5815,F5815,A$1:A5815,A5815)</f>
        <v>146</v>
      </c>
      <c r="P5815" t="str">
        <f t="shared" si="272"/>
        <v>Javon Wims15</v>
      </c>
    </row>
    <row r="5816" spans="1:16" x14ac:dyDescent="0.25">
      <c r="A5816">
        <v>11</v>
      </c>
      <c r="B5816" t="s">
        <v>8640</v>
      </c>
      <c r="C5816">
        <f>-0.12-1.32</f>
        <v>-1.44</v>
      </c>
      <c r="D5816">
        <v>0.6</v>
      </c>
      <c r="E5816" t="s">
        <v>17</v>
      </c>
      <c r="F5816" t="s">
        <v>87</v>
      </c>
      <c r="G5816">
        <v>1.32</v>
      </c>
      <c r="H5816">
        <v>-0.12</v>
      </c>
      <c r="I5816">
        <v>0.72</v>
      </c>
      <c r="J5816">
        <v>0.51839999999999997</v>
      </c>
      <c r="K5816" t="str">
        <f>IFERROR(INDEX(Rosters!$C$2:$C$155,MATCH($B5816,Rosters!$B$2:$B$155,0)),"NA")</f>
        <v>NA</v>
      </c>
      <c r="L5816" t="str">
        <f t="shared" si="270"/>
        <v>NA11WR</v>
      </c>
      <c r="M5816">
        <f>COUNTIF(L$1:L5816,L5816)</f>
        <v>77</v>
      </c>
      <c r="N5816" t="str">
        <f t="shared" si="271"/>
        <v>NA11WR-77</v>
      </c>
      <c r="O5816">
        <f>COUNTIFS(F$1:F5816,F5816,A$1:A5816,A5816)</f>
        <v>124</v>
      </c>
      <c r="P5816" t="str">
        <f t="shared" si="272"/>
        <v>Jawill Davis11</v>
      </c>
    </row>
    <row r="5817" spans="1:16" x14ac:dyDescent="0.25">
      <c r="A5817">
        <v>6</v>
      </c>
      <c r="B5817" t="s">
        <v>348</v>
      </c>
      <c r="C5817">
        <f>-0.15-1.35</f>
        <v>-1.5</v>
      </c>
      <c r="D5817">
        <v>0.6</v>
      </c>
      <c r="E5817" t="s">
        <v>50</v>
      </c>
      <c r="F5817" t="s">
        <v>114</v>
      </c>
      <c r="G5817">
        <v>1.35</v>
      </c>
      <c r="H5817">
        <v>-0.15</v>
      </c>
      <c r="I5817">
        <v>0.75</v>
      </c>
      <c r="J5817">
        <v>0.5625</v>
      </c>
      <c r="K5817" t="str">
        <f>IFERROR(INDEX(Rosters!$C$2:$C$155,MATCH($B5817,Rosters!$B$2:$B$155,0)),"NA")</f>
        <v>NA</v>
      </c>
      <c r="L5817" t="str">
        <f t="shared" si="270"/>
        <v>NA6TE</v>
      </c>
      <c r="M5817">
        <f>COUNTIF(L$1:L5817,L5817)</f>
        <v>54</v>
      </c>
      <c r="N5817" t="str">
        <f t="shared" si="271"/>
        <v>NA6TE-54</v>
      </c>
      <c r="O5817">
        <f>COUNTIFS(F$1:F5817,F5817,A$1:A5817,A5817)</f>
        <v>66</v>
      </c>
      <c r="P5817" t="str">
        <f t="shared" si="272"/>
        <v>Jerell Adams6</v>
      </c>
    </row>
    <row r="5818" spans="1:16" x14ac:dyDescent="0.25">
      <c r="A5818">
        <v>13</v>
      </c>
      <c r="B5818" t="s">
        <v>253</v>
      </c>
      <c r="C5818">
        <f>-0.28-1.48</f>
        <v>-1.76</v>
      </c>
      <c r="D5818">
        <v>0.6</v>
      </c>
      <c r="E5818" t="s">
        <v>77</v>
      </c>
      <c r="F5818" t="s">
        <v>87</v>
      </c>
      <c r="G5818">
        <v>1.48</v>
      </c>
      <c r="H5818">
        <v>-0.28000000000000003</v>
      </c>
      <c r="I5818">
        <v>0.88</v>
      </c>
      <c r="J5818">
        <v>0.77439999999999998</v>
      </c>
      <c r="K5818" t="str">
        <f>IFERROR(INDEX(Rosters!$C$2:$C$155,MATCH($B5818,Rosters!$B$2:$B$155,0)),"NA")</f>
        <v>NA</v>
      </c>
      <c r="L5818" t="str">
        <f t="shared" si="270"/>
        <v>NA13WR</v>
      </c>
      <c r="M5818">
        <f>COUNTIF(L$1:L5818,L5818)</f>
        <v>93</v>
      </c>
      <c r="N5818" t="str">
        <f t="shared" si="271"/>
        <v>NA13WR-93</v>
      </c>
      <c r="O5818">
        <f>COUNTIFS(F$1:F5818,F5818,A$1:A5818,A5818)</f>
        <v>147</v>
      </c>
      <c r="P5818" t="str">
        <f t="shared" si="272"/>
        <v>Justin Hardy13</v>
      </c>
    </row>
    <row r="5819" spans="1:16" x14ac:dyDescent="0.25">
      <c r="A5819">
        <v>13</v>
      </c>
      <c r="B5819" t="s">
        <v>1583</v>
      </c>
      <c r="C5819">
        <f>-0.05-1.25</f>
        <v>-1.3</v>
      </c>
      <c r="D5819">
        <v>0.6</v>
      </c>
      <c r="E5819" t="s">
        <v>19</v>
      </c>
      <c r="F5819" t="s">
        <v>114</v>
      </c>
      <c r="G5819">
        <v>1.25</v>
      </c>
      <c r="H5819">
        <v>-0.05</v>
      </c>
      <c r="I5819">
        <v>0.65</v>
      </c>
      <c r="J5819">
        <v>0.42249999999999999</v>
      </c>
      <c r="K5819" t="str">
        <f>IFERROR(INDEX(Rosters!$C$2:$C$155,MATCH($B5819,Rosters!$B$2:$B$155,0)),"NA")</f>
        <v>NA</v>
      </c>
      <c r="L5819" t="str">
        <f t="shared" si="270"/>
        <v>NA13TE</v>
      </c>
      <c r="M5819">
        <f>COUNTIF(L$1:L5819,L5819)</f>
        <v>58</v>
      </c>
      <c r="N5819" t="str">
        <f t="shared" si="271"/>
        <v>NA13TE-58</v>
      </c>
      <c r="O5819">
        <f>COUNTIFS(F$1:F5819,F5819,A$1:A5819,A5819)</f>
        <v>72</v>
      </c>
      <c r="P5819" t="str">
        <f t="shared" si="272"/>
        <v>Logan Thomas13</v>
      </c>
    </row>
    <row r="5820" spans="1:16" x14ac:dyDescent="0.25">
      <c r="A5820">
        <v>10</v>
      </c>
      <c r="B5820" t="s">
        <v>1633</v>
      </c>
      <c r="C5820">
        <f>-0.2-1.4</f>
        <v>-1.5999999999999999</v>
      </c>
      <c r="D5820">
        <v>0.6</v>
      </c>
      <c r="E5820" t="s">
        <v>76</v>
      </c>
      <c r="F5820" t="s">
        <v>87</v>
      </c>
      <c r="G5820">
        <v>1.4</v>
      </c>
      <c r="H5820">
        <v>-0.2</v>
      </c>
      <c r="I5820">
        <v>0.8</v>
      </c>
      <c r="J5820">
        <v>0.64</v>
      </c>
      <c r="K5820" t="str">
        <f>IFERROR(INDEX(Rosters!$C$2:$C$155,MATCH($B5820,Rosters!$B$2:$B$155,0)),"NA")</f>
        <v>NA</v>
      </c>
      <c r="L5820" t="str">
        <f t="shared" si="270"/>
        <v>NA10WR</v>
      </c>
      <c r="M5820">
        <f>COUNTIF(L$1:L5820,L5820)</f>
        <v>86</v>
      </c>
      <c r="N5820" t="str">
        <f t="shared" si="271"/>
        <v>NA10WR-86</v>
      </c>
      <c r="O5820">
        <f>COUNTIFS(F$1:F5820,F5820,A$1:A5820,A5820)</f>
        <v>131</v>
      </c>
      <c r="P5820" t="str">
        <f t="shared" si="272"/>
        <v>Marcus Johnson10</v>
      </c>
    </row>
    <row r="5821" spans="1:16" x14ac:dyDescent="0.25">
      <c r="A5821">
        <v>5</v>
      </c>
      <c r="B5821" t="s">
        <v>4238</v>
      </c>
      <c r="C5821">
        <f>-0.26-1.46</f>
        <v>-1.72</v>
      </c>
      <c r="D5821">
        <v>0.6</v>
      </c>
      <c r="E5821" t="s">
        <v>76</v>
      </c>
      <c r="F5821" t="s">
        <v>87</v>
      </c>
      <c r="G5821">
        <v>1.46</v>
      </c>
      <c r="H5821">
        <v>-0.26</v>
      </c>
      <c r="I5821">
        <v>0.86</v>
      </c>
      <c r="J5821">
        <v>0.73960000000000004</v>
      </c>
      <c r="K5821" t="str">
        <f>IFERROR(INDEX(Rosters!$C$2:$C$155,MATCH($B5821,Rosters!$B$2:$B$155,0)),"NA")</f>
        <v>NA</v>
      </c>
      <c r="L5821" t="str">
        <f t="shared" si="270"/>
        <v>NA5WR</v>
      </c>
      <c r="M5821">
        <f>COUNTIF(L$1:L5821,L5821)</f>
        <v>94</v>
      </c>
      <c r="N5821" t="str">
        <f t="shared" si="271"/>
        <v>NA5WR-94</v>
      </c>
      <c r="O5821">
        <f>COUNTIFS(F$1:F5821,F5821,A$1:A5821,A5821)</f>
        <v>144</v>
      </c>
      <c r="P5821" t="str">
        <f t="shared" si="272"/>
        <v>Marcus Kemp5</v>
      </c>
    </row>
    <row r="5822" spans="1:16" x14ac:dyDescent="0.25">
      <c r="A5822">
        <v>10</v>
      </c>
      <c r="B5822" t="s">
        <v>4238</v>
      </c>
      <c r="C5822">
        <f>-0.26-1.46</f>
        <v>-1.72</v>
      </c>
      <c r="D5822">
        <v>0.6</v>
      </c>
      <c r="E5822" t="s">
        <v>58</v>
      </c>
      <c r="F5822" t="s">
        <v>87</v>
      </c>
      <c r="G5822">
        <v>1.46</v>
      </c>
      <c r="H5822">
        <v>-0.26</v>
      </c>
      <c r="I5822">
        <v>0.86</v>
      </c>
      <c r="J5822">
        <v>0.73960000000000004</v>
      </c>
      <c r="K5822" t="str">
        <f>IFERROR(INDEX(Rosters!$C$2:$C$155,MATCH($B5822,Rosters!$B$2:$B$155,0)),"NA")</f>
        <v>NA</v>
      </c>
      <c r="L5822" t="str">
        <f t="shared" si="270"/>
        <v>NA10WR</v>
      </c>
      <c r="M5822">
        <f>COUNTIF(L$1:L5822,L5822)</f>
        <v>87</v>
      </c>
      <c r="N5822" t="str">
        <f t="shared" si="271"/>
        <v>NA10WR-87</v>
      </c>
      <c r="O5822">
        <f>COUNTIFS(F$1:F5822,F5822,A$1:A5822,A5822)</f>
        <v>132</v>
      </c>
      <c r="P5822" t="str">
        <f t="shared" si="272"/>
        <v>Marcus Kemp10</v>
      </c>
    </row>
    <row r="5823" spans="1:16" x14ac:dyDescent="0.25">
      <c r="A5823">
        <v>2</v>
      </c>
      <c r="B5823" t="s">
        <v>1594</v>
      </c>
      <c r="C5823">
        <f>-0.21-1.41</f>
        <v>-1.6199999999999999</v>
      </c>
      <c r="D5823">
        <v>0.6</v>
      </c>
      <c r="E5823" t="s">
        <v>74</v>
      </c>
      <c r="F5823" t="s">
        <v>87</v>
      </c>
      <c r="G5823">
        <v>1.41</v>
      </c>
      <c r="H5823">
        <v>-0.21</v>
      </c>
      <c r="I5823">
        <v>0.81</v>
      </c>
      <c r="J5823">
        <v>0.65610000000000002</v>
      </c>
      <c r="K5823" t="str">
        <f>IFERROR(INDEX(Rosters!$C$2:$C$155,MATCH($B5823,Rosters!$B$2:$B$155,0)),"NA")</f>
        <v>NA</v>
      </c>
      <c r="L5823" t="str">
        <f t="shared" si="270"/>
        <v>NA2WR</v>
      </c>
      <c r="M5823">
        <f>COUNTIF(L$1:L5823,L5823)</f>
        <v>71</v>
      </c>
      <c r="N5823" t="str">
        <f t="shared" si="271"/>
        <v>NA2WR-71</v>
      </c>
      <c r="O5823">
        <f>COUNTIFS(F$1:F5823,F5823,A$1:A5823,A5823)</f>
        <v>119</v>
      </c>
      <c r="P5823" t="str">
        <f t="shared" si="272"/>
        <v>Marvin Hall2</v>
      </c>
    </row>
    <row r="5824" spans="1:16" x14ac:dyDescent="0.25">
      <c r="A5824">
        <v>11</v>
      </c>
      <c r="B5824" t="s">
        <v>345</v>
      </c>
      <c r="C5824" t="s">
        <v>4249</v>
      </c>
      <c r="D5824">
        <v>0.6</v>
      </c>
      <c r="E5824" t="s">
        <v>22</v>
      </c>
      <c r="F5824" t="s">
        <v>15</v>
      </c>
      <c r="G5824">
        <v>1.19</v>
      </c>
      <c r="H5824">
        <v>0.01</v>
      </c>
      <c r="I5824">
        <v>0.59</v>
      </c>
      <c r="J5824">
        <v>0.34810000000000002</v>
      </c>
      <c r="K5824" t="str">
        <f>IFERROR(INDEX(Rosters!$C$2:$C$155,MATCH($B5824,Rosters!$B$2:$B$155,0)),"NA")</f>
        <v>NA</v>
      </c>
      <c r="L5824" t="str">
        <f t="shared" si="270"/>
        <v>NA11QB</v>
      </c>
      <c r="M5824">
        <f>COUNTIF(L$1:L5824,L5824)</f>
        <v>29</v>
      </c>
      <c r="N5824" t="str">
        <f t="shared" si="271"/>
        <v>NA11QB-29</v>
      </c>
      <c r="O5824">
        <f>COUNTIFS(F$1:F5824,F5824,A$1:A5824,A5824)</f>
        <v>44</v>
      </c>
      <c r="P5824" t="str">
        <f t="shared" si="272"/>
        <v>Matt Schaub11</v>
      </c>
    </row>
    <row r="5825" spans="1:16" x14ac:dyDescent="0.25">
      <c r="A5825">
        <v>12</v>
      </c>
      <c r="B5825" t="s">
        <v>1636</v>
      </c>
      <c r="C5825" t="s">
        <v>4730</v>
      </c>
      <c r="D5825">
        <v>0.6</v>
      </c>
      <c r="E5825" t="s">
        <v>34</v>
      </c>
      <c r="F5825" t="s">
        <v>47</v>
      </c>
      <c r="G5825">
        <v>1.1499999999999999</v>
      </c>
      <c r="H5825">
        <v>0.05</v>
      </c>
      <c r="I5825">
        <v>0.55000000000000004</v>
      </c>
      <c r="J5825">
        <v>0.30249999999999999</v>
      </c>
      <c r="K5825" t="str">
        <f>IFERROR(INDEX(Rosters!$C$2:$C$155,MATCH($B5825,Rosters!$B$2:$B$155,0)),"NA")</f>
        <v>NA</v>
      </c>
      <c r="L5825" t="str">
        <f t="shared" si="270"/>
        <v>NA12RB</v>
      </c>
      <c r="M5825">
        <f>COUNTIF(L$1:L5825,L5825)</f>
        <v>49</v>
      </c>
      <c r="N5825" t="str">
        <f t="shared" si="271"/>
        <v>NA12RB-49</v>
      </c>
      <c r="O5825">
        <f>COUNTIFS(F$1:F5825,F5825,A$1:A5825,A5825)</f>
        <v>94</v>
      </c>
      <c r="P5825" t="str">
        <f t="shared" si="272"/>
        <v>Michael Burton12</v>
      </c>
    </row>
    <row r="5826" spans="1:16" x14ac:dyDescent="0.25">
      <c r="A5826">
        <v>4</v>
      </c>
      <c r="B5826" t="s">
        <v>4690</v>
      </c>
      <c r="C5826" t="s">
        <v>1591</v>
      </c>
      <c r="D5826">
        <v>0.6</v>
      </c>
      <c r="E5826" t="s">
        <v>56</v>
      </c>
      <c r="F5826" t="s">
        <v>47</v>
      </c>
      <c r="G5826">
        <v>1.2</v>
      </c>
      <c r="H5826">
        <v>0</v>
      </c>
      <c r="I5826">
        <v>0.6</v>
      </c>
      <c r="J5826">
        <v>0.36</v>
      </c>
      <c r="K5826" t="str">
        <f>IFERROR(INDEX(Rosters!$C$2:$C$155,MATCH($B5826,Rosters!$B$2:$B$155,0)),"NA")</f>
        <v>NA</v>
      </c>
      <c r="L5826" t="str">
        <f t="shared" si="270"/>
        <v>NA4RB</v>
      </c>
      <c r="M5826">
        <f>COUNTIF(L$1:L5826,L5826)</f>
        <v>48</v>
      </c>
      <c r="N5826" t="str">
        <f t="shared" si="271"/>
        <v>NA4RB-48</v>
      </c>
      <c r="O5826">
        <f>COUNTIFS(F$1:F5826,F5826,A$1:A5826,A5826)</f>
        <v>87</v>
      </c>
      <c r="P5826" t="str">
        <f t="shared" si="272"/>
        <v>Mike Boone4</v>
      </c>
    </row>
    <row r="5827" spans="1:16" x14ac:dyDescent="0.25">
      <c r="A5827">
        <v>2</v>
      </c>
      <c r="B5827" t="s">
        <v>1584</v>
      </c>
      <c r="C5827">
        <f>-0.07-1.27</f>
        <v>-1.34</v>
      </c>
      <c r="D5827">
        <v>0.6</v>
      </c>
      <c r="E5827" t="s">
        <v>36</v>
      </c>
      <c r="F5827" t="s">
        <v>114</v>
      </c>
      <c r="G5827">
        <v>1.27</v>
      </c>
      <c r="H5827">
        <v>-7.0000000000000007E-2</v>
      </c>
      <c r="I5827">
        <v>0.67</v>
      </c>
      <c r="J5827">
        <v>0.44890000000000002</v>
      </c>
      <c r="K5827" t="str">
        <f>IFERROR(INDEX(Rosters!$C$2:$C$155,MATCH($B5827,Rosters!$B$2:$B$155,0)),"NA")</f>
        <v>NA</v>
      </c>
      <c r="L5827" t="str">
        <f t="shared" ref="L5827:L5890" si="273">K5827&amp;A5827&amp;F5827</f>
        <v>NA2TE</v>
      </c>
      <c r="M5827">
        <f>COUNTIF(L$1:L5827,L5827)</f>
        <v>52</v>
      </c>
      <c r="N5827" t="str">
        <f t="shared" ref="N5827:N5890" si="274">L5827&amp;"-"&amp;M5827</f>
        <v>NA2TE-52</v>
      </c>
      <c r="O5827">
        <f>COUNTIFS(F$1:F5827,F5827,A$1:A5827,A5827)</f>
        <v>65</v>
      </c>
      <c r="P5827" t="str">
        <f t="shared" ref="P5827:P5890" si="275">B5827&amp;A5827</f>
        <v>MyCole Pruitt2</v>
      </c>
    </row>
    <row r="5828" spans="1:16" x14ac:dyDescent="0.25">
      <c r="A5828">
        <v>13</v>
      </c>
      <c r="B5828" t="s">
        <v>2968</v>
      </c>
      <c r="C5828">
        <f>-0.06-1.26</f>
        <v>-1.32</v>
      </c>
      <c r="D5828">
        <v>0.6</v>
      </c>
      <c r="E5828" t="s">
        <v>36</v>
      </c>
      <c r="F5828" t="s">
        <v>114</v>
      </c>
      <c r="G5828">
        <v>1.26</v>
      </c>
      <c r="H5828">
        <v>-0.06</v>
      </c>
      <c r="I5828">
        <v>0.66</v>
      </c>
      <c r="J5828">
        <v>0.43559999999999999</v>
      </c>
      <c r="K5828" t="str">
        <f>IFERROR(INDEX(Rosters!$C$2:$C$155,MATCH($B5828,Rosters!$B$2:$B$155,0)),"NA")</f>
        <v>NA</v>
      </c>
      <c r="L5828" t="str">
        <f t="shared" si="273"/>
        <v>NA13TE</v>
      </c>
      <c r="M5828">
        <f>COUNTIF(L$1:L5828,L5828)</f>
        <v>59</v>
      </c>
      <c r="N5828" t="str">
        <f t="shared" si="274"/>
        <v>NA13TE-59</v>
      </c>
      <c r="O5828">
        <f>COUNTIFS(F$1:F5828,F5828,A$1:A5828,A5828)</f>
        <v>73</v>
      </c>
      <c r="P5828" t="str">
        <f t="shared" si="275"/>
        <v>Orson Charles13</v>
      </c>
    </row>
    <row r="5829" spans="1:16" x14ac:dyDescent="0.25">
      <c r="A5829">
        <v>12</v>
      </c>
      <c r="B5829" t="s">
        <v>3374</v>
      </c>
      <c r="C5829" t="s">
        <v>1591</v>
      </c>
      <c r="D5829">
        <v>0.6</v>
      </c>
      <c r="E5829" t="s">
        <v>32</v>
      </c>
      <c r="F5829" t="s">
        <v>47</v>
      </c>
      <c r="G5829">
        <v>1.2</v>
      </c>
      <c r="H5829">
        <v>0</v>
      </c>
      <c r="I5829">
        <v>0.6</v>
      </c>
      <c r="J5829">
        <v>0.36</v>
      </c>
      <c r="K5829" t="str">
        <f>IFERROR(INDEX(Rosters!$C$2:$C$155,MATCH($B5829,Rosters!$B$2:$B$155,0)),"NA")</f>
        <v>NA</v>
      </c>
      <c r="L5829" t="str">
        <f t="shared" si="273"/>
        <v>NA12RB</v>
      </c>
      <c r="M5829">
        <f>COUNTIF(L$1:L5829,L5829)</f>
        <v>50</v>
      </c>
      <c r="N5829" t="str">
        <f t="shared" si="274"/>
        <v>NA12RB-50</v>
      </c>
      <c r="O5829">
        <f>COUNTIFS(F$1:F5829,F5829,A$1:A5829,A5829)</f>
        <v>95</v>
      </c>
      <c r="P5829" t="str">
        <f t="shared" si="275"/>
        <v>Patrick Ricard12</v>
      </c>
    </row>
    <row r="5830" spans="1:16" x14ac:dyDescent="0.25">
      <c r="A5830">
        <v>7</v>
      </c>
      <c r="B5830" t="s">
        <v>4260</v>
      </c>
      <c r="C5830">
        <f>-0.11-1.31</f>
        <v>-1.4200000000000002</v>
      </c>
      <c r="D5830">
        <v>0.6</v>
      </c>
      <c r="E5830" t="s">
        <v>66</v>
      </c>
      <c r="F5830" t="s">
        <v>87</v>
      </c>
      <c r="G5830">
        <v>1.31</v>
      </c>
      <c r="H5830">
        <v>-0.11</v>
      </c>
      <c r="I5830">
        <v>0.71</v>
      </c>
      <c r="J5830">
        <v>0.50409999999999999</v>
      </c>
      <c r="K5830" t="str">
        <f>IFERROR(INDEX(Rosters!$C$2:$C$155,MATCH($B5830,Rosters!$B$2:$B$155,0)),"NA")</f>
        <v>NA</v>
      </c>
      <c r="L5830" t="str">
        <f t="shared" si="273"/>
        <v>NA7WR</v>
      </c>
      <c r="M5830">
        <f>COUNTIF(L$1:L5830,L5830)</f>
        <v>84</v>
      </c>
      <c r="N5830" t="str">
        <f t="shared" si="274"/>
        <v>NA7WR-84</v>
      </c>
      <c r="O5830">
        <f>COUNTIFS(F$1:F5830,F5830,A$1:A5830,A5830)</f>
        <v>129</v>
      </c>
      <c r="P5830" t="str">
        <f t="shared" si="275"/>
        <v>Robert Foster7</v>
      </c>
    </row>
    <row r="5831" spans="1:16" x14ac:dyDescent="0.25">
      <c r="A5831">
        <v>13</v>
      </c>
      <c r="B5831" t="s">
        <v>4260</v>
      </c>
      <c r="C5831">
        <f>-0.12-1.32</f>
        <v>-1.44</v>
      </c>
      <c r="D5831">
        <v>0.6</v>
      </c>
      <c r="E5831" t="s">
        <v>19</v>
      </c>
      <c r="F5831" t="s">
        <v>87</v>
      </c>
      <c r="G5831">
        <v>1.32</v>
      </c>
      <c r="H5831">
        <v>-0.12</v>
      </c>
      <c r="I5831">
        <v>0.72</v>
      </c>
      <c r="J5831">
        <v>0.51839999999999997</v>
      </c>
      <c r="K5831" t="str">
        <f>IFERROR(INDEX(Rosters!$C$2:$C$155,MATCH($B5831,Rosters!$B$2:$B$155,0)),"NA")</f>
        <v>NA</v>
      </c>
      <c r="L5831" t="str">
        <f t="shared" si="273"/>
        <v>NA13WR</v>
      </c>
      <c r="M5831">
        <f>COUNTIF(L$1:L5831,L5831)</f>
        <v>94</v>
      </c>
      <c r="N5831" t="str">
        <f t="shared" si="274"/>
        <v>NA13WR-94</v>
      </c>
      <c r="O5831">
        <f>COUNTIFS(F$1:F5831,F5831,A$1:A5831,A5831)</f>
        <v>148</v>
      </c>
      <c r="P5831" t="str">
        <f t="shared" si="275"/>
        <v>Robert Foster13</v>
      </c>
    </row>
    <row r="5832" spans="1:16" x14ac:dyDescent="0.25">
      <c r="A5832">
        <v>12</v>
      </c>
      <c r="B5832" t="s">
        <v>745</v>
      </c>
      <c r="C5832">
        <f>-0.05-1.25</f>
        <v>-1.3</v>
      </c>
      <c r="D5832">
        <v>0.6</v>
      </c>
      <c r="E5832" t="s">
        <v>46</v>
      </c>
      <c r="F5832" t="s">
        <v>15</v>
      </c>
      <c r="G5832">
        <v>1.25</v>
      </c>
      <c r="H5832">
        <v>-0.05</v>
      </c>
      <c r="I5832">
        <v>0.65</v>
      </c>
      <c r="J5832">
        <v>0.42249999999999999</v>
      </c>
      <c r="K5832" t="str">
        <f>IFERROR(INDEX(Rosters!$C$2:$C$155,MATCH($B5832,Rosters!$B$2:$B$155,0)),"NA")</f>
        <v>NA</v>
      </c>
      <c r="L5832" t="str">
        <f t="shared" si="273"/>
        <v>NA12QB</v>
      </c>
      <c r="M5832">
        <f>COUNTIF(L$1:L5832,L5832)</f>
        <v>36</v>
      </c>
      <c r="N5832" t="str">
        <f t="shared" si="274"/>
        <v>NA12QB-36</v>
      </c>
      <c r="O5832">
        <f>COUNTIFS(F$1:F5832,F5832,A$1:A5832,A5832)</f>
        <v>51</v>
      </c>
      <c r="P5832" t="str">
        <f t="shared" si="275"/>
        <v>Teddy Bridgewater12</v>
      </c>
    </row>
    <row r="5833" spans="1:16" x14ac:dyDescent="0.25">
      <c r="A5833">
        <v>3</v>
      </c>
      <c r="B5833" t="s">
        <v>4250</v>
      </c>
      <c r="C5833" t="s">
        <v>3853</v>
      </c>
      <c r="D5833">
        <v>0.6</v>
      </c>
      <c r="E5833" t="s">
        <v>29</v>
      </c>
      <c r="F5833" t="s">
        <v>114</v>
      </c>
      <c r="G5833">
        <v>1.1100000000000001</v>
      </c>
      <c r="H5833">
        <v>0.09</v>
      </c>
      <c r="I5833">
        <v>0.51</v>
      </c>
      <c r="J5833">
        <v>0.2601</v>
      </c>
      <c r="K5833" t="str">
        <f>IFERROR(INDEX(Rosters!$C$2:$C$155,MATCH($B5833,Rosters!$B$2:$B$155,0)),"NA")</f>
        <v>NA</v>
      </c>
      <c r="L5833" t="str">
        <f t="shared" si="273"/>
        <v>NA3TE</v>
      </c>
      <c r="M5833">
        <f>COUNTIF(L$1:L5833,L5833)</f>
        <v>54</v>
      </c>
      <c r="N5833" t="str">
        <f t="shared" si="274"/>
        <v>NA3TE-54</v>
      </c>
      <c r="O5833">
        <f>COUNTIFS(F$1:F5833,F5833,A$1:A5833,A5833)</f>
        <v>67</v>
      </c>
      <c r="P5833" t="str">
        <f t="shared" si="275"/>
        <v>Tyler Conklin3</v>
      </c>
    </row>
    <row r="5834" spans="1:16" x14ac:dyDescent="0.25">
      <c r="A5834">
        <v>15</v>
      </c>
      <c r="B5834" t="s">
        <v>4250</v>
      </c>
      <c r="C5834" t="s">
        <v>8900</v>
      </c>
      <c r="D5834">
        <v>0.6</v>
      </c>
      <c r="E5834" t="s">
        <v>19</v>
      </c>
      <c r="F5834" t="s">
        <v>114</v>
      </c>
      <c r="G5834">
        <v>1.1299999999999999</v>
      </c>
      <c r="H5834">
        <v>7.0000000000000007E-2</v>
      </c>
      <c r="I5834">
        <v>0.53</v>
      </c>
      <c r="J5834">
        <v>0.28089999999999998</v>
      </c>
      <c r="K5834" t="str">
        <f>IFERROR(INDEX(Rosters!$C$2:$C$155,MATCH($B5834,Rosters!$B$2:$B$155,0)),"NA")</f>
        <v>NA</v>
      </c>
      <c r="L5834" t="str">
        <f t="shared" si="273"/>
        <v>NA15TE</v>
      </c>
      <c r="M5834">
        <f>COUNTIF(L$1:L5834,L5834)</f>
        <v>62</v>
      </c>
      <c r="N5834" t="str">
        <f t="shared" si="274"/>
        <v>NA15TE-62</v>
      </c>
      <c r="O5834">
        <f>COUNTIFS(F$1:F5834,F5834,A$1:A5834,A5834)</f>
        <v>76</v>
      </c>
      <c r="P5834" t="str">
        <f t="shared" si="275"/>
        <v>Tyler Conklin15</v>
      </c>
    </row>
    <row r="5835" spans="1:16" x14ac:dyDescent="0.25">
      <c r="A5835">
        <v>15</v>
      </c>
      <c r="B5835" t="s">
        <v>4245</v>
      </c>
      <c r="C5835">
        <f>-0.06-1.26</f>
        <v>-1.32</v>
      </c>
      <c r="D5835">
        <v>0.6</v>
      </c>
      <c r="E5835" t="s">
        <v>73</v>
      </c>
      <c r="F5835" t="s">
        <v>87</v>
      </c>
      <c r="G5835">
        <v>1.26</v>
      </c>
      <c r="H5835">
        <v>-0.06</v>
      </c>
      <c r="I5835">
        <v>0.66</v>
      </c>
      <c r="J5835">
        <v>0.43559999999999999</v>
      </c>
      <c r="K5835" t="str">
        <f>IFERROR(INDEX(Rosters!$C$2:$C$155,MATCH($B5835,Rosters!$B$2:$B$155,0)),"NA")</f>
        <v>NA</v>
      </c>
      <c r="L5835" t="str">
        <f t="shared" si="273"/>
        <v>NA15WR</v>
      </c>
      <c r="M5835">
        <f>COUNTIF(L$1:L5835,L5835)</f>
        <v>93</v>
      </c>
      <c r="N5835" t="str">
        <f t="shared" si="274"/>
        <v>NA15WR-93</v>
      </c>
      <c r="O5835">
        <f>COUNTIFS(F$1:F5835,F5835,A$1:A5835,A5835)</f>
        <v>147</v>
      </c>
      <c r="P5835" t="str">
        <f t="shared" si="275"/>
        <v>Vyncint Smith15</v>
      </c>
    </row>
    <row r="5836" spans="1:16" x14ac:dyDescent="0.25">
      <c r="A5836">
        <v>3</v>
      </c>
      <c r="B5836" t="s">
        <v>4240</v>
      </c>
      <c r="C5836" t="s">
        <v>4249</v>
      </c>
      <c r="D5836">
        <v>0.6</v>
      </c>
      <c r="E5836" t="s">
        <v>50</v>
      </c>
      <c r="F5836" t="s">
        <v>87</v>
      </c>
      <c r="G5836">
        <v>1.19</v>
      </c>
      <c r="H5836">
        <v>0.01</v>
      </c>
      <c r="I5836">
        <v>0.59</v>
      </c>
      <c r="J5836">
        <v>0.34810000000000002</v>
      </c>
      <c r="K5836" t="str">
        <f>IFERROR(INDEX(Rosters!$C$2:$C$155,MATCH($B5836,Rosters!$B$2:$B$155,0)),"NA")</f>
        <v>NA</v>
      </c>
      <c r="L5836" t="str">
        <f t="shared" si="273"/>
        <v>NA3WR</v>
      </c>
      <c r="M5836">
        <f>COUNTIF(L$1:L5836,L5836)</f>
        <v>78</v>
      </c>
      <c r="N5836" t="str">
        <f t="shared" si="274"/>
        <v>NA3WR-78</v>
      </c>
      <c r="O5836">
        <f>COUNTIFS(F$1:F5836,F5836,A$1:A5836,A5836)</f>
        <v>127</v>
      </c>
      <c r="P5836" t="str">
        <f t="shared" si="275"/>
        <v>Zach Pascal3</v>
      </c>
    </row>
    <row r="5837" spans="1:16" x14ac:dyDescent="0.25">
      <c r="A5837">
        <v>13</v>
      </c>
      <c r="B5837" t="s">
        <v>4240</v>
      </c>
      <c r="C5837">
        <f>-0.02-1.22</f>
        <v>-1.24</v>
      </c>
      <c r="D5837">
        <v>0.6</v>
      </c>
      <c r="E5837" t="s">
        <v>76</v>
      </c>
      <c r="F5837" t="s">
        <v>87</v>
      </c>
      <c r="G5837">
        <v>1.22</v>
      </c>
      <c r="H5837">
        <v>-0.02</v>
      </c>
      <c r="I5837">
        <v>0.62</v>
      </c>
      <c r="J5837">
        <v>0.38440000000000002</v>
      </c>
      <c r="K5837" t="str">
        <f>IFERROR(INDEX(Rosters!$C$2:$C$155,MATCH($B5837,Rosters!$B$2:$B$155,0)),"NA")</f>
        <v>NA</v>
      </c>
      <c r="L5837" t="str">
        <f t="shared" si="273"/>
        <v>NA13WR</v>
      </c>
      <c r="M5837">
        <f>COUNTIF(L$1:L5837,L5837)</f>
        <v>95</v>
      </c>
      <c r="N5837" t="str">
        <f t="shared" si="274"/>
        <v>NA13WR-95</v>
      </c>
      <c r="O5837">
        <f>COUNTIFS(F$1:F5837,F5837,A$1:A5837,A5837)</f>
        <v>149</v>
      </c>
      <c r="P5837" t="str">
        <f t="shared" si="275"/>
        <v>Zach Pascal13</v>
      </c>
    </row>
    <row r="5838" spans="1:16" x14ac:dyDescent="0.25">
      <c r="A5838">
        <v>11</v>
      </c>
      <c r="B5838" t="s">
        <v>1488</v>
      </c>
      <c r="C5838">
        <f>-0.11-1.29</f>
        <v>-1.4000000000000001</v>
      </c>
      <c r="D5838">
        <v>0.59</v>
      </c>
      <c r="E5838" t="s">
        <v>25</v>
      </c>
      <c r="F5838" t="s">
        <v>114</v>
      </c>
      <c r="G5838">
        <v>1.29</v>
      </c>
      <c r="H5838">
        <v>-0.11</v>
      </c>
      <c r="I5838">
        <v>0.7</v>
      </c>
      <c r="J5838">
        <v>0.49</v>
      </c>
      <c r="K5838" t="str">
        <f>IFERROR(INDEX(Rosters!$C$2:$C$155,MATCH($B5838,Rosters!$B$2:$B$155,0)),"NA")</f>
        <v>NA</v>
      </c>
      <c r="L5838" t="str">
        <f t="shared" si="273"/>
        <v>NA11TE</v>
      </c>
      <c r="M5838">
        <f>COUNTIF(L$1:L5838,L5838)</f>
        <v>48</v>
      </c>
      <c r="N5838" t="str">
        <f t="shared" si="274"/>
        <v>NA11TE-48</v>
      </c>
      <c r="O5838">
        <f>COUNTIFS(F$1:F5838,F5838,A$1:A5838,A5838)</f>
        <v>60</v>
      </c>
      <c r="P5838" t="str">
        <f t="shared" si="275"/>
        <v>Adam Shaheen11</v>
      </c>
    </row>
    <row r="5839" spans="1:16" x14ac:dyDescent="0.25">
      <c r="A5839">
        <v>15</v>
      </c>
      <c r="B5839" t="s">
        <v>1488</v>
      </c>
      <c r="C5839" t="s">
        <v>879</v>
      </c>
      <c r="D5839">
        <v>0.59</v>
      </c>
      <c r="E5839" t="s">
        <v>41</v>
      </c>
      <c r="F5839" t="s">
        <v>114</v>
      </c>
      <c r="G5839">
        <v>1.18</v>
      </c>
      <c r="H5839">
        <v>0</v>
      </c>
      <c r="I5839">
        <v>0.59</v>
      </c>
      <c r="J5839">
        <v>0.34810000000000002</v>
      </c>
      <c r="K5839" t="str">
        <f>IFERROR(INDEX(Rosters!$C$2:$C$155,MATCH($B5839,Rosters!$B$2:$B$155,0)),"NA")</f>
        <v>NA</v>
      </c>
      <c r="L5839" t="str">
        <f t="shared" si="273"/>
        <v>NA15TE</v>
      </c>
      <c r="M5839">
        <f>COUNTIF(L$1:L5839,L5839)</f>
        <v>63</v>
      </c>
      <c r="N5839" t="str">
        <f t="shared" si="274"/>
        <v>NA15TE-63</v>
      </c>
      <c r="O5839">
        <f>COUNTIFS(F$1:F5839,F5839,A$1:A5839,A5839)</f>
        <v>77</v>
      </c>
      <c r="P5839" t="str">
        <f t="shared" si="275"/>
        <v>Adam Shaheen15</v>
      </c>
    </row>
    <row r="5840" spans="1:16" x14ac:dyDescent="0.25">
      <c r="A5840">
        <v>5</v>
      </c>
      <c r="B5840" t="s">
        <v>1555</v>
      </c>
      <c r="C5840" t="s">
        <v>4731</v>
      </c>
      <c r="D5840">
        <v>0.59</v>
      </c>
      <c r="E5840" t="s">
        <v>54</v>
      </c>
      <c r="F5840" t="s">
        <v>47</v>
      </c>
      <c r="G5840">
        <v>1.1000000000000001</v>
      </c>
      <c r="H5840">
        <v>0.08</v>
      </c>
      <c r="I5840">
        <v>0.51</v>
      </c>
      <c r="J5840">
        <v>0.2601</v>
      </c>
      <c r="K5840" t="str">
        <f>IFERROR(INDEX(Rosters!$C$2:$C$155,MATCH($B5840,Rosters!$B$2:$B$155,0)),"NA")</f>
        <v>NA</v>
      </c>
      <c r="L5840" t="str">
        <f t="shared" si="273"/>
        <v>NA5RB</v>
      </c>
      <c r="M5840">
        <f>COUNTIF(L$1:L5840,L5840)</f>
        <v>53</v>
      </c>
      <c r="N5840" t="str">
        <f t="shared" si="274"/>
        <v>NA5RB-53</v>
      </c>
      <c r="O5840">
        <f>COUNTIFS(F$1:F5840,F5840,A$1:A5840,A5840)</f>
        <v>96</v>
      </c>
      <c r="P5840" t="str">
        <f t="shared" si="275"/>
        <v>Alex Armah5</v>
      </c>
    </row>
    <row r="5841" spans="1:16" x14ac:dyDescent="0.25">
      <c r="A5841">
        <v>13</v>
      </c>
      <c r="B5841" t="s">
        <v>1555</v>
      </c>
      <c r="C5841" t="s">
        <v>4731</v>
      </c>
      <c r="D5841">
        <v>0.59</v>
      </c>
      <c r="E5841" t="s">
        <v>17</v>
      </c>
      <c r="F5841" t="s">
        <v>47</v>
      </c>
      <c r="G5841">
        <v>1.1000000000000001</v>
      </c>
      <c r="H5841">
        <v>0.08</v>
      </c>
      <c r="I5841">
        <v>0.51</v>
      </c>
      <c r="J5841">
        <v>0.2601</v>
      </c>
      <c r="K5841" t="str">
        <f>IFERROR(INDEX(Rosters!$C$2:$C$155,MATCH($B5841,Rosters!$B$2:$B$155,0)),"NA")</f>
        <v>NA</v>
      </c>
      <c r="L5841" t="str">
        <f t="shared" si="273"/>
        <v>NA13RB</v>
      </c>
      <c r="M5841">
        <f>COUNTIF(L$1:L5841,L5841)</f>
        <v>59</v>
      </c>
      <c r="N5841" t="str">
        <f t="shared" si="274"/>
        <v>NA13RB-59</v>
      </c>
      <c r="O5841">
        <f>COUNTIFS(F$1:F5841,F5841,A$1:A5841,A5841)</f>
        <v>106</v>
      </c>
      <c r="P5841" t="str">
        <f t="shared" si="275"/>
        <v>Alex Armah13</v>
      </c>
    </row>
    <row r="5842" spans="1:16" x14ac:dyDescent="0.25">
      <c r="A5842">
        <v>7</v>
      </c>
      <c r="B5842" t="s">
        <v>1572</v>
      </c>
      <c r="C5842">
        <f>-0.01-1.19</f>
        <v>-1.2</v>
      </c>
      <c r="D5842">
        <v>0.59</v>
      </c>
      <c r="E5842" t="s">
        <v>19</v>
      </c>
      <c r="F5842" t="s">
        <v>87</v>
      </c>
      <c r="G5842">
        <v>1.19</v>
      </c>
      <c r="H5842">
        <v>-0.01</v>
      </c>
      <c r="I5842">
        <v>0.6</v>
      </c>
      <c r="J5842">
        <v>0.36</v>
      </c>
      <c r="K5842" t="str">
        <f>IFERROR(INDEX(Rosters!$C$2:$C$155,MATCH($B5842,Rosters!$B$2:$B$155,0)),"NA")</f>
        <v>NA</v>
      </c>
      <c r="L5842" t="str">
        <f t="shared" si="273"/>
        <v>NA7WR</v>
      </c>
      <c r="M5842">
        <f>COUNTIF(L$1:L5842,L5842)</f>
        <v>85</v>
      </c>
      <c r="N5842" t="str">
        <f t="shared" si="274"/>
        <v>NA7WR-85</v>
      </c>
      <c r="O5842">
        <f>COUNTIFS(F$1:F5842,F5842,A$1:A5842,A5842)</f>
        <v>130</v>
      </c>
      <c r="P5842" t="str">
        <f t="shared" si="275"/>
        <v>Andy Jones7</v>
      </c>
    </row>
    <row r="5843" spans="1:16" x14ac:dyDescent="0.25">
      <c r="A5843">
        <v>17</v>
      </c>
      <c r="B5843" t="s">
        <v>1572</v>
      </c>
      <c r="C5843">
        <f>-0.01-1.19</f>
        <v>-1.2</v>
      </c>
      <c r="D5843">
        <v>0.59</v>
      </c>
      <c r="E5843" t="s">
        <v>41</v>
      </c>
      <c r="F5843" t="s">
        <v>87</v>
      </c>
      <c r="G5843">
        <v>1.19</v>
      </c>
      <c r="H5843">
        <v>-0.01</v>
      </c>
      <c r="I5843">
        <v>0.6</v>
      </c>
      <c r="J5843">
        <v>0.36</v>
      </c>
      <c r="K5843" t="str">
        <f>IFERROR(INDEX(Rosters!$C$2:$C$155,MATCH($B5843,Rosters!$B$2:$B$155,0)),"NA")</f>
        <v>NA</v>
      </c>
      <c r="L5843" t="str">
        <f t="shared" si="273"/>
        <v>NA17WR</v>
      </c>
      <c r="M5843">
        <f>COUNTIF(L$1:L5843,L5843)</f>
        <v>93</v>
      </c>
      <c r="N5843" t="str">
        <f t="shared" si="274"/>
        <v>NA17WR-93</v>
      </c>
      <c r="O5843">
        <f>COUNTIFS(F$1:F5843,F5843,A$1:A5843,A5843)</f>
        <v>147</v>
      </c>
      <c r="P5843" t="str">
        <f t="shared" si="275"/>
        <v>Andy Jones17</v>
      </c>
    </row>
    <row r="5844" spans="1:16" x14ac:dyDescent="0.25">
      <c r="A5844">
        <v>1</v>
      </c>
      <c r="B5844" t="s">
        <v>1145</v>
      </c>
      <c r="C5844" t="s">
        <v>1143</v>
      </c>
      <c r="D5844">
        <v>0.59</v>
      </c>
      <c r="E5844" t="s">
        <v>41</v>
      </c>
      <c r="F5844" t="s">
        <v>114</v>
      </c>
      <c r="G5844">
        <v>1.1499999999999999</v>
      </c>
      <c r="H5844">
        <v>0.03</v>
      </c>
      <c r="I5844">
        <v>0.56000000000000005</v>
      </c>
      <c r="J5844">
        <v>0.31359999999999999</v>
      </c>
      <c r="K5844" t="str">
        <f>IFERROR(INDEX(Rosters!$C$2:$C$155,MATCH($B5844,Rosters!$B$2:$B$155,0)),"NA")</f>
        <v>NA</v>
      </c>
      <c r="L5844" t="str">
        <f t="shared" si="273"/>
        <v>NA1TE</v>
      </c>
      <c r="M5844">
        <f>COUNTIF(L$1:L5844,L5844)</f>
        <v>49</v>
      </c>
      <c r="N5844" t="str">
        <f t="shared" si="274"/>
        <v>NA1TE-49</v>
      </c>
      <c r="O5844">
        <f>COUNTIFS(F$1:F5844,F5844,A$1:A5844,A5844)</f>
        <v>62</v>
      </c>
      <c r="P5844" t="str">
        <f t="shared" si="275"/>
        <v>Ben Braunecker1</v>
      </c>
    </row>
    <row r="5845" spans="1:16" x14ac:dyDescent="0.25">
      <c r="A5845">
        <v>2</v>
      </c>
      <c r="B5845" t="s">
        <v>1145</v>
      </c>
      <c r="C5845">
        <f>-0.08-1.26</f>
        <v>-1.34</v>
      </c>
      <c r="D5845">
        <v>0.59</v>
      </c>
      <c r="E5845" t="s">
        <v>28</v>
      </c>
      <c r="F5845" t="s">
        <v>114</v>
      </c>
      <c r="G5845">
        <v>1.26</v>
      </c>
      <c r="H5845">
        <v>-0.08</v>
      </c>
      <c r="I5845">
        <v>0.67</v>
      </c>
      <c r="J5845">
        <v>0.44890000000000002</v>
      </c>
      <c r="K5845" t="str">
        <f>IFERROR(INDEX(Rosters!$C$2:$C$155,MATCH($B5845,Rosters!$B$2:$B$155,0)),"NA")</f>
        <v>NA</v>
      </c>
      <c r="L5845" t="str">
        <f t="shared" si="273"/>
        <v>NA2TE</v>
      </c>
      <c r="M5845">
        <f>COUNTIF(L$1:L5845,L5845)</f>
        <v>53</v>
      </c>
      <c r="N5845" t="str">
        <f t="shared" si="274"/>
        <v>NA2TE-53</v>
      </c>
      <c r="O5845">
        <f>COUNTIFS(F$1:F5845,F5845,A$1:A5845,A5845)</f>
        <v>66</v>
      </c>
      <c r="P5845" t="str">
        <f t="shared" si="275"/>
        <v>Ben Braunecker2</v>
      </c>
    </row>
    <row r="5846" spans="1:16" x14ac:dyDescent="0.25">
      <c r="A5846">
        <v>7</v>
      </c>
      <c r="B5846" t="s">
        <v>1145</v>
      </c>
      <c r="C5846" t="s">
        <v>879</v>
      </c>
      <c r="D5846">
        <v>0.59</v>
      </c>
      <c r="E5846" t="s">
        <v>423</v>
      </c>
      <c r="F5846" t="s">
        <v>114</v>
      </c>
      <c r="G5846">
        <v>1.18</v>
      </c>
      <c r="H5846">
        <v>0</v>
      </c>
      <c r="I5846">
        <v>0.59</v>
      </c>
      <c r="J5846">
        <v>0.34810000000000002</v>
      </c>
      <c r="K5846" t="str">
        <f>IFERROR(INDEX(Rosters!$C$2:$C$155,MATCH($B5846,Rosters!$B$2:$B$155,0)),"NA")</f>
        <v>NA</v>
      </c>
      <c r="L5846" t="str">
        <f t="shared" si="273"/>
        <v>NA7TE</v>
      </c>
      <c r="M5846">
        <f>COUNTIF(L$1:L5846,L5846)</f>
        <v>57</v>
      </c>
      <c r="N5846" t="str">
        <f t="shared" si="274"/>
        <v>NA7TE-57</v>
      </c>
      <c r="O5846">
        <f>COUNTIFS(F$1:F5846,F5846,A$1:A5846,A5846)</f>
        <v>67</v>
      </c>
      <c r="P5846" t="str">
        <f t="shared" si="275"/>
        <v>Ben Braunecker7</v>
      </c>
    </row>
    <row r="5847" spans="1:16" x14ac:dyDescent="0.25">
      <c r="A5847">
        <v>6</v>
      </c>
      <c r="B5847" t="s">
        <v>1627</v>
      </c>
      <c r="C5847" t="s">
        <v>8904</v>
      </c>
      <c r="D5847">
        <v>0.59</v>
      </c>
      <c r="E5847" t="s">
        <v>77</v>
      </c>
      <c r="F5847" t="s">
        <v>15</v>
      </c>
      <c r="G5847">
        <v>1.1200000000000001</v>
      </c>
      <c r="H5847">
        <v>0.06</v>
      </c>
      <c r="I5847">
        <v>0.53</v>
      </c>
      <c r="J5847">
        <v>0.28089999999999998</v>
      </c>
      <c r="K5847" t="str">
        <f>IFERROR(INDEX(Rosters!$C$2:$C$155,MATCH($B5847,Rosters!$B$2:$B$155,0)),"NA")</f>
        <v>NA</v>
      </c>
      <c r="L5847" t="str">
        <f t="shared" si="273"/>
        <v>NA6QB</v>
      </c>
      <c r="M5847">
        <f>COUNTIF(L$1:L5847,L5847)</f>
        <v>36</v>
      </c>
      <c r="N5847" t="str">
        <f t="shared" si="274"/>
        <v>NA6QB-36</v>
      </c>
      <c r="O5847">
        <f>COUNTIFS(F$1:F5847,F5847,A$1:A5847,A5847)</f>
        <v>51</v>
      </c>
      <c r="P5847" t="str">
        <f t="shared" si="275"/>
        <v>Blaine Gabbert6</v>
      </c>
    </row>
    <row r="5848" spans="1:16" x14ac:dyDescent="0.25">
      <c r="A5848">
        <v>8</v>
      </c>
      <c r="B5848" t="s">
        <v>2851</v>
      </c>
      <c r="C5848">
        <f>-0.14-1.32</f>
        <v>-1.46</v>
      </c>
      <c r="D5848">
        <v>0.59</v>
      </c>
      <c r="E5848" t="s">
        <v>25</v>
      </c>
      <c r="F5848" t="s">
        <v>87</v>
      </c>
      <c r="G5848">
        <v>1.32</v>
      </c>
      <c r="H5848">
        <v>-0.14000000000000001</v>
      </c>
      <c r="I5848">
        <v>0.73</v>
      </c>
      <c r="J5848">
        <v>0.53290000000000004</v>
      </c>
      <c r="K5848" t="str">
        <f>IFERROR(INDEX(Rosters!$C$2:$C$155,MATCH($B5848,Rosters!$B$2:$B$155,0)),"NA")</f>
        <v>NA</v>
      </c>
      <c r="L5848" t="str">
        <f t="shared" si="273"/>
        <v>NA8WR</v>
      </c>
      <c r="M5848">
        <f>COUNTIF(L$1:L5848,L5848)</f>
        <v>82</v>
      </c>
      <c r="N5848" t="str">
        <f t="shared" si="274"/>
        <v>NA8WR-82</v>
      </c>
      <c r="O5848">
        <f>COUNTIFS(F$1:F5848,F5848,A$1:A5848,A5848)</f>
        <v>131</v>
      </c>
      <c r="P5848" t="str">
        <f t="shared" si="275"/>
        <v>Brandon Tate8</v>
      </c>
    </row>
    <row r="5849" spans="1:16" x14ac:dyDescent="0.25">
      <c r="A5849">
        <v>17</v>
      </c>
      <c r="B5849" t="s">
        <v>1147</v>
      </c>
      <c r="C5849">
        <f>-0.01-1.19</f>
        <v>-1.2</v>
      </c>
      <c r="D5849">
        <v>0.59</v>
      </c>
      <c r="E5849" t="s">
        <v>50</v>
      </c>
      <c r="F5849" t="s">
        <v>87</v>
      </c>
      <c r="G5849">
        <v>1.19</v>
      </c>
      <c r="H5849">
        <v>-0.01</v>
      </c>
      <c r="I5849">
        <v>0.6</v>
      </c>
      <c r="J5849">
        <v>0.36</v>
      </c>
      <c r="K5849" t="str">
        <f>IFERROR(INDEX(Rosters!$C$2:$C$155,MATCH($B5849,Rosters!$B$2:$B$155,0)),"NA")</f>
        <v>NA</v>
      </c>
      <c r="L5849" t="str">
        <f t="shared" si="273"/>
        <v>NA17WR</v>
      </c>
      <c r="M5849">
        <f>COUNTIF(L$1:L5849,L5849)</f>
        <v>94</v>
      </c>
      <c r="N5849" t="str">
        <f t="shared" si="274"/>
        <v>NA17WR-94</v>
      </c>
      <c r="O5849">
        <f>COUNTIFS(F$1:F5849,F5849,A$1:A5849,A5849)</f>
        <v>148</v>
      </c>
      <c r="P5849" t="str">
        <f t="shared" si="275"/>
        <v>Byron Marshall17</v>
      </c>
    </row>
    <row r="5850" spans="1:16" x14ac:dyDescent="0.25">
      <c r="A5850">
        <v>15</v>
      </c>
      <c r="B5850" t="s">
        <v>311</v>
      </c>
      <c r="C5850">
        <f>-0.03-1.21</f>
        <v>-1.24</v>
      </c>
      <c r="D5850">
        <v>0.59</v>
      </c>
      <c r="E5850" t="s">
        <v>37</v>
      </c>
      <c r="F5850" t="s">
        <v>15</v>
      </c>
      <c r="G5850">
        <v>1.21</v>
      </c>
      <c r="H5850">
        <v>-0.03</v>
      </c>
      <c r="I5850">
        <v>0.62</v>
      </c>
      <c r="J5850">
        <v>0.38440000000000002</v>
      </c>
      <c r="K5850" t="str">
        <f>IFERROR(INDEX(Rosters!$C$2:$C$155,MATCH($B5850,Rosters!$B$2:$B$155,0)),"NA")</f>
        <v>NA</v>
      </c>
      <c r="L5850" t="str">
        <f t="shared" si="273"/>
        <v>NA15QB</v>
      </c>
      <c r="M5850">
        <f>COUNTIF(L$1:L5850,L5850)</f>
        <v>38</v>
      </c>
      <c r="N5850" t="str">
        <f t="shared" si="274"/>
        <v>NA15QB-38</v>
      </c>
      <c r="O5850">
        <f>COUNTIFS(F$1:F5850,F5850,A$1:A5850,A5850)</f>
        <v>55</v>
      </c>
      <c r="P5850" t="str">
        <f t="shared" si="275"/>
        <v>Chad Henne15</v>
      </c>
    </row>
    <row r="5851" spans="1:16" x14ac:dyDescent="0.25">
      <c r="A5851">
        <v>10</v>
      </c>
      <c r="B5851" t="s">
        <v>1126</v>
      </c>
      <c r="C5851">
        <f>-0.05-1.23</f>
        <v>-1.28</v>
      </c>
      <c r="D5851">
        <v>0.59</v>
      </c>
      <c r="E5851" t="s">
        <v>29</v>
      </c>
      <c r="F5851" t="s">
        <v>87</v>
      </c>
      <c r="G5851">
        <v>1.23</v>
      </c>
      <c r="H5851">
        <v>-0.05</v>
      </c>
      <c r="I5851">
        <v>0.64</v>
      </c>
      <c r="J5851">
        <v>0.40960000000000002</v>
      </c>
      <c r="K5851" t="str">
        <f>IFERROR(INDEX(Rosters!$C$2:$C$155,MATCH($B5851,Rosters!$B$2:$B$155,0)),"NA")</f>
        <v>NA</v>
      </c>
      <c r="L5851" t="str">
        <f t="shared" si="273"/>
        <v>NA10WR</v>
      </c>
      <c r="M5851">
        <f>COUNTIF(L$1:L5851,L5851)</f>
        <v>88</v>
      </c>
      <c r="N5851" t="str">
        <f t="shared" si="274"/>
        <v>NA10WR-88</v>
      </c>
      <c r="O5851">
        <f>COUNTIFS(F$1:F5851,F5851,A$1:A5851,A5851)</f>
        <v>133</v>
      </c>
      <c r="P5851" t="str">
        <f t="shared" si="275"/>
        <v>Charone Peake10</v>
      </c>
    </row>
    <row r="5852" spans="1:16" x14ac:dyDescent="0.25">
      <c r="A5852">
        <v>2</v>
      </c>
      <c r="B5852" t="s">
        <v>744</v>
      </c>
      <c r="C5852" t="s">
        <v>350</v>
      </c>
      <c r="D5852">
        <v>0.59</v>
      </c>
      <c r="E5852" t="s">
        <v>423</v>
      </c>
      <c r="F5852" t="s">
        <v>15</v>
      </c>
      <c r="G5852">
        <v>1.0900000000000001</v>
      </c>
      <c r="H5852">
        <v>0.09</v>
      </c>
      <c r="I5852">
        <v>0.5</v>
      </c>
      <c r="J5852">
        <v>0.25</v>
      </c>
      <c r="K5852" t="str">
        <f>IFERROR(INDEX(Rosters!$C$2:$C$155,MATCH($B5852,Rosters!$B$2:$B$155,0)),"NA")</f>
        <v>NA</v>
      </c>
      <c r="L5852" t="str">
        <f t="shared" si="273"/>
        <v>NA2QB</v>
      </c>
      <c r="M5852">
        <f>COUNTIF(L$1:L5852,L5852)</f>
        <v>29</v>
      </c>
      <c r="N5852" t="str">
        <f t="shared" si="274"/>
        <v>NA2QB-29</v>
      </c>
      <c r="O5852">
        <f>COUNTIFS(F$1:F5852,F5852,A$1:A5852,A5852)</f>
        <v>45</v>
      </c>
      <c r="P5852" t="str">
        <f t="shared" si="275"/>
        <v>Cody Kessler2</v>
      </c>
    </row>
    <row r="5853" spans="1:16" x14ac:dyDescent="0.25">
      <c r="A5853">
        <v>2</v>
      </c>
      <c r="B5853" t="s">
        <v>1562</v>
      </c>
      <c r="C5853">
        <f>-0.06-1.24</f>
        <v>-1.3</v>
      </c>
      <c r="D5853">
        <v>0.59</v>
      </c>
      <c r="E5853" t="s">
        <v>34</v>
      </c>
      <c r="F5853" t="s">
        <v>114</v>
      </c>
      <c r="G5853">
        <v>1.24</v>
      </c>
      <c r="H5853">
        <v>-0.06</v>
      </c>
      <c r="I5853">
        <v>0.65</v>
      </c>
      <c r="J5853">
        <v>0.42249999999999999</v>
      </c>
      <c r="K5853" t="str">
        <f>IFERROR(INDEX(Rosters!$C$2:$C$155,MATCH($B5853,Rosters!$B$2:$B$155,0)),"NA")</f>
        <v>NA</v>
      </c>
      <c r="L5853" t="str">
        <f t="shared" si="273"/>
        <v>NA2TE</v>
      </c>
      <c r="M5853">
        <f>COUNTIF(L$1:L5853,L5853)</f>
        <v>54</v>
      </c>
      <c r="N5853" t="str">
        <f t="shared" si="274"/>
        <v>NA2TE-54</v>
      </c>
      <c r="O5853">
        <f>COUNTIFS(F$1:F5853,F5853,A$1:A5853,A5853)</f>
        <v>67</v>
      </c>
      <c r="P5853" t="str">
        <f t="shared" si="275"/>
        <v>Cole Wick2</v>
      </c>
    </row>
    <row r="5854" spans="1:16" x14ac:dyDescent="0.25">
      <c r="A5854">
        <v>15</v>
      </c>
      <c r="B5854" t="s">
        <v>1562</v>
      </c>
      <c r="C5854">
        <f>-0.04-1.22</f>
        <v>-1.26</v>
      </c>
      <c r="D5854">
        <v>0.59</v>
      </c>
      <c r="E5854" t="s">
        <v>28</v>
      </c>
      <c r="F5854" t="s">
        <v>114</v>
      </c>
      <c r="G5854">
        <v>1.22</v>
      </c>
      <c r="H5854">
        <v>-0.04</v>
      </c>
      <c r="I5854">
        <v>0.63</v>
      </c>
      <c r="J5854">
        <v>0.39689999999999998</v>
      </c>
      <c r="K5854" t="str">
        <f>IFERROR(INDEX(Rosters!$C$2:$C$155,MATCH($B5854,Rosters!$B$2:$B$155,0)),"NA")</f>
        <v>NA</v>
      </c>
      <c r="L5854" t="str">
        <f t="shared" si="273"/>
        <v>NA15TE</v>
      </c>
      <c r="M5854">
        <f>COUNTIF(L$1:L5854,L5854)</f>
        <v>64</v>
      </c>
      <c r="N5854" t="str">
        <f t="shared" si="274"/>
        <v>NA15TE-64</v>
      </c>
      <c r="O5854">
        <f>COUNTIFS(F$1:F5854,F5854,A$1:A5854,A5854)</f>
        <v>78</v>
      </c>
      <c r="P5854" t="str">
        <f t="shared" si="275"/>
        <v>Cole Wick15</v>
      </c>
    </row>
    <row r="5855" spans="1:16" x14ac:dyDescent="0.25">
      <c r="A5855">
        <v>6</v>
      </c>
      <c r="B5855" t="s">
        <v>4729</v>
      </c>
      <c r="C5855">
        <f>-0.06-1.24</f>
        <v>-1.3</v>
      </c>
      <c r="D5855">
        <v>0.59</v>
      </c>
      <c r="E5855" t="s">
        <v>56</v>
      </c>
      <c r="F5855" t="s">
        <v>87</v>
      </c>
      <c r="G5855">
        <v>1.24</v>
      </c>
      <c r="H5855">
        <v>-0.06</v>
      </c>
      <c r="I5855">
        <v>0.65</v>
      </c>
      <c r="J5855">
        <v>0.42249999999999999</v>
      </c>
      <c r="K5855" t="str">
        <f>IFERROR(INDEX(Rosters!$C$2:$C$155,MATCH($B5855,Rosters!$B$2:$B$155,0)),"NA")</f>
        <v>NA</v>
      </c>
      <c r="L5855" t="str">
        <f t="shared" si="273"/>
        <v>NA6WR</v>
      </c>
      <c r="M5855">
        <f>COUNTIF(L$1:L5855,L5855)</f>
        <v>92</v>
      </c>
      <c r="N5855" t="str">
        <f t="shared" si="274"/>
        <v>NA6WR-92</v>
      </c>
      <c r="O5855">
        <f>COUNTIFS(F$1:F5855,F5855,A$1:A5855,A5855)</f>
        <v>142</v>
      </c>
      <c r="P5855" t="str">
        <f t="shared" si="275"/>
        <v>DaeSean Hamilton6</v>
      </c>
    </row>
    <row r="5856" spans="1:16" x14ac:dyDescent="0.25">
      <c r="A5856">
        <v>12</v>
      </c>
      <c r="B5856" t="s">
        <v>4729</v>
      </c>
      <c r="C5856">
        <f>-0.03-1.21</f>
        <v>-1.24</v>
      </c>
      <c r="D5856">
        <v>0.59</v>
      </c>
      <c r="E5856" t="s">
        <v>51</v>
      </c>
      <c r="F5856" t="s">
        <v>87</v>
      </c>
      <c r="G5856">
        <v>1.21</v>
      </c>
      <c r="H5856">
        <v>-0.03</v>
      </c>
      <c r="I5856">
        <v>0.62</v>
      </c>
      <c r="J5856">
        <v>0.38440000000000002</v>
      </c>
      <c r="K5856" t="str">
        <f>IFERROR(INDEX(Rosters!$C$2:$C$155,MATCH($B5856,Rosters!$B$2:$B$155,0)),"NA")</f>
        <v>NA</v>
      </c>
      <c r="L5856" t="str">
        <f t="shared" si="273"/>
        <v>NA12WR</v>
      </c>
      <c r="M5856">
        <f>COUNTIF(L$1:L5856,L5856)</f>
        <v>94</v>
      </c>
      <c r="N5856" t="str">
        <f t="shared" si="274"/>
        <v>NA12WR-94</v>
      </c>
      <c r="O5856">
        <f>COUNTIFS(F$1:F5856,F5856,A$1:A5856,A5856)</f>
        <v>143</v>
      </c>
      <c r="P5856" t="str">
        <f t="shared" si="275"/>
        <v>DaeSean Hamilton12</v>
      </c>
    </row>
    <row r="5857" spans="1:16" x14ac:dyDescent="0.25">
      <c r="A5857">
        <v>14</v>
      </c>
      <c r="B5857" t="s">
        <v>1559</v>
      </c>
      <c r="C5857">
        <f>-0.06-1.24</f>
        <v>-1.3</v>
      </c>
      <c r="D5857">
        <v>0.59</v>
      </c>
      <c r="E5857" t="s">
        <v>56</v>
      </c>
      <c r="F5857" t="s">
        <v>114</v>
      </c>
      <c r="G5857">
        <v>1.24</v>
      </c>
      <c r="H5857">
        <v>-0.06</v>
      </c>
      <c r="I5857">
        <v>0.65</v>
      </c>
      <c r="J5857">
        <v>0.42249999999999999</v>
      </c>
      <c r="K5857" t="str">
        <f>IFERROR(INDEX(Rosters!$C$2:$C$155,MATCH($B5857,Rosters!$B$2:$B$155,0)),"NA")</f>
        <v>NA</v>
      </c>
      <c r="L5857" t="str">
        <f t="shared" si="273"/>
        <v>NA14TE</v>
      </c>
      <c r="M5857">
        <f>COUNTIF(L$1:L5857,L5857)</f>
        <v>64</v>
      </c>
      <c r="N5857" t="str">
        <f t="shared" si="274"/>
        <v>NA14TE-64</v>
      </c>
      <c r="O5857">
        <f>COUNTIFS(F$1:F5857,F5857,A$1:A5857,A5857)</f>
        <v>78</v>
      </c>
      <c r="P5857" t="str">
        <f t="shared" si="275"/>
        <v>Daniel Brown14</v>
      </c>
    </row>
    <row r="5858" spans="1:16" x14ac:dyDescent="0.25">
      <c r="A5858">
        <v>14</v>
      </c>
      <c r="B5858" t="s">
        <v>361</v>
      </c>
      <c r="C5858">
        <f>-0.04-1.22</f>
        <v>-1.26</v>
      </c>
      <c r="D5858">
        <v>0.59</v>
      </c>
      <c r="E5858" t="s">
        <v>77</v>
      </c>
      <c r="F5858" t="s">
        <v>87</v>
      </c>
      <c r="G5858">
        <v>1.22</v>
      </c>
      <c r="H5858">
        <v>-0.04</v>
      </c>
      <c r="I5858">
        <v>0.63</v>
      </c>
      <c r="J5858">
        <v>0.39689999999999998</v>
      </c>
      <c r="K5858" t="str">
        <f>IFERROR(INDEX(Rosters!$C$2:$C$155,MATCH($B5858,Rosters!$B$2:$B$155,0)),"NA")</f>
        <v>NA</v>
      </c>
      <c r="L5858" t="str">
        <f t="shared" si="273"/>
        <v>NA14WR</v>
      </c>
      <c r="M5858">
        <f>COUNTIF(L$1:L5858,L5858)</f>
        <v>92</v>
      </c>
      <c r="N5858" t="str">
        <f t="shared" si="274"/>
        <v>NA14WR-92</v>
      </c>
      <c r="O5858">
        <f>COUNTIFS(F$1:F5858,F5858,A$1:A5858,A5858)</f>
        <v>146</v>
      </c>
      <c r="P5858" t="str">
        <f t="shared" si="275"/>
        <v>De'Anthony Thomas14</v>
      </c>
    </row>
    <row r="5859" spans="1:16" x14ac:dyDescent="0.25">
      <c r="A5859">
        <v>15</v>
      </c>
      <c r="B5859" t="s">
        <v>8733</v>
      </c>
      <c r="C5859" t="s">
        <v>4253</v>
      </c>
      <c r="D5859">
        <v>0.59</v>
      </c>
      <c r="E5859" t="s">
        <v>56</v>
      </c>
      <c r="F5859" t="s">
        <v>87</v>
      </c>
      <c r="G5859">
        <v>1.07</v>
      </c>
      <c r="H5859">
        <v>0.11</v>
      </c>
      <c r="I5859">
        <v>0.48</v>
      </c>
      <c r="J5859">
        <v>0.23039999999999999</v>
      </c>
      <c r="K5859" t="str">
        <f>IFERROR(INDEX(Rosters!$C$2:$C$155,MATCH($B5859,Rosters!$B$2:$B$155,0)),"NA")</f>
        <v>NA</v>
      </c>
      <c r="L5859" t="str">
        <f t="shared" si="273"/>
        <v>NA15WR</v>
      </c>
      <c r="M5859">
        <f>COUNTIF(L$1:L5859,L5859)</f>
        <v>94</v>
      </c>
      <c r="N5859" t="str">
        <f t="shared" si="274"/>
        <v>NA15WR-94</v>
      </c>
      <c r="O5859">
        <f>COUNTIFS(F$1:F5859,F5859,A$1:A5859,A5859)</f>
        <v>148</v>
      </c>
      <c r="P5859" t="str">
        <f t="shared" si="275"/>
        <v>DeAndre Carter15</v>
      </c>
    </row>
    <row r="5860" spans="1:16" x14ac:dyDescent="0.25">
      <c r="A5860">
        <v>17</v>
      </c>
      <c r="B5860" t="s">
        <v>8733</v>
      </c>
      <c r="C5860" t="s">
        <v>4253</v>
      </c>
      <c r="D5860">
        <v>0.59</v>
      </c>
      <c r="E5860" t="s">
        <v>60</v>
      </c>
      <c r="F5860" t="s">
        <v>87</v>
      </c>
      <c r="G5860">
        <v>1.07</v>
      </c>
      <c r="H5860">
        <v>0.11</v>
      </c>
      <c r="I5860">
        <v>0.48</v>
      </c>
      <c r="J5860">
        <v>0.23039999999999999</v>
      </c>
      <c r="K5860" t="str">
        <f>IFERROR(INDEX(Rosters!$C$2:$C$155,MATCH($B5860,Rosters!$B$2:$B$155,0)),"NA")</f>
        <v>NA</v>
      </c>
      <c r="L5860" t="str">
        <f t="shared" si="273"/>
        <v>NA17WR</v>
      </c>
      <c r="M5860">
        <f>COUNTIF(L$1:L5860,L5860)</f>
        <v>95</v>
      </c>
      <c r="N5860" t="str">
        <f t="shared" si="274"/>
        <v>NA17WR-95</v>
      </c>
      <c r="O5860">
        <f>COUNTIFS(F$1:F5860,F5860,A$1:A5860,A5860)</f>
        <v>149</v>
      </c>
      <c r="P5860" t="str">
        <f t="shared" si="275"/>
        <v>DeAndre Carter17</v>
      </c>
    </row>
    <row r="5861" spans="1:16" x14ac:dyDescent="0.25">
      <c r="A5861">
        <v>6</v>
      </c>
      <c r="B5861" t="s">
        <v>218</v>
      </c>
      <c r="C5861">
        <f>-0.02-1.2</f>
        <v>-1.22</v>
      </c>
      <c r="D5861">
        <v>0.59</v>
      </c>
      <c r="E5861" t="s">
        <v>28</v>
      </c>
      <c r="F5861" t="s">
        <v>47</v>
      </c>
      <c r="G5861">
        <v>1.2</v>
      </c>
      <c r="H5861">
        <v>-0.02</v>
      </c>
      <c r="I5861">
        <v>0.61</v>
      </c>
      <c r="J5861">
        <v>0.37209999999999999</v>
      </c>
      <c r="K5861" t="str">
        <f>IFERROR(INDEX(Rosters!$C$2:$C$155,MATCH($B5861,Rosters!$B$2:$B$155,0)),"NA")</f>
        <v>NA</v>
      </c>
      <c r="L5861" t="str">
        <f t="shared" si="273"/>
        <v>NA6RB</v>
      </c>
      <c r="M5861">
        <f>COUNTIF(L$1:L5861,L5861)</f>
        <v>49</v>
      </c>
      <c r="N5861" t="str">
        <f t="shared" si="274"/>
        <v>NA6RB-49</v>
      </c>
      <c r="O5861">
        <f>COUNTIFS(F$1:F5861,F5861,A$1:A5861,A5861)</f>
        <v>91</v>
      </c>
      <c r="P5861" t="str">
        <f t="shared" si="275"/>
        <v>DeAndre Washington6</v>
      </c>
    </row>
    <row r="5862" spans="1:16" x14ac:dyDescent="0.25">
      <c r="A5862">
        <v>9</v>
      </c>
      <c r="B5862" t="s">
        <v>218</v>
      </c>
      <c r="C5862" t="s">
        <v>1143</v>
      </c>
      <c r="D5862">
        <v>0.59</v>
      </c>
      <c r="E5862" t="s">
        <v>30</v>
      </c>
      <c r="F5862" t="s">
        <v>47</v>
      </c>
      <c r="G5862">
        <v>1.1499999999999999</v>
      </c>
      <c r="H5862">
        <v>0.03</v>
      </c>
      <c r="I5862">
        <v>0.56000000000000005</v>
      </c>
      <c r="J5862">
        <v>0.31359999999999999</v>
      </c>
      <c r="K5862" t="str">
        <f>IFERROR(INDEX(Rosters!$C$2:$C$155,MATCH($B5862,Rosters!$B$2:$B$155,0)),"NA")</f>
        <v>NA</v>
      </c>
      <c r="L5862" t="str">
        <f t="shared" si="273"/>
        <v>NA9RB</v>
      </c>
      <c r="M5862">
        <f>COUNTIF(L$1:L5862,L5862)</f>
        <v>45</v>
      </c>
      <c r="N5862" t="str">
        <f t="shared" si="274"/>
        <v>NA9RB-45</v>
      </c>
      <c r="O5862">
        <f>COUNTIFS(F$1:F5862,F5862,A$1:A5862,A5862)</f>
        <v>85</v>
      </c>
      <c r="P5862" t="str">
        <f t="shared" si="275"/>
        <v>DeAndre Washington9</v>
      </c>
    </row>
    <row r="5863" spans="1:16" x14ac:dyDescent="0.25">
      <c r="A5863">
        <v>12</v>
      </c>
      <c r="B5863" t="s">
        <v>2808</v>
      </c>
      <c r="C5863">
        <f>-0.02-1.2</f>
        <v>-1.22</v>
      </c>
      <c r="D5863">
        <v>0.59</v>
      </c>
      <c r="E5863" t="s">
        <v>42</v>
      </c>
      <c r="F5863" t="s">
        <v>87</v>
      </c>
      <c r="G5863">
        <v>1.2</v>
      </c>
      <c r="H5863">
        <v>-0.02</v>
      </c>
      <c r="I5863">
        <v>0.61</v>
      </c>
      <c r="J5863">
        <v>0.37209999999999999</v>
      </c>
      <c r="K5863" t="str">
        <f>IFERROR(INDEX(Rosters!$C$2:$C$155,MATCH($B5863,Rosters!$B$2:$B$155,0)),"NA")</f>
        <v>NA</v>
      </c>
      <c r="L5863" t="str">
        <f t="shared" si="273"/>
        <v>NA12WR</v>
      </c>
      <c r="M5863">
        <f>COUNTIF(L$1:L5863,L5863)</f>
        <v>95</v>
      </c>
      <c r="N5863" t="str">
        <f t="shared" si="274"/>
        <v>NA12WR-95</v>
      </c>
      <c r="O5863">
        <f>COUNTIFS(F$1:F5863,F5863,A$1:A5863,A5863)</f>
        <v>144</v>
      </c>
      <c r="P5863" t="str">
        <f t="shared" si="275"/>
        <v>Eli Rogers12</v>
      </c>
    </row>
    <row r="5864" spans="1:16" x14ac:dyDescent="0.25">
      <c r="A5864">
        <v>13</v>
      </c>
      <c r="B5864" t="s">
        <v>2765</v>
      </c>
      <c r="C5864">
        <f>-0.01-1.19</f>
        <v>-1.2</v>
      </c>
      <c r="D5864">
        <v>0.59</v>
      </c>
      <c r="E5864" t="s">
        <v>72</v>
      </c>
      <c r="F5864" t="s">
        <v>47</v>
      </c>
      <c r="G5864">
        <v>1.19</v>
      </c>
      <c r="H5864">
        <v>-0.01</v>
      </c>
      <c r="I5864">
        <v>0.6</v>
      </c>
      <c r="J5864">
        <v>0.36</v>
      </c>
      <c r="K5864" t="str">
        <f>IFERROR(INDEX(Rosters!$C$2:$C$155,MATCH($B5864,Rosters!$B$2:$B$155,0)),"NA")</f>
        <v>NA</v>
      </c>
      <c r="L5864" t="str">
        <f t="shared" si="273"/>
        <v>NA13RB</v>
      </c>
      <c r="M5864">
        <f>COUNTIF(L$1:L5864,L5864)</f>
        <v>60</v>
      </c>
      <c r="N5864" t="str">
        <f t="shared" si="274"/>
        <v>NA13RB-60</v>
      </c>
      <c r="O5864">
        <f>COUNTIFS(F$1:F5864,F5864,A$1:A5864,A5864)</f>
        <v>107</v>
      </c>
      <c r="P5864" t="str">
        <f t="shared" si="275"/>
        <v>Elijhaa Penny13</v>
      </c>
    </row>
    <row r="5865" spans="1:16" x14ac:dyDescent="0.25">
      <c r="A5865">
        <v>11</v>
      </c>
      <c r="B5865" t="s">
        <v>1624</v>
      </c>
      <c r="C5865">
        <f>-0.02-1.2</f>
        <v>-1.22</v>
      </c>
      <c r="D5865">
        <v>0.59</v>
      </c>
      <c r="E5865" t="s">
        <v>32</v>
      </c>
      <c r="F5865" t="s">
        <v>114</v>
      </c>
      <c r="G5865">
        <v>1.2</v>
      </c>
      <c r="H5865">
        <v>-0.02</v>
      </c>
      <c r="I5865">
        <v>0.61</v>
      </c>
      <c r="J5865">
        <v>0.37209999999999999</v>
      </c>
      <c r="K5865" t="str">
        <f>IFERROR(INDEX(Rosters!$C$2:$C$155,MATCH($B5865,Rosters!$B$2:$B$155,0)),"NA")</f>
        <v>NA</v>
      </c>
      <c r="L5865" t="str">
        <f t="shared" si="273"/>
        <v>NA11TE</v>
      </c>
      <c r="M5865">
        <f>COUNTIF(L$1:L5865,L5865)</f>
        <v>49</v>
      </c>
      <c r="N5865" t="str">
        <f t="shared" si="274"/>
        <v>NA11TE-49</v>
      </c>
      <c r="O5865">
        <f>COUNTIFS(F$1:F5865,F5865,A$1:A5865,A5865)</f>
        <v>61</v>
      </c>
      <c r="P5865" t="str">
        <f t="shared" si="275"/>
        <v>Gabe Holmes11</v>
      </c>
    </row>
    <row r="5866" spans="1:16" x14ac:dyDescent="0.25">
      <c r="A5866">
        <v>16</v>
      </c>
      <c r="B5866" t="s">
        <v>1624</v>
      </c>
      <c r="C5866">
        <f>-0.06-1.24</f>
        <v>-1.3</v>
      </c>
      <c r="D5866">
        <v>0.59</v>
      </c>
      <c r="E5866" t="s">
        <v>56</v>
      </c>
      <c r="F5866" t="s">
        <v>114</v>
      </c>
      <c r="G5866">
        <v>1.24</v>
      </c>
      <c r="H5866">
        <v>-0.06</v>
      </c>
      <c r="I5866">
        <v>0.65</v>
      </c>
      <c r="J5866">
        <v>0.42249999999999999</v>
      </c>
      <c r="K5866" t="str">
        <f>IFERROR(INDEX(Rosters!$C$2:$C$155,MATCH($B5866,Rosters!$B$2:$B$155,0)),"NA")</f>
        <v>NA</v>
      </c>
      <c r="L5866" t="str">
        <f t="shared" si="273"/>
        <v>NA16TE</v>
      </c>
      <c r="M5866">
        <f>COUNTIF(L$1:L5866,L5866)</f>
        <v>62</v>
      </c>
      <c r="N5866" t="str">
        <f t="shared" si="274"/>
        <v>NA16TE-62</v>
      </c>
      <c r="O5866">
        <f>COUNTIFS(F$1:F5866,F5866,A$1:A5866,A5866)</f>
        <v>76</v>
      </c>
      <c r="P5866" t="str">
        <f t="shared" si="275"/>
        <v>Gabe Holmes16</v>
      </c>
    </row>
    <row r="5867" spans="1:16" x14ac:dyDescent="0.25">
      <c r="A5867">
        <v>16</v>
      </c>
      <c r="B5867" t="s">
        <v>2848</v>
      </c>
      <c r="C5867">
        <f>-0.06-1.24</f>
        <v>-1.3</v>
      </c>
      <c r="D5867">
        <v>0.59</v>
      </c>
      <c r="E5867" t="s">
        <v>17</v>
      </c>
      <c r="F5867" t="s">
        <v>47</v>
      </c>
      <c r="G5867">
        <v>1.24</v>
      </c>
      <c r="H5867">
        <v>-0.06</v>
      </c>
      <c r="I5867">
        <v>0.65</v>
      </c>
      <c r="J5867">
        <v>0.42249999999999999</v>
      </c>
      <c r="K5867" t="str">
        <f>IFERROR(INDEX(Rosters!$C$2:$C$155,MATCH($B5867,Rosters!$B$2:$B$155,0)),"NA")</f>
        <v>NA</v>
      </c>
      <c r="L5867" t="str">
        <f t="shared" si="273"/>
        <v>NA16RB</v>
      </c>
      <c r="M5867">
        <f>COUNTIF(L$1:L5867,L5867)</f>
        <v>58</v>
      </c>
      <c r="N5867" t="str">
        <f t="shared" si="274"/>
        <v>NA16RB-58</v>
      </c>
      <c r="O5867">
        <f>COUNTIFS(F$1:F5867,F5867,A$1:A5867,A5867)</f>
        <v>105</v>
      </c>
      <c r="P5867" t="str">
        <f t="shared" si="275"/>
        <v>Jamize Olawale16</v>
      </c>
    </row>
    <row r="5868" spans="1:16" x14ac:dyDescent="0.25">
      <c r="A5868">
        <v>1</v>
      </c>
      <c r="B5868" t="s">
        <v>296</v>
      </c>
      <c r="C5868" t="s">
        <v>879</v>
      </c>
      <c r="D5868">
        <v>0.59</v>
      </c>
      <c r="E5868" t="s">
        <v>22</v>
      </c>
      <c r="F5868" t="s">
        <v>87</v>
      </c>
      <c r="G5868">
        <v>1.18</v>
      </c>
      <c r="H5868">
        <v>0</v>
      </c>
      <c r="I5868">
        <v>0.59</v>
      </c>
      <c r="J5868">
        <v>0.34810000000000002</v>
      </c>
      <c r="K5868" t="str">
        <f>IFERROR(INDEX(Rosters!$C$2:$C$155,MATCH($B5868,Rosters!$B$2:$B$155,0)),"NA")</f>
        <v>NA</v>
      </c>
      <c r="L5868" t="str">
        <f t="shared" si="273"/>
        <v>NA1WR</v>
      </c>
      <c r="M5868">
        <f>COUNTIF(L$1:L5868,L5868)</f>
        <v>66</v>
      </c>
      <c r="N5868" t="str">
        <f t="shared" si="274"/>
        <v>NA1WR-66</v>
      </c>
      <c r="O5868">
        <f>COUNTIFS(F$1:F5868,F5868,A$1:A5868,A5868)</f>
        <v>115</v>
      </c>
      <c r="P5868" t="str">
        <f t="shared" si="275"/>
        <v>Jarius Wright1</v>
      </c>
    </row>
    <row r="5869" spans="1:16" x14ac:dyDescent="0.25">
      <c r="A5869">
        <v>7</v>
      </c>
      <c r="B5869" t="s">
        <v>8885</v>
      </c>
      <c r="C5869">
        <f>-0.16-1.34</f>
        <v>-1.5</v>
      </c>
      <c r="D5869">
        <v>0.59</v>
      </c>
      <c r="E5869" t="s">
        <v>423</v>
      </c>
      <c r="F5869" t="s">
        <v>87</v>
      </c>
      <c r="G5869">
        <v>1.34</v>
      </c>
      <c r="H5869">
        <v>-0.16</v>
      </c>
      <c r="I5869">
        <v>0.75</v>
      </c>
      <c r="J5869">
        <v>0.5625</v>
      </c>
      <c r="K5869" t="str">
        <f>IFERROR(INDEX(Rosters!$C$2:$C$155,MATCH($B5869,Rosters!$B$2:$B$155,0)),"NA")</f>
        <v>NA</v>
      </c>
      <c r="L5869" t="str">
        <f t="shared" si="273"/>
        <v>NA7WR</v>
      </c>
      <c r="M5869">
        <f>COUNTIF(L$1:L5869,L5869)</f>
        <v>86</v>
      </c>
      <c r="N5869" t="str">
        <f t="shared" si="274"/>
        <v>NA7WR-86</v>
      </c>
      <c r="O5869">
        <f>COUNTIFS(F$1:F5869,F5869,A$1:A5869,A5869)</f>
        <v>131</v>
      </c>
      <c r="P5869" t="str">
        <f t="shared" si="275"/>
        <v>Javon Wims7</v>
      </c>
    </row>
    <row r="5870" spans="1:16" x14ac:dyDescent="0.25">
      <c r="A5870">
        <v>9</v>
      </c>
      <c r="B5870" t="s">
        <v>335</v>
      </c>
      <c r="C5870" t="s">
        <v>879</v>
      </c>
      <c r="D5870">
        <v>0.59</v>
      </c>
      <c r="E5870" t="s">
        <v>36</v>
      </c>
      <c r="F5870" t="s">
        <v>87</v>
      </c>
      <c r="G5870">
        <v>1.18</v>
      </c>
      <c r="H5870">
        <v>0</v>
      </c>
      <c r="I5870">
        <v>0.59</v>
      </c>
      <c r="J5870">
        <v>0.34810000000000002</v>
      </c>
      <c r="K5870" t="str">
        <f>IFERROR(INDEX(Rosters!$C$2:$C$155,MATCH($B5870,Rosters!$B$2:$B$155,0)),"NA")</f>
        <v>NA</v>
      </c>
      <c r="L5870" t="str">
        <f t="shared" si="273"/>
        <v>NA9WR</v>
      </c>
      <c r="M5870">
        <f>COUNTIF(L$1:L5870,L5870)</f>
        <v>81</v>
      </c>
      <c r="N5870" t="str">
        <f t="shared" si="274"/>
        <v>NA9WR-81</v>
      </c>
      <c r="O5870">
        <f>COUNTIFS(F$1:F5870,F5870,A$1:A5870,A5870)</f>
        <v>125</v>
      </c>
      <c r="P5870" t="str">
        <f t="shared" si="275"/>
        <v>Jordan Taylor9</v>
      </c>
    </row>
    <row r="5871" spans="1:16" x14ac:dyDescent="0.25">
      <c r="A5871">
        <v>14</v>
      </c>
      <c r="B5871" t="s">
        <v>335</v>
      </c>
      <c r="C5871">
        <f>-0.03-1.21</f>
        <v>-1.24</v>
      </c>
      <c r="D5871">
        <v>0.59</v>
      </c>
      <c r="E5871" t="s">
        <v>30</v>
      </c>
      <c r="F5871" t="s">
        <v>87</v>
      </c>
      <c r="G5871">
        <v>1.21</v>
      </c>
      <c r="H5871">
        <v>-0.03</v>
      </c>
      <c r="I5871">
        <v>0.62</v>
      </c>
      <c r="J5871">
        <v>0.38440000000000002</v>
      </c>
      <c r="K5871" t="str">
        <f>IFERROR(INDEX(Rosters!$C$2:$C$155,MATCH($B5871,Rosters!$B$2:$B$155,0)),"NA")</f>
        <v>NA</v>
      </c>
      <c r="L5871" t="str">
        <f t="shared" si="273"/>
        <v>NA14WR</v>
      </c>
      <c r="M5871">
        <f>COUNTIF(L$1:L5871,L5871)</f>
        <v>93</v>
      </c>
      <c r="N5871" t="str">
        <f t="shared" si="274"/>
        <v>NA14WR-93</v>
      </c>
      <c r="O5871">
        <f>COUNTIFS(F$1:F5871,F5871,A$1:A5871,A5871)</f>
        <v>147</v>
      </c>
      <c r="P5871" t="str">
        <f t="shared" si="275"/>
        <v>Jordan Taylor14</v>
      </c>
    </row>
    <row r="5872" spans="1:16" x14ac:dyDescent="0.25">
      <c r="A5872">
        <v>6</v>
      </c>
      <c r="B5872" t="s">
        <v>2769</v>
      </c>
      <c r="C5872">
        <f>-0.04-1.22</f>
        <v>-1.26</v>
      </c>
      <c r="D5872">
        <v>0.59</v>
      </c>
      <c r="E5872" t="s">
        <v>74</v>
      </c>
      <c r="F5872" t="s">
        <v>47</v>
      </c>
      <c r="G5872">
        <v>1.22</v>
      </c>
      <c r="H5872">
        <v>-0.04</v>
      </c>
      <c r="I5872">
        <v>0.63</v>
      </c>
      <c r="J5872">
        <v>0.39689999999999998</v>
      </c>
      <c r="K5872" t="str">
        <f>IFERROR(INDEX(Rosters!$C$2:$C$155,MATCH($B5872,Rosters!$B$2:$B$155,0)),"NA")</f>
        <v>NA</v>
      </c>
      <c r="L5872" t="str">
        <f t="shared" si="273"/>
        <v>NA6RB</v>
      </c>
      <c r="M5872">
        <f>COUNTIF(L$1:L5872,L5872)</f>
        <v>50</v>
      </c>
      <c r="N5872" t="str">
        <f t="shared" si="274"/>
        <v>NA6RB-50</v>
      </c>
      <c r="O5872">
        <f>COUNTIFS(F$1:F5872,F5872,A$1:A5872,A5872)</f>
        <v>92</v>
      </c>
      <c r="P5872" t="str">
        <f t="shared" si="275"/>
        <v>Kapri Bibbs6</v>
      </c>
    </row>
    <row r="5873" spans="1:16" x14ac:dyDescent="0.25">
      <c r="A5873">
        <v>10</v>
      </c>
      <c r="B5873" t="s">
        <v>1622</v>
      </c>
      <c r="C5873" t="s">
        <v>879</v>
      </c>
      <c r="D5873">
        <v>0.59</v>
      </c>
      <c r="E5873" t="s">
        <v>54</v>
      </c>
      <c r="F5873" t="s">
        <v>87</v>
      </c>
      <c r="G5873">
        <v>1.18</v>
      </c>
      <c r="H5873">
        <v>0</v>
      </c>
      <c r="I5873">
        <v>0.59</v>
      </c>
      <c r="J5873">
        <v>0.34810000000000002</v>
      </c>
      <c r="K5873" t="str">
        <f>IFERROR(INDEX(Rosters!$C$2:$C$155,MATCH($B5873,Rosters!$B$2:$B$155,0)),"NA")</f>
        <v>NA</v>
      </c>
      <c r="L5873" t="str">
        <f t="shared" si="273"/>
        <v>NA10WR</v>
      </c>
      <c r="M5873">
        <f>COUNTIF(L$1:L5873,L5873)</f>
        <v>89</v>
      </c>
      <c r="N5873" t="str">
        <f t="shared" si="274"/>
        <v>NA10WR-89</v>
      </c>
      <c r="O5873">
        <f>COUNTIFS(F$1:F5873,F5873,A$1:A5873,A5873)</f>
        <v>134</v>
      </c>
      <c r="P5873" t="str">
        <f t="shared" si="275"/>
        <v>Kendrick Bourne10</v>
      </c>
    </row>
    <row r="5874" spans="1:16" x14ac:dyDescent="0.25">
      <c r="A5874">
        <v>14</v>
      </c>
      <c r="B5874" t="s">
        <v>198</v>
      </c>
      <c r="C5874">
        <f>-0.13-1.31</f>
        <v>-1.44</v>
      </c>
      <c r="D5874">
        <v>0.59</v>
      </c>
      <c r="E5874" t="s">
        <v>56</v>
      </c>
      <c r="F5874" t="s">
        <v>87</v>
      </c>
      <c r="G5874">
        <v>1.31</v>
      </c>
      <c r="H5874">
        <v>-0.13</v>
      </c>
      <c r="I5874">
        <v>0.72</v>
      </c>
      <c r="J5874">
        <v>0.51839999999999997</v>
      </c>
      <c r="K5874" t="str">
        <f>IFERROR(INDEX(Rosters!$C$2:$C$155,MATCH($B5874,Rosters!$B$2:$B$155,0)),"NA")</f>
        <v>NA</v>
      </c>
      <c r="L5874" t="str">
        <f t="shared" si="273"/>
        <v>NA14WR</v>
      </c>
      <c r="M5874">
        <f>COUNTIF(L$1:L5874,L5874)</f>
        <v>94</v>
      </c>
      <c r="N5874" t="str">
        <f t="shared" si="274"/>
        <v>NA14WR-94</v>
      </c>
      <c r="O5874">
        <f>COUNTIFS(F$1:F5874,F5874,A$1:A5874,A5874)</f>
        <v>148</v>
      </c>
      <c r="P5874" t="str">
        <f t="shared" si="275"/>
        <v>Kevin White14</v>
      </c>
    </row>
    <row r="5875" spans="1:16" x14ac:dyDescent="0.25">
      <c r="A5875">
        <v>11</v>
      </c>
      <c r="B5875" t="s">
        <v>1633</v>
      </c>
      <c r="C5875">
        <f>-0.11-1.29</f>
        <v>-1.4000000000000001</v>
      </c>
      <c r="D5875">
        <v>0.59</v>
      </c>
      <c r="E5875" t="s">
        <v>38</v>
      </c>
      <c r="F5875" t="s">
        <v>87</v>
      </c>
      <c r="G5875">
        <v>1.29</v>
      </c>
      <c r="H5875">
        <v>-0.11</v>
      </c>
      <c r="I5875">
        <v>0.7</v>
      </c>
      <c r="J5875">
        <v>0.49</v>
      </c>
      <c r="K5875" t="str">
        <f>IFERROR(INDEX(Rosters!$C$2:$C$155,MATCH($B5875,Rosters!$B$2:$B$155,0)),"NA")</f>
        <v>NA</v>
      </c>
      <c r="L5875" t="str">
        <f t="shared" si="273"/>
        <v>NA11WR</v>
      </c>
      <c r="M5875">
        <f>COUNTIF(L$1:L5875,L5875)</f>
        <v>78</v>
      </c>
      <c r="N5875" t="str">
        <f t="shared" si="274"/>
        <v>NA11WR-78</v>
      </c>
      <c r="O5875">
        <f>COUNTIFS(F$1:F5875,F5875,A$1:A5875,A5875)</f>
        <v>125</v>
      </c>
      <c r="P5875" t="str">
        <f t="shared" si="275"/>
        <v>Marcus Johnson11</v>
      </c>
    </row>
    <row r="5876" spans="1:16" x14ac:dyDescent="0.25">
      <c r="A5876">
        <v>15</v>
      </c>
      <c r="B5876" t="s">
        <v>1633</v>
      </c>
      <c r="C5876">
        <f>-0.07-1.25</f>
        <v>-1.32</v>
      </c>
      <c r="D5876">
        <v>0.59</v>
      </c>
      <c r="E5876" t="s">
        <v>22</v>
      </c>
      <c r="F5876" t="s">
        <v>87</v>
      </c>
      <c r="G5876">
        <v>1.25</v>
      </c>
      <c r="H5876">
        <v>-7.0000000000000007E-2</v>
      </c>
      <c r="I5876">
        <v>0.66</v>
      </c>
      <c r="J5876">
        <v>0.43559999999999999</v>
      </c>
      <c r="K5876" t="str">
        <f>IFERROR(INDEX(Rosters!$C$2:$C$155,MATCH($B5876,Rosters!$B$2:$B$155,0)),"NA")</f>
        <v>NA</v>
      </c>
      <c r="L5876" t="str">
        <f t="shared" si="273"/>
        <v>NA15WR</v>
      </c>
      <c r="M5876">
        <f>COUNTIF(L$1:L5876,L5876)</f>
        <v>95</v>
      </c>
      <c r="N5876" t="str">
        <f t="shared" si="274"/>
        <v>NA15WR-95</v>
      </c>
      <c r="O5876">
        <f>COUNTIFS(F$1:F5876,F5876,A$1:A5876,A5876)</f>
        <v>149</v>
      </c>
      <c r="P5876" t="str">
        <f t="shared" si="275"/>
        <v>Marcus Johnson15</v>
      </c>
    </row>
    <row r="5877" spans="1:16" x14ac:dyDescent="0.25">
      <c r="A5877">
        <v>6</v>
      </c>
      <c r="B5877" t="s">
        <v>3126</v>
      </c>
      <c r="C5877" t="s">
        <v>1595</v>
      </c>
      <c r="D5877">
        <v>0.59</v>
      </c>
      <c r="E5877" t="s">
        <v>56</v>
      </c>
      <c r="F5877" t="s">
        <v>114</v>
      </c>
      <c r="G5877">
        <v>1.17</v>
      </c>
      <c r="H5877">
        <v>0.01</v>
      </c>
      <c r="I5877">
        <v>0.57999999999999996</v>
      </c>
      <c r="J5877">
        <v>0.33639999999999998</v>
      </c>
      <c r="K5877" t="str">
        <f>IFERROR(INDEX(Rosters!$C$2:$C$155,MATCH($B5877,Rosters!$B$2:$B$155,0)),"NA")</f>
        <v>NA</v>
      </c>
      <c r="L5877" t="str">
        <f t="shared" si="273"/>
        <v>NA6TE</v>
      </c>
      <c r="M5877">
        <f>COUNTIF(L$1:L5877,L5877)</f>
        <v>55</v>
      </c>
      <c r="N5877" t="str">
        <f t="shared" si="274"/>
        <v>NA6TE-55</v>
      </c>
      <c r="O5877">
        <f>COUNTIFS(F$1:F5877,F5877,A$1:A5877,A5877)</f>
        <v>67</v>
      </c>
      <c r="P5877" t="str">
        <f t="shared" si="275"/>
        <v>Matt LaCosse6</v>
      </c>
    </row>
    <row r="5878" spans="1:16" x14ac:dyDescent="0.25">
      <c r="A5878">
        <v>4</v>
      </c>
      <c r="B5878" t="s">
        <v>345</v>
      </c>
      <c r="C5878" t="s">
        <v>4732</v>
      </c>
      <c r="D5878">
        <v>0.59</v>
      </c>
      <c r="E5878" t="s">
        <v>31</v>
      </c>
      <c r="F5878" t="s">
        <v>15</v>
      </c>
      <c r="G5878">
        <v>1.1299999999999999</v>
      </c>
      <c r="H5878">
        <v>0.05</v>
      </c>
      <c r="I5878">
        <v>0.54</v>
      </c>
      <c r="J5878">
        <v>0.29160000000000003</v>
      </c>
      <c r="K5878" t="str">
        <f>IFERROR(INDEX(Rosters!$C$2:$C$155,MATCH($B5878,Rosters!$B$2:$B$155,0)),"NA")</f>
        <v>NA</v>
      </c>
      <c r="L5878" t="str">
        <f t="shared" si="273"/>
        <v>NA4QB</v>
      </c>
      <c r="M5878">
        <f>COUNTIF(L$1:L5878,L5878)</f>
        <v>33</v>
      </c>
      <c r="N5878" t="str">
        <f t="shared" si="274"/>
        <v>NA4QB-33</v>
      </c>
      <c r="O5878">
        <f>COUNTIFS(F$1:F5878,F5878,A$1:A5878,A5878)</f>
        <v>48</v>
      </c>
      <c r="P5878" t="str">
        <f t="shared" si="275"/>
        <v>Matt Schaub4</v>
      </c>
    </row>
    <row r="5879" spans="1:16" x14ac:dyDescent="0.25">
      <c r="A5879">
        <v>15</v>
      </c>
      <c r="B5879" t="s">
        <v>345</v>
      </c>
      <c r="C5879" t="s">
        <v>1143</v>
      </c>
      <c r="D5879">
        <v>0.59</v>
      </c>
      <c r="E5879" t="s">
        <v>58</v>
      </c>
      <c r="F5879" t="s">
        <v>15</v>
      </c>
      <c r="G5879">
        <v>1.1499999999999999</v>
      </c>
      <c r="H5879">
        <v>0.03</v>
      </c>
      <c r="I5879">
        <v>0.56000000000000005</v>
      </c>
      <c r="J5879">
        <v>0.31359999999999999</v>
      </c>
      <c r="K5879" t="str">
        <f>IFERROR(INDEX(Rosters!$C$2:$C$155,MATCH($B5879,Rosters!$B$2:$B$155,0)),"NA")</f>
        <v>NA</v>
      </c>
      <c r="L5879" t="str">
        <f t="shared" si="273"/>
        <v>NA15QB</v>
      </c>
      <c r="M5879">
        <f>COUNTIF(L$1:L5879,L5879)</f>
        <v>39</v>
      </c>
      <c r="N5879" t="str">
        <f t="shared" si="274"/>
        <v>NA15QB-39</v>
      </c>
      <c r="O5879">
        <f>COUNTIFS(F$1:F5879,F5879,A$1:A5879,A5879)</f>
        <v>56</v>
      </c>
      <c r="P5879" t="str">
        <f t="shared" si="275"/>
        <v>Matt Schaub15</v>
      </c>
    </row>
    <row r="5880" spans="1:16" x14ac:dyDescent="0.25">
      <c r="A5880">
        <v>7</v>
      </c>
      <c r="B5880" t="s">
        <v>144</v>
      </c>
      <c r="C5880">
        <f>-0.21-1.39</f>
        <v>-1.5999999999999999</v>
      </c>
      <c r="D5880">
        <v>0.59</v>
      </c>
      <c r="E5880" t="s">
        <v>77</v>
      </c>
      <c r="F5880" t="s">
        <v>47</v>
      </c>
      <c r="G5880">
        <v>1.39</v>
      </c>
      <c r="H5880">
        <v>-0.21</v>
      </c>
      <c r="I5880">
        <v>0.8</v>
      </c>
      <c r="J5880">
        <v>0.64</v>
      </c>
      <c r="K5880" t="str">
        <f>IFERROR(INDEX(Rosters!$C$2:$C$155,MATCH($B5880,Rosters!$B$2:$B$155,0)),"NA")</f>
        <v>NA</v>
      </c>
      <c r="L5880" t="str">
        <f t="shared" si="273"/>
        <v>NA7RB</v>
      </c>
      <c r="M5880">
        <f>COUNTIF(L$1:L5880,L5880)</f>
        <v>46</v>
      </c>
      <c r="N5880" t="str">
        <f t="shared" si="274"/>
        <v>NA7RB-46</v>
      </c>
      <c r="O5880">
        <f>COUNTIFS(F$1:F5880,F5880,A$1:A5880,A5880)</f>
        <v>87</v>
      </c>
      <c r="P5880" t="str">
        <f t="shared" si="275"/>
        <v>Mike Gillislee7</v>
      </c>
    </row>
    <row r="5881" spans="1:16" x14ac:dyDescent="0.25">
      <c r="A5881">
        <v>16</v>
      </c>
      <c r="B5881" t="s">
        <v>3036</v>
      </c>
      <c r="C5881">
        <f>-0.13-1.31</f>
        <v>-1.44</v>
      </c>
      <c r="D5881">
        <v>0.59</v>
      </c>
      <c r="E5881" t="s">
        <v>60</v>
      </c>
      <c r="F5881" t="s">
        <v>87</v>
      </c>
      <c r="G5881">
        <v>1.31</v>
      </c>
      <c r="H5881">
        <v>-0.13</v>
      </c>
      <c r="I5881">
        <v>0.72</v>
      </c>
      <c r="J5881">
        <v>0.51839999999999997</v>
      </c>
      <c r="K5881" t="str">
        <f>IFERROR(INDEX(Rosters!$C$2:$C$155,MATCH($B5881,Rosters!$B$2:$B$155,0)),"NA")</f>
        <v>NA</v>
      </c>
      <c r="L5881" t="str">
        <f t="shared" si="273"/>
        <v>NA16WR</v>
      </c>
      <c r="M5881">
        <f>COUNTIF(L$1:L5881,L5881)</f>
        <v>94</v>
      </c>
      <c r="N5881" t="str">
        <f t="shared" si="274"/>
        <v>NA16WR-94</v>
      </c>
      <c r="O5881">
        <f>COUNTIFS(F$1:F5881,F5881,A$1:A5881,A5881)</f>
        <v>148</v>
      </c>
      <c r="P5881" t="str">
        <f t="shared" si="275"/>
        <v>Nick Williams16</v>
      </c>
    </row>
    <row r="5882" spans="1:16" x14ac:dyDescent="0.25">
      <c r="A5882">
        <v>14</v>
      </c>
      <c r="B5882" t="s">
        <v>1623</v>
      </c>
      <c r="C5882">
        <f>-0.05-1.23</f>
        <v>-1.28</v>
      </c>
      <c r="D5882">
        <v>0.59</v>
      </c>
      <c r="E5882" t="s">
        <v>50</v>
      </c>
      <c r="F5882" t="s">
        <v>87</v>
      </c>
      <c r="G5882">
        <v>1.23</v>
      </c>
      <c r="H5882">
        <v>-0.05</v>
      </c>
      <c r="I5882">
        <v>0.64</v>
      </c>
      <c r="J5882">
        <v>0.40960000000000002</v>
      </c>
      <c r="K5882" t="str">
        <f>IFERROR(INDEX(Rosters!$C$2:$C$155,MATCH($B5882,Rosters!$B$2:$B$155,0)),"NA")</f>
        <v>NA</v>
      </c>
      <c r="L5882" t="str">
        <f t="shared" si="273"/>
        <v>NA14WR</v>
      </c>
      <c r="M5882">
        <f>COUNTIF(L$1:L5882,L5882)</f>
        <v>95</v>
      </c>
      <c r="N5882" t="str">
        <f t="shared" si="274"/>
        <v>NA14WR-95</v>
      </c>
      <c r="O5882">
        <f>COUNTIFS(F$1:F5882,F5882,A$1:A5882,A5882)</f>
        <v>149</v>
      </c>
      <c r="P5882" t="str">
        <f t="shared" si="275"/>
        <v>Noah Brown14</v>
      </c>
    </row>
    <row r="5883" spans="1:16" x14ac:dyDescent="0.25">
      <c r="A5883">
        <v>13</v>
      </c>
      <c r="B5883" t="s">
        <v>4246</v>
      </c>
      <c r="C5883">
        <f>-0.08-1.26</f>
        <v>-1.34</v>
      </c>
      <c r="D5883">
        <v>0.59</v>
      </c>
      <c r="E5883" t="s">
        <v>72</v>
      </c>
      <c r="F5883" t="s">
        <v>114</v>
      </c>
      <c r="G5883">
        <v>1.26</v>
      </c>
      <c r="H5883">
        <v>-0.08</v>
      </c>
      <c r="I5883">
        <v>0.67</v>
      </c>
      <c r="J5883">
        <v>0.44890000000000002</v>
      </c>
      <c r="K5883" t="str">
        <f>IFERROR(INDEX(Rosters!$C$2:$C$155,MATCH($B5883,Rosters!$B$2:$B$155,0)),"NA")</f>
        <v>NA</v>
      </c>
      <c r="L5883" t="str">
        <f t="shared" si="273"/>
        <v>NA13TE</v>
      </c>
      <c r="M5883">
        <f>COUNTIF(L$1:L5883,L5883)</f>
        <v>60</v>
      </c>
      <c r="N5883" t="str">
        <f t="shared" si="274"/>
        <v>NA13TE-60</v>
      </c>
      <c r="O5883">
        <f>COUNTIFS(F$1:F5883,F5883,A$1:A5883,A5883)</f>
        <v>74</v>
      </c>
      <c r="P5883" t="str">
        <f t="shared" si="275"/>
        <v>Scott Simonson13</v>
      </c>
    </row>
    <row r="5884" spans="1:16" x14ac:dyDescent="0.25">
      <c r="A5884">
        <v>12</v>
      </c>
      <c r="B5884" t="s">
        <v>332</v>
      </c>
      <c r="C5884">
        <f>-0.07-1.25</f>
        <v>-1.32</v>
      </c>
      <c r="D5884">
        <v>0.59</v>
      </c>
      <c r="E5884" t="s">
        <v>66</v>
      </c>
      <c r="F5884" t="s">
        <v>47</v>
      </c>
      <c r="G5884">
        <v>1.25</v>
      </c>
      <c r="H5884">
        <v>-7.0000000000000007E-2</v>
      </c>
      <c r="I5884">
        <v>0.66</v>
      </c>
      <c r="J5884">
        <v>0.43559999999999999</v>
      </c>
      <c r="K5884" t="str">
        <f>IFERROR(INDEX(Rosters!$C$2:$C$155,MATCH($B5884,Rosters!$B$2:$B$155,0)),"NA")</f>
        <v>NA</v>
      </c>
      <c r="L5884" t="str">
        <f t="shared" si="273"/>
        <v>NA12RB</v>
      </c>
      <c r="M5884">
        <f>COUNTIF(L$1:L5884,L5884)</f>
        <v>51</v>
      </c>
      <c r="N5884" t="str">
        <f t="shared" si="274"/>
        <v>NA12RB-51</v>
      </c>
      <c r="O5884">
        <f>COUNTIFS(F$1:F5884,F5884,A$1:A5884,A5884)</f>
        <v>96</v>
      </c>
      <c r="P5884" t="str">
        <f t="shared" si="275"/>
        <v>Senorise Perry12</v>
      </c>
    </row>
    <row r="5885" spans="1:16" x14ac:dyDescent="0.25">
      <c r="A5885">
        <v>15</v>
      </c>
      <c r="B5885" t="s">
        <v>4254</v>
      </c>
      <c r="C5885">
        <f>-0.01-1.19</f>
        <v>-1.2</v>
      </c>
      <c r="D5885">
        <v>0.59</v>
      </c>
      <c r="E5885" t="s">
        <v>46</v>
      </c>
      <c r="F5885" t="s">
        <v>47</v>
      </c>
      <c r="G5885">
        <v>1.19</v>
      </c>
      <c r="H5885">
        <v>-0.01</v>
      </c>
      <c r="I5885">
        <v>0.6</v>
      </c>
      <c r="J5885">
        <v>0.36</v>
      </c>
      <c r="K5885" t="str">
        <f>IFERROR(INDEX(Rosters!$C$2:$C$155,MATCH($B5885,Rosters!$B$2:$B$155,0)),"NA")</f>
        <v>NA</v>
      </c>
      <c r="L5885" t="str">
        <f t="shared" si="273"/>
        <v>NA15RB</v>
      </c>
      <c r="M5885">
        <f>COUNTIF(L$1:L5885,L5885)</f>
        <v>58</v>
      </c>
      <c r="N5885" t="str">
        <f t="shared" si="274"/>
        <v>NA15RB-58</v>
      </c>
      <c r="O5885">
        <f>COUNTIFS(F$1:F5885,F5885,A$1:A5885,A5885)</f>
        <v>105</v>
      </c>
      <c r="P5885" t="str">
        <f t="shared" si="275"/>
        <v>T.J. Logan15</v>
      </c>
    </row>
    <row r="5886" spans="1:16" x14ac:dyDescent="0.25">
      <c r="A5886">
        <v>16</v>
      </c>
      <c r="B5886" t="s">
        <v>4254</v>
      </c>
      <c r="C5886" t="s">
        <v>3854</v>
      </c>
      <c r="D5886">
        <v>0.59</v>
      </c>
      <c r="E5886" t="s">
        <v>56</v>
      </c>
      <c r="F5886" t="s">
        <v>47</v>
      </c>
      <c r="G5886">
        <v>1.1399999999999999</v>
      </c>
      <c r="H5886">
        <v>0.04</v>
      </c>
      <c r="I5886">
        <v>0.55000000000000004</v>
      </c>
      <c r="J5886">
        <v>0.30249999999999999</v>
      </c>
      <c r="K5886" t="str">
        <f>IFERROR(INDEX(Rosters!$C$2:$C$155,MATCH($B5886,Rosters!$B$2:$B$155,0)),"NA")</f>
        <v>NA</v>
      </c>
      <c r="L5886" t="str">
        <f t="shared" si="273"/>
        <v>NA16RB</v>
      </c>
      <c r="M5886">
        <f>COUNTIF(L$1:L5886,L5886)</f>
        <v>59</v>
      </c>
      <c r="N5886" t="str">
        <f t="shared" si="274"/>
        <v>NA16RB-59</v>
      </c>
      <c r="O5886">
        <f>COUNTIFS(F$1:F5886,F5886,A$1:A5886,A5886)</f>
        <v>106</v>
      </c>
      <c r="P5886" t="str">
        <f t="shared" si="275"/>
        <v>T.J. Logan16</v>
      </c>
    </row>
    <row r="5887" spans="1:16" x14ac:dyDescent="0.25">
      <c r="A5887">
        <v>2</v>
      </c>
      <c r="B5887" t="s">
        <v>745</v>
      </c>
      <c r="C5887" t="s">
        <v>1595</v>
      </c>
      <c r="D5887">
        <v>0.59</v>
      </c>
      <c r="E5887" t="s">
        <v>52</v>
      </c>
      <c r="F5887" t="s">
        <v>15</v>
      </c>
      <c r="G5887">
        <v>1.17</v>
      </c>
      <c r="H5887">
        <v>0.01</v>
      </c>
      <c r="I5887">
        <v>0.57999999999999996</v>
      </c>
      <c r="J5887">
        <v>0.33639999999999998</v>
      </c>
      <c r="K5887" t="str">
        <f>IFERROR(INDEX(Rosters!$C$2:$C$155,MATCH($B5887,Rosters!$B$2:$B$155,0)),"NA")</f>
        <v>NA</v>
      </c>
      <c r="L5887" t="str">
        <f t="shared" si="273"/>
        <v>NA2QB</v>
      </c>
      <c r="M5887">
        <f>COUNTIF(L$1:L5887,L5887)</f>
        <v>30</v>
      </c>
      <c r="N5887" t="str">
        <f t="shared" si="274"/>
        <v>NA2QB-30</v>
      </c>
      <c r="O5887">
        <f>COUNTIFS(F$1:F5887,F5887,A$1:A5887,A5887)</f>
        <v>46</v>
      </c>
      <c r="P5887" t="str">
        <f t="shared" si="275"/>
        <v>Teddy Bridgewater2</v>
      </c>
    </row>
    <row r="5888" spans="1:16" x14ac:dyDescent="0.25">
      <c r="A5888">
        <v>10</v>
      </c>
      <c r="B5888" t="s">
        <v>1618</v>
      </c>
      <c r="C5888">
        <f>-0.16-1.34</f>
        <v>-1.5</v>
      </c>
      <c r="D5888">
        <v>0.59</v>
      </c>
      <c r="E5888" t="s">
        <v>56</v>
      </c>
      <c r="F5888" t="s">
        <v>47</v>
      </c>
      <c r="G5888">
        <v>1.34</v>
      </c>
      <c r="H5888">
        <v>-0.16</v>
      </c>
      <c r="I5888">
        <v>0.75</v>
      </c>
      <c r="J5888">
        <v>0.5625</v>
      </c>
      <c r="K5888" t="str">
        <f>IFERROR(INDEX(Rosters!$C$2:$C$155,MATCH($B5888,Rosters!$B$2:$B$155,0)),"NA")</f>
        <v>NA</v>
      </c>
      <c r="L5888" t="str">
        <f t="shared" si="273"/>
        <v>NA10RB</v>
      </c>
      <c r="M5888">
        <f>COUNTIF(L$1:L5888,L5888)</f>
        <v>52</v>
      </c>
      <c r="N5888" t="str">
        <f t="shared" si="274"/>
        <v>NA10RB-52</v>
      </c>
      <c r="O5888">
        <f>COUNTIFS(F$1:F5888,F5888,A$1:A5888,A5888)</f>
        <v>91</v>
      </c>
      <c r="P5888" t="str">
        <f t="shared" si="275"/>
        <v>Tre Madden10</v>
      </c>
    </row>
    <row r="5889" spans="1:16" x14ac:dyDescent="0.25">
      <c r="A5889">
        <v>2</v>
      </c>
      <c r="B5889" t="s">
        <v>4223</v>
      </c>
      <c r="C5889">
        <f>-0.04-1.22</f>
        <v>-1.26</v>
      </c>
      <c r="D5889">
        <v>0.59</v>
      </c>
      <c r="E5889" t="s">
        <v>19</v>
      </c>
      <c r="F5889" t="s">
        <v>47</v>
      </c>
      <c r="G5889">
        <v>1.22</v>
      </c>
      <c r="H5889">
        <v>-0.04</v>
      </c>
      <c r="I5889">
        <v>0.63</v>
      </c>
      <c r="J5889">
        <v>0.39689999999999998</v>
      </c>
      <c r="K5889" t="str">
        <f>IFERROR(INDEX(Rosters!$C$2:$C$155,MATCH($B5889,Rosters!$B$2:$B$155,0)),"NA")</f>
        <v>NA</v>
      </c>
      <c r="L5889" t="str">
        <f t="shared" si="273"/>
        <v>NA2RB</v>
      </c>
      <c r="M5889">
        <f>COUNTIF(L$1:L5889,L5889)</f>
        <v>45</v>
      </c>
      <c r="N5889" t="str">
        <f t="shared" si="274"/>
        <v>NA2RB-45</v>
      </c>
      <c r="O5889">
        <f>COUNTIFS(F$1:F5889,F5889,A$1:A5889,A5889)</f>
        <v>87</v>
      </c>
      <c r="P5889" t="str">
        <f t="shared" si="275"/>
        <v>Trenton Cannon2</v>
      </c>
    </row>
    <row r="5890" spans="1:16" x14ac:dyDescent="0.25">
      <c r="A5890">
        <v>8</v>
      </c>
      <c r="B5890" t="s">
        <v>4223</v>
      </c>
      <c r="C5890" t="s">
        <v>3376</v>
      </c>
      <c r="D5890">
        <v>0.59</v>
      </c>
      <c r="E5890" t="s">
        <v>72</v>
      </c>
      <c r="F5890" t="s">
        <v>47</v>
      </c>
      <c r="G5890">
        <v>1.1599999999999999</v>
      </c>
      <c r="H5890">
        <v>0.02</v>
      </c>
      <c r="I5890">
        <v>0.56999999999999995</v>
      </c>
      <c r="J5890">
        <v>0.32490000000000002</v>
      </c>
      <c r="K5890" t="str">
        <f>IFERROR(INDEX(Rosters!$C$2:$C$155,MATCH($B5890,Rosters!$B$2:$B$155,0)),"NA")</f>
        <v>NA</v>
      </c>
      <c r="L5890" t="str">
        <f t="shared" si="273"/>
        <v>NA8RB</v>
      </c>
      <c r="M5890">
        <f>COUNTIF(L$1:L5890,L5890)</f>
        <v>50</v>
      </c>
      <c r="N5890" t="str">
        <f t="shared" si="274"/>
        <v>NA8RB-50</v>
      </c>
      <c r="O5890">
        <f>COUNTIFS(F$1:F5890,F5890,A$1:A5890,A5890)</f>
        <v>90</v>
      </c>
      <c r="P5890" t="str">
        <f t="shared" si="275"/>
        <v>Trenton Cannon8</v>
      </c>
    </row>
    <row r="5891" spans="1:16" x14ac:dyDescent="0.25">
      <c r="A5891">
        <v>16</v>
      </c>
      <c r="B5891" t="s">
        <v>4243</v>
      </c>
      <c r="C5891">
        <f>-0.22-1.4</f>
        <v>-1.6199999999999999</v>
      </c>
      <c r="D5891">
        <v>0.59</v>
      </c>
      <c r="E5891" t="s">
        <v>38</v>
      </c>
      <c r="F5891" t="s">
        <v>87</v>
      </c>
      <c r="G5891">
        <v>1.4</v>
      </c>
      <c r="H5891">
        <v>-0.22</v>
      </c>
      <c r="I5891">
        <v>0.81</v>
      </c>
      <c r="J5891">
        <v>0.65610000000000002</v>
      </c>
      <c r="K5891" t="str">
        <f>IFERROR(INDEX(Rosters!$C$2:$C$155,MATCH($B5891,Rosters!$B$2:$B$155,0)),"NA")</f>
        <v>NA</v>
      </c>
      <c r="L5891" t="str">
        <f t="shared" ref="L5891:L5954" si="276">K5891&amp;A5891&amp;F5891</f>
        <v>NA16WR</v>
      </c>
      <c r="M5891">
        <f>COUNTIF(L$1:L5891,L5891)</f>
        <v>95</v>
      </c>
      <c r="N5891" t="str">
        <f t="shared" ref="N5891:N5954" si="277">L5891&amp;"-"&amp;M5891</f>
        <v>NA16WR-95</v>
      </c>
      <c r="O5891">
        <f>COUNTIFS(F$1:F5891,F5891,A$1:A5891,A5891)</f>
        <v>149</v>
      </c>
      <c r="P5891" t="str">
        <f t="shared" ref="P5891:P5954" si="278">B5891&amp;A5891</f>
        <v>Trey Quinn16</v>
      </c>
    </row>
    <row r="5892" spans="1:16" x14ac:dyDescent="0.25">
      <c r="A5892">
        <v>17</v>
      </c>
      <c r="B5892" t="s">
        <v>4243</v>
      </c>
      <c r="C5892">
        <f>-0.01-1.19</f>
        <v>-1.2</v>
      </c>
      <c r="D5892">
        <v>0.59</v>
      </c>
      <c r="E5892" t="s">
        <v>50</v>
      </c>
      <c r="F5892" t="s">
        <v>87</v>
      </c>
      <c r="G5892">
        <v>1.19</v>
      </c>
      <c r="H5892">
        <v>-0.01</v>
      </c>
      <c r="I5892">
        <v>0.6</v>
      </c>
      <c r="J5892">
        <v>0.36</v>
      </c>
      <c r="K5892" t="str">
        <f>IFERROR(INDEX(Rosters!$C$2:$C$155,MATCH($B5892,Rosters!$B$2:$B$155,0)),"NA")</f>
        <v>NA</v>
      </c>
      <c r="L5892" t="str">
        <f t="shared" si="276"/>
        <v>NA17WR</v>
      </c>
      <c r="M5892">
        <f>COUNTIF(L$1:L5892,L5892)</f>
        <v>96</v>
      </c>
      <c r="N5892" t="str">
        <f t="shared" si="277"/>
        <v>NA17WR-96</v>
      </c>
      <c r="O5892">
        <f>COUNTIFS(F$1:F5892,F5892,A$1:A5892,A5892)</f>
        <v>150</v>
      </c>
      <c r="P5892" t="str">
        <f t="shared" si="278"/>
        <v>Trey Quinn17</v>
      </c>
    </row>
    <row r="5893" spans="1:16" x14ac:dyDescent="0.25">
      <c r="A5893">
        <v>17</v>
      </c>
      <c r="B5893" t="s">
        <v>4245</v>
      </c>
      <c r="C5893">
        <f>-0.1-1.28</f>
        <v>-1.3800000000000001</v>
      </c>
      <c r="D5893">
        <v>0.59</v>
      </c>
      <c r="E5893" t="s">
        <v>76</v>
      </c>
      <c r="F5893" t="s">
        <v>87</v>
      </c>
      <c r="G5893">
        <v>1.28</v>
      </c>
      <c r="H5893">
        <v>-0.1</v>
      </c>
      <c r="I5893">
        <v>0.69</v>
      </c>
      <c r="J5893">
        <v>0.47610000000000002</v>
      </c>
      <c r="K5893" t="str">
        <f>IFERROR(INDEX(Rosters!$C$2:$C$155,MATCH($B5893,Rosters!$B$2:$B$155,0)),"NA")</f>
        <v>NA</v>
      </c>
      <c r="L5893" t="str">
        <f t="shared" si="276"/>
        <v>NA17WR</v>
      </c>
      <c r="M5893">
        <f>COUNTIF(L$1:L5893,L5893)</f>
        <v>97</v>
      </c>
      <c r="N5893" t="str">
        <f t="shared" si="277"/>
        <v>NA17WR-97</v>
      </c>
      <c r="O5893">
        <f>COUNTIFS(F$1:F5893,F5893,A$1:A5893,A5893)</f>
        <v>151</v>
      </c>
      <c r="P5893" t="str">
        <f t="shared" si="278"/>
        <v>Vyncint Smith17</v>
      </c>
    </row>
    <row r="5894" spans="1:16" x14ac:dyDescent="0.25">
      <c r="A5894">
        <v>8</v>
      </c>
      <c r="B5894" t="s">
        <v>2889</v>
      </c>
      <c r="C5894">
        <f>-0.04-1.22</f>
        <v>-1.26</v>
      </c>
      <c r="D5894">
        <v>0.59</v>
      </c>
      <c r="E5894" t="s">
        <v>25</v>
      </c>
      <c r="F5894" t="s">
        <v>47</v>
      </c>
      <c r="G5894">
        <v>1.22</v>
      </c>
      <c r="H5894">
        <v>-0.04</v>
      </c>
      <c r="I5894">
        <v>0.63</v>
      </c>
      <c r="J5894">
        <v>0.39689999999999998</v>
      </c>
      <c r="K5894" t="str">
        <f>IFERROR(INDEX(Rosters!$C$2:$C$155,MATCH($B5894,Rosters!$B$2:$B$155,0)),"NA")</f>
        <v>NA</v>
      </c>
      <c r="L5894" t="str">
        <f t="shared" si="276"/>
        <v>NA8RB</v>
      </c>
      <c r="M5894">
        <f>COUNTIF(L$1:L5894,L5894)</f>
        <v>51</v>
      </c>
      <c r="N5894" t="str">
        <f t="shared" si="277"/>
        <v>NA8RB-51</v>
      </c>
      <c r="O5894">
        <f>COUNTIFS(F$1:F5894,F5894,A$1:A5894,A5894)</f>
        <v>91</v>
      </c>
      <c r="P5894" t="str">
        <f t="shared" si="278"/>
        <v>Zach Line8</v>
      </c>
    </row>
    <row r="5895" spans="1:16" x14ac:dyDescent="0.25">
      <c r="A5895">
        <v>15</v>
      </c>
      <c r="B5895" t="s">
        <v>2889</v>
      </c>
      <c r="C5895">
        <f>-0.02-1.2</f>
        <v>-1.22</v>
      </c>
      <c r="D5895">
        <v>0.59</v>
      </c>
      <c r="E5895" t="s">
        <v>74</v>
      </c>
      <c r="F5895" t="s">
        <v>47</v>
      </c>
      <c r="G5895">
        <v>1.2</v>
      </c>
      <c r="H5895">
        <v>-0.02</v>
      </c>
      <c r="I5895">
        <v>0.61</v>
      </c>
      <c r="J5895">
        <v>0.37209999999999999</v>
      </c>
      <c r="K5895" t="str">
        <f>IFERROR(INDEX(Rosters!$C$2:$C$155,MATCH($B5895,Rosters!$B$2:$B$155,0)),"NA")</f>
        <v>NA</v>
      </c>
      <c r="L5895" t="str">
        <f t="shared" si="276"/>
        <v>NA15RB</v>
      </c>
      <c r="M5895">
        <f>COUNTIF(L$1:L5895,L5895)</f>
        <v>59</v>
      </c>
      <c r="N5895" t="str">
        <f t="shared" si="277"/>
        <v>NA15RB-59</v>
      </c>
      <c r="O5895">
        <f>COUNTIFS(F$1:F5895,F5895,A$1:A5895,A5895)</f>
        <v>106</v>
      </c>
      <c r="P5895" t="str">
        <f t="shared" si="278"/>
        <v>Zach Line15</v>
      </c>
    </row>
    <row r="5896" spans="1:16" x14ac:dyDescent="0.25">
      <c r="A5896">
        <v>9</v>
      </c>
      <c r="B5896" t="s">
        <v>1614</v>
      </c>
      <c r="C5896">
        <f>-0.01-1.17</f>
        <v>-1.18</v>
      </c>
      <c r="D5896">
        <v>0.57999999999999996</v>
      </c>
      <c r="E5896" t="s">
        <v>52</v>
      </c>
      <c r="F5896" t="s">
        <v>114</v>
      </c>
      <c r="G5896">
        <v>1.17</v>
      </c>
      <c r="H5896">
        <v>-0.01</v>
      </c>
      <c r="I5896">
        <v>0.59</v>
      </c>
      <c r="J5896">
        <v>0.34810000000000002</v>
      </c>
      <c r="K5896" t="str">
        <f>IFERROR(INDEX(Rosters!$C$2:$C$155,MATCH($B5896,Rosters!$B$2:$B$155,0)),"NA")</f>
        <v>NA</v>
      </c>
      <c r="L5896" t="str">
        <f t="shared" si="276"/>
        <v>NA9TE</v>
      </c>
      <c r="M5896">
        <f>COUNTIF(L$1:L5896,L5896)</f>
        <v>48</v>
      </c>
      <c r="N5896" t="str">
        <f t="shared" si="277"/>
        <v>NA9TE-48</v>
      </c>
      <c r="O5896">
        <f>COUNTIFS(F$1:F5896,F5896,A$1:A5896,A5896)</f>
        <v>59</v>
      </c>
      <c r="P5896" t="str">
        <f t="shared" si="278"/>
        <v>Alex Ellis9</v>
      </c>
    </row>
    <row r="5897" spans="1:16" x14ac:dyDescent="0.25">
      <c r="A5897">
        <v>10</v>
      </c>
      <c r="B5897" t="s">
        <v>346</v>
      </c>
      <c r="C5897">
        <f>-0.08-1.24</f>
        <v>-1.32</v>
      </c>
      <c r="D5897">
        <v>0.57999999999999996</v>
      </c>
      <c r="E5897" t="s">
        <v>14</v>
      </c>
      <c r="F5897" t="s">
        <v>87</v>
      </c>
      <c r="G5897">
        <v>1.24</v>
      </c>
      <c r="H5897">
        <v>-0.08</v>
      </c>
      <c r="I5897">
        <v>0.66</v>
      </c>
      <c r="J5897">
        <v>0.43559999999999999</v>
      </c>
      <c r="K5897" t="str">
        <f>IFERROR(INDEX(Rosters!$C$2:$C$155,MATCH($B5897,Rosters!$B$2:$B$155,0)),"NA")</f>
        <v>NA</v>
      </c>
      <c r="L5897" t="str">
        <f t="shared" si="276"/>
        <v>NA10WR</v>
      </c>
      <c r="M5897">
        <f>COUNTIF(L$1:L5897,L5897)</f>
        <v>90</v>
      </c>
      <c r="N5897" t="str">
        <f t="shared" si="277"/>
        <v>NA10WR-90</v>
      </c>
      <c r="O5897">
        <f>COUNTIFS(F$1:F5897,F5897,A$1:A5897,A5897)</f>
        <v>135</v>
      </c>
      <c r="P5897" t="str">
        <f t="shared" si="278"/>
        <v>Alex Erickson10</v>
      </c>
    </row>
    <row r="5898" spans="1:16" x14ac:dyDescent="0.25">
      <c r="A5898">
        <v>15</v>
      </c>
      <c r="B5898" t="s">
        <v>385</v>
      </c>
      <c r="C5898">
        <f>-0.02-1.18</f>
        <v>-1.2</v>
      </c>
      <c r="D5898">
        <v>0.57999999999999996</v>
      </c>
      <c r="E5898" t="s">
        <v>37</v>
      </c>
      <c r="F5898" t="s">
        <v>47</v>
      </c>
      <c r="G5898">
        <v>1.18</v>
      </c>
      <c r="H5898">
        <v>-0.02</v>
      </c>
      <c r="I5898">
        <v>0.6</v>
      </c>
      <c r="J5898">
        <v>0.36</v>
      </c>
      <c r="K5898" t="str">
        <f>IFERROR(INDEX(Rosters!$C$2:$C$155,MATCH($B5898,Rosters!$B$2:$B$155,0)),"NA")</f>
        <v>NA</v>
      </c>
      <c r="L5898" t="str">
        <f t="shared" si="276"/>
        <v>NA15RB</v>
      </c>
      <c r="M5898">
        <f>COUNTIF(L$1:L5898,L5898)</f>
        <v>60</v>
      </c>
      <c r="N5898" t="str">
        <f t="shared" si="277"/>
        <v>NA15RB-60</v>
      </c>
      <c r="O5898">
        <f>COUNTIFS(F$1:F5898,F5898,A$1:A5898,A5898)</f>
        <v>107</v>
      </c>
      <c r="P5898" t="str">
        <f t="shared" si="278"/>
        <v>Anthony Sherman15</v>
      </c>
    </row>
    <row r="5899" spans="1:16" x14ac:dyDescent="0.25">
      <c r="A5899">
        <v>5</v>
      </c>
      <c r="B5899" t="s">
        <v>2274</v>
      </c>
      <c r="C5899">
        <f>-0.17-1.33</f>
        <v>-1.5</v>
      </c>
      <c r="D5899">
        <v>0.57999999999999996</v>
      </c>
      <c r="E5899" t="s">
        <v>31</v>
      </c>
      <c r="F5899" t="s">
        <v>47</v>
      </c>
      <c r="G5899">
        <v>1.33</v>
      </c>
      <c r="H5899">
        <v>-0.17</v>
      </c>
      <c r="I5899">
        <v>0.75</v>
      </c>
      <c r="J5899">
        <v>0.5625</v>
      </c>
      <c r="K5899" t="str">
        <f>IFERROR(INDEX(Rosters!$C$2:$C$155,MATCH($B5899,Rosters!$B$2:$B$155,0)),"NA")</f>
        <v>NA</v>
      </c>
      <c r="L5899" t="str">
        <f t="shared" si="276"/>
        <v>NA5RB</v>
      </c>
      <c r="M5899">
        <f>COUNTIF(L$1:L5899,L5899)</f>
        <v>54</v>
      </c>
      <c r="N5899" t="str">
        <f t="shared" si="277"/>
        <v>NA5RB-54</v>
      </c>
      <c r="O5899">
        <f>COUNTIFS(F$1:F5899,F5899,A$1:A5899,A5899)</f>
        <v>97</v>
      </c>
      <c r="P5899" t="str">
        <f t="shared" si="278"/>
        <v>Brandon Bolden5</v>
      </c>
    </row>
    <row r="5900" spans="1:16" x14ac:dyDescent="0.25">
      <c r="A5900">
        <v>17</v>
      </c>
      <c r="B5900" t="s">
        <v>2851</v>
      </c>
      <c r="C5900">
        <f>-0.12-1.28</f>
        <v>-1.4</v>
      </c>
      <c r="D5900">
        <v>0.57999999999999996</v>
      </c>
      <c r="E5900" t="s">
        <v>74</v>
      </c>
      <c r="F5900" t="s">
        <v>87</v>
      </c>
      <c r="G5900">
        <v>1.28</v>
      </c>
      <c r="H5900">
        <v>-0.12</v>
      </c>
      <c r="I5900">
        <v>0.7</v>
      </c>
      <c r="J5900">
        <v>0.49</v>
      </c>
      <c r="K5900" t="str">
        <f>IFERROR(INDEX(Rosters!$C$2:$C$155,MATCH($B5900,Rosters!$B$2:$B$155,0)),"NA")</f>
        <v>NA</v>
      </c>
      <c r="L5900" t="str">
        <f t="shared" si="276"/>
        <v>NA17WR</v>
      </c>
      <c r="M5900">
        <f>COUNTIF(L$1:L5900,L5900)</f>
        <v>98</v>
      </c>
      <c r="N5900" t="str">
        <f t="shared" si="277"/>
        <v>NA17WR-98</v>
      </c>
      <c r="O5900">
        <f>COUNTIFS(F$1:F5900,F5900,A$1:A5900,A5900)</f>
        <v>152</v>
      </c>
      <c r="P5900" t="str">
        <f t="shared" si="278"/>
        <v>Brandon Tate17</v>
      </c>
    </row>
    <row r="5901" spans="1:16" x14ac:dyDescent="0.25">
      <c r="A5901">
        <v>17</v>
      </c>
      <c r="B5901" t="s">
        <v>3569</v>
      </c>
      <c r="C5901" t="s">
        <v>1784</v>
      </c>
      <c r="D5901">
        <v>0.57999999999999996</v>
      </c>
      <c r="E5901" t="s">
        <v>36</v>
      </c>
      <c r="F5901" t="s">
        <v>47</v>
      </c>
      <c r="G5901">
        <v>1.1200000000000001</v>
      </c>
      <c r="H5901">
        <v>0.04</v>
      </c>
      <c r="I5901">
        <v>0.54</v>
      </c>
      <c r="J5901">
        <v>0.29160000000000003</v>
      </c>
      <c r="K5901" t="str">
        <f>IFERROR(INDEX(Rosters!$C$2:$C$155,MATCH($B5901,Rosters!$B$2:$B$155,0)),"NA")</f>
        <v>NA</v>
      </c>
      <c r="L5901" t="str">
        <f t="shared" si="276"/>
        <v>NA17RB</v>
      </c>
      <c r="M5901">
        <f>COUNTIF(L$1:L5901,L5901)</f>
        <v>52</v>
      </c>
      <c r="N5901" t="str">
        <f t="shared" si="277"/>
        <v>NA17RB-52</v>
      </c>
      <c r="O5901">
        <f>COUNTIFS(F$1:F5901,F5901,A$1:A5901,A5901)</f>
        <v>99</v>
      </c>
      <c r="P5901" t="str">
        <f t="shared" si="278"/>
        <v>Brandon Wilds17</v>
      </c>
    </row>
    <row r="5902" spans="1:16" x14ac:dyDescent="0.25">
      <c r="A5902">
        <v>2</v>
      </c>
      <c r="B5902" t="s">
        <v>1118</v>
      </c>
      <c r="C5902" t="s">
        <v>352</v>
      </c>
      <c r="D5902">
        <v>0.57999999999999996</v>
      </c>
      <c r="E5902" t="s">
        <v>76</v>
      </c>
      <c r="F5902" t="s">
        <v>15</v>
      </c>
      <c r="G5902">
        <v>1.1299999999999999</v>
      </c>
      <c r="H5902">
        <v>0.03</v>
      </c>
      <c r="I5902">
        <v>0.55000000000000004</v>
      </c>
      <c r="J5902">
        <v>0.30249999999999999</v>
      </c>
      <c r="K5902" t="str">
        <f>IFERROR(INDEX(Rosters!$C$2:$C$155,MATCH($B5902,Rosters!$B$2:$B$155,0)),"NA")</f>
        <v>NA</v>
      </c>
      <c r="L5902" t="str">
        <f t="shared" si="276"/>
        <v>NA2QB</v>
      </c>
      <c r="M5902">
        <f>COUNTIF(L$1:L5902,L5902)</f>
        <v>31</v>
      </c>
      <c r="N5902" t="str">
        <f t="shared" si="277"/>
        <v>NA2QB-31</v>
      </c>
      <c r="O5902">
        <f>COUNTIFS(F$1:F5902,F5902,A$1:A5902,A5902)</f>
        <v>47</v>
      </c>
      <c r="P5902" t="str">
        <f t="shared" si="278"/>
        <v>Brian Hoyer2</v>
      </c>
    </row>
    <row r="5903" spans="1:16" x14ac:dyDescent="0.25">
      <c r="A5903">
        <v>9</v>
      </c>
      <c r="B5903" t="s">
        <v>8901</v>
      </c>
      <c r="C5903">
        <f>-0.07-1.23</f>
        <v>-1.3</v>
      </c>
      <c r="D5903">
        <v>0.57999999999999996</v>
      </c>
      <c r="E5903" t="s">
        <v>36</v>
      </c>
      <c r="F5903" t="s">
        <v>114</v>
      </c>
      <c r="G5903">
        <v>1.23</v>
      </c>
      <c r="H5903">
        <v>-7.0000000000000007E-2</v>
      </c>
      <c r="I5903">
        <v>0.65</v>
      </c>
      <c r="J5903">
        <v>0.42249999999999999</v>
      </c>
      <c r="K5903" t="str">
        <f>IFERROR(INDEX(Rosters!$C$2:$C$155,MATCH($B5903,Rosters!$B$2:$B$155,0)),"NA")</f>
        <v>NA</v>
      </c>
      <c r="L5903" t="str">
        <f t="shared" si="276"/>
        <v>NA9TE</v>
      </c>
      <c r="M5903">
        <f>COUNTIF(L$1:L5903,L5903)</f>
        <v>49</v>
      </c>
      <c r="N5903" t="str">
        <f t="shared" si="277"/>
        <v>NA9TE-49</v>
      </c>
      <c r="O5903">
        <f>COUNTIFS(F$1:F5903,F5903,A$1:A5903,A5903)</f>
        <v>60</v>
      </c>
      <c r="P5903" t="str">
        <f t="shared" si="278"/>
        <v>Brian Parker9</v>
      </c>
    </row>
    <row r="5904" spans="1:16" x14ac:dyDescent="0.25">
      <c r="A5904">
        <v>10</v>
      </c>
      <c r="B5904" t="s">
        <v>2661</v>
      </c>
      <c r="C5904">
        <f>-0.01-1.17</f>
        <v>-1.18</v>
      </c>
      <c r="D5904">
        <v>0.57999999999999996</v>
      </c>
      <c r="E5904" t="s">
        <v>50</v>
      </c>
      <c r="F5904" t="s">
        <v>87</v>
      </c>
      <c r="G5904">
        <v>1.17</v>
      </c>
      <c r="H5904">
        <v>-0.01</v>
      </c>
      <c r="I5904">
        <v>0.59</v>
      </c>
      <c r="J5904">
        <v>0.34810000000000002</v>
      </c>
      <c r="K5904" t="str">
        <f>IFERROR(INDEX(Rosters!$C$2:$C$155,MATCH($B5904,Rosters!$B$2:$B$155,0)),"NA")</f>
        <v>NA</v>
      </c>
      <c r="L5904" t="str">
        <f t="shared" si="276"/>
        <v>NA10WR</v>
      </c>
      <c r="M5904">
        <f>COUNTIF(L$1:L5904,L5904)</f>
        <v>91</v>
      </c>
      <c r="N5904" t="str">
        <f t="shared" si="277"/>
        <v>NA10WR-91</v>
      </c>
      <c r="O5904">
        <f>COUNTIFS(F$1:F5904,F5904,A$1:A5904,A5904)</f>
        <v>136</v>
      </c>
      <c r="P5904" t="str">
        <f t="shared" si="278"/>
        <v>Brice Butler10</v>
      </c>
    </row>
    <row r="5905" spans="1:16" x14ac:dyDescent="0.25">
      <c r="A5905">
        <v>6</v>
      </c>
      <c r="B5905" t="s">
        <v>4656</v>
      </c>
      <c r="C5905">
        <f>-0.05-1.21</f>
        <v>-1.26</v>
      </c>
      <c r="D5905">
        <v>0.57999999999999996</v>
      </c>
      <c r="E5905" t="s">
        <v>29</v>
      </c>
      <c r="F5905" t="s">
        <v>47</v>
      </c>
      <c r="G5905">
        <v>1.21</v>
      </c>
      <c r="H5905">
        <v>-0.05</v>
      </c>
      <c r="I5905">
        <v>0.63</v>
      </c>
      <c r="J5905">
        <v>0.39689999999999998</v>
      </c>
      <c r="K5905" t="str">
        <f>IFERROR(INDEX(Rosters!$C$2:$C$155,MATCH($B5905,Rosters!$B$2:$B$155,0)),"NA")</f>
        <v>NA</v>
      </c>
      <c r="L5905" t="str">
        <f t="shared" si="276"/>
        <v>NA6RB</v>
      </c>
      <c r="M5905">
        <f>COUNTIF(L$1:L5905,L5905)</f>
        <v>51</v>
      </c>
      <c r="N5905" t="str">
        <f t="shared" si="277"/>
        <v>NA6RB-51</v>
      </c>
      <c r="O5905">
        <f>COUNTIFS(F$1:F5905,F5905,A$1:A5905,A5905)</f>
        <v>93</v>
      </c>
      <c r="P5905" t="str">
        <f t="shared" si="278"/>
        <v>Buddy Howell6</v>
      </c>
    </row>
    <row r="5906" spans="1:16" x14ac:dyDescent="0.25">
      <c r="A5906">
        <v>11</v>
      </c>
      <c r="B5906" t="s">
        <v>4656</v>
      </c>
      <c r="C5906">
        <f>-0.08-1.24</f>
        <v>-1.32</v>
      </c>
      <c r="D5906">
        <v>0.57999999999999996</v>
      </c>
      <c r="E5906" t="s">
        <v>60</v>
      </c>
      <c r="F5906" t="s">
        <v>47</v>
      </c>
      <c r="G5906">
        <v>1.24</v>
      </c>
      <c r="H5906">
        <v>-0.08</v>
      </c>
      <c r="I5906">
        <v>0.66</v>
      </c>
      <c r="J5906">
        <v>0.43559999999999999</v>
      </c>
      <c r="K5906" t="str">
        <f>IFERROR(INDEX(Rosters!$C$2:$C$155,MATCH($B5906,Rosters!$B$2:$B$155,0)),"NA")</f>
        <v>NA</v>
      </c>
      <c r="L5906" t="str">
        <f t="shared" si="276"/>
        <v>NA11RB</v>
      </c>
      <c r="M5906">
        <f>COUNTIF(L$1:L5906,L5906)</f>
        <v>47</v>
      </c>
      <c r="N5906" t="str">
        <f t="shared" si="277"/>
        <v>NA11RB-47</v>
      </c>
      <c r="O5906">
        <f>COUNTIFS(F$1:F5906,F5906,A$1:A5906,A5906)</f>
        <v>85</v>
      </c>
      <c r="P5906" t="str">
        <f t="shared" si="278"/>
        <v>Buddy Howell11</v>
      </c>
    </row>
    <row r="5907" spans="1:16" x14ac:dyDescent="0.25">
      <c r="A5907">
        <v>6</v>
      </c>
      <c r="B5907" t="s">
        <v>216</v>
      </c>
      <c r="C5907">
        <f>-0.06-1.22</f>
        <v>-1.28</v>
      </c>
      <c r="D5907">
        <v>0.57999999999999996</v>
      </c>
      <c r="E5907" t="s">
        <v>32</v>
      </c>
      <c r="F5907" t="s">
        <v>47</v>
      </c>
      <c r="G5907">
        <v>1.22</v>
      </c>
      <c r="H5907">
        <v>-0.06</v>
      </c>
      <c r="I5907">
        <v>0.64</v>
      </c>
      <c r="J5907">
        <v>0.40960000000000002</v>
      </c>
      <c r="K5907" t="str">
        <f>IFERROR(INDEX(Rosters!$C$2:$C$155,MATCH($B5907,Rosters!$B$2:$B$155,0)),"NA")</f>
        <v>NA</v>
      </c>
      <c r="L5907" t="str">
        <f t="shared" si="276"/>
        <v>NA6RB</v>
      </c>
      <c r="M5907">
        <f>COUNTIF(L$1:L5907,L5907)</f>
        <v>52</v>
      </c>
      <c r="N5907" t="str">
        <f t="shared" si="277"/>
        <v>NA6RB-52</v>
      </c>
      <c r="O5907">
        <f>COUNTIFS(F$1:F5907,F5907,A$1:A5907,A5907)</f>
        <v>94</v>
      </c>
      <c r="P5907" t="str">
        <f t="shared" si="278"/>
        <v>C.J. Prosise6</v>
      </c>
    </row>
    <row r="5908" spans="1:16" x14ac:dyDescent="0.25">
      <c r="A5908">
        <v>3</v>
      </c>
      <c r="B5908" t="s">
        <v>311</v>
      </c>
      <c r="C5908">
        <f>-0.01-1.17</f>
        <v>-1.18</v>
      </c>
      <c r="D5908">
        <v>0.57999999999999996</v>
      </c>
      <c r="E5908" t="s">
        <v>30</v>
      </c>
      <c r="F5908" t="s">
        <v>15</v>
      </c>
      <c r="G5908">
        <v>1.17</v>
      </c>
      <c r="H5908">
        <v>-0.01</v>
      </c>
      <c r="I5908">
        <v>0.59</v>
      </c>
      <c r="J5908">
        <v>0.34810000000000002</v>
      </c>
      <c r="K5908" t="str">
        <f>IFERROR(INDEX(Rosters!$C$2:$C$155,MATCH($B5908,Rosters!$B$2:$B$155,0)),"NA")</f>
        <v>NA</v>
      </c>
      <c r="L5908" t="str">
        <f t="shared" si="276"/>
        <v>NA3QB</v>
      </c>
      <c r="M5908">
        <f>COUNTIF(L$1:L5908,L5908)</f>
        <v>33</v>
      </c>
      <c r="N5908" t="str">
        <f t="shared" si="277"/>
        <v>NA3QB-33</v>
      </c>
      <c r="O5908">
        <f>COUNTIFS(F$1:F5908,F5908,A$1:A5908,A5908)</f>
        <v>50</v>
      </c>
      <c r="P5908" t="str">
        <f t="shared" si="278"/>
        <v>Chad Henne3</v>
      </c>
    </row>
    <row r="5909" spans="1:16" x14ac:dyDescent="0.25">
      <c r="A5909">
        <v>4</v>
      </c>
      <c r="B5909" t="s">
        <v>342</v>
      </c>
      <c r="C5909">
        <f>-0.1-1.26</f>
        <v>-1.36</v>
      </c>
      <c r="D5909">
        <v>0.57999999999999996</v>
      </c>
      <c r="E5909" t="s">
        <v>46</v>
      </c>
      <c r="F5909" t="s">
        <v>87</v>
      </c>
      <c r="G5909">
        <v>1.26</v>
      </c>
      <c r="H5909">
        <v>-0.1</v>
      </c>
      <c r="I5909">
        <v>0.68</v>
      </c>
      <c r="J5909">
        <v>0.46239999999999998</v>
      </c>
      <c r="K5909" t="str">
        <f>IFERROR(INDEX(Rosters!$C$2:$C$155,MATCH($B5909,Rosters!$B$2:$B$155,0)),"NA")</f>
        <v>NA</v>
      </c>
      <c r="L5909" t="str">
        <f t="shared" si="276"/>
        <v>NA4WR</v>
      </c>
      <c r="M5909">
        <f>COUNTIF(L$1:L5909,L5909)</f>
        <v>70</v>
      </c>
      <c r="N5909" t="str">
        <f t="shared" si="277"/>
        <v>NA4WR-70</v>
      </c>
      <c r="O5909">
        <f>COUNTIFS(F$1:F5909,F5909,A$1:A5909,A5909)</f>
        <v>120</v>
      </c>
      <c r="P5909" t="str">
        <f t="shared" si="278"/>
        <v>Cody Core4</v>
      </c>
    </row>
    <row r="5910" spans="1:16" x14ac:dyDescent="0.25">
      <c r="A5910">
        <v>6</v>
      </c>
      <c r="B5910" t="s">
        <v>342</v>
      </c>
      <c r="C5910" t="s">
        <v>1598</v>
      </c>
      <c r="D5910">
        <v>0.57999999999999996</v>
      </c>
      <c r="E5910" t="s">
        <v>51</v>
      </c>
      <c r="F5910" t="s">
        <v>87</v>
      </c>
      <c r="G5910">
        <v>1.1599999999999999</v>
      </c>
      <c r="H5910">
        <v>0</v>
      </c>
      <c r="I5910">
        <v>0.57999999999999996</v>
      </c>
      <c r="J5910">
        <v>0.33639999999999998</v>
      </c>
      <c r="K5910" t="str">
        <f>IFERROR(INDEX(Rosters!$C$2:$C$155,MATCH($B5910,Rosters!$B$2:$B$155,0)),"NA")</f>
        <v>NA</v>
      </c>
      <c r="L5910" t="str">
        <f t="shared" si="276"/>
        <v>NA6WR</v>
      </c>
      <c r="M5910">
        <f>COUNTIF(L$1:L5910,L5910)</f>
        <v>93</v>
      </c>
      <c r="N5910" t="str">
        <f t="shared" si="277"/>
        <v>NA6WR-93</v>
      </c>
      <c r="O5910">
        <f>COUNTIFS(F$1:F5910,F5910,A$1:A5910,A5910)</f>
        <v>143</v>
      </c>
      <c r="P5910" t="str">
        <f t="shared" si="278"/>
        <v>Cody Core6</v>
      </c>
    </row>
    <row r="5911" spans="1:16" x14ac:dyDescent="0.25">
      <c r="A5911">
        <v>15</v>
      </c>
      <c r="B5911" t="s">
        <v>342</v>
      </c>
      <c r="C5911">
        <f>-0.12-1.28</f>
        <v>-1.4</v>
      </c>
      <c r="D5911">
        <v>0.57999999999999996</v>
      </c>
      <c r="E5911" t="s">
        <v>32</v>
      </c>
      <c r="F5911" t="s">
        <v>87</v>
      </c>
      <c r="G5911">
        <v>1.28</v>
      </c>
      <c r="H5911">
        <v>-0.12</v>
      </c>
      <c r="I5911">
        <v>0.7</v>
      </c>
      <c r="J5911">
        <v>0.49</v>
      </c>
      <c r="K5911" t="str">
        <f>IFERROR(INDEX(Rosters!$C$2:$C$155,MATCH($B5911,Rosters!$B$2:$B$155,0)),"NA")</f>
        <v>NA</v>
      </c>
      <c r="L5911" t="str">
        <f t="shared" si="276"/>
        <v>NA15WR</v>
      </c>
      <c r="M5911">
        <f>COUNTIF(L$1:L5911,L5911)</f>
        <v>96</v>
      </c>
      <c r="N5911" t="str">
        <f t="shared" si="277"/>
        <v>NA15WR-96</v>
      </c>
      <c r="O5911">
        <f>COUNTIFS(F$1:F5911,F5911,A$1:A5911,A5911)</f>
        <v>150</v>
      </c>
      <c r="P5911" t="str">
        <f t="shared" si="278"/>
        <v>Cody Core15</v>
      </c>
    </row>
    <row r="5912" spans="1:16" x14ac:dyDescent="0.25">
      <c r="A5912">
        <v>6</v>
      </c>
      <c r="B5912" t="s">
        <v>1562</v>
      </c>
      <c r="C5912">
        <f>-0.05-1.21</f>
        <v>-1.26</v>
      </c>
      <c r="D5912">
        <v>0.57999999999999996</v>
      </c>
      <c r="E5912" t="s">
        <v>41</v>
      </c>
      <c r="F5912" t="s">
        <v>114</v>
      </c>
      <c r="G5912">
        <v>1.21</v>
      </c>
      <c r="H5912">
        <v>-0.05</v>
      </c>
      <c r="I5912">
        <v>0.63</v>
      </c>
      <c r="J5912">
        <v>0.39689999999999998</v>
      </c>
      <c r="K5912" t="str">
        <f>IFERROR(INDEX(Rosters!$C$2:$C$155,MATCH($B5912,Rosters!$B$2:$B$155,0)),"NA")</f>
        <v>NA</v>
      </c>
      <c r="L5912" t="str">
        <f t="shared" si="276"/>
        <v>NA6TE</v>
      </c>
      <c r="M5912">
        <f>COUNTIF(L$1:L5912,L5912)</f>
        <v>56</v>
      </c>
      <c r="N5912" t="str">
        <f t="shared" si="277"/>
        <v>NA6TE-56</v>
      </c>
      <c r="O5912">
        <f>COUNTIFS(F$1:F5912,F5912,A$1:A5912,A5912)</f>
        <v>68</v>
      </c>
      <c r="P5912" t="str">
        <f t="shared" si="278"/>
        <v>Cole Wick6</v>
      </c>
    </row>
    <row r="5913" spans="1:16" x14ac:dyDescent="0.25">
      <c r="A5913">
        <v>2</v>
      </c>
      <c r="B5913" t="s">
        <v>1559</v>
      </c>
      <c r="C5913">
        <f>-0.05-1.21</f>
        <v>-1.26</v>
      </c>
      <c r="D5913">
        <v>0.57999999999999996</v>
      </c>
      <c r="E5913" t="s">
        <v>28</v>
      </c>
      <c r="F5913" t="s">
        <v>114</v>
      </c>
      <c r="G5913">
        <v>1.21</v>
      </c>
      <c r="H5913">
        <v>-0.05</v>
      </c>
      <c r="I5913">
        <v>0.63</v>
      </c>
      <c r="J5913">
        <v>0.39689999999999998</v>
      </c>
      <c r="K5913" t="str">
        <f>IFERROR(INDEX(Rosters!$C$2:$C$155,MATCH($B5913,Rosters!$B$2:$B$155,0)),"NA")</f>
        <v>NA</v>
      </c>
      <c r="L5913" t="str">
        <f t="shared" si="276"/>
        <v>NA2TE</v>
      </c>
      <c r="M5913">
        <f>COUNTIF(L$1:L5913,L5913)</f>
        <v>55</v>
      </c>
      <c r="N5913" t="str">
        <f t="shared" si="277"/>
        <v>NA2TE-55</v>
      </c>
      <c r="O5913">
        <f>COUNTIFS(F$1:F5913,F5913,A$1:A5913,A5913)</f>
        <v>68</v>
      </c>
      <c r="P5913" t="str">
        <f t="shared" si="278"/>
        <v>Daniel Brown2</v>
      </c>
    </row>
    <row r="5914" spans="1:16" x14ac:dyDescent="0.25">
      <c r="A5914">
        <v>8</v>
      </c>
      <c r="B5914" t="s">
        <v>1559</v>
      </c>
      <c r="C5914">
        <f>-0.06-1.22</f>
        <v>-1.28</v>
      </c>
      <c r="D5914">
        <v>0.57999999999999996</v>
      </c>
      <c r="E5914" t="s">
        <v>73</v>
      </c>
      <c r="F5914" t="s">
        <v>114</v>
      </c>
      <c r="G5914">
        <v>1.22</v>
      </c>
      <c r="H5914">
        <v>-0.06</v>
      </c>
      <c r="I5914">
        <v>0.64</v>
      </c>
      <c r="J5914">
        <v>0.40960000000000002</v>
      </c>
      <c r="K5914" t="str">
        <f>IFERROR(INDEX(Rosters!$C$2:$C$155,MATCH($B5914,Rosters!$B$2:$B$155,0)),"NA")</f>
        <v>NA</v>
      </c>
      <c r="L5914" t="str">
        <f t="shared" si="276"/>
        <v>NA8TE</v>
      </c>
      <c r="M5914">
        <f>COUNTIF(L$1:L5914,L5914)</f>
        <v>54</v>
      </c>
      <c r="N5914" t="str">
        <f t="shared" si="277"/>
        <v>NA8TE-54</v>
      </c>
      <c r="O5914">
        <f>COUNTIFS(F$1:F5914,F5914,A$1:A5914,A5914)</f>
        <v>66</v>
      </c>
      <c r="P5914" t="str">
        <f t="shared" si="278"/>
        <v>Daniel Brown8</v>
      </c>
    </row>
    <row r="5915" spans="1:16" x14ac:dyDescent="0.25">
      <c r="A5915">
        <v>10</v>
      </c>
      <c r="B5915" t="s">
        <v>1559</v>
      </c>
      <c r="C5915" t="s">
        <v>352</v>
      </c>
      <c r="D5915">
        <v>0.57999999999999996</v>
      </c>
      <c r="E5915" t="s">
        <v>34</v>
      </c>
      <c r="F5915" t="s">
        <v>114</v>
      </c>
      <c r="G5915">
        <v>1.1299999999999999</v>
      </c>
      <c r="H5915">
        <v>0.03</v>
      </c>
      <c r="I5915">
        <v>0.55000000000000004</v>
      </c>
      <c r="J5915">
        <v>0.30249999999999999</v>
      </c>
      <c r="K5915" t="str">
        <f>IFERROR(INDEX(Rosters!$C$2:$C$155,MATCH($B5915,Rosters!$B$2:$B$155,0)),"NA")</f>
        <v>NA</v>
      </c>
      <c r="L5915" t="str">
        <f t="shared" si="276"/>
        <v>NA10TE</v>
      </c>
      <c r="M5915">
        <f>COUNTIF(L$1:L5915,L5915)</f>
        <v>55</v>
      </c>
      <c r="N5915" t="str">
        <f t="shared" si="277"/>
        <v>NA10TE-55</v>
      </c>
      <c r="O5915">
        <f>COUNTIFS(F$1:F5915,F5915,A$1:A5915,A5915)</f>
        <v>68</v>
      </c>
      <c r="P5915" t="str">
        <f t="shared" si="278"/>
        <v>Daniel Brown10</v>
      </c>
    </row>
    <row r="5916" spans="1:16" x14ac:dyDescent="0.25">
      <c r="A5916">
        <v>17</v>
      </c>
      <c r="B5916" t="s">
        <v>1115</v>
      </c>
      <c r="C5916" t="s">
        <v>8905</v>
      </c>
      <c r="D5916">
        <v>0.57999999999999996</v>
      </c>
      <c r="E5916" t="s">
        <v>66</v>
      </c>
      <c r="F5916" t="s">
        <v>87</v>
      </c>
      <c r="G5916">
        <v>1.1000000000000001</v>
      </c>
      <c r="H5916">
        <v>0.06</v>
      </c>
      <c r="I5916">
        <v>0.52</v>
      </c>
      <c r="J5916">
        <v>0.27039999999999997</v>
      </c>
      <c r="K5916" t="str">
        <f>IFERROR(INDEX(Rosters!$C$2:$C$155,MATCH($B5916,Rosters!$B$2:$B$155,0)),"NA")</f>
        <v>NA</v>
      </c>
      <c r="L5916" t="str">
        <f t="shared" si="276"/>
        <v>NA17WR</v>
      </c>
      <c r="M5916">
        <f>COUNTIF(L$1:L5916,L5916)</f>
        <v>99</v>
      </c>
      <c r="N5916" t="str">
        <f t="shared" si="277"/>
        <v>NA17WR-99</v>
      </c>
      <c r="O5916">
        <f>COUNTIFS(F$1:F5916,F5916,A$1:A5916,A5916)</f>
        <v>153</v>
      </c>
      <c r="P5916" t="str">
        <f t="shared" si="278"/>
        <v>Darius Jennings17</v>
      </c>
    </row>
    <row r="5917" spans="1:16" x14ac:dyDescent="0.25">
      <c r="A5917">
        <v>12</v>
      </c>
      <c r="B5917" t="s">
        <v>317</v>
      </c>
      <c r="C5917" t="s">
        <v>8906</v>
      </c>
      <c r="D5917">
        <v>0.57999999999999996</v>
      </c>
      <c r="E5917" t="s">
        <v>58</v>
      </c>
      <c r="F5917" t="s">
        <v>47</v>
      </c>
      <c r="G5917">
        <v>1.04</v>
      </c>
      <c r="H5917">
        <v>0.12</v>
      </c>
      <c r="I5917">
        <v>0.46</v>
      </c>
      <c r="J5917">
        <v>0.21160000000000001</v>
      </c>
      <c r="K5917" t="str">
        <f>IFERROR(INDEX(Rosters!$C$2:$C$155,MATCH($B5917,Rosters!$B$2:$B$155,0)),"NA")</f>
        <v>NA</v>
      </c>
      <c r="L5917" t="str">
        <f t="shared" si="276"/>
        <v>NA12RB</v>
      </c>
      <c r="M5917">
        <f>COUNTIF(L$1:L5917,L5917)</f>
        <v>52</v>
      </c>
      <c r="N5917" t="str">
        <f t="shared" si="277"/>
        <v>NA12RB-52</v>
      </c>
      <c r="O5917">
        <f>COUNTIFS(F$1:F5917,F5917,A$1:A5917,A5917)</f>
        <v>97</v>
      </c>
      <c r="P5917" t="str">
        <f t="shared" si="278"/>
        <v>Derek Watt12</v>
      </c>
    </row>
    <row r="5918" spans="1:16" x14ac:dyDescent="0.25">
      <c r="A5918">
        <v>7</v>
      </c>
      <c r="B5918" t="s">
        <v>8907</v>
      </c>
      <c r="C5918">
        <f>-0.02-1.18</f>
        <v>-1.2</v>
      </c>
      <c r="D5918">
        <v>0.57999999999999996</v>
      </c>
      <c r="E5918" t="s">
        <v>34</v>
      </c>
      <c r="F5918" t="s">
        <v>114</v>
      </c>
      <c r="G5918">
        <v>1.18</v>
      </c>
      <c r="H5918">
        <v>-0.02</v>
      </c>
      <c r="I5918">
        <v>0.6</v>
      </c>
      <c r="J5918">
        <v>0.36</v>
      </c>
      <c r="K5918" t="str">
        <f>IFERROR(INDEX(Rosters!$C$2:$C$155,MATCH($B5918,Rosters!$B$2:$B$155,0)),"NA")</f>
        <v>NA</v>
      </c>
      <c r="L5918" t="str">
        <f t="shared" si="276"/>
        <v>NA7TE</v>
      </c>
      <c r="M5918">
        <f>COUNTIF(L$1:L5918,L5918)</f>
        <v>58</v>
      </c>
      <c r="N5918" t="str">
        <f t="shared" si="277"/>
        <v>NA7TE-58</v>
      </c>
      <c r="O5918">
        <f>COUNTIFS(F$1:F5918,F5918,A$1:A5918,A5918)</f>
        <v>68</v>
      </c>
      <c r="P5918" t="str">
        <f t="shared" si="278"/>
        <v>Durham Smythe7</v>
      </c>
    </row>
    <row r="5919" spans="1:16" x14ac:dyDescent="0.25">
      <c r="A5919">
        <v>8</v>
      </c>
      <c r="B5919" t="s">
        <v>254</v>
      </c>
      <c r="C5919">
        <f>-0.35-1.51</f>
        <v>-1.8599999999999999</v>
      </c>
      <c r="D5919">
        <v>0.57999999999999996</v>
      </c>
      <c r="E5919" t="s">
        <v>29</v>
      </c>
      <c r="F5919" t="s">
        <v>114</v>
      </c>
      <c r="G5919">
        <v>1.51</v>
      </c>
      <c r="H5919">
        <v>-0.35</v>
      </c>
      <c r="I5919">
        <v>0.93</v>
      </c>
      <c r="J5919">
        <v>0.8649</v>
      </c>
      <c r="K5919" t="str">
        <f>IFERROR(INDEX(Rosters!$C$2:$C$155,MATCH($B5919,Rosters!$B$2:$B$155,0)),"NA")</f>
        <v>NA</v>
      </c>
      <c r="L5919" t="str">
        <f t="shared" si="276"/>
        <v>NA8TE</v>
      </c>
      <c r="M5919">
        <f>COUNTIF(L$1:L5919,L5919)</f>
        <v>55</v>
      </c>
      <c r="N5919" t="str">
        <f t="shared" si="277"/>
        <v>NA8TE-55</v>
      </c>
      <c r="O5919">
        <f>COUNTIFS(F$1:F5919,F5919,A$1:A5919,A5919)</f>
        <v>67</v>
      </c>
      <c r="P5919" t="str">
        <f t="shared" si="278"/>
        <v>Dwayne Allen8</v>
      </c>
    </row>
    <row r="5920" spans="1:16" x14ac:dyDescent="0.25">
      <c r="A5920">
        <v>9</v>
      </c>
      <c r="B5920" t="s">
        <v>2808</v>
      </c>
      <c r="C5920">
        <f>-0.03-1.19</f>
        <v>-1.22</v>
      </c>
      <c r="D5920">
        <v>0.57999999999999996</v>
      </c>
      <c r="E5920" t="s">
        <v>77</v>
      </c>
      <c r="F5920" t="s">
        <v>87</v>
      </c>
      <c r="G5920">
        <v>1.19</v>
      </c>
      <c r="H5920">
        <v>-0.03</v>
      </c>
      <c r="I5920">
        <v>0.61</v>
      </c>
      <c r="J5920">
        <v>0.37209999999999999</v>
      </c>
      <c r="K5920" t="str">
        <f>IFERROR(INDEX(Rosters!$C$2:$C$155,MATCH($B5920,Rosters!$B$2:$B$155,0)),"NA")</f>
        <v>NA</v>
      </c>
      <c r="L5920" t="str">
        <f t="shared" si="276"/>
        <v>NA9WR</v>
      </c>
      <c r="M5920">
        <f>COUNTIF(L$1:L5920,L5920)</f>
        <v>82</v>
      </c>
      <c r="N5920" t="str">
        <f t="shared" si="277"/>
        <v>NA9WR-82</v>
      </c>
      <c r="O5920">
        <f>COUNTIFS(F$1:F5920,F5920,A$1:A5920,A5920)</f>
        <v>126</v>
      </c>
      <c r="P5920" t="str">
        <f t="shared" si="278"/>
        <v>Eli Rogers9</v>
      </c>
    </row>
    <row r="5921" spans="1:16" x14ac:dyDescent="0.25">
      <c r="A5921">
        <v>14</v>
      </c>
      <c r="B5921" t="s">
        <v>2808</v>
      </c>
      <c r="C5921" t="s">
        <v>4255</v>
      </c>
      <c r="D5921">
        <v>0.57999999999999996</v>
      </c>
      <c r="E5921" t="s">
        <v>32</v>
      </c>
      <c r="F5921" t="s">
        <v>87</v>
      </c>
      <c r="G5921">
        <v>1.1399999999999999</v>
      </c>
      <c r="H5921">
        <v>0.02</v>
      </c>
      <c r="I5921">
        <v>0.56000000000000005</v>
      </c>
      <c r="J5921">
        <v>0.31359999999999999</v>
      </c>
      <c r="K5921" t="str">
        <f>IFERROR(INDEX(Rosters!$C$2:$C$155,MATCH($B5921,Rosters!$B$2:$B$155,0)),"NA")</f>
        <v>NA</v>
      </c>
      <c r="L5921" t="str">
        <f t="shared" si="276"/>
        <v>NA14WR</v>
      </c>
      <c r="M5921">
        <f>COUNTIF(L$1:L5921,L5921)</f>
        <v>96</v>
      </c>
      <c r="N5921" t="str">
        <f t="shared" si="277"/>
        <v>NA14WR-96</v>
      </c>
      <c r="O5921">
        <f>COUNTIFS(F$1:F5921,F5921,A$1:A5921,A5921)</f>
        <v>150</v>
      </c>
      <c r="P5921" t="str">
        <f t="shared" si="278"/>
        <v>Eli Rogers14</v>
      </c>
    </row>
    <row r="5922" spans="1:16" x14ac:dyDescent="0.25">
      <c r="A5922">
        <v>3</v>
      </c>
      <c r="B5922" t="s">
        <v>1132</v>
      </c>
      <c r="C5922" t="s">
        <v>1598</v>
      </c>
      <c r="D5922">
        <v>0.57999999999999996</v>
      </c>
      <c r="E5922" t="s">
        <v>56</v>
      </c>
      <c r="F5922" t="s">
        <v>87</v>
      </c>
      <c r="G5922">
        <v>1.1599999999999999</v>
      </c>
      <c r="H5922">
        <v>0</v>
      </c>
      <c r="I5922">
        <v>0.57999999999999996</v>
      </c>
      <c r="J5922">
        <v>0.33639999999999998</v>
      </c>
      <c r="K5922" t="str">
        <f>IFERROR(INDEX(Rosters!$C$2:$C$155,MATCH($B5922,Rosters!$B$2:$B$155,0)),"NA")</f>
        <v>NA</v>
      </c>
      <c r="L5922" t="str">
        <f t="shared" si="276"/>
        <v>NA3WR</v>
      </c>
      <c r="M5922">
        <f>COUNTIF(L$1:L5922,L5922)</f>
        <v>79</v>
      </c>
      <c r="N5922" t="str">
        <f t="shared" si="277"/>
        <v>NA3WR-79</v>
      </c>
      <c r="O5922">
        <f>COUNTIFS(F$1:F5922,F5922,A$1:A5922,A5922)</f>
        <v>128</v>
      </c>
      <c r="P5922" t="str">
        <f t="shared" si="278"/>
        <v>Geremy Davis3</v>
      </c>
    </row>
    <row r="5923" spans="1:16" x14ac:dyDescent="0.25">
      <c r="A5923">
        <v>11</v>
      </c>
      <c r="B5923" t="s">
        <v>1132</v>
      </c>
      <c r="C5923" t="s">
        <v>1598</v>
      </c>
      <c r="D5923">
        <v>0.57999999999999996</v>
      </c>
      <c r="E5923" t="s">
        <v>42</v>
      </c>
      <c r="F5923" t="s">
        <v>87</v>
      </c>
      <c r="G5923">
        <v>1.1599999999999999</v>
      </c>
      <c r="H5923">
        <v>0</v>
      </c>
      <c r="I5923">
        <v>0.57999999999999996</v>
      </c>
      <c r="J5923">
        <v>0.33639999999999998</v>
      </c>
      <c r="K5923" t="str">
        <f>IFERROR(INDEX(Rosters!$C$2:$C$155,MATCH($B5923,Rosters!$B$2:$B$155,0)),"NA")</f>
        <v>NA</v>
      </c>
      <c r="L5923" t="str">
        <f t="shared" si="276"/>
        <v>NA11WR</v>
      </c>
      <c r="M5923">
        <f>COUNTIF(L$1:L5923,L5923)</f>
        <v>79</v>
      </c>
      <c r="N5923" t="str">
        <f t="shared" si="277"/>
        <v>NA11WR-79</v>
      </c>
      <c r="O5923">
        <f>COUNTIFS(F$1:F5923,F5923,A$1:A5923,A5923)</f>
        <v>126</v>
      </c>
      <c r="P5923" t="str">
        <f t="shared" si="278"/>
        <v>Geremy Davis11</v>
      </c>
    </row>
    <row r="5924" spans="1:16" x14ac:dyDescent="0.25">
      <c r="A5924">
        <v>14</v>
      </c>
      <c r="B5924" t="s">
        <v>1490</v>
      </c>
      <c r="C5924" t="s">
        <v>8905</v>
      </c>
      <c r="D5924">
        <v>0.57999999999999996</v>
      </c>
      <c r="E5924" t="s">
        <v>25</v>
      </c>
      <c r="F5924" t="s">
        <v>47</v>
      </c>
      <c r="G5924">
        <v>1.1000000000000001</v>
      </c>
      <c r="H5924">
        <v>0.06</v>
      </c>
      <c r="I5924">
        <v>0.52</v>
      </c>
      <c r="J5924">
        <v>0.27039999999999997</v>
      </c>
      <c r="K5924" t="str">
        <f>IFERROR(INDEX(Rosters!$C$2:$C$155,MATCH($B5924,Rosters!$B$2:$B$155,0)),"NA")</f>
        <v>NA</v>
      </c>
      <c r="L5924" t="str">
        <f t="shared" si="276"/>
        <v>NA14RB</v>
      </c>
      <c r="M5924">
        <f>COUNTIF(L$1:L5924,L5924)</f>
        <v>56</v>
      </c>
      <c r="N5924" t="str">
        <f t="shared" si="277"/>
        <v>NA14RB-56</v>
      </c>
      <c r="O5924">
        <f>COUNTIFS(F$1:F5924,F5924,A$1:A5924,A5924)</f>
        <v>103</v>
      </c>
      <c r="P5924" t="str">
        <f t="shared" si="278"/>
        <v>J.D. McKissic14</v>
      </c>
    </row>
    <row r="5925" spans="1:16" x14ac:dyDescent="0.25">
      <c r="A5925">
        <v>11</v>
      </c>
      <c r="B5925" t="s">
        <v>2848</v>
      </c>
      <c r="C5925">
        <f>-0.08-1.24</f>
        <v>-1.32</v>
      </c>
      <c r="D5925">
        <v>0.57999999999999996</v>
      </c>
      <c r="E5925" t="s">
        <v>46</v>
      </c>
      <c r="F5925" t="s">
        <v>47</v>
      </c>
      <c r="G5925">
        <v>1.24</v>
      </c>
      <c r="H5925">
        <v>-0.08</v>
      </c>
      <c r="I5925">
        <v>0.66</v>
      </c>
      <c r="J5925">
        <v>0.43559999999999999</v>
      </c>
      <c r="K5925" t="str">
        <f>IFERROR(INDEX(Rosters!$C$2:$C$155,MATCH($B5925,Rosters!$B$2:$B$155,0)),"NA")</f>
        <v>NA</v>
      </c>
      <c r="L5925" t="str">
        <f t="shared" si="276"/>
        <v>NA11RB</v>
      </c>
      <c r="M5925">
        <f>COUNTIF(L$1:L5925,L5925)</f>
        <v>48</v>
      </c>
      <c r="N5925" t="str">
        <f t="shared" si="277"/>
        <v>NA11RB-48</v>
      </c>
      <c r="O5925">
        <f>COUNTIFS(F$1:F5925,F5925,A$1:A5925,A5925)</f>
        <v>86</v>
      </c>
      <c r="P5925" t="str">
        <f t="shared" si="278"/>
        <v>Jamize Olawale11</v>
      </c>
    </row>
    <row r="5926" spans="1:16" x14ac:dyDescent="0.25">
      <c r="A5926">
        <v>7</v>
      </c>
      <c r="B5926" t="s">
        <v>1548</v>
      </c>
      <c r="C5926">
        <f>-0.03-1.19</f>
        <v>-1.22</v>
      </c>
      <c r="D5926">
        <v>0.57999999999999996</v>
      </c>
      <c r="E5926" t="s">
        <v>22</v>
      </c>
      <c r="F5926" t="s">
        <v>114</v>
      </c>
      <c r="G5926">
        <v>1.19</v>
      </c>
      <c r="H5926">
        <v>-0.03</v>
      </c>
      <c r="I5926">
        <v>0.61</v>
      </c>
      <c r="J5926">
        <v>0.37209999999999999</v>
      </c>
      <c r="K5926" t="str">
        <f>IFERROR(INDEX(Rosters!$C$2:$C$155,MATCH($B5926,Rosters!$B$2:$B$155,0)),"NA")</f>
        <v>NA</v>
      </c>
      <c r="L5926" t="str">
        <f t="shared" si="276"/>
        <v>NA7TE</v>
      </c>
      <c r="M5926">
        <f>COUNTIF(L$1:L5926,L5926)</f>
        <v>59</v>
      </c>
      <c r="N5926" t="str">
        <f t="shared" si="277"/>
        <v>NA7TE-59</v>
      </c>
      <c r="O5926">
        <f>COUNTIFS(F$1:F5926,F5926,A$1:A5926,A5926)</f>
        <v>69</v>
      </c>
      <c r="P5926" t="str">
        <f t="shared" si="278"/>
        <v>Jeremy Sprinkle7</v>
      </c>
    </row>
    <row r="5927" spans="1:16" x14ac:dyDescent="0.25">
      <c r="A5927">
        <v>8</v>
      </c>
      <c r="B5927" t="s">
        <v>1565</v>
      </c>
      <c r="C5927" t="s">
        <v>3855</v>
      </c>
      <c r="D5927">
        <v>0.57999999999999996</v>
      </c>
      <c r="E5927" t="s">
        <v>41</v>
      </c>
      <c r="F5927" t="s">
        <v>47</v>
      </c>
      <c r="G5927">
        <v>1.1100000000000001</v>
      </c>
      <c r="H5927">
        <v>0.05</v>
      </c>
      <c r="I5927">
        <v>0.53</v>
      </c>
      <c r="J5927">
        <v>0.28089999999999998</v>
      </c>
      <c r="K5927" t="str">
        <f>IFERROR(INDEX(Rosters!$C$2:$C$155,MATCH($B5927,Rosters!$B$2:$B$155,0)),"NA")</f>
        <v>NA</v>
      </c>
      <c r="L5927" t="str">
        <f t="shared" si="276"/>
        <v>NA8RB</v>
      </c>
      <c r="M5927">
        <f>COUNTIF(L$1:L5927,L5927)</f>
        <v>52</v>
      </c>
      <c r="N5927" t="str">
        <f t="shared" si="277"/>
        <v>NA8RB-52</v>
      </c>
      <c r="O5927">
        <f>COUNTIFS(F$1:F5927,F5927,A$1:A5927,A5927)</f>
        <v>92</v>
      </c>
      <c r="P5927" t="str">
        <f t="shared" si="278"/>
        <v>Justin Davis8</v>
      </c>
    </row>
    <row r="5928" spans="1:16" x14ac:dyDescent="0.25">
      <c r="A5928">
        <v>10</v>
      </c>
      <c r="B5928" t="s">
        <v>1565</v>
      </c>
      <c r="C5928" t="s">
        <v>4255</v>
      </c>
      <c r="D5928">
        <v>0.57999999999999996</v>
      </c>
      <c r="E5928" t="s">
        <v>28</v>
      </c>
      <c r="F5928" t="s">
        <v>47</v>
      </c>
      <c r="G5928">
        <v>1.1399999999999999</v>
      </c>
      <c r="H5928">
        <v>0.02</v>
      </c>
      <c r="I5928">
        <v>0.56000000000000005</v>
      </c>
      <c r="J5928">
        <v>0.31359999999999999</v>
      </c>
      <c r="K5928" t="str">
        <f>IFERROR(INDEX(Rosters!$C$2:$C$155,MATCH($B5928,Rosters!$B$2:$B$155,0)),"NA")</f>
        <v>NA</v>
      </c>
      <c r="L5928" t="str">
        <f t="shared" si="276"/>
        <v>NA10RB</v>
      </c>
      <c r="M5928">
        <f>COUNTIF(L$1:L5928,L5928)</f>
        <v>53</v>
      </c>
      <c r="N5928" t="str">
        <f t="shared" si="277"/>
        <v>NA10RB-53</v>
      </c>
      <c r="O5928">
        <f>COUNTIFS(F$1:F5928,F5928,A$1:A5928,A5928)</f>
        <v>92</v>
      </c>
      <c r="P5928" t="str">
        <f t="shared" si="278"/>
        <v>Justin Davis10</v>
      </c>
    </row>
    <row r="5929" spans="1:16" x14ac:dyDescent="0.25">
      <c r="A5929">
        <v>13</v>
      </c>
      <c r="B5929" t="s">
        <v>2769</v>
      </c>
      <c r="C5929">
        <f>-0.18-1.34</f>
        <v>-1.52</v>
      </c>
      <c r="D5929">
        <v>0.57999999999999996</v>
      </c>
      <c r="E5929" t="s">
        <v>50</v>
      </c>
      <c r="F5929" t="s">
        <v>47</v>
      </c>
      <c r="G5929">
        <v>1.34</v>
      </c>
      <c r="H5929">
        <v>-0.18</v>
      </c>
      <c r="I5929">
        <v>0.76</v>
      </c>
      <c r="J5929">
        <v>0.5776</v>
      </c>
      <c r="K5929" t="str">
        <f>IFERROR(INDEX(Rosters!$C$2:$C$155,MATCH($B5929,Rosters!$B$2:$B$155,0)),"NA")</f>
        <v>NA</v>
      </c>
      <c r="L5929" t="str">
        <f t="shared" si="276"/>
        <v>NA13RB</v>
      </c>
      <c r="M5929">
        <f>COUNTIF(L$1:L5929,L5929)</f>
        <v>61</v>
      </c>
      <c r="N5929" t="str">
        <f t="shared" si="277"/>
        <v>NA13RB-61</v>
      </c>
      <c r="O5929">
        <f>COUNTIFS(F$1:F5929,F5929,A$1:A5929,A5929)</f>
        <v>108</v>
      </c>
      <c r="P5929" t="str">
        <f t="shared" si="278"/>
        <v>Kapri Bibbs13</v>
      </c>
    </row>
    <row r="5930" spans="1:16" x14ac:dyDescent="0.25">
      <c r="A5930">
        <v>15</v>
      </c>
      <c r="B5930" t="s">
        <v>2769</v>
      </c>
      <c r="C5930">
        <f>-0.16-1.32</f>
        <v>-1.48</v>
      </c>
      <c r="D5930">
        <v>0.57999999999999996</v>
      </c>
      <c r="E5930" t="s">
        <v>76</v>
      </c>
      <c r="F5930" t="s">
        <v>47</v>
      </c>
      <c r="G5930">
        <v>1.32</v>
      </c>
      <c r="H5930">
        <v>-0.16</v>
      </c>
      <c r="I5930">
        <v>0.74</v>
      </c>
      <c r="J5930">
        <v>0.54759999999999998</v>
      </c>
      <c r="K5930" t="str">
        <f>IFERROR(INDEX(Rosters!$C$2:$C$155,MATCH($B5930,Rosters!$B$2:$B$155,0)),"NA")</f>
        <v>NA</v>
      </c>
      <c r="L5930" t="str">
        <f t="shared" si="276"/>
        <v>NA15RB</v>
      </c>
      <c r="M5930">
        <f>COUNTIF(L$1:L5930,L5930)</f>
        <v>61</v>
      </c>
      <c r="N5930" t="str">
        <f t="shared" si="277"/>
        <v>NA15RB-61</v>
      </c>
      <c r="O5930">
        <f>COUNTIFS(F$1:F5930,F5930,A$1:A5930,A5930)</f>
        <v>108</v>
      </c>
      <c r="P5930" t="str">
        <f t="shared" si="278"/>
        <v>Kapri Bibbs15</v>
      </c>
    </row>
    <row r="5931" spans="1:16" x14ac:dyDescent="0.25">
      <c r="A5931">
        <v>9</v>
      </c>
      <c r="B5931" t="s">
        <v>198</v>
      </c>
      <c r="C5931">
        <f>-0.17-1.33</f>
        <v>-1.5</v>
      </c>
      <c r="D5931">
        <v>0.57999999999999996</v>
      </c>
      <c r="E5931" t="s">
        <v>29</v>
      </c>
      <c r="F5931" t="s">
        <v>87</v>
      </c>
      <c r="G5931">
        <v>1.33</v>
      </c>
      <c r="H5931">
        <v>-0.17</v>
      </c>
      <c r="I5931">
        <v>0.75</v>
      </c>
      <c r="J5931">
        <v>0.5625</v>
      </c>
      <c r="K5931" t="str">
        <f>IFERROR(INDEX(Rosters!$C$2:$C$155,MATCH($B5931,Rosters!$B$2:$B$155,0)),"NA")</f>
        <v>NA</v>
      </c>
      <c r="L5931" t="str">
        <f t="shared" si="276"/>
        <v>NA9WR</v>
      </c>
      <c r="M5931">
        <f>COUNTIF(L$1:L5931,L5931)</f>
        <v>83</v>
      </c>
      <c r="N5931" t="str">
        <f t="shared" si="277"/>
        <v>NA9WR-83</v>
      </c>
      <c r="O5931">
        <f>COUNTIFS(F$1:F5931,F5931,A$1:A5931,A5931)</f>
        <v>127</v>
      </c>
      <c r="P5931" t="str">
        <f t="shared" si="278"/>
        <v>Kevin White9</v>
      </c>
    </row>
    <row r="5932" spans="1:16" x14ac:dyDescent="0.25">
      <c r="A5932">
        <v>16</v>
      </c>
      <c r="B5932" t="s">
        <v>1125</v>
      </c>
      <c r="C5932" t="s">
        <v>1019</v>
      </c>
      <c r="D5932">
        <v>0.57999999999999996</v>
      </c>
      <c r="E5932" t="s">
        <v>74</v>
      </c>
      <c r="F5932" t="s">
        <v>114</v>
      </c>
      <c r="G5932">
        <v>1.1499999999999999</v>
      </c>
      <c r="H5932">
        <v>0.01</v>
      </c>
      <c r="I5932">
        <v>0.56999999999999995</v>
      </c>
      <c r="J5932">
        <v>0.32490000000000002</v>
      </c>
      <c r="K5932" t="str">
        <f>IFERROR(INDEX(Rosters!$C$2:$C$155,MATCH($B5932,Rosters!$B$2:$B$155,0)),"NA")</f>
        <v>NA</v>
      </c>
      <c r="L5932" t="str">
        <f t="shared" si="276"/>
        <v>NA16TE</v>
      </c>
      <c r="M5932">
        <f>COUNTIF(L$1:L5932,L5932)</f>
        <v>63</v>
      </c>
      <c r="N5932" t="str">
        <f t="shared" si="277"/>
        <v>NA16TE-63</v>
      </c>
      <c r="O5932">
        <f>COUNTIFS(F$1:F5932,F5932,A$1:A5932,A5932)</f>
        <v>77</v>
      </c>
      <c r="P5932" t="str">
        <f t="shared" si="278"/>
        <v>Logan Paulsen16</v>
      </c>
    </row>
    <row r="5933" spans="1:16" x14ac:dyDescent="0.25">
      <c r="A5933">
        <v>6</v>
      </c>
      <c r="B5933" t="s">
        <v>288</v>
      </c>
      <c r="C5933">
        <f>-0.01-1.17</f>
        <v>-1.18</v>
      </c>
      <c r="D5933">
        <v>0.57999999999999996</v>
      </c>
      <c r="E5933" t="s">
        <v>30</v>
      </c>
      <c r="F5933" t="s">
        <v>114</v>
      </c>
      <c r="G5933">
        <v>1.17</v>
      </c>
      <c r="H5933">
        <v>-0.01</v>
      </c>
      <c r="I5933">
        <v>0.59</v>
      </c>
      <c r="J5933">
        <v>0.34810000000000002</v>
      </c>
      <c r="K5933" t="str">
        <f>IFERROR(INDEX(Rosters!$C$2:$C$155,MATCH($B5933,Rosters!$B$2:$B$155,0)),"NA")</f>
        <v>NA</v>
      </c>
      <c r="L5933" t="str">
        <f t="shared" si="276"/>
        <v>NA6TE</v>
      </c>
      <c r="M5933">
        <f>COUNTIF(L$1:L5933,L5933)</f>
        <v>57</v>
      </c>
      <c r="N5933" t="str">
        <f t="shared" si="277"/>
        <v>NA6TE-57</v>
      </c>
      <c r="O5933">
        <f>COUNTIFS(F$1:F5933,F5933,A$1:A5933,A5933)</f>
        <v>69</v>
      </c>
      <c r="P5933" t="str">
        <f t="shared" si="278"/>
        <v>Marcedes Lewis6</v>
      </c>
    </row>
    <row r="5934" spans="1:16" x14ac:dyDescent="0.25">
      <c r="A5934">
        <v>13</v>
      </c>
      <c r="B5934" t="s">
        <v>1633</v>
      </c>
      <c r="C5934">
        <f>-0.22-1.38</f>
        <v>-1.5999999999999999</v>
      </c>
      <c r="D5934">
        <v>0.57999999999999996</v>
      </c>
      <c r="E5934" t="s">
        <v>76</v>
      </c>
      <c r="F5934" t="s">
        <v>87</v>
      </c>
      <c r="G5934">
        <v>1.38</v>
      </c>
      <c r="H5934">
        <v>-0.22</v>
      </c>
      <c r="I5934">
        <v>0.8</v>
      </c>
      <c r="J5934">
        <v>0.64</v>
      </c>
      <c r="K5934" t="str">
        <f>IFERROR(INDEX(Rosters!$C$2:$C$155,MATCH($B5934,Rosters!$B$2:$B$155,0)),"NA")</f>
        <v>NA</v>
      </c>
      <c r="L5934" t="str">
        <f t="shared" si="276"/>
        <v>NA13WR</v>
      </c>
      <c r="M5934">
        <f>COUNTIF(L$1:L5934,L5934)</f>
        <v>96</v>
      </c>
      <c r="N5934" t="str">
        <f t="shared" si="277"/>
        <v>NA13WR-96</v>
      </c>
      <c r="O5934">
        <f>COUNTIFS(F$1:F5934,F5934,A$1:A5934,A5934)</f>
        <v>150</v>
      </c>
      <c r="P5934" t="str">
        <f t="shared" si="278"/>
        <v>Marcus Johnson13</v>
      </c>
    </row>
    <row r="5935" spans="1:16" x14ac:dyDescent="0.25">
      <c r="A5935">
        <v>17</v>
      </c>
      <c r="B5935" t="s">
        <v>1633</v>
      </c>
      <c r="C5935">
        <f>-0.12-1.28</f>
        <v>-1.4</v>
      </c>
      <c r="D5935">
        <v>0.57999999999999996</v>
      </c>
      <c r="E5935" t="s">
        <v>38</v>
      </c>
      <c r="F5935" t="s">
        <v>87</v>
      </c>
      <c r="G5935">
        <v>1.28</v>
      </c>
      <c r="H5935">
        <v>-0.12</v>
      </c>
      <c r="I5935">
        <v>0.7</v>
      </c>
      <c r="J5935">
        <v>0.49</v>
      </c>
      <c r="K5935" t="str">
        <f>IFERROR(INDEX(Rosters!$C$2:$C$155,MATCH($B5935,Rosters!$B$2:$B$155,0)),"NA")</f>
        <v>NA</v>
      </c>
      <c r="L5935" t="str">
        <f t="shared" si="276"/>
        <v>NA17WR</v>
      </c>
      <c r="M5935">
        <f>COUNTIF(L$1:L5935,L5935)</f>
        <v>100</v>
      </c>
      <c r="N5935" t="str">
        <f t="shared" si="277"/>
        <v>NA17WR-100</v>
      </c>
      <c r="O5935">
        <f>COUNTIFS(F$1:F5935,F5935,A$1:A5935,A5935)</f>
        <v>154</v>
      </c>
      <c r="P5935" t="str">
        <f t="shared" si="278"/>
        <v>Marcus Johnson17</v>
      </c>
    </row>
    <row r="5936" spans="1:16" x14ac:dyDescent="0.25">
      <c r="A5936">
        <v>11</v>
      </c>
      <c r="B5936" t="s">
        <v>3126</v>
      </c>
      <c r="C5936">
        <f>-0.04-1.2</f>
        <v>-1.24</v>
      </c>
      <c r="D5936">
        <v>0.57999999999999996</v>
      </c>
      <c r="E5936" t="s">
        <v>37</v>
      </c>
      <c r="F5936" t="s">
        <v>114</v>
      </c>
      <c r="G5936">
        <v>1.2</v>
      </c>
      <c r="H5936">
        <v>-0.04</v>
      </c>
      <c r="I5936">
        <v>0.62</v>
      </c>
      <c r="J5936">
        <v>0.38440000000000002</v>
      </c>
      <c r="K5936" t="str">
        <f>IFERROR(INDEX(Rosters!$C$2:$C$155,MATCH($B5936,Rosters!$B$2:$B$155,0)),"NA")</f>
        <v>NA</v>
      </c>
      <c r="L5936" t="str">
        <f t="shared" si="276"/>
        <v>NA11TE</v>
      </c>
      <c r="M5936">
        <f>COUNTIF(L$1:L5936,L5936)</f>
        <v>50</v>
      </c>
      <c r="N5936" t="str">
        <f t="shared" si="277"/>
        <v>NA11TE-50</v>
      </c>
      <c r="O5936">
        <f>COUNTIFS(F$1:F5936,F5936,A$1:A5936,A5936)</f>
        <v>62</v>
      </c>
      <c r="P5936" t="str">
        <f t="shared" si="278"/>
        <v>Matt LaCosse11</v>
      </c>
    </row>
    <row r="5937" spans="1:16" x14ac:dyDescent="0.25">
      <c r="A5937">
        <v>6</v>
      </c>
      <c r="B5937" t="s">
        <v>345</v>
      </c>
      <c r="C5937">
        <f>-0.01-1.17</f>
        <v>-1.18</v>
      </c>
      <c r="D5937">
        <v>0.57999999999999996</v>
      </c>
      <c r="E5937" t="s">
        <v>17</v>
      </c>
      <c r="F5937" t="s">
        <v>15</v>
      </c>
      <c r="G5937">
        <v>1.17</v>
      </c>
      <c r="H5937">
        <v>-0.01</v>
      </c>
      <c r="I5937">
        <v>0.59</v>
      </c>
      <c r="J5937">
        <v>0.34810000000000002</v>
      </c>
      <c r="K5937" t="str">
        <f>IFERROR(INDEX(Rosters!$C$2:$C$155,MATCH($B5937,Rosters!$B$2:$B$155,0)),"NA")</f>
        <v>NA</v>
      </c>
      <c r="L5937" t="str">
        <f t="shared" si="276"/>
        <v>NA6QB</v>
      </c>
      <c r="M5937">
        <f>COUNTIF(L$1:L5937,L5937)</f>
        <v>37</v>
      </c>
      <c r="N5937" t="str">
        <f t="shared" si="277"/>
        <v>NA6QB-37</v>
      </c>
      <c r="O5937">
        <f>COUNTIFS(F$1:F5937,F5937,A$1:A5937,A5937)</f>
        <v>52</v>
      </c>
      <c r="P5937" t="str">
        <f t="shared" si="278"/>
        <v>Matt Schaub6</v>
      </c>
    </row>
    <row r="5938" spans="1:16" x14ac:dyDescent="0.25">
      <c r="A5938">
        <v>16</v>
      </c>
      <c r="B5938" t="s">
        <v>345</v>
      </c>
      <c r="C5938" t="s">
        <v>1784</v>
      </c>
      <c r="D5938">
        <v>0.57999999999999996</v>
      </c>
      <c r="E5938" t="s">
        <v>74</v>
      </c>
      <c r="F5938" t="s">
        <v>15</v>
      </c>
      <c r="G5938">
        <v>1.1200000000000001</v>
      </c>
      <c r="H5938">
        <v>0.04</v>
      </c>
      <c r="I5938">
        <v>0.54</v>
      </c>
      <c r="J5938">
        <v>0.29160000000000003</v>
      </c>
      <c r="K5938" t="str">
        <f>IFERROR(INDEX(Rosters!$C$2:$C$155,MATCH($B5938,Rosters!$B$2:$B$155,0)),"NA")</f>
        <v>NA</v>
      </c>
      <c r="L5938" t="str">
        <f t="shared" si="276"/>
        <v>NA16QB</v>
      </c>
      <c r="M5938">
        <f>COUNTIF(L$1:L5938,L5938)</f>
        <v>38</v>
      </c>
      <c r="N5938" t="str">
        <f t="shared" si="277"/>
        <v>NA16QB-38</v>
      </c>
      <c r="O5938">
        <f>COUNTIFS(F$1:F5938,F5938,A$1:A5938,A5938)</f>
        <v>55</v>
      </c>
      <c r="P5938" t="str">
        <f t="shared" si="278"/>
        <v>Matt Schaub16</v>
      </c>
    </row>
    <row r="5939" spans="1:16" x14ac:dyDescent="0.25">
      <c r="A5939">
        <v>15</v>
      </c>
      <c r="B5939" t="s">
        <v>1146</v>
      </c>
      <c r="C5939">
        <f>-0.03-1.19</f>
        <v>-1.22</v>
      </c>
      <c r="D5939">
        <v>0.57999999999999996</v>
      </c>
      <c r="E5939" t="s">
        <v>76</v>
      </c>
      <c r="F5939" t="s">
        <v>87</v>
      </c>
      <c r="G5939">
        <v>1.19</v>
      </c>
      <c r="H5939">
        <v>-0.03</v>
      </c>
      <c r="I5939">
        <v>0.61</v>
      </c>
      <c r="J5939">
        <v>0.37209999999999999</v>
      </c>
      <c r="K5939" t="str">
        <f>IFERROR(INDEX(Rosters!$C$2:$C$155,MATCH($B5939,Rosters!$B$2:$B$155,0)),"NA")</f>
        <v>NA</v>
      </c>
      <c r="L5939" t="str">
        <f t="shared" si="276"/>
        <v>NA15WR</v>
      </c>
      <c r="M5939">
        <f>COUNTIF(L$1:L5939,L5939)</f>
        <v>97</v>
      </c>
      <c r="N5939" t="str">
        <f t="shared" si="277"/>
        <v>NA15WR-97</v>
      </c>
      <c r="O5939">
        <f>COUNTIFS(F$1:F5939,F5939,A$1:A5939,A5939)</f>
        <v>151</v>
      </c>
      <c r="P5939" t="str">
        <f t="shared" si="278"/>
        <v>Maurice Harris15</v>
      </c>
    </row>
    <row r="5940" spans="1:16" x14ac:dyDescent="0.25">
      <c r="A5940">
        <v>1</v>
      </c>
      <c r="B5940" t="s">
        <v>1112</v>
      </c>
      <c r="C5940">
        <f>-0.09-1.25</f>
        <v>-1.34</v>
      </c>
      <c r="D5940">
        <v>0.57999999999999996</v>
      </c>
      <c r="E5940" t="s">
        <v>32</v>
      </c>
      <c r="F5940" t="s">
        <v>87</v>
      </c>
      <c r="G5940">
        <v>1.25</v>
      </c>
      <c r="H5940">
        <v>-0.09</v>
      </c>
      <c r="I5940">
        <v>0.67</v>
      </c>
      <c r="J5940">
        <v>0.44890000000000002</v>
      </c>
      <c r="K5940" t="str">
        <f>IFERROR(INDEX(Rosters!$C$2:$C$155,MATCH($B5940,Rosters!$B$2:$B$155,0)),"NA")</f>
        <v>NA</v>
      </c>
      <c r="L5940" t="str">
        <f t="shared" si="276"/>
        <v>NA1WR</v>
      </c>
      <c r="M5940">
        <f>COUNTIF(L$1:L5940,L5940)</f>
        <v>67</v>
      </c>
      <c r="N5940" t="str">
        <f t="shared" si="277"/>
        <v>NA1WR-67</v>
      </c>
      <c r="O5940">
        <f>COUNTIFS(F$1:F5940,F5940,A$1:A5940,A5940)</f>
        <v>116</v>
      </c>
      <c r="P5940" t="str">
        <f t="shared" si="278"/>
        <v>Mike Thomas1</v>
      </c>
    </row>
    <row r="5941" spans="1:16" x14ac:dyDescent="0.25">
      <c r="A5941">
        <v>7</v>
      </c>
      <c r="B5941" t="s">
        <v>2968</v>
      </c>
      <c r="C5941">
        <f>-0.09-1.25</f>
        <v>-1.34</v>
      </c>
      <c r="D5941">
        <v>0.57999999999999996</v>
      </c>
      <c r="E5941" t="s">
        <v>17</v>
      </c>
      <c r="F5941" t="s">
        <v>114</v>
      </c>
      <c r="G5941">
        <v>1.25</v>
      </c>
      <c r="H5941">
        <v>-0.09</v>
      </c>
      <c r="I5941">
        <v>0.67</v>
      </c>
      <c r="J5941">
        <v>0.44890000000000002</v>
      </c>
      <c r="K5941" t="str">
        <f>IFERROR(INDEX(Rosters!$C$2:$C$155,MATCH($B5941,Rosters!$B$2:$B$155,0)),"NA")</f>
        <v>NA</v>
      </c>
      <c r="L5941" t="str">
        <f t="shared" si="276"/>
        <v>NA7TE</v>
      </c>
      <c r="M5941">
        <f>COUNTIF(L$1:L5941,L5941)</f>
        <v>60</v>
      </c>
      <c r="N5941" t="str">
        <f t="shared" si="277"/>
        <v>NA7TE-60</v>
      </c>
      <c r="O5941">
        <f>COUNTIFS(F$1:F5941,F5941,A$1:A5941,A5941)</f>
        <v>70</v>
      </c>
      <c r="P5941" t="str">
        <f t="shared" si="278"/>
        <v>Orson Charles7</v>
      </c>
    </row>
    <row r="5942" spans="1:16" x14ac:dyDescent="0.25">
      <c r="A5942">
        <v>5</v>
      </c>
      <c r="B5942" t="s">
        <v>328</v>
      </c>
      <c r="C5942">
        <f>-0.2-1.36</f>
        <v>-1.56</v>
      </c>
      <c r="D5942">
        <v>0.57999999999999996</v>
      </c>
      <c r="E5942" t="s">
        <v>38</v>
      </c>
      <c r="F5942" t="s">
        <v>47</v>
      </c>
      <c r="G5942">
        <v>1.36</v>
      </c>
      <c r="H5942">
        <v>-0.2</v>
      </c>
      <c r="I5942">
        <v>0.78</v>
      </c>
      <c r="J5942">
        <v>0.60840000000000005</v>
      </c>
      <c r="K5942" t="str">
        <f>IFERROR(INDEX(Rosters!$C$2:$C$155,MATCH($B5942,Rosters!$B$2:$B$155,0)),"NA")</f>
        <v>NA</v>
      </c>
      <c r="L5942" t="str">
        <f t="shared" si="276"/>
        <v>NA5RB</v>
      </c>
      <c r="M5942">
        <f>COUNTIF(L$1:L5942,L5942)</f>
        <v>55</v>
      </c>
      <c r="N5942" t="str">
        <f t="shared" si="277"/>
        <v>NA5RB-55</v>
      </c>
      <c r="O5942">
        <f>COUNTIFS(F$1:F5942,F5942,A$1:A5942,A5942)</f>
        <v>98</v>
      </c>
      <c r="P5942" t="str">
        <f t="shared" si="278"/>
        <v>Patrick DiMarco5</v>
      </c>
    </row>
    <row r="5943" spans="1:16" x14ac:dyDescent="0.25">
      <c r="A5943">
        <v>9</v>
      </c>
      <c r="B5943" t="s">
        <v>4701</v>
      </c>
      <c r="C5943" t="s">
        <v>8905</v>
      </c>
      <c r="D5943">
        <v>0.57999999999999996</v>
      </c>
      <c r="E5943" t="s">
        <v>72</v>
      </c>
      <c r="F5943" t="s">
        <v>87</v>
      </c>
      <c r="G5943">
        <v>1.1000000000000001</v>
      </c>
      <c r="H5943">
        <v>0.06</v>
      </c>
      <c r="I5943">
        <v>0.52</v>
      </c>
      <c r="J5943">
        <v>0.27039999999999997</v>
      </c>
      <c r="K5943" t="str">
        <f>IFERROR(INDEX(Rosters!$C$2:$C$155,MATCH($B5943,Rosters!$B$2:$B$155,0)),"NA")</f>
        <v>NA</v>
      </c>
      <c r="L5943" t="str">
        <f t="shared" si="276"/>
        <v>NA9WR</v>
      </c>
      <c r="M5943">
        <f>COUNTIF(L$1:L5943,L5943)</f>
        <v>84</v>
      </c>
      <c r="N5943" t="str">
        <f t="shared" si="277"/>
        <v>NA9WR-84</v>
      </c>
      <c r="O5943">
        <f>COUNTIFS(F$1:F5943,F5943,A$1:A5943,A5943)</f>
        <v>128</v>
      </c>
      <c r="P5943" t="str">
        <f t="shared" si="278"/>
        <v>Ray-Ray McCloud9</v>
      </c>
    </row>
    <row r="5944" spans="1:16" x14ac:dyDescent="0.25">
      <c r="A5944">
        <v>12</v>
      </c>
      <c r="B5944" t="s">
        <v>295</v>
      </c>
      <c r="C5944" t="s">
        <v>3855</v>
      </c>
      <c r="D5944">
        <v>0.57999999999999996</v>
      </c>
      <c r="E5944" t="s">
        <v>54</v>
      </c>
      <c r="F5944" t="s">
        <v>114</v>
      </c>
      <c r="G5944">
        <v>1.1100000000000001</v>
      </c>
      <c r="H5944">
        <v>0.05</v>
      </c>
      <c r="I5944">
        <v>0.53</v>
      </c>
      <c r="J5944">
        <v>0.28089999999999998</v>
      </c>
      <c r="K5944" t="str">
        <f>IFERROR(INDEX(Rosters!$C$2:$C$155,MATCH($B5944,Rosters!$B$2:$B$155,0)),"NA")</f>
        <v>NA</v>
      </c>
      <c r="L5944" t="str">
        <f t="shared" si="276"/>
        <v>NA12TE</v>
      </c>
      <c r="M5944">
        <f>COUNTIF(L$1:L5944,L5944)</f>
        <v>55</v>
      </c>
      <c r="N5944" t="str">
        <f t="shared" si="277"/>
        <v>NA12TE-55</v>
      </c>
      <c r="O5944">
        <f>COUNTIFS(F$1:F5944,F5944,A$1:A5944,A5944)</f>
        <v>68</v>
      </c>
      <c r="P5944" t="str">
        <f t="shared" si="278"/>
        <v>Richard Rodgers12</v>
      </c>
    </row>
    <row r="5945" spans="1:16" x14ac:dyDescent="0.25">
      <c r="A5945">
        <v>14</v>
      </c>
      <c r="B5945" t="s">
        <v>295</v>
      </c>
      <c r="C5945">
        <f>-0.02-1.18</f>
        <v>-1.2</v>
      </c>
      <c r="D5945">
        <v>0.57999999999999996</v>
      </c>
      <c r="E5945" t="s">
        <v>22</v>
      </c>
      <c r="F5945" t="s">
        <v>114</v>
      </c>
      <c r="G5945">
        <v>1.18</v>
      </c>
      <c r="H5945">
        <v>-0.02</v>
      </c>
      <c r="I5945">
        <v>0.6</v>
      </c>
      <c r="J5945">
        <v>0.36</v>
      </c>
      <c r="K5945" t="str">
        <f>IFERROR(INDEX(Rosters!$C$2:$C$155,MATCH($B5945,Rosters!$B$2:$B$155,0)),"NA")</f>
        <v>NA</v>
      </c>
      <c r="L5945" t="str">
        <f t="shared" si="276"/>
        <v>NA14TE</v>
      </c>
      <c r="M5945">
        <f>COUNTIF(L$1:L5945,L5945)</f>
        <v>65</v>
      </c>
      <c r="N5945" t="str">
        <f t="shared" si="277"/>
        <v>NA14TE-65</v>
      </c>
      <c r="O5945">
        <f>COUNTIFS(F$1:F5945,F5945,A$1:A5945,A5945)</f>
        <v>79</v>
      </c>
      <c r="P5945" t="str">
        <f t="shared" si="278"/>
        <v>Richard Rodgers14</v>
      </c>
    </row>
    <row r="5946" spans="1:16" x14ac:dyDescent="0.25">
      <c r="A5946">
        <v>15</v>
      </c>
      <c r="B5946" t="s">
        <v>1123</v>
      </c>
      <c r="C5946" t="s">
        <v>1598</v>
      </c>
      <c r="D5946">
        <v>0.57999999999999996</v>
      </c>
      <c r="E5946" t="s">
        <v>22</v>
      </c>
      <c r="F5946" t="s">
        <v>47</v>
      </c>
      <c r="G5946">
        <v>1.1599999999999999</v>
      </c>
      <c r="H5946">
        <v>0</v>
      </c>
      <c r="I5946">
        <v>0.57999999999999996</v>
      </c>
      <c r="J5946">
        <v>0.33639999999999998</v>
      </c>
      <c r="K5946" t="str">
        <f>IFERROR(INDEX(Rosters!$C$2:$C$155,MATCH($B5946,Rosters!$B$2:$B$155,0)),"NA")</f>
        <v>NA</v>
      </c>
      <c r="L5946" t="str">
        <f t="shared" si="276"/>
        <v>NA15RB</v>
      </c>
      <c r="M5946">
        <f>COUNTIF(L$1:L5946,L5946)</f>
        <v>62</v>
      </c>
      <c r="N5946" t="str">
        <f t="shared" si="277"/>
        <v>NA15RB-62</v>
      </c>
      <c r="O5946">
        <f>COUNTIFS(F$1:F5946,F5946,A$1:A5946,A5946)</f>
        <v>109</v>
      </c>
      <c r="P5946" t="str">
        <f t="shared" si="278"/>
        <v>Robert Turbin15</v>
      </c>
    </row>
    <row r="5947" spans="1:16" x14ac:dyDescent="0.25">
      <c r="A5947">
        <v>16</v>
      </c>
      <c r="B5947" t="s">
        <v>1123</v>
      </c>
      <c r="C5947">
        <f>-0.02-1.18</f>
        <v>-1.2</v>
      </c>
      <c r="D5947">
        <v>0.57999999999999996</v>
      </c>
      <c r="E5947" t="s">
        <v>54</v>
      </c>
      <c r="F5947" t="s">
        <v>47</v>
      </c>
      <c r="G5947">
        <v>1.18</v>
      </c>
      <c r="H5947">
        <v>-0.02</v>
      </c>
      <c r="I5947">
        <v>0.6</v>
      </c>
      <c r="J5947">
        <v>0.36</v>
      </c>
      <c r="K5947" t="str">
        <f>IFERROR(INDEX(Rosters!$C$2:$C$155,MATCH($B5947,Rosters!$B$2:$B$155,0)),"NA")</f>
        <v>NA</v>
      </c>
      <c r="L5947" t="str">
        <f t="shared" si="276"/>
        <v>NA16RB</v>
      </c>
      <c r="M5947">
        <f>COUNTIF(L$1:L5947,L5947)</f>
        <v>60</v>
      </c>
      <c r="N5947" t="str">
        <f t="shared" si="277"/>
        <v>NA16RB-60</v>
      </c>
      <c r="O5947">
        <f>COUNTIFS(F$1:F5947,F5947,A$1:A5947,A5947)</f>
        <v>107</v>
      </c>
      <c r="P5947" t="str">
        <f t="shared" si="278"/>
        <v>Robert Turbin16</v>
      </c>
    </row>
    <row r="5948" spans="1:16" x14ac:dyDescent="0.25">
      <c r="A5948">
        <v>15</v>
      </c>
      <c r="B5948" t="s">
        <v>3845</v>
      </c>
      <c r="C5948" t="s">
        <v>1784</v>
      </c>
      <c r="D5948">
        <v>0.57999999999999996</v>
      </c>
      <c r="E5948" t="s">
        <v>42</v>
      </c>
      <c r="F5948" t="s">
        <v>87</v>
      </c>
      <c r="G5948">
        <v>1.1200000000000001</v>
      </c>
      <c r="H5948">
        <v>0.04</v>
      </c>
      <c r="I5948">
        <v>0.54</v>
      </c>
      <c r="J5948">
        <v>0.29160000000000003</v>
      </c>
      <c r="K5948" t="str">
        <f>IFERROR(INDEX(Rosters!$C$2:$C$155,MATCH($B5948,Rosters!$B$2:$B$155,0)),"NA")</f>
        <v>NA</v>
      </c>
      <c r="L5948" t="str">
        <f t="shared" si="276"/>
        <v>NA15WR</v>
      </c>
      <c r="M5948">
        <f>COUNTIF(L$1:L5948,L5948)</f>
        <v>98</v>
      </c>
      <c r="N5948" t="str">
        <f t="shared" si="277"/>
        <v>NA15WR-98</v>
      </c>
      <c r="O5948">
        <f>COUNTIFS(F$1:F5948,F5948,A$1:A5948,A5948)</f>
        <v>152</v>
      </c>
      <c r="P5948" t="str">
        <f t="shared" si="278"/>
        <v>Rod Streater15</v>
      </c>
    </row>
    <row r="5949" spans="1:16" x14ac:dyDescent="0.25">
      <c r="A5949">
        <v>17</v>
      </c>
      <c r="B5949" t="s">
        <v>164</v>
      </c>
      <c r="C5949" t="s">
        <v>8905</v>
      </c>
      <c r="D5949">
        <v>0.57999999999999996</v>
      </c>
      <c r="E5949" t="s">
        <v>50</v>
      </c>
      <c r="F5949" t="s">
        <v>47</v>
      </c>
      <c r="G5949">
        <v>1.1000000000000001</v>
      </c>
      <c r="H5949">
        <v>0.06</v>
      </c>
      <c r="I5949">
        <v>0.52</v>
      </c>
      <c r="J5949">
        <v>0.27039999999999997</v>
      </c>
      <c r="K5949" t="str">
        <f>IFERROR(INDEX(Rosters!$C$2:$C$155,MATCH($B5949,Rosters!$B$2:$B$155,0)),"NA")</f>
        <v>NA</v>
      </c>
      <c r="L5949" t="str">
        <f t="shared" si="276"/>
        <v>NA17RB</v>
      </c>
      <c r="M5949">
        <f>COUNTIF(L$1:L5949,L5949)</f>
        <v>53</v>
      </c>
      <c r="N5949" t="str">
        <f t="shared" si="277"/>
        <v>NA17RB-53</v>
      </c>
      <c r="O5949">
        <f>COUNTIFS(F$1:F5949,F5949,A$1:A5949,A5949)</f>
        <v>100</v>
      </c>
      <c r="P5949" t="str">
        <f t="shared" si="278"/>
        <v>Samaje Perine17</v>
      </c>
    </row>
    <row r="5950" spans="1:16" x14ac:dyDescent="0.25">
      <c r="A5950">
        <v>6</v>
      </c>
      <c r="B5950" t="s">
        <v>4246</v>
      </c>
      <c r="C5950">
        <f>-0.09-1.25</f>
        <v>-1.34</v>
      </c>
      <c r="D5950">
        <v>0.57999999999999996</v>
      </c>
      <c r="E5950" t="s">
        <v>50</v>
      </c>
      <c r="F5950" t="s">
        <v>114</v>
      </c>
      <c r="G5950">
        <v>1.25</v>
      </c>
      <c r="H5950">
        <v>-0.09</v>
      </c>
      <c r="I5950">
        <v>0.67</v>
      </c>
      <c r="J5950">
        <v>0.44890000000000002</v>
      </c>
      <c r="K5950" t="str">
        <f>IFERROR(INDEX(Rosters!$C$2:$C$155,MATCH($B5950,Rosters!$B$2:$B$155,0)),"NA")</f>
        <v>NA</v>
      </c>
      <c r="L5950" t="str">
        <f t="shared" si="276"/>
        <v>NA6TE</v>
      </c>
      <c r="M5950">
        <f>COUNTIF(L$1:L5950,L5950)</f>
        <v>58</v>
      </c>
      <c r="N5950" t="str">
        <f t="shared" si="277"/>
        <v>NA6TE-58</v>
      </c>
      <c r="O5950">
        <f>COUNTIFS(F$1:F5950,F5950,A$1:A5950,A5950)</f>
        <v>70</v>
      </c>
      <c r="P5950" t="str">
        <f t="shared" si="278"/>
        <v>Scott Simonson6</v>
      </c>
    </row>
    <row r="5951" spans="1:16" x14ac:dyDescent="0.25">
      <c r="A5951">
        <v>17</v>
      </c>
      <c r="B5951" t="s">
        <v>332</v>
      </c>
      <c r="C5951">
        <f>-0.26-1.42</f>
        <v>-1.68</v>
      </c>
      <c r="D5951">
        <v>0.57999999999999996</v>
      </c>
      <c r="E5951" t="s">
        <v>29</v>
      </c>
      <c r="F5951" t="s">
        <v>47</v>
      </c>
      <c r="G5951">
        <v>1.42</v>
      </c>
      <c r="H5951">
        <v>-0.26</v>
      </c>
      <c r="I5951">
        <v>0.84</v>
      </c>
      <c r="J5951">
        <v>0.7056</v>
      </c>
      <c r="K5951" t="str">
        <f>IFERROR(INDEX(Rosters!$C$2:$C$155,MATCH($B5951,Rosters!$B$2:$B$155,0)),"NA")</f>
        <v>NA</v>
      </c>
      <c r="L5951" t="str">
        <f t="shared" si="276"/>
        <v>NA17RB</v>
      </c>
      <c r="M5951">
        <f>COUNTIF(L$1:L5951,L5951)</f>
        <v>54</v>
      </c>
      <c r="N5951" t="str">
        <f t="shared" si="277"/>
        <v>NA17RB-54</v>
      </c>
      <c r="O5951">
        <f>COUNTIFS(F$1:F5951,F5951,A$1:A5951,A5951)</f>
        <v>101</v>
      </c>
      <c r="P5951" t="str">
        <f t="shared" si="278"/>
        <v>Senorise Perry17</v>
      </c>
    </row>
    <row r="5952" spans="1:16" x14ac:dyDescent="0.25">
      <c r="A5952">
        <v>1</v>
      </c>
      <c r="B5952" t="s">
        <v>1581</v>
      </c>
      <c r="C5952">
        <f>-0.69-1.85</f>
        <v>-2.54</v>
      </c>
      <c r="D5952">
        <v>0.57999999999999996</v>
      </c>
      <c r="E5952" t="s">
        <v>52</v>
      </c>
      <c r="F5952" t="s">
        <v>47</v>
      </c>
      <c r="G5952">
        <v>1.85</v>
      </c>
      <c r="H5952">
        <v>-0.69</v>
      </c>
      <c r="I5952">
        <v>1.27</v>
      </c>
      <c r="J5952">
        <v>1.6129</v>
      </c>
      <c r="K5952" t="str">
        <f>IFERROR(INDEX(Rosters!$C$2:$C$155,MATCH($B5952,Rosters!$B$2:$B$155,0)),"NA")</f>
        <v>NA</v>
      </c>
      <c r="L5952" t="str">
        <f t="shared" si="276"/>
        <v>NA1RB</v>
      </c>
      <c r="M5952">
        <f>COUNTIF(L$1:L5952,L5952)</f>
        <v>39</v>
      </c>
      <c r="N5952" t="str">
        <f t="shared" si="277"/>
        <v>NA1RB-39</v>
      </c>
      <c r="O5952">
        <f>COUNTIFS(F$1:F5952,F5952,A$1:A5952,A5952)</f>
        <v>82</v>
      </c>
      <c r="P5952" t="str">
        <f t="shared" si="278"/>
        <v>Stevan Ridley1</v>
      </c>
    </row>
    <row r="5953" spans="1:16" x14ac:dyDescent="0.25">
      <c r="A5953">
        <v>9</v>
      </c>
      <c r="B5953" t="s">
        <v>745</v>
      </c>
      <c r="C5953">
        <f>-0.05-1.21</f>
        <v>-1.26</v>
      </c>
      <c r="D5953">
        <v>0.57999999999999996</v>
      </c>
      <c r="E5953" t="s">
        <v>56</v>
      </c>
      <c r="F5953" t="s">
        <v>15</v>
      </c>
      <c r="G5953">
        <v>1.21</v>
      </c>
      <c r="H5953">
        <v>-0.05</v>
      </c>
      <c r="I5953">
        <v>0.63</v>
      </c>
      <c r="J5953">
        <v>0.39689999999999998</v>
      </c>
      <c r="K5953" t="str">
        <f>IFERROR(INDEX(Rosters!$C$2:$C$155,MATCH($B5953,Rosters!$B$2:$B$155,0)),"NA")</f>
        <v>NA</v>
      </c>
      <c r="L5953" t="str">
        <f t="shared" si="276"/>
        <v>NA9QB</v>
      </c>
      <c r="M5953">
        <f>COUNTIF(L$1:L5953,L5953)</f>
        <v>31</v>
      </c>
      <c r="N5953" t="str">
        <f t="shared" si="277"/>
        <v>NA9QB-31</v>
      </c>
      <c r="O5953">
        <f>COUNTIFS(F$1:F5953,F5953,A$1:A5953,A5953)</f>
        <v>45</v>
      </c>
      <c r="P5953" t="str">
        <f t="shared" si="278"/>
        <v>Teddy Bridgewater9</v>
      </c>
    </row>
    <row r="5954" spans="1:16" x14ac:dyDescent="0.25">
      <c r="A5954">
        <v>14</v>
      </c>
      <c r="B5954" t="s">
        <v>745</v>
      </c>
      <c r="C5954">
        <f>-0.08-1.24</f>
        <v>-1.32</v>
      </c>
      <c r="D5954">
        <v>0.57999999999999996</v>
      </c>
      <c r="E5954" t="s">
        <v>17</v>
      </c>
      <c r="F5954" t="s">
        <v>15</v>
      </c>
      <c r="G5954">
        <v>1.24</v>
      </c>
      <c r="H5954">
        <v>-0.08</v>
      </c>
      <c r="I5954">
        <v>0.66</v>
      </c>
      <c r="J5954">
        <v>0.43559999999999999</v>
      </c>
      <c r="K5954" t="str">
        <f>IFERROR(INDEX(Rosters!$C$2:$C$155,MATCH($B5954,Rosters!$B$2:$B$155,0)),"NA")</f>
        <v>NA</v>
      </c>
      <c r="L5954" t="str">
        <f t="shared" si="276"/>
        <v>NA14QB</v>
      </c>
      <c r="M5954">
        <f>COUNTIF(L$1:L5954,L5954)</f>
        <v>38</v>
      </c>
      <c r="N5954" t="str">
        <f t="shared" si="277"/>
        <v>NA14QB-38</v>
      </c>
      <c r="O5954">
        <f>COUNTIFS(F$1:F5954,F5954,A$1:A5954,A5954)</f>
        <v>55</v>
      </c>
      <c r="P5954" t="str">
        <f t="shared" si="278"/>
        <v>Teddy Bridgewater14</v>
      </c>
    </row>
    <row r="5955" spans="1:16" x14ac:dyDescent="0.25">
      <c r="A5955">
        <v>14</v>
      </c>
      <c r="B5955" t="s">
        <v>1566</v>
      </c>
      <c r="C5955" t="s">
        <v>1596</v>
      </c>
      <c r="D5955">
        <v>0.57999999999999996</v>
      </c>
      <c r="E5955" t="s">
        <v>42</v>
      </c>
      <c r="F5955" t="s">
        <v>87</v>
      </c>
      <c r="G5955">
        <v>1.0900000000000001</v>
      </c>
      <c r="H5955">
        <v>7.0000000000000007E-2</v>
      </c>
      <c r="I5955">
        <v>0.51</v>
      </c>
      <c r="J5955">
        <v>0.2601</v>
      </c>
      <c r="K5955" t="str">
        <f>IFERROR(INDEX(Rosters!$C$2:$C$155,MATCH($B5955,Rosters!$B$2:$B$155,0)),"NA")</f>
        <v>NA</v>
      </c>
      <c r="L5955" t="str">
        <f t="shared" ref="L5955:L6018" si="279">K5955&amp;A5955&amp;F5955</f>
        <v>NA14WR</v>
      </c>
      <c r="M5955">
        <f>COUNTIF(L$1:L5955,L5955)</f>
        <v>97</v>
      </c>
      <c r="N5955" t="str">
        <f t="shared" ref="N5955:N6018" si="280">L5955&amp;"-"&amp;M5955</f>
        <v>NA14WR-97</v>
      </c>
      <c r="O5955">
        <f>COUNTIFS(F$1:F5955,F5955,A$1:A5955,A5955)</f>
        <v>151</v>
      </c>
      <c r="P5955" t="str">
        <f t="shared" ref="P5955:P6018" si="281">B5955&amp;A5955</f>
        <v>Victor Bolden Jr.14</v>
      </c>
    </row>
    <row r="5956" spans="1:16" x14ac:dyDescent="0.25">
      <c r="A5956">
        <v>16</v>
      </c>
      <c r="B5956" t="s">
        <v>4245</v>
      </c>
      <c r="C5956">
        <f>-0.12-1.28</f>
        <v>-1.4</v>
      </c>
      <c r="D5956">
        <v>0.57999999999999996</v>
      </c>
      <c r="E5956" t="s">
        <v>50</v>
      </c>
      <c r="F5956" t="s">
        <v>87</v>
      </c>
      <c r="G5956">
        <v>1.28</v>
      </c>
      <c r="H5956">
        <v>-0.12</v>
      </c>
      <c r="I5956">
        <v>0.7</v>
      </c>
      <c r="J5956">
        <v>0.49</v>
      </c>
      <c r="K5956" t="str">
        <f>IFERROR(INDEX(Rosters!$C$2:$C$155,MATCH($B5956,Rosters!$B$2:$B$155,0)),"NA")</f>
        <v>NA</v>
      </c>
      <c r="L5956" t="str">
        <f t="shared" si="279"/>
        <v>NA16WR</v>
      </c>
      <c r="M5956">
        <f>COUNTIF(L$1:L5956,L5956)</f>
        <v>96</v>
      </c>
      <c r="N5956" t="str">
        <f t="shared" si="280"/>
        <v>NA16WR-96</v>
      </c>
      <c r="O5956">
        <f>COUNTIFS(F$1:F5956,F5956,A$1:A5956,A5956)</f>
        <v>150</v>
      </c>
      <c r="P5956" t="str">
        <f t="shared" si="281"/>
        <v>Vyncint Smith16</v>
      </c>
    </row>
    <row r="5957" spans="1:16" x14ac:dyDescent="0.25">
      <c r="A5957">
        <v>5</v>
      </c>
      <c r="B5957" t="s">
        <v>324</v>
      </c>
      <c r="C5957" t="s">
        <v>354</v>
      </c>
      <c r="D5957">
        <v>0.56999999999999995</v>
      </c>
      <c r="E5957" t="s">
        <v>37</v>
      </c>
      <c r="F5957" t="s">
        <v>15</v>
      </c>
      <c r="G5957">
        <v>1.06</v>
      </c>
      <c r="H5957">
        <v>0.08</v>
      </c>
      <c r="I5957">
        <v>0.49</v>
      </c>
      <c r="J5957">
        <v>0.24010000000000001</v>
      </c>
      <c r="K5957" t="str">
        <f>IFERROR(INDEX(Rosters!$C$2:$C$155,MATCH($B5957,Rosters!$B$2:$B$155,0)),"NA")</f>
        <v>NA</v>
      </c>
      <c r="L5957" t="str">
        <f t="shared" si="279"/>
        <v>NA5QB</v>
      </c>
      <c r="M5957">
        <f>COUNTIF(L$1:L5957,L5957)</f>
        <v>33</v>
      </c>
      <c r="N5957" t="str">
        <f t="shared" si="280"/>
        <v>NA5QB-33</v>
      </c>
      <c r="O5957">
        <f>COUNTIFS(F$1:F5957,F5957,A$1:A5957,A5957)</f>
        <v>50</v>
      </c>
      <c r="P5957" t="str">
        <f t="shared" si="281"/>
        <v>A.J. McCarron5</v>
      </c>
    </row>
    <row r="5958" spans="1:16" x14ac:dyDescent="0.25">
      <c r="A5958">
        <v>8</v>
      </c>
      <c r="B5958" t="s">
        <v>1488</v>
      </c>
      <c r="C5958">
        <f>-0.12-1.26</f>
        <v>-1.38</v>
      </c>
      <c r="D5958">
        <v>0.56999999999999995</v>
      </c>
      <c r="E5958" t="s">
        <v>73</v>
      </c>
      <c r="F5958" t="s">
        <v>114</v>
      </c>
      <c r="G5958">
        <v>1.26</v>
      </c>
      <c r="H5958">
        <v>-0.12</v>
      </c>
      <c r="I5958">
        <v>0.69</v>
      </c>
      <c r="J5958">
        <v>0.47610000000000002</v>
      </c>
      <c r="K5958" t="str">
        <f>IFERROR(INDEX(Rosters!$C$2:$C$155,MATCH($B5958,Rosters!$B$2:$B$155,0)),"NA")</f>
        <v>NA</v>
      </c>
      <c r="L5958" t="str">
        <f t="shared" si="279"/>
        <v>NA8TE</v>
      </c>
      <c r="M5958">
        <f>COUNTIF(L$1:L5958,L5958)</f>
        <v>56</v>
      </c>
      <c r="N5958" t="str">
        <f t="shared" si="280"/>
        <v>NA8TE-56</v>
      </c>
      <c r="O5958">
        <f>COUNTIFS(F$1:F5958,F5958,A$1:A5958,A5958)</f>
        <v>68</v>
      </c>
      <c r="P5958" t="str">
        <f t="shared" si="281"/>
        <v>Adam Shaheen8</v>
      </c>
    </row>
    <row r="5959" spans="1:16" x14ac:dyDescent="0.25">
      <c r="A5959">
        <v>2</v>
      </c>
      <c r="B5959" t="s">
        <v>1129</v>
      </c>
      <c r="C5959">
        <f>-0.13-1.27</f>
        <v>-1.4</v>
      </c>
      <c r="D5959">
        <v>0.56999999999999995</v>
      </c>
      <c r="E5959" t="s">
        <v>50</v>
      </c>
      <c r="F5959" t="s">
        <v>114</v>
      </c>
      <c r="G5959">
        <v>1.27</v>
      </c>
      <c r="H5959">
        <v>-0.13</v>
      </c>
      <c r="I5959">
        <v>0.7</v>
      </c>
      <c r="J5959">
        <v>0.49</v>
      </c>
      <c r="K5959" t="str">
        <f>IFERROR(INDEX(Rosters!$C$2:$C$155,MATCH($B5959,Rosters!$B$2:$B$155,0)),"NA")</f>
        <v>NA</v>
      </c>
      <c r="L5959" t="str">
        <f t="shared" si="279"/>
        <v>NA2TE</v>
      </c>
      <c r="M5959">
        <f>COUNTIF(L$1:L5959,L5959)</f>
        <v>56</v>
      </c>
      <c r="N5959" t="str">
        <f t="shared" si="280"/>
        <v>NA2TE-56</v>
      </c>
      <c r="O5959">
        <f>COUNTIFS(F$1:F5959,F5959,A$1:A5959,A5959)</f>
        <v>69</v>
      </c>
      <c r="P5959" t="str">
        <f t="shared" si="281"/>
        <v>Alan Cross2</v>
      </c>
    </row>
    <row r="5960" spans="1:16" x14ac:dyDescent="0.25">
      <c r="A5960">
        <v>11</v>
      </c>
      <c r="B5960" t="s">
        <v>1614</v>
      </c>
      <c r="C5960" t="s">
        <v>801</v>
      </c>
      <c r="D5960">
        <v>0.56999999999999995</v>
      </c>
      <c r="E5960" t="s">
        <v>56</v>
      </c>
      <c r="F5960" t="s">
        <v>114</v>
      </c>
      <c r="G5960">
        <v>1.0900000000000001</v>
      </c>
      <c r="H5960">
        <v>0.05</v>
      </c>
      <c r="I5960">
        <v>0.52</v>
      </c>
      <c r="J5960">
        <v>0.27039999999999997</v>
      </c>
      <c r="K5960" t="str">
        <f>IFERROR(INDEX(Rosters!$C$2:$C$155,MATCH($B5960,Rosters!$B$2:$B$155,0)),"NA")</f>
        <v>NA</v>
      </c>
      <c r="L5960" t="str">
        <f t="shared" si="279"/>
        <v>NA11TE</v>
      </c>
      <c r="M5960">
        <f>COUNTIF(L$1:L5960,L5960)</f>
        <v>51</v>
      </c>
      <c r="N5960" t="str">
        <f t="shared" si="280"/>
        <v>NA11TE-51</v>
      </c>
      <c r="O5960">
        <f>COUNTIFS(F$1:F5960,F5960,A$1:A5960,A5960)</f>
        <v>63</v>
      </c>
      <c r="P5960" t="str">
        <f t="shared" si="281"/>
        <v>Alex Ellis11</v>
      </c>
    </row>
    <row r="5961" spans="1:16" x14ac:dyDescent="0.25">
      <c r="A5961">
        <v>10</v>
      </c>
      <c r="B5961" t="s">
        <v>1542</v>
      </c>
      <c r="C5961" t="s">
        <v>8908</v>
      </c>
      <c r="D5961">
        <v>0.56999999999999995</v>
      </c>
      <c r="E5961" t="s">
        <v>60</v>
      </c>
      <c r="F5961" t="s">
        <v>114</v>
      </c>
      <c r="G5961">
        <v>1.07</v>
      </c>
      <c r="H5961">
        <v>7.0000000000000007E-2</v>
      </c>
      <c r="I5961">
        <v>0.5</v>
      </c>
      <c r="J5961">
        <v>0.25</v>
      </c>
      <c r="K5961" t="str">
        <f>IFERROR(INDEX(Rosters!$C$2:$C$155,MATCH($B5961,Rosters!$B$2:$B$155,0)),"NA")</f>
        <v>NA</v>
      </c>
      <c r="L5961" t="str">
        <f t="shared" si="279"/>
        <v>NA10TE</v>
      </c>
      <c r="M5961">
        <f>COUNTIF(L$1:L5961,L5961)</f>
        <v>56</v>
      </c>
      <c r="N5961" t="str">
        <f t="shared" si="280"/>
        <v>NA10TE-56</v>
      </c>
      <c r="O5961">
        <f>COUNTIFS(F$1:F5961,F5961,A$1:A5961,A5961)</f>
        <v>69</v>
      </c>
      <c r="P5961" t="str">
        <f t="shared" si="281"/>
        <v>Antony Auclair10</v>
      </c>
    </row>
    <row r="5962" spans="1:16" x14ac:dyDescent="0.25">
      <c r="A5962">
        <v>15</v>
      </c>
      <c r="B5962" t="s">
        <v>1145</v>
      </c>
      <c r="C5962">
        <f>-0.01-1.15</f>
        <v>-1.1599999999999999</v>
      </c>
      <c r="D5962">
        <v>0.56999999999999995</v>
      </c>
      <c r="E5962" t="s">
        <v>41</v>
      </c>
      <c r="F5962" t="s">
        <v>114</v>
      </c>
      <c r="G5962">
        <v>1.1499999999999999</v>
      </c>
      <c r="H5962">
        <v>-0.01</v>
      </c>
      <c r="I5962">
        <v>0.57999999999999996</v>
      </c>
      <c r="J5962">
        <v>0.33639999999999998</v>
      </c>
      <c r="K5962" t="str">
        <f>IFERROR(INDEX(Rosters!$C$2:$C$155,MATCH($B5962,Rosters!$B$2:$B$155,0)),"NA")</f>
        <v>NA</v>
      </c>
      <c r="L5962" t="str">
        <f t="shared" si="279"/>
        <v>NA15TE</v>
      </c>
      <c r="M5962">
        <f>COUNTIF(L$1:L5962,L5962)</f>
        <v>65</v>
      </c>
      <c r="N5962" t="str">
        <f t="shared" si="280"/>
        <v>NA15TE-65</v>
      </c>
      <c r="O5962">
        <f>COUNTIFS(F$1:F5962,F5962,A$1:A5962,A5962)</f>
        <v>79</v>
      </c>
      <c r="P5962" t="str">
        <f t="shared" si="281"/>
        <v>Ben Braunecker15</v>
      </c>
    </row>
    <row r="5963" spans="1:16" x14ac:dyDescent="0.25">
      <c r="A5963">
        <v>8</v>
      </c>
      <c r="B5963" t="s">
        <v>2274</v>
      </c>
      <c r="C5963">
        <f>-0.1-1.24</f>
        <v>-1.34</v>
      </c>
      <c r="D5963">
        <v>0.56999999999999995</v>
      </c>
      <c r="E5963" t="s">
        <v>36</v>
      </c>
      <c r="F5963" t="s">
        <v>47</v>
      </c>
      <c r="G5963">
        <v>1.24</v>
      </c>
      <c r="H5963">
        <v>-0.1</v>
      </c>
      <c r="I5963">
        <v>0.67</v>
      </c>
      <c r="J5963">
        <v>0.44890000000000002</v>
      </c>
      <c r="K5963" t="str">
        <f>IFERROR(INDEX(Rosters!$C$2:$C$155,MATCH($B5963,Rosters!$B$2:$B$155,0)),"NA")</f>
        <v>NA</v>
      </c>
      <c r="L5963" t="str">
        <f t="shared" si="279"/>
        <v>NA8RB</v>
      </c>
      <c r="M5963">
        <f>COUNTIF(L$1:L5963,L5963)</f>
        <v>53</v>
      </c>
      <c r="N5963" t="str">
        <f t="shared" si="280"/>
        <v>NA8RB-53</v>
      </c>
      <c r="O5963">
        <f>COUNTIFS(F$1:F5963,F5963,A$1:A5963,A5963)</f>
        <v>93</v>
      </c>
      <c r="P5963" t="str">
        <f t="shared" si="281"/>
        <v>Brandon Bolden8</v>
      </c>
    </row>
    <row r="5964" spans="1:16" x14ac:dyDescent="0.25">
      <c r="A5964">
        <v>4</v>
      </c>
      <c r="B5964" t="s">
        <v>2851</v>
      </c>
      <c r="C5964">
        <f>-0.1-1.24</f>
        <v>-1.34</v>
      </c>
      <c r="D5964">
        <v>0.56999999999999995</v>
      </c>
      <c r="E5964" t="s">
        <v>54</v>
      </c>
      <c r="F5964" t="s">
        <v>87</v>
      </c>
      <c r="G5964">
        <v>1.24</v>
      </c>
      <c r="H5964">
        <v>-0.1</v>
      </c>
      <c r="I5964">
        <v>0.67</v>
      </c>
      <c r="J5964">
        <v>0.44890000000000002</v>
      </c>
      <c r="K5964" t="str">
        <f>IFERROR(INDEX(Rosters!$C$2:$C$155,MATCH($B5964,Rosters!$B$2:$B$155,0)),"NA")</f>
        <v>NA</v>
      </c>
      <c r="L5964" t="str">
        <f t="shared" si="279"/>
        <v>NA4WR</v>
      </c>
      <c r="M5964">
        <f>COUNTIF(L$1:L5964,L5964)</f>
        <v>71</v>
      </c>
      <c r="N5964" t="str">
        <f t="shared" si="280"/>
        <v>NA4WR-71</v>
      </c>
      <c r="O5964">
        <f>COUNTIFS(F$1:F5964,F5964,A$1:A5964,A5964)</f>
        <v>121</v>
      </c>
      <c r="P5964" t="str">
        <f t="shared" si="281"/>
        <v>Brandon Tate4</v>
      </c>
    </row>
    <row r="5965" spans="1:16" x14ac:dyDescent="0.25">
      <c r="A5965">
        <v>17</v>
      </c>
      <c r="B5965" t="s">
        <v>2947</v>
      </c>
      <c r="C5965">
        <f>-0.06-1.2</f>
        <v>-1.26</v>
      </c>
      <c r="D5965">
        <v>0.56999999999999995</v>
      </c>
      <c r="E5965" t="s">
        <v>17</v>
      </c>
      <c r="F5965" t="s">
        <v>47</v>
      </c>
      <c r="G5965">
        <v>1.2</v>
      </c>
      <c r="H5965">
        <v>-0.06</v>
      </c>
      <c r="I5965">
        <v>0.63</v>
      </c>
      <c r="J5965">
        <v>0.39689999999999998</v>
      </c>
      <c r="K5965" t="str">
        <f>IFERROR(INDEX(Rosters!$C$2:$C$155,MATCH($B5965,Rosters!$B$2:$B$155,0)),"NA")</f>
        <v>NA</v>
      </c>
      <c r="L5965" t="str">
        <f t="shared" si="279"/>
        <v>NA17RB</v>
      </c>
      <c r="M5965">
        <f>COUNTIF(L$1:L5965,L5965)</f>
        <v>55</v>
      </c>
      <c r="N5965" t="str">
        <f t="shared" si="280"/>
        <v>NA17RB-55</v>
      </c>
      <c r="O5965">
        <f>COUNTIFS(F$1:F5965,F5965,A$1:A5965,A5965)</f>
        <v>102</v>
      </c>
      <c r="P5965" t="str">
        <f t="shared" si="281"/>
        <v>Brian Hill17</v>
      </c>
    </row>
    <row r="5966" spans="1:16" x14ac:dyDescent="0.25">
      <c r="A5966">
        <v>6</v>
      </c>
      <c r="B5966" t="s">
        <v>8901</v>
      </c>
      <c r="C5966">
        <f>-0.05-1.19</f>
        <v>-1.24</v>
      </c>
      <c r="D5966">
        <v>0.56999999999999995</v>
      </c>
      <c r="E5966" t="s">
        <v>56</v>
      </c>
      <c r="F5966" t="s">
        <v>114</v>
      </c>
      <c r="G5966">
        <v>1.19</v>
      </c>
      <c r="H5966">
        <v>-0.05</v>
      </c>
      <c r="I5966">
        <v>0.62</v>
      </c>
      <c r="J5966">
        <v>0.38440000000000002</v>
      </c>
      <c r="K5966" t="str">
        <f>IFERROR(INDEX(Rosters!$C$2:$C$155,MATCH($B5966,Rosters!$B$2:$B$155,0)),"NA")</f>
        <v>NA</v>
      </c>
      <c r="L5966" t="str">
        <f t="shared" si="279"/>
        <v>NA6TE</v>
      </c>
      <c r="M5966">
        <f>COUNTIF(L$1:L5966,L5966)</f>
        <v>59</v>
      </c>
      <c r="N5966" t="str">
        <f t="shared" si="280"/>
        <v>NA6TE-59</v>
      </c>
      <c r="O5966">
        <f>COUNTIFS(F$1:F5966,F5966,A$1:A5966,A5966)</f>
        <v>71</v>
      </c>
      <c r="P5966" t="str">
        <f t="shared" si="281"/>
        <v>Brian Parker6</v>
      </c>
    </row>
    <row r="5967" spans="1:16" x14ac:dyDescent="0.25">
      <c r="A5967">
        <v>8</v>
      </c>
      <c r="B5967" t="s">
        <v>8901</v>
      </c>
      <c r="C5967">
        <f>-0.1-1.24</f>
        <v>-1.34</v>
      </c>
      <c r="D5967">
        <v>0.56999999999999995</v>
      </c>
      <c r="E5967" t="s">
        <v>24</v>
      </c>
      <c r="F5967" t="s">
        <v>114</v>
      </c>
      <c r="G5967">
        <v>1.24</v>
      </c>
      <c r="H5967">
        <v>-0.1</v>
      </c>
      <c r="I5967">
        <v>0.67</v>
      </c>
      <c r="J5967">
        <v>0.44890000000000002</v>
      </c>
      <c r="K5967" t="str">
        <f>IFERROR(INDEX(Rosters!$C$2:$C$155,MATCH($B5967,Rosters!$B$2:$B$155,0)),"NA")</f>
        <v>NA</v>
      </c>
      <c r="L5967" t="str">
        <f t="shared" si="279"/>
        <v>NA8TE</v>
      </c>
      <c r="M5967">
        <f>COUNTIF(L$1:L5967,L5967)</f>
        <v>57</v>
      </c>
      <c r="N5967" t="str">
        <f t="shared" si="280"/>
        <v>NA8TE-57</v>
      </c>
      <c r="O5967">
        <f>COUNTIFS(F$1:F5967,F5967,A$1:A5967,A5967)</f>
        <v>69</v>
      </c>
      <c r="P5967" t="str">
        <f t="shared" si="281"/>
        <v>Brian Parker8</v>
      </c>
    </row>
    <row r="5968" spans="1:16" x14ac:dyDescent="0.25">
      <c r="A5968">
        <v>12</v>
      </c>
      <c r="B5968" t="s">
        <v>4656</v>
      </c>
      <c r="C5968" t="s">
        <v>3856</v>
      </c>
      <c r="D5968">
        <v>0.56999999999999995</v>
      </c>
      <c r="E5968" t="s">
        <v>38</v>
      </c>
      <c r="F5968" t="s">
        <v>47</v>
      </c>
      <c r="G5968">
        <v>1.1100000000000001</v>
      </c>
      <c r="H5968">
        <v>0.03</v>
      </c>
      <c r="I5968">
        <v>0.54</v>
      </c>
      <c r="J5968">
        <v>0.29160000000000003</v>
      </c>
      <c r="K5968" t="str">
        <f>IFERROR(INDEX(Rosters!$C$2:$C$155,MATCH($B5968,Rosters!$B$2:$B$155,0)),"NA")</f>
        <v>NA</v>
      </c>
      <c r="L5968" t="str">
        <f t="shared" si="279"/>
        <v>NA12RB</v>
      </c>
      <c r="M5968">
        <f>COUNTIF(L$1:L5968,L5968)</f>
        <v>53</v>
      </c>
      <c r="N5968" t="str">
        <f t="shared" si="280"/>
        <v>NA12RB-53</v>
      </c>
      <c r="O5968">
        <f>COUNTIFS(F$1:F5968,F5968,A$1:A5968,A5968)</f>
        <v>98</v>
      </c>
      <c r="P5968" t="str">
        <f t="shared" si="281"/>
        <v>Buddy Howell12</v>
      </c>
    </row>
    <row r="5969" spans="1:16" x14ac:dyDescent="0.25">
      <c r="A5969">
        <v>7</v>
      </c>
      <c r="B5969" t="s">
        <v>311</v>
      </c>
      <c r="C5969">
        <f>-0.06-1.2</f>
        <v>-1.26</v>
      </c>
      <c r="D5969">
        <v>0.56999999999999995</v>
      </c>
      <c r="E5969" t="s">
        <v>31</v>
      </c>
      <c r="F5969" t="s">
        <v>15</v>
      </c>
      <c r="G5969">
        <v>1.2</v>
      </c>
      <c r="H5969">
        <v>-0.06</v>
      </c>
      <c r="I5969">
        <v>0.63</v>
      </c>
      <c r="J5969">
        <v>0.39689999999999998</v>
      </c>
      <c r="K5969" t="str">
        <f>IFERROR(INDEX(Rosters!$C$2:$C$155,MATCH($B5969,Rosters!$B$2:$B$155,0)),"NA")</f>
        <v>NA</v>
      </c>
      <c r="L5969" t="str">
        <f t="shared" si="279"/>
        <v>NA7QB</v>
      </c>
      <c r="M5969">
        <f>COUNTIF(L$1:L5969,L5969)</f>
        <v>34</v>
      </c>
      <c r="N5969" t="str">
        <f t="shared" si="280"/>
        <v>NA7QB-34</v>
      </c>
      <c r="O5969">
        <f>COUNTIFS(F$1:F5969,F5969,A$1:A5969,A5969)</f>
        <v>48</v>
      </c>
      <c r="P5969" t="str">
        <f t="shared" si="281"/>
        <v>Chad Henne7</v>
      </c>
    </row>
    <row r="5970" spans="1:16" x14ac:dyDescent="0.25">
      <c r="A5970">
        <v>11</v>
      </c>
      <c r="B5970" t="s">
        <v>311</v>
      </c>
      <c r="C5970">
        <f>-0.06-1.2</f>
        <v>-1.26</v>
      </c>
      <c r="D5970">
        <v>0.56999999999999995</v>
      </c>
      <c r="E5970" t="s">
        <v>56</v>
      </c>
      <c r="F5970" t="s">
        <v>15</v>
      </c>
      <c r="G5970">
        <v>1.2</v>
      </c>
      <c r="H5970">
        <v>-0.06</v>
      </c>
      <c r="I5970">
        <v>0.63</v>
      </c>
      <c r="J5970">
        <v>0.39689999999999998</v>
      </c>
      <c r="K5970" t="str">
        <f>IFERROR(INDEX(Rosters!$C$2:$C$155,MATCH($B5970,Rosters!$B$2:$B$155,0)),"NA")</f>
        <v>NA</v>
      </c>
      <c r="L5970" t="str">
        <f t="shared" si="279"/>
        <v>NA11QB</v>
      </c>
      <c r="M5970">
        <f>COUNTIF(L$1:L5970,L5970)</f>
        <v>30</v>
      </c>
      <c r="N5970" t="str">
        <f t="shared" si="280"/>
        <v>NA11QB-30</v>
      </c>
      <c r="O5970">
        <f>COUNTIFS(F$1:F5970,F5970,A$1:A5970,A5970)</f>
        <v>45</v>
      </c>
      <c r="P5970" t="str">
        <f t="shared" si="281"/>
        <v>Chad Henne11</v>
      </c>
    </row>
    <row r="5971" spans="1:16" x14ac:dyDescent="0.25">
      <c r="A5971">
        <v>17</v>
      </c>
      <c r="B5971" t="s">
        <v>311</v>
      </c>
      <c r="C5971">
        <f>-0.09-1.23</f>
        <v>-1.32</v>
      </c>
      <c r="D5971">
        <v>0.56999999999999995</v>
      </c>
      <c r="E5971" t="s">
        <v>32</v>
      </c>
      <c r="F5971" t="s">
        <v>15</v>
      </c>
      <c r="G5971">
        <v>1.23</v>
      </c>
      <c r="H5971">
        <v>-0.09</v>
      </c>
      <c r="I5971">
        <v>0.66</v>
      </c>
      <c r="J5971">
        <v>0.43559999999999999</v>
      </c>
      <c r="K5971" t="str">
        <f>IFERROR(INDEX(Rosters!$C$2:$C$155,MATCH($B5971,Rosters!$B$2:$B$155,0)),"NA")</f>
        <v>NA</v>
      </c>
      <c r="L5971" t="str">
        <f t="shared" si="279"/>
        <v>NA17QB</v>
      </c>
      <c r="M5971">
        <f>COUNTIF(L$1:L5971,L5971)</f>
        <v>38</v>
      </c>
      <c r="N5971" t="str">
        <f t="shared" si="280"/>
        <v>NA17QB-38</v>
      </c>
      <c r="O5971">
        <f>COUNTIFS(F$1:F5971,F5971,A$1:A5971,A5971)</f>
        <v>55</v>
      </c>
      <c r="P5971" t="str">
        <f t="shared" si="281"/>
        <v>Chad Henne17</v>
      </c>
    </row>
    <row r="5972" spans="1:16" x14ac:dyDescent="0.25">
      <c r="A5972">
        <v>14</v>
      </c>
      <c r="B5972" t="s">
        <v>1126</v>
      </c>
      <c r="C5972">
        <f>-0.07-1.21</f>
        <v>-1.28</v>
      </c>
      <c r="D5972">
        <v>0.56999999999999995</v>
      </c>
      <c r="E5972" t="s">
        <v>29</v>
      </c>
      <c r="F5972" t="s">
        <v>87</v>
      </c>
      <c r="G5972">
        <v>1.21</v>
      </c>
      <c r="H5972">
        <v>-7.0000000000000007E-2</v>
      </c>
      <c r="I5972">
        <v>0.64</v>
      </c>
      <c r="J5972">
        <v>0.40960000000000002</v>
      </c>
      <c r="K5972" t="str">
        <f>IFERROR(INDEX(Rosters!$C$2:$C$155,MATCH($B5972,Rosters!$B$2:$B$155,0)),"NA")</f>
        <v>NA</v>
      </c>
      <c r="L5972" t="str">
        <f t="shared" si="279"/>
        <v>NA14WR</v>
      </c>
      <c r="M5972">
        <f>COUNTIF(L$1:L5972,L5972)</f>
        <v>98</v>
      </c>
      <c r="N5972" t="str">
        <f t="shared" si="280"/>
        <v>NA14WR-98</v>
      </c>
      <c r="O5972">
        <f>COUNTIFS(F$1:F5972,F5972,A$1:A5972,A5972)</f>
        <v>152</v>
      </c>
      <c r="P5972" t="str">
        <f t="shared" si="281"/>
        <v>Charone Peake14</v>
      </c>
    </row>
    <row r="5973" spans="1:16" x14ac:dyDescent="0.25">
      <c r="A5973">
        <v>17</v>
      </c>
      <c r="B5973" t="s">
        <v>342</v>
      </c>
      <c r="C5973">
        <f>-0.01-1.15</f>
        <v>-1.1599999999999999</v>
      </c>
      <c r="D5973">
        <v>0.56999999999999995</v>
      </c>
      <c r="E5973" t="s">
        <v>51</v>
      </c>
      <c r="F5973" t="s">
        <v>87</v>
      </c>
      <c r="G5973">
        <v>1.1499999999999999</v>
      </c>
      <c r="H5973">
        <v>-0.01</v>
      </c>
      <c r="I5973">
        <v>0.57999999999999996</v>
      </c>
      <c r="J5973">
        <v>0.33639999999999998</v>
      </c>
      <c r="K5973" t="str">
        <f>IFERROR(INDEX(Rosters!$C$2:$C$155,MATCH($B5973,Rosters!$B$2:$B$155,0)),"NA")</f>
        <v>NA</v>
      </c>
      <c r="L5973" t="str">
        <f t="shared" si="279"/>
        <v>NA17WR</v>
      </c>
      <c r="M5973">
        <f>COUNTIF(L$1:L5973,L5973)</f>
        <v>101</v>
      </c>
      <c r="N5973" t="str">
        <f t="shared" si="280"/>
        <v>NA17WR-101</v>
      </c>
      <c r="O5973">
        <f>COUNTIFS(F$1:F5973,F5973,A$1:A5973,A5973)</f>
        <v>155</v>
      </c>
      <c r="P5973" t="str">
        <f t="shared" si="281"/>
        <v>Cody Core17</v>
      </c>
    </row>
    <row r="5974" spans="1:16" x14ac:dyDescent="0.25">
      <c r="A5974">
        <v>7</v>
      </c>
      <c r="B5974" t="s">
        <v>1562</v>
      </c>
      <c r="C5974">
        <f>-0.03-1.17</f>
        <v>-1.2</v>
      </c>
      <c r="D5974">
        <v>0.56999999999999995</v>
      </c>
      <c r="E5974" t="s">
        <v>56</v>
      </c>
      <c r="F5974" t="s">
        <v>114</v>
      </c>
      <c r="G5974">
        <v>1.17</v>
      </c>
      <c r="H5974">
        <v>-0.03</v>
      </c>
      <c r="I5974">
        <v>0.6</v>
      </c>
      <c r="J5974">
        <v>0.36</v>
      </c>
      <c r="K5974" t="str">
        <f>IFERROR(INDEX(Rosters!$C$2:$C$155,MATCH($B5974,Rosters!$B$2:$B$155,0)),"NA")</f>
        <v>NA</v>
      </c>
      <c r="L5974" t="str">
        <f t="shared" si="279"/>
        <v>NA7TE</v>
      </c>
      <c r="M5974">
        <f>COUNTIF(L$1:L5974,L5974)</f>
        <v>61</v>
      </c>
      <c r="N5974" t="str">
        <f t="shared" si="280"/>
        <v>NA7TE-61</v>
      </c>
      <c r="O5974">
        <f>COUNTIFS(F$1:F5974,F5974,A$1:A5974,A5974)</f>
        <v>71</v>
      </c>
      <c r="P5974" t="str">
        <f t="shared" si="281"/>
        <v>Cole Wick7</v>
      </c>
    </row>
    <row r="5975" spans="1:16" x14ac:dyDescent="0.25">
      <c r="A5975">
        <v>12</v>
      </c>
      <c r="B5975" t="s">
        <v>1562</v>
      </c>
      <c r="C5975">
        <f>-0.08-1.22</f>
        <v>-1.3</v>
      </c>
      <c r="D5975">
        <v>0.56999999999999995</v>
      </c>
      <c r="E5975" t="s">
        <v>17</v>
      </c>
      <c r="F5975" t="s">
        <v>114</v>
      </c>
      <c r="G5975">
        <v>1.22</v>
      </c>
      <c r="H5975">
        <v>-0.08</v>
      </c>
      <c r="I5975">
        <v>0.65</v>
      </c>
      <c r="J5975">
        <v>0.42249999999999999</v>
      </c>
      <c r="K5975" t="str">
        <f>IFERROR(INDEX(Rosters!$C$2:$C$155,MATCH($B5975,Rosters!$B$2:$B$155,0)),"NA")</f>
        <v>NA</v>
      </c>
      <c r="L5975" t="str">
        <f t="shared" si="279"/>
        <v>NA12TE</v>
      </c>
      <c r="M5975">
        <f>COUNTIF(L$1:L5975,L5975)</f>
        <v>56</v>
      </c>
      <c r="N5975" t="str">
        <f t="shared" si="280"/>
        <v>NA12TE-56</v>
      </c>
      <c r="O5975">
        <f>COUNTIFS(F$1:F5975,F5975,A$1:A5975,A5975)</f>
        <v>69</v>
      </c>
      <c r="P5975" t="str">
        <f t="shared" si="281"/>
        <v>Cole Wick12</v>
      </c>
    </row>
    <row r="5976" spans="1:16" x14ac:dyDescent="0.25">
      <c r="A5976">
        <v>5</v>
      </c>
      <c r="B5976" t="s">
        <v>4729</v>
      </c>
      <c r="C5976" t="s">
        <v>1162</v>
      </c>
      <c r="D5976">
        <v>0.56999999999999995</v>
      </c>
      <c r="E5976" t="s">
        <v>73</v>
      </c>
      <c r="F5976" t="s">
        <v>87</v>
      </c>
      <c r="G5976">
        <v>1.1000000000000001</v>
      </c>
      <c r="H5976">
        <v>0.04</v>
      </c>
      <c r="I5976">
        <v>0.53</v>
      </c>
      <c r="J5976">
        <v>0.28089999999999998</v>
      </c>
      <c r="K5976" t="str">
        <f>IFERROR(INDEX(Rosters!$C$2:$C$155,MATCH($B5976,Rosters!$B$2:$B$155,0)),"NA")</f>
        <v>NA</v>
      </c>
      <c r="L5976" t="str">
        <f t="shared" si="279"/>
        <v>NA5WR</v>
      </c>
      <c r="M5976">
        <f>COUNTIF(L$1:L5976,L5976)</f>
        <v>95</v>
      </c>
      <c r="N5976" t="str">
        <f t="shared" si="280"/>
        <v>NA5WR-95</v>
      </c>
      <c r="O5976">
        <f>COUNTIFS(F$1:F5976,F5976,A$1:A5976,A5976)</f>
        <v>145</v>
      </c>
      <c r="P5976" t="str">
        <f t="shared" si="281"/>
        <v>DaeSean Hamilton5</v>
      </c>
    </row>
    <row r="5977" spans="1:16" x14ac:dyDescent="0.25">
      <c r="A5977">
        <v>9</v>
      </c>
      <c r="B5977" t="s">
        <v>1128</v>
      </c>
      <c r="C5977">
        <f>-0.08-1.22</f>
        <v>-1.3</v>
      </c>
      <c r="D5977">
        <v>0.56999999999999995</v>
      </c>
      <c r="E5977" t="s">
        <v>17</v>
      </c>
      <c r="F5977" t="s">
        <v>87</v>
      </c>
      <c r="G5977">
        <v>1.22</v>
      </c>
      <c r="H5977">
        <v>-0.08</v>
      </c>
      <c r="I5977">
        <v>0.65</v>
      </c>
      <c r="J5977">
        <v>0.42249999999999999</v>
      </c>
      <c r="K5977" t="str">
        <f>IFERROR(INDEX(Rosters!$C$2:$C$155,MATCH($B5977,Rosters!$B$2:$B$155,0)),"NA")</f>
        <v>NA</v>
      </c>
      <c r="L5977" t="str">
        <f t="shared" si="279"/>
        <v>NA9WR</v>
      </c>
      <c r="M5977">
        <f>COUNTIF(L$1:L5977,L5977)</f>
        <v>85</v>
      </c>
      <c r="N5977" t="str">
        <f t="shared" si="280"/>
        <v>NA9WR-85</v>
      </c>
      <c r="O5977">
        <f>COUNTIFS(F$1:F5977,F5977,A$1:A5977,A5977)</f>
        <v>129</v>
      </c>
      <c r="P5977" t="str">
        <f t="shared" si="281"/>
        <v>Damiere Byrd9</v>
      </c>
    </row>
    <row r="5978" spans="1:16" x14ac:dyDescent="0.25">
      <c r="A5978">
        <v>15</v>
      </c>
      <c r="B5978" t="s">
        <v>1559</v>
      </c>
      <c r="C5978">
        <f>-0.04-1.18</f>
        <v>-1.22</v>
      </c>
      <c r="D5978">
        <v>0.56999999999999995</v>
      </c>
      <c r="E5978" t="s">
        <v>41</v>
      </c>
      <c r="F5978" t="s">
        <v>114</v>
      </c>
      <c r="G5978">
        <v>1.18</v>
      </c>
      <c r="H5978">
        <v>-0.04</v>
      </c>
      <c r="I5978">
        <v>0.61</v>
      </c>
      <c r="J5978">
        <v>0.37209999999999999</v>
      </c>
      <c r="K5978" t="str">
        <f>IFERROR(INDEX(Rosters!$C$2:$C$155,MATCH($B5978,Rosters!$B$2:$B$155,0)),"NA")</f>
        <v>NA</v>
      </c>
      <c r="L5978" t="str">
        <f t="shared" si="279"/>
        <v>NA15TE</v>
      </c>
      <c r="M5978">
        <f>COUNTIF(L$1:L5978,L5978)</f>
        <v>66</v>
      </c>
      <c r="N5978" t="str">
        <f t="shared" si="280"/>
        <v>NA15TE-66</v>
      </c>
      <c r="O5978">
        <f>COUNTIFS(F$1:F5978,F5978,A$1:A5978,A5978)</f>
        <v>80</v>
      </c>
      <c r="P5978" t="str">
        <f t="shared" si="281"/>
        <v>Daniel Brown15</v>
      </c>
    </row>
    <row r="5979" spans="1:16" x14ac:dyDescent="0.25">
      <c r="A5979">
        <v>6</v>
      </c>
      <c r="B5979" t="s">
        <v>1115</v>
      </c>
      <c r="C5979">
        <f>-0.09-1.23</f>
        <v>-1.32</v>
      </c>
      <c r="D5979">
        <v>0.56999999999999995</v>
      </c>
      <c r="E5979" t="s">
        <v>77</v>
      </c>
      <c r="F5979" t="s">
        <v>87</v>
      </c>
      <c r="G5979">
        <v>1.23</v>
      </c>
      <c r="H5979">
        <v>-0.09</v>
      </c>
      <c r="I5979">
        <v>0.66</v>
      </c>
      <c r="J5979">
        <v>0.43559999999999999</v>
      </c>
      <c r="K5979" t="str">
        <f>IFERROR(INDEX(Rosters!$C$2:$C$155,MATCH($B5979,Rosters!$B$2:$B$155,0)),"NA")</f>
        <v>NA</v>
      </c>
      <c r="L5979" t="str">
        <f t="shared" si="279"/>
        <v>NA6WR</v>
      </c>
      <c r="M5979">
        <f>COUNTIF(L$1:L5979,L5979)</f>
        <v>94</v>
      </c>
      <c r="N5979" t="str">
        <f t="shared" si="280"/>
        <v>NA6WR-94</v>
      </c>
      <c r="O5979">
        <f>COUNTIFS(F$1:F5979,F5979,A$1:A5979,A5979)</f>
        <v>144</v>
      </c>
      <c r="P5979" t="str">
        <f t="shared" si="281"/>
        <v>Darius Jennings6</v>
      </c>
    </row>
    <row r="5980" spans="1:16" x14ac:dyDescent="0.25">
      <c r="A5980">
        <v>9</v>
      </c>
      <c r="B5980" t="s">
        <v>4234</v>
      </c>
      <c r="C5980" t="s">
        <v>353</v>
      </c>
      <c r="D5980">
        <v>0.56999999999999995</v>
      </c>
      <c r="E5980" t="s">
        <v>37</v>
      </c>
      <c r="F5980" t="s">
        <v>87</v>
      </c>
      <c r="G5980">
        <v>1.1399999999999999</v>
      </c>
      <c r="H5980">
        <v>0</v>
      </c>
      <c r="I5980">
        <v>0.56999999999999995</v>
      </c>
      <c r="J5980">
        <v>0.32490000000000002</v>
      </c>
      <c r="K5980" t="str">
        <f>IFERROR(INDEX(Rosters!$C$2:$C$155,MATCH($B5980,Rosters!$B$2:$B$155,0)),"NA")</f>
        <v>NA</v>
      </c>
      <c r="L5980" t="str">
        <f t="shared" si="279"/>
        <v>NA9WR</v>
      </c>
      <c r="M5980">
        <f>COUNTIF(L$1:L5980,L5980)</f>
        <v>86</v>
      </c>
      <c r="N5980" t="str">
        <f t="shared" si="280"/>
        <v>NA9WR-86</v>
      </c>
      <c r="O5980">
        <f>COUNTIFS(F$1:F5980,F5980,A$1:A5980,A5980)</f>
        <v>130</v>
      </c>
      <c r="P5980" t="str">
        <f t="shared" si="281"/>
        <v>David Moore9</v>
      </c>
    </row>
    <row r="5981" spans="1:16" x14ac:dyDescent="0.25">
      <c r="A5981">
        <v>16</v>
      </c>
      <c r="B5981" t="s">
        <v>2808</v>
      </c>
      <c r="C5981" t="s">
        <v>4256</v>
      </c>
      <c r="D5981">
        <v>0.56999999999999995</v>
      </c>
      <c r="E5981" t="s">
        <v>14</v>
      </c>
      <c r="F5981" t="s">
        <v>87</v>
      </c>
      <c r="G5981">
        <v>1.1299999999999999</v>
      </c>
      <c r="H5981">
        <v>0.01</v>
      </c>
      <c r="I5981">
        <v>0.56000000000000005</v>
      </c>
      <c r="J5981">
        <v>0.31359999999999999</v>
      </c>
      <c r="K5981" t="str">
        <f>IFERROR(INDEX(Rosters!$C$2:$C$155,MATCH($B5981,Rosters!$B$2:$B$155,0)),"NA")</f>
        <v>NA</v>
      </c>
      <c r="L5981" t="str">
        <f t="shared" si="279"/>
        <v>NA16WR</v>
      </c>
      <c r="M5981">
        <f>COUNTIF(L$1:L5981,L5981)</f>
        <v>97</v>
      </c>
      <c r="N5981" t="str">
        <f t="shared" si="280"/>
        <v>NA16WR-97</v>
      </c>
      <c r="O5981">
        <f>COUNTIFS(F$1:F5981,F5981,A$1:A5981,A5981)</f>
        <v>151</v>
      </c>
      <c r="P5981" t="str">
        <f t="shared" si="281"/>
        <v>Eli Rogers16</v>
      </c>
    </row>
    <row r="5982" spans="1:16" x14ac:dyDescent="0.25">
      <c r="A5982">
        <v>14</v>
      </c>
      <c r="B5982" t="s">
        <v>1624</v>
      </c>
      <c r="C5982">
        <f>-0.05-1.19</f>
        <v>-1.24</v>
      </c>
      <c r="D5982">
        <v>0.56999999999999995</v>
      </c>
      <c r="E5982" t="s">
        <v>34</v>
      </c>
      <c r="F5982" t="s">
        <v>114</v>
      </c>
      <c r="G5982">
        <v>1.19</v>
      </c>
      <c r="H5982">
        <v>-0.05</v>
      </c>
      <c r="I5982">
        <v>0.62</v>
      </c>
      <c r="J5982">
        <v>0.38440000000000002</v>
      </c>
      <c r="K5982" t="str">
        <f>IFERROR(INDEX(Rosters!$C$2:$C$155,MATCH($B5982,Rosters!$B$2:$B$155,0)),"NA")</f>
        <v>NA</v>
      </c>
      <c r="L5982" t="str">
        <f t="shared" si="279"/>
        <v>NA14TE</v>
      </c>
      <c r="M5982">
        <f>COUNTIF(L$1:L5982,L5982)</f>
        <v>66</v>
      </c>
      <c r="N5982" t="str">
        <f t="shared" si="280"/>
        <v>NA14TE-66</v>
      </c>
      <c r="O5982">
        <f>COUNTIFS(F$1:F5982,F5982,A$1:A5982,A5982)</f>
        <v>80</v>
      </c>
      <c r="P5982" t="str">
        <f t="shared" si="281"/>
        <v>Gabe Holmes14</v>
      </c>
    </row>
    <row r="5983" spans="1:16" x14ac:dyDescent="0.25">
      <c r="A5983">
        <v>3</v>
      </c>
      <c r="B5983" t="s">
        <v>1109</v>
      </c>
      <c r="C5983" t="s">
        <v>1162</v>
      </c>
      <c r="D5983">
        <v>0.56999999999999995</v>
      </c>
      <c r="E5983" t="s">
        <v>56</v>
      </c>
      <c r="F5983" t="s">
        <v>15</v>
      </c>
      <c r="G5983">
        <v>1.1000000000000001</v>
      </c>
      <c r="H5983">
        <v>0.04</v>
      </c>
      <c r="I5983">
        <v>0.53</v>
      </c>
      <c r="J5983">
        <v>0.28089999999999998</v>
      </c>
      <c r="K5983" t="str">
        <f>IFERROR(INDEX(Rosters!$C$2:$C$155,MATCH($B5983,Rosters!$B$2:$B$155,0)),"NA")</f>
        <v>NA</v>
      </c>
      <c r="L5983" t="str">
        <f t="shared" si="279"/>
        <v>NA3QB</v>
      </c>
      <c r="M5983">
        <f>COUNTIF(L$1:L5983,L5983)</f>
        <v>34</v>
      </c>
      <c r="N5983" t="str">
        <f t="shared" si="280"/>
        <v>NA3QB-34</v>
      </c>
      <c r="O5983">
        <f>COUNTIFS(F$1:F5983,F5983,A$1:A5983,A5983)</f>
        <v>51</v>
      </c>
      <c r="P5983" t="str">
        <f t="shared" si="281"/>
        <v>Geno Smith3</v>
      </c>
    </row>
    <row r="5984" spans="1:16" x14ac:dyDescent="0.25">
      <c r="A5984">
        <v>17</v>
      </c>
      <c r="B5984" t="s">
        <v>1132</v>
      </c>
      <c r="C5984">
        <f>-0.01-1.15</f>
        <v>-1.1599999999999999</v>
      </c>
      <c r="D5984">
        <v>0.56999999999999995</v>
      </c>
      <c r="E5984" t="s">
        <v>42</v>
      </c>
      <c r="F5984" t="s">
        <v>87</v>
      </c>
      <c r="G5984">
        <v>1.1499999999999999</v>
      </c>
      <c r="H5984">
        <v>-0.01</v>
      </c>
      <c r="I5984">
        <v>0.57999999999999996</v>
      </c>
      <c r="J5984">
        <v>0.33639999999999998</v>
      </c>
      <c r="K5984" t="str">
        <f>IFERROR(INDEX(Rosters!$C$2:$C$155,MATCH($B5984,Rosters!$B$2:$B$155,0)),"NA")</f>
        <v>NA</v>
      </c>
      <c r="L5984" t="str">
        <f t="shared" si="279"/>
        <v>NA17WR</v>
      </c>
      <c r="M5984">
        <f>COUNTIF(L$1:L5984,L5984)</f>
        <v>102</v>
      </c>
      <c r="N5984" t="str">
        <f t="shared" si="280"/>
        <v>NA17WR-102</v>
      </c>
      <c r="O5984">
        <f>COUNTIFS(F$1:F5984,F5984,A$1:A5984,A5984)</f>
        <v>156</v>
      </c>
      <c r="P5984" t="str">
        <f t="shared" si="281"/>
        <v>Geremy Davis17</v>
      </c>
    </row>
    <row r="5985" spans="1:16" x14ac:dyDescent="0.25">
      <c r="A5985">
        <v>15</v>
      </c>
      <c r="B5985" t="s">
        <v>1490</v>
      </c>
      <c r="C5985" t="s">
        <v>3856</v>
      </c>
      <c r="D5985">
        <v>0.56999999999999995</v>
      </c>
      <c r="E5985" t="s">
        <v>30</v>
      </c>
      <c r="F5985" t="s">
        <v>47</v>
      </c>
      <c r="G5985">
        <v>1.1100000000000001</v>
      </c>
      <c r="H5985">
        <v>0.03</v>
      </c>
      <c r="I5985">
        <v>0.54</v>
      </c>
      <c r="J5985">
        <v>0.29160000000000003</v>
      </c>
      <c r="K5985" t="str">
        <f>IFERROR(INDEX(Rosters!$C$2:$C$155,MATCH($B5985,Rosters!$B$2:$B$155,0)),"NA")</f>
        <v>NA</v>
      </c>
      <c r="L5985" t="str">
        <f t="shared" si="279"/>
        <v>NA15RB</v>
      </c>
      <c r="M5985">
        <f>COUNTIF(L$1:L5985,L5985)</f>
        <v>63</v>
      </c>
      <c r="N5985" t="str">
        <f t="shared" si="280"/>
        <v>NA15RB-63</v>
      </c>
      <c r="O5985">
        <f>COUNTIFS(F$1:F5985,F5985,A$1:A5985,A5985)</f>
        <v>110</v>
      </c>
      <c r="P5985" t="str">
        <f t="shared" si="281"/>
        <v>J.D. McKissic15</v>
      </c>
    </row>
    <row r="5986" spans="1:16" x14ac:dyDescent="0.25">
      <c r="A5986">
        <v>14</v>
      </c>
      <c r="B5986" t="s">
        <v>4244</v>
      </c>
      <c r="C5986">
        <f>-0.13-1.27</f>
        <v>-1.4</v>
      </c>
      <c r="D5986">
        <v>0.56999999999999995</v>
      </c>
      <c r="E5986" t="s">
        <v>31</v>
      </c>
      <c r="F5986" t="s">
        <v>87</v>
      </c>
      <c r="G5986">
        <v>1.27</v>
      </c>
      <c r="H5986">
        <v>-0.13</v>
      </c>
      <c r="I5986">
        <v>0.7</v>
      </c>
      <c r="J5986">
        <v>0.49</v>
      </c>
      <c r="K5986" t="str">
        <f>IFERROR(INDEX(Rosters!$C$2:$C$155,MATCH($B5986,Rosters!$B$2:$B$155,0)),"NA")</f>
        <v>NA</v>
      </c>
      <c r="L5986" t="str">
        <f t="shared" si="279"/>
        <v>NA14WR</v>
      </c>
      <c r="M5986">
        <f>COUNTIF(L$1:L5986,L5986)</f>
        <v>99</v>
      </c>
      <c r="N5986" t="str">
        <f t="shared" si="280"/>
        <v>NA14WR-99</v>
      </c>
      <c r="O5986">
        <f>COUNTIFS(F$1:F5986,F5986,A$1:A5986,A5986)</f>
        <v>153</v>
      </c>
      <c r="P5986" t="str">
        <f t="shared" si="281"/>
        <v>J.J. Jones14</v>
      </c>
    </row>
    <row r="5987" spans="1:16" x14ac:dyDescent="0.25">
      <c r="A5987">
        <v>3</v>
      </c>
      <c r="B5987" t="s">
        <v>1497</v>
      </c>
      <c r="C5987" t="s">
        <v>354</v>
      </c>
      <c r="D5987">
        <v>0.56999999999999995</v>
      </c>
      <c r="E5987" t="s">
        <v>50</v>
      </c>
      <c r="F5987" t="s">
        <v>15</v>
      </c>
      <c r="G5987">
        <v>1.06</v>
      </c>
      <c r="H5987">
        <v>0.08</v>
      </c>
      <c r="I5987">
        <v>0.49</v>
      </c>
      <c r="J5987">
        <v>0.24010000000000001</v>
      </c>
      <c r="K5987" t="str">
        <f>IFERROR(INDEX(Rosters!$C$2:$C$155,MATCH($B5987,Rosters!$B$2:$B$155,0)),"NA")</f>
        <v>NA</v>
      </c>
      <c r="L5987" t="str">
        <f t="shared" si="279"/>
        <v>NA3QB</v>
      </c>
      <c r="M5987">
        <f>COUNTIF(L$1:L5987,L5987)</f>
        <v>35</v>
      </c>
      <c r="N5987" t="str">
        <f t="shared" si="280"/>
        <v>NA3QB-35</v>
      </c>
      <c r="O5987">
        <f>COUNTIFS(F$1:F5987,F5987,A$1:A5987,A5987)</f>
        <v>52</v>
      </c>
      <c r="P5987" t="str">
        <f t="shared" si="281"/>
        <v>Jacoby Brissett3</v>
      </c>
    </row>
    <row r="5988" spans="1:16" x14ac:dyDescent="0.25">
      <c r="A5988">
        <v>7</v>
      </c>
      <c r="B5988" t="s">
        <v>4251</v>
      </c>
      <c r="C5988" t="s">
        <v>4256</v>
      </c>
      <c r="D5988">
        <v>0.56999999999999995</v>
      </c>
      <c r="E5988" t="s">
        <v>66</v>
      </c>
      <c r="F5988" t="s">
        <v>114</v>
      </c>
      <c r="G5988">
        <v>1.1299999999999999</v>
      </c>
      <c r="H5988">
        <v>0.01</v>
      </c>
      <c r="I5988">
        <v>0.56000000000000005</v>
      </c>
      <c r="J5988">
        <v>0.31359999999999999</v>
      </c>
      <c r="K5988" t="str">
        <f>IFERROR(INDEX(Rosters!$C$2:$C$155,MATCH($B5988,Rosters!$B$2:$B$155,0)),"NA")</f>
        <v>NA</v>
      </c>
      <c r="L5988" t="str">
        <f t="shared" si="279"/>
        <v>NA7TE</v>
      </c>
      <c r="M5988">
        <f>COUNTIF(L$1:L5988,L5988)</f>
        <v>62</v>
      </c>
      <c r="N5988" t="str">
        <f t="shared" si="280"/>
        <v>NA7TE-62</v>
      </c>
      <c r="O5988">
        <f>COUNTIFS(F$1:F5988,F5988,A$1:A5988,A5988)</f>
        <v>72</v>
      </c>
      <c r="P5988" t="str">
        <f t="shared" si="281"/>
        <v>Jason Croom7</v>
      </c>
    </row>
    <row r="5989" spans="1:16" x14ac:dyDescent="0.25">
      <c r="A5989">
        <v>9</v>
      </c>
      <c r="B5989" t="s">
        <v>4251</v>
      </c>
      <c r="C5989">
        <f>-0.04-1.18</f>
        <v>-1.22</v>
      </c>
      <c r="D5989">
        <v>0.56999999999999995</v>
      </c>
      <c r="E5989" t="s">
        <v>72</v>
      </c>
      <c r="F5989" t="s">
        <v>114</v>
      </c>
      <c r="G5989">
        <v>1.18</v>
      </c>
      <c r="H5989">
        <v>-0.04</v>
      </c>
      <c r="I5989">
        <v>0.61</v>
      </c>
      <c r="J5989">
        <v>0.37209999999999999</v>
      </c>
      <c r="K5989" t="str">
        <f>IFERROR(INDEX(Rosters!$C$2:$C$155,MATCH($B5989,Rosters!$B$2:$B$155,0)),"NA")</f>
        <v>NA</v>
      </c>
      <c r="L5989" t="str">
        <f t="shared" si="279"/>
        <v>NA9TE</v>
      </c>
      <c r="M5989">
        <f>COUNTIF(L$1:L5989,L5989)</f>
        <v>50</v>
      </c>
      <c r="N5989" t="str">
        <f t="shared" si="280"/>
        <v>NA9TE-50</v>
      </c>
      <c r="O5989">
        <f>COUNTIFS(F$1:F5989,F5989,A$1:A5989,A5989)</f>
        <v>61</v>
      </c>
      <c r="P5989" t="str">
        <f t="shared" si="281"/>
        <v>Jason Croom9</v>
      </c>
    </row>
    <row r="5990" spans="1:16" x14ac:dyDescent="0.25">
      <c r="A5990">
        <v>11</v>
      </c>
      <c r="B5990" t="s">
        <v>8885</v>
      </c>
      <c r="C5990">
        <f>-0.04-1.18</f>
        <v>-1.22</v>
      </c>
      <c r="D5990">
        <v>0.56999999999999995</v>
      </c>
      <c r="E5990" t="s">
        <v>25</v>
      </c>
      <c r="F5990" t="s">
        <v>87</v>
      </c>
      <c r="G5990">
        <v>1.18</v>
      </c>
      <c r="H5990">
        <v>-0.04</v>
      </c>
      <c r="I5990">
        <v>0.61</v>
      </c>
      <c r="J5990">
        <v>0.37209999999999999</v>
      </c>
      <c r="K5990" t="str">
        <f>IFERROR(INDEX(Rosters!$C$2:$C$155,MATCH($B5990,Rosters!$B$2:$B$155,0)),"NA")</f>
        <v>NA</v>
      </c>
      <c r="L5990" t="str">
        <f t="shared" si="279"/>
        <v>NA11WR</v>
      </c>
      <c r="M5990">
        <f>COUNTIF(L$1:L5990,L5990)</f>
        <v>80</v>
      </c>
      <c r="N5990" t="str">
        <f t="shared" si="280"/>
        <v>NA11WR-80</v>
      </c>
      <c r="O5990">
        <f>COUNTIFS(F$1:F5990,F5990,A$1:A5990,A5990)</f>
        <v>127</v>
      </c>
      <c r="P5990" t="str">
        <f t="shared" si="281"/>
        <v>Javon Wims11</v>
      </c>
    </row>
    <row r="5991" spans="1:16" x14ac:dyDescent="0.25">
      <c r="A5991">
        <v>12</v>
      </c>
      <c r="B5991" t="s">
        <v>348</v>
      </c>
      <c r="C5991">
        <f>-0.18-1.32</f>
        <v>-1.5</v>
      </c>
      <c r="D5991">
        <v>0.56999999999999995</v>
      </c>
      <c r="E5991" t="s">
        <v>50</v>
      </c>
      <c r="F5991" t="s">
        <v>114</v>
      </c>
      <c r="G5991">
        <v>1.32</v>
      </c>
      <c r="H5991">
        <v>-0.18</v>
      </c>
      <c r="I5991">
        <v>0.75</v>
      </c>
      <c r="J5991">
        <v>0.5625</v>
      </c>
      <c r="K5991" t="str">
        <f>IFERROR(INDEX(Rosters!$C$2:$C$155,MATCH($B5991,Rosters!$B$2:$B$155,0)),"NA")</f>
        <v>NA</v>
      </c>
      <c r="L5991" t="str">
        <f t="shared" si="279"/>
        <v>NA12TE</v>
      </c>
      <c r="M5991">
        <f>COUNTIF(L$1:L5991,L5991)</f>
        <v>57</v>
      </c>
      <c r="N5991" t="str">
        <f t="shared" si="280"/>
        <v>NA12TE-57</v>
      </c>
      <c r="O5991">
        <f>COUNTIFS(F$1:F5991,F5991,A$1:A5991,A5991)</f>
        <v>70</v>
      </c>
      <c r="P5991" t="str">
        <f t="shared" si="281"/>
        <v>Jerell Adams12</v>
      </c>
    </row>
    <row r="5992" spans="1:16" x14ac:dyDescent="0.25">
      <c r="A5992">
        <v>13</v>
      </c>
      <c r="B5992" t="s">
        <v>4264</v>
      </c>
      <c r="C5992">
        <f>-0.17-1.31</f>
        <v>-1.48</v>
      </c>
      <c r="D5992">
        <v>0.56999999999999995</v>
      </c>
      <c r="E5992" t="s">
        <v>34</v>
      </c>
      <c r="F5992" t="s">
        <v>87</v>
      </c>
      <c r="G5992">
        <v>1.31</v>
      </c>
      <c r="H5992">
        <v>-0.17</v>
      </c>
      <c r="I5992">
        <v>0.74</v>
      </c>
      <c r="J5992">
        <v>0.54759999999999998</v>
      </c>
      <c r="K5992" t="str">
        <f>IFERROR(INDEX(Rosters!$C$2:$C$155,MATCH($B5992,Rosters!$B$2:$B$155,0)),"NA")</f>
        <v>NA</v>
      </c>
      <c r="L5992" t="str">
        <f t="shared" si="279"/>
        <v>NA13WR</v>
      </c>
      <c r="M5992">
        <f>COUNTIF(L$1:L5992,L5992)</f>
        <v>97</v>
      </c>
      <c r="N5992" t="str">
        <f t="shared" si="280"/>
        <v>NA13WR-97</v>
      </c>
      <c r="O5992">
        <f>COUNTIFS(F$1:F5992,F5992,A$1:A5992,A5992)</f>
        <v>151</v>
      </c>
      <c r="P5992" t="str">
        <f t="shared" si="281"/>
        <v>JoJo Natson13</v>
      </c>
    </row>
    <row r="5993" spans="1:16" x14ac:dyDescent="0.25">
      <c r="A5993">
        <v>13</v>
      </c>
      <c r="B5993" t="s">
        <v>1565</v>
      </c>
      <c r="C5993" t="s">
        <v>4256</v>
      </c>
      <c r="D5993">
        <v>0.56999999999999995</v>
      </c>
      <c r="E5993" t="s">
        <v>34</v>
      </c>
      <c r="F5993" t="s">
        <v>47</v>
      </c>
      <c r="G5993">
        <v>1.1299999999999999</v>
      </c>
      <c r="H5993">
        <v>0.01</v>
      </c>
      <c r="I5993">
        <v>0.56000000000000005</v>
      </c>
      <c r="J5993">
        <v>0.31359999999999999</v>
      </c>
      <c r="K5993" t="str">
        <f>IFERROR(INDEX(Rosters!$C$2:$C$155,MATCH($B5993,Rosters!$B$2:$B$155,0)),"NA")</f>
        <v>NA</v>
      </c>
      <c r="L5993" t="str">
        <f t="shared" si="279"/>
        <v>NA13RB</v>
      </c>
      <c r="M5993">
        <f>COUNTIF(L$1:L5993,L5993)</f>
        <v>62</v>
      </c>
      <c r="N5993" t="str">
        <f t="shared" si="280"/>
        <v>NA13RB-62</v>
      </c>
      <c r="O5993">
        <f>COUNTIFS(F$1:F5993,F5993,A$1:A5993,A5993)</f>
        <v>109</v>
      </c>
      <c r="P5993" t="str">
        <f t="shared" si="281"/>
        <v>Justin Davis13</v>
      </c>
    </row>
    <row r="5994" spans="1:16" x14ac:dyDescent="0.25">
      <c r="A5994">
        <v>10</v>
      </c>
      <c r="B5994" t="s">
        <v>8834</v>
      </c>
      <c r="C5994">
        <f>-0.02-1.16</f>
        <v>-1.18</v>
      </c>
      <c r="D5994">
        <v>0.56999999999999995</v>
      </c>
      <c r="E5994" t="s">
        <v>60</v>
      </c>
      <c r="F5994" t="s">
        <v>87</v>
      </c>
      <c r="G5994">
        <v>1.1599999999999999</v>
      </c>
      <c r="H5994">
        <v>-0.02</v>
      </c>
      <c r="I5994">
        <v>0.59</v>
      </c>
      <c r="J5994">
        <v>0.34810000000000002</v>
      </c>
      <c r="K5994" t="str">
        <f>IFERROR(INDEX(Rosters!$C$2:$C$155,MATCH($B5994,Rosters!$B$2:$B$155,0)),"NA")</f>
        <v>NA</v>
      </c>
      <c r="L5994" t="str">
        <f t="shared" si="279"/>
        <v>NA10WR</v>
      </c>
      <c r="M5994">
        <f>COUNTIF(L$1:L5994,L5994)</f>
        <v>92</v>
      </c>
      <c r="N5994" t="str">
        <f t="shared" si="280"/>
        <v>NA10WR-92</v>
      </c>
      <c r="O5994">
        <f>COUNTIFS(F$1:F5994,F5994,A$1:A5994,A5994)</f>
        <v>137</v>
      </c>
      <c r="P5994" t="str">
        <f t="shared" si="281"/>
        <v>Justin Watson10</v>
      </c>
    </row>
    <row r="5995" spans="1:16" x14ac:dyDescent="0.25">
      <c r="A5995">
        <v>14</v>
      </c>
      <c r="B5995" t="s">
        <v>8834</v>
      </c>
      <c r="C5995">
        <f>-0.05-1.19</f>
        <v>-1.24</v>
      </c>
      <c r="D5995">
        <v>0.56999999999999995</v>
      </c>
      <c r="E5995" t="s">
        <v>14</v>
      </c>
      <c r="F5995" t="s">
        <v>87</v>
      </c>
      <c r="G5995">
        <v>1.19</v>
      </c>
      <c r="H5995">
        <v>-0.05</v>
      </c>
      <c r="I5995">
        <v>0.62</v>
      </c>
      <c r="J5995">
        <v>0.38440000000000002</v>
      </c>
      <c r="K5995" t="str">
        <f>IFERROR(INDEX(Rosters!$C$2:$C$155,MATCH($B5995,Rosters!$B$2:$B$155,0)),"NA")</f>
        <v>NA</v>
      </c>
      <c r="L5995" t="str">
        <f t="shared" si="279"/>
        <v>NA14WR</v>
      </c>
      <c r="M5995">
        <f>COUNTIF(L$1:L5995,L5995)</f>
        <v>100</v>
      </c>
      <c r="N5995" t="str">
        <f t="shared" si="280"/>
        <v>NA14WR-100</v>
      </c>
      <c r="O5995">
        <f>COUNTIFS(F$1:F5995,F5995,A$1:A5995,A5995)</f>
        <v>154</v>
      </c>
      <c r="P5995" t="str">
        <f t="shared" si="281"/>
        <v>Justin Watson14</v>
      </c>
    </row>
    <row r="5996" spans="1:16" x14ac:dyDescent="0.25">
      <c r="A5996">
        <v>6</v>
      </c>
      <c r="B5996" t="s">
        <v>1622</v>
      </c>
      <c r="C5996">
        <f>-0.03-1.17</f>
        <v>-1.2</v>
      </c>
      <c r="D5996">
        <v>0.56999999999999995</v>
      </c>
      <c r="E5996" t="s">
        <v>41</v>
      </c>
      <c r="F5996" t="s">
        <v>87</v>
      </c>
      <c r="G5996">
        <v>1.17</v>
      </c>
      <c r="H5996">
        <v>-0.03</v>
      </c>
      <c r="I5996">
        <v>0.6</v>
      </c>
      <c r="J5996">
        <v>0.36</v>
      </c>
      <c r="K5996" t="str">
        <f>IFERROR(INDEX(Rosters!$C$2:$C$155,MATCH($B5996,Rosters!$B$2:$B$155,0)),"NA")</f>
        <v>NA</v>
      </c>
      <c r="L5996" t="str">
        <f t="shared" si="279"/>
        <v>NA6WR</v>
      </c>
      <c r="M5996">
        <f>COUNTIF(L$1:L5996,L5996)</f>
        <v>95</v>
      </c>
      <c r="N5996" t="str">
        <f t="shared" si="280"/>
        <v>NA6WR-95</v>
      </c>
      <c r="O5996">
        <f>COUNTIFS(F$1:F5996,F5996,A$1:A5996,A5996)</f>
        <v>145</v>
      </c>
      <c r="P5996" t="str">
        <f t="shared" si="281"/>
        <v>Kendrick Bourne6</v>
      </c>
    </row>
    <row r="5997" spans="1:16" x14ac:dyDescent="0.25">
      <c r="A5997">
        <v>7</v>
      </c>
      <c r="B5997" t="s">
        <v>1622</v>
      </c>
      <c r="C5997">
        <f>-0.03-1.17</f>
        <v>-1.2</v>
      </c>
      <c r="D5997">
        <v>0.56999999999999995</v>
      </c>
      <c r="E5997" t="s">
        <v>56</v>
      </c>
      <c r="F5997" t="s">
        <v>87</v>
      </c>
      <c r="G5997">
        <v>1.17</v>
      </c>
      <c r="H5997">
        <v>-0.03</v>
      </c>
      <c r="I5997">
        <v>0.6</v>
      </c>
      <c r="J5997">
        <v>0.36</v>
      </c>
      <c r="K5997" t="str">
        <f>IFERROR(INDEX(Rosters!$C$2:$C$155,MATCH($B5997,Rosters!$B$2:$B$155,0)),"NA")</f>
        <v>NA</v>
      </c>
      <c r="L5997" t="str">
        <f t="shared" si="279"/>
        <v>NA7WR</v>
      </c>
      <c r="M5997">
        <f>COUNTIF(L$1:L5997,L5997)</f>
        <v>87</v>
      </c>
      <c r="N5997" t="str">
        <f t="shared" si="280"/>
        <v>NA7WR-87</v>
      </c>
      <c r="O5997">
        <f>COUNTIFS(F$1:F5997,F5997,A$1:A5997,A5997)</f>
        <v>132</v>
      </c>
      <c r="P5997" t="str">
        <f t="shared" si="281"/>
        <v>Kendrick Bourne7</v>
      </c>
    </row>
    <row r="5998" spans="1:16" x14ac:dyDescent="0.25">
      <c r="A5998">
        <v>14</v>
      </c>
      <c r="B5998" t="s">
        <v>1125</v>
      </c>
      <c r="C5998" t="s">
        <v>3856</v>
      </c>
      <c r="D5998">
        <v>0.56999999999999995</v>
      </c>
      <c r="E5998" t="s">
        <v>41</v>
      </c>
      <c r="F5998" t="s">
        <v>114</v>
      </c>
      <c r="G5998">
        <v>1.1100000000000001</v>
      </c>
      <c r="H5998">
        <v>0.03</v>
      </c>
      <c r="I5998">
        <v>0.54</v>
      </c>
      <c r="J5998">
        <v>0.29160000000000003</v>
      </c>
      <c r="K5998" t="str">
        <f>IFERROR(INDEX(Rosters!$C$2:$C$155,MATCH($B5998,Rosters!$B$2:$B$155,0)),"NA")</f>
        <v>NA</v>
      </c>
      <c r="L5998" t="str">
        <f t="shared" si="279"/>
        <v>NA14TE</v>
      </c>
      <c r="M5998">
        <f>COUNTIF(L$1:L5998,L5998)</f>
        <v>67</v>
      </c>
      <c r="N5998" t="str">
        <f t="shared" si="280"/>
        <v>NA14TE-67</v>
      </c>
      <c r="O5998">
        <f>COUNTIFS(F$1:F5998,F5998,A$1:A5998,A5998)</f>
        <v>81</v>
      </c>
      <c r="P5998" t="str">
        <f t="shared" si="281"/>
        <v>Logan Paulsen14</v>
      </c>
    </row>
    <row r="5999" spans="1:16" x14ac:dyDescent="0.25">
      <c r="A5999">
        <v>2</v>
      </c>
      <c r="B5999" t="s">
        <v>1583</v>
      </c>
      <c r="C5999" t="s">
        <v>1162</v>
      </c>
      <c r="D5999">
        <v>0.56999999999999995</v>
      </c>
      <c r="E5999" t="s">
        <v>37</v>
      </c>
      <c r="F5999" t="s">
        <v>114</v>
      </c>
      <c r="G5999">
        <v>1.1000000000000001</v>
      </c>
      <c r="H5999">
        <v>0.04</v>
      </c>
      <c r="I5999">
        <v>0.53</v>
      </c>
      <c r="J5999">
        <v>0.28089999999999998</v>
      </c>
      <c r="K5999" t="str">
        <f>IFERROR(INDEX(Rosters!$C$2:$C$155,MATCH($B5999,Rosters!$B$2:$B$155,0)),"NA")</f>
        <v>NA</v>
      </c>
      <c r="L5999" t="str">
        <f t="shared" si="279"/>
        <v>NA2TE</v>
      </c>
      <c r="M5999">
        <f>COUNTIF(L$1:L5999,L5999)</f>
        <v>57</v>
      </c>
      <c r="N5999" t="str">
        <f t="shared" si="280"/>
        <v>NA2TE-57</v>
      </c>
      <c r="O5999">
        <f>COUNTIFS(F$1:F5999,F5999,A$1:A5999,A5999)</f>
        <v>70</v>
      </c>
      <c r="P5999" t="str">
        <f t="shared" si="281"/>
        <v>Logan Thomas2</v>
      </c>
    </row>
    <row r="6000" spans="1:16" x14ac:dyDescent="0.25">
      <c r="A6000">
        <v>10</v>
      </c>
      <c r="B6000" t="s">
        <v>288</v>
      </c>
      <c r="C6000">
        <f>-0.02-1.16</f>
        <v>-1.18</v>
      </c>
      <c r="D6000">
        <v>0.56999999999999995</v>
      </c>
      <c r="E6000" t="s">
        <v>19</v>
      </c>
      <c r="F6000" t="s">
        <v>114</v>
      </c>
      <c r="G6000">
        <v>1.1599999999999999</v>
      </c>
      <c r="H6000">
        <v>-0.02</v>
      </c>
      <c r="I6000">
        <v>0.59</v>
      </c>
      <c r="J6000">
        <v>0.34810000000000002</v>
      </c>
      <c r="K6000" t="str">
        <f>IFERROR(INDEX(Rosters!$C$2:$C$155,MATCH($B6000,Rosters!$B$2:$B$155,0)),"NA")</f>
        <v>NA</v>
      </c>
      <c r="L6000" t="str">
        <f t="shared" si="279"/>
        <v>NA10TE</v>
      </c>
      <c r="M6000">
        <f>COUNTIF(L$1:L6000,L6000)</f>
        <v>57</v>
      </c>
      <c r="N6000" t="str">
        <f t="shared" si="280"/>
        <v>NA10TE-57</v>
      </c>
      <c r="O6000">
        <f>COUNTIFS(F$1:F6000,F6000,A$1:A6000,A6000)</f>
        <v>70</v>
      </c>
      <c r="P6000" t="str">
        <f t="shared" si="281"/>
        <v>Marcedes Lewis10</v>
      </c>
    </row>
    <row r="6001" spans="1:16" x14ac:dyDescent="0.25">
      <c r="A6001">
        <v>14</v>
      </c>
      <c r="B6001" t="s">
        <v>1633</v>
      </c>
      <c r="C6001">
        <f>-0.11-1.25</f>
        <v>-1.36</v>
      </c>
      <c r="D6001">
        <v>0.56999999999999995</v>
      </c>
      <c r="E6001" t="s">
        <v>36</v>
      </c>
      <c r="F6001" t="s">
        <v>87</v>
      </c>
      <c r="G6001">
        <v>1.25</v>
      </c>
      <c r="H6001">
        <v>-0.11</v>
      </c>
      <c r="I6001">
        <v>0.68</v>
      </c>
      <c r="J6001">
        <v>0.46239999999999998</v>
      </c>
      <c r="K6001" t="str">
        <f>IFERROR(INDEX(Rosters!$C$2:$C$155,MATCH($B6001,Rosters!$B$2:$B$155,0)),"NA")</f>
        <v>NA</v>
      </c>
      <c r="L6001" t="str">
        <f t="shared" si="279"/>
        <v>NA14WR</v>
      </c>
      <c r="M6001">
        <f>COUNTIF(L$1:L6001,L6001)</f>
        <v>101</v>
      </c>
      <c r="N6001" t="str">
        <f t="shared" si="280"/>
        <v>NA14WR-101</v>
      </c>
      <c r="O6001">
        <f>COUNTIFS(F$1:F6001,F6001,A$1:A6001,A6001)</f>
        <v>155</v>
      </c>
      <c r="P6001" t="str">
        <f t="shared" si="281"/>
        <v>Marcus Johnson14</v>
      </c>
    </row>
    <row r="6002" spans="1:16" x14ac:dyDescent="0.25">
      <c r="A6002">
        <v>14</v>
      </c>
      <c r="B6002" t="s">
        <v>4215</v>
      </c>
      <c r="C6002" t="s">
        <v>353</v>
      </c>
      <c r="D6002">
        <v>0.56999999999999995</v>
      </c>
      <c r="E6002" t="s">
        <v>37</v>
      </c>
      <c r="F6002" t="s">
        <v>47</v>
      </c>
      <c r="G6002">
        <v>1.1399999999999999</v>
      </c>
      <c r="H6002">
        <v>0</v>
      </c>
      <c r="I6002">
        <v>0.56999999999999995</v>
      </c>
      <c r="J6002">
        <v>0.32490000000000002</v>
      </c>
      <c r="K6002" t="str">
        <f>IFERROR(INDEX(Rosters!$C$2:$C$155,MATCH($B6002,Rosters!$B$2:$B$155,0)),"NA")</f>
        <v>NA</v>
      </c>
      <c r="L6002" t="str">
        <f t="shared" si="279"/>
        <v>NA14RB</v>
      </c>
      <c r="M6002">
        <f>COUNTIF(L$1:L6002,L6002)</f>
        <v>57</v>
      </c>
      <c r="N6002" t="str">
        <f t="shared" si="280"/>
        <v>NA14RB-57</v>
      </c>
      <c r="O6002">
        <f>COUNTIFS(F$1:F6002,F6002,A$1:A6002,A6002)</f>
        <v>104</v>
      </c>
      <c r="P6002" t="str">
        <f t="shared" si="281"/>
        <v>Mark Walton14</v>
      </c>
    </row>
    <row r="6003" spans="1:16" x14ac:dyDescent="0.25">
      <c r="A6003">
        <v>16</v>
      </c>
      <c r="B6003" t="s">
        <v>4215</v>
      </c>
      <c r="C6003" t="s">
        <v>4256</v>
      </c>
      <c r="D6003">
        <v>0.56999999999999995</v>
      </c>
      <c r="E6003" t="s">
        <v>52</v>
      </c>
      <c r="F6003" t="s">
        <v>47</v>
      </c>
      <c r="G6003">
        <v>1.1299999999999999</v>
      </c>
      <c r="H6003">
        <v>0.01</v>
      </c>
      <c r="I6003">
        <v>0.56000000000000005</v>
      </c>
      <c r="J6003">
        <v>0.31359999999999999</v>
      </c>
      <c r="K6003" t="str">
        <f>IFERROR(INDEX(Rosters!$C$2:$C$155,MATCH($B6003,Rosters!$B$2:$B$155,0)),"NA")</f>
        <v>NA</v>
      </c>
      <c r="L6003" t="str">
        <f t="shared" si="279"/>
        <v>NA16RB</v>
      </c>
      <c r="M6003">
        <f>COUNTIF(L$1:L6003,L6003)</f>
        <v>61</v>
      </c>
      <c r="N6003" t="str">
        <f t="shared" si="280"/>
        <v>NA16RB-61</v>
      </c>
      <c r="O6003">
        <f>COUNTIFS(F$1:F6003,F6003,A$1:A6003,A6003)</f>
        <v>108</v>
      </c>
      <c r="P6003" t="str">
        <f t="shared" si="281"/>
        <v>Mark Walton16</v>
      </c>
    </row>
    <row r="6004" spans="1:16" x14ac:dyDescent="0.25">
      <c r="A6004">
        <v>13</v>
      </c>
      <c r="B6004" t="s">
        <v>1594</v>
      </c>
      <c r="C6004">
        <f>-0.03-1.17</f>
        <v>-1.2</v>
      </c>
      <c r="D6004">
        <v>0.56999999999999995</v>
      </c>
      <c r="E6004" t="s">
        <v>77</v>
      </c>
      <c r="F6004" t="s">
        <v>87</v>
      </c>
      <c r="G6004">
        <v>1.17</v>
      </c>
      <c r="H6004">
        <v>-0.03</v>
      </c>
      <c r="I6004">
        <v>0.6</v>
      </c>
      <c r="J6004">
        <v>0.36</v>
      </c>
      <c r="K6004" t="str">
        <f>IFERROR(INDEX(Rosters!$C$2:$C$155,MATCH($B6004,Rosters!$B$2:$B$155,0)),"NA")</f>
        <v>NA</v>
      </c>
      <c r="L6004" t="str">
        <f t="shared" si="279"/>
        <v>NA13WR</v>
      </c>
      <c r="M6004">
        <f>COUNTIF(L$1:L6004,L6004)</f>
        <v>98</v>
      </c>
      <c r="N6004" t="str">
        <f t="shared" si="280"/>
        <v>NA13WR-98</v>
      </c>
      <c r="O6004">
        <f>COUNTIFS(F$1:F6004,F6004,A$1:A6004,A6004)</f>
        <v>152</v>
      </c>
      <c r="P6004" t="str">
        <f t="shared" si="281"/>
        <v>Marvin Hall13</v>
      </c>
    </row>
    <row r="6005" spans="1:16" x14ac:dyDescent="0.25">
      <c r="A6005">
        <v>16</v>
      </c>
      <c r="B6005" t="s">
        <v>1594</v>
      </c>
      <c r="C6005">
        <f>-0.04-1.18</f>
        <v>-1.22</v>
      </c>
      <c r="D6005">
        <v>0.56999999999999995</v>
      </c>
      <c r="E6005" t="s">
        <v>74</v>
      </c>
      <c r="F6005" t="s">
        <v>87</v>
      </c>
      <c r="G6005">
        <v>1.18</v>
      </c>
      <c r="H6005">
        <v>-0.04</v>
      </c>
      <c r="I6005">
        <v>0.61</v>
      </c>
      <c r="J6005">
        <v>0.37209999999999999</v>
      </c>
      <c r="K6005" t="str">
        <f>IFERROR(INDEX(Rosters!$C$2:$C$155,MATCH($B6005,Rosters!$B$2:$B$155,0)),"NA")</f>
        <v>NA</v>
      </c>
      <c r="L6005" t="str">
        <f t="shared" si="279"/>
        <v>NA16WR</v>
      </c>
      <c r="M6005">
        <f>COUNTIF(L$1:L6005,L6005)</f>
        <v>98</v>
      </c>
      <c r="N6005" t="str">
        <f t="shared" si="280"/>
        <v>NA16WR-98</v>
      </c>
      <c r="O6005">
        <f>COUNTIFS(F$1:F6005,F6005,A$1:A6005,A6005)</f>
        <v>152</v>
      </c>
      <c r="P6005" t="str">
        <f t="shared" si="281"/>
        <v>Marvin Hall16</v>
      </c>
    </row>
    <row r="6006" spans="1:16" x14ac:dyDescent="0.25">
      <c r="A6006">
        <v>7</v>
      </c>
      <c r="B6006" t="s">
        <v>4690</v>
      </c>
      <c r="C6006">
        <f>-0.09-1.23</f>
        <v>-1.32</v>
      </c>
      <c r="D6006">
        <v>0.56999999999999995</v>
      </c>
      <c r="E6006" t="s">
        <v>73</v>
      </c>
      <c r="F6006" t="s">
        <v>47</v>
      </c>
      <c r="G6006">
        <v>1.23</v>
      </c>
      <c r="H6006">
        <v>-0.09</v>
      </c>
      <c r="I6006">
        <v>0.66</v>
      </c>
      <c r="J6006">
        <v>0.43559999999999999</v>
      </c>
      <c r="K6006" t="str">
        <f>IFERROR(INDEX(Rosters!$C$2:$C$155,MATCH($B6006,Rosters!$B$2:$B$155,0)),"NA")</f>
        <v>NA</v>
      </c>
      <c r="L6006" t="str">
        <f t="shared" si="279"/>
        <v>NA7RB</v>
      </c>
      <c r="M6006">
        <f>COUNTIF(L$1:L6006,L6006)</f>
        <v>47</v>
      </c>
      <c r="N6006" t="str">
        <f t="shared" si="280"/>
        <v>NA7RB-47</v>
      </c>
      <c r="O6006">
        <f>COUNTIFS(F$1:F6006,F6006,A$1:A6006,A6006)</f>
        <v>88</v>
      </c>
      <c r="P6006" t="str">
        <f t="shared" si="281"/>
        <v>Mike Boone7</v>
      </c>
    </row>
    <row r="6007" spans="1:16" x14ac:dyDescent="0.25">
      <c r="A6007">
        <v>16</v>
      </c>
      <c r="B6007" t="s">
        <v>2968</v>
      </c>
      <c r="C6007">
        <f>-0.05-1.19</f>
        <v>-1.24</v>
      </c>
      <c r="D6007">
        <v>0.56999999999999995</v>
      </c>
      <c r="E6007" t="s">
        <v>31</v>
      </c>
      <c r="F6007" t="s">
        <v>114</v>
      </c>
      <c r="G6007">
        <v>1.19</v>
      </c>
      <c r="H6007">
        <v>-0.05</v>
      </c>
      <c r="I6007">
        <v>0.62</v>
      </c>
      <c r="J6007">
        <v>0.38440000000000002</v>
      </c>
      <c r="K6007" t="str">
        <f>IFERROR(INDEX(Rosters!$C$2:$C$155,MATCH($B6007,Rosters!$B$2:$B$155,0)),"NA")</f>
        <v>NA</v>
      </c>
      <c r="L6007" t="str">
        <f t="shared" si="279"/>
        <v>NA16TE</v>
      </c>
      <c r="M6007">
        <f>COUNTIF(L$1:L6007,L6007)</f>
        <v>64</v>
      </c>
      <c r="N6007" t="str">
        <f t="shared" si="280"/>
        <v>NA16TE-64</v>
      </c>
      <c r="O6007">
        <f>COUNTIFS(F$1:F6007,F6007,A$1:A6007,A6007)</f>
        <v>78</v>
      </c>
      <c r="P6007" t="str">
        <f t="shared" si="281"/>
        <v>Orson Charles16</v>
      </c>
    </row>
    <row r="6008" spans="1:16" x14ac:dyDescent="0.25">
      <c r="A6008">
        <v>14</v>
      </c>
      <c r="B6008" t="s">
        <v>3374</v>
      </c>
      <c r="C6008" t="s">
        <v>353</v>
      </c>
      <c r="D6008">
        <v>0.56999999999999995</v>
      </c>
      <c r="E6008" t="s">
        <v>24</v>
      </c>
      <c r="F6008" t="s">
        <v>47</v>
      </c>
      <c r="G6008">
        <v>1.1399999999999999</v>
      </c>
      <c r="H6008">
        <v>0</v>
      </c>
      <c r="I6008">
        <v>0.56999999999999995</v>
      </c>
      <c r="J6008">
        <v>0.32490000000000002</v>
      </c>
      <c r="K6008" t="str">
        <f>IFERROR(INDEX(Rosters!$C$2:$C$155,MATCH($B6008,Rosters!$B$2:$B$155,0)),"NA")</f>
        <v>NA</v>
      </c>
      <c r="L6008" t="str">
        <f t="shared" si="279"/>
        <v>NA14RB</v>
      </c>
      <c r="M6008">
        <f>COUNTIF(L$1:L6008,L6008)</f>
        <v>58</v>
      </c>
      <c r="N6008" t="str">
        <f t="shared" si="280"/>
        <v>NA14RB-58</v>
      </c>
      <c r="O6008">
        <f>COUNTIFS(F$1:F6008,F6008,A$1:A6008,A6008)</f>
        <v>105</v>
      </c>
      <c r="P6008" t="str">
        <f t="shared" si="281"/>
        <v>Patrick Ricard14</v>
      </c>
    </row>
    <row r="6009" spans="1:16" x14ac:dyDescent="0.25">
      <c r="A6009">
        <v>4</v>
      </c>
      <c r="B6009" t="s">
        <v>4701</v>
      </c>
      <c r="C6009">
        <f>-0.02-1.16</f>
        <v>-1.18</v>
      </c>
      <c r="D6009">
        <v>0.56999999999999995</v>
      </c>
      <c r="E6009" t="s">
        <v>41</v>
      </c>
      <c r="F6009" t="s">
        <v>87</v>
      </c>
      <c r="G6009">
        <v>1.1599999999999999</v>
      </c>
      <c r="H6009">
        <v>-0.02</v>
      </c>
      <c r="I6009">
        <v>0.59</v>
      </c>
      <c r="J6009">
        <v>0.34810000000000002</v>
      </c>
      <c r="K6009" t="str">
        <f>IFERROR(INDEX(Rosters!$C$2:$C$155,MATCH($B6009,Rosters!$B$2:$B$155,0)),"NA")</f>
        <v>NA</v>
      </c>
      <c r="L6009" t="str">
        <f t="shared" si="279"/>
        <v>NA4WR</v>
      </c>
      <c r="M6009">
        <f>COUNTIF(L$1:L6009,L6009)</f>
        <v>72</v>
      </c>
      <c r="N6009" t="str">
        <f t="shared" si="280"/>
        <v>NA4WR-72</v>
      </c>
      <c r="O6009">
        <f>COUNTIFS(F$1:F6009,F6009,A$1:A6009,A6009)</f>
        <v>122</v>
      </c>
      <c r="P6009" t="str">
        <f t="shared" si="281"/>
        <v>Ray-Ray McCloud4</v>
      </c>
    </row>
    <row r="6010" spans="1:16" x14ac:dyDescent="0.25">
      <c r="A6010">
        <v>14</v>
      </c>
      <c r="B6010" t="s">
        <v>4701</v>
      </c>
      <c r="C6010" t="s">
        <v>1162</v>
      </c>
      <c r="D6010">
        <v>0.56999999999999995</v>
      </c>
      <c r="E6010" t="s">
        <v>73</v>
      </c>
      <c r="F6010" t="s">
        <v>87</v>
      </c>
      <c r="G6010">
        <v>1.1000000000000001</v>
      </c>
      <c r="H6010">
        <v>0.04</v>
      </c>
      <c r="I6010">
        <v>0.53</v>
      </c>
      <c r="J6010">
        <v>0.28089999999999998</v>
      </c>
      <c r="K6010" t="str">
        <f>IFERROR(INDEX(Rosters!$C$2:$C$155,MATCH($B6010,Rosters!$B$2:$B$155,0)),"NA")</f>
        <v>NA</v>
      </c>
      <c r="L6010" t="str">
        <f t="shared" si="279"/>
        <v>NA14WR</v>
      </c>
      <c r="M6010">
        <f>COUNTIF(L$1:L6010,L6010)</f>
        <v>102</v>
      </c>
      <c r="N6010" t="str">
        <f t="shared" si="280"/>
        <v>NA14WR-102</v>
      </c>
      <c r="O6010">
        <f>COUNTIFS(F$1:F6010,F6010,A$1:A6010,A6010)</f>
        <v>156</v>
      </c>
      <c r="P6010" t="str">
        <f t="shared" si="281"/>
        <v>Ray-Ray McCloud14</v>
      </c>
    </row>
    <row r="6011" spans="1:16" x14ac:dyDescent="0.25">
      <c r="A6011">
        <v>6</v>
      </c>
      <c r="B6011" t="s">
        <v>4260</v>
      </c>
      <c r="C6011">
        <f>-0.13-1.27</f>
        <v>-1.4</v>
      </c>
      <c r="D6011">
        <v>0.56999999999999995</v>
      </c>
      <c r="E6011" t="s">
        <v>36</v>
      </c>
      <c r="F6011" t="s">
        <v>87</v>
      </c>
      <c r="G6011">
        <v>1.27</v>
      </c>
      <c r="H6011">
        <v>-0.13</v>
      </c>
      <c r="I6011">
        <v>0.7</v>
      </c>
      <c r="J6011">
        <v>0.49</v>
      </c>
      <c r="K6011" t="str">
        <f>IFERROR(INDEX(Rosters!$C$2:$C$155,MATCH($B6011,Rosters!$B$2:$B$155,0)),"NA")</f>
        <v>NA</v>
      </c>
      <c r="L6011" t="str">
        <f t="shared" si="279"/>
        <v>NA6WR</v>
      </c>
      <c r="M6011">
        <f>COUNTIF(L$1:L6011,L6011)</f>
        <v>96</v>
      </c>
      <c r="N6011" t="str">
        <f t="shared" si="280"/>
        <v>NA6WR-96</v>
      </c>
      <c r="O6011">
        <f>COUNTIFS(F$1:F6011,F6011,A$1:A6011,A6011)</f>
        <v>146</v>
      </c>
      <c r="P6011" t="str">
        <f t="shared" si="281"/>
        <v>Robert Foster6</v>
      </c>
    </row>
    <row r="6012" spans="1:16" x14ac:dyDescent="0.25">
      <c r="A6012">
        <v>7</v>
      </c>
      <c r="B6012" t="s">
        <v>332</v>
      </c>
      <c r="C6012">
        <f>-0.07-1.21</f>
        <v>-1.28</v>
      </c>
      <c r="D6012">
        <v>0.56999999999999995</v>
      </c>
      <c r="E6012" t="s">
        <v>34</v>
      </c>
      <c r="F6012" t="s">
        <v>47</v>
      </c>
      <c r="G6012">
        <v>1.21</v>
      </c>
      <c r="H6012">
        <v>-7.0000000000000007E-2</v>
      </c>
      <c r="I6012">
        <v>0.64</v>
      </c>
      <c r="J6012">
        <v>0.40960000000000002</v>
      </c>
      <c r="K6012" t="str">
        <f>IFERROR(INDEX(Rosters!$C$2:$C$155,MATCH($B6012,Rosters!$B$2:$B$155,0)),"NA")</f>
        <v>NA</v>
      </c>
      <c r="L6012" t="str">
        <f t="shared" si="279"/>
        <v>NA7RB</v>
      </c>
      <c r="M6012">
        <f>COUNTIF(L$1:L6012,L6012)</f>
        <v>48</v>
      </c>
      <c r="N6012" t="str">
        <f t="shared" si="280"/>
        <v>NA7RB-48</v>
      </c>
      <c r="O6012">
        <f>COUNTIFS(F$1:F6012,F6012,A$1:A6012,A6012)</f>
        <v>89</v>
      </c>
      <c r="P6012" t="str">
        <f t="shared" si="281"/>
        <v>Senorise Perry7</v>
      </c>
    </row>
    <row r="6013" spans="1:16" x14ac:dyDescent="0.25">
      <c r="A6013">
        <v>4</v>
      </c>
      <c r="B6013" t="s">
        <v>4250</v>
      </c>
      <c r="C6013">
        <f>-0.07-1.21</f>
        <v>-1.28</v>
      </c>
      <c r="D6013">
        <v>0.56999999999999995</v>
      </c>
      <c r="E6013" t="s">
        <v>56</v>
      </c>
      <c r="F6013" t="s">
        <v>114</v>
      </c>
      <c r="G6013">
        <v>1.21</v>
      </c>
      <c r="H6013">
        <v>-7.0000000000000007E-2</v>
      </c>
      <c r="I6013">
        <v>0.64</v>
      </c>
      <c r="J6013">
        <v>0.40960000000000002</v>
      </c>
      <c r="K6013" t="str">
        <f>IFERROR(INDEX(Rosters!$C$2:$C$155,MATCH($B6013,Rosters!$B$2:$B$155,0)),"NA")</f>
        <v>NA</v>
      </c>
      <c r="L6013" t="str">
        <f t="shared" si="279"/>
        <v>NA4TE</v>
      </c>
      <c r="M6013">
        <f>COUNTIF(L$1:L6013,L6013)</f>
        <v>53</v>
      </c>
      <c r="N6013" t="str">
        <f t="shared" si="280"/>
        <v>NA4TE-53</v>
      </c>
      <c r="O6013">
        <f>COUNTIFS(F$1:F6013,F6013,A$1:A6013,A6013)</f>
        <v>64</v>
      </c>
      <c r="P6013" t="str">
        <f t="shared" si="281"/>
        <v>Tyler Conklin4</v>
      </c>
    </row>
    <row r="6014" spans="1:16" x14ac:dyDescent="0.25">
      <c r="A6014">
        <v>13</v>
      </c>
      <c r="B6014" t="s">
        <v>4250</v>
      </c>
      <c r="C6014" t="s">
        <v>4256</v>
      </c>
      <c r="D6014">
        <v>0.56999999999999995</v>
      </c>
      <c r="E6014" t="s">
        <v>423</v>
      </c>
      <c r="F6014" t="s">
        <v>114</v>
      </c>
      <c r="G6014">
        <v>1.1299999999999999</v>
      </c>
      <c r="H6014">
        <v>0.01</v>
      </c>
      <c r="I6014">
        <v>0.56000000000000005</v>
      </c>
      <c r="J6014">
        <v>0.31359999999999999</v>
      </c>
      <c r="K6014" t="str">
        <f>IFERROR(INDEX(Rosters!$C$2:$C$155,MATCH($B6014,Rosters!$B$2:$B$155,0)),"NA")</f>
        <v>NA</v>
      </c>
      <c r="L6014" t="str">
        <f t="shared" si="279"/>
        <v>NA13TE</v>
      </c>
      <c r="M6014">
        <f>COUNTIF(L$1:L6014,L6014)</f>
        <v>61</v>
      </c>
      <c r="N6014" t="str">
        <f t="shared" si="280"/>
        <v>NA13TE-61</v>
      </c>
      <c r="O6014">
        <f>COUNTIFS(F$1:F6014,F6014,A$1:A6014,A6014)</f>
        <v>75</v>
      </c>
      <c r="P6014" t="str">
        <f t="shared" si="281"/>
        <v>Tyler Conklin13</v>
      </c>
    </row>
    <row r="6015" spans="1:16" x14ac:dyDescent="0.25">
      <c r="A6015">
        <v>7</v>
      </c>
      <c r="B6015" t="s">
        <v>1566</v>
      </c>
      <c r="C6015">
        <f>-0.04-1.18</f>
        <v>-1.22</v>
      </c>
      <c r="D6015">
        <v>0.56999999999999995</v>
      </c>
      <c r="E6015" t="s">
        <v>56</v>
      </c>
      <c r="F6015" t="s">
        <v>87</v>
      </c>
      <c r="G6015">
        <v>1.18</v>
      </c>
      <c r="H6015">
        <v>-0.04</v>
      </c>
      <c r="I6015">
        <v>0.61</v>
      </c>
      <c r="J6015">
        <v>0.37209999999999999</v>
      </c>
      <c r="K6015" t="str">
        <f>IFERROR(INDEX(Rosters!$C$2:$C$155,MATCH($B6015,Rosters!$B$2:$B$155,0)),"NA")</f>
        <v>NA</v>
      </c>
      <c r="L6015" t="str">
        <f t="shared" si="279"/>
        <v>NA7WR</v>
      </c>
      <c r="M6015">
        <f>COUNTIF(L$1:L6015,L6015)</f>
        <v>88</v>
      </c>
      <c r="N6015" t="str">
        <f t="shared" si="280"/>
        <v>NA7WR-88</v>
      </c>
      <c r="O6015">
        <f>COUNTIFS(F$1:F6015,F6015,A$1:A6015,A6015)</f>
        <v>133</v>
      </c>
      <c r="P6015" t="str">
        <f t="shared" si="281"/>
        <v>Victor Bolden Jr.7</v>
      </c>
    </row>
    <row r="6016" spans="1:16" x14ac:dyDescent="0.25">
      <c r="A6016">
        <v>17</v>
      </c>
      <c r="B6016" t="s">
        <v>1488</v>
      </c>
      <c r="C6016">
        <f>-0.14-1.26</f>
        <v>-1.4</v>
      </c>
      <c r="D6016">
        <v>0.56000000000000005</v>
      </c>
      <c r="E6016" t="s">
        <v>25</v>
      </c>
      <c r="F6016" t="s">
        <v>114</v>
      </c>
      <c r="G6016">
        <v>1.26</v>
      </c>
      <c r="H6016">
        <v>-0.14000000000000001</v>
      </c>
      <c r="I6016">
        <v>0.7</v>
      </c>
      <c r="J6016">
        <v>0.49</v>
      </c>
      <c r="K6016" t="str">
        <f>IFERROR(INDEX(Rosters!$C$2:$C$155,MATCH($B6016,Rosters!$B$2:$B$155,0)),"NA")</f>
        <v>NA</v>
      </c>
      <c r="L6016" t="str">
        <f t="shared" si="279"/>
        <v>NA17TE</v>
      </c>
      <c r="M6016">
        <f>COUNTIF(L$1:L6016,L6016)</f>
        <v>62</v>
      </c>
      <c r="N6016" t="str">
        <f t="shared" si="280"/>
        <v>NA17TE-62</v>
      </c>
      <c r="O6016">
        <f>COUNTIFS(F$1:F6016,F6016,A$1:A6016,A6016)</f>
        <v>76</v>
      </c>
      <c r="P6016" t="str">
        <f t="shared" si="281"/>
        <v>Adam Shaheen17</v>
      </c>
    </row>
    <row r="6017" spans="1:16" x14ac:dyDescent="0.25">
      <c r="A6017">
        <v>10</v>
      </c>
      <c r="B6017" t="s">
        <v>1555</v>
      </c>
      <c r="C6017" t="s">
        <v>3858</v>
      </c>
      <c r="D6017">
        <v>0.56000000000000005</v>
      </c>
      <c r="E6017" t="s">
        <v>51</v>
      </c>
      <c r="F6017" t="s">
        <v>47</v>
      </c>
      <c r="G6017">
        <v>1.0900000000000001</v>
      </c>
      <c r="H6017">
        <v>0.03</v>
      </c>
      <c r="I6017">
        <v>0.53</v>
      </c>
      <c r="J6017">
        <v>0.28089999999999998</v>
      </c>
      <c r="K6017" t="str">
        <f>IFERROR(INDEX(Rosters!$C$2:$C$155,MATCH($B6017,Rosters!$B$2:$B$155,0)),"NA")</f>
        <v>NA</v>
      </c>
      <c r="L6017" t="str">
        <f t="shared" si="279"/>
        <v>NA10RB</v>
      </c>
      <c r="M6017">
        <f>COUNTIF(L$1:L6017,L6017)</f>
        <v>54</v>
      </c>
      <c r="N6017" t="str">
        <f t="shared" si="280"/>
        <v>NA10RB-54</v>
      </c>
      <c r="O6017">
        <f>COUNTIFS(F$1:F6017,F6017,A$1:A6017,A6017)</f>
        <v>93</v>
      </c>
      <c r="P6017" t="str">
        <f t="shared" si="281"/>
        <v>Alex Armah10</v>
      </c>
    </row>
    <row r="6018" spans="1:16" x14ac:dyDescent="0.25">
      <c r="A6018">
        <v>11</v>
      </c>
      <c r="B6018" t="s">
        <v>1555</v>
      </c>
      <c r="C6018" t="s">
        <v>3859</v>
      </c>
      <c r="D6018">
        <v>0.56000000000000005</v>
      </c>
      <c r="E6018" t="s">
        <v>34</v>
      </c>
      <c r="F6018" t="s">
        <v>47</v>
      </c>
      <c r="G6018">
        <v>1.1100000000000001</v>
      </c>
      <c r="H6018">
        <v>0.01</v>
      </c>
      <c r="I6018">
        <v>0.55000000000000004</v>
      </c>
      <c r="J6018">
        <v>0.30249999999999999</v>
      </c>
      <c r="K6018" t="str">
        <f>IFERROR(INDEX(Rosters!$C$2:$C$155,MATCH($B6018,Rosters!$B$2:$B$155,0)),"NA")</f>
        <v>NA</v>
      </c>
      <c r="L6018" t="str">
        <f t="shared" si="279"/>
        <v>NA11RB</v>
      </c>
      <c r="M6018">
        <f>COUNTIF(L$1:L6018,L6018)</f>
        <v>49</v>
      </c>
      <c r="N6018" t="str">
        <f t="shared" si="280"/>
        <v>NA11RB-49</v>
      </c>
      <c r="O6018">
        <f>COUNTIFS(F$1:F6018,F6018,A$1:A6018,A6018)</f>
        <v>87</v>
      </c>
      <c r="P6018" t="str">
        <f t="shared" si="281"/>
        <v>Alex Armah11</v>
      </c>
    </row>
    <row r="6019" spans="1:16" x14ac:dyDescent="0.25">
      <c r="A6019">
        <v>4</v>
      </c>
      <c r="B6019" t="s">
        <v>1572</v>
      </c>
      <c r="C6019">
        <f>-0.02-1.14</f>
        <v>-1.1599999999999999</v>
      </c>
      <c r="D6019">
        <v>0.56000000000000005</v>
      </c>
      <c r="E6019" t="s">
        <v>22</v>
      </c>
      <c r="F6019" t="s">
        <v>87</v>
      </c>
      <c r="G6019">
        <v>1.1399999999999999</v>
      </c>
      <c r="H6019">
        <v>-0.02</v>
      </c>
      <c r="I6019">
        <v>0.57999999999999996</v>
      </c>
      <c r="J6019">
        <v>0.33639999999999998</v>
      </c>
      <c r="K6019" t="str">
        <f>IFERROR(INDEX(Rosters!$C$2:$C$155,MATCH($B6019,Rosters!$B$2:$B$155,0)),"NA")</f>
        <v>NA</v>
      </c>
      <c r="L6019" t="str">
        <f t="shared" ref="L6019:L6082" si="282">K6019&amp;A6019&amp;F6019</f>
        <v>NA4WR</v>
      </c>
      <c r="M6019">
        <f>COUNTIF(L$1:L6019,L6019)</f>
        <v>73</v>
      </c>
      <c r="N6019" t="str">
        <f t="shared" ref="N6019:N6082" si="283">L6019&amp;"-"&amp;M6019</f>
        <v>NA4WR-73</v>
      </c>
      <c r="O6019">
        <f>COUNTIFS(F$1:F6019,F6019,A$1:A6019,A6019)</f>
        <v>123</v>
      </c>
      <c r="P6019" t="str">
        <f t="shared" ref="P6019:P6082" si="284">B6019&amp;A6019</f>
        <v>Andy Jones4</v>
      </c>
    </row>
    <row r="6020" spans="1:16" x14ac:dyDescent="0.25">
      <c r="A6020">
        <v>2</v>
      </c>
      <c r="B6020" t="s">
        <v>385</v>
      </c>
      <c r="C6020" t="s">
        <v>1601</v>
      </c>
      <c r="D6020">
        <v>0.56000000000000005</v>
      </c>
      <c r="E6020" t="s">
        <v>51</v>
      </c>
      <c r="F6020" t="s">
        <v>47</v>
      </c>
      <c r="G6020">
        <v>1.1000000000000001</v>
      </c>
      <c r="H6020">
        <v>0.02</v>
      </c>
      <c r="I6020">
        <v>0.54</v>
      </c>
      <c r="J6020">
        <v>0.29160000000000003</v>
      </c>
      <c r="K6020" t="str">
        <f>IFERROR(INDEX(Rosters!$C$2:$C$155,MATCH($B6020,Rosters!$B$2:$B$155,0)),"NA")</f>
        <v>NA</v>
      </c>
      <c r="L6020" t="str">
        <f t="shared" si="282"/>
        <v>NA2RB</v>
      </c>
      <c r="M6020">
        <f>COUNTIF(L$1:L6020,L6020)</f>
        <v>46</v>
      </c>
      <c r="N6020" t="str">
        <f t="shared" si="283"/>
        <v>NA2RB-46</v>
      </c>
      <c r="O6020">
        <f>COUNTIFS(F$1:F6020,F6020,A$1:A6020,A6020)</f>
        <v>88</v>
      </c>
      <c r="P6020" t="str">
        <f t="shared" si="284"/>
        <v>Anthony Sherman2</v>
      </c>
    </row>
    <row r="6021" spans="1:16" x14ac:dyDescent="0.25">
      <c r="A6021">
        <v>6</v>
      </c>
      <c r="B6021" t="s">
        <v>385</v>
      </c>
      <c r="C6021">
        <f>-0.09-1.21</f>
        <v>-1.3</v>
      </c>
      <c r="D6021">
        <v>0.56000000000000005</v>
      </c>
      <c r="E6021" t="s">
        <v>423</v>
      </c>
      <c r="F6021" t="s">
        <v>47</v>
      </c>
      <c r="G6021">
        <v>1.21</v>
      </c>
      <c r="H6021">
        <v>-0.09</v>
      </c>
      <c r="I6021">
        <v>0.65</v>
      </c>
      <c r="J6021">
        <v>0.42249999999999999</v>
      </c>
      <c r="K6021" t="str">
        <f>IFERROR(INDEX(Rosters!$C$2:$C$155,MATCH($B6021,Rosters!$B$2:$B$155,0)),"NA")</f>
        <v>NA</v>
      </c>
      <c r="L6021" t="str">
        <f t="shared" si="282"/>
        <v>NA6RB</v>
      </c>
      <c r="M6021">
        <f>COUNTIF(L$1:L6021,L6021)</f>
        <v>53</v>
      </c>
      <c r="N6021" t="str">
        <f t="shared" si="283"/>
        <v>NA6RB-53</v>
      </c>
      <c r="O6021">
        <f>COUNTIFS(F$1:F6021,F6021,A$1:A6021,A6021)</f>
        <v>95</v>
      </c>
      <c r="P6021" t="str">
        <f t="shared" si="284"/>
        <v>Anthony Sherman6</v>
      </c>
    </row>
    <row r="6022" spans="1:16" x14ac:dyDescent="0.25">
      <c r="A6022">
        <v>14</v>
      </c>
      <c r="B6022" t="s">
        <v>1542</v>
      </c>
      <c r="C6022" t="s">
        <v>8909</v>
      </c>
      <c r="D6022">
        <v>0.56000000000000005</v>
      </c>
      <c r="E6022" t="s">
        <v>14</v>
      </c>
      <c r="F6022" t="s">
        <v>114</v>
      </c>
      <c r="G6022">
        <v>1.05</v>
      </c>
      <c r="H6022">
        <v>7.0000000000000007E-2</v>
      </c>
      <c r="I6022">
        <v>0.49</v>
      </c>
      <c r="J6022">
        <v>0.24010000000000001</v>
      </c>
      <c r="K6022" t="str">
        <f>IFERROR(INDEX(Rosters!$C$2:$C$155,MATCH($B6022,Rosters!$B$2:$B$155,0)),"NA")</f>
        <v>NA</v>
      </c>
      <c r="L6022" t="str">
        <f t="shared" si="282"/>
        <v>NA14TE</v>
      </c>
      <c r="M6022">
        <f>COUNTIF(L$1:L6022,L6022)</f>
        <v>68</v>
      </c>
      <c r="N6022" t="str">
        <f t="shared" si="283"/>
        <v>NA14TE-68</v>
      </c>
      <c r="O6022">
        <f>COUNTIFS(F$1:F6022,F6022,A$1:A6022,A6022)</f>
        <v>82</v>
      </c>
      <c r="P6022" t="str">
        <f t="shared" si="284"/>
        <v>Antony Auclair14</v>
      </c>
    </row>
    <row r="6023" spans="1:16" x14ac:dyDescent="0.25">
      <c r="A6023">
        <v>10</v>
      </c>
      <c r="B6023" t="s">
        <v>1145</v>
      </c>
      <c r="C6023">
        <f>-0.05-1.17</f>
        <v>-1.22</v>
      </c>
      <c r="D6023">
        <v>0.56000000000000005</v>
      </c>
      <c r="E6023" t="s">
        <v>34</v>
      </c>
      <c r="F6023" t="s">
        <v>114</v>
      </c>
      <c r="G6023">
        <v>1.17</v>
      </c>
      <c r="H6023">
        <v>-0.05</v>
      </c>
      <c r="I6023">
        <v>0.61</v>
      </c>
      <c r="J6023">
        <v>0.37209999999999999</v>
      </c>
      <c r="K6023" t="str">
        <f>IFERROR(INDEX(Rosters!$C$2:$C$155,MATCH($B6023,Rosters!$B$2:$B$155,0)),"NA")</f>
        <v>NA</v>
      </c>
      <c r="L6023" t="str">
        <f t="shared" si="282"/>
        <v>NA10TE</v>
      </c>
      <c r="M6023">
        <f>COUNTIF(L$1:L6023,L6023)</f>
        <v>58</v>
      </c>
      <c r="N6023" t="str">
        <f t="shared" si="283"/>
        <v>NA10TE-58</v>
      </c>
      <c r="O6023">
        <f>COUNTIFS(F$1:F6023,F6023,A$1:A6023,A6023)</f>
        <v>71</v>
      </c>
      <c r="P6023" t="str">
        <f t="shared" si="284"/>
        <v>Ben Braunecker10</v>
      </c>
    </row>
    <row r="6024" spans="1:16" x14ac:dyDescent="0.25">
      <c r="A6024">
        <v>8</v>
      </c>
      <c r="B6024" t="s">
        <v>293</v>
      </c>
      <c r="C6024">
        <f>-0.07-1.19</f>
        <v>-1.26</v>
      </c>
      <c r="D6024">
        <v>0.56000000000000005</v>
      </c>
      <c r="E6024" t="s">
        <v>73</v>
      </c>
      <c r="F6024" t="s">
        <v>47</v>
      </c>
      <c r="G6024">
        <v>1.19</v>
      </c>
      <c r="H6024">
        <v>-7.0000000000000007E-2</v>
      </c>
      <c r="I6024">
        <v>0.63</v>
      </c>
      <c r="J6024">
        <v>0.39689999999999998</v>
      </c>
      <c r="K6024" t="str">
        <f>IFERROR(INDEX(Rosters!$C$2:$C$155,MATCH($B6024,Rosters!$B$2:$B$155,0)),"NA")</f>
        <v>NA</v>
      </c>
      <c r="L6024" t="str">
        <f t="shared" si="282"/>
        <v>NA8RB</v>
      </c>
      <c r="M6024">
        <f>COUNTIF(L$1:L6024,L6024)</f>
        <v>54</v>
      </c>
      <c r="N6024" t="str">
        <f t="shared" si="283"/>
        <v>NA8RB-54</v>
      </c>
      <c r="O6024">
        <f>COUNTIFS(F$1:F6024,F6024,A$1:A6024,A6024)</f>
        <v>94</v>
      </c>
      <c r="P6024" t="str">
        <f t="shared" si="284"/>
        <v>Benny Cunningham8</v>
      </c>
    </row>
    <row r="6025" spans="1:16" x14ac:dyDescent="0.25">
      <c r="A6025">
        <v>10</v>
      </c>
      <c r="B6025" t="s">
        <v>293</v>
      </c>
      <c r="C6025">
        <f>-0.1-1.22</f>
        <v>-1.32</v>
      </c>
      <c r="D6025">
        <v>0.56000000000000005</v>
      </c>
      <c r="E6025" t="s">
        <v>34</v>
      </c>
      <c r="F6025" t="s">
        <v>47</v>
      </c>
      <c r="G6025">
        <v>1.22</v>
      </c>
      <c r="H6025">
        <v>-0.1</v>
      </c>
      <c r="I6025">
        <v>0.66</v>
      </c>
      <c r="J6025">
        <v>0.43559999999999999</v>
      </c>
      <c r="K6025" t="str">
        <f>IFERROR(INDEX(Rosters!$C$2:$C$155,MATCH($B6025,Rosters!$B$2:$B$155,0)),"NA")</f>
        <v>NA</v>
      </c>
      <c r="L6025" t="str">
        <f t="shared" si="282"/>
        <v>NA10RB</v>
      </c>
      <c r="M6025">
        <f>COUNTIF(L$1:L6025,L6025)</f>
        <v>55</v>
      </c>
      <c r="N6025" t="str">
        <f t="shared" si="283"/>
        <v>NA10RB-55</v>
      </c>
      <c r="O6025">
        <f>COUNTIFS(F$1:F6025,F6025,A$1:A6025,A6025)</f>
        <v>94</v>
      </c>
      <c r="P6025" t="str">
        <f t="shared" si="284"/>
        <v>Benny Cunningham10</v>
      </c>
    </row>
    <row r="6026" spans="1:16" x14ac:dyDescent="0.25">
      <c r="A6026">
        <v>11</v>
      </c>
      <c r="B6026" t="s">
        <v>293</v>
      </c>
      <c r="C6026">
        <f>-0.08-1.2</f>
        <v>-1.28</v>
      </c>
      <c r="D6026">
        <v>0.56000000000000005</v>
      </c>
      <c r="E6026" t="s">
        <v>25</v>
      </c>
      <c r="F6026" t="s">
        <v>47</v>
      </c>
      <c r="G6026">
        <v>1.2</v>
      </c>
      <c r="H6026">
        <v>-0.08</v>
      </c>
      <c r="I6026">
        <v>0.64</v>
      </c>
      <c r="J6026">
        <v>0.40960000000000002</v>
      </c>
      <c r="K6026" t="str">
        <f>IFERROR(INDEX(Rosters!$C$2:$C$155,MATCH($B6026,Rosters!$B$2:$B$155,0)),"NA")</f>
        <v>NA</v>
      </c>
      <c r="L6026" t="str">
        <f t="shared" si="282"/>
        <v>NA11RB</v>
      </c>
      <c r="M6026">
        <f>COUNTIF(L$1:L6026,L6026)</f>
        <v>50</v>
      </c>
      <c r="N6026" t="str">
        <f t="shared" si="283"/>
        <v>NA11RB-50</v>
      </c>
      <c r="O6026">
        <f>COUNTIFS(F$1:F6026,F6026,A$1:A6026,A6026)</f>
        <v>88</v>
      </c>
      <c r="P6026" t="str">
        <f t="shared" si="284"/>
        <v>Benny Cunningham11</v>
      </c>
    </row>
    <row r="6027" spans="1:16" x14ac:dyDescent="0.25">
      <c r="A6027">
        <v>12</v>
      </c>
      <c r="B6027" t="s">
        <v>2274</v>
      </c>
      <c r="C6027">
        <f>-0.07-1.19</f>
        <v>-1.26</v>
      </c>
      <c r="D6027">
        <v>0.56000000000000005</v>
      </c>
      <c r="E6027" t="s">
        <v>66</v>
      </c>
      <c r="F6027" t="s">
        <v>47</v>
      </c>
      <c r="G6027">
        <v>1.19</v>
      </c>
      <c r="H6027">
        <v>-7.0000000000000007E-2</v>
      </c>
      <c r="I6027">
        <v>0.63</v>
      </c>
      <c r="J6027">
        <v>0.39689999999999998</v>
      </c>
      <c r="K6027" t="str">
        <f>IFERROR(INDEX(Rosters!$C$2:$C$155,MATCH($B6027,Rosters!$B$2:$B$155,0)),"NA")</f>
        <v>NA</v>
      </c>
      <c r="L6027" t="str">
        <f t="shared" si="282"/>
        <v>NA12RB</v>
      </c>
      <c r="M6027">
        <f>COUNTIF(L$1:L6027,L6027)</f>
        <v>54</v>
      </c>
      <c r="N6027" t="str">
        <f t="shared" si="283"/>
        <v>NA12RB-54</v>
      </c>
      <c r="O6027">
        <f>COUNTIFS(F$1:F6027,F6027,A$1:A6027,A6027)</f>
        <v>99</v>
      </c>
      <c r="P6027" t="str">
        <f t="shared" si="284"/>
        <v>Brandon Bolden12</v>
      </c>
    </row>
    <row r="6028" spans="1:16" x14ac:dyDescent="0.25">
      <c r="A6028">
        <v>5</v>
      </c>
      <c r="B6028" t="s">
        <v>2851</v>
      </c>
      <c r="C6028">
        <f>-0.1-1.22</f>
        <v>-1.32</v>
      </c>
      <c r="D6028">
        <v>0.56000000000000005</v>
      </c>
      <c r="E6028" t="s">
        <v>60</v>
      </c>
      <c r="F6028" t="s">
        <v>87</v>
      </c>
      <c r="G6028">
        <v>1.22</v>
      </c>
      <c r="H6028">
        <v>-0.1</v>
      </c>
      <c r="I6028">
        <v>0.66</v>
      </c>
      <c r="J6028">
        <v>0.43559999999999999</v>
      </c>
      <c r="K6028" t="str">
        <f>IFERROR(INDEX(Rosters!$C$2:$C$155,MATCH($B6028,Rosters!$B$2:$B$155,0)),"NA")</f>
        <v>NA</v>
      </c>
      <c r="L6028" t="str">
        <f t="shared" si="282"/>
        <v>NA5WR</v>
      </c>
      <c r="M6028">
        <f>COUNTIF(L$1:L6028,L6028)</f>
        <v>96</v>
      </c>
      <c r="N6028" t="str">
        <f t="shared" si="283"/>
        <v>NA5WR-96</v>
      </c>
      <c r="O6028">
        <f>COUNTIFS(F$1:F6028,F6028,A$1:A6028,A6028)</f>
        <v>146</v>
      </c>
      <c r="P6028" t="str">
        <f t="shared" si="284"/>
        <v>Brandon Tate5</v>
      </c>
    </row>
    <row r="6029" spans="1:16" x14ac:dyDescent="0.25">
      <c r="A6029">
        <v>15</v>
      </c>
      <c r="B6029" t="s">
        <v>2851</v>
      </c>
      <c r="C6029">
        <f>-0.14-1.26</f>
        <v>-1.4</v>
      </c>
      <c r="D6029">
        <v>0.56000000000000005</v>
      </c>
      <c r="E6029" t="s">
        <v>74</v>
      </c>
      <c r="F6029" t="s">
        <v>87</v>
      </c>
      <c r="G6029">
        <v>1.26</v>
      </c>
      <c r="H6029">
        <v>-0.14000000000000001</v>
      </c>
      <c r="I6029">
        <v>0.7</v>
      </c>
      <c r="J6029">
        <v>0.49</v>
      </c>
      <c r="K6029" t="str">
        <f>IFERROR(INDEX(Rosters!$C$2:$C$155,MATCH($B6029,Rosters!$B$2:$B$155,0)),"NA")</f>
        <v>NA</v>
      </c>
      <c r="L6029" t="str">
        <f t="shared" si="282"/>
        <v>NA15WR</v>
      </c>
      <c r="M6029">
        <f>COUNTIF(L$1:L6029,L6029)</f>
        <v>99</v>
      </c>
      <c r="N6029" t="str">
        <f t="shared" si="283"/>
        <v>NA15WR-99</v>
      </c>
      <c r="O6029">
        <f>COUNTIFS(F$1:F6029,F6029,A$1:A6029,A6029)</f>
        <v>153</v>
      </c>
      <c r="P6029" t="str">
        <f t="shared" si="284"/>
        <v>Brandon Tate15</v>
      </c>
    </row>
    <row r="6030" spans="1:16" x14ac:dyDescent="0.25">
      <c r="A6030">
        <v>10</v>
      </c>
      <c r="B6030" t="s">
        <v>3569</v>
      </c>
      <c r="C6030" t="s">
        <v>3860</v>
      </c>
      <c r="D6030">
        <v>0.56000000000000005</v>
      </c>
      <c r="E6030" t="s">
        <v>66</v>
      </c>
      <c r="F6030" t="s">
        <v>47</v>
      </c>
      <c r="G6030">
        <v>1.08</v>
      </c>
      <c r="H6030">
        <v>0.04</v>
      </c>
      <c r="I6030">
        <v>0.52</v>
      </c>
      <c r="J6030">
        <v>0.27039999999999997</v>
      </c>
      <c r="K6030" t="str">
        <f>IFERROR(INDEX(Rosters!$C$2:$C$155,MATCH($B6030,Rosters!$B$2:$B$155,0)),"NA")</f>
        <v>NA</v>
      </c>
      <c r="L6030" t="str">
        <f t="shared" si="282"/>
        <v>NA10RB</v>
      </c>
      <c r="M6030">
        <f>COUNTIF(L$1:L6030,L6030)</f>
        <v>56</v>
      </c>
      <c r="N6030" t="str">
        <f t="shared" si="283"/>
        <v>NA10RB-56</v>
      </c>
      <c r="O6030">
        <f>COUNTIFS(F$1:F6030,F6030,A$1:A6030,A6030)</f>
        <v>95</v>
      </c>
      <c r="P6030" t="str">
        <f t="shared" si="284"/>
        <v>Brandon Wilds10</v>
      </c>
    </row>
    <row r="6031" spans="1:16" x14ac:dyDescent="0.25">
      <c r="A6031">
        <v>11</v>
      </c>
      <c r="B6031" t="s">
        <v>2947</v>
      </c>
      <c r="C6031" t="s">
        <v>3857</v>
      </c>
      <c r="D6031">
        <v>0.56000000000000005</v>
      </c>
      <c r="E6031" t="s">
        <v>22</v>
      </c>
      <c r="F6031" t="s">
        <v>47</v>
      </c>
      <c r="G6031">
        <v>1.06</v>
      </c>
      <c r="H6031">
        <v>0.06</v>
      </c>
      <c r="I6031">
        <v>0.5</v>
      </c>
      <c r="J6031">
        <v>0.25</v>
      </c>
      <c r="K6031" t="str">
        <f>IFERROR(INDEX(Rosters!$C$2:$C$155,MATCH($B6031,Rosters!$B$2:$B$155,0)),"NA")</f>
        <v>NA</v>
      </c>
      <c r="L6031" t="str">
        <f t="shared" si="282"/>
        <v>NA11RB</v>
      </c>
      <c r="M6031">
        <f>COUNTIF(L$1:L6031,L6031)</f>
        <v>51</v>
      </c>
      <c r="N6031" t="str">
        <f t="shared" si="283"/>
        <v>NA11RB-51</v>
      </c>
      <c r="O6031">
        <f>COUNTIFS(F$1:F6031,F6031,A$1:A6031,A6031)</f>
        <v>89</v>
      </c>
      <c r="P6031" t="str">
        <f t="shared" si="284"/>
        <v>Brian Hill11</v>
      </c>
    </row>
    <row r="6032" spans="1:16" x14ac:dyDescent="0.25">
      <c r="A6032">
        <v>14</v>
      </c>
      <c r="B6032" t="s">
        <v>2947</v>
      </c>
      <c r="C6032" t="s">
        <v>1602</v>
      </c>
      <c r="D6032">
        <v>0.56000000000000005</v>
      </c>
      <c r="E6032" t="s">
        <v>41</v>
      </c>
      <c r="F6032" t="s">
        <v>47</v>
      </c>
      <c r="G6032">
        <v>1.07</v>
      </c>
      <c r="H6032">
        <v>0.05</v>
      </c>
      <c r="I6032">
        <v>0.51</v>
      </c>
      <c r="J6032">
        <v>0.2601</v>
      </c>
      <c r="K6032" t="str">
        <f>IFERROR(INDEX(Rosters!$C$2:$C$155,MATCH($B6032,Rosters!$B$2:$B$155,0)),"NA")</f>
        <v>NA</v>
      </c>
      <c r="L6032" t="str">
        <f t="shared" si="282"/>
        <v>NA14RB</v>
      </c>
      <c r="M6032">
        <f>COUNTIF(L$1:L6032,L6032)</f>
        <v>59</v>
      </c>
      <c r="N6032" t="str">
        <f t="shared" si="283"/>
        <v>NA14RB-59</v>
      </c>
      <c r="O6032">
        <f>COUNTIFS(F$1:F6032,F6032,A$1:A6032,A6032)</f>
        <v>106</v>
      </c>
      <c r="P6032" t="str">
        <f t="shared" si="284"/>
        <v>Brian Hill14</v>
      </c>
    </row>
    <row r="6033" spans="1:16" x14ac:dyDescent="0.25">
      <c r="A6033">
        <v>12</v>
      </c>
      <c r="B6033" t="s">
        <v>8901</v>
      </c>
      <c r="C6033">
        <f>-0.06-1.18</f>
        <v>-1.24</v>
      </c>
      <c r="D6033">
        <v>0.56000000000000005</v>
      </c>
      <c r="E6033" t="s">
        <v>51</v>
      </c>
      <c r="F6033" t="s">
        <v>114</v>
      </c>
      <c r="G6033">
        <v>1.18</v>
      </c>
      <c r="H6033">
        <v>-0.06</v>
      </c>
      <c r="I6033">
        <v>0.62</v>
      </c>
      <c r="J6033">
        <v>0.38440000000000002</v>
      </c>
      <c r="K6033" t="str">
        <f>IFERROR(INDEX(Rosters!$C$2:$C$155,MATCH($B6033,Rosters!$B$2:$B$155,0)),"NA")</f>
        <v>NA</v>
      </c>
      <c r="L6033" t="str">
        <f t="shared" si="282"/>
        <v>NA12TE</v>
      </c>
      <c r="M6033">
        <f>COUNTIF(L$1:L6033,L6033)</f>
        <v>58</v>
      </c>
      <c r="N6033" t="str">
        <f t="shared" si="283"/>
        <v>NA12TE-58</v>
      </c>
      <c r="O6033">
        <f>COUNTIFS(F$1:F6033,F6033,A$1:A6033,A6033)</f>
        <v>71</v>
      </c>
      <c r="P6033" t="str">
        <f t="shared" si="284"/>
        <v>Brian Parker12</v>
      </c>
    </row>
    <row r="6034" spans="1:16" x14ac:dyDescent="0.25">
      <c r="A6034">
        <v>16</v>
      </c>
      <c r="B6034" t="s">
        <v>1549</v>
      </c>
      <c r="C6034">
        <f>-0.18-1.3</f>
        <v>-1.48</v>
      </c>
      <c r="D6034">
        <v>0.56000000000000005</v>
      </c>
      <c r="E6034" t="s">
        <v>34</v>
      </c>
      <c r="F6034" t="s">
        <v>47</v>
      </c>
      <c r="G6034">
        <v>1.3</v>
      </c>
      <c r="H6034">
        <v>-0.18</v>
      </c>
      <c r="I6034">
        <v>0.74</v>
      </c>
      <c r="J6034">
        <v>0.54759999999999998</v>
      </c>
      <c r="K6034" t="str">
        <f>IFERROR(INDEX(Rosters!$C$2:$C$155,MATCH($B6034,Rosters!$B$2:$B$155,0)),"NA")</f>
        <v>NA</v>
      </c>
      <c r="L6034" t="str">
        <f t="shared" si="282"/>
        <v>NA16RB</v>
      </c>
      <c r="M6034">
        <f>COUNTIF(L$1:L6034,L6034)</f>
        <v>62</v>
      </c>
      <c r="N6034" t="str">
        <f t="shared" si="283"/>
        <v>NA16RB-62</v>
      </c>
      <c r="O6034">
        <f>COUNTIFS(F$1:F6034,F6034,A$1:A6034,A6034)</f>
        <v>109</v>
      </c>
      <c r="P6034" t="str">
        <f t="shared" si="284"/>
        <v>C.J. Ham16</v>
      </c>
    </row>
    <row r="6035" spans="1:16" x14ac:dyDescent="0.25">
      <c r="A6035">
        <v>4</v>
      </c>
      <c r="B6035" t="s">
        <v>301</v>
      </c>
      <c r="C6035" t="s">
        <v>356</v>
      </c>
      <c r="D6035">
        <v>0.56000000000000005</v>
      </c>
      <c r="E6035" t="s">
        <v>46</v>
      </c>
      <c r="F6035" t="s">
        <v>114</v>
      </c>
      <c r="G6035">
        <v>1.1200000000000001</v>
      </c>
      <c r="H6035">
        <v>0</v>
      </c>
      <c r="I6035">
        <v>0.56000000000000005</v>
      </c>
      <c r="J6035">
        <v>0.31359999999999999</v>
      </c>
      <c r="K6035" t="str">
        <f>IFERROR(INDEX(Rosters!$C$2:$C$155,MATCH($B6035,Rosters!$B$2:$B$155,0)),"NA")</f>
        <v>NA</v>
      </c>
      <c r="L6035" t="str">
        <f t="shared" si="282"/>
        <v>NA4TE</v>
      </c>
      <c r="M6035">
        <f>COUNTIF(L$1:L6035,L6035)</f>
        <v>54</v>
      </c>
      <c r="N6035" t="str">
        <f t="shared" si="283"/>
        <v>NA4TE-54</v>
      </c>
      <c r="O6035">
        <f>COUNTIFS(F$1:F6035,F6035,A$1:A6035,A6035)</f>
        <v>65</v>
      </c>
      <c r="P6035" t="str">
        <f t="shared" si="284"/>
        <v>C.J. Uzomah4</v>
      </c>
    </row>
    <row r="6036" spans="1:16" x14ac:dyDescent="0.25">
      <c r="A6036">
        <v>9</v>
      </c>
      <c r="B6036" t="s">
        <v>1562</v>
      </c>
      <c r="C6036">
        <f>-0.08-1.2</f>
        <v>-1.28</v>
      </c>
      <c r="D6036">
        <v>0.56000000000000005</v>
      </c>
      <c r="E6036" t="s">
        <v>32</v>
      </c>
      <c r="F6036" t="s">
        <v>114</v>
      </c>
      <c r="G6036">
        <v>1.2</v>
      </c>
      <c r="H6036">
        <v>-0.08</v>
      </c>
      <c r="I6036">
        <v>0.64</v>
      </c>
      <c r="J6036">
        <v>0.40960000000000002</v>
      </c>
      <c r="K6036" t="str">
        <f>IFERROR(INDEX(Rosters!$C$2:$C$155,MATCH($B6036,Rosters!$B$2:$B$155,0)),"NA")</f>
        <v>NA</v>
      </c>
      <c r="L6036" t="str">
        <f t="shared" si="282"/>
        <v>NA9TE</v>
      </c>
      <c r="M6036">
        <f>COUNTIF(L$1:L6036,L6036)</f>
        <v>51</v>
      </c>
      <c r="N6036" t="str">
        <f t="shared" si="283"/>
        <v>NA9TE-51</v>
      </c>
      <c r="O6036">
        <f>COUNTIFS(F$1:F6036,F6036,A$1:A6036,A6036)</f>
        <v>62</v>
      </c>
      <c r="P6036" t="str">
        <f t="shared" si="284"/>
        <v>Cole Wick9</v>
      </c>
    </row>
    <row r="6037" spans="1:16" x14ac:dyDescent="0.25">
      <c r="A6037">
        <v>13</v>
      </c>
      <c r="B6037" t="s">
        <v>1562</v>
      </c>
      <c r="C6037">
        <f>-0.07-1.19</f>
        <v>-1.26</v>
      </c>
      <c r="D6037">
        <v>0.56000000000000005</v>
      </c>
      <c r="E6037" t="s">
        <v>28</v>
      </c>
      <c r="F6037" t="s">
        <v>114</v>
      </c>
      <c r="G6037">
        <v>1.19</v>
      </c>
      <c r="H6037">
        <v>-7.0000000000000007E-2</v>
      </c>
      <c r="I6037">
        <v>0.63</v>
      </c>
      <c r="J6037">
        <v>0.39689999999999998</v>
      </c>
      <c r="K6037" t="str">
        <f>IFERROR(INDEX(Rosters!$C$2:$C$155,MATCH($B6037,Rosters!$B$2:$B$155,0)),"NA")</f>
        <v>NA</v>
      </c>
      <c r="L6037" t="str">
        <f t="shared" si="282"/>
        <v>NA13TE</v>
      </c>
      <c r="M6037">
        <f>COUNTIF(L$1:L6037,L6037)</f>
        <v>62</v>
      </c>
      <c r="N6037" t="str">
        <f t="shared" si="283"/>
        <v>NA13TE-62</v>
      </c>
      <c r="O6037">
        <f>COUNTIFS(F$1:F6037,F6037,A$1:A6037,A6037)</f>
        <v>76</v>
      </c>
      <c r="P6037" t="str">
        <f t="shared" si="284"/>
        <v>Cole Wick13</v>
      </c>
    </row>
    <row r="6038" spans="1:16" x14ac:dyDescent="0.25">
      <c r="A6038">
        <v>4</v>
      </c>
      <c r="B6038" t="s">
        <v>1503</v>
      </c>
      <c r="C6038">
        <f>-0.09-1.21</f>
        <v>-1.3</v>
      </c>
      <c r="D6038">
        <v>0.56000000000000005</v>
      </c>
      <c r="E6038" t="s">
        <v>73</v>
      </c>
      <c r="F6038" t="s">
        <v>87</v>
      </c>
      <c r="G6038">
        <v>1.21</v>
      </c>
      <c r="H6038">
        <v>-0.09</v>
      </c>
      <c r="I6038">
        <v>0.65</v>
      </c>
      <c r="J6038">
        <v>0.42249999999999999</v>
      </c>
      <c r="K6038" t="str">
        <f>IFERROR(INDEX(Rosters!$C$2:$C$155,MATCH($B6038,Rosters!$B$2:$B$155,0)),"NA")</f>
        <v>NA</v>
      </c>
      <c r="L6038" t="str">
        <f t="shared" si="282"/>
        <v>NA4WR</v>
      </c>
      <c r="M6038">
        <f>COUNTIF(L$1:L6038,L6038)</f>
        <v>74</v>
      </c>
      <c r="N6038" t="str">
        <f t="shared" si="283"/>
        <v>NA4WR-74</v>
      </c>
      <c r="O6038">
        <f>COUNTIFS(F$1:F6038,F6038,A$1:A6038,A6038)</f>
        <v>124</v>
      </c>
      <c r="P6038" t="str">
        <f t="shared" si="284"/>
        <v>D.J. Chark4</v>
      </c>
    </row>
    <row r="6039" spans="1:16" x14ac:dyDescent="0.25">
      <c r="A6039">
        <v>14</v>
      </c>
      <c r="B6039" t="s">
        <v>1503</v>
      </c>
      <c r="C6039">
        <f>-0.11-1.23</f>
        <v>-1.34</v>
      </c>
      <c r="D6039">
        <v>0.56000000000000005</v>
      </c>
      <c r="E6039" t="s">
        <v>38</v>
      </c>
      <c r="F6039" t="s">
        <v>87</v>
      </c>
      <c r="G6039">
        <v>1.23</v>
      </c>
      <c r="H6039">
        <v>-0.11</v>
      </c>
      <c r="I6039">
        <v>0.67</v>
      </c>
      <c r="J6039">
        <v>0.44890000000000002</v>
      </c>
      <c r="K6039" t="str">
        <f>IFERROR(INDEX(Rosters!$C$2:$C$155,MATCH($B6039,Rosters!$B$2:$B$155,0)),"NA")</f>
        <v>NA</v>
      </c>
      <c r="L6039" t="str">
        <f t="shared" si="282"/>
        <v>NA14WR</v>
      </c>
      <c r="M6039">
        <f>COUNTIF(L$1:L6039,L6039)</f>
        <v>103</v>
      </c>
      <c r="N6039" t="str">
        <f t="shared" si="283"/>
        <v>NA14WR-103</v>
      </c>
      <c r="O6039">
        <f>COUNTIFS(F$1:F6039,F6039,A$1:A6039,A6039)</f>
        <v>157</v>
      </c>
      <c r="P6039" t="str">
        <f t="shared" si="284"/>
        <v>D.J. Chark14</v>
      </c>
    </row>
    <row r="6040" spans="1:16" x14ac:dyDescent="0.25">
      <c r="A6040">
        <v>13</v>
      </c>
      <c r="B6040" t="s">
        <v>1128</v>
      </c>
      <c r="C6040">
        <f>-0.09-1.21</f>
        <v>-1.3</v>
      </c>
      <c r="D6040">
        <v>0.56000000000000005</v>
      </c>
      <c r="E6040" t="s">
        <v>17</v>
      </c>
      <c r="F6040" t="s">
        <v>87</v>
      </c>
      <c r="G6040">
        <v>1.21</v>
      </c>
      <c r="H6040">
        <v>-0.09</v>
      </c>
      <c r="I6040">
        <v>0.65</v>
      </c>
      <c r="J6040">
        <v>0.42249999999999999</v>
      </c>
      <c r="K6040" t="str">
        <f>IFERROR(INDEX(Rosters!$C$2:$C$155,MATCH($B6040,Rosters!$B$2:$B$155,0)),"NA")</f>
        <v>NA</v>
      </c>
      <c r="L6040" t="str">
        <f t="shared" si="282"/>
        <v>NA13WR</v>
      </c>
      <c r="M6040">
        <f>COUNTIF(L$1:L6040,L6040)</f>
        <v>99</v>
      </c>
      <c r="N6040" t="str">
        <f t="shared" si="283"/>
        <v>NA13WR-99</v>
      </c>
      <c r="O6040">
        <f>COUNTIFS(F$1:F6040,F6040,A$1:A6040,A6040)</f>
        <v>153</v>
      </c>
      <c r="P6040" t="str">
        <f t="shared" si="284"/>
        <v>Damiere Byrd13</v>
      </c>
    </row>
    <row r="6041" spans="1:16" x14ac:dyDescent="0.25">
      <c r="A6041">
        <v>6</v>
      </c>
      <c r="B6041" t="s">
        <v>1559</v>
      </c>
      <c r="C6041">
        <f>-0.06-1.18</f>
        <v>-1.24</v>
      </c>
      <c r="D6041">
        <v>0.56000000000000005</v>
      </c>
      <c r="E6041" t="s">
        <v>19</v>
      </c>
      <c r="F6041" t="s">
        <v>114</v>
      </c>
      <c r="G6041">
        <v>1.18</v>
      </c>
      <c r="H6041">
        <v>-0.06</v>
      </c>
      <c r="I6041">
        <v>0.62</v>
      </c>
      <c r="J6041">
        <v>0.38440000000000002</v>
      </c>
      <c r="K6041" t="str">
        <f>IFERROR(INDEX(Rosters!$C$2:$C$155,MATCH($B6041,Rosters!$B$2:$B$155,0)),"NA")</f>
        <v>NA</v>
      </c>
      <c r="L6041" t="str">
        <f t="shared" si="282"/>
        <v>NA6TE</v>
      </c>
      <c r="M6041">
        <f>COUNTIF(L$1:L6041,L6041)</f>
        <v>60</v>
      </c>
      <c r="N6041" t="str">
        <f t="shared" si="283"/>
        <v>NA6TE-60</v>
      </c>
      <c r="O6041">
        <f>COUNTIFS(F$1:F6041,F6041,A$1:A6041,A6041)</f>
        <v>72</v>
      </c>
      <c r="P6041" t="str">
        <f t="shared" si="284"/>
        <v>Daniel Brown6</v>
      </c>
    </row>
    <row r="6042" spans="1:16" x14ac:dyDescent="0.25">
      <c r="A6042">
        <v>9</v>
      </c>
      <c r="B6042" t="s">
        <v>1115</v>
      </c>
      <c r="C6042" t="s">
        <v>1602</v>
      </c>
      <c r="D6042">
        <v>0.56000000000000005</v>
      </c>
      <c r="E6042" t="s">
        <v>22</v>
      </c>
      <c r="F6042" t="s">
        <v>87</v>
      </c>
      <c r="G6042">
        <v>1.07</v>
      </c>
      <c r="H6042">
        <v>0.05</v>
      </c>
      <c r="I6042">
        <v>0.51</v>
      </c>
      <c r="J6042">
        <v>0.2601</v>
      </c>
      <c r="K6042" t="str">
        <f>IFERROR(INDEX(Rosters!$C$2:$C$155,MATCH($B6042,Rosters!$B$2:$B$155,0)),"NA")</f>
        <v>NA</v>
      </c>
      <c r="L6042" t="str">
        <f t="shared" si="282"/>
        <v>NA9WR</v>
      </c>
      <c r="M6042">
        <f>COUNTIF(L$1:L6042,L6042)</f>
        <v>87</v>
      </c>
      <c r="N6042" t="str">
        <f t="shared" si="283"/>
        <v>NA9WR-87</v>
      </c>
      <c r="O6042">
        <f>COUNTIFS(F$1:F6042,F6042,A$1:A6042,A6042)</f>
        <v>131</v>
      </c>
      <c r="P6042" t="str">
        <f t="shared" si="284"/>
        <v>Darius Jennings9</v>
      </c>
    </row>
    <row r="6043" spans="1:16" x14ac:dyDescent="0.25">
      <c r="A6043">
        <v>11</v>
      </c>
      <c r="B6043" t="s">
        <v>1115</v>
      </c>
      <c r="C6043" t="s">
        <v>3860</v>
      </c>
      <c r="D6043">
        <v>0.56000000000000005</v>
      </c>
      <c r="E6043" t="s">
        <v>66</v>
      </c>
      <c r="F6043" t="s">
        <v>87</v>
      </c>
      <c r="G6043">
        <v>1.08</v>
      </c>
      <c r="H6043">
        <v>0.04</v>
      </c>
      <c r="I6043">
        <v>0.52</v>
      </c>
      <c r="J6043">
        <v>0.27039999999999997</v>
      </c>
      <c r="K6043" t="str">
        <f>IFERROR(INDEX(Rosters!$C$2:$C$155,MATCH($B6043,Rosters!$B$2:$B$155,0)),"NA")</f>
        <v>NA</v>
      </c>
      <c r="L6043" t="str">
        <f t="shared" si="282"/>
        <v>NA11WR</v>
      </c>
      <c r="M6043">
        <f>COUNTIF(L$1:L6043,L6043)</f>
        <v>81</v>
      </c>
      <c r="N6043" t="str">
        <f t="shared" si="283"/>
        <v>NA11WR-81</v>
      </c>
      <c r="O6043">
        <f>COUNTIFS(F$1:F6043,F6043,A$1:A6043,A6043)</f>
        <v>128</v>
      </c>
      <c r="P6043" t="str">
        <f t="shared" si="284"/>
        <v>Darius Jennings11</v>
      </c>
    </row>
    <row r="6044" spans="1:16" x14ac:dyDescent="0.25">
      <c r="A6044">
        <v>16</v>
      </c>
      <c r="B6044" t="s">
        <v>361</v>
      </c>
      <c r="C6044">
        <f>-0.05-1.17</f>
        <v>-1.22</v>
      </c>
      <c r="D6044">
        <v>0.56000000000000005</v>
      </c>
      <c r="E6044" t="s">
        <v>28</v>
      </c>
      <c r="F6044" t="s">
        <v>87</v>
      </c>
      <c r="G6044">
        <v>1.17</v>
      </c>
      <c r="H6044">
        <v>-0.05</v>
      </c>
      <c r="I6044">
        <v>0.61</v>
      </c>
      <c r="J6044">
        <v>0.37209999999999999</v>
      </c>
      <c r="K6044" t="str">
        <f>IFERROR(INDEX(Rosters!$C$2:$C$155,MATCH($B6044,Rosters!$B$2:$B$155,0)),"NA")</f>
        <v>NA</v>
      </c>
      <c r="L6044" t="str">
        <f t="shared" si="282"/>
        <v>NA16WR</v>
      </c>
      <c r="M6044">
        <f>COUNTIF(L$1:L6044,L6044)</f>
        <v>99</v>
      </c>
      <c r="N6044" t="str">
        <f t="shared" si="283"/>
        <v>NA16WR-99</v>
      </c>
      <c r="O6044">
        <f>COUNTIFS(F$1:F6044,F6044,A$1:A6044,A6044)</f>
        <v>153</v>
      </c>
      <c r="P6044" t="str">
        <f t="shared" si="284"/>
        <v>De'Anthony Thomas16</v>
      </c>
    </row>
    <row r="6045" spans="1:16" x14ac:dyDescent="0.25">
      <c r="A6045">
        <v>11</v>
      </c>
      <c r="B6045" t="s">
        <v>2808</v>
      </c>
      <c r="C6045">
        <f>-0.05-1.17</f>
        <v>-1.22</v>
      </c>
      <c r="D6045">
        <v>0.56000000000000005</v>
      </c>
      <c r="E6045" t="s">
        <v>76</v>
      </c>
      <c r="F6045" t="s">
        <v>87</v>
      </c>
      <c r="G6045">
        <v>1.17</v>
      </c>
      <c r="H6045">
        <v>-0.05</v>
      </c>
      <c r="I6045">
        <v>0.61</v>
      </c>
      <c r="J6045">
        <v>0.37209999999999999</v>
      </c>
      <c r="K6045" t="str">
        <f>IFERROR(INDEX(Rosters!$C$2:$C$155,MATCH($B6045,Rosters!$B$2:$B$155,0)),"NA")</f>
        <v>NA</v>
      </c>
      <c r="L6045" t="str">
        <f t="shared" si="282"/>
        <v>NA11WR</v>
      </c>
      <c r="M6045">
        <f>COUNTIF(L$1:L6045,L6045)</f>
        <v>82</v>
      </c>
      <c r="N6045" t="str">
        <f t="shared" si="283"/>
        <v>NA11WR-82</v>
      </c>
      <c r="O6045">
        <f>COUNTIFS(F$1:F6045,F6045,A$1:A6045,A6045)</f>
        <v>129</v>
      </c>
      <c r="P6045" t="str">
        <f t="shared" si="284"/>
        <v>Eli Rogers11</v>
      </c>
    </row>
    <row r="6046" spans="1:16" x14ac:dyDescent="0.25">
      <c r="A6046">
        <v>17</v>
      </c>
      <c r="B6046" t="s">
        <v>2808</v>
      </c>
      <c r="C6046" t="s">
        <v>3859</v>
      </c>
      <c r="D6046">
        <v>0.56000000000000005</v>
      </c>
      <c r="E6046" t="s">
        <v>31</v>
      </c>
      <c r="F6046" t="s">
        <v>87</v>
      </c>
      <c r="G6046">
        <v>1.1100000000000001</v>
      </c>
      <c r="H6046">
        <v>0.01</v>
      </c>
      <c r="I6046">
        <v>0.55000000000000004</v>
      </c>
      <c r="J6046">
        <v>0.30249999999999999</v>
      </c>
      <c r="K6046" t="str">
        <f>IFERROR(INDEX(Rosters!$C$2:$C$155,MATCH($B6046,Rosters!$B$2:$B$155,0)),"NA")</f>
        <v>NA</v>
      </c>
      <c r="L6046" t="str">
        <f t="shared" si="282"/>
        <v>NA17WR</v>
      </c>
      <c r="M6046">
        <f>COUNTIF(L$1:L6046,L6046)</f>
        <v>103</v>
      </c>
      <c r="N6046" t="str">
        <f t="shared" si="283"/>
        <v>NA17WR-103</v>
      </c>
      <c r="O6046">
        <f>COUNTIFS(F$1:F6046,F6046,A$1:A6046,A6046)</f>
        <v>157</v>
      </c>
      <c r="P6046" t="str">
        <f t="shared" si="284"/>
        <v>Eli Rogers17</v>
      </c>
    </row>
    <row r="6047" spans="1:16" x14ac:dyDescent="0.25">
      <c r="A6047">
        <v>9</v>
      </c>
      <c r="B6047" t="s">
        <v>1132</v>
      </c>
      <c r="C6047">
        <f>-0.03-1.15</f>
        <v>-1.18</v>
      </c>
      <c r="D6047">
        <v>0.56000000000000005</v>
      </c>
      <c r="E6047" t="s">
        <v>28</v>
      </c>
      <c r="F6047" t="s">
        <v>87</v>
      </c>
      <c r="G6047">
        <v>1.1499999999999999</v>
      </c>
      <c r="H6047">
        <v>-0.03</v>
      </c>
      <c r="I6047">
        <v>0.59</v>
      </c>
      <c r="J6047">
        <v>0.34810000000000002</v>
      </c>
      <c r="K6047" t="str">
        <f>IFERROR(INDEX(Rosters!$C$2:$C$155,MATCH($B6047,Rosters!$B$2:$B$155,0)),"NA")</f>
        <v>NA</v>
      </c>
      <c r="L6047" t="str">
        <f t="shared" si="282"/>
        <v>NA9WR</v>
      </c>
      <c r="M6047">
        <f>COUNTIF(L$1:L6047,L6047)</f>
        <v>88</v>
      </c>
      <c r="N6047" t="str">
        <f t="shared" si="283"/>
        <v>NA9WR-88</v>
      </c>
      <c r="O6047">
        <f>COUNTIFS(F$1:F6047,F6047,A$1:A6047,A6047)</f>
        <v>132</v>
      </c>
      <c r="P6047" t="str">
        <f t="shared" si="284"/>
        <v>Geremy Davis9</v>
      </c>
    </row>
    <row r="6048" spans="1:16" x14ac:dyDescent="0.25">
      <c r="A6048">
        <v>9</v>
      </c>
      <c r="B6048" t="s">
        <v>4244</v>
      </c>
      <c r="C6048">
        <f>-0.09-1.21</f>
        <v>-1.3</v>
      </c>
      <c r="D6048">
        <v>0.56000000000000005</v>
      </c>
      <c r="E6048" t="s">
        <v>28</v>
      </c>
      <c r="F6048" t="s">
        <v>87</v>
      </c>
      <c r="G6048">
        <v>1.21</v>
      </c>
      <c r="H6048">
        <v>-0.09</v>
      </c>
      <c r="I6048">
        <v>0.65</v>
      </c>
      <c r="J6048">
        <v>0.42249999999999999</v>
      </c>
      <c r="K6048" t="str">
        <f>IFERROR(INDEX(Rosters!$C$2:$C$155,MATCH($B6048,Rosters!$B$2:$B$155,0)),"NA")</f>
        <v>NA</v>
      </c>
      <c r="L6048" t="str">
        <f t="shared" si="282"/>
        <v>NA9WR</v>
      </c>
      <c r="M6048">
        <f>COUNTIF(L$1:L6048,L6048)</f>
        <v>89</v>
      </c>
      <c r="N6048" t="str">
        <f t="shared" si="283"/>
        <v>NA9WR-89</v>
      </c>
      <c r="O6048">
        <f>COUNTIFS(F$1:F6048,F6048,A$1:A6048,A6048)</f>
        <v>133</v>
      </c>
      <c r="P6048" t="str">
        <f t="shared" si="284"/>
        <v>J.J. Jones9</v>
      </c>
    </row>
    <row r="6049" spans="1:16" x14ac:dyDescent="0.25">
      <c r="A6049">
        <v>11</v>
      </c>
      <c r="B6049" t="s">
        <v>4244</v>
      </c>
      <c r="C6049">
        <f>-0.1-1.22</f>
        <v>-1.32</v>
      </c>
      <c r="D6049">
        <v>0.56000000000000005</v>
      </c>
      <c r="E6049" t="s">
        <v>42</v>
      </c>
      <c r="F6049" t="s">
        <v>87</v>
      </c>
      <c r="G6049">
        <v>1.22</v>
      </c>
      <c r="H6049">
        <v>-0.1</v>
      </c>
      <c r="I6049">
        <v>0.66</v>
      </c>
      <c r="J6049">
        <v>0.43559999999999999</v>
      </c>
      <c r="K6049" t="str">
        <f>IFERROR(INDEX(Rosters!$C$2:$C$155,MATCH($B6049,Rosters!$B$2:$B$155,0)),"NA")</f>
        <v>NA</v>
      </c>
      <c r="L6049" t="str">
        <f t="shared" si="282"/>
        <v>NA11WR</v>
      </c>
      <c r="M6049">
        <f>COUNTIF(L$1:L6049,L6049)</f>
        <v>83</v>
      </c>
      <c r="N6049" t="str">
        <f t="shared" si="283"/>
        <v>NA11WR-83</v>
      </c>
      <c r="O6049">
        <f>COUNTIFS(F$1:F6049,F6049,A$1:A6049,A6049)</f>
        <v>130</v>
      </c>
      <c r="P6049" t="str">
        <f t="shared" si="284"/>
        <v>J.J. Jones11</v>
      </c>
    </row>
    <row r="6050" spans="1:16" x14ac:dyDescent="0.25">
      <c r="A6050">
        <v>12</v>
      </c>
      <c r="B6050" t="s">
        <v>4244</v>
      </c>
      <c r="C6050">
        <f>-0.01-1.13</f>
        <v>-1.1399999999999999</v>
      </c>
      <c r="D6050">
        <v>0.56000000000000005</v>
      </c>
      <c r="E6050" t="s">
        <v>58</v>
      </c>
      <c r="F6050" t="s">
        <v>87</v>
      </c>
      <c r="G6050">
        <v>1.1299999999999999</v>
      </c>
      <c r="H6050">
        <v>-0.01</v>
      </c>
      <c r="I6050">
        <v>0.56999999999999995</v>
      </c>
      <c r="J6050">
        <v>0.32490000000000002</v>
      </c>
      <c r="K6050" t="str">
        <f>IFERROR(INDEX(Rosters!$C$2:$C$155,MATCH($B6050,Rosters!$B$2:$B$155,0)),"NA")</f>
        <v>NA</v>
      </c>
      <c r="L6050" t="str">
        <f t="shared" si="282"/>
        <v>NA12WR</v>
      </c>
      <c r="M6050">
        <f>COUNTIF(L$1:L6050,L6050)</f>
        <v>96</v>
      </c>
      <c r="N6050" t="str">
        <f t="shared" si="283"/>
        <v>NA12WR-96</v>
      </c>
      <c r="O6050">
        <f>COUNTIFS(F$1:F6050,F6050,A$1:A6050,A6050)</f>
        <v>145</v>
      </c>
      <c r="P6050" t="str">
        <f t="shared" si="284"/>
        <v>J.J. Jones12</v>
      </c>
    </row>
    <row r="6051" spans="1:16" x14ac:dyDescent="0.25">
      <c r="A6051">
        <v>16</v>
      </c>
      <c r="B6051" t="s">
        <v>1548</v>
      </c>
      <c r="C6051">
        <f>-0.09-1.21</f>
        <v>-1.3</v>
      </c>
      <c r="D6051">
        <v>0.56000000000000005</v>
      </c>
      <c r="E6051" t="s">
        <v>38</v>
      </c>
      <c r="F6051" t="s">
        <v>114</v>
      </c>
      <c r="G6051">
        <v>1.21</v>
      </c>
      <c r="H6051">
        <v>-0.09</v>
      </c>
      <c r="I6051">
        <v>0.65</v>
      </c>
      <c r="J6051">
        <v>0.42249999999999999</v>
      </c>
      <c r="K6051" t="str">
        <f>IFERROR(INDEX(Rosters!$C$2:$C$155,MATCH($B6051,Rosters!$B$2:$B$155,0)),"NA")</f>
        <v>NA</v>
      </c>
      <c r="L6051" t="str">
        <f t="shared" si="282"/>
        <v>NA16TE</v>
      </c>
      <c r="M6051">
        <f>COUNTIF(L$1:L6051,L6051)</f>
        <v>65</v>
      </c>
      <c r="N6051" t="str">
        <f t="shared" si="283"/>
        <v>NA16TE-65</v>
      </c>
      <c r="O6051">
        <f>COUNTIFS(F$1:F6051,F6051,A$1:A6051,A6051)</f>
        <v>79</v>
      </c>
      <c r="P6051" t="str">
        <f t="shared" si="284"/>
        <v>Jeremy Sprinkle16</v>
      </c>
    </row>
    <row r="6052" spans="1:16" x14ac:dyDescent="0.25">
      <c r="A6052">
        <v>13</v>
      </c>
      <c r="B6052" t="s">
        <v>335</v>
      </c>
      <c r="C6052">
        <f>-0.01-1.13</f>
        <v>-1.1399999999999999</v>
      </c>
      <c r="D6052">
        <v>0.56000000000000005</v>
      </c>
      <c r="E6052" t="s">
        <v>31</v>
      </c>
      <c r="F6052" t="s">
        <v>87</v>
      </c>
      <c r="G6052">
        <v>1.1299999999999999</v>
      </c>
      <c r="H6052">
        <v>-0.01</v>
      </c>
      <c r="I6052">
        <v>0.56999999999999995</v>
      </c>
      <c r="J6052">
        <v>0.32490000000000002</v>
      </c>
      <c r="K6052" t="str">
        <f>IFERROR(INDEX(Rosters!$C$2:$C$155,MATCH($B6052,Rosters!$B$2:$B$155,0)),"NA")</f>
        <v>NA</v>
      </c>
      <c r="L6052" t="str">
        <f t="shared" si="282"/>
        <v>NA13WR</v>
      </c>
      <c r="M6052">
        <f>COUNTIF(L$1:L6052,L6052)</f>
        <v>100</v>
      </c>
      <c r="N6052" t="str">
        <f t="shared" si="283"/>
        <v>NA13WR-100</v>
      </c>
      <c r="O6052">
        <f>COUNTIFS(F$1:F6052,F6052,A$1:A6052,A6052)</f>
        <v>154</v>
      </c>
      <c r="P6052" t="str">
        <f t="shared" si="284"/>
        <v>Jordan Taylor13</v>
      </c>
    </row>
    <row r="6053" spans="1:16" x14ac:dyDescent="0.25">
      <c r="A6053">
        <v>3</v>
      </c>
      <c r="B6053" t="s">
        <v>359</v>
      </c>
      <c r="C6053" t="s">
        <v>1601</v>
      </c>
      <c r="D6053">
        <v>0.56000000000000005</v>
      </c>
      <c r="E6053" t="s">
        <v>58</v>
      </c>
      <c r="F6053" t="s">
        <v>87</v>
      </c>
      <c r="G6053">
        <v>1.1000000000000001</v>
      </c>
      <c r="H6053">
        <v>0.02</v>
      </c>
      <c r="I6053">
        <v>0.54</v>
      </c>
      <c r="J6053">
        <v>0.29160000000000003</v>
      </c>
      <c r="K6053" t="str">
        <f>IFERROR(INDEX(Rosters!$C$2:$C$155,MATCH($B6053,Rosters!$B$2:$B$155,0)),"NA")</f>
        <v>NA</v>
      </c>
      <c r="L6053" t="str">
        <f t="shared" si="282"/>
        <v>NA3WR</v>
      </c>
      <c r="M6053">
        <f>COUNTIF(L$1:L6053,L6053)</f>
        <v>80</v>
      </c>
      <c r="N6053" t="str">
        <f t="shared" si="283"/>
        <v>NA3WR-80</v>
      </c>
      <c r="O6053">
        <f>COUNTIFS(F$1:F6053,F6053,A$1:A6053,A6053)</f>
        <v>129</v>
      </c>
      <c r="P6053" t="str">
        <f t="shared" si="284"/>
        <v>Josh Bellamy3</v>
      </c>
    </row>
    <row r="6054" spans="1:16" x14ac:dyDescent="0.25">
      <c r="A6054">
        <v>1</v>
      </c>
      <c r="B6054" t="s">
        <v>1565</v>
      </c>
      <c r="C6054">
        <f>-0.23-1.35</f>
        <v>-1.58</v>
      </c>
      <c r="D6054">
        <v>0.56000000000000005</v>
      </c>
      <c r="E6054" t="s">
        <v>32</v>
      </c>
      <c r="F6054" t="s">
        <v>47</v>
      </c>
      <c r="G6054">
        <v>1.35</v>
      </c>
      <c r="H6054">
        <v>-0.23</v>
      </c>
      <c r="I6054">
        <v>0.79</v>
      </c>
      <c r="J6054">
        <v>0.62409999999999999</v>
      </c>
      <c r="K6054" t="str">
        <f>IFERROR(INDEX(Rosters!$C$2:$C$155,MATCH($B6054,Rosters!$B$2:$B$155,0)),"NA")</f>
        <v>NA</v>
      </c>
      <c r="L6054" t="str">
        <f t="shared" si="282"/>
        <v>NA1RB</v>
      </c>
      <c r="M6054">
        <f>COUNTIF(L$1:L6054,L6054)</f>
        <v>40</v>
      </c>
      <c r="N6054" t="str">
        <f t="shared" si="283"/>
        <v>NA1RB-40</v>
      </c>
      <c r="O6054">
        <f>COUNTIFS(F$1:F6054,F6054,A$1:A6054,A6054)</f>
        <v>83</v>
      </c>
      <c r="P6054" t="str">
        <f t="shared" si="284"/>
        <v>Justin Davis1</v>
      </c>
    </row>
    <row r="6055" spans="1:16" x14ac:dyDescent="0.25">
      <c r="A6055">
        <v>17</v>
      </c>
      <c r="B6055" t="s">
        <v>1622</v>
      </c>
      <c r="C6055">
        <f>-0.04-1.16</f>
        <v>-1.2</v>
      </c>
      <c r="D6055">
        <v>0.56000000000000005</v>
      </c>
      <c r="E6055" t="s">
        <v>56</v>
      </c>
      <c r="F6055" t="s">
        <v>87</v>
      </c>
      <c r="G6055">
        <v>1.1599999999999999</v>
      </c>
      <c r="H6055">
        <v>-0.04</v>
      </c>
      <c r="I6055">
        <v>0.6</v>
      </c>
      <c r="J6055">
        <v>0.36</v>
      </c>
      <c r="K6055" t="str">
        <f>IFERROR(INDEX(Rosters!$C$2:$C$155,MATCH($B6055,Rosters!$B$2:$B$155,0)),"NA")</f>
        <v>NA</v>
      </c>
      <c r="L6055" t="str">
        <f t="shared" si="282"/>
        <v>NA17WR</v>
      </c>
      <c r="M6055">
        <f>COUNTIF(L$1:L6055,L6055)</f>
        <v>104</v>
      </c>
      <c r="N6055" t="str">
        <f t="shared" si="283"/>
        <v>NA17WR-104</v>
      </c>
      <c r="O6055">
        <f>COUNTIFS(F$1:F6055,F6055,A$1:A6055,A6055)</f>
        <v>158</v>
      </c>
      <c r="P6055" t="str">
        <f t="shared" si="284"/>
        <v>Kendrick Bourne17</v>
      </c>
    </row>
    <row r="6056" spans="1:16" x14ac:dyDescent="0.25">
      <c r="A6056">
        <v>11</v>
      </c>
      <c r="B6056" t="s">
        <v>198</v>
      </c>
      <c r="C6056">
        <f>-0.05-1.17</f>
        <v>-1.22</v>
      </c>
      <c r="D6056">
        <v>0.56000000000000005</v>
      </c>
      <c r="E6056" t="s">
        <v>25</v>
      </c>
      <c r="F6056" t="s">
        <v>87</v>
      </c>
      <c r="G6056">
        <v>1.17</v>
      </c>
      <c r="H6056">
        <v>-0.05</v>
      </c>
      <c r="I6056">
        <v>0.61</v>
      </c>
      <c r="J6056">
        <v>0.37209999999999999</v>
      </c>
      <c r="K6056" t="str">
        <f>IFERROR(INDEX(Rosters!$C$2:$C$155,MATCH($B6056,Rosters!$B$2:$B$155,0)),"NA")</f>
        <v>NA</v>
      </c>
      <c r="L6056" t="str">
        <f t="shared" si="282"/>
        <v>NA11WR</v>
      </c>
      <c r="M6056">
        <f>COUNTIF(L$1:L6056,L6056)</f>
        <v>84</v>
      </c>
      <c r="N6056" t="str">
        <f t="shared" si="283"/>
        <v>NA11WR-84</v>
      </c>
      <c r="O6056">
        <f>COUNTIFS(F$1:F6056,F6056,A$1:A6056,A6056)</f>
        <v>131</v>
      </c>
      <c r="P6056" t="str">
        <f t="shared" si="284"/>
        <v>Kevin White11</v>
      </c>
    </row>
    <row r="6057" spans="1:16" x14ac:dyDescent="0.25">
      <c r="A6057">
        <v>5</v>
      </c>
      <c r="B6057" t="s">
        <v>1597</v>
      </c>
      <c r="C6057">
        <f>-0.07-1.19</f>
        <v>-1.26</v>
      </c>
      <c r="D6057">
        <v>0.56000000000000005</v>
      </c>
      <c r="E6057" t="s">
        <v>38</v>
      </c>
      <c r="F6057" t="s">
        <v>114</v>
      </c>
      <c r="G6057">
        <v>1.19</v>
      </c>
      <c r="H6057">
        <v>-7.0000000000000007E-2</v>
      </c>
      <c r="I6057">
        <v>0.63</v>
      </c>
      <c r="J6057">
        <v>0.39689999999999998</v>
      </c>
      <c r="K6057" t="str">
        <f>IFERROR(INDEX(Rosters!$C$2:$C$155,MATCH($B6057,Rosters!$B$2:$B$155,0)),"NA")</f>
        <v>NA</v>
      </c>
      <c r="L6057" t="str">
        <f t="shared" si="282"/>
        <v>NA5TE</v>
      </c>
      <c r="M6057">
        <f>COUNTIF(L$1:L6057,L6057)</f>
        <v>63</v>
      </c>
      <c r="N6057" t="str">
        <f t="shared" si="283"/>
        <v>NA5TE-63</v>
      </c>
      <c r="O6057">
        <f>COUNTIFS(F$1:F6057,F6057,A$1:A6057,A6057)</f>
        <v>74</v>
      </c>
      <c r="P6057" t="str">
        <f t="shared" si="284"/>
        <v>Khari Lee5</v>
      </c>
    </row>
    <row r="6058" spans="1:16" x14ac:dyDescent="0.25">
      <c r="A6058">
        <v>9</v>
      </c>
      <c r="B6058" t="s">
        <v>1125</v>
      </c>
      <c r="C6058" t="s">
        <v>3858</v>
      </c>
      <c r="D6058">
        <v>0.56000000000000005</v>
      </c>
      <c r="E6058" t="s">
        <v>60</v>
      </c>
      <c r="F6058" t="s">
        <v>114</v>
      </c>
      <c r="G6058">
        <v>1.0900000000000001</v>
      </c>
      <c r="H6058">
        <v>0.03</v>
      </c>
      <c r="I6058">
        <v>0.53</v>
      </c>
      <c r="J6058">
        <v>0.28089999999999998</v>
      </c>
      <c r="K6058" t="str">
        <f>IFERROR(INDEX(Rosters!$C$2:$C$155,MATCH($B6058,Rosters!$B$2:$B$155,0)),"NA")</f>
        <v>NA</v>
      </c>
      <c r="L6058" t="str">
        <f t="shared" si="282"/>
        <v>NA9TE</v>
      </c>
      <c r="M6058">
        <f>COUNTIF(L$1:L6058,L6058)</f>
        <v>52</v>
      </c>
      <c r="N6058" t="str">
        <f t="shared" si="283"/>
        <v>NA9TE-52</v>
      </c>
      <c r="O6058">
        <f>COUNTIFS(F$1:F6058,F6058,A$1:A6058,A6058)</f>
        <v>63</v>
      </c>
      <c r="P6058" t="str">
        <f t="shared" si="284"/>
        <v>Logan Paulsen9</v>
      </c>
    </row>
    <row r="6059" spans="1:16" x14ac:dyDescent="0.25">
      <c r="A6059">
        <v>12</v>
      </c>
      <c r="B6059" t="s">
        <v>1633</v>
      </c>
      <c r="C6059">
        <f>-0.11-1.23</f>
        <v>-1.34</v>
      </c>
      <c r="D6059">
        <v>0.56000000000000005</v>
      </c>
      <c r="E6059" t="s">
        <v>19</v>
      </c>
      <c r="F6059" t="s">
        <v>87</v>
      </c>
      <c r="G6059">
        <v>1.23</v>
      </c>
      <c r="H6059">
        <v>-0.11</v>
      </c>
      <c r="I6059">
        <v>0.67</v>
      </c>
      <c r="J6059">
        <v>0.44890000000000002</v>
      </c>
      <c r="K6059" t="str">
        <f>IFERROR(INDEX(Rosters!$C$2:$C$155,MATCH($B6059,Rosters!$B$2:$B$155,0)),"NA")</f>
        <v>NA</v>
      </c>
      <c r="L6059" t="str">
        <f t="shared" si="282"/>
        <v>NA12WR</v>
      </c>
      <c r="M6059">
        <f>COUNTIF(L$1:L6059,L6059)</f>
        <v>97</v>
      </c>
      <c r="N6059" t="str">
        <f t="shared" si="283"/>
        <v>NA12WR-97</v>
      </c>
      <c r="O6059">
        <f>COUNTIFS(F$1:F6059,F6059,A$1:A6059,A6059)</f>
        <v>146</v>
      </c>
      <c r="P6059" t="str">
        <f t="shared" si="284"/>
        <v>Marcus Johnson12</v>
      </c>
    </row>
    <row r="6060" spans="1:16" x14ac:dyDescent="0.25">
      <c r="A6060">
        <v>4</v>
      </c>
      <c r="B6060" t="s">
        <v>4238</v>
      </c>
      <c r="C6060">
        <f>-0.14-1.26</f>
        <v>-1.4</v>
      </c>
      <c r="D6060">
        <v>0.56000000000000005</v>
      </c>
      <c r="E6060" t="s">
        <v>42</v>
      </c>
      <c r="F6060" t="s">
        <v>87</v>
      </c>
      <c r="G6060">
        <v>1.26</v>
      </c>
      <c r="H6060">
        <v>-0.14000000000000001</v>
      </c>
      <c r="I6060">
        <v>0.7</v>
      </c>
      <c r="J6060">
        <v>0.49</v>
      </c>
      <c r="K6060" t="str">
        <f>IFERROR(INDEX(Rosters!$C$2:$C$155,MATCH($B6060,Rosters!$B$2:$B$155,0)),"NA")</f>
        <v>NA</v>
      </c>
      <c r="L6060" t="str">
        <f t="shared" si="282"/>
        <v>NA4WR</v>
      </c>
      <c r="M6060">
        <f>COUNTIF(L$1:L6060,L6060)</f>
        <v>75</v>
      </c>
      <c r="N6060" t="str">
        <f t="shared" si="283"/>
        <v>NA4WR-75</v>
      </c>
      <c r="O6060">
        <f>COUNTIFS(F$1:F6060,F6060,A$1:A6060,A6060)</f>
        <v>125</v>
      </c>
      <c r="P6060" t="str">
        <f t="shared" si="284"/>
        <v>Marcus Kemp4</v>
      </c>
    </row>
    <row r="6061" spans="1:16" x14ac:dyDescent="0.25">
      <c r="A6061">
        <v>7</v>
      </c>
      <c r="B6061" t="s">
        <v>4215</v>
      </c>
      <c r="C6061">
        <f>-0.06-1.18</f>
        <v>-1.24</v>
      </c>
      <c r="D6061">
        <v>0.56000000000000005</v>
      </c>
      <c r="E6061" t="s">
        <v>24</v>
      </c>
      <c r="F6061" t="s">
        <v>47</v>
      </c>
      <c r="G6061">
        <v>1.18</v>
      </c>
      <c r="H6061">
        <v>-0.06</v>
      </c>
      <c r="I6061">
        <v>0.62</v>
      </c>
      <c r="J6061">
        <v>0.38440000000000002</v>
      </c>
      <c r="K6061" t="str">
        <f>IFERROR(INDEX(Rosters!$C$2:$C$155,MATCH($B6061,Rosters!$B$2:$B$155,0)),"NA")</f>
        <v>NA</v>
      </c>
      <c r="L6061" t="str">
        <f t="shared" si="282"/>
        <v>NA7RB</v>
      </c>
      <c r="M6061">
        <f>COUNTIF(L$1:L6061,L6061)</f>
        <v>49</v>
      </c>
      <c r="N6061" t="str">
        <f t="shared" si="283"/>
        <v>NA7RB-49</v>
      </c>
      <c r="O6061">
        <f>COUNTIFS(F$1:F6061,F6061,A$1:A6061,A6061)</f>
        <v>90</v>
      </c>
      <c r="P6061" t="str">
        <f t="shared" si="284"/>
        <v>Mark Walton7</v>
      </c>
    </row>
    <row r="6062" spans="1:16" x14ac:dyDescent="0.25">
      <c r="A6062">
        <v>5</v>
      </c>
      <c r="B6062" t="s">
        <v>1594</v>
      </c>
      <c r="C6062">
        <f>-0.01-1.13</f>
        <v>-1.1399999999999999</v>
      </c>
      <c r="D6062">
        <v>0.56000000000000005</v>
      </c>
      <c r="E6062" t="s">
        <v>51</v>
      </c>
      <c r="F6062" t="s">
        <v>87</v>
      </c>
      <c r="G6062">
        <v>1.1299999999999999</v>
      </c>
      <c r="H6062">
        <v>-0.01</v>
      </c>
      <c r="I6062">
        <v>0.56999999999999995</v>
      </c>
      <c r="J6062">
        <v>0.32490000000000002</v>
      </c>
      <c r="K6062" t="str">
        <f>IFERROR(INDEX(Rosters!$C$2:$C$155,MATCH($B6062,Rosters!$B$2:$B$155,0)),"NA")</f>
        <v>NA</v>
      </c>
      <c r="L6062" t="str">
        <f t="shared" si="282"/>
        <v>NA5WR</v>
      </c>
      <c r="M6062">
        <f>COUNTIF(L$1:L6062,L6062)</f>
        <v>97</v>
      </c>
      <c r="N6062" t="str">
        <f t="shared" si="283"/>
        <v>NA5WR-97</v>
      </c>
      <c r="O6062">
        <f>COUNTIFS(F$1:F6062,F6062,A$1:A6062,A6062)</f>
        <v>147</v>
      </c>
      <c r="P6062" t="str">
        <f t="shared" si="284"/>
        <v>Marvin Hall5</v>
      </c>
    </row>
    <row r="6063" spans="1:16" x14ac:dyDescent="0.25">
      <c r="A6063">
        <v>12</v>
      </c>
      <c r="B6063" t="s">
        <v>345</v>
      </c>
      <c r="C6063">
        <f>-0.02-1.14</f>
        <v>-1.1599999999999999</v>
      </c>
      <c r="D6063">
        <v>0.56000000000000005</v>
      </c>
      <c r="E6063" t="s">
        <v>14</v>
      </c>
      <c r="F6063" t="s">
        <v>15</v>
      </c>
      <c r="G6063">
        <v>1.1399999999999999</v>
      </c>
      <c r="H6063">
        <v>-0.02</v>
      </c>
      <c r="I6063">
        <v>0.57999999999999996</v>
      </c>
      <c r="J6063">
        <v>0.33639999999999998</v>
      </c>
      <c r="K6063" t="str">
        <f>IFERROR(INDEX(Rosters!$C$2:$C$155,MATCH($B6063,Rosters!$B$2:$B$155,0)),"NA")</f>
        <v>NA</v>
      </c>
      <c r="L6063" t="str">
        <f t="shared" si="282"/>
        <v>NA12QB</v>
      </c>
      <c r="M6063">
        <f>COUNTIF(L$1:L6063,L6063)</f>
        <v>37</v>
      </c>
      <c r="N6063" t="str">
        <f t="shared" si="283"/>
        <v>NA12QB-37</v>
      </c>
      <c r="O6063">
        <f>COUNTIFS(F$1:F6063,F6063,A$1:A6063,A6063)</f>
        <v>52</v>
      </c>
      <c r="P6063" t="str">
        <f t="shared" si="284"/>
        <v>Matt Schaub12</v>
      </c>
    </row>
    <row r="6064" spans="1:16" x14ac:dyDescent="0.25">
      <c r="A6064">
        <v>13</v>
      </c>
      <c r="B6064" t="s">
        <v>1636</v>
      </c>
      <c r="C6064" t="s">
        <v>1602</v>
      </c>
      <c r="D6064">
        <v>0.56000000000000005</v>
      </c>
      <c r="E6064" t="s">
        <v>54</v>
      </c>
      <c r="F6064" t="s">
        <v>47</v>
      </c>
      <c r="G6064">
        <v>1.07</v>
      </c>
      <c r="H6064">
        <v>0.05</v>
      </c>
      <c r="I6064">
        <v>0.51</v>
      </c>
      <c r="J6064">
        <v>0.2601</v>
      </c>
      <c r="K6064" t="str">
        <f>IFERROR(INDEX(Rosters!$C$2:$C$155,MATCH($B6064,Rosters!$B$2:$B$155,0)),"NA")</f>
        <v>NA</v>
      </c>
      <c r="L6064" t="str">
        <f t="shared" si="282"/>
        <v>NA13RB</v>
      </c>
      <c r="M6064">
        <f>COUNTIF(L$1:L6064,L6064)</f>
        <v>63</v>
      </c>
      <c r="N6064" t="str">
        <f t="shared" si="283"/>
        <v>NA13RB-63</v>
      </c>
      <c r="O6064">
        <f>COUNTIFS(F$1:F6064,F6064,A$1:A6064,A6064)</f>
        <v>110</v>
      </c>
      <c r="P6064" t="str">
        <f t="shared" si="284"/>
        <v>Michael Burton13</v>
      </c>
    </row>
    <row r="6065" spans="1:16" x14ac:dyDescent="0.25">
      <c r="A6065">
        <v>10</v>
      </c>
      <c r="B6065" t="s">
        <v>1584</v>
      </c>
      <c r="C6065">
        <f>-0.04-1.16</f>
        <v>-1.2</v>
      </c>
      <c r="D6065">
        <v>0.56000000000000005</v>
      </c>
      <c r="E6065" t="s">
        <v>423</v>
      </c>
      <c r="F6065" t="s">
        <v>114</v>
      </c>
      <c r="G6065">
        <v>1.1599999999999999</v>
      </c>
      <c r="H6065">
        <v>-0.04</v>
      </c>
      <c r="I6065">
        <v>0.6</v>
      </c>
      <c r="J6065">
        <v>0.36</v>
      </c>
      <c r="K6065" t="str">
        <f>IFERROR(INDEX(Rosters!$C$2:$C$155,MATCH($B6065,Rosters!$B$2:$B$155,0)),"NA")</f>
        <v>NA</v>
      </c>
      <c r="L6065" t="str">
        <f t="shared" si="282"/>
        <v>NA10TE</v>
      </c>
      <c r="M6065">
        <f>COUNTIF(L$1:L6065,L6065)</f>
        <v>59</v>
      </c>
      <c r="N6065" t="str">
        <f t="shared" si="283"/>
        <v>NA10TE-59</v>
      </c>
      <c r="O6065">
        <f>COUNTIFS(F$1:F6065,F6065,A$1:A6065,A6065)</f>
        <v>72</v>
      </c>
      <c r="P6065" t="str">
        <f t="shared" si="284"/>
        <v>MyCole Pruitt10</v>
      </c>
    </row>
    <row r="6066" spans="1:16" x14ac:dyDescent="0.25">
      <c r="A6066">
        <v>2</v>
      </c>
      <c r="B6066" t="s">
        <v>1130</v>
      </c>
      <c r="C6066">
        <f>-0.03-1.15</f>
        <v>-1.18</v>
      </c>
      <c r="D6066">
        <v>0.56000000000000005</v>
      </c>
      <c r="E6066" t="s">
        <v>19</v>
      </c>
      <c r="F6066" t="s">
        <v>114</v>
      </c>
      <c r="G6066">
        <v>1.1499999999999999</v>
      </c>
      <c r="H6066">
        <v>-0.03</v>
      </c>
      <c r="I6066">
        <v>0.59</v>
      </c>
      <c r="J6066">
        <v>0.34810000000000002</v>
      </c>
      <c r="K6066" t="str">
        <f>IFERROR(INDEX(Rosters!$C$2:$C$155,MATCH($B6066,Rosters!$B$2:$B$155,0)),"NA")</f>
        <v>NA</v>
      </c>
      <c r="L6066" t="str">
        <f t="shared" si="282"/>
        <v>NA2TE</v>
      </c>
      <c r="M6066">
        <f>COUNTIF(L$1:L6066,L6066)</f>
        <v>58</v>
      </c>
      <c r="N6066" t="str">
        <f t="shared" si="283"/>
        <v>NA2TE-58</v>
      </c>
      <c r="O6066">
        <f>COUNTIFS(F$1:F6066,F6066,A$1:A6066,A6066)</f>
        <v>71</v>
      </c>
      <c r="P6066" t="str">
        <f t="shared" si="284"/>
        <v>Neal Sterling2</v>
      </c>
    </row>
    <row r="6067" spans="1:16" x14ac:dyDescent="0.25">
      <c r="A6067">
        <v>5</v>
      </c>
      <c r="B6067" t="s">
        <v>1623</v>
      </c>
      <c r="C6067">
        <f>-0.17-1.29</f>
        <v>-1.46</v>
      </c>
      <c r="D6067">
        <v>0.56000000000000005</v>
      </c>
      <c r="E6067" t="s">
        <v>36</v>
      </c>
      <c r="F6067" t="s">
        <v>87</v>
      </c>
      <c r="G6067">
        <v>1.29</v>
      </c>
      <c r="H6067">
        <v>-0.17</v>
      </c>
      <c r="I6067">
        <v>0.73</v>
      </c>
      <c r="J6067">
        <v>0.53290000000000004</v>
      </c>
      <c r="K6067" t="str">
        <f>IFERROR(INDEX(Rosters!$C$2:$C$155,MATCH($B6067,Rosters!$B$2:$B$155,0)),"NA")</f>
        <v>NA</v>
      </c>
      <c r="L6067" t="str">
        <f t="shared" si="282"/>
        <v>NA5WR</v>
      </c>
      <c r="M6067">
        <f>COUNTIF(L$1:L6067,L6067)</f>
        <v>98</v>
      </c>
      <c r="N6067" t="str">
        <f t="shared" si="283"/>
        <v>NA5WR-98</v>
      </c>
      <c r="O6067">
        <f>COUNTIFS(F$1:F6067,F6067,A$1:A6067,A6067)</f>
        <v>148</v>
      </c>
      <c r="P6067" t="str">
        <f t="shared" si="284"/>
        <v>Noah Brown5</v>
      </c>
    </row>
    <row r="6068" spans="1:16" x14ac:dyDescent="0.25">
      <c r="A6068">
        <v>10</v>
      </c>
      <c r="B6068" t="s">
        <v>1623</v>
      </c>
      <c r="C6068">
        <f>-0.08-1.2</f>
        <v>-1.28</v>
      </c>
      <c r="D6068">
        <v>0.56000000000000005</v>
      </c>
      <c r="E6068" t="s">
        <v>50</v>
      </c>
      <c r="F6068" t="s">
        <v>87</v>
      </c>
      <c r="G6068">
        <v>1.2</v>
      </c>
      <c r="H6068">
        <v>-0.08</v>
      </c>
      <c r="I6068">
        <v>0.64</v>
      </c>
      <c r="J6068">
        <v>0.40960000000000002</v>
      </c>
      <c r="K6068" t="str">
        <f>IFERROR(INDEX(Rosters!$C$2:$C$155,MATCH($B6068,Rosters!$B$2:$B$155,0)),"NA")</f>
        <v>NA</v>
      </c>
      <c r="L6068" t="str">
        <f t="shared" si="282"/>
        <v>NA10WR</v>
      </c>
      <c r="M6068">
        <f>COUNTIF(L$1:L6068,L6068)</f>
        <v>93</v>
      </c>
      <c r="N6068" t="str">
        <f t="shared" si="283"/>
        <v>NA10WR-93</v>
      </c>
      <c r="O6068">
        <f>COUNTIFS(F$1:F6068,F6068,A$1:A6068,A6068)</f>
        <v>138</v>
      </c>
      <c r="P6068" t="str">
        <f t="shared" si="284"/>
        <v>Noah Brown10</v>
      </c>
    </row>
    <row r="6069" spans="1:16" x14ac:dyDescent="0.25">
      <c r="A6069">
        <v>11</v>
      </c>
      <c r="B6069" t="s">
        <v>1623</v>
      </c>
      <c r="C6069">
        <f>-0.17-1.29</f>
        <v>-1.46</v>
      </c>
      <c r="D6069">
        <v>0.56000000000000005</v>
      </c>
      <c r="E6069" t="s">
        <v>46</v>
      </c>
      <c r="F6069" t="s">
        <v>87</v>
      </c>
      <c r="G6069">
        <v>1.29</v>
      </c>
      <c r="H6069">
        <v>-0.17</v>
      </c>
      <c r="I6069">
        <v>0.73</v>
      </c>
      <c r="J6069">
        <v>0.53290000000000004</v>
      </c>
      <c r="K6069" t="str">
        <f>IFERROR(INDEX(Rosters!$C$2:$C$155,MATCH($B6069,Rosters!$B$2:$B$155,0)),"NA")</f>
        <v>NA</v>
      </c>
      <c r="L6069" t="str">
        <f t="shared" si="282"/>
        <v>NA11WR</v>
      </c>
      <c r="M6069">
        <f>COUNTIF(L$1:L6069,L6069)</f>
        <v>85</v>
      </c>
      <c r="N6069" t="str">
        <f t="shared" si="283"/>
        <v>NA11WR-85</v>
      </c>
      <c r="O6069">
        <f>COUNTIFS(F$1:F6069,F6069,A$1:A6069,A6069)</f>
        <v>132</v>
      </c>
      <c r="P6069" t="str">
        <f t="shared" si="284"/>
        <v>Noah Brown11</v>
      </c>
    </row>
    <row r="6070" spans="1:16" x14ac:dyDescent="0.25">
      <c r="A6070">
        <v>17</v>
      </c>
      <c r="B6070" t="s">
        <v>4701</v>
      </c>
      <c r="C6070">
        <f>-0.07-1.19</f>
        <v>-1.26</v>
      </c>
      <c r="D6070">
        <v>0.56000000000000005</v>
      </c>
      <c r="E6070" t="s">
        <v>19</v>
      </c>
      <c r="F6070" t="s">
        <v>87</v>
      </c>
      <c r="G6070">
        <v>1.19</v>
      </c>
      <c r="H6070">
        <v>-7.0000000000000007E-2</v>
      </c>
      <c r="I6070">
        <v>0.63</v>
      </c>
      <c r="J6070">
        <v>0.39689999999999998</v>
      </c>
      <c r="K6070" t="str">
        <f>IFERROR(INDEX(Rosters!$C$2:$C$155,MATCH($B6070,Rosters!$B$2:$B$155,0)),"NA")</f>
        <v>NA</v>
      </c>
      <c r="L6070" t="str">
        <f t="shared" si="282"/>
        <v>NA17WR</v>
      </c>
      <c r="M6070">
        <f>COUNTIF(L$1:L6070,L6070)</f>
        <v>105</v>
      </c>
      <c r="N6070" t="str">
        <f t="shared" si="283"/>
        <v>NA17WR-105</v>
      </c>
      <c r="O6070">
        <f>COUNTIFS(F$1:F6070,F6070,A$1:A6070,A6070)</f>
        <v>159</v>
      </c>
      <c r="P6070" t="str">
        <f t="shared" si="284"/>
        <v>Ray-Ray McCloud17</v>
      </c>
    </row>
    <row r="6071" spans="1:16" x14ac:dyDescent="0.25">
      <c r="A6071">
        <v>4</v>
      </c>
      <c r="B6071" t="s">
        <v>1123</v>
      </c>
      <c r="C6071" t="s">
        <v>3857</v>
      </c>
      <c r="D6071">
        <v>0.56000000000000005</v>
      </c>
      <c r="E6071" t="s">
        <v>36</v>
      </c>
      <c r="F6071" t="s">
        <v>47</v>
      </c>
      <c r="G6071">
        <v>1.06</v>
      </c>
      <c r="H6071">
        <v>0.06</v>
      </c>
      <c r="I6071">
        <v>0.5</v>
      </c>
      <c r="J6071">
        <v>0.25</v>
      </c>
      <c r="K6071" t="str">
        <f>IFERROR(INDEX(Rosters!$C$2:$C$155,MATCH($B6071,Rosters!$B$2:$B$155,0)),"NA")</f>
        <v>NA</v>
      </c>
      <c r="L6071" t="str">
        <f t="shared" si="282"/>
        <v>NA4RB</v>
      </c>
      <c r="M6071">
        <f>COUNTIF(L$1:L6071,L6071)</f>
        <v>49</v>
      </c>
      <c r="N6071" t="str">
        <f t="shared" si="283"/>
        <v>NA4RB-49</v>
      </c>
      <c r="O6071">
        <f>COUNTIFS(F$1:F6071,F6071,A$1:A6071,A6071)</f>
        <v>88</v>
      </c>
      <c r="P6071" t="str">
        <f t="shared" si="284"/>
        <v>Robert Turbin4</v>
      </c>
    </row>
    <row r="6072" spans="1:16" x14ac:dyDescent="0.25">
      <c r="A6072">
        <v>6</v>
      </c>
      <c r="B6072" t="s">
        <v>164</v>
      </c>
      <c r="C6072">
        <f>-0.01-1.13</f>
        <v>-1.1399999999999999</v>
      </c>
      <c r="D6072">
        <v>0.56000000000000005</v>
      </c>
      <c r="E6072" t="s">
        <v>74</v>
      </c>
      <c r="F6072" t="s">
        <v>47</v>
      </c>
      <c r="G6072">
        <v>1.1299999999999999</v>
      </c>
      <c r="H6072">
        <v>-0.01</v>
      </c>
      <c r="I6072">
        <v>0.56999999999999995</v>
      </c>
      <c r="J6072">
        <v>0.32490000000000002</v>
      </c>
      <c r="K6072" t="str">
        <f>IFERROR(INDEX(Rosters!$C$2:$C$155,MATCH($B6072,Rosters!$B$2:$B$155,0)),"NA")</f>
        <v>NA</v>
      </c>
      <c r="L6072" t="str">
        <f t="shared" si="282"/>
        <v>NA6RB</v>
      </c>
      <c r="M6072">
        <f>COUNTIF(L$1:L6072,L6072)</f>
        <v>54</v>
      </c>
      <c r="N6072" t="str">
        <f t="shared" si="283"/>
        <v>NA6RB-54</v>
      </c>
      <c r="O6072">
        <f>COUNTIFS(F$1:F6072,F6072,A$1:A6072,A6072)</f>
        <v>96</v>
      </c>
      <c r="P6072" t="str">
        <f t="shared" si="284"/>
        <v>Samaje Perine6</v>
      </c>
    </row>
    <row r="6073" spans="1:16" x14ac:dyDescent="0.25">
      <c r="A6073">
        <v>13</v>
      </c>
      <c r="B6073" t="s">
        <v>745</v>
      </c>
      <c r="C6073">
        <f>-0.08-1.2</f>
        <v>-1.28</v>
      </c>
      <c r="D6073">
        <v>0.56000000000000005</v>
      </c>
      <c r="E6073" t="s">
        <v>22</v>
      </c>
      <c r="F6073" t="s">
        <v>15</v>
      </c>
      <c r="G6073">
        <v>1.2</v>
      </c>
      <c r="H6073">
        <v>-0.08</v>
      </c>
      <c r="I6073">
        <v>0.64</v>
      </c>
      <c r="J6073">
        <v>0.40960000000000002</v>
      </c>
      <c r="K6073" t="str">
        <f>IFERROR(INDEX(Rosters!$C$2:$C$155,MATCH($B6073,Rosters!$B$2:$B$155,0)),"NA")</f>
        <v>NA</v>
      </c>
      <c r="L6073" t="str">
        <f t="shared" si="282"/>
        <v>NA13QB</v>
      </c>
      <c r="M6073">
        <f>COUNTIF(L$1:L6073,L6073)</f>
        <v>39</v>
      </c>
      <c r="N6073" t="str">
        <f t="shared" si="283"/>
        <v>NA13QB-39</v>
      </c>
      <c r="O6073">
        <f>COUNTIFS(F$1:F6073,F6073,A$1:A6073,A6073)</f>
        <v>56</v>
      </c>
      <c r="P6073" t="str">
        <f t="shared" si="284"/>
        <v>Teddy Bridgewater13</v>
      </c>
    </row>
    <row r="6074" spans="1:16" x14ac:dyDescent="0.25">
      <c r="A6074">
        <v>8</v>
      </c>
      <c r="B6074" t="s">
        <v>2792</v>
      </c>
      <c r="C6074" t="s">
        <v>1602</v>
      </c>
      <c r="D6074">
        <v>0.56000000000000005</v>
      </c>
      <c r="E6074" t="s">
        <v>17</v>
      </c>
      <c r="F6074" t="s">
        <v>47</v>
      </c>
      <c r="G6074">
        <v>1.07</v>
      </c>
      <c r="H6074">
        <v>0.05</v>
      </c>
      <c r="I6074">
        <v>0.51</v>
      </c>
      <c r="J6074">
        <v>0.2601</v>
      </c>
      <c r="K6074" t="str">
        <f>IFERROR(INDEX(Rosters!$C$2:$C$155,MATCH($B6074,Rosters!$B$2:$B$155,0)),"NA")</f>
        <v>NA</v>
      </c>
      <c r="L6074" t="str">
        <f t="shared" si="282"/>
        <v>NA8RB</v>
      </c>
      <c r="M6074">
        <f>COUNTIF(L$1:L6074,L6074)</f>
        <v>55</v>
      </c>
      <c r="N6074" t="str">
        <f t="shared" si="283"/>
        <v>NA8RB-55</v>
      </c>
      <c r="O6074">
        <f>COUNTIFS(F$1:F6074,F6074,A$1:A6074,A6074)</f>
        <v>95</v>
      </c>
      <c r="P6074" t="str">
        <f t="shared" si="284"/>
        <v>Thomas Rawls8</v>
      </c>
    </row>
    <row r="6075" spans="1:16" x14ac:dyDescent="0.25">
      <c r="A6075">
        <v>13</v>
      </c>
      <c r="B6075" t="s">
        <v>4243</v>
      </c>
      <c r="C6075">
        <f>-0.04-1.16</f>
        <v>-1.2</v>
      </c>
      <c r="D6075">
        <v>0.56000000000000005</v>
      </c>
      <c r="E6075" t="s">
        <v>50</v>
      </c>
      <c r="F6075" t="s">
        <v>87</v>
      </c>
      <c r="G6075">
        <v>1.1599999999999999</v>
      </c>
      <c r="H6075">
        <v>-0.04</v>
      </c>
      <c r="I6075">
        <v>0.6</v>
      </c>
      <c r="J6075">
        <v>0.36</v>
      </c>
      <c r="K6075" t="str">
        <f>IFERROR(INDEX(Rosters!$C$2:$C$155,MATCH($B6075,Rosters!$B$2:$B$155,0)),"NA")</f>
        <v>NA</v>
      </c>
      <c r="L6075" t="str">
        <f t="shared" si="282"/>
        <v>NA13WR</v>
      </c>
      <c r="M6075">
        <f>COUNTIF(L$1:L6075,L6075)</f>
        <v>101</v>
      </c>
      <c r="N6075" t="str">
        <f t="shared" si="283"/>
        <v>NA13WR-101</v>
      </c>
      <c r="O6075">
        <f>COUNTIFS(F$1:F6075,F6075,A$1:A6075,A6075)</f>
        <v>155</v>
      </c>
      <c r="P6075" t="str">
        <f t="shared" si="284"/>
        <v>Trey Quinn13</v>
      </c>
    </row>
    <row r="6076" spans="1:16" x14ac:dyDescent="0.25">
      <c r="A6076">
        <v>9</v>
      </c>
      <c r="B6076" t="s">
        <v>1566</v>
      </c>
      <c r="C6076">
        <f>-0.15-1.27</f>
        <v>-1.42</v>
      </c>
      <c r="D6076">
        <v>0.56000000000000005</v>
      </c>
      <c r="E6076" t="s">
        <v>32</v>
      </c>
      <c r="F6076" t="s">
        <v>87</v>
      </c>
      <c r="G6076">
        <v>1.27</v>
      </c>
      <c r="H6076">
        <v>-0.15</v>
      </c>
      <c r="I6076">
        <v>0.71</v>
      </c>
      <c r="J6076">
        <v>0.50409999999999999</v>
      </c>
      <c r="K6076" t="str">
        <f>IFERROR(INDEX(Rosters!$C$2:$C$155,MATCH($B6076,Rosters!$B$2:$B$155,0)),"NA")</f>
        <v>NA</v>
      </c>
      <c r="L6076" t="str">
        <f t="shared" si="282"/>
        <v>NA9WR</v>
      </c>
      <c r="M6076">
        <f>COUNTIF(L$1:L6076,L6076)</f>
        <v>90</v>
      </c>
      <c r="N6076" t="str">
        <f t="shared" si="283"/>
        <v>NA9WR-90</v>
      </c>
      <c r="O6076">
        <f>COUNTIFS(F$1:F6076,F6076,A$1:A6076,A6076)</f>
        <v>134</v>
      </c>
      <c r="P6076" t="str">
        <f t="shared" si="284"/>
        <v>Victor Bolden Jr.9</v>
      </c>
    </row>
    <row r="6077" spans="1:16" x14ac:dyDescent="0.25">
      <c r="A6077">
        <v>15</v>
      </c>
      <c r="B6077" t="s">
        <v>1566</v>
      </c>
      <c r="C6077" t="s">
        <v>3857</v>
      </c>
      <c r="D6077">
        <v>0.56000000000000005</v>
      </c>
      <c r="E6077" t="s">
        <v>28</v>
      </c>
      <c r="F6077" t="s">
        <v>87</v>
      </c>
      <c r="G6077">
        <v>1.06</v>
      </c>
      <c r="H6077">
        <v>0.06</v>
      </c>
      <c r="I6077">
        <v>0.5</v>
      </c>
      <c r="J6077">
        <v>0.25</v>
      </c>
      <c r="K6077" t="str">
        <f>IFERROR(INDEX(Rosters!$C$2:$C$155,MATCH($B6077,Rosters!$B$2:$B$155,0)),"NA")</f>
        <v>NA</v>
      </c>
      <c r="L6077" t="str">
        <f t="shared" si="282"/>
        <v>NA15WR</v>
      </c>
      <c r="M6077">
        <f>COUNTIF(L$1:L6077,L6077)</f>
        <v>100</v>
      </c>
      <c r="N6077" t="str">
        <f t="shared" si="283"/>
        <v>NA15WR-100</v>
      </c>
      <c r="O6077">
        <f>COUNTIFS(F$1:F6077,F6077,A$1:A6077,A6077)</f>
        <v>154</v>
      </c>
      <c r="P6077" t="str">
        <f t="shared" si="284"/>
        <v>Victor Bolden Jr.15</v>
      </c>
    </row>
    <row r="6078" spans="1:16" x14ac:dyDescent="0.25">
      <c r="A6078">
        <v>4</v>
      </c>
      <c r="B6078" t="s">
        <v>4240</v>
      </c>
      <c r="C6078">
        <f>-0.09-1.21</f>
        <v>-1.3</v>
      </c>
      <c r="D6078">
        <v>0.56000000000000005</v>
      </c>
      <c r="E6078" t="s">
        <v>36</v>
      </c>
      <c r="F6078" t="s">
        <v>87</v>
      </c>
      <c r="G6078">
        <v>1.21</v>
      </c>
      <c r="H6078">
        <v>-0.09</v>
      </c>
      <c r="I6078">
        <v>0.65</v>
      </c>
      <c r="J6078">
        <v>0.42249999999999999</v>
      </c>
      <c r="K6078" t="str">
        <f>IFERROR(INDEX(Rosters!$C$2:$C$155,MATCH($B6078,Rosters!$B$2:$B$155,0)),"NA")</f>
        <v>NA</v>
      </c>
      <c r="L6078" t="str">
        <f t="shared" si="282"/>
        <v>NA4WR</v>
      </c>
      <c r="M6078">
        <f>COUNTIF(L$1:L6078,L6078)</f>
        <v>76</v>
      </c>
      <c r="N6078" t="str">
        <f t="shared" si="283"/>
        <v>NA4WR-76</v>
      </c>
      <c r="O6078">
        <f>COUNTIFS(F$1:F6078,F6078,A$1:A6078,A6078)</f>
        <v>126</v>
      </c>
      <c r="P6078" t="str">
        <f t="shared" si="284"/>
        <v>Zach Pascal4</v>
      </c>
    </row>
    <row r="6079" spans="1:16" x14ac:dyDescent="0.25">
      <c r="A6079">
        <v>14</v>
      </c>
      <c r="B6079" t="s">
        <v>4240</v>
      </c>
      <c r="C6079">
        <f>-0.17-1.29</f>
        <v>-1.46</v>
      </c>
      <c r="D6079">
        <v>0.56000000000000005</v>
      </c>
      <c r="E6079" t="s">
        <v>36</v>
      </c>
      <c r="F6079" t="s">
        <v>87</v>
      </c>
      <c r="G6079">
        <v>1.29</v>
      </c>
      <c r="H6079">
        <v>-0.17</v>
      </c>
      <c r="I6079">
        <v>0.73</v>
      </c>
      <c r="J6079">
        <v>0.53290000000000004</v>
      </c>
      <c r="K6079" t="str">
        <f>IFERROR(INDEX(Rosters!$C$2:$C$155,MATCH($B6079,Rosters!$B$2:$B$155,0)),"NA")</f>
        <v>NA</v>
      </c>
      <c r="L6079" t="str">
        <f t="shared" si="282"/>
        <v>NA14WR</v>
      </c>
      <c r="M6079">
        <f>COUNTIF(L$1:L6079,L6079)</f>
        <v>104</v>
      </c>
      <c r="N6079" t="str">
        <f t="shared" si="283"/>
        <v>NA14WR-104</v>
      </c>
      <c r="O6079">
        <f>COUNTIFS(F$1:F6079,F6079,A$1:A6079,A6079)</f>
        <v>158</v>
      </c>
      <c r="P6079" t="str">
        <f t="shared" si="284"/>
        <v>Zach Pascal14</v>
      </c>
    </row>
    <row r="6080" spans="1:16" x14ac:dyDescent="0.25">
      <c r="A6080">
        <v>11</v>
      </c>
      <c r="B6080" t="s">
        <v>324</v>
      </c>
      <c r="C6080" t="s">
        <v>3863</v>
      </c>
      <c r="D6080">
        <v>0.55000000000000004</v>
      </c>
      <c r="E6080" t="s">
        <v>58</v>
      </c>
      <c r="F6080" t="s">
        <v>15</v>
      </c>
      <c r="G6080">
        <v>1.05</v>
      </c>
      <c r="H6080">
        <v>0.05</v>
      </c>
      <c r="I6080">
        <v>0.5</v>
      </c>
      <c r="J6080">
        <v>0.25</v>
      </c>
      <c r="K6080" t="str">
        <f>IFERROR(INDEX(Rosters!$C$2:$C$155,MATCH($B6080,Rosters!$B$2:$B$155,0)),"NA")</f>
        <v>NA</v>
      </c>
      <c r="L6080" t="str">
        <f t="shared" si="282"/>
        <v>NA11QB</v>
      </c>
      <c r="M6080">
        <f>COUNTIF(L$1:L6080,L6080)</f>
        <v>31</v>
      </c>
      <c r="N6080" t="str">
        <f t="shared" si="283"/>
        <v>NA11QB-31</v>
      </c>
      <c r="O6080">
        <f>COUNTIFS(F$1:F6080,F6080,A$1:A6080,A6080)</f>
        <v>46</v>
      </c>
      <c r="P6080" t="str">
        <f t="shared" si="284"/>
        <v>A.J. McCarron11</v>
      </c>
    </row>
    <row r="6081" spans="1:16" x14ac:dyDescent="0.25">
      <c r="A6081">
        <v>10</v>
      </c>
      <c r="B6081" t="s">
        <v>1488</v>
      </c>
      <c r="C6081">
        <f>-0.01-1.11</f>
        <v>-1.1200000000000001</v>
      </c>
      <c r="D6081">
        <v>0.55000000000000004</v>
      </c>
      <c r="E6081" t="s">
        <v>34</v>
      </c>
      <c r="F6081" t="s">
        <v>114</v>
      </c>
      <c r="G6081">
        <v>1.1100000000000001</v>
      </c>
      <c r="H6081">
        <v>-0.01</v>
      </c>
      <c r="I6081">
        <v>0.56000000000000005</v>
      </c>
      <c r="J6081">
        <v>0.31359999999999999</v>
      </c>
      <c r="K6081" t="str">
        <f>IFERROR(INDEX(Rosters!$C$2:$C$155,MATCH($B6081,Rosters!$B$2:$B$155,0)),"NA")</f>
        <v>NA</v>
      </c>
      <c r="L6081" t="str">
        <f t="shared" si="282"/>
        <v>NA10TE</v>
      </c>
      <c r="M6081">
        <f>COUNTIF(L$1:L6081,L6081)</f>
        <v>60</v>
      </c>
      <c r="N6081" t="str">
        <f t="shared" si="283"/>
        <v>NA10TE-60</v>
      </c>
      <c r="O6081">
        <f>COUNTIFS(F$1:F6081,F6081,A$1:A6081,A6081)</f>
        <v>73</v>
      </c>
      <c r="P6081" t="str">
        <f t="shared" si="284"/>
        <v>Adam Shaheen10</v>
      </c>
    </row>
    <row r="6082" spans="1:16" x14ac:dyDescent="0.25">
      <c r="A6082">
        <v>16</v>
      </c>
      <c r="B6082" t="s">
        <v>1488</v>
      </c>
      <c r="C6082">
        <f>-0.07-1.17</f>
        <v>-1.24</v>
      </c>
      <c r="D6082">
        <v>0.55000000000000004</v>
      </c>
      <c r="E6082" t="s">
        <v>30</v>
      </c>
      <c r="F6082" t="s">
        <v>114</v>
      </c>
      <c r="G6082">
        <v>1.17</v>
      </c>
      <c r="H6082">
        <v>-7.0000000000000007E-2</v>
      </c>
      <c r="I6082">
        <v>0.62</v>
      </c>
      <c r="J6082">
        <v>0.38440000000000002</v>
      </c>
      <c r="K6082" t="str">
        <f>IFERROR(INDEX(Rosters!$C$2:$C$155,MATCH($B6082,Rosters!$B$2:$B$155,0)),"NA")</f>
        <v>NA</v>
      </c>
      <c r="L6082" t="str">
        <f t="shared" si="282"/>
        <v>NA16TE</v>
      </c>
      <c r="M6082">
        <f>COUNTIF(L$1:L6082,L6082)</f>
        <v>66</v>
      </c>
      <c r="N6082" t="str">
        <f t="shared" si="283"/>
        <v>NA16TE-66</v>
      </c>
      <c r="O6082">
        <f>COUNTIFS(F$1:F6082,F6082,A$1:A6082,A6082)</f>
        <v>80</v>
      </c>
      <c r="P6082" t="str">
        <f t="shared" si="284"/>
        <v>Adam Shaheen16</v>
      </c>
    </row>
    <row r="6083" spans="1:16" x14ac:dyDescent="0.25">
      <c r="A6083">
        <v>3</v>
      </c>
      <c r="B6083" t="s">
        <v>1614</v>
      </c>
      <c r="C6083" t="s">
        <v>3861</v>
      </c>
      <c r="D6083">
        <v>0.55000000000000004</v>
      </c>
      <c r="E6083" t="s">
        <v>30</v>
      </c>
      <c r="F6083" t="s">
        <v>114</v>
      </c>
      <c r="G6083">
        <v>1.04</v>
      </c>
      <c r="H6083">
        <v>0.06</v>
      </c>
      <c r="I6083">
        <v>0.49</v>
      </c>
      <c r="J6083">
        <v>0.24010000000000001</v>
      </c>
      <c r="K6083" t="str">
        <f>IFERROR(INDEX(Rosters!$C$2:$C$155,MATCH($B6083,Rosters!$B$2:$B$155,0)),"NA")</f>
        <v>NA</v>
      </c>
      <c r="L6083" t="str">
        <f t="shared" ref="L6083:L6146" si="285">K6083&amp;A6083&amp;F6083</f>
        <v>NA3TE</v>
      </c>
      <c r="M6083">
        <f>COUNTIF(L$1:L6083,L6083)</f>
        <v>55</v>
      </c>
      <c r="N6083" t="str">
        <f t="shared" ref="N6083:N6146" si="286">L6083&amp;"-"&amp;M6083</f>
        <v>NA3TE-55</v>
      </c>
      <c r="O6083">
        <f>COUNTIFS(F$1:F6083,F6083,A$1:A6083,A6083)</f>
        <v>68</v>
      </c>
      <c r="P6083" t="str">
        <f t="shared" ref="P6083:P6146" si="287">B6083&amp;A6083</f>
        <v>Alex Ellis3</v>
      </c>
    </row>
    <row r="6084" spans="1:16" x14ac:dyDescent="0.25">
      <c r="A6084">
        <v>17</v>
      </c>
      <c r="B6084" t="s">
        <v>1614</v>
      </c>
      <c r="C6084" t="s">
        <v>1604</v>
      </c>
      <c r="D6084">
        <v>0.55000000000000004</v>
      </c>
      <c r="E6084" t="s">
        <v>32</v>
      </c>
      <c r="F6084" t="s">
        <v>114</v>
      </c>
      <c r="G6084">
        <v>1.06</v>
      </c>
      <c r="H6084">
        <v>0.04</v>
      </c>
      <c r="I6084">
        <v>0.51</v>
      </c>
      <c r="J6084">
        <v>0.2601</v>
      </c>
      <c r="K6084" t="str">
        <f>IFERROR(INDEX(Rosters!$C$2:$C$155,MATCH($B6084,Rosters!$B$2:$B$155,0)),"NA")</f>
        <v>NA</v>
      </c>
      <c r="L6084" t="str">
        <f t="shared" si="285"/>
        <v>NA17TE</v>
      </c>
      <c r="M6084">
        <f>COUNTIF(L$1:L6084,L6084)</f>
        <v>63</v>
      </c>
      <c r="N6084" t="str">
        <f t="shared" si="286"/>
        <v>NA17TE-63</v>
      </c>
      <c r="O6084">
        <f>COUNTIFS(F$1:F6084,F6084,A$1:A6084,A6084)</f>
        <v>77</v>
      </c>
      <c r="P6084" t="str">
        <f t="shared" si="287"/>
        <v>Alex Ellis17</v>
      </c>
    </row>
    <row r="6085" spans="1:16" x14ac:dyDescent="0.25">
      <c r="A6085">
        <v>15</v>
      </c>
      <c r="B6085" t="s">
        <v>346</v>
      </c>
      <c r="C6085" t="s">
        <v>1020</v>
      </c>
      <c r="D6085">
        <v>0.55000000000000004</v>
      </c>
      <c r="E6085" t="s">
        <v>32</v>
      </c>
      <c r="F6085" t="s">
        <v>87</v>
      </c>
      <c r="G6085">
        <v>1.08</v>
      </c>
      <c r="H6085">
        <v>0.02</v>
      </c>
      <c r="I6085">
        <v>0.53</v>
      </c>
      <c r="J6085">
        <v>0.28089999999999998</v>
      </c>
      <c r="K6085" t="str">
        <f>IFERROR(INDEX(Rosters!$C$2:$C$155,MATCH($B6085,Rosters!$B$2:$B$155,0)),"NA")</f>
        <v>NA</v>
      </c>
      <c r="L6085" t="str">
        <f t="shared" si="285"/>
        <v>NA15WR</v>
      </c>
      <c r="M6085">
        <f>COUNTIF(L$1:L6085,L6085)</f>
        <v>101</v>
      </c>
      <c r="N6085" t="str">
        <f t="shared" si="286"/>
        <v>NA15WR-101</v>
      </c>
      <c r="O6085">
        <f>COUNTIFS(F$1:F6085,F6085,A$1:A6085,A6085)</f>
        <v>155</v>
      </c>
      <c r="P6085" t="str">
        <f t="shared" si="287"/>
        <v>Alex Erickson15</v>
      </c>
    </row>
    <row r="6086" spans="1:16" x14ac:dyDescent="0.25">
      <c r="A6086">
        <v>12</v>
      </c>
      <c r="B6086" t="s">
        <v>1542</v>
      </c>
      <c r="C6086" t="s">
        <v>8910</v>
      </c>
      <c r="D6086">
        <v>0.55000000000000004</v>
      </c>
      <c r="E6086" t="s">
        <v>30</v>
      </c>
      <c r="F6086" t="s">
        <v>114</v>
      </c>
      <c r="G6086">
        <v>1.02</v>
      </c>
      <c r="H6086">
        <v>0.08</v>
      </c>
      <c r="I6086">
        <v>0.47</v>
      </c>
      <c r="J6086">
        <v>0.22090000000000001</v>
      </c>
      <c r="K6086" t="str">
        <f>IFERROR(INDEX(Rosters!$C$2:$C$155,MATCH($B6086,Rosters!$B$2:$B$155,0)),"NA")</f>
        <v>NA</v>
      </c>
      <c r="L6086" t="str">
        <f t="shared" si="285"/>
        <v>NA12TE</v>
      </c>
      <c r="M6086">
        <f>COUNTIF(L$1:L6086,L6086)</f>
        <v>59</v>
      </c>
      <c r="N6086" t="str">
        <f t="shared" si="286"/>
        <v>NA12TE-59</v>
      </c>
      <c r="O6086">
        <f>COUNTIFS(F$1:F6086,F6086,A$1:A6086,A6086)</f>
        <v>72</v>
      </c>
      <c r="P6086" t="str">
        <f t="shared" si="287"/>
        <v>Antony Auclair12</v>
      </c>
    </row>
    <row r="6087" spans="1:16" x14ac:dyDescent="0.25">
      <c r="A6087">
        <v>13</v>
      </c>
      <c r="B6087" t="s">
        <v>2274</v>
      </c>
      <c r="C6087">
        <f>-0.16-1.26</f>
        <v>-1.42</v>
      </c>
      <c r="D6087">
        <v>0.55000000000000004</v>
      </c>
      <c r="E6087" t="s">
        <v>29</v>
      </c>
      <c r="F6087" t="s">
        <v>47</v>
      </c>
      <c r="G6087">
        <v>1.26</v>
      </c>
      <c r="H6087">
        <v>-0.16</v>
      </c>
      <c r="I6087">
        <v>0.71</v>
      </c>
      <c r="J6087">
        <v>0.50409999999999999</v>
      </c>
      <c r="K6087" t="str">
        <f>IFERROR(INDEX(Rosters!$C$2:$C$155,MATCH($B6087,Rosters!$B$2:$B$155,0)),"NA")</f>
        <v>NA</v>
      </c>
      <c r="L6087" t="str">
        <f t="shared" si="285"/>
        <v>NA13RB</v>
      </c>
      <c r="M6087">
        <f>COUNTIF(L$1:L6087,L6087)</f>
        <v>64</v>
      </c>
      <c r="N6087" t="str">
        <f t="shared" si="286"/>
        <v>NA13RB-64</v>
      </c>
      <c r="O6087">
        <f>COUNTIFS(F$1:F6087,F6087,A$1:A6087,A6087)</f>
        <v>111</v>
      </c>
      <c r="P6087" t="str">
        <f t="shared" si="287"/>
        <v>Brandon Bolden13</v>
      </c>
    </row>
    <row r="6088" spans="1:16" x14ac:dyDescent="0.25">
      <c r="A6088">
        <v>7</v>
      </c>
      <c r="B6088" t="s">
        <v>2851</v>
      </c>
      <c r="C6088">
        <f>-0.09-1.19</f>
        <v>-1.28</v>
      </c>
      <c r="D6088">
        <v>0.55000000000000004</v>
      </c>
      <c r="E6088" t="s">
        <v>77</v>
      </c>
      <c r="F6088" t="s">
        <v>87</v>
      </c>
      <c r="G6088">
        <v>1.19</v>
      </c>
      <c r="H6088">
        <v>-0.09</v>
      </c>
      <c r="I6088">
        <v>0.64</v>
      </c>
      <c r="J6088">
        <v>0.40960000000000002</v>
      </c>
      <c r="K6088" t="str">
        <f>IFERROR(INDEX(Rosters!$C$2:$C$155,MATCH($B6088,Rosters!$B$2:$B$155,0)),"NA")</f>
        <v>NA</v>
      </c>
      <c r="L6088" t="str">
        <f t="shared" si="285"/>
        <v>NA7WR</v>
      </c>
      <c r="M6088">
        <f>COUNTIF(L$1:L6088,L6088)</f>
        <v>89</v>
      </c>
      <c r="N6088" t="str">
        <f t="shared" si="286"/>
        <v>NA7WR-89</v>
      </c>
      <c r="O6088">
        <f>COUNTIFS(F$1:F6088,F6088,A$1:A6088,A6088)</f>
        <v>134</v>
      </c>
      <c r="P6088" t="str">
        <f t="shared" si="287"/>
        <v>Brandon Tate7</v>
      </c>
    </row>
    <row r="6089" spans="1:16" x14ac:dyDescent="0.25">
      <c r="A6089">
        <v>9</v>
      </c>
      <c r="B6089" t="s">
        <v>2851</v>
      </c>
      <c r="C6089">
        <f>-0.08-1.18</f>
        <v>-1.26</v>
      </c>
      <c r="D6089">
        <v>0.55000000000000004</v>
      </c>
      <c r="E6089" t="s">
        <v>56</v>
      </c>
      <c r="F6089" t="s">
        <v>87</v>
      </c>
      <c r="G6089">
        <v>1.18</v>
      </c>
      <c r="H6089">
        <v>-0.08</v>
      </c>
      <c r="I6089">
        <v>0.63</v>
      </c>
      <c r="J6089">
        <v>0.39689999999999998</v>
      </c>
      <c r="K6089" t="str">
        <f>IFERROR(INDEX(Rosters!$C$2:$C$155,MATCH($B6089,Rosters!$B$2:$B$155,0)),"NA")</f>
        <v>NA</v>
      </c>
      <c r="L6089" t="str">
        <f t="shared" si="285"/>
        <v>NA9WR</v>
      </c>
      <c r="M6089">
        <f>COUNTIF(L$1:L6089,L6089)</f>
        <v>91</v>
      </c>
      <c r="N6089" t="str">
        <f t="shared" si="286"/>
        <v>NA9WR-91</v>
      </c>
      <c r="O6089">
        <f>COUNTIFS(F$1:F6089,F6089,A$1:A6089,A6089)</f>
        <v>135</v>
      </c>
      <c r="P6089" t="str">
        <f t="shared" si="287"/>
        <v>Brandon Tate9</v>
      </c>
    </row>
    <row r="6090" spans="1:16" x14ac:dyDescent="0.25">
      <c r="A6090">
        <v>10</v>
      </c>
      <c r="B6090" t="s">
        <v>2851</v>
      </c>
      <c r="C6090">
        <f>-0.16-1.26</f>
        <v>-1.42</v>
      </c>
      <c r="D6090">
        <v>0.55000000000000004</v>
      </c>
      <c r="E6090" t="s">
        <v>31</v>
      </c>
      <c r="F6090" t="s">
        <v>87</v>
      </c>
      <c r="G6090">
        <v>1.26</v>
      </c>
      <c r="H6090">
        <v>-0.16</v>
      </c>
      <c r="I6090">
        <v>0.71</v>
      </c>
      <c r="J6090">
        <v>0.50409999999999999</v>
      </c>
      <c r="K6090" t="str">
        <f>IFERROR(INDEX(Rosters!$C$2:$C$155,MATCH($B6090,Rosters!$B$2:$B$155,0)),"NA")</f>
        <v>NA</v>
      </c>
      <c r="L6090" t="str">
        <f t="shared" si="285"/>
        <v>NA10WR</v>
      </c>
      <c r="M6090">
        <f>COUNTIF(L$1:L6090,L6090)</f>
        <v>94</v>
      </c>
      <c r="N6090" t="str">
        <f t="shared" si="286"/>
        <v>NA10WR-94</v>
      </c>
      <c r="O6090">
        <f>COUNTIFS(F$1:F6090,F6090,A$1:A6090,A6090)</f>
        <v>139</v>
      </c>
      <c r="P6090" t="str">
        <f t="shared" si="287"/>
        <v>Brandon Tate10</v>
      </c>
    </row>
    <row r="6091" spans="1:16" x14ac:dyDescent="0.25">
      <c r="A6091">
        <v>13</v>
      </c>
      <c r="B6091" t="s">
        <v>2851</v>
      </c>
      <c r="C6091">
        <f>-0.21-1.31</f>
        <v>-1.52</v>
      </c>
      <c r="D6091">
        <v>0.55000000000000004</v>
      </c>
      <c r="E6091" t="s">
        <v>22</v>
      </c>
      <c r="F6091" t="s">
        <v>87</v>
      </c>
      <c r="G6091">
        <v>1.31</v>
      </c>
      <c r="H6091">
        <v>-0.21</v>
      </c>
      <c r="I6091">
        <v>0.76</v>
      </c>
      <c r="J6091">
        <v>0.5776</v>
      </c>
      <c r="K6091" t="str">
        <f>IFERROR(INDEX(Rosters!$C$2:$C$155,MATCH($B6091,Rosters!$B$2:$B$155,0)),"NA")</f>
        <v>NA</v>
      </c>
      <c r="L6091" t="str">
        <f t="shared" si="285"/>
        <v>NA13WR</v>
      </c>
      <c r="M6091">
        <f>COUNTIF(L$1:L6091,L6091)</f>
        <v>102</v>
      </c>
      <c r="N6091" t="str">
        <f t="shared" si="286"/>
        <v>NA13WR-102</v>
      </c>
      <c r="O6091">
        <f>COUNTIFS(F$1:F6091,F6091,A$1:A6091,A6091)</f>
        <v>156</v>
      </c>
      <c r="P6091" t="str">
        <f t="shared" si="287"/>
        <v>Brandon Tate13</v>
      </c>
    </row>
    <row r="6092" spans="1:16" x14ac:dyDescent="0.25">
      <c r="A6092">
        <v>16</v>
      </c>
      <c r="B6092" t="s">
        <v>3569</v>
      </c>
      <c r="C6092" t="s">
        <v>3861</v>
      </c>
      <c r="D6092">
        <v>0.55000000000000004</v>
      </c>
      <c r="E6092" t="s">
        <v>19</v>
      </c>
      <c r="F6092" t="s">
        <v>47</v>
      </c>
      <c r="G6092">
        <v>1.04</v>
      </c>
      <c r="H6092">
        <v>0.06</v>
      </c>
      <c r="I6092">
        <v>0.49</v>
      </c>
      <c r="J6092">
        <v>0.24010000000000001</v>
      </c>
      <c r="K6092" t="str">
        <f>IFERROR(INDEX(Rosters!$C$2:$C$155,MATCH($B6092,Rosters!$B$2:$B$155,0)),"NA")</f>
        <v>NA</v>
      </c>
      <c r="L6092" t="str">
        <f t="shared" si="285"/>
        <v>NA16RB</v>
      </c>
      <c r="M6092">
        <f>COUNTIF(L$1:L6092,L6092)</f>
        <v>63</v>
      </c>
      <c r="N6092" t="str">
        <f t="shared" si="286"/>
        <v>NA16RB-63</v>
      </c>
      <c r="O6092">
        <f>COUNTIFS(F$1:F6092,F6092,A$1:A6092,A6092)</f>
        <v>110</v>
      </c>
      <c r="P6092" t="str">
        <f t="shared" si="287"/>
        <v>Brandon Wilds16</v>
      </c>
    </row>
    <row r="6093" spans="1:16" x14ac:dyDescent="0.25">
      <c r="A6093">
        <v>12</v>
      </c>
      <c r="B6093" t="s">
        <v>2947</v>
      </c>
      <c r="C6093" t="s">
        <v>1604</v>
      </c>
      <c r="D6093">
        <v>0.55000000000000004</v>
      </c>
      <c r="E6093" t="s">
        <v>14</v>
      </c>
      <c r="F6093" t="s">
        <v>47</v>
      </c>
      <c r="G6093">
        <v>1.06</v>
      </c>
      <c r="H6093">
        <v>0.04</v>
      </c>
      <c r="I6093">
        <v>0.51</v>
      </c>
      <c r="J6093">
        <v>0.2601</v>
      </c>
      <c r="K6093" t="str">
        <f>IFERROR(INDEX(Rosters!$C$2:$C$155,MATCH($B6093,Rosters!$B$2:$B$155,0)),"NA")</f>
        <v>NA</v>
      </c>
      <c r="L6093" t="str">
        <f t="shared" si="285"/>
        <v>NA12RB</v>
      </c>
      <c r="M6093">
        <f>COUNTIF(L$1:L6093,L6093)</f>
        <v>55</v>
      </c>
      <c r="N6093" t="str">
        <f t="shared" si="286"/>
        <v>NA12RB-55</v>
      </c>
      <c r="O6093">
        <f>COUNTIFS(F$1:F6093,F6093,A$1:A6093,A6093)</f>
        <v>100</v>
      </c>
      <c r="P6093" t="str">
        <f t="shared" si="287"/>
        <v>Brian Hill12</v>
      </c>
    </row>
    <row r="6094" spans="1:16" x14ac:dyDescent="0.25">
      <c r="A6094">
        <v>13</v>
      </c>
      <c r="B6094" t="s">
        <v>2947</v>
      </c>
      <c r="C6094" t="s">
        <v>1604</v>
      </c>
      <c r="D6094">
        <v>0.55000000000000004</v>
      </c>
      <c r="E6094" t="s">
        <v>77</v>
      </c>
      <c r="F6094" t="s">
        <v>47</v>
      </c>
      <c r="G6094">
        <v>1.06</v>
      </c>
      <c r="H6094">
        <v>0.04</v>
      </c>
      <c r="I6094">
        <v>0.51</v>
      </c>
      <c r="J6094">
        <v>0.2601</v>
      </c>
      <c r="K6094" t="str">
        <f>IFERROR(INDEX(Rosters!$C$2:$C$155,MATCH($B6094,Rosters!$B$2:$B$155,0)),"NA")</f>
        <v>NA</v>
      </c>
      <c r="L6094" t="str">
        <f t="shared" si="285"/>
        <v>NA13RB</v>
      </c>
      <c r="M6094">
        <f>COUNTIF(L$1:L6094,L6094)</f>
        <v>65</v>
      </c>
      <c r="N6094" t="str">
        <f t="shared" si="286"/>
        <v>NA13RB-65</v>
      </c>
      <c r="O6094">
        <f>COUNTIFS(F$1:F6094,F6094,A$1:A6094,A6094)</f>
        <v>112</v>
      </c>
      <c r="P6094" t="str">
        <f t="shared" si="287"/>
        <v>Brian Hill13</v>
      </c>
    </row>
    <row r="6095" spans="1:16" x14ac:dyDescent="0.25">
      <c r="A6095">
        <v>16</v>
      </c>
      <c r="B6095" t="s">
        <v>8901</v>
      </c>
      <c r="C6095">
        <f>-0.12-1.22</f>
        <v>-1.3399999999999999</v>
      </c>
      <c r="D6095">
        <v>0.55000000000000004</v>
      </c>
      <c r="E6095" t="s">
        <v>32</v>
      </c>
      <c r="F6095" t="s">
        <v>114</v>
      </c>
      <c r="G6095">
        <v>1.22</v>
      </c>
      <c r="H6095">
        <v>-0.12</v>
      </c>
      <c r="I6095">
        <v>0.67</v>
      </c>
      <c r="J6095">
        <v>0.44890000000000002</v>
      </c>
      <c r="K6095" t="str">
        <f>IFERROR(INDEX(Rosters!$C$2:$C$155,MATCH($B6095,Rosters!$B$2:$B$155,0)),"NA")</f>
        <v>NA</v>
      </c>
      <c r="L6095" t="str">
        <f t="shared" si="285"/>
        <v>NA16TE</v>
      </c>
      <c r="M6095">
        <f>COUNTIF(L$1:L6095,L6095)</f>
        <v>67</v>
      </c>
      <c r="N6095" t="str">
        <f t="shared" si="286"/>
        <v>NA16TE-67</v>
      </c>
      <c r="O6095">
        <f>COUNTIFS(F$1:F6095,F6095,A$1:A6095,A6095)</f>
        <v>81</v>
      </c>
      <c r="P6095" t="str">
        <f t="shared" si="287"/>
        <v>Brian Parker16</v>
      </c>
    </row>
    <row r="6096" spans="1:16" x14ac:dyDescent="0.25">
      <c r="A6096">
        <v>3</v>
      </c>
      <c r="B6096" t="s">
        <v>1549</v>
      </c>
      <c r="C6096">
        <f>-0.11-1.21</f>
        <v>-1.32</v>
      </c>
      <c r="D6096">
        <v>0.55000000000000004</v>
      </c>
      <c r="E6096" t="s">
        <v>29</v>
      </c>
      <c r="F6096" t="s">
        <v>47</v>
      </c>
      <c r="G6096">
        <v>1.21</v>
      </c>
      <c r="H6096">
        <v>-0.11</v>
      </c>
      <c r="I6096">
        <v>0.66</v>
      </c>
      <c r="J6096">
        <v>0.43559999999999999</v>
      </c>
      <c r="K6096" t="str">
        <f>IFERROR(INDEX(Rosters!$C$2:$C$155,MATCH($B6096,Rosters!$B$2:$B$155,0)),"NA")</f>
        <v>NA</v>
      </c>
      <c r="L6096" t="str">
        <f t="shared" si="285"/>
        <v>NA3RB</v>
      </c>
      <c r="M6096">
        <f>COUNTIF(L$1:L6096,L6096)</f>
        <v>50</v>
      </c>
      <c r="N6096" t="str">
        <f t="shared" si="286"/>
        <v>NA3RB-50</v>
      </c>
      <c r="O6096">
        <f>COUNTIFS(F$1:F6096,F6096,A$1:A6096,A6096)</f>
        <v>89</v>
      </c>
      <c r="P6096" t="str">
        <f t="shared" si="287"/>
        <v>C.J. Ham3</v>
      </c>
    </row>
    <row r="6097" spans="1:16" x14ac:dyDescent="0.25">
      <c r="A6097">
        <v>5</v>
      </c>
      <c r="B6097" t="s">
        <v>216</v>
      </c>
      <c r="C6097">
        <f>-0.02-1.12</f>
        <v>-1.1400000000000001</v>
      </c>
      <c r="D6097">
        <v>0.55000000000000004</v>
      </c>
      <c r="E6097" t="s">
        <v>56</v>
      </c>
      <c r="F6097" t="s">
        <v>47</v>
      </c>
      <c r="G6097">
        <v>1.1200000000000001</v>
      </c>
      <c r="H6097">
        <v>-0.02</v>
      </c>
      <c r="I6097">
        <v>0.56999999999999995</v>
      </c>
      <c r="J6097">
        <v>0.32490000000000002</v>
      </c>
      <c r="K6097" t="str">
        <f>IFERROR(INDEX(Rosters!$C$2:$C$155,MATCH($B6097,Rosters!$B$2:$B$155,0)),"NA")</f>
        <v>NA</v>
      </c>
      <c r="L6097" t="str">
        <f t="shared" si="285"/>
        <v>NA5RB</v>
      </c>
      <c r="M6097">
        <f>COUNTIF(L$1:L6097,L6097)</f>
        <v>56</v>
      </c>
      <c r="N6097" t="str">
        <f t="shared" si="286"/>
        <v>NA5RB-56</v>
      </c>
      <c r="O6097">
        <f>COUNTIFS(F$1:F6097,F6097,A$1:A6097,A6097)</f>
        <v>99</v>
      </c>
      <c r="P6097" t="str">
        <f t="shared" si="287"/>
        <v>C.J. Prosise5</v>
      </c>
    </row>
    <row r="6098" spans="1:16" x14ac:dyDescent="0.25">
      <c r="A6098">
        <v>12</v>
      </c>
      <c r="B6098" t="s">
        <v>216</v>
      </c>
      <c r="C6098" t="s">
        <v>1604</v>
      </c>
      <c r="D6098">
        <v>0.55000000000000004</v>
      </c>
      <c r="E6098" t="s">
        <v>74</v>
      </c>
      <c r="F6098" t="s">
        <v>47</v>
      </c>
      <c r="G6098">
        <v>1.06</v>
      </c>
      <c r="H6098">
        <v>0.04</v>
      </c>
      <c r="I6098">
        <v>0.51</v>
      </c>
      <c r="J6098">
        <v>0.2601</v>
      </c>
      <c r="K6098" t="str">
        <f>IFERROR(INDEX(Rosters!$C$2:$C$155,MATCH($B6098,Rosters!$B$2:$B$155,0)),"NA")</f>
        <v>NA</v>
      </c>
      <c r="L6098" t="str">
        <f t="shared" si="285"/>
        <v>NA12RB</v>
      </c>
      <c r="M6098">
        <f>COUNTIF(L$1:L6098,L6098)</f>
        <v>56</v>
      </c>
      <c r="N6098" t="str">
        <f t="shared" si="286"/>
        <v>NA12RB-56</v>
      </c>
      <c r="O6098">
        <f>COUNTIFS(F$1:F6098,F6098,A$1:A6098,A6098)</f>
        <v>101</v>
      </c>
      <c r="P6098" t="str">
        <f t="shared" si="287"/>
        <v>C.J. Prosise12</v>
      </c>
    </row>
    <row r="6099" spans="1:16" x14ac:dyDescent="0.25">
      <c r="A6099">
        <v>7</v>
      </c>
      <c r="B6099" t="s">
        <v>342</v>
      </c>
      <c r="C6099">
        <f>-0.15-1.25</f>
        <v>-1.4</v>
      </c>
      <c r="D6099">
        <v>0.55000000000000004</v>
      </c>
      <c r="E6099" t="s">
        <v>24</v>
      </c>
      <c r="F6099" t="s">
        <v>87</v>
      </c>
      <c r="G6099">
        <v>1.25</v>
      </c>
      <c r="H6099">
        <v>-0.15</v>
      </c>
      <c r="I6099">
        <v>0.7</v>
      </c>
      <c r="J6099">
        <v>0.49</v>
      </c>
      <c r="K6099" t="str">
        <f>IFERROR(INDEX(Rosters!$C$2:$C$155,MATCH($B6099,Rosters!$B$2:$B$155,0)),"NA")</f>
        <v>NA</v>
      </c>
      <c r="L6099" t="str">
        <f t="shared" si="285"/>
        <v>NA7WR</v>
      </c>
      <c r="M6099">
        <f>COUNTIF(L$1:L6099,L6099)</f>
        <v>90</v>
      </c>
      <c r="N6099" t="str">
        <f t="shared" si="286"/>
        <v>NA7WR-90</v>
      </c>
      <c r="O6099">
        <f>COUNTIFS(F$1:F6099,F6099,A$1:A6099,A6099)</f>
        <v>135</v>
      </c>
      <c r="P6099" t="str">
        <f t="shared" si="287"/>
        <v>Cody Core7</v>
      </c>
    </row>
    <row r="6100" spans="1:16" x14ac:dyDescent="0.25">
      <c r="A6100">
        <v>3</v>
      </c>
      <c r="B6100" t="s">
        <v>744</v>
      </c>
      <c r="C6100" t="s">
        <v>3862</v>
      </c>
      <c r="D6100">
        <v>0.55000000000000004</v>
      </c>
      <c r="E6100" t="s">
        <v>38</v>
      </c>
      <c r="F6100" t="s">
        <v>15</v>
      </c>
      <c r="G6100">
        <v>1.01</v>
      </c>
      <c r="H6100">
        <v>0.09</v>
      </c>
      <c r="I6100">
        <v>0.46</v>
      </c>
      <c r="J6100">
        <v>0.21160000000000001</v>
      </c>
      <c r="K6100" t="str">
        <f>IFERROR(INDEX(Rosters!$C$2:$C$155,MATCH($B6100,Rosters!$B$2:$B$155,0)),"NA")</f>
        <v>NA</v>
      </c>
      <c r="L6100" t="str">
        <f t="shared" si="285"/>
        <v>NA3QB</v>
      </c>
      <c r="M6100">
        <f>COUNTIF(L$1:L6100,L6100)</f>
        <v>36</v>
      </c>
      <c r="N6100" t="str">
        <f t="shared" si="286"/>
        <v>NA3QB-36</v>
      </c>
      <c r="O6100">
        <f>COUNTIFS(F$1:F6100,F6100,A$1:A6100,A6100)</f>
        <v>53</v>
      </c>
      <c r="P6100" t="str">
        <f t="shared" si="287"/>
        <v>Cody Kessler3</v>
      </c>
    </row>
    <row r="6101" spans="1:16" x14ac:dyDescent="0.25">
      <c r="A6101">
        <v>3</v>
      </c>
      <c r="B6101" t="s">
        <v>1562</v>
      </c>
      <c r="C6101">
        <f>-0.09-1.19</f>
        <v>-1.28</v>
      </c>
      <c r="D6101">
        <v>0.55000000000000004</v>
      </c>
      <c r="E6101" t="s">
        <v>24</v>
      </c>
      <c r="F6101" t="s">
        <v>114</v>
      </c>
      <c r="G6101">
        <v>1.19</v>
      </c>
      <c r="H6101">
        <v>-0.09</v>
      </c>
      <c r="I6101">
        <v>0.64</v>
      </c>
      <c r="J6101">
        <v>0.40960000000000002</v>
      </c>
      <c r="K6101" t="str">
        <f>IFERROR(INDEX(Rosters!$C$2:$C$155,MATCH($B6101,Rosters!$B$2:$B$155,0)),"NA")</f>
        <v>NA</v>
      </c>
      <c r="L6101" t="str">
        <f t="shared" si="285"/>
        <v>NA3TE</v>
      </c>
      <c r="M6101">
        <f>COUNTIF(L$1:L6101,L6101)</f>
        <v>56</v>
      </c>
      <c r="N6101" t="str">
        <f t="shared" si="286"/>
        <v>NA3TE-56</v>
      </c>
      <c r="O6101">
        <f>COUNTIFS(F$1:F6101,F6101,A$1:A6101,A6101)</f>
        <v>69</v>
      </c>
      <c r="P6101" t="str">
        <f t="shared" si="287"/>
        <v>Cole Wick3</v>
      </c>
    </row>
    <row r="6102" spans="1:16" x14ac:dyDescent="0.25">
      <c r="A6102">
        <v>15</v>
      </c>
      <c r="B6102" t="s">
        <v>1503</v>
      </c>
      <c r="C6102">
        <f>-0.11-1.21</f>
        <v>-1.32</v>
      </c>
      <c r="D6102">
        <v>0.55000000000000004</v>
      </c>
      <c r="E6102" t="s">
        <v>60</v>
      </c>
      <c r="F6102" t="s">
        <v>87</v>
      </c>
      <c r="G6102">
        <v>1.21</v>
      </c>
      <c r="H6102">
        <v>-0.11</v>
      </c>
      <c r="I6102">
        <v>0.66</v>
      </c>
      <c r="J6102">
        <v>0.43559999999999999</v>
      </c>
      <c r="K6102" t="str">
        <f>IFERROR(INDEX(Rosters!$C$2:$C$155,MATCH($B6102,Rosters!$B$2:$B$155,0)),"NA")</f>
        <v>NA</v>
      </c>
      <c r="L6102" t="str">
        <f t="shared" si="285"/>
        <v>NA15WR</v>
      </c>
      <c r="M6102">
        <f>COUNTIF(L$1:L6102,L6102)</f>
        <v>102</v>
      </c>
      <c r="N6102" t="str">
        <f t="shared" si="286"/>
        <v>NA15WR-102</v>
      </c>
      <c r="O6102">
        <f>COUNTIFS(F$1:F6102,F6102,A$1:A6102,A6102)</f>
        <v>156</v>
      </c>
      <c r="P6102" t="str">
        <f t="shared" si="287"/>
        <v>D.J. Chark15</v>
      </c>
    </row>
    <row r="6103" spans="1:16" x14ac:dyDescent="0.25">
      <c r="A6103">
        <v>4</v>
      </c>
      <c r="B6103" t="s">
        <v>4729</v>
      </c>
      <c r="C6103">
        <f>-0.05-1.15</f>
        <v>-1.2</v>
      </c>
      <c r="D6103">
        <v>0.55000000000000004</v>
      </c>
      <c r="E6103" t="s">
        <v>24</v>
      </c>
      <c r="F6103" t="s">
        <v>87</v>
      </c>
      <c r="G6103">
        <v>1.1499999999999999</v>
      </c>
      <c r="H6103">
        <v>-0.05</v>
      </c>
      <c r="I6103">
        <v>0.6</v>
      </c>
      <c r="J6103">
        <v>0.36</v>
      </c>
      <c r="K6103" t="str">
        <f>IFERROR(INDEX(Rosters!$C$2:$C$155,MATCH($B6103,Rosters!$B$2:$B$155,0)),"NA")</f>
        <v>NA</v>
      </c>
      <c r="L6103" t="str">
        <f t="shared" si="285"/>
        <v>NA4WR</v>
      </c>
      <c r="M6103">
        <f>COUNTIF(L$1:L6103,L6103)</f>
        <v>77</v>
      </c>
      <c r="N6103" t="str">
        <f t="shared" si="286"/>
        <v>NA4WR-77</v>
      </c>
      <c r="O6103">
        <f>COUNTIFS(F$1:F6103,F6103,A$1:A6103,A6103)</f>
        <v>127</v>
      </c>
      <c r="P6103" t="str">
        <f t="shared" si="287"/>
        <v>DaeSean Hamilton4</v>
      </c>
    </row>
    <row r="6104" spans="1:16" x14ac:dyDescent="0.25">
      <c r="A6104">
        <v>7</v>
      </c>
      <c r="B6104" t="s">
        <v>1128</v>
      </c>
      <c r="C6104">
        <f>-0.06-1.16</f>
        <v>-1.22</v>
      </c>
      <c r="D6104">
        <v>0.55000000000000004</v>
      </c>
      <c r="E6104" t="s">
        <v>50</v>
      </c>
      <c r="F6104" t="s">
        <v>87</v>
      </c>
      <c r="G6104">
        <v>1.1599999999999999</v>
      </c>
      <c r="H6104">
        <v>-0.06</v>
      </c>
      <c r="I6104">
        <v>0.61</v>
      </c>
      <c r="J6104">
        <v>0.37209999999999999</v>
      </c>
      <c r="K6104" t="str">
        <f>IFERROR(INDEX(Rosters!$C$2:$C$155,MATCH($B6104,Rosters!$B$2:$B$155,0)),"NA")</f>
        <v>NA</v>
      </c>
      <c r="L6104" t="str">
        <f t="shared" si="285"/>
        <v>NA7WR</v>
      </c>
      <c r="M6104">
        <f>COUNTIF(L$1:L6104,L6104)</f>
        <v>91</v>
      </c>
      <c r="N6104" t="str">
        <f t="shared" si="286"/>
        <v>NA7WR-91</v>
      </c>
      <c r="O6104">
        <f>COUNTIFS(F$1:F6104,F6104,A$1:A6104,A6104)</f>
        <v>136</v>
      </c>
      <c r="P6104" t="str">
        <f t="shared" si="287"/>
        <v>Damiere Byrd7</v>
      </c>
    </row>
    <row r="6105" spans="1:16" x14ac:dyDescent="0.25">
      <c r="A6105">
        <v>15</v>
      </c>
      <c r="B6105" t="s">
        <v>1128</v>
      </c>
      <c r="C6105">
        <f>-0.07-1.17</f>
        <v>-1.24</v>
      </c>
      <c r="D6105">
        <v>0.55000000000000004</v>
      </c>
      <c r="E6105" t="s">
        <v>14</v>
      </c>
      <c r="F6105" t="s">
        <v>87</v>
      </c>
      <c r="G6105">
        <v>1.17</v>
      </c>
      <c r="H6105">
        <v>-7.0000000000000007E-2</v>
      </c>
      <c r="I6105">
        <v>0.62</v>
      </c>
      <c r="J6105">
        <v>0.38440000000000002</v>
      </c>
      <c r="K6105" t="str">
        <f>IFERROR(INDEX(Rosters!$C$2:$C$155,MATCH($B6105,Rosters!$B$2:$B$155,0)),"NA")</f>
        <v>NA</v>
      </c>
      <c r="L6105" t="str">
        <f t="shared" si="285"/>
        <v>NA15WR</v>
      </c>
      <c r="M6105">
        <f>COUNTIF(L$1:L6105,L6105)</f>
        <v>103</v>
      </c>
      <c r="N6105" t="str">
        <f t="shared" si="286"/>
        <v>NA15WR-103</v>
      </c>
      <c r="O6105">
        <f>COUNTIFS(F$1:F6105,F6105,A$1:A6105,A6105)</f>
        <v>157</v>
      </c>
      <c r="P6105" t="str">
        <f t="shared" si="287"/>
        <v>Damiere Byrd15</v>
      </c>
    </row>
    <row r="6106" spans="1:16" x14ac:dyDescent="0.25">
      <c r="A6106">
        <v>16</v>
      </c>
      <c r="B6106" t="s">
        <v>1128</v>
      </c>
      <c r="C6106">
        <f>-0.11-1.21</f>
        <v>-1.32</v>
      </c>
      <c r="D6106">
        <v>0.55000000000000004</v>
      </c>
      <c r="E6106" t="s">
        <v>46</v>
      </c>
      <c r="F6106" t="s">
        <v>87</v>
      </c>
      <c r="G6106">
        <v>1.21</v>
      </c>
      <c r="H6106">
        <v>-0.11</v>
      </c>
      <c r="I6106">
        <v>0.66</v>
      </c>
      <c r="J6106">
        <v>0.43559999999999999</v>
      </c>
      <c r="K6106" t="str">
        <f>IFERROR(INDEX(Rosters!$C$2:$C$155,MATCH($B6106,Rosters!$B$2:$B$155,0)),"NA")</f>
        <v>NA</v>
      </c>
      <c r="L6106" t="str">
        <f t="shared" si="285"/>
        <v>NA16WR</v>
      </c>
      <c r="M6106">
        <f>COUNTIF(L$1:L6106,L6106)</f>
        <v>100</v>
      </c>
      <c r="N6106" t="str">
        <f t="shared" si="286"/>
        <v>NA16WR-100</v>
      </c>
      <c r="O6106">
        <f>COUNTIFS(F$1:F6106,F6106,A$1:A6106,A6106)</f>
        <v>154</v>
      </c>
      <c r="P6106" t="str">
        <f t="shared" si="287"/>
        <v>Damiere Byrd16</v>
      </c>
    </row>
    <row r="6107" spans="1:16" x14ac:dyDescent="0.25">
      <c r="A6107">
        <v>12</v>
      </c>
      <c r="B6107" t="s">
        <v>1559</v>
      </c>
      <c r="C6107" t="s">
        <v>3196</v>
      </c>
      <c r="D6107">
        <v>0.55000000000000004</v>
      </c>
      <c r="E6107" t="s">
        <v>34</v>
      </c>
      <c r="F6107" t="s">
        <v>114</v>
      </c>
      <c r="G6107">
        <v>1.1000000000000001</v>
      </c>
      <c r="H6107">
        <v>0</v>
      </c>
      <c r="I6107">
        <v>0.55000000000000004</v>
      </c>
      <c r="J6107">
        <v>0.30249999999999999</v>
      </c>
      <c r="K6107" t="str">
        <f>IFERROR(INDEX(Rosters!$C$2:$C$155,MATCH($B6107,Rosters!$B$2:$B$155,0)),"NA")</f>
        <v>NA</v>
      </c>
      <c r="L6107" t="str">
        <f t="shared" si="285"/>
        <v>NA12TE</v>
      </c>
      <c r="M6107">
        <f>COUNTIF(L$1:L6107,L6107)</f>
        <v>60</v>
      </c>
      <c r="N6107" t="str">
        <f t="shared" si="286"/>
        <v>NA12TE-60</v>
      </c>
      <c r="O6107">
        <f>COUNTIFS(F$1:F6107,F6107,A$1:A6107,A6107)</f>
        <v>73</v>
      </c>
      <c r="P6107" t="str">
        <f t="shared" si="287"/>
        <v>Daniel Brown12</v>
      </c>
    </row>
    <row r="6108" spans="1:16" x14ac:dyDescent="0.25">
      <c r="A6108">
        <v>13</v>
      </c>
      <c r="B6108" t="s">
        <v>1559</v>
      </c>
      <c r="C6108">
        <f>-0.08-1.18</f>
        <v>-1.26</v>
      </c>
      <c r="D6108">
        <v>0.55000000000000004</v>
      </c>
      <c r="E6108" t="s">
        <v>54</v>
      </c>
      <c r="F6108" t="s">
        <v>114</v>
      </c>
      <c r="G6108">
        <v>1.18</v>
      </c>
      <c r="H6108">
        <v>-0.08</v>
      </c>
      <c r="I6108">
        <v>0.63</v>
      </c>
      <c r="J6108">
        <v>0.39689999999999998</v>
      </c>
      <c r="K6108" t="str">
        <f>IFERROR(INDEX(Rosters!$C$2:$C$155,MATCH($B6108,Rosters!$B$2:$B$155,0)),"NA")</f>
        <v>NA</v>
      </c>
      <c r="L6108" t="str">
        <f t="shared" si="285"/>
        <v>NA13TE</v>
      </c>
      <c r="M6108">
        <f>COUNTIF(L$1:L6108,L6108)</f>
        <v>63</v>
      </c>
      <c r="N6108" t="str">
        <f t="shared" si="286"/>
        <v>NA13TE-63</v>
      </c>
      <c r="O6108">
        <f>COUNTIFS(F$1:F6108,F6108,A$1:A6108,A6108)</f>
        <v>77</v>
      </c>
      <c r="P6108" t="str">
        <f t="shared" si="287"/>
        <v>Daniel Brown13</v>
      </c>
    </row>
    <row r="6109" spans="1:16" x14ac:dyDescent="0.25">
      <c r="A6109">
        <v>16</v>
      </c>
      <c r="B6109" t="s">
        <v>8584</v>
      </c>
      <c r="C6109">
        <f>-0.05-1.15</f>
        <v>-1.2</v>
      </c>
      <c r="D6109">
        <v>0.55000000000000004</v>
      </c>
      <c r="E6109" t="s">
        <v>37</v>
      </c>
      <c r="F6109" t="s">
        <v>47</v>
      </c>
      <c r="G6109">
        <v>1.1499999999999999</v>
      </c>
      <c r="H6109">
        <v>-0.05</v>
      </c>
      <c r="I6109">
        <v>0.6</v>
      </c>
      <c r="J6109">
        <v>0.36</v>
      </c>
      <c r="K6109" t="str">
        <f>IFERROR(INDEX(Rosters!$C$2:$C$155,MATCH($B6109,Rosters!$B$2:$B$155,0)),"NA")</f>
        <v>NA</v>
      </c>
      <c r="L6109" t="str">
        <f t="shared" si="285"/>
        <v>NA16RB</v>
      </c>
      <c r="M6109">
        <f>COUNTIF(L$1:L6109,L6109)</f>
        <v>64</v>
      </c>
      <c r="N6109" t="str">
        <f t="shared" si="286"/>
        <v>NA16RB-64</v>
      </c>
      <c r="O6109">
        <f>COUNTIFS(F$1:F6109,F6109,A$1:A6109,A6109)</f>
        <v>111</v>
      </c>
      <c r="P6109" t="str">
        <f t="shared" si="287"/>
        <v>De'Lance Turner16</v>
      </c>
    </row>
    <row r="6110" spans="1:16" x14ac:dyDescent="0.25">
      <c r="A6110">
        <v>3</v>
      </c>
      <c r="B6110" t="s">
        <v>2765</v>
      </c>
      <c r="C6110">
        <f>-0.01-1.11</f>
        <v>-1.1200000000000001</v>
      </c>
      <c r="D6110">
        <v>0.55000000000000004</v>
      </c>
      <c r="E6110" t="s">
        <v>36</v>
      </c>
      <c r="F6110" t="s">
        <v>47</v>
      </c>
      <c r="G6110">
        <v>1.1100000000000001</v>
      </c>
      <c r="H6110">
        <v>-0.01</v>
      </c>
      <c r="I6110">
        <v>0.56000000000000005</v>
      </c>
      <c r="J6110">
        <v>0.31359999999999999</v>
      </c>
      <c r="K6110" t="str">
        <f>IFERROR(INDEX(Rosters!$C$2:$C$155,MATCH($B6110,Rosters!$B$2:$B$155,0)),"NA")</f>
        <v>NA</v>
      </c>
      <c r="L6110" t="str">
        <f t="shared" si="285"/>
        <v>NA3RB</v>
      </c>
      <c r="M6110">
        <f>COUNTIF(L$1:L6110,L6110)</f>
        <v>51</v>
      </c>
      <c r="N6110" t="str">
        <f t="shared" si="286"/>
        <v>NA3RB-51</v>
      </c>
      <c r="O6110">
        <f>COUNTIFS(F$1:F6110,F6110,A$1:A6110,A6110)</f>
        <v>90</v>
      </c>
      <c r="P6110" t="str">
        <f t="shared" si="287"/>
        <v>Elijhaa Penny3</v>
      </c>
    </row>
    <row r="6111" spans="1:16" x14ac:dyDescent="0.25">
      <c r="A6111">
        <v>12</v>
      </c>
      <c r="B6111" t="s">
        <v>1490</v>
      </c>
      <c r="C6111" t="s">
        <v>3862</v>
      </c>
      <c r="D6111">
        <v>0.55000000000000004</v>
      </c>
      <c r="E6111" t="s">
        <v>74</v>
      </c>
      <c r="F6111" t="s">
        <v>47</v>
      </c>
      <c r="G6111">
        <v>1.01</v>
      </c>
      <c r="H6111">
        <v>0.09</v>
      </c>
      <c r="I6111">
        <v>0.46</v>
      </c>
      <c r="J6111">
        <v>0.21160000000000001</v>
      </c>
      <c r="K6111" t="str">
        <f>IFERROR(INDEX(Rosters!$C$2:$C$155,MATCH($B6111,Rosters!$B$2:$B$155,0)),"NA")</f>
        <v>NA</v>
      </c>
      <c r="L6111" t="str">
        <f t="shared" si="285"/>
        <v>NA12RB</v>
      </c>
      <c r="M6111">
        <f>COUNTIF(L$1:L6111,L6111)</f>
        <v>57</v>
      </c>
      <c r="N6111" t="str">
        <f t="shared" si="286"/>
        <v>NA12RB-57</v>
      </c>
      <c r="O6111">
        <f>COUNTIFS(F$1:F6111,F6111,A$1:A6111,A6111)</f>
        <v>102</v>
      </c>
      <c r="P6111" t="str">
        <f t="shared" si="287"/>
        <v>J.D. McKissic12</v>
      </c>
    </row>
    <row r="6112" spans="1:16" x14ac:dyDescent="0.25">
      <c r="A6112">
        <v>3</v>
      </c>
      <c r="B6112" t="s">
        <v>4244</v>
      </c>
      <c r="C6112">
        <f>-0.15-1.25</f>
        <v>-1.4</v>
      </c>
      <c r="D6112">
        <v>0.55000000000000004</v>
      </c>
      <c r="E6112" t="s">
        <v>56</v>
      </c>
      <c r="F6112" t="s">
        <v>87</v>
      </c>
      <c r="G6112">
        <v>1.25</v>
      </c>
      <c r="H6112">
        <v>-0.15</v>
      </c>
      <c r="I6112">
        <v>0.7</v>
      </c>
      <c r="J6112">
        <v>0.49</v>
      </c>
      <c r="K6112" t="str">
        <f>IFERROR(INDEX(Rosters!$C$2:$C$155,MATCH($B6112,Rosters!$B$2:$B$155,0)),"NA")</f>
        <v>NA</v>
      </c>
      <c r="L6112" t="str">
        <f t="shared" si="285"/>
        <v>NA3WR</v>
      </c>
      <c r="M6112">
        <f>COUNTIF(L$1:L6112,L6112)</f>
        <v>81</v>
      </c>
      <c r="N6112" t="str">
        <f t="shared" si="286"/>
        <v>NA3WR-81</v>
      </c>
      <c r="O6112">
        <f>COUNTIFS(F$1:F6112,F6112,A$1:A6112,A6112)</f>
        <v>130</v>
      </c>
      <c r="P6112" t="str">
        <f t="shared" si="287"/>
        <v>J.J. Jones3</v>
      </c>
    </row>
    <row r="6113" spans="1:16" x14ac:dyDescent="0.25">
      <c r="A6113">
        <v>17</v>
      </c>
      <c r="B6113" t="s">
        <v>4244</v>
      </c>
      <c r="C6113">
        <f>-0.11-1.21</f>
        <v>-1.32</v>
      </c>
      <c r="D6113">
        <v>0.55000000000000004</v>
      </c>
      <c r="E6113" t="s">
        <v>42</v>
      </c>
      <c r="F6113" t="s">
        <v>87</v>
      </c>
      <c r="G6113">
        <v>1.21</v>
      </c>
      <c r="H6113">
        <v>-0.11</v>
      </c>
      <c r="I6113">
        <v>0.66</v>
      </c>
      <c r="J6113">
        <v>0.43559999999999999</v>
      </c>
      <c r="K6113" t="str">
        <f>IFERROR(INDEX(Rosters!$C$2:$C$155,MATCH($B6113,Rosters!$B$2:$B$155,0)),"NA")</f>
        <v>NA</v>
      </c>
      <c r="L6113" t="str">
        <f t="shared" si="285"/>
        <v>NA17WR</v>
      </c>
      <c r="M6113">
        <f>COUNTIF(L$1:L6113,L6113)</f>
        <v>106</v>
      </c>
      <c r="N6113" t="str">
        <f t="shared" si="286"/>
        <v>NA17WR-106</v>
      </c>
      <c r="O6113">
        <f>COUNTIFS(F$1:F6113,F6113,A$1:A6113,A6113)</f>
        <v>160</v>
      </c>
      <c r="P6113" t="str">
        <f t="shared" si="287"/>
        <v>J.J. Jones17</v>
      </c>
    </row>
    <row r="6114" spans="1:16" x14ac:dyDescent="0.25">
      <c r="A6114">
        <v>17</v>
      </c>
      <c r="B6114" t="s">
        <v>8885</v>
      </c>
      <c r="C6114">
        <f>-0.06-1.16</f>
        <v>-1.22</v>
      </c>
      <c r="D6114">
        <v>0.55000000000000004</v>
      </c>
      <c r="E6114" t="s">
        <v>25</v>
      </c>
      <c r="F6114" t="s">
        <v>87</v>
      </c>
      <c r="G6114">
        <v>1.1599999999999999</v>
      </c>
      <c r="H6114">
        <v>-0.06</v>
      </c>
      <c r="I6114">
        <v>0.61</v>
      </c>
      <c r="J6114">
        <v>0.37209999999999999</v>
      </c>
      <c r="K6114" t="str">
        <f>IFERROR(INDEX(Rosters!$C$2:$C$155,MATCH($B6114,Rosters!$B$2:$B$155,0)),"NA")</f>
        <v>NA</v>
      </c>
      <c r="L6114" t="str">
        <f t="shared" si="285"/>
        <v>NA17WR</v>
      </c>
      <c r="M6114">
        <f>COUNTIF(L$1:L6114,L6114)</f>
        <v>107</v>
      </c>
      <c r="N6114" t="str">
        <f t="shared" si="286"/>
        <v>NA17WR-107</v>
      </c>
      <c r="O6114">
        <f>COUNTIFS(F$1:F6114,F6114,A$1:A6114,A6114)</f>
        <v>161</v>
      </c>
      <c r="P6114" t="str">
        <f t="shared" si="287"/>
        <v>Javon Wims17</v>
      </c>
    </row>
    <row r="6115" spans="1:16" x14ac:dyDescent="0.25">
      <c r="A6115">
        <v>6</v>
      </c>
      <c r="B6115" t="s">
        <v>8640</v>
      </c>
      <c r="C6115">
        <f>-0.05-1.15</f>
        <v>-1.2</v>
      </c>
      <c r="D6115">
        <v>0.55000000000000004</v>
      </c>
      <c r="E6115" t="s">
        <v>50</v>
      </c>
      <c r="F6115" t="s">
        <v>87</v>
      </c>
      <c r="G6115">
        <v>1.1499999999999999</v>
      </c>
      <c r="H6115">
        <v>-0.05</v>
      </c>
      <c r="I6115">
        <v>0.6</v>
      </c>
      <c r="J6115">
        <v>0.36</v>
      </c>
      <c r="K6115" t="str">
        <f>IFERROR(INDEX(Rosters!$C$2:$C$155,MATCH($B6115,Rosters!$B$2:$B$155,0)),"NA")</f>
        <v>NA</v>
      </c>
      <c r="L6115" t="str">
        <f t="shared" si="285"/>
        <v>NA6WR</v>
      </c>
      <c r="M6115">
        <f>COUNTIF(L$1:L6115,L6115)</f>
        <v>97</v>
      </c>
      <c r="N6115" t="str">
        <f t="shared" si="286"/>
        <v>NA6WR-97</v>
      </c>
      <c r="O6115">
        <f>COUNTIFS(F$1:F6115,F6115,A$1:A6115,A6115)</f>
        <v>147</v>
      </c>
      <c r="P6115" t="str">
        <f t="shared" si="287"/>
        <v>Jawill Davis6</v>
      </c>
    </row>
    <row r="6116" spans="1:16" x14ac:dyDescent="0.25">
      <c r="A6116">
        <v>9</v>
      </c>
      <c r="B6116" t="s">
        <v>1548</v>
      </c>
      <c r="C6116" t="s">
        <v>3861</v>
      </c>
      <c r="D6116">
        <v>0.55000000000000004</v>
      </c>
      <c r="E6116" t="s">
        <v>46</v>
      </c>
      <c r="F6116" t="s">
        <v>114</v>
      </c>
      <c r="G6116">
        <v>1.04</v>
      </c>
      <c r="H6116">
        <v>0.06</v>
      </c>
      <c r="I6116">
        <v>0.49</v>
      </c>
      <c r="J6116">
        <v>0.24010000000000001</v>
      </c>
      <c r="K6116" t="str">
        <f>IFERROR(INDEX(Rosters!$C$2:$C$155,MATCH($B6116,Rosters!$B$2:$B$155,0)),"NA")</f>
        <v>NA</v>
      </c>
      <c r="L6116" t="str">
        <f t="shared" si="285"/>
        <v>NA9TE</v>
      </c>
      <c r="M6116">
        <f>COUNTIF(L$1:L6116,L6116)</f>
        <v>53</v>
      </c>
      <c r="N6116" t="str">
        <f t="shared" si="286"/>
        <v>NA9TE-53</v>
      </c>
      <c r="O6116">
        <f>COUNTIFS(F$1:F6116,F6116,A$1:A6116,A6116)</f>
        <v>64</v>
      </c>
      <c r="P6116" t="str">
        <f t="shared" si="287"/>
        <v>Jeremy Sprinkle9</v>
      </c>
    </row>
    <row r="6117" spans="1:16" x14ac:dyDescent="0.25">
      <c r="A6117">
        <v>12</v>
      </c>
      <c r="B6117" t="s">
        <v>1548</v>
      </c>
      <c r="C6117">
        <f>-0.06-1.16</f>
        <v>-1.22</v>
      </c>
      <c r="D6117">
        <v>0.55000000000000004</v>
      </c>
      <c r="E6117" t="s">
        <v>22</v>
      </c>
      <c r="F6117" t="s">
        <v>114</v>
      </c>
      <c r="G6117">
        <v>1.1599999999999999</v>
      </c>
      <c r="H6117">
        <v>-0.06</v>
      </c>
      <c r="I6117">
        <v>0.61</v>
      </c>
      <c r="J6117">
        <v>0.37209999999999999</v>
      </c>
      <c r="K6117" t="str">
        <f>IFERROR(INDEX(Rosters!$C$2:$C$155,MATCH($B6117,Rosters!$B$2:$B$155,0)),"NA")</f>
        <v>NA</v>
      </c>
      <c r="L6117" t="str">
        <f t="shared" si="285"/>
        <v>NA12TE</v>
      </c>
      <c r="M6117">
        <f>COUNTIF(L$1:L6117,L6117)</f>
        <v>61</v>
      </c>
      <c r="N6117" t="str">
        <f t="shared" si="286"/>
        <v>NA12TE-61</v>
      </c>
      <c r="O6117">
        <f>COUNTIFS(F$1:F6117,F6117,A$1:A6117,A6117)</f>
        <v>74</v>
      </c>
      <c r="P6117" t="str">
        <f t="shared" si="287"/>
        <v>Jeremy Sprinkle12</v>
      </c>
    </row>
    <row r="6118" spans="1:16" x14ac:dyDescent="0.25">
      <c r="A6118">
        <v>1</v>
      </c>
      <c r="B6118" t="s">
        <v>359</v>
      </c>
      <c r="C6118" t="s">
        <v>1604</v>
      </c>
      <c r="D6118">
        <v>0.55000000000000004</v>
      </c>
      <c r="E6118" t="s">
        <v>41</v>
      </c>
      <c r="F6118" t="s">
        <v>87</v>
      </c>
      <c r="G6118">
        <v>1.06</v>
      </c>
      <c r="H6118">
        <v>0.04</v>
      </c>
      <c r="I6118">
        <v>0.51</v>
      </c>
      <c r="J6118">
        <v>0.2601</v>
      </c>
      <c r="K6118" t="str">
        <f>IFERROR(INDEX(Rosters!$C$2:$C$155,MATCH($B6118,Rosters!$B$2:$B$155,0)),"NA")</f>
        <v>NA</v>
      </c>
      <c r="L6118" t="str">
        <f t="shared" si="285"/>
        <v>NA1WR</v>
      </c>
      <c r="M6118">
        <f>COUNTIF(L$1:L6118,L6118)</f>
        <v>68</v>
      </c>
      <c r="N6118" t="str">
        <f t="shared" si="286"/>
        <v>NA1WR-68</v>
      </c>
      <c r="O6118">
        <f>COUNTIFS(F$1:F6118,F6118,A$1:A6118,A6118)</f>
        <v>117</v>
      </c>
      <c r="P6118" t="str">
        <f t="shared" si="287"/>
        <v>Josh Bellamy1</v>
      </c>
    </row>
    <row r="6119" spans="1:16" x14ac:dyDescent="0.25">
      <c r="A6119">
        <v>4</v>
      </c>
      <c r="B6119" t="s">
        <v>359</v>
      </c>
      <c r="C6119">
        <f>-0.17-1.27</f>
        <v>-1.44</v>
      </c>
      <c r="D6119">
        <v>0.55000000000000004</v>
      </c>
      <c r="E6119" t="s">
        <v>17</v>
      </c>
      <c r="F6119" t="s">
        <v>87</v>
      </c>
      <c r="G6119">
        <v>1.27</v>
      </c>
      <c r="H6119">
        <v>-0.17</v>
      </c>
      <c r="I6119">
        <v>0.72</v>
      </c>
      <c r="J6119">
        <v>0.51839999999999997</v>
      </c>
      <c r="K6119" t="str">
        <f>IFERROR(INDEX(Rosters!$C$2:$C$155,MATCH($B6119,Rosters!$B$2:$B$155,0)),"NA")</f>
        <v>NA</v>
      </c>
      <c r="L6119" t="str">
        <f t="shared" si="285"/>
        <v>NA4WR</v>
      </c>
      <c r="M6119">
        <f>COUNTIF(L$1:L6119,L6119)</f>
        <v>78</v>
      </c>
      <c r="N6119" t="str">
        <f t="shared" si="286"/>
        <v>NA4WR-78</v>
      </c>
      <c r="O6119">
        <f>COUNTIFS(F$1:F6119,F6119,A$1:A6119,A6119)</f>
        <v>128</v>
      </c>
      <c r="P6119" t="str">
        <f t="shared" si="287"/>
        <v>Josh Bellamy4</v>
      </c>
    </row>
    <row r="6120" spans="1:16" x14ac:dyDescent="0.25">
      <c r="A6120">
        <v>6</v>
      </c>
      <c r="B6120" t="s">
        <v>1597</v>
      </c>
      <c r="C6120">
        <f>-0.01-1.11</f>
        <v>-1.1200000000000001</v>
      </c>
      <c r="D6120">
        <v>0.55000000000000004</v>
      </c>
      <c r="E6120" t="s">
        <v>36</v>
      </c>
      <c r="F6120" t="s">
        <v>114</v>
      </c>
      <c r="G6120">
        <v>1.1100000000000001</v>
      </c>
      <c r="H6120">
        <v>-0.01</v>
      </c>
      <c r="I6120">
        <v>0.56000000000000005</v>
      </c>
      <c r="J6120">
        <v>0.31359999999999999</v>
      </c>
      <c r="K6120" t="str">
        <f>IFERROR(INDEX(Rosters!$C$2:$C$155,MATCH($B6120,Rosters!$B$2:$B$155,0)),"NA")</f>
        <v>NA</v>
      </c>
      <c r="L6120" t="str">
        <f t="shared" si="285"/>
        <v>NA6TE</v>
      </c>
      <c r="M6120">
        <f>COUNTIF(L$1:L6120,L6120)</f>
        <v>61</v>
      </c>
      <c r="N6120" t="str">
        <f t="shared" si="286"/>
        <v>NA6TE-61</v>
      </c>
      <c r="O6120">
        <f>COUNTIFS(F$1:F6120,F6120,A$1:A6120,A6120)</f>
        <v>73</v>
      </c>
      <c r="P6120" t="str">
        <f t="shared" si="287"/>
        <v>Khari Lee6</v>
      </c>
    </row>
    <row r="6121" spans="1:16" x14ac:dyDescent="0.25">
      <c r="A6121">
        <v>4</v>
      </c>
      <c r="B6121" t="s">
        <v>389</v>
      </c>
      <c r="C6121">
        <f>-0.13-1.23</f>
        <v>-1.3599999999999999</v>
      </c>
      <c r="D6121">
        <v>0.55000000000000004</v>
      </c>
      <c r="E6121" t="s">
        <v>52</v>
      </c>
      <c r="F6121" t="s">
        <v>114</v>
      </c>
      <c r="G6121">
        <v>1.23</v>
      </c>
      <c r="H6121">
        <v>-0.13</v>
      </c>
      <c r="I6121">
        <v>0.68</v>
      </c>
      <c r="J6121">
        <v>0.46239999999999998</v>
      </c>
      <c r="K6121" t="str">
        <f>IFERROR(INDEX(Rosters!$C$2:$C$155,MATCH($B6121,Rosters!$B$2:$B$155,0)),"NA")</f>
        <v>NA</v>
      </c>
      <c r="L6121" t="str">
        <f t="shared" si="285"/>
        <v>NA4TE</v>
      </c>
      <c r="M6121">
        <f>COUNTIF(L$1:L6121,L6121)</f>
        <v>55</v>
      </c>
      <c r="N6121" t="str">
        <f t="shared" si="286"/>
        <v>NA4TE-55</v>
      </c>
      <c r="O6121">
        <f>COUNTIFS(F$1:F6121,F6121,A$1:A6121,A6121)</f>
        <v>66</v>
      </c>
      <c r="P6121" t="str">
        <f t="shared" si="287"/>
        <v>Lee Smith4</v>
      </c>
    </row>
    <row r="6122" spans="1:16" x14ac:dyDescent="0.25">
      <c r="A6122">
        <v>12</v>
      </c>
      <c r="B6122" t="s">
        <v>1125</v>
      </c>
      <c r="C6122" t="s">
        <v>1020</v>
      </c>
      <c r="D6122">
        <v>0.55000000000000004</v>
      </c>
      <c r="E6122" t="s">
        <v>14</v>
      </c>
      <c r="F6122" t="s">
        <v>114</v>
      </c>
      <c r="G6122">
        <v>1.08</v>
      </c>
      <c r="H6122">
        <v>0.02</v>
      </c>
      <c r="I6122">
        <v>0.53</v>
      </c>
      <c r="J6122">
        <v>0.28089999999999998</v>
      </c>
      <c r="K6122" t="str">
        <f>IFERROR(INDEX(Rosters!$C$2:$C$155,MATCH($B6122,Rosters!$B$2:$B$155,0)),"NA")</f>
        <v>NA</v>
      </c>
      <c r="L6122" t="str">
        <f t="shared" si="285"/>
        <v>NA12TE</v>
      </c>
      <c r="M6122">
        <f>COUNTIF(L$1:L6122,L6122)</f>
        <v>62</v>
      </c>
      <c r="N6122" t="str">
        <f t="shared" si="286"/>
        <v>NA12TE-62</v>
      </c>
      <c r="O6122">
        <f>COUNTIFS(F$1:F6122,F6122,A$1:A6122,A6122)</f>
        <v>75</v>
      </c>
      <c r="P6122" t="str">
        <f t="shared" si="287"/>
        <v>Logan Paulsen12</v>
      </c>
    </row>
    <row r="6123" spans="1:16" x14ac:dyDescent="0.25">
      <c r="A6123">
        <v>13</v>
      </c>
      <c r="B6123" t="s">
        <v>1125</v>
      </c>
      <c r="C6123">
        <f>-0.01-1.11</f>
        <v>-1.1200000000000001</v>
      </c>
      <c r="D6123">
        <v>0.55000000000000004</v>
      </c>
      <c r="E6123" t="s">
        <v>77</v>
      </c>
      <c r="F6123" t="s">
        <v>114</v>
      </c>
      <c r="G6123">
        <v>1.1100000000000001</v>
      </c>
      <c r="H6123">
        <v>-0.01</v>
      </c>
      <c r="I6123">
        <v>0.56000000000000005</v>
      </c>
      <c r="J6123">
        <v>0.31359999999999999</v>
      </c>
      <c r="K6123" t="str">
        <f>IFERROR(INDEX(Rosters!$C$2:$C$155,MATCH($B6123,Rosters!$B$2:$B$155,0)),"NA")</f>
        <v>NA</v>
      </c>
      <c r="L6123" t="str">
        <f t="shared" si="285"/>
        <v>NA13TE</v>
      </c>
      <c r="M6123">
        <f>COUNTIF(L$1:L6123,L6123)</f>
        <v>64</v>
      </c>
      <c r="N6123" t="str">
        <f t="shared" si="286"/>
        <v>NA13TE-64</v>
      </c>
      <c r="O6123">
        <f>COUNTIFS(F$1:F6123,F6123,A$1:A6123,A6123)</f>
        <v>78</v>
      </c>
      <c r="P6123" t="str">
        <f t="shared" si="287"/>
        <v>Logan Paulsen13</v>
      </c>
    </row>
    <row r="6124" spans="1:16" x14ac:dyDescent="0.25">
      <c r="A6124">
        <v>9</v>
      </c>
      <c r="B6124" t="s">
        <v>288</v>
      </c>
      <c r="C6124">
        <f>-0.03-1.13</f>
        <v>-1.1599999999999999</v>
      </c>
      <c r="D6124">
        <v>0.55000000000000004</v>
      </c>
      <c r="E6124" t="s">
        <v>423</v>
      </c>
      <c r="F6124" t="s">
        <v>114</v>
      </c>
      <c r="G6124">
        <v>1.1299999999999999</v>
      </c>
      <c r="H6124">
        <v>-0.03</v>
      </c>
      <c r="I6124">
        <v>0.57999999999999996</v>
      </c>
      <c r="J6124">
        <v>0.33639999999999998</v>
      </c>
      <c r="K6124" t="str">
        <f>IFERROR(INDEX(Rosters!$C$2:$C$155,MATCH($B6124,Rosters!$B$2:$B$155,0)),"NA")</f>
        <v>NA</v>
      </c>
      <c r="L6124" t="str">
        <f t="shared" si="285"/>
        <v>NA9TE</v>
      </c>
      <c r="M6124">
        <f>COUNTIF(L$1:L6124,L6124)</f>
        <v>54</v>
      </c>
      <c r="N6124" t="str">
        <f t="shared" si="286"/>
        <v>NA9TE-54</v>
      </c>
      <c r="O6124">
        <f>COUNTIFS(F$1:F6124,F6124,A$1:A6124,A6124)</f>
        <v>65</v>
      </c>
      <c r="P6124" t="str">
        <f t="shared" si="287"/>
        <v>Marcedes Lewis9</v>
      </c>
    </row>
    <row r="6125" spans="1:16" x14ac:dyDescent="0.25">
      <c r="A6125">
        <v>6</v>
      </c>
      <c r="B6125" t="s">
        <v>1633</v>
      </c>
      <c r="C6125">
        <f>-0.05-1.15</f>
        <v>-1.2</v>
      </c>
      <c r="D6125">
        <v>0.55000000000000004</v>
      </c>
      <c r="E6125" t="s">
        <v>73</v>
      </c>
      <c r="F6125" t="s">
        <v>87</v>
      </c>
      <c r="G6125">
        <v>1.1499999999999999</v>
      </c>
      <c r="H6125">
        <v>-0.05</v>
      </c>
      <c r="I6125">
        <v>0.6</v>
      </c>
      <c r="J6125">
        <v>0.36</v>
      </c>
      <c r="K6125" t="str">
        <f>IFERROR(INDEX(Rosters!$C$2:$C$155,MATCH($B6125,Rosters!$B$2:$B$155,0)),"NA")</f>
        <v>NA</v>
      </c>
      <c r="L6125" t="str">
        <f t="shared" si="285"/>
        <v>NA6WR</v>
      </c>
      <c r="M6125">
        <f>COUNTIF(L$1:L6125,L6125)</f>
        <v>98</v>
      </c>
      <c r="N6125" t="str">
        <f t="shared" si="286"/>
        <v>NA6WR-98</v>
      </c>
      <c r="O6125">
        <f>COUNTIFS(F$1:F6125,F6125,A$1:A6125,A6125)</f>
        <v>148</v>
      </c>
      <c r="P6125" t="str">
        <f t="shared" si="287"/>
        <v>Marcus Johnson6</v>
      </c>
    </row>
    <row r="6126" spans="1:16" x14ac:dyDescent="0.25">
      <c r="A6126">
        <v>6</v>
      </c>
      <c r="B6126" t="s">
        <v>4215</v>
      </c>
      <c r="C6126" t="s">
        <v>1606</v>
      </c>
      <c r="D6126">
        <v>0.55000000000000004</v>
      </c>
      <c r="E6126" t="s">
        <v>51</v>
      </c>
      <c r="F6126" t="s">
        <v>47</v>
      </c>
      <c r="G6126">
        <v>1.0900000000000001</v>
      </c>
      <c r="H6126">
        <v>0.01</v>
      </c>
      <c r="I6126">
        <v>0.54</v>
      </c>
      <c r="J6126">
        <v>0.29160000000000003</v>
      </c>
      <c r="K6126" t="str">
        <f>IFERROR(INDEX(Rosters!$C$2:$C$155,MATCH($B6126,Rosters!$B$2:$B$155,0)),"NA")</f>
        <v>NA</v>
      </c>
      <c r="L6126" t="str">
        <f t="shared" si="285"/>
        <v>NA6RB</v>
      </c>
      <c r="M6126">
        <f>COUNTIF(L$1:L6126,L6126)</f>
        <v>55</v>
      </c>
      <c r="N6126" t="str">
        <f t="shared" si="286"/>
        <v>NA6RB-55</v>
      </c>
      <c r="O6126">
        <f>COUNTIFS(F$1:F6126,F6126,A$1:A6126,A6126)</f>
        <v>97</v>
      </c>
      <c r="P6126" t="str">
        <f t="shared" si="287"/>
        <v>Mark Walton6</v>
      </c>
    </row>
    <row r="6127" spans="1:16" x14ac:dyDescent="0.25">
      <c r="A6127">
        <v>4</v>
      </c>
      <c r="B6127" t="s">
        <v>1594</v>
      </c>
      <c r="C6127" t="s">
        <v>3863</v>
      </c>
      <c r="D6127">
        <v>0.55000000000000004</v>
      </c>
      <c r="E6127" t="s">
        <v>31</v>
      </c>
      <c r="F6127" t="s">
        <v>87</v>
      </c>
      <c r="G6127">
        <v>1.05</v>
      </c>
      <c r="H6127">
        <v>0.05</v>
      </c>
      <c r="I6127">
        <v>0.5</v>
      </c>
      <c r="J6127">
        <v>0.25</v>
      </c>
      <c r="K6127" t="str">
        <f>IFERROR(INDEX(Rosters!$C$2:$C$155,MATCH($B6127,Rosters!$B$2:$B$155,0)),"NA")</f>
        <v>NA</v>
      </c>
      <c r="L6127" t="str">
        <f t="shared" si="285"/>
        <v>NA4WR</v>
      </c>
      <c r="M6127">
        <f>COUNTIF(L$1:L6127,L6127)</f>
        <v>79</v>
      </c>
      <c r="N6127" t="str">
        <f t="shared" si="286"/>
        <v>NA4WR-79</v>
      </c>
      <c r="O6127">
        <f>COUNTIFS(F$1:F6127,F6127,A$1:A6127,A6127)</f>
        <v>129</v>
      </c>
      <c r="P6127" t="str">
        <f t="shared" si="287"/>
        <v>Marvin Hall4</v>
      </c>
    </row>
    <row r="6128" spans="1:16" x14ac:dyDescent="0.25">
      <c r="A6128">
        <v>17</v>
      </c>
      <c r="B6128" t="s">
        <v>345</v>
      </c>
      <c r="C6128">
        <f>-0.04-1.14</f>
        <v>-1.18</v>
      </c>
      <c r="D6128">
        <v>0.55000000000000004</v>
      </c>
      <c r="E6128" t="s">
        <v>17</v>
      </c>
      <c r="F6128" t="s">
        <v>15</v>
      </c>
      <c r="G6128">
        <v>1.1399999999999999</v>
      </c>
      <c r="H6128">
        <v>-0.04</v>
      </c>
      <c r="I6128">
        <v>0.59</v>
      </c>
      <c r="J6128">
        <v>0.34810000000000002</v>
      </c>
      <c r="K6128" t="str">
        <f>IFERROR(INDEX(Rosters!$C$2:$C$155,MATCH($B6128,Rosters!$B$2:$B$155,0)),"NA")</f>
        <v>NA</v>
      </c>
      <c r="L6128" t="str">
        <f t="shared" si="285"/>
        <v>NA17QB</v>
      </c>
      <c r="M6128">
        <f>COUNTIF(L$1:L6128,L6128)</f>
        <v>39</v>
      </c>
      <c r="N6128" t="str">
        <f t="shared" si="286"/>
        <v>NA17QB-39</v>
      </c>
      <c r="O6128">
        <f>COUNTIFS(F$1:F6128,F6128,A$1:A6128,A6128)</f>
        <v>56</v>
      </c>
      <c r="P6128" t="str">
        <f t="shared" si="287"/>
        <v>Matt Schaub17</v>
      </c>
    </row>
    <row r="6129" spans="1:16" x14ac:dyDescent="0.25">
      <c r="A6129">
        <v>17</v>
      </c>
      <c r="B6129" t="s">
        <v>1584</v>
      </c>
      <c r="C6129">
        <f>-0.03-1.13</f>
        <v>-1.1599999999999999</v>
      </c>
      <c r="D6129">
        <v>0.55000000000000004</v>
      </c>
      <c r="E6129" t="s">
        <v>66</v>
      </c>
      <c r="F6129" t="s">
        <v>114</v>
      </c>
      <c r="G6129">
        <v>1.1299999999999999</v>
      </c>
      <c r="H6129">
        <v>-0.03</v>
      </c>
      <c r="I6129">
        <v>0.57999999999999996</v>
      </c>
      <c r="J6129">
        <v>0.33639999999999998</v>
      </c>
      <c r="K6129" t="str">
        <f>IFERROR(INDEX(Rosters!$C$2:$C$155,MATCH($B6129,Rosters!$B$2:$B$155,0)),"NA")</f>
        <v>NA</v>
      </c>
      <c r="L6129" t="str">
        <f t="shared" si="285"/>
        <v>NA17TE</v>
      </c>
      <c r="M6129">
        <f>COUNTIF(L$1:L6129,L6129)</f>
        <v>64</v>
      </c>
      <c r="N6129" t="str">
        <f t="shared" si="286"/>
        <v>NA17TE-64</v>
      </c>
      <c r="O6129">
        <f>COUNTIFS(F$1:F6129,F6129,A$1:A6129,A6129)</f>
        <v>78</v>
      </c>
      <c r="P6129" t="str">
        <f t="shared" si="287"/>
        <v>MyCole Pruitt17</v>
      </c>
    </row>
    <row r="6130" spans="1:16" x14ac:dyDescent="0.25">
      <c r="A6130">
        <v>5</v>
      </c>
      <c r="B6130" t="s">
        <v>2968</v>
      </c>
      <c r="C6130">
        <f>-0.1-1.2</f>
        <v>-1.3</v>
      </c>
      <c r="D6130">
        <v>0.55000000000000004</v>
      </c>
      <c r="E6130" t="s">
        <v>77</v>
      </c>
      <c r="F6130" t="s">
        <v>114</v>
      </c>
      <c r="G6130">
        <v>1.2</v>
      </c>
      <c r="H6130">
        <v>-0.1</v>
      </c>
      <c r="I6130">
        <v>0.65</v>
      </c>
      <c r="J6130">
        <v>0.42249999999999999</v>
      </c>
      <c r="K6130" t="str">
        <f>IFERROR(INDEX(Rosters!$C$2:$C$155,MATCH($B6130,Rosters!$B$2:$B$155,0)),"NA")</f>
        <v>NA</v>
      </c>
      <c r="L6130" t="str">
        <f t="shared" si="285"/>
        <v>NA5TE</v>
      </c>
      <c r="M6130">
        <f>COUNTIF(L$1:L6130,L6130)</f>
        <v>64</v>
      </c>
      <c r="N6130" t="str">
        <f t="shared" si="286"/>
        <v>NA5TE-64</v>
      </c>
      <c r="O6130">
        <f>COUNTIFS(F$1:F6130,F6130,A$1:A6130,A6130)</f>
        <v>75</v>
      </c>
      <c r="P6130" t="str">
        <f t="shared" si="287"/>
        <v>Orson Charles5</v>
      </c>
    </row>
    <row r="6131" spans="1:16" x14ac:dyDescent="0.25">
      <c r="A6131">
        <v>9</v>
      </c>
      <c r="B6131" t="s">
        <v>2968</v>
      </c>
      <c r="C6131">
        <f>-0.02-1.12</f>
        <v>-1.1400000000000001</v>
      </c>
      <c r="D6131">
        <v>0.55000000000000004</v>
      </c>
      <c r="E6131" t="s">
        <v>24</v>
      </c>
      <c r="F6131" t="s">
        <v>114</v>
      </c>
      <c r="G6131">
        <v>1.1200000000000001</v>
      </c>
      <c r="H6131">
        <v>-0.02</v>
      </c>
      <c r="I6131">
        <v>0.56999999999999995</v>
      </c>
      <c r="J6131">
        <v>0.32490000000000002</v>
      </c>
      <c r="K6131" t="str">
        <f>IFERROR(INDEX(Rosters!$C$2:$C$155,MATCH($B6131,Rosters!$B$2:$B$155,0)),"NA")</f>
        <v>NA</v>
      </c>
      <c r="L6131" t="str">
        <f t="shared" si="285"/>
        <v>NA9TE</v>
      </c>
      <c r="M6131">
        <f>COUNTIF(L$1:L6131,L6131)</f>
        <v>55</v>
      </c>
      <c r="N6131" t="str">
        <f t="shared" si="286"/>
        <v>NA9TE-55</v>
      </c>
      <c r="O6131">
        <f>COUNTIFS(F$1:F6131,F6131,A$1:A6131,A6131)</f>
        <v>66</v>
      </c>
      <c r="P6131" t="str">
        <f t="shared" si="287"/>
        <v>Orson Charles9</v>
      </c>
    </row>
    <row r="6132" spans="1:16" x14ac:dyDescent="0.25">
      <c r="A6132">
        <v>12</v>
      </c>
      <c r="B6132" t="s">
        <v>2968</v>
      </c>
      <c r="C6132">
        <f>-0.07-1.17</f>
        <v>-1.24</v>
      </c>
      <c r="D6132">
        <v>0.55000000000000004</v>
      </c>
      <c r="E6132" t="s">
        <v>31</v>
      </c>
      <c r="F6132" t="s">
        <v>114</v>
      </c>
      <c r="G6132">
        <v>1.17</v>
      </c>
      <c r="H6132">
        <v>-7.0000000000000007E-2</v>
      </c>
      <c r="I6132">
        <v>0.62</v>
      </c>
      <c r="J6132">
        <v>0.38440000000000002</v>
      </c>
      <c r="K6132" t="str">
        <f>IFERROR(INDEX(Rosters!$C$2:$C$155,MATCH($B6132,Rosters!$B$2:$B$155,0)),"NA")</f>
        <v>NA</v>
      </c>
      <c r="L6132" t="str">
        <f t="shared" si="285"/>
        <v>NA12TE</v>
      </c>
      <c r="M6132">
        <f>COUNTIF(L$1:L6132,L6132)</f>
        <v>63</v>
      </c>
      <c r="N6132" t="str">
        <f t="shared" si="286"/>
        <v>NA12TE-63</v>
      </c>
      <c r="O6132">
        <f>COUNTIFS(F$1:F6132,F6132,A$1:A6132,A6132)</f>
        <v>76</v>
      </c>
      <c r="P6132" t="str">
        <f t="shared" si="287"/>
        <v>Orson Charles12</v>
      </c>
    </row>
    <row r="6133" spans="1:16" x14ac:dyDescent="0.25">
      <c r="A6133">
        <v>8</v>
      </c>
      <c r="B6133" t="s">
        <v>328</v>
      </c>
      <c r="C6133">
        <f>-0.2-1.3</f>
        <v>-1.5</v>
      </c>
      <c r="D6133">
        <v>0.55000000000000004</v>
      </c>
      <c r="E6133" t="s">
        <v>423</v>
      </c>
      <c r="F6133" t="s">
        <v>47</v>
      </c>
      <c r="G6133">
        <v>1.3</v>
      </c>
      <c r="H6133">
        <v>-0.2</v>
      </c>
      <c r="I6133">
        <v>0.75</v>
      </c>
      <c r="J6133">
        <v>0.5625</v>
      </c>
      <c r="K6133" t="str">
        <f>IFERROR(INDEX(Rosters!$C$2:$C$155,MATCH($B6133,Rosters!$B$2:$B$155,0)),"NA")</f>
        <v>NA</v>
      </c>
      <c r="L6133" t="str">
        <f t="shared" si="285"/>
        <v>NA8RB</v>
      </c>
      <c r="M6133">
        <f>COUNTIF(L$1:L6133,L6133)</f>
        <v>56</v>
      </c>
      <c r="N6133" t="str">
        <f t="shared" si="286"/>
        <v>NA8RB-56</v>
      </c>
      <c r="O6133">
        <f>COUNTIFS(F$1:F6133,F6133,A$1:A6133,A6133)</f>
        <v>96</v>
      </c>
      <c r="P6133" t="str">
        <f t="shared" si="287"/>
        <v>Patrick DiMarco8</v>
      </c>
    </row>
    <row r="6134" spans="1:16" x14ac:dyDescent="0.25">
      <c r="A6134">
        <v>7</v>
      </c>
      <c r="B6134" t="s">
        <v>4701</v>
      </c>
      <c r="C6134">
        <f>-0.11-1.21</f>
        <v>-1.32</v>
      </c>
      <c r="D6134">
        <v>0.55000000000000004</v>
      </c>
      <c r="E6134" t="s">
        <v>66</v>
      </c>
      <c r="F6134" t="s">
        <v>87</v>
      </c>
      <c r="G6134">
        <v>1.21</v>
      </c>
      <c r="H6134">
        <v>-0.11</v>
      </c>
      <c r="I6134">
        <v>0.66</v>
      </c>
      <c r="J6134">
        <v>0.43559999999999999</v>
      </c>
      <c r="K6134" t="str">
        <f>IFERROR(INDEX(Rosters!$C$2:$C$155,MATCH($B6134,Rosters!$B$2:$B$155,0)),"NA")</f>
        <v>NA</v>
      </c>
      <c r="L6134" t="str">
        <f t="shared" si="285"/>
        <v>NA7WR</v>
      </c>
      <c r="M6134">
        <f>COUNTIF(L$1:L6134,L6134)</f>
        <v>92</v>
      </c>
      <c r="N6134" t="str">
        <f t="shared" si="286"/>
        <v>NA7WR-92</v>
      </c>
      <c r="O6134">
        <f>COUNTIFS(F$1:F6134,F6134,A$1:A6134,A6134)</f>
        <v>137</v>
      </c>
      <c r="P6134" t="str">
        <f t="shared" si="287"/>
        <v>Ray-Ray McCloud7</v>
      </c>
    </row>
    <row r="6135" spans="1:16" x14ac:dyDescent="0.25">
      <c r="A6135">
        <v>10</v>
      </c>
      <c r="B6135" t="s">
        <v>4701</v>
      </c>
      <c r="C6135" t="s">
        <v>1020</v>
      </c>
      <c r="D6135">
        <v>0.55000000000000004</v>
      </c>
      <c r="E6135" t="s">
        <v>73</v>
      </c>
      <c r="F6135" t="s">
        <v>87</v>
      </c>
      <c r="G6135">
        <v>1.08</v>
      </c>
      <c r="H6135">
        <v>0.02</v>
      </c>
      <c r="I6135">
        <v>0.53</v>
      </c>
      <c r="J6135">
        <v>0.28089999999999998</v>
      </c>
      <c r="K6135" t="str">
        <f>IFERROR(INDEX(Rosters!$C$2:$C$155,MATCH($B6135,Rosters!$B$2:$B$155,0)),"NA")</f>
        <v>NA</v>
      </c>
      <c r="L6135" t="str">
        <f t="shared" si="285"/>
        <v>NA10WR</v>
      </c>
      <c r="M6135">
        <f>COUNTIF(L$1:L6135,L6135)</f>
        <v>95</v>
      </c>
      <c r="N6135" t="str">
        <f t="shared" si="286"/>
        <v>NA10WR-95</v>
      </c>
      <c r="O6135">
        <f>COUNTIFS(F$1:F6135,F6135,A$1:A6135,A6135)</f>
        <v>140</v>
      </c>
      <c r="P6135" t="str">
        <f t="shared" si="287"/>
        <v>Ray-Ray McCloud10</v>
      </c>
    </row>
    <row r="6136" spans="1:16" x14ac:dyDescent="0.25">
      <c r="A6136">
        <v>13</v>
      </c>
      <c r="B6136" t="s">
        <v>4701</v>
      </c>
      <c r="C6136">
        <f>-0.08-1.18</f>
        <v>-1.26</v>
      </c>
      <c r="D6136">
        <v>0.55000000000000004</v>
      </c>
      <c r="E6136" t="s">
        <v>19</v>
      </c>
      <c r="F6136" t="s">
        <v>87</v>
      </c>
      <c r="G6136">
        <v>1.18</v>
      </c>
      <c r="H6136">
        <v>-0.08</v>
      </c>
      <c r="I6136">
        <v>0.63</v>
      </c>
      <c r="J6136">
        <v>0.39689999999999998</v>
      </c>
      <c r="K6136" t="str">
        <f>IFERROR(INDEX(Rosters!$C$2:$C$155,MATCH($B6136,Rosters!$B$2:$B$155,0)),"NA")</f>
        <v>NA</v>
      </c>
      <c r="L6136" t="str">
        <f t="shared" si="285"/>
        <v>NA13WR</v>
      </c>
      <c r="M6136">
        <f>COUNTIF(L$1:L6136,L6136)</f>
        <v>103</v>
      </c>
      <c r="N6136" t="str">
        <f t="shared" si="286"/>
        <v>NA13WR-103</v>
      </c>
      <c r="O6136">
        <f>COUNTIFS(F$1:F6136,F6136,A$1:A6136,A6136)</f>
        <v>157</v>
      </c>
      <c r="P6136" t="str">
        <f t="shared" si="287"/>
        <v>Ray-Ray McCloud13</v>
      </c>
    </row>
    <row r="6137" spans="1:16" x14ac:dyDescent="0.25">
      <c r="A6137">
        <v>11</v>
      </c>
      <c r="B6137" t="s">
        <v>295</v>
      </c>
      <c r="C6137" t="s">
        <v>1020</v>
      </c>
      <c r="D6137">
        <v>0.55000000000000004</v>
      </c>
      <c r="E6137" t="s">
        <v>14</v>
      </c>
      <c r="F6137" t="s">
        <v>114</v>
      </c>
      <c r="G6137">
        <v>1.08</v>
      </c>
      <c r="H6137">
        <v>0.02</v>
      </c>
      <c r="I6137">
        <v>0.53</v>
      </c>
      <c r="J6137">
        <v>0.28089999999999998</v>
      </c>
      <c r="K6137" t="str">
        <f>IFERROR(INDEX(Rosters!$C$2:$C$155,MATCH($B6137,Rosters!$B$2:$B$155,0)),"NA")</f>
        <v>NA</v>
      </c>
      <c r="L6137" t="str">
        <f t="shared" si="285"/>
        <v>NA11TE</v>
      </c>
      <c r="M6137">
        <f>COUNTIF(L$1:L6137,L6137)</f>
        <v>52</v>
      </c>
      <c r="N6137" t="str">
        <f t="shared" si="286"/>
        <v>NA11TE-52</v>
      </c>
      <c r="O6137">
        <f>COUNTIFS(F$1:F6137,F6137,A$1:A6137,A6137)</f>
        <v>64</v>
      </c>
      <c r="P6137" t="str">
        <f t="shared" si="287"/>
        <v>Richard Rodgers11</v>
      </c>
    </row>
    <row r="6138" spans="1:16" x14ac:dyDescent="0.25">
      <c r="A6138">
        <v>8</v>
      </c>
      <c r="B6138" t="s">
        <v>4260</v>
      </c>
      <c r="C6138">
        <f>-0.13-1.23</f>
        <v>-1.3599999999999999</v>
      </c>
      <c r="D6138">
        <v>0.55000000000000004</v>
      </c>
      <c r="E6138" t="s">
        <v>423</v>
      </c>
      <c r="F6138" t="s">
        <v>87</v>
      </c>
      <c r="G6138">
        <v>1.23</v>
      </c>
      <c r="H6138">
        <v>-0.13</v>
      </c>
      <c r="I6138">
        <v>0.68</v>
      </c>
      <c r="J6138">
        <v>0.46239999999999998</v>
      </c>
      <c r="K6138" t="str">
        <f>IFERROR(INDEX(Rosters!$C$2:$C$155,MATCH($B6138,Rosters!$B$2:$B$155,0)),"NA")</f>
        <v>NA</v>
      </c>
      <c r="L6138" t="str">
        <f t="shared" si="285"/>
        <v>NA8WR</v>
      </c>
      <c r="M6138">
        <f>COUNTIF(L$1:L6138,L6138)</f>
        <v>83</v>
      </c>
      <c r="N6138" t="str">
        <f t="shared" si="286"/>
        <v>NA8WR-83</v>
      </c>
      <c r="O6138">
        <f>COUNTIFS(F$1:F6138,F6138,A$1:A6138,A6138)</f>
        <v>132</v>
      </c>
      <c r="P6138" t="str">
        <f t="shared" si="287"/>
        <v>Robert Foster8</v>
      </c>
    </row>
    <row r="6139" spans="1:16" x14ac:dyDescent="0.25">
      <c r="A6139">
        <v>13</v>
      </c>
      <c r="B6139" t="s">
        <v>3845</v>
      </c>
      <c r="C6139">
        <f>-0.13-1.23</f>
        <v>-1.3599999999999999</v>
      </c>
      <c r="D6139">
        <v>0.55000000000000004</v>
      </c>
      <c r="E6139" t="s">
        <v>36</v>
      </c>
      <c r="F6139" t="s">
        <v>87</v>
      </c>
      <c r="G6139">
        <v>1.23</v>
      </c>
      <c r="H6139">
        <v>-0.13</v>
      </c>
      <c r="I6139">
        <v>0.68</v>
      </c>
      <c r="J6139">
        <v>0.46239999999999998</v>
      </c>
      <c r="K6139" t="str">
        <f>IFERROR(INDEX(Rosters!$C$2:$C$155,MATCH($B6139,Rosters!$B$2:$B$155,0)),"NA")</f>
        <v>NA</v>
      </c>
      <c r="L6139" t="str">
        <f t="shared" si="285"/>
        <v>NA13WR</v>
      </c>
      <c r="M6139">
        <f>COUNTIF(L$1:L6139,L6139)</f>
        <v>104</v>
      </c>
      <c r="N6139" t="str">
        <f t="shared" si="286"/>
        <v>NA13WR-104</v>
      </c>
      <c r="O6139">
        <f>COUNTIFS(F$1:F6139,F6139,A$1:A6139,A6139)</f>
        <v>158</v>
      </c>
      <c r="P6139" t="str">
        <f t="shared" si="287"/>
        <v>Rod Streater13</v>
      </c>
    </row>
    <row r="6140" spans="1:16" x14ac:dyDescent="0.25">
      <c r="A6140">
        <v>12</v>
      </c>
      <c r="B6140" t="s">
        <v>4246</v>
      </c>
      <c r="C6140">
        <f>-0.12-1.22</f>
        <v>-1.3399999999999999</v>
      </c>
      <c r="D6140">
        <v>0.55000000000000004</v>
      </c>
      <c r="E6140" t="s">
        <v>50</v>
      </c>
      <c r="F6140" t="s">
        <v>114</v>
      </c>
      <c r="G6140">
        <v>1.22</v>
      </c>
      <c r="H6140">
        <v>-0.12</v>
      </c>
      <c r="I6140">
        <v>0.67</v>
      </c>
      <c r="J6140">
        <v>0.44890000000000002</v>
      </c>
      <c r="K6140" t="str">
        <f>IFERROR(INDEX(Rosters!$C$2:$C$155,MATCH($B6140,Rosters!$B$2:$B$155,0)),"NA")</f>
        <v>NA</v>
      </c>
      <c r="L6140" t="str">
        <f t="shared" si="285"/>
        <v>NA12TE</v>
      </c>
      <c r="M6140">
        <f>COUNTIF(L$1:L6140,L6140)</f>
        <v>64</v>
      </c>
      <c r="N6140" t="str">
        <f t="shared" si="286"/>
        <v>NA12TE-64</v>
      </c>
      <c r="O6140">
        <f>COUNTIFS(F$1:F6140,F6140,A$1:A6140,A6140)</f>
        <v>77</v>
      </c>
      <c r="P6140" t="str">
        <f t="shared" si="287"/>
        <v>Scott Simonson12</v>
      </c>
    </row>
    <row r="6141" spans="1:16" x14ac:dyDescent="0.25">
      <c r="A6141">
        <v>4</v>
      </c>
      <c r="B6141" t="s">
        <v>1634</v>
      </c>
      <c r="C6141">
        <f>-0.24-1.34</f>
        <v>-1.58</v>
      </c>
      <c r="D6141">
        <v>0.55000000000000004</v>
      </c>
      <c r="E6141" t="s">
        <v>38</v>
      </c>
      <c r="F6141" t="s">
        <v>87</v>
      </c>
      <c r="G6141">
        <v>1.34</v>
      </c>
      <c r="H6141">
        <v>-0.24</v>
      </c>
      <c r="I6141">
        <v>0.79</v>
      </c>
      <c r="J6141">
        <v>0.62409999999999999</v>
      </c>
      <c r="K6141" t="str">
        <f>IFERROR(INDEX(Rosters!$C$2:$C$155,MATCH($B6141,Rosters!$B$2:$B$155,0)),"NA")</f>
        <v>NA</v>
      </c>
      <c r="L6141" t="str">
        <f t="shared" si="285"/>
        <v>NA4WR</v>
      </c>
      <c r="M6141">
        <f>COUNTIF(L$1:L6141,L6141)</f>
        <v>80</v>
      </c>
      <c r="N6141" t="str">
        <f t="shared" si="286"/>
        <v>NA4WR-80</v>
      </c>
      <c r="O6141">
        <f>COUNTIFS(F$1:F6141,F6141,A$1:A6141,A6141)</f>
        <v>130</v>
      </c>
      <c r="P6141" t="str">
        <f t="shared" si="287"/>
        <v>Shelton Gibson4</v>
      </c>
    </row>
    <row r="6142" spans="1:16" x14ac:dyDescent="0.25">
      <c r="A6142">
        <v>8</v>
      </c>
      <c r="B6142" t="s">
        <v>4254</v>
      </c>
      <c r="C6142">
        <f>-0.06-1.16</f>
        <v>-1.22</v>
      </c>
      <c r="D6142">
        <v>0.55000000000000004</v>
      </c>
      <c r="E6142" t="s">
        <v>30</v>
      </c>
      <c r="F6142" t="s">
        <v>47</v>
      </c>
      <c r="G6142">
        <v>1.1599999999999999</v>
      </c>
      <c r="H6142">
        <v>-0.06</v>
      </c>
      <c r="I6142">
        <v>0.61</v>
      </c>
      <c r="J6142">
        <v>0.37209999999999999</v>
      </c>
      <c r="K6142" t="str">
        <f>IFERROR(INDEX(Rosters!$C$2:$C$155,MATCH($B6142,Rosters!$B$2:$B$155,0)),"NA")</f>
        <v>NA</v>
      </c>
      <c r="L6142" t="str">
        <f t="shared" si="285"/>
        <v>NA8RB</v>
      </c>
      <c r="M6142">
        <f>COUNTIF(L$1:L6142,L6142)</f>
        <v>57</v>
      </c>
      <c r="N6142" t="str">
        <f t="shared" si="286"/>
        <v>NA8RB-57</v>
      </c>
      <c r="O6142">
        <f>COUNTIFS(F$1:F6142,F6142,A$1:A6142,A6142)</f>
        <v>97</v>
      </c>
      <c r="P6142" t="str">
        <f t="shared" si="287"/>
        <v>T.J. Logan8</v>
      </c>
    </row>
    <row r="6143" spans="1:16" x14ac:dyDescent="0.25">
      <c r="A6143">
        <v>12</v>
      </c>
      <c r="B6143" t="s">
        <v>4223</v>
      </c>
      <c r="C6143" t="s">
        <v>1606</v>
      </c>
      <c r="D6143">
        <v>0.55000000000000004</v>
      </c>
      <c r="E6143" t="s">
        <v>423</v>
      </c>
      <c r="F6143" t="s">
        <v>47</v>
      </c>
      <c r="G6143">
        <v>1.0900000000000001</v>
      </c>
      <c r="H6143">
        <v>0.01</v>
      </c>
      <c r="I6143">
        <v>0.54</v>
      </c>
      <c r="J6143">
        <v>0.29160000000000003</v>
      </c>
      <c r="K6143" t="str">
        <f>IFERROR(INDEX(Rosters!$C$2:$C$155,MATCH($B6143,Rosters!$B$2:$B$155,0)),"NA")</f>
        <v>NA</v>
      </c>
      <c r="L6143" t="str">
        <f t="shared" si="285"/>
        <v>NA12RB</v>
      </c>
      <c r="M6143">
        <f>COUNTIF(L$1:L6143,L6143)</f>
        <v>58</v>
      </c>
      <c r="N6143" t="str">
        <f t="shared" si="286"/>
        <v>NA12RB-58</v>
      </c>
      <c r="O6143">
        <f>COUNTIFS(F$1:F6143,F6143,A$1:A6143,A6143)</f>
        <v>103</v>
      </c>
      <c r="P6143" t="str">
        <f t="shared" si="287"/>
        <v>Trenton Cannon12</v>
      </c>
    </row>
    <row r="6144" spans="1:16" x14ac:dyDescent="0.25">
      <c r="A6144">
        <v>15</v>
      </c>
      <c r="B6144" t="s">
        <v>4243</v>
      </c>
      <c r="C6144">
        <f>-0.03-1.13</f>
        <v>-1.1599999999999999</v>
      </c>
      <c r="D6144">
        <v>0.55000000000000004</v>
      </c>
      <c r="E6144" t="s">
        <v>76</v>
      </c>
      <c r="F6144" t="s">
        <v>87</v>
      </c>
      <c r="G6144">
        <v>1.1299999999999999</v>
      </c>
      <c r="H6144">
        <v>-0.03</v>
      </c>
      <c r="I6144">
        <v>0.57999999999999996</v>
      </c>
      <c r="J6144">
        <v>0.33639999999999998</v>
      </c>
      <c r="K6144" t="str">
        <f>IFERROR(INDEX(Rosters!$C$2:$C$155,MATCH($B6144,Rosters!$B$2:$B$155,0)),"NA")</f>
        <v>NA</v>
      </c>
      <c r="L6144" t="str">
        <f t="shared" si="285"/>
        <v>NA15WR</v>
      </c>
      <c r="M6144">
        <f>COUNTIF(L$1:L6144,L6144)</f>
        <v>104</v>
      </c>
      <c r="N6144" t="str">
        <f t="shared" si="286"/>
        <v>NA15WR-104</v>
      </c>
      <c r="O6144">
        <f>COUNTIFS(F$1:F6144,F6144,A$1:A6144,A6144)</f>
        <v>158</v>
      </c>
      <c r="P6144" t="str">
        <f t="shared" si="287"/>
        <v>Trey Quinn15</v>
      </c>
    </row>
    <row r="6145" spans="1:16" x14ac:dyDescent="0.25">
      <c r="A6145">
        <v>8</v>
      </c>
      <c r="B6145" t="s">
        <v>4250</v>
      </c>
      <c r="C6145" t="s">
        <v>3863</v>
      </c>
      <c r="D6145">
        <v>0.55000000000000004</v>
      </c>
      <c r="E6145" t="s">
        <v>14</v>
      </c>
      <c r="F6145" t="s">
        <v>114</v>
      </c>
      <c r="G6145">
        <v>1.05</v>
      </c>
      <c r="H6145">
        <v>0.05</v>
      </c>
      <c r="I6145">
        <v>0.5</v>
      </c>
      <c r="J6145">
        <v>0.25</v>
      </c>
      <c r="K6145" t="str">
        <f>IFERROR(INDEX(Rosters!$C$2:$C$155,MATCH($B6145,Rosters!$B$2:$B$155,0)),"NA")</f>
        <v>NA</v>
      </c>
      <c r="L6145" t="str">
        <f t="shared" si="285"/>
        <v>NA8TE</v>
      </c>
      <c r="M6145">
        <f>COUNTIF(L$1:L6145,L6145)</f>
        <v>58</v>
      </c>
      <c r="N6145" t="str">
        <f t="shared" si="286"/>
        <v>NA8TE-58</v>
      </c>
      <c r="O6145">
        <f>COUNTIFS(F$1:F6145,F6145,A$1:A6145,A6145)</f>
        <v>70</v>
      </c>
      <c r="P6145" t="str">
        <f t="shared" si="287"/>
        <v>Tyler Conklin8</v>
      </c>
    </row>
    <row r="6146" spans="1:16" x14ac:dyDescent="0.25">
      <c r="A6146">
        <v>12</v>
      </c>
      <c r="B6146" t="s">
        <v>4250</v>
      </c>
      <c r="C6146" t="s">
        <v>1604</v>
      </c>
      <c r="D6146">
        <v>0.55000000000000004</v>
      </c>
      <c r="E6146" t="s">
        <v>41</v>
      </c>
      <c r="F6146" t="s">
        <v>114</v>
      </c>
      <c r="G6146">
        <v>1.06</v>
      </c>
      <c r="H6146">
        <v>0.04</v>
      </c>
      <c r="I6146">
        <v>0.51</v>
      </c>
      <c r="J6146">
        <v>0.2601</v>
      </c>
      <c r="K6146" t="str">
        <f>IFERROR(INDEX(Rosters!$C$2:$C$155,MATCH($B6146,Rosters!$B$2:$B$155,0)),"NA")</f>
        <v>NA</v>
      </c>
      <c r="L6146" t="str">
        <f t="shared" si="285"/>
        <v>NA12TE</v>
      </c>
      <c r="M6146">
        <f>COUNTIF(L$1:L6146,L6146)</f>
        <v>65</v>
      </c>
      <c r="N6146" t="str">
        <f t="shared" si="286"/>
        <v>NA12TE-65</v>
      </c>
      <c r="O6146">
        <f>COUNTIFS(F$1:F6146,F6146,A$1:A6146,A6146)</f>
        <v>78</v>
      </c>
      <c r="P6146" t="str">
        <f t="shared" si="287"/>
        <v>Tyler Conklin12</v>
      </c>
    </row>
    <row r="6147" spans="1:16" x14ac:dyDescent="0.25">
      <c r="A6147">
        <v>17</v>
      </c>
      <c r="B6147" t="s">
        <v>1566</v>
      </c>
      <c r="C6147">
        <f>-0.06-1.16</f>
        <v>-1.22</v>
      </c>
      <c r="D6147">
        <v>0.55000000000000004</v>
      </c>
      <c r="E6147" t="s">
        <v>56</v>
      </c>
      <c r="F6147" t="s">
        <v>87</v>
      </c>
      <c r="G6147">
        <v>1.1599999999999999</v>
      </c>
      <c r="H6147">
        <v>-0.06</v>
      </c>
      <c r="I6147">
        <v>0.61</v>
      </c>
      <c r="J6147">
        <v>0.37209999999999999</v>
      </c>
      <c r="K6147" t="str">
        <f>IFERROR(INDEX(Rosters!$C$2:$C$155,MATCH($B6147,Rosters!$B$2:$B$155,0)),"NA")</f>
        <v>NA</v>
      </c>
      <c r="L6147" t="str">
        <f t="shared" ref="L6147:L6210" si="288">K6147&amp;A6147&amp;F6147</f>
        <v>NA17WR</v>
      </c>
      <c r="M6147">
        <f>COUNTIF(L$1:L6147,L6147)</f>
        <v>108</v>
      </c>
      <c r="N6147" t="str">
        <f t="shared" ref="N6147:N6210" si="289">L6147&amp;"-"&amp;M6147</f>
        <v>NA17WR-108</v>
      </c>
      <c r="O6147">
        <f>COUNTIFS(F$1:F6147,F6147,A$1:A6147,A6147)</f>
        <v>162</v>
      </c>
      <c r="P6147" t="str">
        <f t="shared" ref="P6147:P6210" si="290">B6147&amp;A6147</f>
        <v>Victor Bolden Jr.17</v>
      </c>
    </row>
    <row r="6148" spans="1:16" x14ac:dyDescent="0.25">
      <c r="A6148">
        <v>7</v>
      </c>
      <c r="B6148" t="s">
        <v>2889</v>
      </c>
      <c r="C6148">
        <f>-0.03-1.13</f>
        <v>-1.1599999999999999</v>
      </c>
      <c r="D6148">
        <v>0.55000000000000004</v>
      </c>
      <c r="E6148" t="s">
        <v>77</v>
      </c>
      <c r="F6148" t="s">
        <v>47</v>
      </c>
      <c r="G6148">
        <v>1.1299999999999999</v>
      </c>
      <c r="H6148">
        <v>-0.03</v>
      </c>
      <c r="I6148">
        <v>0.57999999999999996</v>
      </c>
      <c r="J6148">
        <v>0.33639999999999998</v>
      </c>
      <c r="K6148" t="str">
        <f>IFERROR(INDEX(Rosters!$C$2:$C$155,MATCH($B6148,Rosters!$B$2:$B$155,0)),"NA")</f>
        <v>NA</v>
      </c>
      <c r="L6148" t="str">
        <f t="shared" si="288"/>
        <v>NA7RB</v>
      </c>
      <c r="M6148">
        <f>COUNTIF(L$1:L6148,L6148)</f>
        <v>50</v>
      </c>
      <c r="N6148" t="str">
        <f t="shared" si="289"/>
        <v>NA7RB-50</v>
      </c>
      <c r="O6148">
        <f>COUNTIFS(F$1:F6148,F6148,A$1:A6148,A6148)</f>
        <v>91</v>
      </c>
      <c r="P6148" t="str">
        <f t="shared" si="290"/>
        <v>Zach Line7</v>
      </c>
    </row>
    <row r="6149" spans="1:16" x14ac:dyDescent="0.25">
      <c r="A6149">
        <v>6</v>
      </c>
      <c r="B6149" t="s">
        <v>4240</v>
      </c>
      <c r="C6149">
        <f>-0.03-1.13</f>
        <v>-1.1599999999999999</v>
      </c>
      <c r="D6149">
        <v>0.55000000000000004</v>
      </c>
      <c r="E6149" t="s">
        <v>73</v>
      </c>
      <c r="F6149" t="s">
        <v>87</v>
      </c>
      <c r="G6149">
        <v>1.1299999999999999</v>
      </c>
      <c r="H6149">
        <v>-0.03</v>
      </c>
      <c r="I6149">
        <v>0.57999999999999996</v>
      </c>
      <c r="J6149">
        <v>0.33639999999999998</v>
      </c>
      <c r="K6149" t="str">
        <f>IFERROR(INDEX(Rosters!$C$2:$C$155,MATCH($B6149,Rosters!$B$2:$B$155,0)),"NA")</f>
        <v>NA</v>
      </c>
      <c r="L6149" t="str">
        <f t="shared" si="288"/>
        <v>NA6WR</v>
      </c>
      <c r="M6149">
        <f>COUNTIF(L$1:L6149,L6149)</f>
        <v>99</v>
      </c>
      <c r="N6149" t="str">
        <f t="shared" si="289"/>
        <v>NA6WR-99</v>
      </c>
      <c r="O6149">
        <f>COUNTIFS(F$1:F6149,F6149,A$1:A6149,A6149)</f>
        <v>149</v>
      </c>
      <c r="P6149" t="str">
        <f t="shared" si="290"/>
        <v>Zach Pascal6</v>
      </c>
    </row>
    <row r="6150" spans="1:16" x14ac:dyDescent="0.25">
      <c r="A6150">
        <v>7</v>
      </c>
      <c r="B6150" t="s">
        <v>4240</v>
      </c>
      <c r="C6150">
        <f>-0.01-1.11</f>
        <v>-1.1200000000000001</v>
      </c>
      <c r="D6150">
        <v>0.55000000000000004</v>
      </c>
      <c r="E6150" t="s">
        <v>29</v>
      </c>
      <c r="F6150" t="s">
        <v>87</v>
      </c>
      <c r="G6150">
        <v>1.1100000000000001</v>
      </c>
      <c r="H6150">
        <v>-0.01</v>
      </c>
      <c r="I6150">
        <v>0.56000000000000005</v>
      </c>
      <c r="J6150">
        <v>0.31359999999999999</v>
      </c>
      <c r="K6150" t="str">
        <f>IFERROR(INDEX(Rosters!$C$2:$C$155,MATCH($B6150,Rosters!$B$2:$B$155,0)),"NA")</f>
        <v>NA</v>
      </c>
      <c r="L6150" t="str">
        <f t="shared" si="288"/>
        <v>NA7WR</v>
      </c>
      <c r="M6150">
        <f>COUNTIF(L$1:L6150,L6150)</f>
        <v>93</v>
      </c>
      <c r="N6150" t="str">
        <f t="shared" si="289"/>
        <v>NA7WR-93</v>
      </c>
      <c r="O6150">
        <f>COUNTIFS(F$1:F6150,F6150,A$1:A6150,A6150)</f>
        <v>138</v>
      </c>
      <c r="P6150" t="str">
        <f t="shared" si="290"/>
        <v>Zach Pascal7</v>
      </c>
    </row>
    <row r="6151" spans="1:16" x14ac:dyDescent="0.25">
      <c r="A6151">
        <v>1</v>
      </c>
      <c r="B6151" t="s">
        <v>324</v>
      </c>
      <c r="C6151" t="s">
        <v>880</v>
      </c>
      <c r="D6151">
        <v>0.54</v>
      </c>
      <c r="E6151" t="s">
        <v>56</v>
      </c>
      <c r="F6151" t="s">
        <v>15</v>
      </c>
      <c r="G6151">
        <v>1.02</v>
      </c>
      <c r="H6151">
        <v>0.06</v>
      </c>
      <c r="I6151">
        <v>0.48</v>
      </c>
      <c r="J6151">
        <v>0.23039999999999999</v>
      </c>
      <c r="K6151" t="str">
        <f>IFERROR(INDEX(Rosters!$C$2:$C$155,MATCH($B6151,Rosters!$B$2:$B$155,0)),"NA")</f>
        <v>NA</v>
      </c>
      <c r="L6151" t="str">
        <f t="shared" si="288"/>
        <v>NA1QB</v>
      </c>
      <c r="M6151">
        <f>COUNTIF(L$1:L6151,L6151)</f>
        <v>31</v>
      </c>
      <c r="N6151" t="str">
        <f t="shared" si="289"/>
        <v>NA1QB-31</v>
      </c>
      <c r="O6151">
        <f>COUNTIFS(F$1:F6151,F6151,A$1:A6151,A6151)</f>
        <v>47</v>
      </c>
      <c r="P6151" t="str">
        <f t="shared" si="290"/>
        <v>A.J. McCarron1</v>
      </c>
    </row>
    <row r="6152" spans="1:16" x14ac:dyDescent="0.25">
      <c r="A6152">
        <v>3</v>
      </c>
      <c r="B6152" t="s">
        <v>1129</v>
      </c>
      <c r="C6152" t="s">
        <v>3864</v>
      </c>
      <c r="D6152">
        <v>0.54</v>
      </c>
      <c r="E6152" t="s">
        <v>51</v>
      </c>
      <c r="F6152" t="s">
        <v>114</v>
      </c>
      <c r="G6152">
        <v>1.06</v>
      </c>
      <c r="H6152">
        <v>0.02</v>
      </c>
      <c r="I6152">
        <v>0.52</v>
      </c>
      <c r="J6152">
        <v>0.27039999999999997</v>
      </c>
      <c r="K6152" t="str">
        <f>IFERROR(INDEX(Rosters!$C$2:$C$155,MATCH($B6152,Rosters!$B$2:$B$155,0)),"NA")</f>
        <v>NA</v>
      </c>
      <c r="L6152" t="str">
        <f t="shared" si="288"/>
        <v>NA3TE</v>
      </c>
      <c r="M6152">
        <f>COUNTIF(L$1:L6152,L6152)</f>
        <v>57</v>
      </c>
      <c r="N6152" t="str">
        <f t="shared" si="289"/>
        <v>NA3TE-57</v>
      </c>
      <c r="O6152">
        <f>COUNTIFS(F$1:F6152,F6152,A$1:A6152,A6152)</f>
        <v>70</v>
      </c>
      <c r="P6152" t="str">
        <f t="shared" si="290"/>
        <v>Alan Cross3</v>
      </c>
    </row>
    <row r="6153" spans="1:16" x14ac:dyDescent="0.25">
      <c r="A6153">
        <v>12</v>
      </c>
      <c r="B6153" t="s">
        <v>276</v>
      </c>
      <c r="C6153">
        <f>-0.07-1.15</f>
        <v>-1.22</v>
      </c>
      <c r="D6153">
        <v>0.54</v>
      </c>
      <c r="E6153" t="s">
        <v>76</v>
      </c>
      <c r="F6153" t="s">
        <v>87</v>
      </c>
      <c r="G6153">
        <v>1.1499999999999999</v>
      </c>
      <c r="H6153">
        <v>-7.0000000000000007E-2</v>
      </c>
      <c r="I6153">
        <v>0.61</v>
      </c>
      <c r="J6153">
        <v>0.37209999999999999</v>
      </c>
      <c r="K6153" t="str">
        <f>IFERROR(INDEX(Rosters!$C$2:$C$155,MATCH($B6153,Rosters!$B$2:$B$155,0)),"NA")</f>
        <v>NA</v>
      </c>
      <c r="L6153" t="str">
        <f t="shared" si="288"/>
        <v>NA12WR</v>
      </c>
      <c r="M6153">
        <f>COUNTIF(L$1:L6153,L6153)</f>
        <v>98</v>
      </c>
      <c r="N6153" t="str">
        <f t="shared" si="289"/>
        <v>NA12WR-98</v>
      </c>
      <c r="O6153">
        <f>COUNTIFS(F$1:F6153,F6153,A$1:A6153,A6153)</f>
        <v>147</v>
      </c>
      <c r="P6153" t="str">
        <f t="shared" si="290"/>
        <v>Andre Holmes12</v>
      </c>
    </row>
    <row r="6154" spans="1:16" x14ac:dyDescent="0.25">
      <c r="A6154">
        <v>2</v>
      </c>
      <c r="B6154" t="s">
        <v>1572</v>
      </c>
      <c r="C6154">
        <f>-0.11-1.19</f>
        <v>-1.3</v>
      </c>
      <c r="D6154">
        <v>0.54</v>
      </c>
      <c r="E6154" t="s">
        <v>30</v>
      </c>
      <c r="F6154" t="s">
        <v>87</v>
      </c>
      <c r="G6154">
        <v>1.19</v>
      </c>
      <c r="H6154">
        <v>-0.11</v>
      </c>
      <c r="I6154">
        <v>0.65</v>
      </c>
      <c r="J6154">
        <v>0.42249999999999999</v>
      </c>
      <c r="K6154" t="str">
        <f>IFERROR(INDEX(Rosters!$C$2:$C$155,MATCH($B6154,Rosters!$B$2:$B$155,0)),"NA")</f>
        <v>NA</v>
      </c>
      <c r="L6154" t="str">
        <f t="shared" si="288"/>
        <v>NA2WR</v>
      </c>
      <c r="M6154">
        <f>COUNTIF(L$1:L6154,L6154)</f>
        <v>72</v>
      </c>
      <c r="N6154" t="str">
        <f t="shared" si="289"/>
        <v>NA2WR-72</v>
      </c>
      <c r="O6154">
        <f>COUNTIFS(F$1:F6154,F6154,A$1:A6154,A6154)</f>
        <v>120</v>
      </c>
      <c r="P6154" t="str">
        <f t="shared" si="290"/>
        <v>Andy Jones2</v>
      </c>
    </row>
    <row r="6155" spans="1:16" x14ac:dyDescent="0.25">
      <c r="A6155">
        <v>12</v>
      </c>
      <c r="B6155" t="s">
        <v>1145</v>
      </c>
      <c r="C6155">
        <f>-0.07-1.15</f>
        <v>-1.22</v>
      </c>
      <c r="D6155">
        <v>0.54</v>
      </c>
      <c r="E6155" t="s">
        <v>34</v>
      </c>
      <c r="F6155" t="s">
        <v>114</v>
      </c>
      <c r="G6155">
        <v>1.1499999999999999</v>
      </c>
      <c r="H6155">
        <v>-7.0000000000000007E-2</v>
      </c>
      <c r="I6155">
        <v>0.61</v>
      </c>
      <c r="J6155">
        <v>0.37209999999999999</v>
      </c>
      <c r="K6155" t="str">
        <f>IFERROR(INDEX(Rosters!$C$2:$C$155,MATCH($B6155,Rosters!$B$2:$B$155,0)),"NA")</f>
        <v>NA</v>
      </c>
      <c r="L6155" t="str">
        <f t="shared" si="288"/>
        <v>NA12TE</v>
      </c>
      <c r="M6155">
        <f>COUNTIF(L$1:L6155,L6155)</f>
        <v>66</v>
      </c>
      <c r="N6155" t="str">
        <f t="shared" si="289"/>
        <v>NA12TE-66</v>
      </c>
      <c r="O6155">
        <f>COUNTIFS(F$1:F6155,F6155,A$1:A6155,A6155)</f>
        <v>79</v>
      </c>
      <c r="P6155" t="str">
        <f t="shared" si="290"/>
        <v>Ben Braunecker12</v>
      </c>
    </row>
    <row r="6156" spans="1:16" x14ac:dyDescent="0.25">
      <c r="A6156">
        <v>16</v>
      </c>
      <c r="B6156" t="s">
        <v>1145</v>
      </c>
      <c r="C6156">
        <f>-0.04-1.12</f>
        <v>-1.1600000000000001</v>
      </c>
      <c r="D6156">
        <v>0.54</v>
      </c>
      <c r="E6156" t="s">
        <v>30</v>
      </c>
      <c r="F6156" t="s">
        <v>114</v>
      </c>
      <c r="G6156">
        <v>1.1200000000000001</v>
      </c>
      <c r="H6156">
        <v>-0.04</v>
      </c>
      <c r="I6156">
        <v>0.57999999999999996</v>
      </c>
      <c r="J6156">
        <v>0.33639999999999998</v>
      </c>
      <c r="K6156" t="str">
        <f>IFERROR(INDEX(Rosters!$C$2:$C$155,MATCH($B6156,Rosters!$B$2:$B$155,0)),"NA")</f>
        <v>NA</v>
      </c>
      <c r="L6156" t="str">
        <f t="shared" si="288"/>
        <v>NA16TE</v>
      </c>
      <c r="M6156">
        <f>COUNTIF(L$1:L6156,L6156)</f>
        <v>68</v>
      </c>
      <c r="N6156" t="str">
        <f t="shared" si="289"/>
        <v>NA16TE-68</v>
      </c>
      <c r="O6156">
        <f>COUNTIFS(F$1:F6156,F6156,A$1:A6156,A6156)</f>
        <v>82</v>
      </c>
      <c r="P6156" t="str">
        <f t="shared" si="290"/>
        <v>Ben Braunecker16</v>
      </c>
    </row>
    <row r="6157" spans="1:16" x14ac:dyDescent="0.25">
      <c r="A6157">
        <v>12</v>
      </c>
      <c r="B6157" t="s">
        <v>293</v>
      </c>
      <c r="C6157">
        <f>-0.12-1.2</f>
        <v>-1.3199999999999998</v>
      </c>
      <c r="D6157">
        <v>0.54</v>
      </c>
      <c r="E6157" t="s">
        <v>34</v>
      </c>
      <c r="F6157" t="s">
        <v>47</v>
      </c>
      <c r="G6157">
        <v>1.2</v>
      </c>
      <c r="H6157">
        <v>-0.12</v>
      </c>
      <c r="I6157">
        <v>0.66</v>
      </c>
      <c r="J6157">
        <v>0.43559999999999999</v>
      </c>
      <c r="K6157" t="str">
        <f>IFERROR(INDEX(Rosters!$C$2:$C$155,MATCH($B6157,Rosters!$B$2:$B$155,0)),"NA")</f>
        <v>NA</v>
      </c>
      <c r="L6157" t="str">
        <f t="shared" si="288"/>
        <v>NA12RB</v>
      </c>
      <c r="M6157">
        <f>COUNTIF(L$1:L6157,L6157)</f>
        <v>59</v>
      </c>
      <c r="N6157" t="str">
        <f t="shared" si="289"/>
        <v>NA12RB-59</v>
      </c>
      <c r="O6157">
        <f>COUNTIFS(F$1:F6157,F6157,A$1:A6157,A6157)</f>
        <v>104</v>
      </c>
      <c r="P6157" t="str">
        <f t="shared" si="290"/>
        <v>Benny Cunningham12</v>
      </c>
    </row>
    <row r="6158" spans="1:16" x14ac:dyDescent="0.25">
      <c r="A6158">
        <v>1</v>
      </c>
      <c r="B6158" t="s">
        <v>2274</v>
      </c>
      <c r="C6158">
        <f>-0.13-1.21</f>
        <v>-1.3399999999999999</v>
      </c>
      <c r="D6158">
        <v>0.54</v>
      </c>
      <c r="E6158" t="s">
        <v>38</v>
      </c>
      <c r="F6158" t="s">
        <v>47</v>
      </c>
      <c r="G6158">
        <v>1.21</v>
      </c>
      <c r="H6158">
        <v>-0.13</v>
      </c>
      <c r="I6158">
        <v>0.67</v>
      </c>
      <c r="J6158">
        <v>0.44890000000000002</v>
      </c>
      <c r="K6158" t="str">
        <f>IFERROR(INDEX(Rosters!$C$2:$C$155,MATCH($B6158,Rosters!$B$2:$B$155,0)),"NA")</f>
        <v>NA</v>
      </c>
      <c r="L6158" t="str">
        <f t="shared" si="288"/>
        <v>NA1RB</v>
      </c>
      <c r="M6158">
        <f>COUNTIF(L$1:L6158,L6158)</f>
        <v>41</v>
      </c>
      <c r="N6158" t="str">
        <f t="shared" si="289"/>
        <v>NA1RB-41</v>
      </c>
      <c r="O6158">
        <f>COUNTIFS(F$1:F6158,F6158,A$1:A6158,A6158)</f>
        <v>84</v>
      </c>
      <c r="P6158" t="str">
        <f t="shared" si="290"/>
        <v>Brandon Bolden1</v>
      </c>
    </row>
    <row r="6159" spans="1:16" x14ac:dyDescent="0.25">
      <c r="A6159">
        <v>14</v>
      </c>
      <c r="B6159" t="s">
        <v>3569</v>
      </c>
      <c r="C6159" t="s">
        <v>3864</v>
      </c>
      <c r="D6159">
        <v>0.54</v>
      </c>
      <c r="E6159" t="s">
        <v>38</v>
      </c>
      <c r="F6159" t="s">
        <v>47</v>
      </c>
      <c r="G6159">
        <v>1.06</v>
      </c>
      <c r="H6159">
        <v>0.02</v>
      </c>
      <c r="I6159">
        <v>0.52</v>
      </c>
      <c r="J6159">
        <v>0.27039999999999997</v>
      </c>
      <c r="K6159" t="str">
        <f>IFERROR(INDEX(Rosters!$C$2:$C$155,MATCH($B6159,Rosters!$B$2:$B$155,0)),"NA")</f>
        <v>NA</v>
      </c>
      <c r="L6159" t="str">
        <f t="shared" si="288"/>
        <v>NA14RB</v>
      </c>
      <c r="M6159">
        <f>COUNTIF(L$1:L6159,L6159)</f>
        <v>60</v>
      </c>
      <c r="N6159" t="str">
        <f t="shared" si="289"/>
        <v>NA14RB-60</v>
      </c>
      <c r="O6159">
        <f>COUNTIFS(F$1:F6159,F6159,A$1:A6159,A6159)</f>
        <v>107</v>
      </c>
      <c r="P6159" t="str">
        <f t="shared" si="290"/>
        <v>Brandon Wilds14</v>
      </c>
    </row>
    <row r="6160" spans="1:16" x14ac:dyDescent="0.25">
      <c r="A6160">
        <v>14</v>
      </c>
      <c r="B6160" t="s">
        <v>216</v>
      </c>
      <c r="C6160">
        <f>-0.01-1.09</f>
        <v>-1.1000000000000001</v>
      </c>
      <c r="D6160">
        <v>0.54</v>
      </c>
      <c r="E6160" t="s">
        <v>25</v>
      </c>
      <c r="F6160" t="s">
        <v>47</v>
      </c>
      <c r="G6160">
        <v>1.0900000000000001</v>
      </c>
      <c r="H6160">
        <v>-0.01</v>
      </c>
      <c r="I6160">
        <v>0.55000000000000004</v>
      </c>
      <c r="J6160">
        <v>0.30249999999999999</v>
      </c>
      <c r="K6160" t="str">
        <f>IFERROR(INDEX(Rosters!$C$2:$C$155,MATCH($B6160,Rosters!$B$2:$B$155,0)),"NA")</f>
        <v>NA</v>
      </c>
      <c r="L6160" t="str">
        <f t="shared" si="288"/>
        <v>NA14RB</v>
      </c>
      <c r="M6160">
        <f>COUNTIF(L$1:L6160,L6160)</f>
        <v>61</v>
      </c>
      <c r="N6160" t="str">
        <f t="shared" si="289"/>
        <v>NA14RB-61</v>
      </c>
      <c r="O6160">
        <f>COUNTIFS(F$1:F6160,F6160,A$1:A6160,A6160)</f>
        <v>108</v>
      </c>
      <c r="P6160" t="str">
        <f t="shared" si="290"/>
        <v>C.J. Prosise14</v>
      </c>
    </row>
    <row r="6161" spans="1:16" x14ac:dyDescent="0.25">
      <c r="A6161">
        <v>2</v>
      </c>
      <c r="B6161" t="s">
        <v>311</v>
      </c>
      <c r="C6161" t="s">
        <v>797</v>
      </c>
      <c r="D6161">
        <v>0.54</v>
      </c>
      <c r="E6161" t="s">
        <v>51</v>
      </c>
      <c r="F6161" t="s">
        <v>15</v>
      </c>
      <c r="G6161">
        <v>1.05</v>
      </c>
      <c r="H6161">
        <v>0.03</v>
      </c>
      <c r="I6161">
        <v>0.51</v>
      </c>
      <c r="J6161">
        <v>0.2601</v>
      </c>
      <c r="K6161" t="str">
        <f>IFERROR(INDEX(Rosters!$C$2:$C$155,MATCH($B6161,Rosters!$B$2:$B$155,0)),"NA")</f>
        <v>NA</v>
      </c>
      <c r="L6161" t="str">
        <f t="shared" si="288"/>
        <v>NA2QB</v>
      </c>
      <c r="M6161">
        <f>COUNTIF(L$1:L6161,L6161)</f>
        <v>32</v>
      </c>
      <c r="N6161" t="str">
        <f t="shared" si="289"/>
        <v>NA2QB-32</v>
      </c>
      <c r="O6161">
        <f>COUNTIFS(F$1:F6161,F6161,A$1:A6161,A6161)</f>
        <v>48</v>
      </c>
      <c r="P6161" t="str">
        <f t="shared" si="290"/>
        <v>Chad Henne2</v>
      </c>
    </row>
    <row r="6162" spans="1:16" x14ac:dyDescent="0.25">
      <c r="A6162">
        <v>13</v>
      </c>
      <c r="B6162" t="s">
        <v>311</v>
      </c>
      <c r="C6162">
        <f>-0.12-1.2</f>
        <v>-1.3199999999999998</v>
      </c>
      <c r="D6162">
        <v>0.54</v>
      </c>
      <c r="E6162" t="s">
        <v>32</v>
      </c>
      <c r="F6162" t="s">
        <v>15</v>
      </c>
      <c r="G6162">
        <v>1.2</v>
      </c>
      <c r="H6162">
        <v>-0.12</v>
      </c>
      <c r="I6162">
        <v>0.66</v>
      </c>
      <c r="J6162">
        <v>0.43559999999999999</v>
      </c>
      <c r="K6162" t="str">
        <f>IFERROR(INDEX(Rosters!$C$2:$C$155,MATCH($B6162,Rosters!$B$2:$B$155,0)),"NA")</f>
        <v>NA</v>
      </c>
      <c r="L6162" t="str">
        <f t="shared" si="288"/>
        <v>NA13QB</v>
      </c>
      <c r="M6162">
        <f>COUNTIF(L$1:L6162,L6162)</f>
        <v>40</v>
      </c>
      <c r="N6162" t="str">
        <f t="shared" si="289"/>
        <v>NA13QB-40</v>
      </c>
      <c r="O6162">
        <f>COUNTIFS(F$1:F6162,F6162,A$1:A6162,A6162)</f>
        <v>57</v>
      </c>
      <c r="P6162" t="str">
        <f t="shared" si="290"/>
        <v>Chad Henne13</v>
      </c>
    </row>
    <row r="6163" spans="1:16" x14ac:dyDescent="0.25">
      <c r="A6163">
        <v>4</v>
      </c>
      <c r="B6163" t="s">
        <v>744</v>
      </c>
      <c r="C6163" t="s">
        <v>4257</v>
      </c>
      <c r="D6163">
        <v>0.54</v>
      </c>
      <c r="E6163" t="s">
        <v>73</v>
      </c>
      <c r="F6163" t="s">
        <v>15</v>
      </c>
      <c r="G6163">
        <v>1.03</v>
      </c>
      <c r="H6163">
        <v>0.05</v>
      </c>
      <c r="I6163">
        <v>0.49</v>
      </c>
      <c r="J6163">
        <v>0.24010000000000001</v>
      </c>
      <c r="K6163" t="str">
        <f>IFERROR(INDEX(Rosters!$C$2:$C$155,MATCH($B6163,Rosters!$B$2:$B$155,0)),"NA")</f>
        <v>NA</v>
      </c>
      <c r="L6163" t="str">
        <f t="shared" si="288"/>
        <v>NA4QB</v>
      </c>
      <c r="M6163">
        <f>COUNTIF(L$1:L6163,L6163)</f>
        <v>34</v>
      </c>
      <c r="N6163" t="str">
        <f t="shared" si="289"/>
        <v>NA4QB-34</v>
      </c>
      <c r="O6163">
        <f>COUNTIFS(F$1:F6163,F6163,A$1:A6163,A6163)</f>
        <v>49</v>
      </c>
      <c r="P6163" t="str">
        <f t="shared" si="290"/>
        <v>Cody Kessler4</v>
      </c>
    </row>
    <row r="6164" spans="1:16" x14ac:dyDescent="0.25">
      <c r="A6164">
        <v>17</v>
      </c>
      <c r="B6164" t="s">
        <v>1562</v>
      </c>
      <c r="C6164">
        <f>-0.06-1.14</f>
        <v>-1.2</v>
      </c>
      <c r="D6164">
        <v>0.54</v>
      </c>
      <c r="E6164" t="s">
        <v>56</v>
      </c>
      <c r="F6164" t="s">
        <v>114</v>
      </c>
      <c r="G6164">
        <v>1.1399999999999999</v>
      </c>
      <c r="H6164">
        <v>-0.06</v>
      </c>
      <c r="I6164">
        <v>0.6</v>
      </c>
      <c r="J6164">
        <v>0.36</v>
      </c>
      <c r="K6164" t="str">
        <f>IFERROR(INDEX(Rosters!$C$2:$C$155,MATCH($B6164,Rosters!$B$2:$B$155,0)),"NA")</f>
        <v>NA</v>
      </c>
      <c r="L6164" t="str">
        <f t="shared" si="288"/>
        <v>NA17TE</v>
      </c>
      <c r="M6164">
        <f>COUNTIF(L$1:L6164,L6164)</f>
        <v>65</v>
      </c>
      <c r="N6164" t="str">
        <f t="shared" si="289"/>
        <v>NA17TE-65</v>
      </c>
      <c r="O6164">
        <f>COUNTIFS(F$1:F6164,F6164,A$1:A6164,A6164)</f>
        <v>79</v>
      </c>
      <c r="P6164" t="str">
        <f t="shared" si="290"/>
        <v>Cole Wick17</v>
      </c>
    </row>
    <row r="6165" spans="1:16" x14ac:dyDescent="0.25">
      <c r="A6165">
        <v>16</v>
      </c>
      <c r="B6165" t="s">
        <v>1503</v>
      </c>
      <c r="C6165">
        <f>-0.14-1.22</f>
        <v>-1.3599999999999999</v>
      </c>
      <c r="D6165">
        <v>0.54</v>
      </c>
      <c r="E6165" t="s">
        <v>19</v>
      </c>
      <c r="F6165" t="s">
        <v>87</v>
      </c>
      <c r="G6165">
        <v>1.22</v>
      </c>
      <c r="H6165">
        <v>-0.14000000000000001</v>
      </c>
      <c r="I6165">
        <v>0.68</v>
      </c>
      <c r="J6165">
        <v>0.46239999999999998</v>
      </c>
      <c r="K6165" t="str">
        <f>IFERROR(INDEX(Rosters!$C$2:$C$155,MATCH($B6165,Rosters!$B$2:$B$155,0)),"NA")</f>
        <v>NA</v>
      </c>
      <c r="L6165" t="str">
        <f t="shared" si="288"/>
        <v>NA16WR</v>
      </c>
      <c r="M6165">
        <f>COUNTIF(L$1:L6165,L6165)</f>
        <v>101</v>
      </c>
      <c r="N6165" t="str">
        <f t="shared" si="289"/>
        <v>NA16WR-101</v>
      </c>
      <c r="O6165">
        <f>COUNTIFS(F$1:F6165,F6165,A$1:A6165,A6165)</f>
        <v>155</v>
      </c>
      <c r="P6165" t="str">
        <f t="shared" si="290"/>
        <v>D.J. Chark16</v>
      </c>
    </row>
    <row r="6166" spans="1:16" x14ac:dyDescent="0.25">
      <c r="A6166">
        <v>8</v>
      </c>
      <c r="B6166" t="s">
        <v>1128</v>
      </c>
      <c r="C6166">
        <f>-0.02-1.1</f>
        <v>-1.1200000000000001</v>
      </c>
      <c r="D6166">
        <v>0.54</v>
      </c>
      <c r="E6166" t="s">
        <v>77</v>
      </c>
      <c r="F6166" t="s">
        <v>87</v>
      </c>
      <c r="G6166">
        <v>1.1000000000000001</v>
      </c>
      <c r="H6166">
        <v>-0.02</v>
      </c>
      <c r="I6166">
        <v>0.56000000000000005</v>
      </c>
      <c r="J6166">
        <v>0.31359999999999999</v>
      </c>
      <c r="K6166" t="str">
        <f>IFERROR(INDEX(Rosters!$C$2:$C$155,MATCH($B6166,Rosters!$B$2:$B$155,0)),"NA")</f>
        <v>NA</v>
      </c>
      <c r="L6166" t="str">
        <f t="shared" si="288"/>
        <v>NA8WR</v>
      </c>
      <c r="M6166">
        <f>COUNTIF(L$1:L6166,L6166)</f>
        <v>84</v>
      </c>
      <c r="N6166" t="str">
        <f t="shared" si="289"/>
        <v>NA8WR-84</v>
      </c>
      <c r="O6166">
        <f>COUNTIFS(F$1:F6166,F6166,A$1:A6166,A6166)</f>
        <v>133</v>
      </c>
      <c r="P6166" t="str">
        <f t="shared" si="290"/>
        <v>Damiere Byrd8</v>
      </c>
    </row>
    <row r="6167" spans="1:16" x14ac:dyDescent="0.25">
      <c r="A6167">
        <v>16</v>
      </c>
      <c r="B6167" t="s">
        <v>1559</v>
      </c>
      <c r="C6167">
        <f>-0.07-1.15</f>
        <v>-1.22</v>
      </c>
      <c r="D6167">
        <v>0.54</v>
      </c>
      <c r="E6167" t="s">
        <v>30</v>
      </c>
      <c r="F6167" t="s">
        <v>114</v>
      </c>
      <c r="G6167">
        <v>1.1499999999999999</v>
      </c>
      <c r="H6167">
        <v>-7.0000000000000007E-2</v>
      </c>
      <c r="I6167">
        <v>0.61</v>
      </c>
      <c r="J6167">
        <v>0.37209999999999999</v>
      </c>
      <c r="K6167" t="str">
        <f>IFERROR(INDEX(Rosters!$C$2:$C$155,MATCH($B6167,Rosters!$B$2:$B$155,0)),"NA")</f>
        <v>NA</v>
      </c>
      <c r="L6167" t="str">
        <f t="shared" si="288"/>
        <v>NA16TE</v>
      </c>
      <c r="M6167">
        <f>COUNTIF(L$1:L6167,L6167)</f>
        <v>69</v>
      </c>
      <c r="N6167" t="str">
        <f t="shared" si="289"/>
        <v>NA16TE-69</v>
      </c>
      <c r="O6167">
        <f>COUNTIFS(F$1:F6167,F6167,A$1:A6167,A6167)</f>
        <v>83</v>
      </c>
      <c r="P6167" t="str">
        <f t="shared" si="290"/>
        <v>Daniel Brown16</v>
      </c>
    </row>
    <row r="6168" spans="1:16" x14ac:dyDescent="0.25">
      <c r="A6168">
        <v>10</v>
      </c>
      <c r="B6168" t="s">
        <v>361</v>
      </c>
      <c r="C6168">
        <f>-0.03-1.11</f>
        <v>-1.1400000000000001</v>
      </c>
      <c r="D6168">
        <v>0.54</v>
      </c>
      <c r="E6168" t="s">
        <v>58</v>
      </c>
      <c r="F6168" t="s">
        <v>87</v>
      </c>
      <c r="G6168">
        <v>1.1100000000000001</v>
      </c>
      <c r="H6168">
        <v>-0.03</v>
      </c>
      <c r="I6168">
        <v>0.56999999999999995</v>
      </c>
      <c r="J6168">
        <v>0.32490000000000002</v>
      </c>
      <c r="K6168" t="str">
        <f>IFERROR(INDEX(Rosters!$C$2:$C$155,MATCH($B6168,Rosters!$B$2:$B$155,0)),"NA")</f>
        <v>NA</v>
      </c>
      <c r="L6168" t="str">
        <f t="shared" si="288"/>
        <v>NA10WR</v>
      </c>
      <c r="M6168">
        <f>COUNTIF(L$1:L6168,L6168)</f>
        <v>96</v>
      </c>
      <c r="N6168" t="str">
        <f t="shared" si="289"/>
        <v>NA10WR-96</v>
      </c>
      <c r="O6168">
        <f>COUNTIFS(F$1:F6168,F6168,A$1:A6168,A6168)</f>
        <v>141</v>
      </c>
      <c r="P6168" t="str">
        <f t="shared" si="290"/>
        <v>De'Anthony Thomas10</v>
      </c>
    </row>
    <row r="6169" spans="1:16" x14ac:dyDescent="0.25">
      <c r="A6169">
        <v>6</v>
      </c>
      <c r="B6169" t="s">
        <v>2808</v>
      </c>
      <c r="C6169">
        <f>-0.01-1.09</f>
        <v>-1.1000000000000001</v>
      </c>
      <c r="D6169">
        <v>0.54</v>
      </c>
      <c r="E6169" t="s">
        <v>31</v>
      </c>
      <c r="F6169" t="s">
        <v>87</v>
      </c>
      <c r="G6169">
        <v>1.0900000000000001</v>
      </c>
      <c r="H6169">
        <v>-0.01</v>
      </c>
      <c r="I6169">
        <v>0.55000000000000004</v>
      </c>
      <c r="J6169">
        <v>0.30249999999999999</v>
      </c>
      <c r="K6169" t="str">
        <f>IFERROR(INDEX(Rosters!$C$2:$C$155,MATCH($B6169,Rosters!$B$2:$B$155,0)),"NA")</f>
        <v>NA</v>
      </c>
      <c r="L6169" t="str">
        <f t="shared" si="288"/>
        <v>NA6WR</v>
      </c>
      <c r="M6169">
        <f>COUNTIF(L$1:L6169,L6169)</f>
        <v>100</v>
      </c>
      <c r="N6169" t="str">
        <f t="shared" si="289"/>
        <v>NA6WR-100</v>
      </c>
      <c r="O6169">
        <f>COUNTIFS(F$1:F6169,F6169,A$1:A6169,A6169)</f>
        <v>150</v>
      </c>
      <c r="P6169" t="str">
        <f t="shared" si="290"/>
        <v>Eli Rogers6</v>
      </c>
    </row>
    <row r="6170" spans="1:16" x14ac:dyDescent="0.25">
      <c r="A6170">
        <v>10</v>
      </c>
      <c r="B6170" t="s">
        <v>2808</v>
      </c>
      <c r="C6170">
        <f>-0.06-1.14</f>
        <v>-1.2</v>
      </c>
      <c r="D6170">
        <v>0.54</v>
      </c>
      <c r="E6170" t="s">
        <v>74</v>
      </c>
      <c r="F6170" t="s">
        <v>87</v>
      </c>
      <c r="G6170">
        <v>1.1399999999999999</v>
      </c>
      <c r="H6170">
        <v>-0.06</v>
      </c>
      <c r="I6170">
        <v>0.6</v>
      </c>
      <c r="J6170">
        <v>0.36</v>
      </c>
      <c r="K6170" t="str">
        <f>IFERROR(INDEX(Rosters!$C$2:$C$155,MATCH($B6170,Rosters!$B$2:$B$155,0)),"NA")</f>
        <v>NA</v>
      </c>
      <c r="L6170" t="str">
        <f t="shared" si="288"/>
        <v>NA10WR</v>
      </c>
      <c r="M6170">
        <f>COUNTIF(L$1:L6170,L6170)</f>
        <v>97</v>
      </c>
      <c r="N6170" t="str">
        <f t="shared" si="289"/>
        <v>NA10WR-97</v>
      </c>
      <c r="O6170">
        <f>COUNTIFS(F$1:F6170,F6170,A$1:A6170,A6170)</f>
        <v>142</v>
      </c>
      <c r="P6170" t="str">
        <f t="shared" si="290"/>
        <v>Eli Rogers10</v>
      </c>
    </row>
    <row r="6171" spans="1:16" x14ac:dyDescent="0.25">
      <c r="A6171">
        <v>15</v>
      </c>
      <c r="B6171" t="s">
        <v>1624</v>
      </c>
      <c r="C6171">
        <f>-0.07-1.15</f>
        <v>-1.22</v>
      </c>
      <c r="D6171">
        <v>0.54</v>
      </c>
      <c r="E6171" t="s">
        <v>46</v>
      </c>
      <c r="F6171" t="s">
        <v>114</v>
      </c>
      <c r="G6171">
        <v>1.1499999999999999</v>
      </c>
      <c r="H6171">
        <v>-7.0000000000000007E-2</v>
      </c>
      <c r="I6171">
        <v>0.61</v>
      </c>
      <c r="J6171">
        <v>0.37209999999999999</v>
      </c>
      <c r="K6171" t="str">
        <f>IFERROR(INDEX(Rosters!$C$2:$C$155,MATCH($B6171,Rosters!$B$2:$B$155,0)),"NA")</f>
        <v>NA</v>
      </c>
      <c r="L6171" t="str">
        <f t="shared" si="288"/>
        <v>NA15TE</v>
      </c>
      <c r="M6171">
        <f>COUNTIF(L$1:L6171,L6171)</f>
        <v>67</v>
      </c>
      <c r="N6171" t="str">
        <f t="shared" si="289"/>
        <v>NA15TE-67</v>
      </c>
      <c r="O6171">
        <f>COUNTIFS(F$1:F6171,F6171,A$1:A6171,A6171)</f>
        <v>81</v>
      </c>
      <c r="P6171" t="str">
        <f t="shared" si="290"/>
        <v>Gabe Holmes15</v>
      </c>
    </row>
    <row r="6172" spans="1:16" x14ac:dyDescent="0.25">
      <c r="A6172">
        <v>3</v>
      </c>
      <c r="B6172" t="s">
        <v>1607</v>
      </c>
      <c r="C6172">
        <f>-0.09-1.17</f>
        <v>-1.26</v>
      </c>
      <c r="D6172">
        <v>0.54</v>
      </c>
      <c r="E6172" t="s">
        <v>423</v>
      </c>
      <c r="F6172" t="s">
        <v>114</v>
      </c>
      <c r="G6172">
        <v>1.17</v>
      </c>
      <c r="H6172">
        <v>-0.09</v>
      </c>
      <c r="I6172">
        <v>0.63</v>
      </c>
      <c r="J6172">
        <v>0.39689999999999998</v>
      </c>
      <c r="K6172" t="str">
        <f>IFERROR(INDEX(Rosters!$C$2:$C$155,MATCH($B6172,Rosters!$B$2:$B$155,0)),"NA")</f>
        <v>NA</v>
      </c>
      <c r="L6172" t="str">
        <f t="shared" si="288"/>
        <v>NA3TE</v>
      </c>
      <c r="M6172">
        <f>COUNTIF(L$1:L6172,L6172)</f>
        <v>58</v>
      </c>
      <c r="N6172" t="str">
        <f t="shared" si="289"/>
        <v>NA3TE-58</v>
      </c>
      <c r="O6172">
        <f>COUNTIFS(F$1:F6172,F6172,A$1:A6172,A6172)</f>
        <v>71</v>
      </c>
      <c r="P6172" t="str">
        <f t="shared" si="290"/>
        <v>Hakeem Valles3</v>
      </c>
    </row>
    <row r="6173" spans="1:16" x14ac:dyDescent="0.25">
      <c r="A6173">
        <v>5</v>
      </c>
      <c r="B6173" t="s">
        <v>1607</v>
      </c>
      <c r="C6173">
        <f>-0.01-1.09</f>
        <v>-1.1000000000000001</v>
      </c>
      <c r="D6173">
        <v>0.54</v>
      </c>
      <c r="E6173" t="s">
        <v>41</v>
      </c>
      <c r="F6173" t="s">
        <v>114</v>
      </c>
      <c r="G6173">
        <v>1.0900000000000001</v>
      </c>
      <c r="H6173">
        <v>-0.01</v>
      </c>
      <c r="I6173">
        <v>0.55000000000000004</v>
      </c>
      <c r="J6173">
        <v>0.30249999999999999</v>
      </c>
      <c r="K6173" t="str">
        <f>IFERROR(INDEX(Rosters!$C$2:$C$155,MATCH($B6173,Rosters!$B$2:$B$155,0)),"NA")</f>
        <v>NA</v>
      </c>
      <c r="L6173" t="str">
        <f t="shared" si="288"/>
        <v>NA5TE</v>
      </c>
      <c r="M6173">
        <f>COUNTIF(L$1:L6173,L6173)</f>
        <v>65</v>
      </c>
      <c r="N6173" t="str">
        <f t="shared" si="289"/>
        <v>NA5TE-65</v>
      </c>
      <c r="O6173">
        <f>COUNTIFS(F$1:F6173,F6173,A$1:A6173,A6173)</f>
        <v>76</v>
      </c>
      <c r="P6173" t="str">
        <f t="shared" si="290"/>
        <v>Hakeem Valles5</v>
      </c>
    </row>
    <row r="6174" spans="1:16" x14ac:dyDescent="0.25">
      <c r="A6174">
        <v>15</v>
      </c>
      <c r="B6174" t="s">
        <v>4244</v>
      </c>
      <c r="C6174">
        <f>-0.28-1.36</f>
        <v>-1.6400000000000001</v>
      </c>
      <c r="D6174">
        <v>0.54</v>
      </c>
      <c r="E6174" t="s">
        <v>24</v>
      </c>
      <c r="F6174" t="s">
        <v>87</v>
      </c>
      <c r="G6174">
        <v>1.36</v>
      </c>
      <c r="H6174">
        <v>-0.28000000000000003</v>
      </c>
      <c r="I6174">
        <v>0.82</v>
      </c>
      <c r="J6174">
        <v>0.6724</v>
      </c>
      <c r="K6174" t="str">
        <f>IFERROR(INDEX(Rosters!$C$2:$C$155,MATCH($B6174,Rosters!$B$2:$B$155,0)),"NA")</f>
        <v>NA</v>
      </c>
      <c r="L6174" t="str">
        <f t="shared" si="288"/>
        <v>NA15WR</v>
      </c>
      <c r="M6174">
        <f>COUNTIF(L$1:L6174,L6174)</f>
        <v>105</v>
      </c>
      <c r="N6174" t="str">
        <f t="shared" si="289"/>
        <v>NA15WR-105</v>
      </c>
      <c r="O6174">
        <f>COUNTIFS(F$1:F6174,F6174,A$1:A6174,A6174)</f>
        <v>159</v>
      </c>
      <c r="P6174" t="str">
        <f t="shared" si="290"/>
        <v>J.J. Jones15</v>
      </c>
    </row>
    <row r="6175" spans="1:16" x14ac:dyDescent="0.25">
      <c r="A6175">
        <v>14</v>
      </c>
      <c r="B6175" t="s">
        <v>4251</v>
      </c>
      <c r="C6175">
        <f>-0.07-1.15</f>
        <v>-1.22</v>
      </c>
      <c r="D6175">
        <v>0.54</v>
      </c>
      <c r="E6175" t="s">
        <v>73</v>
      </c>
      <c r="F6175" t="s">
        <v>114</v>
      </c>
      <c r="G6175">
        <v>1.1499999999999999</v>
      </c>
      <c r="H6175">
        <v>-7.0000000000000007E-2</v>
      </c>
      <c r="I6175">
        <v>0.61</v>
      </c>
      <c r="J6175">
        <v>0.37209999999999999</v>
      </c>
      <c r="K6175" t="str">
        <f>IFERROR(INDEX(Rosters!$C$2:$C$155,MATCH($B6175,Rosters!$B$2:$B$155,0)),"NA")</f>
        <v>NA</v>
      </c>
      <c r="L6175" t="str">
        <f t="shared" si="288"/>
        <v>NA14TE</v>
      </c>
      <c r="M6175">
        <f>COUNTIF(L$1:L6175,L6175)</f>
        <v>69</v>
      </c>
      <c r="N6175" t="str">
        <f t="shared" si="289"/>
        <v>NA14TE-69</v>
      </c>
      <c r="O6175">
        <f>COUNTIFS(F$1:F6175,F6175,A$1:A6175,A6175)</f>
        <v>83</v>
      </c>
      <c r="P6175" t="str">
        <f t="shared" si="290"/>
        <v>Jason Croom14</v>
      </c>
    </row>
    <row r="6176" spans="1:16" x14ac:dyDescent="0.25">
      <c r="A6176">
        <v>8</v>
      </c>
      <c r="B6176" t="s">
        <v>8640</v>
      </c>
      <c r="C6176">
        <f>-0.01-1.09</f>
        <v>-1.1000000000000001</v>
      </c>
      <c r="D6176">
        <v>0.54</v>
      </c>
      <c r="E6176" t="s">
        <v>60</v>
      </c>
      <c r="F6176" t="s">
        <v>87</v>
      </c>
      <c r="G6176">
        <v>1.0900000000000001</v>
      </c>
      <c r="H6176">
        <v>-0.01</v>
      </c>
      <c r="I6176">
        <v>0.55000000000000004</v>
      </c>
      <c r="J6176">
        <v>0.30249999999999999</v>
      </c>
      <c r="K6176" t="str">
        <f>IFERROR(INDEX(Rosters!$C$2:$C$155,MATCH($B6176,Rosters!$B$2:$B$155,0)),"NA")</f>
        <v>NA</v>
      </c>
      <c r="L6176" t="str">
        <f t="shared" si="288"/>
        <v>NA8WR</v>
      </c>
      <c r="M6176">
        <f>COUNTIF(L$1:L6176,L6176)</f>
        <v>85</v>
      </c>
      <c r="N6176" t="str">
        <f t="shared" si="289"/>
        <v>NA8WR-85</v>
      </c>
      <c r="O6176">
        <f>COUNTIFS(F$1:F6176,F6176,A$1:A6176,A6176)</f>
        <v>134</v>
      </c>
      <c r="P6176" t="str">
        <f t="shared" si="290"/>
        <v>Jawill Davis8</v>
      </c>
    </row>
    <row r="6177" spans="1:16" x14ac:dyDescent="0.25">
      <c r="A6177">
        <v>12</v>
      </c>
      <c r="B6177" t="s">
        <v>8640</v>
      </c>
      <c r="C6177">
        <f>-0.06-1.14</f>
        <v>-1.2</v>
      </c>
      <c r="D6177">
        <v>0.54</v>
      </c>
      <c r="E6177" t="s">
        <v>50</v>
      </c>
      <c r="F6177" t="s">
        <v>87</v>
      </c>
      <c r="G6177">
        <v>1.1399999999999999</v>
      </c>
      <c r="H6177">
        <v>-0.06</v>
      </c>
      <c r="I6177">
        <v>0.6</v>
      </c>
      <c r="J6177">
        <v>0.36</v>
      </c>
      <c r="K6177" t="str">
        <f>IFERROR(INDEX(Rosters!$C$2:$C$155,MATCH($B6177,Rosters!$B$2:$B$155,0)),"NA")</f>
        <v>NA</v>
      </c>
      <c r="L6177" t="str">
        <f t="shared" si="288"/>
        <v>NA12WR</v>
      </c>
      <c r="M6177">
        <f>COUNTIF(L$1:L6177,L6177)</f>
        <v>99</v>
      </c>
      <c r="N6177" t="str">
        <f t="shared" si="289"/>
        <v>NA12WR-99</v>
      </c>
      <c r="O6177">
        <f>COUNTIFS(F$1:F6177,F6177,A$1:A6177,A6177)</f>
        <v>148</v>
      </c>
      <c r="P6177" t="str">
        <f t="shared" si="290"/>
        <v>Jawill Davis12</v>
      </c>
    </row>
    <row r="6178" spans="1:16" x14ac:dyDescent="0.25">
      <c r="A6178">
        <v>3</v>
      </c>
      <c r="B6178" t="s">
        <v>348</v>
      </c>
      <c r="C6178">
        <f>-0.03-1.11</f>
        <v>-1.1400000000000001</v>
      </c>
      <c r="D6178">
        <v>0.54</v>
      </c>
      <c r="E6178" t="s">
        <v>36</v>
      </c>
      <c r="F6178" t="s">
        <v>114</v>
      </c>
      <c r="G6178">
        <v>1.1100000000000001</v>
      </c>
      <c r="H6178">
        <v>-0.03</v>
      </c>
      <c r="I6178">
        <v>0.56999999999999995</v>
      </c>
      <c r="J6178">
        <v>0.32490000000000002</v>
      </c>
      <c r="K6178" t="str">
        <f>IFERROR(INDEX(Rosters!$C$2:$C$155,MATCH($B6178,Rosters!$B$2:$B$155,0)),"NA")</f>
        <v>NA</v>
      </c>
      <c r="L6178" t="str">
        <f t="shared" si="288"/>
        <v>NA3TE</v>
      </c>
      <c r="M6178">
        <f>COUNTIF(L$1:L6178,L6178)</f>
        <v>59</v>
      </c>
      <c r="N6178" t="str">
        <f t="shared" si="289"/>
        <v>NA3TE-59</v>
      </c>
      <c r="O6178">
        <f>COUNTIFS(F$1:F6178,F6178,A$1:A6178,A6178)</f>
        <v>72</v>
      </c>
      <c r="P6178" t="str">
        <f t="shared" si="290"/>
        <v>Jerell Adams3</v>
      </c>
    </row>
    <row r="6179" spans="1:16" x14ac:dyDescent="0.25">
      <c r="A6179">
        <v>12</v>
      </c>
      <c r="B6179" t="s">
        <v>335</v>
      </c>
      <c r="C6179" t="s">
        <v>797</v>
      </c>
      <c r="D6179">
        <v>0.54</v>
      </c>
      <c r="E6179" t="s">
        <v>51</v>
      </c>
      <c r="F6179" t="s">
        <v>87</v>
      </c>
      <c r="G6179">
        <v>1.05</v>
      </c>
      <c r="H6179">
        <v>0.03</v>
      </c>
      <c r="I6179">
        <v>0.51</v>
      </c>
      <c r="J6179">
        <v>0.2601</v>
      </c>
      <c r="K6179" t="str">
        <f>IFERROR(INDEX(Rosters!$C$2:$C$155,MATCH($B6179,Rosters!$B$2:$B$155,0)),"NA")</f>
        <v>NA</v>
      </c>
      <c r="L6179" t="str">
        <f t="shared" si="288"/>
        <v>NA12WR</v>
      </c>
      <c r="M6179">
        <f>COUNTIF(L$1:L6179,L6179)</f>
        <v>100</v>
      </c>
      <c r="N6179" t="str">
        <f t="shared" si="289"/>
        <v>NA12WR-100</v>
      </c>
      <c r="O6179">
        <f>COUNTIFS(F$1:F6179,F6179,A$1:A6179,A6179)</f>
        <v>149</v>
      </c>
      <c r="P6179" t="str">
        <f t="shared" si="290"/>
        <v>Jordan Taylor12</v>
      </c>
    </row>
    <row r="6180" spans="1:16" x14ac:dyDescent="0.25">
      <c r="A6180">
        <v>5</v>
      </c>
      <c r="B6180" t="s">
        <v>1565</v>
      </c>
      <c r="C6180">
        <f>-0.02-1.1</f>
        <v>-1.1200000000000001</v>
      </c>
      <c r="D6180">
        <v>0.54</v>
      </c>
      <c r="E6180" t="s">
        <v>28</v>
      </c>
      <c r="F6180" t="s">
        <v>47</v>
      </c>
      <c r="G6180">
        <v>1.1000000000000001</v>
      </c>
      <c r="H6180">
        <v>-0.02</v>
      </c>
      <c r="I6180">
        <v>0.56000000000000005</v>
      </c>
      <c r="J6180">
        <v>0.31359999999999999</v>
      </c>
      <c r="K6180" t="str">
        <f>IFERROR(INDEX(Rosters!$C$2:$C$155,MATCH($B6180,Rosters!$B$2:$B$155,0)),"NA")</f>
        <v>NA</v>
      </c>
      <c r="L6180" t="str">
        <f t="shared" si="288"/>
        <v>NA5RB</v>
      </c>
      <c r="M6180">
        <f>COUNTIF(L$1:L6180,L6180)</f>
        <v>57</v>
      </c>
      <c r="N6180" t="str">
        <f t="shared" si="289"/>
        <v>NA5RB-57</v>
      </c>
      <c r="O6180">
        <f>COUNTIFS(F$1:F6180,F6180,A$1:A6180,A6180)</f>
        <v>100</v>
      </c>
      <c r="P6180" t="str">
        <f t="shared" si="290"/>
        <v>Justin Davis5</v>
      </c>
    </row>
    <row r="6181" spans="1:16" x14ac:dyDescent="0.25">
      <c r="A6181">
        <v>8</v>
      </c>
      <c r="B6181" t="s">
        <v>198</v>
      </c>
      <c r="C6181">
        <f>-0.07-1.15</f>
        <v>-1.22</v>
      </c>
      <c r="D6181">
        <v>0.54</v>
      </c>
      <c r="E6181" t="s">
        <v>73</v>
      </c>
      <c r="F6181" t="s">
        <v>87</v>
      </c>
      <c r="G6181">
        <v>1.1499999999999999</v>
      </c>
      <c r="H6181">
        <v>-7.0000000000000007E-2</v>
      </c>
      <c r="I6181">
        <v>0.61</v>
      </c>
      <c r="J6181">
        <v>0.37209999999999999</v>
      </c>
      <c r="K6181" t="str">
        <f>IFERROR(INDEX(Rosters!$C$2:$C$155,MATCH($B6181,Rosters!$B$2:$B$155,0)),"NA")</f>
        <v>NA</v>
      </c>
      <c r="L6181" t="str">
        <f t="shared" si="288"/>
        <v>NA8WR</v>
      </c>
      <c r="M6181">
        <f>COUNTIF(L$1:L6181,L6181)</f>
        <v>86</v>
      </c>
      <c r="N6181" t="str">
        <f t="shared" si="289"/>
        <v>NA8WR-86</v>
      </c>
      <c r="O6181">
        <f>COUNTIFS(F$1:F6181,F6181,A$1:A6181,A6181)</f>
        <v>135</v>
      </c>
      <c r="P6181" t="str">
        <f t="shared" si="290"/>
        <v>Kevin White8</v>
      </c>
    </row>
    <row r="6182" spans="1:16" x14ac:dyDescent="0.25">
      <c r="A6182">
        <v>17</v>
      </c>
      <c r="B6182" t="s">
        <v>198</v>
      </c>
      <c r="C6182">
        <f>-0.07-1.15</f>
        <v>-1.22</v>
      </c>
      <c r="D6182">
        <v>0.54</v>
      </c>
      <c r="E6182" t="s">
        <v>25</v>
      </c>
      <c r="F6182" t="s">
        <v>87</v>
      </c>
      <c r="G6182">
        <v>1.1499999999999999</v>
      </c>
      <c r="H6182">
        <v>-7.0000000000000007E-2</v>
      </c>
      <c r="I6182">
        <v>0.61</v>
      </c>
      <c r="J6182">
        <v>0.37209999999999999</v>
      </c>
      <c r="K6182" t="str">
        <f>IFERROR(INDEX(Rosters!$C$2:$C$155,MATCH($B6182,Rosters!$B$2:$B$155,0)),"NA")</f>
        <v>NA</v>
      </c>
      <c r="L6182" t="str">
        <f t="shared" si="288"/>
        <v>NA17WR</v>
      </c>
      <c r="M6182">
        <f>COUNTIF(L$1:L6182,L6182)</f>
        <v>109</v>
      </c>
      <c r="N6182" t="str">
        <f t="shared" si="289"/>
        <v>NA17WR-109</v>
      </c>
      <c r="O6182">
        <f>COUNTIFS(F$1:F6182,F6182,A$1:A6182,A6182)</f>
        <v>163</v>
      </c>
      <c r="P6182" t="str">
        <f t="shared" si="290"/>
        <v>Kevin White17</v>
      </c>
    </row>
    <row r="6183" spans="1:16" x14ac:dyDescent="0.25">
      <c r="A6183">
        <v>1</v>
      </c>
      <c r="B6183" t="s">
        <v>1583</v>
      </c>
      <c r="C6183">
        <f>-0.06-1.14</f>
        <v>-1.2</v>
      </c>
      <c r="D6183">
        <v>0.54</v>
      </c>
      <c r="E6183" t="s">
        <v>77</v>
      </c>
      <c r="F6183" t="s">
        <v>114</v>
      </c>
      <c r="G6183">
        <v>1.1399999999999999</v>
      </c>
      <c r="H6183">
        <v>-0.06</v>
      </c>
      <c r="I6183">
        <v>0.6</v>
      </c>
      <c r="J6183">
        <v>0.36</v>
      </c>
      <c r="K6183" t="str">
        <f>IFERROR(INDEX(Rosters!$C$2:$C$155,MATCH($B6183,Rosters!$B$2:$B$155,0)),"NA")</f>
        <v>NA</v>
      </c>
      <c r="L6183" t="str">
        <f t="shared" si="288"/>
        <v>NA1TE</v>
      </c>
      <c r="M6183">
        <f>COUNTIF(L$1:L6183,L6183)</f>
        <v>50</v>
      </c>
      <c r="N6183" t="str">
        <f t="shared" si="289"/>
        <v>NA1TE-50</v>
      </c>
      <c r="O6183">
        <f>COUNTIFS(F$1:F6183,F6183,A$1:A6183,A6183)</f>
        <v>63</v>
      </c>
      <c r="P6183" t="str">
        <f t="shared" si="290"/>
        <v>Logan Thomas1</v>
      </c>
    </row>
    <row r="6184" spans="1:16" x14ac:dyDescent="0.25">
      <c r="A6184">
        <v>7</v>
      </c>
      <c r="B6184" t="s">
        <v>1633</v>
      </c>
      <c r="C6184">
        <f>-0.13-1.21</f>
        <v>-1.3399999999999999</v>
      </c>
      <c r="D6184">
        <v>0.54</v>
      </c>
      <c r="E6184" t="s">
        <v>29</v>
      </c>
      <c r="F6184" t="s">
        <v>87</v>
      </c>
      <c r="G6184">
        <v>1.21</v>
      </c>
      <c r="H6184">
        <v>-0.13</v>
      </c>
      <c r="I6184">
        <v>0.67</v>
      </c>
      <c r="J6184">
        <v>0.44890000000000002</v>
      </c>
      <c r="K6184" t="str">
        <f>IFERROR(INDEX(Rosters!$C$2:$C$155,MATCH($B6184,Rosters!$B$2:$B$155,0)),"NA")</f>
        <v>NA</v>
      </c>
      <c r="L6184" t="str">
        <f t="shared" si="288"/>
        <v>NA7WR</v>
      </c>
      <c r="M6184">
        <f>COUNTIF(L$1:L6184,L6184)</f>
        <v>94</v>
      </c>
      <c r="N6184" t="str">
        <f t="shared" si="289"/>
        <v>NA7WR-94</v>
      </c>
      <c r="O6184">
        <f>COUNTIFS(F$1:F6184,F6184,A$1:A6184,A6184)</f>
        <v>139</v>
      </c>
      <c r="P6184" t="str">
        <f t="shared" si="290"/>
        <v>Marcus Johnson7</v>
      </c>
    </row>
    <row r="6185" spans="1:16" x14ac:dyDescent="0.25">
      <c r="A6185">
        <v>8</v>
      </c>
      <c r="B6185" t="s">
        <v>4215</v>
      </c>
      <c r="C6185">
        <f>-0.02-1.1</f>
        <v>-1.1200000000000001</v>
      </c>
      <c r="D6185">
        <v>0.54</v>
      </c>
      <c r="E6185" t="s">
        <v>17</v>
      </c>
      <c r="F6185" t="s">
        <v>47</v>
      </c>
      <c r="G6185">
        <v>1.1000000000000001</v>
      </c>
      <c r="H6185">
        <v>-0.02</v>
      </c>
      <c r="I6185">
        <v>0.56000000000000005</v>
      </c>
      <c r="J6185">
        <v>0.31359999999999999</v>
      </c>
      <c r="K6185" t="str">
        <f>IFERROR(INDEX(Rosters!$C$2:$C$155,MATCH($B6185,Rosters!$B$2:$B$155,0)),"NA")</f>
        <v>NA</v>
      </c>
      <c r="L6185" t="str">
        <f t="shared" si="288"/>
        <v>NA8RB</v>
      </c>
      <c r="M6185">
        <f>COUNTIF(L$1:L6185,L6185)</f>
        <v>58</v>
      </c>
      <c r="N6185" t="str">
        <f t="shared" si="289"/>
        <v>NA8RB-58</v>
      </c>
      <c r="O6185">
        <f>COUNTIFS(F$1:F6185,F6185,A$1:A6185,A6185)</f>
        <v>98</v>
      </c>
      <c r="P6185" t="str">
        <f t="shared" si="290"/>
        <v>Mark Walton8</v>
      </c>
    </row>
    <row r="6186" spans="1:16" x14ac:dyDescent="0.25">
      <c r="A6186">
        <v>2</v>
      </c>
      <c r="B6186" t="s">
        <v>4236</v>
      </c>
      <c r="C6186">
        <f>-0.04-1.12</f>
        <v>-1.1600000000000001</v>
      </c>
      <c r="D6186">
        <v>0.54</v>
      </c>
      <c r="E6186" t="s">
        <v>25</v>
      </c>
      <c r="F6186" t="s">
        <v>87</v>
      </c>
      <c r="G6186">
        <v>1.1200000000000001</v>
      </c>
      <c r="H6186">
        <v>-0.04</v>
      </c>
      <c r="I6186">
        <v>0.57999999999999996</v>
      </c>
      <c r="J6186">
        <v>0.33639999999999998</v>
      </c>
      <c r="K6186" t="str">
        <f>IFERROR(INDEX(Rosters!$C$2:$C$155,MATCH($B6186,Rosters!$B$2:$B$155,0)),"NA")</f>
        <v>aj</v>
      </c>
      <c r="L6186" t="str">
        <f t="shared" si="288"/>
        <v>aj2WR</v>
      </c>
      <c r="M6186">
        <f>COUNTIF(L$1:L6186,L6186)</f>
        <v>6</v>
      </c>
      <c r="N6186" t="str">
        <f t="shared" si="289"/>
        <v>aj2WR-6</v>
      </c>
      <c r="O6186">
        <f>COUNTIFS(F$1:F6186,F6186,A$1:A6186,A6186)</f>
        <v>121</v>
      </c>
      <c r="P6186" t="str">
        <f t="shared" si="290"/>
        <v>Marquez Valdes-Scantling2</v>
      </c>
    </row>
    <row r="6187" spans="1:16" x14ac:dyDescent="0.25">
      <c r="A6187">
        <v>7</v>
      </c>
      <c r="B6187" t="s">
        <v>345</v>
      </c>
      <c r="C6187" t="s">
        <v>881</v>
      </c>
      <c r="D6187">
        <v>0.54</v>
      </c>
      <c r="E6187" t="s">
        <v>54</v>
      </c>
      <c r="F6187" t="s">
        <v>15</v>
      </c>
      <c r="G6187">
        <v>1.04</v>
      </c>
      <c r="H6187">
        <v>0.04</v>
      </c>
      <c r="I6187">
        <v>0.5</v>
      </c>
      <c r="J6187">
        <v>0.25</v>
      </c>
      <c r="K6187" t="str">
        <f>IFERROR(INDEX(Rosters!$C$2:$C$155,MATCH($B6187,Rosters!$B$2:$B$155,0)),"NA")</f>
        <v>NA</v>
      </c>
      <c r="L6187" t="str">
        <f t="shared" si="288"/>
        <v>NA7QB</v>
      </c>
      <c r="M6187">
        <f>COUNTIF(L$1:L6187,L6187)</f>
        <v>35</v>
      </c>
      <c r="N6187" t="str">
        <f t="shared" si="289"/>
        <v>NA7QB-35</v>
      </c>
      <c r="O6187">
        <f>COUNTIFS(F$1:F6187,F6187,A$1:A6187,A6187)</f>
        <v>49</v>
      </c>
      <c r="P6187" t="str">
        <f t="shared" si="290"/>
        <v>Matt Schaub7</v>
      </c>
    </row>
    <row r="6188" spans="1:16" x14ac:dyDescent="0.25">
      <c r="A6188">
        <v>9</v>
      </c>
      <c r="B6188" t="s">
        <v>345</v>
      </c>
      <c r="C6188" t="s">
        <v>881</v>
      </c>
      <c r="D6188">
        <v>0.54</v>
      </c>
      <c r="E6188" t="s">
        <v>60</v>
      </c>
      <c r="F6188" t="s">
        <v>15</v>
      </c>
      <c r="G6188">
        <v>1.04</v>
      </c>
      <c r="H6188">
        <v>0.04</v>
      </c>
      <c r="I6188">
        <v>0.5</v>
      </c>
      <c r="J6188">
        <v>0.25</v>
      </c>
      <c r="K6188" t="str">
        <f>IFERROR(INDEX(Rosters!$C$2:$C$155,MATCH($B6188,Rosters!$B$2:$B$155,0)),"NA")</f>
        <v>NA</v>
      </c>
      <c r="L6188" t="str">
        <f t="shared" si="288"/>
        <v>NA9QB</v>
      </c>
      <c r="M6188">
        <f>COUNTIF(L$1:L6188,L6188)</f>
        <v>32</v>
      </c>
      <c r="N6188" t="str">
        <f t="shared" si="289"/>
        <v>NA9QB-32</v>
      </c>
      <c r="O6188">
        <f>COUNTIFS(F$1:F6188,F6188,A$1:A6188,A6188)</f>
        <v>46</v>
      </c>
      <c r="P6188" t="str">
        <f t="shared" si="290"/>
        <v>Matt Schaub9</v>
      </c>
    </row>
    <row r="6189" spans="1:16" x14ac:dyDescent="0.25">
      <c r="A6189">
        <v>14</v>
      </c>
      <c r="B6189" t="s">
        <v>345</v>
      </c>
      <c r="C6189">
        <f>-0.01-1.09</f>
        <v>-1.1000000000000001</v>
      </c>
      <c r="D6189">
        <v>0.54</v>
      </c>
      <c r="E6189" t="s">
        <v>41</v>
      </c>
      <c r="F6189" t="s">
        <v>15</v>
      </c>
      <c r="G6189">
        <v>1.0900000000000001</v>
      </c>
      <c r="H6189">
        <v>-0.01</v>
      </c>
      <c r="I6189">
        <v>0.55000000000000004</v>
      </c>
      <c r="J6189">
        <v>0.30249999999999999</v>
      </c>
      <c r="K6189" t="str">
        <f>IFERROR(INDEX(Rosters!$C$2:$C$155,MATCH($B6189,Rosters!$B$2:$B$155,0)),"NA")</f>
        <v>NA</v>
      </c>
      <c r="L6189" t="str">
        <f t="shared" si="288"/>
        <v>NA14QB</v>
      </c>
      <c r="M6189">
        <f>COUNTIF(L$1:L6189,L6189)</f>
        <v>39</v>
      </c>
      <c r="N6189" t="str">
        <f t="shared" si="289"/>
        <v>NA14QB-39</v>
      </c>
      <c r="O6189">
        <f>COUNTIFS(F$1:F6189,F6189,A$1:A6189,A6189)</f>
        <v>56</v>
      </c>
      <c r="P6189" t="str">
        <f t="shared" si="290"/>
        <v>Matt Schaub14</v>
      </c>
    </row>
    <row r="6190" spans="1:16" x14ac:dyDescent="0.25">
      <c r="A6190">
        <v>2</v>
      </c>
      <c r="B6190" t="s">
        <v>391</v>
      </c>
      <c r="C6190">
        <f>-0.12-1.2</f>
        <v>-1.3199999999999998</v>
      </c>
      <c r="D6190">
        <v>0.54</v>
      </c>
      <c r="E6190" t="s">
        <v>76</v>
      </c>
      <c r="F6190" t="s">
        <v>87</v>
      </c>
      <c r="G6190">
        <v>1.2</v>
      </c>
      <c r="H6190">
        <v>-0.12</v>
      </c>
      <c r="I6190">
        <v>0.66</v>
      </c>
      <c r="J6190">
        <v>0.43559999999999999</v>
      </c>
      <c r="K6190" t="str">
        <f>IFERROR(INDEX(Rosters!$C$2:$C$155,MATCH($B6190,Rosters!$B$2:$B$155,0)),"NA")</f>
        <v>NA</v>
      </c>
      <c r="L6190" t="str">
        <f t="shared" si="288"/>
        <v>NA2WR</v>
      </c>
      <c r="M6190">
        <f>COUNTIF(L$1:L6190,L6190)</f>
        <v>73</v>
      </c>
      <c r="N6190" t="str">
        <f t="shared" si="289"/>
        <v>NA2WR-73</v>
      </c>
      <c r="O6190">
        <f>COUNTIFS(F$1:F6190,F6190,A$1:A6190,A6190)</f>
        <v>122</v>
      </c>
      <c r="P6190" t="str">
        <f t="shared" si="290"/>
        <v>Matt Slater2</v>
      </c>
    </row>
    <row r="6191" spans="1:16" x14ac:dyDescent="0.25">
      <c r="A6191">
        <v>16</v>
      </c>
      <c r="B6191" t="s">
        <v>8855</v>
      </c>
      <c r="C6191">
        <f>-0.08-1.16</f>
        <v>-1.24</v>
      </c>
      <c r="D6191">
        <v>0.54</v>
      </c>
      <c r="E6191" t="s">
        <v>54</v>
      </c>
      <c r="F6191" t="s">
        <v>114</v>
      </c>
      <c r="G6191">
        <v>1.1599999999999999</v>
      </c>
      <c r="H6191">
        <v>-0.08</v>
      </c>
      <c r="I6191">
        <v>0.62</v>
      </c>
      <c r="J6191">
        <v>0.38440000000000002</v>
      </c>
      <c r="K6191" t="str">
        <f>IFERROR(INDEX(Rosters!$C$2:$C$155,MATCH($B6191,Rosters!$B$2:$B$155,0)),"NA")</f>
        <v>NA</v>
      </c>
      <c r="L6191" t="str">
        <f t="shared" si="288"/>
        <v>NA16TE</v>
      </c>
      <c r="M6191">
        <f>COUNTIF(L$1:L6191,L6191)</f>
        <v>70</v>
      </c>
      <c r="N6191" t="str">
        <f t="shared" si="289"/>
        <v>NA16TE-70</v>
      </c>
      <c r="O6191">
        <f>COUNTIFS(F$1:F6191,F6191,A$1:A6191,A6191)</f>
        <v>84</v>
      </c>
      <c r="P6191" t="str">
        <f t="shared" si="290"/>
        <v>Mo Alie-Cox16</v>
      </c>
    </row>
    <row r="6192" spans="1:16" x14ac:dyDescent="0.25">
      <c r="A6192">
        <v>12</v>
      </c>
      <c r="B6192" t="s">
        <v>1623</v>
      </c>
      <c r="C6192">
        <f>-0.12-1.2</f>
        <v>-1.3199999999999998</v>
      </c>
      <c r="D6192">
        <v>0.54</v>
      </c>
      <c r="E6192" t="s">
        <v>60</v>
      </c>
      <c r="F6192" t="s">
        <v>87</v>
      </c>
      <c r="G6192">
        <v>1.2</v>
      </c>
      <c r="H6192">
        <v>-0.12</v>
      </c>
      <c r="I6192">
        <v>0.66</v>
      </c>
      <c r="J6192">
        <v>0.43559999999999999</v>
      </c>
      <c r="K6192" t="str">
        <f>IFERROR(INDEX(Rosters!$C$2:$C$155,MATCH($B6192,Rosters!$B$2:$B$155,0)),"NA")</f>
        <v>NA</v>
      </c>
      <c r="L6192" t="str">
        <f t="shared" si="288"/>
        <v>NA12WR</v>
      </c>
      <c r="M6192">
        <f>COUNTIF(L$1:L6192,L6192)</f>
        <v>101</v>
      </c>
      <c r="N6192" t="str">
        <f t="shared" si="289"/>
        <v>NA12WR-101</v>
      </c>
      <c r="O6192">
        <f>COUNTIFS(F$1:F6192,F6192,A$1:A6192,A6192)</f>
        <v>150</v>
      </c>
      <c r="P6192" t="str">
        <f t="shared" si="290"/>
        <v>Noah Brown12</v>
      </c>
    </row>
    <row r="6193" spans="1:16" x14ac:dyDescent="0.25">
      <c r="A6193">
        <v>12</v>
      </c>
      <c r="B6193" t="s">
        <v>4260</v>
      </c>
      <c r="C6193">
        <f>-0.1-1.18</f>
        <v>-1.28</v>
      </c>
      <c r="D6193">
        <v>0.54</v>
      </c>
      <c r="E6193" t="s">
        <v>76</v>
      </c>
      <c r="F6193" t="s">
        <v>87</v>
      </c>
      <c r="G6193">
        <v>1.18</v>
      </c>
      <c r="H6193">
        <v>-0.1</v>
      </c>
      <c r="I6193">
        <v>0.64</v>
      </c>
      <c r="J6193">
        <v>0.40960000000000002</v>
      </c>
      <c r="K6193" t="str">
        <f>IFERROR(INDEX(Rosters!$C$2:$C$155,MATCH($B6193,Rosters!$B$2:$B$155,0)),"NA")</f>
        <v>NA</v>
      </c>
      <c r="L6193" t="str">
        <f t="shared" si="288"/>
        <v>NA12WR</v>
      </c>
      <c r="M6193">
        <f>COUNTIF(L$1:L6193,L6193)</f>
        <v>102</v>
      </c>
      <c r="N6193" t="str">
        <f t="shared" si="289"/>
        <v>NA12WR-102</v>
      </c>
      <c r="O6193">
        <f>COUNTIFS(F$1:F6193,F6193,A$1:A6193,A6193)</f>
        <v>151</v>
      </c>
      <c r="P6193" t="str">
        <f t="shared" si="290"/>
        <v>Robert Foster12</v>
      </c>
    </row>
    <row r="6194" spans="1:16" x14ac:dyDescent="0.25">
      <c r="A6194">
        <v>13</v>
      </c>
      <c r="B6194" t="s">
        <v>164</v>
      </c>
      <c r="C6194" t="s">
        <v>3864</v>
      </c>
      <c r="D6194">
        <v>0.54</v>
      </c>
      <c r="E6194" t="s">
        <v>50</v>
      </c>
      <c r="F6194" t="s">
        <v>47</v>
      </c>
      <c r="G6194">
        <v>1.06</v>
      </c>
      <c r="H6194">
        <v>0.02</v>
      </c>
      <c r="I6194">
        <v>0.52</v>
      </c>
      <c r="J6194">
        <v>0.27039999999999997</v>
      </c>
      <c r="K6194" t="str">
        <f>IFERROR(INDEX(Rosters!$C$2:$C$155,MATCH($B6194,Rosters!$B$2:$B$155,0)),"NA")</f>
        <v>NA</v>
      </c>
      <c r="L6194" t="str">
        <f t="shared" si="288"/>
        <v>NA13RB</v>
      </c>
      <c r="M6194">
        <f>COUNTIF(L$1:L6194,L6194)</f>
        <v>66</v>
      </c>
      <c r="N6194" t="str">
        <f t="shared" si="289"/>
        <v>NA13RB-66</v>
      </c>
      <c r="O6194">
        <f>COUNTIFS(F$1:F6194,F6194,A$1:A6194,A6194)</f>
        <v>113</v>
      </c>
      <c r="P6194" t="str">
        <f t="shared" si="290"/>
        <v>Samaje Perine13</v>
      </c>
    </row>
    <row r="6195" spans="1:16" x14ac:dyDescent="0.25">
      <c r="A6195">
        <v>6</v>
      </c>
      <c r="B6195" t="s">
        <v>332</v>
      </c>
      <c r="C6195">
        <f>-0.2-1.28</f>
        <v>-1.48</v>
      </c>
      <c r="D6195">
        <v>0.54</v>
      </c>
      <c r="E6195" t="s">
        <v>72</v>
      </c>
      <c r="F6195" t="s">
        <v>47</v>
      </c>
      <c r="G6195">
        <v>1.28</v>
      </c>
      <c r="H6195">
        <v>-0.2</v>
      </c>
      <c r="I6195">
        <v>0.74</v>
      </c>
      <c r="J6195">
        <v>0.54759999999999998</v>
      </c>
      <c r="K6195" t="str">
        <f>IFERROR(INDEX(Rosters!$C$2:$C$155,MATCH($B6195,Rosters!$B$2:$B$155,0)),"NA")</f>
        <v>NA</v>
      </c>
      <c r="L6195" t="str">
        <f t="shared" si="288"/>
        <v>NA6RB</v>
      </c>
      <c r="M6195">
        <f>COUNTIF(L$1:L6195,L6195)</f>
        <v>56</v>
      </c>
      <c r="N6195" t="str">
        <f t="shared" si="289"/>
        <v>NA6RB-56</v>
      </c>
      <c r="O6195">
        <f>COUNTIFS(F$1:F6195,F6195,A$1:A6195,A6195)</f>
        <v>98</v>
      </c>
      <c r="P6195" t="str">
        <f t="shared" si="290"/>
        <v>Senorise Perry6</v>
      </c>
    </row>
    <row r="6196" spans="1:16" x14ac:dyDescent="0.25">
      <c r="A6196">
        <v>16</v>
      </c>
      <c r="B6196" t="s">
        <v>745</v>
      </c>
      <c r="C6196">
        <f>-0.01-1.09</f>
        <v>-1.1000000000000001</v>
      </c>
      <c r="D6196">
        <v>0.54</v>
      </c>
      <c r="E6196" t="s">
        <v>51</v>
      </c>
      <c r="F6196" t="s">
        <v>15</v>
      </c>
      <c r="G6196">
        <v>1.0900000000000001</v>
      </c>
      <c r="H6196">
        <v>-0.01</v>
      </c>
      <c r="I6196">
        <v>0.55000000000000004</v>
      </c>
      <c r="J6196">
        <v>0.30249999999999999</v>
      </c>
      <c r="K6196" t="str">
        <f>IFERROR(INDEX(Rosters!$C$2:$C$155,MATCH($B6196,Rosters!$B$2:$B$155,0)),"NA")</f>
        <v>NA</v>
      </c>
      <c r="L6196" t="str">
        <f t="shared" si="288"/>
        <v>NA16QB</v>
      </c>
      <c r="M6196">
        <f>COUNTIF(L$1:L6196,L6196)</f>
        <v>39</v>
      </c>
      <c r="N6196" t="str">
        <f t="shared" si="289"/>
        <v>NA16QB-39</v>
      </c>
      <c r="O6196">
        <f>COUNTIFS(F$1:F6196,F6196,A$1:A6196,A6196)</f>
        <v>56</v>
      </c>
      <c r="P6196" t="str">
        <f t="shared" si="290"/>
        <v>Teddy Bridgewater16</v>
      </c>
    </row>
    <row r="6197" spans="1:16" x14ac:dyDescent="0.25">
      <c r="A6197">
        <v>13</v>
      </c>
      <c r="B6197" t="s">
        <v>2792</v>
      </c>
      <c r="C6197">
        <f>-0.07-1.15</f>
        <v>-1.22</v>
      </c>
      <c r="D6197">
        <v>0.54</v>
      </c>
      <c r="E6197" t="s">
        <v>42</v>
      </c>
      <c r="F6197" t="s">
        <v>47</v>
      </c>
      <c r="G6197">
        <v>1.1499999999999999</v>
      </c>
      <c r="H6197">
        <v>-7.0000000000000007E-2</v>
      </c>
      <c r="I6197">
        <v>0.61</v>
      </c>
      <c r="J6197">
        <v>0.37209999999999999</v>
      </c>
      <c r="K6197" t="str">
        <f>IFERROR(INDEX(Rosters!$C$2:$C$155,MATCH($B6197,Rosters!$B$2:$B$155,0)),"NA")</f>
        <v>NA</v>
      </c>
      <c r="L6197" t="str">
        <f t="shared" si="288"/>
        <v>NA13RB</v>
      </c>
      <c r="M6197">
        <f>COUNTIF(L$1:L6197,L6197)</f>
        <v>67</v>
      </c>
      <c r="N6197" t="str">
        <f t="shared" si="289"/>
        <v>NA13RB-67</v>
      </c>
      <c r="O6197">
        <f>COUNTIFS(F$1:F6197,F6197,A$1:A6197,A6197)</f>
        <v>114</v>
      </c>
      <c r="P6197" t="str">
        <f t="shared" si="290"/>
        <v>Thomas Rawls13</v>
      </c>
    </row>
    <row r="6198" spans="1:16" x14ac:dyDescent="0.25">
      <c r="A6198">
        <v>8</v>
      </c>
      <c r="B6198" t="s">
        <v>4258</v>
      </c>
      <c r="C6198" t="s">
        <v>797</v>
      </c>
      <c r="D6198">
        <v>0.54</v>
      </c>
      <c r="E6198" t="s">
        <v>24</v>
      </c>
      <c r="F6198" t="s">
        <v>87</v>
      </c>
      <c r="G6198">
        <v>1.05</v>
      </c>
      <c r="H6198">
        <v>0.03</v>
      </c>
      <c r="I6198">
        <v>0.51</v>
      </c>
      <c r="J6198">
        <v>0.2601</v>
      </c>
      <c r="K6198" t="str">
        <f>IFERROR(INDEX(Rosters!$C$2:$C$155,MATCH($B6198,Rosters!$B$2:$B$155,0)),"NA")</f>
        <v>NA</v>
      </c>
      <c r="L6198" t="str">
        <f t="shared" si="288"/>
        <v>NA8WR</v>
      </c>
      <c r="M6198">
        <f>COUNTIF(L$1:L6198,L6198)</f>
        <v>87</v>
      </c>
      <c r="N6198" t="str">
        <f t="shared" si="289"/>
        <v>NA8WR-87</v>
      </c>
      <c r="O6198">
        <f>COUNTIFS(F$1:F6198,F6198,A$1:A6198,A6198)</f>
        <v>136</v>
      </c>
      <c r="P6198" t="str">
        <f t="shared" si="290"/>
        <v>Tim Patrick8</v>
      </c>
    </row>
    <row r="6199" spans="1:16" x14ac:dyDescent="0.25">
      <c r="A6199">
        <v>2</v>
      </c>
      <c r="B6199" t="s">
        <v>4250</v>
      </c>
      <c r="C6199" t="s">
        <v>880</v>
      </c>
      <c r="D6199">
        <v>0.54</v>
      </c>
      <c r="E6199" t="s">
        <v>41</v>
      </c>
      <c r="F6199" t="s">
        <v>114</v>
      </c>
      <c r="G6199">
        <v>1.02</v>
      </c>
      <c r="H6199">
        <v>0.06</v>
      </c>
      <c r="I6199">
        <v>0.48</v>
      </c>
      <c r="J6199">
        <v>0.23039999999999999</v>
      </c>
      <c r="K6199" t="str">
        <f>IFERROR(INDEX(Rosters!$C$2:$C$155,MATCH($B6199,Rosters!$B$2:$B$155,0)),"NA")</f>
        <v>NA</v>
      </c>
      <c r="L6199" t="str">
        <f t="shared" si="288"/>
        <v>NA2TE</v>
      </c>
      <c r="M6199">
        <f>COUNTIF(L$1:L6199,L6199)</f>
        <v>59</v>
      </c>
      <c r="N6199" t="str">
        <f t="shared" si="289"/>
        <v>NA2TE-59</v>
      </c>
      <c r="O6199">
        <f>COUNTIFS(F$1:F6199,F6199,A$1:A6199,A6199)</f>
        <v>72</v>
      </c>
      <c r="P6199" t="str">
        <f t="shared" si="290"/>
        <v>Tyler Conklin2</v>
      </c>
    </row>
    <row r="6200" spans="1:16" x14ac:dyDescent="0.25">
      <c r="A6200">
        <v>9</v>
      </c>
      <c r="B6200" t="s">
        <v>4250</v>
      </c>
      <c r="C6200" t="s">
        <v>797</v>
      </c>
      <c r="D6200">
        <v>0.54</v>
      </c>
      <c r="E6200" t="s">
        <v>34</v>
      </c>
      <c r="F6200" t="s">
        <v>114</v>
      </c>
      <c r="G6200">
        <v>1.05</v>
      </c>
      <c r="H6200">
        <v>0.03</v>
      </c>
      <c r="I6200">
        <v>0.51</v>
      </c>
      <c r="J6200">
        <v>0.2601</v>
      </c>
      <c r="K6200" t="str">
        <f>IFERROR(INDEX(Rosters!$C$2:$C$155,MATCH($B6200,Rosters!$B$2:$B$155,0)),"NA")</f>
        <v>NA</v>
      </c>
      <c r="L6200" t="str">
        <f t="shared" si="288"/>
        <v>NA9TE</v>
      </c>
      <c r="M6200">
        <f>COUNTIF(L$1:L6200,L6200)</f>
        <v>56</v>
      </c>
      <c r="N6200" t="str">
        <f t="shared" si="289"/>
        <v>NA9TE-56</v>
      </c>
      <c r="O6200">
        <f>COUNTIFS(F$1:F6200,F6200,A$1:A6200,A6200)</f>
        <v>67</v>
      </c>
      <c r="P6200" t="str">
        <f t="shared" si="290"/>
        <v>Tyler Conklin9</v>
      </c>
    </row>
    <row r="6201" spans="1:16" x14ac:dyDescent="0.25">
      <c r="A6201">
        <v>8</v>
      </c>
      <c r="B6201" t="s">
        <v>1566</v>
      </c>
      <c r="C6201" t="s">
        <v>363</v>
      </c>
      <c r="D6201">
        <v>0.54</v>
      </c>
      <c r="E6201" t="s">
        <v>58</v>
      </c>
      <c r="F6201" t="s">
        <v>87</v>
      </c>
      <c r="G6201">
        <v>1.07</v>
      </c>
      <c r="H6201">
        <v>0.01</v>
      </c>
      <c r="I6201">
        <v>0.53</v>
      </c>
      <c r="J6201">
        <v>0.28089999999999998</v>
      </c>
      <c r="K6201" t="str">
        <f>IFERROR(INDEX(Rosters!$C$2:$C$155,MATCH($B6201,Rosters!$B$2:$B$155,0)),"NA")</f>
        <v>NA</v>
      </c>
      <c r="L6201" t="str">
        <f t="shared" si="288"/>
        <v>NA8WR</v>
      </c>
      <c r="M6201">
        <f>COUNTIF(L$1:L6201,L6201)</f>
        <v>88</v>
      </c>
      <c r="N6201" t="str">
        <f t="shared" si="289"/>
        <v>NA8WR-88</v>
      </c>
      <c r="O6201">
        <f>COUNTIFS(F$1:F6201,F6201,A$1:A6201,A6201)</f>
        <v>137</v>
      </c>
      <c r="P6201" t="str">
        <f t="shared" si="290"/>
        <v>Victor Bolden Jr.8</v>
      </c>
    </row>
    <row r="6202" spans="1:16" x14ac:dyDescent="0.25">
      <c r="A6202">
        <v>13</v>
      </c>
      <c r="B6202" t="s">
        <v>1566</v>
      </c>
      <c r="C6202" t="s">
        <v>881</v>
      </c>
      <c r="D6202">
        <v>0.54</v>
      </c>
      <c r="E6202" t="s">
        <v>28</v>
      </c>
      <c r="F6202" t="s">
        <v>87</v>
      </c>
      <c r="G6202">
        <v>1.04</v>
      </c>
      <c r="H6202">
        <v>0.04</v>
      </c>
      <c r="I6202">
        <v>0.5</v>
      </c>
      <c r="J6202">
        <v>0.25</v>
      </c>
      <c r="K6202" t="str">
        <f>IFERROR(INDEX(Rosters!$C$2:$C$155,MATCH($B6202,Rosters!$B$2:$B$155,0)),"NA")</f>
        <v>NA</v>
      </c>
      <c r="L6202" t="str">
        <f t="shared" si="288"/>
        <v>NA13WR</v>
      </c>
      <c r="M6202">
        <f>COUNTIF(L$1:L6202,L6202)</f>
        <v>105</v>
      </c>
      <c r="N6202" t="str">
        <f t="shared" si="289"/>
        <v>NA13WR-105</v>
      </c>
      <c r="O6202">
        <f>COUNTIFS(F$1:F6202,F6202,A$1:A6202,A6202)</f>
        <v>159</v>
      </c>
      <c r="P6202" t="str">
        <f t="shared" si="290"/>
        <v>Victor Bolden Jr.13</v>
      </c>
    </row>
    <row r="6203" spans="1:16" x14ac:dyDescent="0.25">
      <c r="A6203">
        <v>3</v>
      </c>
      <c r="B6203" t="s">
        <v>4245</v>
      </c>
      <c r="C6203">
        <f>-0.12-1.2</f>
        <v>-1.3199999999999998</v>
      </c>
      <c r="D6203">
        <v>0.54</v>
      </c>
      <c r="E6203" t="s">
        <v>54</v>
      </c>
      <c r="F6203" t="s">
        <v>87</v>
      </c>
      <c r="G6203">
        <v>1.2</v>
      </c>
      <c r="H6203">
        <v>-0.12</v>
      </c>
      <c r="I6203">
        <v>0.66</v>
      </c>
      <c r="J6203">
        <v>0.43559999999999999</v>
      </c>
      <c r="K6203" t="str">
        <f>IFERROR(INDEX(Rosters!$C$2:$C$155,MATCH($B6203,Rosters!$B$2:$B$155,0)),"NA")</f>
        <v>NA</v>
      </c>
      <c r="L6203" t="str">
        <f t="shared" si="288"/>
        <v>NA3WR</v>
      </c>
      <c r="M6203">
        <f>COUNTIF(L$1:L6203,L6203)</f>
        <v>82</v>
      </c>
      <c r="N6203" t="str">
        <f t="shared" si="289"/>
        <v>NA3WR-82</v>
      </c>
      <c r="O6203">
        <f>COUNTIFS(F$1:F6203,F6203,A$1:A6203,A6203)</f>
        <v>131</v>
      </c>
      <c r="P6203" t="str">
        <f t="shared" si="290"/>
        <v>Vyncint Smith3</v>
      </c>
    </row>
    <row r="6204" spans="1:16" x14ac:dyDescent="0.25">
      <c r="A6204">
        <v>12</v>
      </c>
      <c r="B6204" t="s">
        <v>1488</v>
      </c>
      <c r="C6204">
        <f>-0.03-1.09</f>
        <v>-1.1200000000000001</v>
      </c>
      <c r="D6204">
        <v>0.53</v>
      </c>
      <c r="E6204" t="s">
        <v>34</v>
      </c>
      <c r="F6204" t="s">
        <v>114</v>
      </c>
      <c r="G6204">
        <v>1.0900000000000001</v>
      </c>
      <c r="H6204">
        <v>-0.03</v>
      </c>
      <c r="I6204">
        <v>0.56000000000000005</v>
      </c>
      <c r="J6204">
        <v>0.31359999999999999</v>
      </c>
      <c r="K6204" t="str">
        <f>IFERROR(INDEX(Rosters!$C$2:$C$155,MATCH($B6204,Rosters!$B$2:$B$155,0)),"NA")</f>
        <v>NA</v>
      </c>
      <c r="L6204" t="str">
        <f t="shared" si="288"/>
        <v>NA12TE</v>
      </c>
      <c r="M6204">
        <f>COUNTIF(L$1:L6204,L6204)</f>
        <v>67</v>
      </c>
      <c r="N6204" t="str">
        <f t="shared" si="289"/>
        <v>NA12TE-67</v>
      </c>
      <c r="O6204">
        <f>COUNTIFS(F$1:F6204,F6204,A$1:A6204,A6204)</f>
        <v>80</v>
      </c>
      <c r="P6204" t="str">
        <f t="shared" si="290"/>
        <v>Adam Shaheen12</v>
      </c>
    </row>
    <row r="6205" spans="1:16" x14ac:dyDescent="0.25">
      <c r="A6205">
        <v>13</v>
      </c>
      <c r="B6205" t="s">
        <v>1488</v>
      </c>
      <c r="C6205">
        <f>-0.04-1.1</f>
        <v>-1.1400000000000001</v>
      </c>
      <c r="D6205">
        <v>0.53</v>
      </c>
      <c r="E6205" t="s">
        <v>54</v>
      </c>
      <c r="F6205" t="s">
        <v>114</v>
      </c>
      <c r="G6205">
        <v>1.1000000000000001</v>
      </c>
      <c r="H6205">
        <v>-0.04</v>
      </c>
      <c r="I6205">
        <v>0.56999999999999995</v>
      </c>
      <c r="J6205">
        <v>0.32490000000000002</v>
      </c>
      <c r="K6205" t="str">
        <f>IFERROR(INDEX(Rosters!$C$2:$C$155,MATCH($B6205,Rosters!$B$2:$B$155,0)),"NA")</f>
        <v>NA</v>
      </c>
      <c r="L6205" t="str">
        <f t="shared" si="288"/>
        <v>NA13TE</v>
      </c>
      <c r="M6205">
        <f>COUNTIF(L$1:L6205,L6205)</f>
        <v>65</v>
      </c>
      <c r="N6205" t="str">
        <f t="shared" si="289"/>
        <v>NA13TE-65</v>
      </c>
      <c r="O6205">
        <f>COUNTIFS(F$1:F6205,F6205,A$1:A6205,A6205)</f>
        <v>79</v>
      </c>
      <c r="P6205" t="str">
        <f t="shared" si="290"/>
        <v>Adam Shaheen13</v>
      </c>
    </row>
    <row r="6206" spans="1:16" x14ac:dyDescent="0.25">
      <c r="A6206">
        <v>6</v>
      </c>
      <c r="B6206" t="s">
        <v>1555</v>
      </c>
      <c r="C6206" t="s">
        <v>8911</v>
      </c>
      <c r="D6206">
        <v>0.53</v>
      </c>
      <c r="E6206" t="s">
        <v>60</v>
      </c>
      <c r="F6206" t="s">
        <v>47</v>
      </c>
      <c r="G6206">
        <v>1.06</v>
      </c>
      <c r="H6206">
        <v>0</v>
      </c>
      <c r="I6206">
        <v>0.53</v>
      </c>
      <c r="J6206">
        <v>0.28089999999999998</v>
      </c>
      <c r="K6206" t="str">
        <f>IFERROR(INDEX(Rosters!$C$2:$C$155,MATCH($B6206,Rosters!$B$2:$B$155,0)),"NA")</f>
        <v>NA</v>
      </c>
      <c r="L6206" t="str">
        <f t="shared" si="288"/>
        <v>NA6RB</v>
      </c>
      <c r="M6206">
        <f>COUNTIF(L$1:L6206,L6206)</f>
        <v>57</v>
      </c>
      <c r="N6206" t="str">
        <f t="shared" si="289"/>
        <v>NA6RB-57</v>
      </c>
      <c r="O6206">
        <f>COUNTIFS(F$1:F6206,F6206,A$1:A6206,A6206)</f>
        <v>99</v>
      </c>
      <c r="P6206" t="str">
        <f t="shared" si="290"/>
        <v>Alex Armah6</v>
      </c>
    </row>
    <row r="6207" spans="1:16" x14ac:dyDescent="0.25">
      <c r="A6207">
        <v>14</v>
      </c>
      <c r="B6207" t="s">
        <v>1555</v>
      </c>
      <c r="C6207">
        <f>-0.03-1.09</f>
        <v>-1.1200000000000001</v>
      </c>
      <c r="D6207">
        <v>0.53</v>
      </c>
      <c r="E6207" t="s">
        <v>52</v>
      </c>
      <c r="F6207" t="s">
        <v>47</v>
      </c>
      <c r="G6207">
        <v>1.0900000000000001</v>
      </c>
      <c r="H6207">
        <v>-0.03</v>
      </c>
      <c r="I6207">
        <v>0.56000000000000005</v>
      </c>
      <c r="J6207">
        <v>0.31359999999999999</v>
      </c>
      <c r="K6207" t="str">
        <f>IFERROR(INDEX(Rosters!$C$2:$C$155,MATCH($B6207,Rosters!$B$2:$B$155,0)),"NA")</f>
        <v>NA</v>
      </c>
      <c r="L6207" t="str">
        <f t="shared" si="288"/>
        <v>NA14RB</v>
      </c>
      <c r="M6207">
        <f>COUNTIF(L$1:L6207,L6207)</f>
        <v>62</v>
      </c>
      <c r="N6207" t="str">
        <f t="shared" si="289"/>
        <v>NA14RB-62</v>
      </c>
      <c r="O6207">
        <f>COUNTIFS(F$1:F6207,F6207,A$1:A6207,A6207)</f>
        <v>109</v>
      </c>
      <c r="P6207" t="str">
        <f t="shared" si="290"/>
        <v>Alex Armah14</v>
      </c>
    </row>
    <row r="6208" spans="1:16" x14ac:dyDescent="0.25">
      <c r="A6208">
        <v>4</v>
      </c>
      <c r="B6208" t="s">
        <v>276</v>
      </c>
      <c r="C6208">
        <f>-0.13-1.19</f>
        <v>-1.3199999999999998</v>
      </c>
      <c r="D6208">
        <v>0.53</v>
      </c>
      <c r="E6208" t="s">
        <v>41</v>
      </c>
      <c r="F6208" t="s">
        <v>87</v>
      </c>
      <c r="G6208">
        <v>1.19</v>
      </c>
      <c r="H6208">
        <v>-0.13</v>
      </c>
      <c r="I6208">
        <v>0.66</v>
      </c>
      <c r="J6208">
        <v>0.43559999999999999</v>
      </c>
      <c r="K6208" t="str">
        <f>IFERROR(INDEX(Rosters!$C$2:$C$155,MATCH($B6208,Rosters!$B$2:$B$155,0)),"NA")</f>
        <v>NA</v>
      </c>
      <c r="L6208" t="str">
        <f t="shared" si="288"/>
        <v>NA4WR</v>
      </c>
      <c r="M6208">
        <f>COUNTIF(L$1:L6208,L6208)</f>
        <v>81</v>
      </c>
      <c r="N6208" t="str">
        <f t="shared" si="289"/>
        <v>NA4WR-81</v>
      </c>
      <c r="O6208">
        <f>COUNTIFS(F$1:F6208,F6208,A$1:A6208,A6208)</f>
        <v>131</v>
      </c>
      <c r="P6208" t="str">
        <f t="shared" si="290"/>
        <v>Andre Holmes4</v>
      </c>
    </row>
    <row r="6209" spans="1:16" x14ac:dyDescent="0.25">
      <c r="A6209">
        <v>17</v>
      </c>
      <c r="B6209" t="s">
        <v>385</v>
      </c>
      <c r="C6209">
        <f>-0.04-1.1</f>
        <v>-1.1400000000000001</v>
      </c>
      <c r="D6209">
        <v>0.53</v>
      </c>
      <c r="E6209" t="s">
        <v>32</v>
      </c>
      <c r="F6209" t="s">
        <v>47</v>
      </c>
      <c r="G6209">
        <v>1.1000000000000001</v>
      </c>
      <c r="H6209">
        <v>-0.04</v>
      </c>
      <c r="I6209">
        <v>0.56999999999999995</v>
      </c>
      <c r="J6209">
        <v>0.32490000000000002</v>
      </c>
      <c r="K6209" t="str">
        <f>IFERROR(INDEX(Rosters!$C$2:$C$155,MATCH($B6209,Rosters!$B$2:$B$155,0)),"NA")</f>
        <v>NA</v>
      </c>
      <c r="L6209" t="str">
        <f t="shared" si="288"/>
        <v>NA17RB</v>
      </c>
      <c r="M6209">
        <f>COUNTIF(L$1:L6209,L6209)</f>
        <v>56</v>
      </c>
      <c r="N6209" t="str">
        <f t="shared" si="289"/>
        <v>NA17RB-56</v>
      </c>
      <c r="O6209">
        <f>COUNTIFS(F$1:F6209,F6209,A$1:A6209,A6209)</f>
        <v>103</v>
      </c>
      <c r="P6209" t="str">
        <f t="shared" si="290"/>
        <v>Anthony Sherman17</v>
      </c>
    </row>
    <row r="6210" spans="1:16" x14ac:dyDescent="0.25">
      <c r="A6210">
        <v>2</v>
      </c>
      <c r="B6210" t="s">
        <v>1542</v>
      </c>
      <c r="C6210" t="s">
        <v>366</v>
      </c>
      <c r="D6210">
        <v>0.53</v>
      </c>
      <c r="E6210" t="s">
        <v>50</v>
      </c>
      <c r="F6210" t="s">
        <v>114</v>
      </c>
      <c r="G6210">
        <v>0.98</v>
      </c>
      <c r="H6210">
        <v>0.08</v>
      </c>
      <c r="I6210">
        <v>0.45</v>
      </c>
      <c r="J6210">
        <v>0.20250000000000001</v>
      </c>
      <c r="K6210" t="str">
        <f>IFERROR(INDEX(Rosters!$C$2:$C$155,MATCH($B6210,Rosters!$B$2:$B$155,0)),"NA")</f>
        <v>NA</v>
      </c>
      <c r="L6210" t="str">
        <f t="shared" si="288"/>
        <v>NA2TE</v>
      </c>
      <c r="M6210">
        <f>COUNTIF(L$1:L6210,L6210)</f>
        <v>60</v>
      </c>
      <c r="N6210" t="str">
        <f t="shared" si="289"/>
        <v>NA2TE-60</v>
      </c>
      <c r="O6210">
        <f>COUNTIFS(F$1:F6210,F6210,A$1:A6210,A6210)</f>
        <v>73</v>
      </c>
      <c r="P6210" t="str">
        <f t="shared" si="290"/>
        <v>Antony Auclair2</v>
      </c>
    </row>
    <row r="6211" spans="1:16" x14ac:dyDescent="0.25">
      <c r="A6211">
        <v>7</v>
      </c>
      <c r="B6211" t="s">
        <v>1542</v>
      </c>
      <c r="C6211" t="s">
        <v>8912</v>
      </c>
      <c r="D6211">
        <v>0.53</v>
      </c>
      <c r="E6211" t="s">
        <v>52</v>
      </c>
      <c r="F6211" t="s">
        <v>114</v>
      </c>
      <c r="G6211">
        <v>0.97</v>
      </c>
      <c r="H6211">
        <v>0.09</v>
      </c>
      <c r="I6211">
        <v>0.44</v>
      </c>
      <c r="J6211">
        <v>0.19359999999999999</v>
      </c>
      <c r="K6211" t="str">
        <f>IFERROR(INDEX(Rosters!$C$2:$C$155,MATCH($B6211,Rosters!$B$2:$B$155,0)),"NA")</f>
        <v>NA</v>
      </c>
      <c r="L6211" t="str">
        <f t="shared" ref="L6211:L6274" si="291">K6211&amp;A6211&amp;F6211</f>
        <v>NA7TE</v>
      </c>
      <c r="M6211">
        <f>COUNTIF(L$1:L6211,L6211)</f>
        <v>63</v>
      </c>
      <c r="N6211" t="str">
        <f t="shared" ref="N6211:N6274" si="292">L6211&amp;"-"&amp;M6211</f>
        <v>NA7TE-63</v>
      </c>
      <c r="O6211">
        <f>COUNTIFS(F$1:F6211,F6211,A$1:A6211,A6211)</f>
        <v>73</v>
      </c>
      <c r="P6211" t="str">
        <f t="shared" ref="P6211:P6274" si="293">B6211&amp;A6211</f>
        <v>Antony Auclair7</v>
      </c>
    </row>
    <row r="6212" spans="1:16" x14ac:dyDescent="0.25">
      <c r="A6212">
        <v>14</v>
      </c>
      <c r="B6212" t="s">
        <v>1145</v>
      </c>
      <c r="C6212">
        <f>-0.04-1.1</f>
        <v>-1.1400000000000001</v>
      </c>
      <c r="D6212">
        <v>0.53</v>
      </c>
      <c r="E6212" t="s">
        <v>56</v>
      </c>
      <c r="F6212" t="s">
        <v>114</v>
      </c>
      <c r="G6212">
        <v>1.1000000000000001</v>
      </c>
      <c r="H6212">
        <v>-0.04</v>
      </c>
      <c r="I6212">
        <v>0.56999999999999995</v>
      </c>
      <c r="J6212">
        <v>0.32490000000000002</v>
      </c>
      <c r="K6212" t="str">
        <f>IFERROR(INDEX(Rosters!$C$2:$C$155,MATCH($B6212,Rosters!$B$2:$B$155,0)),"NA")</f>
        <v>NA</v>
      </c>
      <c r="L6212" t="str">
        <f t="shared" si="291"/>
        <v>NA14TE</v>
      </c>
      <c r="M6212">
        <f>COUNTIF(L$1:L6212,L6212)</f>
        <v>70</v>
      </c>
      <c r="N6212" t="str">
        <f t="shared" si="292"/>
        <v>NA14TE-70</v>
      </c>
      <c r="O6212">
        <f>COUNTIFS(F$1:F6212,F6212,A$1:A6212,A6212)</f>
        <v>84</v>
      </c>
      <c r="P6212" t="str">
        <f t="shared" si="293"/>
        <v>Ben Braunecker14</v>
      </c>
    </row>
    <row r="6213" spans="1:16" x14ac:dyDescent="0.25">
      <c r="A6213">
        <v>7</v>
      </c>
      <c r="B6213" t="s">
        <v>293</v>
      </c>
      <c r="C6213">
        <f>-0.11-1.17</f>
        <v>-1.28</v>
      </c>
      <c r="D6213">
        <v>0.53</v>
      </c>
      <c r="E6213" t="s">
        <v>423</v>
      </c>
      <c r="F6213" t="s">
        <v>47</v>
      </c>
      <c r="G6213">
        <v>1.17</v>
      </c>
      <c r="H6213">
        <v>-0.11</v>
      </c>
      <c r="I6213">
        <v>0.64</v>
      </c>
      <c r="J6213">
        <v>0.40960000000000002</v>
      </c>
      <c r="K6213" t="str">
        <f>IFERROR(INDEX(Rosters!$C$2:$C$155,MATCH($B6213,Rosters!$B$2:$B$155,0)),"NA")</f>
        <v>NA</v>
      </c>
      <c r="L6213" t="str">
        <f t="shared" si="291"/>
        <v>NA7RB</v>
      </c>
      <c r="M6213">
        <f>COUNTIF(L$1:L6213,L6213)</f>
        <v>51</v>
      </c>
      <c r="N6213" t="str">
        <f t="shared" si="292"/>
        <v>NA7RB-51</v>
      </c>
      <c r="O6213">
        <f>COUNTIFS(F$1:F6213,F6213,A$1:A6213,A6213)</f>
        <v>92</v>
      </c>
      <c r="P6213" t="str">
        <f t="shared" si="293"/>
        <v>Benny Cunningham7</v>
      </c>
    </row>
    <row r="6214" spans="1:16" x14ac:dyDescent="0.25">
      <c r="A6214">
        <v>16</v>
      </c>
      <c r="B6214" t="s">
        <v>293</v>
      </c>
      <c r="C6214">
        <f>-0.15-1.21</f>
        <v>-1.3599999999999999</v>
      </c>
      <c r="D6214">
        <v>0.53</v>
      </c>
      <c r="E6214" t="s">
        <v>30</v>
      </c>
      <c r="F6214" t="s">
        <v>47</v>
      </c>
      <c r="G6214">
        <v>1.21</v>
      </c>
      <c r="H6214">
        <v>-0.15</v>
      </c>
      <c r="I6214">
        <v>0.68</v>
      </c>
      <c r="J6214">
        <v>0.46239999999999998</v>
      </c>
      <c r="K6214" t="str">
        <f>IFERROR(INDEX(Rosters!$C$2:$C$155,MATCH($B6214,Rosters!$B$2:$B$155,0)),"NA")</f>
        <v>NA</v>
      </c>
      <c r="L6214" t="str">
        <f t="shared" si="291"/>
        <v>NA16RB</v>
      </c>
      <c r="M6214">
        <f>COUNTIF(L$1:L6214,L6214)</f>
        <v>65</v>
      </c>
      <c r="N6214" t="str">
        <f t="shared" si="292"/>
        <v>NA16RB-65</v>
      </c>
      <c r="O6214">
        <f>COUNTIFS(F$1:F6214,F6214,A$1:A6214,A6214)</f>
        <v>112</v>
      </c>
      <c r="P6214" t="str">
        <f t="shared" si="293"/>
        <v>Benny Cunningham16</v>
      </c>
    </row>
    <row r="6215" spans="1:16" x14ac:dyDescent="0.25">
      <c r="A6215">
        <v>17</v>
      </c>
      <c r="B6215" t="s">
        <v>293</v>
      </c>
      <c r="C6215">
        <f>-0.11-1.17</f>
        <v>-1.28</v>
      </c>
      <c r="D6215">
        <v>0.53</v>
      </c>
      <c r="E6215" t="s">
        <v>25</v>
      </c>
      <c r="F6215" t="s">
        <v>47</v>
      </c>
      <c r="G6215">
        <v>1.17</v>
      </c>
      <c r="H6215">
        <v>-0.11</v>
      </c>
      <c r="I6215">
        <v>0.64</v>
      </c>
      <c r="J6215">
        <v>0.40960000000000002</v>
      </c>
      <c r="K6215" t="str">
        <f>IFERROR(INDEX(Rosters!$C$2:$C$155,MATCH($B6215,Rosters!$B$2:$B$155,0)),"NA")</f>
        <v>NA</v>
      </c>
      <c r="L6215" t="str">
        <f t="shared" si="291"/>
        <v>NA17RB</v>
      </c>
      <c r="M6215">
        <f>COUNTIF(L$1:L6215,L6215)</f>
        <v>57</v>
      </c>
      <c r="N6215" t="str">
        <f t="shared" si="292"/>
        <v>NA17RB-57</v>
      </c>
      <c r="O6215">
        <f>COUNTIFS(F$1:F6215,F6215,A$1:A6215,A6215)</f>
        <v>104</v>
      </c>
      <c r="P6215" t="str">
        <f t="shared" si="293"/>
        <v>Benny Cunningham17</v>
      </c>
    </row>
    <row r="6216" spans="1:16" x14ac:dyDescent="0.25">
      <c r="A6216">
        <v>16</v>
      </c>
      <c r="B6216" t="s">
        <v>2851</v>
      </c>
      <c r="C6216">
        <f>-0.15-1.21</f>
        <v>-1.3599999999999999</v>
      </c>
      <c r="D6216">
        <v>0.53</v>
      </c>
      <c r="E6216" t="s">
        <v>51</v>
      </c>
      <c r="F6216" t="s">
        <v>87</v>
      </c>
      <c r="G6216">
        <v>1.21</v>
      </c>
      <c r="H6216">
        <v>-0.15</v>
      </c>
      <c r="I6216">
        <v>0.68</v>
      </c>
      <c r="J6216">
        <v>0.46239999999999998</v>
      </c>
      <c r="K6216" t="str">
        <f>IFERROR(INDEX(Rosters!$C$2:$C$155,MATCH($B6216,Rosters!$B$2:$B$155,0)),"NA")</f>
        <v>NA</v>
      </c>
      <c r="L6216" t="str">
        <f t="shared" si="291"/>
        <v>NA16WR</v>
      </c>
      <c r="M6216">
        <f>COUNTIF(L$1:L6216,L6216)</f>
        <v>102</v>
      </c>
      <c r="N6216" t="str">
        <f t="shared" si="292"/>
        <v>NA16WR-102</v>
      </c>
      <c r="O6216">
        <f>COUNTIFS(F$1:F6216,F6216,A$1:A6216,A6216)</f>
        <v>156</v>
      </c>
      <c r="P6216" t="str">
        <f t="shared" si="293"/>
        <v>Brandon Tate16</v>
      </c>
    </row>
    <row r="6217" spans="1:16" x14ac:dyDescent="0.25">
      <c r="A6217">
        <v>15</v>
      </c>
      <c r="B6217" t="s">
        <v>8901</v>
      </c>
      <c r="C6217">
        <f>-0.1-1.16</f>
        <v>-1.26</v>
      </c>
      <c r="D6217">
        <v>0.53</v>
      </c>
      <c r="E6217" t="s">
        <v>52</v>
      </c>
      <c r="F6217" t="s">
        <v>114</v>
      </c>
      <c r="G6217">
        <v>1.1599999999999999</v>
      </c>
      <c r="H6217">
        <v>-0.1</v>
      </c>
      <c r="I6217">
        <v>0.63</v>
      </c>
      <c r="J6217">
        <v>0.39689999999999998</v>
      </c>
      <c r="K6217" t="str">
        <f>IFERROR(INDEX(Rosters!$C$2:$C$155,MATCH($B6217,Rosters!$B$2:$B$155,0)),"NA")</f>
        <v>NA</v>
      </c>
      <c r="L6217" t="str">
        <f t="shared" si="291"/>
        <v>NA15TE</v>
      </c>
      <c r="M6217">
        <f>COUNTIF(L$1:L6217,L6217)</f>
        <v>68</v>
      </c>
      <c r="N6217" t="str">
        <f t="shared" si="292"/>
        <v>NA15TE-68</v>
      </c>
      <c r="O6217">
        <f>COUNTIFS(F$1:F6217,F6217,A$1:A6217,A6217)</f>
        <v>82</v>
      </c>
      <c r="P6217" t="str">
        <f t="shared" si="293"/>
        <v>Brian Parker15</v>
      </c>
    </row>
    <row r="6218" spans="1:16" x14ac:dyDescent="0.25">
      <c r="A6218">
        <v>1</v>
      </c>
      <c r="B6218" t="s">
        <v>1549</v>
      </c>
      <c r="C6218" t="s">
        <v>1609</v>
      </c>
      <c r="D6218">
        <v>0.53</v>
      </c>
      <c r="E6218" t="s">
        <v>30</v>
      </c>
      <c r="F6218" t="s">
        <v>47</v>
      </c>
      <c r="G6218">
        <v>1.01</v>
      </c>
      <c r="H6218">
        <v>0.05</v>
      </c>
      <c r="I6218">
        <v>0.48</v>
      </c>
      <c r="J6218">
        <v>0.23039999999999999</v>
      </c>
      <c r="K6218" t="str">
        <f>IFERROR(INDEX(Rosters!$C$2:$C$155,MATCH($B6218,Rosters!$B$2:$B$155,0)),"NA")</f>
        <v>NA</v>
      </c>
      <c r="L6218" t="str">
        <f t="shared" si="291"/>
        <v>NA1RB</v>
      </c>
      <c r="M6218">
        <f>COUNTIF(L$1:L6218,L6218)</f>
        <v>42</v>
      </c>
      <c r="N6218" t="str">
        <f t="shared" si="292"/>
        <v>NA1RB-42</v>
      </c>
      <c r="O6218">
        <f>COUNTIFS(F$1:F6218,F6218,A$1:A6218,A6218)</f>
        <v>85</v>
      </c>
      <c r="P6218" t="str">
        <f t="shared" si="293"/>
        <v>C.J. Ham1</v>
      </c>
    </row>
    <row r="6219" spans="1:16" x14ac:dyDescent="0.25">
      <c r="A6219">
        <v>8</v>
      </c>
      <c r="B6219" t="s">
        <v>1503</v>
      </c>
      <c r="C6219" t="s">
        <v>367</v>
      </c>
      <c r="D6219">
        <v>0.53</v>
      </c>
      <c r="E6219" t="s">
        <v>50</v>
      </c>
      <c r="F6219" t="s">
        <v>87</v>
      </c>
      <c r="G6219">
        <v>1.05</v>
      </c>
      <c r="H6219">
        <v>0.01</v>
      </c>
      <c r="I6219">
        <v>0.52</v>
      </c>
      <c r="J6219">
        <v>0.27039999999999997</v>
      </c>
      <c r="K6219" t="str">
        <f>IFERROR(INDEX(Rosters!$C$2:$C$155,MATCH($B6219,Rosters!$B$2:$B$155,0)),"NA")</f>
        <v>NA</v>
      </c>
      <c r="L6219" t="str">
        <f t="shared" si="291"/>
        <v>NA8WR</v>
      </c>
      <c r="M6219">
        <f>COUNTIF(L$1:L6219,L6219)</f>
        <v>89</v>
      </c>
      <c r="N6219" t="str">
        <f t="shared" si="292"/>
        <v>NA8WR-89</v>
      </c>
      <c r="O6219">
        <f>COUNTIFS(F$1:F6219,F6219,A$1:A6219,A6219)</f>
        <v>138</v>
      </c>
      <c r="P6219" t="str">
        <f t="shared" si="293"/>
        <v>D.J. Chark8</v>
      </c>
    </row>
    <row r="6220" spans="1:16" x14ac:dyDescent="0.25">
      <c r="A6220">
        <v>12</v>
      </c>
      <c r="B6220" t="s">
        <v>1503</v>
      </c>
      <c r="C6220">
        <f>-0.12-1.18</f>
        <v>-1.2999999999999998</v>
      </c>
      <c r="D6220">
        <v>0.53</v>
      </c>
      <c r="E6220" t="s">
        <v>29</v>
      </c>
      <c r="F6220" t="s">
        <v>87</v>
      </c>
      <c r="G6220">
        <v>1.18</v>
      </c>
      <c r="H6220">
        <v>-0.12</v>
      </c>
      <c r="I6220">
        <v>0.65</v>
      </c>
      <c r="J6220">
        <v>0.42249999999999999</v>
      </c>
      <c r="K6220" t="str">
        <f>IFERROR(INDEX(Rosters!$C$2:$C$155,MATCH($B6220,Rosters!$B$2:$B$155,0)),"NA")</f>
        <v>NA</v>
      </c>
      <c r="L6220" t="str">
        <f t="shared" si="291"/>
        <v>NA12WR</v>
      </c>
      <c r="M6220">
        <f>COUNTIF(L$1:L6220,L6220)</f>
        <v>103</v>
      </c>
      <c r="N6220" t="str">
        <f t="shared" si="292"/>
        <v>NA12WR-103</v>
      </c>
      <c r="O6220">
        <f>COUNTIFS(F$1:F6220,F6220,A$1:A6220,A6220)</f>
        <v>152</v>
      </c>
      <c r="P6220" t="str">
        <f t="shared" si="293"/>
        <v>D.J. Chark12</v>
      </c>
    </row>
    <row r="6221" spans="1:16" x14ac:dyDescent="0.25">
      <c r="A6221">
        <v>10</v>
      </c>
      <c r="B6221" t="s">
        <v>1128</v>
      </c>
      <c r="C6221">
        <f>-0.16-1.22</f>
        <v>-1.38</v>
      </c>
      <c r="D6221">
        <v>0.53</v>
      </c>
      <c r="E6221" t="s">
        <v>51</v>
      </c>
      <c r="F6221" t="s">
        <v>87</v>
      </c>
      <c r="G6221">
        <v>1.22</v>
      </c>
      <c r="H6221">
        <v>-0.16</v>
      </c>
      <c r="I6221">
        <v>0.69</v>
      </c>
      <c r="J6221">
        <v>0.47610000000000002</v>
      </c>
      <c r="K6221" t="str">
        <f>IFERROR(INDEX(Rosters!$C$2:$C$155,MATCH($B6221,Rosters!$B$2:$B$155,0)),"NA")</f>
        <v>NA</v>
      </c>
      <c r="L6221" t="str">
        <f t="shared" si="291"/>
        <v>NA10WR</v>
      </c>
      <c r="M6221">
        <f>COUNTIF(L$1:L6221,L6221)</f>
        <v>98</v>
      </c>
      <c r="N6221" t="str">
        <f t="shared" si="292"/>
        <v>NA10WR-98</v>
      </c>
      <c r="O6221">
        <f>COUNTIFS(F$1:F6221,F6221,A$1:A6221,A6221)</f>
        <v>143</v>
      </c>
      <c r="P6221" t="str">
        <f t="shared" si="293"/>
        <v>Damiere Byrd10</v>
      </c>
    </row>
    <row r="6222" spans="1:16" x14ac:dyDescent="0.25">
      <c r="A6222">
        <v>12</v>
      </c>
      <c r="B6222" t="s">
        <v>1128</v>
      </c>
      <c r="C6222">
        <f>-0.03-1.09</f>
        <v>-1.1200000000000001</v>
      </c>
      <c r="D6222">
        <v>0.53</v>
      </c>
      <c r="E6222" t="s">
        <v>28</v>
      </c>
      <c r="F6222" t="s">
        <v>87</v>
      </c>
      <c r="G6222">
        <v>1.0900000000000001</v>
      </c>
      <c r="H6222">
        <v>-0.03</v>
      </c>
      <c r="I6222">
        <v>0.56000000000000005</v>
      </c>
      <c r="J6222">
        <v>0.31359999999999999</v>
      </c>
      <c r="K6222" t="str">
        <f>IFERROR(INDEX(Rosters!$C$2:$C$155,MATCH($B6222,Rosters!$B$2:$B$155,0)),"NA")</f>
        <v>NA</v>
      </c>
      <c r="L6222" t="str">
        <f t="shared" si="291"/>
        <v>NA12WR</v>
      </c>
      <c r="M6222">
        <f>COUNTIF(L$1:L6222,L6222)</f>
        <v>104</v>
      </c>
      <c r="N6222" t="str">
        <f t="shared" si="292"/>
        <v>NA12WR-104</v>
      </c>
      <c r="O6222">
        <f>COUNTIFS(F$1:F6222,F6222,A$1:A6222,A6222)</f>
        <v>153</v>
      </c>
      <c r="P6222" t="str">
        <f t="shared" si="293"/>
        <v>Damiere Byrd12</v>
      </c>
    </row>
    <row r="6223" spans="1:16" x14ac:dyDescent="0.25">
      <c r="A6223">
        <v>17</v>
      </c>
      <c r="B6223" t="s">
        <v>1128</v>
      </c>
      <c r="C6223">
        <f>-0.09-1.15</f>
        <v>-1.24</v>
      </c>
      <c r="D6223">
        <v>0.53</v>
      </c>
      <c r="E6223" t="s">
        <v>14</v>
      </c>
      <c r="F6223" t="s">
        <v>87</v>
      </c>
      <c r="G6223">
        <v>1.1499999999999999</v>
      </c>
      <c r="H6223">
        <v>-0.09</v>
      </c>
      <c r="I6223">
        <v>0.62</v>
      </c>
      <c r="J6223">
        <v>0.38440000000000002</v>
      </c>
      <c r="K6223" t="str">
        <f>IFERROR(INDEX(Rosters!$C$2:$C$155,MATCH($B6223,Rosters!$B$2:$B$155,0)),"NA")</f>
        <v>NA</v>
      </c>
      <c r="L6223" t="str">
        <f t="shared" si="291"/>
        <v>NA17WR</v>
      </c>
      <c r="M6223">
        <f>COUNTIF(L$1:L6223,L6223)</f>
        <v>110</v>
      </c>
      <c r="N6223" t="str">
        <f t="shared" si="292"/>
        <v>NA17WR-110</v>
      </c>
      <c r="O6223">
        <f>COUNTIFS(F$1:F6223,F6223,A$1:A6223,A6223)</f>
        <v>164</v>
      </c>
      <c r="P6223" t="str">
        <f t="shared" si="293"/>
        <v>Damiere Byrd17</v>
      </c>
    </row>
    <row r="6224" spans="1:16" x14ac:dyDescent="0.25">
      <c r="A6224">
        <v>9</v>
      </c>
      <c r="B6224" t="s">
        <v>304</v>
      </c>
      <c r="C6224">
        <f>-0.1-1.16</f>
        <v>-1.26</v>
      </c>
      <c r="D6224">
        <v>0.53</v>
      </c>
      <c r="E6224" t="s">
        <v>77</v>
      </c>
      <c r="F6224" t="s">
        <v>87</v>
      </c>
      <c r="G6224">
        <v>1.1599999999999999</v>
      </c>
      <c r="H6224">
        <v>-0.1</v>
      </c>
      <c r="I6224">
        <v>0.63</v>
      </c>
      <c r="J6224">
        <v>0.39689999999999998</v>
      </c>
      <c r="K6224" t="str">
        <f>IFERROR(INDEX(Rosters!$C$2:$C$155,MATCH($B6224,Rosters!$B$2:$B$155,0)),"NA")</f>
        <v>NA</v>
      </c>
      <c r="L6224" t="str">
        <f t="shared" si="291"/>
        <v>NA9WR</v>
      </c>
      <c r="M6224">
        <f>COUNTIF(L$1:L6224,L6224)</f>
        <v>92</v>
      </c>
      <c r="N6224" t="str">
        <f t="shared" si="292"/>
        <v>NA9WR-92</v>
      </c>
      <c r="O6224">
        <f>COUNTIFS(F$1:F6224,F6224,A$1:A6224,A6224)</f>
        <v>136</v>
      </c>
      <c r="P6224" t="str">
        <f t="shared" si="293"/>
        <v>Darrius Heyward-Bey9</v>
      </c>
    </row>
    <row r="6225" spans="1:16" x14ac:dyDescent="0.25">
      <c r="A6225">
        <v>11</v>
      </c>
      <c r="B6225" t="s">
        <v>317</v>
      </c>
      <c r="C6225" t="s">
        <v>8913</v>
      </c>
      <c r="D6225">
        <v>0.53</v>
      </c>
      <c r="E6225" t="s">
        <v>42</v>
      </c>
      <c r="F6225" t="s">
        <v>47</v>
      </c>
      <c r="G6225">
        <v>0.94</v>
      </c>
      <c r="H6225">
        <v>0.12</v>
      </c>
      <c r="I6225">
        <v>0.41</v>
      </c>
      <c r="J6225">
        <v>0.1681</v>
      </c>
      <c r="K6225" t="str">
        <f>IFERROR(INDEX(Rosters!$C$2:$C$155,MATCH($B6225,Rosters!$B$2:$B$155,0)),"NA")</f>
        <v>NA</v>
      </c>
      <c r="L6225" t="str">
        <f t="shared" si="291"/>
        <v>NA11RB</v>
      </c>
      <c r="M6225">
        <f>COUNTIF(L$1:L6225,L6225)</f>
        <v>52</v>
      </c>
      <c r="N6225" t="str">
        <f t="shared" si="292"/>
        <v>NA11RB-52</v>
      </c>
      <c r="O6225">
        <f>COUNTIFS(F$1:F6225,F6225,A$1:A6225,A6225)</f>
        <v>90</v>
      </c>
      <c r="P6225" t="str">
        <f t="shared" si="293"/>
        <v>Derek Watt11</v>
      </c>
    </row>
    <row r="6226" spans="1:16" x14ac:dyDescent="0.25">
      <c r="A6226">
        <v>14</v>
      </c>
      <c r="B6226" t="s">
        <v>8907</v>
      </c>
      <c r="C6226">
        <f>-0.04-1.1</f>
        <v>-1.1400000000000001</v>
      </c>
      <c r="D6226">
        <v>0.53</v>
      </c>
      <c r="E6226" t="s">
        <v>423</v>
      </c>
      <c r="F6226" t="s">
        <v>114</v>
      </c>
      <c r="G6226">
        <v>1.1000000000000001</v>
      </c>
      <c r="H6226">
        <v>-0.04</v>
      </c>
      <c r="I6226">
        <v>0.56999999999999995</v>
      </c>
      <c r="J6226">
        <v>0.32490000000000002</v>
      </c>
      <c r="K6226" t="str">
        <f>IFERROR(INDEX(Rosters!$C$2:$C$155,MATCH($B6226,Rosters!$B$2:$B$155,0)),"NA")</f>
        <v>NA</v>
      </c>
      <c r="L6226" t="str">
        <f t="shared" si="291"/>
        <v>NA14TE</v>
      </c>
      <c r="M6226">
        <f>COUNTIF(L$1:L6226,L6226)</f>
        <v>71</v>
      </c>
      <c r="N6226" t="str">
        <f t="shared" si="292"/>
        <v>NA14TE-71</v>
      </c>
      <c r="O6226">
        <f>COUNTIFS(F$1:F6226,F6226,A$1:A6226,A6226)</f>
        <v>85</v>
      </c>
      <c r="P6226" t="str">
        <f t="shared" si="293"/>
        <v>Durham Smythe14</v>
      </c>
    </row>
    <row r="6227" spans="1:16" x14ac:dyDescent="0.25">
      <c r="A6227">
        <v>13</v>
      </c>
      <c r="B6227" t="s">
        <v>2808</v>
      </c>
      <c r="C6227" t="s">
        <v>1113</v>
      </c>
      <c r="D6227">
        <v>0.53</v>
      </c>
      <c r="E6227" t="s">
        <v>37</v>
      </c>
      <c r="F6227" t="s">
        <v>87</v>
      </c>
      <c r="G6227">
        <v>1.04</v>
      </c>
      <c r="H6227">
        <v>0.02</v>
      </c>
      <c r="I6227">
        <v>0.51</v>
      </c>
      <c r="J6227">
        <v>0.2601</v>
      </c>
      <c r="K6227" t="str">
        <f>IFERROR(INDEX(Rosters!$C$2:$C$155,MATCH($B6227,Rosters!$B$2:$B$155,0)),"NA")</f>
        <v>NA</v>
      </c>
      <c r="L6227" t="str">
        <f t="shared" si="291"/>
        <v>NA13WR</v>
      </c>
      <c r="M6227">
        <f>COUNTIF(L$1:L6227,L6227)</f>
        <v>106</v>
      </c>
      <c r="N6227" t="str">
        <f t="shared" si="292"/>
        <v>NA13WR-106</v>
      </c>
      <c r="O6227">
        <f>COUNTIFS(F$1:F6227,F6227,A$1:A6227,A6227)</f>
        <v>160</v>
      </c>
      <c r="P6227" t="str">
        <f t="shared" si="293"/>
        <v>Eli Rogers13</v>
      </c>
    </row>
    <row r="6228" spans="1:16" x14ac:dyDescent="0.25">
      <c r="A6228">
        <v>10</v>
      </c>
      <c r="B6228" t="s">
        <v>1624</v>
      </c>
      <c r="C6228">
        <f>-0.07-1.13</f>
        <v>-1.2</v>
      </c>
      <c r="D6228">
        <v>0.53</v>
      </c>
      <c r="E6228" t="s">
        <v>24</v>
      </c>
      <c r="F6228" t="s">
        <v>114</v>
      </c>
      <c r="G6228">
        <v>1.1299999999999999</v>
      </c>
      <c r="H6228">
        <v>-7.0000000000000007E-2</v>
      </c>
      <c r="I6228">
        <v>0.6</v>
      </c>
      <c r="J6228">
        <v>0.36</v>
      </c>
      <c r="K6228" t="str">
        <f>IFERROR(INDEX(Rosters!$C$2:$C$155,MATCH($B6228,Rosters!$B$2:$B$155,0)),"NA")</f>
        <v>NA</v>
      </c>
      <c r="L6228" t="str">
        <f t="shared" si="291"/>
        <v>NA10TE</v>
      </c>
      <c r="M6228">
        <f>COUNTIF(L$1:L6228,L6228)</f>
        <v>61</v>
      </c>
      <c r="N6228" t="str">
        <f t="shared" si="292"/>
        <v>NA10TE-61</v>
      </c>
      <c r="O6228">
        <f>COUNTIFS(F$1:F6228,F6228,A$1:A6228,A6228)</f>
        <v>74</v>
      </c>
      <c r="P6228" t="str">
        <f t="shared" si="293"/>
        <v>Gabe Holmes10</v>
      </c>
    </row>
    <row r="6229" spans="1:16" x14ac:dyDescent="0.25">
      <c r="A6229">
        <v>4</v>
      </c>
      <c r="B6229" t="s">
        <v>1607</v>
      </c>
      <c r="C6229">
        <f>-0.06-1.12</f>
        <v>-1.1800000000000002</v>
      </c>
      <c r="D6229">
        <v>0.53</v>
      </c>
      <c r="E6229" t="s">
        <v>22</v>
      </c>
      <c r="F6229" t="s">
        <v>114</v>
      </c>
      <c r="G6229">
        <v>1.1200000000000001</v>
      </c>
      <c r="H6229">
        <v>-0.06</v>
      </c>
      <c r="I6229">
        <v>0.59</v>
      </c>
      <c r="J6229">
        <v>0.34810000000000002</v>
      </c>
      <c r="K6229" t="str">
        <f>IFERROR(INDEX(Rosters!$C$2:$C$155,MATCH($B6229,Rosters!$B$2:$B$155,0)),"NA")</f>
        <v>NA</v>
      </c>
      <c r="L6229" t="str">
        <f t="shared" si="291"/>
        <v>NA4TE</v>
      </c>
      <c r="M6229">
        <f>COUNTIF(L$1:L6229,L6229)</f>
        <v>56</v>
      </c>
      <c r="N6229" t="str">
        <f t="shared" si="292"/>
        <v>NA4TE-56</v>
      </c>
      <c r="O6229">
        <f>COUNTIFS(F$1:F6229,F6229,A$1:A6229,A6229)</f>
        <v>67</v>
      </c>
      <c r="P6229" t="str">
        <f t="shared" si="293"/>
        <v>Hakeem Valles4</v>
      </c>
    </row>
    <row r="6230" spans="1:16" x14ac:dyDescent="0.25">
      <c r="A6230">
        <v>5</v>
      </c>
      <c r="B6230" t="s">
        <v>2848</v>
      </c>
      <c r="C6230">
        <f>-0.1-1.16</f>
        <v>-1.26</v>
      </c>
      <c r="D6230">
        <v>0.53</v>
      </c>
      <c r="E6230" t="s">
        <v>36</v>
      </c>
      <c r="F6230" t="s">
        <v>47</v>
      </c>
      <c r="G6230">
        <v>1.1599999999999999</v>
      </c>
      <c r="H6230">
        <v>-0.1</v>
      </c>
      <c r="I6230">
        <v>0.63</v>
      </c>
      <c r="J6230">
        <v>0.39689999999999998</v>
      </c>
      <c r="K6230" t="str">
        <f>IFERROR(INDEX(Rosters!$C$2:$C$155,MATCH($B6230,Rosters!$B$2:$B$155,0)),"NA")</f>
        <v>NA</v>
      </c>
      <c r="L6230" t="str">
        <f t="shared" si="291"/>
        <v>NA5RB</v>
      </c>
      <c r="M6230">
        <f>COUNTIF(L$1:L6230,L6230)</f>
        <v>58</v>
      </c>
      <c r="N6230" t="str">
        <f t="shared" si="292"/>
        <v>NA5RB-58</v>
      </c>
      <c r="O6230">
        <f>COUNTIFS(F$1:F6230,F6230,A$1:A6230,A6230)</f>
        <v>101</v>
      </c>
      <c r="P6230" t="str">
        <f t="shared" si="293"/>
        <v>Jamize Olawale5</v>
      </c>
    </row>
    <row r="6231" spans="1:16" x14ac:dyDescent="0.25">
      <c r="A6231">
        <v>15</v>
      </c>
      <c r="B6231" t="s">
        <v>2848</v>
      </c>
      <c r="C6231">
        <f>-0.05-1.11</f>
        <v>-1.1600000000000001</v>
      </c>
      <c r="D6231">
        <v>0.53</v>
      </c>
      <c r="E6231" t="s">
        <v>66</v>
      </c>
      <c r="F6231" t="s">
        <v>47</v>
      </c>
      <c r="G6231">
        <v>1.1100000000000001</v>
      </c>
      <c r="H6231">
        <v>-0.05</v>
      </c>
      <c r="I6231">
        <v>0.57999999999999996</v>
      </c>
      <c r="J6231">
        <v>0.33639999999999998</v>
      </c>
      <c r="K6231" t="str">
        <f>IFERROR(INDEX(Rosters!$C$2:$C$155,MATCH($B6231,Rosters!$B$2:$B$155,0)),"NA")</f>
        <v>NA</v>
      </c>
      <c r="L6231" t="str">
        <f t="shared" si="291"/>
        <v>NA15RB</v>
      </c>
      <c r="M6231">
        <f>COUNTIF(L$1:L6231,L6231)</f>
        <v>64</v>
      </c>
      <c r="N6231" t="str">
        <f t="shared" si="292"/>
        <v>NA15RB-64</v>
      </c>
      <c r="O6231">
        <f>COUNTIFS(F$1:F6231,F6231,A$1:A6231,A6231)</f>
        <v>111</v>
      </c>
      <c r="P6231" t="str">
        <f t="shared" si="293"/>
        <v>Jamize Olawale15</v>
      </c>
    </row>
    <row r="6232" spans="1:16" x14ac:dyDescent="0.25">
      <c r="A6232">
        <v>17</v>
      </c>
      <c r="B6232" t="s">
        <v>2848</v>
      </c>
      <c r="C6232">
        <f>-0.15-1.21</f>
        <v>-1.3599999999999999</v>
      </c>
      <c r="D6232">
        <v>0.53</v>
      </c>
      <c r="E6232" t="s">
        <v>54</v>
      </c>
      <c r="F6232" t="s">
        <v>47</v>
      </c>
      <c r="G6232">
        <v>1.21</v>
      </c>
      <c r="H6232">
        <v>-0.15</v>
      </c>
      <c r="I6232">
        <v>0.68</v>
      </c>
      <c r="J6232">
        <v>0.46239999999999998</v>
      </c>
      <c r="K6232" t="str">
        <f>IFERROR(INDEX(Rosters!$C$2:$C$155,MATCH($B6232,Rosters!$B$2:$B$155,0)),"NA")</f>
        <v>NA</v>
      </c>
      <c r="L6232" t="str">
        <f t="shared" si="291"/>
        <v>NA17RB</v>
      </c>
      <c r="M6232">
        <f>COUNTIF(L$1:L6232,L6232)</f>
        <v>58</v>
      </c>
      <c r="N6232" t="str">
        <f t="shared" si="292"/>
        <v>NA17RB-58</v>
      </c>
      <c r="O6232">
        <f>COUNTIFS(F$1:F6232,F6232,A$1:A6232,A6232)</f>
        <v>105</v>
      </c>
      <c r="P6232" t="str">
        <f t="shared" si="293"/>
        <v>Jamize Olawale17</v>
      </c>
    </row>
    <row r="6233" spans="1:16" x14ac:dyDescent="0.25">
      <c r="A6233">
        <v>8</v>
      </c>
      <c r="B6233" t="s">
        <v>8885</v>
      </c>
      <c r="C6233">
        <f>-0.04-1.1</f>
        <v>-1.1400000000000001</v>
      </c>
      <c r="D6233">
        <v>0.53</v>
      </c>
      <c r="E6233" t="s">
        <v>73</v>
      </c>
      <c r="F6233" t="s">
        <v>87</v>
      </c>
      <c r="G6233">
        <v>1.1000000000000001</v>
      </c>
      <c r="H6233">
        <v>-0.04</v>
      </c>
      <c r="I6233">
        <v>0.56999999999999995</v>
      </c>
      <c r="J6233">
        <v>0.32490000000000002</v>
      </c>
      <c r="K6233" t="str">
        <f>IFERROR(INDEX(Rosters!$C$2:$C$155,MATCH($B6233,Rosters!$B$2:$B$155,0)),"NA")</f>
        <v>NA</v>
      </c>
      <c r="L6233" t="str">
        <f t="shared" si="291"/>
        <v>NA8WR</v>
      </c>
      <c r="M6233">
        <f>COUNTIF(L$1:L6233,L6233)</f>
        <v>90</v>
      </c>
      <c r="N6233" t="str">
        <f t="shared" si="292"/>
        <v>NA8WR-90</v>
      </c>
      <c r="O6233">
        <f>COUNTIFS(F$1:F6233,F6233,A$1:A6233,A6233)</f>
        <v>139</v>
      </c>
      <c r="P6233" t="str">
        <f t="shared" si="293"/>
        <v>Javon Wims8</v>
      </c>
    </row>
    <row r="6234" spans="1:16" x14ac:dyDescent="0.25">
      <c r="A6234">
        <v>7</v>
      </c>
      <c r="B6234" t="s">
        <v>8640</v>
      </c>
      <c r="C6234">
        <f>-0.13-1.19</f>
        <v>-1.3199999999999998</v>
      </c>
      <c r="D6234">
        <v>0.53</v>
      </c>
      <c r="E6234" t="s">
        <v>46</v>
      </c>
      <c r="F6234" t="s">
        <v>87</v>
      </c>
      <c r="G6234">
        <v>1.19</v>
      </c>
      <c r="H6234">
        <v>-0.13</v>
      </c>
      <c r="I6234">
        <v>0.66</v>
      </c>
      <c r="J6234">
        <v>0.43559999999999999</v>
      </c>
      <c r="K6234" t="str">
        <f>IFERROR(INDEX(Rosters!$C$2:$C$155,MATCH($B6234,Rosters!$B$2:$B$155,0)),"NA")</f>
        <v>NA</v>
      </c>
      <c r="L6234" t="str">
        <f t="shared" si="291"/>
        <v>NA7WR</v>
      </c>
      <c r="M6234">
        <f>COUNTIF(L$1:L6234,L6234)</f>
        <v>95</v>
      </c>
      <c r="N6234" t="str">
        <f t="shared" si="292"/>
        <v>NA7WR-95</v>
      </c>
      <c r="O6234">
        <f>COUNTIFS(F$1:F6234,F6234,A$1:A6234,A6234)</f>
        <v>140</v>
      </c>
      <c r="P6234" t="str">
        <f t="shared" si="293"/>
        <v>Jawill Davis7</v>
      </c>
    </row>
    <row r="6235" spans="1:16" x14ac:dyDescent="0.25">
      <c r="A6235">
        <v>14</v>
      </c>
      <c r="B6235" t="s">
        <v>8640</v>
      </c>
      <c r="C6235">
        <f>-0.02-1.08</f>
        <v>-1.1000000000000001</v>
      </c>
      <c r="D6235">
        <v>0.53</v>
      </c>
      <c r="E6235" t="s">
        <v>60</v>
      </c>
      <c r="F6235" t="s">
        <v>87</v>
      </c>
      <c r="G6235">
        <v>1.08</v>
      </c>
      <c r="H6235">
        <v>-0.02</v>
      </c>
      <c r="I6235">
        <v>0.55000000000000004</v>
      </c>
      <c r="J6235">
        <v>0.30249999999999999</v>
      </c>
      <c r="K6235" t="str">
        <f>IFERROR(INDEX(Rosters!$C$2:$C$155,MATCH($B6235,Rosters!$B$2:$B$155,0)),"NA")</f>
        <v>NA</v>
      </c>
      <c r="L6235" t="str">
        <f t="shared" si="291"/>
        <v>NA14WR</v>
      </c>
      <c r="M6235">
        <f>COUNTIF(L$1:L6235,L6235)</f>
        <v>105</v>
      </c>
      <c r="N6235" t="str">
        <f t="shared" si="292"/>
        <v>NA14WR-105</v>
      </c>
      <c r="O6235">
        <f>COUNTIFS(F$1:F6235,F6235,A$1:A6235,A6235)</f>
        <v>159</v>
      </c>
      <c r="P6235" t="str">
        <f t="shared" si="293"/>
        <v>Jawill Davis14</v>
      </c>
    </row>
    <row r="6236" spans="1:16" x14ac:dyDescent="0.25">
      <c r="A6236">
        <v>10</v>
      </c>
      <c r="B6236" t="s">
        <v>4252</v>
      </c>
      <c r="C6236">
        <f>-0.01-1.07</f>
        <v>-1.08</v>
      </c>
      <c r="D6236">
        <v>0.53</v>
      </c>
      <c r="E6236" t="s">
        <v>22</v>
      </c>
      <c r="F6236" t="s">
        <v>114</v>
      </c>
      <c r="G6236">
        <v>1.07</v>
      </c>
      <c r="H6236">
        <v>-0.01</v>
      </c>
      <c r="I6236">
        <v>0.54</v>
      </c>
      <c r="J6236">
        <v>0.29160000000000003</v>
      </c>
      <c r="K6236" t="str">
        <f>IFERROR(INDEX(Rosters!$C$2:$C$155,MATCH($B6236,Rosters!$B$2:$B$155,0)),"NA")</f>
        <v>NA</v>
      </c>
      <c r="L6236" t="str">
        <f t="shared" si="291"/>
        <v>NA10TE</v>
      </c>
      <c r="M6236">
        <f>COUNTIF(L$1:L6236,L6236)</f>
        <v>62</v>
      </c>
      <c r="N6236" t="str">
        <f t="shared" si="292"/>
        <v>NA10TE-62</v>
      </c>
      <c r="O6236">
        <f>COUNTIFS(F$1:F6236,F6236,A$1:A6236,A6236)</f>
        <v>75</v>
      </c>
      <c r="P6236" t="str">
        <f t="shared" si="293"/>
        <v>Joshua Perkins10</v>
      </c>
    </row>
    <row r="6237" spans="1:16" x14ac:dyDescent="0.25">
      <c r="A6237">
        <v>2</v>
      </c>
      <c r="B6237" t="s">
        <v>1565</v>
      </c>
      <c r="C6237">
        <f>-0.18-1.24</f>
        <v>-1.42</v>
      </c>
      <c r="D6237">
        <v>0.53</v>
      </c>
      <c r="E6237" t="s">
        <v>58</v>
      </c>
      <c r="F6237" t="s">
        <v>47</v>
      </c>
      <c r="G6237">
        <v>1.24</v>
      </c>
      <c r="H6237">
        <v>-0.18</v>
      </c>
      <c r="I6237">
        <v>0.71</v>
      </c>
      <c r="J6237">
        <v>0.50409999999999999</v>
      </c>
      <c r="K6237" t="str">
        <f>IFERROR(INDEX(Rosters!$C$2:$C$155,MATCH($B6237,Rosters!$B$2:$B$155,0)),"NA")</f>
        <v>NA</v>
      </c>
      <c r="L6237" t="str">
        <f t="shared" si="291"/>
        <v>NA2RB</v>
      </c>
      <c r="M6237">
        <f>COUNTIF(L$1:L6237,L6237)</f>
        <v>47</v>
      </c>
      <c r="N6237" t="str">
        <f t="shared" si="292"/>
        <v>NA2RB-47</v>
      </c>
      <c r="O6237">
        <f>COUNTIFS(F$1:F6237,F6237,A$1:A6237,A6237)</f>
        <v>89</v>
      </c>
      <c r="P6237" t="str">
        <f t="shared" si="293"/>
        <v>Justin Davis2</v>
      </c>
    </row>
    <row r="6238" spans="1:16" x14ac:dyDescent="0.25">
      <c r="A6238">
        <v>6</v>
      </c>
      <c r="B6238" t="s">
        <v>1565</v>
      </c>
      <c r="C6238">
        <f>-0.03-1.09</f>
        <v>-1.1200000000000001</v>
      </c>
      <c r="D6238">
        <v>0.53</v>
      </c>
      <c r="E6238" t="s">
        <v>42</v>
      </c>
      <c r="F6238" t="s">
        <v>47</v>
      </c>
      <c r="G6238">
        <v>1.0900000000000001</v>
      </c>
      <c r="H6238">
        <v>-0.03</v>
      </c>
      <c r="I6238">
        <v>0.56000000000000005</v>
      </c>
      <c r="J6238">
        <v>0.31359999999999999</v>
      </c>
      <c r="K6238" t="str">
        <f>IFERROR(INDEX(Rosters!$C$2:$C$155,MATCH($B6238,Rosters!$B$2:$B$155,0)),"NA")</f>
        <v>NA</v>
      </c>
      <c r="L6238" t="str">
        <f t="shared" si="291"/>
        <v>NA6RB</v>
      </c>
      <c r="M6238">
        <f>COUNTIF(L$1:L6238,L6238)</f>
        <v>58</v>
      </c>
      <c r="N6238" t="str">
        <f t="shared" si="292"/>
        <v>NA6RB-58</v>
      </c>
      <c r="O6238">
        <f>COUNTIFS(F$1:F6238,F6238,A$1:A6238,A6238)</f>
        <v>100</v>
      </c>
      <c r="P6238" t="str">
        <f t="shared" si="293"/>
        <v>Justin Davis6</v>
      </c>
    </row>
    <row r="6239" spans="1:16" x14ac:dyDescent="0.25">
      <c r="A6239">
        <v>9</v>
      </c>
      <c r="B6239" t="s">
        <v>1565</v>
      </c>
      <c r="C6239">
        <f>-0.02-1.08</f>
        <v>-1.1000000000000001</v>
      </c>
      <c r="D6239">
        <v>0.53</v>
      </c>
      <c r="E6239" t="s">
        <v>14</v>
      </c>
      <c r="F6239" t="s">
        <v>47</v>
      </c>
      <c r="G6239">
        <v>1.08</v>
      </c>
      <c r="H6239">
        <v>-0.02</v>
      </c>
      <c r="I6239">
        <v>0.55000000000000004</v>
      </c>
      <c r="J6239">
        <v>0.30249999999999999</v>
      </c>
      <c r="K6239" t="str">
        <f>IFERROR(INDEX(Rosters!$C$2:$C$155,MATCH($B6239,Rosters!$B$2:$B$155,0)),"NA")</f>
        <v>NA</v>
      </c>
      <c r="L6239" t="str">
        <f t="shared" si="291"/>
        <v>NA9RB</v>
      </c>
      <c r="M6239">
        <f>COUNTIF(L$1:L6239,L6239)</f>
        <v>46</v>
      </c>
      <c r="N6239" t="str">
        <f t="shared" si="292"/>
        <v>NA9RB-46</v>
      </c>
      <c r="O6239">
        <f>COUNTIFS(F$1:F6239,F6239,A$1:A6239,A6239)</f>
        <v>86</v>
      </c>
      <c r="P6239" t="str">
        <f t="shared" si="293"/>
        <v>Justin Davis9</v>
      </c>
    </row>
    <row r="6240" spans="1:16" x14ac:dyDescent="0.25">
      <c r="A6240">
        <v>15</v>
      </c>
      <c r="B6240" t="s">
        <v>8834</v>
      </c>
      <c r="C6240">
        <f>-0.05-1.11</f>
        <v>-1.1600000000000001</v>
      </c>
      <c r="D6240">
        <v>0.53</v>
      </c>
      <c r="E6240" t="s">
        <v>77</v>
      </c>
      <c r="F6240" t="s">
        <v>87</v>
      </c>
      <c r="G6240">
        <v>1.1100000000000001</v>
      </c>
      <c r="H6240">
        <v>-0.05</v>
      </c>
      <c r="I6240">
        <v>0.57999999999999996</v>
      </c>
      <c r="J6240">
        <v>0.33639999999999998</v>
      </c>
      <c r="K6240" t="str">
        <f>IFERROR(INDEX(Rosters!$C$2:$C$155,MATCH($B6240,Rosters!$B$2:$B$155,0)),"NA")</f>
        <v>NA</v>
      </c>
      <c r="L6240" t="str">
        <f t="shared" si="291"/>
        <v>NA15WR</v>
      </c>
      <c r="M6240">
        <f>COUNTIF(L$1:L6240,L6240)</f>
        <v>106</v>
      </c>
      <c r="N6240" t="str">
        <f t="shared" si="292"/>
        <v>NA15WR-106</v>
      </c>
      <c r="O6240">
        <f>COUNTIFS(F$1:F6240,F6240,A$1:A6240,A6240)</f>
        <v>160</v>
      </c>
      <c r="P6240" t="str">
        <f t="shared" si="293"/>
        <v>Justin Watson15</v>
      </c>
    </row>
    <row r="6241" spans="1:16" x14ac:dyDescent="0.25">
      <c r="A6241">
        <v>11</v>
      </c>
      <c r="B6241" t="s">
        <v>1125</v>
      </c>
      <c r="C6241" t="s">
        <v>1113</v>
      </c>
      <c r="D6241">
        <v>0.53</v>
      </c>
      <c r="E6241" t="s">
        <v>22</v>
      </c>
      <c r="F6241" t="s">
        <v>114</v>
      </c>
      <c r="G6241">
        <v>1.04</v>
      </c>
      <c r="H6241">
        <v>0.02</v>
      </c>
      <c r="I6241">
        <v>0.51</v>
      </c>
      <c r="J6241">
        <v>0.2601</v>
      </c>
      <c r="K6241" t="str">
        <f>IFERROR(INDEX(Rosters!$C$2:$C$155,MATCH($B6241,Rosters!$B$2:$B$155,0)),"NA")</f>
        <v>NA</v>
      </c>
      <c r="L6241" t="str">
        <f t="shared" si="291"/>
        <v>NA11TE</v>
      </c>
      <c r="M6241">
        <f>COUNTIF(L$1:L6241,L6241)</f>
        <v>53</v>
      </c>
      <c r="N6241" t="str">
        <f t="shared" si="292"/>
        <v>NA11TE-53</v>
      </c>
      <c r="O6241">
        <f>COUNTIFS(F$1:F6241,F6241,A$1:A6241,A6241)</f>
        <v>65</v>
      </c>
      <c r="P6241" t="str">
        <f t="shared" si="293"/>
        <v>Logan Paulsen11</v>
      </c>
    </row>
    <row r="6242" spans="1:16" x14ac:dyDescent="0.25">
      <c r="A6242">
        <v>15</v>
      </c>
      <c r="B6242" t="s">
        <v>4215</v>
      </c>
      <c r="C6242">
        <f>-0.03-1.09</f>
        <v>-1.1200000000000001</v>
      </c>
      <c r="D6242">
        <v>0.53</v>
      </c>
      <c r="E6242" t="s">
        <v>32</v>
      </c>
      <c r="F6242" t="s">
        <v>47</v>
      </c>
      <c r="G6242">
        <v>1.0900000000000001</v>
      </c>
      <c r="H6242">
        <v>-0.03</v>
      </c>
      <c r="I6242">
        <v>0.56000000000000005</v>
      </c>
      <c r="J6242">
        <v>0.31359999999999999</v>
      </c>
      <c r="K6242" t="str">
        <f>IFERROR(INDEX(Rosters!$C$2:$C$155,MATCH($B6242,Rosters!$B$2:$B$155,0)),"NA")</f>
        <v>NA</v>
      </c>
      <c r="L6242" t="str">
        <f t="shared" si="291"/>
        <v>NA15RB</v>
      </c>
      <c r="M6242">
        <f>COUNTIF(L$1:L6242,L6242)</f>
        <v>65</v>
      </c>
      <c r="N6242" t="str">
        <f t="shared" si="292"/>
        <v>NA15RB-65</v>
      </c>
      <c r="O6242">
        <f>COUNTIFS(F$1:F6242,F6242,A$1:A6242,A6242)</f>
        <v>112</v>
      </c>
      <c r="P6242" t="str">
        <f t="shared" si="293"/>
        <v>Mark Walton15</v>
      </c>
    </row>
    <row r="6243" spans="1:16" x14ac:dyDescent="0.25">
      <c r="A6243">
        <v>1</v>
      </c>
      <c r="B6243" t="s">
        <v>1594</v>
      </c>
      <c r="C6243">
        <f>-0.31-1.37</f>
        <v>-1.6800000000000002</v>
      </c>
      <c r="D6243">
        <v>0.53</v>
      </c>
      <c r="E6243" t="s">
        <v>50</v>
      </c>
      <c r="F6243" t="s">
        <v>87</v>
      </c>
      <c r="G6243">
        <v>1.37</v>
      </c>
      <c r="H6243">
        <v>-0.31</v>
      </c>
      <c r="I6243">
        <v>0.84</v>
      </c>
      <c r="J6243">
        <v>0.7056</v>
      </c>
      <c r="K6243" t="str">
        <f>IFERROR(INDEX(Rosters!$C$2:$C$155,MATCH($B6243,Rosters!$B$2:$B$155,0)),"NA")</f>
        <v>NA</v>
      </c>
      <c r="L6243" t="str">
        <f t="shared" si="291"/>
        <v>NA1WR</v>
      </c>
      <c r="M6243">
        <f>COUNTIF(L$1:L6243,L6243)</f>
        <v>69</v>
      </c>
      <c r="N6243" t="str">
        <f t="shared" si="292"/>
        <v>NA1WR-69</v>
      </c>
      <c r="O6243">
        <f>COUNTIFS(F$1:F6243,F6243,A$1:A6243,A6243)</f>
        <v>118</v>
      </c>
      <c r="P6243" t="str">
        <f t="shared" si="293"/>
        <v>Marvin Hall1</v>
      </c>
    </row>
    <row r="6244" spans="1:16" x14ac:dyDescent="0.25">
      <c r="A6244">
        <v>13</v>
      </c>
      <c r="B6244" t="s">
        <v>3126</v>
      </c>
      <c r="C6244">
        <f>-0.06-1.12</f>
        <v>-1.1800000000000002</v>
      </c>
      <c r="D6244">
        <v>0.53</v>
      </c>
      <c r="E6244" t="s">
        <v>31</v>
      </c>
      <c r="F6244" t="s">
        <v>114</v>
      </c>
      <c r="G6244">
        <v>1.1200000000000001</v>
      </c>
      <c r="H6244">
        <v>-0.06</v>
      </c>
      <c r="I6244">
        <v>0.59</v>
      </c>
      <c r="J6244">
        <v>0.34810000000000002</v>
      </c>
      <c r="K6244" t="str">
        <f>IFERROR(INDEX(Rosters!$C$2:$C$155,MATCH($B6244,Rosters!$B$2:$B$155,0)),"NA")</f>
        <v>NA</v>
      </c>
      <c r="L6244" t="str">
        <f t="shared" si="291"/>
        <v>NA13TE</v>
      </c>
      <c r="M6244">
        <f>COUNTIF(L$1:L6244,L6244)</f>
        <v>66</v>
      </c>
      <c r="N6244" t="str">
        <f t="shared" si="292"/>
        <v>NA13TE-66</v>
      </c>
      <c r="O6244">
        <f>COUNTIFS(F$1:F6244,F6244,A$1:A6244,A6244)</f>
        <v>80</v>
      </c>
      <c r="P6244" t="str">
        <f t="shared" si="293"/>
        <v>Matt LaCosse13</v>
      </c>
    </row>
    <row r="6245" spans="1:16" x14ac:dyDescent="0.25">
      <c r="A6245">
        <v>10</v>
      </c>
      <c r="B6245" t="s">
        <v>345</v>
      </c>
      <c r="C6245">
        <f>-0.02-1.08</f>
        <v>-1.1000000000000001</v>
      </c>
      <c r="D6245">
        <v>0.53</v>
      </c>
      <c r="E6245" t="s">
        <v>52</v>
      </c>
      <c r="F6245" t="s">
        <v>15</v>
      </c>
      <c r="G6245">
        <v>1.08</v>
      </c>
      <c r="H6245">
        <v>-0.02</v>
      </c>
      <c r="I6245">
        <v>0.55000000000000004</v>
      </c>
      <c r="J6245" s="66">
        <v>0.30249999999999999</v>
      </c>
      <c r="K6245" t="str">
        <f>IFERROR(INDEX(Rosters!$C$2:$C$155,MATCH($B6245,Rosters!$B$2:$B$155,0)),"NA")</f>
        <v>NA</v>
      </c>
      <c r="L6245" t="str">
        <f t="shared" si="291"/>
        <v>NA10QB</v>
      </c>
      <c r="M6245">
        <f>COUNTIF(L$1:L6245,L6245)</f>
        <v>32</v>
      </c>
      <c r="N6245" t="str">
        <f t="shared" si="292"/>
        <v>NA10QB-32</v>
      </c>
      <c r="O6245">
        <f>COUNTIFS(F$1:F6245,F6245,A$1:A6245,A6245)</f>
        <v>48</v>
      </c>
      <c r="P6245" t="str">
        <f t="shared" si="293"/>
        <v>Matt Schaub10</v>
      </c>
    </row>
    <row r="6246" spans="1:16" x14ac:dyDescent="0.25">
      <c r="A6246">
        <v>9</v>
      </c>
      <c r="B6246" t="s">
        <v>1636</v>
      </c>
      <c r="C6246" t="s">
        <v>3865</v>
      </c>
      <c r="D6246">
        <v>0.53</v>
      </c>
      <c r="E6246" t="s">
        <v>29</v>
      </c>
      <c r="F6246" t="s">
        <v>47</v>
      </c>
      <c r="G6246">
        <v>1.02</v>
      </c>
      <c r="H6246">
        <v>0.04</v>
      </c>
      <c r="I6246">
        <v>0.49</v>
      </c>
      <c r="J6246" s="66">
        <v>0.24010000000000001</v>
      </c>
      <c r="K6246" t="str">
        <f>IFERROR(INDEX(Rosters!$C$2:$C$155,MATCH($B6246,Rosters!$B$2:$B$155,0)),"NA")</f>
        <v>NA</v>
      </c>
      <c r="L6246" t="str">
        <f t="shared" si="291"/>
        <v>NA9RB</v>
      </c>
      <c r="M6246">
        <f>COUNTIF(L$1:L6246,L6246)</f>
        <v>47</v>
      </c>
      <c r="N6246" t="str">
        <f t="shared" si="292"/>
        <v>NA9RB-47</v>
      </c>
      <c r="O6246">
        <f>COUNTIFS(F$1:F6246,F6246,A$1:A6246,A6246)</f>
        <v>87</v>
      </c>
      <c r="P6246" t="str">
        <f t="shared" si="293"/>
        <v>Michael Burton9</v>
      </c>
    </row>
    <row r="6247" spans="1:16" x14ac:dyDescent="0.25">
      <c r="A6247">
        <v>6</v>
      </c>
      <c r="B6247" t="s">
        <v>2921</v>
      </c>
      <c r="C6247">
        <f>-0.07-1.13</f>
        <v>-1.2</v>
      </c>
      <c r="D6247">
        <v>0.53</v>
      </c>
      <c r="E6247" t="s">
        <v>74</v>
      </c>
      <c r="F6247" t="s">
        <v>87</v>
      </c>
      <c r="G6247">
        <v>1.1299999999999999</v>
      </c>
      <c r="H6247">
        <v>-7.0000000000000007E-2</v>
      </c>
      <c r="I6247">
        <v>0.6</v>
      </c>
      <c r="J6247">
        <v>0.36</v>
      </c>
      <c r="K6247" t="str">
        <f>IFERROR(INDEX(Rosters!$C$2:$C$155,MATCH($B6247,Rosters!$B$2:$B$155,0)),"NA")</f>
        <v>NA</v>
      </c>
      <c r="L6247" t="str">
        <f t="shared" si="291"/>
        <v>NA6WR</v>
      </c>
      <c r="M6247">
        <f>COUNTIF(L$1:L6247,L6247)</f>
        <v>101</v>
      </c>
      <c r="N6247" t="str">
        <f t="shared" si="292"/>
        <v>NA6WR-101</v>
      </c>
      <c r="O6247">
        <f>COUNTIFS(F$1:F6247,F6247,A$1:A6247,A6247)</f>
        <v>151</v>
      </c>
      <c r="P6247" t="str">
        <f t="shared" si="293"/>
        <v>Michael Floyd6</v>
      </c>
    </row>
    <row r="6248" spans="1:16" x14ac:dyDescent="0.25">
      <c r="A6248">
        <v>17</v>
      </c>
      <c r="B6248" t="s">
        <v>2921</v>
      </c>
      <c r="C6248">
        <f>-0.06-1.12</f>
        <v>-1.1800000000000002</v>
      </c>
      <c r="D6248">
        <v>0.53</v>
      </c>
      <c r="E6248" t="s">
        <v>50</v>
      </c>
      <c r="F6248" t="s">
        <v>87</v>
      </c>
      <c r="G6248">
        <v>1.1200000000000001</v>
      </c>
      <c r="H6248">
        <v>-0.06</v>
      </c>
      <c r="I6248">
        <v>0.59</v>
      </c>
      <c r="J6248">
        <v>0.34810000000000002</v>
      </c>
      <c r="K6248" t="str">
        <f>IFERROR(INDEX(Rosters!$C$2:$C$155,MATCH($B6248,Rosters!$B$2:$B$155,0)),"NA")</f>
        <v>NA</v>
      </c>
      <c r="L6248" t="str">
        <f t="shared" si="291"/>
        <v>NA17WR</v>
      </c>
      <c r="M6248">
        <f>COUNTIF(L$1:L6248,L6248)</f>
        <v>111</v>
      </c>
      <c r="N6248" t="str">
        <f t="shared" si="292"/>
        <v>NA17WR-111</v>
      </c>
      <c r="O6248">
        <f>COUNTIFS(F$1:F6248,F6248,A$1:A6248,A6248)</f>
        <v>165</v>
      </c>
      <c r="P6248" t="str">
        <f t="shared" si="293"/>
        <v>Michael Floyd17</v>
      </c>
    </row>
    <row r="6249" spans="1:16" x14ac:dyDescent="0.25">
      <c r="A6249">
        <v>14</v>
      </c>
      <c r="B6249" t="s">
        <v>8855</v>
      </c>
      <c r="C6249">
        <f>-0.01-1.07</f>
        <v>-1.08</v>
      </c>
      <c r="D6249">
        <v>0.53</v>
      </c>
      <c r="E6249" t="s">
        <v>36</v>
      </c>
      <c r="F6249" t="s">
        <v>114</v>
      </c>
      <c r="G6249">
        <v>1.07</v>
      </c>
      <c r="H6249">
        <v>-0.01</v>
      </c>
      <c r="I6249">
        <v>0.54</v>
      </c>
      <c r="J6249">
        <v>0.29160000000000003</v>
      </c>
      <c r="K6249" t="str">
        <f>IFERROR(INDEX(Rosters!$C$2:$C$155,MATCH($B6249,Rosters!$B$2:$B$155,0)),"NA")</f>
        <v>NA</v>
      </c>
      <c r="L6249" t="str">
        <f t="shared" si="291"/>
        <v>NA14TE</v>
      </c>
      <c r="M6249">
        <f>COUNTIF(L$1:L6249,L6249)</f>
        <v>72</v>
      </c>
      <c r="N6249" t="str">
        <f t="shared" si="292"/>
        <v>NA14TE-72</v>
      </c>
      <c r="O6249">
        <f>COUNTIFS(F$1:F6249,F6249,A$1:A6249,A6249)</f>
        <v>86</v>
      </c>
      <c r="P6249" t="str">
        <f t="shared" si="293"/>
        <v>Mo Alie-Cox14</v>
      </c>
    </row>
    <row r="6250" spans="1:16" x14ac:dyDescent="0.25">
      <c r="A6250">
        <v>9</v>
      </c>
      <c r="B6250" t="s">
        <v>1584</v>
      </c>
      <c r="C6250">
        <f>-0.06-1.12</f>
        <v>-1.1800000000000002</v>
      </c>
      <c r="D6250">
        <v>0.53</v>
      </c>
      <c r="E6250" t="s">
        <v>22</v>
      </c>
      <c r="F6250" t="s">
        <v>114</v>
      </c>
      <c r="G6250">
        <v>1.1200000000000001</v>
      </c>
      <c r="H6250">
        <v>-0.06</v>
      </c>
      <c r="I6250">
        <v>0.59</v>
      </c>
      <c r="J6250">
        <v>0.34810000000000002</v>
      </c>
      <c r="K6250" t="str">
        <f>IFERROR(INDEX(Rosters!$C$2:$C$155,MATCH($B6250,Rosters!$B$2:$B$155,0)),"NA")</f>
        <v>NA</v>
      </c>
      <c r="L6250" t="str">
        <f t="shared" si="291"/>
        <v>NA9TE</v>
      </c>
      <c r="M6250">
        <f>COUNTIF(L$1:L6250,L6250)</f>
        <v>57</v>
      </c>
      <c r="N6250" t="str">
        <f t="shared" si="292"/>
        <v>NA9TE-57</v>
      </c>
      <c r="O6250">
        <f>COUNTIFS(F$1:F6250,F6250,A$1:A6250,A6250)</f>
        <v>68</v>
      </c>
      <c r="P6250" t="str">
        <f t="shared" si="293"/>
        <v>MyCole Pruitt9</v>
      </c>
    </row>
    <row r="6251" spans="1:16" x14ac:dyDescent="0.25">
      <c r="A6251">
        <v>12</v>
      </c>
      <c r="B6251" t="s">
        <v>1584</v>
      </c>
      <c r="C6251">
        <f>-0.11-1.17</f>
        <v>-1.28</v>
      </c>
      <c r="D6251">
        <v>0.53</v>
      </c>
      <c r="E6251" t="s">
        <v>36</v>
      </c>
      <c r="F6251" t="s">
        <v>114</v>
      </c>
      <c r="G6251">
        <v>1.17</v>
      </c>
      <c r="H6251">
        <v>-0.11</v>
      </c>
      <c r="I6251">
        <v>0.64</v>
      </c>
      <c r="J6251">
        <v>0.40960000000000002</v>
      </c>
      <c r="K6251" t="str">
        <f>IFERROR(INDEX(Rosters!$C$2:$C$155,MATCH($B6251,Rosters!$B$2:$B$155,0)),"NA")</f>
        <v>NA</v>
      </c>
      <c r="L6251" t="str">
        <f t="shared" si="291"/>
        <v>NA12TE</v>
      </c>
      <c r="M6251">
        <f>COUNTIF(L$1:L6251,L6251)</f>
        <v>68</v>
      </c>
      <c r="N6251" t="str">
        <f t="shared" si="292"/>
        <v>NA12TE-68</v>
      </c>
      <c r="O6251">
        <f>COUNTIFS(F$1:F6251,F6251,A$1:A6251,A6251)</f>
        <v>81</v>
      </c>
      <c r="P6251" t="str">
        <f t="shared" si="293"/>
        <v>MyCole Pruitt12</v>
      </c>
    </row>
    <row r="6252" spans="1:16" x14ac:dyDescent="0.25">
      <c r="A6252">
        <v>15</v>
      </c>
      <c r="B6252" t="s">
        <v>1584</v>
      </c>
      <c r="C6252">
        <f>-0.06-1.12</f>
        <v>-1.1800000000000002</v>
      </c>
      <c r="D6252">
        <v>0.53</v>
      </c>
      <c r="E6252" t="s">
        <v>54</v>
      </c>
      <c r="F6252" t="s">
        <v>114</v>
      </c>
      <c r="G6252">
        <v>1.1200000000000001</v>
      </c>
      <c r="H6252">
        <v>-0.06</v>
      </c>
      <c r="I6252">
        <v>0.59</v>
      </c>
      <c r="J6252">
        <v>0.34810000000000002</v>
      </c>
      <c r="K6252" t="str">
        <f>IFERROR(INDEX(Rosters!$C$2:$C$155,MATCH($B6252,Rosters!$B$2:$B$155,0)),"NA")</f>
        <v>NA</v>
      </c>
      <c r="L6252" t="str">
        <f t="shared" si="291"/>
        <v>NA15TE</v>
      </c>
      <c r="M6252">
        <f>COUNTIF(L$1:L6252,L6252)</f>
        <v>69</v>
      </c>
      <c r="N6252" t="str">
        <f t="shared" si="292"/>
        <v>NA15TE-69</v>
      </c>
      <c r="O6252">
        <f>COUNTIFS(F$1:F6252,F6252,A$1:A6252,A6252)</f>
        <v>83</v>
      </c>
      <c r="P6252" t="str">
        <f t="shared" si="293"/>
        <v>MyCole Pruitt15</v>
      </c>
    </row>
    <row r="6253" spans="1:16" x14ac:dyDescent="0.25">
      <c r="A6253">
        <v>5</v>
      </c>
      <c r="B6253" t="s">
        <v>1570</v>
      </c>
      <c r="C6253" t="s">
        <v>8913</v>
      </c>
      <c r="D6253">
        <v>0.53</v>
      </c>
      <c r="E6253" t="s">
        <v>38</v>
      </c>
      <c r="F6253" t="s">
        <v>15</v>
      </c>
      <c r="G6253">
        <v>0.94</v>
      </c>
      <c r="H6253">
        <v>0.12</v>
      </c>
      <c r="I6253">
        <v>0.41</v>
      </c>
      <c r="J6253">
        <v>0.1681</v>
      </c>
      <c r="K6253" t="str">
        <f>IFERROR(INDEX(Rosters!$C$2:$C$155,MATCH($B6253,Rosters!$B$2:$B$155,0)),"NA")</f>
        <v>NA</v>
      </c>
      <c r="L6253" t="str">
        <f t="shared" si="291"/>
        <v>NA5QB</v>
      </c>
      <c r="M6253">
        <f>COUNTIF(L$1:L6253,L6253)</f>
        <v>34</v>
      </c>
      <c r="N6253" t="str">
        <f t="shared" si="292"/>
        <v>NA5QB-34</v>
      </c>
      <c r="O6253">
        <f>COUNTIFS(F$1:F6253,F6253,A$1:A6253,A6253)</f>
        <v>51</v>
      </c>
      <c r="P6253" t="str">
        <f t="shared" si="293"/>
        <v>Nathan Peterman5</v>
      </c>
    </row>
    <row r="6254" spans="1:16" x14ac:dyDescent="0.25">
      <c r="A6254">
        <v>6</v>
      </c>
      <c r="B6254" t="s">
        <v>1623</v>
      </c>
      <c r="C6254">
        <f>-0.08-1.14</f>
        <v>-1.22</v>
      </c>
      <c r="D6254">
        <v>0.53</v>
      </c>
      <c r="E6254" t="s">
        <v>76</v>
      </c>
      <c r="F6254" t="s">
        <v>87</v>
      </c>
      <c r="G6254">
        <v>1.1399999999999999</v>
      </c>
      <c r="H6254">
        <v>-0.08</v>
      </c>
      <c r="I6254">
        <v>0.61</v>
      </c>
      <c r="J6254">
        <v>0.37209999999999999</v>
      </c>
      <c r="K6254" t="str">
        <f>IFERROR(INDEX(Rosters!$C$2:$C$155,MATCH($B6254,Rosters!$B$2:$B$155,0)),"NA")</f>
        <v>NA</v>
      </c>
      <c r="L6254" t="str">
        <f t="shared" si="291"/>
        <v>NA6WR</v>
      </c>
      <c r="M6254">
        <f>COUNTIF(L$1:L6254,L6254)</f>
        <v>102</v>
      </c>
      <c r="N6254" t="str">
        <f t="shared" si="292"/>
        <v>NA6WR-102</v>
      </c>
      <c r="O6254">
        <f>COUNTIFS(F$1:F6254,F6254,A$1:A6254,A6254)</f>
        <v>152</v>
      </c>
      <c r="P6254" t="str">
        <f t="shared" si="293"/>
        <v>Noah Brown6</v>
      </c>
    </row>
    <row r="6255" spans="1:16" x14ac:dyDescent="0.25">
      <c r="A6255">
        <v>17</v>
      </c>
      <c r="B6255" t="s">
        <v>1623</v>
      </c>
      <c r="C6255">
        <f>-0.18-1.24</f>
        <v>-1.42</v>
      </c>
      <c r="D6255">
        <v>0.53</v>
      </c>
      <c r="E6255" t="s">
        <v>54</v>
      </c>
      <c r="F6255" t="s">
        <v>87</v>
      </c>
      <c r="G6255">
        <v>1.24</v>
      </c>
      <c r="H6255">
        <v>-0.18</v>
      </c>
      <c r="I6255">
        <v>0.71</v>
      </c>
      <c r="J6255">
        <v>0.50409999999999999</v>
      </c>
      <c r="K6255" t="str">
        <f>IFERROR(INDEX(Rosters!$C$2:$C$155,MATCH($B6255,Rosters!$B$2:$B$155,0)),"NA")</f>
        <v>NA</v>
      </c>
      <c r="L6255" t="str">
        <f t="shared" si="291"/>
        <v>NA17WR</v>
      </c>
      <c r="M6255">
        <f>COUNTIF(L$1:L6255,L6255)</f>
        <v>112</v>
      </c>
      <c r="N6255" t="str">
        <f t="shared" si="292"/>
        <v>NA17WR-112</v>
      </c>
      <c r="O6255">
        <f>COUNTIFS(F$1:F6255,F6255,A$1:A6255,A6255)</f>
        <v>166</v>
      </c>
      <c r="P6255" t="str">
        <f t="shared" si="293"/>
        <v>Noah Brown17</v>
      </c>
    </row>
    <row r="6256" spans="1:16" x14ac:dyDescent="0.25">
      <c r="A6256">
        <v>17</v>
      </c>
      <c r="B6256" t="s">
        <v>2968</v>
      </c>
      <c r="C6256">
        <f>-0.12-1.18</f>
        <v>-1.2999999999999998</v>
      </c>
      <c r="D6256">
        <v>0.53</v>
      </c>
      <c r="E6256" t="s">
        <v>77</v>
      </c>
      <c r="F6256" t="s">
        <v>114</v>
      </c>
      <c r="G6256">
        <v>1.18</v>
      </c>
      <c r="H6256">
        <v>-0.12</v>
      </c>
      <c r="I6256">
        <v>0.65</v>
      </c>
      <c r="J6256">
        <v>0.42249999999999999</v>
      </c>
      <c r="K6256" t="str">
        <f>IFERROR(INDEX(Rosters!$C$2:$C$155,MATCH($B6256,Rosters!$B$2:$B$155,0)),"NA")</f>
        <v>NA</v>
      </c>
      <c r="L6256" t="str">
        <f t="shared" si="291"/>
        <v>NA17TE</v>
      </c>
      <c r="M6256">
        <f>COUNTIF(L$1:L6256,L6256)</f>
        <v>66</v>
      </c>
      <c r="N6256" t="str">
        <f t="shared" si="292"/>
        <v>NA17TE-66</v>
      </c>
      <c r="O6256">
        <f>COUNTIFS(F$1:F6256,F6256,A$1:A6256,A6256)</f>
        <v>80</v>
      </c>
      <c r="P6256" t="str">
        <f t="shared" si="293"/>
        <v>Orson Charles17</v>
      </c>
    </row>
    <row r="6257" spans="1:16" x14ac:dyDescent="0.25">
      <c r="A6257">
        <v>12</v>
      </c>
      <c r="B6257" t="s">
        <v>328</v>
      </c>
      <c r="C6257">
        <f>-0.09-1.15</f>
        <v>-1.24</v>
      </c>
      <c r="D6257">
        <v>0.53</v>
      </c>
      <c r="E6257" t="s">
        <v>76</v>
      </c>
      <c r="F6257" t="s">
        <v>47</v>
      </c>
      <c r="G6257">
        <v>1.1499999999999999</v>
      </c>
      <c r="H6257">
        <v>-0.09</v>
      </c>
      <c r="I6257">
        <v>0.62</v>
      </c>
      <c r="J6257">
        <v>0.38440000000000002</v>
      </c>
      <c r="K6257" t="str">
        <f>IFERROR(INDEX(Rosters!$C$2:$C$155,MATCH($B6257,Rosters!$B$2:$B$155,0)),"NA")</f>
        <v>NA</v>
      </c>
      <c r="L6257" t="str">
        <f t="shared" si="291"/>
        <v>NA12RB</v>
      </c>
      <c r="M6257">
        <f>COUNTIF(L$1:L6257,L6257)</f>
        <v>60</v>
      </c>
      <c r="N6257" t="str">
        <f t="shared" si="292"/>
        <v>NA12RB-60</v>
      </c>
      <c r="O6257">
        <f>COUNTIFS(F$1:F6257,F6257,A$1:A6257,A6257)</f>
        <v>105</v>
      </c>
      <c r="P6257" t="str">
        <f t="shared" si="293"/>
        <v>Patrick DiMarco12</v>
      </c>
    </row>
    <row r="6258" spans="1:16" x14ac:dyDescent="0.25">
      <c r="A6258">
        <v>8</v>
      </c>
      <c r="B6258" t="s">
        <v>4701</v>
      </c>
      <c r="C6258">
        <f>-0.07-1.13</f>
        <v>-1.2</v>
      </c>
      <c r="D6258">
        <v>0.53</v>
      </c>
      <c r="E6258" t="s">
        <v>423</v>
      </c>
      <c r="F6258" t="s">
        <v>87</v>
      </c>
      <c r="G6258">
        <v>1.1299999999999999</v>
      </c>
      <c r="H6258">
        <v>-7.0000000000000007E-2</v>
      </c>
      <c r="I6258">
        <v>0.6</v>
      </c>
      <c r="J6258">
        <v>0.36</v>
      </c>
      <c r="K6258" t="str">
        <f>IFERROR(INDEX(Rosters!$C$2:$C$155,MATCH($B6258,Rosters!$B$2:$B$155,0)),"NA")</f>
        <v>NA</v>
      </c>
      <c r="L6258" t="str">
        <f t="shared" si="291"/>
        <v>NA8WR</v>
      </c>
      <c r="M6258">
        <f>COUNTIF(L$1:L6258,L6258)</f>
        <v>91</v>
      </c>
      <c r="N6258" t="str">
        <f t="shared" si="292"/>
        <v>NA8WR-91</v>
      </c>
      <c r="O6258">
        <f>COUNTIFS(F$1:F6258,F6258,A$1:A6258,A6258)</f>
        <v>140</v>
      </c>
      <c r="P6258" t="str">
        <f t="shared" si="293"/>
        <v>Ray-Ray McCloud8</v>
      </c>
    </row>
    <row r="6259" spans="1:16" x14ac:dyDescent="0.25">
      <c r="A6259">
        <v>15</v>
      </c>
      <c r="B6259" t="s">
        <v>4701</v>
      </c>
      <c r="C6259">
        <f>-0.07-1.13</f>
        <v>-1.2</v>
      </c>
      <c r="D6259">
        <v>0.53</v>
      </c>
      <c r="E6259" t="s">
        <v>34</v>
      </c>
      <c r="F6259" t="s">
        <v>87</v>
      </c>
      <c r="G6259">
        <v>1.1299999999999999</v>
      </c>
      <c r="H6259">
        <v>-7.0000000000000007E-2</v>
      </c>
      <c r="I6259">
        <v>0.6</v>
      </c>
      <c r="J6259" s="66">
        <v>0.36</v>
      </c>
      <c r="K6259" t="str">
        <f>IFERROR(INDEX(Rosters!$C$2:$C$155,MATCH($B6259,Rosters!$B$2:$B$155,0)),"NA")</f>
        <v>NA</v>
      </c>
      <c r="L6259" t="str">
        <f t="shared" si="291"/>
        <v>NA15WR</v>
      </c>
      <c r="M6259">
        <f>COUNTIF(L$1:L6259,L6259)</f>
        <v>107</v>
      </c>
      <c r="N6259" t="str">
        <f t="shared" si="292"/>
        <v>NA15WR-107</v>
      </c>
      <c r="O6259">
        <f>COUNTIFS(F$1:F6259,F6259,A$1:A6259,A6259)</f>
        <v>161</v>
      </c>
      <c r="P6259" t="str">
        <f t="shared" si="293"/>
        <v>Ray-Ray McCloud15</v>
      </c>
    </row>
    <row r="6260" spans="1:16" x14ac:dyDescent="0.25">
      <c r="A6260">
        <v>2</v>
      </c>
      <c r="B6260" t="s">
        <v>1499</v>
      </c>
      <c r="C6260">
        <f>-0.09-1.15</f>
        <v>-1.24</v>
      </c>
      <c r="D6260">
        <v>0.53</v>
      </c>
      <c r="E6260" t="s">
        <v>54</v>
      </c>
      <c r="F6260" t="s">
        <v>114</v>
      </c>
      <c r="G6260">
        <v>1.1499999999999999</v>
      </c>
      <c r="H6260">
        <v>-0.09</v>
      </c>
      <c r="I6260">
        <v>0.62</v>
      </c>
      <c r="J6260" s="66">
        <v>0.38440000000000002</v>
      </c>
      <c r="K6260" t="str">
        <f>IFERROR(INDEX(Rosters!$C$2:$C$155,MATCH($B6260,Rosters!$B$2:$B$155,0)),"NA")</f>
        <v>NA</v>
      </c>
      <c r="L6260" t="str">
        <f t="shared" si="291"/>
        <v>NA2TE</v>
      </c>
      <c r="M6260">
        <f>COUNTIF(L$1:L6260,L6260)</f>
        <v>61</v>
      </c>
      <c r="N6260" t="str">
        <f t="shared" si="292"/>
        <v>NA2TE-61</v>
      </c>
      <c r="O6260">
        <f>COUNTIFS(F$1:F6260,F6260,A$1:A6260,A6260)</f>
        <v>74</v>
      </c>
      <c r="P6260" t="str">
        <f t="shared" si="293"/>
        <v>Rico Gathers2</v>
      </c>
    </row>
    <row r="6261" spans="1:16" x14ac:dyDescent="0.25">
      <c r="A6261">
        <v>4</v>
      </c>
      <c r="B6261" t="s">
        <v>1499</v>
      </c>
      <c r="C6261">
        <f>-0.09-1.15</f>
        <v>-1.24</v>
      </c>
      <c r="D6261">
        <v>0.53</v>
      </c>
      <c r="E6261" t="s">
        <v>34</v>
      </c>
      <c r="F6261" t="s">
        <v>114</v>
      </c>
      <c r="G6261">
        <v>1.1499999999999999</v>
      </c>
      <c r="H6261">
        <v>-0.09</v>
      </c>
      <c r="I6261">
        <v>0.62</v>
      </c>
      <c r="J6261" s="66">
        <v>0.38440000000000002</v>
      </c>
      <c r="K6261" t="str">
        <f>IFERROR(INDEX(Rosters!$C$2:$C$155,MATCH($B6261,Rosters!$B$2:$B$155,0)),"NA")</f>
        <v>NA</v>
      </c>
      <c r="L6261" t="str">
        <f t="shared" si="291"/>
        <v>NA4TE</v>
      </c>
      <c r="M6261">
        <f>COUNTIF(L$1:L6261,L6261)</f>
        <v>57</v>
      </c>
      <c r="N6261" t="str">
        <f t="shared" si="292"/>
        <v>NA4TE-57</v>
      </c>
      <c r="O6261">
        <f>COUNTIFS(F$1:F6261,F6261,A$1:A6261,A6261)</f>
        <v>68</v>
      </c>
      <c r="P6261" t="str">
        <f t="shared" si="293"/>
        <v>Rico Gathers4</v>
      </c>
    </row>
    <row r="6262" spans="1:16" x14ac:dyDescent="0.25">
      <c r="A6262">
        <v>16</v>
      </c>
      <c r="B6262" t="s">
        <v>4260</v>
      </c>
      <c r="C6262">
        <f>-0.15-1.21</f>
        <v>-1.3599999999999999</v>
      </c>
      <c r="D6262">
        <v>0.53</v>
      </c>
      <c r="E6262" t="s">
        <v>423</v>
      </c>
      <c r="F6262" t="s">
        <v>87</v>
      </c>
      <c r="G6262">
        <v>1.21</v>
      </c>
      <c r="H6262">
        <v>-0.15</v>
      </c>
      <c r="I6262">
        <v>0.68</v>
      </c>
      <c r="J6262">
        <v>0.46239999999999998</v>
      </c>
      <c r="K6262" t="str">
        <f>IFERROR(INDEX(Rosters!$C$2:$C$155,MATCH($B6262,Rosters!$B$2:$B$155,0)),"NA")</f>
        <v>NA</v>
      </c>
      <c r="L6262" t="str">
        <f t="shared" si="291"/>
        <v>NA16WR</v>
      </c>
      <c r="M6262">
        <f>COUNTIF(L$1:L6262,L6262)</f>
        <v>103</v>
      </c>
      <c r="N6262" t="str">
        <f t="shared" si="292"/>
        <v>NA16WR-103</v>
      </c>
      <c r="O6262">
        <f>COUNTIFS(F$1:F6262,F6262,A$1:A6262,A6262)</f>
        <v>157</v>
      </c>
      <c r="P6262" t="str">
        <f t="shared" si="293"/>
        <v>Robert Foster16</v>
      </c>
    </row>
    <row r="6263" spans="1:16" x14ac:dyDescent="0.25">
      <c r="A6263">
        <v>12</v>
      </c>
      <c r="B6263" t="s">
        <v>1123</v>
      </c>
      <c r="C6263" t="s">
        <v>3866</v>
      </c>
      <c r="D6263">
        <v>0.53</v>
      </c>
      <c r="E6263" t="s">
        <v>19</v>
      </c>
      <c r="F6263" t="s">
        <v>47</v>
      </c>
      <c r="G6263">
        <v>1</v>
      </c>
      <c r="H6263">
        <v>0.06</v>
      </c>
      <c r="I6263">
        <v>0.47</v>
      </c>
      <c r="J6263">
        <v>0.22090000000000001</v>
      </c>
      <c r="K6263" t="str">
        <f>IFERROR(INDEX(Rosters!$C$2:$C$155,MATCH($B6263,Rosters!$B$2:$B$155,0)),"NA")</f>
        <v>NA</v>
      </c>
      <c r="L6263" t="str">
        <f t="shared" si="291"/>
        <v>NA12RB</v>
      </c>
      <c r="M6263">
        <f>COUNTIF(L$1:L6263,L6263)</f>
        <v>61</v>
      </c>
      <c r="N6263" t="str">
        <f t="shared" si="292"/>
        <v>NA12RB-61</v>
      </c>
      <c r="O6263">
        <f>COUNTIFS(F$1:F6263,F6263,A$1:A6263,A6263)</f>
        <v>106</v>
      </c>
      <c r="P6263" t="str">
        <f t="shared" si="293"/>
        <v>Robert Turbin12</v>
      </c>
    </row>
    <row r="6264" spans="1:16" x14ac:dyDescent="0.25">
      <c r="A6264">
        <v>14</v>
      </c>
      <c r="B6264" t="s">
        <v>1123</v>
      </c>
      <c r="C6264" t="s">
        <v>8911</v>
      </c>
      <c r="D6264">
        <v>0.53</v>
      </c>
      <c r="E6264" t="s">
        <v>36</v>
      </c>
      <c r="F6264" t="s">
        <v>47</v>
      </c>
      <c r="G6264">
        <v>1.06</v>
      </c>
      <c r="H6264">
        <v>0</v>
      </c>
      <c r="I6264">
        <v>0.53</v>
      </c>
      <c r="J6264">
        <v>0.28089999999999998</v>
      </c>
      <c r="K6264" t="str">
        <f>IFERROR(INDEX(Rosters!$C$2:$C$155,MATCH($B6264,Rosters!$B$2:$B$155,0)),"NA")</f>
        <v>NA</v>
      </c>
      <c r="L6264" t="str">
        <f t="shared" si="291"/>
        <v>NA14RB</v>
      </c>
      <c r="M6264">
        <f>COUNTIF(L$1:L6264,L6264)</f>
        <v>63</v>
      </c>
      <c r="N6264" t="str">
        <f t="shared" si="292"/>
        <v>NA14RB-63</v>
      </c>
      <c r="O6264">
        <f>COUNTIFS(F$1:F6264,F6264,A$1:A6264,A6264)</f>
        <v>110</v>
      </c>
      <c r="P6264" t="str">
        <f t="shared" si="293"/>
        <v>Robert Turbin14</v>
      </c>
    </row>
    <row r="6265" spans="1:16" x14ac:dyDescent="0.25">
      <c r="A6265">
        <v>6</v>
      </c>
      <c r="B6265" t="s">
        <v>3845</v>
      </c>
      <c r="C6265">
        <f>-0.01-1.07</f>
        <v>-1.08</v>
      </c>
      <c r="D6265">
        <v>0.53</v>
      </c>
      <c r="E6265" t="s">
        <v>37</v>
      </c>
      <c r="F6265" t="s">
        <v>87</v>
      </c>
      <c r="G6265">
        <v>1.07</v>
      </c>
      <c r="H6265">
        <v>-0.01</v>
      </c>
      <c r="I6265">
        <v>0.54</v>
      </c>
      <c r="J6265">
        <v>0.29160000000000003</v>
      </c>
      <c r="K6265" t="str">
        <f>IFERROR(INDEX(Rosters!$C$2:$C$155,MATCH($B6265,Rosters!$B$2:$B$155,0)),"NA")</f>
        <v>NA</v>
      </c>
      <c r="L6265" t="str">
        <f t="shared" si="291"/>
        <v>NA6WR</v>
      </c>
      <c r="M6265">
        <f>COUNTIF(L$1:L6265,L6265)</f>
        <v>103</v>
      </c>
      <c r="N6265" t="str">
        <f t="shared" si="292"/>
        <v>NA6WR-103</v>
      </c>
      <c r="O6265">
        <f>COUNTIFS(F$1:F6265,F6265,A$1:A6265,A6265)</f>
        <v>153</v>
      </c>
      <c r="P6265" t="str">
        <f t="shared" si="293"/>
        <v>Rod Streater6</v>
      </c>
    </row>
    <row r="6266" spans="1:16" x14ac:dyDescent="0.25">
      <c r="A6266">
        <v>9</v>
      </c>
      <c r="B6266" t="s">
        <v>332</v>
      </c>
      <c r="C6266">
        <f>-0.21-1.27</f>
        <v>-1.48</v>
      </c>
      <c r="D6266">
        <v>0.53</v>
      </c>
      <c r="E6266" t="s">
        <v>73</v>
      </c>
      <c r="F6266" t="s">
        <v>47</v>
      </c>
      <c r="G6266">
        <v>1.27</v>
      </c>
      <c r="H6266">
        <v>-0.21</v>
      </c>
      <c r="I6266">
        <v>0.74</v>
      </c>
      <c r="J6266">
        <v>0.54759999999999998</v>
      </c>
      <c r="K6266" t="str">
        <f>IFERROR(INDEX(Rosters!$C$2:$C$155,MATCH($B6266,Rosters!$B$2:$B$155,0)),"NA")</f>
        <v>NA</v>
      </c>
      <c r="L6266" t="str">
        <f t="shared" si="291"/>
        <v>NA9RB</v>
      </c>
      <c r="M6266">
        <f>COUNTIF(L$1:L6266,L6266)</f>
        <v>48</v>
      </c>
      <c r="N6266" t="str">
        <f t="shared" si="292"/>
        <v>NA9RB-48</v>
      </c>
      <c r="O6266">
        <f>COUNTIFS(F$1:F6266,F6266,A$1:A6266,A6266)</f>
        <v>88</v>
      </c>
      <c r="P6266" t="str">
        <f t="shared" si="293"/>
        <v>Senorise Perry9</v>
      </c>
    </row>
    <row r="6267" spans="1:16" x14ac:dyDescent="0.25">
      <c r="A6267">
        <v>1</v>
      </c>
      <c r="B6267" t="s">
        <v>745</v>
      </c>
      <c r="C6267">
        <f>-0.02-1.08</f>
        <v>-1.1000000000000001</v>
      </c>
      <c r="D6267">
        <v>0.53</v>
      </c>
      <c r="E6267" t="s">
        <v>17</v>
      </c>
      <c r="F6267" t="s">
        <v>15</v>
      </c>
      <c r="G6267">
        <v>1.08</v>
      </c>
      <c r="H6267">
        <v>-0.02</v>
      </c>
      <c r="I6267">
        <v>0.55000000000000004</v>
      </c>
      <c r="J6267">
        <v>0.30249999999999999</v>
      </c>
      <c r="K6267" t="str">
        <f>IFERROR(INDEX(Rosters!$C$2:$C$155,MATCH($B6267,Rosters!$B$2:$B$155,0)),"NA")</f>
        <v>NA</v>
      </c>
      <c r="L6267" t="str">
        <f t="shared" si="291"/>
        <v>NA1QB</v>
      </c>
      <c r="M6267">
        <f>COUNTIF(L$1:L6267,L6267)</f>
        <v>32</v>
      </c>
      <c r="N6267" t="str">
        <f t="shared" si="292"/>
        <v>NA1QB-32</v>
      </c>
      <c r="O6267">
        <f>COUNTIFS(F$1:F6267,F6267,A$1:A6267,A6267)</f>
        <v>48</v>
      </c>
      <c r="P6267" t="str">
        <f t="shared" si="293"/>
        <v>Teddy Bridgewater1</v>
      </c>
    </row>
    <row r="6268" spans="1:16" x14ac:dyDescent="0.25">
      <c r="A6268">
        <v>7</v>
      </c>
      <c r="B6268" t="s">
        <v>2792</v>
      </c>
      <c r="C6268" t="s">
        <v>367</v>
      </c>
      <c r="D6268">
        <v>0.53</v>
      </c>
      <c r="E6268" t="s">
        <v>24</v>
      </c>
      <c r="F6268" t="s">
        <v>47</v>
      </c>
      <c r="G6268">
        <v>1.05</v>
      </c>
      <c r="H6268">
        <v>0.01</v>
      </c>
      <c r="I6268">
        <v>0.52</v>
      </c>
      <c r="J6268" s="66">
        <v>0.27039999999999997</v>
      </c>
      <c r="K6268" t="str">
        <f>IFERROR(INDEX(Rosters!$C$2:$C$155,MATCH($B6268,Rosters!$B$2:$B$155,0)),"NA")</f>
        <v>NA</v>
      </c>
      <c r="L6268" t="str">
        <f t="shared" si="291"/>
        <v>NA7RB</v>
      </c>
      <c r="M6268">
        <f>COUNTIF(L$1:L6268,L6268)</f>
        <v>52</v>
      </c>
      <c r="N6268" t="str">
        <f t="shared" si="292"/>
        <v>NA7RB-52</v>
      </c>
      <c r="O6268">
        <f>COUNTIFS(F$1:F6268,F6268,A$1:A6268,A6268)</f>
        <v>93</v>
      </c>
      <c r="P6268" t="str">
        <f t="shared" si="293"/>
        <v>Thomas Rawls7</v>
      </c>
    </row>
    <row r="6269" spans="1:16" x14ac:dyDescent="0.25">
      <c r="A6269">
        <v>12</v>
      </c>
      <c r="B6269" t="s">
        <v>4258</v>
      </c>
      <c r="C6269">
        <f>-0.01-1.07</f>
        <v>-1.08</v>
      </c>
      <c r="D6269">
        <v>0.53</v>
      </c>
      <c r="E6269" t="s">
        <v>51</v>
      </c>
      <c r="F6269" t="s">
        <v>87</v>
      </c>
      <c r="G6269">
        <v>1.07</v>
      </c>
      <c r="H6269">
        <v>-0.01</v>
      </c>
      <c r="I6269">
        <v>0.54</v>
      </c>
      <c r="J6269" s="66">
        <v>0.29160000000000003</v>
      </c>
      <c r="K6269" t="str">
        <f>IFERROR(INDEX(Rosters!$C$2:$C$155,MATCH($B6269,Rosters!$B$2:$B$155,0)),"NA")</f>
        <v>NA</v>
      </c>
      <c r="L6269" t="str">
        <f t="shared" si="291"/>
        <v>NA12WR</v>
      </c>
      <c r="M6269">
        <f>COUNTIF(L$1:L6269,L6269)</f>
        <v>105</v>
      </c>
      <c r="N6269" t="str">
        <f t="shared" si="292"/>
        <v>NA12WR-105</v>
      </c>
      <c r="O6269">
        <f>COUNTIFS(F$1:F6269,F6269,A$1:A6269,A6269)</f>
        <v>154</v>
      </c>
      <c r="P6269" t="str">
        <f t="shared" si="293"/>
        <v>Tim Patrick12</v>
      </c>
    </row>
    <row r="6270" spans="1:16" x14ac:dyDescent="0.25">
      <c r="A6270">
        <v>13</v>
      </c>
      <c r="B6270" t="s">
        <v>4223</v>
      </c>
      <c r="C6270">
        <f>-0.1-1.16</f>
        <v>-1.26</v>
      </c>
      <c r="D6270">
        <v>0.53</v>
      </c>
      <c r="E6270" t="s">
        <v>38</v>
      </c>
      <c r="F6270" t="s">
        <v>47</v>
      </c>
      <c r="G6270">
        <v>1.1599999999999999</v>
      </c>
      <c r="H6270">
        <v>-0.1</v>
      </c>
      <c r="I6270">
        <v>0.63</v>
      </c>
      <c r="J6270">
        <v>0.39689999999999998</v>
      </c>
      <c r="K6270" t="str">
        <f>IFERROR(INDEX(Rosters!$C$2:$C$155,MATCH($B6270,Rosters!$B$2:$B$155,0)),"NA")</f>
        <v>NA</v>
      </c>
      <c r="L6270" t="str">
        <f t="shared" si="291"/>
        <v>NA13RB</v>
      </c>
      <c r="M6270">
        <f>COUNTIF(L$1:L6270,L6270)</f>
        <v>68</v>
      </c>
      <c r="N6270" t="str">
        <f t="shared" si="292"/>
        <v>NA13RB-68</v>
      </c>
      <c r="O6270">
        <f>COUNTIFS(F$1:F6270,F6270,A$1:A6270,A6270)</f>
        <v>115</v>
      </c>
      <c r="P6270" t="str">
        <f t="shared" si="293"/>
        <v>Trenton Cannon13</v>
      </c>
    </row>
    <row r="6271" spans="1:16" x14ac:dyDescent="0.25">
      <c r="A6271">
        <v>17</v>
      </c>
      <c r="B6271" t="s">
        <v>4223</v>
      </c>
      <c r="C6271">
        <f>-0.01-1.07</f>
        <v>-1.08</v>
      </c>
      <c r="D6271">
        <v>0.53</v>
      </c>
      <c r="E6271" t="s">
        <v>423</v>
      </c>
      <c r="F6271" t="s">
        <v>47</v>
      </c>
      <c r="G6271">
        <v>1.07</v>
      </c>
      <c r="H6271">
        <v>-0.01</v>
      </c>
      <c r="I6271">
        <v>0.54</v>
      </c>
      <c r="J6271">
        <v>0.29160000000000003</v>
      </c>
      <c r="K6271" t="str">
        <f>IFERROR(INDEX(Rosters!$C$2:$C$155,MATCH($B6271,Rosters!$B$2:$B$155,0)),"NA")</f>
        <v>NA</v>
      </c>
      <c r="L6271" t="str">
        <f t="shared" si="291"/>
        <v>NA17RB</v>
      </c>
      <c r="M6271">
        <f>COUNTIF(L$1:L6271,L6271)</f>
        <v>59</v>
      </c>
      <c r="N6271" t="str">
        <f t="shared" si="292"/>
        <v>NA17RB-59</v>
      </c>
      <c r="O6271">
        <f>COUNTIFS(F$1:F6271,F6271,A$1:A6271,A6271)</f>
        <v>106</v>
      </c>
      <c r="P6271" t="str">
        <f t="shared" si="293"/>
        <v>Trenton Cannon17</v>
      </c>
    </row>
    <row r="6272" spans="1:16" x14ac:dyDescent="0.25">
      <c r="A6272">
        <v>2</v>
      </c>
      <c r="B6272" t="s">
        <v>4245</v>
      </c>
      <c r="C6272">
        <f>-0.16-1.22</f>
        <v>-1.38</v>
      </c>
      <c r="D6272">
        <v>0.53</v>
      </c>
      <c r="E6272" t="s">
        <v>38</v>
      </c>
      <c r="F6272" t="s">
        <v>87</v>
      </c>
      <c r="G6272">
        <v>1.22</v>
      </c>
      <c r="H6272">
        <v>-0.16</v>
      </c>
      <c r="I6272">
        <v>0.69</v>
      </c>
      <c r="J6272">
        <v>0.47610000000000002</v>
      </c>
      <c r="K6272" t="str">
        <f>IFERROR(INDEX(Rosters!$C$2:$C$155,MATCH($B6272,Rosters!$B$2:$B$155,0)),"NA")</f>
        <v>NA</v>
      </c>
      <c r="L6272" t="str">
        <f t="shared" si="291"/>
        <v>NA2WR</v>
      </c>
      <c r="M6272">
        <f>COUNTIF(L$1:L6272,L6272)</f>
        <v>74</v>
      </c>
      <c r="N6272" t="str">
        <f t="shared" si="292"/>
        <v>NA2WR-74</v>
      </c>
      <c r="O6272">
        <f>COUNTIFS(F$1:F6272,F6272,A$1:A6272,A6272)</f>
        <v>123</v>
      </c>
      <c r="P6272" t="str">
        <f t="shared" si="293"/>
        <v>Vyncint Smith2</v>
      </c>
    </row>
    <row r="6273" spans="1:16" x14ac:dyDescent="0.25">
      <c r="A6273">
        <v>12</v>
      </c>
      <c r="B6273" t="s">
        <v>324</v>
      </c>
      <c r="C6273" t="s">
        <v>802</v>
      </c>
      <c r="D6273">
        <v>0.52</v>
      </c>
      <c r="E6273" t="s">
        <v>77</v>
      </c>
      <c r="F6273" t="s">
        <v>15</v>
      </c>
      <c r="G6273">
        <v>1</v>
      </c>
      <c r="H6273">
        <v>0.04</v>
      </c>
      <c r="I6273">
        <v>0.48</v>
      </c>
      <c r="J6273">
        <v>0.23039999999999999</v>
      </c>
      <c r="K6273" t="str">
        <f>IFERROR(INDEX(Rosters!$C$2:$C$155,MATCH($B6273,Rosters!$B$2:$B$155,0)),"NA")</f>
        <v>NA</v>
      </c>
      <c r="L6273" t="str">
        <f t="shared" si="291"/>
        <v>NA12QB</v>
      </c>
      <c r="M6273">
        <f>COUNTIF(L$1:L6273,L6273)</f>
        <v>38</v>
      </c>
      <c r="N6273" t="str">
        <f t="shared" si="292"/>
        <v>NA12QB-38</v>
      </c>
      <c r="O6273">
        <f>COUNTIFS(F$1:F6273,F6273,A$1:A6273,A6273)</f>
        <v>53</v>
      </c>
      <c r="P6273" t="str">
        <f t="shared" si="293"/>
        <v>A.J. McCarron12</v>
      </c>
    </row>
    <row r="6274" spans="1:16" x14ac:dyDescent="0.25">
      <c r="A6274">
        <v>12</v>
      </c>
      <c r="B6274" t="s">
        <v>1555</v>
      </c>
      <c r="C6274">
        <f>-0.03-1.07</f>
        <v>-1.1000000000000001</v>
      </c>
      <c r="D6274">
        <v>0.52</v>
      </c>
      <c r="E6274" t="s">
        <v>28</v>
      </c>
      <c r="F6274" t="s">
        <v>47</v>
      </c>
      <c r="G6274">
        <v>1.07</v>
      </c>
      <c r="H6274">
        <v>-0.03</v>
      </c>
      <c r="I6274">
        <v>0.55000000000000004</v>
      </c>
      <c r="J6274" s="66">
        <v>0.30249999999999999</v>
      </c>
      <c r="K6274" t="str">
        <f>IFERROR(INDEX(Rosters!$C$2:$C$155,MATCH($B6274,Rosters!$B$2:$B$155,0)),"NA")</f>
        <v>NA</v>
      </c>
      <c r="L6274" t="str">
        <f t="shared" si="291"/>
        <v>NA12RB</v>
      </c>
      <c r="M6274">
        <f>COUNTIF(L$1:L6274,L6274)</f>
        <v>62</v>
      </c>
      <c r="N6274" t="str">
        <f t="shared" si="292"/>
        <v>NA12RB-62</v>
      </c>
      <c r="O6274">
        <f>COUNTIFS(F$1:F6274,F6274,A$1:A6274,A6274)</f>
        <v>107</v>
      </c>
      <c r="P6274" t="str">
        <f t="shared" si="293"/>
        <v>Alex Armah12</v>
      </c>
    </row>
    <row r="6275" spans="1:16" x14ac:dyDescent="0.25">
      <c r="A6275">
        <v>13</v>
      </c>
      <c r="B6275" t="s">
        <v>1614</v>
      </c>
      <c r="C6275" t="s">
        <v>1610</v>
      </c>
      <c r="D6275">
        <v>0.52</v>
      </c>
      <c r="E6275" t="s">
        <v>32</v>
      </c>
      <c r="F6275" t="s">
        <v>114</v>
      </c>
      <c r="G6275">
        <v>1.03</v>
      </c>
      <c r="H6275">
        <v>0.01</v>
      </c>
      <c r="I6275">
        <v>0.51</v>
      </c>
      <c r="J6275" s="66">
        <v>0.2601</v>
      </c>
      <c r="K6275" t="str">
        <f>IFERROR(INDEX(Rosters!$C$2:$C$155,MATCH($B6275,Rosters!$B$2:$B$155,0)),"NA")</f>
        <v>NA</v>
      </c>
      <c r="L6275" t="str">
        <f t="shared" ref="L6275:L6338" si="294">K6275&amp;A6275&amp;F6275</f>
        <v>NA13TE</v>
      </c>
      <c r="M6275">
        <f>COUNTIF(L$1:L6275,L6275)</f>
        <v>67</v>
      </c>
      <c r="N6275" t="str">
        <f t="shared" ref="N6275:N6338" si="295">L6275&amp;"-"&amp;M6275</f>
        <v>NA13TE-67</v>
      </c>
      <c r="O6275">
        <f>COUNTIFS(F$1:F6275,F6275,A$1:A6275,A6275)</f>
        <v>81</v>
      </c>
      <c r="P6275" t="str">
        <f t="shared" ref="P6275:P6338" si="296">B6275&amp;A6275</f>
        <v>Alex Ellis13</v>
      </c>
    </row>
    <row r="6276" spans="1:16" x14ac:dyDescent="0.25">
      <c r="A6276">
        <v>13</v>
      </c>
      <c r="B6276" t="s">
        <v>1145</v>
      </c>
      <c r="C6276">
        <f>-0.08-1.12</f>
        <v>-1.2000000000000002</v>
      </c>
      <c r="D6276">
        <v>0.52</v>
      </c>
      <c r="E6276" t="s">
        <v>54</v>
      </c>
      <c r="F6276" t="s">
        <v>114</v>
      </c>
      <c r="G6276">
        <v>1.1200000000000001</v>
      </c>
      <c r="H6276">
        <v>-0.08</v>
      </c>
      <c r="I6276">
        <v>0.6</v>
      </c>
      <c r="J6276">
        <v>0.36</v>
      </c>
      <c r="K6276" t="str">
        <f>IFERROR(INDEX(Rosters!$C$2:$C$155,MATCH($B6276,Rosters!$B$2:$B$155,0)),"NA")</f>
        <v>NA</v>
      </c>
      <c r="L6276" t="str">
        <f t="shared" si="294"/>
        <v>NA13TE</v>
      </c>
      <c r="M6276">
        <f>COUNTIF(L$1:L6276,L6276)</f>
        <v>68</v>
      </c>
      <c r="N6276" t="str">
        <f t="shared" si="295"/>
        <v>NA13TE-68</v>
      </c>
      <c r="O6276">
        <f>COUNTIFS(F$1:F6276,F6276,A$1:A6276,A6276)</f>
        <v>82</v>
      </c>
      <c r="P6276" t="str">
        <f t="shared" si="296"/>
        <v>Ben Braunecker13</v>
      </c>
    </row>
    <row r="6277" spans="1:16" x14ac:dyDescent="0.25">
      <c r="A6277">
        <v>4</v>
      </c>
      <c r="B6277" t="s">
        <v>293</v>
      </c>
      <c r="C6277" t="s">
        <v>1610</v>
      </c>
      <c r="D6277">
        <v>0.52</v>
      </c>
      <c r="E6277" t="s">
        <v>17</v>
      </c>
      <c r="F6277" t="s">
        <v>47</v>
      </c>
      <c r="G6277">
        <v>1.03</v>
      </c>
      <c r="H6277">
        <v>0.01</v>
      </c>
      <c r="I6277">
        <v>0.51</v>
      </c>
      <c r="J6277">
        <v>0.2601</v>
      </c>
      <c r="K6277" t="str">
        <f>IFERROR(INDEX(Rosters!$C$2:$C$155,MATCH($B6277,Rosters!$B$2:$B$155,0)),"NA")</f>
        <v>NA</v>
      </c>
      <c r="L6277" t="str">
        <f t="shared" si="294"/>
        <v>NA4RB</v>
      </c>
      <c r="M6277">
        <f>COUNTIF(L$1:L6277,L6277)</f>
        <v>50</v>
      </c>
      <c r="N6277" t="str">
        <f t="shared" si="295"/>
        <v>NA4RB-50</v>
      </c>
      <c r="O6277">
        <f>COUNTIFS(F$1:F6277,F6277,A$1:A6277,A6277)</f>
        <v>89</v>
      </c>
      <c r="P6277" t="str">
        <f t="shared" si="296"/>
        <v>Benny Cunningham4</v>
      </c>
    </row>
    <row r="6278" spans="1:16" x14ac:dyDescent="0.25">
      <c r="A6278">
        <v>2</v>
      </c>
      <c r="B6278" t="s">
        <v>2274</v>
      </c>
      <c r="C6278">
        <f>-0.15-1.19</f>
        <v>-1.3399999999999999</v>
      </c>
      <c r="D6278">
        <v>0.52</v>
      </c>
      <c r="E6278" t="s">
        <v>73</v>
      </c>
      <c r="F6278" t="s">
        <v>47</v>
      </c>
      <c r="G6278">
        <v>1.19</v>
      </c>
      <c r="H6278">
        <v>-0.15</v>
      </c>
      <c r="I6278">
        <v>0.67</v>
      </c>
      <c r="J6278">
        <v>0.44890000000000002</v>
      </c>
      <c r="K6278" t="str">
        <f>IFERROR(INDEX(Rosters!$C$2:$C$155,MATCH($B6278,Rosters!$B$2:$B$155,0)),"NA")</f>
        <v>NA</v>
      </c>
      <c r="L6278" t="str">
        <f t="shared" si="294"/>
        <v>NA2RB</v>
      </c>
      <c r="M6278">
        <f>COUNTIF(L$1:L6278,L6278)</f>
        <v>48</v>
      </c>
      <c r="N6278" t="str">
        <f t="shared" si="295"/>
        <v>NA2RB-48</v>
      </c>
      <c r="O6278">
        <f>COUNTIFS(F$1:F6278,F6278,A$1:A6278,A6278)</f>
        <v>90</v>
      </c>
      <c r="P6278" t="str">
        <f t="shared" si="296"/>
        <v>Brandon Bolden2</v>
      </c>
    </row>
    <row r="6279" spans="1:16" x14ac:dyDescent="0.25">
      <c r="A6279">
        <v>3</v>
      </c>
      <c r="B6279" t="s">
        <v>2274</v>
      </c>
      <c r="C6279" t="s">
        <v>1610</v>
      </c>
      <c r="D6279">
        <v>0.52</v>
      </c>
      <c r="E6279" t="s">
        <v>32</v>
      </c>
      <c r="F6279" t="s">
        <v>47</v>
      </c>
      <c r="G6279">
        <v>1.03</v>
      </c>
      <c r="H6279">
        <v>0.01</v>
      </c>
      <c r="I6279">
        <v>0.51</v>
      </c>
      <c r="J6279">
        <v>0.2601</v>
      </c>
      <c r="K6279" t="str">
        <f>IFERROR(INDEX(Rosters!$C$2:$C$155,MATCH($B6279,Rosters!$B$2:$B$155,0)),"NA")</f>
        <v>NA</v>
      </c>
      <c r="L6279" t="str">
        <f t="shared" si="294"/>
        <v>NA3RB</v>
      </c>
      <c r="M6279">
        <f>COUNTIF(L$1:L6279,L6279)</f>
        <v>52</v>
      </c>
      <c r="N6279" t="str">
        <f t="shared" si="295"/>
        <v>NA3RB-52</v>
      </c>
      <c r="O6279">
        <f>COUNTIFS(F$1:F6279,F6279,A$1:A6279,A6279)</f>
        <v>91</v>
      </c>
      <c r="P6279" t="str">
        <f t="shared" si="296"/>
        <v>Brandon Bolden3</v>
      </c>
    </row>
    <row r="6280" spans="1:16" x14ac:dyDescent="0.25">
      <c r="A6280">
        <v>17</v>
      </c>
      <c r="B6280" t="s">
        <v>2274</v>
      </c>
      <c r="C6280">
        <f>-0.19-1.23</f>
        <v>-1.42</v>
      </c>
      <c r="D6280">
        <v>0.52</v>
      </c>
      <c r="E6280" t="s">
        <v>29</v>
      </c>
      <c r="F6280" t="s">
        <v>47</v>
      </c>
      <c r="G6280">
        <v>1.23</v>
      </c>
      <c r="H6280">
        <v>-0.19</v>
      </c>
      <c r="I6280">
        <v>0.71</v>
      </c>
      <c r="J6280">
        <v>0.50409999999999999</v>
      </c>
      <c r="K6280" t="str">
        <f>IFERROR(INDEX(Rosters!$C$2:$C$155,MATCH($B6280,Rosters!$B$2:$B$155,0)),"NA")</f>
        <v>NA</v>
      </c>
      <c r="L6280" t="str">
        <f t="shared" si="294"/>
        <v>NA17RB</v>
      </c>
      <c r="M6280">
        <f>COUNTIF(L$1:L6280,L6280)</f>
        <v>60</v>
      </c>
      <c r="N6280" t="str">
        <f t="shared" si="295"/>
        <v>NA17RB-60</v>
      </c>
      <c r="O6280">
        <f>COUNTIFS(F$1:F6280,F6280,A$1:A6280,A6280)</f>
        <v>107</v>
      </c>
      <c r="P6280" t="str">
        <f t="shared" si="296"/>
        <v>Brandon Bolden17</v>
      </c>
    </row>
    <row r="6281" spans="1:16" x14ac:dyDescent="0.25">
      <c r="A6281">
        <v>11</v>
      </c>
      <c r="B6281" t="s">
        <v>3569</v>
      </c>
      <c r="C6281" t="s">
        <v>1610</v>
      </c>
      <c r="D6281">
        <v>0.52</v>
      </c>
      <c r="E6281" t="s">
        <v>51</v>
      </c>
      <c r="F6281" t="s">
        <v>47</v>
      </c>
      <c r="G6281">
        <v>1.03</v>
      </c>
      <c r="H6281">
        <v>0.01</v>
      </c>
      <c r="I6281">
        <v>0.51</v>
      </c>
      <c r="J6281">
        <v>0.2601</v>
      </c>
      <c r="K6281" t="str">
        <f>IFERROR(INDEX(Rosters!$C$2:$C$155,MATCH($B6281,Rosters!$B$2:$B$155,0)),"NA")</f>
        <v>NA</v>
      </c>
      <c r="L6281" t="str">
        <f t="shared" si="294"/>
        <v>NA11RB</v>
      </c>
      <c r="M6281">
        <f>COUNTIF(L$1:L6281,L6281)</f>
        <v>53</v>
      </c>
      <c r="N6281" t="str">
        <f t="shared" si="295"/>
        <v>NA11RB-53</v>
      </c>
      <c r="O6281">
        <f>COUNTIFS(F$1:F6281,F6281,A$1:A6281,A6281)</f>
        <v>91</v>
      </c>
      <c r="P6281" t="str">
        <f t="shared" si="296"/>
        <v>Brandon Wilds11</v>
      </c>
    </row>
    <row r="6282" spans="1:16" x14ac:dyDescent="0.25">
      <c r="A6282">
        <v>10</v>
      </c>
      <c r="B6282" t="s">
        <v>216</v>
      </c>
      <c r="C6282">
        <f>-0.05-1.09</f>
        <v>-1.1400000000000001</v>
      </c>
      <c r="D6282">
        <v>0.52</v>
      </c>
      <c r="E6282" t="s">
        <v>56</v>
      </c>
      <c r="F6282" t="s">
        <v>47</v>
      </c>
      <c r="G6282">
        <v>1.0900000000000001</v>
      </c>
      <c r="H6282">
        <v>-0.05</v>
      </c>
      <c r="I6282">
        <v>0.56999999999999995</v>
      </c>
      <c r="J6282">
        <v>0.32490000000000002</v>
      </c>
      <c r="K6282" t="str">
        <f>IFERROR(INDEX(Rosters!$C$2:$C$155,MATCH($B6282,Rosters!$B$2:$B$155,0)),"NA")</f>
        <v>NA</v>
      </c>
      <c r="L6282" t="str">
        <f t="shared" si="294"/>
        <v>NA10RB</v>
      </c>
      <c r="M6282">
        <f>COUNTIF(L$1:L6282,L6282)</f>
        <v>57</v>
      </c>
      <c r="N6282" t="str">
        <f t="shared" si="295"/>
        <v>NA10RB-57</v>
      </c>
      <c r="O6282">
        <f>COUNTIFS(F$1:F6282,F6282,A$1:A6282,A6282)</f>
        <v>96</v>
      </c>
      <c r="P6282" t="str">
        <f t="shared" si="296"/>
        <v>C.J. Prosise10</v>
      </c>
    </row>
    <row r="6283" spans="1:16" x14ac:dyDescent="0.25">
      <c r="A6283">
        <v>17</v>
      </c>
      <c r="B6283" t="s">
        <v>216</v>
      </c>
      <c r="C6283" t="s">
        <v>3867</v>
      </c>
      <c r="D6283">
        <v>0.52</v>
      </c>
      <c r="E6283" t="s">
        <v>58</v>
      </c>
      <c r="F6283" t="s">
        <v>47</v>
      </c>
      <c r="G6283">
        <v>1.04</v>
      </c>
      <c r="H6283">
        <v>0</v>
      </c>
      <c r="I6283">
        <v>0.52</v>
      </c>
      <c r="J6283">
        <v>0.27039999999999997</v>
      </c>
      <c r="K6283" t="str">
        <f>IFERROR(INDEX(Rosters!$C$2:$C$155,MATCH($B6283,Rosters!$B$2:$B$155,0)),"NA")</f>
        <v>NA</v>
      </c>
      <c r="L6283" t="str">
        <f t="shared" si="294"/>
        <v>NA17RB</v>
      </c>
      <c r="M6283">
        <f>COUNTIF(L$1:L6283,L6283)</f>
        <v>61</v>
      </c>
      <c r="N6283" t="str">
        <f t="shared" si="295"/>
        <v>NA17RB-61</v>
      </c>
      <c r="O6283">
        <f>COUNTIFS(F$1:F6283,F6283,A$1:A6283,A6283)</f>
        <v>108</v>
      </c>
      <c r="P6283" t="str">
        <f t="shared" si="296"/>
        <v>C.J. Prosise17</v>
      </c>
    </row>
    <row r="6284" spans="1:16" x14ac:dyDescent="0.25">
      <c r="A6284">
        <v>6</v>
      </c>
      <c r="B6284" t="s">
        <v>311</v>
      </c>
      <c r="C6284">
        <f>-0.09-1.13</f>
        <v>-1.22</v>
      </c>
      <c r="D6284">
        <v>0.52</v>
      </c>
      <c r="E6284" t="s">
        <v>423</v>
      </c>
      <c r="F6284" t="s">
        <v>15</v>
      </c>
      <c r="G6284">
        <v>1.1299999999999999</v>
      </c>
      <c r="H6284">
        <v>-0.09</v>
      </c>
      <c r="I6284">
        <v>0.61</v>
      </c>
      <c r="J6284">
        <v>0.37209999999999999</v>
      </c>
      <c r="K6284" t="str">
        <f>IFERROR(INDEX(Rosters!$C$2:$C$155,MATCH($B6284,Rosters!$B$2:$B$155,0)),"NA")</f>
        <v>NA</v>
      </c>
      <c r="L6284" t="str">
        <f t="shared" si="294"/>
        <v>NA6QB</v>
      </c>
      <c r="M6284">
        <f>COUNTIF(L$1:L6284,L6284)</f>
        <v>38</v>
      </c>
      <c r="N6284" t="str">
        <f t="shared" si="295"/>
        <v>NA6QB-38</v>
      </c>
      <c r="O6284">
        <f>COUNTIFS(F$1:F6284,F6284,A$1:A6284,A6284)</f>
        <v>53</v>
      </c>
      <c r="P6284" t="str">
        <f t="shared" si="296"/>
        <v>Chad Henne6</v>
      </c>
    </row>
    <row r="6285" spans="1:16" x14ac:dyDescent="0.25">
      <c r="A6285">
        <v>14</v>
      </c>
      <c r="B6285" t="s">
        <v>342</v>
      </c>
      <c r="C6285">
        <f>-0.02-1.06</f>
        <v>-1.08</v>
      </c>
      <c r="D6285">
        <v>0.52</v>
      </c>
      <c r="E6285" t="s">
        <v>37</v>
      </c>
      <c r="F6285" t="s">
        <v>87</v>
      </c>
      <c r="G6285">
        <v>1.06</v>
      </c>
      <c r="H6285">
        <v>-0.02</v>
      </c>
      <c r="I6285">
        <v>0.54</v>
      </c>
      <c r="J6285">
        <v>0.29160000000000003</v>
      </c>
      <c r="K6285" t="str">
        <f>IFERROR(INDEX(Rosters!$C$2:$C$155,MATCH($B6285,Rosters!$B$2:$B$155,0)),"NA")</f>
        <v>NA</v>
      </c>
      <c r="L6285" t="str">
        <f t="shared" si="294"/>
        <v>NA14WR</v>
      </c>
      <c r="M6285">
        <f>COUNTIF(L$1:L6285,L6285)</f>
        <v>106</v>
      </c>
      <c r="N6285" t="str">
        <f t="shared" si="295"/>
        <v>NA14WR-106</v>
      </c>
      <c r="O6285">
        <f>COUNTIFS(F$1:F6285,F6285,A$1:A6285,A6285)</f>
        <v>160</v>
      </c>
      <c r="P6285" t="str">
        <f t="shared" si="296"/>
        <v>Cody Core14</v>
      </c>
    </row>
    <row r="6286" spans="1:16" x14ac:dyDescent="0.25">
      <c r="A6286">
        <v>6</v>
      </c>
      <c r="B6286" t="s">
        <v>1128</v>
      </c>
      <c r="C6286">
        <f>-0.14-1.18</f>
        <v>-1.3199999999999998</v>
      </c>
      <c r="D6286">
        <v>0.52</v>
      </c>
      <c r="E6286" t="s">
        <v>60</v>
      </c>
      <c r="F6286" t="s">
        <v>87</v>
      </c>
      <c r="G6286">
        <v>1.18</v>
      </c>
      <c r="H6286">
        <v>-0.14000000000000001</v>
      </c>
      <c r="I6286">
        <v>0.66</v>
      </c>
      <c r="J6286">
        <v>0.43559999999999999</v>
      </c>
      <c r="K6286" t="str">
        <f>IFERROR(INDEX(Rosters!$C$2:$C$155,MATCH($B6286,Rosters!$B$2:$B$155,0)),"NA")</f>
        <v>NA</v>
      </c>
      <c r="L6286" t="str">
        <f t="shared" si="294"/>
        <v>NA6WR</v>
      </c>
      <c r="M6286">
        <f>COUNTIF(L$1:L6286,L6286)</f>
        <v>104</v>
      </c>
      <c r="N6286" t="str">
        <f t="shared" si="295"/>
        <v>NA6WR-104</v>
      </c>
      <c r="O6286">
        <f>COUNTIFS(F$1:F6286,F6286,A$1:A6286,A6286)</f>
        <v>154</v>
      </c>
      <c r="P6286" t="str">
        <f t="shared" si="296"/>
        <v>Damiere Byrd6</v>
      </c>
    </row>
    <row r="6287" spans="1:16" x14ac:dyDescent="0.25">
      <c r="A6287">
        <v>10</v>
      </c>
      <c r="B6287" t="s">
        <v>1115</v>
      </c>
      <c r="C6287" t="s">
        <v>4259</v>
      </c>
      <c r="D6287">
        <v>0.52</v>
      </c>
      <c r="E6287" t="s">
        <v>423</v>
      </c>
      <c r="F6287" t="s">
        <v>87</v>
      </c>
      <c r="G6287">
        <v>1.02</v>
      </c>
      <c r="H6287">
        <v>0.02</v>
      </c>
      <c r="I6287">
        <v>0.5</v>
      </c>
      <c r="J6287" s="66">
        <v>0.25</v>
      </c>
      <c r="K6287" t="str">
        <f>IFERROR(INDEX(Rosters!$C$2:$C$155,MATCH($B6287,Rosters!$B$2:$B$155,0)),"NA")</f>
        <v>NA</v>
      </c>
      <c r="L6287" t="str">
        <f t="shared" si="294"/>
        <v>NA10WR</v>
      </c>
      <c r="M6287">
        <f>COUNTIF(L$1:L6287,L6287)</f>
        <v>99</v>
      </c>
      <c r="N6287" t="str">
        <f t="shared" si="295"/>
        <v>NA10WR-99</v>
      </c>
      <c r="O6287">
        <f>COUNTIFS(F$1:F6287,F6287,A$1:A6287,A6287)</f>
        <v>144</v>
      </c>
      <c r="P6287" t="str">
        <f t="shared" si="296"/>
        <v>Darius Jennings10</v>
      </c>
    </row>
    <row r="6288" spans="1:16" x14ac:dyDescent="0.25">
      <c r="A6288">
        <v>15</v>
      </c>
      <c r="B6288" t="s">
        <v>1115</v>
      </c>
      <c r="C6288" t="s">
        <v>1610</v>
      </c>
      <c r="D6288">
        <v>0.52</v>
      </c>
      <c r="E6288" t="s">
        <v>54</v>
      </c>
      <c r="F6288" t="s">
        <v>87</v>
      </c>
      <c r="G6288">
        <v>1.03</v>
      </c>
      <c r="H6288">
        <v>0.01</v>
      </c>
      <c r="I6288">
        <v>0.51</v>
      </c>
      <c r="J6288" s="66">
        <v>0.2601</v>
      </c>
      <c r="K6288" t="str">
        <f>IFERROR(INDEX(Rosters!$C$2:$C$155,MATCH($B6288,Rosters!$B$2:$B$155,0)),"NA")</f>
        <v>NA</v>
      </c>
      <c r="L6288" t="str">
        <f t="shared" si="294"/>
        <v>NA15WR</v>
      </c>
      <c r="M6288">
        <f>COUNTIF(L$1:L6288,L6288)</f>
        <v>108</v>
      </c>
      <c r="N6288" t="str">
        <f t="shared" si="295"/>
        <v>NA15WR-108</v>
      </c>
      <c r="O6288">
        <f>COUNTIFS(F$1:F6288,F6288,A$1:A6288,A6288)</f>
        <v>162</v>
      </c>
      <c r="P6288" t="str">
        <f t="shared" si="296"/>
        <v>Darius Jennings15</v>
      </c>
    </row>
    <row r="6289" spans="1:16" x14ac:dyDescent="0.25">
      <c r="A6289">
        <v>16</v>
      </c>
      <c r="B6289" t="s">
        <v>1115</v>
      </c>
      <c r="C6289">
        <f>-0.04-1.08</f>
        <v>-1.1200000000000001</v>
      </c>
      <c r="D6289">
        <v>0.52</v>
      </c>
      <c r="E6289" t="s">
        <v>60</v>
      </c>
      <c r="F6289" t="s">
        <v>87</v>
      </c>
      <c r="G6289">
        <v>1.08</v>
      </c>
      <c r="H6289">
        <v>-0.04</v>
      </c>
      <c r="I6289">
        <v>0.56000000000000005</v>
      </c>
      <c r="J6289">
        <v>0.31359999999999999</v>
      </c>
      <c r="K6289" t="str">
        <f>IFERROR(INDEX(Rosters!$C$2:$C$155,MATCH($B6289,Rosters!$B$2:$B$155,0)),"NA")</f>
        <v>NA</v>
      </c>
      <c r="L6289" t="str">
        <f t="shared" si="294"/>
        <v>NA16WR</v>
      </c>
      <c r="M6289">
        <f>COUNTIF(L$1:L6289,L6289)</f>
        <v>104</v>
      </c>
      <c r="N6289" t="str">
        <f t="shared" si="295"/>
        <v>NA16WR-104</v>
      </c>
      <c r="O6289">
        <f>COUNTIFS(F$1:F6289,F6289,A$1:A6289,A6289)</f>
        <v>158</v>
      </c>
      <c r="P6289" t="str">
        <f t="shared" si="296"/>
        <v>Darius Jennings16</v>
      </c>
    </row>
    <row r="6290" spans="1:16" x14ac:dyDescent="0.25">
      <c r="A6290">
        <v>13</v>
      </c>
      <c r="B6290" t="s">
        <v>8907</v>
      </c>
      <c r="C6290">
        <f>-0.09-1.13</f>
        <v>-1.22</v>
      </c>
      <c r="D6290">
        <v>0.52</v>
      </c>
      <c r="E6290" t="s">
        <v>29</v>
      </c>
      <c r="F6290" t="s">
        <v>114</v>
      </c>
      <c r="G6290">
        <v>1.1299999999999999</v>
      </c>
      <c r="H6290">
        <v>-0.09</v>
      </c>
      <c r="I6290">
        <v>0.61</v>
      </c>
      <c r="J6290">
        <v>0.37209999999999999</v>
      </c>
      <c r="K6290" t="str">
        <f>IFERROR(INDEX(Rosters!$C$2:$C$155,MATCH($B6290,Rosters!$B$2:$B$155,0)),"NA")</f>
        <v>NA</v>
      </c>
      <c r="L6290" t="str">
        <f t="shared" si="294"/>
        <v>NA13TE</v>
      </c>
      <c r="M6290">
        <f>COUNTIF(L$1:L6290,L6290)</f>
        <v>69</v>
      </c>
      <c r="N6290" t="str">
        <f t="shared" si="295"/>
        <v>NA13TE-69</v>
      </c>
      <c r="O6290">
        <f>COUNTIFS(F$1:F6290,F6290,A$1:A6290,A6290)</f>
        <v>83</v>
      </c>
      <c r="P6290" t="str">
        <f t="shared" si="296"/>
        <v>Durham Smythe13</v>
      </c>
    </row>
    <row r="6291" spans="1:16" x14ac:dyDescent="0.25">
      <c r="A6291">
        <v>7</v>
      </c>
      <c r="B6291" t="s">
        <v>254</v>
      </c>
      <c r="C6291">
        <f>-0.29-1.33</f>
        <v>-1.62</v>
      </c>
      <c r="D6291">
        <v>0.52</v>
      </c>
      <c r="E6291" t="s">
        <v>72</v>
      </c>
      <c r="F6291" t="s">
        <v>114</v>
      </c>
      <c r="G6291">
        <v>1.33</v>
      </c>
      <c r="H6291">
        <v>-0.28999999999999998</v>
      </c>
      <c r="I6291">
        <v>0.81</v>
      </c>
      <c r="J6291">
        <v>0.65610000000000002</v>
      </c>
      <c r="K6291" t="str">
        <f>IFERROR(INDEX(Rosters!$C$2:$C$155,MATCH($B6291,Rosters!$B$2:$B$155,0)),"NA")</f>
        <v>NA</v>
      </c>
      <c r="L6291" t="str">
        <f t="shared" si="294"/>
        <v>NA7TE</v>
      </c>
      <c r="M6291">
        <f>COUNTIF(L$1:L6291,L6291)</f>
        <v>64</v>
      </c>
      <c r="N6291" t="str">
        <f t="shared" si="295"/>
        <v>NA7TE-64</v>
      </c>
      <c r="O6291">
        <f>COUNTIFS(F$1:F6291,F6291,A$1:A6291,A6291)</f>
        <v>74</v>
      </c>
      <c r="P6291" t="str">
        <f t="shared" si="296"/>
        <v>Dwayne Allen7</v>
      </c>
    </row>
    <row r="6292" spans="1:16" x14ac:dyDescent="0.25">
      <c r="A6292">
        <v>13</v>
      </c>
      <c r="B6292" t="s">
        <v>254</v>
      </c>
      <c r="C6292">
        <f>-0.25-1.29</f>
        <v>-1.54</v>
      </c>
      <c r="D6292">
        <v>0.52</v>
      </c>
      <c r="E6292" t="s">
        <v>25</v>
      </c>
      <c r="F6292" t="s">
        <v>114</v>
      </c>
      <c r="G6292">
        <v>1.29</v>
      </c>
      <c r="H6292">
        <v>-0.25</v>
      </c>
      <c r="I6292">
        <v>0.77</v>
      </c>
      <c r="J6292">
        <v>0.59289999999999998</v>
      </c>
      <c r="K6292" t="str">
        <f>IFERROR(INDEX(Rosters!$C$2:$C$155,MATCH($B6292,Rosters!$B$2:$B$155,0)),"NA")</f>
        <v>NA</v>
      </c>
      <c r="L6292" t="str">
        <f t="shared" si="294"/>
        <v>NA13TE</v>
      </c>
      <c r="M6292">
        <f>COUNTIF(L$1:L6292,L6292)</f>
        <v>70</v>
      </c>
      <c r="N6292" t="str">
        <f t="shared" si="295"/>
        <v>NA13TE-70</v>
      </c>
      <c r="O6292">
        <f>COUNTIFS(F$1:F6292,F6292,A$1:A6292,A6292)</f>
        <v>84</v>
      </c>
      <c r="P6292" t="str">
        <f t="shared" si="296"/>
        <v>Dwayne Allen13</v>
      </c>
    </row>
    <row r="6293" spans="1:16" x14ac:dyDescent="0.25">
      <c r="A6293">
        <v>2</v>
      </c>
      <c r="B6293" t="s">
        <v>1607</v>
      </c>
      <c r="C6293">
        <f>-0.04-1.08</f>
        <v>-1.1200000000000001</v>
      </c>
      <c r="D6293">
        <v>0.52</v>
      </c>
      <c r="E6293" t="s">
        <v>30</v>
      </c>
      <c r="F6293" t="s">
        <v>114</v>
      </c>
      <c r="G6293">
        <v>1.08</v>
      </c>
      <c r="H6293">
        <v>-0.04</v>
      </c>
      <c r="I6293">
        <v>0.56000000000000005</v>
      </c>
      <c r="J6293">
        <v>0.31359999999999999</v>
      </c>
      <c r="K6293" t="str">
        <f>IFERROR(INDEX(Rosters!$C$2:$C$155,MATCH($B6293,Rosters!$B$2:$B$155,0)),"NA")</f>
        <v>NA</v>
      </c>
      <c r="L6293" t="str">
        <f t="shared" si="294"/>
        <v>NA2TE</v>
      </c>
      <c r="M6293">
        <f>COUNTIF(L$1:L6293,L6293)</f>
        <v>62</v>
      </c>
      <c r="N6293" t="str">
        <f t="shared" si="295"/>
        <v>NA2TE-62</v>
      </c>
      <c r="O6293">
        <f>COUNTIFS(F$1:F6293,F6293,A$1:A6293,A6293)</f>
        <v>75</v>
      </c>
      <c r="P6293" t="str">
        <f t="shared" si="296"/>
        <v>Hakeem Valles2</v>
      </c>
    </row>
    <row r="6294" spans="1:16" x14ac:dyDescent="0.25">
      <c r="A6294">
        <v>17</v>
      </c>
      <c r="B6294" t="s">
        <v>1607</v>
      </c>
      <c r="C6294">
        <f>-0.03-1.07</f>
        <v>-1.1000000000000001</v>
      </c>
      <c r="D6294">
        <v>0.52</v>
      </c>
      <c r="E6294" t="s">
        <v>41</v>
      </c>
      <c r="F6294" t="s">
        <v>114</v>
      </c>
      <c r="G6294">
        <v>1.07</v>
      </c>
      <c r="H6294">
        <v>-0.03</v>
      </c>
      <c r="I6294">
        <v>0.55000000000000004</v>
      </c>
      <c r="J6294">
        <v>0.30249999999999999</v>
      </c>
      <c r="K6294" t="str">
        <f>IFERROR(INDEX(Rosters!$C$2:$C$155,MATCH($B6294,Rosters!$B$2:$B$155,0)),"NA")</f>
        <v>NA</v>
      </c>
      <c r="L6294" t="str">
        <f t="shared" si="294"/>
        <v>NA17TE</v>
      </c>
      <c r="M6294">
        <f>COUNTIF(L$1:L6294,L6294)</f>
        <v>67</v>
      </c>
      <c r="N6294" t="str">
        <f t="shared" si="295"/>
        <v>NA17TE-67</v>
      </c>
      <c r="O6294">
        <f>COUNTIFS(F$1:F6294,F6294,A$1:A6294,A6294)</f>
        <v>81</v>
      </c>
      <c r="P6294" t="str">
        <f t="shared" si="296"/>
        <v>Hakeem Valles17</v>
      </c>
    </row>
    <row r="6295" spans="1:16" x14ac:dyDescent="0.25">
      <c r="A6295">
        <v>13</v>
      </c>
      <c r="B6295" t="s">
        <v>2848</v>
      </c>
      <c r="C6295">
        <f>-0.01-1.05</f>
        <v>-1.06</v>
      </c>
      <c r="D6295">
        <v>0.52</v>
      </c>
      <c r="E6295" t="s">
        <v>14</v>
      </c>
      <c r="F6295" t="s">
        <v>47</v>
      </c>
      <c r="G6295">
        <v>1.05</v>
      </c>
      <c r="H6295">
        <v>-0.01</v>
      </c>
      <c r="I6295">
        <v>0.53</v>
      </c>
      <c r="J6295">
        <v>0.28089999999999998</v>
      </c>
      <c r="K6295" t="str">
        <f>IFERROR(INDEX(Rosters!$C$2:$C$155,MATCH($B6295,Rosters!$B$2:$B$155,0)),"NA")</f>
        <v>NA</v>
      </c>
      <c r="L6295" t="str">
        <f t="shared" si="294"/>
        <v>NA13RB</v>
      </c>
      <c r="M6295">
        <f>COUNTIF(L$1:L6295,L6295)</f>
        <v>69</v>
      </c>
      <c r="N6295" t="str">
        <f t="shared" si="295"/>
        <v>NA13RB-69</v>
      </c>
      <c r="O6295">
        <f>COUNTIFS(F$1:F6295,F6295,A$1:A6295,A6295)</f>
        <v>116</v>
      </c>
      <c r="P6295" t="str">
        <f t="shared" si="296"/>
        <v>Jamize Olawale13</v>
      </c>
    </row>
    <row r="6296" spans="1:16" x14ac:dyDescent="0.25">
      <c r="A6296">
        <v>10</v>
      </c>
      <c r="B6296" t="s">
        <v>4251</v>
      </c>
      <c r="C6296">
        <f>-0.09-1.13</f>
        <v>-1.22</v>
      </c>
      <c r="D6296">
        <v>0.52</v>
      </c>
      <c r="E6296" t="s">
        <v>73</v>
      </c>
      <c r="F6296" t="s">
        <v>114</v>
      </c>
      <c r="G6296">
        <v>1.1299999999999999</v>
      </c>
      <c r="H6296">
        <v>-0.09</v>
      </c>
      <c r="I6296">
        <v>0.61</v>
      </c>
      <c r="J6296">
        <v>0.37209999999999999</v>
      </c>
      <c r="K6296" t="str">
        <f>IFERROR(INDEX(Rosters!$C$2:$C$155,MATCH($B6296,Rosters!$B$2:$B$155,0)),"NA")</f>
        <v>NA</v>
      </c>
      <c r="L6296" t="str">
        <f t="shared" si="294"/>
        <v>NA10TE</v>
      </c>
      <c r="M6296">
        <f>COUNTIF(L$1:L6296,L6296)</f>
        <v>63</v>
      </c>
      <c r="N6296" t="str">
        <f t="shared" si="295"/>
        <v>NA10TE-63</v>
      </c>
      <c r="O6296">
        <f>COUNTIFS(F$1:F6296,F6296,A$1:A6296,A6296)</f>
        <v>76</v>
      </c>
      <c r="P6296" t="str">
        <f t="shared" si="296"/>
        <v>Jason Croom10</v>
      </c>
    </row>
    <row r="6297" spans="1:16" x14ac:dyDescent="0.25">
      <c r="A6297">
        <v>1</v>
      </c>
      <c r="B6297" t="s">
        <v>1560</v>
      </c>
      <c r="C6297">
        <f>-0.17-1.21</f>
        <v>-1.38</v>
      </c>
      <c r="D6297">
        <v>0.52</v>
      </c>
      <c r="E6297" t="s">
        <v>54</v>
      </c>
      <c r="F6297" t="s">
        <v>87</v>
      </c>
      <c r="G6297">
        <v>1.21</v>
      </c>
      <c r="H6297">
        <v>-0.17</v>
      </c>
      <c r="I6297">
        <v>0.69</v>
      </c>
      <c r="J6297">
        <v>0.47610000000000002</v>
      </c>
      <c r="K6297" t="str">
        <f>IFERROR(INDEX(Rosters!$C$2:$C$155,MATCH($B6297,Rosters!$B$2:$B$155,0)),"NA")</f>
        <v>NA</v>
      </c>
      <c r="L6297" t="str">
        <f t="shared" si="294"/>
        <v>NA1WR</v>
      </c>
      <c r="M6297">
        <f>COUNTIF(L$1:L6297,L6297)</f>
        <v>70</v>
      </c>
      <c r="N6297" t="str">
        <f t="shared" si="295"/>
        <v>NA1WR-70</v>
      </c>
      <c r="O6297">
        <f>COUNTIFS(F$1:F6297,F6297,A$1:A6297,A6297)</f>
        <v>119</v>
      </c>
      <c r="P6297" t="str">
        <f t="shared" si="296"/>
        <v>Jaydon Mickens1</v>
      </c>
    </row>
    <row r="6298" spans="1:16" x14ac:dyDescent="0.25">
      <c r="A6298">
        <v>1</v>
      </c>
      <c r="B6298" t="s">
        <v>1593</v>
      </c>
      <c r="C6298">
        <f>-0.16-1.2</f>
        <v>-1.3599999999999999</v>
      </c>
      <c r="D6298">
        <v>0.52</v>
      </c>
      <c r="E6298" t="s">
        <v>32</v>
      </c>
      <c r="F6298" t="s">
        <v>87</v>
      </c>
      <c r="G6298">
        <v>1.2</v>
      </c>
      <c r="H6298">
        <v>-0.16</v>
      </c>
      <c r="I6298">
        <v>0.68</v>
      </c>
      <c r="J6298" s="66">
        <v>0.46239999999999998</v>
      </c>
      <c r="K6298" t="str">
        <f>IFERROR(INDEX(Rosters!$C$2:$C$155,MATCH($B6298,Rosters!$B$2:$B$155,0)),"NA")</f>
        <v>NA</v>
      </c>
      <c r="L6298" t="str">
        <f t="shared" si="294"/>
        <v>NA1WR</v>
      </c>
      <c r="M6298">
        <f>COUNTIF(L$1:L6298,L6298)</f>
        <v>71</v>
      </c>
      <c r="N6298" t="str">
        <f t="shared" si="295"/>
        <v>NA1WR-71</v>
      </c>
      <c r="O6298">
        <f>COUNTIFS(F$1:F6298,F6298,A$1:A6298,A6298)</f>
        <v>120</v>
      </c>
      <c r="P6298" t="str">
        <f t="shared" si="296"/>
        <v>Josh Reynolds1</v>
      </c>
    </row>
    <row r="6299" spans="1:16" x14ac:dyDescent="0.25">
      <c r="A6299">
        <v>3</v>
      </c>
      <c r="B6299" t="s">
        <v>4252</v>
      </c>
      <c r="C6299">
        <f>-0.01-1.05</f>
        <v>-1.06</v>
      </c>
      <c r="D6299">
        <v>0.52</v>
      </c>
      <c r="E6299" t="s">
        <v>66</v>
      </c>
      <c r="F6299" t="s">
        <v>114</v>
      </c>
      <c r="G6299">
        <v>1.05</v>
      </c>
      <c r="H6299">
        <v>-0.01</v>
      </c>
      <c r="I6299">
        <v>0.53</v>
      </c>
      <c r="J6299" s="66">
        <v>0.28089999999999998</v>
      </c>
      <c r="K6299" t="str">
        <f>IFERROR(INDEX(Rosters!$C$2:$C$155,MATCH($B6299,Rosters!$B$2:$B$155,0)),"NA")</f>
        <v>NA</v>
      </c>
      <c r="L6299" t="str">
        <f t="shared" si="294"/>
        <v>NA3TE</v>
      </c>
      <c r="M6299">
        <f>COUNTIF(L$1:L6299,L6299)</f>
        <v>60</v>
      </c>
      <c r="N6299" t="str">
        <f t="shared" si="295"/>
        <v>NA3TE-60</v>
      </c>
      <c r="O6299">
        <f>COUNTIFS(F$1:F6299,F6299,A$1:A6299,A6299)</f>
        <v>73</v>
      </c>
      <c r="P6299" t="str">
        <f t="shared" si="296"/>
        <v>Joshua Perkins3</v>
      </c>
    </row>
    <row r="6300" spans="1:16" x14ac:dyDescent="0.25">
      <c r="A6300">
        <v>11</v>
      </c>
      <c r="B6300" t="s">
        <v>4252</v>
      </c>
      <c r="C6300">
        <f>-0.01-1.05</f>
        <v>-1.06</v>
      </c>
      <c r="D6300">
        <v>0.52</v>
      </c>
      <c r="E6300" t="s">
        <v>14</v>
      </c>
      <c r="F6300" t="s">
        <v>114</v>
      </c>
      <c r="G6300">
        <v>1.05</v>
      </c>
      <c r="H6300">
        <v>-0.01</v>
      </c>
      <c r="I6300">
        <v>0.53</v>
      </c>
      <c r="J6300">
        <v>0.28089999999999998</v>
      </c>
      <c r="K6300" t="str">
        <f>IFERROR(INDEX(Rosters!$C$2:$C$155,MATCH($B6300,Rosters!$B$2:$B$155,0)),"NA")</f>
        <v>NA</v>
      </c>
      <c r="L6300" t="str">
        <f t="shared" si="294"/>
        <v>NA11TE</v>
      </c>
      <c r="M6300">
        <f>COUNTIF(L$1:L6300,L6300)</f>
        <v>54</v>
      </c>
      <c r="N6300" t="str">
        <f t="shared" si="295"/>
        <v>NA11TE-54</v>
      </c>
      <c r="O6300">
        <f>COUNTIFS(F$1:F6300,F6300,A$1:A6300,A6300)</f>
        <v>66</v>
      </c>
      <c r="P6300" t="str">
        <f t="shared" si="296"/>
        <v>Joshua Perkins11</v>
      </c>
    </row>
    <row r="6301" spans="1:16" x14ac:dyDescent="0.25">
      <c r="A6301">
        <v>17</v>
      </c>
      <c r="B6301" t="s">
        <v>1565</v>
      </c>
      <c r="C6301" t="s">
        <v>3867</v>
      </c>
      <c r="D6301">
        <v>0.52</v>
      </c>
      <c r="E6301" t="s">
        <v>30</v>
      </c>
      <c r="F6301" t="s">
        <v>47</v>
      </c>
      <c r="G6301">
        <v>1.04</v>
      </c>
      <c r="H6301">
        <v>0</v>
      </c>
      <c r="I6301">
        <v>0.52</v>
      </c>
      <c r="J6301">
        <v>0.27039999999999997</v>
      </c>
      <c r="K6301" t="str">
        <f>IFERROR(INDEX(Rosters!$C$2:$C$155,MATCH($B6301,Rosters!$B$2:$B$155,0)),"NA")</f>
        <v>NA</v>
      </c>
      <c r="L6301" t="str">
        <f t="shared" si="294"/>
        <v>NA17RB</v>
      </c>
      <c r="M6301">
        <f>COUNTIF(L$1:L6301,L6301)</f>
        <v>62</v>
      </c>
      <c r="N6301" t="str">
        <f t="shared" si="295"/>
        <v>NA17RB-62</v>
      </c>
      <c r="O6301">
        <f>COUNTIFS(F$1:F6301,F6301,A$1:A6301,A6301)</f>
        <v>109</v>
      </c>
      <c r="P6301" t="str">
        <f t="shared" si="296"/>
        <v>Justin Davis17</v>
      </c>
    </row>
    <row r="6302" spans="1:16" x14ac:dyDescent="0.25">
      <c r="A6302">
        <v>9</v>
      </c>
      <c r="B6302" t="s">
        <v>2769</v>
      </c>
      <c r="C6302">
        <f>-0.01-1.05</f>
        <v>-1.06</v>
      </c>
      <c r="D6302">
        <v>0.52</v>
      </c>
      <c r="E6302" t="s">
        <v>46</v>
      </c>
      <c r="F6302" t="s">
        <v>47</v>
      </c>
      <c r="G6302">
        <v>1.05</v>
      </c>
      <c r="H6302">
        <v>-0.01</v>
      </c>
      <c r="I6302">
        <v>0.53</v>
      </c>
      <c r="J6302">
        <v>0.28089999999999998</v>
      </c>
      <c r="K6302" t="str">
        <f>IFERROR(INDEX(Rosters!$C$2:$C$155,MATCH($B6302,Rosters!$B$2:$B$155,0)),"NA")</f>
        <v>NA</v>
      </c>
      <c r="L6302" t="str">
        <f t="shared" si="294"/>
        <v>NA9RB</v>
      </c>
      <c r="M6302">
        <f>COUNTIF(L$1:L6302,L6302)</f>
        <v>49</v>
      </c>
      <c r="N6302" t="str">
        <f t="shared" si="295"/>
        <v>NA9RB-49</v>
      </c>
      <c r="O6302">
        <f>COUNTIFS(F$1:F6302,F6302,A$1:A6302,A6302)</f>
        <v>89</v>
      </c>
      <c r="P6302" t="str">
        <f t="shared" si="296"/>
        <v>Kapri Bibbs9</v>
      </c>
    </row>
    <row r="6303" spans="1:16" x14ac:dyDescent="0.25">
      <c r="A6303">
        <v>14</v>
      </c>
      <c r="B6303" t="s">
        <v>2769</v>
      </c>
      <c r="C6303">
        <f>-0.01-1.05</f>
        <v>-1.06</v>
      </c>
      <c r="D6303">
        <v>0.52</v>
      </c>
      <c r="E6303" t="s">
        <v>54</v>
      </c>
      <c r="F6303" t="s">
        <v>47</v>
      </c>
      <c r="G6303">
        <v>1.05</v>
      </c>
      <c r="H6303">
        <v>-0.01</v>
      </c>
      <c r="I6303">
        <v>0.53</v>
      </c>
      <c r="J6303">
        <v>0.28089999999999998</v>
      </c>
      <c r="K6303" t="str">
        <f>IFERROR(INDEX(Rosters!$C$2:$C$155,MATCH($B6303,Rosters!$B$2:$B$155,0)),"NA")</f>
        <v>NA</v>
      </c>
      <c r="L6303" t="str">
        <f t="shared" si="294"/>
        <v>NA14RB</v>
      </c>
      <c r="M6303">
        <f>COUNTIF(L$1:L6303,L6303)</f>
        <v>64</v>
      </c>
      <c r="N6303" t="str">
        <f t="shared" si="295"/>
        <v>NA14RB-64</v>
      </c>
      <c r="O6303">
        <f>COUNTIFS(F$1:F6303,F6303,A$1:A6303,A6303)</f>
        <v>111</v>
      </c>
      <c r="P6303" t="str">
        <f t="shared" si="296"/>
        <v>Kapri Bibbs14</v>
      </c>
    </row>
    <row r="6304" spans="1:16" x14ac:dyDescent="0.25">
      <c r="A6304">
        <v>3</v>
      </c>
      <c r="B6304" t="s">
        <v>198</v>
      </c>
      <c r="C6304">
        <f>-0.18-1.22</f>
        <v>-1.4</v>
      </c>
      <c r="D6304">
        <v>0.52</v>
      </c>
      <c r="E6304" t="s">
        <v>58</v>
      </c>
      <c r="F6304" t="s">
        <v>87</v>
      </c>
      <c r="G6304">
        <v>1.22</v>
      </c>
      <c r="H6304">
        <v>-0.18</v>
      </c>
      <c r="I6304">
        <v>0.7</v>
      </c>
      <c r="J6304">
        <v>0.49</v>
      </c>
      <c r="K6304" t="str">
        <f>IFERROR(INDEX(Rosters!$C$2:$C$155,MATCH($B6304,Rosters!$B$2:$B$155,0)),"NA")</f>
        <v>NA</v>
      </c>
      <c r="L6304" t="str">
        <f t="shared" si="294"/>
        <v>NA3WR</v>
      </c>
      <c r="M6304">
        <f>COUNTIF(L$1:L6304,L6304)</f>
        <v>83</v>
      </c>
      <c r="N6304" t="str">
        <f t="shared" si="295"/>
        <v>NA3WR-83</v>
      </c>
      <c r="O6304">
        <f>COUNTIFS(F$1:F6304,F6304,A$1:A6304,A6304)</f>
        <v>132</v>
      </c>
      <c r="P6304" t="str">
        <f t="shared" si="296"/>
        <v>Kevin White3</v>
      </c>
    </row>
    <row r="6305" spans="1:16" x14ac:dyDescent="0.25">
      <c r="A6305">
        <v>17</v>
      </c>
      <c r="B6305" t="s">
        <v>4215</v>
      </c>
      <c r="C6305">
        <f>-0.02-1.06</f>
        <v>-1.08</v>
      </c>
      <c r="D6305">
        <v>0.52</v>
      </c>
      <c r="E6305" t="s">
        <v>51</v>
      </c>
      <c r="F6305" t="s">
        <v>47</v>
      </c>
      <c r="G6305">
        <v>1.06</v>
      </c>
      <c r="H6305">
        <v>-0.02</v>
      </c>
      <c r="I6305">
        <v>0.54</v>
      </c>
      <c r="J6305">
        <v>0.29160000000000003</v>
      </c>
      <c r="K6305" t="str">
        <f>IFERROR(INDEX(Rosters!$C$2:$C$155,MATCH($B6305,Rosters!$B$2:$B$155,0)),"NA")</f>
        <v>NA</v>
      </c>
      <c r="L6305" t="str">
        <f t="shared" si="294"/>
        <v>NA17RB</v>
      </c>
      <c r="M6305">
        <f>COUNTIF(L$1:L6305,L6305)</f>
        <v>63</v>
      </c>
      <c r="N6305" t="str">
        <f t="shared" si="295"/>
        <v>NA17RB-63</v>
      </c>
      <c r="O6305">
        <f>COUNTIFS(F$1:F6305,F6305,A$1:A6305,A6305)</f>
        <v>110</v>
      </c>
      <c r="P6305" t="str">
        <f t="shared" si="296"/>
        <v>Mark Walton17</v>
      </c>
    </row>
    <row r="6306" spans="1:16" x14ac:dyDescent="0.25">
      <c r="A6306">
        <v>5</v>
      </c>
      <c r="B6306" t="s">
        <v>345</v>
      </c>
      <c r="C6306">
        <f>-0.02-1.06</f>
        <v>-1.08</v>
      </c>
      <c r="D6306">
        <v>0.52</v>
      </c>
      <c r="E6306" t="s">
        <v>51</v>
      </c>
      <c r="F6306" t="s">
        <v>15</v>
      </c>
      <c r="G6306">
        <v>1.06</v>
      </c>
      <c r="H6306">
        <v>-0.02</v>
      </c>
      <c r="I6306">
        <v>0.54</v>
      </c>
      <c r="J6306">
        <v>0.29160000000000003</v>
      </c>
      <c r="K6306" t="str">
        <f>IFERROR(INDEX(Rosters!$C$2:$C$155,MATCH($B6306,Rosters!$B$2:$B$155,0)),"NA")</f>
        <v>NA</v>
      </c>
      <c r="L6306" t="str">
        <f t="shared" si="294"/>
        <v>NA5QB</v>
      </c>
      <c r="M6306">
        <f>COUNTIF(L$1:L6306,L6306)</f>
        <v>35</v>
      </c>
      <c r="N6306" t="str">
        <f t="shared" si="295"/>
        <v>NA5QB-35</v>
      </c>
      <c r="O6306">
        <f>COUNTIFS(F$1:F6306,F6306,A$1:A6306,A6306)</f>
        <v>52</v>
      </c>
      <c r="P6306" t="str">
        <f t="shared" si="296"/>
        <v>Matt Schaub5</v>
      </c>
    </row>
    <row r="6307" spans="1:16" x14ac:dyDescent="0.25">
      <c r="A6307">
        <v>7</v>
      </c>
      <c r="B6307" t="s">
        <v>2921</v>
      </c>
      <c r="C6307">
        <f>-0.07-1.11</f>
        <v>-1.1800000000000002</v>
      </c>
      <c r="D6307">
        <v>0.52</v>
      </c>
      <c r="E6307" t="s">
        <v>22</v>
      </c>
      <c r="F6307" t="s">
        <v>87</v>
      </c>
      <c r="G6307">
        <v>1.1100000000000001</v>
      </c>
      <c r="H6307">
        <v>-7.0000000000000007E-2</v>
      </c>
      <c r="I6307">
        <v>0.59</v>
      </c>
      <c r="J6307">
        <v>0.34810000000000002</v>
      </c>
      <c r="K6307" t="str">
        <f>IFERROR(INDEX(Rosters!$C$2:$C$155,MATCH($B6307,Rosters!$B$2:$B$155,0)),"NA")</f>
        <v>NA</v>
      </c>
      <c r="L6307" t="str">
        <f t="shared" si="294"/>
        <v>NA7WR</v>
      </c>
      <c r="M6307">
        <f>COUNTIF(L$1:L6307,L6307)</f>
        <v>96</v>
      </c>
      <c r="N6307" t="str">
        <f t="shared" si="295"/>
        <v>NA7WR-96</v>
      </c>
      <c r="O6307">
        <f>COUNTIFS(F$1:F6307,F6307,A$1:A6307,A6307)</f>
        <v>141</v>
      </c>
      <c r="P6307" t="str">
        <f t="shared" si="296"/>
        <v>Michael Floyd7</v>
      </c>
    </row>
    <row r="6308" spans="1:16" x14ac:dyDescent="0.25">
      <c r="A6308">
        <v>11</v>
      </c>
      <c r="B6308" t="s">
        <v>1584</v>
      </c>
      <c r="C6308">
        <f>-0.06-1.1</f>
        <v>-1.1600000000000001</v>
      </c>
      <c r="D6308">
        <v>0.52</v>
      </c>
      <c r="E6308" t="s">
        <v>66</v>
      </c>
      <c r="F6308" t="s">
        <v>114</v>
      </c>
      <c r="G6308">
        <v>1.1000000000000001</v>
      </c>
      <c r="H6308">
        <v>-0.06</v>
      </c>
      <c r="I6308">
        <v>0.57999999999999996</v>
      </c>
      <c r="J6308">
        <v>0.33639999999999998</v>
      </c>
      <c r="K6308" t="str">
        <f>IFERROR(INDEX(Rosters!$C$2:$C$155,MATCH($B6308,Rosters!$B$2:$B$155,0)),"NA")</f>
        <v>NA</v>
      </c>
      <c r="L6308" t="str">
        <f t="shared" si="294"/>
        <v>NA11TE</v>
      </c>
      <c r="M6308">
        <f>COUNTIF(L$1:L6308,L6308)</f>
        <v>55</v>
      </c>
      <c r="N6308" t="str">
        <f t="shared" si="295"/>
        <v>NA11TE-55</v>
      </c>
      <c r="O6308">
        <f>COUNTIFS(F$1:F6308,F6308,A$1:A6308,A6308)</f>
        <v>67</v>
      </c>
      <c r="P6308" t="str">
        <f t="shared" si="296"/>
        <v>MyCole Pruitt11</v>
      </c>
    </row>
    <row r="6309" spans="1:16" x14ac:dyDescent="0.25">
      <c r="A6309">
        <v>2</v>
      </c>
      <c r="B6309" t="s">
        <v>2968</v>
      </c>
      <c r="C6309" t="s">
        <v>3867</v>
      </c>
      <c r="D6309">
        <v>0.52</v>
      </c>
      <c r="E6309" t="s">
        <v>14</v>
      </c>
      <c r="F6309" t="s">
        <v>114</v>
      </c>
      <c r="G6309">
        <v>1.04</v>
      </c>
      <c r="H6309">
        <v>0</v>
      </c>
      <c r="I6309">
        <v>0.52</v>
      </c>
      <c r="J6309">
        <v>0.27039999999999997</v>
      </c>
      <c r="K6309" t="str">
        <f>IFERROR(INDEX(Rosters!$C$2:$C$155,MATCH($B6309,Rosters!$B$2:$B$155,0)),"NA")</f>
        <v>NA</v>
      </c>
      <c r="L6309" t="str">
        <f t="shared" si="294"/>
        <v>NA2TE</v>
      </c>
      <c r="M6309">
        <f>COUNTIF(L$1:L6309,L6309)</f>
        <v>63</v>
      </c>
      <c r="N6309" t="str">
        <f t="shared" si="295"/>
        <v>NA2TE-63</v>
      </c>
      <c r="O6309">
        <f>COUNTIFS(F$1:F6309,F6309,A$1:A6309,A6309)</f>
        <v>76</v>
      </c>
      <c r="P6309" t="str">
        <f t="shared" si="296"/>
        <v>Orson Charles2</v>
      </c>
    </row>
    <row r="6310" spans="1:16" x14ac:dyDescent="0.25">
      <c r="A6310">
        <v>16</v>
      </c>
      <c r="B6310" t="s">
        <v>328</v>
      </c>
      <c r="C6310">
        <f>-0.23-1.27</f>
        <v>-1.5</v>
      </c>
      <c r="D6310">
        <v>0.52</v>
      </c>
      <c r="E6310" t="s">
        <v>423</v>
      </c>
      <c r="F6310" t="s">
        <v>47</v>
      </c>
      <c r="G6310">
        <v>1.27</v>
      </c>
      <c r="H6310">
        <v>-0.23</v>
      </c>
      <c r="I6310">
        <v>0.75</v>
      </c>
      <c r="J6310">
        <v>0.5625</v>
      </c>
      <c r="K6310" t="str">
        <f>IFERROR(INDEX(Rosters!$C$2:$C$155,MATCH($B6310,Rosters!$B$2:$B$155,0)),"NA")</f>
        <v>NA</v>
      </c>
      <c r="L6310" t="str">
        <f t="shared" si="294"/>
        <v>NA16RB</v>
      </c>
      <c r="M6310">
        <f>COUNTIF(L$1:L6310,L6310)</f>
        <v>66</v>
      </c>
      <c r="N6310" t="str">
        <f t="shared" si="295"/>
        <v>NA16RB-66</v>
      </c>
      <c r="O6310">
        <f>COUNTIFS(F$1:F6310,F6310,A$1:A6310,A6310)</f>
        <v>113</v>
      </c>
      <c r="P6310" t="str">
        <f t="shared" si="296"/>
        <v>Patrick DiMarco16</v>
      </c>
    </row>
    <row r="6311" spans="1:16" x14ac:dyDescent="0.25">
      <c r="A6311">
        <v>16</v>
      </c>
      <c r="B6311" t="s">
        <v>295</v>
      </c>
      <c r="C6311">
        <f>-0.06-1.1</f>
        <v>-1.1600000000000001</v>
      </c>
      <c r="D6311">
        <v>0.52</v>
      </c>
      <c r="E6311" t="s">
        <v>36</v>
      </c>
      <c r="F6311" t="s">
        <v>114</v>
      </c>
      <c r="G6311">
        <v>1.1000000000000001</v>
      </c>
      <c r="H6311">
        <v>-0.06</v>
      </c>
      <c r="I6311">
        <v>0.57999999999999996</v>
      </c>
      <c r="J6311">
        <v>0.33639999999999998</v>
      </c>
      <c r="K6311" t="str">
        <f>IFERROR(INDEX(Rosters!$C$2:$C$155,MATCH($B6311,Rosters!$B$2:$B$155,0)),"NA")</f>
        <v>NA</v>
      </c>
      <c r="L6311" t="str">
        <f t="shared" si="294"/>
        <v>NA16TE</v>
      </c>
      <c r="M6311">
        <f>COUNTIF(L$1:L6311,L6311)</f>
        <v>71</v>
      </c>
      <c r="N6311" t="str">
        <f t="shared" si="295"/>
        <v>NA16TE-71</v>
      </c>
      <c r="O6311">
        <f>COUNTIFS(F$1:F6311,F6311,A$1:A6311,A6311)</f>
        <v>85</v>
      </c>
      <c r="P6311" t="str">
        <f t="shared" si="296"/>
        <v>Richard Rodgers16</v>
      </c>
    </row>
    <row r="6312" spans="1:16" x14ac:dyDescent="0.25">
      <c r="A6312">
        <v>3</v>
      </c>
      <c r="B6312" t="s">
        <v>1499</v>
      </c>
      <c r="C6312">
        <f>-0.12-1.16</f>
        <v>-1.2799999999999998</v>
      </c>
      <c r="D6312">
        <v>0.52</v>
      </c>
      <c r="E6312" t="s">
        <v>28</v>
      </c>
      <c r="F6312" t="s">
        <v>114</v>
      </c>
      <c r="G6312">
        <v>1.1599999999999999</v>
      </c>
      <c r="H6312">
        <v>-0.12</v>
      </c>
      <c r="I6312">
        <v>0.64</v>
      </c>
      <c r="J6312">
        <v>0.40960000000000002</v>
      </c>
      <c r="K6312" t="str">
        <f>IFERROR(INDEX(Rosters!$C$2:$C$155,MATCH($B6312,Rosters!$B$2:$B$155,0)),"NA")</f>
        <v>NA</v>
      </c>
      <c r="L6312" t="str">
        <f t="shared" si="294"/>
        <v>NA3TE</v>
      </c>
      <c r="M6312">
        <f>COUNTIF(L$1:L6312,L6312)</f>
        <v>61</v>
      </c>
      <c r="N6312" t="str">
        <f t="shared" si="295"/>
        <v>NA3TE-61</v>
      </c>
      <c r="O6312">
        <f>COUNTIFS(F$1:F6312,F6312,A$1:A6312,A6312)</f>
        <v>74</v>
      </c>
      <c r="P6312" t="str">
        <f t="shared" si="296"/>
        <v>Rico Gathers3</v>
      </c>
    </row>
    <row r="6313" spans="1:16" x14ac:dyDescent="0.25">
      <c r="A6313">
        <v>8</v>
      </c>
      <c r="B6313" t="s">
        <v>1123</v>
      </c>
      <c r="C6313">
        <f>-0.05-1.09</f>
        <v>-1.1400000000000001</v>
      </c>
      <c r="D6313">
        <v>0.52</v>
      </c>
      <c r="E6313" t="s">
        <v>32</v>
      </c>
      <c r="F6313" t="s">
        <v>47</v>
      </c>
      <c r="G6313">
        <v>1.0900000000000001</v>
      </c>
      <c r="H6313">
        <v>-0.05</v>
      </c>
      <c r="I6313">
        <v>0.56999999999999995</v>
      </c>
      <c r="J6313">
        <v>0.32490000000000002</v>
      </c>
      <c r="K6313" t="str">
        <f>IFERROR(INDEX(Rosters!$C$2:$C$155,MATCH($B6313,Rosters!$B$2:$B$155,0)),"NA")</f>
        <v>NA</v>
      </c>
      <c r="L6313" t="str">
        <f t="shared" si="294"/>
        <v>NA8RB</v>
      </c>
      <c r="M6313">
        <f>COUNTIF(L$1:L6313,L6313)</f>
        <v>59</v>
      </c>
      <c r="N6313" t="str">
        <f t="shared" si="295"/>
        <v>NA8RB-59</v>
      </c>
      <c r="O6313">
        <f>COUNTIFS(F$1:F6313,F6313,A$1:A6313,A6313)</f>
        <v>99</v>
      </c>
      <c r="P6313" t="str">
        <f t="shared" si="296"/>
        <v>Robert Turbin8</v>
      </c>
    </row>
    <row r="6314" spans="1:16" x14ac:dyDescent="0.25">
      <c r="A6314">
        <v>8</v>
      </c>
      <c r="B6314" t="s">
        <v>3845</v>
      </c>
      <c r="C6314">
        <f>-0.07-1.11</f>
        <v>-1.1800000000000002</v>
      </c>
      <c r="D6314">
        <v>0.52</v>
      </c>
      <c r="E6314" t="s">
        <v>51</v>
      </c>
      <c r="F6314" t="s">
        <v>87</v>
      </c>
      <c r="G6314">
        <v>1.1100000000000001</v>
      </c>
      <c r="H6314">
        <v>-7.0000000000000007E-2</v>
      </c>
      <c r="I6314">
        <v>0.59</v>
      </c>
      <c r="J6314">
        <v>0.34810000000000002</v>
      </c>
      <c r="K6314" t="str">
        <f>IFERROR(INDEX(Rosters!$C$2:$C$155,MATCH($B6314,Rosters!$B$2:$B$155,0)),"NA")</f>
        <v>NA</v>
      </c>
      <c r="L6314" t="str">
        <f t="shared" si="294"/>
        <v>NA8WR</v>
      </c>
      <c r="M6314">
        <f>COUNTIF(L$1:L6314,L6314)</f>
        <v>92</v>
      </c>
      <c r="N6314" t="str">
        <f t="shared" si="295"/>
        <v>NA8WR-92</v>
      </c>
      <c r="O6314">
        <f>COUNTIFS(F$1:F6314,F6314,A$1:A6314,A6314)</f>
        <v>141</v>
      </c>
      <c r="P6314" t="str">
        <f t="shared" si="296"/>
        <v>Rod Streater8</v>
      </c>
    </row>
    <row r="6315" spans="1:16" x14ac:dyDescent="0.25">
      <c r="A6315">
        <v>11</v>
      </c>
      <c r="B6315" t="s">
        <v>164</v>
      </c>
      <c r="C6315" t="s">
        <v>1610</v>
      </c>
      <c r="D6315">
        <v>0.52</v>
      </c>
      <c r="E6315" t="s">
        <v>36</v>
      </c>
      <c r="F6315" t="s">
        <v>47</v>
      </c>
      <c r="G6315">
        <v>1.03</v>
      </c>
      <c r="H6315">
        <v>0.01</v>
      </c>
      <c r="I6315">
        <v>0.51</v>
      </c>
      <c r="J6315">
        <v>0.2601</v>
      </c>
      <c r="K6315" t="str">
        <f>IFERROR(INDEX(Rosters!$C$2:$C$155,MATCH($B6315,Rosters!$B$2:$B$155,0)),"NA")</f>
        <v>NA</v>
      </c>
      <c r="L6315" t="str">
        <f t="shared" si="294"/>
        <v>NA11RB</v>
      </c>
      <c r="M6315">
        <f>COUNTIF(L$1:L6315,L6315)</f>
        <v>54</v>
      </c>
      <c r="N6315" t="str">
        <f t="shared" si="295"/>
        <v>NA11RB-54</v>
      </c>
      <c r="O6315">
        <f>COUNTIFS(F$1:F6315,F6315,A$1:A6315,A6315)</f>
        <v>92</v>
      </c>
      <c r="P6315" t="str">
        <f t="shared" si="296"/>
        <v>Samaje Perine11</v>
      </c>
    </row>
    <row r="6316" spans="1:16" x14ac:dyDescent="0.25">
      <c r="A6316">
        <v>1</v>
      </c>
      <c r="B6316" t="s">
        <v>337</v>
      </c>
      <c r="C6316">
        <f>-0.17-1.21</f>
        <v>-1.38</v>
      </c>
      <c r="D6316">
        <v>0.52</v>
      </c>
      <c r="E6316" t="s">
        <v>423</v>
      </c>
      <c r="F6316" t="s">
        <v>87</v>
      </c>
      <c r="G6316">
        <v>1.21</v>
      </c>
      <c r="H6316">
        <v>-0.17</v>
      </c>
      <c r="I6316">
        <v>0.69</v>
      </c>
      <c r="J6316">
        <v>0.47610000000000002</v>
      </c>
      <c r="K6316" t="str">
        <f>IFERROR(INDEX(Rosters!$C$2:$C$155,MATCH($B6316,Rosters!$B$2:$B$155,0)),"NA")</f>
        <v>NA</v>
      </c>
      <c r="L6316" t="str">
        <f t="shared" si="294"/>
        <v>NA1WR</v>
      </c>
      <c r="M6316">
        <f>COUNTIF(L$1:L6316,L6316)</f>
        <v>72</v>
      </c>
      <c r="N6316" t="str">
        <f t="shared" si="295"/>
        <v>NA1WR-72</v>
      </c>
      <c r="O6316">
        <f>COUNTIFS(F$1:F6316,F6316,A$1:A6316,A6316)</f>
        <v>121</v>
      </c>
      <c r="P6316" t="str">
        <f t="shared" si="296"/>
        <v>Sammie Coates1</v>
      </c>
    </row>
    <row r="6317" spans="1:16" x14ac:dyDescent="0.25">
      <c r="A6317">
        <v>5</v>
      </c>
      <c r="B6317" t="s">
        <v>4254</v>
      </c>
      <c r="C6317">
        <f>-0.09-1.13</f>
        <v>-1.22</v>
      </c>
      <c r="D6317">
        <v>0.52</v>
      </c>
      <c r="E6317" t="s">
        <v>30</v>
      </c>
      <c r="F6317" t="s">
        <v>47</v>
      </c>
      <c r="G6317">
        <v>1.1299999999999999</v>
      </c>
      <c r="H6317">
        <v>-0.09</v>
      </c>
      <c r="I6317">
        <v>0.61</v>
      </c>
      <c r="J6317">
        <v>0.37209999999999999</v>
      </c>
      <c r="K6317" t="str">
        <f>IFERROR(INDEX(Rosters!$C$2:$C$155,MATCH($B6317,Rosters!$B$2:$B$155,0)),"NA")</f>
        <v>NA</v>
      </c>
      <c r="L6317" t="str">
        <f t="shared" si="294"/>
        <v>NA5RB</v>
      </c>
      <c r="M6317">
        <f>COUNTIF(L$1:L6317,L6317)</f>
        <v>59</v>
      </c>
      <c r="N6317" t="str">
        <f t="shared" si="295"/>
        <v>NA5RB-59</v>
      </c>
      <c r="O6317">
        <f>COUNTIFS(F$1:F6317,F6317,A$1:A6317,A6317)</f>
        <v>102</v>
      </c>
      <c r="P6317" t="str">
        <f t="shared" si="296"/>
        <v>T.J. Logan5</v>
      </c>
    </row>
    <row r="6318" spans="1:16" x14ac:dyDescent="0.25">
      <c r="A6318">
        <v>6</v>
      </c>
      <c r="B6318" t="s">
        <v>2792</v>
      </c>
      <c r="C6318">
        <f>-0.05-1.09</f>
        <v>-1.1400000000000001</v>
      </c>
      <c r="D6318">
        <v>0.52</v>
      </c>
      <c r="E6318" t="s">
        <v>51</v>
      </c>
      <c r="F6318" t="s">
        <v>47</v>
      </c>
      <c r="G6318">
        <v>1.0900000000000001</v>
      </c>
      <c r="H6318">
        <v>-0.05</v>
      </c>
      <c r="I6318">
        <v>0.56999999999999995</v>
      </c>
      <c r="J6318" s="66">
        <v>0.32490000000000002</v>
      </c>
      <c r="K6318" t="str">
        <f>IFERROR(INDEX(Rosters!$C$2:$C$155,MATCH($B6318,Rosters!$B$2:$B$155,0)),"NA")</f>
        <v>NA</v>
      </c>
      <c r="L6318" t="str">
        <f t="shared" si="294"/>
        <v>NA6RB</v>
      </c>
      <c r="M6318">
        <f>COUNTIF(L$1:L6318,L6318)</f>
        <v>59</v>
      </c>
      <c r="N6318" t="str">
        <f t="shared" si="295"/>
        <v>NA6RB-59</v>
      </c>
      <c r="O6318">
        <f>COUNTIFS(F$1:F6318,F6318,A$1:A6318,A6318)</f>
        <v>101</v>
      </c>
      <c r="P6318" t="str">
        <f t="shared" si="296"/>
        <v>Thomas Rawls6</v>
      </c>
    </row>
    <row r="6319" spans="1:16" x14ac:dyDescent="0.25">
      <c r="A6319">
        <v>14</v>
      </c>
      <c r="B6319" t="s">
        <v>2792</v>
      </c>
      <c r="C6319">
        <f>-0.03-1.07</f>
        <v>-1.1000000000000001</v>
      </c>
      <c r="D6319">
        <v>0.52</v>
      </c>
      <c r="E6319" t="s">
        <v>37</v>
      </c>
      <c r="F6319" t="s">
        <v>47</v>
      </c>
      <c r="G6319">
        <v>1.07</v>
      </c>
      <c r="H6319">
        <v>-0.03</v>
      </c>
      <c r="I6319">
        <v>0.55000000000000004</v>
      </c>
      <c r="J6319" s="66">
        <v>0.30249999999999999</v>
      </c>
      <c r="K6319" t="str">
        <f>IFERROR(INDEX(Rosters!$C$2:$C$155,MATCH($B6319,Rosters!$B$2:$B$155,0)),"NA")</f>
        <v>NA</v>
      </c>
      <c r="L6319" t="str">
        <f t="shared" si="294"/>
        <v>NA14RB</v>
      </c>
      <c r="M6319">
        <f>COUNTIF(L$1:L6319,L6319)</f>
        <v>65</v>
      </c>
      <c r="N6319" t="str">
        <f t="shared" si="295"/>
        <v>NA14RB-65</v>
      </c>
      <c r="O6319">
        <f>COUNTIFS(F$1:F6319,F6319,A$1:A6319,A6319)</f>
        <v>112</v>
      </c>
      <c r="P6319" t="str">
        <f t="shared" si="296"/>
        <v>Thomas Rawls14</v>
      </c>
    </row>
    <row r="6320" spans="1:16" x14ac:dyDescent="0.25">
      <c r="A6320">
        <v>15</v>
      </c>
      <c r="B6320" t="s">
        <v>2792</v>
      </c>
      <c r="C6320" t="s">
        <v>802</v>
      </c>
      <c r="D6320">
        <v>0.52</v>
      </c>
      <c r="E6320" t="s">
        <v>32</v>
      </c>
      <c r="F6320" t="s">
        <v>47</v>
      </c>
      <c r="G6320">
        <v>1</v>
      </c>
      <c r="H6320">
        <v>0.04</v>
      </c>
      <c r="I6320">
        <v>0.48</v>
      </c>
      <c r="J6320">
        <v>0.23039999999999999</v>
      </c>
      <c r="K6320" t="str">
        <f>IFERROR(INDEX(Rosters!$C$2:$C$155,MATCH($B6320,Rosters!$B$2:$B$155,0)),"NA")</f>
        <v>NA</v>
      </c>
      <c r="L6320" t="str">
        <f t="shared" si="294"/>
        <v>NA15RB</v>
      </c>
      <c r="M6320">
        <f>COUNTIF(L$1:L6320,L6320)</f>
        <v>66</v>
      </c>
      <c r="N6320" t="str">
        <f t="shared" si="295"/>
        <v>NA15RB-66</v>
      </c>
      <c r="O6320">
        <f>COUNTIFS(F$1:F6320,F6320,A$1:A6320,A6320)</f>
        <v>113</v>
      </c>
      <c r="P6320" t="str">
        <f t="shared" si="296"/>
        <v>Thomas Rawls15</v>
      </c>
    </row>
    <row r="6321" spans="1:16" x14ac:dyDescent="0.25">
      <c r="A6321">
        <v>2</v>
      </c>
      <c r="B6321" t="s">
        <v>4258</v>
      </c>
      <c r="C6321">
        <f>-0.06-1.1</f>
        <v>-1.1600000000000001</v>
      </c>
      <c r="D6321">
        <v>0.52</v>
      </c>
      <c r="E6321" t="s">
        <v>32</v>
      </c>
      <c r="F6321" t="s">
        <v>87</v>
      </c>
      <c r="G6321">
        <v>1.1000000000000001</v>
      </c>
      <c r="H6321">
        <v>-0.06</v>
      </c>
      <c r="I6321">
        <v>0.57999999999999996</v>
      </c>
      <c r="J6321">
        <v>0.33639999999999998</v>
      </c>
      <c r="K6321" t="str">
        <f>IFERROR(INDEX(Rosters!$C$2:$C$155,MATCH($B6321,Rosters!$B$2:$B$155,0)),"NA")</f>
        <v>NA</v>
      </c>
      <c r="L6321" t="str">
        <f t="shared" si="294"/>
        <v>NA2WR</v>
      </c>
      <c r="M6321">
        <f>COUNTIF(L$1:L6321,L6321)</f>
        <v>75</v>
      </c>
      <c r="N6321" t="str">
        <f t="shared" si="295"/>
        <v>NA2WR-75</v>
      </c>
      <c r="O6321">
        <f>COUNTIFS(F$1:F6321,F6321,A$1:A6321,A6321)</f>
        <v>124</v>
      </c>
      <c r="P6321" t="str">
        <f t="shared" si="296"/>
        <v>Tim Patrick2</v>
      </c>
    </row>
    <row r="6322" spans="1:16" x14ac:dyDescent="0.25">
      <c r="A6322">
        <v>17</v>
      </c>
      <c r="B6322" t="s">
        <v>4258</v>
      </c>
      <c r="C6322">
        <f>-0.01-1.05</f>
        <v>-1.06</v>
      </c>
      <c r="D6322">
        <v>0.52</v>
      </c>
      <c r="E6322" t="s">
        <v>37</v>
      </c>
      <c r="F6322" t="s">
        <v>87</v>
      </c>
      <c r="G6322">
        <v>1.05</v>
      </c>
      <c r="H6322">
        <v>-0.01</v>
      </c>
      <c r="I6322">
        <v>0.53</v>
      </c>
      <c r="J6322">
        <v>0.28089999999999998</v>
      </c>
      <c r="K6322" t="str">
        <f>IFERROR(INDEX(Rosters!$C$2:$C$155,MATCH($B6322,Rosters!$B$2:$B$155,0)),"NA")</f>
        <v>NA</v>
      </c>
      <c r="L6322" t="str">
        <f t="shared" si="294"/>
        <v>NA17WR</v>
      </c>
      <c r="M6322">
        <f>COUNTIF(L$1:L6322,L6322)</f>
        <v>113</v>
      </c>
      <c r="N6322" t="str">
        <f t="shared" si="295"/>
        <v>NA17WR-113</v>
      </c>
      <c r="O6322">
        <f>COUNTIFS(F$1:F6322,F6322,A$1:A6322,A6322)</f>
        <v>167</v>
      </c>
      <c r="P6322" t="str">
        <f t="shared" si="296"/>
        <v>Tim Patrick17</v>
      </c>
    </row>
    <row r="6323" spans="1:16" x14ac:dyDescent="0.25">
      <c r="A6323">
        <v>16</v>
      </c>
      <c r="B6323" t="s">
        <v>4223</v>
      </c>
      <c r="C6323">
        <f>-0.01-1.05</f>
        <v>-1.06</v>
      </c>
      <c r="D6323">
        <v>0.52</v>
      </c>
      <c r="E6323" t="s">
        <v>41</v>
      </c>
      <c r="F6323" t="s">
        <v>47</v>
      </c>
      <c r="G6323">
        <v>1.05</v>
      </c>
      <c r="H6323">
        <v>-0.01</v>
      </c>
      <c r="I6323">
        <v>0.53</v>
      </c>
      <c r="J6323">
        <v>0.28089999999999998</v>
      </c>
      <c r="K6323" t="str">
        <f>IFERROR(INDEX(Rosters!$C$2:$C$155,MATCH($B6323,Rosters!$B$2:$B$155,0)),"NA")</f>
        <v>NA</v>
      </c>
      <c r="L6323" t="str">
        <f t="shared" si="294"/>
        <v>NA16RB</v>
      </c>
      <c r="M6323">
        <f>COUNTIF(L$1:L6323,L6323)</f>
        <v>67</v>
      </c>
      <c r="N6323" t="str">
        <f t="shared" si="295"/>
        <v>NA16RB-67</v>
      </c>
      <c r="O6323">
        <f>COUNTIFS(F$1:F6323,F6323,A$1:A6323,A6323)</f>
        <v>114</v>
      </c>
      <c r="P6323" t="str">
        <f t="shared" si="296"/>
        <v>Trenton Cannon16</v>
      </c>
    </row>
    <row r="6324" spans="1:16" x14ac:dyDescent="0.25">
      <c r="A6324">
        <v>10</v>
      </c>
      <c r="B6324" t="s">
        <v>1566</v>
      </c>
      <c r="C6324" t="s">
        <v>3867</v>
      </c>
      <c r="D6324">
        <v>0.52</v>
      </c>
      <c r="E6324" t="s">
        <v>54</v>
      </c>
      <c r="F6324" t="s">
        <v>87</v>
      </c>
      <c r="G6324">
        <v>1.04</v>
      </c>
      <c r="H6324">
        <v>0</v>
      </c>
      <c r="I6324">
        <v>0.52</v>
      </c>
      <c r="J6324">
        <v>0.27039999999999997</v>
      </c>
      <c r="K6324" t="str">
        <f>IFERROR(INDEX(Rosters!$C$2:$C$155,MATCH($B6324,Rosters!$B$2:$B$155,0)),"NA")</f>
        <v>NA</v>
      </c>
      <c r="L6324" t="str">
        <f t="shared" si="294"/>
        <v>NA10WR</v>
      </c>
      <c r="M6324">
        <f>COUNTIF(L$1:L6324,L6324)</f>
        <v>100</v>
      </c>
      <c r="N6324" t="str">
        <f t="shared" si="295"/>
        <v>NA10WR-100</v>
      </c>
      <c r="O6324">
        <f>COUNTIFS(F$1:F6324,F6324,A$1:A6324,A6324)</f>
        <v>145</v>
      </c>
      <c r="P6324" t="str">
        <f t="shared" si="296"/>
        <v>Victor Bolden Jr.10</v>
      </c>
    </row>
    <row r="6325" spans="1:16" x14ac:dyDescent="0.25">
      <c r="A6325">
        <v>14</v>
      </c>
      <c r="B6325" t="s">
        <v>4245</v>
      </c>
      <c r="C6325" t="s">
        <v>1611</v>
      </c>
      <c r="D6325">
        <v>0.52</v>
      </c>
      <c r="E6325" t="s">
        <v>66</v>
      </c>
      <c r="F6325" t="s">
        <v>87</v>
      </c>
      <c r="G6325">
        <v>1.01</v>
      </c>
      <c r="H6325">
        <v>0.03</v>
      </c>
      <c r="I6325">
        <v>0.49</v>
      </c>
      <c r="J6325">
        <v>0.24010000000000001</v>
      </c>
      <c r="K6325" t="str">
        <f>IFERROR(INDEX(Rosters!$C$2:$C$155,MATCH($B6325,Rosters!$B$2:$B$155,0)),"NA")</f>
        <v>NA</v>
      </c>
      <c r="L6325" t="str">
        <f t="shared" si="294"/>
        <v>NA14WR</v>
      </c>
      <c r="M6325">
        <f>COUNTIF(L$1:L6325,L6325)</f>
        <v>107</v>
      </c>
      <c r="N6325" t="str">
        <f t="shared" si="295"/>
        <v>NA14WR-107</v>
      </c>
      <c r="O6325">
        <f>COUNTIFS(F$1:F6325,F6325,A$1:A6325,A6325)</f>
        <v>161</v>
      </c>
      <c r="P6325" t="str">
        <f t="shared" si="296"/>
        <v>Vyncint Smith14</v>
      </c>
    </row>
    <row r="6326" spans="1:16" x14ac:dyDescent="0.25">
      <c r="A6326">
        <v>11</v>
      </c>
      <c r="B6326" t="s">
        <v>4240</v>
      </c>
      <c r="C6326">
        <f>-0.04-1.08</f>
        <v>-1.1200000000000001</v>
      </c>
      <c r="D6326">
        <v>0.52</v>
      </c>
      <c r="E6326" t="s">
        <v>38</v>
      </c>
      <c r="F6326" t="s">
        <v>87</v>
      </c>
      <c r="G6326">
        <v>1.08</v>
      </c>
      <c r="H6326">
        <v>-0.04</v>
      </c>
      <c r="I6326">
        <v>0.56000000000000005</v>
      </c>
      <c r="J6326">
        <v>0.31359999999999999</v>
      </c>
      <c r="K6326" t="str">
        <f>IFERROR(INDEX(Rosters!$C$2:$C$155,MATCH($B6326,Rosters!$B$2:$B$155,0)),"NA")</f>
        <v>NA</v>
      </c>
      <c r="L6326" t="str">
        <f t="shared" si="294"/>
        <v>NA11WR</v>
      </c>
      <c r="M6326">
        <f>COUNTIF(L$1:L6326,L6326)</f>
        <v>86</v>
      </c>
      <c r="N6326" t="str">
        <f t="shared" si="295"/>
        <v>NA11WR-86</v>
      </c>
      <c r="O6326">
        <f>COUNTIFS(F$1:F6326,F6326,A$1:A6326,A6326)</f>
        <v>133</v>
      </c>
      <c r="P6326" t="str">
        <f t="shared" si="296"/>
        <v>Zach Pascal11</v>
      </c>
    </row>
    <row r="6327" spans="1:16" x14ac:dyDescent="0.25">
      <c r="A6327">
        <v>14</v>
      </c>
      <c r="B6327" t="s">
        <v>1488</v>
      </c>
      <c r="C6327">
        <f>-0.07-1.09</f>
        <v>-1.1600000000000001</v>
      </c>
      <c r="D6327">
        <v>0.51</v>
      </c>
      <c r="E6327" t="s">
        <v>56</v>
      </c>
      <c r="F6327" t="s">
        <v>114</v>
      </c>
      <c r="G6327">
        <v>1.0900000000000001</v>
      </c>
      <c r="H6327">
        <v>-7.0000000000000007E-2</v>
      </c>
      <c r="I6327">
        <v>0.57999999999999996</v>
      </c>
      <c r="J6327">
        <v>0.33639999999999998</v>
      </c>
      <c r="K6327" t="str">
        <f>IFERROR(INDEX(Rosters!$C$2:$C$155,MATCH($B6327,Rosters!$B$2:$B$155,0)),"NA")</f>
        <v>NA</v>
      </c>
      <c r="L6327" t="str">
        <f t="shared" si="294"/>
        <v>NA14TE</v>
      </c>
      <c r="M6327">
        <f>COUNTIF(L$1:L6327,L6327)</f>
        <v>73</v>
      </c>
      <c r="N6327" t="str">
        <f t="shared" si="295"/>
        <v>NA14TE-73</v>
      </c>
      <c r="O6327">
        <f>COUNTIFS(F$1:F6327,F6327,A$1:A6327,A6327)</f>
        <v>87</v>
      </c>
      <c r="P6327" t="str">
        <f t="shared" si="296"/>
        <v>Adam Shaheen14</v>
      </c>
    </row>
    <row r="6328" spans="1:16" x14ac:dyDescent="0.25">
      <c r="A6328">
        <v>12</v>
      </c>
      <c r="B6328" t="s">
        <v>1129</v>
      </c>
      <c r="C6328" t="s">
        <v>370</v>
      </c>
      <c r="D6328">
        <v>0.51</v>
      </c>
      <c r="E6328" t="s">
        <v>30</v>
      </c>
      <c r="F6328" t="s">
        <v>114</v>
      </c>
      <c r="G6328">
        <v>0.98</v>
      </c>
      <c r="H6328">
        <v>0.04</v>
      </c>
      <c r="I6328">
        <v>0.47</v>
      </c>
      <c r="J6328">
        <v>0.22090000000000001</v>
      </c>
      <c r="K6328" t="str">
        <f>IFERROR(INDEX(Rosters!$C$2:$C$155,MATCH($B6328,Rosters!$B$2:$B$155,0)),"NA")</f>
        <v>NA</v>
      </c>
      <c r="L6328" t="str">
        <f t="shared" si="294"/>
        <v>NA12TE</v>
      </c>
      <c r="M6328">
        <f>COUNTIF(L$1:L6328,L6328)</f>
        <v>69</v>
      </c>
      <c r="N6328" t="str">
        <f t="shared" si="295"/>
        <v>NA12TE-69</v>
      </c>
      <c r="O6328">
        <f>COUNTIFS(F$1:F6328,F6328,A$1:A6328,A6328)</f>
        <v>82</v>
      </c>
      <c r="P6328" t="str">
        <f t="shared" si="296"/>
        <v>Alan Cross12</v>
      </c>
    </row>
    <row r="6329" spans="1:16" x14ac:dyDescent="0.25">
      <c r="A6329">
        <v>14</v>
      </c>
      <c r="B6329" t="s">
        <v>1129</v>
      </c>
      <c r="C6329" t="s">
        <v>1144</v>
      </c>
      <c r="D6329">
        <v>0.51</v>
      </c>
      <c r="E6329" t="s">
        <v>14</v>
      </c>
      <c r="F6329" t="s">
        <v>114</v>
      </c>
      <c r="G6329">
        <v>0.97</v>
      </c>
      <c r="H6329">
        <v>0.05</v>
      </c>
      <c r="I6329">
        <v>0.46</v>
      </c>
      <c r="J6329">
        <v>0.21160000000000001</v>
      </c>
      <c r="K6329" t="str">
        <f>IFERROR(INDEX(Rosters!$C$2:$C$155,MATCH($B6329,Rosters!$B$2:$B$155,0)),"NA")</f>
        <v>NA</v>
      </c>
      <c r="L6329" t="str">
        <f t="shared" si="294"/>
        <v>NA14TE</v>
      </c>
      <c r="M6329">
        <f>COUNTIF(L$1:L6329,L6329)</f>
        <v>74</v>
      </c>
      <c r="N6329" t="str">
        <f t="shared" si="295"/>
        <v>NA14TE-74</v>
      </c>
      <c r="O6329">
        <f>COUNTIFS(F$1:F6329,F6329,A$1:A6329,A6329)</f>
        <v>88</v>
      </c>
      <c r="P6329" t="str">
        <f t="shared" si="296"/>
        <v>Alan Cross14</v>
      </c>
    </row>
    <row r="6330" spans="1:16" x14ac:dyDescent="0.25">
      <c r="A6330">
        <v>11</v>
      </c>
      <c r="B6330" t="s">
        <v>346</v>
      </c>
      <c r="C6330">
        <f>-0.26-1.28</f>
        <v>-1.54</v>
      </c>
      <c r="D6330">
        <v>0.51</v>
      </c>
      <c r="E6330" t="s">
        <v>77</v>
      </c>
      <c r="F6330" t="s">
        <v>87</v>
      </c>
      <c r="G6330">
        <v>1.28</v>
      </c>
      <c r="H6330">
        <v>-0.26</v>
      </c>
      <c r="I6330">
        <v>0.77</v>
      </c>
      <c r="J6330">
        <v>0.59289999999999998</v>
      </c>
      <c r="K6330" t="str">
        <f>IFERROR(INDEX(Rosters!$C$2:$C$155,MATCH($B6330,Rosters!$B$2:$B$155,0)),"NA")</f>
        <v>NA</v>
      </c>
      <c r="L6330" t="str">
        <f t="shared" si="294"/>
        <v>NA11WR</v>
      </c>
      <c r="M6330">
        <f>COUNTIF(L$1:L6330,L6330)</f>
        <v>87</v>
      </c>
      <c r="N6330" t="str">
        <f t="shared" si="295"/>
        <v>NA11WR-87</v>
      </c>
      <c r="O6330">
        <f>COUNTIFS(F$1:F6330,F6330,A$1:A6330,A6330)</f>
        <v>134</v>
      </c>
      <c r="P6330" t="str">
        <f t="shared" si="296"/>
        <v>Alex Erickson11</v>
      </c>
    </row>
    <row r="6331" spans="1:16" x14ac:dyDescent="0.25">
      <c r="A6331">
        <v>1</v>
      </c>
      <c r="B6331" t="s">
        <v>1572</v>
      </c>
      <c r="C6331" t="s">
        <v>1612</v>
      </c>
      <c r="D6331">
        <v>0.51</v>
      </c>
      <c r="E6331" t="s">
        <v>73</v>
      </c>
      <c r="F6331" t="s">
        <v>87</v>
      </c>
      <c r="G6331">
        <v>1</v>
      </c>
      <c r="H6331">
        <v>0.02</v>
      </c>
      <c r="I6331">
        <v>0.49</v>
      </c>
      <c r="J6331">
        <v>0.24010000000000001</v>
      </c>
      <c r="K6331" t="str">
        <f>IFERROR(INDEX(Rosters!$C$2:$C$155,MATCH($B6331,Rosters!$B$2:$B$155,0)),"NA")</f>
        <v>NA</v>
      </c>
      <c r="L6331" t="str">
        <f t="shared" si="294"/>
        <v>NA1WR</v>
      </c>
      <c r="M6331">
        <f>COUNTIF(L$1:L6331,L6331)</f>
        <v>73</v>
      </c>
      <c r="N6331" t="str">
        <f t="shared" si="295"/>
        <v>NA1WR-73</v>
      </c>
      <c r="O6331">
        <f>COUNTIFS(F$1:F6331,F6331,A$1:A6331,A6331)</f>
        <v>122</v>
      </c>
      <c r="P6331" t="str">
        <f t="shared" si="296"/>
        <v>Andy Jones1</v>
      </c>
    </row>
    <row r="6332" spans="1:16" x14ac:dyDescent="0.25">
      <c r="A6332">
        <v>8</v>
      </c>
      <c r="B6332" t="s">
        <v>385</v>
      </c>
      <c r="C6332">
        <f>-0.07-1.09</f>
        <v>-1.1600000000000001</v>
      </c>
      <c r="D6332">
        <v>0.51</v>
      </c>
      <c r="E6332" t="s">
        <v>42</v>
      </c>
      <c r="F6332" t="s">
        <v>47</v>
      </c>
      <c r="G6332">
        <v>1.0900000000000001</v>
      </c>
      <c r="H6332">
        <v>-7.0000000000000007E-2</v>
      </c>
      <c r="I6332">
        <v>0.57999999999999996</v>
      </c>
      <c r="J6332" s="66">
        <v>0.33639999999999998</v>
      </c>
      <c r="K6332" t="str">
        <f>IFERROR(INDEX(Rosters!$C$2:$C$155,MATCH($B6332,Rosters!$B$2:$B$155,0)),"NA")</f>
        <v>NA</v>
      </c>
      <c r="L6332" t="str">
        <f t="shared" si="294"/>
        <v>NA8RB</v>
      </c>
      <c r="M6332">
        <f>COUNTIF(L$1:L6332,L6332)</f>
        <v>60</v>
      </c>
      <c r="N6332" t="str">
        <f t="shared" si="295"/>
        <v>NA8RB-60</v>
      </c>
      <c r="O6332">
        <f>COUNTIFS(F$1:F6332,F6332,A$1:A6332,A6332)</f>
        <v>100</v>
      </c>
      <c r="P6332" t="str">
        <f t="shared" si="296"/>
        <v>Anthony Sherman8</v>
      </c>
    </row>
    <row r="6333" spans="1:16" x14ac:dyDescent="0.25">
      <c r="A6333">
        <v>13</v>
      </c>
      <c r="B6333" t="s">
        <v>1542</v>
      </c>
      <c r="C6333" t="s">
        <v>8914</v>
      </c>
      <c r="D6333">
        <v>0.51</v>
      </c>
      <c r="E6333" t="s">
        <v>74</v>
      </c>
      <c r="F6333" t="s">
        <v>114</v>
      </c>
      <c r="G6333">
        <v>0.96</v>
      </c>
      <c r="H6333">
        <v>0.06</v>
      </c>
      <c r="I6333">
        <v>0.45</v>
      </c>
      <c r="J6333" s="66">
        <v>0.20250000000000001</v>
      </c>
      <c r="K6333" t="str">
        <f>IFERROR(INDEX(Rosters!$C$2:$C$155,MATCH($B6333,Rosters!$B$2:$B$155,0)),"NA")</f>
        <v>NA</v>
      </c>
      <c r="L6333" t="str">
        <f t="shared" si="294"/>
        <v>NA13TE</v>
      </c>
      <c r="M6333">
        <f>COUNTIF(L$1:L6333,L6333)</f>
        <v>71</v>
      </c>
      <c r="N6333" t="str">
        <f t="shared" si="295"/>
        <v>NA13TE-71</v>
      </c>
      <c r="O6333">
        <f>COUNTIFS(F$1:F6333,F6333,A$1:A6333,A6333)</f>
        <v>85</v>
      </c>
      <c r="P6333" t="str">
        <f t="shared" si="296"/>
        <v>Antony Auclair13</v>
      </c>
    </row>
    <row r="6334" spans="1:16" x14ac:dyDescent="0.25">
      <c r="A6334">
        <v>16</v>
      </c>
      <c r="B6334" t="s">
        <v>1542</v>
      </c>
      <c r="C6334" t="s">
        <v>1612</v>
      </c>
      <c r="D6334">
        <v>0.51</v>
      </c>
      <c r="E6334" t="s">
        <v>22</v>
      </c>
      <c r="F6334" t="s">
        <v>114</v>
      </c>
      <c r="G6334">
        <v>1</v>
      </c>
      <c r="H6334">
        <v>0.02</v>
      </c>
      <c r="I6334">
        <v>0.49</v>
      </c>
      <c r="J6334">
        <v>0.24010000000000001</v>
      </c>
      <c r="K6334" t="str">
        <f>IFERROR(INDEX(Rosters!$C$2:$C$155,MATCH($B6334,Rosters!$B$2:$B$155,0)),"NA")</f>
        <v>NA</v>
      </c>
      <c r="L6334" t="str">
        <f t="shared" si="294"/>
        <v>NA16TE</v>
      </c>
      <c r="M6334">
        <f>COUNTIF(L$1:L6334,L6334)</f>
        <v>72</v>
      </c>
      <c r="N6334" t="str">
        <f t="shared" si="295"/>
        <v>NA16TE-72</v>
      </c>
      <c r="O6334">
        <f>COUNTIFS(F$1:F6334,F6334,A$1:A6334,A6334)</f>
        <v>86</v>
      </c>
      <c r="P6334" t="str">
        <f t="shared" si="296"/>
        <v>Antony Auclair16</v>
      </c>
    </row>
    <row r="6335" spans="1:16" x14ac:dyDescent="0.25">
      <c r="A6335">
        <v>6</v>
      </c>
      <c r="B6335" t="s">
        <v>1145</v>
      </c>
      <c r="C6335">
        <f>-0.06-1.08</f>
        <v>-1.1400000000000001</v>
      </c>
      <c r="D6335">
        <v>0.51</v>
      </c>
      <c r="E6335" t="s">
        <v>19</v>
      </c>
      <c r="F6335" t="s">
        <v>114</v>
      </c>
      <c r="G6335">
        <v>1.08</v>
      </c>
      <c r="H6335">
        <v>-0.06</v>
      </c>
      <c r="I6335">
        <v>0.56999999999999995</v>
      </c>
      <c r="J6335">
        <v>0.32490000000000002</v>
      </c>
      <c r="K6335" t="str">
        <f>IFERROR(INDEX(Rosters!$C$2:$C$155,MATCH($B6335,Rosters!$B$2:$B$155,0)),"NA")</f>
        <v>NA</v>
      </c>
      <c r="L6335" t="str">
        <f t="shared" si="294"/>
        <v>NA6TE</v>
      </c>
      <c r="M6335">
        <f>COUNTIF(L$1:L6335,L6335)</f>
        <v>62</v>
      </c>
      <c r="N6335" t="str">
        <f t="shared" si="295"/>
        <v>NA6TE-62</v>
      </c>
      <c r="O6335">
        <f>COUNTIFS(F$1:F6335,F6335,A$1:A6335,A6335)</f>
        <v>74</v>
      </c>
      <c r="P6335" t="str">
        <f t="shared" si="296"/>
        <v>Ben Braunecker6</v>
      </c>
    </row>
    <row r="6336" spans="1:16" x14ac:dyDescent="0.25">
      <c r="A6336">
        <v>8</v>
      </c>
      <c r="B6336" t="s">
        <v>1145</v>
      </c>
      <c r="C6336">
        <f>-0.1-1.12</f>
        <v>-1.2200000000000002</v>
      </c>
      <c r="D6336">
        <v>0.51</v>
      </c>
      <c r="E6336" t="s">
        <v>73</v>
      </c>
      <c r="F6336" t="s">
        <v>114</v>
      </c>
      <c r="G6336">
        <v>1.1200000000000001</v>
      </c>
      <c r="H6336">
        <v>-0.1</v>
      </c>
      <c r="I6336">
        <v>0.61</v>
      </c>
      <c r="J6336">
        <v>0.37209999999999999</v>
      </c>
      <c r="K6336" t="str">
        <f>IFERROR(INDEX(Rosters!$C$2:$C$155,MATCH($B6336,Rosters!$B$2:$B$155,0)),"NA")</f>
        <v>NA</v>
      </c>
      <c r="L6336" t="str">
        <f t="shared" si="294"/>
        <v>NA8TE</v>
      </c>
      <c r="M6336">
        <f>COUNTIF(L$1:L6336,L6336)</f>
        <v>59</v>
      </c>
      <c r="N6336" t="str">
        <f t="shared" si="295"/>
        <v>NA8TE-59</v>
      </c>
      <c r="O6336">
        <f>COUNTIFS(F$1:F6336,F6336,A$1:A6336,A6336)</f>
        <v>71</v>
      </c>
      <c r="P6336" t="str">
        <f t="shared" si="296"/>
        <v>Ben Braunecker8</v>
      </c>
    </row>
    <row r="6337" spans="1:16" x14ac:dyDescent="0.25">
      <c r="A6337">
        <v>12</v>
      </c>
      <c r="B6337" t="s">
        <v>3569</v>
      </c>
      <c r="C6337">
        <f>-0.03-1.05</f>
        <v>-1.08</v>
      </c>
      <c r="D6337">
        <v>0.51</v>
      </c>
      <c r="E6337" t="s">
        <v>29</v>
      </c>
      <c r="F6337" t="s">
        <v>47</v>
      </c>
      <c r="G6337">
        <v>1.05</v>
      </c>
      <c r="H6337">
        <v>-0.03</v>
      </c>
      <c r="I6337">
        <v>0.54</v>
      </c>
      <c r="J6337">
        <v>0.29160000000000003</v>
      </c>
      <c r="K6337" t="str">
        <f>IFERROR(INDEX(Rosters!$C$2:$C$155,MATCH($B6337,Rosters!$B$2:$B$155,0)),"NA")</f>
        <v>NA</v>
      </c>
      <c r="L6337" t="str">
        <f t="shared" si="294"/>
        <v>NA12RB</v>
      </c>
      <c r="M6337">
        <f>COUNTIF(L$1:L6337,L6337)</f>
        <v>63</v>
      </c>
      <c r="N6337" t="str">
        <f t="shared" si="295"/>
        <v>NA12RB-63</v>
      </c>
      <c r="O6337">
        <f>COUNTIFS(F$1:F6337,F6337,A$1:A6337,A6337)</f>
        <v>108</v>
      </c>
      <c r="P6337" t="str">
        <f t="shared" si="296"/>
        <v>Brandon Wilds12</v>
      </c>
    </row>
    <row r="6338" spans="1:16" x14ac:dyDescent="0.25">
      <c r="A6338">
        <v>2</v>
      </c>
      <c r="B6338" t="s">
        <v>2947</v>
      </c>
      <c r="C6338">
        <f>-0.11-1.13</f>
        <v>-1.24</v>
      </c>
      <c r="D6338">
        <v>0.51</v>
      </c>
      <c r="E6338" t="s">
        <v>74</v>
      </c>
      <c r="F6338" t="s">
        <v>47</v>
      </c>
      <c r="G6338">
        <v>1.1299999999999999</v>
      </c>
      <c r="H6338">
        <v>-0.11</v>
      </c>
      <c r="I6338">
        <v>0.62</v>
      </c>
      <c r="J6338">
        <v>0.38440000000000002</v>
      </c>
      <c r="K6338" t="str">
        <f>IFERROR(INDEX(Rosters!$C$2:$C$155,MATCH($B6338,Rosters!$B$2:$B$155,0)),"NA")</f>
        <v>NA</v>
      </c>
      <c r="L6338" t="str">
        <f t="shared" si="294"/>
        <v>NA2RB</v>
      </c>
      <c r="M6338">
        <f>COUNTIF(L$1:L6338,L6338)</f>
        <v>49</v>
      </c>
      <c r="N6338" t="str">
        <f t="shared" si="295"/>
        <v>NA2RB-49</v>
      </c>
      <c r="O6338">
        <f>COUNTIFS(F$1:F6338,F6338,A$1:A6338,A6338)</f>
        <v>91</v>
      </c>
      <c r="P6338" t="str">
        <f t="shared" si="296"/>
        <v>Brian Hill2</v>
      </c>
    </row>
    <row r="6339" spans="1:16" x14ac:dyDescent="0.25">
      <c r="A6339">
        <v>14</v>
      </c>
      <c r="B6339" t="s">
        <v>1115</v>
      </c>
      <c r="C6339">
        <f>-0.14-1.16</f>
        <v>-1.2999999999999998</v>
      </c>
      <c r="D6339">
        <v>0.51</v>
      </c>
      <c r="E6339" t="s">
        <v>76</v>
      </c>
      <c r="F6339" t="s">
        <v>87</v>
      </c>
      <c r="G6339">
        <v>1.1599999999999999</v>
      </c>
      <c r="H6339">
        <v>-0.14000000000000001</v>
      </c>
      <c r="I6339">
        <v>0.65</v>
      </c>
      <c r="J6339">
        <v>0.42249999999999999</v>
      </c>
      <c r="K6339" t="str">
        <f>IFERROR(INDEX(Rosters!$C$2:$C$155,MATCH($B6339,Rosters!$B$2:$B$155,0)),"NA")</f>
        <v>NA</v>
      </c>
      <c r="L6339" t="str">
        <f t="shared" ref="L6339:L6402" si="297">K6339&amp;A6339&amp;F6339</f>
        <v>NA14WR</v>
      </c>
      <c r="M6339">
        <f>COUNTIF(L$1:L6339,L6339)</f>
        <v>108</v>
      </c>
      <c r="N6339" t="str">
        <f t="shared" ref="N6339:N6402" si="298">L6339&amp;"-"&amp;M6339</f>
        <v>NA14WR-108</v>
      </c>
      <c r="O6339">
        <f>COUNTIFS(F$1:F6339,F6339,A$1:A6339,A6339)</f>
        <v>162</v>
      </c>
      <c r="P6339" t="str">
        <f t="shared" ref="P6339:P6402" si="299">B6339&amp;A6339</f>
        <v>Darius Jennings14</v>
      </c>
    </row>
    <row r="6340" spans="1:16" x14ac:dyDescent="0.25">
      <c r="A6340">
        <v>15</v>
      </c>
      <c r="B6340" t="s">
        <v>218</v>
      </c>
      <c r="C6340" t="s">
        <v>371</v>
      </c>
      <c r="D6340">
        <v>0.51</v>
      </c>
      <c r="E6340" t="s">
        <v>31</v>
      </c>
      <c r="F6340" t="s">
        <v>47</v>
      </c>
      <c r="G6340">
        <v>1.02</v>
      </c>
      <c r="H6340">
        <v>0</v>
      </c>
      <c r="I6340">
        <v>0.51</v>
      </c>
      <c r="J6340">
        <v>0.2601</v>
      </c>
      <c r="K6340" t="str">
        <f>IFERROR(INDEX(Rosters!$C$2:$C$155,MATCH($B6340,Rosters!$B$2:$B$155,0)),"NA")</f>
        <v>NA</v>
      </c>
      <c r="L6340" t="str">
        <f t="shared" si="297"/>
        <v>NA15RB</v>
      </c>
      <c r="M6340">
        <f>COUNTIF(L$1:L6340,L6340)</f>
        <v>67</v>
      </c>
      <c r="N6340" t="str">
        <f t="shared" si="298"/>
        <v>NA15RB-67</v>
      </c>
      <c r="O6340">
        <f>COUNTIFS(F$1:F6340,F6340,A$1:A6340,A6340)</f>
        <v>114</v>
      </c>
      <c r="P6340" t="str">
        <f t="shared" si="299"/>
        <v>DeAndre Washington15</v>
      </c>
    </row>
    <row r="6341" spans="1:16" x14ac:dyDescent="0.25">
      <c r="A6341">
        <v>17</v>
      </c>
      <c r="B6341" t="s">
        <v>341</v>
      </c>
      <c r="C6341" t="s">
        <v>8915</v>
      </c>
      <c r="D6341">
        <v>0.51</v>
      </c>
      <c r="E6341" t="s">
        <v>32</v>
      </c>
      <c r="F6341" t="s">
        <v>87</v>
      </c>
      <c r="G6341">
        <v>0.95</v>
      </c>
      <c r="H6341">
        <v>7.0000000000000007E-2</v>
      </c>
      <c r="I6341">
        <v>0.44</v>
      </c>
      <c r="J6341">
        <v>0.19359999999999999</v>
      </c>
      <c r="K6341" t="str">
        <f>IFERROR(INDEX(Rosters!$C$2:$C$155,MATCH($B6341,Rosters!$B$2:$B$155,0)),"NA")</f>
        <v>NA</v>
      </c>
      <c r="L6341" t="str">
        <f t="shared" si="297"/>
        <v>NA17WR</v>
      </c>
      <c r="M6341">
        <f>COUNTIF(L$1:L6341,L6341)</f>
        <v>114</v>
      </c>
      <c r="N6341" t="str">
        <f t="shared" si="298"/>
        <v>NA17WR-114</v>
      </c>
      <c r="O6341">
        <f>COUNTIFS(F$1:F6341,F6341,A$1:A6341,A6341)</f>
        <v>168</v>
      </c>
      <c r="P6341" t="str">
        <f t="shared" si="299"/>
        <v>Demarcus Robinson17</v>
      </c>
    </row>
    <row r="6342" spans="1:16" x14ac:dyDescent="0.25">
      <c r="A6342">
        <v>13</v>
      </c>
      <c r="B6342" t="s">
        <v>1607</v>
      </c>
      <c r="C6342">
        <f>-0.11-1.13</f>
        <v>-1.24</v>
      </c>
      <c r="D6342">
        <v>0.51</v>
      </c>
      <c r="E6342" t="s">
        <v>56</v>
      </c>
      <c r="F6342" t="s">
        <v>114</v>
      </c>
      <c r="G6342">
        <v>1.1299999999999999</v>
      </c>
      <c r="H6342">
        <v>-0.11</v>
      </c>
      <c r="I6342">
        <v>0.62</v>
      </c>
      <c r="J6342">
        <v>0.38440000000000002</v>
      </c>
      <c r="K6342" t="str">
        <f>IFERROR(INDEX(Rosters!$C$2:$C$155,MATCH($B6342,Rosters!$B$2:$B$155,0)),"NA")</f>
        <v>NA</v>
      </c>
      <c r="L6342" t="str">
        <f t="shared" si="297"/>
        <v>NA13TE</v>
      </c>
      <c r="M6342">
        <f>COUNTIF(L$1:L6342,L6342)</f>
        <v>72</v>
      </c>
      <c r="N6342" t="str">
        <f t="shared" si="298"/>
        <v>NA13TE-72</v>
      </c>
      <c r="O6342">
        <f>COUNTIFS(F$1:F6342,F6342,A$1:A6342,A6342)</f>
        <v>86</v>
      </c>
      <c r="P6342" t="str">
        <f t="shared" si="299"/>
        <v>Hakeem Valles13</v>
      </c>
    </row>
    <row r="6343" spans="1:16" x14ac:dyDescent="0.25">
      <c r="A6343">
        <v>4</v>
      </c>
      <c r="B6343" t="s">
        <v>4251</v>
      </c>
      <c r="C6343">
        <f>-0.04-1.06</f>
        <v>-1.1000000000000001</v>
      </c>
      <c r="D6343">
        <v>0.51</v>
      </c>
      <c r="E6343" t="s">
        <v>41</v>
      </c>
      <c r="F6343" t="s">
        <v>114</v>
      </c>
      <c r="G6343">
        <v>1.06</v>
      </c>
      <c r="H6343">
        <v>-0.04</v>
      </c>
      <c r="I6343">
        <v>0.55000000000000004</v>
      </c>
      <c r="J6343">
        <v>0.30249999999999999</v>
      </c>
      <c r="K6343" t="str">
        <f>IFERROR(INDEX(Rosters!$C$2:$C$155,MATCH($B6343,Rosters!$B$2:$B$155,0)),"NA")</f>
        <v>NA</v>
      </c>
      <c r="L6343" t="str">
        <f t="shared" si="297"/>
        <v>NA4TE</v>
      </c>
      <c r="M6343">
        <f>COUNTIF(L$1:L6343,L6343)</f>
        <v>58</v>
      </c>
      <c r="N6343" t="str">
        <f t="shared" si="298"/>
        <v>NA4TE-58</v>
      </c>
      <c r="O6343">
        <f>COUNTIFS(F$1:F6343,F6343,A$1:A6343,A6343)</f>
        <v>69</v>
      </c>
      <c r="P6343" t="str">
        <f t="shared" si="299"/>
        <v>Jason Croom4</v>
      </c>
    </row>
    <row r="6344" spans="1:16" x14ac:dyDescent="0.25">
      <c r="A6344">
        <v>7</v>
      </c>
      <c r="B6344" t="s">
        <v>335</v>
      </c>
      <c r="C6344">
        <f>-0.01-1.03</f>
        <v>-1.04</v>
      </c>
      <c r="D6344">
        <v>0.51</v>
      </c>
      <c r="E6344" t="s">
        <v>58</v>
      </c>
      <c r="F6344" t="s">
        <v>87</v>
      </c>
      <c r="G6344">
        <v>1.03</v>
      </c>
      <c r="H6344">
        <v>-0.01</v>
      </c>
      <c r="I6344">
        <v>0.52</v>
      </c>
      <c r="J6344">
        <v>0.27039999999999997</v>
      </c>
      <c r="K6344" t="str">
        <f>IFERROR(INDEX(Rosters!$C$2:$C$155,MATCH($B6344,Rosters!$B$2:$B$155,0)),"NA")</f>
        <v>NA</v>
      </c>
      <c r="L6344" t="str">
        <f t="shared" si="297"/>
        <v>NA7WR</v>
      </c>
      <c r="M6344">
        <f>COUNTIF(L$1:L6344,L6344)</f>
        <v>97</v>
      </c>
      <c r="N6344" t="str">
        <f t="shared" si="298"/>
        <v>NA7WR-97</v>
      </c>
      <c r="O6344">
        <f>COUNTIFS(F$1:F6344,F6344,A$1:A6344,A6344)</f>
        <v>142</v>
      </c>
      <c r="P6344" t="str">
        <f t="shared" si="299"/>
        <v>Jordan Taylor7</v>
      </c>
    </row>
    <row r="6345" spans="1:16" x14ac:dyDescent="0.25">
      <c r="A6345">
        <v>2</v>
      </c>
      <c r="B6345" t="s">
        <v>1593</v>
      </c>
      <c r="C6345">
        <f>-0.05-1.07</f>
        <v>-1.1200000000000001</v>
      </c>
      <c r="D6345">
        <v>0.51</v>
      </c>
      <c r="E6345" t="s">
        <v>58</v>
      </c>
      <c r="F6345" t="s">
        <v>87</v>
      </c>
      <c r="G6345">
        <v>1.07</v>
      </c>
      <c r="H6345">
        <v>-0.05</v>
      </c>
      <c r="I6345">
        <v>0.56000000000000005</v>
      </c>
      <c r="J6345">
        <v>0.31359999999999999</v>
      </c>
      <c r="K6345" t="str">
        <f>IFERROR(INDEX(Rosters!$C$2:$C$155,MATCH($B6345,Rosters!$B$2:$B$155,0)),"NA")</f>
        <v>NA</v>
      </c>
      <c r="L6345" t="str">
        <f t="shared" si="297"/>
        <v>NA2WR</v>
      </c>
      <c r="M6345">
        <f>COUNTIF(L$1:L6345,L6345)</f>
        <v>76</v>
      </c>
      <c r="N6345" t="str">
        <f t="shared" si="298"/>
        <v>NA2WR-76</v>
      </c>
      <c r="O6345">
        <f>COUNTIFS(F$1:F6345,F6345,A$1:A6345,A6345)</f>
        <v>125</v>
      </c>
      <c r="P6345" t="str">
        <f t="shared" si="299"/>
        <v>Josh Reynolds2</v>
      </c>
    </row>
    <row r="6346" spans="1:16" x14ac:dyDescent="0.25">
      <c r="A6346">
        <v>14</v>
      </c>
      <c r="B6346" t="s">
        <v>4252</v>
      </c>
      <c r="C6346">
        <f>-0.03-1.05</f>
        <v>-1.08</v>
      </c>
      <c r="D6346">
        <v>0.51</v>
      </c>
      <c r="E6346" t="s">
        <v>22</v>
      </c>
      <c r="F6346" t="s">
        <v>114</v>
      </c>
      <c r="G6346">
        <v>1.05</v>
      </c>
      <c r="H6346">
        <v>-0.03</v>
      </c>
      <c r="I6346">
        <v>0.54</v>
      </c>
      <c r="J6346" s="66">
        <v>0.29160000000000003</v>
      </c>
      <c r="K6346" t="str">
        <f>IFERROR(INDEX(Rosters!$C$2:$C$155,MATCH($B6346,Rosters!$B$2:$B$155,0)),"NA")</f>
        <v>NA</v>
      </c>
      <c r="L6346" t="str">
        <f t="shared" si="297"/>
        <v>NA14TE</v>
      </c>
      <c r="M6346">
        <f>COUNTIF(L$1:L6346,L6346)</f>
        <v>75</v>
      </c>
      <c r="N6346" t="str">
        <f t="shared" si="298"/>
        <v>NA14TE-75</v>
      </c>
      <c r="O6346">
        <f>COUNTIFS(F$1:F6346,F6346,A$1:A6346,A6346)</f>
        <v>89</v>
      </c>
      <c r="P6346" t="str">
        <f t="shared" si="299"/>
        <v>Joshua Perkins14</v>
      </c>
    </row>
    <row r="6347" spans="1:16" x14ac:dyDescent="0.25">
      <c r="A6347">
        <v>12</v>
      </c>
      <c r="B6347" t="s">
        <v>1473</v>
      </c>
      <c r="C6347">
        <f>-0.01-1.03</f>
        <v>-1.04</v>
      </c>
      <c r="D6347">
        <v>0.51</v>
      </c>
      <c r="E6347" t="s">
        <v>58</v>
      </c>
      <c r="F6347" t="s">
        <v>47</v>
      </c>
      <c r="G6347">
        <v>1.03</v>
      </c>
      <c r="H6347">
        <v>-0.01</v>
      </c>
      <c r="I6347">
        <v>0.52</v>
      </c>
      <c r="J6347" s="66">
        <v>0.27039999999999997</v>
      </c>
      <c r="K6347" t="str">
        <f>IFERROR(INDEX(Rosters!$C$2:$C$155,MATCH($B6347,Rosters!$B$2:$B$155,0)),"NA")</f>
        <v>NA</v>
      </c>
      <c r="L6347" t="str">
        <f t="shared" si="297"/>
        <v>NA12RB</v>
      </c>
      <c r="M6347">
        <f>COUNTIF(L$1:L6347,L6347)</f>
        <v>64</v>
      </c>
      <c r="N6347" t="str">
        <f t="shared" si="298"/>
        <v>NA12RB-64</v>
      </c>
      <c r="O6347">
        <f>COUNTIFS(F$1:F6347,F6347,A$1:A6347,A6347)</f>
        <v>109</v>
      </c>
      <c r="P6347" t="str">
        <f t="shared" si="299"/>
        <v>Justin Jackson12</v>
      </c>
    </row>
    <row r="6348" spans="1:16" x14ac:dyDescent="0.25">
      <c r="A6348">
        <v>7</v>
      </c>
      <c r="B6348" t="s">
        <v>2769</v>
      </c>
      <c r="C6348">
        <f>-0.04-1.06</f>
        <v>-1.1000000000000001</v>
      </c>
      <c r="D6348">
        <v>0.51</v>
      </c>
      <c r="E6348" t="s">
        <v>22</v>
      </c>
      <c r="F6348" t="s">
        <v>47</v>
      </c>
      <c r="G6348">
        <v>1.06</v>
      </c>
      <c r="H6348">
        <v>-0.04</v>
      </c>
      <c r="I6348">
        <v>0.55000000000000004</v>
      </c>
      <c r="J6348">
        <v>0.30249999999999999</v>
      </c>
      <c r="K6348" t="str">
        <f>IFERROR(INDEX(Rosters!$C$2:$C$155,MATCH($B6348,Rosters!$B$2:$B$155,0)),"NA")</f>
        <v>NA</v>
      </c>
      <c r="L6348" t="str">
        <f t="shared" si="297"/>
        <v>NA7RB</v>
      </c>
      <c r="M6348">
        <f>COUNTIF(L$1:L6348,L6348)</f>
        <v>53</v>
      </c>
      <c r="N6348" t="str">
        <f t="shared" si="298"/>
        <v>NA7RB-53</v>
      </c>
      <c r="O6348">
        <f>COUNTIFS(F$1:F6348,F6348,A$1:A6348,A6348)</f>
        <v>94</v>
      </c>
      <c r="P6348" t="str">
        <f t="shared" si="299"/>
        <v>Kapri Bibbs7</v>
      </c>
    </row>
    <row r="6349" spans="1:16" x14ac:dyDescent="0.25">
      <c r="A6349">
        <v>4</v>
      </c>
      <c r="B6349" t="s">
        <v>1125</v>
      </c>
      <c r="C6349" t="s">
        <v>4261</v>
      </c>
      <c r="D6349">
        <v>0.51</v>
      </c>
      <c r="E6349" t="s">
        <v>31</v>
      </c>
      <c r="F6349" t="s">
        <v>114</v>
      </c>
      <c r="G6349">
        <v>0.99</v>
      </c>
      <c r="H6349">
        <v>0.03</v>
      </c>
      <c r="I6349">
        <v>0.48</v>
      </c>
      <c r="J6349">
        <v>0.23039999999999999</v>
      </c>
      <c r="K6349" t="str">
        <f>IFERROR(INDEX(Rosters!$C$2:$C$155,MATCH($B6349,Rosters!$B$2:$B$155,0)),"NA")</f>
        <v>NA</v>
      </c>
      <c r="L6349" t="str">
        <f t="shared" si="297"/>
        <v>NA4TE</v>
      </c>
      <c r="M6349">
        <f>COUNTIF(L$1:L6349,L6349)</f>
        <v>59</v>
      </c>
      <c r="N6349" t="str">
        <f t="shared" si="298"/>
        <v>NA4TE-59</v>
      </c>
      <c r="O6349">
        <f>COUNTIFS(F$1:F6349,F6349,A$1:A6349,A6349)</f>
        <v>70</v>
      </c>
      <c r="P6349" t="str">
        <f t="shared" si="299"/>
        <v>Logan Paulsen4</v>
      </c>
    </row>
    <row r="6350" spans="1:16" x14ac:dyDescent="0.25">
      <c r="A6350">
        <v>12</v>
      </c>
      <c r="B6350" t="s">
        <v>288</v>
      </c>
      <c r="C6350">
        <f>-0.04-1.06</f>
        <v>-1.1000000000000001</v>
      </c>
      <c r="D6350">
        <v>0.51</v>
      </c>
      <c r="E6350" t="s">
        <v>25</v>
      </c>
      <c r="F6350" t="s">
        <v>114</v>
      </c>
      <c r="G6350">
        <v>1.06</v>
      </c>
      <c r="H6350">
        <v>-0.04</v>
      </c>
      <c r="I6350">
        <v>0.55000000000000004</v>
      </c>
      <c r="J6350">
        <v>0.30249999999999999</v>
      </c>
      <c r="K6350" t="str">
        <f>IFERROR(INDEX(Rosters!$C$2:$C$155,MATCH($B6350,Rosters!$B$2:$B$155,0)),"NA")</f>
        <v>NA</v>
      </c>
      <c r="L6350" t="str">
        <f t="shared" si="297"/>
        <v>NA12TE</v>
      </c>
      <c r="M6350">
        <f>COUNTIF(L$1:L6350,L6350)</f>
        <v>70</v>
      </c>
      <c r="N6350" t="str">
        <f t="shared" si="298"/>
        <v>NA12TE-70</v>
      </c>
      <c r="O6350">
        <f>COUNTIFS(F$1:F6350,F6350,A$1:A6350,A6350)</f>
        <v>83</v>
      </c>
      <c r="P6350" t="str">
        <f t="shared" si="299"/>
        <v>Marcedes Lewis12</v>
      </c>
    </row>
    <row r="6351" spans="1:16" x14ac:dyDescent="0.25">
      <c r="A6351">
        <v>13</v>
      </c>
      <c r="B6351" t="s">
        <v>4215</v>
      </c>
      <c r="C6351" t="s">
        <v>370</v>
      </c>
      <c r="D6351">
        <v>0.51</v>
      </c>
      <c r="E6351" t="s">
        <v>42</v>
      </c>
      <c r="F6351" t="s">
        <v>47</v>
      </c>
      <c r="G6351">
        <v>0.98</v>
      </c>
      <c r="H6351">
        <v>0.04</v>
      </c>
      <c r="I6351">
        <v>0.47</v>
      </c>
      <c r="J6351">
        <v>0.22090000000000001</v>
      </c>
      <c r="K6351" t="str">
        <f>IFERROR(INDEX(Rosters!$C$2:$C$155,MATCH($B6351,Rosters!$B$2:$B$155,0)),"NA")</f>
        <v>NA</v>
      </c>
      <c r="L6351" t="str">
        <f t="shared" si="297"/>
        <v>NA13RB</v>
      </c>
      <c r="M6351">
        <f>COUNTIF(L$1:L6351,L6351)</f>
        <v>70</v>
      </c>
      <c r="N6351" t="str">
        <f t="shared" si="298"/>
        <v>NA13RB-70</v>
      </c>
      <c r="O6351">
        <f>COUNTIFS(F$1:F6351,F6351,A$1:A6351,A6351)</f>
        <v>117</v>
      </c>
      <c r="P6351" t="str">
        <f t="shared" si="299"/>
        <v>Mark Walton13</v>
      </c>
    </row>
    <row r="6352" spans="1:16" x14ac:dyDescent="0.25">
      <c r="A6352">
        <v>10</v>
      </c>
      <c r="B6352" t="s">
        <v>1594</v>
      </c>
      <c r="C6352">
        <f>-0.03-1.05</f>
        <v>-1.08</v>
      </c>
      <c r="D6352">
        <v>0.51</v>
      </c>
      <c r="E6352" t="s">
        <v>52</v>
      </c>
      <c r="F6352" t="s">
        <v>87</v>
      </c>
      <c r="G6352">
        <v>1.05</v>
      </c>
      <c r="H6352">
        <v>-0.03</v>
      </c>
      <c r="I6352">
        <v>0.54</v>
      </c>
      <c r="J6352" s="66">
        <v>0.29160000000000003</v>
      </c>
      <c r="K6352" t="str">
        <f>IFERROR(INDEX(Rosters!$C$2:$C$155,MATCH($B6352,Rosters!$B$2:$B$155,0)),"NA")</f>
        <v>NA</v>
      </c>
      <c r="L6352" t="str">
        <f t="shared" si="297"/>
        <v>NA10WR</v>
      </c>
      <c r="M6352">
        <f>COUNTIF(L$1:L6352,L6352)</f>
        <v>101</v>
      </c>
      <c r="N6352" t="str">
        <f t="shared" si="298"/>
        <v>NA10WR-101</v>
      </c>
      <c r="O6352">
        <f>COUNTIFS(F$1:F6352,F6352,A$1:A6352,A6352)</f>
        <v>146</v>
      </c>
      <c r="P6352" t="str">
        <f t="shared" si="299"/>
        <v>Marvin Hall10</v>
      </c>
    </row>
    <row r="6353" spans="1:16" x14ac:dyDescent="0.25">
      <c r="A6353">
        <v>15</v>
      </c>
      <c r="B6353" t="s">
        <v>1594</v>
      </c>
      <c r="C6353">
        <f>-0.05-1.07</f>
        <v>-1.1200000000000001</v>
      </c>
      <c r="D6353">
        <v>0.51</v>
      </c>
      <c r="E6353" t="s">
        <v>58</v>
      </c>
      <c r="F6353" t="s">
        <v>87</v>
      </c>
      <c r="G6353">
        <v>1.07</v>
      </c>
      <c r="H6353">
        <v>-0.05</v>
      </c>
      <c r="I6353">
        <v>0.56000000000000005</v>
      </c>
      <c r="J6353" s="66">
        <v>0.31359999999999999</v>
      </c>
      <c r="K6353" t="str">
        <f>IFERROR(INDEX(Rosters!$C$2:$C$155,MATCH($B6353,Rosters!$B$2:$B$155,0)),"NA")</f>
        <v>NA</v>
      </c>
      <c r="L6353" t="str">
        <f t="shared" si="297"/>
        <v>NA15WR</v>
      </c>
      <c r="M6353">
        <f>COUNTIF(L$1:L6353,L6353)</f>
        <v>109</v>
      </c>
      <c r="N6353" t="str">
        <f t="shared" si="298"/>
        <v>NA15WR-109</v>
      </c>
      <c r="O6353">
        <f>COUNTIFS(F$1:F6353,F6353,A$1:A6353,A6353)</f>
        <v>163</v>
      </c>
      <c r="P6353" t="str">
        <f t="shared" si="299"/>
        <v>Marvin Hall15</v>
      </c>
    </row>
    <row r="6354" spans="1:16" x14ac:dyDescent="0.25">
      <c r="A6354">
        <v>11</v>
      </c>
      <c r="B6354" t="s">
        <v>1636</v>
      </c>
      <c r="C6354" t="s">
        <v>4261</v>
      </c>
      <c r="D6354">
        <v>0.51</v>
      </c>
      <c r="E6354" t="s">
        <v>25</v>
      </c>
      <c r="F6354" t="s">
        <v>47</v>
      </c>
      <c r="G6354">
        <v>0.99</v>
      </c>
      <c r="H6354">
        <v>0.03</v>
      </c>
      <c r="I6354">
        <v>0.48</v>
      </c>
      <c r="J6354">
        <v>0.23039999999999999</v>
      </c>
      <c r="K6354" t="str">
        <f>IFERROR(INDEX(Rosters!$C$2:$C$155,MATCH($B6354,Rosters!$B$2:$B$155,0)),"NA")</f>
        <v>NA</v>
      </c>
      <c r="L6354" t="str">
        <f t="shared" si="297"/>
        <v>NA11RB</v>
      </c>
      <c r="M6354">
        <f>COUNTIF(L$1:L6354,L6354)</f>
        <v>55</v>
      </c>
      <c r="N6354" t="str">
        <f t="shared" si="298"/>
        <v>NA11RB-55</v>
      </c>
      <c r="O6354">
        <f>COUNTIFS(F$1:F6354,F6354,A$1:A6354,A6354)</f>
        <v>93</v>
      </c>
      <c r="P6354" t="str">
        <f t="shared" si="299"/>
        <v>Michael Burton11</v>
      </c>
    </row>
    <row r="6355" spans="1:16" x14ac:dyDescent="0.25">
      <c r="A6355">
        <v>13</v>
      </c>
      <c r="B6355" t="s">
        <v>2921</v>
      </c>
      <c r="C6355">
        <f>-0.08-1.1</f>
        <v>-1.1800000000000002</v>
      </c>
      <c r="D6355">
        <v>0.51</v>
      </c>
      <c r="E6355" t="s">
        <v>50</v>
      </c>
      <c r="F6355" t="s">
        <v>87</v>
      </c>
      <c r="G6355">
        <v>1.1000000000000001</v>
      </c>
      <c r="H6355">
        <v>-0.08</v>
      </c>
      <c r="I6355">
        <v>0.59</v>
      </c>
      <c r="J6355">
        <v>0.34810000000000002</v>
      </c>
      <c r="K6355" t="str">
        <f>IFERROR(INDEX(Rosters!$C$2:$C$155,MATCH($B6355,Rosters!$B$2:$B$155,0)),"NA")</f>
        <v>NA</v>
      </c>
      <c r="L6355" t="str">
        <f t="shared" si="297"/>
        <v>NA13WR</v>
      </c>
      <c r="M6355">
        <f>COUNTIF(L$1:L6355,L6355)</f>
        <v>107</v>
      </c>
      <c r="N6355" t="str">
        <f t="shared" si="298"/>
        <v>NA13WR-107</v>
      </c>
      <c r="O6355">
        <f>COUNTIFS(F$1:F6355,F6355,A$1:A6355,A6355)</f>
        <v>161</v>
      </c>
      <c r="P6355" t="str">
        <f t="shared" si="299"/>
        <v>Michael Floyd13</v>
      </c>
    </row>
    <row r="6356" spans="1:16" x14ac:dyDescent="0.25">
      <c r="A6356">
        <v>17</v>
      </c>
      <c r="B6356" t="s">
        <v>4690</v>
      </c>
      <c r="C6356" t="s">
        <v>370</v>
      </c>
      <c r="D6356">
        <v>0.51</v>
      </c>
      <c r="E6356" t="s">
        <v>72</v>
      </c>
      <c r="F6356" t="s">
        <v>47</v>
      </c>
      <c r="G6356">
        <v>0.98</v>
      </c>
      <c r="H6356">
        <v>0.04</v>
      </c>
      <c r="I6356">
        <v>0.47</v>
      </c>
      <c r="J6356">
        <v>0.22090000000000001</v>
      </c>
      <c r="K6356" t="str">
        <f>IFERROR(INDEX(Rosters!$C$2:$C$155,MATCH($B6356,Rosters!$B$2:$B$155,0)),"NA")</f>
        <v>NA</v>
      </c>
      <c r="L6356" t="str">
        <f t="shared" si="297"/>
        <v>NA17RB</v>
      </c>
      <c r="M6356">
        <f>COUNTIF(L$1:L6356,L6356)</f>
        <v>64</v>
      </c>
      <c r="N6356" t="str">
        <f t="shared" si="298"/>
        <v>NA17RB-64</v>
      </c>
      <c r="O6356">
        <f>COUNTIFS(F$1:F6356,F6356,A$1:A6356,A6356)</f>
        <v>111</v>
      </c>
      <c r="P6356" t="str">
        <f t="shared" si="299"/>
        <v>Mike Boone17</v>
      </c>
    </row>
    <row r="6357" spans="1:16" x14ac:dyDescent="0.25">
      <c r="A6357">
        <v>1</v>
      </c>
      <c r="B6357" t="s">
        <v>1130</v>
      </c>
      <c r="C6357">
        <f>-0.08-1.1</f>
        <v>-1.1800000000000002</v>
      </c>
      <c r="D6357">
        <v>0.51</v>
      </c>
      <c r="E6357" t="s">
        <v>34</v>
      </c>
      <c r="F6357" t="s">
        <v>114</v>
      </c>
      <c r="G6357">
        <v>1.1000000000000001</v>
      </c>
      <c r="H6357">
        <v>-0.08</v>
      </c>
      <c r="I6357">
        <v>0.59</v>
      </c>
      <c r="J6357">
        <v>0.34810000000000002</v>
      </c>
      <c r="K6357" t="str">
        <f>IFERROR(INDEX(Rosters!$C$2:$C$155,MATCH($B6357,Rosters!$B$2:$B$155,0)),"NA")</f>
        <v>NA</v>
      </c>
      <c r="L6357" t="str">
        <f t="shared" si="297"/>
        <v>NA1TE</v>
      </c>
      <c r="M6357">
        <f>COUNTIF(L$1:L6357,L6357)</f>
        <v>51</v>
      </c>
      <c r="N6357" t="str">
        <f t="shared" si="298"/>
        <v>NA1TE-51</v>
      </c>
      <c r="O6357">
        <f>COUNTIFS(F$1:F6357,F6357,A$1:A6357,A6357)</f>
        <v>64</v>
      </c>
      <c r="P6357" t="str">
        <f t="shared" si="299"/>
        <v>Neal Sterling1</v>
      </c>
    </row>
    <row r="6358" spans="1:16" x14ac:dyDescent="0.25">
      <c r="A6358">
        <v>7</v>
      </c>
      <c r="B6358" t="s">
        <v>1623</v>
      </c>
      <c r="C6358">
        <f>-0.15-1.17</f>
        <v>-1.3199999999999998</v>
      </c>
      <c r="D6358">
        <v>0.51</v>
      </c>
      <c r="E6358" t="s">
        <v>60</v>
      </c>
      <c r="F6358" t="s">
        <v>87</v>
      </c>
      <c r="G6358">
        <v>1.17</v>
      </c>
      <c r="H6358">
        <v>-0.15</v>
      </c>
      <c r="I6358">
        <v>0.66</v>
      </c>
      <c r="J6358">
        <v>0.43559999999999999</v>
      </c>
      <c r="K6358" t="str">
        <f>IFERROR(INDEX(Rosters!$C$2:$C$155,MATCH($B6358,Rosters!$B$2:$B$155,0)),"NA")</f>
        <v>NA</v>
      </c>
      <c r="L6358" t="str">
        <f t="shared" si="297"/>
        <v>NA7WR</v>
      </c>
      <c r="M6358">
        <f>COUNTIF(L$1:L6358,L6358)</f>
        <v>98</v>
      </c>
      <c r="N6358" t="str">
        <f t="shared" si="298"/>
        <v>NA7WR-98</v>
      </c>
      <c r="O6358">
        <f>COUNTIFS(F$1:F6358,F6358,A$1:A6358,A6358)</f>
        <v>143</v>
      </c>
      <c r="P6358" t="str">
        <f t="shared" si="299"/>
        <v>Noah Brown7</v>
      </c>
    </row>
    <row r="6359" spans="1:16" x14ac:dyDescent="0.25">
      <c r="A6359">
        <v>14</v>
      </c>
      <c r="B6359" t="s">
        <v>2968</v>
      </c>
      <c r="C6359">
        <f>-0.08-1.1</f>
        <v>-1.1800000000000002</v>
      </c>
      <c r="D6359">
        <v>0.51</v>
      </c>
      <c r="E6359" t="s">
        <v>74</v>
      </c>
      <c r="F6359" t="s">
        <v>114</v>
      </c>
      <c r="G6359">
        <v>1.1000000000000001</v>
      </c>
      <c r="H6359">
        <v>-0.08</v>
      </c>
      <c r="I6359">
        <v>0.59</v>
      </c>
      <c r="J6359">
        <v>0.34810000000000002</v>
      </c>
      <c r="K6359" t="str">
        <f>IFERROR(INDEX(Rosters!$C$2:$C$155,MATCH($B6359,Rosters!$B$2:$B$155,0)),"NA")</f>
        <v>NA</v>
      </c>
      <c r="L6359" t="str">
        <f t="shared" si="297"/>
        <v>NA14TE</v>
      </c>
      <c r="M6359">
        <f>COUNTIF(L$1:L6359,L6359)</f>
        <v>76</v>
      </c>
      <c r="N6359" t="str">
        <f t="shared" si="298"/>
        <v>NA14TE-76</v>
      </c>
      <c r="O6359">
        <f>COUNTIFS(F$1:F6359,F6359,A$1:A6359,A6359)</f>
        <v>90</v>
      </c>
      <c r="P6359" t="str">
        <f t="shared" si="299"/>
        <v>Orson Charles14</v>
      </c>
    </row>
    <row r="6360" spans="1:16" x14ac:dyDescent="0.25">
      <c r="A6360">
        <v>15</v>
      </c>
      <c r="B6360" t="s">
        <v>2968</v>
      </c>
      <c r="C6360">
        <f>-0.1-1.12</f>
        <v>-1.2200000000000002</v>
      </c>
      <c r="D6360">
        <v>0.51</v>
      </c>
      <c r="E6360" t="s">
        <v>42</v>
      </c>
      <c r="F6360" t="s">
        <v>114</v>
      </c>
      <c r="G6360">
        <v>1.1200000000000001</v>
      </c>
      <c r="H6360">
        <v>-0.1</v>
      </c>
      <c r="I6360">
        <v>0.61</v>
      </c>
      <c r="J6360">
        <v>0.37209999999999999</v>
      </c>
      <c r="K6360" t="str">
        <f>IFERROR(INDEX(Rosters!$C$2:$C$155,MATCH($B6360,Rosters!$B$2:$B$155,0)),"NA")</f>
        <v>NA</v>
      </c>
      <c r="L6360" t="str">
        <f t="shared" si="297"/>
        <v>NA15TE</v>
      </c>
      <c r="M6360">
        <f>COUNTIF(L$1:L6360,L6360)</f>
        <v>70</v>
      </c>
      <c r="N6360" t="str">
        <f t="shared" si="298"/>
        <v>NA15TE-70</v>
      </c>
      <c r="O6360">
        <f>COUNTIFS(F$1:F6360,F6360,A$1:A6360,A6360)</f>
        <v>84</v>
      </c>
      <c r="P6360" t="str">
        <f t="shared" si="299"/>
        <v>Orson Charles15</v>
      </c>
    </row>
    <row r="6361" spans="1:16" x14ac:dyDescent="0.25">
      <c r="A6361">
        <v>17</v>
      </c>
      <c r="B6361" t="s">
        <v>328</v>
      </c>
      <c r="C6361">
        <f>-0.16-1.18</f>
        <v>-1.3399999999999999</v>
      </c>
      <c r="D6361">
        <v>0.51</v>
      </c>
      <c r="E6361" t="s">
        <v>19</v>
      </c>
      <c r="F6361" t="s">
        <v>47</v>
      </c>
      <c r="G6361">
        <v>1.18</v>
      </c>
      <c r="H6361">
        <v>-0.16</v>
      </c>
      <c r="I6361">
        <v>0.67</v>
      </c>
      <c r="J6361">
        <v>0.44890000000000002</v>
      </c>
      <c r="K6361" t="str">
        <f>IFERROR(INDEX(Rosters!$C$2:$C$155,MATCH($B6361,Rosters!$B$2:$B$155,0)),"NA")</f>
        <v>NA</v>
      </c>
      <c r="L6361" t="str">
        <f t="shared" si="297"/>
        <v>NA17RB</v>
      </c>
      <c r="M6361">
        <f>COUNTIF(L$1:L6361,L6361)</f>
        <v>65</v>
      </c>
      <c r="N6361" t="str">
        <f t="shared" si="298"/>
        <v>NA17RB-65</v>
      </c>
      <c r="O6361">
        <f>COUNTIFS(F$1:F6361,F6361,A$1:A6361,A6361)</f>
        <v>112</v>
      </c>
      <c r="P6361" t="str">
        <f t="shared" si="299"/>
        <v>Patrick DiMarco17</v>
      </c>
    </row>
    <row r="6362" spans="1:16" x14ac:dyDescent="0.25">
      <c r="A6362">
        <v>16</v>
      </c>
      <c r="B6362" t="s">
        <v>4701</v>
      </c>
      <c r="C6362">
        <f>-0.09-1.11</f>
        <v>-1.2000000000000002</v>
      </c>
      <c r="D6362">
        <v>0.51</v>
      </c>
      <c r="E6362" t="s">
        <v>423</v>
      </c>
      <c r="F6362" t="s">
        <v>87</v>
      </c>
      <c r="G6362">
        <v>1.1100000000000001</v>
      </c>
      <c r="H6362">
        <v>-0.09</v>
      </c>
      <c r="I6362">
        <v>0.6</v>
      </c>
      <c r="J6362">
        <v>0.36</v>
      </c>
      <c r="K6362" t="str">
        <f>IFERROR(INDEX(Rosters!$C$2:$C$155,MATCH($B6362,Rosters!$B$2:$B$155,0)),"NA")</f>
        <v>NA</v>
      </c>
      <c r="L6362" t="str">
        <f t="shared" si="297"/>
        <v>NA16WR</v>
      </c>
      <c r="M6362">
        <f>COUNTIF(L$1:L6362,L6362)</f>
        <v>105</v>
      </c>
      <c r="N6362" t="str">
        <f t="shared" si="298"/>
        <v>NA16WR-105</v>
      </c>
      <c r="O6362">
        <f>COUNTIFS(F$1:F6362,F6362,A$1:A6362,A6362)</f>
        <v>159</v>
      </c>
      <c r="P6362" t="str">
        <f t="shared" si="299"/>
        <v>Ray-Ray McCloud16</v>
      </c>
    </row>
    <row r="6363" spans="1:16" x14ac:dyDescent="0.25">
      <c r="A6363">
        <v>2</v>
      </c>
      <c r="B6363" t="s">
        <v>4260</v>
      </c>
      <c r="C6363">
        <f>-0.06-1.08</f>
        <v>-1.1400000000000001</v>
      </c>
      <c r="D6363">
        <v>0.51</v>
      </c>
      <c r="E6363" t="s">
        <v>37</v>
      </c>
      <c r="F6363" t="s">
        <v>87</v>
      </c>
      <c r="G6363">
        <v>1.08</v>
      </c>
      <c r="H6363">
        <v>-0.06</v>
      </c>
      <c r="I6363">
        <v>0.56999999999999995</v>
      </c>
      <c r="J6363">
        <v>0.32490000000000002</v>
      </c>
      <c r="K6363" t="str">
        <f>IFERROR(INDEX(Rosters!$C$2:$C$155,MATCH($B6363,Rosters!$B$2:$B$155,0)),"NA")</f>
        <v>NA</v>
      </c>
      <c r="L6363" t="str">
        <f t="shared" si="297"/>
        <v>NA2WR</v>
      </c>
      <c r="M6363">
        <f>COUNTIF(L$1:L6363,L6363)</f>
        <v>77</v>
      </c>
      <c r="N6363" t="str">
        <f t="shared" si="298"/>
        <v>NA2WR-77</v>
      </c>
      <c r="O6363">
        <f>COUNTIFS(F$1:F6363,F6363,A$1:A6363,A6363)</f>
        <v>126</v>
      </c>
      <c r="P6363" t="str">
        <f t="shared" si="299"/>
        <v>Robert Foster2</v>
      </c>
    </row>
    <row r="6364" spans="1:16" x14ac:dyDescent="0.25">
      <c r="A6364">
        <v>15</v>
      </c>
      <c r="B6364" t="s">
        <v>4260</v>
      </c>
      <c r="C6364">
        <f>-0.14-1.16</f>
        <v>-1.2999999999999998</v>
      </c>
      <c r="D6364">
        <v>0.51</v>
      </c>
      <c r="E6364" t="s">
        <v>34</v>
      </c>
      <c r="F6364" t="s">
        <v>87</v>
      </c>
      <c r="G6364">
        <v>1.1599999999999999</v>
      </c>
      <c r="H6364">
        <v>-0.14000000000000001</v>
      </c>
      <c r="I6364">
        <v>0.65</v>
      </c>
      <c r="J6364">
        <v>0.42249999999999999</v>
      </c>
      <c r="K6364" t="str">
        <f>IFERROR(INDEX(Rosters!$C$2:$C$155,MATCH($B6364,Rosters!$B$2:$B$155,0)),"NA")</f>
        <v>NA</v>
      </c>
      <c r="L6364" t="str">
        <f t="shared" si="297"/>
        <v>NA15WR</v>
      </c>
      <c r="M6364">
        <f>COUNTIF(L$1:L6364,L6364)</f>
        <v>110</v>
      </c>
      <c r="N6364" t="str">
        <f t="shared" si="298"/>
        <v>NA15WR-110</v>
      </c>
      <c r="O6364">
        <f>COUNTIFS(F$1:F6364,F6364,A$1:A6364,A6364)</f>
        <v>164</v>
      </c>
      <c r="P6364" t="str">
        <f t="shared" si="299"/>
        <v>Robert Foster15</v>
      </c>
    </row>
    <row r="6365" spans="1:16" x14ac:dyDescent="0.25">
      <c r="A6365">
        <v>7</v>
      </c>
      <c r="B6365" t="s">
        <v>8803</v>
      </c>
      <c r="C6365">
        <f>-0.01-1.03</f>
        <v>-1.04</v>
      </c>
      <c r="D6365">
        <v>0.51</v>
      </c>
      <c r="E6365" t="s">
        <v>73</v>
      </c>
      <c r="F6365" t="s">
        <v>47</v>
      </c>
      <c r="G6365">
        <v>1.03</v>
      </c>
      <c r="H6365">
        <v>-0.01</v>
      </c>
      <c r="I6365">
        <v>0.52</v>
      </c>
      <c r="J6365">
        <v>0.27039999999999997</v>
      </c>
      <c r="K6365" t="str">
        <f>IFERROR(INDEX(Rosters!$C$2:$C$155,MATCH($B6365,Rosters!$B$2:$B$155,0)),"NA")</f>
        <v>NA</v>
      </c>
      <c r="L6365" t="str">
        <f t="shared" si="297"/>
        <v>NA7RB</v>
      </c>
      <c r="M6365">
        <f>COUNTIF(L$1:L6365,L6365)</f>
        <v>54</v>
      </c>
      <c r="N6365" t="str">
        <f t="shared" si="298"/>
        <v>NA7RB-54</v>
      </c>
      <c r="O6365">
        <f>COUNTIFS(F$1:F6365,F6365,A$1:A6365,A6365)</f>
        <v>95</v>
      </c>
      <c r="P6365" t="str">
        <f t="shared" si="299"/>
        <v>Roc Thomas7</v>
      </c>
    </row>
    <row r="6366" spans="1:16" x14ac:dyDescent="0.25">
      <c r="A6366">
        <v>9</v>
      </c>
      <c r="B6366" t="s">
        <v>164</v>
      </c>
      <c r="C6366">
        <f>-0.05-1.07</f>
        <v>-1.1200000000000001</v>
      </c>
      <c r="D6366">
        <v>0.51</v>
      </c>
      <c r="E6366" t="s">
        <v>46</v>
      </c>
      <c r="F6366" t="s">
        <v>47</v>
      </c>
      <c r="G6366">
        <v>1.07</v>
      </c>
      <c r="H6366">
        <v>-0.05</v>
      </c>
      <c r="I6366">
        <v>0.56000000000000005</v>
      </c>
      <c r="J6366">
        <v>0.31359999999999999</v>
      </c>
      <c r="K6366" t="str">
        <f>IFERROR(INDEX(Rosters!$C$2:$C$155,MATCH($B6366,Rosters!$B$2:$B$155,0)),"NA")</f>
        <v>NA</v>
      </c>
      <c r="L6366" t="str">
        <f t="shared" si="297"/>
        <v>NA9RB</v>
      </c>
      <c r="M6366">
        <f>COUNTIF(L$1:L6366,L6366)</f>
        <v>50</v>
      </c>
      <c r="N6366" t="str">
        <f t="shared" si="298"/>
        <v>NA9RB-50</v>
      </c>
      <c r="O6366">
        <f>COUNTIFS(F$1:F6366,F6366,A$1:A6366,A6366)</f>
        <v>90</v>
      </c>
      <c r="P6366" t="str">
        <f t="shared" si="299"/>
        <v>Samaje Perine9</v>
      </c>
    </row>
    <row r="6367" spans="1:16" x14ac:dyDescent="0.25">
      <c r="A6367">
        <v>10</v>
      </c>
      <c r="B6367" t="s">
        <v>164</v>
      </c>
      <c r="C6367" t="s">
        <v>1613</v>
      </c>
      <c r="D6367">
        <v>0.51</v>
      </c>
      <c r="E6367" t="s">
        <v>17</v>
      </c>
      <c r="F6367" t="s">
        <v>47</v>
      </c>
      <c r="G6367">
        <v>1.01</v>
      </c>
      <c r="H6367">
        <v>0.01</v>
      </c>
      <c r="I6367">
        <v>0.5</v>
      </c>
      <c r="J6367">
        <v>0.25</v>
      </c>
      <c r="K6367" t="str">
        <f>IFERROR(INDEX(Rosters!$C$2:$C$155,MATCH($B6367,Rosters!$B$2:$B$155,0)),"NA")</f>
        <v>NA</v>
      </c>
      <c r="L6367" t="str">
        <f t="shared" si="297"/>
        <v>NA10RB</v>
      </c>
      <c r="M6367">
        <f>COUNTIF(L$1:L6367,L6367)</f>
        <v>58</v>
      </c>
      <c r="N6367" t="str">
        <f t="shared" si="298"/>
        <v>NA10RB-58</v>
      </c>
      <c r="O6367">
        <f>COUNTIFS(F$1:F6367,F6367,A$1:A6367,A6367)</f>
        <v>97</v>
      </c>
      <c r="P6367" t="str">
        <f t="shared" si="299"/>
        <v>Samaje Perine10</v>
      </c>
    </row>
    <row r="6368" spans="1:16" x14ac:dyDescent="0.25">
      <c r="A6368">
        <v>4</v>
      </c>
      <c r="B6368" t="s">
        <v>1640</v>
      </c>
      <c r="C6368">
        <f>-0.02-1.04</f>
        <v>-1.06</v>
      </c>
      <c r="D6368">
        <v>0.51</v>
      </c>
      <c r="E6368" t="s">
        <v>41</v>
      </c>
      <c r="F6368" t="s">
        <v>47</v>
      </c>
      <c r="G6368">
        <v>1.04</v>
      </c>
      <c r="H6368">
        <v>-0.02</v>
      </c>
      <c r="I6368">
        <v>0.53</v>
      </c>
      <c r="J6368">
        <v>0.28089999999999998</v>
      </c>
      <c r="K6368" t="str">
        <f>IFERROR(INDEX(Rosters!$C$2:$C$155,MATCH($B6368,Rosters!$B$2:$B$155,0)),"NA")</f>
        <v>NA</v>
      </c>
      <c r="L6368" t="str">
        <f t="shared" si="297"/>
        <v>NA4RB</v>
      </c>
      <c r="M6368">
        <f>COUNTIF(L$1:L6368,L6368)</f>
        <v>51</v>
      </c>
      <c r="N6368" t="str">
        <f t="shared" si="298"/>
        <v>NA4RB-51</v>
      </c>
      <c r="O6368">
        <f>COUNTIFS(F$1:F6368,F6368,A$1:A6368,A6368)</f>
        <v>90</v>
      </c>
      <c r="P6368" t="str">
        <f t="shared" si="299"/>
        <v>Taiwan Jones4</v>
      </c>
    </row>
    <row r="6369" spans="1:16" x14ac:dyDescent="0.25">
      <c r="A6369">
        <v>10</v>
      </c>
      <c r="B6369" t="s">
        <v>745</v>
      </c>
      <c r="C6369">
        <f>-0.11-1.13</f>
        <v>-1.24</v>
      </c>
      <c r="D6369">
        <v>0.51</v>
      </c>
      <c r="E6369" t="s">
        <v>31</v>
      </c>
      <c r="F6369" t="s">
        <v>15</v>
      </c>
      <c r="G6369">
        <v>1.1299999999999999</v>
      </c>
      <c r="H6369">
        <v>-0.11</v>
      </c>
      <c r="I6369">
        <v>0.62</v>
      </c>
      <c r="J6369">
        <v>0.38440000000000002</v>
      </c>
      <c r="K6369" t="str">
        <f>IFERROR(INDEX(Rosters!$C$2:$C$155,MATCH($B6369,Rosters!$B$2:$B$155,0)),"NA")</f>
        <v>NA</v>
      </c>
      <c r="L6369" t="str">
        <f t="shared" si="297"/>
        <v>NA10QB</v>
      </c>
      <c r="M6369">
        <f>COUNTIF(L$1:L6369,L6369)</f>
        <v>33</v>
      </c>
      <c r="N6369" t="str">
        <f t="shared" si="298"/>
        <v>NA10QB-33</v>
      </c>
      <c r="O6369">
        <f>COUNTIFS(F$1:F6369,F6369,A$1:A6369,A6369)</f>
        <v>49</v>
      </c>
      <c r="P6369" t="str">
        <f t="shared" si="299"/>
        <v>Teddy Bridgewater10</v>
      </c>
    </row>
    <row r="6370" spans="1:16" x14ac:dyDescent="0.25">
      <c r="A6370">
        <v>9</v>
      </c>
      <c r="B6370" t="s">
        <v>4258</v>
      </c>
      <c r="C6370" t="s">
        <v>8914</v>
      </c>
      <c r="D6370">
        <v>0.51</v>
      </c>
      <c r="E6370" t="s">
        <v>36</v>
      </c>
      <c r="F6370" t="s">
        <v>87</v>
      </c>
      <c r="G6370">
        <v>0.96</v>
      </c>
      <c r="H6370">
        <v>0.06</v>
      </c>
      <c r="I6370">
        <v>0.45</v>
      </c>
      <c r="J6370">
        <v>0.20250000000000001</v>
      </c>
      <c r="K6370" t="str">
        <f>IFERROR(INDEX(Rosters!$C$2:$C$155,MATCH($B6370,Rosters!$B$2:$B$155,0)),"NA")</f>
        <v>NA</v>
      </c>
      <c r="L6370" t="str">
        <f t="shared" si="297"/>
        <v>NA9WR</v>
      </c>
      <c r="M6370">
        <f>COUNTIF(L$1:L6370,L6370)</f>
        <v>93</v>
      </c>
      <c r="N6370" t="str">
        <f t="shared" si="298"/>
        <v>NA9WR-93</v>
      </c>
      <c r="O6370">
        <f>COUNTIFS(F$1:F6370,F6370,A$1:A6370,A6370)</f>
        <v>137</v>
      </c>
      <c r="P6370" t="str">
        <f t="shared" si="299"/>
        <v>Tim Patrick9</v>
      </c>
    </row>
    <row r="6371" spans="1:16" x14ac:dyDescent="0.25">
      <c r="A6371">
        <v>5</v>
      </c>
      <c r="B6371" t="s">
        <v>1600</v>
      </c>
      <c r="C6371">
        <f>-0.11-1.13</f>
        <v>-1.24</v>
      </c>
      <c r="D6371">
        <v>0.51</v>
      </c>
      <c r="E6371" t="s">
        <v>24</v>
      </c>
      <c r="F6371" t="s">
        <v>47</v>
      </c>
      <c r="G6371">
        <v>1.1299999999999999</v>
      </c>
      <c r="H6371">
        <v>-0.11</v>
      </c>
      <c r="I6371">
        <v>0.62</v>
      </c>
      <c r="J6371">
        <v>0.38440000000000002</v>
      </c>
      <c r="K6371" t="str">
        <f>IFERROR(INDEX(Rosters!$C$2:$C$155,MATCH($B6371,Rosters!$B$2:$B$155,0)),"NA")</f>
        <v>NA</v>
      </c>
      <c r="L6371" t="str">
        <f t="shared" si="297"/>
        <v>NA5RB</v>
      </c>
      <c r="M6371">
        <f>COUNTIF(L$1:L6371,L6371)</f>
        <v>60</v>
      </c>
      <c r="N6371" t="str">
        <f t="shared" si="298"/>
        <v>NA5RB-60</v>
      </c>
      <c r="O6371">
        <f>COUNTIFS(F$1:F6371,F6371,A$1:A6371,A6371)</f>
        <v>103</v>
      </c>
      <c r="P6371" t="str">
        <f t="shared" si="299"/>
        <v>Tommy Bohanon5</v>
      </c>
    </row>
    <row r="6372" spans="1:16" x14ac:dyDescent="0.25">
      <c r="A6372">
        <v>13</v>
      </c>
      <c r="B6372" t="s">
        <v>1600</v>
      </c>
      <c r="C6372">
        <f>-0.07-1.09</f>
        <v>-1.1600000000000001</v>
      </c>
      <c r="D6372">
        <v>0.51</v>
      </c>
      <c r="E6372" t="s">
        <v>66</v>
      </c>
      <c r="F6372" t="s">
        <v>47</v>
      </c>
      <c r="G6372">
        <v>1.0900000000000001</v>
      </c>
      <c r="H6372">
        <v>-7.0000000000000007E-2</v>
      </c>
      <c r="I6372">
        <v>0.57999999999999996</v>
      </c>
      <c r="J6372">
        <v>0.33639999999999998</v>
      </c>
      <c r="K6372" t="str">
        <f>IFERROR(INDEX(Rosters!$C$2:$C$155,MATCH($B6372,Rosters!$B$2:$B$155,0)),"NA")</f>
        <v>NA</v>
      </c>
      <c r="L6372" t="str">
        <f t="shared" si="297"/>
        <v>NA13RB</v>
      </c>
      <c r="M6372">
        <f>COUNTIF(L$1:L6372,L6372)</f>
        <v>71</v>
      </c>
      <c r="N6372" t="str">
        <f t="shared" si="298"/>
        <v>NA13RB-71</v>
      </c>
      <c r="O6372">
        <f>COUNTIFS(F$1:F6372,F6372,A$1:A6372,A6372)</f>
        <v>118</v>
      </c>
      <c r="P6372" t="str">
        <f t="shared" si="299"/>
        <v>Tommy Bohanon13</v>
      </c>
    </row>
    <row r="6373" spans="1:16" x14ac:dyDescent="0.25">
      <c r="A6373">
        <v>15</v>
      </c>
      <c r="B6373" t="s">
        <v>1600</v>
      </c>
      <c r="C6373">
        <f>-0.08-1.1</f>
        <v>-1.1800000000000002</v>
      </c>
      <c r="D6373">
        <v>0.51</v>
      </c>
      <c r="E6373" t="s">
        <v>60</v>
      </c>
      <c r="F6373" t="s">
        <v>47</v>
      </c>
      <c r="G6373">
        <v>1.1000000000000001</v>
      </c>
      <c r="H6373">
        <v>-0.08</v>
      </c>
      <c r="I6373">
        <v>0.59</v>
      </c>
      <c r="J6373">
        <v>0.34810000000000002</v>
      </c>
      <c r="K6373" t="str">
        <f>IFERROR(INDEX(Rosters!$C$2:$C$155,MATCH($B6373,Rosters!$B$2:$B$155,0)),"NA")</f>
        <v>NA</v>
      </c>
      <c r="L6373" t="str">
        <f t="shared" si="297"/>
        <v>NA15RB</v>
      </c>
      <c r="M6373">
        <f>COUNTIF(L$1:L6373,L6373)</f>
        <v>68</v>
      </c>
      <c r="N6373" t="str">
        <f t="shared" si="298"/>
        <v>NA15RB-68</v>
      </c>
      <c r="O6373">
        <f>COUNTIFS(F$1:F6373,F6373,A$1:A6373,A6373)</f>
        <v>115</v>
      </c>
      <c r="P6373" t="str">
        <f t="shared" si="299"/>
        <v>Tommy Bohanon15</v>
      </c>
    </row>
    <row r="6374" spans="1:16" x14ac:dyDescent="0.25">
      <c r="A6374">
        <v>12</v>
      </c>
      <c r="B6374" t="s">
        <v>1618</v>
      </c>
      <c r="C6374" t="s">
        <v>1144</v>
      </c>
      <c r="D6374">
        <v>0.51</v>
      </c>
      <c r="E6374" t="s">
        <v>74</v>
      </c>
      <c r="F6374" t="s">
        <v>47</v>
      </c>
      <c r="G6374">
        <v>0.97</v>
      </c>
      <c r="H6374">
        <v>0.05</v>
      </c>
      <c r="I6374">
        <v>0.46</v>
      </c>
      <c r="J6374">
        <v>0.21160000000000001</v>
      </c>
      <c r="K6374" t="str">
        <f>IFERROR(INDEX(Rosters!$C$2:$C$155,MATCH($B6374,Rosters!$B$2:$B$155,0)),"NA")</f>
        <v>NA</v>
      </c>
      <c r="L6374" t="str">
        <f t="shared" si="297"/>
        <v>NA12RB</v>
      </c>
      <c r="M6374">
        <f>COUNTIF(L$1:L6374,L6374)</f>
        <v>65</v>
      </c>
      <c r="N6374" t="str">
        <f t="shared" si="298"/>
        <v>NA12RB-65</v>
      </c>
      <c r="O6374">
        <f>COUNTIFS(F$1:F6374,F6374,A$1:A6374,A6374)</f>
        <v>110</v>
      </c>
      <c r="P6374" t="str">
        <f t="shared" si="299"/>
        <v>Tre Madden12</v>
      </c>
    </row>
    <row r="6375" spans="1:16" x14ac:dyDescent="0.25">
      <c r="A6375">
        <v>17</v>
      </c>
      <c r="B6375" t="s">
        <v>1618</v>
      </c>
      <c r="C6375" t="s">
        <v>8916</v>
      </c>
      <c r="D6375">
        <v>0.51</v>
      </c>
      <c r="E6375" t="s">
        <v>58</v>
      </c>
      <c r="F6375" t="s">
        <v>47</v>
      </c>
      <c r="G6375">
        <v>0.94</v>
      </c>
      <c r="H6375">
        <v>0.08</v>
      </c>
      <c r="I6375">
        <v>0.43</v>
      </c>
      <c r="J6375">
        <v>0.18490000000000001</v>
      </c>
      <c r="K6375" t="str">
        <f>IFERROR(INDEX(Rosters!$C$2:$C$155,MATCH($B6375,Rosters!$B$2:$B$155,0)),"NA")</f>
        <v>NA</v>
      </c>
      <c r="L6375" t="str">
        <f t="shared" si="297"/>
        <v>NA17RB</v>
      </c>
      <c r="M6375">
        <f>COUNTIF(L$1:L6375,L6375)</f>
        <v>66</v>
      </c>
      <c r="N6375" t="str">
        <f t="shared" si="298"/>
        <v>NA17RB-66</v>
      </c>
      <c r="O6375">
        <f>COUNTIFS(F$1:F6375,F6375,A$1:A6375,A6375)</f>
        <v>113</v>
      </c>
      <c r="P6375" t="str">
        <f t="shared" si="299"/>
        <v>Tre Madden17</v>
      </c>
    </row>
    <row r="6376" spans="1:16" x14ac:dyDescent="0.25">
      <c r="A6376">
        <v>16</v>
      </c>
      <c r="B6376" t="s">
        <v>4250</v>
      </c>
      <c r="C6376" t="s">
        <v>371</v>
      </c>
      <c r="D6376">
        <v>0.51</v>
      </c>
      <c r="E6376" t="s">
        <v>34</v>
      </c>
      <c r="F6376" t="s">
        <v>114</v>
      </c>
      <c r="G6376">
        <v>1.02</v>
      </c>
      <c r="H6376">
        <v>0</v>
      </c>
      <c r="I6376">
        <v>0.51</v>
      </c>
      <c r="J6376">
        <v>0.2601</v>
      </c>
      <c r="K6376" t="str">
        <f>IFERROR(INDEX(Rosters!$C$2:$C$155,MATCH($B6376,Rosters!$B$2:$B$155,0)),"NA")</f>
        <v>NA</v>
      </c>
      <c r="L6376" t="str">
        <f t="shared" si="297"/>
        <v>NA16TE</v>
      </c>
      <c r="M6376">
        <f>COUNTIF(L$1:L6376,L6376)</f>
        <v>73</v>
      </c>
      <c r="N6376" t="str">
        <f t="shared" si="298"/>
        <v>NA16TE-73</v>
      </c>
      <c r="O6376">
        <f>COUNTIFS(F$1:F6376,F6376,A$1:A6376,A6376)</f>
        <v>87</v>
      </c>
      <c r="P6376" t="str">
        <f t="shared" si="299"/>
        <v>Tyler Conklin16</v>
      </c>
    </row>
    <row r="6377" spans="1:16" x14ac:dyDescent="0.25">
      <c r="A6377">
        <v>16</v>
      </c>
      <c r="B6377" t="s">
        <v>1566</v>
      </c>
      <c r="C6377" t="s">
        <v>371</v>
      </c>
      <c r="D6377">
        <v>0.51</v>
      </c>
      <c r="E6377" t="s">
        <v>72</v>
      </c>
      <c r="F6377" t="s">
        <v>87</v>
      </c>
      <c r="G6377">
        <v>1.02</v>
      </c>
      <c r="H6377">
        <v>0</v>
      </c>
      <c r="I6377">
        <v>0.51</v>
      </c>
      <c r="J6377">
        <v>0.2601</v>
      </c>
      <c r="K6377" t="str">
        <f>IFERROR(INDEX(Rosters!$C$2:$C$155,MATCH($B6377,Rosters!$B$2:$B$155,0)),"NA")</f>
        <v>NA</v>
      </c>
      <c r="L6377" t="str">
        <f t="shared" si="297"/>
        <v>NA16WR</v>
      </c>
      <c r="M6377">
        <f>COUNTIF(L$1:L6377,L6377)</f>
        <v>106</v>
      </c>
      <c r="N6377" t="str">
        <f t="shared" si="298"/>
        <v>NA16WR-106</v>
      </c>
      <c r="O6377">
        <f>COUNTIFS(F$1:F6377,F6377,A$1:A6377,A6377)</f>
        <v>160</v>
      </c>
      <c r="P6377" t="str">
        <f t="shared" si="299"/>
        <v>Victor Bolden Jr.16</v>
      </c>
    </row>
    <row r="6378" spans="1:16" x14ac:dyDescent="0.25">
      <c r="A6378">
        <v>2</v>
      </c>
      <c r="B6378" t="s">
        <v>4240</v>
      </c>
      <c r="C6378">
        <f>-0.09-1.11</f>
        <v>-1.2000000000000002</v>
      </c>
      <c r="D6378">
        <v>0.51</v>
      </c>
      <c r="E6378" t="s">
        <v>60</v>
      </c>
      <c r="F6378" t="s">
        <v>87</v>
      </c>
      <c r="G6378">
        <v>1.1100000000000001</v>
      </c>
      <c r="H6378">
        <v>-0.09</v>
      </c>
      <c r="I6378">
        <v>0.6</v>
      </c>
      <c r="J6378">
        <v>0.36</v>
      </c>
      <c r="K6378" t="str">
        <f>IFERROR(INDEX(Rosters!$C$2:$C$155,MATCH($B6378,Rosters!$B$2:$B$155,0)),"NA")</f>
        <v>NA</v>
      </c>
      <c r="L6378" t="str">
        <f t="shared" si="297"/>
        <v>NA2WR</v>
      </c>
      <c r="M6378">
        <f>COUNTIF(L$1:L6378,L6378)</f>
        <v>78</v>
      </c>
      <c r="N6378" t="str">
        <f t="shared" si="298"/>
        <v>NA2WR-78</v>
      </c>
      <c r="O6378">
        <f>COUNTIFS(F$1:F6378,F6378,A$1:A6378,A6378)</f>
        <v>127</v>
      </c>
      <c r="P6378" t="str">
        <f t="shared" si="299"/>
        <v>Zach Pascal2</v>
      </c>
    </row>
    <row r="6379" spans="1:16" x14ac:dyDescent="0.25">
      <c r="A6379">
        <v>17</v>
      </c>
      <c r="B6379" t="s">
        <v>4240</v>
      </c>
      <c r="C6379">
        <f>-0.05-1.07</f>
        <v>-1.1200000000000001</v>
      </c>
      <c r="D6379">
        <v>0.51</v>
      </c>
      <c r="E6379" t="s">
        <v>38</v>
      </c>
      <c r="F6379" t="s">
        <v>87</v>
      </c>
      <c r="G6379">
        <v>1.07</v>
      </c>
      <c r="H6379">
        <v>-0.05</v>
      </c>
      <c r="I6379">
        <v>0.56000000000000005</v>
      </c>
      <c r="J6379">
        <v>0.31359999999999999</v>
      </c>
      <c r="K6379" t="str">
        <f>IFERROR(INDEX(Rosters!$C$2:$C$155,MATCH($B6379,Rosters!$B$2:$B$155,0)),"NA")</f>
        <v>NA</v>
      </c>
      <c r="L6379" t="str">
        <f t="shared" si="297"/>
        <v>NA17WR</v>
      </c>
      <c r="M6379">
        <f>COUNTIF(L$1:L6379,L6379)</f>
        <v>115</v>
      </c>
      <c r="N6379" t="str">
        <f t="shared" si="298"/>
        <v>NA17WR-115</v>
      </c>
      <c r="O6379">
        <f>COUNTIFS(F$1:F6379,F6379,A$1:A6379,A6379)</f>
        <v>169</v>
      </c>
      <c r="P6379" t="str">
        <f t="shared" si="299"/>
        <v>Zach Pascal17</v>
      </c>
    </row>
    <row r="6380" spans="1:16" x14ac:dyDescent="0.25">
      <c r="A6380">
        <v>2</v>
      </c>
      <c r="B6380" t="s">
        <v>324</v>
      </c>
      <c r="C6380" t="s">
        <v>1785</v>
      </c>
      <c r="D6380">
        <v>0.5</v>
      </c>
      <c r="E6380" t="s">
        <v>42</v>
      </c>
      <c r="F6380" t="s">
        <v>15</v>
      </c>
      <c r="G6380">
        <v>0.95</v>
      </c>
      <c r="H6380">
        <v>0.05</v>
      </c>
      <c r="I6380">
        <v>0.45</v>
      </c>
      <c r="J6380">
        <v>0.20250000000000001</v>
      </c>
      <c r="K6380" t="str">
        <f>IFERROR(INDEX(Rosters!$C$2:$C$155,MATCH($B6380,Rosters!$B$2:$B$155,0)),"NA")</f>
        <v>NA</v>
      </c>
      <c r="L6380" t="str">
        <f t="shared" si="297"/>
        <v>NA2QB</v>
      </c>
      <c r="M6380">
        <f>COUNTIF(L$1:L6380,L6380)</f>
        <v>33</v>
      </c>
      <c r="N6380" t="str">
        <f t="shared" si="298"/>
        <v>NA2QB-33</v>
      </c>
      <c r="O6380">
        <f>COUNTIFS(F$1:F6380,F6380,A$1:A6380,A6380)</f>
        <v>49</v>
      </c>
      <c r="P6380" t="str">
        <f t="shared" si="299"/>
        <v>A.J. McCarron2</v>
      </c>
    </row>
    <row r="6381" spans="1:16" x14ac:dyDescent="0.25">
      <c r="A6381">
        <v>16</v>
      </c>
      <c r="B6381" t="s">
        <v>1129</v>
      </c>
      <c r="C6381" t="s">
        <v>854</v>
      </c>
      <c r="D6381">
        <v>0.5</v>
      </c>
      <c r="E6381" t="s">
        <v>22</v>
      </c>
      <c r="F6381" t="s">
        <v>114</v>
      </c>
      <c r="G6381">
        <v>0.97</v>
      </c>
      <c r="H6381">
        <v>0.03</v>
      </c>
      <c r="I6381">
        <v>0.47</v>
      </c>
      <c r="J6381" s="66">
        <v>0.22090000000000001</v>
      </c>
      <c r="K6381" t="str">
        <f>IFERROR(INDEX(Rosters!$C$2:$C$155,MATCH($B6381,Rosters!$B$2:$B$155,0)),"NA")</f>
        <v>NA</v>
      </c>
      <c r="L6381" t="str">
        <f t="shared" si="297"/>
        <v>NA16TE</v>
      </c>
      <c r="M6381">
        <f>COUNTIF(L$1:L6381,L6381)</f>
        <v>74</v>
      </c>
      <c r="N6381" t="str">
        <f t="shared" si="298"/>
        <v>NA16TE-74</v>
      </c>
      <c r="O6381">
        <f>COUNTIFS(F$1:F6381,F6381,A$1:A6381,A6381)</f>
        <v>88</v>
      </c>
      <c r="P6381" t="str">
        <f t="shared" si="299"/>
        <v>Alan Cross16</v>
      </c>
    </row>
    <row r="6382" spans="1:16" x14ac:dyDescent="0.25">
      <c r="A6382">
        <v>3</v>
      </c>
      <c r="B6382" t="s">
        <v>2715</v>
      </c>
      <c r="C6382">
        <f>-0.26-1.26</f>
        <v>-1.52</v>
      </c>
      <c r="D6382">
        <v>0.5</v>
      </c>
      <c r="E6382" t="s">
        <v>29</v>
      </c>
      <c r="F6382" t="s">
        <v>87</v>
      </c>
      <c r="G6382">
        <v>1.26</v>
      </c>
      <c r="H6382">
        <v>-0.26</v>
      </c>
      <c r="I6382">
        <v>0.76</v>
      </c>
      <c r="J6382" s="66">
        <v>0.5776</v>
      </c>
      <c r="K6382" t="str">
        <f>IFERROR(INDEX(Rosters!$C$2:$C$155,MATCH($B6382,Rosters!$B$2:$B$155,0)),"NA")</f>
        <v>NA</v>
      </c>
      <c r="L6382" t="str">
        <f t="shared" si="297"/>
        <v>NA3WR</v>
      </c>
      <c r="M6382">
        <f>COUNTIF(L$1:L6382,L6382)</f>
        <v>84</v>
      </c>
      <c r="N6382" t="str">
        <f t="shared" si="298"/>
        <v>NA3WR-84</v>
      </c>
      <c r="O6382">
        <f>COUNTIFS(F$1:F6382,F6382,A$1:A6382,A6382)</f>
        <v>133</v>
      </c>
      <c r="P6382" t="str">
        <f t="shared" si="299"/>
        <v>Aldrick Robinson3</v>
      </c>
    </row>
    <row r="6383" spans="1:16" x14ac:dyDescent="0.25">
      <c r="A6383">
        <v>2</v>
      </c>
      <c r="B6383" t="s">
        <v>346</v>
      </c>
      <c r="C6383">
        <f>-0.04-1.04</f>
        <v>-1.08</v>
      </c>
      <c r="D6383">
        <v>0.5</v>
      </c>
      <c r="E6383" t="s">
        <v>77</v>
      </c>
      <c r="F6383" t="s">
        <v>87</v>
      </c>
      <c r="G6383">
        <v>1.04</v>
      </c>
      <c r="H6383">
        <v>-0.04</v>
      </c>
      <c r="I6383">
        <v>0.54</v>
      </c>
      <c r="J6383">
        <v>0.29160000000000003</v>
      </c>
      <c r="K6383" t="str">
        <f>IFERROR(INDEX(Rosters!$C$2:$C$155,MATCH($B6383,Rosters!$B$2:$B$155,0)),"NA")</f>
        <v>NA</v>
      </c>
      <c r="L6383" t="str">
        <f t="shared" si="297"/>
        <v>NA2WR</v>
      </c>
      <c r="M6383">
        <f>COUNTIF(L$1:L6383,L6383)</f>
        <v>79</v>
      </c>
      <c r="N6383" t="str">
        <f t="shared" si="298"/>
        <v>NA2WR-79</v>
      </c>
      <c r="O6383">
        <f>COUNTIFS(F$1:F6383,F6383,A$1:A6383,A6383)</f>
        <v>128</v>
      </c>
      <c r="P6383" t="str">
        <f t="shared" si="299"/>
        <v>Alex Erickson2</v>
      </c>
    </row>
    <row r="6384" spans="1:16" x14ac:dyDescent="0.25">
      <c r="A6384">
        <v>7</v>
      </c>
      <c r="B6384" t="s">
        <v>346</v>
      </c>
      <c r="C6384" t="s">
        <v>3868</v>
      </c>
      <c r="D6384">
        <v>0.5</v>
      </c>
      <c r="E6384" t="s">
        <v>24</v>
      </c>
      <c r="F6384" t="s">
        <v>87</v>
      </c>
      <c r="G6384">
        <v>1</v>
      </c>
      <c r="H6384">
        <v>0</v>
      </c>
      <c r="I6384">
        <v>0.5</v>
      </c>
      <c r="J6384">
        <v>0.25</v>
      </c>
      <c r="K6384" t="str">
        <f>IFERROR(INDEX(Rosters!$C$2:$C$155,MATCH($B6384,Rosters!$B$2:$B$155,0)),"NA")</f>
        <v>NA</v>
      </c>
      <c r="L6384" t="str">
        <f t="shared" si="297"/>
        <v>NA7WR</v>
      </c>
      <c r="M6384">
        <f>COUNTIF(L$1:L6384,L6384)</f>
        <v>99</v>
      </c>
      <c r="N6384" t="str">
        <f t="shared" si="298"/>
        <v>NA7WR-99</v>
      </c>
      <c r="O6384">
        <f>COUNTIFS(F$1:F6384,F6384,A$1:A6384,A6384)</f>
        <v>144</v>
      </c>
      <c r="P6384" t="str">
        <f t="shared" si="299"/>
        <v>Alex Erickson7</v>
      </c>
    </row>
    <row r="6385" spans="1:16" x14ac:dyDescent="0.25">
      <c r="A6385">
        <v>5</v>
      </c>
      <c r="B6385" t="s">
        <v>385</v>
      </c>
      <c r="C6385" t="s">
        <v>4733</v>
      </c>
      <c r="D6385">
        <v>0.5</v>
      </c>
      <c r="E6385" t="s">
        <v>76</v>
      </c>
      <c r="F6385" t="s">
        <v>47</v>
      </c>
      <c r="G6385">
        <v>0.96</v>
      </c>
      <c r="H6385">
        <v>0.04</v>
      </c>
      <c r="I6385">
        <v>0.46</v>
      </c>
      <c r="J6385">
        <v>0.21160000000000001</v>
      </c>
      <c r="K6385" t="str">
        <f>IFERROR(INDEX(Rosters!$C$2:$C$155,MATCH($B6385,Rosters!$B$2:$B$155,0)),"NA")</f>
        <v>NA</v>
      </c>
      <c r="L6385" t="str">
        <f t="shared" si="297"/>
        <v>NA5RB</v>
      </c>
      <c r="M6385">
        <f>COUNTIF(L$1:L6385,L6385)</f>
        <v>61</v>
      </c>
      <c r="N6385" t="str">
        <f t="shared" si="298"/>
        <v>NA5RB-61</v>
      </c>
      <c r="O6385">
        <f>COUNTIFS(F$1:F6385,F6385,A$1:A6385,A6385)</f>
        <v>104</v>
      </c>
      <c r="P6385" t="str">
        <f t="shared" si="299"/>
        <v>Anthony Sherman5</v>
      </c>
    </row>
    <row r="6386" spans="1:16" x14ac:dyDescent="0.25">
      <c r="A6386">
        <v>9</v>
      </c>
      <c r="B6386" t="s">
        <v>385</v>
      </c>
      <c r="C6386">
        <f>-0.11-1.11</f>
        <v>-1.2200000000000002</v>
      </c>
      <c r="D6386">
        <v>0.5</v>
      </c>
      <c r="E6386" t="s">
        <v>52</v>
      </c>
      <c r="F6386" t="s">
        <v>47</v>
      </c>
      <c r="G6386">
        <v>1.1100000000000001</v>
      </c>
      <c r="H6386">
        <v>-0.11</v>
      </c>
      <c r="I6386">
        <v>0.61</v>
      </c>
      <c r="J6386">
        <v>0.37209999999999999</v>
      </c>
      <c r="K6386" t="str">
        <f>IFERROR(INDEX(Rosters!$C$2:$C$155,MATCH($B6386,Rosters!$B$2:$B$155,0)),"NA")</f>
        <v>NA</v>
      </c>
      <c r="L6386" t="str">
        <f t="shared" si="297"/>
        <v>NA9RB</v>
      </c>
      <c r="M6386">
        <f>COUNTIF(L$1:L6386,L6386)</f>
        <v>51</v>
      </c>
      <c r="N6386" t="str">
        <f t="shared" si="298"/>
        <v>NA9RB-51</v>
      </c>
      <c r="O6386">
        <f>COUNTIFS(F$1:F6386,F6386,A$1:A6386,A6386)</f>
        <v>91</v>
      </c>
      <c r="P6386" t="str">
        <f t="shared" si="299"/>
        <v>Anthony Sherman9</v>
      </c>
    </row>
    <row r="6387" spans="1:16" x14ac:dyDescent="0.25">
      <c r="A6387">
        <v>10</v>
      </c>
      <c r="B6387" t="s">
        <v>385</v>
      </c>
      <c r="C6387" t="s">
        <v>1785</v>
      </c>
      <c r="D6387">
        <v>0.5</v>
      </c>
      <c r="E6387" t="s">
        <v>58</v>
      </c>
      <c r="F6387" t="s">
        <v>47</v>
      </c>
      <c r="G6387">
        <v>0.95</v>
      </c>
      <c r="H6387">
        <v>0.05</v>
      </c>
      <c r="I6387">
        <v>0.45</v>
      </c>
      <c r="J6387">
        <v>0.20250000000000001</v>
      </c>
      <c r="K6387" t="str">
        <f>IFERROR(INDEX(Rosters!$C$2:$C$155,MATCH($B6387,Rosters!$B$2:$B$155,0)),"NA")</f>
        <v>NA</v>
      </c>
      <c r="L6387" t="str">
        <f t="shared" si="297"/>
        <v>NA10RB</v>
      </c>
      <c r="M6387">
        <f>COUNTIF(L$1:L6387,L6387)</f>
        <v>59</v>
      </c>
      <c r="N6387" t="str">
        <f t="shared" si="298"/>
        <v>NA10RB-59</v>
      </c>
      <c r="O6387">
        <f>COUNTIFS(F$1:F6387,F6387,A$1:A6387,A6387)</f>
        <v>98</v>
      </c>
      <c r="P6387" t="str">
        <f t="shared" si="299"/>
        <v>Anthony Sherman10</v>
      </c>
    </row>
    <row r="6388" spans="1:16" x14ac:dyDescent="0.25">
      <c r="A6388">
        <v>13</v>
      </c>
      <c r="B6388" t="s">
        <v>385</v>
      </c>
      <c r="C6388">
        <f>-0.07-1.07</f>
        <v>-1.1400000000000001</v>
      </c>
      <c r="D6388">
        <v>0.5</v>
      </c>
      <c r="E6388" t="s">
        <v>32</v>
      </c>
      <c r="F6388" t="s">
        <v>47</v>
      </c>
      <c r="G6388">
        <v>1.07</v>
      </c>
      <c r="H6388">
        <v>-7.0000000000000007E-2</v>
      </c>
      <c r="I6388">
        <v>0.56999999999999995</v>
      </c>
      <c r="J6388">
        <v>0.32490000000000002</v>
      </c>
      <c r="K6388" t="str">
        <f>IFERROR(INDEX(Rosters!$C$2:$C$155,MATCH($B6388,Rosters!$B$2:$B$155,0)),"NA")</f>
        <v>NA</v>
      </c>
      <c r="L6388" t="str">
        <f t="shared" si="297"/>
        <v>NA13RB</v>
      </c>
      <c r="M6388">
        <f>COUNTIF(L$1:L6388,L6388)</f>
        <v>72</v>
      </c>
      <c r="N6388" t="str">
        <f t="shared" si="298"/>
        <v>NA13RB-72</v>
      </c>
      <c r="O6388">
        <f>COUNTIFS(F$1:F6388,F6388,A$1:A6388,A6388)</f>
        <v>119</v>
      </c>
      <c r="P6388" t="str">
        <f t="shared" si="299"/>
        <v>Anthony Sherman13</v>
      </c>
    </row>
    <row r="6389" spans="1:16" x14ac:dyDescent="0.25">
      <c r="A6389">
        <v>11</v>
      </c>
      <c r="B6389" t="s">
        <v>1542</v>
      </c>
      <c r="C6389" t="s">
        <v>3869</v>
      </c>
      <c r="D6389">
        <v>0.5</v>
      </c>
      <c r="E6389" t="s">
        <v>54</v>
      </c>
      <c r="F6389" t="s">
        <v>114</v>
      </c>
      <c r="G6389">
        <v>0.99</v>
      </c>
      <c r="H6389">
        <v>0.01</v>
      </c>
      <c r="I6389">
        <v>0.49</v>
      </c>
      <c r="J6389">
        <v>0.24010000000000001</v>
      </c>
      <c r="K6389" t="str">
        <f>IFERROR(INDEX(Rosters!$C$2:$C$155,MATCH($B6389,Rosters!$B$2:$B$155,0)),"NA")</f>
        <v>NA</v>
      </c>
      <c r="L6389" t="str">
        <f t="shared" si="297"/>
        <v>NA11TE</v>
      </c>
      <c r="M6389">
        <f>COUNTIF(L$1:L6389,L6389)</f>
        <v>56</v>
      </c>
      <c r="N6389" t="str">
        <f t="shared" si="298"/>
        <v>NA11TE-56</v>
      </c>
      <c r="O6389">
        <f>COUNTIFS(F$1:F6389,F6389,A$1:A6389,A6389)</f>
        <v>68</v>
      </c>
      <c r="P6389" t="str">
        <f t="shared" si="299"/>
        <v>Antony Auclair11</v>
      </c>
    </row>
    <row r="6390" spans="1:16" x14ac:dyDescent="0.25">
      <c r="A6390">
        <v>15</v>
      </c>
      <c r="B6390" t="s">
        <v>1542</v>
      </c>
      <c r="C6390" t="s">
        <v>854</v>
      </c>
      <c r="D6390">
        <v>0.5</v>
      </c>
      <c r="E6390" t="s">
        <v>77</v>
      </c>
      <c r="F6390" t="s">
        <v>114</v>
      </c>
      <c r="G6390">
        <v>0.97</v>
      </c>
      <c r="H6390">
        <v>0.03</v>
      </c>
      <c r="I6390">
        <v>0.47</v>
      </c>
      <c r="J6390">
        <v>0.22090000000000001</v>
      </c>
      <c r="K6390" t="str">
        <f>IFERROR(INDEX(Rosters!$C$2:$C$155,MATCH($B6390,Rosters!$B$2:$B$155,0)),"NA")</f>
        <v>NA</v>
      </c>
      <c r="L6390" t="str">
        <f t="shared" si="297"/>
        <v>NA15TE</v>
      </c>
      <c r="M6390">
        <f>COUNTIF(L$1:L6390,L6390)</f>
        <v>71</v>
      </c>
      <c r="N6390" t="str">
        <f t="shared" si="298"/>
        <v>NA15TE-71</v>
      </c>
      <c r="O6390">
        <f>COUNTIFS(F$1:F6390,F6390,A$1:A6390,A6390)</f>
        <v>85</v>
      </c>
      <c r="P6390" t="str">
        <f t="shared" si="299"/>
        <v>Antony Auclair15</v>
      </c>
    </row>
    <row r="6391" spans="1:16" x14ac:dyDescent="0.25">
      <c r="A6391">
        <v>17</v>
      </c>
      <c r="B6391" t="s">
        <v>1542</v>
      </c>
      <c r="C6391" t="s">
        <v>8917</v>
      </c>
      <c r="D6391">
        <v>0.5</v>
      </c>
      <c r="E6391" t="s">
        <v>46</v>
      </c>
      <c r="F6391" t="s">
        <v>114</v>
      </c>
      <c r="G6391">
        <v>0.94</v>
      </c>
      <c r="H6391">
        <v>0.06</v>
      </c>
      <c r="I6391">
        <v>0.44</v>
      </c>
      <c r="J6391">
        <v>0.19359999999999999</v>
      </c>
      <c r="K6391" t="str">
        <f>IFERROR(INDEX(Rosters!$C$2:$C$155,MATCH($B6391,Rosters!$B$2:$B$155,0)),"NA")</f>
        <v>NA</v>
      </c>
      <c r="L6391" t="str">
        <f t="shared" si="297"/>
        <v>NA17TE</v>
      </c>
      <c r="M6391">
        <f>COUNTIF(L$1:L6391,L6391)</f>
        <v>68</v>
      </c>
      <c r="N6391" t="str">
        <f t="shared" si="298"/>
        <v>NA17TE-68</v>
      </c>
      <c r="O6391">
        <f>COUNTIFS(F$1:F6391,F6391,A$1:A6391,A6391)</f>
        <v>82</v>
      </c>
      <c r="P6391" t="str">
        <f t="shared" si="299"/>
        <v>Antony Auclair17</v>
      </c>
    </row>
    <row r="6392" spans="1:16" x14ac:dyDescent="0.25">
      <c r="A6392">
        <v>6</v>
      </c>
      <c r="B6392" t="s">
        <v>293</v>
      </c>
      <c r="C6392">
        <f>-0.17-1.17</f>
        <v>-1.3399999999999999</v>
      </c>
      <c r="D6392">
        <v>0.5</v>
      </c>
      <c r="E6392" t="s">
        <v>19</v>
      </c>
      <c r="F6392" t="s">
        <v>47</v>
      </c>
      <c r="G6392">
        <v>1.17</v>
      </c>
      <c r="H6392">
        <v>-0.17</v>
      </c>
      <c r="I6392">
        <v>0.67</v>
      </c>
      <c r="J6392">
        <v>0.44890000000000002</v>
      </c>
      <c r="K6392" t="str">
        <f>IFERROR(INDEX(Rosters!$C$2:$C$155,MATCH($B6392,Rosters!$B$2:$B$155,0)),"NA")</f>
        <v>NA</v>
      </c>
      <c r="L6392" t="str">
        <f t="shared" si="297"/>
        <v>NA6RB</v>
      </c>
      <c r="M6392">
        <f>COUNTIF(L$1:L6392,L6392)</f>
        <v>60</v>
      </c>
      <c r="N6392" t="str">
        <f t="shared" si="298"/>
        <v>NA6RB-60</v>
      </c>
      <c r="O6392">
        <f>COUNTIFS(F$1:F6392,F6392,A$1:A6392,A6392)</f>
        <v>102</v>
      </c>
      <c r="P6392" t="str">
        <f t="shared" si="299"/>
        <v>Benny Cunningham6</v>
      </c>
    </row>
    <row r="6393" spans="1:16" x14ac:dyDescent="0.25">
      <c r="A6393">
        <v>13</v>
      </c>
      <c r="B6393" t="s">
        <v>293</v>
      </c>
      <c r="C6393">
        <f>-0.15-1.15</f>
        <v>-1.2999999999999998</v>
      </c>
      <c r="D6393">
        <v>0.5</v>
      </c>
      <c r="E6393" t="s">
        <v>54</v>
      </c>
      <c r="F6393" t="s">
        <v>47</v>
      </c>
      <c r="G6393">
        <v>1.1499999999999999</v>
      </c>
      <c r="H6393">
        <v>-0.15</v>
      </c>
      <c r="I6393">
        <v>0.65</v>
      </c>
      <c r="J6393">
        <v>0.42249999999999999</v>
      </c>
      <c r="K6393" t="str">
        <f>IFERROR(INDEX(Rosters!$C$2:$C$155,MATCH($B6393,Rosters!$B$2:$B$155,0)),"NA")</f>
        <v>NA</v>
      </c>
      <c r="L6393" t="str">
        <f t="shared" si="297"/>
        <v>NA13RB</v>
      </c>
      <c r="M6393">
        <f>COUNTIF(L$1:L6393,L6393)</f>
        <v>73</v>
      </c>
      <c r="N6393" t="str">
        <f t="shared" si="298"/>
        <v>NA13RB-73</v>
      </c>
      <c r="O6393">
        <f>COUNTIFS(F$1:F6393,F6393,A$1:A6393,A6393)</f>
        <v>120</v>
      </c>
      <c r="P6393" t="str">
        <f t="shared" si="299"/>
        <v>Benny Cunningham13</v>
      </c>
    </row>
    <row r="6394" spans="1:16" x14ac:dyDescent="0.25">
      <c r="A6394">
        <v>15</v>
      </c>
      <c r="B6394" t="s">
        <v>293</v>
      </c>
      <c r="C6394">
        <f>-0.14-1.14</f>
        <v>-1.2799999999999998</v>
      </c>
      <c r="D6394">
        <v>0.5</v>
      </c>
      <c r="E6394" t="s">
        <v>41</v>
      </c>
      <c r="F6394" t="s">
        <v>47</v>
      </c>
      <c r="G6394">
        <v>1.1399999999999999</v>
      </c>
      <c r="H6394">
        <v>-0.14000000000000001</v>
      </c>
      <c r="I6394">
        <v>0.64</v>
      </c>
      <c r="J6394">
        <v>0.40960000000000002</v>
      </c>
      <c r="K6394" t="str">
        <f>IFERROR(INDEX(Rosters!$C$2:$C$155,MATCH($B6394,Rosters!$B$2:$B$155,0)),"NA")</f>
        <v>NA</v>
      </c>
      <c r="L6394" t="str">
        <f t="shared" si="297"/>
        <v>NA15RB</v>
      </c>
      <c r="M6394">
        <f>COUNTIF(L$1:L6394,L6394)</f>
        <v>69</v>
      </c>
      <c r="N6394" t="str">
        <f t="shared" si="298"/>
        <v>NA15RB-69</v>
      </c>
      <c r="O6394">
        <f>COUNTIFS(F$1:F6394,F6394,A$1:A6394,A6394)</f>
        <v>116</v>
      </c>
      <c r="P6394" t="str">
        <f t="shared" si="299"/>
        <v>Benny Cunningham15</v>
      </c>
    </row>
    <row r="6395" spans="1:16" x14ac:dyDescent="0.25">
      <c r="A6395">
        <v>9</v>
      </c>
      <c r="B6395" t="s">
        <v>2947</v>
      </c>
      <c r="C6395">
        <f>-0.04-1.04</f>
        <v>-1.08</v>
      </c>
      <c r="D6395">
        <v>0.5</v>
      </c>
      <c r="E6395" t="s">
        <v>60</v>
      </c>
      <c r="F6395" t="s">
        <v>47</v>
      </c>
      <c r="G6395">
        <v>1.04</v>
      </c>
      <c r="H6395">
        <v>-0.04</v>
      </c>
      <c r="I6395">
        <v>0.54</v>
      </c>
      <c r="J6395">
        <v>0.29160000000000003</v>
      </c>
      <c r="K6395" t="str">
        <f>IFERROR(INDEX(Rosters!$C$2:$C$155,MATCH($B6395,Rosters!$B$2:$B$155,0)),"NA")</f>
        <v>NA</v>
      </c>
      <c r="L6395" t="str">
        <f t="shared" si="297"/>
        <v>NA9RB</v>
      </c>
      <c r="M6395">
        <f>COUNTIF(L$1:L6395,L6395)</f>
        <v>52</v>
      </c>
      <c r="N6395" t="str">
        <f t="shared" si="298"/>
        <v>NA9RB-52</v>
      </c>
      <c r="O6395">
        <f>COUNTIFS(F$1:F6395,F6395,A$1:A6395,A6395)</f>
        <v>92</v>
      </c>
      <c r="P6395" t="str">
        <f t="shared" si="299"/>
        <v>Brian Hill9</v>
      </c>
    </row>
    <row r="6396" spans="1:16" x14ac:dyDescent="0.25">
      <c r="A6396">
        <v>17</v>
      </c>
      <c r="B6396" t="s">
        <v>8901</v>
      </c>
      <c r="C6396">
        <f>-0.08-1.08</f>
        <v>-1.1600000000000001</v>
      </c>
      <c r="D6396">
        <v>0.5</v>
      </c>
      <c r="E6396" t="s">
        <v>37</v>
      </c>
      <c r="F6396" t="s">
        <v>114</v>
      </c>
      <c r="G6396">
        <v>1.08</v>
      </c>
      <c r="H6396">
        <v>-0.08</v>
      </c>
      <c r="I6396">
        <v>0.57999999999999996</v>
      </c>
      <c r="J6396">
        <v>0.33639999999999998</v>
      </c>
      <c r="K6396" t="str">
        <f>IFERROR(INDEX(Rosters!$C$2:$C$155,MATCH($B6396,Rosters!$B$2:$B$155,0)),"NA")</f>
        <v>NA</v>
      </c>
      <c r="L6396" t="str">
        <f t="shared" si="297"/>
        <v>NA17TE</v>
      </c>
      <c r="M6396">
        <f>COUNTIF(L$1:L6396,L6396)</f>
        <v>69</v>
      </c>
      <c r="N6396" t="str">
        <f t="shared" si="298"/>
        <v>NA17TE-69</v>
      </c>
      <c r="O6396">
        <f>COUNTIFS(F$1:F6396,F6396,A$1:A6396,A6396)</f>
        <v>83</v>
      </c>
      <c r="P6396" t="str">
        <f t="shared" si="299"/>
        <v>Brian Parker17</v>
      </c>
    </row>
    <row r="6397" spans="1:16" x14ac:dyDescent="0.25">
      <c r="A6397">
        <v>1</v>
      </c>
      <c r="B6397" t="s">
        <v>301</v>
      </c>
      <c r="C6397" t="s">
        <v>1615</v>
      </c>
      <c r="D6397">
        <v>0.5</v>
      </c>
      <c r="E6397" t="s">
        <v>66</v>
      </c>
      <c r="F6397" t="s">
        <v>114</v>
      </c>
      <c r="G6397">
        <v>0.98</v>
      </c>
      <c r="H6397">
        <v>0.02</v>
      </c>
      <c r="I6397">
        <v>0.48</v>
      </c>
      <c r="J6397">
        <v>0.23039999999999999</v>
      </c>
      <c r="K6397" t="str">
        <f>IFERROR(INDEX(Rosters!$C$2:$C$155,MATCH($B6397,Rosters!$B$2:$B$155,0)),"NA")</f>
        <v>NA</v>
      </c>
      <c r="L6397" t="str">
        <f t="shared" si="297"/>
        <v>NA1TE</v>
      </c>
      <c r="M6397">
        <f>COUNTIF(L$1:L6397,L6397)</f>
        <v>52</v>
      </c>
      <c r="N6397" t="str">
        <f t="shared" si="298"/>
        <v>NA1TE-52</v>
      </c>
      <c r="O6397">
        <f>COUNTIFS(F$1:F6397,F6397,A$1:A6397,A6397)</f>
        <v>65</v>
      </c>
      <c r="P6397" t="str">
        <f t="shared" si="299"/>
        <v>C.J. Uzomah1</v>
      </c>
    </row>
    <row r="6398" spans="1:16" x14ac:dyDescent="0.25">
      <c r="A6398">
        <v>10</v>
      </c>
      <c r="B6398" t="s">
        <v>1562</v>
      </c>
      <c r="C6398">
        <f>-0.07-1.07</f>
        <v>-1.1400000000000001</v>
      </c>
      <c r="D6398">
        <v>0.5</v>
      </c>
      <c r="E6398" t="s">
        <v>54</v>
      </c>
      <c r="F6398" t="s">
        <v>114</v>
      </c>
      <c r="G6398">
        <v>1.07</v>
      </c>
      <c r="H6398">
        <v>-7.0000000000000007E-2</v>
      </c>
      <c r="I6398">
        <v>0.56999999999999995</v>
      </c>
      <c r="J6398">
        <v>0.32490000000000002</v>
      </c>
      <c r="K6398" t="str">
        <f>IFERROR(INDEX(Rosters!$C$2:$C$155,MATCH($B6398,Rosters!$B$2:$B$155,0)),"NA")</f>
        <v>NA</v>
      </c>
      <c r="L6398" t="str">
        <f t="shared" si="297"/>
        <v>NA10TE</v>
      </c>
      <c r="M6398">
        <f>COUNTIF(L$1:L6398,L6398)</f>
        <v>64</v>
      </c>
      <c r="N6398" t="str">
        <f t="shared" si="298"/>
        <v>NA10TE-64</v>
      </c>
      <c r="O6398">
        <f>COUNTIFS(F$1:F6398,F6398,A$1:A6398,A6398)</f>
        <v>77</v>
      </c>
      <c r="P6398" t="str">
        <f t="shared" si="299"/>
        <v>Cole Wick10</v>
      </c>
    </row>
    <row r="6399" spans="1:16" x14ac:dyDescent="0.25">
      <c r="A6399">
        <v>11</v>
      </c>
      <c r="B6399" t="s">
        <v>1559</v>
      </c>
      <c r="C6399">
        <f>-0.11-1.11</f>
        <v>-1.2200000000000002</v>
      </c>
      <c r="D6399">
        <v>0.5</v>
      </c>
      <c r="E6399" t="s">
        <v>25</v>
      </c>
      <c r="F6399" t="s">
        <v>114</v>
      </c>
      <c r="G6399">
        <v>1.1100000000000001</v>
      </c>
      <c r="H6399">
        <v>-0.11</v>
      </c>
      <c r="I6399">
        <v>0.61</v>
      </c>
      <c r="J6399">
        <v>0.37209999999999999</v>
      </c>
      <c r="K6399" t="str">
        <f>IFERROR(INDEX(Rosters!$C$2:$C$155,MATCH($B6399,Rosters!$B$2:$B$155,0)),"NA")</f>
        <v>NA</v>
      </c>
      <c r="L6399" t="str">
        <f t="shared" si="297"/>
        <v>NA11TE</v>
      </c>
      <c r="M6399">
        <f>COUNTIF(L$1:L6399,L6399)</f>
        <v>57</v>
      </c>
      <c r="N6399" t="str">
        <f t="shared" si="298"/>
        <v>NA11TE-57</v>
      </c>
      <c r="O6399">
        <f>COUNTIFS(F$1:F6399,F6399,A$1:A6399,A6399)</f>
        <v>69</v>
      </c>
      <c r="P6399" t="str">
        <f t="shared" si="299"/>
        <v>Daniel Brown11</v>
      </c>
    </row>
    <row r="6400" spans="1:16" x14ac:dyDescent="0.25">
      <c r="A6400">
        <v>5</v>
      </c>
      <c r="B6400" t="s">
        <v>1115</v>
      </c>
      <c r="C6400" t="s">
        <v>3868</v>
      </c>
      <c r="D6400">
        <v>0.5</v>
      </c>
      <c r="E6400" t="s">
        <v>29</v>
      </c>
      <c r="F6400" t="s">
        <v>87</v>
      </c>
      <c r="G6400">
        <v>1</v>
      </c>
      <c r="H6400">
        <v>0</v>
      </c>
      <c r="I6400">
        <v>0.5</v>
      </c>
      <c r="J6400" s="66">
        <v>0.25</v>
      </c>
      <c r="K6400" t="str">
        <f>IFERROR(INDEX(Rosters!$C$2:$C$155,MATCH($B6400,Rosters!$B$2:$B$155,0)),"NA")</f>
        <v>NA</v>
      </c>
      <c r="L6400" t="str">
        <f t="shared" si="297"/>
        <v>NA5WR</v>
      </c>
      <c r="M6400">
        <f>COUNTIF(L$1:L6400,L6400)</f>
        <v>99</v>
      </c>
      <c r="N6400" t="str">
        <f t="shared" si="298"/>
        <v>NA5WR-99</v>
      </c>
      <c r="O6400">
        <f>COUNTIFS(F$1:F6400,F6400,A$1:A6400,A6400)</f>
        <v>149</v>
      </c>
      <c r="P6400" t="str">
        <f t="shared" si="299"/>
        <v>Darius Jennings5</v>
      </c>
    </row>
    <row r="6401" spans="1:16" x14ac:dyDescent="0.25">
      <c r="A6401">
        <v>17</v>
      </c>
      <c r="B6401" t="s">
        <v>361</v>
      </c>
      <c r="C6401" t="s">
        <v>854</v>
      </c>
      <c r="D6401">
        <v>0.5</v>
      </c>
      <c r="E6401" t="s">
        <v>32</v>
      </c>
      <c r="F6401" t="s">
        <v>87</v>
      </c>
      <c r="G6401">
        <v>0.97</v>
      </c>
      <c r="H6401">
        <v>0.03</v>
      </c>
      <c r="I6401">
        <v>0.47</v>
      </c>
      <c r="J6401" s="66">
        <v>0.22090000000000001</v>
      </c>
      <c r="K6401" t="str">
        <f>IFERROR(INDEX(Rosters!$C$2:$C$155,MATCH($B6401,Rosters!$B$2:$B$155,0)),"NA")</f>
        <v>NA</v>
      </c>
      <c r="L6401" t="str">
        <f t="shared" si="297"/>
        <v>NA17WR</v>
      </c>
      <c r="M6401">
        <f>COUNTIF(L$1:L6401,L6401)</f>
        <v>116</v>
      </c>
      <c r="N6401" t="str">
        <f t="shared" si="298"/>
        <v>NA17WR-116</v>
      </c>
      <c r="O6401">
        <f>COUNTIFS(F$1:F6401,F6401,A$1:A6401,A6401)</f>
        <v>170</v>
      </c>
      <c r="P6401" t="str">
        <f t="shared" si="299"/>
        <v>De'Anthony Thomas17</v>
      </c>
    </row>
    <row r="6402" spans="1:16" x14ac:dyDescent="0.25">
      <c r="A6402">
        <v>10</v>
      </c>
      <c r="B6402" t="s">
        <v>218</v>
      </c>
      <c r="C6402" t="s">
        <v>3869</v>
      </c>
      <c r="D6402">
        <v>0.5</v>
      </c>
      <c r="E6402" t="s">
        <v>37</v>
      </c>
      <c r="F6402" t="s">
        <v>47</v>
      </c>
      <c r="G6402">
        <v>0.99</v>
      </c>
      <c r="H6402">
        <v>0.01</v>
      </c>
      <c r="I6402">
        <v>0.49</v>
      </c>
      <c r="J6402">
        <v>0.24010000000000001</v>
      </c>
      <c r="K6402" t="str">
        <f>IFERROR(INDEX(Rosters!$C$2:$C$155,MATCH($B6402,Rosters!$B$2:$B$155,0)),"NA")</f>
        <v>NA</v>
      </c>
      <c r="L6402" t="str">
        <f t="shared" si="297"/>
        <v>NA10RB</v>
      </c>
      <c r="M6402">
        <f>COUNTIF(L$1:L6402,L6402)</f>
        <v>60</v>
      </c>
      <c r="N6402" t="str">
        <f t="shared" si="298"/>
        <v>NA10RB-60</v>
      </c>
      <c r="O6402">
        <f>COUNTIFS(F$1:F6402,F6402,A$1:A6402,A6402)</f>
        <v>99</v>
      </c>
      <c r="P6402" t="str">
        <f t="shared" si="299"/>
        <v>DeAndre Washington10</v>
      </c>
    </row>
    <row r="6403" spans="1:16" x14ac:dyDescent="0.25">
      <c r="A6403">
        <v>13</v>
      </c>
      <c r="B6403" t="s">
        <v>341</v>
      </c>
      <c r="C6403" t="s">
        <v>8917</v>
      </c>
      <c r="D6403">
        <v>0.5</v>
      </c>
      <c r="E6403" t="s">
        <v>32</v>
      </c>
      <c r="F6403" t="s">
        <v>87</v>
      </c>
      <c r="G6403">
        <v>0.94</v>
      </c>
      <c r="H6403">
        <v>0.06</v>
      </c>
      <c r="I6403">
        <v>0.44</v>
      </c>
      <c r="J6403">
        <v>0.19359999999999999</v>
      </c>
      <c r="K6403" t="str">
        <f>IFERROR(INDEX(Rosters!$C$2:$C$155,MATCH($B6403,Rosters!$B$2:$B$155,0)),"NA")</f>
        <v>NA</v>
      </c>
      <c r="L6403" t="str">
        <f t="shared" ref="L6403:L6466" si="300">K6403&amp;A6403&amp;F6403</f>
        <v>NA13WR</v>
      </c>
      <c r="M6403">
        <f>COUNTIF(L$1:L6403,L6403)</f>
        <v>108</v>
      </c>
      <c r="N6403" t="str">
        <f t="shared" ref="N6403:N6466" si="301">L6403&amp;"-"&amp;M6403</f>
        <v>NA13WR-108</v>
      </c>
      <c r="O6403">
        <f>COUNTIFS(F$1:F6403,F6403,A$1:A6403,A6403)</f>
        <v>162</v>
      </c>
      <c r="P6403" t="str">
        <f t="shared" ref="P6403:P6466" si="302">B6403&amp;A6403</f>
        <v>Demarcus Robinson13</v>
      </c>
    </row>
    <row r="6404" spans="1:16" x14ac:dyDescent="0.25">
      <c r="A6404">
        <v>17</v>
      </c>
      <c r="B6404" t="s">
        <v>317</v>
      </c>
      <c r="C6404" t="s">
        <v>8918</v>
      </c>
      <c r="D6404">
        <v>0.5</v>
      </c>
      <c r="E6404" t="s">
        <v>42</v>
      </c>
      <c r="F6404" t="s">
        <v>47</v>
      </c>
      <c r="G6404">
        <v>0.91</v>
      </c>
      <c r="H6404">
        <v>0.09</v>
      </c>
      <c r="I6404">
        <v>0.41</v>
      </c>
      <c r="J6404" s="66">
        <v>0.1681</v>
      </c>
      <c r="K6404" t="str">
        <f>IFERROR(INDEX(Rosters!$C$2:$C$155,MATCH($B6404,Rosters!$B$2:$B$155,0)),"NA")</f>
        <v>NA</v>
      </c>
      <c r="L6404" t="str">
        <f t="shared" si="300"/>
        <v>NA17RB</v>
      </c>
      <c r="M6404">
        <f>COUNTIF(L$1:L6404,L6404)</f>
        <v>67</v>
      </c>
      <c r="N6404" t="str">
        <f t="shared" si="301"/>
        <v>NA17RB-67</v>
      </c>
      <c r="O6404">
        <f>COUNTIFS(F$1:F6404,F6404,A$1:A6404,A6404)</f>
        <v>114</v>
      </c>
      <c r="P6404" t="str">
        <f t="shared" si="302"/>
        <v>Derek Watt17</v>
      </c>
    </row>
    <row r="6405" spans="1:16" x14ac:dyDescent="0.25">
      <c r="A6405">
        <v>17</v>
      </c>
      <c r="B6405" t="s">
        <v>8907</v>
      </c>
      <c r="C6405">
        <f>-0.11-1.11</f>
        <v>-1.2200000000000002</v>
      </c>
      <c r="D6405">
        <v>0.5</v>
      </c>
      <c r="E6405" t="s">
        <v>29</v>
      </c>
      <c r="F6405" t="s">
        <v>114</v>
      </c>
      <c r="G6405">
        <v>1.1100000000000001</v>
      </c>
      <c r="H6405">
        <v>-0.11</v>
      </c>
      <c r="I6405">
        <v>0.61</v>
      </c>
      <c r="J6405" s="66">
        <v>0.37209999999999999</v>
      </c>
      <c r="K6405" t="str">
        <f>IFERROR(INDEX(Rosters!$C$2:$C$155,MATCH($B6405,Rosters!$B$2:$B$155,0)),"NA")</f>
        <v>NA</v>
      </c>
      <c r="L6405" t="str">
        <f t="shared" si="300"/>
        <v>NA17TE</v>
      </c>
      <c r="M6405">
        <f>COUNTIF(L$1:L6405,L6405)</f>
        <v>70</v>
      </c>
      <c r="N6405" t="str">
        <f t="shared" si="301"/>
        <v>NA17TE-70</v>
      </c>
      <c r="O6405">
        <f>COUNTIFS(F$1:F6405,F6405,A$1:A6405,A6405)</f>
        <v>84</v>
      </c>
      <c r="P6405" t="str">
        <f t="shared" si="302"/>
        <v>Durham Smythe17</v>
      </c>
    </row>
    <row r="6406" spans="1:16" x14ac:dyDescent="0.25">
      <c r="A6406">
        <v>6</v>
      </c>
      <c r="B6406" t="s">
        <v>2765</v>
      </c>
      <c r="C6406">
        <f>-0.01-1.01</f>
        <v>-1.02</v>
      </c>
      <c r="D6406">
        <v>0.5</v>
      </c>
      <c r="E6406" t="s">
        <v>50</v>
      </c>
      <c r="F6406" t="s">
        <v>47</v>
      </c>
      <c r="G6406">
        <v>1.01</v>
      </c>
      <c r="H6406">
        <v>-0.01</v>
      </c>
      <c r="I6406">
        <v>0.51</v>
      </c>
      <c r="J6406">
        <v>0.2601</v>
      </c>
      <c r="K6406" t="str">
        <f>IFERROR(INDEX(Rosters!$C$2:$C$155,MATCH($B6406,Rosters!$B$2:$B$155,0)),"NA")</f>
        <v>NA</v>
      </c>
      <c r="L6406" t="str">
        <f t="shared" si="300"/>
        <v>NA6RB</v>
      </c>
      <c r="M6406">
        <f>COUNTIF(L$1:L6406,L6406)</f>
        <v>61</v>
      </c>
      <c r="N6406" t="str">
        <f t="shared" si="301"/>
        <v>NA6RB-61</v>
      </c>
      <c r="O6406">
        <f>COUNTIFS(F$1:F6406,F6406,A$1:A6406,A6406)</f>
        <v>103</v>
      </c>
      <c r="P6406" t="str">
        <f t="shared" si="302"/>
        <v>Elijhaa Penny6</v>
      </c>
    </row>
    <row r="6407" spans="1:16" x14ac:dyDescent="0.25">
      <c r="A6407">
        <v>1</v>
      </c>
      <c r="B6407" t="s">
        <v>1586</v>
      </c>
      <c r="C6407">
        <f>-0.04-1.04</f>
        <v>-1.08</v>
      </c>
      <c r="D6407">
        <v>0.5</v>
      </c>
      <c r="E6407" t="s">
        <v>34</v>
      </c>
      <c r="F6407" t="s">
        <v>114</v>
      </c>
      <c r="G6407">
        <v>1.04</v>
      </c>
      <c r="H6407">
        <v>-0.04</v>
      </c>
      <c r="I6407">
        <v>0.54</v>
      </c>
      <c r="J6407">
        <v>0.29160000000000003</v>
      </c>
      <c r="K6407" t="str">
        <f>IFERROR(INDEX(Rosters!$C$2:$C$155,MATCH($B6407,Rosters!$B$2:$B$155,0)),"NA")</f>
        <v>NA</v>
      </c>
      <c r="L6407" t="str">
        <f t="shared" si="300"/>
        <v>NA1TE</v>
      </c>
      <c r="M6407">
        <f>COUNTIF(L$1:L6407,L6407)</f>
        <v>53</v>
      </c>
      <c r="N6407" t="str">
        <f t="shared" si="301"/>
        <v>NA1TE-53</v>
      </c>
      <c r="O6407">
        <f>COUNTIFS(F$1:F6407,F6407,A$1:A6407,A6407)</f>
        <v>66</v>
      </c>
      <c r="P6407" t="str">
        <f t="shared" si="302"/>
        <v>Eric Tomlinson1</v>
      </c>
    </row>
    <row r="6408" spans="1:16" x14ac:dyDescent="0.25">
      <c r="A6408">
        <v>2</v>
      </c>
      <c r="B6408" t="s">
        <v>1132</v>
      </c>
      <c r="C6408">
        <f>-0.14-1.14</f>
        <v>-1.2799999999999998</v>
      </c>
      <c r="D6408">
        <v>0.5</v>
      </c>
      <c r="E6408" t="s">
        <v>29</v>
      </c>
      <c r="F6408" t="s">
        <v>87</v>
      </c>
      <c r="G6408">
        <v>1.1399999999999999</v>
      </c>
      <c r="H6408">
        <v>-0.14000000000000001</v>
      </c>
      <c r="I6408">
        <v>0.64</v>
      </c>
      <c r="J6408">
        <v>0.40960000000000002</v>
      </c>
      <c r="K6408" t="str">
        <f>IFERROR(INDEX(Rosters!$C$2:$C$155,MATCH($B6408,Rosters!$B$2:$B$155,0)),"NA")</f>
        <v>NA</v>
      </c>
      <c r="L6408" t="str">
        <f t="shared" si="300"/>
        <v>NA2WR</v>
      </c>
      <c r="M6408">
        <f>COUNTIF(L$1:L6408,L6408)</f>
        <v>80</v>
      </c>
      <c r="N6408" t="str">
        <f t="shared" si="301"/>
        <v>NA2WR-80</v>
      </c>
      <c r="O6408">
        <f>COUNTIFS(F$1:F6408,F6408,A$1:A6408,A6408)</f>
        <v>129</v>
      </c>
      <c r="P6408" t="str">
        <f t="shared" si="302"/>
        <v>Geremy Davis2</v>
      </c>
    </row>
    <row r="6409" spans="1:16" x14ac:dyDescent="0.25">
      <c r="A6409">
        <v>12</v>
      </c>
      <c r="B6409" t="s">
        <v>2848</v>
      </c>
      <c r="C6409" t="s">
        <v>1615</v>
      </c>
      <c r="D6409">
        <v>0.5</v>
      </c>
      <c r="E6409" t="s">
        <v>60</v>
      </c>
      <c r="F6409" t="s">
        <v>47</v>
      </c>
      <c r="G6409">
        <v>0.98</v>
      </c>
      <c r="H6409">
        <v>0.02</v>
      </c>
      <c r="I6409">
        <v>0.48</v>
      </c>
      <c r="J6409">
        <v>0.23039999999999999</v>
      </c>
      <c r="K6409" t="str">
        <f>IFERROR(INDEX(Rosters!$C$2:$C$155,MATCH($B6409,Rosters!$B$2:$B$155,0)),"NA")</f>
        <v>NA</v>
      </c>
      <c r="L6409" t="str">
        <f t="shared" si="300"/>
        <v>NA12RB</v>
      </c>
      <c r="M6409">
        <f>COUNTIF(L$1:L6409,L6409)</f>
        <v>66</v>
      </c>
      <c r="N6409" t="str">
        <f t="shared" si="301"/>
        <v>NA12RB-66</v>
      </c>
      <c r="O6409">
        <f>COUNTIFS(F$1:F6409,F6409,A$1:A6409,A6409)</f>
        <v>111</v>
      </c>
      <c r="P6409" t="str">
        <f t="shared" si="302"/>
        <v>Jamize Olawale12</v>
      </c>
    </row>
    <row r="6410" spans="1:16" x14ac:dyDescent="0.25">
      <c r="A6410">
        <v>6</v>
      </c>
      <c r="B6410" t="s">
        <v>1548</v>
      </c>
      <c r="C6410">
        <f>-0.06-1.06</f>
        <v>-1.1200000000000001</v>
      </c>
      <c r="D6410">
        <v>0.5</v>
      </c>
      <c r="E6410" t="s">
        <v>74</v>
      </c>
      <c r="F6410" t="s">
        <v>114</v>
      </c>
      <c r="G6410">
        <v>1.06</v>
      </c>
      <c r="H6410">
        <v>-0.06</v>
      </c>
      <c r="I6410">
        <v>0.56000000000000005</v>
      </c>
      <c r="J6410" s="66">
        <v>0.31359999999999999</v>
      </c>
      <c r="K6410" t="str">
        <f>IFERROR(INDEX(Rosters!$C$2:$C$155,MATCH($B6410,Rosters!$B$2:$B$155,0)),"NA")</f>
        <v>NA</v>
      </c>
      <c r="L6410" t="str">
        <f t="shared" si="300"/>
        <v>NA6TE</v>
      </c>
      <c r="M6410">
        <f>COUNTIF(L$1:L6410,L6410)</f>
        <v>63</v>
      </c>
      <c r="N6410" t="str">
        <f t="shared" si="301"/>
        <v>NA6TE-63</v>
      </c>
      <c r="O6410">
        <f>COUNTIFS(F$1:F6410,F6410,A$1:A6410,A6410)</f>
        <v>75</v>
      </c>
      <c r="P6410" t="str">
        <f t="shared" si="302"/>
        <v>Jeremy Sprinkle6</v>
      </c>
    </row>
    <row r="6411" spans="1:16" x14ac:dyDescent="0.25">
      <c r="A6411">
        <v>11</v>
      </c>
      <c r="B6411" t="s">
        <v>1548</v>
      </c>
      <c r="C6411">
        <f>-0.04-1.04</f>
        <v>-1.08</v>
      </c>
      <c r="D6411">
        <v>0.5</v>
      </c>
      <c r="E6411" t="s">
        <v>36</v>
      </c>
      <c r="F6411" t="s">
        <v>114</v>
      </c>
      <c r="G6411">
        <v>1.04</v>
      </c>
      <c r="H6411">
        <v>-0.04</v>
      </c>
      <c r="I6411">
        <v>0.54</v>
      </c>
      <c r="J6411" s="66">
        <v>0.29160000000000003</v>
      </c>
      <c r="K6411" t="str">
        <f>IFERROR(INDEX(Rosters!$C$2:$C$155,MATCH($B6411,Rosters!$B$2:$B$155,0)),"NA")</f>
        <v>NA</v>
      </c>
      <c r="L6411" t="str">
        <f t="shared" si="300"/>
        <v>NA11TE</v>
      </c>
      <c r="M6411">
        <f>COUNTIF(L$1:L6411,L6411)</f>
        <v>58</v>
      </c>
      <c r="N6411" t="str">
        <f t="shared" si="301"/>
        <v>NA11TE-58</v>
      </c>
      <c r="O6411">
        <f>COUNTIFS(F$1:F6411,F6411,A$1:A6411,A6411)</f>
        <v>70</v>
      </c>
      <c r="P6411" t="str">
        <f t="shared" si="302"/>
        <v>Jeremy Sprinkle11</v>
      </c>
    </row>
    <row r="6412" spans="1:16" x14ac:dyDescent="0.25">
      <c r="A6412">
        <v>8</v>
      </c>
      <c r="B6412" t="s">
        <v>335</v>
      </c>
      <c r="C6412">
        <f>-0.08-1.08</f>
        <v>-1.1600000000000001</v>
      </c>
      <c r="D6412">
        <v>0.5</v>
      </c>
      <c r="E6412" t="s">
        <v>24</v>
      </c>
      <c r="F6412" t="s">
        <v>87</v>
      </c>
      <c r="G6412">
        <v>1.08</v>
      </c>
      <c r="H6412">
        <v>-0.08</v>
      </c>
      <c r="I6412">
        <v>0.57999999999999996</v>
      </c>
      <c r="J6412">
        <v>0.33639999999999998</v>
      </c>
      <c r="K6412" t="str">
        <f>IFERROR(INDEX(Rosters!$C$2:$C$155,MATCH($B6412,Rosters!$B$2:$B$155,0)),"NA")</f>
        <v>NA</v>
      </c>
      <c r="L6412" t="str">
        <f t="shared" si="300"/>
        <v>NA8WR</v>
      </c>
      <c r="M6412">
        <f>COUNTIF(L$1:L6412,L6412)</f>
        <v>93</v>
      </c>
      <c r="N6412" t="str">
        <f t="shared" si="301"/>
        <v>NA8WR-93</v>
      </c>
      <c r="O6412">
        <f>COUNTIFS(F$1:F6412,F6412,A$1:A6412,A6412)</f>
        <v>142</v>
      </c>
      <c r="P6412" t="str">
        <f t="shared" si="302"/>
        <v>Jordan Taylor8</v>
      </c>
    </row>
    <row r="6413" spans="1:16" x14ac:dyDescent="0.25">
      <c r="A6413">
        <v>16</v>
      </c>
      <c r="B6413" t="s">
        <v>335</v>
      </c>
      <c r="C6413">
        <f>-0.07-1.07</f>
        <v>-1.1400000000000001</v>
      </c>
      <c r="D6413">
        <v>0.5</v>
      </c>
      <c r="E6413" t="s">
        <v>32</v>
      </c>
      <c r="F6413" t="s">
        <v>87</v>
      </c>
      <c r="G6413">
        <v>1.07</v>
      </c>
      <c r="H6413">
        <v>-7.0000000000000007E-2</v>
      </c>
      <c r="I6413">
        <v>0.56999999999999995</v>
      </c>
      <c r="J6413">
        <v>0.32490000000000002</v>
      </c>
      <c r="K6413" t="str">
        <f>IFERROR(INDEX(Rosters!$C$2:$C$155,MATCH($B6413,Rosters!$B$2:$B$155,0)),"NA")</f>
        <v>NA</v>
      </c>
      <c r="L6413" t="str">
        <f t="shared" si="300"/>
        <v>NA16WR</v>
      </c>
      <c r="M6413">
        <f>COUNTIF(L$1:L6413,L6413)</f>
        <v>107</v>
      </c>
      <c r="N6413" t="str">
        <f t="shared" si="301"/>
        <v>NA16WR-107</v>
      </c>
      <c r="O6413">
        <f>COUNTIFS(F$1:F6413,F6413,A$1:A6413,A6413)</f>
        <v>161</v>
      </c>
      <c r="P6413" t="str">
        <f t="shared" si="302"/>
        <v>Jordan Taylor16</v>
      </c>
    </row>
    <row r="6414" spans="1:16" x14ac:dyDescent="0.25">
      <c r="A6414">
        <v>16</v>
      </c>
      <c r="B6414" t="s">
        <v>4252</v>
      </c>
      <c r="C6414" t="s">
        <v>3868</v>
      </c>
      <c r="D6414">
        <v>0.5</v>
      </c>
      <c r="E6414" t="s">
        <v>36</v>
      </c>
      <c r="F6414" t="s">
        <v>114</v>
      </c>
      <c r="G6414">
        <v>1</v>
      </c>
      <c r="H6414">
        <v>0</v>
      </c>
      <c r="I6414">
        <v>0.5</v>
      </c>
      <c r="J6414">
        <v>0.25</v>
      </c>
      <c r="K6414" t="str">
        <f>IFERROR(INDEX(Rosters!$C$2:$C$155,MATCH($B6414,Rosters!$B$2:$B$155,0)),"NA")</f>
        <v>NA</v>
      </c>
      <c r="L6414" t="str">
        <f t="shared" si="300"/>
        <v>NA16TE</v>
      </c>
      <c r="M6414">
        <f>COUNTIF(L$1:L6414,L6414)</f>
        <v>75</v>
      </c>
      <c r="N6414" t="str">
        <f t="shared" si="301"/>
        <v>NA16TE-75</v>
      </c>
      <c r="O6414">
        <f>COUNTIFS(F$1:F6414,F6414,A$1:A6414,A6414)</f>
        <v>89</v>
      </c>
      <c r="P6414" t="str">
        <f t="shared" si="302"/>
        <v>Joshua Perkins16</v>
      </c>
    </row>
    <row r="6415" spans="1:16" x14ac:dyDescent="0.25">
      <c r="A6415">
        <v>6</v>
      </c>
      <c r="B6415" t="s">
        <v>1473</v>
      </c>
      <c r="C6415">
        <f>-0.02-1.02</f>
        <v>-1.04</v>
      </c>
      <c r="D6415">
        <v>0.5</v>
      </c>
      <c r="E6415" t="s">
        <v>52</v>
      </c>
      <c r="F6415" t="s">
        <v>47</v>
      </c>
      <c r="G6415">
        <v>1.02</v>
      </c>
      <c r="H6415">
        <v>-0.02</v>
      </c>
      <c r="I6415">
        <v>0.52</v>
      </c>
      <c r="J6415">
        <v>0.27039999999999997</v>
      </c>
      <c r="K6415" t="str">
        <f>IFERROR(INDEX(Rosters!$C$2:$C$155,MATCH($B6415,Rosters!$B$2:$B$155,0)),"NA")</f>
        <v>NA</v>
      </c>
      <c r="L6415" t="str">
        <f t="shared" si="300"/>
        <v>NA6RB</v>
      </c>
      <c r="M6415">
        <f>COUNTIF(L$1:L6415,L6415)</f>
        <v>62</v>
      </c>
      <c r="N6415" t="str">
        <f t="shared" si="301"/>
        <v>NA6RB-62</v>
      </c>
      <c r="O6415">
        <f>COUNTIFS(F$1:F6415,F6415,A$1:A6415,A6415)</f>
        <v>104</v>
      </c>
      <c r="P6415" t="str">
        <f t="shared" si="302"/>
        <v>Justin Jackson6</v>
      </c>
    </row>
    <row r="6416" spans="1:16" x14ac:dyDescent="0.25">
      <c r="A6416">
        <v>7</v>
      </c>
      <c r="B6416" t="s">
        <v>1597</v>
      </c>
      <c r="C6416">
        <f>-0.05-1.05</f>
        <v>-1.1000000000000001</v>
      </c>
      <c r="D6416">
        <v>0.5</v>
      </c>
      <c r="E6416" t="s">
        <v>66</v>
      </c>
      <c r="F6416" t="s">
        <v>114</v>
      </c>
      <c r="G6416">
        <v>1.05</v>
      </c>
      <c r="H6416">
        <v>-0.05</v>
      </c>
      <c r="I6416">
        <v>0.55000000000000004</v>
      </c>
      <c r="J6416">
        <v>0.30249999999999999</v>
      </c>
      <c r="K6416" t="str">
        <f>IFERROR(INDEX(Rosters!$C$2:$C$155,MATCH($B6416,Rosters!$B$2:$B$155,0)),"NA")</f>
        <v>NA</v>
      </c>
      <c r="L6416" t="str">
        <f t="shared" si="300"/>
        <v>NA7TE</v>
      </c>
      <c r="M6416">
        <f>COUNTIF(L$1:L6416,L6416)</f>
        <v>65</v>
      </c>
      <c r="N6416" t="str">
        <f t="shared" si="301"/>
        <v>NA7TE-65</v>
      </c>
      <c r="O6416">
        <f>COUNTIFS(F$1:F6416,F6416,A$1:A6416,A6416)</f>
        <v>75</v>
      </c>
      <c r="P6416" t="str">
        <f t="shared" si="302"/>
        <v>Khari Lee7</v>
      </c>
    </row>
    <row r="6417" spans="1:16" x14ac:dyDescent="0.25">
      <c r="A6417">
        <v>8</v>
      </c>
      <c r="B6417" t="s">
        <v>288</v>
      </c>
      <c r="C6417" t="s">
        <v>3868</v>
      </c>
      <c r="D6417">
        <v>0.5</v>
      </c>
      <c r="E6417" t="s">
        <v>56</v>
      </c>
      <c r="F6417" t="s">
        <v>114</v>
      </c>
      <c r="G6417">
        <v>1</v>
      </c>
      <c r="H6417">
        <v>0</v>
      </c>
      <c r="I6417">
        <v>0.5</v>
      </c>
      <c r="J6417">
        <v>0.25</v>
      </c>
      <c r="K6417" t="str">
        <f>IFERROR(INDEX(Rosters!$C$2:$C$155,MATCH($B6417,Rosters!$B$2:$B$155,0)),"NA")</f>
        <v>NA</v>
      </c>
      <c r="L6417" t="str">
        <f t="shared" si="300"/>
        <v>NA8TE</v>
      </c>
      <c r="M6417">
        <f>COUNTIF(L$1:L6417,L6417)</f>
        <v>60</v>
      </c>
      <c r="N6417" t="str">
        <f t="shared" si="301"/>
        <v>NA8TE-60</v>
      </c>
      <c r="O6417">
        <f>COUNTIFS(F$1:F6417,F6417,A$1:A6417,A6417)</f>
        <v>72</v>
      </c>
      <c r="P6417" t="str">
        <f t="shared" si="302"/>
        <v>Marcedes Lewis8</v>
      </c>
    </row>
    <row r="6418" spans="1:16" x14ac:dyDescent="0.25">
      <c r="A6418">
        <v>16</v>
      </c>
      <c r="B6418" t="s">
        <v>1633</v>
      </c>
      <c r="C6418">
        <f>-0.04-1.04</f>
        <v>-1.08</v>
      </c>
      <c r="D6418">
        <v>0.5</v>
      </c>
      <c r="E6418" t="s">
        <v>54</v>
      </c>
      <c r="F6418" t="s">
        <v>87</v>
      </c>
      <c r="G6418">
        <v>1.04</v>
      </c>
      <c r="H6418">
        <v>-0.04</v>
      </c>
      <c r="I6418">
        <v>0.54</v>
      </c>
      <c r="J6418">
        <v>0.29160000000000003</v>
      </c>
      <c r="K6418" t="str">
        <f>IFERROR(INDEX(Rosters!$C$2:$C$155,MATCH($B6418,Rosters!$B$2:$B$155,0)),"NA")</f>
        <v>NA</v>
      </c>
      <c r="L6418" t="str">
        <f t="shared" si="300"/>
        <v>NA16WR</v>
      </c>
      <c r="M6418">
        <f>COUNTIF(L$1:L6418,L6418)</f>
        <v>108</v>
      </c>
      <c r="N6418" t="str">
        <f t="shared" si="301"/>
        <v>NA16WR-108</v>
      </c>
      <c r="O6418">
        <f>COUNTIFS(F$1:F6418,F6418,A$1:A6418,A6418)</f>
        <v>162</v>
      </c>
      <c r="P6418" t="str">
        <f t="shared" si="302"/>
        <v>Marcus Johnson16</v>
      </c>
    </row>
    <row r="6419" spans="1:16" x14ac:dyDescent="0.25">
      <c r="A6419">
        <v>10</v>
      </c>
      <c r="B6419" t="s">
        <v>2921</v>
      </c>
      <c r="C6419">
        <f>-0.08-1.08</f>
        <v>-1.1600000000000001</v>
      </c>
      <c r="D6419">
        <v>0.5</v>
      </c>
      <c r="E6419" t="s">
        <v>17</v>
      </c>
      <c r="F6419" t="s">
        <v>87</v>
      </c>
      <c r="G6419">
        <v>1.08</v>
      </c>
      <c r="H6419">
        <v>-0.08</v>
      </c>
      <c r="I6419">
        <v>0.57999999999999996</v>
      </c>
      <c r="J6419">
        <v>0.33639999999999998</v>
      </c>
      <c r="K6419" t="str">
        <f>IFERROR(INDEX(Rosters!$C$2:$C$155,MATCH($B6419,Rosters!$B$2:$B$155,0)),"NA")</f>
        <v>NA</v>
      </c>
      <c r="L6419" t="str">
        <f t="shared" si="300"/>
        <v>NA10WR</v>
      </c>
      <c r="M6419">
        <f>COUNTIF(L$1:L6419,L6419)</f>
        <v>102</v>
      </c>
      <c r="N6419" t="str">
        <f t="shared" si="301"/>
        <v>NA10WR-102</v>
      </c>
      <c r="O6419">
        <f>COUNTIFS(F$1:F6419,F6419,A$1:A6419,A6419)</f>
        <v>147</v>
      </c>
      <c r="P6419" t="str">
        <f t="shared" si="302"/>
        <v>Michael Floyd10</v>
      </c>
    </row>
    <row r="6420" spans="1:16" x14ac:dyDescent="0.25">
      <c r="A6420">
        <v>11</v>
      </c>
      <c r="B6420" t="s">
        <v>2921</v>
      </c>
      <c r="C6420">
        <f>-0.07-1.07</f>
        <v>-1.1400000000000001</v>
      </c>
      <c r="D6420">
        <v>0.5</v>
      </c>
      <c r="E6420" t="s">
        <v>36</v>
      </c>
      <c r="F6420" t="s">
        <v>87</v>
      </c>
      <c r="G6420">
        <v>1.07</v>
      </c>
      <c r="H6420">
        <v>-7.0000000000000007E-2</v>
      </c>
      <c r="I6420">
        <v>0.56999999999999995</v>
      </c>
      <c r="J6420">
        <v>0.32490000000000002</v>
      </c>
      <c r="K6420" t="str">
        <f>IFERROR(INDEX(Rosters!$C$2:$C$155,MATCH($B6420,Rosters!$B$2:$B$155,0)),"NA")</f>
        <v>NA</v>
      </c>
      <c r="L6420" t="str">
        <f t="shared" si="300"/>
        <v>NA11WR</v>
      </c>
      <c r="M6420">
        <f>COUNTIF(L$1:L6420,L6420)</f>
        <v>88</v>
      </c>
      <c r="N6420" t="str">
        <f t="shared" si="301"/>
        <v>NA11WR-88</v>
      </c>
      <c r="O6420">
        <f>COUNTIFS(F$1:F6420,F6420,A$1:A6420,A6420)</f>
        <v>135</v>
      </c>
      <c r="P6420" t="str">
        <f t="shared" si="302"/>
        <v>Michael Floyd11</v>
      </c>
    </row>
    <row r="6421" spans="1:16" x14ac:dyDescent="0.25">
      <c r="A6421">
        <v>12</v>
      </c>
      <c r="B6421" t="s">
        <v>2921</v>
      </c>
      <c r="C6421">
        <f>-0.09-1.09</f>
        <v>-1.1800000000000002</v>
      </c>
      <c r="D6421">
        <v>0.5</v>
      </c>
      <c r="E6421" t="s">
        <v>22</v>
      </c>
      <c r="F6421" t="s">
        <v>87</v>
      </c>
      <c r="G6421">
        <v>1.0900000000000001</v>
      </c>
      <c r="H6421">
        <v>-0.09</v>
      </c>
      <c r="I6421">
        <v>0.59</v>
      </c>
      <c r="J6421">
        <v>0.34810000000000002</v>
      </c>
      <c r="K6421" t="str">
        <f>IFERROR(INDEX(Rosters!$C$2:$C$155,MATCH($B6421,Rosters!$B$2:$B$155,0)),"NA")</f>
        <v>NA</v>
      </c>
      <c r="L6421" t="str">
        <f t="shared" si="300"/>
        <v>NA12WR</v>
      </c>
      <c r="M6421">
        <f>COUNTIF(L$1:L6421,L6421)</f>
        <v>106</v>
      </c>
      <c r="N6421" t="str">
        <f t="shared" si="301"/>
        <v>NA12WR-106</v>
      </c>
      <c r="O6421">
        <f>COUNTIFS(F$1:F6421,F6421,A$1:A6421,A6421)</f>
        <v>155</v>
      </c>
      <c r="P6421" t="str">
        <f t="shared" si="302"/>
        <v>Michael Floyd12</v>
      </c>
    </row>
    <row r="6422" spans="1:16" x14ac:dyDescent="0.25">
      <c r="A6422">
        <v>14</v>
      </c>
      <c r="B6422" t="s">
        <v>2921</v>
      </c>
      <c r="C6422">
        <f>-0.14-1.14</f>
        <v>-1.2799999999999998</v>
      </c>
      <c r="D6422">
        <v>0.5</v>
      </c>
      <c r="E6422" t="s">
        <v>54</v>
      </c>
      <c r="F6422" t="s">
        <v>87</v>
      </c>
      <c r="G6422">
        <v>1.1399999999999999</v>
      </c>
      <c r="H6422">
        <v>-0.14000000000000001</v>
      </c>
      <c r="I6422">
        <v>0.64</v>
      </c>
      <c r="J6422">
        <v>0.40960000000000002</v>
      </c>
      <c r="K6422" t="str">
        <f>IFERROR(INDEX(Rosters!$C$2:$C$155,MATCH($B6422,Rosters!$B$2:$B$155,0)),"NA")</f>
        <v>NA</v>
      </c>
      <c r="L6422" t="str">
        <f t="shared" si="300"/>
        <v>NA14WR</v>
      </c>
      <c r="M6422">
        <f>COUNTIF(L$1:L6422,L6422)</f>
        <v>109</v>
      </c>
      <c r="N6422" t="str">
        <f t="shared" si="301"/>
        <v>NA14WR-109</v>
      </c>
      <c r="O6422">
        <f>COUNTIFS(F$1:F6422,F6422,A$1:A6422,A6422)</f>
        <v>163</v>
      </c>
      <c r="P6422" t="str">
        <f t="shared" si="302"/>
        <v>Michael Floyd14</v>
      </c>
    </row>
    <row r="6423" spans="1:16" x14ac:dyDescent="0.25">
      <c r="A6423">
        <v>7</v>
      </c>
      <c r="B6423" t="s">
        <v>8855</v>
      </c>
      <c r="C6423">
        <f>-0.05-1.05</f>
        <v>-1.1000000000000001</v>
      </c>
      <c r="D6423">
        <v>0.5</v>
      </c>
      <c r="E6423" t="s">
        <v>29</v>
      </c>
      <c r="F6423" t="s">
        <v>114</v>
      </c>
      <c r="G6423">
        <v>1.05</v>
      </c>
      <c r="H6423">
        <v>-0.05</v>
      </c>
      <c r="I6423">
        <v>0.55000000000000004</v>
      </c>
      <c r="J6423">
        <v>0.30249999999999999</v>
      </c>
      <c r="K6423" t="str">
        <f>IFERROR(INDEX(Rosters!$C$2:$C$155,MATCH($B6423,Rosters!$B$2:$B$155,0)),"NA")</f>
        <v>NA</v>
      </c>
      <c r="L6423" t="str">
        <f t="shared" si="300"/>
        <v>NA7TE</v>
      </c>
      <c r="M6423">
        <f>COUNTIF(L$1:L6423,L6423)</f>
        <v>66</v>
      </c>
      <c r="N6423" t="str">
        <f t="shared" si="301"/>
        <v>NA7TE-66</v>
      </c>
      <c r="O6423">
        <f>COUNTIFS(F$1:F6423,F6423,A$1:A6423,A6423)</f>
        <v>76</v>
      </c>
      <c r="P6423" t="str">
        <f t="shared" si="302"/>
        <v>Mo Alie-Cox7</v>
      </c>
    </row>
    <row r="6424" spans="1:16" x14ac:dyDescent="0.25">
      <c r="A6424">
        <v>8</v>
      </c>
      <c r="B6424" t="s">
        <v>8855</v>
      </c>
      <c r="C6424">
        <f>-0.01-1.01</f>
        <v>-1.02</v>
      </c>
      <c r="D6424">
        <v>0.5</v>
      </c>
      <c r="E6424" t="s">
        <v>32</v>
      </c>
      <c r="F6424" t="s">
        <v>114</v>
      </c>
      <c r="G6424">
        <v>1.01</v>
      </c>
      <c r="H6424">
        <v>-0.01</v>
      </c>
      <c r="I6424">
        <v>0.51</v>
      </c>
      <c r="J6424">
        <v>0.2601</v>
      </c>
      <c r="K6424" t="str">
        <f>IFERROR(INDEX(Rosters!$C$2:$C$155,MATCH($B6424,Rosters!$B$2:$B$155,0)),"NA")</f>
        <v>NA</v>
      </c>
      <c r="L6424" t="str">
        <f t="shared" si="300"/>
        <v>NA8TE</v>
      </c>
      <c r="M6424">
        <f>COUNTIF(L$1:L6424,L6424)</f>
        <v>61</v>
      </c>
      <c r="N6424" t="str">
        <f t="shared" si="301"/>
        <v>NA8TE-61</v>
      </c>
      <c r="O6424">
        <f>COUNTIFS(F$1:F6424,F6424,A$1:A6424,A6424)</f>
        <v>73</v>
      </c>
      <c r="P6424" t="str">
        <f t="shared" si="302"/>
        <v>Mo Alie-Cox8</v>
      </c>
    </row>
    <row r="6425" spans="1:16" x14ac:dyDescent="0.25">
      <c r="A6425">
        <v>11</v>
      </c>
      <c r="B6425" t="s">
        <v>8855</v>
      </c>
      <c r="C6425" t="s">
        <v>4733</v>
      </c>
      <c r="D6425">
        <v>0.5</v>
      </c>
      <c r="E6425" t="s">
        <v>38</v>
      </c>
      <c r="F6425" t="s">
        <v>114</v>
      </c>
      <c r="G6425">
        <v>0.96</v>
      </c>
      <c r="H6425">
        <v>0.04</v>
      </c>
      <c r="I6425">
        <v>0.46</v>
      </c>
      <c r="J6425">
        <v>0.21160000000000001</v>
      </c>
      <c r="K6425" t="str">
        <f>IFERROR(INDEX(Rosters!$C$2:$C$155,MATCH($B6425,Rosters!$B$2:$B$155,0)),"NA")</f>
        <v>NA</v>
      </c>
      <c r="L6425" t="str">
        <f t="shared" si="300"/>
        <v>NA11TE</v>
      </c>
      <c r="M6425">
        <f>COUNTIF(L$1:L6425,L6425)</f>
        <v>59</v>
      </c>
      <c r="N6425" t="str">
        <f t="shared" si="301"/>
        <v>NA11TE-59</v>
      </c>
      <c r="O6425">
        <f>COUNTIFS(F$1:F6425,F6425,A$1:A6425,A6425)</f>
        <v>71</v>
      </c>
      <c r="P6425" t="str">
        <f t="shared" si="302"/>
        <v>Mo Alie-Cox11</v>
      </c>
    </row>
    <row r="6426" spans="1:16" x14ac:dyDescent="0.25">
      <c r="A6426">
        <v>6</v>
      </c>
      <c r="B6426" t="s">
        <v>2968</v>
      </c>
      <c r="C6426">
        <f>-0.08-1.08</f>
        <v>-1.1600000000000001</v>
      </c>
      <c r="D6426">
        <v>0.5</v>
      </c>
      <c r="E6426" t="s">
        <v>37</v>
      </c>
      <c r="F6426" t="s">
        <v>114</v>
      </c>
      <c r="G6426">
        <v>1.08</v>
      </c>
      <c r="H6426">
        <v>-0.08</v>
      </c>
      <c r="I6426">
        <v>0.57999999999999996</v>
      </c>
      <c r="J6426">
        <v>0.33639999999999998</v>
      </c>
      <c r="K6426" t="str">
        <f>IFERROR(INDEX(Rosters!$C$2:$C$155,MATCH($B6426,Rosters!$B$2:$B$155,0)),"NA")</f>
        <v>NA</v>
      </c>
      <c r="L6426" t="str">
        <f t="shared" si="300"/>
        <v>NA6TE</v>
      </c>
      <c r="M6426">
        <f>COUNTIF(L$1:L6426,L6426)</f>
        <v>64</v>
      </c>
      <c r="N6426" t="str">
        <f t="shared" si="301"/>
        <v>NA6TE-64</v>
      </c>
      <c r="O6426">
        <f>COUNTIFS(F$1:F6426,F6426,A$1:A6426,A6426)</f>
        <v>76</v>
      </c>
      <c r="P6426" t="str">
        <f t="shared" si="302"/>
        <v>Orson Charles6</v>
      </c>
    </row>
    <row r="6427" spans="1:16" x14ac:dyDescent="0.25">
      <c r="A6427">
        <v>9</v>
      </c>
      <c r="B6427" t="s">
        <v>328</v>
      </c>
      <c r="C6427">
        <f>-0.14-1.14</f>
        <v>-1.2799999999999998</v>
      </c>
      <c r="D6427">
        <v>0.5</v>
      </c>
      <c r="E6427" t="s">
        <v>72</v>
      </c>
      <c r="F6427" t="s">
        <v>47</v>
      </c>
      <c r="G6427">
        <v>1.1399999999999999</v>
      </c>
      <c r="H6427">
        <v>-0.14000000000000001</v>
      </c>
      <c r="I6427">
        <v>0.64</v>
      </c>
      <c r="J6427">
        <v>0.40960000000000002</v>
      </c>
      <c r="K6427" t="str">
        <f>IFERROR(INDEX(Rosters!$C$2:$C$155,MATCH($B6427,Rosters!$B$2:$B$155,0)),"NA")</f>
        <v>NA</v>
      </c>
      <c r="L6427" t="str">
        <f t="shared" si="300"/>
        <v>NA9RB</v>
      </c>
      <c r="M6427">
        <f>COUNTIF(L$1:L6427,L6427)</f>
        <v>53</v>
      </c>
      <c r="N6427" t="str">
        <f t="shared" si="301"/>
        <v>NA9RB-53</v>
      </c>
      <c r="O6427">
        <f>COUNTIFS(F$1:F6427,F6427,A$1:A6427,A6427)</f>
        <v>93</v>
      </c>
      <c r="P6427" t="str">
        <f t="shared" si="302"/>
        <v>Patrick DiMarco9</v>
      </c>
    </row>
    <row r="6428" spans="1:16" x14ac:dyDescent="0.25">
      <c r="A6428">
        <v>7</v>
      </c>
      <c r="B6428" t="s">
        <v>164</v>
      </c>
      <c r="C6428" t="s">
        <v>4733</v>
      </c>
      <c r="D6428">
        <v>0.5</v>
      </c>
      <c r="E6428" t="s">
        <v>22</v>
      </c>
      <c r="F6428" t="s">
        <v>47</v>
      </c>
      <c r="G6428">
        <v>0.96</v>
      </c>
      <c r="H6428">
        <v>0.04</v>
      </c>
      <c r="I6428">
        <v>0.46</v>
      </c>
      <c r="J6428">
        <v>0.21160000000000001</v>
      </c>
      <c r="K6428" t="str">
        <f>IFERROR(INDEX(Rosters!$C$2:$C$155,MATCH($B6428,Rosters!$B$2:$B$155,0)),"NA")</f>
        <v>NA</v>
      </c>
      <c r="L6428" t="str">
        <f t="shared" si="300"/>
        <v>NA7RB</v>
      </c>
      <c r="M6428">
        <f>COUNTIF(L$1:L6428,L6428)</f>
        <v>55</v>
      </c>
      <c r="N6428" t="str">
        <f t="shared" si="301"/>
        <v>NA7RB-55</v>
      </c>
      <c r="O6428">
        <f>COUNTIFS(F$1:F6428,F6428,A$1:A6428,A6428)</f>
        <v>96</v>
      </c>
      <c r="P6428" t="str">
        <f t="shared" si="302"/>
        <v>Samaje Perine7</v>
      </c>
    </row>
    <row r="6429" spans="1:16" x14ac:dyDescent="0.25">
      <c r="A6429">
        <v>14</v>
      </c>
      <c r="B6429" t="s">
        <v>337</v>
      </c>
      <c r="C6429">
        <f>-0.07-1.07</f>
        <v>-1.1400000000000001</v>
      </c>
      <c r="D6429">
        <v>0.5</v>
      </c>
      <c r="E6429" t="s">
        <v>66</v>
      </c>
      <c r="F6429" t="s">
        <v>87</v>
      </c>
      <c r="G6429">
        <v>1.07</v>
      </c>
      <c r="H6429">
        <v>-7.0000000000000007E-2</v>
      </c>
      <c r="I6429">
        <v>0.56999999999999995</v>
      </c>
      <c r="J6429">
        <v>0.32490000000000002</v>
      </c>
      <c r="K6429" t="str">
        <f>IFERROR(INDEX(Rosters!$C$2:$C$155,MATCH($B6429,Rosters!$B$2:$B$155,0)),"NA")</f>
        <v>NA</v>
      </c>
      <c r="L6429" t="str">
        <f t="shared" si="300"/>
        <v>NA14WR</v>
      </c>
      <c r="M6429">
        <f>COUNTIF(L$1:L6429,L6429)</f>
        <v>110</v>
      </c>
      <c r="N6429" t="str">
        <f t="shared" si="301"/>
        <v>NA14WR-110</v>
      </c>
      <c r="O6429">
        <f>COUNTIFS(F$1:F6429,F6429,A$1:A6429,A6429)</f>
        <v>164</v>
      </c>
      <c r="P6429" t="str">
        <f t="shared" si="302"/>
        <v>Sammie Coates14</v>
      </c>
    </row>
    <row r="6430" spans="1:16" x14ac:dyDescent="0.25">
      <c r="A6430">
        <v>15</v>
      </c>
      <c r="B6430" t="s">
        <v>332</v>
      </c>
      <c r="C6430">
        <f>-0.25-1.25</f>
        <v>-1.5</v>
      </c>
      <c r="D6430">
        <v>0.5</v>
      </c>
      <c r="E6430" t="s">
        <v>25</v>
      </c>
      <c r="F6430" t="s">
        <v>47</v>
      </c>
      <c r="G6430">
        <v>1.25</v>
      </c>
      <c r="H6430">
        <v>-0.25</v>
      </c>
      <c r="I6430">
        <v>0.75</v>
      </c>
      <c r="J6430">
        <v>0.5625</v>
      </c>
      <c r="K6430" t="str">
        <f>IFERROR(INDEX(Rosters!$C$2:$C$155,MATCH($B6430,Rosters!$B$2:$B$155,0)),"NA")</f>
        <v>NA</v>
      </c>
      <c r="L6430" t="str">
        <f t="shared" si="300"/>
        <v>NA15RB</v>
      </c>
      <c r="M6430">
        <f>COUNTIF(L$1:L6430,L6430)</f>
        <v>70</v>
      </c>
      <c r="N6430" t="str">
        <f t="shared" si="301"/>
        <v>NA15RB-70</v>
      </c>
      <c r="O6430">
        <f>COUNTIFS(F$1:F6430,F6430,A$1:A6430,A6430)</f>
        <v>117</v>
      </c>
      <c r="P6430" t="str">
        <f t="shared" si="302"/>
        <v>Senorise Perry15</v>
      </c>
    </row>
    <row r="6431" spans="1:16" x14ac:dyDescent="0.25">
      <c r="A6431">
        <v>13</v>
      </c>
      <c r="B6431" t="s">
        <v>4254</v>
      </c>
      <c r="C6431">
        <f>-0.12-1.12</f>
        <v>-1.2400000000000002</v>
      </c>
      <c r="D6431">
        <v>0.5</v>
      </c>
      <c r="E6431" t="s">
        <v>41</v>
      </c>
      <c r="F6431" t="s">
        <v>47</v>
      </c>
      <c r="G6431">
        <v>1.1200000000000001</v>
      </c>
      <c r="H6431">
        <v>-0.12</v>
      </c>
      <c r="I6431">
        <v>0.62</v>
      </c>
      <c r="J6431">
        <v>0.38440000000000002</v>
      </c>
      <c r="K6431" t="str">
        <f>IFERROR(INDEX(Rosters!$C$2:$C$155,MATCH($B6431,Rosters!$B$2:$B$155,0)),"NA")</f>
        <v>NA</v>
      </c>
      <c r="L6431" t="str">
        <f t="shared" si="300"/>
        <v>NA13RB</v>
      </c>
      <c r="M6431">
        <f>COUNTIF(L$1:L6431,L6431)</f>
        <v>74</v>
      </c>
      <c r="N6431" t="str">
        <f t="shared" si="301"/>
        <v>NA13RB-74</v>
      </c>
      <c r="O6431">
        <f>COUNTIFS(F$1:F6431,F6431,A$1:A6431,A6431)</f>
        <v>121</v>
      </c>
      <c r="P6431" t="str">
        <f t="shared" si="302"/>
        <v>T.J. Logan13</v>
      </c>
    </row>
    <row r="6432" spans="1:16" x14ac:dyDescent="0.25">
      <c r="A6432">
        <v>3</v>
      </c>
      <c r="B6432" t="s">
        <v>745</v>
      </c>
      <c r="C6432">
        <f>-0.02-1.02</f>
        <v>-1.04</v>
      </c>
      <c r="D6432">
        <v>0.5</v>
      </c>
      <c r="E6432" t="s">
        <v>46</v>
      </c>
      <c r="F6432" t="s">
        <v>15</v>
      </c>
      <c r="G6432">
        <v>1.02</v>
      </c>
      <c r="H6432">
        <v>-0.02</v>
      </c>
      <c r="I6432">
        <v>0.52</v>
      </c>
      <c r="J6432">
        <v>0.27039999999999997</v>
      </c>
      <c r="K6432" t="str">
        <f>IFERROR(INDEX(Rosters!$C$2:$C$155,MATCH($B6432,Rosters!$B$2:$B$155,0)),"NA")</f>
        <v>NA</v>
      </c>
      <c r="L6432" t="str">
        <f t="shared" si="300"/>
        <v>NA3QB</v>
      </c>
      <c r="M6432">
        <f>COUNTIF(L$1:L6432,L6432)</f>
        <v>37</v>
      </c>
      <c r="N6432" t="str">
        <f t="shared" si="301"/>
        <v>NA3QB-37</v>
      </c>
      <c r="O6432">
        <f>COUNTIFS(F$1:F6432,F6432,A$1:A6432,A6432)</f>
        <v>54</v>
      </c>
      <c r="P6432" t="str">
        <f t="shared" si="302"/>
        <v>Teddy Bridgewater3</v>
      </c>
    </row>
    <row r="6433" spans="1:16" x14ac:dyDescent="0.25">
      <c r="A6433">
        <v>11</v>
      </c>
      <c r="B6433" t="s">
        <v>2792</v>
      </c>
      <c r="C6433" t="s">
        <v>3869</v>
      </c>
      <c r="D6433">
        <v>0.5</v>
      </c>
      <c r="E6433" t="s">
        <v>77</v>
      </c>
      <c r="F6433" t="s">
        <v>47</v>
      </c>
      <c r="G6433">
        <v>0.99</v>
      </c>
      <c r="H6433">
        <v>0.01</v>
      </c>
      <c r="I6433">
        <v>0.49</v>
      </c>
      <c r="J6433">
        <v>0.24010000000000001</v>
      </c>
      <c r="K6433" t="str">
        <f>IFERROR(INDEX(Rosters!$C$2:$C$155,MATCH($B6433,Rosters!$B$2:$B$155,0)),"NA")</f>
        <v>NA</v>
      </c>
      <c r="L6433" t="str">
        <f t="shared" si="300"/>
        <v>NA11RB</v>
      </c>
      <c r="M6433">
        <f>COUNTIF(L$1:L6433,L6433)</f>
        <v>56</v>
      </c>
      <c r="N6433" t="str">
        <f t="shared" si="301"/>
        <v>NA11RB-56</v>
      </c>
      <c r="O6433">
        <f>COUNTIFS(F$1:F6433,F6433,A$1:A6433,A6433)</f>
        <v>94</v>
      </c>
      <c r="P6433" t="str">
        <f t="shared" si="302"/>
        <v>Thomas Rawls11</v>
      </c>
    </row>
    <row r="6434" spans="1:16" x14ac:dyDescent="0.25">
      <c r="A6434">
        <v>11</v>
      </c>
      <c r="B6434" t="s">
        <v>4258</v>
      </c>
      <c r="C6434">
        <f>-0.03-1.03</f>
        <v>-1.06</v>
      </c>
      <c r="D6434">
        <v>0.5</v>
      </c>
      <c r="E6434" t="s">
        <v>37</v>
      </c>
      <c r="F6434" t="s">
        <v>87</v>
      </c>
      <c r="G6434">
        <v>1.03</v>
      </c>
      <c r="H6434">
        <v>-0.03</v>
      </c>
      <c r="I6434">
        <v>0.53</v>
      </c>
      <c r="J6434">
        <v>0.28089999999999998</v>
      </c>
      <c r="K6434" t="str">
        <f>IFERROR(INDEX(Rosters!$C$2:$C$155,MATCH($B6434,Rosters!$B$2:$B$155,0)),"NA")</f>
        <v>NA</v>
      </c>
      <c r="L6434" t="str">
        <f t="shared" si="300"/>
        <v>NA11WR</v>
      </c>
      <c r="M6434">
        <f>COUNTIF(L$1:L6434,L6434)</f>
        <v>89</v>
      </c>
      <c r="N6434" t="str">
        <f t="shared" si="301"/>
        <v>NA11WR-89</v>
      </c>
      <c r="O6434">
        <f>COUNTIFS(F$1:F6434,F6434,A$1:A6434,A6434)</f>
        <v>136</v>
      </c>
      <c r="P6434" t="str">
        <f t="shared" si="302"/>
        <v>Tim Patrick11</v>
      </c>
    </row>
    <row r="6435" spans="1:16" x14ac:dyDescent="0.25">
      <c r="A6435">
        <v>14</v>
      </c>
      <c r="B6435" t="s">
        <v>1618</v>
      </c>
      <c r="C6435" t="s">
        <v>8919</v>
      </c>
      <c r="D6435">
        <v>0.5</v>
      </c>
      <c r="E6435" t="s">
        <v>25</v>
      </c>
      <c r="F6435" t="s">
        <v>47</v>
      </c>
      <c r="G6435">
        <v>0.93</v>
      </c>
      <c r="H6435">
        <v>7.0000000000000007E-2</v>
      </c>
      <c r="I6435">
        <v>0.43</v>
      </c>
      <c r="J6435">
        <v>0.18490000000000001</v>
      </c>
      <c r="K6435" t="str">
        <f>IFERROR(INDEX(Rosters!$C$2:$C$155,MATCH($B6435,Rosters!$B$2:$B$155,0)),"NA")</f>
        <v>NA</v>
      </c>
      <c r="L6435" t="str">
        <f t="shared" si="300"/>
        <v>NA14RB</v>
      </c>
      <c r="M6435">
        <f>COUNTIF(L$1:L6435,L6435)</f>
        <v>66</v>
      </c>
      <c r="N6435" t="str">
        <f t="shared" si="301"/>
        <v>NA14RB-66</v>
      </c>
      <c r="O6435">
        <f>COUNTIFS(F$1:F6435,F6435,A$1:A6435,A6435)</f>
        <v>113</v>
      </c>
      <c r="P6435" t="str">
        <f t="shared" si="302"/>
        <v>Tre Madden14</v>
      </c>
    </row>
    <row r="6436" spans="1:16" x14ac:dyDescent="0.25">
      <c r="A6436">
        <v>12</v>
      </c>
      <c r="B6436" t="s">
        <v>4245</v>
      </c>
      <c r="C6436" t="s">
        <v>3868</v>
      </c>
      <c r="D6436">
        <v>0.5</v>
      </c>
      <c r="E6436" t="s">
        <v>38</v>
      </c>
      <c r="F6436" t="s">
        <v>87</v>
      </c>
      <c r="G6436">
        <v>1</v>
      </c>
      <c r="H6436">
        <v>0</v>
      </c>
      <c r="I6436">
        <v>0.5</v>
      </c>
      <c r="J6436">
        <v>0.25</v>
      </c>
      <c r="K6436" t="str">
        <f>IFERROR(INDEX(Rosters!$C$2:$C$155,MATCH($B6436,Rosters!$B$2:$B$155,0)),"NA")</f>
        <v>NA</v>
      </c>
      <c r="L6436" t="str">
        <f t="shared" si="300"/>
        <v>NA12WR</v>
      </c>
      <c r="M6436">
        <f>COUNTIF(L$1:L6436,L6436)</f>
        <v>107</v>
      </c>
      <c r="N6436" t="str">
        <f t="shared" si="301"/>
        <v>NA12WR-107</v>
      </c>
      <c r="O6436">
        <f>COUNTIFS(F$1:F6436,F6436,A$1:A6436,A6436)</f>
        <v>156</v>
      </c>
      <c r="P6436" t="str">
        <f t="shared" si="302"/>
        <v>Vyncint Smith12</v>
      </c>
    </row>
    <row r="6437" spans="1:16" x14ac:dyDescent="0.25">
      <c r="A6437">
        <v>4</v>
      </c>
      <c r="B6437" t="s">
        <v>1129</v>
      </c>
      <c r="C6437">
        <f>-0.04-1.02</f>
        <v>-1.06</v>
      </c>
      <c r="D6437">
        <v>0.49</v>
      </c>
      <c r="E6437" t="s">
        <v>72</v>
      </c>
      <c r="F6437" t="s">
        <v>114</v>
      </c>
      <c r="G6437">
        <v>1.02</v>
      </c>
      <c r="H6437">
        <v>-0.04</v>
      </c>
      <c r="I6437">
        <v>0.53</v>
      </c>
      <c r="J6437">
        <v>0.28089999999999998</v>
      </c>
      <c r="K6437" t="str">
        <f>IFERROR(INDEX(Rosters!$C$2:$C$155,MATCH($B6437,Rosters!$B$2:$B$155,0)),"NA")</f>
        <v>NA</v>
      </c>
      <c r="L6437" t="str">
        <f t="shared" si="300"/>
        <v>NA4TE</v>
      </c>
      <c r="M6437">
        <f>COUNTIF(L$1:L6437,L6437)</f>
        <v>60</v>
      </c>
      <c r="N6437" t="str">
        <f t="shared" si="301"/>
        <v>NA4TE-60</v>
      </c>
      <c r="O6437">
        <f>COUNTIFS(F$1:F6437,F6437,A$1:A6437,A6437)</f>
        <v>71</v>
      </c>
      <c r="P6437" t="str">
        <f t="shared" si="302"/>
        <v>Alan Cross4</v>
      </c>
    </row>
    <row r="6438" spans="1:16" x14ac:dyDescent="0.25">
      <c r="A6438">
        <v>11</v>
      </c>
      <c r="B6438" t="s">
        <v>385</v>
      </c>
      <c r="C6438" t="s">
        <v>3870</v>
      </c>
      <c r="D6438">
        <v>0.49</v>
      </c>
      <c r="E6438" t="s">
        <v>56</v>
      </c>
      <c r="F6438" t="s">
        <v>47</v>
      </c>
      <c r="G6438">
        <v>0.95</v>
      </c>
      <c r="H6438">
        <v>0.03</v>
      </c>
      <c r="I6438">
        <v>0.46</v>
      </c>
      <c r="J6438">
        <v>0.21160000000000001</v>
      </c>
      <c r="K6438" t="str">
        <f>IFERROR(INDEX(Rosters!$C$2:$C$155,MATCH($B6438,Rosters!$B$2:$B$155,0)),"NA")</f>
        <v>NA</v>
      </c>
      <c r="L6438" t="str">
        <f t="shared" si="300"/>
        <v>NA11RB</v>
      </c>
      <c r="M6438">
        <f>COUNTIF(L$1:L6438,L6438)</f>
        <v>57</v>
      </c>
      <c r="N6438" t="str">
        <f t="shared" si="301"/>
        <v>NA11RB-57</v>
      </c>
      <c r="O6438">
        <f>COUNTIFS(F$1:F6438,F6438,A$1:A6438,A6438)</f>
        <v>95</v>
      </c>
      <c r="P6438" t="str">
        <f t="shared" si="302"/>
        <v>Anthony Sherman11</v>
      </c>
    </row>
    <row r="6439" spans="1:16" x14ac:dyDescent="0.25">
      <c r="A6439">
        <v>9</v>
      </c>
      <c r="B6439" t="s">
        <v>1542</v>
      </c>
      <c r="C6439" t="s">
        <v>3871</v>
      </c>
      <c r="D6439">
        <v>0.49</v>
      </c>
      <c r="E6439" t="s">
        <v>74</v>
      </c>
      <c r="F6439" t="s">
        <v>114</v>
      </c>
      <c r="G6439">
        <v>0.94</v>
      </c>
      <c r="H6439">
        <v>0.04</v>
      </c>
      <c r="I6439">
        <v>0.45</v>
      </c>
      <c r="J6439">
        <v>0.20250000000000001</v>
      </c>
      <c r="K6439" t="str">
        <f>IFERROR(INDEX(Rosters!$C$2:$C$155,MATCH($B6439,Rosters!$B$2:$B$155,0)),"NA")</f>
        <v>NA</v>
      </c>
      <c r="L6439" t="str">
        <f t="shared" si="300"/>
        <v>NA9TE</v>
      </c>
      <c r="M6439">
        <f>COUNTIF(L$1:L6439,L6439)</f>
        <v>58</v>
      </c>
      <c r="N6439" t="str">
        <f t="shared" si="301"/>
        <v>NA9TE-58</v>
      </c>
      <c r="O6439">
        <f>COUNTIFS(F$1:F6439,F6439,A$1:A6439,A6439)</f>
        <v>69</v>
      </c>
      <c r="P6439" t="str">
        <f t="shared" si="302"/>
        <v>Antony Auclair9</v>
      </c>
    </row>
    <row r="6440" spans="1:16" x14ac:dyDescent="0.25">
      <c r="A6440">
        <v>9</v>
      </c>
      <c r="B6440" t="s">
        <v>1145</v>
      </c>
      <c r="C6440">
        <f>-0.08-1.06</f>
        <v>-1.1400000000000001</v>
      </c>
      <c r="D6440">
        <v>0.49</v>
      </c>
      <c r="E6440" t="s">
        <v>29</v>
      </c>
      <c r="F6440" t="s">
        <v>114</v>
      </c>
      <c r="G6440">
        <v>1.06</v>
      </c>
      <c r="H6440">
        <v>-0.08</v>
      </c>
      <c r="I6440">
        <v>0.56999999999999995</v>
      </c>
      <c r="J6440">
        <v>0.32490000000000002</v>
      </c>
      <c r="K6440" t="str">
        <f>IFERROR(INDEX(Rosters!$C$2:$C$155,MATCH($B6440,Rosters!$B$2:$B$155,0)),"NA")</f>
        <v>NA</v>
      </c>
      <c r="L6440" t="str">
        <f t="shared" si="300"/>
        <v>NA9TE</v>
      </c>
      <c r="M6440">
        <f>COUNTIF(L$1:L6440,L6440)</f>
        <v>59</v>
      </c>
      <c r="N6440" t="str">
        <f t="shared" si="301"/>
        <v>NA9TE-59</v>
      </c>
      <c r="O6440">
        <f>COUNTIFS(F$1:F6440,F6440,A$1:A6440,A6440)</f>
        <v>70</v>
      </c>
      <c r="P6440" t="str">
        <f t="shared" si="302"/>
        <v>Ben Braunecker9</v>
      </c>
    </row>
    <row r="6441" spans="1:16" x14ac:dyDescent="0.25">
      <c r="A6441">
        <v>11</v>
      </c>
      <c r="B6441" t="s">
        <v>1145</v>
      </c>
      <c r="C6441">
        <f>-0.09-1.07</f>
        <v>-1.1600000000000001</v>
      </c>
      <c r="D6441">
        <v>0.49</v>
      </c>
      <c r="E6441" t="s">
        <v>25</v>
      </c>
      <c r="F6441" t="s">
        <v>114</v>
      </c>
      <c r="G6441">
        <v>1.07</v>
      </c>
      <c r="H6441">
        <v>-0.09</v>
      </c>
      <c r="I6441">
        <v>0.57999999999999996</v>
      </c>
      <c r="J6441">
        <v>0.33639999999999998</v>
      </c>
      <c r="K6441" t="str">
        <f>IFERROR(INDEX(Rosters!$C$2:$C$155,MATCH($B6441,Rosters!$B$2:$B$155,0)),"NA")</f>
        <v>NA</v>
      </c>
      <c r="L6441" t="str">
        <f t="shared" si="300"/>
        <v>NA11TE</v>
      </c>
      <c r="M6441">
        <f>COUNTIF(L$1:L6441,L6441)</f>
        <v>60</v>
      </c>
      <c r="N6441" t="str">
        <f t="shared" si="301"/>
        <v>NA11TE-60</v>
      </c>
      <c r="O6441">
        <f>COUNTIFS(F$1:F6441,F6441,A$1:A6441,A6441)</f>
        <v>72</v>
      </c>
      <c r="P6441" t="str">
        <f t="shared" si="302"/>
        <v>Ben Braunecker11</v>
      </c>
    </row>
    <row r="6442" spans="1:16" x14ac:dyDescent="0.25">
      <c r="A6442">
        <v>13</v>
      </c>
      <c r="B6442" t="s">
        <v>4656</v>
      </c>
      <c r="C6442" t="s">
        <v>3871</v>
      </c>
      <c r="D6442">
        <v>0.49</v>
      </c>
      <c r="E6442" t="s">
        <v>52</v>
      </c>
      <c r="F6442" t="s">
        <v>47</v>
      </c>
      <c r="G6442">
        <v>0.94</v>
      </c>
      <c r="H6442">
        <v>0.04</v>
      </c>
      <c r="I6442">
        <v>0.45</v>
      </c>
      <c r="J6442">
        <v>0.20250000000000001</v>
      </c>
      <c r="K6442" t="str">
        <f>IFERROR(INDEX(Rosters!$C$2:$C$155,MATCH($B6442,Rosters!$B$2:$B$155,0)),"NA")</f>
        <v>NA</v>
      </c>
      <c r="L6442" t="str">
        <f t="shared" si="300"/>
        <v>NA13RB</v>
      </c>
      <c r="M6442">
        <f>COUNTIF(L$1:L6442,L6442)</f>
        <v>75</v>
      </c>
      <c r="N6442" t="str">
        <f t="shared" si="301"/>
        <v>NA13RB-75</v>
      </c>
      <c r="O6442">
        <f>COUNTIFS(F$1:F6442,F6442,A$1:A6442,A6442)</f>
        <v>122</v>
      </c>
      <c r="P6442" t="str">
        <f t="shared" si="302"/>
        <v>Buddy Howell13</v>
      </c>
    </row>
    <row r="6443" spans="1:16" x14ac:dyDescent="0.25">
      <c r="A6443">
        <v>7</v>
      </c>
      <c r="B6443" t="s">
        <v>1549</v>
      </c>
      <c r="C6443">
        <f>-0.19-1.17</f>
        <v>-1.3599999999999999</v>
      </c>
      <c r="D6443">
        <v>0.49</v>
      </c>
      <c r="E6443" t="s">
        <v>73</v>
      </c>
      <c r="F6443" t="s">
        <v>47</v>
      </c>
      <c r="G6443">
        <v>1.17</v>
      </c>
      <c r="H6443">
        <v>-0.19</v>
      </c>
      <c r="I6443">
        <v>0.68</v>
      </c>
      <c r="J6443">
        <v>0.46239999999999998</v>
      </c>
      <c r="K6443" t="str">
        <f>IFERROR(INDEX(Rosters!$C$2:$C$155,MATCH($B6443,Rosters!$B$2:$B$155,0)),"NA")</f>
        <v>NA</v>
      </c>
      <c r="L6443" t="str">
        <f t="shared" si="300"/>
        <v>NA7RB</v>
      </c>
      <c r="M6443">
        <f>COUNTIF(L$1:L6443,L6443)</f>
        <v>56</v>
      </c>
      <c r="N6443" t="str">
        <f t="shared" si="301"/>
        <v>NA7RB-56</v>
      </c>
      <c r="O6443">
        <f>COUNTIFS(F$1:F6443,F6443,A$1:A6443,A6443)</f>
        <v>97</v>
      </c>
      <c r="P6443" t="str">
        <f t="shared" si="302"/>
        <v>C.J. Ham7</v>
      </c>
    </row>
    <row r="6444" spans="1:16" x14ac:dyDescent="0.25">
      <c r="A6444">
        <v>17</v>
      </c>
      <c r="B6444" t="s">
        <v>1549</v>
      </c>
      <c r="C6444">
        <f>-0.11-1.09</f>
        <v>-1.2000000000000002</v>
      </c>
      <c r="D6444">
        <v>0.49</v>
      </c>
      <c r="E6444" t="s">
        <v>72</v>
      </c>
      <c r="F6444" t="s">
        <v>47</v>
      </c>
      <c r="G6444">
        <v>1.0900000000000001</v>
      </c>
      <c r="H6444">
        <v>-0.11</v>
      </c>
      <c r="I6444">
        <v>0.6</v>
      </c>
      <c r="J6444">
        <v>0.36</v>
      </c>
      <c r="K6444" t="str">
        <f>IFERROR(INDEX(Rosters!$C$2:$C$155,MATCH($B6444,Rosters!$B$2:$B$155,0)),"NA")</f>
        <v>NA</v>
      </c>
      <c r="L6444" t="str">
        <f t="shared" si="300"/>
        <v>NA17RB</v>
      </c>
      <c r="M6444">
        <f>COUNTIF(L$1:L6444,L6444)</f>
        <v>68</v>
      </c>
      <c r="N6444" t="str">
        <f t="shared" si="301"/>
        <v>NA17RB-68</v>
      </c>
      <c r="O6444">
        <f>COUNTIFS(F$1:F6444,F6444,A$1:A6444,A6444)</f>
        <v>115</v>
      </c>
      <c r="P6444" t="str">
        <f t="shared" si="302"/>
        <v>C.J. Ham17</v>
      </c>
    </row>
    <row r="6445" spans="1:16" x14ac:dyDescent="0.25">
      <c r="A6445">
        <v>10</v>
      </c>
      <c r="B6445" t="s">
        <v>330</v>
      </c>
      <c r="C6445">
        <f>-0.06-1.04</f>
        <v>-1.1000000000000001</v>
      </c>
      <c r="D6445">
        <v>0.49</v>
      </c>
      <c r="E6445" t="s">
        <v>51</v>
      </c>
      <c r="F6445" t="s">
        <v>114</v>
      </c>
      <c r="G6445">
        <v>1.04</v>
      </c>
      <c r="H6445">
        <v>-0.06</v>
      </c>
      <c r="I6445">
        <v>0.55000000000000004</v>
      </c>
      <c r="J6445">
        <v>0.30249999999999999</v>
      </c>
      <c r="K6445" t="str">
        <f>IFERROR(INDEX(Rosters!$C$2:$C$155,MATCH($B6445,Rosters!$B$2:$B$155,0)),"NA")</f>
        <v>NA</v>
      </c>
      <c r="L6445" t="str">
        <f t="shared" si="300"/>
        <v>NA10TE</v>
      </c>
      <c r="M6445">
        <f>COUNTIF(L$1:L6445,L6445)</f>
        <v>65</v>
      </c>
      <c r="N6445" t="str">
        <f t="shared" si="301"/>
        <v>NA10TE-65</v>
      </c>
      <c r="O6445">
        <f>COUNTIFS(F$1:F6445,F6445,A$1:A6445,A6445)</f>
        <v>78</v>
      </c>
      <c r="P6445" t="str">
        <f t="shared" si="302"/>
        <v>Chris Manhertz10</v>
      </c>
    </row>
    <row r="6446" spans="1:16" x14ac:dyDescent="0.25">
      <c r="A6446">
        <v>3</v>
      </c>
      <c r="B6446" t="s">
        <v>357</v>
      </c>
      <c r="C6446">
        <f>-0.22-1.2</f>
        <v>-1.42</v>
      </c>
      <c r="D6446">
        <v>0.49</v>
      </c>
      <c r="E6446" t="s">
        <v>42</v>
      </c>
      <c r="F6446" t="s">
        <v>87</v>
      </c>
      <c r="G6446">
        <v>1.2</v>
      </c>
      <c r="H6446">
        <v>-0.22</v>
      </c>
      <c r="I6446">
        <v>0.71</v>
      </c>
      <c r="J6446">
        <v>0.50409999999999999</v>
      </c>
      <c r="K6446" t="str">
        <f>IFERROR(INDEX(Rosters!$C$2:$C$155,MATCH($B6446,Rosters!$B$2:$B$155,0)),"NA")</f>
        <v>NA</v>
      </c>
      <c r="L6446" t="str">
        <f t="shared" si="300"/>
        <v>NA3WR</v>
      </c>
      <c r="M6446">
        <f>COUNTIF(L$1:L6446,L6446)</f>
        <v>85</v>
      </c>
      <c r="N6446" t="str">
        <f t="shared" si="301"/>
        <v>NA3WR-85</v>
      </c>
      <c r="O6446">
        <f>COUNTIFS(F$1:F6446,F6446,A$1:A6446,A6446)</f>
        <v>134</v>
      </c>
      <c r="P6446" t="str">
        <f t="shared" si="302"/>
        <v>Chris Moore3</v>
      </c>
    </row>
    <row r="6447" spans="1:16" x14ac:dyDescent="0.25">
      <c r="A6447">
        <v>4</v>
      </c>
      <c r="B6447" t="s">
        <v>1562</v>
      </c>
      <c r="C6447">
        <f>-0.08-1.06</f>
        <v>-1.1400000000000001</v>
      </c>
      <c r="D6447">
        <v>0.49</v>
      </c>
      <c r="E6447" t="s">
        <v>37</v>
      </c>
      <c r="F6447" t="s">
        <v>114</v>
      </c>
      <c r="G6447">
        <v>1.06</v>
      </c>
      <c r="H6447">
        <v>-0.08</v>
      </c>
      <c r="I6447">
        <v>0.56999999999999995</v>
      </c>
      <c r="J6447">
        <v>0.32490000000000002</v>
      </c>
      <c r="K6447" t="str">
        <f>IFERROR(INDEX(Rosters!$C$2:$C$155,MATCH($B6447,Rosters!$B$2:$B$155,0)),"NA")</f>
        <v>NA</v>
      </c>
      <c r="L6447" t="str">
        <f t="shared" si="300"/>
        <v>NA4TE</v>
      </c>
      <c r="M6447">
        <f>COUNTIF(L$1:L6447,L6447)</f>
        <v>61</v>
      </c>
      <c r="N6447" t="str">
        <f t="shared" si="301"/>
        <v>NA4TE-61</v>
      </c>
      <c r="O6447">
        <f>COUNTIFS(F$1:F6447,F6447,A$1:A6447,A6447)</f>
        <v>72</v>
      </c>
      <c r="P6447" t="str">
        <f t="shared" si="302"/>
        <v>Cole Wick4</v>
      </c>
    </row>
    <row r="6448" spans="1:16" x14ac:dyDescent="0.25">
      <c r="A6448">
        <v>3</v>
      </c>
      <c r="B6448" t="s">
        <v>1559</v>
      </c>
      <c r="C6448">
        <f>-0.12-1.1</f>
        <v>-1.2200000000000002</v>
      </c>
      <c r="D6448">
        <v>0.49</v>
      </c>
      <c r="E6448" t="s">
        <v>58</v>
      </c>
      <c r="F6448" t="s">
        <v>114</v>
      </c>
      <c r="G6448">
        <v>1.1000000000000001</v>
      </c>
      <c r="H6448">
        <v>-0.12</v>
      </c>
      <c r="I6448">
        <v>0.61</v>
      </c>
      <c r="J6448">
        <v>0.37209999999999999</v>
      </c>
      <c r="K6448" t="str">
        <f>IFERROR(INDEX(Rosters!$C$2:$C$155,MATCH($B6448,Rosters!$B$2:$B$155,0)),"NA")</f>
        <v>NA</v>
      </c>
      <c r="L6448" t="str">
        <f t="shared" si="300"/>
        <v>NA3TE</v>
      </c>
      <c r="M6448">
        <f>COUNTIF(L$1:L6448,L6448)</f>
        <v>62</v>
      </c>
      <c r="N6448" t="str">
        <f t="shared" si="301"/>
        <v>NA3TE-62</v>
      </c>
      <c r="O6448">
        <f>COUNTIFS(F$1:F6448,F6448,A$1:A6448,A6448)</f>
        <v>75</v>
      </c>
      <c r="P6448" t="str">
        <f t="shared" si="302"/>
        <v>Daniel Brown3</v>
      </c>
    </row>
    <row r="6449" spans="1:16" x14ac:dyDescent="0.25">
      <c r="A6449">
        <v>17</v>
      </c>
      <c r="B6449" t="s">
        <v>1559</v>
      </c>
      <c r="C6449">
        <f>-0.12-1.1</f>
        <v>-1.2200000000000002</v>
      </c>
      <c r="D6449">
        <v>0.49</v>
      </c>
      <c r="E6449" t="s">
        <v>25</v>
      </c>
      <c r="F6449" t="s">
        <v>114</v>
      </c>
      <c r="G6449">
        <v>1.1000000000000001</v>
      </c>
      <c r="H6449">
        <v>-0.12</v>
      </c>
      <c r="I6449">
        <v>0.61</v>
      </c>
      <c r="J6449">
        <v>0.37209999999999999</v>
      </c>
      <c r="K6449" t="str">
        <f>IFERROR(INDEX(Rosters!$C$2:$C$155,MATCH($B6449,Rosters!$B$2:$B$155,0)),"NA")</f>
        <v>NA</v>
      </c>
      <c r="L6449" t="str">
        <f t="shared" si="300"/>
        <v>NA17TE</v>
      </c>
      <c r="M6449">
        <f>COUNTIF(L$1:L6449,L6449)</f>
        <v>71</v>
      </c>
      <c r="N6449" t="str">
        <f t="shared" si="301"/>
        <v>NA17TE-71</v>
      </c>
      <c r="O6449">
        <f>COUNTIFS(F$1:F6449,F6449,A$1:A6449,A6449)</f>
        <v>85</v>
      </c>
      <c r="P6449" t="str">
        <f t="shared" si="302"/>
        <v>Daniel Brown17</v>
      </c>
    </row>
    <row r="6450" spans="1:16" x14ac:dyDescent="0.25">
      <c r="A6450">
        <v>7</v>
      </c>
      <c r="B6450" t="s">
        <v>1115</v>
      </c>
      <c r="C6450">
        <f>-0.01-0.99</f>
        <v>-1</v>
      </c>
      <c r="D6450">
        <v>0.49</v>
      </c>
      <c r="E6450" t="s">
        <v>37</v>
      </c>
      <c r="F6450" t="s">
        <v>87</v>
      </c>
      <c r="G6450">
        <v>0.99</v>
      </c>
      <c r="H6450">
        <v>-0.01</v>
      </c>
      <c r="I6450">
        <v>0.5</v>
      </c>
      <c r="J6450">
        <v>0.25</v>
      </c>
      <c r="K6450" t="str">
        <f>IFERROR(INDEX(Rosters!$C$2:$C$155,MATCH($B6450,Rosters!$B$2:$B$155,0)),"NA")</f>
        <v>NA</v>
      </c>
      <c r="L6450" t="str">
        <f t="shared" si="300"/>
        <v>NA7WR</v>
      </c>
      <c r="M6450">
        <f>COUNTIF(L$1:L6450,L6450)</f>
        <v>100</v>
      </c>
      <c r="N6450" t="str">
        <f t="shared" si="301"/>
        <v>NA7WR-100</v>
      </c>
      <c r="O6450">
        <f>COUNTIFS(F$1:F6450,F6450,A$1:A6450,A6450)</f>
        <v>145</v>
      </c>
      <c r="P6450" t="str">
        <f t="shared" si="302"/>
        <v>Darius Jennings7</v>
      </c>
    </row>
    <row r="6451" spans="1:16" x14ac:dyDescent="0.25">
      <c r="A6451">
        <v>8</v>
      </c>
      <c r="B6451" t="s">
        <v>341</v>
      </c>
      <c r="C6451">
        <f>-0.01-0.99</f>
        <v>-1</v>
      </c>
      <c r="D6451">
        <v>0.49</v>
      </c>
      <c r="E6451" t="s">
        <v>42</v>
      </c>
      <c r="F6451" t="s">
        <v>87</v>
      </c>
      <c r="G6451">
        <v>0.99</v>
      </c>
      <c r="H6451">
        <v>-0.01</v>
      </c>
      <c r="I6451">
        <v>0.5</v>
      </c>
      <c r="J6451">
        <v>0.25</v>
      </c>
      <c r="K6451" t="str">
        <f>IFERROR(INDEX(Rosters!$C$2:$C$155,MATCH($B6451,Rosters!$B$2:$B$155,0)),"NA")</f>
        <v>NA</v>
      </c>
      <c r="L6451" t="str">
        <f t="shared" si="300"/>
        <v>NA8WR</v>
      </c>
      <c r="M6451">
        <f>COUNTIF(L$1:L6451,L6451)</f>
        <v>94</v>
      </c>
      <c r="N6451" t="str">
        <f t="shared" si="301"/>
        <v>NA8WR-94</v>
      </c>
      <c r="O6451">
        <f>COUNTIFS(F$1:F6451,F6451,A$1:A6451,A6451)</f>
        <v>143</v>
      </c>
      <c r="P6451" t="str">
        <f t="shared" si="302"/>
        <v>Demarcus Robinson8</v>
      </c>
    </row>
    <row r="6452" spans="1:16" x14ac:dyDescent="0.25">
      <c r="A6452">
        <v>9</v>
      </c>
      <c r="B6452" t="s">
        <v>341</v>
      </c>
      <c r="C6452">
        <f>-0.02-1</f>
        <v>-1.02</v>
      </c>
      <c r="D6452">
        <v>0.49</v>
      </c>
      <c r="E6452" t="s">
        <v>52</v>
      </c>
      <c r="F6452" t="s">
        <v>87</v>
      </c>
      <c r="G6452">
        <v>1</v>
      </c>
      <c r="H6452">
        <v>-0.02</v>
      </c>
      <c r="I6452">
        <v>0.51</v>
      </c>
      <c r="J6452">
        <v>0.2601</v>
      </c>
      <c r="K6452" t="str">
        <f>IFERROR(INDEX(Rosters!$C$2:$C$155,MATCH($B6452,Rosters!$B$2:$B$155,0)),"NA")</f>
        <v>NA</v>
      </c>
      <c r="L6452" t="str">
        <f t="shared" si="300"/>
        <v>NA9WR</v>
      </c>
      <c r="M6452">
        <f>COUNTIF(L$1:L6452,L6452)</f>
        <v>94</v>
      </c>
      <c r="N6452" t="str">
        <f t="shared" si="301"/>
        <v>NA9WR-94</v>
      </c>
      <c r="O6452">
        <f>COUNTIFS(F$1:F6452,F6452,A$1:A6452,A6452)</f>
        <v>138</v>
      </c>
      <c r="P6452" t="str">
        <f t="shared" si="302"/>
        <v>Demarcus Robinson9</v>
      </c>
    </row>
    <row r="6453" spans="1:16" x14ac:dyDescent="0.25">
      <c r="A6453">
        <v>9</v>
      </c>
      <c r="B6453" t="s">
        <v>317</v>
      </c>
      <c r="C6453" t="s">
        <v>8920</v>
      </c>
      <c r="D6453">
        <v>0.49</v>
      </c>
      <c r="E6453" t="s">
        <v>28</v>
      </c>
      <c r="F6453" t="s">
        <v>47</v>
      </c>
      <c r="G6453">
        <v>0.89</v>
      </c>
      <c r="H6453">
        <v>0.09</v>
      </c>
      <c r="I6453">
        <v>0.4</v>
      </c>
      <c r="J6453">
        <v>0.16</v>
      </c>
      <c r="K6453" t="str">
        <f>IFERROR(INDEX(Rosters!$C$2:$C$155,MATCH($B6453,Rosters!$B$2:$B$155,0)),"NA")</f>
        <v>NA</v>
      </c>
      <c r="L6453" t="str">
        <f t="shared" si="300"/>
        <v>NA9RB</v>
      </c>
      <c r="M6453">
        <f>COUNTIF(L$1:L6453,L6453)</f>
        <v>54</v>
      </c>
      <c r="N6453" t="str">
        <f t="shared" si="301"/>
        <v>NA9RB-54</v>
      </c>
      <c r="O6453">
        <f>COUNTIFS(F$1:F6453,F6453,A$1:A6453,A6453)</f>
        <v>94</v>
      </c>
      <c r="P6453" t="str">
        <f t="shared" si="302"/>
        <v>Derek Watt9</v>
      </c>
    </row>
    <row r="6454" spans="1:16" x14ac:dyDescent="0.25">
      <c r="A6454">
        <v>5</v>
      </c>
      <c r="B6454" t="s">
        <v>8907</v>
      </c>
      <c r="C6454">
        <f>-0.12-1.1</f>
        <v>-1.2200000000000002</v>
      </c>
      <c r="D6454">
        <v>0.49</v>
      </c>
      <c r="E6454" t="s">
        <v>31</v>
      </c>
      <c r="F6454" t="s">
        <v>114</v>
      </c>
      <c r="G6454">
        <v>1.1000000000000001</v>
      </c>
      <c r="H6454">
        <v>-0.12</v>
      </c>
      <c r="I6454">
        <v>0.61</v>
      </c>
      <c r="J6454">
        <v>0.37209999999999999</v>
      </c>
      <c r="K6454" t="str">
        <f>IFERROR(INDEX(Rosters!$C$2:$C$155,MATCH($B6454,Rosters!$B$2:$B$155,0)),"NA")</f>
        <v>NA</v>
      </c>
      <c r="L6454" t="str">
        <f t="shared" si="300"/>
        <v>NA5TE</v>
      </c>
      <c r="M6454">
        <f>COUNTIF(L$1:L6454,L6454)</f>
        <v>66</v>
      </c>
      <c r="N6454" t="str">
        <f t="shared" si="301"/>
        <v>NA5TE-66</v>
      </c>
      <c r="O6454">
        <f>COUNTIFS(F$1:F6454,F6454,A$1:A6454,A6454)</f>
        <v>77</v>
      </c>
      <c r="P6454" t="str">
        <f t="shared" si="302"/>
        <v>Durham Smythe5</v>
      </c>
    </row>
    <row r="6455" spans="1:16" x14ac:dyDescent="0.25">
      <c r="A6455">
        <v>12</v>
      </c>
      <c r="B6455" t="s">
        <v>8907</v>
      </c>
      <c r="C6455">
        <f>-0.08-1.06</f>
        <v>-1.1400000000000001</v>
      </c>
      <c r="D6455">
        <v>0.49</v>
      </c>
      <c r="E6455" t="s">
        <v>66</v>
      </c>
      <c r="F6455" t="s">
        <v>114</v>
      </c>
      <c r="G6455">
        <v>1.06</v>
      </c>
      <c r="H6455">
        <v>-0.08</v>
      </c>
      <c r="I6455">
        <v>0.56999999999999995</v>
      </c>
      <c r="J6455">
        <v>0.32490000000000002</v>
      </c>
      <c r="K6455" t="str">
        <f>IFERROR(INDEX(Rosters!$C$2:$C$155,MATCH($B6455,Rosters!$B$2:$B$155,0)),"NA")</f>
        <v>NA</v>
      </c>
      <c r="L6455" t="str">
        <f t="shared" si="300"/>
        <v>NA12TE</v>
      </c>
      <c r="M6455">
        <f>COUNTIF(L$1:L6455,L6455)</f>
        <v>71</v>
      </c>
      <c r="N6455" t="str">
        <f t="shared" si="301"/>
        <v>NA12TE-71</v>
      </c>
      <c r="O6455">
        <f>COUNTIFS(F$1:F6455,F6455,A$1:A6455,A6455)</f>
        <v>84</v>
      </c>
      <c r="P6455" t="str">
        <f t="shared" si="302"/>
        <v>Durham Smythe12</v>
      </c>
    </row>
    <row r="6456" spans="1:16" x14ac:dyDescent="0.25">
      <c r="A6456">
        <v>16</v>
      </c>
      <c r="B6456" t="s">
        <v>8907</v>
      </c>
      <c r="C6456">
        <f>-0.07-1.05</f>
        <v>-1.1200000000000001</v>
      </c>
      <c r="D6456">
        <v>0.49</v>
      </c>
      <c r="E6456" t="s">
        <v>76</v>
      </c>
      <c r="F6456" t="s">
        <v>114</v>
      </c>
      <c r="G6456">
        <v>1.05</v>
      </c>
      <c r="H6456">
        <v>-7.0000000000000007E-2</v>
      </c>
      <c r="I6456">
        <v>0.56000000000000005</v>
      </c>
      <c r="J6456">
        <v>0.31359999999999999</v>
      </c>
      <c r="K6456" t="str">
        <f>IFERROR(INDEX(Rosters!$C$2:$C$155,MATCH($B6456,Rosters!$B$2:$B$155,0)),"NA")</f>
        <v>NA</v>
      </c>
      <c r="L6456" t="str">
        <f t="shared" si="300"/>
        <v>NA16TE</v>
      </c>
      <c r="M6456">
        <f>COUNTIF(L$1:L6456,L6456)</f>
        <v>76</v>
      </c>
      <c r="N6456" t="str">
        <f t="shared" si="301"/>
        <v>NA16TE-76</v>
      </c>
      <c r="O6456">
        <f>COUNTIFS(F$1:F6456,F6456,A$1:A6456,A6456)</f>
        <v>90</v>
      </c>
      <c r="P6456" t="str">
        <f t="shared" si="302"/>
        <v>Durham Smythe16</v>
      </c>
    </row>
    <row r="6457" spans="1:16" x14ac:dyDescent="0.25">
      <c r="A6457">
        <v>8</v>
      </c>
      <c r="B6457" t="s">
        <v>1127</v>
      </c>
      <c r="C6457">
        <f>-0.05-1.03</f>
        <v>-1.08</v>
      </c>
      <c r="D6457">
        <v>0.49</v>
      </c>
      <c r="E6457" t="s">
        <v>66</v>
      </c>
      <c r="F6457" t="s">
        <v>87</v>
      </c>
      <c r="G6457">
        <v>1.03</v>
      </c>
      <c r="H6457">
        <v>-0.05</v>
      </c>
      <c r="I6457">
        <v>0.54</v>
      </c>
      <c r="J6457">
        <v>0.29160000000000003</v>
      </c>
      <c r="K6457" t="str">
        <f>IFERROR(INDEX(Rosters!$C$2:$C$155,MATCH($B6457,Rosters!$B$2:$B$155,0)),"NA")</f>
        <v>NA</v>
      </c>
      <c r="L6457" t="str">
        <f t="shared" si="300"/>
        <v>NA8WR</v>
      </c>
      <c r="M6457">
        <f>COUNTIF(L$1:L6457,L6457)</f>
        <v>95</v>
      </c>
      <c r="N6457" t="str">
        <f t="shared" si="301"/>
        <v>NA8WR-95</v>
      </c>
      <c r="O6457">
        <f>COUNTIFS(F$1:F6457,F6457,A$1:A6457,A6457)</f>
        <v>144</v>
      </c>
      <c r="P6457" t="str">
        <f t="shared" si="302"/>
        <v>Dwayne Harris8</v>
      </c>
    </row>
    <row r="6458" spans="1:16" x14ac:dyDescent="0.25">
      <c r="A6458">
        <v>16</v>
      </c>
      <c r="B6458" t="s">
        <v>4244</v>
      </c>
      <c r="C6458">
        <f>-0.05-1.03</f>
        <v>-1.08</v>
      </c>
      <c r="D6458">
        <v>0.49</v>
      </c>
      <c r="E6458" t="s">
        <v>77</v>
      </c>
      <c r="F6458" t="s">
        <v>87</v>
      </c>
      <c r="G6458">
        <v>1.03</v>
      </c>
      <c r="H6458">
        <v>-0.05</v>
      </c>
      <c r="I6458">
        <v>0.54</v>
      </c>
      <c r="J6458">
        <v>0.29160000000000003</v>
      </c>
      <c r="K6458" t="str">
        <f>IFERROR(INDEX(Rosters!$C$2:$C$155,MATCH($B6458,Rosters!$B$2:$B$155,0)),"NA")</f>
        <v>NA</v>
      </c>
      <c r="L6458" t="str">
        <f t="shared" si="300"/>
        <v>NA16WR</v>
      </c>
      <c r="M6458">
        <f>COUNTIF(L$1:L6458,L6458)</f>
        <v>109</v>
      </c>
      <c r="N6458" t="str">
        <f t="shared" si="301"/>
        <v>NA16WR-109</v>
      </c>
      <c r="O6458">
        <f>COUNTIFS(F$1:F6458,F6458,A$1:A6458,A6458)</f>
        <v>163</v>
      </c>
      <c r="P6458" t="str">
        <f t="shared" si="302"/>
        <v>J.J. Jones16</v>
      </c>
    </row>
    <row r="6459" spans="1:16" x14ac:dyDescent="0.25">
      <c r="A6459">
        <v>4</v>
      </c>
      <c r="B6459" t="s">
        <v>2848</v>
      </c>
      <c r="C6459">
        <f>-0.08-1.06</f>
        <v>-1.1400000000000001</v>
      </c>
      <c r="D6459">
        <v>0.49</v>
      </c>
      <c r="E6459" t="s">
        <v>34</v>
      </c>
      <c r="F6459" t="s">
        <v>47</v>
      </c>
      <c r="G6459">
        <v>1.06</v>
      </c>
      <c r="H6459">
        <v>-0.08</v>
      </c>
      <c r="I6459">
        <v>0.56999999999999995</v>
      </c>
      <c r="J6459">
        <v>0.32490000000000002</v>
      </c>
      <c r="K6459" t="str">
        <f>IFERROR(INDEX(Rosters!$C$2:$C$155,MATCH($B6459,Rosters!$B$2:$B$155,0)),"NA")</f>
        <v>NA</v>
      </c>
      <c r="L6459" t="str">
        <f t="shared" si="300"/>
        <v>NA4RB</v>
      </c>
      <c r="M6459">
        <f>COUNTIF(L$1:L6459,L6459)</f>
        <v>52</v>
      </c>
      <c r="N6459" t="str">
        <f t="shared" si="301"/>
        <v>NA4RB-52</v>
      </c>
      <c r="O6459">
        <f>COUNTIFS(F$1:F6459,F6459,A$1:A6459,A6459)</f>
        <v>91</v>
      </c>
      <c r="P6459" t="str">
        <f t="shared" si="302"/>
        <v>Jamize Olawale4</v>
      </c>
    </row>
    <row r="6460" spans="1:16" x14ac:dyDescent="0.25">
      <c r="A6460">
        <v>1</v>
      </c>
      <c r="B6460" t="s">
        <v>348</v>
      </c>
      <c r="C6460">
        <f>-0.17-1.15</f>
        <v>-1.3199999999999998</v>
      </c>
      <c r="D6460">
        <v>0.49</v>
      </c>
      <c r="E6460" t="s">
        <v>76</v>
      </c>
      <c r="F6460" t="s">
        <v>114</v>
      </c>
      <c r="G6460">
        <v>1.1499999999999999</v>
      </c>
      <c r="H6460">
        <v>-0.17</v>
      </c>
      <c r="I6460">
        <v>0.66</v>
      </c>
      <c r="J6460">
        <v>0.43559999999999999</v>
      </c>
      <c r="K6460" t="str">
        <f>IFERROR(INDEX(Rosters!$C$2:$C$155,MATCH($B6460,Rosters!$B$2:$B$155,0)),"NA")</f>
        <v>NA</v>
      </c>
      <c r="L6460" t="str">
        <f t="shared" si="300"/>
        <v>NA1TE</v>
      </c>
      <c r="M6460">
        <f>COUNTIF(L$1:L6460,L6460)</f>
        <v>54</v>
      </c>
      <c r="N6460" t="str">
        <f t="shared" si="301"/>
        <v>NA1TE-54</v>
      </c>
      <c r="O6460">
        <f>COUNTIFS(F$1:F6460,F6460,A$1:A6460,A6460)</f>
        <v>67</v>
      </c>
      <c r="P6460" t="str">
        <f t="shared" si="302"/>
        <v>Jerell Adams1</v>
      </c>
    </row>
    <row r="6461" spans="1:16" x14ac:dyDescent="0.25">
      <c r="A6461">
        <v>2</v>
      </c>
      <c r="B6461" t="s">
        <v>348</v>
      </c>
      <c r="C6461">
        <f>-0.06-1.04</f>
        <v>-1.1000000000000001</v>
      </c>
      <c r="D6461">
        <v>0.49</v>
      </c>
      <c r="E6461" t="s">
        <v>22</v>
      </c>
      <c r="F6461" t="s">
        <v>114</v>
      </c>
      <c r="G6461">
        <v>1.04</v>
      </c>
      <c r="H6461">
        <v>-0.06</v>
      </c>
      <c r="I6461">
        <v>0.55000000000000004</v>
      </c>
      <c r="J6461">
        <v>0.30249999999999999</v>
      </c>
      <c r="K6461" t="str">
        <f>IFERROR(INDEX(Rosters!$C$2:$C$155,MATCH($B6461,Rosters!$B$2:$B$155,0)),"NA")</f>
        <v>NA</v>
      </c>
      <c r="L6461" t="str">
        <f t="shared" si="300"/>
        <v>NA2TE</v>
      </c>
      <c r="M6461">
        <f>COUNTIF(L$1:L6461,L6461)</f>
        <v>64</v>
      </c>
      <c r="N6461" t="str">
        <f t="shared" si="301"/>
        <v>NA2TE-64</v>
      </c>
      <c r="O6461">
        <f>COUNTIFS(F$1:F6461,F6461,A$1:A6461,A6461)</f>
        <v>77</v>
      </c>
      <c r="P6461" t="str">
        <f t="shared" si="302"/>
        <v>Jerell Adams2</v>
      </c>
    </row>
    <row r="6462" spans="1:16" x14ac:dyDescent="0.25">
      <c r="A6462">
        <v>7</v>
      </c>
      <c r="B6462" t="s">
        <v>1565</v>
      </c>
      <c r="C6462">
        <f>-0.03-1.01</f>
        <v>-1.04</v>
      </c>
      <c r="D6462">
        <v>0.49</v>
      </c>
      <c r="E6462" t="s">
        <v>30</v>
      </c>
      <c r="F6462" t="s">
        <v>47</v>
      </c>
      <c r="G6462">
        <v>1.01</v>
      </c>
      <c r="H6462">
        <v>-0.03</v>
      </c>
      <c r="I6462">
        <v>0.52</v>
      </c>
      <c r="J6462">
        <v>0.27039999999999997</v>
      </c>
      <c r="K6462" t="str">
        <f>IFERROR(INDEX(Rosters!$C$2:$C$155,MATCH($B6462,Rosters!$B$2:$B$155,0)),"NA")</f>
        <v>NA</v>
      </c>
      <c r="L6462" t="str">
        <f t="shared" si="300"/>
        <v>NA7RB</v>
      </c>
      <c r="M6462">
        <f>COUNTIF(L$1:L6462,L6462)</f>
        <v>57</v>
      </c>
      <c r="N6462" t="str">
        <f t="shared" si="301"/>
        <v>NA7RB-57</v>
      </c>
      <c r="O6462">
        <f>COUNTIFS(F$1:F6462,F6462,A$1:A6462,A6462)</f>
        <v>98</v>
      </c>
      <c r="P6462" t="str">
        <f t="shared" si="302"/>
        <v>Justin Davis7</v>
      </c>
    </row>
    <row r="6463" spans="1:16" x14ac:dyDescent="0.25">
      <c r="A6463">
        <v>8</v>
      </c>
      <c r="B6463" t="s">
        <v>1597</v>
      </c>
      <c r="C6463">
        <f>-0.02-1</f>
        <v>-1.02</v>
      </c>
      <c r="D6463">
        <v>0.49</v>
      </c>
      <c r="E6463" t="s">
        <v>423</v>
      </c>
      <c r="F6463" t="s">
        <v>114</v>
      </c>
      <c r="G6463">
        <v>1</v>
      </c>
      <c r="H6463">
        <v>-0.02</v>
      </c>
      <c r="I6463">
        <v>0.51</v>
      </c>
      <c r="J6463">
        <v>0.2601</v>
      </c>
      <c r="K6463" t="str">
        <f>IFERROR(INDEX(Rosters!$C$2:$C$155,MATCH($B6463,Rosters!$B$2:$B$155,0)),"NA")</f>
        <v>NA</v>
      </c>
      <c r="L6463" t="str">
        <f t="shared" si="300"/>
        <v>NA8TE</v>
      </c>
      <c r="M6463">
        <f>COUNTIF(L$1:L6463,L6463)</f>
        <v>62</v>
      </c>
      <c r="N6463" t="str">
        <f t="shared" si="301"/>
        <v>NA8TE-62</v>
      </c>
      <c r="O6463">
        <f>COUNTIFS(F$1:F6463,F6463,A$1:A6463,A6463)</f>
        <v>74</v>
      </c>
      <c r="P6463" t="str">
        <f t="shared" si="302"/>
        <v>Khari Lee8</v>
      </c>
    </row>
    <row r="6464" spans="1:16" x14ac:dyDescent="0.25">
      <c r="A6464">
        <v>17</v>
      </c>
      <c r="B6464" t="s">
        <v>1597</v>
      </c>
      <c r="C6464">
        <f>-0.03-1.01</f>
        <v>-1.04</v>
      </c>
      <c r="D6464">
        <v>0.49</v>
      </c>
      <c r="E6464" t="s">
        <v>19</v>
      </c>
      <c r="F6464" t="s">
        <v>114</v>
      </c>
      <c r="G6464">
        <v>1.01</v>
      </c>
      <c r="H6464">
        <v>-0.03</v>
      </c>
      <c r="I6464">
        <v>0.52</v>
      </c>
      <c r="J6464" s="66">
        <v>0.27039999999999997</v>
      </c>
      <c r="K6464" t="str">
        <f>IFERROR(INDEX(Rosters!$C$2:$C$155,MATCH($B6464,Rosters!$B$2:$B$155,0)),"NA")</f>
        <v>NA</v>
      </c>
      <c r="L6464" t="str">
        <f t="shared" si="300"/>
        <v>NA17TE</v>
      </c>
      <c r="M6464">
        <f>COUNTIF(L$1:L6464,L6464)</f>
        <v>72</v>
      </c>
      <c r="N6464" t="str">
        <f t="shared" si="301"/>
        <v>NA17TE-72</v>
      </c>
      <c r="O6464">
        <f>COUNTIFS(F$1:F6464,F6464,A$1:A6464,A6464)</f>
        <v>86</v>
      </c>
      <c r="P6464" t="str">
        <f t="shared" si="302"/>
        <v>Khari Lee17</v>
      </c>
    </row>
    <row r="6465" spans="1:16" x14ac:dyDescent="0.25">
      <c r="A6465">
        <v>17</v>
      </c>
      <c r="B6465" t="s">
        <v>288</v>
      </c>
      <c r="C6465">
        <f>-0.02-1</f>
        <v>-1.02</v>
      </c>
      <c r="D6465">
        <v>0.49</v>
      </c>
      <c r="E6465" t="s">
        <v>34</v>
      </c>
      <c r="F6465" t="s">
        <v>114</v>
      </c>
      <c r="G6465">
        <v>1</v>
      </c>
      <c r="H6465">
        <v>-0.02</v>
      </c>
      <c r="I6465">
        <v>0.51</v>
      </c>
      <c r="J6465" s="66">
        <v>0.2601</v>
      </c>
      <c r="K6465" t="str">
        <f>IFERROR(INDEX(Rosters!$C$2:$C$155,MATCH($B6465,Rosters!$B$2:$B$155,0)),"NA")</f>
        <v>NA</v>
      </c>
      <c r="L6465" t="str">
        <f t="shared" si="300"/>
        <v>NA17TE</v>
      </c>
      <c r="M6465">
        <f>COUNTIF(L$1:L6465,L6465)</f>
        <v>73</v>
      </c>
      <c r="N6465" t="str">
        <f t="shared" si="301"/>
        <v>NA17TE-73</v>
      </c>
      <c r="O6465">
        <f>COUNTIFS(F$1:F6465,F6465,A$1:A6465,A6465)</f>
        <v>87</v>
      </c>
      <c r="P6465" t="str">
        <f t="shared" si="302"/>
        <v>Marcedes Lewis17</v>
      </c>
    </row>
    <row r="6466" spans="1:16" x14ac:dyDescent="0.25">
      <c r="A6466">
        <v>8</v>
      </c>
      <c r="B6466" t="s">
        <v>1633</v>
      </c>
      <c r="C6466" t="s">
        <v>3571</v>
      </c>
      <c r="D6466">
        <v>0.49</v>
      </c>
      <c r="E6466" t="s">
        <v>32</v>
      </c>
      <c r="F6466" t="s">
        <v>87</v>
      </c>
      <c r="G6466">
        <v>0.97</v>
      </c>
      <c r="H6466">
        <v>0.01</v>
      </c>
      <c r="I6466">
        <v>0.48</v>
      </c>
      <c r="J6466" s="66">
        <v>0.23039999999999999</v>
      </c>
      <c r="K6466" t="str">
        <f>IFERROR(INDEX(Rosters!$C$2:$C$155,MATCH($B6466,Rosters!$B$2:$B$155,0)),"NA")</f>
        <v>NA</v>
      </c>
      <c r="L6466" t="str">
        <f t="shared" si="300"/>
        <v>NA8WR</v>
      </c>
      <c r="M6466">
        <f>COUNTIF(L$1:L6466,L6466)</f>
        <v>96</v>
      </c>
      <c r="N6466" t="str">
        <f t="shared" si="301"/>
        <v>NA8WR-96</v>
      </c>
      <c r="O6466">
        <f>COUNTIFS(F$1:F6466,F6466,A$1:A6466,A6466)</f>
        <v>145</v>
      </c>
      <c r="P6466" t="str">
        <f t="shared" si="302"/>
        <v>Marcus Johnson8</v>
      </c>
    </row>
    <row r="6467" spans="1:16" x14ac:dyDescent="0.25">
      <c r="A6467">
        <v>8</v>
      </c>
      <c r="B6467" t="s">
        <v>1636</v>
      </c>
      <c r="C6467" t="s">
        <v>1617</v>
      </c>
      <c r="D6467">
        <v>0.49</v>
      </c>
      <c r="E6467" t="s">
        <v>73</v>
      </c>
      <c r="F6467" t="s">
        <v>47</v>
      </c>
      <c r="G6467">
        <v>0.96</v>
      </c>
      <c r="H6467">
        <v>0.02</v>
      </c>
      <c r="I6467">
        <v>0.47</v>
      </c>
      <c r="J6467" s="66">
        <v>0.22090000000000001</v>
      </c>
      <c r="K6467" t="str">
        <f>IFERROR(INDEX(Rosters!$C$2:$C$155,MATCH($B6467,Rosters!$B$2:$B$155,0)),"NA")</f>
        <v>NA</v>
      </c>
      <c r="L6467" t="str">
        <f t="shared" ref="L6467:L6530" si="303">K6467&amp;A6467&amp;F6467</f>
        <v>NA8RB</v>
      </c>
      <c r="M6467">
        <f>COUNTIF(L$1:L6467,L6467)</f>
        <v>61</v>
      </c>
      <c r="N6467" t="str">
        <f t="shared" ref="N6467:N6530" si="304">L6467&amp;"-"&amp;M6467</f>
        <v>NA8RB-61</v>
      </c>
      <c r="O6467">
        <f>COUNTIFS(F$1:F6467,F6467,A$1:A6467,A6467)</f>
        <v>101</v>
      </c>
      <c r="P6467" t="str">
        <f t="shared" ref="P6467:P6530" si="305">B6467&amp;A6467</f>
        <v>Michael Burton8</v>
      </c>
    </row>
    <row r="6468" spans="1:16" x14ac:dyDescent="0.25">
      <c r="A6468">
        <v>17</v>
      </c>
      <c r="B6468" t="s">
        <v>1636</v>
      </c>
      <c r="C6468" t="s">
        <v>3571</v>
      </c>
      <c r="D6468">
        <v>0.49</v>
      </c>
      <c r="E6468" t="s">
        <v>25</v>
      </c>
      <c r="F6468" t="s">
        <v>47</v>
      </c>
      <c r="G6468">
        <v>0.97</v>
      </c>
      <c r="H6468">
        <v>0.01</v>
      </c>
      <c r="I6468">
        <v>0.48</v>
      </c>
      <c r="J6468" s="66">
        <v>0.23039999999999999</v>
      </c>
      <c r="K6468" t="str">
        <f>IFERROR(INDEX(Rosters!$C$2:$C$155,MATCH($B6468,Rosters!$B$2:$B$155,0)),"NA")</f>
        <v>NA</v>
      </c>
      <c r="L6468" t="str">
        <f t="shared" si="303"/>
        <v>NA17RB</v>
      </c>
      <c r="M6468">
        <f>COUNTIF(L$1:L6468,L6468)</f>
        <v>69</v>
      </c>
      <c r="N6468" t="str">
        <f t="shared" si="304"/>
        <v>NA17RB-69</v>
      </c>
      <c r="O6468">
        <f>COUNTIFS(F$1:F6468,F6468,A$1:A6468,A6468)</f>
        <v>116</v>
      </c>
      <c r="P6468" t="str">
        <f t="shared" si="305"/>
        <v>Michael Burton17</v>
      </c>
    </row>
    <row r="6469" spans="1:16" x14ac:dyDescent="0.25">
      <c r="A6469">
        <v>9</v>
      </c>
      <c r="B6469" t="s">
        <v>2921</v>
      </c>
      <c r="C6469">
        <f>-0.13-1.11</f>
        <v>-1.2400000000000002</v>
      </c>
      <c r="D6469">
        <v>0.49</v>
      </c>
      <c r="E6469" t="s">
        <v>46</v>
      </c>
      <c r="F6469" t="s">
        <v>87</v>
      </c>
      <c r="G6469">
        <v>1.1100000000000001</v>
      </c>
      <c r="H6469">
        <v>-0.13</v>
      </c>
      <c r="I6469">
        <v>0.62</v>
      </c>
      <c r="J6469" s="66">
        <v>0.38440000000000002</v>
      </c>
      <c r="K6469" t="str">
        <f>IFERROR(INDEX(Rosters!$C$2:$C$155,MATCH($B6469,Rosters!$B$2:$B$155,0)),"NA")</f>
        <v>NA</v>
      </c>
      <c r="L6469" t="str">
        <f t="shared" si="303"/>
        <v>NA9WR</v>
      </c>
      <c r="M6469">
        <f>COUNTIF(L$1:L6469,L6469)</f>
        <v>95</v>
      </c>
      <c r="N6469" t="str">
        <f t="shared" si="304"/>
        <v>NA9WR-95</v>
      </c>
      <c r="O6469">
        <f>COUNTIFS(F$1:F6469,F6469,A$1:A6469,A6469)</f>
        <v>139</v>
      </c>
      <c r="P6469" t="str">
        <f t="shared" si="305"/>
        <v>Michael Floyd9</v>
      </c>
    </row>
    <row r="6470" spans="1:16" x14ac:dyDescent="0.25">
      <c r="A6470">
        <v>15</v>
      </c>
      <c r="B6470" t="s">
        <v>2921</v>
      </c>
      <c r="C6470">
        <f>-0.02-1</f>
        <v>-1.02</v>
      </c>
      <c r="D6470">
        <v>0.49</v>
      </c>
      <c r="E6470" t="s">
        <v>76</v>
      </c>
      <c r="F6470" t="s">
        <v>87</v>
      </c>
      <c r="G6470">
        <v>1</v>
      </c>
      <c r="H6470">
        <v>-0.02</v>
      </c>
      <c r="I6470">
        <v>0.51</v>
      </c>
      <c r="J6470" s="66">
        <v>0.2601</v>
      </c>
      <c r="K6470" t="str">
        <f>IFERROR(INDEX(Rosters!$C$2:$C$155,MATCH($B6470,Rosters!$B$2:$B$155,0)),"NA")</f>
        <v>NA</v>
      </c>
      <c r="L6470" t="str">
        <f t="shared" si="303"/>
        <v>NA15WR</v>
      </c>
      <c r="M6470">
        <f>COUNTIF(L$1:L6470,L6470)</f>
        <v>111</v>
      </c>
      <c r="N6470" t="str">
        <f t="shared" si="304"/>
        <v>NA15WR-111</v>
      </c>
      <c r="O6470">
        <f>COUNTIFS(F$1:F6470,F6470,A$1:A6470,A6470)</f>
        <v>165</v>
      </c>
      <c r="P6470" t="str">
        <f t="shared" si="305"/>
        <v>Michael Floyd15</v>
      </c>
    </row>
    <row r="6471" spans="1:16" x14ac:dyDescent="0.25">
      <c r="A6471">
        <v>5</v>
      </c>
      <c r="B6471" t="s">
        <v>1584</v>
      </c>
      <c r="C6471">
        <f>-0.08-1.06</f>
        <v>-1.1400000000000001</v>
      </c>
      <c r="D6471">
        <v>0.49</v>
      </c>
      <c r="E6471" t="s">
        <v>29</v>
      </c>
      <c r="F6471" t="s">
        <v>114</v>
      </c>
      <c r="G6471">
        <v>1.06</v>
      </c>
      <c r="H6471">
        <v>-0.08</v>
      </c>
      <c r="I6471">
        <v>0.56999999999999995</v>
      </c>
      <c r="J6471" s="66">
        <v>0.32490000000000002</v>
      </c>
      <c r="K6471" t="str">
        <f>IFERROR(INDEX(Rosters!$C$2:$C$155,MATCH($B6471,Rosters!$B$2:$B$155,0)),"NA")</f>
        <v>NA</v>
      </c>
      <c r="L6471" t="str">
        <f t="shared" si="303"/>
        <v>NA5TE</v>
      </c>
      <c r="M6471">
        <f>COUNTIF(L$1:L6471,L6471)</f>
        <v>67</v>
      </c>
      <c r="N6471" t="str">
        <f t="shared" si="304"/>
        <v>NA5TE-67</v>
      </c>
      <c r="O6471">
        <f>COUNTIFS(F$1:F6471,F6471,A$1:A6471,A6471)</f>
        <v>78</v>
      </c>
      <c r="P6471" t="str">
        <f t="shared" si="305"/>
        <v>MyCole Pruitt5</v>
      </c>
    </row>
    <row r="6472" spans="1:16" x14ac:dyDescent="0.25">
      <c r="A6472">
        <v>7</v>
      </c>
      <c r="B6472" t="s">
        <v>1584</v>
      </c>
      <c r="C6472">
        <f>-0.09-1.07</f>
        <v>-1.1600000000000001</v>
      </c>
      <c r="D6472">
        <v>0.49</v>
      </c>
      <c r="E6472" t="s">
        <v>37</v>
      </c>
      <c r="F6472" t="s">
        <v>114</v>
      </c>
      <c r="G6472">
        <v>1.07</v>
      </c>
      <c r="H6472">
        <v>-0.09</v>
      </c>
      <c r="I6472">
        <v>0.57999999999999996</v>
      </c>
      <c r="J6472" s="66">
        <v>0.33639999999999998</v>
      </c>
      <c r="K6472" t="str">
        <f>IFERROR(INDEX(Rosters!$C$2:$C$155,MATCH($B6472,Rosters!$B$2:$B$155,0)),"NA")</f>
        <v>NA</v>
      </c>
      <c r="L6472" t="str">
        <f t="shared" si="303"/>
        <v>NA7TE</v>
      </c>
      <c r="M6472">
        <f>COUNTIF(L$1:L6472,L6472)</f>
        <v>67</v>
      </c>
      <c r="N6472" t="str">
        <f t="shared" si="304"/>
        <v>NA7TE-67</v>
      </c>
      <c r="O6472">
        <f>COUNTIFS(F$1:F6472,F6472,A$1:A6472,A6472)</f>
        <v>77</v>
      </c>
      <c r="P6472" t="str">
        <f t="shared" si="305"/>
        <v>MyCole Pruitt7</v>
      </c>
    </row>
    <row r="6473" spans="1:16" x14ac:dyDescent="0.25">
      <c r="A6473">
        <v>7</v>
      </c>
      <c r="B6473" t="s">
        <v>328</v>
      </c>
      <c r="C6473">
        <f>-0.19-1.17</f>
        <v>-1.3599999999999999</v>
      </c>
      <c r="D6473">
        <v>0.49</v>
      </c>
      <c r="E6473" t="s">
        <v>66</v>
      </c>
      <c r="F6473" t="s">
        <v>47</v>
      </c>
      <c r="G6473">
        <v>1.17</v>
      </c>
      <c r="H6473">
        <v>-0.19</v>
      </c>
      <c r="I6473">
        <v>0.68</v>
      </c>
      <c r="J6473" s="66">
        <v>0.46239999999999998</v>
      </c>
      <c r="K6473" t="str">
        <f>IFERROR(INDEX(Rosters!$C$2:$C$155,MATCH($B6473,Rosters!$B$2:$B$155,0)),"NA")</f>
        <v>NA</v>
      </c>
      <c r="L6473" t="str">
        <f t="shared" si="303"/>
        <v>NA7RB</v>
      </c>
      <c r="M6473">
        <f>COUNTIF(L$1:L6473,L6473)</f>
        <v>58</v>
      </c>
      <c r="N6473" t="str">
        <f t="shared" si="304"/>
        <v>NA7RB-58</v>
      </c>
      <c r="O6473">
        <f>COUNTIFS(F$1:F6473,F6473,A$1:A6473,A6473)</f>
        <v>99</v>
      </c>
      <c r="P6473" t="str">
        <f t="shared" si="305"/>
        <v>Patrick DiMarco7</v>
      </c>
    </row>
    <row r="6474" spans="1:16" x14ac:dyDescent="0.25">
      <c r="A6474">
        <v>13</v>
      </c>
      <c r="B6474" t="s">
        <v>328</v>
      </c>
      <c r="C6474">
        <f>-0.18-1.16</f>
        <v>-1.3399999999999999</v>
      </c>
      <c r="D6474">
        <v>0.49</v>
      </c>
      <c r="E6474" t="s">
        <v>19</v>
      </c>
      <c r="F6474" t="s">
        <v>47</v>
      </c>
      <c r="G6474">
        <v>1.1599999999999999</v>
      </c>
      <c r="H6474">
        <v>-0.18</v>
      </c>
      <c r="I6474">
        <v>0.67</v>
      </c>
      <c r="J6474" s="66">
        <v>0.44890000000000002</v>
      </c>
      <c r="K6474" t="str">
        <f>IFERROR(INDEX(Rosters!$C$2:$C$155,MATCH($B6474,Rosters!$B$2:$B$155,0)),"NA")</f>
        <v>NA</v>
      </c>
      <c r="L6474" t="str">
        <f t="shared" si="303"/>
        <v>NA13RB</v>
      </c>
      <c r="M6474">
        <f>COUNTIF(L$1:L6474,L6474)</f>
        <v>76</v>
      </c>
      <c r="N6474" t="str">
        <f t="shared" si="304"/>
        <v>NA13RB-76</v>
      </c>
      <c r="O6474">
        <f>COUNTIFS(F$1:F6474,F6474,A$1:A6474,A6474)</f>
        <v>123</v>
      </c>
      <c r="P6474" t="str">
        <f t="shared" si="305"/>
        <v>Patrick DiMarco13</v>
      </c>
    </row>
    <row r="6475" spans="1:16" x14ac:dyDescent="0.25">
      <c r="A6475">
        <v>12</v>
      </c>
      <c r="B6475" t="s">
        <v>4701</v>
      </c>
      <c r="C6475" t="s">
        <v>8921</v>
      </c>
      <c r="D6475">
        <v>0.49</v>
      </c>
      <c r="E6475" t="s">
        <v>76</v>
      </c>
      <c r="F6475" t="s">
        <v>87</v>
      </c>
      <c r="G6475">
        <v>0.93</v>
      </c>
      <c r="H6475">
        <v>0.05</v>
      </c>
      <c r="I6475">
        <v>0.44</v>
      </c>
      <c r="J6475" s="66">
        <v>0.19359999999999999</v>
      </c>
      <c r="K6475" t="str">
        <f>IFERROR(INDEX(Rosters!$C$2:$C$155,MATCH($B6475,Rosters!$B$2:$B$155,0)),"NA")</f>
        <v>NA</v>
      </c>
      <c r="L6475" t="str">
        <f t="shared" si="303"/>
        <v>NA12WR</v>
      </c>
      <c r="M6475">
        <f>COUNTIF(L$1:L6475,L6475)</f>
        <v>108</v>
      </c>
      <c r="N6475" t="str">
        <f t="shared" si="304"/>
        <v>NA12WR-108</v>
      </c>
      <c r="O6475">
        <f>COUNTIFS(F$1:F6475,F6475,A$1:A6475,A6475)</f>
        <v>157</v>
      </c>
      <c r="P6475" t="str">
        <f t="shared" si="305"/>
        <v>Ray-Ray McCloud12</v>
      </c>
    </row>
    <row r="6476" spans="1:16" x14ac:dyDescent="0.25">
      <c r="A6476">
        <v>13</v>
      </c>
      <c r="B6476" t="s">
        <v>295</v>
      </c>
      <c r="C6476" t="s">
        <v>1617</v>
      </c>
      <c r="D6476">
        <v>0.49</v>
      </c>
      <c r="E6476" t="s">
        <v>60</v>
      </c>
      <c r="F6476" t="s">
        <v>114</v>
      </c>
      <c r="G6476">
        <v>0.96</v>
      </c>
      <c r="H6476">
        <v>0.02</v>
      </c>
      <c r="I6476">
        <v>0.47</v>
      </c>
      <c r="J6476" s="66">
        <v>0.22090000000000001</v>
      </c>
      <c r="K6476" t="str">
        <f>IFERROR(INDEX(Rosters!$C$2:$C$155,MATCH($B6476,Rosters!$B$2:$B$155,0)),"NA")</f>
        <v>NA</v>
      </c>
      <c r="L6476" t="str">
        <f t="shared" si="303"/>
        <v>NA13TE</v>
      </c>
      <c r="M6476">
        <f>COUNTIF(L$1:L6476,L6476)</f>
        <v>73</v>
      </c>
      <c r="N6476" t="str">
        <f t="shared" si="304"/>
        <v>NA13TE-73</v>
      </c>
      <c r="O6476">
        <f>COUNTIFS(F$1:F6476,F6476,A$1:A6476,A6476)</f>
        <v>87</v>
      </c>
      <c r="P6476" t="str">
        <f t="shared" si="305"/>
        <v>Richard Rodgers13</v>
      </c>
    </row>
    <row r="6477" spans="1:16" x14ac:dyDescent="0.25">
      <c r="A6477">
        <v>16</v>
      </c>
      <c r="B6477" t="s">
        <v>3845</v>
      </c>
      <c r="C6477">
        <f>-0.05-1.03</f>
        <v>-1.08</v>
      </c>
      <c r="D6477">
        <v>0.49</v>
      </c>
      <c r="E6477" t="s">
        <v>31</v>
      </c>
      <c r="F6477" t="s">
        <v>87</v>
      </c>
      <c r="G6477">
        <v>1.03</v>
      </c>
      <c r="H6477">
        <v>-0.05</v>
      </c>
      <c r="I6477">
        <v>0.54</v>
      </c>
      <c r="J6477" s="66">
        <v>0.29160000000000003</v>
      </c>
      <c r="K6477" t="str">
        <f>IFERROR(INDEX(Rosters!$C$2:$C$155,MATCH($B6477,Rosters!$B$2:$B$155,0)),"NA")</f>
        <v>NA</v>
      </c>
      <c r="L6477" t="str">
        <f t="shared" si="303"/>
        <v>NA16WR</v>
      </c>
      <c r="M6477">
        <f>COUNTIF(L$1:L6477,L6477)</f>
        <v>110</v>
      </c>
      <c r="N6477" t="str">
        <f t="shared" si="304"/>
        <v>NA16WR-110</v>
      </c>
      <c r="O6477">
        <f>COUNTIFS(F$1:F6477,F6477,A$1:A6477,A6477)</f>
        <v>164</v>
      </c>
      <c r="P6477" t="str">
        <f t="shared" si="305"/>
        <v>Rod Streater16</v>
      </c>
    </row>
    <row r="6478" spans="1:16" x14ac:dyDescent="0.25">
      <c r="A6478">
        <v>12</v>
      </c>
      <c r="B6478" t="s">
        <v>2792</v>
      </c>
      <c r="C6478">
        <f>-0.04-1.02</f>
        <v>-1.06</v>
      </c>
      <c r="D6478">
        <v>0.49</v>
      </c>
      <c r="E6478" t="s">
        <v>52</v>
      </c>
      <c r="F6478" t="s">
        <v>47</v>
      </c>
      <c r="G6478">
        <v>1.02</v>
      </c>
      <c r="H6478">
        <v>-0.04</v>
      </c>
      <c r="I6478">
        <v>0.53</v>
      </c>
      <c r="J6478" s="66">
        <v>0.28089999999999998</v>
      </c>
      <c r="K6478" t="str">
        <f>IFERROR(INDEX(Rosters!$C$2:$C$155,MATCH($B6478,Rosters!$B$2:$B$155,0)),"NA")</f>
        <v>NA</v>
      </c>
      <c r="L6478" t="str">
        <f t="shared" si="303"/>
        <v>NA12RB</v>
      </c>
      <c r="M6478">
        <f>COUNTIF(L$1:L6478,L6478)</f>
        <v>67</v>
      </c>
      <c r="N6478" t="str">
        <f t="shared" si="304"/>
        <v>NA12RB-67</v>
      </c>
      <c r="O6478">
        <f>COUNTIFS(F$1:F6478,F6478,A$1:A6478,A6478)</f>
        <v>112</v>
      </c>
      <c r="P6478" t="str">
        <f t="shared" si="305"/>
        <v>Thomas Rawls12</v>
      </c>
    </row>
    <row r="6479" spans="1:16" x14ac:dyDescent="0.25">
      <c r="A6479">
        <v>17</v>
      </c>
      <c r="B6479" t="s">
        <v>2792</v>
      </c>
      <c r="C6479">
        <f>-0.08-1.06</f>
        <v>-1.1400000000000001</v>
      </c>
      <c r="D6479">
        <v>0.49</v>
      </c>
      <c r="E6479" t="s">
        <v>51</v>
      </c>
      <c r="F6479" t="s">
        <v>47</v>
      </c>
      <c r="G6479">
        <v>1.06</v>
      </c>
      <c r="H6479">
        <v>-0.08</v>
      </c>
      <c r="I6479">
        <v>0.56999999999999995</v>
      </c>
      <c r="J6479" s="66">
        <v>0.32490000000000002</v>
      </c>
      <c r="K6479" t="str">
        <f>IFERROR(INDEX(Rosters!$C$2:$C$155,MATCH($B6479,Rosters!$B$2:$B$155,0)),"NA")</f>
        <v>NA</v>
      </c>
      <c r="L6479" t="str">
        <f t="shared" si="303"/>
        <v>NA17RB</v>
      </c>
      <c r="M6479">
        <f>COUNTIF(L$1:L6479,L6479)</f>
        <v>70</v>
      </c>
      <c r="N6479" t="str">
        <f t="shared" si="304"/>
        <v>NA17RB-70</v>
      </c>
      <c r="O6479">
        <f>COUNTIFS(F$1:F6479,F6479,A$1:A6479,A6479)</f>
        <v>117</v>
      </c>
      <c r="P6479" t="str">
        <f t="shared" si="305"/>
        <v>Thomas Rawls17</v>
      </c>
    </row>
    <row r="6480" spans="1:16" x14ac:dyDescent="0.25">
      <c r="A6480">
        <v>7</v>
      </c>
      <c r="B6480" t="s">
        <v>4258</v>
      </c>
      <c r="C6480">
        <f>-0.06-1.04</f>
        <v>-1.1000000000000001</v>
      </c>
      <c r="D6480">
        <v>0.49</v>
      </c>
      <c r="E6480" t="s">
        <v>58</v>
      </c>
      <c r="F6480" t="s">
        <v>87</v>
      </c>
      <c r="G6480">
        <v>1.04</v>
      </c>
      <c r="H6480">
        <v>-0.06</v>
      </c>
      <c r="I6480">
        <v>0.55000000000000004</v>
      </c>
      <c r="J6480" s="66">
        <v>0.30249999999999999</v>
      </c>
      <c r="K6480" t="str">
        <f>IFERROR(INDEX(Rosters!$C$2:$C$155,MATCH($B6480,Rosters!$B$2:$B$155,0)),"NA")</f>
        <v>NA</v>
      </c>
      <c r="L6480" t="str">
        <f t="shared" si="303"/>
        <v>NA7WR</v>
      </c>
      <c r="M6480">
        <f>COUNTIF(L$1:L6480,L6480)</f>
        <v>101</v>
      </c>
      <c r="N6480" t="str">
        <f t="shared" si="304"/>
        <v>NA7WR-101</v>
      </c>
      <c r="O6480">
        <f>COUNTIFS(F$1:F6480,F6480,A$1:A6480,A6480)</f>
        <v>146</v>
      </c>
      <c r="P6480" t="str">
        <f t="shared" si="305"/>
        <v>Tim Patrick7</v>
      </c>
    </row>
    <row r="6481" spans="1:16" x14ac:dyDescent="0.25">
      <c r="A6481">
        <v>16</v>
      </c>
      <c r="B6481" t="s">
        <v>4258</v>
      </c>
      <c r="C6481" t="s">
        <v>1617</v>
      </c>
      <c r="D6481">
        <v>0.49</v>
      </c>
      <c r="E6481" t="s">
        <v>32</v>
      </c>
      <c r="F6481" t="s">
        <v>87</v>
      </c>
      <c r="G6481">
        <v>0.96</v>
      </c>
      <c r="H6481">
        <v>0.02</v>
      </c>
      <c r="I6481">
        <v>0.47</v>
      </c>
      <c r="J6481" s="66">
        <v>0.22090000000000001</v>
      </c>
      <c r="K6481" t="str">
        <f>IFERROR(INDEX(Rosters!$C$2:$C$155,MATCH($B6481,Rosters!$B$2:$B$155,0)),"NA")</f>
        <v>NA</v>
      </c>
      <c r="L6481" t="str">
        <f t="shared" si="303"/>
        <v>NA16WR</v>
      </c>
      <c r="M6481">
        <f>COUNTIF(L$1:L6481,L6481)</f>
        <v>111</v>
      </c>
      <c r="N6481" t="str">
        <f t="shared" si="304"/>
        <v>NA16WR-111</v>
      </c>
      <c r="O6481">
        <f>COUNTIFS(F$1:F6481,F6481,A$1:A6481,A6481)</f>
        <v>165</v>
      </c>
      <c r="P6481" t="str">
        <f t="shared" si="305"/>
        <v>Tim Patrick16</v>
      </c>
    </row>
    <row r="6482" spans="1:16" x14ac:dyDescent="0.25">
      <c r="A6482">
        <v>2</v>
      </c>
      <c r="B6482" t="s">
        <v>1614</v>
      </c>
      <c r="C6482">
        <f>-0.01-0.97</f>
        <v>-0.98</v>
      </c>
      <c r="D6482">
        <v>0.48</v>
      </c>
      <c r="E6482" t="s">
        <v>51</v>
      </c>
      <c r="F6482" t="s">
        <v>114</v>
      </c>
      <c r="G6482">
        <v>0.97</v>
      </c>
      <c r="H6482">
        <v>-0.01</v>
      </c>
      <c r="I6482">
        <v>0.49</v>
      </c>
      <c r="J6482" s="66">
        <v>0.24010000000000001</v>
      </c>
      <c r="K6482" t="str">
        <f>IFERROR(INDEX(Rosters!$C$2:$C$155,MATCH($B6482,Rosters!$B$2:$B$155,0)),"NA")</f>
        <v>NA</v>
      </c>
      <c r="L6482" t="str">
        <f t="shared" si="303"/>
        <v>NA2TE</v>
      </c>
      <c r="M6482">
        <f>COUNTIF(L$1:L6482,L6482)</f>
        <v>65</v>
      </c>
      <c r="N6482" t="str">
        <f t="shared" si="304"/>
        <v>NA2TE-65</v>
      </c>
      <c r="O6482">
        <f>COUNTIFS(F$1:F6482,F6482,A$1:A6482,A6482)</f>
        <v>78</v>
      </c>
      <c r="P6482" t="str">
        <f t="shared" si="305"/>
        <v>Alex Ellis2</v>
      </c>
    </row>
    <row r="6483" spans="1:16" x14ac:dyDescent="0.25">
      <c r="A6483">
        <v>14</v>
      </c>
      <c r="B6483" t="s">
        <v>385</v>
      </c>
      <c r="C6483" t="s">
        <v>3875</v>
      </c>
      <c r="D6483">
        <v>0.48</v>
      </c>
      <c r="E6483" t="s">
        <v>77</v>
      </c>
      <c r="F6483" t="s">
        <v>47</v>
      </c>
      <c r="G6483">
        <v>0.95</v>
      </c>
      <c r="H6483">
        <v>0.01</v>
      </c>
      <c r="I6483">
        <v>0.47</v>
      </c>
      <c r="J6483" s="66">
        <v>0.22090000000000001</v>
      </c>
      <c r="K6483" t="str">
        <f>IFERROR(INDEX(Rosters!$C$2:$C$155,MATCH($B6483,Rosters!$B$2:$B$155,0)),"NA")</f>
        <v>NA</v>
      </c>
      <c r="L6483" t="str">
        <f t="shared" si="303"/>
        <v>NA14RB</v>
      </c>
      <c r="M6483">
        <f>COUNTIF(L$1:L6483,L6483)</f>
        <v>67</v>
      </c>
      <c r="N6483" t="str">
        <f t="shared" si="304"/>
        <v>NA14RB-67</v>
      </c>
      <c r="O6483">
        <f>COUNTIFS(F$1:F6483,F6483,A$1:A6483,A6483)</f>
        <v>114</v>
      </c>
      <c r="P6483" t="str">
        <f t="shared" si="305"/>
        <v>Anthony Sherman14</v>
      </c>
    </row>
    <row r="6484" spans="1:16" x14ac:dyDescent="0.25">
      <c r="A6484">
        <v>16</v>
      </c>
      <c r="B6484" t="s">
        <v>385</v>
      </c>
      <c r="C6484">
        <f>-0.1-1.06</f>
        <v>-1.1600000000000001</v>
      </c>
      <c r="D6484">
        <v>0.48</v>
      </c>
      <c r="E6484" t="s">
        <v>28</v>
      </c>
      <c r="F6484" t="s">
        <v>47</v>
      </c>
      <c r="G6484">
        <v>1.06</v>
      </c>
      <c r="H6484">
        <v>-0.1</v>
      </c>
      <c r="I6484">
        <v>0.57999999999999996</v>
      </c>
      <c r="J6484" s="66">
        <v>0.33639999999999998</v>
      </c>
      <c r="K6484" t="str">
        <f>IFERROR(INDEX(Rosters!$C$2:$C$155,MATCH($B6484,Rosters!$B$2:$B$155,0)),"NA")</f>
        <v>NA</v>
      </c>
      <c r="L6484" t="str">
        <f t="shared" si="303"/>
        <v>NA16RB</v>
      </c>
      <c r="M6484">
        <f>COUNTIF(L$1:L6484,L6484)</f>
        <v>68</v>
      </c>
      <c r="N6484" t="str">
        <f t="shared" si="304"/>
        <v>NA16RB-68</v>
      </c>
      <c r="O6484">
        <f>COUNTIFS(F$1:F6484,F6484,A$1:A6484,A6484)</f>
        <v>115</v>
      </c>
      <c r="P6484" t="str">
        <f t="shared" si="305"/>
        <v>Anthony Sherman16</v>
      </c>
    </row>
    <row r="6485" spans="1:16" x14ac:dyDescent="0.25">
      <c r="A6485">
        <v>6</v>
      </c>
      <c r="B6485" t="s">
        <v>1542</v>
      </c>
      <c r="C6485" t="s">
        <v>1021</v>
      </c>
      <c r="D6485">
        <v>0.48</v>
      </c>
      <c r="E6485" t="s">
        <v>46</v>
      </c>
      <c r="F6485" t="s">
        <v>114</v>
      </c>
      <c r="G6485">
        <v>0.92</v>
      </c>
      <c r="H6485">
        <v>0.04</v>
      </c>
      <c r="I6485">
        <v>0.44</v>
      </c>
      <c r="J6485" s="66">
        <v>0.19359999999999999</v>
      </c>
      <c r="K6485" t="str">
        <f>IFERROR(INDEX(Rosters!$C$2:$C$155,MATCH($B6485,Rosters!$B$2:$B$155,0)),"NA")</f>
        <v>NA</v>
      </c>
      <c r="L6485" t="str">
        <f t="shared" si="303"/>
        <v>NA6TE</v>
      </c>
      <c r="M6485">
        <f>COUNTIF(L$1:L6485,L6485)</f>
        <v>65</v>
      </c>
      <c r="N6485" t="str">
        <f t="shared" si="304"/>
        <v>NA6TE-65</v>
      </c>
      <c r="O6485">
        <f>COUNTIFS(F$1:F6485,F6485,A$1:A6485,A6485)</f>
        <v>77</v>
      </c>
      <c r="P6485" t="str">
        <f t="shared" si="305"/>
        <v>Antony Auclair6</v>
      </c>
    </row>
    <row r="6486" spans="1:16" x14ac:dyDescent="0.25">
      <c r="A6486">
        <v>8</v>
      </c>
      <c r="B6486" t="s">
        <v>1542</v>
      </c>
      <c r="C6486" t="s">
        <v>3875</v>
      </c>
      <c r="D6486">
        <v>0.48</v>
      </c>
      <c r="E6486" t="s">
        <v>31</v>
      </c>
      <c r="F6486" t="s">
        <v>114</v>
      </c>
      <c r="G6486">
        <v>0.95</v>
      </c>
      <c r="H6486">
        <v>0.01</v>
      </c>
      <c r="I6486">
        <v>0.47</v>
      </c>
      <c r="J6486" s="66">
        <v>0.22090000000000001</v>
      </c>
      <c r="K6486" t="str">
        <f>IFERROR(INDEX(Rosters!$C$2:$C$155,MATCH($B6486,Rosters!$B$2:$B$155,0)),"NA")</f>
        <v>NA</v>
      </c>
      <c r="L6486" t="str">
        <f t="shared" si="303"/>
        <v>NA8TE</v>
      </c>
      <c r="M6486">
        <f>COUNTIF(L$1:L6486,L6486)</f>
        <v>63</v>
      </c>
      <c r="N6486" t="str">
        <f t="shared" si="304"/>
        <v>NA8TE-63</v>
      </c>
      <c r="O6486">
        <f>COUNTIFS(F$1:F6486,F6486,A$1:A6486,A6486)</f>
        <v>75</v>
      </c>
      <c r="P6486" t="str">
        <f t="shared" si="305"/>
        <v>Antony Auclair8</v>
      </c>
    </row>
    <row r="6487" spans="1:16" x14ac:dyDescent="0.25">
      <c r="A6487">
        <v>15</v>
      </c>
      <c r="B6487" t="s">
        <v>3569</v>
      </c>
      <c r="C6487">
        <f>-0.03-0.99</f>
        <v>-1.02</v>
      </c>
      <c r="D6487">
        <v>0.48</v>
      </c>
      <c r="E6487" t="s">
        <v>60</v>
      </c>
      <c r="F6487" t="s">
        <v>47</v>
      </c>
      <c r="G6487">
        <v>0.99</v>
      </c>
      <c r="H6487">
        <v>-0.03</v>
      </c>
      <c r="I6487">
        <v>0.51</v>
      </c>
      <c r="J6487" s="66">
        <v>0.2601</v>
      </c>
      <c r="K6487" t="str">
        <f>IFERROR(INDEX(Rosters!$C$2:$C$155,MATCH($B6487,Rosters!$B$2:$B$155,0)),"NA")</f>
        <v>NA</v>
      </c>
      <c r="L6487" t="str">
        <f t="shared" si="303"/>
        <v>NA15RB</v>
      </c>
      <c r="M6487">
        <f>COUNTIF(L$1:L6487,L6487)</f>
        <v>71</v>
      </c>
      <c r="N6487" t="str">
        <f t="shared" si="304"/>
        <v>NA15RB-71</v>
      </c>
      <c r="O6487">
        <f>COUNTIFS(F$1:F6487,F6487,A$1:A6487,A6487)</f>
        <v>118</v>
      </c>
      <c r="P6487" t="str">
        <f t="shared" si="305"/>
        <v>Brandon Wilds15</v>
      </c>
    </row>
    <row r="6488" spans="1:16" x14ac:dyDescent="0.25">
      <c r="A6488">
        <v>11</v>
      </c>
      <c r="B6488" t="s">
        <v>8901</v>
      </c>
      <c r="C6488">
        <f>-0.1-1.06</f>
        <v>-1.1600000000000001</v>
      </c>
      <c r="D6488">
        <v>0.48</v>
      </c>
      <c r="E6488" t="s">
        <v>37</v>
      </c>
      <c r="F6488" t="s">
        <v>114</v>
      </c>
      <c r="G6488">
        <v>1.06</v>
      </c>
      <c r="H6488">
        <v>-0.1</v>
      </c>
      <c r="I6488">
        <v>0.57999999999999996</v>
      </c>
      <c r="J6488" s="66">
        <v>0.33639999999999998</v>
      </c>
      <c r="K6488" t="str">
        <f>IFERROR(INDEX(Rosters!$C$2:$C$155,MATCH($B6488,Rosters!$B$2:$B$155,0)),"NA")</f>
        <v>NA</v>
      </c>
      <c r="L6488" t="str">
        <f t="shared" si="303"/>
        <v>NA11TE</v>
      </c>
      <c r="M6488">
        <f>COUNTIF(L$1:L6488,L6488)</f>
        <v>61</v>
      </c>
      <c r="N6488" t="str">
        <f t="shared" si="304"/>
        <v>NA11TE-61</v>
      </c>
      <c r="O6488">
        <f>COUNTIFS(F$1:F6488,F6488,A$1:A6488,A6488)</f>
        <v>73</v>
      </c>
      <c r="P6488" t="str">
        <f t="shared" si="305"/>
        <v>Brian Parker11</v>
      </c>
    </row>
    <row r="6489" spans="1:16" x14ac:dyDescent="0.25">
      <c r="A6489">
        <v>13</v>
      </c>
      <c r="B6489" t="s">
        <v>8901</v>
      </c>
      <c r="C6489">
        <f>-0.09-1.05</f>
        <v>-1.1400000000000001</v>
      </c>
      <c r="D6489">
        <v>0.48</v>
      </c>
      <c r="E6489" t="s">
        <v>31</v>
      </c>
      <c r="F6489" t="s">
        <v>114</v>
      </c>
      <c r="G6489">
        <v>1.05</v>
      </c>
      <c r="H6489">
        <v>-0.09</v>
      </c>
      <c r="I6489">
        <v>0.56999999999999995</v>
      </c>
      <c r="J6489" s="66">
        <v>0.32490000000000002</v>
      </c>
      <c r="K6489" t="str">
        <f>IFERROR(INDEX(Rosters!$C$2:$C$155,MATCH($B6489,Rosters!$B$2:$B$155,0)),"NA")</f>
        <v>NA</v>
      </c>
      <c r="L6489" t="str">
        <f t="shared" si="303"/>
        <v>NA13TE</v>
      </c>
      <c r="M6489">
        <f>COUNTIF(L$1:L6489,L6489)</f>
        <v>74</v>
      </c>
      <c r="N6489" t="str">
        <f t="shared" si="304"/>
        <v>NA13TE-74</v>
      </c>
      <c r="O6489">
        <f>COUNTIFS(F$1:F6489,F6489,A$1:A6489,A6489)</f>
        <v>88</v>
      </c>
      <c r="P6489" t="str">
        <f t="shared" si="305"/>
        <v>Brian Parker13</v>
      </c>
    </row>
    <row r="6490" spans="1:16" x14ac:dyDescent="0.25">
      <c r="A6490">
        <v>15</v>
      </c>
      <c r="B6490" t="s">
        <v>4656</v>
      </c>
      <c r="C6490" t="s">
        <v>1021</v>
      </c>
      <c r="D6490">
        <v>0.48</v>
      </c>
      <c r="E6490" t="s">
        <v>73</v>
      </c>
      <c r="F6490" t="s">
        <v>47</v>
      </c>
      <c r="G6490">
        <v>0.92</v>
      </c>
      <c r="H6490">
        <v>0.04</v>
      </c>
      <c r="I6490">
        <v>0.44</v>
      </c>
      <c r="J6490" s="66">
        <v>0.19359999999999999</v>
      </c>
      <c r="K6490" t="str">
        <f>IFERROR(INDEX(Rosters!$C$2:$C$155,MATCH($B6490,Rosters!$B$2:$B$155,0)),"NA")</f>
        <v>NA</v>
      </c>
      <c r="L6490" t="str">
        <f t="shared" si="303"/>
        <v>NA15RB</v>
      </c>
      <c r="M6490">
        <f>COUNTIF(L$1:L6490,L6490)</f>
        <v>72</v>
      </c>
      <c r="N6490" t="str">
        <f t="shared" si="304"/>
        <v>NA15RB-72</v>
      </c>
      <c r="O6490">
        <f>COUNTIFS(F$1:F6490,F6490,A$1:A6490,A6490)</f>
        <v>119</v>
      </c>
      <c r="P6490" t="str">
        <f t="shared" si="305"/>
        <v>Buddy Howell15</v>
      </c>
    </row>
    <row r="6491" spans="1:16" x14ac:dyDescent="0.25">
      <c r="A6491">
        <v>4</v>
      </c>
      <c r="B6491" t="s">
        <v>1549</v>
      </c>
      <c r="C6491" t="s">
        <v>3872</v>
      </c>
      <c r="D6491">
        <v>0.48</v>
      </c>
      <c r="E6491" t="s">
        <v>56</v>
      </c>
      <c r="F6491" t="s">
        <v>47</v>
      </c>
      <c r="G6491">
        <v>0.96</v>
      </c>
      <c r="H6491">
        <v>0</v>
      </c>
      <c r="I6491">
        <v>0.48</v>
      </c>
      <c r="J6491" s="66">
        <v>0.23039999999999999</v>
      </c>
      <c r="K6491" t="str">
        <f>IFERROR(INDEX(Rosters!$C$2:$C$155,MATCH($B6491,Rosters!$B$2:$B$155,0)),"NA")</f>
        <v>NA</v>
      </c>
      <c r="L6491" t="str">
        <f t="shared" si="303"/>
        <v>NA4RB</v>
      </c>
      <c r="M6491">
        <f>COUNTIF(L$1:L6491,L6491)</f>
        <v>53</v>
      </c>
      <c r="N6491" t="str">
        <f t="shared" si="304"/>
        <v>NA4RB-53</v>
      </c>
      <c r="O6491">
        <f>COUNTIFS(F$1:F6491,F6491,A$1:A6491,A6491)</f>
        <v>92</v>
      </c>
      <c r="P6491" t="str">
        <f t="shared" si="305"/>
        <v>C.J. Ham4</v>
      </c>
    </row>
    <row r="6492" spans="1:16" x14ac:dyDescent="0.25">
      <c r="A6492">
        <v>9</v>
      </c>
      <c r="B6492" t="s">
        <v>1559</v>
      </c>
      <c r="C6492">
        <f>-0.1-1.06</f>
        <v>-1.1600000000000001</v>
      </c>
      <c r="D6492">
        <v>0.48</v>
      </c>
      <c r="E6492" t="s">
        <v>29</v>
      </c>
      <c r="F6492" t="s">
        <v>114</v>
      </c>
      <c r="G6492">
        <v>1.06</v>
      </c>
      <c r="H6492">
        <v>-0.1</v>
      </c>
      <c r="I6492">
        <v>0.57999999999999996</v>
      </c>
      <c r="J6492" s="66">
        <v>0.33639999999999998</v>
      </c>
      <c r="K6492" t="str">
        <f>IFERROR(INDEX(Rosters!$C$2:$C$155,MATCH($B6492,Rosters!$B$2:$B$155,0)),"NA")</f>
        <v>NA</v>
      </c>
      <c r="L6492" t="str">
        <f t="shared" si="303"/>
        <v>NA9TE</v>
      </c>
      <c r="M6492">
        <f>COUNTIF(L$1:L6492,L6492)</f>
        <v>60</v>
      </c>
      <c r="N6492" t="str">
        <f t="shared" si="304"/>
        <v>NA9TE-60</v>
      </c>
      <c r="O6492">
        <f>COUNTIFS(F$1:F6492,F6492,A$1:A6492,A6492)</f>
        <v>71</v>
      </c>
      <c r="P6492" t="str">
        <f t="shared" si="305"/>
        <v>Daniel Brown9</v>
      </c>
    </row>
    <row r="6493" spans="1:16" x14ac:dyDescent="0.25">
      <c r="A6493">
        <v>4</v>
      </c>
      <c r="B6493" t="s">
        <v>1115</v>
      </c>
      <c r="C6493" t="s">
        <v>3874</v>
      </c>
      <c r="D6493">
        <v>0.48</v>
      </c>
      <c r="E6493" t="s">
        <v>50</v>
      </c>
      <c r="F6493" t="s">
        <v>87</v>
      </c>
      <c r="G6493">
        <v>0.9</v>
      </c>
      <c r="H6493">
        <v>0.06</v>
      </c>
      <c r="I6493">
        <v>0.42</v>
      </c>
      <c r="J6493" s="66">
        <v>0.1764</v>
      </c>
      <c r="K6493" t="str">
        <f>IFERROR(INDEX(Rosters!$C$2:$C$155,MATCH($B6493,Rosters!$B$2:$B$155,0)),"NA")</f>
        <v>NA</v>
      </c>
      <c r="L6493" t="str">
        <f t="shared" si="303"/>
        <v>NA4WR</v>
      </c>
      <c r="M6493">
        <f>COUNTIF(L$1:L6493,L6493)</f>
        <v>82</v>
      </c>
      <c r="N6493" t="str">
        <f t="shared" si="304"/>
        <v>NA4WR-82</v>
      </c>
      <c r="O6493">
        <f>COUNTIFS(F$1:F6493,F6493,A$1:A6493,A6493)</f>
        <v>132</v>
      </c>
      <c r="P6493" t="str">
        <f t="shared" si="305"/>
        <v>Darius Jennings4</v>
      </c>
    </row>
    <row r="6494" spans="1:16" x14ac:dyDescent="0.25">
      <c r="A6494">
        <v>5</v>
      </c>
      <c r="B6494" t="s">
        <v>4234</v>
      </c>
      <c r="C6494">
        <f>-0.08-1.04</f>
        <v>-1.1200000000000001</v>
      </c>
      <c r="D6494">
        <v>0.48</v>
      </c>
      <c r="E6494" t="s">
        <v>56</v>
      </c>
      <c r="F6494" t="s">
        <v>87</v>
      </c>
      <c r="G6494">
        <v>1.04</v>
      </c>
      <c r="H6494">
        <v>-0.08</v>
      </c>
      <c r="I6494">
        <v>0.56000000000000005</v>
      </c>
      <c r="J6494" s="66">
        <v>0.31359999999999999</v>
      </c>
      <c r="K6494" t="str">
        <f>IFERROR(INDEX(Rosters!$C$2:$C$155,MATCH($B6494,Rosters!$B$2:$B$155,0)),"NA")</f>
        <v>NA</v>
      </c>
      <c r="L6494" t="str">
        <f t="shared" si="303"/>
        <v>NA5WR</v>
      </c>
      <c r="M6494">
        <f>COUNTIF(L$1:L6494,L6494)</f>
        <v>100</v>
      </c>
      <c r="N6494" t="str">
        <f t="shared" si="304"/>
        <v>NA5WR-100</v>
      </c>
      <c r="O6494">
        <f>COUNTIFS(F$1:F6494,F6494,A$1:A6494,A6494)</f>
        <v>150</v>
      </c>
      <c r="P6494" t="str">
        <f t="shared" si="305"/>
        <v>David Moore5</v>
      </c>
    </row>
    <row r="6495" spans="1:16" x14ac:dyDescent="0.25">
      <c r="A6495">
        <v>4</v>
      </c>
      <c r="B6495" t="s">
        <v>361</v>
      </c>
      <c r="C6495" t="s">
        <v>3873</v>
      </c>
      <c r="D6495">
        <v>0.48</v>
      </c>
      <c r="E6495" t="s">
        <v>42</v>
      </c>
      <c r="F6495" t="s">
        <v>87</v>
      </c>
      <c r="G6495">
        <v>0.94</v>
      </c>
      <c r="H6495">
        <v>0.02</v>
      </c>
      <c r="I6495">
        <v>0.46</v>
      </c>
      <c r="J6495" s="66">
        <v>0.21160000000000001</v>
      </c>
      <c r="K6495" t="str">
        <f>IFERROR(INDEX(Rosters!$C$2:$C$155,MATCH($B6495,Rosters!$B$2:$B$155,0)),"NA")</f>
        <v>NA</v>
      </c>
      <c r="L6495" t="str">
        <f t="shared" si="303"/>
        <v>NA4WR</v>
      </c>
      <c r="M6495">
        <f>COUNTIF(L$1:L6495,L6495)</f>
        <v>83</v>
      </c>
      <c r="N6495" t="str">
        <f t="shared" si="304"/>
        <v>NA4WR-83</v>
      </c>
      <c r="O6495">
        <f>COUNTIFS(F$1:F6495,F6495,A$1:A6495,A6495)</f>
        <v>133</v>
      </c>
      <c r="P6495" t="str">
        <f t="shared" si="305"/>
        <v>De'Anthony Thomas4</v>
      </c>
    </row>
    <row r="6496" spans="1:16" x14ac:dyDescent="0.25">
      <c r="A6496">
        <v>11</v>
      </c>
      <c r="B6496" t="s">
        <v>361</v>
      </c>
      <c r="C6496">
        <f>-0.1-1.06</f>
        <v>-1.1600000000000001</v>
      </c>
      <c r="D6496">
        <v>0.48</v>
      </c>
      <c r="E6496" t="s">
        <v>56</v>
      </c>
      <c r="F6496" t="s">
        <v>87</v>
      </c>
      <c r="G6496">
        <v>1.06</v>
      </c>
      <c r="H6496">
        <v>-0.1</v>
      </c>
      <c r="I6496">
        <v>0.57999999999999996</v>
      </c>
      <c r="J6496" s="66">
        <v>0.33639999999999998</v>
      </c>
      <c r="K6496" t="str">
        <f>IFERROR(INDEX(Rosters!$C$2:$C$155,MATCH($B6496,Rosters!$B$2:$B$155,0)),"NA")</f>
        <v>NA</v>
      </c>
      <c r="L6496" t="str">
        <f t="shared" si="303"/>
        <v>NA11WR</v>
      </c>
      <c r="M6496">
        <f>COUNTIF(L$1:L6496,L6496)</f>
        <v>90</v>
      </c>
      <c r="N6496" t="str">
        <f t="shared" si="304"/>
        <v>NA11WR-90</v>
      </c>
      <c r="O6496">
        <f>COUNTIFS(F$1:F6496,F6496,A$1:A6496,A6496)</f>
        <v>137</v>
      </c>
      <c r="P6496" t="str">
        <f t="shared" si="305"/>
        <v>De'Anthony Thomas11</v>
      </c>
    </row>
    <row r="6497" spans="1:16" x14ac:dyDescent="0.25">
      <c r="A6497">
        <v>13</v>
      </c>
      <c r="B6497" t="s">
        <v>361</v>
      </c>
      <c r="C6497" t="s">
        <v>3875</v>
      </c>
      <c r="D6497">
        <v>0.48</v>
      </c>
      <c r="E6497" t="s">
        <v>32</v>
      </c>
      <c r="F6497" t="s">
        <v>87</v>
      </c>
      <c r="G6497">
        <v>0.95</v>
      </c>
      <c r="H6497">
        <v>0.01</v>
      </c>
      <c r="I6497">
        <v>0.47</v>
      </c>
      <c r="J6497" s="66">
        <v>0.22090000000000001</v>
      </c>
      <c r="K6497" t="str">
        <f>IFERROR(INDEX(Rosters!$C$2:$C$155,MATCH($B6497,Rosters!$B$2:$B$155,0)),"NA")</f>
        <v>NA</v>
      </c>
      <c r="L6497" t="str">
        <f t="shared" si="303"/>
        <v>NA13WR</v>
      </c>
      <c r="M6497">
        <f>COUNTIF(L$1:L6497,L6497)</f>
        <v>109</v>
      </c>
      <c r="N6497" t="str">
        <f t="shared" si="304"/>
        <v>NA13WR-109</v>
      </c>
      <c r="O6497">
        <f>COUNTIFS(F$1:F6497,F6497,A$1:A6497,A6497)</f>
        <v>163</v>
      </c>
      <c r="P6497" t="str">
        <f t="shared" si="305"/>
        <v>De'Anthony Thomas13</v>
      </c>
    </row>
    <row r="6498" spans="1:16" x14ac:dyDescent="0.25">
      <c r="A6498">
        <v>6</v>
      </c>
      <c r="B6498" t="s">
        <v>8907</v>
      </c>
      <c r="C6498">
        <f>-0.09-1.05</f>
        <v>-1.1400000000000001</v>
      </c>
      <c r="D6498">
        <v>0.48</v>
      </c>
      <c r="E6498" t="s">
        <v>72</v>
      </c>
      <c r="F6498" t="s">
        <v>114</v>
      </c>
      <c r="G6498">
        <v>1.05</v>
      </c>
      <c r="H6498">
        <v>-0.09</v>
      </c>
      <c r="I6498">
        <v>0.56999999999999995</v>
      </c>
      <c r="J6498" s="66">
        <v>0.32490000000000002</v>
      </c>
      <c r="K6498" t="str">
        <f>IFERROR(INDEX(Rosters!$C$2:$C$155,MATCH($B6498,Rosters!$B$2:$B$155,0)),"NA")</f>
        <v>NA</v>
      </c>
      <c r="L6498" t="str">
        <f t="shared" si="303"/>
        <v>NA6TE</v>
      </c>
      <c r="M6498">
        <f>COUNTIF(L$1:L6498,L6498)</f>
        <v>66</v>
      </c>
      <c r="N6498" t="str">
        <f t="shared" si="304"/>
        <v>NA6TE-66</v>
      </c>
      <c r="O6498">
        <f>COUNTIFS(F$1:F6498,F6498,A$1:A6498,A6498)</f>
        <v>78</v>
      </c>
      <c r="P6498" t="str">
        <f t="shared" si="305"/>
        <v>Durham Smythe6</v>
      </c>
    </row>
    <row r="6499" spans="1:16" x14ac:dyDescent="0.25">
      <c r="A6499">
        <v>10</v>
      </c>
      <c r="B6499" t="s">
        <v>8907</v>
      </c>
      <c r="C6499">
        <f>-0.1-1.06</f>
        <v>-1.1600000000000001</v>
      </c>
      <c r="D6499">
        <v>0.48</v>
      </c>
      <c r="E6499" t="s">
        <v>41</v>
      </c>
      <c r="F6499" t="s">
        <v>114</v>
      </c>
      <c r="G6499">
        <v>1.06</v>
      </c>
      <c r="H6499">
        <v>-0.1</v>
      </c>
      <c r="I6499">
        <v>0.57999999999999996</v>
      </c>
      <c r="J6499" s="66">
        <v>0.33639999999999998</v>
      </c>
      <c r="K6499" t="str">
        <f>IFERROR(INDEX(Rosters!$C$2:$C$155,MATCH($B6499,Rosters!$B$2:$B$155,0)),"NA")</f>
        <v>NA</v>
      </c>
      <c r="L6499" t="str">
        <f t="shared" si="303"/>
        <v>NA10TE</v>
      </c>
      <c r="M6499">
        <f>COUNTIF(L$1:L6499,L6499)</f>
        <v>66</v>
      </c>
      <c r="N6499" t="str">
        <f t="shared" si="304"/>
        <v>NA10TE-66</v>
      </c>
      <c r="O6499">
        <f>COUNTIFS(F$1:F6499,F6499,A$1:A6499,A6499)</f>
        <v>79</v>
      </c>
      <c r="P6499" t="str">
        <f t="shared" si="305"/>
        <v>Durham Smythe10</v>
      </c>
    </row>
    <row r="6500" spans="1:16" x14ac:dyDescent="0.25">
      <c r="A6500">
        <v>12</v>
      </c>
      <c r="B6500" t="s">
        <v>2765</v>
      </c>
      <c r="C6500">
        <f>-0.03-0.99</f>
        <v>-1.02</v>
      </c>
      <c r="D6500">
        <v>0.48</v>
      </c>
      <c r="E6500" t="s">
        <v>50</v>
      </c>
      <c r="F6500" t="s">
        <v>47</v>
      </c>
      <c r="G6500">
        <v>0.99</v>
      </c>
      <c r="H6500">
        <v>-0.03</v>
      </c>
      <c r="I6500">
        <v>0.51</v>
      </c>
      <c r="J6500" s="66">
        <v>0.2601</v>
      </c>
      <c r="K6500" t="str">
        <f>IFERROR(INDEX(Rosters!$C$2:$C$155,MATCH($B6500,Rosters!$B$2:$B$155,0)),"NA")</f>
        <v>NA</v>
      </c>
      <c r="L6500" t="str">
        <f t="shared" si="303"/>
        <v>NA12RB</v>
      </c>
      <c r="M6500">
        <f>COUNTIF(L$1:L6500,L6500)</f>
        <v>68</v>
      </c>
      <c r="N6500" t="str">
        <f t="shared" si="304"/>
        <v>NA12RB-68</v>
      </c>
      <c r="O6500">
        <f>COUNTIFS(F$1:F6500,F6500,A$1:A6500,A6500)</f>
        <v>113</v>
      </c>
      <c r="P6500" t="str">
        <f t="shared" si="305"/>
        <v>Elijhaa Penny12</v>
      </c>
    </row>
    <row r="6501" spans="1:16" x14ac:dyDescent="0.25">
      <c r="A6501">
        <v>8</v>
      </c>
      <c r="B6501" t="s">
        <v>1624</v>
      </c>
      <c r="C6501">
        <f>-0.08-1.04</f>
        <v>-1.1200000000000001</v>
      </c>
      <c r="D6501">
        <v>0.48</v>
      </c>
      <c r="E6501" t="s">
        <v>30</v>
      </c>
      <c r="F6501" t="s">
        <v>114</v>
      </c>
      <c r="G6501">
        <v>1.04</v>
      </c>
      <c r="H6501">
        <v>-0.08</v>
      </c>
      <c r="I6501">
        <v>0.56000000000000005</v>
      </c>
      <c r="J6501" s="66">
        <v>0.31359999999999999</v>
      </c>
      <c r="K6501" t="str">
        <f>IFERROR(INDEX(Rosters!$C$2:$C$155,MATCH($B6501,Rosters!$B$2:$B$155,0)),"NA")</f>
        <v>NA</v>
      </c>
      <c r="L6501" t="str">
        <f t="shared" si="303"/>
        <v>NA8TE</v>
      </c>
      <c r="M6501">
        <f>COUNTIF(L$1:L6501,L6501)</f>
        <v>64</v>
      </c>
      <c r="N6501" t="str">
        <f t="shared" si="304"/>
        <v>NA8TE-64</v>
      </c>
      <c r="O6501">
        <f>COUNTIFS(F$1:F6501,F6501,A$1:A6501,A6501)</f>
        <v>76</v>
      </c>
      <c r="P6501" t="str">
        <f t="shared" si="305"/>
        <v>Gabe Holmes8</v>
      </c>
    </row>
    <row r="6502" spans="1:16" x14ac:dyDescent="0.25">
      <c r="A6502">
        <v>7</v>
      </c>
      <c r="B6502" t="s">
        <v>1607</v>
      </c>
      <c r="C6502" t="s">
        <v>4734</v>
      </c>
      <c r="D6502">
        <v>0.48</v>
      </c>
      <c r="E6502" t="s">
        <v>19</v>
      </c>
      <c r="F6502" t="s">
        <v>114</v>
      </c>
      <c r="G6502">
        <v>0.91</v>
      </c>
      <c r="H6502">
        <v>0.05</v>
      </c>
      <c r="I6502">
        <v>0.43</v>
      </c>
      <c r="J6502" s="66">
        <v>0.18490000000000001</v>
      </c>
      <c r="K6502" t="str">
        <f>IFERROR(INDEX(Rosters!$C$2:$C$155,MATCH($B6502,Rosters!$B$2:$B$155,0)),"NA")</f>
        <v>NA</v>
      </c>
      <c r="L6502" t="str">
        <f t="shared" si="303"/>
        <v>NA7TE</v>
      </c>
      <c r="M6502">
        <f>COUNTIF(L$1:L6502,L6502)</f>
        <v>68</v>
      </c>
      <c r="N6502" t="str">
        <f t="shared" si="304"/>
        <v>NA7TE-68</v>
      </c>
      <c r="O6502">
        <f>COUNTIFS(F$1:F6502,F6502,A$1:A6502,A6502)</f>
        <v>78</v>
      </c>
      <c r="P6502" t="str">
        <f t="shared" si="305"/>
        <v>Hakeem Valles7</v>
      </c>
    </row>
    <row r="6503" spans="1:16" x14ac:dyDescent="0.25">
      <c r="A6503">
        <v>6</v>
      </c>
      <c r="B6503" t="s">
        <v>1625</v>
      </c>
      <c r="C6503" t="s">
        <v>3873</v>
      </c>
      <c r="D6503">
        <v>0.48</v>
      </c>
      <c r="E6503" t="s">
        <v>24</v>
      </c>
      <c r="F6503" t="s">
        <v>114</v>
      </c>
      <c r="G6503">
        <v>0.94</v>
      </c>
      <c r="H6503">
        <v>0.02</v>
      </c>
      <c r="I6503">
        <v>0.46</v>
      </c>
      <c r="J6503" s="66">
        <v>0.21160000000000001</v>
      </c>
      <c r="K6503" t="str">
        <f>IFERROR(INDEX(Rosters!$C$2:$C$155,MATCH($B6503,Rosters!$B$2:$B$155,0)),"NA")</f>
        <v>NA</v>
      </c>
      <c r="L6503" t="str">
        <f t="shared" si="303"/>
        <v>NA6TE</v>
      </c>
      <c r="M6503">
        <f>COUNTIF(L$1:L6503,L6503)</f>
        <v>67</v>
      </c>
      <c r="N6503" t="str">
        <f t="shared" si="304"/>
        <v>NA6TE-67</v>
      </c>
      <c r="O6503">
        <f>COUNTIFS(F$1:F6503,F6503,A$1:A6503,A6503)</f>
        <v>79</v>
      </c>
      <c r="P6503" t="str">
        <f t="shared" si="305"/>
        <v>Jacob Hollister6</v>
      </c>
    </row>
    <row r="6504" spans="1:16" x14ac:dyDescent="0.25">
      <c r="A6504">
        <v>10</v>
      </c>
      <c r="B6504" t="s">
        <v>1548</v>
      </c>
      <c r="C6504">
        <f>-0.01-0.97</f>
        <v>-0.98</v>
      </c>
      <c r="D6504">
        <v>0.48</v>
      </c>
      <c r="E6504" t="s">
        <v>17</v>
      </c>
      <c r="F6504" t="s">
        <v>114</v>
      </c>
      <c r="G6504">
        <v>0.97</v>
      </c>
      <c r="H6504">
        <v>-0.01</v>
      </c>
      <c r="I6504">
        <v>0.49</v>
      </c>
      <c r="J6504" s="66">
        <v>0.24010000000000001</v>
      </c>
      <c r="K6504" t="str">
        <f>IFERROR(INDEX(Rosters!$C$2:$C$155,MATCH($B6504,Rosters!$B$2:$B$155,0)),"NA")</f>
        <v>NA</v>
      </c>
      <c r="L6504" t="str">
        <f t="shared" si="303"/>
        <v>NA10TE</v>
      </c>
      <c r="M6504">
        <f>COUNTIF(L$1:L6504,L6504)</f>
        <v>67</v>
      </c>
      <c r="N6504" t="str">
        <f t="shared" si="304"/>
        <v>NA10TE-67</v>
      </c>
      <c r="O6504">
        <f>COUNTIFS(F$1:F6504,F6504,A$1:A6504,A6504)</f>
        <v>80</v>
      </c>
      <c r="P6504" t="str">
        <f t="shared" si="305"/>
        <v>Jeremy Sprinkle10</v>
      </c>
    </row>
    <row r="6505" spans="1:16" x14ac:dyDescent="0.25">
      <c r="A6505">
        <v>7</v>
      </c>
      <c r="B6505" t="s">
        <v>4687</v>
      </c>
      <c r="C6505">
        <f>-0.04-1</f>
        <v>-1.04</v>
      </c>
      <c r="D6505">
        <v>0.48</v>
      </c>
      <c r="E6505" t="s">
        <v>74</v>
      </c>
      <c r="F6505" t="s">
        <v>47</v>
      </c>
      <c r="G6505">
        <v>1</v>
      </c>
      <c r="H6505">
        <v>-0.04</v>
      </c>
      <c r="I6505">
        <v>0.52</v>
      </c>
      <c r="J6505" s="66">
        <v>0.27039999999999997</v>
      </c>
      <c r="K6505" t="str">
        <f>IFERROR(INDEX(Rosters!$C$2:$C$155,MATCH($B6505,Rosters!$B$2:$B$155,0)),"NA")</f>
        <v>NA</v>
      </c>
      <c r="L6505" t="str">
        <f t="shared" si="303"/>
        <v>NA7RB</v>
      </c>
      <c r="M6505">
        <f>COUNTIF(L$1:L6505,L6505)</f>
        <v>59</v>
      </c>
      <c r="N6505" t="str">
        <f t="shared" si="304"/>
        <v>NA7RB-59</v>
      </c>
      <c r="O6505">
        <f>COUNTIFS(F$1:F6505,F6505,A$1:A6505,A6505)</f>
        <v>100</v>
      </c>
      <c r="P6505" t="str">
        <f t="shared" si="305"/>
        <v>Josh Adams7</v>
      </c>
    </row>
    <row r="6506" spans="1:16" x14ac:dyDescent="0.25">
      <c r="A6506">
        <v>2</v>
      </c>
      <c r="B6506" t="s">
        <v>359</v>
      </c>
      <c r="C6506">
        <f>-0.04-1</f>
        <v>-1.04</v>
      </c>
      <c r="D6506">
        <v>0.48</v>
      </c>
      <c r="E6506" t="s">
        <v>28</v>
      </c>
      <c r="F6506" t="s">
        <v>87</v>
      </c>
      <c r="G6506">
        <v>1</v>
      </c>
      <c r="H6506">
        <v>-0.04</v>
      </c>
      <c r="I6506">
        <v>0.52</v>
      </c>
      <c r="J6506" s="66">
        <v>0.27039999999999997</v>
      </c>
      <c r="K6506" t="str">
        <f>IFERROR(INDEX(Rosters!$C$2:$C$155,MATCH($B6506,Rosters!$B$2:$B$155,0)),"NA")</f>
        <v>NA</v>
      </c>
      <c r="L6506" t="str">
        <f t="shared" si="303"/>
        <v>NA2WR</v>
      </c>
      <c r="M6506">
        <f>COUNTIF(L$1:L6506,L6506)</f>
        <v>81</v>
      </c>
      <c r="N6506" t="str">
        <f t="shared" si="304"/>
        <v>NA2WR-81</v>
      </c>
      <c r="O6506">
        <f>COUNTIFS(F$1:F6506,F6506,A$1:A6506,A6506)</f>
        <v>130</v>
      </c>
      <c r="P6506" t="str">
        <f t="shared" si="305"/>
        <v>Josh Bellamy2</v>
      </c>
    </row>
    <row r="6507" spans="1:16" x14ac:dyDescent="0.25">
      <c r="A6507">
        <v>17</v>
      </c>
      <c r="B6507" t="s">
        <v>1593</v>
      </c>
      <c r="C6507">
        <f>-0.15-1.11</f>
        <v>-1.26</v>
      </c>
      <c r="D6507">
        <v>0.48</v>
      </c>
      <c r="E6507" t="s">
        <v>30</v>
      </c>
      <c r="F6507" t="s">
        <v>87</v>
      </c>
      <c r="G6507">
        <v>1.1100000000000001</v>
      </c>
      <c r="H6507">
        <v>-0.15</v>
      </c>
      <c r="I6507">
        <v>0.63</v>
      </c>
      <c r="J6507" s="66">
        <v>0.39689999999999998</v>
      </c>
      <c r="K6507" t="str">
        <f>IFERROR(INDEX(Rosters!$C$2:$C$155,MATCH($B6507,Rosters!$B$2:$B$155,0)),"NA")</f>
        <v>NA</v>
      </c>
      <c r="L6507" t="str">
        <f t="shared" si="303"/>
        <v>NA17WR</v>
      </c>
      <c r="M6507">
        <f>COUNTIF(L$1:L6507,L6507)</f>
        <v>117</v>
      </c>
      <c r="N6507" t="str">
        <f t="shared" si="304"/>
        <v>NA17WR-117</v>
      </c>
      <c r="O6507">
        <f>COUNTIFS(F$1:F6507,F6507,A$1:A6507,A6507)</f>
        <v>171</v>
      </c>
      <c r="P6507" t="str">
        <f t="shared" si="305"/>
        <v>Josh Reynolds17</v>
      </c>
    </row>
    <row r="6508" spans="1:16" x14ac:dyDescent="0.25">
      <c r="A6508">
        <v>12</v>
      </c>
      <c r="B6508" t="s">
        <v>4252</v>
      </c>
      <c r="C6508">
        <f>-0.01-0.97</f>
        <v>-0.98</v>
      </c>
      <c r="D6508">
        <v>0.48</v>
      </c>
      <c r="E6508" t="s">
        <v>54</v>
      </c>
      <c r="F6508" t="s">
        <v>114</v>
      </c>
      <c r="G6508">
        <v>0.97</v>
      </c>
      <c r="H6508">
        <v>-0.01</v>
      </c>
      <c r="I6508">
        <v>0.49</v>
      </c>
      <c r="J6508" s="66">
        <v>0.24010000000000001</v>
      </c>
      <c r="K6508" t="str">
        <f>IFERROR(INDEX(Rosters!$C$2:$C$155,MATCH($B6508,Rosters!$B$2:$B$155,0)),"NA")</f>
        <v>NA</v>
      </c>
      <c r="L6508" t="str">
        <f t="shared" si="303"/>
        <v>NA12TE</v>
      </c>
      <c r="M6508">
        <f>COUNTIF(L$1:L6508,L6508)</f>
        <v>72</v>
      </c>
      <c r="N6508" t="str">
        <f t="shared" si="304"/>
        <v>NA12TE-72</v>
      </c>
      <c r="O6508">
        <f>COUNTIFS(F$1:F6508,F6508,A$1:A6508,A6508)</f>
        <v>85</v>
      </c>
      <c r="P6508" t="str">
        <f t="shared" si="305"/>
        <v>Joshua Perkins12</v>
      </c>
    </row>
    <row r="6509" spans="1:16" x14ac:dyDescent="0.25">
      <c r="A6509">
        <v>3</v>
      </c>
      <c r="B6509" t="s">
        <v>1565</v>
      </c>
      <c r="C6509">
        <f>-0.32-1.28</f>
        <v>-1.6</v>
      </c>
      <c r="D6509">
        <v>0.48</v>
      </c>
      <c r="E6509" t="s">
        <v>37</v>
      </c>
      <c r="F6509" t="s">
        <v>47</v>
      </c>
      <c r="G6509">
        <v>1.28</v>
      </c>
      <c r="H6509">
        <v>-0.32</v>
      </c>
      <c r="I6509">
        <v>0.8</v>
      </c>
      <c r="J6509" s="66">
        <v>0.64</v>
      </c>
      <c r="K6509" t="str">
        <f>IFERROR(INDEX(Rosters!$C$2:$C$155,MATCH($B6509,Rosters!$B$2:$B$155,0)),"NA")</f>
        <v>NA</v>
      </c>
      <c r="L6509" t="str">
        <f t="shared" si="303"/>
        <v>NA3RB</v>
      </c>
      <c r="M6509">
        <f>COUNTIF(L$1:L6509,L6509)</f>
        <v>53</v>
      </c>
      <c r="N6509" t="str">
        <f t="shared" si="304"/>
        <v>NA3RB-53</v>
      </c>
      <c r="O6509">
        <f>COUNTIFS(F$1:F6509,F6509,A$1:A6509,A6509)</f>
        <v>92</v>
      </c>
      <c r="P6509" t="str">
        <f t="shared" si="305"/>
        <v>Justin Davis3</v>
      </c>
    </row>
    <row r="6510" spans="1:16" x14ac:dyDescent="0.25">
      <c r="A6510">
        <v>16</v>
      </c>
      <c r="B6510" t="s">
        <v>1565</v>
      </c>
      <c r="C6510">
        <f>-0.07-1.03</f>
        <v>-1.1000000000000001</v>
      </c>
      <c r="D6510">
        <v>0.48</v>
      </c>
      <c r="E6510" t="s">
        <v>58</v>
      </c>
      <c r="F6510" t="s">
        <v>47</v>
      </c>
      <c r="G6510">
        <v>1.03</v>
      </c>
      <c r="H6510">
        <v>-7.0000000000000007E-2</v>
      </c>
      <c r="I6510">
        <v>0.55000000000000004</v>
      </c>
      <c r="J6510" s="66">
        <v>0.30249999999999999</v>
      </c>
      <c r="K6510" t="str">
        <f>IFERROR(INDEX(Rosters!$C$2:$C$155,MATCH($B6510,Rosters!$B$2:$B$155,0)),"NA")</f>
        <v>NA</v>
      </c>
      <c r="L6510" t="str">
        <f t="shared" si="303"/>
        <v>NA16RB</v>
      </c>
      <c r="M6510">
        <f>COUNTIF(L$1:L6510,L6510)</f>
        <v>69</v>
      </c>
      <c r="N6510" t="str">
        <f t="shared" si="304"/>
        <v>NA16RB-69</v>
      </c>
      <c r="O6510">
        <f>COUNTIFS(F$1:F6510,F6510,A$1:A6510,A6510)</f>
        <v>116</v>
      </c>
      <c r="P6510" t="str">
        <f t="shared" si="305"/>
        <v>Justin Davis16</v>
      </c>
    </row>
    <row r="6511" spans="1:16" x14ac:dyDescent="0.25">
      <c r="A6511">
        <v>16</v>
      </c>
      <c r="B6511" t="s">
        <v>1473</v>
      </c>
      <c r="C6511" t="s">
        <v>3872</v>
      </c>
      <c r="D6511">
        <v>0.48</v>
      </c>
      <c r="E6511" t="s">
        <v>77</v>
      </c>
      <c r="F6511" t="s">
        <v>47</v>
      </c>
      <c r="G6511">
        <v>0.96</v>
      </c>
      <c r="H6511">
        <v>0</v>
      </c>
      <c r="I6511">
        <v>0.48</v>
      </c>
      <c r="J6511" s="66">
        <v>0.23039999999999999</v>
      </c>
      <c r="K6511" t="str">
        <f>IFERROR(INDEX(Rosters!$C$2:$C$155,MATCH($B6511,Rosters!$B$2:$B$155,0)),"NA")</f>
        <v>NA</v>
      </c>
      <c r="L6511" t="str">
        <f t="shared" si="303"/>
        <v>NA16RB</v>
      </c>
      <c r="M6511">
        <f>COUNTIF(L$1:L6511,L6511)</f>
        <v>70</v>
      </c>
      <c r="N6511" t="str">
        <f t="shared" si="304"/>
        <v>NA16RB-70</v>
      </c>
      <c r="O6511">
        <f>COUNTIFS(F$1:F6511,F6511,A$1:A6511,A6511)</f>
        <v>117</v>
      </c>
      <c r="P6511" t="str">
        <f t="shared" si="305"/>
        <v>Justin Jackson16</v>
      </c>
    </row>
    <row r="6512" spans="1:16" x14ac:dyDescent="0.25">
      <c r="A6512">
        <v>8</v>
      </c>
      <c r="B6512" t="s">
        <v>2769</v>
      </c>
      <c r="C6512">
        <f>-0.05-1.01</f>
        <v>-1.06</v>
      </c>
      <c r="D6512">
        <v>0.48</v>
      </c>
      <c r="E6512" t="s">
        <v>54</v>
      </c>
      <c r="F6512" t="s">
        <v>47</v>
      </c>
      <c r="G6512">
        <v>1.01</v>
      </c>
      <c r="H6512">
        <v>-0.05</v>
      </c>
      <c r="I6512">
        <v>0.53</v>
      </c>
      <c r="J6512" s="66">
        <v>0.28089999999999998</v>
      </c>
      <c r="K6512" t="str">
        <f>IFERROR(INDEX(Rosters!$C$2:$C$155,MATCH($B6512,Rosters!$B$2:$B$155,0)),"NA")</f>
        <v>NA</v>
      </c>
      <c r="L6512" t="str">
        <f t="shared" si="303"/>
        <v>NA8RB</v>
      </c>
      <c r="M6512">
        <f>COUNTIF(L$1:L6512,L6512)</f>
        <v>62</v>
      </c>
      <c r="N6512" t="str">
        <f t="shared" si="304"/>
        <v>NA8RB-62</v>
      </c>
      <c r="O6512">
        <f>COUNTIFS(F$1:F6512,F6512,A$1:A6512,A6512)</f>
        <v>102</v>
      </c>
      <c r="P6512" t="str">
        <f t="shared" si="305"/>
        <v>Kapri Bibbs8</v>
      </c>
    </row>
    <row r="6513" spans="1:16" x14ac:dyDescent="0.25">
      <c r="A6513">
        <v>3</v>
      </c>
      <c r="B6513" t="s">
        <v>1622</v>
      </c>
      <c r="C6513">
        <f>-0.02-0.98</f>
        <v>-1</v>
      </c>
      <c r="D6513">
        <v>0.48</v>
      </c>
      <c r="E6513" t="s">
        <v>24</v>
      </c>
      <c r="F6513" t="s">
        <v>87</v>
      </c>
      <c r="G6513">
        <v>0.98</v>
      </c>
      <c r="H6513">
        <v>-0.02</v>
      </c>
      <c r="I6513">
        <v>0.5</v>
      </c>
      <c r="J6513" s="66">
        <v>0.25</v>
      </c>
      <c r="K6513" t="str">
        <f>IFERROR(INDEX(Rosters!$C$2:$C$155,MATCH($B6513,Rosters!$B$2:$B$155,0)),"NA")</f>
        <v>NA</v>
      </c>
      <c r="L6513" t="str">
        <f t="shared" si="303"/>
        <v>NA3WR</v>
      </c>
      <c r="M6513">
        <f>COUNTIF(L$1:L6513,L6513)</f>
        <v>86</v>
      </c>
      <c r="N6513" t="str">
        <f t="shared" si="304"/>
        <v>NA3WR-86</v>
      </c>
      <c r="O6513">
        <f>COUNTIFS(F$1:F6513,F6513,A$1:A6513,A6513)</f>
        <v>135</v>
      </c>
      <c r="P6513" t="str">
        <f t="shared" si="305"/>
        <v>Kendrick Bourne3</v>
      </c>
    </row>
    <row r="6514" spans="1:16" x14ac:dyDescent="0.25">
      <c r="A6514">
        <v>16</v>
      </c>
      <c r="B6514" t="s">
        <v>1622</v>
      </c>
      <c r="C6514">
        <f>-0.02-0.98</f>
        <v>-1</v>
      </c>
      <c r="D6514">
        <v>0.48</v>
      </c>
      <c r="E6514" t="s">
        <v>72</v>
      </c>
      <c r="F6514" t="s">
        <v>87</v>
      </c>
      <c r="G6514">
        <v>0.98</v>
      </c>
      <c r="H6514">
        <v>-0.02</v>
      </c>
      <c r="I6514">
        <v>0.5</v>
      </c>
      <c r="J6514" s="66">
        <v>0.25</v>
      </c>
      <c r="K6514" t="str">
        <f>IFERROR(INDEX(Rosters!$C$2:$C$155,MATCH($B6514,Rosters!$B$2:$B$155,0)),"NA")</f>
        <v>NA</v>
      </c>
      <c r="L6514" t="str">
        <f t="shared" si="303"/>
        <v>NA16WR</v>
      </c>
      <c r="M6514">
        <f>COUNTIF(L$1:L6514,L6514)</f>
        <v>112</v>
      </c>
      <c r="N6514" t="str">
        <f t="shared" si="304"/>
        <v>NA16WR-112</v>
      </c>
      <c r="O6514">
        <f>COUNTIFS(F$1:F6514,F6514,A$1:A6514,A6514)</f>
        <v>166</v>
      </c>
      <c r="P6514" t="str">
        <f t="shared" si="305"/>
        <v>Kendrick Bourne16</v>
      </c>
    </row>
    <row r="6515" spans="1:16" x14ac:dyDescent="0.25">
      <c r="A6515">
        <v>15</v>
      </c>
      <c r="B6515" t="s">
        <v>1597</v>
      </c>
      <c r="C6515">
        <f>-0.03-0.99</f>
        <v>-1.02</v>
      </c>
      <c r="D6515">
        <v>0.48</v>
      </c>
      <c r="E6515" t="s">
        <v>34</v>
      </c>
      <c r="F6515" t="s">
        <v>114</v>
      </c>
      <c r="G6515">
        <v>0.99</v>
      </c>
      <c r="H6515">
        <v>-0.03</v>
      </c>
      <c r="I6515">
        <v>0.51</v>
      </c>
      <c r="J6515" s="66">
        <v>0.2601</v>
      </c>
      <c r="K6515" t="str">
        <f>IFERROR(INDEX(Rosters!$C$2:$C$155,MATCH($B6515,Rosters!$B$2:$B$155,0)),"NA")</f>
        <v>NA</v>
      </c>
      <c r="L6515" t="str">
        <f t="shared" si="303"/>
        <v>NA15TE</v>
      </c>
      <c r="M6515">
        <f>COUNTIF(L$1:L6515,L6515)</f>
        <v>72</v>
      </c>
      <c r="N6515" t="str">
        <f t="shared" si="304"/>
        <v>NA15TE-72</v>
      </c>
      <c r="O6515">
        <f>COUNTIFS(F$1:F6515,F6515,A$1:A6515,A6515)</f>
        <v>86</v>
      </c>
      <c r="P6515" t="str">
        <f t="shared" si="305"/>
        <v>Khari Lee15</v>
      </c>
    </row>
    <row r="6516" spans="1:16" x14ac:dyDescent="0.25">
      <c r="A6516">
        <v>16</v>
      </c>
      <c r="B6516" t="s">
        <v>1597</v>
      </c>
      <c r="C6516">
        <f>-0.03-0.99</f>
        <v>-1.02</v>
      </c>
      <c r="D6516">
        <v>0.48</v>
      </c>
      <c r="E6516" t="s">
        <v>423</v>
      </c>
      <c r="F6516" t="s">
        <v>114</v>
      </c>
      <c r="G6516">
        <v>0.99</v>
      </c>
      <c r="H6516">
        <v>-0.03</v>
      </c>
      <c r="I6516">
        <v>0.51</v>
      </c>
      <c r="J6516" s="66">
        <v>0.2601</v>
      </c>
      <c r="K6516" t="str">
        <f>IFERROR(INDEX(Rosters!$C$2:$C$155,MATCH($B6516,Rosters!$B$2:$B$155,0)),"NA")</f>
        <v>NA</v>
      </c>
      <c r="L6516" t="str">
        <f t="shared" si="303"/>
        <v>NA16TE</v>
      </c>
      <c r="M6516">
        <f>COUNTIF(L$1:L6516,L6516)</f>
        <v>77</v>
      </c>
      <c r="N6516" t="str">
        <f t="shared" si="304"/>
        <v>NA16TE-77</v>
      </c>
      <c r="O6516">
        <f>COUNTIFS(F$1:F6516,F6516,A$1:A6516,A6516)</f>
        <v>91</v>
      </c>
      <c r="P6516" t="str">
        <f t="shared" si="305"/>
        <v>Khari Lee16</v>
      </c>
    </row>
    <row r="6517" spans="1:16" x14ac:dyDescent="0.25">
      <c r="A6517">
        <v>3</v>
      </c>
      <c r="B6517" t="s">
        <v>389</v>
      </c>
      <c r="C6517">
        <f>-0.16-1.12</f>
        <v>-1.28</v>
      </c>
      <c r="D6517">
        <v>0.48</v>
      </c>
      <c r="E6517" t="s">
        <v>19</v>
      </c>
      <c r="F6517" t="s">
        <v>114</v>
      </c>
      <c r="G6517">
        <v>1.1200000000000001</v>
      </c>
      <c r="H6517">
        <v>-0.16</v>
      </c>
      <c r="I6517">
        <v>0.64</v>
      </c>
      <c r="J6517" s="66">
        <v>0.40960000000000002</v>
      </c>
      <c r="K6517" t="str">
        <f>IFERROR(INDEX(Rosters!$C$2:$C$155,MATCH($B6517,Rosters!$B$2:$B$155,0)),"NA")</f>
        <v>NA</v>
      </c>
      <c r="L6517" t="str">
        <f t="shared" si="303"/>
        <v>NA3TE</v>
      </c>
      <c r="M6517">
        <f>COUNTIF(L$1:L6517,L6517)</f>
        <v>63</v>
      </c>
      <c r="N6517" t="str">
        <f t="shared" si="304"/>
        <v>NA3TE-63</v>
      </c>
      <c r="O6517">
        <f>COUNTIFS(F$1:F6517,F6517,A$1:A6517,A6517)</f>
        <v>76</v>
      </c>
      <c r="P6517" t="str">
        <f t="shared" si="305"/>
        <v>Lee Smith3</v>
      </c>
    </row>
    <row r="6518" spans="1:16" x14ac:dyDescent="0.25">
      <c r="A6518">
        <v>11</v>
      </c>
      <c r="B6518" t="s">
        <v>4215</v>
      </c>
      <c r="C6518" t="s">
        <v>3872</v>
      </c>
      <c r="D6518">
        <v>0.48</v>
      </c>
      <c r="E6518" t="s">
        <v>77</v>
      </c>
      <c r="F6518" t="s">
        <v>47</v>
      </c>
      <c r="G6518">
        <v>0.96</v>
      </c>
      <c r="H6518">
        <v>0</v>
      </c>
      <c r="I6518">
        <v>0.48</v>
      </c>
      <c r="J6518" s="66">
        <v>0.23039999999999999</v>
      </c>
      <c r="K6518" t="str">
        <f>IFERROR(INDEX(Rosters!$C$2:$C$155,MATCH($B6518,Rosters!$B$2:$B$155,0)),"NA")</f>
        <v>NA</v>
      </c>
      <c r="L6518" t="str">
        <f t="shared" si="303"/>
        <v>NA11RB</v>
      </c>
      <c r="M6518">
        <f>COUNTIF(L$1:L6518,L6518)</f>
        <v>58</v>
      </c>
      <c r="N6518" t="str">
        <f t="shared" si="304"/>
        <v>NA11RB-58</v>
      </c>
      <c r="O6518">
        <f>COUNTIFS(F$1:F6518,F6518,A$1:A6518,A6518)</f>
        <v>96</v>
      </c>
      <c r="P6518" t="str">
        <f t="shared" si="305"/>
        <v>Mark Walton11</v>
      </c>
    </row>
    <row r="6519" spans="1:16" x14ac:dyDescent="0.25">
      <c r="A6519">
        <v>2</v>
      </c>
      <c r="B6519" t="s">
        <v>345</v>
      </c>
      <c r="C6519">
        <f>-0.06-1.02</f>
        <v>-1.08</v>
      </c>
      <c r="D6519">
        <v>0.48</v>
      </c>
      <c r="E6519" t="s">
        <v>74</v>
      </c>
      <c r="F6519" t="s">
        <v>15</v>
      </c>
      <c r="G6519">
        <v>1.02</v>
      </c>
      <c r="H6519">
        <v>-0.06</v>
      </c>
      <c r="I6519">
        <v>0.54</v>
      </c>
      <c r="J6519" s="66">
        <v>0.29160000000000003</v>
      </c>
      <c r="K6519" t="str">
        <f>IFERROR(INDEX(Rosters!$C$2:$C$155,MATCH($B6519,Rosters!$B$2:$B$155,0)),"NA")</f>
        <v>NA</v>
      </c>
      <c r="L6519" t="str">
        <f t="shared" si="303"/>
        <v>NA2QB</v>
      </c>
      <c r="M6519">
        <f>COUNTIF(L$1:L6519,L6519)</f>
        <v>34</v>
      </c>
      <c r="N6519" t="str">
        <f t="shared" si="304"/>
        <v>NA2QB-34</v>
      </c>
      <c r="O6519">
        <f>COUNTIFS(F$1:F6519,F6519,A$1:A6519,A6519)</f>
        <v>50</v>
      </c>
      <c r="P6519" t="str">
        <f t="shared" si="305"/>
        <v>Matt Schaub2</v>
      </c>
    </row>
    <row r="6520" spans="1:16" x14ac:dyDescent="0.25">
      <c r="A6520">
        <v>8</v>
      </c>
      <c r="B6520" t="s">
        <v>2921</v>
      </c>
      <c r="C6520">
        <f>-0.16-1.12</f>
        <v>-1.28</v>
      </c>
      <c r="D6520">
        <v>0.48</v>
      </c>
      <c r="E6520" t="s">
        <v>54</v>
      </c>
      <c r="F6520" t="s">
        <v>87</v>
      </c>
      <c r="G6520">
        <v>1.1200000000000001</v>
      </c>
      <c r="H6520">
        <v>-0.16</v>
      </c>
      <c r="I6520">
        <v>0.64</v>
      </c>
      <c r="J6520" s="66">
        <v>0.40960000000000002</v>
      </c>
      <c r="K6520" t="str">
        <f>IFERROR(INDEX(Rosters!$C$2:$C$155,MATCH($B6520,Rosters!$B$2:$B$155,0)),"NA")</f>
        <v>NA</v>
      </c>
      <c r="L6520" t="str">
        <f t="shared" si="303"/>
        <v>NA8WR</v>
      </c>
      <c r="M6520">
        <f>COUNTIF(L$1:L6520,L6520)</f>
        <v>97</v>
      </c>
      <c r="N6520" t="str">
        <f t="shared" si="304"/>
        <v>NA8WR-97</v>
      </c>
      <c r="O6520">
        <f>COUNTIFS(F$1:F6520,F6520,A$1:A6520,A6520)</f>
        <v>146</v>
      </c>
      <c r="P6520" t="str">
        <f t="shared" si="305"/>
        <v>Michael Floyd8</v>
      </c>
    </row>
    <row r="6521" spans="1:16" x14ac:dyDescent="0.25">
      <c r="A6521">
        <v>17</v>
      </c>
      <c r="B6521" t="s">
        <v>8855</v>
      </c>
      <c r="C6521" t="s">
        <v>3873</v>
      </c>
      <c r="D6521">
        <v>0.48</v>
      </c>
      <c r="E6521" t="s">
        <v>38</v>
      </c>
      <c r="F6521" t="s">
        <v>114</v>
      </c>
      <c r="G6521">
        <v>0.94</v>
      </c>
      <c r="H6521">
        <v>0.02</v>
      </c>
      <c r="I6521">
        <v>0.46</v>
      </c>
      <c r="J6521" s="66">
        <v>0.21160000000000001</v>
      </c>
      <c r="K6521" t="str">
        <f>IFERROR(INDEX(Rosters!$C$2:$C$155,MATCH($B6521,Rosters!$B$2:$B$155,0)),"NA")</f>
        <v>NA</v>
      </c>
      <c r="L6521" t="str">
        <f t="shared" si="303"/>
        <v>NA17TE</v>
      </c>
      <c r="M6521">
        <f>COUNTIF(L$1:L6521,L6521)</f>
        <v>74</v>
      </c>
      <c r="N6521" t="str">
        <f t="shared" si="304"/>
        <v>NA17TE-74</v>
      </c>
      <c r="O6521">
        <f>COUNTIFS(F$1:F6521,F6521,A$1:A6521,A6521)</f>
        <v>88</v>
      </c>
      <c r="P6521" t="str">
        <f t="shared" si="305"/>
        <v>Mo Alie-Cox17</v>
      </c>
    </row>
    <row r="6522" spans="1:16" x14ac:dyDescent="0.25">
      <c r="A6522">
        <v>4</v>
      </c>
      <c r="B6522" t="s">
        <v>1584</v>
      </c>
      <c r="C6522">
        <f>-0.07-1.03</f>
        <v>-1.1000000000000001</v>
      </c>
      <c r="D6522">
        <v>0.48</v>
      </c>
      <c r="E6522" t="s">
        <v>50</v>
      </c>
      <c r="F6522" t="s">
        <v>114</v>
      </c>
      <c r="G6522">
        <v>1.03</v>
      </c>
      <c r="H6522">
        <v>-7.0000000000000007E-2</v>
      </c>
      <c r="I6522">
        <v>0.55000000000000004</v>
      </c>
      <c r="J6522">
        <v>0.30249999999999999</v>
      </c>
      <c r="K6522" t="str">
        <f>IFERROR(INDEX(Rosters!$C$2:$C$155,MATCH($B6522,Rosters!$B$2:$B$155,0)),"NA")</f>
        <v>NA</v>
      </c>
      <c r="L6522" t="str">
        <f t="shared" si="303"/>
        <v>NA4TE</v>
      </c>
      <c r="M6522">
        <f>COUNTIF(L$1:L6522,L6522)</f>
        <v>62</v>
      </c>
      <c r="N6522" t="str">
        <f t="shared" si="304"/>
        <v>NA4TE-62</v>
      </c>
      <c r="O6522">
        <f>COUNTIFS(F$1:F6522,F6522,A$1:A6522,A6522)</f>
        <v>73</v>
      </c>
      <c r="P6522" t="str">
        <f t="shared" si="305"/>
        <v>MyCole Pruitt4</v>
      </c>
    </row>
    <row r="6523" spans="1:16" x14ac:dyDescent="0.25">
      <c r="A6523">
        <v>17</v>
      </c>
      <c r="B6523" t="s">
        <v>1570</v>
      </c>
      <c r="C6523" t="s">
        <v>4734</v>
      </c>
      <c r="D6523">
        <v>0.48</v>
      </c>
      <c r="E6523" t="s">
        <v>19</v>
      </c>
      <c r="F6523" t="s">
        <v>15</v>
      </c>
      <c r="G6523">
        <v>0.91</v>
      </c>
      <c r="H6523">
        <v>0.05</v>
      </c>
      <c r="I6523">
        <v>0.43</v>
      </c>
      <c r="J6523">
        <v>0.18490000000000001</v>
      </c>
      <c r="K6523" t="str">
        <f>IFERROR(INDEX(Rosters!$C$2:$C$155,MATCH($B6523,Rosters!$B$2:$B$155,0)),"NA")</f>
        <v>NA</v>
      </c>
      <c r="L6523" t="str">
        <f t="shared" si="303"/>
        <v>NA17QB</v>
      </c>
      <c r="M6523">
        <f>COUNTIF(L$1:L6523,L6523)</f>
        <v>40</v>
      </c>
      <c r="N6523" t="str">
        <f t="shared" si="304"/>
        <v>NA17QB-40</v>
      </c>
      <c r="O6523">
        <f>COUNTIFS(F$1:F6523,F6523,A$1:A6523,A6523)</f>
        <v>57</v>
      </c>
      <c r="P6523" t="str">
        <f t="shared" si="305"/>
        <v>Nathan Peterman17</v>
      </c>
    </row>
    <row r="6524" spans="1:16" x14ac:dyDescent="0.25">
      <c r="A6524">
        <v>15</v>
      </c>
      <c r="B6524" t="s">
        <v>1623</v>
      </c>
      <c r="C6524">
        <f>-0.18-1.14</f>
        <v>-1.3199999999999998</v>
      </c>
      <c r="D6524">
        <v>0.48</v>
      </c>
      <c r="E6524" t="s">
        <v>66</v>
      </c>
      <c r="F6524" t="s">
        <v>87</v>
      </c>
      <c r="G6524">
        <v>1.1399999999999999</v>
      </c>
      <c r="H6524">
        <v>-0.18</v>
      </c>
      <c r="I6524">
        <v>0.66</v>
      </c>
      <c r="J6524">
        <v>0.43559999999999999</v>
      </c>
      <c r="K6524" t="str">
        <f>IFERROR(INDEX(Rosters!$C$2:$C$155,MATCH($B6524,Rosters!$B$2:$B$155,0)),"NA")</f>
        <v>NA</v>
      </c>
      <c r="L6524" t="str">
        <f t="shared" si="303"/>
        <v>NA15WR</v>
      </c>
      <c r="M6524">
        <f>COUNTIF(L$1:L6524,L6524)</f>
        <v>112</v>
      </c>
      <c r="N6524" t="str">
        <f t="shared" si="304"/>
        <v>NA15WR-112</v>
      </c>
      <c r="O6524">
        <f>COUNTIFS(F$1:F6524,F6524,A$1:A6524,A6524)</f>
        <v>166</v>
      </c>
      <c r="P6524" t="str">
        <f t="shared" si="305"/>
        <v>Noah Brown15</v>
      </c>
    </row>
    <row r="6525" spans="1:16" x14ac:dyDescent="0.25">
      <c r="A6525">
        <v>3</v>
      </c>
      <c r="B6525" t="s">
        <v>4260</v>
      </c>
      <c r="C6525">
        <f>-0.11-1.07</f>
        <v>-1.1800000000000002</v>
      </c>
      <c r="D6525">
        <v>0.48</v>
      </c>
      <c r="E6525" t="s">
        <v>25</v>
      </c>
      <c r="F6525" t="s">
        <v>87</v>
      </c>
      <c r="G6525">
        <v>1.07</v>
      </c>
      <c r="H6525">
        <v>-0.11</v>
      </c>
      <c r="I6525">
        <v>0.59</v>
      </c>
      <c r="J6525" s="66">
        <v>0.34810000000000002</v>
      </c>
      <c r="K6525" t="str">
        <f>IFERROR(INDEX(Rosters!$C$2:$C$155,MATCH($B6525,Rosters!$B$2:$B$155,0)),"NA")</f>
        <v>NA</v>
      </c>
      <c r="L6525" t="str">
        <f t="shared" si="303"/>
        <v>NA3WR</v>
      </c>
      <c r="M6525">
        <f>COUNTIF(L$1:L6525,L6525)</f>
        <v>87</v>
      </c>
      <c r="N6525" t="str">
        <f t="shared" si="304"/>
        <v>NA3WR-87</v>
      </c>
      <c r="O6525">
        <f>COUNTIFS(F$1:F6525,F6525,A$1:A6525,A6525)</f>
        <v>136</v>
      </c>
      <c r="P6525" t="str">
        <f t="shared" si="305"/>
        <v>Robert Foster3</v>
      </c>
    </row>
    <row r="6526" spans="1:16" x14ac:dyDescent="0.25">
      <c r="A6526">
        <v>12</v>
      </c>
      <c r="B6526" t="s">
        <v>3845</v>
      </c>
      <c r="C6526">
        <f>-0.06-1.02</f>
        <v>-1.08</v>
      </c>
      <c r="D6526">
        <v>0.48</v>
      </c>
      <c r="E6526" t="s">
        <v>31</v>
      </c>
      <c r="F6526" t="s">
        <v>87</v>
      </c>
      <c r="G6526">
        <v>1.02</v>
      </c>
      <c r="H6526">
        <v>-0.06</v>
      </c>
      <c r="I6526">
        <v>0.54</v>
      </c>
      <c r="J6526" s="66">
        <v>0.29160000000000003</v>
      </c>
      <c r="K6526" t="str">
        <f>IFERROR(INDEX(Rosters!$C$2:$C$155,MATCH($B6526,Rosters!$B$2:$B$155,0)),"NA")</f>
        <v>NA</v>
      </c>
      <c r="L6526" t="str">
        <f t="shared" si="303"/>
        <v>NA12WR</v>
      </c>
      <c r="M6526">
        <f>COUNTIF(L$1:L6526,L6526)</f>
        <v>109</v>
      </c>
      <c r="N6526" t="str">
        <f t="shared" si="304"/>
        <v>NA12WR-109</v>
      </c>
      <c r="O6526">
        <f>COUNTIFS(F$1:F6526,F6526,A$1:A6526,A6526)</f>
        <v>158</v>
      </c>
      <c r="P6526" t="str">
        <f t="shared" si="305"/>
        <v>Rod Streater12</v>
      </c>
    </row>
    <row r="6527" spans="1:16" x14ac:dyDescent="0.25">
      <c r="A6527">
        <v>12</v>
      </c>
      <c r="B6527" t="s">
        <v>164</v>
      </c>
      <c r="C6527" t="s">
        <v>3873</v>
      </c>
      <c r="D6527">
        <v>0.48</v>
      </c>
      <c r="E6527" t="s">
        <v>22</v>
      </c>
      <c r="F6527" t="s">
        <v>47</v>
      </c>
      <c r="G6527">
        <v>0.94</v>
      </c>
      <c r="H6527">
        <v>0.02</v>
      </c>
      <c r="I6527">
        <v>0.46</v>
      </c>
      <c r="J6527" s="66">
        <v>0.21160000000000001</v>
      </c>
      <c r="K6527" t="str">
        <f>IFERROR(INDEX(Rosters!$C$2:$C$155,MATCH($B6527,Rosters!$B$2:$B$155,0)),"NA")</f>
        <v>NA</v>
      </c>
      <c r="L6527" t="str">
        <f t="shared" si="303"/>
        <v>NA12RB</v>
      </c>
      <c r="M6527">
        <f>COUNTIF(L$1:L6527,L6527)</f>
        <v>69</v>
      </c>
      <c r="N6527" t="str">
        <f t="shared" si="304"/>
        <v>NA12RB-69</v>
      </c>
      <c r="O6527">
        <f>COUNTIFS(F$1:F6527,F6527,A$1:A6527,A6527)</f>
        <v>114</v>
      </c>
      <c r="P6527" t="str">
        <f t="shared" si="305"/>
        <v>Samaje Perine12</v>
      </c>
    </row>
    <row r="6528" spans="1:16" x14ac:dyDescent="0.25">
      <c r="A6528">
        <v>15</v>
      </c>
      <c r="B6528" t="s">
        <v>164</v>
      </c>
      <c r="C6528">
        <f>-0.01-0.97</f>
        <v>-0.98</v>
      </c>
      <c r="D6528">
        <v>0.48</v>
      </c>
      <c r="E6528" t="s">
        <v>76</v>
      </c>
      <c r="F6528" t="s">
        <v>47</v>
      </c>
      <c r="G6528">
        <v>0.97</v>
      </c>
      <c r="H6528">
        <v>-0.01</v>
      </c>
      <c r="I6528">
        <v>0.49</v>
      </c>
      <c r="J6528" s="66">
        <v>0.24010000000000001</v>
      </c>
      <c r="K6528" t="str">
        <f>IFERROR(INDEX(Rosters!$C$2:$C$155,MATCH($B6528,Rosters!$B$2:$B$155,0)),"NA")</f>
        <v>NA</v>
      </c>
      <c r="L6528" t="str">
        <f t="shared" si="303"/>
        <v>NA15RB</v>
      </c>
      <c r="M6528">
        <f>COUNTIF(L$1:L6528,L6528)</f>
        <v>73</v>
      </c>
      <c r="N6528" t="str">
        <f t="shared" si="304"/>
        <v>NA15RB-73</v>
      </c>
      <c r="O6528">
        <f>COUNTIFS(F$1:F6528,F6528,A$1:A6528,A6528)</f>
        <v>120</v>
      </c>
      <c r="P6528" t="str">
        <f t="shared" si="305"/>
        <v>Samaje Perine15</v>
      </c>
    </row>
    <row r="6529" spans="1:16" x14ac:dyDescent="0.25">
      <c r="A6529">
        <v>17</v>
      </c>
      <c r="B6529" t="s">
        <v>745</v>
      </c>
      <c r="C6529">
        <f>-0.03-0.99</f>
        <v>-1.02</v>
      </c>
      <c r="D6529">
        <v>0.48</v>
      </c>
      <c r="E6529" t="s">
        <v>74</v>
      </c>
      <c r="F6529" t="s">
        <v>15</v>
      </c>
      <c r="G6529">
        <v>0.99</v>
      </c>
      <c r="H6529">
        <v>-0.03</v>
      </c>
      <c r="I6529">
        <v>0.51</v>
      </c>
      <c r="J6529">
        <v>0.2601</v>
      </c>
      <c r="K6529" t="str">
        <f>IFERROR(INDEX(Rosters!$C$2:$C$155,MATCH($B6529,Rosters!$B$2:$B$155,0)),"NA")</f>
        <v>NA</v>
      </c>
      <c r="L6529" t="str">
        <f t="shared" si="303"/>
        <v>NA17QB</v>
      </c>
      <c r="M6529">
        <f>COUNTIF(L$1:L6529,L6529)</f>
        <v>41</v>
      </c>
      <c r="N6529" t="str">
        <f t="shared" si="304"/>
        <v>NA17QB-41</v>
      </c>
      <c r="O6529">
        <f>COUNTIFS(F$1:F6529,F6529,A$1:A6529,A6529)</f>
        <v>58</v>
      </c>
      <c r="P6529" t="str">
        <f t="shared" si="305"/>
        <v>Teddy Bridgewater17</v>
      </c>
    </row>
    <row r="6530" spans="1:16" x14ac:dyDescent="0.25">
      <c r="A6530">
        <v>10</v>
      </c>
      <c r="B6530" t="s">
        <v>2792</v>
      </c>
      <c r="C6530">
        <f>-0.03-0.99</f>
        <v>-1.02</v>
      </c>
      <c r="D6530">
        <v>0.48</v>
      </c>
      <c r="E6530" t="s">
        <v>14</v>
      </c>
      <c r="F6530" t="s">
        <v>47</v>
      </c>
      <c r="G6530">
        <v>0.99</v>
      </c>
      <c r="H6530">
        <v>-0.03</v>
      </c>
      <c r="I6530">
        <v>0.51</v>
      </c>
      <c r="J6530">
        <v>0.2601</v>
      </c>
      <c r="K6530" t="str">
        <f>IFERROR(INDEX(Rosters!$C$2:$C$155,MATCH($B6530,Rosters!$B$2:$B$155,0)),"NA")</f>
        <v>NA</v>
      </c>
      <c r="L6530" t="str">
        <f t="shared" si="303"/>
        <v>NA10RB</v>
      </c>
      <c r="M6530">
        <f>COUNTIF(L$1:L6530,L6530)</f>
        <v>61</v>
      </c>
      <c r="N6530" t="str">
        <f t="shared" si="304"/>
        <v>NA10RB-61</v>
      </c>
      <c r="O6530">
        <f>COUNTIFS(F$1:F6530,F6530,A$1:A6530,A6530)</f>
        <v>100</v>
      </c>
      <c r="P6530" t="str">
        <f t="shared" si="305"/>
        <v>Thomas Rawls10</v>
      </c>
    </row>
    <row r="6531" spans="1:16" x14ac:dyDescent="0.25">
      <c r="A6531">
        <v>11</v>
      </c>
      <c r="B6531" t="s">
        <v>1600</v>
      </c>
      <c r="C6531">
        <f>-0.13-1.09</f>
        <v>-1.2200000000000002</v>
      </c>
      <c r="D6531">
        <v>0.48</v>
      </c>
      <c r="E6531" t="s">
        <v>51</v>
      </c>
      <c r="F6531" t="s">
        <v>47</v>
      </c>
      <c r="G6531">
        <v>1.0900000000000001</v>
      </c>
      <c r="H6531">
        <v>-0.13</v>
      </c>
      <c r="I6531">
        <v>0.61</v>
      </c>
      <c r="J6531">
        <v>0.37209999999999999</v>
      </c>
      <c r="K6531" t="str">
        <f>IFERROR(INDEX(Rosters!$C$2:$C$155,MATCH($B6531,Rosters!$B$2:$B$155,0)),"NA")</f>
        <v>NA</v>
      </c>
      <c r="L6531" t="str">
        <f t="shared" ref="L6531:L6594" si="306">K6531&amp;A6531&amp;F6531</f>
        <v>NA11RB</v>
      </c>
      <c r="M6531">
        <f>COUNTIF(L$1:L6531,L6531)</f>
        <v>59</v>
      </c>
      <c r="N6531" t="str">
        <f t="shared" ref="N6531:N6594" si="307">L6531&amp;"-"&amp;M6531</f>
        <v>NA11RB-59</v>
      </c>
      <c r="O6531">
        <f>COUNTIFS(F$1:F6531,F6531,A$1:A6531,A6531)</f>
        <v>97</v>
      </c>
      <c r="P6531" t="str">
        <f t="shared" ref="P6531:P6594" si="308">B6531&amp;A6531</f>
        <v>Tommy Bohanon11</v>
      </c>
    </row>
    <row r="6532" spans="1:16" x14ac:dyDescent="0.25">
      <c r="A6532">
        <v>15</v>
      </c>
      <c r="B6532" t="s">
        <v>4223</v>
      </c>
      <c r="C6532">
        <f>-0.01-0.97</f>
        <v>-0.98</v>
      </c>
      <c r="D6532">
        <v>0.48</v>
      </c>
      <c r="E6532" t="s">
        <v>36</v>
      </c>
      <c r="F6532" t="s">
        <v>47</v>
      </c>
      <c r="G6532">
        <v>0.97</v>
      </c>
      <c r="H6532">
        <v>-0.01</v>
      </c>
      <c r="I6532">
        <v>0.49</v>
      </c>
      <c r="J6532" s="66">
        <v>0.24010000000000001</v>
      </c>
      <c r="K6532" t="str">
        <f>IFERROR(INDEX(Rosters!$C$2:$C$155,MATCH($B6532,Rosters!$B$2:$B$155,0)),"NA")</f>
        <v>NA</v>
      </c>
      <c r="L6532" t="str">
        <f t="shared" si="306"/>
        <v>NA15RB</v>
      </c>
      <c r="M6532">
        <f>COUNTIF(L$1:L6532,L6532)</f>
        <v>74</v>
      </c>
      <c r="N6532" t="str">
        <f t="shared" si="307"/>
        <v>NA15RB-74</v>
      </c>
      <c r="O6532">
        <f>COUNTIFS(F$1:F6532,F6532,A$1:A6532,A6532)</f>
        <v>121</v>
      </c>
      <c r="P6532" t="str">
        <f t="shared" si="308"/>
        <v>Trenton Cannon15</v>
      </c>
    </row>
    <row r="6533" spans="1:16" x14ac:dyDescent="0.25">
      <c r="A6533">
        <v>1</v>
      </c>
      <c r="B6533" t="s">
        <v>346</v>
      </c>
      <c r="C6533" t="s">
        <v>375</v>
      </c>
      <c r="D6533">
        <v>0.47</v>
      </c>
      <c r="E6533" t="s">
        <v>66</v>
      </c>
      <c r="F6533" t="s">
        <v>87</v>
      </c>
      <c r="G6533">
        <v>0.94</v>
      </c>
      <c r="H6533">
        <v>0</v>
      </c>
      <c r="I6533">
        <v>0.47</v>
      </c>
      <c r="J6533" s="66">
        <v>0.22090000000000001</v>
      </c>
      <c r="K6533" t="str">
        <f>IFERROR(INDEX(Rosters!$C$2:$C$155,MATCH($B6533,Rosters!$B$2:$B$155,0)),"NA")</f>
        <v>NA</v>
      </c>
      <c r="L6533" t="str">
        <f t="shared" si="306"/>
        <v>NA1WR</v>
      </c>
      <c r="M6533">
        <f>COUNTIF(L$1:L6533,L6533)</f>
        <v>74</v>
      </c>
      <c r="N6533" t="str">
        <f t="shared" si="307"/>
        <v>NA1WR-74</v>
      </c>
      <c r="O6533">
        <f>COUNTIFS(F$1:F6533,F6533,A$1:A6533,A6533)</f>
        <v>123</v>
      </c>
      <c r="P6533" t="str">
        <f t="shared" si="308"/>
        <v>Alex Erickson1</v>
      </c>
    </row>
    <row r="6534" spans="1:16" x14ac:dyDescent="0.25">
      <c r="A6534">
        <v>14</v>
      </c>
      <c r="B6534" t="s">
        <v>346</v>
      </c>
      <c r="C6534" t="s">
        <v>4735</v>
      </c>
      <c r="D6534">
        <v>0.47</v>
      </c>
      <c r="E6534" t="s">
        <v>37</v>
      </c>
      <c r="F6534" t="s">
        <v>87</v>
      </c>
      <c r="G6534">
        <v>0.92</v>
      </c>
      <c r="H6534">
        <v>0.02</v>
      </c>
      <c r="I6534">
        <v>0.45</v>
      </c>
      <c r="J6534" s="66">
        <v>0.20250000000000001</v>
      </c>
      <c r="K6534" t="str">
        <f>IFERROR(INDEX(Rosters!$C$2:$C$155,MATCH($B6534,Rosters!$B$2:$B$155,0)),"NA")</f>
        <v>NA</v>
      </c>
      <c r="L6534" t="str">
        <f t="shared" si="306"/>
        <v>NA14WR</v>
      </c>
      <c r="M6534">
        <f>COUNTIF(L$1:L6534,L6534)</f>
        <v>111</v>
      </c>
      <c r="N6534" t="str">
        <f t="shared" si="307"/>
        <v>NA14WR-111</v>
      </c>
      <c r="O6534">
        <f>COUNTIFS(F$1:F6534,F6534,A$1:A6534,A6534)</f>
        <v>165</v>
      </c>
      <c r="P6534" t="str">
        <f t="shared" si="308"/>
        <v>Alex Erickson14</v>
      </c>
    </row>
    <row r="6535" spans="1:16" x14ac:dyDescent="0.25">
      <c r="A6535">
        <v>3</v>
      </c>
      <c r="B6535" t="s">
        <v>1572</v>
      </c>
      <c r="C6535" t="s">
        <v>3876</v>
      </c>
      <c r="D6535">
        <v>0.47</v>
      </c>
      <c r="E6535" t="s">
        <v>423</v>
      </c>
      <c r="F6535" t="s">
        <v>87</v>
      </c>
      <c r="G6535">
        <v>0.89</v>
      </c>
      <c r="H6535">
        <v>0.05</v>
      </c>
      <c r="I6535">
        <v>0.42</v>
      </c>
      <c r="J6535" s="66">
        <v>0.1764</v>
      </c>
      <c r="K6535" t="str">
        <f>IFERROR(INDEX(Rosters!$C$2:$C$155,MATCH($B6535,Rosters!$B$2:$B$155,0)),"NA")</f>
        <v>NA</v>
      </c>
      <c r="L6535" t="str">
        <f t="shared" si="306"/>
        <v>NA3WR</v>
      </c>
      <c r="M6535">
        <f>COUNTIF(L$1:L6535,L6535)</f>
        <v>88</v>
      </c>
      <c r="N6535" t="str">
        <f t="shared" si="307"/>
        <v>NA3WR-88</v>
      </c>
      <c r="O6535">
        <f>COUNTIFS(F$1:F6535,F6535,A$1:A6535,A6535)</f>
        <v>137</v>
      </c>
      <c r="P6535" t="str">
        <f t="shared" si="308"/>
        <v>Andy Jones3</v>
      </c>
    </row>
    <row r="6536" spans="1:16" x14ac:dyDescent="0.25">
      <c r="A6536">
        <v>17</v>
      </c>
      <c r="B6536" t="s">
        <v>1145</v>
      </c>
      <c r="C6536">
        <f>-0.11-1.05</f>
        <v>-1.1600000000000001</v>
      </c>
      <c r="D6536">
        <v>0.47</v>
      </c>
      <c r="E6536" t="s">
        <v>25</v>
      </c>
      <c r="F6536" t="s">
        <v>114</v>
      </c>
      <c r="G6536">
        <v>1.05</v>
      </c>
      <c r="H6536">
        <v>-0.11</v>
      </c>
      <c r="I6536">
        <v>0.57999999999999996</v>
      </c>
      <c r="J6536" s="66">
        <v>0.33639999999999998</v>
      </c>
      <c r="K6536" t="str">
        <f>IFERROR(INDEX(Rosters!$C$2:$C$155,MATCH($B6536,Rosters!$B$2:$B$155,0)),"NA")</f>
        <v>NA</v>
      </c>
      <c r="L6536" t="str">
        <f t="shared" si="306"/>
        <v>NA17TE</v>
      </c>
      <c r="M6536">
        <f>COUNTIF(L$1:L6536,L6536)</f>
        <v>75</v>
      </c>
      <c r="N6536" t="str">
        <f t="shared" si="307"/>
        <v>NA17TE-75</v>
      </c>
      <c r="O6536">
        <f>COUNTIFS(F$1:F6536,F6536,A$1:A6536,A6536)</f>
        <v>89</v>
      </c>
      <c r="P6536" t="str">
        <f t="shared" si="308"/>
        <v>Ben Braunecker17</v>
      </c>
    </row>
    <row r="6537" spans="1:16" x14ac:dyDescent="0.25">
      <c r="A6537">
        <v>9</v>
      </c>
      <c r="B6537" t="s">
        <v>293</v>
      </c>
      <c r="C6537">
        <f>-0.13-1.07</f>
        <v>-1.2000000000000002</v>
      </c>
      <c r="D6537">
        <v>0.47</v>
      </c>
      <c r="E6537" t="s">
        <v>29</v>
      </c>
      <c r="F6537" t="s">
        <v>47</v>
      </c>
      <c r="G6537">
        <v>1.07</v>
      </c>
      <c r="H6537">
        <v>-0.13</v>
      </c>
      <c r="I6537">
        <v>0.6</v>
      </c>
      <c r="J6537" s="66">
        <v>0.36</v>
      </c>
      <c r="K6537" t="str">
        <f>IFERROR(INDEX(Rosters!$C$2:$C$155,MATCH($B6537,Rosters!$B$2:$B$155,0)),"NA")</f>
        <v>NA</v>
      </c>
      <c r="L6537" t="str">
        <f t="shared" si="306"/>
        <v>NA9RB</v>
      </c>
      <c r="M6537">
        <f>COUNTIF(L$1:L6537,L6537)</f>
        <v>55</v>
      </c>
      <c r="N6537" t="str">
        <f t="shared" si="307"/>
        <v>NA9RB-55</v>
      </c>
      <c r="O6537">
        <f>COUNTIFS(F$1:F6537,F6537,A$1:A6537,A6537)</f>
        <v>95</v>
      </c>
      <c r="P6537" t="str">
        <f t="shared" si="308"/>
        <v>Benny Cunningham9</v>
      </c>
    </row>
    <row r="6538" spans="1:16" x14ac:dyDescent="0.25">
      <c r="A6538">
        <v>6</v>
      </c>
      <c r="B6538" t="s">
        <v>1549</v>
      </c>
      <c r="C6538">
        <f>-0.13-1.07</f>
        <v>-1.2000000000000002</v>
      </c>
      <c r="D6538">
        <v>0.47</v>
      </c>
      <c r="E6538" t="s">
        <v>58</v>
      </c>
      <c r="F6538" t="s">
        <v>47</v>
      </c>
      <c r="G6538">
        <v>1.07</v>
      </c>
      <c r="H6538">
        <v>-0.13</v>
      </c>
      <c r="I6538">
        <v>0.6</v>
      </c>
      <c r="J6538">
        <v>0.36</v>
      </c>
      <c r="K6538" t="str">
        <f>IFERROR(INDEX(Rosters!$C$2:$C$155,MATCH($B6538,Rosters!$B$2:$B$155,0)),"NA")</f>
        <v>NA</v>
      </c>
      <c r="L6538" t="str">
        <f t="shared" si="306"/>
        <v>NA6RB</v>
      </c>
      <c r="M6538">
        <f>COUNTIF(L$1:L6538,L6538)</f>
        <v>63</v>
      </c>
      <c r="N6538" t="str">
        <f t="shared" si="307"/>
        <v>NA6RB-63</v>
      </c>
      <c r="O6538">
        <f>COUNTIFS(F$1:F6538,F6538,A$1:A6538,A6538)</f>
        <v>105</v>
      </c>
      <c r="P6538" t="str">
        <f t="shared" si="308"/>
        <v>C.J. Ham6</v>
      </c>
    </row>
    <row r="6539" spans="1:16" x14ac:dyDescent="0.25">
      <c r="A6539">
        <v>5</v>
      </c>
      <c r="B6539" t="s">
        <v>311</v>
      </c>
      <c r="C6539">
        <f>-0.05-0.99</f>
        <v>-1.04</v>
      </c>
      <c r="D6539">
        <v>0.47</v>
      </c>
      <c r="E6539" t="s">
        <v>76</v>
      </c>
      <c r="F6539" t="s">
        <v>15</v>
      </c>
      <c r="G6539">
        <v>0.99</v>
      </c>
      <c r="H6539">
        <v>-0.05</v>
      </c>
      <c r="I6539">
        <v>0.52</v>
      </c>
      <c r="J6539">
        <v>0.27039999999999997</v>
      </c>
      <c r="K6539" t="str">
        <f>IFERROR(INDEX(Rosters!$C$2:$C$155,MATCH($B6539,Rosters!$B$2:$B$155,0)),"NA")</f>
        <v>NA</v>
      </c>
      <c r="L6539" t="str">
        <f t="shared" si="306"/>
        <v>NA5QB</v>
      </c>
      <c r="M6539">
        <f>COUNTIF(L$1:L6539,L6539)</f>
        <v>36</v>
      </c>
      <c r="N6539" t="str">
        <f t="shared" si="307"/>
        <v>NA5QB-36</v>
      </c>
      <c r="O6539">
        <f>COUNTIFS(F$1:F6539,F6539,A$1:A6539,A6539)</f>
        <v>53</v>
      </c>
      <c r="P6539" t="str">
        <f t="shared" si="308"/>
        <v>Chad Henne5</v>
      </c>
    </row>
    <row r="6540" spans="1:16" x14ac:dyDescent="0.25">
      <c r="A6540">
        <v>8</v>
      </c>
      <c r="B6540" t="s">
        <v>311</v>
      </c>
      <c r="C6540">
        <f>-0.05-0.99</f>
        <v>-1.04</v>
      </c>
      <c r="D6540">
        <v>0.47</v>
      </c>
      <c r="E6540" t="s">
        <v>42</v>
      </c>
      <c r="F6540" t="s">
        <v>15</v>
      </c>
      <c r="G6540">
        <v>0.99</v>
      </c>
      <c r="H6540">
        <v>-0.05</v>
      </c>
      <c r="I6540">
        <v>0.52</v>
      </c>
      <c r="J6540">
        <v>0.27039999999999997</v>
      </c>
      <c r="K6540" t="str">
        <f>IFERROR(INDEX(Rosters!$C$2:$C$155,MATCH($B6540,Rosters!$B$2:$B$155,0)),"NA")</f>
        <v>NA</v>
      </c>
      <c r="L6540" t="str">
        <f t="shared" si="306"/>
        <v>NA8QB</v>
      </c>
      <c r="M6540">
        <f>COUNTIF(L$1:L6540,L6540)</f>
        <v>33</v>
      </c>
      <c r="N6540" t="str">
        <f t="shared" si="307"/>
        <v>NA8QB-33</v>
      </c>
      <c r="O6540">
        <f>COUNTIFS(F$1:F6540,F6540,A$1:A6540,A6540)</f>
        <v>48</v>
      </c>
      <c r="P6540" t="str">
        <f t="shared" si="308"/>
        <v>Chad Henne8</v>
      </c>
    </row>
    <row r="6541" spans="1:16" x14ac:dyDescent="0.25">
      <c r="A6541">
        <v>9</v>
      </c>
      <c r="B6541" t="s">
        <v>311</v>
      </c>
      <c r="C6541">
        <f>-0.05-0.99</f>
        <v>-1.04</v>
      </c>
      <c r="D6541">
        <v>0.47</v>
      </c>
      <c r="E6541" t="s">
        <v>52</v>
      </c>
      <c r="F6541" t="s">
        <v>15</v>
      </c>
      <c r="G6541">
        <v>0.99</v>
      </c>
      <c r="H6541">
        <v>-0.05</v>
      </c>
      <c r="I6541">
        <v>0.52</v>
      </c>
      <c r="J6541">
        <v>0.27039999999999997</v>
      </c>
      <c r="K6541" t="str">
        <f>IFERROR(INDEX(Rosters!$C$2:$C$155,MATCH($B6541,Rosters!$B$2:$B$155,0)),"NA")</f>
        <v>NA</v>
      </c>
      <c r="L6541" t="str">
        <f t="shared" si="306"/>
        <v>NA9QB</v>
      </c>
      <c r="M6541">
        <f>COUNTIF(L$1:L6541,L6541)</f>
        <v>33</v>
      </c>
      <c r="N6541" t="str">
        <f t="shared" si="307"/>
        <v>NA9QB-33</v>
      </c>
      <c r="O6541">
        <f>COUNTIFS(F$1:F6541,F6541,A$1:A6541,A6541)</f>
        <v>47</v>
      </c>
      <c r="P6541" t="str">
        <f t="shared" si="308"/>
        <v>Chad Henne9</v>
      </c>
    </row>
    <row r="6542" spans="1:16" x14ac:dyDescent="0.25">
      <c r="A6542">
        <v>16</v>
      </c>
      <c r="B6542" t="s">
        <v>1562</v>
      </c>
      <c r="C6542">
        <f>-0.08-1.02</f>
        <v>-1.1000000000000001</v>
      </c>
      <c r="D6542">
        <v>0.47</v>
      </c>
      <c r="E6542" t="s">
        <v>72</v>
      </c>
      <c r="F6542" t="s">
        <v>114</v>
      </c>
      <c r="G6542">
        <v>1.02</v>
      </c>
      <c r="H6542">
        <v>-0.08</v>
      </c>
      <c r="I6542">
        <v>0.55000000000000004</v>
      </c>
      <c r="J6542">
        <v>0.30249999999999999</v>
      </c>
      <c r="K6542" t="str">
        <f>IFERROR(INDEX(Rosters!$C$2:$C$155,MATCH($B6542,Rosters!$B$2:$B$155,0)),"NA")</f>
        <v>NA</v>
      </c>
      <c r="L6542" t="str">
        <f t="shared" si="306"/>
        <v>NA16TE</v>
      </c>
      <c r="M6542">
        <f>COUNTIF(L$1:L6542,L6542)</f>
        <v>78</v>
      </c>
      <c r="N6542" t="str">
        <f t="shared" si="307"/>
        <v>NA16TE-78</v>
      </c>
      <c r="O6542">
        <f>COUNTIFS(F$1:F6542,F6542,A$1:A6542,A6542)</f>
        <v>92</v>
      </c>
      <c r="P6542" t="str">
        <f t="shared" si="308"/>
        <v>Cole Wick16</v>
      </c>
    </row>
    <row r="6543" spans="1:16" x14ac:dyDescent="0.25">
      <c r="A6543">
        <v>5</v>
      </c>
      <c r="B6543" t="s">
        <v>218</v>
      </c>
      <c r="C6543">
        <f>-0.02-0.96</f>
        <v>-0.98</v>
      </c>
      <c r="D6543">
        <v>0.47</v>
      </c>
      <c r="E6543" t="s">
        <v>37</v>
      </c>
      <c r="F6543" t="s">
        <v>47</v>
      </c>
      <c r="G6543">
        <v>0.96</v>
      </c>
      <c r="H6543">
        <v>-0.02</v>
      </c>
      <c r="I6543">
        <v>0.49</v>
      </c>
      <c r="J6543">
        <v>0.24010000000000001</v>
      </c>
      <c r="K6543" t="str">
        <f>IFERROR(INDEX(Rosters!$C$2:$C$155,MATCH($B6543,Rosters!$B$2:$B$155,0)),"NA")</f>
        <v>NA</v>
      </c>
      <c r="L6543" t="str">
        <f t="shared" si="306"/>
        <v>NA5RB</v>
      </c>
      <c r="M6543">
        <f>COUNTIF(L$1:L6543,L6543)</f>
        <v>62</v>
      </c>
      <c r="N6543" t="str">
        <f t="shared" si="307"/>
        <v>NA5RB-62</v>
      </c>
      <c r="O6543">
        <f>COUNTIFS(F$1:F6543,F6543,A$1:A6543,A6543)</f>
        <v>105</v>
      </c>
      <c r="P6543" t="str">
        <f t="shared" si="308"/>
        <v>DeAndre Washington5</v>
      </c>
    </row>
    <row r="6544" spans="1:16" x14ac:dyDescent="0.25">
      <c r="A6544">
        <v>11</v>
      </c>
      <c r="B6544" t="s">
        <v>218</v>
      </c>
      <c r="C6544">
        <f>-0.09-1.03</f>
        <v>-1.1200000000000001</v>
      </c>
      <c r="D6544">
        <v>0.47</v>
      </c>
      <c r="E6544" t="s">
        <v>58</v>
      </c>
      <c r="F6544" t="s">
        <v>47</v>
      </c>
      <c r="G6544">
        <v>1.03</v>
      </c>
      <c r="H6544">
        <v>-0.09</v>
      </c>
      <c r="I6544">
        <v>0.56000000000000005</v>
      </c>
      <c r="J6544">
        <v>0.31359999999999999</v>
      </c>
      <c r="K6544" t="str">
        <f>IFERROR(INDEX(Rosters!$C$2:$C$155,MATCH($B6544,Rosters!$B$2:$B$155,0)),"NA")</f>
        <v>NA</v>
      </c>
      <c r="L6544" t="str">
        <f t="shared" si="306"/>
        <v>NA11RB</v>
      </c>
      <c r="M6544">
        <f>COUNTIF(L$1:L6544,L6544)</f>
        <v>60</v>
      </c>
      <c r="N6544" t="str">
        <f t="shared" si="307"/>
        <v>NA11RB-60</v>
      </c>
      <c r="O6544">
        <f>COUNTIFS(F$1:F6544,F6544,A$1:A6544,A6544)</f>
        <v>98</v>
      </c>
      <c r="P6544" t="str">
        <f t="shared" si="308"/>
        <v>DeAndre Washington11</v>
      </c>
    </row>
    <row r="6545" spans="1:16" x14ac:dyDescent="0.25">
      <c r="A6545">
        <v>1</v>
      </c>
      <c r="B6545" t="s">
        <v>341</v>
      </c>
      <c r="C6545">
        <f>-0.05-0.99</f>
        <v>-1.04</v>
      </c>
      <c r="D6545">
        <v>0.47</v>
      </c>
      <c r="E6545" t="s">
        <v>37</v>
      </c>
      <c r="F6545" t="s">
        <v>87</v>
      </c>
      <c r="G6545">
        <v>0.99</v>
      </c>
      <c r="H6545">
        <v>-0.05</v>
      </c>
      <c r="I6545">
        <v>0.52</v>
      </c>
      <c r="J6545">
        <v>0.27039999999999997</v>
      </c>
      <c r="K6545" t="str">
        <f>IFERROR(INDEX(Rosters!$C$2:$C$155,MATCH($B6545,Rosters!$B$2:$B$155,0)),"NA")</f>
        <v>NA</v>
      </c>
      <c r="L6545" t="str">
        <f t="shared" si="306"/>
        <v>NA1WR</v>
      </c>
      <c r="M6545">
        <f>COUNTIF(L$1:L6545,L6545)</f>
        <v>75</v>
      </c>
      <c r="N6545" t="str">
        <f t="shared" si="307"/>
        <v>NA1WR-75</v>
      </c>
      <c r="O6545">
        <f>COUNTIFS(F$1:F6545,F6545,A$1:A6545,A6545)</f>
        <v>124</v>
      </c>
      <c r="P6545" t="str">
        <f t="shared" si="308"/>
        <v>Demarcus Robinson1</v>
      </c>
    </row>
    <row r="6546" spans="1:16" x14ac:dyDescent="0.25">
      <c r="A6546">
        <v>12</v>
      </c>
      <c r="B6546" t="s">
        <v>1624</v>
      </c>
      <c r="C6546">
        <f>-0.12-1.06</f>
        <v>-1.1800000000000002</v>
      </c>
      <c r="D6546">
        <v>0.47</v>
      </c>
      <c r="E6546" t="s">
        <v>37</v>
      </c>
      <c r="F6546" t="s">
        <v>114</v>
      </c>
      <c r="G6546">
        <v>1.06</v>
      </c>
      <c r="H6546">
        <v>-0.12</v>
      </c>
      <c r="I6546">
        <v>0.59</v>
      </c>
      <c r="J6546" s="66">
        <v>0.34810000000000002</v>
      </c>
      <c r="K6546" t="str">
        <f>IFERROR(INDEX(Rosters!$C$2:$C$155,MATCH($B6546,Rosters!$B$2:$B$155,0)),"NA")</f>
        <v>NA</v>
      </c>
      <c r="L6546" t="str">
        <f t="shared" si="306"/>
        <v>NA12TE</v>
      </c>
      <c r="M6546">
        <f>COUNTIF(L$1:L6546,L6546)</f>
        <v>73</v>
      </c>
      <c r="N6546" t="str">
        <f t="shared" si="307"/>
        <v>NA12TE-73</v>
      </c>
      <c r="O6546">
        <f>COUNTIFS(F$1:F6546,F6546,A$1:A6546,A6546)</f>
        <v>86</v>
      </c>
      <c r="P6546" t="str">
        <f t="shared" si="308"/>
        <v>Gabe Holmes12</v>
      </c>
    </row>
    <row r="6547" spans="1:16" x14ac:dyDescent="0.25">
      <c r="A6547">
        <v>7</v>
      </c>
      <c r="B6547" t="s">
        <v>2848</v>
      </c>
      <c r="C6547">
        <f>-0.01-0.95</f>
        <v>-0.96</v>
      </c>
      <c r="D6547">
        <v>0.47</v>
      </c>
      <c r="E6547" t="s">
        <v>60</v>
      </c>
      <c r="F6547" t="s">
        <v>47</v>
      </c>
      <c r="G6547">
        <v>0.95</v>
      </c>
      <c r="H6547">
        <v>-0.01</v>
      </c>
      <c r="I6547">
        <v>0.48</v>
      </c>
      <c r="J6547" s="66">
        <v>0.23039999999999999</v>
      </c>
      <c r="K6547" t="str">
        <f>IFERROR(INDEX(Rosters!$C$2:$C$155,MATCH($B6547,Rosters!$B$2:$B$155,0)),"NA")</f>
        <v>NA</v>
      </c>
      <c r="L6547" t="str">
        <f t="shared" si="306"/>
        <v>NA7RB</v>
      </c>
      <c r="M6547">
        <f>COUNTIF(L$1:L6547,L6547)</f>
        <v>60</v>
      </c>
      <c r="N6547" t="str">
        <f t="shared" si="307"/>
        <v>NA7RB-60</v>
      </c>
      <c r="O6547">
        <f>COUNTIFS(F$1:F6547,F6547,A$1:A6547,A6547)</f>
        <v>101</v>
      </c>
      <c r="P6547" t="str">
        <f t="shared" si="308"/>
        <v>Jamize Olawale7</v>
      </c>
    </row>
    <row r="6548" spans="1:16" x14ac:dyDescent="0.25">
      <c r="A6548">
        <v>9</v>
      </c>
      <c r="B6548" t="s">
        <v>2848</v>
      </c>
      <c r="C6548" t="s">
        <v>375</v>
      </c>
      <c r="D6548">
        <v>0.47</v>
      </c>
      <c r="E6548" t="s">
        <v>38</v>
      </c>
      <c r="F6548" t="s">
        <v>47</v>
      </c>
      <c r="G6548">
        <v>0.94</v>
      </c>
      <c r="H6548">
        <v>0</v>
      </c>
      <c r="I6548">
        <v>0.47</v>
      </c>
      <c r="J6548" s="66">
        <v>0.22090000000000001</v>
      </c>
      <c r="K6548" t="str">
        <f>IFERROR(INDEX(Rosters!$C$2:$C$155,MATCH($B6548,Rosters!$B$2:$B$155,0)),"NA")</f>
        <v>NA</v>
      </c>
      <c r="L6548" t="str">
        <f t="shared" si="306"/>
        <v>NA9RB</v>
      </c>
      <c r="M6548">
        <f>COUNTIF(L$1:L6548,L6548)</f>
        <v>56</v>
      </c>
      <c r="N6548" t="str">
        <f t="shared" si="307"/>
        <v>NA9RB-56</v>
      </c>
      <c r="O6548">
        <f>COUNTIFS(F$1:F6548,F6548,A$1:A6548,A6548)</f>
        <v>96</v>
      </c>
      <c r="P6548" t="str">
        <f t="shared" si="308"/>
        <v>Jamize Olawale9</v>
      </c>
    </row>
    <row r="6549" spans="1:16" x14ac:dyDescent="0.25">
      <c r="A6549">
        <v>15</v>
      </c>
      <c r="B6549" t="s">
        <v>4251</v>
      </c>
      <c r="C6549">
        <f>-0.04-0.98</f>
        <v>-1.02</v>
      </c>
      <c r="D6549">
        <v>0.47</v>
      </c>
      <c r="E6549" t="s">
        <v>34</v>
      </c>
      <c r="F6549" t="s">
        <v>114</v>
      </c>
      <c r="G6549">
        <v>0.98</v>
      </c>
      <c r="H6549">
        <v>-0.04</v>
      </c>
      <c r="I6549">
        <v>0.51</v>
      </c>
      <c r="J6549" s="66">
        <v>0.2601</v>
      </c>
      <c r="K6549" t="str">
        <f>IFERROR(INDEX(Rosters!$C$2:$C$155,MATCH($B6549,Rosters!$B$2:$B$155,0)),"NA")</f>
        <v>NA</v>
      </c>
      <c r="L6549" t="str">
        <f t="shared" si="306"/>
        <v>NA15TE</v>
      </c>
      <c r="M6549">
        <f>COUNTIF(L$1:L6549,L6549)</f>
        <v>73</v>
      </c>
      <c r="N6549" t="str">
        <f t="shared" si="307"/>
        <v>NA15TE-73</v>
      </c>
      <c r="O6549">
        <f>COUNTIFS(F$1:F6549,F6549,A$1:A6549,A6549)</f>
        <v>87</v>
      </c>
      <c r="P6549" t="str">
        <f t="shared" si="308"/>
        <v>Jason Croom15</v>
      </c>
    </row>
    <row r="6550" spans="1:16" x14ac:dyDescent="0.25">
      <c r="A6550">
        <v>3</v>
      </c>
      <c r="B6550" t="s">
        <v>1593</v>
      </c>
      <c r="C6550">
        <f>-0.18-1.12</f>
        <v>-1.3</v>
      </c>
      <c r="D6550">
        <v>0.47</v>
      </c>
      <c r="E6550" t="s">
        <v>37</v>
      </c>
      <c r="F6550" t="s">
        <v>87</v>
      </c>
      <c r="G6550">
        <v>1.1200000000000001</v>
      </c>
      <c r="H6550">
        <v>-0.18</v>
      </c>
      <c r="I6550">
        <v>0.65</v>
      </c>
      <c r="J6550" s="66">
        <v>0.42249999999999999</v>
      </c>
      <c r="K6550" t="str">
        <f>IFERROR(INDEX(Rosters!$C$2:$C$155,MATCH($B6550,Rosters!$B$2:$B$155,0)),"NA")</f>
        <v>NA</v>
      </c>
      <c r="L6550" t="str">
        <f t="shared" si="306"/>
        <v>NA3WR</v>
      </c>
      <c r="M6550">
        <f>COUNTIF(L$1:L6550,L6550)</f>
        <v>89</v>
      </c>
      <c r="N6550" t="str">
        <f t="shared" si="307"/>
        <v>NA3WR-89</v>
      </c>
      <c r="O6550">
        <f>COUNTIFS(F$1:F6550,F6550,A$1:A6550,A6550)</f>
        <v>138</v>
      </c>
      <c r="P6550" t="str">
        <f t="shared" si="308"/>
        <v>Josh Reynolds3</v>
      </c>
    </row>
    <row r="6551" spans="1:16" x14ac:dyDescent="0.25">
      <c r="A6551">
        <v>14</v>
      </c>
      <c r="B6551" t="s">
        <v>1565</v>
      </c>
      <c r="C6551">
        <f>-0.08-1.02</f>
        <v>-1.1000000000000001</v>
      </c>
      <c r="D6551">
        <v>0.47</v>
      </c>
      <c r="E6551" t="s">
        <v>72</v>
      </c>
      <c r="F6551" t="s">
        <v>47</v>
      </c>
      <c r="G6551">
        <v>1.02</v>
      </c>
      <c r="H6551">
        <v>-0.08</v>
      </c>
      <c r="I6551">
        <v>0.55000000000000004</v>
      </c>
      <c r="J6551" s="66">
        <v>0.30249999999999999</v>
      </c>
      <c r="K6551" t="str">
        <f>IFERROR(INDEX(Rosters!$C$2:$C$155,MATCH($B6551,Rosters!$B$2:$B$155,0)),"NA")</f>
        <v>NA</v>
      </c>
      <c r="L6551" t="str">
        <f t="shared" si="306"/>
        <v>NA14RB</v>
      </c>
      <c r="M6551">
        <f>COUNTIF(L$1:L6551,L6551)</f>
        <v>68</v>
      </c>
      <c r="N6551" t="str">
        <f t="shared" si="307"/>
        <v>NA14RB-68</v>
      </c>
      <c r="O6551">
        <f>COUNTIFS(F$1:F6551,F6551,A$1:A6551,A6551)</f>
        <v>115</v>
      </c>
      <c r="P6551" t="str">
        <f t="shared" si="308"/>
        <v>Justin Davis14</v>
      </c>
    </row>
    <row r="6552" spans="1:16" x14ac:dyDescent="0.25">
      <c r="A6552">
        <v>15</v>
      </c>
      <c r="B6552" t="s">
        <v>1565</v>
      </c>
      <c r="C6552">
        <f>-0.02-0.96</f>
        <v>-0.98</v>
      </c>
      <c r="D6552">
        <v>0.47</v>
      </c>
      <c r="E6552" t="s">
        <v>50</v>
      </c>
      <c r="F6552" t="s">
        <v>47</v>
      </c>
      <c r="G6552">
        <v>0.96</v>
      </c>
      <c r="H6552">
        <v>-0.02</v>
      </c>
      <c r="I6552">
        <v>0.49</v>
      </c>
      <c r="J6552" s="66">
        <v>0.24010000000000001</v>
      </c>
      <c r="K6552" t="str">
        <f>IFERROR(INDEX(Rosters!$C$2:$C$155,MATCH($B6552,Rosters!$B$2:$B$155,0)),"NA")</f>
        <v>NA</v>
      </c>
      <c r="L6552" t="str">
        <f t="shared" si="306"/>
        <v>NA15RB</v>
      </c>
      <c r="M6552">
        <f>COUNTIF(L$1:L6552,L6552)</f>
        <v>75</v>
      </c>
      <c r="N6552" t="str">
        <f t="shared" si="307"/>
        <v>NA15RB-75</v>
      </c>
      <c r="O6552">
        <f>COUNTIFS(F$1:F6552,F6552,A$1:A6552,A6552)</f>
        <v>122</v>
      </c>
      <c r="P6552" t="str">
        <f t="shared" si="308"/>
        <v>Justin Davis15</v>
      </c>
    </row>
    <row r="6553" spans="1:16" x14ac:dyDescent="0.25">
      <c r="A6553">
        <v>11</v>
      </c>
      <c r="B6553" t="s">
        <v>1473</v>
      </c>
      <c r="C6553">
        <f>-0.04-0.98</f>
        <v>-1.02</v>
      </c>
      <c r="D6553">
        <v>0.47</v>
      </c>
      <c r="E6553" t="s">
        <v>42</v>
      </c>
      <c r="F6553" t="s">
        <v>47</v>
      </c>
      <c r="G6553">
        <v>0.98</v>
      </c>
      <c r="H6553">
        <v>-0.04</v>
      </c>
      <c r="I6553">
        <v>0.51</v>
      </c>
      <c r="J6553" s="66">
        <v>0.2601</v>
      </c>
      <c r="K6553" t="str">
        <f>IFERROR(INDEX(Rosters!$C$2:$C$155,MATCH($B6553,Rosters!$B$2:$B$155,0)),"NA")</f>
        <v>NA</v>
      </c>
      <c r="L6553" t="str">
        <f t="shared" si="306"/>
        <v>NA11RB</v>
      </c>
      <c r="M6553">
        <f>COUNTIF(L$1:L6553,L6553)</f>
        <v>61</v>
      </c>
      <c r="N6553" t="str">
        <f t="shared" si="307"/>
        <v>NA11RB-61</v>
      </c>
      <c r="O6553">
        <f>COUNTIFS(F$1:F6553,F6553,A$1:A6553,A6553)</f>
        <v>99</v>
      </c>
      <c r="P6553" t="str">
        <f t="shared" si="308"/>
        <v>Justin Jackson11</v>
      </c>
    </row>
    <row r="6554" spans="1:16" x14ac:dyDescent="0.25">
      <c r="A6554">
        <v>10</v>
      </c>
      <c r="B6554" t="s">
        <v>2854</v>
      </c>
      <c r="C6554">
        <f>-0.14-1.08</f>
        <v>-1.2200000000000002</v>
      </c>
      <c r="D6554">
        <v>0.47</v>
      </c>
      <c r="E6554" t="s">
        <v>22</v>
      </c>
      <c r="F6554" t="s">
        <v>87</v>
      </c>
      <c r="G6554">
        <v>1.08</v>
      </c>
      <c r="H6554">
        <v>-0.14000000000000001</v>
      </c>
      <c r="I6554">
        <v>0.61</v>
      </c>
      <c r="J6554" s="66">
        <v>0.37209999999999999</v>
      </c>
      <c r="K6554" t="str">
        <f>IFERROR(INDEX(Rosters!$C$2:$C$155,MATCH($B6554,Rosters!$B$2:$B$155,0)),"NA")</f>
        <v>NA</v>
      </c>
      <c r="L6554" t="str">
        <f t="shared" si="306"/>
        <v>NA10WR</v>
      </c>
      <c r="M6554">
        <f>COUNTIF(L$1:L6554,L6554)</f>
        <v>103</v>
      </c>
      <c r="N6554" t="str">
        <f t="shared" si="307"/>
        <v>NA10WR-103</v>
      </c>
      <c r="O6554">
        <f>COUNTIFS(F$1:F6554,F6554,A$1:A6554,A6554)</f>
        <v>148</v>
      </c>
      <c r="P6554" t="str">
        <f t="shared" si="308"/>
        <v>Kamar Aiken10</v>
      </c>
    </row>
    <row r="6555" spans="1:16" x14ac:dyDescent="0.25">
      <c r="A6555">
        <v>11</v>
      </c>
      <c r="B6555" t="s">
        <v>2769</v>
      </c>
      <c r="C6555">
        <f>-0.07-1.01</f>
        <v>-1.08</v>
      </c>
      <c r="D6555">
        <v>0.47</v>
      </c>
      <c r="E6555" t="s">
        <v>36</v>
      </c>
      <c r="F6555" t="s">
        <v>47</v>
      </c>
      <c r="G6555">
        <v>1.01</v>
      </c>
      <c r="H6555">
        <v>-7.0000000000000007E-2</v>
      </c>
      <c r="I6555">
        <v>0.54</v>
      </c>
      <c r="J6555" s="66">
        <v>0.29160000000000003</v>
      </c>
      <c r="K6555" t="str">
        <f>IFERROR(INDEX(Rosters!$C$2:$C$155,MATCH($B6555,Rosters!$B$2:$B$155,0)),"NA")</f>
        <v>NA</v>
      </c>
      <c r="L6555" t="str">
        <f t="shared" si="306"/>
        <v>NA11RB</v>
      </c>
      <c r="M6555">
        <f>COUNTIF(L$1:L6555,L6555)</f>
        <v>62</v>
      </c>
      <c r="N6555" t="str">
        <f t="shared" si="307"/>
        <v>NA11RB-62</v>
      </c>
      <c r="O6555">
        <f>COUNTIFS(F$1:F6555,F6555,A$1:A6555,A6555)</f>
        <v>100</v>
      </c>
      <c r="P6555" t="str">
        <f t="shared" si="308"/>
        <v>Kapri Bibbs11</v>
      </c>
    </row>
    <row r="6556" spans="1:16" x14ac:dyDescent="0.25">
      <c r="A6556">
        <v>12</v>
      </c>
      <c r="B6556" t="s">
        <v>2769</v>
      </c>
      <c r="C6556">
        <f>-0.08-1.02</f>
        <v>-1.1000000000000001</v>
      </c>
      <c r="D6556">
        <v>0.47</v>
      </c>
      <c r="E6556" t="s">
        <v>22</v>
      </c>
      <c r="F6556" t="s">
        <v>47</v>
      </c>
      <c r="G6556">
        <v>1.02</v>
      </c>
      <c r="H6556">
        <v>-0.08</v>
      </c>
      <c r="I6556">
        <v>0.55000000000000004</v>
      </c>
      <c r="J6556" s="66">
        <v>0.30249999999999999</v>
      </c>
      <c r="K6556" t="str">
        <f>IFERROR(INDEX(Rosters!$C$2:$C$155,MATCH($B6556,Rosters!$B$2:$B$155,0)),"NA")</f>
        <v>NA</v>
      </c>
      <c r="L6556" t="str">
        <f t="shared" si="306"/>
        <v>NA12RB</v>
      </c>
      <c r="M6556">
        <f>COUNTIF(L$1:L6556,L6556)</f>
        <v>70</v>
      </c>
      <c r="N6556" t="str">
        <f t="shared" si="307"/>
        <v>NA12RB-70</v>
      </c>
      <c r="O6556">
        <f>COUNTIFS(F$1:F6556,F6556,A$1:A6556,A6556)</f>
        <v>115</v>
      </c>
      <c r="P6556" t="str">
        <f t="shared" si="308"/>
        <v>Kapri Bibbs12</v>
      </c>
    </row>
    <row r="6557" spans="1:16" x14ac:dyDescent="0.25">
      <c r="A6557">
        <v>4</v>
      </c>
      <c r="B6557" t="s">
        <v>1622</v>
      </c>
      <c r="C6557">
        <f>-0.1-1.04</f>
        <v>-1.1400000000000001</v>
      </c>
      <c r="D6557">
        <v>0.47</v>
      </c>
      <c r="E6557" t="s">
        <v>37</v>
      </c>
      <c r="F6557" t="s">
        <v>87</v>
      </c>
      <c r="G6557">
        <v>1.04</v>
      </c>
      <c r="H6557">
        <v>-0.1</v>
      </c>
      <c r="I6557">
        <v>0.56999999999999995</v>
      </c>
      <c r="J6557" s="66">
        <v>0.32490000000000002</v>
      </c>
      <c r="K6557" t="str">
        <f>IFERROR(INDEX(Rosters!$C$2:$C$155,MATCH($B6557,Rosters!$B$2:$B$155,0)),"NA")</f>
        <v>NA</v>
      </c>
      <c r="L6557" t="str">
        <f t="shared" si="306"/>
        <v>NA4WR</v>
      </c>
      <c r="M6557">
        <f>COUNTIF(L$1:L6557,L6557)</f>
        <v>84</v>
      </c>
      <c r="N6557" t="str">
        <f t="shared" si="307"/>
        <v>NA4WR-84</v>
      </c>
      <c r="O6557">
        <f>COUNTIFS(F$1:F6557,F6557,A$1:A6557,A6557)</f>
        <v>134</v>
      </c>
      <c r="P6557" t="str">
        <f t="shared" si="308"/>
        <v>Kendrick Bourne4</v>
      </c>
    </row>
    <row r="6558" spans="1:16" x14ac:dyDescent="0.25">
      <c r="A6558">
        <v>4</v>
      </c>
      <c r="B6558" t="s">
        <v>198</v>
      </c>
      <c r="C6558">
        <f>-0.14-1.08</f>
        <v>-1.2200000000000002</v>
      </c>
      <c r="D6558">
        <v>0.47</v>
      </c>
      <c r="E6558" t="s">
        <v>17</v>
      </c>
      <c r="F6558" t="s">
        <v>87</v>
      </c>
      <c r="G6558">
        <v>1.08</v>
      </c>
      <c r="H6558">
        <v>-0.14000000000000001</v>
      </c>
      <c r="I6558">
        <v>0.61</v>
      </c>
      <c r="J6558">
        <v>0.37209999999999999</v>
      </c>
      <c r="K6558" t="str">
        <f>IFERROR(INDEX(Rosters!$C$2:$C$155,MATCH($B6558,Rosters!$B$2:$B$155,0)),"NA")</f>
        <v>NA</v>
      </c>
      <c r="L6558" t="str">
        <f t="shared" si="306"/>
        <v>NA4WR</v>
      </c>
      <c r="M6558">
        <f>COUNTIF(L$1:L6558,L6558)</f>
        <v>85</v>
      </c>
      <c r="N6558" t="str">
        <f t="shared" si="307"/>
        <v>NA4WR-85</v>
      </c>
      <c r="O6558">
        <f>COUNTIFS(F$1:F6558,F6558,A$1:A6558,A6558)</f>
        <v>135</v>
      </c>
      <c r="P6558" t="str">
        <f t="shared" si="308"/>
        <v>Kevin White4</v>
      </c>
    </row>
    <row r="6559" spans="1:16" x14ac:dyDescent="0.25">
      <c r="A6559">
        <v>13</v>
      </c>
      <c r="B6559" t="s">
        <v>1597</v>
      </c>
      <c r="C6559">
        <f>-0.05-0.99</f>
        <v>-1.04</v>
      </c>
      <c r="D6559">
        <v>0.47</v>
      </c>
      <c r="E6559" t="s">
        <v>19</v>
      </c>
      <c r="F6559" t="s">
        <v>114</v>
      </c>
      <c r="G6559">
        <v>0.99</v>
      </c>
      <c r="H6559">
        <v>-0.05</v>
      </c>
      <c r="I6559">
        <v>0.52</v>
      </c>
      <c r="J6559">
        <v>0.27039999999999997</v>
      </c>
      <c r="K6559" t="str">
        <f>IFERROR(INDEX(Rosters!$C$2:$C$155,MATCH($B6559,Rosters!$B$2:$B$155,0)),"NA")</f>
        <v>NA</v>
      </c>
      <c r="L6559" t="str">
        <f t="shared" si="306"/>
        <v>NA13TE</v>
      </c>
      <c r="M6559">
        <f>COUNTIF(L$1:L6559,L6559)</f>
        <v>75</v>
      </c>
      <c r="N6559" t="str">
        <f t="shared" si="307"/>
        <v>NA13TE-75</v>
      </c>
      <c r="O6559">
        <f>COUNTIFS(F$1:F6559,F6559,A$1:A6559,A6559)</f>
        <v>89</v>
      </c>
      <c r="P6559" t="str">
        <f t="shared" si="308"/>
        <v>Khari Lee13</v>
      </c>
    </row>
    <row r="6560" spans="1:16" x14ac:dyDescent="0.25">
      <c r="A6560">
        <v>6</v>
      </c>
      <c r="B6560" t="s">
        <v>1125</v>
      </c>
      <c r="C6560">
        <f>-0.01-0.95</f>
        <v>-0.96</v>
      </c>
      <c r="D6560">
        <v>0.47</v>
      </c>
      <c r="E6560" t="s">
        <v>17</v>
      </c>
      <c r="F6560" t="s">
        <v>114</v>
      </c>
      <c r="G6560">
        <v>0.95</v>
      </c>
      <c r="H6560">
        <v>-0.01</v>
      </c>
      <c r="I6560">
        <v>0.48</v>
      </c>
      <c r="J6560">
        <v>0.23039999999999999</v>
      </c>
      <c r="K6560" t="str">
        <f>IFERROR(INDEX(Rosters!$C$2:$C$155,MATCH($B6560,Rosters!$B$2:$B$155,0)),"NA")</f>
        <v>NA</v>
      </c>
      <c r="L6560" t="str">
        <f t="shared" si="306"/>
        <v>NA6TE</v>
      </c>
      <c r="M6560">
        <f>COUNTIF(L$1:L6560,L6560)</f>
        <v>68</v>
      </c>
      <c r="N6560" t="str">
        <f t="shared" si="307"/>
        <v>NA6TE-68</v>
      </c>
      <c r="O6560">
        <f>COUNTIFS(F$1:F6560,F6560,A$1:A6560,A6560)</f>
        <v>80</v>
      </c>
      <c r="P6560" t="str">
        <f t="shared" si="308"/>
        <v>Logan Paulsen6</v>
      </c>
    </row>
    <row r="6561" spans="1:16" x14ac:dyDescent="0.25">
      <c r="A6561">
        <v>5</v>
      </c>
      <c r="B6561" t="s">
        <v>288</v>
      </c>
      <c r="C6561">
        <f>-0.04-0.98</f>
        <v>-1.02</v>
      </c>
      <c r="D6561">
        <v>0.47</v>
      </c>
      <c r="E6561" t="s">
        <v>34</v>
      </c>
      <c r="F6561" t="s">
        <v>114</v>
      </c>
      <c r="G6561">
        <v>0.98</v>
      </c>
      <c r="H6561">
        <v>-0.04</v>
      </c>
      <c r="I6561">
        <v>0.51</v>
      </c>
      <c r="J6561">
        <v>0.2601</v>
      </c>
      <c r="K6561" t="str">
        <f>IFERROR(INDEX(Rosters!$C$2:$C$155,MATCH($B6561,Rosters!$B$2:$B$155,0)),"NA")</f>
        <v>NA</v>
      </c>
      <c r="L6561" t="str">
        <f t="shared" si="306"/>
        <v>NA5TE</v>
      </c>
      <c r="M6561">
        <f>COUNTIF(L$1:L6561,L6561)</f>
        <v>68</v>
      </c>
      <c r="N6561" t="str">
        <f t="shared" si="307"/>
        <v>NA5TE-68</v>
      </c>
      <c r="O6561">
        <f>COUNTIFS(F$1:F6561,F6561,A$1:A6561,A6561)</f>
        <v>79</v>
      </c>
      <c r="P6561" t="str">
        <f t="shared" si="308"/>
        <v>Marcedes Lewis5</v>
      </c>
    </row>
    <row r="6562" spans="1:16" x14ac:dyDescent="0.25">
      <c r="A6562">
        <v>14</v>
      </c>
      <c r="B6562" t="s">
        <v>288</v>
      </c>
      <c r="C6562">
        <f>-0.05-0.99</f>
        <v>-1.04</v>
      </c>
      <c r="D6562">
        <v>0.47</v>
      </c>
      <c r="E6562" t="s">
        <v>46</v>
      </c>
      <c r="F6562" t="s">
        <v>114</v>
      </c>
      <c r="G6562">
        <v>0.99</v>
      </c>
      <c r="H6562">
        <v>-0.05</v>
      </c>
      <c r="I6562">
        <v>0.52</v>
      </c>
      <c r="J6562">
        <v>0.27039999999999997</v>
      </c>
      <c r="K6562" t="str">
        <f>IFERROR(INDEX(Rosters!$C$2:$C$155,MATCH($B6562,Rosters!$B$2:$B$155,0)),"NA")</f>
        <v>NA</v>
      </c>
      <c r="L6562" t="str">
        <f t="shared" si="306"/>
        <v>NA14TE</v>
      </c>
      <c r="M6562">
        <f>COUNTIF(L$1:L6562,L6562)</f>
        <v>77</v>
      </c>
      <c r="N6562" t="str">
        <f t="shared" si="307"/>
        <v>NA14TE-77</v>
      </c>
      <c r="O6562">
        <f>COUNTIFS(F$1:F6562,F6562,A$1:A6562,A6562)</f>
        <v>91</v>
      </c>
      <c r="P6562" t="str">
        <f t="shared" si="308"/>
        <v>Marcedes Lewis14</v>
      </c>
    </row>
    <row r="6563" spans="1:16" x14ac:dyDescent="0.25">
      <c r="A6563">
        <v>14</v>
      </c>
      <c r="B6563" t="s">
        <v>1636</v>
      </c>
      <c r="C6563">
        <f>-0.08-1.02</f>
        <v>-1.1000000000000001</v>
      </c>
      <c r="D6563">
        <v>0.47</v>
      </c>
      <c r="E6563" t="s">
        <v>56</v>
      </c>
      <c r="F6563" t="s">
        <v>47</v>
      </c>
      <c r="G6563">
        <v>1.02</v>
      </c>
      <c r="H6563">
        <v>-0.08</v>
      </c>
      <c r="I6563">
        <v>0.55000000000000004</v>
      </c>
      <c r="J6563">
        <v>0.30249999999999999</v>
      </c>
      <c r="K6563" t="str">
        <f>IFERROR(INDEX(Rosters!$C$2:$C$155,MATCH($B6563,Rosters!$B$2:$B$155,0)),"NA")</f>
        <v>NA</v>
      </c>
      <c r="L6563" t="str">
        <f t="shared" si="306"/>
        <v>NA14RB</v>
      </c>
      <c r="M6563">
        <f>COUNTIF(L$1:L6563,L6563)</f>
        <v>69</v>
      </c>
      <c r="N6563" t="str">
        <f t="shared" si="307"/>
        <v>NA14RB-69</v>
      </c>
      <c r="O6563">
        <f>COUNTIFS(F$1:F6563,F6563,A$1:A6563,A6563)</f>
        <v>116</v>
      </c>
      <c r="P6563" t="str">
        <f t="shared" si="308"/>
        <v>Michael Burton14</v>
      </c>
    </row>
    <row r="6564" spans="1:16" x14ac:dyDescent="0.25">
      <c r="A6564">
        <v>16</v>
      </c>
      <c r="B6564" t="s">
        <v>2921</v>
      </c>
      <c r="C6564">
        <f>-0.11-1.05</f>
        <v>-1.1600000000000001</v>
      </c>
      <c r="D6564">
        <v>0.47</v>
      </c>
      <c r="E6564" t="s">
        <v>38</v>
      </c>
      <c r="F6564" t="s">
        <v>87</v>
      </c>
      <c r="G6564">
        <v>1.05</v>
      </c>
      <c r="H6564">
        <v>-0.11</v>
      </c>
      <c r="I6564">
        <v>0.57999999999999996</v>
      </c>
      <c r="J6564">
        <v>0.33639999999999998</v>
      </c>
      <c r="K6564" t="str">
        <f>IFERROR(INDEX(Rosters!$C$2:$C$155,MATCH($B6564,Rosters!$B$2:$B$155,0)),"NA")</f>
        <v>NA</v>
      </c>
      <c r="L6564" t="str">
        <f t="shared" si="306"/>
        <v>NA16WR</v>
      </c>
      <c r="M6564">
        <f>COUNTIF(L$1:L6564,L6564)</f>
        <v>113</v>
      </c>
      <c r="N6564" t="str">
        <f t="shared" si="307"/>
        <v>NA16WR-113</v>
      </c>
      <c r="O6564">
        <f>COUNTIFS(F$1:F6564,F6564,A$1:A6564,A6564)</f>
        <v>167</v>
      </c>
      <c r="P6564" t="str">
        <f t="shared" si="308"/>
        <v>Michael Floyd16</v>
      </c>
    </row>
    <row r="6565" spans="1:16" x14ac:dyDescent="0.25">
      <c r="A6565">
        <v>11</v>
      </c>
      <c r="B6565" t="s">
        <v>4690</v>
      </c>
      <c r="C6565" t="s">
        <v>375</v>
      </c>
      <c r="D6565">
        <v>0.47</v>
      </c>
      <c r="E6565" t="s">
        <v>72</v>
      </c>
      <c r="F6565" t="s">
        <v>47</v>
      </c>
      <c r="G6565">
        <v>0.94</v>
      </c>
      <c r="H6565">
        <v>0</v>
      </c>
      <c r="I6565">
        <v>0.47</v>
      </c>
      <c r="J6565">
        <v>0.22090000000000001</v>
      </c>
      <c r="K6565" t="str">
        <f>IFERROR(INDEX(Rosters!$C$2:$C$155,MATCH($B6565,Rosters!$B$2:$B$155,0)),"NA")</f>
        <v>NA</v>
      </c>
      <c r="L6565" t="str">
        <f t="shared" si="306"/>
        <v>NA11RB</v>
      </c>
      <c r="M6565">
        <f>COUNTIF(L$1:L6565,L6565)</f>
        <v>63</v>
      </c>
      <c r="N6565" t="str">
        <f t="shared" si="307"/>
        <v>NA11RB-63</v>
      </c>
      <c r="O6565">
        <f>COUNTIFS(F$1:F6565,F6565,A$1:A6565,A6565)</f>
        <v>101</v>
      </c>
      <c r="P6565" t="str">
        <f t="shared" si="308"/>
        <v>Mike Boone11</v>
      </c>
    </row>
    <row r="6566" spans="1:16" x14ac:dyDescent="0.25">
      <c r="A6566">
        <v>15</v>
      </c>
      <c r="B6566" t="s">
        <v>8855</v>
      </c>
      <c r="C6566" t="s">
        <v>1619</v>
      </c>
      <c r="D6566">
        <v>0.47</v>
      </c>
      <c r="E6566" t="s">
        <v>22</v>
      </c>
      <c r="F6566" t="s">
        <v>114</v>
      </c>
      <c r="G6566">
        <v>0.93</v>
      </c>
      <c r="H6566">
        <v>0.01</v>
      </c>
      <c r="I6566">
        <v>0.46</v>
      </c>
      <c r="J6566">
        <v>0.21160000000000001</v>
      </c>
      <c r="K6566" t="str">
        <f>IFERROR(INDEX(Rosters!$C$2:$C$155,MATCH($B6566,Rosters!$B$2:$B$155,0)),"NA")</f>
        <v>NA</v>
      </c>
      <c r="L6566" t="str">
        <f t="shared" si="306"/>
        <v>NA15TE</v>
      </c>
      <c r="M6566">
        <f>COUNTIF(L$1:L6566,L6566)</f>
        <v>74</v>
      </c>
      <c r="N6566" t="str">
        <f t="shared" si="307"/>
        <v>NA15TE-74</v>
      </c>
      <c r="O6566">
        <f>COUNTIFS(F$1:F6566,F6566,A$1:A6566,A6566)</f>
        <v>88</v>
      </c>
      <c r="P6566" t="str">
        <f t="shared" si="308"/>
        <v>Mo Alie-Cox15</v>
      </c>
    </row>
    <row r="6567" spans="1:16" x14ac:dyDescent="0.25">
      <c r="A6567">
        <v>14</v>
      </c>
      <c r="B6567" t="s">
        <v>1584</v>
      </c>
      <c r="C6567">
        <f>-0.11-1.05</f>
        <v>-1.1600000000000001</v>
      </c>
      <c r="D6567">
        <v>0.47</v>
      </c>
      <c r="E6567" t="s">
        <v>76</v>
      </c>
      <c r="F6567" t="s">
        <v>114</v>
      </c>
      <c r="G6567">
        <v>1.05</v>
      </c>
      <c r="H6567">
        <v>-0.11</v>
      </c>
      <c r="I6567">
        <v>0.57999999999999996</v>
      </c>
      <c r="J6567">
        <v>0.33639999999999998</v>
      </c>
      <c r="K6567" t="str">
        <f>IFERROR(INDEX(Rosters!$C$2:$C$155,MATCH($B6567,Rosters!$B$2:$B$155,0)),"NA")</f>
        <v>NA</v>
      </c>
      <c r="L6567" t="str">
        <f t="shared" si="306"/>
        <v>NA14TE</v>
      </c>
      <c r="M6567">
        <f>COUNTIF(L$1:L6567,L6567)</f>
        <v>78</v>
      </c>
      <c r="N6567" t="str">
        <f t="shared" si="307"/>
        <v>NA14TE-78</v>
      </c>
      <c r="O6567">
        <f>COUNTIFS(F$1:F6567,F6567,A$1:A6567,A6567)</f>
        <v>92</v>
      </c>
      <c r="P6567" t="str">
        <f t="shared" si="308"/>
        <v>MyCole Pruitt14</v>
      </c>
    </row>
    <row r="6568" spans="1:16" x14ac:dyDescent="0.25">
      <c r="A6568">
        <v>14</v>
      </c>
      <c r="B6568" t="s">
        <v>1570</v>
      </c>
      <c r="C6568" t="s">
        <v>3876</v>
      </c>
      <c r="D6568">
        <v>0.47</v>
      </c>
      <c r="E6568" t="s">
        <v>73</v>
      </c>
      <c r="F6568" t="s">
        <v>15</v>
      </c>
      <c r="G6568">
        <v>0.89</v>
      </c>
      <c r="H6568">
        <v>0.05</v>
      </c>
      <c r="I6568">
        <v>0.42</v>
      </c>
      <c r="J6568">
        <v>0.1764</v>
      </c>
      <c r="K6568" t="str">
        <f>IFERROR(INDEX(Rosters!$C$2:$C$155,MATCH($B6568,Rosters!$B$2:$B$155,0)),"NA")</f>
        <v>NA</v>
      </c>
      <c r="L6568" t="str">
        <f t="shared" si="306"/>
        <v>NA14QB</v>
      </c>
      <c r="M6568">
        <f>COUNTIF(L$1:L6568,L6568)</f>
        <v>40</v>
      </c>
      <c r="N6568" t="str">
        <f t="shared" si="307"/>
        <v>NA14QB-40</v>
      </c>
      <c r="O6568">
        <f>COUNTIFS(F$1:F6568,F6568,A$1:A6568,A6568)</f>
        <v>57</v>
      </c>
      <c r="P6568" t="str">
        <f t="shared" si="308"/>
        <v>Nathan Peterman14</v>
      </c>
    </row>
    <row r="6569" spans="1:16" x14ac:dyDescent="0.25">
      <c r="A6569">
        <v>6</v>
      </c>
      <c r="B6569" t="s">
        <v>3374</v>
      </c>
      <c r="C6569">
        <f>-0.02-0.96</f>
        <v>-0.98</v>
      </c>
      <c r="D6569">
        <v>0.47</v>
      </c>
      <c r="E6569" t="s">
        <v>38</v>
      </c>
      <c r="F6569" t="s">
        <v>47</v>
      </c>
      <c r="G6569">
        <v>0.96</v>
      </c>
      <c r="H6569">
        <v>-0.02</v>
      </c>
      <c r="I6569">
        <v>0.49</v>
      </c>
      <c r="J6569">
        <v>0.24010000000000001</v>
      </c>
      <c r="K6569" t="str">
        <f>IFERROR(INDEX(Rosters!$C$2:$C$155,MATCH($B6569,Rosters!$B$2:$B$155,0)),"NA")</f>
        <v>NA</v>
      </c>
      <c r="L6569" t="str">
        <f t="shared" si="306"/>
        <v>NA6RB</v>
      </c>
      <c r="M6569">
        <f>COUNTIF(L$1:L6569,L6569)</f>
        <v>64</v>
      </c>
      <c r="N6569" t="str">
        <f t="shared" si="307"/>
        <v>NA6RB-64</v>
      </c>
      <c r="O6569">
        <f>COUNTIFS(F$1:F6569,F6569,A$1:A6569,A6569)</f>
        <v>106</v>
      </c>
      <c r="P6569" t="str">
        <f t="shared" si="308"/>
        <v>Patrick Ricard6</v>
      </c>
    </row>
    <row r="6570" spans="1:16" x14ac:dyDescent="0.25">
      <c r="A6570">
        <v>17</v>
      </c>
      <c r="B6570" t="s">
        <v>295</v>
      </c>
      <c r="C6570" t="s">
        <v>375</v>
      </c>
      <c r="D6570">
        <v>0.47</v>
      </c>
      <c r="E6570" t="s">
        <v>60</v>
      </c>
      <c r="F6570" t="s">
        <v>114</v>
      </c>
      <c r="G6570">
        <v>0.94</v>
      </c>
      <c r="H6570">
        <v>0</v>
      </c>
      <c r="I6570">
        <v>0.47</v>
      </c>
      <c r="J6570">
        <v>0.22090000000000001</v>
      </c>
      <c r="K6570" t="str">
        <f>IFERROR(INDEX(Rosters!$C$2:$C$155,MATCH($B6570,Rosters!$B$2:$B$155,0)),"NA")</f>
        <v>NA</v>
      </c>
      <c r="L6570" t="str">
        <f t="shared" si="306"/>
        <v>NA17TE</v>
      </c>
      <c r="M6570">
        <f>COUNTIF(L$1:L6570,L6570)</f>
        <v>76</v>
      </c>
      <c r="N6570" t="str">
        <f t="shared" si="307"/>
        <v>NA17TE-76</v>
      </c>
      <c r="O6570">
        <f>COUNTIFS(F$1:F6570,F6570,A$1:A6570,A6570)</f>
        <v>90</v>
      </c>
      <c r="P6570" t="str">
        <f t="shared" si="308"/>
        <v>Richard Rodgers17</v>
      </c>
    </row>
    <row r="6571" spans="1:16" x14ac:dyDescent="0.25">
      <c r="A6571">
        <v>6</v>
      </c>
      <c r="B6571" t="s">
        <v>8803</v>
      </c>
      <c r="C6571" t="s">
        <v>1619</v>
      </c>
      <c r="D6571">
        <v>0.47</v>
      </c>
      <c r="E6571" t="s">
        <v>58</v>
      </c>
      <c r="F6571" t="s">
        <v>47</v>
      </c>
      <c r="G6571">
        <v>0.93</v>
      </c>
      <c r="H6571">
        <v>0.01</v>
      </c>
      <c r="I6571">
        <v>0.46</v>
      </c>
      <c r="J6571">
        <v>0.21160000000000001</v>
      </c>
      <c r="K6571" t="str">
        <f>IFERROR(INDEX(Rosters!$C$2:$C$155,MATCH($B6571,Rosters!$B$2:$B$155,0)),"NA")</f>
        <v>NA</v>
      </c>
      <c r="L6571" t="str">
        <f t="shared" si="306"/>
        <v>NA6RB</v>
      </c>
      <c r="M6571">
        <f>COUNTIF(L$1:L6571,L6571)</f>
        <v>65</v>
      </c>
      <c r="N6571" t="str">
        <f t="shared" si="307"/>
        <v>NA6RB-65</v>
      </c>
      <c r="O6571">
        <f>COUNTIFS(F$1:F6571,F6571,A$1:A6571,A6571)</f>
        <v>107</v>
      </c>
      <c r="P6571" t="str">
        <f t="shared" si="308"/>
        <v>Roc Thomas6</v>
      </c>
    </row>
    <row r="6572" spans="1:16" x14ac:dyDescent="0.25">
      <c r="A6572">
        <v>5</v>
      </c>
      <c r="B6572" t="s">
        <v>3845</v>
      </c>
      <c r="C6572">
        <f>-0.05-0.99</f>
        <v>-1.04</v>
      </c>
      <c r="D6572">
        <v>0.47</v>
      </c>
      <c r="E6572" t="s">
        <v>77</v>
      </c>
      <c r="F6572" t="s">
        <v>87</v>
      </c>
      <c r="G6572">
        <v>0.99</v>
      </c>
      <c r="H6572">
        <v>-0.05</v>
      </c>
      <c r="I6572">
        <v>0.52</v>
      </c>
      <c r="J6572">
        <v>0.27039999999999997</v>
      </c>
      <c r="K6572" t="str">
        <f>IFERROR(INDEX(Rosters!$C$2:$C$155,MATCH($B6572,Rosters!$B$2:$B$155,0)),"NA")</f>
        <v>NA</v>
      </c>
      <c r="L6572" t="str">
        <f t="shared" si="306"/>
        <v>NA5WR</v>
      </c>
      <c r="M6572">
        <f>COUNTIF(L$1:L6572,L6572)</f>
        <v>101</v>
      </c>
      <c r="N6572" t="str">
        <f t="shared" si="307"/>
        <v>NA5WR-101</v>
      </c>
      <c r="O6572">
        <f>COUNTIFS(F$1:F6572,F6572,A$1:A6572,A6572)</f>
        <v>151</v>
      </c>
      <c r="P6572" t="str">
        <f t="shared" si="308"/>
        <v>Rod Streater5</v>
      </c>
    </row>
    <row r="6573" spans="1:16" x14ac:dyDescent="0.25">
      <c r="A6573">
        <v>7</v>
      </c>
      <c r="B6573" t="s">
        <v>4254</v>
      </c>
      <c r="C6573">
        <f>-0.02-0.96</f>
        <v>-0.98</v>
      </c>
      <c r="D6573">
        <v>0.47</v>
      </c>
      <c r="E6573" t="s">
        <v>42</v>
      </c>
      <c r="F6573" t="s">
        <v>47</v>
      </c>
      <c r="G6573">
        <v>0.96</v>
      </c>
      <c r="H6573">
        <v>-0.02</v>
      </c>
      <c r="I6573">
        <v>0.49</v>
      </c>
      <c r="J6573">
        <v>0.24010000000000001</v>
      </c>
      <c r="K6573" t="str">
        <f>IFERROR(INDEX(Rosters!$C$2:$C$155,MATCH($B6573,Rosters!$B$2:$B$155,0)),"NA")</f>
        <v>NA</v>
      </c>
      <c r="L6573" t="str">
        <f t="shared" si="306"/>
        <v>NA7RB</v>
      </c>
      <c r="M6573">
        <f>COUNTIF(L$1:L6573,L6573)</f>
        <v>61</v>
      </c>
      <c r="N6573" t="str">
        <f t="shared" si="307"/>
        <v>NA7RB-61</v>
      </c>
      <c r="O6573">
        <f>COUNTIFS(F$1:F6573,F6573,A$1:A6573,A6573)</f>
        <v>102</v>
      </c>
      <c r="P6573" t="str">
        <f t="shared" si="308"/>
        <v>T.J. Logan7</v>
      </c>
    </row>
    <row r="6574" spans="1:16" x14ac:dyDescent="0.25">
      <c r="A6574">
        <v>6</v>
      </c>
      <c r="B6574" t="s">
        <v>4258</v>
      </c>
      <c r="C6574">
        <f>-0.03-0.97</f>
        <v>-1</v>
      </c>
      <c r="D6574">
        <v>0.47</v>
      </c>
      <c r="E6574" t="s">
        <v>56</v>
      </c>
      <c r="F6574" t="s">
        <v>87</v>
      </c>
      <c r="G6574">
        <v>0.97</v>
      </c>
      <c r="H6574">
        <v>-0.03</v>
      </c>
      <c r="I6574">
        <v>0.5</v>
      </c>
      <c r="J6574" s="66">
        <v>0.25</v>
      </c>
      <c r="K6574" t="str">
        <f>IFERROR(INDEX(Rosters!$C$2:$C$155,MATCH($B6574,Rosters!$B$2:$B$155,0)),"NA")</f>
        <v>NA</v>
      </c>
      <c r="L6574" t="str">
        <f t="shared" si="306"/>
        <v>NA6WR</v>
      </c>
      <c r="M6574">
        <f>COUNTIF(L$1:L6574,L6574)</f>
        <v>105</v>
      </c>
      <c r="N6574" t="str">
        <f t="shared" si="307"/>
        <v>NA6WR-105</v>
      </c>
      <c r="O6574">
        <f>COUNTIFS(F$1:F6574,F6574,A$1:A6574,A6574)</f>
        <v>155</v>
      </c>
      <c r="P6574" t="str">
        <f t="shared" si="308"/>
        <v>Tim Patrick6</v>
      </c>
    </row>
    <row r="6575" spans="1:16" x14ac:dyDescent="0.25">
      <c r="A6575">
        <v>6</v>
      </c>
      <c r="B6575" t="s">
        <v>1600</v>
      </c>
      <c r="C6575">
        <f>-0.11-1.05</f>
        <v>-1.1600000000000001</v>
      </c>
      <c r="D6575">
        <v>0.47</v>
      </c>
      <c r="E6575" t="s">
        <v>22</v>
      </c>
      <c r="F6575" t="s">
        <v>47</v>
      </c>
      <c r="G6575">
        <v>1.05</v>
      </c>
      <c r="H6575">
        <v>-0.11</v>
      </c>
      <c r="I6575">
        <v>0.57999999999999996</v>
      </c>
      <c r="J6575" s="66">
        <v>0.33639999999999998</v>
      </c>
      <c r="K6575" t="str">
        <f>IFERROR(INDEX(Rosters!$C$2:$C$155,MATCH($B6575,Rosters!$B$2:$B$155,0)),"NA")</f>
        <v>NA</v>
      </c>
      <c r="L6575" t="str">
        <f t="shared" si="306"/>
        <v>NA6RB</v>
      </c>
      <c r="M6575">
        <f>COUNTIF(L$1:L6575,L6575)</f>
        <v>66</v>
      </c>
      <c r="N6575" t="str">
        <f t="shared" si="307"/>
        <v>NA6RB-66</v>
      </c>
      <c r="O6575">
        <f>COUNTIFS(F$1:F6575,F6575,A$1:A6575,A6575)</f>
        <v>108</v>
      </c>
      <c r="P6575" t="str">
        <f t="shared" si="308"/>
        <v>Tommy Bohanon6</v>
      </c>
    </row>
    <row r="6576" spans="1:16" x14ac:dyDescent="0.25">
      <c r="A6576">
        <v>10</v>
      </c>
      <c r="B6576" t="s">
        <v>1600</v>
      </c>
      <c r="C6576">
        <f>-0.11-1.05</f>
        <v>-1.1600000000000001</v>
      </c>
      <c r="D6576">
        <v>0.47</v>
      </c>
      <c r="E6576" t="s">
        <v>66</v>
      </c>
      <c r="F6576" t="s">
        <v>47</v>
      </c>
      <c r="G6576">
        <v>1.05</v>
      </c>
      <c r="H6576">
        <v>-0.11</v>
      </c>
      <c r="I6576">
        <v>0.57999999999999996</v>
      </c>
      <c r="J6576" s="66">
        <v>0.33639999999999998</v>
      </c>
      <c r="K6576" t="str">
        <f>IFERROR(INDEX(Rosters!$C$2:$C$155,MATCH($B6576,Rosters!$B$2:$B$155,0)),"NA")</f>
        <v>NA</v>
      </c>
      <c r="L6576" t="str">
        <f t="shared" si="306"/>
        <v>NA10RB</v>
      </c>
      <c r="M6576">
        <f>COUNTIF(L$1:L6576,L6576)</f>
        <v>62</v>
      </c>
      <c r="N6576" t="str">
        <f t="shared" si="307"/>
        <v>NA10RB-62</v>
      </c>
      <c r="O6576">
        <f>COUNTIFS(F$1:F6576,F6576,A$1:A6576,A6576)</f>
        <v>101</v>
      </c>
      <c r="P6576" t="str">
        <f t="shared" si="308"/>
        <v>Tommy Bohanon10</v>
      </c>
    </row>
    <row r="6577" spans="1:16" x14ac:dyDescent="0.25">
      <c r="A6577">
        <v>9</v>
      </c>
      <c r="B6577" t="s">
        <v>4223</v>
      </c>
      <c r="C6577">
        <f>-0.04-0.98</f>
        <v>-1.02</v>
      </c>
      <c r="D6577">
        <v>0.47</v>
      </c>
      <c r="E6577" t="s">
        <v>19</v>
      </c>
      <c r="F6577" t="s">
        <v>47</v>
      </c>
      <c r="G6577">
        <v>0.98</v>
      </c>
      <c r="H6577">
        <v>-0.04</v>
      </c>
      <c r="I6577">
        <v>0.51</v>
      </c>
      <c r="J6577" s="66">
        <v>0.2601</v>
      </c>
      <c r="K6577" t="str">
        <f>IFERROR(INDEX(Rosters!$C$2:$C$155,MATCH($B6577,Rosters!$B$2:$B$155,0)),"NA")</f>
        <v>NA</v>
      </c>
      <c r="L6577" t="str">
        <f t="shared" si="306"/>
        <v>NA9RB</v>
      </c>
      <c r="M6577">
        <f>COUNTIF(L$1:L6577,L6577)</f>
        <v>57</v>
      </c>
      <c r="N6577" t="str">
        <f t="shared" si="307"/>
        <v>NA9RB-57</v>
      </c>
      <c r="O6577">
        <f>COUNTIFS(F$1:F6577,F6577,A$1:A6577,A6577)</f>
        <v>97</v>
      </c>
      <c r="P6577" t="str">
        <f t="shared" si="308"/>
        <v>Trenton Cannon9</v>
      </c>
    </row>
    <row r="6578" spans="1:16" x14ac:dyDescent="0.25">
      <c r="A6578">
        <v>9</v>
      </c>
      <c r="B6578" t="s">
        <v>1488</v>
      </c>
      <c r="C6578">
        <f>-0.07-0.99</f>
        <v>-1.06</v>
      </c>
      <c r="D6578">
        <v>0.46</v>
      </c>
      <c r="E6578" t="s">
        <v>29</v>
      </c>
      <c r="F6578" t="s">
        <v>114</v>
      </c>
      <c r="G6578">
        <v>0.99</v>
      </c>
      <c r="H6578">
        <v>-7.0000000000000007E-2</v>
      </c>
      <c r="I6578">
        <v>0.53</v>
      </c>
      <c r="J6578" s="66">
        <v>0.28089999999999998</v>
      </c>
      <c r="K6578" t="str">
        <f>IFERROR(INDEX(Rosters!$C$2:$C$155,MATCH($B6578,Rosters!$B$2:$B$155,0)),"NA")</f>
        <v>NA</v>
      </c>
      <c r="L6578" t="str">
        <f t="shared" si="306"/>
        <v>NA9TE</v>
      </c>
      <c r="M6578">
        <f>COUNTIF(L$1:L6578,L6578)</f>
        <v>61</v>
      </c>
      <c r="N6578" t="str">
        <f t="shared" si="307"/>
        <v>NA9TE-61</v>
      </c>
      <c r="O6578">
        <f>COUNTIFS(F$1:F6578,F6578,A$1:A6578,A6578)</f>
        <v>72</v>
      </c>
      <c r="P6578" t="str">
        <f t="shared" si="308"/>
        <v>Adam Shaheen9</v>
      </c>
    </row>
    <row r="6579" spans="1:16" x14ac:dyDescent="0.25">
      <c r="A6579">
        <v>6</v>
      </c>
      <c r="B6579" t="s">
        <v>276</v>
      </c>
      <c r="C6579">
        <f>-0.1-1.02</f>
        <v>-1.1200000000000001</v>
      </c>
      <c r="D6579">
        <v>0.46</v>
      </c>
      <c r="E6579" t="s">
        <v>36</v>
      </c>
      <c r="F6579" t="s">
        <v>87</v>
      </c>
      <c r="G6579">
        <v>1.02</v>
      </c>
      <c r="H6579">
        <v>-0.1</v>
      </c>
      <c r="I6579">
        <v>0.56000000000000005</v>
      </c>
      <c r="J6579" s="66">
        <v>0.31359999999999999</v>
      </c>
      <c r="K6579" t="str">
        <f>IFERROR(INDEX(Rosters!$C$2:$C$155,MATCH($B6579,Rosters!$B$2:$B$155,0)),"NA")</f>
        <v>NA</v>
      </c>
      <c r="L6579" t="str">
        <f t="shared" si="306"/>
        <v>NA6WR</v>
      </c>
      <c r="M6579">
        <f>COUNTIF(L$1:L6579,L6579)</f>
        <v>106</v>
      </c>
      <c r="N6579" t="str">
        <f t="shared" si="307"/>
        <v>NA6WR-106</v>
      </c>
      <c r="O6579">
        <f>COUNTIFS(F$1:F6579,F6579,A$1:A6579,A6579)</f>
        <v>156</v>
      </c>
      <c r="P6579" t="str">
        <f t="shared" si="308"/>
        <v>Andre Holmes6</v>
      </c>
    </row>
    <row r="6580" spans="1:16" x14ac:dyDescent="0.25">
      <c r="A6580">
        <v>14</v>
      </c>
      <c r="B6580" t="s">
        <v>293</v>
      </c>
      <c r="C6580">
        <f>-0.16-1.08</f>
        <v>-1.24</v>
      </c>
      <c r="D6580">
        <v>0.46</v>
      </c>
      <c r="E6580" t="s">
        <v>56</v>
      </c>
      <c r="F6580" t="s">
        <v>47</v>
      </c>
      <c r="G6580">
        <v>1.08</v>
      </c>
      <c r="H6580">
        <v>-0.16</v>
      </c>
      <c r="I6580">
        <v>0.62</v>
      </c>
      <c r="J6580" s="66">
        <v>0.38440000000000002</v>
      </c>
      <c r="K6580" t="str">
        <f>IFERROR(INDEX(Rosters!$C$2:$C$155,MATCH($B6580,Rosters!$B$2:$B$155,0)),"NA")</f>
        <v>NA</v>
      </c>
      <c r="L6580" t="str">
        <f t="shared" si="306"/>
        <v>NA14RB</v>
      </c>
      <c r="M6580">
        <f>COUNTIF(L$1:L6580,L6580)</f>
        <v>70</v>
      </c>
      <c r="N6580" t="str">
        <f t="shared" si="307"/>
        <v>NA14RB-70</v>
      </c>
      <c r="O6580">
        <f>COUNTIFS(F$1:F6580,F6580,A$1:A6580,A6580)</f>
        <v>117</v>
      </c>
      <c r="P6580" t="str">
        <f t="shared" si="308"/>
        <v>Benny Cunningham14</v>
      </c>
    </row>
    <row r="6581" spans="1:16" x14ac:dyDescent="0.25">
      <c r="A6581">
        <v>4</v>
      </c>
      <c r="B6581" t="s">
        <v>3569</v>
      </c>
      <c r="C6581" t="s">
        <v>3197</v>
      </c>
      <c r="D6581">
        <v>0.46</v>
      </c>
      <c r="E6581" t="s">
        <v>73</v>
      </c>
      <c r="F6581" t="s">
        <v>47</v>
      </c>
      <c r="G6581">
        <v>0.9</v>
      </c>
      <c r="H6581">
        <v>0.02</v>
      </c>
      <c r="I6581">
        <v>0.44</v>
      </c>
      <c r="J6581" s="66">
        <v>0.19359999999999999</v>
      </c>
      <c r="K6581" t="str">
        <f>IFERROR(INDEX(Rosters!$C$2:$C$155,MATCH($B6581,Rosters!$B$2:$B$155,0)),"NA")</f>
        <v>NA</v>
      </c>
      <c r="L6581" t="str">
        <f t="shared" si="306"/>
        <v>NA4RB</v>
      </c>
      <c r="M6581">
        <f>COUNTIF(L$1:L6581,L6581)</f>
        <v>54</v>
      </c>
      <c r="N6581" t="str">
        <f t="shared" si="307"/>
        <v>NA4RB-54</v>
      </c>
      <c r="O6581">
        <f>COUNTIFS(F$1:F6581,F6581,A$1:A6581,A6581)</f>
        <v>93</v>
      </c>
      <c r="P6581" t="str">
        <f t="shared" si="308"/>
        <v>Brandon Wilds4</v>
      </c>
    </row>
    <row r="6582" spans="1:16" x14ac:dyDescent="0.25">
      <c r="A6582">
        <v>7</v>
      </c>
      <c r="B6582" t="s">
        <v>8901</v>
      </c>
      <c r="C6582">
        <f>-0.09-1.01</f>
        <v>-1.1000000000000001</v>
      </c>
      <c r="D6582">
        <v>0.46</v>
      </c>
      <c r="E6582" t="s">
        <v>58</v>
      </c>
      <c r="F6582" t="s">
        <v>114</v>
      </c>
      <c r="G6582">
        <v>1.01</v>
      </c>
      <c r="H6582">
        <v>-0.09</v>
      </c>
      <c r="I6582">
        <v>0.55000000000000004</v>
      </c>
      <c r="J6582" s="66">
        <v>0.30249999999999999</v>
      </c>
      <c r="K6582" t="str">
        <f>IFERROR(INDEX(Rosters!$C$2:$C$155,MATCH($B6582,Rosters!$B$2:$B$155,0)),"NA")</f>
        <v>NA</v>
      </c>
      <c r="L6582" t="str">
        <f t="shared" si="306"/>
        <v>NA7TE</v>
      </c>
      <c r="M6582">
        <f>COUNTIF(L$1:L6582,L6582)</f>
        <v>69</v>
      </c>
      <c r="N6582" t="str">
        <f t="shared" si="307"/>
        <v>NA7TE-69</v>
      </c>
      <c r="O6582">
        <f>COUNTIFS(F$1:F6582,F6582,A$1:A6582,A6582)</f>
        <v>79</v>
      </c>
      <c r="P6582" t="str">
        <f t="shared" si="308"/>
        <v>Brian Parker7</v>
      </c>
    </row>
    <row r="6583" spans="1:16" x14ac:dyDescent="0.25">
      <c r="A6583">
        <v>11</v>
      </c>
      <c r="B6583" t="s">
        <v>1549</v>
      </c>
      <c r="C6583">
        <f>-0.14-1.06</f>
        <v>-1.2000000000000002</v>
      </c>
      <c r="D6583">
        <v>0.46</v>
      </c>
      <c r="E6583" t="s">
        <v>72</v>
      </c>
      <c r="F6583" t="s">
        <v>47</v>
      </c>
      <c r="G6583">
        <v>1.06</v>
      </c>
      <c r="H6583">
        <v>-0.14000000000000001</v>
      </c>
      <c r="I6583">
        <v>0.6</v>
      </c>
      <c r="J6583" s="66">
        <v>0.36</v>
      </c>
      <c r="K6583" t="str">
        <f>IFERROR(INDEX(Rosters!$C$2:$C$155,MATCH($B6583,Rosters!$B$2:$B$155,0)),"NA")</f>
        <v>NA</v>
      </c>
      <c r="L6583" t="str">
        <f t="shared" si="306"/>
        <v>NA11RB</v>
      </c>
      <c r="M6583">
        <f>COUNTIF(L$1:L6583,L6583)</f>
        <v>64</v>
      </c>
      <c r="N6583" t="str">
        <f t="shared" si="307"/>
        <v>NA11RB-64</v>
      </c>
      <c r="O6583">
        <f>COUNTIFS(F$1:F6583,F6583,A$1:A6583,A6583)</f>
        <v>102</v>
      </c>
      <c r="P6583" t="str">
        <f t="shared" si="308"/>
        <v>C.J. Ham11</v>
      </c>
    </row>
    <row r="6584" spans="1:16" x14ac:dyDescent="0.25">
      <c r="A6584">
        <v>1</v>
      </c>
      <c r="B6584" t="s">
        <v>311</v>
      </c>
      <c r="C6584">
        <f>-0.01-0.93</f>
        <v>-0.94000000000000006</v>
      </c>
      <c r="D6584">
        <v>0.46</v>
      </c>
      <c r="E6584" t="s">
        <v>37</v>
      </c>
      <c r="F6584" t="s">
        <v>15</v>
      </c>
      <c r="G6584">
        <v>0.93</v>
      </c>
      <c r="H6584">
        <v>-0.01</v>
      </c>
      <c r="I6584">
        <v>0.47</v>
      </c>
      <c r="J6584" s="66">
        <v>0.22090000000000001</v>
      </c>
      <c r="K6584" t="str">
        <f>IFERROR(INDEX(Rosters!$C$2:$C$155,MATCH($B6584,Rosters!$B$2:$B$155,0)),"NA")</f>
        <v>NA</v>
      </c>
      <c r="L6584" t="str">
        <f t="shared" si="306"/>
        <v>NA1QB</v>
      </c>
      <c r="M6584">
        <f>COUNTIF(L$1:L6584,L6584)</f>
        <v>33</v>
      </c>
      <c r="N6584" t="str">
        <f t="shared" si="307"/>
        <v>NA1QB-33</v>
      </c>
      <c r="O6584">
        <f>COUNTIFS(F$1:F6584,F6584,A$1:A6584,A6584)</f>
        <v>49</v>
      </c>
      <c r="P6584" t="str">
        <f t="shared" si="308"/>
        <v>Chad Henne1</v>
      </c>
    </row>
    <row r="6585" spans="1:16" x14ac:dyDescent="0.25">
      <c r="A6585">
        <v>16</v>
      </c>
      <c r="B6585" t="s">
        <v>311</v>
      </c>
      <c r="C6585">
        <f>-0.07-0.99</f>
        <v>-1.06</v>
      </c>
      <c r="D6585">
        <v>0.46</v>
      </c>
      <c r="E6585" t="s">
        <v>28</v>
      </c>
      <c r="F6585" t="s">
        <v>15</v>
      </c>
      <c r="G6585">
        <v>0.99</v>
      </c>
      <c r="H6585">
        <v>-7.0000000000000007E-2</v>
      </c>
      <c r="I6585">
        <v>0.53</v>
      </c>
      <c r="J6585" s="66">
        <v>0.28089999999999998</v>
      </c>
      <c r="K6585" t="str">
        <f>IFERROR(INDEX(Rosters!$C$2:$C$155,MATCH($B6585,Rosters!$B$2:$B$155,0)),"NA")</f>
        <v>NA</v>
      </c>
      <c r="L6585" t="str">
        <f t="shared" si="306"/>
        <v>NA16QB</v>
      </c>
      <c r="M6585">
        <f>COUNTIF(L$1:L6585,L6585)</f>
        <v>40</v>
      </c>
      <c r="N6585" t="str">
        <f t="shared" si="307"/>
        <v>NA16QB-40</v>
      </c>
      <c r="O6585">
        <f>COUNTIFS(F$1:F6585,F6585,A$1:A6585,A6585)</f>
        <v>57</v>
      </c>
      <c r="P6585" t="str">
        <f t="shared" si="308"/>
        <v>Chad Henne16</v>
      </c>
    </row>
    <row r="6586" spans="1:16" x14ac:dyDescent="0.25">
      <c r="A6586">
        <v>1</v>
      </c>
      <c r="B6586" t="s">
        <v>744</v>
      </c>
      <c r="C6586" t="s">
        <v>377</v>
      </c>
      <c r="D6586">
        <v>0.46</v>
      </c>
      <c r="E6586" t="s">
        <v>54</v>
      </c>
      <c r="F6586" t="s">
        <v>15</v>
      </c>
      <c r="G6586">
        <v>0.92</v>
      </c>
      <c r="H6586">
        <v>0</v>
      </c>
      <c r="I6586">
        <v>0.46</v>
      </c>
      <c r="J6586" s="66">
        <v>0.21160000000000001</v>
      </c>
      <c r="K6586" t="str">
        <f>IFERROR(INDEX(Rosters!$C$2:$C$155,MATCH($B6586,Rosters!$B$2:$B$155,0)),"NA")</f>
        <v>NA</v>
      </c>
      <c r="L6586" t="str">
        <f t="shared" si="306"/>
        <v>NA1QB</v>
      </c>
      <c r="M6586">
        <f>COUNTIF(L$1:L6586,L6586)</f>
        <v>34</v>
      </c>
      <c r="N6586" t="str">
        <f t="shared" si="307"/>
        <v>NA1QB-34</v>
      </c>
      <c r="O6586">
        <f>COUNTIFS(F$1:F6586,F6586,A$1:A6586,A6586)</f>
        <v>50</v>
      </c>
      <c r="P6586" t="str">
        <f t="shared" si="308"/>
        <v>Cody Kessler1</v>
      </c>
    </row>
    <row r="6587" spans="1:16" x14ac:dyDescent="0.25">
      <c r="A6587">
        <v>1</v>
      </c>
      <c r="B6587" t="s">
        <v>1562</v>
      </c>
      <c r="C6587">
        <f>-0.21-1.13</f>
        <v>-1.3399999999999999</v>
      </c>
      <c r="D6587">
        <v>0.46</v>
      </c>
      <c r="E6587" t="s">
        <v>25</v>
      </c>
      <c r="F6587" t="s">
        <v>114</v>
      </c>
      <c r="G6587">
        <v>1.1299999999999999</v>
      </c>
      <c r="H6587">
        <v>-0.21</v>
      </c>
      <c r="I6587">
        <v>0.67</v>
      </c>
      <c r="J6587" s="66">
        <v>0.44890000000000002</v>
      </c>
      <c r="K6587" t="str">
        <f>IFERROR(INDEX(Rosters!$C$2:$C$155,MATCH($B6587,Rosters!$B$2:$B$155,0)),"NA")</f>
        <v>NA</v>
      </c>
      <c r="L6587" t="str">
        <f t="shared" si="306"/>
        <v>NA1TE</v>
      </c>
      <c r="M6587">
        <f>COUNTIF(L$1:L6587,L6587)</f>
        <v>55</v>
      </c>
      <c r="N6587" t="str">
        <f t="shared" si="307"/>
        <v>NA1TE-55</v>
      </c>
      <c r="O6587">
        <f>COUNTIFS(F$1:F6587,F6587,A$1:A6587,A6587)</f>
        <v>68</v>
      </c>
      <c r="P6587" t="str">
        <f t="shared" si="308"/>
        <v>Cole Wick1</v>
      </c>
    </row>
    <row r="6588" spans="1:16" x14ac:dyDescent="0.25">
      <c r="A6588">
        <v>14</v>
      </c>
      <c r="B6588" t="s">
        <v>1128</v>
      </c>
      <c r="C6588">
        <f>-0.08-1</f>
        <v>-1.08</v>
      </c>
      <c r="D6588">
        <v>0.46</v>
      </c>
      <c r="E6588" t="s">
        <v>52</v>
      </c>
      <c r="F6588" t="s">
        <v>87</v>
      </c>
      <c r="G6588">
        <v>1</v>
      </c>
      <c r="H6588">
        <v>-0.08</v>
      </c>
      <c r="I6588">
        <v>0.54</v>
      </c>
      <c r="J6588" s="66">
        <v>0.29160000000000003</v>
      </c>
      <c r="K6588" t="str">
        <f>IFERROR(INDEX(Rosters!$C$2:$C$155,MATCH($B6588,Rosters!$B$2:$B$155,0)),"NA")</f>
        <v>NA</v>
      </c>
      <c r="L6588" t="str">
        <f t="shared" si="306"/>
        <v>NA14WR</v>
      </c>
      <c r="M6588">
        <f>COUNTIF(L$1:L6588,L6588)</f>
        <v>112</v>
      </c>
      <c r="N6588" t="str">
        <f t="shared" si="307"/>
        <v>NA14WR-112</v>
      </c>
      <c r="O6588">
        <f>COUNTIFS(F$1:F6588,F6588,A$1:A6588,A6588)</f>
        <v>166</v>
      </c>
      <c r="P6588" t="str">
        <f t="shared" si="308"/>
        <v>Damiere Byrd14</v>
      </c>
    </row>
    <row r="6589" spans="1:16" x14ac:dyDescent="0.25">
      <c r="A6589">
        <v>13</v>
      </c>
      <c r="B6589" t="s">
        <v>1115</v>
      </c>
      <c r="C6589">
        <f>-0.07-0.99</f>
        <v>-1.06</v>
      </c>
      <c r="D6589">
        <v>0.46</v>
      </c>
      <c r="E6589" t="s">
        <v>73</v>
      </c>
      <c r="F6589" t="s">
        <v>87</v>
      </c>
      <c r="G6589">
        <v>0.99</v>
      </c>
      <c r="H6589">
        <v>-7.0000000000000007E-2</v>
      </c>
      <c r="I6589">
        <v>0.53</v>
      </c>
      <c r="J6589" s="66">
        <v>0.28089999999999998</v>
      </c>
      <c r="K6589" t="str">
        <f>IFERROR(INDEX(Rosters!$C$2:$C$155,MATCH($B6589,Rosters!$B$2:$B$155,0)),"NA")</f>
        <v>NA</v>
      </c>
      <c r="L6589" t="str">
        <f t="shared" si="306"/>
        <v>NA13WR</v>
      </c>
      <c r="M6589">
        <f>COUNTIF(L$1:L6589,L6589)</f>
        <v>110</v>
      </c>
      <c r="N6589" t="str">
        <f t="shared" si="307"/>
        <v>NA13WR-110</v>
      </c>
      <c r="O6589">
        <f>COUNTIFS(F$1:F6589,F6589,A$1:A6589,A6589)</f>
        <v>164</v>
      </c>
      <c r="P6589" t="str">
        <f t="shared" si="308"/>
        <v>Darius Jennings13</v>
      </c>
    </row>
    <row r="6590" spans="1:16" x14ac:dyDescent="0.25">
      <c r="A6590">
        <v>10</v>
      </c>
      <c r="B6590" t="s">
        <v>4234</v>
      </c>
      <c r="C6590">
        <f>-0.1-1.02</f>
        <v>-1.1200000000000001</v>
      </c>
      <c r="D6590">
        <v>0.46</v>
      </c>
      <c r="E6590" t="s">
        <v>56</v>
      </c>
      <c r="F6590" t="s">
        <v>87</v>
      </c>
      <c r="G6590">
        <v>1.02</v>
      </c>
      <c r="H6590">
        <v>-0.1</v>
      </c>
      <c r="I6590">
        <v>0.56000000000000005</v>
      </c>
      <c r="J6590" s="66">
        <v>0.31359999999999999</v>
      </c>
      <c r="K6590" t="str">
        <f>IFERROR(INDEX(Rosters!$C$2:$C$155,MATCH($B6590,Rosters!$B$2:$B$155,0)),"NA")</f>
        <v>NA</v>
      </c>
      <c r="L6590" t="str">
        <f t="shared" si="306"/>
        <v>NA10WR</v>
      </c>
      <c r="M6590">
        <f>COUNTIF(L$1:L6590,L6590)</f>
        <v>104</v>
      </c>
      <c r="N6590" t="str">
        <f t="shared" si="307"/>
        <v>NA10WR-104</v>
      </c>
      <c r="O6590">
        <f>COUNTIFS(F$1:F6590,F6590,A$1:A6590,A6590)</f>
        <v>149</v>
      </c>
      <c r="P6590" t="str">
        <f t="shared" si="308"/>
        <v>David Moore10</v>
      </c>
    </row>
    <row r="6591" spans="1:16" x14ac:dyDescent="0.25">
      <c r="A6591">
        <v>17</v>
      </c>
      <c r="B6591" t="s">
        <v>8584</v>
      </c>
      <c r="C6591">
        <f>-0.04-0.96</f>
        <v>-1</v>
      </c>
      <c r="D6591">
        <v>0.46</v>
      </c>
      <c r="E6591" t="s">
        <v>52</v>
      </c>
      <c r="F6591" t="s">
        <v>47</v>
      </c>
      <c r="G6591">
        <v>0.96</v>
      </c>
      <c r="H6591">
        <v>-0.04</v>
      </c>
      <c r="I6591">
        <v>0.5</v>
      </c>
      <c r="J6591">
        <v>0.25</v>
      </c>
      <c r="K6591" t="str">
        <f>IFERROR(INDEX(Rosters!$C$2:$C$155,MATCH($B6591,Rosters!$B$2:$B$155,0)),"NA")</f>
        <v>NA</v>
      </c>
      <c r="L6591" t="str">
        <f t="shared" si="306"/>
        <v>NA17RB</v>
      </c>
      <c r="M6591">
        <f>COUNTIF(L$1:L6591,L6591)</f>
        <v>71</v>
      </c>
      <c r="N6591" t="str">
        <f t="shared" si="307"/>
        <v>NA17RB-71</v>
      </c>
      <c r="O6591">
        <f>COUNTIFS(F$1:F6591,F6591,A$1:A6591,A6591)</f>
        <v>118</v>
      </c>
      <c r="P6591" t="str">
        <f t="shared" si="308"/>
        <v>De'Lance Turner17</v>
      </c>
    </row>
    <row r="6592" spans="1:16" x14ac:dyDescent="0.25">
      <c r="A6592">
        <v>10</v>
      </c>
      <c r="B6592" t="s">
        <v>341</v>
      </c>
      <c r="C6592">
        <f>-0.02-0.94</f>
        <v>-0.96</v>
      </c>
      <c r="D6592">
        <v>0.46</v>
      </c>
      <c r="E6592" t="s">
        <v>58</v>
      </c>
      <c r="F6592" t="s">
        <v>87</v>
      </c>
      <c r="G6592">
        <v>0.94</v>
      </c>
      <c r="H6592">
        <v>-0.02</v>
      </c>
      <c r="I6592">
        <v>0.48</v>
      </c>
      <c r="J6592">
        <v>0.23039999999999999</v>
      </c>
      <c r="K6592" t="str">
        <f>IFERROR(INDEX(Rosters!$C$2:$C$155,MATCH($B6592,Rosters!$B$2:$B$155,0)),"NA")</f>
        <v>NA</v>
      </c>
      <c r="L6592" t="str">
        <f t="shared" si="306"/>
        <v>NA10WR</v>
      </c>
      <c r="M6592">
        <f>COUNTIF(L$1:L6592,L6592)</f>
        <v>105</v>
      </c>
      <c r="N6592" t="str">
        <f t="shared" si="307"/>
        <v>NA10WR-105</v>
      </c>
      <c r="O6592">
        <f>COUNTIFS(F$1:F6592,F6592,A$1:A6592,A6592)</f>
        <v>150</v>
      </c>
      <c r="P6592" t="str">
        <f t="shared" si="308"/>
        <v>Demarcus Robinson10</v>
      </c>
    </row>
    <row r="6593" spans="1:16" x14ac:dyDescent="0.25">
      <c r="A6593">
        <v>8</v>
      </c>
      <c r="B6593" t="s">
        <v>8907</v>
      </c>
      <c r="C6593">
        <f>-0.1-1.02</f>
        <v>-1.1200000000000001</v>
      </c>
      <c r="D6593">
        <v>0.46</v>
      </c>
      <c r="E6593" t="s">
        <v>36</v>
      </c>
      <c r="F6593" t="s">
        <v>114</v>
      </c>
      <c r="G6593">
        <v>1.02</v>
      </c>
      <c r="H6593">
        <v>-0.1</v>
      </c>
      <c r="I6593">
        <v>0.56000000000000005</v>
      </c>
      <c r="J6593" s="66">
        <v>0.31359999999999999</v>
      </c>
      <c r="K6593" t="str">
        <f>IFERROR(INDEX(Rosters!$C$2:$C$155,MATCH($B6593,Rosters!$B$2:$B$155,0)),"NA")</f>
        <v>NA</v>
      </c>
      <c r="L6593" t="str">
        <f t="shared" si="306"/>
        <v>NA8TE</v>
      </c>
      <c r="M6593">
        <f>COUNTIF(L$1:L6593,L6593)</f>
        <v>65</v>
      </c>
      <c r="N6593" t="str">
        <f t="shared" si="307"/>
        <v>NA8TE-65</v>
      </c>
      <c r="O6593">
        <f>COUNTIFS(F$1:F6593,F6593,A$1:A6593,A6593)</f>
        <v>77</v>
      </c>
      <c r="P6593" t="str">
        <f t="shared" si="308"/>
        <v>Durham Smythe8</v>
      </c>
    </row>
    <row r="6594" spans="1:16" x14ac:dyDescent="0.25">
      <c r="A6594">
        <v>9</v>
      </c>
      <c r="B6594" t="s">
        <v>1127</v>
      </c>
      <c r="C6594">
        <f>-0.08-1</f>
        <v>-1.08</v>
      </c>
      <c r="D6594">
        <v>0.46</v>
      </c>
      <c r="E6594" t="s">
        <v>30</v>
      </c>
      <c r="F6594" t="s">
        <v>87</v>
      </c>
      <c r="G6594">
        <v>1</v>
      </c>
      <c r="H6594">
        <v>-0.08</v>
      </c>
      <c r="I6594">
        <v>0.54</v>
      </c>
      <c r="J6594" s="66">
        <v>0.29160000000000003</v>
      </c>
      <c r="K6594" t="str">
        <f>IFERROR(INDEX(Rosters!$C$2:$C$155,MATCH($B6594,Rosters!$B$2:$B$155,0)),"NA")</f>
        <v>NA</v>
      </c>
      <c r="L6594" t="str">
        <f t="shared" si="306"/>
        <v>NA9WR</v>
      </c>
      <c r="M6594">
        <f>COUNTIF(L$1:L6594,L6594)</f>
        <v>96</v>
      </c>
      <c r="N6594" t="str">
        <f t="shared" si="307"/>
        <v>NA9WR-96</v>
      </c>
      <c r="O6594">
        <f>COUNTIFS(F$1:F6594,F6594,A$1:A6594,A6594)</f>
        <v>140</v>
      </c>
      <c r="P6594" t="str">
        <f t="shared" si="308"/>
        <v>Dwayne Harris9</v>
      </c>
    </row>
    <row r="6595" spans="1:16" x14ac:dyDescent="0.25">
      <c r="A6595">
        <v>1</v>
      </c>
      <c r="B6595" t="s">
        <v>1624</v>
      </c>
      <c r="C6595">
        <f>-0.11-1.03</f>
        <v>-1.1400000000000001</v>
      </c>
      <c r="D6595">
        <v>0.46</v>
      </c>
      <c r="E6595" t="s">
        <v>60</v>
      </c>
      <c r="F6595" t="s">
        <v>114</v>
      </c>
      <c r="G6595">
        <v>1.03</v>
      </c>
      <c r="H6595">
        <v>-0.11</v>
      </c>
      <c r="I6595">
        <v>0.56999999999999995</v>
      </c>
      <c r="J6595" s="66">
        <v>0.32490000000000002</v>
      </c>
      <c r="K6595" t="str">
        <f>IFERROR(INDEX(Rosters!$C$2:$C$155,MATCH($B6595,Rosters!$B$2:$B$155,0)),"NA")</f>
        <v>NA</v>
      </c>
      <c r="L6595" t="str">
        <f t="shared" ref="L6595:L6658" si="309">K6595&amp;A6595&amp;F6595</f>
        <v>NA1TE</v>
      </c>
      <c r="M6595">
        <f>COUNTIF(L$1:L6595,L6595)</f>
        <v>56</v>
      </c>
      <c r="N6595" t="str">
        <f t="shared" ref="N6595:N6658" si="310">L6595&amp;"-"&amp;M6595</f>
        <v>NA1TE-56</v>
      </c>
      <c r="O6595">
        <f>COUNTIFS(F$1:F6595,F6595,A$1:A6595,A6595)</f>
        <v>69</v>
      </c>
      <c r="P6595" t="str">
        <f t="shared" ref="P6595:P6658" si="311">B6595&amp;A6595</f>
        <v>Gabe Holmes1</v>
      </c>
    </row>
    <row r="6596" spans="1:16" x14ac:dyDescent="0.25">
      <c r="A6596">
        <v>13</v>
      </c>
      <c r="B6596" t="s">
        <v>1624</v>
      </c>
      <c r="C6596">
        <f>-0.12-1.04</f>
        <v>-1.1600000000000001</v>
      </c>
      <c r="D6596">
        <v>0.46</v>
      </c>
      <c r="E6596" t="s">
        <v>41</v>
      </c>
      <c r="F6596" t="s">
        <v>114</v>
      </c>
      <c r="G6596">
        <v>1.04</v>
      </c>
      <c r="H6596">
        <v>-0.12</v>
      </c>
      <c r="I6596">
        <v>0.57999999999999996</v>
      </c>
      <c r="J6596" s="66">
        <v>0.33639999999999998</v>
      </c>
      <c r="K6596" t="str">
        <f>IFERROR(INDEX(Rosters!$C$2:$C$155,MATCH($B6596,Rosters!$B$2:$B$155,0)),"NA")</f>
        <v>NA</v>
      </c>
      <c r="L6596" t="str">
        <f t="shared" si="309"/>
        <v>NA13TE</v>
      </c>
      <c r="M6596">
        <f>COUNTIF(L$1:L6596,L6596)</f>
        <v>76</v>
      </c>
      <c r="N6596" t="str">
        <f t="shared" si="310"/>
        <v>NA13TE-76</v>
      </c>
      <c r="O6596">
        <f>COUNTIFS(F$1:F6596,F6596,A$1:A6596,A6596)</f>
        <v>90</v>
      </c>
      <c r="P6596" t="str">
        <f t="shared" si="311"/>
        <v>Gabe Holmes13</v>
      </c>
    </row>
    <row r="6597" spans="1:16" x14ac:dyDescent="0.25">
      <c r="A6597">
        <v>15</v>
      </c>
      <c r="B6597" t="s">
        <v>1607</v>
      </c>
      <c r="C6597" t="s">
        <v>377</v>
      </c>
      <c r="D6597">
        <v>0.46</v>
      </c>
      <c r="E6597" t="s">
        <v>29</v>
      </c>
      <c r="F6597" t="s">
        <v>114</v>
      </c>
      <c r="G6597">
        <v>0.92</v>
      </c>
      <c r="H6597">
        <v>0</v>
      </c>
      <c r="I6597">
        <v>0.46</v>
      </c>
      <c r="J6597" s="66">
        <v>0.21160000000000001</v>
      </c>
      <c r="K6597" t="str">
        <f>IFERROR(INDEX(Rosters!$C$2:$C$155,MATCH($B6597,Rosters!$B$2:$B$155,0)),"NA")</f>
        <v>NA</v>
      </c>
      <c r="L6597" t="str">
        <f t="shared" si="309"/>
        <v>NA15TE</v>
      </c>
      <c r="M6597">
        <f>COUNTIF(L$1:L6597,L6597)</f>
        <v>75</v>
      </c>
      <c r="N6597" t="str">
        <f t="shared" si="310"/>
        <v>NA15TE-75</v>
      </c>
      <c r="O6597">
        <f>COUNTIFS(F$1:F6597,F6597,A$1:A6597,A6597)</f>
        <v>89</v>
      </c>
      <c r="P6597" t="str">
        <f t="shared" si="311"/>
        <v>Hakeem Valles15</v>
      </c>
    </row>
    <row r="6598" spans="1:16" x14ac:dyDescent="0.25">
      <c r="A6598">
        <v>9</v>
      </c>
      <c r="B6598" t="s">
        <v>8885</v>
      </c>
      <c r="C6598">
        <f>-0.15-1.07</f>
        <v>-1.22</v>
      </c>
      <c r="D6598">
        <v>0.46</v>
      </c>
      <c r="E6598" t="s">
        <v>29</v>
      </c>
      <c r="F6598" t="s">
        <v>87</v>
      </c>
      <c r="G6598">
        <v>1.07</v>
      </c>
      <c r="H6598">
        <v>-0.15</v>
      </c>
      <c r="I6598">
        <v>0.61</v>
      </c>
      <c r="J6598" s="66">
        <v>0.37209999999999999</v>
      </c>
      <c r="K6598" t="str">
        <f>IFERROR(INDEX(Rosters!$C$2:$C$155,MATCH($B6598,Rosters!$B$2:$B$155,0)),"NA")</f>
        <v>NA</v>
      </c>
      <c r="L6598" t="str">
        <f t="shared" si="309"/>
        <v>NA9WR</v>
      </c>
      <c r="M6598">
        <f>COUNTIF(L$1:L6598,L6598)</f>
        <v>97</v>
      </c>
      <c r="N6598" t="str">
        <f t="shared" si="310"/>
        <v>NA9WR-97</v>
      </c>
      <c r="O6598">
        <f>COUNTIFS(F$1:F6598,F6598,A$1:A6598,A6598)</f>
        <v>141</v>
      </c>
      <c r="P6598" t="str">
        <f t="shared" si="311"/>
        <v>Javon Wims9</v>
      </c>
    </row>
    <row r="6599" spans="1:16" x14ac:dyDescent="0.25">
      <c r="A6599">
        <v>6</v>
      </c>
      <c r="B6599" t="s">
        <v>335</v>
      </c>
      <c r="C6599">
        <f>-0.02-0.94</f>
        <v>-0.96</v>
      </c>
      <c r="D6599">
        <v>0.46</v>
      </c>
      <c r="E6599" t="s">
        <v>56</v>
      </c>
      <c r="F6599" t="s">
        <v>87</v>
      </c>
      <c r="G6599">
        <v>0.94</v>
      </c>
      <c r="H6599">
        <v>-0.02</v>
      </c>
      <c r="I6599">
        <v>0.48</v>
      </c>
      <c r="J6599" s="66">
        <v>0.23039999999999999</v>
      </c>
      <c r="K6599" t="str">
        <f>IFERROR(INDEX(Rosters!$C$2:$C$155,MATCH($B6599,Rosters!$B$2:$B$155,0)),"NA")</f>
        <v>NA</v>
      </c>
      <c r="L6599" t="str">
        <f t="shared" si="309"/>
        <v>NA6WR</v>
      </c>
      <c r="M6599">
        <f>COUNTIF(L$1:L6599,L6599)</f>
        <v>107</v>
      </c>
      <c r="N6599" t="str">
        <f t="shared" si="310"/>
        <v>NA6WR-107</v>
      </c>
      <c r="O6599">
        <f>COUNTIFS(F$1:F6599,F6599,A$1:A6599,A6599)</f>
        <v>157</v>
      </c>
      <c r="P6599" t="str">
        <f t="shared" si="311"/>
        <v>Jordan Taylor6</v>
      </c>
    </row>
    <row r="6600" spans="1:16" x14ac:dyDescent="0.25">
      <c r="A6600">
        <v>10</v>
      </c>
      <c r="B6600" t="s">
        <v>1631</v>
      </c>
      <c r="C6600">
        <f>-0.18-1.1</f>
        <v>-1.28</v>
      </c>
      <c r="D6600">
        <v>0.46</v>
      </c>
      <c r="E6600" t="s">
        <v>14</v>
      </c>
      <c r="F6600" t="s">
        <v>87</v>
      </c>
      <c r="G6600">
        <v>1.1000000000000001</v>
      </c>
      <c r="H6600">
        <v>-0.18</v>
      </c>
      <c r="I6600">
        <v>0.64</v>
      </c>
      <c r="J6600" s="66">
        <v>0.40960000000000002</v>
      </c>
      <c r="K6600" t="str">
        <f>IFERROR(INDEX(Rosters!$C$2:$C$155,MATCH($B6600,Rosters!$B$2:$B$155,0)),"NA")</f>
        <v>NA</v>
      </c>
      <c r="L6600" t="str">
        <f t="shared" si="309"/>
        <v>NA10WR</v>
      </c>
      <c r="M6600">
        <f>COUNTIF(L$1:L6600,L6600)</f>
        <v>106</v>
      </c>
      <c r="N6600" t="str">
        <f t="shared" si="310"/>
        <v>NA10WR-106</v>
      </c>
      <c r="O6600">
        <f>COUNTIFS(F$1:F6600,F6600,A$1:A6600,A6600)</f>
        <v>151</v>
      </c>
      <c r="P6600" t="str">
        <f t="shared" si="311"/>
        <v>Josh Malone10</v>
      </c>
    </row>
    <row r="6601" spans="1:16" x14ac:dyDescent="0.25">
      <c r="A6601">
        <v>5</v>
      </c>
      <c r="B6601" t="s">
        <v>4252</v>
      </c>
      <c r="C6601" t="s">
        <v>3877</v>
      </c>
      <c r="D6601">
        <v>0.46</v>
      </c>
      <c r="E6601" t="s">
        <v>25</v>
      </c>
      <c r="F6601" t="s">
        <v>114</v>
      </c>
      <c r="G6601">
        <v>0.88</v>
      </c>
      <c r="H6601">
        <v>0.04</v>
      </c>
      <c r="I6601">
        <v>0.42</v>
      </c>
      <c r="J6601">
        <v>0.1764</v>
      </c>
      <c r="K6601" t="str">
        <f>IFERROR(INDEX(Rosters!$C$2:$C$155,MATCH($B6601,Rosters!$B$2:$B$155,0)),"NA")</f>
        <v>NA</v>
      </c>
      <c r="L6601" t="str">
        <f t="shared" si="309"/>
        <v>NA5TE</v>
      </c>
      <c r="M6601">
        <f>COUNTIF(L$1:L6601,L6601)</f>
        <v>69</v>
      </c>
      <c r="N6601" t="str">
        <f t="shared" si="310"/>
        <v>NA5TE-69</v>
      </c>
      <c r="O6601">
        <f>COUNTIFS(F$1:F6601,F6601,A$1:A6601,A6601)</f>
        <v>80</v>
      </c>
      <c r="P6601" t="str">
        <f t="shared" si="311"/>
        <v>Joshua Perkins5</v>
      </c>
    </row>
    <row r="6602" spans="1:16" x14ac:dyDescent="0.25">
      <c r="A6602">
        <v>6</v>
      </c>
      <c r="B6602" t="s">
        <v>4252</v>
      </c>
      <c r="C6602">
        <f>-0.03-0.95</f>
        <v>-0.98</v>
      </c>
      <c r="D6602">
        <v>0.46</v>
      </c>
      <c r="E6602" t="s">
        <v>54</v>
      </c>
      <c r="F6602" t="s">
        <v>114</v>
      </c>
      <c r="G6602">
        <v>0.95</v>
      </c>
      <c r="H6602">
        <v>-0.03</v>
      </c>
      <c r="I6602">
        <v>0.49</v>
      </c>
      <c r="J6602">
        <v>0.24010000000000001</v>
      </c>
      <c r="K6602" t="str">
        <f>IFERROR(INDEX(Rosters!$C$2:$C$155,MATCH($B6602,Rosters!$B$2:$B$155,0)),"NA")</f>
        <v>NA</v>
      </c>
      <c r="L6602" t="str">
        <f t="shared" si="309"/>
        <v>NA6TE</v>
      </c>
      <c r="M6602">
        <f>COUNTIF(L$1:L6602,L6602)</f>
        <v>69</v>
      </c>
      <c r="N6602" t="str">
        <f t="shared" si="310"/>
        <v>NA6TE-69</v>
      </c>
      <c r="O6602">
        <f>COUNTIFS(F$1:F6602,F6602,A$1:A6602,A6602)</f>
        <v>81</v>
      </c>
      <c r="P6602" t="str">
        <f t="shared" si="311"/>
        <v>Joshua Perkins6</v>
      </c>
    </row>
    <row r="6603" spans="1:16" x14ac:dyDescent="0.25">
      <c r="A6603">
        <v>13</v>
      </c>
      <c r="B6603" t="s">
        <v>4252</v>
      </c>
      <c r="C6603">
        <f>-0.14-1.06</f>
        <v>-1.2000000000000002</v>
      </c>
      <c r="D6603">
        <v>0.46</v>
      </c>
      <c r="E6603" t="s">
        <v>60</v>
      </c>
      <c r="F6603" t="s">
        <v>114</v>
      </c>
      <c r="G6603">
        <v>1.06</v>
      </c>
      <c r="H6603">
        <v>-0.14000000000000001</v>
      </c>
      <c r="I6603">
        <v>0.6</v>
      </c>
      <c r="J6603">
        <v>0.36</v>
      </c>
      <c r="K6603" t="str">
        <f>IFERROR(INDEX(Rosters!$C$2:$C$155,MATCH($B6603,Rosters!$B$2:$B$155,0)),"NA")</f>
        <v>NA</v>
      </c>
      <c r="L6603" t="str">
        <f t="shared" si="309"/>
        <v>NA13TE</v>
      </c>
      <c r="M6603">
        <f>COUNTIF(L$1:L6603,L6603)</f>
        <v>77</v>
      </c>
      <c r="N6603" t="str">
        <f t="shared" si="310"/>
        <v>NA13TE-77</v>
      </c>
      <c r="O6603">
        <f>COUNTIFS(F$1:F6603,F6603,A$1:A6603,A6603)</f>
        <v>91</v>
      </c>
      <c r="P6603" t="str">
        <f t="shared" si="311"/>
        <v>Joshua Perkins13</v>
      </c>
    </row>
    <row r="6604" spans="1:16" x14ac:dyDescent="0.25">
      <c r="A6604">
        <v>1</v>
      </c>
      <c r="B6604" t="s">
        <v>327</v>
      </c>
      <c r="C6604">
        <f>-0.17-1.09</f>
        <v>-1.26</v>
      </c>
      <c r="D6604">
        <v>0.46</v>
      </c>
      <c r="E6604" t="s">
        <v>52</v>
      </c>
      <c r="F6604" t="s">
        <v>87</v>
      </c>
      <c r="G6604">
        <v>1.0900000000000001</v>
      </c>
      <c r="H6604">
        <v>-0.17</v>
      </c>
      <c r="I6604">
        <v>0.63</v>
      </c>
      <c r="J6604">
        <v>0.39689999999999998</v>
      </c>
      <c r="K6604" t="str">
        <f>IFERROR(INDEX(Rosters!$C$2:$C$155,MATCH($B6604,Rosters!$B$2:$B$155,0)),"NA")</f>
        <v>NA</v>
      </c>
      <c r="L6604" t="str">
        <f t="shared" si="309"/>
        <v>NA1WR</v>
      </c>
      <c r="M6604">
        <f>COUNTIF(L$1:L6604,L6604)</f>
        <v>76</v>
      </c>
      <c r="N6604" t="str">
        <f t="shared" si="310"/>
        <v>NA1WR-76</v>
      </c>
      <c r="O6604">
        <f>COUNTIFS(F$1:F6604,F6604,A$1:A6604,A6604)</f>
        <v>125</v>
      </c>
      <c r="P6604" t="str">
        <f t="shared" si="311"/>
        <v>Justin Hunter1</v>
      </c>
    </row>
    <row r="6605" spans="1:16" x14ac:dyDescent="0.25">
      <c r="A6605">
        <v>1</v>
      </c>
      <c r="B6605" t="s">
        <v>368</v>
      </c>
      <c r="C6605">
        <f>-0.07-0.99</f>
        <v>-1.06</v>
      </c>
      <c r="D6605">
        <v>0.46</v>
      </c>
      <c r="E6605" t="s">
        <v>56</v>
      </c>
      <c r="F6605" t="s">
        <v>47</v>
      </c>
      <c r="G6605">
        <v>0.99</v>
      </c>
      <c r="H6605">
        <v>-7.0000000000000007E-2</v>
      </c>
      <c r="I6605">
        <v>0.53</v>
      </c>
      <c r="J6605">
        <v>0.28089999999999998</v>
      </c>
      <c r="K6605" t="str">
        <f>IFERROR(INDEX(Rosters!$C$2:$C$155,MATCH($B6605,Rosters!$B$2:$B$155,0)),"NA")</f>
        <v>NA</v>
      </c>
      <c r="L6605" t="str">
        <f t="shared" si="309"/>
        <v>NA1RB</v>
      </c>
      <c r="M6605">
        <f>COUNTIF(L$1:L6605,L6605)</f>
        <v>43</v>
      </c>
      <c r="N6605" t="str">
        <f t="shared" si="310"/>
        <v>NA1RB-43</v>
      </c>
      <c r="O6605">
        <f>COUNTIFS(F$1:F6605,F6605,A$1:A6605,A6605)</f>
        <v>86</v>
      </c>
      <c r="P6605" t="str">
        <f t="shared" si="311"/>
        <v>Keith Smith1</v>
      </c>
    </row>
    <row r="6606" spans="1:16" x14ac:dyDescent="0.25">
      <c r="A6606">
        <v>8</v>
      </c>
      <c r="B6606" t="s">
        <v>1622</v>
      </c>
      <c r="C6606">
        <f>-0.05-0.97</f>
        <v>-1.02</v>
      </c>
      <c r="D6606">
        <v>0.46</v>
      </c>
      <c r="E6606" t="s">
        <v>58</v>
      </c>
      <c r="F6606" t="s">
        <v>87</v>
      </c>
      <c r="G6606">
        <v>0.97</v>
      </c>
      <c r="H6606">
        <v>-0.05</v>
      </c>
      <c r="I6606">
        <v>0.51</v>
      </c>
      <c r="J6606">
        <v>0.2601</v>
      </c>
      <c r="K6606" t="str">
        <f>IFERROR(INDEX(Rosters!$C$2:$C$155,MATCH($B6606,Rosters!$B$2:$B$155,0)),"NA")</f>
        <v>NA</v>
      </c>
      <c r="L6606" t="str">
        <f t="shared" si="309"/>
        <v>NA8WR</v>
      </c>
      <c r="M6606">
        <f>COUNTIF(L$1:L6606,L6606)</f>
        <v>98</v>
      </c>
      <c r="N6606" t="str">
        <f t="shared" si="310"/>
        <v>NA8WR-98</v>
      </c>
      <c r="O6606">
        <f>COUNTIFS(F$1:F6606,F6606,A$1:A6606,A6606)</f>
        <v>147</v>
      </c>
      <c r="P6606" t="str">
        <f t="shared" si="311"/>
        <v>Kendrick Bourne8</v>
      </c>
    </row>
    <row r="6607" spans="1:16" x14ac:dyDescent="0.25">
      <c r="A6607">
        <v>15</v>
      </c>
      <c r="B6607" t="s">
        <v>1622</v>
      </c>
      <c r="C6607">
        <f>-0.04-0.96</f>
        <v>-1</v>
      </c>
      <c r="D6607">
        <v>0.46</v>
      </c>
      <c r="E6607" t="s">
        <v>28</v>
      </c>
      <c r="F6607" t="s">
        <v>87</v>
      </c>
      <c r="G6607">
        <v>0.96</v>
      </c>
      <c r="H6607">
        <v>-0.04</v>
      </c>
      <c r="I6607">
        <v>0.5</v>
      </c>
      <c r="J6607">
        <v>0.25</v>
      </c>
      <c r="K6607" t="str">
        <f>IFERROR(INDEX(Rosters!$C$2:$C$155,MATCH($B6607,Rosters!$B$2:$B$155,0)),"NA")</f>
        <v>NA</v>
      </c>
      <c r="L6607" t="str">
        <f t="shared" si="309"/>
        <v>NA15WR</v>
      </c>
      <c r="M6607">
        <f>COUNTIF(L$1:L6607,L6607)</f>
        <v>113</v>
      </c>
      <c r="N6607" t="str">
        <f t="shared" si="310"/>
        <v>NA15WR-113</v>
      </c>
      <c r="O6607">
        <f>COUNTIFS(F$1:F6607,F6607,A$1:A6607,A6607)</f>
        <v>167</v>
      </c>
      <c r="P6607" t="str">
        <f t="shared" si="311"/>
        <v>Kendrick Bourne15</v>
      </c>
    </row>
    <row r="6608" spans="1:16" x14ac:dyDescent="0.25">
      <c r="A6608">
        <v>14</v>
      </c>
      <c r="B6608" t="s">
        <v>1597</v>
      </c>
      <c r="C6608" t="s">
        <v>377</v>
      </c>
      <c r="D6608">
        <v>0.46</v>
      </c>
      <c r="E6608" t="s">
        <v>73</v>
      </c>
      <c r="F6608" t="s">
        <v>114</v>
      </c>
      <c r="G6608">
        <v>0.92</v>
      </c>
      <c r="H6608">
        <v>0</v>
      </c>
      <c r="I6608">
        <v>0.46</v>
      </c>
      <c r="J6608">
        <v>0.21160000000000001</v>
      </c>
      <c r="K6608" t="str">
        <f>IFERROR(INDEX(Rosters!$C$2:$C$155,MATCH($B6608,Rosters!$B$2:$B$155,0)),"NA")</f>
        <v>NA</v>
      </c>
      <c r="L6608" t="str">
        <f t="shared" si="309"/>
        <v>NA14TE</v>
      </c>
      <c r="M6608">
        <f>COUNTIF(L$1:L6608,L6608)</f>
        <v>79</v>
      </c>
      <c r="N6608" t="str">
        <f t="shared" si="310"/>
        <v>NA14TE-79</v>
      </c>
      <c r="O6608">
        <f>COUNTIFS(F$1:F6608,F6608,A$1:A6608,A6608)</f>
        <v>93</v>
      </c>
      <c r="P6608" t="str">
        <f t="shared" si="311"/>
        <v>Khari Lee14</v>
      </c>
    </row>
    <row r="6609" spans="1:16" x14ac:dyDescent="0.25">
      <c r="A6609">
        <v>8</v>
      </c>
      <c r="B6609" t="s">
        <v>389</v>
      </c>
      <c r="C6609" t="s">
        <v>3877</v>
      </c>
      <c r="D6609">
        <v>0.46</v>
      </c>
      <c r="E6609" t="s">
        <v>66</v>
      </c>
      <c r="F6609" t="s">
        <v>114</v>
      </c>
      <c r="G6609">
        <v>0.88</v>
      </c>
      <c r="H6609">
        <v>0.04</v>
      </c>
      <c r="I6609">
        <v>0.42</v>
      </c>
      <c r="J6609">
        <v>0.1764</v>
      </c>
      <c r="K6609" t="str">
        <f>IFERROR(INDEX(Rosters!$C$2:$C$155,MATCH($B6609,Rosters!$B$2:$B$155,0)),"NA")</f>
        <v>NA</v>
      </c>
      <c r="L6609" t="str">
        <f t="shared" si="309"/>
        <v>NA8TE</v>
      </c>
      <c r="M6609">
        <f>COUNTIF(L$1:L6609,L6609)</f>
        <v>66</v>
      </c>
      <c r="N6609" t="str">
        <f t="shared" si="310"/>
        <v>NA8TE-66</v>
      </c>
      <c r="O6609">
        <f>COUNTIFS(F$1:F6609,F6609,A$1:A6609,A6609)</f>
        <v>78</v>
      </c>
      <c r="P6609" t="str">
        <f t="shared" si="311"/>
        <v>Lee Smith8</v>
      </c>
    </row>
    <row r="6610" spans="1:16" x14ac:dyDescent="0.25">
      <c r="A6610">
        <v>12</v>
      </c>
      <c r="B6610" t="s">
        <v>1583</v>
      </c>
      <c r="C6610">
        <f>-0.06-0.98</f>
        <v>-1.04</v>
      </c>
      <c r="D6610">
        <v>0.46</v>
      </c>
      <c r="E6610" t="s">
        <v>76</v>
      </c>
      <c r="F6610" t="s">
        <v>114</v>
      </c>
      <c r="G6610">
        <v>0.98</v>
      </c>
      <c r="H6610">
        <v>-0.06</v>
      </c>
      <c r="I6610">
        <v>0.52</v>
      </c>
      <c r="J6610" s="66">
        <v>0.27039999999999997</v>
      </c>
      <c r="K6610" t="str">
        <f>IFERROR(INDEX(Rosters!$C$2:$C$155,MATCH($B6610,Rosters!$B$2:$B$155,0)),"NA")</f>
        <v>NA</v>
      </c>
      <c r="L6610" t="str">
        <f t="shared" si="309"/>
        <v>NA12TE</v>
      </c>
      <c r="M6610">
        <f>COUNTIF(L$1:L6610,L6610)</f>
        <v>74</v>
      </c>
      <c r="N6610" t="str">
        <f t="shared" si="310"/>
        <v>NA12TE-74</v>
      </c>
      <c r="O6610">
        <f>COUNTIFS(F$1:F6610,F6610,A$1:A6610,A6610)</f>
        <v>87</v>
      </c>
      <c r="P6610" t="str">
        <f t="shared" si="311"/>
        <v>Logan Thomas12</v>
      </c>
    </row>
    <row r="6611" spans="1:16" x14ac:dyDescent="0.25">
      <c r="A6611">
        <v>5</v>
      </c>
      <c r="B6611" t="s">
        <v>4215</v>
      </c>
      <c r="C6611">
        <f>-0.3-1.22</f>
        <v>-1.52</v>
      </c>
      <c r="D6611">
        <v>0.46</v>
      </c>
      <c r="E6611" t="s">
        <v>19</v>
      </c>
      <c r="F6611" t="s">
        <v>47</v>
      </c>
      <c r="G6611">
        <v>1.22</v>
      </c>
      <c r="H6611">
        <v>-0.3</v>
      </c>
      <c r="I6611">
        <v>0.76</v>
      </c>
      <c r="J6611" s="66">
        <v>0.5776</v>
      </c>
      <c r="K6611" t="str">
        <f>IFERROR(INDEX(Rosters!$C$2:$C$155,MATCH($B6611,Rosters!$B$2:$B$155,0)),"NA")</f>
        <v>NA</v>
      </c>
      <c r="L6611" t="str">
        <f t="shared" si="309"/>
        <v>NA5RB</v>
      </c>
      <c r="M6611">
        <f>COUNTIF(L$1:L6611,L6611)</f>
        <v>63</v>
      </c>
      <c r="N6611" t="str">
        <f t="shared" si="310"/>
        <v>NA5RB-63</v>
      </c>
      <c r="O6611">
        <f>COUNTIFS(F$1:F6611,F6611,A$1:A6611,A6611)</f>
        <v>106</v>
      </c>
      <c r="P6611" t="str">
        <f t="shared" si="311"/>
        <v>Mark Walton5</v>
      </c>
    </row>
    <row r="6612" spans="1:16" x14ac:dyDescent="0.25">
      <c r="A6612">
        <v>16</v>
      </c>
      <c r="B6612" t="s">
        <v>3126</v>
      </c>
      <c r="C6612">
        <f>-0.14-1.06</f>
        <v>-1.2000000000000002</v>
      </c>
      <c r="D6612">
        <v>0.46</v>
      </c>
      <c r="E6612" t="s">
        <v>32</v>
      </c>
      <c r="F6612" t="s">
        <v>114</v>
      </c>
      <c r="G6612">
        <v>1.06</v>
      </c>
      <c r="H6612">
        <v>-0.14000000000000001</v>
      </c>
      <c r="I6612">
        <v>0.6</v>
      </c>
      <c r="J6612" s="66">
        <v>0.36</v>
      </c>
      <c r="K6612" t="str">
        <f>IFERROR(INDEX(Rosters!$C$2:$C$155,MATCH($B6612,Rosters!$B$2:$B$155,0)),"NA")</f>
        <v>NA</v>
      </c>
      <c r="L6612" t="str">
        <f t="shared" si="309"/>
        <v>NA16TE</v>
      </c>
      <c r="M6612">
        <f>COUNTIF(L$1:L6612,L6612)</f>
        <v>79</v>
      </c>
      <c r="N6612" t="str">
        <f t="shared" si="310"/>
        <v>NA16TE-79</v>
      </c>
      <c r="O6612">
        <f>COUNTIFS(F$1:F6612,F6612,A$1:A6612,A6612)</f>
        <v>93</v>
      </c>
      <c r="P6612" t="str">
        <f t="shared" si="311"/>
        <v>Matt LaCosse16</v>
      </c>
    </row>
    <row r="6613" spans="1:16" x14ac:dyDescent="0.25">
      <c r="A6613">
        <v>5</v>
      </c>
      <c r="B6613" t="s">
        <v>2921</v>
      </c>
      <c r="C6613">
        <f>-0.15-1.07</f>
        <v>-1.22</v>
      </c>
      <c r="D6613">
        <v>0.46</v>
      </c>
      <c r="E6613" t="s">
        <v>14</v>
      </c>
      <c r="F6613" t="s">
        <v>87</v>
      </c>
      <c r="G6613">
        <v>1.07</v>
      </c>
      <c r="H6613">
        <v>-0.15</v>
      </c>
      <c r="I6613">
        <v>0.61</v>
      </c>
      <c r="J6613" s="66">
        <v>0.37209999999999999</v>
      </c>
      <c r="K6613" t="str">
        <f>IFERROR(INDEX(Rosters!$C$2:$C$155,MATCH($B6613,Rosters!$B$2:$B$155,0)),"NA")</f>
        <v>NA</v>
      </c>
      <c r="L6613" t="str">
        <f t="shared" si="309"/>
        <v>NA5WR</v>
      </c>
      <c r="M6613">
        <f>COUNTIF(L$1:L6613,L6613)</f>
        <v>102</v>
      </c>
      <c r="N6613" t="str">
        <f t="shared" si="310"/>
        <v>NA5WR-102</v>
      </c>
      <c r="O6613">
        <f>COUNTIFS(F$1:F6613,F6613,A$1:A6613,A6613)</f>
        <v>152</v>
      </c>
      <c r="P6613" t="str">
        <f t="shared" si="311"/>
        <v>Michael Floyd5</v>
      </c>
    </row>
    <row r="6614" spans="1:16" x14ac:dyDescent="0.25">
      <c r="A6614">
        <v>8</v>
      </c>
      <c r="B6614" t="s">
        <v>1570</v>
      </c>
      <c r="C6614" t="s">
        <v>3879</v>
      </c>
      <c r="D6614">
        <v>0.46</v>
      </c>
      <c r="E6614" t="s">
        <v>423</v>
      </c>
      <c r="F6614" t="s">
        <v>15</v>
      </c>
      <c r="G6614">
        <v>0.89</v>
      </c>
      <c r="H6614">
        <v>0.03</v>
      </c>
      <c r="I6614">
        <v>0.43</v>
      </c>
      <c r="J6614" s="66">
        <v>0.18490000000000001</v>
      </c>
      <c r="K6614" t="str">
        <f>IFERROR(INDEX(Rosters!$C$2:$C$155,MATCH($B6614,Rosters!$B$2:$B$155,0)),"NA")</f>
        <v>NA</v>
      </c>
      <c r="L6614" t="str">
        <f t="shared" si="309"/>
        <v>NA8QB</v>
      </c>
      <c r="M6614">
        <f>COUNTIF(L$1:L6614,L6614)</f>
        <v>34</v>
      </c>
      <c r="N6614" t="str">
        <f t="shared" si="310"/>
        <v>NA8QB-34</v>
      </c>
      <c r="O6614">
        <f>COUNTIFS(F$1:F6614,F6614,A$1:A6614,A6614)</f>
        <v>49</v>
      </c>
      <c r="P6614" t="str">
        <f t="shared" si="311"/>
        <v>Nathan Peterman8</v>
      </c>
    </row>
    <row r="6615" spans="1:16" x14ac:dyDescent="0.25">
      <c r="A6615">
        <v>8</v>
      </c>
      <c r="B6615" t="s">
        <v>4248</v>
      </c>
      <c r="C6615">
        <f>-0.02-0.94</f>
        <v>-0.96</v>
      </c>
      <c r="D6615">
        <v>0.46</v>
      </c>
      <c r="E6615" t="s">
        <v>28</v>
      </c>
      <c r="F6615" t="s">
        <v>47</v>
      </c>
      <c r="G6615">
        <v>0.94</v>
      </c>
      <c r="H6615">
        <v>-0.02</v>
      </c>
      <c r="I6615">
        <v>0.48</v>
      </c>
      <c r="J6615" s="66">
        <v>0.23039999999999999</v>
      </c>
      <c r="K6615" t="str">
        <f>IFERROR(INDEX(Rosters!$C$2:$C$155,MATCH($B6615,Rosters!$B$2:$B$155,0)),"NA")</f>
        <v>NA</v>
      </c>
      <c r="L6615" t="str">
        <f t="shared" si="309"/>
        <v>NA8RB</v>
      </c>
      <c r="M6615">
        <f>COUNTIF(L$1:L6615,L6615)</f>
        <v>63</v>
      </c>
      <c r="N6615" t="str">
        <f t="shared" si="310"/>
        <v>NA8RB-63</v>
      </c>
      <c r="O6615">
        <f>COUNTIFS(F$1:F6615,F6615,A$1:A6615,A6615)</f>
        <v>103</v>
      </c>
      <c r="P6615" t="str">
        <f t="shared" si="311"/>
        <v>Nick Bellore8</v>
      </c>
    </row>
    <row r="6616" spans="1:16" x14ac:dyDescent="0.25">
      <c r="A6616">
        <v>3</v>
      </c>
      <c r="B6616" t="s">
        <v>328</v>
      </c>
      <c r="C6616">
        <f>-0.15-1.07</f>
        <v>-1.22</v>
      </c>
      <c r="D6616">
        <v>0.46</v>
      </c>
      <c r="E6616" t="s">
        <v>25</v>
      </c>
      <c r="F6616" t="s">
        <v>47</v>
      </c>
      <c r="G6616">
        <v>1.07</v>
      </c>
      <c r="H6616">
        <v>-0.15</v>
      </c>
      <c r="I6616">
        <v>0.61</v>
      </c>
      <c r="J6616" s="66">
        <v>0.37209999999999999</v>
      </c>
      <c r="K6616" t="str">
        <f>IFERROR(INDEX(Rosters!$C$2:$C$155,MATCH($B6616,Rosters!$B$2:$B$155,0)),"NA")</f>
        <v>NA</v>
      </c>
      <c r="L6616" t="str">
        <f t="shared" si="309"/>
        <v>NA3RB</v>
      </c>
      <c r="M6616">
        <f>COUNTIF(L$1:L6616,L6616)</f>
        <v>54</v>
      </c>
      <c r="N6616" t="str">
        <f t="shared" si="310"/>
        <v>NA3RB-54</v>
      </c>
      <c r="O6616">
        <f>COUNTIFS(F$1:F6616,F6616,A$1:A6616,A6616)</f>
        <v>93</v>
      </c>
      <c r="P6616" t="str">
        <f t="shared" si="311"/>
        <v>Patrick DiMarco3</v>
      </c>
    </row>
    <row r="6617" spans="1:16" x14ac:dyDescent="0.25">
      <c r="A6617">
        <v>4</v>
      </c>
      <c r="B6617" t="s">
        <v>4260</v>
      </c>
      <c r="C6617">
        <f>-0.22-1.14</f>
        <v>-1.3599999999999999</v>
      </c>
      <c r="D6617">
        <v>0.46</v>
      </c>
      <c r="E6617" t="s">
        <v>41</v>
      </c>
      <c r="F6617" t="s">
        <v>87</v>
      </c>
      <c r="G6617">
        <v>1.1399999999999999</v>
      </c>
      <c r="H6617">
        <v>-0.22</v>
      </c>
      <c r="I6617">
        <v>0.68</v>
      </c>
      <c r="J6617" s="66">
        <v>0.46239999999999998</v>
      </c>
      <c r="K6617" t="str">
        <f>IFERROR(INDEX(Rosters!$C$2:$C$155,MATCH($B6617,Rosters!$B$2:$B$155,0)),"NA")</f>
        <v>NA</v>
      </c>
      <c r="L6617" t="str">
        <f t="shared" si="309"/>
        <v>NA4WR</v>
      </c>
      <c r="M6617">
        <f>COUNTIF(L$1:L6617,L6617)</f>
        <v>86</v>
      </c>
      <c r="N6617" t="str">
        <f t="shared" si="310"/>
        <v>NA4WR-86</v>
      </c>
      <c r="O6617">
        <f>COUNTIFS(F$1:F6617,F6617,A$1:A6617,A6617)</f>
        <v>136</v>
      </c>
      <c r="P6617" t="str">
        <f t="shared" si="311"/>
        <v>Robert Foster4</v>
      </c>
    </row>
    <row r="6618" spans="1:16" x14ac:dyDescent="0.25">
      <c r="A6618">
        <v>11</v>
      </c>
      <c r="B6618" t="s">
        <v>1123</v>
      </c>
      <c r="C6618">
        <f>-0.01-0.93</f>
        <v>-0.94000000000000006</v>
      </c>
      <c r="D6618">
        <v>0.46</v>
      </c>
      <c r="E6618" t="s">
        <v>38</v>
      </c>
      <c r="F6618" t="s">
        <v>47</v>
      </c>
      <c r="G6618">
        <v>0.93</v>
      </c>
      <c r="H6618">
        <v>-0.01</v>
      </c>
      <c r="I6618">
        <v>0.47</v>
      </c>
      <c r="J6618" s="66">
        <v>0.22090000000000001</v>
      </c>
      <c r="K6618" t="str">
        <f>IFERROR(INDEX(Rosters!$C$2:$C$155,MATCH($B6618,Rosters!$B$2:$B$155,0)),"NA")</f>
        <v>NA</v>
      </c>
      <c r="L6618" t="str">
        <f t="shared" si="309"/>
        <v>NA11RB</v>
      </c>
      <c r="M6618">
        <f>COUNTIF(L$1:L6618,L6618)</f>
        <v>65</v>
      </c>
      <c r="N6618" t="str">
        <f t="shared" si="310"/>
        <v>NA11RB-65</v>
      </c>
      <c r="O6618">
        <f>COUNTIFS(F$1:F6618,F6618,A$1:A6618,A6618)</f>
        <v>103</v>
      </c>
      <c r="P6618" t="str">
        <f t="shared" si="311"/>
        <v>Robert Turbin11</v>
      </c>
    </row>
    <row r="6619" spans="1:16" x14ac:dyDescent="0.25">
      <c r="A6619">
        <v>17</v>
      </c>
      <c r="B6619" t="s">
        <v>3845</v>
      </c>
      <c r="C6619">
        <f>-0.06-0.98</f>
        <v>-1.04</v>
      </c>
      <c r="D6619">
        <v>0.46</v>
      </c>
      <c r="E6619" t="s">
        <v>77</v>
      </c>
      <c r="F6619" t="s">
        <v>87</v>
      </c>
      <c r="G6619">
        <v>0.98</v>
      </c>
      <c r="H6619">
        <v>-0.06</v>
      </c>
      <c r="I6619">
        <v>0.52</v>
      </c>
      <c r="J6619" s="66">
        <v>0.27039999999999997</v>
      </c>
      <c r="K6619" t="str">
        <f>IFERROR(INDEX(Rosters!$C$2:$C$155,MATCH($B6619,Rosters!$B$2:$B$155,0)),"NA")</f>
        <v>NA</v>
      </c>
      <c r="L6619" t="str">
        <f t="shared" si="309"/>
        <v>NA17WR</v>
      </c>
      <c r="M6619">
        <f>COUNTIF(L$1:L6619,L6619)</f>
        <v>118</v>
      </c>
      <c r="N6619" t="str">
        <f t="shared" si="310"/>
        <v>NA17WR-118</v>
      </c>
      <c r="O6619">
        <f>COUNTIFS(F$1:F6619,F6619,A$1:A6619,A6619)</f>
        <v>172</v>
      </c>
      <c r="P6619" t="str">
        <f t="shared" si="311"/>
        <v>Rod Streater17</v>
      </c>
    </row>
    <row r="6620" spans="1:16" x14ac:dyDescent="0.25">
      <c r="A6620">
        <v>14</v>
      </c>
      <c r="B6620" t="s">
        <v>164</v>
      </c>
      <c r="C6620" t="s">
        <v>3878</v>
      </c>
      <c r="D6620">
        <v>0.46</v>
      </c>
      <c r="E6620" t="s">
        <v>54</v>
      </c>
      <c r="F6620" t="s">
        <v>47</v>
      </c>
      <c r="G6620">
        <v>0.87</v>
      </c>
      <c r="H6620">
        <v>0.05</v>
      </c>
      <c r="I6620">
        <v>0.41</v>
      </c>
      <c r="J6620" s="66">
        <v>0.1681</v>
      </c>
      <c r="K6620" t="str">
        <f>IFERROR(INDEX(Rosters!$C$2:$C$155,MATCH($B6620,Rosters!$B$2:$B$155,0)),"NA")</f>
        <v>NA</v>
      </c>
      <c r="L6620" t="str">
        <f t="shared" si="309"/>
        <v>NA14RB</v>
      </c>
      <c r="M6620">
        <f>COUNTIF(L$1:L6620,L6620)</f>
        <v>71</v>
      </c>
      <c r="N6620" t="str">
        <f t="shared" si="310"/>
        <v>NA14RB-71</v>
      </c>
      <c r="O6620">
        <f>COUNTIFS(F$1:F6620,F6620,A$1:A6620,A6620)</f>
        <v>118</v>
      </c>
      <c r="P6620" t="str">
        <f t="shared" si="311"/>
        <v>Samaje Perine14</v>
      </c>
    </row>
    <row r="6621" spans="1:16" x14ac:dyDescent="0.25">
      <c r="A6621">
        <v>3</v>
      </c>
      <c r="B6621" t="s">
        <v>4246</v>
      </c>
      <c r="C6621">
        <f>-0.03-0.95</f>
        <v>-0.98</v>
      </c>
      <c r="D6621">
        <v>0.46</v>
      </c>
      <c r="E6621" t="s">
        <v>36</v>
      </c>
      <c r="F6621" t="s">
        <v>114</v>
      </c>
      <c r="G6621">
        <v>0.95</v>
      </c>
      <c r="H6621">
        <v>-0.03</v>
      </c>
      <c r="I6621">
        <v>0.49</v>
      </c>
      <c r="J6621" s="66">
        <v>0.24010000000000001</v>
      </c>
      <c r="K6621" t="str">
        <f>IFERROR(INDEX(Rosters!$C$2:$C$155,MATCH($B6621,Rosters!$B$2:$B$155,0)),"NA")</f>
        <v>NA</v>
      </c>
      <c r="L6621" t="str">
        <f t="shared" si="309"/>
        <v>NA3TE</v>
      </c>
      <c r="M6621">
        <f>COUNTIF(L$1:L6621,L6621)</f>
        <v>64</v>
      </c>
      <c r="N6621" t="str">
        <f t="shared" si="310"/>
        <v>NA3TE-64</v>
      </c>
      <c r="O6621">
        <f>COUNTIFS(F$1:F6621,F6621,A$1:A6621,A6621)</f>
        <v>77</v>
      </c>
      <c r="P6621" t="str">
        <f t="shared" si="311"/>
        <v>Scott Simonson3</v>
      </c>
    </row>
    <row r="6622" spans="1:16" x14ac:dyDescent="0.25">
      <c r="A6622">
        <v>8</v>
      </c>
      <c r="B6622" t="s">
        <v>332</v>
      </c>
      <c r="C6622">
        <f>-0.13-1.05</f>
        <v>-1.1800000000000002</v>
      </c>
      <c r="D6622">
        <v>0.46</v>
      </c>
      <c r="E6622" t="s">
        <v>36</v>
      </c>
      <c r="F6622" t="s">
        <v>47</v>
      </c>
      <c r="G6622">
        <v>1.05</v>
      </c>
      <c r="H6622">
        <v>-0.13</v>
      </c>
      <c r="I6622">
        <v>0.59</v>
      </c>
      <c r="J6622" s="66">
        <v>0.34810000000000002</v>
      </c>
      <c r="K6622" t="str">
        <f>IFERROR(INDEX(Rosters!$C$2:$C$155,MATCH($B6622,Rosters!$B$2:$B$155,0)),"NA")</f>
        <v>NA</v>
      </c>
      <c r="L6622" t="str">
        <f t="shared" si="309"/>
        <v>NA8RB</v>
      </c>
      <c r="M6622">
        <f>COUNTIF(L$1:L6622,L6622)</f>
        <v>64</v>
      </c>
      <c r="N6622" t="str">
        <f t="shared" si="310"/>
        <v>NA8RB-64</v>
      </c>
      <c r="O6622">
        <f>COUNTIFS(F$1:F6622,F6622,A$1:A6622,A6622)</f>
        <v>104</v>
      </c>
      <c r="P6622" t="str">
        <f t="shared" si="311"/>
        <v>Senorise Perry8</v>
      </c>
    </row>
    <row r="6623" spans="1:16" x14ac:dyDescent="0.25">
      <c r="A6623">
        <v>15</v>
      </c>
      <c r="B6623" t="s">
        <v>745</v>
      </c>
      <c r="C6623">
        <f>-0.05-0.97</f>
        <v>-1.02</v>
      </c>
      <c r="D6623">
        <v>0.46</v>
      </c>
      <c r="E6623" t="s">
        <v>74</v>
      </c>
      <c r="F6623" t="s">
        <v>15</v>
      </c>
      <c r="G6623">
        <v>0.97</v>
      </c>
      <c r="H6623">
        <v>-0.05</v>
      </c>
      <c r="I6623">
        <v>0.51</v>
      </c>
      <c r="J6623" s="66">
        <v>0.2601</v>
      </c>
      <c r="K6623" t="str">
        <f>IFERROR(INDEX(Rosters!$C$2:$C$155,MATCH($B6623,Rosters!$B$2:$B$155,0)),"NA")</f>
        <v>NA</v>
      </c>
      <c r="L6623" t="str">
        <f t="shared" si="309"/>
        <v>NA15QB</v>
      </c>
      <c r="M6623">
        <f>COUNTIF(L$1:L6623,L6623)</f>
        <v>40</v>
      </c>
      <c r="N6623" t="str">
        <f t="shared" si="310"/>
        <v>NA15QB-40</v>
      </c>
      <c r="O6623">
        <f>COUNTIFS(F$1:F6623,F6623,A$1:A6623,A6623)</f>
        <v>57</v>
      </c>
      <c r="P6623" t="str">
        <f t="shared" si="311"/>
        <v>Teddy Bridgewater15</v>
      </c>
    </row>
    <row r="6624" spans="1:16" x14ac:dyDescent="0.25">
      <c r="A6624">
        <v>16</v>
      </c>
      <c r="B6624" t="s">
        <v>2792</v>
      </c>
      <c r="C6624">
        <f>-0.07-0.99</f>
        <v>-1.06</v>
      </c>
      <c r="D6624">
        <v>0.46</v>
      </c>
      <c r="E6624" t="s">
        <v>52</v>
      </c>
      <c r="F6624" t="s">
        <v>47</v>
      </c>
      <c r="G6624">
        <v>0.99</v>
      </c>
      <c r="H6624">
        <v>-7.0000000000000007E-2</v>
      </c>
      <c r="I6624">
        <v>0.53</v>
      </c>
      <c r="J6624" s="66">
        <v>0.28089999999999998</v>
      </c>
      <c r="K6624" t="str">
        <f>IFERROR(INDEX(Rosters!$C$2:$C$155,MATCH($B6624,Rosters!$B$2:$B$155,0)),"NA")</f>
        <v>NA</v>
      </c>
      <c r="L6624" t="str">
        <f t="shared" si="309"/>
        <v>NA16RB</v>
      </c>
      <c r="M6624">
        <f>COUNTIF(L$1:L6624,L6624)</f>
        <v>71</v>
      </c>
      <c r="N6624" t="str">
        <f t="shared" si="310"/>
        <v>NA16RB-71</v>
      </c>
      <c r="O6624">
        <f>COUNTIFS(F$1:F6624,F6624,A$1:A6624,A6624)</f>
        <v>118</v>
      </c>
      <c r="P6624" t="str">
        <f t="shared" si="311"/>
        <v>Thomas Rawls16</v>
      </c>
    </row>
    <row r="6625" spans="1:16" x14ac:dyDescent="0.25">
      <c r="A6625">
        <v>3</v>
      </c>
      <c r="B6625" t="s">
        <v>4258</v>
      </c>
      <c r="C6625">
        <f>-0.04-0.96</f>
        <v>-1</v>
      </c>
      <c r="D6625">
        <v>0.46</v>
      </c>
      <c r="E6625" t="s">
        <v>77</v>
      </c>
      <c r="F6625" t="s">
        <v>87</v>
      </c>
      <c r="G6625">
        <v>0.96</v>
      </c>
      <c r="H6625">
        <v>-0.04</v>
      </c>
      <c r="I6625">
        <v>0.5</v>
      </c>
      <c r="J6625" s="66">
        <v>0.25</v>
      </c>
      <c r="K6625" t="str">
        <f>IFERROR(INDEX(Rosters!$C$2:$C$155,MATCH($B6625,Rosters!$B$2:$B$155,0)),"NA")</f>
        <v>NA</v>
      </c>
      <c r="L6625" t="str">
        <f t="shared" si="309"/>
        <v>NA3WR</v>
      </c>
      <c r="M6625">
        <f>COUNTIF(L$1:L6625,L6625)</f>
        <v>90</v>
      </c>
      <c r="N6625" t="str">
        <f t="shared" si="310"/>
        <v>NA3WR-90</v>
      </c>
      <c r="O6625">
        <f>COUNTIFS(F$1:F6625,F6625,A$1:A6625,A6625)</f>
        <v>139</v>
      </c>
      <c r="P6625" t="str">
        <f t="shared" si="311"/>
        <v>Tim Patrick3</v>
      </c>
    </row>
    <row r="6626" spans="1:16" x14ac:dyDescent="0.25">
      <c r="A6626">
        <v>4</v>
      </c>
      <c r="B6626" t="s">
        <v>4258</v>
      </c>
      <c r="C6626" t="s">
        <v>3877</v>
      </c>
      <c r="D6626">
        <v>0.46</v>
      </c>
      <c r="E6626" t="s">
        <v>24</v>
      </c>
      <c r="F6626" t="s">
        <v>87</v>
      </c>
      <c r="G6626">
        <v>0.88</v>
      </c>
      <c r="H6626">
        <v>0.04</v>
      </c>
      <c r="I6626">
        <v>0.42</v>
      </c>
      <c r="J6626">
        <v>0.1764</v>
      </c>
      <c r="K6626" t="str">
        <f>IFERROR(INDEX(Rosters!$C$2:$C$155,MATCH($B6626,Rosters!$B$2:$B$155,0)),"NA")</f>
        <v>NA</v>
      </c>
      <c r="L6626" t="str">
        <f t="shared" si="309"/>
        <v>NA4WR</v>
      </c>
      <c r="M6626">
        <f>COUNTIF(L$1:L6626,L6626)</f>
        <v>87</v>
      </c>
      <c r="N6626" t="str">
        <f t="shared" si="310"/>
        <v>NA4WR-87</v>
      </c>
      <c r="O6626">
        <f>COUNTIFS(F$1:F6626,F6626,A$1:A6626,A6626)</f>
        <v>137</v>
      </c>
      <c r="P6626" t="str">
        <f t="shared" si="311"/>
        <v>Tim Patrick4</v>
      </c>
    </row>
    <row r="6627" spans="1:16" x14ac:dyDescent="0.25">
      <c r="A6627">
        <v>12</v>
      </c>
      <c r="B6627" t="s">
        <v>346</v>
      </c>
      <c r="C6627">
        <f>-0.02-0.92</f>
        <v>-0.94000000000000006</v>
      </c>
      <c r="D6627">
        <v>0.45</v>
      </c>
      <c r="E6627" t="s">
        <v>52</v>
      </c>
      <c r="F6627" t="s">
        <v>87</v>
      </c>
      <c r="G6627">
        <v>0.92</v>
      </c>
      <c r="H6627">
        <v>-0.02</v>
      </c>
      <c r="I6627">
        <v>0.47</v>
      </c>
      <c r="J6627" s="66">
        <v>0.22090000000000001</v>
      </c>
      <c r="K6627" t="str">
        <f>IFERROR(INDEX(Rosters!$C$2:$C$155,MATCH($B6627,Rosters!$B$2:$B$155,0)),"NA")</f>
        <v>NA</v>
      </c>
      <c r="L6627" t="str">
        <f t="shared" si="309"/>
        <v>NA12WR</v>
      </c>
      <c r="M6627">
        <f>COUNTIF(L$1:L6627,L6627)</f>
        <v>110</v>
      </c>
      <c r="N6627" t="str">
        <f t="shared" si="310"/>
        <v>NA12WR-110</v>
      </c>
      <c r="O6627">
        <f>COUNTIFS(F$1:F6627,F6627,A$1:A6627,A6627)</f>
        <v>159</v>
      </c>
      <c r="P6627" t="str">
        <f t="shared" si="311"/>
        <v>Alex Erickson12</v>
      </c>
    </row>
    <row r="6628" spans="1:16" x14ac:dyDescent="0.25">
      <c r="A6628">
        <v>3</v>
      </c>
      <c r="B6628" t="s">
        <v>276</v>
      </c>
      <c r="C6628">
        <f>-0.09-0.99</f>
        <v>-1.08</v>
      </c>
      <c r="D6628">
        <v>0.45</v>
      </c>
      <c r="E6628" t="s">
        <v>25</v>
      </c>
      <c r="F6628" t="s">
        <v>87</v>
      </c>
      <c r="G6628">
        <v>0.99</v>
      </c>
      <c r="H6628">
        <v>-0.09</v>
      </c>
      <c r="I6628">
        <v>0.54</v>
      </c>
      <c r="J6628" s="66">
        <v>0.29160000000000003</v>
      </c>
      <c r="K6628" t="str">
        <f>IFERROR(INDEX(Rosters!$C$2:$C$155,MATCH($B6628,Rosters!$B$2:$B$155,0)),"NA")</f>
        <v>NA</v>
      </c>
      <c r="L6628" t="str">
        <f t="shared" si="309"/>
        <v>NA3WR</v>
      </c>
      <c r="M6628">
        <f>COUNTIF(L$1:L6628,L6628)</f>
        <v>91</v>
      </c>
      <c r="N6628" t="str">
        <f t="shared" si="310"/>
        <v>NA3WR-91</v>
      </c>
      <c r="O6628">
        <f>COUNTIFS(F$1:F6628,F6628,A$1:A6628,A6628)</f>
        <v>140</v>
      </c>
      <c r="P6628" t="str">
        <f t="shared" si="311"/>
        <v>Andre Holmes3</v>
      </c>
    </row>
    <row r="6629" spans="1:16" x14ac:dyDescent="0.25">
      <c r="A6629">
        <v>8</v>
      </c>
      <c r="B6629" t="s">
        <v>3569</v>
      </c>
      <c r="C6629">
        <f>-0.04-0.94</f>
        <v>-0.98</v>
      </c>
      <c r="D6629">
        <v>0.45</v>
      </c>
      <c r="E6629" t="s">
        <v>50</v>
      </c>
      <c r="F6629" t="s">
        <v>47</v>
      </c>
      <c r="G6629">
        <v>0.94</v>
      </c>
      <c r="H6629">
        <v>-0.04</v>
      </c>
      <c r="I6629">
        <v>0.49</v>
      </c>
      <c r="J6629" s="66">
        <v>0.24010000000000001</v>
      </c>
      <c r="K6629" t="str">
        <f>IFERROR(INDEX(Rosters!$C$2:$C$155,MATCH($B6629,Rosters!$B$2:$B$155,0)),"NA")</f>
        <v>NA</v>
      </c>
      <c r="L6629" t="str">
        <f t="shared" si="309"/>
        <v>NA8RB</v>
      </c>
      <c r="M6629">
        <f>COUNTIF(L$1:L6629,L6629)</f>
        <v>65</v>
      </c>
      <c r="N6629" t="str">
        <f t="shared" si="310"/>
        <v>NA8RB-65</v>
      </c>
      <c r="O6629">
        <f>COUNTIFS(F$1:F6629,F6629,A$1:A6629,A6629)</f>
        <v>105</v>
      </c>
      <c r="P6629" t="str">
        <f t="shared" si="311"/>
        <v>Brandon Wilds8</v>
      </c>
    </row>
    <row r="6630" spans="1:16" x14ac:dyDescent="0.25">
      <c r="A6630">
        <v>10</v>
      </c>
      <c r="B6630" t="s">
        <v>2947</v>
      </c>
      <c r="C6630">
        <f>-0.03-0.93</f>
        <v>-0.96000000000000008</v>
      </c>
      <c r="D6630">
        <v>0.45</v>
      </c>
      <c r="E6630" t="s">
        <v>52</v>
      </c>
      <c r="F6630" t="s">
        <v>47</v>
      </c>
      <c r="G6630">
        <v>0.93</v>
      </c>
      <c r="H6630">
        <v>-0.03</v>
      </c>
      <c r="I6630">
        <v>0.48</v>
      </c>
      <c r="J6630" s="66">
        <v>0.23039999999999999</v>
      </c>
      <c r="K6630" t="str">
        <f>IFERROR(INDEX(Rosters!$C$2:$C$155,MATCH($B6630,Rosters!$B$2:$B$155,0)),"NA")</f>
        <v>NA</v>
      </c>
      <c r="L6630" t="str">
        <f t="shared" si="309"/>
        <v>NA10RB</v>
      </c>
      <c r="M6630">
        <f>COUNTIF(L$1:L6630,L6630)</f>
        <v>63</v>
      </c>
      <c r="N6630" t="str">
        <f t="shared" si="310"/>
        <v>NA10RB-63</v>
      </c>
      <c r="O6630">
        <f>COUNTIFS(F$1:F6630,F6630,A$1:A6630,A6630)</f>
        <v>102</v>
      </c>
      <c r="P6630" t="str">
        <f t="shared" si="311"/>
        <v>Brian Hill10</v>
      </c>
    </row>
    <row r="6631" spans="1:16" x14ac:dyDescent="0.25">
      <c r="A6631">
        <v>15</v>
      </c>
      <c r="B6631" t="s">
        <v>2947</v>
      </c>
      <c r="C6631" t="s">
        <v>4262</v>
      </c>
      <c r="D6631">
        <v>0.45</v>
      </c>
      <c r="E6631" t="s">
        <v>58</v>
      </c>
      <c r="F6631" t="s">
        <v>47</v>
      </c>
      <c r="G6631">
        <v>0.89</v>
      </c>
      <c r="H6631">
        <v>0.01</v>
      </c>
      <c r="I6631">
        <v>0.44</v>
      </c>
      <c r="J6631" s="66">
        <v>0.19359999999999999</v>
      </c>
      <c r="K6631" t="str">
        <f>IFERROR(INDEX(Rosters!$C$2:$C$155,MATCH($B6631,Rosters!$B$2:$B$155,0)),"NA")</f>
        <v>NA</v>
      </c>
      <c r="L6631" t="str">
        <f t="shared" si="309"/>
        <v>NA15RB</v>
      </c>
      <c r="M6631">
        <f>COUNTIF(L$1:L6631,L6631)</f>
        <v>76</v>
      </c>
      <c r="N6631" t="str">
        <f t="shared" si="310"/>
        <v>NA15RB-76</v>
      </c>
      <c r="O6631">
        <f>COUNTIFS(F$1:F6631,F6631,A$1:A6631,A6631)</f>
        <v>123</v>
      </c>
      <c r="P6631" t="str">
        <f t="shared" si="311"/>
        <v>Brian Hill15</v>
      </c>
    </row>
    <row r="6632" spans="1:16" x14ac:dyDescent="0.25">
      <c r="A6632">
        <v>5</v>
      </c>
      <c r="B6632" t="s">
        <v>8901</v>
      </c>
      <c r="C6632">
        <f>-0.11-1.01</f>
        <v>-1.1200000000000001</v>
      </c>
      <c r="D6632">
        <v>0.45</v>
      </c>
      <c r="E6632" t="s">
        <v>73</v>
      </c>
      <c r="F6632" t="s">
        <v>114</v>
      </c>
      <c r="G6632">
        <v>1.01</v>
      </c>
      <c r="H6632">
        <v>-0.11</v>
      </c>
      <c r="I6632">
        <v>0.56000000000000005</v>
      </c>
      <c r="J6632" s="66">
        <v>0.31359999999999999</v>
      </c>
      <c r="K6632" t="str">
        <f>IFERROR(INDEX(Rosters!$C$2:$C$155,MATCH($B6632,Rosters!$B$2:$B$155,0)),"NA")</f>
        <v>NA</v>
      </c>
      <c r="L6632" t="str">
        <f t="shared" si="309"/>
        <v>NA5TE</v>
      </c>
      <c r="M6632">
        <f>COUNTIF(L$1:L6632,L6632)</f>
        <v>70</v>
      </c>
      <c r="N6632" t="str">
        <f t="shared" si="310"/>
        <v>NA5TE-70</v>
      </c>
      <c r="O6632">
        <f>COUNTIFS(F$1:F6632,F6632,A$1:A6632,A6632)</f>
        <v>81</v>
      </c>
      <c r="P6632" t="str">
        <f t="shared" si="311"/>
        <v>Brian Parker5</v>
      </c>
    </row>
    <row r="6633" spans="1:16" x14ac:dyDescent="0.25">
      <c r="A6633">
        <v>5</v>
      </c>
      <c r="B6633" t="s">
        <v>1549</v>
      </c>
      <c r="C6633">
        <f>-0.16-1.06</f>
        <v>-1.22</v>
      </c>
      <c r="D6633">
        <v>0.45</v>
      </c>
      <c r="E6633" t="s">
        <v>50</v>
      </c>
      <c r="F6633" t="s">
        <v>47</v>
      </c>
      <c r="G6633">
        <v>1.06</v>
      </c>
      <c r="H6633">
        <v>-0.16</v>
      </c>
      <c r="I6633">
        <v>0.61</v>
      </c>
      <c r="J6633" s="66">
        <v>0.37209999999999999</v>
      </c>
      <c r="K6633" t="str">
        <f>IFERROR(INDEX(Rosters!$C$2:$C$155,MATCH($B6633,Rosters!$B$2:$B$155,0)),"NA")</f>
        <v>NA</v>
      </c>
      <c r="L6633" t="str">
        <f t="shared" si="309"/>
        <v>NA5RB</v>
      </c>
      <c r="M6633">
        <f>COUNTIF(L$1:L6633,L6633)</f>
        <v>64</v>
      </c>
      <c r="N6633" t="str">
        <f t="shared" si="310"/>
        <v>NA5RB-64</v>
      </c>
      <c r="O6633">
        <f>COUNTIFS(F$1:F6633,F6633,A$1:A6633,A6633)</f>
        <v>107</v>
      </c>
      <c r="P6633" t="str">
        <f t="shared" si="311"/>
        <v>C.J. Ham5</v>
      </c>
    </row>
    <row r="6634" spans="1:16" x14ac:dyDescent="0.25">
      <c r="A6634">
        <v>12</v>
      </c>
      <c r="B6634" t="s">
        <v>1549</v>
      </c>
      <c r="C6634" t="s">
        <v>3880</v>
      </c>
      <c r="D6634">
        <v>0.45</v>
      </c>
      <c r="E6634" t="s">
        <v>41</v>
      </c>
      <c r="F6634" t="s">
        <v>47</v>
      </c>
      <c r="G6634">
        <v>0.9</v>
      </c>
      <c r="H6634">
        <v>0</v>
      </c>
      <c r="I6634">
        <v>0.45</v>
      </c>
      <c r="J6634" s="66">
        <v>0.20250000000000001</v>
      </c>
      <c r="K6634" t="str">
        <f>IFERROR(INDEX(Rosters!$C$2:$C$155,MATCH($B6634,Rosters!$B$2:$B$155,0)),"NA")</f>
        <v>NA</v>
      </c>
      <c r="L6634" t="str">
        <f t="shared" si="309"/>
        <v>NA12RB</v>
      </c>
      <c r="M6634">
        <f>COUNTIF(L$1:L6634,L6634)</f>
        <v>71</v>
      </c>
      <c r="N6634" t="str">
        <f t="shared" si="310"/>
        <v>NA12RB-71</v>
      </c>
      <c r="O6634">
        <f>COUNTIFS(F$1:F6634,F6634,A$1:A6634,A6634)</f>
        <v>116</v>
      </c>
      <c r="P6634" t="str">
        <f t="shared" si="311"/>
        <v>C.J. Ham12</v>
      </c>
    </row>
    <row r="6635" spans="1:16" x14ac:dyDescent="0.25">
      <c r="A6635">
        <v>7</v>
      </c>
      <c r="B6635" t="s">
        <v>4221</v>
      </c>
      <c r="C6635">
        <f>-0.07-0.97</f>
        <v>-1.04</v>
      </c>
      <c r="D6635">
        <v>0.45</v>
      </c>
      <c r="E6635" t="s">
        <v>25</v>
      </c>
      <c r="F6635" t="s">
        <v>114</v>
      </c>
      <c r="G6635">
        <v>0.97</v>
      </c>
      <c r="H6635">
        <v>-7.0000000000000007E-2</v>
      </c>
      <c r="I6635">
        <v>0.52</v>
      </c>
      <c r="J6635" s="66">
        <v>0.27039999999999997</v>
      </c>
      <c r="K6635" t="str">
        <f>IFERROR(INDEX(Rosters!$C$2:$C$155,MATCH($B6635,Rosters!$B$2:$B$155,0)),"NA")</f>
        <v>NA</v>
      </c>
      <c r="L6635" t="str">
        <f t="shared" si="309"/>
        <v>NA7TE</v>
      </c>
      <c r="M6635">
        <f>COUNTIF(L$1:L6635,L6635)</f>
        <v>70</v>
      </c>
      <c r="N6635" t="str">
        <f t="shared" si="310"/>
        <v>NA7TE-70</v>
      </c>
      <c r="O6635">
        <f>COUNTIFS(F$1:F6635,F6635,A$1:A6635,A6635)</f>
        <v>80</v>
      </c>
      <c r="P6635" t="str">
        <f t="shared" si="311"/>
        <v>Chris Herndon7</v>
      </c>
    </row>
    <row r="6636" spans="1:16" x14ac:dyDescent="0.25">
      <c r="A6636">
        <v>13</v>
      </c>
      <c r="B6636" t="s">
        <v>4221</v>
      </c>
      <c r="C6636">
        <f>-0.04-0.94</f>
        <v>-0.98</v>
      </c>
      <c r="D6636">
        <v>0.45</v>
      </c>
      <c r="E6636" t="s">
        <v>38</v>
      </c>
      <c r="F6636" t="s">
        <v>114</v>
      </c>
      <c r="G6636">
        <v>0.94</v>
      </c>
      <c r="H6636">
        <v>-0.04</v>
      </c>
      <c r="I6636">
        <v>0.49</v>
      </c>
      <c r="J6636" s="66">
        <v>0.24010000000000001</v>
      </c>
      <c r="K6636" t="str">
        <f>IFERROR(INDEX(Rosters!$C$2:$C$155,MATCH($B6636,Rosters!$B$2:$B$155,0)),"NA")</f>
        <v>NA</v>
      </c>
      <c r="L6636" t="str">
        <f t="shared" si="309"/>
        <v>NA13TE</v>
      </c>
      <c r="M6636">
        <f>COUNTIF(L$1:L6636,L6636)</f>
        <v>78</v>
      </c>
      <c r="N6636" t="str">
        <f t="shared" si="310"/>
        <v>NA13TE-78</v>
      </c>
      <c r="O6636">
        <f>COUNTIFS(F$1:F6636,F6636,A$1:A6636,A6636)</f>
        <v>92</v>
      </c>
      <c r="P6636" t="str">
        <f t="shared" si="311"/>
        <v>Chris Herndon13</v>
      </c>
    </row>
    <row r="6637" spans="1:16" x14ac:dyDescent="0.25">
      <c r="A6637">
        <v>4</v>
      </c>
      <c r="B6637" t="s">
        <v>357</v>
      </c>
      <c r="C6637">
        <f>-0.06-0.96</f>
        <v>-1.02</v>
      </c>
      <c r="D6637">
        <v>0.45</v>
      </c>
      <c r="E6637" t="s">
        <v>51</v>
      </c>
      <c r="F6637" t="s">
        <v>87</v>
      </c>
      <c r="G6637">
        <v>0.96</v>
      </c>
      <c r="H6637">
        <v>-0.06</v>
      </c>
      <c r="I6637">
        <v>0.51</v>
      </c>
      <c r="J6637" s="66">
        <v>0.2601</v>
      </c>
      <c r="K6637" t="str">
        <f>IFERROR(INDEX(Rosters!$C$2:$C$155,MATCH($B6637,Rosters!$B$2:$B$155,0)),"NA")</f>
        <v>NA</v>
      </c>
      <c r="L6637" t="str">
        <f t="shared" si="309"/>
        <v>NA4WR</v>
      </c>
      <c r="M6637">
        <f>COUNTIF(L$1:L6637,L6637)</f>
        <v>88</v>
      </c>
      <c r="N6637" t="str">
        <f t="shared" si="310"/>
        <v>NA4WR-88</v>
      </c>
      <c r="O6637">
        <f>COUNTIFS(F$1:F6637,F6637,A$1:A6637,A6637)</f>
        <v>138</v>
      </c>
      <c r="P6637" t="str">
        <f t="shared" si="311"/>
        <v>Chris Moore4</v>
      </c>
    </row>
    <row r="6638" spans="1:16" x14ac:dyDescent="0.25">
      <c r="A6638">
        <v>11</v>
      </c>
      <c r="B6638" t="s">
        <v>342</v>
      </c>
      <c r="C6638">
        <f>-0.02-0.92</f>
        <v>-0.94000000000000006</v>
      </c>
      <c r="D6638">
        <v>0.45</v>
      </c>
      <c r="E6638" t="s">
        <v>77</v>
      </c>
      <c r="F6638" t="s">
        <v>87</v>
      </c>
      <c r="G6638">
        <v>0.92</v>
      </c>
      <c r="H6638">
        <v>-0.02</v>
      </c>
      <c r="I6638">
        <v>0.47</v>
      </c>
      <c r="J6638">
        <v>0.22090000000000001</v>
      </c>
      <c r="K6638" t="str">
        <f>IFERROR(INDEX(Rosters!$C$2:$C$155,MATCH($B6638,Rosters!$B$2:$B$155,0)),"NA")</f>
        <v>NA</v>
      </c>
      <c r="L6638" t="str">
        <f t="shared" si="309"/>
        <v>NA11WR</v>
      </c>
      <c r="M6638">
        <f>COUNTIF(L$1:L6638,L6638)</f>
        <v>91</v>
      </c>
      <c r="N6638" t="str">
        <f t="shared" si="310"/>
        <v>NA11WR-91</v>
      </c>
      <c r="O6638">
        <f>COUNTIFS(F$1:F6638,F6638,A$1:A6638,A6638)</f>
        <v>138</v>
      </c>
      <c r="P6638" t="str">
        <f t="shared" si="311"/>
        <v>Cody Core11</v>
      </c>
    </row>
    <row r="6639" spans="1:16" x14ac:dyDescent="0.25">
      <c r="A6639">
        <v>5</v>
      </c>
      <c r="B6639" t="s">
        <v>1562</v>
      </c>
      <c r="C6639">
        <f>-0.1-1</f>
        <v>-1.1000000000000001</v>
      </c>
      <c r="D6639">
        <v>0.45</v>
      </c>
      <c r="E6639" t="s">
        <v>58</v>
      </c>
      <c r="F6639" t="s">
        <v>114</v>
      </c>
      <c r="G6639">
        <v>1</v>
      </c>
      <c r="H6639">
        <v>-0.1</v>
      </c>
      <c r="I6639">
        <v>0.55000000000000004</v>
      </c>
      <c r="J6639">
        <v>0.30249999999999999</v>
      </c>
      <c r="K6639" t="str">
        <f>IFERROR(INDEX(Rosters!$C$2:$C$155,MATCH($B6639,Rosters!$B$2:$B$155,0)),"NA")</f>
        <v>NA</v>
      </c>
      <c r="L6639" t="str">
        <f t="shared" si="309"/>
        <v>NA5TE</v>
      </c>
      <c r="M6639">
        <f>COUNTIF(L$1:L6639,L6639)</f>
        <v>71</v>
      </c>
      <c r="N6639" t="str">
        <f t="shared" si="310"/>
        <v>NA5TE-71</v>
      </c>
      <c r="O6639">
        <f>COUNTIFS(F$1:F6639,F6639,A$1:A6639,A6639)</f>
        <v>82</v>
      </c>
      <c r="P6639" t="str">
        <f t="shared" si="311"/>
        <v>Cole Wick5</v>
      </c>
    </row>
    <row r="6640" spans="1:16" x14ac:dyDescent="0.25">
      <c r="A6640">
        <v>3</v>
      </c>
      <c r="B6640" t="s">
        <v>1115</v>
      </c>
      <c r="C6640">
        <f>-0.07-0.97</f>
        <v>-1.04</v>
      </c>
      <c r="D6640">
        <v>0.45</v>
      </c>
      <c r="E6640" t="s">
        <v>76</v>
      </c>
      <c r="F6640" t="s">
        <v>87</v>
      </c>
      <c r="G6640">
        <v>0.97</v>
      </c>
      <c r="H6640">
        <v>-7.0000000000000007E-2</v>
      </c>
      <c r="I6640">
        <v>0.52</v>
      </c>
      <c r="J6640">
        <v>0.27039999999999997</v>
      </c>
      <c r="K6640" t="str">
        <f>IFERROR(INDEX(Rosters!$C$2:$C$155,MATCH($B6640,Rosters!$B$2:$B$155,0)),"NA")</f>
        <v>NA</v>
      </c>
      <c r="L6640" t="str">
        <f t="shared" si="309"/>
        <v>NA3WR</v>
      </c>
      <c r="M6640">
        <f>COUNTIF(L$1:L6640,L6640)</f>
        <v>92</v>
      </c>
      <c r="N6640" t="str">
        <f t="shared" si="310"/>
        <v>NA3WR-92</v>
      </c>
      <c r="O6640">
        <f>COUNTIFS(F$1:F6640,F6640,A$1:A6640,A6640)</f>
        <v>141</v>
      </c>
      <c r="P6640" t="str">
        <f t="shared" si="311"/>
        <v>Darius Jennings3</v>
      </c>
    </row>
    <row r="6641" spans="1:16" x14ac:dyDescent="0.25">
      <c r="A6641">
        <v>14</v>
      </c>
      <c r="B6641" t="s">
        <v>341</v>
      </c>
      <c r="C6641">
        <f>-0.05-0.95</f>
        <v>-1</v>
      </c>
      <c r="D6641">
        <v>0.45</v>
      </c>
      <c r="E6641" t="s">
        <v>77</v>
      </c>
      <c r="F6641" t="s">
        <v>87</v>
      </c>
      <c r="G6641">
        <v>0.95</v>
      </c>
      <c r="H6641">
        <v>-0.05</v>
      </c>
      <c r="I6641">
        <v>0.5</v>
      </c>
      <c r="J6641">
        <v>0.25</v>
      </c>
      <c r="K6641" t="str">
        <f>IFERROR(INDEX(Rosters!$C$2:$C$155,MATCH($B6641,Rosters!$B$2:$B$155,0)),"NA")</f>
        <v>NA</v>
      </c>
      <c r="L6641" t="str">
        <f t="shared" si="309"/>
        <v>NA14WR</v>
      </c>
      <c r="M6641">
        <f>COUNTIF(L$1:L6641,L6641)</f>
        <v>113</v>
      </c>
      <c r="N6641" t="str">
        <f t="shared" si="310"/>
        <v>NA14WR-113</v>
      </c>
      <c r="O6641">
        <f>COUNTIFS(F$1:F6641,F6641,A$1:A6641,A6641)</f>
        <v>167</v>
      </c>
      <c r="P6641" t="str">
        <f t="shared" si="311"/>
        <v>Demarcus Robinson14</v>
      </c>
    </row>
    <row r="6642" spans="1:16" x14ac:dyDescent="0.25">
      <c r="A6642">
        <v>16</v>
      </c>
      <c r="B6642" t="s">
        <v>341</v>
      </c>
      <c r="C6642">
        <f>-0.04-0.94</f>
        <v>-0.98</v>
      </c>
      <c r="D6642">
        <v>0.45</v>
      </c>
      <c r="E6642" t="s">
        <v>28</v>
      </c>
      <c r="F6642" t="s">
        <v>87</v>
      </c>
      <c r="G6642">
        <v>0.94</v>
      </c>
      <c r="H6642">
        <v>-0.04</v>
      </c>
      <c r="I6642">
        <v>0.49</v>
      </c>
      <c r="J6642" s="66">
        <v>0.24010000000000001</v>
      </c>
      <c r="K6642" t="str">
        <f>IFERROR(INDEX(Rosters!$C$2:$C$155,MATCH($B6642,Rosters!$B$2:$B$155,0)),"NA")</f>
        <v>NA</v>
      </c>
      <c r="L6642" t="str">
        <f t="shared" si="309"/>
        <v>NA16WR</v>
      </c>
      <c r="M6642">
        <f>COUNTIF(L$1:L6642,L6642)</f>
        <v>114</v>
      </c>
      <c r="N6642" t="str">
        <f t="shared" si="310"/>
        <v>NA16WR-114</v>
      </c>
      <c r="O6642">
        <f>COUNTIFS(F$1:F6642,F6642,A$1:A6642,A6642)</f>
        <v>168</v>
      </c>
      <c r="P6642" t="str">
        <f t="shared" si="311"/>
        <v>Demarcus Robinson16</v>
      </c>
    </row>
    <row r="6643" spans="1:16" x14ac:dyDescent="0.25">
      <c r="A6643">
        <v>13</v>
      </c>
      <c r="B6643" t="s">
        <v>1127</v>
      </c>
      <c r="C6643">
        <f>-0.09-0.99</f>
        <v>-1.08</v>
      </c>
      <c r="D6643">
        <v>0.45</v>
      </c>
      <c r="E6643" t="s">
        <v>24</v>
      </c>
      <c r="F6643" t="s">
        <v>87</v>
      </c>
      <c r="G6643">
        <v>0.99</v>
      </c>
      <c r="H6643">
        <v>-0.09</v>
      </c>
      <c r="I6643">
        <v>0.54</v>
      </c>
      <c r="J6643" s="66">
        <v>0.29160000000000003</v>
      </c>
      <c r="K6643" t="str">
        <f>IFERROR(INDEX(Rosters!$C$2:$C$155,MATCH($B6643,Rosters!$B$2:$B$155,0)),"NA")</f>
        <v>NA</v>
      </c>
      <c r="L6643" t="str">
        <f t="shared" si="309"/>
        <v>NA13WR</v>
      </c>
      <c r="M6643">
        <f>COUNTIF(L$1:L6643,L6643)</f>
        <v>111</v>
      </c>
      <c r="N6643" t="str">
        <f t="shared" si="310"/>
        <v>NA13WR-111</v>
      </c>
      <c r="O6643">
        <f>COUNTIFS(F$1:F6643,F6643,A$1:A6643,A6643)</f>
        <v>165</v>
      </c>
      <c r="P6643" t="str">
        <f t="shared" si="311"/>
        <v>Dwayne Harris13</v>
      </c>
    </row>
    <row r="6644" spans="1:16" x14ac:dyDescent="0.25">
      <c r="A6644">
        <v>4</v>
      </c>
      <c r="B6644" t="s">
        <v>1624</v>
      </c>
      <c r="C6644">
        <f>-0.08-0.98</f>
        <v>-1.06</v>
      </c>
      <c r="D6644">
        <v>0.45</v>
      </c>
      <c r="E6644" t="s">
        <v>28</v>
      </c>
      <c r="F6644" t="s">
        <v>114</v>
      </c>
      <c r="G6644">
        <v>0.98</v>
      </c>
      <c r="H6644">
        <v>-0.08</v>
      </c>
      <c r="I6644">
        <v>0.53</v>
      </c>
      <c r="J6644" s="66">
        <v>0.28089999999999998</v>
      </c>
      <c r="K6644" t="str">
        <f>IFERROR(INDEX(Rosters!$C$2:$C$155,MATCH($B6644,Rosters!$B$2:$B$155,0)),"NA")</f>
        <v>NA</v>
      </c>
      <c r="L6644" t="str">
        <f t="shared" si="309"/>
        <v>NA4TE</v>
      </c>
      <c r="M6644">
        <f>COUNTIF(L$1:L6644,L6644)</f>
        <v>63</v>
      </c>
      <c r="N6644" t="str">
        <f t="shared" si="310"/>
        <v>NA4TE-63</v>
      </c>
      <c r="O6644">
        <f>COUNTIFS(F$1:F6644,F6644,A$1:A6644,A6644)</f>
        <v>74</v>
      </c>
      <c r="P6644" t="str">
        <f t="shared" si="311"/>
        <v>Gabe Holmes4</v>
      </c>
    </row>
    <row r="6645" spans="1:16" x14ac:dyDescent="0.25">
      <c r="A6645">
        <v>5</v>
      </c>
      <c r="B6645" t="s">
        <v>1624</v>
      </c>
      <c r="C6645">
        <f>-0.11-1.01</f>
        <v>-1.1200000000000001</v>
      </c>
      <c r="D6645">
        <v>0.45</v>
      </c>
      <c r="E6645" t="s">
        <v>30</v>
      </c>
      <c r="F6645" t="s">
        <v>114</v>
      </c>
      <c r="G6645">
        <v>1.01</v>
      </c>
      <c r="H6645">
        <v>-0.11</v>
      </c>
      <c r="I6645">
        <v>0.56000000000000005</v>
      </c>
      <c r="J6645" s="66">
        <v>0.31359999999999999</v>
      </c>
      <c r="K6645" t="str">
        <f>IFERROR(INDEX(Rosters!$C$2:$C$155,MATCH($B6645,Rosters!$B$2:$B$155,0)),"NA")</f>
        <v>NA</v>
      </c>
      <c r="L6645" t="str">
        <f t="shared" si="309"/>
        <v>NA5TE</v>
      </c>
      <c r="M6645">
        <f>COUNTIF(L$1:L6645,L6645)</f>
        <v>72</v>
      </c>
      <c r="N6645" t="str">
        <f t="shared" si="310"/>
        <v>NA5TE-72</v>
      </c>
      <c r="O6645">
        <f>COUNTIFS(F$1:F6645,F6645,A$1:A6645,A6645)</f>
        <v>83</v>
      </c>
      <c r="P6645" t="str">
        <f t="shared" si="311"/>
        <v>Gabe Holmes5</v>
      </c>
    </row>
    <row r="6646" spans="1:16" x14ac:dyDescent="0.25">
      <c r="A6646">
        <v>11</v>
      </c>
      <c r="B6646" t="s">
        <v>1607</v>
      </c>
      <c r="C6646" t="s">
        <v>1626</v>
      </c>
      <c r="D6646">
        <v>0.45</v>
      </c>
      <c r="E6646" t="s">
        <v>74</v>
      </c>
      <c r="F6646" t="s">
        <v>114</v>
      </c>
      <c r="G6646">
        <v>0.87</v>
      </c>
      <c r="H6646">
        <v>0.03</v>
      </c>
      <c r="I6646">
        <v>0.42</v>
      </c>
      <c r="J6646" s="66">
        <v>0.1764</v>
      </c>
      <c r="K6646" t="str">
        <f>IFERROR(INDEX(Rosters!$C$2:$C$155,MATCH($B6646,Rosters!$B$2:$B$155,0)),"NA")</f>
        <v>NA</v>
      </c>
      <c r="L6646" t="str">
        <f t="shared" si="309"/>
        <v>NA11TE</v>
      </c>
      <c r="M6646">
        <f>COUNTIF(L$1:L6646,L6646)</f>
        <v>62</v>
      </c>
      <c r="N6646" t="str">
        <f t="shared" si="310"/>
        <v>NA11TE-62</v>
      </c>
      <c r="O6646">
        <f>COUNTIFS(F$1:F6646,F6646,A$1:A6646,A6646)</f>
        <v>74</v>
      </c>
      <c r="P6646" t="str">
        <f t="shared" si="311"/>
        <v>Hakeem Valles11</v>
      </c>
    </row>
    <row r="6647" spans="1:16" x14ac:dyDescent="0.25">
      <c r="A6647">
        <v>16</v>
      </c>
      <c r="B6647" t="s">
        <v>1607</v>
      </c>
      <c r="C6647" t="s">
        <v>8922</v>
      </c>
      <c r="D6647">
        <v>0.45</v>
      </c>
      <c r="E6647" t="s">
        <v>25</v>
      </c>
      <c r="F6647" t="s">
        <v>114</v>
      </c>
      <c r="G6647">
        <v>0.86</v>
      </c>
      <c r="H6647">
        <v>0.04</v>
      </c>
      <c r="I6647">
        <v>0.41</v>
      </c>
      <c r="J6647" s="66">
        <v>0.1681</v>
      </c>
      <c r="K6647" t="str">
        <f>IFERROR(INDEX(Rosters!$C$2:$C$155,MATCH($B6647,Rosters!$B$2:$B$155,0)),"NA")</f>
        <v>NA</v>
      </c>
      <c r="L6647" t="str">
        <f t="shared" si="309"/>
        <v>NA16TE</v>
      </c>
      <c r="M6647">
        <f>COUNTIF(L$1:L6647,L6647)</f>
        <v>80</v>
      </c>
      <c r="N6647" t="str">
        <f t="shared" si="310"/>
        <v>NA16TE-80</v>
      </c>
      <c r="O6647">
        <f>COUNTIFS(F$1:F6647,F6647,A$1:A6647,A6647)</f>
        <v>94</v>
      </c>
      <c r="P6647" t="str">
        <f t="shared" si="311"/>
        <v>Hakeem Valles16</v>
      </c>
    </row>
    <row r="6648" spans="1:16" x14ac:dyDescent="0.25">
      <c r="A6648">
        <v>13</v>
      </c>
      <c r="B6648" t="s">
        <v>4244</v>
      </c>
      <c r="C6648">
        <f>-0.18-1.08</f>
        <v>-1.26</v>
      </c>
      <c r="D6648">
        <v>0.45</v>
      </c>
      <c r="E6648" t="s">
        <v>51</v>
      </c>
      <c r="F6648" t="s">
        <v>87</v>
      </c>
      <c r="G6648">
        <v>1.08</v>
      </c>
      <c r="H6648">
        <v>-0.18</v>
      </c>
      <c r="I6648">
        <v>0.63</v>
      </c>
      <c r="J6648" s="66">
        <v>0.39689999999999998</v>
      </c>
      <c r="K6648" t="str">
        <f>IFERROR(INDEX(Rosters!$C$2:$C$155,MATCH($B6648,Rosters!$B$2:$B$155,0)),"NA")</f>
        <v>NA</v>
      </c>
      <c r="L6648" t="str">
        <f t="shared" si="309"/>
        <v>NA13WR</v>
      </c>
      <c r="M6648">
        <f>COUNTIF(L$1:L6648,L6648)</f>
        <v>112</v>
      </c>
      <c r="N6648" t="str">
        <f t="shared" si="310"/>
        <v>NA13WR-112</v>
      </c>
      <c r="O6648">
        <f>COUNTIFS(F$1:F6648,F6648,A$1:A6648,A6648)</f>
        <v>166</v>
      </c>
      <c r="P6648" t="str">
        <f t="shared" si="311"/>
        <v>J.J. Jones13</v>
      </c>
    </row>
    <row r="6649" spans="1:16" x14ac:dyDescent="0.25">
      <c r="A6649">
        <v>7</v>
      </c>
      <c r="B6649" t="s">
        <v>4252</v>
      </c>
      <c r="C6649" t="s">
        <v>8922</v>
      </c>
      <c r="D6649">
        <v>0.45</v>
      </c>
      <c r="E6649" t="s">
        <v>74</v>
      </c>
      <c r="F6649" t="s">
        <v>114</v>
      </c>
      <c r="G6649">
        <v>0.86</v>
      </c>
      <c r="H6649">
        <v>0.04</v>
      </c>
      <c r="I6649">
        <v>0.41</v>
      </c>
      <c r="J6649" s="66">
        <v>0.1681</v>
      </c>
      <c r="K6649" t="str">
        <f>IFERROR(INDEX(Rosters!$C$2:$C$155,MATCH($B6649,Rosters!$B$2:$B$155,0)),"NA")</f>
        <v>NA</v>
      </c>
      <c r="L6649" t="str">
        <f t="shared" si="309"/>
        <v>NA7TE</v>
      </c>
      <c r="M6649">
        <f>COUNTIF(L$1:L6649,L6649)</f>
        <v>71</v>
      </c>
      <c r="N6649" t="str">
        <f t="shared" si="310"/>
        <v>NA7TE-71</v>
      </c>
      <c r="O6649">
        <f>COUNTIFS(F$1:F6649,F6649,A$1:A6649,A6649)</f>
        <v>81</v>
      </c>
      <c r="P6649" t="str">
        <f t="shared" si="311"/>
        <v>Joshua Perkins7</v>
      </c>
    </row>
    <row r="6650" spans="1:16" x14ac:dyDescent="0.25">
      <c r="A6650">
        <v>15</v>
      </c>
      <c r="B6650" t="s">
        <v>4252</v>
      </c>
      <c r="C6650">
        <f>-0.14-1.04</f>
        <v>-1.1800000000000002</v>
      </c>
      <c r="D6650">
        <v>0.45</v>
      </c>
      <c r="E6650" t="s">
        <v>56</v>
      </c>
      <c r="F6650" t="s">
        <v>114</v>
      </c>
      <c r="G6650">
        <v>1.04</v>
      </c>
      <c r="H6650">
        <v>-0.14000000000000001</v>
      </c>
      <c r="I6650">
        <v>0.59</v>
      </c>
      <c r="J6650" s="66">
        <v>0.34810000000000002</v>
      </c>
      <c r="K6650" t="str">
        <f>IFERROR(INDEX(Rosters!$C$2:$C$155,MATCH($B6650,Rosters!$B$2:$B$155,0)),"NA")</f>
        <v>NA</v>
      </c>
      <c r="L6650" t="str">
        <f t="shared" si="309"/>
        <v>NA15TE</v>
      </c>
      <c r="M6650">
        <f>COUNTIF(L$1:L6650,L6650)</f>
        <v>76</v>
      </c>
      <c r="N6650" t="str">
        <f t="shared" si="310"/>
        <v>NA15TE-76</v>
      </c>
      <c r="O6650">
        <f>COUNTIFS(F$1:F6650,F6650,A$1:A6650,A6650)</f>
        <v>90</v>
      </c>
      <c r="P6650" t="str">
        <f t="shared" si="311"/>
        <v>Joshua Perkins15</v>
      </c>
    </row>
    <row r="6651" spans="1:16" x14ac:dyDescent="0.25">
      <c r="A6651">
        <v>17</v>
      </c>
      <c r="B6651" t="s">
        <v>4252</v>
      </c>
      <c r="C6651">
        <f>-0.15-1.05</f>
        <v>-1.2</v>
      </c>
      <c r="D6651">
        <v>0.45</v>
      </c>
      <c r="E6651" t="s">
        <v>60</v>
      </c>
      <c r="F6651" t="s">
        <v>114</v>
      </c>
      <c r="G6651">
        <v>1.05</v>
      </c>
      <c r="H6651">
        <v>-0.15</v>
      </c>
      <c r="I6651">
        <v>0.6</v>
      </c>
      <c r="J6651" s="66">
        <v>0.36</v>
      </c>
      <c r="K6651" t="str">
        <f>IFERROR(INDEX(Rosters!$C$2:$C$155,MATCH($B6651,Rosters!$B$2:$B$155,0)),"NA")</f>
        <v>NA</v>
      </c>
      <c r="L6651" t="str">
        <f t="shared" si="309"/>
        <v>NA17TE</v>
      </c>
      <c r="M6651">
        <f>COUNTIF(L$1:L6651,L6651)</f>
        <v>77</v>
      </c>
      <c r="N6651" t="str">
        <f t="shared" si="310"/>
        <v>NA17TE-77</v>
      </c>
      <c r="O6651">
        <f>COUNTIFS(F$1:F6651,F6651,A$1:A6651,A6651)</f>
        <v>91</v>
      </c>
      <c r="P6651" t="str">
        <f t="shared" si="311"/>
        <v>Joshua Perkins17</v>
      </c>
    </row>
    <row r="6652" spans="1:16" x14ac:dyDescent="0.25">
      <c r="A6652">
        <v>9</v>
      </c>
      <c r="B6652" t="s">
        <v>1473</v>
      </c>
      <c r="C6652">
        <f>-0.06-0.96</f>
        <v>-1.02</v>
      </c>
      <c r="D6652">
        <v>0.45</v>
      </c>
      <c r="E6652" t="s">
        <v>28</v>
      </c>
      <c r="F6652" t="s">
        <v>47</v>
      </c>
      <c r="G6652">
        <v>0.96</v>
      </c>
      <c r="H6652">
        <v>-0.06</v>
      </c>
      <c r="I6652">
        <v>0.51</v>
      </c>
      <c r="J6652" s="66">
        <v>0.2601</v>
      </c>
      <c r="K6652" t="str">
        <f>IFERROR(INDEX(Rosters!$C$2:$C$155,MATCH($B6652,Rosters!$B$2:$B$155,0)),"NA")</f>
        <v>NA</v>
      </c>
      <c r="L6652" t="str">
        <f t="shared" si="309"/>
        <v>NA9RB</v>
      </c>
      <c r="M6652">
        <f>COUNTIF(L$1:L6652,L6652)</f>
        <v>58</v>
      </c>
      <c r="N6652" t="str">
        <f t="shared" si="310"/>
        <v>NA9RB-58</v>
      </c>
      <c r="O6652">
        <f>COUNTIFS(F$1:F6652,F6652,A$1:A6652,A6652)</f>
        <v>98</v>
      </c>
      <c r="P6652" t="str">
        <f t="shared" si="311"/>
        <v>Justin Jackson9</v>
      </c>
    </row>
    <row r="6653" spans="1:16" x14ac:dyDescent="0.25">
      <c r="A6653">
        <v>14</v>
      </c>
      <c r="B6653" t="s">
        <v>2854</v>
      </c>
      <c r="C6653">
        <f>-0.16-1.06</f>
        <v>-1.22</v>
      </c>
      <c r="D6653">
        <v>0.45</v>
      </c>
      <c r="E6653" t="s">
        <v>22</v>
      </c>
      <c r="F6653" t="s">
        <v>87</v>
      </c>
      <c r="G6653">
        <v>1.06</v>
      </c>
      <c r="H6653">
        <v>-0.16</v>
      </c>
      <c r="I6653">
        <v>0.61</v>
      </c>
      <c r="J6653" s="66">
        <v>0.37209999999999999</v>
      </c>
      <c r="K6653" t="str">
        <f>IFERROR(INDEX(Rosters!$C$2:$C$155,MATCH($B6653,Rosters!$B$2:$B$155,0)),"NA")</f>
        <v>NA</v>
      </c>
      <c r="L6653" t="str">
        <f t="shared" si="309"/>
        <v>NA14WR</v>
      </c>
      <c r="M6653">
        <f>COUNTIF(L$1:L6653,L6653)</f>
        <v>114</v>
      </c>
      <c r="N6653" t="str">
        <f t="shared" si="310"/>
        <v>NA14WR-114</v>
      </c>
      <c r="O6653">
        <f>COUNTIFS(F$1:F6653,F6653,A$1:A6653,A6653)</f>
        <v>168</v>
      </c>
      <c r="P6653" t="str">
        <f t="shared" si="311"/>
        <v>Kamar Aiken14</v>
      </c>
    </row>
    <row r="6654" spans="1:16" x14ac:dyDescent="0.25">
      <c r="A6654">
        <v>13</v>
      </c>
      <c r="B6654" t="s">
        <v>1622</v>
      </c>
      <c r="C6654">
        <f>-0.05-0.95</f>
        <v>-1</v>
      </c>
      <c r="D6654">
        <v>0.45</v>
      </c>
      <c r="E6654" t="s">
        <v>28</v>
      </c>
      <c r="F6654" t="s">
        <v>87</v>
      </c>
      <c r="G6654">
        <v>0.95</v>
      </c>
      <c r="H6654">
        <v>-0.05</v>
      </c>
      <c r="I6654">
        <v>0.5</v>
      </c>
      <c r="J6654" s="66">
        <v>0.25</v>
      </c>
      <c r="K6654" t="str">
        <f>IFERROR(INDEX(Rosters!$C$2:$C$155,MATCH($B6654,Rosters!$B$2:$B$155,0)),"NA")</f>
        <v>NA</v>
      </c>
      <c r="L6654" t="str">
        <f t="shared" si="309"/>
        <v>NA13WR</v>
      </c>
      <c r="M6654">
        <f>COUNTIF(L$1:L6654,L6654)</f>
        <v>113</v>
      </c>
      <c r="N6654" t="str">
        <f t="shared" si="310"/>
        <v>NA13WR-113</v>
      </c>
      <c r="O6654">
        <f>COUNTIFS(F$1:F6654,F6654,A$1:A6654,A6654)</f>
        <v>167</v>
      </c>
      <c r="P6654" t="str">
        <f t="shared" si="311"/>
        <v>Kendrick Bourne13</v>
      </c>
    </row>
    <row r="6655" spans="1:16" x14ac:dyDescent="0.25">
      <c r="A6655">
        <v>17</v>
      </c>
      <c r="B6655" t="s">
        <v>1125</v>
      </c>
      <c r="C6655">
        <f>-0.03-0.93</f>
        <v>-0.96000000000000008</v>
      </c>
      <c r="D6655">
        <v>0.45</v>
      </c>
      <c r="E6655" t="s">
        <v>17</v>
      </c>
      <c r="F6655" t="s">
        <v>114</v>
      </c>
      <c r="G6655">
        <v>0.93</v>
      </c>
      <c r="H6655">
        <v>-0.03</v>
      </c>
      <c r="I6655">
        <v>0.48</v>
      </c>
      <c r="J6655" s="66">
        <v>0.23039999999999999</v>
      </c>
      <c r="K6655" t="str">
        <f>IFERROR(INDEX(Rosters!$C$2:$C$155,MATCH($B6655,Rosters!$B$2:$B$155,0)),"NA")</f>
        <v>NA</v>
      </c>
      <c r="L6655" t="str">
        <f t="shared" si="309"/>
        <v>NA17TE</v>
      </c>
      <c r="M6655">
        <f>COUNTIF(L$1:L6655,L6655)</f>
        <v>78</v>
      </c>
      <c r="N6655" t="str">
        <f t="shared" si="310"/>
        <v>NA17TE-78</v>
      </c>
      <c r="O6655">
        <f>COUNTIFS(F$1:F6655,F6655,A$1:A6655,A6655)</f>
        <v>92</v>
      </c>
      <c r="P6655" t="str">
        <f t="shared" si="311"/>
        <v>Logan Paulsen17</v>
      </c>
    </row>
    <row r="6656" spans="1:16" x14ac:dyDescent="0.25">
      <c r="A6656">
        <v>3</v>
      </c>
      <c r="B6656" t="s">
        <v>288</v>
      </c>
      <c r="C6656">
        <f>-0.03-0.93</f>
        <v>-0.96000000000000008</v>
      </c>
      <c r="D6656">
        <v>0.45</v>
      </c>
      <c r="E6656" t="s">
        <v>60</v>
      </c>
      <c r="F6656" t="s">
        <v>114</v>
      </c>
      <c r="G6656">
        <v>0.93</v>
      </c>
      <c r="H6656">
        <v>-0.03</v>
      </c>
      <c r="I6656">
        <v>0.48</v>
      </c>
      <c r="J6656" s="66">
        <v>0.23039999999999999</v>
      </c>
      <c r="K6656" t="str">
        <f>IFERROR(INDEX(Rosters!$C$2:$C$155,MATCH($B6656,Rosters!$B$2:$B$155,0)),"NA")</f>
        <v>NA</v>
      </c>
      <c r="L6656" t="str">
        <f t="shared" si="309"/>
        <v>NA3TE</v>
      </c>
      <c r="M6656">
        <f>COUNTIF(L$1:L6656,L6656)</f>
        <v>65</v>
      </c>
      <c r="N6656" t="str">
        <f t="shared" si="310"/>
        <v>NA3TE-65</v>
      </c>
      <c r="O6656">
        <f>COUNTIFS(F$1:F6656,F6656,A$1:A6656,A6656)</f>
        <v>78</v>
      </c>
      <c r="P6656" t="str">
        <f t="shared" si="311"/>
        <v>Marcedes Lewis3</v>
      </c>
    </row>
    <row r="6657" spans="1:16" x14ac:dyDescent="0.25">
      <c r="A6657">
        <v>4</v>
      </c>
      <c r="B6657" t="s">
        <v>1633</v>
      </c>
      <c r="C6657">
        <f>-0.15-1.05</f>
        <v>-1.2</v>
      </c>
      <c r="D6657">
        <v>0.45</v>
      </c>
      <c r="E6657" t="s">
        <v>36</v>
      </c>
      <c r="F6657" t="s">
        <v>87</v>
      </c>
      <c r="G6657">
        <v>1.05</v>
      </c>
      <c r="H6657">
        <v>-0.15</v>
      </c>
      <c r="I6657">
        <v>0.6</v>
      </c>
      <c r="J6657" s="66">
        <v>0.36</v>
      </c>
      <c r="K6657" t="str">
        <f>IFERROR(INDEX(Rosters!$C$2:$C$155,MATCH($B6657,Rosters!$B$2:$B$155,0)),"NA")</f>
        <v>NA</v>
      </c>
      <c r="L6657" t="str">
        <f t="shared" si="309"/>
        <v>NA4WR</v>
      </c>
      <c r="M6657">
        <f>COUNTIF(L$1:L6657,L6657)</f>
        <v>89</v>
      </c>
      <c r="N6657" t="str">
        <f t="shared" si="310"/>
        <v>NA4WR-89</v>
      </c>
      <c r="O6657">
        <f>COUNTIFS(F$1:F6657,F6657,A$1:A6657,A6657)</f>
        <v>139</v>
      </c>
      <c r="P6657" t="str">
        <f t="shared" si="311"/>
        <v>Marcus Johnson4</v>
      </c>
    </row>
    <row r="6658" spans="1:16" x14ac:dyDescent="0.25">
      <c r="A6658">
        <v>7</v>
      </c>
      <c r="B6658" t="s">
        <v>1570</v>
      </c>
      <c r="C6658" t="s">
        <v>8923</v>
      </c>
      <c r="D6658">
        <v>0.45</v>
      </c>
      <c r="E6658" t="s">
        <v>66</v>
      </c>
      <c r="F6658" t="s">
        <v>15</v>
      </c>
      <c r="G6658">
        <v>0.88</v>
      </c>
      <c r="H6658">
        <v>0.02</v>
      </c>
      <c r="I6658">
        <v>0.43</v>
      </c>
      <c r="J6658" s="66">
        <v>0.18490000000000001</v>
      </c>
      <c r="K6658" t="str">
        <f>IFERROR(INDEX(Rosters!$C$2:$C$155,MATCH($B6658,Rosters!$B$2:$B$155,0)),"NA")</f>
        <v>NA</v>
      </c>
      <c r="L6658" t="str">
        <f t="shared" si="309"/>
        <v>NA7QB</v>
      </c>
      <c r="M6658">
        <f>COUNTIF(L$1:L6658,L6658)</f>
        <v>36</v>
      </c>
      <c r="N6658" t="str">
        <f t="shared" si="310"/>
        <v>NA7QB-36</v>
      </c>
      <c r="O6658">
        <f>COUNTIFS(F$1:F6658,F6658,A$1:A6658,A6658)</f>
        <v>50</v>
      </c>
      <c r="P6658" t="str">
        <f t="shared" si="311"/>
        <v>Nathan Peterman7</v>
      </c>
    </row>
    <row r="6659" spans="1:16" x14ac:dyDescent="0.25">
      <c r="A6659">
        <v>13</v>
      </c>
      <c r="B6659" t="s">
        <v>1570</v>
      </c>
      <c r="C6659" t="s">
        <v>8923</v>
      </c>
      <c r="D6659">
        <v>0.45</v>
      </c>
      <c r="E6659" t="s">
        <v>19</v>
      </c>
      <c r="F6659" t="s">
        <v>15</v>
      </c>
      <c r="G6659">
        <v>0.88</v>
      </c>
      <c r="H6659">
        <v>0.02</v>
      </c>
      <c r="I6659">
        <v>0.43</v>
      </c>
      <c r="J6659" s="66">
        <v>0.18490000000000001</v>
      </c>
      <c r="K6659" t="str">
        <f>IFERROR(INDEX(Rosters!$C$2:$C$155,MATCH($B6659,Rosters!$B$2:$B$155,0)),"NA")</f>
        <v>NA</v>
      </c>
      <c r="L6659" t="str">
        <f t="shared" ref="L6659:L6722" si="312">K6659&amp;A6659&amp;F6659</f>
        <v>NA13QB</v>
      </c>
      <c r="M6659">
        <f>COUNTIF(L$1:L6659,L6659)</f>
        <v>41</v>
      </c>
      <c r="N6659" t="str">
        <f t="shared" ref="N6659:N6722" si="313">L6659&amp;"-"&amp;M6659</f>
        <v>NA13QB-41</v>
      </c>
      <c r="O6659">
        <f>COUNTIFS(F$1:F6659,F6659,A$1:A6659,A6659)</f>
        <v>58</v>
      </c>
      <c r="P6659" t="str">
        <f t="shared" ref="P6659:P6722" si="314">B6659&amp;A6659</f>
        <v>Nathan Peterman13</v>
      </c>
    </row>
    <row r="6660" spans="1:16" x14ac:dyDescent="0.25">
      <c r="A6660">
        <v>12</v>
      </c>
      <c r="B6660" t="s">
        <v>4248</v>
      </c>
      <c r="C6660" t="s">
        <v>3880</v>
      </c>
      <c r="D6660">
        <v>0.45</v>
      </c>
      <c r="E6660" t="s">
        <v>72</v>
      </c>
      <c r="F6660" t="s">
        <v>47</v>
      </c>
      <c r="G6660">
        <v>0.9</v>
      </c>
      <c r="H6660">
        <v>0</v>
      </c>
      <c r="I6660">
        <v>0.45</v>
      </c>
      <c r="J6660" s="66">
        <v>0.20250000000000001</v>
      </c>
      <c r="K6660" t="str">
        <f>IFERROR(INDEX(Rosters!$C$2:$C$155,MATCH($B6660,Rosters!$B$2:$B$155,0)),"NA")</f>
        <v>NA</v>
      </c>
      <c r="L6660" t="str">
        <f t="shared" si="312"/>
        <v>NA12RB</v>
      </c>
      <c r="M6660">
        <f>COUNTIF(L$1:L6660,L6660)</f>
        <v>72</v>
      </c>
      <c r="N6660" t="str">
        <f t="shared" si="313"/>
        <v>NA12RB-72</v>
      </c>
      <c r="O6660">
        <f>COUNTIFS(F$1:F6660,F6660,A$1:A6660,A6660)</f>
        <v>117</v>
      </c>
      <c r="P6660" t="str">
        <f t="shared" si="314"/>
        <v>Nick Bellore12</v>
      </c>
    </row>
    <row r="6661" spans="1:16" x14ac:dyDescent="0.25">
      <c r="A6661">
        <v>4</v>
      </c>
      <c r="B6661" t="s">
        <v>1623</v>
      </c>
      <c r="C6661">
        <f>-0.18-1.08</f>
        <v>-1.26</v>
      </c>
      <c r="D6661">
        <v>0.45</v>
      </c>
      <c r="E6661" t="s">
        <v>34</v>
      </c>
      <c r="F6661" t="s">
        <v>87</v>
      </c>
      <c r="G6661">
        <v>1.08</v>
      </c>
      <c r="H6661">
        <v>-0.18</v>
      </c>
      <c r="I6661">
        <v>0.63</v>
      </c>
      <c r="J6661" s="66">
        <v>0.39689999999999998</v>
      </c>
      <c r="K6661" t="str">
        <f>IFERROR(INDEX(Rosters!$C$2:$C$155,MATCH($B6661,Rosters!$B$2:$B$155,0)),"NA")</f>
        <v>NA</v>
      </c>
      <c r="L6661" t="str">
        <f t="shared" si="312"/>
        <v>NA4WR</v>
      </c>
      <c r="M6661">
        <f>COUNTIF(L$1:L6661,L6661)</f>
        <v>90</v>
      </c>
      <c r="N6661" t="str">
        <f t="shared" si="313"/>
        <v>NA4WR-90</v>
      </c>
      <c r="O6661">
        <f>COUNTIFS(F$1:F6661,F6661,A$1:A6661,A6661)</f>
        <v>140</v>
      </c>
      <c r="P6661" t="str">
        <f t="shared" si="314"/>
        <v>Noah Brown4</v>
      </c>
    </row>
    <row r="6662" spans="1:16" x14ac:dyDescent="0.25">
      <c r="A6662">
        <v>9</v>
      </c>
      <c r="B6662" t="s">
        <v>1623</v>
      </c>
      <c r="C6662">
        <f>-0.08-0.98</f>
        <v>-1.06</v>
      </c>
      <c r="D6662">
        <v>0.45</v>
      </c>
      <c r="E6662" t="s">
        <v>38</v>
      </c>
      <c r="F6662" t="s">
        <v>87</v>
      </c>
      <c r="G6662">
        <v>0.98</v>
      </c>
      <c r="H6662">
        <v>-0.08</v>
      </c>
      <c r="I6662">
        <v>0.53</v>
      </c>
      <c r="J6662" s="66">
        <v>0.28089999999999998</v>
      </c>
      <c r="K6662" t="str">
        <f>IFERROR(INDEX(Rosters!$C$2:$C$155,MATCH($B6662,Rosters!$B$2:$B$155,0)),"NA")</f>
        <v>NA</v>
      </c>
      <c r="L6662" t="str">
        <f t="shared" si="312"/>
        <v>NA9WR</v>
      </c>
      <c r="M6662">
        <f>COUNTIF(L$1:L6662,L6662)</f>
        <v>98</v>
      </c>
      <c r="N6662" t="str">
        <f t="shared" si="313"/>
        <v>NA9WR-98</v>
      </c>
      <c r="O6662">
        <f>COUNTIFS(F$1:F6662,F6662,A$1:A6662,A6662)</f>
        <v>142</v>
      </c>
      <c r="P6662" t="str">
        <f t="shared" si="314"/>
        <v>Noah Brown9</v>
      </c>
    </row>
    <row r="6663" spans="1:16" x14ac:dyDescent="0.25">
      <c r="A6663">
        <v>13</v>
      </c>
      <c r="B6663" t="s">
        <v>1623</v>
      </c>
      <c r="C6663">
        <f>-0.13-1.03</f>
        <v>-1.1600000000000001</v>
      </c>
      <c r="D6663">
        <v>0.45</v>
      </c>
      <c r="E6663" t="s">
        <v>14</v>
      </c>
      <c r="F6663" t="s">
        <v>87</v>
      </c>
      <c r="G6663">
        <v>1.03</v>
      </c>
      <c r="H6663">
        <v>-0.13</v>
      </c>
      <c r="I6663">
        <v>0.57999999999999996</v>
      </c>
      <c r="J6663" s="66">
        <v>0.33639999999999998</v>
      </c>
      <c r="K6663" t="str">
        <f>IFERROR(INDEX(Rosters!$C$2:$C$155,MATCH($B6663,Rosters!$B$2:$B$155,0)),"NA")</f>
        <v>NA</v>
      </c>
      <c r="L6663" t="str">
        <f t="shared" si="312"/>
        <v>NA13WR</v>
      </c>
      <c r="M6663">
        <f>COUNTIF(L$1:L6663,L6663)</f>
        <v>114</v>
      </c>
      <c r="N6663" t="str">
        <f t="shared" si="313"/>
        <v>NA13WR-114</v>
      </c>
      <c r="O6663">
        <f>COUNTIFS(F$1:F6663,F6663,A$1:A6663,A6663)</f>
        <v>168</v>
      </c>
      <c r="P6663" t="str">
        <f t="shared" si="314"/>
        <v>Noah Brown13</v>
      </c>
    </row>
    <row r="6664" spans="1:16" x14ac:dyDescent="0.25">
      <c r="A6664">
        <v>2</v>
      </c>
      <c r="B6664" t="s">
        <v>328</v>
      </c>
      <c r="C6664">
        <f>-0.34-1.24</f>
        <v>-1.58</v>
      </c>
      <c r="D6664">
        <v>0.45</v>
      </c>
      <c r="E6664" t="s">
        <v>37</v>
      </c>
      <c r="F6664" t="s">
        <v>47</v>
      </c>
      <c r="G6664">
        <v>1.24</v>
      </c>
      <c r="H6664">
        <v>-0.34</v>
      </c>
      <c r="I6664">
        <v>0.79</v>
      </c>
      <c r="J6664">
        <v>0.62409999999999999</v>
      </c>
      <c r="K6664" t="str">
        <f>IFERROR(INDEX(Rosters!$C$2:$C$155,MATCH($B6664,Rosters!$B$2:$B$155,0)),"NA")</f>
        <v>NA</v>
      </c>
      <c r="L6664" t="str">
        <f t="shared" si="312"/>
        <v>NA2RB</v>
      </c>
      <c r="M6664">
        <f>COUNTIF(L$1:L6664,L6664)</f>
        <v>50</v>
      </c>
      <c r="N6664" t="str">
        <f t="shared" si="313"/>
        <v>NA2RB-50</v>
      </c>
      <c r="O6664">
        <f>COUNTIFS(F$1:F6664,F6664,A$1:A6664,A6664)</f>
        <v>92</v>
      </c>
      <c r="P6664" t="str">
        <f t="shared" si="314"/>
        <v>Patrick DiMarco2</v>
      </c>
    </row>
    <row r="6665" spans="1:16" x14ac:dyDescent="0.25">
      <c r="A6665">
        <v>10</v>
      </c>
      <c r="B6665" t="s">
        <v>1123</v>
      </c>
      <c r="C6665">
        <f>-0.08-0.98</f>
        <v>-1.06</v>
      </c>
      <c r="D6665">
        <v>0.45</v>
      </c>
      <c r="E6665" t="s">
        <v>76</v>
      </c>
      <c r="F6665" t="s">
        <v>47</v>
      </c>
      <c r="G6665">
        <v>0.98</v>
      </c>
      <c r="H6665">
        <v>-0.08</v>
      </c>
      <c r="I6665">
        <v>0.53</v>
      </c>
      <c r="J6665">
        <v>0.28089999999999998</v>
      </c>
      <c r="K6665" t="str">
        <f>IFERROR(INDEX(Rosters!$C$2:$C$155,MATCH($B6665,Rosters!$B$2:$B$155,0)),"NA")</f>
        <v>NA</v>
      </c>
      <c r="L6665" t="str">
        <f t="shared" si="312"/>
        <v>NA10RB</v>
      </c>
      <c r="M6665">
        <f>COUNTIF(L$1:L6665,L6665)</f>
        <v>64</v>
      </c>
      <c r="N6665" t="str">
        <f t="shared" si="313"/>
        <v>NA10RB-64</v>
      </c>
      <c r="O6665">
        <f>COUNTIFS(F$1:F6665,F6665,A$1:A6665,A6665)</f>
        <v>103</v>
      </c>
      <c r="P6665" t="str">
        <f t="shared" si="314"/>
        <v>Robert Turbin10</v>
      </c>
    </row>
    <row r="6666" spans="1:16" x14ac:dyDescent="0.25">
      <c r="A6666">
        <v>17</v>
      </c>
      <c r="B6666" t="s">
        <v>4254</v>
      </c>
      <c r="C6666">
        <f>-0.04-0.94</f>
        <v>-0.98</v>
      </c>
      <c r="D6666">
        <v>0.45</v>
      </c>
      <c r="E6666" t="s">
        <v>28</v>
      </c>
      <c r="F6666" t="s">
        <v>47</v>
      </c>
      <c r="G6666">
        <v>0.94</v>
      </c>
      <c r="H6666">
        <v>-0.04</v>
      </c>
      <c r="I6666">
        <v>0.49</v>
      </c>
      <c r="J6666">
        <v>0.24010000000000001</v>
      </c>
      <c r="K6666" t="str">
        <f>IFERROR(INDEX(Rosters!$C$2:$C$155,MATCH($B6666,Rosters!$B$2:$B$155,0)),"NA")</f>
        <v>NA</v>
      </c>
      <c r="L6666" t="str">
        <f t="shared" si="312"/>
        <v>NA17RB</v>
      </c>
      <c r="M6666">
        <f>COUNTIF(L$1:L6666,L6666)</f>
        <v>72</v>
      </c>
      <c r="N6666" t="str">
        <f t="shared" si="313"/>
        <v>NA17RB-72</v>
      </c>
      <c r="O6666">
        <f>COUNTIFS(F$1:F6666,F6666,A$1:A6666,A6666)</f>
        <v>119</v>
      </c>
      <c r="P6666" t="str">
        <f t="shared" si="314"/>
        <v>T.J. Logan17</v>
      </c>
    </row>
    <row r="6667" spans="1:16" x14ac:dyDescent="0.25">
      <c r="A6667">
        <v>7</v>
      </c>
      <c r="B6667" t="s">
        <v>745</v>
      </c>
      <c r="C6667">
        <f>-0.04-0.94</f>
        <v>-0.98</v>
      </c>
      <c r="D6667">
        <v>0.45</v>
      </c>
      <c r="E6667" t="s">
        <v>77</v>
      </c>
      <c r="F6667" t="s">
        <v>15</v>
      </c>
      <c r="G6667">
        <v>0.94</v>
      </c>
      <c r="H6667">
        <v>-0.04</v>
      </c>
      <c r="I6667">
        <v>0.49</v>
      </c>
      <c r="J6667">
        <v>0.24010000000000001</v>
      </c>
      <c r="K6667" t="str">
        <f>IFERROR(INDEX(Rosters!$C$2:$C$155,MATCH($B6667,Rosters!$B$2:$B$155,0)),"NA")</f>
        <v>NA</v>
      </c>
      <c r="L6667" t="str">
        <f t="shared" si="312"/>
        <v>NA7QB</v>
      </c>
      <c r="M6667">
        <f>COUNTIF(L$1:L6667,L6667)</f>
        <v>37</v>
      </c>
      <c r="N6667" t="str">
        <f t="shared" si="313"/>
        <v>NA7QB-37</v>
      </c>
      <c r="O6667">
        <f>COUNTIFS(F$1:F6667,F6667,A$1:A6667,A6667)</f>
        <v>51</v>
      </c>
      <c r="P6667" t="str">
        <f t="shared" si="314"/>
        <v>Teddy Bridgewater7</v>
      </c>
    </row>
    <row r="6668" spans="1:16" x14ac:dyDescent="0.25">
      <c r="A6668">
        <v>11</v>
      </c>
      <c r="B6668" t="s">
        <v>745</v>
      </c>
      <c r="C6668">
        <f>-0.03-0.93</f>
        <v>-0.96000000000000008</v>
      </c>
      <c r="D6668">
        <v>0.45</v>
      </c>
      <c r="E6668" t="s">
        <v>50</v>
      </c>
      <c r="F6668" t="s">
        <v>15</v>
      </c>
      <c r="G6668">
        <v>0.93</v>
      </c>
      <c r="H6668">
        <v>-0.03</v>
      </c>
      <c r="I6668">
        <v>0.48</v>
      </c>
      <c r="J6668">
        <v>0.23039999999999999</v>
      </c>
      <c r="K6668" t="str">
        <f>IFERROR(INDEX(Rosters!$C$2:$C$155,MATCH($B6668,Rosters!$B$2:$B$155,0)),"NA")</f>
        <v>NA</v>
      </c>
      <c r="L6668" t="str">
        <f t="shared" si="312"/>
        <v>NA11QB</v>
      </c>
      <c r="M6668">
        <f>COUNTIF(L$1:L6668,L6668)</f>
        <v>32</v>
      </c>
      <c r="N6668" t="str">
        <f t="shared" si="313"/>
        <v>NA11QB-32</v>
      </c>
      <c r="O6668">
        <f>COUNTIFS(F$1:F6668,F6668,A$1:A6668,A6668)</f>
        <v>47</v>
      </c>
      <c r="P6668" t="str">
        <f t="shared" si="314"/>
        <v>Teddy Bridgewater11</v>
      </c>
    </row>
    <row r="6669" spans="1:16" x14ac:dyDescent="0.25">
      <c r="A6669">
        <v>16</v>
      </c>
      <c r="B6669" t="s">
        <v>346</v>
      </c>
      <c r="C6669">
        <f>-0.03-0.91</f>
        <v>-0.94000000000000006</v>
      </c>
      <c r="D6669">
        <v>0.44</v>
      </c>
      <c r="E6669" t="s">
        <v>52</v>
      </c>
      <c r="F6669" t="s">
        <v>87</v>
      </c>
      <c r="G6669">
        <v>0.91</v>
      </c>
      <c r="H6669">
        <v>-0.03</v>
      </c>
      <c r="I6669">
        <v>0.47</v>
      </c>
      <c r="J6669">
        <v>0.22090000000000001</v>
      </c>
      <c r="K6669" t="str">
        <f>IFERROR(INDEX(Rosters!$C$2:$C$155,MATCH($B6669,Rosters!$B$2:$B$155,0)),"NA")</f>
        <v>NA</v>
      </c>
      <c r="L6669" t="str">
        <f t="shared" si="312"/>
        <v>NA16WR</v>
      </c>
      <c r="M6669">
        <f>COUNTIF(L$1:L6669,L6669)</f>
        <v>115</v>
      </c>
      <c r="N6669" t="str">
        <f t="shared" si="313"/>
        <v>NA16WR-115</v>
      </c>
      <c r="O6669">
        <f>COUNTIFS(F$1:F6669,F6669,A$1:A6669,A6669)</f>
        <v>169</v>
      </c>
      <c r="P6669" t="str">
        <f t="shared" si="314"/>
        <v>Alex Erickson16</v>
      </c>
    </row>
    <row r="6670" spans="1:16" x14ac:dyDescent="0.25">
      <c r="A6670">
        <v>2</v>
      </c>
      <c r="B6670" t="s">
        <v>276</v>
      </c>
      <c r="C6670">
        <f>-0.1-0.98</f>
        <v>-1.08</v>
      </c>
      <c r="D6670">
        <v>0.44</v>
      </c>
      <c r="E6670" t="s">
        <v>37</v>
      </c>
      <c r="F6670" t="s">
        <v>87</v>
      </c>
      <c r="G6670">
        <v>0.98</v>
      </c>
      <c r="H6670">
        <v>-0.1</v>
      </c>
      <c r="I6670">
        <v>0.54</v>
      </c>
      <c r="J6670">
        <v>0.29160000000000003</v>
      </c>
      <c r="K6670" t="str">
        <f>IFERROR(INDEX(Rosters!$C$2:$C$155,MATCH($B6670,Rosters!$B$2:$B$155,0)),"NA")</f>
        <v>NA</v>
      </c>
      <c r="L6670" t="str">
        <f t="shared" si="312"/>
        <v>NA2WR</v>
      </c>
      <c r="M6670">
        <f>COUNTIF(L$1:L6670,L6670)</f>
        <v>82</v>
      </c>
      <c r="N6670" t="str">
        <f t="shared" si="313"/>
        <v>NA2WR-82</v>
      </c>
      <c r="O6670">
        <f>COUNTIFS(F$1:F6670,F6670,A$1:A6670,A6670)</f>
        <v>131</v>
      </c>
      <c r="P6670" t="str">
        <f t="shared" si="314"/>
        <v>Andre Holmes2</v>
      </c>
    </row>
    <row r="6671" spans="1:16" x14ac:dyDescent="0.25">
      <c r="A6671">
        <v>6</v>
      </c>
      <c r="B6671" t="s">
        <v>3167</v>
      </c>
      <c r="C6671">
        <f>-0.16-1.04</f>
        <v>-1.2</v>
      </c>
      <c r="D6671">
        <v>0.44</v>
      </c>
      <c r="E6671" t="s">
        <v>66</v>
      </c>
      <c r="F6671" t="s">
        <v>87</v>
      </c>
      <c r="G6671">
        <v>1.04</v>
      </c>
      <c r="H6671">
        <v>-0.16</v>
      </c>
      <c r="I6671">
        <v>0.6</v>
      </c>
      <c r="J6671">
        <v>0.36</v>
      </c>
      <c r="K6671" t="str">
        <f>IFERROR(INDEX(Rosters!$C$2:$C$155,MATCH($B6671,Rosters!$B$2:$B$155,0)),"NA")</f>
        <v>NA</v>
      </c>
      <c r="L6671" t="str">
        <f t="shared" si="312"/>
        <v>NA6WR</v>
      </c>
      <c r="M6671">
        <f>COUNTIF(L$1:L6671,L6671)</f>
        <v>108</v>
      </c>
      <c r="N6671" t="str">
        <f t="shared" si="313"/>
        <v>NA6WR-108</v>
      </c>
      <c r="O6671">
        <f>COUNTIFS(F$1:F6671,F6671,A$1:A6671,A6671)</f>
        <v>158</v>
      </c>
      <c r="P6671" t="str">
        <f t="shared" si="314"/>
        <v>Andre Roberts6</v>
      </c>
    </row>
    <row r="6672" spans="1:16" x14ac:dyDescent="0.25">
      <c r="A6672">
        <v>12</v>
      </c>
      <c r="B6672" t="s">
        <v>3167</v>
      </c>
      <c r="C6672">
        <f>-0.16-1.04</f>
        <v>-1.2</v>
      </c>
      <c r="D6672">
        <v>0.44</v>
      </c>
      <c r="E6672" t="s">
        <v>423</v>
      </c>
      <c r="F6672" t="s">
        <v>87</v>
      </c>
      <c r="G6672">
        <v>1.04</v>
      </c>
      <c r="H6672">
        <v>-0.16</v>
      </c>
      <c r="I6672">
        <v>0.6</v>
      </c>
      <c r="J6672">
        <v>0.36</v>
      </c>
      <c r="K6672" t="str">
        <f>IFERROR(INDEX(Rosters!$C$2:$C$155,MATCH($B6672,Rosters!$B$2:$B$155,0)),"NA")</f>
        <v>NA</v>
      </c>
      <c r="L6672" t="str">
        <f t="shared" si="312"/>
        <v>NA12WR</v>
      </c>
      <c r="M6672">
        <f>COUNTIF(L$1:L6672,L6672)</f>
        <v>111</v>
      </c>
      <c r="N6672" t="str">
        <f t="shared" si="313"/>
        <v>NA12WR-111</v>
      </c>
      <c r="O6672">
        <f>COUNTIFS(F$1:F6672,F6672,A$1:A6672,A6672)</f>
        <v>160</v>
      </c>
      <c r="P6672" t="str">
        <f t="shared" si="314"/>
        <v>Andre Roberts12</v>
      </c>
    </row>
    <row r="6673" spans="1:16" x14ac:dyDescent="0.25">
      <c r="A6673">
        <v>16</v>
      </c>
      <c r="B6673" t="s">
        <v>3167</v>
      </c>
      <c r="C6673">
        <f>-0.16-1.04</f>
        <v>-1.2</v>
      </c>
      <c r="D6673">
        <v>0.44</v>
      </c>
      <c r="E6673" t="s">
        <v>41</v>
      </c>
      <c r="F6673" t="s">
        <v>87</v>
      </c>
      <c r="G6673">
        <v>1.04</v>
      </c>
      <c r="H6673">
        <v>-0.16</v>
      </c>
      <c r="I6673">
        <v>0.6</v>
      </c>
      <c r="J6673">
        <v>0.36</v>
      </c>
      <c r="K6673" t="str">
        <f>IFERROR(INDEX(Rosters!$C$2:$C$155,MATCH($B6673,Rosters!$B$2:$B$155,0)),"NA")</f>
        <v>NA</v>
      </c>
      <c r="L6673" t="str">
        <f t="shared" si="312"/>
        <v>NA16WR</v>
      </c>
      <c r="M6673">
        <f>COUNTIF(L$1:L6673,L6673)</f>
        <v>116</v>
      </c>
      <c r="N6673" t="str">
        <f t="shared" si="313"/>
        <v>NA16WR-116</v>
      </c>
      <c r="O6673">
        <f>COUNTIFS(F$1:F6673,F6673,A$1:A6673,A6673)</f>
        <v>170</v>
      </c>
      <c r="P6673" t="str">
        <f t="shared" si="314"/>
        <v>Andre Roberts16</v>
      </c>
    </row>
    <row r="6674" spans="1:16" x14ac:dyDescent="0.25">
      <c r="A6674">
        <v>15</v>
      </c>
      <c r="B6674" t="s">
        <v>2274</v>
      </c>
      <c r="C6674">
        <f>-0.05-0.93</f>
        <v>-0.98000000000000009</v>
      </c>
      <c r="D6674">
        <v>0.44</v>
      </c>
      <c r="E6674" t="s">
        <v>25</v>
      </c>
      <c r="F6674" t="s">
        <v>47</v>
      </c>
      <c r="G6674">
        <v>0.93</v>
      </c>
      <c r="H6674">
        <v>-0.05</v>
      </c>
      <c r="I6674">
        <v>0.49</v>
      </c>
      <c r="J6674" s="66">
        <v>0.24010000000000001</v>
      </c>
      <c r="K6674" t="str">
        <f>IFERROR(INDEX(Rosters!$C$2:$C$155,MATCH($B6674,Rosters!$B$2:$B$155,0)),"NA")</f>
        <v>NA</v>
      </c>
      <c r="L6674" t="str">
        <f t="shared" si="312"/>
        <v>NA15RB</v>
      </c>
      <c r="M6674">
        <f>COUNTIF(L$1:L6674,L6674)</f>
        <v>77</v>
      </c>
      <c r="N6674" t="str">
        <f t="shared" si="313"/>
        <v>NA15RB-77</v>
      </c>
      <c r="O6674">
        <f>COUNTIFS(F$1:F6674,F6674,A$1:A6674,A6674)</f>
        <v>124</v>
      </c>
      <c r="P6674" t="str">
        <f t="shared" si="314"/>
        <v>Brandon Bolden15</v>
      </c>
    </row>
    <row r="6675" spans="1:16" x14ac:dyDescent="0.25">
      <c r="A6675">
        <v>16</v>
      </c>
      <c r="B6675" t="s">
        <v>4656</v>
      </c>
      <c r="C6675">
        <f>-0.03-0.91</f>
        <v>-0.94000000000000006</v>
      </c>
      <c r="D6675">
        <v>0.44</v>
      </c>
      <c r="E6675" t="s">
        <v>50</v>
      </c>
      <c r="F6675" t="s">
        <v>47</v>
      </c>
      <c r="G6675">
        <v>0.91</v>
      </c>
      <c r="H6675">
        <v>-0.03</v>
      </c>
      <c r="I6675">
        <v>0.47</v>
      </c>
      <c r="J6675" s="66">
        <v>0.22090000000000001</v>
      </c>
      <c r="K6675" t="str">
        <f>IFERROR(INDEX(Rosters!$C$2:$C$155,MATCH($B6675,Rosters!$B$2:$B$155,0)),"NA")</f>
        <v>NA</v>
      </c>
      <c r="L6675" t="str">
        <f t="shared" si="312"/>
        <v>NA16RB</v>
      </c>
      <c r="M6675">
        <f>COUNTIF(L$1:L6675,L6675)</f>
        <v>72</v>
      </c>
      <c r="N6675" t="str">
        <f t="shared" si="313"/>
        <v>NA16RB-72</v>
      </c>
      <c r="O6675">
        <f>COUNTIFS(F$1:F6675,F6675,A$1:A6675,A6675)</f>
        <v>119</v>
      </c>
      <c r="P6675" t="str">
        <f t="shared" si="314"/>
        <v>Buddy Howell16</v>
      </c>
    </row>
    <row r="6676" spans="1:16" x14ac:dyDescent="0.25">
      <c r="A6676">
        <v>10</v>
      </c>
      <c r="B6676" t="s">
        <v>311</v>
      </c>
      <c r="C6676">
        <f>-0.07-0.95</f>
        <v>-1.02</v>
      </c>
      <c r="D6676">
        <v>0.44</v>
      </c>
      <c r="E6676" t="s">
        <v>58</v>
      </c>
      <c r="F6676" t="s">
        <v>15</v>
      </c>
      <c r="G6676">
        <v>0.95</v>
      </c>
      <c r="H6676">
        <v>-7.0000000000000007E-2</v>
      </c>
      <c r="I6676">
        <v>0.51</v>
      </c>
      <c r="J6676" s="66">
        <v>0.2601</v>
      </c>
      <c r="K6676" t="str">
        <f>IFERROR(INDEX(Rosters!$C$2:$C$155,MATCH($B6676,Rosters!$B$2:$B$155,0)),"NA")</f>
        <v>NA</v>
      </c>
      <c r="L6676" t="str">
        <f t="shared" si="312"/>
        <v>NA10QB</v>
      </c>
      <c r="M6676">
        <f>COUNTIF(L$1:L6676,L6676)</f>
        <v>34</v>
      </c>
      <c r="N6676" t="str">
        <f t="shared" si="313"/>
        <v>NA10QB-34</v>
      </c>
      <c r="O6676">
        <f>COUNTIFS(F$1:F6676,F6676,A$1:A6676,A6676)</f>
        <v>50</v>
      </c>
      <c r="P6676" t="str">
        <f t="shared" si="314"/>
        <v>Chad Henne10</v>
      </c>
    </row>
    <row r="6677" spans="1:16" x14ac:dyDescent="0.25">
      <c r="A6677">
        <v>8</v>
      </c>
      <c r="B6677" t="s">
        <v>1562</v>
      </c>
      <c r="C6677">
        <f>-0.11-0.99</f>
        <v>-1.1000000000000001</v>
      </c>
      <c r="D6677">
        <v>0.44</v>
      </c>
      <c r="E6677" t="s">
        <v>58</v>
      </c>
      <c r="F6677" t="s">
        <v>114</v>
      </c>
      <c r="G6677">
        <v>0.99</v>
      </c>
      <c r="H6677">
        <v>-0.11</v>
      </c>
      <c r="I6677">
        <v>0.55000000000000004</v>
      </c>
      <c r="J6677" s="66">
        <v>0.30249999999999999</v>
      </c>
      <c r="K6677" t="str">
        <f>IFERROR(INDEX(Rosters!$C$2:$C$155,MATCH($B6677,Rosters!$B$2:$B$155,0)),"NA")</f>
        <v>NA</v>
      </c>
      <c r="L6677" t="str">
        <f t="shared" si="312"/>
        <v>NA8TE</v>
      </c>
      <c r="M6677">
        <f>COUNTIF(L$1:L6677,L6677)</f>
        <v>67</v>
      </c>
      <c r="N6677" t="str">
        <f t="shared" si="313"/>
        <v>NA8TE-67</v>
      </c>
      <c r="O6677">
        <f>COUNTIFS(F$1:F6677,F6677,A$1:A6677,A6677)</f>
        <v>79</v>
      </c>
      <c r="P6677" t="str">
        <f t="shared" si="314"/>
        <v>Cole Wick8</v>
      </c>
    </row>
    <row r="6678" spans="1:16" x14ac:dyDescent="0.25">
      <c r="A6678">
        <v>11</v>
      </c>
      <c r="B6678" t="s">
        <v>1503</v>
      </c>
      <c r="C6678">
        <f>-0.09-0.97</f>
        <v>-1.06</v>
      </c>
      <c r="D6678">
        <v>0.44</v>
      </c>
      <c r="E6678" t="s">
        <v>51</v>
      </c>
      <c r="F6678" t="s">
        <v>87</v>
      </c>
      <c r="G6678">
        <v>0.97</v>
      </c>
      <c r="H6678">
        <v>-0.09</v>
      </c>
      <c r="I6678">
        <v>0.53</v>
      </c>
      <c r="J6678" s="66">
        <v>0.28089999999999998</v>
      </c>
      <c r="K6678" t="str">
        <f>IFERROR(INDEX(Rosters!$C$2:$C$155,MATCH($B6678,Rosters!$B$2:$B$155,0)),"NA")</f>
        <v>NA</v>
      </c>
      <c r="L6678" t="str">
        <f t="shared" si="312"/>
        <v>NA11WR</v>
      </c>
      <c r="M6678">
        <f>COUNTIF(L$1:L6678,L6678)</f>
        <v>92</v>
      </c>
      <c r="N6678" t="str">
        <f t="shared" si="313"/>
        <v>NA11WR-92</v>
      </c>
      <c r="O6678">
        <f>COUNTIFS(F$1:F6678,F6678,A$1:A6678,A6678)</f>
        <v>139</v>
      </c>
      <c r="P6678" t="str">
        <f t="shared" si="314"/>
        <v>D.J. Chark11</v>
      </c>
    </row>
    <row r="6679" spans="1:16" x14ac:dyDescent="0.25">
      <c r="A6679">
        <v>12</v>
      </c>
      <c r="B6679" t="s">
        <v>218</v>
      </c>
      <c r="C6679">
        <f>-0.07-0.95</f>
        <v>-1.02</v>
      </c>
      <c r="D6679">
        <v>0.44</v>
      </c>
      <c r="E6679" t="s">
        <v>77</v>
      </c>
      <c r="F6679" t="s">
        <v>47</v>
      </c>
      <c r="G6679">
        <v>0.95</v>
      </c>
      <c r="H6679">
        <v>-7.0000000000000007E-2</v>
      </c>
      <c r="I6679">
        <v>0.51</v>
      </c>
      <c r="J6679" s="66">
        <v>0.2601</v>
      </c>
      <c r="K6679" t="str">
        <f>IFERROR(INDEX(Rosters!$C$2:$C$155,MATCH($B6679,Rosters!$B$2:$B$155,0)),"NA")</f>
        <v>NA</v>
      </c>
      <c r="L6679" t="str">
        <f t="shared" si="312"/>
        <v>NA12RB</v>
      </c>
      <c r="M6679">
        <f>COUNTIF(L$1:L6679,L6679)</f>
        <v>73</v>
      </c>
      <c r="N6679" t="str">
        <f t="shared" si="313"/>
        <v>NA12RB-73</v>
      </c>
      <c r="O6679">
        <f>COUNTIFS(F$1:F6679,F6679,A$1:A6679,A6679)</f>
        <v>118</v>
      </c>
      <c r="P6679" t="str">
        <f t="shared" si="314"/>
        <v>DeAndre Washington12</v>
      </c>
    </row>
    <row r="6680" spans="1:16" x14ac:dyDescent="0.25">
      <c r="A6680">
        <v>17</v>
      </c>
      <c r="B6680" t="s">
        <v>1127</v>
      </c>
      <c r="C6680">
        <f>-0.1-0.98</f>
        <v>-1.08</v>
      </c>
      <c r="D6680">
        <v>0.44</v>
      </c>
      <c r="E6680" t="s">
        <v>24</v>
      </c>
      <c r="F6680" t="s">
        <v>87</v>
      </c>
      <c r="G6680">
        <v>0.98</v>
      </c>
      <c r="H6680">
        <v>-0.1</v>
      </c>
      <c r="I6680">
        <v>0.54</v>
      </c>
      <c r="J6680" s="66">
        <v>0.29160000000000003</v>
      </c>
      <c r="K6680" t="str">
        <f>IFERROR(INDEX(Rosters!$C$2:$C$155,MATCH($B6680,Rosters!$B$2:$B$155,0)),"NA")</f>
        <v>NA</v>
      </c>
      <c r="L6680" t="str">
        <f t="shared" si="312"/>
        <v>NA17WR</v>
      </c>
      <c r="M6680">
        <f>COUNTIF(L$1:L6680,L6680)</f>
        <v>119</v>
      </c>
      <c r="N6680" t="str">
        <f t="shared" si="313"/>
        <v>NA17WR-119</v>
      </c>
      <c r="O6680">
        <f>COUNTIFS(F$1:F6680,F6680,A$1:A6680,A6680)</f>
        <v>173</v>
      </c>
      <c r="P6680" t="str">
        <f t="shared" si="314"/>
        <v>Dwayne Harris17</v>
      </c>
    </row>
    <row r="6681" spans="1:16" x14ac:dyDescent="0.25">
      <c r="A6681">
        <v>9</v>
      </c>
      <c r="B6681" t="s">
        <v>1607</v>
      </c>
      <c r="C6681" t="s">
        <v>4263</v>
      </c>
      <c r="D6681">
        <v>0.44</v>
      </c>
      <c r="E6681" t="s">
        <v>25</v>
      </c>
      <c r="F6681" t="s">
        <v>114</v>
      </c>
      <c r="G6681">
        <v>0.85</v>
      </c>
      <c r="H6681">
        <v>0.03</v>
      </c>
      <c r="I6681">
        <v>0.41</v>
      </c>
      <c r="J6681" s="66">
        <v>0.1681</v>
      </c>
      <c r="K6681" t="str">
        <f>IFERROR(INDEX(Rosters!$C$2:$C$155,MATCH($B6681,Rosters!$B$2:$B$155,0)),"NA")</f>
        <v>NA</v>
      </c>
      <c r="L6681" t="str">
        <f t="shared" si="312"/>
        <v>NA9TE</v>
      </c>
      <c r="M6681">
        <f>COUNTIF(L$1:L6681,L6681)</f>
        <v>62</v>
      </c>
      <c r="N6681" t="str">
        <f t="shared" si="313"/>
        <v>NA9TE-62</v>
      </c>
      <c r="O6681">
        <f>COUNTIFS(F$1:F6681,F6681,A$1:A6681,A6681)</f>
        <v>73</v>
      </c>
      <c r="P6681" t="str">
        <f t="shared" si="314"/>
        <v>Hakeem Valles9</v>
      </c>
    </row>
    <row r="6682" spans="1:16" x14ac:dyDescent="0.25">
      <c r="A6682">
        <v>14</v>
      </c>
      <c r="B6682" t="s">
        <v>1607</v>
      </c>
      <c r="C6682" t="s">
        <v>4736</v>
      </c>
      <c r="D6682">
        <v>0.44</v>
      </c>
      <c r="E6682" t="s">
        <v>58</v>
      </c>
      <c r="F6682" t="s">
        <v>114</v>
      </c>
      <c r="G6682">
        <v>0.86</v>
      </c>
      <c r="H6682">
        <v>0.02</v>
      </c>
      <c r="I6682">
        <v>0.42</v>
      </c>
      <c r="J6682" s="66">
        <v>0.1764</v>
      </c>
      <c r="K6682" t="str">
        <f>IFERROR(INDEX(Rosters!$C$2:$C$155,MATCH($B6682,Rosters!$B$2:$B$155,0)),"NA")</f>
        <v>NA</v>
      </c>
      <c r="L6682" t="str">
        <f t="shared" si="312"/>
        <v>NA14TE</v>
      </c>
      <c r="M6682">
        <f>COUNTIF(L$1:L6682,L6682)</f>
        <v>80</v>
      </c>
      <c r="N6682" t="str">
        <f t="shared" si="313"/>
        <v>NA14TE-80</v>
      </c>
      <c r="O6682">
        <f>COUNTIFS(F$1:F6682,F6682,A$1:A6682,A6682)</f>
        <v>94</v>
      </c>
      <c r="P6682" t="str">
        <f t="shared" si="314"/>
        <v>Hakeem Valles14</v>
      </c>
    </row>
    <row r="6683" spans="1:16" x14ac:dyDescent="0.25">
      <c r="A6683">
        <v>3</v>
      </c>
      <c r="B6683" t="s">
        <v>4251</v>
      </c>
      <c r="C6683">
        <f>-0.12-1</f>
        <v>-1.1200000000000001</v>
      </c>
      <c r="D6683">
        <v>0.44</v>
      </c>
      <c r="E6683" t="s">
        <v>25</v>
      </c>
      <c r="F6683" t="s">
        <v>114</v>
      </c>
      <c r="G6683">
        <v>1</v>
      </c>
      <c r="H6683">
        <v>-0.12</v>
      </c>
      <c r="I6683">
        <v>0.56000000000000005</v>
      </c>
      <c r="J6683" s="66">
        <v>0.31359999999999999</v>
      </c>
      <c r="K6683" t="str">
        <f>IFERROR(INDEX(Rosters!$C$2:$C$155,MATCH($B6683,Rosters!$B$2:$B$155,0)),"NA")</f>
        <v>NA</v>
      </c>
      <c r="L6683" t="str">
        <f t="shared" si="312"/>
        <v>NA3TE</v>
      </c>
      <c r="M6683">
        <f>COUNTIF(L$1:L6683,L6683)</f>
        <v>66</v>
      </c>
      <c r="N6683" t="str">
        <f t="shared" si="313"/>
        <v>NA3TE-66</v>
      </c>
      <c r="O6683">
        <f>COUNTIFS(F$1:F6683,F6683,A$1:A6683,A6683)</f>
        <v>79</v>
      </c>
      <c r="P6683" t="str">
        <f t="shared" si="314"/>
        <v>Jason Croom3</v>
      </c>
    </row>
    <row r="6684" spans="1:16" x14ac:dyDescent="0.25">
      <c r="A6684">
        <v>8</v>
      </c>
      <c r="B6684" t="s">
        <v>4251</v>
      </c>
      <c r="C6684">
        <f>-0.03-0.91</f>
        <v>-0.94000000000000006</v>
      </c>
      <c r="D6684">
        <v>0.44</v>
      </c>
      <c r="E6684" t="s">
        <v>423</v>
      </c>
      <c r="F6684" t="s">
        <v>114</v>
      </c>
      <c r="G6684">
        <v>0.91</v>
      </c>
      <c r="H6684">
        <v>-0.03</v>
      </c>
      <c r="I6684">
        <v>0.47</v>
      </c>
      <c r="J6684" s="66">
        <v>0.22090000000000001</v>
      </c>
      <c r="K6684" t="str">
        <f>IFERROR(INDEX(Rosters!$C$2:$C$155,MATCH($B6684,Rosters!$B$2:$B$155,0)),"NA")</f>
        <v>NA</v>
      </c>
      <c r="L6684" t="str">
        <f t="shared" si="312"/>
        <v>NA8TE</v>
      </c>
      <c r="M6684">
        <f>COUNTIF(L$1:L6684,L6684)</f>
        <v>68</v>
      </c>
      <c r="N6684" t="str">
        <f t="shared" si="313"/>
        <v>NA8TE-68</v>
      </c>
      <c r="O6684">
        <f>COUNTIFS(F$1:F6684,F6684,A$1:A6684,A6684)</f>
        <v>80</v>
      </c>
      <c r="P6684" t="str">
        <f t="shared" si="314"/>
        <v>Jason Croom8</v>
      </c>
    </row>
    <row r="6685" spans="1:16" x14ac:dyDescent="0.25">
      <c r="A6685">
        <v>12</v>
      </c>
      <c r="B6685" t="s">
        <v>4251</v>
      </c>
      <c r="C6685">
        <f>-0.02-0.9</f>
        <v>-0.92</v>
      </c>
      <c r="D6685">
        <v>0.44</v>
      </c>
      <c r="E6685" t="s">
        <v>76</v>
      </c>
      <c r="F6685" t="s">
        <v>114</v>
      </c>
      <c r="G6685">
        <v>0.9</v>
      </c>
      <c r="H6685">
        <v>-0.02</v>
      </c>
      <c r="I6685">
        <v>0.46</v>
      </c>
      <c r="J6685" s="66">
        <v>0.21160000000000001</v>
      </c>
      <c r="K6685" t="str">
        <f>IFERROR(INDEX(Rosters!$C$2:$C$155,MATCH($B6685,Rosters!$B$2:$B$155,0)),"NA")</f>
        <v>NA</v>
      </c>
      <c r="L6685" t="str">
        <f t="shared" si="312"/>
        <v>NA12TE</v>
      </c>
      <c r="M6685">
        <f>COUNTIF(L$1:L6685,L6685)</f>
        <v>75</v>
      </c>
      <c r="N6685" t="str">
        <f t="shared" si="313"/>
        <v>NA12TE-75</v>
      </c>
      <c r="O6685">
        <f>COUNTIFS(F$1:F6685,F6685,A$1:A6685,A6685)</f>
        <v>88</v>
      </c>
      <c r="P6685" t="str">
        <f t="shared" si="314"/>
        <v>Jason Croom12</v>
      </c>
    </row>
    <row r="6686" spans="1:16" x14ac:dyDescent="0.25">
      <c r="A6686">
        <v>1</v>
      </c>
      <c r="B6686" t="s">
        <v>335</v>
      </c>
      <c r="C6686" t="s">
        <v>1630</v>
      </c>
      <c r="D6686">
        <v>0.44</v>
      </c>
      <c r="E6686" t="s">
        <v>28</v>
      </c>
      <c r="F6686" t="s">
        <v>87</v>
      </c>
      <c r="G6686">
        <v>0.82</v>
      </c>
      <c r="H6686">
        <v>0.06</v>
      </c>
      <c r="I6686">
        <v>0.38</v>
      </c>
      <c r="J6686" s="66">
        <v>0.1444</v>
      </c>
      <c r="K6686" t="str">
        <f>IFERROR(INDEX(Rosters!$C$2:$C$155,MATCH($B6686,Rosters!$B$2:$B$155,0)),"NA")</f>
        <v>NA</v>
      </c>
      <c r="L6686" t="str">
        <f t="shared" si="312"/>
        <v>NA1WR</v>
      </c>
      <c r="M6686">
        <f>COUNTIF(L$1:L6686,L6686)</f>
        <v>77</v>
      </c>
      <c r="N6686" t="str">
        <f t="shared" si="313"/>
        <v>NA1WR-77</v>
      </c>
      <c r="O6686">
        <f>COUNTIFS(F$1:F6686,F6686,A$1:A6686,A6686)</f>
        <v>126</v>
      </c>
      <c r="P6686" t="str">
        <f t="shared" si="314"/>
        <v>Jordan Taylor1</v>
      </c>
    </row>
    <row r="6687" spans="1:16" x14ac:dyDescent="0.25">
      <c r="A6687">
        <v>2</v>
      </c>
      <c r="B6687" t="s">
        <v>335</v>
      </c>
      <c r="C6687">
        <f>-0.07-0.95</f>
        <v>-1.02</v>
      </c>
      <c r="D6687">
        <v>0.44</v>
      </c>
      <c r="E6687" t="s">
        <v>32</v>
      </c>
      <c r="F6687" t="s">
        <v>87</v>
      </c>
      <c r="G6687">
        <v>0.95</v>
      </c>
      <c r="H6687">
        <v>-7.0000000000000007E-2</v>
      </c>
      <c r="I6687">
        <v>0.51</v>
      </c>
      <c r="J6687" s="66">
        <v>0.2601</v>
      </c>
      <c r="K6687" t="str">
        <f>IFERROR(INDEX(Rosters!$C$2:$C$155,MATCH($B6687,Rosters!$B$2:$B$155,0)),"NA")</f>
        <v>NA</v>
      </c>
      <c r="L6687" t="str">
        <f t="shared" si="312"/>
        <v>NA2WR</v>
      </c>
      <c r="M6687">
        <f>COUNTIF(L$1:L6687,L6687)</f>
        <v>83</v>
      </c>
      <c r="N6687" t="str">
        <f t="shared" si="313"/>
        <v>NA2WR-83</v>
      </c>
      <c r="O6687">
        <f>COUNTIFS(F$1:F6687,F6687,A$1:A6687,A6687)</f>
        <v>132</v>
      </c>
      <c r="P6687" t="str">
        <f t="shared" si="314"/>
        <v>Jordan Taylor2</v>
      </c>
    </row>
    <row r="6688" spans="1:16" x14ac:dyDescent="0.25">
      <c r="A6688">
        <v>1</v>
      </c>
      <c r="B6688" t="s">
        <v>1631</v>
      </c>
      <c r="C6688">
        <f>-0.17-1.05</f>
        <v>-1.22</v>
      </c>
      <c r="D6688">
        <v>0.44</v>
      </c>
      <c r="E6688" t="s">
        <v>66</v>
      </c>
      <c r="F6688" t="s">
        <v>87</v>
      </c>
      <c r="G6688">
        <v>1.05</v>
      </c>
      <c r="H6688">
        <v>-0.17</v>
      </c>
      <c r="I6688">
        <v>0.61</v>
      </c>
      <c r="J6688" s="66">
        <v>0.37209999999999999</v>
      </c>
      <c r="K6688" t="str">
        <f>IFERROR(INDEX(Rosters!$C$2:$C$155,MATCH($B6688,Rosters!$B$2:$B$155,0)),"NA")</f>
        <v>NA</v>
      </c>
      <c r="L6688" t="str">
        <f t="shared" si="312"/>
        <v>NA1WR</v>
      </c>
      <c r="M6688">
        <f>COUNTIF(L$1:L6688,L6688)</f>
        <v>78</v>
      </c>
      <c r="N6688" t="str">
        <f t="shared" si="313"/>
        <v>NA1WR-78</v>
      </c>
      <c r="O6688">
        <f>COUNTIFS(F$1:F6688,F6688,A$1:A6688,A6688)</f>
        <v>127</v>
      </c>
      <c r="P6688" t="str">
        <f t="shared" si="314"/>
        <v>Josh Malone1</v>
      </c>
    </row>
    <row r="6689" spans="1:16" x14ac:dyDescent="0.25">
      <c r="A6689">
        <v>17</v>
      </c>
      <c r="B6689" t="s">
        <v>1473</v>
      </c>
      <c r="C6689">
        <f>-0.07-0.95</f>
        <v>-1.02</v>
      </c>
      <c r="D6689">
        <v>0.44</v>
      </c>
      <c r="E6689" t="s">
        <v>42</v>
      </c>
      <c r="F6689" t="s">
        <v>47</v>
      </c>
      <c r="G6689">
        <v>0.95</v>
      </c>
      <c r="H6689">
        <v>-7.0000000000000007E-2</v>
      </c>
      <c r="I6689">
        <v>0.51</v>
      </c>
      <c r="J6689" s="66">
        <v>0.2601</v>
      </c>
      <c r="K6689" t="str">
        <f>IFERROR(INDEX(Rosters!$C$2:$C$155,MATCH($B6689,Rosters!$B$2:$B$155,0)),"NA")</f>
        <v>NA</v>
      </c>
      <c r="L6689" t="str">
        <f t="shared" si="312"/>
        <v>NA17RB</v>
      </c>
      <c r="M6689">
        <f>COUNTIF(L$1:L6689,L6689)</f>
        <v>73</v>
      </c>
      <c r="N6689" t="str">
        <f t="shared" si="313"/>
        <v>NA17RB-73</v>
      </c>
      <c r="O6689">
        <f>COUNTIFS(F$1:F6689,F6689,A$1:A6689,A6689)</f>
        <v>120</v>
      </c>
      <c r="P6689" t="str">
        <f t="shared" si="314"/>
        <v>Justin Jackson17</v>
      </c>
    </row>
    <row r="6690" spans="1:16" x14ac:dyDescent="0.25">
      <c r="A6690">
        <v>4</v>
      </c>
      <c r="B6690" t="s">
        <v>1597</v>
      </c>
      <c r="C6690">
        <f>-0.05-0.93</f>
        <v>-0.98000000000000009</v>
      </c>
      <c r="D6690">
        <v>0.44</v>
      </c>
      <c r="E6690" t="s">
        <v>41</v>
      </c>
      <c r="F6690" t="s">
        <v>114</v>
      </c>
      <c r="G6690">
        <v>0.93</v>
      </c>
      <c r="H6690">
        <v>-0.05</v>
      </c>
      <c r="I6690">
        <v>0.49</v>
      </c>
      <c r="J6690">
        <v>0.24010000000000001</v>
      </c>
      <c r="K6690" t="str">
        <f>IFERROR(INDEX(Rosters!$C$2:$C$155,MATCH($B6690,Rosters!$B$2:$B$155,0)),"NA")</f>
        <v>NA</v>
      </c>
      <c r="L6690" t="str">
        <f t="shared" si="312"/>
        <v>NA4TE</v>
      </c>
      <c r="M6690">
        <f>COUNTIF(L$1:L6690,L6690)</f>
        <v>64</v>
      </c>
      <c r="N6690" t="str">
        <f t="shared" si="313"/>
        <v>NA4TE-64</v>
      </c>
      <c r="O6690">
        <f>COUNTIFS(F$1:F6690,F6690,A$1:A6690,A6690)</f>
        <v>75</v>
      </c>
      <c r="P6690" t="str">
        <f t="shared" si="314"/>
        <v>Khari Lee4</v>
      </c>
    </row>
    <row r="6691" spans="1:16" x14ac:dyDescent="0.25">
      <c r="A6691">
        <v>10</v>
      </c>
      <c r="B6691" t="s">
        <v>1597</v>
      </c>
      <c r="C6691">
        <f>-0.02-0.9</f>
        <v>-0.92</v>
      </c>
      <c r="D6691">
        <v>0.44</v>
      </c>
      <c r="E6691" t="s">
        <v>73</v>
      </c>
      <c r="F6691" t="s">
        <v>114</v>
      </c>
      <c r="G6691">
        <v>0.9</v>
      </c>
      <c r="H6691">
        <v>-0.02</v>
      </c>
      <c r="I6691">
        <v>0.46</v>
      </c>
      <c r="J6691">
        <v>0.21160000000000001</v>
      </c>
      <c r="K6691" t="str">
        <f>IFERROR(INDEX(Rosters!$C$2:$C$155,MATCH($B6691,Rosters!$B$2:$B$155,0)),"NA")</f>
        <v>NA</v>
      </c>
      <c r="L6691" t="str">
        <f t="shared" si="312"/>
        <v>NA10TE</v>
      </c>
      <c r="M6691">
        <f>COUNTIF(L$1:L6691,L6691)</f>
        <v>68</v>
      </c>
      <c r="N6691" t="str">
        <f t="shared" si="313"/>
        <v>NA10TE-68</v>
      </c>
      <c r="O6691">
        <f>COUNTIFS(F$1:F6691,F6691,A$1:A6691,A6691)</f>
        <v>81</v>
      </c>
      <c r="P6691" t="str">
        <f t="shared" si="314"/>
        <v>Khari Lee10</v>
      </c>
    </row>
    <row r="6692" spans="1:16" x14ac:dyDescent="0.25">
      <c r="A6692">
        <v>5</v>
      </c>
      <c r="B6692" t="s">
        <v>3126</v>
      </c>
      <c r="C6692">
        <f>-0.08-0.96</f>
        <v>-1.04</v>
      </c>
      <c r="D6692">
        <v>0.44</v>
      </c>
      <c r="E6692" t="s">
        <v>73</v>
      </c>
      <c r="F6692" t="s">
        <v>114</v>
      </c>
      <c r="G6692">
        <v>0.96</v>
      </c>
      <c r="H6692">
        <v>-0.08</v>
      </c>
      <c r="I6692">
        <v>0.52</v>
      </c>
      <c r="J6692">
        <v>0.27039999999999997</v>
      </c>
      <c r="K6692" t="str">
        <f>IFERROR(INDEX(Rosters!$C$2:$C$155,MATCH($B6692,Rosters!$B$2:$B$155,0)),"NA")</f>
        <v>NA</v>
      </c>
      <c r="L6692" t="str">
        <f t="shared" si="312"/>
        <v>NA5TE</v>
      </c>
      <c r="M6692">
        <f>COUNTIF(L$1:L6692,L6692)</f>
        <v>73</v>
      </c>
      <c r="N6692" t="str">
        <f t="shared" si="313"/>
        <v>NA5TE-73</v>
      </c>
      <c r="O6692">
        <f>COUNTIFS(F$1:F6692,F6692,A$1:A6692,A6692)</f>
        <v>84</v>
      </c>
      <c r="P6692" t="str">
        <f t="shared" si="314"/>
        <v>Matt LaCosse5</v>
      </c>
    </row>
    <row r="6693" spans="1:16" x14ac:dyDescent="0.25">
      <c r="A6693">
        <v>14</v>
      </c>
      <c r="B6693" t="s">
        <v>3126</v>
      </c>
      <c r="C6693">
        <f>-0.08-0.96</f>
        <v>-1.04</v>
      </c>
      <c r="D6693">
        <v>0.44</v>
      </c>
      <c r="E6693" t="s">
        <v>30</v>
      </c>
      <c r="F6693" t="s">
        <v>114</v>
      </c>
      <c r="G6693">
        <v>0.96</v>
      </c>
      <c r="H6693">
        <v>-0.08</v>
      </c>
      <c r="I6693">
        <v>0.52</v>
      </c>
      <c r="J6693">
        <v>0.27039999999999997</v>
      </c>
      <c r="K6693" t="str">
        <f>IFERROR(INDEX(Rosters!$C$2:$C$155,MATCH($B6693,Rosters!$B$2:$B$155,0)),"NA")</f>
        <v>NA</v>
      </c>
      <c r="L6693" t="str">
        <f t="shared" si="312"/>
        <v>NA14TE</v>
      </c>
      <c r="M6693">
        <f>COUNTIF(L$1:L6693,L6693)</f>
        <v>81</v>
      </c>
      <c r="N6693" t="str">
        <f t="shared" si="313"/>
        <v>NA14TE-81</v>
      </c>
      <c r="O6693">
        <f>COUNTIFS(F$1:F6693,F6693,A$1:A6693,A6693)</f>
        <v>95</v>
      </c>
      <c r="P6693" t="str">
        <f t="shared" si="314"/>
        <v>Matt LaCosse14</v>
      </c>
    </row>
    <row r="6694" spans="1:16" x14ac:dyDescent="0.25">
      <c r="A6694">
        <v>3</v>
      </c>
      <c r="B6694" t="s">
        <v>1636</v>
      </c>
      <c r="C6694">
        <f>-0.16-1.04</f>
        <v>-1.2</v>
      </c>
      <c r="D6694">
        <v>0.44</v>
      </c>
      <c r="E6694" t="s">
        <v>58</v>
      </c>
      <c r="F6694" t="s">
        <v>47</v>
      </c>
      <c r="G6694">
        <v>1.04</v>
      </c>
      <c r="H6694">
        <v>-0.16</v>
      </c>
      <c r="I6694">
        <v>0.6</v>
      </c>
      <c r="J6694">
        <v>0.36</v>
      </c>
      <c r="K6694" t="str">
        <f>IFERROR(INDEX(Rosters!$C$2:$C$155,MATCH($B6694,Rosters!$B$2:$B$155,0)),"NA")</f>
        <v>NA</v>
      </c>
      <c r="L6694" t="str">
        <f t="shared" si="312"/>
        <v>NA3RB</v>
      </c>
      <c r="M6694">
        <f>COUNTIF(L$1:L6694,L6694)</f>
        <v>55</v>
      </c>
      <c r="N6694" t="str">
        <f t="shared" si="313"/>
        <v>NA3RB-55</v>
      </c>
      <c r="O6694">
        <f>COUNTIFS(F$1:F6694,F6694,A$1:A6694,A6694)</f>
        <v>94</v>
      </c>
      <c r="P6694" t="str">
        <f t="shared" si="314"/>
        <v>Michael Burton3</v>
      </c>
    </row>
    <row r="6695" spans="1:16" x14ac:dyDescent="0.25">
      <c r="A6695">
        <v>4</v>
      </c>
      <c r="B6695" t="s">
        <v>1636</v>
      </c>
      <c r="C6695" t="s">
        <v>4263</v>
      </c>
      <c r="D6695">
        <v>0.44</v>
      </c>
      <c r="E6695" t="s">
        <v>17</v>
      </c>
      <c r="F6695" t="s">
        <v>47</v>
      </c>
      <c r="G6695">
        <v>0.85</v>
      </c>
      <c r="H6695">
        <v>0.03</v>
      </c>
      <c r="I6695">
        <v>0.41</v>
      </c>
      <c r="J6695">
        <v>0.1681</v>
      </c>
      <c r="K6695" t="str">
        <f>IFERROR(INDEX(Rosters!$C$2:$C$155,MATCH($B6695,Rosters!$B$2:$B$155,0)),"NA")</f>
        <v>NA</v>
      </c>
      <c r="L6695" t="str">
        <f t="shared" si="312"/>
        <v>NA4RB</v>
      </c>
      <c r="M6695">
        <f>COUNTIF(L$1:L6695,L6695)</f>
        <v>55</v>
      </c>
      <c r="N6695" t="str">
        <f t="shared" si="313"/>
        <v>NA4RB-55</v>
      </c>
      <c r="O6695">
        <f>COUNTIFS(F$1:F6695,F6695,A$1:A6695,A6695)</f>
        <v>94</v>
      </c>
      <c r="P6695" t="str">
        <f t="shared" si="314"/>
        <v>Michael Burton4</v>
      </c>
    </row>
    <row r="6696" spans="1:16" x14ac:dyDescent="0.25">
      <c r="A6696">
        <v>14</v>
      </c>
      <c r="B6696" t="s">
        <v>4690</v>
      </c>
      <c r="C6696" t="s">
        <v>855</v>
      </c>
      <c r="D6696">
        <v>0.44</v>
      </c>
      <c r="E6696" t="s">
        <v>28</v>
      </c>
      <c r="F6696" t="s">
        <v>47</v>
      </c>
      <c r="G6696">
        <v>0.88</v>
      </c>
      <c r="H6696">
        <v>0</v>
      </c>
      <c r="I6696">
        <v>0.44</v>
      </c>
      <c r="J6696">
        <v>0.19359999999999999</v>
      </c>
      <c r="K6696" t="str">
        <f>IFERROR(INDEX(Rosters!$C$2:$C$155,MATCH($B6696,Rosters!$B$2:$B$155,0)),"NA")</f>
        <v>NA</v>
      </c>
      <c r="L6696" t="str">
        <f t="shared" si="312"/>
        <v>NA14RB</v>
      </c>
      <c r="M6696">
        <f>COUNTIF(L$1:L6696,L6696)</f>
        <v>72</v>
      </c>
      <c r="N6696" t="str">
        <f t="shared" si="313"/>
        <v>NA14RB-72</v>
      </c>
      <c r="O6696">
        <f>COUNTIFS(F$1:F6696,F6696,A$1:A6696,A6696)</f>
        <v>119</v>
      </c>
      <c r="P6696" t="str">
        <f t="shared" si="314"/>
        <v>Mike Boone14</v>
      </c>
    </row>
    <row r="6697" spans="1:16" x14ac:dyDescent="0.25">
      <c r="A6697">
        <v>13</v>
      </c>
      <c r="B6697" t="s">
        <v>1584</v>
      </c>
      <c r="C6697">
        <f>-0.11-0.99</f>
        <v>-1.1000000000000001</v>
      </c>
      <c r="D6697">
        <v>0.44</v>
      </c>
      <c r="E6697" t="s">
        <v>73</v>
      </c>
      <c r="F6697" t="s">
        <v>114</v>
      </c>
      <c r="G6697">
        <v>0.99</v>
      </c>
      <c r="H6697">
        <v>-0.11</v>
      </c>
      <c r="I6697">
        <v>0.55000000000000004</v>
      </c>
      <c r="J6697">
        <v>0.30249999999999999</v>
      </c>
      <c r="K6697" t="str">
        <f>IFERROR(INDEX(Rosters!$C$2:$C$155,MATCH($B6697,Rosters!$B$2:$B$155,0)),"NA")</f>
        <v>NA</v>
      </c>
      <c r="L6697" t="str">
        <f t="shared" si="312"/>
        <v>NA13TE</v>
      </c>
      <c r="M6697">
        <f>COUNTIF(L$1:L6697,L6697)</f>
        <v>79</v>
      </c>
      <c r="N6697" t="str">
        <f t="shared" si="313"/>
        <v>NA13TE-79</v>
      </c>
      <c r="O6697">
        <f>COUNTIFS(F$1:F6697,F6697,A$1:A6697,A6697)</f>
        <v>93</v>
      </c>
      <c r="P6697" t="str">
        <f t="shared" si="314"/>
        <v>MyCole Pruitt13</v>
      </c>
    </row>
    <row r="6698" spans="1:16" x14ac:dyDescent="0.25">
      <c r="A6698">
        <v>6</v>
      </c>
      <c r="B6698" t="s">
        <v>1570</v>
      </c>
      <c r="C6698" t="s">
        <v>4736</v>
      </c>
      <c r="D6698">
        <v>0.44</v>
      </c>
      <c r="E6698" t="s">
        <v>36</v>
      </c>
      <c r="F6698" t="s">
        <v>15</v>
      </c>
      <c r="G6698">
        <v>0.86</v>
      </c>
      <c r="H6698">
        <v>0.02</v>
      </c>
      <c r="I6698">
        <v>0.42</v>
      </c>
      <c r="J6698">
        <v>0.1764</v>
      </c>
      <c r="K6698" t="str">
        <f>IFERROR(INDEX(Rosters!$C$2:$C$155,MATCH($B6698,Rosters!$B$2:$B$155,0)),"NA")</f>
        <v>NA</v>
      </c>
      <c r="L6698" t="str">
        <f t="shared" si="312"/>
        <v>NA6QB</v>
      </c>
      <c r="M6698">
        <f>COUNTIF(L$1:L6698,L6698)</f>
        <v>39</v>
      </c>
      <c r="N6698" t="str">
        <f t="shared" si="313"/>
        <v>NA6QB-39</v>
      </c>
      <c r="O6698">
        <f>COUNTIFS(F$1:F6698,F6698,A$1:A6698,A6698)</f>
        <v>54</v>
      </c>
      <c r="P6698" t="str">
        <f t="shared" si="314"/>
        <v>Nathan Peterman6</v>
      </c>
    </row>
    <row r="6699" spans="1:16" x14ac:dyDescent="0.25">
      <c r="A6699">
        <v>10</v>
      </c>
      <c r="B6699" t="s">
        <v>1570</v>
      </c>
      <c r="C6699" t="s">
        <v>4736</v>
      </c>
      <c r="D6699">
        <v>0.44</v>
      </c>
      <c r="E6699" t="s">
        <v>73</v>
      </c>
      <c r="F6699" t="s">
        <v>15</v>
      </c>
      <c r="G6699">
        <v>0.86</v>
      </c>
      <c r="H6699">
        <v>0.02</v>
      </c>
      <c r="I6699">
        <v>0.42</v>
      </c>
      <c r="J6699">
        <v>0.1764</v>
      </c>
      <c r="K6699" t="str">
        <f>IFERROR(INDEX(Rosters!$C$2:$C$155,MATCH($B6699,Rosters!$B$2:$B$155,0)),"NA")</f>
        <v>NA</v>
      </c>
      <c r="L6699" t="str">
        <f t="shared" si="312"/>
        <v>NA10QB</v>
      </c>
      <c r="M6699">
        <f>COUNTIF(L$1:L6699,L6699)</f>
        <v>35</v>
      </c>
      <c r="N6699" t="str">
        <f t="shared" si="313"/>
        <v>NA10QB-35</v>
      </c>
      <c r="O6699">
        <f>COUNTIFS(F$1:F6699,F6699,A$1:A6699,A6699)</f>
        <v>51</v>
      </c>
      <c r="P6699" t="str">
        <f t="shared" si="314"/>
        <v>Nathan Peterman10</v>
      </c>
    </row>
    <row r="6700" spans="1:16" x14ac:dyDescent="0.25">
      <c r="A6700">
        <v>15</v>
      </c>
      <c r="B6700" t="s">
        <v>1570</v>
      </c>
      <c r="C6700" t="s">
        <v>1022</v>
      </c>
      <c r="D6700">
        <v>0.44</v>
      </c>
      <c r="E6700" t="s">
        <v>34</v>
      </c>
      <c r="F6700" t="s">
        <v>15</v>
      </c>
      <c r="G6700">
        <v>0.87</v>
      </c>
      <c r="H6700">
        <v>0.01</v>
      </c>
      <c r="I6700">
        <v>0.43</v>
      </c>
      <c r="J6700" s="66">
        <v>0.18490000000000001</v>
      </c>
      <c r="K6700" t="str">
        <f>IFERROR(INDEX(Rosters!$C$2:$C$155,MATCH($B6700,Rosters!$B$2:$B$155,0)),"NA")</f>
        <v>NA</v>
      </c>
      <c r="L6700" t="str">
        <f t="shared" si="312"/>
        <v>NA15QB</v>
      </c>
      <c r="M6700">
        <f>COUNTIF(L$1:L6700,L6700)</f>
        <v>41</v>
      </c>
      <c r="N6700" t="str">
        <f t="shared" si="313"/>
        <v>NA15QB-41</v>
      </c>
      <c r="O6700">
        <f>COUNTIFS(F$1:F6700,F6700,A$1:A6700,A6700)</f>
        <v>58</v>
      </c>
      <c r="P6700" t="str">
        <f t="shared" si="314"/>
        <v>Nathan Peterman15</v>
      </c>
    </row>
    <row r="6701" spans="1:16" x14ac:dyDescent="0.25">
      <c r="A6701">
        <v>2</v>
      </c>
      <c r="B6701" t="s">
        <v>1623</v>
      </c>
      <c r="C6701">
        <f>-0.11-0.99</f>
        <v>-1.1000000000000001</v>
      </c>
      <c r="D6701">
        <v>0.44</v>
      </c>
      <c r="E6701" t="s">
        <v>54</v>
      </c>
      <c r="F6701" t="s">
        <v>87</v>
      </c>
      <c r="G6701">
        <v>0.99</v>
      </c>
      <c r="H6701">
        <v>-0.11</v>
      </c>
      <c r="I6701">
        <v>0.55000000000000004</v>
      </c>
      <c r="J6701" s="66">
        <v>0.30249999999999999</v>
      </c>
      <c r="K6701" t="str">
        <f>IFERROR(INDEX(Rosters!$C$2:$C$155,MATCH($B6701,Rosters!$B$2:$B$155,0)),"NA")</f>
        <v>NA</v>
      </c>
      <c r="L6701" t="str">
        <f t="shared" si="312"/>
        <v>NA2WR</v>
      </c>
      <c r="M6701">
        <f>COUNTIF(L$1:L6701,L6701)</f>
        <v>84</v>
      </c>
      <c r="N6701" t="str">
        <f t="shared" si="313"/>
        <v>NA2WR-84</v>
      </c>
      <c r="O6701">
        <f>COUNTIFS(F$1:F6701,F6701,A$1:A6701,A6701)</f>
        <v>133</v>
      </c>
      <c r="P6701" t="str">
        <f t="shared" si="314"/>
        <v>Noah Brown2</v>
      </c>
    </row>
    <row r="6702" spans="1:16" x14ac:dyDescent="0.25">
      <c r="A6702">
        <v>8</v>
      </c>
      <c r="B6702" t="s">
        <v>3374</v>
      </c>
      <c r="C6702" t="s">
        <v>1022</v>
      </c>
      <c r="D6702">
        <v>0.44</v>
      </c>
      <c r="E6702" t="s">
        <v>74</v>
      </c>
      <c r="F6702" t="s">
        <v>47</v>
      </c>
      <c r="G6702">
        <v>0.87</v>
      </c>
      <c r="H6702">
        <v>0.01</v>
      </c>
      <c r="I6702">
        <v>0.43</v>
      </c>
      <c r="J6702" s="66">
        <v>0.18490000000000001</v>
      </c>
      <c r="K6702" t="str">
        <f>IFERROR(INDEX(Rosters!$C$2:$C$155,MATCH($B6702,Rosters!$B$2:$B$155,0)),"NA")</f>
        <v>NA</v>
      </c>
      <c r="L6702" t="str">
        <f t="shared" si="312"/>
        <v>NA8RB</v>
      </c>
      <c r="M6702">
        <f>COUNTIF(L$1:L6702,L6702)</f>
        <v>66</v>
      </c>
      <c r="N6702" t="str">
        <f t="shared" si="313"/>
        <v>NA8RB-66</v>
      </c>
      <c r="O6702">
        <f>COUNTIFS(F$1:F6702,F6702,A$1:A6702,A6702)</f>
        <v>106</v>
      </c>
      <c r="P6702" t="str">
        <f t="shared" si="314"/>
        <v>Patrick Ricard8</v>
      </c>
    </row>
    <row r="6703" spans="1:16" x14ac:dyDescent="0.25">
      <c r="A6703">
        <v>17</v>
      </c>
      <c r="B6703" t="s">
        <v>3374</v>
      </c>
      <c r="C6703" t="s">
        <v>1630</v>
      </c>
      <c r="D6703">
        <v>0.44</v>
      </c>
      <c r="E6703" t="s">
        <v>52</v>
      </c>
      <c r="F6703" t="s">
        <v>47</v>
      </c>
      <c r="G6703">
        <v>0.82</v>
      </c>
      <c r="H6703">
        <v>0.06</v>
      </c>
      <c r="I6703">
        <v>0.38</v>
      </c>
      <c r="J6703" s="66">
        <v>0.1444</v>
      </c>
      <c r="K6703" t="str">
        <f>IFERROR(INDEX(Rosters!$C$2:$C$155,MATCH($B6703,Rosters!$B$2:$B$155,0)),"NA")</f>
        <v>NA</v>
      </c>
      <c r="L6703" t="str">
        <f t="shared" si="312"/>
        <v>NA17RB</v>
      </c>
      <c r="M6703">
        <f>COUNTIF(L$1:L6703,L6703)</f>
        <v>74</v>
      </c>
      <c r="N6703" t="str">
        <f t="shared" si="313"/>
        <v>NA17RB-74</v>
      </c>
      <c r="O6703">
        <f>COUNTIFS(F$1:F6703,F6703,A$1:A6703,A6703)</f>
        <v>121</v>
      </c>
      <c r="P6703" t="str">
        <f t="shared" si="314"/>
        <v>Patrick Ricard17</v>
      </c>
    </row>
    <row r="6704" spans="1:16" x14ac:dyDescent="0.25">
      <c r="A6704">
        <v>1</v>
      </c>
      <c r="B6704" t="s">
        <v>798</v>
      </c>
      <c r="C6704">
        <f>-0.24-1.12</f>
        <v>-1.36</v>
      </c>
      <c r="D6704">
        <v>0.44</v>
      </c>
      <c r="E6704" t="s">
        <v>51</v>
      </c>
      <c r="F6704" t="s">
        <v>87</v>
      </c>
      <c r="G6704">
        <v>1.1200000000000001</v>
      </c>
      <c r="H6704">
        <v>-0.24</v>
      </c>
      <c r="I6704">
        <v>0.68</v>
      </c>
      <c r="J6704" s="66">
        <v>0.46239999999999998</v>
      </c>
      <c r="K6704" t="str">
        <f>IFERROR(INDEX(Rosters!$C$2:$C$155,MATCH($B6704,Rosters!$B$2:$B$155,0)),"NA")</f>
        <v>NA</v>
      </c>
      <c r="L6704" t="str">
        <f t="shared" si="312"/>
        <v>NA1WR</v>
      </c>
      <c r="M6704">
        <f>COUNTIF(L$1:L6704,L6704)</f>
        <v>79</v>
      </c>
      <c r="N6704" t="str">
        <f t="shared" si="313"/>
        <v>NA1WR-79</v>
      </c>
      <c r="O6704">
        <f>COUNTIFS(F$1:F6704,F6704,A$1:A6704,A6704)</f>
        <v>128</v>
      </c>
      <c r="P6704" t="str">
        <f t="shared" si="314"/>
        <v>Rashard Higgins1</v>
      </c>
    </row>
    <row r="6705" spans="1:16" x14ac:dyDescent="0.25">
      <c r="A6705">
        <v>17</v>
      </c>
      <c r="B6705" t="s">
        <v>1123</v>
      </c>
      <c r="C6705">
        <f>-0.03-0.91</f>
        <v>-0.94000000000000006</v>
      </c>
      <c r="D6705">
        <v>0.44</v>
      </c>
      <c r="E6705" t="s">
        <v>38</v>
      </c>
      <c r="F6705" t="s">
        <v>47</v>
      </c>
      <c r="G6705">
        <v>0.91</v>
      </c>
      <c r="H6705">
        <v>-0.03</v>
      </c>
      <c r="I6705">
        <v>0.47</v>
      </c>
      <c r="J6705" s="66">
        <v>0.22090000000000001</v>
      </c>
      <c r="K6705" t="str">
        <f>IFERROR(INDEX(Rosters!$C$2:$C$155,MATCH($B6705,Rosters!$B$2:$B$155,0)),"NA")</f>
        <v>NA</v>
      </c>
      <c r="L6705" t="str">
        <f t="shared" si="312"/>
        <v>NA17RB</v>
      </c>
      <c r="M6705">
        <f>COUNTIF(L$1:L6705,L6705)</f>
        <v>75</v>
      </c>
      <c r="N6705" t="str">
        <f t="shared" si="313"/>
        <v>NA17RB-75</v>
      </c>
      <c r="O6705">
        <f>COUNTIFS(F$1:F6705,F6705,A$1:A6705,A6705)</f>
        <v>122</v>
      </c>
      <c r="P6705" t="str">
        <f t="shared" si="314"/>
        <v>Robert Turbin17</v>
      </c>
    </row>
    <row r="6706" spans="1:16" x14ac:dyDescent="0.25">
      <c r="A6706">
        <v>14</v>
      </c>
      <c r="B6706" t="s">
        <v>8803</v>
      </c>
      <c r="C6706">
        <f>-0.02-0.9</f>
        <v>-0.92</v>
      </c>
      <c r="D6706">
        <v>0.44</v>
      </c>
      <c r="E6706" t="s">
        <v>28</v>
      </c>
      <c r="F6706" t="s">
        <v>47</v>
      </c>
      <c r="G6706">
        <v>0.9</v>
      </c>
      <c r="H6706">
        <v>-0.02</v>
      </c>
      <c r="I6706">
        <v>0.46</v>
      </c>
      <c r="J6706" s="66">
        <v>0.21160000000000001</v>
      </c>
      <c r="K6706" t="str">
        <f>IFERROR(INDEX(Rosters!$C$2:$C$155,MATCH($B6706,Rosters!$B$2:$B$155,0)),"NA")</f>
        <v>NA</v>
      </c>
      <c r="L6706" t="str">
        <f t="shared" si="312"/>
        <v>NA14RB</v>
      </c>
      <c r="M6706">
        <f>COUNTIF(L$1:L6706,L6706)</f>
        <v>73</v>
      </c>
      <c r="N6706" t="str">
        <f t="shared" si="313"/>
        <v>NA14RB-73</v>
      </c>
      <c r="O6706">
        <f>COUNTIFS(F$1:F6706,F6706,A$1:A6706,A6706)</f>
        <v>120</v>
      </c>
      <c r="P6706" t="str">
        <f t="shared" si="314"/>
        <v>Roc Thomas14</v>
      </c>
    </row>
    <row r="6707" spans="1:16" x14ac:dyDescent="0.25">
      <c r="A6707">
        <v>8</v>
      </c>
      <c r="B6707" t="s">
        <v>164</v>
      </c>
      <c r="C6707" t="s">
        <v>4263</v>
      </c>
      <c r="D6707">
        <v>0.44</v>
      </c>
      <c r="E6707" t="s">
        <v>54</v>
      </c>
      <c r="F6707" t="s">
        <v>47</v>
      </c>
      <c r="G6707">
        <v>0.85</v>
      </c>
      <c r="H6707">
        <v>0.03</v>
      </c>
      <c r="I6707">
        <v>0.41</v>
      </c>
      <c r="J6707" s="66">
        <v>0.1681</v>
      </c>
      <c r="K6707" t="str">
        <f>IFERROR(INDEX(Rosters!$C$2:$C$155,MATCH($B6707,Rosters!$B$2:$B$155,0)),"NA")</f>
        <v>NA</v>
      </c>
      <c r="L6707" t="str">
        <f t="shared" si="312"/>
        <v>NA8RB</v>
      </c>
      <c r="M6707">
        <f>COUNTIF(L$1:L6707,L6707)</f>
        <v>67</v>
      </c>
      <c r="N6707" t="str">
        <f t="shared" si="313"/>
        <v>NA8RB-67</v>
      </c>
      <c r="O6707">
        <f>COUNTIFS(F$1:F6707,F6707,A$1:A6707,A6707)</f>
        <v>107</v>
      </c>
      <c r="P6707" t="str">
        <f t="shared" si="314"/>
        <v>Samaje Perine8</v>
      </c>
    </row>
    <row r="6708" spans="1:16" x14ac:dyDescent="0.25">
      <c r="A6708">
        <v>16</v>
      </c>
      <c r="B6708" t="s">
        <v>164</v>
      </c>
      <c r="C6708">
        <f>-0.06-0.94</f>
        <v>-1</v>
      </c>
      <c r="D6708">
        <v>0.44</v>
      </c>
      <c r="E6708" t="s">
        <v>38</v>
      </c>
      <c r="F6708" t="s">
        <v>47</v>
      </c>
      <c r="G6708">
        <v>0.94</v>
      </c>
      <c r="H6708">
        <v>-0.06</v>
      </c>
      <c r="I6708">
        <v>0.5</v>
      </c>
      <c r="J6708" s="66">
        <v>0.25</v>
      </c>
      <c r="K6708" t="str">
        <f>IFERROR(INDEX(Rosters!$C$2:$C$155,MATCH($B6708,Rosters!$B$2:$B$155,0)),"NA")</f>
        <v>NA</v>
      </c>
      <c r="L6708" t="str">
        <f t="shared" si="312"/>
        <v>NA16RB</v>
      </c>
      <c r="M6708">
        <f>COUNTIF(L$1:L6708,L6708)</f>
        <v>73</v>
      </c>
      <c r="N6708" t="str">
        <f t="shared" si="313"/>
        <v>NA16RB-73</v>
      </c>
      <c r="O6708">
        <f>COUNTIFS(F$1:F6708,F6708,A$1:A6708,A6708)</f>
        <v>120</v>
      </c>
      <c r="P6708" t="str">
        <f t="shared" si="314"/>
        <v>Samaje Perine16</v>
      </c>
    </row>
    <row r="6709" spans="1:16" x14ac:dyDescent="0.25">
      <c r="A6709">
        <v>12</v>
      </c>
      <c r="B6709" t="s">
        <v>337</v>
      </c>
      <c r="C6709">
        <f>-0.08-0.96</f>
        <v>-1.04</v>
      </c>
      <c r="D6709">
        <v>0.44</v>
      </c>
      <c r="E6709" t="s">
        <v>38</v>
      </c>
      <c r="F6709" t="s">
        <v>87</v>
      </c>
      <c r="G6709">
        <v>0.96</v>
      </c>
      <c r="H6709">
        <v>-0.08</v>
      </c>
      <c r="I6709">
        <v>0.52</v>
      </c>
      <c r="J6709" s="66">
        <v>0.27039999999999997</v>
      </c>
      <c r="K6709" t="str">
        <f>IFERROR(INDEX(Rosters!$C$2:$C$155,MATCH($B6709,Rosters!$B$2:$B$155,0)),"NA")</f>
        <v>NA</v>
      </c>
      <c r="L6709" t="str">
        <f t="shared" si="312"/>
        <v>NA12WR</v>
      </c>
      <c r="M6709">
        <f>COUNTIF(L$1:L6709,L6709)</f>
        <v>112</v>
      </c>
      <c r="N6709" t="str">
        <f t="shared" si="313"/>
        <v>NA12WR-112</v>
      </c>
      <c r="O6709">
        <f>COUNTIFS(F$1:F6709,F6709,A$1:A6709,A6709)</f>
        <v>161</v>
      </c>
      <c r="P6709" t="str">
        <f t="shared" si="314"/>
        <v>Sammie Coates12</v>
      </c>
    </row>
    <row r="6710" spans="1:16" x14ac:dyDescent="0.25">
      <c r="A6710">
        <v>13</v>
      </c>
      <c r="B6710" t="s">
        <v>337</v>
      </c>
      <c r="C6710">
        <f>-0.09-0.97</f>
        <v>-1.06</v>
      </c>
      <c r="D6710">
        <v>0.44</v>
      </c>
      <c r="E6710" t="s">
        <v>52</v>
      </c>
      <c r="F6710" t="s">
        <v>87</v>
      </c>
      <c r="G6710">
        <v>0.97</v>
      </c>
      <c r="H6710">
        <v>-0.09</v>
      </c>
      <c r="I6710">
        <v>0.53</v>
      </c>
      <c r="J6710" s="66">
        <v>0.28089999999999998</v>
      </c>
      <c r="K6710" t="str">
        <f>IFERROR(INDEX(Rosters!$C$2:$C$155,MATCH($B6710,Rosters!$B$2:$B$155,0)),"NA")</f>
        <v>NA</v>
      </c>
      <c r="L6710" t="str">
        <f t="shared" si="312"/>
        <v>NA13WR</v>
      </c>
      <c r="M6710">
        <f>COUNTIF(L$1:L6710,L6710)</f>
        <v>115</v>
      </c>
      <c r="N6710" t="str">
        <f t="shared" si="313"/>
        <v>NA13WR-115</v>
      </c>
      <c r="O6710">
        <f>COUNTIFS(F$1:F6710,F6710,A$1:A6710,A6710)</f>
        <v>169</v>
      </c>
      <c r="P6710" t="str">
        <f t="shared" si="314"/>
        <v>Sammie Coates13</v>
      </c>
    </row>
    <row r="6711" spans="1:16" x14ac:dyDescent="0.25">
      <c r="A6711">
        <v>8</v>
      </c>
      <c r="B6711" t="s">
        <v>745</v>
      </c>
      <c r="C6711">
        <f>-0.09-0.97</f>
        <v>-1.06</v>
      </c>
      <c r="D6711">
        <v>0.44</v>
      </c>
      <c r="E6711" t="s">
        <v>25</v>
      </c>
      <c r="F6711" t="s">
        <v>15</v>
      </c>
      <c r="G6711">
        <v>0.97</v>
      </c>
      <c r="H6711">
        <v>-0.09</v>
      </c>
      <c r="I6711">
        <v>0.53</v>
      </c>
      <c r="J6711" s="66">
        <v>0.28089999999999998</v>
      </c>
      <c r="K6711" t="str">
        <f>IFERROR(INDEX(Rosters!$C$2:$C$155,MATCH($B6711,Rosters!$B$2:$B$155,0)),"NA")</f>
        <v>NA</v>
      </c>
      <c r="L6711" t="str">
        <f t="shared" si="312"/>
        <v>NA8QB</v>
      </c>
      <c r="M6711">
        <f>COUNTIF(L$1:L6711,L6711)</f>
        <v>35</v>
      </c>
      <c r="N6711" t="str">
        <f t="shared" si="313"/>
        <v>NA8QB-35</v>
      </c>
      <c r="O6711">
        <f>COUNTIFS(F$1:F6711,F6711,A$1:A6711,A6711)</f>
        <v>50</v>
      </c>
      <c r="P6711" t="str">
        <f t="shared" si="314"/>
        <v>Teddy Bridgewater8</v>
      </c>
    </row>
    <row r="6712" spans="1:16" x14ac:dyDescent="0.25">
      <c r="A6712">
        <v>2</v>
      </c>
      <c r="B6712" t="s">
        <v>1600</v>
      </c>
      <c r="C6712" t="s">
        <v>1022</v>
      </c>
      <c r="D6712">
        <v>0.44</v>
      </c>
      <c r="E6712" t="s">
        <v>423</v>
      </c>
      <c r="F6712" t="s">
        <v>47</v>
      </c>
      <c r="G6712">
        <v>0.87</v>
      </c>
      <c r="H6712">
        <v>0.01</v>
      </c>
      <c r="I6712">
        <v>0.43</v>
      </c>
      <c r="J6712" s="66">
        <v>0.18490000000000001</v>
      </c>
      <c r="K6712" t="str">
        <f>IFERROR(INDEX(Rosters!$C$2:$C$155,MATCH($B6712,Rosters!$B$2:$B$155,0)),"NA")</f>
        <v>NA</v>
      </c>
      <c r="L6712" t="str">
        <f t="shared" si="312"/>
        <v>NA2RB</v>
      </c>
      <c r="M6712">
        <f>COUNTIF(L$1:L6712,L6712)</f>
        <v>51</v>
      </c>
      <c r="N6712" t="str">
        <f t="shared" si="313"/>
        <v>NA2RB-51</v>
      </c>
      <c r="O6712">
        <f>COUNTIFS(F$1:F6712,F6712,A$1:A6712,A6712)</f>
        <v>93</v>
      </c>
      <c r="P6712" t="str">
        <f t="shared" si="314"/>
        <v>Tommy Bohanon2</v>
      </c>
    </row>
    <row r="6713" spans="1:16" x14ac:dyDescent="0.25">
      <c r="A6713">
        <v>16</v>
      </c>
      <c r="B6713" t="s">
        <v>1600</v>
      </c>
      <c r="C6713">
        <f>-0.14-1.02</f>
        <v>-1.1600000000000001</v>
      </c>
      <c r="D6713">
        <v>0.44</v>
      </c>
      <c r="E6713" t="s">
        <v>19</v>
      </c>
      <c r="F6713" t="s">
        <v>47</v>
      </c>
      <c r="G6713">
        <v>1.02</v>
      </c>
      <c r="H6713">
        <v>-0.14000000000000001</v>
      </c>
      <c r="I6713">
        <v>0.57999999999999996</v>
      </c>
      <c r="J6713" s="66">
        <v>0.33639999999999998</v>
      </c>
      <c r="K6713" t="str">
        <f>IFERROR(INDEX(Rosters!$C$2:$C$155,MATCH($B6713,Rosters!$B$2:$B$155,0)),"NA")</f>
        <v>NA</v>
      </c>
      <c r="L6713" t="str">
        <f t="shared" si="312"/>
        <v>NA16RB</v>
      </c>
      <c r="M6713">
        <f>COUNTIF(L$1:L6713,L6713)</f>
        <v>74</v>
      </c>
      <c r="N6713" t="str">
        <f t="shared" si="313"/>
        <v>NA16RB-74</v>
      </c>
      <c r="O6713">
        <f>COUNTIFS(F$1:F6713,F6713,A$1:A6713,A6713)</f>
        <v>121</v>
      </c>
      <c r="P6713" t="str">
        <f t="shared" si="314"/>
        <v>Tommy Bohanon16</v>
      </c>
    </row>
    <row r="6714" spans="1:16" x14ac:dyDescent="0.25">
      <c r="A6714">
        <v>14</v>
      </c>
      <c r="B6714" t="s">
        <v>4250</v>
      </c>
      <c r="C6714">
        <f>-0.06-0.94</f>
        <v>-1</v>
      </c>
      <c r="D6714">
        <v>0.44</v>
      </c>
      <c r="E6714" t="s">
        <v>28</v>
      </c>
      <c r="F6714" t="s">
        <v>114</v>
      </c>
      <c r="G6714">
        <v>0.94</v>
      </c>
      <c r="H6714">
        <v>-0.06</v>
      </c>
      <c r="I6714">
        <v>0.5</v>
      </c>
      <c r="J6714" s="66">
        <v>0.25</v>
      </c>
      <c r="K6714" t="str">
        <f>IFERROR(INDEX(Rosters!$C$2:$C$155,MATCH($B6714,Rosters!$B$2:$B$155,0)),"NA")</f>
        <v>NA</v>
      </c>
      <c r="L6714" t="str">
        <f t="shared" si="312"/>
        <v>NA14TE</v>
      </c>
      <c r="M6714">
        <f>COUNTIF(L$1:L6714,L6714)</f>
        <v>82</v>
      </c>
      <c r="N6714" t="str">
        <f t="shared" si="313"/>
        <v>NA14TE-82</v>
      </c>
      <c r="O6714">
        <f>COUNTIFS(F$1:F6714,F6714,A$1:A6714,A6714)</f>
        <v>96</v>
      </c>
      <c r="P6714" t="str">
        <f t="shared" si="314"/>
        <v>Tyler Conklin14</v>
      </c>
    </row>
    <row r="6715" spans="1:16" x14ac:dyDescent="0.25">
      <c r="A6715">
        <v>4</v>
      </c>
      <c r="B6715" t="s">
        <v>2715</v>
      </c>
      <c r="C6715">
        <f>-0.14-1</f>
        <v>-1.1400000000000001</v>
      </c>
      <c r="D6715">
        <v>0.43</v>
      </c>
      <c r="E6715" t="s">
        <v>56</v>
      </c>
      <c r="F6715" t="s">
        <v>87</v>
      </c>
      <c r="G6715">
        <v>1</v>
      </c>
      <c r="H6715">
        <v>-0.14000000000000001</v>
      </c>
      <c r="I6715">
        <v>0.56999999999999995</v>
      </c>
      <c r="J6715" s="66">
        <v>0.32490000000000002</v>
      </c>
      <c r="K6715" t="str">
        <f>IFERROR(INDEX(Rosters!$C$2:$C$155,MATCH($B6715,Rosters!$B$2:$B$155,0)),"NA")</f>
        <v>NA</v>
      </c>
      <c r="L6715" t="str">
        <f t="shared" si="312"/>
        <v>NA4WR</v>
      </c>
      <c r="M6715">
        <f>COUNTIF(L$1:L6715,L6715)</f>
        <v>91</v>
      </c>
      <c r="N6715" t="str">
        <f t="shared" si="313"/>
        <v>NA4WR-91</v>
      </c>
      <c r="O6715">
        <f>COUNTIFS(F$1:F6715,F6715,A$1:A6715,A6715)</f>
        <v>141</v>
      </c>
      <c r="P6715" t="str">
        <f t="shared" si="314"/>
        <v>Aldrick Robinson4</v>
      </c>
    </row>
    <row r="6716" spans="1:16" x14ac:dyDescent="0.25">
      <c r="A6716">
        <v>7</v>
      </c>
      <c r="B6716" t="s">
        <v>1555</v>
      </c>
      <c r="C6716">
        <f>-0.08-0.94</f>
        <v>-1.02</v>
      </c>
      <c r="D6716">
        <v>0.43</v>
      </c>
      <c r="E6716" t="s">
        <v>50</v>
      </c>
      <c r="F6716" t="s">
        <v>47</v>
      </c>
      <c r="G6716">
        <v>0.94</v>
      </c>
      <c r="H6716">
        <v>-0.08</v>
      </c>
      <c r="I6716">
        <v>0.51</v>
      </c>
      <c r="J6716">
        <v>0.2601</v>
      </c>
      <c r="K6716" t="str">
        <f>IFERROR(INDEX(Rosters!$C$2:$C$155,MATCH($B6716,Rosters!$B$2:$B$155,0)),"NA")</f>
        <v>NA</v>
      </c>
      <c r="L6716" t="str">
        <f t="shared" si="312"/>
        <v>NA7RB</v>
      </c>
      <c r="M6716">
        <f>COUNTIF(L$1:L6716,L6716)</f>
        <v>62</v>
      </c>
      <c r="N6716" t="str">
        <f t="shared" si="313"/>
        <v>NA7RB-62</v>
      </c>
      <c r="O6716">
        <f>COUNTIFS(F$1:F6716,F6716,A$1:A6716,A6716)</f>
        <v>103</v>
      </c>
      <c r="P6716" t="str">
        <f t="shared" si="314"/>
        <v>Alex Armah7</v>
      </c>
    </row>
    <row r="6717" spans="1:16" x14ac:dyDescent="0.25">
      <c r="A6717">
        <v>6</v>
      </c>
      <c r="B6717" t="s">
        <v>346</v>
      </c>
      <c r="C6717" t="s">
        <v>4739</v>
      </c>
      <c r="D6717">
        <v>0.43</v>
      </c>
      <c r="E6717" t="s">
        <v>51</v>
      </c>
      <c r="F6717" t="s">
        <v>87</v>
      </c>
      <c r="G6717">
        <v>0.83</v>
      </c>
      <c r="H6717">
        <v>0.03</v>
      </c>
      <c r="I6717">
        <v>0.4</v>
      </c>
      <c r="J6717">
        <v>0.16</v>
      </c>
      <c r="K6717" t="str">
        <f>IFERROR(INDEX(Rosters!$C$2:$C$155,MATCH($B6717,Rosters!$B$2:$B$155,0)),"NA")</f>
        <v>NA</v>
      </c>
      <c r="L6717" t="str">
        <f t="shared" si="312"/>
        <v>NA6WR</v>
      </c>
      <c r="M6717">
        <f>COUNTIF(L$1:L6717,L6717)</f>
        <v>109</v>
      </c>
      <c r="N6717" t="str">
        <f t="shared" si="313"/>
        <v>NA6WR-109</v>
      </c>
      <c r="O6717">
        <f>COUNTIFS(F$1:F6717,F6717,A$1:A6717,A6717)</f>
        <v>159</v>
      </c>
      <c r="P6717" t="str">
        <f t="shared" si="314"/>
        <v>Alex Erickson6</v>
      </c>
    </row>
    <row r="6718" spans="1:16" x14ac:dyDescent="0.25">
      <c r="A6718">
        <v>17</v>
      </c>
      <c r="B6718" t="s">
        <v>346</v>
      </c>
      <c r="C6718" t="s">
        <v>4739</v>
      </c>
      <c r="D6718">
        <v>0.43</v>
      </c>
      <c r="E6718" t="s">
        <v>51</v>
      </c>
      <c r="F6718" t="s">
        <v>87</v>
      </c>
      <c r="G6718">
        <v>0.83</v>
      </c>
      <c r="H6718">
        <v>0.03</v>
      </c>
      <c r="I6718">
        <v>0.4</v>
      </c>
      <c r="J6718">
        <v>0.16</v>
      </c>
      <c r="K6718" t="str">
        <f>IFERROR(INDEX(Rosters!$C$2:$C$155,MATCH($B6718,Rosters!$B$2:$B$155,0)),"NA")</f>
        <v>NA</v>
      </c>
      <c r="L6718" t="str">
        <f t="shared" si="312"/>
        <v>NA17WR</v>
      </c>
      <c r="M6718">
        <f>COUNTIF(L$1:L6718,L6718)</f>
        <v>120</v>
      </c>
      <c r="N6718" t="str">
        <f t="shared" si="313"/>
        <v>NA17WR-120</v>
      </c>
      <c r="O6718">
        <f>COUNTIFS(F$1:F6718,F6718,A$1:A6718,A6718)</f>
        <v>174</v>
      </c>
      <c r="P6718" t="str">
        <f t="shared" si="314"/>
        <v>Alex Erickson17</v>
      </c>
    </row>
    <row r="6719" spans="1:16" x14ac:dyDescent="0.25">
      <c r="A6719">
        <v>17</v>
      </c>
      <c r="B6719" t="s">
        <v>276</v>
      </c>
      <c r="C6719">
        <f>-0.02-0.88</f>
        <v>-0.9</v>
      </c>
      <c r="D6719">
        <v>0.43</v>
      </c>
      <c r="E6719" t="s">
        <v>19</v>
      </c>
      <c r="F6719" t="s">
        <v>87</v>
      </c>
      <c r="G6719">
        <v>0.88</v>
      </c>
      <c r="H6719">
        <v>-0.02</v>
      </c>
      <c r="I6719">
        <v>0.45</v>
      </c>
      <c r="J6719">
        <v>0.20250000000000001</v>
      </c>
      <c r="K6719" t="str">
        <f>IFERROR(INDEX(Rosters!$C$2:$C$155,MATCH($B6719,Rosters!$B$2:$B$155,0)),"NA")</f>
        <v>NA</v>
      </c>
      <c r="L6719" t="str">
        <f t="shared" si="312"/>
        <v>NA17WR</v>
      </c>
      <c r="M6719">
        <f>COUNTIF(L$1:L6719,L6719)</f>
        <v>121</v>
      </c>
      <c r="N6719" t="str">
        <f t="shared" si="313"/>
        <v>NA17WR-121</v>
      </c>
      <c r="O6719">
        <f>COUNTIFS(F$1:F6719,F6719,A$1:A6719,A6719)</f>
        <v>175</v>
      </c>
      <c r="P6719" t="str">
        <f t="shared" si="314"/>
        <v>Andre Holmes17</v>
      </c>
    </row>
    <row r="6720" spans="1:16" x14ac:dyDescent="0.25">
      <c r="A6720">
        <v>3</v>
      </c>
      <c r="B6720" t="s">
        <v>3167</v>
      </c>
      <c r="C6720">
        <f>-0.16-1.02</f>
        <v>-1.18</v>
      </c>
      <c r="D6720">
        <v>0.43</v>
      </c>
      <c r="E6720" t="s">
        <v>52</v>
      </c>
      <c r="F6720" t="s">
        <v>87</v>
      </c>
      <c r="G6720">
        <v>1.02</v>
      </c>
      <c r="H6720">
        <v>-0.16</v>
      </c>
      <c r="I6720">
        <v>0.59</v>
      </c>
      <c r="J6720">
        <v>0.34810000000000002</v>
      </c>
      <c r="K6720" t="str">
        <f>IFERROR(INDEX(Rosters!$C$2:$C$155,MATCH($B6720,Rosters!$B$2:$B$155,0)),"NA")</f>
        <v>NA</v>
      </c>
      <c r="L6720" t="str">
        <f t="shared" si="312"/>
        <v>NA3WR</v>
      </c>
      <c r="M6720">
        <f>COUNTIF(L$1:L6720,L6720)</f>
        <v>93</v>
      </c>
      <c r="N6720" t="str">
        <f t="shared" si="313"/>
        <v>NA3WR-93</v>
      </c>
      <c r="O6720">
        <f>COUNTIFS(F$1:F6720,F6720,A$1:A6720,A6720)</f>
        <v>142</v>
      </c>
      <c r="P6720" t="str">
        <f t="shared" si="314"/>
        <v>Andre Roberts3</v>
      </c>
    </row>
    <row r="6721" spans="1:16" x14ac:dyDescent="0.25">
      <c r="A6721">
        <v>4</v>
      </c>
      <c r="B6721" t="s">
        <v>2274</v>
      </c>
      <c r="C6721" t="s">
        <v>4737</v>
      </c>
      <c r="D6721">
        <v>0.43</v>
      </c>
      <c r="E6721" t="s">
        <v>423</v>
      </c>
      <c r="F6721" t="s">
        <v>47</v>
      </c>
      <c r="G6721">
        <v>0.85</v>
      </c>
      <c r="H6721">
        <v>0.01</v>
      </c>
      <c r="I6721">
        <v>0.42</v>
      </c>
      <c r="J6721">
        <v>0.1764</v>
      </c>
      <c r="K6721" t="str">
        <f>IFERROR(INDEX(Rosters!$C$2:$C$155,MATCH($B6721,Rosters!$B$2:$B$155,0)),"NA")</f>
        <v>NA</v>
      </c>
      <c r="L6721" t="str">
        <f t="shared" si="312"/>
        <v>NA4RB</v>
      </c>
      <c r="M6721">
        <f>COUNTIF(L$1:L6721,L6721)</f>
        <v>56</v>
      </c>
      <c r="N6721" t="str">
        <f t="shared" si="313"/>
        <v>NA4RB-56</v>
      </c>
      <c r="O6721">
        <f>COUNTIFS(F$1:F6721,F6721,A$1:A6721,A6721)</f>
        <v>95</v>
      </c>
      <c r="P6721" t="str">
        <f t="shared" si="314"/>
        <v>Brandon Bolden4</v>
      </c>
    </row>
    <row r="6722" spans="1:16" x14ac:dyDescent="0.25">
      <c r="A6722">
        <v>16</v>
      </c>
      <c r="B6722" t="s">
        <v>2947</v>
      </c>
      <c r="C6722">
        <f>-0.07-0.93</f>
        <v>-1</v>
      </c>
      <c r="D6722">
        <v>0.43</v>
      </c>
      <c r="E6722" t="s">
        <v>74</v>
      </c>
      <c r="F6722" t="s">
        <v>47</v>
      </c>
      <c r="G6722">
        <v>0.93</v>
      </c>
      <c r="H6722">
        <v>-7.0000000000000007E-2</v>
      </c>
      <c r="I6722">
        <v>0.5</v>
      </c>
      <c r="J6722">
        <v>0.25</v>
      </c>
      <c r="K6722" t="str">
        <f>IFERROR(INDEX(Rosters!$C$2:$C$155,MATCH($B6722,Rosters!$B$2:$B$155,0)),"NA")</f>
        <v>NA</v>
      </c>
      <c r="L6722" t="str">
        <f t="shared" si="312"/>
        <v>NA16RB</v>
      </c>
      <c r="M6722">
        <f>COUNTIF(L$1:L6722,L6722)</f>
        <v>75</v>
      </c>
      <c r="N6722" t="str">
        <f t="shared" si="313"/>
        <v>NA16RB-75</v>
      </c>
      <c r="O6722">
        <f>COUNTIFS(F$1:F6722,F6722,A$1:A6722,A6722)</f>
        <v>122</v>
      </c>
      <c r="P6722" t="str">
        <f t="shared" si="314"/>
        <v>Brian Hill16</v>
      </c>
    </row>
    <row r="6723" spans="1:16" x14ac:dyDescent="0.25">
      <c r="A6723">
        <v>8</v>
      </c>
      <c r="B6723" t="s">
        <v>1549</v>
      </c>
      <c r="C6723">
        <f>-0.02-0.88</f>
        <v>-0.9</v>
      </c>
      <c r="D6723">
        <v>0.43</v>
      </c>
      <c r="E6723" t="s">
        <v>14</v>
      </c>
      <c r="F6723" t="s">
        <v>47</v>
      </c>
      <c r="G6723">
        <v>0.88</v>
      </c>
      <c r="H6723">
        <v>-0.02</v>
      </c>
      <c r="I6723">
        <v>0.45</v>
      </c>
      <c r="J6723">
        <v>0.20250000000000001</v>
      </c>
      <c r="K6723" t="str">
        <f>IFERROR(INDEX(Rosters!$C$2:$C$155,MATCH($B6723,Rosters!$B$2:$B$155,0)),"NA")</f>
        <v>NA</v>
      </c>
      <c r="L6723" t="str">
        <f t="shared" ref="L6723:L6786" si="315">K6723&amp;A6723&amp;F6723</f>
        <v>NA8RB</v>
      </c>
      <c r="M6723">
        <f>COUNTIF(L$1:L6723,L6723)</f>
        <v>68</v>
      </c>
      <c r="N6723" t="str">
        <f t="shared" ref="N6723:N6786" si="316">L6723&amp;"-"&amp;M6723</f>
        <v>NA8RB-68</v>
      </c>
      <c r="O6723">
        <f>COUNTIFS(F$1:F6723,F6723,A$1:A6723,A6723)</f>
        <v>108</v>
      </c>
      <c r="P6723" t="str">
        <f t="shared" ref="P6723:P6786" si="317">B6723&amp;A6723</f>
        <v>C.J. Ham8</v>
      </c>
    </row>
    <row r="6724" spans="1:16" x14ac:dyDescent="0.25">
      <c r="A6724">
        <v>14</v>
      </c>
      <c r="B6724" t="s">
        <v>311</v>
      </c>
      <c r="C6724">
        <f>-0.05-0.91</f>
        <v>-0.96000000000000008</v>
      </c>
      <c r="D6724">
        <v>0.43</v>
      </c>
      <c r="E6724" t="s">
        <v>77</v>
      </c>
      <c r="F6724" t="s">
        <v>15</v>
      </c>
      <c r="G6724">
        <v>0.91</v>
      </c>
      <c r="H6724">
        <v>-0.05</v>
      </c>
      <c r="I6724">
        <v>0.48</v>
      </c>
      <c r="J6724">
        <v>0.23039999999999999</v>
      </c>
      <c r="K6724" t="str">
        <f>IFERROR(INDEX(Rosters!$C$2:$C$155,MATCH($B6724,Rosters!$B$2:$B$155,0)),"NA")</f>
        <v>NA</v>
      </c>
      <c r="L6724" t="str">
        <f t="shared" si="315"/>
        <v>NA14QB</v>
      </c>
      <c r="M6724">
        <f>COUNTIF(L$1:L6724,L6724)</f>
        <v>41</v>
      </c>
      <c r="N6724" t="str">
        <f t="shared" si="316"/>
        <v>NA14QB-41</v>
      </c>
      <c r="O6724">
        <f>COUNTIFS(F$1:F6724,F6724,A$1:A6724,A6724)</f>
        <v>58</v>
      </c>
      <c r="P6724" t="str">
        <f t="shared" si="317"/>
        <v>Chad Henne14</v>
      </c>
    </row>
    <row r="6725" spans="1:16" x14ac:dyDescent="0.25">
      <c r="A6725">
        <v>10</v>
      </c>
      <c r="B6725" t="s">
        <v>4221</v>
      </c>
      <c r="C6725">
        <f>-0.06-0.92</f>
        <v>-0.98</v>
      </c>
      <c r="D6725">
        <v>0.43</v>
      </c>
      <c r="E6725" t="s">
        <v>29</v>
      </c>
      <c r="F6725" t="s">
        <v>114</v>
      </c>
      <c r="G6725">
        <v>0.92</v>
      </c>
      <c r="H6725">
        <v>-0.06</v>
      </c>
      <c r="I6725">
        <v>0.49</v>
      </c>
      <c r="J6725">
        <v>0.24010000000000001</v>
      </c>
      <c r="K6725" t="str">
        <f>IFERROR(INDEX(Rosters!$C$2:$C$155,MATCH($B6725,Rosters!$B$2:$B$155,0)),"NA")</f>
        <v>NA</v>
      </c>
      <c r="L6725" t="str">
        <f t="shared" si="315"/>
        <v>NA10TE</v>
      </c>
      <c r="M6725">
        <f>COUNTIF(L$1:L6725,L6725)</f>
        <v>69</v>
      </c>
      <c r="N6725" t="str">
        <f t="shared" si="316"/>
        <v>NA10TE-69</v>
      </c>
      <c r="O6725">
        <f>COUNTIFS(F$1:F6725,F6725,A$1:A6725,A6725)</f>
        <v>82</v>
      </c>
      <c r="P6725" t="str">
        <f t="shared" si="317"/>
        <v>Chris Herndon10</v>
      </c>
    </row>
    <row r="6726" spans="1:16" x14ac:dyDescent="0.25">
      <c r="A6726">
        <v>12</v>
      </c>
      <c r="B6726" t="s">
        <v>4221</v>
      </c>
      <c r="C6726">
        <f>-0.01-0.87</f>
        <v>-0.88</v>
      </c>
      <c r="D6726">
        <v>0.43</v>
      </c>
      <c r="E6726" t="s">
        <v>423</v>
      </c>
      <c r="F6726" t="s">
        <v>114</v>
      </c>
      <c r="G6726">
        <v>0.87</v>
      </c>
      <c r="H6726">
        <v>-0.01</v>
      </c>
      <c r="I6726">
        <v>0.44</v>
      </c>
      <c r="J6726">
        <v>0.19359999999999999</v>
      </c>
      <c r="K6726" t="str">
        <f>IFERROR(INDEX(Rosters!$C$2:$C$155,MATCH($B6726,Rosters!$B$2:$B$155,0)),"NA")</f>
        <v>NA</v>
      </c>
      <c r="L6726" t="str">
        <f t="shared" si="315"/>
        <v>NA12TE</v>
      </c>
      <c r="M6726">
        <f>COUNTIF(L$1:L6726,L6726)</f>
        <v>76</v>
      </c>
      <c r="N6726" t="str">
        <f t="shared" si="316"/>
        <v>NA12TE-76</v>
      </c>
      <c r="O6726">
        <f>COUNTIFS(F$1:F6726,F6726,A$1:A6726,A6726)</f>
        <v>89</v>
      </c>
      <c r="P6726" t="str">
        <f t="shared" si="317"/>
        <v>Chris Herndon12</v>
      </c>
    </row>
    <row r="6727" spans="1:16" x14ac:dyDescent="0.25">
      <c r="A6727">
        <v>9</v>
      </c>
      <c r="B6727" t="s">
        <v>330</v>
      </c>
      <c r="C6727">
        <f>-0.05-0.91</f>
        <v>-0.96000000000000008</v>
      </c>
      <c r="D6727">
        <v>0.43</v>
      </c>
      <c r="E6727" t="s">
        <v>17</v>
      </c>
      <c r="F6727" t="s">
        <v>114</v>
      </c>
      <c r="G6727">
        <v>0.91</v>
      </c>
      <c r="H6727">
        <v>-0.05</v>
      </c>
      <c r="I6727">
        <v>0.48</v>
      </c>
      <c r="J6727">
        <v>0.23039999999999999</v>
      </c>
      <c r="K6727" t="str">
        <f>IFERROR(INDEX(Rosters!$C$2:$C$155,MATCH($B6727,Rosters!$B$2:$B$155,0)),"NA")</f>
        <v>NA</v>
      </c>
      <c r="L6727" t="str">
        <f t="shared" si="315"/>
        <v>NA9TE</v>
      </c>
      <c r="M6727">
        <f>COUNTIF(L$1:L6727,L6727)</f>
        <v>63</v>
      </c>
      <c r="N6727" t="str">
        <f t="shared" si="316"/>
        <v>NA9TE-63</v>
      </c>
      <c r="O6727">
        <f>COUNTIFS(F$1:F6727,F6727,A$1:A6727,A6727)</f>
        <v>74</v>
      </c>
      <c r="P6727" t="str">
        <f t="shared" si="317"/>
        <v>Chris Manhertz9</v>
      </c>
    </row>
    <row r="6728" spans="1:16" x14ac:dyDescent="0.25">
      <c r="A6728">
        <v>5</v>
      </c>
      <c r="B6728" t="s">
        <v>304</v>
      </c>
      <c r="C6728">
        <f>-0.24-1.1</f>
        <v>-1.34</v>
      </c>
      <c r="D6728">
        <v>0.43</v>
      </c>
      <c r="E6728" t="s">
        <v>46</v>
      </c>
      <c r="F6728" t="s">
        <v>87</v>
      </c>
      <c r="G6728">
        <v>1.1000000000000001</v>
      </c>
      <c r="H6728">
        <v>-0.24</v>
      </c>
      <c r="I6728">
        <v>0.67</v>
      </c>
      <c r="J6728">
        <v>0.44890000000000002</v>
      </c>
      <c r="K6728" t="str">
        <f>IFERROR(INDEX(Rosters!$C$2:$C$155,MATCH($B6728,Rosters!$B$2:$B$155,0)),"NA")</f>
        <v>NA</v>
      </c>
      <c r="L6728" t="str">
        <f t="shared" si="315"/>
        <v>NA5WR</v>
      </c>
      <c r="M6728">
        <f>COUNTIF(L$1:L6728,L6728)</f>
        <v>103</v>
      </c>
      <c r="N6728" t="str">
        <f t="shared" si="316"/>
        <v>NA5WR-103</v>
      </c>
      <c r="O6728">
        <f>COUNTIFS(F$1:F6728,F6728,A$1:A6728,A6728)</f>
        <v>153</v>
      </c>
      <c r="P6728" t="str">
        <f t="shared" si="317"/>
        <v>Darrius Heyward-Bey5</v>
      </c>
    </row>
    <row r="6729" spans="1:16" x14ac:dyDescent="0.25">
      <c r="A6729">
        <v>14</v>
      </c>
      <c r="B6729" t="s">
        <v>218</v>
      </c>
      <c r="C6729">
        <f>-0.04-0.9</f>
        <v>-0.94000000000000006</v>
      </c>
      <c r="D6729">
        <v>0.43</v>
      </c>
      <c r="E6729" t="s">
        <v>51</v>
      </c>
      <c r="F6729" t="s">
        <v>47</v>
      </c>
      <c r="G6729">
        <v>0.9</v>
      </c>
      <c r="H6729">
        <v>-0.04</v>
      </c>
      <c r="I6729">
        <v>0.47</v>
      </c>
      <c r="J6729">
        <v>0.22090000000000001</v>
      </c>
      <c r="K6729" t="str">
        <f>IFERROR(INDEX(Rosters!$C$2:$C$155,MATCH($B6729,Rosters!$B$2:$B$155,0)),"NA")</f>
        <v>NA</v>
      </c>
      <c r="L6729" t="str">
        <f t="shared" si="315"/>
        <v>NA14RB</v>
      </c>
      <c r="M6729">
        <f>COUNTIF(L$1:L6729,L6729)</f>
        <v>74</v>
      </c>
      <c r="N6729" t="str">
        <f t="shared" si="316"/>
        <v>NA14RB-74</v>
      </c>
      <c r="O6729">
        <f>COUNTIFS(F$1:F6729,F6729,A$1:A6729,A6729)</f>
        <v>121</v>
      </c>
      <c r="P6729" t="str">
        <f t="shared" si="317"/>
        <v>DeAndre Washington14</v>
      </c>
    </row>
    <row r="6730" spans="1:16" x14ac:dyDescent="0.25">
      <c r="A6730">
        <v>6</v>
      </c>
      <c r="B6730" t="s">
        <v>1127</v>
      </c>
      <c r="C6730">
        <f>-0.03-0.89</f>
        <v>-0.92</v>
      </c>
      <c r="D6730">
        <v>0.43</v>
      </c>
      <c r="E6730" t="s">
        <v>28</v>
      </c>
      <c r="F6730" t="s">
        <v>87</v>
      </c>
      <c r="G6730">
        <v>0.89</v>
      </c>
      <c r="H6730">
        <v>-0.03</v>
      </c>
      <c r="I6730">
        <v>0.46</v>
      </c>
      <c r="J6730">
        <v>0.21160000000000001</v>
      </c>
      <c r="K6730" t="str">
        <f>IFERROR(INDEX(Rosters!$C$2:$C$155,MATCH($B6730,Rosters!$B$2:$B$155,0)),"NA")</f>
        <v>NA</v>
      </c>
      <c r="L6730" t="str">
        <f t="shared" si="315"/>
        <v>NA6WR</v>
      </c>
      <c r="M6730">
        <f>COUNTIF(L$1:L6730,L6730)</f>
        <v>110</v>
      </c>
      <c r="N6730" t="str">
        <f t="shared" si="316"/>
        <v>NA6WR-110</v>
      </c>
      <c r="O6730">
        <f>COUNTIFS(F$1:F6730,F6730,A$1:A6730,A6730)</f>
        <v>160</v>
      </c>
      <c r="P6730" t="str">
        <f t="shared" si="317"/>
        <v>Dwayne Harris6</v>
      </c>
    </row>
    <row r="6731" spans="1:16" x14ac:dyDescent="0.25">
      <c r="A6731">
        <v>15</v>
      </c>
      <c r="B6731" t="s">
        <v>1127</v>
      </c>
      <c r="C6731">
        <f>-0.05-0.91</f>
        <v>-0.96000000000000008</v>
      </c>
      <c r="D6731">
        <v>0.43</v>
      </c>
      <c r="E6731" t="s">
        <v>31</v>
      </c>
      <c r="F6731" t="s">
        <v>87</v>
      </c>
      <c r="G6731">
        <v>0.91</v>
      </c>
      <c r="H6731">
        <v>-0.05</v>
      </c>
      <c r="I6731">
        <v>0.48</v>
      </c>
      <c r="J6731">
        <v>0.23039999999999999</v>
      </c>
      <c r="K6731" t="str">
        <f>IFERROR(INDEX(Rosters!$C$2:$C$155,MATCH($B6731,Rosters!$B$2:$B$155,0)),"NA")</f>
        <v>NA</v>
      </c>
      <c r="L6731" t="str">
        <f t="shared" si="315"/>
        <v>NA15WR</v>
      </c>
      <c r="M6731">
        <f>COUNTIF(L$1:L6731,L6731)</f>
        <v>114</v>
      </c>
      <c r="N6731" t="str">
        <f t="shared" si="316"/>
        <v>NA15WR-114</v>
      </c>
      <c r="O6731">
        <f>COUNTIFS(F$1:F6731,F6731,A$1:A6731,A6731)</f>
        <v>168</v>
      </c>
      <c r="P6731" t="str">
        <f t="shared" si="317"/>
        <v>Dwayne Harris15</v>
      </c>
    </row>
    <row r="6732" spans="1:16" x14ac:dyDescent="0.25">
      <c r="A6732">
        <v>17</v>
      </c>
      <c r="B6732" t="s">
        <v>1624</v>
      </c>
      <c r="C6732">
        <f>-0.1-0.96</f>
        <v>-1.06</v>
      </c>
      <c r="D6732">
        <v>0.43</v>
      </c>
      <c r="E6732" t="s">
        <v>28</v>
      </c>
      <c r="F6732" t="s">
        <v>114</v>
      </c>
      <c r="G6732">
        <v>0.96</v>
      </c>
      <c r="H6732">
        <v>-0.1</v>
      </c>
      <c r="I6732">
        <v>0.53</v>
      </c>
      <c r="J6732">
        <v>0.28089999999999998</v>
      </c>
      <c r="K6732" t="str">
        <f>IFERROR(INDEX(Rosters!$C$2:$C$155,MATCH($B6732,Rosters!$B$2:$B$155,0)),"NA")</f>
        <v>NA</v>
      </c>
      <c r="L6732" t="str">
        <f t="shared" si="315"/>
        <v>NA17TE</v>
      </c>
      <c r="M6732">
        <f>COUNTIF(L$1:L6732,L6732)</f>
        <v>79</v>
      </c>
      <c r="N6732" t="str">
        <f t="shared" si="316"/>
        <v>NA17TE-79</v>
      </c>
      <c r="O6732">
        <f>COUNTIFS(F$1:F6732,F6732,A$1:A6732,A6732)</f>
        <v>93</v>
      </c>
      <c r="P6732" t="str">
        <f t="shared" si="317"/>
        <v>Gabe Holmes17</v>
      </c>
    </row>
    <row r="6733" spans="1:16" x14ac:dyDescent="0.25">
      <c r="A6733">
        <v>1</v>
      </c>
      <c r="B6733" t="s">
        <v>1607</v>
      </c>
      <c r="C6733">
        <f>-0.06-0.92</f>
        <v>-0.98</v>
      </c>
      <c r="D6733">
        <v>0.43</v>
      </c>
      <c r="E6733" t="s">
        <v>73</v>
      </c>
      <c r="F6733" t="s">
        <v>114</v>
      </c>
      <c r="G6733">
        <v>0.92</v>
      </c>
      <c r="H6733">
        <v>-0.06</v>
      </c>
      <c r="I6733">
        <v>0.49</v>
      </c>
      <c r="J6733">
        <v>0.24010000000000001</v>
      </c>
      <c r="K6733" t="str">
        <f>IFERROR(INDEX(Rosters!$C$2:$C$155,MATCH($B6733,Rosters!$B$2:$B$155,0)),"NA")</f>
        <v>NA</v>
      </c>
      <c r="L6733" t="str">
        <f t="shared" si="315"/>
        <v>NA1TE</v>
      </c>
      <c r="M6733">
        <f>COUNTIF(L$1:L6733,L6733)</f>
        <v>57</v>
      </c>
      <c r="N6733" t="str">
        <f t="shared" si="316"/>
        <v>NA1TE-57</v>
      </c>
      <c r="O6733">
        <f>COUNTIFS(F$1:F6733,F6733,A$1:A6733,A6733)</f>
        <v>70</v>
      </c>
      <c r="P6733" t="str">
        <f t="shared" si="317"/>
        <v>Hakeem Valles1</v>
      </c>
    </row>
    <row r="6734" spans="1:16" x14ac:dyDescent="0.25">
      <c r="A6734">
        <v>12</v>
      </c>
      <c r="B6734" t="s">
        <v>1607</v>
      </c>
      <c r="C6734" t="s">
        <v>4737</v>
      </c>
      <c r="D6734">
        <v>0.43</v>
      </c>
      <c r="E6734" t="s">
        <v>72</v>
      </c>
      <c r="F6734" t="s">
        <v>114</v>
      </c>
      <c r="G6734">
        <v>0.85</v>
      </c>
      <c r="H6734">
        <v>0.01</v>
      </c>
      <c r="I6734">
        <v>0.42</v>
      </c>
      <c r="J6734">
        <v>0.1764</v>
      </c>
      <c r="K6734" t="str">
        <f>IFERROR(INDEX(Rosters!$C$2:$C$155,MATCH($B6734,Rosters!$B$2:$B$155,0)),"NA")</f>
        <v>NA</v>
      </c>
      <c r="L6734" t="str">
        <f t="shared" si="315"/>
        <v>NA12TE</v>
      </c>
      <c r="M6734">
        <f>COUNTIF(L$1:L6734,L6734)</f>
        <v>77</v>
      </c>
      <c r="N6734" t="str">
        <f t="shared" si="316"/>
        <v>NA12TE-77</v>
      </c>
      <c r="O6734">
        <f>COUNTIFS(F$1:F6734,F6734,A$1:A6734,A6734)</f>
        <v>90</v>
      </c>
      <c r="P6734" t="str">
        <f t="shared" si="317"/>
        <v>Hakeem Valles12</v>
      </c>
    </row>
    <row r="6735" spans="1:16" x14ac:dyDescent="0.25">
      <c r="A6735">
        <v>10</v>
      </c>
      <c r="B6735" t="s">
        <v>1625</v>
      </c>
      <c r="C6735" t="s">
        <v>4739</v>
      </c>
      <c r="D6735">
        <v>0.43</v>
      </c>
      <c r="E6735" t="s">
        <v>38</v>
      </c>
      <c r="F6735" t="s">
        <v>114</v>
      </c>
      <c r="G6735">
        <v>0.83</v>
      </c>
      <c r="H6735">
        <v>0.03</v>
      </c>
      <c r="I6735">
        <v>0.4</v>
      </c>
      <c r="J6735">
        <v>0.16</v>
      </c>
      <c r="K6735" t="str">
        <f>IFERROR(INDEX(Rosters!$C$2:$C$155,MATCH($B6735,Rosters!$B$2:$B$155,0)),"NA")</f>
        <v>NA</v>
      </c>
      <c r="L6735" t="str">
        <f t="shared" si="315"/>
        <v>NA10TE</v>
      </c>
      <c r="M6735">
        <f>COUNTIF(L$1:L6735,L6735)</f>
        <v>70</v>
      </c>
      <c r="N6735" t="str">
        <f t="shared" si="316"/>
        <v>NA10TE-70</v>
      </c>
      <c r="O6735">
        <f>COUNTIFS(F$1:F6735,F6735,A$1:A6735,A6735)</f>
        <v>83</v>
      </c>
      <c r="P6735" t="str">
        <f t="shared" si="317"/>
        <v>Jacob Hollister10</v>
      </c>
    </row>
    <row r="6736" spans="1:16" x14ac:dyDescent="0.25">
      <c r="A6736">
        <v>13</v>
      </c>
      <c r="B6736" t="s">
        <v>1625</v>
      </c>
      <c r="C6736" t="s">
        <v>8924</v>
      </c>
      <c r="D6736">
        <v>0.43</v>
      </c>
      <c r="E6736" t="s">
        <v>25</v>
      </c>
      <c r="F6736" t="s">
        <v>114</v>
      </c>
      <c r="G6736">
        <v>0.81</v>
      </c>
      <c r="H6736">
        <v>0.05</v>
      </c>
      <c r="I6736">
        <v>0.38</v>
      </c>
      <c r="J6736">
        <v>0.1444</v>
      </c>
      <c r="K6736" t="str">
        <f>IFERROR(INDEX(Rosters!$C$2:$C$155,MATCH($B6736,Rosters!$B$2:$B$155,0)),"NA")</f>
        <v>NA</v>
      </c>
      <c r="L6736" t="str">
        <f t="shared" si="315"/>
        <v>NA13TE</v>
      </c>
      <c r="M6736">
        <f>COUNTIF(L$1:L6736,L6736)</f>
        <v>80</v>
      </c>
      <c r="N6736" t="str">
        <f t="shared" si="316"/>
        <v>NA13TE-80</v>
      </c>
      <c r="O6736">
        <f>COUNTIFS(F$1:F6736,F6736,A$1:A6736,A6736)</f>
        <v>94</v>
      </c>
      <c r="P6736" t="str">
        <f t="shared" si="317"/>
        <v>Jacob Hollister13</v>
      </c>
    </row>
    <row r="6737" spans="1:16" x14ac:dyDescent="0.25">
      <c r="A6737">
        <v>15</v>
      </c>
      <c r="B6737" t="s">
        <v>1625</v>
      </c>
      <c r="C6737">
        <f>-0.01-0.87</f>
        <v>-0.88</v>
      </c>
      <c r="D6737">
        <v>0.43</v>
      </c>
      <c r="E6737" t="s">
        <v>51</v>
      </c>
      <c r="F6737" t="s">
        <v>114</v>
      </c>
      <c r="G6737">
        <v>0.87</v>
      </c>
      <c r="H6737">
        <v>-0.01</v>
      </c>
      <c r="I6737">
        <v>0.44</v>
      </c>
      <c r="J6737">
        <v>0.19359999999999999</v>
      </c>
      <c r="K6737" t="str">
        <f>IFERROR(INDEX(Rosters!$C$2:$C$155,MATCH($B6737,Rosters!$B$2:$B$155,0)),"NA")</f>
        <v>NA</v>
      </c>
      <c r="L6737" t="str">
        <f t="shared" si="315"/>
        <v>NA15TE</v>
      </c>
      <c r="M6737">
        <f>COUNTIF(L$1:L6737,L6737)</f>
        <v>77</v>
      </c>
      <c r="N6737" t="str">
        <f t="shared" si="316"/>
        <v>NA15TE-77</v>
      </c>
      <c r="O6737">
        <f>COUNTIFS(F$1:F6737,F6737,A$1:A6737,A6737)</f>
        <v>91</v>
      </c>
      <c r="P6737" t="str">
        <f t="shared" si="317"/>
        <v>Jacob Hollister15</v>
      </c>
    </row>
    <row r="6738" spans="1:16" x14ac:dyDescent="0.25">
      <c r="A6738">
        <v>16</v>
      </c>
      <c r="B6738" t="s">
        <v>1625</v>
      </c>
      <c r="C6738">
        <f>-0.01-0.87</f>
        <v>-0.88</v>
      </c>
      <c r="D6738">
        <v>0.43</v>
      </c>
      <c r="E6738" t="s">
        <v>29</v>
      </c>
      <c r="F6738" t="s">
        <v>114</v>
      </c>
      <c r="G6738">
        <v>0.87</v>
      </c>
      <c r="H6738">
        <v>-0.01</v>
      </c>
      <c r="I6738">
        <v>0.44</v>
      </c>
      <c r="J6738">
        <v>0.19359999999999999</v>
      </c>
      <c r="K6738" t="str">
        <f>IFERROR(INDEX(Rosters!$C$2:$C$155,MATCH($B6738,Rosters!$B$2:$B$155,0)),"NA")</f>
        <v>NA</v>
      </c>
      <c r="L6738" t="str">
        <f t="shared" si="315"/>
        <v>NA16TE</v>
      </c>
      <c r="M6738">
        <f>COUNTIF(L$1:L6738,L6738)</f>
        <v>81</v>
      </c>
      <c r="N6738" t="str">
        <f t="shared" si="316"/>
        <v>NA16TE-81</v>
      </c>
      <c r="O6738">
        <f>COUNTIFS(F$1:F6738,F6738,A$1:A6738,A6738)</f>
        <v>95</v>
      </c>
      <c r="P6738" t="str">
        <f t="shared" si="317"/>
        <v>Jacob Hollister16</v>
      </c>
    </row>
    <row r="6739" spans="1:16" x14ac:dyDescent="0.25">
      <c r="A6739">
        <v>17</v>
      </c>
      <c r="B6739" t="s">
        <v>1625</v>
      </c>
      <c r="C6739" t="s">
        <v>8924</v>
      </c>
      <c r="D6739">
        <v>0.43</v>
      </c>
      <c r="E6739" t="s">
        <v>73</v>
      </c>
      <c r="F6739" t="s">
        <v>114</v>
      </c>
      <c r="G6739">
        <v>0.81</v>
      </c>
      <c r="H6739">
        <v>0.05</v>
      </c>
      <c r="I6739">
        <v>0.38</v>
      </c>
      <c r="J6739">
        <v>0.1444</v>
      </c>
      <c r="K6739" t="str">
        <f>IFERROR(INDEX(Rosters!$C$2:$C$155,MATCH($B6739,Rosters!$B$2:$B$155,0)),"NA")</f>
        <v>NA</v>
      </c>
      <c r="L6739" t="str">
        <f t="shared" si="315"/>
        <v>NA17TE</v>
      </c>
      <c r="M6739">
        <f>COUNTIF(L$1:L6739,L6739)</f>
        <v>80</v>
      </c>
      <c r="N6739" t="str">
        <f t="shared" si="316"/>
        <v>NA17TE-80</v>
      </c>
      <c r="O6739">
        <f>COUNTIFS(F$1:F6739,F6739,A$1:A6739,A6739)</f>
        <v>94</v>
      </c>
      <c r="P6739" t="str">
        <f t="shared" si="317"/>
        <v>Jacob Hollister17</v>
      </c>
    </row>
    <row r="6740" spans="1:16" x14ac:dyDescent="0.25">
      <c r="A6740">
        <v>1</v>
      </c>
      <c r="B6740" t="s">
        <v>378</v>
      </c>
      <c r="C6740">
        <f>-0.34-1.2</f>
        <v>-1.54</v>
      </c>
      <c r="D6740">
        <v>0.43</v>
      </c>
      <c r="E6740" t="s">
        <v>38</v>
      </c>
      <c r="F6740" t="s">
        <v>87</v>
      </c>
      <c r="G6740">
        <v>1.2</v>
      </c>
      <c r="H6740">
        <v>-0.34</v>
      </c>
      <c r="I6740">
        <v>0.77</v>
      </c>
      <c r="J6740">
        <v>0.59289999999999998</v>
      </c>
      <c r="K6740" t="str">
        <f>IFERROR(INDEX(Rosters!$C$2:$C$155,MATCH($B6740,Rosters!$B$2:$B$155,0)),"NA")</f>
        <v>NA</v>
      </c>
      <c r="L6740" t="str">
        <f t="shared" si="315"/>
        <v>NA1WR</v>
      </c>
      <c r="M6740">
        <f>COUNTIF(L$1:L6740,L6740)</f>
        <v>80</v>
      </c>
      <c r="N6740" t="str">
        <f t="shared" si="316"/>
        <v>NA1WR-80</v>
      </c>
      <c r="O6740">
        <f>COUNTIFS(F$1:F6740,F6740,A$1:A6740,A6740)</f>
        <v>129</v>
      </c>
      <c r="P6740" t="str">
        <f t="shared" si="317"/>
        <v>Jakeem Grant1</v>
      </c>
    </row>
    <row r="6741" spans="1:16" x14ac:dyDescent="0.25">
      <c r="A6741">
        <v>2</v>
      </c>
      <c r="B6741" t="s">
        <v>378</v>
      </c>
      <c r="C6741">
        <f>-0.34-1.2</f>
        <v>-1.54</v>
      </c>
      <c r="D6741">
        <v>0.43</v>
      </c>
      <c r="E6741" t="s">
        <v>73</v>
      </c>
      <c r="F6741" t="s">
        <v>87</v>
      </c>
      <c r="G6741">
        <v>1.2</v>
      </c>
      <c r="H6741">
        <v>-0.34</v>
      </c>
      <c r="I6741">
        <v>0.77</v>
      </c>
      <c r="J6741" s="66">
        <v>0.59289999999999998</v>
      </c>
      <c r="K6741" t="str">
        <f>IFERROR(INDEX(Rosters!$C$2:$C$155,MATCH($B6741,Rosters!$B$2:$B$155,0)),"NA")</f>
        <v>NA</v>
      </c>
      <c r="L6741" t="str">
        <f t="shared" si="315"/>
        <v>NA2WR</v>
      </c>
      <c r="M6741">
        <f>COUNTIF(L$1:L6741,L6741)</f>
        <v>85</v>
      </c>
      <c r="N6741" t="str">
        <f t="shared" si="316"/>
        <v>NA2WR-85</v>
      </c>
      <c r="O6741">
        <f>COUNTIFS(F$1:F6741,F6741,A$1:A6741,A6741)</f>
        <v>134</v>
      </c>
      <c r="P6741" t="str">
        <f t="shared" si="317"/>
        <v>Jakeem Grant2</v>
      </c>
    </row>
    <row r="6742" spans="1:16" x14ac:dyDescent="0.25">
      <c r="A6742">
        <v>16</v>
      </c>
      <c r="B6742" t="s">
        <v>4251</v>
      </c>
      <c r="C6742">
        <f>-0.04-0.9</f>
        <v>-0.94000000000000006</v>
      </c>
      <c r="D6742">
        <v>0.43</v>
      </c>
      <c r="E6742" t="s">
        <v>423</v>
      </c>
      <c r="F6742" t="s">
        <v>114</v>
      </c>
      <c r="G6742">
        <v>0.9</v>
      </c>
      <c r="H6742">
        <v>-0.04</v>
      </c>
      <c r="I6742">
        <v>0.47</v>
      </c>
      <c r="J6742">
        <v>0.22090000000000001</v>
      </c>
      <c r="K6742" t="str">
        <f>IFERROR(INDEX(Rosters!$C$2:$C$155,MATCH($B6742,Rosters!$B$2:$B$155,0)),"NA")</f>
        <v>NA</v>
      </c>
      <c r="L6742" t="str">
        <f t="shared" si="315"/>
        <v>NA16TE</v>
      </c>
      <c r="M6742">
        <f>COUNTIF(L$1:L6742,L6742)</f>
        <v>82</v>
      </c>
      <c r="N6742" t="str">
        <f t="shared" si="316"/>
        <v>NA16TE-82</v>
      </c>
      <c r="O6742">
        <f>COUNTIFS(F$1:F6742,F6742,A$1:A6742,A6742)</f>
        <v>96</v>
      </c>
      <c r="P6742" t="str">
        <f t="shared" si="317"/>
        <v>Jason Croom16</v>
      </c>
    </row>
    <row r="6743" spans="1:16" x14ac:dyDescent="0.25">
      <c r="A6743">
        <v>13</v>
      </c>
      <c r="B6743" t="s">
        <v>8885</v>
      </c>
      <c r="C6743">
        <f>-0.18-1.04</f>
        <v>-1.22</v>
      </c>
      <c r="D6743">
        <v>0.43</v>
      </c>
      <c r="E6743" t="s">
        <v>54</v>
      </c>
      <c r="F6743" t="s">
        <v>87</v>
      </c>
      <c r="G6743">
        <v>1.04</v>
      </c>
      <c r="H6743">
        <v>-0.18</v>
      </c>
      <c r="I6743">
        <v>0.61</v>
      </c>
      <c r="J6743">
        <v>0.37209999999999999</v>
      </c>
      <c r="K6743" t="str">
        <f>IFERROR(INDEX(Rosters!$C$2:$C$155,MATCH($B6743,Rosters!$B$2:$B$155,0)),"NA")</f>
        <v>NA</v>
      </c>
      <c r="L6743" t="str">
        <f t="shared" si="315"/>
        <v>NA13WR</v>
      </c>
      <c r="M6743">
        <f>COUNTIF(L$1:L6743,L6743)</f>
        <v>116</v>
      </c>
      <c r="N6743" t="str">
        <f t="shared" si="316"/>
        <v>NA13WR-116</v>
      </c>
      <c r="O6743">
        <f>COUNTIFS(F$1:F6743,F6743,A$1:A6743,A6743)</f>
        <v>170</v>
      </c>
      <c r="P6743" t="str">
        <f t="shared" si="317"/>
        <v>Javon Wims13</v>
      </c>
    </row>
    <row r="6744" spans="1:16" x14ac:dyDescent="0.25">
      <c r="A6744">
        <v>3</v>
      </c>
      <c r="B6744" t="s">
        <v>231</v>
      </c>
      <c r="C6744">
        <f>-0.48-1.34</f>
        <v>-1.82</v>
      </c>
      <c r="D6744">
        <v>0.43</v>
      </c>
      <c r="E6744" t="s">
        <v>72</v>
      </c>
      <c r="F6744" t="s">
        <v>114</v>
      </c>
      <c r="G6744">
        <v>1.34</v>
      </c>
      <c r="H6744">
        <v>-0.48</v>
      </c>
      <c r="I6744">
        <v>0.91</v>
      </c>
      <c r="J6744" s="66">
        <v>0.82809999999999995</v>
      </c>
      <c r="K6744" t="str">
        <f>IFERROR(INDEX(Rosters!$C$2:$C$155,MATCH($B6744,Rosters!$B$2:$B$155,0)),"NA")</f>
        <v>NA</v>
      </c>
      <c r="L6744" t="str">
        <f t="shared" si="315"/>
        <v>NA3TE</v>
      </c>
      <c r="M6744">
        <f>COUNTIF(L$1:L6744,L6744)</f>
        <v>67</v>
      </c>
      <c r="N6744" t="str">
        <f t="shared" si="316"/>
        <v>NA3TE-67</v>
      </c>
      <c r="O6744">
        <f>COUNTIFS(F$1:F6744,F6744,A$1:A6744,A6744)</f>
        <v>80</v>
      </c>
      <c r="P6744" t="str">
        <f t="shared" si="317"/>
        <v>Jermaine Gresham3</v>
      </c>
    </row>
    <row r="6745" spans="1:16" x14ac:dyDescent="0.25">
      <c r="A6745">
        <v>5</v>
      </c>
      <c r="B6745" t="s">
        <v>2854</v>
      </c>
      <c r="C6745">
        <f>-0.05-0.91</f>
        <v>-0.96000000000000008</v>
      </c>
      <c r="D6745">
        <v>0.43</v>
      </c>
      <c r="E6745" t="s">
        <v>25</v>
      </c>
      <c r="F6745" t="s">
        <v>87</v>
      </c>
      <c r="G6745">
        <v>0.91</v>
      </c>
      <c r="H6745">
        <v>-0.05</v>
      </c>
      <c r="I6745">
        <v>0.48</v>
      </c>
      <c r="J6745">
        <v>0.23039999999999999</v>
      </c>
      <c r="K6745" t="str">
        <f>IFERROR(INDEX(Rosters!$C$2:$C$155,MATCH($B6745,Rosters!$B$2:$B$155,0)),"NA")</f>
        <v>NA</v>
      </c>
      <c r="L6745" t="str">
        <f t="shared" si="315"/>
        <v>NA5WR</v>
      </c>
      <c r="M6745">
        <f>COUNTIF(L$1:L6745,L6745)</f>
        <v>104</v>
      </c>
      <c r="N6745" t="str">
        <f t="shared" si="316"/>
        <v>NA5WR-104</v>
      </c>
      <c r="O6745">
        <f>COUNTIFS(F$1:F6745,F6745,A$1:A6745,A6745)</f>
        <v>154</v>
      </c>
      <c r="P6745" t="str">
        <f t="shared" si="317"/>
        <v>Kamar Aiken5</v>
      </c>
    </row>
    <row r="6746" spans="1:16" x14ac:dyDescent="0.25">
      <c r="A6746">
        <v>16</v>
      </c>
      <c r="B6746" t="s">
        <v>2854</v>
      </c>
      <c r="C6746">
        <f>-0.03-0.89</f>
        <v>-0.92</v>
      </c>
      <c r="D6746">
        <v>0.43</v>
      </c>
      <c r="E6746" t="s">
        <v>36</v>
      </c>
      <c r="F6746" t="s">
        <v>87</v>
      </c>
      <c r="G6746">
        <v>0.89</v>
      </c>
      <c r="H6746">
        <v>-0.03</v>
      </c>
      <c r="I6746">
        <v>0.46</v>
      </c>
      <c r="J6746">
        <v>0.21160000000000001</v>
      </c>
      <c r="K6746" t="str">
        <f>IFERROR(INDEX(Rosters!$C$2:$C$155,MATCH($B6746,Rosters!$B$2:$B$155,0)),"NA")</f>
        <v>NA</v>
      </c>
      <c r="L6746" t="str">
        <f t="shared" si="315"/>
        <v>NA16WR</v>
      </c>
      <c r="M6746">
        <f>COUNTIF(L$1:L6746,L6746)</f>
        <v>117</v>
      </c>
      <c r="N6746" t="str">
        <f t="shared" si="316"/>
        <v>NA16WR-117</v>
      </c>
      <c r="O6746">
        <f>COUNTIFS(F$1:F6746,F6746,A$1:A6746,A6746)</f>
        <v>171</v>
      </c>
      <c r="P6746" t="str">
        <f t="shared" si="317"/>
        <v>Kamar Aiken16</v>
      </c>
    </row>
    <row r="6747" spans="1:16" x14ac:dyDescent="0.25">
      <c r="A6747">
        <v>16</v>
      </c>
      <c r="B6747" t="s">
        <v>2769</v>
      </c>
      <c r="C6747">
        <f>-0.13-0.99</f>
        <v>-1.1200000000000001</v>
      </c>
      <c r="D6747">
        <v>0.43</v>
      </c>
      <c r="E6747" t="s">
        <v>38</v>
      </c>
      <c r="F6747" t="s">
        <v>47</v>
      </c>
      <c r="G6747">
        <v>0.99</v>
      </c>
      <c r="H6747">
        <v>-0.13</v>
      </c>
      <c r="I6747">
        <v>0.56000000000000005</v>
      </c>
      <c r="J6747">
        <v>0.31359999999999999</v>
      </c>
      <c r="K6747" t="str">
        <f>IFERROR(INDEX(Rosters!$C$2:$C$155,MATCH($B6747,Rosters!$B$2:$B$155,0)),"NA")</f>
        <v>NA</v>
      </c>
      <c r="L6747" t="str">
        <f t="shared" si="315"/>
        <v>NA16RB</v>
      </c>
      <c r="M6747">
        <f>COUNTIF(L$1:L6747,L6747)</f>
        <v>76</v>
      </c>
      <c r="N6747" t="str">
        <f t="shared" si="316"/>
        <v>NA16RB-76</v>
      </c>
      <c r="O6747">
        <f>COUNTIFS(F$1:F6747,F6747,A$1:A6747,A6747)</f>
        <v>123</v>
      </c>
      <c r="P6747" t="str">
        <f t="shared" si="317"/>
        <v>Kapri Bibbs16</v>
      </c>
    </row>
    <row r="6748" spans="1:16" x14ac:dyDescent="0.25">
      <c r="A6748">
        <v>1</v>
      </c>
      <c r="B6748" t="s">
        <v>1622</v>
      </c>
      <c r="C6748">
        <f>-0.19-1.05</f>
        <v>-1.24</v>
      </c>
      <c r="D6748">
        <v>0.43</v>
      </c>
      <c r="E6748" t="s">
        <v>25</v>
      </c>
      <c r="F6748" t="s">
        <v>87</v>
      </c>
      <c r="G6748">
        <v>1.05</v>
      </c>
      <c r="H6748">
        <v>-0.19</v>
      </c>
      <c r="I6748">
        <v>0.62</v>
      </c>
      <c r="J6748">
        <v>0.38440000000000002</v>
      </c>
      <c r="K6748" t="str">
        <f>IFERROR(INDEX(Rosters!$C$2:$C$155,MATCH($B6748,Rosters!$B$2:$B$155,0)),"NA")</f>
        <v>NA</v>
      </c>
      <c r="L6748" t="str">
        <f t="shared" si="315"/>
        <v>NA1WR</v>
      </c>
      <c r="M6748">
        <f>COUNTIF(L$1:L6748,L6748)</f>
        <v>81</v>
      </c>
      <c r="N6748" t="str">
        <f t="shared" si="316"/>
        <v>NA1WR-81</v>
      </c>
      <c r="O6748">
        <f>COUNTIFS(F$1:F6748,F6748,A$1:A6748,A6748)</f>
        <v>130</v>
      </c>
      <c r="P6748" t="str">
        <f t="shared" si="317"/>
        <v>Kendrick Bourne1</v>
      </c>
    </row>
    <row r="6749" spans="1:16" x14ac:dyDescent="0.25">
      <c r="A6749">
        <v>14</v>
      </c>
      <c r="B6749" t="s">
        <v>1622</v>
      </c>
      <c r="C6749">
        <f>-0.04-0.9</f>
        <v>-0.94000000000000006</v>
      </c>
      <c r="D6749">
        <v>0.43</v>
      </c>
      <c r="E6749" t="s">
        <v>42</v>
      </c>
      <c r="F6749" t="s">
        <v>87</v>
      </c>
      <c r="G6749">
        <v>0.9</v>
      </c>
      <c r="H6749">
        <v>-0.04</v>
      </c>
      <c r="I6749">
        <v>0.47</v>
      </c>
      <c r="J6749">
        <v>0.22090000000000001</v>
      </c>
      <c r="K6749" t="str">
        <f>IFERROR(INDEX(Rosters!$C$2:$C$155,MATCH($B6749,Rosters!$B$2:$B$155,0)),"NA")</f>
        <v>NA</v>
      </c>
      <c r="L6749" t="str">
        <f t="shared" si="315"/>
        <v>NA14WR</v>
      </c>
      <c r="M6749">
        <f>COUNTIF(L$1:L6749,L6749)</f>
        <v>115</v>
      </c>
      <c r="N6749" t="str">
        <f t="shared" si="316"/>
        <v>NA14WR-115</v>
      </c>
      <c r="O6749">
        <f>COUNTIFS(F$1:F6749,F6749,A$1:A6749,A6749)</f>
        <v>169</v>
      </c>
      <c r="P6749" t="str">
        <f t="shared" si="317"/>
        <v>Kendrick Bourne14</v>
      </c>
    </row>
    <row r="6750" spans="1:16" x14ac:dyDescent="0.25">
      <c r="A6750">
        <v>9</v>
      </c>
      <c r="B6750" t="s">
        <v>389</v>
      </c>
      <c r="C6750" t="s">
        <v>8925</v>
      </c>
      <c r="D6750">
        <v>0.43</v>
      </c>
      <c r="E6750" t="s">
        <v>30</v>
      </c>
      <c r="F6750" t="s">
        <v>114</v>
      </c>
      <c r="G6750">
        <v>0.86</v>
      </c>
      <c r="H6750">
        <v>0</v>
      </c>
      <c r="I6750">
        <v>0.43</v>
      </c>
      <c r="J6750">
        <v>0.18490000000000001</v>
      </c>
      <c r="K6750" t="str">
        <f>IFERROR(INDEX(Rosters!$C$2:$C$155,MATCH($B6750,Rosters!$B$2:$B$155,0)),"NA")</f>
        <v>NA</v>
      </c>
      <c r="L6750" t="str">
        <f t="shared" si="315"/>
        <v>NA9TE</v>
      </c>
      <c r="M6750">
        <f>COUNTIF(L$1:L6750,L6750)</f>
        <v>64</v>
      </c>
      <c r="N6750" t="str">
        <f t="shared" si="316"/>
        <v>NA9TE-64</v>
      </c>
      <c r="O6750">
        <f>COUNTIFS(F$1:F6750,F6750,A$1:A6750,A6750)</f>
        <v>75</v>
      </c>
      <c r="P6750" t="str">
        <f t="shared" si="317"/>
        <v>Lee Smith9</v>
      </c>
    </row>
    <row r="6751" spans="1:16" x14ac:dyDescent="0.25">
      <c r="A6751">
        <v>7</v>
      </c>
      <c r="B6751" t="s">
        <v>3126</v>
      </c>
      <c r="C6751">
        <f>-0.14-1</f>
        <v>-1.1400000000000001</v>
      </c>
      <c r="D6751">
        <v>0.43</v>
      </c>
      <c r="E6751" t="s">
        <v>58</v>
      </c>
      <c r="F6751" t="s">
        <v>114</v>
      </c>
      <c r="G6751">
        <v>1</v>
      </c>
      <c r="H6751">
        <v>-0.14000000000000001</v>
      </c>
      <c r="I6751">
        <v>0.56999999999999995</v>
      </c>
      <c r="J6751">
        <v>0.32490000000000002</v>
      </c>
      <c r="K6751" t="str">
        <f>IFERROR(INDEX(Rosters!$C$2:$C$155,MATCH($B6751,Rosters!$B$2:$B$155,0)),"NA")</f>
        <v>NA</v>
      </c>
      <c r="L6751" t="str">
        <f t="shared" si="315"/>
        <v>NA7TE</v>
      </c>
      <c r="M6751">
        <f>COUNTIF(L$1:L6751,L6751)</f>
        <v>72</v>
      </c>
      <c r="N6751" t="str">
        <f t="shared" si="316"/>
        <v>NA7TE-72</v>
      </c>
      <c r="O6751">
        <f>COUNTIFS(F$1:F6751,F6751,A$1:A6751,A6751)</f>
        <v>82</v>
      </c>
      <c r="P6751" t="str">
        <f t="shared" si="317"/>
        <v>Matt LaCosse7</v>
      </c>
    </row>
    <row r="6752" spans="1:16" x14ac:dyDescent="0.25">
      <c r="A6752">
        <v>5</v>
      </c>
      <c r="B6752" t="s">
        <v>4690</v>
      </c>
      <c r="C6752">
        <f>-0.01-0.87</f>
        <v>-0.88</v>
      </c>
      <c r="D6752">
        <v>0.43</v>
      </c>
      <c r="E6752" t="s">
        <v>50</v>
      </c>
      <c r="F6752" t="s">
        <v>47</v>
      </c>
      <c r="G6752">
        <v>0.87</v>
      </c>
      <c r="H6752">
        <v>-0.01</v>
      </c>
      <c r="I6752">
        <v>0.44</v>
      </c>
      <c r="J6752">
        <v>0.19359999999999999</v>
      </c>
      <c r="K6752" t="str">
        <f>IFERROR(INDEX(Rosters!$C$2:$C$155,MATCH($B6752,Rosters!$B$2:$B$155,0)),"NA")</f>
        <v>NA</v>
      </c>
      <c r="L6752" t="str">
        <f t="shared" si="315"/>
        <v>NA5RB</v>
      </c>
      <c r="M6752">
        <f>COUNTIF(L$1:L6752,L6752)</f>
        <v>65</v>
      </c>
      <c r="N6752" t="str">
        <f t="shared" si="316"/>
        <v>NA5RB-65</v>
      </c>
      <c r="O6752">
        <f>COUNTIFS(F$1:F6752,F6752,A$1:A6752,A6752)</f>
        <v>108</v>
      </c>
      <c r="P6752" t="str">
        <f t="shared" si="317"/>
        <v>Mike Boone5</v>
      </c>
    </row>
    <row r="6753" spans="1:16" x14ac:dyDescent="0.25">
      <c r="A6753">
        <v>6</v>
      </c>
      <c r="B6753" t="s">
        <v>8855</v>
      </c>
      <c r="C6753" t="s">
        <v>4738</v>
      </c>
      <c r="D6753">
        <v>0.43</v>
      </c>
      <c r="E6753" t="s">
        <v>73</v>
      </c>
      <c r="F6753" t="s">
        <v>114</v>
      </c>
      <c r="G6753">
        <v>0.8</v>
      </c>
      <c r="H6753">
        <v>0.06</v>
      </c>
      <c r="I6753">
        <v>0.37</v>
      </c>
      <c r="J6753">
        <v>0.13689999999999999</v>
      </c>
      <c r="K6753" t="str">
        <f>IFERROR(INDEX(Rosters!$C$2:$C$155,MATCH($B6753,Rosters!$B$2:$B$155,0)),"NA")</f>
        <v>NA</v>
      </c>
      <c r="L6753" t="str">
        <f t="shared" si="315"/>
        <v>NA6TE</v>
      </c>
      <c r="M6753">
        <f>COUNTIF(L$1:L6753,L6753)</f>
        <v>70</v>
      </c>
      <c r="N6753" t="str">
        <f t="shared" si="316"/>
        <v>NA6TE-70</v>
      </c>
      <c r="O6753">
        <f>COUNTIFS(F$1:F6753,F6753,A$1:A6753,A6753)</f>
        <v>82</v>
      </c>
      <c r="P6753" t="str">
        <f t="shared" si="317"/>
        <v>Mo Alie-Cox6</v>
      </c>
    </row>
    <row r="6754" spans="1:16" x14ac:dyDescent="0.25">
      <c r="A6754">
        <v>16</v>
      </c>
      <c r="B6754" t="s">
        <v>1570</v>
      </c>
      <c r="C6754" t="s">
        <v>8925</v>
      </c>
      <c r="D6754">
        <v>0.43</v>
      </c>
      <c r="E6754" t="s">
        <v>423</v>
      </c>
      <c r="F6754" t="s">
        <v>15</v>
      </c>
      <c r="G6754">
        <v>0.86</v>
      </c>
      <c r="H6754">
        <v>0</v>
      </c>
      <c r="I6754">
        <v>0.43</v>
      </c>
      <c r="J6754">
        <v>0.18490000000000001</v>
      </c>
      <c r="K6754" t="str">
        <f>IFERROR(INDEX(Rosters!$C$2:$C$155,MATCH($B6754,Rosters!$B$2:$B$155,0)),"NA")</f>
        <v>NA</v>
      </c>
      <c r="L6754" t="str">
        <f t="shared" si="315"/>
        <v>NA16QB</v>
      </c>
      <c r="M6754">
        <f>COUNTIF(L$1:L6754,L6754)</f>
        <v>41</v>
      </c>
      <c r="N6754" t="str">
        <f t="shared" si="316"/>
        <v>NA16QB-41</v>
      </c>
      <c r="O6754">
        <f>COUNTIFS(F$1:F6754,F6754,A$1:A6754,A6754)</f>
        <v>58</v>
      </c>
      <c r="P6754" t="str">
        <f t="shared" si="317"/>
        <v>Nathan Peterman16</v>
      </c>
    </row>
    <row r="6755" spans="1:16" x14ac:dyDescent="0.25">
      <c r="A6755">
        <v>10</v>
      </c>
      <c r="B6755" t="s">
        <v>4248</v>
      </c>
      <c r="C6755">
        <f>-0.02-0.88</f>
        <v>-0.9</v>
      </c>
      <c r="D6755">
        <v>0.43</v>
      </c>
      <c r="E6755" t="s">
        <v>72</v>
      </c>
      <c r="F6755" t="s">
        <v>47</v>
      </c>
      <c r="G6755">
        <v>0.88</v>
      </c>
      <c r="H6755">
        <v>-0.02</v>
      </c>
      <c r="I6755">
        <v>0.45</v>
      </c>
      <c r="J6755">
        <v>0.20250000000000001</v>
      </c>
      <c r="K6755" t="str">
        <f>IFERROR(INDEX(Rosters!$C$2:$C$155,MATCH($B6755,Rosters!$B$2:$B$155,0)),"NA")</f>
        <v>NA</v>
      </c>
      <c r="L6755" t="str">
        <f t="shared" si="315"/>
        <v>NA10RB</v>
      </c>
      <c r="M6755">
        <f>COUNTIF(L$1:L6755,L6755)</f>
        <v>65</v>
      </c>
      <c r="N6755" t="str">
        <f t="shared" si="316"/>
        <v>NA10RB-65</v>
      </c>
      <c r="O6755">
        <f>COUNTIFS(F$1:F6755,F6755,A$1:A6755,A6755)</f>
        <v>104</v>
      </c>
      <c r="P6755" t="str">
        <f t="shared" si="317"/>
        <v>Nick Bellore10</v>
      </c>
    </row>
    <row r="6756" spans="1:16" x14ac:dyDescent="0.25">
      <c r="A6756">
        <v>13</v>
      </c>
      <c r="B6756" t="s">
        <v>4248</v>
      </c>
      <c r="C6756">
        <f>-0.01-0.87</f>
        <v>-0.88</v>
      </c>
      <c r="D6756">
        <v>0.43</v>
      </c>
      <c r="E6756" t="s">
        <v>56</v>
      </c>
      <c r="F6756" t="s">
        <v>47</v>
      </c>
      <c r="G6756">
        <v>0.87</v>
      </c>
      <c r="H6756">
        <v>-0.01</v>
      </c>
      <c r="I6756">
        <v>0.44</v>
      </c>
      <c r="J6756">
        <v>0.19359999999999999</v>
      </c>
      <c r="K6756" t="str">
        <f>IFERROR(INDEX(Rosters!$C$2:$C$155,MATCH($B6756,Rosters!$B$2:$B$155,0)),"NA")</f>
        <v>NA</v>
      </c>
      <c r="L6756" t="str">
        <f t="shared" si="315"/>
        <v>NA13RB</v>
      </c>
      <c r="M6756">
        <f>COUNTIF(L$1:L6756,L6756)</f>
        <v>77</v>
      </c>
      <c r="N6756" t="str">
        <f t="shared" si="316"/>
        <v>NA13RB-77</v>
      </c>
      <c r="O6756">
        <f>COUNTIFS(F$1:F6756,F6756,A$1:A6756,A6756)</f>
        <v>124</v>
      </c>
      <c r="P6756" t="str">
        <f t="shared" si="317"/>
        <v>Nick Bellore13</v>
      </c>
    </row>
    <row r="6757" spans="1:16" x14ac:dyDescent="0.25">
      <c r="A6757">
        <v>1</v>
      </c>
      <c r="B6757" t="s">
        <v>328</v>
      </c>
      <c r="C6757">
        <f>-0.18-1.04</f>
        <v>-1.22</v>
      </c>
      <c r="D6757">
        <v>0.43</v>
      </c>
      <c r="E6757" t="s">
        <v>77</v>
      </c>
      <c r="F6757" t="s">
        <v>47</v>
      </c>
      <c r="G6757">
        <v>1.04</v>
      </c>
      <c r="H6757">
        <v>-0.18</v>
      </c>
      <c r="I6757">
        <v>0.61</v>
      </c>
      <c r="J6757">
        <v>0.37209999999999999</v>
      </c>
      <c r="K6757" t="str">
        <f>IFERROR(INDEX(Rosters!$C$2:$C$155,MATCH($B6757,Rosters!$B$2:$B$155,0)),"NA")</f>
        <v>NA</v>
      </c>
      <c r="L6757" t="str">
        <f t="shared" si="315"/>
        <v>NA1RB</v>
      </c>
      <c r="M6757">
        <f>COUNTIF(L$1:L6757,L6757)</f>
        <v>44</v>
      </c>
      <c r="N6757" t="str">
        <f t="shared" si="316"/>
        <v>NA1RB-44</v>
      </c>
      <c r="O6757">
        <f>COUNTIFS(F$1:F6757,F6757,A$1:A6757,A6757)</f>
        <v>87</v>
      </c>
      <c r="P6757" t="str">
        <f t="shared" si="317"/>
        <v>Patrick DiMarco1</v>
      </c>
    </row>
    <row r="6758" spans="1:16" x14ac:dyDescent="0.25">
      <c r="A6758">
        <v>17</v>
      </c>
      <c r="B6758" t="s">
        <v>8803</v>
      </c>
      <c r="C6758" t="s">
        <v>4739</v>
      </c>
      <c r="D6758">
        <v>0.43</v>
      </c>
      <c r="E6758" t="s">
        <v>72</v>
      </c>
      <c r="F6758" t="s">
        <v>47</v>
      </c>
      <c r="G6758">
        <v>0.83</v>
      </c>
      <c r="H6758">
        <v>0.03</v>
      </c>
      <c r="I6758">
        <v>0.4</v>
      </c>
      <c r="J6758">
        <v>0.16</v>
      </c>
      <c r="K6758" t="str">
        <f>IFERROR(INDEX(Rosters!$C$2:$C$155,MATCH($B6758,Rosters!$B$2:$B$155,0)),"NA")</f>
        <v>NA</v>
      </c>
      <c r="L6758" t="str">
        <f t="shared" si="315"/>
        <v>NA17RB</v>
      </c>
      <c r="M6758">
        <f>COUNTIF(L$1:L6758,L6758)</f>
        <v>76</v>
      </c>
      <c r="N6758" t="str">
        <f t="shared" si="316"/>
        <v>NA17RB-76</v>
      </c>
      <c r="O6758">
        <f>COUNTIFS(F$1:F6758,F6758,A$1:A6758,A6758)</f>
        <v>123</v>
      </c>
      <c r="P6758" t="str">
        <f t="shared" si="317"/>
        <v>Roc Thomas17</v>
      </c>
    </row>
    <row r="6759" spans="1:16" x14ac:dyDescent="0.25">
      <c r="A6759">
        <v>12</v>
      </c>
      <c r="B6759" t="s">
        <v>4254</v>
      </c>
      <c r="C6759">
        <f>-0.04-0.9</f>
        <v>-0.94000000000000006</v>
      </c>
      <c r="D6759">
        <v>0.43</v>
      </c>
      <c r="E6759" t="s">
        <v>37</v>
      </c>
      <c r="F6759" t="s">
        <v>47</v>
      </c>
      <c r="G6759">
        <v>0.9</v>
      </c>
      <c r="H6759">
        <v>-0.04</v>
      </c>
      <c r="I6759">
        <v>0.47</v>
      </c>
      <c r="J6759">
        <v>0.22090000000000001</v>
      </c>
      <c r="K6759" t="str">
        <f>IFERROR(INDEX(Rosters!$C$2:$C$155,MATCH($B6759,Rosters!$B$2:$B$155,0)),"NA")</f>
        <v>NA</v>
      </c>
      <c r="L6759" t="str">
        <f t="shared" si="315"/>
        <v>NA12RB</v>
      </c>
      <c r="M6759">
        <f>COUNTIF(L$1:L6759,L6759)</f>
        <v>74</v>
      </c>
      <c r="N6759" t="str">
        <f t="shared" si="316"/>
        <v>NA12RB-74</v>
      </c>
      <c r="O6759">
        <f>COUNTIFS(F$1:F6759,F6759,A$1:A6759,A6759)</f>
        <v>119</v>
      </c>
      <c r="P6759" t="str">
        <f t="shared" si="317"/>
        <v>T.J. Logan12</v>
      </c>
    </row>
    <row r="6760" spans="1:16" x14ac:dyDescent="0.25">
      <c r="A6760">
        <v>15</v>
      </c>
      <c r="B6760" t="s">
        <v>4258</v>
      </c>
      <c r="C6760">
        <f>-0.05-0.91</f>
        <v>-0.96000000000000008</v>
      </c>
      <c r="D6760">
        <v>0.43</v>
      </c>
      <c r="E6760" t="s">
        <v>52</v>
      </c>
      <c r="F6760" t="s">
        <v>87</v>
      </c>
      <c r="G6760">
        <v>0.91</v>
      </c>
      <c r="H6760">
        <v>-0.05</v>
      </c>
      <c r="I6760">
        <v>0.48</v>
      </c>
      <c r="J6760">
        <v>0.23039999999999999</v>
      </c>
      <c r="K6760" t="str">
        <f>IFERROR(INDEX(Rosters!$C$2:$C$155,MATCH($B6760,Rosters!$B$2:$B$155,0)),"NA")</f>
        <v>NA</v>
      </c>
      <c r="L6760" t="str">
        <f t="shared" si="315"/>
        <v>NA15WR</v>
      </c>
      <c r="M6760">
        <f>COUNTIF(L$1:L6760,L6760)</f>
        <v>115</v>
      </c>
      <c r="N6760" t="str">
        <f t="shared" si="316"/>
        <v>NA15WR-115</v>
      </c>
      <c r="O6760">
        <f>COUNTIFS(F$1:F6760,F6760,A$1:A6760,A6760)</f>
        <v>169</v>
      </c>
      <c r="P6760" t="str">
        <f t="shared" si="317"/>
        <v>Tim Patrick15</v>
      </c>
    </row>
    <row r="6761" spans="1:16" x14ac:dyDescent="0.25">
      <c r="A6761">
        <v>8</v>
      </c>
      <c r="B6761" t="s">
        <v>1555</v>
      </c>
      <c r="C6761">
        <f>-0.02-0.86</f>
        <v>-0.88</v>
      </c>
      <c r="D6761">
        <v>0.42</v>
      </c>
      <c r="E6761" t="s">
        <v>77</v>
      </c>
      <c r="F6761" t="s">
        <v>47</v>
      </c>
      <c r="G6761">
        <v>0.86</v>
      </c>
      <c r="H6761">
        <v>-0.02</v>
      </c>
      <c r="I6761">
        <v>0.44</v>
      </c>
      <c r="J6761">
        <v>0.19359999999999999</v>
      </c>
      <c r="K6761" t="str">
        <f>IFERROR(INDEX(Rosters!$C$2:$C$155,MATCH($B6761,Rosters!$B$2:$B$155,0)),"NA")</f>
        <v>NA</v>
      </c>
      <c r="L6761" t="str">
        <f t="shared" si="315"/>
        <v>NA8RB</v>
      </c>
      <c r="M6761">
        <f>COUNTIF(L$1:L6761,L6761)</f>
        <v>69</v>
      </c>
      <c r="N6761" t="str">
        <f t="shared" si="316"/>
        <v>NA8RB-69</v>
      </c>
      <c r="O6761">
        <f>COUNTIFS(F$1:F6761,F6761,A$1:A6761,A6761)</f>
        <v>109</v>
      </c>
      <c r="P6761" t="str">
        <f t="shared" si="317"/>
        <v>Alex Armah8</v>
      </c>
    </row>
    <row r="6762" spans="1:16" x14ac:dyDescent="0.25">
      <c r="A6762">
        <v>8</v>
      </c>
      <c r="B6762" t="s">
        <v>276</v>
      </c>
      <c r="C6762">
        <f>-0.01-0.85</f>
        <v>-0.86</v>
      </c>
      <c r="D6762">
        <v>0.42</v>
      </c>
      <c r="E6762" t="s">
        <v>423</v>
      </c>
      <c r="F6762" t="s">
        <v>87</v>
      </c>
      <c r="G6762">
        <v>0.85</v>
      </c>
      <c r="H6762">
        <v>-0.01</v>
      </c>
      <c r="I6762">
        <v>0.43</v>
      </c>
      <c r="J6762">
        <v>0.18490000000000001</v>
      </c>
      <c r="K6762" t="str">
        <f>IFERROR(INDEX(Rosters!$C$2:$C$155,MATCH($B6762,Rosters!$B$2:$B$155,0)),"NA")</f>
        <v>NA</v>
      </c>
      <c r="L6762" t="str">
        <f t="shared" si="315"/>
        <v>NA8WR</v>
      </c>
      <c r="M6762">
        <f>COUNTIF(L$1:L6762,L6762)</f>
        <v>99</v>
      </c>
      <c r="N6762" t="str">
        <f t="shared" si="316"/>
        <v>NA8WR-99</v>
      </c>
      <c r="O6762">
        <f>COUNTIFS(F$1:F6762,F6762,A$1:A6762,A6762)</f>
        <v>148</v>
      </c>
      <c r="P6762" t="str">
        <f t="shared" si="317"/>
        <v>Andre Holmes8</v>
      </c>
    </row>
    <row r="6763" spans="1:16" x14ac:dyDescent="0.25">
      <c r="A6763">
        <v>9</v>
      </c>
      <c r="B6763" t="s">
        <v>276</v>
      </c>
      <c r="C6763">
        <f>-0.05-0.89</f>
        <v>-0.94000000000000006</v>
      </c>
      <c r="D6763">
        <v>0.42</v>
      </c>
      <c r="E6763" t="s">
        <v>72</v>
      </c>
      <c r="F6763" t="s">
        <v>87</v>
      </c>
      <c r="G6763">
        <v>0.89</v>
      </c>
      <c r="H6763">
        <v>-0.05</v>
      </c>
      <c r="I6763">
        <v>0.47</v>
      </c>
      <c r="J6763">
        <v>0.22090000000000001</v>
      </c>
      <c r="K6763" t="str">
        <f>IFERROR(INDEX(Rosters!$C$2:$C$155,MATCH($B6763,Rosters!$B$2:$B$155,0)),"NA")</f>
        <v>NA</v>
      </c>
      <c r="L6763" t="str">
        <f t="shared" si="315"/>
        <v>NA9WR</v>
      </c>
      <c r="M6763">
        <f>COUNTIF(L$1:L6763,L6763)</f>
        <v>99</v>
      </c>
      <c r="N6763" t="str">
        <f t="shared" si="316"/>
        <v>NA9WR-99</v>
      </c>
      <c r="O6763">
        <f>COUNTIFS(F$1:F6763,F6763,A$1:A6763,A6763)</f>
        <v>143</v>
      </c>
      <c r="P6763" t="str">
        <f t="shared" si="317"/>
        <v>Andre Holmes9</v>
      </c>
    </row>
    <row r="6764" spans="1:16" x14ac:dyDescent="0.25">
      <c r="A6764">
        <v>13</v>
      </c>
      <c r="B6764" t="s">
        <v>276</v>
      </c>
      <c r="C6764">
        <f>-0.03-0.87</f>
        <v>-0.9</v>
      </c>
      <c r="D6764">
        <v>0.42</v>
      </c>
      <c r="E6764" t="s">
        <v>19</v>
      </c>
      <c r="F6764" t="s">
        <v>87</v>
      </c>
      <c r="G6764">
        <v>0.87</v>
      </c>
      <c r="H6764">
        <v>-0.03</v>
      </c>
      <c r="I6764">
        <v>0.45</v>
      </c>
      <c r="J6764">
        <v>0.20250000000000001</v>
      </c>
      <c r="K6764" t="str">
        <f>IFERROR(INDEX(Rosters!$C$2:$C$155,MATCH($B6764,Rosters!$B$2:$B$155,0)),"NA")</f>
        <v>NA</v>
      </c>
      <c r="L6764" t="str">
        <f t="shared" si="315"/>
        <v>NA13WR</v>
      </c>
      <c r="M6764">
        <f>COUNTIF(L$1:L6764,L6764)</f>
        <v>117</v>
      </c>
      <c r="N6764" t="str">
        <f t="shared" si="316"/>
        <v>NA13WR-117</v>
      </c>
      <c r="O6764">
        <f>COUNTIFS(F$1:F6764,F6764,A$1:A6764,A6764)</f>
        <v>171</v>
      </c>
      <c r="P6764" t="str">
        <f t="shared" si="317"/>
        <v>Andre Holmes13</v>
      </c>
    </row>
    <row r="6765" spans="1:16" x14ac:dyDescent="0.25">
      <c r="A6765">
        <v>14</v>
      </c>
      <c r="B6765" t="s">
        <v>276</v>
      </c>
      <c r="C6765">
        <f>-0.06-0.9</f>
        <v>-0.96</v>
      </c>
      <c r="D6765">
        <v>0.42</v>
      </c>
      <c r="E6765" t="s">
        <v>73</v>
      </c>
      <c r="F6765" t="s">
        <v>87</v>
      </c>
      <c r="G6765">
        <v>0.9</v>
      </c>
      <c r="H6765">
        <v>-0.06</v>
      </c>
      <c r="I6765">
        <v>0.48</v>
      </c>
      <c r="J6765">
        <v>0.23039999999999999</v>
      </c>
      <c r="K6765" t="str">
        <f>IFERROR(INDEX(Rosters!$C$2:$C$155,MATCH($B6765,Rosters!$B$2:$B$155,0)),"NA")</f>
        <v>NA</v>
      </c>
      <c r="L6765" t="str">
        <f t="shared" si="315"/>
        <v>NA14WR</v>
      </c>
      <c r="M6765">
        <f>COUNTIF(L$1:L6765,L6765)</f>
        <v>116</v>
      </c>
      <c r="N6765" t="str">
        <f t="shared" si="316"/>
        <v>NA14WR-116</v>
      </c>
      <c r="O6765">
        <f>COUNTIFS(F$1:F6765,F6765,A$1:A6765,A6765)</f>
        <v>170</v>
      </c>
      <c r="P6765" t="str">
        <f t="shared" si="317"/>
        <v>Andre Holmes14</v>
      </c>
    </row>
    <row r="6766" spans="1:16" x14ac:dyDescent="0.25">
      <c r="A6766">
        <v>16</v>
      </c>
      <c r="B6766" t="s">
        <v>276</v>
      </c>
      <c r="C6766">
        <f>-0.01-0.85</f>
        <v>-0.86</v>
      </c>
      <c r="D6766">
        <v>0.42</v>
      </c>
      <c r="E6766" t="s">
        <v>423</v>
      </c>
      <c r="F6766" t="s">
        <v>87</v>
      </c>
      <c r="G6766">
        <v>0.85</v>
      </c>
      <c r="H6766">
        <v>-0.01</v>
      </c>
      <c r="I6766">
        <v>0.43</v>
      </c>
      <c r="J6766">
        <v>0.18490000000000001</v>
      </c>
      <c r="K6766" t="str">
        <f>IFERROR(INDEX(Rosters!$C$2:$C$155,MATCH($B6766,Rosters!$B$2:$B$155,0)),"NA")</f>
        <v>NA</v>
      </c>
      <c r="L6766" t="str">
        <f t="shared" si="315"/>
        <v>NA16WR</v>
      </c>
      <c r="M6766">
        <f>COUNTIF(L$1:L6766,L6766)</f>
        <v>118</v>
      </c>
      <c r="N6766" t="str">
        <f t="shared" si="316"/>
        <v>NA16WR-118</v>
      </c>
      <c r="O6766">
        <f>COUNTIFS(F$1:F6766,F6766,A$1:A6766,A6766)</f>
        <v>172</v>
      </c>
      <c r="P6766" t="str">
        <f t="shared" si="317"/>
        <v>Andre Holmes16</v>
      </c>
    </row>
    <row r="6767" spans="1:16" x14ac:dyDescent="0.25">
      <c r="A6767">
        <v>15</v>
      </c>
      <c r="B6767" t="s">
        <v>3167</v>
      </c>
      <c r="C6767">
        <f>-0.17-1.01</f>
        <v>-1.18</v>
      </c>
      <c r="D6767">
        <v>0.42</v>
      </c>
      <c r="E6767" t="s">
        <v>36</v>
      </c>
      <c r="F6767" t="s">
        <v>87</v>
      </c>
      <c r="G6767">
        <v>1.01</v>
      </c>
      <c r="H6767">
        <v>-0.17</v>
      </c>
      <c r="I6767">
        <v>0.59</v>
      </c>
      <c r="J6767">
        <v>0.34810000000000002</v>
      </c>
      <c r="K6767" t="str">
        <f>IFERROR(INDEX(Rosters!$C$2:$C$155,MATCH($B6767,Rosters!$B$2:$B$155,0)),"NA")</f>
        <v>NA</v>
      </c>
      <c r="L6767" t="str">
        <f t="shared" si="315"/>
        <v>NA15WR</v>
      </c>
      <c r="M6767">
        <f>COUNTIF(L$1:L6767,L6767)</f>
        <v>116</v>
      </c>
      <c r="N6767" t="str">
        <f t="shared" si="316"/>
        <v>NA15WR-116</v>
      </c>
      <c r="O6767">
        <f>COUNTIFS(F$1:F6767,F6767,A$1:A6767,A6767)</f>
        <v>170</v>
      </c>
      <c r="P6767" t="str">
        <f t="shared" si="317"/>
        <v>Andre Roberts15</v>
      </c>
    </row>
    <row r="6768" spans="1:16" x14ac:dyDescent="0.25">
      <c r="A6768">
        <v>17</v>
      </c>
      <c r="B6768" t="s">
        <v>3167</v>
      </c>
      <c r="C6768">
        <f>-0.18-1.02</f>
        <v>-1.2</v>
      </c>
      <c r="D6768">
        <v>0.42</v>
      </c>
      <c r="E6768" t="s">
        <v>423</v>
      </c>
      <c r="F6768" t="s">
        <v>87</v>
      </c>
      <c r="G6768">
        <v>1.02</v>
      </c>
      <c r="H6768">
        <v>-0.18</v>
      </c>
      <c r="I6768">
        <v>0.6</v>
      </c>
      <c r="J6768">
        <v>0.36</v>
      </c>
      <c r="K6768" t="str">
        <f>IFERROR(INDEX(Rosters!$C$2:$C$155,MATCH($B6768,Rosters!$B$2:$B$155,0)),"NA")</f>
        <v>NA</v>
      </c>
      <c r="L6768" t="str">
        <f t="shared" si="315"/>
        <v>NA17WR</v>
      </c>
      <c r="M6768">
        <f>COUNTIF(L$1:L6768,L6768)</f>
        <v>122</v>
      </c>
      <c r="N6768" t="str">
        <f t="shared" si="316"/>
        <v>NA17WR-122</v>
      </c>
      <c r="O6768">
        <f>COUNTIFS(F$1:F6768,F6768,A$1:A6768,A6768)</f>
        <v>176</v>
      </c>
      <c r="P6768" t="str">
        <f t="shared" si="317"/>
        <v>Andre Roberts17</v>
      </c>
    </row>
    <row r="6769" spans="1:16" x14ac:dyDescent="0.25">
      <c r="A6769">
        <v>3</v>
      </c>
      <c r="B6769" t="s">
        <v>1145</v>
      </c>
      <c r="C6769">
        <f>-0.13-0.97</f>
        <v>-1.1000000000000001</v>
      </c>
      <c r="D6769">
        <v>0.42</v>
      </c>
      <c r="E6769" t="s">
        <v>58</v>
      </c>
      <c r="F6769" t="s">
        <v>114</v>
      </c>
      <c r="G6769">
        <v>0.97</v>
      </c>
      <c r="H6769">
        <v>-0.13</v>
      </c>
      <c r="I6769">
        <v>0.55000000000000004</v>
      </c>
      <c r="J6769">
        <v>0.30249999999999999</v>
      </c>
      <c r="K6769" t="str">
        <f>IFERROR(INDEX(Rosters!$C$2:$C$155,MATCH($B6769,Rosters!$B$2:$B$155,0)),"NA")</f>
        <v>NA</v>
      </c>
      <c r="L6769" t="str">
        <f t="shared" si="315"/>
        <v>NA3TE</v>
      </c>
      <c r="M6769">
        <f>COUNTIF(L$1:L6769,L6769)</f>
        <v>68</v>
      </c>
      <c r="N6769" t="str">
        <f t="shared" si="316"/>
        <v>NA3TE-68</v>
      </c>
      <c r="O6769">
        <f>COUNTIFS(F$1:F6769,F6769,A$1:A6769,A6769)</f>
        <v>81</v>
      </c>
      <c r="P6769" t="str">
        <f t="shared" si="317"/>
        <v>Ben Braunecker3</v>
      </c>
    </row>
    <row r="6770" spans="1:16" x14ac:dyDescent="0.25">
      <c r="A6770">
        <v>8</v>
      </c>
      <c r="B6770" t="s">
        <v>4221</v>
      </c>
      <c r="C6770">
        <f>-0.08-0.92</f>
        <v>-1</v>
      </c>
      <c r="D6770">
        <v>0.42</v>
      </c>
      <c r="E6770" t="s">
        <v>72</v>
      </c>
      <c r="F6770" t="s">
        <v>114</v>
      </c>
      <c r="G6770">
        <v>0.92</v>
      </c>
      <c r="H6770">
        <v>-0.08</v>
      </c>
      <c r="I6770">
        <v>0.5</v>
      </c>
      <c r="J6770">
        <v>0.25</v>
      </c>
      <c r="K6770" t="str">
        <f>IFERROR(INDEX(Rosters!$C$2:$C$155,MATCH($B6770,Rosters!$B$2:$B$155,0)),"NA")</f>
        <v>NA</v>
      </c>
      <c r="L6770" t="str">
        <f t="shared" si="315"/>
        <v>NA8TE</v>
      </c>
      <c r="M6770">
        <f>COUNTIF(L$1:L6770,L6770)</f>
        <v>69</v>
      </c>
      <c r="N6770" t="str">
        <f t="shared" si="316"/>
        <v>NA8TE-69</v>
      </c>
      <c r="O6770">
        <f>COUNTIFS(F$1:F6770,F6770,A$1:A6770,A6770)</f>
        <v>81</v>
      </c>
      <c r="P6770" t="str">
        <f t="shared" si="317"/>
        <v>Chris Herndon8</v>
      </c>
    </row>
    <row r="6771" spans="1:16" x14ac:dyDescent="0.25">
      <c r="A6771">
        <v>14</v>
      </c>
      <c r="B6771" t="s">
        <v>1127</v>
      </c>
      <c r="C6771">
        <f>-0.05-0.89</f>
        <v>-0.94000000000000006</v>
      </c>
      <c r="D6771">
        <v>0.42</v>
      </c>
      <c r="E6771" t="s">
        <v>51</v>
      </c>
      <c r="F6771" t="s">
        <v>87</v>
      </c>
      <c r="G6771">
        <v>0.89</v>
      </c>
      <c r="H6771">
        <v>-0.05</v>
      </c>
      <c r="I6771">
        <v>0.47</v>
      </c>
      <c r="J6771">
        <v>0.22090000000000001</v>
      </c>
      <c r="K6771" t="str">
        <f>IFERROR(INDEX(Rosters!$C$2:$C$155,MATCH($B6771,Rosters!$B$2:$B$155,0)),"NA")</f>
        <v>NA</v>
      </c>
      <c r="L6771" t="str">
        <f t="shared" si="315"/>
        <v>NA14WR</v>
      </c>
      <c r="M6771">
        <f>COUNTIF(L$1:L6771,L6771)</f>
        <v>117</v>
      </c>
      <c r="N6771" t="str">
        <f t="shared" si="316"/>
        <v>NA14WR-117</v>
      </c>
      <c r="O6771">
        <f>COUNTIFS(F$1:F6771,F6771,A$1:A6771,A6771)</f>
        <v>171</v>
      </c>
      <c r="P6771" t="str">
        <f t="shared" si="317"/>
        <v>Dwayne Harris14</v>
      </c>
    </row>
    <row r="6772" spans="1:16" x14ac:dyDescent="0.25">
      <c r="A6772">
        <v>10</v>
      </c>
      <c r="B6772" t="s">
        <v>1607</v>
      </c>
      <c r="C6772" t="s">
        <v>4740</v>
      </c>
      <c r="D6772">
        <v>0.42</v>
      </c>
      <c r="E6772" t="s">
        <v>72</v>
      </c>
      <c r="F6772" t="s">
        <v>114</v>
      </c>
      <c r="G6772">
        <v>0.84</v>
      </c>
      <c r="H6772">
        <v>0</v>
      </c>
      <c r="I6772">
        <v>0.42</v>
      </c>
      <c r="J6772">
        <v>0.1764</v>
      </c>
      <c r="K6772" t="str">
        <f>IFERROR(INDEX(Rosters!$C$2:$C$155,MATCH($B6772,Rosters!$B$2:$B$155,0)),"NA")</f>
        <v>NA</v>
      </c>
      <c r="L6772" t="str">
        <f t="shared" si="315"/>
        <v>NA10TE</v>
      </c>
      <c r="M6772">
        <f>COUNTIF(L$1:L6772,L6772)</f>
        <v>71</v>
      </c>
      <c r="N6772" t="str">
        <f t="shared" si="316"/>
        <v>NA10TE-71</v>
      </c>
      <c r="O6772">
        <f>COUNTIFS(F$1:F6772,F6772,A$1:A6772,A6772)</f>
        <v>84</v>
      </c>
      <c r="P6772" t="str">
        <f t="shared" si="317"/>
        <v>Hakeem Valles10</v>
      </c>
    </row>
    <row r="6773" spans="1:16" x14ac:dyDescent="0.25">
      <c r="A6773">
        <v>8</v>
      </c>
      <c r="B6773" t="s">
        <v>1625</v>
      </c>
      <c r="C6773">
        <f>-0.02-0.86</f>
        <v>-0.88</v>
      </c>
      <c r="D6773">
        <v>0.42</v>
      </c>
      <c r="E6773" t="s">
        <v>29</v>
      </c>
      <c r="F6773" t="s">
        <v>114</v>
      </c>
      <c r="G6773">
        <v>0.86</v>
      </c>
      <c r="H6773">
        <v>-0.02</v>
      </c>
      <c r="I6773">
        <v>0.44</v>
      </c>
      <c r="J6773">
        <v>0.19359999999999999</v>
      </c>
      <c r="K6773" t="str">
        <f>IFERROR(INDEX(Rosters!$C$2:$C$155,MATCH($B6773,Rosters!$B$2:$B$155,0)),"NA")</f>
        <v>NA</v>
      </c>
      <c r="L6773" t="str">
        <f t="shared" si="315"/>
        <v>NA8TE</v>
      </c>
      <c r="M6773">
        <f>COUNTIF(L$1:L6773,L6773)</f>
        <v>70</v>
      </c>
      <c r="N6773" t="str">
        <f t="shared" si="316"/>
        <v>NA8TE-70</v>
      </c>
      <c r="O6773">
        <f>COUNTIFS(F$1:F6773,F6773,A$1:A6773,A6773)</f>
        <v>82</v>
      </c>
      <c r="P6773" t="str">
        <f t="shared" si="317"/>
        <v>Jacob Hollister8</v>
      </c>
    </row>
    <row r="6774" spans="1:16" x14ac:dyDescent="0.25">
      <c r="A6774">
        <v>9</v>
      </c>
      <c r="B6774" t="s">
        <v>1625</v>
      </c>
      <c r="C6774" t="s">
        <v>1632</v>
      </c>
      <c r="D6774">
        <v>0.42</v>
      </c>
      <c r="E6774" t="s">
        <v>41</v>
      </c>
      <c r="F6774" t="s">
        <v>114</v>
      </c>
      <c r="G6774">
        <v>0.81</v>
      </c>
      <c r="H6774">
        <v>0.03</v>
      </c>
      <c r="I6774">
        <v>0.39</v>
      </c>
      <c r="J6774">
        <v>0.15210000000000001</v>
      </c>
      <c r="K6774" t="str">
        <f>IFERROR(INDEX(Rosters!$C$2:$C$155,MATCH($B6774,Rosters!$B$2:$B$155,0)),"NA")</f>
        <v>NA</v>
      </c>
      <c r="L6774" t="str">
        <f t="shared" si="315"/>
        <v>NA9TE</v>
      </c>
      <c r="M6774">
        <f>COUNTIF(L$1:L6774,L6774)</f>
        <v>65</v>
      </c>
      <c r="N6774" t="str">
        <f t="shared" si="316"/>
        <v>NA9TE-65</v>
      </c>
      <c r="O6774">
        <f>COUNTIFS(F$1:F6774,F6774,A$1:A6774,A6774)</f>
        <v>76</v>
      </c>
      <c r="P6774" t="str">
        <f t="shared" si="317"/>
        <v>Jacob Hollister9</v>
      </c>
    </row>
    <row r="6775" spans="1:16" x14ac:dyDescent="0.25">
      <c r="A6775">
        <v>14</v>
      </c>
      <c r="B6775" t="s">
        <v>8885</v>
      </c>
      <c r="C6775">
        <f>-0.13-0.97</f>
        <v>-1.1000000000000001</v>
      </c>
      <c r="D6775">
        <v>0.42</v>
      </c>
      <c r="E6775" t="s">
        <v>56</v>
      </c>
      <c r="F6775" t="s">
        <v>87</v>
      </c>
      <c r="G6775">
        <v>0.97</v>
      </c>
      <c r="H6775">
        <v>-0.13</v>
      </c>
      <c r="I6775">
        <v>0.55000000000000004</v>
      </c>
      <c r="J6775">
        <v>0.30249999999999999</v>
      </c>
      <c r="K6775" t="str">
        <f>IFERROR(INDEX(Rosters!$C$2:$C$155,MATCH($B6775,Rosters!$B$2:$B$155,0)),"NA")</f>
        <v>NA</v>
      </c>
      <c r="L6775" t="str">
        <f t="shared" si="315"/>
        <v>NA14WR</v>
      </c>
      <c r="M6775">
        <f>COUNTIF(L$1:L6775,L6775)</f>
        <v>118</v>
      </c>
      <c r="N6775" t="str">
        <f t="shared" si="316"/>
        <v>NA14WR-118</v>
      </c>
      <c r="O6775">
        <f>COUNTIFS(F$1:F6775,F6775,A$1:A6775,A6775)</f>
        <v>172</v>
      </c>
      <c r="P6775" t="str">
        <f t="shared" si="317"/>
        <v>Javon Wims14</v>
      </c>
    </row>
    <row r="6776" spans="1:16" x14ac:dyDescent="0.25">
      <c r="A6776">
        <v>15</v>
      </c>
      <c r="B6776" t="s">
        <v>1548</v>
      </c>
      <c r="C6776">
        <f>-0.17-1.01</f>
        <v>-1.18</v>
      </c>
      <c r="D6776">
        <v>0.42</v>
      </c>
      <c r="E6776" t="s">
        <v>76</v>
      </c>
      <c r="F6776" t="s">
        <v>114</v>
      </c>
      <c r="G6776">
        <v>1.01</v>
      </c>
      <c r="H6776">
        <v>-0.17</v>
      </c>
      <c r="I6776">
        <v>0.59</v>
      </c>
      <c r="J6776">
        <v>0.34810000000000002</v>
      </c>
      <c r="K6776" t="str">
        <f>IFERROR(INDEX(Rosters!$C$2:$C$155,MATCH($B6776,Rosters!$B$2:$B$155,0)),"NA")</f>
        <v>NA</v>
      </c>
      <c r="L6776" t="str">
        <f t="shared" si="315"/>
        <v>NA15TE</v>
      </c>
      <c r="M6776">
        <f>COUNTIF(L$1:L6776,L6776)</f>
        <v>78</v>
      </c>
      <c r="N6776" t="str">
        <f t="shared" si="316"/>
        <v>NA15TE-78</v>
      </c>
      <c r="O6776">
        <f>COUNTIFS(F$1:F6776,F6776,A$1:A6776,A6776)</f>
        <v>92</v>
      </c>
      <c r="P6776" t="str">
        <f t="shared" si="317"/>
        <v>Jeremy Sprinkle15</v>
      </c>
    </row>
    <row r="6777" spans="1:16" x14ac:dyDescent="0.25">
      <c r="A6777">
        <v>14</v>
      </c>
      <c r="B6777" t="s">
        <v>1631</v>
      </c>
      <c r="C6777">
        <f>-0.2-1.04</f>
        <v>-1.24</v>
      </c>
      <c r="D6777">
        <v>0.42</v>
      </c>
      <c r="E6777" t="s">
        <v>37</v>
      </c>
      <c r="F6777" t="s">
        <v>87</v>
      </c>
      <c r="G6777">
        <v>1.04</v>
      </c>
      <c r="H6777">
        <v>-0.2</v>
      </c>
      <c r="I6777">
        <v>0.62</v>
      </c>
      <c r="J6777">
        <v>0.38440000000000002</v>
      </c>
      <c r="K6777" t="str">
        <f>IFERROR(INDEX(Rosters!$C$2:$C$155,MATCH($B6777,Rosters!$B$2:$B$155,0)),"NA")</f>
        <v>NA</v>
      </c>
      <c r="L6777" t="str">
        <f t="shared" si="315"/>
        <v>NA14WR</v>
      </c>
      <c r="M6777">
        <f>COUNTIF(L$1:L6777,L6777)</f>
        <v>119</v>
      </c>
      <c r="N6777" t="str">
        <f t="shared" si="316"/>
        <v>NA14WR-119</v>
      </c>
      <c r="O6777">
        <f>COUNTIFS(F$1:F6777,F6777,A$1:A6777,A6777)</f>
        <v>173</v>
      </c>
      <c r="P6777" t="str">
        <f t="shared" si="317"/>
        <v>Josh Malone14</v>
      </c>
    </row>
    <row r="6778" spans="1:16" x14ac:dyDescent="0.25">
      <c r="A6778">
        <v>10</v>
      </c>
      <c r="B6778" t="s">
        <v>2769</v>
      </c>
      <c r="C6778">
        <f>-0.06-0.9</f>
        <v>-0.96</v>
      </c>
      <c r="D6778">
        <v>0.42</v>
      </c>
      <c r="E6778" t="s">
        <v>17</v>
      </c>
      <c r="F6778" t="s">
        <v>47</v>
      </c>
      <c r="G6778">
        <v>0.9</v>
      </c>
      <c r="H6778">
        <v>-0.06</v>
      </c>
      <c r="I6778">
        <v>0.48</v>
      </c>
      <c r="J6778">
        <v>0.23039999999999999</v>
      </c>
      <c r="K6778" t="str">
        <f>IFERROR(INDEX(Rosters!$C$2:$C$155,MATCH($B6778,Rosters!$B$2:$B$155,0)),"NA")</f>
        <v>NA</v>
      </c>
      <c r="L6778" t="str">
        <f t="shared" si="315"/>
        <v>NA10RB</v>
      </c>
      <c r="M6778">
        <f>COUNTIF(L$1:L6778,L6778)</f>
        <v>66</v>
      </c>
      <c r="N6778" t="str">
        <f t="shared" si="316"/>
        <v>NA10RB-66</v>
      </c>
      <c r="O6778">
        <f>COUNTIFS(F$1:F6778,F6778,A$1:A6778,A6778)</f>
        <v>105</v>
      </c>
      <c r="P6778" t="str">
        <f t="shared" si="317"/>
        <v>Kapri Bibbs10</v>
      </c>
    </row>
    <row r="6779" spans="1:16" x14ac:dyDescent="0.25">
      <c r="A6779">
        <v>3</v>
      </c>
      <c r="B6779" t="s">
        <v>1633</v>
      </c>
      <c r="C6779">
        <f>-0.05-0.89</f>
        <v>-0.94000000000000006</v>
      </c>
      <c r="D6779">
        <v>0.42</v>
      </c>
      <c r="E6779" t="s">
        <v>50</v>
      </c>
      <c r="F6779" t="s">
        <v>87</v>
      </c>
      <c r="G6779">
        <v>0.89</v>
      </c>
      <c r="H6779">
        <v>-0.05</v>
      </c>
      <c r="I6779">
        <v>0.47</v>
      </c>
      <c r="J6779">
        <v>0.22090000000000001</v>
      </c>
      <c r="K6779" t="str">
        <f>IFERROR(INDEX(Rosters!$C$2:$C$155,MATCH($B6779,Rosters!$B$2:$B$155,0)),"NA")</f>
        <v>NA</v>
      </c>
      <c r="L6779" t="str">
        <f t="shared" si="315"/>
        <v>NA3WR</v>
      </c>
      <c r="M6779">
        <f>COUNTIF(L$1:L6779,L6779)</f>
        <v>94</v>
      </c>
      <c r="N6779" t="str">
        <f t="shared" si="316"/>
        <v>NA3WR-94</v>
      </c>
      <c r="O6779">
        <f>COUNTIFS(F$1:F6779,F6779,A$1:A6779,A6779)</f>
        <v>143</v>
      </c>
      <c r="P6779" t="str">
        <f t="shared" si="317"/>
        <v>Marcus Johnson3</v>
      </c>
    </row>
    <row r="6780" spans="1:16" x14ac:dyDescent="0.25">
      <c r="A6780">
        <v>8</v>
      </c>
      <c r="B6780" t="s">
        <v>3126</v>
      </c>
      <c r="C6780">
        <f>-0.07-0.91</f>
        <v>-0.98</v>
      </c>
      <c r="D6780">
        <v>0.42</v>
      </c>
      <c r="E6780" t="s">
        <v>24</v>
      </c>
      <c r="F6780" t="s">
        <v>114</v>
      </c>
      <c r="G6780">
        <v>0.91</v>
      </c>
      <c r="H6780">
        <v>-7.0000000000000007E-2</v>
      </c>
      <c r="I6780">
        <v>0.49</v>
      </c>
      <c r="J6780">
        <v>0.24010000000000001</v>
      </c>
      <c r="K6780" t="str">
        <f>IFERROR(INDEX(Rosters!$C$2:$C$155,MATCH($B6780,Rosters!$B$2:$B$155,0)),"NA")</f>
        <v>NA</v>
      </c>
      <c r="L6780" t="str">
        <f t="shared" si="315"/>
        <v>NA8TE</v>
      </c>
      <c r="M6780">
        <f>COUNTIF(L$1:L6780,L6780)</f>
        <v>71</v>
      </c>
      <c r="N6780" t="str">
        <f t="shared" si="316"/>
        <v>NA8TE-71</v>
      </c>
      <c r="O6780">
        <f>COUNTIFS(F$1:F6780,F6780,A$1:A6780,A6780)</f>
        <v>83</v>
      </c>
      <c r="P6780" t="str">
        <f t="shared" si="317"/>
        <v>Matt LaCosse8</v>
      </c>
    </row>
    <row r="6781" spans="1:16" x14ac:dyDescent="0.25">
      <c r="A6781">
        <v>15</v>
      </c>
      <c r="B6781" t="s">
        <v>3126</v>
      </c>
      <c r="C6781">
        <f>-0.1-0.94</f>
        <v>-1.04</v>
      </c>
      <c r="D6781">
        <v>0.42</v>
      </c>
      <c r="E6781" t="s">
        <v>52</v>
      </c>
      <c r="F6781" t="s">
        <v>114</v>
      </c>
      <c r="G6781">
        <v>0.94</v>
      </c>
      <c r="H6781">
        <v>-0.1</v>
      </c>
      <c r="I6781">
        <v>0.52</v>
      </c>
      <c r="J6781">
        <v>0.27039999999999997</v>
      </c>
      <c r="K6781" t="str">
        <f>IFERROR(INDEX(Rosters!$C$2:$C$155,MATCH($B6781,Rosters!$B$2:$B$155,0)),"NA")</f>
        <v>NA</v>
      </c>
      <c r="L6781" t="str">
        <f t="shared" si="315"/>
        <v>NA15TE</v>
      </c>
      <c r="M6781">
        <f>COUNTIF(L$1:L6781,L6781)</f>
        <v>79</v>
      </c>
      <c r="N6781" t="str">
        <f t="shared" si="316"/>
        <v>NA15TE-79</v>
      </c>
      <c r="O6781">
        <f>COUNTIFS(F$1:F6781,F6781,A$1:A6781,A6781)</f>
        <v>93</v>
      </c>
      <c r="P6781" t="str">
        <f t="shared" si="317"/>
        <v>Matt LaCosse15</v>
      </c>
    </row>
    <row r="6782" spans="1:16" x14ac:dyDescent="0.25">
      <c r="A6782">
        <v>3</v>
      </c>
      <c r="B6782" t="s">
        <v>1584</v>
      </c>
      <c r="C6782">
        <f>-0.11-0.95</f>
        <v>-1.06</v>
      </c>
      <c r="D6782">
        <v>0.42</v>
      </c>
      <c r="E6782" t="s">
        <v>76</v>
      </c>
      <c r="F6782" t="s">
        <v>114</v>
      </c>
      <c r="G6782">
        <v>0.95</v>
      </c>
      <c r="H6782">
        <v>-0.11</v>
      </c>
      <c r="I6782">
        <v>0.53</v>
      </c>
      <c r="J6782">
        <v>0.28089999999999998</v>
      </c>
      <c r="K6782" t="str">
        <f>IFERROR(INDEX(Rosters!$C$2:$C$155,MATCH($B6782,Rosters!$B$2:$B$155,0)),"NA")</f>
        <v>NA</v>
      </c>
      <c r="L6782" t="str">
        <f t="shared" si="315"/>
        <v>NA3TE</v>
      </c>
      <c r="M6782">
        <f>COUNTIF(L$1:L6782,L6782)</f>
        <v>69</v>
      </c>
      <c r="N6782" t="str">
        <f t="shared" si="316"/>
        <v>NA3TE-69</v>
      </c>
      <c r="O6782">
        <f>COUNTIFS(F$1:F6782,F6782,A$1:A6782,A6782)</f>
        <v>82</v>
      </c>
      <c r="P6782" t="str">
        <f t="shared" si="317"/>
        <v>MyCole Pruitt3</v>
      </c>
    </row>
    <row r="6783" spans="1:16" x14ac:dyDescent="0.25">
      <c r="A6783">
        <v>3</v>
      </c>
      <c r="B6783" t="s">
        <v>1623</v>
      </c>
      <c r="C6783">
        <f>-0.17-1.01</f>
        <v>-1.18</v>
      </c>
      <c r="D6783">
        <v>0.42</v>
      </c>
      <c r="E6783" t="s">
        <v>28</v>
      </c>
      <c r="F6783" t="s">
        <v>87</v>
      </c>
      <c r="G6783">
        <v>1.01</v>
      </c>
      <c r="H6783">
        <v>-0.17</v>
      </c>
      <c r="I6783">
        <v>0.59</v>
      </c>
      <c r="J6783">
        <v>0.34810000000000002</v>
      </c>
      <c r="K6783" t="str">
        <f>IFERROR(INDEX(Rosters!$C$2:$C$155,MATCH($B6783,Rosters!$B$2:$B$155,0)),"NA")</f>
        <v>NA</v>
      </c>
      <c r="L6783" t="str">
        <f t="shared" si="315"/>
        <v>NA3WR</v>
      </c>
      <c r="M6783">
        <f>COUNTIF(L$1:L6783,L6783)</f>
        <v>95</v>
      </c>
      <c r="N6783" t="str">
        <f t="shared" si="316"/>
        <v>NA3WR-95</v>
      </c>
      <c r="O6783">
        <f>COUNTIFS(F$1:F6783,F6783,A$1:A6783,A6783)</f>
        <v>144</v>
      </c>
      <c r="P6783" t="str">
        <f t="shared" si="317"/>
        <v>Noah Brown3</v>
      </c>
    </row>
    <row r="6784" spans="1:16" x14ac:dyDescent="0.25">
      <c r="A6784">
        <v>5</v>
      </c>
      <c r="B6784" t="s">
        <v>3374</v>
      </c>
      <c r="C6784" t="s">
        <v>8926</v>
      </c>
      <c r="D6784">
        <v>0.42</v>
      </c>
      <c r="E6784" t="s">
        <v>52</v>
      </c>
      <c r="F6784" t="s">
        <v>47</v>
      </c>
      <c r="G6784">
        <v>0.8</v>
      </c>
      <c r="H6784">
        <v>0.04</v>
      </c>
      <c r="I6784">
        <v>0.38</v>
      </c>
      <c r="J6784">
        <v>0.1444</v>
      </c>
      <c r="K6784" t="str">
        <f>IFERROR(INDEX(Rosters!$C$2:$C$155,MATCH($B6784,Rosters!$B$2:$B$155,0)),"NA")</f>
        <v>NA</v>
      </c>
      <c r="L6784" t="str">
        <f t="shared" si="315"/>
        <v>NA5RB</v>
      </c>
      <c r="M6784">
        <f>COUNTIF(L$1:L6784,L6784)</f>
        <v>66</v>
      </c>
      <c r="N6784" t="str">
        <f t="shared" si="316"/>
        <v>NA5RB-66</v>
      </c>
      <c r="O6784">
        <f>COUNTIFS(F$1:F6784,F6784,A$1:A6784,A6784)</f>
        <v>109</v>
      </c>
      <c r="P6784" t="str">
        <f t="shared" si="317"/>
        <v>Patrick Ricard5</v>
      </c>
    </row>
    <row r="6785" spans="1:16" x14ac:dyDescent="0.25">
      <c r="A6785">
        <v>13</v>
      </c>
      <c r="B6785" t="s">
        <v>1123</v>
      </c>
      <c r="C6785">
        <f>-0.11-0.95</f>
        <v>-1.06</v>
      </c>
      <c r="D6785">
        <v>0.42</v>
      </c>
      <c r="E6785" t="s">
        <v>76</v>
      </c>
      <c r="F6785" t="s">
        <v>47</v>
      </c>
      <c r="G6785">
        <v>0.95</v>
      </c>
      <c r="H6785">
        <v>-0.11</v>
      </c>
      <c r="I6785">
        <v>0.53</v>
      </c>
      <c r="J6785">
        <v>0.28089999999999998</v>
      </c>
      <c r="K6785" t="str">
        <f>IFERROR(INDEX(Rosters!$C$2:$C$155,MATCH($B6785,Rosters!$B$2:$B$155,0)),"NA")</f>
        <v>NA</v>
      </c>
      <c r="L6785" t="str">
        <f t="shared" si="315"/>
        <v>NA13RB</v>
      </c>
      <c r="M6785">
        <f>COUNTIF(L$1:L6785,L6785)</f>
        <v>78</v>
      </c>
      <c r="N6785" t="str">
        <f t="shared" si="316"/>
        <v>NA13RB-78</v>
      </c>
      <c r="O6785">
        <f>COUNTIFS(F$1:F6785,F6785,A$1:A6785,A6785)</f>
        <v>125</v>
      </c>
      <c r="P6785" t="str">
        <f t="shared" si="317"/>
        <v>Robert Turbin13</v>
      </c>
    </row>
    <row r="6786" spans="1:16" x14ac:dyDescent="0.25">
      <c r="A6786">
        <v>7</v>
      </c>
      <c r="B6786" t="s">
        <v>1600</v>
      </c>
      <c r="C6786">
        <f>-0.13-0.97</f>
        <v>-1.1000000000000001</v>
      </c>
      <c r="D6786">
        <v>0.42</v>
      </c>
      <c r="E6786" t="s">
        <v>36</v>
      </c>
      <c r="F6786" t="s">
        <v>47</v>
      </c>
      <c r="G6786">
        <v>0.97</v>
      </c>
      <c r="H6786">
        <v>-0.13</v>
      </c>
      <c r="I6786">
        <v>0.55000000000000004</v>
      </c>
      <c r="J6786">
        <v>0.30249999999999999</v>
      </c>
      <c r="K6786" t="str">
        <f>IFERROR(INDEX(Rosters!$C$2:$C$155,MATCH($B6786,Rosters!$B$2:$B$155,0)),"NA")</f>
        <v>NA</v>
      </c>
      <c r="L6786" t="str">
        <f t="shared" si="315"/>
        <v>NA7RB</v>
      </c>
      <c r="M6786">
        <f>COUNTIF(L$1:L6786,L6786)</f>
        <v>63</v>
      </c>
      <c r="N6786" t="str">
        <f t="shared" si="316"/>
        <v>NA7RB-63</v>
      </c>
      <c r="O6786">
        <f>COUNTIFS(F$1:F6786,F6786,A$1:A6786,A6786)</f>
        <v>104</v>
      </c>
      <c r="P6786" t="str">
        <f t="shared" si="317"/>
        <v>Tommy Bohanon7</v>
      </c>
    </row>
    <row r="6787" spans="1:16" x14ac:dyDescent="0.25">
      <c r="A6787">
        <v>1</v>
      </c>
      <c r="B6787" t="s">
        <v>1618</v>
      </c>
      <c r="C6787">
        <f>-0.22-1.06</f>
        <v>-1.28</v>
      </c>
      <c r="D6787">
        <v>0.42</v>
      </c>
      <c r="E6787" t="s">
        <v>42</v>
      </c>
      <c r="F6787" t="s">
        <v>47</v>
      </c>
      <c r="G6787">
        <v>1.06</v>
      </c>
      <c r="H6787">
        <v>-0.22</v>
      </c>
      <c r="I6787">
        <v>0.64</v>
      </c>
      <c r="J6787">
        <v>0.40960000000000002</v>
      </c>
      <c r="K6787" t="str">
        <f>IFERROR(INDEX(Rosters!$C$2:$C$155,MATCH($B6787,Rosters!$B$2:$B$155,0)),"NA")</f>
        <v>NA</v>
      </c>
      <c r="L6787" t="str">
        <f t="shared" ref="L6787:L6850" si="318">K6787&amp;A6787&amp;F6787</f>
        <v>NA1RB</v>
      </c>
      <c r="M6787">
        <f>COUNTIF(L$1:L6787,L6787)</f>
        <v>45</v>
      </c>
      <c r="N6787" t="str">
        <f t="shared" ref="N6787:N6850" si="319">L6787&amp;"-"&amp;M6787</f>
        <v>NA1RB-45</v>
      </c>
      <c r="O6787">
        <f>COUNTIFS(F$1:F6787,F6787,A$1:A6787,A6787)</f>
        <v>88</v>
      </c>
      <c r="P6787" t="str">
        <f t="shared" ref="P6787:P6850" si="320">B6787&amp;A6787</f>
        <v>Tre Madden1</v>
      </c>
    </row>
    <row r="6788" spans="1:16" x14ac:dyDescent="0.25">
      <c r="A6788">
        <v>7</v>
      </c>
      <c r="B6788" t="s">
        <v>1129</v>
      </c>
      <c r="C6788" t="s">
        <v>3537</v>
      </c>
      <c r="D6788">
        <v>0.41</v>
      </c>
      <c r="E6788" t="s">
        <v>52</v>
      </c>
      <c r="F6788" t="s">
        <v>114</v>
      </c>
      <c r="G6788">
        <v>0.82</v>
      </c>
      <c r="H6788">
        <v>0</v>
      </c>
      <c r="I6788">
        <v>0.41</v>
      </c>
      <c r="J6788">
        <v>0.1681</v>
      </c>
      <c r="K6788" t="str">
        <f>IFERROR(INDEX(Rosters!$C$2:$C$155,MATCH($B6788,Rosters!$B$2:$B$155,0)),"NA")</f>
        <v>NA</v>
      </c>
      <c r="L6788" t="str">
        <f t="shared" si="318"/>
        <v>NA7TE</v>
      </c>
      <c r="M6788">
        <f>COUNTIF(L$1:L6788,L6788)</f>
        <v>73</v>
      </c>
      <c r="N6788" t="str">
        <f t="shared" si="319"/>
        <v>NA7TE-73</v>
      </c>
      <c r="O6788">
        <f>COUNTIFS(F$1:F6788,F6788,A$1:A6788,A6788)</f>
        <v>83</v>
      </c>
      <c r="P6788" t="str">
        <f t="shared" si="320"/>
        <v>Alan Cross7</v>
      </c>
    </row>
    <row r="6789" spans="1:16" x14ac:dyDescent="0.25">
      <c r="A6789">
        <v>13</v>
      </c>
      <c r="B6789" t="s">
        <v>1129</v>
      </c>
      <c r="C6789">
        <f>-0.01-0.83</f>
        <v>-0.84</v>
      </c>
      <c r="D6789">
        <v>0.41</v>
      </c>
      <c r="E6789" t="s">
        <v>74</v>
      </c>
      <c r="F6789" t="s">
        <v>114</v>
      </c>
      <c r="G6789">
        <v>0.83</v>
      </c>
      <c r="H6789">
        <v>-0.01</v>
      </c>
      <c r="I6789">
        <v>0.42</v>
      </c>
      <c r="J6789">
        <v>0.1764</v>
      </c>
      <c r="K6789" t="str">
        <f>IFERROR(INDEX(Rosters!$C$2:$C$155,MATCH($B6789,Rosters!$B$2:$B$155,0)),"NA")</f>
        <v>NA</v>
      </c>
      <c r="L6789" t="str">
        <f t="shared" si="318"/>
        <v>NA13TE</v>
      </c>
      <c r="M6789">
        <f>COUNTIF(L$1:L6789,L6789)</f>
        <v>81</v>
      </c>
      <c r="N6789" t="str">
        <f t="shared" si="319"/>
        <v>NA13TE-81</v>
      </c>
      <c r="O6789">
        <f>COUNTIFS(F$1:F6789,F6789,A$1:A6789,A6789)</f>
        <v>95</v>
      </c>
      <c r="P6789" t="str">
        <f t="shared" si="320"/>
        <v>Alan Cross13</v>
      </c>
    </row>
    <row r="6790" spans="1:16" x14ac:dyDescent="0.25">
      <c r="A6790">
        <v>17</v>
      </c>
      <c r="B6790" t="s">
        <v>1129</v>
      </c>
      <c r="C6790" t="s">
        <v>3537</v>
      </c>
      <c r="D6790">
        <v>0.41</v>
      </c>
      <c r="E6790" t="s">
        <v>46</v>
      </c>
      <c r="F6790" t="s">
        <v>114</v>
      </c>
      <c r="G6790">
        <v>0.82</v>
      </c>
      <c r="H6790">
        <v>0</v>
      </c>
      <c r="I6790">
        <v>0.41</v>
      </c>
      <c r="J6790">
        <v>0.1681</v>
      </c>
      <c r="K6790" t="str">
        <f>IFERROR(INDEX(Rosters!$C$2:$C$155,MATCH($B6790,Rosters!$B$2:$B$155,0)),"NA")</f>
        <v>NA</v>
      </c>
      <c r="L6790" t="str">
        <f t="shared" si="318"/>
        <v>NA17TE</v>
      </c>
      <c r="M6790">
        <f>COUNTIF(L$1:L6790,L6790)</f>
        <v>81</v>
      </c>
      <c r="N6790" t="str">
        <f t="shared" si="319"/>
        <v>NA17TE-81</v>
      </c>
      <c r="O6790">
        <f>COUNTIFS(F$1:F6790,F6790,A$1:A6790,A6790)</f>
        <v>95</v>
      </c>
      <c r="P6790" t="str">
        <f t="shared" si="320"/>
        <v>Alan Cross17</v>
      </c>
    </row>
    <row r="6791" spans="1:16" x14ac:dyDescent="0.25">
      <c r="A6791">
        <v>13</v>
      </c>
      <c r="B6791" t="s">
        <v>346</v>
      </c>
      <c r="C6791">
        <f>-0.1-0.92</f>
        <v>-1.02</v>
      </c>
      <c r="D6791">
        <v>0.41</v>
      </c>
      <c r="E6791" t="s">
        <v>42</v>
      </c>
      <c r="F6791" t="s">
        <v>87</v>
      </c>
      <c r="G6791">
        <v>0.92</v>
      </c>
      <c r="H6791">
        <v>-0.1</v>
      </c>
      <c r="I6791">
        <v>0.51</v>
      </c>
      <c r="J6791">
        <v>0.2601</v>
      </c>
      <c r="K6791" t="str">
        <f>IFERROR(INDEX(Rosters!$C$2:$C$155,MATCH($B6791,Rosters!$B$2:$B$155,0)),"NA")</f>
        <v>NA</v>
      </c>
      <c r="L6791" t="str">
        <f t="shared" si="318"/>
        <v>NA13WR</v>
      </c>
      <c r="M6791">
        <f>COUNTIF(L$1:L6791,L6791)</f>
        <v>118</v>
      </c>
      <c r="N6791" t="str">
        <f t="shared" si="319"/>
        <v>NA13WR-118</v>
      </c>
      <c r="O6791">
        <f>COUNTIFS(F$1:F6791,F6791,A$1:A6791,A6791)</f>
        <v>172</v>
      </c>
      <c r="P6791" t="str">
        <f t="shared" si="320"/>
        <v>Alex Erickson13</v>
      </c>
    </row>
    <row r="6792" spans="1:16" x14ac:dyDescent="0.25">
      <c r="A6792">
        <v>7</v>
      </c>
      <c r="B6792" t="s">
        <v>276</v>
      </c>
      <c r="C6792">
        <f>-0.02-0.84</f>
        <v>-0.86</v>
      </c>
      <c r="D6792">
        <v>0.41</v>
      </c>
      <c r="E6792" t="s">
        <v>66</v>
      </c>
      <c r="F6792" t="s">
        <v>87</v>
      </c>
      <c r="G6792">
        <v>0.84</v>
      </c>
      <c r="H6792">
        <v>-0.02</v>
      </c>
      <c r="I6792">
        <v>0.43</v>
      </c>
      <c r="J6792">
        <v>0.18490000000000001</v>
      </c>
      <c r="K6792" t="str">
        <f>IFERROR(INDEX(Rosters!$C$2:$C$155,MATCH($B6792,Rosters!$B$2:$B$155,0)),"NA")</f>
        <v>NA</v>
      </c>
      <c r="L6792" t="str">
        <f t="shared" si="318"/>
        <v>NA7WR</v>
      </c>
      <c r="M6792">
        <f>COUNTIF(L$1:L6792,L6792)</f>
        <v>102</v>
      </c>
      <c r="N6792" t="str">
        <f t="shared" si="319"/>
        <v>NA7WR-102</v>
      </c>
      <c r="O6792">
        <f>COUNTIFS(F$1:F6792,F6792,A$1:A6792,A6792)</f>
        <v>147</v>
      </c>
      <c r="P6792" t="str">
        <f t="shared" si="320"/>
        <v>Andre Holmes7</v>
      </c>
    </row>
    <row r="6793" spans="1:16" x14ac:dyDescent="0.25">
      <c r="A6793">
        <v>10</v>
      </c>
      <c r="B6793" t="s">
        <v>276</v>
      </c>
      <c r="C6793">
        <f>-0.07-0.89</f>
        <v>-0.96</v>
      </c>
      <c r="D6793">
        <v>0.41</v>
      </c>
      <c r="E6793" t="s">
        <v>73</v>
      </c>
      <c r="F6793" t="s">
        <v>87</v>
      </c>
      <c r="G6793">
        <v>0.89</v>
      </c>
      <c r="H6793">
        <v>-7.0000000000000007E-2</v>
      </c>
      <c r="I6793">
        <v>0.48</v>
      </c>
      <c r="J6793">
        <v>0.23039999999999999</v>
      </c>
      <c r="K6793" t="str">
        <f>IFERROR(INDEX(Rosters!$C$2:$C$155,MATCH($B6793,Rosters!$B$2:$B$155,0)),"NA")</f>
        <v>NA</v>
      </c>
      <c r="L6793" t="str">
        <f t="shared" si="318"/>
        <v>NA10WR</v>
      </c>
      <c r="M6793">
        <f>COUNTIF(L$1:L6793,L6793)</f>
        <v>107</v>
      </c>
      <c r="N6793" t="str">
        <f t="shared" si="319"/>
        <v>NA10WR-107</v>
      </c>
      <c r="O6793">
        <f>COUNTIFS(F$1:F6793,F6793,A$1:A6793,A6793)</f>
        <v>152</v>
      </c>
      <c r="P6793" t="str">
        <f t="shared" si="320"/>
        <v>Andre Holmes10</v>
      </c>
    </row>
    <row r="6794" spans="1:16" x14ac:dyDescent="0.25">
      <c r="A6794">
        <v>1</v>
      </c>
      <c r="B6794" t="s">
        <v>385</v>
      </c>
      <c r="C6794" t="s">
        <v>1102</v>
      </c>
      <c r="D6794">
        <v>0.41</v>
      </c>
      <c r="E6794" t="s">
        <v>37</v>
      </c>
      <c r="F6794" t="s">
        <v>47</v>
      </c>
      <c r="G6794">
        <v>0.78</v>
      </c>
      <c r="H6794">
        <v>0.04</v>
      </c>
      <c r="I6794">
        <v>0.37</v>
      </c>
      <c r="J6794">
        <v>0.13689999999999999</v>
      </c>
      <c r="K6794" t="str">
        <f>IFERROR(INDEX(Rosters!$C$2:$C$155,MATCH($B6794,Rosters!$B$2:$B$155,0)),"NA")</f>
        <v>NA</v>
      </c>
      <c r="L6794" t="str">
        <f t="shared" si="318"/>
        <v>NA1RB</v>
      </c>
      <c r="M6794">
        <f>COUNTIF(L$1:L6794,L6794)</f>
        <v>46</v>
      </c>
      <c r="N6794" t="str">
        <f t="shared" si="319"/>
        <v>NA1RB-46</v>
      </c>
      <c r="O6794">
        <f>COUNTIFS(F$1:F6794,F6794,A$1:A6794,A6794)</f>
        <v>89</v>
      </c>
      <c r="P6794" t="str">
        <f t="shared" si="320"/>
        <v>Anthony Sherman1</v>
      </c>
    </row>
    <row r="6795" spans="1:16" x14ac:dyDescent="0.25">
      <c r="A6795">
        <v>9</v>
      </c>
      <c r="B6795" t="s">
        <v>2274</v>
      </c>
      <c r="C6795">
        <f>-0.05-0.87</f>
        <v>-0.92</v>
      </c>
      <c r="D6795">
        <v>0.41</v>
      </c>
      <c r="E6795" t="s">
        <v>73</v>
      </c>
      <c r="F6795" t="s">
        <v>47</v>
      </c>
      <c r="G6795">
        <v>0.87</v>
      </c>
      <c r="H6795">
        <v>-0.05</v>
      </c>
      <c r="I6795">
        <v>0.46</v>
      </c>
      <c r="J6795">
        <v>0.21160000000000001</v>
      </c>
      <c r="K6795" t="str">
        <f>IFERROR(INDEX(Rosters!$C$2:$C$155,MATCH($B6795,Rosters!$B$2:$B$155,0)),"NA")</f>
        <v>NA</v>
      </c>
      <c r="L6795" t="str">
        <f t="shared" si="318"/>
        <v>NA9RB</v>
      </c>
      <c r="M6795">
        <f>COUNTIF(L$1:L6795,L6795)</f>
        <v>59</v>
      </c>
      <c r="N6795" t="str">
        <f t="shared" si="319"/>
        <v>NA9RB-59</v>
      </c>
      <c r="O6795">
        <f>COUNTIFS(F$1:F6795,F6795,A$1:A6795,A6795)</f>
        <v>99</v>
      </c>
      <c r="P6795" t="str">
        <f t="shared" si="320"/>
        <v>Brandon Bolden9</v>
      </c>
    </row>
    <row r="6796" spans="1:16" x14ac:dyDescent="0.25">
      <c r="A6796">
        <v>16</v>
      </c>
      <c r="B6796" t="s">
        <v>2274</v>
      </c>
      <c r="C6796">
        <f>-0.11-0.93</f>
        <v>-1.04</v>
      </c>
      <c r="D6796">
        <v>0.41</v>
      </c>
      <c r="E6796" t="s">
        <v>76</v>
      </c>
      <c r="F6796" t="s">
        <v>47</v>
      </c>
      <c r="G6796">
        <v>0.93</v>
      </c>
      <c r="H6796">
        <v>-0.11</v>
      </c>
      <c r="I6796">
        <v>0.52</v>
      </c>
      <c r="J6796">
        <v>0.27039999999999997</v>
      </c>
      <c r="K6796" t="str">
        <f>IFERROR(INDEX(Rosters!$C$2:$C$155,MATCH($B6796,Rosters!$B$2:$B$155,0)),"NA")</f>
        <v>NA</v>
      </c>
      <c r="L6796" t="str">
        <f t="shared" si="318"/>
        <v>NA16RB</v>
      </c>
      <c r="M6796">
        <f>COUNTIF(L$1:L6796,L6796)</f>
        <v>77</v>
      </c>
      <c r="N6796" t="str">
        <f t="shared" si="319"/>
        <v>NA16RB-77</v>
      </c>
      <c r="O6796">
        <f>COUNTIFS(F$1:F6796,F6796,A$1:A6796,A6796)</f>
        <v>124</v>
      </c>
      <c r="P6796" t="str">
        <f t="shared" si="320"/>
        <v>Brandon Bolden16</v>
      </c>
    </row>
    <row r="6797" spans="1:16" x14ac:dyDescent="0.25">
      <c r="A6797">
        <v>15</v>
      </c>
      <c r="B6797" t="s">
        <v>1549</v>
      </c>
      <c r="C6797">
        <f>-0.03-0.85</f>
        <v>-0.88</v>
      </c>
      <c r="D6797">
        <v>0.41</v>
      </c>
      <c r="E6797" t="s">
        <v>19</v>
      </c>
      <c r="F6797" t="s">
        <v>47</v>
      </c>
      <c r="G6797">
        <v>0.85</v>
      </c>
      <c r="H6797">
        <v>-0.03</v>
      </c>
      <c r="I6797">
        <v>0.44</v>
      </c>
      <c r="J6797">
        <v>0.19359999999999999</v>
      </c>
      <c r="K6797" t="str">
        <f>IFERROR(INDEX(Rosters!$C$2:$C$155,MATCH($B6797,Rosters!$B$2:$B$155,0)),"NA")</f>
        <v>NA</v>
      </c>
      <c r="L6797" t="str">
        <f t="shared" si="318"/>
        <v>NA15RB</v>
      </c>
      <c r="M6797">
        <f>COUNTIF(L$1:L6797,L6797)</f>
        <v>78</v>
      </c>
      <c r="N6797" t="str">
        <f t="shared" si="319"/>
        <v>NA15RB-78</v>
      </c>
      <c r="O6797">
        <f>COUNTIFS(F$1:F6797,F6797,A$1:A6797,A6797)</f>
        <v>125</v>
      </c>
      <c r="P6797" t="str">
        <f t="shared" si="320"/>
        <v>C.J. Ham15</v>
      </c>
    </row>
    <row r="6798" spans="1:16" x14ac:dyDescent="0.25">
      <c r="A6798">
        <v>14</v>
      </c>
      <c r="B6798" t="s">
        <v>4221</v>
      </c>
      <c r="C6798">
        <f>-0.08-0.9</f>
        <v>-0.98</v>
      </c>
      <c r="D6798">
        <v>0.41</v>
      </c>
      <c r="E6798" t="s">
        <v>29</v>
      </c>
      <c r="F6798" t="s">
        <v>114</v>
      </c>
      <c r="G6798">
        <v>0.9</v>
      </c>
      <c r="H6798">
        <v>-0.08</v>
      </c>
      <c r="I6798">
        <v>0.49</v>
      </c>
      <c r="J6798">
        <v>0.24010000000000001</v>
      </c>
      <c r="K6798" t="str">
        <f>IFERROR(INDEX(Rosters!$C$2:$C$155,MATCH($B6798,Rosters!$B$2:$B$155,0)),"NA")</f>
        <v>NA</v>
      </c>
      <c r="L6798" t="str">
        <f t="shared" si="318"/>
        <v>NA14TE</v>
      </c>
      <c r="M6798">
        <f>COUNTIF(L$1:L6798,L6798)</f>
        <v>83</v>
      </c>
      <c r="N6798" t="str">
        <f t="shared" si="319"/>
        <v>NA14TE-83</v>
      </c>
      <c r="O6798">
        <f>COUNTIFS(F$1:F6798,F6798,A$1:A6798,A6798)</f>
        <v>97</v>
      </c>
      <c r="P6798" t="str">
        <f t="shared" si="320"/>
        <v>Chris Herndon14</v>
      </c>
    </row>
    <row r="6799" spans="1:16" x14ac:dyDescent="0.25">
      <c r="A6799">
        <v>13</v>
      </c>
      <c r="B6799" t="s">
        <v>330</v>
      </c>
      <c r="C6799">
        <f>-0.07-0.89</f>
        <v>-0.96</v>
      </c>
      <c r="D6799">
        <v>0.41</v>
      </c>
      <c r="E6799" t="s">
        <v>17</v>
      </c>
      <c r="F6799" t="s">
        <v>114</v>
      </c>
      <c r="G6799">
        <v>0.89</v>
      </c>
      <c r="H6799">
        <v>-7.0000000000000007E-2</v>
      </c>
      <c r="I6799">
        <v>0.48</v>
      </c>
      <c r="J6799">
        <v>0.23039999999999999</v>
      </c>
      <c r="K6799" t="str">
        <f>IFERROR(INDEX(Rosters!$C$2:$C$155,MATCH($B6799,Rosters!$B$2:$B$155,0)),"NA")</f>
        <v>NA</v>
      </c>
      <c r="L6799" t="str">
        <f t="shared" si="318"/>
        <v>NA13TE</v>
      </c>
      <c r="M6799">
        <f>COUNTIF(L$1:L6799,L6799)</f>
        <v>82</v>
      </c>
      <c r="N6799" t="str">
        <f t="shared" si="319"/>
        <v>NA13TE-82</v>
      </c>
      <c r="O6799">
        <f>COUNTIFS(F$1:F6799,F6799,A$1:A6799,A6799)</f>
        <v>96</v>
      </c>
      <c r="P6799" t="str">
        <f t="shared" si="320"/>
        <v>Chris Manhertz13</v>
      </c>
    </row>
    <row r="6800" spans="1:16" x14ac:dyDescent="0.25">
      <c r="A6800">
        <v>6</v>
      </c>
      <c r="B6800" t="s">
        <v>341</v>
      </c>
      <c r="C6800">
        <f>-0.01-0.83</f>
        <v>-0.84</v>
      </c>
      <c r="D6800">
        <v>0.41</v>
      </c>
      <c r="E6800" t="s">
        <v>423</v>
      </c>
      <c r="F6800" t="s">
        <v>87</v>
      </c>
      <c r="G6800">
        <v>0.83</v>
      </c>
      <c r="H6800">
        <v>-0.01</v>
      </c>
      <c r="I6800">
        <v>0.42</v>
      </c>
      <c r="J6800">
        <v>0.1764</v>
      </c>
      <c r="K6800" t="str">
        <f>IFERROR(INDEX(Rosters!$C$2:$C$155,MATCH($B6800,Rosters!$B$2:$B$155,0)),"NA")</f>
        <v>NA</v>
      </c>
      <c r="L6800" t="str">
        <f t="shared" si="318"/>
        <v>NA6WR</v>
      </c>
      <c r="M6800">
        <f>COUNTIF(L$1:L6800,L6800)</f>
        <v>111</v>
      </c>
      <c r="N6800" t="str">
        <f t="shared" si="319"/>
        <v>NA6WR-111</v>
      </c>
      <c r="O6800">
        <f>COUNTIFS(F$1:F6800,F6800,A$1:A6800,A6800)</f>
        <v>161</v>
      </c>
      <c r="P6800" t="str">
        <f t="shared" si="320"/>
        <v>Demarcus Robinson6</v>
      </c>
    </row>
    <row r="6801" spans="1:16" x14ac:dyDescent="0.25">
      <c r="A6801">
        <v>7</v>
      </c>
      <c r="B6801" t="s">
        <v>341</v>
      </c>
      <c r="C6801">
        <f>-0.01-0.83</f>
        <v>-0.84</v>
      </c>
      <c r="D6801">
        <v>0.41</v>
      </c>
      <c r="E6801" t="s">
        <v>31</v>
      </c>
      <c r="F6801" t="s">
        <v>87</v>
      </c>
      <c r="G6801">
        <v>0.83</v>
      </c>
      <c r="H6801">
        <v>-0.01</v>
      </c>
      <c r="I6801">
        <v>0.42</v>
      </c>
      <c r="J6801">
        <v>0.1764</v>
      </c>
      <c r="K6801" t="str">
        <f>IFERROR(INDEX(Rosters!$C$2:$C$155,MATCH($B6801,Rosters!$B$2:$B$155,0)),"NA")</f>
        <v>NA</v>
      </c>
      <c r="L6801" t="str">
        <f t="shared" si="318"/>
        <v>NA7WR</v>
      </c>
      <c r="M6801">
        <f>COUNTIF(L$1:L6801,L6801)</f>
        <v>103</v>
      </c>
      <c r="N6801" t="str">
        <f t="shared" si="319"/>
        <v>NA7WR-103</v>
      </c>
      <c r="O6801">
        <f>COUNTIFS(F$1:F6801,F6801,A$1:A6801,A6801)</f>
        <v>148</v>
      </c>
      <c r="P6801" t="str">
        <f t="shared" si="320"/>
        <v>Demarcus Robinson7</v>
      </c>
    </row>
    <row r="6802" spans="1:16" x14ac:dyDescent="0.25">
      <c r="A6802">
        <v>9</v>
      </c>
      <c r="B6802" t="s">
        <v>8907</v>
      </c>
      <c r="C6802">
        <f>-0.11-0.93</f>
        <v>-1.04</v>
      </c>
      <c r="D6802">
        <v>0.41</v>
      </c>
      <c r="E6802" t="s">
        <v>73</v>
      </c>
      <c r="F6802" t="s">
        <v>114</v>
      </c>
      <c r="G6802">
        <v>0.93</v>
      </c>
      <c r="H6802">
        <v>-0.11</v>
      </c>
      <c r="I6802">
        <v>0.52</v>
      </c>
      <c r="J6802">
        <v>0.27039999999999997</v>
      </c>
      <c r="K6802" t="str">
        <f>IFERROR(INDEX(Rosters!$C$2:$C$155,MATCH($B6802,Rosters!$B$2:$B$155,0)),"NA")</f>
        <v>NA</v>
      </c>
      <c r="L6802" t="str">
        <f t="shared" si="318"/>
        <v>NA9TE</v>
      </c>
      <c r="M6802">
        <f>COUNTIF(L$1:L6802,L6802)</f>
        <v>66</v>
      </c>
      <c r="N6802" t="str">
        <f t="shared" si="319"/>
        <v>NA9TE-66</v>
      </c>
      <c r="O6802">
        <f>COUNTIFS(F$1:F6802,F6802,A$1:A6802,A6802)</f>
        <v>77</v>
      </c>
      <c r="P6802" t="str">
        <f t="shared" si="320"/>
        <v>Durham Smythe9</v>
      </c>
    </row>
    <row r="6803" spans="1:16" x14ac:dyDescent="0.25">
      <c r="A6803">
        <v>11</v>
      </c>
      <c r="B6803" t="s">
        <v>1127</v>
      </c>
      <c r="C6803">
        <f>-0.06-0.88</f>
        <v>-0.94</v>
      </c>
      <c r="D6803">
        <v>0.41</v>
      </c>
      <c r="E6803" t="s">
        <v>58</v>
      </c>
      <c r="F6803" t="s">
        <v>87</v>
      </c>
      <c r="G6803">
        <v>0.88</v>
      </c>
      <c r="H6803">
        <v>-0.06</v>
      </c>
      <c r="I6803">
        <v>0.47</v>
      </c>
      <c r="J6803">
        <v>0.22090000000000001</v>
      </c>
      <c r="K6803" t="str">
        <f>IFERROR(INDEX(Rosters!$C$2:$C$155,MATCH($B6803,Rosters!$B$2:$B$155,0)),"NA")</f>
        <v>NA</v>
      </c>
      <c r="L6803" t="str">
        <f t="shared" si="318"/>
        <v>NA11WR</v>
      </c>
      <c r="M6803">
        <f>COUNTIF(L$1:L6803,L6803)</f>
        <v>93</v>
      </c>
      <c r="N6803" t="str">
        <f t="shared" si="319"/>
        <v>NA11WR-93</v>
      </c>
      <c r="O6803">
        <f>COUNTIFS(F$1:F6803,F6803,A$1:A6803,A6803)</f>
        <v>140</v>
      </c>
      <c r="P6803" t="str">
        <f t="shared" si="320"/>
        <v>Dwayne Harris11</v>
      </c>
    </row>
    <row r="6804" spans="1:16" x14ac:dyDescent="0.25">
      <c r="A6804">
        <v>8</v>
      </c>
      <c r="B6804" t="s">
        <v>1607</v>
      </c>
      <c r="C6804" t="s">
        <v>8927</v>
      </c>
      <c r="D6804">
        <v>0.41</v>
      </c>
      <c r="E6804" t="s">
        <v>28</v>
      </c>
      <c r="F6804" t="s">
        <v>114</v>
      </c>
      <c r="G6804">
        <v>0.8</v>
      </c>
      <c r="H6804">
        <v>0.02</v>
      </c>
      <c r="I6804">
        <v>0.39</v>
      </c>
      <c r="J6804">
        <v>0.15210000000000001</v>
      </c>
      <c r="K6804" t="str">
        <f>IFERROR(INDEX(Rosters!$C$2:$C$155,MATCH($B6804,Rosters!$B$2:$B$155,0)),"NA")</f>
        <v>NA</v>
      </c>
      <c r="L6804" t="str">
        <f t="shared" si="318"/>
        <v>NA8TE</v>
      </c>
      <c r="M6804">
        <f>COUNTIF(L$1:L6804,L6804)</f>
        <v>72</v>
      </c>
      <c r="N6804" t="str">
        <f t="shared" si="319"/>
        <v>NA8TE-72</v>
      </c>
      <c r="O6804">
        <f>COUNTIFS(F$1:F6804,F6804,A$1:A6804,A6804)</f>
        <v>84</v>
      </c>
      <c r="P6804" t="str">
        <f t="shared" si="320"/>
        <v>Hakeem Valles8</v>
      </c>
    </row>
    <row r="6805" spans="1:16" x14ac:dyDescent="0.25">
      <c r="A6805">
        <v>12</v>
      </c>
      <c r="B6805" t="s">
        <v>1625</v>
      </c>
      <c r="C6805" t="s">
        <v>4741</v>
      </c>
      <c r="D6805">
        <v>0.41</v>
      </c>
      <c r="E6805" t="s">
        <v>73</v>
      </c>
      <c r="F6805" t="s">
        <v>114</v>
      </c>
      <c r="G6805">
        <v>0.79</v>
      </c>
      <c r="H6805">
        <v>0.03</v>
      </c>
      <c r="I6805">
        <v>0.38</v>
      </c>
      <c r="J6805">
        <v>0.1444</v>
      </c>
      <c r="K6805" t="str">
        <f>IFERROR(INDEX(Rosters!$C$2:$C$155,MATCH($B6805,Rosters!$B$2:$B$155,0)),"NA")</f>
        <v>NA</v>
      </c>
      <c r="L6805" t="str">
        <f t="shared" si="318"/>
        <v>NA12TE</v>
      </c>
      <c r="M6805">
        <f>COUNTIF(L$1:L6805,L6805)</f>
        <v>78</v>
      </c>
      <c r="N6805" t="str">
        <f t="shared" si="319"/>
        <v>NA12TE-78</v>
      </c>
      <c r="O6805">
        <f>COUNTIFS(F$1:F6805,F6805,A$1:A6805,A6805)</f>
        <v>91</v>
      </c>
      <c r="P6805" t="str">
        <f t="shared" si="320"/>
        <v>Jacob Hollister12</v>
      </c>
    </row>
    <row r="6806" spans="1:16" x14ac:dyDescent="0.25">
      <c r="A6806">
        <v>14</v>
      </c>
      <c r="B6806" t="s">
        <v>1625</v>
      </c>
      <c r="C6806" t="s">
        <v>8927</v>
      </c>
      <c r="D6806">
        <v>0.41</v>
      </c>
      <c r="E6806" t="s">
        <v>19</v>
      </c>
      <c r="F6806" t="s">
        <v>114</v>
      </c>
      <c r="G6806">
        <v>0.8</v>
      </c>
      <c r="H6806">
        <v>0.02</v>
      </c>
      <c r="I6806">
        <v>0.39</v>
      </c>
      <c r="J6806">
        <v>0.15210000000000001</v>
      </c>
      <c r="K6806" t="str">
        <f>IFERROR(INDEX(Rosters!$C$2:$C$155,MATCH($B6806,Rosters!$B$2:$B$155,0)),"NA")</f>
        <v>NA</v>
      </c>
      <c r="L6806" t="str">
        <f t="shared" si="318"/>
        <v>NA14TE</v>
      </c>
      <c r="M6806">
        <f>COUNTIF(L$1:L6806,L6806)</f>
        <v>84</v>
      </c>
      <c r="N6806" t="str">
        <f t="shared" si="319"/>
        <v>NA14TE-84</v>
      </c>
      <c r="O6806">
        <f>COUNTIFS(F$1:F6806,F6806,A$1:A6806,A6806)</f>
        <v>98</v>
      </c>
      <c r="P6806" t="str">
        <f t="shared" si="320"/>
        <v>Jacob Hollister14</v>
      </c>
    </row>
    <row r="6807" spans="1:16" x14ac:dyDescent="0.25">
      <c r="A6807">
        <v>10</v>
      </c>
      <c r="B6807" t="s">
        <v>4264</v>
      </c>
      <c r="C6807">
        <f>-0.04-0.86</f>
        <v>-0.9</v>
      </c>
      <c r="D6807">
        <v>0.41</v>
      </c>
      <c r="E6807" t="s">
        <v>28</v>
      </c>
      <c r="F6807" t="s">
        <v>87</v>
      </c>
      <c r="G6807">
        <v>0.86</v>
      </c>
      <c r="H6807">
        <v>-0.04</v>
      </c>
      <c r="I6807">
        <v>0.45</v>
      </c>
      <c r="J6807">
        <v>0.20250000000000001</v>
      </c>
      <c r="K6807" t="str">
        <f>IFERROR(INDEX(Rosters!$C$2:$C$155,MATCH($B6807,Rosters!$B$2:$B$155,0)),"NA")</f>
        <v>NA</v>
      </c>
      <c r="L6807" t="str">
        <f t="shared" si="318"/>
        <v>NA10WR</v>
      </c>
      <c r="M6807">
        <f>COUNTIF(L$1:L6807,L6807)</f>
        <v>108</v>
      </c>
      <c r="N6807" t="str">
        <f t="shared" si="319"/>
        <v>NA10WR-108</v>
      </c>
      <c r="O6807">
        <f>COUNTIFS(F$1:F6807,F6807,A$1:A6807,A6807)</f>
        <v>153</v>
      </c>
      <c r="P6807" t="str">
        <f t="shared" si="320"/>
        <v>JoJo Natson10</v>
      </c>
    </row>
    <row r="6808" spans="1:16" x14ac:dyDescent="0.25">
      <c r="A6808">
        <v>16</v>
      </c>
      <c r="B6808" t="s">
        <v>1593</v>
      </c>
      <c r="C6808">
        <f>-0.22-1.04</f>
        <v>-1.26</v>
      </c>
      <c r="D6808">
        <v>0.41</v>
      </c>
      <c r="E6808" t="s">
        <v>58</v>
      </c>
      <c r="F6808" t="s">
        <v>87</v>
      </c>
      <c r="G6808">
        <v>1.04</v>
      </c>
      <c r="H6808">
        <v>-0.22</v>
      </c>
      <c r="I6808">
        <v>0.63</v>
      </c>
      <c r="J6808">
        <v>0.39689999999999998</v>
      </c>
      <c r="K6808" t="str">
        <f>IFERROR(INDEX(Rosters!$C$2:$C$155,MATCH($B6808,Rosters!$B$2:$B$155,0)),"NA")</f>
        <v>NA</v>
      </c>
      <c r="L6808" t="str">
        <f t="shared" si="318"/>
        <v>NA16WR</v>
      </c>
      <c r="M6808">
        <f>COUNTIF(L$1:L6808,L6808)</f>
        <v>119</v>
      </c>
      <c r="N6808" t="str">
        <f t="shared" si="319"/>
        <v>NA16WR-119</v>
      </c>
      <c r="O6808">
        <f>COUNTIFS(F$1:F6808,F6808,A$1:A6808,A6808)</f>
        <v>173</v>
      </c>
      <c r="P6808" t="str">
        <f t="shared" si="320"/>
        <v>Josh Reynolds16</v>
      </c>
    </row>
    <row r="6809" spans="1:16" x14ac:dyDescent="0.25">
      <c r="A6809">
        <v>14</v>
      </c>
      <c r="B6809" t="s">
        <v>368</v>
      </c>
      <c r="C6809">
        <f>-0.01-0.83</f>
        <v>-0.84</v>
      </c>
      <c r="D6809">
        <v>0.41</v>
      </c>
      <c r="E6809" t="s">
        <v>51</v>
      </c>
      <c r="F6809" t="s">
        <v>47</v>
      </c>
      <c r="G6809">
        <v>0.83</v>
      </c>
      <c r="H6809">
        <v>-0.01</v>
      </c>
      <c r="I6809">
        <v>0.42</v>
      </c>
      <c r="J6809">
        <v>0.1764</v>
      </c>
      <c r="K6809" t="str">
        <f>IFERROR(INDEX(Rosters!$C$2:$C$155,MATCH($B6809,Rosters!$B$2:$B$155,0)),"NA")</f>
        <v>NA</v>
      </c>
      <c r="L6809" t="str">
        <f t="shared" si="318"/>
        <v>NA14RB</v>
      </c>
      <c r="M6809">
        <f>COUNTIF(L$1:L6809,L6809)</f>
        <v>75</v>
      </c>
      <c r="N6809" t="str">
        <f t="shared" si="319"/>
        <v>NA14RB-75</v>
      </c>
      <c r="O6809">
        <f>COUNTIFS(F$1:F6809,F6809,A$1:A6809,A6809)</f>
        <v>122</v>
      </c>
      <c r="P6809" t="str">
        <f t="shared" si="320"/>
        <v>Keith Smith14</v>
      </c>
    </row>
    <row r="6810" spans="1:16" x14ac:dyDescent="0.25">
      <c r="A6810">
        <v>1</v>
      </c>
      <c r="B6810" t="s">
        <v>315</v>
      </c>
      <c r="C6810">
        <f>-0.06-0.88</f>
        <v>-0.94</v>
      </c>
      <c r="D6810">
        <v>0.41</v>
      </c>
      <c r="E6810" t="s">
        <v>19</v>
      </c>
      <c r="F6810" t="s">
        <v>114</v>
      </c>
      <c r="G6810">
        <v>0.88</v>
      </c>
      <c r="H6810">
        <v>-0.06</v>
      </c>
      <c r="I6810">
        <v>0.47</v>
      </c>
      <c r="J6810">
        <v>0.22090000000000001</v>
      </c>
      <c r="K6810" t="str">
        <f>IFERROR(INDEX(Rosters!$C$2:$C$155,MATCH($B6810,Rosters!$B$2:$B$155,0)),"NA")</f>
        <v>NA</v>
      </c>
      <c r="L6810" t="str">
        <f t="shared" si="318"/>
        <v>NA1TE</v>
      </c>
      <c r="M6810">
        <f>COUNTIF(L$1:L6810,L6810)</f>
        <v>58</v>
      </c>
      <c r="N6810" t="str">
        <f t="shared" si="319"/>
        <v>NA1TE-58</v>
      </c>
      <c r="O6810">
        <f>COUNTIFS(F$1:F6810,F6810,A$1:A6810,A6810)</f>
        <v>71</v>
      </c>
      <c r="P6810" t="str">
        <f t="shared" si="320"/>
        <v>Luke Stocker1</v>
      </c>
    </row>
    <row r="6811" spans="1:16" x14ac:dyDescent="0.25">
      <c r="A6811">
        <v>13</v>
      </c>
      <c r="B6811" t="s">
        <v>288</v>
      </c>
      <c r="C6811">
        <f>-0.03-0.85</f>
        <v>-0.88</v>
      </c>
      <c r="D6811">
        <v>0.41</v>
      </c>
      <c r="E6811" t="s">
        <v>58</v>
      </c>
      <c r="F6811" t="s">
        <v>114</v>
      </c>
      <c r="G6811">
        <v>0.85</v>
      </c>
      <c r="H6811">
        <v>-0.03</v>
      </c>
      <c r="I6811">
        <v>0.44</v>
      </c>
      <c r="J6811">
        <v>0.19359999999999999</v>
      </c>
      <c r="K6811" t="str">
        <f>IFERROR(INDEX(Rosters!$C$2:$C$155,MATCH($B6811,Rosters!$B$2:$B$155,0)),"NA")</f>
        <v>NA</v>
      </c>
      <c r="L6811" t="str">
        <f t="shared" si="318"/>
        <v>NA13TE</v>
      </c>
      <c r="M6811">
        <f>COUNTIF(L$1:L6811,L6811)</f>
        <v>83</v>
      </c>
      <c r="N6811" t="str">
        <f t="shared" si="319"/>
        <v>NA13TE-83</v>
      </c>
      <c r="O6811">
        <f>COUNTIFS(F$1:F6811,F6811,A$1:A6811,A6811)</f>
        <v>97</v>
      </c>
      <c r="P6811" t="str">
        <f t="shared" si="320"/>
        <v>Marcedes Lewis13</v>
      </c>
    </row>
    <row r="6812" spans="1:16" x14ac:dyDescent="0.25">
      <c r="A6812">
        <v>15</v>
      </c>
      <c r="B6812" t="s">
        <v>288</v>
      </c>
      <c r="C6812">
        <f>-0.05-0.87</f>
        <v>-0.92</v>
      </c>
      <c r="D6812">
        <v>0.41</v>
      </c>
      <c r="E6812" t="s">
        <v>72</v>
      </c>
      <c r="F6812" t="s">
        <v>114</v>
      </c>
      <c r="G6812">
        <v>0.87</v>
      </c>
      <c r="H6812">
        <v>-0.05</v>
      </c>
      <c r="I6812">
        <v>0.46</v>
      </c>
      <c r="J6812">
        <v>0.21160000000000001</v>
      </c>
      <c r="K6812" t="str">
        <f>IFERROR(INDEX(Rosters!$C$2:$C$155,MATCH($B6812,Rosters!$B$2:$B$155,0)),"NA")</f>
        <v>NA</v>
      </c>
      <c r="L6812" t="str">
        <f t="shared" si="318"/>
        <v>NA15TE</v>
      </c>
      <c r="M6812">
        <f>COUNTIF(L$1:L6812,L6812)</f>
        <v>80</v>
      </c>
      <c r="N6812" t="str">
        <f t="shared" si="319"/>
        <v>NA15TE-80</v>
      </c>
      <c r="O6812">
        <f>COUNTIFS(F$1:F6812,F6812,A$1:A6812,A6812)</f>
        <v>94</v>
      </c>
      <c r="P6812" t="str">
        <f t="shared" si="320"/>
        <v>Marcedes Lewis15</v>
      </c>
    </row>
    <row r="6813" spans="1:16" x14ac:dyDescent="0.25">
      <c r="A6813">
        <v>2</v>
      </c>
      <c r="B6813" t="s">
        <v>1633</v>
      </c>
      <c r="C6813">
        <f>-0.15-0.97</f>
        <v>-1.1199999999999999</v>
      </c>
      <c r="D6813">
        <v>0.41</v>
      </c>
      <c r="E6813" t="s">
        <v>60</v>
      </c>
      <c r="F6813" t="s">
        <v>87</v>
      </c>
      <c r="G6813">
        <v>0.97</v>
      </c>
      <c r="H6813">
        <v>-0.15</v>
      </c>
      <c r="I6813">
        <v>0.56000000000000005</v>
      </c>
      <c r="J6813">
        <v>0.31359999999999999</v>
      </c>
      <c r="K6813" t="str">
        <f>IFERROR(INDEX(Rosters!$C$2:$C$155,MATCH($B6813,Rosters!$B$2:$B$155,0)),"NA")</f>
        <v>NA</v>
      </c>
      <c r="L6813" t="str">
        <f t="shared" si="318"/>
        <v>NA2WR</v>
      </c>
      <c r="M6813">
        <f>COUNTIF(L$1:L6813,L6813)</f>
        <v>86</v>
      </c>
      <c r="N6813" t="str">
        <f t="shared" si="319"/>
        <v>NA2WR-86</v>
      </c>
      <c r="O6813">
        <f>COUNTIFS(F$1:F6813,F6813,A$1:A6813,A6813)</f>
        <v>135</v>
      </c>
      <c r="P6813" t="str">
        <f t="shared" si="320"/>
        <v>Marcus Johnson2</v>
      </c>
    </row>
    <row r="6814" spans="1:16" x14ac:dyDescent="0.25">
      <c r="A6814">
        <v>3</v>
      </c>
      <c r="B6814" t="s">
        <v>1594</v>
      </c>
      <c r="C6814">
        <f>-0.05-0.87</f>
        <v>-0.92</v>
      </c>
      <c r="D6814">
        <v>0.41</v>
      </c>
      <c r="E6814" t="s">
        <v>14</v>
      </c>
      <c r="F6814" t="s">
        <v>87</v>
      </c>
      <c r="G6814">
        <v>0.87</v>
      </c>
      <c r="H6814">
        <v>-0.05</v>
      </c>
      <c r="I6814">
        <v>0.46</v>
      </c>
      <c r="J6814">
        <v>0.21160000000000001</v>
      </c>
      <c r="K6814" t="str">
        <f>IFERROR(INDEX(Rosters!$C$2:$C$155,MATCH($B6814,Rosters!$B$2:$B$155,0)),"NA")</f>
        <v>NA</v>
      </c>
      <c r="L6814" t="str">
        <f t="shared" si="318"/>
        <v>NA3WR</v>
      </c>
      <c r="M6814">
        <f>COUNTIF(L$1:L6814,L6814)</f>
        <v>96</v>
      </c>
      <c r="N6814" t="str">
        <f t="shared" si="319"/>
        <v>NA3WR-96</v>
      </c>
      <c r="O6814">
        <f>COUNTIFS(F$1:F6814,F6814,A$1:A6814,A6814)</f>
        <v>145</v>
      </c>
      <c r="P6814" t="str">
        <f t="shared" si="320"/>
        <v>Marvin Hall3</v>
      </c>
    </row>
    <row r="6815" spans="1:16" x14ac:dyDescent="0.25">
      <c r="A6815">
        <v>12</v>
      </c>
      <c r="B6815" t="s">
        <v>8855</v>
      </c>
      <c r="C6815" t="s">
        <v>1149</v>
      </c>
      <c r="D6815">
        <v>0.41</v>
      </c>
      <c r="E6815" t="s">
        <v>19</v>
      </c>
      <c r="F6815" t="s">
        <v>114</v>
      </c>
      <c r="G6815">
        <v>0.81</v>
      </c>
      <c r="H6815">
        <v>0.01</v>
      </c>
      <c r="I6815">
        <v>0.4</v>
      </c>
      <c r="J6815">
        <v>0.16</v>
      </c>
      <c r="K6815" t="str">
        <f>IFERROR(INDEX(Rosters!$C$2:$C$155,MATCH($B6815,Rosters!$B$2:$B$155,0)),"NA")</f>
        <v>NA</v>
      </c>
      <c r="L6815" t="str">
        <f t="shared" si="318"/>
        <v>NA12TE</v>
      </c>
      <c r="M6815">
        <f>COUNTIF(L$1:L6815,L6815)</f>
        <v>79</v>
      </c>
      <c r="N6815" t="str">
        <f t="shared" si="319"/>
        <v>NA12TE-79</v>
      </c>
      <c r="O6815">
        <f>COUNTIFS(F$1:F6815,F6815,A$1:A6815,A6815)</f>
        <v>92</v>
      </c>
      <c r="P6815" t="str">
        <f t="shared" si="320"/>
        <v>Mo Alie-Cox12</v>
      </c>
    </row>
    <row r="6816" spans="1:16" x14ac:dyDescent="0.25">
      <c r="A6816">
        <v>6</v>
      </c>
      <c r="B6816" t="s">
        <v>1584</v>
      </c>
      <c r="C6816">
        <f>-0.02-0.84</f>
        <v>-0.86</v>
      </c>
      <c r="D6816">
        <v>0.41</v>
      </c>
      <c r="E6816" t="s">
        <v>77</v>
      </c>
      <c r="F6816" t="s">
        <v>114</v>
      </c>
      <c r="G6816">
        <v>0.84</v>
      </c>
      <c r="H6816">
        <v>-0.02</v>
      </c>
      <c r="I6816">
        <v>0.43</v>
      </c>
      <c r="J6816">
        <v>0.18490000000000001</v>
      </c>
      <c r="K6816" t="str">
        <f>IFERROR(INDEX(Rosters!$C$2:$C$155,MATCH($B6816,Rosters!$B$2:$B$155,0)),"NA")</f>
        <v>NA</v>
      </c>
      <c r="L6816" t="str">
        <f t="shared" si="318"/>
        <v>NA6TE</v>
      </c>
      <c r="M6816">
        <f>COUNTIF(L$1:L6816,L6816)</f>
        <v>71</v>
      </c>
      <c r="N6816" t="str">
        <f t="shared" si="319"/>
        <v>NA6TE-71</v>
      </c>
      <c r="O6816">
        <f>COUNTIFS(F$1:F6816,F6816,A$1:A6816,A6816)</f>
        <v>83</v>
      </c>
      <c r="P6816" t="str">
        <f t="shared" si="320"/>
        <v>MyCole Pruitt6</v>
      </c>
    </row>
    <row r="6817" spans="1:16" x14ac:dyDescent="0.25">
      <c r="A6817">
        <v>4</v>
      </c>
      <c r="B6817" t="s">
        <v>1570</v>
      </c>
      <c r="C6817">
        <f>-0.01-0.83</f>
        <v>-0.84</v>
      </c>
      <c r="D6817">
        <v>0.41</v>
      </c>
      <c r="E6817" t="s">
        <v>41</v>
      </c>
      <c r="F6817" t="s">
        <v>15</v>
      </c>
      <c r="G6817">
        <v>0.83</v>
      </c>
      <c r="H6817">
        <v>-0.01</v>
      </c>
      <c r="I6817">
        <v>0.42</v>
      </c>
      <c r="J6817">
        <v>0.1764</v>
      </c>
      <c r="K6817" t="str">
        <f>IFERROR(INDEX(Rosters!$C$2:$C$155,MATCH($B6817,Rosters!$B$2:$B$155,0)),"NA")</f>
        <v>NA</v>
      </c>
      <c r="L6817" t="str">
        <f t="shared" si="318"/>
        <v>NA4QB</v>
      </c>
      <c r="M6817">
        <f>COUNTIF(L$1:L6817,L6817)</f>
        <v>35</v>
      </c>
      <c r="N6817" t="str">
        <f t="shared" si="319"/>
        <v>NA4QB-35</v>
      </c>
      <c r="O6817">
        <f>COUNTIFS(F$1:F6817,F6817,A$1:A6817,A6817)</f>
        <v>50</v>
      </c>
      <c r="P6817" t="str">
        <f t="shared" si="320"/>
        <v>Nathan Peterman4</v>
      </c>
    </row>
    <row r="6818" spans="1:16" x14ac:dyDescent="0.25">
      <c r="A6818">
        <v>9</v>
      </c>
      <c r="B6818" t="s">
        <v>1570</v>
      </c>
      <c r="C6818" t="s">
        <v>8927</v>
      </c>
      <c r="D6818">
        <v>0.41</v>
      </c>
      <c r="E6818" t="s">
        <v>72</v>
      </c>
      <c r="F6818" t="s">
        <v>15</v>
      </c>
      <c r="G6818">
        <v>0.8</v>
      </c>
      <c r="H6818">
        <v>0.02</v>
      </c>
      <c r="I6818">
        <v>0.39</v>
      </c>
      <c r="J6818">
        <v>0.15210000000000001</v>
      </c>
      <c r="K6818" t="str">
        <f>IFERROR(INDEX(Rosters!$C$2:$C$155,MATCH($B6818,Rosters!$B$2:$B$155,0)),"NA")</f>
        <v>NA</v>
      </c>
      <c r="L6818" t="str">
        <f t="shared" si="318"/>
        <v>NA9QB</v>
      </c>
      <c r="M6818">
        <f>COUNTIF(L$1:L6818,L6818)</f>
        <v>34</v>
      </c>
      <c r="N6818" t="str">
        <f t="shared" si="319"/>
        <v>NA9QB-34</v>
      </c>
      <c r="O6818">
        <f>COUNTIFS(F$1:F6818,F6818,A$1:A6818,A6818)</f>
        <v>48</v>
      </c>
      <c r="P6818" t="str">
        <f t="shared" si="320"/>
        <v>Nathan Peterman9</v>
      </c>
    </row>
    <row r="6819" spans="1:16" x14ac:dyDescent="0.25">
      <c r="A6819">
        <v>15</v>
      </c>
      <c r="B6819" t="s">
        <v>4248</v>
      </c>
      <c r="C6819" t="s">
        <v>3537</v>
      </c>
      <c r="D6819">
        <v>0.41</v>
      </c>
      <c r="E6819" t="s">
        <v>29</v>
      </c>
      <c r="F6819" t="s">
        <v>47</v>
      </c>
      <c r="G6819">
        <v>0.82</v>
      </c>
      <c r="H6819">
        <v>0</v>
      </c>
      <c r="I6819">
        <v>0.41</v>
      </c>
      <c r="J6819">
        <v>0.1681</v>
      </c>
      <c r="K6819" t="str">
        <f>IFERROR(INDEX(Rosters!$C$2:$C$155,MATCH($B6819,Rosters!$B$2:$B$155,0)),"NA")</f>
        <v>NA</v>
      </c>
      <c r="L6819" t="str">
        <f t="shared" si="318"/>
        <v>NA15RB</v>
      </c>
      <c r="M6819">
        <f>COUNTIF(L$1:L6819,L6819)</f>
        <v>79</v>
      </c>
      <c r="N6819" t="str">
        <f t="shared" si="319"/>
        <v>NA15RB-79</v>
      </c>
      <c r="O6819">
        <f>COUNTIFS(F$1:F6819,F6819,A$1:A6819,A6819)</f>
        <v>126</v>
      </c>
      <c r="P6819" t="str">
        <f t="shared" si="320"/>
        <v>Nick Bellore15</v>
      </c>
    </row>
    <row r="6820" spans="1:16" x14ac:dyDescent="0.25">
      <c r="A6820">
        <v>16</v>
      </c>
      <c r="B6820" t="s">
        <v>4248</v>
      </c>
      <c r="C6820">
        <f>-0.06-0.88</f>
        <v>-0.94</v>
      </c>
      <c r="D6820">
        <v>0.41</v>
      </c>
      <c r="E6820" t="s">
        <v>25</v>
      </c>
      <c r="F6820" t="s">
        <v>47</v>
      </c>
      <c r="G6820">
        <v>0.88</v>
      </c>
      <c r="H6820">
        <v>-0.06</v>
      </c>
      <c r="I6820">
        <v>0.47</v>
      </c>
      <c r="J6820">
        <v>0.22090000000000001</v>
      </c>
      <c r="K6820" t="str">
        <f>IFERROR(INDEX(Rosters!$C$2:$C$155,MATCH($B6820,Rosters!$B$2:$B$155,0)),"NA")</f>
        <v>NA</v>
      </c>
      <c r="L6820" t="str">
        <f t="shared" si="318"/>
        <v>NA16RB</v>
      </c>
      <c r="M6820">
        <f>COUNTIF(L$1:L6820,L6820)</f>
        <v>78</v>
      </c>
      <c r="N6820" t="str">
        <f t="shared" si="319"/>
        <v>NA16RB-78</v>
      </c>
      <c r="O6820">
        <f>COUNTIFS(F$1:F6820,F6820,A$1:A6820,A6820)</f>
        <v>125</v>
      </c>
      <c r="P6820" t="str">
        <f t="shared" si="320"/>
        <v>Nick Bellore16</v>
      </c>
    </row>
    <row r="6821" spans="1:16" x14ac:dyDescent="0.25">
      <c r="A6821">
        <v>8</v>
      </c>
      <c r="B6821" t="s">
        <v>2968</v>
      </c>
      <c r="C6821">
        <f>-0.15-0.97</f>
        <v>-1.1199999999999999</v>
      </c>
      <c r="D6821">
        <v>0.41</v>
      </c>
      <c r="E6821" t="s">
        <v>51</v>
      </c>
      <c r="F6821" t="s">
        <v>114</v>
      </c>
      <c r="G6821">
        <v>0.97</v>
      </c>
      <c r="H6821">
        <v>-0.15</v>
      </c>
      <c r="I6821">
        <v>0.56000000000000005</v>
      </c>
      <c r="J6821">
        <v>0.31359999999999999</v>
      </c>
      <c r="K6821" t="str">
        <f>IFERROR(INDEX(Rosters!$C$2:$C$155,MATCH($B6821,Rosters!$B$2:$B$155,0)),"NA")</f>
        <v>NA</v>
      </c>
      <c r="L6821" t="str">
        <f t="shared" si="318"/>
        <v>NA8TE</v>
      </c>
      <c r="M6821">
        <f>COUNTIF(L$1:L6821,L6821)</f>
        <v>73</v>
      </c>
      <c r="N6821" t="str">
        <f t="shared" si="319"/>
        <v>NA8TE-73</v>
      </c>
      <c r="O6821">
        <f>COUNTIFS(F$1:F6821,F6821,A$1:A6821,A6821)</f>
        <v>85</v>
      </c>
      <c r="P6821" t="str">
        <f t="shared" si="320"/>
        <v>Orson Charles8</v>
      </c>
    </row>
    <row r="6822" spans="1:16" x14ac:dyDescent="0.25">
      <c r="A6822">
        <v>3</v>
      </c>
      <c r="B6822" t="s">
        <v>3374</v>
      </c>
      <c r="C6822">
        <f>-0.03-0.85</f>
        <v>-0.88</v>
      </c>
      <c r="D6822">
        <v>0.41</v>
      </c>
      <c r="E6822" t="s">
        <v>42</v>
      </c>
      <c r="F6822" t="s">
        <v>47</v>
      </c>
      <c r="G6822">
        <v>0.85</v>
      </c>
      <c r="H6822">
        <v>-0.03</v>
      </c>
      <c r="I6822">
        <v>0.44</v>
      </c>
      <c r="J6822">
        <v>0.19359999999999999</v>
      </c>
      <c r="K6822" t="str">
        <f>IFERROR(INDEX(Rosters!$C$2:$C$155,MATCH($B6822,Rosters!$B$2:$B$155,0)),"NA")</f>
        <v>NA</v>
      </c>
      <c r="L6822" t="str">
        <f t="shared" si="318"/>
        <v>NA3RB</v>
      </c>
      <c r="M6822">
        <f>COUNTIF(L$1:L6822,L6822)</f>
        <v>56</v>
      </c>
      <c r="N6822" t="str">
        <f t="shared" si="319"/>
        <v>NA3RB-56</v>
      </c>
      <c r="O6822">
        <f>COUNTIFS(F$1:F6822,F6822,A$1:A6822,A6822)</f>
        <v>95</v>
      </c>
      <c r="P6822" t="str">
        <f t="shared" si="320"/>
        <v>Patrick Ricard3</v>
      </c>
    </row>
    <row r="6823" spans="1:16" x14ac:dyDescent="0.25">
      <c r="A6823">
        <v>15</v>
      </c>
      <c r="B6823" t="s">
        <v>295</v>
      </c>
      <c r="C6823" t="s">
        <v>4741</v>
      </c>
      <c r="D6823">
        <v>0.41</v>
      </c>
      <c r="E6823" t="s">
        <v>56</v>
      </c>
      <c r="F6823" t="s">
        <v>114</v>
      </c>
      <c r="G6823">
        <v>0.79</v>
      </c>
      <c r="H6823">
        <v>0.03</v>
      </c>
      <c r="I6823">
        <v>0.38</v>
      </c>
      <c r="J6823">
        <v>0.1444</v>
      </c>
      <c r="K6823" t="str">
        <f>IFERROR(INDEX(Rosters!$C$2:$C$155,MATCH($B6823,Rosters!$B$2:$B$155,0)),"NA")</f>
        <v>NA</v>
      </c>
      <c r="L6823" t="str">
        <f t="shared" si="318"/>
        <v>NA15TE</v>
      </c>
      <c r="M6823">
        <f>COUNTIF(L$1:L6823,L6823)</f>
        <v>81</v>
      </c>
      <c r="N6823" t="str">
        <f t="shared" si="319"/>
        <v>NA15TE-81</v>
      </c>
      <c r="O6823">
        <f>COUNTIFS(F$1:F6823,F6823,A$1:A6823,A6823)</f>
        <v>95</v>
      </c>
      <c r="P6823" t="str">
        <f t="shared" si="320"/>
        <v>Richard Rodgers15</v>
      </c>
    </row>
    <row r="6824" spans="1:16" x14ac:dyDescent="0.25">
      <c r="A6824">
        <v>11</v>
      </c>
      <c r="B6824" t="s">
        <v>8803</v>
      </c>
      <c r="C6824" t="s">
        <v>1149</v>
      </c>
      <c r="D6824">
        <v>0.41</v>
      </c>
      <c r="E6824" t="s">
        <v>72</v>
      </c>
      <c r="F6824" t="s">
        <v>47</v>
      </c>
      <c r="G6824">
        <v>0.81</v>
      </c>
      <c r="H6824">
        <v>0.01</v>
      </c>
      <c r="I6824">
        <v>0.4</v>
      </c>
      <c r="J6824">
        <v>0.16</v>
      </c>
      <c r="K6824" t="str">
        <f>IFERROR(INDEX(Rosters!$C$2:$C$155,MATCH($B6824,Rosters!$B$2:$B$155,0)),"NA")</f>
        <v>NA</v>
      </c>
      <c r="L6824" t="str">
        <f t="shared" si="318"/>
        <v>NA11RB</v>
      </c>
      <c r="M6824">
        <f>COUNTIF(L$1:L6824,L6824)</f>
        <v>66</v>
      </c>
      <c r="N6824" t="str">
        <f t="shared" si="319"/>
        <v>NA11RB-66</v>
      </c>
      <c r="O6824">
        <f>COUNTIFS(F$1:F6824,F6824,A$1:A6824,A6824)</f>
        <v>104</v>
      </c>
      <c r="P6824" t="str">
        <f t="shared" si="320"/>
        <v>Roc Thomas11</v>
      </c>
    </row>
    <row r="6825" spans="1:16" x14ac:dyDescent="0.25">
      <c r="A6825">
        <v>15</v>
      </c>
      <c r="B6825" t="s">
        <v>337</v>
      </c>
      <c r="C6825" t="s">
        <v>1149</v>
      </c>
      <c r="D6825">
        <v>0.41</v>
      </c>
      <c r="E6825" t="s">
        <v>73</v>
      </c>
      <c r="F6825" t="s">
        <v>87</v>
      </c>
      <c r="G6825">
        <v>0.81</v>
      </c>
      <c r="H6825">
        <v>0.01</v>
      </c>
      <c r="I6825">
        <v>0.4</v>
      </c>
      <c r="J6825">
        <v>0.16</v>
      </c>
      <c r="K6825" t="str">
        <f>IFERROR(INDEX(Rosters!$C$2:$C$155,MATCH($B6825,Rosters!$B$2:$B$155,0)),"NA")</f>
        <v>NA</v>
      </c>
      <c r="L6825" t="str">
        <f t="shared" si="318"/>
        <v>NA15WR</v>
      </c>
      <c r="M6825">
        <f>COUNTIF(L$1:L6825,L6825)</f>
        <v>117</v>
      </c>
      <c r="N6825" t="str">
        <f t="shared" si="319"/>
        <v>NA15WR-117</v>
      </c>
      <c r="O6825">
        <f>COUNTIFS(F$1:F6825,F6825,A$1:A6825,A6825)</f>
        <v>171</v>
      </c>
      <c r="P6825" t="str">
        <f t="shared" si="320"/>
        <v>Sammie Coates15</v>
      </c>
    </row>
    <row r="6826" spans="1:16" x14ac:dyDescent="0.25">
      <c r="A6826">
        <v>12</v>
      </c>
      <c r="B6826" t="s">
        <v>1600</v>
      </c>
      <c r="C6826">
        <f>-0.18-1</f>
        <v>-1.18</v>
      </c>
      <c r="D6826">
        <v>0.41</v>
      </c>
      <c r="E6826" t="s">
        <v>29</v>
      </c>
      <c r="F6826" t="s">
        <v>47</v>
      </c>
      <c r="G6826">
        <v>1</v>
      </c>
      <c r="H6826">
        <v>-0.18</v>
      </c>
      <c r="I6826">
        <v>0.59</v>
      </c>
      <c r="J6826">
        <v>0.34810000000000002</v>
      </c>
      <c r="K6826" t="str">
        <f>IFERROR(INDEX(Rosters!$C$2:$C$155,MATCH($B6826,Rosters!$B$2:$B$155,0)),"NA")</f>
        <v>NA</v>
      </c>
      <c r="L6826" t="str">
        <f t="shared" si="318"/>
        <v>NA12RB</v>
      </c>
      <c r="M6826">
        <f>COUNTIF(L$1:L6826,L6826)</f>
        <v>75</v>
      </c>
      <c r="N6826" t="str">
        <f t="shared" si="319"/>
        <v>NA12RB-75</v>
      </c>
      <c r="O6826">
        <f>COUNTIFS(F$1:F6826,F6826,A$1:A6826,A6826)</f>
        <v>120</v>
      </c>
      <c r="P6826" t="str">
        <f t="shared" si="320"/>
        <v>Tommy Bohanon12</v>
      </c>
    </row>
    <row r="6827" spans="1:16" x14ac:dyDescent="0.25">
      <c r="A6827">
        <v>5</v>
      </c>
      <c r="B6827" t="s">
        <v>4250</v>
      </c>
      <c r="C6827">
        <f>-0.16-0.98</f>
        <v>-1.1399999999999999</v>
      </c>
      <c r="D6827">
        <v>0.41</v>
      </c>
      <c r="E6827" t="s">
        <v>50</v>
      </c>
      <c r="F6827" t="s">
        <v>114</v>
      </c>
      <c r="G6827">
        <v>0.98</v>
      </c>
      <c r="H6827">
        <v>-0.16</v>
      </c>
      <c r="I6827">
        <v>0.56999999999999995</v>
      </c>
      <c r="J6827">
        <v>0.32490000000000002</v>
      </c>
      <c r="K6827" t="str">
        <f>IFERROR(INDEX(Rosters!$C$2:$C$155,MATCH($B6827,Rosters!$B$2:$B$155,0)),"NA")</f>
        <v>NA</v>
      </c>
      <c r="L6827" t="str">
        <f t="shared" si="318"/>
        <v>NA5TE</v>
      </c>
      <c r="M6827">
        <f>COUNTIF(L$1:L6827,L6827)</f>
        <v>74</v>
      </c>
      <c r="N6827" t="str">
        <f t="shared" si="319"/>
        <v>NA5TE-74</v>
      </c>
      <c r="O6827">
        <f>COUNTIFS(F$1:F6827,F6827,A$1:A6827,A6827)</f>
        <v>85</v>
      </c>
      <c r="P6827" t="str">
        <f t="shared" si="320"/>
        <v>Tyler Conklin5</v>
      </c>
    </row>
    <row r="6828" spans="1:16" x14ac:dyDescent="0.25">
      <c r="A6828">
        <v>3</v>
      </c>
      <c r="B6828" t="s">
        <v>372</v>
      </c>
      <c r="C6828">
        <f>-0.16-0.98</f>
        <v>-1.1399999999999999</v>
      </c>
      <c r="D6828">
        <v>0.41</v>
      </c>
      <c r="E6828" t="s">
        <v>17</v>
      </c>
      <c r="F6828" t="s">
        <v>114</v>
      </c>
      <c r="G6828">
        <v>0.98</v>
      </c>
      <c r="H6828">
        <v>-0.16</v>
      </c>
      <c r="I6828">
        <v>0.56999999999999995</v>
      </c>
      <c r="J6828">
        <v>0.32490000000000002</v>
      </c>
      <c r="K6828" t="str">
        <f>IFERROR(INDEX(Rosters!$C$2:$C$155,MATCH($B6828,Rosters!$B$2:$B$155,0)),"NA")</f>
        <v>NA</v>
      </c>
      <c r="L6828" t="str">
        <f t="shared" si="318"/>
        <v>NA3TE</v>
      </c>
      <c r="M6828">
        <f>COUNTIF(L$1:L6828,L6828)</f>
        <v>70</v>
      </c>
      <c r="N6828" t="str">
        <f t="shared" si="319"/>
        <v>NA3TE-70</v>
      </c>
      <c r="O6828">
        <f>COUNTIFS(F$1:F6828,F6828,A$1:A6828,A6828)</f>
        <v>83</v>
      </c>
      <c r="P6828" t="str">
        <f t="shared" si="320"/>
        <v>Xavier Grimble3</v>
      </c>
    </row>
    <row r="6829" spans="1:16" x14ac:dyDescent="0.25">
      <c r="A6829">
        <v>6</v>
      </c>
      <c r="B6829" t="s">
        <v>1129</v>
      </c>
      <c r="C6829">
        <f>-0.01-0.81</f>
        <v>-0.82000000000000006</v>
      </c>
      <c r="D6829">
        <v>0.4</v>
      </c>
      <c r="E6829" t="s">
        <v>46</v>
      </c>
      <c r="F6829" t="s">
        <v>114</v>
      </c>
      <c r="G6829">
        <v>0.81</v>
      </c>
      <c r="H6829">
        <v>-0.01</v>
      </c>
      <c r="I6829">
        <v>0.41</v>
      </c>
      <c r="J6829">
        <v>0.1681</v>
      </c>
      <c r="K6829" t="str">
        <f>IFERROR(INDEX(Rosters!$C$2:$C$155,MATCH($B6829,Rosters!$B$2:$B$155,0)),"NA")</f>
        <v>NA</v>
      </c>
      <c r="L6829" t="str">
        <f t="shared" si="318"/>
        <v>NA6TE</v>
      </c>
      <c r="M6829">
        <f>COUNTIF(L$1:L6829,L6829)</f>
        <v>72</v>
      </c>
      <c r="N6829" t="str">
        <f t="shared" si="319"/>
        <v>NA6TE-72</v>
      </c>
      <c r="O6829">
        <f>COUNTIFS(F$1:F6829,F6829,A$1:A6829,A6829)</f>
        <v>84</v>
      </c>
      <c r="P6829" t="str">
        <f t="shared" si="320"/>
        <v>Alan Cross6</v>
      </c>
    </row>
    <row r="6830" spans="1:16" x14ac:dyDescent="0.25">
      <c r="A6830">
        <v>1</v>
      </c>
      <c r="B6830" t="s">
        <v>1614</v>
      </c>
      <c r="C6830">
        <f>-0.05-0.85</f>
        <v>-0.9</v>
      </c>
      <c r="D6830">
        <v>0.4</v>
      </c>
      <c r="E6830" t="s">
        <v>37</v>
      </c>
      <c r="F6830" t="s">
        <v>114</v>
      </c>
      <c r="G6830">
        <v>0.85</v>
      </c>
      <c r="H6830">
        <v>-0.05</v>
      </c>
      <c r="I6830">
        <v>0.45</v>
      </c>
      <c r="J6830">
        <v>0.20250000000000001</v>
      </c>
      <c r="K6830" t="str">
        <f>IFERROR(INDEX(Rosters!$C$2:$C$155,MATCH($B6830,Rosters!$B$2:$B$155,0)),"NA")</f>
        <v>NA</v>
      </c>
      <c r="L6830" t="str">
        <f t="shared" si="318"/>
        <v>NA1TE</v>
      </c>
      <c r="M6830">
        <f>COUNTIF(L$1:L6830,L6830)</f>
        <v>59</v>
      </c>
      <c r="N6830" t="str">
        <f t="shared" si="319"/>
        <v>NA1TE-59</v>
      </c>
      <c r="O6830">
        <f>COUNTIFS(F$1:F6830,F6830,A$1:A6830,A6830)</f>
        <v>72</v>
      </c>
      <c r="P6830" t="str">
        <f t="shared" si="320"/>
        <v>Alex Ellis1</v>
      </c>
    </row>
    <row r="6831" spans="1:16" x14ac:dyDescent="0.25">
      <c r="A6831">
        <v>15</v>
      </c>
      <c r="B6831" t="s">
        <v>276</v>
      </c>
      <c r="C6831">
        <f>-0.03-0.83</f>
        <v>-0.86</v>
      </c>
      <c r="D6831">
        <v>0.4</v>
      </c>
      <c r="E6831" t="s">
        <v>34</v>
      </c>
      <c r="F6831" t="s">
        <v>87</v>
      </c>
      <c r="G6831">
        <v>0.83</v>
      </c>
      <c r="H6831">
        <v>-0.03</v>
      </c>
      <c r="I6831">
        <v>0.43</v>
      </c>
      <c r="J6831">
        <v>0.18490000000000001</v>
      </c>
      <c r="K6831" t="str">
        <f>IFERROR(INDEX(Rosters!$C$2:$C$155,MATCH($B6831,Rosters!$B$2:$B$155,0)),"NA")</f>
        <v>NA</v>
      </c>
      <c r="L6831" t="str">
        <f t="shared" si="318"/>
        <v>NA15WR</v>
      </c>
      <c r="M6831">
        <f>COUNTIF(L$1:L6831,L6831)</f>
        <v>118</v>
      </c>
      <c r="N6831" t="str">
        <f t="shared" si="319"/>
        <v>NA15WR-118</v>
      </c>
      <c r="O6831">
        <f>COUNTIFS(F$1:F6831,F6831,A$1:A6831,A6831)</f>
        <v>172</v>
      </c>
      <c r="P6831" t="str">
        <f t="shared" si="320"/>
        <v>Andre Holmes15</v>
      </c>
    </row>
    <row r="6832" spans="1:16" x14ac:dyDescent="0.25">
      <c r="A6832">
        <v>9</v>
      </c>
      <c r="B6832" t="s">
        <v>3167</v>
      </c>
      <c r="C6832">
        <f>-0.16-0.96</f>
        <v>-1.1199999999999999</v>
      </c>
      <c r="D6832">
        <v>0.4</v>
      </c>
      <c r="E6832" t="s">
        <v>19</v>
      </c>
      <c r="F6832" t="s">
        <v>87</v>
      </c>
      <c r="G6832">
        <v>0.96</v>
      </c>
      <c r="H6832">
        <v>-0.16</v>
      </c>
      <c r="I6832">
        <v>0.56000000000000005</v>
      </c>
      <c r="J6832">
        <v>0.31359999999999999</v>
      </c>
      <c r="K6832" t="str">
        <f>IFERROR(INDEX(Rosters!$C$2:$C$155,MATCH($B6832,Rosters!$B$2:$B$155,0)),"NA")</f>
        <v>NA</v>
      </c>
      <c r="L6832" t="str">
        <f t="shared" si="318"/>
        <v>NA9WR</v>
      </c>
      <c r="M6832">
        <f>COUNTIF(L$1:L6832,L6832)</f>
        <v>100</v>
      </c>
      <c r="N6832" t="str">
        <f t="shared" si="319"/>
        <v>NA9WR-100</v>
      </c>
      <c r="O6832">
        <f>COUNTIFS(F$1:F6832,F6832,A$1:A6832,A6832)</f>
        <v>144</v>
      </c>
      <c r="P6832" t="str">
        <f t="shared" si="320"/>
        <v>Andre Roberts9</v>
      </c>
    </row>
    <row r="6833" spans="1:16" x14ac:dyDescent="0.25">
      <c r="A6833">
        <v>1</v>
      </c>
      <c r="B6833" t="s">
        <v>1627</v>
      </c>
      <c r="C6833">
        <f>-0.07-0.87</f>
        <v>-0.94</v>
      </c>
      <c r="D6833">
        <v>0.4</v>
      </c>
      <c r="E6833" t="s">
        <v>19</v>
      </c>
      <c r="F6833" t="s">
        <v>15</v>
      </c>
      <c r="G6833">
        <v>0.87</v>
      </c>
      <c r="H6833">
        <v>-7.0000000000000007E-2</v>
      </c>
      <c r="I6833">
        <v>0.47</v>
      </c>
      <c r="J6833">
        <v>0.22090000000000001</v>
      </c>
      <c r="K6833" t="str">
        <f>IFERROR(INDEX(Rosters!$C$2:$C$155,MATCH($B6833,Rosters!$B$2:$B$155,0)),"NA")</f>
        <v>NA</v>
      </c>
      <c r="L6833" t="str">
        <f t="shared" si="318"/>
        <v>NA1QB</v>
      </c>
      <c r="M6833">
        <f>COUNTIF(L$1:L6833,L6833)</f>
        <v>35</v>
      </c>
      <c r="N6833" t="str">
        <f t="shared" si="319"/>
        <v>NA1QB-35</v>
      </c>
      <c r="O6833">
        <f>COUNTIFS(F$1:F6833,F6833,A$1:A6833,A6833)</f>
        <v>51</v>
      </c>
      <c r="P6833" t="str">
        <f t="shared" si="320"/>
        <v>Blaine Gabbert1</v>
      </c>
    </row>
    <row r="6834" spans="1:16" x14ac:dyDescent="0.25">
      <c r="A6834">
        <v>9</v>
      </c>
      <c r="B6834" t="s">
        <v>4656</v>
      </c>
      <c r="C6834" t="s">
        <v>8928</v>
      </c>
      <c r="D6834">
        <v>0.4</v>
      </c>
      <c r="E6834" t="s">
        <v>42</v>
      </c>
      <c r="F6834" t="s">
        <v>47</v>
      </c>
      <c r="G6834">
        <v>0.74</v>
      </c>
      <c r="H6834">
        <v>0.06</v>
      </c>
      <c r="I6834">
        <v>0.34</v>
      </c>
      <c r="J6834">
        <v>0.11559999999999999</v>
      </c>
      <c r="K6834" t="str">
        <f>IFERROR(INDEX(Rosters!$C$2:$C$155,MATCH($B6834,Rosters!$B$2:$B$155,0)),"NA")</f>
        <v>NA</v>
      </c>
      <c r="L6834" t="str">
        <f t="shared" si="318"/>
        <v>NA9RB</v>
      </c>
      <c r="M6834">
        <f>COUNTIF(L$1:L6834,L6834)</f>
        <v>60</v>
      </c>
      <c r="N6834" t="str">
        <f t="shared" si="319"/>
        <v>NA9RB-60</v>
      </c>
      <c r="O6834">
        <f>COUNTIFS(F$1:F6834,F6834,A$1:A6834,A6834)</f>
        <v>100</v>
      </c>
      <c r="P6834" t="str">
        <f t="shared" si="320"/>
        <v>Buddy Howell9</v>
      </c>
    </row>
    <row r="6835" spans="1:16" x14ac:dyDescent="0.25">
      <c r="A6835">
        <v>13</v>
      </c>
      <c r="B6835" t="s">
        <v>1549</v>
      </c>
      <c r="C6835">
        <f>-0.05-0.85</f>
        <v>-0.9</v>
      </c>
      <c r="D6835">
        <v>0.4</v>
      </c>
      <c r="E6835" t="s">
        <v>423</v>
      </c>
      <c r="F6835" t="s">
        <v>47</v>
      </c>
      <c r="G6835">
        <v>0.85</v>
      </c>
      <c r="H6835">
        <v>-0.05</v>
      </c>
      <c r="I6835">
        <v>0.45</v>
      </c>
      <c r="J6835">
        <v>0.20250000000000001</v>
      </c>
      <c r="K6835" t="str">
        <f>IFERROR(INDEX(Rosters!$C$2:$C$155,MATCH($B6835,Rosters!$B$2:$B$155,0)),"NA")</f>
        <v>NA</v>
      </c>
      <c r="L6835" t="str">
        <f t="shared" si="318"/>
        <v>NA13RB</v>
      </c>
      <c r="M6835">
        <f>COUNTIF(L$1:L6835,L6835)</f>
        <v>79</v>
      </c>
      <c r="N6835" t="str">
        <f t="shared" si="319"/>
        <v>NA13RB-79</v>
      </c>
      <c r="O6835">
        <f>COUNTIFS(F$1:F6835,F6835,A$1:A6835,A6835)</f>
        <v>126</v>
      </c>
      <c r="P6835" t="str">
        <f t="shared" si="320"/>
        <v>C.J. Ham13</v>
      </c>
    </row>
    <row r="6836" spans="1:16" x14ac:dyDescent="0.25">
      <c r="A6836">
        <v>14</v>
      </c>
      <c r="B6836" t="s">
        <v>1549</v>
      </c>
      <c r="C6836">
        <f>-0.12-0.92</f>
        <v>-1.04</v>
      </c>
      <c r="D6836">
        <v>0.4</v>
      </c>
      <c r="E6836" t="s">
        <v>28</v>
      </c>
      <c r="F6836" t="s">
        <v>47</v>
      </c>
      <c r="G6836">
        <v>0.92</v>
      </c>
      <c r="H6836">
        <v>-0.12</v>
      </c>
      <c r="I6836">
        <v>0.52</v>
      </c>
      <c r="J6836">
        <v>0.27039999999999997</v>
      </c>
      <c r="K6836" t="str">
        <f>IFERROR(INDEX(Rosters!$C$2:$C$155,MATCH($B6836,Rosters!$B$2:$B$155,0)),"NA")</f>
        <v>NA</v>
      </c>
      <c r="L6836" t="str">
        <f t="shared" si="318"/>
        <v>NA14RB</v>
      </c>
      <c r="M6836">
        <f>COUNTIF(L$1:L6836,L6836)</f>
        <v>76</v>
      </c>
      <c r="N6836" t="str">
        <f t="shared" si="319"/>
        <v>NA14RB-76</v>
      </c>
      <c r="O6836">
        <f>COUNTIFS(F$1:F6836,F6836,A$1:A6836,A6836)</f>
        <v>123</v>
      </c>
      <c r="P6836" t="str">
        <f t="shared" si="320"/>
        <v>C.J. Ham14</v>
      </c>
    </row>
    <row r="6837" spans="1:16" x14ac:dyDescent="0.25">
      <c r="A6837">
        <v>16</v>
      </c>
      <c r="B6837" t="s">
        <v>4221</v>
      </c>
      <c r="C6837">
        <f>-0.02-0.82</f>
        <v>-0.84</v>
      </c>
      <c r="D6837">
        <v>0.4</v>
      </c>
      <c r="E6837" t="s">
        <v>41</v>
      </c>
      <c r="F6837" t="s">
        <v>114</v>
      </c>
      <c r="G6837">
        <v>0.82</v>
      </c>
      <c r="H6837">
        <v>-0.02</v>
      </c>
      <c r="I6837">
        <v>0.42</v>
      </c>
      <c r="J6837">
        <v>0.1764</v>
      </c>
      <c r="K6837" t="str">
        <f>IFERROR(INDEX(Rosters!$C$2:$C$155,MATCH($B6837,Rosters!$B$2:$B$155,0)),"NA")</f>
        <v>NA</v>
      </c>
      <c r="L6837" t="str">
        <f t="shared" si="318"/>
        <v>NA16TE</v>
      </c>
      <c r="M6837">
        <f>COUNTIF(L$1:L6837,L6837)</f>
        <v>83</v>
      </c>
      <c r="N6837" t="str">
        <f t="shared" si="319"/>
        <v>NA16TE-83</v>
      </c>
      <c r="O6837">
        <f>COUNTIFS(F$1:F6837,F6837,A$1:A6837,A6837)</f>
        <v>97</v>
      </c>
      <c r="P6837" t="str">
        <f t="shared" si="320"/>
        <v>Chris Herndon16</v>
      </c>
    </row>
    <row r="6838" spans="1:16" x14ac:dyDescent="0.25">
      <c r="A6838">
        <v>17</v>
      </c>
      <c r="B6838" t="s">
        <v>4221</v>
      </c>
      <c r="C6838">
        <f>-0.04-0.84</f>
        <v>-0.88</v>
      </c>
      <c r="D6838">
        <v>0.4</v>
      </c>
      <c r="E6838" t="s">
        <v>423</v>
      </c>
      <c r="F6838" t="s">
        <v>114</v>
      </c>
      <c r="G6838">
        <v>0.84</v>
      </c>
      <c r="H6838">
        <v>-0.04</v>
      </c>
      <c r="I6838">
        <v>0.44</v>
      </c>
      <c r="J6838">
        <v>0.19359999999999999</v>
      </c>
      <c r="K6838" t="str">
        <f>IFERROR(INDEX(Rosters!$C$2:$C$155,MATCH($B6838,Rosters!$B$2:$B$155,0)),"NA")</f>
        <v>NA</v>
      </c>
      <c r="L6838" t="str">
        <f t="shared" si="318"/>
        <v>NA17TE</v>
      </c>
      <c r="M6838">
        <f>COUNTIF(L$1:L6838,L6838)</f>
        <v>82</v>
      </c>
      <c r="N6838" t="str">
        <f t="shared" si="319"/>
        <v>NA17TE-82</v>
      </c>
      <c r="O6838">
        <f>COUNTIFS(F$1:F6838,F6838,A$1:A6838,A6838)</f>
        <v>96</v>
      </c>
      <c r="P6838" t="str">
        <f t="shared" si="320"/>
        <v>Chris Herndon17</v>
      </c>
    </row>
    <row r="6839" spans="1:16" x14ac:dyDescent="0.25">
      <c r="A6839">
        <v>2</v>
      </c>
      <c r="B6839" t="s">
        <v>272</v>
      </c>
      <c r="C6839">
        <f>-0.01-0.81</f>
        <v>-0.82000000000000006</v>
      </c>
      <c r="D6839">
        <v>0.4</v>
      </c>
      <c r="E6839" t="s">
        <v>51</v>
      </c>
      <c r="F6839" t="s">
        <v>47</v>
      </c>
      <c r="G6839">
        <v>0.81</v>
      </c>
      <c r="H6839">
        <v>-0.01</v>
      </c>
      <c r="I6839">
        <v>0.41</v>
      </c>
      <c r="J6839">
        <v>0.1681</v>
      </c>
      <c r="K6839" t="str">
        <f>IFERROR(INDEX(Rosters!$C$2:$C$155,MATCH($B6839,Rosters!$B$2:$B$155,0)),"NA")</f>
        <v>NA</v>
      </c>
      <c r="L6839" t="str">
        <f t="shared" si="318"/>
        <v>NA2RB</v>
      </c>
      <c r="M6839">
        <f>COUNTIF(L$1:L6839,L6839)</f>
        <v>52</v>
      </c>
      <c r="N6839" t="str">
        <f t="shared" si="319"/>
        <v>NA2RB-52</v>
      </c>
      <c r="O6839">
        <f>COUNTIFS(F$1:F6839,F6839,A$1:A6839,A6839)</f>
        <v>94</v>
      </c>
      <c r="P6839" t="str">
        <f t="shared" si="320"/>
        <v>Damien Williams2</v>
      </c>
    </row>
    <row r="6840" spans="1:16" x14ac:dyDescent="0.25">
      <c r="A6840">
        <v>4</v>
      </c>
      <c r="B6840" t="s">
        <v>1127</v>
      </c>
      <c r="C6840">
        <f>-0.1-0.9</f>
        <v>-1</v>
      </c>
      <c r="D6840">
        <v>0.4</v>
      </c>
      <c r="E6840" t="s">
        <v>52</v>
      </c>
      <c r="F6840" t="s">
        <v>87</v>
      </c>
      <c r="G6840">
        <v>0.9</v>
      </c>
      <c r="H6840">
        <v>-0.1</v>
      </c>
      <c r="I6840">
        <v>0.5</v>
      </c>
      <c r="J6840">
        <v>0.25</v>
      </c>
      <c r="K6840" t="str">
        <f>IFERROR(INDEX(Rosters!$C$2:$C$155,MATCH($B6840,Rosters!$B$2:$B$155,0)),"NA")</f>
        <v>NA</v>
      </c>
      <c r="L6840" t="str">
        <f t="shared" si="318"/>
        <v>NA4WR</v>
      </c>
      <c r="M6840">
        <f>COUNTIF(L$1:L6840,L6840)</f>
        <v>92</v>
      </c>
      <c r="N6840" t="str">
        <f t="shared" si="319"/>
        <v>NA4WR-92</v>
      </c>
      <c r="O6840">
        <f>COUNTIFS(F$1:F6840,F6840,A$1:A6840,A6840)</f>
        <v>142</v>
      </c>
      <c r="P6840" t="str">
        <f t="shared" si="320"/>
        <v>Dwayne Harris4</v>
      </c>
    </row>
    <row r="6841" spans="1:16" x14ac:dyDescent="0.25">
      <c r="A6841">
        <v>2</v>
      </c>
      <c r="B6841" t="s">
        <v>1624</v>
      </c>
      <c r="C6841">
        <f>-0.15-0.95</f>
        <v>-1.0999999999999999</v>
      </c>
      <c r="D6841">
        <v>0.4</v>
      </c>
      <c r="E6841" t="s">
        <v>56</v>
      </c>
      <c r="F6841" t="s">
        <v>114</v>
      </c>
      <c r="G6841">
        <v>0.95</v>
      </c>
      <c r="H6841">
        <v>-0.15</v>
      </c>
      <c r="I6841">
        <v>0.55000000000000004</v>
      </c>
      <c r="J6841">
        <v>0.30249999999999999</v>
      </c>
      <c r="K6841" t="str">
        <f>IFERROR(INDEX(Rosters!$C$2:$C$155,MATCH($B6841,Rosters!$B$2:$B$155,0)),"NA")</f>
        <v>NA</v>
      </c>
      <c r="L6841" t="str">
        <f t="shared" si="318"/>
        <v>NA2TE</v>
      </c>
      <c r="M6841">
        <f>COUNTIF(L$1:L6841,L6841)</f>
        <v>66</v>
      </c>
      <c r="N6841" t="str">
        <f t="shared" si="319"/>
        <v>NA2TE-66</v>
      </c>
      <c r="O6841">
        <f>COUNTIFS(F$1:F6841,F6841,A$1:A6841,A6841)</f>
        <v>79</v>
      </c>
      <c r="P6841" t="str">
        <f t="shared" si="320"/>
        <v>Gabe Holmes2</v>
      </c>
    </row>
    <row r="6842" spans="1:16" x14ac:dyDescent="0.25">
      <c r="A6842">
        <v>14</v>
      </c>
      <c r="B6842" t="s">
        <v>1593</v>
      </c>
      <c r="C6842">
        <f>-0.23-1.03</f>
        <v>-1.26</v>
      </c>
      <c r="D6842">
        <v>0.4</v>
      </c>
      <c r="E6842" t="s">
        <v>72</v>
      </c>
      <c r="F6842" t="s">
        <v>87</v>
      </c>
      <c r="G6842">
        <v>1.03</v>
      </c>
      <c r="H6842">
        <v>-0.23</v>
      </c>
      <c r="I6842">
        <v>0.63</v>
      </c>
      <c r="J6842">
        <v>0.39689999999999998</v>
      </c>
      <c r="K6842" t="str">
        <f>IFERROR(INDEX(Rosters!$C$2:$C$155,MATCH($B6842,Rosters!$B$2:$B$155,0)),"NA")</f>
        <v>NA</v>
      </c>
      <c r="L6842" t="str">
        <f t="shared" si="318"/>
        <v>NA14WR</v>
      </c>
      <c r="M6842">
        <f>COUNTIF(L$1:L6842,L6842)</f>
        <v>120</v>
      </c>
      <c r="N6842" t="str">
        <f t="shared" si="319"/>
        <v>NA14WR-120</v>
      </c>
      <c r="O6842">
        <f>COUNTIFS(F$1:F6842,F6842,A$1:A6842,A6842)</f>
        <v>174</v>
      </c>
      <c r="P6842" t="str">
        <f t="shared" si="320"/>
        <v>Josh Reynolds14</v>
      </c>
    </row>
    <row r="6843" spans="1:16" x14ac:dyDescent="0.25">
      <c r="A6843">
        <v>15</v>
      </c>
      <c r="B6843" t="s">
        <v>1593</v>
      </c>
      <c r="C6843">
        <f>-0.22-1.02</f>
        <v>-1.24</v>
      </c>
      <c r="D6843">
        <v>0.4</v>
      </c>
      <c r="E6843" t="s">
        <v>50</v>
      </c>
      <c r="F6843" t="s">
        <v>87</v>
      </c>
      <c r="G6843">
        <v>1.02</v>
      </c>
      <c r="H6843">
        <v>-0.22</v>
      </c>
      <c r="I6843">
        <v>0.62</v>
      </c>
      <c r="J6843">
        <v>0.38440000000000002</v>
      </c>
      <c r="K6843" t="str">
        <f>IFERROR(INDEX(Rosters!$C$2:$C$155,MATCH($B6843,Rosters!$B$2:$B$155,0)),"NA")</f>
        <v>NA</v>
      </c>
      <c r="L6843" t="str">
        <f t="shared" si="318"/>
        <v>NA15WR</v>
      </c>
      <c r="M6843">
        <f>COUNTIF(L$1:L6843,L6843)</f>
        <v>119</v>
      </c>
      <c r="N6843" t="str">
        <f t="shared" si="319"/>
        <v>NA15WR-119</v>
      </c>
      <c r="O6843">
        <f>COUNTIFS(F$1:F6843,F6843,A$1:A6843,A6843)</f>
        <v>173</v>
      </c>
      <c r="P6843" t="str">
        <f t="shared" si="320"/>
        <v>Josh Reynolds15</v>
      </c>
    </row>
    <row r="6844" spans="1:16" x14ac:dyDescent="0.25">
      <c r="A6844">
        <v>13</v>
      </c>
      <c r="B6844" t="s">
        <v>2854</v>
      </c>
      <c r="C6844">
        <f>-0.14-0.94</f>
        <v>-1.08</v>
      </c>
      <c r="D6844">
        <v>0.4</v>
      </c>
      <c r="E6844" t="s">
        <v>60</v>
      </c>
      <c r="F6844" t="s">
        <v>87</v>
      </c>
      <c r="G6844">
        <v>0.94</v>
      </c>
      <c r="H6844">
        <v>-0.14000000000000001</v>
      </c>
      <c r="I6844">
        <v>0.54</v>
      </c>
      <c r="J6844">
        <v>0.29160000000000003</v>
      </c>
      <c r="K6844" t="str">
        <f>IFERROR(INDEX(Rosters!$C$2:$C$155,MATCH($B6844,Rosters!$B$2:$B$155,0)),"NA")</f>
        <v>NA</v>
      </c>
      <c r="L6844" t="str">
        <f t="shared" si="318"/>
        <v>NA13WR</v>
      </c>
      <c r="M6844">
        <f>COUNTIF(L$1:L6844,L6844)</f>
        <v>119</v>
      </c>
      <c r="N6844" t="str">
        <f t="shared" si="319"/>
        <v>NA13WR-119</v>
      </c>
      <c r="O6844">
        <f>COUNTIFS(F$1:F6844,F6844,A$1:A6844,A6844)</f>
        <v>173</v>
      </c>
      <c r="P6844" t="str">
        <f t="shared" si="320"/>
        <v>Kamar Aiken13</v>
      </c>
    </row>
    <row r="6845" spans="1:16" x14ac:dyDescent="0.25">
      <c r="A6845">
        <v>10</v>
      </c>
      <c r="B6845" t="s">
        <v>368</v>
      </c>
      <c r="C6845">
        <f>-0.01-0.81</f>
        <v>-0.82000000000000006</v>
      </c>
      <c r="D6845">
        <v>0.4</v>
      </c>
      <c r="E6845" t="s">
        <v>37</v>
      </c>
      <c r="F6845" t="s">
        <v>47</v>
      </c>
      <c r="G6845">
        <v>0.81</v>
      </c>
      <c r="H6845">
        <v>-0.01</v>
      </c>
      <c r="I6845">
        <v>0.41</v>
      </c>
      <c r="J6845">
        <v>0.1681</v>
      </c>
      <c r="K6845" t="str">
        <f>IFERROR(INDEX(Rosters!$C$2:$C$155,MATCH($B6845,Rosters!$B$2:$B$155,0)),"NA")</f>
        <v>NA</v>
      </c>
      <c r="L6845" t="str">
        <f t="shared" si="318"/>
        <v>NA10RB</v>
      </c>
      <c r="M6845">
        <f>COUNTIF(L$1:L6845,L6845)</f>
        <v>67</v>
      </c>
      <c r="N6845" t="str">
        <f t="shared" si="319"/>
        <v>NA10RB-67</v>
      </c>
      <c r="O6845">
        <f>COUNTIFS(F$1:F6845,F6845,A$1:A6845,A6845)</f>
        <v>106</v>
      </c>
      <c r="P6845" t="str">
        <f t="shared" si="320"/>
        <v>Keith Smith10</v>
      </c>
    </row>
    <row r="6846" spans="1:16" x14ac:dyDescent="0.25">
      <c r="A6846">
        <v>15</v>
      </c>
      <c r="B6846" t="s">
        <v>389</v>
      </c>
      <c r="C6846" t="s">
        <v>8929</v>
      </c>
      <c r="D6846">
        <v>0.4</v>
      </c>
      <c r="E6846" t="s">
        <v>31</v>
      </c>
      <c r="F6846" t="s">
        <v>114</v>
      </c>
      <c r="G6846">
        <v>0.77</v>
      </c>
      <c r="H6846">
        <v>0.03</v>
      </c>
      <c r="I6846">
        <v>0.37</v>
      </c>
      <c r="J6846">
        <v>0.13689999999999999</v>
      </c>
      <c r="K6846" t="str">
        <f>IFERROR(INDEX(Rosters!$C$2:$C$155,MATCH($B6846,Rosters!$B$2:$B$155,0)),"NA")</f>
        <v>NA</v>
      </c>
      <c r="L6846" t="str">
        <f t="shared" si="318"/>
        <v>NA15TE</v>
      </c>
      <c r="M6846">
        <f>COUNTIF(L$1:L6846,L6846)</f>
        <v>82</v>
      </c>
      <c r="N6846" t="str">
        <f t="shared" si="319"/>
        <v>NA15TE-82</v>
      </c>
      <c r="O6846">
        <f>COUNTIFS(F$1:F6846,F6846,A$1:A6846,A6846)</f>
        <v>96</v>
      </c>
      <c r="P6846" t="str">
        <f t="shared" si="320"/>
        <v>Lee Smith15</v>
      </c>
    </row>
    <row r="6847" spans="1:16" x14ac:dyDescent="0.25">
      <c r="A6847">
        <v>11</v>
      </c>
      <c r="B6847" t="s">
        <v>288</v>
      </c>
      <c r="C6847">
        <f>-0.06-0.86</f>
        <v>-0.91999999999999993</v>
      </c>
      <c r="D6847">
        <v>0.4</v>
      </c>
      <c r="E6847" t="s">
        <v>28</v>
      </c>
      <c r="F6847" t="s">
        <v>114</v>
      </c>
      <c r="G6847">
        <v>0.86</v>
      </c>
      <c r="H6847">
        <v>-0.06</v>
      </c>
      <c r="I6847">
        <v>0.46</v>
      </c>
      <c r="J6847">
        <v>0.21160000000000001</v>
      </c>
      <c r="K6847" t="str">
        <f>IFERROR(INDEX(Rosters!$C$2:$C$155,MATCH($B6847,Rosters!$B$2:$B$155,0)),"NA")</f>
        <v>NA</v>
      </c>
      <c r="L6847" t="str">
        <f t="shared" si="318"/>
        <v>NA11TE</v>
      </c>
      <c r="M6847">
        <f>COUNTIF(L$1:L6847,L6847)</f>
        <v>63</v>
      </c>
      <c r="N6847" t="str">
        <f t="shared" si="319"/>
        <v>NA11TE-63</v>
      </c>
      <c r="O6847">
        <f>COUNTIFS(F$1:F6847,F6847,A$1:A6847,A6847)</f>
        <v>75</v>
      </c>
      <c r="P6847" t="str">
        <f t="shared" si="320"/>
        <v>Marcedes Lewis11</v>
      </c>
    </row>
    <row r="6848" spans="1:16" x14ac:dyDescent="0.25">
      <c r="A6848">
        <v>16</v>
      </c>
      <c r="B6848" t="s">
        <v>288</v>
      </c>
      <c r="C6848">
        <f>-0.06-0.86</f>
        <v>-0.91999999999999993</v>
      </c>
      <c r="D6848">
        <v>0.4</v>
      </c>
      <c r="E6848" t="s">
        <v>73</v>
      </c>
      <c r="F6848" t="s">
        <v>114</v>
      </c>
      <c r="G6848">
        <v>0.86</v>
      </c>
      <c r="H6848">
        <v>-0.06</v>
      </c>
      <c r="I6848">
        <v>0.46</v>
      </c>
      <c r="J6848">
        <v>0.21160000000000001</v>
      </c>
      <c r="K6848" t="str">
        <f>IFERROR(INDEX(Rosters!$C$2:$C$155,MATCH($B6848,Rosters!$B$2:$B$155,0)),"NA")</f>
        <v>NA</v>
      </c>
      <c r="L6848" t="str">
        <f t="shared" si="318"/>
        <v>NA16TE</v>
      </c>
      <c r="M6848">
        <f>COUNTIF(L$1:L6848,L6848)</f>
        <v>84</v>
      </c>
      <c r="N6848" t="str">
        <f t="shared" si="319"/>
        <v>NA16TE-84</v>
      </c>
      <c r="O6848">
        <f>COUNTIFS(F$1:F6848,F6848,A$1:A6848,A6848)</f>
        <v>98</v>
      </c>
      <c r="P6848" t="str">
        <f t="shared" si="320"/>
        <v>Marcedes Lewis16</v>
      </c>
    </row>
    <row r="6849" spans="1:16" x14ac:dyDescent="0.25">
      <c r="A6849">
        <v>14</v>
      </c>
      <c r="B6849" t="s">
        <v>328</v>
      </c>
      <c r="C6849">
        <f>-0.15-0.95</f>
        <v>-1.0999999999999999</v>
      </c>
      <c r="D6849">
        <v>0.4</v>
      </c>
      <c r="E6849" t="s">
        <v>73</v>
      </c>
      <c r="F6849" t="s">
        <v>47</v>
      </c>
      <c r="G6849">
        <v>0.95</v>
      </c>
      <c r="H6849">
        <v>-0.15</v>
      </c>
      <c r="I6849">
        <v>0.55000000000000004</v>
      </c>
      <c r="J6849">
        <v>0.30249999999999999</v>
      </c>
      <c r="K6849" t="str">
        <f>IFERROR(INDEX(Rosters!$C$2:$C$155,MATCH($B6849,Rosters!$B$2:$B$155,0)),"NA")</f>
        <v>NA</v>
      </c>
      <c r="L6849" t="str">
        <f t="shared" si="318"/>
        <v>NA14RB</v>
      </c>
      <c r="M6849">
        <f>COUNTIF(L$1:L6849,L6849)</f>
        <v>77</v>
      </c>
      <c r="N6849" t="str">
        <f t="shared" si="319"/>
        <v>NA14RB-77</v>
      </c>
      <c r="O6849">
        <f>COUNTIFS(F$1:F6849,F6849,A$1:A6849,A6849)</f>
        <v>124</v>
      </c>
      <c r="P6849" t="str">
        <f t="shared" si="320"/>
        <v>Patrick DiMarco14</v>
      </c>
    </row>
    <row r="6850" spans="1:16" x14ac:dyDescent="0.25">
      <c r="A6850">
        <v>4</v>
      </c>
      <c r="B6850" t="s">
        <v>1319</v>
      </c>
      <c r="C6850">
        <f>-0.06-0.86</f>
        <v>-0.91999999999999993</v>
      </c>
      <c r="D6850">
        <v>0.4</v>
      </c>
      <c r="E6850" t="s">
        <v>72</v>
      </c>
      <c r="F6850" t="s">
        <v>47</v>
      </c>
      <c r="G6850">
        <v>0.86</v>
      </c>
      <c r="H6850">
        <v>-0.06</v>
      </c>
      <c r="I6850">
        <v>0.46</v>
      </c>
      <c r="J6850">
        <v>0.21160000000000001</v>
      </c>
      <c r="K6850" t="str">
        <f>IFERROR(INDEX(Rosters!$C$2:$C$155,MATCH($B6850,Rosters!$B$2:$B$155,0)),"NA")</f>
        <v>NA</v>
      </c>
      <c r="L6850" t="str">
        <f t="shared" si="318"/>
        <v>NA4RB</v>
      </c>
      <c r="M6850">
        <f>COUNTIF(L$1:L6850,L6850)</f>
        <v>57</v>
      </c>
      <c r="N6850" t="str">
        <f t="shared" si="319"/>
        <v>NA4RB-57</v>
      </c>
      <c r="O6850">
        <f>COUNTIFS(F$1:F6850,F6850,A$1:A6850,A6850)</f>
        <v>96</v>
      </c>
      <c r="P6850" t="str">
        <f t="shared" si="320"/>
        <v>Ronald Jones4</v>
      </c>
    </row>
    <row r="6851" spans="1:16" x14ac:dyDescent="0.25">
      <c r="A6851">
        <v>17</v>
      </c>
      <c r="B6851" t="s">
        <v>337</v>
      </c>
      <c r="C6851" t="s">
        <v>3881</v>
      </c>
      <c r="D6851">
        <v>0.4</v>
      </c>
      <c r="E6851" t="s">
        <v>76</v>
      </c>
      <c r="F6851" t="s">
        <v>87</v>
      </c>
      <c r="G6851">
        <v>0.79</v>
      </c>
      <c r="H6851">
        <v>0.01</v>
      </c>
      <c r="I6851">
        <v>0.39</v>
      </c>
      <c r="J6851">
        <v>0.15210000000000001</v>
      </c>
      <c r="K6851" t="str">
        <f>IFERROR(INDEX(Rosters!$C$2:$C$155,MATCH($B6851,Rosters!$B$2:$B$155,0)),"NA")</f>
        <v>NA</v>
      </c>
      <c r="L6851" t="str">
        <f t="shared" ref="L6851:L6914" si="321">K6851&amp;A6851&amp;F6851</f>
        <v>NA17WR</v>
      </c>
      <c r="M6851">
        <f>COUNTIF(L$1:L6851,L6851)</f>
        <v>123</v>
      </c>
      <c r="N6851" t="str">
        <f t="shared" ref="N6851:N6914" si="322">L6851&amp;"-"&amp;M6851</f>
        <v>NA17WR-123</v>
      </c>
      <c r="O6851">
        <f>COUNTIFS(F$1:F6851,F6851,A$1:A6851,A6851)</f>
        <v>177</v>
      </c>
      <c r="P6851" t="str">
        <f t="shared" ref="P6851:P6914" si="323">B6851&amp;A6851</f>
        <v>Sammie Coates17</v>
      </c>
    </row>
    <row r="6852" spans="1:16" x14ac:dyDescent="0.25">
      <c r="A6852">
        <v>16</v>
      </c>
      <c r="B6852" t="s">
        <v>332</v>
      </c>
      <c r="C6852" t="s">
        <v>4742</v>
      </c>
      <c r="D6852">
        <v>0.4</v>
      </c>
      <c r="E6852" t="s">
        <v>76</v>
      </c>
      <c r="F6852" t="s">
        <v>47</v>
      </c>
      <c r="G6852">
        <v>0.78</v>
      </c>
      <c r="H6852">
        <v>0.02</v>
      </c>
      <c r="I6852">
        <v>0.38</v>
      </c>
      <c r="J6852">
        <v>0.1444</v>
      </c>
      <c r="K6852" t="str">
        <f>IFERROR(INDEX(Rosters!$C$2:$C$155,MATCH($B6852,Rosters!$B$2:$B$155,0)),"NA")</f>
        <v>NA</v>
      </c>
      <c r="L6852" t="str">
        <f t="shared" si="321"/>
        <v>NA16RB</v>
      </c>
      <c r="M6852">
        <f>COUNTIF(L$1:L6852,L6852)</f>
        <v>79</v>
      </c>
      <c r="N6852" t="str">
        <f t="shared" si="322"/>
        <v>NA16RB-79</v>
      </c>
      <c r="O6852">
        <f>COUNTIFS(F$1:F6852,F6852,A$1:A6852,A6852)</f>
        <v>126</v>
      </c>
      <c r="P6852" t="str">
        <f t="shared" si="323"/>
        <v>Senorise Perry16</v>
      </c>
    </row>
    <row r="6853" spans="1:16" x14ac:dyDescent="0.25">
      <c r="A6853">
        <v>6</v>
      </c>
      <c r="B6853" t="s">
        <v>4254</v>
      </c>
      <c r="C6853">
        <f>-0.03-0.83</f>
        <v>-0.86</v>
      </c>
      <c r="D6853">
        <v>0.4</v>
      </c>
      <c r="E6853" t="s">
        <v>25</v>
      </c>
      <c r="F6853" t="s">
        <v>47</v>
      </c>
      <c r="G6853">
        <v>0.83</v>
      </c>
      <c r="H6853">
        <v>-0.03</v>
      </c>
      <c r="I6853">
        <v>0.43</v>
      </c>
      <c r="J6853">
        <v>0.18490000000000001</v>
      </c>
      <c r="K6853" t="str">
        <f>IFERROR(INDEX(Rosters!$C$2:$C$155,MATCH($B6853,Rosters!$B$2:$B$155,0)),"NA")</f>
        <v>NA</v>
      </c>
      <c r="L6853" t="str">
        <f t="shared" si="321"/>
        <v>NA6RB</v>
      </c>
      <c r="M6853">
        <f>COUNTIF(L$1:L6853,L6853)</f>
        <v>67</v>
      </c>
      <c r="N6853" t="str">
        <f t="shared" si="322"/>
        <v>NA6RB-67</v>
      </c>
      <c r="O6853">
        <f>COUNTIFS(F$1:F6853,F6853,A$1:A6853,A6853)</f>
        <v>109</v>
      </c>
      <c r="P6853" t="str">
        <f t="shared" si="323"/>
        <v>T.J. Logan6</v>
      </c>
    </row>
    <row r="6854" spans="1:16" x14ac:dyDescent="0.25">
      <c r="A6854">
        <v>16</v>
      </c>
      <c r="B6854" t="s">
        <v>222</v>
      </c>
      <c r="C6854">
        <f>-0.1-0.9</f>
        <v>-1</v>
      </c>
      <c r="D6854">
        <v>0.4</v>
      </c>
      <c r="E6854" t="s">
        <v>17</v>
      </c>
      <c r="F6854" t="s">
        <v>87</v>
      </c>
      <c r="G6854">
        <v>0.9</v>
      </c>
      <c r="H6854">
        <v>-0.1</v>
      </c>
      <c r="I6854">
        <v>0.5</v>
      </c>
      <c r="J6854">
        <v>0.25</v>
      </c>
      <c r="K6854" t="str">
        <f>IFERROR(INDEX(Rosters!$C$2:$C$155,MATCH($B6854,Rosters!$B$2:$B$155,0)),"NA")</f>
        <v>NA</v>
      </c>
      <c r="L6854" t="str">
        <f t="shared" si="321"/>
        <v>NA16WR</v>
      </c>
      <c r="M6854">
        <f>COUNTIF(L$1:L6854,L6854)</f>
        <v>120</v>
      </c>
      <c r="N6854" t="str">
        <f t="shared" si="322"/>
        <v>NA16WR-120</v>
      </c>
      <c r="O6854">
        <f>COUNTIFS(F$1:F6854,F6854,A$1:A6854,A6854)</f>
        <v>174</v>
      </c>
      <c r="P6854" t="str">
        <f t="shared" si="323"/>
        <v>Terrance Williams16</v>
      </c>
    </row>
    <row r="6855" spans="1:16" x14ac:dyDescent="0.25">
      <c r="A6855">
        <v>5</v>
      </c>
      <c r="B6855" t="s">
        <v>4258</v>
      </c>
      <c r="C6855">
        <f>-0.08-0.88</f>
        <v>-0.96</v>
      </c>
      <c r="D6855">
        <v>0.4</v>
      </c>
      <c r="E6855" t="s">
        <v>73</v>
      </c>
      <c r="F6855" t="s">
        <v>87</v>
      </c>
      <c r="G6855">
        <v>0.88</v>
      </c>
      <c r="H6855">
        <v>-0.08</v>
      </c>
      <c r="I6855">
        <v>0.48</v>
      </c>
      <c r="J6855">
        <v>0.23039999999999999</v>
      </c>
      <c r="K6855" t="str">
        <f>IFERROR(INDEX(Rosters!$C$2:$C$155,MATCH($B6855,Rosters!$B$2:$B$155,0)),"NA")</f>
        <v>NA</v>
      </c>
      <c r="L6855" t="str">
        <f t="shared" si="321"/>
        <v>NA5WR</v>
      </c>
      <c r="M6855">
        <f>COUNTIF(L$1:L6855,L6855)</f>
        <v>105</v>
      </c>
      <c r="N6855" t="str">
        <f t="shared" si="322"/>
        <v>NA5WR-105</v>
      </c>
      <c r="O6855">
        <f>COUNTIFS(F$1:F6855,F6855,A$1:A6855,A6855)</f>
        <v>155</v>
      </c>
      <c r="P6855" t="str">
        <f t="shared" si="323"/>
        <v>Tim Patrick5</v>
      </c>
    </row>
    <row r="6856" spans="1:16" x14ac:dyDescent="0.25">
      <c r="A6856">
        <v>13</v>
      </c>
      <c r="B6856" t="s">
        <v>4258</v>
      </c>
      <c r="C6856">
        <f>-0.05-0.85</f>
        <v>-0.9</v>
      </c>
      <c r="D6856">
        <v>0.4</v>
      </c>
      <c r="E6856" t="s">
        <v>31</v>
      </c>
      <c r="F6856" t="s">
        <v>87</v>
      </c>
      <c r="G6856">
        <v>0.85</v>
      </c>
      <c r="H6856">
        <v>-0.05</v>
      </c>
      <c r="I6856">
        <v>0.45</v>
      </c>
      <c r="J6856">
        <v>0.20250000000000001</v>
      </c>
      <c r="K6856" t="str">
        <f>IFERROR(INDEX(Rosters!$C$2:$C$155,MATCH($B6856,Rosters!$B$2:$B$155,0)),"NA")</f>
        <v>NA</v>
      </c>
      <c r="L6856" t="str">
        <f t="shared" si="321"/>
        <v>NA13WR</v>
      </c>
      <c r="M6856">
        <f>COUNTIF(L$1:L6856,L6856)</f>
        <v>120</v>
      </c>
      <c r="N6856" t="str">
        <f t="shared" si="322"/>
        <v>NA13WR-120</v>
      </c>
      <c r="O6856">
        <f>COUNTIFS(F$1:F6856,F6856,A$1:A6856,A6856)</f>
        <v>174</v>
      </c>
      <c r="P6856" t="str">
        <f t="shared" si="323"/>
        <v>Tim Patrick13</v>
      </c>
    </row>
    <row r="6857" spans="1:16" x14ac:dyDescent="0.25">
      <c r="A6857">
        <v>14</v>
      </c>
      <c r="B6857" t="s">
        <v>4258</v>
      </c>
      <c r="C6857">
        <f>-0.01-0.81</f>
        <v>-0.82000000000000006</v>
      </c>
      <c r="D6857">
        <v>0.4</v>
      </c>
      <c r="E6857" t="s">
        <v>30</v>
      </c>
      <c r="F6857" t="s">
        <v>87</v>
      </c>
      <c r="G6857">
        <v>0.81</v>
      </c>
      <c r="H6857">
        <v>-0.01</v>
      </c>
      <c r="I6857">
        <v>0.41</v>
      </c>
      <c r="J6857">
        <v>0.1681</v>
      </c>
      <c r="K6857" t="str">
        <f>IFERROR(INDEX(Rosters!$C$2:$C$155,MATCH($B6857,Rosters!$B$2:$B$155,0)),"NA")</f>
        <v>NA</v>
      </c>
      <c r="L6857" t="str">
        <f t="shared" si="321"/>
        <v>NA14WR</v>
      </c>
      <c r="M6857">
        <f>COUNTIF(L$1:L6857,L6857)</f>
        <v>121</v>
      </c>
      <c r="N6857" t="str">
        <f t="shared" si="322"/>
        <v>NA14WR-121</v>
      </c>
      <c r="O6857">
        <f>COUNTIFS(F$1:F6857,F6857,A$1:A6857,A6857)</f>
        <v>175</v>
      </c>
      <c r="P6857" t="str">
        <f t="shared" si="323"/>
        <v>Tim Patrick14</v>
      </c>
    </row>
    <row r="6858" spans="1:16" x14ac:dyDescent="0.25">
      <c r="A6858">
        <v>3</v>
      </c>
      <c r="B6858" t="s">
        <v>1600</v>
      </c>
      <c r="C6858">
        <f>-0.07-0.87</f>
        <v>-0.94</v>
      </c>
      <c r="D6858">
        <v>0.4</v>
      </c>
      <c r="E6858" t="s">
        <v>38</v>
      </c>
      <c r="F6858" t="s">
        <v>47</v>
      </c>
      <c r="G6858">
        <v>0.87</v>
      </c>
      <c r="H6858">
        <v>-7.0000000000000007E-2</v>
      </c>
      <c r="I6858">
        <v>0.47</v>
      </c>
      <c r="J6858">
        <v>0.22090000000000001</v>
      </c>
      <c r="K6858" t="str">
        <f>IFERROR(INDEX(Rosters!$C$2:$C$155,MATCH($B6858,Rosters!$B$2:$B$155,0)),"NA")</f>
        <v>NA</v>
      </c>
      <c r="L6858" t="str">
        <f t="shared" si="321"/>
        <v>NA3RB</v>
      </c>
      <c r="M6858">
        <f>COUNTIF(L$1:L6858,L6858)</f>
        <v>57</v>
      </c>
      <c r="N6858" t="str">
        <f t="shared" si="322"/>
        <v>NA3RB-57</v>
      </c>
      <c r="O6858">
        <f>COUNTIFS(F$1:F6858,F6858,A$1:A6858,A6858)</f>
        <v>96</v>
      </c>
      <c r="P6858" t="str">
        <f t="shared" si="323"/>
        <v>Tommy Bohanon3</v>
      </c>
    </row>
    <row r="6859" spans="1:16" x14ac:dyDescent="0.25">
      <c r="A6859">
        <v>7</v>
      </c>
      <c r="B6859" t="s">
        <v>4250</v>
      </c>
      <c r="C6859">
        <f>-0.01-0.81</f>
        <v>-0.82000000000000006</v>
      </c>
      <c r="D6859">
        <v>0.4</v>
      </c>
      <c r="E6859" t="s">
        <v>73</v>
      </c>
      <c r="F6859" t="s">
        <v>114</v>
      </c>
      <c r="G6859">
        <v>0.81</v>
      </c>
      <c r="H6859">
        <v>-0.01</v>
      </c>
      <c r="I6859">
        <v>0.41</v>
      </c>
      <c r="J6859">
        <v>0.1681</v>
      </c>
      <c r="K6859" t="str">
        <f>IFERROR(INDEX(Rosters!$C$2:$C$155,MATCH($B6859,Rosters!$B$2:$B$155,0)),"NA")</f>
        <v>NA</v>
      </c>
      <c r="L6859" t="str">
        <f t="shared" si="321"/>
        <v>NA7TE</v>
      </c>
      <c r="M6859">
        <f>COUNTIF(L$1:L6859,L6859)</f>
        <v>74</v>
      </c>
      <c r="N6859" t="str">
        <f t="shared" si="322"/>
        <v>NA7TE-74</v>
      </c>
      <c r="O6859">
        <f>COUNTIFS(F$1:F6859,F6859,A$1:A6859,A6859)</f>
        <v>84</v>
      </c>
      <c r="P6859" t="str">
        <f t="shared" si="323"/>
        <v>Tyler Conklin7</v>
      </c>
    </row>
    <row r="6860" spans="1:16" x14ac:dyDescent="0.25">
      <c r="A6860">
        <v>9</v>
      </c>
      <c r="B6860" t="s">
        <v>1129</v>
      </c>
      <c r="C6860">
        <f>-0.03-0.81</f>
        <v>-0.84000000000000008</v>
      </c>
      <c r="D6860">
        <v>0.39</v>
      </c>
      <c r="E6860" t="s">
        <v>74</v>
      </c>
      <c r="F6860" t="s">
        <v>114</v>
      </c>
      <c r="G6860">
        <v>0.81</v>
      </c>
      <c r="H6860">
        <v>-0.03</v>
      </c>
      <c r="I6860">
        <v>0.42</v>
      </c>
      <c r="J6860">
        <v>0.1764</v>
      </c>
      <c r="K6860" t="str">
        <f>IFERROR(INDEX(Rosters!$C$2:$C$155,MATCH($B6860,Rosters!$B$2:$B$155,0)),"NA")</f>
        <v>NA</v>
      </c>
      <c r="L6860" t="str">
        <f t="shared" si="321"/>
        <v>NA9TE</v>
      </c>
      <c r="M6860">
        <f>COUNTIF(L$1:L6860,L6860)</f>
        <v>67</v>
      </c>
      <c r="N6860" t="str">
        <f t="shared" si="322"/>
        <v>NA9TE-67</v>
      </c>
      <c r="O6860">
        <f>COUNTIFS(F$1:F6860,F6860,A$1:A6860,A6860)</f>
        <v>78</v>
      </c>
      <c r="P6860" t="str">
        <f t="shared" si="323"/>
        <v>Alan Cross9</v>
      </c>
    </row>
    <row r="6861" spans="1:16" x14ac:dyDescent="0.25">
      <c r="A6861">
        <v>5</v>
      </c>
      <c r="B6861" t="s">
        <v>276</v>
      </c>
      <c r="C6861" t="s">
        <v>3882</v>
      </c>
      <c r="D6861">
        <v>0.39</v>
      </c>
      <c r="E6861" t="s">
        <v>38</v>
      </c>
      <c r="F6861" t="s">
        <v>87</v>
      </c>
      <c r="G6861">
        <v>0.78</v>
      </c>
      <c r="H6861">
        <v>0</v>
      </c>
      <c r="I6861">
        <v>0.39</v>
      </c>
      <c r="J6861">
        <v>0.15210000000000001</v>
      </c>
      <c r="K6861" t="str">
        <f>IFERROR(INDEX(Rosters!$C$2:$C$155,MATCH($B6861,Rosters!$B$2:$B$155,0)),"NA")</f>
        <v>NA</v>
      </c>
      <c r="L6861" t="str">
        <f t="shared" si="321"/>
        <v>NA5WR</v>
      </c>
      <c r="M6861">
        <f>COUNTIF(L$1:L6861,L6861)</f>
        <v>106</v>
      </c>
      <c r="N6861" t="str">
        <f t="shared" si="322"/>
        <v>NA5WR-106</v>
      </c>
      <c r="O6861">
        <f>COUNTIFS(F$1:F6861,F6861,A$1:A6861,A6861)</f>
        <v>156</v>
      </c>
      <c r="P6861" t="str">
        <f t="shared" si="323"/>
        <v>Andre Holmes5</v>
      </c>
    </row>
    <row r="6862" spans="1:16" x14ac:dyDescent="0.25">
      <c r="A6862">
        <v>2</v>
      </c>
      <c r="B6862" t="s">
        <v>330</v>
      </c>
      <c r="C6862">
        <f>-0.11-0.89</f>
        <v>-1</v>
      </c>
      <c r="D6862">
        <v>0.39</v>
      </c>
      <c r="E6862" t="s">
        <v>46</v>
      </c>
      <c r="F6862" t="s">
        <v>114</v>
      </c>
      <c r="G6862">
        <v>0.89</v>
      </c>
      <c r="H6862">
        <v>-0.11</v>
      </c>
      <c r="I6862">
        <v>0.5</v>
      </c>
      <c r="J6862">
        <v>0.25</v>
      </c>
      <c r="K6862" t="str">
        <f>IFERROR(INDEX(Rosters!$C$2:$C$155,MATCH($B6862,Rosters!$B$2:$B$155,0)),"NA")</f>
        <v>NA</v>
      </c>
      <c r="L6862" t="str">
        <f t="shared" si="321"/>
        <v>NA2TE</v>
      </c>
      <c r="M6862">
        <f>COUNTIF(L$1:L6862,L6862)</f>
        <v>67</v>
      </c>
      <c r="N6862" t="str">
        <f t="shared" si="322"/>
        <v>NA2TE-67</v>
      </c>
      <c r="O6862">
        <f>COUNTIFS(F$1:F6862,F6862,A$1:A6862,A6862)</f>
        <v>80</v>
      </c>
      <c r="P6862" t="str">
        <f t="shared" si="323"/>
        <v>Chris Manhertz2</v>
      </c>
    </row>
    <row r="6863" spans="1:16" x14ac:dyDescent="0.25">
      <c r="A6863">
        <v>12</v>
      </c>
      <c r="B6863" t="s">
        <v>330</v>
      </c>
      <c r="C6863">
        <f>-0.07-0.85</f>
        <v>-0.91999999999999993</v>
      </c>
      <c r="D6863">
        <v>0.39</v>
      </c>
      <c r="E6863" t="s">
        <v>28</v>
      </c>
      <c r="F6863" t="s">
        <v>114</v>
      </c>
      <c r="G6863">
        <v>0.85</v>
      </c>
      <c r="H6863">
        <v>-7.0000000000000007E-2</v>
      </c>
      <c r="I6863">
        <v>0.46</v>
      </c>
      <c r="J6863">
        <v>0.21160000000000001</v>
      </c>
      <c r="K6863" t="str">
        <f>IFERROR(INDEX(Rosters!$C$2:$C$155,MATCH($B6863,Rosters!$B$2:$B$155,0)),"NA")</f>
        <v>NA</v>
      </c>
      <c r="L6863" t="str">
        <f t="shared" si="321"/>
        <v>NA12TE</v>
      </c>
      <c r="M6863">
        <f>COUNTIF(L$1:L6863,L6863)</f>
        <v>80</v>
      </c>
      <c r="N6863" t="str">
        <f t="shared" si="322"/>
        <v>NA12TE-80</v>
      </c>
      <c r="O6863">
        <f>COUNTIFS(F$1:F6863,F6863,A$1:A6863,A6863)</f>
        <v>93</v>
      </c>
      <c r="P6863" t="str">
        <f t="shared" si="323"/>
        <v>Chris Manhertz12</v>
      </c>
    </row>
    <row r="6864" spans="1:16" x14ac:dyDescent="0.25">
      <c r="A6864">
        <v>15</v>
      </c>
      <c r="B6864" t="s">
        <v>330</v>
      </c>
      <c r="C6864">
        <f>-0.1-0.88</f>
        <v>-0.98</v>
      </c>
      <c r="D6864">
        <v>0.39</v>
      </c>
      <c r="E6864" t="s">
        <v>14</v>
      </c>
      <c r="F6864" t="s">
        <v>114</v>
      </c>
      <c r="G6864">
        <v>0.88</v>
      </c>
      <c r="H6864">
        <v>-0.1</v>
      </c>
      <c r="I6864">
        <v>0.49</v>
      </c>
      <c r="J6864">
        <v>0.24010000000000001</v>
      </c>
      <c r="K6864" t="str">
        <f>IFERROR(INDEX(Rosters!$C$2:$C$155,MATCH($B6864,Rosters!$B$2:$B$155,0)),"NA")</f>
        <v>NA</v>
      </c>
      <c r="L6864" t="str">
        <f t="shared" si="321"/>
        <v>NA15TE</v>
      </c>
      <c r="M6864">
        <f>COUNTIF(L$1:L6864,L6864)</f>
        <v>83</v>
      </c>
      <c r="N6864" t="str">
        <f t="shared" si="322"/>
        <v>NA15TE-83</v>
      </c>
      <c r="O6864">
        <f>COUNTIFS(F$1:F6864,F6864,A$1:A6864,A6864)</f>
        <v>97</v>
      </c>
      <c r="P6864" t="str">
        <f t="shared" si="323"/>
        <v>Chris Manhertz15</v>
      </c>
    </row>
    <row r="6865" spans="1:16" x14ac:dyDescent="0.25">
      <c r="A6865">
        <v>16</v>
      </c>
      <c r="B6865" t="s">
        <v>330</v>
      </c>
      <c r="C6865">
        <f>-0.08-0.86</f>
        <v>-0.94</v>
      </c>
      <c r="D6865">
        <v>0.39</v>
      </c>
      <c r="E6865" t="s">
        <v>46</v>
      </c>
      <c r="F6865" t="s">
        <v>114</v>
      </c>
      <c r="G6865">
        <v>0.86</v>
      </c>
      <c r="H6865">
        <v>-0.08</v>
      </c>
      <c r="I6865">
        <v>0.47</v>
      </c>
      <c r="J6865">
        <v>0.22090000000000001</v>
      </c>
      <c r="K6865" t="str">
        <f>IFERROR(INDEX(Rosters!$C$2:$C$155,MATCH($B6865,Rosters!$B$2:$B$155,0)),"NA")</f>
        <v>NA</v>
      </c>
      <c r="L6865" t="str">
        <f t="shared" si="321"/>
        <v>NA16TE</v>
      </c>
      <c r="M6865">
        <f>COUNTIF(L$1:L6865,L6865)</f>
        <v>85</v>
      </c>
      <c r="N6865" t="str">
        <f t="shared" si="322"/>
        <v>NA16TE-85</v>
      </c>
      <c r="O6865">
        <f>COUNTIFS(F$1:F6865,F6865,A$1:A6865,A6865)</f>
        <v>99</v>
      </c>
      <c r="P6865" t="str">
        <f t="shared" si="323"/>
        <v>Chris Manhertz16</v>
      </c>
    </row>
    <row r="6866" spans="1:16" x14ac:dyDescent="0.25">
      <c r="A6866">
        <v>2</v>
      </c>
      <c r="B6866" t="s">
        <v>357</v>
      </c>
      <c r="C6866">
        <f>-0.08-0.86</f>
        <v>-0.94</v>
      </c>
      <c r="D6866">
        <v>0.39</v>
      </c>
      <c r="E6866" t="s">
        <v>31</v>
      </c>
      <c r="F6866" t="s">
        <v>87</v>
      </c>
      <c r="G6866">
        <v>0.86</v>
      </c>
      <c r="H6866">
        <v>-0.08</v>
      </c>
      <c r="I6866">
        <v>0.47</v>
      </c>
      <c r="J6866">
        <v>0.22090000000000001</v>
      </c>
      <c r="K6866" t="str">
        <f>IFERROR(INDEX(Rosters!$C$2:$C$155,MATCH($B6866,Rosters!$B$2:$B$155,0)),"NA")</f>
        <v>NA</v>
      </c>
      <c r="L6866" t="str">
        <f t="shared" si="321"/>
        <v>NA2WR</v>
      </c>
      <c r="M6866">
        <f>COUNTIF(L$1:L6866,L6866)</f>
        <v>87</v>
      </c>
      <c r="N6866" t="str">
        <f t="shared" si="322"/>
        <v>NA2WR-87</v>
      </c>
      <c r="O6866">
        <f>COUNTIFS(F$1:F6866,F6866,A$1:A6866,A6866)</f>
        <v>136</v>
      </c>
      <c r="P6866" t="str">
        <f t="shared" si="323"/>
        <v>Chris Moore2</v>
      </c>
    </row>
    <row r="6867" spans="1:16" x14ac:dyDescent="0.25">
      <c r="A6867">
        <v>3</v>
      </c>
      <c r="B6867" t="s">
        <v>342</v>
      </c>
      <c r="C6867">
        <f>-0.13-0.91</f>
        <v>-1.04</v>
      </c>
      <c r="D6867">
        <v>0.39</v>
      </c>
      <c r="E6867" t="s">
        <v>74</v>
      </c>
      <c r="F6867" t="s">
        <v>87</v>
      </c>
      <c r="G6867">
        <v>0.91</v>
      </c>
      <c r="H6867">
        <v>-0.13</v>
      </c>
      <c r="I6867">
        <v>0.52</v>
      </c>
      <c r="J6867">
        <v>0.27039999999999997</v>
      </c>
      <c r="K6867" t="str">
        <f>IFERROR(INDEX(Rosters!$C$2:$C$155,MATCH($B6867,Rosters!$B$2:$B$155,0)),"NA")</f>
        <v>NA</v>
      </c>
      <c r="L6867" t="str">
        <f t="shared" si="321"/>
        <v>NA3WR</v>
      </c>
      <c r="M6867">
        <f>COUNTIF(L$1:L6867,L6867)</f>
        <v>97</v>
      </c>
      <c r="N6867" t="str">
        <f t="shared" si="322"/>
        <v>NA3WR-97</v>
      </c>
      <c r="O6867">
        <f>COUNTIFS(F$1:F6867,F6867,A$1:A6867,A6867)</f>
        <v>146</v>
      </c>
      <c r="P6867" t="str">
        <f t="shared" si="323"/>
        <v>Cody Core3</v>
      </c>
    </row>
    <row r="6868" spans="1:16" x14ac:dyDescent="0.25">
      <c r="A6868">
        <v>2</v>
      </c>
      <c r="B6868" t="s">
        <v>341</v>
      </c>
      <c r="C6868">
        <f>-0.09-0.87</f>
        <v>-0.96</v>
      </c>
      <c r="D6868">
        <v>0.39</v>
      </c>
      <c r="E6868" t="s">
        <v>51</v>
      </c>
      <c r="F6868" t="s">
        <v>87</v>
      </c>
      <c r="G6868">
        <v>0.87</v>
      </c>
      <c r="H6868">
        <v>-0.09</v>
      </c>
      <c r="I6868">
        <v>0.48</v>
      </c>
      <c r="J6868">
        <v>0.23039999999999999</v>
      </c>
      <c r="K6868" t="str">
        <f>IFERROR(INDEX(Rosters!$C$2:$C$155,MATCH($B6868,Rosters!$B$2:$B$155,0)),"NA")</f>
        <v>NA</v>
      </c>
      <c r="L6868" t="str">
        <f t="shared" si="321"/>
        <v>NA2WR</v>
      </c>
      <c r="M6868">
        <f>COUNTIF(L$1:L6868,L6868)</f>
        <v>88</v>
      </c>
      <c r="N6868" t="str">
        <f t="shared" si="322"/>
        <v>NA2WR-88</v>
      </c>
      <c r="O6868">
        <f>COUNTIFS(F$1:F6868,F6868,A$1:A6868,A6868)</f>
        <v>137</v>
      </c>
      <c r="P6868" t="str">
        <f t="shared" si="323"/>
        <v>Demarcus Robinson2</v>
      </c>
    </row>
    <row r="6869" spans="1:16" x14ac:dyDescent="0.25">
      <c r="A6869">
        <v>4</v>
      </c>
      <c r="B6869" t="s">
        <v>341</v>
      </c>
      <c r="C6869">
        <f>-0.09-0.87</f>
        <v>-0.96</v>
      </c>
      <c r="D6869">
        <v>0.39</v>
      </c>
      <c r="E6869" t="s">
        <v>42</v>
      </c>
      <c r="F6869" t="s">
        <v>87</v>
      </c>
      <c r="G6869">
        <v>0.87</v>
      </c>
      <c r="H6869">
        <v>-0.09</v>
      </c>
      <c r="I6869">
        <v>0.48</v>
      </c>
      <c r="J6869">
        <v>0.23039999999999999</v>
      </c>
      <c r="K6869" t="str">
        <f>IFERROR(INDEX(Rosters!$C$2:$C$155,MATCH($B6869,Rosters!$B$2:$B$155,0)),"NA")</f>
        <v>NA</v>
      </c>
      <c r="L6869" t="str">
        <f t="shared" si="321"/>
        <v>NA4WR</v>
      </c>
      <c r="M6869">
        <f>COUNTIF(L$1:L6869,L6869)</f>
        <v>93</v>
      </c>
      <c r="N6869" t="str">
        <f t="shared" si="322"/>
        <v>NA4WR-93</v>
      </c>
      <c r="O6869">
        <f>COUNTIFS(F$1:F6869,F6869,A$1:A6869,A6869)</f>
        <v>143</v>
      </c>
      <c r="P6869" t="str">
        <f t="shared" si="323"/>
        <v>Demarcus Robinson4</v>
      </c>
    </row>
    <row r="6870" spans="1:16" x14ac:dyDescent="0.25">
      <c r="A6870">
        <v>15</v>
      </c>
      <c r="B6870" t="s">
        <v>341</v>
      </c>
      <c r="C6870">
        <f>-0.04-0.82</f>
        <v>-0.86</v>
      </c>
      <c r="D6870">
        <v>0.39</v>
      </c>
      <c r="E6870" t="s">
        <v>37</v>
      </c>
      <c r="F6870" t="s">
        <v>87</v>
      </c>
      <c r="G6870">
        <v>0.82</v>
      </c>
      <c r="H6870">
        <v>-0.04</v>
      </c>
      <c r="I6870">
        <v>0.43</v>
      </c>
      <c r="J6870">
        <v>0.18490000000000001</v>
      </c>
      <c r="K6870" t="str">
        <f>IFERROR(INDEX(Rosters!$C$2:$C$155,MATCH($B6870,Rosters!$B$2:$B$155,0)),"NA")</f>
        <v>NA</v>
      </c>
      <c r="L6870" t="str">
        <f t="shared" si="321"/>
        <v>NA15WR</v>
      </c>
      <c r="M6870">
        <f>COUNTIF(L$1:L6870,L6870)</f>
        <v>120</v>
      </c>
      <c r="N6870" t="str">
        <f t="shared" si="322"/>
        <v>NA15WR-120</v>
      </c>
      <c r="O6870">
        <f>COUNTIFS(F$1:F6870,F6870,A$1:A6870,A6870)</f>
        <v>174</v>
      </c>
      <c r="P6870" t="str">
        <f t="shared" si="323"/>
        <v>Demarcus Robinson15</v>
      </c>
    </row>
    <row r="6871" spans="1:16" x14ac:dyDescent="0.25">
      <c r="A6871">
        <v>10</v>
      </c>
      <c r="B6871" t="s">
        <v>1127</v>
      </c>
      <c r="C6871">
        <f>-0.07-0.85</f>
        <v>-0.91999999999999993</v>
      </c>
      <c r="D6871">
        <v>0.39</v>
      </c>
      <c r="E6871" t="s">
        <v>37</v>
      </c>
      <c r="F6871" t="s">
        <v>87</v>
      </c>
      <c r="G6871">
        <v>0.85</v>
      </c>
      <c r="H6871">
        <v>-7.0000000000000007E-2</v>
      </c>
      <c r="I6871">
        <v>0.46</v>
      </c>
      <c r="J6871">
        <v>0.21160000000000001</v>
      </c>
      <c r="K6871" t="str">
        <f>IFERROR(INDEX(Rosters!$C$2:$C$155,MATCH($B6871,Rosters!$B$2:$B$155,0)),"NA")</f>
        <v>NA</v>
      </c>
      <c r="L6871" t="str">
        <f t="shared" si="321"/>
        <v>NA10WR</v>
      </c>
      <c r="M6871">
        <f>COUNTIF(L$1:L6871,L6871)</f>
        <v>109</v>
      </c>
      <c r="N6871" t="str">
        <f t="shared" si="322"/>
        <v>NA10WR-109</v>
      </c>
      <c r="O6871">
        <f>COUNTIFS(F$1:F6871,F6871,A$1:A6871,A6871)</f>
        <v>154</v>
      </c>
      <c r="P6871" t="str">
        <f t="shared" si="323"/>
        <v>Dwayne Harris10</v>
      </c>
    </row>
    <row r="6872" spans="1:16" x14ac:dyDescent="0.25">
      <c r="A6872">
        <v>12</v>
      </c>
      <c r="B6872" t="s">
        <v>2964</v>
      </c>
      <c r="C6872">
        <f>-0.05-0.83</f>
        <v>-0.88</v>
      </c>
      <c r="D6872">
        <v>0.39</v>
      </c>
      <c r="E6872" t="s">
        <v>46</v>
      </c>
      <c r="F6872" t="s">
        <v>47</v>
      </c>
      <c r="G6872">
        <v>0.83</v>
      </c>
      <c r="H6872">
        <v>-0.05</v>
      </c>
      <c r="I6872">
        <v>0.44</v>
      </c>
      <c r="J6872">
        <v>0.19359999999999999</v>
      </c>
      <c r="K6872" t="str">
        <f>IFERROR(INDEX(Rosters!$C$2:$C$155,MATCH($B6872,Rosters!$B$2:$B$155,0)),"NA")</f>
        <v>NA</v>
      </c>
      <c r="L6872" t="str">
        <f t="shared" si="321"/>
        <v>NA12RB</v>
      </c>
      <c r="M6872">
        <f>COUNTIF(L$1:L6872,L6872)</f>
        <v>76</v>
      </c>
      <c r="N6872" t="str">
        <f t="shared" si="322"/>
        <v>NA12RB-76</v>
      </c>
      <c r="O6872">
        <f>COUNTIFS(F$1:F6872,F6872,A$1:A6872,A6872)</f>
        <v>121</v>
      </c>
      <c r="P6872" t="str">
        <f t="shared" si="323"/>
        <v>Dwayne Washington12</v>
      </c>
    </row>
    <row r="6873" spans="1:16" x14ac:dyDescent="0.25">
      <c r="A6873">
        <v>14</v>
      </c>
      <c r="B6873" t="s">
        <v>2964</v>
      </c>
      <c r="C6873">
        <f>-0.13-0.91</f>
        <v>-1.04</v>
      </c>
      <c r="D6873">
        <v>0.39</v>
      </c>
      <c r="E6873" t="s">
        <v>17</v>
      </c>
      <c r="F6873" t="s">
        <v>47</v>
      </c>
      <c r="G6873">
        <v>0.91</v>
      </c>
      <c r="H6873">
        <v>-0.13</v>
      </c>
      <c r="I6873">
        <v>0.52</v>
      </c>
      <c r="J6873">
        <v>0.27039999999999997</v>
      </c>
      <c r="K6873" t="str">
        <f>IFERROR(INDEX(Rosters!$C$2:$C$155,MATCH($B6873,Rosters!$B$2:$B$155,0)),"NA")</f>
        <v>NA</v>
      </c>
      <c r="L6873" t="str">
        <f t="shared" si="321"/>
        <v>NA14RB</v>
      </c>
      <c r="M6873">
        <f>COUNTIF(L$1:L6873,L6873)</f>
        <v>78</v>
      </c>
      <c r="N6873" t="str">
        <f t="shared" si="322"/>
        <v>NA14RB-78</v>
      </c>
      <c r="O6873">
        <f>COUNTIFS(F$1:F6873,F6873,A$1:A6873,A6873)</f>
        <v>125</v>
      </c>
      <c r="P6873" t="str">
        <f t="shared" si="323"/>
        <v>Dwayne Washington14</v>
      </c>
    </row>
    <row r="6874" spans="1:16" x14ac:dyDescent="0.25">
      <c r="A6874">
        <v>6</v>
      </c>
      <c r="B6874" t="s">
        <v>1624</v>
      </c>
      <c r="C6874">
        <f>-0.1-0.88</f>
        <v>-0.98</v>
      </c>
      <c r="D6874">
        <v>0.39</v>
      </c>
      <c r="E6874" t="s">
        <v>25</v>
      </c>
      <c r="F6874" t="s">
        <v>114</v>
      </c>
      <c r="G6874">
        <v>0.88</v>
      </c>
      <c r="H6874">
        <v>-0.1</v>
      </c>
      <c r="I6874">
        <v>0.49</v>
      </c>
      <c r="J6874">
        <v>0.24010000000000001</v>
      </c>
      <c r="K6874" t="str">
        <f>IFERROR(INDEX(Rosters!$C$2:$C$155,MATCH($B6874,Rosters!$B$2:$B$155,0)),"NA")</f>
        <v>NA</v>
      </c>
      <c r="L6874" t="str">
        <f t="shared" si="321"/>
        <v>NA6TE</v>
      </c>
      <c r="M6874">
        <f>COUNTIF(L$1:L6874,L6874)</f>
        <v>73</v>
      </c>
      <c r="N6874" t="str">
        <f t="shared" si="322"/>
        <v>NA6TE-73</v>
      </c>
      <c r="O6874">
        <f>COUNTIFS(F$1:F6874,F6874,A$1:A6874,A6874)</f>
        <v>85</v>
      </c>
      <c r="P6874" t="str">
        <f t="shared" si="323"/>
        <v>Gabe Holmes6</v>
      </c>
    </row>
    <row r="6875" spans="1:16" x14ac:dyDescent="0.25">
      <c r="A6875">
        <v>7</v>
      </c>
      <c r="B6875" t="s">
        <v>1624</v>
      </c>
      <c r="C6875">
        <f>-0.04-0.82</f>
        <v>-0.86</v>
      </c>
      <c r="D6875">
        <v>0.39</v>
      </c>
      <c r="E6875" t="s">
        <v>42</v>
      </c>
      <c r="F6875" t="s">
        <v>114</v>
      </c>
      <c r="G6875">
        <v>0.82</v>
      </c>
      <c r="H6875">
        <v>-0.04</v>
      </c>
      <c r="I6875">
        <v>0.43</v>
      </c>
      <c r="J6875">
        <v>0.18490000000000001</v>
      </c>
      <c r="K6875" t="str">
        <f>IFERROR(INDEX(Rosters!$C$2:$C$155,MATCH($B6875,Rosters!$B$2:$B$155,0)),"NA")</f>
        <v>NA</v>
      </c>
      <c r="L6875" t="str">
        <f t="shared" si="321"/>
        <v>NA7TE</v>
      </c>
      <c r="M6875">
        <f>COUNTIF(L$1:L6875,L6875)</f>
        <v>75</v>
      </c>
      <c r="N6875" t="str">
        <f t="shared" si="322"/>
        <v>NA7TE-75</v>
      </c>
      <c r="O6875">
        <f>COUNTIFS(F$1:F6875,F6875,A$1:A6875,A6875)</f>
        <v>85</v>
      </c>
      <c r="P6875" t="str">
        <f t="shared" si="323"/>
        <v>Gabe Holmes7</v>
      </c>
    </row>
    <row r="6876" spans="1:16" x14ac:dyDescent="0.25">
      <c r="A6876">
        <v>2</v>
      </c>
      <c r="B6876" t="s">
        <v>4251</v>
      </c>
      <c r="C6876">
        <f>-0.02-0.8</f>
        <v>-0.82000000000000006</v>
      </c>
      <c r="D6876">
        <v>0.39</v>
      </c>
      <c r="E6876" t="s">
        <v>37</v>
      </c>
      <c r="F6876" t="s">
        <v>114</v>
      </c>
      <c r="G6876">
        <v>0.8</v>
      </c>
      <c r="H6876">
        <v>-0.02</v>
      </c>
      <c r="I6876">
        <v>0.41</v>
      </c>
      <c r="J6876">
        <v>0.1681</v>
      </c>
      <c r="K6876" t="str">
        <f>IFERROR(INDEX(Rosters!$C$2:$C$155,MATCH($B6876,Rosters!$B$2:$B$155,0)),"NA")</f>
        <v>NA</v>
      </c>
      <c r="L6876" t="str">
        <f t="shared" si="321"/>
        <v>NA2TE</v>
      </c>
      <c r="M6876">
        <f>COUNTIF(L$1:L6876,L6876)</f>
        <v>68</v>
      </c>
      <c r="N6876" t="str">
        <f t="shared" si="322"/>
        <v>NA2TE-68</v>
      </c>
      <c r="O6876">
        <f>COUNTIFS(F$1:F6876,F6876,A$1:A6876,A6876)</f>
        <v>81</v>
      </c>
      <c r="P6876" t="str">
        <f t="shared" si="323"/>
        <v>Jason Croom2</v>
      </c>
    </row>
    <row r="6877" spans="1:16" x14ac:dyDescent="0.25">
      <c r="A6877">
        <v>8</v>
      </c>
      <c r="B6877" t="s">
        <v>4687</v>
      </c>
      <c r="C6877">
        <f>-0.05-0.83</f>
        <v>-0.88</v>
      </c>
      <c r="D6877">
        <v>0.39</v>
      </c>
      <c r="E6877" t="s">
        <v>76</v>
      </c>
      <c r="F6877" t="s">
        <v>47</v>
      </c>
      <c r="G6877">
        <v>0.83</v>
      </c>
      <c r="H6877">
        <v>-0.05</v>
      </c>
      <c r="I6877">
        <v>0.44</v>
      </c>
      <c r="J6877">
        <v>0.19359999999999999</v>
      </c>
      <c r="K6877" t="str">
        <f>IFERROR(INDEX(Rosters!$C$2:$C$155,MATCH($B6877,Rosters!$B$2:$B$155,0)),"NA")</f>
        <v>NA</v>
      </c>
      <c r="L6877" t="str">
        <f t="shared" si="321"/>
        <v>NA8RB</v>
      </c>
      <c r="M6877">
        <f>COUNTIF(L$1:L6877,L6877)</f>
        <v>70</v>
      </c>
      <c r="N6877" t="str">
        <f t="shared" si="322"/>
        <v>NA8RB-70</v>
      </c>
      <c r="O6877">
        <f>COUNTIFS(F$1:F6877,F6877,A$1:A6877,A6877)</f>
        <v>110</v>
      </c>
      <c r="P6877" t="str">
        <f t="shared" si="323"/>
        <v>Josh Adams8</v>
      </c>
    </row>
    <row r="6878" spans="1:16" x14ac:dyDescent="0.25">
      <c r="A6878">
        <v>7</v>
      </c>
      <c r="B6878" t="s">
        <v>1631</v>
      </c>
      <c r="C6878">
        <f>-0.11-0.89</f>
        <v>-1</v>
      </c>
      <c r="D6878">
        <v>0.39</v>
      </c>
      <c r="E6878" t="s">
        <v>24</v>
      </c>
      <c r="F6878" t="s">
        <v>87</v>
      </c>
      <c r="G6878">
        <v>0.89</v>
      </c>
      <c r="H6878">
        <v>-0.11</v>
      </c>
      <c r="I6878">
        <v>0.5</v>
      </c>
      <c r="J6878">
        <v>0.25</v>
      </c>
      <c r="K6878" t="str">
        <f>IFERROR(INDEX(Rosters!$C$2:$C$155,MATCH($B6878,Rosters!$B$2:$B$155,0)),"NA")</f>
        <v>NA</v>
      </c>
      <c r="L6878" t="str">
        <f t="shared" si="321"/>
        <v>NA7WR</v>
      </c>
      <c r="M6878">
        <f>COUNTIF(L$1:L6878,L6878)</f>
        <v>104</v>
      </c>
      <c r="N6878" t="str">
        <f t="shared" si="322"/>
        <v>NA7WR-104</v>
      </c>
      <c r="O6878">
        <f>COUNTIFS(F$1:F6878,F6878,A$1:A6878,A6878)</f>
        <v>149</v>
      </c>
      <c r="P6878" t="str">
        <f t="shared" si="323"/>
        <v>Josh Malone7</v>
      </c>
    </row>
    <row r="6879" spans="1:16" x14ac:dyDescent="0.25">
      <c r="A6879">
        <v>11</v>
      </c>
      <c r="B6879" t="s">
        <v>1593</v>
      </c>
      <c r="C6879">
        <f>-0.12-0.9</f>
        <v>-1.02</v>
      </c>
      <c r="D6879">
        <v>0.39</v>
      </c>
      <c r="E6879" t="s">
        <v>24</v>
      </c>
      <c r="F6879" t="s">
        <v>87</v>
      </c>
      <c r="G6879">
        <v>0.9</v>
      </c>
      <c r="H6879">
        <v>-0.12</v>
      </c>
      <c r="I6879">
        <v>0.51</v>
      </c>
      <c r="J6879">
        <v>0.2601</v>
      </c>
      <c r="K6879" t="str">
        <f>IFERROR(INDEX(Rosters!$C$2:$C$155,MATCH($B6879,Rosters!$B$2:$B$155,0)),"NA")</f>
        <v>NA</v>
      </c>
      <c r="L6879" t="str">
        <f t="shared" si="321"/>
        <v>NA11WR</v>
      </c>
      <c r="M6879">
        <f>COUNTIF(L$1:L6879,L6879)</f>
        <v>94</v>
      </c>
      <c r="N6879" t="str">
        <f t="shared" si="322"/>
        <v>NA11WR-94</v>
      </c>
      <c r="O6879">
        <f>COUNTIFS(F$1:F6879,F6879,A$1:A6879,A6879)</f>
        <v>141</v>
      </c>
      <c r="P6879" t="str">
        <f t="shared" si="323"/>
        <v>Josh Reynolds11</v>
      </c>
    </row>
    <row r="6880" spans="1:16" x14ac:dyDescent="0.25">
      <c r="A6880">
        <v>13</v>
      </c>
      <c r="B6880" t="s">
        <v>1593</v>
      </c>
      <c r="C6880">
        <f>-0.11-0.89</f>
        <v>-1</v>
      </c>
      <c r="D6880">
        <v>0.39</v>
      </c>
      <c r="E6880" t="s">
        <v>34</v>
      </c>
      <c r="F6880" t="s">
        <v>87</v>
      </c>
      <c r="G6880">
        <v>0.89</v>
      </c>
      <c r="H6880">
        <v>-0.11</v>
      </c>
      <c r="I6880">
        <v>0.5</v>
      </c>
      <c r="J6880">
        <v>0.25</v>
      </c>
      <c r="K6880" t="str">
        <f>IFERROR(INDEX(Rosters!$C$2:$C$155,MATCH($B6880,Rosters!$B$2:$B$155,0)),"NA")</f>
        <v>NA</v>
      </c>
      <c r="L6880" t="str">
        <f t="shared" si="321"/>
        <v>NA13WR</v>
      </c>
      <c r="M6880">
        <f>COUNTIF(L$1:L6880,L6880)</f>
        <v>121</v>
      </c>
      <c r="N6880" t="str">
        <f t="shared" si="322"/>
        <v>NA13WR-121</v>
      </c>
      <c r="O6880">
        <f>COUNTIFS(F$1:F6880,F6880,A$1:A6880,A6880)</f>
        <v>175</v>
      </c>
      <c r="P6880" t="str">
        <f t="shared" si="323"/>
        <v>Josh Reynolds13</v>
      </c>
    </row>
    <row r="6881" spans="1:16" x14ac:dyDescent="0.25">
      <c r="A6881">
        <v>4</v>
      </c>
      <c r="B6881" t="s">
        <v>4252</v>
      </c>
      <c r="C6881">
        <f>-0.04-0.82</f>
        <v>-0.86</v>
      </c>
      <c r="D6881">
        <v>0.39</v>
      </c>
      <c r="E6881" t="s">
        <v>38</v>
      </c>
      <c r="F6881" t="s">
        <v>114</v>
      </c>
      <c r="G6881">
        <v>0.82</v>
      </c>
      <c r="H6881">
        <v>-0.04</v>
      </c>
      <c r="I6881">
        <v>0.43</v>
      </c>
      <c r="J6881">
        <v>0.18490000000000001</v>
      </c>
      <c r="K6881" t="str">
        <f>IFERROR(INDEX(Rosters!$C$2:$C$155,MATCH($B6881,Rosters!$B$2:$B$155,0)),"NA")</f>
        <v>NA</v>
      </c>
      <c r="L6881" t="str">
        <f t="shared" si="321"/>
        <v>NA4TE</v>
      </c>
      <c r="M6881">
        <f>COUNTIF(L$1:L6881,L6881)</f>
        <v>65</v>
      </c>
      <c r="N6881" t="str">
        <f t="shared" si="322"/>
        <v>NA4TE-65</v>
      </c>
      <c r="O6881">
        <f>COUNTIFS(F$1:F6881,F6881,A$1:A6881,A6881)</f>
        <v>76</v>
      </c>
      <c r="P6881" t="str">
        <f t="shared" si="323"/>
        <v>Joshua Perkins4</v>
      </c>
    </row>
    <row r="6882" spans="1:16" x14ac:dyDescent="0.25">
      <c r="A6882">
        <v>7</v>
      </c>
      <c r="B6882" t="s">
        <v>2854</v>
      </c>
      <c r="C6882">
        <f>-0.07-0.85</f>
        <v>-0.91999999999999993</v>
      </c>
      <c r="D6882">
        <v>0.39</v>
      </c>
      <c r="E6882" t="s">
        <v>74</v>
      </c>
      <c r="F6882" t="s">
        <v>87</v>
      </c>
      <c r="G6882">
        <v>0.85</v>
      </c>
      <c r="H6882">
        <v>-7.0000000000000007E-2</v>
      </c>
      <c r="I6882">
        <v>0.46</v>
      </c>
      <c r="J6882">
        <v>0.21160000000000001</v>
      </c>
      <c r="K6882" t="str">
        <f>IFERROR(INDEX(Rosters!$C$2:$C$155,MATCH($B6882,Rosters!$B$2:$B$155,0)),"NA")</f>
        <v>NA</v>
      </c>
      <c r="L6882" t="str">
        <f t="shared" si="321"/>
        <v>NA7WR</v>
      </c>
      <c r="M6882">
        <f>COUNTIF(L$1:L6882,L6882)</f>
        <v>105</v>
      </c>
      <c r="N6882" t="str">
        <f t="shared" si="322"/>
        <v>NA7WR-105</v>
      </c>
      <c r="O6882">
        <f>COUNTIFS(F$1:F6882,F6882,A$1:A6882,A6882)</f>
        <v>150</v>
      </c>
      <c r="P6882" t="str">
        <f t="shared" si="323"/>
        <v>Kamar Aiken7</v>
      </c>
    </row>
    <row r="6883" spans="1:16" x14ac:dyDescent="0.25">
      <c r="A6883">
        <v>12</v>
      </c>
      <c r="B6883" t="s">
        <v>2854</v>
      </c>
      <c r="C6883">
        <f>-0.16-0.94</f>
        <v>-1.0999999999999999</v>
      </c>
      <c r="D6883">
        <v>0.39</v>
      </c>
      <c r="E6883" t="s">
        <v>54</v>
      </c>
      <c r="F6883" t="s">
        <v>87</v>
      </c>
      <c r="G6883">
        <v>0.94</v>
      </c>
      <c r="H6883">
        <v>-0.16</v>
      </c>
      <c r="I6883">
        <v>0.55000000000000004</v>
      </c>
      <c r="J6883">
        <v>0.30249999999999999</v>
      </c>
      <c r="K6883" t="str">
        <f>IFERROR(INDEX(Rosters!$C$2:$C$155,MATCH($B6883,Rosters!$B$2:$B$155,0)),"NA")</f>
        <v>NA</v>
      </c>
      <c r="L6883" t="str">
        <f t="shared" si="321"/>
        <v>NA12WR</v>
      </c>
      <c r="M6883">
        <f>COUNTIF(L$1:L6883,L6883)</f>
        <v>113</v>
      </c>
      <c r="N6883" t="str">
        <f t="shared" si="322"/>
        <v>NA12WR-113</v>
      </c>
      <c r="O6883">
        <f>COUNTIFS(F$1:F6883,F6883,A$1:A6883,A6883)</f>
        <v>162</v>
      </c>
      <c r="P6883" t="str">
        <f t="shared" si="323"/>
        <v>Kamar Aiken12</v>
      </c>
    </row>
    <row r="6884" spans="1:16" x14ac:dyDescent="0.25">
      <c r="A6884">
        <v>17</v>
      </c>
      <c r="B6884" t="s">
        <v>2854</v>
      </c>
      <c r="C6884">
        <f>-0.15-0.93</f>
        <v>-1.08</v>
      </c>
      <c r="D6884">
        <v>0.39</v>
      </c>
      <c r="E6884" t="s">
        <v>60</v>
      </c>
      <c r="F6884" t="s">
        <v>87</v>
      </c>
      <c r="G6884">
        <v>0.93</v>
      </c>
      <c r="H6884">
        <v>-0.15</v>
      </c>
      <c r="I6884">
        <v>0.54</v>
      </c>
      <c r="J6884">
        <v>0.29160000000000003</v>
      </c>
      <c r="K6884" t="str">
        <f>IFERROR(INDEX(Rosters!$C$2:$C$155,MATCH($B6884,Rosters!$B$2:$B$155,0)),"NA")</f>
        <v>NA</v>
      </c>
      <c r="L6884" t="str">
        <f t="shared" si="321"/>
        <v>NA17WR</v>
      </c>
      <c r="M6884">
        <f>COUNTIF(L$1:L6884,L6884)</f>
        <v>124</v>
      </c>
      <c r="N6884" t="str">
        <f t="shared" si="322"/>
        <v>NA17WR-124</v>
      </c>
      <c r="O6884">
        <f>COUNTIFS(F$1:F6884,F6884,A$1:A6884,A6884)</f>
        <v>178</v>
      </c>
      <c r="P6884" t="str">
        <f t="shared" si="323"/>
        <v>Kamar Aiken17</v>
      </c>
    </row>
    <row r="6885" spans="1:16" x14ac:dyDescent="0.25">
      <c r="A6885">
        <v>6</v>
      </c>
      <c r="B6885" t="s">
        <v>389</v>
      </c>
      <c r="C6885">
        <f>-0.05-0.83</f>
        <v>-0.88</v>
      </c>
      <c r="D6885">
        <v>0.39</v>
      </c>
      <c r="E6885" t="s">
        <v>28</v>
      </c>
      <c r="F6885" t="s">
        <v>114</v>
      </c>
      <c r="G6885">
        <v>0.83</v>
      </c>
      <c r="H6885">
        <v>-0.05</v>
      </c>
      <c r="I6885">
        <v>0.44</v>
      </c>
      <c r="J6885">
        <v>0.19359999999999999</v>
      </c>
      <c r="K6885" t="str">
        <f>IFERROR(INDEX(Rosters!$C$2:$C$155,MATCH($B6885,Rosters!$B$2:$B$155,0)),"NA")</f>
        <v>NA</v>
      </c>
      <c r="L6885" t="str">
        <f t="shared" si="321"/>
        <v>NA6TE</v>
      </c>
      <c r="M6885">
        <f>COUNTIF(L$1:L6885,L6885)</f>
        <v>74</v>
      </c>
      <c r="N6885" t="str">
        <f t="shared" si="322"/>
        <v>NA6TE-74</v>
      </c>
      <c r="O6885">
        <f>COUNTIFS(F$1:F6885,F6885,A$1:A6885,A6885)</f>
        <v>86</v>
      </c>
      <c r="P6885" t="str">
        <f t="shared" si="323"/>
        <v>Lee Smith6</v>
      </c>
    </row>
    <row r="6886" spans="1:16" x14ac:dyDescent="0.25">
      <c r="A6886">
        <v>16</v>
      </c>
      <c r="B6886" t="s">
        <v>389</v>
      </c>
      <c r="C6886">
        <f>-0.05-0.83</f>
        <v>-0.88</v>
      </c>
      <c r="D6886">
        <v>0.39</v>
      </c>
      <c r="E6886" t="s">
        <v>42</v>
      </c>
      <c r="F6886" t="s">
        <v>114</v>
      </c>
      <c r="G6886">
        <v>0.83</v>
      </c>
      <c r="H6886">
        <v>-0.05</v>
      </c>
      <c r="I6886">
        <v>0.44</v>
      </c>
      <c r="J6886">
        <v>0.19359999999999999</v>
      </c>
      <c r="K6886" t="str">
        <f>IFERROR(INDEX(Rosters!$C$2:$C$155,MATCH($B6886,Rosters!$B$2:$B$155,0)),"NA")</f>
        <v>NA</v>
      </c>
      <c r="L6886" t="str">
        <f t="shared" si="321"/>
        <v>NA16TE</v>
      </c>
      <c r="M6886">
        <f>COUNTIF(L$1:L6886,L6886)</f>
        <v>86</v>
      </c>
      <c r="N6886" t="str">
        <f t="shared" si="322"/>
        <v>NA16TE-86</v>
      </c>
      <c r="O6886">
        <f>COUNTIFS(F$1:F6886,F6886,A$1:A6886,A6886)</f>
        <v>100</v>
      </c>
      <c r="P6886" t="str">
        <f t="shared" si="323"/>
        <v>Lee Smith16</v>
      </c>
    </row>
    <row r="6887" spans="1:16" x14ac:dyDescent="0.25">
      <c r="A6887">
        <v>1</v>
      </c>
      <c r="B6887" t="s">
        <v>345</v>
      </c>
      <c r="C6887">
        <f>-0.11-0.89</f>
        <v>-1</v>
      </c>
      <c r="D6887">
        <v>0.39</v>
      </c>
      <c r="E6887" t="s">
        <v>50</v>
      </c>
      <c r="F6887" t="s">
        <v>15</v>
      </c>
      <c r="G6887">
        <v>0.89</v>
      </c>
      <c r="H6887">
        <v>-0.11</v>
      </c>
      <c r="I6887">
        <v>0.5</v>
      </c>
      <c r="J6887">
        <v>0.25</v>
      </c>
      <c r="K6887" t="str">
        <f>IFERROR(INDEX(Rosters!$C$2:$C$155,MATCH($B6887,Rosters!$B$2:$B$155,0)),"NA")</f>
        <v>NA</v>
      </c>
      <c r="L6887" t="str">
        <f t="shared" si="321"/>
        <v>NA1QB</v>
      </c>
      <c r="M6887">
        <f>COUNTIF(L$1:L6887,L6887)</f>
        <v>36</v>
      </c>
      <c r="N6887" t="str">
        <f t="shared" si="322"/>
        <v>NA1QB-36</v>
      </c>
      <c r="O6887">
        <f>COUNTIFS(F$1:F6887,F6887,A$1:A6887,A6887)</f>
        <v>52</v>
      </c>
      <c r="P6887" t="str">
        <f t="shared" si="323"/>
        <v>Matt Schaub1</v>
      </c>
    </row>
    <row r="6888" spans="1:16" x14ac:dyDescent="0.25">
      <c r="A6888">
        <v>12</v>
      </c>
      <c r="B6888" t="s">
        <v>1570</v>
      </c>
      <c r="C6888" t="s">
        <v>8930</v>
      </c>
      <c r="D6888">
        <v>0.39</v>
      </c>
      <c r="E6888" t="s">
        <v>76</v>
      </c>
      <c r="F6888" t="s">
        <v>15</v>
      </c>
      <c r="G6888">
        <v>0.77</v>
      </c>
      <c r="H6888">
        <v>0.01</v>
      </c>
      <c r="I6888">
        <v>0.38</v>
      </c>
      <c r="J6888">
        <v>0.1444</v>
      </c>
      <c r="K6888" t="str">
        <f>IFERROR(INDEX(Rosters!$C$2:$C$155,MATCH($B6888,Rosters!$B$2:$B$155,0)),"NA")</f>
        <v>NA</v>
      </c>
      <c r="L6888" t="str">
        <f t="shared" si="321"/>
        <v>NA12QB</v>
      </c>
      <c r="M6888">
        <f>COUNTIF(L$1:L6888,L6888)</f>
        <v>39</v>
      </c>
      <c r="N6888" t="str">
        <f t="shared" si="322"/>
        <v>NA12QB-39</v>
      </c>
      <c r="O6888">
        <f>COUNTIFS(F$1:F6888,F6888,A$1:A6888,A6888)</f>
        <v>54</v>
      </c>
      <c r="P6888" t="str">
        <f t="shared" si="323"/>
        <v>Nathan Peterman12</v>
      </c>
    </row>
    <row r="6889" spans="1:16" x14ac:dyDescent="0.25">
      <c r="A6889">
        <v>5</v>
      </c>
      <c r="B6889" t="s">
        <v>4248</v>
      </c>
      <c r="C6889">
        <f>-0.03-0.81</f>
        <v>-0.84000000000000008</v>
      </c>
      <c r="D6889">
        <v>0.39</v>
      </c>
      <c r="E6889" t="s">
        <v>41</v>
      </c>
      <c r="F6889" t="s">
        <v>47</v>
      </c>
      <c r="G6889">
        <v>0.81</v>
      </c>
      <c r="H6889">
        <v>-0.03</v>
      </c>
      <c r="I6889">
        <v>0.42</v>
      </c>
      <c r="J6889">
        <v>0.1764</v>
      </c>
      <c r="K6889" t="str">
        <f>IFERROR(INDEX(Rosters!$C$2:$C$155,MATCH($B6889,Rosters!$B$2:$B$155,0)),"NA")</f>
        <v>NA</v>
      </c>
      <c r="L6889" t="str">
        <f t="shared" si="321"/>
        <v>NA5RB</v>
      </c>
      <c r="M6889">
        <f>COUNTIF(L$1:L6889,L6889)</f>
        <v>67</v>
      </c>
      <c r="N6889" t="str">
        <f t="shared" si="322"/>
        <v>NA5RB-67</v>
      </c>
      <c r="O6889">
        <f>COUNTIFS(F$1:F6889,F6889,A$1:A6889,A6889)</f>
        <v>110</v>
      </c>
      <c r="P6889" t="str">
        <f t="shared" si="323"/>
        <v>Nick Bellore5</v>
      </c>
    </row>
    <row r="6890" spans="1:16" x14ac:dyDescent="0.25">
      <c r="A6890">
        <v>9</v>
      </c>
      <c r="B6890" t="s">
        <v>4248</v>
      </c>
      <c r="C6890">
        <f>-0.08-0.86</f>
        <v>-0.94</v>
      </c>
      <c r="D6890">
        <v>0.39</v>
      </c>
      <c r="E6890" t="s">
        <v>25</v>
      </c>
      <c r="F6890" t="s">
        <v>47</v>
      </c>
      <c r="G6890">
        <v>0.86</v>
      </c>
      <c r="H6890">
        <v>-0.08</v>
      </c>
      <c r="I6890">
        <v>0.47</v>
      </c>
      <c r="J6890">
        <v>0.22090000000000001</v>
      </c>
      <c r="K6890" t="str">
        <f>IFERROR(INDEX(Rosters!$C$2:$C$155,MATCH($B6890,Rosters!$B$2:$B$155,0)),"NA")</f>
        <v>NA</v>
      </c>
      <c r="L6890" t="str">
        <f t="shared" si="321"/>
        <v>NA9RB</v>
      </c>
      <c r="M6890">
        <f>COUNTIF(L$1:L6890,L6890)</f>
        <v>61</v>
      </c>
      <c r="N6890" t="str">
        <f t="shared" si="322"/>
        <v>NA9RB-61</v>
      </c>
      <c r="O6890">
        <f>COUNTIFS(F$1:F6890,F6890,A$1:A6890,A6890)</f>
        <v>101</v>
      </c>
      <c r="P6890" t="str">
        <f t="shared" si="323"/>
        <v>Nick Bellore9</v>
      </c>
    </row>
    <row r="6891" spans="1:16" x14ac:dyDescent="0.25">
      <c r="A6891">
        <v>14</v>
      </c>
      <c r="B6891" t="s">
        <v>4248</v>
      </c>
      <c r="C6891" t="s">
        <v>8931</v>
      </c>
      <c r="D6891">
        <v>0.39</v>
      </c>
      <c r="E6891" t="s">
        <v>58</v>
      </c>
      <c r="F6891" t="s">
        <v>47</v>
      </c>
      <c r="G6891">
        <v>0.76</v>
      </c>
      <c r="H6891">
        <v>0.02</v>
      </c>
      <c r="I6891">
        <v>0.37</v>
      </c>
      <c r="J6891">
        <v>0.13689999999999999</v>
      </c>
      <c r="K6891" t="str">
        <f>IFERROR(INDEX(Rosters!$C$2:$C$155,MATCH($B6891,Rosters!$B$2:$B$155,0)),"NA")</f>
        <v>NA</v>
      </c>
      <c r="L6891" t="str">
        <f t="shared" si="321"/>
        <v>NA14RB</v>
      </c>
      <c r="M6891">
        <f>COUNTIF(L$1:L6891,L6891)</f>
        <v>79</v>
      </c>
      <c r="N6891" t="str">
        <f t="shared" si="322"/>
        <v>NA14RB-79</v>
      </c>
      <c r="O6891">
        <f>COUNTIFS(F$1:F6891,F6891,A$1:A6891,A6891)</f>
        <v>126</v>
      </c>
      <c r="P6891" t="str">
        <f t="shared" si="323"/>
        <v>Nick Bellore14</v>
      </c>
    </row>
    <row r="6892" spans="1:16" x14ac:dyDescent="0.25">
      <c r="A6892">
        <v>10</v>
      </c>
      <c r="B6892" t="s">
        <v>328</v>
      </c>
      <c r="C6892">
        <f>-0.16-0.94</f>
        <v>-1.0999999999999999</v>
      </c>
      <c r="D6892">
        <v>0.39</v>
      </c>
      <c r="E6892" t="s">
        <v>73</v>
      </c>
      <c r="F6892" t="s">
        <v>47</v>
      </c>
      <c r="G6892">
        <v>0.94</v>
      </c>
      <c r="H6892">
        <v>-0.16</v>
      </c>
      <c r="I6892">
        <v>0.55000000000000004</v>
      </c>
      <c r="J6892">
        <v>0.30249999999999999</v>
      </c>
      <c r="K6892" t="str">
        <f>IFERROR(INDEX(Rosters!$C$2:$C$155,MATCH($B6892,Rosters!$B$2:$B$155,0)),"NA")</f>
        <v>NA</v>
      </c>
      <c r="L6892" t="str">
        <f t="shared" si="321"/>
        <v>NA10RB</v>
      </c>
      <c r="M6892">
        <f>COUNTIF(L$1:L6892,L6892)</f>
        <v>68</v>
      </c>
      <c r="N6892" t="str">
        <f t="shared" si="322"/>
        <v>NA10RB-68</v>
      </c>
      <c r="O6892">
        <f>COUNTIFS(F$1:F6892,F6892,A$1:A6892,A6892)</f>
        <v>107</v>
      </c>
      <c r="P6892" t="str">
        <f t="shared" si="323"/>
        <v>Patrick DiMarco10</v>
      </c>
    </row>
    <row r="6893" spans="1:16" x14ac:dyDescent="0.25">
      <c r="A6893">
        <v>3</v>
      </c>
      <c r="B6893" t="s">
        <v>1581</v>
      </c>
      <c r="C6893">
        <f>-0.31-1.09</f>
        <v>-1.4000000000000001</v>
      </c>
      <c r="D6893">
        <v>0.39</v>
      </c>
      <c r="E6893" t="s">
        <v>17</v>
      </c>
      <c r="F6893" t="s">
        <v>47</v>
      </c>
      <c r="G6893">
        <v>1.0900000000000001</v>
      </c>
      <c r="H6893">
        <v>-0.31</v>
      </c>
      <c r="I6893">
        <v>0.7</v>
      </c>
      <c r="J6893">
        <v>0.49</v>
      </c>
      <c r="K6893" t="str">
        <f>IFERROR(INDEX(Rosters!$C$2:$C$155,MATCH($B6893,Rosters!$B$2:$B$155,0)),"NA")</f>
        <v>NA</v>
      </c>
      <c r="L6893" t="str">
        <f t="shared" si="321"/>
        <v>NA3RB</v>
      </c>
      <c r="M6893">
        <f>COUNTIF(L$1:L6893,L6893)</f>
        <v>58</v>
      </c>
      <c r="N6893" t="str">
        <f t="shared" si="322"/>
        <v>NA3RB-58</v>
      </c>
      <c r="O6893">
        <f>COUNTIFS(F$1:F6893,F6893,A$1:A6893,A6893)</f>
        <v>97</v>
      </c>
      <c r="P6893" t="str">
        <f t="shared" si="323"/>
        <v>Stevan Ridley3</v>
      </c>
    </row>
    <row r="6894" spans="1:16" x14ac:dyDescent="0.25">
      <c r="A6894">
        <v>5</v>
      </c>
      <c r="B6894" t="s">
        <v>222</v>
      </c>
      <c r="C6894">
        <f>-0.11-0.89</f>
        <v>-1</v>
      </c>
      <c r="D6894">
        <v>0.39</v>
      </c>
      <c r="E6894" t="s">
        <v>36</v>
      </c>
      <c r="F6894" t="s">
        <v>87</v>
      </c>
      <c r="G6894">
        <v>0.89</v>
      </c>
      <c r="H6894">
        <v>-0.11</v>
      </c>
      <c r="I6894">
        <v>0.5</v>
      </c>
      <c r="J6894">
        <v>0.25</v>
      </c>
      <c r="K6894" t="str">
        <f>IFERROR(INDEX(Rosters!$C$2:$C$155,MATCH($B6894,Rosters!$B$2:$B$155,0)),"NA")</f>
        <v>NA</v>
      </c>
      <c r="L6894" t="str">
        <f t="shared" si="321"/>
        <v>NA5WR</v>
      </c>
      <c r="M6894">
        <f>COUNTIF(L$1:L6894,L6894)</f>
        <v>107</v>
      </c>
      <c r="N6894" t="str">
        <f t="shared" si="322"/>
        <v>NA5WR-107</v>
      </c>
      <c r="O6894">
        <f>COUNTIFS(F$1:F6894,F6894,A$1:A6894,A6894)</f>
        <v>157</v>
      </c>
      <c r="P6894" t="str">
        <f t="shared" si="323"/>
        <v>Terrance Williams5</v>
      </c>
    </row>
    <row r="6895" spans="1:16" x14ac:dyDescent="0.25">
      <c r="A6895">
        <v>17</v>
      </c>
      <c r="B6895" t="s">
        <v>1600</v>
      </c>
      <c r="C6895">
        <f>-0.16-0.94</f>
        <v>-1.0999999999999999</v>
      </c>
      <c r="D6895">
        <v>0.39</v>
      </c>
      <c r="E6895" t="s">
        <v>36</v>
      </c>
      <c r="F6895" t="s">
        <v>47</v>
      </c>
      <c r="G6895">
        <v>0.94</v>
      </c>
      <c r="H6895">
        <v>-0.16</v>
      </c>
      <c r="I6895">
        <v>0.55000000000000004</v>
      </c>
      <c r="J6895">
        <v>0.30249999999999999</v>
      </c>
      <c r="K6895" t="str">
        <f>IFERROR(INDEX(Rosters!$C$2:$C$155,MATCH($B6895,Rosters!$B$2:$B$155,0)),"NA")</f>
        <v>NA</v>
      </c>
      <c r="L6895" t="str">
        <f t="shared" si="321"/>
        <v>NA17RB</v>
      </c>
      <c r="M6895">
        <f>COUNTIF(L$1:L6895,L6895)</f>
        <v>77</v>
      </c>
      <c r="N6895" t="str">
        <f t="shared" si="322"/>
        <v>NA17RB-77</v>
      </c>
      <c r="O6895">
        <f>COUNTIFS(F$1:F6895,F6895,A$1:A6895,A6895)</f>
        <v>124</v>
      </c>
      <c r="P6895" t="str">
        <f t="shared" si="323"/>
        <v>Tommy Bohanon17</v>
      </c>
    </row>
    <row r="6896" spans="1:16" x14ac:dyDescent="0.25">
      <c r="A6896">
        <v>2</v>
      </c>
      <c r="B6896" t="s">
        <v>1618</v>
      </c>
      <c r="C6896">
        <f>-0.23-1.01</f>
        <v>-1.24</v>
      </c>
      <c r="D6896">
        <v>0.39</v>
      </c>
      <c r="E6896" t="s">
        <v>72</v>
      </c>
      <c r="F6896" t="s">
        <v>47</v>
      </c>
      <c r="G6896">
        <v>1.01</v>
      </c>
      <c r="H6896">
        <v>-0.23</v>
      </c>
      <c r="I6896">
        <v>0.62</v>
      </c>
      <c r="J6896">
        <v>0.38440000000000002</v>
      </c>
      <c r="K6896" t="str">
        <f>IFERROR(INDEX(Rosters!$C$2:$C$155,MATCH($B6896,Rosters!$B$2:$B$155,0)),"NA")</f>
        <v>NA</v>
      </c>
      <c r="L6896" t="str">
        <f t="shared" si="321"/>
        <v>NA2RB</v>
      </c>
      <c r="M6896">
        <f>COUNTIF(L$1:L6896,L6896)</f>
        <v>53</v>
      </c>
      <c r="N6896" t="str">
        <f t="shared" si="322"/>
        <v>NA2RB-53</v>
      </c>
      <c r="O6896">
        <f>COUNTIFS(F$1:F6896,F6896,A$1:A6896,A6896)</f>
        <v>95</v>
      </c>
      <c r="P6896" t="str">
        <f t="shared" si="323"/>
        <v>Tre Madden2</v>
      </c>
    </row>
    <row r="6897" spans="1:16" x14ac:dyDescent="0.25">
      <c r="A6897">
        <v>10</v>
      </c>
      <c r="B6897" t="s">
        <v>1129</v>
      </c>
      <c r="C6897" t="s">
        <v>8932</v>
      </c>
      <c r="D6897">
        <v>0.38</v>
      </c>
      <c r="E6897" t="s">
        <v>60</v>
      </c>
      <c r="F6897" t="s">
        <v>114</v>
      </c>
      <c r="G6897">
        <v>0.76</v>
      </c>
      <c r="H6897">
        <v>0</v>
      </c>
      <c r="I6897">
        <v>0.38</v>
      </c>
      <c r="J6897">
        <v>0.1444</v>
      </c>
      <c r="K6897" t="str">
        <f>IFERROR(INDEX(Rosters!$C$2:$C$155,MATCH($B6897,Rosters!$B$2:$B$155,0)),"NA")</f>
        <v>NA</v>
      </c>
      <c r="L6897" t="str">
        <f t="shared" si="321"/>
        <v>NA10TE</v>
      </c>
      <c r="M6897">
        <f>COUNTIF(L$1:L6897,L6897)</f>
        <v>72</v>
      </c>
      <c r="N6897" t="str">
        <f t="shared" si="322"/>
        <v>NA10TE-72</v>
      </c>
      <c r="O6897">
        <f>COUNTIFS(F$1:F6897,F6897,A$1:A6897,A6897)</f>
        <v>85</v>
      </c>
      <c r="P6897" t="str">
        <f t="shared" si="323"/>
        <v>Alan Cross10</v>
      </c>
    </row>
    <row r="6898" spans="1:16" x14ac:dyDescent="0.25">
      <c r="A6898">
        <v>11</v>
      </c>
      <c r="B6898" t="s">
        <v>1129</v>
      </c>
      <c r="C6898">
        <f>-0.03-0.79</f>
        <v>-0.82000000000000006</v>
      </c>
      <c r="D6898">
        <v>0.38</v>
      </c>
      <c r="E6898" t="s">
        <v>54</v>
      </c>
      <c r="F6898" t="s">
        <v>114</v>
      </c>
      <c r="G6898">
        <v>0.79</v>
      </c>
      <c r="H6898">
        <v>-0.03</v>
      </c>
      <c r="I6898">
        <v>0.41</v>
      </c>
      <c r="J6898">
        <v>0.1681</v>
      </c>
      <c r="K6898" t="str">
        <f>IFERROR(INDEX(Rosters!$C$2:$C$155,MATCH($B6898,Rosters!$B$2:$B$155,0)),"NA")</f>
        <v>NA</v>
      </c>
      <c r="L6898" t="str">
        <f t="shared" si="321"/>
        <v>NA11TE</v>
      </c>
      <c r="M6898">
        <f>COUNTIF(L$1:L6898,L6898)</f>
        <v>64</v>
      </c>
      <c r="N6898" t="str">
        <f t="shared" si="322"/>
        <v>NA11TE-64</v>
      </c>
      <c r="O6898">
        <f>COUNTIFS(F$1:F6898,F6898,A$1:A6898,A6898)</f>
        <v>76</v>
      </c>
      <c r="P6898" t="str">
        <f t="shared" si="323"/>
        <v>Alan Cross11</v>
      </c>
    </row>
    <row r="6899" spans="1:16" x14ac:dyDescent="0.25">
      <c r="A6899">
        <v>17</v>
      </c>
      <c r="B6899" t="s">
        <v>4656</v>
      </c>
      <c r="C6899" t="s">
        <v>8933</v>
      </c>
      <c r="D6899">
        <v>0.38</v>
      </c>
      <c r="E6899" t="s">
        <v>76</v>
      </c>
      <c r="F6899" t="s">
        <v>47</v>
      </c>
      <c r="G6899">
        <v>0.74</v>
      </c>
      <c r="H6899">
        <v>0.02</v>
      </c>
      <c r="I6899">
        <v>0.36</v>
      </c>
      <c r="J6899">
        <v>0.12959999999999999</v>
      </c>
      <c r="K6899" t="str">
        <f>IFERROR(INDEX(Rosters!$C$2:$C$155,MATCH($B6899,Rosters!$B$2:$B$155,0)),"NA")</f>
        <v>NA</v>
      </c>
      <c r="L6899" t="str">
        <f t="shared" si="321"/>
        <v>NA17RB</v>
      </c>
      <c r="M6899">
        <f>COUNTIF(L$1:L6899,L6899)</f>
        <v>78</v>
      </c>
      <c r="N6899" t="str">
        <f t="shared" si="322"/>
        <v>NA17RB-78</v>
      </c>
      <c r="O6899">
        <f>COUNTIFS(F$1:F6899,F6899,A$1:A6899,A6899)</f>
        <v>125</v>
      </c>
      <c r="P6899" t="str">
        <f t="shared" si="323"/>
        <v>Buddy Howell17</v>
      </c>
    </row>
    <row r="6900" spans="1:16" x14ac:dyDescent="0.25">
      <c r="A6900">
        <v>14</v>
      </c>
      <c r="B6900" t="s">
        <v>330</v>
      </c>
      <c r="C6900">
        <f>-0.11-0.87</f>
        <v>-0.98</v>
      </c>
      <c r="D6900">
        <v>0.38</v>
      </c>
      <c r="E6900" t="s">
        <v>52</v>
      </c>
      <c r="F6900" t="s">
        <v>114</v>
      </c>
      <c r="G6900">
        <v>0.87</v>
      </c>
      <c r="H6900">
        <v>-0.11</v>
      </c>
      <c r="I6900">
        <v>0.49</v>
      </c>
      <c r="J6900">
        <v>0.24010000000000001</v>
      </c>
      <c r="K6900" t="str">
        <f>IFERROR(INDEX(Rosters!$C$2:$C$155,MATCH($B6900,Rosters!$B$2:$B$155,0)),"NA")</f>
        <v>NA</v>
      </c>
      <c r="L6900" t="str">
        <f t="shared" si="321"/>
        <v>NA14TE</v>
      </c>
      <c r="M6900">
        <f>COUNTIF(L$1:L6900,L6900)</f>
        <v>85</v>
      </c>
      <c r="N6900" t="str">
        <f t="shared" si="322"/>
        <v>NA14TE-85</v>
      </c>
      <c r="O6900">
        <f>COUNTIFS(F$1:F6900,F6900,A$1:A6900,A6900)</f>
        <v>99</v>
      </c>
      <c r="P6900" t="str">
        <f t="shared" si="323"/>
        <v>Chris Manhertz14</v>
      </c>
    </row>
    <row r="6901" spans="1:16" x14ac:dyDescent="0.25">
      <c r="A6901">
        <v>1</v>
      </c>
      <c r="B6901" t="s">
        <v>361</v>
      </c>
      <c r="C6901">
        <f>-0.21-0.97</f>
        <v>-1.18</v>
      </c>
      <c r="D6901">
        <v>0.38</v>
      </c>
      <c r="E6901" t="s">
        <v>37</v>
      </c>
      <c r="F6901" t="s">
        <v>87</v>
      </c>
      <c r="G6901">
        <v>0.97</v>
      </c>
      <c r="H6901">
        <v>-0.21</v>
      </c>
      <c r="I6901">
        <v>0.59</v>
      </c>
      <c r="J6901">
        <v>0.34810000000000002</v>
      </c>
      <c r="K6901" t="str">
        <f>IFERROR(INDEX(Rosters!$C$2:$C$155,MATCH($B6901,Rosters!$B$2:$B$155,0)),"NA")</f>
        <v>NA</v>
      </c>
      <c r="L6901" t="str">
        <f t="shared" si="321"/>
        <v>NA1WR</v>
      </c>
      <c r="M6901">
        <f>COUNTIF(L$1:L6901,L6901)</f>
        <v>82</v>
      </c>
      <c r="N6901" t="str">
        <f t="shared" si="322"/>
        <v>NA1WR-82</v>
      </c>
      <c r="O6901">
        <f>COUNTIFS(F$1:F6901,F6901,A$1:A6901,A6901)</f>
        <v>131</v>
      </c>
      <c r="P6901" t="str">
        <f t="shared" si="323"/>
        <v>De'Anthony Thomas1</v>
      </c>
    </row>
    <row r="6902" spans="1:16" x14ac:dyDescent="0.25">
      <c r="A6902">
        <v>3</v>
      </c>
      <c r="B6902" t="s">
        <v>341</v>
      </c>
      <c r="C6902" t="s">
        <v>856</v>
      </c>
      <c r="D6902">
        <v>0.38</v>
      </c>
      <c r="E6902" t="s">
        <v>30</v>
      </c>
      <c r="F6902" t="s">
        <v>87</v>
      </c>
      <c r="G6902">
        <v>0.75</v>
      </c>
      <c r="H6902">
        <v>0.01</v>
      </c>
      <c r="I6902">
        <v>0.37</v>
      </c>
      <c r="J6902">
        <v>0.13689999999999999</v>
      </c>
      <c r="K6902" t="str">
        <f>IFERROR(INDEX(Rosters!$C$2:$C$155,MATCH($B6902,Rosters!$B$2:$B$155,0)),"NA")</f>
        <v>NA</v>
      </c>
      <c r="L6902" t="str">
        <f t="shared" si="321"/>
        <v>NA3WR</v>
      </c>
      <c r="M6902">
        <f>COUNTIF(L$1:L6902,L6902)</f>
        <v>98</v>
      </c>
      <c r="N6902" t="str">
        <f t="shared" si="322"/>
        <v>NA3WR-98</v>
      </c>
      <c r="O6902">
        <f>COUNTIFS(F$1:F6902,F6902,A$1:A6902,A6902)</f>
        <v>147</v>
      </c>
      <c r="P6902" t="str">
        <f t="shared" si="323"/>
        <v>Demarcus Robinson3</v>
      </c>
    </row>
    <row r="6903" spans="1:16" x14ac:dyDescent="0.25">
      <c r="A6903">
        <v>5</v>
      </c>
      <c r="B6903" t="s">
        <v>1127</v>
      </c>
      <c r="C6903">
        <f>-0.08-0.84</f>
        <v>-0.91999999999999993</v>
      </c>
      <c r="D6903">
        <v>0.38</v>
      </c>
      <c r="E6903" t="s">
        <v>37</v>
      </c>
      <c r="F6903" t="s">
        <v>87</v>
      </c>
      <c r="G6903">
        <v>0.84</v>
      </c>
      <c r="H6903">
        <v>-0.08</v>
      </c>
      <c r="I6903">
        <v>0.46</v>
      </c>
      <c r="J6903">
        <v>0.21160000000000001</v>
      </c>
      <c r="K6903" t="str">
        <f>IFERROR(INDEX(Rosters!$C$2:$C$155,MATCH($B6903,Rosters!$B$2:$B$155,0)),"NA")</f>
        <v>NA</v>
      </c>
      <c r="L6903" t="str">
        <f t="shared" si="321"/>
        <v>NA5WR</v>
      </c>
      <c r="M6903">
        <f>COUNTIF(L$1:L6903,L6903)</f>
        <v>108</v>
      </c>
      <c r="N6903" t="str">
        <f t="shared" si="322"/>
        <v>NA5WR-108</v>
      </c>
      <c r="O6903">
        <f>COUNTIFS(F$1:F6903,F6903,A$1:A6903,A6903)</f>
        <v>158</v>
      </c>
      <c r="P6903" t="str">
        <f t="shared" si="323"/>
        <v>Dwayne Harris5</v>
      </c>
    </row>
    <row r="6904" spans="1:16" x14ac:dyDescent="0.25">
      <c r="A6904">
        <v>7</v>
      </c>
      <c r="B6904" t="s">
        <v>1625</v>
      </c>
      <c r="C6904" t="s">
        <v>8934</v>
      </c>
      <c r="D6904">
        <v>0.38</v>
      </c>
      <c r="E6904" t="s">
        <v>72</v>
      </c>
      <c r="F6904" t="s">
        <v>114</v>
      </c>
      <c r="G6904">
        <v>0.73</v>
      </c>
      <c r="H6904">
        <v>0.03</v>
      </c>
      <c r="I6904">
        <v>0.35</v>
      </c>
      <c r="J6904">
        <v>0.1225</v>
      </c>
      <c r="K6904" t="str">
        <f>IFERROR(INDEX(Rosters!$C$2:$C$155,MATCH($B6904,Rosters!$B$2:$B$155,0)),"NA")</f>
        <v>NA</v>
      </c>
      <c r="L6904" t="str">
        <f t="shared" si="321"/>
        <v>NA7TE</v>
      </c>
      <c r="M6904">
        <f>COUNTIF(L$1:L6904,L6904)</f>
        <v>76</v>
      </c>
      <c r="N6904" t="str">
        <f t="shared" si="322"/>
        <v>NA7TE-76</v>
      </c>
      <c r="O6904">
        <f>COUNTIFS(F$1:F6904,F6904,A$1:A6904,A6904)</f>
        <v>86</v>
      </c>
      <c r="P6904" t="str">
        <f t="shared" si="323"/>
        <v>Jacob Hollister7</v>
      </c>
    </row>
    <row r="6905" spans="1:16" x14ac:dyDescent="0.25">
      <c r="A6905">
        <v>2</v>
      </c>
      <c r="B6905" t="s">
        <v>1631</v>
      </c>
      <c r="C6905">
        <f>-0.1-0.86</f>
        <v>-0.96</v>
      </c>
      <c r="D6905">
        <v>0.38</v>
      </c>
      <c r="E6905" t="s">
        <v>77</v>
      </c>
      <c r="F6905" t="s">
        <v>87</v>
      </c>
      <c r="G6905">
        <v>0.86</v>
      </c>
      <c r="H6905">
        <v>-0.1</v>
      </c>
      <c r="I6905">
        <v>0.48</v>
      </c>
      <c r="J6905">
        <v>0.23039999999999999</v>
      </c>
      <c r="K6905" t="str">
        <f>IFERROR(INDEX(Rosters!$C$2:$C$155,MATCH($B6905,Rosters!$B$2:$B$155,0)),"NA")</f>
        <v>NA</v>
      </c>
      <c r="L6905" t="str">
        <f t="shared" si="321"/>
        <v>NA2WR</v>
      </c>
      <c r="M6905">
        <f>COUNTIF(L$1:L6905,L6905)</f>
        <v>89</v>
      </c>
      <c r="N6905" t="str">
        <f t="shared" si="322"/>
        <v>NA2WR-89</v>
      </c>
      <c r="O6905">
        <f>COUNTIFS(F$1:F6905,F6905,A$1:A6905,A6905)</f>
        <v>138</v>
      </c>
      <c r="P6905" t="str">
        <f t="shared" si="323"/>
        <v>Josh Malone2</v>
      </c>
    </row>
    <row r="6906" spans="1:16" x14ac:dyDescent="0.25">
      <c r="A6906">
        <v>8</v>
      </c>
      <c r="B6906" t="s">
        <v>1631</v>
      </c>
      <c r="C6906">
        <f>-0.14-0.9</f>
        <v>-1.04</v>
      </c>
      <c r="D6906">
        <v>0.38</v>
      </c>
      <c r="E6906" t="s">
        <v>17</v>
      </c>
      <c r="F6906" t="s">
        <v>87</v>
      </c>
      <c r="G6906">
        <v>0.9</v>
      </c>
      <c r="H6906">
        <v>-0.14000000000000001</v>
      </c>
      <c r="I6906">
        <v>0.52</v>
      </c>
      <c r="J6906">
        <v>0.27039999999999997</v>
      </c>
      <c r="K6906" t="str">
        <f>IFERROR(INDEX(Rosters!$C$2:$C$155,MATCH($B6906,Rosters!$B$2:$B$155,0)),"NA")</f>
        <v>NA</v>
      </c>
      <c r="L6906" t="str">
        <f t="shared" si="321"/>
        <v>NA8WR</v>
      </c>
      <c r="M6906">
        <f>COUNTIF(L$1:L6906,L6906)</f>
        <v>100</v>
      </c>
      <c r="N6906" t="str">
        <f t="shared" si="322"/>
        <v>NA8WR-100</v>
      </c>
      <c r="O6906">
        <f>COUNTIFS(F$1:F6906,F6906,A$1:A6906,A6906)</f>
        <v>149</v>
      </c>
      <c r="P6906" t="str">
        <f t="shared" si="323"/>
        <v>Josh Malone8</v>
      </c>
    </row>
    <row r="6907" spans="1:16" x14ac:dyDescent="0.25">
      <c r="A6907">
        <v>15</v>
      </c>
      <c r="B6907" t="s">
        <v>1631</v>
      </c>
      <c r="C6907">
        <f>-0.13-0.89</f>
        <v>-1.02</v>
      </c>
      <c r="D6907">
        <v>0.38</v>
      </c>
      <c r="E6907" t="s">
        <v>32</v>
      </c>
      <c r="F6907" t="s">
        <v>87</v>
      </c>
      <c r="G6907">
        <v>0.89</v>
      </c>
      <c r="H6907">
        <v>-0.13</v>
      </c>
      <c r="I6907">
        <v>0.51</v>
      </c>
      <c r="J6907">
        <v>0.2601</v>
      </c>
      <c r="K6907" t="str">
        <f>IFERROR(INDEX(Rosters!$C$2:$C$155,MATCH($B6907,Rosters!$B$2:$B$155,0)),"NA")</f>
        <v>NA</v>
      </c>
      <c r="L6907" t="str">
        <f t="shared" si="321"/>
        <v>NA15WR</v>
      </c>
      <c r="M6907">
        <f>COUNTIF(L$1:L6907,L6907)</f>
        <v>121</v>
      </c>
      <c r="N6907" t="str">
        <f t="shared" si="322"/>
        <v>NA15WR-121</v>
      </c>
      <c r="O6907">
        <f>COUNTIFS(F$1:F6907,F6907,A$1:A6907,A6907)</f>
        <v>175</v>
      </c>
      <c r="P6907" t="str">
        <f t="shared" si="323"/>
        <v>Josh Malone15</v>
      </c>
    </row>
    <row r="6908" spans="1:16" x14ac:dyDescent="0.25">
      <c r="A6908">
        <v>10</v>
      </c>
      <c r="B6908" t="s">
        <v>1593</v>
      </c>
      <c r="C6908">
        <f>-0.21-0.97</f>
        <v>-1.18</v>
      </c>
      <c r="D6908">
        <v>0.38</v>
      </c>
      <c r="E6908" t="s">
        <v>28</v>
      </c>
      <c r="F6908" t="s">
        <v>87</v>
      </c>
      <c r="G6908">
        <v>0.97</v>
      </c>
      <c r="H6908">
        <v>-0.21</v>
      </c>
      <c r="I6908">
        <v>0.59</v>
      </c>
      <c r="J6908">
        <v>0.34810000000000002</v>
      </c>
      <c r="K6908" t="str">
        <f>IFERROR(INDEX(Rosters!$C$2:$C$155,MATCH($B6908,Rosters!$B$2:$B$155,0)),"NA")</f>
        <v>NA</v>
      </c>
      <c r="L6908" t="str">
        <f t="shared" si="321"/>
        <v>NA10WR</v>
      </c>
      <c r="M6908">
        <f>COUNTIF(L$1:L6908,L6908)</f>
        <v>110</v>
      </c>
      <c r="N6908" t="str">
        <f t="shared" si="322"/>
        <v>NA10WR-110</v>
      </c>
      <c r="O6908">
        <f>COUNTIFS(F$1:F6908,F6908,A$1:A6908,A6908)</f>
        <v>155</v>
      </c>
      <c r="P6908" t="str">
        <f t="shared" si="323"/>
        <v>Josh Reynolds10</v>
      </c>
    </row>
    <row r="6909" spans="1:16" x14ac:dyDescent="0.25">
      <c r="A6909">
        <v>6</v>
      </c>
      <c r="B6909" t="s">
        <v>2854</v>
      </c>
      <c r="C6909">
        <f>-0.17-0.93</f>
        <v>-1.1000000000000001</v>
      </c>
      <c r="D6909">
        <v>0.38</v>
      </c>
      <c r="E6909" t="s">
        <v>54</v>
      </c>
      <c r="F6909" t="s">
        <v>87</v>
      </c>
      <c r="G6909">
        <v>0.93</v>
      </c>
      <c r="H6909">
        <v>-0.17</v>
      </c>
      <c r="I6909">
        <v>0.55000000000000004</v>
      </c>
      <c r="J6909">
        <v>0.30249999999999999</v>
      </c>
      <c r="K6909" t="str">
        <f>IFERROR(INDEX(Rosters!$C$2:$C$155,MATCH($B6909,Rosters!$B$2:$B$155,0)),"NA")</f>
        <v>NA</v>
      </c>
      <c r="L6909" t="str">
        <f t="shared" si="321"/>
        <v>NA6WR</v>
      </c>
      <c r="M6909">
        <f>COUNTIF(L$1:L6909,L6909)</f>
        <v>112</v>
      </c>
      <c r="N6909" t="str">
        <f t="shared" si="322"/>
        <v>NA6WR-112</v>
      </c>
      <c r="O6909">
        <f>COUNTIFS(F$1:F6909,F6909,A$1:A6909,A6909)</f>
        <v>162</v>
      </c>
      <c r="P6909" t="str">
        <f t="shared" si="323"/>
        <v>Kamar Aiken6</v>
      </c>
    </row>
    <row r="6910" spans="1:16" x14ac:dyDescent="0.25">
      <c r="A6910">
        <v>5</v>
      </c>
      <c r="B6910" t="s">
        <v>368</v>
      </c>
      <c r="C6910">
        <f>-0.03-0.79</f>
        <v>-0.82000000000000006</v>
      </c>
      <c r="D6910">
        <v>0.38</v>
      </c>
      <c r="E6910" t="s">
        <v>37</v>
      </c>
      <c r="F6910" t="s">
        <v>47</v>
      </c>
      <c r="G6910">
        <v>0.79</v>
      </c>
      <c r="H6910">
        <v>-0.03</v>
      </c>
      <c r="I6910">
        <v>0.41</v>
      </c>
      <c r="J6910">
        <v>0.1681</v>
      </c>
      <c r="K6910" t="str">
        <f>IFERROR(INDEX(Rosters!$C$2:$C$155,MATCH($B6910,Rosters!$B$2:$B$155,0)),"NA")</f>
        <v>NA</v>
      </c>
      <c r="L6910" t="str">
        <f t="shared" si="321"/>
        <v>NA5RB</v>
      </c>
      <c r="M6910">
        <f>COUNTIF(L$1:L6910,L6910)</f>
        <v>68</v>
      </c>
      <c r="N6910" t="str">
        <f t="shared" si="322"/>
        <v>NA5RB-68</v>
      </c>
      <c r="O6910">
        <f>COUNTIFS(F$1:F6910,F6910,A$1:A6910,A6910)</f>
        <v>111</v>
      </c>
      <c r="P6910" t="str">
        <f t="shared" si="323"/>
        <v>Keith Smith5</v>
      </c>
    </row>
    <row r="6911" spans="1:16" x14ac:dyDescent="0.25">
      <c r="A6911">
        <v>13</v>
      </c>
      <c r="B6911" t="s">
        <v>368</v>
      </c>
      <c r="C6911">
        <f>-0.03-0.79</f>
        <v>-0.82000000000000006</v>
      </c>
      <c r="D6911">
        <v>0.38</v>
      </c>
      <c r="E6911" t="s">
        <v>24</v>
      </c>
      <c r="F6911" t="s">
        <v>47</v>
      </c>
      <c r="G6911">
        <v>0.79</v>
      </c>
      <c r="H6911">
        <v>-0.03</v>
      </c>
      <c r="I6911">
        <v>0.41</v>
      </c>
      <c r="J6911">
        <v>0.1681</v>
      </c>
      <c r="K6911" t="str">
        <f>IFERROR(INDEX(Rosters!$C$2:$C$155,MATCH($B6911,Rosters!$B$2:$B$155,0)),"NA")</f>
        <v>NA</v>
      </c>
      <c r="L6911" t="str">
        <f t="shared" si="321"/>
        <v>NA13RB</v>
      </c>
      <c r="M6911">
        <f>COUNTIF(L$1:L6911,L6911)</f>
        <v>80</v>
      </c>
      <c r="N6911" t="str">
        <f t="shared" si="322"/>
        <v>NA13RB-80</v>
      </c>
      <c r="O6911">
        <f>COUNTIFS(F$1:F6911,F6911,A$1:A6911,A6911)</f>
        <v>127</v>
      </c>
      <c r="P6911" t="str">
        <f t="shared" si="323"/>
        <v>Keith Smith13</v>
      </c>
    </row>
    <row r="6912" spans="1:16" x14ac:dyDescent="0.25">
      <c r="A6912">
        <v>3</v>
      </c>
      <c r="B6912" t="s">
        <v>1597</v>
      </c>
      <c r="C6912" t="s">
        <v>856</v>
      </c>
      <c r="D6912">
        <v>0.38</v>
      </c>
      <c r="E6912" t="s">
        <v>25</v>
      </c>
      <c r="F6912" t="s">
        <v>114</v>
      </c>
      <c r="G6912">
        <v>0.75</v>
      </c>
      <c r="H6912">
        <v>0.01</v>
      </c>
      <c r="I6912">
        <v>0.37</v>
      </c>
      <c r="J6912">
        <v>0.13689999999999999</v>
      </c>
      <c r="K6912" t="str">
        <f>IFERROR(INDEX(Rosters!$C$2:$C$155,MATCH($B6912,Rosters!$B$2:$B$155,0)),"NA")</f>
        <v>NA</v>
      </c>
      <c r="L6912" t="str">
        <f t="shared" si="321"/>
        <v>NA3TE</v>
      </c>
      <c r="M6912">
        <f>COUNTIF(L$1:L6912,L6912)</f>
        <v>71</v>
      </c>
      <c r="N6912" t="str">
        <f t="shared" si="322"/>
        <v>NA3TE-71</v>
      </c>
      <c r="O6912">
        <f>COUNTIFS(F$1:F6912,F6912,A$1:A6912,A6912)</f>
        <v>84</v>
      </c>
      <c r="P6912" t="str">
        <f t="shared" si="323"/>
        <v>Khari Lee3</v>
      </c>
    </row>
    <row r="6913" spans="1:16" x14ac:dyDescent="0.25">
      <c r="A6913">
        <v>4</v>
      </c>
      <c r="B6913" t="s">
        <v>288</v>
      </c>
      <c r="C6913">
        <f>-0.09-0.85</f>
        <v>-0.94</v>
      </c>
      <c r="D6913">
        <v>0.38</v>
      </c>
      <c r="E6913" t="s">
        <v>29</v>
      </c>
      <c r="F6913" t="s">
        <v>114</v>
      </c>
      <c r="G6913">
        <v>0.85</v>
      </c>
      <c r="H6913">
        <v>-0.09</v>
      </c>
      <c r="I6913">
        <v>0.47</v>
      </c>
      <c r="J6913">
        <v>0.22090000000000001</v>
      </c>
      <c r="K6913" t="str">
        <f>IFERROR(INDEX(Rosters!$C$2:$C$155,MATCH($B6913,Rosters!$B$2:$B$155,0)),"NA")</f>
        <v>NA</v>
      </c>
      <c r="L6913" t="str">
        <f t="shared" si="321"/>
        <v>NA4TE</v>
      </c>
      <c r="M6913">
        <f>COUNTIF(L$1:L6913,L6913)</f>
        <v>66</v>
      </c>
      <c r="N6913" t="str">
        <f t="shared" si="322"/>
        <v>NA4TE-66</v>
      </c>
      <c r="O6913">
        <f>COUNTIFS(F$1:F6913,F6913,A$1:A6913,A6913)</f>
        <v>77</v>
      </c>
      <c r="P6913" t="str">
        <f t="shared" si="323"/>
        <v>Marcedes Lewis4</v>
      </c>
    </row>
    <row r="6914" spans="1:16" x14ac:dyDescent="0.25">
      <c r="A6914">
        <v>9</v>
      </c>
      <c r="B6914" t="s">
        <v>3126</v>
      </c>
      <c r="C6914">
        <f>-0.12-0.88</f>
        <v>-1</v>
      </c>
      <c r="D6914">
        <v>0.38</v>
      </c>
      <c r="E6914" t="s">
        <v>36</v>
      </c>
      <c r="F6914" t="s">
        <v>114</v>
      </c>
      <c r="G6914">
        <v>0.88</v>
      </c>
      <c r="H6914">
        <v>-0.12</v>
      </c>
      <c r="I6914">
        <v>0.5</v>
      </c>
      <c r="J6914">
        <v>0.25</v>
      </c>
      <c r="K6914" t="str">
        <f>IFERROR(INDEX(Rosters!$C$2:$C$155,MATCH($B6914,Rosters!$B$2:$B$155,0)),"NA")</f>
        <v>NA</v>
      </c>
      <c r="L6914" t="str">
        <f t="shared" si="321"/>
        <v>NA9TE</v>
      </c>
      <c r="M6914">
        <f>COUNTIF(L$1:L6914,L6914)</f>
        <v>68</v>
      </c>
      <c r="N6914" t="str">
        <f t="shared" si="322"/>
        <v>NA9TE-68</v>
      </c>
      <c r="O6914">
        <f>COUNTIFS(F$1:F6914,F6914,A$1:A6914,A6914)</f>
        <v>79</v>
      </c>
      <c r="P6914" t="str">
        <f t="shared" si="323"/>
        <v>Matt LaCosse9</v>
      </c>
    </row>
    <row r="6915" spans="1:16" x14ac:dyDescent="0.25">
      <c r="A6915">
        <v>7</v>
      </c>
      <c r="B6915" t="s">
        <v>1123</v>
      </c>
      <c r="C6915">
        <f>-0.04-0.8</f>
        <v>-0.84000000000000008</v>
      </c>
      <c r="D6915">
        <v>0.38</v>
      </c>
      <c r="E6915" t="s">
        <v>29</v>
      </c>
      <c r="F6915" t="s">
        <v>47</v>
      </c>
      <c r="G6915">
        <v>0.8</v>
      </c>
      <c r="H6915">
        <v>-0.04</v>
      </c>
      <c r="I6915">
        <v>0.42</v>
      </c>
      <c r="J6915">
        <v>0.1764</v>
      </c>
      <c r="K6915" t="str">
        <f>IFERROR(INDEX(Rosters!$C$2:$C$155,MATCH($B6915,Rosters!$B$2:$B$155,0)),"NA")</f>
        <v>NA</v>
      </c>
      <c r="L6915" t="str">
        <f t="shared" ref="L6915:L6978" si="324">K6915&amp;A6915&amp;F6915</f>
        <v>NA7RB</v>
      </c>
      <c r="M6915">
        <f>COUNTIF(L$1:L6915,L6915)</f>
        <v>64</v>
      </c>
      <c r="N6915" t="str">
        <f t="shared" ref="N6915:N6978" si="325">L6915&amp;"-"&amp;M6915</f>
        <v>NA7RB-64</v>
      </c>
      <c r="O6915">
        <f>COUNTIFS(F$1:F6915,F6915,A$1:A6915,A6915)</f>
        <v>105</v>
      </c>
      <c r="P6915" t="str">
        <f t="shared" ref="P6915:P6978" si="326">B6915&amp;A6915</f>
        <v>Robert Turbin7</v>
      </c>
    </row>
    <row r="6916" spans="1:16" x14ac:dyDescent="0.25">
      <c r="A6916">
        <v>5</v>
      </c>
      <c r="B6916" t="s">
        <v>8803</v>
      </c>
      <c r="C6916" t="s">
        <v>856</v>
      </c>
      <c r="D6916">
        <v>0.38</v>
      </c>
      <c r="E6916" t="s">
        <v>50</v>
      </c>
      <c r="F6916" t="s">
        <v>47</v>
      </c>
      <c r="G6916">
        <v>0.75</v>
      </c>
      <c r="H6916">
        <v>0.01</v>
      </c>
      <c r="I6916">
        <v>0.37</v>
      </c>
      <c r="J6916">
        <v>0.13689999999999999</v>
      </c>
      <c r="K6916" t="str">
        <f>IFERROR(INDEX(Rosters!$C$2:$C$155,MATCH($B6916,Rosters!$B$2:$B$155,0)),"NA")</f>
        <v>NA</v>
      </c>
      <c r="L6916" t="str">
        <f t="shared" si="324"/>
        <v>NA5RB</v>
      </c>
      <c r="M6916">
        <f>COUNTIF(L$1:L6916,L6916)</f>
        <v>69</v>
      </c>
      <c r="N6916" t="str">
        <f t="shared" si="325"/>
        <v>NA5RB-69</v>
      </c>
      <c r="O6916">
        <f>COUNTIFS(F$1:F6916,F6916,A$1:A6916,A6916)</f>
        <v>112</v>
      </c>
      <c r="P6916" t="str">
        <f t="shared" si="326"/>
        <v>Roc Thomas5</v>
      </c>
    </row>
    <row r="6917" spans="1:16" x14ac:dyDescent="0.25">
      <c r="A6917">
        <v>16</v>
      </c>
      <c r="B6917" t="s">
        <v>337</v>
      </c>
      <c r="C6917">
        <f>-0.02-0.78</f>
        <v>-0.8</v>
      </c>
      <c r="D6917">
        <v>0.38</v>
      </c>
      <c r="E6917" t="s">
        <v>50</v>
      </c>
      <c r="F6917" t="s">
        <v>87</v>
      </c>
      <c r="G6917">
        <v>0.78</v>
      </c>
      <c r="H6917">
        <v>-0.02</v>
      </c>
      <c r="I6917">
        <v>0.4</v>
      </c>
      <c r="J6917">
        <v>0.16</v>
      </c>
      <c r="K6917" t="str">
        <f>IFERROR(INDEX(Rosters!$C$2:$C$155,MATCH($B6917,Rosters!$B$2:$B$155,0)),"NA")</f>
        <v>NA</v>
      </c>
      <c r="L6917" t="str">
        <f t="shared" si="324"/>
        <v>NA16WR</v>
      </c>
      <c r="M6917">
        <f>COUNTIF(L$1:L6917,L6917)</f>
        <v>121</v>
      </c>
      <c r="N6917" t="str">
        <f t="shared" si="325"/>
        <v>NA16WR-121</v>
      </c>
      <c r="O6917">
        <f>COUNTIFS(F$1:F6917,F6917,A$1:A6917,A6917)</f>
        <v>175</v>
      </c>
      <c r="P6917" t="str">
        <f t="shared" si="326"/>
        <v>Sammie Coates16</v>
      </c>
    </row>
    <row r="6918" spans="1:16" x14ac:dyDescent="0.25">
      <c r="A6918">
        <v>4</v>
      </c>
      <c r="B6918" t="s">
        <v>745</v>
      </c>
      <c r="C6918">
        <f>-0.06-0.82</f>
        <v>-0.87999999999999989</v>
      </c>
      <c r="D6918">
        <v>0.38</v>
      </c>
      <c r="E6918" t="s">
        <v>54</v>
      </c>
      <c r="F6918" t="s">
        <v>15</v>
      </c>
      <c r="G6918">
        <v>0.82</v>
      </c>
      <c r="H6918">
        <v>-0.06</v>
      </c>
      <c r="I6918">
        <v>0.44</v>
      </c>
      <c r="J6918">
        <v>0.19359999999999999</v>
      </c>
      <c r="K6918" t="str">
        <f>IFERROR(INDEX(Rosters!$C$2:$C$155,MATCH($B6918,Rosters!$B$2:$B$155,0)),"NA")</f>
        <v>NA</v>
      </c>
      <c r="L6918" t="str">
        <f t="shared" si="324"/>
        <v>NA4QB</v>
      </c>
      <c r="M6918">
        <f>COUNTIF(L$1:L6918,L6918)</f>
        <v>36</v>
      </c>
      <c r="N6918" t="str">
        <f t="shared" si="325"/>
        <v>NA4QB-36</v>
      </c>
      <c r="O6918">
        <f>COUNTIFS(F$1:F6918,F6918,A$1:A6918,A6918)</f>
        <v>51</v>
      </c>
      <c r="P6918" t="str">
        <f t="shared" si="326"/>
        <v>Teddy Bridgewater4</v>
      </c>
    </row>
    <row r="6919" spans="1:16" x14ac:dyDescent="0.25">
      <c r="A6919">
        <v>6</v>
      </c>
      <c r="B6919" t="s">
        <v>4250</v>
      </c>
      <c r="C6919" t="s">
        <v>8932</v>
      </c>
      <c r="D6919">
        <v>0.38</v>
      </c>
      <c r="E6919" t="s">
        <v>58</v>
      </c>
      <c r="F6919" t="s">
        <v>114</v>
      </c>
      <c r="G6919">
        <v>0.76</v>
      </c>
      <c r="H6919">
        <v>0</v>
      </c>
      <c r="I6919">
        <v>0.38</v>
      </c>
      <c r="J6919">
        <v>0.1444</v>
      </c>
      <c r="K6919" t="str">
        <f>IFERROR(INDEX(Rosters!$C$2:$C$155,MATCH($B6919,Rosters!$B$2:$B$155,0)),"NA")</f>
        <v>NA</v>
      </c>
      <c r="L6919" t="str">
        <f t="shared" si="324"/>
        <v>NA6TE</v>
      </c>
      <c r="M6919">
        <f>COUNTIF(L$1:L6919,L6919)</f>
        <v>75</v>
      </c>
      <c r="N6919" t="str">
        <f t="shared" si="325"/>
        <v>NA6TE-75</v>
      </c>
      <c r="O6919">
        <f>COUNTIFS(F$1:F6919,F6919,A$1:A6919,A6919)</f>
        <v>87</v>
      </c>
      <c r="P6919" t="str">
        <f t="shared" si="326"/>
        <v>Tyler Conklin6</v>
      </c>
    </row>
    <row r="6920" spans="1:16" x14ac:dyDescent="0.25">
      <c r="A6920">
        <v>11</v>
      </c>
      <c r="B6920" t="s">
        <v>4250</v>
      </c>
      <c r="C6920" t="s">
        <v>8932</v>
      </c>
      <c r="D6920">
        <v>0.38</v>
      </c>
      <c r="E6920" t="s">
        <v>72</v>
      </c>
      <c r="F6920" t="s">
        <v>114</v>
      </c>
      <c r="G6920">
        <v>0.76</v>
      </c>
      <c r="H6920">
        <v>0</v>
      </c>
      <c r="I6920">
        <v>0.38</v>
      </c>
      <c r="J6920">
        <v>0.1444</v>
      </c>
      <c r="K6920" t="str">
        <f>IFERROR(INDEX(Rosters!$C$2:$C$155,MATCH($B6920,Rosters!$B$2:$B$155,0)),"NA")</f>
        <v>NA</v>
      </c>
      <c r="L6920" t="str">
        <f t="shared" si="324"/>
        <v>NA11TE</v>
      </c>
      <c r="M6920">
        <f>COUNTIF(L$1:L6920,L6920)</f>
        <v>65</v>
      </c>
      <c r="N6920" t="str">
        <f t="shared" si="325"/>
        <v>NA11TE-65</v>
      </c>
      <c r="O6920">
        <f>COUNTIFS(F$1:F6920,F6920,A$1:A6920,A6920)</f>
        <v>77</v>
      </c>
      <c r="P6920" t="str">
        <f t="shared" si="326"/>
        <v>Tyler Conklin11</v>
      </c>
    </row>
    <row r="6921" spans="1:16" x14ac:dyDescent="0.25">
      <c r="A6921">
        <v>17</v>
      </c>
      <c r="B6921" t="s">
        <v>4250</v>
      </c>
      <c r="C6921" t="s">
        <v>8932</v>
      </c>
      <c r="D6921">
        <v>0.38</v>
      </c>
      <c r="E6921" t="s">
        <v>72</v>
      </c>
      <c r="F6921" t="s">
        <v>114</v>
      </c>
      <c r="G6921">
        <v>0.76</v>
      </c>
      <c r="H6921">
        <v>0</v>
      </c>
      <c r="I6921">
        <v>0.38</v>
      </c>
      <c r="J6921">
        <v>0.1444</v>
      </c>
      <c r="K6921" t="str">
        <f>IFERROR(INDEX(Rosters!$C$2:$C$155,MATCH($B6921,Rosters!$B$2:$B$155,0)),"NA")</f>
        <v>NA</v>
      </c>
      <c r="L6921" t="str">
        <f t="shared" si="324"/>
        <v>NA17TE</v>
      </c>
      <c r="M6921">
        <f>COUNTIF(L$1:L6921,L6921)</f>
        <v>83</v>
      </c>
      <c r="N6921" t="str">
        <f t="shared" si="325"/>
        <v>NA17TE-83</v>
      </c>
      <c r="O6921">
        <f>COUNTIFS(F$1:F6921,F6921,A$1:A6921,A6921)</f>
        <v>97</v>
      </c>
      <c r="P6921" t="str">
        <f t="shared" si="326"/>
        <v>Tyler Conklin17</v>
      </c>
    </row>
    <row r="6922" spans="1:16" x14ac:dyDescent="0.25">
      <c r="A6922">
        <v>15</v>
      </c>
      <c r="B6922" t="s">
        <v>1129</v>
      </c>
      <c r="C6922" t="s">
        <v>4743</v>
      </c>
      <c r="D6922">
        <v>0.37</v>
      </c>
      <c r="E6922" t="s">
        <v>77</v>
      </c>
      <c r="F6922" t="s">
        <v>114</v>
      </c>
      <c r="G6922">
        <v>0.73</v>
      </c>
      <c r="H6922">
        <v>0.01</v>
      </c>
      <c r="I6922">
        <v>0.36</v>
      </c>
      <c r="J6922">
        <v>0.12959999999999999</v>
      </c>
      <c r="K6922" t="str">
        <f>IFERROR(INDEX(Rosters!$C$2:$C$155,MATCH($B6922,Rosters!$B$2:$B$155,0)),"NA")</f>
        <v>NA</v>
      </c>
      <c r="L6922" t="str">
        <f t="shared" si="324"/>
        <v>NA15TE</v>
      </c>
      <c r="M6922">
        <f>COUNTIF(L$1:L6922,L6922)</f>
        <v>84</v>
      </c>
      <c r="N6922" t="str">
        <f t="shared" si="325"/>
        <v>NA15TE-84</v>
      </c>
      <c r="O6922">
        <f>COUNTIFS(F$1:F6922,F6922,A$1:A6922,A6922)</f>
        <v>98</v>
      </c>
      <c r="P6922" t="str">
        <f t="shared" si="326"/>
        <v>Alan Cross15</v>
      </c>
    </row>
    <row r="6923" spans="1:16" x14ac:dyDescent="0.25">
      <c r="A6923">
        <v>6</v>
      </c>
      <c r="B6923" t="s">
        <v>4221</v>
      </c>
      <c r="C6923">
        <f>-0.04-0.78</f>
        <v>-0.82000000000000006</v>
      </c>
      <c r="D6923">
        <v>0.37</v>
      </c>
      <c r="E6923" t="s">
        <v>66</v>
      </c>
      <c r="F6923" t="s">
        <v>114</v>
      </c>
      <c r="G6923">
        <v>0.78</v>
      </c>
      <c r="H6923">
        <v>-0.04</v>
      </c>
      <c r="I6923">
        <v>0.41</v>
      </c>
      <c r="J6923">
        <v>0.1681</v>
      </c>
      <c r="K6923" t="str">
        <f>IFERROR(INDEX(Rosters!$C$2:$C$155,MATCH($B6923,Rosters!$B$2:$B$155,0)),"NA")</f>
        <v>NA</v>
      </c>
      <c r="L6923" t="str">
        <f t="shared" si="324"/>
        <v>NA6TE</v>
      </c>
      <c r="M6923">
        <f>COUNTIF(L$1:L6923,L6923)</f>
        <v>76</v>
      </c>
      <c r="N6923" t="str">
        <f t="shared" si="325"/>
        <v>NA6TE-76</v>
      </c>
      <c r="O6923">
        <f>COUNTIFS(F$1:F6923,F6923,A$1:A6923,A6923)</f>
        <v>88</v>
      </c>
      <c r="P6923" t="str">
        <f t="shared" si="326"/>
        <v>Chris Herndon6</v>
      </c>
    </row>
    <row r="6924" spans="1:16" x14ac:dyDescent="0.25">
      <c r="A6924">
        <v>9</v>
      </c>
      <c r="B6924" t="s">
        <v>4221</v>
      </c>
      <c r="C6924">
        <f>-0.04-0.78</f>
        <v>-0.82000000000000006</v>
      </c>
      <c r="D6924">
        <v>0.37</v>
      </c>
      <c r="E6924" t="s">
        <v>19</v>
      </c>
      <c r="F6924" t="s">
        <v>114</v>
      </c>
      <c r="G6924">
        <v>0.78</v>
      </c>
      <c r="H6924">
        <v>-0.04</v>
      </c>
      <c r="I6924">
        <v>0.41</v>
      </c>
      <c r="J6924">
        <v>0.1681</v>
      </c>
      <c r="K6924" t="str">
        <f>IFERROR(INDEX(Rosters!$C$2:$C$155,MATCH($B6924,Rosters!$B$2:$B$155,0)),"NA")</f>
        <v>NA</v>
      </c>
      <c r="L6924" t="str">
        <f t="shared" si="324"/>
        <v>NA9TE</v>
      </c>
      <c r="M6924">
        <f>COUNTIF(L$1:L6924,L6924)</f>
        <v>69</v>
      </c>
      <c r="N6924" t="str">
        <f t="shared" si="325"/>
        <v>NA9TE-69</v>
      </c>
      <c r="O6924">
        <f>COUNTIFS(F$1:F6924,F6924,A$1:A6924,A6924)</f>
        <v>80</v>
      </c>
      <c r="P6924" t="str">
        <f t="shared" si="326"/>
        <v>Chris Herndon9</v>
      </c>
    </row>
    <row r="6925" spans="1:16" x14ac:dyDescent="0.25">
      <c r="A6925">
        <v>15</v>
      </c>
      <c r="B6925" t="s">
        <v>4221</v>
      </c>
      <c r="C6925" t="s">
        <v>8935</v>
      </c>
      <c r="D6925">
        <v>0.37</v>
      </c>
      <c r="E6925" t="s">
        <v>36</v>
      </c>
      <c r="F6925" t="s">
        <v>114</v>
      </c>
      <c r="G6925">
        <v>0.71</v>
      </c>
      <c r="H6925">
        <v>0.03</v>
      </c>
      <c r="I6925">
        <v>0.34</v>
      </c>
      <c r="J6925">
        <v>0.11559999999999999</v>
      </c>
      <c r="K6925" t="str">
        <f>IFERROR(INDEX(Rosters!$C$2:$C$155,MATCH($B6925,Rosters!$B$2:$B$155,0)),"NA")</f>
        <v>NA</v>
      </c>
      <c r="L6925" t="str">
        <f t="shared" si="324"/>
        <v>NA15TE</v>
      </c>
      <c r="M6925">
        <f>COUNTIF(L$1:L6925,L6925)</f>
        <v>85</v>
      </c>
      <c r="N6925" t="str">
        <f t="shared" si="325"/>
        <v>NA15TE-85</v>
      </c>
      <c r="O6925">
        <f>COUNTIFS(F$1:F6925,F6925,A$1:A6925,A6925)</f>
        <v>99</v>
      </c>
      <c r="P6925" t="str">
        <f t="shared" si="326"/>
        <v>Chris Herndon15</v>
      </c>
    </row>
    <row r="6926" spans="1:16" x14ac:dyDescent="0.25">
      <c r="A6926">
        <v>1</v>
      </c>
      <c r="B6926" t="s">
        <v>330</v>
      </c>
      <c r="C6926">
        <f>-0.06-0.8</f>
        <v>-0.8600000000000001</v>
      </c>
      <c r="D6926">
        <v>0.37</v>
      </c>
      <c r="E6926" t="s">
        <v>22</v>
      </c>
      <c r="F6926" t="s">
        <v>114</v>
      </c>
      <c r="G6926">
        <v>0.8</v>
      </c>
      <c r="H6926">
        <v>-0.06</v>
      </c>
      <c r="I6926">
        <v>0.43</v>
      </c>
      <c r="J6926">
        <v>0.18490000000000001</v>
      </c>
      <c r="K6926" t="str">
        <f>IFERROR(INDEX(Rosters!$C$2:$C$155,MATCH($B6926,Rosters!$B$2:$B$155,0)),"NA")</f>
        <v>NA</v>
      </c>
      <c r="L6926" t="str">
        <f t="shared" si="324"/>
        <v>NA1TE</v>
      </c>
      <c r="M6926">
        <f>COUNTIF(L$1:L6926,L6926)</f>
        <v>60</v>
      </c>
      <c r="N6926" t="str">
        <f t="shared" si="325"/>
        <v>NA1TE-60</v>
      </c>
      <c r="O6926">
        <f>COUNTIFS(F$1:F6926,F6926,A$1:A6926,A6926)</f>
        <v>73</v>
      </c>
      <c r="P6926" t="str">
        <f t="shared" si="326"/>
        <v>Chris Manhertz1</v>
      </c>
    </row>
    <row r="6927" spans="1:16" x14ac:dyDescent="0.25">
      <c r="A6927">
        <v>11</v>
      </c>
      <c r="B6927" t="s">
        <v>330</v>
      </c>
      <c r="C6927">
        <f>-0.1-0.84</f>
        <v>-0.94</v>
      </c>
      <c r="D6927">
        <v>0.37</v>
      </c>
      <c r="E6927" t="s">
        <v>34</v>
      </c>
      <c r="F6927" t="s">
        <v>114</v>
      </c>
      <c r="G6927">
        <v>0.84</v>
      </c>
      <c r="H6927">
        <v>-0.1</v>
      </c>
      <c r="I6927">
        <v>0.47</v>
      </c>
      <c r="J6927">
        <v>0.22090000000000001</v>
      </c>
      <c r="K6927" t="str">
        <f>IFERROR(INDEX(Rosters!$C$2:$C$155,MATCH($B6927,Rosters!$B$2:$B$155,0)),"NA")</f>
        <v>NA</v>
      </c>
      <c r="L6927" t="str">
        <f t="shared" si="324"/>
        <v>NA11TE</v>
      </c>
      <c r="M6927">
        <f>COUNTIF(L$1:L6927,L6927)</f>
        <v>66</v>
      </c>
      <c r="N6927" t="str">
        <f t="shared" si="325"/>
        <v>NA11TE-66</v>
      </c>
      <c r="O6927">
        <f>COUNTIFS(F$1:F6927,F6927,A$1:A6927,A6927)</f>
        <v>78</v>
      </c>
      <c r="P6927" t="str">
        <f t="shared" si="326"/>
        <v>Chris Manhertz11</v>
      </c>
    </row>
    <row r="6928" spans="1:16" x14ac:dyDescent="0.25">
      <c r="A6928">
        <v>17</v>
      </c>
      <c r="B6928" t="s">
        <v>330</v>
      </c>
      <c r="C6928">
        <f>-0.12-0.86</f>
        <v>-0.98</v>
      </c>
      <c r="D6928">
        <v>0.37</v>
      </c>
      <c r="E6928" t="s">
        <v>14</v>
      </c>
      <c r="F6928" t="s">
        <v>114</v>
      </c>
      <c r="G6928">
        <v>0.86</v>
      </c>
      <c r="H6928">
        <v>-0.12</v>
      </c>
      <c r="I6928">
        <v>0.49</v>
      </c>
      <c r="J6928">
        <v>0.24010000000000001</v>
      </c>
      <c r="K6928" t="str">
        <f>IFERROR(INDEX(Rosters!$C$2:$C$155,MATCH($B6928,Rosters!$B$2:$B$155,0)),"NA")</f>
        <v>NA</v>
      </c>
      <c r="L6928" t="str">
        <f t="shared" si="324"/>
        <v>NA17TE</v>
      </c>
      <c r="M6928">
        <f>COUNTIF(L$1:L6928,L6928)</f>
        <v>84</v>
      </c>
      <c r="N6928" t="str">
        <f t="shared" si="325"/>
        <v>NA17TE-84</v>
      </c>
      <c r="O6928">
        <f>COUNTIFS(F$1:F6928,F6928,A$1:A6928,A6928)</f>
        <v>98</v>
      </c>
      <c r="P6928" t="str">
        <f t="shared" si="326"/>
        <v>Chris Manhertz17</v>
      </c>
    </row>
    <row r="6929" spans="1:16" x14ac:dyDescent="0.25">
      <c r="A6929">
        <v>2</v>
      </c>
      <c r="B6929" t="s">
        <v>361</v>
      </c>
      <c r="C6929">
        <f>-0.15-0.89</f>
        <v>-1.04</v>
      </c>
      <c r="D6929">
        <v>0.37</v>
      </c>
      <c r="E6929" t="s">
        <v>51</v>
      </c>
      <c r="F6929" t="s">
        <v>87</v>
      </c>
      <c r="G6929">
        <v>0.89</v>
      </c>
      <c r="H6929">
        <v>-0.15</v>
      </c>
      <c r="I6929">
        <v>0.52</v>
      </c>
      <c r="J6929">
        <v>0.27039999999999997</v>
      </c>
      <c r="K6929" t="str">
        <f>IFERROR(INDEX(Rosters!$C$2:$C$155,MATCH($B6929,Rosters!$B$2:$B$155,0)),"NA")</f>
        <v>NA</v>
      </c>
      <c r="L6929" t="str">
        <f t="shared" si="324"/>
        <v>NA2WR</v>
      </c>
      <c r="M6929">
        <f>COUNTIF(L$1:L6929,L6929)</f>
        <v>90</v>
      </c>
      <c r="N6929" t="str">
        <f t="shared" si="325"/>
        <v>NA2WR-90</v>
      </c>
      <c r="O6929">
        <f>COUNTIFS(F$1:F6929,F6929,A$1:A6929,A6929)</f>
        <v>139</v>
      </c>
      <c r="P6929" t="str">
        <f t="shared" si="326"/>
        <v>De'Anthony Thomas2</v>
      </c>
    </row>
    <row r="6930" spans="1:16" x14ac:dyDescent="0.25">
      <c r="A6930">
        <v>12</v>
      </c>
      <c r="B6930" t="s">
        <v>1127</v>
      </c>
      <c r="C6930">
        <f>-0.05-0.79</f>
        <v>-0.84000000000000008</v>
      </c>
      <c r="D6930">
        <v>0.37</v>
      </c>
      <c r="E6930" t="s">
        <v>77</v>
      </c>
      <c r="F6930" t="s">
        <v>87</v>
      </c>
      <c r="G6930">
        <v>0.79</v>
      </c>
      <c r="H6930">
        <v>-0.05</v>
      </c>
      <c r="I6930">
        <v>0.42</v>
      </c>
      <c r="J6930">
        <v>0.1764</v>
      </c>
      <c r="K6930" t="str">
        <f>IFERROR(INDEX(Rosters!$C$2:$C$155,MATCH($B6930,Rosters!$B$2:$B$155,0)),"NA")</f>
        <v>NA</v>
      </c>
      <c r="L6930" t="str">
        <f t="shared" si="324"/>
        <v>NA12WR</v>
      </c>
      <c r="M6930">
        <f>COUNTIF(L$1:L6930,L6930)</f>
        <v>114</v>
      </c>
      <c r="N6930" t="str">
        <f t="shared" si="325"/>
        <v>NA12WR-114</v>
      </c>
      <c r="O6930">
        <f>COUNTIFS(F$1:F6930,F6930,A$1:A6930,A6930)</f>
        <v>163</v>
      </c>
      <c r="P6930" t="str">
        <f t="shared" si="326"/>
        <v>Dwayne Harris12</v>
      </c>
    </row>
    <row r="6931" spans="1:16" x14ac:dyDescent="0.25">
      <c r="A6931">
        <v>16</v>
      </c>
      <c r="B6931" t="s">
        <v>1127</v>
      </c>
      <c r="C6931">
        <f>-0.03-0.77</f>
        <v>-0.8</v>
      </c>
      <c r="D6931">
        <v>0.37</v>
      </c>
      <c r="E6931" t="s">
        <v>42</v>
      </c>
      <c r="F6931" t="s">
        <v>87</v>
      </c>
      <c r="G6931">
        <v>0.77</v>
      </c>
      <c r="H6931">
        <v>-0.03</v>
      </c>
      <c r="I6931">
        <v>0.4</v>
      </c>
      <c r="J6931">
        <v>0.16</v>
      </c>
      <c r="K6931" t="str">
        <f>IFERROR(INDEX(Rosters!$C$2:$C$155,MATCH($B6931,Rosters!$B$2:$B$155,0)),"NA")</f>
        <v>NA</v>
      </c>
      <c r="L6931" t="str">
        <f t="shared" si="324"/>
        <v>NA16WR</v>
      </c>
      <c r="M6931">
        <f>COUNTIF(L$1:L6931,L6931)</f>
        <v>122</v>
      </c>
      <c r="N6931" t="str">
        <f t="shared" si="325"/>
        <v>NA16WR-122</v>
      </c>
      <c r="O6931">
        <f>COUNTIFS(F$1:F6931,F6931,A$1:A6931,A6931)</f>
        <v>176</v>
      </c>
      <c r="P6931" t="str">
        <f t="shared" si="326"/>
        <v>Dwayne Harris16</v>
      </c>
    </row>
    <row r="6932" spans="1:16" x14ac:dyDescent="0.25">
      <c r="A6932">
        <v>8</v>
      </c>
      <c r="B6932" t="s">
        <v>2964</v>
      </c>
      <c r="C6932">
        <f>-0.05-0.79</f>
        <v>-0.84000000000000008</v>
      </c>
      <c r="D6932">
        <v>0.37</v>
      </c>
      <c r="E6932" t="s">
        <v>25</v>
      </c>
      <c r="F6932" t="s">
        <v>47</v>
      </c>
      <c r="G6932">
        <v>0.79</v>
      </c>
      <c r="H6932">
        <v>-0.05</v>
      </c>
      <c r="I6932">
        <v>0.42</v>
      </c>
      <c r="J6932">
        <v>0.1764</v>
      </c>
      <c r="K6932" t="str">
        <f>IFERROR(INDEX(Rosters!$C$2:$C$155,MATCH($B6932,Rosters!$B$2:$B$155,0)),"NA")</f>
        <v>NA</v>
      </c>
      <c r="L6932" t="str">
        <f t="shared" si="324"/>
        <v>NA8RB</v>
      </c>
      <c r="M6932">
        <f>COUNTIF(L$1:L6932,L6932)</f>
        <v>71</v>
      </c>
      <c r="N6932" t="str">
        <f t="shared" si="325"/>
        <v>NA8RB-71</v>
      </c>
      <c r="O6932">
        <f>COUNTIFS(F$1:F6932,F6932,A$1:A6932,A6932)</f>
        <v>111</v>
      </c>
      <c r="P6932" t="str">
        <f t="shared" si="326"/>
        <v>Dwayne Washington8</v>
      </c>
    </row>
    <row r="6933" spans="1:16" x14ac:dyDescent="0.25">
      <c r="A6933">
        <v>4</v>
      </c>
      <c r="B6933" t="s">
        <v>1631</v>
      </c>
      <c r="C6933">
        <f>-0.15-0.89</f>
        <v>-1.04</v>
      </c>
      <c r="D6933">
        <v>0.37</v>
      </c>
      <c r="E6933" t="s">
        <v>46</v>
      </c>
      <c r="F6933" t="s">
        <v>87</v>
      </c>
      <c r="G6933">
        <v>0.89</v>
      </c>
      <c r="H6933">
        <v>-0.15</v>
      </c>
      <c r="I6933">
        <v>0.52</v>
      </c>
      <c r="J6933">
        <v>0.27039999999999997</v>
      </c>
      <c r="K6933" t="str">
        <f>IFERROR(INDEX(Rosters!$C$2:$C$155,MATCH($B6933,Rosters!$B$2:$B$155,0)),"NA")</f>
        <v>NA</v>
      </c>
      <c r="L6933" t="str">
        <f t="shared" si="324"/>
        <v>NA4WR</v>
      </c>
      <c r="M6933">
        <f>COUNTIF(L$1:L6933,L6933)</f>
        <v>94</v>
      </c>
      <c r="N6933" t="str">
        <f t="shared" si="325"/>
        <v>NA4WR-94</v>
      </c>
      <c r="O6933">
        <f>COUNTIFS(F$1:F6933,F6933,A$1:A6933,A6933)</f>
        <v>144</v>
      </c>
      <c r="P6933" t="str">
        <f t="shared" si="326"/>
        <v>Josh Malone4</v>
      </c>
    </row>
    <row r="6934" spans="1:16" x14ac:dyDescent="0.25">
      <c r="A6934">
        <v>11</v>
      </c>
      <c r="B6934" t="s">
        <v>2854</v>
      </c>
      <c r="C6934">
        <f>-0.06-0.8</f>
        <v>-0.8600000000000001</v>
      </c>
      <c r="D6934">
        <v>0.37</v>
      </c>
      <c r="E6934" t="s">
        <v>14</v>
      </c>
      <c r="F6934" t="s">
        <v>87</v>
      </c>
      <c r="G6934">
        <v>0.8</v>
      </c>
      <c r="H6934">
        <v>-0.06</v>
      </c>
      <c r="I6934">
        <v>0.43</v>
      </c>
      <c r="J6934">
        <v>0.18490000000000001</v>
      </c>
      <c r="K6934" t="str">
        <f>IFERROR(INDEX(Rosters!$C$2:$C$155,MATCH($B6934,Rosters!$B$2:$B$155,0)),"NA")</f>
        <v>NA</v>
      </c>
      <c r="L6934" t="str">
        <f t="shared" si="324"/>
        <v>NA11WR</v>
      </c>
      <c r="M6934">
        <f>COUNTIF(L$1:L6934,L6934)</f>
        <v>95</v>
      </c>
      <c r="N6934" t="str">
        <f t="shared" si="325"/>
        <v>NA11WR-95</v>
      </c>
      <c r="O6934">
        <f>COUNTIFS(F$1:F6934,F6934,A$1:A6934,A6934)</f>
        <v>142</v>
      </c>
      <c r="P6934" t="str">
        <f t="shared" si="326"/>
        <v>Kamar Aiken11</v>
      </c>
    </row>
    <row r="6935" spans="1:16" x14ac:dyDescent="0.25">
      <c r="A6935">
        <v>15</v>
      </c>
      <c r="B6935" t="s">
        <v>368</v>
      </c>
      <c r="C6935">
        <f>-0.03-0.77</f>
        <v>-0.8</v>
      </c>
      <c r="D6935">
        <v>0.37</v>
      </c>
      <c r="E6935" t="s">
        <v>31</v>
      </c>
      <c r="F6935" t="s">
        <v>47</v>
      </c>
      <c r="G6935">
        <v>0.77</v>
      </c>
      <c r="H6935">
        <v>-0.03</v>
      </c>
      <c r="I6935">
        <v>0.4</v>
      </c>
      <c r="J6935">
        <v>0.16</v>
      </c>
      <c r="K6935" t="str">
        <f>IFERROR(INDEX(Rosters!$C$2:$C$155,MATCH($B6935,Rosters!$B$2:$B$155,0)),"NA")</f>
        <v>NA</v>
      </c>
      <c r="L6935" t="str">
        <f t="shared" si="324"/>
        <v>NA15RB</v>
      </c>
      <c r="M6935">
        <f>COUNTIF(L$1:L6935,L6935)</f>
        <v>80</v>
      </c>
      <c r="N6935" t="str">
        <f t="shared" si="325"/>
        <v>NA15RB-80</v>
      </c>
      <c r="O6935">
        <f>COUNTIFS(F$1:F6935,F6935,A$1:A6935,A6935)</f>
        <v>127</v>
      </c>
      <c r="P6935" t="str">
        <f t="shared" si="326"/>
        <v>Keith Smith15</v>
      </c>
    </row>
    <row r="6936" spans="1:16" x14ac:dyDescent="0.25">
      <c r="A6936">
        <v>14</v>
      </c>
      <c r="B6936" t="s">
        <v>389</v>
      </c>
      <c r="C6936">
        <f>-0.01-0.75</f>
        <v>-0.76</v>
      </c>
      <c r="D6936">
        <v>0.37</v>
      </c>
      <c r="E6936" t="s">
        <v>51</v>
      </c>
      <c r="F6936" t="s">
        <v>114</v>
      </c>
      <c r="G6936">
        <v>0.75</v>
      </c>
      <c r="H6936">
        <v>-0.01</v>
      </c>
      <c r="I6936">
        <v>0.38</v>
      </c>
      <c r="J6936">
        <v>0.1444</v>
      </c>
      <c r="K6936" t="str">
        <f>IFERROR(INDEX(Rosters!$C$2:$C$155,MATCH($B6936,Rosters!$B$2:$B$155,0)),"NA")</f>
        <v>NA</v>
      </c>
      <c r="L6936" t="str">
        <f t="shared" si="324"/>
        <v>NA14TE</v>
      </c>
      <c r="M6936">
        <f>COUNTIF(L$1:L6936,L6936)</f>
        <v>86</v>
      </c>
      <c r="N6936" t="str">
        <f t="shared" si="325"/>
        <v>NA14TE-86</v>
      </c>
      <c r="O6936">
        <f>COUNTIFS(F$1:F6936,F6936,A$1:A6936,A6936)</f>
        <v>100</v>
      </c>
      <c r="P6936" t="str">
        <f t="shared" si="326"/>
        <v>Lee Smith14</v>
      </c>
    </row>
    <row r="6937" spans="1:16" x14ac:dyDescent="0.25">
      <c r="A6937">
        <v>11</v>
      </c>
      <c r="B6937" t="s">
        <v>4248</v>
      </c>
      <c r="C6937" t="s">
        <v>8936</v>
      </c>
      <c r="D6937">
        <v>0.37</v>
      </c>
      <c r="E6937" t="s">
        <v>74</v>
      </c>
      <c r="F6937" t="s">
        <v>47</v>
      </c>
      <c r="G6937">
        <v>0.7</v>
      </c>
      <c r="H6937">
        <v>0.04</v>
      </c>
      <c r="I6937">
        <v>0.33</v>
      </c>
      <c r="J6937">
        <v>0.1089</v>
      </c>
      <c r="K6937" t="str">
        <f>IFERROR(INDEX(Rosters!$C$2:$C$155,MATCH($B6937,Rosters!$B$2:$B$155,0)),"NA")</f>
        <v>NA</v>
      </c>
      <c r="L6937" t="str">
        <f t="shared" si="324"/>
        <v>NA11RB</v>
      </c>
      <c r="M6937">
        <f>COUNTIF(L$1:L6937,L6937)</f>
        <v>67</v>
      </c>
      <c r="N6937" t="str">
        <f t="shared" si="325"/>
        <v>NA11RB-67</v>
      </c>
      <c r="O6937">
        <f>COUNTIFS(F$1:F6937,F6937,A$1:A6937,A6937)</f>
        <v>105</v>
      </c>
      <c r="P6937" t="str">
        <f t="shared" si="326"/>
        <v>Nick Bellore11</v>
      </c>
    </row>
    <row r="6938" spans="1:16" x14ac:dyDescent="0.25">
      <c r="A6938">
        <v>17</v>
      </c>
      <c r="B6938" t="s">
        <v>4248</v>
      </c>
      <c r="C6938">
        <f>-0.05-0.79</f>
        <v>-0.84000000000000008</v>
      </c>
      <c r="D6938">
        <v>0.37</v>
      </c>
      <c r="E6938" t="s">
        <v>41</v>
      </c>
      <c r="F6938" t="s">
        <v>47</v>
      </c>
      <c r="G6938">
        <v>0.79</v>
      </c>
      <c r="H6938">
        <v>-0.05</v>
      </c>
      <c r="I6938">
        <v>0.42</v>
      </c>
      <c r="J6938">
        <v>0.1764</v>
      </c>
      <c r="K6938" t="str">
        <f>IFERROR(INDEX(Rosters!$C$2:$C$155,MATCH($B6938,Rosters!$B$2:$B$155,0)),"NA")</f>
        <v>NA</v>
      </c>
      <c r="L6938" t="str">
        <f t="shared" si="324"/>
        <v>NA17RB</v>
      </c>
      <c r="M6938">
        <f>COUNTIF(L$1:L6938,L6938)</f>
        <v>79</v>
      </c>
      <c r="N6938" t="str">
        <f t="shared" si="325"/>
        <v>NA17RB-79</v>
      </c>
      <c r="O6938">
        <f>COUNTIFS(F$1:F6938,F6938,A$1:A6938,A6938)</f>
        <v>126</v>
      </c>
      <c r="P6938" t="str">
        <f t="shared" si="326"/>
        <v>Nick Bellore17</v>
      </c>
    </row>
    <row r="6939" spans="1:16" x14ac:dyDescent="0.25">
      <c r="A6939">
        <v>1</v>
      </c>
      <c r="B6939" t="s">
        <v>372</v>
      </c>
      <c r="C6939">
        <f>-0.17-0.91</f>
        <v>-1.08</v>
      </c>
      <c r="D6939">
        <v>0.37</v>
      </c>
      <c r="E6939" t="s">
        <v>52</v>
      </c>
      <c r="F6939" t="s">
        <v>114</v>
      </c>
      <c r="G6939">
        <v>0.91</v>
      </c>
      <c r="H6939">
        <v>-0.17</v>
      </c>
      <c r="I6939">
        <v>0.54</v>
      </c>
      <c r="J6939">
        <v>0.29160000000000003</v>
      </c>
      <c r="K6939" t="str">
        <f>IFERROR(INDEX(Rosters!$C$2:$C$155,MATCH($B6939,Rosters!$B$2:$B$155,0)),"NA")</f>
        <v>NA</v>
      </c>
      <c r="L6939" t="str">
        <f t="shared" si="324"/>
        <v>NA1TE</v>
      </c>
      <c r="M6939">
        <f>COUNTIF(L$1:L6939,L6939)</f>
        <v>61</v>
      </c>
      <c r="N6939" t="str">
        <f t="shared" si="325"/>
        <v>NA1TE-61</v>
      </c>
      <c r="O6939">
        <f>COUNTIFS(F$1:F6939,F6939,A$1:A6939,A6939)</f>
        <v>74</v>
      </c>
      <c r="P6939" t="str">
        <f t="shared" si="326"/>
        <v>Xavier Grimble1</v>
      </c>
    </row>
    <row r="6940" spans="1:16" x14ac:dyDescent="0.25">
      <c r="A6940">
        <v>8</v>
      </c>
      <c r="B6940" t="s">
        <v>1129</v>
      </c>
      <c r="C6940">
        <f>-0.03-0.75</f>
        <v>-0.78</v>
      </c>
      <c r="D6940">
        <v>0.36</v>
      </c>
      <c r="E6940" t="s">
        <v>31</v>
      </c>
      <c r="F6940" t="s">
        <v>114</v>
      </c>
      <c r="G6940">
        <v>0.75</v>
      </c>
      <c r="H6940">
        <v>-0.03</v>
      </c>
      <c r="I6940">
        <v>0.39</v>
      </c>
      <c r="J6940">
        <v>0.15210000000000001</v>
      </c>
      <c r="K6940" t="str">
        <f>IFERROR(INDEX(Rosters!$C$2:$C$155,MATCH($B6940,Rosters!$B$2:$B$155,0)),"NA")</f>
        <v>NA</v>
      </c>
      <c r="L6940" t="str">
        <f t="shared" si="324"/>
        <v>NA8TE</v>
      </c>
      <c r="M6940">
        <f>COUNTIF(L$1:L6940,L6940)</f>
        <v>74</v>
      </c>
      <c r="N6940" t="str">
        <f t="shared" si="325"/>
        <v>NA8TE-74</v>
      </c>
      <c r="O6940">
        <f>COUNTIFS(F$1:F6940,F6940,A$1:A6940,A6940)</f>
        <v>86</v>
      </c>
      <c r="P6940" t="str">
        <f t="shared" si="326"/>
        <v>Alan Cross8</v>
      </c>
    </row>
    <row r="6941" spans="1:16" x14ac:dyDescent="0.25">
      <c r="A6941">
        <v>6</v>
      </c>
      <c r="B6941" t="s">
        <v>2274</v>
      </c>
      <c r="C6941">
        <f>-0.1-0.82</f>
        <v>-0.91999999999999993</v>
      </c>
      <c r="D6941">
        <v>0.36</v>
      </c>
      <c r="E6941" t="s">
        <v>72</v>
      </c>
      <c r="F6941" t="s">
        <v>47</v>
      </c>
      <c r="G6941">
        <v>0.82</v>
      </c>
      <c r="H6941">
        <v>-0.1</v>
      </c>
      <c r="I6941">
        <v>0.46</v>
      </c>
      <c r="J6941">
        <v>0.21160000000000001</v>
      </c>
      <c r="K6941" t="str">
        <f>IFERROR(INDEX(Rosters!$C$2:$C$155,MATCH($B6941,Rosters!$B$2:$B$155,0)),"NA")</f>
        <v>NA</v>
      </c>
      <c r="L6941" t="str">
        <f t="shared" si="324"/>
        <v>NA6RB</v>
      </c>
      <c r="M6941">
        <f>COUNTIF(L$1:L6941,L6941)</f>
        <v>68</v>
      </c>
      <c r="N6941" t="str">
        <f t="shared" si="325"/>
        <v>NA6RB-68</v>
      </c>
      <c r="O6941">
        <f>COUNTIFS(F$1:F6941,F6941,A$1:A6941,A6941)</f>
        <v>110</v>
      </c>
      <c r="P6941" t="str">
        <f t="shared" si="326"/>
        <v>Brandon Bolden6</v>
      </c>
    </row>
    <row r="6942" spans="1:16" x14ac:dyDescent="0.25">
      <c r="A6942">
        <v>7</v>
      </c>
      <c r="B6942" t="s">
        <v>4656</v>
      </c>
      <c r="C6942" t="s">
        <v>3883</v>
      </c>
      <c r="D6942">
        <v>0.36</v>
      </c>
      <c r="E6942" t="s">
        <v>76</v>
      </c>
      <c r="F6942" t="s">
        <v>47</v>
      </c>
      <c r="G6942">
        <v>0.72</v>
      </c>
      <c r="H6942">
        <v>0</v>
      </c>
      <c r="I6942">
        <v>0.36</v>
      </c>
      <c r="J6942">
        <v>0.12959999999999999</v>
      </c>
      <c r="K6942" t="str">
        <f>IFERROR(INDEX(Rosters!$C$2:$C$155,MATCH($B6942,Rosters!$B$2:$B$155,0)),"NA")</f>
        <v>NA</v>
      </c>
      <c r="L6942" t="str">
        <f t="shared" si="324"/>
        <v>NA7RB</v>
      </c>
      <c r="M6942">
        <f>COUNTIF(L$1:L6942,L6942)</f>
        <v>65</v>
      </c>
      <c r="N6942" t="str">
        <f t="shared" si="325"/>
        <v>NA7RB-65</v>
      </c>
      <c r="O6942">
        <f>COUNTIFS(F$1:F6942,F6942,A$1:A6942,A6942)</f>
        <v>106</v>
      </c>
      <c r="P6942" t="str">
        <f t="shared" si="326"/>
        <v>Buddy Howell7</v>
      </c>
    </row>
    <row r="6943" spans="1:16" x14ac:dyDescent="0.25">
      <c r="A6943">
        <v>3</v>
      </c>
      <c r="B6943" t="s">
        <v>301</v>
      </c>
      <c r="C6943" t="s">
        <v>3883</v>
      </c>
      <c r="D6943">
        <v>0.36</v>
      </c>
      <c r="E6943" t="s">
        <v>74</v>
      </c>
      <c r="F6943" t="s">
        <v>114</v>
      </c>
      <c r="G6943">
        <v>0.72</v>
      </c>
      <c r="H6943">
        <v>0</v>
      </c>
      <c r="I6943">
        <v>0.36</v>
      </c>
      <c r="J6943">
        <v>0.12959999999999999</v>
      </c>
      <c r="K6943" t="str">
        <f>IFERROR(INDEX(Rosters!$C$2:$C$155,MATCH($B6943,Rosters!$B$2:$B$155,0)),"NA")</f>
        <v>NA</v>
      </c>
      <c r="L6943" t="str">
        <f t="shared" si="324"/>
        <v>NA3TE</v>
      </c>
      <c r="M6943">
        <f>COUNTIF(L$1:L6943,L6943)</f>
        <v>72</v>
      </c>
      <c r="N6943" t="str">
        <f t="shared" si="325"/>
        <v>NA3TE-72</v>
      </c>
      <c r="O6943">
        <f>COUNTIFS(F$1:F6943,F6943,A$1:A6943,A6943)</f>
        <v>85</v>
      </c>
      <c r="P6943" t="str">
        <f t="shared" si="326"/>
        <v>C.J. Uzomah3</v>
      </c>
    </row>
    <row r="6944" spans="1:16" x14ac:dyDescent="0.25">
      <c r="A6944">
        <v>5</v>
      </c>
      <c r="B6944" t="s">
        <v>2964</v>
      </c>
      <c r="C6944">
        <f>-0.15-0.87</f>
        <v>-1.02</v>
      </c>
      <c r="D6944">
        <v>0.36</v>
      </c>
      <c r="E6944" t="s">
        <v>60</v>
      </c>
      <c r="F6944" t="s">
        <v>47</v>
      </c>
      <c r="G6944">
        <v>0.87</v>
      </c>
      <c r="H6944">
        <v>-0.15</v>
      </c>
      <c r="I6944">
        <v>0.51</v>
      </c>
      <c r="J6944">
        <v>0.2601</v>
      </c>
      <c r="K6944" t="str">
        <f>IFERROR(INDEX(Rosters!$C$2:$C$155,MATCH($B6944,Rosters!$B$2:$B$155,0)),"NA")</f>
        <v>NA</v>
      </c>
      <c r="L6944" t="str">
        <f t="shared" si="324"/>
        <v>NA5RB</v>
      </c>
      <c r="M6944">
        <f>COUNTIF(L$1:L6944,L6944)</f>
        <v>70</v>
      </c>
      <c r="N6944" t="str">
        <f t="shared" si="325"/>
        <v>NA5RB-70</v>
      </c>
      <c r="O6944">
        <f>COUNTIFS(F$1:F6944,F6944,A$1:A6944,A6944)</f>
        <v>113</v>
      </c>
      <c r="P6944" t="str">
        <f t="shared" si="326"/>
        <v>Dwayne Washington5</v>
      </c>
    </row>
    <row r="6945" spans="1:16" x14ac:dyDescent="0.25">
      <c r="A6945">
        <v>12</v>
      </c>
      <c r="B6945" t="s">
        <v>1631</v>
      </c>
      <c r="C6945">
        <f>-0.14-0.86</f>
        <v>-1</v>
      </c>
      <c r="D6945">
        <v>0.36</v>
      </c>
      <c r="E6945" t="s">
        <v>52</v>
      </c>
      <c r="F6945" t="s">
        <v>87</v>
      </c>
      <c r="G6945">
        <v>0.86</v>
      </c>
      <c r="H6945">
        <v>-0.14000000000000001</v>
      </c>
      <c r="I6945">
        <v>0.5</v>
      </c>
      <c r="J6945">
        <v>0.25</v>
      </c>
      <c r="K6945" t="str">
        <f>IFERROR(INDEX(Rosters!$C$2:$C$155,MATCH($B6945,Rosters!$B$2:$B$155,0)),"NA")</f>
        <v>NA</v>
      </c>
      <c r="L6945" t="str">
        <f t="shared" si="324"/>
        <v>NA12WR</v>
      </c>
      <c r="M6945">
        <f>COUNTIF(L$1:L6945,L6945)</f>
        <v>115</v>
      </c>
      <c r="N6945" t="str">
        <f t="shared" si="325"/>
        <v>NA12WR-115</v>
      </c>
      <c r="O6945">
        <f>COUNTIFS(F$1:F6945,F6945,A$1:A6945,A6945)</f>
        <v>164</v>
      </c>
      <c r="P6945" t="str">
        <f t="shared" si="326"/>
        <v>Josh Malone12</v>
      </c>
    </row>
    <row r="6946" spans="1:16" x14ac:dyDescent="0.25">
      <c r="A6946">
        <v>13</v>
      </c>
      <c r="B6946" t="s">
        <v>1631</v>
      </c>
      <c r="C6946">
        <f>-0.14-0.86</f>
        <v>-1</v>
      </c>
      <c r="D6946">
        <v>0.36</v>
      </c>
      <c r="E6946" t="s">
        <v>42</v>
      </c>
      <c r="F6946" t="s">
        <v>87</v>
      </c>
      <c r="G6946">
        <v>0.86</v>
      </c>
      <c r="H6946">
        <v>-0.14000000000000001</v>
      </c>
      <c r="I6946">
        <v>0.5</v>
      </c>
      <c r="J6946">
        <v>0.25</v>
      </c>
      <c r="K6946" t="str">
        <f>IFERROR(INDEX(Rosters!$C$2:$C$155,MATCH($B6946,Rosters!$B$2:$B$155,0)),"NA")</f>
        <v>NA</v>
      </c>
      <c r="L6946" t="str">
        <f t="shared" si="324"/>
        <v>NA13WR</v>
      </c>
      <c r="M6946">
        <f>COUNTIF(L$1:L6946,L6946)</f>
        <v>122</v>
      </c>
      <c r="N6946" t="str">
        <f t="shared" si="325"/>
        <v>NA13WR-122</v>
      </c>
      <c r="O6946">
        <f>COUNTIFS(F$1:F6946,F6946,A$1:A6946,A6946)</f>
        <v>176</v>
      </c>
      <c r="P6946" t="str">
        <f t="shared" si="326"/>
        <v>Josh Malone13</v>
      </c>
    </row>
    <row r="6947" spans="1:16" x14ac:dyDescent="0.25">
      <c r="A6947">
        <v>16</v>
      </c>
      <c r="B6947" t="s">
        <v>1631</v>
      </c>
      <c r="C6947">
        <f>-0.14-0.86</f>
        <v>-1</v>
      </c>
      <c r="D6947">
        <v>0.36</v>
      </c>
      <c r="E6947" t="s">
        <v>52</v>
      </c>
      <c r="F6947" t="s">
        <v>87</v>
      </c>
      <c r="G6947">
        <v>0.86</v>
      </c>
      <c r="H6947">
        <v>-0.14000000000000001</v>
      </c>
      <c r="I6947">
        <v>0.5</v>
      </c>
      <c r="J6947">
        <v>0.25</v>
      </c>
      <c r="K6947" t="str">
        <f>IFERROR(INDEX(Rosters!$C$2:$C$155,MATCH($B6947,Rosters!$B$2:$B$155,0)),"NA")</f>
        <v>NA</v>
      </c>
      <c r="L6947" t="str">
        <f t="shared" si="324"/>
        <v>NA16WR</v>
      </c>
      <c r="M6947">
        <f>COUNTIF(L$1:L6947,L6947)</f>
        <v>123</v>
      </c>
      <c r="N6947" t="str">
        <f t="shared" si="325"/>
        <v>NA16WR-123</v>
      </c>
      <c r="O6947">
        <f>COUNTIFS(F$1:F6947,F6947,A$1:A6947,A6947)</f>
        <v>177</v>
      </c>
      <c r="P6947" t="str">
        <f t="shared" si="326"/>
        <v>Josh Malone16</v>
      </c>
    </row>
    <row r="6948" spans="1:16" x14ac:dyDescent="0.25">
      <c r="A6948">
        <v>4</v>
      </c>
      <c r="B6948" t="s">
        <v>1565</v>
      </c>
      <c r="C6948">
        <f>-0.12-0.84</f>
        <v>-0.96</v>
      </c>
      <c r="D6948">
        <v>0.36</v>
      </c>
      <c r="E6948" t="s">
        <v>25</v>
      </c>
      <c r="F6948" t="s">
        <v>47</v>
      </c>
      <c r="G6948">
        <v>0.84</v>
      </c>
      <c r="H6948">
        <v>-0.12</v>
      </c>
      <c r="I6948">
        <v>0.48</v>
      </c>
      <c r="J6948">
        <v>0.23039999999999999</v>
      </c>
      <c r="K6948" t="str">
        <f>IFERROR(INDEX(Rosters!$C$2:$C$155,MATCH($B6948,Rosters!$B$2:$B$155,0)),"NA")</f>
        <v>NA</v>
      </c>
      <c r="L6948" t="str">
        <f t="shared" si="324"/>
        <v>NA4RB</v>
      </c>
      <c r="M6948">
        <f>COUNTIF(L$1:L6948,L6948)</f>
        <v>58</v>
      </c>
      <c r="N6948" t="str">
        <f t="shared" si="325"/>
        <v>NA4RB-58</v>
      </c>
      <c r="O6948">
        <f>COUNTIFS(F$1:F6948,F6948,A$1:A6948,A6948)</f>
        <v>97</v>
      </c>
      <c r="P6948" t="str">
        <f t="shared" si="326"/>
        <v>Justin Davis4</v>
      </c>
    </row>
    <row r="6949" spans="1:16" x14ac:dyDescent="0.25">
      <c r="A6949">
        <v>15</v>
      </c>
      <c r="B6949" t="s">
        <v>2854</v>
      </c>
      <c r="C6949">
        <f>-0.18-0.9</f>
        <v>-1.08</v>
      </c>
      <c r="D6949">
        <v>0.36</v>
      </c>
      <c r="E6949" t="s">
        <v>56</v>
      </c>
      <c r="F6949" t="s">
        <v>87</v>
      </c>
      <c r="G6949">
        <v>0.9</v>
      </c>
      <c r="H6949">
        <v>-0.18</v>
      </c>
      <c r="I6949">
        <v>0.54</v>
      </c>
      <c r="J6949">
        <v>0.29160000000000003</v>
      </c>
      <c r="K6949" t="str">
        <f>IFERROR(INDEX(Rosters!$C$2:$C$155,MATCH($B6949,Rosters!$B$2:$B$155,0)),"NA")</f>
        <v>NA</v>
      </c>
      <c r="L6949" t="str">
        <f t="shared" si="324"/>
        <v>NA15WR</v>
      </c>
      <c r="M6949">
        <f>COUNTIF(L$1:L6949,L6949)</f>
        <v>122</v>
      </c>
      <c r="N6949" t="str">
        <f t="shared" si="325"/>
        <v>NA15WR-122</v>
      </c>
      <c r="O6949">
        <f>COUNTIFS(F$1:F6949,F6949,A$1:A6949,A6949)</f>
        <v>176</v>
      </c>
      <c r="P6949" t="str">
        <f t="shared" si="326"/>
        <v>Kamar Aiken15</v>
      </c>
    </row>
    <row r="6950" spans="1:16" x14ac:dyDescent="0.25">
      <c r="A6950">
        <v>17</v>
      </c>
      <c r="B6950" t="s">
        <v>368</v>
      </c>
      <c r="C6950">
        <f>-0.05-0.77</f>
        <v>-0.82000000000000006</v>
      </c>
      <c r="D6950">
        <v>0.36</v>
      </c>
      <c r="E6950" t="s">
        <v>24</v>
      </c>
      <c r="F6950" t="s">
        <v>47</v>
      </c>
      <c r="G6950">
        <v>0.77</v>
      </c>
      <c r="H6950">
        <v>-0.05</v>
      </c>
      <c r="I6950">
        <v>0.41</v>
      </c>
      <c r="J6950">
        <v>0.1681</v>
      </c>
      <c r="K6950" t="str">
        <f>IFERROR(INDEX(Rosters!$C$2:$C$155,MATCH($B6950,Rosters!$B$2:$B$155,0)),"NA")</f>
        <v>NA</v>
      </c>
      <c r="L6950" t="str">
        <f t="shared" si="324"/>
        <v>NA17RB</v>
      </c>
      <c r="M6950">
        <f>COUNTIF(L$1:L6950,L6950)</f>
        <v>80</v>
      </c>
      <c r="N6950" t="str">
        <f t="shared" si="325"/>
        <v>NA17RB-80</v>
      </c>
      <c r="O6950">
        <f>COUNTIFS(F$1:F6950,F6950,A$1:A6950,A6950)</f>
        <v>127</v>
      </c>
      <c r="P6950" t="str">
        <f t="shared" si="326"/>
        <v>Keith Smith17</v>
      </c>
    </row>
    <row r="6951" spans="1:16" x14ac:dyDescent="0.25">
      <c r="A6951">
        <v>10</v>
      </c>
      <c r="B6951" t="s">
        <v>389</v>
      </c>
      <c r="C6951">
        <f>-0.01-0.73</f>
        <v>-0.74</v>
      </c>
      <c r="D6951">
        <v>0.36</v>
      </c>
      <c r="E6951" t="s">
        <v>37</v>
      </c>
      <c r="F6951" t="s">
        <v>114</v>
      </c>
      <c r="G6951">
        <v>0.73</v>
      </c>
      <c r="H6951">
        <v>-0.01</v>
      </c>
      <c r="I6951">
        <v>0.37</v>
      </c>
      <c r="J6951">
        <v>0.13689999999999999</v>
      </c>
      <c r="K6951" t="str">
        <f>IFERROR(INDEX(Rosters!$C$2:$C$155,MATCH($B6951,Rosters!$B$2:$B$155,0)),"NA")</f>
        <v>NA</v>
      </c>
      <c r="L6951" t="str">
        <f t="shared" si="324"/>
        <v>NA10TE</v>
      </c>
      <c r="M6951">
        <f>COUNTIF(L$1:L6951,L6951)</f>
        <v>73</v>
      </c>
      <c r="N6951" t="str">
        <f t="shared" si="325"/>
        <v>NA10TE-73</v>
      </c>
      <c r="O6951">
        <f>COUNTIFS(F$1:F6951,F6951,A$1:A6951,A6951)</f>
        <v>86</v>
      </c>
      <c r="P6951" t="str">
        <f t="shared" si="326"/>
        <v>Lee Smith10</v>
      </c>
    </row>
    <row r="6952" spans="1:16" x14ac:dyDescent="0.25">
      <c r="A6952">
        <v>13</v>
      </c>
      <c r="B6952" t="s">
        <v>389</v>
      </c>
      <c r="C6952">
        <f>-0.02-0.74</f>
        <v>-0.76</v>
      </c>
      <c r="D6952">
        <v>0.36</v>
      </c>
      <c r="E6952" t="s">
        <v>24</v>
      </c>
      <c r="F6952" t="s">
        <v>114</v>
      </c>
      <c r="G6952">
        <v>0.74</v>
      </c>
      <c r="H6952">
        <v>-0.02</v>
      </c>
      <c r="I6952">
        <v>0.38</v>
      </c>
      <c r="J6952">
        <v>0.1444</v>
      </c>
      <c r="K6952" t="str">
        <f>IFERROR(INDEX(Rosters!$C$2:$C$155,MATCH($B6952,Rosters!$B$2:$B$155,0)),"NA")</f>
        <v>NA</v>
      </c>
      <c r="L6952" t="str">
        <f t="shared" si="324"/>
        <v>NA13TE</v>
      </c>
      <c r="M6952">
        <f>COUNTIF(L$1:L6952,L6952)</f>
        <v>84</v>
      </c>
      <c r="N6952" t="str">
        <f t="shared" si="325"/>
        <v>NA13TE-84</v>
      </c>
      <c r="O6952">
        <f>COUNTIFS(F$1:F6952,F6952,A$1:A6952,A6952)</f>
        <v>98</v>
      </c>
      <c r="P6952" t="str">
        <f t="shared" si="326"/>
        <v>Lee Smith13</v>
      </c>
    </row>
    <row r="6953" spans="1:16" x14ac:dyDescent="0.25">
      <c r="A6953">
        <v>1</v>
      </c>
      <c r="B6953" t="s">
        <v>1623</v>
      </c>
      <c r="C6953">
        <f>-0.12-0.84</f>
        <v>-0.96</v>
      </c>
      <c r="D6953">
        <v>0.36</v>
      </c>
      <c r="E6953" t="s">
        <v>74</v>
      </c>
      <c r="F6953" t="s">
        <v>87</v>
      </c>
      <c r="G6953">
        <v>0.84</v>
      </c>
      <c r="H6953">
        <v>-0.12</v>
      </c>
      <c r="I6953">
        <v>0.48</v>
      </c>
      <c r="J6953">
        <v>0.23039999999999999</v>
      </c>
      <c r="K6953" t="str">
        <f>IFERROR(INDEX(Rosters!$C$2:$C$155,MATCH($B6953,Rosters!$B$2:$B$155,0)),"NA")</f>
        <v>NA</v>
      </c>
      <c r="L6953" t="str">
        <f t="shared" si="324"/>
        <v>NA1WR</v>
      </c>
      <c r="M6953">
        <f>COUNTIF(L$1:L6953,L6953)</f>
        <v>83</v>
      </c>
      <c r="N6953" t="str">
        <f t="shared" si="325"/>
        <v>NA1WR-83</v>
      </c>
      <c r="O6953">
        <f>COUNTIFS(F$1:F6953,F6953,A$1:A6953,A6953)</f>
        <v>132</v>
      </c>
      <c r="P6953" t="str">
        <f t="shared" si="326"/>
        <v>Noah Brown1</v>
      </c>
    </row>
    <row r="6954" spans="1:16" x14ac:dyDescent="0.25">
      <c r="A6954">
        <v>2</v>
      </c>
      <c r="B6954" t="s">
        <v>379</v>
      </c>
      <c r="C6954">
        <f>-0.15-0.87</f>
        <v>-1.02</v>
      </c>
      <c r="D6954">
        <v>0.36</v>
      </c>
      <c r="E6954" t="s">
        <v>34</v>
      </c>
      <c r="F6954" t="s">
        <v>47</v>
      </c>
      <c r="G6954">
        <v>0.87</v>
      </c>
      <c r="H6954">
        <v>-0.15</v>
      </c>
      <c r="I6954">
        <v>0.51</v>
      </c>
      <c r="J6954">
        <v>0.2601</v>
      </c>
      <c r="K6954" t="str">
        <f>IFERROR(INDEX(Rosters!$C$2:$C$155,MATCH($B6954,Rosters!$B$2:$B$155,0)),"NA")</f>
        <v>NA</v>
      </c>
      <c r="L6954" t="str">
        <f t="shared" si="324"/>
        <v>NA2RB</v>
      </c>
      <c r="M6954">
        <f>COUNTIF(L$1:L6954,L6954)</f>
        <v>54</v>
      </c>
      <c r="N6954" t="str">
        <f t="shared" si="325"/>
        <v>NA2RB-54</v>
      </c>
      <c r="O6954">
        <f>COUNTIFS(F$1:F6954,F6954,A$1:A6954,A6954)</f>
        <v>96</v>
      </c>
      <c r="P6954" t="str">
        <f t="shared" si="326"/>
        <v>Raheem Mostert2</v>
      </c>
    </row>
    <row r="6955" spans="1:16" x14ac:dyDescent="0.25">
      <c r="A6955">
        <v>6</v>
      </c>
      <c r="B6955" t="s">
        <v>1123</v>
      </c>
      <c r="C6955">
        <f>-0.01-0.73</f>
        <v>-0.74</v>
      </c>
      <c r="D6955">
        <v>0.36</v>
      </c>
      <c r="E6955" t="s">
        <v>73</v>
      </c>
      <c r="F6955" t="s">
        <v>47</v>
      </c>
      <c r="G6955">
        <v>0.73</v>
      </c>
      <c r="H6955">
        <v>-0.01</v>
      </c>
      <c r="I6955">
        <v>0.37</v>
      </c>
      <c r="J6955">
        <v>0.13689999999999999</v>
      </c>
      <c r="K6955" t="str">
        <f>IFERROR(INDEX(Rosters!$C$2:$C$155,MATCH($B6955,Rosters!$B$2:$B$155,0)),"NA")</f>
        <v>NA</v>
      </c>
      <c r="L6955" t="str">
        <f t="shared" si="324"/>
        <v>NA6RB</v>
      </c>
      <c r="M6955">
        <f>COUNTIF(L$1:L6955,L6955)</f>
        <v>69</v>
      </c>
      <c r="N6955" t="str">
        <f t="shared" si="325"/>
        <v>NA6RB-69</v>
      </c>
      <c r="O6955">
        <f>COUNTIFS(F$1:F6955,F6955,A$1:A6955,A6955)</f>
        <v>111</v>
      </c>
      <c r="P6955" t="str">
        <f t="shared" si="326"/>
        <v>Robert Turbin6</v>
      </c>
    </row>
    <row r="6956" spans="1:16" x14ac:dyDescent="0.25">
      <c r="A6956">
        <v>7</v>
      </c>
      <c r="B6956" t="s">
        <v>222</v>
      </c>
      <c r="C6956" t="s">
        <v>3883</v>
      </c>
      <c r="D6956">
        <v>0.36</v>
      </c>
      <c r="E6956" t="s">
        <v>60</v>
      </c>
      <c r="F6956" t="s">
        <v>87</v>
      </c>
      <c r="G6956">
        <v>0.72</v>
      </c>
      <c r="H6956">
        <v>0</v>
      </c>
      <c r="I6956">
        <v>0.36</v>
      </c>
      <c r="J6956">
        <v>0.12959999999999999</v>
      </c>
      <c r="K6956" t="str">
        <f>IFERROR(INDEX(Rosters!$C$2:$C$155,MATCH($B6956,Rosters!$B$2:$B$155,0)),"NA")</f>
        <v>NA</v>
      </c>
      <c r="L6956" t="str">
        <f t="shared" si="324"/>
        <v>NA7WR</v>
      </c>
      <c r="M6956">
        <f>COUNTIF(L$1:L6956,L6956)</f>
        <v>106</v>
      </c>
      <c r="N6956" t="str">
        <f t="shared" si="325"/>
        <v>NA7WR-106</v>
      </c>
      <c r="O6956">
        <f>COUNTIFS(F$1:F6956,F6956,A$1:A6956,A6956)</f>
        <v>151</v>
      </c>
      <c r="P6956" t="str">
        <f t="shared" si="326"/>
        <v>Terrance Williams7</v>
      </c>
    </row>
    <row r="6957" spans="1:16" x14ac:dyDescent="0.25">
      <c r="A6957">
        <v>12</v>
      </c>
      <c r="B6957" t="s">
        <v>222</v>
      </c>
      <c r="C6957" t="s">
        <v>3883</v>
      </c>
      <c r="D6957">
        <v>0.36</v>
      </c>
      <c r="E6957" t="s">
        <v>60</v>
      </c>
      <c r="F6957" t="s">
        <v>87</v>
      </c>
      <c r="G6957">
        <v>0.72</v>
      </c>
      <c r="H6957">
        <v>0</v>
      </c>
      <c r="I6957">
        <v>0.36</v>
      </c>
      <c r="J6957">
        <v>0.12959999999999999</v>
      </c>
      <c r="K6957" t="str">
        <f>IFERROR(INDEX(Rosters!$C$2:$C$155,MATCH($B6957,Rosters!$B$2:$B$155,0)),"NA")</f>
        <v>NA</v>
      </c>
      <c r="L6957" t="str">
        <f t="shared" si="324"/>
        <v>NA12WR</v>
      </c>
      <c r="M6957">
        <f>COUNTIF(L$1:L6957,L6957)</f>
        <v>116</v>
      </c>
      <c r="N6957" t="str">
        <f t="shared" si="325"/>
        <v>NA12WR-116</v>
      </c>
      <c r="O6957">
        <f>COUNTIFS(F$1:F6957,F6957,A$1:A6957,A6957)</f>
        <v>165</v>
      </c>
      <c r="P6957" t="str">
        <f t="shared" si="326"/>
        <v>Terrance Williams12</v>
      </c>
    </row>
    <row r="6958" spans="1:16" x14ac:dyDescent="0.25">
      <c r="A6958">
        <v>4</v>
      </c>
      <c r="B6958" t="s">
        <v>311</v>
      </c>
      <c r="C6958">
        <f>-0.07-0.77</f>
        <v>-0.84000000000000008</v>
      </c>
      <c r="D6958">
        <v>0.35</v>
      </c>
      <c r="E6958" t="s">
        <v>42</v>
      </c>
      <c r="F6958" t="s">
        <v>15</v>
      </c>
      <c r="G6958">
        <v>0.77</v>
      </c>
      <c r="H6958">
        <v>-7.0000000000000007E-2</v>
      </c>
      <c r="I6958">
        <v>0.42</v>
      </c>
      <c r="J6958">
        <v>0.1764</v>
      </c>
      <c r="K6958" t="str">
        <f>IFERROR(INDEX(Rosters!$C$2:$C$155,MATCH($B6958,Rosters!$B$2:$B$155,0)),"NA")</f>
        <v>NA</v>
      </c>
      <c r="L6958" t="str">
        <f t="shared" si="324"/>
        <v>NA4QB</v>
      </c>
      <c r="M6958">
        <f>COUNTIF(L$1:L6958,L6958)</f>
        <v>37</v>
      </c>
      <c r="N6958" t="str">
        <f t="shared" si="325"/>
        <v>NA4QB-37</v>
      </c>
      <c r="O6958">
        <f>COUNTIFS(F$1:F6958,F6958,A$1:A6958,A6958)</f>
        <v>52</v>
      </c>
      <c r="P6958" t="str">
        <f t="shared" si="326"/>
        <v>Chad Henne4</v>
      </c>
    </row>
    <row r="6959" spans="1:16" x14ac:dyDescent="0.25">
      <c r="A6959">
        <v>3</v>
      </c>
      <c r="B6959" t="s">
        <v>272</v>
      </c>
      <c r="C6959">
        <f>-0.03-0.73</f>
        <v>-0.76</v>
      </c>
      <c r="D6959">
        <v>0.35</v>
      </c>
      <c r="E6959" t="s">
        <v>30</v>
      </c>
      <c r="F6959" t="s">
        <v>47</v>
      </c>
      <c r="G6959">
        <v>0.73</v>
      </c>
      <c r="H6959">
        <v>-0.03</v>
      </c>
      <c r="I6959">
        <v>0.38</v>
      </c>
      <c r="J6959">
        <v>0.1444</v>
      </c>
      <c r="K6959" t="str">
        <f>IFERROR(INDEX(Rosters!$C$2:$C$155,MATCH($B6959,Rosters!$B$2:$B$155,0)),"NA")</f>
        <v>NA</v>
      </c>
      <c r="L6959" t="str">
        <f t="shared" si="324"/>
        <v>NA3RB</v>
      </c>
      <c r="M6959">
        <f>COUNTIF(L$1:L6959,L6959)</f>
        <v>59</v>
      </c>
      <c r="N6959" t="str">
        <f t="shared" si="325"/>
        <v>NA3RB-59</v>
      </c>
      <c r="O6959">
        <f>COUNTIFS(F$1:F6959,F6959,A$1:A6959,A6959)</f>
        <v>98</v>
      </c>
      <c r="P6959" t="str">
        <f t="shared" si="326"/>
        <v>Damien Williams3</v>
      </c>
    </row>
    <row r="6960" spans="1:16" x14ac:dyDescent="0.25">
      <c r="A6960">
        <v>11</v>
      </c>
      <c r="B6960" t="s">
        <v>341</v>
      </c>
      <c r="C6960" t="s">
        <v>4744</v>
      </c>
      <c r="D6960">
        <v>0.35</v>
      </c>
      <c r="E6960" t="s">
        <v>56</v>
      </c>
      <c r="F6960" t="s">
        <v>87</v>
      </c>
      <c r="G6960">
        <v>0.7</v>
      </c>
      <c r="H6960">
        <v>0</v>
      </c>
      <c r="I6960">
        <v>0.35</v>
      </c>
      <c r="J6960">
        <v>0.1225</v>
      </c>
      <c r="K6960" t="str">
        <f>IFERROR(INDEX(Rosters!$C$2:$C$155,MATCH($B6960,Rosters!$B$2:$B$155,0)),"NA")</f>
        <v>NA</v>
      </c>
      <c r="L6960" t="str">
        <f t="shared" si="324"/>
        <v>NA11WR</v>
      </c>
      <c r="M6960">
        <f>COUNTIF(L$1:L6960,L6960)</f>
        <v>96</v>
      </c>
      <c r="N6960" t="str">
        <f t="shared" si="325"/>
        <v>NA11WR-96</v>
      </c>
      <c r="O6960">
        <f>COUNTIFS(F$1:F6960,F6960,A$1:A6960,A6960)</f>
        <v>143</v>
      </c>
      <c r="P6960" t="str">
        <f t="shared" si="326"/>
        <v>Demarcus Robinson11</v>
      </c>
    </row>
    <row r="6961" spans="1:16" x14ac:dyDescent="0.25">
      <c r="A6961">
        <v>11</v>
      </c>
      <c r="B6961" t="s">
        <v>241</v>
      </c>
      <c r="C6961">
        <f>-0.12-0.82</f>
        <v>-0.94</v>
      </c>
      <c r="D6961">
        <v>0.35</v>
      </c>
      <c r="E6961" t="s">
        <v>32</v>
      </c>
      <c r="F6961" t="s">
        <v>87</v>
      </c>
      <c r="G6961">
        <v>0.82</v>
      </c>
      <c r="H6961">
        <v>-0.12</v>
      </c>
      <c r="I6961">
        <v>0.47</v>
      </c>
      <c r="J6961">
        <v>0.22090000000000001</v>
      </c>
      <c r="K6961" t="str">
        <f>IFERROR(INDEX(Rosters!$C$2:$C$155,MATCH($B6961,Rosters!$B$2:$B$155,0)),"NA")</f>
        <v>NA</v>
      </c>
      <c r="L6961" t="str">
        <f t="shared" si="324"/>
        <v>NA11WR</v>
      </c>
      <c r="M6961">
        <f>COUNTIF(L$1:L6961,L6961)</f>
        <v>97</v>
      </c>
      <c r="N6961" t="str">
        <f t="shared" si="325"/>
        <v>NA11WR-97</v>
      </c>
      <c r="O6961">
        <f>COUNTIFS(F$1:F6961,F6961,A$1:A6961,A6961)</f>
        <v>144</v>
      </c>
      <c r="P6961" t="str">
        <f t="shared" si="326"/>
        <v>J.J. Nelson11</v>
      </c>
    </row>
    <row r="6962" spans="1:16" x14ac:dyDescent="0.25">
      <c r="A6962">
        <v>2</v>
      </c>
      <c r="B6962" t="s">
        <v>3040</v>
      </c>
      <c r="C6962" t="s">
        <v>3884</v>
      </c>
      <c r="D6962">
        <v>0.35</v>
      </c>
      <c r="E6962" t="s">
        <v>51</v>
      </c>
      <c r="F6962" t="s">
        <v>87</v>
      </c>
      <c r="G6962">
        <v>0.68</v>
      </c>
      <c r="H6962">
        <v>0.02</v>
      </c>
      <c r="I6962">
        <v>0.33</v>
      </c>
      <c r="J6962">
        <v>0.1089</v>
      </c>
      <c r="K6962" t="str">
        <f>IFERROR(INDEX(Rosters!$C$2:$C$155,MATCH($B6962,Rosters!$B$2:$B$155,0)),"NA")</f>
        <v>NA</v>
      </c>
      <c r="L6962" t="str">
        <f t="shared" si="324"/>
        <v>NA2WR</v>
      </c>
      <c r="M6962">
        <f>COUNTIF(L$1:L6962,L6962)</f>
        <v>91</v>
      </c>
      <c r="N6962" t="str">
        <f t="shared" si="325"/>
        <v>NA2WR-91</v>
      </c>
      <c r="O6962">
        <f>COUNTIFS(F$1:F6962,F6962,A$1:A6962,A6962)</f>
        <v>140</v>
      </c>
      <c r="P6962" t="str">
        <f t="shared" si="326"/>
        <v>Jehu Chesson2</v>
      </c>
    </row>
    <row r="6963" spans="1:16" x14ac:dyDescent="0.25">
      <c r="A6963">
        <v>14</v>
      </c>
      <c r="B6963" t="s">
        <v>4264</v>
      </c>
      <c r="C6963">
        <f>-0.08-0.78</f>
        <v>-0.86</v>
      </c>
      <c r="D6963">
        <v>0.35</v>
      </c>
      <c r="E6963" t="s">
        <v>72</v>
      </c>
      <c r="F6963" t="s">
        <v>87</v>
      </c>
      <c r="G6963">
        <v>0.78</v>
      </c>
      <c r="H6963">
        <v>-0.08</v>
      </c>
      <c r="I6963">
        <v>0.43</v>
      </c>
      <c r="J6963">
        <v>0.18490000000000001</v>
      </c>
      <c r="K6963" t="str">
        <f>IFERROR(INDEX(Rosters!$C$2:$C$155,MATCH($B6963,Rosters!$B$2:$B$155,0)),"NA")</f>
        <v>NA</v>
      </c>
      <c r="L6963" t="str">
        <f t="shared" si="324"/>
        <v>NA14WR</v>
      </c>
      <c r="M6963">
        <f>COUNTIF(L$1:L6963,L6963)</f>
        <v>122</v>
      </c>
      <c r="N6963" t="str">
        <f t="shared" si="325"/>
        <v>NA14WR-122</v>
      </c>
      <c r="O6963">
        <f>COUNTIFS(F$1:F6963,F6963,A$1:A6963,A6963)</f>
        <v>176</v>
      </c>
      <c r="P6963" t="str">
        <f t="shared" si="326"/>
        <v>JoJo Natson14</v>
      </c>
    </row>
    <row r="6964" spans="1:16" x14ac:dyDescent="0.25">
      <c r="A6964">
        <v>16</v>
      </c>
      <c r="B6964" t="s">
        <v>4264</v>
      </c>
      <c r="C6964">
        <f>-0.07-0.77</f>
        <v>-0.84000000000000008</v>
      </c>
      <c r="D6964">
        <v>0.35</v>
      </c>
      <c r="E6964" t="s">
        <v>58</v>
      </c>
      <c r="F6964" t="s">
        <v>87</v>
      </c>
      <c r="G6964">
        <v>0.77</v>
      </c>
      <c r="H6964">
        <v>-7.0000000000000007E-2</v>
      </c>
      <c r="I6964">
        <v>0.42</v>
      </c>
      <c r="J6964">
        <v>0.1764</v>
      </c>
      <c r="K6964" t="str">
        <f>IFERROR(INDEX(Rosters!$C$2:$C$155,MATCH($B6964,Rosters!$B$2:$B$155,0)),"NA")</f>
        <v>NA</v>
      </c>
      <c r="L6964" t="str">
        <f t="shared" si="324"/>
        <v>NA16WR</v>
      </c>
      <c r="M6964">
        <f>COUNTIF(L$1:L6964,L6964)</f>
        <v>124</v>
      </c>
      <c r="N6964" t="str">
        <f t="shared" si="325"/>
        <v>NA16WR-124</v>
      </c>
      <c r="O6964">
        <f>COUNTIFS(F$1:F6964,F6964,A$1:A6964,A6964)</f>
        <v>178</v>
      </c>
      <c r="P6964" t="str">
        <f t="shared" si="326"/>
        <v>JoJo Natson16</v>
      </c>
    </row>
    <row r="6965" spans="1:16" x14ac:dyDescent="0.25">
      <c r="A6965">
        <v>8</v>
      </c>
      <c r="B6965" t="s">
        <v>368</v>
      </c>
      <c r="C6965">
        <f>-0.01-0.71</f>
        <v>-0.72</v>
      </c>
      <c r="D6965">
        <v>0.35</v>
      </c>
      <c r="E6965" t="s">
        <v>66</v>
      </c>
      <c r="F6965" t="s">
        <v>47</v>
      </c>
      <c r="G6965">
        <v>0.71</v>
      </c>
      <c r="H6965">
        <v>-0.01</v>
      </c>
      <c r="I6965">
        <v>0.36</v>
      </c>
      <c r="J6965">
        <v>0.12959999999999999</v>
      </c>
      <c r="K6965" t="str">
        <f>IFERROR(INDEX(Rosters!$C$2:$C$155,MATCH($B6965,Rosters!$B$2:$B$155,0)),"NA")</f>
        <v>NA</v>
      </c>
      <c r="L6965" t="str">
        <f t="shared" si="324"/>
        <v>NA8RB</v>
      </c>
      <c r="M6965">
        <f>COUNTIF(L$1:L6965,L6965)</f>
        <v>72</v>
      </c>
      <c r="N6965" t="str">
        <f t="shared" si="325"/>
        <v>NA8RB-72</v>
      </c>
      <c r="O6965">
        <f>COUNTIFS(F$1:F6965,F6965,A$1:A6965,A6965)</f>
        <v>112</v>
      </c>
      <c r="P6965" t="str">
        <f t="shared" si="326"/>
        <v>Keith Smith8</v>
      </c>
    </row>
    <row r="6966" spans="1:16" x14ac:dyDescent="0.25">
      <c r="A6966">
        <v>16</v>
      </c>
      <c r="B6966" t="s">
        <v>368</v>
      </c>
      <c r="C6966">
        <f>-0.03-0.73</f>
        <v>-0.76</v>
      </c>
      <c r="D6966">
        <v>0.35</v>
      </c>
      <c r="E6966" t="s">
        <v>42</v>
      </c>
      <c r="F6966" t="s">
        <v>47</v>
      </c>
      <c r="G6966">
        <v>0.73</v>
      </c>
      <c r="H6966">
        <v>-0.03</v>
      </c>
      <c r="I6966">
        <v>0.38</v>
      </c>
      <c r="J6966">
        <v>0.1444</v>
      </c>
      <c r="K6966" t="str">
        <f>IFERROR(INDEX(Rosters!$C$2:$C$155,MATCH($B6966,Rosters!$B$2:$B$155,0)),"NA")</f>
        <v>NA</v>
      </c>
      <c r="L6966" t="str">
        <f t="shared" si="324"/>
        <v>NA16RB</v>
      </c>
      <c r="M6966">
        <f>COUNTIF(L$1:L6966,L6966)</f>
        <v>80</v>
      </c>
      <c r="N6966" t="str">
        <f t="shared" si="325"/>
        <v>NA16RB-80</v>
      </c>
      <c r="O6966">
        <f>COUNTIFS(F$1:F6966,F6966,A$1:A6966,A6966)</f>
        <v>127</v>
      </c>
      <c r="P6966" t="str">
        <f t="shared" si="326"/>
        <v>Keith Smith16</v>
      </c>
    </row>
    <row r="6967" spans="1:16" x14ac:dyDescent="0.25">
      <c r="A6967">
        <v>9</v>
      </c>
      <c r="B6967" t="s">
        <v>1597</v>
      </c>
      <c r="C6967" t="s">
        <v>3884</v>
      </c>
      <c r="D6967">
        <v>0.35</v>
      </c>
      <c r="E6967" t="s">
        <v>72</v>
      </c>
      <c r="F6967" t="s">
        <v>114</v>
      </c>
      <c r="G6967">
        <v>0.68</v>
      </c>
      <c r="H6967">
        <v>0.02</v>
      </c>
      <c r="I6967">
        <v>0.33</v>
      </c>
      <c r="J6967">
        <v>0.1089</v>
      </c>
      <c r="K6967" t="str">
        <f>IFERROR(INDEX(Rosters!$C$2:$C$155,MATCH($B6967,Rosters!$B$2:$B$155,0)),"NA")</f>
        <v>NA</v>
      </c>
      <c r="L6967" t="str">
        <f t="shared" si="324"/>
        <v>NA9TE</v>
      </c>
      <c r="M6967">
        <f>COUNTIF(L$1:L6967,L6967)</f>
        <v>70</v>
      </c>
      <c r="N6967" t="str">
        <f t="shared" si="325"/>
        <v>NA9TE-70</v>
      </c>
      <c r="O6967">
        <f>COUNTIFS(F$1:F6967,F6967,A$1:A6967,A6967)</f>
        <v>81</v>
      </c>
      <c r="P6967" t="str">
        <f t="shared" si="326"/>
        <v>Khari Lee9</v>
      </c>
    </row>
    <row r="6968" spans="1:16" x14ac:dyDescent="0.25">
      <c r="A6968">
        <v>5</v>
      </c>
      <c r="B6968" t="s">
        <v>389</v>
      </c>
      <c r="C6968">
        <f>-0.02-0.72</f>
        <v>-0.74</v>
      </c>
      <c r="D6968">
        <v>0.35</v>
      </c>
      <c r="E6968" t="s">
        <v>37</v>
      </c>
      <c r="F6968" t="s">
        <v>114</v>
      </c>
      <c r="G6968">
        <v>0.72</v>
      </c>
      <c r="H6968">
        <v>-0.02</v>
      </c>
      <c r="I6968">
        <v>0.37</v>
      </c>
      <c r="J6968">
        <v>0.13689999999999999</v>
      </c>
      <c r="K6968" t="str">
        <f>IFERROR(INDEX(Rosters!$C$2:$C$155,MATCH($B6968,Rosters!$B$2:$B$155,0)),"NA")</f>
        <v>NA</v>
      </c>
      <c r="L6968" t="str">
        <f t="shared" si="324"/>
        <v>NA5TE</v>
      </c>
      <c r="M6968">
        <f>COUNTIF(L$1:L6968,L6968)</f>
        <v>75</v>
      </c>
      <c r="N6968" t="str">
        <f t="shared" si="325"/>
        <v>NA5TE-75</v>
      </c>
      <c r="O6968">
        <f>COUNTIFS(F$1:F6968,F6968,A$1:A6968,A6968)</f>
        <v>86</v>
      </c>
      <c r="P6968" t="str">
        <f t="shared" si="326"/>
        <v>Lee Smith5</v>
      </c>
    </row>
    <row r="6969" spans="1:16" x14ac:dyDescent="0.25">
      <c r="A6969">
        <v>17</v>
      </c>
      <c r="B6969" t="s">
        <v>389</v>
      </c>
      <c r="C6969">
        <f>-0.03-0.73</f>
        <v>-0.76</v>
      </c>
      <c r="D6969">
        <v>0.35</v>
      </c>
      <c r="E6969" t="s">
        <v>24</v>
      </c>
      <c r="F6969" t="s">
        <v>114</v>
      </c>
      <c r="G6969">
        <v>0.73</v>
      </c>
      <c r="H6969">
        <v>-0.03</v>
      </c>
      <c r="I6969">
        <v>0.38</v>
      </c>
      <c r="J6969">
        <v>0.1444</v>
      </c>
      <c r="K6969" t="str">
        <f>IFERROR(INDEX(Rosters!$C$2:$C$155,MATCH($B6969,Rosters!$B$2:$B$155,0)),"NA")</f>
        <v>NA</v>
      </c>
      <c r="L6969" t="str">
        <f t="shared" si="324"/>
        <v>NA17TE</v>
      </c>
      <c r="M6969">
        <f>COUNTIF(L$1:L6969,L6969)</f>
        <v>85</v>
      </c>
      <c r="N6969" t="str">
        <f t="shared" si="325"/>
        <v>NA17TE-85</v>
      </c>
      <c r="O6969">
        <f>COUNTIFS(F$1:F6969,F6969,A$1:A6969,A6969)</f>
        <v>99</v>
      </c>
      <c r="P6969" t="str">
        <f t="shared" si="326"/>
        <v>Lee Smith17</v>
      </c>
    </row>
    <row r="6970" spans="1:16" x14ac:dyDescent="0.25">
      <c r="A6970">
        <v>7</v>
      </c>
      <c r="B6970" t="s">
        <v>4248</v>
      </c>
      <c r="C6970">
        <f>-0.06-0.76</f>
        <v>-0.82000000000000006</v>
      </c>
      <c r="D6970">
        <v>0.35</v>
      </c>
      <c r="E6970" t="s">
        <v>19</v>
      </c>
      <c r="F6970" t="s">
        <v>47</v>
      </c>
      <c r="G6970">
        <v>0.76</v>
      </c>
      <c r="H6970">
        <v>-0.06</v>
      </c>
      <c r="I6970">
        <v>0.41</v>
      </c>
      <c r="J6970">
        <v>0.1681</v>
      </c>
      <c r="K6970" t="str">
        <f>IFERROR(INDEX(Rosters!$C$2:$C$155,MATCH($B6970,Rosters!$B$2:$B$155,0)),"NA")</f>
        <v>NA</v>
      </c>
      <c r="L6970" t="str">
        <f t="shared" si="324"/>
        <v>NA7RB</v>
      </c>
      <c r="M6970">
        <f>COUNTIF(L$1:L6970,L6970)</f>
        <v>66</v>
      </c>
      <c r="N6970" t="str">
        <f t="shared" si="325"/>
        <v>NA7RB-66</v>
      </c>
      <c r="O6970">
        <f>COUNTIFS(F$1:F6970,F6970,A$1:A6970,A6970)</f>
        <v>107</v>
      </c>
      <c r="P6970" t="str">
        <f t="shared" si="326"/>
        <v>Nick Bellore7</v>
      </c>
    </row>
    <row r="6971" spans="1:16" x14ac:dyDescent="0.25">
      <c r="A6971">
        <v>2</v>
      </c>
      <c r="B6971" t="s">
        <v>1628</v>
      </c>
      <c r="C6971">
        <f>-0.1-0.8</f>
        <v>-0.9</v>
      </c>
      <c r="D6971">
        <v>0.35</v>
      </c>
      <c r="E6971" t="s">
        <v>41</v>
      </c>
      <c r="F6971" t="s">
        <v>87</v>
      </c>
      <c r="G6971">
        <v>0.8</v>
      </c>
      <c r="H6971">
        <v>-0.1</v>
      </c>
      <c r="I6971">
        <v>0.45</v>
      </c>
      <c r="J6971">
        <v>0.20250000000000001</v>
      </c>
      <c r="K6971" t="str">
        <f>IFERROR(INDEX(Rosters!$C$2:$C$155,MATCH($B6971,Rosters!$B$2:$B$155,0)),"NA")</f>
        <v>NA</v>
      </c>
      <c r="L6971" t="str">
        <f t="shared" si="324"/>
        <v>NA2WR</v>
      </c>
      <c r="M6971">
        <f>COUNTIF(L$1:L6971,L6971)</f>
        <v>92</v>
      </c>
      <c r="N6971" t="str">
        <f t="shared" si="325"/>
        <v>NA2WR-92</v>
      </c>
      <c r="O6971">
        <f>COUNTIFS(F$1:F6971,F6971,A$1:A6971,A6971)</f>
        <v>141</v>
      </c>
      <c r="P6971" t="str">
        <f t="shared" si="326"/>
        <v>Stacy Coley2</v>
      </c>
    </row>
    <row r="6972" spans="1:16" x14ac:dyDescent="0.25">
      <c r="A6972">
        <v>6</v>
      </c>
      <c r="B6972" t="s">
        <v>222</v>
      </c>
      <c r="C6972" t="s">
        <v>1635</v>
      </c>
      <c r="D6972">
        <v>0.35</v>
      </c>
      <c r="E6972" t="s">
        <v>76</v>
      </c>
      <c r="F6972" t="s">
        <v>87</v>
      </c>
      <c r="G6972">
        <v>0.69</v>
      </c>
      <c r="H6972">
        <v>0.01</v>
      </c>
      <c r="I6972">
        <v>0.34</v>
      </c>
      <c r="J6972">
        <v>0.11559999999999999</v>
      </c>
      <c r="K6972" t="str">
        <f>IFERROR(INDEX(Rosters!$C$2:$C$155,MATCH($B6972,Rosters!$B$2:$B$155,0)),"NA")</f>
        <v>NA</v>
      </c>
      <c r="L6972" t="str">
        <f t="shared" si="324"/>
        <v>NA6WR</v>
      </c>
      <c r="M6972">
        <f>COUNTIF(L$1:L6972,L6972)</f>
        <v>113</v>
      </c>
      <c r="N6972" t="str">
        <f t="shared" si="325"/>
        <v>NA6WR-113</v>
      </c>
      <c r="O6972">
        <f>COUNTIFS(F$1:F6972,F6972,A$1:A6972,A6972)</f>
        <v>163</v>
      </c>
      <c r="P6972" t="str">
        <f t="shared" si="326"/>
        <v>Terrance Williams6</v>
      </c>
    </row>
    <row r="6973" spans="1:16" x14ac:dyDescent="0.25">
      <c r="A6973">
        <v>1</v>
      </c>
      <c r="B6973" t="s">
        <v>1600</v>
      </c>
      <c r="C6973">
        <f>-0.02-0.72</f>
        <v>-0.74</v>
      </c>
      <c r="D6973">
        <v>0.35</v>
      </c>
      <c r="E6973" t="s">
        <v>54</v>
      </c>
      <c r="F6973" t="s">
        <v>47</v>
      </c>
      <c r="G6973">
        <v>0.72</v>
      </c>
      <c r="H6973">
        <v>-0.02</v>
      </c>
      <c r="I6973">
        <v>0.37</v>
      </c>
      <c r="J6973">
        <v>0.13689999999999999</v>
      </c>
      <c r="K6973" t="str">
        <f>IFERROR(INDEX(Rosters!$C$2:$C$155,MATCH($B6973,Rosters!$B$2:$B$155,0)),"NA")</f>
        <v>NA</v>
      </c>
      <c r="L6973" t="str">
        <f t="shared" si="324"/>
        <v>NA1RB</v>
      </c>
      <c r="M6973">
        <f>COUNTIF(L$1:L6973,L6973)</f>
        <v>47</v>
      </c>
      <c r="N6973" t="str">
        <f t="shared" si="325"/>
        <v>NA1RB-47</v>
      </c>
      <c r="O6973">
        <f>COUNTIFS(F$1:F6973,F6973,A$1:A6973,A6973)</f>
        <v>90</v>
      </c>
      <c r="P6973" t="str">
        <f t="shared" si="326"/>
        <v>Tommy Bohanon1</v>
      </c>
    </row>
    <row r="6974" spans="1:16" x14ac:dyDescent="0.25">
      <c r="A6974">
        <v>13</v>
      </c>
      <c r="B6974" t="s">
        <v>3167</v>
      </c>
      <c r="C6974">
        <f>-0.21-0.89</f>
        <v>-1.1000000000000001</v>
      </c>
      <c r="D6974">
        <v>0.34</v>
      </c>
      <c r="E6974" t="s">
        <v>38</v>
      </c>
      <c r="F6974" t="s">
        <v>87</v>
      </c>
      <c r="G6974">
        <v>0.89</v>
      </c>
      <c r="H6974">
        <v>-0.21</v>
      </c>
      <c r="I6974">
        <v>0.55000000000000004</v>
      </c>
      <c r="J6974">
        <v>0.30249999999999999</v>
      </c>
      <c r="K6974" t="str">
        <f>IFERROR(INDEX(Rosters!$C$2:$C$155,MATCH($B6974,Rosters!$B$2:$B$155,0)),"NA")</f>
        <v>NA</v>
      </c>
      <c r="L6974" t="str">
        <f t="shared" si="324"/>
        <v>NA13WR</v>
      </c>
      <c r="M6974">
        <f>COUNTIF(L$1:L6974,L6974)</f>
        <v>123</v>
      </c>
      <c r="N6974" t="str">
        <f t="shared" si="325"/>
        <v>NA13WR-123</v>
      </c>
      <c r="O6974">
        <f>COUNTIFS(F$1:F6974,F6974,A$1:A6974,A6974)</f>
        <v>177</v>
      </c>
      <c r="P6974" t="str">
        <f t="shared" si="326"/>
        <v>Andre Roberts13</v>
      </c>
    </row>
    <row r="6975" spans="1:16" x14ac:dyDescent="0.25">
      <c r="A6975">
        <v>5</v>
      </c>
      <c r="B6975" t="s">
        <v>1627</v>
      </c>
      <c r="C6975">
        <f>-0.15-0.83</f>
        <v>-0.98</v>
      </c>
      <c r="D6975">
        <v>0.34</v>
      </c>
      <c r="E6975" t="s">
        <v>29</v>
      </c>
      <c r="F6975" t="s">
        <v>15</v>
      </c>
      <c r="G6975">
        <v>0.83</v>
      </c>
      <c r="H6975">
        <v>-0.15</v>
      </c>
      <c r="I6975">
        <v>0.49</v>
      </c>
      <c r="J6975">
        <v>0.24010000000000001</v>
      </c>
      <c r="K6975" t="str">
        <f>IFERROR(INDEX(Rosters!$C$2:$C$155,MATCH($B6975,Rosters!$B$2:$B$155,0)),"NA")</f>
        <v>NA</v>
      </c>
      <c r="L6975" t="str">
        <f t="shared" si="324"/>
        <v>NA5QB</v>
      </c>
      <c r="M6975">
        <f>COUNTIF(L$1:L6975,L6975)</f>
        <v>37</v>
      </c>
      <c r="N6975" t="str">
        <f t="shared" si="325"/>
        <v>NA5QB-37</v>
      </c>
      <c r="O6975">
        <f>COUNTIFS(F$1:F6975,F6975,A$1:A6975,A6975)</f>
        <v>54</v>
      </c>
      <c r="P6975" t="str">
        <f t="shared" si="326"/>
        <v>Blaine Gabbert5</v>
      </c>
    </row>
    <row r="6976" spans="1:16" x14ac:dyDescent="0.25">
      <c r="A6976">
        <v>17</v>
      </c>
      <c r="B6976" t="s">
        <v>272</v>
      </c>
      <c r="C6976">
        <f>-0.04-0.72</f>
        <v>-0.76</v>
      </c>
      <c r="D6976">
        <v>0.34</v>
      </c>
      <c r="E6976" t="s">
        <v>32</v>
      </c>
      <c r="F6976" t="s">
        <v>47</v>
      </c>
      <c r="G6976">
        <v>0.72</v>
      </c>
      <c r="H6976">
        <v>-0.04</v>
      </c>
      <c r="I6976">
        <v>0.38</v>
      </c>
      <c r="J6976">
        <v>0.1444</v>
      </c>
      <c r="K6976" t="str">
        <f>IFERROR(INDEX(Rosters!$C$2:$C$155,MATCH($B6976,Rosters!$B$2:$B$155,0)),"NA")</f>
        <v>NA</v>
      </c>
      <c r="L6976" t="str">
        <f t="shared" si="324"/>
        <v>NA17RB</v>
      </c>
      <c r="M6976">
        <f>COUNTIF(L$1:L6976,L6976)</f>
        <v>81</v>
      </c>
      <c r="N6976" t="str">
        <f t="shared" si="325"/>
        <v>NA17RB-81</v>
      </c>
      <c r="O6976">
        <f>COUNTIFS(F$1:F6976,F6976,A$1:A6976,A6976)</f>
        <v>128</v>
      </c>
      <c r="P6976" t="str">
        <f t="shared" si="326"/>
        <v>Damien Williams17</v>
      </c>
    </row>
    <row r="6977" spans="1:16" x14ac:dyDescent="0.25">
      <c r="A6977">
        <v>16</v>
      </c>
      <c r="B6977" t="s">
        <v>2964</v>
      </c>
      <c r="C6977">
        <f>-0.05-0.73</f>
        <v>-0.78</v>
      </c>
      <c r="D6977">
        <v>0.34</v>
      </c>
      <c r="E6977" t="s">
        <v>51</v>
      </c>
      <c r="F6977" t="s">
        <v>47</v>
      </c>
      <c r="G6977">
        <v>0.73</v>
      </c>
      <c r="H6977">
        <v>-0.05</v>
      </c>
      <c r="I6977">
        <v>0.39</v>
      </c>
      <c r="J6977">
        <v>0.15210000000000001</v>
      </c>
      <c r="K6977" t="str">
        <f>IFERROR(INDEX(Rosters!$C$2:$C$155,MATCH($B6977,Rosters!$B$2:$B$155,0)),"NA")</f>
        <v>NA</v>
      </c>
      <c r="L6977" t="str">
        <f t="shared" si="324"/>
        <v>NA16RB</v>
      </c>
      <c r="M6977">
        <f>COUNTIF(L$1:L6977,L6977)</f>
        <v>81</v>
      </c>
      <c r="N6977" t="str">
        <f t="shared" si="325"/>
        <v>NA16RB-81</v>
      </c>
      <c r="O6977">
        <f>COUNTIFS(F$1:F6977,F6977,A$1:A6977,A6977)</f>
        <v>128</v>
      </c>
      <c r="P6977" t="str">
        <f t="shared" si="326"/>
        <v>Dwayne Washington16</v>
      </c>
    </row>
    <row r="6978" spans="1:16" x14ac:dyDescent="0.25">
      <c r="A6978">
        <v>5</v>
      </c>
      <c r="B6978" t="s">
        <v>241</v>
      </c>
      <c r="C6978">
        <f>-0.05-0.73</f>
        <v>-0.78</v>
      </c>
      <c r="D6978">
        <v>0.34</v>
      </c>
      <c r="E6978" t="s">
        <v>30</v>
      </c>
      <c r="F6978" t="s">
        <v>87</v>
      </c>
      <c r="G6978">
        <v>0.73</v>
      </c>
      <c r="H6978">
        <v>-0.05</v>
      </c>
      <c r="I6978">
        <v>0.39</v>
      </c>
      <c r="J6978">
        <v>0.15210000000000001</v>
      </c>
      <c r="K6978" t="str">
        <f>IFERROR(INDEX(Rosters!$C$2:$C$155,MATCH($B6978,Rosters!$B$2:$B$155,0)),"NA")</f>
        <v>NA</v>
      </c>
      <c r="L6978" t="str">
        <f t="shared" si="324"/>
        <v>NA5WR</v>
      </c>
      <c r="M6978">
        <f>COUNTIF(L$1:L6978,L6978)</f>
        <v>109</v>
      </c>
      <c r="N6978" t="str">
        <f t="shared" si="325"/>
        <v>NA5WR-109</v>
      </c>
      <c r="O6978">
        <f>COUNTIFS(F$1:F6978,F6978,A$1:A6978,A6978)</f>
        <v>159</v>
      </c>
      <c r="P6978" t="str">
        <f t="shared" si="326"/>
        <v>J.J. Nelson5</v>
      </c>
    </row>
    <row r="6979" spans="1:16" x14ac:dyDescent="0.25">
      <c r="A6979">
        <v>8</v>
      </c>
      <c r="B6979" t="s">
        <v>241</v>
      </c>
      <c r="C6979">
        <f>-0.05-0.73</f>
        <v>-0.78</v>
      </c>
      <c r="D6979">
        <v>0.34</v>
      </c>
      <c r="E6979" t="s">
        <v>30</v>
      </c>
      <c r="F6979" t="s">
        <v>87</v>
      </c>
      <c r="G6979">
        <v>0.73</v>
      </c>
      <c r="H6979">
        <v>-0.05</v>
      </c>
      <c r="I6979">
        <v>0.39</v>
      </c>
      <c r="J6979">
        <v>0.15210000000000001</v>
      </c>
      <c r="K6979" t="str">
        <f>IFERROR(INDEX(Rosters!$C$2:$C$155,MATCH($B6979,Rosters!$B$2:$B$155,0)),"NA")</f>
        <v>NA</v>
      </c>
      <c r="L6979" t="str">
        <f t="shared" ref="L6979:L7042" si="327">K6979&amp;A6979&amp;F6979</f>
        <v>NA8WR</v>
      </c>
      <c r="M6979">
        <f>COUNTIF(L$1:L6979,L6979)</f>
        <v>101</v>
      </c>
      <c r="N6979" t="str">
        <f t="shared" ref="N6979:N7042" si="328">L6979&amp;"-"&amp;M6979</f>
        <v>NA8WR-101</v>
      </c>
      <c r="O6979">
        <f>COUNTIFS(F$1:F6979,F6979,A$1:A6979,A6979)</f>
        <v>150</v>
      </c>
      <c r="P6979" t="str">
        <f t="shared" ref="P6979:P7042" si="329">B6979&amp;A6979</f>
        <v>J.J. Nelson8</v>
      </c>
    </row>
    <row r="6980" spans="1:16" x14ac:dyDescent="0.25">
      <c r="A6980">
        <v>10</v>
      </c>
      <c r="B6980" t="s">
        <v>241</v>
      </c>
      <c r="C6980">
        <f>-0.13-0.81</f>
        <v>-0.94000000000000006</v>
      </c>
      <c r="D6980">
        <v>0.34</v>
      </c>
      <c r="E6980" t="s">
        <v>24</v>
      </c>
      <c r="F6980" t="s">
        <v>87</v>
      </c>
      <c r="G6980">
        <v>0.81</v>
      </c>
      <c r="H6980">
        <v>-0.13</v>
      </c>
      <c r="I6980">
        <v>0.47</v>
      </c>
      <c r="J6980">
        <v>0.22090000000000001</v>
      </c>
      <c r="K6980" t="str">
        <f>IFERROR(INDEX(Rosters!$C$2:$C$155,MATCH($B6980,Rosters!$B$2:$B$155,0)),"NA")</f>
        <v>NA</v>
      </c>
      <c r="L6980" t="str">
        <f t="shared" si="327"/>
        <v>NA10WR</v>
      </c>
      <c r="M6980">
        <f>COUNTIF(L$1:L6980,L6980)</f>
        <v>111</v>
      </c>
      <c r="N6980" t="str">
        <f t="shared" si="328"/>
        <v>NA10WR-111</v>
      </c>
      <c r="O6980">
        <f>COUNTIFS(F$1:F6980,F6980,A$1:A6980,A6980)</f>
        <v>156</v>
      </c>
      <c r="P6980" t="str">
        <f t="shared" si="329"/>
        <v>J.J. Nelson10</v>
      </c>
    </row>
    <row r="6981" spans="1:16" x14ac:dyDescent="0.25">
      <c r="A6981">
        <v>3</v>
      </c>
      <c r="B6981" t="s">
        <v>2848</v>
      </c>
      <c r="C6981">
        <f>-0.12-0.8</f>
        <v>-0.92</v>
      </c>
      <c r="D6981">
        <v>0.34</v>
      </c>
      <c r="E6981" t="s">
        <v>28</v>
      </c>
      <c r="F6981" t="s">
        <v>47</v>
      </c>
      <c r="G6981">
        <v>0.8</v>
      </c>
      <c r="H6981">
        <v>-0.12</v>
      </c>
      <c r="I6981">
        <v>0.46</v>
      </c>
      <c r="J6981">
        <v>0.21160000000000001</v>
      </c>
      <c r="K6981" t="str">
        <f>IFERROR(INDEX(Rosters!$C$2:$C$155,MATCH($B6981,Rosters!$B$2:$B$155,0)),"NA")</f>
        <v>NA</v>
      </c>
      <c r="L6981" t="str">
        <f t="shared" si="327"/>
        <v>NA3RB</v>
      </c>
      <c r="M6981">
        <f>COUNTIF(L$1:L6981,L6981)</f>
        <v>60</v>
      </c>
      <c r="N6981" t="str">
        <f t="shared" si="328"/>
        <v>NA3RB-60</v>
      </c>
      <c r="O6981">
        <f>COUNTIFS(F$1:F6981,F6981,A$1:A6981,A6981)</f>
        <v>99</v>
      </c>
      <c r="P6981" t="str">
        <f t="shared" si="329"/>
        <v>Jamize Olawale3</v>
      </c>
    </row>
    <row r="6982" spans="1:16" x14ac:dyDescent="0.25">
      <c r="A6982">
        <v>8</v>
      </c>
      <c r="B6982" t="s">
        <v>4252</v>
      </c>
      <c r="C6982" t="s">
        <v>8937</v>
      </c>
      <c r="D6982">
        <v>0.34</v>
      </c>
      <c r="E6982" t="s">
        <v>76</v>
      </c>
      <c r="F6982" t="s">
        <v>114</v>
      </c>
      <c r="G6982">
        <v>0.59</v>
      </c>
      <c r="H6982">
        <v>0.09</v>
      </c>
      <c r="I6982">
        <v>0.25</v>
      </c>
      <c r="J6982">
        <v>6.25E-2</v>
      </c>
      <c r="K6982" t="str">
        <f>IFERROR(INDEX(Rosters!$C$2:$C$155,MATCH($B6982,Rosters!$B$2:$B$155,0)),"NA")</f>
        <v>NA</v>
      </c>
      <c r="L6982" t="str">
        <f t="shared" si="327"/>
        <v>NA8TE</v>
      </c>
      <c r="M6982">
        <f>COUNTIF(L$1:L6982,L6982)</f>
        <v>75</v>
      </c>
      <c r="N6982" t="str">
        <f t="shared" si="328"/>
        <v>NA8TE-75</v>
      </c>
      <c r="O6982">
        <f>COUNTIFS(F$1:F6982,F6982,A$1:A6982,A6982)</f>
        <v>87</v>
      </c>
      <c r="P6982" t="str">
        <f t="shared" si="329"/>
        <v>Joshua Perkins8</v>
      </c>
    </row>
    <row r="6983" spans="1:16" x14ac:dyDescent="0.25">
      <c r="A6983">
        <v>6</v>
      </c>
      <c r="B6983" t="s">
        <v>368</v>
      </c>
      <c r="C6983">
        <f>-0.03-0.71</f>
        <v>-0.74</v>
      </c>
      <c r="D6983">
        <v>0.34</v>
      </c>
      <c r="E6983" t="s">
        <v>28</v>
      </c>
      <c r="F6983" t="s">
        <v>47</v>
      </c>
      <c r="G6983">
        <v>0.71</v>
      </c>
      <c r="H6983">
        <v>-0.03</v>
      </c>
      <c r="I6983">
        <v>0.37</v>
      </c>
      <c r="J6983">
        <v>0.13689999999999999</v>
      </c>
      <c r="K6983" t="str">
        <f>IFERROR(INDEX(Rosters!$C$2:$C$155,MATCH($B6983,Rosters!$B$2:$B$155,0)),"NA")</f>
        <v>NA</v>
      </c>
      <c r="L6983" t="str">
        <f t="shared" si="327"/>
        <v>NA6RB</v>
      </c>
      <c r="M6983">
        <f>COUNTIF(L$1:L6983,L6983)</f>
        <v>70</v>
      </c>
      <c r="N6983" t="str">
        <f t="shared" si="328"/>
        <v>NA6RB-70</v>
      </c>
      <c r="O6983">
        <f>COUNTIFS(F$1:F6983,F6983,A$1:A6983,A6983)</f>
        <v>112</v>
      </c>
      <c r="P6983" t="str">
        <f t="shared" si="329"/>
        <v>Keith Smith6</v>
      </c>
    </row>
    <row r="6984" spans="1:16" x14ac:dyDescent="0.25">
      <c r="A6984">
        <v>9</v>
      </c>
      <c r="B6984" t="s">
        <v>368</v>
      </c>
      <c r="C6984">
        <f>-0.02-0.7</f>
        <v>-0.72</v>
      </c>
      <c r="D6984">
        <v>0.34</v>
      </c>
      <c r="E6984" t="s">
        <v>30</v>
      </c>
      <c r="F6984" t="s">
        <v>47</v>
      </c>
      <c r="G6984">
        <v>0.7</v>
      </c>
      <c r="H6984">
        <v>-0.02</v>
      </c>
      <c r="I6984">
        <v>0.36</v>
      </c>
      <c r="J6984">
        <v>0.12959999999999999</v>
      </c>
      <c r="K6984" t="str">
        <f>IFERROR(INDEX(Rosters!$C$2:$C$155,MATCH($B6984,Rosters!$B$2:$B$155,0)),"NA")</f>
        <v>NA</v>
      </c>
      <c r="L6984" t="str">
        <f t="shared" si="327"/>
        <v>NA9RB</v>
      </c>
      <c r="M6984">
        <f>COUNTIF(L$1:L6984,L6984)</f>
        <v>62</v>
      </c>
      <c r="N6984" t="str">
        <f t="shared" si="328"/>
        <v>NA9RB-62</v>
      </c>
      <c r="O6984">
        <f>COUNTIFS(F$1:F6984,F6984,A$1:A6984,A6984)</f>
        <v>102</v>
      </c>
      <c r="P6984" t="str">
        <f t="shared" si="329"/>
        <v>Keith Smith9</v>
      </c>
    </row>
    <row r="6985" spans="1:16" x14ac:dyDescent="0.25">
      <c r="A6985">
        <v>11</v>
      </c>
      <c r="B6985" t="s">
        <v>368</v>
      </c>
      <c r="C6985">
        <f>-0.07-0.75</f>
        <v>-0.82000000000000006</v>
      </c>
      <c r="D6985">
        <v>0.34</v>
      </c>
      <c r="E6985" t="s">
        <v>58</v>
      </c>
      <c r="F6985" t="s">
        <v>47</v>
      </c>
      <c r="G6985">
        <v>0.75</v>
      </c>
      <c r="H6985">
        <v>-7.0000000000000007E-2</v>
      </c>
      <c r="I6985">
        <v>0.41</v>
      </c>
      <c r="J6985">
        <v>0.1681</v>
      </c>
      <c r="K6985" t="str">
        <f>IFERROR(INDEX(Rosters!$C$2:$C$155,MATCH($B6985,Rosters!$B$2:$B$155,0)),"NA")</f>
        <v>NA</v>
      </c>
      <c r="L6985" t="str">
        <f t="shared" si="327"/>
        <v>NA11RB</v>
      </c>
      <c r="M6985">
        <f>COUNTIF(L$1:L6985,L6985)</f>
        <v>68</v>
      </c>
      <c r="N6985" t="str">
        <f t="shared" si="328"/>
        <v>NA11RB-68</v>
      </c>
      <c r="O6985">
        <f>COUNTIFS(F$1:F6985,F6985,A$1:A6985,A6985)</f>
        <v>106</v>
      </c>
      <c r="P6985" t="str">
        <f t="shared" si="329"/>
        <v>Keith Smith11</v>
      </c>
    </row>
    <row r="6986" spans="1:16" x14ac:dyDescent="0.25">
      <c r="A6986">
        <v>10</v>
      </c>
      <c r="B6986" t="s">
        <v>8855</v>
      </c>
      <c r="C6986" t="s">
        <v>4745</v>
      </c>
      <c r="D6986">
        <v>0.34</v>
      </c>
      <c r="E6986" t="s">
        <v>76</v>
      </c>
      <c r="F6986" t="s">
        <v>114</v>
      </c>
      <c r="G6986">
        <v>0.64</v>
      </c>
      <c r="H6986">
        <v>0.04</v>
      </c>
      <c r="I6986">
        <v>0.3</v>
      </c>
      <c r="J6986">
        <v>0.09</v>
      </c>
      <c r="K6986" t="str">
        <f>IFERROR(INDEX(Rosters!$C$2:$C$155,MATCH($B6986,Rosters!$B$2:$B$155,0)),"NA")</f>
        <v>NA</v>
      </c>
      <c r="L6986" t="str">
        <f t="shared" si="327"/>
        <v>NA10TE</v>
      </c>
      <c r="M6986">
        <f>COUNTIF(L$1:L6986,L6986)</f>
        <v>74</v>
      </c>
      <c r="N6986" t="str">
        <f t="shared" si="328"/>
        <v>NA10TE-74</v>
      </c>
      <c r="O6986">
        <f>COUNTIFS(F$1:F6986,F6986,A$1:A6986,A6986)</f>
        <v>87</v>
      </c>
      <c r="P6986" t="str">
        <f t="shared" si="329"/>
        <v>Mo Alie-Cox10</v>
      </c>
    </row>
    <row r="6987" spans="1:16" x14ac:dyDescent="0.25">
      <c r="A6987">
        <v>3</v>
      </c>
      <c r="B6987" t="s">
        <v>1570</v>
      </c>
      <c r="C6987">
        <f>-0.09-0.77</f>
        <v>-0.86</v>
      </c>
      <c r="D6987">
        <v>0.34</v>
      </c>
      <c r="E6987" t="s">
        <v>25</v>
      </c>
      <c r="F6987" t="s">
        <v>15</v>
      </c>
      <c r="G6987">
        <v>0.77</v>
      </c>
      <c r="H6987">
        <v>-0.09</v>
      </c>
      <c r="I6987">
        <v>0.43</v>
      </c>
      <c r="J6987">
        <v>0.18490000000000001</v>
      </c>
      <c r="K6987" t="str">
        <f>IFERROR(INDEX(Rosters!$C$2:$C$155,MATCH($B6987,Rosters!$B$2:$B$155,0)),"NA")</f>
        <v>NA</v>
      </c>
      <c r="L6987" t="str">
        <f t="shared" si="327"/>
        <v>NA3QB</v>
      </c>
      <c r="M6987">
        <f>COUNTIF(L$1:L6987,L6987)</f>
        <v>38</v>
      </c>
      <c r="N6987" t="str">
        <f t="shared" si="328"/>
        <v>NA3QB-38</v>
      </c>
      <c r="O6987">
        <f>COUNTIFS(F$1:F6987,F6987,A$1:A6987,A6987)</f>
        <v>55</v>
      </c>
      <c r="P6987" t="str">
        <f t="shared" si="329"/>
        <v>Nathan Peterman3</v>
      </c>
    </row>
    <row r="6988" spans="1:16" x14ac:dyDescent="0.25">
      <c r="A6988">
        <v>1</v>
      </c>
      <c r="B6988" t="s">
        <v>1634</v>
      </c>
      <c r="C6988">
        <f>-0.04-0.72</f>
        <v>-0.76</v>
      </c>
      <c r="D6988">
        <v>0.34</v>
      </c>
      <c r="E6988" t="s">
        <v>46</v>
      </c>
      <c r="F6988" t="s">
        <v>87</v>
      </c>
      <c r="G6988">
        <v>0.72</v>
      </c>
      <c r="H6988">
        <v>-0.04</v>
      </c>
      <c r="I6988">
        <v>0.38</v>
      </c>
      <c r="J6988">
        <v>0.1444</v>
      </c>
      <c r="K6988" t="str">
        <f>IFERROR(INDEX(Rosters!$C$2:$C$155,MATCH($B6988,Rosters!$B$2:$B$155,0)),"NA")</f>
        <v>NA</v>
      </c>
      <c r="L6988" t="str">
        <f t="shared" si="327"/>
        <v>NA1WR</v>
      </c>
      <c r="M6988">
        <f>COUNTIF(L$1:L6988,L6988)</f>
        <v>84</v>
      </c>
      <c r="N6988" t="str">
        <f t="shared" si="328"/>
        <v>NA1WR-84</v>
      </c>
      <c r="O6988">
        <f>COUNTIFS(F$1:F6988,F6988,A$1:A6988,A6988)</f>
        <v>133</v>
      </c>
      <c r="P6988" t="str">
        <f t="shared" si="329"/>
        <v>Shelton Gibson1</v>
      </c>
    </row>
    <row r="6989" spans="1:16" x14ac:dyDescent="0.25">
      <c r="A6989">
        <v>14</v>
      </c>
      <c r="B6989" t="s">
        <v>1600</v>
      </c>
      <c r="C6989">
        <f>-0.15-0.83</f>
        <v>-0.98</v>
      </c>
      <c r="D6989">
        <v>0.34</v>
      </c>
      <c r="E6989" t="s">
        <v>38</v>
      </c>
      <c r="F6989" t="s">
        <v>47</v>
      </c>
      <c r="G6989">
        <v>0.83</v>
      </c>
      <c r="H6989">
        <v>-0.15</v>
      </c>
      <c r="I6989">
        <v>0.49</v>
      </c>
      <c r="J6989">
        <v>0.24010000000000001</v>
      </c>
      <c r="K6989" t="str">
        <f>IFERROR(INDEX(Rosters!$C$2:$C$155,MATCH($B6989,Rosters!$B$2:$B$155,0)),"NA")</f>
        <v>NA</v>
      </c>
      <c r="L6989" t="str">
        <f t="shared" si="327"/>
        <v>NA14RB</v>
      </c>
      <c r="M6989">
        <f>COUNTIF(L$1:L6989,L6989)</f>
        <v>80</v>
      </c>
      <c r="N6989" t="str">
        <f t="shared" si="328"/>
        <v>NA14RB-80</v>
      </c>
      <c r="O6989">
        <f>COUNTIFS(F$1:F6989,F6989,A$1:A6989,A6989)</f>
        <v>127</v>
      </c>
      <c r="P6989" t="str">
        <f t="shared" si="329"/>
        <v>Tommy Bohanon14</v>
      </c>
    </row>
    <row r="6990" spans="1:16" x14ac:dyDescent="0.25">
      <c r="A6990">
        <v>10</v>
      </c>
      <c r="B6990" t="s">
        <v>3167</v>
      </c>
      <c r="C6990">
        <f>-0.18-0.84</f>
        <v>-1.02</v>
      </c>
      <c r="D6990">
        <v>0.33</v>
      </c>
      <c r="E6990" t="s">
        <v>29</v>
      </c>
      <c r="F6990" t="s">
        <v>87</v>
      </c>
      <c r="G6990">
        <v>0.84</v>
      </c>
      <c r="H6990">
        <v>-0.18</v>
      </c>
      <c r="I6990">
        <v>0.51</v>
      </c>
      <c r="J6990">
        <v>0.2601</v>
      </c>
      <c r="K6990" t="str">
        <f>IFERROR(INDEX(Rosters!$C$2:$C$155,MATCH($B6990,Rosters!$B$2:$B$155,0)),"NA")</f>
        <v>NA</v>
      </c>
      <c r="L6990" t="str">
        <f t="shared" si="327"/>
        <v>NA10WR</v>
      </c>
      <c r="M6990">
        <f>COUNTIF(L$1:L6990,L6990)</f>
        <v>112</v>
      </c>
      <c r="N6990" t="str">
        <f t="shared" si="328"/>
        <v>NA10WR-112</v>
      </c>
      <c r="O6990">
        <f>COUNTIFS(F$1:F6990,F6990,A$1:A6990,A6990)</f>
        <v>157</v>
      </c>
      <c r="P6990" t="str">
        <f t="shared" si="329"/>
        <v>Andre Roberts10</v>
      </c>
    </row>
    <row r="6991" spans="1:16" x14ac:dyDescent="0.25">
      <c r="A6991">
        <v>2</v>
      </c>
      <c r="B6991" t="s">
        <v>301</v>
      </c>
      <c r="C6991">
        <f>-0.13-0.79</f>
        <v>-0.92</v>
      </c>
      <c r="D6991">
        <v>0.33</v>
      </c>
      <c r="E6991" t="s">
        <v>77</v>
      </c>
      <c r="F6991" t="s">
        <v>114</v>
      </c>
      <c r="G6991">
        <v>0.79</v>
      </c>
      <c r="H6991">
        <v>-0.13</v>
      </c>
      <c r="I6991">
        <v>0.46</v>
      </c>
      <c r="J6991">
        <v>0.21160000000000001</v>
      </c>
      <c r="K6991" t="str">
        <f>IFERROR(INDEX(Rosters!$C$2:$C$155,MATCH($B6991,Rosters!$B$2:$B$155,0)),"NA")</f>
        <v>NA</v>
      </c>
      <c r="L6991" t="str">
        <f t="shared" si="327"/>
        <v>NA2TE</v>
      </c>
      <c r="M6991">
        <f>COUNTIF(L$1:L6991,L6991)</f>
        <v>69</v>
      </c>
      <c r="N6991" t="str">
        <f t="shared" si="328"/>
        <v>NA2TE-69</v>
      </c>
      <c r="O6991">
        <f>COUNTIFS(F$1:F6991,F6991,A$1:A6991,A6991)</f>
        <v>82</v>
      </c>
      <c r="P6991" t="str">
        <f t="shared" si="329"/>
        <v>C.J. Uzomah2</v>
      </c>
    </row>
    <row r="6992" spans="1:16" x14ac:dyDescent="0.25">
      <c r="A6992">
        <v>1</v>
      </c>
      <c r="B6992" t="s">
        <v>272</v>
      </c>
      <c r="C6992">
        <f>-0.03-0.69</f>
        <v>-0.72</v>
      </c>
      <c r="D6992">
        <v>0.33</v>
      </c>
      <c r="E6992" t="s">
        <v>37</v>
      </c>
      <c r="F6992" t="s">
        <v>47</v>
      </c>
      <c r="G6992">
        <v>0.69</v>
      </c>
      <c r="H6992">
        <v>-0.03</v>
      </c>
      <c r="I6992">
        <v>0.36</v>
      </c>
      <c r="J6992">
        <v>0.12959999999999999</v>
      </c>
      <c r="K6992" t="str">
        <f>IFERROR(INDEX(Rosters!$C$2:$C$155,MATCH($B6992,Rosters!$B$2:$B$155,0)),"NA")</f>
        <v>NA</v>
      </c>
      <c r="L6992" t="str">
        <f t="shared" si="327"/>
        <v>NA1RB</v>
      </c>
      <c r="M6992">
        <f>COUNTIF(L$1:L6992,L6992)</f>
        <v>48</v>
      </c>
      <c r="N6992" t="str">
        <f t="shared" si="328"/>
        <v>NA1RB-48</v>
      </c>
      <c r="O6992">
        <f>COUNTIFS(F$1:F6992,F6992,A$1:A6992,A6992)</f>
        <v>91</v>
      </c>
      <c r="P6992" t="str">
        <f t="shared" si="329"/>
        <v>Damien Williams1</v>
      </c>
    </row>
    <row r="6993" spans="1:16" x14ac:dyDescent="0.25">
      <c r="A6993">
        <v>13</v>
      </c>
      <c r="B6993" t="s">
        <v>272</v>
      </c>
      <c r="C6993">
        <f>-0.05-0.71</f>
        <v>-0.76</v>
      </c>
      <c r="D6993">
        <v>0.33</v>
      </c>
      <c r="E6993" t="s">
        <v>32</v>
      </c>
      <c r="F6993" t="s">
        <v>47</v>
      </c>
      <c r="G6993">
        <v>0.71</v>
      </c>
      <c r="H6993">
        <v>-0.05</v>
      </c>
      <c r="I6993">
        <v>0.38</v>
      </c>
      <c r="J6993">
        <v>0.1444</v>
      </c>
      <c r="K6993" t="str">
        <f>IFERROR(INDEX(Rosters!$C$2:$C$155,MATCH($B6993,Rosters!$B$2:$B$155,0)),"NA")</f>
        <v>NA</v>
      </c>
      <c r="L6993" t="str">
        <f t="shared" si="327"/>
        <v>NA13RB</v>
      </c>
      <c r="M6993">
        <f>COUNTIF(L$1:L6993,L6993)</f>
        <v>81</v>
      </c>
      <c r="N6993" t="str">
        <f t="shared" si="328"/>
        <v>NA13RB-81</v>
      </c>
      <c r="O6993">
        <f>COUNTIFS(F$1:F6993,F6993,A$1:A6993,A6993)</f>
        <v>128</v>
      </c>
      <c r="P6993" t="str">
        <f t="shared" si="329"/>
        <v>Damien Williams13</v>
      </c>
    </row>
    <row r="6994" spans="1:16" x14ac:dyDescent="0.25">
      <c r="A6994">
        <v>17</v>
      </c>
      <c r="B6994" t="s">
        <v>2964</v>
      </c>
      <c r="C6994">
        <f>-0.05-0.71</f>
        <v>-0.76</v>
      </c>
      <c r="D6994">
        <v>0.33</v>
      </c>
      <c r="E6994" t="s">
        <v>74</v>
      </c>
      <c r="F6994" t="s">
        <v>47</v>
      </c>
      <c r="G6994">
        <v>0.71</v>
      </c>
      <c r="H6994">
        <v>-0.05</v>
      </c>
      <c r="I6994">
        <v>0.38</v>
      </c>
      <c r="J6994">
        <v>0.1444</v>
      </c>
      <c r="K6994" t="str">
        <f>IFERROR(INDEX(Rosters!$C$2:$C$155,MATCH($B6994,Rosters!$B$2:$B$155,0)),"NA")</f>
        <v>NA</v>
      </c>
      <c r="L6994" t="str">
        <f t="shared" si="327"/>
        <v>NA17RB</v>
      </c>
      <c r="M6994">
        <f>COUNTIF(L$1:L6994,L6994)</f>
        <v>82</v>
      </c>
      <c r="N6994" t="str">
        <f t="shared" si="328"/>
        <v>NA17RB-82</v>
      </c>
      <c r="O6994">
        <f>COUNTIFS(F$1:F6994,F6994,A$1:A6994,A6994)</f>
        <v>129</v>
      </c>
      <c r="P6994" t="str">
        <f t="shared" si="329"/>
        <v>Dwayne Washington17</v>
      </c>
    </row>
    <row r="6995" spans="1:16" x14ac:dyDescent="0.25">
      <c r="A6995">
        <v>4</v>
      </c>
      <c r="B6995" t="s">
        <v>241</v>
      </c>
      <c r="C6995">
        <f>-0.11-0.77</f>
        <v>-0.88</v>
      </c>
      <c r="D6995">
        <v>0.33</v>
      </c>
      <c r="E6995" t="s">
        <v>28</v>
      </c>
      <c r="F6995" t="s">
        <v>87</v>
      </c>
      <c r="G6995">
        <v>0.77</v>
      </c>
      <c r="H6995">
        <v>-0.11</v>
      </c>
      <c r="I6995">
        <v>0.44</v>
      </c>
      <c r="J6995">
        <v>0.19359999999999999</v>
      </c>
      <c r="K6995" t="str">
        <f>IFERROR(INDEX(Rosters!$C$2:$C$155,MATCH($B6995,Rosters!$B$2:$B$155,0)),"NA")</f>
        <v>NA</v>
      </c>
      <c r="L6995" t="str">
        <f t="shared" si="327"/>
        <v>NA4WR</v>
      </c>
      <c r="M6995">
        <f>COUNTIF(L$1:L6995,L6995)</f>
        <v>95</v>
      </c>
      <c r="N6995" t="str">
        <f t="shared" si="328"/>
        <v>NA4WR-95</v>
      </c>
      <c r="O6995">
        <f>COUNTIFS(F$1:F6995,F6995,A$1:A6995,A6995)</f>
        <v>145</v>
      </c>
      <c r="P6995" t="str">
        <f t="shared" si="329"/>
        <v>J.J. Nelson4</v>
      </c>
    </row>
    <row r="6996" spans="1:16" x14ac:dyDescent="0.25">
      <c r="A6996">
        <v>17</v>
      </c>
      <c r="B6996" t="s">
        <v>1548</v>
      </c>
      <c r="C6996">
        <f>-0.13-0.79</f>
        <v>-0.92</v>
      </c>
      <c r="D6996">
        <v>0.33</v>
      </c>
      <c r="E6996" t="s">
        <v>50</v>
      </c>
      <c r="F6996" t="s">
        <v>114</v>
      </c>
      <c r="G6996">
        <v>0.79</v>
      </c>
      <c r="H6996">
        <v>-0.13</v>
      </c>
      <c r="I6996">
        <v>0.46</v>
      </c>
      <c r="J6996">
        <v>0.21160000000000001</v>
      </c>
      <c r="K6996" t="str">
        <f>IFERROR(INDEX(Rosters!$C$2:$C$155,MATCH($B6996,Rosters!$B$2:$B$155,0)),"NA")</f>
        <v>NA</v>
      </c>
      <c r="L6996" t="str">
        <f t="shared" si="327"/>
        <v>NA17TE</v>
      </c>
      <c r="M6996">
        <f>COUNTIF(L$1:L6996,L6996)</f>
        <v>86</v>
      </c>
      <c r="N6996" t="str">
        <f t="shared" si="328"/>
        <v>NA17TE-86</v>
      </c>
      <c r="O6996">
        <f>COUNTIFS(F$1:F6996,F6996,A$1:A6996,A6996)</f>
        <v>100</v>
      </c>
      <c r="P6996" t="str">
        <f t="shared" si="329"/>
        <v>Jeremy Sprinkle17</v>
      </c>
    </row>
    <row r="6997" spans="1:16" x14ac:dyDescent="0.25">
      <c r="A6997">
        <v>15</v>
      </c>
      <c r="B6997" t="s">
        <v>4264</v>
      </c>
      <c r="C6997">
        <f>-0.06-0.72</f>
        <v>-0.78</v>
      </c>
      <c r="D6997">
        <v>0.33</v>
      </c>
      <c r="E6997" t="s">
        <v>50</v>
      </c>
      <c r="F6997" t="s">
        <v>87</v>
      </c>
      <c r="G6997">
        <v>0.72</v>
      </c>
      <c r="H6997">
        <v>-0.06</v>
      </c>
      <c r="I6997">
        <v>0.39</v>
      </c>
      <c r="J6997">
        <v>0.15210000000000001</v>
      </c>
      <c r="K6997" t="str">
        <f>IFERROR(INDEX(Rosters!$C$2:$C$155,MATCH($B6997,Rosters!$B$2:$B$155,0)),"NA")</f>
        <v>NA</v>
      </c>
      <c r="L6997" t="str">
        <f t="shared" si="327"/>
        <v>NA15WR</v>
      </c>
      <c r="M6997">
        <f>COUNTIF(L$1:L6997,L6997)</f>
        <v>123</v>
      </c>
      <c r="N6997" t="str">
        <f t="shared" si="328"/>
        <v>NA15WR-123</v>
      </c>
      <c r="O6997">
        <f>COUNTIFS(F$1:F6997,F6997,A$1:A6997,A6997)</f>
        <v>177</v>
      </c>
      <c r="P6997" t="str">
        <f t="shared" si="329"/>
        <v>JoJo Natson15</v>
      </c>
    </row>
    <row r="6998" spans="1:16" x14ac:dyDescent="0.25">
      <c r="A6998">
        <v>6</v>
      </c>
      <c r="B6998" t="s">
        <v>1631</v>
      </c>
      <c r="C6998">
        <f>-0.12-0.78</f>
        <v>-0.9</v>
      </c>
      <c r="D6998">
        <v>0.33</v>
      </c>
      <c r="E6998" t="s">
        <v>51</v>
      </c>
      <c r="F6998" t="s">
        <v>87</v>
      </c>
      <c r="G6998">
        <v>0.78</v>
      </c>
      <c r="H6998">
        <v>-0.12</v>
      </c>
      <c r="I6998">
        <v>0.45</v>
      </c>
      <c r="J6998">
        <v>0.20250000000000001</v>
      </c>
      <c r="K6998" t="str">
        <f>IFERROR(INDEX(Rosters!$C$2:$C$155,MATCH($B6998,Rosters!$B$2:$B$155,0)),"NA")</f>
        <v>NA</v>
      </c>
      <c r="L6998" t="str">
        <f t="shared" si="327"/>
        <v>NA6WR</v>
      </c>
      <c r="M6998">
        <f>COUNTIF(L$1:L6998,L6998)</f>
        <v>114</v>
      </c>
      <c r="N6998" t="str">
        <f t="shared" si="328"/>
        <v>NA6WR-114</v>
      </c>
      <c r="O6998">
        <f>COUNTIFS(F$1:F6998,F6998,A$1:A6998,A6998)</f>
        <v>164</v>
      </c>
      <c r="P6998" t="str">
        <f t="shared" si="329"/>
        <v>Josh Malone6</v>
      </c>
    </row>
    <row r="6999" spans="1:16" x14ac:dyDescent="0.25">
      <c r="A6999">
        <v>17</v>
      </c>
      <c r="B6999" t="s">
        <v>1631</v>
      </c>
      <c r="C6999">
        <f>-0.12-0.78</f>
        <v>-0.9</v>
      </c>
      <c r="D6999">
        <v>0.33</v>
      </c>
      <c r="E6999" t="s">
        <v>51</v>
      </c>
      <c r="F6999" t="s">
        <v>87</v>
      </c>
      <c r="G6999">
        <v>0.78</v>
      </c>
      <c r="H6999">
        <v>-0.12</v>
      </c>
      <c r="I6999">
        <v>0.45</v>
      </c>
      <c r="J6999">
        <v>0.20250000000000001</v>
      </c>
      <c r="K6999" t="str">
        <f>IFERROR(INDEX(Rosters!$C$2:$C$155,MATCH($B6999,Rosters!$B$2:$B$155,0)),"NA")</f>
        <v>NA</v>
      </c>
      <c r="L6999" t="str">
        <f t="shared" si="327"/>
        <v>NA17WR</v>
      </c>
      <c r="M6999">
        <f>COUNTIF(L$1:L6999,L6999)</f>
        <v>125</v>
      </c>
      <c r="N6999" t="str">
        <f t="shared" si="328"/>
        <v>NA17WR-125</v>
      </c>
      <c r="O6999">
        <f>COUNTIFS(F$1:F6999,F6999,A$1:A6999,A6999)</f>
        <v>179</v>
      </c>
      <c r="P6999" t="str">
        <f t="shared" si="329"/>
        <v>Josh Malone17</v>
      </c>
    </row>
    <row r="7000" spans="1:16" x14ac:dyDescent="0.25">
      <c r="A7000">
        <v>12</v>
      </c>
      <c r="B7000" t="s">
        <v>1597</v>
      </c>
      <c r="C7000" t="s">
        <v>4746</v>
      </c>
      <c r="D7000">
        <v>0.33</v>
      </c>
      <c r="E7000" t="s">
        <v>76</v>
      </c>
      <c r="F7000" t="s">
        <v>114</v>
      </c>
      <c r="G7000">
        <v>0.65</v>
      </c>
      <c r="H7000">
        <v>0.01</v>
      </c>
      <c r="I7000">
        <v>0.32</v>
      </c>
      <c r="J7000">
        <v>0.1024</v>
      </c>
      <c r="K7000" t="str">
        <f>IFERROR(INDEX(Rosters!$C$2:$C$155,MATCH($B7000,Rosters!$B$2:$B$155,0)),"NA")</f>
        <v>NA</v>
      </c>
      <c r="L7000" t="str">
        <f t="shared" si="327"/>
        <v>NA12TE</v>
      </c>
      <c r="M7000">
        <f>COUNTIF(L$1:L7000,L7000)</f>
        <v>81</v>
      </c>
      <c r="N7000" t="str">
        <f t="shared" si="328"/>
        <v>NA12TE-81</v>
      </c>
      <c r="O7000">
        <f>COUNTIFS(F$1:F7000,F7000,A$1:A7000,A7000)</f>
        <v>94</v>
      </c>
      <c r="P7000" t="str">
        <f t="shared" si="329"/>
        <v>Khari Lee12</v>
      </c>
    </row>
    <row r="7001" spans="1:16" x14ac:dyDescent="0.25">
      <c r="A7001">
        <v>11</v>
      </c>
      <c r="B7001" t="s">
        <v>389</v>
      </c>
      <c r="C7001">
        <f>-0.05-0.71</f>
        <v>-0.76</v>
      </c>
      <c r="D7001">
        <v>0.33</v>
      </c>
      <c r="E7001" t="s">
        <v>58</v>
      </c>
      <c r="F7001" t="s">
        <v>114</v>
      </c>
      <c r="G7001">
        <v>0.71</v>
      </c>
      <c r="H7001">
        <v>-0.05</v>
      </c>
      <c r="I7001">
        <v>0.38</v>
      </c>
      <c r="J7001">
        <v>0.1444</v>
      </c>
      <c r="K7001" t="str">
        <f>IFERROR(INDEX(Rosters!$C$2:$C$155,MATCH($B7001,Rosters!$B$2:$B$155,0)),"NA")</f>
        <v>NA</v>
      </c>
      <c r="L7001" t="str">
        <f t="shared" si="327"/>
        <v>NA11TE</v>
      </c>
      <c r="M7001">
        <f>COUNTIF(L$1:L7001,L7001)</f>
        <v>67</v>
      </c>
      <c r="N7001" t="str">
        <f t="shared" si="328"/>
        <v>NA11TE-67</v>
      </c>
      <c r="O7001">
        <f>COUNTIFS(F$1:F7001,F7001,A$1:A7001,A7001)</f>
        <v>79</v>
      </c>
      <c r="P7001" t="str">
        <f t="shared" si="329"/>
        <v>Lee Smith11</v>
      </c>
    </row>
    <row r="7002" spans="1:16" x14ac:dyDescent="0.25">
      <c r="A7002">
        <v>13</v>
      </c>
      <c r="B7002" t="s">
        <v>8855</v>
      </c>
      <c r="C7002" t="s">
        <v>8938</v>
      </c>
      <c r="D7002">
        <v>0.33</v>
      </c>
      <c r="E7002" t="s">
        <v>76</v>
      </c>
      <c r="F7002" t="s">
        <v>114</v>
      </c>
      <c r="G7002">
        <v>0.63</v>
      </c>
      <c r="H7002">
        <v>0.03</v>
      </c>
      <c r="I7002">
        <v>0.3</v>
      </c>
      <c r="J7002">
        <v>0.09</v>
      </c>
      <c r="K7002" t="str">
        <f>IFERROR(INDEX(Rosters!$C$2:$C$155,MATCH($B7002,Rosters!$B$2:$B$155,0)),"NA")</f>
        <v>NA</v>
      </c>
      <c r="L7002" t="str">
        <f t="shared" si="327"/>
        <v>NA13TE</v>
      </c>
      <c r="M7002">
        <f>COUNTIF(L$1:L7002,L7002)</f>
        <v>85</v>
      </c>
      <c r="N7002" t="str">
        <f t="shared" si="328"/>
        <v>NA13TE-85</v>
      </c>
      <c r="O7002">
        <f>COUNTIFS(F$1:F7002,F7002,A$1:A7002,A7002)</f>
        <v>99</v>
      </c>
      <c r="P7002" t="str">
        <f t="shared" si="329"/>
        <v>Mo Alie-Cox13</v>
      </c>
    </row>
    <row r="7003" spans="1:16" x14ac:dyDescent="0.25">
      <c r="A7003">
        <v>17</v>
      </c>
      <c r="B7003" t="s">
        <v>222</v>
      </c>
      <c r="C7003">
        <f>-0.01-0.67</f>
        <v>-0.68</v>
      </c>
      <c r="D7003">
        <v>0.33</v>
      </c>
      <c r="E7003" t="s">
        <v>54</v>
      </c>
      <c r="F7003" t="s">
        <v>87</v>
      </c>
      <c r="G7003">
        <v>0.67</v>
      </c>
      <c r="H7003">
        <v>-0.01</v>
      </c>
      <c r="I7003">
        <v>0.34</v>
      </c>
      <c r="J7003">
        <v>0.11559999999999999</v>
      </c>
      <c r="K7003" t="str">
        <f>IFERROR(INDEX(Rosters!$C$2:$C$155,MATCH($B7003,Rosters!$B$2:$B$155,0)),"NA")</f>
        <v>NA</v>
      </c>
      <c r="L7003" t="str">
        <f t="shared" si="327"/>
        <v>NA17WR</v>
      </c>
      <c r="M7003">
        <f>COUNTIF(L$1:L7003,L7003)</f>
        <v>126</v>
      </c>
      <c r="N7003" t="str">
        <f t="shared" si="328"/>
        <v>NA17WR-126</v>
      </c>
      <c r="O7003">
        <f>COUNTIFS(F$1:F7003,F7003,A$1:A7003,A7003)</f>
        <v>180</v>
      </c>
      <c r="P7003" t="str">
        <f t="shared" si="329"/>
        <v>Terrance Williams17</v>
      </c>
    </row>
    <row r="7004" spans="1:16" x14ac:dyDescent="0.25">
      <c r="A7004">
        <v>8</v>
      </c>
      <c r="B7004" t="s">
        <v>1600</v>
      </c>
      <c r="C7004">
        <f>-0.06-0.72</f>
        <v>-0.78</v>
      </c>
      <c r="D7004">
        <v>0.33</v>
      </c>
      <c r="E7004" t="s">
        <v>50</v>
      </c>
      <c r="F7004" t="s">
        <v>47</v>
      </c>
      <c r="G7004">
        <v>0.72</v>
      </c>
      <c r="H7004">
        <v>-0.06</v>
      </c>
      <c r="I7004">
        <v>0.39</v>
      </c>
      <c r="J7004">
        <v>0.15210000000000001</v>
      </c>
      <c r="K7004" t="str">
        <f>IFERROR(INDEX(Rosters!$C$2:$C$155,MATCH($B7004,Rosters!$B$2:$B$155,0)),"NA")</f>
        <v>NA</v>
      </c>
      <c r="L7004" t="str">
        <f t="shared" si="327"/>
        <v>NA8RB</v>
      </c>
      <c r="M7004">
        <f>COUNTIF(L$1:L7004,L7004)</f>
        <v>73</v>
      </c>
      <c r="N7004" t="str">
        <f t="shared" si="328"/>
        <v>NA8RB-73</v>
      </c>
      <c r="O7004">
        <f>COUNTIFS(F$1:F7004,F7004,A$1:A7004,A7004)</f>
        <v>113</v>
      </c>
      <c r="P7004" t="str">
        <f t="shared" si="329"/>
        <v>Tommy Bohanon8</v>
      </c>
    </row>
    <row r="7005" spans="1:16" x14ac:dyDescent="0.25">
      <c r="A7005">
        <v>7</v>
      </c>
      <c r="B7005" t="s">
        <v>3167</v>
      </c>
      <c r="C7005">
        <f>-0.21-0.85</f>
        <v>-1.06</v>
      </c>
      <c r="D7005">
        <v>0.32</v>
      </c>
      <c r="E7005" t="s">
        <v>25</v>
      </c>
      <c r="F7005" t="s">
        <v>87</v>
      </c>
      <c r="G7005">
        <v>0.85</v>
      </c>
      <c r="H7005">
        <v>-0.21</v>
      </c>
      <c r="I7005">
        <v>0.53</v>
      </c>
      <c r="J7005">
        <v>0.28089999999999998</v>
      </c>
      <c r="K7005" t="str">
        <f>IFERROR(INDEX(Rosters!$C$2:$C$155,MATCH($B7005,Rosters!$B$2:$B$155,0)),"NA")</f>
        <v>NA</v>
      </c>
      <c r="L7005" t="str">
        <f t="shared" si="327"/>
        <v>NA7WR</v>
      </c>
      <c r="M7005">
        <f>COUNTIF(L$1:L7005,L7005)</f>
        <v>107</v>
      </c>
      <c r="N7005" t="str">
        <f t="shared" si="328"/>
        <v>NA7WR-107</v>
      </c>
      <c r="O7005">
        <f>COUNTIFS(F$1:F7005,F7005,A$1:A7005,A7005)</f>
        <v>152</v>
      </c>
      <c r="P7005" t="str">
        <f t="shared" si="329"/>
        <v>Andre Roberts7</v>
      </c>
    </row>
    <row r="7006" spans="1:16" x14ac:dyDescent="0.25">
      <c r="A7006">
        <v>14</v>
      </c>
      <c r="B7006" t="s">
        <v>3167</v>
      </c>
      <c r="C7006">
        <f>-0.19-0.83</f>
        <v>-1.02</v>
      </c>
      <c r="D7006">
        <v>0.32</v>
      </c>
      <c r="E7006" t="s">
        <v>29</v>
      </c>
      <c r="F7006" t="s">
        <v>87</v>
      </c>
      <c r="G7006">
        <v>0.83</v>
      </c>
      <c r="H7006">
        <v>-0.19</v>
      </c>
      <c r="I7006">
        <v>0.51</v>
      </c>
      <c r="J7006">
        <v>0.2601</v>
      </c>
      <c r="K7006" t="str">
        <f>IFERROR(INDEX(Rosters!$C$2:$C$155,MATCH($B7006,Rosters!$B$2:$B$155,0)),"NA")</f>
        <v>NA</v>
      </c>
      <c r="L7006" t="str">
        <f t="shared" si="327"/>
        <v>NA14WR</v>
      </c>
      <c r="M7006">
        <f>COUNTIF(L$1:L7006,L7006)</f>
        <v>123</v>
      </c>
      <c r="N7006" t="str">
        <f t="shared" si="328"/>
        <v>NA14WR-123</v>
      </c>
      <c r="O7006">
        <f>COUNTIFS(F$1:F7006,F7006,A$1:A7006,A7006)</f>
        <v>177</v>
      </c>
      <c r="P7006" t="str">
        <f t="shared" si="329"/>
        <v>Andre Roberts14</v>
      </c>
    </row>
    <row r="7007" spans="1:16" x14ac:dyDescent="0.25">
      <c r="A7007">
        <v>4</v>
      </c>
      <c r="B7007" t="s">
        <v>272</v>
      </c>
      <c r="C7007">
        <f>-0.05-0.69</f>
        <v>-0.74</v>
      </c>
      <c r="D7007">
        <v>0.32</v>
      </c>
      <c r="E7007" t="s">
        <v>42</v>
      </c>
      <c r="F7007" t="s">
        <v>47</v>
      </c>
      <c r="G7007">
        <v>0.69</v>
      </c>
      <c r="H7007">
        <v>-0.05</v>
      </c>
      <c r="I7007">
        <v>0.37</v>
      </c>
      <c r="J7007">
        <v>0.13689999999999999</v>
      </c>
      <c r="K7007" t="str">
        <f>IFERROR(INDEX(Rosters!$C$2:$C$155,MATCH($B7007,Rosters!$B$2:$B$155,0)),"NA")</f>
        <v>NA</v>
      </c>
      <c r="L7007" t="str">
        <f t="shared" si="327"/>
        <v>NA4RB</v>
      </c>
      <c r="M7007">
        <f>COUNTIF(L$1:L7007,L7007)</f>
        <v>59</v>
      </c>
      <c r="N7007" t="str">
        <f t="shared" si="328"/>
        <v>NA4RB-59</v>
      </c>
      <c r="O7007">
        <f>COUNTIFS(F$1:F7007,F7007,A$1:A7007,A7007)</f>
        <v>98</v>
      </c>
      <c r="P7007" t="str">
        <f t="shared" si="329"/>
        <v>Damien Williams4</v>
      </c>
    </row>
    <row r="7008" spans="1:16" x14ac:dyDescent="0.25">
      <c r="A7008">
        <v>9</v>
      </c>
      <c r="B7008" t="s">
        <v>2964</v>
      </c>
      <c r="C7008">
        <f>-0.05-0.69</f>
        <v>-0.74</v>
      </c>
      <c r="D7008">
        <v>0.32</v>
      </c>
      <c r="E7008" t="s">
        <v>56</v>
      </c>
      <c r="F7008" t="s">
        <v>47</v>
      </c>
      <c r="G7008">
        <v>0.69</v>
      </c>
      <c r="H7008">
        <v>-0.05</v>
      </c>
      <c r="I7008">
        <v>0.37</v>
      </c>
      <c r="J7008">
        <v>0.13689999999999999</v>
      </c>
      <c r="K7008" t="str">
        <f>IFERROR(INDEX(Rosters!$C$2:$C$155,MATCH($B7008,Rosters!$B$2:$B$155,0)),"NA")</f>
        <v>NA</v>
      </c>
      <c r="L7008" t="str">
        <f t="shared" si="327"/>
        <v>NA9RB</v>
      </c>
      <c r="M7008">
        <f>COUNTIF(L$1:L7008,L7008)</f>
        <v>63</v>
      </c>
      <c r="N7008" t="str">
        <f t="shared" si="328"/>
        <v>NA9RB-63</v>
      </c>
      <c r="O7008">
        <f>COUNTIFS(F$1:F7008,F7008,A$1:A7008,A7008)</f>
        <v>103</v>
      </c>
      <c r="P7008" t="str">
        <f t="shared" si="329"/>
        <v>Dwayne Washington9</v>
      </c>
    </row>
    <row r="7009" spans="1:16" x14ac:dyDescent="0.25">
      <c r="A7009">
        <v>10</v>
      </c>
      <c r="B7009" t="s">
        <v>2964</v>
      </c>
      <c r="C7009">
        <f>-0.06-0.7</f>
        <v>-0.76</v>
      </c>
      <c r="D7009">
        <v>0.32</v>
      </c>
      <c r="E7009" t="s">
        <v>31</v>
      </c>
      <c r="F7009" t="s">
        <v>47</v>
      </c>
      <c r="G7009">
        <v>0.7</v>
      </c>
      <c r="H7009">
        <v>-0.06</v>
      </c>
      <c r="I7009">
        <v>0.38</v>
      </c>
      <c r="J7009">
        <v>0.1444</v>
      </c>
      <c r="K7009" t="str">
        <f>IFERROR(INDEX(Rosters!$C$2:$C$155,MATCH($B7009,Rosters!$B$2:$B$155,0)),"NA")</f>
        <v>NA</v>
      </c>
      <c r="L7009" t="str">
        <f t="shared" si="327"/>
        <v>NA10RB</v>
      </c>
      <c r="M7009">
        <f>COUNTIF(L$1:L7009,L7009)</f>
        <v>69</v>
      </c>
      <c r="N7009" t="str">
        <f t="shared" si="328"/>
        <v>NA10RB-69</v>
      </c>
      <c r="O7009">
        <f>COUNTIFS(F$1:F7009,F7009,A$1:A7009,A7009)</f>
        <v>108</v>
      </c>
      <c r="P7009" t="str">
        <f t="shared" si="329"/>
        <v>Dwayne Washington10</v>
      </c>
    </row>
    <row r="7010" spans="1:16" x14ac:dyDescent="0.25">
      <c r="A7010">
        <v>13</v>
      </c>
      <c r="B7010" t="s">
        <v>1548</v>
      </c>
      <c r="C7010">
        <f>-0.14-0.78</f>
        <v>-0.92</v>
      </c>
      <c r="D7010">
        <v>0.32</v>
      </c>
      <c r="E7010" t="s">
        <v>50</v>
      </c>
      <c r="F7010" t="s">
        <v>114</v>
      </c>
      <c r="G7010">
        <v>0.78</v>
      </c>
      <c r="H7010">
        <v>-0.14000000000000001</v>
      </c>
      <c r="I7010">
        <v>0.46</v>
      </c>
      <c r="J7010">
        <v>0.21160000000000001</v>
      </c>
      <c r="K7010" t="str">
        <f>IFERROR(INDEX(Rosters!$C$2:$C$155,MATCH($B7010,Rosters!$B$2:$B$155,0)),"NA")</f>
        <v>NA</v>
      </c>
      <c r="L7010" t="str">
        <f t="shared" si="327"/>
        <v>NA13TE</v>
      </c>
      <c r="M7010">
        <f>COUNTIF(L$1:L7010,L7010)</f>
        <v>86</v>
      </c>
      <c r="N7010" t="str">
        <f t="shared" si="328"/>
        <v>NA13TE-86</v>
      </c>
      <c r="O7010">
        <f>COUNTIFS(F$1:F7010,F7010,A$1:A7010,A7010)</f>
        <v>100</v>
      </c>
      <c r="P7010" t="str">
        <f t="shared" si="329"/>
        <v>Jeremy Sprinkle13</v>
      </c>
    </row>
    <row r="7011" spans="1:16" x14ac:dyDescent="0.25">
      <c r="A7011">
        <v>8</v>
      </c>
      <c r="B7011" t="s">
        <v>2854</v>
      </c>
      <c r="C7011">
        <f>-0.08-0.72</f>
        <v>-0.79999999999999993</v>
      </c>
      <c r="D7011">
        <v>0.32</v>
      </c>
      <c r="E7011" t="s">
        <v>76</v>
      </c>
      <c r="F7011" t="s">
        <v>87</v>
      </c>
      <c r="G7011">
        <v>0.72</v>
      </c>
      <c r="H7011">
        <v>-0.08</v>
      </c>
      <c r="I7011">
        <v>0.4</v>
      </c>
      <c r="J7011">
        <v>0.16</v>
      </c>
      <c r="K7011" t="str">
        <f>IFERROR(INDEX(Rosters!$C$2:$C$155,MATCH($B7011,Rosters!$B$2:$B$155,0)),"NA")</f>
        <v>NA</v>
      </c>
      <c r="L7011" t="str">
        <f t="shared" si="327"/>
        <v>NA8WR</v>
      </c>
      <c r="M7011">
        <f>COUNTIF(L$1:L7011,L7011)</f>
        <v>102</v>
      </c>
      <c r="N7011" t="str">
        <f t="shared" si="328"/>
        <v>NA8WR-102</v>
      </c>
      <c r="O7011">
        <f>COUNTIFS(F$1:F7011,F7011,A$1:A7011,A7011)</f>
        <v>151</v>
      </c>
      <c r="P7011" t="str">
        <f t="shared" si="329"/>
        <v>Kamar Aiken8</v>
      </c>
    </row>
    <row r="7012" spans="1:16" x14ac:dyDescent="0.25">
      <c r="A7012">
        <v>12</v>
      </c>
      <c r="B7012" t="s">
        <v>389</v>
      </c>
      <c r="C7012">
        <f>-0.07-0.71</f>
        <v>-0.78</v>
      </c>
      <c r="D7012">
        <v>0.32</v>
      </c>
      <c r="E7012" t="s">
        <v>77</v>
      </c>
      <c r="F7012" t="s">
        <v>114</v>
      </c>
      <c r="G7012">
        <v>0.71</v>
      </c>
      <c r="H7012">
        <v>-7.0000000000000007E-2</v>
      </c>
      <c r="I7012">
        <v>0.39</v>
      </c>
      <c r="J7012">
        <v>0.15210000000000001</v>
      </c>
      <c r="K7012" t="str">
        <f>IFERROR(INDEX(Rosters!$C$2:$C$155,MATCH($B7012,Rosters!$B$2:$B$155,0)),"NA")</f>
        <v>NA</v>
      </c>
      <c r="L7012" t="str">
        <f t="shared" si="327"/>
        <v>NA12TE</v>
      </c>
      <c r="M7012">
        <f>COUNTIF(L$1:L7012,L7012)</f>
        <v>82</v>
      </c>
      <c r="N7012" t="str">
        <f t="shared" si="328"/>
        <v>NA12TE-82</v>
      </c>
      <c r="O7012">
        <f>COUNTIFS(F$1:F7012,F7012,A$1:A7012,A7012)</f>
        <v>95</v>
      </c>
      <c r="P7012" t="str">
        <f t="shared" si="329"/>
        <v>Lee Smith12</v>
      </c>
    </row>
    <row r="7013" spans="1:16" x14ac:dyDescent="0.25">
      <c r="A7013">
        <v>7</v>
      </c>
      <c r="B7013" t="s">
        <v>379</v>
      </c>
      <c r="C7013">
        <f>-0.07-0.71</f>
        <v>-0.78</v>
      </c>
      <c r="D7013">
        <v>0.32</v>
      </c>
      <c r="E7013" t="s">
        <v>56</v>
      </c>
      <c r="F7013" t="s">
        <v>47</v>
      </c>
      <c r="G7013">
        <v>0.71</v>
      </c>
      <c r="H7013">
        <v>-7.0000000000000007E-2</v>
      </c>
      <c r="I7013">
        <v>0.39</v>
      </c>
      <c r="J7013">
        <v>0.15210000000000001</v>
      </c>
      <c r="K7013" t="str">
        <f>IFERROR(INDEX(Rosters!$C$2:$C$155,MATCH($B7013,Rosters!$B$2:$B$155,0)),"NA")</f>
        <v>NA</v>
      </c>
      <c r="L7013" t="str">
        <f t="shared" si="327"/>
        <v>NA7RB</v>
      </c>
      <c r="M7013">
        <f>COUNTIF(L$1:L7013,L7013)</f>
        <v>67</v>
      </c>
      <c r="N7013" t="str">
        <f t="shared" si="328"/>
        <v>NA7RB-67</v>
      </c>
      <c r="O7013">
        <f>COUNTIFS(F$1:F7013,F7013,A$1:A7013,A7013)</f>
        <v>108</v>
      </c>
      <c r="P7013" t="str">
        <f t="shared" si="329"/>
        <v>Raheem Mostert7</v>
      </c>
    </row>
    <row r="7014" spans="1:16" x14ac:dyDescent="0.25">
      <c r="A7014">
        <v>7</v>
      </c>
      <c r="B7014" t="s">
        <v>1634</v>
      </c>
      <c r="C7014">
        <f>-0.1-0.74</f>
        <v>-0.84</v>
      </c>
      <c r="D7014">
        <v>0.32</v>
      </c>
      <c r="E7014" t="s">
        <v>74</v>
      </c>
      <c r="F7014" t="s">
        <v>87</v>
      </c>
      <c r="G7014">
        <v>0.74</v>
      </c>
      <c r="H7014">
        <v>-0.1</v>
      </c>
      <c r="I7014">
        <v>0.42</v>
      </c>
      <c r="J7014">
        <v>0.1764</v>
      </c>
      <c r="K7014" t="str">
        <f>IFERROR(INDEX(Rosters!$C$2:$C$155,MATCH($B7014,Rosters!$B$2:$B$155,0)),"NA")</f>
        <v>NA</v>
      </c>
      <c r="L7014" t="str">
        <f t="shared" si="327"/>
        <v>NA7WR</v>
      </c>
      <c r="M7014">
        <f>COUNTIF(L$1:L7014,L7014)</f>
        <v>108</v>
      </c>
      <c r="N7014" t="str">
        <f t="shared" si="328"/>
        <v>NA7WR-108</v>
      </c>
      <c r="O7014">
        <f>COUNTIFS(F$1:F7014,F7014,A$1:A7014,A7014)</f>
        <v>153</v>
      </c>
      <c r="P7014" t="str">
        <f t="shared" si="329"/>
        <v>Shelton Gibson7</v>
      </c>
    </row>
    <row r="7015" spans="1:16" x14ac:dyDescent="0.25">
      <c r="A7015">
        <v>13</v>
      </c>
      <c r="B7015" t="s">
        <v>1634</v>
      </c>
      <c r="C7015">
        <f>-0.15-0.79</f>
        <v>-0.94000000000000006</v>
      </c>
      <c r="D7015">
        <v>0.32</v>
      </c>
      <c r="E7015" t="s">
        <v>60</v>
      </c>
      <c r="F7015" t="s">
        <v>87</v>
      </c>
      <c r="G7015">
        <v>0.79</v>
      </c>
      <c r="H7015">
        <v>-0.15</v>
      </c>
      <c r="I7015">
        <v>0.47</v>
      </c>
      <c r="J7015">
        <v>0.22090000000000001</v>
      </c>
      <c r="K7015" t="str">
        <f>IFERROR(INDEX(Rosters!$C$2:$C$155,MATCH($B7015,Rosters!$B$2:$B$155,0)),"NA")</f>
        <v>NA</v>
      </c>
      <c r="L7015" t="str">
        <f t="shared" si="327"/>
        <v>NA13WR</v>
      </c>
      <c r="M7015">
        <f>COUNTIF(L$1:L7015,L7015)</f>
        <v>124</v>
      </c>
      <c r="N7015" t="str">
        <f t="shared" si="328"/>
        <v>NA13WR-124</v>
      </c>
      <c r="O7015">
        <f>COUNTIFS(F$1:F7015,F7015,A$1:A7015,A7015)</f>
        <v>178</v>
      </c>
      <c r="P7015" t="str">
        <f t="shared" si="329"/>
        <v>Shelton Gibson13</v>
      </c>
    </row>
    <row r="7016" spans="1:16" x14ac:dyDescent="0.25">
      <c r="A7016">
        <v>15</v>
      </c>
      <c r="B7016" t="s">
        <v>1634</v>
      </c>
      <c r="C7016">
        <f>-0.15-0.79</f>
        <v>-0.94000000000000006</v>
      </c>
      <c r="D7016">
        <v>0.32</v>
      </c>
      <c r="E7016" t="s">
        <v>56</v>
      </c>
      <c r="F7016" t="s">
        <v>87</v>
      </c>
      <c r="G7016">
        <v>0.79</v>
      </c>
      <c r="H7016">
        <v>-0.15</v>
      </c>
      <c r="I7016">
        <v>0.47</v>
      </c>
      <c r="J7016">
        <v>0.22090000000000001</v>
      </c>
      <c r="K7016" t="str">
        <f>IFERROR(INDEX(Rosters!$C$2:$C$155,MATCH($B7016,Rosters!$B$2:$B$155,0)),"NA")</f>
        <v>NA</v>
      </c>
      <c r="L7016" t="str">
        <f t="shared" si="327"/>
        <v>NA15WR</v>
      </c>
      <c r="M7016">
        <f>COUNTIF(L$1:L7016,L7016)</f>
        <v>124</v>
      </c>
      <c r="N7016" t="str">
        <f t="shared" si="328"/>
        <v>NA15WR-124</v>
      </c>
      <c r="O7016">
        <f>COUNTIFS(F$1:F7016,F7016,A$1:A7016,A7016)</f>
        <v>178</v>
      </c>
      <c r="P7016" t="str">
        <f t="shared" si="329"/>
        <v>Shelton Gibson15</v>
      </c>
    </row>
    <row r="7017" spans="1:16" x14ac:dyDescent="0.25">
      <c r="A7017">
        <v>10</v>
      </c>
      <c r="B7017" t="s">
        <v>222</v>
      </c>
      <c r="C7017" t="s">
        <v>8939</v>
      </c>
      <c r="D7017">
        <v>0.32</v>
      </c>
      <c r="E7017" t="s">
        <v>50</v>
      </c>
      <c r="F7017" t="s">
        <v>87</v>
      </c>
      <c r="G7017">
        <v>0.59</v>
      </c>
      <c r="H7017">
        <v>0.05</v>
      </c>
      <c r="I7017">
        <v>0.27</v>
      </c>
      <c r="J7017">
        <v>7.2900000000000006E-2</v>
      </c>
      <c r="K7017" t="str">
        <f>IFERROR(INDEX(Rosters!$C$2:$C$155,MATCH($B7017,Rosters!$B$2:$B$155,0)),"NA")</f>
        <v>NA</v>
      </c>
      <c r="L7017" t="str">
        <f t="shared" si="327"/>
        <v>NA10WR</v>
      </c>
      <c r="M7017">
        <f>COUNTIF(L$1:L7017,L7017)</f>
        <v>113</v>
      </c>
      <c r="N7017" t="str">
        <f t="shared" si="328"/>
        <v>NA10WR-113</v>
      </c>
      <c r="O7017">
        <f>COUNTIFS(F$1:F7017,F7017,A$1:A7017,A7017)</f>
        <v>158</v>
      </c>
      <c r="P7017" t="str">
        <f t="shared" si="329"/>
        <v>Terrance Williams10</v>
      </c>
    </row>
    <row r="7018" spans="1:16" x14ac:dyDescent="0.25">
      <c r="A7018">
        <v>14</v>
      </c>
      <c r="B7018" t="s">
        <v>222</v>
      </c>
      <c r="C7018" t="s">
        <v>8939</v>
      </c>
      <c r="D7018">
        <v>0.32</v>
      </c>
      <c r="E7018" t="s">
        <v>50</v>
      </c>
      <c r="F7018" t="s">
        <v>87</v>
      </c>
      <c r="G7018">
        <v>0.59</v>
      </c>
      <c r="H7018">
        <v>0.05</v>
      </c>
      <c r="I7018">
        <v>0.27</v>
      </c>
      <c r="J7018">
        <v>7.2900000000000006E-2</v>
      </c>
      <c r="K7018" t="str">
        <f>IFERROR(INDEX(Rosters!$C$2:$C$155,MATCH($B7018,Rosters!$B$2:$B$155,0)),"NA")</f>
        <v>NA</v>
      </c>
      <c r="L7018" t="str">
        <f t="shared" si="327"/>
        <v>NA14WR</v>
      </c>
      <c r="M7018">
        <f>COUNTIF(L$1:L7018,L7018)</f>
        <v>124</v>
      </c>
      <c r="N7018" t="str">
        <f t="shared" si="328"/>
        <v>NA14WR-124</v>
      </c>
      <c r="O7018">
        <f>COUNTIFS(F$1:F7018,F7018,A$1:A7018,A7018)</f>
        <v>178</v>
      </c>
      <c r="P7018" t="str">
        <f t="shared" si="329"/>
        <v>Terrance Williams14</v>
      </c>
    </row>
    <row r="7019" spans="1:16" x14ac:dyDescent="0.25">
      <c r="A7019">
        <v>4</v>
      </c>
      <c r="B7019" t="s">
        <v>283</v>
      </c>
      <c r="C7019">
        <f>-0.08-0.7</f>
        <v>-0.77999999999999992</v>
      </c>
      <c r="D7019">
        <v>0.31</v>
      </c>
      <c r="E7019" t="s">
        <v>19</v>
      </c>
      <c r="F7019" t="s">
        <v>87</v>
      </c>
      <c r="G7019">
        <v>0.7</v>
      </c>
      <c r="H7019">
        <v>-0.08</v>
      </c>
      <c r="I7019">
        <v>0.39</v>
      </c>
      <c r="J7019">
        <v>0.15210000000000001</v>
      </c>
      <c r="K7019" t="str">
        <f>IFERROR(INDEX(Rosters!$C$2:$C$155,MATCH($B7019,Rosters!$B$2:$B$155,0)),"NA")</f>
        <v>NA</v>
      </c>
      <c r="L7019" t="str">
        <f t="shared" si="327"/>
        <v>NA4WR</v>
      </c>
      <c r="M7019">
        <f>COUNTIF(L$1:L7019,L7019)</f>
        <v>96</v>
      </c>
      <c r="N7019" t="str">
        <f t="shared" si="328"/>
        <v>NA4WR-96</v>
      </c>
      <c r="O7019">
        <f>COUNTIFS(F$1:F7019,F7019,A$1:A7019,A7019)</f>
        <v>146</v>
      </c>
      <c r="P7019" t="str">
        <f t="shared" si="329"/>
        <v>Cordarrelle Patterson4</v>
      </c>
    </row>
    <row r="7020" spans="1:16" x14ac:dyDescent="0.25">
      <c r="A7020">
        <v>15</v>
      </c>
      <c r="B7020" t="s">
        <v>2964</v>
      </c>
      <c r="C7020">
        <f>-0.07-0.69</f>
        <v>-0.76</v>
      </c>
      <c r="D7020">
        <v>0.31</v>
      </c>
      <c r="E7020" t="s">
        <v>74</v>
      </c>
      <c r="F7020" t="s">
        <v>47</v>
      </c>
      <c r="G7020">
        <v>0.69</v>
      </c>
      <c r="H7020">
        <v>-7.0000000000000007E-2</v>
      </c>
      <c r="I7020">
        <v>0.38</v>
      </c>
      <c r="J7020">
        <v>0.1444</v>
      </c>
      <c r="K7020" t="str">
        <f>IFERROR(INDEX(Rosters!$C$2:$C$155,MATCH($B7020,Rosters!$B$2:$B$155,0)),"NA")</f>
        <v>NA</v>
      </c>
      <c r="L7020" t="str">
        <f t="shared" si="327"/>
        <v>NA15RB</v>
      </c>
      <c r="M7020">
        <f>COUNTIF(L$1:L7020,L7020)</f>
        <v>81</v>
      </c>
      <c r="N7020" t="str">
        <f t="shared" si="328"/>
        <v>NA15RB-81</v>
      </c>
      <c r="O7020">
        <f>COUNTIFS(F$1:F7020,F7020,A$1:A7020,A7020)</f>
        <v>128</v>
      </c>
      <c r="P7020" t="str">
        <f t="shared" si="329"/>
        <v>Dwayne Washington15</v>
      </c>
    </row>
    <row r="7021" spans="1:16" x14ac:dyDescent="0.25">
      <c r="A7021">
        <v>7</v>
      </c>
      <c r="B7021" t="s">
        <v>241</v>
      </c>
      <c r="C7021">
        <f>-0.12-0.74</f>
        <v>-0.86</v>
      </c>
      <c r="D7021">
        <v>0.31</v>
      </c>
      <c r="E7021" t="s">
        <v>42</v>
      </c>
      <c r="F7021" t="s">
        <v>87</v>
      </c>
      <c r="G7021">
        <v>0.74</v>
      </c>
      <c r="H7021">
        <v>-0.12</v>
      </c>
      <c r="I7021">
        <v>0.43</v>
      </c>
      <c r="J7021">
        <v>0.18490000000000001</v>
      </c>
      <c r="K7021" t="str">
        <f>IFERROR(INDEX(Rosters!$C$2:$C$155,MATCH($B7021,Rosters!$B$2:$B$155,0)),"NA")</f>
        <v>NA</v>
      </c>
      <c r="L7021" t="str">
        <f t="shared" si="327"/>
        <v>NA7WR</v>
      </c>
      <c r="M7021">
        <f>COUNTIF(L$1:L7021,L7021)</f>
        <v>109</v>
      </c>
      <c r="N7021" t="str">
        <f t="shared" si="328"/>
        <v>NA7WR-109</v>
      </c>
      <c r="O7021">
        <f>COUNTIFS(F$1:F7021,F7021,A$1:A7021,A7021)</f>
        <v>154</v>
      </c>
      <c r="P7021" t="str">
        <f t="shared" si="329"/>
        <v>J.J. Nelson7</v>
      </c>
    </row>
    <row r="7022" spans="1:16" x14ac:dyDescent="0.25">
      <c r="A7022">
        <v>2</v>
      </c>
      <c r="B7022" t="s">
        <v>1622</v>
      </c>
      <c r="C7022" t="s">
        <v>1638</v>
      </c>
      <c r="D7022">
        <v>0.31</v>
      </c>
      <c r="E7022" t="s">
        <v>34</v>
      </c>
      <c r="F7022" t="s">
        <v>87</v>
      </c>
      <c r="G7022">
        <v>0.62</v>
      </c>
      <c r="H7022">
        <v>0</v>
      </c>
      <c r="I7022">
        <v>0.31</v>
      </c>
      <c r="J7022">
        <v>9.6100000000000005E-2</v>
      </c>
      <c r="K7022" t="str">
        <f>IFERROR(INDEX(Rosters!$C$2:$C$155,MATCH($B7022,Rosters!$B$2:$B$155,0)),"NA")</f>
        <v>NA</v>
      </c>
      <c r="L7022" t="str">
        <f t="shared" si="327"/>
        <v>NA2WR</v>
      </c>
      <c r="M7022">
        <f>COUNTIF(L$1:L7022,L7022)</f>
        <v>93</v>
      </c>
      <c r="N7022" t="str">
        <f t="shared" si="328"/>
        <v>NA2WR-93</v>
      </c>
      <c r="O7022">
        <f>COUNTIFS(F$1:F7022,F7022,A$1:A7022,A7022)</f>
        <v>142</v>
      </c>
      <c r="P7022" t="str">
        <f t="shared" si="329"/>
        <v>Kendrick Bourne2</v>
      </c>
    </row>
    <row r="7023" spans="1:16" x14ac:dyDescent="0.25">
      <c r="A7023">
        <v>1</v>
      </c>
      <c r="B7023" t="s">
        <v>1636</v>
      </c>
      <c r="C7023">
        <f>-0.06-0.68</f>
        <v>-0.74</v>
      </c>
      <c r="D7023">
        <v>0.31</v>
      </c>
      <c r="E7023" t="s">
        <v>41</v>
      </c>
      <c r="F7023" t="s">
        <v>47</v>
      </c>
      <c r="G7023">
        <v>0.68</v>
      </c>
      <c r="H7023">
        <v>-0.06</v>
      </c>
      <c r="I7023">
        <v>0.37</v>
      </c>
      <c r="J7023">
        <v>0.13689999999999999</v>
      </c>
      <c r="K7023" t="str">
        <f>IFERROR(INDEX(Rosters!$C$2:$C$155,MATCH($B7023,Rosters!$B$2:$B$155,0)),"NA")</f>
        <v>NA</v>
      </c>
      <c r="L7023" t="str">
        <f t="shared" si="327"/>
        <v>NA1RB</v>
      </c>
      <c r="M7023">
        <f>COUNTIF(L$1:L7023,L7023)</f>
        <v>49</v>
      </c>
      <c r="N7023" t="str">
        <f t="shared" si="328"/>
        <v>NA1RB-49</v>
      </c>
      <c r="O7023">
        <f>COUNTIFS(F$1:F7023,F7023,A$1:A7023,A7023)</f>
        <v>92</v>
      </c>
      <c r="P7023" t="str">
        <f t="shared" si="329"/>
        <v>Michael Burton1</v>
      </c>
    </row>
    <row r="7024" spans="1:16" x14ac:dyDescent="0.25">
      <c r="A7024">
        <v>2</v>
      </c>
      <c r="B7024" t="s">
        <v>1148</v>
      </c>
      <c r="C7024">
        <f>-0.02-0.64</f>
        <v>-0.66</v>
      </c>
      <c r="D7024">
        <v>0.31</v>
      </c>
      <c r="E7024" t="s">
        <v>72</v>
      </c>
      <c r="F7024" t="s">
        <v>47</v>
      </c>
      <c r="G7024">
        <v>0.64</v>
      </c>
      <c r="H7024">
        <v>-0.02</v>
      </c>
      <c r="I7024">
        <v>0.33</v>
      </c>
      <c r="J7024">
        <v>0.1089</v>
      </c>
      <c r="K7024" t="str">
        <f>IFERROR(INDEX(Rosters!$C$2:$C$155,MATCH($B7024,Rosters!$B$2:$B$155,0)),"NA")</f>
        <v>NA</v>
      </c>
      <c r="L7024" t="str">
        <f t="shared" si="327"/>
        <v>NA2RB</v>
      </c>
      <c r="M7024">
        <f>COUNTIF(L$1:L7024,L7024)</f>
        <v>55</v>
      </c>
      <c r="N7024" t="str">
        <f t="shared" si="328"/>
        <v>NA2RB-55</v>
      </c>
      <c r="O7024">
        <f>COUNTIFS(F$1:F7024,F7024,A$1:A7024,A7024)</f>
        <v>97</v>
      </c>
      <c r="P7024" t="str">
        <f t="shared" si="329"/>
        <v>Mike Davis2</v>
      </c>
    </row>
    <row r="7025" spans="1:16" x14ac:dyDescent="0.25">
      <c r="A7025">
        <v>2</v>
      </c>
      <c r="B7025" t="s">
        <v>1570</v>
      </c>
      <c r="C7025">
        <f>-0.09-0.71</f>
        <v>-0.79999999999999993</v>
      </c>
      <c r="D7025">
        <v>0.31</v>
      </c>
      <c r="E7025" t="s">
        <v>37</v>
      </c>
      <c r="F7025" t="s">
        <v>15</v>
      </c>
      <c r="G7025">
        <v>0.71</v>
      </c>
      <c r="H7025">
        <v>-0.09</v>
      </c>
      <c r="I7025">
        <v>0.4</v>
      </c>
      <c r="J7025">
        <v>0.16</v>
      </c>
      <c r="K7025" t="str">
        <f>IFERROR(INDEX(Rosters!$C$2:$C$155,MATCH($B7025,Rosters!$B$2:$B$155,0)),"NA")</f>
        <v>NA</v>
      </c>
      <c r="L7025" t="str">
        <f t="shared" si="327"/>
        <v>NA2QB</v>
      </c>
      <c r="M7025">
        <f>COUNTIF(L$1:L7025,L7025)</f>
        <v>35</v>
      </c>
      <c r="N7025" t="str">
        <f t="shared" si="328"/>
        <v>NA2QB-35</v>
      </c>
      <c r="O7025">
        <f>COUNTIFS(F$1:F7025,F7025,A$1:A7025,A7025)</f>
        <v>51</v>
      </c>
      <c r="P7025" t="str">
        <f t="shared" si="329"/>
        <v>Nathan Peterman2</v>
      </c>
    </row>
    <row r="7026" spans="1:16" x14ac:dyDescent="0.25">
      <c r="A7026">
        <v>17</v>
      </c>
      <c r="B7026" t="s">
        <v>379</v>
      </c>
      <c r="C7026">
        <f>-0.08-0.7</f>
        <v>-0.77999999999999992</v>
      </c>
      <c r="D7026">
        <v>0.31</v>
      </c>
      <c r="E7026" t="s">
        <v>56</v>
      </c>
      <c r="F7026" t="s">
        <v>47</v>
      </c>
      <c r="G7026">
        <v>0.7</v>
      </c>
      <c r="H7026">
        <v>-0.08</v>
      </c>
      <c r="I7026">
        <v>0.39</v>
      </c>
      <c r="J7026">
        <v>0.15210000000000001</v>
      </c>
      <c r="K7026" t="str">
        <f>IFERROR(INDEX(Rosters!$C$2:$C$155,MATCH($B7026,Rosters!$B$2:$B$155,0)),"NA")</f>
        <v>NA</v>
      </c>
      <c r="L7026" t="str">
        <f t="shared" si="327"/>
        <v>NA17RB</v>
      </c>
      <c r="M7026">
        <f>COUNTIF(L$1:L7026,L7026)</f>
        <v>83</v>
      </c>
      <c r="N7026" t="str">
        <f t="shared" si="328"/>
        <v>NA17RB-83</v>
      </c>
      <c r="O7026">
        <f>COUNTIFS(F$1:F7026,F7026,A$1:A7026,A7026)</f>
        <v>130</v>
      </c>
      <c r="P7026" t="str">
        <f t="shared" si="329"/>
        <v>Raheem Mostert17</v>
      </c>
    </row>
    <row r="7027" spans="1:16" x14ac:dyDescent="0.25">
      <c r="A7027">
        <v>1</v>
      </c>
      <c r="B7027" t="s">
        <v>1628</v>
      </c>
      <c r="C7027">
        <f>-0.1-0.72</f>
        <v>-0.82</v>
      </c>
      <c r="D7027">
        <v>0.31</v>
      </c>
      <c r="E7027" t="s">
        <v>30</v>
      </c>
      <c r="F7027" t="s">
        <v>87</v>
      </c>
      <c r="G7027">
        <v>0.72</v>
      </c>
      <c r="H7027">
        <v>-0.1</v>
      </c>
      <c r="I7027">
        <v>0.41</v>
      </c>
      <c r="J7027">
        <v>0.1681</v>
      </c>
      <c r="K7027" t="str">
        <f>IFERROR(INDEX(Rosters!$C$2:$C$155,MATCH($B7027,Rosters!$B$2:$B$155,0)),"NA")</f>
        <v>NA</v>
      </c>
      <c r="L7027" t="str">
        <f t="shared" si="327"/>
        <v>NA1WR</v>
      </c>
      <c r="M7027">
        <f>COUNTIF(L$1:L7027,L7027)</f>
        <v>85</v>
      </c>
      <c r="N7027" t="str">
        <f t="shared" si="328"/>
        <v>NA1WR-85</v>
      </c>
      <c r="O7027">
        <f>COUNTIFS(F$1:F7027,F7027,A$1:A7027,A7027)</f>
        <v>134</v>
      </c>
      <c r="P7027" t="str">
        <f t="shared" si="329"/>
        <v>Stacy Coley1</v>
      </c>
    </row>
    <row r="7028" spans="1:16" x14ac:dyDescent="0.25">
      <c r="A7028">
        <v>11</v>
      </c>
      <c r="B7028" t="s">
        <v>272</v>
      </c>
      <c r="C7028">
        <f>-0.07-0.67</f>
        <v>-0.74</v>
      </c>
      <c r="D7028">
        <v>0.3</v>
      </c>
      <c r="E7028" t="s">
        <v>56</v>
      </c>
      <c r="F7028" t="s">
        <v>47</v>
      </c>
      <c r="G7028">
        <v>0.67</v>
      </c>
      <c r="H7028">
        <v>-7.0000000000000007E-2</v>
      </c>
      <c r="I7028">
        <v>0.37</v>
      </c>
      <c r="J7028">
        <v>0.13689999999999999</v>
      </c>
      <c r="K7028" t="str">
        <f>IFERROR(INDEX(Rosters!$C$2:$C$155,MATCH($B7028,Rosters!$B$2:$B$155,0)),"NA")</f>
        <v>NA</v>
      </c>
      <c r="L7028" t="str">
        <f t="shared" si="327"/>
        <v>NA11RB</v>
      </c>
      <c r="M7028">
        <f>COUNTIF(L$1:L7028,L7028)</f>
        <v>69</v>
      </c>
      <c r="N7028" t="str">
        <f t="shared" si="328"/>
        <v>NA11RB-69</v>
      </c>
      <c r="O7028">
        <f>COUNTIFS(F$1:F7028,F7028,A$1:A7028,A7028)</f>
        <v>107</v>
      </c>
      <c r="P7028" t="str">
        <f t="shared" si="329"/>
        <v>Damien Williams11</v>
      </c>
    </row>
    <row r="7029" spans="1:16" x14ac:dyDescent="0.25">
      <c r="A7029">
        <v>15</v>
      </c>
      <c r="B7029" t="s">
        <v>8907</v>
      </c>
      <c r="C7029">
        <f>-0.11-0.71</f>
        <v>-0.82</v>
      </c>
      <c r="D7029">
        <v>0.3</v>
      </c>
      <c r="E7029" t="s">
        <v>25</v>
      </c>
      <c r="F7029" t="s">
        <v>114</v>
      </c>
      <c r="G7029">
        <v>0.71</v>
      </c>
      <c r="H7029">
        <v>-0.11</v>
      </c>
      <c r="I7029">
        <v>0.41</v>
      </c>
      <c r="J7029">
        <v>0.1681</v>
      </c>
      <c r="K7029" t="str">
        <f>IFERROR(INDEX(Rosters!$C$2:$C$155,MATCH($B7029,Rosters!$B$2:$B$155,0)),"NA")</f>
        <v>NA</v>
      </c>
      <c r="L7029" t="str">
        <f t="shared" si="327"/>
        <v>NA15TE</v>
      </c>
      <c r="M7029">
        <f>COUNTIF(L$1:L7029,L7029)</f>
        <v>86</v>
      </c>
      <c r="N7029" t="str">
        <f t="shared" si="328"/>
        <v>NA15TE-86</v>
      </c>
      <c r="O7029">
        <f>COUNTIFS(F$1:F7029,F7029,A$1:A7029,A7029)</f>
        <v>100</v>
      </c>
      <c r="P7029" t="str">
        <f t="shared" si="329"/>
        <v>Durham Smythe15</v>
      </c>
    </row>
    <row r="7030" spans="1:16" x14ac:dyDescent="0.25">
      <c r="A7030">
        <v>7</v>
      </c>
      <c r="B7030" t="s">
        <v>2964</v>
      </c>
      <c r="C7030">
        <f>-0.15-0.75</f>
        <v>-0.9</v>
      </c>
      <c r="D7030">
        <v>0.3</v>
      </c>
      <c r="E7030" t="s">
        <v>77</v>
      </c>
      <c r="F7030" t="s">
        <v>47</v>
      </c>
      <c r="G7030">
        <v>0.75</v>
      </c>
      <c r="H7030">
        <v>-0.15</v>
      </c>
      <c r="I7030">
        <v>0.45</v>
      </c>
      <c r="J7030">
        <v>0.20250000000000001</v>
      </c>
      <c r="K7030" t="str">
        <f>IFERROR(INDEX(Rosters!$C$2:$C$155,MATCH($B7030,Rosters!$B$2:$B$155,0)),"NA")</f>
        <v>NA</v>
      </c>
      <c r="L7030" t="str">
        <f t="shared" si="327"/>
        <v>NA7RB</v>
      </c>
      <c r="M7030">
        <f>COUNTIF(L$1:L7030,L7030)</f>
        <v>68</v>
      </c>
      <c r="N7030" t="str">
        <f t="shared" si="328"/>
        <v>NA7RB-68</v>
      </c>
      <c r="O7030">
        <f>COUNTIFS(F$1:F7030,F7030,A$1:A7030,A7030)</f>
        <v>109</v>
      </c>
      <c r="P7030" t="str">
        <f t="shared" si="329"/>
        <v>Dwayne Washington7</v>
      </c>
    </row>
    <row r="7031" spans="1:16" x14ac:dyDescent="0.25">
      <c r="A7031">
        <v>11</v>
      </c>
      <c r="B7031" t="s">
        <v>2964</v>
      </c>
      <c r="C7031">
        <f>-0.15-0.75</f>
        <v>-0.9</v>
      </c>
      <c r="D7031">
        <v>0.3</v>
      </c>
      <c r="E7031" t="s">
        <v>50</v>
      </c>
      <c r="F7031" t="s">
        <v>47</v>
      </c>
      <c r="G7031">
        <v>0.75</v>
      </c>
      <c r="H7031">
        <v>-0.15</v>
      </c>
      <c r="I7031">
        <v>0.45</v>
      </c>
      <c r="J7031">
        <v>0.20250000000000001</v>
      </c>
      <c r="K7031" t="str">
        <f>IFERROR(INDEX(Rosters!$C$2:$C$155,MATCH($B7031,Rosters!$B$2:$B$155,0)),"NA")</f>
        <v>NA</v>
      </c>
      <c r="L7031" t="str">
        <f t="shared" si="327"/>
        <v>NA11RB</v>
      </c>
      <c r="M7031">
        <f>COUNTIF(L$1:L7031,L7031)</f>
        <v>70</v>
      </c>
      <c r="N7031" t="str">
        <f t="shared" si="328"/>
        <v>NA11RB-70</v>
      </c>
      <c r="O7031">
        <f>COUNTIFS(F$1:F7031,F7031,A$1:A7031,A7031)</f>
        <v>108</v>
      </c>
      <c r="P7031" t="str">
        <f t="shared" si="329"/>
        <v>Dwayne Washington11</v>
      </c>
    </row>
    <row r="7032" spans="1:16" x14ac:dyDescent="0.25">
      <c r="A7032">
        <v>14</v>
      </c>
      <c r="B7032" t="s">
        <v>2848</v>
      </c>
      <c r="C7032">
        <f>-0.01-0.61</f>
        <v>-0.62</v>
      </c>
      <c r="D7032">
        <v>0.3</v>
      </c>
      <c r="E7032" t="s">
        <v>50</v>
      </c>
      <c r="F7032" t="s">
        <v>47</v>
      </c>
      <c r="G7032">
        <v>0.61</v>
      </c>
      <c r="H7032">
        <v>-0.01</v>
      </c>
      <c r="I7032">
        <v>0.31</v>
      </c>
      <c r="J7032">
        <v>9.6100000000000005E-2</v>
      </c>
      <c r="K7032" t="str">
        <f>IFERROR(INDEX(Rosters!$C$2:$C$155,MATCH($B7032,Rosters!$B$2:$B$155,0)),"NA")</f>
        <v>NA</v>
      </c>
      <c r="L7032" t="str">
        <f t="shared" si="327"/>
        <v>NA14RB</v>
      </c>
      <c r="M7032">
        <f>COUNTIF(L$1:L7032,L7032)</f>
        <v>81</v>
      </c>
      <c r="N7032" t="str">
        <f t="shared" si="328"/>
        <v>NA14RB-81</v>
      </c>
      <c r="O7032">
        <f>COUNTIFS(F$1:F7032,F7032,A$1:A7032,A7032)</f>
        <v>128</v>
      </c>
      <c r="P7032" t="str">
        <f t="shared" si="329"/>
        <v>Jamize Olawale14</v>
      </c>
    </row>
    <row r="7033" spans="1:16" x14ac:dyDescent="0.25">
      <c r="A7033">
        <v>2</v>
      </c>
      <c r="B7033" t="s">
        <v>368</v>
      </c>
      <c r="C7033">
        <f>-0.05-0.65</f>
        <v>-0.70000000000000007</v>
      </c>
      <c r="D7033">
        <v>0.3</v>
      </c>
      <c r="E7033" t="s">
        <v>42</v>
      </c>
      <c r="F7033" t="s">
        <v>47</v>
      </c>
      <c r="G7033">
        <v>0.65</v>
      </c>
      <c r="H7033">
        <v>-0.05</v>
      </c>
      <c r="I7033">
        <v>0.35</v>
      </c>
      <c r="J7033">
        <v>0.1225</v>
      </c>
      <c r="K7033" t="str">
        <f>IFERROR(INDEX(Rosters!$C$2:$C$155,MATCH($B7033,Rosters!$B$2:$B$155,0)),"NA")</f>
        <v>NA</v>
      </c>
      <c r="L7033" t="str">
        <f t="shared" si="327"/>
        <v>NA2RB</v>
      </c>
      <c r="M7033">
        <f>COUNTIF(L$1:L7033,L7033)</f>
        <v>56</v>
      </c>
      <c r="N7033" t="str">
        <f t="shared" si="328"/>
        <v>NA2RB-56</v>
      </c>
      <c r="O7033">
        <f>COUNTIFS(F$1:F7033,F7033,A$1:A7033,A7033)</f>
        <v>98</v>
      </c>
      <c r="P7033" t="str">
        <f t="shared" si="329"/>
        <v>Keith Smith2</v>
      </c>
    </row>
    <row r="7034" spans="1:16" x14ac:dyDescent="0.25">
      <c r="A7034">
        <v>3</v>
      </c>
      <c r="B7034" t="s">
        <v>1125</v>
      </c>
      <c r="C7034">
        <f>-0.13-0.73</f>
        <v>-0.86</v>
      </c>
      <c r="D7034">
        <v>0.3</v>
      </c>
      <c r="E7034" t="s">
        <v>14</v>
      </c>
      <c r="F7034" t="s">
        <v>114</v>
      </c>
      <c r="G7034">
        <v>0.73</v>
      </c>
      <c r="H7034">
        <v>-0.13</v>
      </c>
      <c r="I7034">
        <v>0.43</v>
      </c>
      <c r="J7034">
        <v>0.18490000000000001</v>
      </c>
      <c r="K7034" t="str">
        <f>IFERROR(INDEX(Rosters!$C$2:$C$155,MATCH($B7034,Rosters!$B$2:$B$155,0)),"NA")</f>
        <v>NA</v>
      </c>
      <c r="L7034" t="str">
        <f t="shared" si="327"/>
        <v>NA3TE</v>
      </c>
      <c r="M7034">
        <f>COUNTIF(L$1:L7034,L7034)</f>
        <v>73</v>
      </c>
      <c r="N7034" t="str">
        <f t="shared" si="328"/>
        <v>NA3TE-73</v>
      </c>
      <c r="O7034">
        <f>COUNTIFS(F$1:F7034,F7034,A$1:A7034,A7034)</f>
        <v>86</v>
      </c>
      <c r="P7034" t="str">
        <f t="shared" si="329"/>
        <v>Logan Paulsen3</v>
      </c>
    </row>
    <row r="7035" spans="1:16" x14ac:dyDescent="0.25">
      <c r="A7035">
        <v>2</v>
      </c>
      <c r="B7035" t="s">
        <v>1634</v>
      </c>
      <c r="C7035">
        <f>-0.07-0.67</f>
        <v>-0.74</v>
      </c>
      <c r="D7035">
        <v>0.3</v>
      </c>
      <c r="E7035" t="s">
        <v>17</v>
      </c>
      <c r="F7035" t="s">
        <v>87</v>
      </c>
      <c r="G7035">
        <v>0.67</v>
      </c>
      <c r="H7035">
        <v>-7.0000000000000007E-2</v>
      </c>
      <c r="I7035">
        <v>0.37</v>
      </c>
      <c r="J7035">
        <v>0.13689999999999999</v>
      </c>
      <c r="K7035" t="str">
        <f>IFERROR(INDEX(Rosters!$C$2:$C$155,MATCH($B7035,Rosters!$B$2:$B$155,0)),"NA")</f>
        <v>NA</v>
      </c>
      <c r="L7035" t="str">
        <f t="shared" si="327"/>
        <v>NA2WR</v>
      </c>
      <c r="M7035">
        <f>COUNTIF(L$1:L7035,L7035)</f>
        <v>94</v>
      </c>
      <c r="N7035" t="str">
        <f t="shared" si="328"/>
        <v>NA2WR-94</v>
      </c>
      <c r="O7035">
        <f>COUNTIFS(F$1:F7035,F7035,A$1:A7035,A7035)</f>
        <v>143</v>
      </c>
      <c r="P7035" t="str">
        <f t="shared" si="329"/>
        <v>Shelton Gibson2</v>
      </c>
    </row>
    <row r="7036" spans="1:16" x14ac:dyDescent="0.25">
      <c r="A7036">
        <v>17</v>
      </c>
      <c r="B7036" t="s">
        <v>1634</v>
      </c>
      <c r="C7036">
        <f>-0.17-0.77</f>
        <v>-0.94000000000000006</v>
      </c>
      <c r="D7036">
        <v>0.3</v>
      </c>
      <c r="E7036" t="s">
        <v>60</v>
      </c>
      <c r="F7036" t="s">
        <v>87</v>
      </c>
      <c r="G7036">
        <v>0.77</v>
      </c>
      <c r="H7036">
        <v>-0.17</v>
      </c>
      <c r="I7036">
        <v>0.47</v>
      </c>
      <c r="J7036">
        <v>0.22090000000000001</v>
      </c>
      <c r="K7036" t="str">
        <f>IFERROR(INDEX(Rosters!$C$2:$C$155,MATCH($B7036,Rosters!$B$2:$B$155,0)),"NA")</f>
        <v>NA</v>
      </c>
      <c r="L7036" t="str">
        <f t="shared" si="327"/>
        <v>NA17WR</v>
      </c>
      <c r="M7036">
        <f>COUNTIF(L$1:L7036,L7036)</f>
        <v>127</v>
      </c>
      <c r="N7036" t="str">
        <f t="shared" si="328"/>
        <v>NA17WR-127</v>
      </c>
      <c r="O7036">
        <f>COUNTIFS(F$1:F7036,F7036,A$1:A7036,A7036)</f>
        <v>181</v>
      </c>
      <c r="P7036" t="str">
        <f t="shared" si="329"/>
        <v>Shelton Gibson17</v>
      </c>
    </row>
    <row r="7037" spans="1:16" x14ac:dyDescent="0.25">
      <c r="A7037">
        <v>9</v>
      </c>
      <c r="B7037" t="s">
        <v>222</v>
      </c>
      <c r="C7037">
        <f>-0.02-0.62</f>
        <v>-0.64</v>
      </c>
      <c r="D7037">
        <v>0.3</v>
      </c>
      <c r="E7037" t="s">
        <v>38</v>
      </c>
      <c r="F7037" t="s">
        <v>87</v>
      </c>
      <c r="G7037">
        <v>0.62</v>
      </c>
      <c r="H7037">
        <v>-0.02</v>
      </c>
      <c r="I7037">
        <v>0.32</v>
      </c>
      <c r="J7037">
        <v>0.1024</v>
      </c>
      <c r="K7037" t="str">
        <f>IFERROR(INDEX(Rosters!$C$2:$C$155,MATCH($B7037,Rosters!$B$2:$B$155,0)),"NA")</f>
        <v>NA</v>
      </c>
      <c r="L7037" t="str">
        <f t="shared" si="327"/>
        <v>NA9WR</v>
      </c>
      <c r="M7037">
        <f>COUNTIF(L$1:L7037,L7037)</f>
        <v>101</v>
      </c>
      <c r="N7037" t="str">
        <f t="shared" si="328"/>
        <v>NA9WR-101</v>
      </c>
      <c r="O7037">
        <f>COUNTIFS(F$1:F7037,F7037,A$1:A7037,A7037)</f>
        <v>145</v>
      </c>
      <c r="P7037" t="str">
        <f t="shared" si="329"/>
        <v>Terrance Williams9</v>
      </c>
    </row>
    <row r="7038" spans="1:16" x14ac:dyDescent="0.25">
      <c r="A7038">
        <v>4</v>
      </c>
      <c r="B7038" t="s">
        <v>1600</v>
      </c>
      <c r="C7038">
        <f>-0.04-0.64</f>
        <v>-0.68</v>
      </c>
      <c r="D7038">
        <v>0.3</v>
      </c>
      <c r="E7038" t="s">
        <v>73</v>
      </c>
      <c r="F7038" t="s">
        <v>47</v>
      </c>
      <c r="G7038">
        <v>0.64</v>
      </c>
      <c r="H7038">
        <v>-0.04</v>
      </c>
      <c r="I7038">
        <v>0.34</v>
      </c>
      <c r="J7038">
        <v>0.11559999999999999</v>
      </c>
      <c r="K7038" t="str">
        <f>IFERROR(INDEX(Rosters!$C$2:$C$155,MATCH($B7038,Rosters!$B$2:$B$155,0)),"NA")</f>
        <v>NA</v>
      </c>
      <c r="L7038" t="str">
        <f t="shared" si="327"/>
        <v>NA4RB</v>
      </c>
      <c r="M7038">
        <f>COUNTIF(L$1:L7038,L7038)</f>
        <v>60</v>
      </c>
      <c r="N7038" t="str">
        <f t="shared" si="328"/>
        <v>NA4RB-60</v>
      </c>
      <c r="O7038">
        <f>COUNTIFS(F$1:F7038,F7038,A$1:A7038,A7038)</f>
        <v>99</v>
      </c>
      <c r="P7038" t="str">
        <f t="shared" si="329"/>
        <v>Tommy Bohanon4</v>
      </c>
    </row>
    <row r="7039" spans="1:16" x14ac:dyDescent="0.25">
      <c r="A7039">
        <v>1</v>
      </c>
      <c r="B7039" t="s">
        <v>357</v>
      </c>
      <c r="C7039">
        <f>-0.1-0.68</f>
        <v>-0.78</v>
      </c>
      <c r="D7039">
        <v>0.28999999999999998</v>
      </c>
      <c r="E7039" t="s">
        <v>29</v>
      </c>
      <c r="F7039" t="s">
        <v>87</v>
      </c>
      <c r="G7039">
        <v>0.68</v>
      </c>
      <c r="H7039">
        <v>-0.1</v>
      </c>
      <c r="I7039">
        <v>0.39</v>
      </c>
      <c r="J7039">
        <v>0.15210000000000001</v>
      </c>
      <c r="K7039" t="str">
        <f>IFERROR(INDEX(Rosters!$C$2:$C$155,MATCH($B7039,Rosters!$B$2:$B$155,0)),"NA")</f>
        <v>NA</v>
      </c>
      <c r="L7039" t="str">
        <f t="shared" si="327"/>
        <v>NA1WR</v>
      </c>
      <c r="M7039">
        <f>COUNTIF(L$1:L7039,L7039)</f>
        <v>86</v>
      </c>
      <c r="N7039" t="str">
        <f t="shared" si="328"/>
        <v>NA1WR-86</v>
      </c>
      <c r="O7039">
        <f>COUNTIFS(F$1:F7039,F7039,A$1:A7039,A7039)</f>
        <v>135</v>
      </c>
      <c r="P7039" t="str">
        <f t="shared" si="329"/>
        <v>Chris Moore1</v>
      </c>
    </row>
    <row r="7040" spans="1:16" x14ac:dyDescent="0.25">
      <c r="A7040">
        <v>7</v>
      </c>
      <c r="B7040" t="s">
        <v>272</v>
      </c>
      <c r="C7040">
        <f>-0.07-0.65</f>
        <v>-0.72</v>
      </c>
      <c r="D7040">
        <v>0.28999999999999998</v>
      </c>
      <c r="E7040" t="s">
        <v>31</v>
      </c>
      <c r="F7040" t="s">
        <v>47</v>
      </c>
      <c r="G7040">
        <v>0.65</v>
      </c>
      <c r="H7040">
        <v>-7.0000000000000007E-2</v>
      </c>
      <c r="I7040">
        <v>0.36</v>
      </c>
      <c r="J7040">
        <v>0.12959999999999999</v>
      </c>
      <c r="K7040" t="str">
        <f>IFERROR(INDEX(Rosters!$C$2:$C$155,MATCH($B7040,Rosters!$B$2:$B$155,0)),"NA")</f>
        <v>NA</v>
      </c>
      <c r="L7040" t="str">
        <f t="shared" si="327"/>
        <v>NA7RB</v>
      </c>
      <c r="M7040">
        <f>COUNTIF(L$1:L7040,L7040)</f>
        <v>69</v>
      </c>
      <c r="N7040" t="str">
        <f t="shared" si="328"/>
        <v>NA7RB-69</v>
      </c>
      <c r="O7040">
        <f>COUNTIFS(F$1:F7040,F7040,A$1:A7040,A7040)</f>
        <v>110</v>
      </c>
      <c r="P7040" t="str">
        <f t="shared" si="329"/>
        <v>Damien Williams7</v>
      </c>
    </row>
    <row r="7041" spans="1:16" x14ac:dyDescent="0.25">
      <c r="A7041">
        <v>14</v>
      </c>
      <c r="B7041" t="s">
        <v>272</v>
      </c>
      <c r="C7041">
        <f>-0.05-0.63</f>
        <v>-0.68</v>
      </c>
      <c r="D7041">
        <v>0.28999999999999998</v>
      </c>
      <c r="E7041" t="s">
        <v>77</v>
      </c>
      <c r="F7041" t="s">
        <v>47</v>
      </c>
      <c r="G7041">
        <v>0.63</v>
      </c>
      <c r="H7041">
        <v>-0.05</v>
      </c>
      <c r="I7041">
        <v>0.34</v>
      </c>
      <c r="J7041">
        <v>0.11559999999999999</v>
      </c>
      <c r="K7041" t="str">
        <f>IFERROR(INDEX(Rosters!$C$2:$C$155,MATCH($B7041,Rosters!$B$2:$B$155,0)),"NA")</f>
        <v>NA</v>
      </c>
      <c r="L7041" t="str">
        <f t="shared" si="327"/>
        <v>NA14RB</v>
      </c>
      <c r="M7041">
        <f>COUNTIF(L$1:L7041,L7041)</f>
        <v>82</v>
      </c>
      <c r="N7041" t="str">
        <f t="shared" si="328"/>
        <v>NA14RB-82</v>
      </c>
      <c r="O7041">
        <f>COUNTIFS(F$1:F7041,F7041,A$1:A7041,A7041)</f>
        <v>129</v>
      </c>
      <c r="P7041" t="str">
        <f t="shared" si="329"/>
        <v>Damien Williams14</v>
      </c>
    </row>
    <row r="7042" spans="1:16" x14ac:dyDescent="0.25">
      <c r="A7042">
        <v>13</v>
      </c>
      <c r="B7042" t="s">
        <v>2964</v>
      </c>
      <c r="C7042">
        <f>-0.09-0.67</f>
        <v>-0.76</v>
      </c>
      <c r="D7042">
        <v>0.28999999999999998</v>
      </c>
      <c r="E7042" t="s">
        <v>22</v>
      </c>
      <c r="F7042" t="s">
        <v>47</v>
      </c>
      <c r="G7042">
        <v>0.67</v>
      </c>
      <c r="H7042">
        <v>-0.09</v>
      </c>
      <c r="I7042">
        <v>0.38</v>
      </c>
      <c r="J7042">
        <v>0.1444</v>
      </c>
      <c r="K7042" t="str">
        <f>IFERROR(INDEX(Rosters!$C$2:$C$155,MATCH($B7042,Rosters!$B$2:$B$155,0)),"NA")</f>
        <v>NA</v>
      </c>
      <c r="L7042" t="str">
        <f t="shared" si="327"/>
        <v>NA13RB</v>
      </c>
      <c r="M7042">
        <f>COUNTIF(L$1:L7042,L7042)</f>
        <v>82</v>
      </c>
      <c r="N7042" t="str">
        <f t="shared" si="328"/>
        <v>NA13RB-82</v>
      </c>
      <c r="O7042">
        <f>COUNTIFS(F$1:F7042,F7042,A$1:A7042,A7042)</f>
        <v>129</v>
      </c>
      <c r="P7042" t="str">
        <f t="shared" si="329"/>
        <v>Dwayne Washington13</v>
      </c>
    </row>
    <row r="7043" spans="1:16" x14ac:dyDescent="0.25">
      <c r="A7043">
        <v>1</v>
      </c>
      <c r="B7043" t="s">
        <v>1109</v>
      </c>
      <c r="C7043">
        <f>-0.11-0.69</f>
        <v>-0.79999999999999993</v>
      </c>
      <c r="D7043">
        <v>0.28999999999999998</v>
      </c>
      <c r="E7043" t="s">
        <v>24</v>
      </c>
      <c r="F7043" t="s">
        <v>15</v>
      </c>
      <c r="G7043">
        <v>0.69</v>
      </c>
      <c r="H7043">
        <v>-0.11</v>
      </c>
      <c r="I7043">
        <v>0.4</v>
      </c>
      <c r="J7043">
        <v>0.16</v>
      </c>
      <c r="K7043" t="str">
        <f>IFERROR(INDEX(Rosters!$C$2:$C$155,MATCH($B7043,Rosters!$B$2:$B$155,0)),"NA")</f>
        <v>NA</v>
      </c>
      <c r="L7043" t="str">
        <f t="shared" ref="L7043:L7106" si="330">K7043&amp;A7043&amp;F7043</f>
        <v>NA1QB</v>
      </c>
      <c r="M7043">
        <f>COUNTIF(L$1:L7043,L7043)</f>
        <v>37</v>
      </c>
      <c r="N7043" t="str">
        <f t="shared" ref="N7043:N7106" si="331">L7043&amp;"-"&amp;M7043</f>
        <v>NA1QB-37</v>
      </c>
      <c r="O7043">
        <f>COUNTIFS(F$1:F7043,F7043,A$1:A7043,A7043)</f>
        <v>53</v>
      </c>
      <c r="P7043" t="str">
        <f t="shared" ref="P7043:P7106" si="332">B7043&amp;A7043</f>
        <v>Geno Smith1</v>
      </c>
    </row>
    <row r="7044" spans="1:16" x14ac:dyDescent="0.25">
      <c r="A7044">
        <v>6</v>
      </c>
      <c r="B7044" t="s">
        <v>241</v>
      </c>
      <c r="C7044">
        <f>-0.13-0.71</f>
        <v>-0.84</v>
      </c>
      <c r="D7044">
        <v>0.28999999999999998</v>
      </c>
      <c r="E7044" t="s">
        <v>25</v>
      </c>
      <c r="F7044" t="s">
        <v>87</v>
      </c>
      <c r="G7044">
        <v>0.71</v>
      </c>
      <c r="H7044">
        <v>-0.13</v>
      </c>
      <c r="I7044">
        <v>0.42</v>
      </c>
      <c r="J7044">
        <v>0.1764</v>
      </c>
      <c r="K7044" t="str">
        <f>IFERROR(INDEX(Rosters!$C$2:$C$155,MATCH($B7044,Rosters!$B$2:$B$155,0)),"NA")</f>
        <v>NA</v>
      </c>
      <c r="L7044" t="str">
        <f t="shared" si="330"/>
        <v>NA6WR</v>
      </c>
      <c r="M7044">
        <f>COUNTIF(L$1:L7044,L7044)</f>
        <v>115</v>
      </c>
      <c r="N7044" t="str">
        <f t="shared" si="331"/>
        <v>NA6WR-115</v>
      </c>
      <c r="O7044">
        <f>COUNTIFS(F$1:F7044,F7044,A$1:A7044,A7044)</f>
        <v>165</v>
      </c>
      <c r="P7044" t="str">
        <f t="shared" si="332"/>
        <v>J.J. Nelson6</v>
      </c>
    </row>
    <row r="7045" spans="1:16" x14ac:dyDescent="0.25">
      <c r="A7045">
        <v>15</v>
      </c>
      <c r="B7045" t="s">
        <v>241</v>
      </c>
      <c r="C7045">
        <f>-0.06-0.64</f>
        <v>-0.7</v>
      </c>
      <c r="D7045">
        <v>0.28999999999999998</v>
      </c>
      <c r="E7045" t="s">
        <v>46</v>
      </c>
      <c r="F7045" t="s">
        <v>87</v>
      </c>
      <c r="G7045">
        <v>0.64</v>
      </c>
      <c r="H7045">
        <v>-0.06</v>
      </c>
      <c r="I7045">
        <v>0.35</v>
      </c>
      <c r="J7045">
        <v>0.1225</v>
      </c>
      <c r="K7045" t="str">
        <f>IFERROR(INDEX(Rosters!$C$2:$C$155,MATCH($B7045,Rosters!$B$2:$B$155,0)),"NA")</f>
        <v>NA</v>
      </c>
      <c r="L7045" t="str">
        <f t="shared" si="330"/>
        <v>NA15WR</v>
      </c>
      <c r="M7045">
        <f>COUNTIF(L$1:L7045,L7045)</f>
        <v>125</v>
      </c>
      <c r="N7045" t="str">
        <f t="shared" si="331"/>
        <v>NA15WR-125</v>
      </c>
      <c r="O7045">
        <f>COUNTIFS(F$1:F7045,F7045,A$1:A7045,A7045)</f>
        <v>179</v>
      </c>
      <c r="P7045" t="str">
        <f t="shared" si="332"/>
        <v>J.J. Nelson15</v>
      </c>
    </row>
    <row r="7046" spans="1:16" x14ac:dyDescent="0.25">
      <c r="A7046">
        <v>6</v>
      </c>
      <c r="B7046" t="s">
        <v>2848</v>
      </c>
      <c r="C7046">
        <f>-0.03-0.61</f>
        <v>-0.64</v>
      </c>
      <c r="D7046">
        <v>0.28999999999999998</v>
      </c>
      <c r="E7046" t="s">
        <v>76</v>
      </c>
      <c r="F7046" t="s">
        <v>47</v>
      </c>
      <c r="G7046">
        <v>0.61</v>
      </c>
      <c r="H7046">
        <v>-0.03</v>
      </c>
      <c r="I7046">
        <v>0.32</v>
      </c>
      <c r="J7046">
        <v>0.1024</v>
      </c>
      <c r="K7046" t="str">
        <f>IFERROR(INDEX(Rosters!$C$2:$C$155,MATCH($B7046,Rosters!$B$2:$B$155,0)),"NA")</f>
        <v>NA</v>
      </c>
      <c r="L7046" t="str">
        <f t="shared" si="330"/>
        <v>NA6RB</v>
      </c>
      <c r="M7046">
        <f>COUNTIF(L$1:L7046,L7046)</f>
        <v>71</v>
      </c>
      <c r="N7046" t="str">
        <f t="shared" si="331"/>
        <v>NA6RB-71</v>
      </c>
      <c r="O7046">
        <f>COUNTIFS(F$1:F7046,F7046,A$1:A7046,A7046)</f>
        <v>113</v>
      </c>
      <c r="P7046" t="str">
        <f t="shared" si="332"/>
        <v>Jamize Olawale6</v>
      </c>
    </row>
    <row r="7047" spans="1:16" x14ac:dyDescent="0.25">
      <c r="A7047">
        <v>12</v>
      </c>
      <c r="B7047" t="s">
        <v>1634</v>
      </c>
      <c r="C7047">
        <f>-0.14-0.72</f>
        <v>-0.86</v>
      </c>
      <c r="D7047">
        <v>0.28999999999999998</v>
      </c>
      <c r="E7047" t="s">
        <v>54</v>
      </c>
      <c r="F7047" t="s">
        <v>87</v>
      </c>
      <c r="G7047">
        <v>0.72</v>
      </c>
      <c r="H7047">
        <v>-0.14000000000000001</v>
      </c>
      <c r="I7047">
        <v>0.43</v>
      </c>
      <c r="J7047">
        <v>0.18490000000000001</v>
      </c>
      <c r="K7047" t="str">
        <f>IFERROR(INDEX(Rosters!$C$2:$C$155,MATCH($B7047,Rosters!$B$2:$B$155,0)),"NA")</f>
        <v>NA</v>
      </c>
      <c r="L7047" t="str">
        <f t="shared" si="330"/>
        <v>NA12WR</v>
      </c>
      <c r="M7047">
        <f>COUNTIF(L$1:L7047,L7047)</f>
        <v>117</v>
      </c>
      <c r="N7047" t="str">
        <f t="shared" si="331"/>
        <v>NA12WR-117</v>
      </c>
      <c r="O7047">
        <f>COUNTIFS(F$1:F7047,F7047,A$1:A7047,A7047)</f>
        <v>166</v>
      </c>
      <c r="P7047" t="str">
        <f t="shared" si="332"/>
        <v>Shelton Gibson12</v>
      </c>
    </row>
    <row r="7048" spans="1:16" x14ac:dyDescent="0.25">
      <c r="A7048">
        <v>16</v>
      </c>
      <c r="B7048" t="s">
        <v>1634</v>
      </c>
      <c r="C7048">
        <f>-0.13-0.71</f>
        <v>-0.84</v>
      </c>
      <c r="D7048">
        <v>0.28999999999999998</v>
      </c>
      <c r="E7048" t="s">
        <v>36</v>
      </c>
      <c r="F7048" t="s">
        <v>87</v>
      </c>
      <c r="G7048">
        <v>0.71</v>
      </c>
      <c r="H7048">
        <v>-0.13</v>
      </c>
      <c r="I7048">
        <v>0.42</v>
      </c>
      <c r="J7048">
        <v>0.1764</v>
      </c>
      <c r="K7048" t="str">
        <f>IFERROR(INDEX(Rosters!$C$2:$C$155,MATCH($B7048,Rosters!$B$2:$B$155,0)),"NA")</f>
        <v>NA</v>
      </c>
      <c r="L7048" t="str">
        <f t="shared" si="330"/>
        <v>NA16WR</v>
      </c>
      <c r="M7048">
        <f>COUNTIF(L$1:L7048,L7048)</f>
        <v>125</v>
      </c>
      <c r="N7048" t="str">
        <f t="shared" si="331"/>
        <v>NA16WR-125</v>
      </c>
      <c r="O7048">
        <f>COUNTIFS(F$1:F7048,F7048,A$1:A7048,A7048)</f>
        <v>179</v>
      </c>
      <c r="P7048" t="str">
        <f t="shared" si="332"/>
        <v>Shelton Gibson16</v>
      </c>
    </row>
    <row r="7049" spans="1:16" x14ac:dyDescent="0.25">
      <c r="A7049">
        <v>2</v>
      </c>
      <c r="B7049" t="s">
        <v>1640</v>
      </c>
      <c r="C7049" t="s">
        <v>1639</v>
      </c>
      <c r="D7049">
        <v>0.28999999999999998</v>
      </c>
      <c r="E7049" t="s">
        <v>37</v>
      </c>
      <c r="F7049" t="s">
        <v>47</v>
      </c>
      <c r="G7049">
        <v>0.57999999999999996</v>
      </c>
      <c r="H7049">
        <v>0</v>
      </c>
      <c r="I7049">
        <v>0.28999999999999998</v>
      </c>
      <c r="J7049">
        <v>8.4099999999999994E-2</v>
      </c>
      <c r="K7049" t="str">
        <f>IFERROR(INDEX(Rosters!$C$2:$C$155,MATCH($B7049,Rosters!$B$2:$B$155,0)),"NA")</f>
        <v>NA</v>
      </c>
      <c r="L7049" t="str">
        <f t="shared" si="330"/>
        <v>NA2RB</v>
      </c>
      <c r="M7049">
        <f>COUNTIF(L$1:L7049,L7049)</f>
        <v>57</v>
      </c>
      <c r="N7049" t="str">
        <f t="shared" si="331"/>
        <v>NA2RB-57</v>
      </c>
      <c r="O7049">
        <f>COUNTIFS(F$1:F7049,F7049,A$1:A7049,A7049)</f>
        <v>99</v>
      </c>
      <c r="P7049" t="str">
        <f t="shared" si="332"/>
        <v>Taiwan Jones2</v>
      </c>
    </row>
    <row r="7050" spans="1:16" x14ac:dyDescent="0.25">
      <c r="A7050">
        <v>11</v>
      </c>
      <c r="B7050" t="s">
        <v>222</v>
      </c>
      <c r="C7050">
        <f>-0.01-0.59</f>
        <v>-0.6</v>
      </c>
      <c r="D7050">
        <v>0.28999999999999998</v>
      </c>
      <c r="E7050" t="s">
        <v>46</v>
      </c>
      <c r="F7050" t="s">
        <v>87</v>
      </c>
      <c r="G7050">
        <v>0.59</v>
      </c>
      <c r="H7050">
        <v>-0.01</v>
      </c>
      <c r="I7050">
        <v>0.3</v>
      </c>
      <c r="J7050">
        <v>0.09</v>
      </c>
      <c r="K7050" t="str">
        <f>IFERROR(INDEX(Rosters!$C$2:$C$155,MATCH($B7050,Rosters!$B$2:$B$155,0)),"NA")</f>
        <v>NA</v>
      </c>
      <c r="L7050" t="str">
        <f t="shared" si="330"/>
        <v>NA11WR</v>
      </c>
      <c r="M7050">
        <f>COUNTIF(L$1:L7050,L7050)</f>
        <v>98</v>
      </c>
      <c r="N7050" t="str">
        <f t="shared" si="331"/>
        <v>NA11WR-98</v>
      </c>
      <c r="O7050">
        <f>COUNTIFS(F$1:F7050,F7050,A$1:A7050,A7050)</f>
        <v>145</v>
      </c>
      <c r="P7050" t="str">
        <f t="shared" si="332"/>
        <v>Terrance Williams11</v>
      </c>
    </row>
    <row r="7051" spans="1:16" x14ac:dyDescent="0.25">
      <c r="A7051">
        <v>5</v>
      </c>
      <c r="B7051" t="s">
        <v>372</v>
      </c>
      <c r="C7051">
        <f>-0.09-0.67</f>
        <v>-0.76</v>
      </c>
      <c r="D7051">
        <v>0.28999999999999998</v>
      </c>
      <c r="E7051" t="s">
        <v>46</v>
      </c>
      <c r="F7051" t="s">
        <v>114</v>
      </c>
      <c r="G7051">
        <v>0.67</v>
      </c>
      <c r="H7051">
        <v>-0.09</v>
      </c>
      <c r="I7051">
        <v>0.38</v>
      </c>
      <c r="J7051">
        <v>0.1444</v>
      </c>
      <c r="K7051" t="str">
        <f>IFERROR(INDEX(Rosters!$C$2:$C$155,MATCH($B7051,Rosters!$B$2:$B$155,0)),"NA")</f>
        <v>NA</v>
      </c>
      <c r="L7051" t="str">
        <f t="shared" si="330"/>
        <v>NA5TE</v>
      </c>
      <c r="M7051">
        <f>COUNTIF(L$1:L7051,L7051)</f>
        <v>76</v>
      </c>
      <c r="N7051" t="str">
        <f t="shared" si="331"/>
        <v>NA5TE-76</v>
      </c>
      <c r="O7051">
        <f>COUNTIFS(F$1:F7051,F7051,A$1:A7051,A7051)</f>
        <v>87</v>
      </c>
      <c r="P7051" t="str">
        <f t="shared" si="332"/>
        <v>Xavier Grimble5</v>
      </c>
    </row>
    <row r="7052" spans="1:16" x14ac:dyDescent="0.25">
      <c r="A7052">
        <v>14</v>
      </c>
      <c r="B7052" t="s">
        <v>372</v>
      </c>
      <c r="C7052">
        <f>-0.12-0.7</f>
        <v>-0.82</v>
      </c>
      <c r="D7052">
        <v>0.28999999999999998</v>
      </c>
      <c r="E7052" t="s">
        <v>32</v>
      </c>
      <c r="F7052" t="s">
        <v>114</v>
      </c>
      <c r="G7052">
        <v>0.7</v>
      </c>
      <c r="H7052">
        <v>-0.12</v>
      </c>
      <c r="I7052">
        <v>0.41</v>
      </c>
      <c r="J7052">
        <v>0.1681</v>
      </c>
      <c r="K7052" t="str">
        <f>IFERROR(INDEX(Rosters!$C$2:$C$155,MATCH($B7052,Rosters!$B$2:$B$155,0)),"NA")</f>
        <v>NA</v>
      </c>
      <c r="L7052" t="str">
        <f t="shared" si="330"/>
        <v>NA14TE</v>
      </c>
      <c r="M7052">
        <f>COUNTIF(L$1:L7052,L7052)</f>
        <v>87</v>
      </c>
      <c r="N7052" t="str">
        <f t="shared" si="331"/>
        <v>NA14TE-87</v>
      </c>
      <c r="O7052">
        <f>COUNTIFS(F$1:F7052,F7052,A$1:A7052,A7052)</f>
        <v>101</v>
      </c>
      <c r="P7052" t="str">
        <f t="shared" si="332"/>
        <v>Xavier Grimble14</v>
      </c>
    </row>
    <row r="7053" spans="1:16" x14ac:dyDescent="0.25">
      <c r="A7053">
        <v>8</v>
      </c>
      <c r="B7053" t="s">
        <v>272</v>
      </c>
      <c r="C7053">
        <f>-0.06-0.62</f>
        <v>-0.67999999999999994</v>
      </c>
      <c r="D7053">
        <v>0.28000000000000003</v>
      </c>
      <c r="E7053" t="s">
        <v>42</v>
      </c>
      <c r="F7053" t="s">
        <v>47</v>
      </c>
      <c r="G7053">
        <v>0.62</v>
      </c>
      <c r="H7053">
        <v>-0.06</v>
      </c>
      <c r="I7053">
        <v>0.34</v>
      </c>
      <c r="J7053">
        <v>0.11559999999999999</v>
      </c>
      <c r="K7053" t="str">
        <f>IFERROR(INDEX(Rosters!$C$2:$C$155,MATCH($B7053,Rosters!$B$2:$B$155,0)),"NA")</f>
        <v>NA</v>
      </c>
      <c r="L7053" t="str">
        <f t="shared" si="330"/>
        <v>NA8RB</v>
      </c>
      <c r="M7053">
        <f>COUNTIF(L$1:L7053,L7053)</f>
        <v>74</v>
      </c>
      <c r="N7053" t="str">
        <f t="shared" si="331"/>
        <v>NA8RB-74</v>
      </c>
      <c r="O7053">
        <f>COUNTIFS(F$1:F7053,F7053,A$1:A7053,A7053)</f>
        <v>114</v>
      </c>
      <c r="P7053" t="str">
        <f t="shared" si="332"/>
        <v>Damien Williams8</v>
      </c>
    </row>
    <row r="7054" spans="1:16" x14ac:dyDescent="0.25">
      <c r="A7054">
        <v>10</v>
      </c>
      <c r="B7054" t="s">
        <v>272</v>
      </c>
      <c r="C7054">
        <f>-0.07-0.63</f>
        <v>-0.7</v>
      </c>
      <c r="D7054">
        <v>0.28000000000000003</v>
      </c>
      <c r="E7054" t="s">
        <v>58</v>
      </c>
      <c r="F7054" t="s">
        <v>47</v>
      </c>
      <c r="G7054">
        <v>0.63</v>
      </c>
      <c r="H7054">
        <v>-7.0000000000000007E-2</v>
      </c>
      <c r="I7054">
        <v>0.35</v>
      </c>
      <c r="J7054">
        <v>0.1225</v>
      </c>
      <c r="K7054" t="str">
        <f>IFERROR(INDEX(Rosters!$C$2:$C$155,MATCH($B7054,Rosters!$B$2:$B$155,0)),"NA")</f>
        <v>NA</v>
      </c>
      <c r="L7054" t="str">
        <f t="shared" si="330"/>
        <v>NA10RB</v>
      </c>
      <c r="M7054">
        <f>COUNTIF(L$1:L7054,L7054)</f>
        <v>70</v>
      </c>
      <c r="N7054" t="str">
        <f t="shared" si="331"/>
        <v>NA10RB-70</v>
      </c>
      <c r="O7054">
        <f>COUNTIFS(F$1:F7054,F7054,A$1:A7054,A7054)</f>
        <v>109</v>
      </c>
      <c r="P7054" t="str">
        <f t="shared" si="332"/>
        <v>Damien Williams10</v>
      </c>
    </row>
    <row r="7055" spans="1:16" x14ac:dyDescent="0.25">
      <c r="A7055">
        <v>16</v>
      </c>
      <c r="B7055" t="s">
        <v>272</v>
      </c>
      <c r="C7055">
        <f>-0.07-0.63</f>
        <v>-0.7</v>
      </c>
      <c r="D7055">
        <v>0.28000000000000003</v>
      </c>
      <c r="E7055" t="s">
        <v>28</v>
      </c>
      <c r="F7055" t="s">
        <v>47</v>
      </c>
      <c r="G7055">
        <v>0.63</v>
      </c>
      <c r="H7055">
        <v>-7.0000000000000007E-2</v>
      </c>
      <c r="I7055">
        <v>0.35</v>
      </c>
      <c r="J7055">
        <v>0.1225</v>
      </c>
      <c r="K7055" t="str">
        <f>IFERROR(INDEX(Rosters!$C$2:$C$155,MATCH($B7055,Rosters!$B$2:$B$155,0)),"NA")</f>
        <v>NA</v>
      </c>
      <c r="L7055" t="str">
        <f t="shared" si="330"/>
        <v>NA16RB</v>
      </c>
      <c r="M7055">
        <f>COUNTIF(L$1:L7055,L7055)</f>
        <v>82</v>
      </c>
      <c r="N7055" t="str">
        <f t="shared" si="331"/>
        <v>NA16RB-82</v>
      </c>
      <c r="O7055">
        <f>COUNTIFS(F$1:F7055,F7055,A$1:A7055,A7055)</f>
        <v>129</v>
      </c>
      <c r="P7055" t="str">
        <f t="shared" si="332"/>
        <v>Damien Williams16</v>
      </c>
    </row>
    <row r="7056" spans="1:16" x14ac:dyDescent="0.25">
      <c r="A7056">
        <v>2</v>
      </c>
      <c r="B7056" t="s">
        <v>3012</v>
      </c>
      <c r="C7056">
        <f>-0.06-0.62</f>
        <v>-0.67999999999999994</v>
      </c>
      <c r="D7056">
        <v>0.28000000000000003</v>
      </c>
      <c r="E7056" t="s">
        <v>56</v>
      </c>
      <c r="F7056" t="s">
        <v>47</v>
      </c>
      <c r="G7056">
        <v>0.62</v>
      </c>
      <c r="H7056">
        <v>-0.06</v>
      </c>
      <c r="I7056">
        <v>0.34</v>
      </c>
      <c r="J7056">
        <v>0.11559999999999999</v>
      </c>
      <c r="K7056" t="str">
        <f>IFERROR(INDEX(Rosters!$C$2:$C$155,MATCH($B7056,Rosters!$B$2:$B$155,0)),"NA")</f>
        <v>NA</v>
      </c>
      <c r="L7056" t="str">
        <f t="shared" si="330"/>
        <v>NA2RB</v>
      </c>
      <c r="M7056">
        <f>COUNTIF(L$1:L7056,L7056)</f>
        <v>58</v>
      </c>
      <c r="N7056" t="str">
        <f t="shared" si="331"/>
        <v>NA2RB-58</v>
      </c>
      <c r="O7056">
        <f>COUNTIFS(F$1:F7056,F7056,A$1:A7056,A7056)</f>
        <v>100</v>
      </c>
      <c r="P7056" t="str">
        <f t="shared" si="332"/>
        <v>Derrick Coleman2</v>
      </c>
    </row>
    <row r="7057" spans="1:16" x14ac:dyDescent="0.25">
      <c r="A7057">
        <v>2</v>
      </c>
      <c r="B7057" t="s">
        <v>1109</v>
      </c>
      <c r="C7057">
        <f>-0.12-0.68</f>
        <v>-0.8</v>
      </c>
      <c r="D7057">
        <v>0.28000000000000003</v>
      </c>
      <c r="E7057" t="s">
        <v>29</v>
      </c>
      <c r="F7057" t="s">
        <v>15</v>
      </c>
      <c r="G7057">
        <v>0.68</v>
      </c>
      <c r="H7057">
        <v>-0.12</v>
      </c>
      <c r="I7057">
        <v>0.4</v>
      </c>
      <c r="J7057">
        <v>0.16</v>
      </c>
      <c r="K7057" t="str">
        <f>IFERROR(INDEX(Rosters!$C$2:$C$155,MATCH($B7057,Rosters!$B$2:$B$155,0)),"NA")</f>
        <v>NA</v>
      </c>
      <c r="L7057" t="str">
        <f t="shared" si="330"/>
        <v>NA2QB</v>
      </c>
      <c r="M7057">
        <f>COUNTIF(L$1:L7057,L7057)</f>
        <v>36</v>
      </c>
      <c r="N7057" t="str">
        <f t="shared" si="331"/>
        <v>NA2QB-36</v>
      </c>
      <c r="O7057">
        <f>COUNTIFS(F$1:F7057,F7057,A$1:A7057,A7057)</f>
        <v>52</v>
      </c>
      <c r="P7057" t="str">
        <f t="shared" si="332"/>
        <v>Geno Smith2</v>
      </c>
    </row>
    <row r="7058" spans="1:16" x14ac:dyDescent="0.25">
      <c r="A7058">
        <v>13</v>
      </c>
      <c r="B7058" t="s">
        <v>241</v>
      </c>
      <c r="C7058">
        <f>-0.07-0.63</f>
        <v>-0.7</v>
      </c>
      <c r="D7058">
        <v>0.28000000000000003</v>
      </c>
      <c r="E7058" t="s">
        <v>41</v>
      </c>
      <c r="F7058" t="s">
        <v>87</v>
      </c>
      <c r="G7058">
        <v>0.63</v>
      </c>
      <c r="H7058">
        <v>-7.0000000000000007E-2</v>
      </c>
      <c r="I7058">
        <v>0.35</v>
      </c>
      <c r="J7058">
        <v>0.1225</v>
      </c>
      <c r="K7058" t="str">
        <f>IFERROR(INDEX(Rosters!$C$2:$C$155,MATCH($B7058,Rosters!$B$2:$B$155,0)),"NA")</f>
        <v>NA</v>
      </c>
      <c r="L7058" t="str">
        <f t="shared" si="330"/>
        <v>NA13WR</v>
      </c>
      <c r="M7058">
        <f>COUNTIF(L$1:L7058,L7058)</f>
        <v>125</v>
      </c>
      <c r="N7058" t="str">
        <f t="shared" si="331"/>
        <v>NA13WR-125</v>
      </c>
      <c r="O7058">
        <f>COUNTIFS(F$1:F7058,F7058,A$1:A7058,A7058)</f>
        <v>179</v>
      </c>
      <c r="P7058" t="str">
        <f t="shared" si="332"/>
        <v>J.J. Nelson13</v>
      </c>
    </row>
    <row r="7059" spans="1:16" x14ac:dyDescent="0.25">
      <c r="A7059">
        <v>17</v>
      </c>
      <c r="B7059" t="s">
        <v>241</v>
      </c>
      <c r="C7059">
        <f>-0.14-0.7</f>
        <v>-0.84</v>
      </c>
      <c r="D7059">
        <v>0.28000000000000003</v>
      </c>
      <c r="E7059" t="s">
        <v>28</v>
      </c>
      <c r="F7059" t="s">
        <v>87</v>
      </c>
      <c r="G7059">
        <v>0.7</v>
      </c>
      <c r="H7059">
        <v>-0.14000000000000001</v>
      </c>
      <c r="I7059">
        <v>0.42</v>
      </c>
      <c r="J7059">
        <v>0.1764</v>
      </c>
      <c r="K7059" t="str">
        <f>IFERROR(INDEX(Rosters!$C$2:$C$155,MATCH($B7059,Rosters!$B$2:$B$155,0)),"NA")</f>
        <v>NA</v>
      </c>
      <c r="L7059" t="str">
        <f t="shared" si="330"/>
        <v>NA17WR</v>
      </c>
      <c r="M7059">
        <f>COUNTIF(L$1:L7059,L7059)</f>
        <v>128</v>
      </c>
      <c r="N7059" t="str">
        <f t="shared" si="331"/>
        <v>NA17WR-128</v>
      </c>
      <c r="O7059">
        <f>COUNTIFS(F$1:F7059,F7059,A$1:A7059,A7059)</f>
        <v>182</v>
      </c>
      <c r="P7059" t="str">
        <f t="shared" si="332"/>
        <v>J.J. Nelson17</v>
      </c>
    </row>
    <row r="7060" spans="1:16" x14ac:dyDescent="0.25">
      <c r="A7060">
        <v>3</v>
      </c>
      <c r="B7060" t="s">
        <v>378</v>
      </c>
      <c r="C7060">
        <f>-0.01-0.57</f>
        <v>-0.57999999999999996</v>
      </c>
      <c r="D7060">
        <v>0.28000000000000003</v>
      </c>
      <c r="E7060" t="s">
        <v>32</v>
      </c>
      <c r="F7060" t="s">
        <v>87</v>
      </c>
      <c r="G7060">
        <v>0.56999999999999995</v>
      </c>
      <c r="H7060">
        <v>-0.01</v>
      </c>
      <c r="I7060">
        <v>0.28999999999999998</v>
      </c>
      <c r="J7060">
        <v>8.4099999999999994E-2</v>
      </c>
      <c r="K7060" t="str">
        <f>IFERROR(INDEX(Rosters!$C$2:$C$155,MATCH($B7060,Rosters!$B$2:$B$155,0)),"NA")</f>
        <v>NA</v>
      </c>
      <c r="L7060" t="str">
        <f t="shared" si="330"/>
        <v>NA3WR</v>
      </c>
      <c r="M7060">
        <f>COUNTIF(L$1:L7060,L7060)</f>
        <v>99</v>
      </c>
      <c r="N7060" t="str">
        <f t="shared" si="331"/>
        <v>NA3WR-99</v>
      </c>
      <c r="O7060">
        <f>COUNTIFS(F$1:F7060,F7060,A$1:A7060,A7060)</f>
        <v>148</v>
      </c>
      <c r="P7060" t="str">
        <f t="shared" si="332"/>
        <v>Jakeem Grant3</v>
      </c>
    </row>
    <row r="7061" spans="1:16" x14ac:dyDescent="0.25">
      <c r="A7061">
        <v>10</v>
      </c>
      <c r="B7061" t="s">
        <v>2848</v>
      </c>
      <c r="C7061">
        <f>-0.03-0.59</f>
        <v>-0.62</v>
      </c>
      <c r="D7061">
        <v>0.28000000000000003</v>
      </c>
      <c r="E7061" t="s">
        <v>50</v>
      </c>
      <c r="F7061" t="s">
        <v>47</v>
      </c>
      <c r="G7061">
        <v>0.59</v>
      </c>
      <c r="H7061">
        <v>-0.03</v>
      </c>
      <c r="I7061">
        <v>0.31</v>
      </c>
      <c r="J7061">
        <v>9.6100000000000005E-2</v>
      </c>
      <c r="K7061" t="str">
        <f>IFERROR(INDEX(Rosters!$C$2:$C$155,MATCH($B7061,Rosters!$B$2:$B$155,0)),"NA")</f>
        <v>NA</v>
      </c>
      <c r="L7061" t="str">
        <f t="shared" si="330"/>
        <v>NA10RB</v>
      </c>
      <c r="M7061">
        <f>COUNTIF(L$1:L7061,L7061)</f>
        <v>71</v>
      </c>
      <c r="N7061" t="str">
        <f t="shared" si="331"/>
        <v>NA10RB-71</v>
      </c>
      <c r="O7061">
        <f>COUNTIFS(F$1:F7061,F7061,A$1:A7061,A7061)</f>
        <v>110</v>
      </c>
      <c r="P7061" t="str">
        <f t="shared" si="332"/>
        <v>Jamize Olawale10</v>
      </c>
    </row>
    <row r="7062" spans="1:16" x14ac:dyDescent="0.25">
      <c r="A7062">
        <v>2</v>
      </c>
      <c r="B7062" t="s">
        <v>2854</v>
      </c>
      <c r="C7062">
        <f>-0.12-0.68</f>
        <v>-0.8</v>
      </c>
      <c r="D7062">
        <v>0.28000000000000003</v>
      </c>
      <c r="E7062" t="s">
        <v>17</v>
      </c>
      <c r="F7062" t="s">
        <v>87</v>
      </c>
      <c r="G7062">
        <v>0.68</v>
      </c>
      <c r="H7062">
        <v>-0.12</v>
      </c>
      <c r="I7062">
        <v>0.4</v>
      </c>
      <c r="J7062">
        <v>0.16</v>
      </c>
      <c r="K7062" t="str">
        <f>IFERROR(INDEX(Rosters!$C$2:$C$155,MATCH($B7062,Rosters!$B$2:$B$155,0)),"NA")</f>
        <v>NA</v>
      </c>
      <c r="L7062" t="str">
        <f t="shared" si="330"/>
        <v>NA2WR</v>
      </c>
      <c r="M7062">
        <f>COUNTIF(L$1:L7062,L7062)</f>
        <v>95</v>
      </c>
      <c r="N7062" t="str">
        <f t="shared" si="331"/>
        <v>NA2WR-95</v>
      </c>
      <c r="O7062">
        <f>COUNTIFS(F$1:F7062,F7062,A$1:A7062,A7062)</f>
        <v>144</v>
      </c>
      <c r="P7062" t="str">
        <f t="shared" si="332"/>
        <v>Kamar Aiken2</v>
      </c>
    </row>
    <row r="7063" spans="1:16" x14ac:dyDescent="0.25">
      <c r="A7063">
        <v>1</v>
      </c>
      <c r="B7063" t="s">
        <v>347</v>
      </c>
      <c r="C7063">
        <f>-0.11-0.67</f>
        <v>-0.78</v>
      </c>
      <c r="D7063">
        <v>0.28000000000000003</v>
      </c>
      <c r="E7063" t="s">
        <v>32</v>
      </c>
      <c r="F7063" t="s">
        <v>15</v>
      </c>
      <c r="G7063">
        <v>0.67</v>
      </c>
      <c r="H7063">
        <v>-0.11</v>
      </c>
      <c r="I7063">
        <v>0.39</v>
      </c>
      <c r="J7063">
        <v>0.15210000000000001</v>
      </c>
      <c r="K7063" t="str">
        <f>IFERROR(INDEX(Rosters!$C$2:$C$155,MATCH($B7063,Rosters!$B$2:$B$155,0)),"NA")</f>
        <v>NA</v>
      </c>
      <c r="L7063" t="str">
        <f t="shared" si="330"/>
        <v>NA1QB</v>
      </c>
      <c r="M7063">
        <f>COUNTIF(L$1:L7063,L7063)</f>
        <v>38</v>
      </c>
      <c r="N7063" t="str">
        <f t="shared" si="331"/>
        <v>NA1QB-38</v>
      </c>
      <c r="O7063">
        <f>COUNTIFS(F$1:F7063,F7063,A$1:A7063,A7063)</f>
        <v>54</v>
      </c>
      <c r="P7063" t="str">
        <f t="shared" si="332"/>
        <v>Sean Mannion1</v>
      </c>
    </row>
    <row r="7064" spans="1:16" x14ac:dyDescent="0.25">
      <c r="A7064">
        <v>6</v>
      </c>
      <c r="B7064" t="s">
        <v>1634</v>
      </c>
      <c r="C7064">
        <f>-0.15-0.71</f>
        <v>-0.86</v>
      </c>
      <c r="D7064">
        <v>0.28000000000000003</v>
      </c>
      <c r="E7064" t="s">
        <v>54</v>
      </c>
      <c r="F7064" t="s">
        <v>87</v>
      </c>
      <c r="G7064">
        <v>0.71</v>
      </c>
      <c r="H7064">
        <v>-0.15</v>
      </c>
      <c r="I7064">
        <v>0.43</v>
      </c>
      <c r="J7064">
        <v>0.18490000000000001</v>
      </c>
      <c r="K7064" t="str">
        <f>IFERROR(INDEX(Rosters!$C$2:$C$155,MATCH($B7064,Rosters!$B$2:$B$155,0)),"NA")</f>
        <v>NA</v>
      </c>
      <c r="L7064" t="str">
        <f t="shared" si="330"/>
        <v>NA6WR</v>
      </c>
      <c r="M7064">
        <f>COUNTIF(L$1:L7064,L7064)</f>
        <v>116</v>
      </c>
      <c r="N7064" t="str">
        <f t="shared" si="331"/>
        <v>NA6WR-116</v>
      </c>
      <c r="O7064">
        <f>COUNTIFS(F$1:F7064,F7064,A$1:A7064,A7064)</f>
        <v>166</v>
      </c>
      <c r="P7064" t="str">
        <f t="shared" si="332"/>
        <v>Shelton Gibson6</v>
      </c>
    </row>
    <row r="7065" spans="1:16" x14ac:dyDescent="0.25">
      <c r="A7065">
        <v>10</v>
      </c>
      <c r="B7065" t="s">
        <v>1634</v>
      </c>
      <c r="C7065">
        <f>-0.14-0.7</f>
        <v>-0.84</v>
      </c>
      <c r="D7065">
        <v>0.28000000000000003</v>
      </c>
      <c r="E7065" t="s">
        <v>22</v>
      </c>
      <c r="F7065" t="s">
        <v>87</v>
      </c>
      <c r="G7065">
        <v>0.7</v>
      </c>
      <c r="H7065">
        <v>-0.14000000000000001</v>
      </c>
      <c r="I7065">
        <v>0.42</v>
      </c>
      <c r="J7065">
        <v>0.1764</v>
      </c>
      <c r="K7065" t="str">
        <f>IFERROR(INDEX(Rosters!$C$2:$C$155,MATCH($B7065,Rosters!$B$2:$B$155,0)),"NA")</f>
        <v>NA</v>
      </c>
      <c r="L7065" t="str">
        <f t="shared" si="330"/>
        <v>NA10WR</v>
      </c>
      <c r="M7065">
        <f>COUNTIF(L$1:L7065,L7065)</f>
        <v>114</v>
      </c>
      <c r="N7065" t="str">
        <f t="shared" si="331"/>
        <v>NA10WR-114</v>
      </c>
      <c r="O7065">
        <f>COUNTIFS(F$1:F7065,F7065,A$1:A7065,A7065)</f>
        <v>159</v>
      </c>
      <c r="P7065" t="str">
        <f t="shared" si="332"/>
        <v>Shelton Gibson10</v>
      </c>
    </row>
    <row r="7066" spans="1:16" x14ac:dyDescent="0.25">
      <c r="A7066">
        <v>1</v>
      </c>
      <c r="B7066" t="s">
        <v>1640</v>
      </c>
      <c r="C7066">
        <f>-0.02-0.58</f>
        <v>-0.6</v>
      </c>
      <c r="D7066">
        <v>0.28000000000000003</v>
      </c>
      <c r="E7066" t="s">
        <v>77</v>
      </c>
      <c r="F7066" t="s">
        <v>47</v>
      </c>
      <c r="G7066">
        <v>0.57999999999999996</v>
      </c>
      <c r="H7066">
        <v>-0.02</v>
      </c>
      <c r="I7066">
        <v>0.3</v>
      </c>
      <c r="J7066">
        <v>0.09</v>
      </c>
      <c r="K7066" t="str">
        <f>IFERROR(INDEX(Rosters!$C$2:$C$155,MATCH($B7066,Rosters!$B$2:$B$155,0)),"NA")</f>
        <v>NA</v>
      </c>
      <c r="L7066" t="str">
        <f t="shared" si="330"/>
        <v>NA1RB</v>
      </c>
      <c r="M7066">
        <f>COUNTIF(L$1:L7066,L7066)</f>
        <v>50</v>
      </c>
      <c r="N7066" t="str">
        <f t="shared" si="331"/>
        <v>NA1RB-50</v>
      </c>
      <c r="O7066">
        <f>COUNTIFS(F$1:F7066,F7066,A$1:A7066,A7066)</f>
        <v>93</v>
      </c>
      <c r="P7066" t="str">
        <f t="shared" si="332"/>
        <v>Taiwan Jones1</v>
      </c>
    </row>
    <row r="7067" spans="1:16" x14ac:dyDescent="0.25">
      <c r="A7067">
        <v>15</v>
      </c>
      <c r="B7067" t="s">
        <v>222</v>
      </c>
      <c r="C7067">
        <f>-0.03-0.59</f>
        <v>-0.62</v>
      </c>
      <c r="D7067">
        <v>0.28000000000000003</v>
      </c>
      <c r="E7067" t="s">
        <v>66</v>
      </c>
      <c r="F7067" t="s">
        <v>87</v>
      </c>
      <c r="G7067">
        <v>0.59</v>
      </c>
      <c r="H7067">
        <v>-0.03</v>
      </c>
      <c r="I7067">
        <v>0.31</v>
      </c>
      <c r="J7067">
        <v>9.6100000000000005E-2</v>
      </c>
      <c r="K7067" t="str">
        <f>IFERROR(INDEX(Rosters!$C$2:$C$155,MATCH($B7067,Rosters!$B$2:$B$155,0)),"NA")</f>
        <v>NA</v>
      </c>
      <c r="L7067" t="str">
        <f t="shared" si="330"/>
        <v>NA15WR</v>
      </c>
      <c r="M7067">
        <f>COUNTIF(L$1:L7067,L7067)</f>
        <v>126</v>
      </c>
      <c r="N7067" t="str">
        <f t="shared" si="331"/>
        <v>NA15WR-126</v>
      </c>
      <c r="O7067">
        <f>COUNTIFS(F$1:F7067,F7067,A$1:A7067,A7067)</f>
        <v>180</v>
      </c>
      <c r="P7067" t="str">
        <f t="shared" si="332"/>
        <v>Terrance Williams15</v>
      </c>
    </row>
    <row r="7068" spans="1:16" x14ac:dyDescent="0.25">
      <c r="A7068">
        <v>5</v>
      </c>
      <c r="B7068" t="s">
        <v>3167</v>
      </c>
      <c r="C7068">
        <f>-0.21-0.75</f>
        <v>-0.96</v>
      </c>
      <c r="D7068">
        <v>0.27</v>
      </c>
      <c r="E7068" t="s">
        <v>42</v>
      </c>
      <c r="F7068" t="s">
        <v>87</v>
      </c>
      <c r="G7068">
        <v>0.75</v>
      </c>
      <c r="H7068">
        <v>-0.21</v>
      </c>
      <c r="I7068">
        <v>0.48</v>
      </c>
      <c r="J7068">
        <v>0.23039999999999999</v>
      </c>
      <c r="K7068" t="str">
        <f>IFERROR(INDEX(Rosters!$C$2:$C$155,MATCH($B7068,Rosters!$B$2:$B$155,0)),"NA")</f>
        <v>NA</v>
      </c>
      <c r="L7068" t="str">
        <f t="shared" si="330"/>
        <v>NA5WR</v>
      </c>
      <c r="M7068">
        <f>COUNTIF(L$1:L7068,L7068)</f>
        <v>110</v>
      </c>
      <c r="N7068" t="str">
        <f t="shared" si="331"/>
        <v>NA5WR-110</v>
      </c>
      <c r="O7068">
        <f>COUNTIFS(F$1:F7068,F7068,A$1:A7068,A7068)</f>
        <v>160</v>
      </c>
      <c r="P7068" t="str">
        <f t="shared" si="332"/>
        <v>Andre Roberts5</v>
      </c>
    </row>
    <row r="7069" spans="1:16" x14ac:dyDescent="0.25">
      <c r="A7069">
        <v>5</v>
      </c>
      <c r="B7069" t="s">
        <v>272</v>
      </c>
      <c r="C7069">
        <f>-0.05-0.59</f>
        <v>-0.64</v>
      </c>
      <c r="D7069">
        <v>0.27</v>
      </c>
      <c r="E7069" t="s">
        <v>76</v>
      </c>
      <c r="F7069" t="s">
        <v>47</v>
      </c>
      <c r="G7069">
        <v>0.59</v>
      </c>
      <c r="H7069">
        <v>-0.05</v>
      </c>
      <c r="I7069">
        <v>0.32</v>
      </c>
      <c r="J7069">
        <v>0.1024</v>
      </c>
      <c r="K7069" t="str">
        <f>IFERROR(INDEX(Rosters!$C$2:$C$155,MATCH($B7069,Rosters!$B$2:$B$155,0)),"NA")</f>
        <v>NA</v>
      </c>
      <c r="L7069" t="str">
        <f t="shared" si="330"/>
        <v>NA5RB</v>
      </c>
      <c r="M7069">
        <f>COUNTIF(L$1:L7069,L7069)</f>
        <v>71</v>
      </c>
      <c r="N7069" t="str">
        <f t="shared" si="331"/>
        <v>NA5RB-71</v>
      </c>
      <c r="O7069">
        <f>COUNTIFS(F$1:F7069,F7069,A$1:A7069,A7069)</f>
        <v>114</v>
      </c>
      <c r="P7069" t="str">
        <f t="shared" si="332"/>
        <v>Damien Williams5</v>
      </c>
    </row>
    <row r="7070" spans="1:16" x14ac:dyDescent="0.25">
      <c r="A7070">
        <v>6</v>
      </c>
      <c r="B7070" t="s">
        <v>272</v>
      </c>
      <c r="C7070">
        <f>-0.07-0.61</f>
        <v>-0.67999999999999994</v>
      </c>
      <c r="D7070">
        <v>0.27</v>
      </c>
      <c r="E7070" t="s">
        <v>423</v>
      </c>
      <c r="F7070" t="s">
        <v>47</v>
      </c>
      <c r="G7070">
        <v>0.61</v>
      </c>
      <c r="H7070">
        <v>-7.0000000000000007E-2</v>
      </c>
      <c r="I7070">
        <v>0.34</v>
      </c>
      <c r="J7070">
        <v>0.11559999999999999</v>
      </c>
      <c r="K7070" t="str">
        <f>IFERROR(INDEX(Rosters!$C$2:$C$155,MATCH($B7070,Rosters!$B$2:$B$155,0)),"NA")</f>
        <v>NA</v>
      </c>
      <c r="L7070" t="str">
        <f t="shared" si="330"/>
        <v>NA6RB</v>
      </c>
      <c r="M7070">
        <f>COUNTIF(L$1:L7070,L7070)</f>
        <v>72</v>
      </c>
      <c r="N7070" t="str">
        <f t="shared" si="331"/>
        <v>NA6RB-72</v>
      </c>
      <c r="O7070">
        <f>COUNTIFS(F$1:F7070,F7070,A$1:A7070,A7070)</f>
        <v>114</v>
      </c>
      <c r="P7070" t="str">
        <f t="shared" si="332"/>
        <v>Damien Williams6</v>
      </c>
    </row>
    <row r="7071" spans="1:16" x14ac:dyDescent="0.25">
      <c r="A7071">
        <v>15</v>
      </c>
      <c r="B7071" t="s">
        <v>272</v>
      </c>
      <c r="C7071">
        <f>-0.07-0.61</f>
        <v>-0.67999999999999994</v>
      </c>
      <c r="D7071">
        <v>0.27</v>
      </c>
      <c r="E7071" t="s">
        <v>37</v>
      </c>
      <c r="F7071" t="s">
        <v>47</v>
      </c>
      <c r="G7071">
        <v>0.61</v>
      </c>
      <c r="H7071">
        <v>-7.0000000000000007E-2</v>
      </c>
      <c r="I7071">
        <v>0.34</v>
      </c>
      <c r="J7071">
        <v>0.11559999999999999</v>
      </c>
      <c r="K7071" t="str">
        <f>IFERROR(INDEX(Rosters!$C$2:$C$155,MATCH($B7071,Rosters!$B$2:$B$155,0)),"NA")</f>
        <v>NA</v>
      </c>
      <c r="L7071" t="str">
        <f t="shared" si="330"/>
        <v>NA15RB</v>
      </c>
      <c r="M7071">
        <f>COUNTIF(L$1:L7071,L7071)</f>
        <v>82</v>
      </c>
      <c r="N7071" t="str">
        <f t="shared" si="331"/>
        <v>NA15RB-82</v>
      </c>
      <c r="O7071">
        <f>COUNTIFS(F$1:F7071,F7071,A$1:A7071,A7071)</f>
        <v>129</v>
      </c>
      <c r="P7071" t="str">
        <f t="shared" si="332"/>
        <v>Damien Williams15</v>
      </c>
    </row>
    <row r="7072" spans="1:16" x14ac:dyDescent="0.25">
      <c r="A7072">
        <v>14</v>
      </c>
      <c r="B7072" t="s">
        <v>241</v>
      </c>
      <c r="C7072">
        <f>-0.09-0.63</f>
        <v>-0.72</v>
      </c>
      <c r="D7072">
        <v>0.27</v>
      </c>
      <c r="E7072" t="s">
        <v>34</v>
      </c>
      <c r="F7072" t="s">
        <v>87</v>
      </c>
      <c r="G7072">
        <v>0.63</v>
      </c>
      <c r="H7072">
        <v>-0.09</v>
      </c>
      <c r="I7072">
        <v>0.36</v>
      </c>
      <c r="J7072">
        <v>0.12959999999999999</v>
      </c>
      <c r="K7072" t="str">
        <f>IFERROR(INDEX(Rosters!$C$2:$C$155,MATCH($B7072,Rosters!$B$2:$B$155,0)),"NA")</f>
        <v>NA</v>
      </c>
      <c r="L7072" t="str">
        <f t="shared" si="330"/>
        <v>NA14WR</v>
      </c>
      <c r="M7072">
        <f>COUNTIF(L$1:L7072,L7072)</f>
        <v>125</v>
      </c>
      <c r="N7072" t="str">
        <f t="shared" si="331"/>
        <v>NA14WR-125</v>
      </c>
      <c r="O7072">
        <f>COUNTIFS(F$1:F7072,F7072,A$1:A7072,A7072)</f>
        <v>179</v>
      </c>
      <c r="P7072" t="str">
        <f t="shared" si="332"/>
        <v>J.J. Nelson14</v>
      </c>
    </row>
    <row r="7073" spans="1:16" x14ac:dyDescent="0.25">
      <c r="A7073">
        <v>16</v>
      </c>
      <c r="B7073" t="s">
        <v>241</v>
      </c>
      <c r="C7073">
        <f>-0.1-0.64</f>
        <v>-0.74</v>
      </c>
      <c r="D7073">
        <v>0.27</v>
      </c>
      <c r="E7073" t="s">
        <v>56</v>
      </c>
      <c r="F7073" t="s">
        <v>87</v>
      </c>
      <c r="G7073">
        <v>0.64</v>
      </c>
      <c r="H7073">
        <v>-0.1</v>
      </c>
      <c r="I7073">
        <v>0.37</v>
      </c>
      <c r="J7073">
        <v>0.13689999999999999</v>
      </c>
      <c r="K7073" t="str">
        <f>IFERROR(INDEX(Rosters!$C$2:$C$155,MATCH($B7073,Rosters!$B$2:$B$155,0)),"NA")</f>
        <v>NA</v>
      </c>
      <c r="L7073" t="str">
        <f t="shared" si="330"/>
        <v>NA16WR</v>
      </c>
      <c r="M7073">
        <f>COUNTIF(L$1:L7073,L7073)</f>
        <v>126</v>
      </c>
      <c r="N7073" t="str">
        <f t="shared" si="331"/>
        <v>NA16WR-126</v>
      </c>
      <c r="O7073">
        <f>COUNTIFS(F$1:F7073,F7073,A$1:A7073,A7073)</f>
        <v>180</v>
      </c>
      <c r="P7073" t="str">
        <f t="shared" si="332"/>
        <v>J.J. Nelson16</v>
      </c>
    </row>
    <row r="7074" spans="1:16" x14ac:dyDescent="0.25">
      <c r="A7074">
        <v>3</v>
      </c>
      <c r="B7074" t="s">
        <v>4264</v>
      </c>
      <c r="C7074">
        <f>-0.05-0.59</f>
        <v>-0.64</v>
      </c>
      <c r="D7074">
        <v>0.27</v>
      </c>
      <c r="E7074" t="s">
        <v>37</v>
      </c>
      <c r="F7074" t="s">
        <v>87</v>
      </c>
      <c r="G7074">
        <v>0.59</v>
      </c>
      <c r="H7074">
        <v>-0.05</v>
      </c>
      <c r="I7074">
        <v>0.32</v>
      </c>
      <c r="J7074">
        <v>0.1024</v>
      </c>
      <c r="K7074" t="str">
        <f>IFERROR(INDEX(Rosters!$C$2:$C$155,MATCH($B7074,Rosters!$B$2:$B$155,0)),"NA")</f>
        <v>NA</v>
      </c>
      <c r="L7074" t="str">
        <f t="shared" si="330"/>
        <v>NA3WR</v>
      </c>
      <c r="M7074">
        <f>COUNTIF(L$1:L7074,L7074)</f>
        <v>100</v>
      </c>
      <c r="N7074" t="str">
        <f t="shared" si="331"/>
        <v>NA3WR-100</v>
      </c>
      <c r="O7074">
        <f>COUNTIFS(F$1:F7074,F7074,A$1:A7074,A7074)</f>
        <v>149</v>
      </c>
      <c r="P7074" t="str">
        <f t="shared" si="332"/>
        <v>JoJo Natson3</v>
      </c>
    </row>
    <row r="7075" spans="1:16" x14ac:dyDescent="0.25">
      <c r="A7075">
        <v>3</v>
      </c>
      <c r="B7075" t="s">
        <v>379</v>
      </c>
      <c r="C7075">
        <f>-0.05-0.59</f>
        <v>-0.64</v>
      </c>
      <c r="D7075">
        <v>0.27</v>
      </c>
      <c r="E7075" t="s">
        <v>24</v>
      </c>
      <c r="F7075" t="s">
        <v>47</v>
      </c>
      <c r="G7075">
        <v>0.59</v>
      </c>
      <c r="H7075">
        <v>-0.05</v>
      </c>
      <c r="I7075">
        <v>0.32</v>
      </c>
      <c r="J7075">
        <v>0.1024</v>
      </c>
      <c r="K7075" t="str">
        <f>IFERROR(INDEX(Rosters!$C$2:$C$155,MATCH($B7075,Rosters!$B$2:$B$155,0)),"NA")</f>
        <v>NA</v>
      </c>
      <c r="L7075" t="str">
        <f t="shared" si="330"/>
        <v>NA3RB</v>
      </c>
      <c r="M7075">
        <f>COUNTIF(L$1:L7075,L7075)</f>
        <v>61</v>
      </c>
      <c r="N7075" t="str">
        <f t="shared" si="331"/>
        <v>NA3RB-61</v>
      </c>
      <c r="O7075">
        <f>COUNTIFS(F$1:F7075,F7075,A$1:A7075,A7075)</f>
        <v>100</v>
      </c>
      <c r="P7075" t="str">
        <f t="shared" si="332"/>
        <v>Raheem Mostert3</v>
      </c>
    </row>
    <row r="7076" spans="1:16" x14ac:dyDescent="0.25">
      <c r="A7076">
        <v>14</v>
      </c>
      <c r="B7076" t="s">
        <v>379</v>
      </c>
      <c r="C7076" t="s">
        <v>8940</v>
      </c>
      <c r="D7076">
        <v>0.27</v>
      </c>
      <c r="E7076" t="s">
        <v>42</v>
      </c>
      <c r="F7076" t="s">
        <v>47</v>
      </c>
      <c r="G7076">
        <v>0.52</v>
      </c>
      <c r="H7076">
        <v>0.02</v>
      </c>
      <c r="I7076">
        <v>0.25</v>
      </c>
      <c r="J7076">
        <v>6.25E-2</v>
      </c>
      <c r="K7076" t="str">
        <f>IFERROR(INDEX(Rosters!$C$2:$C$155,MATCH($B7076,Rosters!$B$2:$B$155,0)),"NA")</f>
        <v>NA</v>
      </c>
      <c r="L7076" t="str">
        <f t="shared" si="330"/>
        <v>NA14RB</v>
      </c>
      <c r="M7076">
        <f>COUNTIF(L$1:L7076,L7076)</f>
        <v>83</v>
      </c>
      <c r="N7076" t="str">
        <f t="shared" si="331"/>
        <v>NA14RB-83</v>
      </c>
      <c r="O7076">
        <f>COUNTIFS(F$1:F7076,F7076,A$1:A7076,A7076)</f>
        <v>130</v>
      </c>
      <c r="P7076" t="str">
        <f t="shared" si="332"/>
        <v>Raheem Mostert14</v>
      </c>
    </row>
    <row r="7077" spans="1:16" x14ac:dyDescent="0.25">
      <c r="A7077">
        <v>8</v>
      </c>
      <c r="B7077" t="s">
        <v>1634</v>
      </c>
      <c r="C7077">
        <f>-0.13-0.67</f>
        <v>-0.8</v>
      </c>
      <c r="D7077">
        <v>0.27</v>
      </c>
      <c r="E7077" t="s">
        <v>76</v>
      </c>
      <c r="F7077" t="s">
        <v>87</v>
      </c>
      <c r="G7077">
        <v>0.67</v>
      </c>
      <c r="H7077">
        <v>-0.13</v>
      </c>
      <c r="I7077">
        <v>0.4</v>
      </c>
      <c r="J7077">
        <v>0.16</v>
      </c>
      <c r="K7077" t="str">
        <f>IFERROR(INDEX(Rosters!$C$2:$C$155,MATCH($B7077,Rosters!$B$2:$B$155,0)),"NA")</f>
        <v>NA</v>
      </c>
      <c r="L7077" t="str">
        <f t="shared" si="330"/>
        <v>NA8WR</v>
      </c>
      <c r="M7077">
        <f>COUNTIF(L$1:L7077,L7077)</f>
        <v>103</v>
      </c>
      <c r="N7077" t="str">
        <f t="shared" si="331"/>
        <v>NA8WR-103</v>
      </c>
      <c r="O7077">
        <f>COUNTIFS(F$1:F7077,F7077,A$1:A7077,A7077)</f>
        <v>152</v>
      </c>
      <c r="P7077" t="str">
        <f t="shared" si="332"/>
        <v>Shelton Gibson8</v>
      </c>
    </row>
    <row r="7078" spans="1:16" x14ac:dyDescent="0.25">
      <c r="A7078">
        <v>14</v>
      </c>
      <c r="B7078" t="s">
        <v>1634</v>
      </c>
      <c r="C7078">
        <f>-0.15-0.69</f>
        <v>-0.84</v>
      </c>
      <c r="D7078">
        <v>0.27</v>
      </c>
      <c r="E7078" t="s">
        <v>22</v>
      </c>
      <c r="F7078" t="s">
        <v>87</v>
      </c>
      <c r="G7078">
        <v>0.69</v>
      </c>
      <c r="H7078">
        <v>-0.15</v>
      </c>
      <c r="I7078">
        <v>0.42</v>
      </c>
      <c r="J7078">
        <v>0.1764</v>
      </c>
      <c r="K7078" t="str">
        <f>IFERROR(INDEX(Rosters!$C$2:$C$155,MATCH($B7078,Rosters!$B$2:$B$155,0)),"NA")</f>
        <v>NA</v>
      </c>
      <c r="L7078" t="str">
        <f t="shared" si="330"/>
        <v>NA14WR</v>
      </c>
      <c r="M7078">
        <f>COUNTIF(L$1:L7078,L7078)</f>
        <v>126</v>
      </c>
      <c r="N7078" t="str">
        <f t="shared" si="331"/>
        <v>NA14WR-126</v>
      </c>
      <c r="O7078">
        <f>COUNTIFS(F$1:F7078,F7078,A$1:A7078,A7078)</f>
        <v>180</v>
      </c>
      <c r="P7078" t="str">
        <f t="shared" si="332"/>
        <v>Shelton Gibson14</v>
      </c>
    </row>
    <row r="7079" spans="1:16" x14ac:dyDescent="0.25">
      <c r="A7079">
        <v>10</v>
      </c>
      <c r="B7079" t="s">
        <v>372</v>
      </c>
      <c r="C7079">
        <f>-0.08-0.62</f>
        <v>-0.7</v>
      </c>
      <c r="D7079">
        <v>0.27</v>
      </c>
      <c r="E7079" t="s">
        <v>74</v>
      </c>
      <c r="F7079" t="s">
        <v>114</v>
      </c>
      <c r="G7079">
        <v>0.62</v>
      </c>
      <c r="H7079">
        <v>-0.08</v>
      </c>
      <c r="I7079">
        <v>0.35</v>
      </c>
      <c r="J7079">
        <v>0.1225</v>
      </c>
      <c r="K7079" t="str">
        <f>IFERROR(INDEX(Rosters!$C$2:$C$155,MATCH($B7079,Rosters!$B$2:$B$155,0)),"NA")</f>
        <v>NA</v>
      </c>
      <c r="L7079" t="str">
        <f t="shared" si="330"/>
        <v>NA10TE</v>
      </c>
      <c r="M7079">
        <f>COUNTIF(L$1:L7079,L7079)</f>
        <v>75</v>
      </c>
      <c r="N7079" t="str">
        <f t="shared" si="331"/>
        <v>NA10TE-75</v>
      </c>
      <c r="O7079">
        <f>COUNTIFS(F$1:F7079,F7079,A$1:A7079,A7079)</f>
        <v>88</v>
      </c>
      <c r="P7079" t="str">
        <f t="shared" si="332"/>
        <v>Xavier Grimble10</v>
      </c>
    </row>
    <row r="7080" spans="1:16" x14ac:dyDescent="0.25">
      <c r="A7080">
        <v>4</v>
      </c>
      <c r="B7080" t="s">
        <v>3167</v>
      </c>
      <c r="C7080">
        <f>-0.01-0.53</f>
        <v>-0.54</v>
      </c>
      <c r="D7080">
        <v>0.26</v>
      </c>
      <c r="E7080" t="s">
        <v>76</v>
      </c>
      <c r="F7080" t="s">
        <v>87</v>
      </c>
      <c r="G7080">
        <v>0.53</v>
      </c>
      <c r="H7080">
        <v>-0.01</v>
      </c>
      <c r="I7080">
        <v>0.27</v>
      </c>
      <c r="J7080">
        <v>7.2900000000000006E-2</v>
      </c>
      <c r="K7080" t="str">
        <f>IFERROR(INDEX(Rosters!$C$2:$C$155,MATCH($B7080,Rosters!$B$2:$B$155,0)),"NA")</f>
        <v>NA</v>
      </c>
      <c r="L7080" t="str">
        <f t="shared" si="330"/>
        <v>NA4WR</v>
      </c>
      <c r="M7080">
        <f>COUNTIF(L$1:L7080,L7080)</f>
        <v>97</v>
      </c>
      <c r="N7080" t="str">
        <f t="shared" si="331"/>
        <v>NA4WR-97</v>
      </c>
      <c r="O7080">
        <f>COUNTIFS(F$1:F7080,F7080,A$1:A7080,A7080)</f>
        <v>147</v>
      </c>
      <c r="P7080" t="str">
        <f t="shared" si="332"/>
        <v>Andre Roberts4</v>
      </c>
    </row>
    <row r="7081" spans="1:16" x14ac:dyDescent="0.25">
      <c r="A7081">
        <v>2</v>
      </c>
      <c r="B7081" t="s">
        <v>1625</v>
      </c>
      <c r="C7081">
        <f>-0.11-0.63</f>
        <v>-0.74</v>
      </c>
      <c r="D7081">
        <v>0.26</v>
      </c>
      <c r="E7081" t="s">
        <v>76</v>
      </c>
      <c r="F7081" t="s">
        <v>114</v>
      </c>
      <c r="G7081">
        <v>0.63</v>
      </c>
      <c r="H7081">
        <v>-0.11</v>
      </c>
      <c r="I7081">
        <v>0.37</v>
      </c>
      <c r="J7081">
        <v>0.13689999999999999</v>
      </c>
      <c r="K7081" t="str">
        <f>IFERROR(INDEX(Rosters!$C$2:$C$155,MATCH($B7081,Rosters!$B$2:$B$155,0)),"NA")</f>
        <v>NA</v>
      </c>
      <c r="L7081" t="str">
        <f t="shared" si="330"/>
        <v>NA2TE</v>
      </c>
      <c r="M7081">
        <f>COUNTIF(L$1:L7081,L7081)</f>
        <v>70</v>
      </c>
      <c r="N7081" t="str">
        <f t="shared" si="331"/>
        <v>NA2TE-70</v>
      </c>
      <c r="O7081">
        <f>COUNTIFS(F$1:F7081,F7081,A$1:A7081,A7081)</f>
        <v>83</v>
      </c>
      <c r="P7081" t="str">
        <f t="shared" si="332"/>
        <v>Jacob Hollister2</v>
      </c>
    </row>
    <row r="7082" spans="1:16" x14ac:dyDescent="0.25">
      <c r="A7082">
        <v>12</v>
      </c>
      <c r="B7082" t="s">
        <v>368</v>
      </c>
      <c r="C7082">
        <f>-0.09-0.61</f>
        <v>-0.7</v>
      </c>
      <c r="D7082">
        <v>0.26</v>
      </c>
      <c r="E7082" t="s">
        <v>77</v>
      </c>
      <c r="F7082" t="s">
        <v>47</v>
      </c>
      <c r="G7082">
        <v>0.61</v>
      </c>
      <c r="H7082">
        <v>-0.09</v>
      </c>
      <c r="I7082">
        <v>0.35</v>
      </c>
      <c r="J7082">
        <v>0.1225</v>
      </c>
      <c r="K7082" t="str">
        <f>IFERROR(INDEX(Rosters!$C$2:$C$155,MATCH($B7082,Rosters!$B$2:$B$155,0)),"NA")</f>
        <v>NA</v>
      </c>
      <c r="L7082" t="str">
        <f t="shared" si="330"/>
        <v>NA12RB</v>
      </c>
      <c r="M7082">
        <f>COUNTIF(L$1:L7082,L7082)</f>
        <v>77</v>
      </c>
      <c r="N7082" t="str">
        <f t="shared" si="331"/>
        <v>NA12RB-77</v>
      </c>
      <c r="O7082">
        <f>COUNTIFS(F$1:F7082,F7082,A$1:A7082,A7082)</f>
        <v>122</v>
      </c>
      <c r="P7082" t="str">
        <f t="shared" si="332"/>
        <v>Keith Smith12</v>
      </c>
    </row>
    <row r="7083" spans="1:16" x14ac:dyDescent="0.25">
      <c r="A7083">
        <v>5</v>
      </c>
      <c r="B7083" t="s">
        <v>369</v>
      </c>
      <c r="C7083">
        <f>-0.15-0.67</f>
        <v>-0.82000000000000006</v>
      </c>
      <c r="D7083">
        <v>0.26</v>
      </c>
      <c r="E7083" t="s">
        <v>41</v>
      </c>
      <c r="F7083" t="s">
        <v>15</v>
      </c>
      <c r="G7083">
        <v>0.67</v>
      </c>
      <c r="H7083">
        <v>-0.15</v>
      </c>
      <c r="I7083">
        <v>0.41</v>
      </c>
      <c r="J7083">
        <v>0.1681</v>
      </c>
      <c r="K7083" t="str">
        <f>IFERROR(INDEX(Rosters!$C$2:$C$155,MATCH($B7083,Rosters!$B$2:$B$155,0)),"NA")</f>
        <v>NA</v>
      </c>
      <c r="L7083" t="str">
        <f t="shared" si="330"/>
        <v>NA5QB</v>
      </c>
      <c r="M7083">
        <f>COUNTIF(L$1:L7083,L7083)</f>
        <v>38</v>
      </c>
      <c r="N7083" t="str">
        <f t="shared" si="331"/>
        <v>NA5QB-38</v>
      </c>
      <c r="O7083">
        <f>COUNTIFS(F$1:F7083,F7083,A$1:A7083,A7083)</f>
        <v>55</v>
      </c>
      <c r="P7083" t="str">
        <f t="shared" si="332"/>
        <v>Matt Cassel5</v>
      </c>
    </row>
    <row r="7084" spans="1:16" x14ac:dyDescent="0.25">
      <c r="A7084">
        <v>11</v>
      </c>
      <c r="B7084" t="s">
        <v>369</v>
      </c>
      <c r="C7084">
        <f>-0.19-0.71</f>
        <v>-0.89999999999999991</v>
      </c>
      <c r="D7084">
        <v>0.26</v>
      </c>
      <c r="E7084" t="s">
        <v>74</v>
      </c>
      <c r="F7084" t="s">
        <v>15</v>
      </c>
      <c r="G7084">
        <v>0.71</v>
      </c>
      <c r="H7084">
        <v>-0.19</v>
      </c>
      <c r="I7084">
        <v>0.45</v>
      </c>
      <c r="J7084">
        <v>0.20250000000000001</v>
      </c>
      <c r="K7084" t="str">
        <f>IFERROR(INDEX(Rosters!$C$2:$C$155,MATCH($B7084,Rosters!$B$2:$B$155,0)),"NA")</f>
        <v>NA</v>
      </c>
      <c r="L7084" t="str">
        <f t="shared" si="330"/>
        <v>NA11QB</v>
      </c>
      <c r="M7084">
        <f>COUNTIF(L$1:L7084,L7084)</f>
        <v>33</v>
      </c>
      <c r="N7084" t="str">
        <f t="shared" si="331"/>
        <v>NA11QB-33</v>
      </c>
      <c r="O7084">
        <f>COUNTIFS(F$1:F7084,F7084,A$1:A7084,A7084)</f>
        <v>48</v>
      </c>
      <c r="P7084" t="str">
        <f t="shared" si="332"/>
        <v>Matt Cassel11</v>
      </c>
    </row>
    <row r="7085" spans="1:16" x14ac:dyDescent="0.25">
      <c r="A7085">
        <v>6</v>
      </c>
      <c r="B7085" t="s">
        <v>379</v>
      </c>
      <c r="C7085">
        <f>-0.02-0.54</f>
        <v>-0.56000000000000005</v>
      </c>
      <c r="D7085">
        <v>0.26</v>
      </c>
      <c r="E7085" t="s">
        <v>41</v>
      </c>
      <c r="F7085" t="s">
        <v>47</v>
      </c>
      <c r="G7085">
        <v>0.54</v>
      </c>
      <c r="H7085">
        <v>-0.02</v>
      </c>
      <c r="I7085">
        <v>0.28000000000000003</v>
      </c>
      <c r="J7085">
        <v>7.8399999999999997E-2</v>
      </c>
      <c r="K7085" t="str">
        <f>IFERROR(INDEX(Rosters!$C$2:$C$155,MATCH($B7085,Rosters!$B$2:$B$155,0)),"NA")</f>
        <v>NA</v>
      </c>
      <c r="L7085" t="str">
        <f t="shared" si="330"/>
        <v>NA6RB</v>
      </c>
      <c r="M7085">
        <f>COUNTIF(L$1:L7085,L7085)</f>
        <v>73</v>
      </c>
      <c r="N7085" t="str">
        <f t="shared" si="331"/>
        <v>NA6RB-73</v>
      </c>
      <c r="O7085">
        <f>COUNTIFS(F$1:F7085,F7085,A$1:A7085,A7085)</f>
        <v>115</v>
      </c>
      <c r="P7085" t="str">
        <f t="shared" si="332"/>
        <v>Raheem Mostert6</v>
      </c>
    </row>
    <row r="7086" spans="1:16" x14ac:dyDescent="0.25">
      <c r="A7086">
        <v>9</v>
      </c>
      <c r="B7086" t="s">
        <v>379</v>
      </c>
      <c r="C7086">
        <f>-0.01-0.53</f>
        <v>-0.54</v>
      </c>
      <c r="D7086">
        <v>0.26</v>
      </c>
      <c r="E7086" t="s">
        <v>32</v>
      </c>
      <c r="F7086" t="s">
        <v>47</v>
      </c>
      <c r="G7086">
        <v>0.53</v>
      </c>
      <c r="H7086">
        <v>-0.01</v>
      </c>
      <c r="I7086">
        <v>0.27</v>
      </c>
      <c r="J7086">
        <v>7.2900000000000006E-2</v>
      </c>
      <c r="K7086" t="str">
        <f>IFERROR(INDEX(Rosters!$C$2:$C$155,MATCH($B7086,Rosters!$B$2:$B$155,0)),"NA")</f>
        <v>NA</v>
      </c>
      <c r="L7086" t="str">
        <f t="shared" si="330"/>
        <v>NA9RB</v>
      </c>
      <c r="M7086">
        <f>COUNTIF(L$1:L7086,L7086)</f>
        <v>64</v>
      </c>
      <c r="N7086" t="str">
        <f t="shared" si="331"/>
        <v>NA9RB-64</v>
      </c>
      <c r="O7086">
        <f>COUNTIFS(F$1:F7086,F7086,A$1:A7086,A7086)</f>
        <v>104</v>
      </c>
      <c r="P7086" t="str">
        <f t="shared" si="332"/>
        <v>Raheem Mostert9</v>
      </c>
    </row>
    <row r="7087" spans="1:16" x14ac:dyDescent="0.25">
      <c r="A7087">
        <v>10</v>
      </c>
      <c r="B7087" t="s">
        <v>379</v>
      </c>
      <c r="C7087">
        <f>-0.09-0.61</f>
        <v>-0.7</v>
      </c>
      <c r="D7087">
        <v>0.26</v>
      </c>
      <c r="E7087" t="s">
        <v>54</v>
      </c>
      <c r="F7087" t="s">
        <v>47</v>
      </c>
      <c r="G7087">
        <v>0.61</v>
      </c>
      <c r="H7087">
        <v>-0.09</v>
      </c>
      <c r="I7087">
        <v>0.35</v>
      </c>
      <c r="J7087">
        <v>0.1225</v>
      </c>
      <c r="K7087" t="str">
        <f>IFERROR(INDEX(Rosters!$C$2:$C$155,MATCH($B7087,Rosters!$B$2:$B$155,0)),"NA")</f>
        <v>NA</v>
      </c>
      <c r="L7087" t="str">
        <f t="shared" si="330"/>
        <v>NA10RB</v>
      </c>
      <c r="M7087">
        <f>COUNTIF(L$1:L7087,L7087)</f>
        <v>72</v>
      </c>
      <c r="N7087" t="str">
        <f t="shared" si="331"/>
        <v>NA10RB-72</v>
      </c>
      <c r="O7087">
        <f>COUNTIFS(F$1:F7087,F7087,A$1:A7087,A7087)</f>
        <v>111</v>
      </c>
      <c r="P7087" t="str">
        <f t="shared" si="332"/>
        <v>Raheem Mostert10</v>
      </c>
    </row>
    <row r="7088" spans="1:16" x14ac:dyDescent="0.25">
      <c r="A7088">
        <v>13</v>
      </c>
      <c r="B7088" t="s">
        <v>379</v>
      </c>
      <c r="C7088" t="s">
        <v>8941</v>
      </c>
      <c r="D7088">
        <v>0.26</v>
      </c>
      <c r="E7088" t="s">
        <v>28</v>
      </c>
      <c r="F7088" t="s">
        <v>47</v>
      </c>
      <c r="G7088">
        <v>0.51</v>
      </c>
      <c r="H7088">
        <v>0.01</v>
      </c>
      <c r="I7088">
        <v>0.25</v>
      </c>
      <c r="J7088">
        <v>6.25E-2</v>
      </c>
      <c r="K7088" t="str">
        <f>IFERROR(INDEX(Rosters!$C$2:$C$155,MATCH($B7088,Rosters!$B$2:$B$155,0)),"NA")</f>
        <v>NA</v>
      </c>
      <c r="L7088" t="str">
        <f t="shared" si="330"/>
        <v>NA13RB</v>
      </c>
      <c r="M7088">
        <f>COUNTIF(L$1:L7088,L7088)</f>
        <v>83</v>
      </c>
      <c r="N7088" t="str">
        <f t="shared" si="331"/>
        <v>NA13RB-83</v>
      </c>
      <c r="O7088">
        <f>COUNTIFS(F$1:F7088,F7088,A$1:A7088,A7088)</f>
        <v>130</v>
      </c>
      <c r="P7088" t="str">
        <f t="shared" si="332"/>
        <v>Raheem Mostert13</v>
      </c>
    </row>
    <row r="7089" spans="1:16" x14ac:dyDescent="0.25">
      <c r="A7089">
        <v>15</v>
      </c>
      <c r="B7089" t="s">
        <v>379</v>
      </c>
      <c r="C7089" t="s">
        <v>8941</v>
      </c>
      <c r="D7089">
        <v>0.26</v>
      </c>
      <c r="E7089" t="s">
        <v>28</v>
      </c>
      <c r="F7089" t="s">
        <v>47</v>
      </c>
      <c r="G7089">
        <v>0.51</v>
      </c>
      <c r="H7089">
        <v>0.01</v>
      </c>
      <c r="I7089">
        <v>0.25</v>
      </c>
      <c r="J7089">
        <v>6.25E-2</v>
      </c>
      <c r="K7089" t="str">
        <f>IFERROR(INDEX(Rosters!$C$2:$C$155,MATCH($B7089,Rosters!$B$2:$B$155,0)),"NA")</f>
        <v>NA</v>
      </c>
      <c r="L7089" t="str">
        <f t="shared" si="330"/>
        <v>NA15RB</v>
      </c>
      <c r="M7089">
        <f>COUNTIF(L$1:L7089,L7089)</f>
        <v>83</v>
      </c>
      <c r="N7089" t="str">
        <f t="shared" si="331"/>
        <v>NA15RB-83</v>
      </c>
      <c r="O7089">
        <f>COUNTIFS(F$1:F7089,F7089,A$1:A7089,A7089)</f>
        <v>130</v>
      </c>
      <c r="P7089" t="str">
        <f t="shared" si="332"/>
        <v>Raheem Mostert15</v>
      </c>
    </row>
    <row r="7090" spans="1:16" x14ac:dyDescent="0.25">
      <c r="A7090">
        <v>15</v>
      </c>
      <c r="B7090" t="s">
        <v>1640</v>
      </c>
      <c r="C7090">
        <f>-0.06-0.58</f>
        <v>-0.6399999999999999</v>
      </c>
      <c r="D7090">
        <v>0.26</v>
      </c>
      <c r="E7090" t="s">
        <v>34</v>
      </c>
      <c r="F7090" t="s">
        <v>47</v>
      </c>
      <c r="G7090">
        <v>0.57999999999999996</v>
      </c>
      <c r="H7090">
        <v>-0.06</v>
      </c>
      <c r="I7090">
        <v>0.32</v>
      </c>
      <c r="J7090">
        <v>0.1024</v>
      </c>
      <c r="K7090" t="str">
        <f>IFERROR(INDEX(Rosters!$C$2:$C$155,MATCH($B7090,Rosters!$B$2:$B$155,0)),"NA")</f>
        <v>NA</v>
      </c>
      <c r="L7090" t="str">
        <f t="shared" si="330"/>
        <v>NA15RB</v>
      </c>
      <c r="M7090">
        <f>COUNTIF(L$1:L7090,L7090)</f>
        <v>84</v>
      </c>
      <c r="N7090" t="str">
        <f t="shared" si="331"/>
        <v>NA15RB-84</v>
      </c>
      <c r="O7090">
        <f>COUNTIFS(F$1:F7090,F7090,A$1:A7090,A7090)</f>
        <v>131</v>
      </c>
      <c r="P7090" t="str">
        <f t="shared" si="332"/>
        <v>Taiwan Jones15</v>
      </c>
    </row>
    <row r="7091" spans="1:16" x14ac:dyDescent="0.25">
      <c r="A7091">
        <v>2</v>
      </c>
      <c r="B7091" t="s">
        <v>372</v>
      </c>
      <c r="C7091">
        <f>-0.11-0.63</f>
        <v>-0.74</v>
      </c>
      <c r="D7091">
        <v>0.26</v>
      </c>
      <c r="E7091" t="s">
        <v>24</v>
      </c>
      <c r="F7091" t="s">
        <v>114</v>
      </c>
      <c r="G7091">
        <v>0.63</v>
      </c>
      <c r="H7091">
        <v>-0.11</v>
      </c>
      <c r="I7091">
        <v>0.37</v>
      </c>
      <c r="J7091">
        <v>0.13689999999999999</v>
      </c>
      <c r="K7091" t="str">
        <f>IFERROR(INDEX(Rosters!$C$2:$C$155,MATCH($B7091,Rosters!$B$2:$B$155,0)),"NA")</f>
        <v>NA</v>
      </c>
      <c r="L7091" t="str">
        <f t="shared" si="330"/>
        <v>NA2TE</v>
      </c>
      <c r="M7091">
        <f>COUNTIF(L$1:L7091,L7091)</f>
        <v>71</v>
      </c>
      <c r="N7091" t="str">
        <f t="shared" si="331"/>
        <v>NA2TE-71</v>
      </c>
      <c r="O7091">
        <f>COUNTIFS(F$1:F7091,F7091,A$1:A7091,A7091)</f>
        <v>84</v>
      </c>
      <c r="P7091" t="str">
        <f t="shared" si="332"/>
        <v>Xavier Grimble2</v>
      </c>
    </row>
    <row r="7092" spans="1:16" x14ac:dyDescent="0.25">
      <c r="A7092">
        <v>11</v>
      </c>
      <c r="B7092" t="s">
        <v>1631</v>
      </c>
      <c r="C7092">
        <f>-0.07-0.57</f>
        <v>-0.6399999999999999</v>
      </c>
      <c r="D7092">
        <v>0.25</v>
      </c>
      <c r="E7092" t="s">
        <v>77</v>
      </c>
      <c r="F7092" t="s">
        <v>87</v>
      </c>
      <c r="G7092">
        <v>0.56999999999999995</v>
      </c>
      <c r="H7092">
        <v>-7.0000000000000007E-2</v>
      </c>
      <c r="I7092">
        <v>0.32</v>
      </c>
      <c r="J7092">
        <v>0.1024</v>
      </c>
      <c r="K7092" t="str">
        <f>IFERROR(INDEX(Rosters!$C$2:$C$155,MATCH($B7092,Rosters!$B$2:$B$155,0)),"NA")</f>
        <v>NA</v>
      </c>
      <c r="L7092" t="str">
        <f t="shared" si="330"/>
        <v>NA11WR</v>
      </c>
      <c r="M7092">
        <f>COUNTIF(L$1:L7092,L7092)</f>
        <v>99</v>
      </c>
      <c r="N7092" t="str">
        <f t="shared" si="331"/>
        <v>NA11WR-99</v>
      </c>
      <c r="O7092">
        <f>COUNTIFS(F$1:F7092,F7092,A$1:A7092,A7092)</f>
        <v>146</v>
      </c>
      <c r="P7092" t="str">
        <f t="shared" si="332"/>
        <v>Josh Malone11</v>
      </c>
    </row>
    <row r="7093" spans="1:16" x14ac:dyDescent="0.25">
      <c r="A7093">
        <v>2</v>
      </c>
      <c r="B7093" t="s">
        <v>369</v>
      </c>
      <c r="C7093">
        <f>-0.15-0.65</f>
        <v>-0.8</v>
      </c>
      <c r="D7093">
        <v>0.25</v>
      </c>
      <c r="E7093" t="s">
        <v>30</v>
      </c>
      <c r="F7093" t="s">
        <v>15</v>
      </c>
      <c r="G7093">
        <v>0.65</v>
      </c>
      <c r="H7093">
        <v>-0.15</v>
      </c>
      <c r="I7093">
        <v>0.4</v>
      </c>
      <c r="J7093">
        <v>0.16</v>
      </c>
      <c r="K7093" t="str">
        <f>IFERROR(INDEX(Rosters!$C$2:$C$155,MATCH($B7093,Rosters!$B$2:$B$155,0)),"NA")</f>
        <v>NA</v>
      </c>
      <c r="L7093" t="str">
        <f t="shared" si="330"/>
        <v>NA2QB</v>
      </c>
      <c r="M7093">
        <f>COUNTIF(L$1:L7093,L7093)</f>
        <v>37</v>
      </c>
      <c r="N7093" t="str">
        <f t="shared" si="331"/>
        <v>NA2QB-37</v>
      </c>
      <c r="O7093">
        <f>COUNTIFS(F$1:F7093,F7093,A$1:A7093,A7093)</f>
        <v>53</v>
      </c>
      <c r="P7093" t="str">
        <f t="shared" si="332"/>
        <v>Matt Cassel2</v>
      </c>
    </row>
    <row r="7094" spans="1:16" x14ac:dyDescent="0.25">
      <c r="A7094">
        <v>5</v>
      </c>
      <c r="B7094" t="s">
        <v>379</v>
      </c>
      <c r="C7094" t="s">
        <v>4747</v>
      </c>
      <c r="D7094">
        <v>0.25</v>
      </c>
      <c r="E7094" t="s">
        <v>58</v>
      </c>
      <c r="F7094" t="s">
        <v>47</v>
      </c>
      <c r="G7094">
        <v>0.5</v>
      </c>
      <c r="H7094">
        <v>0</v>
      </c>
      <c r="I7094">
        <v>0.25</v>
      </c>
      <c r="J7094">
        <v>6.25E-2</v>
      </c>
      <c r="K7094" t="str">
        <f>IFERROR(INDEX(Rosters!$C$2:$C$155,MATCH($B7094,Rosters!$B$2:$B$155,0)),"NA")</f>
        <v>NA</v>
      </c>
      <c r="L7094" t="str">
        <f t="shared" si="330"/>
        <v>NA5RB</v>
      </c>
      <c r="M7094">
        <f>COUNTIF(L$1:L7094,L7094)</f>
        <v>72</v>
      </c>
      <c r="N7094" t="str">
        <f t="shared" si="331"/>
        <v>NA5RB-72</v>
      </c>
      <c r="O7094">
        <f>COUNTIFS(F$1:F7094,F7094,A$1:A7094,A7094)</f>
        <v>115</v>
      </c>
      <c r="P7094" t="str">
        <f t="shared" si="332"/>
        <v>Raheem Mostert5</v>
      </c>
    </row>
    <row r="7095" spans="1:16" x14ac:dyDescent="0.25">
      <c r="A7095">
        <v>8</v>
      </c>
      <c r="B7095" t="s">
        <v>379</v>
      </c>
      <c r="C7095" t="s">
        <v>4747</v>
      </c>
      <c r="D7095">
        <v>0.25</v>
      </c>
      <c r="E7095" t="s">
        <v>58</v>
      </c>
      <c r="F7095" t="s">
        <v>47</v>
      </c>
      <c r="G7095">
        <v>0.5</v>
      </c>
      <c r="H7095">
        <v>0</v>
      </c>
      <c r="I7095">
        <v>0.25</v>
      </c>
      <c r="J7095">
        <v>6.25E-2</v>
      </c>
      <c r="K7095" t="str">
        <f>IFERROR(INDEX(Rosters!$C$2:$C$155,MATCH($B7095,Rosters!$B$2:$B$155,0)),"NA")</f>
        <v>NA</v>
      </c>
      <c r="L7095" t="str">
        <f t="shared" si="330"/>
        <v>NA8RB</v>
      </c>
      <c r="M7095">
        <f>COUNTIF(L$1:L7095,L7095)</f>
        <v>75</v>
      </c>
      <c r="N7095" t="str">
        <f t="shared" si="331"/>
        <v>NA8RB-75</v>
      </c>
      <c r="O7095">
        <f>COUNTIFS(F$1:F7095,F7095,A$1:A7095,A7095)</f>
        <v>115</v>
      </c>
      <c r="P7095" t="str">
        <f t="shared" si="332"/>
        <v>Raheem Mostert8</v>
      </c>
    </row>
    <row r="7096" spans="1:16" x14ac:dyDescent="0.25">
      <c r="A7096">
        <v>5</v>
      </c>
      <c r="B7096" t="s">
        <v>1634</v>
      </c>
      <c r="C7096">
        <f>-0.11-0.61</f>
        <v>-0.72</v>
      </c>
      <c r="D7096">
        <v>0.25</v>
      </c>
      <c r="E7096" t="s">
        <v>25</v>
      </c>
      <c r="F7096" t="s">
        <v>87</v>
      </c>
      <c r="G7096">
        <v>0.61</v>
      </c>
      <c r="H7096">
        <v>-0.11</v>
      </c>
      <c r="I7096">
        <v>0.36</v>
      </c>
      <c r="J7096">
        <v>0.12959999999999999</v>
      </c>
      <c r="K7096" t="str">
        <f>IFERROR(INDEX(Rosters!$C$2:$C$155,MATCH($B7096,Rosters!$B$2:$B$155,0)),"NA")</f>
        <v>NA</v>
      </c>
      <c r="L7096" t="str">
        <f t="shared" si="330"/>
        <v>NA5WR</v>
      </c>
      <c r="M7096">
        <f>COUNTIF(L$1:L7096,L7096)</f>
        <v>111</v>
      </c>
      <c r="N7096" t="str">
        <f t="shared" si="331"/>
        <v>NA5WR-111</v>
      </c>
      <c r="O7096">
        <f>COUNTIFS(F$1:F7096,F7096,A$1:A7096,A7096)</f>
        <v>161</v>
      </c>
      <c r="P7096" t="str">
        <f t="shared" si="332"/>
        <v>Shelton Gibson5</v>
      </c>
    </row>
    <row r="7097" spans="1:16" x14ac:dyDescent="0.25">
      <c r="A7097">
        <v>7</v>
      </c>
      <c r="B7097" t="s">
        <v>1640</v>
      </c>
      <c r="C7097">
        <f>-0.07-0.57</f>
        <v>-0.6399999999999999</v>
      </c>
      <c r="D7097">
        <v>0.25</v>
      </c>
      <c r="E7097" t="s">
        <v>66</v>
      </c>
      <c r="F7097" t="s">
        <v>47</v>
      </c>
      <c r="G7097">
        <v>0.56999999999999995</v>
      </c>
      <c r="H7097">
        <v>-7.0000000000000007E-2</v>
      </c>
      <c r="I7097">
        <v>0.32</v>
      </c>
      <c r="J7097">
        <v>0.1024</v>
      </c>
      <c r="K7097" t="str">
        <f>IFERROR(INDEX(Rosters!$C$2:$C$155,MATCH($B7097,Rosters!$B$2:$B$155,0)),"NA")</f>
        <v>NA</v>
      </c>
      <c r="L7097" t="str">
        <f t="shared" si="330"/>
        <v>NA7RB</v>
      </c>
      <c r="M7097">
        <f>COUNTIF(L$1:L7097,L7097)</f>
        <v>70</v>
      </c>
      <c r="N7097" t="str">
        <f t="shared" si="331"/>
        <v>NA7RB-70</v>
      </c>
      <c r="O7097">
        <f>COUNTIFS(F$1:F7097,F7097,A$1:A7097,A7097)</f>
        <v>111</v>
      </c>
      <c r="P7097" t="str">
        <f t="shared" si="332"/>
        <v>Taiwan Jones7</v>
      </c>
    </row>
    <row r="7098" spans="1:16" x14ac:dyDescent="0.25">
      <c r="A7098">
        <v>8</v>
      </c>
      <c r="B7098" t="s">
        <v>1640</v>
      </c>
      <c r="C7098">
        <f>-0.07-0.57</f>
        <v>-0.6399999999999999</v>
      </c>
      <c r="D7098">
        <v>0.25</v>
      </c>
      <c r="E7098" t="s">
        <v>423</v>
      </c>
      <c r="F7098" t="s">
        <v>47</v>
      </c>
      <c r="G7098">
        <v>0.56999999999999995</v>
      </c>
      <c r="H7098">
        <v>-7.0000000000000007E-2</v>
      </c>
      <c r="I7098">
        <v>0.32</v>
      </c>
      <c r="J7098">
        <v>0.1024</v>
      </c>
      <c r="K7098" t="str">
        <f>IFERROR(INDEX(Rosters!$C$2:$C$155,MATCH($B7098,Rosters!$B$2:$B$155,0)),"NA")</f>
        <v>NA</v>
      </c>
      <c r="L7098" t="str">
        <f t="shared" si="330"/>
        <v>NA8RB</v>
      </c>
      <c r="M7098">
        <f>COUNTIF(L$1:L7098,L7098)</f>
        <v>76</v>
      </c>
      <c r="N7098" t="str">
        <f t="shared" si="331"/>
        <v>NA8RB-76</v>
      </c>
      <c r="O7098">
        <f>COUNTIFS(F$1:F7098,F7098,A$1:A7098,A7098)</f>
        <v>116</v>
      </c>
      <c r="P7098" t="str">
        <f t="shared" si="332"/>
        <v>Taiwan Jones8</v>
      </c>
    </row>
    <row r="7099" spans="1:16" x14ac:dyDescent="0.25">
      <c r="A7099">
        <v>8</v>
      </c>
      <c r="B7099" t="s">
        <v>372</v>
      </c>
      <c r="C7099">
        <f>-0.09-0.59</f>
        <v>-0.67999999999999994</v>
      </c>
      <c r="D7099">
        <v>0.25</v>
      </c>
      <c r="E7099" t="s">
        <v>52</v>
      </c>
      <c r="F7099" t="s">
        <v>114</v>
      </c>
      <c r="G7099">
        <v>0.59</v>
      </c>
      <c r="H7099">
        <v>-0.09</v>
      </c>
      <c r="I7099">
        <v>0.34</v>
      </c>
      <c r="J7099">
        <v>0.11559999999999999</v>
      </c>
      <c r="K7099" t="str">
        <f>IFERROR(INDEX(Rosters!$C$2:$C$155,MATCH($B7099,Rosters!$B$2:$B$155,0)),"NA")</f>
        <v>NA</v>
      </c>
      <c r="L7099" t="str">
        <f t="shared" si="330"/>
        <v>NA8TE</v>
      </c>
      <c r="M7099">
        <f>COUNTIF(L$1:L7099,L7099)</f>
        <v>76</v>
      </c>
      <c r="N7099" t="str">
        <f t="shared" si="331"/>
        <v>NA8TE-76</v>
      </c>
      <c r="O7099">
        <f>COUNTIFS(F$1:F7099,F7099,A$1:A7099,A7099)</f>
        <v>88</v>
      </c>
      <c r="P7099" t="str">
        <f t="shared" si="332"/>
        <v>Xavier Grimble8</v>
      </c>
    </row>
    <row r="7100" spans="1:16" x14ac:dyDescent="0.25">
      <c r="A7100">
        <v>15</v>
      </c>
      <c r="B7100" t="s">
        <v>372</v>
      </c>
      <c r="C7100">
        <f>-0.09-0.59</f>
        <v>-0.67999999999999994</v>
      </c>
      <c r="D7100">
        <v>0.25</v>
      </c>
      <c r="E7100" t="s">
        <v>423</v>
      </c>
      <c r="F7100" t="s">
        <v>114</v>
      </c>
      <c r="G7100">
        <v>0.59</v>
      </c>
      <c r="H7100">
        <v>-0.09</v>
      </c>
      <c r="I7100">
        <v>0.34</v>
      </c>
      <c r="J7100">
        <v>0.11559999999999999</v>
      </c>
      <c r="K7100" t="str">
        <f>IFERROR(INDEX(Rosters!$C$2:$C$155,MATCH($B7100,Rosters!$B$2:$B$155,0)),"NA")</f>
        <v>NA</v>
      </c>
      <c r="L7100" t="str">
        <f t="shared" si="330"/>
        <v>NA15TE</v>
      </c>
      <c r="M7100">
        <f>COUNTIF(L$1:L7100,L7100)</f>
        <v>87</v>
      </c>
      <c r="N7100" t="str">
        <f t="shared" si="331"/>
        <v>NA15TE-87</v>
      </c>
      <c r="O7100">
        <f>COUNTIFS(F$1:F7100,F7100,A$1:A7100,A7100)</f>
        <v>101</v>
      </c>
      <c r="P7100" t="str">
        <f t="shared" si="332"/>
        <v>Xavier Grimble15</v>
      </c>
    </row>
    <row r="7101" spans="1:16" x14ac:dyDescent="0.25">
      <c r="A7101">
        <v>4</v>
      </c>
      <c r="B7101" t="s">
        <v>3012</v>
      </c>
      <c r="C7101">
        <f>-0.01-0.49</f>
        <v>-0.5</v>
      </c>
      <c r="D7101">
        <v>0.24</v>
      </c>
      <c r="E7101" t="s">
        <v>28</v>
      </c>
      <c r="F7101" t="s">
        <v>47</v>
      </c>
      <c r="G7101">
        <v>0.49</v>
      </c>
      <c r="H7101">
        <v>-0.01</v>
      </c>
      <c r="I7101">
        <v>0.25</v>
      </c>
      <c r="J7101">
        <v>6.25E-2</v>
      </c>
      <c r="K7101" t="str">
        <f>IFERROR(INDEX(Rosters!$C$2:$C$155,MATCH($B7101,Rosters!$B$2:$B$155,0)),"NA")</f>
        <v>NA</v>
      </c>
      <c r="L7101" t="str">
        <f t="shared" si="330"/>
        <v>NA4RB</v>
      </c>
      <c r="M7101">
        <f>COUNTIF(L$1:L7101,L7101)</f>
        <v>61</v>
      </c>
      <c r="N7101" t="str">
        <f t="shared" si="331"/>
        <v>NA4RB-61</v>
      </c>
      <c r="O7101">
        <f>COUNTIFS(F$1:F7101,F7101,A$1:A7101,A7101)</f>
        <v>100</v>
      </c>
      <c r="P7101" t="str">
        <f t="shared" si="332"/>
        <v>Derrick Coleman4</v>
      </c>
    </row>
    <row r="7102" spans="1:16" x14ac:dyDescent="0.25">
      <c r="A7102">
        <v>6</v>
      </c>
      <c r="B7102" t="s">
        <v>3012</v>
      </c>
      <c r="C7102" t="s">
        <v>8942</v>
      </c>
      <c r="D7102">
        <v>0.24</v>
      </c>
      <c r="E7102" t="s">
        <v>25</v>
      </c>
      <c r="F7102" t="s">
        <v>47</v>
      </c>
      <c r="G7102">
        <v>0.48</v>
      </c>
      <c r="H7102">
        <v>0</v>
      </c>
      <c r="I7102">
        <v>0.24</v>
      </c>
      <c r="J7102">
        <v>5.7599999999999998E-2</v>
      </c>
      <c r="K7102" t="str">
        <f>IFERROR(INDEX(Rosters!$C$2:$C$155,MATCH($B7102,Rosters!$B$2:$B$155,0)),"NA")</f>
        <v>NA</v>
      </c>
      <c r="L7102" t="str">
        <f t="shared" si="330"/>
        <v>NA6RB</v>
      </c>
      <c r="M7102">
        <f>COUNTIF(L$1:L7102,L7102)</f>
        <v>74</v>
      </c>
      <c r="N7102" t="str">
        <f t="shared" si="331"/>
        <v>NA6RB-74</v>
      </c>
      <c r="O7102">
        <f>COUNTIFS(F$1:F7102,F7102,A$1:A7102,A7102)</f>
        <v>116</v>
      </c>
      <c r="P7102" t="str">
        <f t="shared" si="332"/>
        <v>Derrick Coleman6</v>
      </c>
    </row>
    <row r="7103" spans="1:16" x14ac:dyDescent="0.25">
      <c r="A7103">
        <v>12</v>
      </c>
      <c r="B7103" t="s">
        <v>3012</v>
      </c>
      <c r="C7103" t="s">
        <v>8942</v>
      </c>
      <c r="D7103">
        <v>0.24</v>
      </c>
      <c r="E7103" t="s">
        <v>37</v>
      </c>
      <c r="F7103" t="s">
        <v>47</v>
      </c>
      <c r="G7103">
        <v>0.48</v>
      </c>
      <c r="H7103">
        <v>0</v>
      </c>
      <c r="I7103">
        <v>0.24</v>
      </c>
      <c r="J7103">
        <v>5.7599999999999998E-2</v>
      </c>
      <c r="K7103" t="str">
        <f>IFERROR(INDEX(Rosters!$C$2:$C$155,MATCH($B7103,Rosters!$B$2:$B$155,0)),"NA")</f>
        <v>NA</v>
      </c>
      <c r="L7103" t="str">
        <f t="shared" si="330"/>
        <v>NA12RB</v>
      </c>
      <c r="M7103">
        <f>COUNTIF(L$1:L7103,L7103)</f>
        <v>78</v>
      </c>
      <c r="N7103" t="str">
        <f t="shared" si="331"/>
        <v>NA12RB-78</v>
      </c>
      <c r="O7103">
        <f>COUNTIFS(F$1:F7103,F7103,A$1:A7103,A7103)</f>
        <v>123</v>
      </c>
      <c r="P7103" t="str">
        <f t="shared" si="332"/>
        <v>Derrick Coleman12</v>
      </c>
    </row>
    <row r="7104" spans="1:16" x14ac:dyDescent="0.25">
      <c r="A7104">
        <v>15</v>
      </c>
      <c r="B7104" t="s">
        <v>3012</v>
      </c>
      <c r="C7104">
        <f>-0.03-0.51</f>
        <v>-0.54</v>
      </c>
      <c r="D7104">
        <v>0.24</v>
      </c>
      <c r="E7104" t="s">
        <v>46</v>
      </c>
      <c r="F7104" t="s">
        <v>47</v>
      </c>
      <c r="G7104">
        <v>0.51</v>
      </c>
      <c r="H7104">
        <v>-0.03</v>
      </c>
      <c r="I7104">
        <v>0.27</v>
      </c>
      <c r="J7104">
        <v>7.2900000000000006E-2</v>
      </c>
      <c r="K7104" t="str">
        <f>IFERROR(INDEX(Rosters!$C$2:$C$155,MATCH($B7104,Rosters!$B$2:$B$155,0)),"NA")</f>
        <v>NA</v>
      </c>
      <c r="L7104" t="str">
        <f t="shared" si="330"/>
        <v>NA15RB</v>
      </c>
      <c r="M7104">
        <f>COUNTIF(L$1:L7104,L7104)</f>
        <v>85</v>
      </c>
      <c r="N7104" t="str">
        <f t="shared" si="331"/>
        <v>NA15RB-85</v>
      </c>
      <c r="O7104">
        <f>COUNTIFS(F$1:F7104,F7104,A$1:A7104,A7104)</f>
        <v>132</v>
      </c>
      <c r="P7104" t="str">
        <f t="shared" si="332"/>
        <v>Derrick Coleman15</v>
      </c>
    </row>
    <row r="7105" spans="1:16" x14ac:dyDescent="0.25">
      <c r="A7105">
        <v>3</v>
      </c>
      <c r="B7105" t="s">
        <v>374</v>
      </c>
      <c r="C7105">
        <f>-0.04-0.52</f>
        <v>-0.56000000000000005</v>
      </c>
      <c r="D7105">
        <v>0.24</v>
      </c>
      <c r="E7105" t="s">
        <v>34</v>
      </c>
      <c r="F7105" t="s">
        <v>47</v>
      </c>
      <c r="G7105">
        <v>0.52</v>
      </c>
      <c r="H7105">
        <v>-0.04</v>
      </c>
      <c r="I7105">
        <v>0.28000000000000003</v>
      </c>
      <c r="J7105">
        <v>7.8399999999999997E-2</v>
      </c>
      <c r="K7105" t="str">
        <f>IFERROR(INDEX(Rosters!$C$2:$C$155,MATCH($B7105,Rosters!$B$2:$B$155,0)),"NA")</f>
        <v>NA</v>
      </c>
      <c r="L7105" t="str">
        <f t="shared" si="330"/>
        <v>NA3RB</v>
      </c>
      <c r="M7105">
        <f>COUNTIF(L$1:L7105,L7105)</f>
        <v>62</v>
      </c>
      <c r="N7105" t="str">
        <f t="shared" si="331"/>
        <v>NA3RB-62</v>
      </c>
      <c r="O7105">
        <f>COUNTIFS(F$1:F7105,F7105,A$1:A7105,A7105)</f>
        <v>101</v>
      </c>
      <c r="P7105" t="str">
        <f t="shared" si="332"/>
        <v>James Develin3</v>
      </c>
    </row>
    <row r="7106" spans="1:16" x14ac:dyDescent="0.25">
      <c r="A7106">
        <v>4</v>
      </c>
      <c r="B7106" t="s">
        <v>369</v>
      </c>
      <c r="C7106">
        <f>-0.17-0.65</f>
        <v>-0.82000000000000006</v>
      </c>
      <c r="D7106">
        <v>0.24</v>
      </c>
      <c r="E7106" t="s">
        <v>22</v>
      </c>
      <c r="F7106" t="s">
        <v>15</v>
      </c>
      <c r="G7106">
        <v>0.65</v>
      </c>
      <c r="H7106">
        <v>-0.17</v>
      </c>
      <c r="I7106">
        <v>0.41</v>
      </c>
      <c r="J7106">
        <v>0.1681</v>
      </c>
      <c r="K7106" t="str">
        <f>IFERROR(INDEX(Rosters!$C$2:$C$155,MATCH($B7106,Rosters!$B$2:$B$155,0)),"NA")</f>
        <v>NA</v>
      </c>
      <c r="L7106" t="str">
        <f t="shared" si="330"/>
        <v>NA4QB</v>
      </c>
      <c r="M7106">
        <f>COUNTIF(L$1:L7106,L7106)</f>
        <v>38</v>
      </c>
      <c r="N7106" t="str">
        <f t="shared" si="331"/>
        <v>NA4QB-38</v>
      </c>
      <c r="O7106">
        <f>COUNTIFS(F$1:F7106,F7106,A$1:A7106,A7106)</f>
        <v>53</v>
      </c>
      <c r="P7106" t="str">
        <f t="shared" si="332"/>
        <v>Matt Cassel4</v>
      </c>
    </row>
    <row r="7107" spans="1:16" x14ac:dyDescent="0.25">
      <c r="A7107">
        <v>16</v>
      </c>
      <c r="B7107" t="s">
        <v>369</v>
      </c>
      <c r="C7107">
        <f>-0.18-0.66</f>
        <v>-0.84000000000000008</v>
      </c>
      <c r="D7107">
        <v>0.24</v>
      </c>
      <c r="E7107" t="s">
        <v>25</v>
      </c>
      <c r="F7107" t="s">
        <v>15</v>
      </c>
      <c r="G7107">
        <v>0.66</v>
      </c>
      <c r="H7107">
        <v>-0.18</v>
      </c>
      <c r="I7107">
        <v>0.42</v>
      </c>
      <c r="J7107">
        <v>0.1764</v>
      </c>
      <c r="K7107" t="str">
        <f>IFERROR(INDEX(Rosters!$C$2:$C$155,MATCH($B7107,Rosters!$B$2:$B$155,0)),"NA")</f>
        <v>NA</v>
      </c>
      <c r="L7107" t="str">
        <f t="shared" ref="L7107:L7170" si="333">K7107&amp;A7107&amp;F7107</f>
        <v>NA16QB</v>
      </c>
      <c r="M7107">
        <f>COUNTIF(L$1:L7107,L7107)</f>
        <v>42</v>
      </c>
      <c r="N7107" t="str">
        <f t="shared" ref="N7107:N7170" si="334">L7107&amp;"-"&amp;M7107</f>
        <v>NA16QB-42</v>
      </c>
      <c r="O7107">
        <f>COUNTIFS(F$1:F7107,F7107,A$1:A7107,A7107)</f>
        <v>59</v>
      </c>
      <c r="P7107" t="str">
        <f t="shared" ref="P7107:P7170" si="335">B7107&amp;A7107</f>
        <v>Matt Cassel16</v>
      </c>
    </row>
    <row r="7108" spans="1:16" x14ac:dyDescent="0.25">
      <c r="A7108">
        <v>17</v>
      </c>
      <c r="B7108" t="s">
        <v>369</v>
      </c>
      <c r="C7108">
        <f>-0.17-0.65</f>
        <v>-0.82000000000000006</v>
      </c>
      <c r="D7108">
        <v>0.24</v>
      </c>
      <c r="E7108" t="s">
        <v>41</v>
      </c>
      <c r="F7108" t="s">
        <v>15</v>
      </c>
      <c r="G7108">
        <v>0.65</v>
      </c>
      <c r="H7108">
        <v>-0.17</v>
      </c>
      <c r="I7108">
        <v>0.41</v>
      </c>
      <c r="J7108">
        <v>0.1681</v>
      </c>
      <c r="K7108" t="str">
        <f>IFERROR(INDEX(Rosters!$C$2:$C$155,MATCH($B7108,Rosters!$B$2:$B$155,0)),"NA")</f>
        <v>NA</v>
      </c>
      <c r="L7108" t="str">
        <f t="shared" si="333"/>
        <v>NA17QB</v>
      </c>
      <c r="M7108">
        <f>COUNTIF(L$1:L7108,L7108)</f>
        <v>42</v>
      </c>
      <c r="N7108" t="str">
        <f t="shared" si="334"/>
        <v>NA17QB-42</v>
      </c>
      <c r="O7108">
        <f>COUNTIFS(F$1:F7108,F7108,A$1:A7108,A7108)</f>
        <v>59</v>
      </c>
      <c r="P7108" t="str">
        <f t="shared" si="335"/>
        <v>Matt Cassel17</v>
      </c>
    </row>
    <row r="7109" spans="1:16" x14ac:dyDescent="0.25">
      <c r="A7109">
        <v>12</v>
      </c>
      <c r="B7109" t="s">
        <v>379</v>
      </c>
      <c r="C7109" t="s">
        <v>8943</v>
      </c>
      <c r="D7109">
        <v>0.24</v>
      </c>
      <c r="E7109" t="s">
        <v>17</v>
      </c>
      <c r="F7109" t="s">
        <v>47</v>
      </c>
      <c r="G7109">
        <v>0.47</v>
      </c>
      <c r="H7109">
        <v>0.01</v>
      </c>
      <c r="I7109">
        <v>0.23</v>
      </c>
      <c r="J7109">
        <v>5.2900000000000003E-2</v>
      </c>
      <c r="K7109" t="str">
        <f>IFERROR(INDEX(Rosters!$C$2:$C$155,MATCH($B7109,Rosters!$B$2:$B$155,0)),"NA")</f>
        <v>NA</v>
      </c>
      <c r="L7109" t="str">
        <f t="shared" si="333"/>
        <v>NA12RB</v>
      </c>
      <c r="M7109">
        <f>COUNTIF(L$1:L7109,L7109)</f>
        <v>79</v>
      </c>
      <c r="N7109" t="str">
        <f t="shared" si="334"/>
        <v>NA12RB-79</v>
      </c>
      <c r="O7109">
        <f>COUNTIFS(F$1:F7109,F7109,A$1:A7109,A7109)</f>
        <v>124</v>
      </c>
      <c r="P7109" t="str">
        <f t="shared" si="335"/>
        <v>Raheem Mostert12</v>
      </c>
    </row>
    <row r="7110" spans="1:16" x14ac:dyDescent="0.25">
      <c r="A7110">
        <v>2</v>
      </c>
      <c r="B7110" t="s">
        <v>347</v>
      </c>
      <c r="C7110">
        <f>-0.1-0.58</f>
        <v>-0.67999999999999994</v>
      </c>
      <c r="D7110">
        <v>0.24</v>
      </c>
      <c r="E7110" t="s">
        <v>58</v>
      </c>
      <c r="F7110" t="s">
        <v>15</v>
      </c>
      <c r="G7110">
        <v>0.57999999999999996</v>
      </c>
      <c r="H7110">
        <v>-0.1</v>
      </c>
      <c r="I7110">
        <v>0.34</v>
      </c>
      <c r="J7110">
        <v>0.11559999999999999</v>
      </c>
      <c r="K7110" t="str">
        <f>IFERROR(INDEX(Rosters!$C$2:$C$155,MATCH($B7110,Rosters!$B$2:$B$155,0)),"NA")</f>
        <v>NA</v>
      </c>
      <c r="L7110" t="str">
        <f t="shared" si="333"/>
        <v>NA2QB</v>
      </c>
      <c r="M7110">
        <f>COUNTIF(L$1:L7110,L7110)</f>
        <v>38</v>
      </c>
      <c r="N7110" t="str">
        <f t="shared" si="334"/>
        <v>NA2QB-38</v>
      </c>
      <c r="O7110">
        <f>COUNTIFS(F$1:F7110,F7110,A$1:A7110,A7110)</f>
        <v>54</v>
      </c>
      <c r="P7110" t="str">
        <f t="shared" si="335"/>
        <v>Sean Mannion2</v>
      </c>
    </row>
    <row r="7111" spans="1:16" x14ac:dyDescent="0.25">
      <c r="A7111">
        <v>11</v>
      </c>
      <c r="B7111" t="s">
        <v>1634</v>
      </c>
      <c r="C7111">
        <f>-0.16-0.64</f>
        <v>-0.8</v>
      </c>
      <c r="D7111">
        <v>0.24</v>
      </c>
      <c r="E7111" t="s">
        <v>14</v>
      </c>
      <c r="F7111" t="s">
        <v>87</v>
      </c>
      <c r="G7111">
        <v>0.64</v>
      </c>
      <c r="H7111">
        <v>-0.16</v>
      </c>
      <c r="I7111">
        <v>0.4</v>
      </c>
      <c r="J7111">
        <v>0.16</v>
      </c>
      <c r="K7111" t="str">
        <f>IFERROR(INDEX(Rosters!$C$2:$C$155,MATCH($B7111,Rosters!$B$2:$B$155,0)),"NA")</f>
        <v>NA</v>
      </c>
      <c r="L7111" t="str">
        <f t="shared" si="333"/>
        <v>NA11WR</v>
      </c>
      <c r="M7111">
        <f>COUNTIF(L$1:L7111,L7111)</f>
        <v>100</v>
      </c>
      <c r="N7111" t="str">
        <f t="shared" si="334"/>
        <v>NA11WR-100</v>
      </c>
      <c r="O7111">
        <f>COUNTIFS(F$1:F7111,F7111,A$1:A7111,A7111)</f>
        <v>147</v>
      </c>
      <c r="P7111" t="str">
        <f t="shared" si="335"/>
        <v>Shelton Gibson11</v>
      </c>
    </row>
    <row r="7112" spans="1:16" x14ac:dyDescent="0.25">
      <c r="A7112">
        <v>16</v>
      </c>
      <c r="B7112" t="s">
        <v>1640</v>
      </c>
      <c r="C7112">
        <f>-0.08-0.56</f>
        <v>-0.64</v>
      </c>
      <c r="D7112">
        <v>0.24</v>
      </c>
      <c r="E7112" t="s">
        <v>423</v>
      </c>
      <c r="F7112" t="s">
        <v>47</v>
      </c>
      <c r="G7112">
        <v>0.56000000000000005</v>
      </c>
      <c r="H7112">
        <v>-0.08</v>
      </c>
      <c r="I7112">
        <v>0.32</v>
      </c>
      <c r="J7112">
        <v>0.1024</v>
      </c>
      <c r="K7112" t="str">
        <f>IFERROR(INDEX(Rosters!$C$2:$C$155,MATCH($B7112,Rosters!$B$2:$B$155,0)),"NA")</f>
        <v>NA</v>
      </c>
      <c r="L7112" t="str">
        <f t="shared" si="333"/>
        <v>NA16RB</v>
      </c>
      <c r="M7112">
        <f>COUNTIF(L$1:L7112,L7112)</f>
        <v>83</v>
      </c>
      <c r="N7112" t="str">
        <f t="shared" si="334"/>
        <v>NA16RB-83</v>
      </c>
      <c r="O7112">
        <f>COUNTIFS(F$1:F7112,F7112,A$1:A7112,A7112)</f>
        <v>130</v>
      </c>
      <c r="P7112" t="str">
        <f t="shared" si="335"/>
        <v>Taiwan Jones16</v>
      </c>
    </row>
    <row r="7113" spans="1:16" x14ac:dyDescent="0.25">
      <c r="A7113">
        <v>17</v>
      </c>
      <c r="B7113" t="s">
        <v>1640</v>
      </c>
      <c r="C7113">
        <f>-0.08-0.56</f>
        <v>-0.64</v>
      </c>
      <c r="D7113">
        <v>0.24</v>
      </c>
      <c r="E7113" t="s">
        <v>19</v>
      </c>
      <c r="F7113" t="s">
        <v>47</v>
      </c>
      <c r="G7113">
        <v>0.56000000000000005</v>
      </c>
      <c r="H7113">
        <v>-0.08</v>
      </c>
      <c r="I7113">
        <v>0.32</v>
      </c>
      <c r="J7113">
        <v>0.1024</v>
      </c>
      <c r="K7113" t="str">
        <f>IFERROR(INDEX(Rosters!$C$2:$C$155,MATCH($B7113,Rosters!$B$2:$B$155,0)),"NA")</f>
        <v>NA</v>
      </c>
      <c r="L7113" t="str">
        <f t="shared" si="333"/>
        <v>NA17RB</v>
      </c>
      <c r="M7113">
        <f>COUNTIF(L$1:L7113,L7113)</f>
        <v>84</v>
      </c>
      <c r="N7113" t="str">
        <f t="shared" si="334"/>
        <v>NA17RB-84</v>
      </c>
      <c r="O7113">
        <f>COUNTIFS(F$1:F7113,F7113,A$1:A7113,A7113)</f>
        <v>131</v>
      </c>
      <c r="P7113" t="str">
        <f t="shared" si="335"/>
        <v>Taiwan Jones17</v>
      </c>
    </row>
    <row r="7114" spans="1:16" x14ac:dyDescent="0.25">
      <c r="A7114">
        <v>13</v>
      </c>
      <c r="B7114" t="s">
        <v>222</v>
      </c>
      <c r="C7114">
        <f>-0.02-0.5</f>
        <v>-0.52</v>
      </c>
      <c r="D7114">
        <v>0.24</v>
      </c>
      <c r="E7114" t="s">
        <v>14</v>
      </c>
      <c r="F7114" t="s">
        <v>87</v>
      </c>
      <c r="G7114">
        <v>0.5</v>
      </c>
      <c r="H7114">
        <v>-0.02</v>
      </c>
      <c r="I7114">
        <v>0.26</v>
      </c>
      <c r="J7114">
        <v>6.7599999999999993E-2</v>
      </c>
      <c r="K7114" t="str">
        <f>IFERROR(INDEX(Rosters!$C$2:$C$155,MATCH($B7114,Rosters!$B$2:$B$155,0)),"NA")</f>
        <v>NA</v>
      </c>
      <c r="L7114" t="str">
        <f t="shared" si="333"/>
        <v>NA13WR</v>
      </c>
      <c r="M7114">
        <f>COUNTIF(L$1:L7114,L7114)</f>
        <v>126</v>
      </c>
      <c r="N7114" t="str">
        <f t="shared" si="334"/>
        <v>NA13WR-126</v>
      </c>
      <c r="O7114">
        <f>COUNTIFS(F$1:F7114,F7114,A$1:A7114,A7114)</f>
        <v>180</v>
      </c>
      <c r="P7114" t="str">
        <f t="shared" si="335"/>
        <v>Terrance Williams13</v>
      </c>
    </row>
    <row r="7115" spans="1:16" x14ac:dyDescent="0.25">
      <c r="A7115">
        <v>4</v>
      </c>
      <c r="B7115" t="s">
        <v>372</v>
      </c>
      <c r="C7115">
        <f>-0.14-0.62</f>
        <v>-0.76</v>
      </c>
      <c r="D7115">
        <v>0.24</v>
      </c>
      <c r="E7115" t="s">
        <v>77</v>
      </c>
      <c r="F7115" t="s">
        <v>114</v>
      </c>
      <c r="G7115">
        <v>0.62</v>
      </c>
      <c r="H7115">
        <v>-0.14000000000000001</v>
      </c>
      <c r="I7115">
        <v>0.38</v>
      </c>
      <c r="J7115">
        <v>0.1444</v>
      </c>
      <c r="K7115" t="str">
        <f>IFERROR(INDEX(Rosters!$C$2:$C$155,MATCH($B7115,Rosters!$B$2:$B$155,0)),"NA")</f>
        <v>NA</v>
      </c>
      <c r="L7115" t="str">
        <f t="shared" si="333"/>
        <v>NA4TE</v>
      </c>
      <c r="M7115">
        <f>COUNTIF(L$1:L7115,L7115)</f>
        <v>67</v>
      </c>
      <c r="N7115" t="str">
        <f t="shared" si="334"/>
        <v>NA4TE-67</v>
      </c>
      <c r="O7115">
        <f>COUNTIFS(F$1:F7115,F7115,A$1:A7115,A7115)</f>
        <v>78</v>
      </c>
      <c r="P7115" t="str">
        <f t="shared" si="335"/>
        <v>Xavier Grimble4</v>
      </c>
    </row>
    <row r="7116" spans="1:16" x14ac:dyDescent="0.25">
      <c r="A7116">
        <v>11</v>
      </c>
      <c r="B7116" t="s">
        <v>372</v>
      </c>
      <c r="C7116">
        <f>-0.15-0.63</f>
        <v>-0.78</v>
      </c>
      <c r="D7116">
        <v>0.24</v>
      </c>
      <c r="E7116" t="s">
        <v>76</v>
      </c>
      <c r="F7116" t="s">
        <v>114</v>
      </c>
      <c r="G7116">
        <v>0.63</v>
      </c>
      <c r="H7116">
        <v>-0.15</v>
      </c>
      <c r="I7116">
        <v>0.39</v>
      </c>
      <c r="J7116">
        <v>0.15210000000000001</v>
      </c>
      <c r="K7116" t="str">
        <f>IFERROR(INDEX(Rosters!$C$2:$C$155,MATCH($B7116,Rosters!$B$2:$B$155,0)),"NA")</f>
        <v>NA</v>
      </c>
      <c r="L7116" t="str">
        <f t="shared" si="333"/>
        <v>NA11TE</v>
      </c>
      <c r="M7116">
        <f>COUNTIF(L$1:L7116,L7116)</f>
        <v>68</v>
      </c>
      <c r="N7116" t="str">
        <f t="shared" si="334"/>
        <v>NA11TE-68</v>
      </c>
      <c r="O7116">
        <f>COUNTIFS(F$1:F7116,F7116,A$1:A7116,A7116)</f>
        <v>80</v>
      </c>
      <c r="P7116" t="str">
        <f t="shared" si="335"/>
        <v>Xavier Grimble11</v>
      </c>
    </row>
    <row r="7117" spans="1:16" x14ac:dyDescent="0.25">
      <c r="A7117">
        <v>12</v>
      </c>
      <c r="B7117" t="s">
        <v>372</v>
      </c>
      <c r="C7117">
        <f>-0.1-0.58</f>
        <v>-0.67999999999999994</v>
      </c>
      <c r="D7117">
        <v>0.24</v>
      </c>
      <c r="E7117" t="s">
        <v>42</v>
      </c>
      <c r="F7117" t="s">
        <v>114</v>
      </c>
      <c r="G7117">
        <v>0.57999999999999996</v>
      </c>
      <c r="H7117">
        <v>-0.1</v>
      </c>
      <c r="I7117">
        <v>0.34</v>
      </c>
      <c r="J7117">
        <v>0.11559999999999999</v>
      </c>
      <c r="K7117" t="str">
        <f>IFERROR(INDEX(Rosters!$C$2:$C$155,MATCH($B7117,Rosters!$B$2:$B$155,0)),"NA")</f>
        <v>NA</v>
      </c>
      <c r="L7117" t="str">
        <f t="shared" si="333"/>
        <v>NA12TE</v>
      </c>
      <c r="M7117">
        <f>COUNTIF(L$1:L7117,L7117)</f>
        <v>83</v>
      </c>
      <c r="N7117" t="str">
        <f t="shared" si="334"/>
        <v>NA12TE-83</v>
      </c>
      <c r="O7117">
        <f>COUNTIFS(F$1:F7117,F7117,A$1:A7117,A7117)</f>
        <v>96</v>
      </c>
      <c r="P7117" t="str">
        <f t="shared" si="335"/>
        <v>Xavier Grimble12</v>
      </c>
    </row>
    <row r="7118" spans="1:16" x14ac:dyDescent="0.25">
      <c r="A7118">
        <v>9</v>
      </c>
      <c r="B7118" t="s">
        <v>272</v>
      </c>
      <c r="C7118">
        <f>-0.06-0.52</f>
        <v>-0.58000000000000007</v>
      </c>
      <c r="D7118">
        <v>0.23</v>
      </c>
      <c r="E7118" t="s">
        <v>52</v>
      </c>
      <c r="F7118" t="s">
        <v>47</v>
      </c>
      <c r="G7118">
        <v>0.52</v>
      </c>
      <c r="H7118">
        <v>-0.06</v>
      </c>
      <c r="I7118">
        <v>0.28999999999999998</v>
      </c>
      <c r="J7118">
        <v>8.4099999999999994E-2</v>
      </c>
      <c r="K7118" t="str">
        <f>IFERROR(INDEX(Rosters!$C$2:$C$155,MATCH($B7118,Rosters!$B$2:$B$155,0)),"NA")</f>
        <v>NA</v>
      </c>
      <c r="L7118" t="str">
        <f t="shared" si="333"/>
        <v>NA9RB</v>
      </c>
      <c r="M7118">
        <f>COUNTIF(L$1:L7118,L7118)</f>
        <v>65</v>
      </c>
      <c r="N7118" t="str">
        <f t="shared" si="334"/>
        <v>NA9RB-65</v>
      </c>
      <c r="O7118">
        <f>COUNTIFS(F$1:F7118,F7118,A$1:A7118,A7118)</f>
        <v>105</v>
      </c>
      <c r="P7118" t="str">
        <f t="shared" si="335"/>
        <v>Damien Williams9</v>
      </c>
    </row>
    <row r="7119" spans="1:16" x14ac:dyDescent="0.25">
      <c r="A7119">
        <v>7</v>
      </c>
      <c r="B7119" t="s">
        <v>3012</v>
      </c>
      <c r="C7119">
        <f>-0.02-0.48</f>
        <v>-0.5</v>
      </c>
      <c r="D7119">
        <v>0.23</v>
      </c>
      <c r="E7119" t="s">
        <v>42</v>
      </c>
      <c r="F7119" t="s">
        <v>47</v>
      </c>
      <c r="G7119">
        <v>0.48</v>
      </c>
      <c r="H7119">
        <v>-0.02</v>
      </c>
      <c r="I7119">
        <v>0.25</v>
      </c>
      <c r="J7119">
        <v>6.25E-2</v>
      </c>
      <c r="K7119" t="str">
        <f>IFERROR(INDEX(Rosters!$C$2:$C$155,MATCH($B7119,Rosters!$B$2:$B$155,0)),"NA")</f>
        <v>NA</v>
      </c>
      <c r="L7119" t="str">
        <f t="shared" si="333"/>
        <v>NA7RB</v>
      </c>
      <c r="M7119">
        <f>COUNTIF(L$1:L7119,L7119)</f>
        <v>71</v>
      </c>
      <c r="N7119" t="str">
        <f t="shared" si="334"/>
        <v>NA7RB-71</v>
      </c>
      <c r="O7119">
        <f>COUNTIFS(F$1:F7119,F7119,A$1:A7119,A7119)</f>
        <v>112</v>
      </c>
      <c r="P7119" t="str">
        <f t="shared" si="335"/>
        <v>Derrick Coleman7</v>
      </c>
    </row>
    <row r="7120" spans="1:16" x14ac:dyDescent="0.25">
      <c r="A7120">
        <v>16</v>
      </c>
      <c r="B7120" t="s">
        <v>3012</v>
      </c>
      <c r="C7120" t="s">
        <v>8944</v>
      </c>
      <c r="D7120">
        <v>0.23</v>
      </c>
      <c r="E7120" t="s">
        <v>56</v>
      </c>
      <c r="F7120" t="s">
        <v>47</v>
      </c>
      <c r="G7120">
        <v>0.46</v>
      </c>
      <c r="H7120">
        <v>0</v>
      </c>
      <c r="I7120">
        <v>0.23</v>
      </c>
      <c r="J7120">
        <v>5.2900000000000003E-2</v>
      </c>
      <c r="K7120" t="str">
        <f>IFERROR(INDEX(Rosters!$C$2:$C$155,MATCH($B7120,Rosters!$B$2:$B$155,0)),"NA")</f>
        <v>NA</v>
      </c>
      <c r="L7120" t="str">
        <f t="shared" si="333"/>
        <v>NA16RB</v>
      </c>
      <c r="M7120">
        <f>COUNTIF(L$1:L7120,L7120)</f>
        <v>84</v>
      </c>
      <c r="N7120" t="str">
        <f t="shared" si="334"/>
        <v>NA16RB-84</v>
      </c>
      <c r="O7120">
        <f>COUNTIFS(F$1:F7120,F7120,A$1:A7120,A7120)</f>
        <v>131</v>
      </c>
      <c r="P7120" t="str">
        <f t="shared" si="335"/>
        <v>Derrick Coleman16</v>
      </c>
    </row>
    <row r="7121" spans="1:16" x14ac:dyDescent="0.25">
      <c r="A7121">
        <v>17</v>
      </c>
      <c r="B7121" t="s">
        <v>3012</v>
      </c>
      <c r="C7121">
        <f>-0.02-0.48</f>
        <v>-0.5</v>
      </c>
      <c r="D7121">
        <v>0.23</v>
      </c>
      <c r="E7121" t="s">
        <v>28</v>
      </c>
      <c r="F7121" t="s">
        <v>47</v>
      </c>
      <c r="G7121">
        <v>0.48</v>
      </c>
      <c r="H7121">
        <v>-0.02</v>
      </c>
      <c r="I7121">
        <v>0.25</v>
      </c>
      <c r="J7121">
        <v>6.25E-2</v>
      </c>
      <c r="K7121" t="str">
        <f>IFERROR(INDEX(Rosters!$C$2:$C$155,MATCH($B7121,Rosters!$B$2:$B$155,0)),"NA")</f>
        <v>NA</v>
      </c>
      <c r="L7121" t="str">
        <f t="shared" si="333"/>
        <v>NA17RB</v>
      </c>
      <c r="M7121">
        <f>COUNTIF(L$1:L7121,L7121)</f>
        <v>85</v>
      </c>
      <c r="N7121" t="str">
        <f t="shared" si="334"/>
        <v>NA17RB-85</v>
      </c>
      <c r="O7121">
        <f>COUNTIFS(F$1:F7121,F7121,A$1:A7121,A7121)</f>
        <v>132</v>
      </c>
      <c r="P7121" t="str">
        <f t="shared" si="335"/>
        <v>Derrick Coleman17</v>
      </c>
    </row>
    <row r="7122" spans="1:16" x14ac:dyDescent="0.25">
      <c r="A7122">
        <v>5</v>
      </c>
      <c r="B7122" t="s">
        <v>374</v>
      </c>
      <c r="C7122">
        <f>-0.03-0.49</f>
        <v>-0.52</v>
      </c>
      <c r="D7122">
        <v>0.23</v>
      </c>
      <c r="E7122" t="s">
        <v>66</v>
      </c>
      <c r="F7122" t="s">
        <v>47</v>
      </c>
      <c r="G7122">
        <v>0.49</v>
      </c>
      <c r="H7122">
        <v>-0.03</v>
      </c>
      <c r="I7122">
        <v>0.26</v>
      </c>
      <c r="J7122">
        <v>6.7599999999999993E-2</v>
      </c>
      <c r="K7122" t="str">
        <f>IFERROR(INDEX(Rosters!$C$2:$C$155,MATCH($B7122,Rosters!$B$2:$B$155,0)),"NA")</f>
        <v>NA</v>
      </c>
      <c r="L7122" t="str">
        <f t="shared" si="333"/>
        <v>NA5RB</v>
      </c>
      <c r="M7122">
        <f>COUNTIF(L$1:L7122,L7122)</f>
        <v>73</v>
      </c>
      <c r="N7122" t="str">
        <f t="shared" si="334"/>
        <v>NA5RB-73</v>
      </c>
      <c r="O7122">
        <f>COUNTIFS(F$1:F7122,F7122,A$1:A7122,A7122)</f>
        <v>116</v>
      </c>
      <c r="P7122" t="str">
        <f t="shared" si="335"/>
        <v>James Develin5</v>
      </c>
    </row>
    <row r="7123" spans="1:16" x14ac:dyDescent="0.25">
      <c r="A7123">
        <v>16</v>
      </c>
      <c r="B7123" t="s">
        <v>374</v>
      </c>
      <c r="C7123">
        <f>-0.05-0.51</f>
        <v>-0.56000000000000005</v>
      </c>
      <c r="D7123">
        <v>0.23</v>
      </c>
      <c r="E7123" t="s">
        <v>29</v>
      </c>
      <c r="F7123" t="s">
        <v>47</v>
      </c>
      <c r="G7123">
        <v>0.51</v>
      </c>
      <c r="H7123">
        <v>-0.05</v>
      </c>
      <c r="I7123">
        <v>0.28000000000000003</v>
      </c>
      <c r="J7123">
        <v>7.8399999999999997E-2</v>
      </c>
      <c r="K7123" t="str">
        <f>IFERROR(INDEX(Rosters!$C$2:$C$155,MATCH($B7123,Rosters!$B$2:$B$155,0)),"NA")</f>
        <v>NA</v>
      </c>
      <c r="L7123" t="str">
        <f t="shared" si="333"/>
        <v>NA16RB</v>
      </c>
      <c r="M7123">
        <f>COUNTIF(L$1:L7123,L7123)</f>
        <v>85</v>
      </c>
      <c r="N7123" t="str">
        <f t="shared" si="334"/>
        <v>NA16RB-85</v>
      </c>
      <c r="O7123">
        <f>COUNTIFS(F$1:F7123,F7123,A$1:A7123,A7123)</f>
        <v>132</v>
      </c>
      <c r="P7123" t="str">
        <f t="shared" si="335"/>
        <v>James Develin16</v>
      </c>
    </row>
    <row r="7124" spans="1:16" x14ac:dyDescent="0.25">
      <c r="A7124">
        <v>1</v>
      </c>
      <c r="B7124" t="s">
        <v>389</v>
      </c>
      <c r="C7124">
        <f>-0.04-0.5</f>
        <v>-0.54</v>
      </c>
      <c r="D7124">
        <v>0.23</v>
      </c>
      <c r="E7124" t="s">
        <v>56</v>
      </c>
      <c r="F7124" t="s">
        <v>114</v>
      </c>
      <c r="G7124">
        <v>0.5</v>
      </c>
      <c r="H7124">
        <v>-0.04</v>
      </c>
      <c r="I7124">
        <v>0.27</v>
      </c>
      <c r="J7124">
        <v>7.2900000000000006E-2</v>
      </c>
      <c r="K7124" t="str">
        <f>IFERROR(INDEX(Rosters!$C$2:$C$155,MATCH($B7124,Rosters!$B$2:$B$155,0)),"NA")</f>
        <v>NA</v>
      </c>
      <c r="L7124" t="str">
        <f t="shared" si="333"/>
        <v>NA1TE</v>
      </c>
      <c r="M7124">
        <f>COUNTIF(L$1:L7124,L7124)</f>
        <v>62</v>
      </c>
      <c r="N7124" t="str">
        <f t="shared" si="334"/>
        <v>NA1TE-62</v>
      </c>
      <c r="O7124">
        <f>COUNTIFS(F$1:F7124,F7124,A$1:A7124,A7124)</f>
        <v>75</v>
      </c>
      <c r="P7124" t="str">
        <f t="shared" si="335"/>
        <v>Lee Smith1</v>
      </c>
    </row>
    <row r="7125" spans="1:16" x14ac:dyDescent="0.25">
      <c r="A7125">
        <v>3</v>
      </c>
      <c r="B7125" t="s">
        <v>369</v>
      </c>
      <c r="C7125">
        <f>-0.15-0.61</f>
        <v>-0.76</v>
      </c>
      <c r="D7125">
        <v>0.23</v>
      </c>
      <c r="E7125" t="s">
        <v>423</v>
      </c>
      <c r="F7125" t="s">
        <v>15</v>
      </c>
      <c r="G7125">
        <v>0.61</v>
      </c>
      <c r="H7125">
        <v>-0.15</v>
      </c>
      <c r="I7125">
        <v>0.38</v>
      </c>
      <c r="J7125">
        <v>0.1444</v>
      </c>
      <c r="K7125" t="str">
        <f>IFERROR(INDEX(Rosters!$C$2:$C$155,MATCH($B7125,Rosters!$B$2:$B$155,0)),"NA")</f>
        <v>NA</v>
      </c>
      <c r="L7125" t="str">
        <f t="shared" si="333"/>
        <v>NA3QB</v>
      </c>
      <c r="M7125">
        <f>COUNTIF(L$1:L7125,L7125)</f>
        <v>39</v>
      </c>
      <c r="N7125" t="str">
        <f t="shared" si="334"/>
        <v>NA3QB-39</v>
      </c>
      <c r="O7125">
        <f>COUNTIFS(F$1:F7125,F7125,A$1:A7125,A7125)</f>
        <v>56</v>
      </c>
      <c r="P7125" t="str">
        <f t="shared" si="335"/>
        <v>Matt Cassel3</v>
      </c>
    </row>
    <row r="7126" spans="1:16" x14ac:dyDescent="0.25">
      <c r="A7126">
        <v>7</v>
      </c>
      <c r="B7126" t="s">
        <v>369</v>
      </c>
      <c r="C7126">
        <f>-0.17-0.63</f>
        <v>-0.8</v>
      </c>
      <c r="D7126">
        <v>0.23</v>
      </c>
      <c r="E7126" t="s">
        <v>19</v>
      </c>
      <c r="F7126" t="s">
        <v>15</v>
      </c>
      <c r="G7126">
        <v>0.63</v>
      </c>
      <c r="H7126">
        <v>-0.17</v>
      </c>
      <c r="I7126">
        <v>0.4</v>
      </c>
      <c r="J7126">
        <v>0.16</v>
      </c>
      <c r="K7126" t="str">
        <f>IFERROR(INDEX(Rosters!$C$2:$C$155,MATCH($B7126,Rosters!$B$2:$B$155,0)),"NA")</f>
        <v>NA</v>
      </c>
      <c r="L7126" t="str">
        <f t="shared" si="333"/>
        <v>NA7QB</v>
      </c>
      <c r="M7126">
        <f>COUNTIF(L$1:L7126,L7126)</f>
        <v>38</v>
      </c>
      <c r="N7126" t="str">
        <f t="shared" si="334"/>
        <v>NA7QB-38</v>
      </c>
      <c r="O7126">
        <f>COUNTIFS(F$1:F7126,F7126,A$1:A7126,A7126)</f>
        <v>52</v>
      </c>
      <c r="P7126" t="str">
        <f t="shared" si="335"/>
        <v>Matt Cassel7</v>
      </c>
    </row>
    <row r="7127" spans="1:16" x14ac:dyDescent="0.25">
      <c r="A7127">
        <v>8</v>
      </c>
      <c r="B7127" t="s">
        <v>369</v>
      </c>
      <c r="C7127">
        <f>-0.18-0.64</f>
        <v>-0.82000000000000006</v>
      </c>
      <c r="D7127">
        <v>0.23</v>
      </c>
      <c r="E7127" t="s">
        <v>28</v>
      </c>
      <c r="F7127" t="s">
        <v>15</v>
      </c>
      <c r="G7127">
        <v>0.64</v>
      </c>
      <c r="H7127">
        <v>-0.18</v>
      </c>
      <c r="I7127">
        <v>0.41</v>
      </c>
      <c r="J7127">
        <v>0.1681</v>
      </c>
      <c r="K7127" t="str">
        <f>IFERROR(INDEX(Rosters!$C$2:$C$155,MATCH($B7127,Rosters!$B$2:$B$155,0)),"NA")</f>
        <v>NA</v>
      </c>
      <c r="L7127" t="str">
        <f t="shared" si="333"/>
        <v>NA8QB</v>
      </c>
      <c r="M7127">
        <f>COUNTIF(L$1:L7127,L7127)</f>
        <v>36</v>
      </c>
      <c r="N7127" t="str">
        <f t="shared" si="334"/>
        <v>NA8QB-36</v>
      </c>
      <c r="O7127">
        <f>COUNTIFS(F$1:F7127,F7127,A$1:A7127,A7127)</f>
        <v>51</v>
      </c>
      <c r="P7127" t="str">
        <f t="shared" si="335"/>
        <v>Matt Cassel8</v>
      </c>
    </row>
    <row r="7128" spans="1:16" x14ac:dyDescent="0.25">
      <c r="A7128">
        <v>13</v>
      </c>
      <c r="B7128" t="s">
        <v>369</v>
      </c>
      <c r="C7128">
        <f>-0.19-0.65</f>
        <v>-0.84000000000000008</v>
      </c>
      <c r="D7128">
        <v>0.23</v>
      </c>
      <c r="E7128" t="s">
        <v>56</v>
      </c>
      <c r="F7128" t="s">
        <v>15</v>
      </c>
      <c r="G7128">
        <v>0.65</v>
      </c>
      <c r="H7128">
        <v>-0.19</v>
      </c>
      <c r="I7128">
        <v>0.42</v>
      </c>
      <c r="J7128">
        <v>0.1764</v>
      </c>
      <c r="K7128" t="str">
        <f>IFERROR(INDEX(Rosters!$C$2:$C$155,MATCH($B7128,Rosters!$B$2:$B$155,0)),"NA")</f>
        <v>NA</v>
      </c>
      <c r="L7128" t="str">
        <f t="shared" si="333"/>
        <v>NA13QB</v>
      </c>
      <c r="M7128">
        <f>COUNTIF(L$1:L7128,L7128)</f>
        <v>42</v>
      </c>
      <c r="N7128" t="str">
        <f t="shared" si="334"/>
        <v>NA13QB-42</v>
      </c>
      <c r="O7128">
        <f>COUNTIFS(F$1:F7128,F7128,A$1:A7128,A7128)</f>
        <v>59</v>
      </c>
      <c r="P7128" t="str">
        <f t="shared" si="335"/>
        <v>Matt Cassel13</v>
      </c>
    </row>
    <row r="7129" spans="1:16" x14ac:dyDescent="0.25">
      <c r="A7129">
        <v>15</v>
      </c>
      <c r="B7129" t="s">
        <v>369</v>
      </c>
      <c r="C7129">
        <f>-0.21-0.67</f>
        <v>-0.88</v>
      </c>
      <c r="D7129">
        <v>0.23</v>
      </c>
      <c r="E7129" t="s">
        <v>29</v>
      </c>
      <c r="F7129" t="s">
        <v>15</v>
      </c>
      <c r="G7129">
        <v>0.67</v>
      </c>
      <c r="H7129">
        <v>-0.21</v>
      </c>
      <c r="I7129">
        <v>0.44</v>
      </c>
      <c r="J7129">
        <v>0.19359999999999999</v>
      </c>
      <c r="K7129" t="str">
        <f>IFERROR(INDEX(Rosters!$C$2:$C$155,MATCH($B7129,Rosters!$B$2:$B$155,0)),"NA")</f>
        <v>NA</v>
      </c>
      <c r="L7129" t="str">
        <f t="shared" si="333"/>
        <v>NA15QB</v>
      </c>
      <c r="M7129">
        <f>COUNTIF(L$1:L7129,L7129)</f>
        <v>42</v>
      </c>
      <c r="N7129" t="str">
        <f t="shared" si="334"/>
        <v>NA15QB-42</v>
      </c>
      <c r="O7129">
        <f>COUNTIFS(F$1:F7129,F7129,A$1:A7129,A7129)</f>
        <v>59</v>
      </c>
      <c r="P7129" t="str">
        <f t="shared" si="335"/>
        <v>Matt Cassel15</v>
      </c>
    </row>
    <row r="7130" spans="1:16" x14ac:dyDescent="0.25">
      <c r="A7130">
        <v>5</v>
      </c>
      <c r="B7130" t="s">
        <v>1640</v>
      </c>
      <c r="C7130">
        <f>-0.08-0.54</f>
        <v>-0.62</v>
      </c>
      <c r="D7130">
        <v>0.23</v>
      </c>
      <c r="E7130" t="s">
        <v>38</v>
      </c>
      <c r="F7130" t="s">
        <v>47</v>
      </c>
      <c r="G7130">
        <v>0.54</v>
      </c>
      <c r="H7130">
        <v>-0.08</v>
      </c>
      <c r="I7130">
        <v>0.31</v>
      </c>
      <c r="J7130">
        <v>9.6100000000000005E-2</v>
      </c>
      <c r="K7130" t="str">
        <f>IFERROR(INDEX(Rosters!$C$2:$C$155,MATCH($B7130,Rosters!$B$2:$B$155,0)),"NA")</f>
        <v>NA</v>
      </c>
      <c r="L7130" t="str">
        <f t="shared" si="333"/>
        <v>NA5RB</v>
      </c>
      <c r="M7130">
        <f>COUNTIF(L$1:L7130,L7130)</f>
        <v>74</v>
      </c>
      <c r="N7130" t="str">
        <f t="shared" si="334"/>
        <v>NA5RB-74</v>
      </c>
      <c r="O7130">
        <f>COUNTIFS(F$1:F7130,F7130,A$1:A7130,A7130)</f>
        <v>117</v>
      </c>
      <c r="P7130" t="str">
        <f t="shared" si="335"/>
        <v>Taiwan Jones5</v>
      </c>
    </row>
    <row r="7131" spans="1:16" x14ac:dyDescent="0.25">
      <c r="A7131">
        <v>10</v>
      </c>
      <c r="B7131" t="s">
        <v>1640</v>
      </c>
      <c r="C7131">
        <f>-0.08-0.54</f>
        <v>-0.62</v>
      </c>
      <c r="D7131">
        <v>0.23</v>
      </c>
      <c r="E7131" t="s">
        <v>73</v>
      </c>
      <c r="F7131" t="s">
        <v>47</v>
      </c>
      <c r="G7131">
        <v>0.54</v>
      </c>
      <c r="H7131">
        <v>-0.08</v>
      </c>
      <c r="I7131">
        <v>0.31</v>
      </c>
      <c r="J7131">
        <v>9.6100000000000005E-2</v>
      </c>
      <c r="K7131" t="str">
        <f>IFERROR(INDEX(Rosters!$C$2:$C$155,MATCH($B7131,Rosters!$B$2:$B$155,0)),"NA")</f>
        <v>NA</v>
      </c>
      <c r="L7131" t="str">
        <f t="shared" si="333"/>
        <v>NA10RB</v>
      </c>
      <c r="M7131">
        <f>COUNTIF(L$1:L7131,L7131)</f>
        <v>73</v>
      </c>
      <c r="N7131" t="str">
        <f t="shared" si="334"/>
        <v>NA10RB-73</v>
      </c>
      <c r="O7131">
        <f>COUNTIFS(F$1:F7131,F7131,A$1:A7131,A7131)</f>
        <v>112</v>
      </c>
      <c r="P7131" t="str">
        <f t="shared" si="335"/>
        <v>Taiwan Jones10</v>
      </c>
    </row>
    <row r="7132" spans="1:16" x14ac:dyDescent="0.25">
      <c r="A7132">
        <v>13</v>
      </c>
      <c r="B7132" t="s">
        <v>1640</v>
      </c>
      <c r="C7132">
        <f>-0.09-0.55</f>
        <v>-0.64</v>
      </c>
      <c r="D7132">
        <v>0.23</v>
      </c>
      <c r="E7132" t="s">
        <v>19</v>
      </c>
      <c r="F7132" t="s">
        <v>47</v>
      </c>
      <c r="G7132">
        <v>0.55000000000000004</v>
      </c>
      <c r="H7132">
        <v>-0.09</v>
      </c>
      <c r="I7132">
        <v>0.32</v>
      </c>
      <c r="J7132">
        <v>0.1024</v>
      </c>
      <c r="K7132" t="str">
        <f>IFERROR(INDEX(Rosters!$C$2:$C$155,MATCH($B7132,Rosters!$B$2:$B$155,0)),"NA")</f>
        <v>NA</v>
      </c>
      <c r="L7132" t="str">
        <f t="shared" si="333"/>
        <v>NA13RB</v>
      </c>
      <c r="M7132">
        <f>COUNTIF(L$1:L7132,L7132)</f>
        <v>84</v>
      </c>
      <c r="N7132" t="str">
        <f t="shared" si="334"/>
        <v>NA13RB-84</v>
      </c>
      <c r="O7132">
        <f>COUNTIFS(F$1:F7132,F7132,A$1:A7132,A7132)</f>
        <v>131</v>
      </c>
      <c r="P7132" t="str">
        <f t="shared" si="335"/>
        <v>Taiwan Jones13</v>
      </c>
    </row>
    <row r="7133" spans="1:16" x14ac:dyDescent="0.25">
      <c r="A7133">
        <v>14</v>
      </c>
      <c r="B7133" t="s">
        <v>1640</v>
      </c>
      <c r="C7133">
        <f>-0.08-0.54</f>
        <v>-0.62</v>
      </c>
      <c r="D7133">
        <v>0.23</v>
      </c>
      <c r="E7133" t="s">
        <v>73</v>
      </c>
      <c r="F7133" t="s">
        <v>47</v>
      </c>
      <c r="G7133">
        <v>0.54</v>
      </c>
      <c r="H7133">
        <v>-0.08</v>
      </c>
      <c r="I7133">
        <v>0.31</v>
      </c>
      <c r="J7133" s="66">
        <v>9.6100000000000005E-2</v>
      </c>
      <c r="K7133" t="str">
        <f>IFERROR(INDEX(Rosters!$C$2:$C$155,MATCH($B7133,Rosters!$B$2:$B$155,0)),"NA")</f>
        <v>NA</v>
      </c>
      <c r="L7133" t="str">
        <f t="shared" si="333"/>
        <v>NA14RB</v>
      </c>
      <c r="M7133">
        <f>COUNTIF(L$1:L7133,L7133)</f>
        <v>84</v>
      </c>
      <c r="N7133" t="str">
        <f t="shared" si="334"/>
        <v>NA14RB-84</v>
      </c>
      <c r="O7133">
        <f>COUNTIFS(F$1:F7133,F7133,A$1:A7133,A7133)</f>
        <v>131</v>
      </c>
      <c r="P7133" t="str">
        <f t="shared" si="335"/>
        <v>Taiwan Jones14</v>
      </c>
    </row>
    <row r="7134" spans="1:16" x14ac:dyDescent="0.25">
      <c r="A7134">
        <v>16</v>
      </c>
      <c r="B7134" t="s">
        <v>372</v>
      </c>
      <c r="C7134">
        <f>-0.11-0.57</f>
        <v>-0.67999999999999994</v>
      </c>
      <c r="D7134">
        <v>0.23</v>
      </c>
      <c r="E7134" t="s">
        <v>14</v>
      </c>
      <c r="F7134" t="s">
        <v>114</v>
      </c>
      <c r="G7134">
        <v>0.56999999999999995</v>
      </c>
      <c r="H7134">
        <v>-0.11</v>
      </c>
      <c r="I7134">
        <v>0.34</v>
      </c>
      <c r="J7134" s="66">
        <v>0.11559999999999999</v>
      </c>
      <c r="K7134" t="str">
        <f>IFERROR(INDEX(Rosters!$C$2:$C$155,MATCH($B7134,Rosters!$B$2:$B$155,0)),"NA")</f>
        <v>NA</v>
      </c>
      <c r="L7134" t="str">
        <f t="shared" si="333"/>
        <v>NA16TE</v>
      </c>
      <c r="M7134">
        <f>COUNTIF(L$1:L7134,L7134)</f>
        <v>87</v>
      </c>
      <c r="N7134" t="str">
        <f t="shared" si="334"/>
        <v>NA16TE-87</v>
      </c>
      <c r="O7134">
        <f>COUNTIFS(F$1:F7134,F7134,A$1:A7134,A7134)</f>
        <v>101</v>
      </c>
      <c r="P7134" t="str">
        <f t="shared" si="335"/>
        <v>Xavier Grimble16</v>
      </c>
    </row>
    <row r="7135" spans="1:16" x14ac:dyDescent="0.25">
      <c r="A7135">
        <v>17</v>
      </c>
      <c r="B7135" t="s">
        <v>372</v>
      </c>
      <c r="C7135">
        <f>-0.07-0.53</f>
        <v>-0.60000000000000009</v>
      </c>
      <c r="D7135">
        <v>0.23</v>
      </c>
      <c r="E7135" t="s">
        <v>31</v>
      </c>
      <c r="F7135" t="s">
        <v>114</v>
      </c>
      <c r="G7135">
        <v>0.53</v>
      </c>
      <c r="H7135">
        <v>-7.0000000000000007E-2</v>
      </c>
      <c r="I7135">
        <v>0.3</v>
      </c>
      <c r="J7135">
        <v>0.09</v>
      </c>
      <c r="K7135" t="str">
        <f>IFERROR(INDEX(Rosters!$C$2:$C$155,MATCH($B7135,Rosters!$B$2:$B$155,0)),"NA")</f>
        <v>NA</v>
      </c>
      <c r="L7135" t="str">
        <f t="shared" si="333"/>
        <v>NA17TE</v>
      </c>
      <c r="M7135">
        <f>COUNTIF(L$1:L7135,L7135)</f>
        <v>87</v>
      </c>
      <c r="N7135" t="str">
        <f t="shared" si="334"/>
        <v>NA17TE-87</v>
      </c>
      <c r="O7135">
        <f>COUNTIFS(F$1:F7135,F7135,A$1:A7135,A7135)</f>
        <v>101</v>
      </c>
      <c r="P7135" t="str">
        <f t="shared" si="335"/>
        <v>Xavier Grimble17</v>
      </c>
    </row>
    <row r="7136" spans="1:16" x14ac:dyDescent="0.25">
      <c r="A7136">
        <v>8</v>
      </c>
      <c r="B7136" t="s">
        <v>3167</v>
      </c>
      <c r="C7136">
        <f>-0.04-0.48</f>
        <v>-0.52</v>
      </c>
      <c r="D7136">
        <v>0.22</v>
      </c>
      <c r="E7136" t="s">
        <v>72</v>
      </c>
      <c r="F7136" t="s">
        <v>87</v>
      </c>
      <c r="G7136">
        <v>0.48</v>
      </c>
      <c r="H7136">
        <v>-0.04</v>
      </c>
      <c r="I7136">
        <v>0.26</v>
      </c>
      <c r="J7136">
        <v>6.7599999999999993E-2</v>
      </c>
      <c r="K7136" t="str">
        <f>IFERROR(INDEX(Rosters!$C$2:$C$155,MATCH($B7136,Rosters!$B$2:$B$155,0)),"NA")</f>
        <v>NA</v>
      </c>
      <c r="L7136" t="str">
        <f t="shared" si="333"/>
        <v>NA8WR</v>
      </c>
      <c r="M7136">
        <f>COUNTIF(L$1:L7136,L7136)</f>
        <v>104</v>
      </c>
      <c r="N7136" t="str">
        <f t="shared" si="334"/>
        <v>NA8WR-104</v>
      </c>
      <c r="O7136">
        <f>COUNTIFS(F$1:F7136,F7136,A$1:A7136,A7136)</f>
        <v>153</v>
      </c>
      <c r="P7136" t="str">
        <f t="shared" si="335"/>
        <v>Andre Roberts8</v>
      </c>
    </row>
    <row r="7137" spans="1:16" x14ac:dyDescent="0.25">
      <c r="A7137">
        <v>11</v>
      </c>
      <c r="B7137" t="s">
        <v>3012</v>
      </c>
      <c r="C7137">
        <f>-0.03-0.47</f>
        <v>-0.5</v>
      </c>
      <c r="D7137">
        <v>0.22</v>
      </c>
      <c r="E7137" t="s">
        <v>32</v>
      </c>
      <c r="F7137" t="s">
        <v>47</v>
      </c>
      <c r="G7137">
        <v>0.47</v>
      </c>
      <c r="H7137">
        <v>-0.03</v>
      </c>
      <c r="I7137">
        <v>0.25</v>
      </c>
      <c r="J7137">
        <v>6.25E-2</v>
      </c>
      <c r="K7137" t="str">
        <f>IFERROR(INDEX(Rosters!$C$2:$C$155,MATCH($B7137,Rosters!$B$2:$B$155,0)),"NA")</f>
        <v>NA</v>
      </c>
      <c r="L7137" t="str">
        <f t="shared" si="333"/>
        <v>NA11RB</v>
      </c>
      <c r="M7137">
        <f>COUNTIF(L$1:L7137,L7137)</f>
        <v>71</v>
      </c>
      <c r="N7137" t="str">
        <f t="shared" si="334"/>
        <v>NA11RB-71</v>
      </c>
      <c r="O7137">
        <f>COUNTIFS(F$1:F7137,F7137,A$1:A7137,A7137)</f>
        <v>109</v>
      </c>
      <c r="P7137" t="str">
        <f t="shared" si="335"/>
        <v>Derrick Coleman11</v>
      </c>
    </row>
    <row r="7138" spans="1:16" x14ac:dyDescent="0.25">
      <c r="A7138">
        <v>13</v>
      </c>
      <c r="B7138" t="s">
        <v>3012</v>
      </c>
      <c r="C7138">
        <f>-0.01-0.45</f>
        <v>-0.46</v>
      </c>
      <c r="D7138">
        <v>0.22</v>
      </c>
      <c r="E7138" t="s">
        <v>41</v>
      </c>
      <c r="F7138" t="s">
        <v>47</v>
      </c>
      <c r="G7138">
        <v>0.45</v>
      </c>
      <c r="H7138">
        <v>-0.01</v>
      </c>
      <c r="I7138">
        <v>0.23</v>
      </c>
      <c r="J7138">
        <v>5.2900000000000003E-2</v>
      </c>
      <c r="K7138" t="str">
        <f>IFERROR(INDEX(Rosters!$C$2:$C$155,MATCH($B7138,Rosters!$B$2:$B$155,0)),"NA")</f>
        <v>NA</v>
      </c>
      <c r="L7138" t="str">
        <f t="shared" si="333"/>
        <v>NA13RB</v>
      </c>
      <c r="M7138">
        <f>COUNTIF(L$1:L7138,L7138)</f>
        <v>85</v>
      </c>
      <c r="N7138" t="str">
        <f t="shared" si="334"/>
        <v>NA13RB-85</v>
      </c>
      <c r="O7138">
        <f>COUNTIFS(F$1:F7138,F7138,A$1:A7138,A7138)</f>
        <v>132</v>
      </c>
      <c r="P7138" t="str">
        <f t="shared" si="335"/>
        <v>Derrick Coleman13</v>
      </c>
    </row>
    <row r="7139" spans="1:16" x14ac:dyDescent="0.25">
      <c r="A7139">
        <v>12</v>
      </c>
      <c r="B7139" t="s">
        <v>241</v>
      </c>
      <c r="C7139">
        <f>-0.06-0.5</f>
        <v>-0.56000000000000005</v>
      </c>
      <c r="D7139">
        <v>0.22</v>
      </c>
      <c r="E7139" t="s">
        <v>37</v>
      </c>
      <c r="F7139" t="s">
        <v>87</v>
      </c>
      <c r="G7139">
        <v>0.5</v>
      </c>
      <c r="H7139">
        <v>-0.06</v>
      </c>
      <c r="I7139">
        <v>0.28000000000000003</v>
      </c>
      <c r="J7139">
        <v>7.8399999999999997E-2</v>
      </c>
      <c r="K7139" t="str">
        <f>IFERROR(INDEX(Rosters!$C$2:$C$155,MATCH($B7139,Rosters!$B$2:$B$155,0)),"NA")</f>
        <v>NA</v>
      </c>
      <c r="L7139" t="str">
        <f t="shared" si="333"/>
        <v>NA12WR</v>
      </c>
      <c r="M7139">
        <f>COUNTIF(L$1:L7139,L7139)</f>
        <v>118</v>
      </c>
      <c r="N7139" t="str">
        <f t="shared" si="334"/>
        <v>NA12WR-118</v>
      </c>
      <c r="O7139">
        <f>COUNTIFS(F$1:F7139,F7139,A$1:A7139,A7139)</f>
        <v>167</v>
      </c>
      <c r="P7139" t="str">
        <f t="shared" si="335"/>
        <v>J.J. Nelson12</v>
      </c>
    </row>
    <row r="7140" spans="1:16" x14ac:dyDescent="0.25">
      <c r="A7140">
        <v>8</v>
      </c>
      <c r="B7140" t="s">
        <v>374</v>
      </c>
      <c r="C7140">
        <f>-0.06-0.5</f>
        <v>-0.56000000000000005</v>
      </c>
      <c r="D7140">
        <v>0.22</v>
      </c>
      <c r="E7140" t="s">
        <v>29</v>
      </c>
      <c r="F7140" t="s">
        <v>47</v>
      </c>
      <c r="G7140">
        <v>0.5</v>
      </c>
      <c r="H7140">
        <v>-0.06</v>
      </c>
      <c r="I7140">
        <v>0.28000000000000003</v>
      </c>
      <c r="J7140">
        <v>7.8399999999999997E-2</v>
      </c>
      <c r="K7140" t="str">
        <f>IFERROR(INDEX(Rosters!$C$2:$C$155,MATCH($B7140,Rosters!$B$2:$B$155,0)),"NA")</f>
        <v>NA</v>
      </c>
      <c r="L7140" t="str">
        <f t="shared" si="333"/>
        <v>NA8RB</v>
      </c>
      <c r="M7140">
        <f>COUNTIF(L$1:L7140,L7140)</f>
        <v>77</v>
      </c>
      <c r="N7140" t="str">
        <f t="shared" si="334"/>
        <v>NA8RB-77</v>
      </c>
      <c r="O7140">
        <f>COUNTIFS(F$1:F7140,F7140,A$1:A7140,A7140)</f>
        <v>117</v>
      </c>
      <c r="P7140" t="str">
        <f t="shared" si="335"/>
        <v>James Develin8</v>
      </c>
    </row>
    <row r="7141" spans="1:16" x14ac:dyDescent="0.25">
      <c r="A7141">
        <v>9</v>
      </c>
      <c r="B7141" t="s">
        <v>374</v>
      </c>
      <c r="C7141">
        <f>-0.04-0.48</f>
        <v>-0.52</v>
      </c>
      <c r="D7141">
        <v>0.22</v>
      </c>
      <c r="E7141" t="s">
        <v>41</v>
      </c>
      <c r="F7141" t="s">
        <v>47</v>
      </c>
      <c r="G7141">
        <v>0.48</v>
      </c>
      <c r="H7141">
        <v>-0.04</v>
      </c>
      <c r="I7141">
        <v>0.26</v>
      </c>
      <c r="J7141">
        <v>6.7599999999999993E-2</v>
      </c>
      <c r="K7141" t="str">
        <f>IFERROR(INDEX(Rosters!$C$2:$C$155,MATCH($B7141,Rosters!$B$2:$B$155,0)),"NA")</f>
        <v>NA</v>
      </c>
      <c r="L7141" t="str">
        <f t="shared" si="333"/>
        <v>NA9RB</v>
      </c>
      <c r="M7141">
        <f>COUNTIF(L$1:L7141,L7141)</f>
        <v>66</v>
      </c>
      <c r="N7141" t="str">
        <f t="shared" si="334"/>
        <v>NA9RB-66</v>
      </c>
      <c r="O7141">
        <f>COUNTIFS(F$1:F7141,F7141,A$1:A7141,A7141)</f>
        <v>106</v>
      </c>
      <c r="P7141" t="str">
        <f t="shared" si="335"/>
        <v>James Develin9</v>
      </c>
    </row>
    <row r="7142" spans="1:16" x14ac:dyDescent="0.25">
      <c r="A7142">
        <v>14</v>
      </c>
      <c r="B7142" t="s">
        <v>374</v>
      </c>
      <c r="C7142">
        <f>-0.04-0.48</f>
        <v>-0.52</v>
      </c>
      <c r="D7142">
        <v>0.22</v>
      </c>
      <c r="E7142" t="s">
        <v>19</v>
      </c>
      <c r="F7142" t="s">
        <v>47</v>
      </c>
      <c r="G7142">
        <v>0.48</v>
      </c>
      <c r="H7142">
        <v>-0.04</v>
      </c>
      <c r="I7142">
        <v>0.26</v>
      </c>
      <c r="J7142">
        <v>6.7599999999999993E-2</v>
      </c>
      <c r="K7142" t="str">
        <f>IFERROR(INDEX(Rosters!$C$2:$C$155,MATCH($B7142,Rosters!$B$2:$B$155,0)),"NA")</f>
        <v>NA</v>
      </c>
      <c r="L7142" t="str">
        <f t="shared" si="333"/>
        <v>NA14RB</v>
      </c>
      <c r="M7142">
        <f>COUNTIF(L$1:L7142,L7142)</f>
        <v>85</v>
      </c>
      <c r="N7142" t="str">
        <f t="shared" si="334"/>
        <v>NA14RB-85</v>
      </c>
      <c r="O7142">
        <f>COUNTIFS(F$1:F7142,F7142,A$1:A7142,A7142)</f>
        <v>132</v>
      </c>
      <c r="P7142" t="str">
        <f t="shared" si="335"/>
        <v>James Develin14</v>
      </c>
    </row>
    <row r="7143" spans="1:16" x14ac:dyDescent="0.25">
      <c r="A7143">
        <v>4</v>
      </c>
      <c r="B7143" t="s">
        <v>368</v>
      </c>
      <c r="C7143">
        <f>-0.06-0.5</f>
        <v>-0.56000000000000005</v>
      </c>
      <c r="D7143">
        <v>0.22</v>
      </c>
      <c r="E7143" t="s">
        <v>52</v>
      </c>
      <c r="F7143" t="s">
        <v>47</v>
      </c>
      <c r="G7143">
        <v>0.5</v>
      </c>
      <c r="H7143">
        <v>-0.06</v>
      </c>
      <c r="I7143">
        <v>0.28000000000000003</v>
      </c>
      <c r="J7143">
        <v>7.8399999999999997E-2</v>
      </c>
      <c r="K7143" t="str">
        <f>IFERROR(INDEX(Rosters!$C$2:$C$155,MATCH($B7143,Rosters!$B$2:$B$155,0)),"NA")</f>
        <v>NA</v>
      </c>
      <c r="L7143" t="str">
        <f t="shared" si="333"/>
        <v>NA4RB</v>
      </c>
      <c r="M7143">
        <f>COUNTIF(L$1:L7143,L7143)</f>
        <v>62</v>
      </c>
      <c r="N7143" t="str">
        <f t="shared" si="334"/>
        <v>NA4RB-62</v>
      </c>
      <c r="O7143">
        <f>COUNTIFS(F$1:F7143,F7143,A$1:A7143,A7143)</f>
        <v>101</v>
      </c>
      <c r="P7143" t="str">
        <f t="shared" si="335"/>
        <v>Keith Smith4</v>
      </c>
    </row>
    <row r="7144" spans="1:16" x14ac:dyDescent="0.25">
      <c r="A7144">
        <v>4</v>
      </c>
      <c r="B7144" t="s">
        <v>2817</v>
      </c>
      <c r="C7144" t="s">
        <v>8945</v>
      </c>
      <c r="D7144">
        <v>0.22</v>
      </c>
      <c r="E7144" t="s">
        <v>19</v>
      </c>
      <c r="F7144" t="s">
        <v>47</v>
      </c>
      <c r="G7144">
        <v>0.44</v>
      </c>
      <c r="H7144">
        <v>0</v>
      </c>
      <c r="I7144">
        <v>0.22</v>
      </c>
      <c r="J7144">
        <v>4.8399999999999999E-2</v>
      </c>
      <c r="K7144" t="str">
        <f>IFERROR(INDEX(Rosters!$C$2:$C$155,MATCH($B7144,Rosters!$B$2:$B$155,0)),"NA")</f>
        <v>NA</v>
      </c>
      <c r="L7144" t="str">
        <f t="shared" si="333"/>
        <v>NA4RB</v>
      </c>
      <c r="M7144">
        <f>COUNTIF(L$1:L7144,L7144)</f>
        <v>63</v>
      </c>
      <c r="N7144" t="str">
        <f t="shared" si="334"/>
        <v>NA4RB-63</v>
      </c>
      <c r="O7144">
        <f>COUNTIFS(F$1:F7144,F7144,A$1:A7144,A7144)</f>
        <v>102</v>
      </c>
      <c r="P7144" t="str">
        <f t="shared" si="335"/>
        <v>Kenjon Barner4</v>
      </c>
    </row>
    <row r="7145" spans="1:16" x14ac:dyDescent="0.25">
      <c r="A7145">
        <v>1</v>
      </c>
      <c r="B7145" t="s">
        <v>369</v>
      </c>
      <c r="C7145">
        <f>-0.18-0.62</f>
        <v>-0.8</v>
      </c>
      <c r="D7145">
        <v>0.22</v>
      </c>
      <c r="E7145" t="s">
        <v>73</v>
      </c>
      <c r="F7145" t="s">
        <v>15</v>
      </c>
      <c r="G7145">
        <v>0.62</v>
      </c>
      <c r="H7145">
        <v>-0.18</v>
      </c>
      <c r="I7145">
        <v>0.4</v>
      </c>
      <c r="J7145">
        <v>0.16</v>
      </c>
      <c r="K7145" t="str">
        <f>IFERROR(INDEX(Rosters!$C$2:$C$155,MATCH($B7145,Rosters!$B$2:$B$155,0)),"NA")</f>
        <v>NA</v>
      </c>
      <c r="L7145" t="str">
        <f t="shared" si="333"/>
        <v>NA1QB</v>
      </c>
      <c r="M7145">
        <f>COUNTIF(L$1:L7145,L7145)</f>
        <v>39</v>
      </c>
      <c r="N7145" t="str">
        <f t="shared" si="334"/>
        <v>NA1QB-39</v>
      </c>
      <c r="O7145">
        <f>COUNTIFS(F$1:F7145,F7145,A$1:A7145,A7145)</f>
        <v>55</v>
      </c>
      <c r="P7145" t="str">
        <f t="shared" si="335"/>
        <v>Matt Cassel1</v>
      </c>
    </row>
    <row r="7146" spans="1:16" x14ac:dyDescent="0.25">
      <c r="A7146">
        <v>9</v>
      </c>
      <c r="B7146" t="s">
        <v>369</v>
      </c>
      <c r="C7146">
        <f>-0.2-0.64</f>
        <v>-0.84000000000000008</v>
      </c>
      <c r="D7146">
        <v>0.22</v>
      </c>
      <c r="E7146" t="s">
        <v>25</v>
      </c>
      <c r="F7146" t="s">
        <v>15</v>
      </c>
      <c r="G7146">
        <v>0.64</v>
      </c>
      <c r="H7146">
        <v>-0.2</v>
      </c>
      <c r="I7146">
        <v>0.42</v>
      </c>
      <c r="J7146">
        <v>0.1764</v>
      </c>
      <c r="K7146" t="str">
        <f>IFERROR(INDEX(Rosters!$C$2:$C$155,MATCH($B7146,Rosters!$B$2:$B$155,0)),"NA")</f>
        <v>NA</v>
      </c>
      <c r="L7146" t="str">
        <f t="shared" si="333"/>
        <v>NA9QB</v>
      </c>
      <c r="M7146">
        <f>COUNTIF(L$1:L7146,L7146)</f>
        <v>35</v>
      </c>
      <c r="N7146" t="str">
        <f t="shared" si="334"/>
        <v>NA9QB-35</v>
      </c>
      <c r="O7146">
        <f>COUNTIFS(F$1:F7146,F7146,A$1:A7146,A7146)</f>
        <v>49</v>
      </c>
      <c r="P7146" t="str">
        <f t="shared" si="335"/>
        <v>Matt Cassel9</v>
      </c>
    </row>
    <row r="7147" spans="1:16" x14ac:dyDescent="0.25">
      <c r="A7147">
        <v>1</v>
      </c>
      <c r="B7147" t="s">
        <v>379</v>
      </c>
      <c r="C7147">
        <f>-0.11-0.55</f>
        <v>-0.66</v>
      </c>
      <c r="D7147">
        <v>0.22</v>
      </c>
      <c r="E7147" t="s">
        <v>25</v>
      </c>
      <c r="F7147" t="s">
        <v>47</v>
      </c>
      <c r="G7147">
        <v>0.55000000000000004</v>
      </c>
      <c r="H7147">
        <v>-0.11</v>
      </c>
      <c r="I7147">
        <v>0.33</v>
      </c>
      <c r="J7147">
        <v>0.1089</v>
      </c>
      <c r="K7147" t="str">
        <f>IFERROR(INDEX(Rosters!$C$2:$C$155,MATCH($B7147,Rosters!$B$2:$B$155,0)),"NA")</f>
        <v>NA</v>
      </c>
      <c r="L7147" t="str">
        <f t="shared" si="333"/>
        <v>NA1RB</v>
      </c>
      <c r="M7147">
        <f>COUNTIF(L$1:L7147,L7147)</f>
        <v>51</v>
      </c>
      <c r="N7147" t="str">
        <f t="shared" si="334"/>
        <v>NA1RB-51</v>
      </c>
      <c r="O7147">
        <f>COUNTIFS(F$1:F7147,F7147,A$1:A7147,A7147)</f>
        <v>94</v>
      </c>
      <c r="P7147" t="str">
        <f t="shared" si="335"/>
        <v>Raheem Mostert1</v>
      </c>
    </row>
    <row r="7148" spans="1:16" x14ac:dyDescent="0.25">
      <c r="A7148">
        <v>16</v>
      </c>
      <c r="B7148" t="s">
        <v>379</v>
      </c>
      <c r="C7148" t="s">
        <v>8945</v>
      </c>
      <c r="D7148">
        <v>0.22</v>
      </c>
      <c r="E7148" t="s">
        <v>72</v>
      </c>
      <c r="F7148" t="s">
        <v>47</v>
      </c>
      <c r="G7148">
        <v>0.44</v>
      </c>
      <c r="H7148">
        <v>0</v>
      </c>
      <c r="I7148">
        <v>0.22</v>
      </c>
      <c r="J7148">
        <v>4.8399999999999999E-2</v>
      </c>
      <c r="K7148" t="str">
        <f>IFERROR(INDEX(Rosters!$C$2:$C$155,MATCH($B7148,Rosters!$B$2:$B$155,0)),"NA")</f>
        <v>NA</v>
      </c>
      <c r="L7148" t="str">
        <f t="shared" si="333"/>
        <v>NA16RB</v>
      </c>
      <c r="M7148">
        <f>COUNTIF(L$1:L7148,L7148)</f>
        <v>86</v>
      </c>
      <c r="N7148" t="str">
        <f t="shared" si="334"/>
        <v>NA16RB-86</v>
      </c>
      <c r="O7148">
        <f>COUNTIFS(F$1:F7148,F7148,A$1:A7148,A7148)</f>
        <v>133</v>
      </c>
      <c r="P7148" t="str">
        <f t="shared" si="335"/>
        <v>Raheem Mostert16</v>
      </c>
    </row>
    <row r="7149" spans="1:16" x14ac:dyDescent="0.25">
      <c r="A7149">
        <v>5</v>
      </c>
      <c r="B7149" t="s">
        <v>1628</v>
      </c>
      <c r="C7149">
        <f>-0.34-0.78</f>
        <v>-1.1200000000000001</v>
      </c>
      <c r="D7149">
        <v>0.22</v>
      </c>
      <c r="E7149" t="s">
        <v>74</v>
      </c>
      <c r="F7149" t="s">
        <v>87</v>
      </c>
      <c r="G7149">
        <v>0.78</v>
      </c>
      <c r="H7149">
        <v>-0.34</v>
      </c>
      <c r="I7149">
        <v>0.56000000000000005</v>
      </c>
      <c r="J7149">
        <v>0.31359999999999999</v>
      </c>
      <c r="K7149" t="str">
        <f>IFERROR(INDEX(Rosters!$C$2:$C$155,MATCH($B7149,Rosters!$B$2:$B$155,0)),"NA")</f>
        <v>NA</v>
      </c>
      <c r="L7149" t="str">
        <f t="shared" si="333"/>
        <v>NA5WR</v>
      </c>
      <c r="M7149">
        <f>COUNTIF(L$1:L7149,L7149)</f>
        <v>112</v>
      </c>
      <c r="N7149" t="str">
        <f t="shared" si="334"/>
        <v>NA5WR-112</v>
      </c>
      <c r="O7149">
        <f>COUNTIFS(F$1:F7149,F7149,A$1:A7149,A7149)</f>
        <v>162</v>
      </c>
      <c r="P7149" t="str">
        <f t="shared" si="335"/>
        <v>Stacy Coley5</v>
      </c>
    </row>
    <row r="7150" spans="1:16" x14ac:dyDescent="0.25">
      <c r="A7150">
        <v>6</v>
      </c>
      <c r="B7150" t="s">
        <v>1640</v>
      </c>
      <c r="C7150">
        <f>-0.08-0.52</f>
        <v>-0.6</v>
      </c>
      <c r="D7150">
        <v>0.22</v>
      </c>
      <c r="E7150" t="s">
        <v>36</v>
      </c>
      <c r="F7150" t="s">
        <v>47</v>
      </c>
      <c r="G7150">
        <v>0.52</v>
      </c>
      <c r="H7150">
        <v>-0.08</v>
      </c>
      <c r="I7150">
        <v>0.3</v>
      </c>
      <c r="J7150">
        <v>0.09</v>
      </c>
      <c r="K7150" t="str">
        <f>IFERROR(INDEX(Rosters!$C$2:$C$155,MATCH($B7150,Rosters!$B$2:$B$155,0)),"NA")</f>
        <v>NA</v>
      </c>
      <c r="L7150" t="str">
        <f t="shared" si="333"/>
        <v>NA6RB</v>
      </c>
      <c r="M7150">
        <f>COUNTIF(L$1:L7150,L7150)</f>
        <v>75</v>
      </c>
      <c r="N7150" t="str">
        <f t="shared" si="334"/>
        <v>NA6RB-75</v>
      </c>
      <c r="O7150">
        <f>COUNTIFS(F$1:F7150,F7150,A$1:A7150,A7150)</f>
        <v>117</v>
      </c>
      <c r="P7150" t="str">
        <f t="shared" si="335"/>
        <v>Taiwan Jones6</v>
      </c>
    </row>
    <row r="7151" spans="1:16" x14ac:dyDescent="0.25">
      <c r="A7151">
        <v>6</v>
      </c>
      <c r="B7151" t="s">
        <v>372</v>
      </c>
      <c r="C7151">
        <f>-0.08-0.52</f>
        <v>-0.6</v>
      </c>
      <c r="D7151">
        <v>0.22</v>
      </c>
      <c r="E7151" t="s">
        <v>31</v>
      </c>
      <c r="F7151" t="s">
        <v>114</v>
      </c>
      <c r="G7151">
        <v>0.52</v>
      </c>
      <c r="H7151">
        <v>-0.08</v>
      </c>
      <c r="I7151">
        <v>0.3</v>
      </c>
      <c r="J7151">
        <v>0.09</v>
      </c>
      <c r="K7151" t="str">
        <f>IFERROR(INDEX(Rosters!$C$2:$C$155,MATCH($B7151,Rosters!$B$2:$B$155,0)),"NA")</f>
        <v>NA</v>
      </c>
      <c r="L7151" t="str">
        <f t="shared" si="333"/>
        <v>NA6TE</v>
      </c>
      <c r="M7151">
        <f>COUNTIF(L$1:L7151,L7151)</f>
        <v>77</v>
      </c>
      <c r="N7151" t="str">
        <f t="shared" si="334"/>
        <v>NA6TE-77</v>
      </c>
      <c r="O7151">
        <f>COUNTIFS(F$1:F7151,F7151,A$1:A7151,A7151)</f>
        <v>89</v>
      </c>
      <c r="P7151" t="str">
        <f t="shared" si="335"/>
        <v>Xavier Grimble6</v>
      </c>
    </row>
    <row r="7152" spans="1:16" x14ac:dyDescent="0.25">
      <c r="A7152">
        <v>10</v>
      </c>
      <c r="B7152" t="s">
        <v>3012</v>
      </c>
      <c r="C7152">
        <f>-0.05-0.47</f>
        <v>-0.52</v>
      </c>
      <c r="D7152">
        <v>0.21</v>
      </c>
      <c r="E7152" t="s">
        <v>24</v>
      </c>
      <c r="F7152" t="s">
        <v>47</v>
      </c>
      <c r="G7152">
        <v>0.47</v>
      </c>
      <c r="H7152">
        <v>-0.05</v>
      </c>
      <c r="I7152">
        <v>0.26</v>
      </c>
      <c r="J7152">
        <v>6.7599999999999993E-2</v>
      </c>
      <c r="K7152" t="str">
        <f>IFERROR(INDEX(Rosters!$C$2:$C$155,MATCH($B7152,Rosters!$B$2:$B$155,0)),"NA")</f>
        <v>NA</v>
      </c>
      <c r="L7152" t="str">
        <f t="shared" si="333"/>
        <v>NA10RB</v>
      </c>
      <c r="M7152">
        <f>COUNTIF(L$1:L7152,L7152)</f>
        <v>74</v>
      </c>
      <c r="N7152" t="str">
        <f t="shared" si="334"/>
        <v>NA10RB-74</v>
      </c>
      <c r="O7152">
        <f>COUNTIFS(F$1:F7152,F7152,A$1:A7152,A7152)</f>
        <v>113</v>
      </c>
      <c r="P7152" t="str">
        <f t="shared" si="335"/>
        <v>Derrick Coleman10</v>
      </c>
    </row>
    <row r="7153" spans="1:16" x14ac:dyDescent="0.25">
      <c r="A7153">
        <v>14</v>
      </c>
      <c r="B7153" t="s">
        <v>3012</v>
      </c>
      <c r="C7153">
        <f>-0.04-0.46</f>
        <v>-0.5</v>
      </c>
      <c r="D7153">
        <v>0.21</v>
      </c>
      <c r="E7153" t="s">
        <v>34</v>
      </c>
      <c r="F7153" t="s">
        <v>47</v>
      </c>
      <c r="G7153">
        <v>0.46</v>
      </c>
      <c r="H7153">
        <v>-0.04</v>
      </c>
      <c r="I7153">
        <v>0.25</v>
      </c>
      <c r="J7153">
        <v>6.25E-2</v>
      </c>
      <c r="K7153" t="str">
        <f>IFERROR(INDEX(Rosters!$C$2:$C$155,MATCH($B7153,Rosters!$B$2:$B$155,0)),"NA")</f>
        <v>NA</v>
      </c>
      <c r="L7153" t="str">
        <f t="shared" si="333"/>
        <v>NA14RB</v>
      </c>
      <c r="M7153">
        <f>COUNTIF(L$1:L7153,L7153)</f>
        <v>86</v>
      </c>
      <c r="N7153" t="str">
        <f t="shared" si="334"/>
        <v>NA14RB-86</v>
      </c>
      <c r="O7153">
        <f>COUNTIFS(F$1:F7153,F7153,A$1:A7153,A7153)</f>
        <v>133</v>
      </c>
      <c r="P7153" t="str">
        <f t="shared" si="335"/>
        <v>Derrick Coleman14</v>
      </c>
    </row>
    <row r="7154" spans="1:16" x14ac:dyDescent="0.25">
      <c r="A7154">
        <v>15</v>
      </c>
      <c r="B7154" t="s">
        <v>374</v>
      </c>
      <c r="C7154">
        <f>-0.06-0.48</f>
        <v>-0.54</v>
      </c>
      <c r="D7154">
        <v>0.21</v>
      </c>
      <c r="E7154" t="s">
        <v>51</v>
      </c>
      <c r="F7154" t="s">
        <v>47</v>
      </c>
      <c r="G7154">
        <v>0.48</v>
      </c>
      <c r="H7154">
        <v>-0.06</v>
      </c>
      <c r="I7154">
        <v>0.27</v>
      </c>
      <c r="J7154">
        <v>7.2900000000000006E-2</v>
      </c>
      <c r="K7154" t="str">
        <f>IFERROR(INDEX(Rosters!$C$2:$C$155,MATCH($B7154,Rosters!$B$2:$B$155,0)),"NA")</f>
        <v>NA</v>
      </c>
      <c r="L7154" t="str">
        <f t="shared" si="333"/>
        <v>NA15RB</v>
      </c>
      <c r="M7154">
        <f>COUNTIF(L$1:L7154,L7154)</f>
        <v>86</v>
      </c>
      <c r="N7154" t="str">
        <f t="shared" si="334"/>
        <v>NA15RB-86</v>
      </c>
      <c r="O7154">
        <f>COUNTIFS(F$1:F7154,F7154,A$1:A7154,A7154)</f>
        <v>133</v>
      </c>
      <c r="P7154" t="str">
        <f t="shared" si="335"/>
        <v>James Develin15</v>
      </c>
    </row>
    <row r="7155" spans="1:16" x14ac:dyDescent="0.25">
      <c r="A7155">
        <v>12</v>
      </c>
      <c r="B7155" t="s">
        <v>369</v>
      </c>
      <c r="C7155">
        <f>-0.21-0.63</f>
        <v>-0.84</v>
      </c>
      <c r="D7155">
        <v>0.21</v>
      </c>
      <c r="E7155" t="s">
        <v>72</v>
      </c>
      <c r="F7155" t="s">
        <v>15</v>
      </c>
      <c r="G7155">
        <v>0.63</v>
      </c>
      <c r="H7155">
        <v>-0.21</v>
      </c>
      <c r="I7155">
        <v>0.42</v>
      </c>
      <c r="J7155">
        <v>0.1764</v>
      </c>
      <c r="K7155" t="str">
        <f>IFERROR(INDEX(Rosters!$C$2:$C$155,MATCH($B7155,Rosters!$B$2:$B$155,0)),"NA")</f>
        <v>NA</v>
      </c>
      <c r="L7155" t="str">
        <f t="shared" si="333"/>
        <v>NA12QB</v>
      </c>
      <c r="M7155">
        <f>COUNTIF(L$1:L7155,L7155)</f>
        <v>40</v>
      </c>
      <c r="N7155" t="str">
        <f t="shared" si="334"/>
        <v>NA12QB-40</v>
      </c>
      <c r="O7155">
        <f>COUNTIFS(F$1:F7155,F7155,A$1:A7155,A7155)</f>
        <v>55</v>
      </c>
      <c r="P7155" t="str">
        <f t="shared" si="335"/>
        <v>Matt Cassel12</v>
      </c>
    </row>
    <row r="7156" spans="1:16" x14ac:dyDescent="0.25">
      <c r="A7156">
        <v>14</v>
      </c>
      <c r="B7156" t="s">
        <v>369</v>
      </c>
      <c r="C7156">
        <f>-0.22-0.64</f>
        <v>-0.86</v>
      </c>
      <c r="D7156">
        <v>0.21</v>
      </c>
      <c r="E7156" t="s">
        <v>58</v>
      </c>
      <c r="F7156" t="s">
        <v>15</v>
      </c>
      <c r="G7156">
        <v>0.64</v>
      </c>
      <c r="H7156">
        <v>-0.22</v>
      </c>
      <c r="I7156">
        <v>0.43</v>
      </c>
      <c r="J7156">
        <v>0.18490000000000001</v>
      </c>
      <c r="K7156" t="str">
        <f>IFERROR(INDEX(Rosters!$C$2:$C$155,MATCH($B7156,Rosters!$B$2:$B$155,0)),"NA")</f>
        <v>NA</v>
      </c>
      <c r="L7156" t="str">
        <f t="shared" si="333"/>
        <v>NA14QB</v>
      </c>
      <c r="M7156">
        <f>COUNTIF(L$1:L7156,L7156)</f>
        <v>42</v>
      </c>
      <c r="N7156" t="str">
        <f t="shared" si="334"/>
        <v>NA14QB-42</v>
      </c>
      <c r="O7156">
        <f>COUNTIFS(F$1:F7156,F7156,A$1:A7156,A7156)</f>
        <v>59</v>
      </c>
      <c r="P7156" t="str">
        <f t="shared" si="335"/>
        <v>Matt Cassel14</v>
      </c>
    </row>
    <row r="7157" spans="1:16" x14ac:dyDescent="0.25">
      <c r="A7157">
        <v>9</v>
      </c>
      <c r="B7157" t="s">
        <v>1640</v>
      </c>
      <c r="C7157">
        <f>-0.1-0.52</f>
        <v>-0.62</v>
      </c>
      <c r="D7157">
        <v>0.21</v>
      </c>
      <c r="E7157" t="s">
        <v>72</v>
      </c>
      <c r="F7157" t="s">
        <v>47</v>
      </c>
      <c r="G7157">
        <v>0.52</v>
      </c>
      <c r="H7157">
        <v>-0.1</v>
      </c>
      <c r="I7157">
        <v>0.31</v>
      </c>
      <c r="J7157">
        <v>9.6100000000000005E-2</v>
      </c>
      <c r="K7157" t="str">
        <f>IFERROR(INDEX(Rosters!$C$2:$C$155,MATCH($B7157,Rosters!$B$2:$B$155,0)),"NA")</f>
        <v>NA</v>
      </c>
      <c r="L7157" t="str">
        <f t="shared" si="333"/>
        <v>NA9RB</v>
      </c>
      <c r="M7157">
        <f>COUNTIF(L$1:L7157,L7157)</f>
        <v>67</v>
      </c>
      <c r="N7157" t="str">
        <f t="shared" si="334"/>
        <v>NA9RB-67</v>
      </c>
      <c r="O7157">
        <f>COUNTIFS(F$1:F7157,F7157,A$1:A7157,A7157)</f>
        <v>107</v>
      </c>
      <c r="P7157" t="str">
        <f t="shared" si="335"/>
        <v>Taiwan Jones9</v>
      </c>
    </row>
    <row r="7158" spans="1:16" x14ac:dyDescent="0.25">
      <c r="A7158">
        <v>9</v>
      </c>
      <c r="B7158" t="s">
        <v>372</v>
      </c>
      <c r="C7158">
        <f>-0.09-0.51</f>
        <v>-0.6</v>
      </c>
      <c r="D7158">
        <v>0.21</v>
      </c>
      <c r="E7158" t="s">
        <v>77</v>
      </c>
      <c r="F7158" t="s">
        <v>114</v>
      </c>
      <c r="G7158">
        <v>0.51</v>
      </c>
      <c r="H7158">
        <v>-0.09</v>
      </c>
      <c r="I7158">
        <v>0.3</v>
      </c>
      <c r="J7158">
        <v>0.09</v>
      </c>
      <c r="K7158" t="str">
        <f>IFERROR(INDEX(Rosters!$C$2:$C$155,MATCH($B7158,Rosters!$B$2:$B$155,0)),"NA")</f>
        <v>NA</v>
      </c>
      <c r="L7158" t="str">
        <f t="shared" si="333"/>
        <v>NA9TE</v>
      </c>
      <c r="M7158">
        <f>COUNTIF(L$1:L7158,L7158)</f>
        <v>71</v>
      </c>
      <c r="N7158" t="str">
        <f t="shared" si="334"/>
        <v>NA9TE-71</v>
      </c>
      <c r="O7158">
        <f>COUNTIFS(F$1:F7158,F7158,A$1:A7158,A7158)</f>
        <v>82</v>
      </c>
      <c r="P7158" t="str">
        <f t="shared" si="335"/>
        <v>Xavier Grimble9</v>
      </c>
    </row>
    <row r="7159" spans="1:16" x14ac:dyDescent="0.25">
      <c r="A7159">
        <v>13</v>
      </c>
      <c r="B7159" t="s">
        <v>372</v>
      </c>
      <c r="C7159">
        <f>-0.08-0.5</f>
        <v>-0.57999999999999996</v>
      </c>
      <c r="D7159">
        <v>0.21</v>
      </c>
      <c r="E7159" t="s">
        <v>37</v>
      </c>
      <c r="F7159" t="s">
        <v>114</v>
      </c>
      <c r="G7159">
        <v>0.5</v>
      </c>
      <c r="H7159">
        <v>-0.08</v>
      </c>
      <c r="I7159">
        <v>0.28999999999999998</v>
      </c>
      <c r="J7159">
        <v>8.4099999999999994E-2</v>
      </c>
      <c r="K7159" t="str">
        <f>IFERROR(INDEX(Rosters!$C$2:$C$155,MATCH($B7159,Rosters!$B$2:$B$155,0)),"NA")</f>
        <v>NA</v>
      </c>
      <c r="L7159" t="str">
        <f t="shared" si="333"/>
        <v>NA13TE</v>
      </c>
      <c r="M7159">
        <f>COUNTIF(L$1:L7159,L7159)</f>
        <v>87</v>
      </c>
      <c r="N7159" t="str">
        <f t="shared" si="334"/>
        <v>NA13TE-87</v>
      </c>
      <c r="O7159">
        <f>COUNTIFS(F$1:F7159,F7159,A$1:A7159,A7159)</f>
        <v>101</v>
      </c>
      <c r="P7159" t="str">
        <f t="shared" si="335"/>
        <v>Xavier Grimble13</v>
      </c>
    </row>
    <row r="7160" spans="1:16" x14ac:dyDescent="0.25">
      <c r="A7160">
        <v>5</v>
      </c>
      <c r="B7160" t="s">
        <v>3012</v>
      </c>
      <c r="C7160">
        <f>-0.03-0.43</f>
        <v>-0.45999999999999996</v>
      </c>
      <c r="D7160">
        <v>0.2</v>
      </c>
      <c r="E7160" t="s">
        <v>30</v>
      </c>
      <c r="F7160" t="s">
        <v>47</v>
      </c>
      <c r="G7160">
        <v>0.43</v>
      </c>
      <c r="H7160">
        <v>-0.03</v>
      </c>
      <c r="I7160">
        <v>0.23</v>
      </c>
      <c r="J7160">
        <v>5.2900000000000003E-2</v>
      </c>
      <c r="K7160" t="str">
        <f>IFERROR(INDEX(Rosters!$C$2:$C$155,MATCH($B7160,Rosters!$B$2:$B$155,0)),"NA")</f>
        <v>NA</v>
      </c>
      <c r="L7160" t="str">
        <f t="shared" si="333"/>
        <v>NA5RB</v>
      </c>
      <c r="M7160">
        <f>COUNTIF(L$1:L7160,L7160)</f>
        <v>75</v>
      </c>
      <c r="N7160" t="str">
        <f t="shared" si="334"/>
        <v>NA5RB-75</v>
      </c>
      <c r="O7160">
        <f>COUNTIFS(F$1:F7160,F7160,A$1:A7160,A7160)</f>
        <v>118</v>
      </c>
      <c r="P7160" t="str">
        <f t="shared" si="335"/>
        <v>Derrick Coleman5</v>
      </c>
    </row>
    <row r="7161" spans="1:16" x14ac:dyDescent="0.25">
      <c r="A7161">
        <v>8</v>
      </c>
      <c r="B7161" t="s">
        <v>3012</v>
      </c>
      <c r="C7161">
        <f>-0.03-0.43</f>
        <v>-0.45999999999999996</v>
      </c>
      <c r="D7161">
        <v>0.2</v>
      </c>
      <c r="E7161" t="s">
        <v>30</v>
      </c>
      <c r="F7161" t="s">
        <v>47</v>
      </c>
      <c r="G7161">
        <v>0.43</v>
      </c>
      <c r="H7161">
        <v>-0.03</v>
      </c>
      <c r="I7161">
        <v>0.23</v>
      </c>
      <c r="J7161">
        <v>5.2900000000000003E-2</v>
      </c>
      <c r="K7161" t="str">
        <f>IFERROR(INDEX(Rosters!$C$2:$C$155,MATCH($B7161,Rosters!$B$2:$B$155,0)),"NA")</f>
        <v>NA</v>
      </c>
      <c r="L7161" t="str">
        <f t="shared" si="333"/>
        <v>NA8RB</v>
      </c>
      <c r="M7161">
        <f>COUNTIF(L$1:L7161,L7161)</f>
        <v>78</v>
      </c>
      <c r="N7161" t="str">
        <f t="shared" si="334"/>
        <v>NA8RB-78</v>
      </c>
      <c r="O7161">
        <f>COUNTIFS(F$1:F7161,F7161,A$1:A7161,A7161)</f>
        <v>118</v>
      </c>
      <c r="P7161" t="str">
        <f t="shared" si="335"/>
        <v>Derrick Coleman8</v>
      </c>
    </row>
    <row r="7162" spans="1:16" x14ac:dyDescent="0.25">
      <c r="A7162">
        <v>4</v>
      </c>
      <c r="B7162" t="s">
        <v>374</v>
      </c>
      <c r="C7162">
        <f>-0.04-0.44</f>
        <v>-0.48</v>
      </c>
      <c r="D7162">
        <v>0.2</v>
      </c>
      <c r="E7162" t="s">
        <v>19</v>
      </c>
      <c r="F7162" t="s">
        <v>47</v>
      </c>
      <c r="G7162">
        <v>0.44</v>
      </c>
      <c r="H7162">
        <v>-0.04</v>
      </c>
      <c r="I7162">
        <v>0.24</v>
      </c>
      <c r="J7162">
        <v>5.7599999999999998E-2</v>
      </c>
      <c r="K7162" t="str">
        <f>IFERROR(INDEX(Rosters!$C$2:$C$155,MATCH($B7162,Rosters!$B$2:$B$155,0)),"NA")</f>
        <v>NA</v>
      </c>
      <c r="L7162" t="str">
        <f t="shared" si="333"/>
        <v>NA4RB</v>
      </c>
      <c r="M7162">
        <f>COUNTIF(L$1:L7162,L7162)</f>
        <v>64</v>
      </c>
      <c r="N7162" t="str">
        <f t="shared" si="334"/>
        <v>NA4RB-64</v>
      </c>
      <c r="O7162">
        <f>COUNTIFS(F$1:F7162,F7162,A$1:A7162,A7162)</f>
        <v>103</v>
      </c>
      <c r="P7162" t="str">
        <f t="shared" si="335"/>
        <v>James Develin4</v>
      </c>
    </row>
    <row r="7163" spans="1:16" x14ac:dyDescent="0.25">
      <c r="A7163">
        <v>6</v>
      </c>
      <c r="B7163" t="s">
        <v>374</v>
      </c>
      <c r="C7163">
        <f>-0.05-0.45</f>
        <v>-0.5</v>
      </c>
      <c r="D7163">
        <v>0.2</v>
      </c>
      <c r="E7163" t="s">
        <v>24</v>
      </c>
      <c r="F7163" t="s">
        <v>47</v>
      </c>
      <c r="G7163">
        <v>0.45</v>
      </c>
      <c r="H7163">
        <v>-0.05</v>
      </c>
      <c r="I7163">
        <v>0.25</v>
      </c>
      <c r="J7163">
        <v>6.25E-2</v>
      </c>
      <c r="K7163" t="str">
        <f>IFERROR(INDEX(Rosters!$C$2:$C$155,MATCH($B7163,Rosters!$B$2:$B$155,0)),"NA")</f>
        <v>NA</v>
      </c>
      <c r="L7163" t="str">
        <f t="shared" si="333"/>
        <v>NA6RB</v>
      </c>
      <c r="M7163">
        <f>COUNTIF(L$1:L7163,L7163)</f>
        <v>76</v>
      </c>
      <c r="N7163" t="str">
        <f t="shared" si="334"/>
        <v>NA6RB-76</v>
      </c>
      <c r="O7163">
        <f>COUNTIFS(F$1:F7163,F7163,A$1:A7163,A7163)</f>
        <v>118</v>
      </c>
      <c r="P7163" t="str">
        <f t="shared" si="335"/>
        <v>James Develin6</v>
      </c>
    </row>
    <row r="7164" spans="1:16" x14ac:dyDescent="0.25">
      <c r="A7164">
        <v>3</v>
      </c>
      <c r="B7164" t="s">
        <v>1631</v>
      </c>
      <c r="C7164">
        <f>-0.06-0.46</f>
        <v>-0.52</v>
      </c>
      <c r="D7164">
        <v>0.2</v>
      </c>
      <c r="E7164" t="s">
        <v>74</v>
      </c>
      <c r="F7164" t="s">
        <v>87</v>
      </c>
      <c r="G7164">
        <v>0.46</v>
      </c>
      <c r="H7164">
        <v>-0.06</v>
      </c>
      <c r="I7164">
        <v>0.26</v>
      </c>
      <c r="J7164">
        <v>6.7599999999999993E-2</v>
      </c>
      <c r="K7164" t="str">
        <f>IFERROR(INDEX(Rosters!$C$2:$C$155,MATCH($B7164,Rosters!$B$2:$B$155,0)),"NA")</f>
        <v>NA</v>
      </c>
      <c r="L7164" t="str">
        <f t="shared" si="333"/>
        <v>NA3WR</v>
      </c>
      <c r="M7164">
        <f>COUNTIF(L$1:L7164,L7164)</f>
        <v>101</v>
      </c>
      <c r="N7164" t="str">
        <f t="shared" si="334"/>
        <v>NA3WR-101</v>
      </c>
      <c r="O7164">
        <f>COUNTIFS(F$1:F7164,F7164,A$1:A7164,A7164)</f>
        <v>150</v>
      </c>
      <c r="P7164" t="str">
        <f t="shared" si="335"/>
        <v>Josh Malone3</v>
      </c>
    </row>
    <row r="7165" spans="1:16" x14ac:dyDescent="0.25">
      <c r="A7165">
        <v>10</v>
      </c>
      <c r="B7165" t="s">
        <v>369</v>
      </c>
      <c r="C7165">
        <f>-0.22-0.62</f>
        <v>-0.84</v>
      </c>
      <c r="D7165">
        <v>0.2</v>
      </c>
      <c r="E7165" t="s">
        <v>72</v>
      </c>
      <c r="F7165" t="s">
        <v>15</v>
      </c>
      <c r="G7165">
        <v>0.62</v>
      </c>
      <c r="H7165">
        <v>-0.22</v>
      </c>
      <c r="I7165">
        <v>0.42</v>
      </c>
      <c r="J7165">
        <v>0.1764</v>
      </c>
      <c r="K7165" t="str">
        <f>IFERROR(INDEX(Rosters!$C$2:$C$155,MATCH($B7165,Rosters!$B$2:$B$155,0)),"NA")</f>
        <v>NA</v>
      </c>
      <c r="L7165" t="str">
        <f t="shared" si="333"/>
        <v>NA10QB</v>
      </c>
      <c r="M7165">
        <f>COUNTIF(L$1:L7165,L7165)</f>
        <v>36</v>
      </c>
      <c r="N7165" t="str">
        <f t="shared" si="334"/>
        <v>NA10QB-36</v>
      </c>
      <c r="O7165">
        <f>COUNTIFS(F$1:F7165,F7165,A$1:A7165,A7165)</f>
        <v>52</v>
      </c>
      <c r="P7165" t="str">
        <f t="shared" si="335"/>
        <v>Matt Cassel10</v>
      </c>
    </row>
    <row r="7166" spans="1:16" x14ac:dyDescent="0.25">
      <c r="A7166">
        <v>4</v>
      </c>
      <c r="B7166" t="s">
        <v>379</v>
      </c>
      <c r="C7166">
        <f>-0.02-0.42</f>
        <v>-0.44</v>
      </c>
      <c r="D7166">
        <v>0.2</v>
      </c>
      <c r="E7166" t="s">
        <v>37</v>
      </c>
      <c r="F7166" t="s">
        <v>47</v>
      </c>
      <c r="G7166">
        <v>0.42</v>
      </c>
      <c r="H7166">
        <v>-0.02</v>
      </c>
      <c r="I7166">
        <v>0.22</v>
      </c>
      <c r="J7166">
        <v>4.8399999999999999E-2</v>
      </c>
      <c r="K7166" t="str">
        <f>IFERROR(INDEX(Rosters!$C$2:$C$155,MATCH($B7166,Rosters!$B$2:$B$155,0)),"NA")</f>
        <v>NA</v>
      </c>
      <c r="L7166" t="str">
        <f t="shared" si="333"/>
        <v>NA4RB</v>
      </c>
      <c r="M7166">
        <f>COUNTIF(L$1:L7166,L7166)</f>
        <v>65</v>
      </c>
      <c r="N7166" t="str">
        <f t="shared" si="334"/>
        <v>NA4RB-65</v>
      </c>
      <c r="O7166">
        <f>COUNTIFS(F$1:F7166,F7166,A$1:A7166,A7166)</f>
        <v>104</v>
      </c>
      <c r="P7166" t="str">
        <f t="shared" si="335"/>
        <v>Raheem Mostert4</v>
      </c>
    </row>
    <row r="7167" spans="1:16" x14ac:dyDescent="0.25">
      <c r="A7167">
        <v>12</v>
      </c>
      <c r="B7167" t="s">
        <v>1640</v>
      </c>
      <c r="C7167">
        <f>-0.08-0.48</f>
        <v>-0.55999999999999994</v>
      </c>
      <c r="D7167">
        <v>0.2</v>
      </c>
      <c r="E7167" t="s">
        <v>76</v>
      </c>
      <c r="F7167" t="s">
        <v>47</v>
      </c>
      <c r="G7167">
        <v>0.48</v>
      </c>
      <c r="H7167">
        <v>-0.08</v>
      </c>
      <c r="I7167">
        <v>0.28000000000000003</v>
      </c>
      <c r="J7167">
        <v>7.8399999999999997E-2</v>
      </c>
      <c r="K7167" t="str">
        <f>IFERROR(INDEX(Rosters!$C$2:$C$155,MATCH($B7167,Rosters!$B$2:$B$155,0)),"NA")</f>
        <v>NA</v>
      </c>
      <c r="L7167" t="str">
        <f t="shared" si="333"/>
        <v>NA12RB</v>
      </c>
      <c r="M7167">
        <f>COUNTIF(L$1:L7167,L7167)</f>
        <v>80</v>
      </c>
      <c r="N7167" t="str">
        <f t="shared" si="334"/>
        <v>NA12RB-80</v>
      </c>
      <c r="O7167">
        <f>COUNTIFS(F$1:F7167,F7167,A$1:A7167,A7167)</f>
        <v>125</v>
      </c>
      <c r="P7167" t="str">
        <f t="shared" si="335"/>
        <v>Taiwan Jones12</v>
      </c>
    </row>
    <row r="7168" spans="1:16" x14ac:dyDescent="0.25">
      <c r="A7168">
        <v>1</v>
      </c>
      <c r="B7168" t="s">
        <v>374</v>
      </c>
      <c r="C7168">
        <f>-0.09-0.47</f>
        <v>-0.55999999999999994</v>
      </c>
      <c r="D7168">
        <v>0.19</v>
      </c>
      <c r="E7168" t="s">
        <v>36</v>
      </c>
      <c r="F7168" t="s">
        <v>47</v>
      </c>
      <c r="G7168">
        <v>0.47</v>
      </c>
      <c r="H7168">
        <v>-0.09</v>
      </c>
      <c r="I7168">
        <v>0.28000000000000003</v>
      </c>
      <c r="J7168">
        <v>7.8399999999999997E-2</v>
      </c>
      <c r="K7168" t="str">
        <f>IFERROR(INDEX(Rosters!$C$2:$C$155,MATCH($B7168,Rosters!$B$2:$B$155,0)),"NA")</f>
        <v>NA</v>
      </c>
      <c r="L7168" t="str">
        <f t="shared" si="333"/>
        <v>NA1RB</v>
      </c>
      <c r="M7168">
        <f>COUNTIF(L$1:L7168,L7168)</f>
        <v>52</v>
      </c>
      <c r="N7168" t="str">
        <f t="shared" si="334"/>
        <v>NA1RB-52</v>
      </c>
      <c r="O7168">
        <f>COUNTIFS(F$1:F7168,F7168,A$1:A7168,A7168)</f>
        <v>95</v>
      </c>
      <c r="P7168" t="str">
        <f t="shared" si="335"/>
        <v>James Develin1</v>
      </c>
    </row>
    <row r="7169" spans="1:16" x14ac:dyDescent="0.25">
      <c r="A7169">
        <v>7</v>
      </c>
      <c r="B7169" t="s">
        <v>374</v>
      </c>
      <c r="C7169">
        <f>-0.06-0.44</f>
        <v>-0.5</v>
      </c>
      <c r="D7169">
        <v>0.19</v>
      </c>
      <c r="E7169" t="s">
        <v>72</v>
      </c>
      <c r="F7169" t="s">
        <v>47</v>
      </c>
      <c r="G7169">
        <v>0.44</v>
      </c>
      <c r="H7169">
        <v>-0.06</v>
      </c>
      <c r="I7169">
        <v>0.25</v>
      </c>
      <c r="J7169">
        <v>6.25E-2</v>
      </c>
      <c r="K7169" t="str">
        <f>IFERROR(INDEX(Rosters!$C$2:$C$155,MATCH($B7169,Rosters!$B$2:$B$155,0)),"NA")</f>
        <v>NA</v>
      </c>
      <c r="L7169" t="str">
        <f t="shared" si="333"/>
        <v>NA7RB</v>
      </c>
      <c r="M7169">
        <f>COUNTIF(L$1:L7169,L7169)</f>
        <v>72</v>
      </c>
      <c r="N7169" t="str">
        <f t="shared" si="334"/>
        <v>NA7RB-72</v>
      </c>
      <c r="O7169">
        <f>COUNTIFS(F$1:F7169,F7169,A$1:A7169,A7169)</f>
        <v>113</v>
      </c>
      <c r="P7169" t="str">
        <f t="shared" si="335"/>
        <v>James Develin7</v>
      </c>
    </row>
    <row r="7170" spans="1:16" x14ac:dyDescent="0.25">
      <c r="A7170">
        <v>4</v>
      </c>
      <c r="B7170" t="s">
        <v>1628</v>
      </c>
      <c r="C7170">
        <f>-0.19-0.57</f>
        <v>-0.76</v>
      </c>
      <c r="D7170">
        <v>0.19</v>
      </c>
      <c r="E7170" t="s">
        <v>14</v>
      </c>
      <c r="F7170" t="s">
        <v>87</v>
      </c>
      <c r="G7170">
        <v>0.56999999999999995</v>
      </c>
      <c r="H7170">
        <v>-0.19</v>
      </c>
      <c r="I7170">
        <v>0.38</v>
      </c>
      <c r="J7170">
        <v>0.1444</v>
      </c>
      <c r="K7170" t="str">
        <f>IFERROR(INDEX(Rosters!$C$2:$C$155,MATCH($B7170,Rosters!$B$2:$B$155,0)),"NA")</f>
        <v>NA</v>
      </c>
      <c r="L7170" t="str">
        <f t="shared" si="333"/>
        <v>NA4WR</v>
      </c>
      <c r="M7170">
        <f>COUNTIF(L$1:L7170,L7170)</f>
        <v>98</v>
      </c>
      <c r="N7170" t="str">
        <f t="shared" si="334"/>
        <v>NA4WR-98</v>
      </c>
      <c r="O7170">
        <f>COUNTIFS(F$1:F7170,F7170,A$1:A7170,A7170)</f>
        <v>148</v>
      </c>
      <c r="P7170" t="str">
        <f t="shared" si="335"/>
        <v>Stacy Coley4</v>
      </c>
    </row>
    <row r="7171" spans="1:16" x14ac:dyDescent="0.25">
      <c r="A7171">
        <v>3</v>
      </c>
      <c r="B7171" t="s">
        <v>3012</v>
      </c>
      <c r="C7171">
        <f>-0.03-0.39</f>
        <v>-0.42000000000000004</v>
      </c>
      <c r="D7171">
        <v>0.18</v>
      </c>
      <c r="E7171" t="s">
        <v>72</v>
      </c>
      <c r="F7171" t="s">
        <v>47</v>
      </c>
      <c r="G7171">
        <v>0.39</v>
      </c>
      <c r="H7171">
        <v>-0.03</v>
      </c>
      <c r="I7171">
        <v>0.21</v>
      </c>
      <c r="J7171">
        <v>4.41E-2</v>
      </c>
      <c r="K7171" t="str">
        <f>IFERROR(INDEX(Rosters!$C$2:$C$155,MATCH($B7171,Rosters!$B$2:$B$155,0)),"NA")</f>
        <v>NA</v>
      </c>
      <c r="L7171" t="str">
        <f t="shared" ref="L7171:L7234" si="336">K7171&amp;A7171&amp;F7171</f>
        <v>NA3RB</v>
      </c>
      <c r="M7171">
        <f>COUNTIF(L$1:L7171,L7171)</f>
        <v>63</v>
      </c>
      <c r="N7171" t="str">
        <f t="shared" ref="N7171:N7234" si="337">L7171&amp;"-"&amp;M7171</f>
        <v>NA3RB-63</v>
      </c>
      <c r="O7171">
        <f>COUNTIFS(F$1:F7171,F7171,A$1:A7171,A7171)</f>
        <v>102</v>
      </c>
      <c r="P7171" t="str">
        <f t="shared" ref="P7171:P7234" si="338">B7171&amp;A7171</f>
        <v>Derrick Coleman3</v>
      </c>
    </row>
    <row r="7172" spans="1:16" x14ac:dyDescent="0.25">
      <c r="A7172">
        <v>4</v>
      </c>
      <c r="B7172" t="s">
        <v>3126</v>
      </c>
      <c r="C7172">
        <f>-0.15-0.51</f>
        <v>-0.66</v>
      </c>
      <c r="D7172">
        <v>0.18</v>
      </c>
      <c r="E7172" t="s">
        <v>24</v>
      </c>
      <c r="F7172" t="s">
        <v>114</v>
      </c>
      <c r="G7172">
        <v>0.51</v>
      </c>
      <c r="H7172">
        <v>-0.15</v>
      </c>
      <c r="I7172">
        <v>0.33</v>
      </c>
      <c r="J7172">
        <v>0.1089</v>
      </c>
      <c r="K7172" t="str">
        <f>IFERROR(INDEX(Rosters!$C$2:$C$155,MATCH($B7172,Rosters!$B$2:$B$155,0)),"NA")</f>
        <v>NA</v>
      </c>
      <c r="L7172" t="str">
        <f t="shared" si="336"/>
        <v>NA4TE</v>
      </c>
      <c r="M7172">
        <f>COUNTIF(L$1:L7172,L7172)</f>
        <v>68</v>
      </c>
      <c r="N7172" t="str">
        <f t="shared" si="337"/>
        <v>NA4TE-68</v>
      </c>
      <c r="O7172">
        <f>COUNTIFS(F$1:F7172,F7172,A$1:A7172,A7172)</f>
        <v>79</v>
      </c>
      <c r="P7172" t="str">
        <f t="shared" si="338"/>
        <v>Matt LaCosse4</v>
      </c>
    </row>
    <row r="7173" spans="1:16" x14ac:dyDescent="0.25">
      <c r="A7173">
        <v>10</v>
      </c>
      <c r="B7173" t="s">
        <v>374</v>
      </c>
      <c r="C7173">
        <f>-0.04-0.38</f>
        <v>-0.42</v>
      </c>
      <c r="D7173">
        <v>0.17</v>
      </c>
      <c r="E7173" t="s">
        <v>38</v>
      </c>
      <c r="F7173" t="s">
        <v>47</v>
      </c>
      <c r="G7173">
        <v>0.38</v>
      </c>
      <c r="H7173">
        <v>-0.04</v>
      </c>
      <c r="I7173">
        <v>0.21</v>
      </c>
      <c r="J7173">
        <v>4.41E-2</v>
      </c>
      <c r="K7173" t="str">
        <f>IFERROR(INDEX(Rosters!$C$2:$C$155,MATCH($B7173,Rosters!$B$2:$B$155,0)),"NA")</f>
        <v>NA</v>
      </c>
      <c r="L7173" t="str">
        <f t="shared" si="336"/>
        <v>NA10RB</v>
      </c>
      <c r="M7173">
        <f>COUNTIF(L$1:L7173,L7173)</f>
        <v>75</v>
      </c>
      <c r="N7173" t="str">
        <f t="shared" si="337"/>
        <v>NA10RB-75</v>
      </c>
      <c r="O7173">
        <f>COUNTIFS(F$1:F7173,F7173,A$1:A7173,A7173)</f>
        <v>114</v>
      </c>
      <c r="P7173" t="str">
        <f t="shared" si="338"/>
        <v>James Develin10</v>
      </c>
    </row>
    <row r="7174" spans="1:16" x14ac:dyDescent="0.25">
      <c r="A7174">
        <v>13</v>
      </c>
      <c r="B7174" t="s">
        <v>374</v>
      </c>
      <c r="C7174">
        <f>-0.05-0.39</f>
        <v>-0.44</v>
      </c>
      <c r="D7174">
        <v>0.17</v>
      </c>
      <c r="E7174" t="s">
        <v>25</v>
      </c>
      <c r="F7174" t="s">
        <v>47</v>
      </c>
      <c r="G7174">
        <v>0.39</v>
      </c>
      <c r="H7174">
        <v>-0.05</v>
      </c>
      <c r="I7174">
        <v>0.22</v>
      </c>
      <c r="J7174">
        <v>4.8399999999999999E-2</v>
      </c>
      <c r="K7174" t="str">
        <f>IFERROR(INDEX(Rosters!$C$2:$C$155,MATCH($B7174,Rosters!$B$2:$B$155,0)),"NA")</f>
        <v>NA</v>
      </c>
      <c r="L7174" t="str">
        <f t="shared" si="336"/>
        <v>NA13RB</v>
      </c>
      <c r="M7174">
        <f>COUNTIF(L$1:L7174,L7174)</f>
        <v>86</v>
      </c>
      <c r="N7174" t="str">
        <f t="shared" si="337"/>
        <v>NA13RB-86</v>
      </c>
      <c r="O7174">
        <f>COUNTIFS(F$1:F7174,F7174,A$1:A7174,A7174)</f>
        <v>133</v>
      </c>
      <c r="P7174" t="str">
        <f t="shared" si="338"/>
        <v>James Develin13</v>
      </c>
    </row>
    <row r="7175" spans="1:16" x14ac:dyDescent="0.25">
      <c r="A7175">
        <v>17</v>
      </c>
      <c r="B7175" t="s">
        <v>374</v>
      </c>
      <c r="C7175">
        <f>-0.05-0.39</f>
        <v>-0.44</v>
      </c>
      <c r="D7175">
        <v>0.17</v>
      </c>
      <c r="E7175" t="s">
        <v>73</v>
      </c>
      <c r="F7175" t="s">
        <v>47</v>
      </c>
      <c r="G7175">
        <v>0.39</v>
      </c>
      <c r="H7175">
        <v>-0.05</v>
      </c>
      <c r="I7175">
        <v>0.22</v>
      </c>
      <c r="J7175">
        <v>4.8399999999999999E-2</v>
      </c>
      <c r="K7175" t="str">
        <f>IFERROR(INDEX(Rosters!$C$2:$C$155,MATCH($B7175,Rosters!$B$2:$B$155,0)),"NA")</f>
        <v>NA</v>
      </c>
      <c r="L7175" t="str">
        <f t="shared" si="336"/>
        <v>NA17RB</v>
      </c>
      <c r="M7175">
        <f>COUNTIF(L$1:L7175,L7175)</f>
        <v>86</v>
      </c>
      <c r="N7175" t="str">
        <f t="shared" si="337"/>
        <v>NA17RB-86</v>
      </c>
      <c r="O7175">
        <f>COUNTIFS(F$1:F7175,F7175,A$1:A7175,A7175)</f>
        <v>133</v>
      </c>
      <c r="P7175" t="str">
        <f t="shared" si="338"/>
        <v>James Develin17</v>
      </c>
    </row>
    <row r="7176" spans="1:16" x14ac:dyDescent="0.25">
      <c r="A7176">
        <v>2</v>
      </c>
      <c r="B7176" t="s">
        <v>389</v>
      </c>
      <c r="C7176">
        <f>-0.02-0.36</f>
        <v>-0.38</v>
      </c>
      <c r="D7176">
        <v>0.17</v>
      </c>
      <c r="E7176" t="s">
        <v>42</v>
      </c>
      <c r="F7176" t="s">
        <v>114</v>
      </c>
      <c r="G7176">
        <v>0.36</v>
      </c>
      <c r="H7176">
        <v>-0.02</v>
      </c>
      <c r="I7176">
        <v>0.19</v>
      </c>
      <c r="J7176">
        <v>3.61E-2</v>
      </c>
      <c r="K7176" t="str">
        <f>IFERROR(INDEX(Rosters!$C$2:$C$155,MATCH($B7176,Rosters!$B$2:$B$155,0)),"NA")</f>
        <v>NA</v>
      </c>
      <c r="L7176" t="str">
        <f t="shared" si="336"/>
        <v>NA2TE</v>
      </c>
      <c r="M7176">
        <f>COUNTIF(L$1:L7176,L7176)</f>
        <v>72</v>
      </c>
      <c r="N7176" t="str">
        <f t="shared" si="337"/>
        <v>NA2TE-72</v>
      </c>
      <c r="O7176">
        <f>COUNTIFS(F$1:F7176,F7176,A$1:A7176,A7176)</f>
        <v>85</v>
      </c>
      <c r="P7176" t="str">
        <f t="shared" si="338"/>
        <v>Lee Smith2</v>
      </c>
    </row>
    <row r="7177" spans="1:16" x14ac:dyDescent="0.25">
      <c r="A7177">
        <v>3</v>
      </c>
      <c r="B7177" t="s">
        <v>3126</v>
      </c>
      <c r="C7177">
        <f>-0.12-0.46</f>
        <v>-0.58000000000000007</v>
      </c>
      <c r="D7177">
        <v>0.17</v>
      </c>
      <c r="E7177" t="s">
        <v>77</v>
      </c>
      <c r="F7177" t="s">
        <v>114</v>
      </c>
      <c r="G7177">
        <v>0.46</v>
      </c>
      <c r="H7177">
        <v>-0.12</v>
      </c>
      <c r="I7177">
        <v>0.28999999999999998</v>
      </c>
      <c r="J7177">
        <v>8.4099999999999994E-2</v>
      </c>
      <c r="K7177" t="str">
        <f>IFERROR(INDEX(Rosters!$C$2:$C$155,MATCH($B7177,Rosters!$B$2:$B$155,0)),"NA")</f>
        <v>NA</v>
      </c>
      <c r="L7177" t="str">
        <f t="shared" si="336"/>
        <v>NA3TE</v>
      </c>
      <c r="M7177">
        <f>COUNTIF(L$1:L7177,L7177)</f>
        <v>74</v>
      </c>
      <c r="N7177" t="str">
        <f t="shared" si="337"/>
        <v>NA3TE-74</v>
      </c>
      <c r="O7177">
        <f>COUNTIFS(F$1:F7177,F7177,A$1:A7177,A7177)</f>
        <v>87</v>
      </c>
      <c r="P7177" t="str">
        <f t="shared" si="338"/>
        <v>Matt LaCosse3</v>
      </c>
    </row>
    <row r="7178" spans="1:16" x14ac:dyDescent="0.25">
      <c r="A7178">
        <v>12</v>
      </c>
      <c r="B7178" t="s">
        <v>374</v>
      </c>
      <c r="C7178">
        <f>-0.06-0.38</f>
        <v>-0.44</v>
      </c>
      <c r="D7178">
        <v>0.16</v>
      </c>
      <c r="E7178" t="s">
        <v>73</v>
      </c>
      <c r="F7178" t="s">
        <v>47</v>
      </c>
      <c r="G7178">
        <v>0.38</v>
      </c>
      <c r="H7178">
        <v>-0.06</v>
      </c>
      <c r="I7178">
        <v>0.22</v>
      </c>
      <c r="J7178">
        <v>4.8399999999999999E-2</v>
      </c>
      <c r="K7178" t="str">
        <f>IFERROR(INDEX(Rosters!$C$2:$C$155,MATCH($B7178,Rosters!$B$2:$B$155,0)),"NA")</f>
        <v>NA</v>
      </c>
      <c r="L7178" t="str">
        <f t="shared" si="336"/>
        <v>NA12RB</v>
      </c>
      <c r="M7178">
        <f>COUNTIF(L$1:L7178,L7178)</f>
        <v>81</v>
      </c>
      <c r="N7178" t="str">
        <f t="shared" si="337"/>
        <v>NA12RB-81</v>
      </c>
      <c r="O7178">
        <f>COUNTIFS(F$1:F7178,F7178,A$1:A7178,A7178)</f>
        <v>126</v>
      </c>
      <c r="P7178" t="str">
        <f t="shared" si="338"/>
        <v>James Develin12</v>
      </c>
    </row>
    <row r="7179" spans="1:16" x14ac:dyDescent="0.25">
      <c r="A7179">
        <v>3</v>
      </c>
      <c r="B7179" t="s">
        <v>1628</v>
      </c>
      <c r="C7179">
        <f>-0.18-0.48</f>
        <v>-0.65999999999999992</v>
      </c>
      <c r="D7179">
        <v>0.15</v>
      </c>
      <c r="E7179" t="s">
        <v>29</v>
      </c>
      <c r="F7179" t="s">
        <v>87</v>
      </c>
      <c r="G7179">
        <v>0.48</v>
      </c>
      <c r="H7179">
        <v>-0.18</v>
      </c>
      <c r="I7179">
        <v>0.33</v>
      </c>
      <c r="J7179" s="66">
        <v>0.1089</v>
      </c>
      <c r="K7179" t="str">
        <f>IFERROR(INDEX(Rosters!$C$2:$C$155,MATCH($B7179,Rosters!$B$2:$B$155,0)),"NA")</f>
        <v>NA</v>
      </c>
      <c r="L7179" t="str">
        <f t="shared" si="336"/>
        <v>NA3WR</v>
      </c>
      <c r="M7179">
        <f>COUNTIF(L$1:L7179,L7179)</f>
        <v>102</v>
      </c>
      <c r="N7179" t="str">
        <f t="shared" si="337"/>
        <v>NA3WR-102</v>
      </c>
      <c r="O7179">
        <f>COUNTIFS(F$1:F7179,F7179,A$1:A7179,A7179)</f>
        <v>151</v>
      </c>
      <c r="P7179" t="str">
        <f t="shared" si="338"/>
        <v>Stacy Coley3</v>
      </c>
    </row>
    <row r="7180" spans="1:16" x14ac:dyDescent="0.25">
      <c r="A7180">
        <v>2</v>
      </c>
      <c r="B7180" t="s">
        <v>374</v>
      </c>
      <c r="C7180">
        <f>-0.11-0.37</f>
        <v>-0.48</v>
      </c>
      <c r="D7180">
        <v>0.13</v>
      </c>
      <c r="E7180" t="s">
        <v>76</v>
      </c>
      <c r="F7180" t="s">
        <v>47</v>
      </c>
      <c r="G7180">
        <v>0.37</v>
      </c>
      <c r="H7180">
        <v>-0.11</v>
      </c>
      <c r="I7180">
        <v>0.24</v>
      </c>
      <c r="J7180" s="66">
        <v>5.7599999999999998E-2</v>
      </c>
      <c r="K7180" t="str">
        <f>IFERROR(INDEX(Rosters!$C$2:$C$155,MATCH($B7180,Rosters!$B$2:$B$155,0)),"NA")</f>
        <v>NA</v>
      </c>
      <c r="L7180" t="str">
        <f t="shared" si="336"/>
        <v>NA2RB</v>
      </c>
      <c r="M7180">
        <f>COUNTIF(L$1:L7180,L7180)</f>
        <v>59</v>
      </c>
      <c r="N7180" t="str">
        <f t="shared" si="337"/>
        <v>NA2RB-59</v>
      </c>
      <c r="O7180">
        <f>COUNTIFS(F$1:F7180,F7180,A$1:A7180,A7180)</f>
        <v>101</v>
      </c>
      <c r="P7180" t="str">
        <f t="shared" si="338"/>
        <v>James Develin2</v>
      </c>
    </row>
    <row r="7181" spans="1:16" x14ac:dyDescent="0.25">
      <c r="A7181">
        <v>6</v>
      </c>
      <c r="B7181" t="s">
        <v>1628</v>
      </c>
      <c r="C7181">
        <f>-0.19-0.33</f>
        <v>-0.52</v>
      </c>
      <c r="D7181">
        <v>7.0000000000000007E-2</v>
      </c>
      <c r="E7181" t="s">
        <v>50</v>
      </c>
      <c r="F7181" t="s">
        <v>87</v>
      </c>
      <c r="G7181">
        <v>0.33</v>
      </c>
      <c r="H7181">
        <v>-0.19</v>
      </c>
      <c r="I7181">
        <v>0.26</v>
      </c>
      <c r="J7181">
        <v>6.7599999999999993E-2</v>
      </c>
      <c r="K7181" t="str">
        <f>IFERROR(INDEX(Rosters!$C$2:$C$155,MATCH($B7181,Rosters!$B$2:$B$155,0)),"NA")</f>
        <v>NA</v>
      </c>
      <c r="L7181" t="str">
        <f t="shared" si="336"/>
        <v>NA6WR</v>
      </c>
      <c r="M7181">
        <f>COUNTIF(L$1:L7181,L7181)</f>
        <v>117</v>
      </c>
      <c r="N7181" t="str">
        <f t="shared" si="337"/>
        <v>NA6WR-117</v>
      </c>
      <c r="O7181">
        <f>COUNTIFS(F$1:F7181,F7181,A$1:A7181,A7181)</f>
        <v>167</v>
      </c>
      <c r="P7181" t="str">
        <f t="shared" si="338"/>
        <v>Stacy Coley6</v>
      </c>
    </row>
    <row r="7182" spans="1:16" x14ac:dyDescent="0.25">
      <c r="A7182">
        <v>7</v>
      </c>
      <c r="B7182" t="s">
        <v>1628</v>
      </c>
      <c r="C7182">
        <f>-0.19-0.33</f>
        <v>-0.52</v>
      </c>
      <c r="D7182">
        <v>7.0000000000000007E-2</v>
      </c>
      <c r="E7182" t="s">
        <v>46</v>
      </c>
      <c r="F7182" t="s">
        <v>87</v>
      </c>
      <c r="G7182">
        <v>0.33</v>
      </c>
      <c r="H7182">
        <v>-0.19</v>
      </c>
      <c r="I7182">
        <v>0.26</v>
      </c>
      <c r="J7182">
        <v>6.7599999999999993E-2</v>
      </c>
      <c r="K7182" t="str">
        <f>IFERROR(INDEX(Rosters!$C$2:$C$155,MATCH($B7182,Rosters!$B$2:$B$155,0)),"NA")</f>
        <v>NA</v>
      </c>
      <c r="L7182" t="str">
        <f t="shared" si="336"/>
        <v>NA7WR</v>
      </c>
      <c r="M7182">
        <f>COUNTIF(L$1:L7182,L7182)</f>
        <v>110</v>
      </c>
      <c r="N7182" t="str">
        <f t="shared" si="337"/>
        <v>NA7WR-110</v>
      </c>
      <c r="O7182">
        <f>COUNTIFS(F$1:F7182,F7182,A$1:A7182,A7182)</f>
        <v>155</v>
      </c>
      <c r="P7182" t="str">
        <f t="shared" si="338"/>
        <v>Stacy Coley7</v>
      </c>
    </row>
    <row r="7183" spans="1:16" x14ac:dyDescent="0.25">
      <c r="A7183">
        <v>8</v>
      </c>
      <c r="B7183" t="s">
        <v>1628</v>
      </c>
      <c r="C7183">
        <f>-0.19-0.33</f>
        <v>-0.52</v>
      </c>
      <c r="D7183">
        <v>7.0000000000000007E-2</v>
      </c>
      <c r="E7183" t="s">
        <v>60</v>
      </c>
      <c r="F7183" t="s">
        <v>87</v>
      </c>
      <c r="G7183">
        <v>0.33</v>
      </c>
      <c r="H7183">
        <v>-0.19</v>
      </c>
      <c r="I7183">
        <v>0.26</v>
      </c>
      <c r="J7183">
        <v>6.7599999999999993E-2</v>
      </c>
      <c r="K7183" t="str">
        <f>IFERROR(INDEX(Rosters!$C$2:$C$155,MATCH($B7183,Rosters!$B$2:$B$155,0)),"NA")</f>
        <v>NA</v>
      </c>
      <c r="L7183" t="str">
        <f t="shared" si="336"/>
        <v>NA8WR</v>
      </c>
      <c r="M7183">
        <f>COUNTIF(L$1:L7183,L7183)</f>
        <v>105</v>
      </c>
      <c r="N7183" t="str">
        <f t="shared" si="337"/>
        <v>NA8WR-105</v>
      </c>
      <c r="O7183">
        <f>COUNTIFS(F$1:F7183,F7183,A$1:A7183,A7183)</f>
        <v>154</v>
      </c>
      <c r="P7183" t="str">
        <f t="shared" si="338"/>
        <v>Stacy Coley8</v>
      </c>
    </row>
    <row r="7184" spans="1:16" x14ac:dyDescent="0.25">
      <c r="A7184">
        <v>10</v>
      </c>
      <c r="B7184" t="s">
        <v>1628</v>
      </c>
      <c r="C7184">
        <f>-0.19-0.33</f>
        <v>-0.52</v>
      </c>
      <c r="D7184">
        <v>7.0000000000000007E-2</v>
      </c>
      <c r="E7184" t="s">
        <v>30</v>
      </c>
      <c r="F7184" t="s">
        <v>87</v>
      </c>
      <c r="G7184">
        <v>0.33</v>
      </c>
      <c r="H7184">
        <v>-0.19</v>
      </c>
      <c r="I7184">
        <v>0.26</v>
      </c>
      <c r="J7184">
        <v>6.7599999999999993E-2</v>
      </c>
      <c r="K7184" t="str">
        <f>IFERROR(INDEX(Rosters!$C$2:$C$155,MATCH($B7184,Rosters!$B$2:$B$155,0)),"NA")</f>
        <v>NA</v>
      </c>
      <c r="L7184" t="str">
        <f t="shared" si="336"/>
        <v>NA10WR</v>
      </c>
      <c r="M7184">
        <f>COUNTIF(L$1:L7184,L7184)</f>
        <v>115</v>
      </c>
      <c r="N7184" t="str">
        <f t="shared" si="337"/>
        <v>NA10WR-115</v>
      </c>
      <c r="O7184">
        <f>COUNTIFS(F$1:F7184,F7184,A$1:A7184,A7184)</f>
        <v>160</v>
      </c>
      <c r="P7184" t="str">
        <f t="shared" si="338"/>
        <v>Stacy Coley10</v>
      </c>
    </row>
    <row r="7185" spans="1:16" x14ac:dyDescent="0.25">
      <c r="A7185">
        <v>11</v>
      </c>
      <c r="B7185" t="s">
        <v>1628</v>
      </c>
      <c r="C7185">
        <f>-0.18-0.32</f>
        <v>-0.5</v>
      </c>
      <c r="D7185">
        <v>7.0000000000000007E-2</v>
      </c>
      <c r="E7185" t="s">
        <v>17</v>
      </c>
      <c r="F7185" t="s">
        <v>87</v>
      </c>
      <c r="G7185">
        <v>0.32</v>
      </c>
      <c r="H7185">
        <v>-0.18</v>
      </c>
      <c r="I7185">
        <v>0.25</v>
      </c>
      <c r="J7185">
        <v>6.25E-2</v>
      </c>
      <c r="K7185" t="str">
        <f>IFERROR(INDEX(Rosters!$C$2:$C$155,MATCH($B7185,Rosters!$B$2:$B$155,0)),"NA")</f>
        <v>NA</v>
      </c>
      <c r="L7185" t="str">
        <f t="shared" si="336"/>
        <v>NA11WR</v>
      </c>
      <c r="M7185">
        <f>COUNTIF(L$1:L7185,L7185)</f>
        <v>101</v>
      </c>
      <c r="N7185" t="str">
        <f t="shared" si="337"/>
        <v>NA11WR-101</v>
      </c>
      <c r="O7185">
        <f>COUNTIFS(F$1:F7185,F7185,A$1:A7185,A7185)</f>
        <v>148</v>
      </c>
      <c r="P7185" t="str">
        <f t="shared" si="338"/>
        <v>Stacy Coley11</v>
      </c>
    </row>
    <row r="7186" spans="1:16" x14ac:dyDescent="0.25">
      <c r="A7186">
        <v>12</v>
      </c>
      <c r="B7186" t="s">
        <v>1628</v>
      </c>
      <c r="C7186">
        <f>-0.19-0.33</f>
        <v>-0.52</v>
      </c>
      <c r="D7186">
        <v>7.0000000000000007E-2</v>
      </c>
      <c r="E7186" t="s">
        <v>50</v>
      </c>
      <c r="F7186" t="s">
        <v>87</v>
      </c>
      <c r="G7186">
        <v>0.33</v>
      </c>
      <c r="H7186">
        <v>-0.19</v>
      </c>
      <c r="I7186">
        <v>0.26</v>
      </c>
      <c r="J7186">
        <v>6.7599999999999993E-2</v>
      </c>
      <c r="K7186" t="str">
        <f>IFERROR(INDEX(Rosters!$C$2:$C$155,MATCH($B7186,Rosters!$B$2:$B$155,0)),"NA")</f>
        <v>NA</v>
      </c>
      <c r="L7186" t="str">
        <f t="shared" si="336"/>
        <v>NA12WR</v>
      </c>
      <c r="M7186">
        <f>COUNTIF(L$1:L7186,L7186)</f>
        <v>119</v>
      </c>
      <c r="N7186" t="str">
        <f t="shared" si="337"/>
        <v>NA12WR-119</v>
      </c>
      <c r="O7186">
        <f>COUNTIFS(F$1:F7186,F7186,A$1:A7186,A7186)</f>
        <v>168</v>
      </c>
      <c r="P7186" t="str">
        <f t="shared" si="338"/>
        <v>Stacy Coley12</v>
      </c>
    </row>
    <row r="7187" spans="1:16" x14ac:dyDescent="0.25">
      <c r="A7187">
        <v>13</v>
      </c>
      <c r="B7187" t="s">
        <v>1628</v>
      </c>
      <c r="C7187">
        <f>-0.2-0.34</f>
        <v>-0.54</v>
      </c>
      <c r="D7187">
        <v>7.0000000000000007E-2</v>
      </c>
      <c r="E7187" t="s">
        <v>72</v>
      </c>
      <c r="F7187" t="s">
        <v>87</v>
      </c>
      <c r="G7187">
        <v>0.34</v>
      </c>
      <c r="H7187">
        <v>-0.2</v>
      </c>
      <c r="I7187">
        <v>0.27</v>
      </c>
      <c r="J7187">
        <v>7.2900000000000006E-2</v>
      </c>
      <c r="K7187" t="str">
        <f>IFERROR(INDEX(Rosters!$C$2:$C$155,MATCH($B7187,Rosters!$B$2:$B$155,0)),"NA")</f>
        <v>NA</v>
      </c>
      <c r="L7187" t="str">
        <f t="shared" si="336"/>
        <v>NA13WR</v>
      </c>
      <c r="M7187">
        <f>COUNTIF(L$1:L7187,L7187)</f>
        <v>127</v>
      </c>
      <c r="N7187" t="str">
        <f t="shared" si="337"/>
        <v>NA13WR-127</v>
      </c>
      <c r="O7187">
        <f>COUNTIFS(F$1:F7187,F7187,A$1:A7187,A7187)</f>
        <v>181</v>
      </c>
      <c r="P7187" t="str">
        <f t="shared" si="338"/>
        <v>Stacy Coley13</v>
      </c>
    </row>
    <row r="7188" spans="1:16" x14ac:dyDescent="0.25">
      <c r="A7188">
        <v>14</v>
      </c>
      <c r="B7188" t="s">
        <v>1628</v>
      </c>
      <c r="C7188">
        <f>-0.19-0.33</f>
        <v>-0.52</v>
      </c>
      <c r="D7188">
        <v>7.0000000000000007E-2</v>
      </c>
      <c r="E7188" t="s">
        <v>60</v>
      </c>
      <c r="F7188" t="s">
        <v>87</v>
      </c>
      <c r="G7188">
        <v>0.33</v>
      </c>
      <c r="H7188">
        <v>-0.19</v>
      </c>
      <c r="I7188">
        <v>0.26</v>
      </c>
      <c r="J7188">
        <v>6.7599999999999993E-2</v>
      </c>
      <c r="K7188" t="str">
        <f>IFERROR(INDEX(Rosters!$C$2:$C$155,MATCH($B7188,Rosters!$B$2:$B$155,0)),"NA")</f>
        <v>NA</v>
      </c>
      <c r="L7188" t="str">
        <f t="shared" si="336"/>
        <v>NA14WR</v>
      </c>
      <c r="M7188">
        <f>COUNTIF(L$1:L7188,L7188)</f>
        <v>127</v>
      </c>
      <c r="N7188" t="str">
        <f t="shared" si="337"/>
        <v>NA14WR-127</v>
      </c>
      <c r="O7188">
        <f>COUNTIFS(F$1:F7188,F7188,A$1:A7188,A7188)</f>
        <v>181</v>
      </c>
      <c r="P7188" t="str">
        <f t="shared" si="338"/>
        <v>Stacy Coley14</v>
      </c>
    </row>
    <row r="7189" spans="1:16" x14ac:dyDescent="0.25">
      <c r="A7189">
        <v>15</v>
      </c>
      <c r="B7189" t="s">
        <v>1628</v>
      </c>
      <c r="C7189">
        <f>-0.19-0.33</f>
        <v>-0.52</v>
      </c>
      <c r="D7189">
        <v>7.0000000000000007E-2</v>
      </c>
      <c r="E7189" t="s">
        <v>38</v>
      </c>
      <c r="F7189" t="s">
        <v>87</v>
      </c>
      <c r="G7189">
        <v>0.33</v>
      </c>
      <c r="H7189">
        <v>-0.19</v>
      </c>
      <c r="I7189">
        <v>0.26</v>
      </c>
      <c r="J7189">
        <v>6.7599999999999993E-2</v>
      </c>
      <c r="K7189" t="str">
        <f>IFERROR(INDEX(Rosters!$C$2:$C$155,MATCH($B7189,Rosters!$B$2:$B$155,0)),"NA")</f>
        <v>NA</v>
      </c>
      <c r="L7189" t="str">
        <f t="shared" si="336"/>
        <v>NA15WR</v>
      </c>
      <c r="M7189">
        <f>COUNTIF(L$1:L7189,L7189)</f>
        <v>127</v>
      </c>
      <c r="N7189" t="str">
        <f t="shared" si="337"/>
        <v>NA15WR-127</v>
      </c>
      <c r="O7189">
        <f>COUNTIFS(F$1:F7189,F7189,A$1:A7189,A7189)</f>
        <v>181</v>
      </c>
      <c r="P7189" t="str">
        <f t="shared" si="338"/>
        <v>Stacy Coley15</v>
      </c>
    </row>
    <row r="7190" spans="1:16" x14ac:dyDescent="0.25">
      <c r="A7190">
        <v>16</v>
      </c>
      <c r="B7190" t="s">
        <v>1628</v>
      </c>
      <c r="C7190">
        <f>-0.19-0.33</f>
        <v>-0.52</v>
      </c>
      <c r="D7190">
        <v>7.0000000000000007E-2</v>
      </c>
      <c r="E7190" t="s">
        <v>66</v>
      </c>
      <c r="F7190" t="s">
        <v>87</v>
      </c>
      <c r="G7190">
        <v>0.33</v>
      </c>
      <c r="H7190">
        <v>-0.19</v>
      </c>
      <c r="I7190">
        <v>0.26</v>
      </c>
      <c r="J7190">
        <v>6.7599999999999993E-2</v>
      </c>
      <c r="K7190" t="str">
        <f>IFERROR(INDEX(Rosters!$C$2:$C$155,MATCH($B7190,Rosters!$B$2:$B$155,0)),"NA")</f>
        <v>NA</v>
      </c>
      <c r="L7190" t="str">
        <f t="shared" si="336"/>
        <v>NA16WR</v>
      </c>
      <c r="M7190">
        <f>COUNTIF(L$1:L7190,L7190)</f>
        <v>127</v>
      </c>
      <c r="N7190" t="str">
        <f t="shared" si="337"/>
        <v>NA16WR-127</v>
      </c>
      <c r="O7190">
        <f>COUNTIFS(F$1:F7190,F7190,A$1:A7190,A7190)</f>
        <v>181</v>
      </c>
      <c r="P7190" t="str">
        <f t="shared" si="338"/>
        <v>Stacy Coley16</v>
      </c>
    </row>
    <row r="7191" spans="1:16" x14ac:dyDescent="0.25">
      <c r="A7191">
        <v>17</v>
      </c>
      <c r="B7191" t="s">
        <v>1628</v>
      </c>
      <c r="C7191">
        <f>-0.19-0.33</f>
        <v>-0.52</v>
      </c>
      <c r="D7191">
        <v>7.0000000000000007E-2</v>
      </c>
      <c r="E7191" t="s">
        <v>22</v>
      </c>
      <c r="F7191" t="s">
        <v>87</v>
      </c>
      <c r="G7191">
        <v>0.33</v>
      </c>
      <c r="H7191">
        <v>-0.19</v>
      </c>
      <c r="I7191">
        <v>0.26</v>
      </c>
      <c r="J7191">
        <v>6.7599999999999993E-2</v>
      </c>
      <c r="K7191" t="str">
        <f>IFERROR(INDEX(Rosters!$C$2:$C$155,MATCH($B7191,Rosters!$B$2:$B$155,0)),"NA")</f>
        <v>NA</v>
      </c>
      <c r="L7191" t="str">
        <f t="shared" si="336"/>
        <v>NA17WR</v>
      </c>
      <c r="M7191">
        <f>COUNTIF(L$1:L7191,L7191)</f>
        <v>129</v>
      </c>
      <c r="N7191" t="str">
        <f t="shared" si="337"/>
        <v>NA17WR-129</v>
      </c>
      <c r="O7191">
        <f>COUNTIFS(F$1:F7191,F7191,A$1:A7191,A7191)</f>
        <v>183</v>
      </c>
      <c r="P7191" t="str">
        <f t="shared" si="338"/>
        <v>Stacy Coley17</v>
      </c>
    </row>
    <row r="7192" spans="1:16" x14ac:dyDescent="0.25">
      <c r="A7192">
        <v>1</v>
      </c>
      <c r="B7192" t="s">
        <v>1125</v>
      </c>
      <c r="C7192">
        <f>-0.01-0.03</f>
        <v>-0.04</v>
      </c>
      <c r="D7192">
        <v>0.01</v>
      </c>
      <c r="E7192" t="s">
        <v>50</v>
      </c>
      <c r="F7192" t="s">
        <v>114</v>
      </c>
      <c r="G7192">
        <v>0.03</v>
      </c>
      <c r="H7192">
        <v>-0.01</v>
      </c>
      <c r="I7192">
        <v>0.02</v>
      </c>
      <c r="J7192" s="66">
        <v>4.0000000000000002E-4</v>
      </c>
      <c r="K7192" t="str">
        <f>IFERROR(INDEX(Rosters!$C$2:$C$155,MATCH($B7192,Rosters!$B$2:$B$155,0)),"NA")</f>
        <v>NA</v>
      </c>
      <c r="L7192" t="str">
        <f t="shared" si="336"/>
        <v>NA1TE</v>
      </c>
      <c r="M7192">
        <f>COUNTIF(L$1:L7192,L7192)</f>
        <v>63</v>
      </c>
      <c r="N7192" t="str">
        <f t="shared" si="337"/>
        <v>NA1TE-63</v>
      </c>
      <c r="O7192">
        <f>COUNTIFS(F$1:F7192,F7192,A$1:A7192,A7192)</f>
        <v>76</v>
      </c>
      <c r="P7192" t="str">
        <f t="shared" si="338"/>
        <v>Logan Paulsen1</v>
      </c>
    </row>
    <row r="7193" spans="1:16" x14ac:dyDescent="0.25">
      <c r="A7193">
        <v>2</v>
      </c>
      <c r="B7193" t="s">
        <v>1125</v>
      </c>
      <c r="C7193">
        <f>-0.01-0.03</f>
        <v>-0.04</v>
      </c>
      <c r="D7193">
        <v>0.01</v>
      </c>
      <c r="E7193" t="s">
        <v>74</v>
      </c>
      <c r="F7193" t="s">
        <v>114</v>
      </c>
      <c r="G7193">
        <v>0.03</v>
      </c>
      <c r="H7193">
        <v>-0.01</v>
      </c>
      <c r="I7193">
        <v>0.02</v>
      </c>
      <c r="J7193" s="66">
        <v>4.0000000000000002E-4</v>
      </c>
      <c r="K7193" t="str">
        <f>IFERROR(INDEX(Rosters!$C$2:$C$155,MATCH($B7193,Rosters!$B$2:$B$155,0)),"NA")</f>
        <v>NA</v>
      </c>
      <c r="L7193" t="str">
        <f t="shared" si="336"/>
        <v>NA2TE</v>
      </c>
      <c r="M7193">
        <f>COUNTIF(L$1:L7193,L7193)</f>
        <v>73</v>
      </c>
      <c r="N7193" t="str">
        <f t="shared" si="337"/>
        <v>NA2TE-73</v>
      </c>
      <c r="O7193">
        <f>COUNTIFS(F$1:F7193,F7193,A$1:A7193,A7193)</f>
        <v>86</v>
      </c>
      <c r="P7193" t="str">
        <f t="shared" si="338"/>
        <v>Logan Paulsen2</v>
      </c>
    </row>
    <row r="7194" spans="1:16" x14ac:dyDescent="0.25">
      <c r="A7194">
        <v>4</v>
      </c>
      <c r="B7194" t="s">
        <v>286</v>
      </c>
      <c r="C7194" t="s">
        <v>743</v>
      </c>
      <c r="D7194">
        <v>0</v>
      </c>
      <c r="E7194" t="s">
        <v>423</v>
      </c>
      <c r="F7194" t="s">
        <v>114</v>
      </c>
      <c r="G7194">
        <v>0</v>
      </c>
      <c r="H7194">
        <v>0</v>
      </c>
      <c r="I7194">
        <v>0</v>
      </c>
      <c r="J7194" s="66">
        <v>0</v>
      </c>
      <c r="K7194" t="str">
        <f>IFERROR(INDEX(Rosters!$C$2:$C$155,MATCH($B7194,Rosters!$B$2:$B$155,0)),"NA")</f>
        <v>NA</v>
      </c>
      <c r="L7194" t="str">
        <f t="shared" si="336"/>
        <v>NA4TE</v>
      </c>
      <c r="M7194">
        <f>COUNTIF(L$1:L7194,L7194)</f>
        <v>69</v>
      </c>
      <c r="N7194" t="str">
        <f t="shared" si="337"/>
        <v>NA4TE-69</v>
      </c>
      <c r="O7194">
        <f>COUNTIFS(F$1:F7194,F7194,A$1:A7194,A7194)</f>
        <v>80</v>
      </c>
      <c r="P7194" t="str">
        <f t="shared" si="338"/>
        <v>A.J. Derby4</v>
      </c>
    </row>
    <row r="7195" spans="1:16" x14ac:dyDescent="0.25">
      <c r="A7195">
        <v>1</v>
      </c>
      <c r="B7195" t="s">
        <v>281</v>
      </c>
      <c r="C7195" t="s">
        <v>743</v>
      </c>
      <c r="D7195">
        <v>0</v>
      </c>
      <c r="E7195" t="s">
        <v>72</v>
      </c>
      <c r="F7195" t="s">
        <v>47</v>
      </c>
      <c r="G7195">
        <v>0</v>
      </c>
      <c r="H7195">
        <v>0</v>
      </c>
      <c r="I7195">
        <v>0</v>
      </c>
      <c r="J7195" s="66">
        <v>0</v>
      </c>
      <c r="K7195" t="str">
        <f>IFERROR(INDEX(Rosters!$C$2:$C$155,MATCH($B7195,Rosters!$B$2:$B$155,0)),"NA")</f>
        <v>aj</v>
      </c>
      <c r="L7195" t="str">
        <f t="shared" si="336"/>
        <v>aj1RB</v>
      </c>
      <c r="M7195">
        <f>COUNTIF(L$1:L7195,L7195)</f>
        <v>5</v>
      </c>
      <c r="N7195" t="str">
        <f t="shared" si="337"/>
        <v>aj1RB-5</v>
      </c>
      <c r="O7195">
        <f>COUNTIFS(F$1:F7195,F7195,A$1:A7195,A7195)</f>
        <v>96</v>
      </c>
      <c r="P7195" t="str">
        <f t="shared" si="338"/>
        <v>Aaron Jones1</v>
      </c>
    </row>
    <row r="7196" spans="1:16" x14ac:dyDescent="0.25">
      <c r="A7196">
        <v>2</v>
      </c>
      <c r="B7196" t="s">
        <v>281</v>
      </c>
      <c r="C7196" t="s">
        <v>743</v>
      </c>
      <c r="D7196">
        <v>0</v>
      </c>
      <c r="E7196" t="s">
        <v>25</v>
      </c>
      <c r="F7196" t="s">
        <v>47</v>
      </c>
      <c r="G7196">
        <v>0</v>
      </c>
      <c r="H7196">
        <v>0</v>
      </c>
      <c r="I7196">
        <v>0</v>
      </c>
      <c r="J7196">
        <v>0</v>
      </c>
      <c r="K7196" t="str">
        <f>IFERROR(INDEX(Rosters!$C$2:$C$155,MATCH($B7196,Rosters!$B$2:$B$155,0)),"NA")</f>
        <v>aj</v>
      </c>
      <c r="L7196" t="str">
        <f t="shared" si="336"/>
        <v>aj2RB</v>
      </c>
      <c r="M7196">
        <f>COUNTIF(L$1:L7196,L7196)</f>
        <v>5</v>
      </c>
      <c r="N7196" t="str">
        <f t="shared" si="337"/>
        <v>aj2RB-5</v>
      </c>
      <c r="O7196">
        <f>COUNTIFS(F$1:F7196,F7196,A$1:A7196,A7196)</f>
        <v>102</v>
      </c>
      <c r="P7196" t="str">
        <f t="shared" si="338"/>
        <v>Aaron Jones2</v>
      </c>
    </row>
    <row r="7197" spans="1:16" x14ac:dyDescent="0.25">
      <c r="A7197">
        <v>1</v>
      </c>
      <c r="B7197" t="s">
        <v>1488</v>
      </c>
      <c r="C7197" t="s">
        <v>743</v>
      </c>
      <c r="D7197">
        <v>0</v>
      </c>
      <c r="E7197" t="s">
        <v>41</v>
      </c>
      <c r="F7197" t="s">
        <v>114</v>
      </c>
      <c r="G7197">
        <v>0</v>
      </c>
      <c r="H7197">
        <v>0</v>
      </c>
      <c r="I7197">
        <v>0</v>
      </c>
      <c r="J7197">
        <v>0</v>
      </c>
      <c r="K7197" t="str">
        <f>IFERROR(INDEX(Rosters!$C$2:$C$155,MATCH($B7197,Rosters!$B$2:$B$155,0)),"NA")</f>
        <v>NA</v>
      </c>
      <c r="L7197" t="str">
        <f t="shared" si="336"/>
        <v>NA1TE</v>
      </c>
      <c r="M7197">
        <f>COUNTIF(L$1:L7197,L7197)</f>
        <v>64</v>
      </c>
      <c r="N7197" t="str">
        <f t="shared" si="337"/>
        <v>NA1TE-64</v>
      </c>
      <c r="O7197">
        <f>COUNTIFS(F$1:F7197,F7197,A$1:A7197,A7197)</f>
        <v>77</v>
      </c>
      <c r="P7197" t="str">
        <f t="shared" si="338"/>
        <v>Adam Shaheen1</v>
      </c>
    </row>
    <row r="7198" spans="1:16" x14ac:dyDescent="0.25">
      <c r="A7198">
        <v>2</v>
      </c>
      <c r="B7198" t="s">
        <v>1488</v>
      </c>
      <c r="C7198" t="s">
        <v>743</v>
      </c>
      <c r="D7198">
        <v>0</v>
      </c>
      <c r="E7198" t="s">
        <v>28</v>
      </c>
      <c r="F7198" t="s">
        <v>114</v>
      </c>
      <c r="G7198">
        <v>0</v>
      </c>
      <c r="H7198">
        <v>0</v>
      </c>
      <c r="I7198">
        <v>0</v>
      </c>
      <c r="J7198">
        <v>0</v>
      </c>
      <c r="K7198" t="str">
        <f>IFERROR(INDEX(Rosters!$C$2:$C$155,MATCH($B7198,Rosters!$B$2:$B$155,0)),"NA")</f>
        <v>NA</v>
      </c>
      <c r="L7198" t="str">
        <f t="shared" si="336"/>
        <v>NA2TE</v>
      </c>
      <c r="M7198">
        <f>COUNTIF(L$1:L7198,L7198)</f>
        <v>74</v>
      </c>
      <c r="N7198" t="str">
        <f t="shared" si="337"/>
        <v>NA2TE-74</v>
      </c>
      <c r="O7198">
        <f>COUNTIFS(F$1:F7198,F7198,A$1:A7198,A7198)</f>
        <v>87</v>
      </c>
      <c r="P7198" t="str">
        <f t="shared" si="338"/>
        <v>Adam Shaheen2</v>
      </c>
    </row>
    <row r="7199" spans="1:16" x14ac:dyDescent="0.25">
      <c r="A7199">
        <v>3</v>
      </c>
      <c r="B7199" t="s">
        <v>1488</v>
      </c>
      <c r="C7199" t="s">
        <v>743</v>
      </c>
      <c r="D7199">
        <v>0</v>
      </c>
      <c r="E7199" t="s">
        <v>58</v>
      </c>
      <c r="F7199" t="s">
        <v>114</v>
      </c>
      <c r="G7199">
        <v>0</v>
      </c>
      <c r="H7199">
        <v>0</v>
      </c>
      <c r="I7199">
        <v>0</v>
      </c>
      <c r="J7199">
        <v>0</v>
      </c>
      <c r="K7199" t="str">
        <f>IFERROR(INDEX(Rosters!$C$2:$C$155,MATCH($B7199,Rosters!$B$2:$B$155,0)),"NA")</f>
        <v>NA</v>
      </c>
      <c r="L7199" t="str">
        <f t="shared" si="336"/>
        <v>NA3TE</v>
      </c>
      <c r="M7199">
        <f>COUNTIF(L$1:L7199,L7199)</f>
        <v>75</v>
      </c>
      <c r="N7199" t="str">
        <f t="shared" si="337"/>
        <v>NA3TE-75</v>
      </c>
      <c r="O7199">
        <f>COUNTIFS(F$1:F7199,F7199,A$1:A7199,A7199)</f>
        <v>88</v>
      </c>
      <c r="P7199" t="str">
        <f t="shared" si="338"/>
        <v>Adam Shaheen3</v>
      </c>
    </row>
    <row r="7200" spans="1:16" x14ac:dyDescent="0.25">
      <c r="A7200">
        <v>4</v>
      </c>
      <c r="B7200" t="s">
        <v>1488</v>
      </c>
      <c r="C7200" t="s">
        <v>743</v>
      </c>
      <c r="D7200">
        <v>0</v>
      </c>
      <c r="E7200" t="s">
        <v>17</v>
      </c>
      <c r="F7200" t="s">
        <v>114</v>
      </c>
      <c r="G7200">
        <v>0</v>
      </c>
      <c r="H7200">
        <v>0</v>
      </c>
      <c r="I7200">
        <v>0</v>
      </c>
      <c r="J7200">
        <v>0</v>
      </c>
      <c r="K7200" t="str">
        <f>IFERROR(INDEX(Rosters!$C$2:$C$155,MATCH($B7200,Rosters!$B$2:$B$155,0)),"NA")</f>
        <v>NA</v>
      </c>
      <c r="L7200" t="str">
        <f t="shared" si="336"/>
        <v>NA4TE</v>
      </c>
      <c r="M7200">
        <f>COUNTIF(L$1:L7200,L7200)</f>
        <v>70</v>
      </c>
      <c r="N7200" t="str">
        <f t="shared" si="337"/>
        <v>NA4TE-70</v>
      </c>
      <c r="O7200">
        <f>COUNTIFS(F$1:F7200,F7200,A$1:A7200,A7200)</f>
        <v>81</v>
      </c>
      <c r="P7200" t="str">
        <f t="shared" si="338"/>
        <v>Adam Shaheen4</v>
      </c>
    </row>
    <row r="7201" spans="1:16" x14ac:dyDescent="0.25">
      <c r="A7201">
        <v>6</v>
      </c>
      <c r="B7201" t="s">
        <v>1488</v>
      </c>
      <c r="C7201" t="s">
        <v>743</v>
      </c>
      <c r="D7201">
        <v>0</v>
      </c>
      <c r="E7201" t="s">
        <v>19</v>
      </c>
      <c r="F7201" t="s">
        <v>114</v>
      </c>
      <c r="G7201">
        <v>0</v>
      </c>
      <c r="H7201">
        <v>0</v>
      </c>
      <c r="I7201">
        <v>0</v>
      </c>
      <c r="J7201">
        <v>0</v>
      </c>
      <c r="K7201" t="str">
        <f>IFERROR(INDEX(Rosters!$C$2:$C$155,MATCH($B7201,Rosters!$B$2:$B$155,0)),"NA")</f>
        <v>NA</v>
      </c>
      <c r="L7201" t="str">
        <f t="shared" si="336"/>
        <v>NA6TE</v>
      </c>
      <c r="M7201">
        <f>COUNTIF(L$1:L7201,L7201)</f>
        <v>78</v>
      </c>
      <c r="N7201" t="str">
        <f t="shared" si="337"/>
        <v>NA6TE-78</v>
      </c>
      <c r="O7201">
        <f>COUNTIFS(F$1:F7201,F7201,A$1:A7201,A7201)</f>
        <v>90</v>
      </c>
      <c r="P7201" t="str">
        <f t="shared" si="338"/>
        <v>Adam Shaheen6</v>
      </c>
    </row>
    <row r="7202" spans="1:16" x14ac:dyDescent="0.25">
      <c r="A7202">
        <v>7</v>
      </c>
      <c r="B7202" t="s">
        <v>1488</v>
      </c>
      <c r="C7202" t="s">
        <v>743</v>
      </c>
      <c r="D7202">
        <v>0</v>
      </c>
      <c r="E7202" t="s">
        <v>423</v>
      </c>
      <c r="F7202" t="s">
        <v>114</v>
      </c>
      <c r="G7202">
        <v>0</v>
      </c>
      <c r="H7202">
        <v>0</v>
      </c>
      <c r="I7202">
        <v>0</v>
      </c>
      <c r="J7202">
        <v>0</v>
      </c>
      <c r="K7202" t="str">
        <f>IFERROR(INDEX(Rosters!$C$2:$C$155,MATCH($B7202,Rosters!$B$2:$B$155,0)),"NA")</f>
        <v>NA</v>
      </c>
      <c r="L7202" t="str">
        <f t="shared" si="336"/>
        <v>NA7TE</v>
      </c>
      <c r="M7202">
        <f>COUNTIF(L$1:L7202,L7202)</f>
        <v>77</v>
      </c>
      <c r="N7202" t="str">
        <f t="shared" si="337"/>
        <v>NA7TE-77</v>
      </c>
      <c r="O7202">
        <f>COUNTIFS(F$1:F7202,F7202,A$1:A7202,A7202)</f>
        <v>87</v>
      </c>
      <c r="P7202" t="str">
        <f t="shared" si="338"/>
        <v>Adam Shaheen7</v>
      </c>
    </row>
    <row r="7203" spans="1:16" x14ac:dyDescent="0.25">
      <c r="A7203">
        <v>4</v>
      </c>
      <c r="B7203" t="s">
        <v>1614</v>
      </c>
      <c r="C7203" t="s">
        <v>743</v>
      </c>
      <c r="D7203">
        <v>0</v>
      </c>
      <c r="E7203" t="s">
        <v>42</v>
      </c>
      <c r="F7203" t="s">
        <v>114</v>
      </c>
      <c r="G7203">
        <v>0</v>
      </c>
      <c r="H7203">
        <v>0</v>
      </c>
      <c r="I7203">
        <v>0</v>
      </c>
      <c r="J7203">
        <v>0</v>
      </c>
      <c r="K7203" t="str">
        <f>IFERROR(INDEX(Rosters!$C$2:$C$155,MATCH($B7203,Rosters!$B$2:$B$155,0)),"NA")</f>
        <v>NA</v>
      </c>
      <c r="L7203" t="str">
        <f t="shared" si="336"/>
        <v>NA4TE</v>
      </c>
      <c r="M7203">
        <f>COUNTIF(L$1:L7203,L7203)</f>
        <v>71</v>
      </c>
      <c r="N7203" t="str">
        <f t="shared" si="337"/>
        <v>NA4TE-71</v>
      </c>
      <c r="O7203">
        <f>COUNTIFS(F$1:F7203,F7203,A$1:A7203,A7203)</f>
        <v>82</v>
      </c>
      <c r="P7203" t="str">
        <f t="shared" si="338"/>
        <v>Alex Ellis4</v>
      </c>
    </row>
    <row r="7204" spans="1:16" x14ac:dyDescent="0.25">
      <c r="A7204">
        <v>1</v>
      </c>
      <c r="B7204" t="s">
        <v>1642</v>
      </c>
      <c r="C7204" t="s">
        <v>743</v>
      </c>
      <c r="D7204">
        <v>0</v>
      </c>
      <c r="E7204" t="s">
        <v>76</v>
      </c>
      <c r="F7204" t="s">
        <v>15</v>
      </c>
      <c r="G7204">
        <v>0</v>
      </c>
      <c r="H7204">
        <v>0</v>
      </c>
      <c r="I7204">
        <v>0</v>
      </c>
      <c r="J7204">
        <v>0</v>
      </c>
      <c r="K7204" t="str">
        <f>IFERROR(INDEX(Rosters!$C$2:$C$155,MATCH($B7204,Rosters!$B$2:$B$155,0)),"NA")</f>
        <v>NA</v>
      </c>
      <c r="L7204" t="str">
        <f t="shared" si="336"/>
        <v>NA1QB</v>
      </c>
      <c r="M7204">
        <f>COUNTIF(L$1:L7204,L7204)</f>
        <v>40</v>
      </c>
      <c r="N7204" t="str">
        <f t="shared" si="337"/>
        <v>NA1QB-40</v>
      </c>
      <c r="O7204">
        <f>COUNTIFS(F$1:F7204,F7204,A$1:A7204,A7204)</f>
        <v>56</v>
      </c>
      <c r="P7204" t="str">
        <f t="shared" si="338"/>
        <v>Alex Tanney1</v>
      </c>
    </row>
    <row r="7205" spans="1:16" x14ac:dyDescent="0.25">
      <c r="A7205">
        <v>2</v>
      </c>
      <c r="B7205" t="s">
        <v>1642</v>
      </c>
      <c r="C7205" t="s">
        <v>743</v>
      </c>
      <c r="D7205">
        <v>0</v>
      </c>
      <c r="E7205" t="s">
        <v>22</v>
      </c>
      <c r="F7205" t="s">
        <v>15</v>
      </c>
      <c r="G7205">
        <v>0</v>
      </c>
      <c r="H7205">
        <v>0</v>
      </c>
      <c r="I7205">
        <v>0</v>
      </c>
      <c r="J7205">
        <v>0</v>
      </c>
      <c r="K7205" t="str">
        <f>IFERROR(INDEX(Rosters!$C$2:$C$155,MATCH($B7205,Rosters!$B$2:$B$155,0)),"NA")</f>
        <v>NA</v>
      </c>
      <c r="L7205" t="str">
        <f t="shared" si="336"/>
        <v>NA2QB</v>
      </c>
      <c r="M7205">
        <f>COUNTIF(L$1:L7205,L7205)</f>
        <v>39</v>
      </c>
      <c r="N7205" t="str">
        <f t="shared" si="337"/>
        <v>NA2QB-39</v>
      </c>
      <c r="O7205">
        <f>COUNTIFS(F$1:F7205,F7205,A$1:A7205,A7205)</f>
        <v>55</v>
      </c>
      <c r="P7205" t="str">
        <f t="shared" si="338"/>
        <v>Alex Tanney2</v>
      </c>
    </row>
    <row r="7206" spans="1:16" x14ac:dyDescent="0.25">
      <c r="A7206">
        <v>3</v>
      </c>
      <c r="B7206" t="s">
        <v>1642</v>
      </c>
      <c r="C7206" t="s">
        <v>743</v>
      </c>
      <c r="D7206">
        <v>0</v>
      </c>
      <c r="E7206" t="s">
        <v>36</v>
      </c>
      <c r="F7206" t="s">
        <v>15</v>
      </c>
      <c r="G7206">
        <v>0</v>
      </c>
      <c r="H7206">
        <v>0</v>
      </c>
      <c r="I7206">
        <v>0</v>
      </c>
      <c r="J7206" s="66">
        <v>0</v>
      </c>
      <c r="K7206" t="str">
        <f>IFERROR(INDEX(Rosters!$C$2:$C$155,MATCH($B7206,Rosters!$B$2:$B$155,0)),"NA")</f>
        <v>NA</v>
      </c>
      <c r="L7206" t="str">
        <f t="shared" si="336"/>
        <v>NA3QB</v>
      </c>
      <c r="M7206">
        <f>COUNTIF(L$1:L7206,L7206)</f>
        <v>40</v>
      </c>
      <c r="N7206" t="str">
        <f t="shared" si="337"/>
        <v>NA3QB-40</v>
      </c>
      <c r="O7206">
        <f>COUNTIFS(F$1:F7206,F7206,A$1:A7206,A7206)</f>
        <v>57</v>
      </c>
      <c r="P7206" t="str">
        <f t="shared" si="338"/>
        <v>Alex Tanney3</v>
      </c>
    </row>
    <row r="7207" spans="1:16" x14ac:dyDescent="0.25">
      <c r="A7207">
        <v>4</v>
      </c>
      <c r="B7207" t="s">
        <v>1642</v>
      </c>
      <c r="C7207" t="s">
        <v>743</v>
      </c>
      <c r="D7207">
        <v>0</v>
      </c>
      <c r="E7207" t="s">
        <v>14</v>
      </c>
      <c r="F7207" t="s">
        <v>15</v>
      </c>
      <c r="G7207">
        <v>0</v>
      </c>
      <c r="H7207">
        <v>0</v>
      </c>
      <c r="I7207">
        <v>0</v>
      </c>
      <c r="J7207" s="66">
        <v>0</v>
      </c>
      <c r="K7207" t="str">
        <f>IFERROR(INDEX(Rosters!$C$2:$C$155,MATCH($B7207,Rosters!$B$2:$B$155,0)),"NA")</f>
        <v>NA</v>
      </c>
      <c r="L7207" t="str">
        <f t="shared" si="336"/>
        <v>NA4QB</v>
      </c>
      <c r="M7207">
        <f>COUNTIF(L$1:L7207,L7207)</f>
        <v>39</v>
      </c>
      <c r="N7207" t="str">
        <f t="shared" si="337"/>
        <v>NA4QB-39</v>
      </c>
      <c r="O7207">
        <f>COUNTIFS(F$1:F7207,F7207,A$1:A7207,A7207)</f>
        <v>54</v>
      </c>
      <c r="P7207" t="str">
        <f t="shared" si="338"/>
        <v>Alex Tanney4</v>
      </c>
    </row>
    <row r="7208" spans="1:16" x14ac:dyDescent="0.25">
      <c r="A7208">
        <v>5</v>
      </c>
      <c r="B7208" t="s">
        <v>1642</v>
      </c>
      <c r="C7208" t="s">
        <v>743</v>
      </c>
      <c r="D7208">
        <v>0</v>
      </c>
      <c r="E7208" t="s">
        <v>74</v>
      </c>
      <c r="F7208" t="s">
        <v>15</v>
      </c>
      <c r="G7208">
        <v>0</v>
      </c>
      <c r="H7208">
        <v>0</v>
      </c>
      <c r="I7208">
        <v>0</v>
      </c>
      <c r="J7208" s="66">
        <v>0</v>
      </c>
      <c r="K7208" t="str">
        <f>IFERROR(INDEX(Rosters!$C$2:$C$155,MATCH($B7208,Rosters!$B$2:$B$155,0)),"NA")</f>
        <v>NA</v>
      </c>
      <c r="L7208" t="str">
        <f t="shared" si="336"/>
        <v>NA5QB</v>
      </c>
      <c r="M7208">
        <f>COUNTIF(L$1:L7208,L7208)</f>
        <v>39</v>
      </c>
      <c r="N7208" t="str">
        <f t="shared" si="337"/>
        <v>NA5QB-39</v>
      </c>
      <c r="O7208">
        <f>COUNTIFS(F$1:F7208,F7208,A$1:A7208,A7208)</f>
        <v>56</v>
      </c>
      <c r="P7208" t="str">
        <f t="shared" si="338"/>
        <v>Alex Tanney5</v>
      </c>
    </row>
    <row r="7209" spans="1:16" x14ac:dyDescent="0.25">
      <c r="A7209">
        <v>6</v>
      </c>
      <c r="B7209" t="s">
        <v>1642</v>
      </c>
      <c r="C7209" t="s">
        <v>743</v>
      </c>
      <c r="D7209">
        <v>0</v>
      </c>
      <c r="E7209" t="s">
        <v>50</v>
      </c>
      <c r="F7209" t="s">
        <v>15</v>
      </c>
      <c r="G7209">
        <v>0</v>
      </c>
      <c r="H7209">
        <v>0</v>
      </c>
      <c r="I7209">
        <v>0</v>
      </c>
      <c r="J7209">
        <v>0</v>
      </c>
      <c r="K7209" t="str">
        <f>IFERROR(INDEX(Rosters!$C$2:$C$155,MATCH($B7209,Rosters!$B$2:$B$155,0)),"NA")</f>
        <v>NA</v>
      </c>
      <c r="L7209" t="str">
        <f t="shared" si="336"/>
        <v>NA6QB</v>
      </c>
      <c r="M7209">
        <f>COUNTIF(L$1:L7209,L7209)</f>
        <v>40</v>
      </c>
      <c r="N7209" t="str">
        <f t="shared" si="337"/>
        <v>NA6QB-40</v>
      </c>
      <c r="O7209">
        <f>COUNTIFS(F$1:F7209,F7209,A$1:A7209,A7209)</f>
        <v>55</v>
      </c>
      <c r="P7209" t="str">
        <f t="shared" si="338"/>
        <v>Alex Tanney6</v>
      </c>
    </row>
    <row r="7210" spans="1:16" x14ac:dyDescent="0.25">
      <c r="A7210">
        <v>7</v>
      </c>
      <c r="B7210" t="s">
        <v>1642</v>
      </c>
      <c r="C7210" t="s">
        <v>743</v>
      </c>
      <c r="D7210">
        <v>0</v>
      </c>
      <c r="E7210" t="s">
        <v>46</v>
      </c>
      <c r="F7210" t="s">
        <v>15</v>
      </c>
      <c r="G7210">
        <v>0</v>
      </c>
      <c r="H7210">
        <v>0</v>
      </c>
      <c r="I7210">
        <v>0</v>
      </c>
      <c r="J7210">
        <v>0</v>
      </c>
      <c r="K7210" t="str">
        <f>IFERROR(INDEX(Rosters!$C$2:$C$155,MATCH($B7210,Rosters!$B$2:$B$155,0)),"NA")</f>
        <v>NA</v>
      </c>
      <c r="L7210" t="str">
        <f t="shared" si="336"/>
        <v>NA7QB</v>
      </c>
      <c r="M7210">
        <f>COUNTIF(L$1:L7210,L7210)</f>
        <v>39</v>
      </c>
      <c r="N7210" t="str">
        <f t="shared" si="337"/>
        <v>NA7QB-39</v>
      </c>
      <c r="O7210">
        <f>COUNTIFS(F$1:F7210,F7210,A$1:A7210,A7210)</f>
        <v>53</v>
      </c>
      <c r="P7210" t="str">
        <f t="shared" si="338"/>
        <v>Alex Tanney7</v>
      </c>
    </row>
    <row r="7211" spans="1:16" x14ac:dyDescent="0.25">
      <c r="A7211">
        <v>8</v>
      </c>
      <c r="B7211" t="s">
        <v>1642</v>
      </c>
      <c r="C7211" t="s">
        <v>743</v>
      </c>
      <c r="D7211">
        <v>0</v>
      </c>
      <c r="E7211" t="s">
        <v>60</v>
      </c>
      <c r="F7211" t="s">
        <v>15</v>
      </c>
      <c r="G7211">
        <v>0</v>
      </c>
      <c r="H7211">
        <v>0</v>
      </c>
      <c r="I7211">
        <v>0</v>
      </c>
      <c r="J7211">
        <v>0</v>
      </c>
      <c r="K7211" t="str">
        <f>IFERROR(INDEX(Rosters!$C$2:$C$155,MATCH($B7211,Rosters!$B$2:$B$155,0)),"NA")</f>
        <v>NA</v>
      </c>
      <c r="L7211" t="str">
        <f t="shared" si="336"/>
        <v>NA8QB</v>
      </c>
      <c r="M7211">
        <f>COUNTIF(L$1:L7211,L7211)</f>
        <v>37</v>
      </c>
      <c r="N7211" t="str">
        <f t="shared" si="337"/>
        <v>NA8QB-37</v>
      </c>
      <c r="O7211">
        <f>COUNTIFS(F$1:F7211,F7211,A$1:A7211,A7211)</f>
        <v>52</v>
      </c>
      <c r="P7211" t="str">
        <f t="shared" si="338"/>
        <v>Alex Tanney8</v>
      </c>
    </row>
    <row r="7212" spans="1:16" x14ac:dyDescent="0.25">
      <c r="A7212">
        <v>10</v>
      </c>
      <c r="B7212" t="s">
        <v>1642</v>
      </c>
      <c r="C7212" t="s">
        <v>743</v>
      </c>
      <c r="D7212">
        <v>0</v>
      </c>
      <c r="E7212" t="s">
        <v>30</v>
      </c>
      <c r="F7212" t="s">
        <v>15</v>
      </c>
      <c r="G7212">
        <v>0</v>
      </c>
      <c r="H7212">
        <v>0</v>
      </c>
      <c r="I7212">
        <v>0</v>
      </c>
      <c r="J7212">
        <v>0</v>
      </c>
      <c r="K7212" t="str">
        <f>IFERROR(INDEX(Rosters!$C$2:$C$155,MATCH($B7212,Rosters!$B$2:$B$155,0)),"NA")</f>
        <v>NA</v>
      </c>
      <c r="L7212" t="str">
        <f t="shared" si="336"/>
        <v>NA10QB</v>
      </c>
      <c r="M7212">
        <f>COUNTIF(L$1:L7212,L7212)</f>
        <v>37</v>
      </c>
      <c r="N7212" t="str">
        <f t="shared" si="337"/>
        <v>NA10QB-37</v>
      </c>
      <c r="O7212">
        <f>COUNTIFS(F$1:F7212,F7212,A$1:A7212,A7212)</f>
        <v>53</v>
      </c>
      <c r="P7212" t="str">
        <f t="shared" si="338"/>
        <v>Alex Tanney10</v>
      </c>
    </row>
    <row r="7213" spans="1:16" x14ac:dyDescent="0.25">
      <c r="A7213">
        <v>11</v>
      </c>
      <c r="B7213" t="s">
        <v>1642</v>
      </c>
      <c r="C7213" t="s">
        <v>743</v>
      </c>
      <c r="D7213">
        <v>0</v>
      </c>
      <c r="E7213" t="s">
        <v>17</v>
      </c>
      <c r="F7213" t="s">
        <v>15</v>
      </c>
      <c r="G7213">
        <v>0</v>
      </c>
      <c r="H7213">
        <v>0</v>
      </c>
      <c r="I7213">
        <v>0</v>
      </c>
      <c r="J7213">
        <v>0</v>
      </c>
      <c r="K7213" t="str">
        <f>IFERROR(INDEX(Rosters!$C$2:$C$155,MATCH($B7213,Rosters!$B$2:$B$155,0)),"NA")</f>
        <v>NA</v>
      </c>
      <c r="L7213" t="str">
        <f t="shared" si="336"/>
        <v>NA11QB</v>
      </c>
      <c r="M7213">
        <f>COUNTIF(L$1:L7213,L7213)</f>
        <v>34</v>
      </c>
      <c r="N7213" t="str">
        <f t="shared" si="337"/>
        <v>NA11QB-34</v>
      </c>
      <c r="O7213">
        <f>COUNTIFS(F$1:F7213,F7213,A$1:A7213,A7213)</f>
        <v>49</v>
      </c>
      <c r="P7213" t="str">
        <f t="shared" si="338"/>
        <v>Alex Tanney11</v>
      </c>
    </row>
    <row r="7214" spans="1:16" x14ac:dyDescent="0.25">
      <c r="A7214">
        <v>12</v>
      </c>
      <c r="B7214" t="s">
        <v>1642</v>
      </c>
      <c r="C7214" t="s">
        <v>743</v>
      </c>
      <c r="D7214">
        <v>0</v>
      </c>
      <c r="E7214" t="s">
        <v>50</v>
      </c>
      <c r="F7214" t="s">
        <v>15</v>
      </c>
      <c r="G7214">
        <v>0</v>
      </c>
      <c r="H7214">
        <v>0</v>
      </c>
      <c r="I7214">
        <v>0</v>
      </c>
      <c r="J7214">
        <v>0</v>
      </c>
      <c r="K7214" t="str">
        <f>IFERROR(INDEX(Rosters!$C$2:$C$155,MATCH($B7214,Rosters!$B$2:$B$155,0)),"NA")</f>
        <v>NA</v>
      </c>
      <c r="L7214" t="str">
        <f t="shared" si="336"/>
        <v>NA12QB</v>
      </c>
      <c r="M7214">
        <f>COUNTIF(L$1:L7214,L7214)</f>
        <v>41</v>
      </c>
      <c r="N7214" t="str">
        <f t="shared" si="337"/>
        <v>NA12QB-41</v>
      </c>
      <c r="O7214">
        <f>COUNTIFS(F$1:F7214,F7214,A$1:A7214,A7214)</f>
        <v>56</v>
      </c>
      <c r="P7214" t="str">
        <f t="shared" si="338"/>
        <v>Alex Tanney12</v>
      </c>
    </row>
    <row r="7215" spans="1:16" x14ac:dyDescent="0.25">
      <c r="A7215">
        <v>13</v>
      </c>
      <c r="B7215" t="s">
        <v>1642</v>
      </c>
      <c r="C7215" t="s">
        <v>743</v>
      </c>
      <c r="D7215">
        <v>0</v>
      </c>
      <c r="E7215" t="s">
        <v>72</v>
      </c>
      <c r="F7215" t="s">
        <v>15</v>
      </c>
      <c r="G7215">
        <v>0</v>
      </c>
      <c r="H7215">
        <v>0</v>
      </c>
      <c r="I7215">
        <v>0</v>
      </c>
      <c r="J7215">
        <v>0</v>
      </c>
      <c r="K7215" t="str">
        <f>IFERROR(INDEX(Rosters!$C$2:$C$155,MATCH($B7215,Rosters!$B$2:$B$155,0)),"NA")</f>
        <v>NA</v>
      </c>
      <c r="L7215" t="str">
        <f t="shared" si="336"/>
        <v>NA13QB</v>
      </c>
      <c r="M7215">
        <f>COUNTIF(L$1:L7215,L7215)</f>
        <v>43</v>
      </c>
      <c r="N7215" t="str">
        <f t="shared" si="337"/>
        <v>NA13QB-43</v>
      </c>
      <c r="O7215">
        <f>COUNTIFS(F$1:F7215,F7215,A$1:A7215,A7215)</f>
        <v>60</v>
      </c>
      <c r="P7215" t="str">
        <f t="shared" si="338"/>
        <v>Alex Tanney13</v>
      </c>
    </row>
    <row r="7216" spans="1:16" x14ac:dyDescent="0.25">
      <c r="A7216">
        <v>14</v>
      </c>
      <c r="B7216" t="s">
        <v>1642</v>
      </c>
      <c r="C7216" t="s">
        <v>743</v>
      </c>
      <c r="D7216">
        <v>0</v>
      </c>
      <c r="E7216" t="s">
        <v>60</v>
      </c>
      <c r="F7216" t="s">
        <v>15</v>
      </c>
      <c r="G7216">
        <v>0</v>
      </c>
      <c r="H7216">
        <v>0</v>
      </c>
      <c r="I7216">
        <v>0</v>
      </c>
      <c r="J7216">
        <v>0</v>
      </c>
      <c r="K7216" t="str">
        <f>IFERROR(INDEX(Rosters!$C$2:$C$155,MATCH($B7216,Rosters!$B$2:$B$155,0)),"NA")</f>
        <v>NA</v>
      </c>
      <c r="L7216" t="str">
        <f t="shared" si="336"/>
        <v>NA14QB</v>
      </c>
      <c r="M7216">
        <f>COUNTIF(L$1:L7216,L7216)</f>
        <v>43</v>
      </c>
      <c r="N7216" t="str">
        <f t="shared" si="337"/>
        <v>NA14QB-43</v>
      </c>
      <c r="O7216">
        <f>COUNTIFS(F$1:F7216,F7216,A$1:A7216,A7216)</f>
        <v>60</v>
      </c>
      <c r="P7216" t="str">
        <f t="shared" si="338"/>
        <v>Alex Tanney14</v>
      </c>
    </row>
    <row r="7217" spans="1:16" x14ac:dyDescent="0.25">
      <c r="A7217">
        <v>15</v>
      </c>
      <c r="B7217" t="s">
        <v>1642</v>
      </c>
      <c r="C7217" t="s">
        <v>743</v>
      </c>
      <c r="D7217">
        <v>0</v>
      </c>
      <c r="E7217" t="s">
        <v>38</v>
      </c>
      <c r="F7217" t="s">
        <v>15</v>
      </c>
      <c r="G7217">
        <v>0</v>
      </c>
      <c r="H7217">
        <v>0</v>
      </c>
      <c r="I7217">
        <v>0</v>
      </c>
      <c r="J7217">
        <v>0</v>
      </c>
      <c r="K7217" t="str">
        <f>IFERROR(INDEX(Rosters!$C$2:$C$155,MATCH($B7217,Rosters!$B$2:$B$155,0)),"NA")</f>
        <v>NA</v>
      </c>
      <c r="L7217" t="str">
        <f t="shared" si="336"/>
        <v>NA15QB</v>
      </c>
      <c r="M7217">
        <f>COUNTIF(L$1:L7217,L7217)</f>
        <v>43</v>
      </c>
      <c r="N7217" t="str">
        <f t="shared" si="337"/>
        <v>NA15QB-43</v>
      </c>
      <c r="O7217">
        <f>COUNTIFS(F$1:F7217,F7217,A$1:A7217,A7217)</f>
        <v>60</v>
      </c>
      <c r="P7217" t="str">
        <f t="shared" si="338"/>
        <v>Alex Tanney15</v>
      </c>
    </row>
    <row r="7218" spans="1:16" x14ac:dyDescent="0.25">
      <c r="A7218">
        <v>16</v>
      </c>
      <c r="B7218" t="s">
        <v>1642</v>
      </c>
      <c r="C7218" t="s">
        <v>743</v>
      </c>
      <c r="D7218">
        <v>0</v>
      </c>
      <c r="E7218" t="s">
        <v>66</v>
      </c>
      <c r="F7218" t="s">
        <v>15</v>
      </c>
      <c r="G7218">
        <v>0</v>
      </c>
      <c r="H7218">
        <v>0</v>
      </c>
      <c r="I7218">
        <v>0</v>
      </c>
      <c r="J7218">
        <v>0</v>
      </c>
      <c r="K7218" t="str">
        <f>IFERROR(INDEX(Rosters!$C$2:$C$155,MATCH($B7218,Rosters!$B$2:$B$155,0)),"NA")</f>
        <v>NA</v>
      </c>
      <c r="L7218" t="str">
        <f t="shared" si="336"/>
        <v>NA16QB</v>
      </c>
      <c r="M7218">
        <f>COUNTIF(L$1:L7218,L7218)</f>
        <v>43</v>
      </c>
      <c r="N7218" t="str">
        <f t="shared" si="337"/>
        <v>NA16QB-43</v>
      </c>
      <c r="O7218">
        <f>COUNTIFS(F$1:F7218,F7218,A$1:A7218,A7218)</f>
        <v>60</v>
      </c>
      <c r="P7218" t="str">
        <f t="shared" si="338"/>
        <v>Alex Tanney16</v>
      </c>
    </row>
    <row r="7219" spans="1:16" x14ac:dyDescent="0.25">
      <c r="A7219">
        <v>17</v>
      </c>
      <c r="B7219" t="s">
        <v>1642</v>
      </c>
      <c r="C7219" t="s">
        <v>743</v>
      </c>
      <c r="D7219">
        <v>0</v>
      </c>
      <c r="E7219" t="s">
        <v>22</v>
      </c>
      <c r="F7219" t="s">
        <v>15</v>
      </c>
      <c r="G7219">
        <v>0</v>
      </c>
      <c r="H7219">
        <v>0</v>
      </c>
      <c r="I7219">
        <v>0</v>
      </c>
      <c r="J7219">
        <v>0</v>
      </c>
      <c r="K7219" t="str">
        <f>IFERROR(INDEX(Rosters!$C$2:$C$155,MATCH($B7219,Rosters!$B$2:$B$155,0)),"NA")</f>
        <v>NA</v>
      </c>
      <c r="L7219" t="str">
        <f t="shared" si="336"/>
        <v>NA17QB</v>
      </c>
      <c r="M7219">
        <f>COUNTIF(L$1:L7219,L7219)</f>
        <v>43</v>
      </c>
      <c r="N7219" t="str">
        <f t="shared" si="337"/>
        <v>NA17QB-43</v>
      </c>
      <c r="O7219">
        <f>COUNTIFS(F$1:F7219,F7219,A$1:A7219,A7219)</f>
        <v>60</v>
      </c>
      <c r="P7219" t="str">
        <f t="shared" si="338"/>
        <v>Alex Tanney17</v>
      </c>
    </row>
    <row r="7220" spans="1:16" x14ac:dyDescent="0.25">
      <c r="A7220">
        <v>1</v>
      </c>
      <c r="B7220" t="s">
        <v>126</v>
      </c>
      <c r="C7220" t="s">
        <v>743</v>
      </c>
      <c r="D7220">
        <v>0</v>
      </c>
      <c r="E7220" t="s">
        <v>46</v>
      </c>
      <c r="F7220" t="s">
        <v>87</v>
      </c>
      <c r="G7220">
        <v>0</v>
      </c>
      <c r="H7220">
        <v>0</v>
      </c>
      <c r="I7220">
        <v>0</v>
      </c>
      <c r="J7220">
        <v>0</v>
      </c>
      <c r="K7220" t="str">
        <f>IFERROR(INDEX(Rosters!$C$2:$C$155,MATCH($B7220,Rosters!$B$2:$B$155,0)),"NA")</f>
        <v>devon</v>
      </c>
      <c r="L7220" t="str">
        <f t="shared" si="336"/>
        <v>devon1WR</v>
      </c>
      <c r="M7220">
        <f>COUNTIF(L$1:L7220,L7220)</f>
        <v>4</v>
      </c>
      <c r="N7220" t="str">
        <f t="shared" si="337"/>
        <v>devon1WR-4</v>
      </c>
      <c r="O7220">
        <f>COUNTIFS(F$1:F7220,F7220,A$1:A7220,A7220)</f>
        <v>136</v>
      </c>
      <c r="P7220" t="str">
        <f t="shared" si="338"/>
        <v>Alshon Jeffery1</v>
      </c>
    </row>
    <row r="7221" spans="1:16" x14ac:dyDescent="0.25">
      <c r="A7221">
        <v>2</v>
      </c>
      <c r="B7221" t="s">
        <v>126</v>
      </c>
      <c r="C7221" t="s">
        <v>743</v>
      </c>
      <c r="D7221">
        <v>0</v>
      </c>
      <c r="E7221" t="s">
        <v>17</v>
      </c>
      <c r="F7221" t="s">
        <v>87</v>
      </c>
      <c r="G7221">
        <v>0</v>
      </c>
      <c r="H7221">
        <v>0</v>
      </c>
      <c r="I7221">
        <v>0</v>
      </c>
      <c r="J7221">
        <v>0</v>
      </c>
      <c r="K7221" t="str">
        <f>IFERROR(INDEX(Rosters!$C$2:$C$155,MATCH($B7221,Rosters!$B$2:$B$155,0)),"NA")</f>
        <v>devon</v>
      </c>
      <c r="L7221" t="str">
        <f t="shared" si="336"/>
        <v>devon2WR</v>
      </c>
      <c r="M7221">
        <f>COUNTIF(L$1:L7221,L7221)</f>
        <v>4</v>
      </c>
      <c r="N7221" t="str">
        <f t="shared" si="337"/>
        <v>devon2WR-4</v>
      </c>
      <c r="O7221">
        <f>COUNTIFS(F$1:F7221,F7221,A$1:A7221,A7221)</f>
        <v>145</v>
      </c>
      <c r="P7221" t="str">
        <f t="shared" si="338"/>
        <v>Alshon Jeffery2</v>
      </c>
    </row>
    <row r="7222" spans="1:16" x14ac:dyDescent="0.25">
      <c r="A7222">
        <v>3</v>
      </c>
      <c r="B7222" t="s">
        <v>126</v>
      </c>
      <c r="C7222" t="s">
        <v>743</v>
      </c>
      <c r="D7222">
        <v>0</v>
      </c>
      <c r="E7222" t="s">
        <v>66</v>
      </c>
      <c r="F7222" t="s">
        <v>87</v>
      </c>
      <c r="G7222">
        <v>0</v>
      </c>
      <c r="H7222">
        <v>0</v>
      </c>
      <c r="I7222">
        <v>0</v>
      </c>
      <c r="J7222">
        <v>0</v>
      </c>
      <c r="K7222" t="str">
        <f>IFERROR(INDEX(Rosters!$C$2:$C$155,MATCH($B7222,Rosters!$B$2:$B$155,0)),"NA")</f>
        <v>devon</v>
      </c>
      <c r="L7222" t="str">
        <f t="shared" si="336"/>
        <v>devon3WR</v>
      </c>
      <c r="M7222">
        <f>COUNTIF(L$1:L7222,L7222)</f>
        <v>4</v>
      </c>
      <c r="N7222" t="str">
        <f t="shared" si="337"/>
        <v>devon3WR-4</v>
      </c>
      <c r="O7222">
        <f>COUNTIFS(F$1:F7222,F7222,A$1:A7222,A7222)</f>
        <v>152</v>
      </c>
      <c r="P7222" t="str">
        <f t="shared" si="338"/>
        <v>Alshon Jeffery3</v>
      </c>
    </row>
    <row r="7223" spans="1:16" x14ac:dyDescent="0.25">
      <c r="A7223">
        <v>1</v>
      </c>
      <c r="B7223" t="s">
        <v>121</v>
      </c>
      <c r="C7223" t="s">
        <v>743</v>
      </c>
      <c r="D7223">
        <v>0</v>
      </c>
      <c r="E7223" t="s">
        <v>73</v>
      </c>
      <c r="F7223" t="s">
        <v>47</v>
      </c>
      <c r="G7223">
        <v>0</v>
      </c>
      <c r="H7223">
        <v>0</v>
      </c>
      <c r="I7223">
        <v>0</v>
      </c>
      <c r="J7223">
        <v>0</v>
      </c>
      <c r="K7223" t="str">
        <f>IFERROR(INDEX(Rosters!$C$2:$C$155,MATCH($B7223,Rosters!$B$2:$B$155,0)),"NA")</f>
        <v>NA</v>
      </c>
      <c r="L7223" t="str">
        <f t="shared" si="336"/>
        <v>NA1RB</v>
      </c>
      <c r="M7223">
        <f>COUNTIF(L$1:L7223,L7223)</f>
        <v>53</v>
      </c>
      <c r="N7223" t="str">
        <f t="shared" si="337"/>
        <v>NA1RB-53</v>
      </c>
      <c r="O7223">
        <f>COUNTIFS(F$1:F7223,F7223,A$1:A7223,A7223)</f>
        <v>97</v>
      </c>
      <c r="P7223" t="str">
        <f t="shared" si="338"/>
        <v>Ameer Abdullah1</v>
      </c>
    </row>
    <row r="7224" spans="1:16" x14ac:dyDescent="0.25">
      <c r="A7224">
        <v>2</v>
      </c>
      <c r="B7224" t="s">
        <v>121</v>
      </c>
      <c r="C7224" t="s">
        <v>743</v>
      </c>
      <c r="D7224">
        <v>0</v>
      </c>
      <c r="E7224" t="s">
        <v>30</v>
      </c>
      <c r="F7224" t="s">
        <v>47</v>
      </c>
      <c r="G7224">
        <v>0</v>
      </c>
      <c r="H7224">
        <v>0</v>
      </c>
      <c r="I7224">
        <v>0</v>
      </c>
      <c r="J7224">
        <v>0</v>
      </c>
      <c r="K7224" t="str">
        <f>IFERROR(INDEX(Rosters!$C$2:$C$155,MATCH($B7224,Rosters!$B$2:$B$155,0)),"NA")</f>
        <v>NA</v>
      </c>
      <c r="L7224" t="str">
        <f t="shared" si="336"/>
        <v>NA2RB</v>
      </c>
      <c r="M7224">
        <f>COUNTIF(L$1:L7224,L7224)</f>
        <v>60</v>
      </c>
      <c r="N7224" t="str">
        <f t="shared" si="337"/>
        <v>NA2RB-60</v>
      </c>
      <c r="O7224">
        <f>COUNTIFS(F$1:F7224,F7224,A$1:A7224,A7224)</f>
        <v>103</v>
      </c>
      <c r="P7224" t="str">
        <f t="shared" si="338"/>
        <v>Ameer Abdullah2</v>
      </c>
    </row>
    <row r="7225" spans="1:16" x14ac:dyDescent="0.25">
      <c r="A7225">
        <v>4</v>
      </c>
      <c r="B7225" t="s">
        <v>121</v>
      </c>
      <c r="C7225" t="s">
        <v>743</v>
      </c>
      <c r="D7225">
        <v>0</v>
      </c>
      <c r="E7225" t="s">
        <v>22</v>
      </c>
      <c r="F7225" t="s">
        <v>47</v>
      </c>
      <c r="G7225">
        <v>0</v>
      </c>
      <c r="H7225">
        <v>0</v>
      </c>
      <c r="I7225">
        <v>0</v>
      </c>
      <c r="J7225">
        <v>0</v>
      </c>
      <c r="K7225" t="str">
        <f>IFERROR(INDEX(Rosters!$C$2:$C$155,MATCH($B7225,Rosters!$B$2:$B$155,0)),"NA")</f>
        <v>NA</v>
      </c>
      <c r="L7225" t="str">
        <f t="shared" si="336"/>
        <v>NA4RB</v>
      </c>
      <c r="M7225">
        <f>COUNTIF(L$1:L7225,L7225)</f>
        <v>66</v>
      </c>
      <c r="N7225" t="str">
        <f t="shared" si="337"/>
        <v>NA4RB-66</v>
      </c>
      <c r="O7225">
        <f>COUNTIFS(F$1:F7225,F7225,A$1:A7225,A7225)</f>
        <v>105</v>
      </c>
      <c r="P7225" t="str">
        <f t="shared" si="338"/>
        <v>Ameer Abdullah4</v>
      </c>
    </row>
    <row r="7226" spans="1:16" x14ac:dyDescent="0.25">
      <c r="A7226">
        <v>4</v>
      </c>
      <c r="B7226" t="s">
        <v>1377</v>
      </c>
      <c r="C7226" t="s">
        <v>743</v>
      </c>
      <c r="D7226">
        <v>0</v>
      </c>
      <c r="E7226" t="s">
        <v>17</v>
      </c>
      <c r="F7226" t="s">
        <v>87</v>
      </c>
      <c r="G7226">
        <v>0</v>
      </c>
      <c r="H7226">
        <v>0</v>
      </c>
      <c r="I7226">
        <v>0</v>
      </c>
      <c r="J7226">
        <v>0</v>
      </c>
      <c r="K7226" t="str">
        <f>IFERROR(INDEX(Rosters!$C$2:$C$155,MATCH($B7226,Rosters!$B$2:$B$155,0)),"NA")</f>
        <v>NA</v>
      </c>
      <c r="L7226" t="str">
        <f t="shared" si="336"/>
        <v>NA4WR</v>
      </c>
      <c r="M7226">
        <f>COUNTIF(L$1:L7226,L7226)</f>
        <v>99</v>
      </c>
      <c r="N7226" t="str">
        <f t="shared" si="337"/>
        <v>NA4WR-99</v>
      </c>
      <c r="O7226">
        <f>COUNTIFS(F$1:F7226,F7226,A$1:A7226,A7226)</f>
        <v>149</v>
      </c>
      <c r="P7226" t="str">
        <f t="shared" si="338"/>
        <v>Anthony Miller4</v>
      </c>
    </row>
    <row r="7227" spans="1:16" x14ac:dyDescent="0.25">
      <c r="A7227">
        <v>4</v>
      </c>
      <c r="B7227" t="s">
        <v>3105</v>
      </c>
      <c r="C7227" t="s">
        <v>743</v>
      </c>
      <c r="D7227">
        <v>0</v>
      </c>
      <c r="E7227" t="s">
        <v>50</v>
      </c>
      <c r="F7227" t="s">
        <v>15</v>
      </c>
      <c r="G7227">
        <v>0</v>
      </c>
      <c r="H7227">
        <v>0</v>
      </c>
      <c r="I7227">
        <v>0</v>
      </c>
      <c r="J7227">
        <v>0</v>
      </c>
      <c r="K7227" t="str">
        <f>IFERROR(INDEX(Rosters!$C$2:$C$155,MATCH($B7227,Rosters!$B$2:$B$155,0)),"NA")</f>
        <v>NA</v>
      </c>
      <c r="L7227" t="str">
        <f t="shared" si="336"/>
        <v>NA4QB</v>
      </c>
      <c r="M7227">
        <f>COUNTIF(L$1:L7227,L7227)</f>
        <v>40</v>
      </c>
      <c r="N7227" t="str">
        <f t="shared" si="337"/>
        <v>NA4QB-40</v>
      </c>
      <c r="O7227">
        <f>COUNTIFS(F$1:F7227,F7227,A$1:A7227,A7227)</f>
        <v>55</v>
      </c>
      <c r="P7227" t="str">
        <f t="shared" si="338"/>
        <v>Austin Davis4</v>
      </c>
    </row>
    <row r="7228" spans="1:16" x14ac:dyDescent="0.25">
      <c r="A7228">
        <v>5</v>
      </c>
      <c r="B7228" t="s">
        <v>3105</v>
      </c>
      <c r="C7228" t="s">
        <v>743</v>
      </c>
      <c r="D7228">
        <v>0</v>
      </c>
      <c r="E7228" t="s">
        <v>29</v>
      </c>
      <c r="F7228" t="s">
        <v>15</v>
      </c>
      <c r="G7228">
        <v>0</v>
      </c>
      <c r="H7228">
        <v>0</v>
      </c>
      <c r="I7228">
        <v>0</v>
      </c>
      <c r="J7228">
        <v>0</v>
      </c>
      <c r="K7228" t="str">
        <f>IFERROR(INDEX(Rosters!$C$2:$C$155,MATCH($B7228,Rosters!$B$2:$B$155,0)),"NA")</f>
        <v>NA</v>
      </c>
      <c r="L7228" t="str">
        <f t="shared" si="336"/>
        <v>NA5QB</v>
      </c>
      <c r="M7228">
        <f>COUNTIF(L$1:L7228,L7228)</f>
        <v>40</v>
      </c>
      <c r="N7228" t="str">
        <f t="shared" si="337"/>
        <v>NA5QB-40</v>
      </c>
      <c r="O7228">
        <f>COUNTIFS(F$1:F7228,F7228,A$1:A7228,A7228)</f>
        <v>57</v>
      </c>
      <c r="P7228" t="str">
        <f t="shared" si="338"/>
        <v>Austin Davis5</v>
      </c>
    </row>
    <row r="7229" spans="1:16" x14ac:dyDescent="0.25">
      <c r="A7229">
        <v>6</v>
      </c>
      <c r="B7229" t="s">
        <v>3105</v>
      </c>
      <c r="C7229" t="s">
        <v>743</v>
      </c>
      <c r="D7229">
        <v>0</v>
      </c>
      <c r="E7229" t="s">
        <v>77</v>
      </c>
      <c r="F7229" t="s">
        <v>15</v>
      </c>
      <c r="G7229">
        <v>0</v>
      </c>
      <c r="H7229">
        <v>0</v>
      </c>
      <c r="I7229">
        <v>0</v>
      </c>
      <c r="J7229">
        <v>0</v>
      </c>
      <c r="K7229" t="str">
        <f>IFERROR(INDEX(Rosters!$C$2:$C$155,MATCH($B7229,Rosters!$B$2:$B$155,0)),"NA")</f>
        <v>NA</v>
      </c>
      <c r="L7229" t="str">
        <f t="shared" si="336"/>
        <v>NA6QB</v>
      </c>
      <c r="M7229">
        <f>COUNTIF(L$1:L7229,L7229)</f>
        <v>41</v>
      </c>
      <c r="N7229" t="str">
        <f t="shared" si="337"/>
        <v>NA6QB-41</v>
      </c>
      <c r="O7229">
        <f>COUNTIFS(F$1:F7229,F7229,A$1:A7229,A7229)</f>
        <v>56</v>
      </c>
      <c r="P7229" t="str">
        <f t="shared" si="338"/>
        <v>Austin Davis6</v>
      </c>
    </row>
    <row r="7230" spans="1:16" x14ac:dyDescent="0.25">
      <c r="A7230">
        <v>7</v>
      </c>
      <c r="B7230" t="s">
        <v>3105</v>
      </c>
      <c r="C7230" t="s">
        <v>743</v>
      </c>
      <c r="D7230">
        <v>0</v>
      </c>
      <c r="E7230" t="s">
        <v>37</v>
      </c>
      <c r="F7230" t="s">
        <v>15</v>
      </c>
      <c r="G7230">
        <v>0</v>
      </c>
      <c r="H7230">
        <v>0</v>
      </c>
      <c r="I7230">
        <v>0</v>
      </c>
      <c r="J7230" s="66">
        <v>0</v>
      </c>
      <c r="K7230" t="str">
        <f>IFERROR(INDEX(Rosters!$C$2:$C$155,MATCH($B7230,Rosters!$B$2:$B$155,0)),"NA")</f>
        <v>NA</v>
      </c>
      <c r="L7230" t="str">
        <f t="shared" si="336"/>
        <v>NA7QB</v>
      </c>
      <c r="M7230">
        <f>COUNTIF(L$1:L7230,L7230)</f>
        <v>40</v>
      </c>
      <c r="N7230" t="str">
        <f t="shared" si="337"/>
        <v>NA7QB-40</v>
      </c>
      <c r="O7230">
        <f>COUNTIFS(F$1:F7230,F7230,A$1:A7230,A7230)</f>
        <v>54</v>
      </c>
      <c r="P7230" t="str">
        <f t="shared" si="338"/>
        <v>Austin Davis7</v>
      </c>
    </row>
    <row r="7231" spans="1:16" x14ac:dyDescent="0.25">
      <c r="A7231">
        <v>9</v>
      </c>
      <c r="B7231" t="s">
        <v>3105</v>
      </c>
      <c r="C7231" t="s">
        <v>743</v>
      </c>
      <c r="D7231">
        <v>0</v>
      </c>
      <c r="E7231" t="s">
        <v>22</v>
      </c>
      <c r="F7231" t="s">
        <v>15</v>
      </c>
      <c r="G7231">
        <v>0</v>
      </c>
      <c r="H7231">
        <v>0</v>
      </c>
      <c r="I7231">
        <v>0</v>
      </c>
      <c r="J7231" s="66">
        <v>0</v>
      </c>
      <c r="K7231" t="str">
        <f>IFERROR(INDEX(Rosters!$C$2:$C$155,MATCH($B7231,Rosters!$B$2:$B$155,0)),"NA")</f>
        <v>NA</v>
      </c>
      <c r="L7231" t="str">
        <f t="shared" si="336"/>
        <v>NA9QB</v>
      </c>
      <c r="M7231">
        <f>COUNTIF(L$1:L7231,L7231)</f>
        <v>36</v>
      </c>
      <c r="N7231" t="str">
        <f t="shared" si="337"/>
        <v>NA9QB-36</v>
      </c>
      <c r="O7231">
        <f>COUNTIFS(F$1:F7231,F7231,A$1:A7231,A7231)</f>
        <v>50</v>
      </c>
      <c r="P7231" t="str">
        <f t="shared" si="338"/>
        <v>Austin Davis9</v>
      </c>
    </row>
    <row r="7232" spans="1:16" x14ac:dyDescent="0.25">
      <c r="A7232">
        <v>10</v>
      </c>
      <c r="B7232" t="s">
        <v>3105</v>
      </c>
      <c r="C7232" t="s">
        <v>743</v>
      </c>
      <c r="D7232">
        <v>0</v>
      </c>
      <c r="E7232" t="s">
        <v>423</v>
      </c>
      <c r="F7232" t="s">
        <v>15</v>
      </c>
      <c r="G7232">
        <v>0</v>
      </c>
      <c r="H7232">
        <v>0</v>
      </c>
      <c r="I7232">
        <v>0</v>
      </c>
      <c r="J7232">
        <v>0</v>
      </c>
      <c r="K7232" t="str">
        <f>IFERROR(INDEX(Rosters!$C$2:$C$155,MATCH($B7232,Rosters!$B$2:$B$155,0)),"NA")</f>
        <v>NA</v>
      </c>
      <c r="L7232" t="str">
        <f t="shared" si="336"/>
        <v>NA10QB</v>
      </c>
      <c r="M7232">
        <f>COUNTIF(L$1:L7232,L7232)</f>
        <v>38</v>
      </c>
      <c r="N7232" t="str">
        <f t="shared" si="337"/>
        <v>NA10QB-38</v>
      </c>
      <c r="O7232">
        <f>COUNTIFS(F$1:F7232,F7232,A$1:A7232,A7232)</f>
        <v>54</v>
      </c>
      <c r="P7232" t="str">
        <f t="shared" si="338"/>
        <v>Austin Davis10</v>
      </c>
    </row>
    <row r="7233" spans="1:16" x14ac:dyDescent="0.25">
      <c r="A7233">
        <v>11</v>
      </c>
      <c r="B7233" t="s">
        <v>3105</v>
      </c>
      <c r="C7233" t="s">
        <v>743</v>
      </c>
      <c r="D7233">
        <v>0</v>
      </c>
      <c r="E7233" t="s">
        <v>66</v>
      </c>
      <c r="F7233" t="s">
        <v>15</v>
      </c>
      <c r="G7233">
        <v>0</v>
      </c>
      <c r="H7233">
        <v>0</v>
      </c>
      <c r="I7233">
        <v>0</v>
      </c>
      <c r="J7233">
        <v>0</v>
      </c>
      <c r="K7233" t="str">
        <f>IFERROR(INDEX(Rosters!$C$2:$C$155,MATCH($B7233,Rosters!$B$2:$B$155,0)),"NA")</f>
        <v>NA</v>
      </c>
      <c r="L7233" t="str">
        <f t="shared" si="336"/>
        <v>NA11QB</v>
      </c>
      <c r="M7233">
        <f>COUNTIF(L$1:L7233,L7233)</f>
        <v>35</v>
      </c>
      <c r="N7233" t="str">
        <f t="shared" si="337"/>
        <v>NA11QB-35</v>
      </c>
      <c r="O7233">
        <f>COUNTIFS(F$1:F7233,F7233,A$1:A7233,A7233)</f>
        <v>50</v>
      </c>
      <c r="P7233" t="str">
        <f t="shared" si="338"/>
        <v>Austin Davis11</v>
      </c>
    </row>
    <row r="7234" spans="1:16" x14ac:dyDescent="0.25">
      <c r="A7234">
        <v>12</v>
      </c>
      <c r="B7234" t="s">
        <v>3105</v>
      </c>
      <c r="C7234" t="s">
        <v>743</v>
      </c>
      <c r="D7234">
        <v>0</v>
      </c>
      <c r="E7234" t="s">
        <v>36</v>
      </c>
      <c r="F7234" t="s">
        <v>15</v>
      </c>
      <c r="G7234">
        <v>0</v>
      </c>
      <c r="H7234">
        <v>0</v>
      </c>
      <c r="I7234">
        <v>0</v>
      </c>
      <c r="J7234">
        <v>0</v>
      </c>
      <c r="K7234" t="str">
        <f>IFERROR(INDEX(Rosters!$C$2:$C$155,MATCH($B7234,Rosters!$B$2:$B$155,0)),"NA")</f>
        <v>NA</v>
      </c>
      <c r="L7234" t="str">
        <f t="shared" si="336"/>
        <v>NA12QB</v>
      </c>
      <c r="M7234">
        <f>COUNTIF(L$1:L7234,L7234)</f>
        <v>42</v>
      </c>
      <c r="N7234" t="str">
        <f t="shared" si="337"/>
        <v>NA12QB-42</v>
      </c>
      <c r="O7234">
        <f>COUNTIFS(F$1:F7234,F7234,A$1:A7234,A7234)</f>
        <v>57</v>
      </c>
      <c r="P7234" t="str">
        <f t="shared" si="338"/>
        <v>Austin Davis12</v>
      </c>
    </row>
    <row r="7235" spans="1:16" x14ac:dyDescent="0.25">
      <c r="A7235">
        <v>13</v>
      </c>
      <c r="B7235" t="s">
        <v>3105</v>
      </c>
      <c r="C7235" t="s">
        <v>743</v>
      </c>
      <c r="D7235">
        <v>0</v>
      </c>
      <c r="E7235" t="s">
        <v>73</v>
      </c>
      <c r="F7235" t="s">
        <v>15</v>
      </c>
      <c r="G7235">
        <v>0</v>
      </c>
      <c r="H7235">
        <v>0</v>
      </c>
      <c r="I7235">
        <v>0</v>
      </c>
      <c r="J7235">
        <v>0</v>
      </c>
      <c r="K7235" t="str">
        <f>IFERROR(INDEX(Rosters!$C$2:$C$155,MATCH($B7235,Rosters!$B$2:$B$155,0)),"NA")</f>
        <v>NA</v>
      </c>
      <c r="L7235" t="str">
        <f t="shared" ref="L7235:L7298" si="339">K7235&amp;A7235&amp;F7235</f>
        <v>NA13QB</v>
      </c>
      <c r="M7235">
        <f>COUNTIF(L$1:L7235,L7235)</f>
        <v>44</v>
      </c>
      <c r="N7235" t="str">
        <f t="shared" ref="N7235:N7298" si="340">L7235&amp;"-"&amp;M7235</f>
        <v>NA13QB-44</v>
      </c>
      <c r="O7235">
        <f>COUNTIFS(F$1:F7235,F7235,A$1:A7235,A7235)</f>
        <v>61</v>
      </c>
      <c r="P7235" t="str">
        <f t="shared" ref="P7235:P7298" si="341">B7235&amp;A7235</f>
        <v>Austin Davis13</v>
      </c>
    </row>
    <row r="7236" spans="1:16" x14ac:dyDescent="0.25">
      <c r="A7236">
        <v>14</v>
      </c>
      <c r="B7236" t="s">
        <v>3105</v>
      </c>
      <c r="C7236" t="s">
        <v>743</v>
      </c>
      <c r="D7236">
        <v>0</v>
      </c>
      <c r="E7236" t="s">
        <v>76</v>
      </c>
      <c r="F7236" t="s">
        <v>15</v>
      </c>
      <c r="G7236">
        <v>0</v>
      </c>
      <c r="H7236">
        <v>0</v>
      </c>
      <c r="I7236">
        <v>0</v>
      </c>
      <c r="J7236">
        <v>0</v>
      </c>
      <c r="K7236" t="str">
        <f>IFERROR(INDEX(Rosters!$C$2:$C$155,MATCH($B7236,Rosters!$B$2:$B$155,0)),"NA")</f>
        <v>NA</v>
      </c>
      <c r="L7236" t="str">
        <f t="shared" si="339"/>
        <v>NA14QB</v>
      </c>
      <c r="M7236">
        <f>COUNTIF(L$1:L7236,L7236)</f>
        <v>44</v>
      </c>
      <c r="N7236" t="str">
        <f t="shared" si="340"/>
        <v>NA14QB-44</v>
      </c>
      <c r="O7236">
        <f>COUNTIFS(F$1:F7236,F7236,A$1:A7236,A7236)</f>
        <v>61</v>
      </c>
      <c r="P7236" t="str">
        <f t="shared" si="341"/>
        <v>Austin Davis14</v>
      </c>
    </row>
    <row r="7237" spans="1:16" x14ac:dyDescent="0.25">
      <c r="A7237">
        <v>15</v>
      </c>
      <c r="B7237" t="s">
        <v>3105</v>
      </c>
      <c r="C7237" t="s">
        <v>743</v>
      </c>
      <c r="D7237">
        <v>0</v>
      </c>
      <c r="E7237" t="s">
        <v>54</v>
      </c>
      <c r="F7237" t="s">
        <v>15</v>
      </c>
      <c r="G7237">
        <v>0</v>
      </c>
      <c r="H7237">
        <v>0</v>
      </c>
      <c r="I7237">
        <v>0</v>
      </c>
      <c r="J7237">
        <v>0</v>
      </c>
      <c r="K7237" t="str">
        <f>IFERROR(INDEX(Rosters!$C$2:$C$155,MATCH($B7237,Rosters!$B$2:$B$155,0)),"NA")</f>
        <v>NA</v>
      </c>
      <c r="L7237" t="str">
        <f t="shared" si="339"/>
        <v>NA15QB</v>
      </c>
      <c r="M7237">
        <f>COUNTIF(L$1:L7237,L7237)</f>
        <v>44</v>
      </c>
      <c r="N7237" t="str">
        <f t="shared" si="340"/>
        <v>NA15QB-44</v>
      </c>
      <c r="O7237">
        <f>COUNTIFS(F$1:F7237,F7237,A$1:A7237,A7237)</f>
        <v>61</v>
      </c>
      <c r="P7237" t="str">
        <f t="shared" si="341"/>
        <v>Austin Davis15</v>
      </c>
    </row>
    <row r="7238" spans="1:16" x14ac:dyDescent="0.25">
      <c r="A7238">
        <v>16</v>
      </c>
      <c r="B7238" t="s">
        <v>3105</v>
      </c>
      <c r="C7238" t="s">
        <v>743</v>
      </c>
      <c r="D7238">
        <v>0</v>
      </c>
      <c r="E7238" t="s">
        <v>60</v>
      </c>
      <c r="F7238" t="s">
        <v>15</v>
      </c>
      <c r="G7238">
        <v>0</v>
      </c>
      <c r="H7238">
        <v>0</v>
      </c>
      <c r="I7238">
        <v>0</v>
      </c>
      <c r="J7238">
        <v>0</v>
      </c>
      <c r="K7238" t="str">
        <f>IFERROR(INDEX(Rosters!$C$2:$C$155,MATCH($B7238,Rosters!$B$2:$B$155,0)),"NA")</f>
        <v>NA</v>
      </c>
      <c r="L7238" t="str">
        <f t="shared" si="339"/>
        <v>NA16QB</v>
      </c>
      <c r="M7238">
        <f>COUNTIF(L$1:L7238,L7238)</f>
        <v>44</v>
      </c>
      <c r="N7238" t="str">
        <f t="shared" si="340"/>
        <v>NA16QB-44</v>
      </c>
      <c r="O7238">
        <f>COUNTIFS(F$1:F7238,F7238,A$1:A7238,A7238)</f>
        <v>61</v>
      </c>
      <c r="P7238" t="str">
        <f t="shared" si="341"/>
        <v>Austin Davis16</v>
      </c>
    </row>
    <row r="7239" spans="1:16" x14ac:dyDescent="0.25">
      <c r="A7239">
        <v>17</v>
      </c>
      <c r="B7239" t="s">
        <v>3105</v>
      </c>
      <c r="C7239" t="s">
        <v>743</v>
      </c>
      <c r="D7239">
        <v>0</v>
      </c>
      <c r="E7239" t="s">
        <v>66</v>
      </c>
      <c r="F7239" t="s">
        <v>15</v>
      </c>
      <c r="G7239">
        <v>0</v>
      </c>
      <c r="H7239">
        <v>0</v>
      </c>
      <c r="I7239">
        <v>0</v>
      </c>
      <c r="J7239">
        <v>0</v>
      </c>
      <c r="K7239" t="str">
        <f>IFERROR(INDEX(Rosters!$C$2:$C$155,MATCH($B7239,Rosters!$B$2:$B$155,0)),"NA")</f>
        <v>NA</v>
      </c>
      <c r="L7239" t="str">
        <f t="shared" si="339"/>
        <v>NA17QB</v>
      </c>
      <c r="M7239">
        <f>COUNTIF(L$1:L7239,L7239)</f>
        <v>44</v>
      </c>
      <c r="N7239" t="str">
        <f t="shared" si="340"/>
        <v>NA17QB-44</v>
      </c>
      <c r="O7239">
        <f>COUNTIFS(F$1:F7239,F7239,A$1:A7239,A7239)</f>
        <v>61</v>
      </c>
      <c r="P7239" t="str">
        <f t="shared" si="341"/>
        <v>Austin Davis17</v>
      </c>
    </row>
    <row r="7240" spans="1:16" x14ac:dyDescent="0.25">
      <c r="A7240">
        <v>4</v>
      </c>
      <c r="B7240" t="s">
        <v>1627</v>
      </c>
      <c r="C7240" t="s">
        <v>743</v>
      </c>
      <c r="D7240">
        <v>0</v>
      </c>
      <c r="E7240" t="s">
        <v>50</v>
      </c>
      <c r="F7240" t="s">
        <v>15</v>
      </c>
      <c r="G7240">
        <v>0</v>
      </c>
      <c r="H7240">
        <v>0</v>
      </c>
      <c r="I7240">
        <v>0</v>
      </c>
      <c r="J7240">
        <v>0</v>
      </c>
      <c r="K7240" t="str">
        <f>IFERROR(INDEX(Rosters!$C$2:$C$155,MATCH($B7240,Rosters!$B$2:$B$155,0)),"NA")</f>
        <v>NA</v>
      </c>
      <c r="L7240" t="str">
        <f t="shared" si="339"/>
        <v>NA4QB</v>
      </c>
      <c r="M7240">
        <f>COUNTIF(L$1:L7240,L7240)</f>
        <v>41</v>
      </c>
      <c r="N7240" t="str">
        <f t="shared" si="340"/>
        <v>NA4QB-41</v>
      </c>
      <c r="O7240">
        <f>COUNTIFS(F$1:F7240,F7240,A$1:A7240,A7240)</f>
        <v>56</v>
      </c>
      <c r="P7240" t="str">
        <f t="shared" si="341"/>
        <v>Blaine Gabbert4</v>
      </c>
    </row>
    <row r="7241" spans="1:16" x14ac:dyDescent="0.25">
      <c r="A7241">
        <v>1</v>
      </c>
      <c r="B7241" t="s">
        <v>2599</v>
      </c>
      <c r="C7241" t="s">
        <v>743</v>
      </c>
      <c r="D7241">
        <v>0</v>
      </c>
      <c r="E7241" t="s">
        <v>56</v>
      </c>
      <c r="F7241" t="s">
        <v>87</v>
      </c>
      <c r="G7241">
        <v>0</v>
      </c>
      <c r="H7241">
        <v>0</v>
      </c>
      <c r="I7241">
        <v>0</v>
      </c>
      <c r="J7241">
        <v>0</v>
      </c>
      <c r="K7241" t="str">
        <f>IFERROR(INDEX(Rosters!$C$2:$C$155,MATCH($B7241,Rosters!$B$2:$B$155,0)),"NA")</f>
        <v>NA</v>
      </c>
      <c r="L7241" t="str">
        <f t="shared" si="339"/>
        <v>NA1WR</v>
      </c>
      <c r="M7241">
        <f>COUNTIF(L$1:L7241,L7241)</f>
        <v>87</v>
      </c>
      <c r="N7241" t="str">
        <f t="shared" si="340"/>
        <v>NA1WR-87</v>
      </c>
      <c r="O7241">
        <f>COUNTIFS(F$1:F7241,F7241,A$1:A7241,A7241)</f>
        <v>137</v>
      </c>
      <c r="P7241" t="str">
        <f t="shared" si="341"/>
        <v>Brandon LaFell1</v>
      </c>
    </row>
    <row r="7242" spans="1:16" x14ac:dyDescent="0.25">
      <c r="A7242">
        <v>4</v>
      </c>
      <c r="B7242" t="s">
        <v>2599</v>
      </c>
      <c r="C7242" t="s">
        <v>743</v>
      </c>
      <c r="D7242">
        <v>0</v>
      </c>
      <c r="E7242" t="s">
        <v>52</v>
      </c>
      <c r="F7242" t="s">
        <v>87</v>
      </c>
      <c r="G7242">
        <v>0</v>
      </c>
      <c r="H7242">
        <v>0</v>
      </c>
      <c r="I7242">
        <v>0</v>
      </c>
      <c r="J7242">
        <v>0</v>
      </c>
      <c r="K7242" t="str">
        <f>IFERROR(INDEX(Rosters!$C$2:$C$155,MATCH($B7242,Rosters!$B$2:$B$155,0)),"NA")</f>
        <v>NA</v>
      </c>
      <c r="L7242" t="str">
        <f t="shared" si="339"/>
        <v>NA4WR</v>
      </c>
      <c r="M7242">
        <f>COUNTIF(L$1:L7242,L7242)</f>
        <v>100</v>
      </c>
      <c r="N7242" t="str">
        <f t="shared" si="340"/>
        <v>NA4WR-100</v>
      </c>
      <c r="O7242">
        <f>COUNTIFS(F$1:F7242,F7242,A$1:A7242,A7242)</f>
        <v>150</v>
      </c>
      <c r="P7242" t="str">
        <f t="shared" si="341"/>
        <v>Brandon LaFell4</v>
      </c>
    </row>
    <row r="7243" spans="1:16" x14ac:dyDescent="0.25">
      <c r="A7243">
        <v>1</v>
      </c>
      <c r="B7243" t="s">
        <v>319</v>
      </c>
      <c r="C7243" t="s">
        <v>743</v>
      </c>
      <c r="D7243">
        <v>0</v>
      </c>
      <c r="E7243" t="s">
        <v>38</v>
      </c>
      <c r="F7243" t="s">
        <v>15</v>
      </c>
      <c r="G7243">
        <v>0</v>
      </c>
      <c r="H7243">
        <v>0</v>
      </c>
      <c r="I7243">
        <v>0</v>
      </c>
      <c r="J7243">
        <v>0</v>
      </c>
      <c r="K7243" t="str">
        <f>IFERROR(INDEX(Rosters!$C$2:$C$155,MATCH($B7243,Rosters!$B$2:$B$155,0)),"NA")</f>
        <v>NA</v>
      </c>
      <c r="L7243" t="str">
        <f t="shared" si="339"/>
        <v>NA1QB</v>
      </c>
      <c r="M7243">
        <f>COUNTIF(L$1:L7243,L7243)</f>
        <v>41</v>
      </c>
      <c r="N7243" t="str">
        <f t="shared" si="340"/>
        <v>NA1QB-41</v>
      </c>
      <c r="O7243">
        <f>COUNTIFS(F$1:F7243,F7243,A$1:A7243,A7243)</f>
        <v>57</v>
      </c>
      <c r="P7243" t="str">
        <f t="shared" si="341"/>
        <v>Brock Osweiler1</v>
      </c>
    </row>
    <row r="7244" spans="1:16" x14ac:dyDescent="0.25">
      <c r="A7244">
        <v>2</v>
      </c>
      <c r="B7244" t="s">
        <v>319</v>
      </c>
      <c r="C7244" t="s">
        <v>743</v>
      </c>
      <c r="D7244">
        <v>0</v>
      </c>
      <c r="E7244" t="s">
        <v>73</v>
      </c>
      <c r="F7244" t="s">
        <v>15</v>
      </c>
      <c r="G7244">
        <v>0</v>
      </c>
      <c r="H7244">
        <v>0</v>
      </c>
      <c r="I7244">
        <v>0</v>
      </c>
      <c r="J7244" s="66">
        <v>0</v>
      </c>
      <c r="K7244" t="str">
        <f>IFERROR(INDEX(Rosters!$C$2:$C$155,MATCH($B7244,Rosters!$B$2:$B$155,0)),"NA")</f>
        <v>NA</v>
      </c>
      <c r="L7244" t="str">
        <f t="shared" si="339"/>
        <v>NA2QB</v>
      </c>
      <c r="M7244">
        <f>COUNTIF(L$1:L7244,L7244)</f>
        <v>40</v>
      </c>
      <c r="N7244" t="str">
        <f t="shared" si="340"/>
        <v>NA2QB-40</v>
      </c>
      <c r="O7244">
        <f>COUNTIFS(F$1:F7244,F7244,A$1:A7244,A7244)</f>
        <v>56</v>
      </c>
      <c r="P7244" t="str">
        <f t="shared" si="341"/>
        <v>Brock Osweiler2</v>
      </c>
    </row>
    <row r="7245" spans="1:16" x14ac:dyDescent="0.25">
      <c r="A7245">
        <v>3</v>
      </c>
      <c r="B7245" t="s">
        <v>319</v>
      </c>
      <c r="C7245" t="s">
        <v>743</v>
      </c>
      <c r="D7245">
        <v>0</v>
      </c>
      <c r="E7245" t="s">
        <v>32</v>
      </c>
      <c r="F7245" t="s">
        <v>15</v>
      </c>
      <c r="G7245">
        <v>0</v>
      </c>
      <c r="H7245">
        <v>0</v>
      </c>
      <c r="I7245">
        <v>0</v>
      </c>
      <c r="J7245" s="66">
        <v>0</v>
      </c>
      <c r="K7245" t="str">
        <f>IFERROR(INDEX(Rosters!$C$2:$C$155,MATCH($B7245,Rosters!$B$2:$B$155,0)),"NA")</f>
        <v>NA</v>
      </c>
      <c r="L7245" t="str">
        <f t="shared" si="339"/>
        <v>NA3QB</v>
      </c>
      <c r="M7245">
        <f>COUNTIF(L$1:L7245,L7245)</f>
        <v>41</v>
      </c>
      <c r="N7245" t="str">
        <f t="shared" si="340"/>
        <v>NA3QB-41</v>
      </c>
      <c r="O7245">
        <f>COUNTIFS(F$1:F7245,F7245,A$1:A7245,A7245)</f>
        <v>58</v>
      </c>
      <c r="P7245" t="str">
        <f t="shared" si="341"/>
        <v>Brock Osweiler3</v>
      </c>
    </row>
    <row r="7246" spans="1:16" x14ac:dyDescent="0.25">
      <c r="A7246">
        <v>4</v>
      </c>
      <c r="B7246" t="s">
        <v>319</v>
      </c>
      <c r="C7246" t="s">
        <v>743</v>
      </c>
      <c r="D7246">
        <v>0</v>
      </c>
      <c r="E7246" t="s">
        <v>423</v>
      </c>
      <c r="F7246" t="s">
        <v>15</v>
      </c>
      <c r="G7246">
        <v>0</v>
      </c>
      <c r="H7246">
        <v>0</v>
      </c>
      <c r="I7246">
        <v>0</v>
      </c>
      <c r="J7246">
        <v>0</v>
      </c>
      <c r="K7246" t="str">
        <f>IFERROR(INDEX(Rosters!$C$2:$C$155,MATCH($B7246,Rosters!$B$2:$B$155,0)),"NA")</f>
        <v>NA</v>
      </c>
      <c r="L7246" t="str">
        <f t="shared" si="339"/>
        <v>NA4QB</v>
      </c>
      <c r="M7246">
        <f>COUNTIF(L$1:L7246,L7246)</f>
        <v>42</v>
      </c>
      <c r="N7246" t="str">
        <f t="shared" si="340"/>
        <v>NA4QB-42</v>
      </c>
      <c r="O7246">
        <f>COUNTIFS(F$1:F7246,F7246,A$1:A7246,A7246)</f>
        <v>57</v>
      </c>
      <c r="P7246" t="str">
        <f t="shared" si="341"/>
        <v>Brock Osweiler4</v>
      </c>
    </row>
    <row r="7247" spans="1:16" x14ac:dyDescent="0.25">
      <c r="A7247">
        <v>5</v>
      </c>
      <c r="B7247" t="s">
        <v>319</v>
      </c>
      <c r="C7247" t="s">
        <v>743</v>
      </c>
      <c r="D7247">
        <v>0</v>
      </c>
      <c r="E7247" t="s">
        <v>31</v>
      </c>
      <c r="F7247" t="s">
        <v>15</v>
      </c>
      <c r="G7247">
        <v>0</v>
      </c>
      <c r="H7247">
        <v>0</v>
      </c>
      <c r="I7247">
        <v>0</v>
      </c>
      <c r="J7247">
        <v>0</v>
      </c>
      <c r="K7247" t="str">
        <f>IFERROR(INDEX(Rosters!$C$2:$C$155,MATCH($B7247,Rosters!$B$2:$B$155,0)),"NA")</f>
        <v>NA</v>
      </c>
      <c r="L7247" t="str">
        <f t="shared" si="339"/>
        <v>NA5QB</v>
      </c>
      <c r="M7247">
        <f>COUNTIF(L$1:L7247,L7247)</f>
        <v>41</v>
      </c>
      <c r="N7247" t="str">
        <f t="shared" si="340"/>
        <v>NA5QB-41</v>
      </c>
      <c r="O7247">
        <f>COUNTIFS(F$1:F7247,F7247,A$1:A7247,A7247)</f>
        <v>58</v>
      </c>
      <c r="P7247" t="str">
        <f t="shared" si="341"/>
        <v>Brock Osweiler5</v>
      </c>
    </row>
    <row r="7248" spans="1:16" x14ac:dyDescent="0.25">
      <c r="A7248">
        <v>6</v>
      </c>
      <c r="B7248" t="s">
        <v>319</v>
      </c>
      <c r="C7248" t="s">
        <v>743</v>
      </c>
      <c r="D7248">
        <v>0</v>
      </c>
      <c r="E7248" t="s">
        <v>72</v>
      </c>
      <c r="F7248" t="s">
        <v>15</v>
      </c>
      <c r="G7248">
        <v>0</v>
      </c>
      <c r="H7248">
        <v>0</v>
      </c>
      <c r="I7248">
        <v>0</v>
      </c>
      <c r="J7248">
        <v>0</v>
      </c>
      <c r="K7248" t="str">
        <f>IFERROR(INDEX(Rosters!$C$2:$C$155,MATCH($B7248,Rosters!$B$2:$B$155,0)),"NA")</f>
        <v>NA</v>
      </c>
      <c r="L7248" t="str">
        <f t="shared" si="339"/>
        <v>NA6QB</v>
      </c>
      <c r="M7248">
        <f>COUNTIF(L$1:L7248,L7248)</f>
        <v>42</v>
      </c>
      <c r="N7248" t="str">
        <f t="shared" si="340"/>
        <v>NA6QB-42</v>
      </c>
      <c r="O7248">
        <f>COUNTIFS(F$1:F7248,F7248,A$1:A7248,A7248)</f>
        <v>57</v>
      </c>
      <c r="P7248" t="str">
        <f t="shared" si="341"/>
        <v>Brock Osweiler6</v>
      </c>
    </row>
    <row r="7249" spans="1:16" x14ac:dyDescent="0.25">
      <c r="A7249">
        <v>7</v>
      </c>
      <c r="B7249" t="s">
        <v>319</v>
      </c>
      <c r="C7249" t="s">
        <v>743</v>
      </c>
      <c r="D7249">
        <v>0</v>
      </c>
      <c r="E7249" t="s">
        <v>34</v>
      </c>
      <c r="F7249" t="s">
        <v>15</v>
      </c>
      <c r="G7249">
        <v>0</v>
      </c>
      <c r="H7249">
        <v>0</v>
      </c>
      <c r="I7249">
        <v>0</v>
      </c>
      <c r="J7249">
        <v>0</v>
      </c>
      <c r="K7249" t="str">
        <f>IFERROR(INDEX(Rosters!$C$2:$C$155,MATCH($B7249,Rosters!$B$2:$B$155,0)),"NA")</f>
        <v>NA</v>
      </c>
      <c r="L7249" t="str">
        <f t="shared" si="339"/>
        <v>NA7QB</v>
      </c>
      <c r="M7249">
        <f>COUNTIF(L$1:L7249,L7249)</f>
        <v>41</v>
      </c>
      <c r="N7249" t="str">
        <f t="shared" si="340"/>
        <v>NA7QB-41</v>
      </c>
      <c r="O7249">
        <f>COUNTIFS(F$1:F7249,F7249,A$1:A7249,A7249)</f>
        <v>55</v>
      </c>
      <c r="P7249" t="str">
        <f t="shared" si="341"/>
        <v>Brock Osweiler7</v>
      </c>
    </row>
    <row r="7250" spans="1:16" x14ac:dyDescent="0.25">
      <c r="A7250">
        <v>8</v>
      </c>
      <c r="B7250" t="s">
        <v>319</v>
      </c>
      <c r="C7250" t="s">
        <v>743</v>
      </c>
      <c r="D7250">
        <v>0</v>
      </c>
      <c r="E7250" t="s">
        <v>36</v>
      </c>
      <c r="F7250" t="s">
        <v>15</v>
      </c>
      <c r="G7250">
        <v>0</v>
      </c>
      <c r="H7250">
        <v>0</v>
      </c>
      <c r="I7250">
        <v>0</v>
      </c>
      <c r="J7250">
        <v>0</v>
      </c>
      <c r="K7250" t="str">
        <f>IFERROR(INDEX(Rosters!$C$2:$C$155,MATCH($B7250,Rosters!$B$2:$B$155,0)),"NA")</f>
        <v>NA</v>
      </c>
      <c r="L7250" t="str">
        <f t="shared" si="339"/>
        <v>NA8QB</v>
      </c>
      <c r="M7250">
        <f>COUNTIF(L$1:L7250,L7250)</f>
        <v>38</v>
      </c>
      <c r="N7250" t="str">
        <f t="shared" si="340"/>
        <v>NA8QB-38</v>
      </c>
      <c r="O7250">
        <f>COUNTIFS(F$1:F7250,F7250,A$1:A7250,A7250)</f>
        <v>53</v>
      </c>
      <c r="P7250" t="str">
        <f t="shared" si="341"/>
        <v>Brock Osweiler8</v>
      </c>
    </row>
    <row r="7251" spans="1:16" x14ac:dyDescent="0.25">
      <c r="A7251">
        <v>9</v>
      </c>
      <c r="B7251" t="s">
        <v>319</v>
      </c>
      <c r="C7251" t="s">
        <v>743</v>
      </c>
      <c r="D7251">
        <v>0</v>
      </c>
      <c r="E7251" t="s">
        <v>73</v>
      </c>
      <c r="F7251" t="s">
        <v>15</v>
      </c>
      <c r="G7251">
        <v>0</v>
      </c>
      <c r="H7251">
        <v>0</v>
      </c>
      <c r="I7251">
        <v>0</v>
      </c>
      <c r="J7251">
        <v>0</v>
      </c>
      <c r="K7251" t="str">
        <f>IFERROR(INDEX(Rosters!$C$2:$C$155,MATCH($B7251,Rosters!$B$2:$B$155,0)),"NA")</f>
        <v>NA</v>
      </c>
      <c r="L7251" t="str">
        <f t="shared" si="339"/>
        <v>NA9QB</v>
      </c>
      <c r="M7251">
        <f>COUNTIF(L$1:L7251,L7251)</f>
        <v>37</v>
      </c>
      <c r="N7251" t="str">
        <f t="shared" si="340"/>
        <v>NA9QB-37</v>
      </c>
      <c r="O7251">
        <f>COUNTIFS(F$1:F7251,F7251,A$1:A7251,A7251)</f>
        <v>51</v>
      </c>
      <c r="P7251" t="str">
        <f t="shared" si="341"/>
        <v>Brock Osweiler9</v>
      </c>
    </row>
    <row r="7252" spans="1:16" x14ac:dyDescent="0.25">
      <c r="A7252">
        <v>10</v>
      </c>
      <c r="B7252" t="s">
        <v>319</v>
      </c>
      <c r="C7252" t="s">
        <v>743</v>
      </c>
      <c r="D7252">
        <v>0</v>
      </c>
      <c r="E7252" t="s">
        <v>41</v>
      </c>
      <c r="F7252" t="s">
        <v>15</v>
      </c>
      <c r="G7252">
        <v>0</v>
      </c>
      <c r="H7252">
        <v>0</v>
      </c>
      <c r="I7252">
        <v>0</v>
      </c>
      <c r="J7252">
        <v>0</v>
      </c>
      <c r="K7252" t="str">
        <f>IFERROR(INDEX(Rosters!$C$2:$C$155,MATCH($B7252,Rosters!$B$2:$B$155,0)),"NA")</f>
        <v>NA</v>
      </c>
      <c r="L7252" t="str">
        <f t="shared" si="339"/>
        <v>NA10QB</v>
      </c>
      <c r="M7252">
        <f>COUNTIF(L$1:L7252,L7252)</f>
        <v>39</v>
      </c>
      <c r="N7252" t="str">
        <f t="shared" si="340"/>
        <v>NA10QB-39</v>
      </c>
      <c r="O7252">
        <f>COUNTIFS(F$1:F7252,F7252,A$1:A7252,A7252)</f>
        <v>55</v>
      </c>
      <c r="P7252" t="str">
        <f t="shared" si="341"/>
        <v>Brock Osweiler10</v>
      </c>
    </row>
    <row r="7253" spans="1:16" x14ac:dyDescent="0.25">
      <c r="A7253">
        <v>12</v>
      </c>
      <c r="B7253" t="s">
        <v>319</v>
      </c>
      <c r="C7253" t="s">
        <v>743</v>
      </c>
      <c r="D7253">
        <v>0</v>
      </c>
      <c r="E7253" t="s">
        <v>66</v>
      </c>
      <c r="F7253" t="s">
        <v>15</v>
      </c>
      <c r="G7253">
        <v>0</v>
      </c>
      <c r="H7253">
        <v>0</v>
      </c>
      <c r="I7253">
        <v>0</v>
      </c>
      <c r="J7253">
        <v>0</v>
      </c>
      <c r="K7253" t="str">
        <f>IFERROR(INDEX(Rosters!$C$2:$C$155,MATCH($B7253,Rosters!$B$2:$B$155,0)),"NA")</f>
        <v>NA</v>
      </c>
      <c r="L7253" t="str">
        <f t="shared" si="339"/>
        <v>NA12QB</v>
      </c>
      <c r="M7253">
        <f>COUNTIF(L$1:L7253,L7253)</f>
        <v>43</v>
      </c>
      <c r="N7253" t="str">
        <f t="shared" si="340"/>
        <v>NA12QB-43</v>
      </c>
      <c r="O7253">
        <f>COUNTIFS(F$1:F7253,F7253,A$1:A7253,A7253)</f>
        <v>58</v>
      </c>
      <c r="P7253" t="str">
        <f t="shared" si="341"/>
        <v>Brock Osweiler12</v>
      </c>
    </row>
    <row r="7254" spans="1:16" x14ac:dyDescent="0.25">
      <c r="A7254">
        <v>13</v>
      </c>
      <c r="B7254" t="s">
        <v>319</v>
      </c>
      <c r="C7254" t="s">
        <v>743</v>
      </c>
      <c r="D7254">
        <v>0</v>
      </c>
      <c r="E7254" t="s">
        <v>29</v>
      </c>
      <c r="F7254" t="s">
        <v>15</v>
      </c>
      <c r="G7254">
        <v>0</v>
      </c>
      <c r="H7254">
        <v>0</v>
      </c>
      <c r="I7254">
        <v>0</v>
      </c>
      <c r="J7254">
        <v>0</v>
      </c>
      <c r="K7254" t="str">
        <f>IFERROR(INDEX(Rosters!$C$2:$C$155,MATCH($B7254,Rosters!$B$2:$B$155,0)),"NA")</f>
        <v>NA</v>
      </c>
      <c r="L7254" t="str">
        <f t="shared" si="339"/>
        <v>NA13QB</v>
      </c>
      <c r="M7254">
        <f>COUNTIF(L$1:L7254,L7254)</f>
        <v>45</v>
      </c>
      <c r="N7254" t="str">
        <f t="shared" si="340"/>
        <v>NA13QB-45</v>
      </c>
      <c r="O7254">
        <f>COUNTIFS(F$1:F7254,F7254,A$1:A7254,A7254)</f>
        <v>62</v>
      </c>
      <c r="P7254" t="str">
        <f t="shared" si="341"/>
        <v>Brock Osweiler13</v>
      </c>
    </row>
    <row r="7255" spans="1:16" x14ac:dyDescent="0.25">
      <c r="A7255">
        <v>14</v>
      </c>
      <c r="B7255" t="s">
        <v>319</v>
      </c>
      <c r="C7255" t="s">
        <v>743</v>
      </c>
      <c r="D7255">
        <v>0</v>
      </c>
      <c r="E7255" t="s">
        <v>423</v>
      </c>
      <c r="F7255" t="s">
        <v>15</v>
      </c>
      <c r="G7255">
        <v>0</v>
      </c>
      <c r="H7255">
        <v>0</v>
      </c>
      <c r="I7255">
        <v>0</v>
      </c>
      <c r="J7255">
        <v>0</v>
      </c>
      <c r="K7255" t="str">
        <f>IFERROR(INDEX(Rosters!$C$2:$C$155,MATCH($B7255,Rosters!$B$2:$B$155,0)),"NA")</f>
        <v>NA</v>
      </c>
      <c r="L7255" t="str">
        <f t="shared" si="339"/>
        <v>NA14QB</v>
      </c>
      <c r="M7255">
        <f>COUNTIF(L$1:L7255,L7255)</f>
        <v>45</v>
      </c>
      <c r="N7255" t="str">
        <f t="shared" si="340"/>
        <v>NA14QB-45</v>
      </c>
      <c r="O7255">
        <f>COUNTIFS(F$1:F7255,F7255,A$1:A7255,A7255)</f>
        <v>62</v>
      </c>
      <c r="P7255" t="str">
        <f t="shared" si="341"/>
        <v>Brock Osweiler14</v>
      </c>
    </row>
    <row r="7256" spans="1:16" x14ac:dyDescent="0.25">
      <c r="A7256">
        <v>15</v>
      </c>
      <c r="B7256" t="s">
        <v>319</v>
      </c>
      <c r="C7256" t="s">
        <v>743</v>
      </c>
      <c r="D7256">
        <v>0</v>
      </c>
      <c r="E7256" t="s">
        <v>25</v>
      </c>
      <c r="F7256" t="s">
        <v>15</v>
      </c>
      <c r="G7256">
        <v>0</v>
      </c>
      <c r="H7256">
        <v>0</v>
      </c>
      <c r="I7256">
        <v>0</v>
      </c>
      <c r="J7256">
        <v>0</v>
      </c>
      <c r="K7256" t="str">
        <f>IFERROR(INDEX(Rosters!$C$2:$C$155,MATCH($B7256,Rosters!$B$2:$B$155,0)),"NA")</f>
        <v>NA</v>
      </c>
      <c r="L7256" t="str">
        <f t="shared" si="339"/>
        <v>NA15QB</v>
      </c>
      <c r="M7256">
        <f>COUNTIF(L$1:L7256,L7256)</f>
        <v>45</v>
      </c>
      <c r="N7256" t="str">
        <f t="shared" si="340"/>
        <v>NA15QB-45</v>
      </c>
      <c r="O7256">
        <f>COUNTIFS(F$1:F7256,F7256,A$1:A7256,A7256)</f>
        <v>62</v>
      </c>
      <c r="P7256" t="str">
        <f t="shared" si="341"/>
        <v>Brock Osweiler15</v>
      </c>
    </row>
    <row r="7257" spans="1:16" x14ac:dyDescent="0.25">
      <c r="A7257">
        <v>16</v>
      </c>
      <c r="B7257" t="s">
        <v>319</v>
      </c>
      <c r="C7257" t="s">
        <v>743</v>
      </c>
      <c r="D7257">
        <v>0</v>
      </c>
      <c r="E7257" t="s">
        <v>76</v>
      </c>
      <c r="F7257" t="s">
        <v>15</v>
      </c>
      <c r="G7257">
        <v>0</v>
      </c>
      <c r="H7257">
        <v>0</v>
      </c>
      <c r="I7257">
        <v>0</v>
      </c>
      <c r="J7257">
        <v>0</v>
      </c>
      <c r="K7257" t="str">
        <f>IFERROR(INDEX(Rosters!$C$2:$C$155,MATCH($B7257,Rosters!$B$2:$B$155,0)),"NA")</f>
        <v>NA</v>
      </c>
      <c r="L7257" t="str">
        <f t="shared" si="339"/>
        <v>NA16QB</v>
      </c>
      <c r="M7257">
        <f>COUNTIF(L$1:L7257,L7257)</f>
        <v>45</v>
      </c>
      <c r="N7257" t="str">
        <f t="shared" si="340"/>
        <v>NA16QB-45</v>
      </c>
      <c r="O7257">
        <f>COUNTIFS(F$1:F7257,F7257,A$1:A7257,A7257)</f>
        <v>62</v>
      </c>
      <c r="P7257" t="str">
        <f t="shared" si="341"/>
        <v>Brock Osweiler16</v>
      </c>
    </row>
    <row r="7258" spans="1:16" x14ac:dyDescent="0.25">
      <c r="A7258">
        <v>17</v>
      </c>
      <c r="B7258" t="s">
        <v>319</v>
      </c>
      <c r="C7258" t="s">
        <v>743</v>
      </c>
      <c r="D7258">
        <v>0</v>
      </c>
      <c r="E7258" t="s">
        <v>29</v>
      </c>
      <c r="F7258" t="s">
        <v>15</v>
      </c>
      <c r="G7258">
        <v>0</v>
      </c>
      <c r="H7258">
        <v>0</v>
      </c>
      <c r="I7258">
        <v>0</v>
      </c>
      <c r="J7258">
        <v>0</v>
      </c>
      <c r="K7258" t="str">
        <f>IFERROR(INDEX(Rosters!$C$2:$C$155,MATCH($B7258,Rosters!$B$2:$B$155,0)),"NA")</f>
        <v>NA</v>
      </c>
      <c r="L7258" t="str">
        <f t="shared" si="339"/>
        <v>NA17QB</v>
      </c>
      <c r="M7258">
        <f>COUNTIF(L$1:L7258,L7258)</f>
        <v>45</v>
      </c>
      <c r="N7258" t="str">
        <f t="shared" si="340"/>
        <v>NA17QB-45</v>
      </c>
      <c r="O7258">
        <f>COUNTIFS(F$1:F7258,F7258,A$1:A7258,A7258)</f>
        <v>62</v>
      </c>
      <c r="P7258" t="str">
        <f t="shared" si="341"/>
        <v>Brock Osweiler17</v>
      </c>
    </row>
    <row r="7259" spans="1:16" x14ac:dyDescent="0.25">
      <c r="A7259">
        <v>4</v>
      </c>
      <c r="B7259" t="s">
        <v>875</v>
      </c>
      <c r="C7259" t="s">
        <v>743</v>
      </c>
      <c r="D7259">
        <v>0</v>
      </c>
      <c r="E7259" t="s">
        <v>66</v>
      </c>
      <c r="F7259" t="s">
        <v>87</v>
      </c>
      <c r="G7259">
        <v>0</v>
      </c>
      <c r="H7259">
        <v>0</v>
      </c>
      <c r="I7259">
        <v>0</v>
      </c>
      <c r="J7259">
        <v>0</v>
      </c>
      <c r="K7259" t="str">
        <f>IFERROR(INDEX(Rosters!$C$2:$C$155,MATCH($B7259,Rosters!$B$2:$B$155,0)),"NA")</f>
        <v>NA</v>
      </c>
      <c r="L7259" t="str">
        <f t="shared" si="339"/>
        <v>NA4WR</v>
      </c>
      <c r="M7259">
        <f>COUNTIF(L$1:L7259,L7259)</f>
        <v>101</v>
      </c>
      <c r="N7259" t="str">
        <f t="shared" si="340"/>
        <v>NA4WR-101</v>
      </c>
      <c r="O7259">
        <f>COUNTIFS(F$1:F7259,F7259,A$1:A7259,A7259)</f>
        <v>151</v>
      </c>
      <c r="P7259" t="str">
        <f t="shared" si="341"/>
        <v>Bruce Ellington4</v>
      </c>
    </row>
    <row r="7260" spans="1:16" x14ac:dyDescent="0.25">
      <c r="A7260">
        <v>5</v>
      </c>
      <c r="B7260" t="s">
        <v>875</v>
      </c>
      <c r="C7260" t="s">
        <v>743</v>
      </c>
      <c r="D7260">
        <v>0</v>
      </c>
      <c r="E7260" t="s">
        <v>22</v>
      </c>
      <c r="F7260" t="s">
        <v>87</v>
      </c>
      <c r="G7260">
        <v>0</v>
      </c>
      <c r="H7260">
        <v>0</v>
      </c>
      <c r="I7260">
        <v>0</v>
      </c>
      <c r="J7260">
        <v>0</v>
      </c>
      <c r="K7260" t="str">
        <f>IFERROR(INDEX(Rosters!$C$2:$C$155,MATCH($B7260,Rosters!$B$2:$B$155,0)),"NA")</f>
        <v>NA</v>
      </c>
      <c r="L7260" t="str">
        <f t="shared" si="339"/>
        <v>NA5WR</v>
      </c>
      <c r="M7260">
        <f>COUNTIF(L$1:L7260,L7260)</f>
        <v>113</v>
      </c>
      <c r="N7260" t="str">
        <f t="shared" si="340"/>
        <v>NA5WR-113</v>
      </c>
      <c r="O7260">
        <f>COUNTIFS(F$1:F7260,F7260,A$1:A7260,A7260)</f>
        <v>163</v>
      </c>
      <c r="P7260" t="str">
        <f t="shared" si="341"/>
        <v>Bruce Ellington5</v>
      </c>
    </row>
    <row r="7261" spans="1:16" x14ac:dyDescent="0.25">
      <c r="A7261">
        <v>6</v>
      </c>
      <c r="B7261" t="s">
        <v>875</v>
      </c>
      <c r="C7261" t="s">
        <v>743</v>
      </c>
      <c r="D7261">
        <v>0</v>
      </c>
      <c r="E7261" t="s">
        <v>29</v>
      </c>
      <c r="F7261" t="s">
        <v>87</v>
      </c>
      <c r="G7261">
        <v>0</v>
      </c>
      <c r="H7261">
        <v>0</v>
      </c>
      <c r="I7261">
        <v>0</v>
      </c>
      <c r="J7261">
        <v>0</v>
      </c>
      <c r="K7261" t="str">
        <f>IFERROR(INDEX(Rosters!$C$2:$C$155,MATCH($B7261,Rosters!$B$2:$B$155,0)),"NA")</f>
        <v>NA</v>
      </c>
      <c r="L7261" t="str">
        <f t="shared" si="339"/>
        <v>NA6WR</v>
      </c>
      <c r="M7261">
        <f>COUNTIF(L$1:L7261,L7261)</f>
        <v>118</v>
      </c>
      <c r="N7261" t="str">
        <f t="shared" si="340"/>
        <v>NA6WR-118</v>
      </c>
      <c r="O7261">
        <f>COUNTIFS(F$1:F7261,F7261,A$1:A7261,A7261)</f>
        <v>168</v>
      </c>
      <c r="P7261" t="str">
        <f t="shared" si="341"/>
        <v>Bruce Ellington6</v>
      </c>
    </row>
    <row r="7262" spans="1:16" x14ac:dyDescent="0.25">
      <c r="A7262">
        <v>7</v>
      </c>
      <c r="B7262" t="s">
        <v>875</v>
      </c>
      <c r="C7262" t="s">
        <v>743</v>
      </c>
      <c r="D7262">
        <v>0</v>
      </c>
      <c r="E7262" t="s">
        <v>76</v>
      </c>
      <c r="F7262" t="s">
        <v>87</v>
      </c>
      <c r="G7262">
        <v>0</v>
      </c>
      <c r="H7262">
        <v>0</v>
      </c>
      <c r="I7262">
        <v>0</v>
      </c>
      <c r="J7262">
        <v>0</v>
      </c>
      <c r="K7262" t="str">
        <f>IFERROR(INDEX(Rosters!$C$2:$C$155,MATCH($B7262,Rosters!$B$2:$B$155,0)),"NA")</f>
        <v>NA</v>
      </c>
      <c r="L7262" t="str">
        <f t="shared" si="339"/>
        <v>NA7WR</v>
      </c>
      <c r="M7262">
        <f>COUNTIF(L$1:L7262,L7262)</f>
        <v>111</v>
      </c>
      <c r="N7262" t="str">
        <f t="shared" si="340"/>
        <v>NA7WR-111</v>
      </c>
      <c r="O7262">
        <f>COUNTIFS(F$1:F7262,F7262,A$1:A7262,A7262)</f>
        <v>156</v>
      </c>
      <c r="P7262" t="str">
        <f t="shared" si="341"/>
        <v>Bruce Ellington7</v>
      </c>
    </row>
    <row r="7263" spans="1:16" x14ac:dyDescent="0.25">
      <c r="A7263">
        <v>8</v>
      </c>
      <c r="B7263" t="s">
        <v>875</v>
      </c>
      <c r="C7263" t="s">
        <v>743</v>
      </c>
      <c r="D7263">
        <v>0</v>
      </c>
      <c r="E7263" t="s">
        <v>19</v>
      </c>
      <c r="F7263" t="s">
        <v>87</v>
      </c>
      <c r="G7263">
        <v>0</v>
      </c>
      <c r="H7263">
        <v>0</v>
      </c>
      <c r="I7263">
        <v>0</v>
      </c>
      <c r="J7263">
        <v>0</v>
      </c>
      <c r="K7263" t="str">
        <f>IFERROR(INDEX(Rosters!$C$2:$C$155,MATCH($B7263,Rosters!$B$2:$B$155,0)),"NA")</f>
        <v>NA</v>
      </c>
      <c r="L7263" t="str">
        <f t="shared" si="339"/>
        <v>NA8WR</v>
      </c>
      <c r="M7263">
        <f>COUNTIF(L$1:L7263,L7263)</f>
        <v>106</v>
      </c>
      <c r="N7263" t="str">
        <f t="shared" si="340"/>
        <v>NA8WR-106</v>
      </c>
      <c r="O7263">
        <f>COUNTIFS(F$1:F7263,F7263,A$1:A7263,A7263)</f>
        <v>155</v>
      </c>
      <c r="P7263" t="str">
        <f t="shared" si="341"/>
        <v>Bruce Ellington8</v>
      </c>
    </row>
    <row r="7264" spans="1:16" x14ac:dyDescent="0.25">
      <c r="A7264">
        <v>9</v>
      </c>
      <c r="B7264" t="s">
        <v>875</v>
      </c>
      <c r="C7264" t="s">
        <v>743</v>
      </c>
      <c r="D7264">
        <v>0</v>
      </c>
      <c r="E7264" t="s">
        <v>42</v>
      </c>
      <c r="F7264" t="s">
        <v>87</v>
      </c>
      <c r="G7264">
        <v>0</v>
      </c>
      <c r="H7264">
        <v>0</v>
      </c>
      <c r="I7264">
        <v>0</v>
      </c>
      <c r="J7264">
        <v>0</v>
      </c>
      <c r="K7264" t="str">
        <f>IFERROR(INDEX(Rosters!$C$2:$C$155,MATCH($B7264,Rosters!$B$2:$B$155,0)),"NA")</f>
        <v>NA</v>
      </c>
      <c r="L7264" t="str">
        <f t="shared" si="339"/>
        <v>NA9WR</v>
      </c>
      <c r="M7264">
        <f>COUNTIF(L$1:L7264,L7264)</f>
        <v>102</v>
      </c>
      <c r="N7264" t="str">
        <f t="shared" si="340"/>
        <v>NA9WR-102</v>
      </c>
      <c r="O7264">
        <f>COUNTIFS(F$1:F7264,F7264,A$1:A7264,A7264)</f>
        <v>146</v>
      </c>
      <c r="P7264" t="str">
        <f t="shared" si="341"/>
        <v>Bruce Ellington9</v>
      </c>
    </row>
    <row r="7265" spans="1:16" x14ac:dyDescent="0.25">
      <c r="A7265">
        <v>11</v>
      </c>
      <c r="B7265" t="s">
        <v>875</v>
      </c>
      <c r="C7265" t="s">
        <v>743</v>
      </c>
      <c r="D7265">
        <v>0</v>
      </c>
      <c r="E7265" t="s">
        <v>60</v>
      </c>
      <c r="F7265" t="s">
        <v>87</v>
      </c>
      <c r="G7265">
        <v>0</v>
      </c>
      <c r="H7265">
        <v>0</v>
      </c>
      <c r="I7265">
        <v>0</v>
      </c>
      <c r="J7265">
        <v>0</v>
      </c>
      <c r="K7265" t="str">
        <f>IFERROR(INDEX(Rosters!$C$2:$C$155,MATCH($B7265,Rosters!$B$2:$B$155,0)),"NA")</f>
        <v>NA</v>
      </c>
      <c r="L7265" t="str">
        <f t="shared" si="339"/>
        <v>NA11WR</v>
      </c>
      <c r="M7265">
        <f>COUNTIF(L$1:L7265,L7265)</f>
        <v>102</v>
      </c>
      <c r="N7265" t="str">
        <f t="shared" si="340"/>
        <v>NA11WR-102</v>
      </c>
      <c r="O7265">
        <f>COUNTIFS(F$1:F7265,F7265,A$1:A7265,A7265)</f>
        <v>149</v>
      </c>
      <c r="P7265" t="str">
        <f t="shared" si="341"/>
        <v>Bruce Ellington11</v>
      </c>
    </row>
    <row r="7266" spans="1:16" x14ac:dyDescent="0.25">
      <c r="A7266">
        <v>1</v>
      </c>
      <c r="B7266" t="s">
        <v>1147</v>
      </c>
      <c r="C7266" t="s">
        <v>743</v>
      </c>
      <c r="D7266">
        <v>0</v>
      </c>
      <c r="E7266" t="s">
        <v>58</v>
      </c>
      <c r="F7266" t="s">
        <v>87</v>
      </c>
      <c r="G7266">
        <v>0</v>
      </c>
      <c r="H7266">
        <v>0</v>
      </c>
      <c r="I7266">
        <v>0</v>
      </c>
      <c r="J7266">
        <v>0</v>
      </c>
      <c r="K7266" t="str">
        <f>IFERROR(INDEX(Rosters!$C$2:$C$155,MATCH($B7266,Rosters!$B$2:$B$155,0)),"NA")</f>
        <v>NA</v>
      </c>
      <c r="L7266" t="str">
        <f t="shared" si="339"/>
        <v>NA1WR</v>
      </c>
      <c r="M7266">
        <f>COUNTIF(L$1:L7266,L7266)</f>
        <v>88</v>
      </c>
      <c r="N7266" t="str">
        <f t="shared" si="340"/>
        <v>NA1WR-88</v>
      </c>
      <c r="O7266">
        <f>COUNTIFS(F$1:F7266,F7266,A$1:A7266,A7266)</f>
        <v>138</v>
      </c>
      <c r="P7266" t="str">
        <f t="shared" si="341"/>
        <v>Byron Marshall1</v>
      </c>
    </row>
    <row r="7267" spans="1:16" x14ac:dyDescent="0.25">
      <c r="A7267">
        <v>2</v>
      </c>
      <c r="B7267" t="s">
        <v>1147</v>
      </c>
      <c r="C7267" t="s">
        <v>743</v>
      </c>
      <c r="D7267">
        <v>0</v>
      </c>
      <c r="E7267" t="s">
        <v>66</v>
      </c>
      <c r="F7267" t="s">
        <v>87</v>
      </c>
      <c r="G7267">
        <v>0</v>
      </c>
      <c r="H7267">
        <v>0</v>
      </c>
      <c r="I7267">
        <v>0</v>
      </c>
      <c r="J7267">
        <v>0</v>
      </c>
      <c r="K7267" t="str">
        <f>IFERROR(INDEX(Rosters!$C$2:$C$155,MATCH($B7267,Rosters!$B$2:$B$155,0)),"NA")</f>
        <v>NA</v>
      </c>
      <c r="L7267" t="str">
        <f t="shared" si="339"/>
        <v>NA2WR</v>
      </c>
      <c r="M7267">
        <f>COUNTIF(L$1:L7267,L7267)</f>
        <v>96</v>
      </c>
      <c r="N7267" t="str">
        <f t="shared" si="340"/>
        <v>NA2WR-96</v>
      </c>
      <c r="O7267">
        <f>COUNTIFS(F$1:F7267,F7267,A$1:A7267,A7267)</f>
        <v>146</v>
      </c>
      <c r="P7267" t="str">
        <f t="shared" si="341"/>
        <v>Byron Marshall2</v>
      </c>
    </row>
    <row r="7268" spans="1:16" x14ac:dyDescent="0.25">
      <c r="A7268">
        <v>3</v>
      </c>
      <c r="B7268" t="s">
        <v>1147</v>
      </c>
      <c r="C7268" t="s">
        <v>743</v>
      </c>
      <c r="D7268">
        <v>0</v>
      </c>
      <c r="E7268" t="s">
        <v>41</v>
      </c>
      <c r="F7268" t="s">
        <v>87</v>
      </c>
      <c r="G7268">
        <v>0</v>
      </c>
      <c r="H7268">
        <v>0</v>
      </c>
      <c r="I7268">
        <v>0</v>
      </c>
      <c r="J7268">
        <v>0</v>
      </c>
      <c r="K7268" t="str">
        <f>IFERROR(INDEX(Rosters!$C$2:$C$155,MATCH($B7268,Rosters!$B$2:$B$155,0)),"NA")</f>
        <v>NA</v>
      </c>
      <c r="L7268" t="str">
        <f t="shared" si="339"/>
        <v>NA3WR</v>
      </c>
      <c r="M7268">
        <f>COUNTIF(L$1:L7268,L7268)</f>
        <v>103</v>
      </c>
      <c r="N7268" t="str">
        <f t="shared" si="340"/>
        <v>NA3WR-103</v>
      </c>
      <c r="O7268">
        <f>COUNTIFS(F$1:F7268,F7268,A$1:A7268,A7268)</f>
        <v>153</v>
      </c>
      <c r="P7268" t="str">
        <f t="shared" si="341"/>
        <v>Byron Marshall3</v>
      </c>
    </row>
    <row r="7269" spans="1:16" x14ac:dyDescent="0.25">
      <c r="A7269">
        <v>5</v>
      </c>
      <c r="B7269" t="s">
        <v>1147</v>
      </c>
      <c r="C7269" t="s">
        <v>743</v>
      </c>
      <c r="D7269">
        <v>0</v>
      </c>
      <c r="E7269" t="s">
        <v>14</v>
      </c>
      <c r="F7269" t="s">
        <v>87</v>
      </c>
      <c r="G7269">
        <v>0</v>
      </c>
      <c r="H7269">
        <v>0</v>
      </c>
      <c r="I7269">
        <v>0</v>
      </c>
      <c r="J7269">
        <v>0</v>
      </c>
      <c r="K7269" t="str">
        <f>IFERROR(INDEX(Rosters!$C$2:$C$155,MATCH($B7269,Rosters!$B$2:$B$155,0)),"NA")</f>
        <v>NA</v>
      </c>
      <c r="L7269" t="str">
        <f t="shared" si="339"/>
        <v>NA5WR</v>
      </c>
      <c r="M7269">
        <f>COUNTIF(L$1:L7269,L7269)</f>
        <v>114</v>
      </c>
      <c r="N7269" t="str">
        <f t="shared" si="340"/>
        <v>NA5WR-114</v>
      </c>
      <c r="O7269">
        <f>COUNTIFS(F$1:F7269,F7269,A$1:A7269,A7269)</f>
        <v>164</v>
      </c>
      <c r="P7269" t="str">
        <f t="shared" si="341"/>
        <v>Byron Marshall5</v>
      </c>
    </row>
    <row r="7270" spans="1:16" x14ac:dyDescent="0.25">
      <c r="A7270">
        <v>6</v>
      </c>
      <c r="B7270" t="s">
        <v>1147</v>
      </c>
      <c r="C7270" t="s">
        <v>743</v>
      </c>
      <c r="D7270">
        <v>0</v>
      </c>
      <c r="E7270" t="s">
        <v>74</v>
      </c>
      <c r="F7270" t="s">
        <v>87</v>
      </c>
      <c r="G7270">
        <v>0</v>
      </c>
      <c r="H7270">
        <v>0</v>
      </c>
      <c r="I7270">
        <v>0</v>
      </c>
      <c r="J7270">
        <v>0</v>
      </c>
      <c r="K7270" t="str">
        <f>IFERROR(INDEX(Rosters!$C$2:$C$155,MATCH($B7270,Rosters!$B$2:$B$155,0)),"NA")</f>
        <v>NA</v>
      </c>
      <c r="L7270" t="str">
        <f t="shared" si="339"/>
        <v>NA6WR</v>
      </c>
      <c r="M7270">
        <f>COUNTIF(L$1:L7270,L7270)</f>
        <v>119</v>
      </c>
      <c r="N7270" t="str">
        <f t="shared" si="340"/>
        <v>NA6WR-119</v>
      </c>
      <c r="O7270">
        <f>COUNTIFS(F$1:F7270,F7270,A$1:A7270,A7270)</f>
        <v>169</v>
      </c>
      <c r="P7270" t="str">
        <f t="shared" si="341"/>
        <v>Byron Marshall6</v>
      </c>
    </row>
    <row r="7271" spans="1:16" x14ac:dyDescent="0.25">
      <c r="A7271">
        <v>7</v>
      </c>
      <c r="B7271" t="s">
        <v>1147</v>
      </c>
      <c r="C7271" t="s">
        <v>743</v>
      </c>
      <c r="D7271">
        <v>0</v>
      </c>
      <c r="E7271" t="s">
        <v>22</v>
      </c>
      <c r="F7271" t="s">
        <v>87</v>
      </c>
      <c r="G7271">
        <v>0</v>
      </c>
      <c r="H7271">
        <v>0</v>
      </c>
      <c r="I7271">
        <v>0</v>
      </c>
      <c r="J7271">
        <v>0</v>
      </c>
      <c r="K7271" t="str">
        <f>IFERROR(INDEX(Rosters!$C$2:$C$155,MATCH($B7271,Rosters!$B$2:$B$155,0)),"NA")</f>
        <v>NA</v>
      </c>
      <c r="L7271" t="str">
        <f t="shared" si="339"/>
        <v>NA7WR</v>
      </c>
      <c r="M7271">
        <f>COUNTIF(L$1:L7271,L7271)</f>
        <v>112</v>
      </c>
      <c r="N7271" t="str">
        <f t="shared" si="340"/>
        <v>NA7WR-112</v>
      </c>
      <c r="O7271">
        <f>COUNTIFS(F$1:F7271,F7271,A$1:A7271,A7271)</f>
        <v>157</v>
      </c>
      <c r="P7271" t="str">
        <f t="shared" si="341"/>
        <v>Byron Marshall7</v>
      </c>
    </row>
    <row r="7272" spans="1:16" x14ac:dyDescent="0.25">
      <c r="A7272">
        <v>8</v>
      </c>
      <c r="B7272" t="s">
        <v>1147</v>
      </c>
      <c r="C7272" t="s">
        <v>743</v>
      </c>
      <c r="D7272">
        <v>0</v>
      </c>
      <c r="E7272" t="s">
        <v>54</v>
      </c>
      <c r="F7272" t="s">
        <v>87</v>
      </c>
      <c r="G7272">
        <v>0</v>
      </c>
      <c r="H7272">
        <v>0</v>
      </c>
      <c r="I7272">
        <v>0</v>
      </c>
      <c r="J7272">
        <v>0</v>
      </c>
      <c r="K7272" t="str">
        <f>IFERROR(INDEX(Rosters!$C$2:$C$155,MATCH($B7272,Rosters!$B$2:$B$155,0)),"NA")</f>
        <v>NA</v>
      </c>
      <c r="L7272" t="str">
        <f t="shared" si="339"/>
        <v>NA8WR</v>
      </c>
      <c r="M7272">
        <f>COUNTIF(L$1:L7272,L7272)</f>
        <v>107</v>
      </c>
      <c r="N7272" t="str">
        <f t="shared" si="340"/>
        <v>NA8WR-107</v>
      </c>
      <c r="O7272">
        <f>COUNTIFS(F$1:F7272,F7272,A$1:A7272,A7272)</f>
        <v>156</v>
      </c>
      <c r="P7272" t="str">
        <f t="shared" si="341"/>
        <v>Byron Marshall8</v>
      </c>
    </row>
    <row r="7273" spans="1:16" x14ac:dyDescent="0.25">
      <c r="A7273">
        <v>9</v>
      </c>
      <c r="B7273" t="s">
        <v>1147</v>
      </c>
      <c r="C7273" t="s">
        <v>743</v>
      </c>
      <c r="D7273">
        <v>0</v>
      </c>
      <c r="E7273" t="s">
        <v>46</v>
      </c>
      <c r="F7273" t="s">
        <v>87</v>
      </c>
      <c r="G7273">
        <v>0</v>
      </c>
      <c r="H7273">
        <v>0</v>
      </c>
      <c r="I7273">
        <v>0</v>
      </c>
      <c r="J7273">
        <v>0</v>
      </c>
      <c r="K7273" t="str">
        <f>IFERROR(INDEX(Rosters!$C$2:$C$155,MATCH($B7273,Rosters!$B$2:$B$155,0)),"NA")</f>
        <v>NA</v>
      </c>
      <c r="L7273" t="str">
        <f t="shared" si="339"/>
        <v>NA9WR</v>
      </c>
      <c r="M7273">
        <f>COUNTIF(L$1:L7273,L7273)</f>
        <v>103</v>
      </c>
      <c r="N7273" t="str">
        <f t="shared" si="340"/>
        <v>NA9WR-103</v>
      </c>
      <c r="O7273">
        <f>COUNTIFS(F$1:F7273,F7273,A$1:A7273,A7273)</f>
        <v>147</v>
      </c>
      <c r="P7273" t="str">
        <f t="shared" si="341"/>
        <v>Byron Marshall9</v>
      </c>
    </row>
    <row r="7274" spans="1:16" x14ac:dyDescent="0.25">
      <c r="A7274">
        <v>10</v>
      </c>
      <c r="B7274" t="s">
        <v>1147</v>
      </c>
      <c r="C7274" t="s">
        <v>743</v>
      </c>
      <c r="D7274">
        <v>0</v>
      </c>
      <c r="E7274" t="s">
        <v>17</v>
      </c>
      <c r="F7274" t="s">
        <v>87</v>
      </c>
      <c r="G7274">
        <v>0</v>
      </c>
      <c r="H7274">
        <v>0</v>
      </c>
      <c r="I7274">
        <v>0</v>
      </c>
      <c r="J7274">
        <v>0</v>
      </c>
      <c r="K7274" t="str">
        <f>IFERROR(INDEX(Rosters!$C$2:$C$155,MATCH($B7274,Rosters!$B$2:$B$155,0)),"NA")</f>
        <v>NA</v>
      </c>
      <c r="L7274" t="str">
        <f t="shared" si="339"/>
        <v>NA10WR</v>
      </c>
      <c r="M7274">
        <f>COUNTIF(L$1:L7274,L7274)</f>
        <v>116</v>
      </c>
      <c r="N7274" t="str">
        <f t="shared" si="340"/>
        <v>NA10WR-116</v>
      </c>
      <c r="O7274">
        <f>COUNTIFS(F$1:F7274,F7274,A$1:A7274,A7274)</f>
        <v>161</v>
      </c>
      <c r="P7274" t="str">
        <f t="shared" si="341"/>
        <v>Byron Marshall10</v>
      </c>
    </row>
    <row r="7275" spans="1:16" x14ac:dyDescent="0.25">
      <c r="A7275">
        <v>11</v>
      </c>
      <c r="B7275" t="s">
        <v>1147</v>
      </c>
      <c r="C7275" t="s">
        <v>743</v>
      </c>
      <c r="D7275">
        <v>0</v>
      </c>
      <c r="E7275" t="s">
        <v>36</v>
      </c>
      <c r="F7275" t="s">
        <v>87</v>
      </c>
      <c r="G7275">
        <v>0</v>
      </c>
      <c r="H7275">
        <v>0</v>
      </c>
      <c r="I7275">
        <v>0</v>
      </c>
      <c r="J7275">
        <v>0</v>
      </c>
      <c r="K7275" t="str">
        <f>IFERROR(INDEX(Rosters!$C$2:$C$155,MATCH($B7275,Rosters!$B$2:$B$155,0)),"NA")</f>
        <v>NA</v>
      </c>
      <c r="L7275" t="str">
        <f t="shared" si="339"/>
        <v>NA11WR</v>
      </c>
      <c r="M7275">
        <f>COUNTIF(L$1:L7275,L7275)</f>
        <v>103</v>
      </c>
      <c r="N7275" t="str">
        <f t="shared" si="340"/>
        <v>NA11WR-103</v>
      </c>
      <c r="O7275">
        <f>COUNTIFS(F$1:F7275,F7275,A$1:A7275,A7275)</f>
        <v>150</v>
      </c>
      <c r="P7275" t="str">
        <f t="shared" si="341"/>
        <v>Byron Marshall11</v>
      </c>
    </row>
    <row r="7276" spans="1:16" x14ac:dyDescent="0.25">
      <c r="A7276">
        <v>12</v>
      </c>
      <c r="B7276" t="s">
        <v>1147</v>
      </c>
      <c r="C7276" t="s">
        <v>743</v>
      </c>
      <c r="D7276">
        <v>0</v>
      </c>
      <c r="E7276" t="s">
        <v>22</v>
      </c>
      <c r="F7276" t="s">
        <v>87</v>
      </c>
      <c r="G7276">
        <v>0</v>
      </c>
      <c r="H7276">
        <v>0</v>
      </c>
      <c r="I7276">
        <v>0</v>
      </c>
      <c r="J7276">
        <v>0</v>
      </c>
      <c r="K7276" t="str">
        <f>IFERROR(INDEX(Rosters!$C$2:$C$155,MATCH($B7276,Rosters!$B$2:$B$155,0)),"NA")</f>
        <v>NA</v>
      </c>
      <c r="L7276" t="str">
        <f t="shared" si="339"/>
        <v>NA12WR</v>
      </c>
      <c r="M7276">
        <f>COUNTIF(L$1:L7276,L7276)</f>
        <v>120</v>
      </c>
      <c r="N7276" t="str">
        <f t="shared" si="340"/>
        <v>NA12WR-120</v>
      </c>
      <c r="O7276">
        <f>COUNTIFS(F$1:F7276,F7276,A$1:A7276,A7276)</f>
        <v>169</v>
      </c>
      <c r="P7276" t="str">
        <f t="shared" si="341"/>
        <v>Byron Marshall12</v>
      </c>
    </row>
    <row r="7277" spans="1:16" x14ac:dyDescent="0.25">
      <c r="A7277">
        <v>13</v>
      </c>
      <c r="B7277" t="s">
        <v>1147</v>
      </c>
      <c r="C7277" t="s">
        <v>743</v>
      </c>
      <c r="D7277">
        <v>0</v>
      </c>
      <c r="E7277" t="s">
        <v>50</v>
      </c>
      <c r="F7277" t="s">
        <v>87</v>
      </c>
      <c r="G7277">
        <v>0</v>
      </c>
      <c r="H7277">
        <v>0</v>
      </c>
      <c r="I7277">
        <v>0</v>
      </c>
      <c r="J7277">
        <v>0</v>
      </c>
      <c r="K7277" t="str">
        <f>IFERROR(INDEX(Rosters!$C$2:$C$155,MATCH($B7277,Rosters!$B$2:$B$155,0)),"NA")</f>
        <v>NA</v>
      </c>
      <c r="L7277" t="str">
        <f t="shared" si="339"/>
        <v>NA13WR</v>
      </c>
      <c r="M7277">
        <f>COUNTIF(L$1:L7277,L7277)</f>
        <v>128</v>
      </c>
      <c r="N7277" t="str">
        <f t="shared" si="340"/>
        <v>NA13WR-128</v>
      </c>
      <c r="O7277">
        <f>COUNTIFS(F$1:F7277,F7277,A$1:A7277,A7277)</f>
        <v>182</v>
      </c>
      <c r="P7277" t="str">
        <f t="shared" si="341"/>
        <v>Byron Marshall13</v>
      </c>
    </row>
    <row r="7278" spans="1:16" x14ac:dyDescent="0.25">
      <c r="A7278">
        <v>14</v>
      </c>
      <c r="B7278" t="s">
        <v>1147</v>
      </c>
      <c r="C7278" t="s">
        <v>743</v>
      </c>
      <c r="D7278">
        <v>0</v>
      </c>
      <c r="E7278" t="s">
        <v>54</v>
      </c>
      <c r="F7278" t="s">
        <v>87</v>
      </c>
      <c r="G7278">
        <v>0</v>
      </c>
      <c r="H7278">
        <v>0</v>
      </c>
      <c r="I7278">
        <v>0</v>
      </c>
      <c r="J7278">
        <v>0</v>
      </c>
      <c r="K7278" t="str">
        <f>IFERROR(INDEX(Rosters!$C$2:$C$155,MATCH($B7278,Rosters!$B$2:$B$155,0)),"NA")</f>
        <v>NA</v>
      </c>
      <c r="L7278" t="str">
        <f t="shared" si="339"/>
        <v>NA14WR</v>
      </c>
      <c r="M7278">
        <f>COUNTIF(L$1:L7278,L7278)</f>
        <v>128</v>
      </c>
      <c r="N7278" t="str">
        <f t="shared" si="340"/>
        <v>NA14WR-128</v>
      </c>
      <c r="O7278">
        <f>COUNTIFS(F$1:F7278,F7278,A$1:A7278,A7278)</f>
        <v>182</v>
      </c>
      <c r="P7278" t="str">
        <f t="shared" si="341"/>
        <v>Byron Marshall14</v>
      </c>
    </row>
    <row r="7279" spans="1:16" x14ac:dyDescent="0.25">
      <c r="A7279">
        <v>15</v>
      </c>
      <c r="B7279" t="s">
        <v>1147</v>
      </c>
      <c r="C7279" t="s">
        <v>743</v>
      </c>
      <c r="D7279">
        <v>0</v>
      </c>
      <c r="E7279" t="s">
        <v>76</v>
      </c>
      <c r="F7279" t="s">
        <v>87</v>
      </c>
      <c r="G7279">
        <v>0</v>
      </c>
      <c r="H7279">
        <v>0</v>
      </c>
      <c r="I7279">
        <v>0</v>
      </c>
      <c r="J7279">
        <v>0</v>
      </c>
      <c r="K7279" t="str">
        <f>IFERROR(INDEX(Rosters!$C$2:$C$155,MATCH($B7279,Rosters!$B$2:$B$155,0)),"NA")</f>
        <v>NA</v>
      </c>
      <c r="L7279" t="str">
        <f t="shared" si="339"/>
        <v>NA15WR</v>
      </c>
      <c r="M7279">
        <f>COUNTIF(L$1:L7279,L7279)</f>
        <v>128</v>
      </c>
      <c r="N7279" t="str">
        <f t="shared" si="340"/>
        <v>NA15WR-128</v>
      </c>
      <c r="O7279">
        <f>COUNTIFS(F$1:F7279,F7279,A$1:A7279,A7279)</f>
        <v>182</v>
      </c>
      <c r="P7279" t="str">
        <f t="shared" si="341"/>
        <v>Byron Marshall15</v>
      </c>
    </row>
    <row r="7280" spans="1:16" x14ac:dyDescent="0.25">
      <c r="A7280">
        <v>16</v>
      </c>
      <c r="B7280" t="s">
        <v>1147</v>
      </c>
      <c r="C7280" t="s">
        <v>743</v>
      </c>
      <c r="D7280">
        <v>0</v>
      </c>
      <c r="E7280" t="s">
        <v>38</v>
      </c>
      <c r="F7280" t="s">
        <v>87</v>
      </c>
      <c r="G7280">
        <v>0</v>
      </c>
      <c r="H7280">
        <v>0</v>
      </c>
      <c r="I7280">
        <v>0</v>
      </c>
      <c r="J7280">
        <v>0</v>
      </c>
      <c r="K7280" t="str">
        <f>IFERROR(INDEX(Rosters!$C$2:$C$155,MATCH($B7280,Rosters!$B$2:$B$155,0)),"NA")</f>
        <v>NA</v>
      </c>
      <c r="L7280" t="str">
        <f t="shared" si="339"/>
        <v>NA16WR</v>
      </c>
      <c r="M7280">
        <f>COUNTIF(L$1:L7280,L7280)</f>
        <v>128</v>
      </c>
      <c r="N7280" t="str">
        <f t="shared" si="340"/>
        <v>NA16WR-128</v>
      </c>
      <c r="O7280">
        <f>COUNTIFS(F$1:F7280,F7280,A$1:A7280,A7280)</f>
        <v>182</v>
      </c>
      <c r="P7280" t="str">
        <f t="shared" si="341"/>
        <v>Byron Marshall16</v>
      </c>
    </row>
    <row r="7281" spans="1:16" x14ac:dyDescent="0.25">
      <c r="A7281">
        <v>3</v>
      </c>
      <c r="B7281" t="s">
        <v>216</v>
      </c>
      <c r="C7281" t="s">
        <v>743</v>
      </c>
      <c r="D7281">
        <v>0</v>
      </c>
      <c r="E7281" t="s">
        <v>22</v>
      </c>
      <c r="F7281" t="s">
        <v>47</v>
      </c>
      <c r="G7281">
        <v>0</v>
      </c>
      <c r="H7281">
        <v>0</v>
      </c>
      <c r="I7281">
        <v>0</v>
      </c>
      <c r="J7281">
        <v>0</v>
      </c>
      <c r="K7281" t="str">
        <f>IFERROR(INDEX(Rosters!$C$2:$C$155,MATCH($B7281,Rosters!$B$2:$B$155,0)),"NA")</f>
        <v>NA</v>
      </c>
      <c r="L7281" t="str">
        <f t="shared" si="339"/>
        <v>NA3RB</v>
      </c>
      <c r="M7281">
        <f>COUNTIF(L$1:L7281,L7281)</f>
        <v>64</v>
      </c>
      <c r="N7281" t="str">
        <f t="shared" si="340"/>
        <v>NA3RB-64</v>
      </c>
      <c r="O7281">
        <f>COUNTIFS(F$1:F7281,F7281,A$1:A7281,A7281)</f>
        <v>103</v>
      </c>
      <c r="P7281" t="str">
        <f t="shared" si="341"/>
        <v>C.J. Prosise3</v>
      </c>
    </row>
    <row r="7282" spans="1:16" x14ac:dyDescent="0.25">
      <c r="A7282">
        <v>4</v>
      </c>
      <c r="B7282" t="s">
        <v>216</v>
      </c>
      <c r="C7282" t="s">
        <v>743</v>
      </c>
      <c r="D7282">
        <v>0</v>
      </c>
      <c r="E7282" t="s">
        <v>58</v>
      </c>
      <c r="F7282" t="s">
        <v>47</v>
      </c>
      <c r="G7282">
        <v>0</v>
      </c>
      <c r="H7282">
        <v>0</v>
      </c>
      <c r="I7282">
        <v>0</v>
      </c>
      <c r="J7282">
        <v>0</v>
      </c>
      <c r="K7282" t="str">
        <f>IFERROR(INDEX(Rosters!$C$2:$C$155,MATCH($B7282,Rosters!$B$2:$B$155,0)),"NA")</f>
        <v>NA</v>
      </c>
      <c r="L7282" t="str">
        <f t="shared" si="339"/>
        <v>NA4RB</v>
      </c>
      <c r="M7282">
        <f>COUNTIF(L$1:L7282,L7282)</f>
        <v>67</v>
      </c>
      <c r="N7282" t="str">
        <f t="shared" si="340"/>
        <v>NA4RB-67</v>
      </c>
      <c r="O7282">
        <f>COUNTIFS(F$1:F7282,F7282,A$1:A7282,A7282)</f>
        <v>106</v>
      </c>
      <c r="P7282" t="str">
        <f t="shared" si="341"/>
        <v>C.J. Prosise4</v>
      </c>
    </row>
    <row r="7283" spans="1:16" x14ac:dyDescent="0.25">
      <c r="A7283">
        <v>1</v>
      </c>
      <c r="B7283" t="s">
        <v>351</v>
      </c>
      <c r="C7283" t="s">
        <v>743</v>
      </c>
      <c r="D7283">
        <v>0</v>
      </c>
      <c r="E7283" t="s">
        <v>22</v>
      </c>
      <c r="F7283" t="s">
        <v>47</v>
      </c>
      <c r="G7283">
        <v>0</v>
      </c>
      <c r="H7283">
        <v>0</v>
      </c>
      <c r="I7283">
        <v>0</v>
      </c>
      <c r="J7283">
        <v>0</v>
      </c>
      <c r="K7283" t="str">
        <f>IFERROR(INDEX(Rosters!$C$2:$C$155,MATCH($B7283,Rosters!$B$2:$B$155,0)),"NA")</f>
        <v>NA</v>
      </c>
      <c r="L7283" t="str">
        <f t="shared" si="339"/>
        <v>NA1RB</v>
      </c>
      <c r="M7283">
        <f>COUNTIF(L$1:L7283,L7283)</f>
        <v>54</v>
      </c>
      <c r="N7283" t="str">
        <f t="shared" si="340"/>
        <v>NA1RB-54</v>
      </c>
      <c r="O7283">
        <f>COUNTIFS(F$1:F7283,F7283,A$1:A7283,A7283)</f>
        <v>98</v>
      </c>
      <c r="P7283" t="str">
        <f t="shared" si="341"/>
        <v>Cameron Artis-Payne1</v>
      </c>
    </row>
    <row r="7284" spans="1:16" x14ac:dyDescent="0.25">
      <c r="A7284">
        <v>1</v>
      </c>
      <c r="B7284" t="s">
        <v>1367</v>
      </c>
      <c r="C7284" t="s">
        <v>743</v>
      </c>
      <c r="D7284">
        <v>0</v>
      </c>
      <c r="E7284" t="s">
        <v>17</v>
      </c>
      <c r="F7284" t="s">
        <v>87</v>
      </c>
      <c r="G7284">
        <v>0</v>
      </c>
      <c r="H7284">
        <v>0</v>
      </c>
      <c r="I7284">
        <v>0</v>
      </c>
      <c r="J7284">
        <v>0</v>
      </c>
      <c r="K7284" t="str">
        <f>IFERROR(INDEX(Rosters!$C$2:$C$155,MATCH($B7284,Rosters!$B$2:$B$155,0)),"NA")</f>
        <v>NA</v>
      </c>
      <c r="L7284" t="str">
        <f t="shared" si="339"/>
        <v>NA1WR</v>
      </c>
      <c r="M7284">
        <f>COUNTIF(L$1:L7284,L7284)</f>
        <v>89</v>
      </c>
      <c r="N7284" t="str">
        <f t="shared" si="340"/>
        <v>NA1WR-89</v>
      </c>
      <c r="O7284">
        <f>COUNTIFS(F$1:F7284,F7284,A$1:A7284,A7284)</f>
        <v>139</v>
      </c>
      <c r="P7284" t="str">
        <f t="shared" si="341"/>
        <v>Cameron Meredith1</v>
      </c>
    </row>
    <row r="7285" spans="1:16" x14ac:dyDescent="0.25">
      <c r="A7285">
        <v>2</v>
      </c>
      <c r="B7285" t="s">
        <v>1367</v>
      </c>
      <c r="C7285" t="s">
        <v>743</v>
      </c>
      <c r="D7285">
        <v>0</v>
      </c>
      <c r="E7285" t="s">
        <v>52</v>
      </c>
      <c r="F7285" t="s">
        <v>87</v>
      </c>
      <c r="G7285">
        <v>0</v>
      </c>
      <c r="H7285">
        <v>0</v>
      </c>
      <c r="I7285">
        <v>0</v>
      </c>
      <c r="J7285">
        <v>0</v>
      </c>
      <c r="K7285" t="str">
        <f>IFERROR(INDEX(Rosters!$C$2:$C$155,MATCH($B7285,Rosters!$B$2:$B$155,0)),"NA")</f>
        <v>NA</v>
      </c>
      <c r="L7285" t="str">
        <f t="shared" si="339"/>
        <v>NA2WR</v>
      </c>
      <c r="M7285">
        <f>COUNTIF(L$1:L7285,L7285)</f>
        <v>97</v>
      </c>
      <c r="N7285" t="str">
        <f t="shared" si="340"/>
        <v>NA2WR-97</v>
      </c>
      <c r="O7285">
        <f>COUNTIFS(F$1:F7285,F7285,A$1:A7285,A7285)</f>
        <v>147</v>
      </c>
      <c r="P7285" t="str">
        <f t="shared" si="341"/>
        <v>Cameron Meredith2</v>
      </c>
    </row>
    <row r="7286" spans="1:16" x14ac:dyDescent="0.25">
      <c r="A7286">
        <v>1</v>
      </c>
      <c r="B7286" t="s">
        <v>80</v>
      </c>
      <c r="C7286" t="s">
        <v>743</v>
      </c>
      <c r="D7286">
        <v>0</v>
      </c>
      <c r="E7286" t="s">
        <v>46</v>
      </c>
      <c r="F7286" t="s">
        <v>15</v>
      </c>
      <c r="G7286">
        <v>0</v>
      </c>
      <c r="H7286">
        <v>0</v>
      </c>
      <c r="I7286">
        <v>0</v>
      </c>
      <c r="J7286">
        <v>0</v>
      </c>
      <c r="K7286" t="str">
        <f>IFERROR(INDEX(Rosters!$C$2:$C$155,MATCH($B7286,Rosters!$B$2:$B$155,0)),"NA")</f>
        <v>perry</v>
      </c>
      <c r="L7286" t="str">
        <f t="shared" si="339"/>
        <v>perry1QB</v>
      </c>
      <c r="M7286">
        <f>COUNTIF(L$1:L7286,L7286)</f>
        <v>2</v>
      </c>
      <c r="N7286" t="str">
        <f t="shared" si="340"/>
        <v>perry1QB-2</v>
      </c>
      <c r="O7286">
        <f>COUNTIFS(F$1:F7286,F7286,A$1:A7286,A7286)</f>
        <v>58</v>
      </c>
      <c r="P7286" t="str">
        <f t="shared" si="341"/>
        <v>Carson Wentz1</v>
      </c>
    </row>
    <row r="7287" spans="1:16" x14ac:dyDescent="0.25">
      <c r="A7287">
        <v>2</v>
      </c>
      <c r="B7287" t="s">
        <v>80</v>
      </c>
      <c r="C7287" t="s">
        <v>743</v>
      </c>
      <c r="D7287">
        <v>0</v>
      </c>
      <c r="E7287" t="s">
        <v>17</v>
      </c>
      <c r="F7287" t="s">
        <v>15</v>
      </c>
      <c r="G7287">
        <v>0</v>
      </c>
      <c r="H7287">
        <v>0</v>
      </c>
      <c r="I7287">
        <v>0</v>
      </c>
      <c r="J7287">
        <v>0</v>
      </c>
      <c r="K7287" t="str">
        <f>IFERROR(INDEX(Rosters!$C$2:$C$155,MATCH($B7287,Rosters!$B$2:$B$155,0)),"NA")</f>
        <v>perry</v>
      </c>
      <c r="L7287" t="str">
        <f t="shared" si="339"/>
        <v>perry2QB</v>
      </c>
      <c r="M7287">
        <f>COUNTIF(L$1:L7287,L7287)</f>
        <v>2</v>
      </c>
      <c r="N7287" t="str">
        <f t="shared" si="340"/>
        <v>perry2QB-2</v>
      </c>
      <c r="O7287">
        <f>COUNTIFS(F$1:F7287,F7287,A$1:A7287,A7287)</f>
        <v>57</v>
      </c>
      <c r="P7287" t="str">
        <f t="shared" si="341"/>
        <v>Carson Wentz2</v>
      </c>
    </row>
    <row r="7288" spans="1:16" x14ac:dyDescent="0.25">
      <c r="A7288">
        <v>1</v>
      </c>
      <c r="B7288" t="s">
        <v>1621</v>
      </c>
      <c r="C7288" t="s">
        <v>743</v>
      </c>
      <c r="D7288">
        <v>0</v>
      </c>
      <c r="E7288" t="s">
        <v>66</v>
      </c>
      <c r="F7288" t="s">
        <v>114</v>
      </c>
      <c r="G7288">
        <v>0</v>
      </c>
      <c r="H7288">
        <v>0</v>
      </c>
      <c r="I7288">
        <v>0</v>
      </c>
      <c r="J7288">
        <v>0</v>
      </c>
      <c r="K7288" t="str">
        <f>IFERROR(INDEX(Rosters!$C$2:$C$155,MATCH($B7288,Rosters!$B$2:$B$155,0)),"NA")</f>
        <v>NA</v>
      </c>
      <c r="L7288" t="str">
        <f t="shared" si="339"/>
        <v>NA1TE</v>
      </c>
      <c r="M7288">
        <f>COUNTIF(L$1:L7288,L7288)</f>
        <v>65</v>
      </c>
      <c r="N7288" t="str">
        <f t="shared" si="340"/>
        <v>NA1TE-65</v>
      </c>
      <c r="O7288">
        <f>COUNTIFS(F$1:F7288,F7288,A$1:A7288,A7288)</f>
        <v>78</v>
      </c>
      <c r="P7288" t="str">
        <f t="shared" si="341"/>
        <v>Cethan Carter1</v>
      </c>
    </row>
    <row r="7289" spans="1:16" x14ac:dyDescent="0.25">
      <c r="A7289">
        <v>2</v>
      </c>
      <c r="B7289" t="s">
        <v>1621</v>
      </c>
      <c r="C7289" t="s">
        <v>743</v>
      </c>
      <c r="D7289">
        <v>0</v>
      </c>
      <c r="E7289" t="s">
        <v>77</v>
      </c>
      <c r="F7289" t="s">
        <v>114</v>
      </c>
      <c r="G7289">
        <v>0</v>
      </c>
      <c r="H7289">
        <v>0</v>
      </c>
      <c r="I7289">
        <v>0</v>
      </c>
      <c r="J7289">
        <v>0</v>
      </c>
      <c r="K7289" t="str">
        <f>IFERROR(INDEX(Rosters!$C$2:$C$155,MATCH($B7289,Rosters!$B$2:$B$155,0)),"NA")</f>
        <v>NA</v>
      </c>
      <c r="L7289" t="str">
        <f t="shared" si="339"/>
        <v>NA2TE</v>
      </c>
      <c r="M7289">
        <f>COUNTIF(L$1:L7289,L7289)</f>
        <v>75</v>
      </c>
      <c r="N7289" t="str">
        <f t="shared" si="340"/>
        <v>NA2TE-75</v>
      </c>
      <c r="O7289">
        <f>COUNTIFS(F$1:F7289,F7289,A$1:A7289,A7289)</f>
        <v>88</v>
      </c>
      <c r="P7289" t="str">
        <f t="shared" si="341"/>
        <v>Cethan Carter2</v>
      </c>
    </row>
    <row r="7290" spans="1:16" x14ac:dyDescent="0.25">
      <c r="A7290">
        <v>4</v>
      </c>
      <c r="B7290" t="s">
        <v>1126</v>
      </c>
      <c r="C7290" t="s">
        <v>743</v>
      </c>
      <c r="D7290">
        <v>0</v>
      </c>
      <c r="E7290" t="s">
        <v>76</v>
      </c>
      <c r="F7290" t="s">
        <v>87</v>
      </c>
      <c r="G7290">
        <v>0</v>
      </c>
      <c r="H7290">
        <v>0</v>
      </c>
      <c r="I7290">
        <v>0</v>
      </c>
      <c r="J7290">
        <v>0</v>
      </c>
      <c r="K7290" t="str">
        <f>IFERROR(INDEX(Rosters!$C$2:$C$155,MATCH($B7290,Rosters!$B$2:$B$155,0)),"NA")</f>
        <v>NA</v>
      </c>
      <c r="L7290" t="str">
        <f t="shared" si="339"/>
        <v>NA4WR</v>
      </c>
      <c r="M7290">
        <f>COUNTIF(L$1:L7290,L7290)</f>
        <v>102</v>
      </c>
      <c r="N7290" t="str">
        <f t="shared" si="340"/>
        <v>NA4WR-102</v>
      </c>
      <c r="O7290">
        <f>COUNTIFS(F$1:F7290,F7290,A$1:A7290,A7290)</f>
        <v>152</v>
      </c>
      <c r="P7290" t="str">
        <f t="shared" si="341"/>
        <v>Charone Peake4</v>
      </c>
    </row>
    <row r="7291" spans="1:16" x14ac:dyDescent="0.25">
      <c r="A7291">
        <v>4</v>
      </c>
      <c r="B7291" t="s">
        <v>834</v>
      </c>
      <c r="C7291" t="s">
        <v>743</v>
      </c>
      <c r="D7291">
        <v>0</v>
      </c>
      <c r="E7291" t="s">
        <v>58</v>
      </c>
      <c r="F7291" t="s">
        <v>47</v>
      </c>
      <c r="G7291">
        <v>0</v>
      </c>
      <c r="H7291">
        <v>0</v>
      </c>
      <c r="I7291">
        <v>0</v>
      </c>
      <c r="J7291">
        <v>0</v>
      </c>
      <c r="K7291" t="str">
        <f>IFERROR(INDEX(Rosters!$C$2:$C$155,MATCH($B7291,Rosters!$B$2:$B$155,0)),"NA")</f>
        <v>lucas</v>
      </c>
      <c r="L7291" t="str">
        <f t="shared" si="339"/>
        <v>lucas4RB</v>
      </c>
      <c r="M7291">
        <f>COUNTIF(L$1:L7291,L7291)</f>
        <v>4</v>
      </c>
      <c r="N7291" t="str">
        <f t="shared" si="340"/>
        <v>lucas4RB-4</v>
      </c>
      <c r="O7291">
        <f>COUNTIFS(F$1:F7291,F7291,A$1:A7291,A7291)</f>
        <v>107</v>
      </c>
      <c r="P7291" t="str">
        <f t="shared" si="341"/>
        <v>Chris Carson4</v>
      </c>
    </row>
    <row r="7292" spans="1:16" x14ac:dyDescent="0.25">
      <c r="A7292">
        <v>1</v>
      </c>
      <c r="B7292" t="s">
        <v>342</v>
      </c>
      <c r="C7292" t="s">
        <v>743</v>
      </c>
      <c r="D7292">
        <v>0</v>
      </c>
      <c r="E7292" t="s">
        <v>66</v>
      </c>
      <c r="F7292" t="s">
        <v>87</v>
      </c>
      <c r="G7292">
        <v>0</v>
      </c>
      <c r="H7292">
        <v>0</v>
      </c>
      <c r="I7292">
        <v>0</v>
      </c>
      <c r="J7292">
        <v>0</v>
      </c>
      <c r="K7292" t="str">
        <f>IFERROR(INDEX(Rosters!$C$2:$C$155,MATCH($B7292,Rosters!$B$2:$B$155,0)),"NA")</f>
        <v>NA</v>
      </c>
      <c r="L7292" t="str">
        <f t="shared" si="339"/>
        <v>NA1WR</v>
      </c>
      <c r="M7292">
        <f>COUNTIF(L$1:L7292,L7292)</f>
        <v>90</v>
      </c>
      <c r="N7292" t="str">
        <f t="shared" si="340"/>
        <v>NA1WR-90</v>
      </c>
      <c r="O7292">
        <f>COUNTIFS(F$1:F7292,F7292,A$1:A7292,A7292)</f>
        <v>140</v>
      </c>
      <c r="P7292" t="str">
        <f t="shared" si="341"/>
        <v>Cody Core1</v>
      </c>
    </row>
    <row r="7293" spans="1:16" x14ac:dyDescent="0.25">
      <c r="A7293">
        <v>2</v>
      </c>
      <c r="B7293" t="s">
        <v>342</v>
      </c>
      <c r="C7293" t="s">
        <v>743</v>
      </c>
      <c r="D7293">
        <v>0</v>
      </c>
      <c r="E7293" t="s">
        <v>77</v>
      </c>
      <c r="F7293" t="s">
        <v>87</v>
      </c>
      <c r="G7293">
        <v>0</v>
      </c>
      <c r="H7293">
        <v>0</v>
      </c>
      <c r="I7293">
        <v>0</v>
      </c>
      <c r="J7293">
        <v>0</v>
      </c>
      <c r="K7293" t="str">
        <f>IFERROR(INDEX(Rosters!$C$2:$C$155,MATCH($B7293,Rosters!$B$2:$B$155,0)),"NA")</f>
        <v>NA</v>
      </c>
      <c r="L7293" t="str">
        <f t="shared" si="339"/>
        <v>NA2WR</v>
      </c>
      <c r="M7293">
        <f>COUNTIF(L$1:L7293,L7293)</f>
        <v>98</v>
      </c>
      <c r="N7293" t="str">
        <f t="shared" si="340"/>
        <v>NA2WR-98</v>
      </c>
      <c r="O7293">
        <f>COUNTIFS(F$1:F7293,F7293,A$1:A7293,A7293)</f>
        <v>148</v>
      </c>
      <c r="P7293" t="str">
        <f t="shared" si="341"/>
        <v>Cody Core2</v>
      </c>
    </row>
    <row r="7294" spans="1:16" x14ac:dyDescent="0.25">
      <c r="A7294">
        <v>4</v>
      </c>
      <c r="B7294" t="s">
        <v>373</v>
      </c>
      <c r="C7294" t="s">
        <v>743</v>
      </c>
      <c r="D7294">
        <v>0</v>
      </c>
      <c r="E7294" t="s">
        <v>14</v>
      </c>
      <c r="F7294" t="s">
        <v>87</v>
      </c>
      <c r="G7294">
        <v>0</v>
      </c>
      <c r="H7294">
        <v>0</v>
      </c>
      <c r="I7294">
        <v>0</v>
      </c>
      <c r="J7294">
        <v>0</v>
      </c>
      <c r="K7294" t="str">
        <f>IFERROR(INDEX(Rosters!$C$2:$C$155,MATCH($B7294,Rosters!$B$2:$B$155,0)),"NA")</f>
        <v>NA</v>
      </c>
      <c r="L7294" t="str">
        <f t="shared" si="339"/>
        <v>NA4WR</v>
      </c>
      <c r="M7294">
        <f>COUNTIF(L$1:L7294,L7294)</f>
        <v>103</v>
      </c>
      <c r="N7294" t="str">
        <f t="shared" si="340"/>
        <v>NA4WR-103</v>
      </c>
      <c r="O7294">
        <f>COUNTIFS(F$1:F7294,F7294,A$1:A7294,A7294)</f>
        <v>153</v>
      </c>
      <c r="P7294" t="str">
        <f t="shared" si="341"/>
        <v>Cody Latimer4</v>
      </c>
    </row>
    <row r="7295" spans="1:16" x14ac:dyDescent="0.25">
      <c r="A7295">
        <v>4</v>
      </c>
      <c r="B7295" t="s">
        <v>1387</v>
      </c>
      <c r="C7295" t="s">
        <v>743</v>
      </c>
      <c r="D7295">
        <v>0</v>
      </c>
      <c r="E7295" t="s">
        <v>38</v>
      </c>
      <c r="F7295" t="s">
        <v>47</v>
      </c>
      <c r="G7295">
        <v>0</v>
      </c>
      <c r="H7295">
        <v>0</v>
      </c>
      <c r="I7295">
        <v>0</v>
      </c>
      <c r="J7295">
        <v>0</v>
      </c>
      <c r="K7295" t="str">
        <f>IFERROR(INDEX(Rosters!$C$2:$C$155,MATCH($B7295,Rosters!$B$2:$B$155,0)),"NA")</f>
        <v>NA</v>
      </c>
      <c r="L7295" t="str">
        <f t="shared" si="339"/>
        <v>NA4RB</v>
      </c>
      <c r="M7295">
        <f>COUNTIF(L$1:L7295,L7295)</f>
        <v>68</v>
      </c>
      <c r="N7295" t="str">
        <f t="shared" si="340"/>
        <v>NA4RB-68</v>
      </c>
      <c r="O7295">
        <f>COUNTIFS(F$1:F7295,F7295,A$1:A7295,A7295)</f>
        <v>108</v>
      </c>
      <c r="P7295" t="str">
        <f t="shared" si="341"/>
        <v>Corey Clement4</v>
      </c>
    </row>
    <row r="7296" spans="1:16" x14ac:dyDescent="0.25">
      <c r="A7296">
        <v>1</v>
      </c>
      <c r="B7296" t="s">
        <v>233</v>
      </c>
      <c r="C7296" t="s">
        <v>743</v>
      </c>
      <c r="D7296">
        <v>0</v>
      </c>
      <c r="E7296" t="s">
        <v>22</v>
      </c>
      <c r="F7296" t="s">
        <v>87</v>
      </c>
      <c r="G7296">
        <v>0</v>
      </c>
      <c r="H7296">
        <v>0</v>
      </c>
      <c r="I7296">
        <v>0</v>
      </c>
      <c r="J7296">
        <v>0</v>
      </c>
      <c r="K7296" t="str">
        <f>IFERROR(INDEX(Rosters!$C$2:$C$155,MATCH($B7296,Rosters!$B$2:$B$155,0)),"NA")</f>
        <v>NA</v>
      </c>
      <c r="L7296" t="str">
        <f t="shared" si="339"/>
        <v>NA1WR</v>
      </c>
      <c r="M7296">
        <f>COUNTIF(L$1:L7296,L7296)</f>
        <v>91</v>
      </c>
      <c r="N7296" t="str">
        <f t="shared" si="340"/>
        <v>NA1WR-91</v>
      </c>
      <c r="O7296">
        <f>COUNTIFS(F$1:F7296,F7296,A$1:A7296,A7296)</f>
        <v>141</v>
      </c>
      <c r="P7296" t="str">
        <f t="shared" si="341"/>
        <v>Curtis Samuel1</v>
      </c>
    </row>
    <row r="7297" spans="1:16" x14ac:dyDescent="0.25">
      <c r="A7297">
        <v>2</v>
      </c>
      <c r="B7297" t="s">
        <v>233</v>
      </c>
      <c r="C7297" t="s">
        <v>743</v>
      </c>
      <c r="D7297">
        <v>0</v>
      </c>
      <c r="E7297" t="s">
        <v>46</v>
      </c>
      <c r="F7297" t="s">
        <v>87</v>
      </c>
      <c r="G7297">
        <v>0</v>
      </c>
      <c r="H7297">
        <v>0</v>
      </c>
      <c r="I7297">
        <v>0</v>
      </c>
      <c r="J7297">
        <v>0</v>
      </c>
      <c r="K7297" t="str">
        <f>IFERROR(INDEX(Rosters!$C$2:$C$155,MATCH($B7297,Rosters!$B$2:$B$155,0)),"NA")</f>
        <v>NA</v>
      </c>
      <c r="L7297" t="str">
        <f t="shared" si="339"/>
        <v>NA2WR</v>
      </c>
      <c r="M7297">
        <f>COUNTIF(L$1:L7297,L7297)</f>
        <v>99</v>
      </c>
      <c r="N7297" t="str">
        <f t="shared" si="340"/>
        <v>NA2WR-99</v>
      </c>
      <c r="O7297">
        <f>COUNTIFS(F$1:F7297,F7297,A$1:A7297,A7297)</f>
        <v>149</v>
      </c>
      <c r="P7297" t="str">
        <f t="shared" si="341"/>
        <v>Curtis Samuel2</v>
      </c>
    </row>
    <row r="7298" spans="1:16" x14ac:dyDescent="0.25">
      <c r="A7298">
        <v>3</v>
      </c>
      <c r="B7298" t="s">
        <v>233</v>
      </c>
      <c r="C7298" t="s">
        <v>743</v>
      </c>
      <c r="D7298">
        <v>0</v>
      </c>
      <c r="E7298" t="s">
        <v>31</v>
      </c>
      <c r="F7298" t="s">
        <v>87</v>
      </c>
      <c r="G7298">
        <v>0</v>
      </c>
      <c r="H7298">
        <v>0</v>
      </c>
      <c r="I7298">
        <v>0</v>
      </c>
      <c r="J7298">
        <v>0</v>
      </c>
      <c r="K7298" t="str">
        <f>IFERROR(INDEX(Rosters!$C$2:$C$155,MATCH($B7298,Rosters!$B$2:$B$155,0)),"NA")</f>
        <v>NA</v>
      </c>
      <c r="L7298" t="str">
        <f t="shared" si="339"/>
        <v>NA3WR</v>
      </c>
      <c r="M7298">
        <f>COUNTIF(L$1:L7298,L7298)</f>
        <v>104</v>
      </c>
      <c r="N7298" t="str">
        <f t="shared" si="340"/>
        <v>NA3WR-104</v>
      </c>
      <c r="O7298">
        <f>COUNTIFS(F$1:F7298,F7298,A$1:A7298,A7298)</f>
        <v>154</v>
      </c>
      <c r="P7298" t="str">
        <f t="shared" si="341"/>
        <v>Curtis Samuel3</v>
      </c>
    </row>
    <row r="7299" spans="1:16" x14ac:dyDescent="0.25">
      <c r="A7299">
        <v>1</v>
      </c>
      <c r="B7299" t="s">
        <v>260</v>
      </c>
      <c r="C7299" t="s">
        <v>743</v>
      </c>
      <c r="D7299">
        <v>0</v>
      </c>
      <c r="E7299" t="s">
        <v>423</v>
      </c>
      <c r="F7299" t="s">
        <v>47</v>
      </c>
      <c r="G7299">
        <v>0</v>
      </c>
      <c r="H7299">
        <v>0</v>
      </c>
      <c r="I7299">
        <v>0</v>
      </c>
      <c r="J7299">
        <v>0</v>
      </c>
      <c r="K7299" t="str">
        <f>IFERROR(INDEX(Rosters!$C$2:$C$155,MATCH($B7299,Rosters!$B$2:$B$155,0)),"NA")</f>
        <v>NA</v>
      </c>
      <c r="L7299" t="str">
        <f t="shared" ref="L7299:L7362" si="342">K7299&amp;A7299&amp;F7299</f>
        <v>NA1RB</v>
      </c>
      <c r="M7299">
        <f>COUNTIF(L$1:L7299,L7299)</f>
        <v>55</v>
      </c>
      <c r="N7299" t="str">
        <f t="shared" ref="N7299:N7362" si="343">L7299&amp;"-"&amp;M7299</f>
        <v>NA1RB-55</v>
      </c>
      <c r="O7299">
        <f>COUNTIFS(F$1:F7299,F7299,A$1:A7299,A7299)</f>
        <v>99</v>
      </c>
      <c r="P7299" t="str">
        <f t="shared" ref="P7299:P7362" si="344">B7299&amp;A7299</f>
        <v>D'Onta Foreman1</v>
      </c>
    </row>
    <row r="7300" spans="1:16" x14ac:dyDescent="0.25">
      <c r="A7300">
        <v>2</v>
      </c>
      <c r="B7300" t="s">
        <v>260</v>
      </c>
      <c r="C7300" t="s">
        <v>743</v>
      </c>
      <c r="D7300">
        <v>0</v>
      </c>
      <c r="E7300" t="s">
        <v>38</v>
      </c>
      <c r="F7300" t="s">
        <v>47</v>
      </c>
      <c r="G7300">
        <v>0</v>
      </c>
      <c r="H7300">
        <v>0</v>
      </c>
      <c r="I7300">
        <v>0</v>
      </c>
      <c r="J7300">
        <v>0</v>
      </c>
      <c r="K7300" t="str">
        <f>IFERROR(INDEX(Rosters!$C$2:$C$155,MATCH($B7300,Rosters!$B$2:$B$155,0)),"NA")</f>
        <v>NA</v>
      </c>
      <c r="L7300" t="str">
        <f t="shared" si="342"/>
        <v>NA2RB</v>
      </c>
      <c r="M7300">
        <f>COUNTIF(L$1:L7300,L7300)</f>
        <v>61</v>
      </c>
      <c r="N7300" t="str">
        <f t="shared" si="343"/>
        <v>NA2RB-61</v>
      </c>
      <c r="O7300">
        <f>COUNTIFS(F$1:F7300,F7300,A$1:A7300,A7300)</f>
        <v>104</v>
      </c>
      <c r="P7300" t="str">
        <f t="shared" si="344"/>
        <v>D'Onta Foreman2</v>
      </c>
    </row>
    <row r="7301" spans="1:16" x14ac:dyDescent="0.25">
      <c r="A7301">
        <v>3</v>
      </c>
      <c r="B7301" t="s">
        <v>260</v>
      </c>
      <c r="C7301" t="s">
        <v>743</v>
      </c>
      <c r="D7301">
        <v>0</v>
      </c>
      <c r="E7301" t="s">
        <v>54</v>
      </c>
      <c r="F7301" t="s">
        <v>47</v>
      </c>
      <c r="G7301">
        <v>0</v>
      </c>
      <c r="H7301">
        <v>0</v>
      </c>
      <c r="I7301">
        <v>0</v>
      </c>
      <c r="J7301">
        <v>0</v>
      </c>
      <c r="K7301" t="str">
        <f>IFERROR(INDEX(Rosters!$C$2:$C$155,MATCH($B7301,Rosters!$B$2:$B$155,0)),"NA")</f>
        <v>NA</v>
      </c>
      <c r="L7301" t="str">
        <f t="shared" si="342"/>
        <v>NA3RB</v>
      </c>
      <c r="M7301">
        <f>COUNTIF(L$1:L7301,L7301)</f>
        <v>65</v>
      </c>
      <c r="N7301" t="str">
        <f t="shared" si="343"/>
        <v>NA3RB-65</v>
      </c>
      <c r="O7301">
        <f>COUNTIFS(F$1:F7301,F7301,A$1:A7301,A7301)</f>
        <v>104</v>
      </c>
      <c r="P7301" t="str">
        <f t="shared" si="344"/>
        <v>D'Onta Foreman3</v>
      </c>
    </row>
    <row r="7302" spans="1:16" x14ac:dyDescent="0.25">
      <c r="A7302">
        <v>4</v>
      </c>
      <c r="B7302" t="s">
        <v>260</v>
      </c>
      <c r="C7302" t="s">
        <v>743</v>
      </c>
      <c r="D7302">
        <v>0</v>
      </c>
      <c r="E7302" t="s">
        <v>66</v>
      </c>
      <c r="F7302" t="s">
        <v>47</v>
      </c>
      <c r="G7302">
        <v>0</v>
      </c>
      <c r="H7302">
        <v>0</v>
      </c>
      <c r="I7302">
        <v>0</v>
      </c>
      <c r="J7302">
        <v>0</v>
      </c>
      <c r="K7302" t="str">
        <f>IFERROR(INDEX(Rosters!$C$2:$C$155,MATCH($B7302,Rosters!$B$2:$B$155,0)),"NA")</f>
        <v>NA</v>
      </c>
      <c r="L7302" t="str">
        <f t="shared" si="342"/>
        <v>NA4RB</v>
      </c>
      <c r="M7302">
        <f>COUNTIF(L$1:L7302,L7302)</f>
        <v>69</v>
      </c>
      <c r="N7302" t="str">
        <f t="shared" si="343"/>
        <v>NA4RB-69</v>
      </c>
      <c r="O7302">
        <f>COUNTIFS(F$1:F7302,F7302,A$1:A7302,A7302)</f>
        <v>109</v>
      </c>
      <c r="P7302" t="str">
        <f t="shared" si="344"/>
        <v>D'Onta Foreman4</v>
      </c>
    </row>
    <row r="7303" spans="1:16" x14ac:dyDescent="0.25">
      <c r="A7303">
        <v>5</v>
      </c>
      <c r="B7303" t="s">
        <v>260</v>
      </c>
      <c r="C7303" t="s">
        <v>743</v>
      </c>
      <c r="D7303">
        <v>0</v>
      </c>
      <c r="E7303" t="s">
        <v>22</v>
      </c>
      <c r="F7303" t="s">
        <v>47</v>
      </c>
      <c r="G7303">
        <v>0</v>
      </c>
      <c r="H7303">
        <v>0</v>
      </c>
      <c r="I7303">
        <v>0</v>
      </c>
      <c r="J7303">
        <v>0</v>
      </c>
      <c r="K7303" t="str">
        <f>IFERROR(INDEX(Rosters!$C$2:$C$155,MATCH($B7303,Rosters!$B$2:$B$155,0)),"NA")</f>
        <v>NA</v>
      </c>
      <c r="L7303" t="str">
        <f t="shared" si="342"/>
        <v>NA5RB</v>
      </c>
      <c r="M7303">
        <f>COUNTIF(L$1:L7303,L7303)</f>
        <v>76</v>
      </c>
      <c r="N7303" t="str">
        <f t="shared" si="343"/>
        <v>NA5RB-76</v>
      </c>
      <c r="O7303">
        <f>COUNTIFS(F$1:F7303,F7303,A$1:A7303,A7303)</f>
        <v>119</v>
      </c>
      <c r="P7303" t="str">
        <f t="shared" si="344"/>
        <v>D'Onta Foreman5</v>
      </c>
    </row>
    <row r="7304" spans="1:16" x14ac:dyDescent="0.25">
      <c r="A7304">
        <v>3</v>
      </c>
      <c r="B7304" t="s">
        <v>127</v>
      </c>
      <c r="C7304" t="s">
        <v>743</v>
      </c>
      <c r="D7304">
        <v>0</v>
      </c>
      <c r="E7304" t="s">
        <v>29</v>
      </c>
      <c r="F7304" t="s">
        <v>47</v>
      </c>
      <c r="G7304">
        <v>0</v>
      </c>
      <c r="H7304">
        <v>0</v>
      </c>
      <c r="I7304">
        <v>0</v>
      </c>
      <c r="J7304">
        <v>0</v>
      </c>
      <c r="K7304" t="str">
        <f>IFERROR(INDEX(Rosters!$C$2:$C$155,MATCH($B7304,Rosters!$B$2:$B$155,0)),"NA")</f>
        <v>aj</v>
      </c>
      <c r="L7304" t="str">
        <f t="shared" si="342"/>
        <v>aj3RB</v>
      </c>
      <c r="M7304">
        <f>COUNTIF(L$1:L7304,L7304)</f>
        <v>3</v>
      </c>
      <c r="N7304" t="str">
        <f t="shared" si="343"/>
        <v>aj3RB-3</v>
      </c>
      <c r="O7304">
        <f>COUNTIFS(F$1:F7304,F7304,A$1:A7304,A7304)</f>
        <v>105</v>
      </c>
      <c r="P7304" t="str">
        <f t="shared" si="344"/>
        <v>Dalvin Cook3</v>
      </c>
    </row>
    <row r="7305" spans="1:16" x14ac:dyDescent="0.25">
      <c r="A7305">
        <v>2</v>
      </c>
      <c r="B7305" t="s">
        <v>1128</v>
      </c>
      <c r="C7305" t="s">
        <v>743</v>
      </c>
      <c r="D7305">
        <v>0</v>
      </c>
      <c r="E7305" t="s">
        <v>46</v>
      </c>
      <c r="F7305" t="s">
        <v>87</v>
      </c>
      <c r="G7305">
        <v>0</v>
      </c>
      <c r="H7305">
        <v>0</v>
      </c>
      <c r="I7305">
        <v>0</v>
      </c>
      <c r="J7305">
        <v>0</v>
      </c>
      <c r="K7305" t="str">
        <f>IFERROR(INDEX(Rosters!$C$2:$C$155,MATCH($B7305,Rosters!$B$2:$B$155,0)),"NA")</f>
        <v>NA</v>
      </c>
      <c r="L7305" t="str">
        <f t="shared" si="342"/>
        <v>NA2WR</v>
      </c>
      <c r="M7305">
        <f>COUNTIF(L$1:L7305,L7305)</f>
        <v>100</v>
      </c>
      <c r="N7305" t="str">
        <f t="shared" si="343"/>
        <v>NA2WR-100</v>
      </c>
      <c r="O7305">
        <f>COUNTIFS(F$1:F7305,F7305,A$1:A7305,A7305)</f>
        <v>150</v>
      </c>
      <c r="P7305" t="str">
        <f t="shared" si="344"/>
        <v>Damiere Byrd2</v>
      </c>
    </row>
    <row r="7306" spans="1:16" x14ac:dyDescent="0.25">
      <c r="A7306">
        <v>3</v>
      </c>
      <c r="B7306" t="s">
        <v>1128</v>
      </c>
      <c r="C7306" t="s">
        <v>743</v>
      </c>
      <c r="D7306">
        <v>0</v>
      </c>
      <c r="E7306" t="s">
        <v>31</v>
      </c>
      <c r="F7306" t="s">
        <v>87</v>
      </c>
      <c r="G7306">
        <v>0</v>
      </c>
      <c r="H7306">
        <v>0</v>
      </c>
      <c r="I7306">
        <v>0</v>
      </c>
      <c r="J7306">
        <v>0</v>
      </c>
      <c r="K7306" t="str">
        <f>IFERROR(INDEX(Rosters!$C$2:$C$155,MATCH($B7306,Rosters!$B$2:$B$155,0)),"NA")</f>
        <v>NA</v>
      </c>
      <c r="L7306" t="str">
        <f t="shared" si="342"/>
        <v>NA3WR</v>
      </c>
      <c r="M7306">
        <f>COUNTIF(L$1:L7306,L7306)</f>
        <v>105</v>
      </c>
      <c r="N7306" t="str">
        <f t="shared" si="343"/>
        <v>NA3WR-105</v>
      </c>
      <c r="O7306">
        <f>COUNTIFS(F$1:F7306,F7306,A$1:A7306,A7306)</f>
        <v>155</v>
      </c>
      <c r="P7306" t="str">
        <f t="shared" si="344"/>
        <v>Damiere Byrd3</v>
      </c>
    </row>
    <row r="7307" spans="1:16" x14ac:dyDescent="0.25">
      <c r="A7307">
        <v>1</v>
      </c>
      <c r="B7307" t="s">
        <v>1559</v>
      </c>
      <c r="C7307" t="s">
        <v>743</v>
      </c>
      <c r="D7307">
        <v>0</v>
      </c>
      <c r="E7307" t="s">
        <v>41</v>
      </c>
      <c r="F7307" t="s">
        <v>114</v>
      </c>
      <c r="G7307">
        <v>0</v>
      </c>
      <c r="H7307">
        <v>0</v>
      </c>
      <c r="I7307">
        <v>0</v>
      </c>
      <c r="J7307">
        <v>0</v>
      </c>
      <c r="K7307" t="str">
        <f>IFERROR(INDEX(Rosters!$C$2:$C$155,MATCH($B7307,Rosters!$B$2:$B$155,0)),"NA")</f>
        <v>NA</v>
      </c>
      <c r="L7307" t="str">
        <f t="shared" si="342"/>
        <v>NA1TE</v>
      </c>
      <c r="M7307">
        <f>COUNTIF(L$1:L7307,L7307)</f>
        <v>66</v>
      </c>
      <c r="N7307" t="str">
        <f t="shared" si="343"/>
        <v>NA1TE-66</v>
      </c>
      <c r="O7307">
        <f>COUNTIFS(F$1:F7307,F7307,A$1:A7307,A7307)</f>
        <v>79</v>
      </c>
      <c r="P7307" t="str">
        <f t="shared" si="344"/>
        <v>Daniel Brown1</v>
      </c>
    </row>
    <row r="7308" spans="1:16" x14ac:dyDescent="0.25">
      <c r="A7308">
        <v>5</v>
      </c>
      <c r="B7308" t="s">
        <v>4204</v>
      </c>
      <c r="C7308" t="s">
        <v>743</v>
      </c>
      <c r="D7308">
        <v>0</v>
      </c>
      <c r="E7308" t="s">
        <v>58</v>
      </c>
      <c r="F7308" t="s">
        <v>87</v>
      </c>
      <c r="G7308">
        <v>0</v>
      </c>
      <c r="H7308">
        <v>0</v>
      </c>
      <c r="I7308">
        <v>0</v>
      </c>
      <c r="J7308">
        <v>0</v>
      </c>
      <c r="K7308" t="str">
        <f>IFERROR(INDEX(Rosters!$C$2:$C$155,MATCH($B7308,Rosters!$B$2:$B$155,0)),"NA")</f>
        <v>NA</v>
      </c>
      <c r="L7308" t="str">
        <f t="shared" si="342"/>
        <v>NA5WR</v>
      </c>
      <c r="M7308">
        <f>COUNTIF(L$1:L7308,L7308)</f>
        <v>115</v>
      </c>
      <c r="N7308" t="str">
        <f t="shared" si="343"/>
        <v>NA5WR-115</v>
      </c>
      <c r="O7308">
        <f>COUNTIFS(F$1:F7308,F7308,A$1:A7308,A7308)</f>
        <v>165</v>
      </c>
      <c r="P7308" t="str">
        <f t="shared" si="344"/>
        <v>Dante Pettis5</v>
      </c>
    </row>
    <row r="7309" spans="1:16" x14ac:dyDescent="0.25">
      <c r="A7309">
        <v>2</v>
      </c>
      <c r="B7309" t="s">
        <v>1122</v>
      </c>
      <c r="C7309" t="s">
        <v>743</v>
      </c>
      <c r="D7309">
        <v>0</v>
      </c>
      <c r="E7309" t="s">
        <v>17</v>
      </c>
      <c r="F7309" t="s">
        <v>47</v>
      </c>
      <c r="G7309">
        <v>0</v>
      </c>
      <c r="H7309">
        <v>0</v>
      </c>
      <c r="I7309">
        <v>0</v>
      </c>
      <c r="J7309">
        <v>0</v>
      </c>
      <c r="K7309" t="str">
        <f>IFERROR(INDEX(Rosters!$C$2:$C$155,MATCH($B7309,Rosters!$B$2:$B$155,0)),"NA")</f>
        <v>NA</v>
      </c>
      <c r="L7309" t="str">
        <f t="shared" si="342"/>
        <v>NA2RB</v>
      </c>
      <c r="M7309">
        <f>COUNTIF(L$1:L7309,L7309)</f>
        <v>62</v>
      </c>
      <c r="N7309" t="str">
        <f t="shared" si="343"/>
        <v>NA2RB-62</v>
      </c>
      <c r="O7309">
        <f>COUNTIFS(F$1:F7309,F7309,A$1:A7309,A7309)</f>
        <v>105</v>
      </c>
      <c r="P7309" t="str">
        <f t="shared" si="344"/>
        <v>Darren Sproles2</v>
      </c>
    </row>
    <row r="7310" spans="1:16" x14ac:dyDescent="0.25">
      <c r="A7310">
        <v>3</v>
      </c>
      <c r="B7310" t="s">
        <v>1122</v>
      </c>
      <c r="C7310" t="s">
        <v>743</v>
      </c>
      <c r="D7310">
        <v>0</v>
      </c>
      <c r="E7310" t="s">
        <v>66</v>
      </c>
      <c r="F7310" t="s">
        <v>47</v>
      </c>
      <c r="G7310">
        <v>0</v>
      </c>
      <c r="H7310">
        <v>0</v>
      </c>
      <c r="I7310">
        <v>0</v>
      </c>
      <c r="J7310">
        <v>0</v>
      </c>
      <c r="K7310" t="str">
        <f>IFERROR(INDEX(Rosters!$C$2:$C$155,MATCH($B7310,Rosters!$B$2:$B$155,0)),"NA")</f>
        <v>NA</v>
      </c>
      <c r="L7310" t="str">
        <f t="shared" si="342"/>
        <v>NA3RB</v>
      </c>
      <c r="M7310">
        <f>COUNTIF(L$1:L7310,L7310)</f>
        <v>66</v>
      </c>
      <c r="N7310" t="str">
        <f t="shared" si="343"/>
        <v>NA3RB-66</v>
      </c>
      <c r="O7310">
        <f>COUNTIFS(F$1:F7310,F7310,A$1:A7310,A7310)</f>
        <v>106</v>
      </c>
      <c r="P7310" t="str">
        <f t="shared" si="344"/>
        <v>Darren Sproles3</v>
      </c>
    </row>
    <row r="7311" spans="1:16" x14ac:dyDescent="0.25">
      <c r="A7311">
        <v>4</v>
      </c>
      <c r="B7311" t="s">
        <v>1122</v>
      </c>
      <c r="C7311" t="s">
        <v>743</v>
      </c>
      <c r="D7311">
        <v>0</v>
      </c>
      <c r="E7311" t="s">
        <v>38</v>
      </c>
      <c r="F7311" t="s">
        <v>47</v>
      </c>
      <c r="G7311">
        <v>0</v>
      </c>
      <c r="H7311">
        <v>0</v>
      </c>
      <c r="I7311">
        <v>0</v>
      </c>
      <c r="J7311">
        <v>0</v>
      </c>
      <c r="K7311" t="str">
        <f>IFERROR(INDEX(Rosters!$C$2:$C$155,MATCH($B7311,Rosters!$B$2:$B$155,0)),"NA")</f>
        <v>NA</v>
      </c>
      <c r="L7311" t="str">
        <f t="shared" si="342"/>
        <v>NA4RB</v>
      </c>
      <c r="M7311">
        <f>COUNTIF(L$1:L7311,L7311)</f>
        <v>70</v>
      </c>
      <c r="N7311" t="str">
        <f t="shared" si="343"/>
        <v>NA4RB-70</v>
      </c>
      <c r="O7311">
        <f>COUNTIFS(F$1:F7311,F7311,A$1:A7311,A7311)</f>
        <v>110</v>
      </c>
      <c r="P7311" t="str">
        <f t="shared" si="344"/>
        <v>Darren Sproles4</v>
      </c>
    </row>
    <row r="7312" spans="1:16" x14ac:dyDescent="0.25">
      <c r="A7312">
        <v>1</v>
      </c>
      <c r="B7312" t="s">
        <v>1543</v>
      </c>
      <c r="C7312" t="s">
        <v>743</v>
      </c>
      <c r="D7312">
        <v>0</v>
      </c>
      <c r="E7312" t="s">
        <v>38</v>
      </c>
      <c r="F7312" t="s">
        <v>15</v>
      </c>
      <c r="G7312">
        <v>0</v>
      </c>
      <c r="H7312">
        <v>0</v>
      </c>
      <c r="I7312">
        <v>0</v>
      </c>
      <c r="J7312">
        <v>0</v>
      </c>
      <c r="K7312" t="str">
        <f>IFERROR(INDEX(Rosters!$C$2:$C$155,MATCH($B7312,Rosters!$B$2:$B$155,0)),"NA")</f>
        <v>NA</v>
      </c>
      <c r="L7312" t="str">
        <f t="shared" si="342"/>
        <v>NA1QB</v>
      </c>
      <c r="M7312">
        <f>COUNTIF(L$1:L7312,L7312)</f>
        <v>42</v>
      </c>
      <c r="N7312" t="str">
        <f t="shared" si="343"/>
        <v>NA1QB-42</v>
      </c>
      <c r="O7312">
        <f>COUNTIFS(F$1:F7312,F7312,A$1:A7312,A7312)</f>
        <v>59</v>
      </c>
      <c r="P7312" t="str">
        <f t="shared" si="344"/>
        <v>David Fales1</v>
      </c>
    </row>
    <row r="7313" spans="1:16" x14ac:dyDescent="0.25">
      <c r="A7313">
        <v>2</v>
      </c>
      <c r="B7313" t="s">
        <v>1543</v>
      </c>
      <c r="C7313" t="s">
        <v>743</v>
      </c>
      <c r="D7313">
        <v>0</v>
      </c>
      <c r="E7313" t="s">
        <v>73</v>
      </c>
      <c r="F7313" t="s">
        <v>15</v>
      </c>
      <c r="G7313">
        <v>0</v>
      </c>
      <c r="H7313">
        <v>0</v>
      </c>
      <c r="I7313">
        <v>0</v>
      </c>
      <c r="J7313">
        <v>0</v>
      </c>
      <c r="K7313" t="str">
        <f>IFERROR(INDEX(Rosters!$C$2:$C$155,MATCH($B7313,Rosters!$B$2:$B$155,0)),"NA")</f>
        <v>NA</v>
      </c>
      <c r="L7313" t="str">
        <f t="shared" si="342"/>
        <v>NA2QB</v>
      </c>
      <c r="M7313">
        <f>COUNTIF(L$1:L7313,L7313)</f>
        <v>41</v>
      </c>
      <c r="N7313" t="str">
        <f t="shared" si="343"/>
        <v>NA2QB-41</v>
      </c>
      <c r="O7313">
        <f>COUNTIFS(F$1:F7313,F7313,A$1:A7313,A7313)</f>
        <v>58</v>
      </c>
      <c r="P7313" t="str">
        <f t="shared" si="344"/>
        <v>David Fales2</v>
      </c>
    </row>
    <row r="7314" spans="1:16" x14ac:dyDescent="0.25">
      <c r="A7314">
        <v>3</v>
      </c>
      <c r="B7314" t="s">
        <v>1543</v>
      </c>
      <c r="C7314" t="s">
        <v>743</v>
      </c>
      <c r="D7314">
        <v>0</v>
      </c>
      <c r="E7314" t="s">
        <v>32</v>
      </c>
      <c r="F7314" t="s">
        <v>15</v>
      </c>
      <c r="G7314">
        <v>0</v>
      </c>
      <c r="H7314">
        <v>0</v>
      </c>
      <c r="I7314">
        <v>0</v>
      </c>
      <c r="J7314">
        <v>0</v>
      </c>
      <c r="K7314" t="str">
        <f>IFERROR(INDEX(Rosters!$C$2:$C$155,MATCH($B7314,Rosters!$B$2:$B$155,0)),"NA")</f>
        <v>NA</v>
      </c>
      <c r="L7314" t="str">
        <f t="shared" si="342"/>
        <v>NA3QB</v>
      </c>
      <c r="M7314">
        <f>COUNTIF(L$1:L7314,L7314)</f>
        <v>42</v>
      </c>
      <c r="N7314" t="str">
        <f t="shared" si="343"/>
        <v>NA3QB-42</v>
      </c>
      <c r="O7314">
        <f>COUNTIFS(F$1:F7314,F7314,A$1:A7314,A7314)</f>
        <v>59</v>
      </c>
      <c r="P7314" t="str">
        <f t="shared" si="344"/>
        <v>David Fales3</v>
      </c>
    </row>
    <row r="7315" spans="1:16" x14ac:dyDescent="0.25">
      <c r="A7315">
        <v>4</v>
      </c>
      <c r="B7315" t="s">
        <v>1543</v>
      </c>
      <c r="C7315" t="s">
        <v>743</v>
      </c>
      <c r="D7315">
        <v>0</v>
      </c>
      <c r="E7315" t="s">
        <v>423</v>
      </c>
      <c r="F7315" t="s">
        <v>15</v>
      </c>
      <c r="G7315">
        <v>0</v>
      </c>
      <c r="H7315">
        <v>0</v>
      </c>
      <c r="I7315">
        <v>0</v>
      </c>
      <c r="J7315">
        <v>0</v>
      </c>
      <c r="K7315" t="str">
        <f>IFERROR(INDEX(Rosters!$C$2:$C$155,MATCH($B7315,Rosters!$B$2:$B$155,0)),"NA")</f>
        <v>NA</v>
      </c>
      <c r="L7315" t="str">
        <f t="shared" si="342"/>
        <v>NA4QB</v>
      </c>
      <c r="M7315">
        <f>COUNTIF(L$1:L7315,L7315)</f>
        <v>43</v>
      </c>
      <c r="N7315" t="str">
        <f t="shared" si="343"/>
        <v>NA4QB-43</v>
      </c>
      <c r="O7315">
        <f>COUNTIFS(F$1:F7315,F7315,A$1:A7315,A7315)</f>
        <v>58</v>
      </c>
      <c r="P7315" t="str">
        <f t="shared" si="344"/>
        <v>David Fales4</v>
      </c>
    </row>
    <row r="7316" spans="1:16" x14ac:dyDescent="0.25">
      <c r="A7316">
        <v>3</v>
      </c>
      <c r="B7316" t="s">
        <v>1524</v>
      </c>
      <c r="C7316" t="s">
        <v>743</v>
      </c>
      <c r="D7316">
        <v>0</v>
      </c>
      <c r="E7316" t="s">
        <v>76</v>
      </c>
      <c r="F7316" t="s">
        <v>47</v>
      </c>
      <c r="G7316">
        <v>0</v>
      </c>
      <c r="H7316">
        <v>0</v>
      </c>
      <c r="I7316">
        <v>0</v>
      </c>
      <c r="J7316">
        <v>0</v>
      </c>
      <c r="K7316" t="str">
        <f>IFERROR(INDEX(Rosters!$C$2:$C$155,MATCH($B7316,Rosters!$B$2:$B$155,0)),"NA")</f>
        <v>NA</v>
      </c>
      <c r="L7316" t="str">
        <f t="shared" si="342"/>
        <v>NA3RB</v>
      </c>
      <c r="M7316">
        <f>COUNTIF(L$1:L7316,L7316)</f>
        <v>67</v>
      </c>
      <c r="N7316" t="str">
        <f t="shared" si="343"/>
        <v>NA3RB-67</v>
      </c>
      <c r="O7316">
        <f>COUNTIFS(F$1:F7316,F7316,A$1:A7316,A7316)</f>
        <v>107</v>
      </c>
      <c r="P7316" t="str">
        <f t="shared" si="344"/>
        <v>David Fluellen3</v>
      </c>
    </row>
    <row r="7317" spans="1:16" x14ac:dyDescent="0.25">
      <c r="A7317">
        <v>4</v>
      </c>
      <c r="B7317" t="s">
        <v>1524</v>
      </c>
      <c r="C7317" t="s">
        <v>743</v>
      </c>
      <c r="D7317">
        <v>0</v>
      </c>
      <c r="E7317" t="s">
        <v>50</v>
      </c>
      <c r="F7317" t="s">
        <v>47</v>
      </c>
      <c r="G7317">
        <v>0</v>
      </c>
      <c r="H7317">
        <v>0</v>
      </c>
      <c r="I7317">
        <v>0</v>
      </c>
      <c r="J7317">
        <v>0</v>
      </c>
      <c r="K7317" t="str">
        <f>IFERROR(INDEX(Rosters!$C$2:$C$155,MATCH($B7317,Rosters!$B$2:$B$155,0)),"NA")</f>
        <v>NA</v>
      </c>
      <c r="L7317" t="str">
        <f t="shared" si="342"/>
        <v>NA4RB</v>
      </c>
      <c r="M7317">
        <f>COUNTIF(L$1:L7317,L7317)</f>
        <v>71</v>
      </c>
      <c r="N7317" t="str">
        <f t="shared" si="343"/>
        <v>NA4RB-71</v>
      </c>
      <c r="O7317">
        <f>COUNTIFS(F$1:F7317,F7317,A$1:A7317,A7317)</f>
        <v>111</v>
      </c>
      <c r="P7317" t="str">
        <f t="shared" si="344"/>
        <v>David Fluellen4</v>
      </c>
    </row>
    <row r="7318" spans="1:16" x14ac:dyDescent="0.25">
      <c r="A7318">
        <v>3</v>
      </c>
      <c r="B7318" t="s">
        <v>318</v>
      </c>
      <c r="C7318" t="s">
        <v>743</v>
      </c>
      <c r="D7318">
        <v>0</v>
      </c>
      <c r="E7318" t="s">
        <v>29</v>
      </c>
      <c r="F7318" t="s">
        <v>114</v>
      </c>
      <c r="G7318">
        <v>0</v>
      </c>
      <c r="H7318">
        <v>0</v>
      </c>
      <c r="I7318">
        <v>0</v>
      </c>
      <c r="J7318">
        <v>0</v>
      </c>
      <c r="K7318" t="str">
        <f>IFERROR(INDEX(Rosters!$C$2:$C$155,MATCH($B7318,Rosters!$B$2:$B$155,0)),"NA")</f>
        <v>NA</v>
      </c>
      <c r="L7318" t="str">
        <f t="shared" si="342"/>
        <v>NA3TE</v>
      </c>
      <c r="M7318">
        <f>COUNTIF(L$1:L7318,L7318)</f>
        <v>76</v>
      </c>
      <c r="N7318" t="str">
        <f t="shared" si="343"/>
        <v>NA3TE-76</v>
      </c>
      <c r="O7318">
        <f>COUNTIFS(F$1:F7318,F7318,A$1:A7318,A7318)</f>
        <v>89</v>
      </c>
      <c r="P7318" t="str">
        <f t="shared" si="344"/>
        <v>David Morgan3</v>
      </c>
    </row>
    <row r="7319" spans="1:16" x14ac:dyDescent="0.25">
      <c r="A7319">
        <v>3</v>
      </c>
      <c r="B7319" t="s">
        <v>8733</v>
      </c>
      <c r="C7319" t="s">
        <v>743</v>
      </c>
      <c r="D7319">
        <v>0</v>
      </c>
      <c r="E7319" t="s">
        <v>66</v>
      </c>
      <c r="F7319" t="s">
        <v>87</v>
      </c>
      <c r="G7319">
        <v>0</v>
      </c>
      <c r="H7319">
        <v>0</v>
      </c>
      <c r="I7319">
        <v>0</v>
      </c>
      <c r="J7319">
        <v>0</v>
      </c>
      <c r="K7319" t="str">
        <f>IFERROR(INDEX(Rosters!$C$2:$C$155,MATCH($B7319,Rosters!$B$2:$B$155,0)),"NA")</f>
        <v>NA</v>
      </c>
      <c r="L7319" t="str">
        <f t="shared" si="342"/>
        <v>NA3WR</v>
      </c>
      <c r="M7319">
        <f>COUNTIF(L$1:L7319,L7319)</f>
        <v>106</v>
      </c>
      <c r="N7319" t="str">
        <f t="shared" si="343"/>
        <v>NA3WR-106</v>
      </c>
      <c r="O7319">
        <f>COUNTIFS(F$1:F7319,F7319,A$1:A7319,A7319)</f>
        <v>156</v>
      </c>
      <c r="P7319" t="str">
        <f t="shared" si="344"/>
        <v>DeAndre Carter3</v>
      </c>
    </row>
    <row r="7320" spans="1:16" x14ac:dyDescent="0.25">
      <c r="A7320">
        <v>1</v>
      </c>
      <c r="B7320" t="s">
        <v>218</v>
      </c>
      <c r="C7320" t="s">
        <v>743</v>
      </c>
      <c r="D7320">
        <v>0</v>
      </c>
      <c r="E7320" t="s">
        <v>56</v>
      </c>
      <c r="F7320" t="s">
        <v>47</v>
      </c>
      <c r="G7320">
        <v>0</v>
      </c>
      <c r="H7320">
        <v>0</v>
      </c>
      <c r="I7320">
        <v>0</v>
      </c>
      <c r="J7320">
        <v>0</v>
      </c>
      <c r="K7320" t="str">
        <f>IFERROR(INDEX(Rosters!$C$2:$C$155,MATCH($B7320,Rosters!$B$2:$B$155,0)),"NA")</f>
        <v>NA</v>
      </c>
      <c r="L7320" t="str">
        <f t="shared" si="342"/>
        <v>NA1RB</v>
      </c>
      <c r="M7320">
        <f>COUNTIF(L$1:L7320,L7320)</f>
        <v>56</v>
      </c>
      <c r="N7320" t="str">
        <f t="shared" si="343"/>
        <v>NA1RB-56</v>
      </c>
      <c r="O7320">
        <f>COUNTIFS(F$1:F7320,F7320,A$1:A7320,A7320)</f>
        <v>100</v>
      </c>
      <c r="P7320" t="str">
        <f t="shared" si="344"/>
        <v>DeAndre Washington1</v>
      </c>
    </row>
    <row r="7321" spans="1:16" x14ac:dyDescent="0.25">
      <c r="A7321">
        <v>2</v>
      </c>
      <c r="B7321" t="s">
        <v>218</v>
      </c>
      <c r="C7321" t="s">
        <v>743</v>
      </c>
      <c r="D7321">
        <v>0</v>
      </c>
      <c r="E7321" t="s">
        <v>42</v>
      </c>
      <c r="F7321" t="s">
        <v>47</v>
      </c>
      <c r="G7321">
        <v>0</v>
      </c>
      <c r="H7321">
        <v>0</v>
      </c>
      <c r="I7321">
        <v>0</v>
      </c>
      <c r="J7321">
        <v>0</v>
      </c>
      <c r="K7321" t="str">
        <f>IFERROR(INDEX(Rosters!$C$2:$C$155,MATCH($B7321,Rosters!$B$2:$B$155,0)),"NA")</f>
        <v>NA</v>
      </c>
      <c r="L7321" t="str">
        <f t="shared" si="342"/>
        <v>NA2RB</v>
      </c>
      <c r="M7321">
        <f>COUNTIF(L$1:L7321,L7321)</f>
        <v>63</v>
      </c>
      <c r="N7321" t="str">
        <f t="shared" si="343"/>
        <v>NA2RB-63</v>
      </c>
      <c r="O7321">
        <f>COUNTIFS(F$1:F7321,F7321,A$1:A7321,A7321)</f>
        <v>106</v>
      </c>
      <c r="P7321" t="str">
        <f t="shared" si="344"/>
        <v>DeAndre Washington2</v>
      </c>
    </row>
    <row r="7322" spans="1:16" x14ac:dyDescent="0.25">
      <c r="A7322">
        <v>3</v>
      </c>
      <c r="B7322" t="s">
        <v>218</v>
      </c>
      <c r="C7322" t="s">
        <v>743</v>
      </c>
      <c r="D7322">
        <v>0</v>
      </c>
      <c r="E7322" t="s">
        <v>19</v>
      </c>
      <c r="F7322" t="s">
        <v>47</v>
      </c>
      <c r="G7322">
        <v>0</v>
      </c>
      <c r="H7322">
        <v>0</v>
      </c>
      <c r="I7322">
        <v>0</v>
      </c>
      <c r="J7322">
        <v>0</v>
      </c>
      <c r="K7322" t="str">
        <f>IFERROR(INDEX(Rosters!$C$2:$C$155,MATCH($B7322,Rosters!$B$2:$B$155,0)),"NA")</f>
        <v>NA</v>
      </c>
      <c r="L7322" t="str">
        <f t="shared" si="342"/>
        <v>NA3RB</v>
      </c>
      <c r="M7322">
        <f>COUNTIF(L$1:L7322,L7322)</f>
        <v>68</v>
      </c>
      <c r="N7322" t="str">
        <f t="shared" si="343"/>
        <v>NA3RB-68</v>
      </c>
      <c r="O7322">
        <f>COUNTIFS(F$1:F7322,F7322,A$1:A7322,A7322)</f>
        <v>108</v>
      </c>
      <c r="P7322" t="str">
        <f t="shared" si="344"/>
        <v>DeAndre Washington3</v>
      </c>
    </row>
    <row r="7323" spans="1:16" x14ac:dyDescent="0.25">
      <c r="A7323">
        <v>4</v>
      </c>
      <c r="B7323" t="s">
        <v>218</v>
      </c>
      <c r="C7323" t="s">
        <v>743</v>
      </c>
      <c r="D7323">
        <v>0</v>
      </c>
      <c r="E7323" t="s">
        <v>52</v>
      </c>
      <c r="F7323" t="s">
        <v>47</v>
      </c>
      <c r="G7323">
        <v>0</v>
      </c>
      <c r="H7323">
        <v>0</v>
      </c>
      <c r="I7323">
        <v>0</v>
      </c>
      <c r="J7323">
        <v>0</v>
      </c>
      <c r="K7323" t="str">
        <f>IFERROR(INDEX(Rosters!$C$2:$C$155,MATCH($B7323,Rosters!$B$2:$B$155,0)),"NA")</f>
        <v>NA</v>
      </c>
      <c r="L7323" t="str">
        <f t="shared" si="342"/>
        <v>NA4RB</v>
      </c>
      <c r="M7323">
        <f>COUNTIF(L$1:L7323,L7323)</f>
        <v>72</v>
      </c>
      <c r="N7323" t="str">
        <f t="shared" si="343"/>
        <v>NA4RB-72</v>
      </c>
      <c r="O7323">
        <f>COUNTIFS(F$1:F7323,F7323,A$1:A7323,A7323)</f>
        <v>112</v>
      </c>
      <c r="P7323" t="str">
        <f t="shared" si="344"/>
        <v>DeAndre Washington4</v>
      </c>
    </row>
    <row r="7324" spans="1:16" x14ac:dyDescent="0.25">
      <c r="A7324">
        <v>1</v>
      </c>
      <c r="B7324" t="s">
        <v>310</v>
      </c>
      <c r="C7324" t="s">
        <v>743</v>
      </c>
      <c r="D7324">
        <v>0</v>
      </c>
      <c r="E7324" t="s">
        <v>37</v>
      </c>
      <c r="F7324" t="s">
        <v>114</v>
      </c>
      <c r="G7324">
        <v>0</v>
      </c>
      <c r="H7324">
        <v>0</v>
      </c>
      <c r="I7324">
        <v>0</v>
      </c>
      <c r="J7324">
        <v>0</v>
      </c>
      <c r="K7324" t="str">
        <f>IFERROR(INDEX(Rosters!$C$2:$C$155,MATCH($B7324,Rosters!$B$2:$B$155,0)),"NA")</f>
        <v>NA</v>
      </c>
      <c r="L7324" t="str">
        <f t="shared" si="342"/>
        <v>NA1TE</v>
      </c>
      <c r="M7324">
        <f>COUNTIF(L$1:L7324,L7324)</f>
        <v>67</v>
      </c>
      <c r="N7324" t="str">
        <f t="shared" si="343"/>
        <v>NA1TE-67</v>
      </c>
      <c r="O7324">
        <f>COUNTIFS(F$1:F7324,F7324,A$1:A7324,A7324)</f>
        <v>80</v>
      </c>
      <c r="P7324" t="str">
        <f t="shared" si="344"/>
        <v>Demetrius Harris1</v>
      </c>
    </row>
    <row r="7325" spans="1:16" x14ac:dyDescent="0.25">
      <c r="A7325">
        <v>1</v>
      </c>
      <c r="B7325" t="s">
        <v>175</v>
      </c>
      <c r="C7325" t="s">
        <v>743</v>
      </c>
      <c r="D7325">
        <v>0</v>
      </c>
      <c r="E7325" t="s">
        <v>38</v>
      </c>
      <c r="F7325" t="s">
        <v>87</v>
      </c>
      <c r="G7325">
        <v>0</v>
      </c>
      <c r="H7325">
        <v>0</v>
      </c>
      <c r="I7325">
        <v>0</v>
      </c>
      <c r="J7325">
        <v>0</v>
      </c>
      <c r="K7325" t="str">
        <f>IFERROR(INDEX(Rosters!$C$2:$C$155,MATCH($B7325,Rosters!$B$2:$B$155,0)),"NA")</f>
        <v>NA</v>
      </c>
      <c r="L7325" t="str">
        <f t="shared" si="342"/>
        <v>NA1WR</v>
      </c>
      <c r="M7325">
        <f>COUNTIF(L$1:L7325,L7325)</f>
        <v>92</v>
      </c>
      <c r="N7325" t="str">
        <f t="shared" si="343"/>
        <v>NA1WR-92</v>
      </c>
      <c r="O7325">
        <f>COUNTIFS(F$1:F7325,F7325,A$1:A7325,A7325)</f>
        <v>142</v>
      </c>
      <c r="P7325" t="str">
        <f t="shared" si="344"/>
        <v>DeVante Parker1</v>
      </c>
    </row>
    <row r="7326" spans="1:16" x14ac:dyDescent="0.25">
      <c r="A7326">
        <v>2</v>
      </c>
      <c r="B7326" t="s">
        <v>175</v>
      </c>
      <c r="C7326" t="s">
        <v>743</v>
      </c>
      <c r="D7326">
        <v>0</v>
      </c>
      <c r="E7326" t="s">
        <v>73</v>
      </c>
      <c r="F7326" t="s">
        <v>87</v>
      </c>
      <c r="G7326">
        <v>0</v>
      </c>
      <c r="H7326">
        <v>0</v>
      </c>
      <c r="I7326">
        <v>0</v>
      </c>
      <c r="J7326">
        <v>0</v>
      </c>
      <c r="K7326" t="str">
        <f>IFERROR(INDEX(Rosters!$C$2:$C$155,MATCH($B7326,Rosters!$B$2:$B$155,0)),"NA")</f>
        <v>NA</v>
      </c>
      <c r="L7326" t="str">
        <f t="shared" si="342"/>
        <v>NA2WR</v>
      </c>
      <c r="M7326">
        <f>COUNTIF(L$1:L7326,L7326)</f>
        <v>101</v>
      </c>
      <c r="N7326" t="str">
        <f t="shared" si="343"/>
        <v>NA2WR-101</v>
      </c>
      <c r="O7326">
        <f>COUNTIFS(F$1:F7326,F7326,A$1:A7326,A7326)</f>
        <v>151</v>
      </c>
      <c r="P7326" t="str">
        <f t="shared" si="344"/>
        <v>DeVante Parker2</v>
      </c>
    </row>
    <row r="7327" spans="1:16" x14ac:dyDescent="0.25">
      <c r="A7327">
        <v>4</v>
      </c>
      <c r="B7327" t="s">
        <v>175</v>
      </c>
      <c r="C7327" t="s">
        <v>743</v>
      </c>
      <c r="D7327">
        <v>0</v>
      </c>
      <c r="E7327" t="s">
        <v>423</v>
      </c>
      <c r="F7327" t="s">
        <v>87</v>
      </c>
      <c r="G7327">
        <v>0</v>
      </c>
      <c r="H7327">
        <v>0</v>
      </c>
      <c r="I7327">
        <v>0</v>
      </c>
      <c r="J7327">
        <v>0</v>
      </c>
      <c r="K7327" t="str">
        <f>IFERROR(INDEX(Rosters!$C$2:$C$155,MATCH($B7327,Rosters!$B$2:$B$155,0)),"NA")</f>
        <v>NA</v>
      </c>
      <c r="L7327" t="str">
        <f t="shared" si="342"/>
        <v>NA4WR</v>
      </c>
      <c r="M7327">
        <f>COUNTIF(L$1:L7327,L7327)</f>
        <v>104</v>
      </c>
      <c r="N7327" t="str">
        <f t="shared" si="343"/>
        <v>NA4WR-104</v>
      </c>
      <c r="O7327">
        <f>COUNTIFS(F$1:F7327,F7327,A$1:A7327,A7327)</f>
        <v>154</v>
      </c>
      <c r="P7327" t="str">
        <f t="shared" si="344"/>
        <v>DeVante Parker4</v>
      </c>
    </row>
    <row r="7328" spans="1:16" x14ac:dyDescent="0.25">
      <c r="A7328">
        <v>2</v>
      </c>
      <c r="B7328" t="s">
        <v>90</v>
      </c>
      <c r="C7328" t="s">
        <v>743</v>
      </c>
      <c r="D7328">
        <v>0</v>
      </c>
      <c r="E7328" t="s">
        <v>74</v>
      </c>
      <c r="F7328" t="s">
        <v>47</v>
      </c>
      <c r="G7328">
        <v>0</v>
      </c>
      <c r="H7328">
        <v>0</v>
      </c>
      <c r="I7328">
        <v>0</v>
      </c>
      <c r="J7328">
        <v>0</v>
      </c>
      <c r="K7328" t="str">
        <f>IFERROR(INDEX(Rosters!$C$2:$C$155,MATCH($B7328,Rosters!$B$2:$B$155,0)),"NA")</f>
        <v>devon</v>
      </c>
      <c r="L7328" t="str">
        <f t="shared" si="342"/>
        <v>devon2RB</v>
      </c>
      <c r="M7328">
        <f>COUNTIF(L$1:L7328,L7328)</f>
        <v>5</v>
      </c>
      <c r="N7328" t="str">
        <f t="shared" si="343"/>
        <v>devon2RB-5</v>
      </c>
      <c r="O7328">
        <f>COUNTIFS(F$1:F7328,F7328,A$1:A7328,A7328)</f>
        <v>107</v>
      </c>
      <c r="P7328" t="str">
        <f t="shared" si="344"/>
        <v>Devonta Freeman2</v>
      </c>
    </row>
    <row r="7329" spans="1:16" x14ac:dyDescent="0.25">
      <c r="A7329">
        <v>3</v>
      </c>
      <c r="B7329" t="s">
        <v>90</v>
      </c>
      <c r="C7329" t="s">
        <v>743</v>
      </c>
      <c r="D7329">
        <v>0</v>
      </c>
      <c r="E7329" t="s">
        <v>14</v>
      </c>
      <c r="F7329" t="s">
        <v>47</v>
      </c>
      <c r="G7329">
        <v>0</v>
      </c>
      <c r="H7329">
        <v>0</v>
      </c>
      <c r="I7329">
        <v>0</v>
      </c>
      <c r="J7329">
        <v>0</v>
      </c>
      <c r="K7329" t="str">
        <f>IFERROR(INDEX(Rosters!$C$2:$C$155,MATCH($B7329,Rosters!$B$2:$B$155,0)),"NA")</f>
        <v>devon</v>
      </c>
      <c r="L7329" t="str">
        <f t="shared" si="342"/>
        <v>devon3RB</v>
      </c>
      <c r="M7329">
        <f>COUNTIF(L$1:L7329,L7329)</f>
        <v>5</v>
      </c>
      <c r="N7329" t="str">
        <f t="shared" si="343"/>
        <v>devon3RB-5</v>
      </c>
      <c r="O7329">
        <f>COUNTIFS(F$1:F7329,F7329,A$1:A7329,A7329)</f>
        <v>109</v>
      </c>
      <c r="P7329" t="str">
        <f t="shared" si="344"/>
        <v>Devonta Freeman3</v>
      </c>
    </row>
    <row r="7330" spans="1:16" x14ac:dyDescent="0.25">
      <c r="A7330">
        <v>4</v>
      </c>
      <c r="B7330" t="s">
        <v>90</v>
      </c>
      <c r="C7330" t="s">
        <v>743</v>
      </c>
      <c r="D7330">
        <v>0</v>
      </c>
      <c r="E7330" t="s">
        <v>31</v>
      </c>
      <c r="F7330" t="s">
        <v>47</v>
      </c>
      <c r="G7330">
        <v>0</v>
      </c>
      <c r="H7330">
        <v>0</v>
      </c>
      <c r="I7330">
        <v>0</v>
      </c>
      <c r="J7330">
        <v>0</v>
      </c>
      <c r="K7330" t="str">
        <f>IFERROR(INDEX(Rosters!$C$2:$C$155,MATCH($B7330,Rosters!$B$2:$B$155,0)),"NA")</f>
        <v>devon</v>
      </c>
      <c r="L7330" t="str">
        <f t="shared" si="342"/>
        <v>devon4RB</v>
      </c>
      <c r="M7330">
        <f>COUNTIF(L$1:L7330,L7330)</f>
        <v>4</v>
      </c>
      <c r="N7330" t="str">
        <f t="shared" si="343"/>
        <v>devon4RB-4</v>
      </c>
      <c r="O7330">
        <f>COUNTIFS(F$1:F7330,F7330,A$1:A7330,A7330)</f>
        <v>113</v>
      </c>
      <c r="P7330" t="str">
        <f t="shared" si="344"/>
        <v>Devonta Freeman4</v>
      </c>
    </row>
    <row r="7331" spans="1:16" x14ac:dyDescent="0.25">
      <c r="A7331">
        <v>2</v>
      </c>
      <c r="B7331" t="s">
        <v>105</v>
      </c>
      <c r="C7331" t="s">
        <v>743</v>
      </c>
      <c r="D7331">
        <v>0</v>
      </c>
      <c r="E7331" t="s">
        <v>72</v>
      </c>
      <c r="F7331" t="s">
        <v>87</v>
      </c>
      <c r="G7331">
        <v>0</v>
      </c>
      <c r="H7331">
        <v>0</v>
      </c>
      <c r="I7331">
        <v>0</v>
      </c>
      <c r="J7331">
        <v>0</v>
      </c>
      <c r="K7331" t="str">
        <f>IFERROR(INDEX(Rosters!$C$2:$C$155,MATCH($B7331,Rosters!$B$2:$B$155,0)),"NA")</f>
        <v>chad</v>
      </c>
      <c r="L7331" t="str">
        <f t="shared" si="342"/>
        <v>chad2WR</v>
      </c>
      <c r="M7331">
        <f>COUNTIF(L$1:L7331,L7331)</f>
        <v>4</v>
      </c>
      <c r="N7331" t="str">
        <f t="shared" si="343"/>
        <v>chad2WR-4</v>
      </c>
      <c r="O7331">
        <f>COUNTIFS(F$1:F7331,F7331,A$1:A7331,A7331)</f>
        <v>152</v>
      </c>
      <c r="P7331" t="str">
        <f t="shared" si="344"/>
        <v>Doug Baldwin2</v>
      </c>
    </row>
    <row r="7332" spans="1:16" x14ac:dyDescent="0.25">
      <c r="A7332">
        <v>3</v>
      </c>
      <c r="B7332" t="s">
        <v>105</v>
      </c>
      <c r="C7332" t="s">
        <v>743</v>
      </c>
      <c r="D7332">
        <v>0</v>
      </c>
      <c r="E7332" t="s">
        <v>22</v>
      </c>
      <c r="F7332" t="s">
        <v>87</v>
      </c>
      <c r="G7332">
        <v>0</v>
      </c>
      <c r="H7332">
        <v>0</v>
      </c>
      <c r="I7332">
        <v>0</v>
      </c>
      <c r="J7332">
        <v>0</v>
      </c>
      <c r="K7332" t="str">
        <f>IFERROR(INDEX(Rosters!$C$2:$C$155,MATCH($B7332,Rosters!$B$2:$B$155,0)),"NA")</f>
        <v>chad</v>
      </c>
      <c r="L7332" t="str">
        <f t="shared" si="342"/>
        <v>chad3WR</v>
      </c>
      <c r="M7332">
        <f>COUNTIF(L$1:L7332,L7332)</f>
        <v>4</v>
      </c>
      <c r="N7332" t="str">
        <f t="shared" si="343"/>
        <v>chad3WR-4</v>
      </c>
      <c r="O7332">
        <f>COUNTIFS(F$1:F7332,F7332,A$1:A7332,A7332)</f>
        <v>157</v>
      </c>
      <c r="P7332" t="str">
        <f t="shared" si="344"/>
        <v>Doug Baldwin3</v>
      </c>
    </row>
    <row r="7333" spans="1:16" x14ac:dyDescent="0.25">
      <c r="A7333">
        <v>1</v>
      </c>
      <c r="B7333" t="s">
        <v>383</v>
      </c>
      <c r="C7333" t="s">
        <v>743</v>
      </c>
      <c r="D7333">
        <v>0</v>
      </c>
      <c r="E7333" t="s">
        <v>51</v>
      </c>
      <c r="F7333" t="s">
        <v>15</v>
      </c>
      <c r="G7333">
        <v>0</v>
      </c>
      <c r="H7333">
        <v>0</v>
      </c>
      <c r="I7333">
        <v>0</v>
      </c>
      <c r="J7333">
        <v>0</v>
      </c>
      <c r="K7333" t="str">
        <f>IFERROR(INDEX(Rosters!$C$2:$C$155,MATCH($B7333,Rosters!$B$2:$B$155,0)),"NA")</f>
        <v>NA</v>
      </c>
      <c r="L7333" t="str">
        <f t="shared" si="342"/>
        <v>NA1QB</v>
      </c>
      <c r="M7333">
        <f>COUNTIF(L$1:L7333,L7333)</f>
        <v>43</v>
      </c>
      <c r="N7333" t="str">
        <f t="shared" si="343"/>
        <v>NA1QB-43</v>
      </c>
      <c r="O7333">
        <f>COUNTIFS(F$1:F7333,F7333,A$1:A7333,A7333)</f>
        <v>60</v>
      </c>
      <c r="P7333" t="str">
        <f t="shared" si="344"/>
        <v>Drew Stanton1</v>
      </c>
    </row>
    <row r="7334" spans="1:16" x14ac:dyDescent="0.25">
      <c r="A7334">
        <v>2</v>
      </c>
      <c r="B7334" t="s">
        <v>383</v>
      </c>
      <c r="C7334" t="s">
        <v>743</v>
      </c>
      <c r="D7334">
        <v>0</v>
      </c>
      <c r="E7334" t="s">
        <v>14</v>
      </c>
      <c r="F7334" t="s">
        <v>15</v>
      </c>
      <c r="G7334">
        <v>0</v>
      </c>
      <c r="H7334">
        <v>0</v>
      </c>
      <c r="I7334">
        <v>0</v>
      </c>
      <c r="J7334">
        <v>0</v>
      </c>
      <c r="K7334" t="str">
        <f>IFERROR(INDEX(Rosters!$C$2:$C$155,MATCH($B7334,Rosters!$B$2:$B$155,0)),"NA")</f>
        <v>NA</v>
      </c>
      <c r="L7334" t="str">
        <f t="shared" si="342"/>
        <v>NA2QB</v>
      </c>
      <c r="M7334">
        <f>COUNTIF(L$1:L7334,L7334)</f>
        <v>42</v>
      </c>
      <c r="N7334" t="str">
        <f t="shared" si="343"/>
        <v>NA2QB-42</v>
      </c>
      <c r="O7334">
        <f>COUNTIFS(F$1:F7334,F7334,A$1:A7334,A7334)</f>
        <v>59</v>
      </c>
      <c r="P7334" t="str">
        <f t="shared" si="344"/>
        <v>Drew Stanton2</v>
      </c>
    </row>
    <row r="7335" spans="1:16" x14ac:dyDescent="0.25">
      <c r="A7335">
        <v>3</v>
      </c>
      <c r="B7335" t="s">
        <v>383</v>
      </c>
      <c r="C7335" t="s">
        <v>743</v>
      </c>
      <c r="D7335">
        <v>0</v>
      </c>
      <c r="E7335" t="s">
        <v>73</v>
      </c>
      <c r="F7335" t="s">
        <v>15</v>
      </c>
      <c r="G7335">
        <v>0</v>
      </c>
      <c r="H7335">
        <v>0</v>
      </c>
      <c r="I7335">
        <v>0</v>
      </c>
      <c r="J7335">
        <v>0</v>
      </c>
      <c r="K7335" t="str">
        <f>IFERROR(INDEX(Rosters!$C$2:$C$155,MATCH($B7335,Rosters!$B$2:$B$155,0)),"NA")</f>
        <v>NA</v>
      </c>
      <c r="L7335" t="str">
        <f t="shared" si="342"/>
        <v>NA3QB</v>
      </c>
      <c r="M7335">
        <f>COUNTIF(L$1:L7335,L7335)</f>
        <v>43</v>
      </c>
      <c r="N7335" t="str">
        <f t="shared" si="343"/>
        <v>NA3QB-43</v>
      </c>
      <c r="O7335">
        <f>COUNTIFS(F$1:F7335,F7335,A$1:A7335,A7335)</f>
        <v>60</v>
      </c>
      <c r="P7335" t="str">
        <f t="shared" si="344"/>
        <v>Drew Stanton3</v>
      </c>
    </row>
    <row r="7336" spans="1:16" x14ac:dyDescent="0.25">
      <c r="A7336">
        <v>5</v>
      </c>
      <c r="B7336" t="s">
        <v>383</v>
      </c>
      <c r="C7336" t="s">
        <v>743</v>
      </c>
      <c r="D7336">
        <v>0</v>
      </c>
      <c r="E7336" t="s">
        <v>77</v>
      </c>
      <c r="F7336" t="s">
        <v>15</v>
      </c>
      <c r="G7336">
        <v>0</v>
      </c>
      <c r="H7336">
        <v>0</v>
      </c>
      <c r="I7336">
        <v>0</v>
      </c>
      <c r="J7336">
        <v>0</v>
      </c>
      <c r="K7336" t="str">
        <f>IFERROR(INDEX(Rosters!$C$2:$C$155,MATCH($B7336,Rosters!$B$2:$B$155,0)),"NA")</f>
        <v>NA</v>
      </c>
      <c r="L7336" t="str">
        <f t="shared" si="342"/>
        <v>NA5QB</v>
      </c>
      <c r="M7336">
        <f>COUNTIF(L$1:L7336,L7336)</f>
        <v>42</v>
      </c>
      <c r="N7336" t="str">
        <f t="shared" si="343"/>
        <v>NA5QB-42</v>
      </c>
      <c r="O7336">
        <f>COUNTIFS(F$1:F7336,F7336,A$1:A7336,A7336)</f>
        <v>59</v>
      </c>
      <c r="P7336" t="str">
        <f t="shared" si="344"/>
        <v>Drew Stanton5</v>
      </c>
    </row>
    <row r="7337" spans="1:16" x14ac:dyDescent="0.25">
      <c r="A7337">
        <v>6</v>
      </c>
      <c r="B7337" t="s">
        <v>383</v>
      </c>
      <c r="C7337" t="s">
        <v>743</v>
      </c>
      <c r="D7337">
        <v>0</v>
      </c>
      <c r="E7337" t="s">
        <v>37</v>
      </c>
      <c r="F7337" t="s">
        <v>15</v>
      </c>
      <c r="G7337">
        <v>0</v>
      </c>
      <c r="H7337">
        <v>0</v>
      </c>
      <c r="I7337">
        <v>0</v>
      </c>
      <c r="J7337">
        <v>0</v>
      </c>
      <c r="K7337" t="str">
        <f>IFERROR(INDEX(Rosters!$C$2:$C$155,MATCH($B7337,Rosters!$B$2:$B$155,0)),"NA")</f>
        <v>NA</v>
      </c>
      <c r="L7337" t="str">
        <f t="shared" si="342"/>
        <v>NA6QB</v>
      </c>
      <c r="M7337">
        <f>COUNTIF(L$1:L7337,L7337)</f>
        <v>43</v>
      </c>
      <c r="N7337" t="str">
        <f t="shared" si="343"/>
        <v>NA6QB-43</v>
      </c>
      <c r="O7337">
        <f>COUNTIFS(F$1:F7337,F7337,A$1:A7337,A7337)</f>
        <v>58</v>
      </c>
      <c r="P7337" t="str">
        <f t="shared" si="344"/>
        <v>Drew Stanton6</v>
      </c>
    </row>
    <row r="7338" spans="1:16" x14ac:dyDescent="0.25">
      <c r="A7338">
        <v>7</v>
      </c>
      <c r="B7338" t="s">
        <v>383</v>
      </c>
      <c r="C7338" t="s">
        <v>743</v>
      </c>
      <c r="D7338">
        <v>0</v>
      </c>
      <c r="E7338" t="s">
        <v>17</v>
      </c>
      <c r="F7338" t="s">
        <v>15</v>
      </c>
      <c r="G7338">
        <v>0</v>
      </c>
      <c r="H7338">
        <v>0</v>
      </c>
      <c r="I7338">
        <v>0</v>
      </c>
      <c r="J7338">
        <v>0</v>
      </c>
      <c r="K7338" t="str">
        <f>IFERROR(INDEX(Rosters!$C$2:$C$155,MATCH($B7338,Rosters!$B$2:$B$155,0)),"NA")</f>
        <v>NA</v>
      </c>
      <c r="L7338" t="str">
        <f t="shared" si="342"/>
        <v>NA7QB</v>
      </c>
      <c r="M7338">
        <f>COUNTIF(L$1:L7338,L7338)</f>
        <v>42</v>
      </c>
      <c r="N7338" t="str">
        <f t="shared" si="343"/>
        <v>NA7QB-42</v>
      </c>
      <c r="O7338">
        <f>COUNTIFS(F$1:F7338,F7338,A$1:A7338,A7338)</f>
        <v>56</v>
      </c>
      <c r="P7338" t="str">
        <f t="shared" si="344"/>
        <v>Drew Stanton7</v>
      </c>
    </row>
    <row r="7339" spans="1:16" x14ac:dyDescent="0.25">
      <c r="A7339">
        <v>8</v>
      </c>
      <c r="B7339" t="s">
        <v>383</v>
      </c>
      <c r="C7339" t="s">
        <v>743</v>
      </c>
      <c r="D7339">
        <v>0</v>
      </c>
      <c r="E7339" t="s">
        <v>51</v>
      </c>
      <c r="F7339" t="s">
        <v>15</v>
      </c>
      <c r="G7339">
        <v>0</v>
      </c>
      <c r="H7339">
        <v>0</v>
      </c>
      <c r="I7339">
        <v>0</v>
      </c>
      <c r="J7339">
        <v>0</v>
      </c>
      <c r="K7339" t="str">
        <f>IFERROR(INDEX(Rosters!$C$2:$C$155,MATCH($B7339,Rosters!$B$2:$B$155,0)),"NA")</f>
        <v>NA</v>
      </c>
      <c r="L7339" t="str">
        <f t="shared" si="342"/>
        <v>NA8QB</v>
      </c>
      <c r="M7339">
        <f>COUNTIF(L$1:L7339,L7339)</f>
        <v>39</v>
      </c>
      <c r="N7339" t="str">
        <f t="shared" si="343"/>
        <v>NA8QB-39</v>
      </c>
      <c r="O7339">
        <f>COUNTIFS(F$1:F7339,F7339,A$1:A7339,A7339)</f>
        <v>54</v>
      </c>
      <c r="P7339" t="str">
        <f t="shared" si="344"/>
        <v>Drew Stanton8</v>
      </c>
    </row>
    <row r="7340" spans="1:16" x14ac:dyDescent="0.25">
      <c r="A7340">
        <v>9</v>
      </c>
      <c r="B7340" t="s">
        <v>383</v>
      </c>
      <c r="C7340" t="s">
        <v>743</v>
      </c>
      <c r="D7340">
        <v>0</v>
      </c>
      <c r="E7340" t="s">
        <v>24</v>
      </c>
      <c r="F7340" t="s">
        <v>15</v>
      </c>
      <c r="G7340">
        <v>0</v>
      </c>
      <c r="H7340">
        <v>0</v>
      </c>
      <c r="I7340">
        <v>0</v>
      </c>
      <c r="J7340">
        <v>0</v>
      </c>
      <c r="K7340" t="str">
        <f>IFERROR(INDEX(Rosters!$C$2:$C$155,MATCH($B7340,Rosters!$B$2:$B$155,0)),"NA")</f>
        <v>NA</v>
      </c>
      <c r="L7340" t="str">
        <f t="shared" si="342"/>
        <v>NA9QB</v>
      </c>
      <c r="M7340">
        <f>COUNTIF(L$1:L7340,L7340)</f>
        <v>38</v>
      </c>
      <c r="N7340" t="str">
        <f t="shared" si="343"/>
        <v>NA9QB-38</v>
      </c>
      <c r="O7340">
        <f>COUNTIFS(F$1:F7340,F7340,A$1:A7340,A7340)</f>
        <v>52</v>
      </c>
      <c r="P7340" t="str">
        <f t="shared" si="344"/>
        <v>Drew Stanton9</v>
      </c>
    </row>
    <row r="7341" spans="1:16" x14ac:dyDescent="0.25">
      <c r="A7341">
        <v>10</v>
      </c>
      <c r="B7341" t="s">
        <v>383</v>
      </c>
      <c r="C7341" t="s">
        <v>743</v>
      </c>
      <c r="D7341">
        <v>0</v>
      </c>
      <c r="E7341" t="s">
        <v>46</v>
      </c>
      <c r="F7341" t="s">
        <v>15</v>
      </c>
      <c r="G7341">
        <v>0</v>
      </c>
      <c r="H7341">
        <v>0</v>
      </c>
      <c r="I7341">
        <v>0</v>
      </c>
      <c r="J7341">
        <v>0</v>
      </c>
      <c r="K7341" t="str">
        <f>IFERROR(INDEX(Rosters!$C$2:$C$155,MATCH($B7341,Rosters!$B$2:$B$155,0)),"NA")</f>
        <v>NA</v>
      </c>
      <c r="L7341" t="str">
        <f t="shared" si="342"/>
        <v>NA10QB</v>
      </c>
      <c r="M7341">
        <f>COUNTIF(L$1:L7341,L7341)</f>
        <v>40</v>
      </c>
      <c r="N7341" t="str">
        <f t="shared" si="343"/>
        <v>NA10QB-40</v>
      </c>
      <c r="O7341">
        <f>COUNTIFS(F$1:F7341,F7341,A$1:A7341,A7341)</f>
        <v>56</v>
      </c>
      <c r="P7341" t="str">
        <f t="shared" si="344"/>
        <v>Drew Stanton10</v>
      </c>
    </row>
    <row r="7342" spans="1:16" x14ac:dyDescent="0.25">
      <c r="A7342">
        <v>12</v>
      </c>
      <c r="B7342" t="s">
        <v>383</v>
      </c>
      <c r="C7342" t="s">
        <v>743</v>
      </c>
      <c r="D7342">
        <v>0</v>
      </c>
      <c r="E7342" t="s">
        <v>31</v>
      </c>
      <c r="F7342" t="s">
        <v>15</v>
      </c>
      <c r="G7342">
        <v>0</v>
      </c>
      <c r="H7342">
        <v>0</v>
      </c>
      <c r="I7342">
        <v>0</v>
      </c>
      <c r="J7342">
        <v>0</v>
      </c>
      <c r="K7342" t="str">
        <f>IFERROR(INDEX(Rosters!$C$2:$C$155,MATCH($B7342,Rosters!$B$2:$B$155,0)),"NA")</f>
        <v>NA</v>
      </c>
      <c r="L7342" t="str">
        <f t="shared" si="342"/>
        <v>NA12QB</v>
      </c>
      <c r="M7342">
        <f>COUNTIF(L$1:L7342,L7342)</f>
        <v>44</v>
      </c>
      <c r="N7342" t="str">
        <f t="shared" si="343"/>
        <v>NA12QB-44</v>
      </c>
      <c r="O7342">
        <f>COUNTIFS(F$1:F7342,F7342,A$1:A7342,A7342)</f>
        <v>59</v>
      </c>
      <c r="P7342" t="str">
        <f t="shared" si="344"/>
        <v>Drew Stanton12</v>
      </c>
    </row>
    <row r="7343" spans="1:16" x14ac:dyDescent="0.25">
      <c r="A7343">
        <v>13</v>
      </c>
      <c r="B7343" t="s">
        <v>383</v>
      </c>
      <c r="C7343" t="s">
        <v>743</v>
      </c>
      <c r="D7343">
        <v>0</v>
      </c>
      <c r="E7343" t="s">
        <v>36</v>
      </c>
      <c r="F7343" t="s">
        <v>15</v>
      </c>
      <c r="G7343">
        <v>0</v>
      </c>
      <c r="H7343">
        <v>0</v>
      </c>
      <c r="I7343">
        <v>0</v>
      </c>
      <c r="J7343">
        <v>0</v>
      </c>
      <c r="K7343" t="str">
        <f>IFERROR(INDEX(Rosters!$C$2:$C$155,MATCH($B7343,Rosters!$B$2:$B$155,0)),"NA")</f>
        <v>NA</v>
      </c>
      <c r="L7343" t="str">
        <f t="shared" si="342"/>
        <v>NA13QB</v>
      </c>
      <c r="M7343">
        <f>COUNTIF(L$1:L7343,L7343)</f>
        <v>46</v>
      </c>
      <c r="N7343" t="str">
        <f t="shared" si="343"/>
        <v>NA13QB-46</v>
      </c>
      <c r="O7343">
        <f>COUNTIFS(F$1:F7343,F7343,A$1:A7343,A7343)</f>
        <v>63</v>
      </c>
      <c r="P7343" t="str">
        <f t="shared" si="344"/>
        <v>Drew Stanton13</v>
      </c>
    </row>
    <row r="7344" spans="1:16" x14ac:dyDescent="0.25">
      <c r="A7344">
        <v>14</v>
      </c>
      <c r="B7344" t="s">
        <v>383</v>
      </c>
      <c r="C7344" t="s">
        <v>743</v>
      </c>
      <c r="D7344">
        <v>0</v>
      </c>
      <c r="E7344" t="s">
        <v>74</v>
      </c>
      <c r="F7344" t="s">
        <v>15</v>
      </c>
      <c r="G7344">
        <v>0</v>
      </c>
      <c r="H7344">
        <v>0</v>
      </c>
      <c r="I7344">
        <v>0</v>
      </c>
      <c r="J7344">
        <v>0</v>
      </c>
      <c r="K7344" t="str">
        <f>IFERROR(INDEX(Rosters!$C$2:$C$155,MATCH($B7344,Rosters!$B$2:$B$155,0)),"NA")</f>
        <v>NA</v>
      </c>
      <c r="L7344" t="str">
        <f t="shared" si="342"/>
        <v>NA14QB</v>
      </c>
      <c r="M7344">
        <f>COUNTIF(L$1:L7344,L7344)</f>
        <v>46</v>
      </c>
      <c r="N7344" t="str">
        <f t="shared" si="343"/>
        <v>NA14QB-46</v>
      </c>
      <c r="O7344">
        <f>COUNTIFS(F$1:F7344,F7344,A$1:A7344,A7344)</f>
        <v>63</v>
      </c>
      <c r="P7344" t="str">
        <f t="shared" si="344"/>
        <v>Drew Stanton14</v>
      </c>
    </row>
    <row r="7345" spans="1:16" x14ac:dyDescent="0.25">
      <c r="A7345">
        <v>15</v>
      </c>
      <c r="B7345" t="s">
        <v>383</v>
      </c>
      <c r="C7345" t="s">
        <v>743</v>
      </c>
      <c r="D7345">
        <v>0</v>
      </c>
      <c r="E7345" t="s">
        <v>42</v>
      </c>
      <c r="F7345" t="s">
        <v>15</v>
      </c>
      <c r="G7345">
        <v>0</v>
      </c>
      <c r="H7345">
        <v>0</v>
      </c>
      <c r="I7345">
        <v>0</v>
      </c>
      <c r="J7345">
        <v>0</v>
      </c>
      <c r="K7345" t="str">
        <f>IFERROR(INDEX(Rosters!$C$2:$C$155,MATCH($B7345,Rosters!$B$2:$B$155,0)),"NA")</f>
        <v>NA</v>
      </c>
      <c r="L7345" t="str">
        <f t="shared" si="342"/>
        <v>NA15QB</v>
      </c>
      <c r="M7345">
        <f>COUNTIF(L$1:L7345,L7345)</f>
        <v>46</v>
      </c>
      <c r="N7345" t="str">
        <f t="shared" si="343"/>
        <v>NA15QB-46</v>
      </c>
      <c r="O7345">
        <f>COUNTIFS(F$1:F7345,F7345,A$1:A7345,A7345)</f>
        <v>63</v>
      </c>
      <c r="P7345" t="str">
        <f t="shared" si="344"/>
        <v>Drew Stanton15</v>
      </c>
    </row>
    <row r="7346" spans="1:16" x14ac:dyDescent="0.25">
      <c r="A7346">
        <v>16</v>
      </c>
      <c r="B7346" t="s">
        <v>383</v>
      </c>
      <c r="C7346" t="s">
        <v>743</v>
      </c>
      <c r="D7346">
        <v>0</v>
      </c>
      <c r="E7346" t="s">
        <v>31</v>
      </c>
      <c r="F7346" t="s">
        <v>15</v>
      </c>
      <c r="G7346">
        <v>0</v>
      </c>
      <c r="H7346">
        <v>0</v>
      </c>
      <c r="I7346">
        <v>0</v>
      </c>
      <c r="J7346">
        <v>0</v>
      </c>
      <c r="K7346" t="str">
        <f>IFERROR(INDEX(Rosters!$C$2:$C$155,MATCH($B7346,Rosters!$B$2:$B$155,0)),"NA")</f>
        <v>NA</v>
      </c>
      <c r="L7346" t="str">
        <f t="shared" si="342"/>
        <v>NA16QB</v>
      </c>
      <c r="M7346">
        <f>COUNTIF(L$1:L7346,L7346)</f>
        <v>46</v>
      </c>
      <c r="N7346" t="str">
        <f t="shared" si="343"/>
        <v>NA16QB-46</v>
      </c>
      <c r="O7346">
        <f>COUNTIFS(F$1:F7346,F7346,A$1:A7346,A7346)</f>
        <v>63</v>
      </c>
      <c r="P7346" t="str">
        <f t="shared" si="344"/>
        <v>Drew Stanton16</v>
      </c>
    </row>
    <row r="7347" spans="1:16" x14ac:dyDescent="0.25">
      <c r="A7347">
        <v>17</v>
      </c>
      <c r="B7347" t="s">
        <v>383</v>
      </c>
      <c r="C7347" t="s">
        <v>743</v>
      </c>
      <c r="D7347">
        <v>0</v>
      </c>
      <c r="E7347" t="s">
        <v>77</v>
      </c>
      <c r="F7347" t="s">
        <v>15</v>
      </c>
      <c r="G7347">
        <v>0</v>
      </c>
      <c r="H7347">
        <v>0</v>
      </c>
      <c r="I7347">
        <v>0</v>
      </c>
      <c r="J7347">
        <v>0</v>
      </c>
      <c r="K7347" t="str">
        <f>IFERROR(INDEX(Rosters!$C$2:$C$155,MATCH($B7347,Rosters!$B$2:$B$155,0)),"NA")</f>
        <v>NA</v>
      </c>
      <c r="L7347" t="str">
        <f t="shared" si="342"/>
        <v>NA17QB</v>
      </c>
      <c r="M7347">
        <f>COUNTIF(L$1:L7347,L7347)</f>
        <v>46</v>
      </c>
      <c r="N7347" t="str">
        <f t="shared" si="343"/>
        <v>NA17QB-46</v>
      </c>
      <c r="O7347">
        <f>COUNTIFS(F$1:F7347,F7347,A$1:A7347,A7347)</f>
        <v>63</v>
      </c>
      <c r="P7347" t="str">
        <f t="shared" si="344"/>
        <v>Drew Stanton17</v>
      </c>
    </row>
    <row r="7348" spans="1:16" x14ac:dyDescent="0.25">
      <c r="A7348">
        <v>2</v>
      </c>
      <c r="B7348" t="s">
        <v>1127</v>
      </c>
      <c r="C7348" t="s">
        <v>743</v>
      </c>
      <c r="D7348">
        <v>0</v>
      </c>
      <c r="E7348" t="s">
        <v>42</v>
      </c>
      <c r="F7348" t="s">
        <v>87</v>
      </c>
      <c r="G7348">
        <v>0</v>
      </c>
      <c r="H7348">
        <v>0</v>
      </c>
      <c r="I7348">
        <v>0</v>
      </c>
      <c r="J7348">
        <v>0</v>
      </c>
      <c r="K7348" t="str">
        <f>IFERROR(INDEX(Rosters!$C$2:$C$155,MATCH($B7348,Rosters!$B$2:$B$155,0)),"NA")</f>
        <v>NA</v>
      </c>
      <c r="L7348" t="str">
        <f t="shared" si="342"/>
        <v>NA2WR</v>
      </c>
      <c r="M7348">
        <f>COUNTIF(L$1:L7348,L7348)</f>
        <v>102</v>
      </c>
      <c r="N7348" t="str">
        <f t="shared" si="343"/>
        <v>NA2WR-102</v>
      </c>
      <c r="O7348">
        <f>COUNTIFS(F$1:F7348,F7348,A$1:A7348,A7348)</f>
        <v>153</v>
      </c>
      <c r="P7348" t="str">
        <f t="shared" si="344"/>
        <v>Dwayne Harris2</v>
      </c>
    </row>
    <row r="7349" spans="1:16" x14ac:dyDescent="0.25">
      <c r="A7349">
        <v>1</v>
      </c>
      <c r="B7349" t="s">
        <v>307</v>
      </c>
      <c r="C7349" t="s">
        <v>743</v>
      </c>
      <c r="D7349">
        <v>0</v>
      </c>
      <c r="E7349" t="s">
        <v>42</v>
      </c>
      <c r="F7349" t="s">
        <v>114</v>
      </c>
      <c r="G7349">
        <v>0</v>
      </c>
      <c r="H7349">
        <v>0</v>
      </c>
      <c r="I7349">
        <v>0</v>
      </c>
      <c r="J7349">
        <v>0</v>
      </c>
      <c r="K7349" t="str">
        <f>IFERROR(INDEX(Rosters!$C$2:$C$155,MATCH($B7349,Rosters!$B$2:$B$155,0)),"NA")</f>
        <v>NA</v>
      </c>
      <c r="L7349" t="str">
        <f t="shared" si="342"/>
        <v>NA1TE</v>
      </c>
      <c r="M7349">
        <f>COUNTIF(L$1:L7349,L7349)</f>
        <v>68</v>
      </c>
      <c r="N7349" t="str">
        <f t="shared" si="343"/>
        <v>NA1TE-68</v>
      </c>
      <c r="O7349">
        <f>COUNTIFS(F$1:F7349,F7349,A$1:A7349,A7349)</f>
        <v>81</v>
      </c>
      <c r="P7349" t="str">
        <f t="shared" si="344"/>
        <v>Ed Dickson1</v>
      </c>
    </row>
    <row r="7350" spans="1:16" x14ac:dyDescent="0.25">
      <c r="A7350">
        <v>2</v>
      </c>
      <c r="B7350" t="s">
        <v>307</v>
      </c>
      <c r="C7350" t="s">
        <v>743</v>
      </c>
      <c r="D7350">
        <v>0</v>
      </c>
      <c r="E7350" t="s">
        <v>72</v>
      </c>
      <c r="F7350" t="s">
        <v>114</v>
      </c>
      <c r="G7350">
        <v>0</v>
      </c>
      <c r="H7350">
        <v>0</v>
      </c>
      <c r="I7350">
        <v>0</v>
      </c>
      <c r="J7350">
        <v>0</v>
      </c>
      <c r="K7350" t="str">
        <f>IFERROR(INDEX(Rosters!$C$2:$C$155,MATCH($B7350,Rosters!$B$2:$B$155,0)),"NA")</f>
        <v>NA</v>
      </c>
      <c r="L7350" t="str">
        <f t="shared" si="342"/>
        <v>NA2TE</v>
      </c>
      <c r="M7350">
        <f>COUNTIF(L$1:L7350,L7350)</f>
        <v>76</v>
      </c>
      <c r="N7350" t="str">
        <f t="shared" si="343"/>
        <v>NA2TE-76</v>
      </c>
      <c r="O7350">
        <f>COUNTIFS(F$1:F7350,F7350,A$1:A7350,A7350)</f>
        <v>89</v>
      </c>
      <c r="P7350" t="str">
        <f t="shared" si="344"/>
        <v>Ed Dickson2</v>
      </c>
    </row>
    <row r="7351" spans="1:16" x14ac:dyDescent="0.25">
      <c r="A7351">
        <v>3</v>
      </c>
      <c r="B7351" t="s">
        <v>307</v>
      </c>
      <c r="C7351" t="s">
        <v>743</v>
      </c>
      <c r="D7351">
        <v>0</v>
      </c>
      <c r="E7351" t="s">
        <v>22</v>
      </c>
      <c r="F7351" t="s">
        <v>114</v>
      </c>
      <c r="G7351">
        <v>0</v>
      </c>
      <c r="H7351">
        <v>0</v>
      </c>
      <c r="I7351">
        <v>0</v>
      </c>
      <c r="J7351">
        <v>0</v>
      </c>
      <c r="K7351" t="str">
        <f>IFERROR(INDEX(Rosters!$C$2:$C$155,MATCH($B7351,Rosters!$B$2:$B$155,0)),"NA")</f>
        <v>NA</v>
      </c>
      <c r="L7351" t="str">
        <f t="shared" si="342"/>
        <v>NA3TE</v>
      </c>
      <c r="M7351">
        <f>COUNTIF(L$1:L7351,L7351)</f>
        <v>77</v>
      </c>
      <c r="N7351" t="str">
        <f t="shared" si="343"/>
        <v>NA3TE-77</v>
      </c>
      <c r="O7351">
        <f>COUNTIFS(F$1:F7351,F7351,A$1:A7351,A7351)</f>
        <v>90</v>
      </c>
      <c r="P7351" t="str">
        <f t="shared" si="344"/>
        <v>Ed Dickson3</v>
      </c>
    </row>
    <row r="7352" spans="1:16" x14ac:dyDescent="0.25">
      <c r="A7352">
        <v>4</v>
      </c>
      <c r="B7352" t="s">
        <v>307</v>
      </c>
      <c r="C7352" t="s">
        <v>743</v>
      </c>
      <c r="D7352">
        <v>0</v>
      </c>
      <c r="E7352" t="s">
        <v>58</v>
      </c>
      <c r="F7352" t="s">
        <v>114</v>
      </c>
      <c r="G7352">
        <v>0</v>
      </c>
      <c r="H7352">
        <v>0</v>
      </c>
      <c r="I7352">
        <v>0</v>
      </c>
      <c r="J7352">
        <v>0</v>
      </c>
      <c r="K7352" t="str">
        <f>IFERROR(INDEX(Rosters!$C$2:$C$155,MATCH($B7352,Rosters!$B$2:$B$155,0)),"NA")</f>
        <v>NA</v>
      </c>
      <c r="L7352" t="str">
        <f t="shared" si="342"/>
        <v>NA4TE</v>
      </c>
      <c r="M7352">
        <f>COUNTIF(L$1:L7352,L7352)</f>
        <v>72</v>
      </c>
      <c r="N7352" t="str">
        <f t="shared" si="343"/>
        <v>NA4TE-72</v>
      </c>
      <c r="O7352">
        <f>COUNTIFS(F$1:F7352,F7352,A$1:A7352,A7352)</f>
        <v>83</v>
      </c>
      <c r="P7352" t="str">
        <f t="shared" si="344"/>
        <v>Ed Dickson4</v>
      </c>
    </row>
    <row r="7353" spans="1:16" x14ac:dyDescent="0.25">
      <c r="A7353">
        <v>5</v>
      </c>
      <c r="B7353" t="s">
        <v>307</v>
      </c>
      <c r="C7353" t="s">
        <v>743</v>
      </c>
      <c r="D7353">
        <v>0</v>
      </c>
      <c r="E7353" t="s">
        <v>56</v>
      </c>
      <c r="F7353" t="s">
        <v>114</v>
      </c>
      <c r="G7353">
        <v>0</v>
      </c>
      <c r="H7353">
        <v>0</v>
      </c>
      <c r="I7353">
        <v>0</v>
      </c>
      <c r="J7353">
        <v>0</v>
      </c>
      <c r="K7353" t="str">
        <f>IFERROR(INDEX(Rosters!$C$2:$C$155,MATCH($B7353,Rosters!$B$2:$B$155,0)),"NA")</f>
        <v>NA</v>
      </c>
      <c r="L7353" t="str">
        <f t="shared" si="342"/>
        <v>NA5TE</v>
      </c>
      <c r="M7353">
        <f>COUNTIF(L$1:L7353,L7353)</f>
        <v>77</v>
      </c>
      <c r="N7353" t="str">
        <f t="shared" si="343"/>
        <v>NA5TE-77</v>
      </c>
      <c r="O7353">
        <f>COUNTIFS(F$1:F7353,F7353,A$1:A7353,A7353)</f>
        <v>88</v>
      </c>
      <c r="P7353" t="str">
        <f t="shared" si="344"/>
        <v>Ed Dickson5</v>
      </c>
    </row>
    <row r="7354" spans="1:16" x14ac:dyDescent="0.25">
      <c r="A7354">
        <v>6</v>
      </c>
      <c r="B7354" t="s">
        <v>307</v>
      </c>
      <c r="C7354" t="s">
        <v>743</v>
      </c>
      <c r="D7354">
        <v>0</v>
      </c>
      <c r="E7354" t="s">
        <v>32</v>
      </c>
      <c r="F7354" t="s">
        <v>114</v>
      </c>
      <c r="G7354">
        <v>0</v>
      </c>
      <c r="H7354">
        <v>0</v>
      </c>
      <c r="I7354">
        <v>0</v>
      </c>
      <c r="J7354">
        <v>0</v>
      </c>
      <c r="K7354" t="str">
        <f>IFERROR(INDEX(Rosters!$C$2:$C$155,MATCH($B7354,Rosters!$B$2:$B$155,0)),"NA")</f>
        <v>NA</v>
      </c>
      <c r="L7354" t="str">
        <f t="shared" si="342"/>
        <v>NA6TE</v>
      </c>
      <c r="M7354">
        <f>COUNTIF(L$1:L7354,L7354)</f>
        <v>79</v>
      </c>
      <c r="N7354" t="str">
        <f t="shared" si="343"/>
        <v>NA6TE-79</v>
      </c>
      <c r="O7354">
        <f>COUNTIFS(F$1:F7354,F7354,A$1:A7354,A7354)</f>
        <v>91</v>
      </c>
      <c r="P7354" t="str">
        <f t="shared" si="344"/>
        <v>Ed Dickson6</v>
      </c>
    </row>
    <row r="7355" spans="1:16" x14ac:dyDescent="0.25">
      <c r="A7355">
        <v>1</v>
      </c>
      <c r="B7355" t="s">
        <v>2808</v>
      </c>
      <c r="C7355" t="s">
        <v>743</v>
      </c>
      <c r="D7355">
        <v>0</v>
      </c>
      <c r="E7355" t="s">
        <v>52</v>
      </c>
      <c r="F7355" t="s">
        <v>87</v>
      </c>
      <c r="G7355">
        <v>0</v>
      </c>
      <c r="H7355">
        <v>0</v>
      </c>
      <c r="I7355">
        <v>0</v>
      </c>
      <c r="J7355">
        <v>0</v>
      </c>
      <c r="K7355" t="str">
        <f>IFERROR(INDEX(Rosters!$C$2:$C$155,MATCH($B7355,Rosters!$B$2:$B$155,0)),"NA")</f>
        <v>NA</v>
      </c>
      <c r="L7355" t="str">
        <f t="shared" si="342"/>
        <v>NA1WR</v>
      </c>
      <c r="M7355">
        <f>COUNTIF(L$1:L7355,L7355)</f>
        <v>93</v>
      </c>
      <c r="N7355" t="str">
        <f t="shared" si="343"/>
        <v>NA1WR-93</v>
      </c>
      <c r="O7355">
        <f>COUNTIFS(F$1:F7355,F7355,A$1:A7355,A7355)</f>
        <v>143</v>
      </c>
      <c r="P7355" t="str">
        <f t="shared" si="344"/>
        <v>Eli Rogers1</v>
      </c>
    </row>
    <row r="7356" spans="1:16" x14ac:dyDescent="0.25">
      <c r="A7356">
        <v>2</v>
      </c>
      <c r="B7356" t="s">
        <v>2808</v>
      </c>
      <c r="C7356" t="s">
        <v>743</v>
      </c>
      <c r="D7356">
        <v>0</v>
      </c>
      <c r="E7356" t="s">
        <v>24</v>
      </c>
      <c r="F7356" t="s">
        <v>87</v>
      </c>
      <c r="G7356">
        <v>0</v>
      </c>
      <c r="H7356">
        <v>0</v>
      </c>
      <c r="I7356">
        <v>0</v>
      </c>
      <c r="J7356">
        <v>0</v>
      </c>
      <c r="K7356" t="str">
        <f>IFERROR(INDEX(Rosters!$C$2:$C$155,MATCH($B7356,Rosters!$B$2:$B$155,0)),"NA")</f>
        <v>NA</v>
      </c>
      <c r="L7356" t="str">
        <f t="shared" si="342"/>
        <v>NA2WR</v>
      </c>
      <c r="M7356">
        <f>COUNTIF(L$1:L7356,L7356)</f>
        <v>103</v>
      </c>
      <c r="N7356" t="str">
        <f t="shared" si="343"/>
        <v>NA2WR-103</v>
      </c>
      <c r="O7356">
        <f>COUNTIFS(F$1:F7356,F7356,A$1:A7356,A7356)</f>
        <v>154</v>
      </c>
      <c r="P7356" t="str">
        <f t="shared" si="344"/>
        <v>Eli Rogers2</v>
      </c>
    </row>
    <row r="7357" spans="1:16" x14ac:dyDescent="0.25">
      <c r="A7357">
        <v>3</v>
      </c>
      <c r="B7357" t="s">
        <v>2808</v>
      </c>
      <c r="C7357" t="s">
        <v>743</v>
      </c>
      <c r="D7357">
        <v>0</v>
      </c>
      <c r="E7357" t="s">
        <v>17</v>
      </c>
      <c r="F7357" t="s">
        <v>87</v>
      </c>
      <c r="G7357">
        <v>0</v>
      </c>
      <c r="H7357">
        <v>0</v>
      </c>
      <c r="I7357">
        <v>0</v>
      </c>
      <c r="J7357">
        <v>0</v>
      </c>
      <c r="K7357" t="str">
        <f>IFERROR(INDEX(Rosters!$C$2:$C$155,MATCH($B7357,Rosters!$B$2:$B$155,0)),"NA")</f>
        <v>NA</v>
      </c>
      <c r="L7357" t="str">
        <f t="shared" si="342"/>
        <v>NA3WR</v>
      </c>
      <c r="M7357">
        <f>COUNTIF(L$1:L7357,L7357)</f>
        <v>107</v>
      </c>
      <c r="N7357" t="str">
        <f t="shared" si="343"/>
        <v>NA3WR-107</v>
      </c>
      <c r="O7357">
        <f>COUNTIFS(F$1:F7357,F7357,A$1:A7357,A7357)</f>
        <v>158</v>
      </c>
      <c r="P7357" t="str">
        <f t="shared" si="344"/>
        <v>Eli Rogers3</v>
      </c>
    </row>
    <row r="7358" spans="1:16" x14ac:dyDescent="0.25">
      <c r="A7358">
        <v>4</v>
      </c>
      <c r="B7358" t="s">
        <v>2808</v>
      </c>
      <c r="C7358" t="s">
        <v>743</v>
      </c>
      <c r="D7358">
        <v>0</v>
      </c>
      <c r="E7358" t="s">
        <v>77</v>
      </c>
      <c r="F7358" t="s">
        <v>87</v>
      </c>
      <c r="G7358">
        <v>0</v>
      </c>
      <c r="H7358">
        <v>0</v>
      </c>
      <c r="I7358">
        <v>0</v>
      </c>
      <c r="J7358">
        <v>0</v>
      </c>
      <c r="K7358" t="str">
        <f>IFERROR(INDEX(Rosters!$C$2:$C$155,MATCH($B7358,Rosters!$B$2:$B$155,0)),"NA")</f>
        <v>NA</v>
      </c>
      <c r="L7358" t="str">
        <f t="shared" si="342"/>
        <v>NA4WR</v>
      </c>
      <c r="M7358">
        <f>COUNTIF(L$1:L7358,L7358)</f>
        <v>105</v>
      </c>
      <c r="N7358" t="str">
        <f t="shared" si="343"/>
        <v>NA4WR-105</v>
      </c>
      <c r="O7358">
        <f>COUNTIFS(F$1:F7358,F7358,A$1:A7358,A7358)</f>
        <v>155</v>
      </c>
      <c r="P7358" t="str">
        <f t="shared" si="344"/>
        <v>Eli Rogers4</v>
      </c>
    </row>
    <row r="7359" spans="1:16" x14ac:dyDescent="0.25">
      <c r="A7359">
        <v>5</v>
      </c>
      <c r="B7359" t="s">
        <v>2808</v>
      </c>
      <c r="C7359" t="s">
        <v>743</v>
      </c>
      <c r="D7359">
        <v>0</v>
      </c>
      <c r="E7359" t="s">
        <v>46</v>
      </c>
      <c r="F7359" t="s">
        <v>87</v>
      </c>
      <c r="G7359">
        <v>0</v>
      </c>
      <c r="H7359">
        <v>0</v>
      </c>
      <c r="I7359">
        <v>0</v>
      </c>
      <c r="J7359">
        <v>0</v>
      </c>
      <c r="K7359" t="str">
        <f>IFERROR(INDEX(Rosters!$C$2:$C$155,MATCH($B7359,Rosters!$B$2:$B$155,0)),"NA")</f>
        <v>NA</v>
      </c>
      <c r="L7359" t="str">
        <f t="shared" si="342"/>
        <v>NA5WR</v>
      </c>
      <c r="M7359">
        <f>COUNTIF(L$1:L7359,L7359)</f>
        <v>116</v>
      </c>
      <c r="N7359" t="str">
        <f t="shared" si="343"/>
        <v>NA5WR-116</v>
      </c>
      <c r="O7359">
        <f>COUNTIFS(F$1:F7359,F7359,A$1:A7359,A7359)</f>
        <v>166</v>
      </c>
      <c r="P7359" t="str">
        <f t="shared" si="344"/>
        <v>Eli Rogers5</v>
      </c>
    </row>
    <row r="7360" spans="1:16" x14ac:dyDescent="0.25">
      <c r="A7360">
        <v>1</v>
      </c>
      <c r="B7360" t="s">
        <v>320</v>
      </c>
      <c r="C7360" t="s">
        <v>743</v>
      </c>
      <c r="D7360">
        <v>0</v>
      </c>
      <c r="E7360" t="s">
        <v>34</v>
      </c>
      <c r="F7360" t="s">
        <v>47</v>
      </c>
      <c r="G7360">
        <v>0</v>
      </c>
      <c r="H7360">
        <v>0</v>
      </c>
      <c r="I7360">
        <v>0</v>
      </c>
      <c r="J7360">
        <v>0</v>
      </c>
      <c r="K7360" t="str">
        <f>IFERROR(INDEX(Rosters!$C$2:$C$155,MATCH($B7360,Rosters!$B$2:$B$155,0)),"NA")</f>
        <v>NA</v>
      </c>
      <c r="L7360" t="str">
        <f t="shared" si="342"/>
        <v>NA1RB</v>
      </c>
      <c r="M7360">
        <f>COUNTIF(L$1:L7360,L7360)</f>
        <v>57</v>
      </c>
      <c r="N7360" t="str">
        <f t="shared" si="343"/>
        <v>NA1RB-57</v>
      </c>
      <c r="O7360">
        <f>COUNTIFS(F$1:F7360,F7360,A$1:A7360,A7360)</f>
        <v>101</v>
      </c>
      <c r="P7360" t="str">
        <f t="shared" si="344"/>
        <v>Elijah McGuire1</v>
      </c>
    </row>
    <row r="7361" spans="1:16" x14ac:dyDescent="0.25">
      <c r="A7361">
        <v>2</v>
      </c>
      <c r="B7361" t="s">
        <v>320</v>
      </c>
      <c r="C7361" t="s">
        <v>743</v>
      </c>
      <c r="D7361">
        <v>0</v>
      </c>
      <c r="E7361" t="s">
        <v>19</v>
      </c>
      <c r="F7361" t="s">
        <v>47</v>
      </c>
      <c r="G7361">
        <v>0</v>
      </c>
      <c r="H7361">
        <v>0</v>
      </c>
      <c r="I7361">
        <v>0</v>
      </c>
      <c r="J7361">
        <v>0</v>
      </c>
      <c r="K7361" t="str">
        <f>IFERROR(INDEX(Rosters!$C$2:$C$155,MATCH($B7361,Rosters!$B$2:$B$155,0)),"NA")</f>
        <v>NA</v>
      </c>
      <c r="L7361" t="str">
        <f t="shared" si="342"/>
        <v>NA2RB</v>
      </c>
      <c r="M7361">
        <f>COUNTIF(L$1:L7361,L7361)</f>
        <v>64</v>
      </c>
      <c r="N7361" t="str">
        <f t="shared" si="343"/>
        <v>NA2RB-64</v>
      </c>
      <c r="O7361">
        <f>COUNTIFS(F$1:F7361,F7361,A$1:A7361,A7361)</f>
        <v>108</v>
      </c>
      <c r="P7361" t="str">
        <f t="shared" si="344"/>
        <v>Elijah McGuire2</v>
      </c>
    </row>
    <row r="7362" spans="1:16" x14ac:dyDescent="0.25">
      <c r="A7362">
        <v>3</v>
      </c>
      <c r="B7362" t="s">
        <v>320</v>
      </c>
      <c r="C7362" t="s">
        <v>743</v>
      </c>
      <c r="D7362">
        <v>0</v>
      </c>
      <c r="E7362" t="s">
        <v>52</v>
      </c>
      <c r="F7362" t="s">
        <v>47</v>
      </c>
      <c r="G7362">
        <v>0</v>
      </c>
      <c r="H7362">
        <v>0</v>
      </c>
      <c r="I7362">
        <v>0</v>
      </c>
      <c r="J7362">
        <v>0</v>
      </c>
      <c r="K7362" t="str">
        <f>IFERROR(INDEX(Rosters!$C$2:$C$155,MATCH($B7362,Rosters!$B$2:$B$155,0)),"NA")</f>
        <v>NA</v>
      </c>
      <c r="L7362" t="str">
        <f t="shared" si="342"/>
        <v>NA3RB</v>
      </c>
      <c r="M7362">
        <f>COUNTIF(L$1:L7362,L7362)</f>
        <v>69</v>
      </c>
      <c r="N7362" t="str">
        <f t="shared" si="343"/>
        <v>NA3RB-69</v>
      </c>
      <c r="O7362">
        <f>COUNTIFS(F$1:F7362,F7362,A$1:A7362,A7362)</f>
        <v>110</v>
      </c>
      <c r="P7362" t="str">
        <f t="shared" si="344"/>
        <v>Elijah McGuire3</v>
      </c>
    </row>
    <row r="7363" spans="1:16" x14ac:dyDescent="0.25">
      <c r="A7363">
        <v>4</v>
      </c>
      <c r="B7363" t="s">
        <v>320</v>
      </c>
      <c r="C7363" t="s">
        <v>743</v>
      </c>
      <c r="D7363">
        <v>0</v>
      </c>
      <c r="E7363" t="s">
        <v>76</v>
      </c>
      <c r="F7363" t="s">
        <v>47</v>
      </c>
      <c r="G7363">
        <v>0</v>
      </c>
      <c r="H7363">
        <v>0</v>
      </c>
      <c r="I7363">
        <v>0</v>
      </c>
      <c r="J7363">
        <v>0</v>
      </c>
      <c r="K7363" t="str">
        <f>IFERROR(INDEX(Rosters!$C$2:$C$155,MATCH($B7363,Rosters!$B$2:$B$155,0)),"NA")</f>
        <v>NA</v>
      </c>
      <c r="L7363" t="str">
        <f t="shared" ref="L7363:L7426" si="345">K7363&amp;A7363&amp;F7363</f>
        <v>NA4RB</v>
      </c>
      <c r="M7363">
        <f>COUNTIF(L$1:L7363,L7363)</f>
        <v>73</v>
      </c>
      <c r="N7363" t="str">
        <f t="shared" ref="N7363:N7426" si="346">L7363&amp;"-"&amp;M7363</f>
        <v>NA4RB-73</v>
      </c>
      <c r="O7363">
        <f>COUNTIFS(F$1:F7363,F7363,A$1:A7363,A7363)</f>
        <v>114</v>
      </c>
      <c r="P7363" t="str">
        <f t="shared" ref="P7363:P7426" si="347">B7363&amp;A7363</f>
        <v>Elijah McGuire4</v>
      </c>
    </row>
    <row r="7364" spans="1:16" x14ac:dyDescent="0.25">
      <c r="A7364">
        <v>5</v>
      </c>
      <c r="B7364" t="s">
        <v>320</v>
      </c>
      <c r="C7364" t="s">
        <v>743</v>
      </c>
      <c r="D7364">
        <v>0</v>
      </c>
      <c r="E7364" t="s">
        <v>42</v>
      </c>
      <c r="F7364" t="s">
        <v>47</v>
      </c>
      <c r="G7364">
        <v>0</v>
      </c>
      <c r="H7364">
        <v>0</v>
      </c>
      <c r="I7364">
        <v>0</v>
      </c>
      <c r="J7364">
        <v>0</v>
      </c>
      <c r="K7364" t="str">
        <f>IFERROR(INDEX(Rosters!$C$2:$C$155,MATCH($B7364,Rosters!$B$2:$B$155,0)),"NA")</f>
        <v>NA</v>
      </c>
      <c r="L7364" t="str">
        <f t="shared" si="345"/>
        <v>NA5RB</v>
      </c>
      <c r="M7364">
        <f>COUNTIF(L$1:L7364,L7364)</f>
        <v>77</v>
      </c>
      <c r="N7364" t="str">
        <f t="shared" si="346"/>
        <v>NA5RB-77</v>
      </c>
      <c r="O7364">
        <f>COUNTIFS(F$1:F7364,F7364,A$1:A7364,A7364)</f>
        <v>120</v>
      </c>
      <c r="P7364" t="str">
        <f t="shared" si="347"/>
        <v>Elijah McGuire5</v>
      </c>
    </row>
    <row r="7365" spans="1:16" x14ac:dyDescent="0.25">
      <c r="A7365">
        <v>6</v>
      </c>
      <c r="B7365" t="s">
        <v>320</v>
      </c>
      <c r="C7365" t="s">
        <v>743</v>
      </c>
      <c r="D7365">
        <v>0</v>
      </c>
      <c r="E7365" t="s">
        <v>66</v>
      </c>
      <c r="F7365" t="s">
        <v>47</v>
      </c>
      <c r="G7365">
        <v>0</v>
      </c>
      <c r="H7365">
        <v>0</v>
      </c>
      <c r="I7365">
        <v>0</v>
      </c>
      <c r="J7365">
        <v>0</v>
      </c>
      <c r="K7365" t="str">
        <f>IFERROR(INDEX(Rosters!$C$2:$C$155,MATCH($B7365,Rosters!$B$2:$B$155,0)),"NA")</f>
        <v>NA</v>
      </c>
      <c r="L7365" t="str">
        <f t="shared" si="345"/>
        <v>NA6RB</v>
      </c>
      <c r="M7365">
        <f>COUNTIF(L$1:L7365,L7365)</f>
        <v>77</v>
      </c>
      <c r="N7365" t="str">
        <f t="shared" si="346"/>
        <v>NA6RB-77</v>
      </c>
      <c r="O7365">
        <f>COUNTIFS(F$1:F7365,F7365,A$1:A7365,A7365)</f>
        <v>119</v>
      </c>
      <c r="P7365" t="str">
        <f t="shared" si="347"/>
        <v>Elijah McGuire6</v>
      </c>
    </row>
    <row r="7366" spans="1:16" x14ac:dyDescent="0.25">
      <c r="A7366">
        <v>7</v>
      </c>
      <c r="B7366" t="s">
        <v>320</v>
      </c>
      <c r="C7366" t="s">
        <v>743</v>
      </c>
      <c r="D7366">
        <v>0</v>
      </c>
      <c r="E7366" t="s">
        <v>25</v>
      </c>
      <c r="F7366" t="s">
        <v>47</v>
      </c>
      <c r="G7366">
        <v>0</v>
      </c>
      <c r="H7366">
        <v>0</v>
      </c>
      <c r="I7366">
        <v>0</v>
      </c>
      <c r="J7366">
        <v>0</v>
      </c>
      <c r="K7366" t="str">
        <f>IFERROR(INDEX(Rosters!$C$2:$C$155,MATCH($B7366,Rosters!$B$2:$B$155,0)),"NA")</f>
        <v>NA</v>
      </c>
      <c r="L7366" t="str">
        <f t="shared" si="345"/>
        <v>NA7RB</v>
      </c>
      <c r="M7366">
        <f>COUNTIF(L$1:L7366,L7366)</f>
        <v>73</v>
      </c>
      <c r="N7366" t="str">
        <f t="shared" si="346"/>
        <v>NA7RB-73</v>
      </c>
      <c r="O7366">
        <f>COUNTIFS(F$1:F7366,F7366,A$1:A7366,A7366)</f>
        <v>114</v>
      </c>
      <c r="P7366" t="str">
        <f t="shared" si="347"/>
        <v>Elijah McGuire7</v>
      </c>
    </row>
    <row r="7367" spans="1:16" x14ac:dyDescent="0.25">
      <c r="A7367">
        <v>1</v>
      </c>
      <c r="B7367" t="s">
        <v>1576</v>
      </c>
      <c r="C7367" t="s">
        <v>743</v>
      </c>
      <c r="D7367">
        <v>0</v>
      </c>
      <c r="E7367" t="s">
        <v>72</v>
      </c>
      <c r="F7367" t="s">
        <v>114</v>
      </c>
      <c r="G7367">
        <v>0</v>
      </c>
      <c r="H7367">
        <v>0</v>
      </c>
      <c r="I7367">
        <v>0</v>
      </c>
      <c r="J7367">
        <v>0</v>
      </c>
      <c r="K7367" t="str">
        <f>IFERROR(INDEX(Rosters!$C$2:$C$155,MATCH($B7367,Rosters!$B$2:$B$155,0)),"NA")</f>
        <v>NA</v>
      </c>
      <c r="L7367" t="str">
        <f t="shared" si="345"/>
        <v>NA1TE</v>
      </c>
      <c r="M7367">
        <f>COUNTIF(L$1:L7367,L7367)</f>
        <v>69</v>
      </c>
      <c r="N7367" t="str">
        <f t="shared" si="346"/>
        <v>NA1TE-69</v>
      </c>
      <c r="O7367">
        <f>COUNTIFS(F$1:F7367,F7367,A$1:A7367,A7367)</f>
        <v>82</v>
      </c>
      <c r="P7367" t="str">
        <f t="shared" si="347"/>
        <v>Emanuel Byrd1</v>
      </c>
    </row>
    <row r="7368" spans="1:16" x14ac:dyDescent="0.25">
      <c r="A7368">
        <v>2</v>
      </c>
      <c r="B7368" t="s">
        <v>1576</v>
      </c>
      <c r="C7368" t="s">
        <v>743</v>
      </c>
      <c r="D7368">
        <v>0</v>
      </c>
      <c r="E7368" t="s">
        <v>25</v>
      </c>
      <c r="F7368" t="s">
        <v>114</v>
      </c>
      <c r="G7368">
        <v>0</v>
      </c>
      <c r="H7368">
        <v>0</v>
      </c>
      <c r="I7368">
        <v>0</v>
      </c>
      <c r="J7368">
        <v>0</v>
      </c>
      <c r="K7368" t="str">
        <f>IFERROR(INDEX(Rosters!$C$2:$C$155,MATCH($B7368,Rosters!$B$2:$B$155,0)),"NA")</f>
        <v>NA</v>
      </c>
      <c r="L7368" t="str">
        <f t="shared" si="345"/>
        <v>NA2TE</v>
      </c>
      <c r="M7368">
        <f>COUNTIF(L$1:L7368,L7368)</f>
        <v>77</v>
      </c>
      <c r="N7368" t="str">
        <f t="shared" si="346"/>
        <v>NA2TE-77</v>
      </c>
      <c r="O7368">
        <f>COUNTIFS(F$1:F7368,F7368,A$1:A7368,A7368)</f>
        <v>90</v>
      </c>
      <c r="P7368" t="str">
        <f t="shared" si="347"/>
        <v>Emanuel Byrd2</v>
      </c>
    </row>
    <row r="7369" spans="1:16" x14ac:dyDescent="0.25">
      <c r="A7369">
        <v>4</v>
      </c>
      <c r="B7369" t="s">
        <v>235</v>
      </c>
      <c r="C7369" t="s">
        <v>743</v>
      </c>
      <c r="D7369">
        <v>0</v>
      </c>
      <c r="E7369" t="s">
        <v>14</v>
      </c>
      <c r="F7369" t="s">
        <v>114</v>
      </c>
      <c r="G7369">
        <v>0</v>
      </c>
      <c r="H7369">
        <v>0</v>
      </c>
      <c r="I7369">
        <v>0</v>
      </c>
      <c r="J7369">
        <v>0</v>
      </c>
      <c r="K7369" t="str">
        <f>IFERROR(INDEX(Rosters!$C$2:$C$155,MATCH($B7369,Rosters!$B$2:$B$155,0)),"NA")</f>
        <v>devon</v>
      </c>
      <c r="L7369" t="str">
        <f t="shared" si="345"/>
        <v>devon4TE</v>
      </c>
      <c r="M7369">
        <f>COUNTIF(L$1:L7369,L7369)</f>
        <v>2</v>
      </c>
      <c r="N7369" t="str">
        <f t="shared" si="346"/>
        <v>devon4TE-2</v>
      </c>
      <c r="O7369">
        <f>COUNTIFS(F$1:F7369,F7369,A$1:A7369,A7369)</f>
        <v>84</v>
      </c>
      <c r="P7369" t="str">
        <f t="shared" si="347"/>
        <v>Evan Engram4</v>
      </c>
    </row>
    <row r="7370" spans="1:16" x14ac:dyDescent="0.25">
      <c r="A7370">
        <v>5</v>
      </c>
      <c r="B7370" t="s">
        <v>235</v>
      </c>
      <c r="C7370" t="s">
        <v>743</v>
      </c>
      <c r="D7370">
        <v>0</v>
      </c>
      <c r="E7370" t="s">
        <v>74</v>
      </c>
      <c r="F7370" t="s">
        <v>114</v>
      </c>
      <c r="G7370">
        <v>0</v>
      </c>
      <c r="H7370">
        <v>0</v>
      </c>
      <c r="I7370">
        <v>0</v>
      </c>
      <c r="J7370">
        <v>0</v>
      </c>
      <c r="K7370" t="str">
        <f>IFERROR(INDEX(Rosters!$C$2:$C$155,MATCH($B7370,Rosters!$B$2:$B$155,0)),"NA")</f>
        <v>devon</v>
      </c>
      <c r="L7370" t="str">
        <f t="shared" si="345"/>
        <v>devon5TE</v>
      </c>
      <c r="M7370">
        <f>COUNTIF(L$1:L7370,L7370)</f>
        <v>2</v>
      </c>
      <c r="N7370" t="str">
        <f t="shared" si="346"/>
        <v>devon5TE-2</v>
      </c>
      <c r="O7370">
        <f>COUNTIFS(F$1:F7370,F7370,A$1:A7370,A7370)</f>
        <v>89</v>
      </c>
      <c r="P7370" t="str">
        <f t="shared" si="347"/>
        <v>Evan Engram5</v>
      </c>
    </row>
    <row r="7371" spans="1:16" x14ac:dyDescent="0.25">
      <c r="A7371">
        <v>6</v>
      </c>
      <c r="B7371" t="s">
        <v>235</v>
      </c>
      <c r="C7371" t="s">
        <v>743</v>
      </c>
      <c r="D7371">
        <v>0</v>
      </c>
      <c r="E7371" t="s">
        <v>50</v>
      </c>
      <c r="F7371" t="s">
        <v>114</v>
      </c>
      <c r="G7371">
        <v>0</v>
      </c>
      <c r="H7371">
        <v>0</v>
      </c>
      <c r="I7371">
        <v>0</v>
      </c>
      <c r="J7371">
        <v>0</v>
      </c>
      <c r="K7371" t="str">
        <f>IFERROR(INDEX(Rosters!$C$2:$C$155,MATCH($B7371,Rosters!$B$2:$B$155,0)),"NA")</f>
        <v>devon</v>
      </c>
      <c r="L7371" t="str">
        <f t="shared" si="345"/>
        <v>devon6TE</v>
      </c>
      <c r="M7371">
        <f>COUNTIF(L$1:L7371,L7371)</f>
        <v>2</v>
      </c>
      <c r="N7371" t="str">
        <f t="shared" si="346"/>
        <v>devon6TE-2</v>
      </c>
      <c r="O7371">
        <f>COUNTIFS(F$1:F7371,F7371,A$1:A7371,A7371)</f>
        <v>92</v>
      </c>
      <c r="P7371" t="str">
        <f t="shared" si="347"/>
        <v>Evan Engram6</v>
      </c>
    </row>
    <row r="7372" spans="1:16" x14ac:dyDescent="0.25">
      <c r="A7372">
        <v>1</v>
      </c>
      <c r="B7372" t="s">
        <v>1132</v>
      </c>
      <c r="C7372" t="s">
        <v>743</v>
      </c>
      <c r="D7372">
        <v>0</v>
      </c>
      <c r="E7372" t="s">
        <v>24</v>
      </c>
      <c r="F7372" t="s">
        <v>87</v>
      </c>
      <c r="G7372">
        <v>0</v>
      </c>
      <c r="H7372">
        <v>0</v>
      </c>
      <c r="I7372">
        <v>0</v>
      </c>
      <c r="J7372">
        <v>0</v>
      </c>
      <c r="K7372" t="str">
        <f>IFERROR(INDEX(Rosters!$C$2:$C$155,MATCH($B7372,Rosters!$B$2:$B$155,0)),"NA")</f>
        <v>NA</v>
      </c>
      <c r="L7372" t="str">
        <f t="shared" si="345"/>
        <v>NA1WR</v>
      </c>
      <c r="M7372">
        <f>COUNTIF(L$1:L7372,L7372)</f>
        <v>94</v>
      </c>
      <c r="N7372" t="str">
        <f t="shared" si="346"/>
        <v>NA1WR-94</v>
      </c>
      <c r="O7372">
        <f>COUNTIFS(F$1:F7372,F7372,A$1:A7372,A7372)</f>
        <v>144</v>
      </c>
      <c r="P7372" t="str">
        <f t="shared" si="347"/>
        <v>Geremy Davis1</v>
      </c>
    </row>
    <row r="7373" spans="1:16" x14ac:dyDescent="0.25">
      <c r="A7373">
        <v>2</v>
      </c>
      <c r="B7373" t="s">
        <v>141</v>
      </c>
      <c r="C7373" t="s">
        <v>743</v>
      </c>
      <c r="D7373">
        <v>0</v>
      </c>
      <c r="E7373" t="s">
        <v>46</v>
      </c>
      <c r="F7373" t="s">
        <v>114</v>
      </c>
      <c r="G7373">
        <v>0</v>
      </c>
      <c r="H7373">
        <v>0</v>
      </c>
      <c r="I7373">
        <v>0</v>
      </c>
      <c r="J7373">
        <v>0</v>
      </c>
      <c r="K7373" t="str">
        <f>IFERROR(INDEX(Rosters!$C$2:$C$155,MATCH($B7373,Rosters!$B$2:$B$155,0)),"NA")</f>
        <v>aj</v>
      </c>
      <c r="L7373" t="str">
        <f t="shared" si="345"/>
        <v>aj2TE</v>
      </c>
      <c r="M7373">
        <f>COUNTIF(L$1:L7373,L7373)</f>
        <v>2</v>
      </c>
      <c r="N7373" t="str">
        <f t="shared" si="346"/>
        <v>aj2TE-2</v>
      </c>
      <c r="O7373">
        <f>COUNTIFS(F$1:F7373,F7373,A$1:A7373,A7373)</f>
        <v>91</v>
      </c>
      <c r="P7373" t="str">
        <f t="shared" si="347"/>
        <v>Greg Olsen2</v>
      </c>
    </row>
    <row r="7374" spans="1:16" x14ac:dyDescent="0.25">
      <c r="A7374">
        <v>3</v>
      </c>
      <c r="B7374" t="s">
        <v>141</v>
      </c>
      <c r="C7374" t="s">
        <v>743</v>
      </c>
      <c r="D7374">
        <v>0</v>
      </c>
      <c r="E7374" t="s">
        <v>31</v>
      </c>
      <c r="F7374" t="s">
        <v>114</v>
      </c>
      <c r="G7374">
        <v>0</v>
      </c>
      <c r="H7374">
        <v>0</v>
      </c>
      <c r="I7374">
        <v>0</v>
      </c>
      <c r="J7374">
        <v>0</v>
      </c>
      <c r="K7374" t="str">
        <f>IFERROR(INDEX(Rosters!$C$2:$C$155,MATCH($B7374,Rosters!$B$2:$B$155,0)),"NA")</f>
        <v>aj</v>
      </c>
      <c r="L7374" t="str">
        <f t="shared" si="345"/>
        <v>aj3TE</v>
      </c>
      <c r="M7374">
        <f>COUNTIF(L$1:L7374,L7374)</f>
        <v>2</v>
      </c>
      <c r="N7374" t="str">
        <f t="shared" si="346"/>
        <v>aj3TE-2</v>
      </c>
      <c r="O7374">
        <f>COUNTIFS(F$1:F7374,F7374,A$1:A7374,A7374)</f>
        <v>91</v>
      </c>
      <c r="P7374" t="str">
        <f t="shared" si="347"/>
        <v>Greg Olsen3</v>
      </c>
    </row>
    <row r="7375" spans="1:16" x14ac:dyDescent="0.25">
      <c r="A7375">
        <v>5</v>
      </c>
      <c r="B7375" t="s">
        <v>141</v>
      </c>
      <c r="C7375" t="s">
        <v>743</v>
      </c>
      <c r="D7375">
        <v>0</v>
      </c>
      <c r="E7375" t="s">
        <v>54</v>
      </c>
      <c r="F7375" t="s">
        <v>114</v>
      </c>
      <c r="G7375">
        <v>0</v>
      </c>
      <c r="H7375">
        <v>0</v>
      </c>
      <c r="I7375">
        <v>0</v>
      </c>
      <c r="J7375">
        <v>0</v>
      </c>
      <c r="K7375" t="str">
        <f>IFERROR(INDEX(Rosters!$C$2:$C$155,MATCH($B7375,Rosters!$B$2:$B$155,0)),"NA")</f>
        <v>aj</v>
      </c>
      <c r="L7375" t="str">
        <f t="shared" si="345"/>
        <v>aj5TE</v>
      </c>
      <c r="M7375">
        <f>COUNTIF(L$1:L7375,L7375)</f>
        <v>2</v>
      </c>
      <c r="N7375" t="str">
        <f t="shared" si="346"/>
        <v>aj5TE-2</v>
      </c>
      <c r="O7375">
        <f>COUNTIFS(F$1:F7375,F7375,A$1:A7375,A7375)</f>
        <v>90</v>
      </c>
      <c r="P7375" t="str">
        <f t="shared" si="347"/>
        <v>Greg Olsen5</v>
      </c>
    </row>
    <row r="7376" spans="1:16" x14ac:dyDescent="0.25">
      <c r="A7376">
        <v>6</v>
      </c>
      <c r="B7376" t="s">
        <v>141</v>
      </c>
      <c r="C7376" t="s">
        <v>743</v>
      </c>
      <c r="D7376">
        <v>0</v>
      </c>
      <c r="E7376" t="s">
        <v>60</v>
      </c>
      <c r="F7376" t="s">
        <v>114</v>
      </c>
      <c r="G7376">
        <v>0</v>
      </c>
      <c r="H7376">
        <v>0</v>
      </c>
      <c r="I7376">
        <v>0</v>
      </c>
      <c r="J7376">
        <v>0</v>
      </c>
      <c r="K7376" t="str">
        <f>IFERROR(INDEX(Rosters!$C$2:$C$155,MATCH($B7376,Rosters!$B$2:$B$155,0)),"NA")</f>
        <v>aj</v>
      </c>
      <c r="L7376" t="str">
        <f t="shared" si="345"/>
        <v>aj6TE</v>
      </c>
      <c r="M7376">
        <f>COUNTIF(L$1:L7376,L7376)</f>
        <v>2</v>
      </c>
      <c r="N7376" t="str">
        <f t="shared" si="346"/>
        <v>aj6TE-2</v>
      </c>
      <c r="O7376">
        <f>COUNTIFS(F$1:F7376,F7376,A$1:A7376,A7376)</f>
        <v>93</v>
      </c>
      <c r="P7376" t="str">
        <f t="shared" si="347"/>
        <v>Greg Olsen6</v>
      </c>
    </row>
    <row r="7377" spans="1:16" x14ac:dyDescent="0.25">
      <c r="A7377">
        <v>7</v>
      </c>
      <c r="B7377" t="s">
        <v>141</v>
      </c>
      <c r="C7377" t="s">
        <v>743</v>
      </c>
      <c r="D7377">
        <v>0</v>
      </c>
      <c r="E7377" t="s">
        <v>50</v>
      </c>
      <c r="F7377" t="s">
        <v>114</v>
      </c>
      <c r="G7377">
        <v>0</v>
      </c>
      <c r="H7377">
        <v>0</v>
      </c>
      <c r="I7377">
        <v>0</v>
      </c>
      <c r="J7377">
        <v>0</v>
      </c>
      <c r="K7377" t="str">
        <f>IFERROR(INDEX(Rosters!$C$2:$C$155,MATCH($B7377,Rosters!$B$2:$B$155,0)),"NA")</f>
        <v>aj</v>
      </c>
      <c r="L7377" t="str">
        <f t="shared" si="345"/>
        <v>aj7TE</v>
      </c>
      <c r="M7377">
        <f>COUNTIF(L$1:L7377,L7377)</f>
        <v>2</v>
      </c>
      <c r="N7377" t="str">
        <f t="shared" si="346"/>
        <v>aj7TE-2</v>
      </c>
      <c r="O7377">
        <f>COUNTIFS(F$1:F7377,F7377,A$1:A7377,A7377)</f>
        <v>88</v>
      </c>
      <c r="P7377" t="str">
        <f t="shared" si="347"/>
        <v>Greg Olsen7</v>
      </c>
    </row>
    <row r="7378" spans="1:16" x14ac:dyDescent="0.25">
      <c r="A7378">
        <v>8</v>
      </c>
      <c r="B7378" t="s">
        <v>141</v>
      </c>
      <c r="C7378" t="s">
        <v>743</v>
      </c>
      <c r="D7378">
        <v>0</v>
      </c>
      <c r="E7378" t="s">
        <v>77</v>
      </c>
      <c r="F7378" t="s">
        <v>114</v>
      </c>
      <c r="G7378">
        <v>0</v>
      </c>
      <c r="H7378">
        <v>0</v>
      </c>
      <c r="I7378">
        <v>0</v>
      </c>
      <c r="J7378">
        <v>0</v>
      </c>
      <c r="K7378" t="str">
        <f>IFERROR(INDEX(Rosters!$C$2:$C$155,MATCH($B7378,Rosters!$B$2:$B$155,0)),"NA")</f>
        <v>aj</v>
      </c>
      <c r="L7378" t="str">
        <f t="shared" si="345"/>
        <v>aj8TE</v>
      </c>
      <c r="M7378">
        <f>COUNTIF(L$1:L7378,L7378)</f>
        <v>2</v>
      </c>
      <c r="N7378" t="str">
        <f t="shared" si="346"/>
        <v>aj8TE-2</v>
      </c>
      <c r="O7378">
        <f>COUNTIFS(F$1:F7378,F7378,A$1:A7378,A7378)</f>
        <v>89</v>
      </c>
      <c r="P7378" t="str">
        <f t="shared" si="347"/>
        <v>Greg Olsen8</v>
      </c>
    </row>
    <row r="7379" spans="1:16" x14ac:dyDescent="0.25">
      <c r="A7379">
        <v>1</v>
      </c>
      <c r="B7379" t="s">
        <v>1449</v>
      </c>
      <c r="C7379" t="s">
        <v>743</v>
      </c>
      <c r="D7379">
        <v>0</v>
      </c>
      <c r="E7379" t="s">
        <v>29</v>
      </c>
      <c r="F7379" t="s">
        <v>114</v>
      </c>
      <c r="G7379">
        <v>0</v>
      </c>
      <c r="H7379">
        <v>0</v>
      </c>
      <c r="I7379">
        <v>0</v>
      </c>
      <c r="J7379">
        <v>0</v>
      </c>
      <c r="K7379" t="str">
        <f>IFERROR(INDEX(Rosters!$C$2:$C$155,MATCH($B7379,Rosters!$B$2:$B$155,0)),"NA")</f>
        <v>NA</v>
      </c>
      <c r="L7379" t="str">
        <f t="shared" si="345"/>
        <v>NA1TE</v>
      </c>
      <c r="M7379">
        <f>COUNTIF(L$1:L7379,L7379)</f>
        <v>70</v>
      </c>
      <c r="N7379" t="str">
        <f t="shared" si="346"/>
        <v>NA1TE-70</v>
      </c>
      <c r="O7379">
        <f>COUNTIFS(F$1:F7379,F7379,A$1:A7379,A7379)</f>
        <v>83</v>
      </c>
      <c r="P7379" t="str">
        <f t="shared" si="347"/>
        <v>Hayden Hurst1</v>
      </c>
    </row>
    <row r="7380" spans="1:16" x14ac:dyDescent="0.25">
      <c r="A7380">
        <v>2</v>
      </c>
      <c r="B7380" t="s">
        <v>1449</v>
      </c>
      <c r="C7380" t="s">
        <v>743</v>
      </c>
      <c r="D7380">
        <v>0</v>
      </c>
      <c r="E7380" t="s">
        <v>31</v>
      </c>
      <c r="F7380" t="s">
        <v>114</v>
      </c>
      <c r="G7380">
        <v>0</v>
      </c>
      <c r="H7380">
        <v>0</v>
      </c>
      <c r="I7380">
        <v>0</v>
      </c>
      <c r="J7380">
        <v>0</v>
      </c>
      <c r="K7380" t="str">
        <f>IFERROR(INDEX(Rosters!$C$2:$C$155,MATCH($B7380,Rosters!$B$2:$B$155,0)),"NA")</f>
        <v>NA</v>
      </c>
      <c r="L7380" t="str">
        <f t="shared" si="345"/>
        <v>NA2TE</v>
      </c>
      <c r="M7380">
        <f>COUNTIF(L$1:L7380,L7380)</f>
        <v>78</v>
      </c>
      <c r="N7380" t="str">
        <f t="shared" si="346"/>
        <v>NA2TE-78</v>
      </c>
      <c r="O7380">
        <f>COUNTIFS(F$1:F7380,F7380,A$1:A7380,A7380)</f>
        <v>92</v>
      </c>
      <c r="P7380" t="str">
        <f t="shared" si="347"/>
        <v>Hayden Hurst2</v>
      </c>
    </row>
    <row r="7381" spans="1:16" x14ac:dyDescent="0.25">
      <c r="A7381">
        <v>3</v>
      </c>
      <c r="B7381" t="s">
        <v>1449</v>
      </c>
      <c r="C7381" t="s">
        <v>743</v>
      </c>
      <c r="D7381">
        <v>0</v>
      </c>
      <c r="E7381" t="s">
        <v>42</v>
      </c>
      <c r="F7381" t="s">
        <v>114</v>
      </c>
      <c r="G7381">
        <v>0</v>
      </c>
      <c r="H7381">
        <v>0</v>
      </c>
      <c r="I7381">
        <v>0</v>
      </c>
      <c r="J7381">
        <v>0</v>
      </c>
      <c r="K7381" t="str">
        <f>IFERROR(INDEX(Rosters!$C$2:$C$155,MATCH($B7381,Rosters!$B$2:$B$155,0)),"NA")</f>
        <v>NA</v>
      </c>
      <c r="L7381" t="str">
        <f t="shared" si="345"/>
        <v>NA3TE</v>
      </c>
      <c r="M7381">
        <f>COUNTIF(L$1:L7381,L7381)</f>
        <v>78</v>
      </c>
      <c r="N7381" t="str">
        <f t="shared" si="346"/>
        <v>NA3TE-78</v>
      </c>
      <c r="O7381">
        <f>COUNTIFS(F$1:F7381,F7381,A$1:A7381,A7381)</f>
        <v>92</v>
      </c>
      <c r="P7381" t="str">
        <f t="shared" si="347"/>
        <v>Hayden Hurst3</v>
      </c>
    </row>
    <row r="7382" spans="1:16" x14ac:dyDescent="0.25">
      <c r="A7382">
        <v>4</v>
      </c>
      <c r="B7382" t="s">
        <v>1449</v>
      </c>
      <c r="C7382" t="s">
        <v>743</v>
      </c>
      <c r="D7382">
        <v>0</v>
      </c>
      <c r="E7382" t="s">
        <v>51</v>
      </c>
      <c r="F7382" t="s">
        <v>114</v>
      </c>
      <c r="G7382">
        <v>0</v>
      </c>
      <c r="H7382">
        <v>0</v>
      </c>
      <c r="I7382">
        <v>0</v>
      </c>
      <c r="J7382">
        <v>0</v>
      </c>
      <c r="K7382" t="str">
        <f>IFERROR(INDEX(Rosters!$C$2:$C$155,MATCH($B7382,Rosters!$B$2:$B$155,0)),"NA")</f>
        <v>NA</v>
      </c>
      <c r="L7382" t="str">
        <f t="shared" si="345"/>
        <v>NA4TE</v>
      </c>
      <c r="M7382">
        <f>COUNTIF(L$1:L7382,L7382)</f>
        <v>73</v>
      </c>
      <c r="N7382" t="str">
        <f t="shared" si="346"/>
        <v>NA4TE-73</v>
      </c>
      <c r="O7382">
        <f>COUNTIFS(F$1:F7382,F7382,A$1:A7382,A7382)</f>
        <v>85</v>
      </c>
      <c r="P7382" t="str">
        <f t="shared" si="347"/>
        <v>Hayden Hurst4</v>
      </c>
    </row>
    <row r="7383" spans="1:16" x14ac:dyDescent="0.25">
      <c r="A7383">
        <v>1</v>
      </c>
      <c r="B7383" t="s">
        <v>1616</v>
      </c>
      <c r="C7383" t="s">
        <v>743</v>
      </c>
      <c r="D7383">
        <v>0</v>
      </c>
      <c r="E7383" t="s">
        <v>76</v>
      </c>
      <c r="F7383" t="s">
        <v>87</v>
      </c>
      <c r="G7383">
        <v>0</v>
      </c>
      <c r="H7383">
        <v>0</v>
      </c>
      <c r="I7383">
        <v>0</v>
      </c>
      <c r="J7383">
        <v>0</v>
      </c>
      <c r="K7383" t="str">
        <f>IFERROR(INDEX(Rosters!$C$2:$C$155,MATCH($B7383,Rosters!$B$2:$B$155,0)),"NA")</f>
        <v>NA</v>
      </c>
      <c r="L7383" t="str">
        <f t="shared" si="345"/>
        <v>NA1WR</v>
      </c>
      <c r="M7383">
        <f>COUNTIF(L$1:L7383,L7383)</f>
        <v>95</v>
      </c>
      <c r="N7383" t="str">
        <f t="shared" si="346"/>
        <v>NA1WR-95</v>
      </c>
      <c r="O7383">
        <f>COUNTIFS(F$1:F7383,F7383,A$1:A7383,A7383)</f>
        <v>145</v>
      </c>
      <c r="P7383" t="str">
        <f t="shared" si="347"/>
        <v>Hunter Sharp1</v>
      </c>
    </row>
    <row r="7384" spans="1:16" x14ac:dyDescent="0.25">
      <c r="A7384">
        <v>2</v>
      </c>
      <c r="B7384" t="s">
        <v>1616</v>
      </c>
      <c r="C7384" t="s">
        <v>743</v>
      </c>
      <c r="D7384">
        <v>0</v>
      </c>
      <c r="E7384" t="s">
        <v>22</v>
      </c>
      <c r="F7384" t="s">
        <v>87</v>
      </c>
      <c r="G7384">
        <v>0</v>
      </c>
      <c r="H7384">
        <v>0</v>
      </c>
      <c r="I7384">
        <v>0</v>
      </c>
      <c r="J7384">
        <v>0</v>
      </c>
      <c r="K7384" t="str">
        <f>IFERROR(INDEX(Rosters!$C$2:$C$155,MATCH($B7384,Rosters!$B$2:$B$155,0)),"NA")</f>
        <v>NA</v>
      </c>
      <c r="L7384" t="str">
        <f t="shared" si="345"/>
        <v>NA2WR</v>
      </c>
      <c r="M7384">
        <f>COUNTIF(L$1:L7384,L7384)</f>
        <v>104</v>
      </c>
      <c r="N7384" t="str">
        <f t="shared" si="346"/>
        <v>NA2WR-104</v>
      </c>
      <c r="O7384">
        <f>COUNTIFS(F$1:F7384,F7384,A$1:A7384,A7384)</f>
        <v>155</v>
      </c>
      <c r="P7384" t="str">
        <f t="shared" si="347"/>
        <v>Hunter Sharp2</v>
      </c>
    </row>
    <row r="7385" spans="1:16" x14ac:dyDescent="0.25">
      <c r="A7385">
        <v>1</v>
      </c>
      <c r="B7385" t="s">
        <v>1516</v>
      </c>
      <c r="C7385" t="s">
        <v>743</v>
      </c>
      <c r="D7385">
        <v>0</v>
      </c>
      <c r="E7385" t="s">
        <v>72</v>
      </c>
      <c r="F7385" t="s">
        <v>87</v>
      </c>
      <c r="G7385">
        <v>0</v>
      </c>
      <c r="H7385">
        <v>0</v>
      </c>
      <c r="I7385">
        <v>0</v>
      </c>
      <c r="J7385">
        <v>0</v>
      </c>
      <c r="K7385" t="str">
        <f>IFERROR(INDEX(Rosters!$C$2:$C$155,MATCH($B7385,Rosters!$B$2:$B$155,0)),"NA")</f>
        <v>NA</v>
      </c>
      <c r="L7385" t="str">
        <f t="shared" si="345"/>
        <v>NA1WR</v>
      </c>
      <c r="M7385">
        <f>COUNTIF(L$1:L7385,L7385)</f>
        <v>96</v>
      </c>
      <c r="N7385" t="str">
        <f t="shared" si="346"/>
        <v>NA1WR-96</v>
      </c>
      <c r="O7385">
        <f>COUNTIFS(F$1:F7385,F7385,A$1:A7385,A7385)</f>
        <v>146</v>
      </c>
      <c r="P7385" t="str">
        <f t="shared" si="347"/>
        <v>J'Mon Moore1</v>
      </c>
    </row>
    <row r="7386" spans="1:16" x14ac:dyDescent="0.25">
      <c r="A7386">
        <v>2</v>
      </c>
      <c r="B7386" t="s">
        <v>1516</v>
      </c>
      <c r="C7386" t="s">
        <v>743</v>
      </c>
      <c r="D7386">
        <v>0</v>
      </c>
      <c r="E7386" t="s">
        <v>25</v>
      </c>
      <c r="F7386" t="s">
        <v>87</v>
      </c>
      <c r="G7386">
        <v>0</v>
      </c>
      <c r="H7386">
        <v>0</v>
      </c>
      <c r="I7386">
        <v>0</v>
      </c>
      <c r="J7386">
        <v>0</v>
      </c>
      <c r="K7386" t="str">
        <f>IFERROR(INDEX(Rosters!$C$2:$C$155,MATCH($B7386,Rosters!$B$2:$B$155,0)),"NA")</f>
        <v>NA</v>
      </c>
      <c r="L7386" t="str">
        <f t="shared" si="345"/>
        <v>NA2WR</v>
      </c>
      <c r="M7386">
        <f>COUNTIF(L$1:L7386,L7386)</f>
        <v>105</v>
      </c>
      <c r="N7386" t="str">
        <f t="shared" si="346"/>
        <v>NA2WR-105</v>
      </c>
      <c r="O7386">
        <f>COUNTIFS(F$1:F7386,F7386,A$1:A7386,A7386)</f>
        <v>156</v>
      </c>
      <c r="P7386" t="str">
        <f t="shared" si="347"/>
        <v>J'Mon Moore2</v>
      </c>
    </row>
    <row r="7387" spans="1:16" x14ac:dyDescent="0.25">
      <c r="A7387">
        <v>3</v>
      </c>
      <c r="B7387" t="s">
        <v>1516</v>
      </c>
      <c r="C7387" t="s">
        <v>743</v>
      </c>
      <c r="D7387">
        <v>0</v>
      </c>
      <c r="E7387" t="s">
        <v>60</v>
      </c>
      <c r="F7387" t="s">
        <v>87</v>
      </c>
      <c r="G7387">
        <v>0</v>
      </c>
      <c r="H7387">
        <v>0</v>
      </c>
      <c r="I7387">
        <v>0</v>
      </c>
      <c r="J7387">
        <v>0</v>
      </c>
      <c r="K7387" t="str">
        <f>IFERROR(INDEX(Rosters!$C$2:$C$155,MATCH($B7387,Rosters!$B$2:$B$155,0)),"NA")</f>
        <v>NA</v>
      </c>
      <c r="L7387" t="str">
        <f t="shared" si="345"/>
        <v>NA3WR</v>
      </c>
      <c r="M7387">
        <f>COUNTIF(L$1:L7387,L7387)</f>
        <v>108</v>
      </c>
      <c r="N7387" t="str">
        <f t="shared" si="346"/>
        <v>NA3WR-108</v>
      </c>
      <c r="O7387">
        <f>COUNTIFS(F$1:F7387,F7387,A$1:A7387,A7387)</f>
        <v>159</v>
      </c>
      <c r="P7387" t="str">
        <f t="shared" si="347"/>
        <v>J'Mon Moore3</v>
      </c>
    </row>
    <row r="7388" spans="1:16" x14ac:dyDescent="0.25">
      <c r="A7388">
        <v>1</v>
      </c>
      <c r="B7388" t="s">
        <v>1490</v>
      </c>
      <c r="C7388" t="s">
        <v>743</v>
      </c>
      <c r="D7388">
        <v>0</v>
      </c>
      <c r="E7388" t="s">
        <v>42</v>
      </c>
      <c r="F7388" t="s">
        <v>47</v>
      </c>
      <c r="G7388">
        <v>0</v>
      </c>
      <c r="H7388">
        <v>0</v>
      </c>
      <c r="I7388">
        <v>0</v>
      </c>
      <c r="J7388">
        <v>0</v>
      </c>
      <c r="K7388" t="str">
        <f>IFERROR(INDEX(Rosters!$C$2:$C$155,MATCH($B7388,Rosters!$B$2:$B$155,0)),"NA")</f>
        <v>NA</v>
      </c>
      <c r="L7388" t="str">
        <f t="shared" si="345"/>
        <v>NA1RB</v>
      </c>
      <c r="M7388">
        <f>COUNTIF(L$1:L7388,L7388)</f>
        <v>58</v>
      </c>
      <c r="N7388" t="str">
        <f t="shared" si="346"/>
        <v>NA1RB-58</v>
      </c>
      <c r="O7388">
        <f>COUNTIFS(F$1:F7388,F7388,A$1:A7388,A7388)</f>
        <v>102</v>
      </c>
      <c r="P7388" t="str">
        <f t="shared" si="347"/>
        <v>J.D. McKissic1</v>
      </c>
    </row>
    <row r="7389" spans="1:16" x14ac:dyDescent="0.25">
      <c r="A7389">
        <v>2</v>
      </c>
      <c r="B7389" t="s">
        <v>1490</v>
      </c>
      <c r="C7389" t="s">
        <v>743</v>
      </c>
      <c r="D7389">
        <v>0</v>
      </c>
      <c r="E7389" t="s">
        <v>72</v>
      </c>
      <c r="F7389" t="s">
        <v>47</v>
      </c>
      <c r="G7389">
        <v>0</v>
      </c>
      <c r="H7389">
        <v>0</v>
      </c>
      <c r="I7389">
        <v>0</v>
      </c>
      <c r="J7389">
        <v>0</v>
      </c>
      <c r="K7389" t="str">
        <f>IFERROR(INDEX(Rosters!$C$2:$C$155,MATCH($B7389,Rosters!$B$2:$B$155,0)),"NA")</f>
        <v>NA</v>
      </c>
      <c r="L7389" t="str">
        <f t="shared" si="345"/>
        <v>NA2RB</v>
      </c>
      <c r="M7389">
        <f>COUNTIF(L$1:L7389,L7389)</f>
        <v>65</v>
      </c>
      <c r="N7389" t="str">
        <f t="shared" si="346"/>
        <v>NA2RB-65</v>
      </c>
      <c r="O7389">
        <f>COUNTIFS(F$1:F7389,F7389,A$1:A7389,A7389)</f>
        <v>109</v>
      </c>
      <c r="P7389" t="str">
        <f t="shared" si="347"/>
        <v>J.D. McKissic2</v>
      </c>
    </row>
    <row r="7390" spans="1:16" x14ac:dyDescent="0.25">
      <c r="A7390">
        <v>3</v>
      </c>
      <c r="B7390" t="s">
        <v>1490</v>
      </c>
      <c r="C7390" t="s">
        <v>743</v>
      </c>
      <c r="D7390">
        <v>0</v>
      </c>
      <c r="E7390" t="s">
        <v>22</v>
      </c>
      <c r="F7390" t="s">
        <v>47</v>
      </c>
      <c r="G7390">
        <v>0</v>
      </c>
      <c r="H7390">
        <v>0</v>
      </c>
      <c r="I7390">
        <v>0</v>
      </c>
      <c r="J7390">
        <v>0</v>
      </c>
      <c r="K7390" t="str">
        <f>IFERROR(INDEX(Rosters!$C$2:$C$155,MATCH($B7390,Rosters!$B$2:$B$155,0)),"NA")</f>
        <v>NA</v>
      </c>
      <c r="L7390" t="str">
        <f t="shared" si="345"/>
        <v>NA3RB</v>
      </c>
      <c r="M7390">
        <f>COUNTIF(L$1:L7390,L7390)</f>
        <v>70</v>
      </c>
      <c r="N7390" t="str">
        <f t="shared" si="346"/>
        <v>NA3RB-70</v>
      </c>
      <c r="O7390">
        <f>COUNTIFS(F$1:F7390,F7390,A$1:A7390,A7390)</f>
        <v>111</v>
      </c>
      <c r="P7390" t="str">
        <f t="shared" si="347"/>
        <v>J.D. McKissic3</v>
      </c>
    </row>
    <row r="7391" spans="1:16" x14ac:dyDescent="0.25">
      <c r="A7391">
        <v>4</v>
      </c>
      <c r="B7391" t="s">
        <v>1490</v>
      </c>
      <c r="C7391" t="s">
        <v>743</v>
      </c>
      <c r="D7391">
        <v>0</v>
      </c>
      <c r="E7391" t="s">
        <v>58</v>
      </c>
      <c r="F7391" t="s">
        <v>47</v>
      </c>
      <c r="G7391">
        <v>0</v>
      </c>
      <c r="H7391">
        <v>0</v>
      </c>
      <c r="I7391">
        <v>0</v>
      </c>
      <c r="J7391">
        <v>0</v>
      </c>
      <c r="K7391" t="str">
        <f>IFERROR(INDEX(Rosters!$C$2:$C$155,MATCH($B7391,Rosters!$B$2:$B$155,0)),"NA")</f>
        <v>NA</v>
      </c>
      <c r="L7391" t="str">
        <f t="shared" si="345"/>
        <v>NA4RB</v>
      </c>
      <c r="M7391">
        <f>COUNTIF(L$1:L7391,L7391)</f>
        <v>74</v>
      </c>
      <c r="N7391" t="str">
        <f t="shared" si="346"/>
        <v>NA4RB-74</v>
      </c>
      <c r="O7391">
        <f>COUNTIFS(F$1:F7391,F7391,A$1:A7391,A7391)</f>
        <v>115</v>
      </c>
      <c r="P7391" t="str">
        <f t="shared" si="347"/>
        <v>J.D. McKissic4</v>
      </c>
    </row>
    <row r="7392" spans="1:16" x14ac:dyDescent="0.25">
      <c r="A7392">
        <v>5</v>
      </c>
      <c r="B7392" t="s">
        <v>1490</v>
      </c>
      <c r="C7392" t="s">
        <v>743</v>
      </c>
      <c r="D7392">
        <v>0</v>
      </c>
      <c r="E7392" t="s">
        <v>56</v>
      </c>
      <c r="F7392" t="s">
        <v>47</v>
      </c>
      <c r="G7392">
        <v>0</v>
      </c>
      <c r="H7392">
        <v>0</v>
      </c>
      <c r="I7392">
        <v>0</v>
      </c>
      <c r="J7392">
        <v>0</v>
      </c>
      <c r="K7392" t="str">
        <f>IFERROR(INDEX(Rosters!$C$2:$C$155,MATCH($B7392,Rosters!$B$2:$B$155,0)),"NA")</f>
        <v>NA</v>
      </c>
      <c r="L7392" t="str">
        <f t="shared" si="345"/>
        <v>NA5RB</v>
      </c>
      <c r="M7392">
        <f>COUNTIF(L$1:L7392,L7392)</f>
        <v>78</v>
      </c>
      <c r="N7392" t="str">
        <f t="shared" si="346"/>
        <v>NA5RB-78</v>
      </c>
      <c r="O7392">
        <f>COUNTIFS(F$1:F7392,F7392,A$1:A7392,A7392)</f>
        <v>121</v>
      </c>
      <c r="P7392" t="str">
        <f t="shared" si="347"/>
        <v>J.D. McKissic5</v>
      </c>
    </row>
    <row r="7393" spans="1:16" x14ac:dyDescent="0.25">
      <c r="A7393">
        <v>6</v>
      </c>
      <c r="B7393" t="s">
        <v>1490</v>
      </c>
      <c r="C7393" t="s">
        <v>743</v>
      </c>
      <c r="D7393">
        <v>0</v>
      </c>
      <c r="E7393" t="s">
        <v>32</v>
      </c>
      <c r="F7393" t="s">
        <v>47</v>
      </c>
      <c r="G7393">
        <v>0</v>
      </c>
      <c r="H7393">
        <v>0</v>
      </c>
      <c r="I7393">
        <v>0</v>
      </c>
      <c r="J7393">
        <v>0</v>
      </c>
      <c r="K7393" t="str">
        <f>IFERROR(INDEX(Rosters!$C$2:$C$155,MATCH($B7393,Rosters!$B$2:$B$155,0)),"NA")</f>
        <v>NA</v>
      </c>
      <c r="L7393" t="str">
        <f t="shared" si="345"/>
        <v>NA6RB</v>
      </c>
      <c r="M7393">
        <f>COUNTIF(L$1:L7393,L7393)</f>
        <v>78</v>
      </c>
      <c r="N7393" t="str">
        <f t="shared" si="346"/>
        <v>NA6RB-78</v>
      </c>
      <c r="O7393">
        <f>COUNTIFS(F$1:F7393,F7393,A$1:A7393,A7393)</f>
        <v>120</v>
      </c>
      <c r="P7393" t="str">
        <f t="shared" si="347"/>
        <v>J.D. McKissic6</v>
      </c>
    </row>
    <row r="7394" spans="1:16" x14ac:dyDescent="0.25">
      <c r="A7394">
        <v>4</v>
      </c>
      <c r="B7394" t="s">
        <v>4244</v>
      </c>
      <c r="C7394" t="s">
        <v>743</v>
      </c>
      <c r="D7394">
        <v>0</v>
      </c>
      <c r="E7394" t="s">
        <v>30</v>
      </c>
      <c r="F7394" t="s">
        <v>87</v>
      </c>
      <c r="G7394">
        <v>0</v>
      </c>
      <c r="H7394">
        <v>0</v>
      </c>
      <c r="I7394">
        <v>0</v>
      </c>
      <c r="J7394">
        <v>0</v>
      </c>
      <c r="K7394" t="str">
        <f>IFERROR(INDEX(Rosters!$C$2:$C$155,MATCH($B7394,Rosters!$B$2:$B$155,0)),"NA")</f>
        <v>NA</v>
      </c>
      <c r="L7394" t="str">
        <f t="shared" si="345"/>
        <v>NA4WR</v>
      </c>
      <c r="M7394">
        <f>COUNTIF(L$1:L7394,L7394)</f>
        <v>106</v>
      </c>
      <c r="N7394" t="str">
        <f t="shared" si="346"/>
        <v>NA4WR-106</v>
      </c>
      <c r="O7394">
        <f>COUNTIFS(F$1:F7394,F7394,A$1:A7394,A7394)</f>
        <v>156</v>
      </c>
      <c r="P7394" t="str">
        <f t="shared" si="347"/>
        <v>J.J. Jones4</v>
      </c>
    </row>
    <row r="7395" spans="1:16" x14ac:dyDescent="0.25">
      <c r="A7395">
        <v>1</v>
      </c>
      <c r="B7395" t="s">
        <v>1577</v>
      </c>
      <c r="C7395" t="s">
        <v>743</v>
      </c>
      <c r="D7395">
        <v>0</v>
      </c>
      <c r="E7395" t="s">
        <v>73</v>
      </c>
      <c r="F7395" t="s">
        <v>87</v>
      </c>
      <c r="G7395">
        <v>0</v>
      </c>
      <c r="H7395">
        <v>0</v>
      </c>
      <c r="I7395">
        <v>0</v>
      </c>
      <c r="J7395">
        <v>0</v>
      </c>
      <c r="K7395" t="str">
        <f>IFERROR(INDEX(Rosters!$C$2:$C$155,MATCH($B7395,Rosters!$B$2:$B$155,0)),"NA")</f>
        <v>NA</v>
      </c>
      <c r="L7395" t="str">
        <f t="shared" si="345"/>
        <v>NA1WR</v>
      </c>
      <c r="M7395">
        <f>COUNTIF(L$1:L7395,L7395)</f>
        <v>97</v>
      </c>
      <c r="N7395" t="str">
        <f t="shared" si="346"/>
        <v>NA1WR-97</v>
      </c>
      <c r="O7395">
        <f>COUNTIFS(F$1:F7395,F7395,A$1:A7395,A7395)</f>
        <v>147</v>
      </c>
      <c r="P7395" t="str">
        <f t="shared" si="347"/>
        <v>Jace Billingsley1</v>
      </c>
    </row>
    <row r="7396" spans="1:16" x14ac:dyDescent="0.25">
      <c r="A7396">
        <v>2</v>
      </c>
      <c r="B7396" t="s">
        <v>1577</v>
      </c>
      <c r="C7396" t="s">
        <v>743</v>
      </c>
      <c r="D7396">
        <v>0</v>
      </c>
      <c r="E7396" t="s">
        <v>30</v>
      </c>
      <c r="F7396" t="s">
        <v>87</v>
      </c>
      <c r="G7396">
        <v>0</v>
      </c>
      <c r="H7396">
        <v>0</v>
      </c>
      <c r="I7396">
        <v>0</v>
      </c>
      <c r="J7396">
        <v>0</v>
      </c>
      <c r="K7396" t="str">
        <f>IFERROR(INDEX(Rosters!$C$2:$C$155,MATCH($B7396,Rosters!$B$2:$B$155,0)),"NA")</f>
        <v>NA</v>
      </c>
      <c r="L7396" t="str">
        <f t="shared" si="345"/>
        <v>NA2WR</v>
      </c>
      <c r="M7396">
        <f>COUNTIF(L$1:L7396,L7396)</f>
        <v>106</v>
      </c>
      <c r="N7396" t="str">
        <f t="shared" si="346"/>
        <v>NA2WR-106</v>
      </c>
      <c r="O7396">
        <f>COUNTIFS(F$1:F7396,F7396,A$1:A7396,A7396)</f>
        <v>157</v>
      </c>
      <c r="P7396" t="str">
        <f t="shared" si="347"/>
        <v>Jace Billingsley2</v>
      </c>
    </row>
    <row r="7397" spans="1:16" x14ac:dyDescent="0.25">
      <c r="A7397">
        <v>3</v>
      </c>
      <c r="B7397" t="s">
        <v>189</v>
      </c>
      <c r="C7397" t="s">
        <v>743</v>
      </c>
      <c r="D7397">
        <v>0</v>
      </c>
      <c r="E7397" t="s">
        <v>50</v>
      </c>
      <c r="F7397" t="s">
        <v>114</v>
      </c>
      <c r="G7397">
        <v>0</v>
      </c>
      <c r="H7397">
        <v>0</v>
      </c>
      <c r="I7397">
        <v>0</v>
      </c>
      <c r="J7397">
        <v>0</v>
      </c>
      <c r="K7397" t="str">
        <f>IFERROR(INDEX(Rosters!$C$2:$C$155,MATCH($B7397,Rosters!$B$2:$B$155,0)),"NA")</f>
        <v>NA</v>
      </c>
      <c r="L7397" t="str">
        <f t="shared" si="345"/>
        <v>NA3TE</v>
      </c>
      <c r="M7397">
        <f>COUNTIF(L$1:L7397,L7397)</f>
        <v>79</v>
      </c>
      <c r="N7397" t="str">
        <f t="shared" si="346"/>
        <v>NA3TE-79</v>
      </c>
      <c r="O7397">
        <f>COUNTIFS(F$1:F7397,F7397,A$1:A7397,A7397)</f>
        <v>93</v>
      </c>
      <c r="P7397" t="str">
        <f t="shared" si="347"/>
        <v>Jack Doyle3</v>
      </c>
    </row>
    <row r="7398" spans="1:16" x14ac:dyDescent="0.25">
      <c r="A7398">
        <v>4</v>
      </c>
      <c r="B7398" t="s">
        <v>189</v>
      </c>
      <c r="C7398" t="s">
        <v>743</v>
      </c>
      <c r="D7398">
        <v>0</v>
      </c>
      <c r="E7398" t="s">
        <v>36</v>
      </c>
      <c r="F7398" t="s">
        <v>114</v>
      </c>
      <c r="G7398">
        <v>0</v>
      </c>
      <c r="H7398">
        <v>0</v>
      </c>
      <c r="I7398">
        <v>0</v>
      </c>
      <c r="J7398">
        <v>0</v>
      </c>
      <c r="K7398" t="str">
        <f>IFERROR(INDEX(Rosters!$C$2:$C$155,MATCH($B7398,Rosters!$B$2:$B$155,0)),"NA")</f>
        <v>NA</v>
      </c>
      <c r="L7398" t="str">
        <f t="shared" si="345"/>
        <v>NA4TE</v>
      </c>
      <c r="M7398">
        <f>COUNTIF(L$1:L7398,L7398)</f>
        <v>74</v>
      </c>
      <c r="N7398" t="str">
        <f t="shared" si="346"/>
        <v>NA4TE-74</v>
      </c>
      <c r="O7398">
        <f>COUNTIFS(F$1:F7398,F7398,A$1:A7398,A7398)</f>
        <v>86</v>
      </c>
      <c r="P7398" t="str">
        <f t="shared" si="347"/>
        <v>Jack Doyle4</v>
      </c>
    </row>
    <row r="7399" spans="1:16" x14ac:dyDescent="0.25">
      <c r="A7399">
        <v>5</v>
      </c>
      <c r="B7399" t="s">
        <v>189</v>
      </c>
      <c r="C7399" t="s">
        <v>743</v>
      </c>
      <c r="D7399">
        <v>0</v>
      </c>
      <c r="E7399" t="s">
        <v>423</v>
      </c>
      <c r="F7399" t="s">
        <v>114</v>
      </c>
      <c r="G7399">
        <v>0</v>
      </c>
      <c r="H7399">
        <v>0</v>
      </c>
      <c r="I7399">
        <v>0</v>
      </c>
      <c r="J7399">
        <v>0</v>
      </c>
      <c r="K7399" t="str">
        <f>IFERROR(INDEX(Rosters!$C$2:$C$155,MATCH($B7399,Rosters!$B$2:$B$155,0)),"NA")</f>
        <v>NA</v>
      </c>
      <c r="L7399" t="str">
        <f t="shared" si="345"/>
        <v>NA5TE</v>
      </c>
      <c r="M7399">
        <f>COUNTIF(L$1:L7399,L7399)</f>
        <v>78</v>
      </c>
      <c r="N7399" t="str">
        <f t="shared" si="346"/>
        <v>NA5TE-78</v>
      </c>
      <c r="O7399">
        <f>COUNTIFS(F$1:F7399,F7399,A$1:A7399,A7399)</f>
        <v>91</v>
      </c>
      <c r="P7399" t="str">
        <f t="shared" si="347"/>
        <v>Jack Doyle5</v>
      </c>
    </row>
    <row r="7400" spans="1:16" x14ac:dyDescent="0.25">
      <c r="A7400">
        <v>1</v>
      </c>
      <c r="B7400" t="s">
        <v>1625</v>
      </c>
      <c r="C7400" t="s">
        <v>743</v>
      </c>
      <c r="D7400">
        <v>0</v>
      </c>
      <c r="E7400" t="s">
        <v>36</v>
      </c>
      <c r="F7400" t="s">
        <v>114</v>
      </c>
      <c r="G7400">
        <v>0</v>
      </c>
      <c r="H7400">
        <v>0</v>
      </c>
      <c r="I7400">
        <v>0</v>
      </c>
      <c r="J7400">
        <v>0</v>
      </c>
      <c r="K7400" t="str">
        <f>IFERROR(INDEX(Rosters!$C$2:$C$155,MATCH($B7400,Rosters!$B$2:$B$155,0)),"NA")</f>
        <v>NA</v>
      </c>
      <c r="L7400" t="str">
        <f t="shared" si="345"/>
        <v>NA1TE</v>
      </c>
      <c r="M7400">
        <f>COUNTIF(L$1:L7400,L7400)</f>
        <v>71</v>
      </c>
      <c r="N7400" t="str">
        <f t="shared" si="346"/>
        <v>NA1TE-71</v>
      </c>
      <c r="O7400">
        <f>COUNTIFS(F$1:F7400,F7400,A$1:A7400,A7400)</f>
        <v>84</v>
      </c>
      <c r="P7400" t="str">
        <f t="shared" si="347"/>
        <v>Jacob Hollister1</v>
      </c>
    </row>
    <row r="7401" spans="1:16" x14ac:dyDescent="0.25">
      <c r="A7401">
        <v>3</v>
      </c>
      <c r="B7401" t="s">
        <v>1625</v>
      </c>
      <c r="C7401" t="s">
        <v>743</v>
      </c>
      <c r="D7401">
        <v>0</v>
      </c>
      <c r="E7401" t="s">
        <v>34</v>
      </c>
      <c r="F7401" t="s">
        <v>114</v>
      </c>
      <c r="G7401">
        <v>0</v>
      </c>
      <c r="H7401">
        <v>0</v>
      </c>
      <c r="I7401">
        <v>0</v>
      </c>
      <c r="J7401">
        <v>0</v>
      </c>
      <c r="K7401" t="str">
        <f>IFERROR(INDEX(Rosters!$C$2:$C$155,MATCH($B7401,Rosters!$B$2:$B$155,0)),"NA")</f>
        <v>NA</v>
      </c>
      <c r="L7401" t="str">
        <f t="shared" si="345"/>
        <v>NA3TE</v>
      </c>
      <c r="M7401">
        <f>COUNTIF(L$1:L7401,L7401)</f>
        <v>80</v>
      </c>
      <c r="N7401" t="str">
        <f t="shared" si="346"/>
        <v>NA3TE-80</v>
      </c>
      <c r="O7401">
        <f>COUNTIFS(F$1:F7401,F7401,A$1:A7401,A7401)</f>
        <v>94</v>
      </c>
      <c r="P7401" t="str">
        <f t="shared" si="347"/>
        <v>Jacob Hollister3</v>
      </c>
    </row>
    <row r="7402" spans="1:16" x14ac:dyDescent="0.25">
      <c r="A7402">
        <v>4</v>
      </c>
      <c r="B7402" t="s">
        <v>1625</v>
      </c>
      <c r="C7402" t="s">
        <v>743</v>
      </c>
      <c r="D7402">
        <v>0</v>
      </c>
      <c r="E7402" t="s">
        <v>19</v>
      </c>
      <c r="F7402" t="s">
        <v>114</v>
      </c>
      <c r="G7402">
        <v>0</v>
      </c>
      <c r="H7402">
        <v>0</v>
      </c>
      <c r="I7402">
        <v>0</v>
      </c>
      <c r="J7402">
        <v>0</v>
      </c>
      <c r="K7402" t="str">
        <f>IFERROR(INDEX(Rosters!$C$2:$C$155,MATCH($B7402,Rosters!$B$2:$B$155,0)),"NA")</f>
        <v>NA</v>
      </c>
      <c r="L7402" t="str">
        <f t="shared" si="345"/>
        <v>NA4TE</v>
      </c>
      <c r="M7402">
        <f>COUNTIF(L$1:L7402,L7402)</f>
        <v>75</v>
      </c>
      <c r="N7402" t="str">
        <f t="shared" si="346"/>
        <v>NA4TE-75</v>
      </c>
      <c r="O7402">
        <f>COUNTIFS(F$1:F7402,F7402,A$1:A7402,A7402)</f>
        <v>87</v>
      </c>
      <c r="P7402" t="str">
        <f t="shared" si="347"/>
        <v>Jacob Hollister4</v>
      </c>
    </row>
    <row r="7403" spans="1:16" x14ac:dyDescent="0.25">
      <c r="A7403">
        <v>4</v>
      </c>
      <c r="B7403" t="s">
        <v>1484</v>
      </c>
      <c r="C7403" t="s">
        <v>743</v>
      </c>
      <c r="D7403">
        <v>0</v>
      </c>
      <c r="E7403" t="s">
        <v>24</v>
      </c>
      <c r="F7403" t="s">
        <v>114</v>
      </c>
      <c r="G7403">
        <v>0</v>
      </c>
      <c r="H7403">
        <v>0</v>
      </c>
      <c r="I7403">
        <v>0</v>
      </c>
      <c r="J7403">
        <v>0</v>
      </c>
      <c r="K7403" t="str">
        <f>IFERROR(INDEX(Rosters!$C$2:$C$155,MATCH($B7403,Rosters!$B$2:$B$155,0)),"NA")</f>
        <v>NA</v>
      </c>
      <c r="L7403" t="str">
        <f t="shared" si="345"/>
        <v>NA4TE</v>
      </c>
      <c r="M7403">
        <f>COUNTIF(L$1:L7403,L7403)</f>
        <v>76</v>
      </c>
      <c r="N7403" t="str">
        <f t="shared" si="346"/>
        <v>NA4TE-76</v>
      </c>
      <c r="O7403">
        <f>COUNTIFS(F$1:F7403,F7403,A$1:A7403,A7403)</f>
        <v>88</v>
      </c>
      <c r="P7403" t="str">
        <f t="shared" si="347"/>
        <v>Jake Butt4</v>
      </c>
    </row>
    <row r="7404" spans="1:16" x14ac:dyDescent="0.25">
      <c r="A7404">
        <v>1</v>
      </c>
      <c r="B7404" t="s">
        <v>61</v>
      </c>
      <c r="C7404" t="s">
        <v>743</v>
      </c>
      <c r="D7404">
        <v>0</v>
      </c>
      <c r="E7404" t="s">
        <v>14</v>
      </c>
      <c r="F7404" t="s">
        <v>15</v>
      </c>
      <c r="G7404">
        <v>0</v>
      </c>
      <c r="H7404">
        <v>0</v>
      </c>
      <c r="I7404">
        <v>0</v>
      </c>
      <c r="J7404">
        <v>0</v>
      </c>
      <c r="K7404" t="str">
        <f>IFERROR(INDEX(Rosters!$C$2:$C$155,MATCH($B7404,Rosters!$B$2:$B$155,0)),"NA")</f>
        <v>NA</v>
      </c>
      <c r="L7404" t="str">
        <f t="shared" si="345"/>
        <v>NA1QB</v>
      </c>
      <c r="M7404">
        <f>COUNTIF(L$1:L7404,L7404)</f>
        <v>44</v>
      </c>
      <c r="N7404" t="str">
        <f t="shared" si="346"/>
        <v>NA1QB-44</v>
      </c>
      <c r="O7404">
        <f>COUNTIFS(F$1:F7404,F7404,A$1:A7404,A7404)</f>
        <v>61</v>
      </c>
      <c r="P7404" t="str">
        <f t="shared" si="347"/>
        <v>Jameis Winston1</v>
      </c>
    </row>
    <row r="7405" spans="1:16" x14ac:dyDescent="0.25">
      <c r="A7405">
        <v>2</v>
      </c>
      <c r="B7405" t="s">
        <v>61</v>
      </c>
      <c r="C7405" t="s">
        <v>743</v>
      </c>
      <c r="D7405">
        <v>0</v>
      </c>
      <c r="E7405" t="s">
        <v>50</v>
      </c>
      <c r="F7405" t="s">
        <v>15</v>
      </c>
      <c r="G7405">
        <v>0</v>
      </c>
      <c r="H7405">
        <v>0</v>
      </c>
      <c r="I7405">
        <v>0</v>
      </c>
      <c r="J7405">
        <v>0</v>
      </c>
      <c r="K7405" t="str">
        <f>IFERROR(INDEX(Rosters!$C$2:$C$155,MATCH($B7405,Rosters!$B$2:$B$155,0)),"NA")</f>
        <v>NA</v>
      </c>
      <c r="L7405" t="str">
        <f t="shared" si="345"/>
        <v>NA2QB</v>
      </c>
      <c r="M7405">
        <f>COUNTIF(L$1:L7405,L7405)</f>
        <v>43</v>
      </c>
      <c r="N7405" t="str">
        <f t="shared" si="346"/>
        <v>NA2QB-43</v>
      </c>
      <c r="O7405">
        <f>COUNTIFS(F$1:F7405,F7405,A$1:A7405,A7405)</f>
        <v>60</v>
      </c>
      <c r="P7405" t="str">
        <f t="shared" si="347"/>
        <v>Jameis Winston2</v>
      </c>
    </row>
    <row r="7406" spans="1:16" x14ac:dyDescent="0.25">
      <c r="A7406">
        <v>3</v>
      </c>
      <c r="B7406" t="s">
        <v>61</v>
      </c>
      <c r="C7406" t="s">
        <v>743</v>
      </c>
      <c r="D7406">
        <v>0</v>
      </c>
      <c r="E7406" t="s">
        <v>51</v>
      </c>
      <c r="F7406" t="s">
        <v>15</v>
      </c>
      <c r="G7406">
        <v>0</v>
      </c>
      <c r="H7406">
        <v>0</v>
      </c>
      <c r="I7406">
        <v>0</v>
      </c>
      <c r="J7406">
        <v>0</v>
      </c>
      <c r="K7406" t="str">
        <f>IFERROR(INDEX(Rosters!$C$2:$C$155,MATCH($B7406,Rosters!$B$2:$B$155,0)),"NA")</f>
        <v>NA</v>
      </c>
      <c r="L7406" t="str">
        <f t="shared" si="345"/>
        <v>NA3QB</v>
      </c>
      <c r="M7406">
        <f>COUNTIF(L$1:L7406,L7406)</f>
        <v>44</v>
      </c>
      <c r="N7406" t="str">
        <f t="shared" si="346"/>
        <v>NA3QB-44</v>
      </c>
      <c r="O7406">
        <f>COUNTIFS(F$1:F7406,F7406,A$1:A7406,A7406)</f>
        <v>61</v>
      </c>
      <c r="P7406" t="str">
        <f t="shared" si="347"/>
        <v>Jameis Winston3</v>
      </c>
    </row>
    <row r="7407" spans="1:16" x14ac:dyDescent="0.25">
      <c r="A7407">
        <v>3</v>
      </c>
      <c r="B7407" t="s">
        <v>89</v>
      </c>
      <c r="C7407" t="s">
        <v>743</v>
      </c>
      <c r="D7407">
        <v>0</v>
      </c>
      <c r="E7407" t="s">
        <v>66</v>
      </c>
      <c r="F7407" t="s">
        <v>47</v>
      </c>
      <c r="G7407">
        <v>0</v>
      </c>
      <c r="H7407">
        <v>0</v>
      </c>
      <c r="I7407">
        <v>0</v>
      </c>
      <c r="J7407">
        <v>0</v>
      </c>
      <c r="K7407" t="str">
        <f>IFERROR(INDEX(Rosters!$C$2:$C$155,MATCH($B7407,Rosters!$B$2:$B$155,0)),"NA")</f>
        <v>matty</v>
      </c>
      <c r="L7407" t="str">
        <f t="shared" si="345"/>
        <v>matty3RB</v>
      </c>
      <c r="M7407">
        <f>COUNTIF(L$1:L7407,L7407)</f>
        <v>4</v>
      </c>
      <c r="N7407" t="str">
        <f t="shared" si="346"/>
        <v>matty3RB-4</v>
      </c>
      <c r="O7407">
        <f>COUNTIFS(F$1:F7407,F7407,A$1:A7407,A7407)</f>
        <v>112</v>
      </c>
      <c r="P7407" t="str">
        <f t="shared" si="347"/>
        <v>Jay Ajayi3</v>
      </c>
    </row>
    <row r="7408" spans="1:16" x14ac:dyDescent="0.25">
      <c r="A7408">
        <v>3</v>
      </c>
      <c r="B7408" t="s">
        <v>3040</v>
      </c>
      <c r="C7408" t="s">
        <v>743</v>
      </c>
      <c r="D7408">
        <v>0</v>
      </c>
      <c r="E7408" t="s">
        <v>30</v>
      </c>
      <c r="F7408" t="s">
        <v>87</v>
      </c>
      <c r="G7408">
        <v>0</v>
      </c>
      <c r="H7408">
        <v>0</v>
      </c>
      <c r="I7408">
        <v>0</v>
      </c>
      <c r="J7408">
        <v>0</v>
      </c>
      <c r="K7408" t="str">
        <f>IFERROR(INDEX(Rosters!$C$2:$C$155,MATCH($B7408,Rosters!$B$2:$B$155,0)),"NA")</f>
        <v>NA</v>
      </c>
      <c r="L7408" t="str">
        <f t="shared" si="345"/>
        <v>NA3WR</v>
      </c>
      <c r="M7408">
        <f>COUNTIF(L$1:L7408,L7408)</f>
        <v>109</v>
      </c>
      <c r="N7408" t="str">
        <f t="shared" si="346"/>
        <v>NA3WR-109</v>
      </c>
      <c r="O7408">
        <f>COUNTIFS(F$1:F7408,F7408,A$1:A7408,A7408)</f>
        <v>160</v>
      </c>
      <c r="P7408" t="str">
        <f t="shared" si="347"/>
        <v>Jehu Chesson3</v>
      </c>
    </row>
    <row r="7409" spans="1:16" x14ac:dyDescent="0.25">
      <c r="A7409">
        <v>1</v>
      </c>
      <c r="B7409" t="s">
        <v>231</v>
      </c>
      <c r="C7409" t="s">
        <v>743</v>
      </c>
      <c r="D7409">
        <v>0</v>
      </c>
      <c r="E7409" t="s">
        <v>60</v>
      </c>
      <c r="F7409" t="s">
        <v>114</v>
      </c>
      <c r="G7409">
        <v>0</v>
      </c>
      <c r="H7409">
        <v>0</v>
      </c>
      <c r="I7409">
        <v>0</v>
      </c>
      <c r="J7409">
        <v>0</v>
      </c>
      <c r="K7409" t="str">
        <f>IFERROR(INDEX(Rosters!$C$2:$C$155,MATCH($B7409,Rosters!$B$2:$B$155,0)),"NA")</f>
        <v>NA</v>
      </c>
      <c r="L7409" t="str">
        <f t="shared" si="345"/>
        <v>NA1TE</v>
      </c>
      <c r="M7409">
        <f>COUNTIF(L$1:L7409,L7409)</f>
        <v>72</v>
      </c>
      <c r="N7409" t="str">
        <f t="shared" si="346"/>
        <v>NA1TE-72</v>
      </c>
      <c r="O7409">
        <f>COUNTIFS(F$1:F7409,F7409,A$1:A7409,A7409)</f>
        <v>85</v>
      </c>
      <c r="P7409" t="str">
        <f t="shared" si="347"/>
        <v>Jermaine Gresham1</v>
      </c>
    </row>
    <row r="7410" spans="1:16" x14ac:dyDescent="0.25">
      <c r="A7410">
        <v>2</v>
      </c>
      <c r="B7410" t="s">
        <v>231</v>
      </c>
      <c r="C7410" t="s">
        <v>743</v>
      </c>
      <c r="D7410">
        <v>0</v>
      </c>
      <c r="E7410" t="s">
        <v>56</v>
      </c>
      <c r="F7410" t="s">
        <v>114</v>
      </c>
      <c r="G7410">
        <v>0</v>
      </c>
      <c r="H7410">
        <v>0</v>
      </c>
      <c r="I7410">
        <v>0</v>
      </c>
      <c r="J7410">
        <v>0</v>
      </c>
      <c r="K7410" t="str">
        <f>IFERROR(INDEX(Rosters!$C$2:$C$155,MATCH($B7410,Rosters!$B$2:$B$155,0)),"NA")</f>
        <v>NA</v>
      </c>
      <c r="L7410" t="str">
        <f t="shared" si="345"/>
        <v>NA2TE</v>
      </c>
      <c r="M7410">
        <f>COUNTIF(L$1:L7410,L7410)</f>
        <v>79</v>
      </c>
      <c r="N7410" t="str">
        <f t="shared" si="346"/>
        <v>NA2TE-79</v>
      </c>
      <c r="O7410">
        <f>COUNTIFS(F$1:F7410,F7410,A$1:A7410,A7410)</f>
        <v>93</v>
      </c>
      <c r="P7410" t="str">
        <f t="shared" si="347"/>
        <v>Jermaine Gresham2</v>
      </c>
    </row>
    <row r="7411" spans="1:16" x14ac:dyDescent="0.25">
      <c r="A7411">
        <v>1</v>
      </c>
      <c r="B7411" t="s">
        <v>219</v>
      </c>
      <c r="C7411" t="s">
        <v>743</v>
      </c>
      <c r="D7411">
        <v>0</v>
      </c>
      <c r="E7411" t="s">
        <v>34</v>
      </c>
      <c r="F7411" t="s">
        <v>87</v>
      </c>
      <c r="G7411">
        <v>0</v>
      </c>
      <c r="H7411">
        <v>0</v>
      </c>
      <c r="I7411">
        <v>0</v>
      </c>
      <c r="J7411">
        <v>0</v>
      </c>
      <c r="K7411" t="str">
        <f>IFERROR(INDEX(Rosters!$C$2:$C$155,MATCH($B7411,Rosters!$B$2:$B$155,0)),"NA")</f>
        <v>NA</v>
      </c>
      <c r="L7411" t="str">
        <f t="shared" si="345"/>
        <v>NA1WR</v>
      </c>
      <c r="M7411">
        <f>COUNTIF(L$1:L7411,L7411)</f>
        <v>98</v>
      </c>
      <c r="N7411" t="str">
        <f t="shared" si="346"/>
        <v>NA1WR-98</v>
      </c>
      <c r="O7411">
        <f>COUNTIFS(F$1:F7411,F7411,A$1:A7411,A7411)</f>
        <v>148</v>
      </c>
      <c r="P7411" t="str">
        <f t="shared" si="347"/>
        <v>Jermaine Kearse1</v>
      </c>
    </row>
    <row r="7412" spans="1:16" x14ac:dyDescent="0.25">
      <c r="A7412">
        <v>3</v>
      </c>
      <c r="B7412" t="s">
        <v>123</v>
      </c>
      <c r="C7412" t="s">
        <v>743</v>
      </c>
      <c r="D7412">
        <v>0</v>
      </c>
      <c r="E7412" t="s">
        <v>74</v>
      </c>
      <c r="F7412" t="s">
        <v>47</v>
      </c>
      <c r="G7412">
        <v>0</v>
      </c>
      <c r="H7412">
        <v>0</v>
      </c>
      <c r="I7412">
        <v>0</v>
      </c>
      <c r="J7412">
        <v>0</v>
      </c>
      <c r="K7412" t="str">
        <f>IFERROR(INDEX(Rosters!$C$2:$C$155,MATCH($B7412,Rosters!$B$2:$B$155,0)),"NA")</f>
        <v>aj</v>
      </c>
      <c r="L7412" t="str">
        <f t="shared" si="345"/>
        <v>aj3RB</v>
      </c>
      <c r="M7412">
        <f>COUNTIF(L$1:L7412,L7412)</f>
        <v>4</v>
      </c>
      <c r="N7412" t="str">
        <f t="shared" si="346"/>
        <v>aj3RB-4</v>
      </c>
      <c r="O7412">
        <f>COUNTIFS(F$1:F7412,F7412,A$1:A7412,A7412)</f>
        <v>113</v>
      </c>
      <c r="P7412" t="str">
        <f t="shared" si="347"/>
        <v>Joe Mixon3</v>
      </c>
    </row>
    <row r="7413" spans="1:16" x14ac:dyDescent="0.25">
      <c r="A7413">
        <v>4</v>
      </c>
      <c r="B7413" t="s">
        <v>123</v>
      </c>
      <c r="C7413" t="s">
        <v>743</v>
      </c>
      <c r="D7413">
        <v>0</v>
      </c>
      <c r="E7413" t="s">
        <v>46</v>
      </c>
      <c r="F7413" t="s">
        <v>47</v>
      </c>
      <c r="G7413">
        <v>0</v>
      </c>
      <c r="H7413">
        <v>0</v>
      </c>
      <c r="I7413">
        <v>0</v>
      </c>
      <c r="J7413">
        <v>0</v>
      </c>
      <c r="K7413" t="str">
        <f>IFERROR(INDEX(Rosters!$C$2:$C$155,MATCH($B7413,Rosters!$B$2:$B$155,0)),"NA")</f>
        <v>aj</v>
      </c>
      <c r="L7413" t="str">
        <f t="shared" si="345"/>
        <v>aj4RB</v>
      </c>
      <c r="M7413">
        <f>COUNTIF(L$1:L7413,L7413)</f>
        <v>5</v>
      </c>
      <c r="N7413" t="str">
        <f t="shared" si="346"/>
        <v>aj4RB-5</v>
      </c>
      <c r="O7413">
        <f>COUNTIFS(F$1:F7413,F7413,A$1:A7413,A7413)</f>
        <v>116</v>
      </c>
      <c r="P7413" t="str">
        <f t="shared" si="347"/>
        <v>Joe Mixon4</v>
      </c>
    </row>
    <row r="7414" spans="1:16" x14ac:dyDescent="0.25">
      <c r="A7414">
        <v>1</v>
      </c>
      <c r="B7414" t="s">
        <v>1792</v>
      </c>
      <c r="C7414" t="s">
        <v>743</v>
      </c>
      <c r="D7414">
        <v>0</v>
      </c>
      <c r="E7414" t="s">
        <v>423</v>
      </c>
      <c r="F7414" t="s">
        <v>15</v>
      </c>
      <c r="G7414">
        <v>0</v>
      </c>
      <c r="H7414">
        <v>0</v>
      </c>
      <c r="I7414">
        <v>0</v>
      </c>
      <c r="J7414">
        <v>0</v>
      </c>
      <c r="K7414" t="str">
        <f>IFERROR(INDEX(Rosters!$C$2:$C$155,MATCH($B7414,Rosters!$B$2:$B$155,0)),"NA")</f>
        <v>NA</v>
      </c>
      <c r="L7414" t="str">
        <f t="shared" si="345"/>
        <v>NA1QB</v>
      </c>
      <c r="M7414">
        <f>COUNTIF(L$1:L7414,L7414)</f>
        <v>45</v>
      </c>
      <c r="N7414" t="str">
        <f t="shared" si="346"/>
        <v>NA1QB-45</v>
      </c>
      <c r="O7414">
        <f>COUNTIFS(F$1:F7414,F7414,A$1:A7414,A7414)</f>
        <v>62</v>
      </c>
      <c r="P7414" t="str">
        <f t="shared" si="347"/>
        <v>Joe Webb1</v>
      </c>
    </row>
    <row r="7415" spans="1:16" x14ac:dyDescent="0.25">
      <c r="A7415">
        <v>2</v>
      </c>
      <c r="B7415" t="s">
        <v>1792</v>
      </c>
      <c r="C7415" t="s">
        <v>743</v>
      </c>
      <c r="D7415">
        <v>0</v>
      </c>
      <c r="E7415" t="s">
        <v>38</v>
      </c>
      <c r="F7415" t="s">
        <v>15</v>
      </c>
      <c r="G7415">
        <v>0</v>
      </c>
      <c r="H7415">
        <v>0</v>
      </c>
      <c r="I7415">
        <v>0</v>
      </c>
      <c r="J7415">
        <v>0</v>
      </c>
      <c r="K7415" t="str">
        <f>IFERROR(INDEX(Rosters!$C$2:$C$155,MATCH($B7415,Rosters!$B$2:$B$155,0)),"NA")</f>
        <v>NA</v>
      </c>
      <c r="L7415" t="str">
        <f t="shared" si="345"/>
        <v>NA2QB</v>
      </c>
      <c r="M7415">
        <f>COUNTIF(L$1:L7415,L7415)</f>
        <v>44</v>
      </c>
      <c r="N7415" t="str">
        <f t="shared" si="346"/>
        <v>NA2QB-44</v>
      </c>
      <c r="O7415">
        <f>COUNTIFS(F$1:F7415,F7415,A$1:A7415,A7415)</f>
        <v>61</v>
      </c>
      <c r="P7415" t="str">
        <f t="shared" si="347"/>
        <v>Joe Webb2</v>
      </c>
    </row>
    <row r="7416" spans="1:16" x14ac:dyDescent="0.25">
      <c r="A7416">
        <v>3</v>
      </c>
      <c r="B7416" t="s">
        <v>1792</v>
      </c>
      <c r="C7416" t="s">
        <v>743</v>
      </c>
      <c r="D7416">
        <v>0</v>
      </c>
      <c r="E7416" t="s">
        <v>54</v>
      </c>
      <c r="F7416" t="s">
        <v>15</v>
      </c>
      <c r="G7416">
        <v>0</v>
      </c>
      <c r="H7416">
        <v>0</v>
      </c>
      <c r="I7416">
        <v>0</v>
      </c>
      <c r="J7416">
        <v>0</v>
      </c>
      <c r="K7416" t="str">
        <f>IFERROR(INDEX(Rosters!$C$2:$C$155,MATCH($B7416,Rosters!$B$2:$B$155,0)),"NA")</f>
        <v>NA</v>
      </c>
      <c r="L7416" t="str">
        <f t="shared" si="345"/>
        <v>NA3QB</v>
      </c>
      <c r="M7416">
        <f>COUNTIF(L$1:L7416,L7416)</f>
        <v>45</v>
      </c>
      <c r="N7416" t="str">
        <f t="shared" si="346"/>
        <v>NA3QB-45</v>
      </c>
      <c r="O7416">
        <f>COUNTIFS(F$1:F7416,F7416,A$1:A7416,A7416)</f>
        <v>62</v>
      </c>
      <c r="P7416" t="str">
        <f t="shared" si="347"/>
        <v>Joe Webb3</v>
      </c>
    </row>
    <row r="7417" spans="1:16" x14ac:dyDescent="0.25">
      <c r="A7417">
        <v>4</v>
      </c>
      <c r="B7417" t="s">
        <v>1792</v>
      </c>
      <c r="C7417" t="s">
        <v>743</v>
      </c>
      <c r="D7417">
        <v>0</v>
      </c>
      <c r="E7417" t="s">
        <v>66</v>
      </c>
      <c r="F7417" t="s">
        <v>15</v>
      </c>
      <c r="G7417">
        <v>0</v>
      </c>
      <c r="H7417">
        <v>0</v>
      </c>
      <c r="I7417">
        <v>0</v>
      </c>
      <c r="J7417">
        <v>0</v>
      </c>
      <c r="K7417" t="str">
        <f>IFERROR(INDEX(Rosters!$C$2:$C$155,MATCH($B7417,Rosters!$B$2:$B$155,0)),"NA")</f>
        <v>NA</v>
      </c>
      <c r="L7417" t="str">
        <f t="shared" si="345"/>
        <v>NA4QB</v>
      </c>
      <c r="M7417">
        <f>COUNTIF(L$1:L7417,L7417)</f>
        <v>44</v>
      </c>
      <c r="N7417" t="str">
        <f t="shared" si="346"/>
        <v>NA4QB-44</v>
      </c>
      <c r="O7417">
        <f>COUNTIFS(F$1:F7417,F7417,A$1:A7417,A7417)</f>
        <v>59</v>
      </c>
      <c r="P7417" t="str">
        <f t="shared" si="347"/>
        <v>Joe Webb4</v>
      </c>
    </row>
    <row r="7418" spans="1:16" x14ac:dyDescent="0.25">
      <c r="A7418">
        <v>5</v>
      </c>
      <c r="B7418" t="s">
        <v>1792</v>
      </c>
      <c r="C7418" t="s">
        <v>743</v>
      </c>
      <c r="D7418">
        <v>0</v>
      </c>
      <c r="E7418" t="s">
        <v>22</v>
      </c>
      <c r="F7418" t="s">
        <v>15</v>
      </c>
      <c r="G7418">
        <v>0</v>
      </c>
      <c r="H7418">
        <v>0</v>
      </c>
      <c r="I7418">
        <v>0</v>
      </c>
      <c r="J7418">
        <v>0</v>
      </c>
      <c r="K7418" t="str">
        <f>IFERROR(INDEX(Rosters!$C$2:$C$155,MATCH($B7418,Rosters!$B$2:$B$155,0)),"NA")</f>
        <v>NA</v>
      </c>
      <c r="L7418" t="str">
        <f t="shared" si="345"/>
        <v>NA5QB</v>
      </c>
      <c r="M7418">
        <f>COUNTIF(L$1:L7418,L7418)</f>
        <v>43</v>
      </c>
      <c r="N7418" t="str">
        <f t="shared" si="346"/>
        <v>NA5QB-43</v>
      </c>
      <c r="O7418">
        <f>COUNTIFS(F$1:F7418,F7418,A$1:A7418,A7418)</f>
        <v>60</v>
      </c>
      <c r="P7418" t="str">
        <f t="shared" si="347"/>
        <v>Joe Webb5</v>
      </c>
    </row>
    <row r="7419" spans="1:16" x14ac:dyDescent="0.25">
      <c r="A7419">
        <v>6</v>
      </c>
      <c r="B7419" t="s">
        <v>1792</v>
      </c>
      <c r="C7419" t="s">
        <v>743</v>
      </c>
      <c r="D7419">
        <v>0</v>
      </c>
      <c r="E7419" t="s">
        <v>29</v>
      </c>
      <c r="F7419" t="s">
        <v>15</v>
      </c>
      <c r="G7419">
        <v>0</v>
      </c>
      <c r="H7419">
        <v>0</v>
      </c>
      <c r="I7419">
        <v>0</v>
      </c>
      <c r="J7419">
        <v>0</v>
      </c>
      <c r="K7419" t="str">
        <f>IFERROR(INDEX(Rosters!$C$2:$C$155,MATCH($B7419,Rosters!$B$2:$B$155,0)),"NA")</f>
        <v>NA</v>
      </c>
      <c r="L7419" t="str">
        <f t="shared" si="345"/>
        <v>NA6QB</v>
      </c>
      <c r="M7419">
        <f>COUNTIF(L$1:L7419,L7419)</f>
        <v>44</v>
      </c>
      <c r="N7419" t="str">
        <f t="shared" si="346"/>
        <v>NA6QB-44</v>
      </c>
      <c r="O7419">
        <f>COUNTIFS(F$1:F7419,F7419,A$1:A7419,A7419)</f>
        <v>59</v>
      </c>
      <c r="P7419" t="str">
        <f t="shared" si="347"/>
        <v>Joe Webb6</v>
      </c>
    </row>
    <row r="7420" spans="1:16" x14ac:dyDescent="0.25">
      <c r="A7420">
        <v>7</v>
      </c>
      <c r="B7420" t="s">
        <v>1792</v>
      </c>
      <c r="C7420" t="s">
        <v>743</v>
      </c>
      <c r="D7420">
        <v>0</v>
      </c>
      <c r="E7420" t="s">
        <v>76</v>
      </c>
      <c r="F7420" t="s">
        <v>15</v>
      </c>
      <c r="G7420">
        <v>0</v>
      </c>
      <c r="H7420">
        <v>0</v>
      </c>
      <c r="I7420">
        <v>0</v>
      </c>
      <c r="J7420">
        <v>0</v>
      </c>
      <c r="K7420" t="str">
        <f>IFERROR(INDEX(Rosters!$C$2:$C$155,MATCH($B7420,Rosters!$B$2:$B$155,0)),"NA")</f>
        <v>NA</v>
      </c>
      <c r="L7420" t="str">
        <f t="shared" si="345"/>
        <v>NA7QB</v>
      </c>
      <c r="M7420">
        <f>COUNTIF(L$1:L7420,L7420)</f>
        <v>43</v>
      </c>
      <c r="N7420" t="str">
        <f t="shared" si="346"/>
        <v>NA7QB-43</v>
      </c>
      <c r="O7420">
        <f>COUNTIFS(F$1:F7420,F7420,A$1:A7420,A7420)</f>
        <v>57</v>
      </c>
      <c r="P7420" t="str">
        <f t="shared" si="347"/>
        <v>Joe Webb7</v>
      </c>
    </row>
    <row r="7421" spans="1:16" x14ac:dyDescent="0.25">
      <c r="A7421">
        <v>8</v>
      </c>
      <c r="B7421" t="s">
        <v>1792</v>
      </c>
      <c r="C7421" t="s">
        <v>743</v>
      </c>
      <c r="D7421">
        <v>0</v>
      </c>
      <c r="E7421" t="s">
        <v>19</v>
      </c>
      <c r="F7421" t="s">
        <v>15</v>
      </c>
      <c r="G7421">
        <v>0</v>
      </c>
      <c r="H7421">
        <v>0</v>
      </c>
      <c r="I7421">
        <v>0</v>
      </c>
      <c r="J7421">
        <v>0</v>
      </c>
      <c r="K7421" t="str">
        <f>IFERROR(INDEX(Rosters!$C$2:$C$155,MATCH($B7421,Rosters!$B$2:$B$155,0)),"NA")</f>
        <v>NA</v>
      </c>
      <c r="L7421" t="str">
        <f t="shared" si="345"/>
        <v>NA8QB</v>
      </c>
      <c r="M7421">
        <f>COUNTIF(L$1:L7421,L7421)</f>
        <v>40</v>
      </c>
      <c r="N7421" t="str">
        <f t="shared" si="346"/>
        <v>NA8QB-40</v>
      </c>
      <c r="O7421">
        <f>COUNTIFS(F$1:F7421,F7421,A$1:A7421,A7421)</f>
        <v>55</v>
      </c>
      <c r="P7421" t="str">
        <f t="shared" si="347"/>
        <v>Joe Webb8</v>
      </c>
    </row>
    <row r="7422" spans="1:16" x14ac:dyDescent="0.25">
      <c r="A7422">
        <v>9</v>
      </c>
      <c r="B7422" t="s">
        <v>1792</v>
      </c>
      <c r="C7422" t="s">
        <v>743</v>
      </c>
      <c r="D7422">
        <v>0</v>
      </c>
      <c r="E7422" t="s">
        <v>42</v>
      </c>
      <c r="F7422" t="s">
        <v>15</v>
      </c>
      <c r="G7422">
        <v>0</v>
      </c>
      <c r="H7422">
        <v>0</v>
      </c>
      <c r="I7422">
        <v>0</v>
      </c>
      <c r="J7422">
        <v>0</v>
      </c>
      <c r="K7422" t="str">
        <f>IFERROR(INDEX(Rosters!$C$2:$C$155,MATCH($B7422,Rosters!$B$2:$B$155,0)),"NA")</f>
        <v>NA</v>
      </c>
      <c r="L7422" t="str">
        <f t="shared" si="345"/>
        <v>NA9QB</v>
      </c>
      <c r="M7422">
        <f>COUNTIF(L$1:L7422,L7422)</f>
        <v>39</v>
      </c>
      <c r="N7422" t="str">
        <f t="shared" si="346"/>
        <v>NA9QB-39</v>
      </c>
      <c r="O7422">
        <f>COUNTIFS(F$1:F7422,F7422,A$1:A7422,A7422)</f>
        <v>53</v>
      </c>
      <c r="P7422" t="str">
        <f t="shared" si="347"/>
        <v>Joe Webb9</v>
      </c>
    </row>
    <row r="7423" spans="1:16" x14ac:dyDescent="0.25">
      <c r="A7423">
        <v>11</v>
      </c>
      <c r="B7423" t="s">
        <v>1792</v>
      </c>
      <c r="C7423" t="s">
        <v>743</v>
      </c>
      <c r="D7423">
        <v>0</v>
      </c>
      <c r="E7423" t="s">
        <v>60</v>
      </c>
      <c r="F7423" t="s">
        <v>15</v>
      </c>
      <c r="G7423">
        <v>0</v>
      </c>
      <c r="H7423">
        <v>0</v>
      </c>
      <c r="I7423">
        <v>0</v>
      </c>
      <c r="J7423">
        <v>0</v>
      </c>
      <c r="K7423" t="str">
        <f>IFERROR(INDEX(Rosters!$C$2:$C$155,MATCH($B7423,Rosters!$B$2:$B$155,0)),"NA")</f>
        <v>NA</v>
      </c>
      <c r="L7423" t="str">
        <f t="shared" si="345"/>
        <v>NA11QB</v>
      </c>
      <c r="M7423">
        <f>COUNTIF(L$1:L7423,L7423)</f>
        <v>36</v>
      </c>
      <c r="N7423" t="str">
        <f t="shared" si="346"/>
        <v>NA11QB-36</v>
      </c>
      <c r="O7423">
        <f>COUNTIFS(F$1:F7423,F7423,A$1:A7423,A7423)</f>
        <v>51</v>
      </c>
      <c r="P7423" t="str">
        <f t="shared" si="347"/>
        <v>Joe Webb11</v>
      </c>
    </row>
    <row r="7424" spans="1:16" x14ac:dyDescent="0.25">
      <c r="A7424">
        <v>12</v>
      </c>
      <c r="B7424" t="s">
        <v>1792</v>
      </c>
      <c r="C7424" t="s">
        <v>743</v>
      </c>
      <c r="D7424">
        <v>0</v>
      </c>
      <c r="E7424" t="s">
        <v>38</v>
      </c>
      <c r="F7424" t="s">
        <v>15</v>
      </c>
      <c r="G7424">
        <v>0</v>
      </c>
      <c r="H7424">
        <v>0</v>
      </c>
      <c r="I7424">
        <v>0</v>
      </c>
      <c r="J7424">
        <v>0</v>
      </c>
      <c r="K7424" t="str">
        <f>IFERROR(INDEX(Rosters!$C$2:$C$155,MATCH($B7424,Rosters!$B$2:$B$155,0)),"NA")</f>
        <v>NA</v>
      </c>
      <c r="L7424" t="str">
        <f t="shared" si="345"/>
        <v>NA12QB</v>
      </c>
      <c r="M7424">
        <f>COUNTIF(L$1:L7424,L7424)</f>
        <v>45</v>
      </c>
      <c r="N7424" t="str">
        <f t="shared" si="346"/>
        <v>NA12QB-45</v>
      </c>
      <c r="O7424">
        <f>COUNTIFS(F$1:F7424,F7424,A$1:A7424,A7424)</f>
        <v>60</v>
      </c>
      <c r="P7424" t="str">
        <f t="shared" si="347"/>
        <v>Joe Webb12</v>
      </c>
    </row>
    <row r="7425" spans="1:16" x14ac:dyDescent="0.25">
      <c r="A7425">
        <v>13</v>
      </c>
      <c r="B7425" t="s">
        <v>1792</v>
      </c>
      <c r="C7425" t="s">
        <v>743</v>
      </c>
      <c r="D7425">
        <v>0</v>
      </c>
      <c r="E7425" t="s">
        <v>52</v>
      </c>
      <c r="F7425" t="s">
        <v>15</v>
      </c>
      <c r="G7425">
        <v>0</v>
      </c>
      <c r="H7425">
        <v>0</v>
      </c>
      <c r="I7425">
        <v>0</v>
      </c>
      <c r="J7425">
        <v>0</v>
      </c>
      <c r="K7425" t="str">
        <f>IFERROR(INDEX(Rosters!$C$2:$C$155,MATCH($B7425,Rosters!$B$2:$B$155,0)),"NA")</f>
        <v>NA</v>
      </c>
      <c r="L7425" t="str">
        <f t="shared" si="345"/>
        <v>NA13QB</v>
      </c>
      <c r="M7425">
        <f>COUNTIF(L$1:L7425,L7425)</f>
        <v>47</v>
      </c>
      <c r="N7425" t="str">
        <f t="shared" si="346"/>
        <v>NA13QB-47</v>
      </c>
      <c r="O7425">
        <f>COUNTIFS(F$1:F7425,F7425,A$1:A7425,A7425)</f>
        <v>64</v>
      </c>
      <c r="P7425" t="str">
        <f t="shared" si="347"/>
        <v>Joe Webb13</v>
      </c>
    </row>
    <row r="7426" spans="1:16" x14ac:dyDescent="0.25">
      <c r="A7426">
        <v>14</v>
      </c>
      <c r="B7426" t="s">
        <v>1792</v>
      </c>
      <c r="C7426" t="s">
        <v>743</v>
      </c>
      <c r="D7426">
        <v>0</v>
      </c>
      <c r="E7426" t="s">
        <v>66</v>
      </c>
      <c r="F7426" t="s">
        <v>15</v>
      </c>
      <c r="G7426">
        <v>0</v>
      </c>
      <c r="H7426">
        <v>0</v>
      </c>
      <c r="I7426">
        <v>0</v>
      </c>
      <c r="J7426">
        <v>0</v>
      </c>
      <c r="K7426" t="str">
        <f>IFERROR(INDEX(Rosters!$C$2:$C$155,MATCH($B7426,Rosters!$B$2:$B$155,0)),"NA")</f>
        <v>NA</v>
      </c>
      <c r="L7426" t="str">
        <f t="shared" si="345"/>
        <v>NA14QB</v>
      </c>
      <c r="M7426">
        <f>COUNTIF(L$1:L7426,L7426)</f>
        <v>47</v>
      </c>
      <c r="N7426" t="str">
        <f t="shared" si="346"/>
        <v>NA14QB-47</v>
      </c>
      <c r="O7426">
        <f>COUNTIFS(F$1:F7426,F7426,A$1:A7426,A7426)</f>
        <v>64</v>
      </c>
      <c r="P7426" t="str">
        <f t="shared" si="347"/>
        <v>Joe Webb14</v>
      </c>
    </row>
    <row r="7427" spans="1:16" x14ac:dyDescent="0.25">
      <c r="A7427">
        <v>15</v>
      </c>
      <c r="B7427" t="s">
        <v>1792</v>
      </c>
      <c r="C7427" t="s">
        <v>743</v>
      </c>
      <c r="D7427">
        <v>0</v>
      </c>
      <c r="E7427" t="s">
        <v>73</v>
      </c>
      <c r="F7427" t="s">
        <v>15</v>
      </c>
      <c r="G7427">
        <v>0</v>
      </c>
      <c r="H7427">
        <v>0</v>
      </c>
      <c r="I7427">
        <v>0</v>
      </c>
      <c r="J7427">
        <v>0</v>
      </c>
      <c r="K7427" t="str">
        <f>IFERROR(INDEX(Rosters!$C$2:$C$155,MATCH($B7427,Rosters!$B$2:$B$155,0)),"NA")</f>
        <v>NA</v>
      </c>
      <c r="L7427" t="str">
        <f t="shared" ref="L7427:L7490" si="348">K7427&amp;A7427&amp;F7427</f>
        <v>NA15QB</v>
      </c>
      <c r="M7427">
        <f>COUNTIF(L$1:L7427,L7427)</f>
        <v>47</v>
      </c>
      <c r="N7427" t="str">
        <f t="shared" ref="N7427:N7490" si="349">L7427&amp;"-"&amp;M7427</f>
        <v>NA15QB-47</v>
      </c>
      <c r="O7427">
        <f>COUNTIFS(F$1:F7427,F7427,A$1:A7427,A7427)</f>
        <v>64</v>
      </c>
      <c r="P7427" t="str">
        <f t="shared" ref="P7427:P7490" si="350">B7427&amp;A7427</f>
        <v>Joe Webb15</v>
      </c>
    </row>
    <row r="7428" spans="1:16" x14ac:dyDescent="0.25">
      <c r="A7428">
        <v>16</v>
      </c>
      <c r="B7428" t="s">
        <v>1792</v>
      </c>
      <c r="C7428" t="s">
        <v>743</v>
      </c>
      <c r="D7428">
        <v>0</v>
      </c>
      <c r="E7428" t="s">
        <v>50</v>
      </c>
      <c r="F7428" t="s">
        <v>15</v>
      </c>
      <c r="G7428">
        <v>0</v>
      </c>
      <c r="H7428">
        <v>0</v>
      </c>
      <c r="I7428">
        <v>0</v>
      </c>
      <c r="J7428">
        <v>0</v>
      </c>
      <c r="K7428" t="str">
        <f>IFERROR(INDEX(Rosters!$C$2:$C$155,MATCH($B7428,Rosters!$B$2:$B$155,0)),"NA")</f>
        <v>NA</v>
      </c>
      <c r="L7428" t="str">
        <f t="shared" si="348"/>
        <v>NA16QB</v>
      </c>
      <c r="M7428">
        <f>COUNTIF(L$1:L7428,L7428)</f>
        <v>47</v>
      </c>
      <c r="N7428" t="str">
        <f t="shared" si="349"/>
        <v>NA16QB-47</v>
      </c>
      <c r="O7428">
        <f>COUNTIFS(F$1:F7428,F7428,A$1:A7428,A7428)</f>
        <v>64</v>
      </c>
      <c r="P7428" t="str">
        <f t="shared" si="350"/>
        <v>Joe Webb16</v>
      </c>
    </row>
    <row r="7429" spans="1:16" x14ac:dyDescent="0.25">
      <c r="A7429">
        <v>17</v>
      </c>
      <c r="B7429" t="s">
        <v>1792</v>
      </c>
      <c r="C7429" t="s">
        <v>743</v>
      </c>
      <c r="D7429">
        <v>0</v>
      </c>
      <c r="E7429" t="s">
        <v>76</v>
      </c>
      <c r="F7429" t="s">
        <v>15</v>
      </c>
      <c r="G7429">
        <v>0</v>
      </c>
      <c r="H7429">
        <v>0</v>
      </c>
      <c r="I7429">
        <v>0</v>
      </c>
      <c r="J7429">
        <v>0</v>
      </c>
      <c r="K7429" t="str">
        <f>IFERROR(INDEX(Rosters!$C$2:$C$155,MATCH($B7429,Rosters!$B$2:$B$155,0)),"NA")</f>
        <v>NA</v>
      </c>
      <c r="L7429" t="str">
        <f t="shared" si="348"/>
        <v>NA17QB</v>
      </c>
      <c r="M7429">
        <f>COUNTIF(L$1:L7429,L7429)</f>
        <v>47</v>
      </c>
      <c r="N7429" t="str">
        <f t="shared" si="349"/>
        <v>NA17QB-47</v>
      </c>
      <c r="O7429">
        <f>COUNTIFS(F$1:F7429,F7429,A$1:A7429,A7429)</f>
        <v>64</v>
      </c>
      <c r="P7429" t="str">
        <f t="shared" si="350"/>
        <v>Joe Webb17</v>
      </c>
    </row>
    <row r="7430" spans="1:16" x14ac:dyDescent="0.25">
      <c r="A7430">
        <v>4</v>
      </c>
      <c r="B7430" t="s">
        <v>4264</v>
      </c>
      <c r="C7430" t="s">
        <v>743</v>
      </c>
      <c r="D7430">
        <v>0</v>
      </c>
      <c r="E7430" t="s">
        <v>25</v>
      </c>
      <c r="F7430" t="s">
        <v>87</v>
      </c>
      <c r="G7430">
        <v>0</v>
      </c>
      <c r="H7430">
        <v>0</v>
      </c>
      <c r="I7430">
        <v>0</v>
      </c>
      <c r="J7430">
        <v>0</v>
      </c>
      <c r="K7430" t="str">
        <f>IFERROR(INDEX(Rosters!$C$2:$C$155,MATCH($B7430,Rosters!$B$2:$B$155,0)),"NA")</f>
        <v>NA</v>
      </c>
      <c r="L7430" t="str">
        <f t="shared" si="348"/>
        <v>NA4WR</v>
      </c>
      <c r="M7430">
        <f>COUNTIF(L$1:L7430,L7430)</f>
        <v>107</v>
      </c>
      <c r="N7430" t="str">
        <f t="shared" si="349"/>
        <v>NA4WR-107</v>
      </c>
      <c r="O7430">
        <f>COUNTIFS(F$1:F7430,F7430,A$1:A7430,A7430)</f>
        <v>157</v>
      </c>
      <c r="P7430" t="str">
        <f t="shared" si="350"/>
        <v>JoJo Natson4</v>
      </c>
    </row>
    <row r="7431" spans="1:16" x14ac:dyDescent="0.25">
      <c r="A7431">
        <v>2</v>
      </c>
      <c r="B7431" t="s">
        <v>1106</v>
      </c>
      <c r="C7431" t="s">
        <v>743</v>
      </c>
      <c r="D7431">
        <v>0</v>
      </c>
      <c r="E7431" t="s">
        <v>19</v>
      </c>
      <c r="F7431" t="s">
        <v>114</v>
      </c>
      <c r="G7431">
        <v>0</v>
      </c>
      <c r="H7431">
        <v>0</v>
      </c>
      <c r="I7431">
        <v>0</v>
      </c>
      <c r="J7431">
        <v>0</v>
      </c>
      <c r="K7431" t="str">
        <f>IFERROR(INDEX(Rosters!$C$2:$C$155,MATCH($B7431,Rosters!$B$2:$B$155,0)),"NA")</f>
        <v>NA</v>
      </c>
      <c r="L7431" t="str">
        <f t="shared" si="348"/>
        <v>NA2TE</v>
      </c>
      <c r="M7431">
        <f>COUNTIF(L$1:L7431,L7431)</f>
        <v>80</v>
      </c>
      <c r="N7431" t="str">
        <f t="shared" si="349"/>
        <v>NA2TE-80</v>
      </c>
      <c r="O7431">
        <f>COUNTIFS(F$1:F7431,F7431,A$1:A7431,A7431)</f>
        <v>94</v>
      </c>
      <c r="P7431" t="str">
        <f t="shared" si="350"/>
        <v>Jordan Leggett2</v>
      </c>
    </row>
    <row r="7432" spans="1:16" x14ac:dyDescent="0.25">
      <c r="A7432">
        <v>3</v>
      </c>
      <c r="B7432" t="s">
        <v>335</v>
      </c>
      <c r="C7432" t="s">
        <v>743</v>
      </c>
      <c r="D7432">
        <v>0</v>
      </c>
      <c r="E7432" t="s">
        <v>77</v>
      </c>
      <c r="F7432" t="s">
        <v>87</v>
      </c>
      <c r="G7432">
        <v>0</v>
      </c>
      <c r="H7432">
        <v>0</v>
      </c>
      <c r="I7432">
        <v>0</v>
      </c>
      <c r="J7432">
        <v>0</v>
      </c>
      <c r="K7432" t="str">
        <f>IFERROR(INDEX(Rosters!$C$2:$C$155,MATCH($B7432,Rosters!$B$2:$B$155,0)),"NA")</f>
        <v>NA</v>
      </c>
      <c r="L7432" t="str">
        <f t="shared" si="348"/>
        <v>NA3WR</v>
      </c>
      <c r="M7432">
        <f>COUNTIF(L$1:L7432,L7432)</f>
        <v>110</v>
      </c>
      <c r="N7432" t="str">
        <f t="shared" si="349"/>
        <v>NA3WR-110</v>
      </c>
      <c r="O7432">
        <f>COUNTIFS(F$1:F7432,F7432,A$1:A7432,A7432)</f>
        <v>161</v>
      </c>
      <c r="P7432" t="str">
        <f t="shared" si="350"/>
        <v>Jordan Taylor3</v>
      </c>
    </row>
    <row r="7433" spans="1:16" x14ac:dyDescent="0.25">
      <c r="A7433">
        <v>4</v>
      </c>
      <c r="B7433" t="s">
        <v>335</v>
      </c>
      <c r="C7433" t="s">
        <v>743</v>
      </c>
      <c r="D7433">
        <v>0</v>
      </c>
      <c r="E7433" t="s">
        <v>24</v>
      </c>
      <c r="F7433" t="s">
        <v>87</v>
      </c>
      <c r="G7433">
        <v>0</v>
      </c>
      <c r="H7433">
        <v>0</v>
      </c>
      <c r="I7433">
        <v>0</v>
      </c>
      <c r="J7433">
        <v>0</v>
      </c>
      <c r="K7433" t="str">
        <f>IFERROR(INDEX(Rosters!$C$2:$C$155,MATCH($B7433,Rosters!$B$2:$B$155,0)),"NA")</f>
        <v>NA</v>
      </c>
      <c r="L7433" t="str">
        <f t="shared" si="348"/>
        <v>NA4WR</v>
      </c>
      <c r="M7433">
        <f>COUNTIF(L$1:L7433,L7433)</f>
        <v>108</v>
      </c>
      <c r="N7433" t="str">
        <f t="shared" si="349"/>
        <v>NA4WR-108</v>
      </c>
      <c r="O7433">
        <f>COUNTIFS(F$1:F7433,F7433,A$1:A7433,A7433)</f>
        <v>158</v>
      </c>
      <c r="P7433" t="str">
        <f t="shared" si="350"/>
        <v>Jordan Taylor4</v>
      </c>
    </row>
    <row r="7434" spans="1:16" x14ac:dyDescent="0.25">
      <c r="A7434">
        <v>5</v>
      </c>
      <c r="B7434" t="s">
        <v>335</v>
      </c>
      <c r="C7434" t="s">
        <v>743</v>
      </c>
      <c r="D7434">
        <v>0</v>
      </c>
      <c r="E7434" t="s">
        <v>73</v>
      </c>
      <c r="F7434" t="s">
        <v>87</v>
      </c>
      <c r="G7434">
        <v>0</v>
      </c>
      <c r="H7434">
        <v>0</v>
      </c>
      <c r="I7434">
        <v>0</v>
      </c>
      <c r="J7434">
        <v>0</v>
      </c>
      <c r="K7434" t="str">
        <f>IFERROR(INDEX(Rosters!$C$2:$C$155,MATCH($B7434,Rosters!$B$2:$B$155,0)),"NA")</f>
        <v>NA</v>
      </c>
      <c r="L7434" t="str">
        <f t="shared" si="348"/>
        <v>NA5WR</v>
      </c>
      <c r="M7434">
        <f>COUNTIF(L$1:L7434,L7434)</f>
        <v>117</v>
      </c>
      <c r="N7434" t="str">
        <f t="shared" si="349"/>
        <v>NA5WR-117</v>
      </c>
      <c r="O7434">
        <f>COUNTIFS(F$1:F7434,F7434,A$1:A7434,A7434)</f>
        <v>167</v>
      </c>
      <c r="P7434" t="str">
        <f t="shared" si="350"/>
        <v>Jordan Taylor5</v>
      </c>
    </row>
    <row r="7435" spans="1:16" x14ac:dyDescent="0.25">
      <c r="A7435">
        <v>3</v>
      </c>
      <c r="B7435" t="s">
        <v>1158</v>
      </c>
      <c r="C7435" t="s">
        <v>743</v>
      </c>
      <c r="D7435">
        <v>0</v>
      </c>
      <c r="E7435" t="s">
        <v>34</v>
      </c>
      <c r="F7435" t="s">
        <v>87</v>
      </c>
      <c r="G7435">
        <v>0</v>
      </c>
      <c r="H7435">
        <v>0</v>
      </c>
      <c r="I7435">
        <v>0</v>
      </c>
      <c r="J7435">
        <v>0</v>
      </c>
      <c r="K7435" t="str">
        <f>IFERROR(INDEX(Rosters!$C$2:$C$155,MATCH($B7435,Rosters!$B$2:$B$155,0)),"NA")</f>
        <v>chad</v>
      </c>
      <c r="L7435" t="str">
        <f t="shared" si="348"/>
        <v>chad3WR</v>
      </c>
      <c r="M7435">
        <f>COUNTIF(L$1:L7435,L7435)</f>
        <v>5</v>
      </c>
      <c r="N7435" t="str">
        <f t="shared" si="349"/>
        <v>chad3WR-5</v>
      </c>
      <c r="O7435">
        <f>COUNTIFS(F$1:F7435,F7435,A$1:A7435,A7435)</f>
        <v>162</v>
      </c>
      <c r="P7435" t="str">
        <f t="shared" si="350"/>
        <v>Josh Gordon3</v>
      </c>
    </row>
    <row r="7436" spans="1:16" x14ac:dyDescent="0.25">
      <c r="A7436">
        <v>1</v>
      </c>
      <c r="B7436" t="s">
        <v>1330</v>
      </c>
      <c r="C7436" t="s">
        <v>743</v>
      </c>
      <c r="D7436">
        <v>0</v>
      </c>
      <c r="E7436" t="s">
        <v>36</v>
      </c>
      <c r="F7436" t="s">
        <v>87</v>
      </c>
      <c r="G7436">
        <v>0</v>
      </c>
      <c r="H7436">
        <v>0</v>
      </c>
      <c r="I7436">
        <v>0</v>
      </c>
      <c r="J7436">
        <v>0</v>
      </c>
      <c r="K7436" t="str">
        <f>IFERROR(INDEX(Rosters!$C$2:$C$155,MATCH($B7436,Rosters!$B$2:$B$155,0)),"NA")</f>
        <v>chad</v>
      </c>
      <c r="L7436" t="str">
        <f t="shared" si="348"/>
        <v>chad1WR</v>
      </c>
      <c r="M7436">
        <f>COUNTIF(L$1:L7436,L7436)</f>
        <v>6</v>
      </c>
      <c r="N7436" t="str">
        <f t="shared" si="349"/>
        <v>chad1WR-6</v>
      </c>
      <c r="O7436">
        <f>COUNTIFS(F$1:F7436,F7436,A$1:A7436,A7436)</f>
        <v>149</v>
      </c>
      <c r="P7436" t="str">
        <f t="shared" si="350"/>
        <v>Julian Edelman1</v>
      </c>
    </row>
    <row r="7437" spans="1:16" x14ac:dyDescent="0.25">
      <c r="A7437">
        <v>2</v>
      </c>
      <c r="B7437" t="s">
        <v>1330</v>
      </c>
      <c r="C7437" t="s">
        <v>743</v>
      </c>
      <c r="D7437">
        <v>0</v>
      </c>
      <c r="E7437" t="s">
        <v>76</v>
      </c>
      <c r="F7437" t="s">
        <v>87</v>
      </c>
      <c r="G7437">
        <v>0</v>
      </c>
      <c r="H7437">
        <v>0</v>
      </c>
      <c r="I7437">
        <v>0</v>
      </c>
      <c r="J7437">
        <v>0</v>
      </c>
      <c r="K7437" t="str">
        <f>IFERROR(INDEX(Rosters!$C$2:$C$155,MATCH($B7437,Rosters!$B$2:$B$155,0)),"NA")</f>
        <v>chad</v>
      </c>
      <c r="L7437" t="str">
        <f t="shared" si="348"/>
        <v>chad2WR</v>
      </c>
      <c r="M7437">
        <f>COUNTIF(L$1:L7437,L7437)</f>
        <v>5</v>
      </c>
      <c r="N7437" t="str">
        <f t="shared" si="349"/>
        <v>chad2WR-5</v>
      </c>
      <c r="O7437">
        <f>COUNTIFS(F$1:F7437,F7437,A$1:A7437,A7437)</f>
        <v>158</v>
      </c>
      <c r="P7437" t="str">
        <f t="shared" si="350"/>
        <v>Julian Edelman2</v>
      </c>
    </row>
    <row r="7438" spans="1:16" x14ac:dyDescent="0.25">
      <c r="A7438">
        <v>3</v>
      </c>
      <c r="B7438" t="s">
        <v>1330</v>
      </c>
      <c r="C7438" t="s">
        <v>743</v>
      </c>
      <c r="D7438">
        <v>0</v>
      </c>
      <c r="E7438" t="s">
        <v>34</v>
      </c>
      <c r="F7438" t="s">
        <v>87</v>
      </c>
      <c r="G7438">
        <v>0</v>
      </c>
      <c r="H7438">
        <v>0</v>
      </c>
      <c r="I7438">
        <v>0</v>
      </c>
      <c r="J7438">
        <v>0</v>
      </c>
      <c r="K7438" t="str">
        <f>IFERROR(INDEX(Rosters!$C$2:$C$155,MATCH($B7438,Rosters!$B$2:$B$155,0)),"NA")</f>
        <v>chad</v>
      </c>
      <c r="L7438" t="str">
        <f t="shared" si="348"/>
        <v>chad3WR</v>
      </c>
      <c r="M7438">
        <f>COUNTIF(L$1:L7438,L7438)</f>
        <v>6</v>
      </c>
      <c r="N7438" t="str">
        <f t="shared" si="349"/>
        <v>chad3WR-6</v>
      </c>
      <c r="O7438">
        <f>COUNTIFS(F$1:F7438,F7438,A$1:A7438,A7438)</f>
        <v>163</v>
      </c>
      <c r="P7438" t="str">
        <f t="shared" si="350"/>
        <v>Julian Edelman3</v>
      </c>
    </row>
    <row r="7439" spans="1:16" x14ac:dyDescent="0.25">
      <c r="A7439">
        <v>4</v>
      </c>
      <c r="B7439" t="s">
        <v>1330</v>
      </c>
      <c r="C7439" t="s">
        <v>743</v>
      </c>
      <c r="D7439">
        <v>0</v>
      </c>
      <c r="E7439" t="s">
        <v>19</v>
      </c>
      <c r="F7439" t="s">
        <v>87</v>
      </c>
      <c r="G7439">
        <v>0</v>
      </c>
      <c r="H7439">
        <v>0</v>
      </c>
      <c r="I7439">
        <v>0</v>
      </c>
      <c r="J7439">
        <v>0</v>
      </c>
      <c r="K7439" t="str">
        <f>IFERROR(INDEX(Rosters!$C$2:$C$155,MATCH($B7439,Rosters!$B$2:$B$155,0)),"NA")</f>
        <v>chad</v>
      </c>
      <c r="L7439" t="str">
        <f t="shared" si="348"/>
        <v>chad4WR</v>
      </c>
      <c r="M7439">
        <f>COUNTIF(L$1:L7439,L7439)</f>
        <v>5</v>
      </c>
      <c r="N7439" t="str">
        <f t="shared" si="349"/>
        <v>chad4WR-5</v>
      </c>
      <c r="O7439">
        <f>COUNTIFS(F$1:F7439,F7439,A$1:A7439,A7439)</f>
        <v>159</v>
      </c>
      <c r="P7439" t="str">
        <f t="shared" si="350"/>
        <v>Julian Edelman4</v>
      </c>
    </row>
    <row r="7440" spans="1:16" x14ac:dyDescent="0.25">
      <c r="A7440">
        <v>2</v>
      </c>
      <c r="B7440" t="s">
        <v>327</v>
      </c>
      <c r="C7440" t="s">
        <v>743</v>
      </c>
      <c r="D7440">
        <v>0</v>
      </c>
      <c r="E7440" t="s">
        <v>24</v>
      </c>
      <c r="F7440" t="s">
        <v>87</v>
      </c>
      <c r="G7440">
        <v>0</v>
      </c>
      <c r="H7440">
        <v>0</v>
      </c>
      <c r="I7440">
        <v>0</v>
      </c>
      <c r="J7440">
        <v>0</v>
      </c>
      <c r="K7440" t="str">
        <f>IFERROR(INDEX(Rosters!$C$2:$C$155,MATCH($B7440,Rosters!$B$2:$B$155,0)),"NA")</f>
        <v>NA</v>
      </c>
      <c r="L7440" t="str">
        <f t="shared" si="348"/>
        <v>NA2WR</v>
      </c>
      <c r="M7440">
        <f>COUNTIF(L$1:L7440,L7440)</f>
        <v>107</v>
      </c>
      <c r="N7440" t="str">
        <f t="shared" si="349"/>
        <v>NA2WR-107</v>
      </c>
      <c r="O7440">
        <f>COUNTIFS(F$1:F7440,F7440,A$1:A7440,A7440)</f>
        <v>159</v>
      </c>
      <c r="P7440" t="str">
        <f t="shared" si="350"/>
        <v>Justin Hunter2</v>
      </c>
    </row>
    <row r="7441" spans="1:16" x14ac:dyDescent="0.25">
      <c r="A7441">
        <v>3</v>
      </c>
      <c r="B7441" t="s">
        <v>327</v>
      </c>
      <c r="C7441" t="s">
        <v>743</v>
      </c>
      <c r="D7441">
        <v>0</v>
      </c>
      <c r="E7441" t="s">
        <v>17</v>
      </c>
      <c r="F7441" t="s">
        <v>87</v>
      </c>
      <c r="G7441">
        <v>0</v>
      </c>
      <c r="H7441">
        <v>0</v>
      </c>
      <c r="I7441">
        <v>0</v>
      </c>
      <c r="J7441">
        <v>0</v>
      </c>
      <c r="K7441" t="str">
        <f>IFERROR(INDEX(Rosters!$C$2:$C$155,MATCH($B7441,Rosters!$B$2:$B$155,0)),"NA")</f>
        <v>NA</v>
      </c>
      <c r="L7441" t="str">
        <f t="shared" si="348"/>
        <v>NA3WR</v>
      </c>
      <c r="M7441">
        <f>COUNTIF(L$1:L7441,L7441)</f>
        <v>111</v>
      </c>
      <c r="N7441" t="str">
        <f t="shared" si="349"/>
        <v>NA3WR-111</v>
      </c>
      <c r="O7441">
        <f>COUNTIFS(F$1:F7441,F7441,A$1:A7441,A7441)</f>
        <v>164</v>
      </c>
      <c r="P7441" t="str">
        <f t="shared" si="350"/>
        <v>Justin Hunter3</v>
      </c>
    </row>
    <row r="7442" spans="1:16" x14ac:dyDescent="0.25">
      <c r="A7442">
        <v>4</v>
      </c>
      <c r="B7442" t="s">
        <v>327</v>
      </c>
      <c r="C7442" t="s">
        <v>743</v>
      </c>
      <c r="D7442">
        <v>0</v>
      </c>
      <c r="E7442" t="s">
        <v>77</v>
      </c>
      <c r="F7442" t="s">
        <v>87</v>
      </c>
      <c r="G7442">
        <v>0</v>
      </c>
      <c r="H7442">
        <v>0</v>
      </c>
      <c r="I7442">
        <v>0</v>
      </c>
      <c r="J7442">
        <v>0</v>
      </c>
      <c r="K7442" t="str">
        <f>IFERROR(INDEX(Rosters!$C$2:$C$155,MATCH($B7442,Rosters!$B$2:$B$155,0)),"NA")</f>
        <v>NA</v>
      </c>
      <c r="L7442" t="str">
        <f t="shared" si="348"/>
        <v>NA4WR</v>
      </c>
      <c r="M7442">
        <f>COUNTIF(L$1:L7442,L7442)</f>
        <v>109</v>
      </c>
      <c r="N7442" t="str">
        <f t="shared" si="349"/>
        <v>NA4WR-109</v>
      </c>
      <c r="O7442">
        <f>COUNTIFS(F$1:F7442,F7442,A$1:A7442,A7442)</f>
        <v>160</v>
      </c>
      <c r="P7442" t="str">
        <f t="shared" si="350"/>
        <v>Justin Hunter4</v>
      </c>
    </row>
    <row r="7443" spans="1:16" x14ac:dyDescent="0.25">
      <c r="A7443">
        <v>1</v>
      </c>
      <c r="B7443" t="s">
        <v>1473</v>
      </c>
      <c r="C7443" t="s">
        <v>743</v>
      </c>
      <c r="D7443">
        <v>0</v>
      </c>
      <c r="E7443" t="s">
        <v>24</v>
      </c>
      <c r="F7443" t="s">
        <v>47</v>
      </c>
      <c r="G7443">
        <v>0</v>
      </c>
      <c r="H7443">
        <v>0</v>
      </c>
      <c r="I7443">
        <v>0</v>
      </c>
      <c r="J7443">
        <v>0</v>
      </c>
      <c r="K7443" t="str">
        <f>IFERROR(INDEX(Rosters!$C$2:$C$155,MATCH($B7443,Rosters!$B$2:$B$155,0)),"NA")</f>
        <v>NA</v>
      </c>
      <c r="L7443" t="str">
        <f t="shared" si="348"/>
        <v>NA1RB</v>
      </c>
      <c r="M7443">
        <f>COUNTIF(L$1:L7443,L7443)</f>
        <v>59</v>
      </c>
      <c r="N7443" t="str">
        <f t="shared" si="349"/>
        <v>NA1RB-59</v>
      </c>
      <c r="O7443">
        <f>COUNTIFS(F$1:F7443,F7443,A$1:A7443,A7443)</f>
        <v>103</v>
      </c>
      <c r="P7443" t="str">
        <f t="shared" si="350"/>
        <v>Justin Jackson1</v>
      </c>
    </row>
    <row r="7444" spans="1:16" x14ac:dyDescent="0.25">
      <c r="A7444">
        <v>2</v>
      </c>
      <c r="B7444" t="s">
        <v>1473</v>
      </c>
      <c r="C7444" t="s">
        <v>743</v>
      </c>
      <c r="D7444">
        <v>0</v>
      </c>
      <c r="E7444" t="s">
        <v>29</v>
      </c>
      <c r="F7444" t="s">
        <v>47</v>
      </c>
      <c r="G7444">
        <v>0</v>
      </c>
      <c r="H7444">
        <v>0</v>
      </c>
      <c r="I7444">
        <v>0</v>
      </c>
      <c r="J7444">
        <v>0</v>
      </c>
      <c r="K7444" t="str">
        <f>IFERROR(INDEX(Rosters!$C$2:$C$155,MATCH($B7444,Rosters!$B$2:$B$155,0)),"NA")</f>
        <v>NA</v>
      </c>
      <c r="L7444" t="str">
        <f t="shared" si="348"/>
        <v>NA2RB</v>
      </c>
      <c r="M7444">
        <f>COUNTIF(L$1:L7444,L7444)</f>
        <v>66</v>
      </c>
      <c r="N7444" t="str">
        <f t="shared" si="349"/>
        <v>NA2RB-66</v>
      </c>
      <c r="O7444">
        <f>COUNTIFS(F$1:F7444,F7444,A$1:A7444,A7444)</f>
        <v>110</v>
      </c>
      <c r="P7444" t="str">
        <f t="shared" si="350"/>
        <v>Justin Jackson2</v>
      </c>
    </row>
    <row r="7445" spans="1:16" x14ac:dyDescent="0.25">
      <c r="A7445">
        <v>1</v>
      </c>
      <c r="B7445" t="s">
        <v>1458</v>
      </c>
      <c r="C7445" t="s">
        <v>743</v>
      </c>
      <c r="D7445">
        <v>0</v>
      </c>
      <c r="E7445" t="s">
        <v>38</v>
      </c>
      <c r="F7445" t="s">
        <v>47</v>
      </c>
      <c r="G7445">
        <v>0</v>
      </c>
      <c r="H7445">
        <v>0</v>
      </c>
      <c r="I7445">
        <v>0</v>
      </c>
      <c r="J7445">
        <v>0</v>
      </c>
      <c r="K7445" t="str">
        <f>IFERROR(INDEX(Rosters!$C$2:$C$155,MATCH($B7445,Rosters!$B$2:$B$155,0)),"NA")</f>
        <v>NA</v>
      </c>
      <c r="L7445" t="str">
        <f t="shared" si="348"/>
        <v>NA1RB</v>
      </c>
      <c r="M7445">
        <f>COUNTIF(L$1:L7445,L7445)</f>
        <v>60</v>
      </c>
      <c r="N7445" t="str">
        <f t="shared" si="349"/>
        <v>NA1RB-60</v>
      </c>
      <c r="O7445">
        <f>COUNTIFS(F$1:F7445,F7445,A$1:A7445,A7445)</f>
        <v>104</v>
      </c>
      <c r="P7445" t="str">
        <f t="shared" si="350"/>
        <v>Kalen Ballage1</v>
      </c>
    </row>
    <row r="7446" spans="1:16" x14ac:dyDescent="0.25">
      <c r="A7446">
        <v>2</v>
      </c>
      <c r="B7446" t="s">
        <v>1458</v>
      </c>
      <c r="C7446" t="s">
        <v>743</v>
      </c>
      <c r="D7446">
        <v>0</v>
      </c>
      <c r="E7446" t="s">
        <v>73</v>
      </c>
      <c r="F7446" t="s">
        <v>47</v>
      </c>
      <c r="G7446">
        <v>0</v>
      </c>
      <c r="H7446">
        <v>0</v>
      </c>
      <c r="I7446">
        <v>0</v>
      </c>
      <c r="J7446">
        <v>0</v>
      </c>
      <c r="K7446" t="str">
        <f>IFERROR(INDEX(Rosters!$C$2:$C$155,MATCH($B7446,Rosters!$B$2:$B$155,0)),"NA")</f>
        <v>NA</v>
      </c>
      <c r="L7446" t="str">
        <f t="shared" si="348"/>
        <v>NA2RB</v>
      </c>
      <c r="M7446">
        <f>COUNTIF(L$1:L7446,L7446)</f>
        <v>67</v>
      </c>
      <c r="N7446" t="str">
        <f t="shared" si="349"/>
        <v>NA2RB-67</v>
      </c>
      <c r="O7446">
        <f>COUNTIFS(F$1:F7446,F7446,A$1:A7446,A7446)</f>
        <v>111</v>
      </c>
      <c r="P7446" t="str">
        <f t="shared" si="350"/>
        <v>Kalen Ballage2</v>
      </c>
    </row>
    <row r="7447" spans="1:16" x14ac:dyDescent="0.25">
      <c r="A7447">
        <v>3</v>
      </c>
      <c r="B7447" t="s">
        <v>1458</v>
      </c>
      <c r="C7447" t="s">
        <v>743</v>
      </c>
      <c r="D7447">
        <v>0</v>
      </c>
      <c r="E7447" t="s">
        <v>32</v>
      </c>
      <c r="F7447" t="s">
        <v>47</v>
      </c>
      <c r="G7447">
        <v>0</v>
      </c>
      <c r="H7447">
        <v>0</v>
      </c>
      <c r="I7447">
        <v>0</v>
      </c>
      <c r="J7447">
        <v>0</v>
      </c>
      <c r="K7447" t="str">
        <f>IFERROR(INDEX(Rosters!$C$2:$C$155,MATCH($B7447,Rosters!$B$2:$B$155,0)),"NA")</f>
        <v>NA</v>
      </c>
      <c r="L7447" t="str">
        <f t="shared" si="348"/>
        <v>NA3RB</v>
      </c>
      <c r="M7447">
        <f>COUNTIF(L$1:L7447,L7447)</f>
        <v>71</v>
      </c>
      <c r="N7447" t="str">
        <f t="shared" si="349"/>
        <v>NA3RB-71</v>
      </c>
      <c r="O7447">
        <f>COUNTIFS(F$1:F7447,F7447,A$1:A7447,A7447)</f>
        <v>114</v>
      </c>
      <c r="P7447" t="str">
        <f t="shared" si="350"/>
        <v>Kalen Ballage3</v>
      </c>
    </row>
    <row r="7448" spans="1:16" x14ac:dyDescent="0.25">
      <c r="A7448">
        <v>2</v>
      </c>
      <c r="B7448" t="s">
        <v>2817</v>
      </c>
      <c r="C7448" t="s">
        <v>743</v>
      </c>
      <c r="D7448">
        <v>0</v>
      </c>
      <c r="E7448" t="s">
        <v>76</v>
      </c>
      <c r="F7448" t="s">
        <v>47</v>
      </c>
      <c r="G7448">
        <v>0</v>
      </c>
      <c r="H7448">
        <v>0</v>
      </c>
      <c r="I7448">
        <v>0</v>
      </c>
      <c r="J7448">
        <v>0</v>
      </c>
      <c r="K7448" t="str">
        <f>IFERROR(INDEX(Rosters!$C$2:$C$155,MATCH($B7448,Rosters!$B$2:$B$155,0)),"NA")</f>
        <v>NA</v>
      </c>
      <c r="L7448" t="str">
        <f t="shared" si="348"/>
        <v>NA2RB</v>
      </c>
      <c r="M7448">
        <f>COUNTIF(L$1:L7448,L7448)</f>
        <v>68</v>
      </c>
      <c r="N7448" t="str">
        <f t="shared" si="349"/>
        <v>NA2RB-68</v>
      </c>
      <c r="O7448">
        <f>COUNTIFS(F$1:F7448,F7448,A$1:A7448,A7448)</f>
        <v>112</v>
      </c>
      <c r="P7448" t="str">
        <f t="shared" si="350"/>
        <v>Kenjon Barner2</v>
      </c>
    </row>
    <row r="7449" spans="1:16" x14ac:dyDescent="0.25">
      <c r="A7449">
        <v>3</v>
      </c>
      <c r="B7449" t="s">
        <v>2817</v>
      </c>
      <c r="C7449" t="s">
        <v>743</v>
      </c>
      <c r="D7449">
        <v>0</v>
      </c>
      <c r="E7449" t="s">
        <v>34</v>
      </c>
      <c r="F7449" t="s">
        <v>47</v>
      </c>
      <c r="G7449">
        <v>0</v>
      </c>
      <c r="H7449">
        <v>0</v>
      </c>
      <c r="I7449">
        <v>0</v>
      </c>
      <c r="J7449">
        <v>0</v>
      </c>
      <c r="K7449" t="str">
        <f>IFERROR(INDEX(Rosters!$C$2:$C$155,MATCH($B7449,Rosters!$B$2:$B$155,0)),"NA")</f>
        <v>NA</v>
      </c>
      <c r="L7449" t="str">
        <f t="shared" si="348"/>
        <v>NA3RB</v>
      </c>
      <c r="M7449">
        <f>COUNTIF(L$1:L7449,L7449)</f>
        <v>72</v>
      </c>
      <c r="N7449" t="str">
        <f t="shared" si="349"/>
        <v>NA3RB-72</v>
      </c>
      <c r="O7449">
        <f>COUNTIFS(F$1:F7449,F7449,A$1:A7449,A7449)</f>
        <v>115</v>
      </c>
      <c r="P7449" t="str">
        <f t="shared" si="350"/>
        <v>Kenjon Barner3</v>
      </c>
    </row>
    <row r="7450" spans="1:16" x14ac:dyDescent="0.25">
      <c r="A7450">
        <v>5</v>
      </c>
      <c r="B7450" t="s">
        <v>2817</v>
      </c>
      <c r="C7450" t="s">
        <v>743</v>
      </c>
      <c r="D7450">
        <v>0</v>
      </c>
      <c r="E7450" t="s">
        <v>66</v>
      </c>
      <c r="F7450" t="s">
        <v>47</v>
      </c>
      <c r="G7450">
        <v>0</v>
      </c>
      <c r="H7450">
        <v>0</v>
      </c>
      <c r="I7450">
        <v>0</v>
      </c>
      <c r="J7450">
        <v>0</v>
      </c>
      <c r="K7450" t="str">
        <f>IFERROR(INDEX(Rosters!$C$2:$C$155,MATCH($B7450,Rosters!$B$2:$B$155,0)),"NA")</f>
        <v>NA</v>
      </c>
      <c r="L7450" t="str">
        <f t="shared" si="348"/>
        <v>NA5RB</v>
      </c>
      <c r="M7450">
        <f>COUNTIF(L$1:L7450,L7450)</f>
        <v>79</v>
      </c>
      <c r="N7450" t="str">
        <f t="shared" si="349"/>
        <v>NA5RB-79</v>
      </c>
      <c r="O7450">
        <f>COUNTIFS(F$1:F7450,F7450,A$1:A7450,A7450)</f>
        <v>122</v>
      </c>
      <c r="P7450" t="str">
        <f t="shared" si="350"/>
        <v>Kenjon Barner5</v>
      </c>
    </row>
    <row r="7451" spans="1:16" x14ac:dyDescent="0.25">
      <c r="A7451">
        <v>6</v>
      </c>
      <c r="B7451" t="s">
        <v>2817</v>
      </c>
      <c r="C7451" t="s">
        <v>743</v>
      </c>
      <c r="D7451">
        <v>0</v>
      </c>
      <c r="E7451" t="s">
        <v>24</v>
      </c>
      <c r="F7451" t="s">
        <v>47</v>
      </c>
      <c r="G7451">
        <v>0</v>
      </c>
      <c r="H7451">
        <v>0</v>
      </c>
      <c r="I7451">
        <v>0</v>
      </c>
      <c r="J7451">
        <v>0</v>
      </c>
      <c r="K7451" t="str">
        <f>IFERROR(INDEX(Rosters!$C$2:$C$155,MATCH($B7451,Rosters!$B$2:$B$155,0)),"NA")</f>
        <v>NA</v>
      </c>
      <c r="L7451" t="str">
        <f t="shared" si="348"/>
        <v>NA6RB</v>
      </c>
      <c r="M7451">
        <f>COUNTIF(L$1:L7451,L7451)</f>
        <v>79</v>
      </c>
      <c r="N7451" t="str">
        <f t="shared" si="349"/>
        <v>NA6RB-79</v>
      </c>
      <c r="O7451">
        <f>COUNTIFS(F$1:F7451,F7451,A$1:A7451,A7451)</f>
        <v>121</v>
      </c>
      <c r="P7451" t="str">
        <f t="shared" si="350"/>
        <v>Kenjon Barner6</v>
      </c>
    </row>
    <row r="7452" spans="1:16" x14ac:dyDescent="0.25">
      <c r="A7452">
        <v>7</v>
      </c>
      <c r="B7452" t="s">
        <v>2817</v>
      </c>
      <c r="C7452" t="s">
        <v>743</v>
      </c>
      <c r="D7452">
        <v>0</v>
      </c>
      <c r="E7452" t="s">
        <v>72</v>
      </c>
      <c r="F7452" t="s">
        <v>47</v>
      </c>
      <c r="G7452">
        <v>0</v>
      </c>
      <c r="H7452">
        <v>0</v>
      </c>
      <c r="I7452">
        <v>0</v>
      </c>
      <c r="J7452">
        <v>0</v>
      </c>
      <c r="K7452" t="str">
        <f>IFERROR(INDEX(Rosters!$C$2:$C$155,MATCH($B7452,Rosters!$B$2:$B$155,0)),"NA")</f>
        <v>NA</v>
      </c>
      <c r="L7452" t="str">
        <f t="shared" si="348"/>
        <v>NA7RB</v>
      </c>
      <c r="M7452">
        <f>COUNTIF(L$1:L7452,L7452)</f>
        <v>74</v>
      </c>
      <c r="N7452" t="str">
        <f t="shared" si="349"/>
        <v>NA7RB-74</v>
      </c>
      <c r="O7452">
        <f>COUNTIFS(F$1:F7452,F7452,A$1:A7452,A7452)</f>
        <v>115</v>
      </c>
      <c r="P7452" t="str">
        <f t="shared" si="350"/>
        <v>Kenjon Barner7</v>
      </c>
    </row>
    <row r="7453" spans="1:16" x14ac:dyDescent="0.25">
      <c r="A7453">
        <v>8</v>
      </c>
      <c r="B7453" t="s">
        <v>2817</v>
      </c>
      <c r="C7453" t="s">
        <v>743</v>
      </c>
      <c r="D7453">
        <v>0</v>
      </c>
      <c r="E7453" t="s">
        <v>29</v>
      </c>
      <c r="F7453" t="s">
        <v>47</v>
      </c>
      <c r="G7453">
        <v>0</v>
      </c>
      <c r="H7453">
        <v>0</v>
      </c>
      <c r="I7453">
        <v>0</v>
      </c>
      <c r="J7453">
        <v>0</v>
      </c>
      <c r="K7453" t="str">
        <f>IFERROR(INDEX(Rosters!$C$2:$C$155,MATCH($B7453,Rosters!$B$2:$B$155,0)),"NA")</f>
        <v>NA</v>
      </c>
      <c r="L7453" t="str">
        <f t="shared" si="348"/>
        <v>NA8RB</v>
      </c>
      <c r="M7453">
        <f>COUNTIF(L$1:L7453,L7453)</f>
        <v>79</v>
      </c>
      <c r="N7453" t="str">
        <f t="shared" si="349"/>
        <v>NA8RB-79</v>
      </c>
      <c r="O7453">
        <f>COUNTIFS(F$1:F7453,F7453,A$1:A7453,A7453)</f>
        <v>119</v>
      </c>
      <c r="P7453" t="str">
        <f t="shared" si="350"/>
        <v>Kenjon Barner8</v>
      </c>
    </row>
    <row r="7454" spans="1:16" x14ac:dyDescent="0.25">
      <c r="A7454">
        <v>9</v>
      </c>
      <c r="B7454" t="s">
        <v>2817</v>
      </c>
      <c r="C7454" t="s">
        <v>743</v>
      </c>
      <c r="D7454">
        <v>0</v>
      </c>
      <c r="E7454" t="s">
        <v>41</v>
      </c>
      <c r="F7454" t="s">
        <v>47</v>
      </c>
      <c r="G7454">
        <v>0</v>
      </c>
      <c r="H7454">
        <v>0</v>
      </c>
      <c r="I7454">
        <v>0</v>
      </c>
      <c r="J7454">
        <v>0</v>
      </c>
      <c r="K7454" t="str">
        <f>IFERROR(INDEX(Rosters!$C$2:$C$155,MATCH($B7454,Rosters!$B$2:$B$155,0)),"NA")</f>
        <v>NA</v>
      </c>
      <c r="L7454" t="str">
        <f t="shared" si="348"/>
        <v>NA9RB</v>
      </c>
      <c r="M7454">
        <f>COUNTIF(L$1:L7454,L7454)</f>
        <v>68</v>
      </c>
      <c r="N7454" t="str">
        <f t="shared" si="349"/>
        <v>NA9RB-68</v>
      </c>
      <c r="O7454">
        <f>COUNTIFS(F$1:F7454,F7454,A$1:A7454,A7454)</f>
        <v>108</v>
      </c>
      <c r="P7454" t="str">
        <f t="shared" si="350"/>
        <v>Kenjon Barner9</v>
      </c>
    </row>
    <row r="7455" spans="1:16" x14ac:dyDescent="0.25">
      <c r="A7455">
        <v>10</v>
      </c>
      <c r="B7455" t="s">
        <v>2817</v>
      </c>
      <c r="C7455" t="s">
        <v>743</v>
      </c>
      <c r="D7455">
        <v>0</v>
      </c>
      <c r="E7455" t="s">
        <v>38</v>
      </c>
      <c r="F7455" t="s">
        <v>47</v>
      </c>
      <c r="G7455">
        <v>0</v>
      </c>
      <c r="H7455">
        <v>0</v>
      </c>
      <c r="I7455">
        <v>0</v>
      </c>
      <c r="J7455">
        <v>0</v>
      </c>
      <c r="K7455" t="str">
        <f>IFERROR(INDEX(Rosters!$C$2:$C$155,MATCH($B7455,Rosters!$B$2:$B$155,0)),"NA")</f>
        <v>NA</v>
      </c>
      <c r="L7455" t="str">
        <f t="shared" si="348"/>
        <v>NA10RB</v>
      </c>
      <c r="M7455">
        <f>COUNTIF(L$1:L7455,L7455)</f>
        <v>76</v>
      </c>
      <c r="N7455" t="str">
        <f t="shared" si="349"/>
        <v>NA10RB-76</v>
      </c>
      <c r="O7455">
        <f>COUNTIFS(F$1:F7455,F7455,A$1:A7455,A7455)</f>
        <v>115</v>
      </c>
      <c r="P7455" t="str">
        <f t="shared" si="350"/>
        <v>Kenjon Barner10</v>
      </c>
    </row>
    <row r="7456" spans="1:16" x14ac:dyDescent="0.25">
      <c r="A7456">
        <v>12</v>
      </c>
      <c r="B7456" t="s">
        <v>2817</v>
      </c>
      <c r="C7456" t="s">
        <v>743</v>
      </c>
      <c r="D7456">
        <v>0</v>
      </c>
      <c r="E7456" t="s">
        <v>73</v>
      </c>
      <c r="F7456" t="s">
        <v>47</v>
      </c>
      <c r="G7456">
        <v>0</v>
      </c>
      <c r="H7456">
        <v>0</v>
      </c>
      <c r="I7456">
        <v>0</v>
      </c>
      <c r="J7456">
        <v>0</v>
      </c>
      <c r="K7456" t="str">
        <f>IFERROR(INDEX(Rosters!$C$2:$C$155,MATCH($B7456,Rosters!$B$2:$B$155,0)),"NA")</f>
        <v>NA</v>
      </c>
      <c r="L7456" t="str">
        <f t="shared" si="348"/>
        <v>NA12RB</v>
      </c>
      <c r="M7456">
        <f>COUNTIF(L$1:L7456,L7456)</f>
        <v>82</v>
      </c>
      <c r="N7456" t="str">
        <f t="shared" si="349"/>
        <v>NA12RB-82</v>
      </c>
      <c r="O7456">
        <f>COUNTIFS(F$1:F7456,F7456,A$1:A7456,A7456)</f>
        <v>127</v>
      </c>
      <c r="P7456" t="str">
        <f t="shared" si="350"/>
        <v>Kenjon Barner12</v>
      </c>
    </row>
    <row r="7457" spans="1:16" x14ac:dyDescent="0.25">
      <c r="A7457">
        <v>13</v>
      </c>
      <c r="B7457" t="s">
        <v>2817</v>
      </c>
      <c r="C7457" t="s">
        <v>743</v>
      </c>
      <c r="D7457">
        <v>0</v>
      </c>
      <c r="E7457" t="s">
        <v>25</v>
      </c>
      <c r="F7457" t="s">
        <v>47</v>
      </c>
      <c r="G7457">
        <v>0</v>
      </c>
      <c r="H7457">
        <v>0</v>
      </c>
      <c r="I7457">
        <v>0</v>
      </c>
      <c r="J7457">
        <v>0</v>
      </c>
      <c r="K7457" t="str">
        <f>IFERROR(INDEX(Rosters!$C$2:$C$155,MATCH($B7457,Rosters!$B$2:$B$155,0)),"NA")</f>
        <v>NA</v>
      </c>
      <c r="L7457" t="str">
        <f t="shared" si="348"/>
        <v>NA13RB</v>
      </c>
      <c r="M7457">
        <f>COUNTIF(L$1:L7457,L7457)</f>
        <v>87</v>
      </c>
      <c r="N7457" t="str">
        <f t="shared" si="349"/>
        <v>NA13RB-87</v>
      </c>
      <c r="O7457">
        <f>COUNTIFS(F$1:F7457,F7457,A$1:A7457,A7457)</f>
        <v>134</v>
      </c>
      <c r="P7457" t="str">
        <f t="shared" si="350"/>
        <v>Kenjon Barner13</v>
      </c>
    </row>
    <row r="7458" spans="1:16" x14ac:dyDescent="0.25">
      <c r="A7458">
        <v>14</v>
      </c>
      <c r="B7458" t="s">
        <v>2817</v>
      </c>
      <c r="C7458" t="s">
        <v>743</v>
      </c>
      <c r="D7458">
        <v>0</v>
      </c>
      <c r="E7458" t="s">
        <v>19</v>
      </c>
      <c r="F7458" t="s">
        <v>47</v>
      </c>
      <c r="G7458">
        <v>0</v>
      </c>
      <c r="H7458">
        <v>0</v>
      </c>
      <c r="I7458">
        <v>0</v>
      </c>
      <c r="J7458">
        <v>0</v>
      </c>
      <c r="K7458" t="str">
        <f>IFERROR(INDEX(Rosters!$C$2:$C$155,MATCH($B7458,Rosters!$B$2:$B$155,0)),"NA")</f>
        <v>NA</v>
      </c>
      <c r="L7458" t="str">
        <f t="shared" si="348"/>
        <v>NA14RB</v>
      </c>
      <c r="M7458">
        <f>COUNTIF(L$1:L7458,L7458)</f>
        <v>87</v>
      </c>
      <c r="N7458" t="str">
        <f t="shared" si="349"/>
        <v>NA14RB-87</v>
      </c>
      <c r="O7458">
        <f>COUNTIFS(F$1:F7458,F7458,A$1:A7458,A7458)</f>
        <v>134</v>
      </c>
      <c r="P7458" t="str">
        <f t="shared" si="350"/>
        <v>Kenjon Barner14</v>
      </c>
    </row>
    <row r="7459" spans="1:16" x14ac:dyDescent="0.25">
      <c r="A7459">
        <v>15</v>
      </c>
      <c r="B7459" t="s">
        <v>2817</v>
      </c>
      <c r="C7459" t="s">
        <v>743</v>
      </c>
      <c r="D7459">
        <v>0</v>
      </c>
      <c r="E7459" t="s">
        <v>51</v>
      </c>
      <c r="F7459" t="s">
        <v>47</v>
      </c>
      <c r="G7459">
        <v>0</v>
      </c>
      <c r="H7459">
        <v>0</v>
      </c>
      <c r="I7459">
        <v>0</v>
      </c>
      <c r="J7459">
        <v>0</v>
      </c>
      <c r="K7459" t="str">
        <f>IFERROR(INDEX(Rosters!$C$2:$C$155,MATCH($B7459,Rosters!$B$2:$B$155,0)),"NA")</f>
        <v>NA</v>
      </c>
      <c r="L7459" t="str">
        <f t="shared" si="348"/>
        <v>NA15RB</v>
      </c>
      <c r="M7459">
        <f>COUNTIF(L$1:L7459,L7459)</f>
        <v>87</v>
      </c>
      <c r="N7459" t="str">
        <f t="shared" si="349"/>
        <v>NA15RB-87</v>
      </c>
      <c r="O7459">
        <f>COUNTIFS(F$1:F7459,F7459,A$1:A7459,A7459)</f>
        <v>134</v>
      </c>
      <c r="P7459" t="str">
        <f t="shared" si="350"/>
        <v>Kenjon Barner15</v>
      </c>
    </row>
    <row r="7460" spans="1:16" x14ac:dyDescent="0.25">
      <c r="A7460">
        <v>16</v>
      </c>
      <c r="B7460" t="s">
        <v>2817</v>
      </c>
      <c r="C7460" t="s">
        <v>743</v>
      </c>
      <c r="D7460">
        <v>0</v>
      </c>
      <c r="E7460" t="s">
        <v>29</v>
      </c>
      <c r="F7460" t="s">
        <v>47</v>
      </c>
      <c r="G7460">
        <v>0</v>
      </c>
      <c r="H7460">
        <v>0</v>
      </c>
      <c r="I7460">
        <v>0</v>
      </c>
      <c r="J7460">
        <v>0</v>
      </c>
      <c r="K7460" t="str">
        <f>IFERROR(INDEX(Rosters!$C$2:$C$155,MATCH($B7460,Rosters!$B$2:$B$155,0)),"NA")</f>
        <v>NA</v>
      </c>
      <c r="L7460" t="str">
        <f t="shared" si="348"/>
        <v>NA16RB</v>
      </c>
      <c r="M7460">
        <f>COUNTIF(L$1:L7460,L7460)</f>
        <v>87</v>
      </c>
      <c r="N7460" t="str">
        <f t="shared" si="349"/>
        <v>NA16RB-87</v>
      </c>
      <c r="O7460">
        <f>COUNTIFS(F$1:F7460,F7460,A$1:A7460,A7460)</f>
        <v>134</v>
      </c>
      <c r="P7460" t="str">
        <f t="shared" si="350"/>
        <v>Kenjon Barner16</v>
      </c>
    </row>
    <row r="7461" spans="1:16" x14ac:dyDescent="0.25">
      <c r="A7461">
        <v>17</v>
      </c>
      <c r="B7461" t="s">
        <v>2817</v>
      </c>
      <c r="C7461" t="s">
        <v>743</v>
      </c>
      <c r="D7461">
        <v>0</v>
      </c>
      <c r="E7461" t="s">
        <v>73</v>
      </c>
      <c r="F7461" t="s">
        <v>47</v>
      </c>
      <c r="G7461">
        <v>0</v>
      </c>
      <c r="H7461">
        <v>0</v>
      </c>
      <c r="I7461">
        <v>0</v>
      </c>
      <c r="J7461">
        <v>0</v>
      </c>
      <c r="K7461" t="str">
        <f>IFERROR(INDEX(Rosters!$C$2:$C$155,MATCH($B7461,Rosters!$B$2:$B$155,0)),"NA")</f>
        <v>NA</v>
      </c>
      <c r="L7461" t="str">
        <f t="shared" si="348"/>
        <v>NA17RB</v>
      </c>
      <c r="M7461">
        <f>COUNTIF(L$1:L7461,L7461)</f>
        <v>87</v>
      </c>
      <c r="N7461" t="str">
        <f t="shared" si="349"/>
        <v>NA17RB-87</v>
      </c>
      <c r="O7461">
        <f>COUNTIFS(F$1:F7461,F7461,A$1:A7461,A7461)</f>
        <v>134</v>
      </c>
      <c r="P7461" t="str">
        <f t="shared" si="350"/>
        <v>Kenjon Barner17</v>
      </c>
    </row>
    <row r="7462" spans="1:16" x14ac:dyDescent="0.25">
      <c r="A7462">
        <v>2</v>
      </c>
      <c r="B7462" t="s">
        <v>1406</v>
      </c>
      <c r="C7462" t="s">
        <v>743</v>
      </c>
      <c r="D7462">
        <v>0</v>
      </c>
      <c r="E7462" t="s">
        <v>31</v>
      </c>
      <c r="F7462" t="s">
        <v>47</v>
      </c>
      <c r="G7462">
        <v>0</v>
      </c>
      <c r="H7462">
        <v>0</v>
      </c>
      <c r="I7462">
        <v>0</v>
      </c>
      <c r="J7462">
        <v>0</v>
      </c>
      <c r="K7462" t="str">
        <f>IFERROR(INDEX(Rosters!$C$2:$C$155,MATCH($B7462,Rosters!$B$2:$B$155,0)),"NA")</f>
        <v>NA</v>
      </c>
      <c r="L7462" t="str">
        <f t="shared" si="348"/>
        <v>NA2RB</v>
      </c>
      <c r="M7462">
        <f>COUNTIF(L$1:L7462,L7462)</f>
        <v>69</v>
      </c>
      <c r="N7462" t="str">
        <f t="shared" si="349"/>
        <v>NA2RB-69</v>
      </c>
      <c r="O7462">
        <f>COUNTIFS(F$1:F7462,F7462,A$1:A7462,A7462)</f>
        <v>113</v>
      </c>
      <c r="P7462" t="str">
        <f t="shared" si="350"/>
        <v>Kenneth Dixon2</v>
      </c>
    </row>
    <row r="7463" spans="1:16" x14ac:dyDescent="0.25">
      <c r="A7463">
        <v>3</v>
      </c>
      <c r="B7463" t="s">
        <v>1406</v>
      </c>
      <c r="C7463" t="s">
        <v>743</v>
      </c>
      <c r="D7463">
        <v>0</v>
      </c>
      <c r="E7463" t="s">
        <v>42</v>
      </c>
      <c r="F7463" t="s">
        <v>47</v>
      </c>
      <c r="G7463">
        <v>0</v>
      </c>
      <c r="H7463">
        <v>0</v>
      </c>
      <c r="I7463">
        <v>0</v>
      </c>
      <c r="J7463">
        <v>0</v>
      </c>
      <c r="K7463" t="str">
        <f>IFERROR(INDEX(Rosters!$C$2:$C$155,MATCH($B7463,Rosters!$B$2:$B$155,0)),"NA")</f>
        <v>NA</v>
      </c>
      <c r="L7463" t="str">
        <f t="shared" si="348"/>
        <v>NA3RB</v>
      </c>
      <c r="M7463">
        <f>COUNTIF(L$1:L7463,L7463)</f>
        <v>73</v>
      </c>
      <c r="N7463" t="str">
        <f t="shared" si="349"/>
        <v>NA3RB-73</v>
      </c>
      <c r="O7463">
        <f>COUNTIFS(F$1:F7463,F7463,A$1:A7463,A7463)</f>
        <v>116</v>
      </c>
      <c r="P7463" t="str">
        <f t="shared" si="350"/>
        <v>Kenneth Dixon3</v>
      </c>
    </row>
    <row r="7464" spans="1:16" x14ac:dyDescent="0.25">
      <c r="A7464">
        <v>4</v>
      </c>
      <c r="B7464" t="s">
        <v>1406</v>
      </c>
      <c r="C7464" t="s">
        <v>743</v>
      </c>
      <c r="D7464">
        <v>0</v>
      </c>
      <c r="E7464" t="s">
        <v>51</v>
      </c>
      <c r="F7464" t="s">
        <v>47</v>
      </c>
      <c r="G7464">
        <v>0</v>
      </c>
      <c r="H7464">
        <v>0</v>
      </c>
      <c r="I7464">
        <v>0</v>
      </c>
      <c r="J7464">
        <v>0</v>
      </c>
      <c r="K7464" t="str">
        <f>IFERROR(INDEX(Rosters!$C$2:$C$155,MATCH($B7464,Rosters!$B$2:$B$155,0)),"NA")</f>
        <v>NA</v>
      </c>
      <c r="L7464" t="str">
        <f t="shared" si="348"/>
        <v>NA4RB</v>
      </c>
      <c r="M7464">
        <f>COUNTIF(L$1:L7464,L7464)</f>
        <v>75</v>
      </c>
      <c r="N7464" t="str">
        <f t="shared" si="349"/>
        <v>NA4RB-75</v>
      </c>
      <c r="O7464">
        <f>COUNTIFS(F$1:F7464,F7464,A$1:A7464,A7464)</f>
        <v>117</v>
      </c>
      <c r="P7464" t="str">
        <f t="shared" si="350"/>
        <v>Kenneth Dixon4</v>
      </c>
    </row>
    <row r="7465" spans="1:16" x14ac:dyDescent="0.25">
      <c r="A7465">
        <v>5</v>
      </c>
      <c r="B7465" t="s">
        <v>1406</v>
      </c>
      <c r="C7465" t="s">
        <v>743</v>
      </c>
      <c r="D7465">
        <v>0</v>
      </c>
      <c r="E7465" t="s">
        <v>52</v>
      </c>
      <c r="F7465" t="s">
        <v>47</v>
      </c>
      <c r="G7465">
        <v>0</v>
      </c>
      <c r="H7465">
        <v>0</v>
      </c>
      <c r="I7465">
        <v>0</v>
      </c>
      <c r="J7465">
        <v>0</v>
      </c>
      <c r="K7465" t="str">
        <f>IFERROR(INDEX(Rosters!$C$2:$C$155,MATCH($B7465,Rosters!$B$2:$B$155,0)),"NA")</f>
        <v>NA</v>
      </c>
      <c r="L7465" t="str">
        <f t="shared" si="348"/>
        <v>NA5RB</v>
      </c>
      <c r="M7465">
        <f>COUNTIF(L$1:L7465,L7465)</f>
        <v>80</v>
      </c>
      <c r="N7465" t="str">
        <f t="shared" si="349"/>
        <v>NA5RB-80</v>
      </c>
      <c r="O7465">
        <f>COUNTIFS(F$1:F7465,F7465,A$1:A7465,A7465)</f>
        <v>123</v>
      </c>
      <c r="P7465" t="str">
        <f t="shared" si="350"/>
        <v>Kenneth Dixon5</v>
      </c>
    </row>
    <row r="7466" spans="1:16" x14ac:dyDescent="0.25">
      <c r="A7466">
        <v>6</v>
      </c>
      <c r="B7466" t="s">
        <v>1406</v>
      </c>
      <c r="C7466" t="s">
        <v>743</v>
      </c>
      <c r="D7466">
        <v>0</v>
      </c>
      <c r="E7466" t="s">
        <v>38</v>
      </c>
      <c r="F7466" t="s">
        <v>47</v>
      </c>
      <c r="G7466">
        <v>0</v>
      </c>
      <c r="H7466">
        <v>0</v>
      </c>
      <c r="I7466">
        <v>0</v>
      </c>
      <c r="J7466">
        <v>0</v>
      </c>
      <c r="K7466" t="str">
        <f>IFERROR(INDEX(Rosters!$C$2:$C$155,MATCH($B7466,Rosters!$B$2:$B$155,0)),"NA")</f>
        <v>NA</v>
      </c>
      <c r="L7466" t="str">
        <f t="shared" si="348"/>
        <v>NA6RB</v>
      </c>
      <c r="M7466">
        <f>COUNTIF(L$1:L7466,L7466)</f>
        <v>80</v>
      </c>
      <c r="N7466" t="str">
        <f t="shared" si="349"/>
        <v>NA6RB-80</v>
      </c>
      <c r="O7466">
        <f>COUNTIFS(F$1:F7466,F7466,A$1:A7466,A7466)</f>
        <v>122</v>
      </c>
      <c r="P7466" t="str">
        <f t="shared" si="350"/>
        <v>Kenneth Dixon6</v>
      </c>
    </row>
    <row r="7467" spans="1:16" x14ac:dyDescent="0.25">
      <c r="A7467">
        <v>7</v>
      </c>
      <c r="B7467" t="s">
        <v>1406</v>
      </c>
      <c r="C7467" t="s">
        <v>743</v>
      </c>
      <c r="D7467">
        <v>0</v>
      </c>
      <c r="E7467" t="s">
        <v>14</v>
      </c>
      <c r="F7467" t="s">
        <v>47</v>
      </c>
      <c r="G7467">
        <v>0</v>
      </c>
      <c r="H7467">
        <v>0</v>
      </c>
      <c r="I7467">
        <v>0</v>
      </c>
      <c r="J7467">
        <v>0</v>
      </c>
      <c r="K7467" t="str">
        <f>IFERROR(INDEX(Rosters!$C$2:$C$155,MATCH($B7467,Rosters!$B$2:$B$155,0)),"NA")</f>
        <v>NA</v>
      </c>
      <c r="L7467" t="str">
        <f t="shared" si="348"/>
        <v>NA7RB</v>
      </c>
      <c r="M7467">
        <f>COUNTIF(L$1:L7467,L7467)</f>
        <v>75</v>
      </c>
      <c r="N7467" t="str">
        <f t="shared" si="349"/>
        <v>NA7RB-75</v>
      </c>
      <c r="O7467">
        <f>COUNTIFS(F$1:F7467,F7467,A$1:A7467,A7467)</f>
        <v>116</v>
      </c>
      <c r="P7467" t="str">
        <f t="shared" si="350"/>
        <v>Kenneth Dixon7</v>
      </c>
    </row>
    <row r="7468" spans="1:16" x14ac:dyDescent="0.25">
      <c r="A7468">
        <v>8</v>
      </c>
      <c r="B7468" t="s">
        <v>1406</v>
      </c>
      <c r="C7468" t="s">
        <v>743</v>
      </c>
      <c r="D7468">
        <v>0</v>
      </c>
      <c r="E7468" t="s">
        <v>74</v>
      </c>
      <c r="F7468" t="s">
        <v>47</v>
      </c>
      <c r="G7468">
        <v>0</v>
      </c>
      <c r="H7468">
        <v>0</v>
      </c>
      <c r="I7468">
        <v>0</v>
      </c>
      <c r="J7468">
        <v>0</v>
      </c>
      <c r="K7468" t="str">
        <f>IFERROR(INDEX(Rosters!$C$2:$C$155,MATCH($B7468,Rosters!$B$2:$B$155,0)),"NA")</f>
        <v>NA</v>
      </c>
      <c r="L7468" t="str">
        <f t="shared" si="348"/>
        <v>NA8RB</v>
      </c>
      <c r="M7468">
        <f>COUNTIF(L$1:L7468,L7468)</f>
        <v>80</v>
      </c>
      <c r="N7468" t="str">
        <f t="shared" si="349"/>
        <v>NA8RB-80</v>
      </c>
      <c r="O7468">
        <f>COUNTIFS(F$1:F7468,F7468,A$1:A7468,A7468)</f>
        <v>120</v>
      </c>
      <c r="P7468" t="str">
        <f t="shared" si="350"/>
        <v>Kenneth Dixon8</v>
      </c>
    </row>
    <row r="7469" spans="1:16" x14ac:dyDescent="0.25">
      <c r="A7469">
        <v>9</v>
      </c>
      <c r="B7469" t="s">
        <v>1406</v>
      </c>
      <c r="C7469" t="s">
        <v>743</v>
      </c>
      <c r="D7469">
        <v>0</v>
      </c>
      <c r="E7469" t="s">
        <v>51</v>
      </c>
      <c r="F7469" t="s">
        <v>47</v>
      </c>
      <c r="G7469">
        <v>0</v>
      </c>
      <c r="H7469">
        <v>0</v>
      </c>
      <c r="I7469">
        <v>0</v>
      </c>
      <c r="J7469">
        <v>0</v>
      </c>
      <c r="K7469" t="str">
        <f>IFERROR(INDEX(Rosters!$C$2:$C$155,MATCH($B7469,Rosters!$B$2:$B$155,0)),"NA")</f>
        <v>NA</v>
      </c>
      <c r="L7469" t="str">
        <f t="shared" si="348"/>
        <v>NA9RB</v>
      </c>
      <c r="M7469">
        <f>COUNTIF(L$1:L7469,L7469)</f>
        <v>69</v>
      </c>
      <c r="N7469" t="str">
        <f t="shared" si="349"/>
        <v>NA9RB-69</v>
      </c>
      <c r="O7469">
        <f>COUNTIFS(F$1:F7469,F7469,A$1:A7469,A7469)</f>
        <v>109</v>
      </c>
      <c r="P7469" t="str">
        <f t="shared" si="350"/>
        <v>Kenneth Dixon9</v>
      </c>
    </row>
    <row r="7470" spans="1:16" x14ac:dyDescent="0.25">
      <c r="A7470">
        <v>1</v>
      </c>
      <c r="B7470" t="s">
        <v>322</v>
      </c>
      <c r="C7470" t="s">
        <v>743</v>
      </c>
      <c r="D7470">
        <v>0</v>
      </c>
      <c r="E7470" t="s">
        <v>28</v>
      </c>
      <c r="F7470" t="s">
        <v>15</v>
      </c>
      <c r="G7470">
        <v>0</v>
      </c>
      <c r="H7470">
        <v>0</v>
      </c>
      <c r="I7470">
        <v>0</v>
      </c>
      <c r="J7470">
        <v>0</v>
      </c>
      <c r="K7470" t="str">
        <f>IFERROR(INDEX(Rosters!$C$2:$C$155,MATCH($B7470,Rosters!$B$2:$B$155,0)),"NA")</f>
        <v>NA</v>
      </c>
      <c r="L7470" t="str">
        <f t="shared" si="348"/>
        <v>NA1QB</v>
      </c>
      <c r="M7470">
        <f>COUNTIF(L$1:L7470,L7470)</f>
        <v>46</v>
      </c>
      <c r="N7470" t="str">
        <f t="shared" si="349"/>
        <v>NA1QB-46</v>
      </c>
      <c r="O7470">
        <f>COUNTIFS(F$1:F7470,F7470,A$1:A7470,A7470)</f>
        <v>63</v>
      </c>
      <c r="P7470" t="str">
        <f t="shared" si="350"/>
        <v>Kevin Hogan1</v>
      </c>
    </row>
    <row r="7471" spans="1:16" x14ac:dyDescent="0.25">
      <c r="A7471">
        <v>2</v>
      </c>
      <c r="B7471" t="s">
        <v>322</v>
      </c>
      <c r="C7471" t="s">
        <v>743</v>
      </c>
      <c r="D7471">
        <v>0</v>
      </c>
      <c r="E7471" t="s">
        <v>32</v>
      </c>
      <c r="F7471" t="s">
        <v>15</v>
      </c>
      <c r="G7471">
        <v>0</v>
      </c>
      <c r="H7471">
        <v>0</v>
      </c>
      <c r="I7471">
        <v>0</v>
      </c>
      <c r="J7471">
        <v>0</v>
      </c>
      <c r="K7471" t="str">
        <f>IFERROR(INDEX(Rosters!$C$2:$C$155,MATCH($B7471,Rosters!$B$2:$B$155,0)),"NA")</f>
        <v>NA</v>
      </c>
      <c r="L7471" t="str">
        <f t="shared" si="348"/>
        <v>NA2QB</v>
      </c>
      <c r="M7471">
        <f>COUNTIF(L$1:L7471,L7471)</f>
        <v>45</v>
      </c>
      <c r="N7471" t="str">
        <f t="shared" si="349"/>
        <v>NA2QB-45</v>
      </c>
      <c r="O7471">
        <f>COUNTIFS(F$1:F7471,F7471,A$1:A7471,A7471)</f>
        <v>62</v>
      </c>
      <c r="P7471" t="str">
        <f t="shared" si="350"/>
        <v>Kevin Hogan2</v>
      </c>
    </row>
    <row r="7472" spans="1:16" x14ac:dyDescent="0.25">
      <c r="A7472">
        <v>3</v>
      </c>
      <c r="B7472" t="s">
        <v>322</v>
      </c>
      <c r="C7472" t="s">
        <v>743</v>
      </c>
      <c r="D7472">
        <v>0</v>
      </c>
      <c r="E7472" t="s">
        <v>77</v>
      </c>
      <c r="F7472" t="s">
        <v>15</v>
      </c>
      <c r="G7472">
        <v>0</v>
      </c>
      <c r="H7472">
        <v>0</v>
      </c>
      <c r="I7472">
        <v>0</v>
      </c>
      <c r="J7472">
        <v>0</v>
      </c>
      <c r="K7472" t="str">
        <f>IFERROR(INDEX(Rosters!$C$2:$C$155,MATCH($B7472,Rosters!$B$2:$B$155,0)),"NA")</f>
        <v>NA</v>
      </c>
      <c r="L7472" t="str">
        <f t="shared" si="348"/>
        <v>NA3QB</v>
      </c>
      <c r="M7472">
        <f>COUNTIF(L$1:L7472,L7472)</f>
        <v>46</v>
      </c>
      <c r="N7472" t="str">
        <f t="shared" si="349"/>
        <v>NA3QB-46</v>
      </c>
      <c r="O7472">
        <f>COUNTIFS(F$1:F7472,F7472,A$1:A7472,A7472)</f>
        <v>63</v>
      </c>
      <c r="P7472" t="str">
        <f t="shared" si="350"/>
        <v>Kevin Hogan3</v>
      </c>
    </row>
    <row r="7473" spans="1:16" x14ac:dyDescent="0.25">
      <c r="A7473">
        <v>4</v>
      </c>
      <c r="B7473" t="s">
        <v>322</v>
      </c>
      <c r="C7473" t="s">
        <v>743</v>
      </c>
      <c r="D7473">
        <v>0</v>
      </c>
      <c r="E7473" t="s">
        <v>24</v>
      </c>
      <c r="F7473" t="s">
        <v>15</v>
      </c>
      <c r="G7473">
        <v>0</v>
      </c>
      <c r="H7473">
        <v>0</v>
      </c>
      <c r="I7473">
        <v>0</v>
      </c>
      <c r="J7473">
        <v>0</v>
      </c>
      <c r="K7473" t="str">
        <f>IFERROR(INDEX(Rosters!$C$2:$C$155,MATCH($B7473,Rosters!$B$2:$B$155,0)),"NA")</f>
        <v>NA</v>
      </c>
      <c r="L7473" t="str">
        <f t="shared" si="348"/>
        <v>NA4QB</v>
      </c>
      <c r="M7473">
        <f>COUNTIF(L$1:L7473,L7473)</f>
        <v>45</v>
      </c>
      <c r="N7473" t="str">
        <f t="shared" si="349"/>
        <v>NA4QB-45</v>
      </c>
      <c r="O7473">
        <f>COUNTIFS(F$1:F7473,F7473,A$1:A7473,A7473)</f>
        <v>60</v>
      </c>
      <c r="P7473" t="str">
        <f t="shared" si="350"/>
        <v>Kevin Hogan4</v>
      </c>
    </row>
    <row r="7474" spans="1:16" x14ac:dyDescent="0.25">
      <c r="A7474">
        <v>5</v>
      </c>
      <c r="B7474" t="s">
        <v>322</v>
      </c>
      <c r="C7474" t="s">
        <v>743</v>
      </c>
      <c r="D7474">
        <v>0</v>
      </c>
      <c r="E7474" t="s">
        <v>73</v>
      </c>
      <c r="F7474" t="s">
        <v>15</v>
      </c>
      <c r="G7474">
        <v>0</v>
      </c>
      <c r="H7474">
        <v>0</v>
      </c>
      <c r="I7474">
        <v>0</v>
      </c>
      <c r="J7474">
        <v>0</v>
      </c>
      <c r="K7474" t="str">
        <f>IFERROR(INDEX(Rosters!$C$2:$C$155,MATCH($B7474,Rosters!$B$2:$B$155,0)),"NA")</f>
        <v>NA</v>
      </c>
      <c r="L7474" t="str">
        <f t="shared" si="348"/>
        <v>NA5QB</v>
      </c>
      <c r="M7474">
        <f>COUNTIF(L$1:L7474,L7474)</f>
        <v>44</v>
      </c>
      <c r="N7474" t="str">
        <f t="shared" si="349"/>
        <v>NA5QB-44</v>
      </c>
      <c r="O7474">
        <f>COUNTIFS(F$1:F7474,F7474,A$1:A7474,A7474)</f>
        <v>61</v>
      </c>
      <c r="P7474" t="str">
        <f t="shared" si="350"/>
        <v>Kevin Hogan5</v>
      </c>
    </row>
    <row r="7475" spans="1:16" x14ac:dyDescent="0.25">
      <c r="A7475">
        <v>6</v>
      </c>
      <c r="B7475" t="s">
        <v>322</v>
      </c>
      <c r="C7475" t="s">
        <v>743</v>
      </c>
      <c r="D7475">
        <v>0</v>
      </c>
      <c r="E7475" t="s">
        <v>56</v>
      </c>
      <c r="F7475" t="s">
        <v>15</v>
      </c>
      <c r="G7475">
        <v>0</v>
      </c>
      <c r="H7475">
        <v>0</v>
      </c>
      <c r="I7475">
        <v>0</v>
      </c>
      <c r="J7475">
        <v>0</v>
      </c>
      <c r="K7475" t="str">
        <f>IFERROR(INDEX(Rosters!$C$2:$C$155,MATCH($B7475,Rosters!$B$2:$B$155,0)),"NA")</f>
        <v>NA</v>
      </c>
      <c r="L7475" t="str">
        <f t="shared" si="348"/>
        <v>NA6QB</v>
      </c>
      <c r="M7475">
        <f>COUNTIF(L$1:L7475,L7475)</f>
        <v>45</v>
      </c>
      <c r="N7475" t="str">
        <f t="shared" si="349"/>
        <v>NA6QB-45</v>
      </c>
      <c r="O7475">
        <f>COUNTIFS(F$1:F7475,F7475,A$1:A7475,A7475)</f>
        <v>60</v>
      </c>
      <c r="P7475" t="str">
        <f t="shared" si="350"/>
        <v>Kevin Hogan6</v>
      </c>
    </row>
    <row r="7476" spans="1:16" x14ac:dyDescent="0.25">
      <c r="A7476">
        <v>7</v>
      </c>
      <c r="B7476" t="s">
        <v>322</v>
      </c>
      <c r="C7476" t="s">
        <v>743</v>
      </c>
      <c r="D7476">
        <v>0</v>
      </c>
      <c r="E7476" t="s">
        <v>58</v>
      </c>
      <c r="F7476" t="s">
        <v>15</v>
      </c>
      <c r="G7476">
        <v>0</v>
      </c>
      <c r="H7476">
        <v>0</v>
      </c>
      <c r="I7476">
        <v>0</v>
      </c>
      <c r="J7476">
        <v>0</v>
      </c>
      <c r="K7476" t="str">
        <f>IFERROR(INDEX(Rosters!$C$2:$C$155,MATCH($B7476,Rosters!$B$2:$B$155,0)),"NA")</f>
        <v>NA</v>
      </c>
      <c r="L7476" t="str">
        <f t="shared" si="348"/>
        <v>NA7QB</v>
      </c>
      <c r="M7476">
        <f>COUNTIF(L$1:L7476,L7476)</f>
        <v>44</v>
      </c>
      <c r="N7476" t="str">
        <f t="shared" si="349"/>
        <v>NA7QB-44</v>
      </c>
      <c r="O7476">
        <f>COUNTIFS(F$1:F7476,F7476,A$1:A7476,A7476)</f>
        <v>58</v>
      </c>
      <c r="P7476" t="str">
        <f t="shared" si="350"/>
        <v>Kevin Hogan7</v>
      </c>
    </row>
    <row r="7477" spans="1:16" x14ac:dyDescent="0.25">
      <c r="A7477">
        <v>8</v>
      </c>
      <c r="B7477" t="s">
        <v>322</v>
      </c>
      <c r="C7477" t="s">
        <v>743</v>
      </c>
      <c r="D7477">
        <v>0</v>
      </c>
      <c r="E7477" t="s">
        <v>24</v>
      </c>
      <c r="F7477" t="s">
        <v>15</v>
      </c>
      <c r="G7477">
        <v>0</v>
      </c>
      <c r="H7477">
        <v>0</v>
      </c>
      <c r="I7477">
        <v>0</v>
      </c>
      <c r="J7477">
        <v>0</v>
      </c>
      <c r="K7477" t="str">
        <f>IFERROR(INDEX(Rosters!$C$2:$C$155,MATCH($B7477,Rosters!$B$2:$B$155,0)),"NA")</f>
        <v>NA</v>
      </c>
      <c r="L7477" t="str">
        <f t="shared" si="348"/>
        <v>NA8QB</v>
      </c>
      <c r="M7477">
        <f>COUNTIF(L$1:L7477,L7477)</f>
        <v>41</v>
      </c>
      <c r="N7477" t="str">
        <f t="shared" si="349"/>
        <v>NA8QB-41</v>
      </c>
      <c r="O7477">
        <f>COUNTIFS(F$1:F7477,F7477,A$1:A7477,A7477)</f>
        <v>56</v>
      </c>
      <c r="P7477" t="str">
        <f t="shared" si="350"/>
        <v>Kevin Hogan8</v>
      </c>
    </row>
    <row r="7478" spans="1:16" x14ac:dyDescent="0.25">
      <c r="A7478">
        <v>9</v>
      </c>
      <c r="B7478" t="s">
        <v>322</v>
      </c>
      <c r="C7478" t="s">
        <v>743</v>
      </c>
      <c r="D7478">
        <v>0</v>
      </c>
      <c r="E7478" t="s">
        <v>36</v>
      </c>
      <c r="F7478" t="s">
        <v>15</v>
      </c>
      <c r="G7478">
        <v>0</v>
      </c>
      <c r="H7478">
        <v>0</v>
      </c>
      <c r="I7478">
        <v>0</v>
      </c>
      <c r="J7478">
        <v>0</v>
      </c>
      <c r="K7478" t="str">
        <f>IFERROR(INDEX(Rosters!$C$2:$C$155,MATCH($B7478,Rosters!$B$2:$B$155,0)),"NA")</f>
        <v>NA</v>
      </c>
      <c r="L7478" t="str">
        <f t="shared" si="348"/>
        <v>NA9QB</v>
      </c>
      <c r="M7478">
        <f>COUNTIF(L$1:L7478,L7478)</f>
        <v>40</v>
      </c>
      <c r="N7478" t="str">
        <f t="shared" si="349"/>
        <v>NA9QB-40</v>
      </c>
      <c r="O7478">
        <f>COUNTIFS(F$1:F7478,F7478,A$1:A7478,A7478)</f>
        <v>54</v>
      </c>
      <c r="P7478" t="str">
        <f t="shared" si="350"/>
        <v>Kevin Hogan9</v>
      </c>
    </row>
    <row r="7479" spans="1:16" x14ac:dyDescent="0.25">
      <c r="A7479">
        <v>11</v>
      </c>
      <c r="B7479" t="s">
        <v>322</v>
      </c>
      <c r="C7479" t="s">
        <v>743</v>
      </c>
      <c r="D7479">
        <v>0</v>
      </c>
      <c r="E7479" t="s">
        <v>37</v>
      </c>
      <c r="F7479" t="s">
        <v>15</v>
      </c>
      <c r="G7479">
        <v>0</v>
      </c>
      <c r="H7479">
        <v>0</v>
      </c>
      <c r="I7479">
        <v>0</v>
      </c>
      <c r="J7479">
        <v>0</v>
      </c>
      <c r="K7479" t="str">
        <f>IFERROR(INDEX(Rosters!$C$2:$C$155,MATCH($B7479,Rosters!$B$2:$B$155,0)),"NA")</f>
        <v>NA</v>
      </c>
      <c r="L7479" t="str">
        <f t="shared" si="348"/>
        <v>NA11QB</v>
      </c>
      <c r="M7479">
        <f>COUNTIF(L$1:L7479,L7479)</f>
        <v>37</v>
      </c>
      <c r="N7479" t="str">
        <f t="shared" si="349"/>
        <v>NA11QB-37</v>
      </c>
      <c r="O7479">
        <f>COUNTIFS(F$1:F7479,F7479,A$1:A7479,A7479)</f>
        <v>52</v>
      </c>
      <c r="P7479" t="str">
        <f t="shared" si="350"/>
        <v>Kevin Hogan11</v>
      </c>
    </row>
    <row r="7480" spans="1:16" x14ac:dyDescent="0.25">
      <c r="A7480">
        <v>12</v>
      </c>
      <c r="B7480" t="s">
        <v>322</v>
      </c>
      <c r="C7480" t="s">
        <v>743</v>
      </c>
      <c r="D7480">
        <v>0</v>
      </c>
      <c r="E7480" t="s">
        <v>51</v>
      </c>
      <c r="F7480" t="s">
        <v>15</v>
      </c>
      <c r="G7480">
        <v>0</v>
      </c>
      <c r="H7480">
        <v>0</v>
      </c>
      <c r="I7480">
        <v>0</v>
      </c>
      <c r="J7480">
        <v>0</v>
      </c>
      <c r="K7480" t="str">
        <f>IFERROR(INDEX(Rosters!$C$2:$C$155,MATCH($B7480,Rosters!$B$2:$B$155,0)),"NA")</f>
        <v>NA</v>
      </c>
      <c r="L7480" t="str">
        <f t="shared" si="348"/>
        <v>NA12QB</v>
      </c>
      <c r="M7480">
        <f>COUNTIF(L$1:L7480,L7480)</f>
        <v>46</v>
      </c>
      <c r="N7480" t="str">
        <f t="shared" si="349"/>
        <v>NA12QB-46</v>
      </c>
      <c r="O7480">
        <f>COUNTIFS(F$1:F7480,F7480,A$1:A7480,A7480)</f>
        <v>61</v>
      </c>
      <c r="P7480" t="str">
        <f t="shared" si="350"/>
        <v>Kevin Hogan12</v>
      </c>
    </row>
    <row r="7481" spans="1:16" x14ac:dyDescent="0.25">
      <c r="A7481">
        <v>13</v>
      </c>
      <c r="B7481" t="s">
        <v>322</v>
      </c>
      <c r="C7481" t="s">
        <v>743</v>
      </c>
      <c r="D7481">
        <v>0</v>
      </c>
      <c r="E7481" t="s">
        <v>31</v>
      </c>
      <c r="F7481" t="s">
        <v>15</v>
      </c>
      <c r="G7481">
        <v>0</v>
      </c>
      <c r="H7481">
        <v>0</v>
      </c>
      <c r="I7481">
        <v>0</v>
      </c>
      <c r="J7481">
        <v>0</v>
      </c>
      <c r="K7481" t="str">
        <f>IFERROR(INDEX(Rosters!$C$2:$C$155,MATCH($B7481,Rosters!$B$2:$B$155,0)),"NA")</f>
        <v>NA</v>
      </c>
      <c r="L7481" t="str">
        <f t="shared" si="348"/>
        <v>NA13QB</v>
      </c>
      <c r="M7481">
        <f>COUNTIF(L$1:L7481,L7481)</f>
        <v>48</v>
      </c>
      <c r="N7481" t="str">
        <f t="shared" si="349"/>
        <v>NA13QB-48</v>
      </c>
      <c r="O7481">
        <f>COUNTIFS(F$1:F7481,F7481,A$1:A7481,A7481)</f>
        <v>65</v>
      </c>
      <c r="P7481" t="str">
        <f t="shared" si="350"/>
        <v>Kevin Hogan13</v>
      </c>
    </row>
    <row r="7482" spans="1:16" x14ac:dyDescent="0.25">
      <c r="A7482">
        <v>14</v>
      </c>
      <c r="B7482" t="s">
        <v>322</v>
      </c>
      <c r="C7482" t="s">
        <v>743</v>
      </c>
      <c r="D7482">
        <v>0</v>
      </c>
      <c r="E7482" t="s">
        <v>30</v>
      </c>
      <c r="F7482" t="s">
        <v>15</v>
      </c>
      <c r="G7482">
        <v>0</v>
      </c>
      <c r="H7482">
        <v>0</v>
      </c>
      <c r="I7482">
        <v>0</v>
      </c>
      <c r="J7482">
        <v>0</v>
      </c>
      <c r="K7482" t="str">
        <f>IFERROR(INDEX(Rosters!$C$2:$C$155,MATCH($B7482,Rosters!$B$2:$B$155,0)),"NA")</f>
        <v>NA</v>
      </c>
      <c r="L7482" t="str">
        <f t="shared" si="348"/>
        <v>NA14QB</v>
      </c>
      <c r="M7482">
        <f>COUNTIF(L$1:L7482,L7482)</f>
        <v>48</v>
      </c>
      <c r="N7482" t="str">
        <f t="shared" si="349"/>
        <v>NA14QB-48</v>
      </c>
      <c r="O7482">
        <f>COUNTIFS(F$1:F7482,F7482,A$1:A7482,A7482)</f>
        <v>65</v>
      </c>
      <c r="P7482" t="str">
        <f t="shared" si="350"/>
        <v>Kevin Hogan14</v>
      </c>
    </row>
    <row r="7483" spans="1:16" x14ac:dyDescent="0.25">
      <c r="A7483">
        <v>15</v>
      </c>
      <c r="B7483" t="s">
        <v>322</v>
      </c>
      <c r="C7483" t="s">
        <v>743</v>
      </c>
      <c r="D7483">
        <v>0</v>
      </c>
      <c r="E7483" t="s">
        <v>52</v>
      </c>
      <c r="F7483" t="s">
        <v>15</v>
      </c>
      <c r="G7483">
        <v>0</v>
      </c>
      <c r="H7483">
        <v>0</v>
      </c>
      <c r="I7483">
        <v>0</v>
      </c>
      <c r="J7483">
        <v>0</v>
      </c>
      <c r="K7483" t="str">
        <f>IFERROR(INDEX(Rosters!$C$2:$C$155,MATCH($B7483,Rosters!$B$2:$B$155,0)),"NA")</f>
        <v>NA</v>
      </c>
      <c r="L7483" t="str">
        <f t="shared" si="348"/>
        <v>NA15QB</v>
      </c>
      <c r="M7483">
        <f>COUNTIF(L$1:L7483,L7483)</f>
        <v>48</v>
      </c>
      <c r="N7483" t="str">
        <f t="shared" si="349"/>
        <v>NA15QB-48</v>
      </c>
      <c r="O7483">
        <f>COUNTIFS(F$1:F7483,F7483,A$1:A7483,A7483)</f>
        <v>65</v>
      </c>
      <c r="P7483" t="str">
        <f t="shared" si="350"/>
        <v>Kevin Hogan15</v>
      </c>
    </row>
    <row r="7484" spans="1:16" x14ac:dyDescent="0.25">
      <c r="A7484">
        <v>16</v>
      </c>
      <c r="B7484" t="s">
        <v>322</v>
      </c>
      <c r="C7484" t="s">
        <v>743</v>
      </c>
      <c r="D7484">
        <v>0</v>
      </c>
      <c r="E7484" t="s">
        <v>32</v>
      </c>
      <c r="F7484" t="s">
        <v>15</v>
      </c>
      <c r="G7484">
        <v>0</v>
      </c>
      <c r="H7484">
        <v>0</v>
      </c>
      <c r="I7484">
        <v>0</v>
      </c>
      <c r="J7484">
        <v>0</v>
      </c>
      <c r="K7484" t="str">
        <f>IFERROR(INDEX(Rosters!$C$2:$C$155,MATCH($B7484,Rosters!$B$2:$B$155,0)),"NA")</f>
        <v>NA</v>
      </c>
      <c r="L7484" t="str">
        <f t="shared" si="348"/>
        <v>NA16QB</v>
      </c>
      <c r="M7484">
        <f>COUNTIF(L$1:L7484,L7484)</f>
        <v>48</v>
      </c>
      <c r="N7484" t="str">
        <f t="shared" si="349"/>
        <v>NA16QB-48</v>
      </c>
      <c r="O7484">
        <f>COUNTIFS(F$1:F7484,F7484,A$1:A7484,A7484)</f>
        <v>65</v>
      </c>
      <c r="P7484" t="str">
        <f t="shared" si="350"/>
        <v>Kevin Hogan16</v>
      </c>
    </row>
    <row r="7485" spans="1:16" x14ac:dyDescent="0.25">
      <c r="A7485">
        <v>17</v>
      </c>
      <c r="B7485" t="s">
        <v>322</v>
      </c>
      <c r="C7485" t="s">
        <v>743</v>
      </c>
      <c r="D7485">
        <v>0</v>
      </c>
      <c r="E7485" t="s">
        <v>37</v>
      </c>
      <c r="F7485" t="s">
        <v>15</v>
      </c>
      <c r="G7485">
        <v>0</v>
      </c>
      <c r="H7485">
        <v>0</v>
      </c>
      <c r="I7485">
        <v>0</v>
      </c>
      <c r="J7485">
        <v>0</v>
      </c>
      <c r="K7485" t="str">
        <f>IFERROR(INDEX(Rosters!$C$2:$C$155,MATCH($B7485,Rosters!$B$2:$B$155,0)),"NA")</f>
        <v>NA</v>
      </c>
      <c r="L7485" t="str">
        <f t="shared" si="348"/>
        <v>NA17QB</v>
      </c>
      <c r="M7485">
        <f>COUNTIF(L$1:L7485,L7485)</f>
        <v>48</v>
      </c>
      <c r="N7485" t="str">
        <f t="shared" si="349"/>
        <v>NA17QB-48</v>
      </c>
      <c r="O7485">
        <f>COUNTIFS(F$1:F7485,F7485,A$1:A7485,A7485)</f>
        <v>65</v>
      </c>
      <c r="P7485" t="str">
        <f t="shared" si="350"/>
        <v>Kevin Hogan17</v>
      </c>
    </row>
    <row r="7486" spans="1:16" x14ac:dyDescent="0.25">
      <c r="A7486">
        <v>1</v>
      </c>
      <c r="B7486" t="s">
        <v>1597</v>
      </c>
      <c r="C7486" t="s">
        <v>743</v>
      </c>
      <c r="D7486">
        <v>0</v>
      </c>
      <c r="E7486" t="s">
        <v>77</v>
      </c>
      <c r="F7486" t="s">
        <v>114</v>
      </c>
      <c r="G7486">
        <v>0</v>
      </c>
      <c r="H7486">
        <v>0</v>
      </c>
      <c r="I7486">
        <v>0</v>
      </c>
      <c r="J7486">
        <v>0</v>
      </c>
      <c r="K7486" t="str">
        <f>IFERROR(INDEX(Rosters!$C$2:$C$155,MATCH($B7486,Rosters!$B$2:$B$155,0)),"NA")</f>
        <v>NA</v>
      </c>
      <c r="L7486" t="str">
        <f t="shared" si="348"/>
        <v>NA1TE</v>
      </c>
      <c r="M7486">
        <f>COUNTIF(L$1:L7486,L7486)</f>
        <v>73</v>
      </c>
      <c r="N7486" t="str">
        <f t="shared" si="349"/>
        <v>NA1TE-73</v>
      </c>
      <c r="O7486">
        <f>COUNTIFS(F$1:F7486,F7486,A$1:A7486,A7486)</f>
        <v>86</v>
      </c>
      <c r="P7486" t="str">
        <f t="shared" si="350"/>
        <v>Khari Lee1</v>
      </c>
    </row>
    <row r="7487" spans="1:16" x14ac:dyDescent="0.25">
      <c r="A7487">
        <v>2</v>
      </c>
      <c r="B7487" t="s">
        <v>1597</v>
      </c>
      <c r="C7487" t="s">
        <v>743</v>
      </c>
      <c r="D7487">
        <v>0</v>
      </c>
      <c r="E7487" t="s">
        <v>37</v>
      </c>
      <c r="F7487" t="s">
        <v>114</v>
      </c>
      <c r="G7487">
        <v>0</v>
      </c>
      <c r="H7487">
        <v>0</v>
      </c>
      <c r="I7487">
        <v>0</v>
      </c>
      <c r="J7487">
        <v>0</v>
      </c>
      <c r="K7487" t="str">
        <f>IFERROR(INDEX(Rosters!$C$2:$C$155,MATCH($B7487,Rosters!$B$2:$B$155,0)),"NA")</f>
        <v>NA</v>
      </c>
      <c r="L7487" t="str">
        <f t="shared" si="348"/>
        <v>NA2TE</v>
      </c>
      <c r="M7487">
        <f>COUNTIF(L$1:L7487,L7487)</f>
        <v>81</v>
      </c>
      <c r="N7487" t="str">
        <f t="shared" si="349"/>
        <v>NA2TE-81</v>
      </c>
      <c r="O7487">
        <f>COUNTIFS(F$1:F7487,F7487,A$1:A7487,A7487)</f>
        <v>95</v>
      </c>
      <c r="P7487" t="str">
        <f t="shared" si="350"/>
        <v>Khari Lee2</v>
      </c>
    </row>
    <row r="7488" spans="1:16" x14ac:dyDescent="0.25">
      <c r="A7488">
        <v>1</v>
      </c>
      <c r="B7488" t="s">
        <v>48</v>
      </c>
      <c r="C7488" t="s">
        <v>743</v>
      </c>
      <c r="D7488">
        <v>0</v>
      </c>
      <c r="E7488" t="s">
        <v>52</v>
      </c>
      <c r="F7488" t="s">
        <v>47</v>
      </c>
      <c r="G7488">
        <v>0</v>
      </c>
      <c r="H7488">
        <v>0</v>
      </c>
      <c r="I7488">
        <v>0</v>
      </c>
      <c r="J7488">
        <v>0</v>
      </c>
      <c r="K7488" t="str">
        <f>IFERROR(INDEX(Rosters!$C$2:$C$155,MATCH($B7488,Rosters!$B$2:$B$155,0)),"NA")</f>
        <v>devon</v>
      </c>
      <c r="L7488" t="str">
        <f t="shared" si="348"/>
        <v>devon1RB</v>
      </c>
      <c r="M7488">
        <f>COUNTIF(L$1:L7488,L7488)</f>
        <v>5</v>
      </c>
      <c r="N7488" t="str">
        <f t="shared" si="349"/>
        <v>devon1RB-5</v>
      </c>
      <c r="O7488">
        <f>COUNTIFS(F$1:F7488,F7488,A$1:A7488,A7488)</f>
        <v>105</v>
      </c>
      <c r="P7488" t="str">
        <f t="shared" si="350"/>
        <v>Le'Veon Bell1</v>
      </c>
    </row>
    <row r="7489" spans="1:16" x14ac:dyDescent="0.25">
      <c r="A7489">
        <v>2</v>
      </c>
      <c r="B7489" t="s">
        <v>48</v>
      </c>
      <c r="C7489" t="s">
        <v>743</v>
      </c>
      <c r="D7489">
        <v>0</v>
      </c>
      <c r="E7489" t="s">
        <v>24</v>
      </c>
      <c r="F7489" t="s">
        <v>47</v>
      </c>
      <c r="G7489">
        <v>0</v>
      </c>
      <c r="H7489">
        <v>0</v>
      </c>
      <c r="I7489">
        <v>0</v>
      </c>
      <c r="J7489">
        <v>0</v>
      </c>
      <c r="K7489" t="str">
        <f>IFERROR(INDEX(Rosters!$C$2:$C$155,MATCH($B7489,Rosters!$B$2:$B$155,0)),"NA")</f>
        <v>devon</v>
      </c>
      <c r="L7489" t="str">
        <f t="shared" si="348"/>
        <v>devon2RB</v>
      </c>
      <c r="M7489">
        <f>COUNTIF(L$1:L7489,L7489)</f>
        <v>6</v>
      </c>
      <c r="N7489" t="str">
        <f t="shared" si="349"/>
        <v>devon2RB-6</v>
      </c>
      <c r="O7489">
        <f>COUNTIFS(F$1:F7489,F7489,A$1:A7489,A7489)</f>
        <v>114</v>
      </c>
      <c r="P7489" t="str">
        <f t="shared" si="350"/>
        <v>Le'Veon Bell2</v>
      </c>
    </row>
    <row r="7490" spans="1:16" x14ac:dyDescent="0.25">
      <c r="A7490">
        <v>3</v>
      </c>
      <c r="B7490" t="s">
        <v>48</v>
      </c>
      <c r="C7490" t="s">
        <v>743</v>
      </c>
      <c r="D7490">
        <v>0</v>
      </c>
      <c r="E7490" t="s">
        <v>17</v>
      </c>
      <c r="F7490" t="s">
        <v>47</v>
      </c>
      <c r="G7490">
        <v>0</v>
      </c>
      <c r="H7490">
        <v>0</v>
      </c>
      <c r="I7490">
        <v>0</v>
      </c>
      <c r="J7490">
        <v>0</v>
      </c>
      <c r="K7490" t="str">
        <f>IFERROR(INDEX(Rosters!$C$2:$C$155,MATCH($B7490,Rosters!$B$2:$B$155,0)),"NA")</f>
        <v>devon</v>
      </c>
      <c r="L7490" t="str">
        <f t="shared" si="348"/>
        <v>devon3RB</v>
      </c>
      <c r="M7490">
        <f>COUNTIF(L$1:L7490,L7490)</f>
        <v>6</v>
      </c>
      <c r="N7490" t="str">
        <f t="shared" si="349"/>
        <v>devon3RB-6</v>
      </c>
      <c r="O7490">
        <f>COUNTIFS(F$1:F7490,F7490,A$1:A7490,A7490)</f>
        <v>117</v>
      </c>
      <c r="P7490" t="str">
        <f t="shared" si="350"/>
        <v>Le'Veon Bell3</v>
      </c>
    </row>
    <row r="7491" spans="1:16" x14ac:dyDescent="0.25">
      <c r="A7491">
        <v>4</v>
      </c>
      <c r="B7491" t="s">
        <v>48</v>
      </c>
      <c r="C7491" t="s">
        <v>743</v>
      </c>
      <c r="D7491">
        <v>0</v>
      </c>
      <c r="E7491" t="s">
        <v>77</v>
      </c>
      <c r="F7491" t="s">
        <v>47</v>
      </c>
      <c r="G7491">
        <v>0</v>
      </c>
      <c r="H7491">
        <v>0</v>
      </c>
      <c r="I7491">
        <v>0</v>
      </c>
      <c r="J7491">
        <v>0</v>
      </c>
      <c r="K7491" t="str">
        <f>IFERROR(INDEX(Rosters!$C$2:$C$155,MATCH($B7491,Rosters!$B$2:$B$155,0)),"NA")</f>
        <v>devon</v>
      </c>
      <c r="L7491" t="str">
        <f t="shared" ref="L7491:L7554" si="351">K7491&amp;A7491&amp;F7491</f>
        <v>devon4RB</v>
      </c>
      <c r="M7491">
        <f>COUNTIF(L$1:L7491,L7491)</f>
        <v>5</v>
      </c>
      <c r="N7491" t="str">
        <f t="shared" ref="N7491:N7554" si="352">L7491&amp;"-"&amp;M7491</f>
        <v>devon4RB-5</v>
      </c>
      <c r="O7491">
        <f>COUNTIFS(F$1:F7491,F7491,A$1:A7491,A7491)</f>
        <v>118</v>
      </c>
      <c r="P7491" t="str">
        <f t="shared" ref="P7491:P7554" si="353">B7491&amp;A7491</f>
        <v>Le'Veon Bell4</v>
      </c>
    </row>
    <row r="7492" spans="1:16" x14ac:dyDescent="0.25">
      <c r="A7492">
        <v>5</v>
      </c>
      <c r="B7492" t="s">
        <v>48</v>
      </c>
      <c r="C7492" t="s">
        <v>743</v>
      </c>
      <c r="D7492">
        <v>0</v>
      </c>
      <c r="E7492" t="s">
        <v>46</v>
      </c>
      <c r="F7492" t="s">
        <v>47</v>
      </c>
      <c r="G7492">
        <v>0</v>
      </c>
      <c r="H7492">
        <v>0</v>
      </c>
      <c r="I7492">
        <v>0</v>
      </c>
      <c r="J7492">
        <v>0</v>
      </c>
      <c r="K7492" t="str">
        <f>IFERROR(INDEX(Rosters!$C$2:$C$155,MATCH($B7492,Rosters!$B$2:$B$155,0)),"NA")</f>
        <v>devon</v>
      </c>
      <c r="L7492" t="str">
        <f t="shared" si="351"/>
        <v>devon5RB</v>
      </c>
      <c r="M7492">
        <f>COUNTIF(L$1:L7492,L7492)</f>
        <v>5</v>
      </c>
      <c r="N7492" t="str">
        <f t="shared" si="352"/>
        <v>devon5RB-5</v>
      </c>
      <c r="O7492">
        <f>COUNTIFS(F$1:F7492,F7492,A$1:A7492,A7492)</f>
        <v>124</v>
      </c>
      <c r="P7492" t="str">
        <f t="shared" si="353"/>
        <v>Le'Veon Bell5</v>
      </c>
    </row>
    <row r="7493" spans="1:16" x14ac:dyDescent="0.25">
      <c r="A7493">
        <v>6</v>
      </c>
      <c r="B7493" t="s">
        <v>48</v>
      </c>
      <c r="C7493" t="s">
        <v>743</v>
      </c>
      <c r="D7493">
        <v>0</v>
      </c>
      <c r="E7493" t="s">
        <v>31</v>
      </c>
      <c r="F7493" t="s">
        <v>47</v>
      </c>
      <c r="G7493">
        <v>0</v>
      </c>
      <c r="H7493">
        <v>0</v>
      </c>
      <c r="I7493">
        <v>0</v>
      </c>
      <c r="J7493">
        <v>0</v>
      </c>
      <c r="K7493" t="str">
        <f>IFERROR(INDEX(Rosters!$C$2:$C$155,MATCH($B7493,Rosters!$B$2:$B$155,0)),"NA")</f>
        <v>devon</v>
      </c>
      <c r="L7493" t="str">
        <f t="shared" si="351"/>
        <v>devon6RB</v>
      </c>
      <c r="M7493">
        <f>COUNTIF(L$1:L7493,L7493)</f>
        <v>5</v>
      </c>
      <c r="N7493" t="str">
        <f t="shared" si="352"/>
        <v>devon6RB-5</v>
      </c>
      <c r="O7493">
        <f>COUNTIFS(F$1:F7493,F7493,A$1:A7493,A7493)</f>
        <v>123</v>
      </c>
      <c r="P7493" t="str">
        <f t="shared" si="353"/>
        <v>Le'Veon Bell6</v>
      </c>
    </row>
    <row r="7494" spans="1:16" x14ac:dyDescent="0.25">
      <c r="A7494">
        <v>2</v>
      </c>
      <c r="B7494" t="s">
        <v>111</v>
      </c>
      <c r="C7494" t="s">
        <v>743</v>
      </c>
      <c r="D7494">
        <v>0</v>
      </c>
      <c r="E7494" t="s">
        <v>423</v>
      </c>
      <c r="F7494" t="s">
        <v>47</v>
      </c>
      <c r="G7494">
        <v>0</v>
      </c>
      <c r="H7494">
        <v>0</v>
      </c>
      <c r="I7494">
        <v>0</v>
      </c>
      <c r="J7494">
        <v>0</v>
      </c>
      <c r="K7494" t="str">
        <f>IFERROR(INDEX(Rosters!$C$2:$C$155,MATCH($B7494,Rosters!$B$2:$B$155,0)),"NA")</f>
        <v>seth</v>
      </c>
      <c r="L7494" t="str">
        <f t="shared" si="351"/>
        <v>seth2RB</v>
      </c>
      <c r="M7494">
        <f>COUNTIF(L$1:L7494,L7494)</f>
        <v>7</v>
      </c>
      <c r="N7494" t="str">
        <f t="shared" si="352"/>
        <v>seth2RB-7</v>
      </c>
      <c r="O7494">
        <f>COUNTIFS(F$1:F7494,F7494,A$1:A7494,A7494)</f>
        <v>115</v>
      </c>
      <c r="P7494" t="str">
        <f t="shared" si="353"/>
        <v>Leonard Fournette2</v>
      </c>
    </row>
    <row r="7495" spans="1:16" x14ac:dyDescent="0.25">
      <c r="A7495">
        <v>3</v>
      </c>
      <c r="B7495" t="s">
        <v>111</v>
      </c>
      <c r="C7495" t="s">
        <v>743</v>
      </c>
      <c r="D7495">
        <v>0</v>
      </c>
      <c r="E7495" t="s">
        <v>38</v>
      </c>
      <c r="F7495" t="s">
        <v>47</v>
      </c>
      <c r="G7495">
        <v>0</v>
      </c>
      <c r="H7495">
        <v>0</v>
      </c>
      <c r="I7495">
        <v>0</v>
      </c>
      <c r="J7495">
        <v>0</v>
      </c>
      <c r="K7495" t="str">
        <f>IFERROR(INDEX(Rosters!$C$2:$C$155,MATCH($B7495,Rosters!$B$2:$B$155,0)),"NA")</f>
        <v>seth</v>
      </c>
      <c r="L7495" t="str">
        <f t="shared" si="351"/>
        <v>seth3RB</v>
      </c>
      <c r="M7495">
        <f>COUNTIF(L$1:L7495,L7495)</f>
        <v>7</v>
      </c>
      <c r="N7495" t="str">
        <f t="shared" si="352"/>
        <v>seth3RB-7</v>
      </c>
      <c r="O7495">
        <f>COUNTIFS(F$1:F7495,F7495,A$1:A7495,A7495)</f>
        <v>118</v>
      </c>
      <c r="P7495" t="str">
        <f t="shared" si="353"/>
        <v>Leonard Fournette3</v>
      </c>
    </row>
    <row r="7496" spans="1:16" x14ac:dyDescent="0.25">
      <c r="A7496">
        <v>5</v>
      </c>
      <c r="B7496" t="s">
        <v>111</v>
      </c>
      <c r="C7496" t="s">
        <v>743</v>
      </c>
      <c r="D7496">
        <v>0</v>
      </c>
      <c r="E7496" t="s">
        <v>24</v>
      </c>
      <c r="F7496" t="s">
        <v>47</v>
      </c>
      <c r="G7496">
        <v>0</v>
      </c>
      <c r="H7496">
        <v>0</v>
      </c>
      <c r="I7496">
        <v>0</v>
      </c>
      <c r="J7496">
        <v>0</v>
      </c>
      <c r="K7496" t="str">
        <f>IFERROR(INDEX(Rosters!$C$2:$C$155,MATCH($B7496,Rosters!$B$2:$B$155,0)),"NA")</f>
        <v>seth</v>
      </c>
      <c r="L7496" t="str">
        <f t="shared" si="351"/>
        <v>seth5RB</v>
      </c>
      <c r="M7496">
        <f>COUNTIF(L$1:L7496,L7496)</f>
        <v>7</v>
      </c>
      <c r="N7496" t="str">
        <f t="shared" si="352"/>
        <v>seth5RB-7</v>
      </c>
      <c r="O7496">
        <f>COUNTIFS(F$1:F7496,F7496,A$1:A7496,A7496)</f>
        <v>125</v>
      </c>
      <c r="P7496" t="str">
        <f t="shared" si="353"/>
        <v>Leonard Fournette5</v>
      </c>
    </row>
    <row r="7497" spans="1:16" x14ac:dyDescent="0.25">
      <c r="A7497">
        <v>6</v>
      </c>
      <c r="B7497" t="s">
        <v>111</v>
      </c>
      <c r="C7497" t="s">
        <v>743</v>
      </c>
      <c r="D7497">
        <v>0</v>
      </c>
      <c r="E7497" t="s">
        <v>22</v>
      </c>
      <c r="F7497" t="s">
        <v>47</v>
      </c>
      <c r="G7497">
        <v>0</v>
      </c>
      <c r="H7497">
        <v>0</v>
      </c>
      <c r="I7497">
        <v>0</v>
      </c>
      <c r="J7497">
        <v>0</v>
      </c>
      <c r="K7497" t="str">
        <f>IFERROR(INDEX(Rosters!$C$2:$C$155,MATCH($B7497,Rosters!$B$2:$B$155,0)),"NA")</f>
        <v>seth</v>
      </c>
      <c r="L7497" t="str">
        <f t="shared" si="351"/>
        <v>seth6RB</v>
      </c>
      <c r="M7497">
        <f>COUNTIF(L$1:L7497,L7497)</f>
        <v>7</v>
      </c>
      <c r="N7497" t="str">
        <f t="shared" si="352"/>
        <v>seth6RB-7</v>
      </c>
      <c r="O7497">
        <f>COUNTIFS(F$1:F7497,F7497,A$1:A7497,A7497)</f>
        <v>124</v>
      </c>
      <c r="P7497" t="str">
        <f t="shared" si="353"/>
        <v>Leonard Fournette6</v>
      </c>
    </row>
    <row r="7498" spans="1:16" x14ac:dyDescent="0.25">
      <c r="A7498">
        <v>3</v>
      </c>
      <c r="B7498" t="s">
        <v>81</v>
      </c>
      <c r="C7498" t="s">
        <v>743</v>
      </c>
      <c r="D7498">
        <v>0</v>
      </c>
      <c r="E7498" t="s">
        <v>25</v>
      </c>
      <c r="F7498" t="s">
        <v>47</v>
      </c>
      <c r="G7498">
        <v>0</v>
      </c>
      <c r="H7498">
        <v>0</v>
      </c>
      <c r="I7498">
        <v>0</v>
      </c>
      <c r="J7498">
        <v>0</v>
      </c>
      <c r="K7498" t="str">
        <f>IFERROR(INDEX(Rosters!$C$2:$C$155,MATCH($B7498,Rosters!$B$2:$B$155,0)),"NA")</f>
        <v>aj</v>
      </c>
      <c r="L7498" t="str">
        <f t="shared" si="351"/>
        <v>aj3RB</v>
      </c>
      <c r="M7498">
        <f>COUNTIF(L$1:L7498,L7498)</f>
        <v>5</v>
      </c>
      <c r="N7498" t="str">
        <f t="shared" si="352"/>
        <v>aj3RB-5</v>
      </c>
      <c r="O7498">
        <f>COUNTIFS(F$1:F7498,F7498,A$1:A7498,A7498)</f>
        <v>119</v>
      </c>
      <c r="P7498" t="str">
        <f t="shared" si="353"/>
        <v>LeSean McCoy3</v>
      </c>
    </row>
    <row r="7499" spans="1:16" x14ac:dyDescent="0.25">
      <c r="A7499">
        <v>3</v>
      </c>
      <c r="B7499" t="s">
        <v>1583</v>
      </c>
      <c r="C7499" t="s">
        <v>743</v>
      </c>
      <c r="D7499">
        <v>0</v>
      </c>
      <c r="E7499" t="s">
        <v>25</v>
      </c>
      <c r="F7499" t="s">
        <v>114</v>
      </c>
      <c r="G7499">
        <v>0</v>
      </c>
      <c r="H7499">
        <v>0</v>
      </c>
      <c r="I7499">
        <v>0</v>
      </c>
      <c r="J7499">
        <v>0</v>
      </c>
      <c r="K7499" t="str">
        <f>IFERROR(INDEX(Rosters!$C$2:$C$155,MATCH($B7499,Rosters!$B$2:$B$155,0)),"NA")</f>
        <v>NA</v>
      </c>
      <c r="L7499" t="str">
        <f t="shared" si="351"/>
        <v>NA3TE</v>
      </c>
      <c r="M7499">
        <f>COUNTIF(L$1:L7499,L7499)</f>
        <v>81</v>
      </c>
      <c r="N7499" t="str">
        <f t="shared" si="352"/>
        <v>NA3TE-81</v>
      </c>
      <c r="O7499">
        <f>COUNTIFS(F$1:F7499,F7499,A$1:A7499,A7499)</f>
        <v>95</v>
      </c>
      <c r="P7499" t="str">
        <f t="shared" si="353"/>
        <v>Logan Thomas3</v>
      </c>
    </row>
    <row r="7500" spans="1:16" x14ac:dyDescent="0.25">
      <c r="A7500">
        <v>4</v>
      </c>
      <c r="B7500" t="s">
        <v>1583</v>
      </c>
      <c r="C7500" t="s">
        <v>743</v>
      </c>
      <c r="D7500">
        <v>0</v>
      </c>
      <c r="E7500" t="s">
        <v>41</v>
      </c>
      <c r="F7500" t="s">
        <v>114</v>
      </c>
      <c r="G7500">
        <v>0</v>
      </c>
      <c r="H7500">
        <v>0</v>
      </c>
      <c r="I7500">
        <v>0</v>
      </c>
      <c r="J7500">
        <v>0</v>
      </c>
      <c r="K7500" t="str">
        <f>IFERROR(INDEX(Rosters!$C$2:$C$155,MATCH($B7500,Rosters!$B$2:$B$155,0)),"NA")</f>
        <v>NA</v>
      </c>
      <c r="L7500" t="str">
        <f t="shared" si="351"/>
        <v>NA4TE</v>
      </c>
      <c r="M7500">
        <f>COUNTIF(L$1:L7500,L7500)</f>
        <v>77</v>
      </c>
      <c r="N7500" t="str">
        <f t="shared" si="352"/>
        <v>NA4TE-77</v>
      </c>
      <c r="O7500">
        <f>COUNTIFS(F$1:F7500,F7500,A$1:A7500,A7500)</f>
        <v>89</v>
      </c>
      <c r="P7500" t="str">
        <f t="shared" si="353"/>
        <v>Logan Thomas4</v>
      </c>
    </row>
    <row r="7501" spans="1:16" x14ac:dyDescent="0.25">
      <c r="A7501">
        <v>1</v>
      </c>
      <c r="B7501" t="s">
        <v>1633</v>
      </c>
      <c r="C7501" t="s">
        <v>743</v>
      </c>
      <c r="D7501">
        <v>0</v>
      </c>
      <c r="E7501" t="s">
        <v>31</v>
      </c>
      <c r="F7501" t="s">
        <v>87</v>
      </c>
      <c r="G7501">
        <v>0</v>
      </c>
      <c r="H7501">
        <v>0</v>
      </c>
      <c r="I7501">
        <v>0</v>
      </c>
      <c r="J7501">
        <v>0</v>
      </c>
      <c r="K7501" t="str">
        <f>IFERROR(INDEX(Rosters!$C$2:$C$155,MATCH($B7501,Rosters!$B$2:$B$155,0)),"NA")</f>
        <v>NA</v>
      </c>
      <c r="L7501" t="str">
        <f t="shared" si="351"/>
        <v>NA1WR</v>
      </c>
      <c r="M7501">
        <f>COUNTIF(L$1:L7501,L7501)</f>
        <v>99</v>
      </c>
      <c r="N7501" t="str">
        <f t="shared" si="352"/>
        <v>NA1WR-99</v>
      </c>
      <c r="O7501">
        <f>COUNTIFS(F$1:F7501,F7501,A$1:A7501,A7501)</f>
        <v>150</v>
      </c>
      <c r="P7501" t="str">
        <f t="shared" si="353"/>
        <v>Marcus Johnson1</v>
      </c>
    </row>
    <row r="7502" spans="1:16" x14ac:dyDescent="0.25">
      <c r="A7502">
        <v>2</v>
      </c>
      <c r="B7502" t="s">
        <v>69</v>
      </c>
      <c r="C7502" t="s">
        <v>743</v>
      </c>
      <c r="D7502">
        <v>0</v>
      </c>
      <c r="E7502" t="s">
        <v>36</v>
      </c>
      <c r="F7502" t="s">
        <v>15</v>
      </c>
      <c r="G7502">
        <v>0</v>
      </c>
      <c r="H7502">
        <v>0</v>
      </c>
      <c r="I7502">
        <v>0</v>
      </c>
      <c r="J7502">
        <v>0</v>
      </c>
      <c r="K7502" t="str">
        <f>IFERROR(INDEX(Rosters!$C$2:$C$155,MATCH($B7502,Rosters!$B$2:$B$155,0)),"NA")</f>
        <v>NA</v>
      </c>
      <c r="L7502" t="str">
        <f t="shared" si="351"/>
        <v>NA2QB</v>
      </c>
      <c r="M7502">
        <f>COUNTIF(L$1:L7502,L7502)</f>
        <v>46</v>
      </c>
      <c r="N7502" t="str">
        <f t="shared" si="352"/>
        <v>NA2QB-46</v>
      </c>
      <c r="O7502">
        <f>COUNTIFS(F$1:F7502,F7502,A$1:A7502,A7502)</f>
        <v>63</v>
      </c>
      <c r="P7502" t="str">
        <f t="shared" si="353"/>
        <v>Marcus Mariota2</v>
      </c>
    </row>
    <row r="7503" spans="1:16" x14ac:dyDescent="0.25">
      <c r="A7503">
        <v>4</v>
      </c>
      <c r="B7503" t="s">
        <v>1556</v>
      </c>
      <c r="C7503" t="s">
        <v>743</v>
      </c>
      <c r="D7503">
        <v>0</v>
      </c>
      <c r="E7503" t="s">
        <v>41</v>
      </c>
      <c r="F7503" t="s">
        <v>47</v>
      </c>
      <c r="G7503">
        <v>0</v>
      </c>
      <c r="H7503">
        <v>0</v>
      </c>
      <c r="I7503">
        <v>0</v>
      </c>
      <c r="J7503">
        <v>0</v>
      </c>
      <c r="K7503" t="str">
        <f>IFERROR(INDEX(Rosters!$C$2:$C$155,MATCH($B7503,Rosters!$B$2:$B$155,0)),"NA")</f>
        <v>NA</v>
      </c>
      <c r="L7503" t="str">
        <f t="shared" si="351"/>
        <v>NA4RB</v>
      </c>
      <c r="M7503">
        <f>COUNTIF(L$1:L7503,L7503)</f>
        <v>76</v>
      </c>
      <c r="N7503" t="str">
        <f t="shared" si="352"/>
        <v>NA4RB-76</v>
      </c>
      <c r="O7503">
        <f>COUNTIFS(F$1:F7503,F7503,A$1:A7503,A7503)</f>
        <v>119</v>
      </c>
      <c r="P7503" t="str">
        <f t="shared" si="353"/>
        <v>Marcus Murphy4</v>
      </c>
    </row>
    <row r="7504" spans="1:16" x14ac:dyDescent="0.25">
      <c r="A7504">
        <v>1</v>
      </c>
      <c r="B7504" t="s">
        <v>1647</v>
      </c>
      <c r="C7504" t="s">
        <v>743</v>
      </c>
      <c r="D7504">
        <v>0</v>
      </c>
      <c r="E7504" t="s">
        <v>17</v>
      </c>
      <c r="F7504" t="s">
        <v>47</v>
      </c>
      <c r="G7504">
        <v>0</v>
      </c>
      <c r="H7504">
        <v>0</v>
      </c>
      <c r="I7504">
        <v>0</v>
      </c>
      <c r="J7504">
        <v>0</v>
      </c>
      <c r="K7504" t="str">
        <f>IFERROR(INDEX(Rosters!$C$2:$C$155,MATCH($B7504,Rosters!$B$2:$B$155,0)),"NA")</f>
        <v>cory</v>
      </c>
      <c r="L7504" t="str">
        <f t="shared" si="351"/>
        <v>cory1RB</v>
      </c>
      <c r="M7504">
        <f>COUNTIF(L$1:L7504,L7504)</f>
        <v>5</v>
      </c>
      <c r="N7504" t="str">
        <f t="shared" si="352"/>
        <v>cory1RB-5</v>
      </c>
      <c r="O7504">
        <f>COUNTIFS(F$1:F7504,F7504,A$1:A7504,A7504)</f>
        <v>106</v>
      </c>
      <c r="P7504" t="str">
        <f t="shared" si="353"/>
        <v>Mark Ingram II1</v>
      </c>
    </row>
    <row r="7505" spans="1:16" x14ac:dyDescent="0.25">
      <c r="A7505">
        <v>2</v>
      </c>
      <c r="B7505" t="s">
        <v>1647</v>
      </c>
      <c r="C7505" t="s">
        <v>743</v>
      </c>
      <c r="D7505">
        <v>0</v>
      </c>
      <c r="E7505" t="s">
        <v>52</v>
      </c>
      <c r="F7505" t="s">
        <v>47</v>
      </c>
      <c r="G7505">
        <v>0</v>
      </c>
      <c r="H7505">
        <v>0</v>
      </c>
      <c r="I7505">
        <v>0</v>
      </c>
      <c r="J7505">
        <v>0</v>
      </c>
      <c r="K7505" t="str">
        <f>IFERROR(INDEX(Rosters!$C$2:$C$155,MATCH($B7505,Rosters!$B$2:$B$155,0)),"NA")</f>
        <v>cory</v>
      </c>
      <c r="L7505" t="str">
        <f t="shared" si="351"/>
        <v>cory2RB</v>
      </c>
      <c r="M7505">
        <f>COUNTIF(L$1:L7505,L7505)</f>
        <v>5</v>
      </c>
      <c r="N7505" t="str">
        <f t="shared" si="352"/>
        <v>cory2RB-5</v>
      </c>
      <c r="O7505">
        <f>COUNTIFS(F$1:F7505,F7505,A$1:A7505,A7505)</f>
        <v>116</v>
      </c>
      <c r="P7505" t="str">
        <f t="shared" si="353"/>
        <v>Mark Ingram II2</v>
      </c>
    </row>
    <row r="7506" spans="1:16" x14ac:dyDescent="0.25">
      <c r="A7506">
        <v>3</v>
      </c>
      <c r="B7506" t="s">
        <v>1647</v>
      </c>
      <c r="C7506" t="s">
        <v>743</v>
      </c>
      <c r="D7506">
        <v>0</v>
      </c>
      <c r="E7506" t="s">
        <v>46</v>
      </c>
      <c r="F7506" t="s">
        <v>47</v>
      </c>
      <c r="G7506">
        <v>0</v>
      </c>
      <c r="H7506">
        <v>0</v>
      </c>
      <c r="I7506">
        <v>0</v>
      </c>
      <c r="J7506">
        <v>0</v>
      </c>
      <c r="K7506" t="str">
        <f>IFERROR(INDEX(Rosters!$C$2:$C$155,MATCH($B7506,Rosters!$B$2:$B$155,0)),"NA")</f>
        <v>cory</v>
      </c>
      <c r="L7506" t="str">
        <f t="shared" si="351"/>
        <v>cory3RB</v>
      </c>
      <c r="M7506">
        <f>COUNTIF(L$1:L7506,L7506)</f>
        <v>5</v>
      </c>
      <c r="N7506" t="str">
        <f t="shared" si="352"/>
        <v>cory3RB-5</v>
      </c>
      <c r="O7506">
        <f>COUNTIFS(F$1:F7506,F7506,A$1:A7506,A7506)</f>
        <v>120</v>
      </c>
      <c r="P7506" t="str">
        <f t="shared" si="353"/>
        <v>Mark Ingram II3</v>
      </c>
    </row>
    <row r="7507" spans="1:16" x14ac:dyDescent="0.25">
      <c r="A7507">
        <v>4</v>
      </c>
      <c r="B7507" t="s">
        <v>1647</v>
      </c>
      <c r="C7507" t="s">
        <v>743</v>
      </c>
      <c r="D7507">
        <v>0</v>
      </c>
      <c r="E7507" t="s">
        <v>54</v>
      </c>
      <c r="F7507" t="s">
        <v>47</v>
      </c>
      <c r="G7507">
        <v>0</v>
      </c>
      <c r="H7507">
        <v>0</v>
      </c>
      <c r="I7507">
        <v>0</v>
      </c>
      <c r="J7507">
        <v>0</v>
      </c>
      <c r="K7507" t="str">
        <f>IFERROR(INDEX(Rosters!$C$2:$C$155,MATCH($B7507,Rosters!$B$2:$B$155,0)),"NA")</f>
        <v>cory</v>
      </c>
      <c r="L7507" t="str">
        <f t="shared" si="351"/>
        <v>cory4RB</v>
      </c>
      <c r="M7507">
        <f>COUNTIF(L$1:L7507,L7507)</f>
        <v>5</v>
      </c>
      <c r="N7507" t="str">
        <f t="shared" si="352"/>
        <v>cory4RB-5</v>
      </c>
      <c r="O7507">
        <f>COUNTIFS(F$1:F7507,F7507,A$1:A7507,A7507)</f>
        <v>120</v>
      </c>
      <c r="P7507" t="str">
        <f t="shared" si="353"/>
        <v>Mark Ingram II4</v>
      </c>
    </row>
    <row r="7508" spans="1:16" x14ac:dyDescent="0.25">
      <c r="A7508">
        <v>1</v>
      </c>
      <c r="B7508" t="s">
        <v>224</v>
      </c>
      <c r="C7508" t="s">
        <v>743</v>
      </c>
      <c r="D7508">
        <v>0</v>
      </c>
      <c r="E7508" t="s">
        <v>31</v>
      </c>
      <c r="F7508" t="s">
        <v>47</v>
      </c>
      <c r="G7508">
        <v>0</v>
      </c>
      <c r="H7508">
        <v>0</v>
      </c>
      <c r="I7508">
        <v>0</v>
      </c>
      <c r="J7508">
        <v>0</v>
      </c>
      <c r="K7508" t="str">
        <f>IFERROR(INDEX(Rosters!$C$2:$C$155,MATCH($B7508,Rosters!$B$2:$B$155,0)),"NA")</f>
        <v>NA</v>
      </c>
      <c r="L7508" t="str">
        <f t="shared" si="351"/>
        <v>NA1RB</v>
      </c>
      <c r="M7508">
        <f>COUNTIF(L$1:L7508,L7508)</f>
        <v>61</v>
      </c>
      <c r="N7508" t="str">
        <f t="shared" si="352"/>
        <v>NA1RB-61</v>
      </c>
      <c r="O7508">
        <f>COUNTIFS(F$1:F7508,F7508,A$1:A7508,A7508)</f>
        <v>107</v>
      </c>
      <c r="P7508" t="str">
        <f t="shared" si="353"/>
        <v>Marlon Mack1</v>
      </c>
    </row>
    <row r="7509" spans="1:16" x14ac:dyDescent="0.25">
      <c r="A7509">
        <v>3</v>
      </c>
      <c r="B7509" t="s">
        <v>224</v>
      </c>
      <c r="C7509" t="s">
        <v>743</v>
      </c>
      <c r="D7509">
        <v>0</v>
      </c>
      <c r="E7509" t="s">
        <v>50</v>
      </c>
      <c r="F7509" t="s">
        <v>47</v>
      </c>
      <c r="G7509">
        <v>0</v>
      </c>
      <c r="H7509">
        <v>0</v>
      </c>
      <c r="I7509">
        <v>0</v>
      </c>
      <c r="J7509">
        <v>0</v>
      </c>
      <c r="K7509" t="str">
        <f>IFERROR(INDEX(Rosters!$C$2:$C$155,MATCH($B7509,Rosters!$B$2:$B$155,0)),"NA")</f>
        <v>NA</v>
      </c>
      <c r="L7509" t="str">
        <f t="shared" si="351"/>
        <v>NA3RB</v>
      </c>
      <c r="M7509">
        <f>COUNTIF(L$1:L7509,L7509)</f>
        <v>74</v>
      </c>
      <c r="N7509" t="str">
        <f t="shared" si="352"/>
        <v>NA3RB-74</v>
      </c>
      <c r="O7509">
        <f>COUNTIFS(F$1:F7509,F7509,A$1:A7509,A7509)</f>
        <v>121</v>
      </c>
      <c r="P7509" t="str">
        <f t="shared" si="353"/>
        <v>Marlon Mack3</v>
      </c>
    </row>
    <row r="7510" spans="1:16" x14ac:dyDescent="0.25">
      <c r="A7510">
        <v>4</v>
      </c>
      <c r="B7510" t="s">
        <v>224</v>
      </c>
      <c r="C7510" t="s">
        <v>743</v>
      </c>
      <c r="D7510">
        <v>0</v>
      </c>
      <c r="E7510" t="s">
        <v>36</v>
      </c>
      <c r="F7510" t="s">
        <v>47</v>
      </c>
      <c r="G7510">
        <v>0</v>
      </c>
      <c r="H7510">
        <v>0</v>
      </c>
      <c r="I7510">
        <v>0</v>
      </c>
      <c r="J7510">
        <v>0</v>
      </c>
      <c r="K7510" t="str">
        <f>IFERROR(INDEX(Rosters!$C$2:$C$155,MATCH($B7510,Rosters!$B$2:$B$155,0)),"NA")</f>
        <v>NA</v>
      </c>
      <c r="L7510" t="str">
        <f t="shared" si="351"/>
        <v>NA4RB</v>
      </c>
      <c r="M7510">
        <f>COUNTIF(L$1:L7510,L7510)</f>
        <v>77</v>
      </c>
      <c r="N7510" t="str">
        <f t="shared" si="352"/>
        <v>NA4RB-77</v>
      </c>
      <c r="O7510">
        <f>COUNTIFS(F$1:F7510,F7510,A$1:A7510,A7510)</f>
        <v>121</v>
      </c>
      <c r="P7510" t="str">
        <f t="shared" si="353"/>
        <v>Marlon Mack4</v>
      </c>
    </row>
    <row r="7511" spans="1:16" x14ac:dyDescent="0.25">
      <c r="A7511">
        <v>5</v>
      </c>
      <c r="B7511" t="s">
        <v>224</v>
      </c>
      <c r="C7511" t="s">
        <v>743</v>
      </c>
      <c r="D7511">
        <v>0</v>
      </c>
      <c r="E7511" t="s">
        <v>423</v>
      </c>
      <c r="F7511" t="s">
        <v>47</v>
      </c>
      <c r="G7511">
        <v>0</v>
      </c>
      <c r="H7511">
        <v>0</v>
      </c>
      <c r="I7511">
        <v>0</v>
      </c>
      <c r="J7511">
        <v>0</v>
      </c>
      <c r="K7511" t="str">
        <f>IFERROR(INDEX(Rosters!$C$2:$C$155,MATCH($B7511,Rosters!$B$2:$B$155,0)),"NA")</f>
        <v>NA</v>
      </c>
      <c r="L7511" t="str">
        <f t="shared" si="351"/>
        <v>NA5RB</v>
      </c>
      <c r="M7511">
        <f>COUNTIF(L$1:L7511,L7511)</f>
        <v>81</v>
      </c>
      <c r="N7511" t="str">
        <f t="shared" si="352"/>
        <v>NA5RB-81</v>
      </c>
      <c r="O7511">
        <f>COUNTIFS(F$1:F7511,F7511,A$1:A7511,A7511)</f>
        <v>126</v>
      </c>
      <c r="P7511" t="str">
        <f t="shared" si="353"/>
        <v>Marlon Mack5</v>
      </c>
    </row>
    <row r="7512" spans="1:16" x14ac:dyDescent="0.25">
      <c r="A7512">
        <v>1</v>
      </c>
      <c r="B7512" t="s">
        <v>1641</v>
      </c>
      <c r="C7512" t="s">
        <v>743</v>
      </c>
      <c r="D7512">
        <v>0</v>
      </c>
      <c r="E7512" t="s">
        <v>51</v>
      </c>
      <c r="F7512" t="s">
        <v>47</v>
      </c>
      <c r="G7512">
        <v>0</v>
      </c>
      <c r="H7512">
        <v>0</v>
      </c>
      <c r="I7512">
        <v>0</v>
      </c>
      <c r="J7512">
        <v>0</v>
      </c>
      <c r="K7512" t="str">
        <f>IFERROR(INDEX(Rosters!$C$2:$C$155,MATCH($B7512,Rosters!$B$2:$B$155,0)),"NA")</f>
        <v>NA</v>
      </c>
      <c r="L7512" t="str">
        <f t="shared" si="351"/>
        <v>NA1RB</v>
      </c>
      <c r="M7512">
        <f>COUNTIF(L$1:L7512,L7512)</f>
        <v>62</v>
      </c>
      <c r="N7512" t="str">
        <f t="shared" si="352"/>
        <v>NA1RB-62</v>
      </c>
      <c r="O7512">
        <f>COUNTIFS(F$1:F7512,F7512,A$1:A7512,A7512)</f>
        <v>108</v>
      </c>
      <c r="P7512" t="str">
        <f t="shared" si="353"/>
        <v>Marquez Williams1</v>
      </c>
    </row>
    <row r="7513" spans="1:16" x14ac:dyDescent="0.25">
      <c r="A7513">
        <v>2</v>
      </c>
      <c r="B7513" t="s">
        <v>1641</v>
      </c>
      <c r="C7513" t="s">
        <v>743</v>
      </c>
      <c r="D7513">
        <v>0</v>
      </c>
      <c r="E7513" t="s">
        <v>14</v>
      </c>
      <c r="F7513" t="s">
        <v>47</v>
      </c>
      <c r="G7513">
        <v>0</v>
      </c>
      <c r="H7513">
        <v>0</v>
      </c>
      <c r="I7513">
        <v>0</v>
      </c>
      <c r="J7513">
        <v>0</v>
      </c>
      <c r="K7513" t="str">
        <f>IFERROR(INDEX(Rosters!$C$2:$C$155,MATCH($B7513,Rosters!$B$2:$B$155,0)),"NA")</f>
        <v>NA</v>
      </c>
      <c r="L7513" t="str">
        <f t="shared" si="351"/>
        <v>NA2RB</v>
      </c>
      <c r="M7513">
        <f>COUNTIF(L$1:L7513,L7513)</f>
        <v>70</v>
      </c>
      <c r="N7513" t="str">
        <f t="shared" si="352"/>
        <v>NA2RB-70</v>
      </c>
      <c r="O7513">
        <f>COUNTIFS(F$1:F7513,F7513,A$1:A7513,A7513)</f>
        <v>117</v>
      </c>
      <c r="P7513" t="str">
        <f t="shared" si="353"/>
        <v>Marquez Williams2</v>
      </c>
    </row>
    <row r="7514" spans="1:16" x14ac:dyDescent="0.25">
      <c r="A7514">
        <v>2</v>
      </c>
      <c r="B7514" t="s">
        <v>255</v>
      </c>
      <c r="C7514" t="s">
        <v>743</v>
      </c>
      <c r="D7514">
        <v>0</v>
      </c>
      <c r="E7514" t="s">
        <v>34</v>
      </c>
      <c r="F7514" t="s">
        <v>87</v>
      </c>
      <c r="G7514">
        <v>0</v>
      </c>
      <c r="H7514">
        <v>0</v>
      </c>
      <c r="I7514">
        <v>0</v>
      </c>
      <c r="J7514">
        <v>0</v>
      </c>
      <c r="K7514" t="str">
        <f>IFERROR(INDEX(Rosters!$C$2:$C$155,MATCH($B7514,Rosters!$B$2:$B$155,0)),"NA")</f>
        <v>NA</v>
      </c>
      <c r="L7514" t="str">
        <f t="shared" si="351"/>
        <v>NA2WR</v>
      </c>
      <c r="M7514">
        <f>COUNTIF(L$1:L7514,L7514)</f>
        <v>108</v>
      </c>
      <c r="N7514" t="str">
        <f t="shared" si="352"/>
        <v>NA2WR-108</v>
      </c>
      <c r="O7514">
        <f>COUNTIFS(F$1:F7514,F7514,A$1:A7514,A7514)</f>
        <v>160</v>
      </c>
      <c r="P7514" t="str">
        <f t="shared" si="353"/>
        <v>Marquise Goodwin2</v>
      </c>
    </row>
    <row r="7515" spans="1:16" x14ac:dyDescent="0.25">
      <c r="A7515">
        <v>1</v>
      </c>
      <c r="B7515" t="s">
        <v>1146</v>
      </c>
      <c r="C7515" t="s">
        <v>743</v>
      </c>
      <c r="D7515">
        <v>0</v>
      </c>
      <c r="E7515" t="s">
        <v>58</v>
      </c>
      <c r="F7515" t="s">
        <v>87</v>
      </c>
      <c r="G7515">
        <v>0</v>
      </c>
      <c r="H7515">
        <v>0</v>
      </c>
      <c r="I7515">
        <v>0</v>
      </c>
      <c r="J7515">
        <v>0</v>
      </c>
      <c r="K7515" t="str">
        <f>IFERROR(INDEX(Rosters!$C$2:$C$155,MATCH($B7515,Rosters!$B$2:$B$155,0)),"NA")</f>
        <v>NA</v>
      </c>
      <c r="L7515" t="str">
        <f t="shared" si="351"/>
        <v>NA1WR</v>
      </c>
      <c r="M7515">
        <f>COUNTIF(L$1:L7515,L7515)</f>
        <v>100</v>
      </c>
      <c r="N7515" t="str">
        <f t="shared" si="352"/>
        <v>NA1WR-100</v>
      </c>
      <c r="O7515">
        <f>COUNTIFS(F$1:F7515,F7515,A$1:A7515,A7515)</f>
        <v>151</v>
      </c>
      <c r="P7515" t="str">
        <f t="shared" si="353"/>
        <v>Maurice Harris1</v>
      </c>
    </row>
    <row r="7516" spans="1:16" x14ac:dyDescent="0.25">
      <c r="A7516">
        <v>2</v>
      </c>
      <c r="B7516" t="s">
        <v>1146</v>
      </c>
      <c r="C7516" t="s">
        <v>743</v>
      </c>
      <c r="D7516">
        <v>0</v>
      </c>
      <c r="E7516" t="s">
        <v>66</v>
      </c>
      <c r="F7516" t="s">
        <v>87</v>
      </c>
      <c r="G7516">
        <v>0</v>
      </c>
      <c r="H7516">
        <v>0</v>
      </c>
      <c r="I7516">
        <v>0</v>
      </c>
      <c r="J7516">
        <v>0</v>
      </c>
      <c r="K7516" t="str">
        <f>IFERROR(INDEX(Rosters!$C$2:$C$155,MATCH($B7516,Rosters!$B$2:$B$155,0)),"NA")</f>
        <v>NA</v>
      </c>
      <c r="L7516" t="str">
        <f t="shared" si="351"/>
        <v>NA2WR</v>
      </c>
      <c r="M7516">
        <f>COUNTIF(L$1:L7516,L7516)</f>
        <v>109</v>
      </c>
      <c r="N7516" t="str">
        <f t="shared" si="352"/>
        <v>NA2WR-109</v>
      </c>
      <c r="O7516">
        <f>COUNTIFS(F$1:F7516,F7516,A$1:A7516,A7516)</f>
        <v>161</v>
      </c>
      <c r="P7516" t="str">
        <f t="shared" si="353"/>
        <v>Maurice Harris2</v>
      </c>
    </row>
    <row r="7517" spans="1:16" x14ac:dyDescent="0.25">
      <c r="A7517">
        <v>2</v>
      </c>
      <c r="B7517" t="s">
        <v>1636</v>
      </c>
      <c r="C7517" t="s">
        <v>743</v>
      </c>
      <c r="D7517">
        <v>0</v>
      </c>
      <c r="E7517" t="s">
        <v>28</v>
      </c>
      <c r="F7517" t="s">
        <v>47</v>
      </c>
      <c r="G7517">
        <v>0</v>
      </c>
      <c r="H7517">
        <v>0</v>
      </c>
      <c r="I7517">
        <v>0</v>
      </c>
      <c r="J7517">
        <v>0</v>
      </c>
      <c r="K7517" t="str">
        <f>IFERROR(INDEX(Rosters!$C$2:$C$155,MATCH($B7517,Rosters!$B$2:$B$155,0)),"NA")</f>
        <v>NA</v>
      </c>
      <c r="L7517" t="str">
        <f t="shared" si="351"/>
        <v>NA2RB</v>
      </c>
      <c r="M7517">
        <f>COUNTIF(L$1:L7517,L7517)</f>
        <v>71</v>
      </c>
      <c r="N7517" t="str">
        <f t="shared" si="352"/>
        <v>NA2RB-71</v>
      </c>
      <c r="O7517">
        <f>COUNTIFS(F$1:F7517,F7517,A$1:A7517,A7517)</f>
        <v>118</v>
      </c>
      <c r="P7517" t="str">
        <f t="shared" si="353"/>
        <v>Michael Burton2</v>
      </c>
    </row>
    <row r="7518" spans="1:16" x14ac:dyDescent="0.25">
      <c r="A7518">
        <v>3</v>
      </c>
      <c r="B7518" t="s">
        <v>2921</v>
      </c>
      <c r="C7518" t="s">
        <v>743</v>
      </c>
      <c r="D7518">
        <v>0</v>
      </c>
      <c r="E7518" t="s">
        <v>41</v>
      </c>
      <c r="F7518" t="s">
        <v>87</v>
      </c>
      <c r="G7518">
        <v>0</v>
      </c>
      <c r="H7518">
        <v>0</v>
      </c>
      <c r="I7518">
        <v>0</v>
      </c>
      <c r="J7518">
        <v>0</v>
      </c>
      <c r="K7518" t="str">
        <f>IFERROR(INDEX(Rosters!$C$2:$C$155,MATCH($B7518,Rosters!$B$2:$B$155,0)),"NA")</f>
        <v>NA</v>
      </c>
      <c r="L7518" t="str">
        <f t="shared" si="351"/>
        <v>NA3WR</v>
      </c>
      <c r="M7518">
        <f>COUNTIF(L$1:L7518,L7518)</f>
        <v>112</v>
      </c>
      <c r="N7518" t="str">
        <f t="shared" si="352"/>
        <v>NA3WR-112</v>
      </c>
      <c r="O7518">
        <f>COUNTIFS(F$1:F7518,F7518,A$1:A7518,A7518)</f>
        <v>165</v>
      </c>
      <c r="P7518" t="str">
        <f t="shared" si="353"/>
        <v>Michael Floyd3</v>
      </c>
    </row>
    <row r="7519" spans="1:16" x14ac:dyDescent="0.25">
      <c r="A7519">
        <v>3</v>
      </c>
      <c r="B7519" t="s">
        <v>1526</v>
      </c>
      <c r="C7519" t="s">
        <v>743</v>
      </c>
      <c r="D7519">
        <v>0</v>
      </c>
      <c r="E7519" t="s">
        <v>423</v>
      </c>
      <c r="F7519" t="s">
        <v>114</v>
      </c>
      <c r="G7519">
        <v>0</v>
      </c>
      <c r="H7519">
        <v>0</v>
      </c>
      <c r="I7519">
        <v>0</v>
      </c>
      <c r="J7519">
        <v>0</v>
      </c>
      <c r="K7519" t="str">
        <f>IFERROR(INDEX(Rosters!$C$2:$C$155,MATCH($B7519,Rosters!$B$2:$B$155,0)),"NA")</f>
        <v>NA</v>
      </c>
      <c r="L7519" t="str">
        <f t="shared" si="351"/>
        <v>NA3TE</v>
      </c>
      <c r="M7519">
        <f>COUNTIF(L$1:L7519,L7519)</f>
        <v>82</v>
      </c>
      <c r="N7519" t="str">
        <f t="shared" si="352"/>
        <v>NA3TE-82</v>
      </c>
      <c r="O7519">
        <f>COUNTIFS(F$1:F7519,F7519,A$1:A7519,A7519)</f>
        <v>96</v>
      </c>
      <c r="P7519" t="str">
        <f t="shared" si="353"/>
        <v>Michael Roberts3</v>
      </c>
    </row>
    <row r="7520" spans="1:16" x14ac:dyDescent="0.25">
      <c r="A7520">
        <v>4</v>
      </c>
      <c r="B7520" t="s">
        <v>1526</v>
      </c>
      <c r="C7520" t="s">
        <v>743</v>
      </c>
      <c r="D7520">
        <v>0</v>
      </c>
      <c r="E7520" t="s">
        <v>22</v>
      </c>
      <c r="F7520" t="s">
        <v>114</v>
      </c>
      <c r="G7520">
        <v>0</v>
      </c>
      <c r="H7520">
        <v>0</v>
      </c>
      <c r="I7520">
        <v>0</v>
      </c>
      <c r="J7520">
        <v>0</v>
      </c>
      <c r="K7520" t="str">
        <f>IFERROR(INDEX(Rosters!$C$2:$C$155,MATCH($B7520,Rosters!$B$2:$B$155,0)),"NA")</f>
        <v>NA</v>
      </c>
      <c r="L7520" t="str">
        <f t="shared" si="351"/>
        <v>NA4TE</v>
      </c>
      <c r="M7520">
        <f>COUNTIF(L$1:L7520,L7520)</f>
        <v>78</v>
      </c>
      <c r="N7520" t="str">
        <f t="shared" si="352"/>
        <v>NA4TE-78</v>
      </c>
      <c r="O7520">
        <f>COUNTIFS(F$1:F7520,F7520,A$1:A7520,A7520)</f>
        <v>90</v>
      </c>
      <c r="P7520" t="str">
        <f t="shared" si="353"/>
        <v>Michael Roberts4</v>
      </c>
    </row>
    <row r="7521" spans="1:16" x14ac:dyDescent="0.25">
      <c r="A7521">
        <v>1</v>
      </c>
      <c r="B7521" t="s">
        <v>1148</v>
      </c>
      <c r="C7521" t="s">
        <v>743</v>
      </c>
      <c r="D7521">
        <v>0</v>
      </c>
      <c r="E7521" t="s">
        <v>42</v>
      </c>
      <c r="F7521" t="s">
        <v>47</v>
      </c>
      <c r="G7521">
        <v>0</v>
      </c>
      <c r="H7521">
        <v>0</v>
      </c>
      <c r="I7521">
        <v>0</v>
      </c>
      <c r="J7521">
        <v>0</v>
      </c>
      <c r="K7521" t="str">
        <f>IFERROR(INDEX(Rosters!$C$2:$C$155,MATCH($B7521,Rosters!$B$2:$B$155,0)),"NA")</f>
        <v>NA</v>
      </c>
      <c r="L7521" t="str">
        <f t="shared" si="351"/>
        <v>NA1RB</v>
      </c>
      <c r="M7521">
        <f>COUNTIF(L$1:L7521,L7521)</f>
        <v>63</v>
      </c>
      <c r="N7521" t="str">
        <f t="shared" si="352"/>
        <v>NA1RB-63</v>
      </c>
      <c r="O7521">
        <f>COUNTIFS(F$1:F7521,F7521,A$1:A7521,A7521)</f>
        <v>109</v>
      </c>
      <c r="P7521" t="str">
        <f t="shared" si="353"/>
        <v>Mike Davis1</v>
      </c>
    </row>
    <row r="7522" spans="1:16" x14ac:dyDescent="0.25">
      <c r="A7522">
        <v>1</v>
      </c>
      <c r="B7522" t="s">
        <v>84</v>
      </c>
      <c r="C7522" t="s">
        <v>743</v>
      </c>
      <c r="D7522">
        <v>0</v>
      </c>
      <c r="E7522" t="s">
        <v>60</v>
      </c>
      <c r="F7522" t="s">
        <v>15</v>
      </c>
      <c r="G7522">
        <v>0</v>
      </c>
      <c r="H7522">
        <v>0</v>
      </c>
      <c r="I7522">
        <v>0</v>
      </c>
      <c r="J7522">
        <v>0</v>
      </c>
      <c r="K7522" t="str">
        <f>IFERROR(INDEX(Rosters!$C$2:$C$155,MATCH($B7522,Rosters!$B$2:$B$155,0)),"NA")</f>
        <v>NA</v>
      </c>
      <c r="L7522" t="str">
        <f t="shared" si="351"/>
        <v>NA1QB</v>
      </c>
      <c r="M7522">
        <f>COUNTIF(L$1:L7522,L7522)</f>
        <v>47</v>
      </c>
      <c r="N7522" t="str">
        <f t="shared" si="352"/>
        <v>NA1QB-47</v>
      </c>
      <c r="O7522">
        <f>COUNTIFS(F$1:F7522,F7522,A$1:A7522,A7522)</f>
        <v>64</v>
      </c>
      <c r="P7522" t="str">
        <f t="shared" si="353"/>
        <v>Mike Glennon1</v>
      </c>
    </row>
    <row r="7523" spans="1:16" x14ac:dyDescent="0.25">
      <c r="A7523">
        <v>2</v>
      </c>
      <c r="B7523" t="s">
        <v>84</v>
      </c>
      <c r="C7523" t="s">
        <v>743</v>
      </c>
      <c r="D7523">
        <v>0</v>
      </c>
      <c r="E7523" t="s">
        <v>56</v>
      </c>
      <c r="F7523" t="s">
        <v>15</v>
      </c>
      <c r="G7523">
        <v>0</v>
      </c>
      <c r="H7523">
        <v>0</v>
      </c>
      <c r="I7523">
        <v>0</v>
      </c>
      <c r="J7523">
        <v>0</v>
      </c>
      <c r="K7523" t="str">
        <f>IFERROR(INDEX(Rosters!$C$2:$C$155,MATCH($B7523,Rosters!$B$2:$B$155,0)),"NA")</f>
        <v>NA</v>
      </c>
      <c r="L7523" t="str">
        <f t="shared" si="351"/>
        <v>NA2QB</v>
      </c>
      <c r="M7523">
        <f>COUNTIF(L$1:L7523,L7523)</f>
        <v>47</v>
      </c>
      <c r="N7523" t="str">
        <f t="shared" si="352"/>
        <v>NA2QB-47</v>
      </c>
      <c r="O7523">
        <f>COUNTIFS(F$1:F7523,F7523,A$1:A7523,A7523)</f>
        <v>64</v>
      </c>
      <c r="P7523" t="str">
        <f t="shared" si="353"/>
        <v>Mike Glennon2</v>
      </c>
    </row>
    <row r="7524" spans="1:16" x14ac:dyDescent="0.25">
      <c r="A7524">
        <v>3</v>
      </c>
      <c r="B7524" t="s">
        <v>84</v>
      </c>
      <c r="C7524" t="s">
        <v>743</v>
      </c>
      <c r="D7524">
        <v>0</v>
      </c>
      <c r="E7524" t="s">
        <v>72</v>
      </c>
      <c r="F7524" t="s">
        <v>15</v>
      </c>
      <c r="G7524">
        <v>0</v>
      </c>
      <c r="H7524">
        <v>0</v>
      </c>
      <c r="I7524">
        <v>0</v>
      </c>
      <c r="J7524">
        <v>0</v>
      </c>
      <c r="K7524" t="str">
        <f>IFERROR(INDEX(Rosters!$C$2:$C$155,MATCH($B7524,Rosters!$B$2:$B$155,0)),"NA")</f>
        <v>NA</v>
      </c>
      <c r="L7524" t="str">
        <f t="shared" si="351"/>
        <v>NA3QB</v>
      </c>
      <c r="M7524">
        <f>COUNTIF(L$1:L7524,L7524)</f>
        <v>47</v>
      </c>
      <c r="N7524" t="str">
        <f t="shared" si="352"/>
        <v>NA3QB-47</v>
      </c>
      <c r="O7524">
        <f>COUNTIFS(F$1:F7524,F7524,A$1:A7524,A7524)</f>
        <v>64</v>
      </c>
      <c r="P7524" t="str">
        <f t="shared" si="353"/>
        <v>Mike Glennon3</v>
      </c>
    </row>
    <row r="7525" spans="1:16" x14ac:dyDescent="0.25">
      <c r="A7525">
        <v>2</v>
      </c>
      <c r="B7525" t="s">
        <v>1112</v>
      </c>
      <c r="C7525" t="s">
        <v>743</v>
      </c>
      <c r="D7525">
        <v>0</v>
      </c>
      <c r="E7525" t="s">
        <v>58</v>
      </c>
      <c r="F7525" t="s">
        <v>87</v>
      </c>
      <c r="G7525">
        <v>0</v>
      </c>
      <c r="H7525">
        <v>0</v>
      </c>
      <c r="I7525">
        <v>0</v>
      </c>
      <c r="J7525">
        <v>0</v>
      </c>
      <c r="K7525" t="str">
        <f>IFERROR(INDEX(Rosters!$C$2:$C$155,MATCH($B7525,Rosters!$B$2:$B$155,0)),"NA")</f>
        <v>NA</v>
      </c>
      <c r="L7525" t="str">
        <f t="shared" si="351"/>
        <v>NA2WR</v>
      </c>
      <c r="M7525">
        <f>COUNTIF(L$1:L7525,L7525)</f>
        <v>110</v>
      </c>
      <c r="N7525" t="str">
        <f t="shared" si="352"/>
        <v>NA2WR-110</v>
      </c>
      <c r="O7525">
        <f>COUNTIFS(F$1:F7525,F7525,A$1:A7525,A7525)</f>
        <v>162</v>
      </c>
      <c r="P7525" t="str">
        <f t="shared" si="353"/>
        <v>Mike Thomas2</v>
      </c>
    </row>
    <row r="7526" spans="1:16" x14ac:dyDescent="0.25">
      <c r="A7526">
        <v>3</v>
      </c>
      <c r="B7526" t="s">
        <v>1112</v>
      </c>
      <c r="C7526" t="s">
        <v>743</v>
      </c>
      <c r="D7526">
        <v>0</v>
      </c>
      <c r="E7526" t="s">
        <v>37</v>
      </c>
      <c r="F7526" t="s">
        <v>87</v>
      </c>
      <c r="G7526">
        <v>0</v>
      </c>
      <c r="H7526">
        <v>0</v>
      </c>
      <c r="I7526">
        <v>0</v>
      </c>
      <c r="J7526">
        <v>0</v>
      </c>
      <c r="K7526" t="str">
        <f>IFERROR(INDEX(Rosters!$C$2:$C$155,MATCH($B7526,Rosters!$B$2:$B$155,0)),"NA")</f>
        <v>NA</v>
      </c>
      <c r="L7526" t="str">
        <f t="shared" si="351"/>
        <v>NA3WR</v>
      </c>
      <c r="M7526">
        <f>COUNTIF(L$1:L7526,L7526)</f>
        <v>113</v>
      </c>
      <c r="N7526" t="str">
        <f t="shared" si="352"/>
        <v>NA3WR-113</v>
      </c>
      <c r="O7526">
        <f>COUNTIFS(F$1:F7526,F7526,A$1:A7526,A7526)</f>
        <v>166</v>
      </c>
      <c r="P7526" t="str">
        <f t="shared" si="353"/>
        <v>Mike Thomas3</v>
      </c>
    </row>
    <row r="7527" spans="1:16" x14ac:dyDescent="0.25">
      <c r="A7527">
        <v>4</v>
      </c>
      <c r="B7527" t="s">
        <v>1112</v>
      </c>
      <c r="C7527" t="s">
        <v>743</v>
      </c>
      <c r="D7527">
        <v>0</v>
      </c>
      <c r="E7527" t="s">
        <v>25</v>
      </c>
      <c r="F7527" t="s">
        <v>87</v>
      </c>
      <c r="G7527">
        <v>0</v>
      </c>
      <c r="H7527">
        <v>0</v>
      </c>
      <c r="I7527">
        <v>0</v>
      </c>
      <c r="J7527">
        <v>0</v>
      </c>
      <c r="K7527" t="str">
        <f>IFERROR(INDEX(Rosters!$C$2:$C$155,MATCH($B7527,Rosters!$B$2:$B$155,0)),"NA")</f>
        <v>NA</v>
      </c>
      <c r="L7527" t="str">
        <f t="shared" si="351"/>
        <v>NA4WR</v>
      </c>
      <c r="M7527">
        <f>COUNTIF(L$1:L7527,L7527)</f>
        <v>110</v>
      </c>
      <c r="N7527" t="str">
        <f t="shared" si="352"/>
        <v>NA4WR-110</v>
      </c>
      <c r="O7527">
        <f>COUNTIFS(F$1:F7527,F7527,A$1:A7527,A7527)</f>
        <v>161</v>
      </c>
      <c r="P7527" t="str">
        <f t="shared" si="353"/>
        <v>Mike Thomas4</v>
      </c>
    </row>
    <row r="7528" spans="1:16" x14ac:dyDescent="0.25">
      <c r="A7528">
        <v>5</v>
      </c>
      <c r="B7528" t="s">
        <v>1112</v>
      </c>
      <c r="C7528" t="s">
        <v>743</v>
      </c>
      <c r="D7528">
        <v>0</v>
      </c>
      <c r="E7528" t="s">
        <v>28</v>
      </c>
      <c r="F7528" t="s">
        <v>87</v>
      </c>
      <c r="G7528">
        <v>0</v>
      </c>
      <c r="H7528">
        <v>0</v>
      </c>
      <c r="I7528">
        <v>0</v>
      </c>
      <c r="J7528">
        <v>0</v>
      </c>
      <c r="K7528" t="str">
        <f>IFERROR(INDEX(Rosters!$C$2:$C$155,MATCH($B7528,Rosters!$B$2:$B$155,0)),"NA")</f>
        <v>NA</v>
      </c>
      <c r="L7528" t="str">
        <f t="shared" si="351"/>
        <v>NA5WR</v>
      </c>
      <c r="M7528">
        <f>COUNTIF(L$1:L7528,L7528)</f>
        <v>118</v>
      </c>
      <c r="N7528" t="str">
        <f t="shared" si="352"/>
        <v>NA5WR-118</v>
      </c>
      <c r="O7528">
        <f>COUNTIFS(F$1:F7528,F7528,A$1:A7528,A7528)</f>
        <v>168</v>
      </c>
      <c r="P7528" t="str">
        <f t="shared" si="353"/>
        <v>Mike Thomas5</v>
      </c>
    </row>
    <row r="7529" spans="1:16" x14ac:dyDescent="0.25">
      <c r="A7529">
        <v>6</v>
      </c>
      <c r="B7529" t="s">
        <v>1112</v>
      </c>
      <c r="C7529" t="s">
        <v>743</v>
      </c>
      <c r="D7529">
        <v>0</v>
      </c>
      <c r="E7529" t="s">
        <v>42</v>
      </c>
      <c r="F7529" t="s">
        <v>87</v>
      </c>
      <c r="G7529">
        <v>0</v>
      </c>
      <c r="H7529">
        <v>0</v>
      </c>
      <c r="I7529">
        <v>0</v>
      </c>
      <c r="J7529">
        <v>0</v>
      </c>
      <c r="K7529" t="str">
        <f>IFERROR(INDEX(Rosters!$C$2:$C$155,MATCH($B7529,Rosters!$B$2:$B$155,0)),"NA")</f>
        <v>NA</v>
      </c>
      <c r="L7529" t="str">
        <f t="shared" si="351"/>
        <v>NA6WR</v>
      </c>
      <c r="M7529">
        <f>COUNTIF(L$1:L7529,L7529)</f>
        <v>120</v>
      </c>
      <c r="N7529" t="str">
        <f t="shared" si="352"/>
        <v>NA6WR-120</v>
      </c>
      <c r="O7529">
        <f>COUNTIFS(F$1:F7529,F7529,A$1:A7529,A7529)</f>
        <v>170</v>
      </c>
      <c r="P7529" t="str">
        <f t="shared" si="353"/>
        <v>Mike Thomas6</v>
      </c>
    </row>
    <row r="7530" spans="1:16" x14ac:dyDescent="0.25">
      <c r="A7530">
        <v>7</v>
      </c>
      <c r="B7530" t="s">
        <v>1112</v>
      </c>
      <c r="C7530" t="s">
        <v>743</v>
      </c>
      <c r="D7530">
        <v>0</v>
      </c>
      <c r="E7530" t="s">
        <v>30</v>
      </c>
      <c r="F7530" t="s">
        <v>87</v>
      </c>
      <c r="G7530">
        <v>0</v>
      </c>
      <c r="H7530">
        <v>0</v>
      </c>
      <c r="I7530">
        <v>0</v>
      </c>
      <c r="J7530">
        <v>0</v>
      </c>
      <c r="K7530" t="str">
        <f>IFERROR(INDEX(Rosters!$C$2:$C$155,MATCH($B7530,Rosters!$B$2:$B$155,0)),"NA")</f>
        <v>NA</v>
      </c>
      <c r="L7530" t="str">
        <f t="shared" si="351"/>
        <v>NA7WR</v>
      </c>
      <c r="M7530">
        <f>COUNTIF(L$1:L7530,L7530)</f>
        <v>113</v>
      </c>
      <c r="N7530" t="str">
        <f t="shared" si="352"/>
        <v>NA7WR-113</v>
      </c>
      <c r="O7530">
        <f>COUNTIFS(F$1:F7530,F7530,A$1:A7530,A7530)</f>
        <v>158</v>
      </c>
      <c r="P7530" t="str">
        <f t="shared" si="353"/>
        <v>Mike Thomas7</v>
      </c>
    </row>
    <row r="7531" spans="1:16" x14ac:dyDescent="0.25">
      <c r="A7531">
        <v>8</v>
      </c>
      <c r="B7531" t="s">
        <v>1112</v>
      </c>
      <c r="C7531" t="s">
        <v>743</v>
      </c>
      <c r="D7531">
        <v>0</v>
      </c>
      <c r="E7531" t="s">
        <v>41</v>
      </c>
      <c r="F7531" t="s">
        <v>87</v>
      </c>
      <c r="G7531">
        <v>0</v>
      </c>
      <c r="H7531">
        <v>0</v>
      </c>
      <c r="I7531">
        <v>0</v>
      </c>
      <c r="J7531">
        <v>0</v>
      </c>
      <c r="K7531" t="str">
        <f>IFERROR(INDEX(Rosters!$C$2:$C$155,MATCH($B7531,Rosters!$B$2:$B$155,0)),"NA")</f>
        <v>NA</v>
      </c>
      <c r="L7531" t="str">
        <f t="shared" si="351"/>
        <v>NA8WR</v>
      </c>
      <c r="M7531">
        <f>COUNTIF(L$1:L7531,L7531)</f>
        <v>108</v>
      </c>
      <c r="N7531" t="str">
        <f t="shared" si="352"/>
        <v>NA8WR-108</v>
      </c>
      <c r="O7531">
        <f>COUNTIFS(F$1:F7531,F7531,A$1:A7531,A7531)</f>
        <v>157</v>
      </c>
      <c r="P7531" t="str">
        <f t="shared" si="353"/>
        <v>Mike Thomas8</v>
      </c>
    </row>
    <row r="7532" spans="1:16" x14ac:dyDescent="0.25">
      <c r="A7532">
        <v>9</v>
      </c>
      <c r="B7532" t="s">
        <v>1112</v>
      </c>
      <c r="C7532" t="s">
        <v>743</v>
      </c>
      <c r="D7532">
        <v>0</v>
      </c>
      <c r="E7532" t="s">
        <v>14</v>
      </c>
      <c r="F7532" t="s">
        <v>87</v>
      </c>
      <c r="G7532">
        <v>0</v>
      </c>
      <c r="H7532">
        <v>0</v>
      </c>
      <c r="I7532">
        <v>0</v>
      </c>
      <c r="J7532">
        <v>0</v>
      </c>
      <c r="K7532" t="str">
        <f>IFERROR(INDEX(Rosters!$C$2:$C$155,MATCH($B7532,Rosters!$B$2:$B$155,0)),"NA")</f>
        <v>NA</v>
      </c>
      <c r="L7532" t="str">
        <f t="shared" si="351"/>
        <v>NA9WR</v>
      </c>
      <c r="M7532">
        <f>COUNTIF(L$1:L7532,L7532)</f>
        <v>104</v>
      </c>
      <c r="N7532" t="str">
        <f t="shared" si="352"/>
        <v>NA9WR-104</v>
      </c>
      <c r="O7532">
        <f>COUNTIFS(F$1:F7532,F7532,A$1:A7532,A7532)</f>
        <v>148</v>
      </c>
      <c r="P7532" t="str">
        <f t="shared" si="353"/>
        <v>Mike Thomas9</v>
      </c>
    </row>
    <row r="7533" spans="1:16" x14ac:dyDescent="0.25">
      <c r="A7533">
        <v>10</v>
      </c>
      <c r="B7533" t="s">
        <v>1112</v>
      </c>
      <c r="C7533" t="s">
        <v>743</v>
      </c>
      <c r="D7533">
        <v>0</v>
      </c>
      <c r="E7533" t="s">
        <v>28</v>
      </c>
      <c r="F7533" t="s">
        <v>87</v>
      </c>
      <c r="G7533">
        <v>0</v>
      </c>
      <c r="H7533">
        <v>0</v>
      </c>
      <c r="I7533">
        <v>0</v>
      </c>
      <c r="J7533">
        <v>0</v>
      </c>
      <c r="K7533" t="str">
        <f>IFERROR(INDEX(Rosters!$C$2:$C$155,MATCH($B7533,Rosters!$B$2:$B$155,0)),"NA")</f>
        <v>NA</v>
      </c>
      <c r="L7533" t="str">
        <f t="shared" si="351"/>
        <v>NA10WR</v>
      </c>
      <c r="M7533">
        <f>COUNTIF(L$1:L7533,L7533)</f>
        <v>117</v>
      </c>
      <c r="N7533" t="str">
        <f t="shared" si="352"/>
        <v>NA10WR-117</v>
      </c>
      <c r="O7533">
        <f>COUNTIFS(F$1:F7533,F7533,A$1:A7533,A7533)</f>
        <v>162</v>
      </c>
      <c r="P7533" t="str">
        <f t="shared" si="353"/>
        <v>Mike Thomas10</v>
      </c>
    </row>
    <row r="7534" spans="1:16" x14ac:dyDescent="0.25">
      <c r="A7534">
        <v>11</v>
      </c>
      <c r="B7534" t="s">
        <v>1112</v>
      </c>
      <c r="C7534" t="s">
        <v>743</v>
      </c>
      <c r="D7534">
        <v>0</v>
      </c>
      <c r="E7534" t="s">
        <v>24</v>
      </c>
      <c r="F7534" t="s">
        <v>87</v>
      </c>
      <c r="G7534">
        <v>0</v>
      </c>
      <c r="H7534">
        <v>0</v>
      </c>
      <c r="I7534">
        <v>0</v>
      </c>
      <c r="J7534">
        <v>0</v>
      </c>
      <c r="K7534" t="str">
        <f>IFERROR(INDEX(Rosters!$C$2:$C$155,MATCH($B7534,Rosters!$B$2:$B$155,0)),"NA")</f>
        <v>NA</v>
      </c>
      <c r="L7534" t="str">
        <f t="shared" si="351"/>
        <v>NA11WR</v>
      </c>
      <c r="M7534">
        <f>COUNTIF(L$1:L7534,L7534)</f>
        <v>104</v>
      </c>
      <c r="N7534" t="str">
        <f t="shared" si="352"/>
        <v>NA11WR-104</v>
      </c>
      <c r="O7534">
        <f>COUNTIFS(F$1:F7534,F7534,A$1:A7534,A7534)</f>
        <v>151</v>
      </c>
      <c r="P7534" t="str">
        <f t="shared" si="353"/>
        <v>Mike Thomas11</v>
      </c>
    </row>
    <row r="7535" spans="1:16" x14ac:dyDescent="0.25">
      <c r="A7535">
        <v>13</v>
      </c>
      <c r="B7535" t="s">
        <v>1112</v>
      </c>
      <c r="C7535" t="s">
        <v>743</v>
      </c>
      <c r="D7535">
        <v>0</v>
      </c>
      <c r="E7535" t="s">
        <v>34</v>
      </c>
      <c r="F7535" t="s">
        <v>87</v>
      </c>
      <c r="G7535">
        <v>0</v>
      </c>
      <c r="H7535">
        <v>0</v>
      </c>
      <c r="I7535">
        <v>0</v>
      </c>
      <c r="J7535">
        <v>0</v>
      </c>
      <c r="K7535" t="str">
        <f>IFERROR(INDEX(Rosters!$C$2:$C$155,MATCH($B7535,Rosters!$B$2:$B$155,0)),"NA")</f>
        <v>NA</v>
      </c>
      <c r="L7535" t="str">
        <f t="shared" si="351"/>
        <v>NA13WR</v>
      </c>
      <c r="M7535">
        <f>COUNTIF(L$1:L7535,L7535)</f>
        <v>129</v>
      </c>
      <c r="N7535" t="str">
        <f t="shared" si="352"/>
        <v>NA13WR-129</v>
      </c>
      <c r="O7535">
        <f>COUNTIFS(F$1:F7535,F7535,A$1:A7535,A7535)</f>
        <v>183</v>
      </c>
      <c r="P7535" t="str">
        <f t="shared" si="353"/>
        <v>Mike Thomas13</v>
      </c>
    </row>
    <row r="7536" spans="1:16" x14ac:dyDescent="0.25">
      <c r="A7536">
        <v>14</v>
      </c>
      <c r="B7536" t="s">
        <v>1112</v>
      </c>
      <c r="C7536" t="s">
        <v>743</v>
      </c>
      <c r="D7536">
        <v>0</v>
      </c>
      <c r="E7536" t="s">
        <v>72</v>
      </c>
      <c r="F7536" t="s">
        <v>87</v>
      </c>
      <c r="G7536">
        <v>0</v>
      </c>
      <c r="H7536">
        <v>0</v>
      </c>
      <c r="I7536">
        <v>0</v>
      </c>
      <c r="J7536">
        <v>0</v>
      </c>
      <c r="K7536" t="str">
        <f>IFERROR(INDEX(Rosters!$C$2:$C$155,MATCH($B7536,Rosters!$B$2:$B$155,0)),"NA")</f>
        <v>NA</v>
      </c>
      <c r="L7536" t="str">
        <f t="shared" si="351"/>
        <v>NA14WR</v>
      </c>
      <c r="M7536">
        <f>COUNTIF(L$1:L7536,L7536)</f>
        <v>129</v>
      </c>
      <c r="N7536" t="str">
        <f t="shared" si="352"/>
        <v>NA14WR-129</v>
      </c>
      <c r="O7536">
        <f>COUNTIFS(F$1:F7536,F7536,A$1:A7536,A7536)</f>
        <v>183</v>
      </c>
      <c r="P7536" t="str">
        <f t="shared" si="353"/>
        <v>Mike Thomas14</v>
      </c>
    </row>
    <row r="7537" spans="1:16" x14ac:dyDescent="0.25">
      <c r="A7537">
        <v>15</v>
      </c>
      <c r="B7537" t="s">
        <v>1112</v>
      </c>
      <c r="C7537" t="s">
        <v>743</v>
      </c>
      <c r="D7537">
        <v>0</v>
      </c>
      <c r="E7537" t="s">
        <v>50</v>
      </c>
      <c r="F7537" t="s">
        <v>87</v>
      </c>
      <c r="G7537">
        <v>0</v>
      </c>
      <c r="H7537">
        <v>0</v>
      </c>
      <c r="I7537">
        <v>0</v>
      </c>
      <c r="J7537">
        <v>0</v>
      </c>
      <c r="K7537" t="str">
        <f>IFERROR(INDEX(Rosters!$C$2:$C$155,MATCH($B7537,Rosters!$B$2:$B$155,0)),"NA")</f>
        <v>NA</v>
      </c>
      <c r="L7537" t="str">
        <f t="shared" si="351"/>
        <v>NA15WR</v>
      </c>
      <c r="M7537">
        <f>COUNTIF(L$1:L7537,L7537)</f>
        <v>129</v>
      </c>
      <c r="N7537" t="str">
        <f t="shared" si="352"/>
        <v>NA15WR-129</v>
      </c>
      <c r="O7537">
        <f>COUNTIFS(F$1:F7537,F7537,A$1:A7537,A7537)</f>
        <v>183</v>
      </c>
      <c r="P7537" t="str">
        <f t="shared" si="353"/>
        <v>Mike Thomas15</v>
      </c>
    </row>
    <row r="7538" spans="1:16" x14ac:dyDescent="0.25">
      <c r="A7538">
        <v>16</v>
      </c>
      <c r="B7538" t="s">
        <v>1112</v>
      </c>
      <c r="C7538" t="s">
        <v>743</v>
      </c>
      <c r="D7538">
        <v>0</v>
      </c>
      <c r="E7538" t="s">
        <v>58</v>
      </c>
      <c r="F7538" t="s">
        <v>87</v>
      </c>
      <c r="G7538">
        <v>0</v>
      </c>
      <c r="H7538">
        <v>0</v>
      </c>
      <c r="I7538">
        <v>0</v>
      </c>
      <c r="J7538">
        <v>0</v>
      </c>
      <c r="K7538" t="str">
        <f>IFERROR(INDEX(Rosters!$C$2:$C$155,MATCH($B7538,Rosters!$B$2:$B$155,0)),"NA")</f>
        <v>NA</v>
      </c>
      <c r="L7538" t="str">
        <f t="shared" si="351"/>
        <v>NA16WR</v>
      </c>
      <c r="M7538">
        <f>COUNTIF(L$1:L7538,L7538)</f>
        <v>129</v>
      </c>
      <c r="N7538" t="str">
        <f t="shared" si="352"/>
        <v>NA16WR-129</v>
      </c>
      <c r="O7538">
        <f>COUNTIFS(F$1:F7538,F7538,A$1:A7538,A7538)</f>
        <v>183</v>
      </c>
      <c r="P7538" t="str">
        <f t="shared" si="353"/>
        <v>Mike Thomas16</v>
      </c>
    </row>
    <row r="7539" spans="1:16" x14ac:dyDescent="0.25">
      <c r="A7539">
        <v>1</v>
      </c>
      <c r="B7539" t="s">
        <v>1584</v>
      </c>
      <c r="C7539" t="s">
        <v>743</v>
      </c>
      <c r="D7539">
        <v>0</v>
      </c>
      <c r="E7539" t="s">
        <v>423</v>
      </c>
      <c r="F7539" t="s">
        <v>114</v>
      </c>
      <c r="G7539">
        <v>0</v>
      </c>
      <c r="H7539">
        <v>0</v>
      </c>
      <c r="I7539">
        <v>0</v>
      </c>
      <c r="J7539">
        <v>0</v>
      </c>
      <c r="K7539" t="str">
        <f>IFERROR(INDEX(Rosters!$C$2:$C$155,MATCH($B7539,Rosters!$B$2:$B$155,0)),"NA")</f>
        <v>NA</v>
      </c>
      <c r="L7539" t="str">
        <f t="shared" si="351"/>
        <v>NA1TE</v>
      </c>
      <c r="M7539">
        <f>COUNTIF(L$1:L7539,L7539)</f>
        <v>74</v>
      </c>
      <c r="N7539" t="str">
        <f t="shared" si="352"/>
        <v>NA1TE-74</v>
      </c>
      <c r="O7539">
        <f>COUNTIFS(F$1:F7539,F7539,A$1:A7539,A7539)</f>
        <v>87</v>
      </c>
      <c r="P7539" t="str">
        <f t="shared" si="353"/>
        <v>MyCole Pruitt1</v>
      </c>
    </row>
    <row r="7540" spans="1:16" x14ac:dyDescent="0.25">
      <c r="A7540">
        <v>1</v>
      </c>
      <c r="B7540" t="s">
        <v>1643</v>
      </c>
      <c r="C7540" t="s">
        <v>743</v>
      </c>
      <c r="D7540">
        <v>0</v>
      </c>
      <c r="E7540" t="s">
        <v>46</v>
      </c>
      <c r="F7540" t="s">
        <v>15</v>
      </c>
      <c r="G7540">
        <v>0</v>
      </c>
      <c r="H7540">
        <v>0</v>
      </c>
      <c r="I7540">
        <v>0</v>
      </c>
      <c r="J7540">
        <v>0</v>
      </c>
      <c r="K7540" t="str">
        <f>IFERROR(INDEX(Rosters!$C$2:$C$155,MATCH($B7540,Rosters!$B$2:$B$155,0)),"NA")</f>
        <v>NA</v>
      </c>
      <c r="L7540" t="str">
        <f t="shared" si="351"/>
        <v>NA1QB</v>
      </c>
      <c r="M7540">
        <f>COUNTIF(L$1:L7540,L7540)</f>
        <v>48</v>
      </c>
      <c r="N7540" t="str">
        <f t="shared" si="352"/>
        <v>NA1QB-48</v>
      </c>
      <c r="O7540">
        <f>COUNTIFS(F$1:F7540,F7540,A$1:A7540,A7540)</f>
        <v>65</v>
      </c>
      <c r="P7540" t="str">
        <f t="shared" si="353"/>
        <v>Nate Sudfeld1</v>
      </c>
    </row>
    <row r="7541" spans="1:16" x14ac:dyDescent="0.25">
      <c r="A7541">
        <v>2</v>
      </c>
      <c r="B7541" t="s">
        <v>1643</v>
      </c>
      <c r="C7541" t="s">
        <v>743</v>
      </c>
      <c r="D7541">
        <v>0</v>
      </c>
      <c r="E7541" t="s">
        <v>17</v>
      </c>
      <c r="F7541" t="s">
        <v>15</v>
      </c>
      <c r="G7541">
        <v>0</v>
      </c>
      <c r="H7541">
        <v>0</v>
      </c>
      <c r="I7541">
        <v>0</v>
      </c>
      <c r="J7541">
        <v>0</v>
      </c>
      <c r="K7541" t="str">
        <f>IFERROR(INDEX(Rosters!$C$2:$C$155,MATCH($B7541,Rosters!$B$2:$B$155,0)),"NA")</f>
        <v>NA</v>
      </c>
      <c r="L7541" t="str">
        <f t="shared" si="351"/>
        <v>NA2QB</v>
      </c>
      <c r="M7541">
        <f>COUNTIF(L$1:L7541,L7541)</f>
        <v>48</v>
      </c>
      <c r="N7541" t="str">
        <f t="shared" si="352"/>
        <v>NA2QB-48</v>
      </c>
      <c r="O7541">
        <f>COUNTIFS(F$1:F7541,F7541,A$1:A7541,A7541)</f>
        <v>65</v>
      </c>
      <c r="P7541" t="str">
        <f t="shared" si="353"/>
        <v>Nate Sudfeld2</v>
      </c>
    </row>
    <row r="7542" spans="1:16" x14ac:dyDescent="0.25">
      <c r="A7542">
        <v>3</v>
      </c>
      <c r="B7542" t="s">
        <v>1643</v>
      </c>
      <c r="C7542" t="s">
        <v>743</v>
      </c>
      <c r="D7542">
        <v>0</v>
      </c>
      <c r="E7542" t="s">
        <v>66</v>
      </c>
      <c r="F7542" t="s">
        <v>15</v>
      </c>
      <c r="G7542">
        <v>0</v>
      </c>
      <c r="H7542">
        <v>0</v>
      </c>
      <c r="I7542">
        <v>0</v>
      </c>
      <c r="J7542">
        <v>0</v>
      </c>
      <c r="K7542" t="str">
        <f>IFERROR(INDEX(Rosters!$C$2:$C$155,MATCH($B7542,Rosters!$B$2:$B$155,0)),"NA")</f>
        <v>NA</v>
      </c>
      <c r="L7542" t="str">
        <f t="shared" si="351"/>
        <v>NA3QB</v>
      </c>
      <c r="M7542">
        <f>COUNTIF(L$1:L7542,L7542)</f>
        <v>48</v>
      </c>
      <c r="N7542" t="str">
        <f t="shared" si="352"/>
        <v>NA3QB-48</v>
      </c>
      <c r="O7542">
        <f>COUNTIFS(F$1:F7542,F7542,A$1:A7542,A7542)</f>
        <v>65</v>
      </c>
      <c r="P7542" t="str">
        <f t="shared" si="353"/>
        <v>Nate Sudfeld3</v>
      </c>
    </row>
    <row r="7543" spans="1:16" x14ac:dyDescent="0.25">
      <c r="A7543">
        <v>4</v>
      </c>
      <c r="B7543" t="s">
        <v>1643</v>
      </c>
      <c r="C7543" t="s">
        <v>743</v>
      </c>
      <c r="D7543">
        <v>0</v>
      </c>
      <c r="E7543" t="s">
        <v>38</v>
      </c>
      <c r="F7543" t="s">
        <v>15</v>
      </c>
      <c r="G7543">
        <v>0</v>
      </c>
      <c r="H7543">
        <v>0</v>
      </c>
      <c r="I7543">
        <v>0</v>
      </c>
      <c r="J7543">
        <v>0</v>
      </c>
      <c r="K7543" t="str">
        <f>IFERROR(INDEX(Rosters!$C$2:$C$155,MATCH($B7543,Rosters!$B$2:$B$155,0)),"NA")</f>
        <v>NA</v>
      </c>
      <c r="L7543" t="str">
        <f t="shared" si="351"/>
        <v>NA4QB</v>
      </c>
      <c r="M7543">
        <f>COUNTIF(L$1:L7543,L7543)</f>
        <v>46</v>
      </c>
      <c r="N7543" t="str">
        <f t="shared" si="352"/>
        <v>NA4QB-46</v>
      </c>
      <c r="O7543">
        <f>COUNTIFS(F$1:F7543,F7543,A$1:A7543,A7543)</f>
        <v>61</v>
      </c>
      <c r="P7543" t="str">
        <f t="shared" si="353"/>
        <v>Nate Sudfeld4</v>
      </c>
    </row>
    <row r="7544" spans="1:16" x14ac:dyDescent="0.25">
      <c r="A7544">
        <v>5</v>
      </c>
      <c r="B7544" t="s">
        <v>1643</v>
      </c>
      <c r="C7544" t="s">
        <v>743</v>
      </c>
      <c r="D7544">
        <v>0</v>
      </c>
      <c r="E7544" t="s">
        <v>25</v>
      </c>
      <c r="F7544" t="s">
        <v>15</v>
      </c>
      <c r="G7544">
        <v>0</v>
      </c>
      <c r="H7544">
        <v>0</v>
      </c>
      <c r="I7544">
        <v>0</v>
      </c>
      <c r="J7544">
        <v>0</v>
      </c>
      <c r="K7544" t="str">
        <f>IFERROR(INDEX(Rosters!$C$2:$C$155,MATCH($B7544,Rosters!$B$2:$B$155,0)),"NA")</f>
        <v>NA</v>
      </c>
      <c r="L7544" t="str">
        <f t="shared" si="351"/>
        <v>NA5QB</v>
      </c>
      <c r="M7544">
        <f>COUNTIF(L$1:L7544,L7544)</f>
        <v>45</v>
      </c>
      <c r="N7544" t="str">
        <f t="shared" si="352"/>
        <v>NA5QB-45</v>
      </c>
      <c r="O7544">
        <f>COUNTIFS(F$1:F7544,F7544,A$1:A7544,A7544)</f>
        <v>62</v>
      </c>
      <c r="P7544" t="str">
        <f t="shared" si="353"/>
        <v>Nate Sudfeld5</v>
      </c>
    </row>
    <row r="7545" spans="1:16" x14ac:dyDescent="0.25">
      <c r="A7545">
        <v>6</v>
      </c>
      <c r="B7545" t="s">
        <v>1643</v>
      </c>
      <c r="C7545" t="s">
        <v>743</v>
      </c>
      <c r="D7545">
        <v>0</v>
      </c>
      <c r="E7545" t="s">
        <v>54</v>
      </c>
      <c r="F7545" t="s">
        <v>15</v>
      </c>
      <c r="G7545">
        <v>0</v>
      </c>
      <c r="H7545">
        <v>0</v>
      </c>
      <c r="I7545">
        <v>0</v>
      </c>
      <c r="J7545">
        <v>0</v>
      </c>
      <c r="K7545" t="str">
        <f>IFERROR(INDEX(Rosters!$C$2:$C$155,MATCH($B7545,Rosters!$B$2:$B$155,0)),"NA")</f>
        <v>NA</v>
      </c>
      <c r="L7545" t="str">
        <f t="shared" si="351"/>
        <v>NA6QB</v>
      </c>
      <c r="M7545">
        <f>COUNTIF(L$1:L7545,L7545)</f>
        <v>46</v>
      </c>
      <c r="N7545" t="str">
        <f t="shared" si="352"/>
        <v>NA6QB-46</v>
      </c>
      <c r="O7545">
        <f>COUNTIFS(F$1:F7545,F7545,A$1:A7545,A7545)</f>
        <v>61</v>
      </c>
      <c r="P7545" t="str">
        <f t="shared" si="353"/>
        <v>Nate Sudfeld6</v>
      </c>
    </row>
    <row r="7546" spans="1:16" x14ac:dyDescent="0.25">
      <c r="A7546">
        <v>7</v>
      </c>
      <c r="B7546" t="s">
        <v>1643</v>
      </c>
      <c r="C7546" t="s">
        <v>743</v>
      </c>
      <c r="D7546">
        <v>0</v>
      </c>
      <c r="E7546" t="s">
        <v>74</v>
      </c>
      <c r="F7546" t="s">
        <v>15</v>
      </c>
      <c r="G7546">
        <v>0</v>
      </c>
      <c r="H7546">
        <v>0</v>
      </c>
      <c r="I7546">
        <v>0</v>
      </c>
      <c r="J7546">
        <v>0</v>
      </c>
      <c r="K7546" t="str">
        <f>IFERROR(INDEX(Rosters!$C$2:$C$155,MATCH($B7546,Rosters!$B$2:$B$155,0)),"NA")</f>
        <v>NA</v>
      </c>
      <c r="L7546" t="str">
        <f t="shared" si="351"/>
        <v>NA7QB</v>
      </c>
      <c r="M7546">
        <f>COUNTIF(L$1:L7546,L7546)</f>
        <v>45</v>
      </c>
      <c r="N7546" t="str">
        <f t="shared" si="352"/>
        <v>NA7QB-45</v>
      </c>
      <c r="O7546">
        <f>COUNTIFS(F$1:F7546,F7546,A$1:A7546,A7546)</f>
        <v>59</v>
      </c>
      <c r="P7546" t="str">
        <f t="shared" si="353"/>
        <v>Nate Sudfeld7</v>
      </c>
    </row>
    <row r="7547" spans="1:16" x14ac:dyDescent="0.25">
      <c r="A7547">
        <v>8</v>
      </c>
      <c r="B7547" t="s">
        <v>1643</v>
      </c>
      <c r="C7547" t="s">
        <v>743</v>
      </c>
      <c r="D7547">
        <v>0</v>
      </c>
      <c r="E7547" t="s">
        <v>76</v>
      </c>
      <c r="F7547" t="s">
        <v>15</v>
      </c>
      <c r="G7547">
        <v>0</v>
      </c>
      <c r="H7547">
        <v>0</v>
      </c>
      <c r="I7547">
        <v>0</v>
      </c>
      <c r="J7547">
        <v>0</v>
      </c>
      <c r="K7547" t="str">
        <f>IFERROR(INDEX(Rosters!$C$2:$C$155,MATCH($B7547,Rosters!$B$2:$B$155,0)),"NA")</f>
        <v>NA</v>
      </c>
      <c r="L7547" t="str">
        <f t="shared" si="351"/>
        <v>NA8QB</v>
      </c>
      <c r="M7547">
        <f>COUNTIF(L$1:L7547,L7547)</f>
        <v>42</v>
      </c>
      <c r="N7547" t="str">
        <f t="shared" si="352"/>
        <v>NA8QB-42</v>
      </c>
      <c r="O7547">
        <f>COUNTIFS(F$1:F7547,F7547,A$1:A7547,A7547)</f>
        <v>57</v>
      </c>
      <c r="P7547" t="str">
        <f t="shared" si="353"/>
        <v>Nate Sudfeld8</v>
      </c>
    </row>
    <row r="7548" spans="1:16" x14ac:dyDescent="0.25">
      <c r="A7548">
        <v>10</v>
      </c>
      <c r="B7548" t="s">
        <v>1643</v>
      </c>
      <c r="C7548" t="s">
        <v>743</v>
      </c>
      <c r="D7548">
        <v>0</v>
      </c>
      <c r="E7548" t="s">
        <v>22</v>
      </c>
      <c r="F7548" t="s">
        <v>15</v>
      </c>
      <c r="G7548">
        <v>0</v>
      </c>
      <c r="H7548">
        <v>0</v>
      </c>
      <c r="I7548">
        <v>0</v>
      </c>
      <c r="J7548">
        <v>0</v>
      </c>
      <c r="K7548" t="str">
        <f>IFERROR(INDEX(Rosters!$C$2:$C$155,MATCH($B7548,Rosters!$B$2:$B$155,0)),"NA")</f>
        <v>NA</v>
      </c>
      <c r="L7548" t="str">
        <f t="shared" si="351"/>
        <v>NA10QB</v>
      </c>
      <c r="M7548">
        <f>COUNTIF(L$1:L7548,L7548)</f>
        <v>41</v>
      </c>
      <c r="N7548" t="str">
        <f t="shared" si="352"/>
        <v>NA10QB-41</v>
      </c>
      <c r="O7548">
        <f>COUNTIFS(F$1:F7548,F7548,A$1:A7548,A7548)</f>
        <v>57</v>
      </c>
      <c r="P7548" t="str">
        <f t="shared" si="353"/>
        <v>Nate Sudfeld10</v>
      </c>
    </row>
    <row r="7549" spans="1:16" x14ac:dyDescent="0.25">
      <c r="A7549">
        <v>11</v>
      </c>
      <c r="B7549" t="s">
        <v>1643</v>
      </c>
      <c r="C7549" t="s">
        <v>743</v>
      </c>
      <c r="D7549">
        <v>0</v>
      </c>
      <c r="E7549" t="s">
        <v>14</v>
      </c>
      <c r="F7549" t="s">
        <v>15</v>
      </c>
      <c r="G7549">
        <v>0</v>
      </c>
      <c r="H7549">
        <v>0</v>
      </c>
      <c r="I7549">
        <v>0</v>
      </c>
      <c r="J7549">
        <v>0</v>
      </c>
      <c r="K7549" t="str">
        <f>IFERROR(INDEX(Rosters!$C$2:$C$155,MATCH($B7549,Rosters!$B$2:$B$155,0)),"NA")</f>
        <v>NA</v>
      </c>
      <c r="L7549" t="str">
        <f t="shared" si="351"/>
        <v>NA11QB</v>
      </c>
      <c r="M7549">
        <f>COUNTIF(L$1:L7549,L7549)</f>
        <v>38</v>
      </c>
      <c r="N7549" t="str">
        <f t="shared" si="352"/>
        <v>NA11QB-38</v>
      </c>
      <c r="O7549">
        <f>COUNTIFS(F$1:F7549,F7549,A$1:A7549,A7549)</f>
        <v>53</v>
      </c>
      <c r="P7549" t="str">
        <f t="shared" si="353"/>
        <v>Nate Sudfeld11</v>
      </c>
    </row>
    <row r="7550" spans="1:16" x14ac:dyDescent="0.25">
      <c r="A7550">
        <v>12</v>
      </c>
      <c r="B7550" t="s">
        <v>1643</v>
      </c>
      <c r="C7550" t="s">
        <v>743</v>
      </c>
      <c r="D7550">
        <v>0</v>
      </c>
      <c r="E7550" t="s">
        <v>54</v>
      </c>
      <c r="F7550" t="s">
        <v>15</v>
      </c>
      <c r="G7550">
        <v>0</v>
      </c>
      <c r="H7550">
        <v>0</v>
      </c>
      <c r="I7550">
        <v>0</v>
      </c>
      <c r="J7550">
        <v>0</v>
      </c>
      <c r="K7550" t="str">
        <f>IFERROR(INDEX(Rosters!$C$2:$C$155,MATCH($B7550,Rosters!$B$2:$B$155,0)),"NA")</f>
        <v>NA</v>
      </c>
      <c r="L7550" t="str">
        <f t="shared" si="351"/>
        <v>NA12QB</v>
      </c>
      <c r="M7550">
        <f>COUNTIF(L$1:L7550,L7550)</f>
        <v>47</v>
      </c>
      <c r="N7550" t="str">
        <f t="shared" si="352"/>
        <v>NA12QB-47</v>
      </c>
      <c r="O7550">
        <f>COUNTIFS(F$1:F7550,F7550,A$1:A7550,A7550)</f>
        <v>62</v>
      </c>
      <c r="P7550" t="str">
        <f t="shared" si="353"/>
        <v>Nate Sudfeld12</v>
      </c>
    </row>
    <row r="7551" spans="1:16" x14ac:dyDescent="0.25">
      <c r="A7551">
        <v>13</v>
      </c>
      <c r="B7551" t="s">
        <v>1643</v>
      </c>
      <c r="C7551" t="s">
        <v>743</v>
      </c>
      <c r="D7551">
        <v>0</v>
      </c>
      <c r="E7551" t="s">
        <v>60</v>
      </c>
      <c r="F7551" t="s">
        <v>15</v>
      </c>
      <c r="G7551">
        <v>0</v>
      </c>
      <c r="H7551">
        <v>0</v>
      </c>
      <c r="I7551">
        <v>0</v>
      </c>
      <c r="J7551">
        <v>0</v>
      </c>
      <c r="K7551" t="str">
        <f>IFERROR(INDEX(Rosters!$C$2:$C$155,MATCH($B7551,Rosters!$B$2:$B$155,0)),"NA")</f>
        <v>NA</v>
      </c>
      <c r="L7551" t="str">
        <f t="shared" si="351"/>
        <v>NA13QB</v>
      </c>
      <c r="M7551">
        <f>COUNTIF(L$1:L7551,L7551)</f>
        <v>49</v>
      </c>
      <c r="N7551" t="str">
        <f t="shared" si="352"/>
        <v>NA13QB-49</v>
      </c>
      <c r="O7551">
        <f>COUNTIFS(F$1:F7551,F7551,A$1:A7551,A7551)</f>
        <v>66</v>
      </c>
      <c r="P7551" t="str">
        <f t="shared" si="353"/>
        <v>Nate Sudfeld13</v>
      </c>
    </row>
    <row r="7552" spans="1:16" x14ac:dyDescent="0.25">
      <c r="A7552">
        <v>14</v>
      </c>
      <c r="B7552" t="s">
        <v>1643</v>
      </c>
      <c r="C7552" t="s">
        <v>743</v>
      </c>
      <c r="D7552">
        <v>0</v>
      </c>
      <c r="E7552" t="s">
        <v>22</v>
      </c>
      <c r="F7552" t="s">
        <v>15</v>
      </c>
      <c r="G7552">
        <v>0</v>
      </c>
      <c r="H7552">
        <v>0</v>
      </c>
      <c r="I7552">
        <v>0</v>
      </c>
      <c r="J7552">
        <v>0</v>
      </c>
      <c r="K7552" t="str">
        <f>IFERROR(INDEX(Rosters!$C$2:$C$155,MATCH($B7552,Rosters!$B$2:$B$155,0)),"NA")</f>
        <v>NA</v>
      </c>
      <c r="L7552" t="str">
        <f t="shared" si="351"/>
        <v>NA14QB</v>
      </c>
      <c r="M7552">
        <f>COUNTIF(L$1:L7552,L7552)</f>
        <v>49</v>
      </c>
      <c r="N7552" t="str">
        <f t="shared" si="352"/>
        <v>NA14QB-49</v>
      </c>
      <c r="O7552">
        <f>COUNTIFS(F$1:F7552,F7552,A$1:A7552,A7552)</f>
        <v>66</v>
      </c>
      <c r="P7552" t="str">
        <f t="shared" si="353"/>
        <v>Nate Sudfeld14</v>
      </c>
    </row>
    <row r="7553" spans="1:16" x14ac:dyDescent="0.25">
      <c r="A7553">
        <v>15</v>
      </c>
      <c r="B7553" t="s">
        <v>1643</v>
      </c>
      <c r="C7553" t="s">
        <v>743</v>
      </c>
      <c r="D7553">
        <v>0</v>
      </c>
      <c r="E7553" t="s">
        <v>56</v>
      </c>
      <c r="F7553" t="s">
        <v>15</v>
      </c>
      <c r="G7553">
        <v>0</v>
      </c>
      <c r="H7553">
        <v>0</v>
      </c>
      <c r="I7553">
        <v>0</v>
      </c>
      <c r="J7553">
        <v>0</v>
      </c>
      <c r="K7553" t="str">
        <f>IFERROR(INDEX(Rosters!$C$2:$C$155,MATCH($B7553,Rosters!$B$2:$B$155,0)),"NA")</f>
        <v>NA</v>
      </c>
      <c r="L7553" t="str">
        <f t="shared" si="351"/>
        <v>NA15QB</v>
      </c>
      <c r="M7553">
        <f>COUNTIF(L$1:L7553,L7553)</f>
        <v>49</v>
      </c>
      <c r="N7553" t="str">
        <f t="shared" si="352"/>
        <v>NA15QB-49</v>
      </c>
      <c r="O7553">
        <f>COUNTIFS(F$1:F7553,F7553,A$1:A7553,A7553)</f>
        <v>66</v>
      </c>
      <c r="P7553" t="str">
        <f t="shared" si="353"/>
        <v>Nate Sudfeld15</v>
      </c>
    </row>
    <row r="7554" spans="1:16" x14ac:dyDescent="0.25">
      <c r="A7554">
        <v>16</v>
      </c>
      <c r="B7554" t="s">
        <v>1643</v>
      </c>
      <c r="C7554" t="s">
        <v>743</v>
      </c>
      <c r="D7554">
        <v>0</v>
      </c>
      <c r="E7554" t="s">
        <v>36</v>
      </c>
      <c r="F7554" t="s">
        <v>15</v>
      </c>
      <c r="G7554">
        <v>0</v>
      </c>
      <c r="H7554">
        <v>0</v>
      </c>
      <c r="I7554">
        <v>0</v>
      </c>
      <c r="J7554">
        <v>0</v>
      </c>
      <c r="K7554" t="str">
        <f>IFERROR(INDEX(Rosters!$C$2:$C$155,MATCH($B7554,Rosters!$B$2:$B$155,0)),"NA")</f>
        <v>NA</v>
      </c>
      <c r="L7554" t="str">
        <f t="shared" si="351"/>
        <v>NA16QB</v>
      </c>
      <c r="M7554">
        <f>COUNTIF(L$1:L7554,L7554)</f>
        <v>49</v>
      </c>
      <c r="N7554" t="str">
        <f t="shared" si="352"/>
        <v>NA16QB-49</v>
      </c>
      <c r="O7554">
        <f>COUNTIFS(F$1:F7554,F7554,A$1:A7554,A7554)</f>
        <v>66</v>
      </c>
      <c r="P7554" t="str">
        <f t="shared" si="353"/>
        <v>Nate Sudfeld16</v>
      </c>
    </row>
    <row r="7555" spans="1:16" x14ac:dyDescent="0.25">
      <c r="A7555">
        <v>17</v>
      </c>
      <c r="B7555" t="s">
        <v>1643</v>
      </c>
      <c r="C7555" t="s">
        <v>743</v>
      </c>
      <c r="D7555">
        <v>0</v>
      </c>
      <c r="E7555" t="s">
        <v>60</v>
      </c>
      <c r="F7555" t="s">
        <v>15</v>
      </c>
      <c r="G7555">
        <v>0</v>
      </c>
      <c r="H7555">
        <v>0</v>
      </c>
      <c r="I7555">
        <v>0</v>
      </c>
      <c r="J7555">
        <v>0</v>
      </c>
      <c r="K7555" t="str">
        <f>IFERROR(INDEX(Rosters!$C$2:$C$155,MATCH($B7555,Rosters!$B$2:$B$155,0)),"NA")</f>
        <v>NA</v>
      </c>
      <c r="L7555" t="str">
        <f t="shared" ref="L7555:L7618" si="354">K7555&amp;A7555&amp;F7555</f>
        <v>NA17QB</v>
      </c>
      <c r="M7555">
        <f>COUNTIF(L$1:L7555,L7555)</f>
        <v>49</v>
      </c>
      <c r="N7555" t="str">
        <f t="shared" ref="N7555:N7618" si="355">L7555&amp;"-"&amp;M7555</f>
        <v>NA17QB-49</v>
      </c>
      <c r="O7555">
        <f>COUNTIFS(F$1:F7555,F7555,A$1:A7555,A7555)</f>
        <v>66</v>
      </c>
      <c r="P7555" t="str">
        <f t="shared" ref="P7555:P7618" si="356">B7555&amp;A7555</f>
        <v>Nate Sudfeld17</v>
      </c>
    </row>
    <row r="7556" spans="1:16" x14ac:dyDescent="0.25">
      <c r="A7556">
        <v>3</v>
      </c>
      <c r="B7556" t="s">
        <v>1130</v>
      </c>
      <c r="C7556" t="s">
        <v>743</v>
      </c>
      <c r="D7556">
        <v>0</v>
      </c>
      <c r="E7556" t="s">
        <v>52</v>
      </c>
      <c r="F7556" t="s">
        <v>114</v>
      </c>
      <c r="G7556">
        <v>0</v>
      </c>
      <c r="H7556">
        <v>0</v>
      </c>
      <c r="I7556">
        <v>0</v>
      </c>
      <c r="J7556">
        <v>0</v>
      </c>
      <c r="K7556" t="str">
        <f>IFERROR(INDEX(Rosters!$C$2:$C$155,MATCH($B7556,Rosters!$B$2:$B$155,0)),"NA")</f>
        <v>NA</v>
      </c>
      <c r="L7556" t="str">
        <f t="shared" si="354"/>
        <v>NA3TE</v>
      </c>
      <c r="M7556">
        <f>COUNTIF(L$1:L7556,L7556)</f>
        <v>83</v>
      </c>
      <c r="N7556" t="str">
        <f t="shared" si="355"/>
        <v>NA3TE-83</v>
      </c>
      <c r="O7556">
        <f>COUNTIFS(F$1:F7556,F7556,A$1:A7556,A7556)</f>
        <v>97</v>
      </c>
      <c r="P7556" t="str">
        <f t="shared" si="356"/>
        <v>Neal Sterling3</v>
      </c>
    </row>
    <row r="7557" spans="1:16" x14ac:dyDescent="0.25">
      <c r="A7557">
        <v>4</v>
      </c>
      <c r="B7557" t="s">
        <v>1130</v>
      </c>
      <c r="C7557" t="s">
        <v>743</v>
      </c>
      <c r="D7557">
        <v>0</v>
      </c>
      <c r="E7557" t="s">
        <v>76</v>
      </c>
      <c r="F7557" t="s">
        <v>114</v>
      </c>
      <c r="G7557">
        <v>0</v>
      </c>
      <c r="H7557">
        <v>0</v>
      </c>
      <c r="I7557">
        <v>0</v>
      </c>
      <c r="J7557">
        <v>0</v>
      </c>
      <c r="K7557" t="str">
        <f>IFERROR(INDEX(Rosters!$C$2:$C$155,MATCH($B7557,Rosters!$B$2:$B$155,0)),"NA")</f>
        <v>NA</v>
      </c>
      <c r="L7557" t="str">
        <f t="shared" si="354"/>
        <v>NA4TE</v>
      </c>
      <c r="M7557">
        <f>COUNTIF(L$1:L7557,L7557)</f>
        <v>79</v>
      </c>
      <c r="N7557" t="str">
        <f t="shared" si="355"/>
        <v>NA4TE-79</v>
      </c>
      <c r="O7557">
        <f>COUNTIFS(F$1:F7557,F7557,A$1:A7557,A7557)</f>
        <v>91</v>
      </c>
      <c r="P7557" t="str">
        <f t="shared" si="356"/>
        <v>Neal Sterling4</v>
      </c>
    </row>
    <row r="7558" spans="1:16" x14ac:dyDescent="0.25">
      <c r="A7558">
        <v>3</v>
      </c>
      <c r="B7558" t="s">
        <v>3036</v>
      </c>
      <c r="C7558" t="s">
        <v>743</v>
      </c>
      <c r="D7558">
        <v>0</v>
      </c>
      <c r="E7558" t="s">
        <v>76</v>
      </c>
      <c r="F7558" t="s">
        <v>87</v>
      </c>
      <c r="G7558">
        <v>0</v>
      </c>
      <c r="H7558">
        <v>0</v>
      </c>
      <c r="I7558">
        <v>0</v>
      </c>
      <c r="J7558">
        <v>0</v>
      </c>
      <c r="K7558" t="str">
        <f>IFERROR(INDEX(Rosters!$C$2:$C$155,MATCH($B7558,Rosters!$B$2:$B$155,0)),"NA")</f>
        <v>NA</v>
      </c>
      <c r="L7558" t="str">
        <f t="shared" si="354"/>
        <v>NA3WR</v>
      </c>
      <c r="M7558">
        <f>COUNTIF(L$1:L7558,L7558)</f>
        <v>114</v>
      </c>
      <c r="N7558" t="str">
        <f t="shared" si="355"/>
        <v>NA3WR-114</v>
      </c>
      <c r="O7558">
        <f>COUNTIFS(F$1:F7558,F7558,A$1:A7558,A7558)</f>
        <v>167</v>
      </c>
      <c r="P7558" t="str">
        <f t="shared" si="356"/>
        <v>Nick Williams3</v>
      </c>
    </row>
    <row r="7559" spans="1:16" x14ac:dyDescent="0.25">
      <c r="A7559">
        <v>6</v>
      </c>
      <c r="B7559" t="s">
        <v>229</v>
      </c>
      <c r="C7559" t="s">
        <v>743</v>
      </c>
      <c r="D7559">
        <v>0</v>
      </c>
      <c r="E7559" t="s">
        <v>46</v>
      </c>
      <c r="F7559" t="s">
        <v>114</v>
      </c>
      <c r="G7559">
        <v>0</v>
      </c>
      <c r="H7559">
        <v>0</v>
      </c>
      <c r="I7559">
        <v>0</v>
      </c>
      <c r="J7559">
        <v>0</v>
      </c>
      <c r="K7559" t="str">
        <f>IFERROR(INDEX(Rosters!$C$2:$C$155,MATCH($B7559,Rosters!$B$2:$B$155,0)),"NA")</f>
        <v>NA</v>
      </c>
      <c r="L7559" t="str">
        <f t="shared" si="354"/>
        <v>NA6TE</v>
      </c>
      <c r="M7559">
        <f>COUNTIF(L$1:L7559,L7559)</f>
        <v>80</v>
      </c>
      <c r="N7559" t="str">
        <f t="shared" si="355"/>
        <v>NA6TE-80</v>
      </c>
      <c r="O7559">
        <f>COUNTIFS(F$1:F7559,F7559,A$1:A7559,A7559)</f>
        <v>94</v>
      </c>
      <c r="P7559" t="str">
        <f t="shared" si="356"/>
        <v>O.J. Howard6</v>
      </c>
    </row>
    <row r="7560" spans="1:16" x14ac:dyDescent="0.25">
      <c r="A7560">
        <v>7</v>
      </c>
      <c r="B7560" t="s">
        <v>229</v>
      </c>
      <c r="C7560" t="s">
        <v>743</v>
      </c>
      <c r="D7560">
        <v>0</v>
      </c>
      <c r="E7560" t="s">
        <v>52</v>
      </c>
      <c r="F7560" t="s">
        <v>114</v>
      </c>
      <c r="G7560">
        <v>0</v>
      </c>
      <c r="H7560">
        <v>0</v>
      </c>
      <c r="I7560">
        <v>0</v>
      </c>
      <c r="J7560">
        <v>0</v>
      </c>
      <c r="K7560" t="str">
        <f>IFERROR(INDEX(Rosters!$C$2:$C$155,MATCH($B7560,Rosters!$B$2:$B$155,0)),"NA")</f>
        <v>NA</v>
      </c>
      <c r="L7560" t="str">
        <f t="shared" si="354"/>
        <v>NA7TE</v>
      </c>
      <c r="M7560">
        <f>COUNTIF(L$1:L7560,L7560)</f>
        <v>78</v>
      </c>
      <c r="N7560" t="str">
        <f t="shared" si="355"/>
        <v>NA7TE-78</v>
      </c>
      <c r="O7560">
        <f>COUNTIFS(F$1:F7560,F7560,A$1:A7560,A7560)</f>
        <v>89</v>
      </c>
      <c r="P7560" t="str">
        <f t="shared" si="356"/>
        <v>O.J. Howard7</v>
      </c>
    </row>
    <row r="7561" spans="1:16" x14ac:dyDescent="0.25">
      <c r="A7561">
        <v>2</v>
      </c>
      <c r="B7561" t="s">
        <v>349</v>
      </c>
      <c r="C7561" t="s">
        <v>743</v>
      </c>
      <c r="D7561">
        <v>0</v>
      </c>
      <c r="E7561" t="s">
        <v>58</v>
      </c>
      <c r="F7561" t="s">
        <v>87</v>
      </c>
      <c r="G7561">
        <v>0</v>
      </c>
      <c r="H7561">
        <v>0</v>
      </c>
      <c r="I7561">
        <v>0</v>
      </c>
      <c r="J7561">
        <v>0</v>
      </c>
      <c r="K7561" t="str">
        <f>IFERROR(INDEX(Rosters!$C$2:$C$155,MATCH($B7561,Rosters!$B$2:$B$155,0)),"NA")</f>
        <v>NA</v>
      </c>
      <c r="L7561" t="str">
        <f t="shared" si="354"/>
        <v>NA2WR</v>
      </c>
      <c r="M7561">
        <f>COUNTIF(L$1:L7561,L7561)</f>
        <v>111</v>
      </c>
      <c r="N7561" t="str">
        <f t="shared" si="355"/>
        <v>NA2WR-111</v>
      </c>
      <c r="O7561">
        <f>COUNTIFS(F$1:F7561,F7561,A$1:A7561,A7561)</f>
        <v>163</v>
      </c>
      <c r="P7561" t="str">
        <f t="shared" si="356"/>
        <v>Pharoh Cooper2</v>
      </c>
    </row>
    <row r="7562" spans="1:16" x14ac:dyDescent="0.25">
      <c r="A7562">
        <v>3</v>
      </c>
      <c r="B7562" t="s">
        <v>349</v>
      </c>
      <c r="C7562" t="s">
        <v>743</v>
      </c>
      <c r="D7562">
        <v>0</v>
      </c>
      <c r="E7562" t="s">
        <v>37</v>
      </c>
      <c r="F7562" t="s">
        <v>87</v>
      </c>
      <c r="G7562">
        <v>0</v>
      </c>
      <c r="H7562">
        <v>0</v>
      </c>
      <c r="I7562">
        <v>0</v>
      </c>
      <c r="J7562">
        <v>0</v>
      </c>
      <c r="K7562" t="str">
        <f>IFERROR(INDEX(Rosters!$C$2:$C$155,MATCH($B7562,Rosters!$B$2:$B$155,0)),"NA")</f>
        <v>NA</v>
      </c>
      <c r="L7562" t="str">
        <f t="shared" si="354"/>
        <v>NA3WR</v>
      </c>
      <c r="M7562">
        <f>COUNTIF(L$1:L7562,L7562)</f>
        <v>115</v>
      </c>
      <c r="N7562" t="str">
        <f t="shared" si="355"/>
        <v>NA3WR-115</v>
      </c>
      <c r="O7562">
        <f>COUNTIFS(F$1:F7562,F7562,A$1:A7562,A7562)</f>
        <v>168</v>
      </c>
      <c r="P7562" t="str">
        <f t="shared" si="356"/>
        <v>Pharoh Cooper3</v>
      </c>
    </row>
    <row r="7563" spans="1:16" x14ac:dyDescent="0.25">
      <c r="A7563">
        <v>4</v>
      </c>
      <c r="B7563" t="s">
        <v>349</v>
      </c>
      <c r="C7563" t="s">
        <v>743</v>
      </c>
      <c r="D7563">
        <v>0</v>
      </c>
      <c r="E7563" t="s">
        <v>25</v>
      </c>
      <c r="F7563" t="s">
        <v>87</v>
      </c>
      <c r="G7563">
        <v>0</v>
      </c>
      <c r="H7563">
        <v>0</v>
      </c>
      <c r="I7563">
        <v>0</v>
      </c>
      <c r="J7563">
        <v>0</v>
      </c>
      <c r="K7563" t="str">
        <f>IFERROR(INDEX(Rosters!$C$2:$C$155,MATCH($B7563,Rosters!$B$2:$B$155,0)),"NA")</f>
        <v>NA</v>
      </c>
      <c r="L7563" t="str">
        <f t="shared" si="354"/>
        <v>NA4WR</v>
      </c>
      <c r="M7563">
        <f>COUNTIF(L$1:L7563,L7563)</f>
        <v>111</v>
      </c>
      <c r="N7563" t="str">
        <f t="shared" si="355"/>
        <v>NA4WR-111</v>
      </c>
      <c r="O7563">
        <f>COUNTIFS(F$1:F7563,F7563,A$1:A7563,A7563)</f>
        <v>162</v>
      </c>
      <c r="P7563" t="str">
        <f t="shared" si="356"/>
        <v>Pharoh Cooper4</v>
      </c>
    </row>
    <row r="7564" spans="1:16" x14ac:dyDescent="0.25">
      <c r="A7564">
        <v>5</v>
      </c>
      <c r="B7564" t="s">
        <v>349</v>
      </c>
      <c r="C7564" t="s">
        <v>743</v>
      </c>
      <c r="D7564">
        <v>0</v>
      </c>
      <c r="E7564" t="s">
        <v>28</v>
      </c>
      <c r="F7564" t="s">
        <v>87</v>
      </c>
      <c r="G7564">
        <v>0</v>
      </c>
      <c r="H7564">
        <v>0</v>
      </c>
      <c r="I7564">
        <v>0</v>
      </c>
      <c r="J7564">
        <v>0</v>
      </c>
      <c r="K7564" t="str">
        <f>IFERROR(INDEX(Rosters!$C$2:$C$155,MATCH($B7564,Rosters!$B$2:$B$155,0)),"NA")</f>
        <v>NA</v>
      </c>
      <c r="L7564" t="str">
        <f t="shared" si="354"/>
        <v>NA5WR</v>
      </c>
      <c r="M7564">
        <f>COUNTIF(L$1:L7564,L7564)</f>
        <v>119</v>
      </c>
      <c r="N7564" t="str">
        <f t="shared" si="355"/>
        <v>NA5WR-119</v>
      </c>
      <c r="O7564">
        <f>COUNTIFS(F$1:F7564,F7564,A$1:A7564,A7564)</f>
        <v>169</v>
      </c>
      <c r="P7564" t="str">
        <f t="shared" si="356"/>
        <v>Pharoh Cooper5</v>
      </c>
    </row>
    <row r="7565" spans="1:16" x14ac:dyDescent="0.25">
      <c r="A7565">
        <v>6</v>
      </c>
      <c r="B7565" t="s">
        <v>349</v>
      </c>
      <c r="C7565" t="s">
        <v>743</v>
      </c>
      <c r="D7565">
        <v>0</v>
      </c>
      <c r="E7565" t="s">
        <v>42</v>
      </c>
      <c r="F7565" t="s">
        <v>87</v>
      </c>
      <c r="G7565">
        <v>0</v>
      </c>
      <c r="H7565">
        <v>0</v>
      </c>
      <c r="I7565">
        <v>0</v>
      </c>
      <c r="J7565">
        <v>0</v>
      </c>
      <c r="K7565" t="str">
        <f>IFERROR(INDEX(Rosters!$C$2:$C$155,MATCH($B7565,Rosters!$B$2:$B$155,0)),"NA")</f>
        <v>NA</v>
      </c>
      <c r="L7565" t="str">
        <f t="shared" si="354"/>
        <v>NA6WR</v>
      </c>
      <c r="M7565">
        <f>COUNTIF(L$1:L7565,L7565)</f>
        <v>121</v>
      </c>
      <c r="N7565" t="str">
        <f t="shared" si="355"/>
        <v>NA6WR-121</v>
      </c>
      <c r="O7565">
        <f>COUNTIFS(F$1:F7565,F7565,A$1:A7565,A7565)</f>
        <v>171</v>
      </c>
      <c r="P7565" t="str">
        <f t="shared" si="356"/>
        <v>Pharoh Cooper6</v>
      </c>
    </row>
    <row r="7566" spans="1:16" x14ac:dyDescent="0.25">
      <c r="A7566">
        <v>7</v>
      </c>
      <c r="B7566" t="s">
        <v>349</v>
      </c>
      <c r="C7566" t="s">
        <v>743</v>
      </c>
      <c r="D7566">
        <v>0</v>
      </c>
      <c r="E7566" t="s">
        <v>30</v>
      </c>
      <c r="F7566" t="s">
        <v>87</v>
      </c>
      <c r="G7566">
        <v>0</v>
      </c>
      <c r="H7566">
        <v>0</v>
      </c>
      <c r="I7566">
        <v>0</v>
      </c>
      <c r="J7566">
        <v>0</v>
      </c>
      <c r="K7566" t="str">
        <f>IFERROR(INDEX(Rosters!$C$2:$C$155,MATCH($B7566,Rosters!$B$2:$B$155,0)),"NA")</f>
        <v>NA</v>
      </c>
      <c r="L7566" t="str">
        <f t="shared" si="354"/>
        <v>NA7WR</v>
      </c>
      <c r="M7566">
        <f>COUNTIF(L$1:L7566,L7566)</f>
        <v>114</v>
      </c>
      <c r="N7566" t="str">
        <f t="shared" si="355"/>
        <v>NA7WR-114</v>
      </c>
      <c r="O7566">
        <f>COUNTIFS(F$1:F7566,F7566,A$1:A7566,A7566)</f>
        <v>159</v>
      </c>
      <c r="P7566" t="str">
        <f t="shared" si="356"/>
        <v>Pharoh Cooper7</v>
      </c>
    </row>
    <row r="7567" spans="1:16" x14ac:dyDescent="0.25">
      <c r="A7567">
        <v>8</v>
      </c>
      <c r="B7567" t="s">
        <v>349</v>
      </c>
      <c r="C7567" t="s">
        <v>743</v>
      </c>
      <c r="D7567">
        <v>0</v>
      </c>
      <c r="E7567" t="s">
        <v>41</v>
      </c>
      <c r="F7567" t="s">
        <v>87</v>
      </c>
      <c r="G7567">
        <v>0</v>
      </c>
      <c r="H7567">
        <v>0</v>
      </c>
      <c r="I7567">
        <v>0</v>
      </c>
      <c r="J7567">
        <v>0</v>
      </c>
      <c r="K7567" t="str">
        <f>IFERROR(INDEX(Rosters!$C$2:$C$155,MATCH($B7567,Rosters!$B$2:$B$155,0)),"NA")</f>
        <v>NA</v>
      </c>
      <c r="L7567" t="str">
        <f t="shared" si="354"/>
        <v>NA8WR</v>
      </c>
      <c r="M7567">
        <f>COUNTIF(L$1:L7567,L7567)</f>
        <v>109</v>
      </c>
      <c r="N7567" t="str">
        <f t="shared" si="355"/>
        <v>NA8WR-109</v>
      </c>
      <c r="O7567">
        <f>COUNTIFS(F$1:F7567,F7567,A$1:A7567,A7567)</f>
        <v>158</v>
      </c>
      <c r="P7567" t="str">
        <f t="shared" si="356"/>
        <v>Pharoh Cooper8</v>
      </c>
    </row>
    <row r="7568" spans="1:16" x14ac:dyDescent="0.25">
      <c r="A7568">
        <v>9</v>
      </c>
      <c r="B7568" t="s">
        <v>349</v>
      </c>
      <c r="C7568" t="s">
        <v>743</v>
      </c>
      <c r="D7568">
        <v>0</v>
      </c>
      <c r="E7568" t="s">
        <v>14</v>
      </c>
      <c r="F7568" t="s">
        <v>87</v>
      </c>
      <c r="G7568">
        <v>0</v>
      </c>
      <c r="H7568">
        <v>0</v>
      </c>
      <c r="I7568">
        <v>0</v>
      </c>
      <c r="J7568">
        <v>0</v>
      </c>
      <c r="K7568" t="str">
        <f>IFERROR(INDEX(Rosters!$C$2:$C$155,MATCH($B7568,Rosters!$B$2:$B$155,0)),"NA")</f>
        <v>NA</v>
      </c>
      <c r="L7568" t="str">
        <f t="shared" si="354"/>
        <v>NA9WR</v>
      </c>
      <c r="M7568">
        <f>COUNTIF(L$1:L7568,L7568)</f>
        <v>105</v>
      </c>
      <c r="N7568" t="str">
        <f t="shared" si="355"/>
        <v>NA9WR-105</v>
      </c>
      <c r="O7568">
        <f>COUNTIFS(F$1:F7568,F7568,A$1:A7568,A7568)</f>
        <v>149</v>
      </c>
      <c r="P7568" t="str">
        <f t="shared" si="356"/>
        <v>Pharoh Cooper9</v>
      </c>
    </row>
    <row r="7569" spans="1:16" x14ac:dyDescent="0.25">
      <c r="A7569">
        <v>4</v>
      </c>
      <c r="B7569" t="s">
        <v>166</v>
      </c>
      <c r="C7569" t="s">
        <v>743</v>
      </c>
      <c r="D7569">
        <v>0</v>
      </c>
      <c r="E7569" t="s">
        <v>29</v>
      </c>
      <c r="F7569" t="s">
        <v>87</v>
      </c>
      <c r="G7569">
        <v>0</v>
      </c>
      <c r="H7569">
        <v>0</v>
      </c>
      <c r="I7569">
        <v>0</v>
      </c>
      <c r="J7569">
        <v>0</v>
      </c>
      <c r="K7569" t="str">
        <f>IFERROR(INDEX(Rosters!$C$2:$C$155,MATCH($B7569,Rosters!$B$2:$B$155,0)),"NA")</f>
        <v>seth</v>
      </c>
      <c r="L7569" t="str">
        <f t="shared" si="354"/>
        <v>seth4WR</v>
      </c>
      <c r="M7569">
        <f>COUNTIF(L$1:L7569,L7569)</f>
        <v>5</v>
      </c>
      <c r="N7569" t="str">
        <f t="shared" si="355"/>
        <v>seth4WR-5</v>
      </c>
      <c r="O7569">
        <f>COUNTIFS(F$1:F7569,F7569,A$1:A7569,A7569)</f>
        <v>163</v>
      </c>
      <c r="P7569" t="str">
        <f t="shared" si="356"/>
        <v>Randall Cobb4</v>
      </c>
    </row>
    <row r="7570" spans="1:16" x14ac:dyDescent="0.25">
      <c r="A7570">
        <v>1</v>
      </c>
      <c r="B7570" t="s">
        <v>8786</v>
      </c>
      <c r="C7570" t="s">
        <v>743</v>
      </c>
      <c r="D7570">
        <v>0</v>
      </c>
      <c r="E7570" t="s">
        <v>54</v>
      </c>
      <c r="F7570" t="s">
        <v>87</v>
      </c>
      <c r="G7570">
        <v>0</v>
      </c>
      <c r="H7570">
        <v>0</v>
      </c>
      <c r="I7570">
        <v>0</v>
      </c>
      <c r="J7570">
        <v>0</v>
      </c>
      <c r="K7570" t="str">
        <f>IFERROR(INDEX(Rosters!$C$2:$C$155,MATCH($B7570,Rosters!$B$2:$B$155,0)),"NA")</f>
        <v>NA</v>
      </c>
      <c r="L7570" t="str">
        <f t="shared" si="354"/>
        <v>NA1WR</v>
      </c>
      <c r="M7570">
        <f>COUNTIF(L$1:L7570,L7570)</f>
        <v>101</v>
      </c>
      <c r="N7570" t="str">
        <f t="shared" si="355"/>
        <v>NA1WR-101</v>
      </c>
      <c r="O7570">
        <f>COUNTIFS(F$1:F7570,F7570,A$1:A7570,A7570)</f>
        <v>152</v>
      </c>
      <c r="P7570" t="str">
        <f t="shared" si="356"/>
        <v>Rashad Greene1</v>
      </c>
    </row>
    <row r="7571" spans="1:16" x14ac:dyDescent="0.25">
      <c r="A7571">
        <v>2</v>
      </c>
      <c r="B7571" t="s">
        <v>8786</v>
      </c>
      <c r="C7571" t="s">
        <v>743</v>
      </c>
      <c r="D7571">
        <v>0</v>
      </c>
      <c r="E7571" t="s">
        <v>423</v>
      </c>
      <c r="F7571" t="s">
        <v>87</v>
      </c>
      <c r="G7571">
        <v>0</v>
      </c>
      <c r="H7571">
        <v>0</v>
      </c>
      <c r="I7571">
        <v>0</v>
      </c>
      <c r="J7571">
        <v>0</v>
      </c>
      <c r="K7571" t="str">
        <f>IFERROR(INDEX(Rosters!$C$2:$C$155,MATCH($B7571,Rosters!$B$2:$B$155,0)),"NA")</f>
        <v>NA</v>
      </c>
      <c r="L7571" t="str">
        <f t="shared" si="354"/>
        <v>NA2WR</v>
      </c>
      <c r="M7571">
        <f>COUNTIF(L$1:L7571,L7571)</f>
        <v>112</v>
      </c>
      <c r="N7571" t="str">
        <f t="shared" si="355"/>
        <v>NA2WR-112</v>
      </c>
      <c r="O7571">
        <f>COUNTIFS(F$1:F7571,F7571,A$1:A7571,A7571)</f>
        <v>164</v>
      </c>
      <c r="P7571" t="str">
        <f t="shared" si="356"/>
        <v>Rashad Greene2</v>
      </c>
    </row>
    <row r="7572" spans="1:16" x14ac:dyDescent="0.25">
      <c r="A7572">
        <v>4</v>
      </c>
      <c r="B7572" t="s">
        <v>8786</v>
      </c>
      <c r="C7572" t="s">
        <v>743</v>
      </c>
      <c r="D7572">
        <v>0</v>
      </c>
      <c r="E7572" t="s">
        <v>73</v>
      </c>
      <c r="F7572" t="s">
        <v>87</v>
      </c>
      <c r="G7572">
        <v>0</v>
      </c>
      <c r="H7572">
        <v>0</v>
      </c>
      <c r="I7572">
        <v>0</v>
      </c>
      <c r="J7572">
        <v>0</v>
      </c>
      <c r="K7572" t="str">
        <f>IFERROR(INDEX(Rosters!$C$2:$C$155,MATCH($B7572,Rosters!$B$2:$B$155,0)),"NA")</f>
        <v>NA</v>
      </c>
      <c r="L7572" t="str">
        <f t="shared" si="354"/>
        <v>NA4WR</v>
      </c>
      <c r="M7572">
        <f>COUNTIF(L$1:L7572,L7572)</f>
        <v>112</v>
      </c>
      <c r="N7572" t="str">
        <f t="shared" si="355"/>
        <v>NA4WR-112</v>
      </c>
      <c r="O7572">
        <f>COUNTIFS(F$1:F7572,F7572,A$1:A7572,A7572)</f>
        <v>164</v>
      </c>
      <c r="P7572" t="str">
        <f t="shared" si="356"/>
        <v>Rashad Greene4</v>
      </c>
    </row>
    <row r="7573" spans="1:16" x14ac:dyDescent="0.25">
      <c r="A7573">
        <v>1</v>
      </c>
      <c r="B7573" t="s">
        <v>295</v>
      </c>
      <c r="C7573" t="s">
        <v>743</v>
      </c>
      <c r="D7573">
        <v>0</v>
      </c>
      <c r="E7573" t="s">
        <v>46</v>
      </c>
      <c r="F7573" t="s">
        <v>114</v>
      </c>
      <c r="G7573">
        <v>0</v>
      </c>
      <c r="H7573">
        <v>0</v>
      </c>
      <c r="I7573">
        <v>0</v>
      </c>
      <c r="J7573">
        <v>0</v>
      </c>
      <c r="K7573" t="str">
        <f>IFERROR(INDEX(Rosters!$C$2:$C$155,MATCH($B7573,Rosters!$B$2:$B$155,0)),"NA")</f>
        <v>NA</v>
      </c>
      <c r="L7573" t="str">
        <f t="shared" si="354"/>
        <v>NA1TE</v>
      </c>
      <c r="M7573">
        <f>COUNTIF(L$1:L7573,L7573)</f>
        <v>75</v>
      </c>
      <c r="N7573" t="str">
        <f t="shared" si="355"/>
        <v>NA1TE-75</v>
      </c>
      <c r="O7573">
        <f>COUNTIFS(F$1:F7573,F7573,A$1:A7573,A7573)</f>
        <v>88</v>
      </c>
      <c r="P7573" t="str">
        <f t="shared" si="356"/>
        <v>Richard Rodgers1</v>
      </c>
    </row>
    <row r="7574" spans="1:16" x14ac:dyDescent="0.25">
      <c r="A7574">
        <v>2</v>
      </c>
      <c r="B7574" t="s">
        <v>295</v>
      </c>
      <c r="C7574" t="s">
        <v>743</v>
      </c>
      <c r="D7574">
        <v>0</v>
      </c>
      <c r="E7574" t="s">
        <v>17</v>
      </c>
      <c r="F7574" t="s">
        <v>114</v>
      </c>
      <c r="G7574">
        <v>0</v>
      </c>
      <c r="H7574">
        <v>0</v>
      </c>
      <c r="I7574">
        <v>0</v>
      </c>
      <c r="J7574">
        <v>0</v>
      </c>
      <c r="K7574" t="str">
        <f>IFERROR(INDEX(Rosters!$C$2:$C$155,MATCH($B7574,Rosters!$B$2:$B$155,0)),"NA")</f>
        <v>NA</v>
      </c>
      <c r="L7574" t="str">
        <f t="shared" si="354"/>
        <v>NA2TE</v>
      </c>
      <c r="M7574">
        <f>COUNTIF(L$1:L7574,L7574)</f>
        <v>82</v>
      </c>
      <c r="N7574" t="str">
        <f t="shared" si="355"/>
        <v>NA2TE-82</v>
      </c>
      <c r="O7574">
        <f>COUNTIFS(F$1:F7574,F7574,A$1:A7574,A7574)</f>
        <v>96</v>
      </c>
      <c r="P7574" t="str">
        <f t="shared" si="356"/>
        <v>Richard Rodgers2</v>
      </c>
    </row>
    <row r="7575" spans="1:16" x14ac:dyDescent="0.25">
      <c r="A7575">
        <v>3</v>
      </c>
      <c r="B7575" t="s">
        <v>295</v>
      </c>
      <c r="C7575" t="s">
        <v>743</v>
      </c>
      <c r="D7575">
        <v>0</v>
      </c>
      <c r="E7575" t="s">
        <v>66</v>
      </c>
      <c r="F7575" t="s">
        <v>114</v>
      </c>
      <c r="G7575">
        <v>0</v>
      </c>
      <c r="H7575">
        <v>0</v>
      </c>
      <c r="I7575">
        <v>0</v>
      </c>
      <c r="J7575">
        <v>0</v>
      </c>
      <c r="K7575" t="str">
        <f>IFERROR(INDEX(Rosters!$C$2:$C$155,MATCH($B7575,Rosters!$B$2:$B$155,0)),"NA")</f>
        <v>NA</v>
      </c>
      <c r="L7575" t="str">
        <f t="shared" si="354"/>
        <v>NA3TE</v>
      </c>
      <c r="M7575">
        <f>COUNTIF(L$1:L7575,L7575)</f>
        <v>84</v>
      </c>
      <c r="N7575" t="str">
        <f t="shared" si="355"/>
        <v>NA3TE-84</v>
      </c>
      <c r="O7575">
        <f>COUNTIFS(F$1:F7575,F7575,A$1:A7575,A7575)</f>
        <v>98</v>
      </c>
      <c r="P7575" t="str">
        <f t="shared" si="356"/>
        <v>Richard Rodgers3</v>
      </c>
    </row>
    <row r="7576" spans="1:16" x14ac:dyDescent="0.25">
      <c r="A7576">
        <v>4</v>
      </c>
      <c r="B7576" t="s">
        <v>295</v>
      </c>
      <c r="C7576" t="s">
        <v>743</v>
      </c>
      <c r="D7576">
        <v>0</v>
      </c>
      <c r="E7576" t="s">
        <v>38</v>
      </c>
      <c r="F7576" t="s">
        <v>114</v>
      </c>
      <c r="G7576">
        <v>0</v>
      </c>
      <c r="H7576">
        <v>0</v>
      </c>
      <c r="I7576">
        <v>0</v>
      </c>
      <c r="J7576">
        <v>0</v>
      </c>
      <c r="K7576" t="str">
        <f>IFERROR(INDEX(Rosters!$C$2:$C$155,MATCH($B7576,Rosters!$B$2:$B$155,0)),"NA")</f>
        <v>NA</v>
      </c>
      <c r="L7576" t="str">
        <f t="shared" si="354"/>
        <v>NA4TE</v>
      </c>
      <c r="M7576">
        <f>COUNTIF(L$1:L7576,L7576)</f>
        <v>80</v>
      </c>
      <c r="N7576" t="str">
        <f t="shared" si="355"/>
        <v>NA4TE-80</v>
      </c>
      <c r="O7576">
        <f>COUNTIFS(F$1:F7576,F7576,A$1:A7576,A7576)</f>
        <v>92</v>
      </c>
      <c r="P7576" t="str">
        <f t="shared" si="356"/>
        <v>Richard Rodgers4</v>
      </c>
    </row>
    <row r="7577" spans="1:16" x14ac:dyDescent="0.25">
      <c r="A7577">
        <v>5</v>
      </c>
      <c r="B7577" t="s">
        <v>295</v>
      </c>
      <c r="C7577" t="s">
        <v>743</v>
      </c>
      <c r="D7577">
        <v>0</v>
      </c>
      <c r="E7577" t="s">
        <v>25</v>
      </c>
      <c r="F7577" t="s">
        <v>114</v>
      </c>
      <c r="G7577">
        <v>0</v>
      </c>
      <c r="H7577">
        <v>0</v>
      </c>
      <c r="I7577">
        <v>0</v>
      </c>
      <c r="J7577">
        <v>0</v>
      </c>
      <c r="K7577" t="str">
        <f>IFERROR(INDEX(Rosters!$C$2:$C$155,MATCH($B7577,Rosters!$B$2:$B$155,0)),"NA")</f>
        <v>NA</v>
      </c>
      <c r="L7577" t="str">
        <f t="shared" si="354"/>
        <v>NA5TE</v>
      </c>
      <c r="M7577">
        <f>COUNTIF(L$1:L7577,L7577)</f>
        <v>79</v>
      </c>
      <c r="N7577" t="str">
        <f t="shared" si="355"/>
        <v>NA5TE-79</v>
      </c>
      <c r="O7577">
        <f>COUNTIFS(F$1:F7577,F7577,A$1:A7577,A7577)</f>
        <v>92</v>
      </c>
      <c r="P7577" t="str">
        <f t="shared" si="356"/>
        <v>Richard Rodgers5</v>
      </c>
    </row>
    <row r="7578" spans="1:16" x14ac:dyDescent="0.25">
      <c r="A7578">
        <v>6</v>
      </c>
      <c r="B7578" t="s">
        <v>295</v>
      </c>
      <c r="C7578" t="s">
        <v>743</v>
      </c>
      <c r="D7578">
        <v>0</v>
      </c>
      <c r="E7578" t="s">
        <v>54</v>
      </c>
      <c r="F7578" t="s">
        <v>114</v>
      </c>
      <c r="G7578">
        <v>0</v>
      </c>
      <c r="H7578">
        <v>0</v>
      </c>
      <c r="I7578">
        <v>0</v>
      </c>
      <c r="J7578">
        <v>0</v>
      </c>
      <c r="K7578" t="str">
        <f>IFERROR(INDEX(Rosters!$C$2:$C$155,MATCH($B7578,Rosters!$B$2:$B$155,0)),"NA")</f>
        <v>NA</v>
      </c>
      <c r="L7578" t="str">
        <f t="shared" si="354"/>
        <v>NA6TE</v>
      </c>
      <c r="M7578">
        <f>COUNTIF(L$1:L7578,L7578)</f>
        <v>81</v>
      </c>
      <c r="N7578" t="str">
        <f t="shared" si="355"/>
        <v>NA6TE-81</v>
      </c>
      <c r="O7578">
        <f>COUNTIFS(F$1:F7578,F7578,A$1:A7578,A7578)</f>
        <v>95</v>
      </c>
      <c r="P7578" t="str">
        <f t="shared" si="356"/>
        <v>Richard Rodgers6</v>
      </c>
    </row>
    <row r="7579" spans="1:16" x14ac:dyDescent="0.25">
      <c r="A7579">
        <v>7</v>
      </c>
      <c r="B7579" t="s">
        <v>295</v>
      </c>
      <c r="C7579" t="s">
        <v>743</v>
      </c>
      <c r="D7579">
        <v>0</v>
      </c>
      <c r="E7579" t="s">
        <v>74</v>
      </c>
      <c r="F7579" t="s">
        <v>114</v>
      </c>
      <c r="G7579">
        <v>0</v>
      </c>
      <c r="H7579">
        <v>0</v>
      </c>
      <c r="I7579">
        <v>0</v>
      </c>
      <c r="J7579">
        <v>0</v>
      </c>
      <c r="K7579" t="str">
        <f>IFERROR(INDEX(Rosters!$C$2:$C$155,MATCH($B7579,Rosters!$B$2:$B$155,0)),"NA")</f>
        <v>NA</v>
      </c>
      <c r="L7579" t="str">
        <f t="shared" si="354"/>
        <v>NA7TE</v>
      </c>
      <c r="M7579">
        <f>COUNTIF(L$1:L7579,L7579)</f>
        <v>79</v>
      </c>
      <c r="N7579" t="str">
        <f t="shared" si="355"/>
        <v>NA7TE-79</v>
      </c>
      <c r="O7579">
        <f>COUNTIFS(F$1:F7579,F7579,A$1:A7579,A7579)</f>
        <v>90</v>
      </c>
      <c r="P7579" t="str">
        <f t="shared" si="356"/>
        <v>Richard Rodgers7</v>
      </c>
    </row>
    <row r="7580" spans="1:16" x14ac:dyDescent="0.25">
      <c r="A7580">
        <v>8</v>
      </c>
      <c r="B7580" t="s">
        <v>295</v>
      </c>
      <c r="C7580" t="s">
        <v>743</v>
      </c>
      <c r="D7580">
        <v>0</v>
      </c>
      <c r="E7580" t="s">
        <v>76</v>
      </c>
      <c r="F7580" t="s">
        <v>114</v>
      </c>
      <c r="G7580">
        <v>0</v>
      </c>
      <c r="H7580">
        <v>0</v>
      </c>
      <c r="I7580">
        <v>0</v>
      </c>
      <c r="J7580">
        <v>0</v>
      </c>
      <c r="K7580" t="str">
        <f>IFERROR(INDEX(Rosters!$C$2:$C$155,MATCH($B7580,Rosters!$B$2:$B$155,0)),"NA")</f>
        <v>NA</v>
      </c>
      <c r="L7580" t="str">
        <f t="shared" si="354"/>
        <v>NA8TE</v>
      </c>
      <c r="M7580">
        <f>COUNTIF(L$1:L7580,L7580)</f>
        <v>77</v>
      </c>
      <c r="N7580" t="str">
        <f t="shared" si="355"/>
        <v>NA8TE-77</v>
      </c>
      <c r="O7580">
        <f>COUNTIFS(F$1:F7580,F7580,A$1:A7580,A7580)</f>
        <v>90</v>
      </c>
      <c r="P7580" t="str">
        <f t="shared" si="356"/>
        <v>Richard Rodgers8</v>
      </c>
    </row>
    <row r="7581" spans="1:16" x14ac:dyDescent="0.25">
      <c r="A7581">
        <v>1</v>
      </c>
      <c r="B7581" t="s">
        <v>1499</v>
      </c>
      <c r="C7581" t="s">
        <v>743</v>
      </c>
      <c r="D7581">
        <v>0</v>
      </c>
      <c r="E7581" t="s">
        <v>74</v>
      </c>
      <c r="F7581" t="s">
        <v>114</v>
      </c>
      <c r="G7581">
        <v>0</v>
      </c>
      <c r="H7581">
        <v>0</v>
      </c>
      <c r="I7581">
        <v>0</v>
      </c>
      <c r="J7581">
        <v>0</v>
      </c>
      <c r="K7581" t="str">
        <f>IFERROR(INDEX(Rosters!$C$2:$C$155,MATCH($B7581,Rosters!$B$2:$B$155,0)),"NA")</f>
        <v>NA</v>
      </c>
      <c r="L7581" t="str">
        <f t="shared" si="354"/>
        <v>NA1TE</v>
      </c>
      <c r="M7581">
        <f>COUNTIF(L$1:L7581,L7581)</f>
        <v>76</v>
      </c>
      <c r="N7581" t="str">
        <f t="shared" si="355"/>
        <v>NA1TE-76</v>
      </c>
      <c r="O7581">
        <f>COUNTIFS(F$1:F7581,F7581,A$1:A7581,A7581)</f>
        <v>89</v>
      </c>
      <c r="P7581" t="str">
        <f t="shared" si="356"/>
        <v>Rico Gathers1</v>
      </c>
    </row>
    <row r="7582" spans="1:16" x14ac:dyDescent="0.25">
      <c r="A7582">
        <v>1</v>
      </c>
      <c r="B7582" t="s">
        <v>1644</v>
      </c>
      <c r="C7582" t="s">
        <v>743</v>
      </c>
      <c r="D7582">
        <v>0</v>
      </c>
      <c r="E7582" t="s">
        <v>29</v>
      </c>
      <c r="F7582" t="s">
        <v>15</v>
      </c>
      <c r="G7582">
        <v>0</v>
      </c>
      <c r="H7582">
        <v>0</v>
      </c>
      <c r="I7582">
        <v>0</v>
      </c>
      <c r="J7582">
        <v>0</v>
      </c>
      <c r="K7582" t="str">
        <f>IFERROR(INDEX(Rosters!$C$2:$C$155,MATCH($B7582,Rosters!$B$2:$B$155,0)),"NA")</f>
        <v>NA</v>
      </c>
      <c r="L7582" t="str">
        <f t="shared" si="354"/>
        <v>NA1QB</v>
      </c>
      <c r="M7582">
        <f>COUNTIF(L$1:L7582,L7582)</f>
        <v>49</v>
      </c>
      <c r="N7582" t="str">
        <f t="shared" si="355"/>
        <v>NA1QB-49</v>
      </c>
      <c r="O7582">
        <f>COUNTIFS(F$1:F7582,F7582,A$1:A7582,A7582)</f>
        <v>66</v>
      </c>
      <c r="P7582" t="str">
        <f t="shared" si="356"/>
        <v>Robert Griffin III1</v>
      </c>
    </row>
    <row r="7583" spans="1:16" x14ac:dyDescent="0.25">
      <c r="A7583">
        <v>2</v>
      </c>
      <c r="B7583" t="s">
        <v>1644</v>
      </c>
      <c r="C7583" t="s">
        <v>743</v>
      </c>
      <c r="D7583">
        <v>0</v>
      </c>
      <c r="E7583" t="s">
        <v>31</v>
      </c>
      <c r="F7583" t="s">
        <v>15</v>
      </c>
      <c r="G7583">
        <v>0</v>
      </c>
      <c r="H7583">
        <v>0</v>
      </c>
      <c r="I7583">
        <v>0</v>
      </c>
      <c r="J7583">
        <v>0</v>
      </c>
      <c r="K7583" t="str">
        <f>IFERROR(INDEX(Rosters!$C$2:$C$155,MATCH($B7583,Rosters!$B$2:$B$155,0)),"NA")</f>
        <v>NA</v>
      </c>
      <c r="L7583" t="str">
        <f t="shared" si="354"/>
        <v>NA2QB</v>
      </c>
      <c r="M7583">
        <f>COUNTIF(L$1:L7583,L7583)</f>
        <v>49</v>
      </c>
      <c r="N7583" t="str">
        <f t="shared" si="355"/>
        <v>NA2QB-49</v>
      </c>
      <c r="O7583">
        <f>COUNTIFS(F$1:F7583,F7583,A$1:A7583,A7583)</f>
        <v>66</v>
      </c>
      <c r="P7583" t="str">
        <f t="shared" si="356"/>
        <v>Robert Griffin III2</v>
      </c>
    </row>
    <row r="7584" spans="1:16" x14ac:dyDescent="0.25">
      <c r="A7584">
        <v>3</v>
      </c>
      <c r="B7584" t="s">
        <v>1644</v>
      </c>
      <c r="C7584" t="s">
        <v>743</v>
      </c>
      <c r="D7584">
        <v>0</v>
      </c>
      <c r="E7584" t="s">
        <v>42</v>
      </c>
      <c r="F7584" t="s">
        <v>15</v>
      </c>
      <c r="G7584">
        <v>0</v>
      </c>
      <c r="H7584">
        <v>0</v>
      </c>
      <c r="I7584">
        <v>0</v>
      </c>
      <c r="J7584">
        <v>0</v>
      </c>
      <c r="K7584" t="str">
        <f>IFERROR(INDEX(Rosters!$C$2:$C$155,MATCH($B7584,Rosters!$B$2:$B$155,0)),"NA")</f>
        <v>NA</v>
      </c>
      <c r="L7584" t="str">
        <f t="shared" si="354"/>
        <v>NA3QB</v>
      </c>
      <c r="M7584">
        <f>COUNTIF(L$1:L7584,L7584)</f>
        <v>49</v>
      </c>
      <c r="N7584" t="str">
        <f t="shared" si="355"/>
        <v>NA3QB-49</v>
      </c>
      <c r="O7584">
        <f>COUNTIFS(F$1:F7584,F7584,A$1:A7584,A7584)</f>
        <v>66</v>
      </c>
      <c r="P7584" t="str">
        <f t="shared" si="356"/>
        <v>Robert Griffin III3</v>
      </c>
    </row>
    <row r="7585" spans="1:16" x14ac:dyDescent="0.25">
      <c r="A7585">
        <v>4</v>
      </c>
      <c r="B7585" t="s">
        <v>1644</v>
      </c>
      <c r="C7585" t="s">
        <v>743</v>
      </c>
      <c r="D7585">
        <v>0</v>
      </c>
      <c r="E7585" t="s">
        <v>51</v>
      </c>
      <c r="F7585" t="s">
        <v>15</v>
      </c>
      <c r="G7585">
        <v>0</v>
      </c>
      <c r="H7585">
        <v>0</v>
      </c>
      <c r="I7585">
        <v>0</v>
      </c>
      <c r="J7585">
        <v>0</v>
      </c>
      <c r="K7585" t="str">
        <f>IFERROR(INDEX(Rosters!$C$2:$C$155,MATCH($B7585,Rosters!$B$2:$B$155,0)),"NA")</f>
        <v>NA</v>
      </c>
      <c r="L7585" t="str">
        <f t="shared" si="354"/>
        <v>NA4QB</v>
      </c>
      <c r="M7585">
        <f>COUNTIF(L$1:L7585,L7585)</f>
        <v>47</v>
      </c>
      <c r="N7585" t="str">
        <f t="shared" si="355"/>
        <v>NA4QB-47</v>
      </c>
      <c r="O7585">
        <f>COUNTIFS(F$1:F7585,F7585,A$1:A7585,A7585)</f>
        <v>62</v>
      </c>
      <c r="P7585" t="str">
        <f t="shared" si="356"/>
        <v>Robert Griffin III4</v>
      </c>
    </row>
    <row r="7586" spans="1:16" x14ac:dyDescent="0.25">
      <c r="A7586">
        <v>5</v>
      </c>
      <c r="B7586" t="s">
        <v>1644</v>
      </c>
      <c r="C7586" t="s">
        <v>743</v>
      </c>
      <c r="D7586">
        <v>0</v>
      </c>
      <c r="E7586" t="s">
        <v>52</v>
      </c>
      <c r="F7586" t="s">
        <v>15</v>
      </c>
      <c r="G7586">
        <v>0</v>
      </c>
      <c r="H7586">
        <v>0</v>
      </c>
      <c r="I7586">
        <v>0</v>
      </c>
      <c r="J7586">
        <v>0</v>
      </c>
      <c r="K7586" t="str">
        <f>IFERROR(INDEX(Rosters!$C$2:$C$155,MATCH($B7586,Rosters!$B$2:$B$155,0)),"NA")</f>
        <v>NA</v>
      </c>
      <c r="L7586" t="str">
        <f t="shared" si="354"/>
        <v>NA5QB</v>
      </c>
      <c r="M7586">
        <f>COUNTIF(L$1:L7586,L7586)</f>
        <v>46</v>
      </c>
      <c r="N7586" t="str">
        <f t="shared" si="355"/>
        <v>NA5QB-46</v>
      </c>
      <c r="O7586">
        <f>COUNTIFS(F$1:F7586,F7586,A$1:A7586,A7586)</f>
        <v>63</v>
      </c>
      <c r="P7586" t="str">
        <f t="shared" si="356"/>
        <v>Robert Griffin III5</v>
      </c>
    </row>
    <row r="7587" spans="1:16" x14ac:dyDescent="0.25">
      <c r="A7587">
        <v>6</v>
      </c>
      <c r="B7587" t="s">
        <v>1644</v>
      </c>
      <c r="C7587" t="s">
        <v>743</v>
      </c>
      <c r="D7587">
        <v>0</v>
      </c>
      <c r="E7587" t="s">
        <v>38</v>
      </c>
      <c r="F7587" t="s">
        <v>15</v>
      </c>
      <c r="G7587">
        <v>0</v>
      </c>
      <c r="H7587">
        <v>0</v>
      </c>
      <c r="I7587">
        <v>0</v>
      </c>
      <c r="J7587">
        <v>0</v>
      </c>
      <c r="K7587" t="str">
        <f>IFERROR(INDEX(Rosters!$C$2:$C$155,MATCH($B7587,Rosters!$B$2:$B$155,0)),"NA")</f>
        <v>NA</v>
      </c>
      <c r="L7587" t="str">
        <f t="shared" si="354"/>
        <v>NA6QB</v>
      </c>
      <c r="M7587">
        <f>COUNTIF(L$1:L7587,L7587)</f>
        <v>47</v>
      </c>
      <c r="N7587" t="str">
        <f t="shared" si="355"/>
        <v>NA6QB-47</v>
      </c>
      <c r="O7587">
        <f>COUNTIFS(F$1:F7587,F7587,A$1:A7587,A7587)</f>
        <v>62</v>
      </c>
      <c r="P7587" t="str">
        <f t="shared" si="356"/>
        <v>Robert Griffin III6</v>
      </c>
    </row>
    <row r="7588" spans="1:16" x14ac:dyDescent="0.25">
      <c r="A7588">
        <v>7</v>
      </c>
      <c r="B7588" t="s">
        <v>1644</v>
      </c>
      <c r="C7588" t="s">
        <v>743</v>
      </c>
      <c r="D7588">
        <v>0</v>
      </c>
      <c r="E7588" t="s">
        <v>14</v>
      </c>
      <c r="F7588" t="s">
        <v>15</v>
      </c>
      <c r="G7588">
        <v>0</v>
      </c>
      <c r="H7588">
        <v>0</v>
      </c>
      <c r="I7588">
        <v>0</v>
      </c>
      <c r="J7588">
        <v>0</v>
      </c>
      <c r="K7588" t="str">
        <f>IFERROR(INDEX(Rosters!$C$2:$C$155,MATCH($B7588,Rosters!$B$2:$B$155,0)),"NA")</f>
        <v>NA</v>
      </c>
      <c r="L7588" t="str">
        <f t="shared" si="354"/>
        <v>NA7QB</v>
      </c>
      <c r="M7588">
        <f>COUNTIF(L$1:L7588,L7588)</f>
        <v>46</v>
      </c>
      <c r="N7588" t="str">
        <f t="shared" si="355"/>
        <v>NA7QB-46</v>
      </c>
      <c r="O7588">
        <f>COUNTIFS(F$1:F7588,F7588,A$1:A7588,A7588)</f>
        <v>60</v>
      </c>
      <c r="P7588" t="str">
        <f t="shared" si="356"/>
        <v>Robert Griffin III7</v>
      </c>
    </row>
    <row r="7589" spans="1:16" x14ac:dyDescent="0.25">
      <c r="A7589">
        <v>8</v>
      </c>
      <c r="B7589" t="s">
        <v>1644</v>
      </c>
      <c r="C7589" t="s">
        <v>743</v>
      </c>
      <c r="D7589">
        <v>0</v>
      </c>
      <c r="E7589" t="s">
        <v>74</v>
      </c>
      <c r="F7589" t="s">
        <v>15</v>
      </c>
      <c r="G7589">
        <v>0</v>
      </c>
      <c r="H7589">
        <v>0</v>
      </c>
      <c r="I7589">
        <v>0</v>
      </c>
      <c r="J7589">
        <v>0</v>
      </c>
      <c r="K7589" t="str">
        <f>IFERROR(INDEX(Rosters!$C$2:$C$155,MATCH($B7589,Rosters!$B$2:$B$155,0)),"NA")</f>
        <v>NA</v>
      </c>
      <c r="L7589" t="str">
        <f t="shared" si="354"/>
        <v>NA8QB</v>
      </c>
      <c r="M7589">
        <f>COUNTIF(L$1:L7589,L7589)</f>
        <v>43</v>
      </c>
      <c r="N7589" t="str">
        <f t="shared" si="355"/>
        <v>NA8QB-43</v>
      </c>
      <c r="O7589">
        <f>COUNTIFS(F$1:F7589,F7589,A$1:A7589,A7589)</f>
        <v>58</v>
      </c>
      <c r="P7589" t="str">
        <f t="shared" si="356"/>
        <v>Robert Griffin III8</v>
      </c>
    </row>
    <row r="7590" spans="1:16" x14ac:dyDescent="0.25">
      <c r="A7590">
        <v>9</v>
      </c>
      <c r="B7590" t="s">
        <v>1644</v>
      </c>
      <c r="C7590" t="s">
        <v>743</v>
      </c>
      <c r="D7590">
        <v>0</v>
      </c>
      <c r="E7590" t="s">
        <v>51</v>
      </c>
      <c r="F7590" t="s">
        <v>15</v>
      </c>
      <c r="G7590">
        <v>0</v>
      </c>
      <c r="H7590">
        <v>0</v>
      </c>
      <c r="I7590">
        <v>0</v>
      </c>
      <c r="J7590">
        <v>0</v>
      </c>
      <c r="K7590" t="str">
        <f>IFERROR(INDEX(Rosters!$C$2:$C$155,MATCH($B7590,Rosters!$B$2:$B$155,0)),"NA")</f>
        <v>NA</v>
      </c>
      <c r="L7590" t="str">
        <f t="shared" si="354"/>
        <v>NA9QB</v>
      </c>
      <c r="M7590">
        <f>COUNTIF(L$1:L7590,L7590)</f>
        <v>41</v>
      </c>
      <c r="N7590" t="str">
        <f t="shared" si="355"/>
        <v>NA9QB-41</v>
      </c>
      <c r="O7590">
        <f>COUNTIFS(F$1:F7590,F7590,A$1:A7590,A7590)</f>
        <v>55</v>
      </c>
      <c r="P7590" t="str">
        <f t="shared" si="356"/>
        <v>Robert Griffin III9</v>
      </c>
    </row>
    <row r="7591" spans="1:16" x14ac:dyDescent="0.25">
      <c r="A7591">
        <v>11</v>
      </c>
      <c r="B7591" t="s">
        <v>1644</v>
      </c>
      <c r="C7591" t="s">
        <v>743</v>
      </c>
      <c r="D7591">
        <v>0</v>
      </c>
      <c r="E7591" t="s">
        <v>31</v>
      </c>
      <c r="F7591" t="s">
        <v>15</v>
      </c>
      <c r="G7591">
        <v>0</v>
      </c>
      <c r="H7591">
        <v>0</v>
      </c>
      <c r="I7591">
        <v>0</v>
      </c>
      <c r="J7591">
        <v>0</v>
      </c>
      <c r="K7591" t="str">
        <f>IFERROR(INDEX(Rosters!$C$2:$C$155,MATCH($B7591,Rosters!$B$2:$B$155,0)),"NA")</f>
        <v>NA</v>
      </c>
      <c r="L7591" t="str">
        <f t="shared" si="354"/>
        <v>NA11QB</v>
      </c>
      <c r="M7591">
        <f>COUNTIF(L$1:L7591,L7591)</f>
        <v>39</v>
      </c>
      <c r="N7591" t="str">
        <f t="shared" si="355"/>
        <v>NA11QB-39</v>
      </c>
      <c r="O7591">
        <f>COUNTIFS(F$1:F7591,F7591,A$1:A7591,A7591)</f>
        <v>54</v>
      </c>
      <c r="P7591" t="str">
        <f t="shared" si="356"/>
        <v>Robert Griffin III11</v>
      </c>
    </row>
    <row r="7592" spans="1:16" x14ac:dyDescent="0.25">
      <c r="A7592">
        <v>12</v>
      </c>
      <c r="B7592" t="s">
        <v>1644</v>
      </c>
      <c r="C7592" t="s">
        <v>743</v>
      </c>
      <c r="D7592">
        <v>0</v>
      </c>
      <c r="E7592" t="s">
        <v>32</v>
      </c>
      <c r="F7592" t="s">
        <v>15</v>
      </c>
      <c r="G7592">
        <v>0</v>
      </c>
      <c r="H7592">
        <v>0</v>
      </c>
      <c r="I7592">
        <v>0</v>
      </c>
      <c r="J7592">
        <v>0</v>
      </c>
      <c r="K7592" t="str">
        <f>IFERROR(INDEX(Rosters!$C$2:$C$155,MATCH($B7592,Rosters!$B$2:$B$155,0)),"NA")</f>
        <v>NA</v>
      </c>
      <c r="L7592" t="str">
        <f t="shared" si="354"/>
        <v>NA12QB</v>
      </c>
      <c r="M7592">
        <f>COUNTIF(L$1:L7592,L7592)</f>
        <v>48</v>
      </c>
      <c r="N7592" t="str">
        <f t="shared" si="355"/>
        <v>NA12QB-48</v>
      </c>
      <c r="O7592">
        <f>COUNTIFS(F$1:F7592,F7592,A$1:A7592,A7592)</f>
        <v>63</v>
      </c>
      <c r="P7592" t="str">
        <f t="shared" si="356"/>
        <v>Robert Griffin III12</v>
      </c>
    </row>
    <row r="7593" spans="1:16" x14ac:dyDescent="0.25">
      <c r="A7593">
        <v>13</v>
      </c>
      <c r="B7593" t="s">
        <v>1644</v>
      </c>
      <c r="C7593" t="s">
        <v>743</v>
      </c>
      <c r="D7593">
        <v>0</v>
      </c>
      <c r="E7593" t="s">
        <v>46</v>
      </c>
      <c r="F7593" t="s">
        <v>15</v>
      </c>
      <c r="G7593">
        <v>0</v>
      </c>
      <c r="H7593">
        <v>0</v>
      </c>
      <c r="I7593">
        <v>0</v>
      </c>
      <c r="J7593">
        <v>0</v>
      </c>
      <c r="K7593" t="str">
        <f>IFERROR(INDEX(Rosters!$C$2:$C$155,MATCH($B7593,Rosters!$B$2:$B$155,0)),"NA")</f>
        <v>NA</v>
      </c>
      <c r="L7593" t="str">
        <f t="shared" si="354"/>
        <v>NA13QB</v>
      </c>
      <c r="M7593">
        <f>COUNTIF(L$1:L7593,L7593)</f>
        <v>50</v>
      </c>
      <c r="N7593" t="str">
        <f t="shared" si="355"/>
        <v>NA13QB-50</v>
      </c>
      <c r="O7593">
        <f>COUNTIFS(F$1:F7593,F7593,A$1:A7593,A7593)</f>
        <v>67</v>
      </c>
      <c r="P7593" t="str">
        <f t="shared" si="356"/>
        <v>Robert Griffin III13</v>
      </c>
    </row>
    <row r="7594" spans="1:16" x14ac:dyDescent="0.25">
      <c r="A7594">
        <v>14</v>
      </c>
      <c r="B7594" t="s">
        <v>1644</v>
      </c>
      <c r="C7594" t="s">
        <v>743</v>
      </c>
      <c r="D7594">
        <v>0</v>
      </c>
      <c r="E7594" t="s">
        <v>24</v>
      </c>
      <c r="F7594" t="s">
        <v>15</v>
      </c>
      <c r="G7594">
        <v>0</v>
      </c>
      <c r="H7594">
        <v>0</v>
      </c>
      <c r="I7594">
        <v>0</v>
      </c>
      <c r="J7594">
        <v>0</v>
      </c>
      <c r="K7594" t="str">
        <f>IFERROR(INDEX(Rosters!$C$2:$C$155,MATCH($B7594,Rosters!$B$2:$B$155,0)),"NA")</f>
        <v>NA</v>
      </c>
      <c r="L7594" t="str">
        <f t="shared" si="354"/>
        <v>NA14QB</v>
      </c>
      <c r="M7594">
        <f>COUNTIF(L$1:L7594,L7594)</f>
        <v>50</v>
      </c>
      <c r="N7594" t="str">
        <f t="shared" si="355"/>
        <v>NA14QB-50</v>
      </c>
      <c r="O7594">
        <f>COUNTIFS(F$1:F7594,F7594,A$1:A7594,A7594)</f>
        <v>67</v>
      </c>
      <c r="P7594" t="str">
        <f t="shared" si="356"/>
        <v>Robert Griffin III14</v>
      </c>
    </row>
    <row r="7595" spans="1:16" x14ac:dyDescent="0.25">
      <c r="A7595">
        <v>15</v>
      </c>
      <c r="B7595" t="s">
        <v>1644</v>
      </c>
      <c r="C7595" t="s">
        <v>743</v>
      </c>
      <c r="D7595">
        <v>0</v>
      </c>
      <c r="E7595" t="s">
        <v>17</v>
      </c>
      <c r="F7595" t="s">
        <v>15</v>
      </c>
      <c r="G7595">
        <v>0</v>
      </c>
      <c r="H7595">
        <v>0</v>
      </c>
      <c r="I7595">
        <v>0</v>
      </c>
      <c r="J7595">
        <v>0</v>
      </c>
      <c r="K7595" t="str">
        <f>IFERROR(INDEX(Rosters!$C$2:$C$155,MATCH($B7595,Rosters!$B$2:$B$155,0)),"NA")</f>
        <v>NA</v>
      </c>
      <c r="L7595" t="str">
        <f t="shared" si="354"/>
        <v>NA15QB</v>
      </c>
      <c r="M7595">
        <f>COUNTIF(L$1:L7595,L7595)</f>
        <v>50</v>
      </c>
      <c r="N7595" t="str">
        <f t="shared" si="355"/>
        <v>NA15QB-50</v>
      </c>
      <c r="O7595">
        <f>COUNTIFS(F$1:F7595,F7595,A$1:A7595,A7595)</f>
        <v>67</v>
      </c>
      <c r="P7595" t="str">
        <f t="shared" si="356"/>
        <v>Robert Griffin III15</v>
      </c>
    </row>
    <row r="7596" spans="1:16" x14ac:dyDescent="0.25">
      <c r="A7596">
        <v>16</v>
      </c>
      <c r="B7596" t="s">
        <v>1644</v>
      </c>
      <c r="C7596" t="s">
        <v>743</v>
      </c>
      <c r="D7596">
        <v>0</v>
      </c>
      <c r="E7596" t="s">
        <v>37</v>
      </c>
      <c r="F7596" t="s">
        <v>15</v>
      </c>
      <c r="G7596">
        <v>0</v>
      </c>
      <c r="H7596">
        <v>0</v>
      </c>
      <c r="I7596">
        <v>0</v>
      </c>
      <c r="J7596">
        <v>0</v>
      </c>
      <c r="K7596" t="str">
        <f>IFERROR(INDEX(Rosters!$C$2:$C$155,MATCH($B7596,Rosters!$B$2:$B$155,0)),"NA")</f>
        <v>NA</v>
      </c>
      <c r="L7596" t="str">
        <f t="shared" si="354"/>
        <v>NA16QB</v>
      </c>
      <c r="M7596">
        <f>COUNTIF(L$1:L7596,L7596)</f>
        <v>50</v>
      </c>
      <c r="N7596" t="str">
        <f t="shared" si="355"/>
        <v>NA16QB-50</v>
      </c>
      <c r="O7596">
        <f>COUNTIFS(F$1:F7596,F7596,A$1:A7596,A7596)</f>
        <v>67</v>
      </c>
      <c r="P7596" t="str">
        <f t="shared" si="356"/>
        <v>Robert Griffin III16</v>
      </c>
    </row>
    <row r="7597" spans="1:16" x14ac:dyDescent="0.25">
      <c r="A7597">
        <v>17</v>
      </c>
      <c r="B7597" t="s">
        <v>1644</v>
      </c>
      <c r="C7597" t="s">
        <v>743</v>
      </c>
      <c r="D7597">
        <v>0</v>
      </c>
      <c r="E7597" t="s">
        <v>52</v>
      </c>
      <c r="F7597" t="s">
        <v>15</v>
      </c>
      <c r="G7597">
        <v>0</v>
      </c>
      <c r="H7597">
        <v>0</v>
      </c>
      <c r="I7597">
        <v>0</v>
      </c>
      <c r="J7597">
        <v>0</v>
      </c>
      <c r="K7597" t="str">
        <f>IFERROR(INDEX(Rosters!$C$2:$C$155,MATCH($B7597,Rosters!$B$2:$B$155,0)),"NA")</f>
        <v>NA</v>
      </c>
      <c r="L7597" t="str">
        <f t="shared" si="354"/>
        <v>NA17QB</v>
      </c>
      <c r="M7597">
        <f>COUNTIF(L$1:L7597,L7597)</f>
        <v>50</v>
      </c>
      <c r="N7597" t="str">
        <f t="shared" si="355"/>
        <v>NA17QB-50</v>
      </c>
      <c r="O7597">
        <f>COUNTIFS(F$1:F7597,F7597,A$1:A7597,A7597)</f>
        <v>67</v>
      </c>
      <c r="P7597" t="str">
        <f t="shared" si="356"/>
        <v>Robert Griffin III17</v>
      </c>
    </row>
    <row r="7598" spans="1:16" x14ac:dyDescent="0.25">
      <c r="A7598">
        <v>1</v>
      </c>
      <c r="B7598" t="s">
        <v>1123</v>
      </c>
      <c r="C7598" t="s">
        <v>743</v>
      </c>
      <c r="D7598">
        <v>0</v>
      </c>
      <c r="E7598" t="s">
        <v>31</v>
      </c>
      <c r="F7598" t="s">
        <v>47</v>
      </c>
      <c r="G7598">
        <v>0</v>
      </c>
      <c r="H7598">
        <v>0</v>
      </c>
      <c r="I7598">
        <v>0</v>
      </c>
      <c r="J7598">
        <v>0</v>
      </c>
      <c r="K7598" t="str">
        <f>IFERROR(INDEX(Rosters!$C$2:$C$155,MATCH($B7598,Rosters!$B$2:$B$155,0)),"NA")</f>
        <v>NA</v>
      </c>
      <c r="L7598" t="str">
        <f t="shared" si="354"/>
        <v>NA1RB</v>
      </c>
      <c r="M7598">
        <f>COUNTIF(L$1:L7598,L7598)</f>
        <v>64</v>
      </c>
      <c r="N7598" t="str">
        <f t="shared" si="355"/>
        <v>NA1RB-64</v>
      </c>
      <c r="O7598">
        <f>COUNTIFS(F$1:F7598,F7598,A$1:A7598,A7598)</f>
        <v>110</v>
      </c>
      <c r="P7598" t="str">
        <f t="shared" si="356"/>
        <v>Robert Turbin1</v>
      </c>
    </row>
    <row r="7599" spans="1:16" x14ac:dyDescent="0.25">
      <c r="A7599">
        <v>2</v>
      </c>
      <c r="B7599" t="s">
        <v>1123</v>
      </c>
      <c r="C7599" t="s">
        <v>743</v>
      </c>
      <c r="D7599">
        <v>0</v>
      </c>
      <c r="E7599" t="s">
        <v>60</v>
      </c>
      <c r="F7599" t="s">
        <v>47</v>
      </c>
      <c r="G7599">
        <v>0</v>
      </c>
      <c r="H7599">
        <v>0</v>
      </c>
      <c r="I7599">
        <v>0</v>
      </c>
      <c r="J7599">
        <v>0</v>
      </c>
      <c r="K7599" t="str">
        <f>IFERROR(INDEX(Rosters!$C$2:$C$155,MATCH($B7599,Rosters!$B$2:$B$155,0)),"NA")</f>
        <v>NA</v>
      </c>
      <c r="L7599" t="str">
        <f t="shared" si="354"/>
        <v>NA2RB</v>
      </c>
      <c r="M7599">
        <f>COUNTIF(L$1:L7599,L7599)</f>
        <v>72</v>
      </c>
      <c r="N7599" t="str">
        <f t="shared" si="355"/>
        <v>NA2RB-72</v>
      </c>
      <c r="O7599">
        <f>COUNTIFS(F$1:F7599,F7599,A$1:A7599,A7599)</f>
        <v>119</v>
      </c>
      <c r="P7599" t="str">
        <f t="shared" si="356"/>
        <v>Robert Turbin2</v>
      </c>
    </row>
    <row r="7600" spans="1:16" x14ac:dyDescent="0.25">
      <c r="A7600">
        <v>3</v>
      </c>
      <c r="B7600" t="s">
        <v>1123</v>
      </c>
      <c r="C7600" t="s">
        <v>743</v>
      </c>
      <c r="D7600">
        <v>0</v>
      </c>
      <c r="E7600" t="s">
        <v>50</v>
      </c>
      <c r="F7600" t="s">
        <v>47</v>
      </c>
      <c r="G7600">
        <v>0</v>
      </c>
      <c r="H7600">
        <v>0</v>
      </c>
      <c r="I7600">
        <v>0</v>
      </c>
      <c r="J7600">
        <v>0</v>
      </c>
      <c r="K7600" t="str">
        <f>IFERROR(INDEX(Rosters!$C$2:$C$155,MATCH($B7600,Rosters!$B$2:$B$155,0)),"NA")</f>
        <v>NA</v>
      </c>
      <c r="L7600" t="str">
        <f t="shared" si="354"/>
        <v>NA3RB</v>
      </c>
      <c r="M7600">
        <f>COUNTIF(L$1:L7600,L7600)</f>
        <v>75</v>
      </c>
      <c r="N7600" t="str">
        <f t="shared" si="355"/>
        <v>NA3RB-75</v>
      </c>
      <c r="O7600">
        <f>COUNTIFS(F$1:F7600,F7600,A$1:A7600,A7600)</f>
        <v>122</v>
      </c>
      <c r="P7600" t="str">
        <f t="shared" si="356"/>
        <v>Robert Turbin3</v>
      </c>
    </row>
    <row r="7601" spans="1:16" x14ac:dyDescent="0.25">
      <c r="A7601">
        <v>3</v>
      </c>
      <c r="B7601" t="s">
        <v>3845</v>
      </c>
      <c r="C7601" t="s">
        <v>743</v>
      </c>
      <c r="D7601">
        <v>0</v>
      </c>
      <c r="E7601" t="s">
        <v>73</v>
      </c>
      <c r="F7601" t="s">
        <v>87</v>
      </c>
      <c r="G7601">
        <v>0</v>
      </c>
      <c r="H7601">
        <v>0</v>
      </c>
      <c r="I7601">
        <v>0</v>
      </c>
      <c r="J7601">
        <v>0</v>
      </c>
      <c r="K7601" t="str">
        <f>IFERROR(INDEX(Rosters!$C$2:$C$155,MATCH($B7601,Rosters!$B$2:$B$155,0)),"NA")</f>
        <v>NA</v>
      </c>
      <c r="L7601" t="str">
        <f t="shared" si="354"/>
        <v>NA3WR</v>
      </c>
      <c r="M7601">
        <f>COUNTIF(L$1:L7601,L7601)</f>
        <v>116</v>
      </c>
      <c r="N7601" t="str">
        <f t="shared" si="355"/>
        <v>NA3WR-116</v>
      </c>
      <c r="O7601">
        <f>COUNTIFS(F$1:F7601,F7601,A$1:A7601,A7601)</f>
        <v>169</v>
      </c>
      <c r="P7601" t="str">
        <f t="shared" si="356"/>
        <v>Rod Streater3</v>
      </c>
    </row>
    <row r="7602" spans="1:16" x14ac:dyDescent="0.25">
      <c r="A7602">
        <v>1</v>
      </c>
      <c r="B7602" t="s">
        <v>1319</v>
      </c>
      <c r="C7602" t="s">
        <v>743</v>
      </c>
      <c r="D7602">
        <v>0</v>
      </c>
      <c r="E7602" t="s">
        <v>14</v>
      </c>
      <c r="F7602" t="s">
        <v>47</v>
      </c>
      <c r="G7602">
        <v>0</v>
      </c>
      <c r="H7602">
        <v>0</v>
      </c>
      <c r="I7602">
        <v>0</v>
      </c>
      <c r="J7602">
        <v>0</v>
      </c>
      <c r="K7602" t="str">
        <f>IFERROR(INDEX(Rosters!$C$2:$C$155,MATCH($B7602,Rosters!$B$2:$B$155,0)),"NA")</f>
        <v>NA</v>
      </c>
      <c r="L7602" t="str">
        <f t="shared" si="354"/>
        <v>NA1RB</v>
      </c>
      <c r="M7602">
        <f>COUNTIF(L$1:L7602,L7602)</f>
        <v>65</v>
      </c>
      <c r="N7602" t="str">
        <f t="shared" si="355"/>
        <v>NA1RB-65</v>
      </c>
      <c r="O7602">
        <f>COUNTIFS(F$1:F7602,F7602,A$1:A7602,A7602)</f>
        <v>111</v>
      </c>
      <c r="P7602" t="str">
        <f t="shared" si="356"/>
        <v>Ronald Jones1</v>
      </c>
    </row>
    <row r="7603" spans="1:16" x14ac:dyDescent="0.25">
      <c r="A7603">
        <v>2</v>
      </c>
      <c r="B7603" t="s">
        <v>1319</v>
      </c>
      <c r="C7603" t="s">
        <v>743</v>
      </c>
      <c r="D7603">
        <v>0</v>
      </c>
      <c r="E7603" t="s">
        <v>50</v>
      </c>
      <c r="F7603" t="s">
        <v>47</v>
      </c>
      <c r="G7603">
        <v>0</v>
      </c>
      <c r="H7603">
        <v>0</v>
      </c>
      <c r="I7603">
        <v>0</v>
      </c>
      <c r="J7603">
        <v>0</v>
      </c>
      <c r="K7603" t="str">
        <f>IFERROR(INDEX(Rosters!$C$2:$C$155,MATCH($B7603,Rosters!$B$2:$B$155,0)),"NA")</f>
        <v>NA</v>
      </c>
      <c r="L7603" t="str">
        <f t="shared" si="354"/>
        <v>NA2RB</v>
      </c>
      <c r="M7603">
        <f>COUNTIF(L$1:L7603,L7603)</f>
        <v>73</v>
      </c>
      <c r="N7603" t="str">
        <f t="shared" si="355"/>
        <v>NA2RB-73</v>
      </c>
      <c r="O7603">
        <f>COUNTIFS(F$1:F7603,F7603,A$1:A7603,A7603)</f>
        <v>120</v>
      </c>
      <c r="P7603" t="str">
        <f t="shared" si="356"/>
        <v>Ronald Jones2</v>
      </c>
    </row>
    <row r="7604" spans="1:16" x14ac:dyDescent="0.25">
      <c r="A7604">
        <v>3</v>
      </c>
      <c r="B7604" t="s">
        <v>1319</v>
      </c>
      <c r="C7604" t="s">
        <v>743</v>
      </c>
      <c r="D7604">
        <v>0</v>
      </c>
      <c r="E7604" t="s">
        <v>51</v>
      </c>
      <c r="F7604" t="s">
        <v>47</v>
      </c>
      <c r="G7604">
        <v>0</v>
      </c>
      <c r="H7604">
        <v>0</v>
      </c>
      <c r="I7604">
        <v>0</v>
      </c>
      <c r="J7604">
        <v>0</v>
      </c>
      <c r="K7604" t="str">
        <f>IFERROR(INDEX(Rosters!$C$2:$C$155,MATCH($B7604,Rosters!$B$2:$B$155,0)),"NA")</f>
        <v>NA</v>
      </c>
      <c r="L7604" t="str">
        <f t="shared" si="354"/>
        <v>NA3RB</v>
      </c>
      <c r="M7604">
        <f>COUNTIF(L$1:L7604,L7604)</f>
        <v>76</v>
      </c>
      <c r="N7604" t="str">
        <f t="shared" si="355"/>
        <v>NA3RB-76</v>
      </c>
      <c r="O7604">
        <f>COUNTIFS(F$1:F7604,F7604,A$1:A7604,A7604)</f>
        <v>123</v>
      </c>
      <c r="P7604" t="str">
        <f t="shared" si="356"/>
        <v>Ronald Jones3</v>
      </c>
    </row>
    <row r="7605" spans="1:16" x14ac:dyDescent="0.25">
      <c r="A7605">
        <v>4</v>
      </c>
      <c r="B7605" t="s">
        <v>78</v>
      </c>
      <c r="C7605" t="s">
        <v>743</v>
      </c>
      <c r="D7605">
        <v>0</v>
      </c>
      <c r="E7605" t="s">
        <v>28</v>
      </c>
      <c r="F7605" t="s">
        <v>15</v>
      </c>
      <c r="G7605">
        <v>0</v>
      </c>
      <c r="H7605">
        <v>0</v>
      </c>
      <c r="I7605">
        <v>0</v>
      </c>
      <c r="J7605">
        <v>0</v>
      </c>
      <c r="K7605" t="str">
        <f>IFERROR(INDEX(Rosters!$C$2:$C$155,MATCH($B7605,Rosters!$B$2:$B$155,0)),"NA")</f>
        <v>NA</v>
      </c>
      <c r="L7605" t="str">
        <f t="shared" si="354"/>
        <v>NA4QB</v>
      </c>
      <c r="M7605">
        <f>COUNTIF(L$1:L7605,L7605)</f>
        <v>48</v>
      </c>
      <c r="N7605" t="str">
        <f t="shared" si="355"/>
        <v>NA4QB-48</v>
      </c>
      <c r="O7605">
        <f>COUNTIFS(F$1:F7605,F7605,A$1:A7605,A7605)</f>
        <v>63</v>
      </c>
      <c r="P7605" t="str">
        <f t="shared" si="356"/>
        <v>Sam Bradford4</v>
      </c>
    </row>
    <row r="7606" spans="1:16" x14ac:dyDescent="0.25">
      <c r="A7606">
        <v>5</v>
      </c>
      <c r="B7606" t="s">
        <v>78</v>
      </c>
      <c r="C7606" t="s">
        <v>743</v>
      </c>
      <c r="D7606">
        <v>0</v>
      </c>
      <c r="E7606" t="s">
        <v>30</v>
      </c>
      <c r="F7606" t="s">
        <v>15</v>
      </c>
      <c r="G7606">
        <v>0</v>
      </c>
      <c r="H7606">
        <v>0</v>
      </c>
      <c r="I7606">
        <v>0</v>
      </c>
      <c r="J7606">
        <v>0</v>
      </c>
      <c r="K7606" t="str">
        <f>IFERROR(INDEX(Rosters!$C$2:$C$155,MATCH($B7606,Rosters!$B$2:$B$155,0)),"NA")</f>
        <v>NA</v>
      </c>
      <c r="L7606" t="str">
        <f t="shared" si="354"/>
        <v>NA5QB</v>
      </c>
      <c r="M7606">
        <f>COUNTIF(L$1:L7606,L7606)</f>
        <v>47</v>
      </c>
      <c r="N7606" t="str">
        <f t="shared" si="355"/>
        <v>NA5QB-47</v>
      </c>
      <c r="O7606">
        <f>COUNTIFS(F$1:F7606,F7606,A$1:A7606,A7606)</f>
        <v>64</v>
      </c>
      <c r="P7606" t="str">
        <f t="shared" si="356"/>
        <v>Sam Bradford5</v>
      </c>
    </row>
    <row r="7607" spans="1:16" x14ac:dyDescent="0.25">
      <c r="A7607">
        <v>6</v>
      </c>
      <c r="B7607" t="s">
        <v>78</v>
      </c>
      <c r="C7607" t="s">
        <v>743</v>
      </c>
      <c r="D7607">
        <v>0</v>
      </c>
      <c r="E7607" t="s">
        <v>25</v>
      </c>
      <c r="F7607" t="s">
        <v>15</v>
      </c>
      <c r="G7607">
        <v>0</v>
      </c>
      <c r="H7607">
        <v>0</v>
      </c>
      <c r="I7607">
        <v>0</v>
      </c>
      <c r="J7607">
        <v>0</v>
      </c>
      <c r="K7607" t="str">
        <f>IFERROR(INDEX(Rosters!$C$2:$C$155,MATCH($B7607,Rosters!$B$2:$B$155,0)),"NA")</f>
        <v>NA</v>
      </c>
      <c r="L7607" t="str">
        <f t="shared" si="354"/>
        <v>NA6QB</v>
      </c>
      <c r="M7607">
        <f>COUNTIF(L$1:L7607,L7607)</f>
        <v>48</v>
      </c>
      <c r="N7607" t="str">
        <f t="shared" si="355"/>
        <v>NA6QB-48</v>
      </c>
      <c r="O7607">
        <f>COUNTIFS(F$1:F7607,F7607,A$1:A7607,A7607)</f>
        <v>63</v>
      </c>
      <c r="P7607" t="str">
        <f t="shared" si="356"/>
        <v>Sam Bradford6</v>
      </c>
    </row>
    <row r="7608" spans="1:16" x14ac:dyDescent="0.25">
      <c r="A7608">
        <v>7</v>
      </c>
      <c r="B7608" t="s">
        <v>78</v>
      </c>
      <c r="C7608" t="s">
        <v>743</v>
      </c>
      <c r="D7608">
        <v>0</v>
      </c>
      <c r="E7608" t="s">
        <v>42</v>
      </c>
      <c r="F7608" t="s">
        <v>15</v>
      </c>
      <c r="G7608">
        <v>0</v>
      </c>
      <c r="H7608">
        <v>0</v>
      </c>
      <c r="I7608">
        <v>0</v>
      </c>
      <c r="J7608">
        <v>0</v>
      </c>
      <c r="K7608" t="str">
        <f>IFERROR(INDEX(Rosters!$C$2:$C$155,MATCH($B7608,Rosters!$B$2:$B$155,0)),"NA")</f>
        <v>NA</v>
      </c>
      <c r="L7608" t="str">
        <f t="shared" si="354"/>
        <v>NA7QB</v>
      </c>
      <c r="M7608">
        <f>COUNTIF(L$1:L7608,L7608)</f>
        <v>47</v>
      </c>
      <c r="N7608" t="str">
        <f t="shared" si="355"/>
        <v>NA7QB-47</v>
      </c>
      <c r="O7608">
        <f>COUNTIFS(F$1:F7608,F7608,A$1:A7608,A7608)</f>
        <v>61</v>
      </c>
      <c r="P7608" t="str">
        <f t="shared" si="356"/>
        <v>Sam Bradford7</v>
      </c>
    </row>
    <row r="7609" spans="1:16" x14ac:dyDescent="0.25">
      <c r="A7609">
        <v>8</v>
      </c>
      <c r="B7609" t="s">
        <v>78</v>
      </c>
      <c r="C7609" t="s">
        <v>743</v>
      </c>
      <c r="D7609">
        <v>0</v>
      </c>
      <c r="E7609" t="s">
        <v>30</v>
      </c>
      <c r="F7609" t="s">
        <v>15</v>
      </c>
      <c r="G7609">
        <v>0</v>
      </c>
      <c r="H7609">
        <v>0</v>
      </c>
      <c r="I7609">
        <v>0</v>
      </c>
      <c r="J7609">
        <v>0</v>
      </c>
      <c r="K7609" t="str">
        <f>IFERROR(INDEX(Rosters!$C$2:$C$155,MATCH($B7609,Rosters!$B$2:$B$155,0)),"NA")</f>
        <v>NA</v>
      </c>
      <c r="L7609" t="str">
        <f t="shared" si="354"/>
        <v>NA8QB</v>
      </c>
      <c r="M7609">
        <f>COUNTIF(L$1:L7609,L7609)</f>
        <v>44</v>
      </c>
      <c r="N7609" t="str">
        <f t="shared" si="355"/>
        <v>NA8QB-44</v>
      </c>
      <c r="O7609">
        <f>COUNTIFS(F$1:F7609,F7609,A$1:A7609,A7609)</f>
        <v>59</v>
      </c>
      <c r="P7609" t="str">
        <f t="shared" si="356"/>
        <v>Sam Bradford8</v>
      </c>
    </row>
    <row r="7610" spans="1:16" x14ac:dyDescent="0.25">
      <c r="A7610">
        <v>10</v>
      </c>
      <c r="B7610" t="s">
        <v>78</v>
      </c>
      <c r="C7610" t="s">
        <v>743</v>
      </c>
      <c r="D7610">
        <v>0</v>
      </c>
      <c r="E7610" t="s">
        <v>24</v>
      </c>
      <c r="F7610" t="s">
        <v>15</v>
      </c>
      <c r="G7610">
        <v>0</v>
      </c>
      <c r="H7610">
        <v>0</v>
      </c>
      <c r="I7610">
        <v>0</v>
      </c>
      <c r="J7610">
        <v>0</v>
      </c>
      <c r="K7610" t="str">
        <f>IFERROR(INDEX(Rosters!$C$2:$C$155,MATCH($B7610,Rosters!$B$2:$B$155,0)),"NA")</f>
        <v>NA</v>
      </c>
      <c r="L7610" t="str">
        <f t="shared" si="354"/>
        <v>NA10QB</v>
      </c>
      <c r="M7610">
        <f>COUNTIF(L$1:L7610,L7610)</f>
        <v>42</v>
      </c>
      <c r="N7610" t="str">
        <f t="shared" si="355"/>
        <v>NA10QB-42</v>
      </c>
      <c r="O7610">
        <f>COUNTIFS(F$1:F7610,F7610,A$1:A7610,A7610)</f>
        <v>58</v>
      </c>
      <c r="P7610" t="str">
        <f t="shared" si="356"/>
        <v>Sam Bradford10</v>
      </c>
    </row>
    <row r="7611" spans="1:16" x14ac:dyDescent="0.25">
      <c r="A7611">
        <v>11</v>
      </c>
      <c r="B7611" t="s">
        <v>78</v>
      </c>
      <c r="C7611" t="s">
        <v>743</v>
      </c>
      <c r="D7611">
        <v>0</v>
      </c>
      <c r="E7611" t="s">
        <v>32</v>
      </c>
      <c r="F7611" t="s">
        <v>15</v>
      </c>
      <c r="G7611">
        <v>0</v>
      </c>
      <c r="H7611">
        <v>0</v>
      </c>
      <c r="I7611">
        <v>0</v>
      </c>
      <c r="J7611">
        <v>0</v>
      </c>
      <c r="K7611" t="str">
        <f>IFERROR(INDEX(Rosters!$C$2:$C$155,MATCH($B7611,Rosters!$B$2:$B$155,0)),"NA")</f>
        <v>NA</v>
      </c>
      <c r="L7611" t="str">
        <f t="shared" si="354"/>
        <v>NA11QB</v>
      </c>
      <c r="M7611">
        <f>COUNTIF(L$1:L7611,L7611)</f>
        <v>40</v>
      </c>
      <c r="N7611" t="str">
        <f t="shared" si="355"/>
        <v>NA11QB-40</v>
      </c>
      <c r="O7611">
        <f>COUNTIFS(F$1:F7611,F7611,A$1:A7611,A7611)</f>
        <v>55</v>
      </c>
      <c r="P7611" t="str">
        <f t="shared" si="356"/>
        <v>Sam Bradford11</v>
      </c>
    </row>
    <row r="7612" spans="1:16" x14ac:dyDescent="0.25">
      <c r="A7612">
        <v>12</v>
      </c>
      <c r="B7612" t="s">
        <v>78</v>
      </c>
      <c r="C7612" t="s">
        <v>743</v>
      </c>
      <c r="D7612">
        <v>0</v>
      </c>
      <c r="E7612" t="s">
        <v>37</v>
      </c>
      <c r="F7612" t="s">
        <v>15</v>
      </c>
      <c r="G7612">
        <v>0</v>
      </c>
      <c r="H7612">
        <v>0</v>
      </c>
      <c r="I7612">
        <v>0</v>
      </c>
      <c r="J7612">
        <v>0</v>
      </c>
      <c r="K7612" t="str">
        <f>IFERROR(INDEX(Rosters!$C$2:$C$155,MATCH($B7612,Rosters!$B$2:$B$155,0)),"NA")</f>
        <v>NA</v>
      </c>
      <c r="L7612" t="str">
        <f t="shared" si="354"/>
        <v>NA12QB</v>
      </c>
      <c r="M7612">
        <f>COUNTIF(L$1:L7612,L7612)</f>
        <v>49</v>
      </c>
      <c r="N7612" t="str">
        <f t="shared" si="355"/>
        <v>NA12QB-49</v>
      </c>
      <c r="O7612">
        <f>COUNTIFS(F$1:F7612,F7612,A$1:A7612,A7612)</f>
        <v>64</v>
      </c>
      <c r="P7612" t="str">
        <f t="shared" si="356"/>
        <v>Sam Bradford12</v>
      </c>
    </row>
    <row r="7613" spans="1:16" x14ac:dyDescent="0.25">
      <c r="A7613">
        <v>13</v>
      </c>
      <c r="B7613" t="s">
        <v>78</v>
      </c>
      <c r="C7613" t="s">
        <v>743</v>
      </c>
      <c r="D7613">
        <v>0</v>
      </c>
      <c r="E7613" t="s">
        <v>41</v>
      </c>
      <c r="F7613" t="s">
        <v>15</v>
      </c>
      <c r="G7613">
        <v>0</v>
      </c>
      <c r="H7613">
        <v>0</v>
      </c>
      <c r="I7613">
        <v>0</v>
      </c>
      <c r="J7613">
        <v>0</v>
      </c>
      <c r="K7613" t="str">
        <f>IFERROR(INDEX(Rosters!$C$2:$C$155,MATCH($B7613,Rosters!$B$2:$B$155,0)),"NA")</f>
        <v>NA</v>
      </c>
      <c r="L7613" t="str">
        <f t="shared" si="354"/>
        <v>NA13QB</v>
      </c>
      <c r="M7613">
        <f>COUNTIF(L$1:L7613,L7613)</f>
        <v>51</v>
      </c>
      <c r="N7613" t="str">
        <f t="shared" si="355"/>
        <v>NA13QB-51</v>
      </c>
      <c r="O7613">
        <f>COUNTIFS(F$1:F7613,F7613,A$1:A7613,A7613)</f>
        <v>68</v>
      </c>
      <c r="P7613" t="str">
        <f t="shared" si="356"/>
        <v>Sam Bradford13</v>
      </c>
    </row>
    <row r="7614" spans="1:16" x14ac:dyDescent="0.25">
      <c r="A7614">
        <v>14</v>
      </c>
      <c r="B7614" t="s">
        <v>78</v>
      </c>
      <c r="C7614" t="s">
        <v>743</v>
      </c>
      <c r="D7614">
        <v>0</v>
      </c>
      <c r="E7614" t="s">
        <v>34</v>
      </c>
      <c r="F7614" t="s">
        <v>15</v>
      </c>
      <c r="G7614">
        <v>0</v>
      </c>
      <c r="H7614">
        <v>0</v>
      </c>
      <c r="I7614">
        <v>0</v>
      </c>
      <c r="J7614">
        <v>0</v>
      </c>
      <c r="K7614" t="str">
        <f>IFERROR(INDEX(Rosters!$C$2:$C$155,MATCH($B7614,Rosters!$B$2:$B$155,0)),"NA")</f>
        <v>NA</v>
      </c>
      <c r="L7614" t="str">
        <f t="shared" si="354"/>
        <v>NA14QB</v>
      </c>
      <c r="M7614">
        <f>COUNTIF(L$1:L7614,L7614)</f>
        <v>51</v>
      </c>
      <c r="N7614" t="str">
        <f t="shared" si="355"/>
        <v>NA14QB-51</v>
      </c>
      <c r="O7614">
        <f>COUNTIFS(F$1:F7614,F7614,A$1:A7614,A7614)</f>
        <v>68</v>
      </c>
      <c r="P7614" t="str">
        <f t="shared" si="356"/>
        <v>Sam Bradford14</v>
      </c>
    </row>
    <row r="7615" spans="1:16" x14ac:dyDescent="0.25">
      <c r="A7615">
        <v>15</v>
      </c>
      <c r="B7615" t="s">
        <v>78</v>
      </c>
      <c r="C7615" t="s">
        <v>743</v>
      </c>
      <c r="D7615">
        <v>0</v>
      </c>
      <c r="E7615" t="s">
        <v>46</v>
      </c>
      <c r="F7615" t="s">
        <v>15</v>
      </c>
      <c r="G7615">
        <v>0</v>
      </c>
      <c r="H7615">
        <v>0</v>
      </c>
      <c r="I7615">
        <v>0</v>
      </c>
      <c r="J7615">
        <v>0</v>
      </c>
      <c r="K7615" t="str">
        <f>IFERROR(INDEX(Rosters!$C$2:$C$155,MATCH($B7615,Rosters!$B$2:$B$155,0)),"NA")</f>
        <v>NA</v>
      </c>
      <c r="L7615" t="str">
        <f t="shared" si="354"/>
        <v>NA15QB</v>
      </c>
      <c r="M7615">
        <f>COUNTIF(L$1:L7615,L7615)</f>
        <v>51</v>
      </c>
      <c r="N7615" t="str">
        <f t="shared" si="355"/>
        <v>NA15QB-51</v>
      </c>
      <c r="O7615">
        <f>COUNTIFS(F$1:F7615,F7615,A$1:A7615,A7615)</f>
        <v>68</v>
      </c>
      <c r="P7615" t="str">
        <f t="shared" si="356"/>
        <v>Sam Bradford15</v>
      </c>
    </row>
    <row r="7616" spans="1:16" x14ac:dyDescent="0.25">
      <c r="A7616">
        <v>16</v>
      </c>
      <c r="B7616" t="s">
        <v>78</v>
      </c>
      <c r="C7616" t="s">
        <v>743</v>
      </c>
      <c r="D7616">
        <v>0</v>
      </c>
      <c r="E7616" t="s">
        <v>56</v>
      </c>
      <c r="F7616" t="s">
        <v>15</v>
      </c>
      <c r="G7616">
        <v>0</v>
      </c>
      <c r="H7616">
        <v>0</v>
      </c>
      <c r="I7616">
        <v>0</v>
      </c>
      <c r="J7616">
        <v>0</v>
      </c>
      <c r="K7616" t="str">
        <f>IFERROR(INDEX(Rosters!$C$2:$C$155,MATCH($B7616,Rosters!$B$2:$B$155,0)),"NA")</f>
        <v>NA</v>
      </c>
      <c r="L7616" t="str">
        <f t="shared" si="354"/>
        <v>NA16QB</v>
      </c>
      <c r="M7616">
        <f>COUNTIF(L$1:L7616,L7616)</f>
        <v>51</v>
      </c>
      <c r="N7616" t="str">
        <f t="shared" si="355"/>
        <v>NA16QB-51</v>
      </c>
      <c r="O7616">
        <f>COUNTIFS(F$1:F7616,F7616,A$1:A7616,A7616)</f>
        <v>68</v>
      </c>
      <c r="P7616" t="str">
        <f t="shared" si="356"/>
        <v>Sam Bradford16</v>
      </c>
    </row>
    <row r="7617" spans="1:16" x14ac:dyDescent="0.25">
      <c r="A7617">
        <v>17</v>
      </c>
      <c r="B7617" t="s">
        <v>78</v>
      </c>
      <c r="C7617" t="s">
        <v>743</v>
      </c>
      <c r="D7617">
        <v>0</v>
      </c>
      <c r="E7617" t="s">
        <v>28</v>
      </c>
      <c r="F7617" t="s">
        <v>15</v>
      </c>
      <c r="G7617">
        <v>0</v>
      </c>
      <c r="H7617">
        <v>0</v>
      </c>
      <c r="I7617">
        <v>0</v>
      </c>
      <c r="J7617">
        <v>0</v>
      </c>
      <c r="K7617" t="str">
        <f>IFERROR(INDEX(Rosters!$C$2:$C$155,MATCH($B7617,Rosters!$B$2:$B$155,0)),"NA")</f>
        <v>NA</v>
      </c>
      <c r="L7617" t="str">
        <f t="shared" si="354"/>
        <v>NA17QB</v>
      </c>
      <c r="M7617">
        <f>COUNTIF(L$1:L7617,L7617)</f>
        <v>51</v>
      </c>
      <c r="N7617" t="str">
        <f t="shared" si="355"/>
        <v>NA17QB-51</v>
      </c>
      <c r="O7617">
        <f>COUNTIFS(F$1:F7617,F7617,A$1:A7617,A7617)</f>
        <v>68</v>
      </c>
      <c r="P7617" t="str">
        <f t="shared" si="356"/>
        <v>Sam Bradford17</v>
      </c>
    </row>
    <row r="7618" spans="1:16" x14ac:dyDescent="0.25">
      <c r="A7618">
        <v>1</v>
      </c>
      <c r="B7618" t="s">
        <v>164</v>
      </c>
      <c r="C7618" t="s">
        <v>743</v>
      </c>
      <c r="D7618">
        <v>0</v>
      </c>
      <c r="E7618" t="s">
        <v>58</v>
      </c>
      <c r="F7618" t="s">
        <v>47</v>
      </c>
      <c r="G7618">
        <v>0</v>
      </c>
      <c r="H7618">
        <v>0</v>
      </c>
      <c r="I7618">
        <v>0</v>
      </c>
      <c r="J7618">
        <v>0</v>
      </c>
      <c r="K7618" t="str">
        <f>IFERROR(INDEX(Rosters!$C$2:$C$155,MATCH($B7618,Rosters!$B$2:$B$155,0)),"NA")</f>
        <v>NA</v>
      </c>
      <c r="L7618" t="str">
        <f t="shared" si="354"/>
        <v>NA1RB</v>
      </c>
      <c r="M7618">
        <f>COUNTIF(L$1:L7618,L7618)</f>
        <v>66</v>
      </c>
      <c r="N7618" t="str">
        <f t="shared" si="355"/>
        <v>NA1RB-66</v>
      </c>
      <c r="O7618">
        <f>COUNTIFS(F$1:F7618,F7618,A$1:A7618,A7618)</f>
        <v>112</v>
      </c>
      <c r="P7618" t="str">
        <f t="shared" si="356"/>
        <v>Samaje Perine1</v>
      </c>
    </row>
    <row r="7619" spans="1:16" x14ac:dyDescent="0.25">
      <c r="A7619">
        <v>2</v>
      </c>
      <c r="B7619" t="s">
        <v>164</v>
      </c>
      <c r="C7619" t="s">
        <v>743</v>
      </c>
      <c r="D7619">
        <v>0</v>
      </c>
      <c r="E7619" t="s">
        <v>66</v>
      </c>
      <c r="F7619" t="s">
        <v>47</v>
      </c>
      <c r="G7619">
        <v>0</v>
      </c>
      <c r="H7619">
        <v>0</v>
      </c>
      <c r="I7619">
        <v>0</v>
      </c>
      <c r="J7619">
        <v>0</v>
      </c>
      <c r="K7619" t="str">
        <f>IFERROR(INDEX(Rosters!$C$2:$C$155,MATCH($B7619,Rosters!$B$2:$B$155,0)),"NA")</f>
        <v>NA</v>
      </c>
      <c r="L7619" t="str">
        <f t="shared" ref="L7619:L7669" si="357">K7619&amp;A7619&amp;F7619</f>
        <v>NA2RB</v>
      </c>
      <c r="M7619">
        <f>COUNTIF(L$1:L7619,L7619)</f>
        <v>74</v>
      </c>
      <c r="N7619" t="str">
        <f t="shared" ref="N7619:N7669" si="358">L7619&amp;"-"&amp;M7619</f>
        <v>NA2RB-74</v>
      </c>
      <c r="O7619">
        <f>COUNTIFS(F$1:F7619,F7619,A$1:A7619,A7619)</f>
        <v>121</v>
      </c>
      <c r="P7619" t="str">
        <f t="shared" ref="P7619:P7669" si="359">B7619&amp;A7619</f>
        <v>Samaje Perine2</v>
      </c>
    </row>
    <row r="7620" spans="1:16" x14ac:dyDescent="0.25">
      <c r="A7620">
        <v>3</v>
      </c>
      <c r="B7620" t="s">
        <v>164</v>
      </c>
      <c r="C7620" t="s">
        <v>743</v>
      </c>
      <c r="D7620">
        <v>0</v>
      </c>
      <c r="E7620" t="s">
        <v>41</v>
      </c>
      <c r="F7620" t="s">
        <v>47</v>
      </c>
      <c r="G7620">
        <v>0</v>
      </c>
      <c r="H7620">
        <v>0</v>
      </c>
      <c r="I7620">
        <v>0</v>
      </c>
      <c r="J7620">
        <v>0</v>
      </c>
      <c r="K7620" t="str">
        <f>IFERROR(INDEX(Rosters!$C$2:$C$155,MATCH($B7620,Rosters!$B$2:$B$155,0)),"NA")</f>
        <v>NA</v>
      </c>
      <c r="L7620" t="str">
        <f t="shared" si="357"/>
        <v>NA3RB</v>
      </c>
      <c r="M7620">
        <f>COUNTIF(L$1:L7620,L7620)</f>
        <v>77</v>
      </c>
      <c r="N7620" t="str">
        <f t="shared" si="358"/>
        <v>NA3RB-77</v>
      </c>
      <c r="O7620">
        <f>COUNTIFS(F$1:F7620,F7620,A$1:A7620,A7620)</f>
        <v>124</v>
      </c>
      <c r="P7620" t="str">
        <f t="shared" si="359"/>
        <v>Samaje Perine3</v>
      </c>
    </row>
    <row r="7621" spans="1:16" x14ac:dyDescent="0.25">
      <c r="A7621">
        <v>2</v>
      </c>
      <c r="B7621" t="s">
        <v>337</v>
      </c>
      <c r="C7621" t="s">
        <v>743</v>
      </c>
      <c r="D7621">
        <v>0</v>
      </c>
      <c r="E7621" t="s">
        <v>38</v>
      </c>
      <c r="F7621" t="s">
        <v>87</v>
      </c>
      <c r="G7621">
        <v>0</v>
      </c>
      <c r="H7621">
        <v>0</v>
      </c>
      <c r="I7621">
        <v>0</v>
      </c>
      <c r="J7621">
        <v>0</v>
      </c>
      <c r="K7621" t="str">
        <f>IFERROR(INDEX(Rosters!$C$2:$C$155,MATCH($B7621,Rosters!$B$2:$B$155,0)),"NA")</f>
        <v>NA</v>
      </c>
      <c r="L7621" t="str">
        <f t="shared" si="357"/>
        <v>NA2WR</v>
      </c>
      <c r="M7621">
        <f>COUNTIF(L$1:L7621,L7621)</f>
        <v>113</v>
      </c>
      <c r="N7621" t="str">
        <f t="shared" si="358"/>
        <v>NA2WR-113</v>
      </c>
      <c r="O7621">
        <f>COUNTIFS(F$1:F7621,F7621,A$1:A7621,A7621)</f>
        <v>165</v>
      </c>
      <c r="P7621" t="str">
        <f t="shared" si="359"/>
        <v>Sammie Coates2</v>
      </c>
    </row>
    <row r="7622" spans="1:16" x14ac:dyDescent="0.25">
      <c r="A7622">
        <v>3</v>
      </c>
      <c r="B7622" t="s">
        <v>337</v>
      </c>
      <c r="C7622" t="s">
        <v>743</v>
      </c>
      <c r="D7622">
        <v>0</v>
      </c>
      <c r="E7622" t="s">
        <v>54</v>
      </c>
      <c r="F7622" t="s">
        <v>87</v>
      </c>
      <c r="G7622">
        <v>0</v>
      </c>
      <c r="H7622">
        <v>0</v>
      </c>
      <c r="I7622">
        <v>0</v>
      </c>
      <c r="J7622">
        <v>0</v>
      </c>
      <c r="K7622" t="str">
        <f>IFERROR(INDEX(Rosters!$C$2:$C$155,MATCH($B7622,Rosters!$B$2:$B$155,0)),"NA")</f>
        <v>NA</v>
      </c>
      <c r="L7622" t="str">
        <f t="shared" si="357"/>
        <v>NA3WR</v>
      </c>
      <c r="M7622">
        <f>COUNTIF(L$1:L7622,L7622)</f>
        <v>117</v>
      </c>
      <c r="N7622" t="str">
        <f t="shared" si="358"/>
        <v>NA3WR-117</v>
      </c>
      <c r="O7622">
        <f>COUNTIFS(F$1:F7622,F7622,A$1:A7622,A7622)</f>
        <v>170</v>
      </c>
      <c r="P7622" t="str">
        <f t="shared" si="359"/>
        <v>Sammie Coates3</v>
      </c>
    </row>
    <row r="7623" spans="1:16" x14ac:dyDescent="0.25">
      <c r="A7623">
        <v>2</v>
      </c>
      <c r="B7623" t="s">
        <v>297</v>
      </c>
      <c r="C7623" t="s">
        <v>743</v>
      </c>
      <c r="D7623">
        <v>0</v>
      </c>
      <c r="E7623" t="s">
        <v>14</v>
      </c>
      <c r="F7623" t="s">
        <v>114</v>
      </c>
      <c r="G7623">
        <v>0</v>
      </c>
      <c r="H7623">
        <v>0</v>
      </c>
      <c r="I7623">
        <v>0</v>
      </c>
      <c r="J7623">
        <v>0</v>
      </c>
      <c r="K7623" t="str">
        <f>IFERROR(INDEX(Rosters!$C$2:$C$155,MATCH($B7623,Rosters!$B$2:$B$155,0)),"NA")</f>
        <v>NA</v>
      </c>
      <c r="L7623" t="str">
        <f t="shared" si="357"/>
        <v>NA2TE</v>
      </c>
      <c r="M7623">
        <f>COUNTIF(L$1:L7623,L7623)</f>
        <v>83</v>
      </c>
      <c r="N7623" t="str">
        <f t="shared" si="358"/>
        <v>NA2TE-83</v>
      </c>
      <c r="O7623">
        <f>COUNTIFS(F$1:F7623,F7623,A$1:A7623,A7623)</f>
        <v>97</v>
      </c>
      <c r="P7623" t="str">
        <f t="shared" si="359"/>
        <v>Seth DeValve2</v>
      </c>
    </row>
    <row r="7624" spans="1:16" x14ac:dyDescent="0.25">
      <c r="A7624">
        <v>3</v>
      </c>
      <c r="B7624" t="s">
        <v>297</v>
      </c>
      <c r="C7624" t="s">
        <v>743</v>
      </c>
      <c r="D7624">
        <v>0</v>
      </c>
      <c r="E7624" t="s">
        <v>73</v>
      </c>
      <c r="F7624" t="s">
        <v>114</v>
      </c>
      <c r="G7624">
        <v>0</v>
      </c>
      <c r="H7624">
        <v>0</v>
      </c>
      <c r="I7624">
        <v>0</v>
      </c>
      <c r="J7624">
        <v>0</v>
      </c>
      <c r="K7624" t="str">
        <f>IFERROR(INDEX(Rosters!$C$2:$C$155,MATCH($B7624,Rosters!$B$2:$B$155,0)),"NA")</f>
        <v>NA</v>
      </c>
      <c r="L7624" t="str">
        <f t="shared" si="357"/>
        <v>NA3TE</v>
      </c>
      <c r="M7624">
        <f>COUNTIF(L$1:L7624,L7624)</f>
        <v>85</v>
      </c>
      <c r="N7624" t="str">
        <f t="shared" si="358"/>
        <v>NA3TE-85</v>
      </c>
      <c r="O7624">
        <f>COUNTIFS(F$1:F7624,F7624,A$1:A7624,A7624)</f>
        <v>99</v>
      </c>
      <c r="P7624" t="str">
        <f t="shared" si="359"/>
        <v>Seth DeValve3</v>
      </c>
    </row>
    <row r="7625" spans="1:16" x14ac:dyDescent="0.25">
      <c r="A7625">
        <v>4</v>
      </c>
      <c r="B7625" t="s">
        <v>297</v>
      </c>
      <c r="C7625" t="s">
        <v>743</v>
      </c>
      <c r="D7625">
        <v>0</v>
      </c>
      <c r="E7625" t="s">
        <v>32</v>
      </c>
      <c r="F7625" t="s">
        <v>114</v>
      </c>
      <c r="G7625">
        <v>0</v>
      </c>
      <c r="H7625">
        <v>0</v>
      </c>
      <c r="I7625">
        <v>0</v>
      </c>
      <c r="J7625">
        <v>0</v>
      </c>
      <c r="K7625" t="str">
        <f>IFERROR(INDEX(Rosters!$C$2:$C$155,MATCH($B7625,Rosters!$B$2:$B$155,0)),"NA")</f>
        <v>NA</v>
      </c>
      <c r="L7625" t="str">
        <f t="shared" si="357"/>
        <v>NA4TE</v>
      </c>
      <c r="M7625">
        <f>COUNTIF(L$1:L7625,L7625)</f>
        <v>81</v>
      </c>
      <c r="N7625" t="str">
        <f t="shared" si="358"/>
        <v>NA4TE-81</v>
      </c>
      <c r="O7625">
        <f>COUNTIFS(F$1:F7625,F7625,A$1:A7625,A7625)</f>
        <v>93</v>
      </c>
      <c r="P7625" t="str">
        <f t="shared" si="359"/>
        <v>Seth DeValve4</v>
      </c>
    </row>
    <row r="7626" spans="1:16" x14ac:dyDescent="0.25">
      <c r="A7626">
        <v>3</v>
      </c>
      <c r="B7626" t="s">
        <v>238</v>
      </c>
      <c r="C7626" t="s">
        <v>743</v>
      </c>
      <c r="D7626">
        <v>0</v>
      </c>
      <c r="E7626" t="s">
        <v>19</v>
      </c>
      <c r="F7626" t="s">
        <v>87</v>
      </c>
      <c r="G7626">
        <v>0</v>
      </c>
      <c r="H7626">
        <v>0</v>
      </c>
      <c r="I7626">
        <v>0</v>
      </c>
      <c r="J7626">
        <v>0</v>
      </c>
      <c r="K7626" t="str">
        <f>IFERROR(INDEX(Rosters!$C$2:$C$155,MATCH($B7626,Rosters!$B$2:$B$155,0)),"NA")</f>
        <v>NA</v>
      </c>
      <c r="L7626" t="str">
        <f t="shared" si="357"/>
        <v>NA3WR</v>
      </c>
      <c r="M7626">
        <f>COUNTIF(L$1:L7626,L7626)</f>
        <v>118</v>
      </c>
      <c r="N7626" t="str">
        <f t="shared" si="358"/>
        <v>NA3WR-118</v>
      </c>
      <c r="O7626">
        <f>COUNTIFS(F$1:F7626,F7626,A$1:A7626,A7626)</f>
        <v>171</v>
      </c>
      <c r="P7626" t="str">
        <f t="shared" si="359"/>
        <v>Seth Roberts3</v>
      </c>
    </row>
    <row r="7627" spans="1:16" x14ac:dyDescent="0.25">
      <c r="A7627">
        <v>4</v>
      </c>
      <c r="B7627" t="s">
        <v>4232</v>
      </c>
      <c r="C7627" t="s">
        <v>743</v>
      </c>
      <c r="D7627">
        <v>0</v>
      </c>
      <c r="E7627" t="s">
        <v>72</v>
      </c>
      <c r="F7627" t="s">
        <v>47</v>
      </c>
      <c r="G7627">
        <v>0</v>
      </c>
      <c r="H7627">
        <v>0</v>
      </c>
      <c r="I7627">
        <v>0</v>
      </c>
      <c r="J7627">
        <v>0</v>
      </c>
      <c r="K7627" t="str">
        <f>IFERROR(INDEX(Rosters!$C$2:$C$155,MATCH($B7627,Rosters!$B$2:$B$155,0)),"NA")</f>
        <v>NA</v>
      </c>
      <c r="L7627" t="str">
        <f t="shared" si="357"/>
        <v>NA4RB</v>
      </c>
      <c r="M7627">
        <f>COUNTIF(L$1:L7627,L7627)</f>
        <v>78</v>
      </c>
      <c r="N7627" t="str">
        <f t="shared" si="358"/>
        <v>NA4RB-78</v>
      </c>
      <c r="O7627">
        <f>COUNTIFS(F$1:F7627,F7627,A$1:A7627,A7627)</f>
        <v>122</v>
      </c>
      <c r="P7627" t="str">
        <f t="shared" si="359"/>
        <v>Shaun Wilson4</v>
      </c>
    </row>
    <row r="7628" spans="1:16" x14ac:dyDescent="0.25">
      <c r="A7628">
        <v>1</v>
      </c>
      <c r="B7628" t="s">
        <v>1352</v>
      </c>
      <c r="C7628" t="s">
        <v>743</v>
      </c>
      <c r="D7628">
        <v>0</v>
      </c>
      <c r="E7628" t="s">
        <v>36</v>
      </c>
      <c r="F7628" t="s">
        <v>47</v>
      </c>
      <c r="G7628">
        <v>0</v>
      </c>
      <c r="H7628">
        <v>0</v>
      </c>
      <c r="I7628">
        <v>0</v>
      </c>
      <c r="J7628">
        <v>0</v>
      </c>
      <c r="K7628" t="str">
        <f>IFERROR(INDEX(Rosters!$C$2:$C$155,MATCH($B7628,Rosters!$B$2:$B$155,0)),"NA")</f>
        <v>devon</v>
      </c>
      <c r="L7628" t="str">
        <f t="shared" si="357"/>
        <v>devon1RB</v>
      </c>
      <c r="M7628">
        <f>COUNTIF(L$1:L7628,L7628)</f>
        <v>6</v>
      </c>
      <c r="N7628" t="str">
        <f t="shared" si="358"/>
        <v>devon1RB-6</v>
      </c>
      <c r="O7628">
        <f>COUNTIFS(F$1:F7628,F7628,A$1:A7628,A7628)</f>
        <v>113</v>
      </c>
      <c r="P7628" t="str">
        <f t="shared" si="359"/>
        <v>Sony Michel1</v>
      </c>
    </row>
    <row r="7629" spans="1:16" x14ac:dyDescent="0.25">
      <c r="A7629">
        <v>3</v>
      </c>
      <c r="B7629" t="s">
        <v>4254</v>
      </c>
      <c r="C7629" t="s">
        <v>743</v>
      </c>
      <c r="D7629">
        <v>0</v>
      </c>
      <c r="E7629" t="s">
        <v>72</v>
      </c>
      <c r="F7629" t="s">
        <v>47</v>
      </c>
      <c r="G7629">
        <v>0</v>
      </c>
      <c r="H7629">
        <v>0</v>
      </c>
      <c r="I7629">
        <v>0</v>
      </c>
      <c r="J7629">
        <v>0</v>
      </c>
      <c r="K7629" t="str">
        <f>IFERROR(INDEX(Rosters!$C$2:$C$155,MATCH($B7629,Rosters!$B$2:$B$155,0)),"NA")</f>
        <v>NA</v>
      </c>
      <c r="L7629" t="str">
        <f t="shared" si="357"/>
        <v>NA3RB</v>
      </c>
      <c r="M7629">
        <f>COUNTIF(L$1:L7629,L7629)</f>
        <v>78</v>
      </c>
      <c r="N7629" t="str">
        <f t="shared" si="358"/>
        <v>NA3RB-78</v>
      </c>
      <c r="O7629">
        <f>COUNTIFS(F$1:F7629,F7629,A$1:A7629,A7629)</f>
        <v>125</v>
      </c>
      <c r="P7629" t="str">
        <f t="shared" si="359"/>
        <v>T.J. Logan3</v>
      </c>
    </row>
    <row r="7630" spans="1:16" x14ac:dyDescent="0.25">
      <c r="A7630">
        <v>4</v>
      </c>
      <c r="B7630" t="s">
        <v>4254</v>
      </c>
      <c r="C7630" t="s">
        <v>743</v>
      </c>
      <c r="D7630">
        <v>0</v>
      </c>
      <c r="E7630" t="s">
        <v>28</v>
      </c>
      <c r="F7630" t="s">
        <v>47</v>
      </c>
      <c r="G7630">
        <v>0</v>
      </c>
      <c r="H7630">
        <v>0</v>
      </c>
      <c r="I7630">
        <v>0</v>
      </c>
      <c r="J7630">
        <v>0</v>
      </c>
      <c r="K7630" t="str">
        <f>IFERROR(INDEX(Rosters!$C$2:$C$155,MATCH($B7630,Rosters!$B$2:$B$155,0)),"NA")</f>
        <v>NA</v>
      </c>
      <c r="L7630" t="str">
        <f t="shared" si="357"/>
        <v>NA4RB</v>
      </c>
      <c r="M7630">
        <f>COUNTIF(L$1:L7630,L7630)</f>
        <v>79</v>
      </c>
      <c r="N7630" t="str">
        <f t="shared" si="358"/>
        <v>NA4RB-79</v>
      </c>
      <c r="O7630">
        <f>COUNTIFS(F$1:F7630,F7630,A$1:A7630,A7630)</f>
        <v>123</v>
      </c>
      <c r="P7630" t="str">
        <f t="shared" si="359"/>
        <v>T.J. Logan4</v>
      </c>
    </row>
    <row r="7631" spans="1:16" x14ac:dyDescent="0.25">
      <c r="A7631">
        <v>5</v>
      </c>
      <c r="B7631" t="s">
        <v>107</v>
      </c>
      <c r="C7631" t="s">
        <v>743</v>
      </c>
      <c r="D7631">
        <v>0</v>
      </c>
      <c r="E7631" t="s">
        <v>423</v>
      </c>
      <c r="F7631" t="s">
        <v>87</v>
      </c>
      <c r="G7631">
        <v>0</v>
      </c>
      <c r="H7631">
        <v>0</v>
      </c>
      <c r="I7631">
        <v>0</v>
      </c>
      <c r="J7631">
        <v>0</v>
      </c>
      <c r="K7631" t="str">
        <f>IFERROR(INDEX(Rosters!$C$2:$C$155,MATCH($B7631,Rosters!$B$2:$B$155,0)),"NA")</f>
        <v>comp</v>
      </c>
      <c r="L7631" t="str">
        <f t="shared" si="357"/>
        <v>comp5WR</v>
      </c>
      <c r="M7631">
        <f>COUNTIF(L$1:L7631,L7631)</f>
        <v>7</v>
      </c>
      <c r="N7631" t="str">
        <f t="shared" si="358"/>
        <v>comp5WR-7</v>
      </c>
      <c r="O7631">
        <f>COUNTIFS(F$1:F7631,F7631,A$1:A7631,A7631)</f>
        <v>170</v>
      </c>
      <c r="P7631" t="str">
        <f t="shared" si="359"/>
        <v>T.Y. Hilton5</v>
      </c>
    </row>
    <row r="7632" spans="1:16" x14ac:dyDescent="0.25">
      <c r="A7632">
        <v>1</v>
      </c>
      <c r="B7632" t="s">
        <v>1645</v>
      </c>
      <c r="C7632" t="s">
        <v>743</v>
      </c>
      <c r="D7632">
        <v>0</v>
      </c>
      <c r="E7632" t="s">
        <v>22</v>
      </c>
      <c r="F7632" t="s">
        <v>15</v>
      </c>
      <c r="G7632">
        <v>0</v>
      </c>
      <c r="H7632">
        <v>0</v>
      </c>
      <c r="I7632">
        <v>0</v>
      </c>
      <c r="J7632">
        <v>0</v>
      </c>
      <c r="K7632" t="str">
        <f>IFERROR(INDEX(Rosters!$C$2:$C$155,MATCH($B7632,Rosters!$B$2:$B$155,0)),"NA")</f>
        <v>NA</v>
      </c>
      <c r="L7632" t="str">
        <f t="shared" si="357"/>
        <v>NA1QB</v>
      </c>
      <c r="M7632">
        <f>COUNTIF(L$1:L7632,L7632)</f>
        <v>50</v>
      </c>
      <c r="N7632" t="str">
        <f t="shared" si="358"/>
        <v>NA1QB-50</v>
      </c>
      <c r="O7632">
        <f>COUNTIFS(F$1:F7632,F7632,A$1:A7632,A7632)</f>
        <v>67</v>
      </c>
      <c r="P7632" t="str">
        <f t="shared" si="359"/>
        <v>Taylor Heinicke1</v>
      </c>
    </row>
    <row r="7633" spans="1:16" x14ac:dyDescent="0.25">
      <c r="A7633">
        <v>2</v>
      </c>
      <c r="B7633" t="s">
        <v>1645</v>
      </c>
      <c r="C7633" t="s">
        <v>743</v>
      </c>
      <c r="D7633">
        <v>0</v>
      </c>
      <c r="E7633" t="s">
        <v>46</v>
      </c>
      <c r="F7633" t="s">
        <v>15</v>
      </c>
      <c r="G7633">
        <v>0</v>
      </c>
      <c r="H7633">
        <v>0</v>
      </c>
      <c r="I7633">
        <v>0</v>
      </c>
      <c r="J7633">
        <v>0</v>
      </c>
      <c r="K7633" t="str">
        <f>IFERROR(INDEX(Rosters!$C$2:$C$155,MATCH($B7633,Rosters!$B$2:$B$155,0)),"NA")</f>
        <v>NA</v>
      </c>
      <c r="L7633" t="str">
        <f t="shared" si="357"/>
        <v>NA2QB</v>
      </c>
      <c r="M7633">
        <f>COUNTIF(L$1:L7633,L7633)</f>
        <v>50</v>
      </c>
      <c r="N7633" t="str">
        <f t="shared" si="358"/>
        <v>NA2QB-50</v>
      </c>
      <c r="O7633">
        <f>COUNTIFS(F$1:F7633,F7633,A$1:A7633,A7633)</f>
        <v>67</v>
      </c>
      <c r="P7633" t="str">
        <f t="shared" si="359"/>
        <v>Taylor Heinicke2</v>
      </c>
    </row>
    <row r="7634" spans="1:16" x14ac:dyDescent="0.25">
      <c r="A7634">
        <v>3</v>
      </c>
      <c r="B7634" t="s">
        <v>1645</v>
      </c>
      <c r="C7634" t="s">
        <v>743</v>
      </c>
      <c r="D7634">
        <v>0</v>
      </c>
      <c r="E7634" t="s">
        <v>31</v>
      </c>
      <c r="F7634" t="s">
        <v>15</v>
      </c>
      <c r="G7634">
        <v>0</v>
      </c>
      <c r="H7634">
        <v>0</v>
      </c>
      <c r="I7634">
        <v>0</v>
      </c>
      <c r="J7634">
        <v>0</v>
      </c>
      <c r="K7634" t="str">
        <f>IFERROR(INDEX(Rosters!$C$2:$C$155,MATCH($B7634,Rosters!$B$2:$B$155,0)),"NA")</f>
        <v>NA</v>
      </c>
      <c r="L7634" t="str">
        <f t="shared" si="357"/>
        <v>NA3QB</v>
      </c>
      <c r="M7634">
        <f>COUNTIF(L$1:L7634,L7634)</f>
        <v>50</v>
      </c>
      <c r="N7634" t="str">
        <f t="shared" si="358"/>
        <v>NA3QB-50</v>
      </c>
      <c r="O7634">
        <f>COUNTIFS(F$1:F7634,F7634,A$1:A7634,A7634)</f>
        <v>67</v>
      </c>
      <c r="P7634" t="str">
        <f t="shared" si="359"/>
        <v>Taylor Heinicke3</v>
      </c>
    </row>
    <row r="7635" spans="1:16" x14ac:dyDescent="0.25">
      <c r="A7635">
        <v>5</v>
      </c>
      <c r="B7635" t="s">
        <v>1645</v>
      </c>
      <c r="C7635" t="s">
        <v>743</v>
      </c>
      <c r="D7635">
        <v>0</v>
      </c>
      <c r="E7635" t="s">
        <v>54</v>
      </c>
      <c r="F7635" t="s">
        <v>15</v>
      </c>
      <c r="G7635">
        <v>0</v>
      </c>
      <c r="H7635">
        <v>0</v>
      </c>
      <c r="I7635">
        <v>0</v>
      </c>
      <c r="J7635">
        <v>0</v>
      </c>
      <c r="K7635" t="str">
        <f>IFERROR(INDEX(Rosters!$C$2:$C$155,MATCH($B7635,Rosters!$B$2:$B$155,0)),"NA")</f>
        <v>NA</v>
      </c>
      <c r="L7635" t="str">
        <f t="shared" si="357"/>
        <v>NA5QB</v>
      </c>
      <c r="M7635">
        <f>COUNTIF(L$1:L7635,L7635)</f>
        <v>48</v>
      </c>
      <c r="N7635" t="str">
        <f t="shared" si="358"/>
        <v>NA5QB-48</v>
      </c>
      <c r="O7635">
        <f>COUNTIFS(F$1:F7635,F7635,A$1:A7635,A7635)</f>
        <v>65</v>
      </c>
      <c r="P7635" t="str">
        <f t="shared" si="359"/>
        <v>Taylor Heinicke5</v>
      </c>
    </row>
    <row r="7636" spans="1:16" x14ac:dyDescent="0.25">
      <c r="A7636">
        <v>6</v>
      </c>
      <c r="B7636" t="s">
        <v>1645</v>
      </c>
      <c r="C7636" t="s">
        <v>743</v>
      </c>
      <c r="D7636">
        <v>0</v>
      </c>
      <c r="E7636" t="s">
        <v>60</v>
      </c>
      <c r="F7636" t="s">
        <v>15</v>
      </c>
      <c r="G7636">
        <v>0</v>
      </c>
      <c r="H7636">
        <v>0</v>
      </c>
      <c r="I7636">
        <v>0</v>
      </c>
      <c r="J7636">
        <v>0</v>
      </c>
      <c r="K7636" t="str">
        <f>IFERROR(INDEX(Rosters!$C$2:$C$155,MATCH($B7636,Rosters!$B$2:$B$155,0)),"NA")</f>
        <v>NA</v>
      </c>
      <c r="L7636" t="str">
        <f t="shared" si="357"/>
        <v>NA6QB</v>
      </c>
      <c r="M7636">
        <f>COUNTIF(L$1:L7636,L7636)</f>
        <v>49</v>
      </c>
      <c r="N7636" t="str">
        <f t="shared" si="358"/>
        <v>NA6QB-49</v>
      </c>
      <c r="O7636">
        <f>COUNTIFS(F$1:F7636,F7636,A$1:A7636,A7636)</f>
        <v>64</v>
      </c>
      <c r="P7636" t="str">
        <f t="shared" si="359"/>
        <v>Taylor Heinicke6</v>
      </c>
    </row>
    <row r="7637" spans="1:16" x14ac:dyDescent="0.25">
      <c r="A7637">
        <v>7</v>
      </c>
      <c r="B7637" t="s">
        <v>1645</v>
      </c>
      <c r="C7637" t="s">
        <v>743</v>
      </c>
      <c r="D7637">
        <v>0</v>
      </c>
      <c r="E7637" t="s">
        <v>50</v>
      </c>
      <c r="F7637" t="s">
        <v>15</v>
      </c>
      <c r="G7637">
        <v>0</v>
      </c>
      <c r="H7637">
        <v>0</v>
      </c>
      <c r="I7637">
        <v>0</v>
      </c>
      <c r="J7637">
        <v>0</v>
      </c>
      <c r="K7637" t="str">
        <f>IFERROR(INDEX(Rosters!$C$2:$C$155,MATCH($B7637,Rosters!$B$2:$B$155,0)),"NA")</f>
        <v>NA</v>
      </c>
      <c r="L7637" t="str">
        <f t="shared" si="357"/>
        <v>NA7QB</v>
      </c>
      <c r="M7637">
        <f>COUNTIF(L$1:L7637,L7637)</f>
        <v>48</v>
      </c>
      <c r="N7637" t="str">
        <f t="shared" si="358"/>
        <v>NA7QB-48</v>
      </c>
      <c r="O7637">
        <f>COUNTIFS(F$1:F7637,F7637,A$1:A7637,A7637)</f>
        <v>62</v>
      </c>
      <c r="P7637" t="str">
        <f t="shared" si="359"/>
        <v>Taylor Heinicke7</v>
      </c>
    </row>
    <row r="7638" spans="1:16" x14ac:dyDescent="0.25">
      <c r="A7638">
        <v>8</v>
      </c>
      <c r="B7638" t="s">
        <v>1645</v>
      </c>
      <c r="C7638" t="s">
        <v>743</v>
      </c>
      <c r="D7638">
        <v>0</v>
      </c>
      <c r="E7638" t="s">
        <v>77</v>
      </c>
      <c r="F7638" t="s">
        <v>15</v>
      </c>
      <c r="G7638">
        <v>0</v>
      </c>
      <c r="H7638">
        <v>0</v>
      </c>
      <c r="I7638">
        <v>0</v>
      </c>
      <c r="J7638">
        <v>0</v>
      </c>
      <c r="K7638" t="str">
        <f>IFERROR(INDEX(Rosters!$C$2:$C$155,MATCH($B7638,Rosters!$B$2:$B$155,0)),"NA")</f>
        <v>NA</v>
      </c>
      <c r="L7638" t="str">
        <f t="shared" si="357"/>
        <v>NA8QB</v>
      </c>
      <c r="M7638">
        <f>COUNTIF(L$1:L7638,L7638)</f>
        <v>45</v>
      </c>
      <c r="N7638" t="str">
        <f t="shared" si="358"/>
        <v>NA8QB-45</v>
      </c>
      <c r="O7638">
        <f>COUNTIFS(F$1:F7638,F7638,A$1:A7638,A7638)</f>
        <v>60</v>
      </c>
      <c r="P7638" t="str">
        <f t="shared" si="359"/>
        <v>Taylor Heinicke8</v>
      </c>
    </row>
    <row r="7639" spans="1:16" x14ac:dyDescent="0.25">
      <c r="A7639">
        <v>9</v>
      </c>
      <c r="B7639" t="s">
        <v>1645</v>
      </c>
      <c r="C7639" t="s">
        <v>743</v>
      </c>
      <c r="D7639">
        <v>0</v>
      </c>
      <c r="E7639" t="s">
        <v>17</v>
      </c>
      <c r="F7639" t="s">
        <v>15</v>
      </c>
      <c r="G7639">
        <v>0</v>
      </c>
      <c r="H7639">
        <v>0</v>
      </c>
      <c r="I7639">
        <v>0</v>
      </c>
      <c r="J7639">
        <v>0</v>
      </c>
      <c r="K7639" t="str">
        <f>IFERROR(INDEX(Rosters!$C$2:$C$155,MATCH($B7639,Rosters!$B$2:$B$155,0)),"NA")</f>
        <v>NA</v>
      </c>
      <c r="L7639" t="str">
        <f t="shared" si="357"/>
        <v>NA9QB</v>
      </c>
      <c r="M7639">
        <f>COUNTIF(L$1:L7639,L7639)</f>
        <v>42</v>
      </c>
      <c r="N7639" t="str">
        <f t="shared" si="358"/>
        <v>NA9QB-42</v>
      </c>
      <c r="O7639">
        <f>COUNTIFS(F$1:F7639,F7639,A$1:A7639,A7639)</f>
        <v>56</v>
      </c>
      <c r="P7639" t="str">
        <f t="shared" si="359"/>
        <v>Taylor Heinicke9</v>
      </c>
    </row>
    <row r="7640" spans="1:16" x14ac:dyDescent="0.25">
      <c r="A7640">
        <v>10</v>
      </c>
      <c r="B7640" t="s">
        <v>1645</v>
      </c>
      <c r="C7640" t="s">
        <v>743</v>
      </c>
      <c r="D7640">
        <v>0</v>
      </c>
      <c r="E7640" t="s">
        <v>51</v>
      </c>
      <c r="F7640" t="s">
        <v>15</v>
      </c>
      <c r="G7640">
        <v>0</v>
      </c>
      <c r="H7640">
        <v>0</v>
      </c>
      <c r="I7640">
        <v>0</v>
      </c>
      <c r="J7640">
        <v>0</v>
      </c>
      <c r="K7640" t="str">
        <f>IFERROR(INDEX(Rosters!$C$2:$C$155,MATCH($B7640,Rosters!$B$2:$B$155,0)),"NA")</f>
        <v>NA</v>
      </c>
      <c r="L7640" t="str">
        <f t="shared" si="357"/>
        <v>NA10QB</v>
      </c>
      <c r="M7640">
        <f>COUNTIF(L$1:L7640,L7640)</f>
        <v>43</v>
      </c>
      <c r="N7640" t="str">
        <f t="shared" si="358"/>
        <v>NA10QB-43</v>
      </c>
      <c r="O7640">
        <f>COUNTIFS(F$1:F7640,F7640,A$1:A7640,A7640)</f>
        <v>59</v>
      </c>
      <c r="P7640" t="str">
        <f t="shared" si="359"/>
        <v>Taylor Heinicke10</v>
      </c>
    </row>
    <row r="7641" spans="1:16" x14ac:dyDescent="0.25">
      <c r="A7641">
        <v>11</v>
      </c>
      <c r="B7641" t="s">
        <v>1645</v>
      </c>
      <c r="C7641" t="s">
        <v>743</v>
      </c>
      <c r="D7641">
        <v>0</v>
      </c>
      <c r="E7641" t="s">
        <v>34</v>
      </c>
      <c r="F7641" t="s">
        <v>15</v>
      </c>
      <c r="G7641">
        <v>0</v>
      </c>
      <c r="H7641">
        <v>0</v>
      </c>
      <c r="I7641">
        <v>0</v>
      </c>
      <c r="J7641">
        <v>0</v>
      </c>
      <c r="K7641" t="str">
        <f>IFERROR(INDEX(Rosters!$C$2:$C$155,MATCH($B7641,Rosters!$B$2:$B$155,0)),"NA")</f>
        <v>NA</v>
      </c>
      <c r="L7641" t="str">
        <f t="shared" si="357"/>
        <v>NA11QB</v>
      </c>
      <c r="M7641">
        <f>COUNTIF(L$1:L7641,L7641)</f>
        <v>41</v>
      </c>
      <c r="N7641" t="str">
        <f t="shared" si="358"/>
        <v>NA11QB-41</v>
      </c>
      <c r="O7641">
        <f>COUNTIFS(F$1:F7641,F7641,A$1:A7641,A7641)</f>
        <v>56</v>
      </c>
      <c r="P7641" t="str">
        <f t="shared" si="359"/>
        <v>Taylor Heinicke11</v>
      </c>
    </row>
    <row r="7642" spans="1:16" x14ac:dyDescent="0.25">
      <c r="A7642">
        <v>12</v>
      </c>
      <c r="B7642" t="s">
        <v>1645</v>
      </c>
      <c r="C7642" t="s">
        <v>743</v>
      </c>
      <c r="D7642">
        <v>0</v>
      </c>
      <c r="E7642" t="s">
        <v>28</v>
      </c>
      <c r="F7642" t="s">
        <v>15</v>
      </c>
      <c r="G7642">
        <v>0</v>
      </c>
      <c r="H7642">
        <v>0</v>
      </c>
      <c r="I7642">
        <v>0</v>
      </c>
      <c r="J7642">
        <v>0</v>
      </c>
      <c r="K7642" t="str">
        <f>IFERROR(INDEX(Rosters!$C$2:$C$155,MATCH($B7642,Rosters!$B$2:$B$155,0)),"NA")</f>
        <v>NA</v>
      </c>
      <c r="L7642" t="str">
        <f t="shared" si="357"/>
        <v>NA12QB</v>
      </c>
      <c r="M7642">
        <f>COUNTIF(L$1:L7642,L7642)</f>
        <v>50</v>
      </c>
      <c r="N7642" t="str">
        <f t="shared" si="358"/>
        <v>NA12QB-50</v>
      </c>
      <c r="O7642">
        <f>COUNTIFS(F$1:F7642,F7642,A$1:A7642,A7642)</f>
        <v>65</v>
      </c>
      <c r="P7642" t="str">
        <f t="shared" si="359"/>
        <v>Taylor Heinicke12</v>
      </c>
    </row>
    <row r="7643" spans="1:16" x14ac:dyDescent="0.25">
      <c r="A7643">
        <v>13</v>
      </c>
      <c r="B7643" t="s">
        <v>1645</v>
      </c>
      <c r="C7643" t="s">
        <v>743</v>
      </c>
      <c r="D7643">
        <v>0</v>
      </c>
      <c r="E7643" t="s">
        <v>17</v>
      </c>
      <c r="F7643" t="s">
        <v>15</v>
      </c>
      <c r="G7643">
        <v>0</v>
      </c>
      <c r="H7643">
        <v>0</v>
      </c>
      <c r="I7643">
        <v>0</v>
      </c>
      <c r="J7643">
        <v>0</v>
      </c>
      <c r="K7643" t="str">
        <f>IFERROR(INDEX(Rosters!$C$2:$C$155,MATCH($B7643,Rosters!$B$2:$B$155,0)),"NA")</f>
        <v>NA</v>
      </c>
      <c r="L7643" t="str">
        <f t="shared" si="357"/>
        <v>NA13QB</v>
      </c>
      <c r="M7643">
        <f>COUNTIF(L$1:L7643,L7643)</f>
        <v>52</v>
      </c>
      <c r="N7643" t="str">
        <f t="shared" si="358"/>
        <v>NA13QB-52</v>
      </c>
      <c r="O7643">
        <f>COUNTIFS(F$1:F7643,F7643,A$1:A7643,A7643)</f>
        <v>69</v>
      </c>
      <c r="P7643" t="str">
        <f t="shared" si="359"/>
        <v>Taylor Heinicke13</v>
      </c>
    </row>
    <row r="7644" spans="1:16" x14ac:dyDescent="0.25">
      <c r="A7644">
        <v>14</v>
      </c>
      <c r="B7644" t="s">
        <v>1645</v>
      </c>
      <c r="C7644" t="s">
        <v>743</v>
      </c>
      <c r="D7644">
        <v>0</v>
      </c>
      <c r="E7644" t="s">
        <v>52</v>
      </c>
      <c r="F7644" t="s">
        <v>15</v>
      </c>
      <c r="G7644">
        <v>0</v>
      </c>
      <c r="H7644">
        <v>0</v>
      </c>
      <c r="I7644">
        <v>0</v>
      </c>
      <c r="J7644">
        <v>0</v>
      </c>
      <c r="K7644" t="str">
        <f>IFERROR(INDEX(Rosters!$C$2:$C$155,MATCH($B7644,Rosters!$B$2:$B$155,0)),"NA")</f>
        <v>NA</v>
      </c>
      <c r="L7644" t="str">
        <f t="shared" si="357"/>
        <v>NA14QB</v>
      </c>
      <c r="M7644">
        <f>COUNTIF(L$1:L7644,L7644)</f>
        <v>52</v>
      </c>
      <c r="N7644" t="str">
        <f t="shared" si="358"/>
        <v>NA14QB-52</v>
      </c>
      <c r="O7644">
        <f>COUNTIFS(F$1:F7644,F7644,A$1:A7644,A7644)</f>
        <v>69</v>
      </c>
      <c r="P7644" t="str">
        <f t="shared" si="359"/>
        <v>Taylor Heinicke14</v>
      </c>
    </row>
    <row r="7645" spans="1:16" x14ac:dyDescent="0.25">
      <c r="A7645">
        <v>15</v>
      </c>
      <c r="B7645" t="s">
        <v>1645</v>
      </c>
      <c r="C7645" t="s">
        <v>743</v>
      </c>
      <c r="D7645">
        <v>0</v>
      </c>
      <c r="E7645" t="s">
        <v>14</v>
      </c>
      <c r="F7645" t="s">
        <v>15</v>
      </c>
      <c r="G7645">
        <v>0</v>
      </c>
      <c r="H7645">
        <v>0</v>
      </c>
      <c r="I7645">
        <v>0</v>
      </c>
      <c r="J7645">
        <v>0</v>
      </c>
      <c r="K7645" t="str">
        <f>IFERROR(INDEX(Rosters!$C$2:$C$155,MATCH($B7645,Rosters!$B$2:$B$155,0)),"NA")</f>
        <v>NA</v>
      </c>
      <c r="L7645" t="str">
        <f t="shared" si="357"/>
        <v>NA15QB</v>
      </c>
      <c r="M7645">
        <f>COUNTIF(L$1:L7645,L7645)</f>
        <v>52</v>
      </c>
      <c r="N7645" t="str">
        <f t="shared" si="358"/>
        <v>NA15QB-52</v>
      </c>
      <c r="O7645">
        <f>COUNTIFS(F$1:F7645,F7645,A$1:A7645,A7645)</f>
        <v>69</v>
      </c>
      <c r="P7645" t="str">
        <f t="shared" si="359"/>
        <v>Taylor Heinicke15</v>
      </c>
    </row>
    <row r="7646" spans="1:16" x14ac:dyDescent="0.25">
      <c r="A7646">
        <v>16</v>
      </c>
      <c r="B7646" t="s">
        <v>1645</v>
      </c>
      <c r="C7646" t="s">
        <v>743</v>
      </c>
      <c r="D7646">
        <v>0</v>
      </c>
      <c r="E7646" t="s">
        <v>46</v>
      </c>
      <c r="F7646" t="s">
        <v>15</v>
      </c>
      <c r="G7646">
        <v>0</v>
      </c>
      <c r="H7646">
        <v>0</v>
      </c>
      <c r="I7646">
        <v>0</v>
      </c>
      <c r="J7646">
        <v>0</v>
      </c>
      <c r="K7646" t="str">
        <f>IFERROR(INDEX(Rosters!$C$2:$C$155,MATCH($B7646,Rosters!$B$2:$B$155,0)),"NA")</f>
        <v>NA</v>
      </c>
      <c r="L7646" t="str">
        <f t="shared" si="357"/>
        <v>NA16QB</v>
      </c>
      <c r="M7646">
        <f>COUNTIF(L$1:L7646,L7646)</f>
        <v>52</v>
      </c>
      <c r="N7646" t="str">
        <f t="shared" si="358"/>
        <v>NA16QB-52</v>
      </c>
      <c r="O7646">
        <f>COUNTIFS(F$1:F7646,F7646,A$1:A7646,A7646)</f>
        <v>69</v>
      </c>
      <c r="P7646" t="str">
        <f t="shared" si="359"/>
        <v>Taylor Heinicke16</v>
      </c>
    </row>
    <row r="7647" spans="1:16" x14ac:dyDescent="0.25">
      <c r="A7647">
        <v>17</v>
      </c>
      <c r="B7647" t="s">
        <v>1645</v>
      </c>
      <c r="C7647" t="s">
        <v>743</v>
      </c>
      <c r="D7647">
        <v>0</v>
      </c>
      <c r="E7647" t="s">
        <v>14</v>
      </c>
      <c r="F7647" t="s">
        <v>15</v>
      </c>
      <c r="G7647">
        <v>0</v>
      </c>
      <c r="H7647">
        <v>0</v>
      </c>
      <c r="I7647">
        <v>0</v>
      </c>
      <c r="J7647">
        <v>0</v>
      </c>
      <c r="K7647" t="str">
        <f>IFERROR(INDEX(Rosters!$C$2:$C$155,MATCH($B7647,Rosters!$B$2:$B$155,0)),"NA")</f>
        <v>NA</v>
      </c>
      <c r="L7647" t="str">
        <f t="shared" si="357"/>
        <v>NA17QB</v>
      </c>
      <c r="M7647">
        <f>COUNTIF(L$1:L7647,L7647)</f>
        <v>52</v>
      </c>
      <c r="N7647" t="str">
        <f t="shared" si="358"/>
        <v>NA17QB-52</v>
      </c>
      <c r="O7647">
        <f>COUNTIFS(F$1:F7647,F7647,A$1:A7647,A7647)</f>
        <v>69</v>
      </c>
      <c r="P7647" t="str">
        <f t="shared" si="359"/>
        <v>Taylor Heinicke17</v>
      </c>
    </row>
    <row r="7648" spans="1:16" x14ac:dyDescent="0.25">
      <c r="A7648">
        <v>1</v>
      </c>
      <c r="B7648" t="s">
        <v>1646</v>
      </c>
      <c r="C7648" t="s">
        <v>743</v>
      </c>
      <c r="D7648">
        <v>0</v>
      </c>
      <c r="E7648" t="s">
        <v>17</v>
      </c>
      <c r="F7648" t="s">
        <v>15</v>
      </c>
      <c r="G7648">
        <v>0</v>
      </c>
      <c r="H7648">
        <v>0</v>
      </c>
      <c r="I7648">
        <v>0</v>
      </c>
      <c r="J7648">
        <v>0</v>
      </c>
      <c r="K7648" t="str">
        <f>IFERROR(INDEX(Rosters!$C$2:$C$155,MATCH($B7648,Rosters!$B$2:$B$155,0)),"NA")</f>
        <v>NA</v>
      </c>
      <c r="L7648" t="str">
        <f t="shared" si="357"/>
        <v>NA1QB</v>
      </c>
      <c r="M7648">
        <f>COUNTIF(L$1:L7648,L7648)</f>
        <v>51</v>
      </c>
      <c r="N7648" t="str">
        <f t="shared" si="358"/>
        <v>NA1QB-51</v>
      </c>
      <c r="O7648">
        <f>COUNTIFS(F$1:F7648,F7648,A$1:A7648,A7648)</f>
        <v>68</v>
      </c>
      <c r="P7648" t="str">
        <f t="shared" si="359"/>
        <v>Taysom Hill1</v>
      </c>
    </row>
    <row r="7649" spans="1:16" x14ac:dyDescent="0.25">
      <c r="A7649">
        <v>2</v>
      </c>
      <c r="B7649" t="s">
        <v>1646</v>
      </c>
      <c r="C7649" t="s">
        <v>743</v>
      </c>
      <c r="D7649">
        <v>0</v>
      </c>
      <c r="E7649" t="s">
        <v>52</v>
      </c>
      <c r="F7649" t="s">
        <v>15</v>
      </c>
      <c r="G7649">
        <v>0</v>
      </c>
      <c r="H7649">
        <v>0</v>
      </c>
      <c r="I7649">
        <v>0</v>
      </c>
      <c r="J7649">
        <v>0</v>
      </c>
      <c r="K7649" t="str">
        <f>IFERROR(INDEX(Rosters!$C$2:$C$155,MATCH($B7649,Rosters!$B$2:$B$155,0)),"NA")</f>
        <v>NA</v>
      </c>
      <c r="L7649" t="str">
        <f t="shared" si="357"/>
        <v>NA2QB</v>
      </c>
      <c r="M7649">
        <f>COUNTIF(L$1:L7649,L7649)</f>
        <v>51</v>
      </c>
      <c r="N7649" t="str">
        <f t="shared" si="358"/>
        <v>NA2QB-51</v>
      </c>
      <c r="O7649">
        <f>COUNTIFS(F$1:F7649,F7649,A$1:A7649,A7649)</f>
        <v>68</v>
      </c>
      <c r="P7649" t="str">
        <f t="shared" si="359"/>
        <v>Taysom Hill2</v>
      </c>
    </row>
    <row r="7650" spans="1:16" x14ac:dyDescent="0.25">
      <c r="A7650">
        <v>3</v>
      </c>
      <c r="B7650" t="s">
        <v>1646</v>
      </c>
      <c r="C7650" t="s">
        <v>743</v>
      </c>
      <c r="D7650">
        <v>0</v>
      </c>
      <c r="E7650" t="s">
        <v>46</v>
      </c>
      <c r="F7650" t="s">
        <v>15</v>
      </c>
      <c r="G7650">
        <v>0</v>
      </c>
      <c r="H7650">
        <v>0</v>
      </c>
      <c r="I7650">
        <v>0</v>
      </c>
      <c r="J7650">
        <v>0</v>
      </c>
      <c r="K7650" t="str">
        <f>IFERROR(INDEX(Rosters!$C$2:$C$155,MATCH($B7650,Rosters!$B$2:$B$155,0)),"NA")</f>
        <v>NA</v>
      </c>
      <c r="L7650" t="str">
        <f t="shared" si="357"/>
        <v>NA3QB</v>
      </c>
      <c r="M7650">
        <f>COUNTIF(L$1:L7650,L7650)</f>
        <v>51</v>
      </c>
      <c r="N7650" t="str">
        <f t="shared" si="358"/>
        <v>NA3QB-51</v>
      </c>
      <c r="O7650">
        <f>COUNTIFS(F$1:F7650,F7650,A$1:A7650,A7650)</f>
        <v>68</v>
      </c>
      <c r="P7650" t="str">
        <f t="shared" si="359"/>
        <v>Taysom Hill3</v>
      </c>
    </row>
    <row r="7651" spans="1:16" x14ac:dyDescent="0.25">
      <c r="A7651">
        <v>4</v>
      </c>
      <c r="B7651" t="s">
        <v>1646</v>
      </c>
      <c r="C7651" t="s">
        <v>743</v>
      </c>
      <c r="D7651">
        <v>0</v>
      </c>
      <c r="E7651" t="s">
        <v>54</v>
      </c>
      <c r="F7651" t="s">
        <v>15</v>
      </c>
      <c r="G7651">
        <v>0</v>
      </c>
      <c r="H7651">
        <v>0</v>
      </c>
      <c r="I7651">
        <v>0</v>
      </c>
      <c r="J7651">
        <v>0</v>
      </c>
      <c r="K7651" t="str">
        <f>IFERROR(INDEX(Rosters!$C$2:$C$155,MATCH($B7651,Rosters!$B$2:$B$155,0)),"NA")</f>
        <v>NA</v>
      </c>
      <c r="L7651" t="str">
        <f t="shared" si="357"/>
        <v>NA4QB</v>
      </c>
      <c r="M7651">
        <f>COUNTIF(L$1:L7651,L7651)</f>
        <v>49</v>
      </c>
      <c r="N7651" t="str">
        <f t="shared" si="358"/>
        <v>NA4QB-49</v>
      </c>
      <c r="O7651">
        <f>COUNTIFS(F$1:F7651,F7651,A$1:A7651,A7651)</f>
        <v>64</v>
      </c>
      <c r="P7651" t="str">
        <f t="shared" si="359"/>
        <v>Taysom Hill4</v>
      </c>
    </row>
    <row r="7652" spans="1:16" x14ac:dyDescent="0.25">
      <c r="A7652">
        <v>4</v>
      </c>
      <c r="B7652" t="s">
        <v>222</v>
      </c>
      <c r="C7652" t="s">
        <v>743</v>
      </c>
      <c r="D7652">
        <v>0</v>
      </c>
      <c r="E7652" t="s">
        <v>34</v>
      </c>
      <c r="F7652" t="s">
        <v>87</v>
      </c>
      <c r="G7652">
        <v>0</v>
      </c>
      <c r="H7652">
        <v>0</v>
      </c>
      <c r="I7652">
        <v>0</v>
      </c>
      <c r="J7652">
        <v>0</v>
      </c>
      <c r="K7652" t="str">
        <f>IFERROR(INDEX(Rosters!$C$2:$C$155,MATCH($B7652,Rosters!$B$2:$B$155,0)),"NA")</f>
        <v>NA</v>
      </c>
      <c r="L7652" t="str">
        <f t="shared" si="357"/>
        <v>NA4WR</v>
      </c>
      <c r="M7652">
        <f>COUNTIF(L$1:L7652,L7652)</f>
        <v>113</v>
      </c>
      <c r="N7652" t="str">
        <f t="shared" si="358"/>
        <v>NA4WR-113</v>
      </c>
      <c r="O7652">
        <f>COUNTIFS(F$1:F7652,F7652,A$1:A7652,A7652)</f>
        <v>165</v>
      </c>
      <c r="P7652" t="str">
        <f t="shared" si="359"/>
        <v>Terrance Williams4</v>
      </c>
    </row>
    <row r="7653" spans="1:16" x14ac:dyDescent="0.25">
      <c r="A7653">
        <v>3</v>
      </c>
      <c r="B7653" t="s">
        <v>2792</v>
      </c>
      <c r="C7653" t="s">
        <v>743</v>
      </c>
      <c r="D7653">
        <v>0</v>
      </c>
      <c r="E7653" t="s">
        <v>74</v>
      </c>
      <c r="F7653" t="s">
        <v>47</v>
      </c>
      <c r="G7653">
        <v>0</v>
      </c>
      <c r="H7653">
        <v>0</v>
      </c>
      <c r="I7653">
        <v>0</v>
      </c>
      <c r="J7653">
        <v>0</v>
      </c>
      <c r="K7653" t="str">
        <f>IFERROR(INDEX(Rosters!$C$2:$C$155,MATCH($B7653,Rosters!$B$2:$B$155,0)),"NA")</f>
        <v>NA</v>
      </c>
      <c r="L7653" t="str">
        <f t="shared" si="357"/>
        <v>NA3RB</v>
      </c>
      <c r="M7653">
        <f>COUNTIF(L$1:L7653,L7653)</f>
        <v>79</v>
      </c>
      <c r="N7653" t="str">
        <f t="shared" si="358"/>
        <v>NA3RB-79</v>
      </c>
      <c r="O7653">
        <f>COUNTIFS(F$1:F7653,F7653,A$1:A7653,A7653)</f>
        <v>126</v>
      </c>
      <c r="P7653" t="str">
        <f t="shared" si="359"/>
        <v>Thomas Rawls3</v>
      </c>
    </row>
    <row r="7654" spans="1:16" x14ac:dyDescent="0.25">
      <c r="A7654">
        <v>4</v>
      </c>
      <c r="B7654" t="s">
        <v>2792</v>
      </c>
      <c r="C7654" t="s">
        <v>743</v>
      </c>
      <c r="D7654">
        <v>0</v>
      </c>
      <c r="E7654" t="s">
        <v>46</v>
      </c>
      <c r="F7654" t="s">
        <v>47</v>
      </c>
      <c r="G7654">
        <v>0</v>
      </c>
      <c r="H7654">
        <v>0</v>
      </c>
      <c r="I7654">
        <v>0</v>
      </c>
      <c r="J7654">
        <v>0</v>
      </c>
      <c r="K7654" t="str">
        <f>IFERROR(INDEX(Rosters!$C$2:$C$155,MATCH($B7654,Rosters!$B$2:$B$155,0)),"NA")</f>
        <v>NA</v>
      </c>
      <c r="L7654" t="str">
        <f t="shared" si="357"/>
        <v>NA4RB</v>
      </c>
      <c r="M7654">
        <f>COUNTIF(L$1:L7654,L7654)</f>
        <v>80</v>
      </c>
      <c r="N7654" t="str">
        <f t="shared" si="358"/>
        <v>NA4RB-80</v>
      </c>
      <c r="O7654">
        <f>COUNTIFS(F$1:F7654,F7654,A$1:A7654,A7654)</f>
        <v>124</v>
      </c>
      <c r="P7654" t="str">
        <f t="shared" si="359"/>
        <v>Thomas Rawls4</v>
      </c>
    </row>
    <row r="7655" spans="1:16" x14ac:dyDescent="0.25">
      <c r="A7655">
        <v>2</v>
      </c>
      <c r="B7655" t="s">
        <v>249</v>
      </c>
      <c r="C7655" t="s">
        <v>743</v>
      </c>
      <c r="D7655">
        <v>0</v>
      </c>
      <c r="E7655" t="s">
        <v>29</v>
      </c>
      <c r="F7655" t="s">
        <v>87</v>
      </c>
      <c r="G7655">
        <v>0</v>
      </c>
      <c r="H7655">
        <v>0</v>
      </c>
      <c r="I7655">
        <v>0</v>
      </c>
      <c r="J7655">
        <v>0</v>
      </c>
      <c r="K7655" t="str">
        <f>IFERROR(INDEX(Rosters!$C$2:$C$155,MATCH($B7655,Rosters!$B$2:$B$155,0)),"NA")</f>
        <v>NA</v>
      </c>
      <c r="L7655" t="str">
        <f t="shared" si="357"/>
        <v>NA2WR</v>
      </c>
      <c r="M7655">
        <f>COUNTIF(L$1:L7655,L7655)</f>
        <v>114</v>
      </c>
      <c r="N7655" t="str">
        <f t="shared" si="358"/>
        <v>NA2WR-114</v>
      </c>
      <c r="O7655">
        <f>COUNTIFS(F$1:F7655,F7655,A$1:A7655,A7655)</f>
        <v>166</v>
      </c>
      <c r="P7655" t="str">
        <f t="shared" si="359"/>
        <v>Travis Benjamin2</v>
      </c>
    </row>
    <row r="7656" spans="1:16" x14ac:dyDescent="0.25">
      <c r="A7656">
        <v>3</v>
      </c>
      <c r="B7656" t="s">
        <v>249</v>
      </c>
      <c r="C7656" t="s">
        <v>743</v>
      </c>
      <c r="D7656">
        <v>0</v>
      </c>
      <c r="E7656" t="s">
        <v>56</v>
      </c>
      <c r="F7656" t="s">
        <v>87</v>
      </c>
      <c r="G7656">
        <v>0</v>
      </c>
      <c r="H7656">
        <v>0</v>
      </c>
      <c r="I7656">
        <v>0</v>
      </c>
      <c r="J7656">
        <v>0</v>
      </c>
      <c r="K7656" t="str">
        <f>IFERROR(INDEX(Rosters!$C$2:$C$155,MATCH($B7656,Rosters!$B$2:$B$155,0)),"NA")</f>
        <v>NA</v>
      </c>
      <c r="L7656" t="str">
        <f t="shared" si="357"/>
        <v>NA3WR</v>
      </c>
      <c r="M7656">
        <f>COUNTIF(L$1:L7656,L7656)</f>
        <v>119</v>
      </c>
      <c r="N7656" t="str">
        <f t="shared" si="358"/>
        <v>NA3WR-119</v>
      </c>
      <c r="O7656">
        <f>COUNTIFS(F$1:F7656,F7656,A$1:A7656,A7656)</f>
        <v>172</v>
      </c>
      <c r="P7656" t="str">
        <f t="shared" si="359"/>
        <v>Travis Benjamin3</v>
      </c>
    </row>
    <row r="7657" spans="1:16" x14ac:dyDescent="0.25">
      <c r="A7657">
        <v>5</v>
      </c>
      <c r="B7657" t="s">
        <v>249</v>
      </c>
      <c r="C7657" t="s">
        <v>743</v>
      </c>
      <c r="D7657">
        <v>0</v>
      </c>
      <c r="E7657" t="s">
        <v>32</v>
      </c>
      <c r="F7657" t="s">
        <v>87</v>
      </c>
      <c r="G7657">
        <v>0</v>
      </c>
      <c r="H7657">
        <v>0</v>
      </c>
      <c r="I7657">
        <v>0</v>
      </c>
      <c r="J7657">
        <v>0</v>
      </c>
      <c r="K7657" t="str">
        <f>IFERROR(INDEX(Rosters!$C$2:$C$155,MATCH($B7657,Rosters!$B$2:$B$155,0)),"NA")</f>
        <v>NA</v>
      </c>
      <c r="L7657" t="str">
        <f t="shared" si="357"/>
        <v>NA5WR</v>
      </c>
      <c r="M7657">
        <f>COUNTIF(L$1:L7657,L7657)</f>
        <v>120</v>
      </c>
      <c r="N7657" t="str">
        <f t="shared" si="358"/>
        <v>NA5WR-120</v>
      </c>
      <c r="O7657">
        <f>COUNTIFS(F$1:F7657,F7657,A$1:A7657,A7657)</f>
        <v>171</v>
      </c>
      <c r="P7657" t="str">
        <f t="shared" si="359"/>
        <v>Travis Benjamin5</v>
      </c>
    </row>
    <row r="7658" spans="1:16" x14ac:dyDescent="0.25">
      <c r="A7658">
        <v>3</v>
      </c>
      <c r="B7658" t="s">
        <v>4243</v>
      </c>
      <c r="C7658" t="s">
        <v>743</v>
      </c>
      <c r="D7658">
        <v>0</v>
      </c>
      <c r="E7658" t="s">
        <v>41</v>
      </c>
      <c r="F7658" t="s">
        <v>87</v>
      </c>
      <c r="G7658">
        <v>0</v>
      </c>
      <c r="H7658">
        <v>0</v>
      </c>
      <c r="I7658">
        <v>0</v>
      </c>
      <c r="J7658">
        <v>0</v>
      </c>
      <c r="K7658" t="str">
        <f>IFERROR(INDEX(Rosters!$C$2:$C$155,MATCH($B7658,Rosters!$B$2:$B$155,0)),"NA")</f>
        <v>NA</v>
      </c>
      <c r="L7658" t="str">
        <f t="shared" si="357"/>
        <v>NA3WR</v>
      </c>
      <c r="M7658">
        <f>COUNTIF(L$1:L7658,L7658)</f>
        <v>120</v>
      </c>
      <c r="N7658" t="str">
        <f t="shared" si="358"/>
        <v>NA3WR-120</v>
      </c>
      <c r="O7658">
        <f>COUNTIFS(F$1:F7658,F7658,A$1:A7658,A7658)</f>
        <v>173</v>
      </c>
      <c r="P7658" t="str">
        <f t="shared" si="359"/>
        <v>Trey Quinn3</v>
      </c>
    </row>
    <row r="7659" spans="1:16" x14ac:dyDescent="0.25">
      <c r="A7659">
        <v>5</v>
      </c>
      <c r="B7659" t="s">
        <v>4243</v>
      </c>
      <c r="C7659" t="s">
        <v>743</v>
      </c>
      <c r="D7659">
        <v>0</v>
      </c>
      <c r="E7659" t="s">
        <v>14</v>
      </c>
      <c r="F7659" t="s">
        <v>87</v>
      </c>
      <c r="G7659">
        <v>0</v>
      </c>
      <c r="H7659">
        <v>0</v>
      </c>
      <c r="I7659">
        <v>0</v>
      </c>
      <c r="J7659">
        <v>0</v>
      </c>
      <c r="K7659" t="str">
        <f>IFERROR(INDEX(Rosters!$C$2:$C$155,MATCH($B7659,Rosters!$B$2:$B$155,0)),"NA")</f>
        <v>NA</v>
      </c>
      <c r="L7659" t="str">
        <f t="shared" si="357"/>
        <v>NA5WR</v>
      </c>
      <c r="M7659">
        <f>COUNTIF(L$1:L7659,L7659)</f>
        <v>121</v>
      </c>
      <c r="N7659" t="str">
        <f t="shared" si="358"/>
        <v>NA5WR-121</v>
      </c>
      <c r="O7659">
        <f>COUNTIFS(F$1:F7659,F7659,A$1:A7659,A7659)</f>
        <v>172</v>
      </c>
      <c r="P7659" t="str">
        <f t="shared" si="359"/>
        <v>Trey Quinn5</v>
      </c>
    </row>
    <row r="7660" spans="1:16" x14ac:dyDescent="0.25">
      <c r="A7660">
        <v>6</v>
      </c>
      <c r="B7660" t="s">
        <v>4243</v>
      </c>
      <c r="C7660" t="s">
        <v>743</v>
      </c>
      <c r="D7660">
        <v>0</v>
      </c>
      <c r="E7660" t="s">
        <v>74</v>
      </c>
      <c r="F7660" t="s">
        <v>87</v>
      </c>
      <c r="G7660">
        <v>0</v>
      </c>
      <c r="H7660">
        <v>0</v>
      </c>
      <c r="I7660">
        <v>0</v>
      </c>
      <c r="J7660">
        <v>0</v>
      </c>
      <c r="K7660" t="str">
        <f>IFERROR(INDEX(Rosters!$C$2:$C$155,MATCH($B7660,Rosters!$B$2:$B$155,0)),"NA")</f>
        <v>NA</v>
      </c>
      <c r="L7660" t="str">
        <f t="shared" si="357"/>
        <v>NA6WR</v>
      </c>
      <c r="M7660">
        <f>COUNTIF(L$1:L7660,L7660)</f>
        <v>122</v>
      </c>
      <c r="N7660" t="str">
        <f t="shared" si="358"/>
        <v>NA6WR-122</v>
      </c>
      <c r="O7660">
        <f>COUNTIFS(F$1:F7660,F7660,A$1:A7660,A7660)</f>
        <v>172</v>
      </c>
      <c r="P7660" t="str">
        <f t="shared" si="359"/>
        <v>Trey Quinn6</v>
      </c>
    </row>
    <row r="7661" spans="1:16" x14ac:dyDescent="0.25">
      <c r="A7661">
        <v>7</v>
      </c>
      <c r="B7661" t="s">
        <v>4243</v>
      </c>
      <c r="C7661" t="s">
        <v>743</v>
      </c>
      <c r="D7661">
        <v>0</v>
      </c>
      <c r="E7661" t="s">
        <v>22</v>
      </c>
      <c r="F7661" t="s">
        <v>87</v>
      </c>
      <c r="G7661">
        <v>0</v>
      </c>
      <c r="H7661">
        <v>0</v>
      </c>
      <c r="I7661">
        <v>0</v>
      </c>
      <c r="J7661">
        <v>0</v>
      </c>
      <c r="K7661" t="str">
        <f>IFERROR(INDEX(Rosters!$C$2:$C$155,MATCH($B7661,Rosters!$B$2:$B$155,0)),"NA")</f>
        <v>NA</v>
      </c>
      <c r="L7661" t="str">
        <f t="shared" si="357"/>
        <v>NA7WR</v>
      </c>
      <c r="M7661">
        <f>COUNTIF(L$1:L7661,L7661)</f>
        <v>115</v>
      </c>
      <c r="N7661" t="str">
        <f t="shared" si="358"/>
        <v>NA7WR-115</v>
      </c>
      <c r="O7661">
        <f>COUNTIFS(F$1:F7661,F7661,A$1:A7661,A7661)</f>
        <v>160</v>
      </c>
      <c r="P7661" t="str">
        <f t="shared" si="359"/>
        <v>Trey Quinn7</v>
      </c>
    </row>
    <row r="7662" spans="1:16" x14ac:dyDescent="0.25">
      <c r="A7662">
        <v>8</v>
      </c>
      <c r="B7662" t="s">
        <v>4243</v>
      </c>
      <c r="C7662" t="s">
        <v>743</v>
      </c>
      <c r="D7662">
        <v>0</v>
      </c>
      <c r="E7662" t="s">
        <v>54</v>
      </c>
      <c r="F7662" t="s">
        <v>87</v>
      </c>
      <c r="G7662">
        <v>0</v>
      </c>
      <c r="H7662">
        <v>0</v>
      </c>
      <c r="I7662">
        <v>0</v>
      </c>
      <c r="J7662">
        <v>0</v>
      </c>
      <c r="K7662" t="str">
        <f>IFERROR(INDEX(Rosters!$C$2:$C$155,MATCH($B7662,Rosters!$B$2:$B$155,0)),"NA")</f>
        <v>NA</v>
      </c>
      <c r="L7662" t="str">
        <f t="shared" si="357"/>
        <v>NA8WR</v>
      </c>
      <c r="M7662">
        <f>COUNTIF(L$1:L7662,L7662)</f>
        <v>110</v>
      </c>
      <c r="N7662" t="str">
        <f t="shared" si="358"/>
        <v>NA8WR-110</v>
      </c>
      <c r="O7662">
        <f>COUNTIFS(F$1:F7662,F7662,A$1:A7662,A7662)</f>
        <v>159</v>
      </c>
      <c r="P7662" t="str">
        <f t="shared" si="359"/>
        <v>Trey Quinn8</v>
      </c>
    </row>
    <row r="7663" spans="1:16" x14ac:dyDescent="0.25">
      <c r="A7663">
        <v>9</v>
      </c>
      <c r="B7663" t="s">
        <v>4243</v>
      </c>
      <c r="C7663" t="s">
        <v>743</v>
      </c>
      <c r="D7663">
        <v>0</v>
      </c>
      <c r="E7663" t="s">
        <v>46</v>
      </c>
      <c r="F7663" t="s">
        <v>87</v>
      </c>
      <c r="G7663">
        <v>0</v>
      </c>
      <c r="H7663">
        <v>0</v>
      </c>
      <c r="I7663">
        <v>0</v>
      </c>
      <c r="J7663">
        <v>0</v>
      </c>
      <c r="K7663" t="str">
        <f>IFERROR(INDEX(Rosters!$C$2:$C$155,MATCH($B7663,Rosters!$B$2:$B$155,0)),"NA")</f>
        <v>NA</v>
      </c>
      <c r="L7663" t="str">
        <f t="shared" si="357"/>
        <v>NA9WR</v>
      </c>
      <c r="M7663">
        <f>COUNTIF(L$1:L7663,L7663)</f>
        <v>106</v>
      </c>
      <c r="N7663" t="str">
        <f t="shared" si="358"/>
        <v>NA9WR-106</v>
      </c>
      <c r="O7663">
        <f>COUNTIFS(F$1:F7663,F7663,A$1:A7663,A7663)</f>
        <v>150</v>
      </c>
      <c r="P7663" t="str">
        <f t="shared" si="359"/>
        <v>Trey Quinn9</v>
      </c>
    </row>
    <row r="7664" spans="1:16" x14ac:dyDescent="0.25">
      <c r="A7664">
        <v>4</v>
      </c>
      <c r="B7664" t="s">
        <v>68</v>
      </c>
      <c r="C7664" t="s">
        <v>743</v>
      </c>
      <c r="D7664">
        <v>0</v>
      </c>
      <c r="E7664" t="s">
        <v>32</v>
      </c>
      <c r="F7664" t="s">
        <v>15</v>
      </c>
      <c r="G7664">
        <v>0</v>
      </c>
      <c r="H7664">
        <v>0</v>
      </c>
      <c r="I7664">
        <v>0</v>
      </c>
      <c r="J7664">
        <v>0</v>
      </c>
      <c r="K7664" t="str">
        <f>IFERROR(INDEX(Rosters!$C$2:$C$155,MATCH($B7664,Rosters!$B$2:$B$155,0)),"NA")</f>
        <v>NA</v>
      </c>
      <c r="L7664" t="str">
        <f t="shared" si="357"/>
        <v>NA4QB</v>
      </c>
      <c r="M7664">
        <f>COUNTIF(L$1:L7664,L7664)</f>
        <v>50</v>
      </c>
      <c r="N7664" t="str">
        <f t="shared" si="358"/>
        <v>NA4QB-50</v>
      </c>
      <c r="O7664">
        <f>COUNTIFS(F$1:F7664,F7664,A$1:A7664,A7664)</f>
        <v>65</v>
      </c>
      <c r="P7664" t="str">
        <f t="shared" si="359"/>
        <v>Tyrod Taylor4</v>
      </c>
    </row>
    <row r="7665" spans="1:16" x14ac:dyDescent="0.25">
      <c r="A7665">
        <v>1</v>
      </c>
      <c r="B7665" t="s">
        <v>214</v>
      </c>
      <c r="C7665" t="s">
        <v>743</v>
      </c>
      <c r="D7665">
        <v>0</v>
      </c>
      <c r="E7665" t="s">
        <v>52</v>
      </c>
      <c r="F7665" t="s">
        <v>114</v>
      </c>
      <c r="G7665">
        <v>0</v>
      </c>
      <c r="H7665">
        <v>0</v>
      </c>
      <c r="I7665">
        <v>0</v>
      </c>
      <c r="J7665">
        <v>0</v>
      </c>
      <c r="K7665" t="str">
        <f>IFERROR(INDEX(Rosters!$C$2:$C$155,MATCH($B7665,Rosters!$B$2:$B$155,0)),"NA")</f>
        <v>scott</v>
      </c>
      <c r="L7665" t="str">
        <f t="shared" si="357"/>
        <v>scott1TE</v>
      </c>
      <c r="M7665">
        <f>COUNTIF(L$1:L7665,L7665)</f>
        <v>2</v>
      </c>
      <c r="N7665" t="str">
        <f t="shared" si="358"/>
        <v>scott1TE-2</v>
      </c>
      <c r="O7665">
        <f>COUNTIFS(F$1:F7665,F7665,A$1:A7665,A7665)</f>
        <v>90</v>
      </c>
      <c r="P7665" t="str">
        <f t="shared" si="359"/>
        <v>Vance McDonald1</v>
      </c>
    </row>
    <row r="7666" spans="1:16" x14ac:dyDescent="0.25">
      <c r="A7666">
        <v>1</v>
      </c>
      <c r="B7666" t="s">
        <v>1566</v>
      </c>
      <c r="C7666" t="s">
        <v>743</v>
      </c>
      <c r="D7666">
        <v>0</v>
      </c>
      <c r="E7666" t="s">
        <v>25</v>
      </c>
      <c r="F7666" t="s">
        <v>87</v>
      </c>
      <c r="G7666">
        <v>0</v>
      </c>
      <c r="H7666">
        <v>0</v>
      </c>
      <c r="I7666">
        <v>0</v>
      </c>
      <c r="J7666">
        <v>0</v>
      </c>
      <c r="K7666" t="str">
        <f>IFERROR(INDEX(Rosters!$C$2:$C$155,MATCH($B7666,Rosters!$B$2:$B$155,0)),"NA")</f>
        <v>NA</v>
      </c>
      <c r="L7666" t="str">
        <f t="shared" si="357"/>
        <v>NA1WR</v>
      </c>
      <c r="M7666">
        <f>COUNTIF(L$1:L7666,L7666)</f>
        <v>102</v>
      </c>
      <c r="N7666" t="str">
        <f t="shared" si="358"/>
        <v>NA1WR-102</v>
      </c>
      <c r="O7666">
        <f>COUNTIFS(F$1:F7666,F7666,A$1:A7666,A7666)</f>
        <v>153</v>
      </c>
      <c r="P7666" t="str">
        <f t="shared" si="359"/>
        <v>Victor Bolden Jr.1</v>
      </c>
    </row>
    <row r="7667" spans="1:16" x14ac:dyDescent="0.25">
      <c r="A7667">
        <v>2</v>
      </c>
      <c r="B7667" t="s">
        <v>1566</v>
      </c>
      <c r="C7667" t="s">
        <v>743</v>
      </c>
      <c r="D7667">
        <v>0</v>
      </c>
      <c r="E7667" t="s">
        <v>34</v>
      </c>
      <c r="F7667" t="s">
        <v>87</v>
      </c>
      <c r="G7667">
        <v>0</v>
      </c>
      <c r="H7667">
        <v>0</v>
      </c>
      <c r="I7667">
        <v>0</v>
      </c>
      <c r="J7667">
        <v>0</v>
      </c>
      <c r="K7667" t="str">
        <f>IFERROR(INDEX(Rosters!$C$2:$C$155,MATCH($B7667,Rosters!$B$2:$B$155,0)),"NA")</f>
        <v>NA</v>
      </c>
      <c r="L7667" t="str">
        <f t="shared" si="357"/>
        <v>NA2WR</v>
      </c>
      <c r="M7667">
        <f>COUNTIF(L$1:L7667,L7667)</f>
        <v>115</v>
      </c>
      <c r="N7667" t="str">
        <f t="shared" si="358"/>
        <v>NA2WR-115</v>
      </c>
      <c r="O7667">
        <f>COUNTIFS(F$1:F7667,F7667,A$1:A7667,A7667)</f>
        <v>167</v>
      </c>
      <c r="P7667" t="str">
        <f t="shared" si="359"/>
        <v>Victor Bolden Jr.2</v>
      </c>
    </row>
    <row r="7668" spans="1:16" x14ac:dyDescent="0.25">
      <c r="A7668">
        <v>4</v>
      </c>
      <c r="B7668" t="s">
        <v>4245</v>
      </c>
      <c r="C7668" t="s">
        <v>743</v>
      </c>
      <c r="D7668">
        <v>0</v>
      </c>
      <c r="E7668" t="s">
        <v>66</v>
      </c>
      <c r="F7668" t="s">
        <v>87</v>
      </c>
      <c r="G7668">
        <v>0</v>
      </c>
      <c r="H7668">
        <v>0</v>
      </c>
      <c r="I7668">
        <v>0</v>
      </c>
      <c r="J7668">
        <v>0</v>
      </c>
      <c r="K7668" t="str">
        <f>IFERROR(INDEX(Rosters!$C$2:$C$155,MATCH($B7668,Rosters!$B$2:$B$155,0)),"NA")</f>
        <v>NA</v>
      </c>
      <c r="L7668" t="str">
        <f t="shared" si="357"/>
        <v>NA4WR</v>
      </c>
      <c r="M7668">
        <f>COUNTIF(L$1:L7668,L7668)</f>
        <v>114</v>
      </c>
      <c r="N7668" t="str">
        <f t="shared" si="358"/>
        <v>NA4WR-114</v>
      </c>
      <c r="O7668">
        <f>COUNTIFS(F$1:F7668,F7668,A$1:A7668,A7668)</f>
        <v>166</v>
      </c>
      <c r="P7668" t="str">
        <f t="shared" si="359"/>
        <v>Vyncint Smith4</v>
      </c>
    </row>
    <row r="7669" spans="1:16" x14ac:dyDescent="0.25">
      <c r="A7669">
        <v>1</v>
      </c>
      <c r="B7669" t="s">
        <v>266</v>
      </c>
      <c r="C7669" t="s">
        <v>743</v>
      </c>
      <c r="D7669">
        <v>0</v>
      </c>
      <c r="E7669" t="s">
        <v>423</v>
      </c>
      <c r="F7669" t="s">
        <v>87</v>
      </c>
      <c r="G7669">
        <v>0</v>
      </c>
      <c r="H7669">
        <v>0</v>
      </c>
      <c r="I7669">
        <v>0</v>
      </c>
      <c r="J7669">
        <v>0</v>
      </c>
      <c r="K7669" t="str">
        <f>IFERROR(INDEX(Rosters!$C$2:$C$155,MATCH($B7669,Rosters!$B$2:$B$155,0)),"NA")</f>
        <v>perry</v>
      </c>
      <c r="L7669" t="str">
        <f t="shared" si="357"/>
        <v>perry1WR</v>
      </c>
      <c r="M7669">
        <f>COUNTIF(L$1:L7669,L7669)</f>
        <v>5</v>
      </c>
      <c r="N7669" t="str">
        <f t="shared" si="358"/>
        <v>perry1WR-5</v>
      </c>
      <c r="O7669">
        <f>COUNTIFS(F$1:F7669,F7669,A$1:A7669,A7669)</f>
        <v>154</v>
      </c>
      <c r="P7669" t="str">
        <f t="shared" si="359"/>
        <v>Will Fuller V1</v>
      </c>
    </row>
  </sheetData>
  <autoFilter ref="A1:P7669"/>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103"/>
  <sheetViews>
    <sheetView workbookViewId="0">
      <selection activeCell="B10" sqref="B10"/>
    </sheetView>
  </sheetViews>
  <sheetFormatPr defaultRowHeight="15" x14ac:dyDescent="0.25"/>
  <cols>
    <col min="1" max="1" width="22.28515625" bestFit="1" customWidth="1"/>
    <col min="2" max="2" width="14.7109375" customWidth="1"/>
    <col min="3" max="3" width="15.5703125" customWidth="1"/>
    <col min="4" max="4" width="10.5703125" customWidth="1"/>
    <col min="5" max="8" width="7" customWidth="1"/>
    <col min="9" max="9" width="5" customWidth="1"/>
    <col min="10" max="13" width="7" customWidth="1"/>
    <col min="14" max="15" width="12" customWidth="1"/>
    <col min="16" max="16" width="5" customWidth="1"/>
    <col min="17" max="24" width="7" customWidth="1"/>
    <col min="25" max="25" width="5" customWidth="1"/>
    <col min="26" max="33" width="7" customWidth="1"/>
    <col min="34" max="34" width="5" customWidth="1"/>
    <col min="35" max="43" width="7" customWidth="1"/>
    <col min="44" max="44" width="5" customWidth="1"/>
    <col min="45" max="49" width="7" customWidth="1"/>
    <col min="50" max="50" width="5" customWidth="1"/>
    <col min="51" max="62" width="7" customWidth="1"/>
    <col min="63" max="63" width="5" customWidth="1"/>
    <col min="64" max="71" width="7" customWidth="1"/>
    <col min="72" max="72" width="12" bestFit="1" customWidth="1"/>
    <col min="73" max="73" width="7" customWidth="1"/>
    <col min="74" max="74" width="5" customWidth="1"/>
    <col min="75" max="88" width="7" customWidth="1"/>
    <col min="89" max="89" width="6" customWidth="1"/>
    <col min="90" max="98" width="8" customWidth="1"/>
    <col min="99" max="99" width="6" customWidth="1"/>
    <col min="100" max="108" width="8" customWidth="1"/>
    <col min="109" max="109" width="5" customWidth="1"/>
    <col min="110" max="112" width="8" customWidth="1"/>
    <col min="113" max="113" width="6" customWidth="1"/>
    <col min="114" max="115" width="8" customWidth="1"/>
    <col min="116" max="116" width="6" customWidth="1"/>
    <col min="117" max="126" width="8" customWidth="1"/>
    <col min="127" max="127" width="6" customWidth="1"/>
    <col min="128" max="134" width="8" customWidth="1"/>
    <col min="135" max="135" width="6" customWidth="1"/>
    <col min="136" max="152" width="8" customWidth="1"/>
    <col min="153" max="153" width="6" customWidth="1"/>
    <col min="154" max="154" width="8" customWidth="1"/>
    <col min="155" max="155" width="6" customWidth="1"/>
    <col min="156" max="168" width="8" customWidth="1"/>
    <col min="169" max="169" width="6" customWidth="1"/>
    <col min="170" max="179" width="8" customWidth="1"/>
    <col min="180" max="180" width="6" customWidth="1"/>
    <col min="181" max="186" width="8" customWidth="1"/>
    <col min="187" max="187" width="6" customWidth="1"/>
    <col min="188" max="188" width="8" customWidth="1"/>
    <col min="189" max="189" width="6" customWidth="1"/>
    <col min="190" max="210" width="8" customWidth="1"/>
    <col min="211" max="211" width="6" customWidth="1"/>
    <col min="212" max="213" width="8" customWidth="1"/>
    <col min="214" max="214" width="9" customWidth="1"/>
    <col min="215" max="215" width="15.5703125" bestFit="1" customWidth="1"/>
    <col min="216" max="216" width="7" customWidth="1"/>
    <col min="217" max="217" width="12" bestFit="1" customWidth="1"/>
    <col min="218" max="219" width="7" customWidth="1"/>
    <col min="220" max="220" width="12" bestFit="1" customWidth="1"/>
    <col min="221" max="221" width="7" customWidth="1"/>
    <col min="222" max="222" width="5" customWidth="1"/>
    <col min="223" max="223" width="7" customWidth="1"/>
    <col min="224" max="228" width="12" bestFit="1" customWidth="1"/>
    <col min="229" max="229" width="5" customWidth="1"/>
    <col min="230" max="230" width="12" bestFit="1" customWidth="1"/>
    <col min="231" max="233" width="7" customWidth="1"/>
    <col min="234" max="234" width="12" bestFit="1" customWidth="1"/>
    <col min="235" max="235" width="11" bestFit="1" customWidth="1"/>
    <col min="236" max="236" width="12" bestFit="1" customWidth="1"/>
    <col min="237" max="237" width="7" customWidth="1"/>
    <col min="238" max="238" width="5" customWidth="1"/>
    <col min="239" max="241" width="12" bestFit="1" customWidth="1"/>
    <col min="242" max="242" width="7" customWidth="1"/>
    <col min="243" max="243" width="12" bestFit="1" customWidth="1"/>
    <col min="244" max="246" width="7" customWidth="1"/>
    <col min="247" max="247" width="5" customWidth="1"/>
    <col min="248" max="248" width="7" customWidth="1"/>
    <col min="249" max="249" width="12" bestFit="1" customWidth="1"/>
    <col min="250" max="250" width="7" customWidth="1"/>
    <col min="251" max="251" width="12" bestFit="1" customWidth="1"/>
    <col min="252" max="253" width="7" customWidth="1"/>
    <col min="254" max="254" width="12" bestFit="1" customWidth="1"/>
    <col min="255" max="256" width="7" customWidth="1"/>
    <col min="257" max="257" width="5" customWidth="1"/>
    <col min="258" max="259" width="7" customWidth="1"/>
    <col min="260" max="260" width="12" bestFit="1" customWidth="1"/>
    <col min="261" max="262" width="7" customWidth="1"/>
    <col min="263" max="263" width="5" customWidth="1"/>
    <col min="264" max="272" width="7" customWidth="1"/>
    <col min="273" max="275" width="12" bestFit="1" customWidth="1"/>
    <col min="276" max="276" width="5" customWidth="1"/>
    <col min="277" max="278" width="7" customWidth="1"/>
    <col min="279" max="279" width="12" bestFit="1" customWidth="1"/>
    <col min="280" max="283" width="7" customWidth="1"/>
    <col min="284" max="285" width="12" bestFit="1" customWidth="1"/>
    <col min="286" max="286" width="7" customWidth="1"/>
    <col min="287" max="287" width="5" customWidth="1"/>
    <col min="288" max="290" width="7" customWidth="1"/>
    <col min="291" max="291" width="12" bestFit="1" customWidth="1"/>
    <col min="292" max="294" width="7" customWidth="1"/>
    <col min="295" max="295" width="12" bestFit="1" customWidth="1"/>
    <col min="296" max="296" width="11" bestFit="1" customWidth="1"/>
    <col min="297" max="301" width="7" customWidth="1"/>
    <col min="302" max="302" width="6" customWidth="1"/>
    <col min="303" max="307" width="8" customWidth="1"/>
    <col min="308" max="308" width="12" bestFit="1" customWidth="1"/>
    <col min="309" max="309" width="8" customWidth="1"/>
    <col min="310" max="310" width="12" bestFit="1" customWidth="1"/>
    <col min="311" max="311" width="8" customWidth="1"/>
    <col min="312" max="312" width="12" bestFit="1" customWidth="1"/>
    <col min="313" max="313" width="8" customWidth="1"/>
    <col min="314" max="314" width="12" bestFit="1" customWidth="1"/>
    <col min="315" max="318" width="8" customWidth="1"/>
    <col min="319" max="319" width="12" bestFit="1" customWidth="1"/>
    <col min="320" max="321" width="8" customWidth="1"/>
    <col min="322" max="322" width="3" customWidth="1"/>
    <col min="323" max="325" width="8" customWidth="1"/>
    <col min="326" max="326" width="6" customWidth="1"/>
    <col min="327" max="328" width="8" customWidth="1"/>
    <col min="329" max="329" width="6" customWidth="1"/>
    <col min="330" max="330" width="8" customWidth="1"/>
    <col min="331" max="331" width="12" bestFit="1" customWidth="1"/>
    <col min="332" max="332" width="8" customWidth="1"/>
    <col min="333" max="333" width="12" bestFit="1" customWidth="1"/>
    <col min="334" max="336" width="8" customWidth="1"/>
    <col min="337" max="338" width="12" bestFit="1" customWidth="1"/>
    <col min="339" max="339" width="8" customWidth="1"/>
    <col min="340" max="340" width="6" customWidth="1"/>
    <col min="341" max="341" width="8" customWidth="1"/>
    <col min="342" max="342" width="12" bestFit="1" customWidth="1"/>
    <col min="343" max="344" width="8" customWidth="1"/>
    <col min="345" max="346" width="12" bestFit="1" customWidth="1"/>
    <col min="347" max="347" width="8" customWidth="1"/>
    <col min="348" max="348" width="6" customWidth="1"/>
    <col min="349" max="353" width="8" customWidth="1"/>
    <col min="354" max="354" width="12" bestFit="1" customWidth="1"/>
    <col min="355" max="365" width="8" customWidth="1"/>
    <col min="366" max="366" width="12" bestFit="1" customWidth="1"/>
    <col min="367" max="367" width="8" customWidth="1"/>
    <col min="368" max="368" width="6" customWidth="1"/>
    <col min="369" max="381" width="8" customWidth="1"/>
    <col min="382" max="382" width="6" customWidth="1"/>
    <col min="383" max="391" width="8" customWidth="1"/>
    <col min="392" max="392" width="12" bestFit="1" customWidth="1"/>
    <col min="393" max="393" width="6" customWidth="1"/>
    <col min="394" max="394" width="12" bestFit="1" customWidth="1"/>
    <col min="395" max="398" width="8" customWidth="1"/>
    <col min="399" max="399" width="12" bestFit="1" customWidth="1"/>
    <col min="400" max="400" width="6" customWidth="1"/>
    <col min="401" max="401" width="8" customWidth="1"/>
    <col min="402" max="402" width="6" customWidth="1"/>
    <col min="403" max="405" width="8" customWidth="1"/>
    <col min="406" max="406" width="12" bestFit="1" customWidth="1"/>
    <col min="407" max="423" width="8" customWidth="1"/>
    <col min="424" max="424" width="6" customWidth="1"/>
    <col min="425" max="426" width="8" customWidth="1"/>
    <col min="427" max="427" width="9" customWidth="1"/>
    <col min="428" max="428" width="19.7109375" bestFit="1" customWidth="1"/>
    <col min="429" max="429" width="20.5703125" bestFit="1" customWidth="1"/>
  </cols>
  <sheetData>
    <row r="1" spans="1:4" x14ac:dyDescent="0.25">
      <c r="A1" s="18" t="s">
        <v>5</v>
      </c>
      <c r="B1" t="s">
        <v>114</v>
      </c>
    </row>
    <row r="2" spans="1:4" x14ac:dyDescent="0.25">
      <c r="A2" s="18" t="s">
        <v>1</v>
      </c>
      <c r="B2" s="156">
        <v>2</v>
      </c>
    </row>
    <row r="3" spans="1:4" x14ac:dyDescent="0.25">
      <c r="A3" s="18" t="s">
        <v>10</v>
      </c>
      <c r="B3" t="s">
        <v>3532</v>
      </c>
    </row>
    <row r="5" spans="1:4" x14ac:dyDescent="0.25">
      <c r="A5" s="18" t="s">
        <v>716</v>
      </c>
      <c r="B5" t="s">
        <v>746</v>
      </c>
      <c r="C5" t="s">
        <v>742</v>
      </c>
      <c r="D5" t="s">
        <v>836</v>
      </c>
    </row>
    <row r="6" spans="1:4" x14ac:dyDescent="0.25">
      <c r="A6" s="156" t="s">
        <v>113</v>
      </c>
      <c r="B6" s="22">
        <v>8.9700000000000006</v>
      </c>
      <c r="C6" s="22">
        <v>5.97</v>
      </c>
      <c r="D6" s="22">
        <v>35.640900000000002</v>
      </c>
    </row>
    <row r="7" spans="1:4" x14ac:dyDescent="0.25">
      <c r="A7" s="156" t="s">
        <v>177</v>
      </c>
      <c r="B7" s="22">
        <v>8.89</v>
      </c>
      <c r="C7" s="22">
        <v>5.17</v>
      </c>
      <c r="D7" s="22">
        <v>26.728899999999999</v>
      </c>
    </row>
    <row r="8" spans="1:4" x14ac:dyDescent="0.25">
      <c r="A8" s="156" t="s">
        <v>151</v>
      </c>
      <c r="B8" s="22">
        <v>8.43</v>
      </c>
      <c r="C8" s="22">
        <v>5.95</v>
      </c>
      <c r="D8" s="22">
        <v>35.402500000000003</v>
      </c>
    </row>
    <row r="9" spans="1:4" x14ac:dyDescent="0.25">
      <c r="A9" s="156" t="s">
        <v>264</v>
      </c>
      <c r="B9" s="22">
        <v>7.23</v>
      </c>
      <c r="C9" s="22">
        <v>6.29</v>
      </c>
      <c r="D9" s="22">
        <v>39.564100000000003</v>
      </c>
    </row>
    <row r="10" spans="1:4" x14ac:dyDescent="0.25">
      <c r="A10" s="156" t="s">
        <v>118</v>
      </c>
      <c r="B10" s="22">
        <v>7.1</v>
      </c>
      <c r="C10" s="22">
        <v>5.97</v>
      </c>
      <c r="D10" s="22">
        <v>35.640900000000002</v>
      </c>
    </row>
    <row r="11" spans="1:4" x14ac:dyDescent="0.25">
      <c r="A11" s="156" t="s">
        <v>162</v>
      </c>
      <c r="B11" s="22">
        <v>6.83</v>
      </c>
      <c r="C11" s="22">
        <v>5.2</v>
      </c>
      <c r="D11" s="22">
        <v>27.04</v>
      </c>
    </row>
    <row r="12" spans="1:4" x14ac:dyDescent="0.25">
      <c r="A12" s="156" t="s">
        <v>235</v>
      </c>
      <c r="B12" s="22">
        <v>6.56</v>
      </c>
      <c r="C12" s="22">
        <v>5.3100000000000005</v>
      </c>
      <c r="D12" s="22">
        <v>28.196100000000001</v>
      </c>
    </row>
    <row r="13" spans="1:4" x14ac:dyDescent="0.25">
      <c r="A13" s="156" t="s">
        <v>313</v>
      </c>
      <c r="B13" s="22">
        <v>6.49</v>
      </c>
      <c r="C13" s="22">
        <v>5.46</v>
      </c>
      <c r="D13" s="22">
        <v>29.811599999999999</v>
      </c>
    </row>
    <row r="14" spans="1:4" x14ac:dyDescent="0.25">
      <c r="A14" s="156" t="s">
        <v>181</v>
      </c>
      <c r="B14" s="22">
        <v>6.29</v>
      </c>
      <c r="C14" s="22">
        <v>4.6099999999999994</v>
      </c>
      <c r="D14" s="22">
        <v>21.252099999999999</v>
      </c>
    </row>
    <row r="15" spans="1:4" x14ac:dyDescent="0.25">
      <c r="A15" s="156" t="s">
        <v>208</v>
      </c>
      <c r="B15" s="22">
        <v>5.46</v>
      </c>
      <c r="C15" s="22">
        <v>5.19</v>
      </c>
      <c r="D15" s="22">
        <v>26.9361</v>
      </c>
    </row>
    <row r="16" spans="1:4" x14ac:dyDescent="0.25">
      <c r="A16" s="156" t="s">
        <v>261</v>
      </c>
      <c r="B16" s="22">
        <v>5.18</v>
      </c>
      <c r="C16" s="22">
        <v>5.36</v>
      </c>
      <c r="D16" s="22">
        <v>28.729600000000001</v>
      </c>
    </row>
    <row r="17" spans="1:4" x14ac:dyDescent="0.25">
      <c r="A17" s="156" t="s">
        <v>215</v>
      </c>
      <c r="B17" s="22">
        <v>5.14</v>
      </c>
      <c r="C17" s="22">
        <v>5.26</v>
      </c>
      <c r="D17" s="22">
        <v>27.6676</v>
      </c>
    </row>
    <row r="18" spans="1:4" x14ac:dyDescent="0.25">
      <c r="A18" s="156" t="s">
        <v>189</v>
      </c>
      <c r="B18" s="22">
        <v>5.12</v>
      </c>
      <c r="C18" s="22">
        <v>3.79</v>
      </c>
      <c r="D18" s="22">
        <v>14.364100000000001</v>
      </c>
    </row>
    <row r="19" spans="1:4" x14ac:dyDescent="0.25">
      <c r="A19" s="156" t="s">
        <v>1495</v>
      </c>
      <c r="B19" s="22">
        <v>4.7300000000000004</v>
      </c>
      <c r="C19" s="22">
        <v>5.07</v>
      </c>
      <c r="D19" s="22">
        <v>25.704899999999999</v>
      </c>
    </row>
    <row r="20" spans="1:4" x14ac:dyDescent="0.25">
      <c r="A20" s="156" t="s">
        <v>247</v>
      </c>
      <c r="B20" s="22">
        <v>4.71</v>
      </c>
      <c r="C20" s="22">
        <v>4.18</v>
      </c>
      <c r="D20" s="22">
        <v>17.4724</v>
      </c>
    </row>
    <row r="21" spans="1:4" x14ac:dyDescent="0.25">
      <c r="A21" s="156" t="s">
        <v>211</v>
      </c>
      <c r="B21" s="22">
        <v>4.6100000000000003</v>
      </c>
      <c r="C21" s="22">
        <v>4.0999999999999996</v>
      </c>
      <c r="D21" s="22">
        <v>16.809999999999999</v>
      </c>
    </row>
    <row r="22" spans="1:4" x14ac:dyDescent="0.25">
      <c r="A22" s="156" t="s">
        <v>229</v>
      </c>
      <c r="B22" s="22">
        <v>4.34</v>
      </c>
      <c r="C22" s="22">
        <v>4.5600000000000005</v>
      </c>
      <c r="D22" s="22">
        <v>20.793600000000001</v>
      </c>
    </row>
    <row r="23" spans="1:4" x14ac:dyDescent="0.25">
      <c r="A23" s="156" t="s">
        <v>217</v>
      </c>
      <c r="B23" s="22">
        <v>4.32</v>
      </c>
      <c r="C23" s="22">
        <v>3.08</v>
      </c>
      <c r="D23" s="22">
        <v>9.4863999999999997</v>
      </c>
    </row>
    <row r="24" spans="1:4" x14ac:dyDescent="0.25">
      <c r="A24" s="156" t="s">
        <v>178</v>
      </c>
      <c r="B24" s="22">
        <v>4.24</v>
      </c>
      <c r="C24" s="22">
        <v>4.1500000000000004</v>
      </c>
      <c r="D24" s="22">
        <v>17.2225</v>
      </c>
    </row>
    <row r="25" spans="1:4" x14ac:dyDescent="0.25">
      <c r="A25" s="156" t="s">
        <v>1381</v>
      </c>
      <c r="B25" s="22">
        <v>4.08</v>
      </c>
      <c r="C25" s="22">
        <v>4.3099999999999996</v>
      </c>
      <c r="D25" s="22">
        <v>18.5761</v>
      </c>
    </row>
    <row r="26" spans="1:4" x14ac:dyDescent="0.25">
      <c r="A26" s="156" t="s">
        <v>292</v>
      </c>
      <c r="B26" s="22">
        <v>3.34</v>
      </c>
      <c r="C26" s="22">
        <v>3.0100000000000002</v>
      </c>
      <c r="D26" s="22">
        <v>9.0601000000000003</v>
      </c>
    </row>
    <row r="27" spans="1:4" x14ac:dyDescent="0.25">
      <c r="A27" s="156" t="s">
        <v>274</v>
      </c>
      <c r="B27" s="22">
        <v>3.31</v>
      </c>
      <c r="C27" s="22">
        <v>3.28</v>
      </c>
      <c r="D27" s="22">
        <v>10.7584</v>
      </c>
    </row>
    <row r="28" spans="1:4" x14ac:dyDescent="0.25">
      <c r="A28" s="156" t="s">
        <v>1423</v>
      </c>
      <c r="B28" s="22">
        <v>3.24</v>
      </c>
      <c r="C28" s="22">
        <v>3.27</v>
      </c>
      <c r="D28" s="22">
        <v>10.6929</v>
      </c>
    </row>
    <row r="29" spans="1:4" x14ac:dyDescent="0.25">
      <c r="A29" s="156" t="s">
        <v>299</v>
      </c>
      <c r="B29" s="22">
        <v>3.18</v>
      </c>
      <c r="C29" s="22">
        <v>2.69</v>
      </c>
      <c r="D29" s="22">
        <v>7.2361000000000004</v>
      </c>
    </row>
    <row r="30" spans="1:4" x14ac:dyDescent="0.25">
      <c r="A30" s="156" t="s">
        <v>4212</v>
      </c>
      <c r="B30" s="22">
        <v>3.15</v>
      </c>
      <c r="C30" s="22">
        <v>3.6999999999999997</v>
      </c>
      <c r="D30" s="22">
        <v>13.69</v>
      </c>
    </row>
    <row r="31" spans="1:4" x14ac:dyDescent="0.25">
      <c r="A31" s="156" t="s">
        <v>4208</v>
      </c>
      <c r="B31" s="22">
        <v>3.15</v>
      </c>
      <c r="C31" s="22">
        <v>2.46</v>
      </c>
      <c r="D31" s="22">
        <v>6.0515999999999996</v>
      </c>
    </row>
    <row r="32" spans="1:4" x14ac:dyDescent="0.25">
      <c r="A32" s="156" t="s">
        <v>1478</v>
      </c>
      <c r="B32" s="22">
        <v>3.02</v>
      </c>
      <c r="C32" s="22">
        <v>2.5500000000000003</v>
      </c>
      <c r="D32" s="22">
        <v>6.5025000000000004</v>
      </c>
    </row>
    <row r="33" spans="1:4" x14ac:dyDescent="0.25">
      <c r="A33" s="156" t="s">
        <v>214</v>
      </c>
      <c r="B33" s="22">
        <v>2.91</v>
      </c>
      <c r="C33" s="22">
        <v>3.11</v>
      </c>
      <c r="D33" s="22">
        <v>9.6721000000000004</v>
      </c>
    </row>
    <row r="34" spans="1:4" x14ac:dyDescent="0.25">
      <c r="A34" s="156" t="s">
        <v>325</v>
      </c>
      <c r="B34" s="22">
        <v>2.76</v>
      </c>
      <c r="C34" s="22">
        <v>2.77</v>
      </c>
      <c r="D34" s="22">
        <v>7.6729000000000003</v>
      </c>
    </row>
    <row r="35" spans="1:4" x14ac:dyDescent="0.25">
      <c r="A35" s="156" t="s">
        <v>277</v>
      </c>
      <c r="B35" s="22">
        <v>2.57</v>
      </c>
      <c r="C35" s="22">
        <v>2.21</v>
      </c>
      <c r="D35" s="22">
        <v>4.8841000000000001</v>
      </c>
    </row>
    <row r="36" spans="1:4" x14ac:dyDescent="0.25">
      <c r="A36" s="156" t="s">
        <v>315</v>
      </c>
      <c r="B36" s="22">
        <v>2.57</v>
      </c>
      <c r="C36" s="22">
        <v>2.65</v>
      </c>
      <c r="D36" s="22">
        <v>7.0225</v>
      </c>
    </row>
    <row r="37" spans="1:4" x14ac:dyDescent="0.25">
      <c r="A37" s="156" t="s">
        <v>284</v>
      </c>
      <c r="B37" s="22">
        <v>2.48</v>
      </c>
      <c r="C37" s="22">
        <v>2.21</v>
      </c>
      <c r="D37" s="22">
        <v>4.8841000000000001</v>
      </c>
    </row>
    <row r="38" spans="1:4" x14ac:dyDescent="0.25">
      <c r="A38" s="156" t="s">
        <v>2667</v>
      </c>
      <c r="B38" s="22">
        <v>2.44</v>
      </c>
      <c r="C38" s="22">
        <v>2.7</v>
      </c>
      <c r="D38" s="22">
        <v>7.29</v>
      </c>
    </row>
    <row r="39" spans="1:4" x14ac:dyDescent="0.25">
      <c r="A39" s="156" t="s">
        <v>213</v>
      </c>
      <c r="B39" s="22">
        <v>2.42</v>
      </c>
      <c r="C39" s="22">
        <v>2.14</v>
      </c>
      <c r="D39" s="22">
        <v>4.5796000000000001</v>
      </c>
    </row>
    <row r="40" spans="1:4" x14ac:dyDescent="0.25">
      <c r="A40" s="156" t="s">
        <v>267</v>
      </c>
      <c r="B40" s="22">
        <v>2.41</v>
      </c>
      <c r="C40" s="22">
        <v>1.96</v>
      </c>
      <c r="D40" s="22">
        <v>3.8416000000000001</v>
      </c>
    </row>
    <row r="41" spans="1:4" x14ac:dyDescent="0.25">
      <c r="A41" s="156" t="s">
        <v>362</v>
      </c>
      <c r="B41" s="22">
        <v>2.31</v>
      </c>
      <c r="C41" s="22">
        <v>2.36</v>
      </c>
      <c r="D41" s="22">
        <v>5.5696000000000003</v>
      </c>
    </row>
    <row r="42" spans="1:4" x14ac:dyDescent="0.25">
      <c r="A42" s="156" t="s">
        <v>265</v>
      </c>
      <c r="B42" s="22">
        <v>2.29</v>
      </c>
      <c r="C42" s="22">
        <v>1.97</v>
      </c>
      <c r="D42" s="22">
        <v>3.8809</v>
      </c>
    </row>
    <row r="43" spans="1:4" x14ac:dyDescent="0.25">
      <c r="A43" s="156" t="s">
        <v>1484</v>
      </c>
      <c r="B43" s="22">
        <v>2.09</v>
      </c>
      <c r="C43" s="22">
        <v>2.02</v>
      </c>
      <c r="D43" s="22">
        <v>4.0804</v>
      </c>
    </row>
    <row r="44" spans="1:4" x14ac:dyDescent="0.25">
      <c r="A44" s="156" t="s">
        <v>1469</v>
      </c>
      <c r="B44" s="22">
        <v>2.04</v>
      </c>
      <c r="C44" s="22">
        <v>1.8800000000000001</v>
      </c>
      <c r="D44" s="22">
        <v>3.5344000000000002</v>
      </c>
    </row>
    <row r="45" spans="1:4" x14ac:dyDescent="0.25">
      <c r="A45" s="156" t="s">
        <v>310</v>
      </c>
      <c r="B45" s="22">
        <v>1.86</v>
      </c>
      <c r="C45" s="22">
        <v>2.2599999999999998</v>
      </c>
      <c r="D45" s="22">
        <v>5.1075999999999997</v>
      </c>
    </row>
    <row r="46" spans="1:4" x14ac:dyDescent="0.25">
      <c r="A46" s="156" t="s">
        <v>244</v>
      </c>
      <c r="B46" s="22">
        <v>1.76</v>
      </c>
      <c r="C46" s="22">
        <v>2.2599999999999998</v>
      </c>
      <c r="D46" s="22">
        <v>5.1075999999999997</v>
      </c>
    </row>
    <row r="47" spans="1:4" x14ac:dyDescent="0.25">
      <c r="A47" s="156" t="s">
        <v>309</v>
      </c>
      <c r="B47" s="22">
        <v>1.73</v>
      </c>
      <c r="C47" s="22">
        <v>1.2</v>
      </c>
      <c r="D47" s="22">
        <v>1.44</v>
      </c>
    </row>
    <row r="48" spans="1:4" x14ac:dyDescent="0.25">
      <c r="A48" s="156" t="s">
        <v>286</v>
      </c>
      <c r="B48" s="22">
        <v>1.73</v>
      </c>
      <c r="C48" s="22">
        <v>1.91</v>
      </c>
      <c r="D48" s="22">
        <v>3.6480999999999999</v>
      </c>
    </row>
    <row r="49" spans="1:4" x14ac:dyDescent="0.25">
      <c r="A49" s="156" t="s">
        <v>4225</v>
      </c>
      <c r="B49" s="22">
        <v>1.73</v>
      </c>
      <c r="C49" s="22">
        <v>2.08</v>
      </c>
      <c r="D49" s="22">
        <v>4.3263999999999996</v>
      </c>
    </row>
    <row r="50" spans="1:4" x14ac:dyDescent="0.25">
      <c r="A50" s="156" t="s">
        <v>4224</v>
      </c>
      <c r="B50" s="22">
        <v>1.71</v>
      </c>
      <c r="C50" s="22">
        <v>1.84</v>
      </c>
      <c r="D50" s="22">
        <v>3.3856000000000002</v>
      </c>
    </row>
    <row r="51" spans="1:4" x14ac:dyDescent="0.25">
      <c r="A51" s="156" t="s">
        <v>288</v>
      </c>
      <c r="B51" s="22">
        <v>1.6</v>
      </c>
      <c r="C51" s="22">
        <v>1.32</v>
      </c>
      <c r="D51" s="22">
        <v>1.7423999999999999</v>
      </c>
    </row>
    <row r="52" spans="1:4" x14ac:dyDescent="0.25">
      <c r="A52" s="156" t="s">
        <v>287</v>
      </c>
      <c r="B52" s="22">
        <v>1.59</v>
      </c>
      <c r="C52" s="22">
        <v>2.2599999999999998</v>
      </c>
      <c r="D52" s="22">
        <v>5.1075999999999997</v>
      </c>
    </row>
    <row r="53" spans="1:4" x14ac:dyDescent="0.25">
      <c r="A53" s="156" t="s">
        <v>308</v>
      </c>
      <c r="B53" s="22">
        <v>1.58</v>
      </c>
      <c r="C53" s="22">
        <v>2.33</v>
      </c>
      <c r="D53" s="22">
        <v>5.4288999999999996</v>
      </c>
    </row>
    <row r="54" spans="1:4" x14ac:dyDescent="0.25">
      <c r="A54" s="156" t="s">
        <v>323</v>
      </c>
      <c r="B54" s="22">
        <v>1.55</v>
      </c>
      <c r="C54" s="22">
        <v>1.78</v>
      </c>
      <c r="D54" s="22">
        <v>3.1684000000000001</v>
      </c>
    </row>
    <row r="55" spans="1:4" x14ac:dyDescent="0.25">
      <c r="A55" s="156" t="s">
        <v>270</v>
      </c>
      <c r="B55" s="22">
        <v>1.42</v>
      </c>
      <c r="C55" s="22">
        <v>1.99</v>
      </c>
      <c r="D55" s="22">
        <v>3.9601000000000002</v>
      </c>
    </row>
    <row r="56" spans="1:4" x14ac:dyDescent="0.25">
      <c r="A56" s="156" t="s">
        <v>386</v>
      </c>
      <c r="B56" s="22">
        <v>1.38</v>
      </c>
      <c r="C56" s="22">
        <v>1.5899999999999999</v>
      </c>
      <c r="D56" s="22">
        <v>2.5280999999999998</v>
      </c>
    </row>
    <row r="57" spans="1:4" x14ac:dyDescent="0.25">
      <c r="A57" s="156" t="s">
        <v>387</v>
      </c>
      <c r="B57" s="22">
        <v>1.38</v>
      </c>
      <c r="C57" s="22">
        <v>1.58</v>
      </c>
      <c r="D57" s="22">
        <v>2.4964</v>
      </c>
    </row>
    <row r="58" spans="1:4" x14ac:dyDescent="0.25">
      <c r="A58" s="156" t="s">
        <v>312</v>
      </c>
      <c r="B58" s="22">
        <v>1.33</v>
      </c>
      <c r="C58" s="22">
        <v>0.98</v>
      </c>
      <c r="D58" s="22">
        <v>0.96040000000000003</v>
      </c>
    </row>
    <row r="59" spans="1:4" x14ac:dyDescent="0.25">
      <c r="A59" s="156" t="s">
        <v>318</v>
      </c>
      <c r="B59" s="22">
        <v>1.27</v>
      </c>
      <c r="C59" s="22">
        <v>1.25</v>
      </c>
      <c r="D59" s="22">
        <v>1.5625</v>
      </c>
    </row>
    <row r="60" spans="1:4" x14ac:dyDescent="0.25">
      <c r="A60" s="156" t="s">
        <v>358</v>
      </c>
      <c r="B60" s="22">
        <v>1.23</v>
      </c>
      <c r="C60" s="22">
        <v>1.2</v>
      </c>
      <c r="D60" s="22">
        <v>1.44</v>
      </c>
    </row>
    <row r="61" spans="1:4" x14ac:dyDescent="0.25">
      <c r="A61" s="156" t="s">
        <v>279</v>
      </c>
      <c r="B61" s="22">
        <v>1.2</v>
      </c>
      <c r="C61" s="22">
        <v>1.31</v>
      </c>
      <c r="D61" s="22">
        <v>1.7161</v>
      </c>
    </row>
    <row r="62" spans="1:4" x14ac:dyDescent="0.25">
      <c r="A62" s="156" t="s">
        <v>380</v>
      </c>
      <c r="B62" s="22">
        <v>1.18</v>
      </c>
      <c r="C62" s="22">
        <v>1.27</v>
      </c>
      <c r="D62" s="22">
        <v>1.6129</v>
      </c>
    </row>
    <row r="63" spans="1:4" x14ac:dyDescent="0.25">
      <c r="A63" s="156" t="s">
        <v>1526</v>
      </c>
      <c r="B63" s="22">
        <v>1.1399999999999999</v>
      </c>
      <c r="C63" s="22">
        <v>1.44</v>
      </c>
      <c r="D63" s="22">
        <v>2.0735999999999999</v>
      </c>
    </row>
    <row r="64" spans="1:4" x14ac:dyDescent="0.25">
      <c r="A64" s="156" t="s">
        <v>1586</v>
      </c>
      <c r="B64" s="22">
        <v>1.1200000000000001</v>
      </c>
      <c r="C64" s="22">
        <v>1.1599999999999999</v>
      </c>
      <c r="D64" s="22">
        <v>1.3455999999999999</v>
      </c>
    </row>
    <row r="65" spans="1:4" x14ac:dyDescent="0.25">
      <c r="A65" s="156" t="s">
        <v>1517</v>
      </c>
      <c r="B65" s="22">
        <v>1</v>
      </c>
      <c r="C65" s="22">
        <v>0.84</v>
      </c>
      <c r="D65" s="22">
        <v>0.7056</v>
      </c>
    </row>
    <row r="66" spans="1:4" x14ac:dyDescent="0.25">
      <c r="A66" s="156" t="s">
        <v>1548</v>
      </c>
      <c r="B66" s="22">
        <v>0.76</v>
      </c>
      <c r="C66" s="22">
        <v>0.54</v>
      </c>
      <c r="D66" s="22">
        <v>0.29160000000000003</v>
      </c>
    </row>
    <row r="67" spans="1:4" x14ac:dyDescent="0.25">
      <c r="A67" s="156" t="s">
        <v>254</v>
      </c>
      <c r="B67" s="22">
        <v>0.72</v>
      </c>
      <c r="C67" s="22">
        <v>0.9</v>
      </c>
      <c r="D67" s="22">
        <v>0.81</v>
      </c>
    </row>
    <row r="68" spans="1:4" x14ac:dyDescent="0.25">
      <c r="A68" s="156" t="s">
        <v>300</v>
      </c>
      <c r="B68" s="22">
        <v>0.71</v>
      </c>
      <c r="C68" s="22">
        <v>0.9</v>
      </c>
      <c r="D68" s="22">
        <v>0.81</v>
      </c>
    </row>
    <row r="69" spans="1:4" x14ac:dyDescent="0.25">
      <c r="A69" s="156" t="s">
        <v>4226</v>
      </c>
      <c r="B69" s="22">
        <v>0.62</v>
      </c>
      <c r="C69" s="22">
        <v>0.69000000000000006</v>
      </c>
      <c r="D69" s="22">
        <v>0.47610000000000002</v>
      </c>
    </row>
    <row r="70" spans="1:4" x14ac:dyDescent="0.25">
      <c r="A70" s="156" t="s">
        <v>1584</v>
      </c>
      <c r="B70" s="22">
        <v>0.6</v>
      </c>
      <c r="C70" s="22">
        <v>0.67</v>
      </c>
      <c r="D70" s="22">
        <v>0.44890000000000002</v>
      </c>
    </row>
    <row r="71" spans="1:4" x14ac:dyDescent="0.25">
      <c r="A71" s="156" t="s">
        <v>1145</v>
      </c>
      <c r="B71" s="22">
        <v>0.59</v>
      </c>
      <c r="C71" s="22">
        <v>0.67</v>
      </c>
      <c r="D71" s="22">
        <v>0.44890000000000002</v>
      </c>
    </row>
    <row r="72" spans="1:4" x14ac:dyDescent="0.25">
      <c r="A72" s="156" t="s">
        <v>1562</v>
      </c>
      <c r="B72" s="22">
        <v>0.59</v>
      </c>
      <c r="C72" s="22">
        <v>0.65</v>
      </c>
      <c r="D72" s="22">
        <v>0.42249999999999999</v>
      </c>
    </row>
    <row r="73" spans="1:4" x14ac:dyDescent="0.25">
      <c r="A73" s="156" t="s">
        <v>1559</v>
      </c>
      <c r="B73" s="22">
        <v>0.57999999999999996</v>
      </c>
      <c r="C73" s="22">
        <v>0.63</v>
      </c>
      <c r="D73" s="22">
        <v>0.39689999999999998</v>
      </c>
    </row>
    <row r="74" spans="1:4" x14ac:dyDescent="0.25">
      <c r="A74" s="156" t="s">
        <v>1129</v>
      </c>
      <c r="B74" s="22">
        <v>0.56999999999999995</v>
      </c>
      <c r="C74" s="22">
        <v>0.7</v>
      </c>
      <c r="D74" s="22">
        <v>0.49</v>
      </c>
    </row>
    <row r="75" spans="1:4" x14ac:dyDescent="0.25">
      <c r="A75" s="156" t="s">
        <v>1583</v>
      </c>
      <c r="B75" s="22">
        <v>0.56999999999999995</v>
      </c>
      <c r="C75" s="22">
        <v>0.53</v>
      </c>
      <c r="D75" s="22">
        <v>0.28089999999999998</v>
      </c>
    </row>
    <row r="76" spans="1:4" x14ac:dyDescent="0.25">
      <c r="A76" s="156" t="s">
        <v>1130</v>
      </c>
      <c r="B76" s="22">
        <v>0.56000000000000005</v>
      </c>
      <c r="C76" s="22">
        <v>0.59</v>
      </c>
      <c r="D76" s="22">
        <v>0.34810000000000002</v>
      </c>
    </row>
    <row r="77" spans="1:4" x14ac:dyDescent="0.25">
      <c r="A77" s="156" t="s">
        <v>4250</v>
      </c>
      <c r="B77" s="22">
        <v>0.54</v>
      </c>
      <c r="C77" s="22">
        <v>0.48</v>
      </c>
      <c r="D77" s="22">
        <v>0.23039999999999999</v>
      </c>
    </row>
    <row r="78" spans="1:4" x14ac:dyDescent="0.25">
      <c r="A78" s="156" t="s">
        <v>1542</v>
      </c>
      <c r="B78" s="22">
        <v>0.53</v>
      </c>
      <c r="C78" s="22">
        <v>0.45</v>
      </c>
      <c r="D78" s="22">
        <v>0.20250000000000001</v>
      </c>
    </row>
    <row r="79" spans="1:4" x14ac:dyDescent="0.25">
      <c r="A79" s="156" t="s">
        <v>1499</v>
      </c>
      <c r="B79" s="22">
        <v>0.53</v>
      </c>
      <c r="C79" s="22">
        <v>0.62</v>
      </c>
      <c r="D79" s="22">
        <v>0.38440000000000002</v>
      </c>
    </row>
    <row r="80" spans="1:4" x14ac:dyDescent="0.25">
      <c r="A80" s="156" t="s">
        <v>2968</v>
      </c>
      <c r="B80" s="22">
        <v>0.52</v>
      </c>
      <c r="C80" s="22">
        <v>0.52</v>
      </c>
      <c r="D80" s="22">
        <v>0.27039999999999997</v>
      </c>
    </row>
    <row r="81" spans="1:4" x14ac:dyDescent="0.25">
      <c r="A81" s="156" t="s">
        <v>1607</v>
      </c>
      <c r="B81" s="22">
        <v>0.52</v>
      </c>
      <c r="C81" s="22">
        <v>0.55999999999999994</v>
      </c>
      <c r="D81" s="22">
        <v>0.31359999999999999</v>
      </c>
    </row>
    <row r="82" spans="1:4" x14ac:dyDescent="0.25">
      <c r="A82" s="156" t="s">
        <v>348</v>
      </c>
      <c r="B82" s="22">
        <v>0.49</v>
      </c>
      <c r="C82" s="22">
        <v>0.55000000000000004</v>
      </c>
      <c r="D82" s="22">
        <v>0.30249999999999999</v>
      </c>
    </row>
    <row r="83" spans="1:4" x14ac:dyDescent="0.25">
      <c r="A83" s="156" t="s">
        <v>1614</v>
      </c>
      <c r="B83" s="22">
        <v>0.48</v>
      </c>
      <c r="C83" s="22">
        <v>0.49</v>
      </c>
      <c r="D83" s="22">
        <v>0.24010000000000001</v>
      </c>
    </row>
    <row r="84" spans="1:4" x14ac:dyDescent="0.25">
      <c r="A84" s="156" t="s">
        <v>1624</v>
      </c>
      <c r="B84" s="22">
        <v>0.4</v>
      </c>
      <c r="C84" s="22">
        <v>0.55000000000000004</v>
      </c>
      <c r="D84" s="22">
        <v>0.30249999999999999</v>
      </c>
    </row>
    <row r="85" spans="1:4" x14ac:dyDescent="0.25">
      <c r="A85" s="156" t="s">
        <v>4251</v>
      </c>
      <c r="B85" s="22">
        <v>0.39</v>
      </c>
      <c r="C85" s="22">
        <v>0.41</v>
      </c>
      <c r="D85" s="22">
        <v>0.1681</v>
      </c>
    </row>
    <row r="86" spans="1:4" x14ac:dyDescent="0.25">
      <c r="A86" s="156" t="s">
        <v>330</v>
      </c>
      <c r="B86" s="22">
        <v>0.39</v>
      </c>
      <c r="C86" s="22">
        <v>0.5</v>
      </c>
      <c r="D86" s="22">
        <v>0.25</v>
      </c>
    </row>
    <row r="87" spans="1:4" x14ac:dyDescent="0.25">
      <c r="A87" s="156" t="s">
        <v>301</v>
      </c>
      <c r="B87" s="22">
        <v>0.33</v>
      </c>
      <c r="C87" s="22">
        <v>0.46</v>
      </c>
      <c r="D87" s="22">
        <v>0.21160000000000001</v>
      </c>
    </row>
    <row r="88" spans="1:4" x14ac:dyDescent="0.25">
      <c r="A88" s="156" t="s">
        <v>372</v>
      </c>
      <c r="B88" s="22">
        <v>0.26</v>
      </c>
      <c r="C88" s="22">
        <v>0.37</v>
      </c>
      <c r="D88" s="22">
        <v>0.13689999999999999</v>
      </c>
    </row>
    <row r="89" spans="1:4" x14ac:dyDescent="0.25">
      <c r="A89" s="156" t="s">
        <v>1625</v>
      </c>
      <c r="B89" s="22">
        <v>0.26</v>
      </c>
      <c r="C89" s="22">
        <v>0.37</v>
      </c>
      <c r="D89" s="22">
        <v>0.13689999999999999</v>
      </c>
    </row>
    <row r="90" spans="1:4" x14ac:dyDescent="0.25">
      <c r="A90" s="156" t="s">
        <v>389</v>
      </c>
      <c r="B90" s="22">
        <v>0.17</v>
      </c>
      <c r="C90" s="22">
        <v>0.19</v>
      </c>
      <c r="D90" s="22">
        <v>3.61E-2</v>
      </c>
    </row>
    <row r="91" spans="1:4" x14ac:dyDescent="0.25">
      <c r="A91" s="156" t="s">
        <v>1125</v>
      </c>
      <c r="B91" s="22">
        <v>0.01</v>
      </c>
      <c r="C91" s="22">
        <v>0.02</v>
      </c>
      <c r="D91" s="22">
        <v>4.0000000000000002E-4</v>
      </c>
    </row>
    <row r="92" spans="1:4" x14ac:dyDescent="0.25">
      <c r="A92" s="156" t="s">
        <v>1576</v>
      </c>
      <c r="B92" s="22">
        <v>0</v>
      </c>
      <c r="C92" s="22">
        <v>0</v>
      </c>
      <c r="D92" s="22">
        <v>0</v>
      </c>
    </row>
    <row r="93" spans="1:4" x14ac:dyDescent="0.25">
      <c r="A93" s="156" t="s">
        <v>1621</v>
      </c>
      <c r="B93" s="22">
        <v>0</v>
      </c>
      <c r="C93" s="22">
        <v>0</v>
      </c>
      <c r="D93" s="22">
        <v>0</v>
      </c>
    </row>
    <row r="94" spans="1:4" x14ac:dyDescent="0.25">
      <c r="A94" s="156" t="s">
        <v>295</v>
      </c>
      <c r="B94" s="22">
        <v>0</v>
      </c>
      <c r="C94" s="22">
        <v>0</v>
      </c>
      <c r="D94" s="22">
        <v>0</v>
      </c>
    </row>
    <row r="95" spans="1:4" x14ac:dyDescent="0.25">
      <c r="A95" s="156" t="s">
        <v>1106</v>
      </c>
      <c r="B95" s="22">
        <v>0</v>
      </c>
      <c r="C95" s="22">
        <v>0</v>
      </c>
      <c r="D95" s="22">
        <v>0</v>
      </c>
    </row>
    <row r="96" spans="1:4" x14ac:dyDescent="0.25">
      <c r="A96" s="156" t="s">
        <v>1597</v>
      </c>
      <c r="B96" s="22">
        <v>0</v>
      </c>
      <c r="C96" s="22">
        <v>0</v>
      </c>
      <c r="D96" s="22">
        <v>0</v>
      </c>
    </row>
    <row r="97" spans="1:4" x14ac:dyDescent="0.25">
      <c r="A97" s="156" t="s">
        <v>307</v>
      </c>
      <c r="B97" s="22">
        <v>0</v>
      </c>
      <c r="C97" s="22">
        <v>0</v>
      </c>
      <c r="D97" s="22">
        <v>0</v>
      </c>
    </row>
    <row r="98" spans="1:4" x14ac:dyDescent="0.25">
      <c r="A98" s="156" t="s">
        <v>1488</v>
      </c>
      <c r="B98" s="22">
        <v>0</v>
      </c>
      <c r="C98" s="22">
        <v>0</v>
      </c>
      <c r="D98" s="22">
        <v>0</v>
      </c>
    </row>
    <row r="99" spans="1:4" x14ac:dyDescent="0.25">
      <c r="A99" s="156" t="s">
        <v>141</v>
      </c>
      <c r="B99" s="22">
        <v>0</v>
      </c>
      <c r="C99" s="22">
        <v>0</v>
      </c>
      <c r="D99" s="22">
        <v>0</v>
      </c>
    </row>
    <row r="100" spans="1:4" x14ac:dyDescent="0.25">
      <c r="A100" s="156" t="s">
        <v>231</v>
      </c>
      <c r="B100" s="22">
        <v>0</v>
      </c>
      <c r="C100" s="22">
        <v>0</v>
      </c>
      <c r="D100" s="22">
        <v>0</v>
      </c>
    </row>
    <row r="101" spans="1:4" x14ac:dyDescent="0.25">
      <c r="A101" s="156" t="s">
        <v>297</v>
      </c>
      <c r="B101" s="22">
        <v>0</v>
      </c>
      <c r="C101" s="22">
        <v>0</v>
      </c>
      <c r="D101" s="22">
        <v>0</v>
      </c>
    </row>
    <row r="102" spans="1:4" x14ac:dyDescent="0.25">
      <c r="A102" s="156" t="s">
        <v>1449</v>
      </c>
      <c r="B102" s="22">
        <v>0</v>
      </c>
      <c r="C102" s="22">
        <v>0</v>
      </c>
      <c r="D102" s="22">
        <v>0</v>
      </c>
    </row>
    <row r="103" spans="1:4" x14ac:dyDescent="0.25">
      <c r="A103" s="156" t="s">
        <v>717</v>
      </c>
      <c r="B103" s="22">
        <v>2.2018556701030927</v>
      </c>
      <c r="C103" s="22">
        <v>26.480528695628415</v>
      </c>
      <c r="D103" s="22">
        <v>701.21839999999997</v>
      </c>
    </row>
  </sheetData>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55"/>
  <sheetViews>
    <sheetView topLeftCell="A73" workbookViewId="0">
      <selection activeCell="F73" sqref="F73"/>
    </sheetView>
  </sheetViews>
  <sheetFormatPr defaultRowHeight="15" x14ac:dyDescent="0.25"/>
  <cols>
    <col min="1" max="1" width="9.28515625" bestFit="1" customWidth="1"/>
    <col min="2" max="2" width="24.28515625" bestFit="1" customWidth="1"/>
    <col min="3" max="3" width="12.7109375" bestFit="1" customWidth="1"/>
    <col min="4" max="4" width="15" bestFit="1" customWidth="1"/>
    <col min="5" max="5" width="9.85546875" bestFit="1" customWidth="1"/>
    <col min="6" max="6" width="8.28515625" bestFit="1" customWidth="1"/>
    <col min="7" max="7" width="6.42578125" bestFit="1" customWidth="1"/>
    <col min="8" max="8" width="12.28515625" bestFit="1" customWidth="1"/>
    <col min="9" max="9" width="12.5703125" bestFit="1" customWidth="1"/>
    <col min="10" max="10" width="11" bestFit="1" customWidth="1"/>
    <col min="11" max="11" width="10.140625" bestFit="1" customWidth="1"/>
    <col min="12" max="12" width="12.28515625" bestFit="1" customWidth="1"/>
    <col min="13" max="13" width="2" bestFit="1" customWidth="1"/>
    <col min="14" max="15" width="3" bestFit="1" customWidth="1"/>
    <col min="16" max="16" width="6.140625" bestFit="1" customWidth="1"/>
    <col min="17" max="17" width="40" bestFit="1" customWidth="1"/>
    <col min="20" max="20" width="39.140625" bestFit="1" customWidth="1"/>
  </cols>
  <sheetData>
    <row r="1" spans="1:20" x14ac:dyDescent="0.25">
      <c r="A1" t="s">
        <v>10</v>
      </c>
      <c r="B1" t="s">
        <v>0</v>
      </c>
      <c r="C1" t="s">
        <v>718</v>
      </c>
      <c r="D1" t="s">
        <v>721</v>
      </c>
      <c r="E1" t="s">
        <v>719</v>
      </c>
      <c r="F1" t="s">
        <v>773</v>
      </c>
      <c r="G1" t="s">
        <v>837</v>
      </c>
      <c r="H1" t="s">
        <v>838</v>
      </c>
      <c r="I1" t="s">
        <v>3538</v>
      </c>
      <c r="J1" t="s">
        <v>3539</v>
      </c>
      <c r="K1" t="s">
        <v>3540</v>
      </c>
      <c r="L1" t="s">
        <v>3541</v>
      </c>
      <c r="M1">
        <v>0</v>
      </c>
      <c r="N1">
        <f>MAX($M$1:$M$163)</f>
        <v>7</v>
      </c>
      <c r="O1">
        <f>MAX($M$1:$N$163)</f>
        <v>12</v>
      </c>
      <c r="P1" t="s">
        <v>3542</v>
      </c>
      <c r="Q1" t="s">
        <v>3543</v>
      </c>
      <c r="S1" t="s">
        <v>1136</v>
      </c>
      <c r="T1" t="s">
        <v>3544</v>
      </c>
    </row>
    <row r="2" spans="1:20" x14ac:dyDescent="0.25">
      <c r="A2" t="s">
        <v>20</v>
      </c>
      <c r="B2" t="s">
        <v>21</v>
      </c>
      <c r="C2" t="str">
        <f>IF(E2="",A2,E2)</f>
        <v>scott</v>
      </c>
      <c r="D2">
        <f>COUNTIF('F Proj'!$B$2:$B$7669,B2)+COUNTIF('D Proj'!$B$2:$B$513,B2)+COUNTIF('K Proj'!$B$2:$B$508,B2)</f>
        <v>16</v>
      </c>
      <c r="E2" t="str">
        <f>IF(ISERROR(MATCH(ROW(A1),Trades!$A$10:$A$43,0)),"",IF(INDEX(Trades!$E$10:$E$43,MATCH(ROW(A1),Trades!$A$10:$A$43,0)),IF(A2=Trades!$A$27,Trades!$B$7,Trades!$A$27),""))</f>
        <v/>
      </c>
      <c r="F2" t="str">
        <f>IF(D2=0,NA(),IFERROR(INDEX('F Proj'!$F$2:$F$7669,MATCH(B2,'F Proj'!$B$2:$B$7669,0)),"O"))</f>
        <v>QB</v>
      </c>
      <c r="G2" t="str">
        <f>IF(OR(F2="QB",F2="TE",F2="O"),"Non","Flex")</f>
        <v>Non</v>
      </c>
      <c r="H2" t="str">
        <f>C2&amp;G2&amp;COUNTIFS(C$1:C2,C2,G$1:G2,G2)</f>
        <v>scottNon1</v>
      </c>
      <c r="I2" t="e">
        <f>MATCH(0,INDEX('ROS Proj'!$C$2:$S$561,MATCH($B2,'ROS Proj'!$A$2:$A$561,0),Week+Half_Week):INDEX('ROS Proj'!$C$2:$S$561,MATCH($B2,'ROS Proj'!$A$2:$A$561,0),17),1)+Week+Half_Week</f>
        <v>#N/A</v>
      </c>
      <c r="J2" s="2">
        <f>INDEX('ROS Proj'!$T$2:$T$561,MATCH($B2,'ROS Proj'!$A$2:$A$561,0))</f>
        <v>21.368571428571425</v>
      </c>
      <c r="K2" s="2">
        <f>INDEX('ROS Proj'!$C$2:$S$561,MATCH($B2,'ROS Proj'!$A$2:$A$561,0),Week+Half_Week)</f>
        <v>21.26</v>
      </c>
      <c r="L2" s="3">
        <f>IF(F2="O","",K2/J2-1)</f>
        <v>-5.0808931675355717E-3</v>
      </c>
      <c r="M2">
        <f>IFERROR(IF(AND(L2&lt;&gt;"",OR(L2&gt;0.9,L2&lt;-0.4),ISNA(I2)),M1+1,M1),M1)</f>
        <v>0</v>
      </c>
      <c r="N2">
        <f>IF(ISNA(I2),N1,N1+1)</f>
        <v>7</v>
      </c>
      <c r="O2">
        <f>IF(ISNA(L2),O1+1,O1)</f>
        <v>12</v>
      </c>
      <c r="P2" t="str">
        <f>IF(M2&gt;M1,M2,IF(N2&gt;N1,N2,IF(O2&gt;O1,O2,"")))</f>
        <v/>
      </c>
      <c r="Q2" t="str">
        <f>RIGHT(B2,LEN(B2)-SEARCH(" ",B2))&amp;" ("&amp;C2&amp;") "&amp;IF(M2&gt;M1,IF(L2&gt;0,"adjusted up this week","adjusted down this week"),IF(N2&gt;N1,"returns Week "&amp;I2,IF(O2&gt;O1,"has no NF projection","")))</f>
        <v xml:space="preserve">Brees (scott) </v>
      </c>
      <c r="S2">
        <v>1</v>
      </c>
      <c r="T2" t="str">
        <f>IFERROR(INDEX($Q$2:$Q$155,MATCH(S2,$P$2:$P$162,0)),"")</f>
        <v>Watkins (scott) adjusted down this week</v>
      </c>
    </row>
    <row r="3" spans="1:20" x14ac:dyDescent="0.25">
      <c r="A3" t="s">
        <v>20</v>
      </c>
      <c r="B3" t="s">
        <v>115</v>
      </c>
      <c r="C3" t="str">
        <f t="shared" ref="C3:C66" si="0">IF(E3="",A3,E3)</f>
        <v>scott</v>
      </c>
      <c r="D3">
        <f>COUNTIF('F Proj'!$B$2:$B$7669,B3)+COUNTIF('D Proj'!$B$2:$B$513,B3)+COUNTIF('K Proj'!$B$2:$B$508,B3)</f>
        <v>16</v>
      </c>
      <c r="E3" t="str">
        <f>IF(ISERROR(MATCH(ROW(A2),Trades!$A$10:$A$43,0)),"",IF(INDEX(Trades!$E$10:$E$43,MATCH(ROW(A2),Trades!$A$10:$A$43,0)),IF(A3=Trades!$A$27,Trades!$B$7,Trades!$A$27),""))</f>
        <v/>
      </c>
      <c r="F3" t="str">
        <f>IF(D3=0,NA(),IFERROR(INDEX('F Proj'!$F$2:$F$7669,MATCH(B3,'F Proj'!$B$2:$B$7669,0)),"O"))</f>
        <v>RB</v>
      </c>
      <c r="G3" t="str">
        <f t="shared" ref="G3:G66" si="1">IF(OR(F3="QB",F3="TE",F3="O"),"Non","Flex")</f>
        <v>Flex</v>
      </c>
      <c r="H3" t="str">
        <f>C3&amp;G3&amp;COUNTIFS(C$1:C3,C3,G$1:G3,G3)</f>
        <v>scottFlex1</v>
      </c>
      <c r="I3" t="e">
        <f>MATCH(0,INDEX('ROS Proj'!$C$2:$S$561,MATCH($B3,'ROS Proj'!$A$2:$A$561,0),Week+Half_Week):INDEX('ROS Proj'!$C$2:$S$561,MATCH($B3,'ROS Proj'!$A$2:$A$561,0),17),1)+Week+Half_Week</f>
        <v>#N/A</v>
      </c>
      <c r="J3" s="2">
        <f>INDEX('ROS Proj'!$T$2:$T$561,MATCH($B3,'ROS Proj'!$A$2:$A$561,0))</f>
        <v>16.23142857142857</v>
      </c>
      <c r="K3" s="2">
        <f>INDEX('ROS Proj'!$C$2:$S$561,MATCH($B3,'ROS Proj'!$A$2:$A$561,0),Week+Half_Week)</f>
        <v>15.45</v>
      </c>
      <c r="L3" s="3">
        <f t="shared" ref="L3:L66" si="2">IF(F3="O","",K3/J3-1)</f>
        <v>-4.8142932582291742E-2</v>
      </c>
      <c r="M3">
        <f t="shared" ref="M3:M66" si="3">IFERROR(IF(AND(L3&lt;&gt;"",OR(L3&gt;0.9,L3&lt;-0.4),ISNA(I3)),M2+1,M2),M2)</f>
        <v>0</v>
      </c>
      <c r="N3">
        <f t="shared" ref="N3:N66" si="4">IF(ISNA(I3),N2,N2+1)</f>
        <v>7</v>
      </c>
      <c r="O3">
        <f t="shared" ref="O3:O66" si="5">IF(ISNA(L3),O2+1,O2)</f>
        <v>12</v>
      </c>
      <c r="P3" t="str">
        <f t="shared" ref="P3:P66" si="6">IF(M3&gt;M2,M3,IF(N3&gt;N2,N3,IF(O3&gt;O2,O3,"")))</f>
        <v/>
      </c>
      <c r="Q3" t="str">
        <f t="shared" ref="Q3:Q66" si="7">RIGHT(B3,LEN(B3)-SEARCH(" ",B3))&amp;" ("&amp;C3&amp;") "&amp;IF(M3&gt;M2,IF(L3&gt;0,"adjusted up this week","adjusted down this week"),IF(N3&gt;N2,"returns Week "&amp;I3,IF(O3&gt;O2,"has no NF projection","")))</f>
        <v xml:space="preserve">Hunt (scott) </v>
      </c>
      <c r="S3">
        <f>S2+1</f>
        <v>2</v>
      </c>
      <c r="T3" t="str">
        <f>IFERROR(INDEX($Q$2:$Q$155,MATCH(S3,$P$2:$P$162,0)),"")</f>
        <v>Valdes-Scantling (aj) adjusted up this week</v>
      </c>
    </row>
    <row r="4" spans="1:20" x14ac:dyDescent="0.25">
      <c r="A4" t="s">
        <v>20</v>
      </c>
      <c r="B4" t="s">
        <v>257</v>
      </c>
      <c r="C4" t="str">
        <f t="shared" si="0"/>
        <v>scott</v>
      </c>
      <c r="D4">
        <f>COUNTIF('F Proj'!$B$2:$B$7669,B4)+COUNTIF('D Proj'!$B$2:$B$513,B4)+COUNTIF('K Proj'!$B$2:$B$508,B4)</f>
        <v>16</v>
      </c>
      <c r="E4" t="str">
        <f>IF(ISERROR(MATCH(ROW(A3),Trades!$A$10:$A$43,0)),"",IF(INDEX(Trades!$E$10:$E$43,MATCH(ROW(A3),Trades!$A$10:$A$43,0)),IF(A4=Trades!$A$27,Trades!$B$7,Trades!$A$27),""))</f>
        <v/>
      </c>
      <c r="F4" t="str">
        <f>IF(D4=0,NA(),IFERROR(INDEX('F Proj'!$F$2:$F$7669,MATCH(B4,'F Proj'!$B$2:$B$7669,0)),"O"))</f>
        <v>RB</v>
      </c>
      <c r="G4" t="str">
        <f t="shared" si="1"/>
        <v>Flex</v>
      </c>
      <c r="H4" t="str">
        <f>C4&amp;G4&amp;COUNTIFS(C$1:C4,C4,G$1:G4,G4)</f>
        <v>scottFlex2</v>
      </c>
      <c r="I4" t="e">
        <f>MATCH(0,INDEX('ROS Proj'!$C$2:$S$561,MATCH($B4,'ROS Proj'!$A$2:$A$561,0),Week+Half_Week):INDEX('ROS Proj'!$C$2:$S$561,MATCH($B4,'ROS Proj'!$A$2:$A$561,0),17),1)+Week+Half_Week</f>
        <v>#N/A</v>
      </c>
      <c r="J4" s="2">
        <f>INDEX('ROS Proj'!$T$2:$T$561,MATCH($B4,'ROS Proj'!$A$2:$A$561,0))</f>
        <v>16.419999999999998</v>
      </c>
      <c r="K4" s="2">
        <f>INDEX('ROS Proj'!$C$2:$S$561,MATCH($B4,'ROS Proj'!$A$2:$A$561,0),Week+Half_Week)</f>
        <v>17.45</v>
      </c>
      <c r="L4" s="3">
        <f t="shared" si="2"/>
        <v>6.2728380024360542E-2</v>
      </c>
      <c r="M4">
        <f t="shared" si="3"/>
        <v>0</v>
      </c>
      <c r="N4">
        <f t="shared" si="4"/>
        <v>7</v>
      </c>
      <c r="O4">
        <f t="shared" si="5"/>
        <v>12</v>
      </c>
      <c r="P4" t="str">
        <f t="shared" si="6"/>
        <v/>
      </c>
      <c r="Q4" t="str">
        <f t="shared" si="7"/>
        <v xml:space="preserve">Kamara (scott) </v>
      </c>
      <c r="S4">
        <f t="shared" ref="S4:S26" si="8">S3+1</f>
        <v>3</v>
      </c>
      <c r="T4" t="str">
        <f>IFERROR(INDEX($Q$2:$Q$155,MATCH(S4,$P$2:$P$162,0)),"")</f>
        <v>Cook (aj) adjusted down this week</v>
      </c>
    </row>
    <row r="5" spans="1:20" x14ac:dyDescent="0.25">
      <c r="A5" t="s">
        <v>20</v>
      </c>
      <c r="B5" t="s">
        <v>132</v>
      </c>
      <c r="C5" t="str">
        <f t="shared" si="0"/>
        <v>scott</v>
      </c>
      <c r="D5">
        <f>COUNTIF('F Proj'!$B$2:$B$7669,B5)+COUNTIF('D Proj'!$B$2:$B$513,B5)+COUNTIF('K Proj'!$B$2:$B$508,B5)</f>
        <v>16</v>
      </c>
      <c r="E5" t="str">
        <f>IF(ISERROR(MATCH(ROW(A4),Trades!$A$10:$A$43,0)),"",IF(INDEX(Trades!$E$10:$E$43,MATCH(ROW(A4),Trades!$A$10:$A$43,0)),IF(A5=Trades!$A$27,Trades!$B$7,Trades!$A$27),""))</f>
        <v/>
      </c>
      <c r="F5" t="str">
        <f>IF(D5=0,NA(),IFERROR(INDEX('F Proj'!$F$2:$F$7669,MATCH(B5,'F Proj'!$B$2:$B$7669,0)),"O"))</f>
        <v>RB</v>
      </c>
      <c r="G5" t="str">
        <f t="shared" si="1"/>
        <v>Flex</v>
      </c>
      <c r="H5" t="str">
        <f>C5&amp;G5&amp;COUNTIFS(C$1:C5,C5,G$1:G5,G5)</f>
        <v>scottFlex3</v>
      </c>
      <c r="I5" t="e">
        <f>MATCH(0,INDEX('ROS Proj'!$C$2:$S$561,MATCH($B5,'ROS Proj'!$A$2:$A$561,0),Week+Half_Week):INDEX('ROS Proj'!$C$2:$S$561,MATCH($B5,'ROS Proj'!$A$2:$A$561,0),17),1)+Week+Half_Week</f>
        <v>#N/A</v>
      </c>
      <c r="J5" s="2">
        <f>INDEX('ROS Proj'!$T$2:$T$561,MATCH($B5,'ROS Proj'!$A$2:$A$561,0))</f>
        <v>10.827142857142857</v>
      </c>
      <c r="K5" s="2">
        <f>INDEX('ROS Proj'!$C$2:$S$561,MATCH($B5,'ROS Proj'!$A$2:$A$561,0),Week+Half_Week)</f>
        <v>10.88</v>
      </c>
      <c r="L5" s="3">
        <f t="shared" si="2"/>
        <v>4.8819105422879261E-3</v>
      </c>
      <c r="M5">
        <f t="shared" si="3"/>
        <v>0</v>
      </c>
      <c r="N5">
        <f t="shared" si="4"/>
        <v>7</v>
      </c>
      <c r="O5">
        <f t="shared" si="5"/>
        <v>12</v>
      </c>
      <c r="P5" t="str">
        <f t="shared" si="6"/>
        <v/>
      </c>
      <c r="Q5" t="str">
        <f t="shared" si="7"/>
        <v xml:space="preserve">Lynch (scott) </v>
      </c>
      <c r="S5">
        <f t="shared" si="8"/>
        <v>4</v>
      </c>
      <c r="T5" t="str">
        <f>IFERROR(INDEX($Q$2:$Q$155,MATCH(S5,$P$2:$P$162,0)),"")</f>
        <v>Adams (perry) adjusted down this week</v>
      </c>
    </row>
    <row r="6" spans="1:20" x14ac:dyDescent="0.25">
      <c r="A6" t="s">
        <v>20</v>
      </c>
      <c r="B6" t="s">
        <v>1105</v>
      </c>
      <c r="C6" t="str">
        <f t="shared" si="0"/>
        <v>scott</v>
      </c>
      <c r="D6">
        <f>COUNTIF('F Proj'!$B$2:$B$7669,B6)+COUNTIF('D Proj'!$B$2:$B$513,B6)+COUNTIF('K Proj'!$B$2:$B$508,B6)</f>
        <v>16</v>
      </c>
      <c r="E6" t="str">
        <f>IF(ISERROR(MATCH(ROW(A5),Trades!$A$10:$A$43,0)),"",IF(INDEX(Trades!$E$10:$E$43,MATCH(ROW(A5),Trades!$A$10:$A$43,0)),IF(A6=Trades!$A$27,Trades!$B$7,Trades!$A$27),""))</f>
        <v/>
      </c>
      <c r="F6" t="str">
        <f>IF(D6=0,NA(),IFERROR(INDEX('F Proj'!$F$2:$F$7669,MATCH(B6,'F Proj'!$B$2:$B$7669,0)),"O"))</f>
        <v>WR</v>
      </c>
      <c r="G6" t="str">
        <f t="shared" si="1"/>
        <v>Flex</v>
      </c>
      <c r="H6" t="str">
        <f>C6&amp;G6&amp;COUNTIFS(C$1:C6,C6,G$1:G6,G6)</f>
        <v>scottFlex4</v>
      </c>
      <c r="I6" t="e">
        <f>MATCH(0,INDEX('ROS Proj'!$C$2:$S$561,MATCH($B6,'ROS Proj'!$A$2:$A$561,0),Week+Half_Week):INDEX('ROS Proj'!$C$2:$S$561,MATCH($B6,'ROS Proj'!$A$2:$A$561,0),17),1)+Week+Half_Week</f>
        <v>#N/A</v>
      </c>
      <c r="J6" s="2">
        <f>INDEX('ROS Proj'!$T$2:$T$561,MATCH($B6,'ROS Proj'!$A$2:$A$561,0))</f>
        <v>11.812857142857144</v>
      </c>
      <c r="K6" s="2">
        <f>INDEX('ROS Proj'!$C$2:$S$561,MATCH($B6,'ROS Proj'!$A$2:$A$561,0),Week+Half_Week)</f>
        <v>11.35</v>
      </c>
      <c r="L6" s="3">
        <f t="shared" si="2"/>
        <v>-3.9182488813641392E-2</v>
      </c>
      <c r="M6">
        <f t="shared" si="3"/>
        <v>0</v>
      </c>
      <c r="N6">
        <f t="shared" si="4"/>
        <v>7</v>
      </c>
      <c r="O6">
        <f t="shared" si="5"/>
        <v>12</v>
      </c>
      <c r="P6" t="str">
        <f t="shared" si="6"/>
        <v/>
      </c>
      <c r="Q6" t="str">
        <f t="shared" si="7"/>
        <v xml:space="preserve">Smith-Schuster (scott) </v>
      </c>
      <c r="S6">
        <f t="shared" si="8"/>
        <v>5</v>
      </c>
      <c r="T6" t="str">
        <f>IFERROR(INDEX($Q$2:$Q$155,MATCH(S6,$P$2:$P$162,0)),"")</f>
        <v>Allison (matty) adjusted down this week</v>
      </c>
    </row>
    <row r="7" spans="1:20" x14ac:dyDescent="0.25">
      <c r="A7" t="s">
        <v>20</v>
      </c>
      <c r="B7" t="s">
        <v>195</v>
      </c>
      <c r="C7" t="str">
        <f t="shared" si="0"/>
        <v>scott</v>
      </c>
      <c r="D7">
        <f>COUNTIF('F Proj'!$B$2:$B$7669,B7)+COUNTIF('D Proj'!$B$2:$B$513,B7)+COUNTIF('K Proj'!$B$2:$B$508,B7)</f>
        <v>16</v>
      </c>
      <c r="E7" t="str">
        <f>IF(ISERROR(MATCH(ROW(A6),Trades!$A$10:$A$43,0)),"",IF(INDEX(Trades!$E$10:$E$43,MATCH(ROW(A6),Trades!$A$10:$A$43,0)),IF(A7=Trades!$A$27,Trades!$B$7,Trades!$A$27),""))</f>
        <v/>
      </c>
      <c r="F7" t="str">
        <f>IF(D7=0,NA(),IFERROR(INDEX('F Proj'!$F$2:$F$7669,MATCH(B7,'F Proj'!$B$2:$B$7669,0)),"O"))</f>
        <v>WR</v>
      </c>
      <c r="G7" t="str">
        <f t="shared" si="1"/>
        <v>Flex</v>
      </c>
      <c r="H7" t="str">
        <f>C7&amp;G7&amp;COUNTIFS(C$1:C7,C7,G$1:G7,G7)</f>
        <v>scottFlex5</v>
      </c>
      <c r="I7" t="e">
        <f>MATCH(0,INDEX('ROS Proj'!$C$2:$S$561,MATCH($B7,'ROS Proj'!$A$2:$A$561,0),Week+Half_Week):INDEX('ROS Proj'!$C$2:$S$561,MATCH($B7,'ROS Proj'!$A$2:$A$561,0),17),1)+Week+Half_Week</f>
        <v>#N/A</v>
      </c>
      <c r="J7" s="2">
        <f>INDEX('ROS Proj'!$T$2:$T$561,MATCH($B7,'ROS Proj'!$A$2:$A$561,0))</f>
        <v>7.8157142857142849</v>
      </c>
      <c r="K7" s="2">
        <f>INDEX('ROS Proj'!$C$2:$S$561,MATCH($B7,'ROS Proj'!$A$2:$A$561,0),Week+Half_Week)</f>
        <v>8.16</v>
      </c>
      <c r="L7" s="3">
        <f t="shared" si="2"/>
        <v>4.4050447815755955E-2</v>
      </c>
      <c r="M7">
        <f t="shared" si="3"/>
        <v>0</v>
      </c>
      <c r="N7">
        <f t="shared" si="4"/>
        <v>7</v>
      </c>
      <c r="O7">
        <f t="shared" si="5"/>
        <v>12</v>
      </c>
      <c r="P7" t="str">
        <f t="shared" si="6"/>
        <v/>
      </c>
      <c r="Q7" t="str">
        <f t="shared" si="7"/>
        <v xml:space="preserve">Golladay (scott) </v>
      </c>
      <c r="S7">
        <f t="shared" si="8"/>
        <v>6</v>
      </c>
      <c r="T7" t="str">
        <f>IFERROR(INDEX($Q$2:$Q$155,MATCH(S7,$P$2:$P$162,0)),"")</f>
        <v>Collins (seth) adjusted down this week</v>
      </c>
    </row>
    <row r="8" spans="1:20" x14ac:dyDescent="0.25">
      <c r="A8" t="s">
        <v>20</v>
      </c>
      <c r="B8" t="s">
        <v>185</v>
      </c>
      <c r="C8" t="str">
        <f t="shared" si="0"/>
        <v>scott</v>
      </c>
      <c r="D8">
        <f>COUNTIF('F Proj'!$B$2:$B$7669,B8)+COUNTIF('D Proj'!$B$2:$B$513,B8)+COUNTIF('K Proj'!$B$2:$B$508,B8)</f>
        <v>16</v>
      </c>
      <c r="E8" t="str">
        <f>IF(ISERROR(MATCH(ROW(A7),Trades!$A$10:$A$43,0)),"",IF(INDEX(Trades!$E$10:$E$43,MATCH(ROW(A7),Trades!$A$10:$A$43,0)),IF(A8=Trades!$A$27,Trades!$B$7,Trades!$A$27),""))</f>
        <v/>
      </c>
      <c r="F8" t="str">
        <f>IF(D8=0,NA(),IFERROR(INDEX('F Proj'!$F$2:$F$7669,MATCH(B8,'F Proj'!$B$2:$B$7669,0)),"O"))</f>
        <v>WR</v>
      </c>
      <c r="G8" t="str">
        <f t="shared" si="1"/>
        <v>Flex</v>
      </c>
      <c r="H8" t="str">
        <f>C8&amp;G8&amp;COUNTIFS(C$1:C8,C8,G$1:G8,G8)</f>
        <v>scottFlex6</v>
      </c>
      <c r="I8" t="e">
        <f>MATCH(0,INDEX('ROS Proj'!$C$2:$S$561,MATCH($B8,'ROS Proj'!$A$2:$A$561,0),Week+Half_Week):INDEX('ROS Proj'!$C$2:$S$561,MATCH($B8,'ROS Proj'!$A$2:$A$561,0),17),1)+Week+Half_Week</f>
        <v>#N/A</v>
      </c>
      <c r="J8" s="2">
        <f>INDEX('ROS Proj'!$T$2:$T$561,MATCH($B8,'ROS Proj'!$A$2:$A$561,0))</f>
        <v>8.031428571428572</v>
      </c>
      <c r="K8" s="2">
        <f>INDEX('ROS Proj'!$C$2:$S$561,MATCH($B8,'ROS Proj'!$A$2:$A$561,0),Week+Half_Week)</f>
        <v>8.4499999999999993</v>
      </c>
      <c r="L8" s="3">
        <f t="shared" si="2"/>
        <v>5.2116684453930917E-2</v>
      </c>
      <c r="M8">
        <f t="shared" si="3"/>
        <v>0</v>
      </c>
      <c r="N8">
        <f t="shared" si="4"/>
        <v>7</v>
      </c>
      <c r="O8">
        <f t="shared" si="5"/>
        <v>12</v>
      </c>
      <c r="P8" t="str">
        <f t="shared" si="6"/>
        <v/>
      </c>
      <c r="Q8" t="str">
        <f t="shared" si="7"/>
        <v xml:space="preserve">Brown (scott) </v>
      </c>
      <c r="S8">
        <f t="shared" si="8"/>
        <v>7</v>
      </c>
      <c r="T8" t="str">
        <f>IFERROR(INDEX($Q$2:$Q$155,MATCH(S8,$P$2:$P$162,0)),"")</f>
        <v>Cobb (seth) adjusted down this week</v>
      </c>
    </row>
    <row r="9" spans="1:20" x14ac:dyDescent="0.25">
      <c r="A9" t="s">
        <v>20</v>
      </c>
      <c r="B9" t="s">
        <v>264</v>
      </c>
      <c r="C9" t="str">
        <f t="shared" si="0"/>
        <v>scott</v>
      </c>
      <c r="D9">
        <f>COUNTIF('F Proj'!$B$2:$B$7669,B9)+COUNTIF('D Proj'!$B$2:$B$513,B9)+COUNTIF('K Proj'!$B$2:$B$508,B9)</f>
        <v>16</v>
      </c>
      <c r="E9" t="str">
        <f>IF(ISERROR(MATCH(ROW(A8),Trades!$A$10:$A$43,0)),"",IF(INDEX(Trades!$E$10:$E$43,MATCH(ROW(A8),Trades!$A$10:$A$43,0)),IF(A9=Trades!$A$27,Trades!$B$7,Trades!$A$27),""))</f>
        <v/>
      </c>
      <c r="F9" t="str">
        <f>IF(D9=0,NA(),IFERROR(INDEX('F Proj'!$F$2:$F$7669,MATCH(B9,'F Proj'!$B$2:$B$7669,0)),"O"))</f>
        <v>TE</v>
      </c>
      <c r="G9" t="str">
        <f t="shared" si="1"/>
        <v>Non</v>
      </c>
      <c r="H9" t="str">
        <f>C9&amp;G9&amp;COUNTIFS(C$1:C9,C9,G$1:G9,G9)</f>
        <v>scottNon2</v>
      </c>
      <c r="I9" t="e">
        <f>MATCH(0,INDEX('ROS Proj'!$C$2:$S$561,MATCH($B9,'ROS Proj'!$A$2:$A$561,0),Week+Half_Week):INDEX('ROS Proj'!$C$2:$S$561,MATCH($B9,'ROS Proj'!$A$2:$A$561,0),17),1)+Week+Half_Week</f>
        <v>#N/A</v>
      </c>
      <c r="J9" s="2">
        <f>INDEX('ROS Proj'!$T$2:$T$561,MATCH($B9,'ROS Proj'!$A$2:$A$561,0))</f>
        <v>5.8771428571428572</v>
      </c>
      <c r="K9" s="2">
        <f>INDEX('ROS Proj'!$C$2:$S$561,MATCH($B9,'ROS Proj'!$A$2:$A$561,0),Week+Half_Week)</f>
        <v>6.15</v>
      </c>
      <c r="L9" s="3">
        <f t="shared" si="2"/>
        <v>4.6426835196888616E-2</v>
      </c>
      <c r="M9">
        <f t="shared" si="3"/>
        <v>0</v>
      </c>
      <c r="N9">
        <f t="shared" si="4"/>
        <v>7</v>
      </c>
      <c r="O9">
        <f t="shared" si="5"/>
        <v>12</v>
      </c>
      <c r="P9" t="str">
        <f t="shared" si="6"/>
        <v/>
      </c>
      <c r="Q9" t="str">
        <f t="shared" si="7"/>
        <v xml:space="preserve">Kittle (scott) </v>
      </c>
      <c r="S9">
        <f t="shared" si="8"/>
        <v>8</v>
      </c>
      <c r="T9" t="str">
        <f>IFERROR(INDEX($Q$2:$Q$155,MATCH(S9,$P$2:$P$162,0)),"")</f>
        <v>Olsen (aj) returns Week 9</v>
      </c>
    </row>
    <row r="10" spans="1:20" x14ac:dyDescent="0.25">
      <c r="A10" t="s">
        <v>20</v>
      </c>
      <c r="B10" t="s">
        <v>420</v>
      </c>
      <c r="C10" t="str">
        <f t="shared" si="0"/>
        <v>scott</v>
      </c>
      <c r="D10">
        <f>COUNTIF('F Proj'!$B$2:$B$7669,B10)+COUNTIF('D Proj'!$B$2:$B$513,B10)+COUNTIF('K Proj'!$B$2:$B$508,B10)</f>
        <v>16</v>
      </c>
      <c r="E10" t="str">
        <f>IF(ISERROR(MATCH(ROW(A9),Trades!$A$10:$A$43,0)),"",IF(INDEX(Trades!$E$10:$E$43,MATCH(ROW(A9),Trades!$A$10:$A$43,0)),IF(A10=Trades!$A$27,Trades!$B$7,Trades!$A$27),""))</f>
        <v/>
      </c>
      <c r="F10" t="str">
        <f>IF(D10=0,NA(),IFERROR(INDEX('F Proj'!$F$2:$F$7669,MATCH(B10,'F Proj'!$B$2:$B$7669,0)),"O"))</f>
        <v>O</v>
      </c>
      <c r="G10" t="str">
        <f t="shared" si="1"/>
        <v>Non</v>
      </c>
      <c r="H10" t="str">
        <f>C10&amp;G10&amp;COUNTIFS(C$1:C10,C10,G$1:G10,G10)</f>
        <v>scottNon3</v>
      </c>
      <c r="I10" t="e">
        <f>MATCH(0,INDEX('ROS Proj'!$C$2:$S$561,MATCH($B10,'ROS Proj'!$A$2:$A$561,0),Week+Half_Week):INDEX('ROS Proj'!$C$2:$S$561,MATCH($B10,'ROS Proj'!$A$2:$A$561,0),17),1)+Week+Half_Week</f>
        <v>#N/A</v>
      </c>
      <c r="J10" s="2">
        <f>INDEX('ROS Proj'!$T$2:$T$561,MATCH($B10,'ROS Proj'!$A$2:$A$561,0))</f>
        <v>6.82</v>
      </c>
      <c r="K10" s="2">
        <f>INDEX('ROS Proj'!$C$2:$S$561,MATCH($B10,'ROS Proj'!$A$2:$A$561,0),Week+Half_Week)</f>
        <v>7.48</v>
      </c>
      <c r="L10" s="3" t="str">
        <f t="shared" si="2"/>
        <v/>
      </c>
      <c r="M10">
        <f t="shared" si="3"/>
        <v>0</v>
      </c>
      <c r="N10">
        <f t="shared" si="4"/>
        <v>7</v>
      </c>
      <c r="O10">
        <f t="shared" si="5"/>
        <v>12</v>
      </c>
      <c r="P10" t="str">
        <f t="shared" si="6"/>
        <v/>
      </c>
      <c r="Q10" t="str">
        <f t="shared" si="7"/>
        <v xml:space="preserve">D/ST (scott) </v>
      </c>
      <c r="S10">
        <f t="shared" si="8"/>
        <v>9</v>
      </c>
      <c r="T10" t="str">
        <f>IFERROR(INDEX($Q$2:$Q$155,MATCH(S10,$P$2:$P$162,0)),"")</f>
        <v>Engram (devon) returns Week 7</v>
      </c>
    </row>
    <row r="11" spans="1:20" x14ac:dyDescent="0.25">
      <c r="A11" t="s">
        <v>20</v>
      </c>
      <c r="B11" t="s">
        <v>1119</v>
      </c>
      <c r="C11" t="str">
        <f t="shared" si="0"/>
        <v>scott</v>
      </c>
      <c r="D11">
        <f>COUNTIF('F Proj'!$B$2:$B$7669,B11)+COUNTIF('D Proj'!$B$2:$B$513,B11)+COUNTIF('K Proj'!$B$2:$B$508,B11)</f>
        <v>16</v>
      </c>
      <c r="E11" t="str">
        <f>IF(ISERROR(MATCH(ROW(A10),Trades!$A$10:$A$43,0)),"",IF(INDEX(Trades!$E$10:$E$43,MATCH(ROW(A10),Trades!$A$10:$A$43,0)),IF(A11=Trades!$A$27,Trades!$B$7,Trades!$A$27),""))</f>
        <v/>
      </c>
      <c r="F11" t="str">
        <f>IF(D11=0,NA(),IFERROR(INDEX('F Proj'!$F$2:$F$7669,MATCH(B11,'F Proj'!$B$2:$B$7669,0)),"O"))</f>
        <v>O</v>
      </c>
      <c r="G11" t="str">
        <f t="shared" si="1"/>
        <v>Non</v>
      </c>
      <c r="H11" t="str">
        <f>C11&amp;G11&amp;COUNTIFS(C$1:C11,C11,G$1:G11,G11)</f>
        <v>scottNon4</v>
      </c>
      <c r="I11" t="e">
        <f>MATCH(0,INDEX('ROS Proj'!$C$2:$S$561,MATCH($B11,'ROS Proj'!$A$2:$A$561,0),Week+Half_Week):INDEX('ROS Proj'!$C$2:$S$561,MATCH($B11,'ROS Proj'!$A$2:$A$561,0),17),1)+Week+Half_Week</f>
        <v>#N/A</v>
      </c>
      <c r="J11" s="2">
        <f>INDEX('ROS Proj'!$T$2:$T$561,MATCH($B11,'ROS Proj'!$A$2:$A$561,0))</f>
        <v>7.4214285714285717</v>
      </c>
      <c r="K11" s="2">
        <f>INDEX('ROS Proj'!$C$2:$S$561,MATCH($B11,'ROS Proj'!$A$2:$A$561,0),Week+Half_Week)</f>
        <v>7.21</v>
      </c>
      <c r="L11" s="3" t="str">
        <f t="shared" si="2"/>
        <v/>
      </c>
      <c r="M11">
        <f t="shared" si="3"/>
        <v>0</v>
      </c>
      <c r="N11">
        <f t="shared" si="4"/>
        <v>7</v>
      </c>
      <c r="O11">
        <f t="shared" si="5"/>
        <v>12</v>
      </c>
      <c r="P11" t="str">
        <f t="shared" si="6"/>
        <v/>
      </c>
      <c r="Q11" t="str">
        <f t="shared" si="7"/>
        <v xml:space="preserve">Lambo (scott) </v>
      </c>
      <c r="S11">
        <f t="shared" si="8"/>
        <v>10</v>
      </c>
      <c r="T11" t="str">
        <f>IFERROR(INDEX($Q$2:$Q$155,MATCH(S11,$P$2:$P$162,0)),"")</f>
        <v>Bell (devon) returns Week 7</v>
      </c>
    </row>
    <row r="12" spans="1:20" x14ac:dyDescent="0.25">
      <c r="A12" t="s">
        <v>20</v>
      </c>
      <c r="B12" t="s">
        <v>1368</v>
      </c>
      <c r="C12" t="str">
        <f t="shared" si="0"/>
        <v>scott</v>
      </c>
      <c r="D12">
        <f>COUNTIF('F Proj'!$B$2:$B$7669,B12)+COUNTIF('D Proj'!$B$2:$B$513,B12)+COUNTIF('K Proj'!$B$2:$B$508,B12)</f>
        <v>16</v>
      </c>
      <c r="E12" t="str">
        <f>IF(ISERROR(MATCH(ROW(A11),Trades!$A$10:$A$43,0)),"",IF(INDEX(Trades!$E$10:$E$43,MATCH(ROW(A11),Trades!$A$10:$A$43,0)),IF(A12=Trades!$A$27,Trades!$B$7,Trades!$A$27),""))</f>
        <v/>
      </c>
      <c r="F12" t="str">
        <f>IF(D12=0,NA(),IFERROR(INDEX('F Proj'!$F$2:$F$7669,MATCH(B12,'F Proj'!$B$2:$B$7669,0)),"O"))</f>
        <v>WR</v>
      </c>
      <c r="G12" t="str">
        <f t="shared" si="1"/>
        <v>Flex</v>
      </c>
      <c r="H12" t="str">
        <f>C12&amp;G12&amp;COUNTIFS(C$1:C12,C12,G$1:G12,G12)</f>
        <v>scottFlex7</v>
      </c>
      <c r="I12" t="e">
        <f>MATCH(0,INDEX('ROS Proj'!$C$2:$S$561,MATCH($B12,'ROS Proj'!$A$2:$A$561,0),Week+Half_Week):INDEX('ROS Proj'!$C$2:$S$561,MATCH($B12,'ROS Proj'!$A$2:$A$561,0),17),1)+Week+Half_Week</f>
        <v>#N/A</v>
      </c>
      <c r="J12" s="2">
        <f>INDEX('ROS Proj'!$T$2:$T$561,MATCH($B12,'ROS Proj'!$A$2:$A$561,0))</f>
        <v>6.0528571428571425</v>
      </c>
      <c r="K12" s="2">
        <f>INDEX('ROS Proj'!$C$2:$S$561,MATCH($B12,'ROS Proj'!$A$2:$A$561,0),Week+Half_Week)</f>
        <v>6.59</v>
      </c>
      <c r="L12" s="3">
        <f t="shared" si="2"/>
        <v>8.8742034458343166E-2</v>
      </c>
      <c r="M12">
        <f t="shared" si="3"/>
        <v>0</v>
      </c>
      <c r="N12">
        <f t="shared" si="4"/>
        <v>7</v>
      </c>
      <c r="O12">
        <f t="shared" si="5"/>
        <v>12</v>
      </c>
      <c r="P12" t="str">
        <f t="shared" si="6"/>
        <v/>
      </c>
      <c r="Q12" t="str">
        <f t="shared" si="7"/>
        <v xml:space="preserve">Cole (scott) </v>
      </c>
      <c r="S12">
        <f t="shared" si="8"/>
        <v>11</v>
      </c>
      <c r="T12" t="str">
        <f>IFERROR(INDEX($Q$2:$Q$155,MATCH(S12,$P$2:$P$162,0)),"")</f>
        <v>Hilton (comp) returns Week 6</v>
      </c>
    </row>
    <row r="13" spans="1:20" x14ac:dyDescent="0.25">
      <c r="A13" t="s">
        <v>20</v>
      </c>
      <c r="B13" t="s">
        <v>125</v>
      </c>
      <c r="C13" t="str">
        <f t="shared" si="0"/>
        <v>scott</v>
      </c>
      <c r="D13">
        <f>COUNTIF('F Proj'!$B$2:$B$7669,B13)+COUNTIF('D Proj'!$B$2:$B$513,B13)+COUNTIF('K Proj'!$B$2:$B$508,B13)</f>
        <v>16</v>
      </c>
      <c r="E13" t="str">
        <f>IF(ISERROR(MATCH(ROW(A12),Trades!$A$10:$A$43,0)),"",IF(INDEX(Trades!$E$10:$E$43,MATCH(ROW(A12),Trades!$A$10:$A$43,0)),IF(A13=Trades!$A$27,Trades!$B$7,Trades!$A$27),""))</f>
        <v/>
      </c>
      <c r="F13" t="str">
        <f>IF(D13=0,NA(),IFERROR(INDEX('F Proj'!$F$2:$F$7669,MATCH(B13,'F Proj'!$B$2:$B$7669,0)),"O"))</f>
        <v>WR</v>
      </c>
      <c r="G13" t="str">
        <f t="shared" si="1"/>
        <v>Flex</v>
      </c>
      <c r="H13" t="str">
        <f>C13&amp;G13&amp;COUNTIFS(C$1:C13,C13,G$1:G13,G13)</f>
        <v>scottFlex8</v>
      </c>
      <c r="I13" t="e">
        <f>MATCH(0,INDEX('ROS Proj'!$C$2:$S$561,MATCH($B13,'ROS Proj'!$A$2:$A$561,0),Week+Half_Week):INDEX('ROS Proj'!$C$2:$S$561,MATCH($B13,'ROS Proj'!$A$2:$A$561,0),17),1)+Week+Half_Week</f>
        <v>#N/A</v>
      </c>
      <c r="J13" s="2">
        <f>INDEX('ROS Proj'!$T$2:$T$561,MATCH($B13,'ROS Proj'!$A$2:$A$561,0))</f>
        <v>7.4328571428571433</v>
      </c>
      <c r="K13" s="2">
        <f>INDEX('ROS Proj'!$C$2:$S$561,MATCH($B13,'ROS Proj'!$A$2:$A$561,0),Week+Half_Week)</f>
        <v>3.22</v>
      </c>
      <c r="L13" s="3">
        <f t="shared" si="2"/>
        <v>-0.5667883913127042</v>
      </c>
      <c r="M13">
        <f t="shared" si="3"/>
        <v>1</v>
      </c>
      <c r="N13">
        <f t="shared" si="4"/>
        <v>7</v>
      </c>
      <c r="O13">
        <f t="shared" si="5"/>
        <v>12</v>
      </c>
      <c r="P13">
        <f t="shared" si="6"/>
        <v>1</v>
      </c>
      <c r="Q13" t="str">
        <f t="shared" si="7"/>
        <v>Watkins (scott) adjusted down this week</v>
      </c>
      <c r="S13">
        <f t="shared" si="8"/>
        <v>12</v>
      </c>
      <c r="T13" t="str">
        <f>IFERROR(INDEX($Q$2:$Q$155,MATCH(S13,$P$2:$P$162,0)),"")</f>
        <v>Fournette (seth) returns Week 7</v>
      </c>
    </row>
    <row r="14" spans="1:20" x14ac:dyDescent="0.25">
      <c r="A14" t="s">
        <v>20</v>
      </c>
      <c r="B14" t="s">
        <v>163</v>
      </c>
      <c r="C14" t="str">
        <f t="shared" si="0"/>
        <v>scott</v>
      </c>
      <c r="D14">
        <f>COUNTIF('F Proj'!$B$2:$B$7669,B14)+COUNTIF('D Proj'!$B$2:$B$513,B14)+COUNTIF('K Proj'!$B$2:$B$508,B14)</f>
        <v>16</v>
      </c>
      <c r="E14" t="str">
        <f>IF(ISERROR(MATCH(ROW(A13),Trades!$A$10:$A$43,0)),"",IF(INDEX(Trades!$E$10:$E$43,MATCH(ROW(A13),Trades!$A$10:$A$43,0)),IF(A14=Trades!$A$27,Trades!$B$7,Trades!$A$27),""))</f>
        <v/>
      </c>
      <c r="F14" t="str">
        <f>IF(D14=0,NA(),IFERROR(INDEX('F Proj'!$F$2:$F$7669,MATCH(B14,'F Proj'!$B$2:$B$7669,0)),"O"))</f>
        <v>WR</v>
      </c>
      <c r="G14" t="str">
        <f t="shared" si="1"/>
        <v>Flex</v>
      </c>
      <c r="H14" t="str">
        <f>C14&amp;G14&amp;COUNTIFS(C$1:C14,C14,G$1:G14,G14)</f>
        <v>scottFlex9</v>
      </c>
      <c r="I14" t="e">
        <f>MATCH(0,INDEX('ROS Proj'!$C$2:$S$561,MATCH($B14,'ROS Proj'!$A$2:$A$561,0),Week+Half_Week):INDEX('ROS Proj'!$C$2:$S$561,MATCH($B14,'ROS Proj'!$A$2:$A$561,0),17),1)+Week+Half_Week</f>
        <v>#N/A</v>
      </c>
      <c r="J14" s="2">
        <f>INDEX('ROS Proj'!$T$2:$T$561,MATCH($B14,'ROS Proj'!$A$2:$A$561,0))</f>
        <v>5.82</v>
      </c>
      <c r="K14" s="2" t="str">
        <f>INDEX('ROS Proj'!$C$2:$S$561,MATCH($B14,'ROS Proj'!$A$2:$A$561,0),Week+Half_Week)</f>
        <v>NA</v>
      </c>
      <c r="L14" s="3" t="e">
        <f t="shared" si="2"/>
        <v>#VALUE!</v>
      </c>
      <c r="M14">
        <f t="shared" si="3"/>
        <v>1</v>
      </c>
      <c r="N14">
        <f t="shared" si="4"/>
        <v>7</v>
      </c>
      <c r="O14">
        <f t="shared" si="5"/>
        <v>12</v>
      </c>
      <c r="P14" t="str">
        <f t="shared" si="6"/>
        <v/>
      </c>
      <c r="Q14" t="str">
        <f t="shared" si="7"/>
        <v xml:space="preserve">Jackson (scott) </v>
      </c>
      <c r="S14">
        <f t="shared" si="8"/>
        <v>13</v>
      </c>
      <c r="T14" t="str">
        <f>IFERROR(INDEX($Q$2:$Q$155,MATCH(S14,$P$2:$P$162,0)),"")</f>
        <v>Eifert (matty) has no NF projection</v>
      </c>
    </row>
    <row r="15" spans="1:20" x14ac:dyDescent="0.25">
      <c r="A15" t="s">
        <v>20</v>
      </c>
      <c r="B15" t="s">
        <v>214</v>
      </c>
      <c r="C15" t="str">
        <f t="shared" si="0"/>
        <v>scott</v>
      </c>
      <c r="D15">
        <f>COUNTIF('F Proj'!$B$2:$B$7669,B15)+COUNTIF('D Proj'!$B$2:$B$513,B15)+COUNTIF('K Proj'!$B$2:$B$508,B15)</f>
        <v>16</v>
      </c>
      <c r="E15" t="str">
        <f>IF(ISERROR(MATCH(ROW(A14),Trades!$A$10:$A$43,0)),"",IF(INDEX(Trades!$E$10:$E$43,MATCH(ROW(A14),Trades!$A$10:$A$43,0)),IF(A15=Trades!$A$27,Trades!$B$7,Trades!$A$27),""))</f>
        <v/>
      </c>
      <c r="F15" t="str">
        <f>IF(D15=0,NA(),IFERROR(INDEX('F Proj'!$F$2:$F$7669,MATCH(B15,'F Proj'!$B$2:$B$7669,0)),"O"))</f>
        <v>TE</v>
      </c>
      <c r="G15" t="str">
        <f t="shared" si="1"/>
        <v>Non</v>
      </c>
      <c r="H15" t="str">
        <f>C15&amp;G15&amp;COUNTIFS(C$1:C15,C15,G$1:G15,G15)</f>
        <v>scottNon5</v>
      </c>
      <c r="I15" t="e">
        <f>MATCH(0,INDEX('ROS Proj'!$C$2:$S$561,MATCH($B15,'ROS Proj'!$A$2:$A$561,0),Week+Half_Week):INDEX('ROS Proj'!$C$2:$S$561,MATCH($B15,'ROS Proj'!$A$2:$A$561,0),17),1)+Week+Half_Week</f>
        <v>#N/A</v>
      </c>
      <c r="J15" s="2">
        <f>INDEX('ROS Proj'!$T$2:$T$561,MATCH($B15,'ROS Proj'!$A$2:$A$561,0))</f>
        <v>4.1042857142857141</v>
      </c>
      <c r="K15" s="2">
        <f>INDEX('ROS Proj'!$C$2:$S$561,MATCH($B15,'ROS Proj'!$A$2:$A$561,0),Week+Half_Week)</f>
        <v>5.77</v>
      </c>
      <c r="L15" s="3">
        <f t="shared" si="2"/>
        <v>0.40584754611903939</v>
      </c>
      <c r="M15">
        <f t="shared" si="3"/>
        <v>1</v>
      </c>
      <c r="N15">
        <f t="shared" si="4"/>
        <v>7</v>
      </c>
      <c r="O15">
        <f t="shared" si="5"/>
        <v>12</v>
      </c>
      <c r="P15" t="str">
        <f t="shared" si="6"/>
        <v/>
      </c>
      <c r="Q15" t="str">
        <f t="shared" si="7"/>
        <v xml:space="preserve">McDonald (scott) </v>
      </c>
      <c r="S15">
        <f t="shared" si="8"/>
        <v>14</v>
      </c>
      <c r="T15" t="str">
        <f>IFERROR(INDEX($Q$2:$Q$155,MATCH(S15,$P$2:$P$162,0)),"")</f>
        <v/>
      </c>
    </row>
    <row r="16" spans="1:20" x14ac:dyDescent="0.25">
      <c r="A16" t="s">
        <v>20</v>
      </c>
      <c r="B16" t="s">
        <v>63</v>
      </c>
      <c r="C16" t="str">
        <f t="shared" si="0"/>
        <v>scott</v>
      </c>
      <c r="D16">
        <f>COUNTIF('F Proj'!$B$2:$B$7669,B16)+COUNTIF('D Proj'!$B$2:$B$513,B16)+COUNTIF('K Proj'!$B$2:$B$508,B16)</f>
        <v>16</v>
      </c>
      <c r="E16" t="str">
        <f>IF(ISERROR(MATCH(ROW(A15),Trades!$A$10:$A$43,0)),"",IF(INDEX(Trades!$E$10:$E$43,MATCH(ROW(A15),Trades!$A$10:$A$43,0)),IF(A16=Trades!$A$27,Trades!$B$7,Trades!$A$27),""))</f>
        <v/>
      </c>
      <c r="F16" t="str">
        <f>IF(D16=0,NA(),IFERROR(INDEX('F Proj'!$F$2:$F$7669,MATCH(B16,'F Proj'!$B$2:$B$7669,0)),"O"))</f>
        <v>QB</v>
      </c>
      <c r="G16" t="str">
        <f t="shared" si="1"/>
        <v>Non</v>
      </c>
      <c r="H16" t="str">
        <f>C16&amp;G16&amp;COUNTIFS(C$1:C16,C16,G$1:G16,G16)</f>
        <v>scottNon6</v>
      </c>
      <c r="I16" t="e">
        <f>MATCH(0,INDEX('ROS Proj'!$C$2:$S$561,MATCH($B16,'ROS Proj'!$A$2:$A$561,0),Week+Half_Week):INDEX('ROS Proj'!$C$2:$S$561,MATCH($B16,'ROS Proj'!$A$2:$A$561,0),17),1)+Week+Half_Week</f>
        <v>#N/A</v>
      </c>
      <c r="J16" s="2">
        <f>INDEX('ROS Proj'!$T$2:$T$561,MATCH($B16,'ROS Proj'!$A$2:$A$561,0))</f>
        <v>16.398571428571426</v>
      </c>
      <c r="K16" s="2">
        <f>INDEX('ROS Proj'!$C$2:$S$561,MATCH($B16,'ROS Proj'!$A$2:$A$561,0),Week+Half_Week)</f>
        <v>18.71</v>
      </c>
      <c r="L16" s="3">
        <f t="shared" si="2"/>
        <v>0.14095304469030423</v>
      </c>
      <c r="M16">
        <f t="shared" si="3"/>
        <v>1</v>
      </c>
      <c r="N16">
        <f t="shared" si="4"/>
        <v>7</v>
      </c>
      <c r="O16">
        <f t="shared" si="5"/>
        <v>12</v>
      </c>
      <c r="P16" t="str">
        <f t="shared" si="6"/>
        <v/>
      </c>
      <c r="Q16" t="str">
        <f t="shared" si="7"/>
        <v xml:space="preserve">Dalton (scott) </v>
      </c>
      <c r="S16">
        <f t="shared" si="8"/>
        <v>15</v>
      </c>
      <c r="T16" t="str">
        <f>IFERROR(INDEX($Q$2:$Q$155,MATCH(S16,$P$2:$P$162,0)),"")</f>
        <v/>
      </c>
    </row>
    <row r="17" spans="1:20" x14ac:dyDescent="0.25">
      <c r="A17" t="s">
        <v>16</v>
      </c>
      <c r="B17" t="s">
        <v>13</v>
      </c>
      <c r="C17" t="str">
        <f t="shared" si="0"/>
        <v>cory</v>
      </c>
      <c r="D17">
        <f>COUNTIF('F Proj'!$B$2:$B$7669,B17)+COUNTIF('D Proj'!$B$2:$B$513,B17)+COUNTIF('K Proj'!$B$2:$B$508,B17)</f>
        <v>16</v>
      </c>
      <c r="E17" t="str">
        <f>IF(ISERROR(MATCH(ROW(A16),Trades!$A$10:$A$43,0)),"",IF(INDEX(Trades!$E$10:$E$43,MATCH(ROW(A16),Trades!$A$10:$A$43,0)),IF(A17=Trades!$A$27,Trades!$B$7,Trades!$A$27),""))</f>
        <v/>
      </c>
      <c r="F17" t="str">
        <f>IF(D17=0,NA(),IFERROR(INDEX('F Proj'!$F$2:$F$7669,MATCH(B17,'F Proj'!$B$2:$B$7669,0)),"O"))</f>
        <v>QB</v>
      </c>
      <c r="G17" t="str">
        <f t="shared" si="1"/>
        <v>Non</v>
      </c>
      <c r="H17" t="str">
        <f>C17&amp;G17&amp;COUNTIFS(C$1:C17,C17,G$1:G17,G17)</f>
        <v>coryNon1</v>
      </c>
      <c r="I17" t="e">
        <f>MATCH(0,INDEX('ROS Proj'!$C$2:$S$561,MATCH($B17,'ROS Proj'!$A$2:$A$561,0),Week+Half_Week):INDEX('ROS Proj'!$C$2:$S$561,MATCH($B17,'ROS Proj'!$A$2:$A$561,0),17),1)+Week+Half_Week</f>
        <v>#N/A</v>
      </c>
      <c r="J17" s="2">
        <f>INDEX('ROS Proj'!$T$2:$T$561,MATCH($B17,'ROS Proj'!$A$2:$A$561,0))</f>
        <v>20.682857142857141</v>
      </c>
      <c r="K17" s="2">
        <f>INDEX('ROS Proj'!$C$2:$S$561,MATCH($B17,'ROS Proj'!$A$2:$A$561,0),Week+Half_Week)</f>
        <v>21.59</v>
      </c>
      <c r="L17" s="3">
        <f t="shared" si="2"/>
        <v>4.3859649122807154E-2</v>
      </c>
      <c r="M17">
        <f t="shared" si="3"/>
        <v>1</v>
      </c>
      <c r="N17">
        <f t="shared" si="4"/>
        <v>7</v>
      </c>
      <c r="O17">
        <f t="shared" si="5"/>
        <v>12</v>
      </c>
      <c r="P17" t="str">
        <f t="shared" si="6"/>
        <v/>
      </c>
      <c r="Q17" t="str">
        <f t="shared" si="7"/>
        <v xml:space="preserve">Rodgers (cory) </v>
      </c>
      <c r="S17">
        <f t="shared" si="8"/>
        <v>16</v>
      </c>
      <c r="T17" t="str">
        <f>IFERROR(INDEX($Q$2:$Q$155,MATCH(S17,$P$2:$P$162,0)),"")</f>
        <v/>
      </c>
    </row>
    <row r="18" spans="1:20" x14ac:dyDescent="0.25">
      <c r="A18" t="s">
        <v>16</v>
      </c>
      <c r="B18" t="s">
        <v>130</v>
      </c>
      <c r="C18" t="str">
        <f t="shared" si="0"/>
        <v>cory</v>
      </c>
      <c r="D18">
        <f>COUNTIF('F Proj'!$B$2:$B$7669,B18)+COUNTIF('D Proj'!$B$2:$B$513,B18)+COUNTIF('K Proj'!$B$2:$B$508,B18)</f>
        <v>16</v>
      </c>
      <c r="E18" t="str">
        <f>IF(ISERROR(MATCH(ROW(A17),Trades!$A$10:$A$43,0)),"",IF(INDEX(Trades!$E$10:$E$43,MATCH(ROW(A17),Trades!$A$10:$A$43,0)),IF(A18=Trades!$A$27,Trades!$B$7,Trades!$A$27),""))</f>
        <v/>
      </c>
      <c r="F18" t="str">
        <f>IF(D18=0,NA(),IFERROR(INDEX('F Proj'!$F$2:$F$7669,MATCH(B18,'F Proj'!$B$2:$B$7669,0)),"O"))</f>
        <v>RB</v>
      </c>
      <c r="G18" t="str">
        <f t="shared" si="1"/>
        <v>Flex</v>
      </c>
      <c r="H18" t="str">
        <f>C18&amp;G18&amp;COUNTIFS(C$1:C18,C18,G$1:G18,G18)</f>
        <v>coryFlex1</v>
      </c>
      <c r="I18" t="e">
        <f>MATCH(0,INDEX('ROS Proj'!$C$2:$S$561,MATCH($B18,'ROS Proj'!$A$2:$A$561,0),Week+Half_Week):INDEX('ROS Proj'!$C$2:$S$561,MATCH($B18,'ROS Proj'!$A$2:$A$561,0),17),1)+Week+Half_Week</f>
        <v>#N/A</v>
      </c>
      <c r="J18" s="2">
        <f>INDEX('ROS Proj'!$T$2:$T$561,MATCH($B18,'ROS Proj'!$A$2:$A$561,0))</f>
        <v>13.37571428571429</v>
      </c>
      <c r="K18" s="2">
        <f>INDEX('ROS Proj'!$C$2:$S$561,MATCH($B18,'ROS Proj'!$A$2:$A$561,0),Week+Half_Week)</f>
        <v>10.39</v>
      </c>
      <c r="L18" s="3">
        <f t="shared" si="2"/>
        <v>-0.22321905372209783</v>
      </c>
      <c r="M18">
        <f t="shared" si="3"/>
        <v>1</v>
      </c>
      <c r="N18">
        <f t="shared" si="4"/>
        <v>7</v>
      </c>
      <c r="O18">
        <f t="shared" si="5"/>
        <v>12</v>
      </c>
      <c r="P18" t="str">
        <f t="shared" si="6"/>
        <v/>
      </c>
      <c r="Q18" t="str">
        <f t="shared" si="7"/>
        <v xml:space="preserve">Hyde (cory) </v>
      </c>
      <c r="S18">
        <f t="shared" si="8"/>
        <v>17</v>
      </c>
      <c r="T18" t="str">
        <f>IFERROR(INDEX($Q$2:$Q$155,MATCH(S18,$P$2:$P$162,0)),"")</f>
        <v/>
      </c>
    </row>
    <row r="19" spans="1:20" x14ac:dyDescent="0.25">
      <c r="A19" t="s">
        <v>16</v>
      </c>
      <c r="B19" t="s">
        <v>193</v>
      </c>
      <c r="C19" t="str">
        <f t="shared" si="0"/>
        <v>cory</v>
      </c>
      <c r="D19">
        <f>COUNTIF('F Proj'!$B$2:$B$7669,B19)+COUNTIF('D Proj'!$B$2:$B$513,B19)+COUNTIF('K Proj'!$B$2:$B$508,B19)</f>
        <v>16</v>
      </c>
      <c r="E19" t="str">
        <f>IF(ISERROR(MATCH(ROW(A18),Trades!$A$10:$A$43,0)),"",IF(INDEX(Trades!$E$10:$E$43,MATCH(ROW(A18),Trades!$A$10:$A$43,0)),IF(A19=Trades!$A$27,Trades!$B$7,Trades!$A$27),""))</f>
        <v/>
      </c>
      <c r="F19" t="str">
        <f>IF(D19=0,NA(),IFERROR(INDEX('F Proj'!$F$2:$F$7669,MATCH(B19,'F Proj'!$B$2:$B$7669,0)),"O"))</f>
        <v>RB</v>
      </c>
      <c r="G19" t="str">
        <f t="shared" si="1"/>
        <v>Flex</v>
      </c>
      <c r="H19" t="str">
        <f>C19&amp;G19&amp;COUNTIFS(C$1:C19,C19,G$1:G19,G19)</f>
        <v>coryFlex2</v>
      </c>
      <c r="I19" t="e">
        <f>MATCH(0,INDEX('ROS Proj'!$C$2:$S$561,MATCH($B19,'ROS Proj'!$A$2:$A$561,0),Week+Half_Week):INDEX('ROS Proj'!$C$2:$S$561,MATCH($B19,'ROS Proj'!$A$2:$A$561,0),17),1)+Week+Half_Week</f>
        <v>#N/A</v>
      </c>
      <c r="J19" s="2">
        <f>INDEX('ROS Proj'!$T$2:$T$561,MATCH($B19,'ROS Proj'!$A$2:$A$561,0))</f>
        <v>8.9014285714285712</v>
      </c>
      <c r="K19" s="2">
        <f>INDEX('ROS Proj'!$C$2:$S$561,MATCH($B19,'ROS Proj'!$A$2:$A$561,0),Week+Half_Week)</f>
        <v>10.33</v>
      </c>
      <c r="L19" s="3">
        <f t="shared" si="2"/>
        <v>0.1604878831648211</v>
      </c>
      <c r="M19">
        <f t="shared" si="3"/>
        <v>1</v>
      </c>
      <c r="N19">
        <f t="shared" si="4"/>
        <v>7</v>
      </c>
      <c r="O19">
        <f t="shared" si="5"/>
        <v>12</v>
      </c>
      <c r="P19" t="str">
        <f t="shared" si="6"/>
        <v/>
      </c>
      <c r="Q19" t="str">
        <f t="shared" si="7"/>
        <v xml:space="preserve">White (cory) </v>
      </c>
      <c r="S19">
        <f t="shared" si="8"/>
        <v>18</v>
      </c>
      <c r="T19" t="str">
        <f>IFERROR(INDEX($Q$2:$Q$155,MATCH(S19,$P$2:$P$162,0)),"")</f>
        <v/>
      </c>
    </row>
    <row r="20" spans="1:20" x14ac:dyDescent="0.25">
      <c r="A20" t="s">
        <v>16</v>
      </c>
      <c r="B20" t="s">
        <v>221</v>
      </c>
      <c r="C20" t="str">
        <f t="shared" si="0"/>
        <v>cory</v>
      </c>
      <c r="D20">
        <f>COUNTIF('F Proj'!$B$2:$B$7669,B20)+COUNTIF('D Proj'!$B$2:$B$513,B20)+COUNTIF('K Proj'!$B$2:$B$508,B20)</f>
        <v>16</v>
      </c>
      <c r="E20" t="str">
        <f>IF(ISERROR(MATCH(ROW(A19),Trades!$A$10:$A$43,0)),"",IF(INDEX(Trades!$E$10:$E$43,MATCH(ROW(A19),Trades!$A$10:$A$43,0)),IF(A20=Trades!$A$27,Trades!$B$7,Trades!$A$27),""))</f>
        <v/>
      </c>
      <c r="F20" t="str">
        <f>IF(D20=0,NA(),IFERROR(INDEX('F Proj'!$F$2:$F$7669,MATCH(B20,'F Proj'!$B$2:$B$7669,0)),"O"))</f>
        <v>WR</v>
      </c>
      <c r="G20" t="str">
        <f t="shared" si="1"/>
        <v>Flex</v>
      </c>
      <c r="H20" t="str">
        <f>C20&amp;G20&amp;COUNTIFS(C$1:C20,C20,G$1:G20,G20)</f>
        <v>coryFlex3</v>
      </c>
      <c r="I20" t="e">
        <f>MATCH(0,INDEX('ROS Proj'!$C$2:$S$561,MATCH($B20,'ROS Proj'!$A$2:$A$561,0),Week+Half_Week):INDEX('ROS Proj'!$C$2:$S$561,MATCH($B20,'ROS Proj'!$A$2:$A$561,0),17),1)+Week+Half_Week</f>
        <v>#N/A</v>
      </c>
      <c r="J20" s="2">
        <f>INDEX('ROS Proj'!$T$2:$T$561,MATCH($B20,'ROS Proj'!$A$2:$A$561,0))</f>
        <v>8.0028571428571436</v>
      </c>
      <c r="K20" s="2">
        <f>INDEX('ROS Proj'!$C$2:$S$561,MATCH($B20,'ROS Proj'!$A$2:$A$561,0),Week+Half_Week)</f>
        <v>8.0500000000000007</v>
      </c>
      <c r="L20" s="3">
        <f t="shared" si="2"/>
        <v>5.8907533023919711E-3</v>
      </c>
      <c r="M20">
        <f t="shared" si="3"/>
        <v>1</v>
      </c>
      <c r="N20">
        <f t="shared" si="4"/>
        <v>7</v>
      </c>
      <c r="O20">
        <f t="shared" si="5"/>
        <v>12</v>
      </c>
      <c r="P20" t="str">
        <f t="shared" si="6"/>
        <v/>
      </c>
      <c r="Q20" t="str">
        <f t="shared" si="7"/>
        <v xml:space="preserve">Boyd (cory) </v>
      </c>
      <c r="S20">
        <f t="shared" si="8"/>
        <v>19</v>
      </c>
      <c r="T20" t="str">
        <f>IFERROR(INDEX($Q$2:$Q$155,MATCH(S20,$P$2:$P$162,0)),"")</f>
        <v/>
      </c>
    </row>
    <row r="21" spans="1:20" x14ac:dyDescent="0.25">
      <c r="A21" t="s">
        <v>16</v>
      </c>
      <c r="B21" t="s">
        <v>93</v>
      </c>
      <c r="C21" t="str">
        <f t="shared" si="0"/>
        <v>cory</v>
      </c>
      <c r="D21">
        <f>COUNTIF('F Proj'!$B$2:$B$7669,B21)+COUNTIF('D Proj'!$B$2:$B$513,B21)+COUNTIF('K Proj'!$B$2:$B$508,B21)</f>
        <v>16</v>
      </c>
      <c r="E21" t="str">
        <f>IF(ISERROR(MATCH(ROW(A20),Trades!$A$10:$A$43,0)),"",IF(INDEX(Trades!$E$10:$E$43,MATCH(ROW(A20),Trades!$A$10:$A$43,0)),IF(A21=Trades!$A$27,Trades!$B$7,Trades!$A$27),""))</f>
        <v/>
      </c>
      <c r="F21" t="str">
        <f>IF(D21=0,NA(),IFERROR(INDEX('F Proj'!$F$2:$F$7669,MATCH(B21,'F Proj'!$B$2:$B$7669,0)),"O"))</f>
        <v>WR</v>
      </c>
      <c r="G21" t="str">
        <f t="shared" si="1"/>
        <v>Flex</v>
      </c>
      <c r="H21" t="str">
        <f>C21&amp;G21&amp;COUNTIFS(C$1:C21,C21,G$1:G21,G21)</f>
        <v>coryFlex4</v>
      </c>
      <c r="I21" t="e">
        <f>MATCH(0,INDEX('ROS Proj'!$C$2:$S$561,MATCH($B21,'ROS Proj'!$A$2:$A$561,0),Week+Half_Week):INDEX('ROS Proj'!$C$2:$S$561,MATCH($B21,'ROS Proj'!$A$2:$A$561,0),17),1)+Week+Half_Week</f>
        <v>#N/A</v>
      </c>
      <c r="J21" s="2">
        <f>INDEX('ROS Proj'!$T$2:$T$561,MATCH($B21,'ROS Proj'!$A$2:$A$561,0))</f>
        <v>13.854285714285712</v>
      </c>
      <c r="K21" s="2">
        <f>INDEX('ROS Proj'!$C$2:$S$561,MATCH($B21,'ROS Proj'!$A$2:$A$561,0),Week+Half_Week)</f>
        <v>14.17</v>
      </c>
      <c r="L21" s="3">
        <f t="shared" si="2"/>
        <v>2.2788203753351333E-2</v>
      </c>
      <c r="M21">
        <f t="shared" si="3"/>
        <v>1</v>
      </c>
      <c r="N21">
        <f t="shared" si="4"/>
        <v>7</v>
      </c>
      <c r="O21">
        <f t="shared" si="5"/>
        <v>12</v>
      </c>
      <c r="P21" t="str">
        <f t="shared" si="6"/>
        <v/>
      </c>
      <c r="Q21" t="str">
        <f t="shared" si="7"/>
        <v xml:space="preserve">Jones (cory) </v>
      </c>
      <c r="S21">
        <f t="shared" si="8"/>
        <v>20</v>
      </c>
      <c r="T21" t="str">
        <f>IFERROR(INDEX($Q$2:$Q$155,MATCH(S21,$P$2:$P$162,0)),"")</f>
        <v/>
      </c>
    </row>
    <row r="22" spans="1:20" x14ac:dyDescent="0.25">
      <c r="A22" t="s">
        <v>16</v>
      </c>
      <c r="B22" t="s">
        <v>110</v>
      </c>
      <c r="C22" t="str">
        <f t="shared" si="0"/>
        <v>cory</v>
      </c>
      <c r="D22">
        <f>COUNTIF('F Proj'!$B$2:$B$7669,B22)+COUNTIF('D Proj'!$B$2:$B$513,B22)+COUNTIF('K Proj'!$B$2:$B$508,B22)</f>
        <v>16</v>
      </c>
      <c r="E22" t="str">
        <f>IF(ISERROR(MATCH(ROW(A21),Trades!$A$10:$A$43,0)),"",IF(INDEX(Trades!$E$10:$E$43,MATCH(ROW(A21),Trades!$A$10:$A$43,0)),IF(A22=Trades!$A$27,Trades!$B$7,Trades!$A$27),""))</f>
        <v/>
      </c>
      <c r="F22" t="str">
        <f>IF(D22=0,NA(),IFERROR(INDEX('F Proj'!$F$2:$F$7669,MATCH(B22,'F Proj'!$B$2:$B$7669,0)),"O"))</f>
        <v>WR</v>
      </c>
      <c r="G22" t="str">
        <f t="shared" si="1"/>
        <v>Flex</v>
      </c>
      <c r="H22" t="str">
        <f>C22&amp;G22&amp;COUNTIFS(C$1:C22,C22,G$1:G22,G22)</f>
        <v>coryFlex5</v>
      </c>
      <c r="I22" t="e">
        <f>MATCH(0,INDEX('ROS Proj'!$C$2:$S$561,MATCH($B22,'ROS Proj'!$A$2:$A$561,0),Week+Half_Week):INDEX('ROS Proj'!$C$2:$S$561,MATCH($B22,'ROS Proj'!$A$2:$A$561,0),17),1)+Week+Half_Week</f>
        <v>#N/A</v>
      </c>
      <c r="J22" s="2">
        <f>INDEX('ROS Proj'!$T$2:$T$561,MATCH($B22,'ROS Proj'!$A$2:$A$561,0))</f>
        <v>12.81</v>
      </c>
      <c r="K22" s="2">
        <f>INDEX('ROS Proj'!$C$2:$S$561,MATCH($B22,'ROS Proj'!$A$2:$A$561,0),Week+Half_Week)</f>
        <v>13.45</v>
      </c>
      <c r="L22" s="3">
        <f t="shared" si="2"/>
        <v>4.9960967993754712E-2</v>
      </c>
      <c r="M22">
        <f t="shared" si="3"/>
        <v>1</v>
      </c>
      <c r="N22">
        <f t="shared" si="4"/>
        <v>7</v>
      </c>
      <c r="O22">
        <f t="shared" si="5"/>
        <v>12</v>
      </c>
      <c r="P22" t="str">
        <f t="shared" si="6"/>
        <v/>
      </c>
      <c r="Q22" t="str">
        <f t="shared" si="7"/>
        <v xml:space="preserve">Thomas (cory) </v>
      </c>
      <c r="S22">
        <f t="shared" si="8"/>
        <v>21</v>
      </c>
      <c r="T22" t="str">
        <f>IFERROR(INDEX($Q$2:$Q$155,MATCH(S22,$P$2:$P$162,0)),"")</f>
        <v/>
      </c>
    </row>
    <row r="23" spans="1:20" x14ac:dyDescent="0.25">
      <c r="A23" t="s">
        <v>16</v>
      </c>
      <c r="B23" t="s">
        <v>134</v>
      </c>
      <c r="C23" t="str">
        <f t="shared" si="0"/>
        <v>cory</v>
      </c>
      <c r="D23">
        <f>COUNTIF('F Proj'!$B$2:$B$7669,B23)+COUNTIF('D Proj'!$B$2:$B$513,B23)+COUNTIF('K Proj'!$B$2:$B$508,B23)</f>
        <v>16</v>
      </c>
      <c r="E23" t="str">
        <f>IF(ISERROR(MATCH(ROW(A22),Trades!$A$10:$A$43,0)),"",IF(INDEX(Trades!$E$10:$E$43,MATCH(ROW(A22),Trades!$A$10:$A$43,0)),IF(A23=Trades!$A$27,Trades!$B$7,Trades!$A$27),""))</f>
        <v/>
      </c>
      <c r="F23" t="str">
        <f>IF(D23=0,NA(),IFERROR(INDEX('F Proj'!$F$2:$F$7669,MATCH(B23,'F Proj'!$B$2:$B$7669,0)),"O"))</f>
        <v>WR</v>
      </c>
      <c r="G23" t="str">
        <f t="shared" si="1"/>
        <v>Flex</v>
      </c>
      <c r="H23" t="str">
        <f>C23&amp;G23&amp;COUNTIFS(C$1:C23,C23,G$1:G23,G23)</f>
        <v>coryFlex6</v>
      </c>
      <c r="I23" t="e">
        <f>MATCH(0,INDEX('ROS Proj'!$C$2:$S$561,MATCH($B23,'ROS Proj'!$A$2:$A$561,0),Week+Half_Week):INDEX('ROS Proj'!$C$2:$S$561,MATCH($B23,'ROS Proj'!$A$2:$A$561,0),17),1)+Week+Half_Week</f>
        <v>#N/A</v>
      </c>
      <c r="J23" s="2">
        <f>INDEX('ROS Proj'!$T$2:$T$561,MATCH($B23,'ROS Proj'!$A$2:$A$561,0))</f>
        <v>10.145714285714288</v>
      </c>
      <c r="K23" s="2">
        <f>INDEX('ROS Proj'!$C$2:$S$561,MATCH($B23,'ROS Proj'!$A$2:$A$561,0),Week+Half_Week)</f>
        <v>9.6199999999999992</v>
      </c>
      <c r="L23" s="3">
        <f t="shared" si="2"/>
        <v>-5.1816389749366643E-2</v>
      </c>
      <c r="M23">
        <f t="shared" si="3"/>
        <v>1</v>
      </c>
      <c r="N23">
        <f t="shared" si="4"/>
        <v>7</v>
      </c>
      <c r="O23">
        <f t="shared" si="5"/>
        <v>12</v>
      </c>
      <c r="P23" t="str">
        <f t="shared" si="6"/>
        <v/>
      </c>
      <c r="Q23" t="str">
        <f t="shared" si="7"/>
        <v xml:space="preserve">Landry (cory) </v>
      </c>
      <c r="S23">
        <f t="shared" si="8"/>
        <v>22</v>
      </c>
      <c r="T23" t="str">
        <f>IFERROR(INDEX($Q$2:$Q$155,MATCH(S23,$P$2:$P$162,0)),"")</f>
        <v/>
      </c>
    </row>
    <row r="24" spans="1:20" x14ac:dyDescent="0.25">
      <c r="A24" t="s">
        <v>16</v>
      </c>
      <c r="B24" t="s">
        <v>181</v>
      </c>
      <c r="C24" t="str">
        <f t="shared" si="0"/>
        <v>cory</v>
      </c>
      <c r="D24">
        <f>COUNTIF('F Proj'!$B$2:$B$7669,B24)+COUNTIF('D Proj'!$B$2:$B$513,B24)+COUNTIF('K Proj'!$B$2:$B$508,B24)</f>
        <v>16</v>
      </c>
      <c r="E24" t="str">
        <f>IF(ISERROR(MATCH(ROW(A23),Trades!$A$10:$A$43,0)),"",IF(INDEX(Trades!$E$10:$E$43,MATCH(ROW(A23),Trades!$A$10:$A$43,0)),IF(A24=Trades!$A$27,Trades!$B$7,Trades!$A$27),""))</f>
        <v/>
      </c>
      <c r="F24" t="str">
        <f>IF(D24=0,NA(),IFERROR(INDEX('F Proj'!$F$2:$F$7669,MATCH(B24,'F Proj'!$B$2:$B$7669,0)),"O"))</f>
        <v>TE</v>
      </c>
      <c r="G24" t="str">
        <f t="shared" si="1"/>
        <v>Non</v>
      </c>
      <c r="H24" t="str">
        <f>C24&amp;G24&amp;COUNTIFS(C$1:C24,C24,G$1:G24,G24)</f>
        <v>coryNon2</v>
      </c>
      <c r="I24" t="e">
        <f>MATCH(0,INDEX('ROS Proj'!$C$2:$S$561,MATCH($B24,'ROS Proj'!$A$2:$A$561,0),Week+Half_Week):INDEX('ROS Proj'!$C$2:$S$561,MATCH($B24,'ROS Proj'!$A$2:$A$561,0),17),1)+Week+Half_Week</f>
        <v>#N/A</v>
      </c>
      <c r="J24" s="2">
        <f>INDEX('ROS Proj'!$T$2:$T$561,MATCH($B24,'ROS Proj'!$A$2:$A$561,0))</f>
        <v>6.4771428571428578</v>
      </c>
      <c r="K24" s="2">
        <f>INDEX('ROS Proj'!$C$2:$S$561,MATCH($B24,'ROS Proj'!$A$2:$A$561,0),Week+Half_Week)</f>
        <v>6.37</v>
      </c>
      <c r="L24" s="3">
        <f t="shared" si="2"/>
        <v>-1.6541685046316812E-2</v>
      </c>
      <c r="M24">
        <f t="shared" si="3"/>
        <v>1</v>
      </c>
      <c r="N24">
        <f t="shared" si="4"/>
        <v>7</v>
      </c>
      <c r="O24">
        <f t="shared" si="5"/>
        <v>12</v>
      </c>
      <c r="P24" t="str">
        <f t="shared" si="6"/>
        <v/>
      </c>
      <c r="Q24" t="str">
        <f t="shared" si="7"/>
        <v xml:space="preserve">Rudolph (cory) </v>
      </c>
      <c r="S24">
        <f t="shared" si="8"/>
        <v>23</v>
      </c>
      <c r="T24" t="str">
        <f>IFERROR(INDEX($Q$2:$Q$155,MATCH(S24,$P$2:$P$162,0)),"")</f>
        <v/>
      </c>
    </row>
    <row r="25" spans="1:20" x14ac:dyDescent="0.25">
      <c r="A25" t="s">
        <v>16</v>
      </c>
      <c r="B25" t="s">
        <v>413</v>
      </c>
      <c r="C25" t="str">
        <f t="shared" si="0"/>
        <v>cory</v>
      </c>
      <c r="D25">
        <f>COUNTIF('F Proj'!$B$2:$B$7669,B25)+COUNTIF('D Proj'!$B$2:$B$513,B25)+COUNTIF('K Proj'!$B$2:$B$508,B25)</f>
        <v>16</v>
      </c>
      <c r="E25" t="str">
        <f>IF(ISERROR(MATCH(ROW(A24),Trades!$A$10:$A$43,0)),"",IF(INDEX(Trades!$E$10:$E$43,MATCH(ROW(A24),Trades!$A$10:$A$43,0)),IF(A25=Trades!$A$27,Trades!$B$7,Trades!$A$27),""))</f>
        <v/>
      </c>
      <c r="F25" t="str">
        <f>IF(D25=0,NA(),IFERROR(INDEX('F Proj'!$F$2:$F$7669,MATCH(B25,'F Proj'!$B$2:$B$7669,0)),"O"))</f>
        <v>O</v>
      </c>
      <c r="G25" t="str">
        <f t="shared" si="1"/>
        <v>Non</v>
      </c>
      <c r="H25" t="str">
        <f>C25&amp;G25&amp;COUNTIFS(C$1:C25,C25,G$1:G25,G25)</f>
        <v>coryNon3</v>
      </c>
      <c r="I25" t="e">
        <f>MATCH(0,INDEX('ROS Proj'!$C$2:$S$561,MATCH($B25,'ROS Proj'!$A$2:$A$561,0),Week+Half_Week):INDEX('ROS Proj'!$C$2:$S$561,MATCH($B25,'ROS Proj'!$A$2:$A$561,0),17),1)+Week+Half_Week</f>
        <v>#N/A</v>
      </c>
      <c r="J25" s="2">
        <f>INDEX('ROS Proj'!$T$2:$T$561,MATCH($B25,'ROS Proj'!$A$2:$A$561,0))</f>
        <v>7.44625</v>
      </c>
      <c r="K25" s="2">
        <f>INDEX('ROS Proj'!$C$2:$S$561,MATCH($B25,'ROS Proj'!$A$2:$A$561,0),Week+Half_Week)</f>
        <v>7.66</v>
      </c>
      <c r="L25" s="3" t="str">
        <f t="shared" si="2"/>
        <v/>
      </c>
      <c r="M25">
        <f t="shared" si="3"/>
        <v>1</v>
      </c>
      <c r="N25">
        <f t="shared" si="4"/>
        <v>7</v>
      </c>
      <c r="O25">
        <f t="shared" si="5"/>
        <v>12</v>
      </c>
      <c r="P25" t="str">
        <f t="shared" si="6"/>
        <v/>
      </c>
      <c r="Q25" t="str">
        <f t="shared" si="7"/>
        <v xml:space="preserve">D/ST (cory) </v>
      </c>
      <c r="S25">
        <f t="shared" si="8"/>
        <v>24</v>
      </c>
      <c r="T25" t="str">
        <f>IFERROR(INDEX($Q$2:$Q$155,MATCH(S25,$P$2:$P$162,0)),"")</f>
        <v/>
      </c>
    </row>
    <row r="26" spans="1:20" x14ac:dyDescent="0.25">
      <c r="A26" t="s">
        <v>16</v>
      </c>
      <c r="B26" t="s">
        <v>462</v>
      </c>
      <c r="C26" t="str">
        <f t="shared" si="0"/>
        <v>cory</v>
      </c>
      <c r="D26">
        <f>COUNTIF('F Proj'!$B$2:$B$7669,B26)+COUNTIF('D Proj'!$B$2:$B$513,B26)+COUNTIF('K Proj'!$B$2:$B$508,B26)</f>
        <v>16</v>
      </c>
      <c r="E26" t="str">
        <f>IF(ISERROR(MATCH(ROW(A25),Trades!$A$10:$A$43,0)),"",IF(INDEX(Trades!$E$10:$E$43,MATCH(ROW(A25),Trades!$A$10:$A$43,0)),IF(A26=Trades!$A$27,Trades!$B$7,Trades!$A$27),""))</f>
        <v/>
      </c>
      <c r="F26" t="str">
        <f>IF(D26=0,NA(),IFERROR(INDEX('F Proj'!$F$2:$F$7669,MATCH(B26,'F Proj'!$B$2:$B$7669,0)),"O"))</f>
        <v>O</v>
      </c>
      <c r="G26" t="str">
        <f t="shared" si="1"/>
        <v>Non</v>
      </c>
      <c r="H26" t="str">
        <f>C26&amp;G26&amp;COUNTIFS(C$1:C26,C26,G$1:G26,G26)</f>
        <v>coryNon4</v>
      </c>
      <c r="I26" t="e">
        <f>MATCH(0,INDEX('ROS Proj'!$C$2:$S$561,MATCH($B26,'ROS Proj'!$A$2:$A$561,0),Week+Half_Week):INDEX('ROS Proj'!$C$2:$S$561,MATCH($B26,'ROS Proj'!$A$2:$A$561,0),17),1)+Week+Half_Week</f>
        <v>#N/A</v>
      </c>
      <c r="J26" s="2">
        <f>INDEX('ROS Proj'!$T$2:$T$561,MATCH($B26,'ROS Proj'!$A$2:$A$561,0))</f>
        <v>7.8128571428571423</v>
      </c>
      <c r="K26" s="2">
        <f>INDEX('ROS Proj'!$C$2:$S$561,MATCH($B26,'ROS Proj'!$A$2:$A$561,0),Week+Half_Week)</f>
        <v>8.49</v>
      </c>
      <c r="L26" s="3" t="str">
        <f t="shared" si="2"/>
        <v/>
      </c>
      <c r="M26">
        <f t="shared" si="3"/>
        <v>1</v>
      </c>
      <c r="N26">
        <f t="shared" si="4"/>
        <v>7</v>
      </c>
      <c r="O26">
        <f t="shared" si="5"/>
        <v>12</v>
      </c>
      <c r="P26" t="str">
        <f t="shared" si="6"/>
        <v/>
      </c>
      <c r="Q26" t="str">
        <f t="shared" si="7"/>
        <v xml:space="preserve">Lutz (cory) </v>
      </c>
      <c r="S26">
        <f t="shared" si="8"/>
        <v>25</v>
      </c>
      <c r="T26" t="str">
        <f>IFERROR(INDEX($Q$2:$Q$155,MATCH(S26,$P$2:$P$162,0)),"")</f>
        <v/>
      </c>
    </row>
    <row r="27" spans="1:20" x14ac:dyDescent="0.25">
      <c r="A27" t="s">
        <v>16</v>
      </c>
      <c r="B27" t="s">
        <v>1647</v>
      </c>
      <c r="C27" t="str">
        <f t="shared" si="0"/>
        <v>cory</v>
      </c>
      <c r="D27">
        <f>COUNTIF('F Proj'!$B$2:$B$7669,B27)+COUNTIF('D Proj'!$B$2:$B$513,B27)+COUNTIF('K Proj'!$B$2:$B$508,B27)</f>
        <v>16</v>
      </c>
      <c r="E27" t="str">
        <f>IF(ISERROR(MATCH(ROW(A26),Trades!$A$10:$A$43,0)),"",IF(INDEX(Trades!$E$10:$E$43,MATCH(ROW(A26),Trades!$A$10:$A$43,0)),IF(A27=Trades!$A$27,Trades!$B$7,Trades!$A$27),""))</f>
        <v/>
      </c>
      <c r="F27" t="str">
        <f>IF(D27=0,NA(),IFERROR(INDEX('F Proj'!$F$2:$F$7669,MATCH(B27,'F Proj'!$B$2:$B$7669,0)),"O"))</f>
        <v>RB</v>
      </c>
      <c r="G27" t="str">
        <f t="shared" si="1"/>
        <v>Flex</v>
      </c>
      <c r="H27" t="str">
        <f>C27&amp;G27&amp;COUNTIFS(C$1:C27,C27,G$1:G27,G27)</f>
        <v>coryFlex7</v>
      </c>
      <c r="I27" t="e">
        <f>MATCH(0,INDEX('ROS Proj'!$C$2:$S$561,MATCH($B27,'ROS Proj'!$A$2:$A$561,0),Week+Half_Week):INDEX('ROS Proj'!$C$2:$S$561,MATCH($B27,'ROS Proj'!$A$2:$A$561,0),17),1)+Week+Half_Week</f>
        <v>#N/A</v>
      </c>
      <c r="J27" s="2">
        <f>INDEX('ROS Proj'!$T$2:$T$561,MATCH($B27,'ROS Proj'!$A$2:$A$561,0))</f>
        <v>9.4728571428571424</v>
      </c>
      <c r="K27" s="2">
        <f>INDEX('ROS Proj'!$C$2:$S$561,MATCH($B27,'ROS Proj'!$A$2:$A$561,0),Week+Half_Week)</f>
        <v>10.69</v>
      </c>
      <c r="L27" s="3">
        <f t="shared" si="2"/>
        <v>0.12848740763082489</v>
      </c>
      <c r="M27">
        <f t="shared" si="3"/>
        <v>1</v>
      </c>
      <c r="N27">
        <f t="shared" si="4"/>
        <v>7</v>
      </c>
      <c r="O27">
        <f t="shared" si="5"/>
        <v>12</v>
      </c>
      <c r="P27" t="str">
        <f t="shared" si="6"/>
        <v/>
      </c>
      <c r="Q27" t="str">
        <f t="shared" si="7"/>
        <v xml:space="preserve">Ingram II (cory) </v>
      </c>
    </row>
    <row r="28" spans="1:20" x14ac:dyDescent="0.25">
      <c r="A28" t="s">
        <v>16</v>
      </c>
      <c r="B28" t="s">
        <v>192</v>
      </c>
      <c r="C28" t="str">
        <f t="shared" si="0"/>
        <v>cory</v>
      </c>
      <c r="D28">
        <f>COUNTIF('F Proj'!$B$2:$B$7669,B28)+COUNTIF('D Proj'!$B$2:$B$513,B28)+COUNTIF('K Proj'!$B$2:$B$508,B28)</f>
        <v>16</v>
      </c>
      <c r="E28" t="str">
        <f>IF(ISERROR(MATCH(ROW(A27),Trades!$A$10:$A$43,0)),"",IF(INDEX(Trades!$E$10:$E$43,MATCH(ROW(A27),Trades!$A$10:$A$43,0)),IF(A28=Trades!$A$27,Trades!$B$7,Trades!$A$27),""))</f>
        <v/>
      </c>
      <c r="F28" t="str">
        <f>IF(D28=0,NA(),IFERROR(INDEX('F Proj'!$F$2:$F$7669,MATCH(B28,'F Proj'!$B$2:$B$7669,0)),"O"))</f>
        <v>WR</v>
      </c>
      <c r="G28" t="str">
        <f t="shared" si="1"/>
        <v>Flex</v>
      </c>
      <c r="H28" t="str">
        <f>C28&amp;G28&amp;COUNTIFS(C$1:C28,C28,G$1:G28,G28)</f>
        <v>coryFlex8</v>
      </c>
      <c r="I28" t="e">
        <f>MATCH(0,INDEX('ROS Proj'!$C$2:$S$561,MATCH($B28,'ROS Proj'!$A$2:$A$561,0),Week+Half_Week):INDEX('ROS Proj'!$C$2:$S$561,MATCH($B28,'ROS Proj'!$A$2:$A$561,0),17),1)+Week+Half_Week</f>
        <v>#N/A</v>
      </c>
      <c r="J28" s="2">
        <f>INDEX('ROS Proj'!$T$2:$T$561,MATCH($B28,'ROS Proj'!$A$2:$A$561,0))</f>
        <v>6.9099999999999993</v>
      </c>
      <c r="K28" s="2">
        <f>INDEX('ROS Proj'!$C$2:$S$561,MATCH($B28,'ROS Proj'!$A$2:$A$561,0),Week+Half_Week)</f>
        <v>6.86</v>
      </c>
      <c r="L28" s="3">
        <f t="shared" si="2"/>
        <v>-7.2358900144716687E-3</v>
      </c>
      <c r="M28">
        <f t="shared" si="3"/>
        <v>1</v>
      </c>
      <c r="N28">
        <f t="shared" si="4"/>
        <v>7</v>
      </c>
      <c r="O28">
        <f t="shared" si="5"/>
        <v>12</v>
      </c>
      <c r="P28" t="str">
        <f t="shared" si="6"/>
        <v/>
      </c>
      <c r="Q28" t="str">
        <f t="shared" si="7"/>
        <v xml:space="preserve">Shepard (cory) </v>
      </c>
    </row>
    <row r="29" spans="1:20" x14ac:dyDescent="0.25">
      <c r="A29" t="s">
        <v>16</v>
      </c>
      <c r="B29" t="s">
        <v>139</v>
      </c>
      <c r="C29" t="str">
        <f t="shared" si="0"/>
        <v>cory</v>
      </c>
      <c r="D29">
        <f>COUNTIF('F Proj'!$B$2:$B$7669,B29)+COUNTIF('D Proj'!$B$2:$B$513,B29)+COUNTIF('K Proj'!$B$2:$B$508,B29)</f>
        <v>16</v>
      </c>
      <c r="E29" t="str">
        <f>IF(ISERROR(MATCH(ROW(A28),Trades!$A$10:$A$43,0)),"",IF(INDEX(Trades!$E$10:$E$43,MATCH(ROW(A28),Trades!$A$10:$A$43,0)),IF(A29=Trades!$A$27,Trades!$B$7,Trades!$A$27),""))</f>
        <v/>
      </c>
      <c r="F29" t="str">
        <f>IF(D29=0,NA(),IFERROR(INDEX('F Proj'!$F$2:$F$7669,MATCH(B29,'F Proj'!$B$2:$B$7669,0)),"O"))</f>
        <v>RB</v>
      </c>
      <c r="G29" t="str">
        <f t="shared" si="1"/>
        <v>Flex</v>
      </c>
      <c r="H29" t="str">
        <f>C29&amp;G29&amp;COUNTIFS(C$1:C29,C29,G$1:G29,G29)</f>
        <v>coryFlex9</v>
      </c>
      <c r="I29" t="e">
        <f>MATCH(0,INDEX('ROS Proj'!$C$2:$S$561,MATCH($B29,'ROS Proj'!$A$2:$A$561,0),Week+Half_Week):INDEX('ROS Proj'!$C$2:$S$561,MATCH($B29,'ROS Proj'!$A$2:$A$561,0),17),1)+Week+Half_Week</f>
        <v>#N/A</v>
      </c>
      <c r="J29" s="2">
        <f>INDEX('ROS Proj'!$T$2:$T$561,MATCH($B29,'ROS Proj'!$A$2:$A$561,0))</f>
        <v>7.4885714285714284</v>
      </c>
      <c r="K29" s="2">
        <f>INDEX('ROS Proj'!$C$2:$S$561,MATCH($B29,'ROS Proj'!$A$2:$A$561,0),Week+Half_Week)</f>
        <v>8.0500000000000007</v>
      </c>
      <c r="L29" s="3">
        <f t="shared" si="2"/>
        <v>7.4971384967569721E-2</v>
      </c>
      <c r="M29">
        <f t="shared" si="3"/>
        <v>1</v>
      </c>
      <c r="N29">
        <f t="shared" si="4"/>
        <v>7</v>
      </c>
      <c r="O29">
        <f t="shared" si="5"/>
        <v>12</v>
      </c>
      <c r="P29" t="str">
        <f t="shared" si="6"/>
        <v/>
      </c>
      <c r="Q29" t="str">
        <f t="shared" si="7"/>
        <v xml:space="preserve">Powell (cory) </v>
      </c>
    </row>
    <row r="30" spans="1:20" x14ac:dyDescent="0.25">
      <c r="A30" t="s">
        <v>16</v>
      </c>
      <c r="B30" t="s">
        <v>83</v>
      </c>
      <c r="C30" t="str">
        <f t="shared" si="0"/>
        <v>cory</v>
      </c>
      <c r="D30">
        <f>COUNTIF('F Proj'!$B$2:$B$7669,B30)+COUNTIF('D Proj'!$B$2:$B$513,B30)+COUNTIF('K Proj'!$B$2:$B$508,B30)</f>
        <v>16</v>
      </c>
      <c r="E30" t="str">
        <f>IF(ISERROR(MATCH(ROW(A29),Trades!$A$10:$A$43,0)),"",IF(INDEX(Trades!$E$10:$E$43,MATCH(ROW(A29),Trades!$A$10:$A$43,0)),IF(A30=Trades!$A$27,Trades!$B$7,Trades!$A$27),""))</f>
        <v/>
      </c>
      <c r="F30" t="str">
        <f>IF(D30=0,NA(),IFERROR(INDEX('F Proj'!$F$2:$F$7669,MATCH(B30,'F Proj'!$B$2:$B$7669,0)),"O"))</f>
        <v>QB</v>
      </c>
      <c r="G30" t="str">
        <f t="shared" si="1"/>
        <v>Non</v>
      </c>
      <c r="H30" t="str">
        <f>C30&amp;G30&amp;COUNTIFS(C$1:C30,C30,G$1:G30,G30)</f>
        <v>coryNon5</v>
      </c>
      <c r="I30" t="e">
        <f>MATCH(0,INDEX('ROS Proj'!$C$2:$S$561,MATCH($B30,'ROS Proj'!$A$2:$A$561,0),Week+Half_Week):INDEX('ROS Proj'!$C$2:$S$561,MATCH($B30,'ROS Proj'!$A$2:$A$561,0),17),1)+Week+Half_Week</f>
        <v>#N/A</v>
      </c>
      <c r="J30" s="2">
        <f>INDEX('ROS Proj'!$T$2:$T$561,MATCH($B30,'ROS Proj'!$A$2:$A$561,0))</f>
        <v>20.884285714285713</v>
      </c>
      <c r="K30" s="2">
        <f>INDEX('ROS Proj'!$C$2:$S$561,MATCH($B30,'ROS Proj'!$A$2:$A$561,0),Week+Half_Week)</f>
        <v>19.18</v>
      </c>
      <c r="L30" s="3">
        <f t="shared" si="2"/>
        <v>-8.1606129010192152E-2</v>
      </c>
      <c r="M30">
        <f t="shared" si="3"/>
        <v>1</v>
      </c>
      <c r="N30">
        <f t="shared" si="4"/>
        <v>7</v>
      </c>
      <c r="O30">
        <f t="shared" si="5"/>
        <v>12</v>
      </c>
      <c r="P30" t="str">
        <f t="shared" si="6"/>
        <v/>
      </c>
      <c r="Q30" t="str">
        <f t="shared" si="7"/>
        <v xml:space="preserve">Goff (cory) </v>
      </c>
    </row>
    <row r="31" spans="1:20" x14ac:dyDescent="0.25">
      <c r="A31" t="s">
        <v>16</v>
      </c>
      <c r="B31" t="s">
        <v>1395</v>
      </c>
      <c r="C31" t="str">
        <f t="shared" si="0"/>
        <v>cory</v>
      </c>
      <c r="D31">
        <f>COUNTIF('F Proj'!$B$2:$B$7669,B31)+COUNTIF('D Proj'!$B$2:$B$513,B31)+COUNTIF('K Proj'!$B$2:$B$508,B31)</f>
        <v>16</v>
      </c>
      <c r="E31" t="str">
        <f>IF(ISERROR(MATCH(ROW(A30),Trades!$A$10:$A$43,0)),"",IF(INDEX(Trades!$E$10:$E$43,MATCH(ROW(A30),Trades!$A$10:$A$43,0)),IF(A31=Trades!$A$27,Trades!$B$7,Trades!$A$27),""))</f>
        <v/>
      </c>
      <c r="F31" t="str">
        <f>IF(D31=0,NA(),IFERROR(INDEX('F Proj'!$F$2:$F$7669,MATCH(B31,'F Proj'!$B$2:$B$7669,0)),"O"))</f>
        <v>RB</v>
      </c>
      <c r="G31" t="str">
        <f t="shared" si="1"/>
        <v>Flex</v>
      </c>
      <c r="H31" t="str">
        <f>C31&amp;G31&amp;COUNTIFS(C$1:C31,C31,G$1:G31,G31)</f>
        <v>coryFlex10</v>
      </c>
      <c r="I31" t="e">
        <f>MATCH(0,INDEX('ROS Proj'!$C$2:$S$561,MATCH($B31,'ROS Proj'!$A$2:$A$561,0),Week+Half_Week):INDEX('ROS Proj'!$C$2:$S$561,MATCH($B31,'ROS Proj'!$A$2:$A$561,0),17),1)+Week+Half_Week</f>
        <v>#N/A</v>
      </c>
      <c r="J31" s="2">
        <f>INDEX('ROS Proj'!$T$2:$T$561,MATCH($B31,'ROS Proj'!$A$2:$A$561,0))</f>
        <v>5.347142857142857</v>
      </c>
      <c r="K31" s="2">
        <f>INDEX('ROS Proj'!$C$2:$S$561,MATCH($B31,'ROS Proj'!$A$2:$A$561,0),Week+Half_Week)</f>
        <v>7.41</v>
      </c>
      <c r="L31" s="3">
        <f t="shared" si="2"/>
        <v>0.3857868020304569</v>
      </c>
      <c r="M31">
        <f t="shared" si="3"/>
        <v>1</v>
      </c>
      <c r="N31">
        <f t="shared" si="4"/>
        <v>7</v>
      </c>
      <c r="O31">
        <f t="shared" si="5"/>
        <v>12</v>
      </c>
      <c r="P31" t="str">
        <f t="shared" si="6"/>
        <v/>
      </c>
      <c r="Q31" t="str">
        <f t="shared" si="7"/>
        <v xml:space="preserve">Hines (cory) </v>
      </c>
    </row>
    <row r="32" spans="1:20" x14ac:dyDescent="0.25">
      <c r="A32" t="s">
        <v>55</v>
      </c>
      <c r="B32" t="s">
        <v>70</v>
      </c>
      <c r="C32" t="str">
        <f t="shared" si="0"/>
        <v>aj</v>
      </c>
      <c r="D32">
        <f>COUNTIF('F Proj'!$B$2:$B$7669,B32)+COUNTIF('D Proj'!$B$2:$B$513,B32)+COUNTIF('K Proj'!$B$2:$B$508,B32)</f>
        <v>16</v>
      </c>
      <c r="E32" t="str">
        <f>IF(ISERROR(MATCH(ROW(A31),Trades!$A$10:$A$43,0)),"",IF(INDEX(Trades!$E$10:$E$43,MATCH(ROW(A31),Trades!$A$10:$A$43,0)),IF(A32=Trades!$A$27,Trades!$B$7,Trades!$A$27),""))</f>
        <v/>
      </c>
      <c r="F32" t="str">
        <f>IF(D32=0,NA(),IFERROR(INDEX('F Proj'!$F$2:$F$7669,MATCH(B32,'F Proj'!$B$2:$B$7669,0)),"O"))</f>
        <v>QB</v>
      </c>
      <c r="G32" t="str">
        <f t="shared" si="1"/>
        <v>Non</v>
      </c>
      <c r="H32" t="str">
        <f>C32&amp;G32&amp;COUNTIFS(C$1:C32,C32,G$1:G32,G32)</f>
        <v>ajNon1</v>
      </c>
      <c r="I32" t="e">
        <f>MATCH(0,INDEX('ROS Proj'!$C$2:$S$561,MATCH($B32,'ROS Proj'!$A$2:$A$561,0),Week+Half_Week):INDEX('ROS Proj'!$C$2:$S$561,MATCH($B32,'ROS Proj'!$A$2:$A$561,0),17),1)+Week+Half_Week</f>
        <v>#N/A</v>
      </c>
      <c r="J32" s="2">
        <f>INDEX('ROS Proj'!$T$2:$T$561,MATCH($B32,'ROS Proj'!$A$2:$A$561,0))</f>
        <v>16.872857142857146</v>
      </c>
      <c r="K32" s="2">
        <f>INDEX('ROS Proj'!$C$2:$S$561,MATCH($B32,'ROS Proj'!$A$2:$A$561,0),Week+Half_Week)</f>
        <v>19.37</v>
      </c>
      <c r="L32" s="3">
        <f t="shared" si="2"/>
        <v>0.14799762932859184</v>
      </c>
      <c r="M32">
        <f t="shared" si="3"/>
        <v>1</v>
      </c>
      <c r="N32">
        <f t="shared" si="4"/>
        <v>7</v>
      </c>
      <c r="O32">
        <f t="shared" si="5"/>
        <v>12</v>
      </c>
      <c r="P32" t="str">
        <f t="shared" si="6"/>
        <v/>
      </c>
      <c r="Q32" t="str">
        <f t="shared" si="7"/>
        <v xml:space="preserve">Stafford (aj) </v>
      </c>
    </row>
    <row r="33" spans="1:17" x14ac:dyDescent="0.25">
      <c r="A33" t="s">
        <v>55</v>
      </c>
      <c r="B33" t="s">
        <v>298</v>
      </c>
      <c r="C33" t="str">
        <f t="shared" si="0"/>
        <v>aj</v>
      </c>
      <c r="D33">
        <f>COUNTIF('F Proj'!$B$2:$B$7669,B33)+COUNTIF('D Proj'!$B$2:$B$513,B33)+COUNTIF('K Proj'!$B$2:$B$508,B33)</f>
        <v>16</v>
      </c>
      <c r="E33" t="str">
        <f>IF(ISERROR(MATCH(ROW(A32),Trades!$A$10:$A$43,0)),"",IF(INDEX(Trades!$E$10:$E$43,MATCH(ROW(A32),Trades!$A$10:$A$43,0)),IF(A33=Trades!$A$27,Trades!$B$7,Trades!$A$27),""))</f>
        <v/>
      </c>
      <c r="F33" t="str">
        <f>IF(D33=0,NA(),IFERROR(INDEX('F Proj'!$F$2:$F$7669,MATCH(B33,'F Proj'!$B$2:$B$7669,0)),"O"))</f>
        <v>RB</v>
      </c>
      <c r="G33" t="str">
        <f t="shared" si="1"/>
        <v>Flex</v>
      </c>
      <c r="H33" t="str">
        <f>C33&amp;G33&amp;COUNTIFS(C$1:C33,C33,G$1:G33,G33)</f>
        <v>ajFlex1</v>
      </c>
      <c r="I33" t="e">
        <f>MATCH(0,INDEX('ROS Proj'!$C$2:$S$561,MATCH($B33,'ROS Proj'!$A$2:$A$561,0),Week+Half_Week):INDEX('ROS Proj'!$C$2:$S$561,MATCH($B33,'ROS Proj'!$A$2:$A$561,0),17),1)+Week+Half_Week</f>
        <v>#N/A</v>
      </c>
      <c r="J33" s="2">
        <f>INDEX('ROS Proj'!$T$2:$T$561,MATCH($B33,'ROS Proj'!$A$2:$A$561,0))</f>
        <v>8.2700000000000014</v>
      </c>
      <c r="K33" s="2">
        <f>INDEX('ROS Proj'!$C$2:$S$561,MATCH($B33,'ROS Proj'!$A$2:$A$561,0),Week+Half_Week)</f>
        <v>13.33</v>
      </c>
      <c r="L33" s="3">
        <f t="shared" si="2"/>
        <v>0.61185006045949186</v>
      </c>
      <c r="M33">
        <f t="shared" si="3"/>
        <v>1</v>
      </c>
      <c r="N33">
        <f t="shared" si="4"/>
        <v>7</v>
      </c>
      <c r="O33">
        <f t="shared" si="5"/>
        <v>12</v>
      </c>
      <c r="P33" t="str">
        <f t="shared" si="6"/>
        <v/>
      </c>
      <c r="Q33" t="str">
        <f t="shared" si="7"/>
        <v xml:space="preserve">Conner (aj) </v>
      </c>
    </row>
    <row r="34" spans="1:17" x14ac:dyDescent="0.25">
      <c r="A34" t="s">
        <v>55</v>
      </c>
      <c r="B34" t="s">
        <v>123</v>
      </c>
      <c r="C34" t="str">
        <f t="shared" si="0"/>
        <v>aj</v>
      </c>
      <c r="D34">
        <f>COUNTIF('F Proj'!$B$2:$B$7669,B34)+COUNTIF('D Proj'!$B$2:$B$513,B34)+COUNTIF('K Proj'!$B$2:$B$508,B34)</f>
        <v>16</v>
      </c>
      <c r="E34" t="str">
        <f>IF(ISERROR(MATCH(ROW(A33),Trades!$A$10:$A$43,0)),"",IF(INDEX(Trades!$E$10:$E$43,MATCH(ROW(A33),Trades!$A$10:$A$43,0)),IF(A34=Trades!$A$27,Trades!$B$7,Trades!$A$27),""))</f>
        <v/>
      </c>
      <c r="F34" t="str">
        <f>IF(D34=0,NA(),IFERROR(INDEX('F Proj'!$F$2:$F$7669,MATCH(B34,'F Proj'!$B$2:$B$7669,0)),"O"))</f>
        <v>RB</v>
      </c>
      <c r="G34" t="str">
        <f t="shared" si="1"/>
        <v>Flex</v>
      </c>
      <c r="H34" t="str">
        <f>C34&amp;G34&amp;COUNTIFS(C$1:C34,C34,G$1:G34,G34)</f>
        <v>ajFlex2</v>
      </c>
      <c r="I34" t="e">
        <f>MATCH(0,INDEX('ROS Proj'!$C$2:$S$561,MATCH($B34,'ROS Proj'!$A$2:$A$561,0),Week+Half_Week):INDEX('ROS Proj'!$C$2:$S$561,MATCH($B34,'ROS Proj'!$A$2:$A$561,0),17),1)+Week+Half_Week</f>
        <v>#N/A</v>
      </c>
      <c r="J34" s="2">
        <f>INDEX('ROS Proj'!$T$2:$T$561,MATCH($B34,'ROS Proj'!$A$2:$A$561,0))</f>
        <v>11.758571428571429</v>
      </c>
      <c r="K34" s="2">
        <f>INDEX('ROS Proj'!$C$2:$S$561,MATCH($B34,'ROS Proj'!$A$2:$A$561,0),Week+Half_Week)</f>
        <v>11.78</v>
      </c>
      <c r="L34" s="3">
        <f t="shared" si="2"/>
        <v>1.8223788118090223E-3</v>
      </c>
      <c r="M34">
        <f t="shared" si="3"/>
        <v>1</v>
      </c>
      <c r="N34">
        <f t="shared" si="4"/>
        <v>7</v>
      </c>
      <c r="O34">
        <f t="shared" si="5"/>
        <v>12</v>
      </c>
      <c r="P34" t="str">
        <f t="shared" si="6"/>
        <v/>
      </c>
      <c r="Q34" t="str">
        <f t="shared" si="7"/>
        <v xml:space="preserve">Mixon (aj) </v>
      </c>
    </row>
    <row r="35" spans="1:17" x14ac:dyDescent="0.25">
      <c r="A35" t="s">
        <v>55</v>
      </c>
      <c r="B35" t="s">
        <v>90</v>
      </c>
      <c r="C35" t="str">
        <f t="shared" si="0"/>
        <v>devon</v>
      </c>
      <c r="D35">
        <f>COUNTIF('F Proj'!$B$2:$B$7669,B35)+COUNTIF('D Proj'!$B$2:$B$513,B35)+COUNTIF('K Proj'!$B$2:$B$508,B35)</f>
        <v>16</v>
      </c>
      <c r="E35" t="str">
        <f>IF(ISERROR(MATCH(ROW(A34),Trades!$A$10:$A$43,0)),"",IF(INDEX(Trades!$E$10:$E$43,MATCH(ROW(A34),Trades!$A$10:$A$43,0)),IF(A35=Trades!$A$27,Trades!$B$7,Trades!$A$27),""))</f>
        <v>devon</v>
      </c>
      <c r="F35" t="str">
        <f>IF(D35=0,NA(),IFERROR(INDEX('F Proj'!$F$2:$F$7669,MATCH(B35,'F Proj'!$B$2:$B$7669,0)),"O"))</f>
        <v>RB</v>
      </c>
      <c r="G35" t="str">
        <f t="shared" si="1"/>
        <v>Flex</v>
      </c>
      <c r="H35" t="str">
        <f>C35&amp;G35&amp;COUNTIFS(C$1:C35,C35,G$1:G35,G35)</f>
        <v>devonFlex1</v>
      </c>
      <c r="I35" t="e">
        <f>MATCH(0,INDEX('ROS Proj'!$C$2:$S$561,MATCH($B35,'ROS Proj'!$A$2:$A$561,0),Week+Half_Week):INDEX('ROS Proj'!$C$2:$S$561,MATCH($B35,'ROS Proj'!$A$2:$A$561,0),17),1)+Week+Half_Week</f>
        <v>#N/A</v>
      </c>
      <c r="J35" s="2">
        <f>INDEX('ROS Proj'!$T$2:$T$561,MATCH($B35,'ROS Proj'!$A$2:$A$561,0))</f>
        <v>10.63857142857143</v>
      </c>
      <c r="K35" s="2">
        <f>INDEX('ROS Proj'!$C$2:$S$561,MATCH($B35,'ROS Proj'!$A$2:$A$561,0),Week+Half_Week)</f>
        <v>8.9499999999999993</v>
      </c>
      <c r="L35" s="3">
        <f t="shared" si="2"/>
        <v>-0.15872163287229768</v>
      </c>
      <c r="M35">
        <f t="shared" si="3"/>
        <v>1</v>
      </c>
      <c r="N35">
        <f t="shared" si="4"/>
        <v>7</v>
      </c>
      <c r="O35">
        <f t="shared" si="5"/>
        <v>12</v>
      </c>
      <c r="P35" t="str">
        <f t="shared" si="6"/>
        <v/>
      </c>
      <c r="Q35" t="str">
        <f t="shared" si="7"/>
        <v xml:space="preserve">Freeman (devon) </v>
      </c>
    </row>
    <row r="36" spans="1:17" x14ac:dyDescent="0.25">
      <c r="A36" t="s">
        <v>55</v>
      </c>
      <c r="B36" t="s">
        <v>120</v>
      </c>
      <c r="C36" t="str">
        <f t="shared" si="0"/>
        <v>aj</v>
      </c>
      <c r="D36">
        <f>COUNTIF('F Proj'!$B$2:$B$7669,B36)+COUNTIF('D Proj'!$B$2:$B$513,B36)+COUNTIF('K Proj'!$B$2:$B$508,B36)</f>
        <v>16</v>
      </c>
      <c r="E36" t="str">
        <f>IF(ISERROR(MATCH(ROW(A35),Trades!$A$10:$A$43,0)),"",IF(INDEX(Trades!$E$10:$E$43,MATCH(ROW(A35),Trades!$A$10:$A$43,0)),IF(A36=Trades!$A$27,Trades!$B$7,Trades!$A$27),""))</f>
        <v/>
      </c>
      <c r="F36" t="str">
        <f>IF(D36=0,NA(),IFERROR(INDEX('F Proj'!$F$2:$F$7669,MATCH(B36,'F Proj'!$B$2:$B$7669,0)),"O"))</f>
        <v>WR</v>
      </c>
      <c r="G36" t="str">
        <f t="shared" si="1"/>
        <v>Flex</v>
      </c>
      <c r="H36" t="str">
        <f>C36&amp;G36&amp;COUNTIFS(C$1:C36,C36,G$1:G36,G36)</f>
        <v>ajFlex3</v>
      </c>
      <c r="I36" t="e">
        <f>MATCH(0,INDEX('ROS Proj'!$C$2:$S$561,MATCH($B36,'ROS Proj'!$A$2:$A$561,0),Week+Half_Week):INDEX('ROS Proj'!$C$2:$S$561,MATCH($B36,'ROS Proj'!$A$2:$A$561,0),17),1)+Week+Half_Week</f>
        <v>#N/A</v>
      </c>
      <c r="J36" s="2">
        <f>INDEX('ROS Proj'!$T$2:$T$561,MATCH($B36,'ROS Proj'!$A$2:$A$561,0))</f>
        <v>13.31142857142857</v>
      </c>
      <c r="K36" s="2">
        <f>INDEX('ROS Proj'!$C$2:$S$561,MATCH($B36,'ROS Proj'!$A$2:$A$561,0),Week+Half_Week)</f>
        <v>15.31</v>
      </c>
      <c r="L36" s="3">
        <f t="shared" si="2"/>
        <v>0.15013951491736433</v>
      </c>
      <c r="M36">
        <f t="shared" si="3"/>
        <v>1</v>
      </c>
      <c r="N36">
        <f t="shared" si="4"/>
        <v>7</v>
      </c>
      <c r="O36">
        <f t="shared" si="5"/>
        <v>12</v>
      </c>
      <c r="P36" t="str">
        <f t="shared" si="6"/>
        <v/>
      </c>
      <c r="Q36" t="str">
        <f t="shared" si="7"/>
        <v xml:space="preserve">Hopkins (aj) </v>
      </c>
    </row>
    <row r="37" spans="1:17" x14ac:dyDescent="0.25">
      <c r="A37" t="s">
        <v>55</v>
      </c>
      <c r="B37" t="s">
        <v>133</v>
      </c>
      <c r="C37" t="str">
        <f t="shared" si="0"/>
        <v>aj</v>
      </c>
      <c r="D37">
        <f>COUNTIF('F Proj'!$B$2:$B$7669,B37)+COUNTIF('D Proj'!$B$2:$B$513,B37)+COUNTIF('K Proj'!$B$2:$B$508,B37)</f>
        <v>16</v>
      </c>
      <c r="E37" t="str">
        <f>IF(ISERROR(MATCH(ROW(A36),Trades!$A$10:$A$43,0)),"",IF(INDEX(Trades!$E$10:$E$43,MATCH(ROW(A36),Trades!$A$10:$A$43,0)),IF(A37=Trades!$A$27,Trades!$B$7,Trades!$A$27),""))</f>
        <v/>
      </c>
      <c r="F37" t="str">
        <f>IF(D37=0,NA(),IFERROR(INDEX('F Proj'!$F$2:$F$7669,MATCH(B37,'F Proj'!$B$2:$B$7669,0)),"O"))</f>
        <v>WR</v>
      </c>
      <c r="G37" t="str">
        <f t="shared" si="1"/>
        <v>Flex</v>
      </c>
      <c r="H37" t="str">
        <f>C37&amp;G37&amp;COUNTIFS(C$1:C37,C37,G$1:G37,G37)</f>
        <v>ajFlex4</v>
      </c>
      <c r="I37" t="e">
        <f>MATCH(0,INDEX('ROS Proj'!$C$2:$S$561,MATCH($B37,'ROS Proj'!$A$2:$A$561,0),Week+Half_Week):INDEX('ROS Proj'!$C$2:$S$561,MATCH($B37,'ROS Proj'!$A$2:$A$561,0),17),1)+Week+Half_Week</f>
        <v>#N/A</v>
      </c>
      <c r="J37" s="2">
        <f>INDEX('ROS Proj'!$T$2:$T$561,MATCH($B37,'ROS Proj'!$A$2:$A$561,0))</f>
        <v>10.42</v>
      </c>
      <c r="K37" s="2">
        <f>INDEX('ROS Proj'!$C$2:$S$561,MATCH($B37,'ROS Proj'!$A$2:$A$561,0),Week+Half_Week)</f>
        <v>10.38</v>
      </c>
      <c r="L37" s="3">
        <f t="shared" si="2"/>
        <v>-3.8387715930900956E-3</v>
      </c>
      <c r="M37">
        <f t="shared" si="3"/>
        <v>1</v>
      </c>
      <c r="N37">
        <f t="shared" si="4"/>
        <v>7</v>
      </c>
      <c r="O37">
        <f t="shared" si="5"/>
        <v>12</v>
      </c>
      <c r="P37" t="str">
        <f t="shared" si="6"/>
        <v/>
      </c>
      <c r="Q37" t="str">
        <f t="shared" si="7"/>
        <v xml:space="preserve">Diggs (aj) </v>
      </c>
    </row>
    <row r="38" spans="1:17" x14ac:dyDescent="0.25">
      <c r="A38" t="s">
        <v>55</v>
      </c>
      <c r="B38" t="s">
        <v>4236</v>
      </c>
      <c r="C38" t="str">
        <f t="shared" si="0"/>
        <v>aj</v>
      </c>
      <c r="D38">
        <f>COUNTIF('F Proj'!$B$2:$B$7669,B38)+COUNTIF('D Proj'!$B$2:$B$513,B38)+COUNTIF('K Proj'!$B$2:$B$508,B38)</f>
        <v>15</v>
      </c>
      <c r="E38" t="str">
        <f>IF(ISERROR(MATCH(ROW(A37),Trades!$A$10:$A$43,0)),"",IF(INDEX(Trades!$E$10:$E$43,MATCH(ROW(A37),Trades!$A$10:$A$43,0)),IF(A38=Trades!$A$27,Trades!$B$7,Trades!$A$27),""))</f>
        <v/>
      </c>
      <c r="F38" t="str">
        <f>IF(D38=0,NA(),IFERROR(INDEX('F Proj'!$F$2:$F$7669,MATCH(B38,'F Proj'!$B$2:$B$7669,0)),"O"))</f>
        <v>WR</v>
      </c>
      <c r="G38" t="str">
        <f t="shared" si="1"/>
        <v>Flex</v>
      </c>
      <c r="H38" t="str">
        <f>C38&amp;G38&amp;COUNTIFS(C$1:C38,C38,G$1:G38,G38)</f>
        <v>ajFlex5</v>
      </c>
      <c r="I38" t="e">
        <f>MATCH(0,INDEX('ROS Proj'!$C$2:$S$561,MATCH($B38,'ROS Proj'!$A$2:$A$561,0),Week+Half_Week):INDEX('ROS Proj'!$C$2:$S$561,MATCH($B38,'ROS Proj'!$A$2:$A$561,0),17),1)+Week+Half_Week</f>
        <v>#N/A</v>
      </c>
      <c r="J38" s="2">
        <f>INDEX('ROS Proj'!$T$2:$T$561,MATCH($B38,'ROS Proj'!$A$2:$A$561,0))</f>
        <v>2.6871428571428568</v>
      </c>
      <c r="K38" s="2">
        <f>INDEX('ROS Proj'!$C$2:$S$561,MATCH($B38,'ROS Proj'!$A$2:$A$561,0),Week+Half_Week)</f>
        <v>6.82</v>
      </c>
      <c r="L38" s="3">
        <f t="shared" si="2"/>
        <v>1.5380116959064329</v>
      </c>
      <c r="M38">
        <f t="shared" si="3"/>
        <v>2</v>
      </c>
      <c r="N38">
        <f t="shared" si="4"/>
        <v>7</v>
      </c>
      <c r="O38">
        <f t="shared" si="5"/>
        <v>12</v>
      </c>
      <c r="P38">
        <f t="shared" si="6"/>
        <v>2</v>
      </c>
      <c r="Q38" t="str">
        <f t="shared" si="7"/>
        <v>Valdes-Scantling (aj) adjusted up this week</v>
      </c>
    </row>
    <row r="39" spans="1:17" x14ac:dyDescent="0.25">
      <c r="A39" t="s">
        <v>55</v>
      </c>
      <c r="B39" t="s">
        <v>151</v>
      </c>
      <c r="C39" t="str">
        <f t="shared" si="0"/>
        <v>aj</v>
      </c>
      <c r="D39">
        <f>COUNTIF('F Proj'!$B$2:$B$7669,B39)+COUNTIF('D Proj'!$B$2:$B$513,B39)+COUNTIF('K Proj'!$B$2:$B$508,B39)</f>
        <v>16</v>
      </c>
      <c r="E39" t="str">
        <f>IF(ISERROR(MATCH(ROW(A38),Trades!$A$10:$A$43,0)),"",IF(INDEX(Trades!$E$10:$E$43,MATCH(ROW(A38),Trades!$A$10:$A$43,0)),IF(A39=Trades!$A$27,Trades!$B$7,Trades!$A$27),""))</f>
        <v/>
      </c>
      <c r="F39" t="str">
        <f>IF(D39=0,NA(),IFERROR(INDEX('F Proj'!$F$2:$F$7669,MATCH(B39,'F Proj'!$B$2:$B$7669,0)),"O"))</f>
        <v>TE</v>
      </c>
      <c r="G39" t="str">
        <f t="shared" si="1"/>
        <v>Non</v>
      </c>
      <c r="H39" t="str">
        <f>C39&amp;G39&amp;COUNTIFS(C$1:C39,C39,G$1:G39,G39)</f>
        <v>ajNon2</v>
      </c>
      <c r="I39" t="e">
        <f>MATCH(0,INDEX('ROS Proj'!$C$2:$S$561,MATCH($B39,'ROS Proj'!$A$2:$A$561,0),Week+Half_Week):INDEX('ROS Proj'!$C$2:$S$561,MATCH($B39,'ROS Proj'!$A$2:$A$561,0),17),1)+Week+Half_Week</f>
        <v>#N/A</v>
      </c>
      <c r="J39" s="2">
        <f>INDEX('ROS Proj'!$T$2:$T$561,MATCH($B39,'ROS Proj'!$A$2:$A$561,0))</f>
        <v>10.151428571428571</v>
      </c>
      <c r="K39" s="2">
        <f>INDEX('ROS Proj'!$C$2:$S$561,MATCH($B39,'ROS Proj'!$A$2:$A$561,0),Week+Half_Week)</f>
        <v>10.91</v>
      </c>
      <c r="L39" s="3">
        <f t="shared" si="2"/>
        <v>7.4725584013509705E-2</v>
      </c>
      <c r="M39">
        <f t="shared" si="3"/>
        <v>2</v>
      </c>
      <c r="N39">
        <f t="shared" si="4"/>
        <v>7</v>
      </c>
      <c r="O39">
        <f t="shared" si="5"/>
        <v>12</v>
      </c>
      <c r="P39" t="str">
        <f t="shared" si="6"/>
        <v/>
      </c>
      <c r="Q39" t="str">
        <f t="shared" si="7"/>
        <v xml:space="preserve">Kelce (aj) </v>
      </c>
    </row>
    <row r="40" spans="1:17" x14ac:dyDescent="0.25">
      <c r="A40" t="s">
        <v>55</v>
      </c>
      <c r="B40" t="s">
        <v>427</v>
      </c>
      <c r="C40" t="str">
        <f t="shared" si="0"/>
        <v>aj</v>
      </c>
      <c r="D40">
        <f>COUNTIF('F Proj'!$B$2:$B$7669,B40)+COUNTIF('D Proj'!$B$2:$B$513,B40)+COUNTIF('K Proj'!$B$2:$B$508,B40)</f>
        <v>16</v>
      </c>
      <c r="E40" t="str">
        <f>IF(ISERROR(MATCH(ROW(A39),Trades!$A$10:$A$43,0)),"",IF(INDEX(Trades!$E$10:$E$43,MATCH(ROW(A39),Trades!$A$10:$A$43,0)),IF(A40=Trades!$A$27,Trades!$B$7,Trades!$A$27),""))</f>
        <v/>
      </c>
      <c r="F40" t="str">
        <f>IF(D40=0,NA(),IFERROR(INDEX('F Proj'!$F$2:$F$7669,MATCH(B40,'F Proj'!$B$2:$B$7669,0)),"O"))</f>
        <v>O</v>
      </c>
      <c r="G40" t="str">
        <f t="shared" si="1"/>
        <v>Non</v>
      </c>
      <c r="H40" t="str">
        <f>C40&amp;G40&amp;COUNTIFS(C$1:C40,C40,G$1:G40,G40)</f>
        <v>ajNon3</v>
      </c>
      <c r="I40" t="e">
        <f>MATCH(0,INDEX('ROS Proj'!$C$2:$S$561,MATCH($B40,'ROS Proj'!$A$2:$A$561,0),Week+Half_Week):INDEX('ROS Proj'!$C$2:$S$561,MATCH($B40,'ROS Proj'!$A$2:$A$561,0),17),1)+Week+Half_Week</f>
        <v>#N/A</v>
      </c>
      <c r="J40" s="2">
        <f>INDEX('ROS Proj'!$T$2:$T$561,MATCH($B40,'ROS Proj'!$A$2:$A$561,0))</f>
        <v>4.7714285714285714</v>
      </c>
      <c r="K40" s="2">
        <f>INDEX('ROS Proj'!$C$2:$S$561,MATCH($B40,'ROS Proj'!$A$2:$A$561,0),Week+Half_Week)</f>
        <v>7.16</v>
      </c>
      <c r="L40" s="3" t="str">
        <f t="shared" si="2"/>
        <v/>
      </c>
      <c r="M40">
        <f t="shared" si="3"/>
        <v>2</v>
      </c>
      <c r="N40">
        <f t="shared" si="4"/>
        <v>7</v>
      </c>
      <c r="O40">
        <f t="shared" si="5"/>
        <v>12</v>
      </c>
      <c r="P40" t="str">
        <f t="shared" si="6"/>
        <v/>
      </c>
      <c r="Q40" t="str">
        <f t="shared" si="7"/>
        <v xml:space="preserve">D/ST (aj) </v>
      </c>
    </row>
    <row r="41" spans="1:17" x14ac:dyDescent="0.25">
      <c r="A41" t="s">
        <v>55</v>
      </c>
      <c r="B41" t="s">
        <v>451</v>
      </c>
      <c r="C41" t="str">
        <f t="shared" si="0"/>
        <v>aj</v>
      </c>
      <c r="D41">
        <f>COUNTIF('F Proj'!$B$2:$B$7669,B41)+COUNTIF('D Proj'!$B$2:$B$513,B41)+COUNTIF('K Proj'!$B$2:$B$508,B41)</f>
        <v>1</v>
      </c>
      <c r="E41" t="str">
        <f>IF(ISERROR(MATCH(ROW(A40),Trades!$A$10:$A$43,0)),"",IF(INDEX(Trades!$E$10:$E$43,MATCH(ROW(A40),Trades!$A$10:$A$43,0)),IF(A41=Trades!$A$27,Trades!$B$7,Trades!$A$27),""))</f>
        <v/>
      </c>
      <c r="F41" t="str">
        <f>IF(D41=0,NA(),IFERROR(INDEX('F Proj'!$F$2:$F$7669,MATCH(B41,'F Proj'!$B$2:$B$7669,0)),"O"))</f>
        <v>O</v>
      </c>
      <c r="G41" t="str">
        <f t="shared" si="1"/>
        <v>Non</v>
      </c>
      <c r="H41" t="str">
        <f>C41&amp;G41&amp;COUNTIFS(C$1:C41,C41,G$1:G41,G41)</f>
        <v>ajNon4</v>
      </c>
      <c r="I41" t="e">
        <f>MATCH(0,INDEX('ROS Proj'!$C$2:$S$561,MATCH($B41,'ROS Proj'!$A$2:$A$561,0),Week+Half_Week):INDEX('ROS Proj'!$C$2:$S$561,MATCH($B41,'ROS Proj'!$A$2:$A$561,0),17),1)+Week+Half_Week</f>
        <v>#N/A</v>
      </c>
      <c r="J41" s="2">
        <f>INDEX('ROS Proj'!$T$2:$T$561,MATCH($B41,'ROS Proj'!$A$2:$A$561,0))</f>
        <v>0</v>
      </c>
      <c r="K41" s="2">
        <f>INDEX('ROS Proj'!$C$2:$S$561,MATCH($B41,'ROS Proj'!$A$2:$A$561,0),Week+Half_Week)</f>
        <v>7.41</v>
      </c>
      <c r="L41" s="3" t="str">
        <f t="shared" si="2"/>
        <v/>
      </c>
      <c r="M41">
        <f t="shared" si="3"/>
        <v>2</v>
      </c>
      <c r="N41">
        <f t="shared" si="4"/>
        <v>7</v>
      </c>
      <c r="O41">
        <f t="shared" si="5"/>
        <v>12</v>
      </c>
      <c r="P41" t="str">
        <f t="shared" si="6"/>
        <v/>
      </c>
      <c r="Q41" t="str">
        <f t="shared" si="7"/>
        <v xml:space="preserve">Santos (aj) </v>
      </c>
    </row>
    <row r="42" spans="1:17" x14ac:dyDescent="0.25">
      <c r="A42" t="s">
        <v>55</v>
      </c>
      <c r="B42" t="s">
        <v>100</v>
      </c>
      <c r="C42" t="str">
        <f t="shared" si="0"/>
        <v>aj</v>
      </c>
      <c r="D42">
        <f>COUNTIF('F Proj'!$B$2:$B$7669,B42)+COUNTIF('D Proj'!$B$2:$B$513,B42)+COUNTIF('K Proj'!$B$2:$B$508,B42)</f>
        <v>16</v>
      </c>
      <c r="E42" t="str">
        <f>IF(ISERROR(MATCH(ROW(A41),Trades!$A$10:$A$43,0)),"",IF(INDEX(Trades!$E$10:$E$43,MATCH(ROW(A41),Trades!$A$10:$A$43,0)),IF(A42=Trades!$A$27,Trades!$B$7,Trades!$A$27),""))</f>
        <v/>
      </c>
      <c r="F42" t="str">
        <f>IF(D42=0,NA(),IFERROR(INDEX('F Proj'!$F$2:$F$7669,MATCH(B42,'F Proj'!$B$2:$B$7669,0)),"O"))</f>
        <v>WR</v>
      </c>
      <c r="G42" t="str">
        <f t="shared" si="1"/>
        <v>Flex</v>
      </c>
      <c r="H42" t="str">
        <f>C42&amp;G42&amp;COUNTIFS(C$1:C42,C42,G$1:G42,G42)</f>
        <v>ajFlex6</v>
      </c>
      <c r="I42" t="e">
        <f>MATCH(0,INDEX('ROS Proj'!$C$2:$S$561,MATCH($B42,'ROS Proj'!$A$2:$A$561,0),Week+Half_Week):INDEX('ROS Proj'!$C$2:$S$561,MATCH($B42,'ROS Proj'!$A$2:$A$561,0),17),1)+Week+Half_Week</f>
        <v>#N/A</v>
      </c>
      <c r="J42" s="2">
        <f>INDEX('ROS Proj'!$T$2:$T$561,MATCH($B42,'ROS Proj'!$A$2:$A$561,0))</f>
        <v>11.08625</v>
      </c>
      <c r="K42" s="2" t="str">
        <f>INDEX('ROS Proj'!$C$2:$S$561,MATCH($B42,'ROS Proj'!$A$2:$A$561,0),Week+Half_Week)</f>
        <v>NA</v>
      </c>
      <c r="L42" s="3" t="e">
        <f t="shared" si="2"/>
        <v>#VALUE!</v>
      </c>
      <c r="M42">
        <f t="shared" si="3"/>
        <v>2</v>
      </c>
      <c r="N42">
        <f t="shared" si="4"/>
        <v>7</v>
      </c>
      <c r="O42">
        <f t="shared" si="5"/>
        <v>12</v>
      </c>
      <c r="P42" t="str">
        <f t="shared" si="6"/>
        <v/>
      </c>
      <c r="Q42" t="str">
        <f t="shared" si="7"/>
        <v xml:space="preserve">Evans (aj) </v>
      </c>
    </row>
    <row r="43" spans="1:17" x14ac:dyDescent="0.25">
      <c r="A43" t="s">
        <v>55</v>
      </c>
      <c r="B43" t="s">
        <v>81</v>
      </c>
      <c r="C43" t="str">
        <f t="shared" si="0"/>
        <v>aj</v>
      </c>
      <c r="D43">
        <f>COUNTIF('F Proj'!$B$2:$B$7669,B43)+COUNTIF('D Proj'!$B$2:$B$513,B43)+COUNTIF('K Proj'!$B$2:$B$508,B43)</f>
        <v>16</v>
      </c>
      <c r="E43" t="str">
        <f>IF(ISERROR(MATCH(ROW(A42),Trades!$A$10:$A$43,0)),"",IF(INDEX(Trades!$E$10:$E$43,MATCH(ROW(A42),Trades!$A$10:$A$43,0)),IF(A43=Trades!$A$27,Trades!$B$7,Trades!$A$27),""))</f>
        <v/>
      </c>
      <c r="F43" t="str">
        <f>IF(D43=0,NA(),IFERROR(INDEX('F Proj'!$F$2:$F$7669,MATCH(B43,'F Proj'!$B$2:$B$7669,0)),"O"))</f>
        <v>RB</v>
      </c>
      <c r="G43" t="str">
        <f t="shared" si="1"/>
        <v>Flex</v>
      </c>
      <c r="H43" t="str">
        <f>C43&amp;G43&amp;COUNTIFS(C$1:C43,C43,G$1:G43,G43)</f>
        <v>ajFlex7</v>
      </c>
      <c r="I43" t="e">
        <f>MATCH(0,INDEX('ROS Proj'!$C$2:$S$561,MATCH($B43,'ROS Proj'!$A$2:$A$561,0),Week+Half_Week):INDEX('ROS Proj'!$C$2:$S$561,MATCH($B43,'ROS Proj'!$A$2:$A$561,0),17),1)+Week+Half_Week</f>
        <v>#N/A</v>
      </c>
      <c r="J43" s="2">
        <f>INDEX('ROS Proj'!$T$2:$T$561,MATCH($B43,'ROS Proj'!$A$2:$A$561,0))</f>
        <v>8.194285714285714</v>
      </c>
      <c r="K43" s="2">
        <f>INDEX('ROS Proj'!$C$2:$S$561,MATCH($B43,'ROS Proj'!$A$2:$A$561,0),Week+Half_Week)</f>
        <v>9.24</v>
      </c>
      <c r="L43" s="3">
        <f t="shared" si="2"/>
        <v>0.12761506276150625</v>
      </c>
      <c r="M43">
        <f t="shared" si="3"/>
        <v>2</v>
      </c>
      <c r="N43">
        <f t="shared" si="4"/>
        <v>7</v>
      </c>
      <c r="O43">
        <f t="shared" si="5"/>
        <v>12</v>
      </c>
      <c r="P43" t="str">
        <f t="shared" si="6"/>
        <v/>
      </c>
      <c r="Q43" t="str">
        <f t="shared" si="7"/>
        <v xml:space="preserve">McCoy (aj) </v>
      </c>
    </row>
    <row r="44" spans="1:17" x14ac:dyDescent="0.25">
      <c r="A44" t="s">
        <v>55</v>
      </c>
      <c r="B44" t="s">
        <v>116</v>
      </c>
      <c r="C44" t="str">
        <f t="shared" si="0"/>
        <v>aj</v>
      </c>
      <c r="D44">
        <f>COUNTIF('F Proj'!$B$2:$B$7669,B44)+COUNTIF('D Proj'!$B$2:$B$513,B44)+COUNTIF('K Proj'!$B$2:$B$508,B44)</f>
        <v>16</v>
      </c>
      <c r="E44" t="str">
        <f>IF(ISERROR(MATCH(ROW(A43),Trades!$A$10:$A$43,0)),"",IF(INDEX(Trades!$E$10:$E$43,MATCH(ROW(A43),Trades!$A$10:$A$43,0)),IF(A44=Trades!$A$27,Trades!$B$7,Trades!$A$27),""))</f>
        <v/>
      </c>
      <c r="F44" t="str">
        <f>IF(D44=0,NA(),IFERROR(INDEX('F Proj'!$F$2:$F$7669,MATCH(B44,'F Proj'!$B$2:$B$7669,0)),"O"))</f>
        <v>WR</v>
      </c>
      <c r="G44" t="str">
        <f t="shared" si="1"/>
        <v>Flex</v>
      </c>
      <c r="H44" t="str">
        <f>C44&amp;G44&amp;COUNTIFS(C$1:C44,C44,G$1:G44,G44)</f>
        <v>ajFlex8</v>
      </c>
      <c r="I44" t="e">
        <f>MATCH(0,INDEX('ROS Proj'!$C$2:$S$561,MATCH($B44,'ROS Proj'!$A$2:$A$561,0),Week+Half_Week):INDEX('ROS Proj'!$C$2:$S$561,MATCH($B44,'ROS Proj'!$A$2:$A$561,0),17),1)+Week+Half_Week</f>
        <v>#N/A</v>
      </c>
      <c r="J44" s="2">
        <f>INDEX('ROS Proj'!$T$2:$T$561,MATCH($B44,'ROS Proj'!$A$2:$A$561,0))</f>
        <v>8.031428571428572</v>
      </c>
      <c r="K44" s="2">
        <f>INDEX('ROS Proj'!$C$2:$S$561,MATCH($B44,'ROS Proj'!$A$2:$A$561,0),Week+Half_Week)</f>
        <v>7.81</v>
      </c>
      <c r="L44" s="3">
        <f t="shared" si="2"/>
        <v>-2.7570259694059129E-2</v>
      </c>
      <c r="M44">
        <f t="shared" si="3"/>
        <v>2</v>
      </c>
      <c r="N44">
        <f t="shared" si="4"/>
        <v>7</v>
      </c>
      <c r="O44">
        <f t="shared" si="5"/>
        <v>12</v>
      </c>
      <c r="P44" t="str">
        <f t="shared" si="6"/>
        <v/>
      </c>
      <c r="Q44" t="str">
        <f t="shared" si="7"/>
        <v xml:space="preserve">Crabtree (aj) </v>
      </c>
    </row>
    <row r="45" spans="1:17" x14ac:dyDescent="0.25">
      <c r="A45" t="s">
        <v>55</v>
      </c>
      <c r="B45" t="s">
        <v>1326</v>
      </c>
      <c r="C45" t="str">
        <f t="shared" si="0"/>
        <v>devon</v>
      </c>
      <c r="D45">
        <f>COUNTIF('F Proj'!$B$2:$B$7669,B45)+COUNTIF('D Proj'!$B$2:$B$513,B45)+COUNTIF('K Proj'!$B$2:$B$508,B45)</f>
        <v>16</v>
      </c>
      <c r="E45" t="str">
        <f>IF(ISERROR(MATCH(ROW(A44),Trades!$A$10:$A$43,0)),"",IF(INDEX(Trades!$E$10:$E$43,MATCH(ROW(A44),Trades!$A$10:$A$43,0)),IF(A45=Trades!$A$27,Trades!$B$7,Trades!$A$27),""))</f>
        <v>devon</v>
      </c>
      <c r="F45" t="str">
        <f>IF(D45=0,NA(),IFERROR(INDEX('F Proj'!$F$2:$F$7669,MATCH(B45,'F Proj'!$B$2:$B$7669,0)),"O"))</f>
        <v>RB</v>
      </c>
      <c r="G45" t="str">
        <f t="shared" si="1"/>
        <v>Flex</v>
      </c>
      <c r="H45" t="str">
        <f>C45&amp;G45&amp;COUNTIFS(C$1:C45,C45,G$1:G45,G45)</f>
        <v>devonFlex2</v>
      </c>
      <c r="I45" t="e">
        <f>MATCH(0,INDEX('ROS Proj'!$C$2:$S$561,MATCH($B45,'ROS Proj'!$A$2:$A$561,0),Week+Half_Week):INDEX('ROS Proj'!$C$2:$S$561,MATCH($B45,'ROS Proj'!$A$2:$A$561,0),17),1)+Week+Half_Week</f>
        <v>#N/A</v>
      </c>
      <c r="J45" s="2">
        <f>INDEX('ROS Proj'!$T$2:$T$561,MATCH($B45,'ROS Proj'!$A$2:$A$561,0))</f>
        <v>7.5542857142857143</v>
      </c>
      <c r="K45" s="2">
        <f>INDEX('ROS Proj'!$C$2:$S$561,MATCH($B45,'ROS Proj'!$A$2:$A$561,0),Week+Half_Week)</f>
        <v>8.67</v>
      </c>
      <c r="L45" s="3">
        <f t="shared" si="2"/>
        <v>0.1476928895612708</v>
      </c>
      <c r="M45">
        <f t="shared" si="3"/>
        <v>2</v>
      </c>
      <c r="N45">
        <f t="shared" si="4"/>
        <v>7</v>
      </c>
      <c r="O45">
        <f t="shared" si="5"/>
        <v>12</v>
      </c>
      <c r="P45" t="str">
        <f t="shared" si="6"/>
        <v/>
      </c>
      <c r="Q45" t="str">
        <f t="shared" si="7"/>
        <v xml:space="preserve">Johnson (devon) </v>
      </c>
    </row>
    <row r="46" spans="1:17" x14ac:dyDescent="0.25">
      <c r="A46" t="s">
        <v>55</v>
      </c>
      <c r="B46" t="s">
        <v>240</v>
      </c>
      <c r="C46" t="str">
        <f t="shared" si="0"/>
        <v>aj</v>
      </c>
      <c r="D46">
        <f>COUNTIF('F Proj'!$B$2:$B$7669,B46)+COUNTIF('D Proj'!$B$2:$B$513,B46)+COUNTIF('K Proj'!$B$2:$B$508,B46)</f>
        <v>16</v>
      </c>
      <c r="E46" t="str">
        <f>IF(ISERROR(MATCH(ROW(A45),Trades!$A$10:$A$43,0)),"",IF(INDEX(Trades!$E$10:$E$43,MATCH(ROW(A45),Trades!$A$10:$A$43,0)),IF(A46=Trades!$A$27,Trades!$B$7,Trades!$A$27),""))</f>
        <v/>
      </c>
      <c r="F46" t="str">
        <f>IF(D46=0,NA(),IFERROR(INDEX('F Proj'!$F$2:$F$7669,MATCH(B46,'F Proj'!$B$2:$B$7669,0)),"O"))</f>
        <v>WR</v>
      </c>
      <c r="G46" t="str">
        <f t="shared" si="1"/>
        <v>Flex</v>
      </c>
      <c r="H46" t="str">
        <f>C46&amp;G46&amp;COUNTIFS(C$1:C46,C46,G$1:G46,G46)</f>
        <v>ajFlex9</v>
      </c>
      <c r="I46" t="e">
        <f>MATCH(0,INDEX('ROS Proj'!$C$2:$S$561,MATCH($B46,'ROS Proj'!$A$2:$A$561,0),Week+Half_Week):INDEX('ROS Proj'!$C$2:$S$561,MATCH($B46,'ROS Proj'!$A$2:$A$561,0),17),1)+Week+Half_Week</f>
        <v>#N/A</v>
      </c>
      <c r="J46" s="2">
        <f>INDEX('ROS Proj'!$T$2:$T$561,MATCH($B46,'ROS Proj'!$A$2:$A$561,0))</f>
        <v>8.267142857142856</v>
      </c>
      <c r="K46" s="2">
        <f>INDEX('ROS Proj'!$C$2:$S$561,MATCH($B46,'ROS Proj'!$A$2:$A$561,0),Week+Half_Week)</f>
        <v>7.45</v>
      </c>
      <c r="L46" s="3">
        <f t="shared" si="2"/>
        <v>-9.8842232590288459E-2</v>
      </c>
      <c r="M46">
        <f t="shared" si="3"/>
        <v>2</v>
      </c>
      <c r="N46">
        <f t="shared" si="4"/>
        <v>7</v>
      </c>
      <c r="O46">
        <f t="shared" si="5"/>
        <v>12</v>
      </c>
      <c r="P46" t="str">
        <f t="shared" si="6"/>
        <v/>
      </c>
      <c r="Q46" t="str">
        <f t="shared" si="7"/>
        <v xml:space="preserve">Agholor (aj) </v>
      </c>
    </row>
    <row r="47" spans="1:17" x14ac:dyDescent="0.25">
      <c r="A47" t="s">
        <v>55</v>
      </c>
      <c r="B47" t="s">
        <v>141</v>
      </c>
      <c r="C47" t="str">
        <f t="shared" si="0"/>
        <v>aj</v>
      </c>
      <c r="D47">
        <f>COUNTIF('F Proj'!$B$2:$B$7669,B47)+COUNTIF('D Proj'!$B$2:$B$513,B47)+COUNTIF('K Proj'!$B$2:$B$508,B47)</f>
        <v>16</v>
      </c>
      <c r="E47" t="str">
        <f>IF(ISERROR(MATCH(ROW(A46),Trades!$A$10:$A$43,0)),"",IF(INDEX(Trades!$E$10:$E$43,MATCH(ROW(A46),Trades!$A$10:$A$43,0)),IF(A47=Trades!$A$27,Trades!$B$7,Trades!$A$27),""))</f>
        <v/>
      </c>
      <c r="F47" t="str">
        <f>IF(D47=0,NA(),IFERROR(INDEX('F Proj'!$F$2:$F$7669,MATCH(B47,'F Proj'!$B$2:$B$7669,0)),"O"))</f>
        <v>TE</v>
      </c>
      <c r="G47" t="str">
        <f t="shared" si="1"/>
        <v>Non</v>
      </c>
      <c r="H47" t="str">
        <f>C47&amp;G47&amp;COUNTIFS(C$1:C47,C47,G$1:G47,G47)</f>
        <v>ajNon5</v>
      </c>
      <c r="I47">
        <f>MATCH(0,INDEX('ROS Proj'!$C$2:$S$561,MATCH($B47,'ROS Proj'!$A$2:$A$561,0),Week+Half_Week):INDEX('ROS Proj'!$C$2:$S$561,MATCH($B47,'ROS Proj'!$A$2:$A$561,0),17),1)+Week+Half_Week</f>
        <v>9</v>
      </c>
      <c r="J47" s="2">
        <f>INDEX('ROS Proj'!$T$2:$T$561,MATCH($B47,'ROS Proj'!$A$2:$A$561,0))</f>
        <v>2.39</v>
      </c>
      <c r="K47" s="2">
        <f>INDEX('ROS Proj'!$C$2:$S$561,MATCH($B47,'ROS Proj'!$A$2:$A$561,0),Week+Half_Week)</f>
        <v>0</v>
      </c>
      <c r="L47" s="3">
        <f t="shared" si="2"/>
        <v>-1</v>
      </c>
      <c r="M47">
        <f t="shared" si="3"/>
        <v>2</v>
      </c>
      <c r="N47">
        <f t="shared" si="4"/>
        <v>8</v>
      </c>
      <c r="O47">
        <f t="shared" si="5"/>
        <v>12</v>
      </c>
      <c r="P47">
        <f t="shared" si="6"/>
        <v>8</v>
      </c>
      <c r="Q47" t="str">
        <f t="shared" si="7"/>
        <v>Olsen (aj) returns Week 9</v>
      </c>
    </row>
    <row r="48" spans="1:17" x14ac:dyDescent="0.25">
      <c r="A48" t="s">
        <v>35</v>
      </c>
      <c r="B48" t="s">
        <v>26</v>
      </c>
      <c r="C48" t="str">
        <f t="shared" si="0"/>
        <v>aj</v>
      </c>
      <c r="D48">
        <f>COUNTIF('F Proj'!$B$2:$B$7669,B48)+COUNTIF('D Proj'!$B$2:$B$513,B48)+COUNTIF('K Proj'!$B$2:$B$508,B48)</f>
        <v>16</v>
      </c>
      <c r="E48" t="str">
        <f>IF(ISERROR(MATCH(ROW(A47),Trades!$A$10:$A$43,0)),"",IF(INDEX(Trades!$E$10:$E$43,MATCH(ROW(A47),Trades!$A$10:$A$43,0)),IF(A48=Trades!$A$27,Trades!$B$7,Trades!$A$27),""))</f>
        <v>aj</v>
      </c>
      <c r="F48" t="str">
        <f>IF(D48=0,NA(),IFERROR(INDEX('F Proj'!$F$2:$F$7669,MATCH(B48,'F Proj'!$B$2:$B$7669,0)),"O"))</f>
        <v>QB</v>
      </c>
      <c r="G48" t="str">
        <f t="shared" si="1"/>
        <v>Non</v>
      </c>
      <c r="H48" t="str">
        <f>C48&amp;G48&amp;COUNTIFS(C$1:C48,C48,G$1:G48,G48)</f>
        <v>ajNon6</v>
      </c>
      <c r="I48" t="e">
        <f>MATCH(0,INDEX('ROS Proj'!$C$2:$S$561,MATCH($B48,'ROS Proj'!$A$2:$A$561,0),Week+Half_Week):INDEX('ROS Proj'!$C$2:$S$561,MATCH($B48,'ROS Proj'!$A$2:$A$561,0),17),1)+Week+Half_Week</f>
        <v>#N/A</v>
      </c>
      <c r="J48" s="2">
        <f>INDEX('ROS Proj'!$T$2:$T$561,MATCH($B48,'ROS Proj'!$A$2:$A$561,0))</f>
        <v>21.12</v>
      </c>
      <c r="K48" s="2">
        <f>INDEX('ROS Proj'!$C$2:$S$561,MATCH($B48,'ROS Proj'!$A$2:$A$561,0),Week+Half_Week)</f>
        <v>21.48</v>
      </c>
      <c r="L48" s="3">
        <f t="shared" si="2"/>
        <v>1.7045454545454586E-2</v>
      </c>
      <c r="M48">
        <f t="shared" si="3"/>
        <v>2</v>
      </c>
      <c r="N48">
        <f t="shared" si="4"/>
        <v>8</v>
      </c>
      <c r="O48">
        <f t="shared" si="5"/>
        <v>12</v>
      </c>
      <c r="P48" t="str">
        <f t="shared" si="6"/>
        <v/>
      </c>
      <c r="Q48" t="str">
        <f t="shared" si="7"/>
        <v xml:space="preserve">Ryan (aj) </v>
      </c>
    </row>
    <row r="49" spans="1:17" x14ac:dyDescent="0.25">
      <c r="A49" t="s">
        <v>35</v>
      </c>
      <c r="B49" t="s">
        <v>112</v>
      </c>
      <c r="C49" t="str">
        <f t="shared" si="0"/>
        <v>devon</v>
      </c>
      <c r="D49">
        <f>COUNTIF('F Proj'!$B$2:$B$7669,B49)+COUNTIF('D Proj'!$B$2:$B$513,B49)+COUNTIF('K Proj'!$B$2:$B$508,B49)</f>
        <v>16</v>
      </c>
      <c r="E49" t="str">
        <f>IF(ISERROR(MATCH(ROW(A48),Trades!$A$10:$A$43,0)),"",IF(INDEX(Trades!$E$10:$E$43,MATCH(ROW(A48),Trades!$A$10:$A$43,0)),IF(A49=Trades!$A$27,Trades!$B$7,Trades!$A$27),""))</f>
        <v/>
      </c>
      <c r="F49" t="str">
        <f>IF(D49=0,NA(),IFERROR(INDEX('F Proj'!$F$2:$F$7669,MATCH(B49,'F Proj'!$B$2:$B$7669,0)),"O"))</f>
        <v>RB</v>
      </c>
      <c r="G49" t="str">
        <f t="shared" si="1"/>
        <v>Flex</v>
      </c>
      <c r="H49" t="str">
        <f>C49&amp;G49&amp;COUNTIFS(C$1:C49,C49,G$1:G49,G49)</f>
        <v>devonFlex3</v>
      </c>
      <c r="I49" t="e">
        <f>MATCH(0,INDEX('ROS Proj'!$C$2:$S$561,MATCH($B49,'ROS Proj'!$A$2:$A$561,0),Week+Half_Week):INDEX('ROS Proj'!$C$2:$S$561,MATCH($B49,'ROS Proj'!$A$2:$A$561,0),17),1)+Week+Half_Week</f>
        <v>#N/A</v>
      </c>
      <c r="J49" s="2">
        <f>INDEX('ROS Proj'!$T$2:$T$561,MATCH($B49,'ROS Proj'!$A$2:$A$561,0))</f>
        <v>12.977500000000001</v>
      </c>
      <c r="K49" s="2">
        <f>INDEX('ROS Proj'!$C$2:$S$561,MATCH($B49,'ROS Proj'!$A$2:$A$561,0),Week+Half_Week)</f>
        <v>15.54</v>
      </c>
      <c r="L49" s="3">
        <f t="shared" si="2"/>
        <v>0.1974571373531111</v>
      </c>
      <c r="M49">
        <f t="shared" si="3"/>
        <v>2</v>
      </c>
      <c r="N49">
        <f t="shared" si="4"/>
        <v>8</v>
      </c>
      <c r="O49">
        <f t="shared" si="5"/>
        <v>12</v>
      </c>
      <c r="P49" t="str">
        <f t="shared" si="6"/>
        <v/>
      </c>
      <c r="Q49" t="str">
        <f t="shared" si="7"/>
        <v xml:space="preserve">McCaffrey (devon) </v>
      </c>
    </row>
    <row r="50" spans="1:17" x14ac:dyDescent="0.25">
      <c r="A50" t="s">
        <v>35</v>
      </c>
      <c r="B50" t="s">
        <v>1352</v>
      </c>
      <c r="C50" t="str">
        <f t="shared" si="0"/>
        <v>devon</v>
      </c>
      <c r="D50">
        <f>COUNTIF('F Proj'!$B$2:$B$7669,B50)+COUNTIF('D Proj'!$B$2:$B$513,B50)+COUNTIF('K Proj'!$B$2:$B$508,B50)</f>
        <v>16</v>
      </c>
      <c r="E50" t="str">
        <f>IF(ISERROR(MATCH(ROW(A49),Trades!$A$10:$A$43,0)),"",IF(INDEX(Trades!$E$10:$E$43,MATCH(ROW(A49),Trades!$A$10:$A$43,0)),IF(A50=Trades!$A$27,Trades!$B$7,Trades!$A$27),""))</f>
        <v/>
      </c>
      <c r="F50" t="str">
        <f>IF(D50=0,NA(),IFERROR(INDEX('F Proj'!$F$2:$F$7669,MATCH(B50,'F Proj'!$B$2:$B$7669,0)),"O"))</f>
        <v>RB</v>
      </c>
      <c r="G50" t="str">
        <f t="shared" si="1"/>
        <v>Flex</v>
      </c>
      <c r="H50" t="str">
        <f>C50&amp;G50&amp;COUNTIFS(C$1:C50,C50,G$1:G50,G50)</f>
        <v>devonFlex4</v>
      </c>
      <c r="I50" t="e">
        <f>MATCH(0,INDEX('ROS Proj'!$C$2:$S$561,MATCH($B50,'ROS Proj'!$A$2:$A$561,0),Week+Half_Week):INDEX('ROS Proj'!$C$2:$S$561,MATCH($B50,'ROS Proj'!$A$2:$A$561,0),17),1)+Week+Half_Week</f>
        <v>#N/A</v>
      </c>
      <c r="J50" s="2">
        <f>INDEX('ROS Proj'!$T$2:$T$561,MATCH($B50,'ROS Proj'!$A$2:$A$561,0))</f>
        <v>10.885714285714286</v>
      </c>
      <c r="K50" s="2">
        <f>INDEX('ROS Proj'!$C$2:$S$561,MATCH($B50,'ROS Proj'!$A$2:$A$561,0),Week+Half_Week)</f>
        <v>12.22</v>
      </c>
      <c r="L50" s="3">
        <f t="shared" si="2"/>
        <v>0.12257217847769031</v>
      </c>
      <c r="M50">
        <f t="shared" si="3"/>
        <v>2</v>
      </c>
      <c r="N50">
        <f t="shared" si="4"/>
        <v>8</v>
      </c>
      <c r="O50">
        <f t="shared" si="5"/>
        <v>12</v>
      </c>
      <c r="P50" t="str">
        <f t="shared" si="6"/>
        <v/>
      </c>
      <c r="Q50" t="str">
        <f t="shared" si="7"/>
        <v xml:space="preserve">Michel (devon) </v>
      </c>
    </row>
    <row r="51" spans="1:17" x14ac:dyDescent="0.25">
      <c r="A51" t="s">
        <v>35</v>
      </c>
      <c r="B51" t="s">
        <v>136</v>
      </c>
      <c r="C51" t="str">
        <f t="shared" si="0"/>
        <v>devon</v>
      </c>
      <c r="D51">
        <f>COUNTIF('F Proj'!$B$2:$B$7669,B51)+COUNTIF('D Proj'!$B$2:$B$513,B51)+COUNTIF('K Proj'!$B$2:$B$508,B51)</f>
        <v>16</v>
      </c>
      <c r="E51" t="str">
        <f>IF(ISERROR(MATCH(ROW(A50),Trades!$A$10:$A$43,0)),"",IF(INDEX(Trades!$E$10:$E$43,MATCH(ROW(A50),Trades!$A$10:$A$43,0)),IF(A51=Trades!$A$27,Trades!$B$7,Trades!$A$27),""))</f>
        <v/>
      </c>
      <c r="F51" t="str">
        <f>IF(D51=0,NA(),IFERROR(INDEX('F Proj'!$F$2:$F$7669,MATCH(B51,'F Proj'!$B$2:$B$7669,0)),"O"))</f>
        <v>WR</v>
      </c>
      <c r="G51" t="str">
        <f t="shared" si="1"/>
        <v>Flex</v>
      </c>
      <c r="H51" t="str">
        <f>C51&amp;G51&amp;COUNTIFS(C$1:C51,C51,G$1:G51,G51)</f>
        <v>devonFlex5</v>
      </c>
      <c r="I51" t="e">
        <f>MATCH(0,INDEX('ROS Proj'!$C$2:$S$561,MATCH($B51,'ROS Proj'!$A$2:$A$561,0),Week+Half_Week):INDEX('ROS Proj'!$C$2:$S$561,MATCH($B51,'ROS Proj'!$A$2:$A$561,0),17),1)+Week+Half_Week</f>
        <v>#N/A</v>
      </c>
      <c r="J51" s="2">
        <f>INDEX('ROS Proj'!$T$2:$T$561,MATCH($B51,'ROS Proj'!$A$2:$A$561,0))</f>
        <v>8.9128571428571437</v>
      </c>
      <c r="K51" s="2">
        <f>INDEX('ROS Proj'!$C$2:$S$561,MATCH($B51,'ROS Proj'!$A$2:$A$561,0),Week+Half_Week)</f>
        <v>7.92</v>
      </c>
      <c r="L51" s="3">
        <f t="shared" si="2"/>
        <v>-0.11139605706042643</v>
      </c>
      <c r="M51">
        <f t="shared" si="3"/>
        <v>2</v>
      </c>
      <c r="N51">
        <f t="shared" si="4"/>
        <v>8</v>
      </c>
      <c r="O51">
        <f t="shared" si="5"/>
        <v>12</v>
      </c>
      <c r="P51" t="str">
        <f t="shared" si="6"/>
        <v/>
      </c>
      <c r="Q51" t="str">
        <f t="shared" si="7"/>
        <v xml:space="preserve">Thomas (devon) </v>
      </c>
    </row>
    <row r="52" spans="1:17" x14ac:dyDescent="0.25">
      <c r="A52" t="s">
        <v>35</v>
      </c>
      <c r="B52" t="s">
        <v>104</v>
      </c>
      <c r="C52" t="str">
        <f t="shared" si="0"/>
        <v>devon</v>
      </c>
      <c r="D52">
        <f>COUNTIF('F Proj'!$B$2:$B$7669,B52)+COUNTIF('D Proj'!$B$2:$B$513,B52)+COUNTIF('K Proj'!$B$2:$B$508,B52)</f>
        <v>16</v>
      </c>
      <c r="E52" t="str">
        <f>IF(ISERROR(MATCH(ROW(A51),Trades!$A$10:$A$43,0)),"",IF(INDEX(Trades!$E$10:$E$43,MATCH(ROW(A51),Trades!$A$10:$A$43,0)),IF(A52=Trades!$A$27,Trades!$B$7,Trades!$A$27),""))</f>
        <v/>
      </c>
      <c r="F52" t="str">
        <f>IF(D52=0,NA(),IFERROR(INDEX('F Proj'!$F$2:$F$7669,MATCH(B52,'F Proj'!$B$2:$B$7669,0)),"O"))</f>
        <v>WR</v>
      </c>
      <c r="G52" t="str">
        <f t="shared" si="1"/>
        <v>Flex</v>
      </c>
      <c r="H52" t="str">
        <f>C52&amp;G52&amp;COUNTIFS(C$1:C52,C52,G$1:G52,G52)</f>
        <v>devonFlex6</v>
      </c>
      <c r="I52" t="e">
        <f>MATCH(0,INDEX('ROS Proj'!$C$2:$S$561,MATCH($B52,'ROS Proj'!$A$2:$A$561,0),Week+Half_Week):INDEX('ROS Proj'!$C$2:$S$561,MATCH($B52,'ROS Proj'!$A$2:$A$561,0),17),1)+Week+Half_Week</f>
        <v>#N/A</v>
      </c>
      <c r="J52" s="2">
        <f>INDEX('ROS Proj'!$T$2:$T$561,MATCH($B52,'ROS Proj'!$A$2:$A$561,0))</f>
        <v>10.801428571428572</v>
      </c>
      <c r="K52" s="2">
        <f>INDEX('ROS Proj'!$C$2:$S$561,MATCH($B52,'ROS Proj'!$A$2:$A$561,0),Week+Half_Week)</f>
        <v>11.17</v>
      </c>
      <c r="L52" s="3">
        <f t="shared" si="2"/>
        <v>3.4122470572675478E-2</v>
      </c>
      <c r="M52">
        <f t="shared" si="3"/>
        <v>2</v>
      </c>
      <c r="N52">
        <f t="shared" si="4"/>
        <v>8</v>
      </c>
      <c r="O52">
        <f t="shared" si="5"/>
        <v>12</v>
      </c>
      <c r="P52" t="str">
        <f t="shared" si="6"/>
        <v/>
      </c>
      <c r="Q52" t="str">
        <f t="shared" si="7"/>
        <v xml:space="preserve">Green (devon) </v>
      </c>
    </row>
    <row r="53" spans="1:17" x14ac:dyDescent="0.25">
      <c r="A53" t="s">
        <v>35</v>
      </c>
      <c r="B53" t="s">
        <v>122</v>
      </c>
      <c r="C53" t="str">
        <f t="shared" si="0"/>
        <v>devon</v>
      </c>
      <c r="D53">
        <f>COUNTIF('F Proj'!$B$2:$B$7669,B53)+COUNTIF('D Proj'!$B$2:$B$513,B53)+COUNTIF('K Proj'!$B$2:$B$508,B53)</f>
        <v>16</v>
      </c>
      <c r="E53" t="str">
        <f>IF(ISERROR(MATCH(ROW(A52),Trades!$A$10:$A$43,0)),"",IF(INDEX(Trades!$E$10:$E$43,MATCH(ROW(A52),Trades!$A$10:$A$43,0)),IF(A53=Trades!$A$27,Trades!$B$7,Trades!$A$27),""))</f>
        <v/>
      </c>
      <c r="F53" t="str">
        <f>IF(D53=0,NA(),IFERROR(INDEX('F Proj'!$F$2:$F$7669,MATCH(B53,'F Proj'!$B$2:$B$7669,0)),"O"))</f>
        <v>WR</v>
      </c>
      <c r="G53" t="str">
        <f t="shared" si="1"/>
        <v>Flex</v>
      </c>
      <c r="H53" t="str">
        <f>C53&amp;G53&amp;COUNTIFS(C$1:C53,C53,G$1:G53,G53)</f>
        <v>devonFlex7</v>
      </c>
      <c r="I53" t="e">
        <f>MATCH(0,INDEX('ROS Proj'!$C$2:$S$561,MATCH($B53,'ROS Proj'!$A$2:$A$561,0),Week+Half_Week):INDEX('ROS Proj'!$C$2:$S$561,MATCH($B53,'ROS Proj'!$A$2:$A$561,0),17),1)+Week+Half_Week</f>
        <v>#N/A</v>
      </c>
      <c r="J53" s="2">
        <f>INDEX('ROS Proj'!$T$2:$T$561,MATCH($B53,'ROS Proj'!$A$2:$A$561,0))</f>
        <v>10.37142857142857</v>
      </c>
      <c r="K53" s="2">
        <f>INDEX('ROS Proj'!$C$2:$S$561,MATCH($B53,'ROS Proj'!$A$2:$A$561,0),Week+Half_Week)</f>
        <v>11.58</v>
      </c>
      <c r="L53" s="3">
        <f t="shared" si="2"/>
        <v>0.11652892561983497</v>
      </c>
      <c r="M53">
        <f t="shared" si="3"/>
        <v>2</v>
      </c>
      <c r="N53">
        <f t="shared" si="4"/>
        <v>8</v>
      </c>
      <c r="O53">
        <f t="shared" si="5"/>
        <v>12</v>
      </c>
      <c r="P53" t="str">
        <f t="shared" si="6"/>
        <v/>
      </c>
      <c r="Q53" t="str">
        <f t="shared" si="7"/>
        <v xml:space="preserve">Tate (devon) </v>
      </c>
    </row>
    <row r="54" spans="1:17" x14ac:dyDescent="0.25">
      <c r="A54" t="s">
        <v>35</v>
      </c>
      <c r="B54" t="s">
        <v>126</v>
      </c>
      <c r="C54" t="str">
        <f t="shared" si="0"/>
        <v>devon</v>
      </c>
      <c r="D54">
        <f>COUNTIF('F Proj'!$B$2:$B$7669,B54)+COUNTIF('D Proj'!$B$2:$B$513,B54)+COUNTIF('K Proj'!$B$2:$B$508,B54)</f>
        <v>16</v>
      </c>
      <c r="E54" t="str">
        <f>IF(ISERROR(MATCH(ROW(A53),Trades!$A$10:$A$43,0)),"",IF(INDEX(Trades!$E$10:$E$43,MATCH(ROW(A53),Trades!$A$10:$A$43,0)),IF(A54=Trades!$A$27,Trades!$B$7,Trades!$A$27),""))</f>
        <v/>
      </c>
      <c r="F54" t="str">
        <f>IF(D54=0,NA(),IFERROR(INDEX('F Proj'!$F$2:$F$7669,MATCH(B54,'F Proj'!$B$2:$B$7669,0)),"O"))</f>
        <v>WR</v>
      </c>
      <c r="G54" t="str">
        <f t="shared" si="1"/>
        <v>Flex</v>
      </c>
      <c r="H54" t="str">
        <f>C54&amp;G54&amp;COUNTIFS(C$1:C54,C54,G$1:G54,G54)</f>
        <v>devonFlex8</v>
      </c>
      <c r="I54" t="e">
        <f>MATCH(0,INDEX('ROS Proj'!$C$2:$S$561,MATCH($B54,'ROS Proj'!$A$2:$A$561,0),Week+Half_Week):INDEX('ROS Proj'!$C$2:$S$561,MATCH($B54,'ROS Proj'!$A$2:$A$561,0),17),1)+Week+Half_Week</f>
        <v>#N/A</v>
      </c>
      <c r="J54" s="2">
        <f>INDEX('ROS Proj'!$T$2:$T$561,MATCH($B54,'ROS Proj'!$A$2:$A$561,0))</f>
        <v>8.637142857142857</v>
      </c>
      <c r="K54" s="2">
        <f>INDEX('ROS Proj'!$C$2:$S$561,MATCH($B54,'ROS Proj'!$A$2:$A$561,0),Week+Half_Week)</f>
        <v>9.19</v>
      </c>
      <c r="L54" s="3">
        <f t="shared" si="2"/>
        <v>6.4009262322196392E-2</v>
      </c>
      <c r="M54">
        <f t="shared" si="3"/>
        <v>2</v>
      </c>
      <c r="N54">
        <f t="shared" si="4"/>
        <v>8</v>
      </c>
      <c r="O54">
        <f t="shared" si="5"/>
        <v>12</v>
      </c>
      <c r="P54" t="str">
        <f t="shared" si="6"/>
        <v/>
      </c>
      <c r="Q54" t="str">
        <f t="shared" si="7"/>
        <v xml:space="preserve">Jeffery (devon) </v>
      </c>
    </row>
    <row r="55" spans="1:17" x14ac:dyDescent="0.25">
      <c r="A55" t="s">
        <v>35</v>
      </c>
      <c r="B55" t="s">
        <v>178</v>
      </c>
      <c r="C55" t="str">
        <f t="shared" si="0"/>
        <v>devon</v>
      </c>
      <c r="D55">
        <f>COUNTIF('F Proj'!$B$2:$B$7669,B55)+COUNTIF('D Proj'!$B$2:$B$513,B55)+COUNTIF('K Proj'!$B$2:$B$508,B55)</f>
        <v>16</v>
      </c>
      <c r="E55" t="str">
        <f>IF(ISERROR(MATCH(ROW(A54),Trades!$A$10:$A$43,0)),"",IF(INDEX(Trades!$E$10:$E$43,MATCH(ROW(A54),Trades!$A$10:$A$43,0)),IF(A55=Trades!$A$27,Trades!$B$7,Trades!$A$27),""))</f>
        <v/>
      </c>
      <c r="F55" t="str">
        <f>IF(D55=0,NA(),IFERROR(INDEX('F Proj'!$F$2:$F$7669,MATCH(B55,'F Proj'!$B$2:$B$7669,0)),"O"))</f>
        <v>TE</v>
      </c>
      <c r="G55" t="str">
        <f t="shared" si="1"/>
        <v>Non</v>
      </c>
      <c r="H55" t="str">
        <f>C55&amp;G55&amp;COUNTIFS(C$1:C55,C55,G$1:G55,G55)</f>
        <v>devonNon1</v>
      </c>
      <c r="I55" t="e">
        <f>MATCH(0,INDEX('ROS Proj'!$C$2:$S$561,MATCH($B55,'ROS Proj'!$A$2:$A$561,0),Week+Half_Week):INDEX('ROS Proj'!$C$2:$S$561,MATCH($B55,'ROS Proj'!$A$2:$A$561,0),17),1)+Week+Half_Week</f>
        <v>#N/A</v>
      </c>
      <c r="J55" s="2">
        <f>INDEX('ROS Proj'!$T$2:$T$561,MATCH($B55,'ROS Proj'!$A$2:$A$561,0))</f>
        <v>5.25</v>
      </c>
      <c r="K55" s="2">
        <f>INDEX('ROS Proj'!$C$2:$S$561,MATCH($B55,'ROS Proj'!$A$2:$A$561,0),Week+Half_Week)</f>
        <v>6.17</v>
      </c>
      <c r="L55" s="3">
        <f t="shared" si="2"/>
        <v>0.17523809523809519</v>
      </c>
      <c r="M55">
        <f t="shared" si="3"/>
        <v>2</v>
      </c>
      <c r="N55">
        <f t="shared" si="4"/>
        <v>8</v>
      </c>
      <c r="O55">
        <f t="shared" si="5"/>
        <v>12</v>
      </c>
      <c r="P55" t="str">
        <f t="shared" si="6"/>
        <v/>
      </c>
      <c r="Q55" t="str">
        <f t="shared" si="7"/>
        <v xml:space="preserve">Ebron (devon) </v>
      </c>
    </row>
    <row r="56" spans="1:17" x14ac:dyDescent="0.25">
      <c r="A56" t="s">
        <v>35</v>
      </c>
      <c r="B56" t="s">
        <v>419</v>
      </c>
      <c r="C56" t="str">
        <f t="shared" si="0"/>
        <v>devon</v>
      </c>
      <c r="D56">
        <f>COUNTIF('F Proj'!$B$2:$B$7669,B56)+COUNTIF('D Proj'!$B$2:$B$513,B56)+COUNTIF('K Proj'!$B$2:$B$508,B56)</f>
        <v>16</v>
      </c>
      <c r="E56" t="str">
        <f>IF(ISERROR(MATCH(ROW(A55),Trades!$A$10:$A$43,0)),"",IF(INDEX(Trades!$E$10:$E$43,MATCH(ROW(A55),Trades!$A$10:$A$43,0)),IF(A56=Trades!$A$27,Trades!$B$7,Trades!$A$27),""))</f>
        <v/>
      </c>
      <c r="F56" t="str">
        <f>IF(D56=0,NA(),IFERROR(INDEX('F Proj'!$F$2:$F$7669,MATCH(B56,'F Proj'!$B$2:$B$7669,0)),"O"))</f>
        <v>O</v>
      </c>
      <c r="G56" t="str">
        <f t="shared" si="1"/>
        <v>Non</v>
      </c>
      <c r="H56" t="str">
        <f>C56&amp;G56&amp;COUNTIFS(C$1:C56,C56,G$1:G56,G56)</f>
        <v>devonNon2</v>
      </c>
      <c r="I56" t="e">
        <f>MATCH(0,INDEX('ROS Proj'!$C$2:$S$561,MATCH($B56,'ROS Proj'!$A$2:$A$561,0),Week+Half_Week):INDEX('ROS Proj'!$C$2:$S$561,MATCH($B56,'ROS Proj'!$A$2:$A$561,0),17),1)+Week+Half_Week</f>
        <v>#N/A</v>
      </c>
      <c r="J56" s="2">
        <f>INDEX('ROS Proj'!$T$2:$T$561,MATCH($B56,'ROS Proj'!$A$2:$A$561,0))</f>
        <v>8.3557142857142868</v>
      </c>
      <c r="K56" s="2">
        <f>INDEX('ROS Proj'!$C$2:$S$561,MATCH($B56,'ROS Proj'!$A$2:$A$561,0),Week+Half_Week)</f>
        <v>5.5</v>
      </c>
      <c r="L56" s="3" t="str">
        <f t="shared" si="2"/>
        <v/>
      </c>
      <c r="M56">
        <f t="shared" si="3"/>
        <v>2</v>
      </c>
      <c r="N56">
        <f t="shared" si="4"/>
        <v>8</v>
      </c>
      <c r="O56">
        <f t="shared" si="5"/>
        <v>12</v>
      </c>
      <c r="P56" t="str">
        <f t="shared" si="6"/>
        <v/>
      </c>
      <c r="Q56" t="str">
        <f t="shared" si="7"/>
        <v xml:space="preserve">D/ST (devon) </v>
      </c>
    </row>
    <row r="57" spans="1:17" x14ac:dyDescent="0.25">
      <c r="A57" t="s">
        <v>35</v>
      </c>
      <c r="B57" t="s">
        <v>450</v>
      </c>
      <c r="C57" t="str">
        <f t="shared" si="0"/>
        <v>devon</v>
      </c>
      <c r="D57">
        <f>COUNTIF('F Proj'!$B$2:$B$7669,B57)+COUNTIF('D Proj'!$B$2:$B$513,B57)+COUNTIF('K Proj'!$B$2:$B$508,B57)</f>
        <v>16</v>
      </c>
      <c r="E57" t="str">
        <f>IF(ISERROR(MATCH(ROW(A56),Trades!$A$10:$A$43,0)),"",IF(INDEX(Trades!$E$10:$E$43,MATCH(ROW(A56),Trades!$A$10:$A$43,0)),IF(A57=Trades!$A$27,Trades!$B$7,Trades!$A$27),""))</f>
        <v/>
      </c>
      <c r="F57" t="str">
        <f>IF(D57=0,NA(),IFERROR(INDEX('F Proj'!$F$2:$F$7669,MATCH(B57,'F Proj'!$B$2:$B$7669,0)),"O"))</f>
        <v>O</v>
      </c>
      <c r="G57" t="str">
        <f t="shared" si="1"/>
        <v>Non</v>
      </c>
      <c r="H57" t="str">
        <f>C57&amp;G57&amp;COUNTIFS(C$1:C57,C57,G$1:G57,G57)</f>
        <v>devonNon3</v>
      </c>
      <c r="I57" t="e">
        <f>MATCH(0,INDEX('ROS Proj'!$C$2:$S$561,MATCH($B57,'ROS Proj'!$A$2:$A$561,0),Week+Half_Week):INDEX('ROS Proj'!$C$2:$S$561,MATCH($B57,'ROS Proj'!$A$2:$A$561,0),17),1)+Week+Half_Week</f>
        <v>#N/A</v>
      </c>
      <c r="J57" s="2">
        <f>INDEX('ROS Proj'!$T$2:$T$561,MATCH($B57,'ROS Proj'!$A$2:$A$561,0))</f>
        <v>6.0142857142857142</v>
      </c>
      <c r="K57" s="2">
        <f>INDEX('ROS Proj'!$C$2:$S$561,MATCH($B57,'ROS Proj'!$A$2:$A$561,0),Week+Half_Week)</f>
        <v>6.75</v>
      </c>
      <c r="L57" s="3" t="str">
        <f t="shared" si="2"/>
        <v/>
      </c>
      <c r="M57">
        <f t="shared" si="3"/>
        <v>2</v>
      </c>
      <c r="N57">
        <f t="shared" si="4"/>
        <v>8</v>
      </c>
      <c r="O57">
        <f t="shared" si="5"/>
        <v>12</v>
      </c>
      <c r="P57" t="str">
        <f t="shared" si="6"/>
        <v/>
      </c>
      <c r="Q57" t="str">
        <f t="shared" si="7"/>
        <v xml:space="preserve">Prater (devon) </v>
      </c>
    </row>
    <row r="58" spans="1:17" x14ac:dyDescent="0.25">
      <c r="A58" t="s">
        <v>35</v>
      </c>
      <c r="B58" t="s">
        <v>39</v>
      </c>
      <c r="C58" t="str">
        <f t="shared" si="0"/>
        <v>devon</v>
      </c>
      <c r="D58">
        <f>COUNTIF('F Proj'!$B$2:$B$7669,B58)+COUNTIF('D Proj'!$B$2:$B$513,B58)+COUNTIF('K Proj'!$B$2:$B$508,B58)</f>
        <v>16</v>
      </c>
      <c r="E58" t="str">
        <f>IF(ISERROR(MATCH(ROW(A57),Trades!$A$10:$A$43,0)),"",IF(INDEX(Trades!$E$10:$E$43,MATCH(ROW(A57),Trades!$A$10:$A$43,0)),IF(A58=Trades!$A$27,Trades!$B$7,Trades!$A$27),""))</f>
        <v/>
      </c>
      <c r="F58" t="str">
        <f>IF(D58=0,NA(),IFERROR(INDEX('F Proj'!$F$2:$F$7669,MATCH(B58,'F Proj'!$B$2:$B$7669,0)),"O"))</f>
        <v>QB</v>
      </c>
      <c r="G58" t="str">
        <f t="shared" si="1"/>
        <v>Non</v>
      </c>
      <c r="H58" t="str">
        <f>C58&amp;G58&amp;COUNTIFS(C$1:C58,C58,G$1:G58,G58)</f>
        <v>devonNon4</v>
      </c>
      <c r="I58" t="e">
        <f>MATCH(0,INDEX('ROS Proj'!$C$2:$S$561,MATCH($B58,'ROS Proj'!$A$2:$A$561,0),Week+Half_Week):INDEX('ROS Proj'!$C$2:$S$561,MATCH($B58,'ROS Proj'!$A$2:$A$561,0),17),1)+Week+Half_Week</f>
        <v>#N/A</v>
      </c>
      <c r="J58" s="2">
        <f>INDEX('ROS Proj'!$T$2:$T$561,MATCH($B58,'ROS Proj'!$A$2:$A$561,0))</f>
        <v>20.865000000000002</v>
      </c>
      <c r="K58" s="2">
        <f>INDEX('ROS Proj'!$C$2:$S$561,MATCH($B58,'ROS Proj'!$A$2:$A$561,0),Week+Half_Week)</f>
        <v>23.25</v>
      </c>
      <c r="L58" s="3">
        <f t="shared" si="2"/>
        <v>0.11430625449317033</v>
      </c>
      <c r="M58">
        <f t="shared" si="3"/>
        <v>2</v>
      </c>
      <c r="N58">
        <f t="shared" si="4"/>
        <v>8</v>
      </c>
      <c r="O58">
        <f t="shared" si="5"/>
        <v>12</v>
      </c>
      <c r="P58" t="str">
        <f t="shared" si="6"/>
        <v/>
      </c>
      <c r="Q58" t="str">
        <f t="shared" si="7"/>
        <v xml:space="preserve">Newton (devon) </v>
      </c>
    </row>
    <row r="59" spans="1:17" x14ac:dyDescent="0.25">
      <c r="A59" t="s">
        <v>35</v>
      </c>
      <c r="B59" t="s">
        <v>281</v>
      </c>
      <c r="C59" t="str">
        <f t="shared" si="0"/>
        <v>aj</v>
      </c>
      <c r="D59">
        <f>COUNTIF('F Proj'!$B$2:$B$7669,B59)+COUNTIF('D Proj'!$B$2:$B$513,B59)+COUNTIF('K Proj'!$B$2:$B$508,B59)</f>
        <v>16</v>
      </c>
      <c r="E59" t="str">
        <f>IF(ISERROR(MATCH(ROW(A58),Trades!$A$10:$A$43,0)),"",IF(INDEX(Trades!$E$10:$E$43,MATCH(ROW(A58),Trades!$A$10:$A$43,0)),IF(A59=Trades!$A$27,Trades!$B$7,Trades!$A$27),""))</f>
        <v>aj</v>
      </c>
      <c r="F59" t="str">
        <f>IF(D59=0,NA(),IFERROR(INDEX('F Proj'!$F$2:$F$7669,MATCH(B59,'F Proj'!$B$2:$B$7669,0)),"O"))</f>
        <v>RB</v>
      </c>
      <c r="G59" t="str">
        <f t="shared" si="1"/>
        <v>Flex</v>
      </c>
      <c r="H59" t="str">
        <f>C59&amp;G59&amp;COUNTIFS(C$1:C59,C59,G$1:G59,G59)</f>
        <v>ajFlex10</v>
      </c>
      <c r="I59" t="e">
        <f>MATCH(0,INDEX('ROS Proj'!$C$2:$S$561,MATCH($B59,'ROS Proj'!$A$2:$A$561,0),Week+Half_Week):INDEX('ROS Proj'!$C$2:$S$561,MATCH($B59,'ROS Proj'!$A$2:$A$561,0),17),1)+Week+Half_Week</f>
        <v>#N/A</v>
      </c>
      <c r="J59" s="2">
        <f>INDEX('ROS Proj'!$T$2:$T$561,MATCH($B59,'ROS Proj'!$A$2:$A$561,0))</f>
        <v>6.7285714285714286</v>
      </c>
      <c r="K59" s="2">
        <f>INDEX('ROS Proj'!$C$2:$S$561,MATCH($B59,'ROS Proj'!$A$2:$A$561,0),Week+Half_Week)</f>
        <v>8.76</v>
      </c>
      <c r="L59" s="3">
        <f t="shared" si="2"/>
        <v>0.30191082802547764</v>
      </c>
      <c r="M59">
        <f t="shared" si="3"/>
        <v>2</v>
      </c>
      <c r="N59">
        <f t="shared" si="4"/>
        <v>8</v>
      </c>
      <c r="O59">
        <f t="shared" si="5"/>
        <v>12</v>
      </c>
      <c r="P59" t="str">
        <f t="shared" si="6"/>
        <v/>
      </c>
      <c r="Q59" t="str">
        <f t="shared" si="7"/>
        <v xml:space="preserve">Jones (aj) </v>
      </c>
    </row>
    <row r="60" spans="1:17" x14ac:dyDescent="0.25">
      <c r="A60" t="s">
        <v>35</v>
      </c>
      <c r="B60" t="s">
        <v>355</v>
      </c>
      <c r="C60" t="str">
        <f t="shared" si="0"/>
        <v>devon</v>
      </c>
      <c r="D60">
        <f>COUNTIF('F Proj'!$B$2:$B$7669,B60)+COUNTIF('D Proj'!$B$2:$B$513,B60)+COUNTIF('K Proj'!$B$2:$B$508,B60)</f>
        <v>16</v>
      </c>
      <c r="E60" t="str">
        <f>IF(ISERROR(MATCH(ROW(A59),Trades!$A$10:$A$43,0)),"",IF(INDEX(Trades!$E$10:$E$43,MATCH(ROW(A59),Trades!$A$10:$A$43,0)),IF(A60=Trades!$A$27,Trades!$B$7,Trades!$A$27),""))</f>
        <v/>
      </c>
      <c r="F60" t="str">
        <f>IF(D60=0,NA(),IFERROR(INDEX('F Proj'!$F$2:$F$7669,MATCH(B60,'F Proj'!$B$2:$B$7669,0)),"O"))</f>
        <v>RB</v>
      </c>
      <c r="G60" t="str">
        <f t="shared" si="1"/>
        <v>Flex</v>
      </c>
      <c r="H60" t="str">
        <f>C60&amp;G60&amp;COUNTIFS(C$1:C60,C60,G$1:G60,G60)</f>
        <v>devonFlex9</v>
      </c>
      <c r="I60" t="e">
        <f>MATCH(0,INDEX('ROS Proj'!$C$2:$S$561,MATCH($B60,'ROS Proj'!$A$2:$A$561,0),Week+Half_Week):INDEX('ROS Proj'!$C$2:$S$561,MATCH($B60,'ROS Proj'!$A$2:$A$561,0),17),1)+Week+Half_Week</f>
        <v>#N/A</v>
      </c>
      <c r="J60" s="2">
        <f>INDEX('ROS Proj'!$T$2:$T$561,MATCH($B60,'ROS Proj'!$A$2:$A$561,0))</f>
        <v>7.5912499999999996</v>
      </c>
      <c r="K60" s="2" t="str">
        <f>INDEX('ROS Proj'!$C$2:$S$561,MATCH($B60,'ROS Proj'!$A$2:$A$561,0),Week+Half_Week)</f>
        <v>NA</v>
      </c>
      <c r="L60" s="3" t="e">
        <f t="shared" si="2"/>
        <v>#VALUE!</v>
      </c>
      <c r="M60">
        <f t="shared" si="3"/>
        <v>2</v>
      </c>
      <c r="N60">
        <f t="shared" si="4"/>
        <v>8</v>
      </c>
      <c r="O60">
        <f t="shared" si="5"/>
        <v>12</v>
      </c>
      <c r="P60" t="str">
        <f t="shared" si="6"/>
        <v/>
      </c>
      <c r="Q60" t="str">
        <f t="shared" si="7"/>
        <v xml:space="preserve">Barber (devon) </v>
      </c>
    </row>
    <row r="61" spans="1:17" x14ac:dyDescent="0.25">
      <c r="A61" t="s">
        <v>35</v>
      </c>
      <c r="B61" t="s">
        <v>127</v>
      </c>
      <c r="C61" t="str">
        <f t="shared" si="0"/>
        <v>aj</v>
      </c>
      <c r="D61">
        <f>COUNTIF('F Proj'!$B$2:$B$7669,B61)+COUNTIF('D Proj'!$B$2:$B$513,B61)+COUNTIF('K Proj'!$B$2:$B$508,B61)</f>
        <v>16</v>
      </c>
      <c r="E61" t="str">
        <f>IF(ISERROR(MATCH(ROW(A60),Trades!$A$10:$A$43,0)),"",IF(INDEX(Trades!$E$10:$E$43,MATCH(ROW(A60),Trades!$A$10:$A$43,0)),IF(A61=Trades!$A$27,Trades!$B$7,Trades!$A$27),""))</f>
        <v>aj</v>
      </c>
      <c r="F61" t="str">
        <f>IF(D61=0,NA(),IFERROR(INDEX('F Proj'!$F$2:$F$7669,MATCH(B61,'F Proj'!$B$2:$B$7669,0)),"O"))</f>
        <v>RB</v>
      </c>
      <c r="G61" t="str">
        <f t="shared" si="1"/>
        <v>Flex</v>
      </c>
      <c r="H61" t="str">
        <f>C61&amp;G61&amp;COUNTIFS(C$1:C61,C61,G$1:G61,G61)</f>
        <v>ajFlex11</v>
      </c>
      <c r="I61" t="e">
        <f>MATCH(0,INDEX('ROS Proj'!$C$2:$S$561,MATCH($B61,'ROS Proj'!$A$2:$A$561,0),Week+Half_Week):INDEX('ROS Proj'!$C$2:$S$561,MATCH($B61,'ROS Proj'!$A$2:$A$561,0),17),1)+Week+Half_Week</f>
        <v>#N/A</v>
      </c>
      <c r="J61" s="2">
        <f>INDEX('ROS Proj'!$T$2:$T$561,MATCH($B61,'ROS Proj'!$A$2:$A$561,0))</f>
        <v>12.559999999999999</v>
      </c>
      <c r="K61" s="2">
        <f>INDEX('ROS Proj'!$C$2:$S$561,MATCH($B61,'ROS Proj'!$A$2:$A$561,0),Week+Half_Week)</f>
        <v>5.23</v>
      </c>
      <c r="L61" s="3">
        <f t="shared" si="2"/>
        <v>-0.58359872611464958</v>
      </c>
      <c r="M61">
        <f t="shared" si="3"/>
        <v>3</v>
      </c>
      <c r="N61">
        <f t="shared" si="4"/>
        <v>8</v>
      </c>
      <c r="O61">
        <f t="shared" si="5"/>
        <v>12</v>
      </c>
      <c r="P61">
        <f t="shared" si="6"/>
        <v>3</v>
      </c>
      <c r="Q61" t="str">
        <f t="shared" si="7"/>
        <v>Cook (aj) adjusted down this week</v>
      </c>
    </row>
    <row r="62" spans="1:17" x14ac:dyDescent="0.25">
      <c r="A62" t="s">
        <v>35</v>
      </c>
      <c r="B62" t="s">
        <v>235</v>
      </c>
      <c r="C62" t="str">
        <f t="shared" si="0"/>
        <v>devon</v>
      </c>
      <c r="D62">
        <f>COUNTIF('F Proj'!$B$2:$B$7669,B62)+COUNTIF('D Proj'!$B$2:$B$513,B62)+COUNTIF('K Proj'!$B$2:$B$508,B62)</f>
        <v>16</v>
      </c>
      <c r="E62" t="str">
        <f>IF(ISERROR(MATCH(ROW(A61),Trades!$A$10:$A$43,0)),"",IF(INDEX(Trades!$E$10:$E$43,MATCH(ROW(A61),Trades!$A$10:$A$43,0)),IF(A62=Trades!$A$27,Trades!$B$7,Trades!$A$27),""))</f>
        <v/>
      </c>
      <c r="F62" t="str">
        <f>IF(D62=0,NA(),IFERROR(INDEX('F Proj'!$F$2:$F$7669,MATCH(B62,'F Proj'!$B$2:$B$7669,0)),"O"))</f>
        <v>TE</v>
      </c>
      <c r="G62" t="str">
        <f t="shared" si="1"/>
        <v>Non</v>
      </c>
      <c r="H62" t="str">
        <f>C62&amp;G62&amp;COUNTIFS(C$1:C62,C62,G$1:G62,G62)</f>
        <v>devonNon5</v>
      </c>
      <c r="I62">
        <f>MATCH(0,INDEX('ROS Proj'!$C$2:$S$561,MATCH($B62,'ROS Proj'!$A$2:$A$561,0),Week+Half_Week):INDEX('ROS Proj'!$C$2:$S$561,MATCH($B62,'ROS Proj'!$A$2:$A$561,0),17),1)+Week+Half_Week</f>
        <v>7</v>
      </c>
      <c r="J62" s="2">
        <f>INDEX('ROS Proj'!$T$2:$T$561,MATCH($B62,'ROS Proj'!$A$2:$A$561,0))</f>
        <v>4.9014285714285721</v>
      </c>
      <c r="K62" s="2">
        <f>INDEX('ROS Proj'!$C$2:$S$561,MATCH($B62,'ROS Proj'!$A$2:$A$561,0),Week+Half_Week)</f>
        <v>0</v>
      </c>
      <c r="L62" s="3">
        <f t="shared" si="2"/>
        <v>-1</v>
      </c>
      <c r="M62">
        <f t="shared" si="3"/>
        <v>3</v>
      </c>
      <c r="N62">
        <f t="shared" si="4"/>
        <v>9</v>
      </c>
      <c r="O62">
        <f t="shared" si="5"/>
        <v>12</v>
      </c>
      <c r="P62">
        <f t="shared" si="6"/>
        <v>9</v>
      </c>
      <c r="Q62" t="str">
        <f t="shared" si="7"/>
        <v>Engram (devon) returns Week 7</v>
      </c>
    </row>
    <row r="63" spans="1:17" x14ac:dyDescent="0.25">
      <c r="A63" t="s">
        <v>35</v>
      </c>
      <c r="B63" t="s">
        <v>48</v>
      </c>
      <c r="C63" t="str">
        <f t="shared" si="0"/>
        <v>devon</v>
      </c>
      <c r="D63">
        <f>COUNTIF('F Proj'!$B$2:$B$7669,B63)+COUNTIF('D Proj'!$B$2:$B$513,B63)+COUNTIF('K Proj'!$B$2:$B$508,B63)</f>
        <v>16</v>
      </c>
      <c r="E63" t="str">
        <f>IF(ISERROR(MATCH(ROW(A62),Trades!$A$10:$A$43,0)),"",IF(INDEX(Trades!$E$10:$E$43,MATCH(ROW(A62),Trades!$A$10:$A$43,0)),IF(A63=Trades!$A$27,Trades!$B$7,Trades!$A$27),""))</f>
        <v/>
      </c>
      <c r="F63" t="str">
        <f>IF(D63=0,NA(),IFERROR(INDEX('F Proj'!$F$2:$F$7669,MATCH(B63,'F Proj'!$B$2:$B$7669,0)),"O"))</f>
        <v>RB</v>
      </c>
      <c r="G63" t="str">
        <f t="shared" si="1"/>
        <v>Flex</v>
      </c>
      <c r="H63" t="str">
        <f>C63&amp;G63&amp;COUNTIFS(C$1:C63,C63,G$1:G63,G63)</f>
        <v>devonFlex10</v>
      </c>
      <c r="I63">
        <f>MATCH(0,INDEX('ROS Proj'!$C$2:$S$561,MATCH($B63,'ROS Proj'!$A$2:$A$561,0),Week+Half_Week):INDEX('ROS Proj'!$C$2:$S$561,MATCH($B63,'ROS Proj'!$A$2:$A$561,0),17),1)+Week+Half_Week</f>
        <v>7</v>
      </c>
      <c r="J63" s="2">
        <f>INDEX('ROS Proj'!$T$2:$T$561,MATCH($B63,'ROS Proj'!$A$2:$A$561,0))</f>
        <v>5.7485714285714291</v>
      </c>
      <c r="K63" s="2">
        <f>INDEX('ROS Proj'!$C$2:$S$561,MATCH($B63,'ROS Proj'!$A$2:$A$561,0),Week+Half_Week)</f>
        <v>0</v>
      </c>
      <c r="L63" s="3">
        <f t="shared" si="2"/>
        <v>-1</v>
      </c>
      <c r="M63">
        <f t="shared" si="3"/>
        <v>3</v>
      </c>
      <c r="N63">
        <f t="shared" si="4"/>
        <v>10</v>
      </c>
      <c r="O63">
        <f t="shared" si="5"/>
        <v>12</v>
      </c>
      <c r="P63">
        <f t="shared" si="6"/>
        <v>10</v>
      </c>
      <c r="Q63" t="str">
        <f t="shared" si="7"/>
        <v>Bell (devon) returns Week 7</v>
      </c>
    </row>
    <row r="64" spans="1:17" x14ac:dyDescent="0.25">
      <c r="A64" t="s">
        <v>27</v>
      </c>
      <c r="B64" t="s">
        <v>67</v>
      </c>
      <c r="C64" t="str">
        <f t="shared" si="0"/>
        <v>comp</v>
      </c>
      <c r="D64">
        <f>COUNTIF('F Proj'!$B$2:$B$7669,B64)+COUNTIF('D Proj'!$B$2:$B$513,B64)+COUNTIF('K Proj'!$B$2:$B$508,B64)</f>
        <v>16</v>
      </c>
      <c r="E64" t="str">
        <f>IF(ISERROR(MATCH(ROW(A63),Trades!$A$10:$A$43,0)),"",IF(INDEX(Trades!$E$10:$E$43,MATCH(ROW(A63),Trades!$A$10:$A$43,0)),IF(A64=Trades!$A$27,Trades!$B$7,Trades!$A$27),""))</f>
        <v/>
      </c>
      <c r="F64" t="str">
        <f>IF(D64=0,NA(),IFERROR(INDEX('F Proj'!$F$2:$F$7669,MATCH(B64,'F Proj'!$B$2:$B$7669,0)),"O"))</f>
        <v>QB</v>
      </c>
      <c r="G64" t="str">
        <f t="shared" si="1"/>
        <v>Non</v>
      </c>
      <c r="H64" t="str">
        <f>C64&amp;G64&amp;COUNTIFS(C$1:C64,C64,G$1:G64,G64)</f>
        <v>compNon1</v>
      </c>
      <c r="I64" t="e">
        <f>MATCH(0,INDEX('ROS Proj'!$C$2:$S$561,MATCH($B64,'ROS Proj'!$A$2:$A$561,0),Week+Half_Week):INDEX('ROS Proj'!$C$2:$S$561,MATCH($B64,'ROS Proj'!$A$2:$A$561,0),17),1)+Week+Half_Week</f>
        <v>#N/A</v>
      </c>
      <c r="J64" s="2">
        <f>INDEX('ROS Proj'!$T$2:$T$561,MATCH($B64,'ROS Proj'!$A$2:$A$561,0))</f>
        <v>19.547142857142859</v>
      </c>
      <c r="K64" s="2">
        <f>INDEX('ROS Proj'!$C$2:$S$561,MATCH($B64,'ROS Proj'!$A$2:$A$561,0),Week+Half_Week)</f>
        <v>21.4</v>
      </c>
      <c r="L64" s="3">
        <f t="shared" si="2"/>
        <v>9.4789154425199085E-2</v>
      </c>
      <c r="M64">
        <f t="shared" si="3"/>
        <v>3</v>
      </c>
      <c r="N64">
        <f t="shared" si="4"/>
        <v>10</v>
      </c>
      <c r="O64">
        <f t="shared" si="5"/>
        <v>12</v>
      </c>
      <c r="P64" t="str">
        <f t="shared" si="6"/>
        <v/>
      </c>
      <c r="Q64" t="str">
        <f t="shared" si="7"/>
        <v xml:space="preserve">Rivers (comp) </v>
      </c>
    </row>
    <row r="65" spans="1:17" x14ac:dyDescent="0.25">
      <c r="A65" t="s">
        <v>27</v>
      </c>
      <c r="B65" t="s">
        <v>99</v>
      </c>
      <c r="C65" t="str">
        <f t="shared" si="0"/>
        <v>comp</v>
      </c>
      <c r="D65">
        <f>COUNTIF('F Proj'!$B$2:$B$7669,B65)+COUNTIF('D Proj'!$B$2:$B$513,B65)+COUNTIF('K Proj'!$B$2:$B$508,B65)</f>
        <v>16</v>
      </c>
      <c r="E65" t="str">
        <f>IF(ISERROR(MATCH(ROW(A64),Trades!$A$10:$A$43,0)),"",IF(INDEX(Trades!$E$10:$E$43,MATCH(ROW(A64),Trades!$A$10:$A$43,0)),IF(A65=Trades!$A$27,Trades!$B$7,Trades!$A$27),""))</f>
        <v/>
      </c>
      <c r="F65" t="str">
        <f>IF(D65=0,NA(),IFERROR(INDEX('F Proj'!$F$2:$F$7669,MATCH(B65,'F Proj'!$B$2:$B$7669,0)),"O"))</f>
        <v>RB</v>
      </c>
      <c r="G65" t="str">
        <f t="shared" si="1"/>
        <v>Flex</v>
      </c>
      <c r="H65" t="str">
        <f>C65&amp;G65&amp;COUNTIFS(C$1:C65,C65,G$1:G65,G65)</f>
        <v>compFlex1</v>
      </c>
      <c r="I65" t="e">
        <f>MATCH(0,INDEX('ROS Proj'!$C$2:$S$561,MATCH($B65,'ROS Proj'!$A$2:$A$561,0),Week+Half_Week):INDEX('ROS Proj'!$C$2:$S$561,MATCH($B65,'ROS Proj'!$A$2:$A$561,0),17),1)+Week+Half_Week</f>
        <v>#N/A</v>
      </c>
      <c r="J65" s="2">
        <f>INDEX('ROS Proj'!$T$2:$T$561,MATCH($B65,'ROS Proj'!$A$2:$A$561,0))</f>
        <v>12.65</v>
      </c>
      <c r="K65" s="2">
        <f>INDEX('ROS Proj'!$C$2:$S$561,MATCH($B65,'ROS Proj'!$A$2:$A$561,0),Week+Half_Week)</f>
        <v>11.82</v>
      </c>
      <c r="L65" s="3">
        <f t="shared" si="2"/>
        <v>-6.5612648221343828E-2</v>
      </c>
      <c r="M65">
        <f t="shared" si="3"/>
        <v>3</v>
      </c>
      <c r="N65">
        <f t="shared" si="4"/>
        <v>10</v>
      </c>
      <c r="O65">
        <f t="shared" si="5"/>
        <v>12</v>
      </c>
      <c r="P65" t="str">
        <f t="shared" si="6"/>
        <v/>
      </c>
      <c r="Q65" t="str">
        <f t="shared" si="7"/>
        <v xml:space="preserve">Miller (comp) </v>
      </c>
    </row>
    <row r="66" spans="1:17" x14ac:dyDescent="0.25">
      <c r="A66" t="s">
        <v>27</v>
      </c>
      <c r="B66" t="s">
        <v>158</v>
      </c>
      <c r="C66" t="str">
        <f t="shared" si="0"/>
        <v>comp</v>
      </c>
      <c r="D66">
        <f>COUNTIF('F Proj'!$B$2:$B$7669,B66)+COUNTIF('D Proj'!$B$2:$B$513,B66)+COUNTIF('K Proj'!$B$2:$B$508,B66)</f>
        <v>16</v>
      </c>
      <c r="E66" t="str">
        <f>IF(ISERROR(MATCH(ROW(A65),Trades!$A$10:$A$43,0)),"",IF(INDEX(Trades!$E$10:$E$43,MATCH(ROW(A65),Trades!$A$10:$A$43,0)),IF(A66=Trades!$A$27,Trades!$B$7,Trades!$A$27),""))</f>
        <v/>
      </c>
      <c r="F66" t="str">
        <f>IF(D66=0,NA(),IFERROR(INDEX('F Proj'!$F$2:$F$7669,MATCH(B66,'F Proj'!$B$2:$B$7669,0)),"O"))</f>
        <v>RB</v>
      </c>
      <c r="G66" t="str">
        <f t="shared" si="1"/>
        <v>Flex</v>
      </c>
      <c r="H66" t="str">
        <f>C66&amp;G66&amp;COUNTIFS(C$1:C66,C66,G$1:G66,G66)</f>
        <v>compFlex2</v>
      </c>
      <c r="I66" t="e">
        <f>MATCH(0,INDEX('ROS Proj'!$C$2:$S$561,MATCH($B66,'ROS Proj'!$A$2:$A$561,0),Week+Half_Week):INDEX('ROS Proj'!$C$2:$S$561,MATCH($B66,'ROS Proj'!$A$2:$A$561,0),17),1)+Week+Half_Week</f>
        <v>#N/A</v>
      </c>
      <c r="J66" s="2">
        <f>INDEX('ROS Proj'!$T$2:$T$561,MATCH($B66,'ROS Proj'!$A$2:$A$561,0))</f>
        <v>10.338750000000001</v>
      </c>
      <c r="K66" s="2">
        <f>INDEX('ROS Proj'!$C$2:$S$561,MATCH($B66,'ROS Proj'!$A$2:$A$561,0),Week+Half_Week)</f>
        <v>9.69</v>
      </c>
      <c r="L66" s="3">
        <f t="shared" si="2"/>
        <v>-6.2749365252085743E-2</v>
      </c>
      <c r="M66">
        <f t="shared" si="3"/>
        <v>3</v>
      </c>
      <c r="N66">
        <f t="shared" si="4"/>
        <v>10</v>
      </c>
      <c r="O66">
        <f t="shared" si="5"/>
        <v>12</v>
      </c>
      <c r="P66" t="str">
        <f t="shared" si="6"/>
        <v/>
      </c>
      <c r="Q66" t="str">
        <f t="shared" si="7"/>
        <v xml:space="preserve">Peterson (comp) </v>
      </c>
    </row>
    <row r="67" spans="1:17" x14ac:dyDescent="0.25">
      <c r="A67" t="s">
        <v>27</v>
      </c>
      <c r="B67" t="s">
        <v>103</v>
      </c>
      <c r="C67" t="str">
        <f t="shared" ref="C67:C130" si="9">IF(E67="",A67,E67)</f>
        <v>comp</v>
      </c>
      <c r="D67">
        <f>COUNTIF('F Proj'!$B$2:$B$7669,B67)+COUNTIF('D Proj'!$B$2:$B$513,B67)+COUNTIF('K Proj'!$B$2:$B$508,B67)</f>
        <v>16</v>
      </c>
      <c r="E67" t="str">
        <f>IF(ISERROR(MATCH(ROW(A66),Trades!$A$10:$A$43,0)),"",IF(INDEX(Trades!$E$10:$E$43,MATCH(ROW(A66),Trades!$A$10:$A$43,0)),IF(A67=Trades!$A$27,Trades!$B$7,Trades!$A$27),""))</f>
        <v/>
      </c>
      <c r="F67" t="str">
        <f>IF(D67=0,NA(),IFERROR(INDEX('F Proj'!$F$2:$F$7669,MATCH(B67,'F Proj'!$B$2:$B$7669,0)),"O"))</f>
        <v>WR</v>
      </c>
      <c r="G67" t="str">
        <f t="shared" ref="G67:G130" si="10">IF(OR(F67="QB",F67="TE",F67="O"),"Non","Flex")</f>
        <v>Flex</v>
      </c>
      <c r="H67" t="str">
        <f>C67&amp;G67&amp;COUNTIFS(C$1:C67,C67,G$1:G67,G67)</f>
        <v>compFlex3</v>
      </c>
      <c r="I67" t="e">
        <f>MATCH(0,INDEX('ROS Proj'!$C$2:$S$561,MATCH($B67,'ROS Proj'!$A$2:$A$561,0),Week+Half_Week):INDEX('ROS Proj'!$C$2:$S$561,MATCH($B67,'ROS Proj'!$A$2:$A$561,0),17),1)+Week+Half_Week</f>
        <v>#N/A</v>
      </c>
      <c r="J67" s="2">
        <f>INDEX('ROS Proj'!$T$2:$T$561,MATCH($B67,'ROS Proj'!$A$2:$A$561,0))</f>
        <v>9.2642857142857142</v>
      </c>
      <c r="K67" s="2">
        <f>INDEX('ROS Proj'!$C$2:$S$561,MATCH($B67,'ROS Proj'!$A$2:$A$561,0),Week+Half_Week)</f>
        <v>9.01</v>
      </c>
      <c r="L67" s="3">
        <f t="shared" ref="L67:L130" si="11">IF(F67="O","",K67/J67-1)</f>
        <v>-2.7447956823438702E-2</v>
      </c>
      <c r="M67">
        <f t="shared" ref="M67:M130" si="12">IFERROR(IF(AND(L67&lt;&gt;"",OR(L67&gt;0.9,L67&lt;-0.4),ISNA(I67)),M66+1,M66),M66)</f>
        <v>3</v>
      </c>
      <c r="N67">
        <f t="shared" ref="N67:N130" si="13">IF(ISNA(I67),N66,N66+1)</f>
        <v>10</v>
      </c>
      <c r="O67">
        <f t="shared" ref="O67:O130" si="14">IF(ISNA(L67),O66+1,O66)</f>
        <v>12</v>
      </c>
      <c r="P67" t="str">
        <f t="shared" ref="P67:P130" si="15">IF(M67&gt;M66,M67,IF(N67&gt;N66,N67,IF(O67&gt;O66,O67,"")))</f>
        <v/>
      </c>
      <c r="Q67" t="str">
        <f t="shared" ref="Q67:Q130" si="16">RIGHT(B67,LEN(B67)-SEARCH(" ",B67))&amp;" ("&amp;C67&amp;") "&amp;IF(M67&gt;M66,IF(L67&gt;0,"adjusted up this week","adjusted down this week"),IF(N67&gt;N66,"returns Week "&amp;I67,IF(O67&gt;O66,"has no NF projection","")))</f>
        <v xml:space="preserve">Cooper (comp) </v>
      </c>
    </row>
    <row r="68" spans="1:17" x14ac:dyDescent="0.25">
      <c r="A68" t="s">
        <v>27</v>
      </c>
      <c r="B68" t="s">
        <v>96</v>
      </c>
      <c r="C68" t="str">
        <f t="shared" si="9"/>
        <v>comp</v>
      </c>
      <c r="D68">
        <f>COUNTIF('F Proj'!$B$2:$B$7669,B68)+COUNTIF('D Proj'!$B$2:$B$513,B68)+COUNTIF('K Proj'!$B$2:$B$508,B68)</f>
        <v>16</v>
      </c>
      <c r="E68" t="str">
        <f>IF(ISERROR(MATCH(ROW(A67),Trades!$A$10:$A$43,0)),"",IF(INDEX(Trades!$E$10:$E$43,MATCH(ROW(A67),Trades!$A$10:$A$43,0)),IF(A68=Trades!$A$27,Trades!$B$7,Trades!$A$27),""))</f>
        <v/>
      </c>
      <c r="F68" t="str">
        <f>IF(D68=0,NA(),IFERROR(INDEX('F Proj'!$F$2:$F$7669,MATCH(B68,'F Proj'!$B$2:$B$7669,0)),"O"))</f>
        <v>WR</v>
      </c>
      <c r="G68" t="str">
        <f t="shared" si="10"/>
        <v>Flex</v>
      </c>
      <c r="H68" t="str">
        <f>C68&amp;G68&amp;COUNTIFS(C$1:C68,C68,G$1:G68,G68)</f>
        <v>compFlex4</v>
      </c>
      <c r="I68" t="e">
        <f>MATCH(0,INDEX('ROS Proj'!$C$2:$S$561,MATCH($B68,'ROS Proj'!$A$2:$A$561,0),Week+Half_Week):INDEX('ROS Proj'!$C$2:$S$561,MATCH($B68,'ROS Proj'!$A$2:$A$561,0),17),1)+Week+Half_Week</f>
        <v>#N/A</v>
      </c>
      <c r="J68" s="2">
        <f>INDEX('ROS Proj'!$T$2:$T$561,MATCH($B68,'ROS Proj'!$A$2:$A$561,0))</f>
        <v>13.465714285714286</v>
      </c>
      <c r="K68" s="2">
        <f>INDEX('ROS Proj'!$C$2:$S$561,MATCH($B68,'ROS Proj'!$A$2:$A$561,0),Week+Half_Week)</f>
        <v>15.59</v>
      </c>
      <c r="L68" s="3">
        <f t="shared" si="11"/>
        <v>0.1577551453426691</v>
      </c>
      <c r="M68">
        <f t="shared" si="12"/>
        <v>3</v>
      </c>
      <c r="N68">
        <f t="shared" si="13"/>
        <v>10</v>
      </c>
      <c r="O68">
        <f t="shared" si="14"/>
        <v>12</v>
      </c>
      <c r="P68" t="str">
        <f t="shared" si="15"/>
        <v/>
      </c>
      <c r="Q68" t="str">
        <f t="shared" si="16"/>
        <v xml:space="preserve">Brown (comp) </v>
      </c>
    </row>
    <row r="69" spans="1:17" x14ac:dyDescent="0.25">
      <c r="A69" t="s">
        <v>27</v>
      </c>
      <c r="B69" t="s">
        <v>149</v>
      </c>
      <c r="C69" t="str">
        <f t="shared" si="9"/>
        <v>comp</v>
      </c>
      <c r="D69">
        <f>COUNTIF('F Proj'!$B$2:$B$7669,B69)+COUNTIF('D Proj'!$B$2:$B$513,B69)+COUNTIF('K Proj'!$B$2:$B$508,B69)</f>
        <v>16</v>
      </c>
      <c r="E69" t="str">
        <f>IF(ISERROR(MATCH(ROW(A68),Trades!$A$10:$A$43,0)),"",IF(INDEX(Trades!$E$10:$E$43,MATCH(ROW(A68),Trades!$A$10:$A$43,0)),IF(A69=Trades!$A$27,Trades!$B$7,Trades!$A$27),""))</f>
        <v/>
      </c>
      <c r="F69" t="str">
        <f>IF(D69=0,NA(),IFERROR(INDEX('F Proj'!$F$2:$F$7669,MATCH(B69,'F Proj'!$B$2:$B$7669,0)),"O"))</f>
        <v>WR</v>
      </c>
      <c r="G69" t="str">
        <f t="shared" si="10"/>
        <v>Flex</v>
      </c>
      <c r="H69" t="str">
        <f>C69&amp;G69&amp;COUNTIFS(C$1:C69,C69,G$1:G69,G69)</f>
        <v>compFlex5</v>
      </c>
      <c r="I69" t="e">
        <f>MATCH(0,INDEX('ROS Proj'!$C$2:$S$561,MATCH($B69,'ROS Proj'!$A$2:$A$561,0),Week+Half_Week):INDEX('ROS Proj'!$C$2:$S$561,MATCH($B69,'ROS Proj'!$A$2:$A$561,0),17),1)+Week+Half_Week</f>
        <v>#N/A</v>
      </c>
      <c r="J69" s="2">
        <f>INDEX('ROS Proj'!$T$2:$T$561,MATCH($B69,'ROS Proj'!$A$2:$A$561,0))</f>
        <v>8.1042857142857141</v>
      </c>
      <c r="K69" s="2">
        <f>INDEX('ROS Proj'!$C$2:$S$561,MATCH($B69,'ROS Proj'!$A$2:$A$561,0),Week+Half_Week)</f>
        <v>8.33</v>
      </c>
      <c r="L69" s="3">
        <f t="shared" si="11"/>
        <v>2.7851225101357402E-2</v>
      </c>
      <c r="M69">
        <f t="shared" si="12"/>
        <v>3</v>
      </c>
      <c r="N69">
        <f t="shared" si="13"/>
        <v>10</v>
      </c>
      <c r="O69">
        <f t="shared" si="14"/>
        <v>12</v>
      </c>
      <c r="P69" t="str">
        <f t="shared" si="15"/>
        <v/>
      </c>
      <c r="Q69" t="str">
        <f t="shared" si="16"/>
        <v xml:space="preserve">Sanders (comp) </v>
      </c>
    </row>
    <row r="70" spans="1:17" x14ac:dyDescent="0.25">
      <c r="A70" t="s">
        <v>27</v>
      </c>
      <c r="B70" t="s">
        <v>1422</v>
      </c>
      <c r="C70" t="str">
        <f t="shared" si="9"/>
        <v>comp</v>
      </c>
      <c r="D70">
        <f>COUNTIF('F Proj'!$B$2:$B$7669,B70)+COUNTIF('D Proj'!$B$2:$B$513,B70)+COUNTIF('K Proj'!$B$2:$B$508,B70)</f>
        <v>16</v>
      </c>
      <c r="E70" t="str">
        <f>IF(ISERROR(MATCH(ROW(A69),Trades!$A$10:$A$43,0)),"",IF(INDEX(Trades!$E$10:$E$43,MATCH(ROW(A69),Trades!$A$10:$A$43,0)),IF(A70=Trades!$A$27,Trades!$B$7,Trades!$A$27),""))</f>
        <v/>
      </c>
      <c r="F70" t="str">
        <f>IF(D70=0,NA(),IFERROR(INDEX('F Proj'!$F$2:$F$7669,MATCH(B70,'F Proj'!$B$2:$B$7669,0)),"O"))</f>
        <v>WR</v>
      </c>
      <c r="G70" t="str">
        <f t="shared" si="10"/>
        <v>Flex</v>
      </c>
      <c r="H70" t="str">
        <f>C70&amp;G70&amp;COUNTIFS(C$1:C70,C70,G$1:G70,G70)</f>
        <v>compFlex6</v>
      </c>
      <c r="I70" t="e">
        <f>MATCH(0,INDEX('ROS Proj'!$C$2:$S$561,MATCH($B70,'ROS Proj'!$A$2:$A$561,0),Week+Half_Week):INDEX('ROS Proj'!$C$2:$S$561,MATCH($B70,'ROS Proj'!$A$2:$A$561,0),17),1)+Week+Half_Week</f>
        <v>#N/A</v>
      </c>
      <c r="J70" s="2">
        <f>INDEX('ROS Proj'!$T$2:$T$561,MATCH($B70,'ROS Proj'!$A$2:$A$561,0))</f>
        <v>7.67</v>
      </c>
      <c r="K70" s="2">
        <f>INDEX('ROS Proj'!$C$2:$S$561,MATCH($B70,'ROS Proj'!$A$2:$A$561,0),Week+Half_Week)</f>
        <v>7.75</v>
      </c>
      <c r="L70" s="3">
        <f t="shared" si="11"/>
        <v>1.0430247718383301E-2</v>
      </c>
      <c r="M70">
        <f t="shared" si="12"/>
        <v>3</v>
      </c>
      <c r="N70">
        <f t="shared" si="13"/>
        <v>10</v>
      </c>
      <c r="O70">
        <f t="shared" si="14"/>
        <v>12</v>
      </c>
      <c r="P70" t="str">
        <f t="shared" si="15"/>
        <v/>
      </c>
      <c r="Q70" t="str">
        <f t="shared" si="16"/>
        <v xml:space="preserve">Ridley (comp) </v>
      </c>
    </row>
    <row r="71" spans="1:17" x14ac:dyDescent="0.25">
      <c r="A71" t="s">
        <v>27</v>
      </c>
      <c r="B71" t="s">
        <v>211</v>
      </c>
      <c r="C71" t="str">
        <f t="shared" si="9"/>
        <v>comp</v>
      </c>
      <c r="D71">
        <f>COUNTIF('F Proj'!$B$2:$B$7669,B71)+COUNTIF('D Proj'!$B$2:$B$513,B71)+COUNTIF('K Proj'!$B$2:$B$508,B71)</f>
        <v>16</v>
      </c>
      <c r="E71" t="str">
        <f>IF(ISERROR(MATCH(ROW(A70),Trades!$A$10:$A$43,0)),"",IF(INDEX(Trades!$E$10:$E$43,MATCH(ROW(A70),Trades!$A$10:$A$43,0)),IF(A71=Trades!$A$27,Trades!$B$7,Trades!$A$27),""))</f>
        <v/>
      </c>
      <c r="F71" t="str">
        <f>IF(D71=0,NA(),IFERROR(INDEX('F Proj'!$F$2:$F$7669,MATCH(B71,'F Proj'!$B$2:$B$7669,0)),"O"))</f>
        <v>TE</v>
      </c>
      <c r="G71" t="str">
        <f t="shared" si="10"/>
        <v>Non</v>
      </c>
      <c r="H71" t="str">
        <f>C71&amp;G71&amp;COUNTIFS(C$1:C71,C71,G$1:G71,G71)</f>
        <v>compNon2</v>
      </c>
      <c r="I71" t="e">
        <f>MATCH(0,INDEX('ROS Proj'!$C$2:$S$561,MATCH($B71,'ROS Proj'!$A$2:$A$561,0),Week+Half_Week):INDEX('ROS Proj'!$C$2:$S$561,MATCH($B71,'ROS Proj'!$A$2:$A$561,0),17),1)+Week+Half_Week</f>
        <v>#N/A</v>
      </c>
      <c r="J71" s="2">
        <f>INDEX('ROS Proj'!$T$2:$T$561,MATCH($B71,'ROS Proj'!$A$2:$A$561,0))</f>
        <v>5.2457142857142856</v>
      </c>
      <c r="K71" s="2">
        <f>INDEX('ROS Proj'!$C$2:$S$561,MATCH($B71,'ROS Proj'!$A$2:$A$561,0),Week+Half_Week)</f>
        <v>4.21</v>
      </c>
      <c r="L71" s="3">
        <f t="shared" si="11"/>
        <v>-0.1974400871459695</v>
      </c>
      <c r="M71">
        <f t="shared" si="12"/>
        <v>3</v>
      </c>
      <c r="N71">
        <f t="shared" si="13"/>
        <v>10</v>
      </c>
      <c r="O71">
        <f t="shared" si="14"/>
        <v>12</v>
      </c>
      <c r="P71" t="str">
        <f t="shared" si="15"/>
        <v/>
      </c>
      <c r="Q71" t="str">
        <f t="shared" si="16"/>
        <v xml:space="preserve">Hooper (comp) </v>
      </c>
    </row>
    <row r="72" spans="1:17" x14ac:dyDescent="0.25">
      <c r="A72" t="s">
        <v>27</v>
      </c>
      <c r="B72" t="s">
        <v>414</v>
      </c>
      <c r="C72" t="str">
        <f t="shared" si="9"/>
        <v>comp</v>
      </c>
      <c r="D72">
        <f>COUNTIF('F Proj'!$B$2:$B$7669,B72)+COUNTIF('D Proj'!$B$2:$B$513,B72)+COUNTIF('K Proj'!$B$2:$B$508,B72)</f>
        <v>16</v>
      </c>
      <c r="E72" t="str">
        <f>IF(ISERROR(MATCH(ROW(A71),Trades!$A$10:$A$43,0)),"",IF(INDEX(Trades!$E$10:$E$43,MATCH(ROW(A71),Trades!$A$10:$A$43,0)),IF(A72=Trades!$A$27,Trades!$B$7,Trades!$A$27),""))</f>
        <v/>
      </c>
      <c r="F72" t="str">
        <f>IF(D72=0,NA(),IFERROR(INDEX('F Proj'!$F$2:$F$7669,MATCH(B72,'F Proj'!$B$2:$B$7669,0)),"O"))</f>
        <v>O</v>
      </c>
      <c r="G72" t="str">
        <f t="shared" si="10"/>
        <v>Non</v>
      </c>
      <c r="H72" t="str">
        <f>C72&amp;G72&amp;COUNTIFS(C$1:C72,C72,G$1:G72,G72)</f>
        <v>compNon3</v>
      </c>
      <c r="I72" t="e">
        <f>MATCH(0,INDEX('ROS Proj'!$C$2:$S$561,MATCH($B72,'ROS Proj'!$A$2:$A$561,0),Week+Half_Week):INDEX('ROS Proj'!$C$2:$S$561,MATCH($B72,'ROS Proj'!$A$2:$A$561,0),17),1)+Week+Half_Week</f>
        <v>#N/A</v>
      </c>
      <c r="J72" s="2">
        <f>INDEX('ROS Proj'!$T$2:$T$561,MATCH($B72,'ROS Proj'!$A$2:$A$561,0))</f>
        <v>7.3828571428571417</v>
      </c>
      <c r="K72" s="2">
        <f>INDEX('ROS Proj'!$C$2:$S$561,MATCH($B72,'ROS Proj'!$A$2:$A$561,0),Week+Half_Week)</f>
        <v>6.91</v>
      </c>
      <c r="L72" s="3" t="str">
        <f t="shared" si="11"/>
        <v/>
      </c>
      <c r="M72">
        <f t="shared" si="12"/>
        <v>3</v>
      </c>
      <c r="N72">
        <f t="shared" si="13"/>
        <v>10</v>
      </c>
      <c r="O72">
        <f t="shared" si="14"/>
        <v>12</v>
      </c>
      <c r="P72" t="str">
        <f t="shared" si="15"/>
        <v/>
      </c>
      <c r="Q72" t="str">
        <f t="shared" si="16"/>
        <v xml:space="preserve">D/ST (comp) </v>
      </c>
    </row>
    <row r="73" spans="1:17" x14ac:dyDescent="0.25">
      <c r="A73" t="s">
        <v>27</v>
      </c>
      <c r="B73" t="s">
        <v>446</v>
      </c>
      <c r="C73" t="str">
        <f t="shared" si="9"/>
        <v>comp</v>
      </c>
      <c r="D73">
        <f>COUNTIF('F Proj'!$B$2:$B$7669,B73)+COUNTIF('D Proj'!$B$2:$B$513,B73)+COUNTIF('K Proj'!$B$2:$B$508,B73)</f>
        <v>16</v>
      </c>
      <c r="E73" t="str">
        <f>IF(ISERROR(MATCH(ROW(A72),Trades!$A$10:$A$43,0)),"",IF(INDEX(Trades!$E$10:$E$43,MATCH(ROW(A72),Trades!$A$10:$A$43,0)),IF(A73=Trades!$A$27,Trades!$B$7,Trades!$A$27),""))</f>
        <v/>
      </c>
      <c r="F73" t="str">
        <f>IF(D73=0,NA(),IFERROR(INDEX('F Proj'!$F$2:$F$7669,MATCH(B73,'F Proj'!$B$2:$B$7669,0)),"O"))</f>
        <v>O</v>
      </c>
      <c r="G73" t="str">
        <f t="shared" si="10"/>
        <v>Non</v>
      </c>
      <c r="H73" t="str">
        <f>C73&amp;G73&amp;COUNTIFS(C$1:C73,C73,G$1:G73,G73)</f>
        <v>compNon4</v>
      </c>
      <c r="I73" t="e">
        <f>MATCH(0,INDEX('ROS Proj'!$C$2:$S$561,MATCH($B73,'ROS Proj'!$A$2:$A$561,0),Week+Half_Week):INDEX('ROS Proj'!$C$2:$S$561,MATCH($B73,'ROS Proj'!$A$2:$A$561,0),17),1)+Week+Half_Week</f>
        <v>#N/A</v>
      </c>
      <c r="J73" s="2">
        <f>INDEX('ROS Proj'!$T$2:$T$561,MATCH($B73,'ROS Proj'!$A$2:$A$561,0))</f>
        <v>7.9814285714285722</v>
      </c>
      <c r="K73" s="2">
        <f>INDEX('ROS Proj'!$C$2:$S$561,MATCH($B73,'ROS Proj'!$A$2:$A$561,0),Week+Half_Week)</f>
        <v>8.4499999999999993</v>
      </c>
      <c r="L73" s="3" t="str">
        <f t="shared" si="11"/>
        <v/>
      </c>
      <c r="M73">
        <f t="shared" si="12"/>
        <v>3</v>
      </c>
      <c r="N73">
        <f t="shared" si="13"/>
        <v>10</v>
      </c>
      <c r="O73">
        <f t="shared" si="14"/>
        <v>12</v>
      </c>
      <c r="P73" t="str">
        <f t="shared" si="15"/>
        <v/>
      </c>
      <c r="Q73" t="str">
        <f t="shared" si="16"/>
        <v xml:space="preserve">Gostkowski (comp) </v>
      </c>
    </row>
    <row r="74" spans="1:17" x14ac:dyDescent="0.25">
      <c r="A74" t="s">
        <v>27</v>
      </c>
      <c r="B74" t="s">
        <v>1346</v>
      </c>
      <c r="C74" t="str">
        <f t="shared" si="9"/>
        <v>comp</v>
      </c>
      <c r="D74">
        <f>COUNTIF('F Proj'!$B$2:$B$7669,B74)+COUNTIF('D Proj'!$B$2:$B$513,B74)+COUNTIF('K Proj'!$B$2:$B$508,B74)</f>
        <v>16</v>
      </c>
      <c r="E74" t="str">
        <f>IF(ISERROR(MATCH(ROW(A73),Trades!$A$10:$A$43,0)),"",IF(INDEX(Trades!$E$10:$E$43,MATCH(ROW(A73),Trades!$A$10:$A$43,0)),IF(A74=Trades!$A$27,Trades!$B$7,Trades!$A$27),""))</f>
        <v/>
      </c>
      <c r="F74" t="str">
        <f>IF(D74=0,NA(),IFERROR(INDEX('F Proj'!$F$2:$F$7669,MATCH(B74,'F Proj'!$B$2:$B$7669,0)),"O"))</f>
        <v>RB</v>
      </c>
      <c r="G74" t="str">
        <f t="shared" si="10"/>
        <v>Flex</v>
      </c>
      <c r="H74" t="str">
        <f>C74&amp;G74&amp;COUNTIFS(C$1:C74,C74,G$1:G74,G74)</f>
        <v>compFlex7</v>
      </c>
      <c r="I74" t="e">
        <f>MATCH(0,INDEX('ROS Proj'!$C$2:$S$561,MATCH($B74,'ROS Proj'!$A$2:$A$561,0),Week+Half_Week):INDEX('ROS Proj'!$C$2:$S$561,MATCH($B74,'ROS Proj'!$A$2:$A$561,0),17),1)+Week+Half_Week</f>
        <v>#N/A</v>
      </c>
      <c r="J74" s="2">
        <f>INDEX('ROS Proj'!$T$2:$T$561,MATCH($B74,'ROS Proj'!$A$2:$A$561,0))</f>
        <v>7.4571428571428573</v>
      </c>
      <c r="K74" s="2">
        <f>INDEX('ROS Proj'!$C$2:$S$561,MATCH($B74,'ROS Proj'!$A$2:$A$561,0),Week+Half_Week)</f>
        <v>6.98</v>
      </c>
      <c r="L74" s="3">
        <f t="shared" si="11"/>
        <v>-6.3984674329501834E-2</v>
      </c>
      <c r="M74">
        <f t="shared" si="12"/>
        <v>3</v>
      </c>
      <c r="N74">
        <f t="shared" si="13"/>
        <v>10</v>
      </c>
      <c r="O74">
        <f t="shared" si="14"/>
        <v>12</v>
      </c>
      <c r="P74" t="str">
        <f t="shared" si="15"/>
        <v/>
      </c>
      <c r="Q74" t="str">
        <f t="shared" si="16"/>
        <v xml:space="preserve">Freeman (comp) </v>
      </c>
    </row>
    <row r="75" spans="1:17" x14ac:dyDescent="0.25">
      <c r="A75" t="s">
        <v>27</v>
      </c>
      <c r="B75" t="s">
        <v>33</v>
      </c>
      <c r="C75" t="str">
        <f t="shared" si="9"/>
        <v>comp</v>
      </c>
      <c r="D75">
        <f>COUNTIF('F Proj'!$B$2:$B$7669,B75)+COUNTIF('D Proj'!$B$2:$B$513,B75)+COUNTIF('K Proj'!$B$2:$B$508,B75)</f>
        <v>16</v>
      </c>
      <c r="E75" t="str">
        <f>IF(ISERROR(MATCH(ROW(A74),Trades!$A$10:$A$43,0)),"",IF(INDEX(Trades!$E$10:$E$43,MATCH(ROW(A74),Trades!$A$10:$A$43,0)),IF(A75=Trades!$A$27,Trades!$B$7,Trades!$A$27),""))</f>
        <v/>
      </c>
      <c r="F75" t="str">
        <f>IF(D75=0,NA(),IFERROR(INDEX('F Proj'!$F$2:$F$7669,MATCH(B75,'F Proj'!$B$2:$B$7669,0)),"O"))</f>
        <v>QB</v>
      </c>
      <c r="G75" t="str">
        <f t="shared" si="10"/>
        <v>Non</v>
      </c>
      <c r="H75" t="str">
        <f>C75&amp;G75&amp;COUNTIFS(C$1:C75,C75,G$1:G75,G75)</f>
        <v>compNon5</v>
      </c>
      <c r="I75" t="e">
        <f>MATCH(0,INDEX('ROS Proj'!$C$2:$S$561,MATCH($B75,'ROS Proj'!$A$2:$A$561,0),Week+Half_Week):INDEX('ROS Proj'!$C$2:$S$561,MATCH($B75,'ROS Proj'!$A$2:$A$561,0),17),1)+Week+Half_Week</f>
        <v>#N/A</v>
      </c>
      <c r="J75" s="2">
        <f>INDEX('ROS Proj'!$T$2:$T$561,MATCH($B75,'ROS Proj'!$A$2:$A$561,0))</f>
        <v>15.468571428571428</v>
      </c>
      <c r="K75" s="2">
        <f>INDEX('ROS Proj'!$C$2:$S$561,MATCH($B75,'ROS Proj'!$A$2:$A$561,0),Week+Half_Week)</f>
        <v>16.920000000000002</v>
      </c>
      <c r="L75" s="3">
        <f t="shared" si="11"/>
        <v>9.3830809013668359E-2</v>
      </c>
      <c r="M75">
        <f t="shared" si="12"/>
        <v>3</v>
      </c>
      <c r="N75">
        <f t="shared" si="13"/>
        <v>10</v>
      </c>
      <c r="O75">
        <f t="shared" si="14"/>
        <v>12</v>
      </c>
      <c r="P75" t="str">
        <f t="shared" si="15"/>
        <v/>
      </c>
      <c r="Q75" t="str">
        <f t="shared" si="16"/>
        <v xml:space="preserve">Luck (comp) </v>
      </c>
    </row>
    <row r="76" spans="1:17" x14ac:dyDescent="0.25">
      <c r="A76" t="s">
        <v>27</v>
      </c>
      <c r="B76" t="s">
        <v>220</v>
      </c>
      <c r="C76" t="str">
        <f t="shared" si="9"/>
        <v>comp</v>
      </c>
      <c r="D76">
        <f>COUNTIF('F Proj'!$B$2:$B$7669,B76)+COUNTIF('D Proj'!$B$2:$B$513,B76)+COUNTIF('K Proj'!$B$2:$B$508,B76)</f>
        <v>16</v>
      </c>
      <c r="E76" t="str">
        <f>IF(ISERROR(MATCH(ROW(A75),Trades!$A$10:$A$43,0)),"",IF(INDEX(Trades!$E$10:$E$43,MATCH(ROW(A75),Trades!$A$10:$A$43,0)),IF(A76=Trades!$A$27,Trades!$B$7,Trades!$A$27),""))</f>
        <v/>
      </c>
      <c r="F76" t="str">
        <f>IF(D76=0,NA(),IFERROR(INDEX('F Proj'!$F$2:$F$7669,MATCH(B76,'F Proj'!$B$2:$B$7669,0)),"O"))</f>
        <v>WR</v>
      </c>
      <c r="G76" t="str">
        <f t="shared" si="10"/>
        <v>Flex</v>
      </c>
      <c r="H76" t="str">
        <f>C76&amp;G76&amp;COUNTIFS(C$1:C76,C76,G$1:G76,G76)</f>
        <v>compFlex8</v>
      </c>
      <c r="I76" t="e">
        <f>MATCH(0,INDEX('ROS Proj'!$C$2:$S$561,MATCH($B76,'ROS Proj'!$A$2:$A$561,0),Week+Half_Week):INDEX('ROS Proj'!$C$2:$S$561,MATCH($B76,'ROS Proj'!$A$2:$A$561,0),17),1)+Week+Half_Week</f>
        <v>#N/A</v>
      </c>
      <c r="J76" s="2">
        <f>INDEX('ROS Proj'!$T$2:$T$561,MATCH($B76,'ROS Proj'!$A$2:$A$561,0))</f>
        <v>7.9857142857142858</v>
      </c>
      <c r="K76" s="2">
        <f>INDEX('ROS Proj'!$C$2:$S$561,MATCH($B76,'ROS Proj'!$A$2:$A$561,0),Week+Half_Week)</f>
        <v>7.56</v>
      </c>
      <c r="L76" s="3">
        <f t="shared" si="11"/>
        <v>-5.3309481216458066E-2</v>
      </c>
      <c r="M76">
        <f t="shared" si="12"/>
        <v>3</v>
      </c>
      <c r="N76">
        <f t="shared" si="13"/>
        <v>10</v>
      </c>
      <c r="O76">
        <f t="shared" si="14"/>
        <v>12</v>
      </c>
      <c r="P76" t="str">
        <f t="shared" si="15"/>
        <v/>
      </c>
      <c r="Q76" t="str">
        <f t="shared" si="16"/>
        <v xml:space="preserve">Stills (comp) </v>
      </c>
    </row>
    <row r="77" spans="1:17" x14ac:dyDescent="0.25">
      <c r="A77" t="s">
        <v>27</v>
      </c>
      <c r="B77" t="s">
        <v>313</v>
      </c>
      <c r="C77" t="str">
        <f t="shared" si="9"/>
        <v>comp</v>
      </c>
      <c r="D77">
        <f>COUNTIF('F Proj'!$B$2:$B$7669,B77)+COUNTIF('D Proj'!$B$2:$B$513,B77)+COUNTIF('K Proj'!$B$2:$B$508,B77)</f>
        <v>16</v>
      </c>
      <c r="E77" t="str">
        <f>IF(ISERROR(MATCH(ROW(A76),Trades!$A$10:$A$43,0)),"",IF(INDEX(Trades!$E$10:$E$43,MATCH(ROW(A76),Trades!$A$10:$A$43,0)),IF(A77=Trades!$A$27,Trades!$B$7,Trades!$A$27),""))</f>
        <v/>
      </c>
      <c r="F77" t="str">
        <f>IF(D77=0,NA(),IFERROR(INDEX('F Proj'!$F$2:$F$7669,MATCH(B77,'F Proj'!$B$2:$B$7669,0)),"O"))</f>
        <v>TE</v>
      </c>
      <c r="G77" t="str">
        <f t="shared" si="10"/>
        <v>Non</v>
      </c>
      <c r="H77" t="str">
        <f>C77&amp;G77&amp;COUNTIFS(C$1:C77,C77,G$1:G77,G77)</f>
        <v>compNon6</v>
      </c>
      <c r="I77" t="e">
        <f>MATCH(0,INDEX('ROS Proj'!$C$2:$S$561,MATCH($B77,'ROS Proj'!$A$2:$A$561,0),Week+Half_Week):INDEX('ROS Proj'!$C$2:$S$561,MATCH($B77,'ROS Proj'!$A$2:$A$561,0),17),1)+Week+Half_Week</f>
        <v>#N/A</v>
      </c>
      <c r="J77" s="2">
        <f>INDEX('ROS Proj'!$T$2:$T$561,MATCH($B77,'ROS Proj'!$A$2:$A$561,0))</f>
        <v>5.2237500000000008</v>
      </c>
      <c r="K77" s="2" t="str">
        <f>INDEX('ROS Proj'!$C$2:$S$561,MATCH($B77,'ROS Proj'!$A$2:$A$561,0),Week+Half_Week)</f>
        <v>NA</v>
      </c>
      <c r="L77" s="3" t="e">
        <f t="shared" si="11"/>
        <v>#VALUE!</v>
      </c>
      <c r="M77">
        <f t="shared" si="12"/>
        <v>3</v>
      </c>
      <c r="N77">
        <f t="shared" si="13"/>
        <v>10</v>
      </c>
      <c r="O77">
        <f t="shared" si="14"/>
        <v>12</v>
      </c>
      <c r="P77" t="str">
        <f t="shared" si="15"/>
        <v/>
      </c>
      <c r="Q77" t="str">
        <f t="shared" si="16"/>
        <v xml:space="preserve">Burton (comp) </v>
      </c>
    </row>
    <row r="78" spans="1:17" x14ac:dyDescent="0.25">
      <c r="A78" t="s">
        <v>27</v>
      </c>
      <c r="B78" t="s">
        <v>226</v>
      </c>
      <c r="C78" t="str">
        <f t="shared" si="9"/>
        <v>comp</v>
      </c>
      <c r="D78">
        <f>COUNTIF('F Proj'!$B$2:$B$7669,B78)+COUNTIF('D Proj'!$B$2:$B$513,B78)+COUNTIF('K Proj'!$B$2:$B$508,B78)</f>
        <v>16</v>
      </c>
      <c r="E78" t="str">
        <f>IF(ISERROR(MATCH(ROW(A77),Trades!$A$10:$A$43,0)),"",IF(INDEX(Trades!$E$10:$E$43,MATCH(ROW(A77),Trades!$A$10:$A$43,0)),IF(A78=Trades!$A$27,Trades!$B$7,Trades!$A$27),""))</f>
        <v/>
      </c>
      <c r="F78" t="str">
        <f>IF(D78=0,NA(),IFERROR(INDEX('F Proj'!$F$2:$F$7669,MATCH(B78,'F Proj'!$B$2:$B$7669,0)),"O"))</f>
        <v>WR</v>
      </c>
      <c r="G78" t="str">
        <f t="shared" si="10"/>
        <v>Flex</v>
      </c>
      <c r="H78" t="str">
        <f>C78&amp;G78&amp;COUNTIFS(C$1:C78,C78,G$1:G78,G78)</f>
        <v>compFlex9</v>
      </c>
      <c r="I78" t="e">
        <f>MATCH(0,INDEX('ROS Proj'!$C$2:$S$561,MATCH($B78,'ROS Proj'!$A$2:$A$561,0),Week+Half_Week):INDEX('ROS Proj'!$C$2:$S$561,MATCH($B78,'ROS Proj'!$A$2:$A$561,0),17),1)+Week+Half_Week</f>
        <v>#N/A</v>
      </c>
      <c r="J78" s="2">
        <f>INDEX('ROS Proj'!$T$2:$T$561,MATCH($B78,'ROS Proj'!$A$2:$A$561,0))</f>
        <v>4.8171428571428576</v>
      </c>
      <c r="K78" s="2">
        <f>INDEX('ROS Proj'!$C$2:$S$561,MATCH($B78,'ROS Proj'!$A$2:$A$561,0),Week+Half_Week)</f>
        <v>4.91</v>
      </c>
      <c r="L78" s="3">
        <f t="shared" si="11"/>
        <v>1.9276393831553884E-2</v>
      </c>
      <c r="M78">
        <f t="shared" si="12"/>
        <v>3</v>
      </c>
      <c r="N78">
        <f t="shared" si="13"/>
        <v>10</v>
      </c>
      <c r="O78">
        <f t="shared" si="14"/>
        <v>12</v>
      </c>
      <c r="P78" t="str">
        <f t="shared" si="15"/>
        <v/>
      </c>
      <c r="Q78" t="str">
        <f t="shared" si="16"/>
        <v xml:space="preserve">Williams (comp) </v>
      </c>
    </row>
    <row r="79" spans="1:17" x14ac:dyDescent="0.25">
      <c r="A79" t="s">
        <v>27</v>
      </c>
      <c r="B79" t="s">
        <v>107</v>
      </c>
      <c r="C79" t="str">
        <f t="shared" si="9"/>
        <v>comp</v>
      </c>
      <c r="D79">
        <f>COUNTIF('F Proj'!$B$2:$B$7669,B79)+COUNTIF('D Proj'!$B$2:$B$513,B79)+COUNTIF('K Proj'!$B$2:$B$508,B79)</f>
        <v>16</v>
      </c>
      <c r="E79" t="str">
        <f>IF(ISERROR(MATCH(ROW(A78),Trades!$A$10:$A$43,0)),"",IF(INDEX(Trades!$E$10:$E$43,MATCH(ROW(A78),Trades!$A$10:$A$43,0)),IF(A79=Trades!$A$27,Trades!$B$7,Trades!$A$27),""))</f>
        <v/>
      </c>
      <c r="F79" t="str">
        <f>IF(D79=0,NA(),IFERROR(INDEX('F Proj'!$F$2:$F$7669,MATCH(B79,'F Proj'!$B$2:$B$7669,0)),"O"))</f>
        <v>WR</v>
      </c>
      <c r="G79" t="str">
        <f t="shared" si="10"/>
        <v>Flex</v>
      </c>
      <c r="H79" t="str">
        <f>C79&amp;G79&amp;COUNTIFS(C$1:C79,C79,G$1:G79,G79)</f>
        <v>compFlex10</v>
      </c>
      <c r="I79">
        <f>MATCH(0,INDEX('ROS Proj'!$C$2:$S$561,MATCH($B79,'ROS Proj'!$A$2:$A$561,0),Week+Half_Week):INDEX('ROS Proj'!$C$2:$S$561,MATCH($B79,'ROS Proj'!$A$2:$A$561,0),17),1)+Week+Half_Week</f>
        <v>6</v>
      </c>
      <c r="J79" s="2">
        <f>INDEX('ROS Proj'!$T$2:$T$561,MATCH($B79,'ROS Proj'!$A$2:$A$561,0))</f>
        <v>11.284285714285714</v>
      </c>
      <c r="K79" s="2">
        <f>INDEX('ROS Proj'!$C$2:$S$561,MATCH($B79,'ROS Proj'!$A$2:$A$561,0),Week+Half_Week)</f>
        <v>0</v>
      </c>
      <c r="L79" s="3">
        <f t="shared" si="11"/>
        <v>-1</v>
      </c>
      <c r="M79">
        <f t="shared" si="12"/>
        <v>3</v>
      </c>
      <c r="N79">
        <f t="shared" si="13"/>
        <v>11</v>
      </c>
      <c r="O79">
        <f t="shared" si="14"/>
        <v>12</v>
      </c>
      <c r="P79">
        <f t="shared" si="15"/>
        <v>11</v>
      </c>
      <c r="Q79" t="str">
        <f t="shared" si="16"/>
        <v>Hilton (comp) returns Week 6</v>
      </c>
    </row>
    <row r="80" spans="1:17" x14ac:dyDescent="0.25">
      <c r="A80" t="s">
        <v>62</v>
      </c>
      <c r="B80" t="s">
        <v>179</v>
      </c>
      <c r="C80" t="str">
        <f t="shared" si="9"/>
        <v>chad</v>
      </c>
      <c r="D80">
        <f>COUNTIF('F Proj'!$B$2:$B$7669,B80)+COUNTIF('D Proj'!$B$2:$B$513,B80)+COUNTIF('K Proj'!$B$2:$B$508,B80)</f>
        <v>16</v>
      </c>
      <c r="E80" t="str">
        <f>IF(ISERROR(MATCH(ROW(A79),Trades!$A$10:$A$43,0)),"",IF(INDEX(Trades!$E$10:$E$43,MATCH(ROW(A79),Trades!$A$10:$A$43,0)),IF(A80=Trades!$A$27,Trades!$B$7,Trades!$A$27),""))</f>
        <v/>
      </c>
      <c r="F80" t="str">
        <f>IF(D80=0,NA(),IFERROR(INDEX('F Proj'!$F$2:$F$7669,MATCH(B80,'F Proj'!$B$2:$B$7669,0)),"O"))</f>
        <v>QB</v>
      </c>
      <c r="G80" t="str">
        <f t="shared" si="10"/>
        <v>Non</v>
      </c>
      <c r="H80" t="str">
        <f>C80&amp;G80&amp;COUNTIFS(C$1:C80,C80,G$1:G80,G80)</f>
        <v>chadNon1</v>
      </c>
      <c r="I80" t="e">
        <f>MATCH(0,INDEX('ROS Proj'!$C$2:$S$561,MATCH($B80,'ROS Proj'!$A$2:$A$561,0),Week+Half_Week):INDEX('ROS Proj'!$C$2:$S$561,MATCH($B80,'ROS Proj'!$A$2:$A$561,0),17),1)+Week+Half_Week</f>
        <v>#N/A</v>
      </c>
      <c r="J80" s="2">
        <f>INDEX('ROS Proj'!$T$2:$T$561,MATCH($B80,'ROS Proj'!$A$2:$A$561,0))</f>
        <v>20.501428571428569</v>
      </c>
      <c r="K80" s="2">
        <f>INDEX('ROS Proj'!$C$2:$S$561,MATCH($B80,'ROS Proj'!$A$2:$A$561,0),Week+Half_Week)</f>
        <v>23.21</v>
      </c>
      <c r="L80" s="3">
        <f t="shared" si="11"/>
        <v>0.13211622883422769</v>
      </c>
      <c r="M80">
        <f t="shared" si="12"/>
        <v>3</v>
      </c>
      <c r="N80">
        <f t="shared" si="13"/>
        <v>11</v>
      </c>
      <c r="O80">
        <f t="shared" si="14"/>
        <v>12</v>
      </c>
      <c r="P80" t="str">
        <f t="shared" si="15"/>
        <v/>
      </c>
      <c r="Q80" t="str">
        <f t="shared" si="16"/>
        <v xml:space="preserve">Watson (chad) </v>
      </c>
    </row>
    <row r="81" spans="1:17" x14ac:dyDescent="0.25">
      <c r="A81" t="s">
        <v>62</v>
      </c>
      <c r="B81" t="s">
        <v>1100</v>
      </c>
      <c r="C81" t="str">
        <f t="shared" si="9"/>
        <v>chad</v>
      </c>
      <c r="D81">
        <f>COUNTIF('F Proj'!$B$2:$B$7669,B81)+COUNTIF('D Proj'!$B$2:$B$513,B81)+COUNTIF('K Proj'!$B$2:$B$508,B81)</f>
        <v>16</v>
      </c>
      <c r="E81" t="str">
        <f>IF(ISERROR(MATCH(ROW(A80),Trades!$A$10:$A$43,0)),"",IF(INDEX(Trades!$E$10:$E$43,MATCH(ROW(A80),Trades!$A$10:$A$43,0)),IF(A81=Trades!$A$27,Trades!$B$7,Trades!$A$27),""))</f>
        <v/>
      </c>
      <c r="F81" t="str">
        <f>IF(D81=0,NA(),IFERROR(INDEX('F Proj'!$F$2:$F$7669,MATCH(B81,'F Proj'!$B$2:$B$7669,0)),"O"))</f>
        <v>RB</v>
      </c>
      <c r="G81" t="str">
        <f t="shared" si="10"/>
        <v>Flex</v>
      </c>
      <c r="H81" t="str">
        <f>C81&amp;G81&amp;COUNTIFS(C$1:C81,C81,G$1:G81,G81)</f>
        <v>chadFlex1</v>
      </c>
      <c r="I81" t="e">
        <f>MATCH(0,INDEX('ROS Proj'!$C$2:$S$561,MATCH($B81,'ROS Proj'!$A$2:$A$561,0),Week+Half_Week):INDEX('ROS Proj'!$C$2:$S$561,MATCH($B81,'ROS Proj'!$A$2:$A$561,0),17),1)+Week+Half_Week</f>
        <v>#N/A</v>
      </c>
      <c r="J81" s="2">
        <f>INDEX('ROS Proj'!$T$2:$T$561,MATCH($B81,'ROS Proj'!$A$2:$A$561,0))</f>
        <v>20.237142857142857</v>
      </c>
      <c r="K81" s="2">
        <f>INDEX('ROS Proj'!$C$2:$S$561,MATCH($B81,'ROS Proj'!$A$2:$A$561,0),Week+Half_Week)</f>
        <v>18.43</v>
      </c>
      <c r="L81" s="3">
        <f t="shared" si="11"/>
        <v>-8.9298319920937397E-2</v>
      </c>
      <c r="M81">
        <f t="shared" si="12"/>
        <v>3</v>
      </c>
      <c r="N81">
        <f t="shared" si="13"/>
        <v>11</v>
      </c>
      <c r="O81">
        <f t="shared" si="14"/>
        <v>12</v>
      </c>
      <c r="P81" t="str">
        <f t="shared" si="15"/>
        <v/>
      </c>
      <c r="Q81" t="str">
        <f t="shared" si="16"/>
        <v xml:space="preserve">Gurley II (chad) </v>
      </c>
    </row>
    <row r="82" spans="1:17" x14ac:dyDescent="0.25">
      <c r="A82" t="s">
        <v>62</v>
      </c>
      <c r="B82" t="s">
        <v>207</v>
      </c>
      <c r="C82" t="str">
        <f t="shared" si="9"/>
        <v>chad</v>
      </c>
      <c r="D82">
        <f>COUNTIF('F Proj'!$B$2:$B$7669,B82)+COUNTIF('D Proj'!$B$2:$B$513,B82)+COUNTIF('K Proj'!$B$2:$B$508,B82)</f>
        <v>16</v>
      </c>
      <c r="E82" t="str">
        <f>IF(ISERROR(MATCH(ROW(A81),Trades!$A$10:$A$43,0)),"",IF(INDEX(Trades!$E$10:$E$43,MATCH(ROW(A81),Trades!$A$10:$A$43,0)),IF(A82=Trades!$A$27,Trades!$B$7,Trades!$A$27),""))</f>
        <v/>
      </c>
      <c r="F82" t="str">
        <f>IF(D82=0,NA(),IFERROR(INDEX('F Proj'!$F$2:$F$7669,MATCH(B82,'F Proj'!$B$2:$B$7669,0)),"O"))</f>
        <v>RB</v>
      </c>
      <c r="G82" t="str">
        <f t="shared" si="10"/>
        <v>Flex</v>
      </c>
      <c r="H82" t="str">
        <f>C82&amp;G82&amp;COUNTIFS(C$1:C82,C82,G$1:G82,G82)</f>
        <v>chadFlex2</v>
      </c>
      <c r="I82" t="e">
        <f>MATCH(0,INDEX('ROS Proj'!$C$2:$S$561,MATCH($B82,'ROS Proj'!$A$2:$A$561,0),Week+Half_Week):INDEX('ROS Proj'!$C$2:$S$561,MATCH($B82,'ROS Proj'!$A$2:$A$561,0),17),1)+Week+Half_Week</f>
        <v>#N/A</v>
      </c>
      <c r="J82" s="2">
        <f>INDEX('ROS Proj'!$T$2:$T$561,MATCH($B82,'ROS Proj'!$A$2:$A$561,0))</f>
        <v>8.1814285714285724</v>
      </c>
      <c r="K82" s="2">
        <f>INDEX('ROS Proj'!$C$2:$S$561,MATCH($B82,'ROS Proj'!$A$2:$A$561,0),Week+Half_Week)</f>
        <v>8.2799999999999994</v>
      </c>
      <c r="L82" s="3">
        <f t="shared" si="11"/>
        <v>1.2048192771084043E-2</v>
      </c>
      <c r="M82">
        <f t="shared" si="12"/>
        <v>3</v>
      </c>
      <c r="N82">
        <f t="shared" si="13"/>
        <v>11</v>
      </c>
      <c r="O82">
        <f t="shared" si="14"/>
        <v>12</v>
      </c>
      <c r="P82" t="str">
        <f t="shared" si="15"/>
        <v/>
      </c>
      <c r="Q82" t="str">
        <f t="shared" si="16"/>
        <v xml:space="preserve">Lewis (chad) </v>
      </c>
    </row>
    <row r="83" spans="1:17" x14ac:dyDescent="0.25">
      <c r="A83" t="s">
        <v>62</v>
      </c>
      <c r="B83" t="s">
        <v>251</v>
      </c>
      <c r="C83" t="str">
        <f t="shared" si="9"/>
        <v>chad</v>
      </c>
      <c r="D83">
        <f>COUNTIF('F Proj'!$B$2:$B$7669,B83)+COUNTIF('D Proj'!$B$2:$B$513,B83)+COUNTIF('K Proj'!$B$2:$B$508,B83)</f>
        <v>16</v>
      </c>
      <c r="E83" t="str">
        <f>IF(ISERROR(MATCH(ROW(A82),Trades!$A$10:$A$43,0)),"",IF(INDEX(Trades!$E$10:$E$43,MATCH(ROW(A82),Trades!$A$10:$A$43,0)),IF(A83=Trades!$A$27,Trades!$B$7,Trades!$A$27),""))</f>
        <v/>
      </c>
      <c r="F83" t="str">
        <f>IF(D83=0,NA(),IFERROR(INDEX('F Proj'!$F$2:$F$7669,MATCH(B83,'F Proj'!$B$2:$B$7669,0)),"O"))</f>
        <v>WR</v>
      </c>
      <c r="G83" t="str">
        <f t="shared" si="10"/>
        <v>Flex</v>
      </c>
      <c r="H83" t="str">
        <f>C83&amp;G83&amp;COUNTIFS(C$1:C83,C83,G$1:G83,G83)</f>
        <v>chadFlex3</v>
      </c>
      <c r="I83" t="e">
        <f>MATCH(0,INDEX('ROS Proj'!$C$2:$S$561,MATCH($B83,'ROS Proj'!$A$2:$A$561,0),Week+Half_Week):INDEX('ROS Proj'!$C$2:$S$561,MATCH($B83,'ROS Proj'!$A$2:$A$561,0),17),1)+Week+Half_Week</f>
        <v>#N/A</v>
      </c>
      <c r="J83" s="2">
        <f>INDEX('ROS Proj'!$T$2:$T$561,MATCH($B83,'ROS Proj'!$A$2:$A$561,0))</f>
        <v>8.5875000000000004</v>
      </c>
      <c r="K83" s="2">
        <f>INDEX('ROS Proj'!$C$2:$S$561,MATCH($B83,'ROS Proj'!$A$2:$A$561,0),Week+Half_Week)</f>
        <v>9.5299999999999994</v>
      </c>
      <c r="L83" s="3">
        <f t="shared" si="11"/>
        <v>0.10975254730713235</v>
      </c>
      <c r="M83">
        <f t="shared" si="12"/>
        <v>3</v>
      </c>
      <c r="N83">
        <f t="shared" si="13"/>
        <v>11</v>
      </c>
      <c r="O83">
        <f t="shared" si="14"/>
        <v>12</v>
      </c>
      <c r="P83" t="str">
        <f t="shared" si="15"/>
        <v/>
      </c>
      <c r="Q83" t="str">
        <f t="shared" si="16"/>
        <v xml:space="preserve">Funchess (chad) </v>
      </c>
    </row>
    <row r="84" spans="1:17" x14ac:dyDescent="0.25">
      <c r="A84" t="s">
        <v>62</v>
      </c>
      <c r="B84" t="s">
        <v>154</v>
      </c>
      <c r="C84" t="str">
        <f t="shared" si="9"/>
        <v>chad</v>
      </c>
      <c r="D84">
        <f>COUNTIF('F Proj'!$B$2:$B$7669,B84)+COUNTIF('D Proj'!$B$2:$B$513,B84)+COUNTIF('K Proj'!$B$2:$B$508,B84)</f>
        <v>16</v>
      </c>
      <c r="E84" t="str">
        <f>IF(ISERROR(MATCH(ROW(A83),Trades!$A$10:$A$43,0)),"",IF(INDEX(Trades!$E$10:$E$43,MATCH(ROW(A83),Trades!$A$10:$A$43,0)),IF(A84=Trades!$A$27,Trades!$B$7,Trades!$A$27),""))</f>
        <v/>
      </c>
      <c r="F84" t="str">
        <f>IF(D84=0,NA(),IFERROR(INDEX('F Proj'!$F$2:$F$7669,MATCH(B84,'F Proj'!$B$2:$B$7669,0)),"O"))</f>
        <v>WR</v>
      </c>
      <c r="G84" t="str">
        <f t="shared" si="10"/>
        <v>Flex</v>
      </c>
      <c r="H84" t="str">
        <f>C84&amp;G84&amp;COUNTIFS(C$1:C84,C84,G$1:G84,G84)</f>
        <v>chadFlex4</v>
      </c>
      <c r="I84" t="e">
        <f>MATCH(0,INDEX('ROS Proj'!$C$2:$S$561,MATCH($B84,'ROS Proj'!$A$2:$A$561,0),Week+Half_Week):INDEX('ROS Proj'!$C$2:$S$561,MATCH($B84,'ROS Proj'!$A$2:$A$561,0),17),1)+Week+Half_Week</f>
        <v>#N/A</v>
      </c>
      <c r="J84" s="2">
        <f>INDEX('ROS Proj'!$T$2:$T$561,MATCH($B84,'ROS Proj'!$A$2:$A$561,0))</f>
        <v>13.055714285714286</v>
      </c>
      <c r="K84" s="2">
        <f>INDEX('ROS Proj'!$C$2:$S$561,MATCH($B84,'ROS Proj'!$A$2:$A$561,0),Week+Half_Week)</f>
        <v>15.17</v>
      </c>
      <c r="L84" s="3">
        <f t="shared" si="11"/>
        <v>0.16194331983805665</v>
      </c>
      <c r="M84">
        <f t="shared" si="12"/>
        <v>3</v>
      </c>
      <c r="N84">
        <f t="shared" si="13"/>
        <v>11</v>
      </c>
      <c r="O84">
        <f t="shared" si="14"/>
        <v>12</v>
      </c>
      <c r="P84" t="str">
        <f t="shared" si="15"/>
        <v/>
      </c>
      <c r="Q84" t="str">
        <f t="shared" si="16"/>
        <v xml:space="preserve">Allen (chad) </v>
      </c>
    </row>
    <row r="85" spans="1:17" x14ac:dyDescent="0.25">
      <c r="A85" t="s">
        <v>62</v>
      </c>
      <c r="B85" t="s">
        <v>105</v>
      </c>
      <c r="C85" t="str">
        <f t="shared" si="9"/>
        <v>chad</v>
      </c>
      <c r="D85">
        <f>COUNTIF('F Proj'!$B$2:$B$7669,B85)+COUNTIF('D Proj'!$B$2:$B$513,B85)+COUNTIF('K Proj'!$B$2:$B$508,B85)</f>
        <v>16</v>
      </c>
      <c r="E85" t="str">
        <f>IF(ISERROR(MATCH(ROW(A84),Trades!$A$10:$A$43,0)),"",IF(INDEX(Trades!$E$10:$E$43,MATCH(ROW(A84),Trades!$A$10:$A$43,0)),IF(A85=Trades!$A$27,Trades!$B$7,Trades!$A$27),""))</f>
        <v/>
      </c>
      <c r="F85" t="str">
        <f>IF(D85=0,NA(),IFERROR(INDEX('F Proj'!$F$2:$F$7669,MATCH(B85,'F Proj'!$B$2:$B$7669,0)),"O"))</f>
        <v>WR</v>
      </c>
      <c r="G85" t="str">
        <f t="shared" si="10"/>
        <v>Flex</v>
      </c>
      <c r="H85" t="str">
        <f>C85&amp;G85&amp;COUNTIFS(C$1:C85,C85,G$1:G85,G85)</f>
        <v>chadFlex5</v>
      </c>
      <c r="I85" t="e">
        <f>MATCH(0,INDEX('ROS Proj'!$C$2:$S$561,MATCH($B85,'ROS Proj'!$A$2:$A$561,0),Week+Half_Week):INDEX('ROS Proj'!$C$2:$S$561,MATCH($B85,'ROS Proj'!$A$2:$A$561,0),17),1)+Week+Half_Week</f>
        <v>#N/A</v>
      </c>
      <c r="J85" s="2">
        <f>INDEX('ROS Proj'!$T$2:$T$561,MATCH($B85,'ROS Proj'!$A$2:$A$561,0))</f>
        <v>8.9971428571428582</v>
      </c>
      <c r="K85" s="2">
        <f>INDEX('ROS Proj'!$C$2:$S$561,MATCH($B85,'ROS Proj'!$A$2:$A$561,0),Week+Half_Week)</f>
        <v>9.06</v>
      </c>
      <c r="L85" s="3">
        <f t="shared" si="11"/>
        <v>6.9863448713876064E-3</v>
      </c>
      <c r="M85">
        <f t="shared" si="12"/>
        <v>3</v>
      </c>
      <c r="N85">
        <f t="shared" si="13"/>
        <v>11</v>
      </c>
      <c r="O85">
        <f t="shared" si="14"/>
        <v>12</v>
      </c>
      <c r="P85" t="str">
        <f t="shared" si="15"/>
        <v/>
      </c>
      <c r="Q85" t="str">
        <f t="shared" si="16"/>
        <v xml:space="preserve">Baldwin (chad) </v>
      </c>
    </row>
    <row r="86" spans="1:17" x14ac:dyDescent="0.25">
      <c r="A86" t="s">
        <v>62</v>
      </c>
      <c r="B86" t="s">
        <v>1330</v>
      </c>
      <c r="C86" t="str">
        <f t="shared" si="9"/>
        <v>chad</v>
      </c>
      <c r="D86">
        <f>COUNTIF('F Proj'!$B$2:$B$7669,B86)+COUNTIF('D Proj'!$B$2:$B$513,B86)+COUNTIF('K Proj'!$B$2:$B$508,B86)</f>
        <v>16</v>
      </c>
      <c r="E86" t="str">
        <f>IF(ISERROR(MATCH(ROW(A85),Trades!$A$10:$A$43,0)),"",IF(INDEX(Trades!$E$10:$E$43,MATCH(ROW(A85),Trades!$A$10:$A$43,0)),IF(A86=Trades!$A$27,Trades!$B$7,Trades!$A$27),""))</f>
        <v/>
      </c>
      <c r="F86" t="str">
        <f>IF(D86=0,NA(),IFERROR(INDEX('F Proj'!$F$2:$F$7669,MATCH(B86,'F Proj'!$B$2:$B$7669,0)),"O"))</f>
        <v>WR</v>
      </c>
      <c r="G86" t="str">
        <f t="shared" si="10"/>
        <v>Flex</v>
      </c>
      <c r="H86" t="str">
        <f>C86&amp;G86&amp;COUNTIFS(C$1:C86,C86,G$1:G86,G86)</f>
        <v>chadFlex6</v>
      </c>
      <c r="I86" t="e">
        <f>MATCH(0,INDEX('ROS Proj'!$C$2:$S$561,MATCH($B86,'ROS Proj'!$A$2:$A$561,0),Week+Half_Week):INDEX('ROS Proj'!$C$2:$S$561,MATCH($B86,'ROS Proj'!$A$2:$A$561,0),17),1)+Week+Half_Week</f>
        <v>#N/A</v>
      </c>
      <c r="J86" s="2">
        <f>INDEX('ROS Proj'!$T$2:$T$561,MATCH($B86,'ROS Proj'!$A$2:$A$561,0))</f>
        <v>9.418571428571429</v>
      </c>
      <c r="K86" s="2">
        <f>INDEX('ROS Proj'!$C$2:$S$561,MATCH($B86,'ROS Proj'!$A$2:$A$561,0),Week+Half_Week)</f>
        <v>9.81</v>
      </c>
      <c r="L86" s="3">
        <f t="shared" si="11"/>
        <v>4.155922948581825E-2</v>
      </c>
      <c r="M86">
        <f t="shared" si="12"/>
        <v>3</v>
      </c>
      <c r="N86">
        <f t="shared" si="13"/>
        <v>11</v>
      </c>
      <c r="O86">
        <f t="shared" si="14"/>
        <v>12</v>
      </c>
      <c r="P86" t="str">
        <f t="shared" si="15"/>
        <v/>
      </c>
      <c r="Q86" t="str">
        <f t="shared" si="16"/>
        <v xml:space="preserve">Edelman (chad) </v>
      </c>
    </row>
    <row r="87" spans="1:17" x14ac:dyDescent="0.25">
      <c r="A87" t="s">
        <v>62</v>
      </c>
      <c r="B87" t="s">
        <v>208</v>
      </c>
      <c r="C87" t="str">
        <f t="shared" si="9"/>
        <v>chad</v>
      </c>
      <c r="D87">
        <f>COUNTIF('F Proj'!$B$2:$B$7669,B87)+COUNTIF('D Proj'!$B$2:$B$513,B87)+COUNTIF('K Proj'!$B$2:$B$508,B87)</f>
        <v>16</v>
      </c>
      <c r="E87" t="str">
        <f>IF(ISERROR(MATCH(ROW(A86),Trades!$A$10:$A$43,0)),"",IF(INDEX(Trades!$E$10:$E$43,MATCH(ROW(A86),Trades!$A$10:$A$43,0)),IF(A87=Trades!$A$27,Trades!$B$7,Trades!$A$27),""))</f>
        <v/>
      </c>
      <c r="F87" t="str">
        <f>IF(D87=0,NA(),IFERROR(INDEX('F Proj'!$F$2:$F$7669,MATCH(B87,'F Proj'!$B$2:$B$7669,0)),"O"))</f>
        <v>TE</v>
      </c>
      <c r="G87" t="str">
        <f t="shared" si="10"/>
        <v>Non</v>
      </c>
      <c r="H87" t="str">
        <f>C87&amp;G87&amp;COUNTIFS(C$1:C87,C87,G$1:G87,G87)</f>
        <v>chadNon2</v>
      </c>
      <c r="I87" t="e">
        <f>MATCH(0,INDEX('ROS Proj'!$C$2:$S$561,MATCH($B87,'ROS Proj'!$A$2:$A$561,0),Week+Half_Week):INDEX('ROS Proj'!$C$2:$S$561,MATCH($B87,'ROS Proj'!$A$2:$A$561,0),17),1)+Week+Half_Week</f>
        <v>#N/A</v>
      </c>
      <c r="J87" s="2">
        <f>INDEX('ROS Proj'!$T$2:$T$561,MATCH($B87,'ROS Proj'!$A$2:$A$561,0))</f>
        <v>7.6257142857142863</v>
      </c>
      <c r="K87" s="2">
        <f>INDEX('ROS Proj'!$C$2:$S$561,MATCH($B87,'ROS Proj'!$A$2:$A$561,0),Week+Half_Week)</f>
        <v>7.48</v>
      </c>
      <c r="L87" s="3">
        <f t="shared" si="11"/>
        <v>-1.9108280254777066E-2</v>
      </c>
      <c r="M87">
        <f t="shared" si="12"/>
        <v>3</v>
      </c>
      <c r="N87">
        <f t="shared" si="13"/>
        <v>11</v>
      </c>
      <c r="O87">
        <f t="shared" si="14"/>
        <v>12</v>
      </c>
      <c r="P87" t="str">
        <f t="shared" si="15"/>
        <v/>
      </c>
      <c r="Q87" t="str">
        <f t="shared" si="16"/>
        <v xml:space="preserve">Cook (chad) </v>
      </c>
    </row>
    <row r="88" spans="1:17" x14ac:dyDescent="0.25">
      <c r="A88" t="s">
        <v>62</v>
      </c>
      <c r="B88" t="s">
        <v>412</v>
      </c>
      <c r="C88" t="str">
        <f t="shared" si="9"/>
        <v>chad</v>
      </c>
      <c r="D88">
        <f>COUNTIF('F Proj'!$B$2:$B$7669,B88)+COUNTIF('D Proj'!$B$2:$B$513,B88)+COUNTIF('K Proj'!$B$2:$B$508,B88)</f>
        <v>16</v>
      </c>
      <c r="E88" t="str">
        <f>IF(ISERROR(MATCH(ROW(A87),Trades!$A$10:$A$43,0)),"",IF(INDEX(Trades!$E$10:$E$43,MATCH(ROW(A87),Trades!$A$10:$A$43,0)),IF(A88=Trades!$A$27,Trades!$B$7,Trades!$A$27),""))</f>
        <v/>
      </c>
      <c r="F88" t="str">
        <f>IF(D88=0,NA(),IFERROR(INDEX('F Proj'!$F$2:$F$7669,MATCH(B88,'F Proj'!$B$2:$B$7669,0)),"O"))</f>
        <v>O</v>
      </c>
      <c r="G88" t="str">
        <f t="shared" si="10"/>
        <v>Non</v>
      </c>
      <c r="H88" t="str">
        <f>C88&amp;G88&amp;COUNTIFS(C$1:C88,C88,G$1:G88,G88)</f>
        <v>chadNon3</v>
      </c>
      <c r="I88" t="e">
        <f>MATCH(0,INDEX('ROS Proj'!$C$2:$S$561,MATCH($B88,'ROS Proj'!$A$2:$A$561,0),Week+Half_Week):INDEX('ROS Proj'!$C$2:$S$561,MATCH($B88,'ROS Proj'!$A$2:$A$561,0),17),1)+Week+Half_Week</f>
        <v>#N/A</v>
      </c>
      <c r="J88" s="2">
        <f>INDEX('ROS Proj'!$T$2:$T$561,MATCH($B88,'ROS Proj'!$A$2:$A$561,0))</f>
        <v>5.3142857142857149</v>
      </c>
      <c r="K88" s="2">
        <f>INDEX('ROS Proj'!$C$2:$S$561,MATCH($B88,'ROS Proj'!$A$2:$A$561,0),Week+Half_Week)</f>
        <v>6.22</v>
      </c>
      <c r="L88" s="3" t="str">
        <f t="shared" si="11"/>
        <v/>
      </c>
      <c r="M88">
        <f t="shared" si="12"/>
        <v>3</v>
      </c>
      <c r="N88">
        <f t="shared" si="13"/>
        <v>11</v>
      </c>
      <c r="O88">
        <f t="shared" si="14"/>
        <v>12</v>
      </c>
      <c r="P88" t="str">
        <f t="shared" si="15"/>
        <v/>
      </c>
      <c r="Q88" t="str">
        <f t="shared" si="16"/>
        <v xml:space="preserve">D/ST (chad) </v>
      </c>
    </row>
    <row r="89" spans="1:17" x14ac:dyDescent="0.25">
      <c r="A89" t="s">
        <v>62</v>
      </c>
      <c r="B89" t="s">
        <v>447</v>
      </c>
      <c r="C89" t="str">
        <f t="shared" si="9"/>
        <v>chad</v>
      </c>
      <c r="D89">
        <f>COUNTIF('F Proj'!$B$2:$B$7669,B89)+COUNTIF('D Proj'!$B$2:$B$513,B89)+COUNTIF('K Proj'!$B$2:$B$508,B89)</f>
        <v>16</v>
      </c>
      <c r="E89" t="str">
        <f>IF(ISERROR(MATCH(ROW(A88),Trades!$A$10:$A$43,0)),"",IF(INDEX(Trades!$E$10:$E$43,MATCH(ROW(A88),Trades!$A$10:$A$43,0)),IF(A89=Trades!$A$27,Trades!$B$7,Trades!$A$27),""))</f>
        <v/>
      </c>
      <c r="F89" t="str">
        <f>IF(D89=0,NA(),IFERROR(INDEX('F Proj'!$F$2:$F$7669,MATCH(B89,'F Proj'!$B$2:$B$7669,0)),"O"))</f>
        <v>O</v>
      </c>
      <c r="G89" t="str">
        <f t="shared" si="10"/>
        <v>Non</v>
      </c>
      <c r="H89" t="str">
        <f>C89&amp;G89&amp;COUNTIFS(C$1:C89,C89,G$1:G89,G89)</f>
        <v>chadNon4</v>
      </c>
      <c r="I89" t="e">
        <f>MATCH(0,INDEX('ROS Proj'!$C$2:$S$561,MATCH($B89,'ROS Proj'!$A$2:$A$561,0),Week+Half_Week):INDEX('ROS Proj'!$C$2:$S$561,MATCH($B89,'ROS Proj'!$A$2:$A$561,0),17),1)+Week+Half_Week</f>
        <v>#N/A</v>
      </c>
      <c r="J89" s="2">
        <f>INDEX('ROS Proj'!$T$2:$T$561,MATCH($B89,'ROS Proj'!$A$2:$A$561,0))</f>
        <v>8.1571428571428566</v>
      </c>
      <c r="K89" s="2">
        <f>INDEX('ROS Proj'!$C$2:$S$561,MATCH($B89,'ROS Proj'!$A$2:$A$561,0),Week+Half_Week)</f>
        <v>8.68</v>
      </c>
      <c r="L89" s="3" t="str">
        <f t="shared" si="11"/>
        <v/>
      </c>
      <c r="M89">
        <f t="shared" si="12"/>
        <v>3</v>
      </c>
      <c r="N89">
        <f t="shared" si="13"/>
        <v>11</v>
      </c>
      <c r="O89">
        <f t="shared" si="14"/>
        <v>12</v>
      </c>
      <c r="P89" t="str">
        <f t="shared" si="15"/>
        <v/>
      </c>
      <c r="Q89" t="str">
        <f t="shared" si="16"/>
        <v xml:space="preserve">Tucker (chad) </v>
      </c>
    </row>
    <row r="90" spans="1:17" x14ac:dyDescent="0.25">
      <c r="A90" t="s">
        <v>62</v>
      </c>
      <c r="B90" t="s">
        <v>97</v>
      </c>
      <c r="C90" t="str">
        <f t="shared" si="9"/>
        <v>chad</v>
      </c>
      <c r="D90">
        <f>COUNTIF('F Proj'!$B$2:$B$7669,B90)+COUNTIF('D Proj'!$B$2:$B$513,B90)+COUNTIF('K Proj'!$B$2:$B$508,B90)</f>
        <v>16</v>
      </c>
      <c r="E90" t="str">
        <f>IF(ISERROR(MATCH(ROW(A89),Trades!$A$10:$A$43,0)),"",IF(INDEX(Trades!$E$10:$E$43,MATCH(ROW(A89),Trades!$A$10:$A$43,0)),IF(A90=Trades!$A$27,Trades!$B$7,Trades!$A$27),""))</f>
        <v/>
      </c>
      <c r="F90" t="str">
        <f>IF(D90=0,NA(),IFERROR(INDEX('F Proj'!$F$2:$F$7669,MATCH(B90,'F Proj'!$B$2:$B$7669,0)),"O"))</f>
        <v>RB</v>
      </c>
      <c r="G90" t="str">
        <f t="shared" si="10"/>
        <v>Flex</v>
      </c>
      <c r="H90" t="str">
        <f>C90&amp;G90&amp;COUNTIFS(C$1:C90,C90,G$1:G90,G90)</f>
        <v>chadFlex7</v>
      </c>
      <c r="I90" t="e">
        <f>MATCH(0,INDEX('ROS Proj'!$C$2:$S$561,MATCH($B90,'ROS Proj'!$A$2:$A$561,0),Week+Half_Week):INDEX('ROS Proj'!$C$2:$S$561,MATCH($B90,'ROS Proj'!$A$2:$A$561,0),17),1)+Week+Half_Week</f>
        <v>#N/A</v>
      </c>
      <c r="J90" s="2">
        <f>INDEX('ROS Proj'!$T$2:$T$561,MATCH($B90,'ROS Proj'!$A$2:$A$561,0))</f>
        <v>13.295</v>
      </c>
      <c r="K90" s="2" t="str">
        <f>INDEX('ROS Proj'!$C$2:$S$561,MATCH($B90,'ROS Proj'!$A$2:$A$561,0),Week+Half_Week)</f>
        <v>NA</v>
      </c>
      <c r="L90" s="3" t="e">
        <f t="shared" si="11"/>
        <v>#VALUE!</v>
      </c>
      <c r="M90">
        <f t="shared" si="12"/>
        <v>3</v>
      </c>
      <c r="N90">
        <f t="shared" si="13"/>
        <v>11</v>
      </c>
      <c r="O90">
        <f t="shared" si="14"/>
        <v>12</v>
      </c>
      <c r="P90" t="str">
        <f t="shared" si="15"/>
        <v/>
      </c>
      <c r="Q90" t="str">
        <f t="shared" si="16"/>
        <v xml:space="preserve">Howard (chad) </v>
      </c>
    </row>
    <row r="91" spans="1:17" x14ac:dyDescent="0.25">
      <c r="A91" t="s">
        <v>62</v>
      </c>
      <c r="B91" t="s">
        <v>1158</v>
      </c>
      <c r="C91" t="str">
        <f t="shared" si="9"/>
        <v>chad</v>
      </c>
      <c r="D91">
        <f>COUNTIF('F Proj'!$B$2:$B$7669,B91)+COUNTIF('D Proj'!$B$2:$B$513,B91)+COUNTIF('K Proj'!$B$2:$B$508,B91)</f>
        <v>15</v>
      </c>
      <c r="E91" t="str">
        <f>IF(ISERROR(MATCH(ROW(A90),Trades!$A$10:$A$43,0)),"",IF(INDEX(Trades!$E$10:$E$43,MATCH(ROW(A90),Trades!$A$10:$A$43,0)),IF(A91=Trades!$A$27,Trades!$B$7,Trades!$A$27),""))</f>
        <v/>
      </c>
      <c r="F91" t="str">
        <f>IF(D91=0,NA(),IFERROR(INDEX('F Proj'!$F$2:$F$7669,MATCH(B91,'F Proj'!$B$2:$B$7669,0)),"O"))</f>
        <v>WR</v>
      </c>
      <c r="G91" t="str">
        <f t="shared" si="10"/>
        <v>Flex</v>
      </c>
      <c r="H91" t="str">
        <f>C91&amp;G91&amp;COUNTIFS(C$1:C91,C91,G$1:G91,G91)</f>
        <v>chadFlex8</v>
      </c>
      <c r="I91" t="e">
        <f>MATCH(0,INDEX('ROS Proj'!$C$2:$S$561,MATCH($B91,'ROS Proj'!$A$2:$A$561,0),Week+Half_Week):INDEX('ROS Proj'!$C$2:$S$561,MATCH($B91,'ROS Proj'!$A$2:$A$561,0),17),1)+Week+Half_Week</f>
        <v>#N/A</v>
      </c>
      <c r="J91" s="2">
        <f>INDEX('ROS Proj'!$T$2:$T$561,MATCH($B91,'ROS Proj'!$A$2:$A$561,0))</f>
        <v>7.8785714285714281</v>
      </c>
      <c r="K91" s="2">
        <f>INDEX('ROS Proj'!$C$2:$S$561,MATCH($B91,'ROS Proj'!$A$2:$A$561,0),Week+Half_Week)</f>
        <v>7.16</v>
      </c>
      <c r="L91" s="3">
        <f t="shared" si="11"/>
        <v>-9.1205802357207544E-2</v>
      </c>
      <c r="M91">
        <f t="shared" si="12"/>
        <v>3</v>
      </c>
      <c r="N91">
        <f t="shared" si="13"/>
        <v>11</v>
      </c>
      <c r="O91">
        <f t="shared" si="14"/>
        <v>12</v>
      </c>
      <c r="P91" t="str">
        <f t="shared" si="15"/>
        <v/>
      </c>
      <c r="Q91" t="str">
        <f t="shared" si="16"/>
        <v xml:space="preserve">Gordon (chad) </v>
      </c>
    </row>
    <row r="92" spans="1:17" x14ac:dyDescent="0.25">
      <c r="A92" t="s">
        <v>62</v>
      </c>
      <c r="B92" t="s">
        <v>117</v>
      </c>
      <c r="C92" t="str">
        <f t="shared" si="9"/>
        <v>chad</v>
      </c>
      <c r="D92">
        <f>COUNTIF('F Proj'!$B$2:$B$7669,B92)+COUNTIF('D Proj'!$B$2:$B$513,B92)+COUNTIF('K Proj'!$B$2:$B$508,B92)</f>
        <v>16</v>
      </c>
      <c r="E92" t="str">
        <f>IF(ISERROR(MATCH(ROW(A91),Trades!$A$10:$A$43,0)),"",IF(INDEX(Trades!$E$10:$E$43,MATCH(ROW(A91),Trades!$A$10:$A$43,0)),IF(A92=Trades!$A$27,Trades!$B$7,Trades!$A$27),""))</f>
        <v/>
      </c>
      <c r="F92" t="str">
        <f>IF(D92=0,NA(),IFERROR(INDEX('F Proj'!$F$2:$F$7669,MATCH(B92,'F Proj'!$B$2:$B$7669,0)),"O"))</f>
        <v>RB</v>
      </c>
      <c r="G92" t="str">
        <f t="shared" si="10"/>
        <v>Flex</v>
      </c>
      <c r="H92" t="str">
        <f>C92&amp;G92&amp;COUNTIFS(C$1:C92,C92,G$1:G92,G92)</f>
        <v>chadFlex9</v>
      </c>
      <c r="I92" t="e">
        <f>MATCH(0,INDEX('ROS Proj'!$C$2:$S$561,MATCH($B92,'ROS Proj'!$A$2:$A$561,0),Week+Half_Week):INDEX('ROS Proj'!$C$2:$S$561,MATCH($B92,'ROS Proj'!$A$2:$A$561,0),17),1)+Week+Half_Week</f>
        <v>#N/A</v>
      </c>
      <c r="J92" s="2">
        <f>INDEX('ROS Proj'!$T$2:$T$561,MATCH($B92,'ROS Proj'!$A$2:$A$561,0))</f>
        <v>6.5842857142857136</v>
      </c>
      <c r="K92" s="2">
        <f>INDEX('ROS Proj'!$C$2:$S$561,MATCH($B92,'ROS Proj'!$A$2:$A$561,0),Week+Half_Week)</f>
        <v>6.33</v>
      </c>
      <c r="L92" s="3">
        <f t="shared" si="11"/>
        <v>-3.8620091126057576E-2</v>
      </c>
      <c r="M92">
        <f t="shared" si="12"/>
        <v>3</v>
      </c>
      <c r="N92">
        <f t="shared" si="13"/>
        <v>11</v>
      </c>
      <c r="O92">
        <f t="shared" si="14"/>
        <v>12</v>
      </c>
      <c r="P92" t="str">
        <f t="shared" si="15"/>
        <v/>
      </c>
      <c r="Q92" t="str">
        <f t="shared" si="16"/>
        <v xml:space="preserve">Crowell (chad) </v>
      </c>
    </row>
    <row r="93" spans="1:17" x14ac:dyDescent="0.25">
      <c r="A93" t="s">
        <v>62</v>
      </c>
      <c r="B93" t="s">
        <v>1419</v>
      </c>
      <c r="C93" t="str">
        <f t="shared" si="9"/>
        <v>chad</v>
      </c>
      <c r="D93">
        <f>COUNTIF('F Proj'!$B$2:$B$7669,B93)+COUNTIF('D Proj'!$B$2:$B$513,B93)+COUNTIF('K Proj'!$B$2:$B$508,B93)</f>
        <v>16</v>
      </c>
      <c r="E93" t="str">
        <f>IF(ISERROR(MATCH(ROW(A92),Trades!$A$10:$A$43,0)),"",IF(INDEX(Trades!$E$10:$E$43,MATCH(ROW(A92),Trades!$A$10:$A$43,0)),IF(A93=Trades!$A$27,Trades!$B$7,Trades!$A$27),""))</f>
        <v/>
      </c>
      <c r="F93" t="str">
        <f>IF(D93=0,NA(),IFERROR(INDEX('F Proj'!$F$2:$F$7669,MATCH(B93,'F Proj'!$B$2:$B$7669,0)),"O"))</f>
        <v>WR</v>
      </c>
      <c r="G93" t="str">
        <f t="shared" si="10"/>
        <v>Flex</v>
      </c>
      <c r="H93" t="str">
        <f>C93&amp;G93&amp;COUNTIFS(C$1:C93,C93,G$1:G93,G93)</f>
        <v>chadFlex10</v>
      </c>
      <c r="I93" t="e">
        <f>MATCH(0,INDEX('ROS Proj'!$C$2:$S$561,MATCH($B93,'ROS Proj'!$A$2:$A$561,0),Week+Half_Week):INDEX('ROS Proj'!$C$2:$S$561,MATCH($B93,'ROS Proj'!$A$2:$A$561,0),17),1)+Week+Half_Week</f>
        <v>#N/A</v>
      </c>
      <c r="J93" s="2">
        <f>INDEX('ROS Proj'!$T$2:$T$561,MATCH($B93,'ROS Proj'!$A$2:$A$561,0))</f>
        <v>8.3442857142857143</v>
      </c>
      <c r="K93" s="2">
        <f>INDEX('ROS Proj'!$C$2:$S$561,MATCH($B93,'ROS Proj'!$A$2:$A$561,0),Week+Half_Week)</f>
        <v>6.8</v>
      </c>
      <c r="L93" s="3">
        <f t="shared" si="11"/>
        <v>-0.18507104947782915</v>
      </c>
      <c r="M93">
        <f t="shared" si="12"/>
        <v>3</v>
      </c>
      <c r="N93">
        <f t="shared" si="13"/>
        <v>11</v>
      </c>
      <c r="O93">
        <f t="shared" si="14"/>
        <v>12</v>
      </c>
      <c r="P93" t="str">
        <f t="shared" si="15"/>
        <v/>
      </c>
      <c r="Q93" t="str">
        <f t="shared" si="16"/>
        <v xml:space="preserve">Callaway (chad) </v>
      </c>
    </row>
    <row r="94" spans="1:17" x14ac:dyDescent="0.25">
      <c r="A94" t="s">
        <v>62</v>
      </c>
      <c r="B94" t="s">
        <v>306</v>
      </c>
      <c r="C94" t="str">
        <f t="shared" si="9"/>
        <v>chad</v>
      </c>
      <c r="D94">
        <f>COUNTIF('F Proj'!$B$2:$B$7669,B94)+COUNTIF('D Proj'!$B$2:$B$513,B94)+COUNTIF('K Proj'!$B$2:$B$508,B94)</f>
        <v>16</v>
      </c>
      <c r="E94" t="str">
        <f>IF(ISERROR(MATCH(ROW(A93),Trades!$A$10:$A$43,0)),"",IF(INDEX(Trades!$E$10:$E$43,MATCH(ROW(A93),Trades!$A$10:$A$43,0)),IF(A94=Trades!$A$27,Trades!$B$7,Trades!$A$27),""))</f>
        <v/>
      </c>
      <c r="F94" t="str">
        <f>IF(D94=0,NA(),IFERROR(INDEX('F Proj'!$F$2:$F$7669,MATCH(B94,'F Proj'!$B$2:$B$7669,0)),"O"))</f>
        <v>RB</v>
      </c>
      <c r="G94" t="str">
        <f t="shared" si="10"/>
        <v>Flex</v>
      </c>
      <c r="H94" t="str">
        <f>C94&amp;G94&amp;COUNTIFS(C$1:C94,C94,G$1:G94,G94)</f>
        <v>chadFlex11</v>
      </c>
      <c r="I94" t="e">
        <f>MATCH(0,INDEX('ROS Proj'!$C$2:$S$561,MATCH($B94,'ROS Proj'!$A$2:$A$561,0),Week+Half_Week):INDEX('ROS Proj'!$C$2:$S$561,MATCH($B94,'ROS Proj'!$A$2:$A$561,0),17),1)+Week+Half_Week</f>
        <v>#N/A</v>
      </c>
      <c r="J94" s="2">
        <f>INDEX('ROS Proj'!$T$2:$T$561,MATCH($B94,'ROS Proj'!$A$2:$A$561,0))</f>
        <v>7.0228571428571431</v>
      </c>
      <c r="K94" s="2">
        <f>INDEX('ROS Proj'!$C$2:$S$561,MATCH($B94,'ROS Proj'!$A$2:$A$561,0),Week+Half_Week)</f>
        <v>8.2100000000000009</v>
      </c>
      <c r="L94" s="3">
        <f t="shared" si="11"/>
        <v>0.16903986981285613</v>
      </c>
      <c r="M94">
        <f t="shared" si="12"/>
        <v>3</v>
      </c>
      <c r="N94">
        <f t="shared" si="13"/>
        <v>11</v>
      </c>
      <c r="O94">
        <f t="shared" si="14"/>
        <v>12</v>
      </c>
      <c r="P94" t="str">
        <f t="shared" si="15"/>
        <v/>
      </c>
      <c r="Q94" t="str">
        <f t="shared" si="16"/>
        <v xml:space="preserve">Allen (chad) </v>
      </c>
    </row>
    <row r="95" spans="1:17" x14ac:dyDescent="0.25">
      <c r="A95" t="s">
        <v>1648</v>
      </c>
      <c r="B95" t="s">
        <v>18</v>
      </c>
      <c r="C95" t="str">
        <f t="shared" si="9"/>
        <v>lucas</v>
      </c>
      <c r="D95">
        <f>COUNTIF('F Proj'!$B$2:$B$7669,B95)+COUNTIF('D Proj'!$B$2:$B$513,B95)+COUNTIF('K Proj'!$B$2:$B$508,B95)</f>
        <v>16</v>
      </c>
      <c r="E95" t="str">
        <f>IF(ISERROR(MATCH(ROW(A94),Trades!$A$10:$A$43,0)),"",IF(INDEX(Trades!$E$10:$E$43,MATCH(ROW(A94),Trades!$A$10:$A$43,0)),IF(A95=Trades!$A$27,Trades!$B$7,Trades!$A$27),""))</f>
        <v/>
      </c>
      <c r="F95" t="str">
        <f>IF(D95=0,NA(),IFERROR(INDEX('F Proj'!$F$2:$F$7669,MATCH(B95,'F Proj'!$B$2:$B$7669,0)),"O"))</f>
        <v>QB</v>
      </c>
      <c r="G95" t="str">
        <f t="shared" si="10"/>
        <v>Non</v>
      </c>
      <c r="H95" t="str">
        <f>C95&amp;G95&amp;COUNTIFS(C$1:C95,C95,G$1:G95,G95)</f>
        <v>lucasNon1</v>
      </c>
      <c r="I95" t="e">
        <f>MATCH(0,INDEX('ROS Proj'!$C$2:$S$561,MATCH($B95,'ROS Proj'!$A$2:$A$561,0),Week+Half_Week):INDEX('ROS Proj'!$C$2:$S$561,MATCH($B95,'ROS Proj'!$A$2:$A$561,0),17),1)+Week+Half_Week</f>
        <v>#N/A</v>
      </c>
      <c r="J95" s="2">
        <f>INDEX('ROS Proj'!$T$2:$T$561,MATCH($B95,'ROS Proj'!$A$2:$A$561,0))</f>
        <v>21.038571428571434</v>
      </c>
      <c r="K95" s="2">
        <f>INDEX('ROS Proj'!$C$2:$S$561,MATCH($B95,'ROS Proj'!$A$2:$A$561,0),Week+Half_Week)</f>
        <v>22.87</v>
      </c>
      <c r="L95" s="3">
        <f t="shared" si="11"/>
        <v>8.7050994771507906E-2</v>
      </c>
      <c r="M95">
        <f t="shared" si="12"/>
        <v>3</v>
      </c>
      <c r="N95">
        <f t="shared" si="13"/>
        <v>11</v>
      </c>
      <c r="O95">
        <f t="shared" si="14"/>
        <v>12</v>
      </c>
      <c r="P95" t="str">
        <f t="shared" si="15"/>
        <v/>
      </c>
      <c r="Q95" t="str">
        <f t="shared" si="16"/>
        <v xml:space="preserve">Brady (lucas) </v>
      </c>
    </row>
    <row r="96" spans="1:17" x14ac:dyDescent="0.25">
      <c r="A96" t="s">
        <v>1648</v>
      </c>
      <c r="B96" t="s">
        <v>1288</v>
      </c>
      <c r="C96" t="str">
        <f t="shared" si="9"/>
        <v>lucas</v>
      </c>
      <c r="D96">
        <f>COUNTIF('F Proj'!$B$2:$B$7669,B96)+COUNTIF('D Proj'!$B$2:$B$513,B96)+COUNTIF('K Proj'!$B$2:$B$508,B96)</f>
        <v>16</v>
      </c>
      <c r="E96" t="str">
        <f>IF(ISERROR(MATCH(ROW(A95),Trades!$A$10:$A$43,0)),"",IF(INDEX(Trades!$E$10:$E$43,MATCH(ROW(A95),Trades!$A$10:$A$43,0)),IF(A96=Trades!$A$27,Trades!$B$7,Trades!$A$27),""))</f>
        <v/>
      </c>
      <c r="F96" t="str">
        <f>IF(D96=0,NA(),IFERROR(INDEX('F Proj'!$F$2:$F$7669,MATCH(B96,'F Proj'!$B$2:$B$7669,0)),"O"))</f>
        <v>RB</v>
      </c>
      <c r="G96" t="str">
        <f t="shared" si="10"/>
        <v>Flex</v>
      </c>
      <c r="H96" t="str">
        <f>C96&amp;G96&amp;COUNTIFS(C$1:C96,C96,G$1:G96,G96)</f>
        <v>lucasFlex1</v>
      </c>
      <c r="I96" t="e">
        <f>MATCH(0,INDEX('ROS Proj'!$C$2:$S$561,MATCH($B96,'ROS Proj'!$A$2:$A$561,0),Week+Half_Week):INDEX('ROS Proj'!$C$2:$S$561,MATCH($B96,'ROS Proj'!$A$2:$A$561,0),17),1)+Week+Half_Week</f>
        <v>#N/A</v>
      </c>
      <c r="J96" s="2">
        <f>INDEX('ROS Proj'!$T$2:$T$561,MATCH($B96,'ROS Proj'!$A$2:$A$561,0))</f>
        <v>13.147142857142857</v>
      </c>
      <c r="K96" s="2">
        <f>INDEX('ROS Proj'!$C$2:$S$561,MATCH($B96,'ROS Proj'!$A$2:$A$561,0),Week+Half_Week)</f>
        <v>13.37</v>
      </c>
      <c r="L96" s="3">
        <f t="shared" si="11"/>
        <v>1.6950994241008432E-2</v>
      </c>
      <c r="M96">
        <f t="shared" si="12"/>
        <v>3</v>
      </c>
      <c r="N96">
        <f t="shared" si="13"/>
        <v>11</v>
      </c>
      <c r="O96">
        <f t="shared" si="14"/>
        <v>12</v>
      </c>
      <c r="P96" t="str">
        <f t="shared" si="15"/>
        <v/>
      </c>
      <c r="Q96" t="str">
        <f t="shared" si="16"/>
        <v xml:space="preserve">Barkley (lucas) </v>
      </c>
    </row>
    <row r="97" spans="1:17" x14ac:dyDescent="0.25">
      <c r="A97" t="s">
        <v>1648</v>
      </c>
      <c r="B97" t="s">
        <v>834</v>
      </c>
      <c r="C97" t="str">
        <f t="shared" si="9"/>
        <v>lucas</v>
      </c>
      <c r="D97">
        <f>COUNTIF('F Proj'!$B$2:$B$7669,B97)+COUNTIF('D Proj'!$B$2:$B$513,B97)+COUNTIF('K Proj'!$B$2:$B$508,B97)</f>
        <v>16</v>
      </c>
      <c r="E97" t="str">
        <f>IF(ISERROR(MATCH(ROW(A96),Trades!$A$10:$A$43,0)),"",IF(INDEX(Trades!$E$10:$E$43,MATCH(ROW(A96),Trades!$A$10:$A$43,0)),IF(A97=Trades!$A$27,Trades!$B$7,Trades!$A$27),""))</f>
        <v/>
      </c>
      <c r="F97" t="str">
        <f>IF(D97=0,NA(),IFERROR(INDEX('F Proj'!$F$2:$F$7669,MATCH(B97,'F Proj'!$B$2:$B$7669,0)),"O"))</f>
        <v>RB</v>
      </c>
      <c r="G97" t="str">
        <f t="shared" si="10"/>
        <v>Flex</v>
      </c>
      <c r="H97" t="str">
        <f>C97&amp;G97&amp;COUNTIFS(C$1:C97,C97,G$1:G97,G97)</f>
        <v>lucasFlex2</v>
      </c>
      <c r="I97" t="e">
        <f>MATCH(0,INDEX('ROS Proj'!$C$2:$S$561,MATCH($B97,'ROS Proj'!$A$2:$A$561,0),Week+Half_Week):INDEX('ROS Proj'!$C$2:$S$561,MATCH($B97,'ROS Proj'!$A$2:$A$561,0),17),1)+Week+Half_Week</f>
        <v>#N/A</v>
      </c>
      <c r="J97" s="2">
        <f>INDEX('ROS Proj'!$T$2:$T$561,MATCH($B97,'ROS Proj'!$A$2:$A$561,0))</f>
        <v>7.2171428571428562</v>
      </c>
      <c r="K97" s="2">
        <f>INDEX('ROS Proj'!$C$2:$S$561,MATCH($B97,'ROS Proj'!$A$2:$A$561,0),Week+Half_Week)</f>
        <v>7.35</v>
      </c>
      <c r="L97" s="3">
        <f t="shared" si="11"/>
        <v>1.8408551068883616E-2</v>
      </c>
      <c r="M97">
        <f t="shared" si="12"/>
        <v>3</v>
      </c>
      <c r="N97">
        <f t="shared" si="13"/>
        <v>11</v>
      </c>
      <c r="O97">
        <f t="shared" si="14"/>
        <v>12</v>
      </c>
      <c r="P97" t="str">
        <f t="shared" si="15"/>
        <v/>
      </c>
      <c r="Q97" t="str">
        <f t="shared" si="16"/>
        <v xml:space="preserve">Carson (lucas) </v>
      </c>
    </row>
    <row r="98" spans="1:17" x14ac:dyDescent="0.25">
      <c r="A98" t="s">
        <v>1648</v>
      </c>
      <c r="B98" t="s">
        <v>145</v>
      </c>
      <c r="C98" t="str">
        <f t="shared" si="9"/>
        <v>lucas</v>
      </c>
      <c r="D98">
        <f>COUNTIF('F Proj'!$B$2:$B$7669,B98)+COUNTIF('D Proj'!$B$2:$B$513,B98)+COUNTIF('K Proj'!$B$2:$B$508,B98)</f>
        <v>16</v>
      </c>
      <c r="E98" t="str">
        <f>IF(ISERROR(MATCH(ROW(A97),Trades!$A$10:$A$43,0)),"",IF(INDEX(Trades!$E$10:$E$43,MATCH(ROW(A97),Trades!$A$10:$A$43,0)),IF(A98=Trades!$A$27,Trades!$B$7,Trades!$A$27),""))</f>
        <v/>
      </c>
      <c r="F98" t="str">
        <f>IF(D98=0,NA(),IFERROR(INDEX('F Proj'!$F$2:$F$7669,MATCH(B98,'F Proj'!$B$2:$B$7669,0)),"O"))</f>
        <v>RB</v>
      </c>
      <c r="G98" t="str">
        <f t="shared" si="10"/>
        <v>Flex</v>
      </c>
      <c r="H98" t="str">
        <f>C98&amp;G98&amp;COUNTIFS(C$1:C98,C98,G$1:G98,G98)</f>
        <v>lucasFlex3</v>
      </c>
      <c r="I98" t="e">
        <f>MATCH(0,INDEX('ROS Proj'!$C$2:$S$561,MATCH($B98,'ROS Proj'!$A$2:$A$561,0),Week+Half_Week):INDEX('ROS Proj'!$C$2:$S$561,MATCH($B98,'ROS Proj'!$A$2:$A$561,0),17),1)+Week+Half_Week</f>
        <v>#N/A</v>
      </c>
      <c r="J98" s="2">
        <f>INDEX('ROS Proj'!$T$2:$T$561,MATCH($B98,'ROS Proj'!$A$2:$A$561,0))</f>
        <v>7.7885714285714291</v>
      </c>
      <c r="K98" s="2">
        <f>INDEX('ROS Proj'!$C$2:$S$561,MATCH($B98,'ROS Proj'!$A$2:$A$561,0),Week+Half_Week)</f>
        <v>7.55</v>
      </c>
      <c r="L98" s="3">
        <f t="shared" si="11"/>
        <v>-3.063096111518715E-2</v>
      </c>
      <c r="M98">
        <f t="shared" si="12"/>
        <v>3</v>
      </c>
      <c r="N98">
        <f t="shared" si="13"/>
        <v>11</v>
      </c>
      <c r="O98">
        <f t="shared" si="14"/>
        <v>12</v>
      </c>
      <c r="P98" t="str">
        <f t="shared" si="15"/>
        <v/>
      </c>
      <c r="Q98" t="str">
        <f t="shared" si="16"/>
        <v xml:space="preserve">Coleman (lucas) </v>
      </c>
    </row>
    <row r="99" spans="1:17" x14ac:dyDescent="0.25">
      <c r="A99" t="s">
        <v>1648</v>
      </c>
      <c r="B99" t="s">
        <v>256</v>
      </c>
      <c r="C99" t="str">
        <f t="shared" si="9"/>
        <v>lucas</v>
      </c>
      <c r="D99">
        <f>COUNTIF('F Proj'!$B$2:$B$7669,B99)+COUNTIF('D Proj'!$B$2:$B$513,B99)+COUNTIF('K Proj'!$B$2:$B$508,B99)</f>
        <v>16</v>
      </c>
      <c r="E99" t="str">
        <f>IF(ISERROR(MATCH(ROW(A98),Trades!$A$10:$A$43,0)),"",IF(INDEX(Trades!$E$10:$E$43,MATCH(ROW(A98),Trades!$A$10:$A$43,0)),IF(A99=Trades!$A$27,Trades!$B$7,Trades!$A$27),""))</f>
        <v/>
      </c>
      <c r="F99" t="str">
        <f>IF(D99=0,NA(),IFERROR(INDEX('F Proj'!$F$2:$F$7669,MATCH(B99,'F Proj'!$B$2:$B$7669,0)),"O"))</f>
        <v>WR</v>
      </c>
      <c r="G99" t="str">
        <f t="shared" si="10"/>
        <v>Flex</v>
      </c>
      <c r="H99" t="str">
        <f>C99&amp;G99&amp;COUNTIFS(C$1:C99,C99,G$1:G99,G99)</f>
        <v>lucasFlex4</v>
      </c>
      <c r="I99" t="e">
        <f>MATCH(0,INDEX('ROS Proj'!$C$2:$S$561,MATCH($B99,'ROS Proj'!$A$2:$A$561,0),Week+Half_Week):INDEX('ROS Proj'!$C$2:$S$561,MATCH($B99,'ROS Proj'!$A$2:$A$561,0),17),1)+Week+Half_Week</f>
        <v>#N/A</v>
      </c>
      <c r="J99" s="2">
        <f>INDEX('ROS Proj'!$T$2:$T$561,MATCH($B99,'ROS Proj'!$A$2:$A$561,0))</f>
        <v>9.8442857142857143</v>
      </c>
      <c r="K99" s="2">
        <f>INDEX('ROS Proj'!$C$2:$S$561,MATCH($B99,'ROS Proj'!$A$2:$A$561,0),Week+Half_Week)</f>
        <v>9.57</v>
      </c>
      <c r="L99" s="3">
        <f t="shared" si="11"/>
        <v>-2.7862429255550714E-2</v>
      </c>
      <c r="M99">
        <f t="shared" si="12"/>
        <v>3</v>
      </c>
      <c r="N99">
        <f t="shared" si="13"/>
        <v>11</v>
      </c>
      <c r="O99">
        <f t="shared" si="14"/>
        <v>12</v>
      </c>
      <c r="P99" t="str">
        <f t="shared" si="15"/>
        <v/>
      </c>
      <c r="Q99" t="str">
        <f t="shared" si="16"/>
        <v xml:space="preserve">Kupp (lucas) </v>
      </c>
    </row>
    <row r="100" spans="1:17" x14ac:dyDescent="0.25">
      <c r="A100" t="s">
        <v>1648</v>
      </c>
      <c r="B100" t="s">
        <v>137</v>
      </c>
      <c r="C100" t="str">
        <f t="shared" si="9"/>
        <v>lucas</v>
      </c>
      <c r="D100">
        <f>COUNTIF('F Proj'!$B$2:$B$7669,B100)+COUNTIF('D Proj'!$B$2:$B$513,B100)+COUNTIF('K Proj'!$B$2:$B$508,B100)</f>
        <v>16</v>
      </c>
      <c r="E100" t="str">
        <f>IF(ISERROR(MATCH(ROW(A99),Trades!$A$10:$A$43,0)),"",IF(INDEX(Trades!$E$10:$E$43,MATCH(ROW(A99),Trades!$A$10:$A$43,0)),IF(A100=Trades!$A$27,Trades!$B$7,Trades!$A$27),""))</f>
        <v/>
      </c>
      <c r="F100" t="str">
        <f>IF(D100=0,NA(),IFERROR(INDEX('F Proj'!$F$2:$F$7669,MATCH(B100,'F Proj'!$B$2:$B$7669,0)),"O"))</f>
        <v>WR</v>
      </c>
      <c r="G100" t="str">
        <f t="shared" si="10"/>
        <v>Flex</v>
      </c>
      <c r="H100" t="str">
        <f>C100&amp;G100&amp;COUNTIFS(C$1:C100,C100,G$1:G100,G100)</f>
        <v>lucasFlex5</v>
      </c>
      <c r="I100" t="e">
        <f>MATCH(0,INDEX('ROS Proj'!$C$2:$S$561,MATCH($B100,'ROS Proj'!$A$2:$A$561,0),Week+Half_Week):INDEX('ROS Proj'!$C$2:$S$561,MATCH($B100,'ROS Proj'!$A$2:$A$561,0),17),1)+Week+Half_Week</f>
        <v>#N/A</v>
      </c>
      <c r="J100" s="2">
        <f>INDEX('ROS Proj'!$T$2:$T$561,MATCH($B100,'ROS Proj'!$A$2:$A$561,0))</f>
        <v>6.625</v>
      </c>
      <c r="K100" s="2">
        <f>INDEX('ROS Proj'!$C$2:$S$561,MATCH($B100,'ROS Proj'!$A$2:$A$561,0),Week+Half_Week)</f>
        <v>6.48</v>
      </c>
      <c r="L100" s="3">
        <f t="shared" si="11"/>
        <v>-2.1886792452830095E-2</v>
      </c>
      <c r="M100">
        <f t="shared" si="12"/>
        <v>3</v>
      </c>
      <c r="N100">
        <f t="shared" si="13"/>
        <v>11</v>
      </c>
      <c r="O100">
        <f t="shared" si="14"/>
        <v>12</v>
      </c>
      <c r="P100" t="str">
        <f t="shared" si="15"/>
        <v/>
      </c>
      <c r="Q100" t="str">
        <f t="shared" si="16"/>
        <v xml:space="preserve">Crowder (lucas) </v>
      </c>
    </row>
    <row r="101" spans="1:17" x14ac:dyDescent="0.25">
      <c r="A101" t="s">
        <v>1648</v>
      </c>
      <c r="B101" t="s">
        <v>1372</v>
      </c>
      <c r="C101" t="str">
        <f t="shared" si="9"/>
        <v>lucas</v>
      </c>
      <c r="D101">
        <f>COUNTIF('F Proj'!$B$2:$B$7669,B101)+COUNTIF('D Proj'!$B$2:$B$513,B101)+COUNTIF('K Proj'!$B$2:$B$508,B101)</f>
        <v>16</v>
      </c>
      <c r="E101" t="str">
        <f>IF(ISERROR(MATCH(ROW(A100),Trades!$A$10:$A$43,0)),"",IF(INDEX(Trades!$E$10:$E$43,MATCH(ROW(A100),Trades!$A$10:$A$43,0)),IF(A101=Trades!$A$27,Trades!$B$7,Trades!$A$27),""))</f>
        <v/>
      </c>
      <c r="F101" t="str">
        <f>IF(D101=0,NA(),IFERROR(INDEX('F Proj'!$F$2:$F$7669,MATCH(B101,'F Proj'!$B$2:$B$7669,0)),"O"))</f>
        <v>WR</v>
      </c>
      <c r="G101" t="str">
        <f t="shared" si="10"/>
        <v>Flex</v>
      </c>
      <c r="H101" t="str">
        <f>C101&amp;G101&amp;COUNTIFS(C$1:C101,C101,G$1:G101,G101)</f>
        <v>lucasFlex6</v>
      </c>
      <c r="I101" t="e">
        <f>MATCH(0,INDEX('ROS Proj'!$C$2:$S$561,MATCH($B101,'ROS Proj'!$A$2:$A$561,0),Week+Half_Week):INDEX('ROS Proj'!$C$2:$S$561,MATCH($B101,'ROS Proj'!$A$2:$A$561,0),17),1)+Week+Half_Week</f>
        <v>#N/A</v>
      </c>
      <c r="J101" s="2">
        <f>INDEX('ROS Proj'!$T$2:$T$561,MATCH($B101,'ROS Proj'!$A$2:$A$561,0))</f>
        <v>9.1171428571428574</v>
      </c>
      <c r="K101" s="2">
        <f>INDEX('ROS Proj'!$C$2:$S$561,MATCH($B101,'ROS Proj'!$A$2:$A$561,0),Week+Half_Week)</f>
        <v>8.65</v>
      </c>
      <c r="L101" s="3">
        <f t="shared" si="11"/>
        <v>-5.1237856471325616E-2</v>
      </c>
      <c r="M101">
        <f t="shared" si="12"/>
        <v>3</v>
      </c>
      <c r="N101">
        <f t="shared" si="13"/>
        <v>11</v>
      </c>
      <c r="O101">
        <f t="shared" si="14"/>
        <v>12</v>
      </c>
      <c r="P101" t="str">
        <f t="shared" si="15"/>
        <v/>
      </c>
      <c r="Q101" t="str">
        <f t="shared" si="16"/>
        <v xml:space="preserve">Enunwa (lucas) </v>
      </c>
    </row>
    <row r="102" spans="1:17" x14ac:dyDescent="0.25">
      <c r="A102" t="s">
        <v>1648</v>
      </c>
      <c r="B102" t="s">
        <v>113</v>
      </c>
      <c r="C102" t="str">
        <f t="shared" si="9"/>
        <v>lucas</v>
      </c>
      <c r="D102">
        <f>COUNTIF('F Proj'!$B$2:$B$7669,B102)+COUNTIF('D Proj'!$B$2:$B$513,B102)+COUNTIF('K Proj'!$B$2:$B$508,B102)</f>
        <v>16</v>
      </c>
      <c r="E102" t="str">
        <f>IF(ISERROR(MATCH(ROW(A101),Trades!$A$10:$A$43,0)),"",IF(INDEX(Trades!$E$10:$E$43,MATCH(ROW(A101),Trades!$A$10:$A$43,0)),IF(A102=Trades!$A$27,Trades!$B$7,Trades!$A$27),""))</f>
        <v/>
      </c>
      <c r="F102" t="str">
        <f>IF(D102=0,NA(),IFERROR(INDEX('F Proj'!$F$2:$F$7669,MATCH(B102,'F Proj'!$B$2:$B$7669,0)),"O"))</f>
        <v>TE</v>
      </c>
      <c r="G102" t="str">
        <f t="shared" si="10"/>
        <v>Non</v>
      </c>
      <c r="H102" t="str">
        <f>C102&amp;G102&amp;COUNTIFS(C$1:C102,C102,G$1:G102,G102)</f>
        <v>lucasNon2</v>
      </c>
      <c r="I102" t="e">
        <f>MATCH(0,INDEX('ROS Proj'!$C$2:$S$561,MATCH($B102,'ROS Proj'!$A$2:$A$561,0),Week+Half_Week):INDEX('ROS Proj'!$C$2:$S$561,MATCH($B102,'ROS Proj'!$A$2:$A$561,0),17),1)+Week+Half_Week</f>
        <v>#N/A</v>
      </c>
      <c r="J102" s="2">
        <f>INDEX('ROS Proj'!$T$2:$T$561,MATCH($B102,'ROS Proj'!$A$2:$A$561,0))</f>
        <v>10.212857142857144</v>
      </c>
      <c r="K102" s="2">
        <f>INDEX('ROS Proj'!$C$2:$S$561,MATCH($B102,'ROS Proj'!$A$2:$A$561,0),Week+Half_Week)</f>
        <v>10.62</v>
      </c>
      <c r="L102" s="3">
        <f t="shared" si="11"/>
        <v>3.9865715484682873E-2</v>
      </c>
      <c r="M102">
        <f t="shared" si="12"/>
        <v>3</v>
      </c>
      <c r="N102">
        <f t="shared" si="13"/>
        <v>11</v>
      </c>
      <c r="O102">
        <f t="shared" si="14"/>
        <v>12</v>
      </c>
      <c r="P102" t="str">
        <f t="shared" si="15"/>
        <v/>
      </c>
      <c r="Q102" t="str">
        <f t="shared" si="16"/>
        <v xml:space="preserve">Gronkowski (lucas) </v>
      </c>
    </row>
    <row r="103" spans="1:17" x14ac:dyDescent="0.25">
      <c r="A103" t="s">
        <v>1648</v>
      </c>
      <c r="B103" t="s">
        <v>411</v>
      </c>
      <c r="C103" t="str">
        <f t="shared" si="9"/>
        <v>lucas</v>
      </c>
      <c r="D103">
        <f>COUNTIF('F Proj'!$B$2:$B$7669,B103)+COUNTIF('D Proj'!$B$2:$B$513,B103)+COUNTIF('K Proj'!$B$2:$B$508,B103)</f>
        <v>16</v>
      </c>
      <c r="E103" t="str">
        <f>IF(ISERROR(MATCH(ROW(A102),Trades!$A$10:$A$43,0)),"",IF(INDEX(Trades!$E$10:$E$43,MATCH(ROW(A102),Trades!$A$10:$A$43,0)),IF(A103=Trades!$A$27,Trades!$B$7,Trades!$A$27),""))</f>
        <v/>
      </c>
      <c r="F103" t="str">
        <f>IF(D103=0,NA(),IFERROR(INDEX('F Proj'!$F$2:$F$7669,MATCH(B103,'F Proj'!$B$2:$B$7669,0)),"O"))</f>
        <v>O</v>
      </c>
      <c r="G103" t="str">
        <f t="shared" si="10"/>
        <v>Non</v>
      </c>
      <c r="H103" t="str">
        <f>C103&amp;G103&amp;COUNTIFS(C$1:C103,C103,G$1:G103,G103)</f>
        <v>lucasNon3</v>
      </c>
      <c r="I103" t="e">
        <f>MATCH(0,INDEX('ROS Proj'!$C$2:$S$561,MATCH($B103,'ROS Proj'!$A$2:$A$561,0),Week+Half_Week):INDEX('ROS Proj'!$C$2:$S$561,MATCH($B103,'ROS Proj'!$A$2:$A$561,0),17),1)+Week+Half_Week</f>
        <v>#N/A</v>
      </c>
      <c r="J103" s="2">
        <f>INDEX('ROS Proj'!$T$2:$T$561,MATCH($B103,'ROS Proj'!$A$2:$A$561,0))</f>
        <v>6.4071428571428575</v>
      </c>
      <c r="K103" s="2">
        <f>INDEX('ROS Proj'!$C$2:$S$561,MATCH($B103,'ROS Proj'!$A$2:$A$561,0),Week+Half_Week)</f>
        <v>10.18</v>
      </c>
      <c r="L103" s="3" t="str">
        <f t="shared" si="11"/>
        <v/>
      </c>
      <c r="M103">
        <f t="shared" si="12"/>
        <v>3</v>
      </c>
      <c r="N103">
        <f t="shared" si="13"/>
        <v>11</v>
      </c>
      <c r="O103">
        <f t="shared" si="14"/>
        <v>12</v>
      </c>
      <c r="P103" t="str">
        <f t="shared" si="15"/>
        <v/>
      </c>
      <c r="Q103" t="str">
        <f t="shared" si="16"/>
        <v xml:space="preserve">D/ST (lucas) </v>
      </c>
    </row>
    <row r="104" spans="1:17" x14ac:dyDescent="0.25">
      <c r="A104" t="s">
        <v>1648</v>
      </c>
      <c r="B104" t="s">
        <v>449</v>
      </c>
      <c r="C104" t="str">
        <f t="shared" si="9"/>
        <v>lucas</v>
      </c>
      <c r="D104">
        <f>COUNTIF('F Proj'!$B$2:$B$7669,B104)+COUNTIF('D Proj'!$B$2:$B$513,B104)+COUNTIF('K Proj'!$B$2:$B$508,B104)</f>
        <v>16</v>
      </c>
      <c r="E104" t="str">
        <f>IF(ISERROR(MATCH(ROW(A103),Trades!$A$10:$A$43,0)),"",IF(INDEX(Trades!$E$10:$E$43,MATCH(ROW(A103),Trades!$A$10:$A$43,0)),IF(A104=Trades!$A$27,Trades!$B$7,Trades!$A$27),""))</f>
        <v/>
      </c>
      <c r="F104" t="str">
        <f>IF(D104=0,NA(),IFERROR(INDEX('F Proj'!$F$2:$F$7669,MATCH(B104,'F Proj'!$B$2:$B$7669,0)),"O"))</f>
        <v>O</v>
      </c>
      <c r="G104" t="str">
        <f t="shared" si="10"/>
        <v>Non</v>
      </c>
      <c r="H104" t="str">
        <f>C104&amp;G104&amp;COUNTIFS(C$1:C104,C104,G$1:G104,G104)</f>
        <v>lucasNon4</v>
      </c>
      <c r="I104" t="e">
        <f>MATCH(0,INDEX('ROS Proj'!$C$2:$S$561,MATCH($B104,'ROS Proj'!$A$2:$A$561,0),Week+Half_Week):INDEX('ROS Proj'!$C$2:$S$561,MATCH($B104,'ROS Proj'!$A$2:$A$561,0),17),1)+Week+Half_Week</f>
        <v>#N/A</v>
      </c>
      <c r="J104" s="2">
        <f>INDEX('ROS Proj'!$T$2:$T$561,MATCH($B104,'ROS Proj'!$A$2:$A$561,0))</f>
        <v>8.4971428571428564</v>
      </c>
      <c r="K104" s="2">
        <f>INDEX('ROS Proj'!$C$2:$S$561,MATCH($B104,'ROS Proj'!$A$2:$A$561,0),Week+Half_Week)</f>
        <v>8.4499999999999993</v>
      </c>
      <c r="L104" s="3" t="str">
        <f t="shared" si="11"/>
        <v/>
      </c>
      <c r="M104">
        <f t="shared" si="12"/>
        <v>3</v>
      </c>
      <c r="N104">
        <f t="shared" si="13"/>
        <v>11</v>
      </c>
      <c r="O104">
        <f t="shared" si="14"/>
        <v>12</v>
      </c>
      <c r="P104" t="str">
        <f t="shared" si="15"/>
        <v/>
      </c>
      <c r="Q104" t="str">
        <f t="shared" si="16"/>
        <v xml:space="preserve">Bryant (lucas) </v>
      </c>
    </row>
    <row r="105" spans="1:17" x14ac:dyDescent="0.25">
      <c r="A105" t="s">
        <v>1648</v>
      </c>
      <c r="B105" t="s">
        <v>290</v>
      </c>
      <c r="C105" t="str">
        <f t="shared" si="9"/>
        <v>lucas</v>
      </c>
      <c r="D105">
        <f>COUNTIF('F Proj'!$B$2:$B$7669,B105)+COUNTIF('D Proj'!$B$2:$B$513,B105)+COUNTIF('K Proj'!$B$2:$B$508,B105)</f>
        <v>16</v>
      </c>
      <c r="E105" t="str">
        <f>IF(ISERROR(MATCH(ROW(A104),Trades!$A$10:$A$43,0)),"",IF(INDEX(Trades!$E$10:$E$43,MATCH(ROW(A104),Trades!$A$10:$A$43,0)),IF(A105=Trades!$A$27,Trades!$B$7,Trades!$A$27),""))</f>
        <v/>
      </c>
      <c r="F105" t="str">
        <f>IF(D105=0,NA(),IFERROR(INDEX('F Proj'!$F$2:$F$7669,MATCH(B105,'F Proj'!$B$2:$B$7669,0)),"O"))</f>
        <v>RB</v>
      </c>
      <c r="G105" t="str">
        <f t="shared" si="10"/>
        <v>Flex</v>
      </c>
      <c r="H105" t="str">
        <f>C105&amp;G105&amp;COUNTIFS(C$1:C105,C105,G$1:G105,G105)</f>
        <v>lucasFlex7</v>
      </c>
      <c r="I105" t="e">
        <f>MATCH(0,INDEX('ROS Proj'!$C$2:$S$561,MATCH($B105,'ROS Proj'!$A$2:$A$561,0),Week+Half_Week):INDEX('ROS Proj'!$C$2:$S$561,MATCH($B105,'ROS Proj'!$A$2:$A$561,0),17),1)+Week+Half_Week</f>
        <v>#N/A</v>
      </c>
      <c r="J105" s="2">
        <f>INDEX('ROS Proj'!$T$2:$T$561,MATCH($B105,'ROS Proj'!$A$2:$A$561,0))</f>
        <v>6.651428571428573</v>
      </c>
      <c r="K105" s="2">
        <f>INDEX('ROS Proj'!$C$2:$S$561,MATCH($B105,'ROS Proj'!$A$2:$A$561,0),Week+Half_Week)</f>
        <v>6.28</v>
      </c>
      <c r="L105" s="3">
        <f t="shared" si="11"/>
        <v>-5.5841924398625564E-2</v>
      </c>
      <c r="M105">
        <f t="shared" si="12"/>
        <v>3</v>
      </c>
      <c r="N105">
        <f t="shared" si="13"/>
        <v>11</v>
      </c>
      <c r="O105">
        <f t="shared" si="14"/>
        <v>12</v>
      </c>
      <c r="P105" t="str">
        <f t="shared" si="15"/>
        <v/>
      </c>
      <c r="Q105" t="str">
        <f t="shared" si="16"/>
        <v xml:space="preserve">Drake (lucas) </v>
      </c>
    </row>
    <row r="106" spans="1:17" x14ac:dyDescent="0.25">
      <c r="A106" t="s">
        <v>1648</v>
      </c>
      <c r="B106" t="s">
        <v>119</v>
      </c>
      <c r="C106" t="str">
        <f t="shared" si="9"/>
        <v>lucas</v>
      </c>
      <c r="D106">
        <f>COUNTIF('F Proj'!$B$2:$B$7669,B106)+COUNTIF('D Proj'!$B$2:$B$513,B106)+COUNTIF('K Proj'!$B$2:$B$508,B106)</f>
        <v>16</v>
      </c>
      <c r="E106" t="str">
        <f>IF(ISERROR(MATCH(ROW(A105),Trades!$A$10:$A$43,0)),"",IF(INDEX(Trades!$E$10:$E$43,MATCH(ROW(A105),Trades!$A$10:$A$43,0)),IF(A106=Trades!$A$27,Trades!$B$7,Trades!$A$27),""))</f>
        <v/>
      </c>
      <c r="F106" t="str">
        <f>IF(D106=0,NA(),IFERROR(INDEX('F Proj'!$F$2:$F$7669,MATCH(B106,'F Proj'!$B$2:$B$7669,0)),"O"))</f>
        <v>WR</v>
      </c>
      <c r="G106" t="str">
        <f t="shared" si="10"/>
        <v>Flex</v>
      </c>
      <c r="H106" t="str">
        <f>C106&amp;G106&amp;COUNTIFS(C$1:C106,C106,G$1:G106,G106)</f>
        <v>lucasFlex8</v>
      </c>
      <c r="I106" t="e">
        <f>MATCH(0,INDEX('ROS Proj'!$C$2:$S$561,MATCH($B106,'ROS Proj'!$A$2:$A$561,0),Week+Half_Week):INDEX('ROS Proj'!$C$2:$S$561,MATCH($B106,'ROS Proj'!$A$2:$A$561,0),17),1)+Week+Half_Week</f>
        <v>#N/A</v>
      </c>
      <c r="J106" s="2">
        <f>INDEX('ROS Proj'!$T$2:$T$561,MATCH($B106,'ROS Proj'!$A$2:$A$561,0))</f>
        <v>8.3312500000000007</v>
      </c>
      <c r="K106" s="2" t="str">
        <f>INDEX('ROS Proj'!$C$2:$S$561,MATCH($B106,'ROS Proj'!$A$2:$A$561,0),Week+Half_Week)</f>
        <v>NA</v>
      </c>
      <c r="L106" s="3" t="e">
        <f t="shared" si="11"/>
        <v>#VALUE!</v>
      </c>
      <c r="M106">
        <f t="shared" si="12"/>
        <v>3</v>
      </c>
      <c r="N106">
        <f t="shared" si="13"/>
        <v>11</v>
      </c>
      <c r="O106">
        <f t="shared" si="14"/>
        <v>12</v>
      </c>
      <c r="P106" t="str">
        <f t="shared" si="15"/>
        <v/>
      </c>
      <c r="Q106" t="str">
        <f t="shared" si="16"/>
        <v xml:space="preserve">Robinson (lucas) </v>
      </c>
    </row>
    <row r="107" spans="1:17" x14ac:dyDescent="0.25">
      <c r="A107" t="s">
        <v>1648</v>
      </c>
      <c r="B107" t="s">
        <v>65</v>
      </c>
      <c r="C107" t="str">
        <f t="shared" si="9"/>
        <v>lucas</v>
      </c>
      <c r="D107">
        <f>COUNTIF('F Proj'!$B$2:$B$7669,B107)+COUNTIF('D Proj'!$B$2:$B$513,B107)+COUNTIF('K Proj'!$B$2:$B$508,B107)</f>
        <v>16</v>
      </c>
      <c r="E107" t="str">
        <f>IF(ISERROR(MATCH(ROW(A106),Trades!$A$10:$A$43,0)),"",IF(INDEX(Trades!$E$10:$E$43,MATCH(ROW(A106),Trades!$A$10:$A$43,0)),IF(A107=Trades!$A$27,Trades!$B$7,Trades!$A$27),""))</f>
        <v/>
      </c>
      <c r="F107" t="str">
        <f>IF(D107=0,NA(),IFERROR(INDEX('F Proj'!$F$2:$F$7669,MATCH(B107,'F Proj'!$B$2:$B$7669,0)),"O"))</f>
        <v>QB</v>
      </c>
      <c r="G107" t="str">
        <f t="shared" si="10"/>
        <v>Non</v>
      </c>
      <c r="H107" t="str">
        <f>C107&amp;G107&amp;COUNTIFS(C$1:C107,C107,G$1:G107,G107)</f>
        <v>lucasNon5</v>
      </c>
      <c r="I107" t="e">
        <f>MATCH(0,INDEX('ROS Proj'!$C$2:$S$561,MATCH($B107,'ROS Proj'!$A$2:$A$561,0),Week+Half_Week):INDEX('ROS Proj'!$C$2:$S$561,MATCH($B107,'ROS Proj'!$A$2:$A$561,0),17),1)+Week+Half_Week</f>
        <v>#N/A</v>
      </c>
      <c r="J107" s="2">
        <f>INDEX('ROS Proj'!$T$2:$T$561,MATCH($B107,'ROS Proj'!$A$2:$A$561,0))</f>
        <v>19.731428571428573</v>
      </c>
      <c r="K107" s="2">
        <f>INDEX('ROS Proj'!$C$2:$S$561,MATCH($B107,'ROS Proj'!$A$2:$A$561,0),Week+Half_Week)</f>
        <v>22.82</v>
      </c>
      <c r="L107" s="3">
        <f t="shared" si="11"/>
        <v>0.15653055314219522</v>
      </c>
      <c r="M107">
        <f t="shared" si="12"/>
        <v>3</v>
      </c>
      <c r="N107">
        <f t="shared" si="13"/>
        <v>11</v>
      </c>
      <c r="O107">
        <f t="shared" si="14"/>
        <v>12</v>
      </c>
      <c r="P107" t="str">
        <f t="shared" si="15"/>
        <v/>
      </c>
      <c r="Q107" t="str">
        <f t="shared" si="16"/>
        <v xml:space="preserve">Roethlisberger (lucas) </v>
      </c>
    </row>
    <row r="108" spans="1:17" x14ac:dyDescent="0.25">
      <c r="A108" t="s">
        <v>1648</v>
      </c>
      <c r="B108" t="s">
        <v>202</v>
      </c>
      <c r="C108" t="str">
        <f t="shared" si="9"/>
        <v>lucas</v>
      </c>
      <c r="D108">
        <f>COUNTIF('F Proj'!$B$2:$B$7669,B108)+COUNTIF('D Proj'!$B$2:$B$513,B108)+COUNTIF('K Proj'!$B$2:$B$508,B108)</f>
        <v>16</v>
      </c>
      <c r="E108" t="str">
        <f>IF(ISERROR(MATCH(ROW(A107),Trades!$A$10:$A$43,0)),"",IF(INDEX(Trades!$E$10:$E$43,MATCH(ROW(A107),Trades!$A$10:$A$43,0)),IF(A108=Trades!$A$27,Trades!$B$7,Trades!$A$27),""))</f>
        <v/>
      </c>
      <c r="F108" t="str">
        <f>IF(D108=0,NA(),IFERROR(INDEX('F Proj'!$F$2:$F$7669,MATCH(B108,'F Proj'!$B$2:$B$7669,0)),"O"))</f>
        <v>RB</v>
      </c>
      <c r="G108" t="str">
        <f t="shared" si="10"/>
        <v>Flex</v>
      </c>
      <c r="H108" t="str">
        <f>C108&amp;G108&amp;COUNTIFS(C$1:C108,C108,G$1:G108,G108)</f>
        <v>lucasFlex9</v>
      </c>
      <c r="I108" t="e">
        <f>MATCH(0,INDEX('ROS Proj'!$C$2:$S$561,MATCH($B108,'ROS Proj'!$A$2:$A$561,0),Week+Half_Week):INDEX('ROS Proj'!$C$2:$S$561,MATCH($B108,'ROS Proj'!$A$2:$A$561,0),17),1)+Week+Half_Week</f>
        <v>#N/A</v>
      </c>
      <c r="J108" s="2">
        <f>INDEX('ROS Proj'!$T$2:$T$561,MATCH($B108,'ROS Proj'!$A$2:$A$561,0))</f>
        <v>7.8737500000000002</v>
      </c>
      <c r="K108" s="2">
        <f>INDEX('ROS Proj'!$C$2:$S$561,MATCH($B108,'ROS Proj'!$A$2:$A$561,0),Week+Half_Week)</f>
        <v>8.8000000000000007</v>
      </c>
      <c r="L108" s="3">
        <f t="shared" si="11"/>
        <v>0.11763772027305919</v>
      </c>
      <c r="M108">
        <f t="shared" si="12"/>
        <v>3</v>
      </c>
      <c r="N108">
        <f t="shared" si="13"/>
        <v>11</v>
      </c>
      <c r="O108">
        <f t="shared" si="14"/>
        <v>12</v>
      </c>
      <c r="P108" t="str">
        <f t="shared" si="15"/>
        <v/>
      </c>
      <c r="Q108" t="str">
        <f t="shared" si="16"/>
        <v xml:space="preserve">Thompson (lucas) </v>
      </c>
    </row>
    <row r="109" spans="1:17" x14ac:dyDescent="0.25">
      <c r="A109" t="s">
        <v>1648</v>
      </c>
      <c r="B109" t="s">
        <v>416</v>
      </c>
      <c r="C109" t="str">
        <f t="shared" si="9"/>
        <v>lucas</v>
      </c>
      <c r="D109">
        <f>COUNTIF('F Proj'!$B$2:$B$7669,B109)+COUNTIF('D Proj'!$B$2:$B$513,B109)+COUNTIF('K Proj'!$B$2:$B$508,B109)</f>
        <v>16</v>
      </c>
      <c r="E109" t="str">
        <f>IF(ISERROR(MATCH(ROW(A108),Trades!$A$10:$A$43,0)),"",IF(INDEX(Trades!$E$10:$E$43,MATCH(ROW(A108),Trades!$A$10:$A$43,0)),IF(A109=Trades!$A$27,Trades!$B$7,Trades!$A$27),""))</f>
        <v/>
      </c>
      <c r="F109" t="str">
        <f>IF(D109=0,NA(),IFERROR(INDEX('F Proj'!$F$2:$F$7669,MATCH(B109,'F Proj'!$B$2:$B$7669,0)),"O"))</f>
        <v>O</v>
      </c>
      <c r="G109" t="str">
        <f t="shared" si="10"/>
        <v>Non</v>
      </c>
      <c r="H109" t="str">
        <f>C109&amp;G109&amp;COUNTIFS(C$1:C109,C109,G$1:G109,G109)</f>
        <v>lucasNon6</v>
      </c>
      <c r="I109" t="e">
        <f>MATCH(0,INDEX('ROS Proj'!$C$2:$S$561,MATCH($B109,'ROS Proj'!$A$2:$A$561,0),Week+Half_Week):INDEX('ROS Proj'!$C$2:$S$561,MATCH($B109,'ROS Proj'!$A$2:$A$561,0),17),1)+Week+Half_Week</f>
        <v>#N/A</v>
      </c>
      <c r="J109" s="2">
        <f>INDEX('ROS Proj'!$T$2:$T$561,MATCH($B109,'ROS Proj'!$A$2:$A$561,0))</f>
        <v>6.5887499999999992</v>
      </c>
      <c r="K109" s="2" t="str">
        <f>INDEX('ROS Proj'!$C$2:$S$561,MATCH($B109,'ROS Proj'!$A$2:$A$561,0),Week+Half_Week)</f>
        <v>NA</v>
      </c>
      <c r="L109" s="3" t="str">
        <f t="shared" si="11"/>
        <v/>
      </c>
      <c r="M109">
        <f t="shared" si="12"/>
        <v>3</v>
      </c>
      <c r="N109">
        <f t="shared" si="13"/>
        <v>11</v>
      </c>
      <c r="O109">
        <f t="shared" si="14"/>
        <v>12</v>
      </c>
      <c r="P109" t="str">
        <f t="shared" si="15"/>
        <v/>
      </c>
      <c r="Q109" t="str">
        <f t="shared" si="16"/>
        <v xml:space="preserve">D/ST (lucas) </v>
      </c>
    </row>
    <row r="110" spans="1:17" x14ac:dyDescent="0.25">
      <c r="A110" t="s">
        <v>23</v>
      </c>
      <c r="B110" t="s">
        <v>80</v>
      </c>
      <c r="C110" t="str">
        <f t="shared" si="9"/>
        <v>perry</v>
      </c>
      <c r="D110">
        <f>COUNTIF('F Proj'!$B$2:$B$7669,B110)+COUNTIF('D Proj'!$B$2:$B$513,B110)+COUNTIF('K Proj'!$B$2:$B$508,B110)</f>
        <v>16</v>
      </c>
      <c r="E110" t="str">
        <f>IF(ISERROR(MATCH(ROW(A109),Trades!$A$10:$A$43,0)),"",IF(INDEX(Trades!$E$10:$E$43,MATCH(ROW(A109),Trades!$A$10:$A$43,0)),IF(A110=Trades!$A$27,Trades!$B$7,Trades!$A$27),""))</f>
        <v/>
      </c>
      <c r="F110" t="str">
        <f>IF(D110=0,NA(),IFERROR(INDEX('F Proj'!$F$2:$F$7669,MATCH(B110,'F Proj'!$B$2:$B$7669,0)),"O"))</f>
        <v>QB</v>
      </c>
      <c r="G110" t="str">
        <f t="shared" si="10"/>
        <v>Non</v>
      </c>
      <c r="H110" t="str">
        <f>C110&amp;G110&amp;COUNTIFS(C$1:C110,C110,G$1:G110,G110)</f>
        <v>perryNon1</v>
      </c>
      <c r="I110" t="e">
        <f>MATCH(0,INDEX('ROS Proj'!$C$2:$S$561,MATCH($B110,'ROS Proj'!$A$2:$A$561,0),Week+Half_Week):INDEX('ROS Proj'!$C$2:$S$561,MATCH($B110,'ROS Proj'!$A$2:$A$561,0),17),1)+Week+Half_Week</f>
        <v>#N/A</v>
      </c>
      <c r="J110" s="2">
        <f>INDEX('ROS Proj'!$T$2:$T$561,MATCH($B110,'ROS Proj'!$A$2:$A$561,0))</f>
        <v>19.499999999999996</v>
      </c>
      <c r="K110" s="2">
        <f>INDEX('ROS Proj'!$C$2:$S$561,MATCH($B110,'ROS Proj'!$A$2:$A$561,0),Week+Half_Week)</f>
        <v>19.39</v>
      </c>
      <c r="L110" s="3">
        <f t="shared" si="11"/>
        <v>-5.6410256410254211E-3</v>
      </c>
      <c r="M110">
        <f t="shared" si="12"/>
        <v>3</v>
      </c>
      <c r="N110">
        <f t="shared" si="13"/>
        <v>11</v>
      </c>
      <c r="O110">
        <f t="shared" si="14"/>
        <v>12</v>
      </c>
      <c r="P110" t="str">
        <f t="shared" si="15"/>
        <v/>
      </c>
      <c r="Q110" t="str">
        <f t="shared" si="16"/>
        <v xml:space="preserve">Wentz (perry) </v>
      </c>
    </row>
    <row r="111" spans="1:17" x14ac:dyDescent="0.25">
      <c r="A111" t="s">
        <v>23</v>
      </c>
      <c r="B111" t="s">
        <v>3533</v>
      </c>
      <c r="C111" t="str">
        <f t="shared" si="9"/>
        <v>perry</v>
      </c>
      <c r="D111">
        <f>COUNTIF('F Proj'!$B$2:$B$7669,B111)+COUNTIF('D Proj'!$B$2:$B$513,B111)+COUNTIF('K Proj'!$B$2:$B$508,B111)</f>
        <v>16</v>
      </c>
      <c r="E111" t="str">
        <f>IF(ISERROR(MATCH(ROW(A110),Trades!$A$10:$A$43,0)),"",IF(INDEX(Trades!$E$10:$E$43,MATCH(ROW(A110),Trades!$A$10:$A$43,0)),IF(A111=Trades!$A$27,Trades!$B$7,Trades!$A$27),""))</f>
        <v/>
      </c>
      <c r="F111" t="str">
        <f>IF(D111=0,NA(),IFERROR(INDEX('F Proj'!$F$2:$F$7669,MATCH(B111,'F Proj'!$B$2:$B$7669,0)),"O"))</f>
        <v>RB</v>
      </c>
      <c r="G111" t="str">
        <f t="shared" si="10"/>
        <v>Flex</v>
      </c>
      <c r="H111" t="str">
        <f>C111&amp;G111&amp;COUNTIFS(C$1:C111,C111,G$1:G111,G111)</f>
        <v>perryFlex1</v>
      </c>
      <c r="I111" t="e">
        <f>MATCH(0,INDEX('ROS Proj'!$C$2:$S$561,MATCH($B111,'ROS Proj'!$A$2:$A$561,0),Week+Half_Week):INDEX('ROS Proj'!$C$2:$S$561,MATCH($B111,'ROS Proj'!$A$2:$A$561,0),17),1)+Week+Half_Week</f>
        <v>#N/A</v>
      </c>
      <c r="J111" s="2">
        <f>INDEX('ROS Proj'!$T$2:$T$561,MATCH($B111,'ROS Proj'!$A$2:$A$561,0))</f>
        <v>8.9142857142857146</v>
      </c>
      <c r="K111" s="2">
        <f>INDEX('ROS Proj'!$C$2:$S$561,MATCH($B111,'ROS Proj'!$A$2:$A$561,0),Week+Half_Week)</f>
        <v>7.95</v>
      </c>
      <c r="L111" s="3">
        <f t="shared" si="11"/>
        <v>-0.10817307692307698</v>
      </c>
      <c r="M111">
        <f t="shared" si="12"/>
        <v>3</v>
      </c>
      <c r="N111">
        <f t="shared" si="13"/>
        <v>11</v>
      </c>
      <c r="O111">
        <f t="shared" si="14"/>
        <v>12</v>
      </c>
      <c r="P111" t="str">
        <f t="shared" si="15"/>
        <v/>
      </c>
      <c r="Q111" t="str">
        <f t="shared" si="16"/>
        <v xml:space="preserve">Lindsay (perry) </v>
      </c>
    </row>
    <row r="112" spans="1:17" x14ac:dyDescent="0.25">
      <c r="A112" t="s">
        <v>23</v>
      </c>
      <c r="B112" t="s">
        <v>57</v>
      </c>
      <c r="C112" t="str">
        <f t="shared" si="9"/>
        <v>perry</v>
      </c>
      <c r="D112">
        <f>COUNTIF('F Proj'!$B$2:$B$7669,B112)+COUNTIF('D Proj'!$B$2:$B$513,B112)+COUNTIF('K Proj'!$B$2:$B$508,B112)</f>
        <v>16</v>
      </c>
      <c r="E112" t="str">
        <f>IF(ISERROR(MATCH(ROW(A111),Trades!$A$10:$A$43,0)),"",IF(INDEX(Trades!$E$10:$E$43,MATCH(ROW(A111),Trades!$A$10:$A$43,0)),IF(A112=Trades!$A$27,Trades!$B$7,Trades!$A$27),""))</f>
        <v/>
      </c>
      <c r="F112" t="str">
        <f>IF(D112=0,NA(),IFERROR(INDEX('F Proj'!$F$2:$F$7669,MATCH(B112,'F Proj'!$B$2:$B$7669,0)),"O"))</f>
        <v>RB</v>
      </c>
      <c r="G112" t="str">
        <f t="shared" si="10"/>
        <v>Flex</v>
      </c>
      <c r="H112" t="str">
        <f>C112&amp;G112&amp;COUNTIFS(C$1:C112,C112,G$1:G112,G112)</f>
        <v>perryFlex2</v>
      </c>
      <c r="I112" t="e">
        <f>MATCH(0,INDEX('ROS Proj'!$C$2:$S$561,MATCH($B112,'ROS Proj'!$A$2:$A$561,0),Week+Half_Week):INDEX('ROS Proj'!$C$2:$S$561,MATCH($B112,'ROS Proj'!$A$2:$A$561,0),17),1)+Week+Half_Week</f>
        <v>#N/A</v>
      </c>
      <c r="J112" s="2">
        <f>INDEX('ROS Proj'!$T$2:$T$561,MATCH($B112,'ROS Proj'!$A$2:$A$561,0))</f>
        <v>19.427142857142858</v>
      </c>
      <c r="K112" s="2">
        <f>INDEX('ROS Proj'!$C$2:$S$561,MATCH($B112,'ROS Proj'!$A$2:$A$561,0),Week+Half_Week)</f>
        <v>17.41</v>
      </c>
      <c r="L112" s="3">
        <f t="shared" si="11"/>
        <v>-0.10383116405618065</v>
      </c>
      <c r="M112">
        <f t="shared" si="12"/>
        <v>3</v>
      </c>
      <c r="N112">
        <f t="shared" si="13"/>
        <v>11</v>
      </c>
      <c r="O112">
        <f t="shared" si="14"/>
        <v>12</v>
      </c>
      <c r="P112" t="str">
        <f t="shared" si="15"/>
        <v/>
      </c>
      <c r="Q112" t="str">
        <f t="shared" si="16"/>
        <v xml:space="preserve">Elliott (perry) </v>
      </c>
    </row>
    <row r="113" spans="1:17" x14ac:dyDescent="0.25">
      <c r="A113" t="s">
        <v>23</v>
      </c>
      <c r="B113" t="s">
        <v>228</v>
      </c>
      <c r="C113" t="str">
        <f t="shared" si="9"/>
        <v>perry</v>
      </c>
      <c r="D113">
        <f>COUNTIF('F Proj'!$B$2:$B$7669,B113)+COUNTIF('D Proj'!$B$2:$B$513,B113)+COUNTIF('K Proj'!$B$2:$B$508,B113)</f>
        <v>16</v>
      </c>
      <c r="E113" t="str">
        <f>IF(ISERROR(MATCH(ROW(A112),Trades!$A$10:$A$43,0)),"",IF(INDEX(Trades!$E$10:$E$43,MATCH(ROW(A112),Trades!$A$10:$A$43,0)),IF(A113=Trades!$A$27,Trades!$B$7,Trades!$A$27),""))</f>
        <v/>
      </c>
      <c r="F113" t="str">
        <f>IF(D113=0,NA(),IFERROR(INDEX('F Proj'!$F$2:$F$7669,MATCH(B113,'F Proj'!$B$2:$B$7669,0)),"O"))</f>
        <v>RB</v>
      </c>
      <c r="G113" t="str">
        <f t="shared" si="10"/>
        <v>Flex</v>
      </c>
      <c r="H113" t="str">
        <f>C113&amp;G113&amp;COUNTIFS(C$1:C113,C113,G$1:G113,G113)</f>
        <v>perryFlex3</v>
      </c>
      <c r="I113" t="e">
        <f>MATCH(0,INDEX('ROS Proj'!$C$2:$S$561,MATCH($B113,'ROS Proj'!$A$2:$A$561,0),Week+Half_Week):INDEX('ROS Proj'!$C$2:$S$561,MATCH($B113,'ROS Proj'!$A$2:$A$561,0),17),1)+Week+Half_Week</f>
        <v>#N/A</v>
      </c>
      <c r="J113" s="2">
        <f>INDEX('ROS Proj'!$T$2:$T$561,MATCH($B113,'ROS Proj'!$A$2:$A$561,0))</f>
        <v>8.7628571428571433</v>
      </c>
      <c r="K113" s="2">
        <f>INDEX('ROS Proj'!$C$2:$S$561,MATCH($B113,'ROS Proj'!$A$2:$A$561,0),Week+Half_Week)</f>
        <v>8.0500000000000007</v>
      </c>
      <c r="L113" s="3">
        <f t="shared" si="11"/>
        <v>-8.1349853276817652E-2</v>
      </c>
      <c r="M113">
        <f t="shared" si="12"/>
        <v>3</v>
      </c>
      <c r="N113">
        <f t="shared" si="13"/>
        <v>11</v>
      </c>
      <c r="O113">
        <f t="shared" si="14"/>
        <v>12</v>
      </c>
      <c r="P113" t="str">
        <f t="shared" si="15"/>
        <v/>
      </c>
      <c r="Q113" t="str">
        <f t="shared" si="16"/>
        <v xml:space="preserve">Breida (perry) </v>
      </c>
    </row>
    <row r="114" spans="1:17" x14ac:dyDescent="0.25">
      <c r="A114" t="s">
        <v>23</v>
      </c>
      <c r="B114" t="s">
        <v>135</v>
      </c>
      <c r="C114" t="str">
        <f t="shared" si="9"/>
        <v>perry</v>
      </c>
      <c r="D114">
        <f>COUNTIF('F Proj'!$B$2:$B$7669,B114)+COUNTIF('D Proj'!$B$2:$B$513,B114)+COUNTIF('K Proj'!$B$2:$B$508,B114)</f>
        <v>16</v>
      </c>
      <c r="E114" t="str">
        <f>IF(ISERROR(MATCH(ROW(A113),Trades!$A$10:$A$43,0)),"",IF(INDEX(Trades!$E$10:$E$43,MATCH(ROW(A113),Trades!$A$10:$A$43,0)),IF(A114=Trades!$A$27,Trades!$B$7,Trades!$A$27),""))</f>
        <v/>
      </c>
      <c r="F114" t="str">
        <f>IF(D114=0,NA(),IFERROR(INDEX('F Proj'!$F$2:$F$7669,MATCH(B114,'F Proj'!$B$2:$B$7669,0)),"O"))</f>
        <v>WR</v>
      </c>
      <c r="G114" t="str">
        <f t="shared" si="10"/>
        <v>Flex</v>
      </c>
      <c r="H114" t="str">
        <f>C114&amp;G114&amp;COUNTIFS(C$1:C114,C114,G$1:G114,G114)</f>
        <v>perryFlex4</v>
      </c>
      <c r="I114" t="e">
        <f>MATCH(0,INDEX('ROS Proj'!$C$2:$S$561,MATCH($B114,'ROS Proj'!$A$2:$A$561,0),Week+Half_Week):INDEX('ROS Proj'!$C$2:$S$561,MATCH($B114,'ROS Proj'!$A$2:$A$561,0),17),1)+Week+Half_Week</f>
        <v>#N/A</v>
      </c>
      <c r="J114" s="2">
        <f>INDEX('ROS Proj'!$T$2:$T$561,MATCH($B114,'ROS Proj'!$A$2:$A$561,0))</f>
        <v>10.898571428571429</v>
      </c>
      <c r="K114" s="2">
        <f>INDEX('ROS Proj'!$C$2:$S$561,MATCH($B114,'ROS Proj'!$A$2:$A$561,0),Week+Half_Week)</f>
        <v>6.53</v>
      </c>
      <c r="L114" s="3">
        <f t="shared" si="11"/>
        <v>-0.4008389041814131</v>
      </c>
      <c r="M114">
        <f t="shared" si="12"/>
        <v>4</v>
      </c>
      <c r="N114">
        <f t="shared" si="13"/>
        <v>11</v>
      </c>
      <c r="O114">
        <f t="shared" si="14"/>
        <v>12</v>
      </c>
      <c r="P114">
        <f t="shared" si="15"/>
        <v>4</v>
      </c>
      <c r="Q114" t="str">
        <f t="shared" si="16"/>
        <v>Adams (perry) adjusted down this week</v>
      </c>
    </row>
    <row r="115" spans="1:17" x14ac:dyDescent="0.25">
      <c r="A115" t="s">
        <v>23</v>
      </c>
      <c r="B115" t="s">
        <v>108</v>
      </c>
      <c r="C115" t="str">
        <f t="shared" si="9"/>
        <v>perry</v>
      </c>
      <c r="D115">
        <f>COUNTIF('F Proj'!$B$2:$B$7669,B115)+COUNTIF('D Proj'!$B$2:$B$513,B115)+COUNTIF('K Proj'!$B$2:$B$508,B115)</f>
        <v>16</v>
      </c>
      <c r="E115" t="str">
        <f>IF(ISERROR(MATCH(ROW(A114),Trades!$A$10:$A$43,0)),"",IF(INDEX(Trades!$E$10:$E$43,MATCH(ROW(A114),Trades!$A$10:$A$43,0)),IF(A115=Trades!$A$27,Trades!$B$7,Trades!$A$27),""))</f>
        <v/>
      </c>
      <c r="F115" t="str">
        <f>IF(D115=0,NA(),IFERROR(INDEX('F Proj'!$F$2:$F$7669,MATCH(B115,'F Proj'!$B$2:$B$7669,0)),"O"))</f>
        <v>WR</v>
      </c>
      <c r="G115" t="str">
        <f t="shared" si="10"/>
        <v>Flex</v>
      </c>
      <c r="H115" t="str">
        <f>C115&amp;G115&amp;COUNTIFS(C$1:C115,C115,G$1:G115,G115)</f>
        <v>perryFlex5</v>
      </c>
      <c r="I115" t="e">
        <f>MATCH(0,INDEX('ROS Proj'!$C$2:$S$561,MATCH($B115,'ROS Proj'!$A$2:$A$561,0),Week+Half_Week):INDEX('ROS Proj'!$C$2:$S$561,MATCH($B115,'ROS Proj'!$A$2:$A$561,0),17),1)+Week+Half_Week</f>
        <v>#N/A</v>
      </c>
      <c r="J115" s="2">
        <f>INDEX('ROS Proj'!$T$2:$T$561,MATCH($B115,'ROS Proj'!$A$2:$A$561,0))</f>
        <v>12.792857142857143</v>
      </c>
      <c r="K115" s="2">
        <f>INDEX('ROS Proj'!$C$2:$S$561,MATCH($B115,'ROS Proj'!$A$2:$A$561,0),Week+Half_Week)</f>
        <v>12.13</v>
      </c>
      <c r="L115" s="3">
        <f t="shared" si="11"/>
        <v>-5.1814628699050735E-2</v>
      </c>
      <c r="M115">
        <f t="shared" si="12"/>
        <v>4</v>
      </c>
      <c r="N115">
        <f t="shared" si="13"/>
        <v>11</v>
      </c>
      <c r="O115">
        <f t="shared" si="14"/>
        <v>12</v>
      </c>
      <c r="P115" t="str">
        <f t="shared" si="15"/>
        <v/>
      </c>
      <c r="Q115" t="str">
        <f t="shared" si="16"/>
        <v xml:space="preserve">Cooks (perry) </v>
      </c>
    </row>
    <row r="116" spans="1:17" x14ac:dyDescent="0.25">
      <c r="A116" t="s">
        <v>23</v>
      </c>
      <c r="B116" t="s">
        <v>266</v>
      </c>
      <c r="C116" t="str">
        <f t="shared" si="9"/>
        <v>perry</v>
      </c>
      <c r="D116">
        <f>COUNTIF('F Proj'!$B$2:$B$7669,B116)+COUNTIF('D Proj'!$B$2:$B$513,B116)+COUNTIF('K Proj'!$B$2:$B$508,B116)</f>
        <v>16</v>
      </c>
      <c r="E116" t="str">
        <f>IF(ISERROR(MATCH(ROW(A115),Trades!$A$10:$A$43,0)),"",IF(INDEX(Trades!$E$10:$E$43,MATCH(ROW(A115),Trades!$A$10:$A$43,0)),IF(A116=Trades!$A$27,Trades!$B$7,Trades!$A$27),""))</f>
        <v/>
      </c>
      <c r="F116" t="str">
        <f>IF(D116=0,NA(),IFERROR(INDEX('F Proj'!$F$2:$F$7669,MATCH(B116,'F Proj'!$B$2:$B$7669,0)),"O"))</f>
        <v>WR</v>
      </c>
      <c r="G116" t="str">
        <f t="shared" si="10"/>
        <v>Flex</v>
      </c>
      <c r="H116" t="str">
        <f>C116&amp;G116&amp;COUNTIFS(C$1:C116,C116,G$1:G116,G116)</f>
        <v>perryFlex6</v>
      </c>
      <c r="I116" t="e">
        <f>MATCH(0,INDEX('ROS Proj'!$C$2:$S$561,MATCH($B116,'ROS Proj'!$A$2:$A$561,0),Week+Half_Week):INDEX('ROS Proj'!$C$2:$S$561,MATCH($B116,'ROS Proj'!$A$2:$A$561,0),17),1)+Week+Half_Week</f>
        <v>#N/A</v>
      </c>
      <c r="J116" s="2">
        <f>INDEX('ROS Proj'!$T$2:$T$561,MATCH($B116,'ROS Proj'!$A$2:$A$561,0))</f>
        <v>8.3642857142857157</v>
      </c>
      <c r="K116" s="2">
        <f>INDEX('ROS Proj'!$C$2:$S$561,MATCH($B116,'ROS Proj'!$A$2:$A$561,0),Week+Half_Week)</f>
        <v>8.69</v>
      </c>
      <c r="L116" s="3">
        <f t="shared" si="11"/>
        <v>3.8941076003415676E-2</v>
      </c>
      <c r="M116">
        <f t="shared" si="12"/>
        <v>4</v>
      </c>
      <c r="N116">
        <f t="shared" si="13"/>
        <v>11</v>
      </c>
      <c r="O116">
        <f t="shared" si="14"/>
        <v>12</v>
      </c>
      <c r="P116" t="str">
        <f t="shared" si="15"/>
        <v/>
      </c>
      <c r="Q116" t="str">
        <f t="shared" si="16"/>
        <v xml:space="preserve">Fuller V (perry) </v>
      </c>
    </row>
    <row r="117" spans="1:17" x14ac:dyDescent="0.25">
      <c r="A117" t="s">
        <v>23</v>
      </c>
      <c r="B117" t="s">
        <v>177</v>
      </c>
      <c r="C117" t="str">
        <f t="shared" si="9"/>
        <v>perry</v>
      </c>
      <c r="D117">
        <f>COUNTIF('F Proj'!$B$2:$B$7669,B117)+COUNTIF('D Proj'!$B$2:$B$513,B117)+COUNTIF('K Proj'!$B$2:$B$508,B117)</f>
        <v>16</v>
      </c>
      <c r="E117" t="str">
        <f>IF(ISERROR(MATCH(ROW(A116),Trades!$A$10:$A$43,0)),"",IF(INDEX(Trades!$E$10:$E$43,MATCH(ROW(A116),Trades!$A$10:$A$43,0)),IF(A117=Trades!$A$27,Trades!$B$7,Trades!$A$27),""))</f>
        <v/>
      </c>
      <c r="F117" t="str">
        <f>IF(D117=0,NA(),IFERROR(INDEX('F Proj'!$F$2:$F$7669,MATCH(B117,'F Proj'!$B$2:$B$7669,0)),"O"))</f>
        <v>TE</v>
      </c>
      <c r="G117" t="str">
        <f t="shared" si="10"/>
        <v>Non</v>
      </c>
      <c r="H117" t="str">
        <f>C117&amp;G117&amp;COUNTIFS(C$1:C117,C117,G$1:G117,G117)</f>
        <v>perryNon2</v>
      </c>
      <c r="I117" t="e">
        <f>MATCH(0,INDEX('ROS Proj'!$C$2:$S$561,MATCH($B117,'ROS Proj'!$A$2:$A$561,0),Week+Half_Week):INDEX('ROS Proj'!$C$2:$S$561,MATCH($B117,'ROS Proj'!$A$2:$A$561,0),17),1)+Week+Half_Week</f>
        <v>#N/A</v>
      </c>
      <c r="J117" s="2">
        <f>INDEX('ROS Proj'!$T$2:$T$561,MATCH($B117,'ROS Proj'!$A$2:$A$561,0))</f>
        <v>8.7042857142857137</v>
      </c>
      <c r="K117" s="2">
        <f>INDEX('ROS Proj'!$C$2:$S$561,MATCH($B117,'ROS Proj'!$A$2:$A$561,0),Week+Half_Week)</f>
        <v>9.61</v>
      </c>
      <c r="L117" s="3">
        <f t="shared" si="11"/>
        <v>0.10405383226653542</v>
      </c>
      <c r="M117">
        <f t="shared" si="12"/>
        <v>4</v>
      </c>
      <c r="N117">
        <f t="shared" si="13"/>
        <v>11</v>
      </c>
      <c r="O117">
        <f t="shared" si="14"/>
        <v>12</v>
      </c>
      <c r="P117" t="str">
        <f t="shared" si="15"/>
        <v/>
      </c>
      <c r="Q117" t="str">
        <f t="shared" si="16"/>
        <v xml:space="preserve">Ertz (perry) </v>
      </c>
    </row>
    <row r="118" spans="1:17" x14ac:dyDescent="0.25">
      <c r="A118" t="s">
        <v>23</v>
      </c>
      <c r="B118" t="s">
        <v>405</v>
      </c>
      <c r="C118" t="str">
        <f t="shared" si="9"/>
        <v>perry</v>
      </c>
      <c r="D118">
        <f>COUNTIF('F Proj'!$B$2:$B$7669,B118)+COUNTIF('D Proj'!$B$2:$B$513,B118)+COUNTIF('K Proj'!$B$2:$B$508,B118)</f>
        <v>16</v>
      </c>
      <c r="E118" t="str">
        <f>IF(ISERROR(MATCH(ROW(A117),Trades!$A$10:$A$43,0)),"",IF(INDEX(Trades!$E$10:$E$43,MATCH(ROW(A117),Trades!$A$10:$A$43,0)),IF(A118=Trades!$A$27,Trades!$B$7,Trades!$A$27),""))</f>
        <v/>
      </c>
      <c r="F118" t="str">
        <f>IF(D118=0,NA(),IFERROR(INDEX('F Proj'!$F$2:$F$7669,MATCH(B118,'F Proj'!$B$2:$B$7669,0)),"O"))</f>
        <v>O</v>
      </c>
      <c r="G118" t="str">
        <f t="shared" si="10"/>
        <v>Non</v>
      </c>
      <c r="H118" t="str">
        <f>C118&amp;G118&amp;COUNTIFS(C$1:C118,C118,G$1:G118,G118)</f>
        <v>perryNon3</v>
      </c>
      <c r="I118" t="e">
        <f>MATCH(0,INDEX('ROS Proj'!$C$2:$S$561,MATCH($B118,'ROS Proj'!$A$2:$A$561,0),Week+Half_Week):INDEX('ROS Proj'!$C$2:$S$561,MATCH($B118,'ROS Proj'!$A$2:$A$561,0),17),1)+Week+Half_Week</f>
        <v>#N/A</v>
      </c>
      <c r="J118" s="2">
        <f>INDEX('ROS Proj'!$T$2:$T$561,MATCH($B118,'ROS Proj'!$A$2:$A$561,0))</f>
        <v>5.7299999999999995</v>
      </c>
      <c r="K118" s="2">
        <f>INDEX('ROS Proj'!$C$2:$S$561,MATCH($B118,'ROS Proj'!$A$2:$A$561,0),Week+Half_Week)</f>
        <v>6.46</v>
      </c>
      <c r="L118" s="3" t="str">
        <f t="shared" si="11"/>
        <v/>
      </c>
      <c r="M118">
        <f t="shared" si="12"/>
        <v>4</v>
      </c>
      <c r="N118">
        <f t="shared" si="13"/>
        <v>11</v>
      </c>
      <c r="O118">
        <f t="shared" si="14"/>
        <v>12</v>
      </c>
      <c r="P118" t="str">
        <f t="shared" si="15"/>
        <v/>
      </c>
      <c r="Q118" t="str">
        <f t="shared" si="16"/>
        <v xml:space="preserve">D/ST (perry) </v>
      </c>
    </row>
    <row r="119" spans="1:17" x14ac:dyDescent="0.25">
      <c r="A119" t="s">
        <v>23</v>
      </c>
      <c r="B119" t="s">
        <v>444</v>
      </c>
      <c r="C119" t="str">
        <f t="shared" si="9"/>
        <v>perry</v>
      </c>
      <c r="D119">
        <f>COUNTIF('F Proj'!$B$2:$B$7669,B119)+COUNTIF('D Proj'!$B$2:$B$513,B119)+COUNTIF('K Proj'!$B$2:$B$508,B119)</f>
        <v>16</v>
      </c>
      <c r="E119" t="str">
        <f>IF(ISERROR(MATCH(ROW(A118),Trades!$A$10:$A$43,0)),"",IF(INDEX(Trades!$E$10:$E$43,MATCH(ROW(A118),Trades!$A$10:$A$43,0)),IF(A119=Trades!$A$27,Trades!$B$7,Trades!$A$27),""))</f>
        <v/>
      </c>
      <c r="F119" t="str">
        <f>IF(D119=0,NA(),IFERROR(INDEX('F Proj'!$F$2:$F$7669,MATCH(B119,'F Proj'!$B$2:$B$7669,0)),"O"))</f>
        <v>O</v>
      </c>
      <c r="G119" t="str">
        <f t="shared" si="10"/>
        <v>Non</v>
      </c>
      <c r="H119" t="str">
        <f>C119&amp;G119&amp;COUNTIFS(C$1:C119,C119,G$1:G119,G119)</f>
        <v>perryNon4</v>
      </c>
      <c r="I119" t="e">
        <f>MATCH(0,INDEX('ROS Proj'!$C$2:$S$561,MATCH($B119,'ROS Proj'!$A$2:$A$561,0),Week+Half_Week):INDEX('ROS Proj'!$C$2:$S$561,MATCH($B119,'ROS Proj'!$A$2:$A$561,0),17),1)+Week+Half_Week</f>
        <v>#N/A</v>
      </c>
      <c r="J119" s="2">
        <f>INDEX('ROS Proj'!$T$2:$T$561,MATCH($B119,'ROS Proj'!$A$2:$A$561,0))</f>
        <v>6.5942857142857134</v>
      </c>
      <c r="K119" s="2">
        <f>INDEX('ROS Proj'!$C$2:$S$561,MATCH($B119,'ROS Proj'!$A$2:$A$561,0),Week+Half_Week)</f>
        <v>9.24</v>
      </c>
      <c r="L119" s="3" t="str">
        <f t="shared" si="11"/>
        <v/>
      </c>
      <c r="M119">
        <f t="shared" si="12"/>
        <v>4</v>
      </c>
      <c r="N119">
        <f t="shared" si="13"/>
        <v>11</v>
      </c>
      <c r="O119">
        <f t="shared" si="14"/>
        <v>12</v>
      </c>
      <c r="P119" t="str">
        <f t="shared" si="15"/>
        <v/>
      </c>
      <c r="Q119" t="str">
        <f t="shared" si="16"/>
        <v xml:space="preserve">Crosby (perry) </v>
      </c>
    </row>
    <row r="120" spans="1:17" x14ac:dyDescent="0.25">
      <c r="A120" t="s">
        <v>23</v>
      </c>
      <c r="B120" t="s">
        <v>159</v>
      </c>
      <c r="C120" t="str">
        <f t="shared" si="9"/>
        <v>perry</v>
      </c>
      <c r="D120">
        <f>COUNTIF('F Proj'!$B$2:$B$7669,B120)+COUNTIF('D Proj'!$B$2:$B$513,B120)+COUNTIF('K Proj'!$B$2:$B$508,B120)</f>
        <v>16</v>
      </c>
      <c r="E120" t="str">
        <f>IF(ISERROR(MATCH(ROW(A119),Trades!$A$10:$A$43,0)),"",IF(INDEX(Trades!$E$10:$E$43,MATCH(ROW(A119),Trades!$A$10:$A$43,0)),IF(A120=Trades!$A$27,Trades!$B$7,Trades!$A$27),""))</f>
        <v/>
      </c>
      <c r="F120" t="str">
        <f>IF(D120=0,NA(),IFERROR(INDEX('F Proj'!$F$2:$F$7669,MATCH(B120,'F Proj'!$B$2:$B$7669,0)),"O"))</f>
        <v>WR</v>
      </c>
      <c r="G120" t="str">
        <f t="shared" si="10"/>
        <v>Flex</v>
      </c>
      <c r="H120" t="str">
        <f>C120&amp;G120&amp;COUNTIFS(C$1:C120,C120,G$1:G120,G120)</f>
        <v>perryFlex7</v>
      </c>
      <c r="I120" t="e">
        <f>MATCH(0,INDEX('ROS Proj'!$C$2:$S$561,MATCH($B120,'ROS Proj'!$A$2:$A$561,0),Week+Half_Week):INDEX('ROS Proj'!$C$2:$S$561,MATCH($B120,'ROS Proj'!$A$2:$A$561,0),17),1)+Week+Half_Week</f>
        <v>#N/A</v>
      </c>
      <c r="J120" s="2">
        <f>INDEX('ROS Proj'!$T$2:$T$561,MATCH($B120,'ROS Proj'!$A$2:$A$561,0))</f>
        <v>4.5285714285714294</v>
      </c>
      <c r="K120" s="2">
        <f>INDEX('ROS Proj'!$C$2:$S$561,MATCH($B120,'ROS Proj'!$A$2:$A$561,0),Week+Half_Week)</f>
        <v>4.6399999999999997</v>
      </c>
      <c r="L120" s="3">
        <f t="shared" si="11"/>
        <v>2.4605678233438288E-2</v>
      </c>
      <c r="M120">
        <f t="shared" si="12"/>
        <v>4</v>
      </c>
      <c r="N120">
        <f t="shared" si="13"/>
        <v>11</v>
      </c>
      <c r="O120">
        <f t="shared" si="14"/>
        <v>12</v>
      </c>
      <c r="P120" t="str">
        <f t="shared" si="15"/>
        <v/>
      </c>
      <c r="Q120" t="str">
        <f t="shared" si="16"/>
        <v xml:space="preserve">Hogan (perry) </v>
      </c>
    </row>
    <row r="121" spans="1:17" x14ac:dyDescent="0.25">
      <c r="A121" t="s">
        <v>23</v>
      </c>
      <c r="B121" t="s">
        <v>1492</v>
      </c>
      <c r="C121" t="str">
        <f t="shared" si="9"/>
        <v>perry</v>
      </c>
      <c r="D121">
        <f>COUNTIF('F Proj'!$B$2:$B$7669,B121)+COUNTIF('D Proj'!$B$2:$B$513,B121)+COUNTIF('K Proj'!$B$2:$B$508,B121)</f>
        <v>16</v>
      </c>
      <c r="E121" t="str">
        <f>IF(ISERROR(MATCH(ROW(A120),Trades!$A$10:$A$43,0)),"",IF(INDEX(Trades!$E$10:$E$43,MATCH(ROW(A120),Trades!$A$10:$A$43,0)),IF(A121=Trades!$A$27,Trades!$B$7,Trades!$A$27),""))</f>
        <v/>
      </c>
      <c r="F121" t="str">
        <f>IF(D121=0,NA(),IFERROR(INDEX('F Proj'!$F$2:$F$7669,MATCH(B121,'F Proj'!$B$2:$B$7669,0)),"O"))</f>
        <v>QB</v>
      </c>
      <c r="G121" t="str">
        <f t="shared" si="10"/>
        <v>Non</v>
      </c>
      <c r="H121" t="str">
        <f>C121&amp;G121&amp;COUNTIFS(C$1:C121,C121,G$1:G121,G121)</f>
        <v>perryNon5</v>
      </c>
      <c r="I121" t="e">
        <f>MATCH(0,INDEX('ROS Proj'!$C$2:$S$561,MATCH($B121,'ROS Proj'!$A$2:$A$561,0),Week+Half_Week):INDEX('ROS Proj'!$C$2:$S$561,MATCH($B121,'ROS Proj'!$A$2:$A$561,0),17),1)+Week+Half_Week</f>
        <v>#N/A</v>
      </c>
      <c r="J121" s="2">
        <f>INDEX('ROS Proj'!$T$2:$T$561,MATCH($B121,'ROS Proj'!$A$2:$A$561,0))</f>
        <v>16.312857142857141</v>
      </c>
      <c r="K121" s="2">
        <f>INDEX('ROS Proj'!$C$2:$S$561,MATCH($B121,'ROS Proj'!$A$2:$A$561,0),Week+Half_Week)</f>
        <v>13.22</v>
      </c>
      <c r="L121" s="3">
        <f t="shared" si="11"/>
        <v>-0.18959628689027042</v>
      </c>
      <c r="M121">
        <f t="shared" si="12"/>
        <v>4</v>
      </c>
      <c r="N121">
        <f t="shared" si="13"/>
        <v>11</v>
      </c>
      <c r="O121">
        <f t="shared" si="14"/>
        <v>12</v>
      </c>
      <c r="P121" t="str">
        <f t="shared" si="15"/>
        <v/>
      </c>
      <c r="Q121" t="str">
        <f t="shared" si="16"/>
        <v xml:space="preserve">Mayfield (perry) </v>
      </c>
    </row>
    <row r="122" spans="1:17" x14ac:dyDescent="0.25">
      <c r="A122" t="s">
        <v>23</v>
      </c>
      <c r="B122" t="s">
        <v>294</v>
      </c>
      <c r="C122" t="str">
        <f t="shared" si="9"/>
        <v>perry</v>
      </c>
      <c r="D122">
        <f>COUNTIF('F Proj'!$B$2:$B$7669,B122)+COUNTIF('D Proj'!$B$2:$B$513,B122)+COUNTIF('K Proj'!$B$2:$B$508,B122)</f>
        <v>16</v>
      </c>
      <c r="E122" t="str">
        <f>IF(ISERROR(MATCH(ROW(A121),Trades!$A$10:$A$43,0)),"",IF(INDEX(Trades!$E$10:$E$43,MATCH(ROW(A121),Trades!$A$10:$A$43,0)),IF(A122=Trades!$A$27,Trades!$B$7,Trades!$A$27),""))</f>
        <v/>
      </c>
      <c r="F122" t="str">
        <f>IF(D122=0,NA(),IFERROR(INDEX('F Proj'!$F$2:$F$7669,MATCH(B122,'F Proj'!$B$2:$B$7669,0)),"O"))</f>
        <v>RB</v>
      </c>
      <c r="G122" t="str">
        <f t="shared" si="10"/>
        <v>Flex</v>
      </c>
      <c r="H122" t="str">
        <f>C122&amp;G122&amp;COUNTIFS(C$1:C122,C122,G$1:G122,G122)</f>
        <v>perryFlex8</v>
      </c>
      <c r="I122" t="e">
        <f>MATCH(0,INDEX('ROS Proj'!$C$2:$S$561,MATCH($B122,'ROS Proj'!$A$2:$A$561,0),Week+Half_Week):INDEX('ROS Proj'!$C$2:$S$561,MATCH($B122,'ROS Proj'!$A$2:$A$561,0),17),1)+Week+Half_Week</f>
        <v>#N/A</v>
      </c>
      <c r="J122" s="2">
        <f>INDEX('ROS Proj'!$T$2:$T$561,MATCH($B122,'ROS Proj'!$A$2:$A$561,0))</f>
        <v>4.8071428571428569</v>
      </c>
      <c r="K122" s="2">
        <f>INDEX('ROS Proj'!$C$2:$S$561,MATCH($B122,'ROS Proj'!$A$2:$A$561,0),Week+Half_Week)</f>
        <v>5.78</v>
      </c>
      <c r="L122" s="3">
        <f t="shared" si="11"/>
        <v>0.20237741456166436</v>
      </c>
      <c r="M122">
        <f t="shared" si="12"/>
        <v>4</v>
      </c>
      <c r="N122">
        <f t="shared" si="13"/>
        <v>11</v>
      </c>
      <c r="O122">
        <f t="shared" si="14"/>
        <v>12</v>
      </c>
      <c r="P122" t="str">
        <f t="shared" si="15"/>
        <v/>
      </c>
      <c r="Q122" t="str">
        <f t="shared" si="16"/>
        <v xml:space="preserve">Blue (perry) </v>
      </c>
    </row>
    <row r="123" spans="1:17" x14ac:dyDescent="0.25">
      <c r="A123" t="s">
        <v>23</v>
      </c>
      <c r="B123" t="s">
        <v>381</v>
      </c>
      <c r="C123" t="str">
        <f t="shared" si="9"/>
        <v>perry</v>
      </c>
      <c r="D123">
        <f>COUNTIF('F Proj'!$B$2:$B$7669,B123)+COUNTIF('D Proj'!$B$2:$B$513,B123)+COUNTIF('K Proj'!$B$2:$B$508,B123)</f>
        <v>16</v>
      </c>
      <c r="E123" t="str">
        <f>IF(ISERROR(MATCH(ROW(A122),Trades!$A$10:$A$43,0)),"",IF(INDEX(Trades!$E$10:$E$43,MATCH(ROW(A122),Trades!$A$10:$A$43,0)),IF(A123=Trades!$A$27,Trades!$B$7,Trades!$A$27),""))</f>
        <v/>
      </c>
      <c r="F123" t="str">
        <f>IF(D123=0,NA(),IFERROR(INDEX('F Proj'!$F$2:$F$7669,MATCH(B123,'F Proj'!$B$2:$B$7669,0)),"O"))</f>
        <v>WR</v>
      </c>
      <c r="G123" t="str">
        <f t="shared" si="10"/>
        <v>Flex</v>
      </c>
      <c r="H123" t="str">
        <f>C123&amp;G123&amp;COUNTIFS(C$1:C123,C123,G$1:G123,G123)</f>
        <v>perryFlex9</v>
      </c>
      <c r="I123" t="e">
        <f>MATCH(0,INDEX('ROS Proj'!$C$2:$S$561,MATCH($B123,'ROS Proj'!$A$2:$A$561,0),Week+Half_Week):INDEX('ROS Proj'!$C$2:$S$561,MATCH($B123,'ROS Proj'!$A$2:$A$561,0),17),1)+Week+Half_Week</f>
        <v>#N/A</v>
      </c>
      <c r="J123" s="2">
        <f>INDEX('ROS Proj'!$T$2:$T$561,MATCH($B123,'ROS Proj'!$A$2:$A$561,0))</f>
        <v>5.2285714285714286</v>
      </c>
      <c r="K123" s="2">
        <f>INDEX('ROS Proj'!$C$2:$S$561,MATCH($B123,'ROS Proj'!$A$2:$A$561,0),Week+Half_Week)</f>
        <v>7.53</v>
      </c>
      <c r="L123" s="3">
        <f t="shared" si="11"/>
        <v>0.44016393442622959</v>
      </c>
      <c r="M123">
        <f t="shared" si="12"/>
        <v>4</v>
      </c>
      <c r="N123">
        <f t="shared" si="13"/>
        <v>11</v>
      </c>
      <c r="O123">
        <f t="shared" si="14"/>
        <v>12</v>
      </c>
      <c r="P123" t="str">
        <f t="shared" si="15"/>
        <v/>
      </c>
      <c r="Q123" t="str">
        <f t="shared" si="16"/>
        <v xml:space="preserve">Grant (perry) </v>
      </c>
    </row>
    <row r="124" spans="1:17" x14ac:dyDescent="0.25">
      <c r="A124" t="s">
        <v>23</v>
      </c>
      <c r="B124" t="s">
        <v>4899</v>
      </c>
      <c r="C124" t="str">
        <f t="shared" si="9"/>
        <v>perry</v>
      </c>
      <c r="D124">
        <f>COUNTIF('F Proj'!$B$2:$B$7669,B124)+COUNTIF('D Proj'!$B$2:$B$513,B124)+COUNTIF('K Proj'!$B$2:$B$508,B124)</f>
        <v>13</v>
      </c>
      <c r="E124" t="str">
        <f>IF(ISERROR(MATCH(ROW(A123),Trades!$A$10:$A$43,0)),"",IF(INDEX(Trades!$E$10:$E$43,MATCH(ROW(A123),Trades!$A$10:$A$43,0)),IF(A124=Trades!$A$27,Trades!$B$7,Trades!$A$27),""))</f>
        <v/>
      </c>
      <c r="F124" t="str">
        <f>IF(D124=0,NA(),IFERROR(INDEX('F Proj'!$F$2:$F$7669,MATCH(B124,'F Proj'!$B$2:$B$7669,0)),"O"))</f>
        <v>WR</v>
      </c>
      <c r="G124" t="str">
        <f t="shared" si="10"/>
        <v>Flex</v>
      </c>
      <c r="H124" t="str">
        <f>C124&amp;G124&amp;COUNTIFS(C$1:C124,C124,G$1:G124,G124)</f>
        <v>perryFlex10</v>
      </c>
      <c r="I124" t="e">
        <f>MATCH(0,INDEX('ROS Proj'!$C$2:$S$561,MATCH($B124,'ROS Proj'!$A$2:$A$561,0),Week+Half_Week):INDEX('ROS Proj'!$C$2:$S$561,MATCH($B124,'ROS Proj'!$A$2:$A$561,0),17),1)+Week+Half_Week</f>
        <v>#N/A</v>
      </c>
      <c r="J124" s="2">
        <f>INDEX('ROS Proj'!$T$2:$T$561,MATCH($B124,'ROS Proj'!$A$2:$A$561,0))</f>
        <v>2.9571428571428577</v>
      </c>
      <c r="K124" s="2">
        <f>INDEX('ROS Proj'!$C$2:$S$561,MATCH($B124,'ROS Proj'!$A$2:$A$561,0),Week+Half_Week)</f>
        <v>3.56</v>
      </c>
      <c r="L124" s="3">
        <f t="shared" si="11"/>
        <v>0.20386473429951679</v>
      </c>
      <c r="M124">
        <f t="shared" si="12"/>
        <v>4</v>
      </c>
      <c r="N124">
        <f t="shared" si="13"/>
        <v>11</v>
      </c>
      <c r="O124">
        <f t="shared" si="14"/>
        <v>12</v>
      </c>
      <c r="P124" t="str">
        <f t="shared" si="15"/>
        <v/>
      </c>
      <c r="Q124" t="str">
        <f t="shared" si="16"/>
        <v xml:space="preserve">Coutee (perry) </v>
      </c>
    </row>
    <row r="125" spans="1:17" x14ac:dyDescent="0.25">
      <c r="A125" t="s">
        <v>49</v>
      </c>
      <c r="B125" t="s">
        <v>302</v>
      </c>
      <c r="C125" t="str">
        <f t="shared" si="9"/>
        <v>matty</v>
      </c>
      <c r="D125">
        <f>COUNTIF('F Proj'!$B$2:$B$7669,B125)+COUNTIF('D Proj'!$B$2:$B$513,B125)+COUNTIF('K Proj'!$B$2:$B$508,B125)</f>
        <v>16</v>
      </c>
      <c r="E125" t="str">
        <f>IF(ISERROR(MATCH(ROW(A124),Trades!$A$10:$A$43,0)),"",IF(INDEX(Trades!$E$10:$E$43,MATCH(ROW(A124),Trades!$A$10:$A$43,0)),IF(A125=Trades!$A$27,Trades!$B$7,Trades!$A$27),""))</f>
        <v/>
      </c>
      <c r="F125" t="str">
        <f>IF(D125=0,NA(),IFERROR(INDEX('F Proj'!$F$2:$F$7669,MATCH(B125,'F Proj'!$B$2:$B$7669,0)),"O"))</f>
        <v>QB</v>
      </c>
      <c r="G125" t="str">
        <f t="shared" si="10"/>
        <v>Non</v>
      </c>
      <c r="H125" t="str">
        <f>C125&amp;G125&amp;COUNTIFS(C$1:C125,C125,G$1:G125,G125)</f>
        <v>mattyNon1</v>
      </c>
      <c r="I125" t="e">
        <f>MATCH(0,INDEX('ROS Proj'!$C$2:$S$561,MATCH($B125,'ROS Proj'!$A$2:$A$561,0),Week+Half_Week):INDEX('ROS Proj'!$C$2:$S$561,MATCH($B125,'ROS Proj'!$A$2:$A$561,0),17),1)+Week+Half_Week</f>
        <v>#N/A</v>
      </c>
      <c r="J125" s="2">
        <f>INDEX('ROS Proj'!$T$2:$T$561,MATCH($B125,'ROS Proj'!$A$2:$A$561,0))</f>
        <v>21.754285714285714</v>
      </c>
      <c r="K125" s="2">
        <f>INDEX('ROS Proj'!$C$2:$S$561,MATCH($B125,'ROS Proj'!$A$2:$A$561,0),Week+Half_Week)</f>
        <v>20.13</v>
      </c>
      <c r="L125" s="3">
        <f t="shared" si="11"/>
        <v>-7.4665090622537456E-2</v>
      </c>
      <c r="M125">
        <f t="shared" si="12"/>
        <v>4</v>
      </c>
      <c r="N125">
        <f t="shared" si="13"/>
        <v>11</v>
      </c>
      <c r="O125">
        <f t="shared" si="14"/>
        <v>12</v>
      </c>
      <c r="P125" t="str">
        <f t="shared" si="15"/>
        <v/>
      </c>
      <c r="Q125" t="str">
        <f t="shared" si="16"/>
        <v xml:space="preserve">Mahomes (matty) </v>
      </c>
    </row>
    <row r="126" spans="1:17" x14ac:dyDescent="0.25">
      <c r="A126" t="s">
        <v>49</v>
      </c>
      <c r="B126" t="s">
        <v>45</v>
      </c>
      <c r="C126" t="str">
        <f t="shared" si="9"/>
        <v>matty</v>
      </c>
      <c r="D126">
        <f>COUNTIF('F Proj'!$B$2:$B$7669,B126)+COUNTIF('D Proj'!$B$2:$B$513,B126)+COUNTIF('K Proj'!$B$2:$B$508,B126)</f>
        <v>16</v>
      </c>
      <c r="E126" t="str">
        <f>IF(ISERROR(MATCH(ROW(A125),Trades!$A$10:$A$43,0)),"",IF(INDEX(Trades!$E$10:$E$43,MATCH(ROW(A125),Trades!$A$10:$A$43,0)),IF(A126=Trades!$A$27,Trades!$B$7,Trades!$A$27),""))</f>
        <v/>
      </c>
      <c r="F126" t="str">
        <f>IF(D126=0,NA(),IFERROR(INDEX('F Proj'!$F$2:$F$7669,MATCH(B126,'F Proj'!$B$2:$B$7669,0)),"O"))</f>
        <v>RB</v>
      </c>
      <c r="G126" t="str">
        <f t="shared" si="10"/>
        <v>Flex</v>
      </c>
      <c r="H126" t="str">
        <f>C126&amp;G126&amp;COUNTIFS(C$1:C126,C126,G$1:G126,G126)</f>
        <v>mattyFlex1</v>
      </c>
      <c r="I126" t="e">
        <f>MATCH(0,INDEX('ROS Proj'!$C$2:$S$561,MATCH($B126,'ROS Proj'!$A$2:$A$561,0),Week+Half_Week):INDEX('ROS Proj'!$C$2:$S$561,MATCH($B126,'ROS Proj'!$A$2:$A$561,0),17),1)+Week+Half_Week</f>
        <v>#N/A</v>
      </c>
      <c r="J126" s="2">
        <f>INDEX('ROS Proj'!$T$2:$T$561,MATCH($B126,'ROS Proj'!$A$2:$A$561,0))</f>
        <v>13.448571428571427</v>
      </c>
      <c r="K126" s="2">
        <f>INDEX('ROS Proj'!$C$2:$S$561,MATCH($B126,'ROS Proj'!$A$2:$A$561,0),Week+Half_Week)</f>
        <v>14.08</v>
      </c>
      <c r="L126" s="3">
        <f t="shared" si="11"/>
        <v>4.6951349054599634E-2</v>
      </c>
      <c r="M126">
        <f t="shared" si="12"/>
        <v>4</v>
      </c>
      <c r="N126">
        <f t="shared" si="13"/>
        <v>11</v>
      </c>
      <c r="O126">
        <f t="shared" si="14"/>
        <v>12</v>
      </c>
      <c r="P126" t="str">
        <f t="shared" si="15"/>
        <v/>
      </c>
      <c r="Q126" t="str">
        <f t="shared" si="16"/>
        <v xml:space="preserve">Johnson (matty) </v>
      </c>
    </row>
    <row r="127" spans="1:17" x14ac:dyDescent="0.25">
      <c r="A127" t="s">
        <v>49</v>
      </c>
      <c r="B127" t="s">
        <v>92</v>
      </c>
      <c r="C127" t="str">
        <f t="shared" si="9"/>
        <v>matty</v>
      </c>
      <c r="D127">
        <f>COUNTIF('F Proj'!$B$2:$B$7669,B127)+COUNTIF('D Proj'!$B$2:$B$513,B127)+COUNTIF('K Proj'!$B$2:$B$508,B127)</f>
        <v>16</v>
      </c>
      <c r="E127" t="str">
        <f>IF(ISERROR(MATCH(ROW(A126),Trades!$A$10:$A$43,0)),"",IF(INDEX(Trades!$E$10:$E$43,MATCH(ROW(A126),Trades!$A$10:$A$43,0)),IF(A127=Trades!$A$27,Trades!$B$7,Trades!$A$27),""))</f>
        <v/>
      </c>
      <c r="F127" t="str">
        <f>IF(D127=0,NA(),IFERROR(INDEX('F Proj'!$F$2:$F$7669,MATCH(B127,'F Proj'!$B$2:$B$7669,0)),"O"))</f>
        <v>RB</v>
      </c>
      <c r="G127" t="str">
        <f t="shared" si="10"/>
        <v>Flex</v>
      </c>
      <c r="H127" t="str">
        <f>C127&amp;G127&amp;COUNTIFS(C$1:C127,C127,G$1:G127,G127)</f>
        <v>mattyFlex2</v>
      </c>
      <c r="I127" t="e">
        <f>MATCH(0,INDEX('ROS Proj'!$C$2:$S$561,MATCH($B127,'ROS Proj'!$A$2:$A$561,0),Week+Half_Week):INDEX('ROS Proj'!$C$2:$S$561,MATCH($B127,'ROS Proj'!$A$2:$A$561,0),17),1)+Week+Half_Week</f>
        <v>#N/A</v>
      </c>
      <c r="J127" s="2">
        <f>INDEX('ROS Proj'!$T$2:$T$561,MATCH($B127,'ROS Proj'!$A$2:$A$561,0))</f>
        <v>15.984285714285713</v>
      </c>
      <c r="K127" s="2">
        <f>INDEX('ROS Proj'!$C$2:$S$561,MATCH($B127,'ROS Proj'!$A$2:$A$561,0),Week+Half_Week)</f>
        <v>17.71</v>
      </c>
      <c r="L127" s="3">
        <f t="shared" si="11"/>
        <v>0.10796317812136924</v>
      </c>
      <c r="M127">
        <f t="shared" si="12"/>
        <v>4</v>
      </c>
      <c r="N127">
        <f t="shared" si="13"/>
        <v>11</v>
      </c>
      <c r="O127">
        <f t="shared" si="14"/>
        <v>12</v>
      </c>
      <c r="P127" t="str">
        <f t="shared" si="15"/>
        <v/>
      </c>
      <c r="Q127" t="str">
        <f t="shared" si="16"/>
        <v xml:space="preserve">Gordon (matty) </v>
      </c>
    </row>
    <row r="128" spans="1:17" x14ac:dyDescent="0.25">
      <c r="A128" t="s">
        <v>49</v>
      </c>
      <c r="B128" t="s">
        <v>171</v>
      </c>
      <c r="C128" t="str">
        <f t="shared" si="9"/>
        <v>matty</v>
      </c>
      <c r="D128">
        <f>COUNTIF('F Proj'!$B$2:$B$7669,B128)+COUNTIF('D Proj'!$B$2:$B$513,B128)+COUNTIF('K Proj'!$B$2:$B$508,B128)</f>
        <v>16</v>
      </c>
      <c r="E128" t="str">
        <f>IF(ISERROR(MATCH(ROW(A127),Trades!$A$10:$A$43,0)),"",IF(INDEX(Trades!$E$10:$E$43,MATCH(ROW(A127),Trades!$A$10:$A$43,0)),IF(A128=Trades!$A$27,Trades!$B$7,Trades!$A$27),""))</f>
        <v/>
      </c>
      <c r="F128" t="str">
        <f>IF(D128=0,NA(),IFERROR(INDEX('F Proj'!$F$2:$F$7669,MATCH(B128,'F Proj'!$B$2:$B$7669,0)),"O"))</f>
        <v>WR</v>
      </c>
      <c r="G128" t="str">
        <f t="shared" si="10"/>
        <v>Flex</v>
      </c>
      <c r="H128" t="str">
        <f>C128&amp;G128&amp;COUNTIFS(C$1:C128,C128,G$1:G128,G128)</f>
        <v>mattyFlex3</v>
      </c>
      <c r="I128" t="e">
        <f>MATCH(0,INDEX('ROS Proj'!$C$2:$S$561,MATCH($B128,'ROS Proj'!$A$2:$A$561,0),Week+Half_Week):INDEX('ROS Proj'!$C$2:$S$561,MATCH($B128,'ROS Proj'!$A$2:$A$561,0),17),1)+Week+Half_Week</f>
        <v>#N/A</v>
      </c>
      <c r="J128" s="2">
        <f>INDEX('ROS Proj'!$T$2:$T$561,MATCH($B128,'ROS Proj'!$A$2:$A$561,0))</f>
        <v>8.6771428571428562</v>
      </c>
      <c r="K128" s="2">
        <f>INDEX('ROS Proj'!$C$2:$S$561,MATCH($B128,'ROS Proj'!$A$2:$A$561,0),Week+Half_Week)</f>
        <v>9.16</v>
      </c>
      <c r="L128" s="3">
        <f t="shared" si="11"/>
        <v>5.5647020085610954E-2</v>
      </c>
      <c r="M128">
        <f t="shared" si="12"/>
        <v>4</v>
      </c>
      <c r="N128">
        <f t="shared" si="13"/>
        <v>11</v>
      </c>
      <c r="O128">
        <f t="shared" si="14"/>
        <v>12</v>
      </c>
      <c r="P128" t="str">
        <f t="shared" si="15"/>
        <v/>
      </c>
      <c r="Q128" t="str">
        <f t="shared" si="16"/>
        <v xml:space="preserve">Davis (matty) </v>
      </c>
    </row>
    <row r="129" spans="1:17" x14ac:dyDescent="0.25">
      <c r="A129" t="s">
        <v>49</v>
      </c>
      <c r="B129" t="s">
        <v>124</v>
      </c>
      <c r="C129" t="str">
        <f t="shared" si="9"/>
        <v>matty</v>
      </c>
      <c r="D129">
        <f>COUNTIF('F Proj'!$B$2:$B$7669,B129)+COUNTIF('D Proj'!$B$2:$B$513,B129)+COUNTIF('K Proj'!$B$2:$B$508,B129)</f>
        <v>16</v>
      </c>
      <c r="E129" t="str">
        <f>IF(ISERROR(MATCH(ROW(A128),Trades!$A$10:$A$43,0)),"",IF(INDEX(Trades!$E$10:$E$43,MATCH(ROW(A128),Trades!$A$10:$A$43,0)),IF(A129=Trades!$A$27,Trades!$B$7,Trades!$A$27),""))</f>
        <v/>
      </c>
      <c r="F129" t="str">
        <f>IF(D129=0,NA(),IFERROR(INDEX('F Proj'!$F$2:$F$7669,MATCH(B129,'F Proj'!$B$2:$B$7669,0)),"O"))</f>
        <v>WR</v>
      </c>
      <c r="G129" t="str">
        <f t="shared" si="10"/>
        <v>Flex</v>
      </c>
      <c r="H129" t="str">
        <f>C129&amp;G129&amp;COUNTIFS(C$1:C129,C129,G$1:G129,G129)</f>
        <v>mattyFlex4</v>
      </c>
      <c r="I129" t="e">
        <f>MATCH(0,INDEX('ROS Proj'!$C$2:$S$561,MATCH($B129,'ROS Proj'!$A$2:$A$561,0),Week+Half_Week):INDEX('ROS Proj'!$C$2:$S$561,MATCH($B129,'ROS Proj'!$A$2:$A$561,0),17),1)+Week+Half_Week</f>
        <v>#N/A</v>
      </c>
      <c r="J129" s="2">
        <f>INDEX('ROS Proj'!$T$2:$T$561,MATCH($B129,'ROS Proj'!$A$2:$A$561,0))</f>
        <v>13.037142857142857</v>
      </c>
      <c r="K129" s="2">
        <f>INDEX('ROS Proj'!$C$2:$S$561,MATCH($B129,'ROS Proj'!$A$2:$A$561,0),Week+Half_Week)</f>
        <v>11.83</v>
      </c>
      <c r="L129" s="3">
        <f t="shared" si="11"/>
        <v>-9.259259259259256E-2</v>
      </c>
      <c r="M129">
        <f t="shared" si="12"/>
        <v>4</v>
      </c>
      <c r="N129">
        <f t="shared" si="13"/>
        <v>11</v>
      </c>
      <c r="O129">
        <f t="shared" si="14"/>
        <v>12</v>
      </c>
      <c r="P129" t="str">
        <f t="shared" si="15"/>
        <v/>
      </c>
      <c r="Q129" t="str">
        <f t="shared" si="16"/>
        <v xml:space="preserve">Hill (matty) </v>
      </c>
    </row>
    <row r="130" spans="1:17" x14ac:dyDescent="0.25">
      <c r="A130" t="s">
        <v>49</v>
      </c>
      <c r="B130" t="s">
        <v>248</v>
      </c>
      <c r="C130" t="str">
        <f t="shared" si="9"/>
        <v>matty</v>
      </c>
      <c r="D130">
        <f>COUNTIF('F Proj'!$B$2:$B$7669,B130)+COUNTIF('D Proj'!$B$2:$B$513,B130)+COUNTIF('K Proj'!$B$2:$B$508,B130)</f>
        <v>16</v>
      </c>
      <c r="E130" t="str">
        <f>IF(ISERROR(MATCH(ROW(A129),Trades!$A$10:$A$43,0)),"",IF(INDEX(Trades!$E$10:$E$43,MATCH(ROW(A129),Trades!$A$10:$A$43,0)),IF(A130=Trades!$A$27,Trades!$B$7,Trades!$A$27),""))</f>
        <v/>
      </c>
      <c r="F130" t="str">
        <f>IF(D130=0,NA(),IFERROR(INDEX('F Proj'!$F$2:$F$7669,MATCH(B130,'F Proj'!$B$2:$B$7669,0)),"O"))</f>
        <v>WR</v>
      </c>
      <c r="G130" t="str">
        <f t="shared" si="10"/>
        <v>Flex</v>
      </c>
      <c r="H130" t="str">
        <f>C130&amp;G130&amp;COUNTIFS(C$1:C130,C130,G$1:G130,G130)</f>
        <v>mattyFlex5</v>
      </c>
      <c r="I130" t="e">
        <f>MATCH(0,INDEX('ROS Proj'!$C$2:$S$561,MATCH($B130,'ROS Proj'!$A$2:$A$561,0),Week+Half_Week):INDEX('ROS Proj'!$C$2:$S$561,MATCH($B130,'ROS Proj'!$A$2:$A$561,0),17),1)+Week+Half_Week</f>
        <v>#N/A</v>
      </c>
      <c r="J130" s="2">
        <f>INDEX('ROS Proj'!$T$2:$T$561,MATCH($B130,'ROS Proj'!$A$2:$A$561,0))</f>
        <v>10.621428571428572</v>
      </c>
      <c r="K130" s="2">
        <f>INDEX('ROS Proj'!$C$2:$S$561,MATCH($B130,'ROS Proj'!$A$2:$A$561,0),Week+Half_Week)</f>
        <v>10.16</v>
      </c>
      <c r="L130" s="3">
        <f t="shared" si="11"/>
        <v>-4.34431741761937E-2</v>
      </c>
      <c r="M130">
        <f t="shared" si="12"/>
        <v>4</v>
      </c>
      <c r="N130">
        <f t="shared" si="13"/>
        <v>11</v>
      </c>
      <c r="O130">
        <f t="shared" si="14"/>
        <v>12</v>
      </c>
      <c r="P130" t="str">
        <f t="shared" si="15"/>
        <v/>
      </c>
      <c r="Q130" t="str">
        <f t="shared" si="16"/>
        <v xml:space="preserve">Woods (matty) </v>
      </c>
    </row>
    <row r="131" spans="1:17" x14ac:dyDescent="0.25">
      <c r="A131" t="s">
        <v>49</v>
      </c>
      <c r="B131" t="s">
        <v>613</v>
      </c>
      <c r="C131" t="str">
        <f t="shared" ref="C131:C155" si="17">IF(E131="",A131,E131)</f>
        <v>matty</v>
      </c>
      <c r="D131">
        <f>COUNTIF('F Proj'!$B$2:$B$7669,B131)+COUNTIF('D Proj'!$B$2:$B$513,B131)+COUNTIF('K Proj'!$B$2:$B$508,B131)</f>
        <v>16</v>
      </c>
      <c r="E131" t="str">
        <f>IF(ISERROR(MATCH(ROW(A130),Trades!$A$10:$A$43,0)),"",IF(INDEX(Trades!$E$10:$E$43,MATCH(ROW(A130),Trades!$A$10:$A$43,0)),IF(A131=Trades!$A$27,Trades!$B$7,Trades!$A$27),""))</f>
        <v/>
      </c>
      <c r="F131" t="str">
        <f>IF(D131=0,NA(),IFERROR(INDEX('F Proj'!$F$2:$F$7669,MATCH(B131,'F Proj'!$B$2:$B$7669,0)),"O"))</f>
        <v>WR</v>
      </c>
      <c r="G131" t="str">
        <f t="shared" ref="G131:G155" si="18">IF(OR(F131="QB",F131="TE",F131="O"),"Non","Flex")</f>
        <v>Flex</v>
      </c>
      <c r="H131" t="str">
        <f>C131&amp;G131&amp;COUNTIFS(C$1:C131,C131,G$1:G131,G131)</f>
        <v>mattyFlex6</v>
      </c>
      <c r="I131" t="e">
        <f>MATCH(0,INDEX('ROS Proj'!$C$2:$S$561,MATCH($B131,'ROS Proj'!$A$2:$A$561,0),Week+Half_Week):INDEX('ROS Proj'!$C$2:$S$561,MATCH($B131,'ROS Proj'!$A$2:$A$561,0),17),1)+Week+Half_Week</f>
        <v>#N/A</v>
      </c>
      <c r="J131" s="2">
        <f>INDEX('ROS Proj'!$T$2:$T$561,MATCH($B131,'ROS Proj'!$A$2:$A$561,0))</f>
        <v>9.7485714285714291</v>
      </c>
      <c r="K131" s="2">
        <f>INDEX('ROS Proj'!$C$2:$S$561,MATCH($B131,'ROS Proj'!$A$2:$A$561,0),Week+Half_Week)</f>
        <v>8.4499999999999993</v>
      </c>
      <c r="L131" s="3">
        <f t="shared" ref="L131:L155" si="19">IF(F131="O","",K131/J131-1)</f>
        <v>-0.13320633059788989</v>
      </c>
      <c r="M131">
        <f t="shared" ref="M131:M155" si="20">IFERROR(IF(AND(L131&lt;&gt;"",OR(L131&gt;0.9,L131&lt;-0.4),ISNA(I131)),M130+1,M130),M130)</f>
        <v>4</v>
      </c>
      <c r="N131">
        <f t="shared" ref="N131:N155" si="21">IF(ISNA(I131),N130,N130+1)</f>
        <v>11</v>
      </c>
      <c r="O131">
        <f t="shared" ref="O131:O155" si="22">IF(ISNA(L131),O130+1,O130)</f>
        <v>12</v>
      </c>
      <c r="P131" t="str">
        <f t="shared" ref="P131:P155" si="23">IF(M131&gt;M130,M131,IF(N131&gt;N130,N131,IF(O131&gt;O130,O131,"")))</f>
        <v/>
      </c>
      <c r="Q131" t="str">
        <f t="shared" ref="Q131:Q155" si="24">RIGHT(B131,LEN(B131)-SEARCH(" ",B131))&amp;" ("&amp;C131&amp;") "&amp;IF(M131&gt;M130,IF(L131&gt;0,"adjusted up this week","adjusted down this week"),IF(N131&gt;N130,"returns Week "&amp;I131,IF(O131&gt;O130,"has no NF projection","")))</f>
        <v xml:space="preserve">Jones Jr. (matty) </v>
      </c>
    </row>
    <row r="132" spans="1:17" x14ac:dyDescent="0.25">
      <c r="A132" t="s">
        <v>49</v>
      </c>
      <c r="B132" t="s">
        <v>118</v>
      </c>
      <c r="C132" t="str">
        <f t="shared" si="17"/>
        <v>matty</v>
      </c>
      <c r="D132">
        <f>COUNTIF('F Proj'!$B$2:$B$7669,B132)+COUNTIF('D Proj'!$B$2:$B$513,B132)+COUNTIF('K Proj'!$B$2:$B$508,B132)</f>
        <v>16</v>
      </c>
      <c r="E132" t="str">
        <f>IF(ISERROR(MATCH(ROW(A131),Trades!$A$10:$A$43,0)),"",IF(INDEX(Trades!$E$10:$E$43,MATCH(ROW(A131),Trades!$A$10:$A$43,0)),IF(A132=Trades!$A$27,Trades!$B$7,Trades!$A$27),""))</f>
        <v/>
      </c>
      <c r="F132" t="str">
        <f>IF(D132=0,NA(),IFERROR(INDEX('F Proj'!$F$2:$F$7669,MATCH(B132,'F Proj'!$B$2:$B$7669,0)),"O"))</f>
        <v>TE</v>
      </c>
      <c r="G132" t="str">
        <f t="shared" si="18"/>
        <v>Non</v>
      </c>
      <c r="H132" t="str">
        <f>C132&amp;G132&amp;COUNTIFS(C$1:C132,C132,G$1:G132,G132)</f>
        <v>mattyNon2</v>
      </c>
      <c r="I132" t="e">
        <f>MATCH(0,INDEX('ROS Proj'!$C$2:$S$561,MATCH($B132,'ROS Proj'!$A$2:$A$561,0),Week+Half_Week):INDEX('ROS Proj'!$C$2:$S$561,MATCH($B132,'ROS Proj'!$A$2:$A$561,0),17),1)+Week+Half_Week</f>
        <v>#N/A</v>
      </c>
      <c r="J132" s="2">
        <f>INDEX('ROS Proj'!$T$2:$T$561,MATCH($B132,'ROS Proj'!$A$2:$A$561,0))</f>
        <v>6.9987499999999994</v>
      </c>
      <c r="K132" s="2">
        <f>INDEX('ROS Proj'!$C$2:$S$561,MATCH($B132,'ROS Proj'!$A$2:$A$561,0),Week+Half_Week)</f>
        <v>7.57</v>
      </c>
      <c r="L132" s="3">
        <f t="shared" si="19"/>
        <v>8.1621718163958024E-2</v>
      </c>
      <c r="M132">
        <f t="shared" si="20"/>
        <v>4</v>
      </c>
      <c r="N132">
        <f t="shared" si="21"/>
        <v>11</v>
      </c>
      <c r="O132">
        <f t="shared" si="22"/>
        <v>12</v>
      </c>
      <c r="P132" t="str">
        <f t="shared" si="23"/>
        <v/>
      </c>
      <c r="Q132" t="str">
        <f t="shared" si="24"/>
        <v xml:space="preserve">Reed (matty) </v>
      </c>
    </row>
    <row r="133" spans="1:17" x14ac:dyDescent="0.25">
      <c r="A133" t="s">
        <v>49</v>
      </c>
      <c r="B133" t="s">
        <v>434</v>
      </c>
      <c r="C133" t="str">
        <f t="shared" si="17"/>
        <v>matty</v>
      </c>
      <c r="D133">
        <f>COUNTIF('F Proj'!$B$2:$B$7669,B133)+COUNTIF('D Proj'!$B$2:$B$513,B133)+COUNTIF('K Proj'!$B$2:$B$508,B133)</f>
        <v>16</v>
      </c>
      <c r="E133" t="str">
        <f>IF(ISERROR(MATCH(ROW(A132),Trades!$A$10:$A$43,0)),"",IF(INDEX(Trades!$E$10:$E$43,MATCH(ROW(A132),Trades!$A$10:$A$43,0)),IF(A133=Trades!$A$27,Trades!$B$7,Trades!$A$27),""))</f>
        <v/>
      </c>
      <c r="F133" t="str">
        <f>IF(D133=0,NA(),IFERROR(INDEX('F Proj'!$F$2:$F$7669,MATCH(B133,'F Proj'!$B$2:$B$7669,0)),"O"))</f>
        <v>O</v>
      </c>
      <c r="G133" t="str">
        <f t="shared" si="18"/>
        <v>Non</v>
      </c>
      <c r="H133" t="str">
        <f>C133&amp;G133&amp;COUNTIFS(C$1:C133,C133,G$1:G133,G133)</f>
        <v>mattyNon3</v>
      </c>
      <c r="I133" t="e">
        <f>MATCH(0,INDEX('ROS Proj'!$C$2:$S$561,MATCH($B133,'ROS Proj'!$A$2:$A$561,0),Week+Half_Week):INDEX('ROS Proj'!$C$2:$S$561,MATCH($B133,'ROS Proj'!$A$2:$A$561,0),17),1)+Week+Half_Week</f>
        <v>#N/A</v>
      </c>
      <c r="J133" s="2">
        <f>INDEX('ROS Proj'!$T$2:$T$561,MATCH($B133,'ROS Proj'!$A$2:$A$561,0))</f>
        <v>4.7771428571428567</v>
      </c>
      <c r="K133" s="2">
        <f>INDEX('ROS Proj'!$C$2:$S$561,MATCH($B133,'ROS Proj'!$A$2:$A$561,0),Week+Half_Week)</f>
        <v>5.83</v>
      </c>
      <c r="L133" s="3" t="str">
        <f t="shared" si="19"/>
        <v/>
      </c>
      <c r="M133">
        <f t="shared" si="20"/>
        <v>4</v>
      </c>
      <c r="N133">
        <f t="shared" si="21"/>
        <v>11</v>
      </c>
      <c r="O133">
        <f t="shared" si="22"/>
        <v>12</v>
      </c>
      <c r="P133" t="str">
        <f t="shared" si="23"/>
        <v/>
      </c>
      <c r="Q133" t="str">
        <f t="shared" si="24"/>
        <v xml:space="preserve">D/ST (matty) </v>
      </c>
    </row>
    <row r="134" spans="1:17" x14ac:dyDescent="0.25">
      <c r="A134" t="s">
        <v>49</v>
      </c>
      <c r="B134" t="s">
        <v>452</v>
      </c>
      <c r="C134" t="str">
        <f t="shared" si="17"/>
        <v>matty</v>
      </c>
      <c r="D134">
        <f>COUNTIF('F Proj'!$B$2:$B$7669,B134)+COUNTIF('D Proj'!$B$2:$B$513,B134)+COUNTIF('K Proj'!$B$2:$B$508,B134)</f>
        <v>16</v>
      </c>
      <c r="E134" t="str">
        <f>IF(ISERROR(MATCH(ROW(A133),Trades!$A$10:$A$43,0)),"",IF(INDEX(Trades!$E$10:$E$43,MATCH(ROW(A133),Trades!$A$10:$A$43,0)),IF(A134=Trades!$A$27,Trades!$B$7,Trades!$A$27),""))</f>
        <v/>
      </c>
      <c r="F134" t="str">
        <f>IF(D134=0,NA(),IFERROR(INDEX('F Proj'!$F$2:$F$7669,MATCH(B134,'F Proj'!$B$2:$B$7669,0)),"O"))</f>
        <v>O</v>
      </c>
      <c r="G134" t="str">
        <f t="shared" si="18"/>
        <v>Non</v>
      </c>
      <c r="H134" t="str">
        <f>C134&amp;G134&amp;COUNTIFS(C$1:C134,C134,G$1:G134,G134)</f>
        <v>mattyNon4</v>
      </c>
      <c r="I134" t="e">
        <f>MATCH(0,INDEX('ROS Proj'!$C$2:$S$561,MATCH($B134,'ROS Proj'!$A$2:$A$561,0),Week+Half_Week):INDEX('ROS Proj'!$C$2:$S$561,MATCH($B134,'ROS Proj'!$A$2:$A$561,0),17),1)+Week+Half_Week</f>
        <v>#N/A</v>
      </c>
      <c r="J134" s="2">
        <f>INDEX('ROS Proj'!$T$2:$T$561,MATCH($B134,'ROS Proj'!$A$2:$A$561,0))</f>
        <v>7.7857142857142856</v>
      </c>
      <c r="K134" s="2">
        <f>INDEX('ROS Proj'!$C$2:$S$561,MATCH($B134,'ROS Proj'!$A$2:$A$561,0),Week+Half_Week)</f>
        <v>8.64</v>
      </c>
      <c r="L134" s="3" t="str">
        <f t="shared" si="19"/>
        <v/>
      </c>
      <c r="M134">
        <f t="shared" si="20"/>
        <v>4</v>
      </c>
      <c r="N134">
        <f t="shared" si="21"/>
        <v>11</v>
      </c>
      <c r="O134">
        <f t="shared" si="22"/>
        <v>12</v>
      </c>
      <c r="P134" t="str">
        <f t="shared" si="23"/>
        <v/>
      </c>
      <c r="Q134" t="str">
        <f t="shared" si="24"/>
        <v xml:space="preserve">Gould (matty) </v>
      </c>
    </row>
    <row r="135" spans="1:17" x14ac:dyDescent="0.25">
      <c r="A135" t="s">
        <v>49</v>
      </c>
      <c r="B135" t="s">
        <v>89</v>
      </c>
      <c r="C135" t="str">
        <f t="shared" si="17"/>
        <v>matty</v>
      </c>
      <c r="D135">
        <f>COUNTIF('F Proj'!$B$2:$B$7669,B135)+COUNTIF('D Proj'!$B$2:$B$513,B135)+COUNTIF('K Proj'!$B$2:$B$508,B135)</f>
        <v>16</v>
      </c>
      <c r="E135" t="str">
        <f>IF(ISERROR(MATCH(ROW(A134),Trades!$A$10:$A$43,0)),"",IF(INDEX(Trades!$E$10:$E$43,MATCH(ROW(A134),Trades!$A$10:$A$43,0)),IF(A135=Trades!$A$27,Trades!$B$7,Trades!$A$27),""))</f>
        <v/>
      </c>
      <c r="F135" t="str">
        <f>IF(D135=0,NA(),IFERROR(INDEX('F Proj'!$F$2:$F$7669,MATCH(B135,'F Proj'!$B$2:$B$7669,0)),"O"))</f>
        <v>RB</v>
      </c>
      <c r="G135" t="str">
        <f t="shared" si="18"/>
        <v>Flex</v>
      </c>
      <c r="H135" t="str">
        <f>C135&amp;G135&amp;COUNTIFS(C$1:C135,C135,G$1:G135,G135)</f>
        <v>mattyFlex7</v>
      </c>
      <c r="I135" t="e">
        <f>MATCH(0,INDEX('ROS Proj'!$C$2:$S$561,MATCH($B135,'ROS Proj'!$A$2:$A$561,0),Week+Half_Week):INDEX('ROS Proj'!$C$2:$S$561,MATCH($B135,'ROS Proj'!$A$2:$A$561,0),17),1)+Week+Half_Week</f>
        <v>#N/A</v>
      </c>
      <c r="J135" s="2">
        <f>INDEX('ROS Proj'!$T$2:$T$561,MATCH($B135,'ROS Proj'!$A$2:$A$561,0))</f>
        <v>10.42</v>
      </c>
      <c r="K135" s="2">
        <f>INDEX('ROS Proj'!$C$2:$S$561,MATCH($B135,'ROS Proj'!$A$2:$A$561,0),Week+Half_Week)</f>
        <v>9.6</v>
      </c>
      <c r="L135" s="3">
        <f t="shared" si="19"/>
        <v>-7.8694817658349403E-2</v>
      </c>
      <c r="M135">
        <f t="shared" si="20"/>
        <v>4</v>
      </c>
      <c r="N135">
        <f t="shared" si="21"/>
        <v>11</v>
      </c>
      <c r="O135">
        <f t="shared" si="22"/>
        <v>12</v>
      </c>
      <c r="P135" t="str">
        <f t="shared" si="23"/>
        <v/>
      </c>
      <c r="Q135" t="str">
        <f t="shared" si="24"/>
        <v xml:space="preserve">Ajayi (matty) </v>
      </c>
    </row>
    <row r="136" spans="1:17" x14ac:dyDescent="0.25">
      <c r="A136" t="s">
        <v>49</v>
      </c>
      <c r="B136" t="s">
        <v>95</v>
      </c>
      <c r="C136" t="str">
        <f t="shared" si="17"/>
        <v>matty</v>
      </c>
      <c r="D136">
        <f>COUNTIF('F Proj'!$B$2:$B$7669,B136)+COUNTIF('D Proj'!$B$2:$B$513,B136)+COUNTIF('K Proj'!$B$2:$B$508,B136)</f>
        <v>16</v>
      </c>
      <c r="E136" t="str">
        <f>IF(ISERROR(MATCH(ROW(A135),Trades!$A$10:$A$43,0)),"",IF(INDEX(Trades!$E$10:$E$43,MATCH(ROW(A135),Trades!$A$10:$A$43,0)),IF(A136=Trades!$A$27,Trades!$B$7,Trades!$A$27),""))</f>
        <v/>
      </c>
      <c r="F136" t="str">
        <f>IF(D136=0,NA(),IFERROR(INDEX('F Proj'!$F$2:$F$7669,MATCH(B136,'F Proj'!$B$2:$B$7669,0)),"O"))</f>
        <v>QB</v>
      </c>
      <c r="G136" t="str">
        <f t="shared" si="18"/>
        <v>Non</v>
      </c>
      <c r="H136" t="str">
        <f>C136&amp;G136&amp;COUNTIFS(C$1:C136,C136,G$1:G136,G136)</f>
        <v>mattyNon5</v>
      </c>
      <c r="I136" t="e">
        <f>MATCH(0,INDEX('ROS Proj'!$C$2:$S$561,MATCH($B136,'ROS Proj'!$A$2:$A$561,0),Week+Half_Week):INDEX('ROS Proj'!$C$2:$S$561,MATCH($B136,'ROS Proj'!$A$2:$A$561,0),17),1)+Week+Half_Week</f>
        <v>#N/A</v>
      </c>
      <c r="J136" s="2">
        <f>INDEX('ROS Proj'!$T$2:$T$561,MATCH($B136,'ROS Proj'!$A$2:$A$561,0))</f>
        <v>19.903749999999999</v>
      </c>
      <c r="K136" s="2">
        <f>INDEX('ROS Proj'!$C$2:$S$561,MATCH($B136,'ROS Proj'!$A$2:$A$561,0),Week+Half_Week)</f>
        <v>19.7</v>
      </c>
      <c r="L136" s="3">
        <f t="shared" si="19"/>
        <v>-1.0236764428813605E-2</v>
      </c>
      <c r="M136">
        <f t="shared" si="20"/>
        <v>4</v>
      </c>
      <c r="N136">
        <f t="shared" si="21"/>
        <v>11</v>
      </c>
      <c r="O136">
        <f t="shared" si="22"/>
        <v>12</v>
      </c>
      <c r="P136" t="str">
        <f t="shared" si="23"/>
        <v/>
      </c>
      <c r="Q136" t="str">
        <f t="shared" si="24"/>
        <v xml:space="preserve">Smith (matty) </v>
      </c>
    </row>
    <row r="137" spans="1:17" x14ac:dyDescent="0.25">
      <c r="A137" t="s">
        <v>49</v>
      </c>
      <c r="B137" t="s">
        <v>1373</v>
      </c>
      <c r="C137" t="str">
        <f t="shared" si="17"/>
        <v>matty</v>
      </c>
      <c r="D137">
        <f>COUNTIF('F Proj'!$B$2:$B$7669,B137)+COUNTIF('D Proj'!$B$2:$B$513,B137)+COUNTIF('K Proj'!$B$2:$B$508,B137)</f>
        <v>16</v>
      </c>
      <c r="E137" t="str">
        <f>IF(ISERROR(MATCH(ROW(A136),Trades!$A$10:$A$43,0)),"",IF(INDEX(Trades!$E$10:$E$43,MATCH(ROW(A136),Trades!$A$10:$A$43,0)),IF(A137=Trades!$A$27,Trades!$B$7,Trades!$A$27),""))</f>
        <v/>
      </c>
      <c r="F137" t="str">
        <f>IF(D137=0,NA(),IFERROR(INDEX('F Proj'!$F$2:$F$7669,MATCH(B137,'F Proj'!$B$2:$B$7669,0)),"O"))</f>
        <v>RB</v>
      </c>
      <c r="G137" t="str">
        <f t="shared" si="18"/>
        <v>Flex</v>
      </c>
      <c r="H137" t="str">
        <f>C137&amp;G137&amp;COUNTIFS(C$1:C137,C137,G$1:G137,G137)</f>
        <v>mattyFlex8</v>
      </c>
      <c r="I137" t="e">
        <f>MATCH(0,INDEX('ROS Proj'!$C$2:$S$561,MATCH($B137,'ROS Proj'!$A$2:$A$561,0),Week+Half_Week):INDEX('ROS Proj'!$C$2:$S$561,MATCH($B137,'ROS Proj'!$A$2:$A$561,0),17),1)+Week+Half_Week</f>
        <v>#N/A</v>
      </c>
      <c r="J137" s="2">
        <f>INDEX('ROS Proj'!$T$2:$T$561,MATCH($B137,'ROS Proj'!$A$2:$A$561,0))</f>
        <v>6.072857142857143</v>
      </c>
      <c r="K137" s="2">
        <f>INDEX('ROS Proj'!$C$2:$S$561,MATCH($B137,'ROS Proj'!$A$2:$A$561,0),Week+Half_Week)</f>
        <v>7.42</v>
      </c>
      <c r="L137" s="3">
        <f t="shared" si="19"/>
        <v>0.22183015760997415</v>
      </c>
      <c r="M137">
        <f t="shared" si="20"/>
        <v>4</v>
      </c>
      <c r="N137">
        <f t="shared" si="21"/>
        <v>11</v>
      </c>
      <c r="O137">
        <f t="shared" si="22"/>
        <v>12</v>
      </c>
      <c r="P137" t="str">
        <f t="shared" si="23"/>
        <v/>
      </c>
      <c r="Q137" t="str">
        <f t="shared" si="24"/>
        <v xml:space="preserve">Ekeler (matty) </v>
      </c>
    </row>
    <row r="138" spans="1:17" x14ac:dyDescent="0.25">
      <c r="A138" t="s">
        <v>49</v>
      </c>
      <c r="B138" t="s">
        <v>271</v>
      </c>
      <c r="C138" t="str">
        <f t="shared" si="17"/>
        <v>matty</v>
      </c>
      <c r="D138">
        <f>COUNTIF('F Proj'!$B$2:$B$7669,B138)+COUNTIF('D Proj'!$B$2:$B$513,B138)+COUNTIF('K Proj'!$B$2:$B$508,B138)</f>
        <v>16</v>
      </c>
      <c r="E138" t="str">
        <f>IF(ISERROR(MATCH(ROW(A137),Trades!$A$10:$A$43,0)),"",IF(INDEX(Trades!$E$10:$E$43,MATCH(ROW(A137),Trades!$A$10:$A$43,0)),IF(A138=Trades!$A$27,Trades!$B$7,Trades!$A$27),""))</f>
        <v/>
      </c>
      <c r="F138" t="str">
        <f>IF(D138=0,NA(),IFERROR(INDEX('F Proj'!$F$2:$F$7669,MATCH(B138,'F Proj'!$B$2:$B$7669,0)),"O"))</f>
        <v>WR</v>
      </c>
      <c r="G138" t="str">
        <f t="shared" si="18"/>
        <v>Flex</v>
      </c>
      <c r="H138" t="str">
        <f>C138&amp;G138&amp;COUNTIFS(C$1:C138,C138,G$1:G138,G138)</f>
        <v>mattyFlex9</v>
      </c>
      <c r="I138" t="e">
        <f>MATCH(0,INDEX('ROS Proj'!$C$2:$S$561,MATCH($B138,'ROS Proj'!$A$2:$A$561,0),Week+Half_Week):INDEX('ROS Proj'!$C$2:$S$561,MATCH($B138,'ROS Proj'!$A$2:$A$561,0),17),1)+Week+Half_Week</f>
        <v>#N/A</v>
      </c>
      <c r="J138" s="2">
        <f>INDEX('ROS Proj'!$T$2:$T$561,MATCH($B138,'ROS Proj'!$A$2:$A$561,0))</f>
        <v>7.1657142857142864</v>
      </c>
      <c r="K138" s="2">
        <f>INDEX('ROS Proj'!$C$2:$S$561,MATCH($B138,'ROS Proj'!$A$2:$A$561,0),Week+Half_Week)</f>
        <v>3.65</v>
      </c>
      <c r="L138" s="3">
        <f t="shared" si="19"/>
        <v>-0.49062998405103675</v>
      </c>
      <c r="M138">
        <f t="shared" si="20"/>
        <v>5</v>
      </c>
      <c r="N138">
        <f t="shared" si="21"/>
        <v>11</v>
      </c>
      <c r="O138">
        <f t="shared" si="22"/>
        <v>12</v>
      </c>
      <c r="P138">
        <f t="shared" si="23"/>
        <v>5</v>
      </c>
      <c r="Q138" t="str">
        <f t="shared" si="24"/>
        <v>Allison (matty) adjusted down this week</v>
      </c>
    </row>
    <row r="139" spans="1:17" x14ac:dyDescent="0.25">
      <c r="A139" t="s">
        <v>49</v>
      </c>
      <c r="B139" t="s">
        <v>129</v>
      </c>
      <c r="C139" t="str">
        <f t="shared" si="17"/>
        <v>matty</v>
      </c>
      <c r="D139">
        <f>COUNTIF('F Proj'!$B$2:$B$7669,B139)+COUNTIF('D Proj'!$B$2:$B$513,B139)+COUNTIF('K Proj'!$B$2:$B$508,B139)</f>
        <v>0</v>
      </c>
      <c r="E139" t="str">
        <f>IF(ISERROR(MATCH(ROW(A138),Trades!$A$10:$A$43,0)),"",IF(INDEX(Trades!$E$10:$E$43,MATCH(ROW(A138),Trades!$A$10:$A$43,0)),IF(A139=Trades!$A$27,Trades!$B$7,Trades!$A$27),""))</f>
        <v/>
      </c>
      <c r="F139" t="e">
        <f>IF(D139=0,NA(),IFERROR(INDEX('F Proj'!$F$2:$F$7669,MATCH(B139,'F Proj'!$B$2:$B$7669,0)),"O"))</f>
        <v>#N/A</v>
      </c>
      <c r="G139" t="e">
        <f t="shared" si="18"/>
        <v>#N/A</v>
      </c>
      <c r="H139" t="e">
        <f>C139&amp;G139&amp;COUNTIFS(C$1:C139,C139,G$1:G139,G139)</f>
        <v>#N/A</v>
      </c>
      <c r="I139" t="e">
        <f>MATCH(0,INDEX('ROS Proj'!$C$2:$S$561,MATCH($B139,'ROS Proj'!$A$2:$A$561,0),Week+Half_Week):INDEX('ROS Proj'!$C$2:$S$561,MATCH($B139,'ROS Proj'!$A$2:$A$561,0),17),1)+Week+Half_Week</f>
        <v>#N/A</v>
      </c>
      <c r="J139" s="2" t="e">
        <f>INDEX('ROS Proj'!$T$2:$T$561,MATCH($B139,'ROS Proj'!$A$2:$A$561,0))</f>
        <v>#N/A</v>
      </c>
      <c r="K139" s="2" t="e">
        <f>INDEX('ROS Proj'!$C$2:$S$561,MATCH($B139,'ROS Proj'!$A$2:$A$561,0),Week+Half_Week)</f>
        <v>#N/A</v>
      </c>
      <c r="L139" s="3" t="e">
        <f t="shared" si="19"/>
        <v>#N/A</v>
      </c>
      <c r="M139">
        <f t="shared" si="20"/>
        <v>5</v>
      </c>
      <c r="N139">
        <f t="shared" si="21"/>
        <v>11</v>
      </c>
      <c r="O139">
        <f t="shared" si="22"/>
        <v>13</v>
      </c>
      <c r="P139">
        <f t="shared" si="23"/>
        <v>13</v>
      </c>
      <c r="Q139" t="str">
        <f t="shared" si="24"/>
        <v>Eifert (matty) has no NF projection</v>
      </c>
    </row>
    <row r="140" spans="1:17" x14ac:dyDescent="0.25">
      <c r="A140" t="s">
        <v>44</v>
      </c>
      <c r="B140" t="s">
        <v>53</v>
      </c>
      <c r="C140" t="str">
        <f t="shared" si="17"/>
        <v>seth</v>
      </c>
      <c r="D140">
        <f>COUNTIF('F Proj'!$B$2:$B$7669,B140)+COUNTIF('D Proj'!$B$2:$B$513,B140)+COUNTIF('K Proj'!$B$2:$B$508,B140)</f>
        <v>16</v>
      </c>
      <c r="E140" t="str">
        <f>IF(ISERROR(MATCH(ROW(A139),Trades!$A$10:$A$43,0)),"",IF(INDEX(Trades!$E$10:$E$43,MATCH(ROW(A139),Trades!$A$10:$A$43,0)),IF(A140=Trades!$A$27,Trades!$B$7,Trades!$A$27),""))</f>
        <v/>
      </c>
      <c r="F140" t="str">
        <f>IF(D140=0,NA(),IFERROR(INDEX('F Proj'!$F$2:$F$7669,MATCH(B140,'F Proj'!$B$2:$B$7669,0)),"O"))</f>
        <v>QB</v>
      </c>
      <c r="G140" t="str">
        <f t="shared" si="18"/>
        <v>Non</v>
      </c>
      <c r="H140" t="str">
        <f>C140&amp;G140&amp;COUNTIFS(C$1:C140,C140,G$1:G140,G140)</f>
        <v>sethNon1</v>
      </c>
      <c r="I140" t="e">
        <f>MATCH(0,INDEX('ROS Proj'!$C$2:$S$561,MATCH($B140,'ROS Proj'!$A$2:$A$561,0),Week+Half_Week):INDEX('ROS Proj'!$C$2:$S$561,MATCH($B140,'ROS Proj'!$A$2:$A$561,0),17),1)+Week+Half_Week</f>
        <v>#N/A</v>
      </c>
      <c r="J140" s="2">
        <f>INDEX('ROS Proj'!$T$2:$T$561,MATCH($B140,'ROS Proj'!$A$2:$A$561,0))</f>
        <v>17.687142857142856</v>
      </c>
      <c r="K140" s="2">
        <f>INDEX('ROS Proj'!$C$2:$S$561,MATCH($B140,'ROS Proj'!$A$2:$A$561,0),Week+Half_Week)</f>
        <v>16.690000000000001</v>
      </c>
      <c r="L140" s="3">
        <f t="shared" si="19"/>
        <v>-5.637670624343738E-2</v>
      </c>
      <c r="M140">
        <f t="shared" si="20"/>
        <v>5</v>
      </c>
      <c r="N140">
        <f t="shared" si="21"/>
        <v>11</v>
      </c>
      <c r="O140">
        <f t="shared" si="22"/>
        <v>13</v>
      </c>
      <c r="P140" t="str">
        <f t="shared" si="23"/>
        <v/>
      </c>
      <c r="Q140" t="str">
        <f t="shared" si="24"/>
        <v xml:space="preserve">Wilson (seth) </v>
      </c>
    </row>
    <row r="141" spans="1:17" x14ac:dyDescent="0.25">
      <c r="A141" t="s">
        <v>44</v>
      </c>
      <c r="B141" t="s">
        <v>796</v>
      </c>
      <c r="C141" t="str">
        <f t="shared" si="17"/>
        <v>seth</v>
      </c>
      <c r="D141">
        <f>COUNTIF('F Proj'!$B$2:$B$7669,B141)+COUNTIF('D Proj'!$B$2:$B$513,B141)+COUNTIF('K Proj'!$B$2:$B$508,B141)</f>
        <v>16</v>
      </c>
      <c r="E141" t="str">
        <f>IF(ISERROR(MATCH(ROW(A140),Trades!$A$10:$A$43,0)),"",IF(INDEX(Trades!$E$10:$E$43,MATCH(ROW(A140),Trades!$A$10:$A$43,0)),IF(A141=Trades!$A$27,Trades!$B$7,Trades!$A$27),""))</f>
        <v/>
      </c>
      <c r="F141" t="str">
        <f>IF(D141=0,NA(),IFERROR(INDEX('F Proj'!$F$2:$F$7669,MATCH(B141,'F Proj'!$B$2:$B$7669,0)),"O"))</f>
        <v>RB</v>
      </c>
      <c r="G141" t="str">
        <f t="shared" si="18"/>
        <v>Flex</v>
      </c>
      <c r="H141" t="str">
        <f>C141&amp;G141&amp;COUNTIFS(C$1:C141,C141,G$1:G141,G141)</f>
        <v>sethFlex1</v>
      </c>
      <c r="I141" t="e">
        <f>MATCH(0,INDEX('ROS Proj'!$C$2:$S$561,MATCH($B141,'ROS Proj'!$A$2:$A$561,0),Week+Half_Week):INDEX('ROS Proj'!$C$2:$S$561,MATCH($B141,'ROS Proj'!$A$2:$A$561,0),17),1)+Week+Half_Week</f>
        <v>#N/A</v>
      </c>
      <c r="J141" s="2">
        <f>INDEX('ROS Proj'!$T$2:$T$561,MATCH($B141,'ROS Proj'!$A$2:$A$561,0))</f>
        <v>7.7028571428571428</v>
      </c>
      <c r="K141" s="2">
        <f>INDEX('ROS Proj'!$C$2:$S$561,MATCH($B141,'ROS Proj'!$A$2:$A$561,0),Week+Half_Week)</f>
        <v>3.67</v>
      </c>
      <c r="L141" s="3">
        <f t="shared" si="19"/>
        <v>-0.52355341246290799</v>
      </c>
      <c r="M141">
        <f t="shared" si="20"/>
        <v>6</v>
      </c>
      <c r="N141">
        <f t="shared" si="21"/>
        <v>11</v>
      </c>
      <c r="O141">
        <f t="shared" si="22"/>
        <v>13</v>
      </c>
      <c r="P141">
        <f t="shared" si="23"/>
        <v>6</v>
      </c>
      <c r="Q141" t="str">
        <f t="shared" si="24"/>
        <v>Collins (seth) adjusted down this week</v>
      </c>
    </row>
    <row r="142" spans="1:17" x14ac:dyDescent="0.25">
      <c r="A142" t="s">
        <v>44</v>
      </c>
      <c r="B142" t="s">
        <v>245</v>
      </c>
      <c r="C142" t="str">
        <f t="shared" si="17"/>
        <v>seth</v>
      </c>
      <c r="D142">
        <f>COUNTIF('F Proj'!$B$2:$B$7669,B142)+COUNTIF('D Proj'!$B$2:$B$513,B142)+COUNTIF('K Proj'!$B$2:$B$508,B142)</f>
        <v>16</v>
      </c>
      <c r="E142" t="str">
        <f>IF(ISERROR(MATCH(ROW(A141),Trades!$A$10:$A$43,0)),"",IF(INDEX(Trades!$E$10:$E$43,MATCH(ROW(A141),Trades!$A$10:$A$43,0)),IF(A142=Trades!$A$27,Trades!$B$7,Trades!$A$27),""))</f>
        <v/>
      </c>
      <c r="F142" t="str">
        <f>IF(D142=0,NA(),IFERROR(INDEX('F Proj'!$F$2:$F$7669,MATCH(B142,'F Proj'!$B$2:$B$7669,0)),"O"))</f>
        <v>RB</v>
      </c>
      <c r="G142" t="str">
        <f t="shared" si="18"/>
        <v>Flex</v>
      </c>
      <c r="H142" t="str">
        <f>C142&amp;G142&amp;COUNTIFS(C$1:C142,C142,G$1:G142,G142)</f>
        <v>sethFlex2</v>
      </c>
      <c r="I142" t="e">
        <f>MATCH(0,INDEX('ROS Proj'!$C$2:$S$561,MATCH($B142,'ROS Proj'!$A$2:$A$561,0),Week+Half_Week):INDEX('ROS Proj'!$C$2:$S$561,MATCH($B142,'ROS Proj'!$A$2:$A$561,0),17),1)+Week+Half_Week</f>
        <v>#N/A</v>
      </c>
      <c r="J142" s="2">
        <f>INDEX('ROS Proj'!$T$2:$T$561,MATCH($B142,'ROS Proj'!$A$2:$A$561,0))</f>
        <v>7.4928571428571411</v>
      </c>
      <c r="K142" s="2">
        <f>INDEX('ROS Proj'!$C$2:$S$561,MATCH($B142,'ROS Proj'!$A$2:$A$561,0),Week+Half_Week)</f>
        <v>12.09</v>
      </c>
      <c r="L142" s="3">
        <f t="shared" si="19"/>
        <v>0.61353670162059148</v>
      </c>
      <c r="M142">
        <f t="shared" si="20"/>
        <v>6</v>
      </c>
      <c r="N142">
        <f t="shared" si="21"/>
        <v>11</v>
      </c>
      <c r="O142">
        <f t="shared" si="22"/>
        <v>13</v>
      </c>
      <c r="P142" t="str">
        <f t="shared" si="23"/>
        <v/>
      </c>
      <c r="Q142" t="str">
        <f t="shared" si="24"/>
        <v xml:space="preserve">Yeldon (seth) </v>
      </c>
    </row>
    <row r="143" spans="1:17" x14ac:dyDescent="0.25">
      <c r="A143" t="s">
        <v>44</v>
      </c>
      <c r="B143" t="s">
        <v>201</v>
      </c>
      <c r="C143" t="str">
        <f t="shared" si="17"/>
        <v>seth</v>
      </c>
      <c r="D143">
        <f>COUNTIF('F Proj'!$B$2:$B$7669,B143)+COUNTIF('D Proj'!$B$2:$B$513,B143)+COUNTIF('K Proj'!$B$2:$B$508,B143)</f>
        <v>16</v>
      </c>
      <c r="E143" t="str">
        <f>IF(ISERROR(MATCH(ROW(A142),Trades!$A$10:$A$43,0)),"",IF(INDEX(Trades!$E$10:$E$43,MATCH(ROW(A142),Trades!$A$10:$A$43,0)),IF(A143=Trades!$A$27,Trades!$B$7,Trades!$A$27),""))</f>
        <v/>
      </c>
      <c r="F143" t="str">
        <f>IF(D143=0,NA(),IFERROR(INDEX('F Proj'!$F$2:$F$7669,MATCH(B143,'F Proj'!$B$2:$B$7669,0)),"O"))</f>
        <v>RB</v>
      </c>
      <c r="G143" t="str">
        <f t="shared" si="18"/>
        <v>Flex</v>
      </c>
      <c r="H143" t="str">
        <f>C143&amp;G143&amp;COUNTIFS(C$1:C143,C143,G$1:G143,G143)</f>
        <v>sethFlex3</v>
      </c>
      <c r="I143" t="e">
        <f>MATCH(0,INDEX('ROS Proj'!$C$2:$S$561,MATCH($B143,'ROS Proj'!$A$2:$A$561,0),Week+Half_Week):INDEX('ROS Proj'!$C$2:$S$561,MATCH($B143,'ROS Proj'!$A$2:$A$561,0),17),1)+Week+Half_Week</f>
        <v>#N/A</v>
      </c>
      <c r="J143" s="2">
        <f>INDEX('ROS Proj'!$T$2:$T$561,MATCH($B143,'ROS Proj'!$A$2:$A$561,0))</f>
        <v>8.99</v>
      </c>
      <c r="K143" s="2">
        <f>INDEX('ROS Proj'!$C$2:$S$561,MATCH($B143,'ROS Proj'!$A$2:$A$561,0),Week+Half_Week)</f>
        <v>10.029999999999999</v>
      </c>
      <c r="L143" s="3">
        <f t="shared" si="19"/>
        <v>0.11568409343715236</v>
      </c>
      <c r="M143">
        <f t="shared" si="20"/>
        <v>6</v>
      </c>
      <c r="N143">
        <f t="shared" si="21"/>
        <v>11</v>
      </c>
      <c r="O143">
        <f t="shared" si="22"/>
        <v>13</v>
      </c>
      <c r="P143" t="str">
        <f t="shared" si="23"/>
        <v/>
      </c>
      <c r="Q143" t="str">
        <f t="shared" si="24"/>
        <v xml:space="preserve">Henry (seth) </v>
      </c>
    </row>
    <row r="144" spans="1:17" x14ac:dyDescent="0.25">
      <c r="A144" t="s">
        <v>44</v>
      </c>
      <c r="B144" t="s">
        <v>86</v>
      </c>
      <c r="C144" t="str">
        <f t="shared" si="17"/>
        <v>seth</v>
      </c>
      <c r="D144">
        <f>COUNTIF('F Proj'!$B$2:$B$7669,B144)+COUNTIF('D Proj'!$B$2:$B$513,B144)+COUNTIF('K Proj'!$B$2:$B$508,B144)</f>
        <v>16</v>
      </c>
      <c r="E144" t="str">
        <f>IF(ISERROR(MATCH(ROW(A143),Trades!$A$10:$A$43,0)),"",IF(INDEX(Trades!$E$10:$E$43,MATCH(ROW(A143),Trades!$A$10:$A$43,0)),IF(A144=Trades!$A$27,Trades!$B$7,Trades!$A$27),""))</f>
        <v/>
      </c>
      <c r="F144" t="str">
        <f>IF(D144=0,NA(),IFERROR(INDEX('F Proj'!$F$2:$F$7669,MATCH(B144,'F Proj'!$B$2:$B$7669,0)),"O"))</f>
        <v>WR</v>
      </c>
      <c r="G144" t="str">
        <f t="shared" si="18"/>
        <v>Flex</v>
      </c>
      <c r="H144" t="str">
        <f>C144&amp;G144&amp;COUNTIFS(C$1:C144,C144,G$1:G144,G144)</f>
        <v>sethFlex4</v>
      </c>
      <c r="I144" t="e">
        <f>MATCH(0,INDEX('ROS Proj'!$C$2:$S$561,MATCH($B144,'ROS Proj'!$A$2:$A$561,0),Week+Half_Week):INDEX('ROS Proj'!$C$2:$S$561,MATCH($B144,'ROS Proj'!$A$2:$A$561,0),17),1)+Week+Half_Week</f>
        <v>#N/A</v>
      </c>
      <c r="J144" s="2">
        <f>INDEX('ROS Proj'!$T$2:$T$561,MATCH($B144,'ROS Proj'!$A$2:$A$561,0))</f>
        <v>11.734285714285715</v>
      </c>
      <c r="K144" s="2">
        <f>INDEX('ROS Proj'!$C$2:$S$561,MATCH($B144,'ROS Proj'!$A$2:$A$561,0),Week+Half_Week)</f>
        <v>12.21</v>
      </c>
      <c r="L144" s="3">
        <f t="shared" si="19"/>
        <v>4.0540540540540571E-2</v>
      </c>
      <c r="M144">
        <f t="shared" si="20"/>
        <v>6</v>
      </c>
      <c r="N144">
        <f t="shared" si="21"/>
        <v>11</v>
      </c>
      <c r="O144">
        <f t="shared" si="22"/>
        <v>13</v>
      </c>
      <c r="P144" t="str">
        <f t="shared" si="23"/>
        <v/>
      </c>
      <c r="Q144" t="str">
        <f t="shared" si="24"/>
        <v xml:space="preserve">Beckham Jr. (seth) </v>
      </c>
    </row>
    <row r="145" spans="1:17" x14ac:dyDescent="0.25">
      <c r="A145" t="s">
        <v>44</v>
      </c>
      <c r="B145" t="s">
        <v>191</v>
      </c>
      <c r="C145" t="str">
        <f t="shared" si="17"/>
        <v>seth</v>
      </c>
      <c r="D145">
        <f>COUNTIF('F Proj'!$B$2:$B$7669,B145)+COUNTIF('D Proj'!$B$2:$B$513,B145)+COUNTIF('K Proj'!$B$2:$B$508,B145)</f>
        <v>16</v>
      </c>
      <c r="E145" t="str">
        <f>IF(ISERROR(MATCH(ROW(A144),Trades!$A$10:$A$43,0)),"",IF(INDEX(Trades!$E$10:$E$43,MATCH(ROW(A144),Trades!$A$10:$A$43,0)),IF(A145=Trades!$A$27,Trades!$B$7,Trades!$A$27),""))</f>
        <v/>
      </c>
      <c r="F145" t="str">
        <f>IF(D145=0,NA(),IFERROR(INDEX('F Proj'!$F$2:$F$7669,MATCH(B145,'F Proj'!$B$2:$B$7669,0)),"O"))</f>
        <v>WR</v>
      </c>
      <c r="G145" t="str">
        <f t="shared" si="18"/>
        <v>Flex</v>
      </c>
      <c r="H145" t="str">
        <f>C145&amp;G145&amp;COUNTIFS(C$1:C145,C145,G$1:G145,G145)</f>
        <v>sethFlex5</v>
      </c>
      <c r="I145" t="e">
        <f>MATCH(0,INDEX('ROS Proj'!$C$2:$S$561,MATCH($B145,'ROS Proj'!$A$2:$A$561,0),Week+Half_Week):INDEX('ROS Proj'!$C$2:$S$561,MATCH($B145,'ROS Proj'!$A$2:$A$561,0),17),1)+Week+Half_Week</f>
        <v>#N/A</v>
      </c>
      <c r="J145" s="2">
        <f>INDEX('ROS Proj'!$T$2:$T$561,MATCH($B145,'ROS Proj'!$A$2:$A$561,0))</f>
        <v>12.284285714285714</v>
      </c>
      <c r="K145" s="2">
        <f>INDEX('ROS Proj'!$C$2:$S$561,MATCH($B145,'ROS Proj'!$A$2:$A$561,0),Week+Half_Week)</f>
        <v>12.27</v>
      </c>
      <c r="L145" s="3">
        <f t="shared" si="19"/>
        <v>-1.1629259216188181E-3</v>
      </c>
      <c r="M145">
        <f t="shared" si="20"/>
        <v>6</v>
      </c>
      <c r="N145">
        <f t="shared" si="21"/>
        <v>11</v>
      </c>
      <c r="O145">
        <f t="shared" si="22"/>
        <v>13</v>
      </c>
      <c r="P145" t="str">
        <f t="shared" si="23"/>
        <v/>
      </c>
      <c r="Q145" t="str">
        <f t="shared" si="24"/>
        <v xml:space="preserve">Thielen (seth) </v>
      </c>
    </row>
    <row r="146" spans="1:17" x14ac:dyDescent="0.25">
      <c r="A146" t="s">
        <v>44</v>
      </c>
      <c r="B146" t="s">
        <v>98</v>
      </c>
      <c r="C146" t="str">
        <f t="shared" si="17"/>
        <v>seth</v>
      </c>
      <c r="D146">
        <f>COUNTIF('F Proj'!$B$2:$B$7669,B146)+COUNTIF('D Proj'!$B$2:$B$513,B146)+COUNTIF('K Proj'!$B$2:$B$508,B146)</f>
        <v>16</v>
      </c>
      <c r="E146" t="str">
        <f>IF(ISERROR(MATCH(ROW(A145),Trades!$A$10:$A$43,0)),"",IF(INDEX(Trades!$E$10:$E$43,MATCH(ROW(A145),Trades!$A$10:$A$43,0)),IF(A146=Trades!$A$27,Trades!$B$7,Trades!$A$27),""))</f>
        <v/>
      </c>
      <c r="F146" t="str">
        <f>IF(D146=0,NA(),IFERROR(INDEX('F Proj'!$F$2:$F$7669,MATCH(B146,'F Proj'!$B$2:$B$7669,0)),"O"))</f>
        <v>WR</v>
      </c>
      <c r="G146" t="str">
        <f t="shared" si="18"/>
        <v>Flex</v>
      </c>
      <c r="H146" t="str">
        <f>C146&amp;G146&amp;COUNTIFS(C$1:C146,C146,G$1:G146,G146)</f>
        <v>sethFlex6</v>
      </c>
      <c r="I146" t="e">
        <f>MATCH(0,INDEX('ROS Proj'!$C$2:$S$561,MATCH($B146,'ROS Proj'!$A$2:$A$561,0),Week+Half_Week):INDEX('ROS Proj'!$C$2:$S$561,MATCH($B146,'ROS Proj'!$A$2:$A$561,0),17),1)+Week+Half_Week</f>
        <v>#N/A</v>
      </c>
      <c r="J146" s="2">
        <f>INDEX('ROS Proj'!$T$2:$T$561,MATCH($B146,'ROS Proj'!$A$2:$A$561,0))</f>
        <v>7.911428571428571</v>
      </c>
      <c r="K146" s="2">
        <f>INDEX('ROS Proj'!$C$2:$S$561,MATCH($B146,'ROS Proj'!$A$2:$A$561,0),Week+Half_Week)</f>
        <v>7.46</v>
      </c>
      <c r="L146" s="3">
        <f t="shared" si="19"/>
        <v>-5.7060310581437346E-2</v>
      </c>
      <c r="M146">
        <f t="shared" si="20"/>
        <v>6</v>
      </c>
      <c r="N146">
        <f t="shared" si="21"/>
        <v>11</v>
      </c>
      <c r="O146">
        <f t="shared" si="22"/>
        <v>13</v>
      </c>
      <c r="P146" t="str">
        <f t="shared" si="23"/>
        <v/>
      </c>
      <c r="Q146" t="str">
        <f t="shared" si="24"/>
        <v xml:space="preserve">Nelson (seth) </v>
      </c>
    </row>
    <row r="147" spans="1:17" x14ac:dyDescent="0.25">
      <c r="A147" t="s">
        <v>44</v>
      </c>
      <c r="B147" t="s">
        <v>162</v>
      </c>
      <c r="C147" t="str">
        <f t="shared" si="17"/>
        <v>seth</v>
      </c>
      <c r="D147">
        <f>COUNTIF('F Proj'!$B$2:$B$7669,B147)+COUNTIF('D Proj'!$B$2:$B$513,B147)+COUNTIF('K Proj'!$B$2:$B$508,B147)</f>
        <v>16</v>
      </c>
      <c r="E147" t="str">
        <f>IF(ISERROR(MATCH(ROW(A146),Trades!$A$10:$A$43,0)),"",IF(INDEX(Trades!$E$10:$E$43,MATCH(ROW(A146),Trades!$A$10:$A$43,0)),IF(A147=Trades!$A$27,Trades!$B$7,Trades!$A$27),""))</f>
        <v/>
      </c>
      <c r="F147" t="str">
        <f>IF(D147=0,NA(),IFERROR(INDEX('F Proj'!$F$2:$F$7669,MATCH(B147,'F Proj'!$B$2:$B$7669,0)),"O"))</f>
        <v>TE</v>
      </c>
      <c r="G147" t="str">
        <f t="shared" si="18"/>
        <v>Non</v>
      </c>
      <c r="H147" t="str">
        <f>C147&amp;G147&amp;COUNTIFS(C$1:C147,C147,G$1:G147,G147)</f>
        <v>sethNon2</v>
      </c>
      <c r="I147" t="e">
        <f>MATCH(0,INDEX('ROS Proj'!$C$2:$S$561,MATCH($B147,'ROS Proj'!$A$2:$A$561,0),Week+Half_Week):INDEX('ROS Proj'!$C$2:$S$561,MATCH($B147,'ROS Proj'!$A$2:$A$561,0),17),1)+Week+Half_Week</f>
        <v>#N/A</v>
      </c>
      <c r="J147" s="2">
        <f>INDEX('ROS Proj'!$T$2:$T$561,MATCH($B147,'ROS Proj'!$A$2:$A$561,0))</f>
        <v>6.5271428571428567</v>
      </c>
      <c r="K147" s="2">
        <f>INDEX('ROS Proj'!$C$2:$S$561,MATCH($B147,'ROS Proj'!$A$2:$A$561,0),Week+Half_Week)</f>
        <v>8.65</v>
      </c>
      <c r="L147" s="3">
        <f t="shared" si="19"/>
        <v>0.32523528124316048</v>
      </c>
      <c r="M147">
        <f t="shared" si="20"/>
        <v>6</v>
      </c>
      <c r="N147">
        <f t="shared" si="21"/>
        <v>11</v>
      </c>
      <c r="O147">
        <f t="shared" si="22"/>
        <v>13</v>
      </c>
      <c r="P147" t="str">
        <f t="shared" si="23"/>
        <v/>
      </c>
      <c r="Q147" t="str">
        <f t="shared" si="24"/>
        <v xml:space="preserve">Graham (seth) </v>
      </c>
    </row>
    <row r="148" spans="1:17" x14ac:dyDescent="0.25">
      <c r="A148" t="s">
        <v>44</v>
      </c>
      <c r="B148" t="s">
        <v>406</v>
      </c>
      <c r="C148" t="str">
        <f t="shared" si="17"/>
        <v>seth</v>
      </c>
      <c r="D148">
        <f>COUNTIF('F Proj'!$B$2:$B$7669,B148)+COUNTIF('D Proj'!$B$2:$B$513,B148)+COUNTIF('K Proj'!$B$2:$B$508,B148)</f>
        <v>16</v>
      </c>
      <c r="E148" t="str">
        <f>IF(ISERROR(MATCH(ROW(A147),Trades!$A$10:$A$43,0)),"",IF(INDEX(Trades!$E$10:$E$43,MATCH(ROW(A147),Trades!$A$10:$A$43,0)),IF(A148=Trades!$A$27,Trades!$B$7,Trades!$A$27),""))</f>
        <v/>
      </c>
      <c r="F148" t="str">
        <f>IF(D148=0,NA(),IFERROR(INDEX('F Proj'!$F$2:$F$7669,MATCH(B148,'F Proj'!$B$2:$B$7669,0)),"O"))</f>
        <v>O</v>
      </c>
      <c r="G148" t="str">
        <f t="shared" si="18"/>
        <v>Non</v>
      </c>
      <c r="H148" t="str">
        <f>C148&amp;G148&amp;COUNTIFS(C$1:C148,C148,G$1:G148,G148)</f>
        <v>sethNon3</v>
      </c>
      <c r="I148" t="e">
        <f>MATCH(0,INDEX('ROS Proj'!$C$2:$S$561,MATCH($B148,'ROS Proj'!$A$2:$A$561,0),Week+Half_Week):INDEX('ROS Proj'!$C$2:$S$561,MATCH($B148,'ROS Proj'!$A$2:$A$561,0),17),1)+Week+Half_Week</f>
        <v>#N/A</v>
      </c>
      <c r="J148" s="2">
        <f>INDEX('ROS Proj'!$T$2:$T$561,MATCH($B148,'ROS Proj'!$A$2:$A$561,0))</f>
        <v>5.5585714285714278</v>
      </c>
      <c r="K148" s="2">
        <f>INDEX('ROS Proj'!$C$2:$S$561,MATCH($B148,'ROS Proj'!$A$2:$A$561,0),Week+Half_Week)</f>
        <v>5.9</v>
      </c>
      <c r="L148" s="3" t="str">
        <f t="shared" si="19"/>
        <v/>
      </c>
      <c r="M148">
        <f t="shared" si="20"/>
        <v>6</v>
      </c>
      <c r="N148">
        <f t="shared" si="21"/>
        <v>11</v>
      </c>
      <c r="O148">
        <f t="shared" si="22"/>
        <v>13</v>
      </c>
      <c r="P148" t="str">
        <f t="shared" si="23"/>
        <v/>
      </c>
      <c r="Q148" t="str">
        <f t="shared" si="24"/>
        <v xml:space="preserve">D/ST (seth) </v>
      </c>
    </row>
    <row r="149" spans="1:17" x14ac:dyDescent="0.25">
      <c r="A149" t="s">
        <v>44</v>
      </c>
      <c r="B149" t="s">
        <v>1108</v>
      </c>
      <c r="C149" t="str">
        <f t="shared" si="17"/>
        <v>seth</v>
      </c>
      <c r="D149">
        <f>COUNTIF('F Proj'!$B$2:$B$7669,B149)+COUNTIF('D Proj'!$B$2:$B$513,B149)+COUNTIF('K Proj'!$B$2:$B$508,B149)</f>
        <v>16</v>
      </c>
      <c r="E149" t="str">
        <f>IF(ISERROR(MATCH(ROW(A148),Trades!$A$10:$A$43,0)),"",IF(INDEX(Trades!$E$10:$E$43,MATCH(ROW(A148),Trades!$A$10:$A$43,0)),IF(A149=Trades!$A$27,Trades!$B$7,Trades!$A$27),""))</f>
        <v/>
      </c>
      <c r="F149" t="str">
        <f>IF(D149=0,NA(),IFERROR(INDEX('F Proj'!$F$2:$F$7669,MATCH(B149,'F Proj'!$B$2:$B$7669,0)),"O"))</f>
        <v>O</v>
      </c>
      <c r="G149" t="str">
        <f t="shared" si="18"/>
        <v>Non</v>
      </c>
      <c r="H149" t="str">
        <f>C149&amp;G149&amp;COUNTIFS(C$1:C149,C149,G$1:G149,G149)</f>
        <v>sethNon4</v>
      </c>
      <c r="I149" t="e">
        <f>MATCH(0,INDEX('ROS Proj'!$C$2:$S$561,MATCH($B149,'ROS Proj'!$A$2:$A$561,0),Week+Half_Week):INDEX('ROS Proj'!$C$2:$S$561,MATCH($B149,'ROS Proj'!$A$2:$A$561,0),17),1)+Week+Half_Week</f>
        <v>#N/A</v>
      </c>
      <c r="J149" s="2">
        <f>INDEX('ROS Proj'!$T$2:$T$561,MATCH($B149,'ROS Proj'!$A$2:$A$561,0))</f>
        <v>7.4485714285714284</v>
      </c>
      <c r="K149" s="2">
        <f>INDEX('ROS Proj'!$C$2:$S$561,MATCH($B149,'ROS Proj'!$A$2:$A$561,0),Week+Half_Week)</f>
        <v>7.25</v>
      </c>
      <c r="L149" s="3" t="str">
        <f t="shared" si="19"/>
        <v/>
      </c>
      <c r="M149">
        <f t="shared" si="20"/>
        <v>6</v>
      </c>
      <c r="N149">
        <f t="shared" si="21"/>
        <v>11</v>
      </c>
      <c r="O149">
        <f t="shared" si="22"/>
        <v>13</v>
      </c>
      <c r="P149" t="str">
        <f t="shared" si="23"/>
        <v/>
      </c>
      <c r="Q149" t="str">
        <f t="shared" si="24"/>
        <v xml:space="preserve">Butker (seth) </v>
      </c>
    </row>
    <row r="150" spans="1:17" x14ac:dyDescent="0.25">
      <c r="A150" t="s">
        <v>44</v>
      </c>
      <c r="B150" t="s">
        <v>140</v>
      </c>
      <c r="C150" t="str">
        <f t="shared" si="17"/>
        <v>seth</v>
      </c>
      <c r="D150">
        <f>COUNTIF('F Proj'!$B$2:$B$7669,B150)+COUNTIF('D Proj'!$B$2:$B$513,B150)+COUNTIF('K Proj'!$B$2:$B$508,B150)</f>
        <v>16</v>
      </c>
      <c r="E150" t="str">
        <f>IF(ISERROR(MATCH(ROW(A149),Trades!$A$10:$A$43,0)),"",IF(INDEX(Trades!$E$10:$E$43,MATCH(ROW(A149),Trades!$A$10:$A$43,0)),IF(A150=Trades!$A$27,Trades!$B$7,Trades!$A$27),""))</f>
        <v/>
      </c>
      <c r="F150" t="str">
        <f>IF(D150=0,NA(),IFERROR(INDEX('F Proj'!$F$2:$F$7669,MATCH(B150,'F Proj'!$B$2:$B$7669,0)),"O"))</f>
        <v>WR</v>
      </c>
      <c r="G150" t="str">
        <f t="shared" si="18"/>
        <v>Flex</v>
      </c>
      <c r="H150" t="str">
        <f>C150&amp;G150&amp;COUNTIFS(C$1:C150,C150,G$1:G150,G150)</f>
        <v>sethFlex7</v>
      </c>
      <c r="I150" t="e">
        <f>MATCH(0,INDEX('ROS Proj'!$C$2:$S$561,MATCH($B150,'ROS Proj'!$A$2:$A$561,0),Week+Half_Week):INDEX('ROS Proj'!$C$2:$S$561,MATCH($B150,'ROS Proj'!$A$2:$A$561,0),17),1)+Week+Half_Week</f>
        <v>#N/A</v>
      </c>
      <c r="J150" s="2">
        <f>INDEX('ROS Proj'!$T$2:$T$561,MATCH($B150,'ROS Proj'!$A$2:$A$561,0))</f>
        <v>8.4414285714285722</v>
      </c>
      <c r="K150" s="2">
        <f>INDEX('ROS Proj'!$C$2:$S$561,MATCH($B150,'ROS Proj'!$A$2:$A$561,0),Week+Half_Week)</f>
        <v>8.2100000000000009</v>
      </c>
      <c r="L150" s="3">
        <f t="shared" si="19"/>
        <v>-2.7415806397021458E-2</v>
      </c>
      <c r="M150">
        <f t="shared" si="20"/>
        <v>6</v>
      </c>
      <c r="N150">
        <f t="shared" si="21"/>
        <v>11</v>
      </c>
      <c r="O150">
        <f t="shared" si="22"/>
        <v>13</v>
      </c>
      <c r="P150" t="str">
        <f t="shared" si="23"/>
        <v/>
      </c>
      <c r="Q150" t="str">
        <f t="shared" si="24"/>
        <v xml:space="preserve">Fitzgerald (seth) </v>
      </c>
    </row>
    <row r="151" spans="1:17" x14ac:dyDescent="0.25">
      <c r="A151" t="s">
        <v>44</v>
      </c>
      <c r="B151" t="s">
        <v>166</v>
      </c>
      <c r="C151" t="str">
        <f t="shared" si="17"/>
        <v>seth</v>
      </c>
      <c r="D151">
        <f>COUNTIF('F Proj'!$B$2:$B$7669,B151)+COUNTIF('D Proj'!$B$2:$B$513,B151)+COUNTIF('K Proj'!$B$2:$B$508,B151)</f>
        <v>16</v>
      </c>
      <c r="E151" t="str">
        <f>IF(ISERROR(MATCH(ROW(A150),Trades!$A$10:$A$43,0)),"",IF(INDEX(Trades!$E$10:$E$43,MATCH(ROW(A150),Trades!$A$10:$A$43,0)),IF(A151=Trades!$A$27,Trades!$B$7,Trades!$A$27),""))</f>
        <v/>
      </c>
      <c r="F151" t="str">
        <f>IF(D151=0,NA(),IFERROR(INDEX('F Proj'!$F$2:$F$7669,MATCH(B151,'F Proj'!$B$2:$B$7669,0)),"O"))</f>
        <v>WR</v>
      </c>
      <c r="G151" t="str">
        <f t="shared" si="18"/>
        <v>Flex</v>
      </c>
      <c r="H151" t="str">
        <f>C151&amp;G151&amp;COUNTIFS(C$1:C151,C151,G$1:G151,G151)</f>
        <v>sethFlex8</v>
      </c>
      <c r="I151" t="e">
        <f>MATCH(0,INDEX('ROS Proj'!$C$2:$S$561,MATCH($B151,'ROS Proj'!$A$2:$A$561,0),Week+Half_Week):INDEX('ROS Proj'!$C$2:$S$561,MATCH($B151,'ROS Proj'!$A$2:$A$561,0),17),1)+Week+Half_Week</f>
        <v>#N/A</v>
      </c>
      <c r="J151" s="2">
        <f>INDEX('ROS Proj'!$T$2:$T$561,MATCH($B151,'ROS Proj'!$A$2:$A$561,0))</f>
        <v>7.2699999999999987</v>
      </c>
      <c r="K151" s="2">
        <f>INDEX('ROS Proj'!$C$2:$S$561,MATCH($B151,'ROS Proj'!$A$2:$A$561,0),Week+Half_Week)</f>
        <v>3.02</v>
      </c>
      <c r="L151" s="3">
        <f t="shared" si="19"/>
        <v>-0.58459422283356255</v>
      </c>
      <c r="M151">
        <f t="shared" si="20"/>
        <v>7</v>
      </c>
      <c r="N151">
        <f t="shared" si="21"/>
        <v>11</v>
      </c>
      <c r="O151">
        <f t="shared" si="22"/>
        <v>13</v>
      </c>
      <c r="P151">
        <f t="shared" si="23"/>
        <v>7</v>
      </c>
      <c r="Q151" t="str">
        <f t="shared" si="24"/>
        <v>Cobb (seth) adjusted down this week</v>
      </c>
    </row>
    <row r="152" spans="1:17" x14ac:dyDescent="0.25">
      <c r="A152" t="s">
        <v>44</v>
      </c>
      <c r="B152" t="s">
        <v>187</v>
      </c>
      <c r="C152" t="str">
        <f t="shared" si="17"/>
        <v>seth</v>
      </c>
      <c r="D152">
        <f>COUNTIF('F Proj'!$B$2:$B$7669,B152)+COUNTIF('D Proj'!$B$2:$B$513,B152)+COUNTIF('K Proj'!$B$2:$B$508,B152)</f>
        <v>16</v>
      </c>
      <c r="E152" t="str">
        <f>IF(ISERROR(MATCH(ROW(A151),Trades!$A$10:$A$43,0)),"",IF(INDEX(Trades!$E$10:$E$43,MATCH(ROW(A151),Trades!$A$10:$A$43,0)),IF(A152=Trades!$A$27,Trades!$B$7,Trades!$A$27),""))</f>
        <v/>
      </c>
      <c r="F152" t="str">
        <f>IF(D152=0,NA(),IFERROR(INDEX('F Proj'!$F$2:$F$7669,MATCH(B152,'F Proj'!$B$2:$B$7669,0)),"O"))</f>
        <v>RB</v>
      </c>
      <c r="G152" t="str">
        <f t="shared" si="18"/>
        <v>Flex</v>
      </c>
      <c r="H152" t="str">
        <f>C152&amp;G152&amp;COUNTIFS(C$1:C152,C152,G$1:G152,G152)</f>
        <v>sethFlex9</v>
      </c>
      <c r="I152" t="e">
        <f>MATCH(0,INDEX('ROS Proj'!$C$2:$S$561,MATCH($B152,'ROS Proj'!$A$2:$A$561,0),Week+Half_Week):INDEX('ROS Proj'!$C$2:$S$561,MATCH($B152,'ROS Proj'!$A$2:$A$561,0),17),1)+Week+Half_Week</f>
        <v>#N/A</v>
      </c>
      <c r="J152" s="2">
        <f>INDEX('ROS Proj'!$T$2:$T$561,MATCH($B152,'ROS Proj'!$A$2:$A$561,0))</f>
        <v>6.3942857142857141</v>
      </c>
      <c r="K152" s="2">
        <f>INDEX('ROS Proj'!$C$2:$S$561,MATCH($B152,'ROS Proj'!$A$2:$A$561,0),Week+Half_Week)</f>
        <v>7.28</v>
      </c>
      <c r="L152" s="3">
        <f t="shared" si="19"/>
        <v>0.13851653261840946</v>
      </c>
      <c r="M152">
        <f t="shared" si="20"/>
        <v>7</v>
      </c>
      <c r="N152">
        <f t="shared" si="21"/>
        <v>11</v>
      </c>
      <c r="O152">
        <f t="shared" si="22"/>
        <v>13</v>
      </c>
      <c r="P152" t="str">
        <f t="shared" si="23"/>
        <v/>
      </c>
      <c r="Q152" t="str">
        <f t="shared" si="24"/>
        <v xml:space="preserve">Murray (seth) </v>
      </c>
    </row>
    <row r="153" spans="1:17" x14ac:dyDescent="0.25">
      <c r="A153" t="s">
        <v>44</v>
      </c>
      <c r="B153" t="s">
        <v>212</v>
      </c>
      <c r="C153" t="str">
        <f t="shared" si="17"/>
        <v>seth</v>
      </c>
      <c r="D153">
        <f>COUNTIF('F Proj'!$B$2:$B$7669,B153)+COUNTIF('D Proj'!$B$2:$B$513,B153)+COUNTIF('K Proj'!$B$2:$B$508,B153)</f>
        <v>16</v>
      </c>
      <c r="E153" t="str">
        <f>IF(ISERROR(MATCH(ROW(A152),Trades!$A$10:$A$43,0)),"",IF(INDEX(Trades!$E$10:$E$43,MATCH(ROW(A152),Trades!$A$10:$A$43,0)),IF(A153=Trades!$A$27,Trades!$B$7,Trades!$A$27),""))</f>
        <v/>
      </c>
      <c r="F153" t="str">
        <f>IF(D153=0,NA(),IFERROR(INDEX('F Proj'!$F$2:$F$7669,MATCH(B153,'F Proj'!$B$2:$B$7669,0)),"O"))</f>
        <v>RB</v>
      </c>
      <c r="G153" t="str">
        <f t="shared" si="18"/>
        <v>Flex</v>
      </c>
      <c r="H153" t="str">
        <f>C153&amp;G153&amp;COUNTIFS(C$1:C153,C153,G$1:G153,G153)</f>
        <v>sethFlex10</v>
      </c>
      <c r="I153" t="e">
        <f>MATCH(0,INDEX('ROS Proj'!$C$2:$S$561,MATCH($B153,'ROS Proj'!$A$2:$A$561,0),Week+Half_Week):INDEX('ROS Proj'!$C$2:$S$561,MATCH($B153,'ROS Proj'!$A$2:$A$561,0),17),1)+Week+Half_Week</f>
        <v>#N/A</v>
      </c>
      <c r="J153" s="2">
        <f>INDEX('ROS Proj'!$T$2:$T$561,MATCH($B153,'ROS Proj'!$A$2:$A$561,0))</f>
        <v>6.1171428571428574</v>
      </c>
      <c r="K153" s="2">
        <f>INDEX('ROS Proj'!$C$2:$S$561,MATCH($B153,'ROS Proj'!$A$2:$A$561,0),Week+Half_Week)</f>
        <v>6.2</v>
      </c>
      <c r="L153" s="3">
        <f t="shared" si="19"/>
        <v>1.3545072396076607E-2</v>
      </c>
      <c r="M153">
        <f t="shared" si="20"/>
        <v>7</v>
      </c>
      <c r="N153">
        <f t="shared" si="21"/>
        <v>11</v>
      </c>
      <c r="O153">
        <f t="shared" si="22"/>
        <v>13</v>
      </c>
      <c r="P153" t="str">
        <f t="shared" si="23"/>
        <v/>
      </c>
      <c r="Q153" t="str">
        <f t="shared" si="24"/>
        <v xml:space="preserve">Morris (seth) </v>
      </c>
    </row>
    <row r="154" spans="1:17" x14ac:dyDescent="0.25">
      <c r="A154" t="s">
        <v>44</v>
      </c>
      <c r="B154" t="s">
        <v>109</v>
      </c>
      <c r="C154" t="str">
        <f t="shared" si="17"/>
        <v>seth</v>
      </c>
      <c r="D154">
        <f>COUNTIF('F Proj'!$B$2:$B$7669,B154)+COUNTIF('D Proj'!$B$2:$B$513,B154)+COUNTIF('K Proj'!$B$2:$B$508,B154)</f>
        <v>16</v>
      </c>
      <c r="E154" t="str">
        <f>IF(ISERROR(MATCH(ROW(A153),Trades!$A$10:$A$43,0)),"",IF(INDEX(Trades!$E$10:$E$43,MATCH(ROW(A153),Trades!$A$10:$A$43,0)),IF(A154=Trades!$A$27,Trades!$B$7,Trades!$A$27),""))</f>
        <v/>
      </c>
      <c r="F154" t="str">
        <f>IF(D154=0,NA(),IFERROR(INDEX('F Proj'!$F$2:$F$7669,MATCH(B154,'F Proj'!$B$2:$B$7669,0)),"O"))</f>
        <v>RB</v>
      </c>
      <c r="G154" t="str">
        <f t="shared" si="18"/>
        <v>Flex</v>
      </c>
      <c r="H154" t="str">
        <f>C154&amp;G154&amp;COUNTIFS(C$1:C154,C154,G$1:G154,G154)</f>
        <v>sethFlex11</v>
      </c>
      <c r="I154" t="e">
        <f>MATCH(0,INDEX('ROS Proj'!$C$2:$S$561,MATCH($B154,'ROS Proj'!$A$2:$A$561,0),Week+Half_Week):INDEX('ROS Proj'!$C$2:$S$561,MATCH($B154,'ROS Proj'!$A$2:$A$561,0),17),1)+Week+Half_Week</f>
        <v>#N/A</v>
      </c>
      <c r="J154" s="2">
        <f>INDEX('ROS Proj'!$T$2:$T$561,MATCH($B154,'ROS Proj'!$A$2:$A$561,0))</f>
        <v>2.9957142857142856</v>
      </c>
      <c r="K154" s="2">
        <f>INDEX('ROS Proj'!$C$2:$S$561,MATCH($B154,'ROS Proj'!$A$2:$A$561,0),Week+Half_Week)</f>
        <v>5.03</v>
      </c>
      <c r="L154" s="3">
        <f t="shared" si="19"/>
        <v>0.67906533142584657</v>
      </c>
      <c r="M154">
        <f t="shared" si="20"/>
        <v>7</v>
      </c>
      <c r="N154">
        <f t="shared" si="21"/>
        <v>11</v>
      </c>
      <c r="O154">
        <f t="shared" si="22"/>
        <v>13</v>
      </c>
      <c r="P154" t="str">
        <f t="shared" si="23"/>
        <v/>
      </c>
      <c r="Q154" t="str">
        <f t="shared" si="24"/>
        <v xml:space="preserve">Montgomery (seth) </v>
      </c>
    </row>
    <row r="155" spans="1:17" x14ac:dyDescent="0.25">
      <c r="A155" t="s">
        <v>44</v>
      </c>
      <c r="B155" t="s">
        <v>111</v>
      </c>
      <c r="C155" t="str">
        <f t="shared" si="17"/>
        <v>seth</v>
      </c>
      <c r="D155">
        <f>COUNTIF('F Proj'!$B$2:$B$7669,B155)+COUNTIF('D Proj'!$B$2:$B$513,B155)+COUNTIF('K Proj'!$B$2:$B$508,B155)</f>
        <v>16</v>
      </c>
      <c r="E155" t="str">
        <f>IF(ISERROR(MATCH(ROW(A154),Trades!$A$10:$A$43,0)),"",IF(INDEX(Trades!$E$10:$E$43,MATCH(ROW(A154),Trades!$A$10:$A$43,0)),IF(A155=Trades!$A$27,Trades!$B$7,Trades!$A$27),""))</f>
        <v/>
      </c>
      <c r="F155" t="str">
        <f>IF(D155=0,NA(),IFERROR(INDEX('F Proj'!$F$2:$F$7669,MATCH(B155,'F Proj'!$B$2:$B$7669,0)),"O"))</f>
        <v>RB</v>
      </c>
      <c r="G155" t="str">
        <f t="shared" si="18"/>
        <v>Flex</v>
      </c>
      <c r="H155" t="str">
        <f>C155&amp;G155&amp;COUNTIFS(C$1:C155,C155,G$1:G155,G155)</f>
        <v>sethFlex12</v>
      </c>
      <c r="I155">
        <f>MATCH(0,INDEX('ROS Proj'!$C$2:$S$561,MATCH($B155,'ROS Proj'!$A$2:$A$561,0),Week+Half_Week):INDEX('ROS Proj'!$C$2:$S$561,MATCH($B155,'ROS Proj'!$A$2:$A$561,0),17),1)+Week+Half_Week</f>
        <v>7</v>
      </c>
      <c r="J155" s="2">
        <f>INDEX('ROS Proj'!$T$2:$T$561,MATCH($B155,'ROS Proj'!$A$2:$A$561,0))</f>
        <v>8.735714285714284</v>
      </c>
      <c r="K155" s="2">
        <f>INDEX('ROS Proj'!$C$2:$S$561,MATCH($B155,'ROS Proj'!$A$2:$A$561,0),Week+Half_Week)</f>
        <v>0</v>
      </c>
      <c r="L155" s="3">
        <f t="shared" si="19"/>
        <v>-1</v>
      </c>
      <c r="M155">
        <f t="shared" si="20"/>
        <v>7</v>
      </c>
      <c r="N155">
        <f t="shared" si="21"/>
        <v>12</v>
      </c>
      <c r="O155">
        <f t="shared" si="22"/>
        <v>13</v>
      </c>
      <c r="P155">
        <f t="shared" si="23"/>
        <v>12</v>
      </c>
      <c r="Q155" t="str">
        <f t="shared" si="24"/>
        <v>Fournette (seth) returns Week 7</v>
      </c>
    </row>
  </sheetData>
  <autoFilter ref="A1:E15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A121"/>
  <sheetViews>
    <sheetView workbookViewId="0">
      <pane xSplit="2" ySplit="1" topLeftCell="C2" activePane="bottomRight" state="frozen"/>
      <selection pane="topRight" activeCell="D1" sqref="D1"/>
      <selection pane="bottomLeft" activeCell="A2" sqref="A2"/>
      <selection pane="bottomRight" activeCell="C14" sqref="C14"/>
    </sheetView>
  </sheetViews>
  <sheetFormatPr defaultRowHeight="15" x14ac:dyDescent="0.25"/>
  <sheetData>
    <row r="1" spans="1:53" x14ac:dyDescent="0.25">
      <c r="A1" t="s">
        <v>10</v>
      </c>
      <c r="B1" t="s">
        <v>476</v>
      </c>
      <c r="C1">
        <v>1</v>
      </c>
      <c r="D1">
        <f>C1+1</f>
        <v>2</v>
      </c>
      <c r="E1">
        <f t="shared" ref="E1:S1" si="0">D1+1</f>
        <v>3</v>
      </c>
      <c r="F1">
        <f t="shared" si="0"/>
        <v>4</v>
      </c>
      <c r="G1">
        <f t="shared" si="0"/>
        <v>5</v>
      </c>
      <c r="H1">
        <f t="shared" si="0"/>
        <v>6</v>
      </c>
      <c r="I1">
        <f t="shared" si="0"/>
        <v>7</v>
      </c>
      <c r="J1">
        <f t="shared" si="0"/>
        <v>8</v>
      </c>
      <c r="K1">
        <f t="shared" si="0"/>
        <v>9</v>
      </c>
      <c r="L1">
        <f>K1+1</f>
        <v>10</v>
      </c>
      <c r="M1">
        <f t="shared" si="0"/>
        <v>11</v>
      </c>
      <c r="N1">
        <f t="shared" si="0"/>
        <v>12</v>
      </c>
      <c r="O1">
        <f>N1+1</f>
        <v>13</v>
      </c>
      <c r="P1">
        <f t="shared" si="0"/>
        <v>14</v>
      </c>
      <c r="Q1">
        <f t="shared" si="0"/>
        <v>15</v>
      </c>
      <c r="R1">
        <f>Q1+1</f>
        <v>16</v>
      </c>
      <c r="S1">
        <f t="shared" si="0"/>
        <v>17</v>
      </c>
      <c r="T1" s="1">
        <f>C1</f>
        <v>1</v>
      </c>
      <c r="U1" s="1">
        <f t="shared" ref="U1:AJ1" si="1">D1</f>
        <v>2</v>
      </c>
      <c r="V1" s="1">
        <f t="shared" si="1"/>
        <v>3</v>
      </c>
      <c r="W1" s="1">
        <f t="shared" si="1"/>
        <v>4</v>
      </c>
      <c r="X1" s="1">
        <f t="shared" si="1"/>
        <v>5</v>
      </c>
      <c r="Y1" s="1">
        <f t="shared" si="1"/>
        <v>6</v>
      </c>
      <c r="Z1" s="1">
        <f t="shared" si="1"/>
        <v>7</v>
      </c>
      <c r="AA1" s="1">
        <f t="shared" si="1"/>
        <v>8</v>
      </c>
      <c r="AB1" s="1">
        <f t="shared" si="1"/>
        <v>9</v>
      </c>
      <c r="AC1" s="1">
        <f t="shared" si="1"/>
        <v>10</v>
      </c>
      <c r="AD1" s="1">
        <f t="shared" si="1"/>
        <v>11</v>
      </c>
      <c r="AE1" s="1">
        <f t="shared" si="1"/>
        <v>12</v>
      </c>
      <c r="AF1" s="1">
        <f t="shared" si="1"/>
        <v>13</v>
      </c>
      <c r="AG1" s="1">
        <f t="shared" si="1"/>
        <v>14</v>
      </c>
      <c r="AH1" s="1">
        <f t="shared" si="1"/>
        <v>15</v>
      </c>
      <c r="AI1" s="1">
        <f t="shared" si="1"/>
        <v>16</v>
      </c>
      <c r="AJ1" s="1">
        <f t="shared" si="1"/>
        <v>17</v>
      </c>
      <c r="AK1">
        <f t="shared" ref="AK1:BA1" si="2">T1</f>
        <v>1</v>
      </c>
      <c r="AL1">
        <f t="shared" si="2"/>
        <v>2</v>
      </c>
      <c r="AM1">
        <f t="shared" si="2"/>
        <v>3</v>
      </c>
      <c r="AN1">
        <f t="shared" si="2"/>
        <v>4</v>
      </c>
      <c r="AO1">
        <f t="shared" si="2"/>
        <v>5</v>
      </c>
      <c r="AP1">
        <f t="shared" si="2"/>
        <v>6</v>
      </c>
      <c r="AQ1">
        <f t="shared" si="2"/>
        <v>7</v>
      </c>
      <c r="AR1">
        <f t="shared" si="2"/>
        <v>8</v>
      </c>
      <c r="AS1">
        <f t="shared" si="2"/>
        <v>9</v>
      </c>
      <c r="AT1">
        <f t="shared" si="2"/>
        <v>10</v>
      </c>
      <c r="AU1">
        <f t="shared" si="2"/>
        <v>11</v>
      </c>
      <c r="AV1">
        <f t="shared" si="2"/>
        <v>12</v>
      </c>
      <c r="AW1">
        <f t="shared" si="2"/>
        <v>13</v>
      </c>
      <c r="AX1">
        <f t="shared" si="2"/>
        <v>14</v>
      </c>
      <c r="AY1">
        <f t="shared" si="2"/>
        <v>15</v>
      </c>
      <c r="AZ1">
        <f t="shared" si="2"/>
        <v>16</v>
      </c>
      <c r="BA1">
        <f t="shared" si="2"/>
        <v>17</v>
      </c>
    </row>
    <row r="2" spans="1:53" x14ac:dyDescent="0.25">
      <c r="A2" t="s">
        <v>20</v>
      </c>
      <c r="B2" t="s">
        <v>467</v>
      </c>
      <c r="C2">
        <f>IF(Week&gt;=C$1,MATCH($A2&amp;"-"&amp;C$1&amp;$B2,Finals!$J$1:$J$501,0),IFERROR(MATCH($A2&amp;C$1&amp;$B2,'F Proj'!$N$1:$N$7669,0),MATCH("NA"&amp;C$1&amp;$B2,'F Proj'!$N$1:$N$7669,0)))</f>
        <v>138</v>
      </c>
      <c r="D2">
        <f>IF(Week&gt;=D$1,MATCH($A2&amp;"-"&amp;D$1&amp;$B2,Finals!$J$1:$J$501,0),IFERROR(MATCH($A2&amp;D$1&amp;$B2,'F Proj'!$N$1:$N$7669,0),MATCH("NA"&amp;D$1&amp;$B2,'F Proj'!$N$1:$N$7669,0)))</f>
        <v>139</v>
      </c>
      <c r="E2">
        <f>IF(Week&gt;=E$1,MATCH($A2&amp;"-"&amp;E$1&amp;$B2,Finals!$J$1:$J$501,0),IFERROR(MATCH($A2&amp;E$1&amp;$B2,'F Proj'!$N$1:$N$7669,0),MATCH("NA"&amp;E$1&amp;$B2,'F Proj'!$N$1:$N$7669,0)))</f>
        <v>340</v>
      </c>
      <c r="F2">
        <f>IF(Week&gt;=F$1,MATCH($A2&amp;"-"&amp;F$1&amp;$B2,Finals!$J$1:$J$501,0),IFERROR(MATCH($A2&amp;F$1&amp;$B2,'F Proj'!$N$1:$N$7669,0),MATCH("NA"&amp;F$1&amp;$B2,'F Proj'!$N$1:$N$7669,0)))</f>
        <v>140</v>
      </c>
      <c r="G2">
        <f>IF(Week&gt;=G$1,MATCH($A2&amp;"-"&amp;G$1&amp;$B2,Finals!$J$1:$J$501,0),IFERROR(MATCH($A2&amp;G$1&amp;$B2,'F Proj'!$N$1:$N$7669,0),MATCH("NA"&amp;G$1&amp;$B2,'F Proj'!$N$1:$N$7669,0)))</f>
        <v>141</v>
      </c>
      <c r="H2">
        <f>IF(Week&gt;=H$1,MATCH($A2&amp;"-"&amp;H$1&amp;$B2,Finals!$J$1:$J$501,0),IFERROR(MATCH($A2&amp;H$1&amp;$B2,'F Proj'!$N$1:$N$7669,0),MATCH("NA"&amp;H$1&amp;$B2,'F Proj'!$N$1:$N$7669,0)))</f>
        <v>498</v>
      </c>
      <c r="I2">
        <f>IF(Week&gt;=I$1,MATCH($A2&amp;"-"&amp;I$1&amp;$B2,Finals!$J$1:$J$501,0),IFERROR(MATCH($A2&amp;I$1&amp;$B2,'F Proj'!$N$1:$N$7669,0),MATCH("NA"&amp;I$1&amp;$B2,'F Proj'!$N$1:$N$7669,0)))</f>
        <v>114</v>
      </c>
      <c r="J2">
        <f>IF(Week&gt;=J$1,MATCH($A2&amp;"-"&amp;J$1&amp;$B2,Finals!$J$1:$J$501,0),IFERROR(MATCH($A2&amp;J$1&amp;$B2,'F Proj'!$N$1:$N$7669,0),MATCH("NA"&amp;J$1&amp;$B2,'F Proj'!$N$1:$N$7669,0)))</f>
        <v>88</v>
      </c>
      <c r="K2">
        <f>IF(Week&gt;=K$1,MATCH($A2&amp;"-"&amp;K$1&amp;$B2,Finals!$J$1:$J$501,0),IFERROR(MATCH($A2&amp;K$1&amp;$B2,'F Proj'!$N$1:$N$7669,0),MATCH("NA"&amp;K$1&amp;$B2,'F Proj'!$N$1:$N$7669,0)))</f>
        <v>80</v>
      </c>
      <c r="L2">
        <f>IF(Week&gt;=L$1,MATCH($A2&amp;"-"&amp;L$1&amp;$B2,Finals!$J$1:$J$501,0),IFERROR(MATCH($A2&amp;L$1&amp;$B2,'F Proj'!$N$1:$N$7669,0),MATCH("NA"&amp;L$1&amp;$B2,'F Proj'!$N$1:$N$7669,0)))</f>
        <v>89</v>
      </c>
      <c r="M2">
        <f>IF(Week&gt;=M$1,MATCH($A2&amp;"-"&amp;M$1&amp;$B2,Finals!$J$1:$J$501,0),IFERROR(MATCH($A2&amp;M$1&amp;$B2,'F Proj'!$N$1:$N$7669,0),MATCH("NA"&amp;M$1&amp;$B2,'F Proj'!$N$1:$N$7669,0)))</f>
        <v>135</v>
      </c>
      <c r="N2">
        <f>IF(Week&gt;=N$1,MATCH($A2&amp;"-"&amp;N$1&amp;$B2,Finals!$J$1:$J$501,0),IFERROR(MATCH($A2&amp;N$1&amp;$B2,'F Proj'!$N$1:$N$7669,0),MATCH("NA"&amp;N$1&amp;$B2,'F Proj'!$N$1:$N$7669,0)))</f>
        <v>17</v>
      </c>
      <c r="O2">
        <f>IF(Week&gt;=O$1,MATCH($A2&amp;"-"&amp;O$1&amp;$B2,Finals!$J$1:$J$501,0),IFERROR(MATCH($A2&amp;O$1&amp;$B2,'F Proj'!$N$1:$N$7669,0),MATCH("NA"&amp;O$1&amp;$B2,'F Proj'!$N$1:$N$7669,0)))</f>
        <v>29</v>
      </c>
      <c r="P2">
        <f>IF(Week&gt;=P$1,MATCH($A2&amp;"-"&amp;P$1&amp;$B2,Finals!$J$1:$J$501,0),IFERROR(MATCH($A2&amp;P$1&amp;$B2,'F Proj'!$N$1:$N$7669,0),MATCH("NA"&amp;P$1&amp;$B2,'F Proj'!$N$1:$N$7669,0)))</f>
        <v>14</v>
      </c>
      <c r="Q2">
        <f>IF(Week&gt;=Q$1,MATCH($A2&amp;"-"&amp;Q$1&amp;$B2,Finals!$J$1:$J$501,0),IFERROR(MATCH($A2&amp;Q$1&amp;$B2,'F Proj'!$N$1:$N$7669,0),MATCH("NA"&amp;Q$1&amp;$B2,'F Proj'!$N$1:$N$7669,0)))</f>
        <v>205</v>
      </c>
      <c r="R2">
        <f>IF(Week&gt;=R$1,MATCH($A2&amp;"-"&amp;R$1&amp;$B2,Finals!$J$1:$J$501,0),IFERROR(MATCH($A2&amp;R$1&amp;$B2,'F Proj'!$N$1:$N$7669,0),MATCH("NA"&amp;R$1&amp;$B2,'F Proj'!$N$1:$N$7669,0)))</f>
        <v>104</v>
      </c>
      <c r="S2">
        <f>IF(Week&gt;=S$1,MATCH($A2&amp;"-"&amp;S$1&amp;$B2,Finals!$J$1:$J$501,0),IFERROR(MATCH($A2&amp;S$1&amp;$B2,'F Proj'!$N$1:$N$7669,0),MATCH("NA"&amp;S$1&amp;$B2,'F Proj'!$N$1:$N$7669,0)))</f>
        <v>173</v>
      </c>
      <c r="T2">
        <f>IF(Week&gt;=C$1,INDEX(Finals!$G$1:$G$501,C2),INDEX('F Proj'!$D$1:$D$7669,C2))</f>
        <v>31.6</v>
      </c>
      <c r="U2">
        <f>IF(Week&gt;=D$1,INDEX(Finals!$G$1:$G$501,D2),INDEX('F Proj'!$D$1:$D$7669,D2))</f>
        <v>17.600000000000001</v>
      </c>
      <c r="V2">
        <f>IF(Week&gt;=E$1,INDEX(Finals!$G$1:$G$501,E2),INDEX('F Proj'!$D$1:$D$7669,E2))</f>
        <v>25.1</v>
      </c>
      <c r="W2">
        <f>IF(Week&gt;=F$1,INDEX(Finals!$G$1:$G$501,F2),INDEX('F Proj'!$D$1:$D$7669,F2))</f>
        <v>8.6</v>
      </c>
      <c r="X2">
        <f>IF(Week&gt;=G$1,INDEX(Finals!$G$1:$G$501,G2),INDEX('F Proj'!$D$1:$D$7669,G2))</f>
        <v>21.26</v>
      </c>
      <c r="Y2">
        <f>IF(Week&gt;=H$1,INDEX(Finals!$G$1:$G$501,H2),INDEX('F Proj'!$D$1:$D$7669,H2))</f>
        <v>14.86</v>
      </c>
      <c r="Z2">
        <f>IF(Week&gt;=I$1,INDEX(Finals!$G$1:$G$501,I2),INDEX('F Proj'!$D$1:$D$7669,I2))</f>
        <v>20.38</v>
      </c>
      <c r="AA2">
        <f>IF(Week&gt;=J$1,INDEX(Finals!$G$1:$G$501,J2),INDEX('F Proj'!$D$1:$D$7669,J2))</f>
        <v>20.89</v>
      </c>
      <c r="AB2">
        <f>IF(Week&gt;=K$1,INDEX(Finals!$G$1:$G$501,K2),INDEX('F Proj'!$D$1:$D$7669,K2))</f>
        <v>21.18</v>
      </c>
      <c r="AC2">
        <f>IF(Week&gt;=L$1,INDEX(Finals!$G$1:$G$501,L2),INDEX('F Proj'!$D$1:$D$7669,L2))</f>
        <v>20.86</v>
      </c>
      <c r="AD2">
        <f>IF(Week&gt;=M$1,INDEX(Finals!$G$1:$G$501,M2),INDEX('F Proj'!$D$1:$D$7669,M2))</f>
        <v>20.02</v>
      </c>
      <c r="AE2">
        <f>IF(Week&gt;=N$1,INDEX(Finals!$G$1:$G$501,N2),INDEX('F Proj'!$D$1:$D$7669,N2))</f>
        <v>23.55</v>
      </c>
      <c r="AF2">
        <f>IF(Week&gt;=O$1,INDEX(Finals!$G$1:$G$501,O2),INDEX('F Proj'!$D$1:$D$7669,O2))</f>
        <v>22.89</v>
      </c>
      <c r="AG2">
        <f>IF(Week&gt;=P$1,INDEX(Finals!$G$1:$G$501,P2),INDEX('F Proj'!$D$1:$D$7669,P2))</f>
        <v>23.77</v>
      </c>
      <c r="AH2">
        <f>IF(Week&gt;=Q$1,INDEX(Finals!$G$1:$G$501,Q2),INDEX('F Proj'!$D$1:$D$7669,Q2))</f>
        <v>19.059999999999999</v>
      </c>
      <c r="AI2">
        <f>IF(Week&gt;=R$1,INDEX(Finals!$G$1:$G$501,R2),INDEX('F Proj'!$D$1:$D$7669,R2))</f>
        <v>20.66</v>
      </c>
      <c r="AJ2">
        <f>IF(Week&gt;=S$1,INDEX(Finals!$G$1:$G$501,S2),INDEX('F Proj'!$D$1:$D$7669,S2))</f>
        <v>19.510000000000002</v>
      </c>
      <c r="AK2">
        <f>IF(Week&gt;=C$1,INDEX(Finals!$I$1:$I$501,C2),INDEX('F Proj'!$J$1:$J$7669,C2))</f>
        <v>0</v>
      </c>
      <c r="AL2">
        <f>IF(Week&gt;=D$1,INDEX(Finals!$I$1:$I$501,D2),INDEX('F Proj'!$J$1:$J$7669,D2))</f>
        <v>0</v>
      </c>
      <c r="AM2">
        <f>IF(Week&gt;=E$1,INDEX(Finals!$I$1:$I$501,E2),INDEX('F Proj'!$J$1:$J$7669,E2))</f>
        <v>0</v>
      </c>
      <c r="AN2">
        <f>IF(Week&gt;=F$1,INDEX(Finals!$I$1:$I$501,F2),INDEX('F Proj'!$J$1:$J$7669,F2))</f>
        <v>0</v>
      </c>
      <c r="AO2">
        <f>IF(Week&gt;=G$1,INDEX(Finals!$I$1:$I$501,G2),INDEX('F Proj'!$J$1:$J$7669,G2))</f>
        <v>64.641599999999997</v>
      </c>
      <c r="AP2">
        <f>IF(Week&gt;=H$1,INDEX(Finals!$I$1:$I$501,H2),INDEX('F Proj'!$J$1:$J$7669,H2))</f>
        <v>40.195599999999999</v>
      </c>
      <c r="AQ2">
        <f>IF(Week&gt;=I$1,INDEX(Finals!$I$1:$I$501,I2),INDEX('F Proj'!$J$1:$J$7669,I2))</f>
        <v>65.772099999999995</v>
      </c>
      <c r="AR2">
        <f>IF(Week&gt;=J$1,INDEX(Finals!$I$1:$I$501,J2),INDEX('F Proj'!$J$1:$J$7669,J2))</f>
        <v>40.322499999999998</v>
      </c>
      <c r="AS2">
        <f>IF(Week&gt;=K$1,INDEX(Finals!$I$1:$I$501,K2),INDEX('F Proj'!$J$1:$J$7669,K2))</f>
        <v>65.448099999999997</v>
      </c>
      <c r="AT2">
        <f>IF(Week&gt;=L$1,INDEX(Finals!$I$1:$I$501,L2),INDEX('F Proj'!$J$1:$J$7669,L2))</f>
        <v>72.760900000000007</v>
      </c>
      <c r="AU2">
        <f>IF(Week&gt;=M$1,INDEX(Finals!$I$1:$I$501,M2),INDEX('F Proj'!$J$1:$J$7669,M2))</f>
        <v>46.376100000000001</v>
      </c>
      <c r="AV2">
        <f>IF(Week&gt;=N$1,INDEX(Finals!$I$1:$I$501,N2),INDEX('F Proj'!$J$1:$J$7669,N2))</f>
        <v>64</v>
      </c>
      <c r="AW2">
        <f>IF(Week&gt;=O$1,INDEX(Finals!$I$1:$I$501,O2),INDEX('F Proj'!$J$1:$J$7669,O2))</f>
        <v>59.444099999999999</v>
      </c>
      <c r="AX2">
        <f>IF(Week&gt;=P$1,INDEX(Finals!$I$1:$I$501,P2),INDEX('F Proj'!$J$1:$J$7669,P2))</f>
        <v>55.950400000000002</v>
      </c>
      <c r="AY2">
        <f>IF(Week&gt;=Q$1,INDEX(Finals!$I$1:$I$501,Q2),INDEX('F Proj'!$J$1:$J$7669,Q2))</f>
        <v>33.524099999999997</v>
      </c>
      <c r="AZ2">
        <f>IF(Week&gt;=R$1,INDEX(Finals!$I$1:$I$501,R2),INDEX('F Proj'!$J$1:$J$7669,R2))</f>
        <v>68.558400000000006</v>
      </c>
      <c r="BA2">
        <f>IF(Week&gt;=S$1,INDEX(Finals!$I$1:$I$501,S2),INDEX('F Proj'!$J$1:$J$7669,S2))</f>
        <v>51.122500000000002</v>
      </c>
    </row>
    <row r="3" spans="1:53" x14ac:dyDescent="0.25">
      <c r="A3" t="s">
        <v>20</v>
      </c>
      <c r="B3" t="s">
        <v>468</v>
      </c>
      <c r="C3">
        <f>IF(Week&gt;=C$1,MATCH($A3&amp;"-"&amp;C$1&amp;$B3,Finals!$J$1:$J$501,0),IFERROR(MATCH($A3&amp;C$1&amp;$B3,'F Proj'!$N$1:$N$7669,0),MATCH("NA"&amp;C$1&amp;$B3,'F Proj'!$N$1:$N$7669,0)))</f>
        <v>224</v>
      </c>
      <c r="D3">
        <f>IF(Week&gt;=D$1,MATCH($A3&amp;"-"&amp;D$1&amp;$B3,Finals!$J$1:$J$501,0),IFERROR(MATCH($A3&amp;D$1&amp;$B3,'F Proj'!$N$1:$N$7669,0),MATCH("NA"&amp;D$1&amp;$B3,'F Proj'!$N$1:$N$7669,0)))</f>
        <v>225</v>
      </c>
      <c r="E3">
        <f>IF(Week&gt;=E$1,MATCH($A3&amp;"-"&amp;E$1&amp;$B3,Finals!$J$1:$J$501,0),IFERROR(MATCH($A3&amp;E$1&amp;$B3,'F Proj'!$N$1:$N$7669,0),MATCH("NA"&amp;E$1&amp;$B3,'F Proj'!$N$1:$N$7669,0)))</f>
        <v>226</v>
      </c>
      <c r="F3">
        <f>IF(Week&gt;=F$1,MATCH($A3&amp;"-"&amp;F$1&amp;$B3,Finals!$J$1:$J$501,0),IFERROR(MATCH($A3&amp;F$1&amp;$B3,'F Proj'!$N$1:$N$7669,0),MATCH("NA"&amp;F$1&amp;$B3,'F Proj'!$N$1:$N$7669,0)))</f>
        <v>227</v>
      </c>
      <c r="G3">
        <f>IF(Week&gt;=G$1,MATCH($A3&amp;"-"&amp;G$1&amp;$B3,Finals!$J$1:$J$501,0),IFERROR(MATCH($A3&amp;G$1&amp;$B3,'F Proj'!$N$1:$N$7669,0),MATCH("NA"&amp;G$1&amp;$B3,'F Proj'!$N$1:$N$7669,0)))</f>
        <v>228</v>
      </c>
      <c r="H3">
        <f>IF(Week&gt;=H$1,MATCH($A3&amp;"-"&amp;H$1&amp;$B3,Finals!$J$1:$J$501,0),IFERROR(MATCH($A3&amp;H$1&amp;$B3,'F Proj'!$N$1:$N$7669,0),MATCH("NA"&amp;H$1&amp;$B3,'F Proj'!$N$1:$N$7669,0)))</f>
        <v>413</v>
      </c>
      <c r="I3">
        <f>IF(Week&gt;=I$1,MATCH($A3&amp;"-"&amp;I$1&amp;$B3,Finals!$J$1:$J$501,0),IFERROR(MATCH($A3&amp;I$1&amp;$B3,'F Proj'!$N$1:$N$7669,0),MATCH("NA"&amp;I$1&amp;$B3,'F Proj'!$N$1:$N$7669,0)))</f>
        <v>401</v>
      </c>
      <c r="J3">
        <f>IF(Week&gt;=J$1,MATCH($A3&amp;"-"&amp;J$1&amp;$B3,Finals!$J$1:$J$501,0),IFERROR(MATCH($A3&amp;J$1&amp;$B3,'F Proj'!$N$1:$N$7669,0),MATCH("NA"&amp;J$1&amp;$B3,'F Proj'!$N$1:$N$7669,0)))</f>
        <v>356</v>
      </c>
      <c r="K3">
        <f>IF(Week&gt;=K$1,MATCH($A3&amp;"-"&amp;K$1&amp;$B3,Finals!$J$1:$J$501,0),IFERROR(MATCH($A3&amp;K$1&amp;$B3,'F Proj'!$N$1:$N$7669,0),MATCH("NA"&amp;K$1&amp;$B3,'F Proj'!$N$1:$N$7669,0)))</f>
        <v>319</v>
      </c>
      <c r="L3">
        <f>IF(Week&gt;=L$1,MATCH($A3&amp;"-"&amp;L$1&amp;$B3,Finals!$J$1:$J$501,0),IFERROR(MATCH($A3&amp;L$1&amp;$B3,'F Proj'!$N$1:$N$7669,0),MATCH("NA"&amp;L$1&amp;$B3,'F Proj'!$N$1:$N$7669,0)))</f>
        <v>377</v>
      </c>
      <c r="M3">
        <f>IF(Week&gt;=M$1,MATCH($A3&amp;"-"&amp;M$1&amp;$B3,Finals!$J$1:$J$501,0),IFERROR(MATCH($A3&amp;M$1&amp;$B3,'F Proj'!$N$1:$N$7669,0),MATCH("NA"&amp;M$1&amp;$B3,'F Proj'!$N$1:$N$7669,0)))</f>
        <v>343</v>
      </c>
      <c r="N3">
        <f>IF(Week&gt;=N$1,MATCH($A3&amp;"-"&amp;N$1&amp;$B3,Finals!$J$1:$J$501,0),IFERROR(MATCH($A3&amp;N$1&amp;$B3,'F Proj'!$N$1:$N$7669,0),MATCH("NA"&amp;N$1&amp;$B3,'F Proj'!$N$1:$N$7669,0)))</f>
        <v>322</v>
      </c>
      <c r="O3">
        <f>IF(Week&gt;=O$1,MATCH($A3&amp;"-"&amp;O$1&amp;$B3,Finals!$J$1:$J$501,0),IFERROR(MATCH($A3&amp;O$1&amp;$B3,'F Proj'!$N$1:$N$7669,0),MATCH("NA"&amp;O$1&amp;$B3,'F Proj'!$N$1:$N$7669,0)))</f>
        <v>269</v>
      </c>
      <c r="P3">
        <f>IF(Week&gt;=P$1,MATCH($A3&amp;"-"&amp;P$1&amp;$B3,Finals!$J$1:$J$501,0),IFERROR(MATCH($A3&amp;P$1&amp;$B3,'F Proj'!$N$1:$N$7669,0),MATCH("NA"&amp;P$1&amp;$B3,'F Proj'!$N$1:$N$7669,0)))</f>
        <v>416</v>
      </c>
      <c r="Q3">
        <f>IF(Week&gt;=Q$1,MATCH($A3&amp;"-"&amp;Q$1&amp;$B3,Finals!$J$1:$J$501,0),IFERROR(MATCH($A3&amp;Q$1&amp;$B3,'F Proj'!$N$1:$N$7669,0),MATCH("NA"&amp;Q$1&amp;$B3,'F Proj'!$N$1:$N$7669,0)))</f>
        <v>393</v>
      </c>
      <c r="R3">
        <f>IF(Week&gt;=R$1,MATCH($A3&amp;"-"&amp;R$1&amp;$B3,Finals!$J$1:$J$501,0),IFERROR(MATCH($A3&amp;R$1&amp;$B3,'F Proj'!$N$1:$N$7669,0),MATCH("NA"&amp;R$1&amp;$B3,'F Proj'!$N$1:$N$7669,0)))</f>
        <v>321</v>
      </c>
      <c r="S3">
        <f>IF(Week&gt;=S$1,MATCH($A3&amp;"-"&amp;S$1&amp;$B3,Finals!$J$1:$J$501,0),IFERROR(MATCH($A3&amp;S$1&amp;$B3,'F Proj'!$N$1:$N$7669,0),MATCH("NA"&amp;S$1&amp;$B3,'F Proj'!$N$1:$N$7669,0)))</f>
        <v>150</v>
      </c>
      <c r="T3">
        <f>IF(Week&gt;=C$1,INDEX(Finals!$G$1:$G$501,C3),INDEX('F Proj'!$D$1:$D$7669,C3))</f>
        <v>4.9000000000000004</v>
      </c>
      <c r="U3">
        <f>IF(Week&gt;=D$1,INDEX(Finals!$G$1:$G$501,D3),INDEX('F Proj'!$D$1:$D$7669,D3))</f>
        <v>14</v>
      </c>
      <c r="V3">
        <f>IF(Week&gt;=E$1,INDEX(Finals!$G$1:$G$501,E3),INDEX('F Proj'!$D$1:$D$7669,E3))</f>
        <v>16.399999999999999</v>
      </c>
      <c r="W3">
        <f>IF(Week&gt;=F$1,INDEX(Finals!$G$1:$G$501,F3),INDEX('F Proj'!$D$1:$D$7669,F3))</f>
        <v>23.5</v>
      </c>
      <c r="X3">
        <f>IF(Week&gt;=G$1,INDEX(Finals!$G$1:$G$501,G3),INDEX('F Proj'!$D$1:$D$7669,G3))</f>
        <v>15.45</v>
      </c>
      <c r="Y3">
        <f>IF(Week&gt;=H$1,INDEX(Finals!$G$1:$G$501,H3),INDEX('F Proj'!$D$1:$D$7669,H3))</f>
        <v>15.86</v>
      </c>
      <c r="Z3">
        <f>IF(Week&gt;=I$1,INDEX(Finals!$G$1:$G$501,I3),INDEX('F Proj'!$D$1:$D$7669,I3))</f>
        <v>15.91</v>
      </c>
      <c r="AA3">
        <f>IF(Week&gt;=J$1,INDEX(Finals!$G$1:$G$501,J3),INDEX('F Proj'!$D$1:$D$7669,J3))</f>
        <v>16.72</v>
      </c>
      <c r="AB3">
        <f>IF(Week&gt;=K$1,INDEX(Finals!$G$1:$G$501,K3),INDEX('F Proj'!$D$1:$D$7669,K3))</f>
        <v>17.28</v>
      </c>
      <c r="AC3">
        <f>IF(Week&gt;=L$1,INDEX(Finals!$G$1:$G$501,L3),INDEX('F Proj'!$D$1:$D$7669,L3))</f>
        <v>16.329999999999998</v>
      </c>
      <c r="AD3">
        <f>IF(Week&gt;=M$1,INDEX(Finals!$G$1:$G$501,M3),INDEX('F Proj'!$D$1:$D$7669,M3))</f>
        <v>16.920000000000002</v>
      </c>
      <c r="AE3">
        <f>IF(Week&gt;=N$1,INDEX(Finals!$G$1:$G$501,N3),INDEX('F Proj'!$D$1:$D$7669,N3))</f>
        <v>17.22</v>
      </c>
      <c r="AF3">
        <f>IF(Week&gt;=O$1,INDEX(Finals!$G$1:$G$501,O3),INDEX('F Proj'!$D$1:$D$7669,O3))</f>
        <v>18.2</v>
      </c>
      <c r="AG3">
        <f>IF(Week&gt;=P$1,INDEX(Finals!$G$1:$G$501,P3),INDEX('F Proj'!$D$1:$D$7669,P3))</f>
        <v>15.81</v>
      </c>
      <c r="AH3">
        <f>IF(Week&gt;=Q$1,INDEX(Finals!$G$1:$G$501,Q3),INDEX('F Proj'!$D$1:$D$7669,Q3))</f>
        <v>16.04</v>
      </c>
      <c r="AI3">
        <f>IF(Week&gt;=R$1,INDEX(Finals!$G$1:$G$501,R3),INDEX('F Proj'!$D$1:$D$7669,R3))</f>
        <v>17.239999999999998</v>
      </c>
      <c r="AJ3">
        <f>IF(Week&gt;=S$1,INDEX(Finals!$G$1:$G$501,S3),INDEX('F Proj'!$D$1:$D$7669,S3))</f>
        <v>19.809999999999999</v>
      </c>
      <c r="AK3">
        <f>IF(Week&gt;=C$1,INDEX(Finals!$I$1:$I$501,C3),INDEX('F Proj'!$J$1:$J$7669,C3))</f>
        <v>0</v>
      </c>
      <c r="AL3">
        <f>IF(Week&gt;=D$1,INDEX(Finals!$I$1:$I$501,D3),INDEX('F Proj'!$J$1:$J$7669,D3))</f>
        <v>0</v>
      </c>
      <c r="AM3">
        <f>IF(Week&gt;=E$1,INDEX(Finals!$I$1:$I$501,E3),INDEX('F Proj'!$J$1:$J$7669,E3))</f>
        <v>0</v>
      </c>
      <c r="AN3">
        <f>IF(Week&gt;=F$1,INDEX(Finals!$I$1:$I$501,F3),INDEX('F Proj'!$J$1:$J$7669,F3))</f>
        <v>0</v>
      </c>
      <c r="AO3">
        <f>IF(Week&gt;=G$1,INDEX(Finals!$I$1:$I$501,G3),INDEX('F Proj'!$J$1:$J$7669,G3))</f>
        <v>72.420100000000005</v>
      </c>
      <c r="AP3">
        <f>IF(Week&gt;=H$1,INDEX(Finals!$I$1:$I$501,H3),INDEX('F Proj'!$J$1:$J$7669,H3))</f>
        <v>90.25</v>
      </c>
      <c r="AQ3">
        <f>IF(Week&gt;=I$1,INDEX(Finals!$I$1:$I$501,I3),INDEX('F Proj'!$J$1:$J$7669,I3))</f>
        <v>116.2084</v>
      </c>
      <c r="AR3">
        <f>IF(Week&gt;=J$1,INDEX(Finals!$I$1:$I$501,J3),INDEX('F Proj'!$J$1:$J$7669,J3))</f>
        <v>66.912400000000005</v>
      </c>
      <c r="AS3">
        <f>IF(Week&gt;=K$1,INDEX(Finals!$I$1:$I$501,K3),INDEX('F Proj'!$J$1:$J$7669,K3))</f>
        <v>129.96</v>
      </c>
      <c r="AT3">
        <f>IF(Week&gt;=L$1,INDEX(Finals!$I$1:$I$501,L3),INDEX('F Proj'!$J$1:$J$7669,L3))</f>
        <v>55.3536</v>
      </c>
      <c r="AU3">
        <f>IF(Week&gt;=M$1,INDEX(Finals!$I$1:$I$501,M3),INDEX('F Proj'!$J$1:$J$7669,M3))</f>
        <v>114.91840000000001</v>
      </c>
      <c r="AV3">
        <f>IF(Week&gt;=N$1,INDEX(Finals!$I$1:$I$501,N3),INDEX('F Proj'!$J$1:$J$7669,N3))</f>
        <v>127.2384</v>
      </c>
      <c r="AW3">
        <f>IF(Week&gt;=O$1,INDEX(Finals!$I$1:$I$501,O3),INDEX('F Proj'!$J$1:$J$7669,O3))</f>
        <v>65.61</v>
      </c>
      <c r="AX3">
        <f>IF(Week&gt;=P$1,INDEX(Finals!$I$1:$I$501,P3),INDEX('F Proj'!$J$1:$J$7669,P3))</f>
        <v>129.96</v>
      </c>
      <c r="AY3">
        <f>IF(Week&gt;=Q$1,INDEX(Finals!$I$1:$I$501,Q3),INDEX('F Proj'!$J$1:$J$7669,Q3))</f>
        <v>73.102500000000006</v>
      </c>
      <c r="AZ3">
        <f>IF(Week&gt;=R$1,INDEX(Finals!$I$1:$I$501,R3),INDEX('F Proj'!$J$1:$J$7669,R3))</f>
        <v>120.5604</v>
      </c>
      <c r="BA3">
        <f>IF(Week&gt;=S$1,INDEX(Finals!$I$1:$I$501,S3),INDEX('F Proj'!$J$1:$J$7669,S3))</f>
        <v>65.61</v>
      </c>
    </row>
    <row r="4" spans="1:53" x14ac:dyDescent="0.25">
      <c r="A4" t="s">
        <v>20</v>
      </c>
      <c r="B4" t="s">
        <v>469</v>
      </c>
      <c r="C4">
        <f>IF(Week&gt;=C$1,MATCH($A4&amp;"-"&amp;C$1&amp;$B4,Finals!$J$1:$J$501,0),IFERROR(MATCH($A4&amp;C$1&amp;$B4,'F Proj'!$N$1:$N$7669,0),MATCH("NA"&amp;C$1&amp;$B4,'F Proj'!$N$1:$N$7669,0)))</f>
        <v>262</v>
      </c>
      <c r="D4">
        <f>IF(Week&gt;=D$1,MATCH($A4&amp;"-"&amp;D$1&amp;$B4,Finals!$J$1:$J$501,0),IFERROR(MATCH($A4&amp;D$1&amp;$B4,'F Proj'!$N$1:$N$7669,0),MATCH("NA"&amp;D$1&amp;$B4,'F Proj'!$N$1:$N$7669,0)))</f>
        <v>263</v>
      </c>
      <c r="E4">
        <f>IF(Week&gt;=E$1,MATCH($A4&amp;"-"&amp;E$1&amp;$B4,Finals!$J$1:$J$501,0),IFERROR(MATCH($A4&amp;E$1&amp;$B4,'F Proj'!$N$1:$N$7669,0),MATCH("NA"&amp;E$1&amp;$B4,'F Proj'!$N$1:$N$7669,0)))</f>
        <v>266</v>
      </c>
      <c r="F4">
        <f>IF(Week&gt;=F$1,MATCH($A4&amp;"-"&amp;F$1&amp;$B4,Finals!$J$1:$J$501,0),IFERROR(MATCH($A4&amp;F$1&amp;$B4,'F Proj'!$N$1:$N$7669,0),MATCH("NA"&amp;F$1&amp;$B4,'F Proj'!$N$1:$N$7669,0)))</f>
        <v>267</v>
      </c>
      <c r="G4">
        <f>IF(Week&gt;=G$1,MATCH($A4&amp;"-"&amp;G$1&amp;$B4,Finals!$J$1:$J$501,0),IFERROR(MATCH($A4&amp;G$1&amp;$B4,'F Proj'!$N$1:$N$7669,0),MATCH("NA"&amp;G$1&amp;$B4,'F Proj'!$N$1:$N$7669,0)))</f>
        <v>39</v>
      </c>
      <c r="H4">
        <f>IF(Week&gt;=H$1,MATCH($A4&amp;"-"&amp;H$1&amp;$B4,Finals!$J$1:$J$501,0),IFERROR(MATCH($A4&amp;H$1&amp;$B4,'F Proj'!$N$1:$N$7669,0),MATCH("NA"&amp;H$1&amp;$B4,'F Proj'!$N$1:$N$7669,0)))</f>
        <v>895</v>
      </c>
      <c r="I4">
        <f>IF(Week&gt;=I$1,MATCH($A4&amp;"-"&amp;I$1&amp;$B4,Finals!$J$1:$J$501,0),IFERROR(MATCH($A4&amp;I$1&amp;$B4,'F Proj'!$N$1:$N$7669,0),MATCH("NA"&amp;I$1&amp;$B4,'F Proj'!$N$1:$N$7669,0)))</f>
        <v>408</v>
      </c>
      <c r="J4">
        <f>IF(Week&gt;=J$1,MATCH($A4&amp;"-"&amp;J$1&amp;$B4,Finals!$J$1:$J$501,0),IFERROR(MATCH($A4&amp;J$1&amp;$B4,'F Proj'!$N$1:$N$7669,0),MATCH("NA"&amp;J$1&amp;$B4,'F Proj'!$N$1:$N$7669,0)))</f>
        <v>405</v>
      </c>
      <c r="K4">
        <f>IF(Week&gt;=K$1,MATCH($A4&amp;"-"&amp;K$1&amp;$B4,Finals!$J$1:$J$501,0),IFERROR(MATCH($A4&amp;K$1&amp;$B4,'F Proj'!$N$1:$N$7669,0),MATCH("NA"&amp;K$1&amp;$B4,'F Proj'!$N$1:$N$7669,0)))</f>
        <v>490</v>
      </c>
      <c r="L4">
        <f>IF(Week&gt;=L$1,MATCH($A4&amp;"-"&amp;L$1&amp;$B4,Finals!$J$1:$J$501,0),IFERROR(MATCH($A4&amp;L$1&amp;$B4,'F Proj'!$N$1:$N$7669,0),MATCH("NA"&amp;L$1&amp;$B4,'F Proj'!$N$1:$N$7669,0)))</f>
        <v>409</v>
      </c>
      <c r="M4">
        <f>IF(Week&gt;=M$1,MATCH($A4&amp;"-"&amp;M$1&amp;$B4,Finals!$J$1:$J$501,0),IFERROR(MATCH($A4&amp;M$1&amp;$B4,'F Proj'!$N$1:$N$7669,0),MATCH("NA"&amp;M$1&amp;$B4,'F Proj'!$N$1:$N$7669,0)))</f>
        <v>425</v>
      </c>
      <c r="N4">
        <f>IF(Week&gt;=N$1,MATCH($A4&amp;"-"&amp;N$1&amp;$B4,Finals!$J$1:$J$501,0),IFERROR(MATCH($A4&amp;N$1&amp;$B4,'F Proj'!$N$1:$N$7669,0),MATCH("NA"&amp;N$1&amp;$B4,'F Proj'!$N$1:$N$7669,0)))</f>
        <v>1348</v>
      </c>
      <c r="O4">
        <f>IF(Week&gt;=O$1,MATCH($A4&amp;"-"&amp;O$1&amp;$B4,Finals!$J$1:$J$501,0),IFERROR(MATCH($A4&amp;O$1&amp;$B4,'F Proj'!$N$1:$N$7669,0),MATCH("NA"&amp;O$1&amp;$B4,'F Proj'!$N$1:$N$7669,0)))</f>
        <v>412</v>
      </c>
      <c r="P4">
        <f>IF(Week&gt;=P$1,MATCH($A4&amp;"-"&amp;P$1&amp;$B4,Finals!$J$1:$J$501,0),IFERROR(MATCH($A4&amp;P$1&amp;$B4,'F Proj'!$N$1:$N$7669,0),MATCH("NA"&amp;P$1&amp;$B4,'F Proj'!$N$1:$N$7669,0)))</f>
        <v>438</v>
      </c>
      <c r="Q4">
        <f>IF(Week&gt;=Q$1,MATCH($A4&amp;"-"&amp;Q$1&amp;$B4,Finals!$J$1:$J$501,0),IFERROR(MATCH($A4&amp;Q$1&amp;$B4,'F Proj'!$N$1:$N$7669,0),MATCH("NA"&amp;Q$1&amp;$B4,'F Proj'!$N$1:$N$7669,0)))</f>
        <v>402</v>
      </c>
      <c r="R4">
        <f>IF(Week&gt;=R$1,MATCH($A4&amp;"-"&amp;R$1&amp;$B4,Finals!$J$1:$J$501,0),IFERROR(MATCH($A4&amp;R$1&amp;$B4,'F Proj'!$N$1:$N$7669,0),MATCH("NA"&amp;R$1&amp;$B4,'F Proj'!$N$1:$N$7669,0)))</f>
        <v>439</v>
      </c>
      <c r="S4">
        <f>IF(Week&gt;=S$1,MATCH($A4&amp;"-"&amp;S$1&amp;$B4,Finals!$J$1:$J$501,0),IFERROR(MATCH($A4&amp;S$1&amp;$B4,'F Proj'!$N$1:$N$7669,0),MATCH("NA"&amp;S$1&amp;$B4,'F Proj'!$N$1:$N$7669,0)))</f>
        <v>338</v>
      </c>
      <c r="T4">
        <f>IF(Week&gt;=C$1,INDEX(Finals!$G$1:$G$501,C4),INDEX('F Proj'!$D$1:$D$7669,C4))</f>
        <v>2.1</v>
      </c>
      <c r="U4">
        <f>IF(Week&gt;=D$1,INDEX(Finals!$G$1:$G$501,D4),INDEX('F Proj'!$D$1:$D$7669,D4))</f>
        <v>6.8</v>
      </c>
      <c r="V4">
        <f>IF(Week&gt;=E$1,INDEX(Finals!$G$1:$G$501,E4),INDEX('F Proj'!$D$1:$D$7669,E4))</f>
        <v>14.6</v>
      </c>
      <c r="W4">
        <f>IF(Week&gt;=F$1,INDEX(Finals!$G$1:$G$501,F4),INDEX('F Proj'!$D$1:$D$7669,F4))</f>
        <v>15.7</v>
      </c>
      <c r="X4">
        <f>IF(Week&gt;=G$1,INDEX(Finals!$G$1:$G$501,G4),INDEX('F Proj'!$D$1:$D$7669,G4))</f>
        <v>17.45</v>
      </c>
      <c r="Y4">
        <f>IF(Week&gt;=H$1,INDEX(Finals!$G$1:$G$501,H4),INDEX('F Proj'!$D$1:$D$7669,H4))</f>
        <v>11.26</v>
      </c>
      <c r="Z4">
        <f>IF(Week&gt;=I$1,INDEX(Finals!$G$1:$G$501,I4),INDEX('F Proj'!$D$1:$D$7669,I4))</f>
        <v>15.88</v>
      </c>
      <c r="AA4">
        <f>IF(Week&gt;=J$1,INDEX(Finals!$G$1:$G$501,J4),INDEX('F Proj'!$D$1:$D$7669,J4))</f>
        <v>15.88</v>
      </c>
      <c r="AB4">
        <f>IF(Week&gt;=K$1,INDEX(Finals!$G$1:$G$501,K4),INDEX('F Proj'!$D$1:$D$7669,K4))</f>
        <v>14.97</v>
      </c>
      <c r="AC4">
        <f>IF(Week&gt;=L$1,INDEX(Finals!$G$1:$G$501,L4),INDEX('F Proj'!$D$1:$D$7669,L4))</f>
        <v>15.87</v>
      </c>
      <c r="AD4">
        <f>IF(Week&gt;=M$1,INDEX(Finals!$G$1:$G$501,M4),INDEX('F Proj'!$D$1:$D$7669,M4))</f>
        <v>15.66</v>
      </c>
      <c r="AE4">
        <f>IF(Week&gt;=N$1,INDEX(Finals!$G$1:$G$501,N4),INDEX('F Proj'!$D$1:$D$7669,N4))</f>
        <v>8.65</v>
      </c>
      <c r="AF4">
        <f>IF(Week&gt;=O$1,INDEX(Finals!$G$1:$G$501,O4),INDEX('F Proj'!$D$1:$D$7669,O4))</f>
        <v>15.86</v>
      </c>
      <c r="AG4">
        <f>IF(Week&gt;=P$1,INDEX(Finals!$G$1:$G$501,P4),INDEX('F Proj'!$D$1:$D$7669,P4))</f>
        <v>15.57</v>
      </c>
      <c r="AH4">
        <f>IF(Week&gt;=Q$1,INDEX(Finals!$G$1:$G$501,Q4),INDEX('F Proj'!$D$1:$D$7669,Q4))</f>
        <v>15.91</v>
      </c>
      <c r="AI4">
        <f>IF(Week&gt;=R$1,INDEX(Finals!$G$1:$G$501,R4),INDEX('F Proj'!$D$1:$D$7669,R4))</f>
        <v>15.57</v>
      </c>
      <c r="AJ4">
        <f>IF(Week&gt;=S$1,INDEX(Finals!$G$1:$G$501,S4),INDEX('F Proj'!$D$1:$D$7669,S4))</f>
        <v>17.04</v>
      </c>
      <c r="AK4">
        <f>IF(Week&gt;=C$1,INDEX(Finals!$I$1:$I$501,C4),INDEX('F Proj'!$J$1:$J$7669,C4))</f>
        <v>0</v>
      </c>
      <c r="AL4">
        <f>IF(Week&gt;=D$1,INDEX(Finals!$I$1:$I$501,D4),INDEX('F Proj'!$J$1:$J$7669,D4))</f>
        <v>0</v>
      </c>
      <c r="AM4">
        <f>IF(Week&gt;=E$1,INDEX(Finals!$I$1:$I$501,E4),INDEX('F Proj'!$J$1:$J$7669,E4))</f>
        <v>0</v>
      </c>
      <c r="AN4">
        <f>IF(Week&gt;=F$1,INDEX(Finals!$I$1:$I$501,F4),INDEX('F Proj'!$J$1:$J$7669,F4))</f>
        <v>0</v>
      </c>
      <c r="AO4">
        <f>IF(Week&gt;=G$1,INDEX(Finals!$I$1:$I$501,G4),INDEX('F Proj'!$J$1:$J$7669,G4))</f>
        <v>70.8964</v>
      </c>
      <c r="AP4">
        <f>IF(Week&gt;=H$1,INDEX(Finals!$I$1:$I$501,H4),INDEX('F Proj'!$J$1:$J$7669,H4))</f>
        <v>55.950400000000002</v>
      </c>
      <c r="AQ4">
        <f>IF(Week&gt;=I$1,INDEX(Finals!$I$1:$I$501,I4),INDEX('F Proj'!$J$1:$J$7669,I4))</f>
        <v>64.802499999999995</v>
      </c>
      <c r="AR4">
        <f>IF(Week&gt;=J$1,INDEX(Finals!$I$1:$I$501,J4),INDEX('F Proj'!$J$1:$J$7669,J4))</f>
        <v>115.77760000000001</v>
      </c>
      <c r="AS4">
        <f>IF(Week&gt;=K$1,INDEX(Finals!$I$1:$I$501,K4),INDEX('F Proj'!$J$1:$J$7669,K4))</f>
        <v>55.3536</v>
      </c>
      <c r="AT4">
        <f>IF(Week&gt;=L$1,INDEX(Finals!$I$1:$I$501,L4),INDEX('F Proj'!$J$1:$J$7669,L4))</f>
        <v>120.1216</v>
      </c>
      <c r="AU4">
        <f>IF(Week&gt;=M$1,INDEX(Finals!$I$1:$I$501,M4),INDEX('F Proj'!$J$1:$J$7669,M4))</f>
        <v>54.908099999999997</v>
      </c>
      <c r="AV4">
        <f>IF(Week&gt;=N$1,INDEX(Finals!$I$1:$I$501,N4),INDEX('F Proj'!$J$1:$J$7669,N4))</f>
        <v>39.816099999999999</v>
      </c>
      <c r="AW4">
        <f>IF(Week&gt;=O$1,INDEX(Finals!$I$1:$I$501,O4),INDEX('F Proj'!$J$1:$J$7669,O4))</f>
        <v>124.54559999999999</v>
      </c>
      <c r="AX4">
        <f>IF(Week&gt;=P$1,INDEX(Finals!$I$1:$I$501,P4),INDEX('F Proj'!$J$1:$J$7669,P4))</f>
        <v>73.7881</v>
      </c>
      <c r="AY4">
        <f>IF(Week&gt;=Q$1,INDEX(Finals!$I$1:$I$501,Q4),INDEX('F Proj'!$J$1:$J$7669,Q4))</f>
        <v>117.7225</v>
      </c>
      <c r="AZ4">
        <f>IF(Week&gt;=R$1,INDEX(Finals!$I$1:$I$501,R4),INDEX('F Proj'!$J$1:$J$7669,R4))</f>
        <v>68.724100000000007</v>
      </c>
      <c r="BA4">
        <f>IF(Week&gt;=S$1,INDEX(Finals!$I$1:$I$501,S4),INDEX('F Proj'!$J$1:$J$7669,S4))</f>
        <v>117.7225</v>
      </c>
    </row>
    <row r="5" spans="1:53" x14ac:dyDescent="0.25">
      <c r="A5" t="s">
        <v>20</v>
      </c>
      <c r="B5" t="s">
        <v>470</v>
      </c>
      <c r="C5" t="e">
        <f>IF(Week&gt;=C$1,MATCH($A5&amp;"-"&amp;C$1&amp;$B5,Finals!$J$1:$J$501,0),IFERROR(MATCH($A5&amp;C$1&amp;$B5,'F Proj'!$N$1:$N$7669,0),MATCH("NA"&amp;C$1&amp;$B5,'F Proj'!$N$1:$N$7669,0)))</f>
        <v>#N/A</v>
      </c>
      <c r="D5" t="e">
        <f>IF(Week&gt;=D$1,MATCH($A5&amp;"-"&amp;D$1&amp;$B5,Finals!$J$1:$J$501,0),IFERROR(MATCH($A5&amp;D$1&amp;$B5,'F Proj'!$N$1:$N$7669,0),MATCH("NA"&amp;D$1&amp;$B5,'F Proj'!$N$1:$N$7669,0)))</f>
        <v>#N/A</v>
      </c>
      <c r="E5" t="e">
        <f>IF(Week&gt;=E$1,MATCH($A5&amp;"-"&amp;E$1&amp;$B5,Finals!$J$1:$J$501,0),IFERROR(MATCH($A5&amp;E$1&amp;$B5,'F Proj'!$N$1:$N$7669,0),MATCH("NA"&amp;E$1&amp;$B5,'F Proj'!$N$1:$N$7669,0)))</f>
        <v>#N/A</v>
      </c>
      <c r="F5" t="e">
        <f>IF(Week&gt;=F$1,MATCH($A5&amp;"-"&amp;F$1&amp;$B5,Finals!$J$1:$J$501,0),IFERROR(MATCH($A5&amp;F$1&amp;$B5,'F Proj'!$N$1:$N$7669,0),MATCH("NA"&amp;F$1&amp;$B5,'F Proj'!$N$1:$N$7669,0)))</f>
        <v>#N/A</v>
      </c>
      <c r="G5" t="e">
        <f>IF(Week&gt;=G$1,MATCH($A5&amp;"-"&amp;G$1&amp;$B5,Finals!$J$1:$J$501,0),IFERROR(MATCH($A5&amp;G$1&amp;$B5,'F Proj'!$N$1:$N$7669,0),MATCH("NA"&amp;G$1&amp;$B5,'F Proj'!$N$1:$N$7669,0)))</f>
        <v>#N/A</v>
      </c>
      <c r="H5">
        <f>IF(Week&gt;=H$1,MATCH($A5&amp;"-"&amp;H$1&amp;$B5,Finals!$J$1:$J$501,0),IFERROR(MATCH($A5&amp;H$1&amp;$B5,'F Proj'!$N$1:$N$7669,0),MATCH("NA"&amp;H$1&amp;$B5,'F Proj'!$N$1:$N$7669,0)))</f>
        <v>2081</v>
      </c>
      <c r="I5">
        <f>IF(Week&gt;=I$1,MATCH($A5&amp;"-"&amp;I$1&amp;$B5,Finals!$J$1:$J$501,0),IFERROR(MATCH($A5&amp;I$1&amp;$B5,'F Proj'!$N$1:$N$7669,0),MATCH("NA"&amp;I$1&amp;$B5,'F Proj'!$N$1:$N$7669,0)))</f>
        <v>1902</v>
      </c>
      <c r="J5">
        <f>IF(Week&gt;=J$1,MATCH($A5&amp;"-"&amp;J$1&amp;$B5,Finals!$J$1:$J$501,0),IFERROR(MATCH($A5&amp;J$1&amp;$B5,'F Proj'!$N$1:$N$7669,0),MATCH("NA"&amp;J$1&amp;$B5,'F Proj'!$N$1:$N$7669,0)))</f>
        <v>790</v>
      </c>
      <c r="K5">
        <f>IF(Week&gt;=K$1,MATCH($A5&amp;"-"&amp;K$1&amp;$B5,Finals!$J$1:$J$501,0),IFERROR(MATCH($A5&amp;K$1&amp;$B5,'F Proj'!$N$1:$N$7669,0),MATCH("NA"&amp;K$1&amp;$B5,'F Proj'!$N$1:$N$7669,0)))</f>
        <v>984</v>
      </c>
      <c r="L5">
        <f>IF(Week&gt;=L$1,MATCH($A5&amp;"-"&amp;L$1&amp;$B5,Finals!$J$1:$J$501,0),IFERROR(MATCH($A5&amp;L$1&amp;$B5,'F Proj'!$N$1:$N$7669,0),MATCH("NA"&amp;L$1&amp;$B5,'F Proj'!$N$1:$N$7669,0)))</f>
        <v>966</v>
      </c>
      <c r="M5">
        <f>IF(Week&gt;=M$1,MATCH($A5&amp;"-"&amp;M$1&amp;$B5,Finals!$J$1:$J$501,0),IFERROR(MATCH($A5&amp;M$1&amp;$B5,'F Proj'!$N$1:$N$7669,0),MATCH("NA"&amp;M$1&amp;$B5,'F Proj'!$N$1:$N$7669,0)))</f>
        <v>1114</v>
      </c>
      <c r="N5">
        <f>IF(Week&gt;=N$1,MATCH($A5&amp;"-"&amp;N$1&amp;$B5,Finals!$J$1:$J$501,0),IFERROR(MATCH($A5&amp;N$1&amp;$B5,'F Proj'!$N$1:$N$7669,0),MATCH("NA"&amp;N$1&amp;$B5,'F Proj'!$N$1:$N$7669,0)))</f>
        <v>2095</v>
      </c>
      <c r="O5">
        <f>IF(Week&gt;=O$1,MATCH($A5&amp;"-"&amp;O$1&amp;$B5,Finals!$J$1:$J$501,0),IFERROR(MATCH($A5&amp;O$1&amp;$B5,'F Proj'!$N$1:$N$7669,0),MATCH("NA"&amp;O$1&amp;$B5,'F Proj'!$N$1:$N$7669,0)))</f>
        <v>742</v>
      </c>
      <c r="P5">
        <f>IF(Week&gt;=P$1,MATCH($A5&amp;"-"&amp;P$1&amp;$B5,Finals!$J$1:$J$501,0),IFERROR(MATCH($A5&amp;P$1&amp;$B5,'F Proj'!$N$1:$N$7669,0),MATCH("NA"&amp;P$1&amp;$B5,'F Proj'!$N$1:$N$7669,0)))</f>
        <v>872</v>
      </c>
      <c r="Q5">
        <f>IF(Week&gt;=Q$1,MATCH($A5&amp;"-"&amp;Q$1&amp;$B5,Finals!$J$1:$J$501,0),IFERROR(MATCH($A5&amp;Q$1&amp;$B5,'F Proj'!$N$1:$N$7669,0),MATCH("NA"&amp;Q$1&amp;$B5,'F Proj'!$N$1:$N$7669,0)))</f>
        <v>1002</v>
      </c>
      <c r="R5">
        <f>IF(Week&gt;=R$1,MATCH($A5&amp;"-"&amp;R$1&amp;$B5,Finals!$J$1:$J$501,0),IFERROR(MATCH($A5&amp;R$1&amp;$B5,'F Proj'!$N$1:$N$7669,0),MATCH("NA"&amp;R$1&amp;$B5,'F Proj'!$N$1:$N$7669,0)))</f>
        <v>1051</v>
      </c>
      <c r="S5">
        <f>IF(Week&gt;=S$1,MATCH($A5&amp;"-"&amp;S$1&amp;$B5,Finals!$J$1:$J$501,0),IFERROR(MATCH($A5&amp;S$1&amp;$B5,'F Proj'!$N$1:$N$7669,0),MATCH("NA"&amp;S$1&amp;$B5,'F Proj'!$N$1:$N$7669,0)))</f>
        <v>721</v>
      </c>
    </row>
    <row r="6" spans="1:53" x14ac:dyDescent="0.25">
      <c r="A6" t="s">
        <v>20</v>
      </c>
      <c r="B6" t="s">
        <v>471</v>
      </c>
      <c r="C6">
        <f>IF(Week&gt;=C$1,MATCH($A6&amp;"-"&amp;C$1&amp;$B6,Finals!$J$1:$J$501,0),IFERROR(MATCH($A6&amp;C$1&amp;$B6,'F Proj'!$N$1:$N$7669,0),MATCH("NA"&amp;C$1&amp;$B6,'F Proj'!$N$1:$N$7669,0)))</f>
        <v>213</v>
      </c>
      <c r="D6">
        <f>IF(Week&gt;=D$1,MATCH($A6&amp;"-"&amp;D$1&amp;$B6,Finals!$J$1:$J$501,0),IFERROR(MATCH($A6&amp;D$1&amp;$B6,'F Proj'!$N$1:$N$7669,0),MATCH("NA"&amp;D$1&amp;$B6,'F Proj'!$N$1:$N$7669,0)))</f>
        <v>214</v>
      </c>
      <c r="E6">
        <f>IF(Week&gt;=E$1,MATCH($A6&amp;"-"&amp;E$1&amp;$B6,Finals!$J$1:$J$501,0),IFERROR(MATCH($A6&amp;E$1&amp;$B6,'F Proj'!$N$1:$N$7669,0),MATCH("NA"&amp;E$1&amp;$B6,'F Proj'!$N$1:$N$7669,0)))</f>
        <v>215</v>
      </c>
      <c r="F6">
        <f>IF(Week&gt;=F$1,MATCH($A6&amp;"-"&amp;F$1&amp;$B6,Finals!$J$1:$J$501,0),IFERROR(MATCH($A6&amp;F$1&amp;$B6,'F Proj'!$N$1:$N$7669,0),MATCH("NA"&amp;F$1&amp;$B6,'F Proj'!$N$1:$N$7669,0)))</f>
        <v>216</v>
      </c>
      <c r="G6">
        <f>IF(Week&gt;=G$1,MATCH($A6&amp;"-"&amp;G$1&amp;$B6,Finals!$J$1:$J$501,0),IFERROR(MATCH($A6&amp;G$1&amp;$B6,'F Proj'!$N$1:$N$7669,0),MATCH("NA"&amp;G$1&amp;$B6,'F Proj'!$N$1:$N$7669,0)))</f>
        <v>217</v>
      </c>
      <c r="H6">
        <f>IF(Week&gt;=H$1,MATCH($A6&amp;"-"&amp;H$1&amp;$B6,Finals!$J$1:$J$501,0),IFERROR(MATCH($A6&amp;H$1&amp;$B6,'F Proj'!$N$1:$N$7669,0),MATCH("NA"&amp;H$1&amp;$B6,'F Proj'!$N$1:$N$7669,0)))</f>
        <v>932</v>
      </c>
      <c r="I6">
        <f>IF(Week&gt;=I$1,MATCH($A6&amp;"-"&amp;I$1&amp;$B6,Finals!$J$1:$J$501,0),IFERROR(MATCH($A6&amp;I$1&amp;$B6,'F Proj'!$N$1:$N$7669,0),MATCH("NA"&amp;I$1&amp;$B6,'F Proj'!$N$1:$N$7669,0)))</f>
        <v>1413</v>
      </c>
      <c r="J6">
        <f>IF(Week&gt;=J$1,MATCH($A6&amp;"-"&amp;J$1&amp;$B6,Finals!$J$1:$J$501,0),IFERROR(MATCH($A6&amp;J$1&amp;$B6,'F Proj'!$N$1:$N$7669,0),MATCH("NA"&amp;J$1&amp;$B6,'F Proj'!$N$1:$N$7669,0)))</f>
        <v>795</v>
      </c>
      <c r="K6">
        <f>IF(Week&gt;=K$1,MATCH($A6&amp;"-"&amp;K$1&amp;$B6,Finals!$J$1:$J$501,0),IFERROR(MATCH($A6&amp;K$1&amp;$B6,'F Proj'!$N$1:$N$7669,0),MATCH("NA"&amp;K$1&amp;$B6,'F Proj'!$N$1:$N$7669,0)))</f>
        <v>695</v>
      </c>
      <c r="L6">
        <f>IF(Week&gt;=L$1,MATCH($A6&amp;"-"&amp;L$1&amp;$B6,Finals!$J$1:$J$501,0),IFERROR(MATCH($A6&amp;L$1&amp;$B6,'F Proj'!$N$1:$N$7669,0),MATCH("NA"&amp;L$1&amp;$B6,'F Proj'!$N$1:$N$7669,0)))</f>
        <v>936</v>
      </c>
      <c r="M6">
        <f>IF(Week&gt;=M$1,MATCH($A6&amp;"-"&amp;M$1&amp;$B6,Finals!$J$1:$J$501,0),IFERROR(MATCH($A6&amp;M$1&amp;$B6,'F Proj'!$N$1:$N$7669,0),MATCH("NA"&amp;M$1&amp;$B6,'F Proj'!$N$1:$N$7669,0)))</f>
        <v>740</v>
      </c>
      <c r="N6">
        <f>IF(Week&gt;=N$1,MATCH($A6&amp;"-"&amp;N$1&amp;$B6,Finals!$J$1:$J$501,0),IFERROR(MATCH($A6&amp;N$1&amp;$B6,'F Proj'!$N$1:$N$7669,0),MATCH("NA"&amp;N$1&amp;$B6,'F Proj'!$N$1:$N$7669,0)))</f>
        <v>665</v>
      </c>
      <c r="O6">
        <f>IF(Week&gt;=O$1,MATCH($A6&amp;"-"&amp;O$1&amp;$B6,Finals!$J$1:$J$501,0),IFERROR(MATCH($A6&amp;O$1&amp;$B6,'F Proj'!$N$1:$N$7669,0),MATCH("NA"&amp;O$1&amp;$B6,'F Proj'!$N$1:$N$7669,0)))</f>
        <v>1099</v>
      </c>
      <c r="P6">
        <f>IF(Week&gt;=P$1,MATCH($A6&amp;"-"&amp;P$1&amp;$B6,Finals!$J$1:$J$501,0),IFERROR(MATCH($A6&amp;P$1&amp;$B6,'F Proj'!$N$1:$N$7669,0),MATCH("NA"&amp;P$1&amp;$B6,'F Proj'!$N$1:$N$7669,0)))</f>
        <v>686</v>
      </c>
      <c r="Q6">
        <f>IF(Week&gt;=Q$1,MATCH($A6&amp;"-"&amp;Q$1&amp;$B6,Finals!$J$1:$J$501,0),IFERROR(MATCH($A6&amp;Q$1&amp;$B6,'F Proj'!$N$1:$N$7669,0),MATCH("NA"&amp;Q$1&amp;$B6,'F Proj'!$N$1:$N$7669,0)))</f>
        <v>990</v>
      </c>
      <c r="R6">
        <f>IF(Week&gt;=R$1,MATCH($A6&amp;"-"&amp;R$1&amp;$B6,Finals!$J$1:$J$501,0),IFERROR(MATCH($A6&amp;R$1&amp;$B6,'F Proj'!$N$1:$N$7669,0),MATCH("NA"&amp;R$1&amp;$B6,'F Proj'!$N$1:$N$7669,0)))</f>
        <v>916</v>
      </c>
      <c r="S6">
        <f>IF(Week&gt;=S$1,MATCH($A6&amp;"-"&amp;S$1&amp;$B6,Finals!$J$1:$J$501,0),IFERROR(MATCH($A6&amp;S$1&amp;$B6,'F Proj'!$N$1:$N$7669,0),MATCH("NA"&amp;S$1&amp;$B6,'F Proj'!$N$1:$N$7669,0)))</f>
        <v>960</v>
      </c>
      <c r="T6">
        <f>IF(Week&gt;=C$1,INDEX(Finals!$G$1:$G$501,C6),INDEX('F Proj'!$D$1:$D$7669,C6))</f>
        <v>11.9</v>
      </c>
      <c r="U6">
        <f>IF(Week&gt;=D$1,INDEX(Finals!$G$1:$G$501,D6),INDEX('F Proj'!$D$1:$D$7669,D6))</f>
        <v>18.100000000000001</v>
      </c>
      <c r="V6">
        <f>IF(Week&gt;=E$1,INDEX(Finals!$G$1:$G$501,E6),INDEX('F Proj'!$D$1:$D$7669,E6))</f>
        <v>11.6</v>
      </c>
      <c r="W6">
        <f>IF(Week&gt;=F$1,INDEX(Finals!$G$1:$G$501,F6),INDEX('F Proj'!$D$1:$D$7669,F6))</f>
        <v>6</v>
      </c>
      <c r="X6">
        <f>IF(Week&gt;=G$1,INDEX(Finals!$G$1:$G$501,G6),INDEX('F Proj'!$D$1:$D$7669,G6))</f>
        <v>11.35</v>
      </c>
      <c r="Y6">
        <f>IF(Week&gt;=H$1,INDEX(Finals!$G$1:$G$501,H6),INDEX('F Proj'!$D$1:$D$7669,H6))</f>
        <v>10.91</v>
      </c>
      <c r="Z6">
        <f>IF(Week&gt;=I$1,INDEX(Finals!$G$1:$G$501,I6),INDEX('F Proj'!$D$1:$D$7669,I6))</f>
        <v>8.43</v>
      </c>
      <c r="AA6">
        <f>IF(Week&gt;=J$1,INDEX(Finals!$G$1:$G$501,J6),INDEX('F Proj'!$D$1:$D$7669,J6))</f>
        <v>12.21</v>
      </c>
      <c r="AB6">
        <f>IF(Week&gt;=K$1,INDEX(Finals!$G$1:$G$501,K6),INDEX('F Proj'!$D$1:$D$7669,K6))</f>
        <v>12.95</v>
      </c>
      <c r="AC6">
        <f>IF(Week&gt;=L$1,INDEX(Finals!$G$1:$G$501,L6),INDEX('F Proj'!$D$1:$D$7669,L6))</f>
        <v>10.88</v>
      </c>
      <c r="AD6">
        <f>IF(Week&gt;=M$1,INDEX(Finals!$G$1:$G$501,M6),INDEX('F Proj'!$D$1:$D$7669,M6))</f>
        <v>12.67</v>
      </c>
      <c r="AE6">
        <f>IF(Week&gt;=N$1,INDEX(Finals!$G$1:$G$501,N6),INDEX('F Proj'!$D$1:$D$7669,N6))</f>
        <v>13.18</v>
      </c>
      <c r="AF6">
        <f>IF(Week&gt;=O$1,INDEX(Finals!$G$1:$G$501,O6),INDEX('F Proj'!$D$1:$D$7669,O6))</f>
        <v>9.89</v>
      </c>
      <c r="AG6">
        <f>IF(Week&gt;=P$1,INDEX(Finals!$G$1:$G$501,P6),INDEX('F Proj'!$D$1:$D$7669,P6))</f>
        <v>13.01</v>
      </c>
      <c r="AH6">
        <f>IF(Week&gt;=Q$1,INDEX(Finals!$G$1:$G$501,Q6),INDEX('F Proj'!$D$1:$D$7669,Q6))</f>
        <v>10.49</v>
      </c>
      <c r="AI6">
        <f>IF(Week&gt;=R$1,INDEX(Finals!$G$1:$G$501,R6),INDEX('F Proj'!$D$1:$D$7669,R6))</f>
        <v>11.09</v>
      </c>
      <c r="AJ6">
        <f>IF(Week&gt;=S$1,INDEX(Finals!$G$1:$G$501,S6),INDEX('F Proj'!$D$1:$D$7669,S6))</f>
        <v>10.68</v>
      </c>
      <c r="AK6">
        <f>IF(Week&gt;=C$1,INDEX(Finals!$I$1:$I$501,C6),INDEX('F Proj'!$J$1:$J$7669,C6))</f>
        <v>0</v>
      </c>
      <c r="AL6">
        <f>IF(Week&gt;=D$1,INDEX(Finals!$I$1:$I$501,D6),INDEX('F Proj'!$J$1:$J$7669,D6))</f>
        <v>0</v>
      </c>
      <c r="AM6">
        <f>IF(Week&gt;=E$1,INDEX(Finals!$I$1:$I$501,E6),INDEX('F Proj'!$J$1:$J$7669,E6))</f>
        <v>0</v>
      </c>
      <c r="AN6">
        <f>IF(Week&gt;=F$1,INDEX(Finals!$I$1:$I$501,F6),INDEX('F Proj'!$J$1:$J$7669,F6))</f>
        <v>0</v>
      </c>
      <c r="AO6">
        <f>IF(Week&gt;=G$1,INDEX(Finals!$I$1:$I$501,G6),INDEX('F Proj'!$J$1:$J$7669,G6))</f>
        <v>54.169600000000003</v>
      </c>
      <c r="AP6">
        <f>IF(Week&gt;=H$1,INDEX(Finals!$I$1:$I$501,H6),INDEX('F Proj'!$J$1:$J$7669,H6))</f>
        <v>37.332099999999997</v>
      </c>
      <c r="AQ6">
        <f>IF(Week&gt;=I$1,INDEX(Finals!$I$1:$I$501,I6),INDEX('F Proj'!$J$1:$J$7669,I6))</f>
        <v>47.196899999999999</v>
      </c>
      <c r="AR6">
        <f>IF(Week&gt;=J$1,INDEX(Finals!$I$1:$I$501,J6),INDEX('F Proj'!$J$1:$J$7669,J6))</f>
        <v>43.824399999999997</v>
      </c>
      <c r="AS6">
        <f>IF(Week&gt;=K$1,INDEX(Finals!$I$1:$I$501,K6),INDEX('F Proj'!$J$1:$J$7669,K6))</f>
        <v>32.947600000000001</v>
      </c>
      <c r="AT6">
        <f>IF(Week&gt;=L$1,INDEX(Finals!$I$1:$I$501,L6),INDEX('F Proj'!$J$1:$J$7669,L6))</f>
        <v>37.21</v>
      </c>
      <c r="AU6">
        <f>IF(Week&gt;=M$1,INDEX(Finals!$I$1:$I$501,M6),INDEX('F Proj'!$J$1:$J$7669,M6))</f>
        <v>37.945599999999999</v>
      </c>
      <c r="AV6">
        <f>IF(Week&gt;=N$1,INDEX(Finals!$I$1:$I$501,N6),INDEX('F Proj'!$J$1:$J$7669,N6))</f>
        <v>39.69</v>
      </c>
      <c r="AW6">
        <f>IF(Week&gt;=O$1,INDEX(Finals!$I$1:$I$501,O6),INDEX('F Proj'!$J$1:$J$7669,O6))</f>
        <v>30.25</v>
      </c>
      <c r="AX6">
        <f>IF(Week&gt;=P$1,INDEX(Finals!$I$1:$I$501,P6),INDEX('F Proj'!$J$1:$J$7669,P6))</f>
        <v>50.979599999999998</v>
      </c>
      <c r="AY6">
        <f>IF(Week&gt;=Q$1,INDEX(Finals!$I$1:$I$501,Q6),INDEX('F Proj'!$J$1:$J$7669,Q6))</f>
        <v>32.2624</v>
      </c>
      <c r="AZ6">
        <f>IF(Week&gt;=R$1,INDEX(Finals!$I$1:$I$501,R6),INDEX('F Proj'!$J$1:$J$7669,R6))</f>
        <v>34.456899999999997</v>
      </c>
      <c r="BA6">
        <f>IF(Week&gt;=S$1,INDEX(Finals!$I$1:$I$501,S6),INDEX('F Proj'!$J$1:$J$7669,S6))</f>
        <v>33.64</v>
      </c>
    </row>
    <row r="7" spans="1:53" x14ac:dyDescent="0.25">
      <c r="A7" t="s">
        <v>20</v>
      </c>
      <c r="B7" t="s">
        <v>472</v>
      </c>
      <c r="C7">
        <f>IF(Week&gt;=C$1,MATCH($A7&amp;"-"&amp;C$1&amp;$B7,Finals!$J$1:$J$501,0),IFERROR(MATCH($A7&amp;C$1&amp;$B7,'F Proj'!$N$1:$N$7669,0),MATCH("NA"&amp;C$1&amp;$B7,'F Proj'!$N$1:$N$7669,0)))</f>
        <v>295</v>
      </c>
      <c r="D7">
        <f>IF(Week&gt;=D$1,MATCH($A7&amp;"-"&amp;D$1&amp;$B7,Finals!$J$1:$J$501,0),IFERROR(MATCH($A7&amp;D$1&amp;$B7,'F Proj'!$N$1:$N$7669,0),MATCH("NA"&amp;D$1&amp;$B7,'F Proj'!$N$1:$N$7669,0)))</f>
        <v>296</v>
      </c>
      <c r="E7">
        <f>IF(Week&gt;=E$1,MATCH($A7&amp;"-"&amp;E$1&amp;$B7,Finals!$J$1:$J$501,0),IFERROR(MATCH($A7&amp;E$1&amp;$B7,'F Proj'!$N$1:$N$7669,0),MATCH("NA"&amp;E$1&amp;$B7,'F Proj'!$N$1:$N$7669,0)))</f>
        <v>297</v>
      </c>
      <c r="F7">
        <f>IF(Week&gt;=F$1,MATCH($A7&amp;"-"&amp;F$1&amp;$B7,Finals!$J$1:$J$501,0),IFERROR(MATCH($A7&amp;F$1&amp;$B7,'F Proj'!$N$1:$N$7669,0),MATCH("NA"&amp;F$1&amp;$B7,'F Proj'!$N$1:$N$7669,0)))</f>
        <v>238</v>
      </c>
      <c r="G7">
        <f>IF(Week&gt;=G$1,MATCH($A7&amp;"-"&amp;G$1&amp;$B7,Finals!$J$1:$J$501,0),IFERROR(MATCH($A7&amp;G$1&amp;$B7,'F Proj'!$N$1:$N$7669,0),MATCH("NA"&amp;G$1&amp;$B7,'F Proj'!$N$1:$N$7669,0)))</f>
        <v>239</v>
      </c>
      <c r="H7">
        <f>IF(Week&gt;=H$1,MATCH($A7&amp;"-"&amp;H$1&amp;$B7,Finals!$J$1:$J$501,0),IFERROR(MATCH($A7&amp;H$1&amp;$B7,'F Proj'!$N$1:$N$7669,0),MATCH("NA"&amp;H$1&amp;$B7,'F Proj'!$N$1:$N$7669,0)))</f>
        <v>1489</v>
      </c>
      <c r="I7">
        <f>IF(Week&gt;=I$1,MATCH($A7&amp;"-"&amp;I$1&amp;$B7,Finals!$J$1:$J$501,0),IFERROR(MATCH($A7&amp;I$1&amp;$B7,'F Proj'!$N$1:$N$7669,0),MATCH("NA"&amp;I$1&amp;$B7,'F Proj'!$N$1:$N$7669,0)))</f>
        <v>1678</v>
      </c>
      <c r="J7">
        <f>IF(Week&gt;=J$1,MATCH($A7&amp;"-"&amp;J$1&amp;$B7,Finals!$J$1:$J$501,0),IFERROR(MATCH($A7&amp;J$1&amp;$B7,'F Proj'!$N$1:$N$7669,0),MATCH("NA"&amp;J$1&amp;$B7,'F Proj'!$N$1:$N$7669,0)))</f>
        <v>1229</v>
      </c>
      <c r="K7">
        <f>IF(Week&gt;=K$1,MATCH($A7&amp;"-"&amp;K$1&amp;$B7,Finals!$J$1:$J$501,0),IFERROR(MATCH($A7&amp;K$1&amp;$B7,'F Proj'!$N$1:$N$7669,0),MATCH("NA"&amp;K$1&amp;$B7,'F Proj'!$N$1:$N$7669,0)))</f>
        <v>1485</v>
      </c>
      <c r="L7">
        <f>IF(Week&gt;=L$1,MATCH($A7&amp;"-"&amp;L$1&amp;$B7,Finals!$J$1:$J$501,0),IFERROR(MATCH($A7&amp;L$1&amp;$B7,'F Proj'!$N$1:$N$7669,0),MATCH("NA"&amp;L$1&amp;$B7,'F Proj'!$N$1:$N$7669,0)))</f>
        <v>1550</v>
      </c>
      <c r="M7">
        <f>IF(Week&gt;=M$1,MATCH($A7&amp;"-"&amp;M$1&amp;$B7,Finals!$J$1:$J$501,0),IFERROR(MATCH($A7&amp;M$1&amp;$B7,'F Proj'!$N$1:$N$7669,0),MATCH("NA"&amp;M$1&amp;$B7,'F Proj'!$N$1:$N$7669,0)))</f>
        <v>1339</v>
      </c>
      <c r="N7">
        <f>IF(Week&gt;=N$1,MATCH($A7&amp;"-"&amp;N$1&amp;$B7,Finals!$J$1:$J$501,0),IFERROR(MATCH($A7&amp;N$1&amp;$B7,'F Proj'!$N$1:$N$7669,0),MATCH("NA"&amp;N$1&amp;$B7,'F Proj'!$N$1:$N$7669,0)))</f>
        <v>1177</v>
      </c>
      <c r="O7">
        <f>IF(Week&gt;=O$1,MATCH($A7&amp;"-"&amp;O$1&amp;$B7,Finals!$J$1:$J$501,0),IFERROR(MATCH($A7&amp;O$1&amp;$B7,'F Proj'!$N$1:$N$7669,0),MATCH("NA"&amp;O$1&amp;$B7,'F Proj'!$N$1:$N$7669,0)))</f>
        <v>1369</v>
      </c>
      <c r="P7">
        <f>IF(Week&gt;=P$1,MATCH($A7&amp;"-"&amp;P$1&amp;$B7,Finals!$J$1:$J$501,0),IFERROR(MATCH($A7&amp;P$1&amp;$B7,'F Proj'!$N$1:$N$7669,0),MATCH("NA"&amp;P$1&amp;$B7,'F Proj'!$N$1:$N$7669,0)))</f>
        <v>1208</v>
      </c>
      <c r="Q7">
        <f>IF(Week&gt;=Q$1,MATCH($A7&amp;"-"&amp;Q$1&amp;$B7,Finals!$J$1:$J$501,0),IFERROR(MATCH($A7&amp;Q$1&amp;$B7,'F Proj'!$N$1:$N$7669,0),MATCH("NA"&amp;Q$1&amp;$B7,'F Proj'!$N$1:$N$7669,0)))</f>
        <v>1102</v>
      </c>
      <c r="R7">
        <f>IF(Week&gt;=R$1,MATCH($A7&amp;"-"&amp;R$1&amp;$B7,Finals!$J$1:$J$501,0),IFERROR(MATCH($A7&amp;R$1&amp;$B7,'F Proj'!$N$1:$N$7669,0),MATCH("NA"&amp;R$1&amp;$B7,'F Proj'!$N$1:$N$7669,0)))</f>
        <v>1308</v>
      </c>
      <c r="S7">
        <f>IF(Week&gt;=S$1,MATCH($A7&amp;"-"&amp;S$1&amp;$B7,Finals!$J$1:$J$501,0),IFERROR(MATCH($A7&amp;S$1&amp;$B7,'F Proj'!$N$1:$N$7669,0),MATCH("NA"&amp;S$1&amp;$B7,'F Proj'!$N$1:$N$7669,0)))</f>
        <v>1312</v>
      </c>
      <c r="T7">
        <f>IF(Week&gt;=C$1,INDEX(Finals!$G$1:$G$501,C7),INDEX('F Proj'!$D$1:$D$7669,C7))</f>
        <v>5.5</v>
      </c>
      <c r="U7">
        <f>IF(Week&gt;=D$1,INDEX(Finals!$G$1:$G$501,D7),INDEX('F Proj'!$D$1:$D$7669,D7))</f>
        <v>15</v>
      </c>
      <c r="V7">
        <f>IF(Week&gt;=E$1,INDEX(Finals!$G$1:$G$501,E7),INDEX('F Proj'!$D$1:$D$7669,E7))</f>
        <v>2.4</v>
      </c>
      <c r="W7">
        <f>IF(Week&gt;=F$1,INDEX(Finals!$G$1:$G$501,F7),INDEX('F Proj'!$D$1:$D$7669,F7))</f>
        <v>7.4</v>
      </c>
      <c r="X7">
        <f>IF(Week&gt;=G$1,INDEX(Finals!$G$1:$G$501,G7),INDEX('F Proj'!$D$1:$D$7669,G7))</f>
        <v>8.16</v>
      </c>
      <c r="Y7">
        <f>IF(Week&gt;=H$1,INDEX(Finals!$G$1:$G$501,H7),INDEX('F Proj'!$D$1:$D$7669,H7))</f>
        <v>8.14</v>
      </c>
      <c r="Z7">
        <f>IF(Week&gt;=I$1,INDEX(Finals!$G$1:$G$501,I7),INDEX('F Proj'!$D$1:$D$7669,I7))</f>
        <v>7.49</v>
      </c>
      <c r="AA7">
        <f>IF(Week&gt;=J$1,INDEX(Finals!$G$1:$G$501,J7),INDEX('F Proj'!$D$1:$D$7669,J7))</f>
        <v>9.23</v>
      </c>
      <c r="AB7">
        <f>IF(Week&gt;=K$1,INDEX(Finals!$G$1:$G$501,K7),INDEX('F Proj'!$D$1:$D$7669,K7))</f>
        <v>8.16</v>
      </c>
      <c r="AC7">
        <f>IF(Week&gt;=L$1,INDEX(Finals!$G$1:$G$501,L7),INDEX('F Proj'!$D$1:$D$7669,L7))</f>
        <v>7.96</v>
      </c>
      <c r="AD7">
        <f>IF(Week&gt;=M$1,INDEX(Finals!$G$1:$G$501,M7),INDEX('F Proj'!$D$1:$D$7669,M7))</f>
        <v>8.68</v>
      </c>
      <c r="AE7">
        <f>IF(Week&gt;=N$1,INDEX(Finals!$G$1:$G$501,N7),INDEX('F Proj'!$D$1:$D$7669,N7))</f>
        <v>9.5299999999999994</v>
      </c>
      <c r="AF7">
        <f>IF(Week&gt;=O$1,INDEX(Finals!$G$1:$G$501,O7),INDEX('F Proj'!$D$1:$D$7669,O7))</f>
        <v>8.58</v>
      </c>
      <c r="AG7">
        <f>IF(Week&gt;=P$1,INDEX(Finals!$G$1:$G$501,P7),INDEX('F Proj'!$D$1:$D$7669,P7))</f>
        <v>9.33</v>
      </c>
      <c r="AH7">
        <f>IF(Week&gt;=Q$1,INDEX(Finals!$G$1:$G$501,Q7),INDEX('F Proj'!$D$1:$D$7669,Q7))</f>
        <v>9.8800000000000008</v>
      </c>
      <c r="AI7">
        <f>IF(Week&gt;=R$1,INDEX(Finals!$G$1:$G$501,R7),INDEX('F Proj'!$D$1:$D$7669,R7))</f>
        <v>8.84</v>
      </c>
      <c r="AJ7">
        <f>IF(Week&gt;=S$1,INDEX(Finals!$G$1:$G$501,S7),INDEX('F Proj'!$D$1:$D$7669,S7))</f>
        <v>8.81</v>
      </c>
      <c r="AK7">
        <f>IF(Week&gt;=C$1,INDEX(Finals!$I$1:$I$501,C7),INDEX('F Proj'!$J$1:$J$7669,C7))</f>
        <v>0</v>
      </c>
      <c r="AL7">
        <f>IF(Week&gt;=D$1,INDEX(Finals!$I$1:$I$501,D7),INDEX('F Proj'!$J$1:$J$7669,D7))</f>
        <v>0</v>
      </c>
      <c r="AM7">
        <f>IF(Week&gt;=E$1,INDEX(Finals!$I$1:$I$501,E7),INDEX('F Proj'!$J$1:$J$7669,E7))</f>
        <v>0</v>
      </c>
      <c r="AN7">
        <f>IF(Week&gt;=F$1,INDEX(Finals!$I$1:$I$501,F7),INDEX('F Proj'!$J$1:$J$7669,F7))</f>
        <v>0</v>
      </c>
      <c r="AO7">
        <f>IF(Week&gt;=G$1,INDEX(Finals!$I$1:$I$501,G7),INDEX('F Proj'!$J$1:$J$7669,G7))</f>
        <v>58.216900000000003</v>
      </c>
      <c r="AP7">
        <f>IF(Week&gt;=H$1,INDEX(Finals!$I$1:$I$501,H7),INDEX('F Proj'!$J$1:$J$7669,H7))</f>
        <v>40.576900000000002</v>
      </c>
      <c r="AQ7">
        <f>IF(Week&gt;=I$1,INDEX(Finals!$I$1:$I$501,I7),INDEX('F Proj'!$J$1:$J$7669,I7))</f>
        <v>23.425599999999999</v>
      </c>
      <c r="AR7">
        <f>IF(Week&gt;=J$1,INDEX(Finals!$I$1:$I$501,J7),INDEX('F Proj'!$J$1:$J$7669,J7))</f>
        <v>32.035600000000002</v>
      </c>
      <c r="AS7">
        <f>IF(Week&gt;=K$1,INDEX(Finals!$I$1:$I$501,K7),INDEX('F Proj'!$J$1:$J$7669,K7))</f>
        <v>20.793600000000001</v>
      </c>
      <c r="AT7">
        <f>IF(Week&gt;=L$1,INDEX(Finals!$I$1:$I$501,L7),INDEX('F Proj'!$J$1:$J$7669,L7))</f>
        <v>32.2624</v>
      </c>
      <c r="AU7">
        <f>IF(Week&gt;=M$1,INDEX(Finals!$I$1:$I$501,M7),INDEX('F Proj'!$J$1:$J$7669,M7))</f>
        <v>44.488900000000001</v>
      </c>
      <c r="AV7">
        <f>IF(Week&gt;=N$1,INDEX(Finals!$I$1:$I$501,N7),INDEX('F Proj'!$J$1:$J$7669,N7))</f>
        <v>32.2624</v>
      </c>
      <c r="AW7">
        <f>IF(Week&gt;=O$1,INDEX(Finals!$I$1:$I$501,O7),INDEX('F Proj'!$J$1:$J$7669,O7))</f>
        <v>37.576900000000002</v>
      </c>
      <c r="AX7">
        <f>IF(Week&gt;=P$1,INDEX(Finals!$I$1:$I$501,P7),INDEX('F Proj'!$J$1:$J$7669,P7))</f>
        <v>32.2624</v>
      </c>
      <c r="AY7">
        <f>IF(Week&gt;=Q$1,INDEX(Finals!$I$1:$I$501,Q7),INDEX('F Proj'!$J$1:$J$7669,Q7))</f>
        <v>30.691600000000001</v>
      </c>
      <c r="AZ7">
        <f>IF(Week&gt;=R$1,INDEX(Finals!$I$1:$I$501,R7),INDEX('F Proj'!$J$1:$J$7669,R7))</f>
        <v>31.584399999999999</v>
      </c>
      <c r="BA7">
        <f>IF(Week&gt;=S$1,INDEX(Finals!$I$1:$I$501,S7),INDEX('F Proj'!$J$1:$J$7669,S7))</f>
        <v>46.104100000000003</v>
      </c>
    </row>
    <row r="8" spans="1:53" x14ac:dyDescent="0.25">
      <c r="A8" t="s">
        <v>20</v>
      </c>
      <c r="B8" t="s">
        <v>473</v>
      </c>
      <c r="C8">
        <f>IF(Week&gt;=C$1,MATCH($A8&amp;"-"&amp;C$1&amp;$B8,Finals!$J$1:$J$501,0),IFERROR(MATCH($A8&amp;C$1&amp;$B8,'F Proj'!$N$1:$N$7669,0),MATCH("NA"&amp;C$1&amp;$B8,'F Proj'!$N$1:$N$7669,0)))</f>
        <v>229</v>
      </c>
      <c r="D8">
        <f>IF(Week&gt;=D$1,MATCH($A8&amp;"-"&amp;D$1&amp;$B8,Finals!$J$1:$J$501,0),IFERROR(MATCH($A8&amp;D$1&amp;$B8,'F Proj'!$N$1:$N$7669,0),MATCH("NA"&amp;D$1&amp;$B8,'F Proj'!$N$1:$N$7669,0)))</f>
        <v>236</v>
      </c>
      <c r="E8">
        <f>IF(Week&gt;=E$1,MATCH($A8&amp;"-"&amp;E$1&amp;$B8,Finals!$J$1:$J$501,0),IFERROR(MATCH($A8&amp;E$1&amp;$B8,'F Proj'!$N$1:$N$7669,0),MATCH("NA"&amp;E$1&amp;$B8,'F Proj'!$N$1:$N$7669,0)))</f>
        <v>237</v>
      </c>
      <c r="F8">
        <f>IF(Week&gt;=F$1,MATCH($A8&amp;"-"&amp;F$1&amp;$B8,Finals!$J$1:$J$501,0),IFERROR(MATCH($A8&amp;F$1&amp;$B8,'F Proj'!$N$1:$N$7669,0),MATCH("NA"&amp;F$1&amp;$B8,'F Proj'!$N$1:$N$7669,0)))</f>
        <v>198</v>
      </c>
      <c r="G8">
        <f>IF(Week&gt;=G$1,MATCH($A8&amp;"-"&amp;G$1&amp;$B8,Finals!$J$1:$J$501,0),IFERROR(MATCH($A8&amp;G$1&amp;$B8,'F Proj'!$N$1:$N$7669,0),MATCH("NA"&amp;G$1&amp;$B8,'F Proj'!$N$1:$N$7669,0)))</f>
        <v>199</v>
      </c>
      <c r="H8">
        <f>IF(Week&gt;=H$1,MATCH($A8&amp;"-"&amp;H$1&amp;$B8,Finals!$J$1:$J$501,0),IFERROR(MATCH($A8&amp;H$1&amp;$B8,'F Proj'!$N$1:$N$7669,0),MATCH("NA"&amp;H$1&amp;$B8,'F Proj'!$N$1:$N$7669,0)))</f>
        <v>1855</v>
      </c>
      <c r="I8">
        <f>IF(Week&gt;=I$1,MATCH($A8&amp;"-"&amp;I$1&amp;$B8,Finals!$J$1:$J$501,0),IFERROR(MATCH($A8&amp;I$1&amp;$B8,'F Proj'!$N$1:$N$7669,0),MATCH("NA"&amp;I$1&amp;$B8,'F Proj'!$N$1:$N$7669,0)))</f>
        <v>1756</v>
      </c>
      <c r="J8">
        <f>IF(Week&gt;=J$1,MATCH($A8&amp;"-"&amp;J$1&amp;$B8,Finals!$J$1:$J$501,0),IFERROR(MATCH($A8&amp;J$1&amp;$B8,'F Proj'!$N$1:$N$7669,0),MATCH("NA"&amp;J$1&amp;$B8,'F Proj'!$N$1:$N$7669,0)))</f>
        <v>1475</v>
      </c>
      <c r="K8">
        <f>IF(Week&gt;=K$1,MATCH($A8&amp;"-"&amp;K$1&amp;$B8,Finals!$J$1:$J$501,0),IFERROR(MATCH($A8&amp;K$1&amp;$B8,'F Proj'!$N$1:$N$7669,0),MATCH("NA"&amp;K$1&amp;$B8,'F Proj'!$N$1:$N$7669,0)))</f>
        <v>1610</v>
      </c>
      <c r="L8">
        <f>IF(Week&gt;=L$1,MATCH($A8&amp;"-"&amp;L$1&amp;$B8,Finals!$J$1:$J$501,0),IFERROR(MATCH($A8&amp;L$1&amp;$B8,'F Proj'!$N$1:$N$7669,0),MATCH("NA"&amp;L$1&amp;$B8,'F Proj'!$N$1:$N$7669,0)))</f>
        <v>1804</v>
      </c>
      <c r="M8">
        <f>IF(Week&gt;=M$1,MATCH($A8&amp;"-"&amp;M$1&amp;$B8,Finals!$J$1:$J$501,0),IFERROR(MATCH($A8&amp;M$1&amp;$B8,'F Proj'!$N$1:$N$7669,0),MATCH("NA"&amp;M$1&amp;$B8,'F Proj'!$N$1:$N$7669,0)))</f>
        <v>1658</v>
      </c>
      <c r="N8">
        <f>IF(Week&gt;=N$1,MATCH($A8&amp;"-"&amp;N$1&amp;$B8,Finals!$J$1:$J$501,0),IFERROR(MATCH($A8&amp;N$1&amp;$B8,'F Proj'!$N$1:$N$7669,0),MATCH("NA"&amp;N$1&amp;$B8,'F Proj'!$N$1:$N$7669,0)))</f>
        <v>1757</v>
      </c>
      <c r="O8">
        <f>IF(Week&gt;=O$1,MATCH($A8&amp;"-"&amp;O$1&amp;$B8,Finals!$J$1:$J$501,0),IFERROR(MATCH($A8&amp;O$1&amp;$B8,'F Proj'!$N$1:$N$7669,0),MATCH("NA"&amp;O$1&amp;$B8,'F Proj'!$N$1:$N$7669,0)))</f>
        <v>1465</v>
      </c>
      <c r="P8">
        <f>IF(Week&gt;=P$1,MATCH($A8&amp;"-"&amp;P$1&amp;$B8,Finals!$J$1:$J$501,0),IFERROR(MATCH($A8&amp;P$1&amp;$B8,'F Proj'!$N$1:$N$7669,0),MATCH("NA"&amp;P$1&amp;$B8,'F Proj'!$N$1:$N$7669,0)))</f>
        <v>1762</v>
      </c>
      <c r="Q8">
        <f>IF(Week&gt;=Q$1,MATCH($A8&amp;"-"&amp;Q$1&amp;$B8,Finals!$J$1:$J$501,0),IFERROR(MATCH($A8&amp;Q$1&amp;$B8,'F Proj'!$N$1:$N$7669,0),MATCH("NA"&amp;Q$1&amp;$B8,'F Proj'!$N$1:$N$7669,0)))</f>
        <v>1534</v>
      </c>
      <c r="R8">
        <f>IF(Week&gt;=R$1,MATCH($A8&amp;"-"&amp;R$1&amp;$B8,Finals!$J$1:$J$501,0),IFERROR(MATCH($A8&amp;R$1&amp;$B8,'F Proj'!$N$1:$N$7669,0),MATCH("NA"&amp;R$1&amp;$B8,'F Proj'!$N$1:$N$7669,0)))</f>
        <v>1557</v>
      </c>
      <c r="S8">
        <f>IF(Week&gt;=S$1,MATCH($A8&amp;"-"&amp;S$1&amp;$B8,Finals!$J$1:$J$501,0),IFERROR(MATCH($A8&amp;S$1&amp;$B8,'F Proj'!$N$1:$N$7669,0),MATCH("NA"&amp;S$1&amp;$B8,'F Proj'!$N$1:$N$7669,0)))</f>
        <v>1715</v>
      </c>
      <c r="T8">
        <f>IF(Week&gt;=C$1,INDEX(Finals!$G$1:$G$501,C8),INDEX('F Proj'!$D$1:$D$7669,C8))</f>
        <v>5.4</v>
      </c>
      <c r="U8">
        <f>IF(Week&gt;=D$1,INDEX(Finals!$G$1:$G$501,D8),INDEX('F Proj'!$D$1:$D$7669,D8))</f>
        <v>14.9</v>
      </c>
      <c r="V8">
        <f>IF(Week&gt;=E$1,INDEX(Finals!$G$1:$G$501,E8),INDEX('F Proj'!$D$1:$D$7669,E8))</f>
        <v>11.3</v>
      </c>
      <c r="W8">
        <f>IF(Week&gt;=F$1,INDEX(Finals!$G$1:$G$501,F8),INDEX('F Proj'!$D$1:$D$7669,F8))</f>
        <v>17.899999999999999</v>
      </c>
      <c r="X8">
        <f>IF(Week&gt;=G$1,INDEX(Finals!$G$1:$G$501,G8),INDEX('F Proj'!$D$1:$D$7669,G8))</f>
        <v>8.4499999999999993</v>
      </c>
      <c r="Y8">
        <f>IF(Week&gt;=H$1,INDEX(Finals!$G$1:$G$501,H8),INDEX('F Proj'!$D$1:$D$7669,H8))</f>
        <v>6.93</v>
      </c>
      <c r="Z8">
        <f>IF(Week&gt;=I$1,INDEX(Finals!$G$1:$G$501,I8),INDEX('F Proj'!$D$1:$D$7669,I8))</f>
        <v>7.22</v>
      </c>
      <c r="AA8">
        <f>IF(Week&gt;=J$1,INDEX(Finals!$G$1:$G$501,J8),INDEX('F Proj'!$D$1:$D$7669,J8))</f>
        <v>8.18</v>
      </c>
      <c r="AB8">
        <f>IF(Week&gt;=K$1,INDEX(Finals!$G$1:$G$501,K8),INDEX('F Proj'!$D$1:$D$7669,K8))</f>
        <v>7.74</v>
      </c>
      <c r="AC8">
        <f>IF(Week&gt;=L$1,INDEX(Finals!$G$1:$G$501,L8),INDEX('F Proj'!$D$1:$D$7669,L8))</f>
        <v>7.09</v>
      </c>
      <c r="AD8">
        <f>IF(Week&gt;=M$1,INDEX(Finals!$G$1:$G$501,M8),INDEX('F Proj'!$D$1:$D$7669,M8))</f>
        <v>7.54</v>
      </c>
      <c r="AE8">
        <f>IF(Week&gt;=N$1,INDEX(Finals!$G$1:$G$501,N8),INDEX('F Proj'!$D$1:$D$7669,N8))</f>
        <v>7.22</v>
      </c>
      <c r="AF8">
        <f>IF(Week&gt;=O$1,INDEX(Finals!$G$1:$G$501,O8),INDEX('F Proj'!$D$1:$D$7669,O8))</f>
        <v>8.2200000000000006</v>
      </c>
      <c r="AG8">
        <f>IF(Week&gt;=P$1,INDEX(Finals!$G$1:$G$501,P8),INDEX('F Proj'!$D$1:$D$7669,P8))</f>
        <v>7.2</v>
      </c>
      <c r="AH8">
        <f>IF(Week&gt;=Q$1,INDEX(Finals!$G$1:$G$501,Q8),INDEX('F Proj'!$D$1:$D$7669,Q8))</f>
        <v>8.02</v>
      </c>
      <c r="AI8">
        <f>IF(Week&gt;=R$1,INDEX(Finals!$G$1:$G$501,R8),INDEX('F Proj'!$D$1:$D$7669,R8))</f>
        <v>7.94</v>
      </c>
      <c r="AJ8">
        <f>IF(Week&gt;=S$1,INDEX(Finals!$G$1:$G$501,S8),INDEX('F Proj'!$D$1:$D$7669,S8))</f>
        <v>7.36</v>
      </c>
      <c r="AK8">
        <f>IF(Week&gt;=C$1,INDEX(Finals!$I$1:$I$501,C8),INDEX('F Proj'!$J$1:$J$7669,C8))</f>
        <v>0</v>
      </c>
      <c r="AL8">
        <f>IF(Week&gt;=D$1,INDEX(Finals!$I$1:$I$501,D8),INDEX('F Proj'!$J$1:$J$7669,D8))</f>
        <v>0</v>
      </c>
      <c r="AM8">
        <f>IF(Week&gt;=E$1,INDEX(Finals!$I$1:$I$501,E8),INDEX('F Proj'!$J$1:$J$7669,E8))</f>
        <v>0</v>
      </c>
      <c r="AN8">
        <f>IF(Week&gt;=F$1,INDEX(Finals!$I$1:$I$501,F8),INDEX('F Proj'!$J$1:$J$7669,F8))</f>
        <v>0</v>
      </c>
      <c r="AO8">
        <f>IF(Week&gt;=G$1,INDEX(Finals!$I$1:$I$501,G8),INDEX('F Proj'!$J$1:$J$7669,G8))</f>
        <v>46.104100000000003</v>
      </c>
      <c r="AP8">
        <f>IF(Week&gt;=H$1,INDEX(Finals!$I$1:$I$501,H8),INDEX('F Proj'!$J$1:$J$7669,H8))</f>
        <v>24.601600000000001</v>
      </c>
      <c r="AQ8">
        <f>IF(Week&gt;=I$1,INDEX(Finals!$I$1:$I$501,I8),INDEX('F Proj'!$J$1:$J$7669,I8))</f>
        <v>43.56</v>
      </c>
      <c r="AR8">
        <f>IF(Week&gt;=J$1,INDEX(Finals!$I$1:$I$501,J8),INDEX('F Proj'!$J$1:$J$7669,J8))</f>
        <v>37.4544</v>
      </c>
      <c r="AS8">
        <f>IF(Week&gt;=K$1,INDEX(Finals!$I$1:$I$501,K8),INDEX('F Proj'!$J$1:$J$7669,K8))</f>
        <v>45.1584</v>
      </c>
      <c r="AT8">
        <f>IF(Week&gt;=L$1,INDEX(Finals!$I$1:$I$501,L8),INDEX('F Proj'!$J$1:$J$7669,L8))</f>
        <v>33.177599999999998</v>
      </c>
      <c r="AU8">
        <f>IF(Week&gt;=M$1,INDEX(Finals!$I$1:$I$501,M8),INDEX('F Proj'!$J$1:$J$7669,M8))</f>
        <v>41.602499999999999</v>
      </c>
      <c r="AV8">
        <f>IF(Week&gt;=N$1,INDEX(Finals!$I$1:$I$501,N8),INDEX('F Proj'!$J$1:$J$7669,N8))</f>
        <v>33.177599999999998</v>
      </c>
      <c r="AW8">
        <f>IF(Week&gt;=O$1,INDEX(Finals!$I$1:$I$501,O8),INDEX('F Proj'!$J$1:$J$7669,O8))</f>
        <v>42.120100000000001</v>
      </c>
      <c r="AX8">
        <f>IF(Week&gt;=P$1,INDEX(Finals!$I$1:$I$501,P8),INDEX('F Proj'!$J$1:$J$7669,P8))</f>
        <v>35.402500000000003</v>
      </c>
      <c r="AY8">
        <f>IF(Week&gt;=Q$1,INDEX(Finals!$I$1:$I$501,Q8),INDEX('F Proj'!$J$1:$J$7669,Q8))</f>
        <v>24.601600000000001</v>
      </c>
      <c r="AZ8">
        <f>IF(Week&gt;=R$1,INDEX(Finals!$I$1:$I$501,R8),INDEX('F Proj'!$J$1:$J$7669,R8))</f>
        <v>45.1584</v>
      </c>
      <c r="BA8">
        <f>IF(Week&gt;=S$1,INDEX(Finals!$I$1:$I$501,S8),INDEX('F Proj'!$J$1:$J$7669,S8))</f>
        <v>45.968400000000003</v>
      </c>
    </row>
    <row r="9" spans="1:53" x14ac:dyDescent="0.25">
      <c r="A9" t="s">
        <v>20</v>
      </c>
      <c r="B9" t="s">
        <v>474</v>
      </c>
      <c r="C9" t="e">
        <f>IF(Week&gt;=C$1,MATCH($A9&amp;"-"&amp;C$1&amp;$B9,Finals!$J$1:$J$501,0),IFERROR(MATCH($A9&amp;C$1&amp;$B9,'F Proj'!$N$1:$N$7669,0),MATCH("NA"&amp;C$1&amp;$B9,'F Proj'!$N$1:$N$7669,0)))</f>
        <v>#N/A</v>
      </c>
      <c r="D9" t="e">
        <f>IF(Week&gt;=D$1,MATCH($A9&amp;"-"&amp;D$1&amp;$B9,Finals!$J$1:$J$501,0),IFERROR(MATCH($A9&amp;D$1&amp;$B9,'F Proj'!$N$1:$N$7669,0),MATCH("NA"&amp;D$1&amp;$B9,'F Proj'!$N$1:$N$7669,0)))</f>
        <v>#N/A</v>
      </c>
      <c r="E9" t="e">
        <f>IF(Week&gt;=E$1,MATCH($A9&amp;"-"&amp;E$1&amp;$B9,Finals!$J$1:$J$501,0),IFERROR(MATCH($A9&amp;E$1&amp;$B9,'F Proj'!$N$1:$N$7669,0),MATCH("NA"&amp;E$1&amp;$B9,'F Proj'!$N$1:$N$7669,0)))</f>
        <v>#N/A</v>
      </c>
      <c r="F9" t="e">
        <f>IF(Week&gt;=F$1,MATCH($A9&amp;"-"&amp;F$1&amp;$B9,Finals!$J$1:$J$501,0),IFERROR(MATCH($A9&amp;F$1&amp;$B9,'F Proj'!$N$1:$N$7669,0),MATCH("NA"&amp;F$1&amp;$B9,'F Proj'!$N$1:$N$7669,0)))</f>
        <v>#N/A</v>
      </c>
      <c r="G9" t="e">
        <f>IF(Week&gt;=G$1,MATCH($A9&amp;"-"&amp;G$1&amp;$B9,Finals!$J$1:$J$501,0),IFERROR(MATCH($A9&amp;G$1&amp;$B9,'F Proj'!$N$1:$N$7669,0),MATCH("NA"&amp;G$1&amp;$B9,'F Proj'!$N$1:$N$7669,0)))</f>
        <v>#N/A</v>
      </c>
      <c r="H9">
        <f>IF(Week&gt;=H$1,MATCH($A9&amp;"-"&amp;H$1&amp;$B9,Finals!$J$1:$J$501,0),IFERROR(MATCH($A9&amp;H$1&amp;$B9,'F Proj'!$N$1:$N$7669,0),MATCH("NA"&amp;H$1&amp;$B9,'F Proj'!$N$1:$N$7669,0)))</f>
        <v>2115</v>
      </c>
      <c r="I9">
        <f>IF(Week&gt;=I$1,MATCH($A9&amp;"-"&amp;I$1&amp;$B9,Finals!$J$1:$J$501,0),IFERROR(MATCH($A9&amp;I$1&amp;$B9,'F Proj'!$N$1:$N$7669,0),MATCH("NA"&amp;I$1&amp;$B9,'F Proj'!$N$1:$N$7669,0)))</f>
        <v>1788</v>
      </c>
      <c r="J9">
        <f>IF(Week&gt;=J$1,MATCH($A9&amp;"-"&amp;J$1&amp;$B9,Finals!$J$1:$J$501,0),IFERROR(MATCH($A9&amp;J$1&amp;$B9,'F Proj'!$N$1:$N$7669,0),MATCH("NA"&amp;J$1&amp;$B9,'F Proj'!$N$1:$N$7669,0)))</f>
        <v>1742</v>
      </c>
      <c r="K9">
        <f>IF(Week&gt;=K$1,MATCH($A9&amp;"-"&amp;K$1&amp;$B9,Finals!$J$1:$J$501,0),IFERROR(MATCH($A9&amp;K$1&amp;$B9,'F Proj'!$N$1:$N$7669,0),MATCH("NA"&amp;K$1&amp;$B9,'F Proj'!$N$1:$N$7669,0)))</f>
        <v>1802</v>
      </c>
      <c r="L9">
        <f>IF(Week&gt;=L$1,MATCH($A9&amp;"-"&amp;L$1&amp;$B9,Finals!$J$1:$J$501,0),IFERROR(MATCH($A9&amp;L$1&amp;$B9,'F Proj'!$N$1:$N$7669,0),MATCH("NA"&amp;L$1&amp;$B9,'F Proj'!$N$1:$N$7669,0)))</f>
        <v>2347</v>
      </c>
      <c r="M9">
        <f>IF(Week&gt;=M$1,MATCH($A9&amp;"-"&amp;M$1&amp;$B9,Finals!$J$1:$J$501,0),IFERROR(MATCH($A9&amp;M$1&amp;$B9,'F Proj'!$N$1:$N$7669,0),MATCH("NA"&amp;M$1&amp;$B9,'F Proj'!$N$1:$N$7669,0)))</f>
        <v>2056</v>
      </c>
      <c r="N9">
        <f>IF(Week&gt;=N$1,MATCH($A9&amp;"-"&amp;N$1&amp;$B9,Finals!$J$1:$J$501,0),IFERROR(MATCH($A9&amp;N$1&amp;$B9,'F Proj'!$N$1:$N$7669,0),MATCH("NA"&amp;N$1&amp;$B9,'F Proj'!$N$1:$N$7669,0)))</f>
        <v>1969</v>
      </c>
      <c r="O9">
        <f>IF(Week&gt;=O$1,MATCH($A9&amp;"-"&amp;O$1&amp;$B9,Finals!$J$1:$J$501,0),IFERROR(MATCH($A9&amp;O$1&amp;$B9,'F Proj'!$N$1:$N$7669,0),MATCH("NA"&amp;O$1&amp;$B9,'F Proj'!$N$1:$N$7669,0)))</f>
        <v>1932</v>
      </c>
      <c r="P9">
        <f>IF(Week&gt;=P$1,MATCH($A9&amp;"-"&amp;P$1&amp;$B9,Finals!$J$1:$J$501,0),IFERROR(MATCH($A9&amp;P$1&amp;$B9,'F Proj'!$N$1:$N$7669,0),MATCH("NA"&amp;P$1&amp;$B9,'F Proj'!$N$1:$N$7669,0)))</f>
        <v>1828</v>
      </c>
      <c r="Q9">
        <f>IF(Week&gt;=Q$1,MATCH($A9&amp;"-"&amp;Q$1&amp;$B9,Finals!$J$1:$J$501,0),IFERROR(MATCH($A9&amp;Q$1&amp;$B9,'F Proj'!$N$1:$N$7669,0),MATCH("NA"&amp;Q$1&amp;$B9,'F Proj'!$N$1:$N$7669,0)))</f>
        <v>1706</v>
      </c>
      <c r="R9">
        <f>IF(Week&gt;=R$1,MATCH($A9&amp;"-"&amp;R$1&amp;$B9,Finals!$J$1:$J$501,0),IFERROR(MATCH($A9&amp;R$1&amp;$B9,'F Proj'!$N$1:$N$7669,0),MATCH("NA"&amp;R$1&amp;$B9,'F Proj'!$N$1:$N$7669,0)))</f>
        <v>1880</v>
      </c>
      <c r="S9">
        <f>IF(Week&gt;=S$1,MATCH($A9&amp;"-"&amp;S$1&amp;$B9,Finals!$J$1:$J$501,0),IFERROR(MATCH($A9&amp;S$1&amp;$B9,'F Proj'!$N$1:$N$7669,0),MATCH("NA"&amp;S$1&amp;$B9,'F Proj'!$N$1:$N$7669,0)))</f>
        <v>1786</v>
      </c>
    </row>
    <row r="10" spans="1:53" x14ac:dyDescent="0.25">
      <c r="A10" t="s">
        <v>20</v>
      </c>
      <c r="B10" t="s">
        <v>466</v>
      </c>
      <c r="C10">
        <f>IF(Week&gt;=C$1,MATCH($A10&amp;"-"&amp;C$1&amp;$B10,Finals!$J$1:$J$501,0),MIN(C5,C9))</f>
        <v>195</v>
      </c>
      <c r="D10">
        <f>IF(Week&gt;=D$1,MATCH($A10&amp;"-"&amp;D$1&amp;$B10,Finals!$J$1:$J$501,0),MIN(D5,D9))</f>
        <v>196</v>
      </c>
      <c r="E10">
        <f>IF(Week&gt;=E$1,MATCH($A10&amp;"-"&amp;E$1&amp;$B10,Finals!$J$1:$J$501,0),MIN(E5,E9))</f>
        <v>230</v>
      </c>
      <c r="F10">
        <f>IF(Week&gt;=F$1,MATCH($A10&amp;"-"&amp;F$1&amp;$B10,Finals!$J$1:$J$501,0),MIN(F5,F9))</f>
        <v>341</v>
      </c>
      <c r="G10">
        <f>IF(Week&gt;=G$1,MATCH($A10&amp;"-"&amp;G$1&amp;$B10,Finals!$J$1:$J$501,0),MIN(G5,G9))</f>
        <v>268</v>
      </c>
      <c r="H10">
        <f>IF(Week&gt;=H$1,MATCH($A10&amp;"-"&amp;H$1&amp;$B10,Finals!$J$1:$J$501,0),MIN(H5,H9))</f>
        <v>2081</v>
      </c>
      <c r="I10">
        <f>IF(Week&gt;=I$1,MATCH($A10&amp;"-"&amp;I$1&amp;$B10,Finals!$J$1:$J$501,0),MIN(I5,I9))</f>
        <v>1788</v>
      </c>
      <c r="J10">
        <f>IF(Week&gt;=J$1,MATCH($A10&amp;"-"&amp;J$1&amp;$B10,Finals!$J$1:$J$501,0),MIN(J5,J9))</f>
        <v>790</v>
      </c>
      <c r="K10">
        <f>IF(Week&gt;=K$1,MATCH($A10&amp;"-"&amp;K$1&amp;$B10,Finals!$J$1:$J$501,0),MIN(K5,K9))</f>
        <v>984</v>
      </c>
      <c r="L10">
        <f>IF(Week&gt;=L$1,MATCH($A10&amp;"-"&amp;L$1&amp;$B10,Finals!$J$1:$J$501,0),MIN(L5,L9))</f>
        <v>966</v>
      </c>
      <c r="M10">
        <f>IF(Week&gt;=M$1,MATCH($A10&amp;"-"&amp;M$1&amp;$B10,Finals!$J$1:$J$501,0),MIN(M5,M9))</f>
        <v>1114</v>
      </c>
      <c r="N10">
        <f>IF(Week&gt;=N$1,MATCH($A10&amp;"-"&amp;N$1&amp;$B10,Finals!$J$1:$J$501,0),MIN(N5,N9))</f>
        <v>1969</v>
      </c>
      <c r="O10">
        <f>IF(Week&gt;=O$1,MATCH($A10&amp;"-"&amp;O$1&amp;$B10,Finals!$J$1:$J$501,0),MIN(O5,O9))</f>
        <v>742</v>
      </c>
      <c r="P10">
        <f>IF(Week&gt;=P$1,MATCH($A10&amp;"-"&amp;P$1&amp;$B10,Finals!$J$1:$J$501,0),MIN(P5,P9))</f>
        <v>872</v>
      </c>
      <c r="Q10">
        <f>IF(Week&gt;=Q$1,MATCH($A10&amp;"-"&amp;Q$1&amp;$B10,Finals!$J$1:$J$501,0),MIN(Q5,Q9))</f>
        <v>1002</v>
      </c>
      <c r="R10">
        <f>IF(Week&gt;=R$1,MATCH($A10&amp;"-"&amp;R$1&amp;$B10,Finals!$J$1:$J$501,0),MIN(R5,R9))</f>
        <v>1051</v>
      </c>
      <c r="S10">
        <f>IF(Week&gt;=S$1,MATCH($A10&amp;"-"&amp;S$1&amp;$B10,Finals!$J$1:$J$501,0),MIN(S5,S9))</f>
        <v>721</v>
      </c>
      <c r="T10">
        <f>IF(Week&gt;=C$1,INDEX(Finals!$G$1:$G$501,C10),INDEX('F Proj'!$D$1:$D$7669,C10))</f>
        <v>20.9</v>
      </c>
      <c r="U10">
        <f>IF(Week&gt;=D$1,INDEX(Finals!$G$1:$G$501,D10),INDEX('F Proj'!$D$1:$D$7669,D10))</f>
        <v>8.6999999999999993</v>
      </c>
      <c r="V10">
        <f>IF(Week&gt;=E$1,INDEX(Finals!$G$1:$G$501,E10),INDEX('F Proj'!$D$1:$D$7669,E10))</f>
        <v>4</v>
      </c>
      <c r="W10">
        <f>IF(Week&gt;=F$1,INDEX(Finals!$G$1:$G$501,F10),INDEX('F Proj'!$D$1:$D$7669,F10))</f>
        <v>0</v>
      </c>
      <c r="X10">
        <f>IF(Week&gt;=G$1,INDEX(Finals!$G$1:$G$501,G10),INDEX('F Proj'!$D$1:$D$7669,G10))</f>
        <v>10.88</v>
      </c>
      <c r="Y10">
        <f>IF(Week&gt;=H$1,INDEX(Finals!$G$1:$G$501,H10),INDEX('F Proj'!$D$1:$D$7669,H10))</f>
        <v>6.28</v>
      </c>
      <c r="Z10">
        <f>IF(Week&gt;=I$1,INDEX(Finals!$G$1:$G$501,I10),INDEX('F Proj'!$D$1:$D$7669,I10))</f>
        <v>7.15</v>
      </c>
      <c r="AA10">
        <f>IF(Week&gt;=J$1,INDEX(Finals!$G$1:$G$501,J10),INDEX('F Proj'!$D$1:$D$7669,J10))</f>
        <v>12.26</v>
      </c>
      <c r="AB10">
        <f>IF(Week&gt;=K$1,INDEX(Finals!$G$1:$G$501,K10),INDEX('F Proj'!$D$1:$D$7669,K10))</f>
        <v>10.52</v>
      </c>
      <c r="AC10">
        <f>IF(Week&gt;=L$1,INDEX(Finals!$G$1:$G$501,L10),INDEX('F Proj'!$D$1:$D$7669,L10))</f>
        <v>10.64</v>
      </c>
      <c r="AD10">
        <f>IF(Week&gt;=M$1,INDEX(Finals!$G$1:$G$501,M10),INDEX('F Proj'!$D$1:$D$7669,M10))</f>
        <v>9.82</v>
      </c>
      <c r="AE10">
        <f>IF(Week&gt;=N$1,INDEX(Finals!$G$1:$G$501,N10),INDEX('F Proj'!$D$1:$D$7669,N10))</f>
        <v>6.59</v>
      </c>
      <c r="AF10">
        <f>IF(Week&gt;=O$1,INDEX(Finals!$G$1:$G$501,O10),INDEX('F Proj'!$D$1:$D$7669,O10))</f>
        <v>12.64</v>
      </c>
      <c r="AG10">
        <f>IF(Week&gt;=P$1,INDEX(Finals!$G$1:$G$501,P10),INDEX('F Proj'!$D$1:$D$7669,P10))</f>
        <v>11.53</v>
      </c>
      <c r="AH10">
        <f>IF(Week&gt;=Q$1,INDEX(Finals!$G$1:$G$501,Q10),INDEX('F Proj'!$D$1:$D$7669,Q10))</f>
        <v>10.4</v>
      </c>
      <c r="AI10">
        <f>IF(Week&gt;=R$1,INDEX(Finals!$G$1:$G$501,R10),INDEX('F Proj'!$D$1:$D$7669,R10))</f>
        <v>10.11</v>
      </c>
      <c r="AJ10">
        <f>IF(Week&gt;=S$1,INDEX(Finals!$G$1:$G$501,S10),INDEX('F Proj'!$D$1:$D$7669,S10))</f>
        <v>12.8</v>
      </c>
      <c r="AK10">
        <f>IF(Week&gt;=C$1,INDEX(Finals!$I$1:$I$501,C10),INDEX('F Proj'!$J$1:$J$7669,C10))</f>
        <v>0</v>
      </c>
      <c r="AL10">
        <f>IF(Week&gt;=D$1,INDEX(Finals!$I$1:$I$501,D10),INDEX('F Proj'!$J$1:$J$7669,D10))</f>
        <v>0</v>
      </c>
      <c r="AM10">
        <f>IF(Week&gt;=E$1,INDEX(Finals!$I$1:$I$501,E10),INDEX('F Proj'!$J$1:$J$7669,E10))</f>
        <v>0</v>
      </c>
      <c r="AN10">
        <f>IF(Week&gt;=F$1,INDEX(Finals!$I$1:$I$501,F10),INDEX('F Proj'!$J$1:$J$7669,F10))</f>
        <v>0</v>
      </c>
      <c r="AO10">
        <f>IF(Week&gt;=G$1,INDEX(Finals!$I$1:$I$501,G10),INDEX('F Proj'!$J$1:$J$7669,G10))</f>
        <v>58.216900000000003</v>
      </c>
      <c r="AP10">
        <f>IF(Week&gt;=H$1,INDEX(Finals!$I$1:$I$501,H10),INDEX('F Proj'!$J$1:$J$7669,H10))</f>
        <v>22.944099999999999</v>
      </c>
      <c r="AQ10">
        <f>IF(Week&gt;=I$1,INDEX(Finals!$I$1:$I$501,I10),INDEX('F Proj'!$J$1:$J$7669,I10))</f>
        <v>22.184100000000001</v>
      </c>
      <c r="AR10">
        <f>IF(Week&gt;=J$1,INDEX(Finals!$I$1:$I$501,J10),INDEX('F Proj'!$J$1:$J$7669,J10))</f>
        <v>52.128399999999999</v>
      </c>
      <c r="AS10">
        <f>IF(Week&gt;=K$1,INDEX(Finals!$I$1:$I$501,K10),INDEX('F Proj'!$J$1:$J$7669,K10))</f>
        <v>46.24</v>
      </c>
      <c r="AT10">
        <f>IF(Week&gt;=L$1,INDEX(Finals!$I$1:$I$501,L10),INDEX('F Proj'!$J$1:$J$7669,L10))</f>
        <v>47.196899999999999</v>
      </c>
      <c r="AU10">
        <f>IF(Week&gt;=M$1,INDEX(Finals!$I$1:$I$501,M10),INDEX('F Proj'!$J$1:$J$7669,M10))</f>
        <v>44.488900000000001</v>
      </c>
      <c r="AV10">
        <f>IF(Week&gt;=N$1,INDEX(Finals!$I$1:$I$501,N10),INDEX('F Proj'!$J$1:$J$7669,N10))</f>
        <v>16.809999999999999</v>
      </c>
      <c r="AW10">
        <f>IF(Week&gt;=O$1,INDEX(Finals!$I$1:$I$501,O10),INDEX('F Proj'!$J$1:$J$7669,O10))</f>
        <v>44.089599999999997</v>
      </c>
      <c r="AX10">
        <f>IF(Week&gt;=P$1,INDEX(Finals!$I$1:$I$501,P10),INDEX('F Proj'!$J$1:$J$7669,P10))</f>
        <v>61.622500000000002</v>
      </c>
      <c r="AY10">
        <f>IF(Week&gt;=Q$1,INDEX(Finals!$I$1:$I$501,Q10),INDEX('F Proj'!$J$1:$J$7669,Q10))</f>
        <v>48.024900000000002</v>
      </c>
      <c r="AZ10">
        <f>IF(Week&gt;=R$1,INDEX(Finals!$I$1:$I$501,R10),INDEX('F Proj'!$J$1:$J$7669,R10))</f>
        <v>45.1584</v>
      </c>
      <c r="BA10">
        <f>IF(Week&gt;=S$1,INDEX(Finals!$I$1:$I$501,S10),INDEX('F Proj'!$J$1:$J$7669,S10))</f>
        <v>54.464399999999998</v>
      </c>
    </row>
    <row r="11" spans="1:53" x14ac:dyDescent="0.25">
      <c r="A11" t="s">
        <v>20</v>
      </c>
      <c r="B11" t="s">
        <v>475</v>
      </c>
      <c r="C11">
        <f>IF(Week&gt;=C$1,MATCH($A11&amp;"-"&amp;C$1&amp;$B11,Finals!$J$1:$J$501,0),IFERROR(MATCH($A11&amp;C$1&amp;$B11,'F Proj'!$N$1:$N$7669,0),MATCH("NA"&amp;C$1&amp;$B11,'F Proj'!$N$1:$N$7669,0)))</f>
        <v>376</v>
      </c>
      <c r="D11">
        <f>IF(Week&gt;=D$1,MATCH($A11&amp;"-"&amp;D$1&amp;$B11,Finals!$J$1:$J$501,0),IFERROR(MATCH($A11&amp;D$1&amp;$B11,'F Proj'!$N$1:$N$7669,0),MATCH("NA"&amp;D$1&amp;$B11,'F Proj'!$N$1:$N$7669,0)))</f>
        <v>377</v>
      </c>
      <c r="E11">
        <f>IF(Week&gt;=E$1,MATCH($A11&amp;"-"&amp;E$1&amp;$B11,Finals!$J$1:$J$501,0),IFERROR(MATCH($A11&amp;E$1&amp;$B11,'F Proj'!$N$1:$N$7669,0),MATCH("NA"&amp;E$1&amp;$B11,'F Proj'!$N$1:$N$7669,0)))</f>
        <v>378</v>
      </c>
      <c r="F11">
        <f>IF(Week&gt;=F$1,MATCH($A11&amp;"-"&amp;F$1&amp;$B11,Finals!$J$1:$J$501,0),IFERROR(MATCH($A11&amp;F$1&amp;$B11,'F Proj'!$N$1:$N$7669,0),MATCH("NA"&amp;F$1&amp;$B11,'F Proj'!$N$1:$N$7669,0)))</f>
        <v>379</v>
      </c>
      <c r="G11">
        <f>IF(Week&gt;=G$1,MATCH($A11&amp;"-"&amp;G$1&amp;$B11,Finals!$J$1:$J$501,0),IFERROR(MATCH($A11&amp;G$1&amp;$B11,'F Proj'!$N$1:$N$7669,0),MATCH("NA"&amp;G$1&amp;$B11,'F Proj'!$N$1:$N$7669,0)))</f>
        <v>157</v>
      </c>
      <c r="H11">
        <f>IF(Week&gt;=H$1,MATCH($A11&amp;"-"&amp;H$1&amp;$B11,Finals!$J$1:$J$501,0),IFERROR(MATCH($A11&amp;H$1&amp;$B11,'F Proj'!$N$1:$N$7669,0),MATCH("NA"&amp;H$1&amp;$B11,'F Proj'!$N$1:$N$7669,0)))</f>
        <v>2323</v>
      </c>
      <c r="I11">
        <f>IF(Week&gt;=I$1,MATCH($A11&amp;"-"&amp;I$1&amp;$B11,Finals!$J$1:$J$501,0),IFERROR(MATCH($A11&amp;I$1&amp;$B11,'F Proj'!$N$1:$N$7669,0),MATCH("NA"&amp;I$1&amp;$B11,'F Proj'!$N$1:$N$7669,0)))</f>
        <v>2189</v>
      </c>
      <c r="J11">
        <f>IF(Week&gt;=J$1,MATCH($A11&amp;"-"&amp;J$1&amp;$B11,Finals!$J$1:$J$501,0),IFERROR(MATCH($A11&amp;J$1&amp;$B11,'F Proj'!$N$1:$N$7669,0),MATCH("NA"&amp;J$1&amp;$B11,'F Proj'!$N$1:$N$7669,0)))</f>
        <v>2530</v>
      </c>
      <c r="K11">
        <f>IF(Week&gt;=K$1,MATCH($A11&amp;"-"&amp;K$1&amp;$B11,Finals!$J$1:$J$501,0),IFERROR(MATCH($A11&amp;K$1&amp;$B11,'F Proj'!$N$1:$N$7669,0),MATCH("NA"&amp;K$1&amp;$B11,'F Proj'!$N$1:$N$7669,0)))</f>
        <v>2047</v>
      </c>
      <c r="L11">
        <f>IF(Week&gt;=L$1,MATCH($A11&amp;"-"&amp;L$1&amp;$B11,Finals!$J$1:$J$501,0),IFERROR(MATCH($A11&amp;L$1&amp;$B11,'F Proj'!$N$1:$N$7669,0),MATCH("NA"&amp;L$1&amp;$B11,'F Proj'!$N$1:$N$7669,0)))</f>
        <v>2252</v>
      </c>
      <c r="M11">
        <f>IF(Week&gt;=M$1,MATCH($A11&amp;"-"&amp;M$1&amp;$B11,Finals!$J$1:$J$501,0),IFERROR(MATCH($A11&amp;M$1&amp;$B11,'F Proj'!$N$1:$N$7669,0),MATCH("NA"&amp;M$1&amp;$B11,'F Proj'!$N$1:$N$7669,0)))</f>
        <v>3313</v>
      </c>
      <c r="N11">
        <f>IF(Week&gt;=N$1,MATCH($A11&amp;"-"&amp;N$1&amp;$B11,Finals!$J$1:$J$501,0),IFERROR(MATCH($A11&amp;N$1&amp;$B11,'F Proj'!$N$1:$N$7669,0),MATCH("NA"&amp;N$1&amp;$B11,'F Proj'!$N$1:$N$7669,0)))</f>
        <v>1872</v>
      </c>
      <c r="O11">
        <f>IF(Week&gt;=O$1,MATCH($A11&amp;"-"&amp;O$1&amp;$B11,Finals!$J$1:$J$501,0),IFERROR(MATCH($A11&amp;O$1&amp;$B11,'F Proj'!$N$1:$N$7669,0),MATCH("NA"&amp;O$1&amp;$B11,'F Proj'!$N$1:$N$7669,0)))</f>
        <v>2464</v>
      </c>
      <c r="P11">
        <f>IF(Week&gt;=P$1,MATCH($A11&amp;"-"&amp;P$1&amp;$B11,Finals!$J$1:$J$501,0),IFERROR(MATCH($A11&amp;P$1&amp;$B11,'F Proj'!$N$1:$N$7669,0),MATCH("NA"&amp;P$1&amp;$B11,'F Proj'!$N$1:$N$7669,0)))</f>
        <v>2505</v>
      </c>
      <c r="Q11">
        <f>IF(Week&gt;=Q$1,MATCH($A11&amp;"-"&amp;Q$1&amp;$B11,Finals!$J$1:$J$501,0),IFERROR(MATCH($A11&amp;Q$1&amp;$B11,'F Proj'!$N$1:$N$7669,0),MATCH("NA"&amp;Q$1&amp;$B11,'F Proj'!$N$1:$N$7669,0)))</f>
        <v>2439</v>
      </c>
      <c r="R11">
        <f>IF(Week&gt;=R$1,MATCH($A11&amp;"-"&amp;R$1&amp;$B11,Finals!$J$1:$J$501,0),IFERROR(MATCH($A11&amp;R$1&amp;$B11,'F Proj'!$N$1:$N$7669,0),MATCH("NA"&amp;R$1&amp;$B11,'F Proj'!$N$1:$N$7669,0)))</f>
        <v>2379</v>
      </c>
      <c r="S11">
        <f>IF(Week&gt;=S$1,MATCH($A11&amp;"-"&amp;S$1&amp;$B11,Finals!$J$1:$J$501,0),IFERROR(MATCH($A11&amp;S$1&amp;$B11,'F Proj'!$N$1:$N$7669,0),MATCH("NA"&amp;S$1&amp;$B11,'F Proj'!$N$1:$N$7669,0)))</f>
        <v>2240</v>
      </c>
      <c r="T11">
        <f>IF(Week&gt;=C$1,INDEX(Finals!$G$1:$G$501,C11),INDEX('F Proj'!$D$1:$D$7669,C11))</f>
        <v>0.6</v>
      </c>
      <c r="U11">
        <f>IF(Week&gt;=D$1,INDEX(Finals!$G$1:$G$501,D11),INDEX('F Proj'!$D$1:$D$7669,D11))</f>
        <v>22.9</v>
      </c>
      <c r="V11">
        <f>IF(Week&gt;=E$1,INDEX(Finals!$G$1:$G$501,E11),INDEX('F Proj'!$D$1:$D$7669,E11))</f>
        <v>11.4</v>
      </c>
      <c r="W11">
        <f>IF(Week&gt;=F$1,INDEX(Finals!$G$1:$G$501,F11),INDEX('F Proj'!$D$1:$D$7669,F11))</f>
        <v>13.8</v>
      </c>
      <c r="X11">
        <f>IF(Week&gt;=G$1,INDEX(Finals!$G$1:$G$501,G11),INDEX('F Proj'!$D$1:$D$7669,G11))</f>
        <v>6.15</v>
      </c>
      <c r="Y11">
        <f>IF(Week&gt;=H$1,INDEX(Finals!$G$1:$G$501,H11),INDEX('F Proj'!$D$1:$D$7669,H11))</f>
        <v>5.64</v>
      </c>
      <c r="Z11">
        <f>IF(Week&gt;=I$1,INDEX(Finals!$G$1:$G$501,I11),INDEX('F Proj'!$D$1:$D$7669,I11))</f>
        <v>5.97</v>
      </c>
      <c r="AA11">
        <f>IF(Week&gt;=J$1,INDEX(Finals!$G$1:$G$501,J11),INDEX('F Proj'!$D$1:$D$7669,J11))</f>
        <v>5.14</v>
      </c>
      <c r="AB11">
        <f>IF(Week&gt;=K$1,INDEX(Finals!$G$1:$G$501,K11),INDEX('F Proj'!$D$1:$D$7669,K11))</f>
        <v>6.38</v>
      </c>
      <c r="AC11">
        <f>IF(Week&gt;=L$1,INDEX(Finals!$G$1:$G$501,L11),INDEX('F Proj'!$D$1:$D$7669,L11))</f>
        <v>5.81</v>
      </c>
      <c r="AD11">
        <f>IF(Week&gt;=M$1,INDEX(Finals!$G$1:$G$501,M11),INDEX('F Proj'!$D$1:$D$7669,M11))</f>
        <v>3.44</v>
      </c>
      <c r="AE11">
        <f>IF(Week&gt;=N$1,INDEX(Finals!$G$1:$G$501,N11),INDEX('F Proj'!$D$1:$D$7669,N11))</f>
        <v>6.89</v>
      </c>
      <c r="AF11">
        <f>IF(Week&gt;=O$1,INDEX(Finals!$G$1:$G$501,O11),INDEX('F Proj'!$D$1:$D$7669,O11))</f>
        <v>5.31</v>
      </c>
      <c r="AG11">
        <f>IF(Week&gt;=P$1,INDEX(Finals!$G$1:$G$501,P11),INDEX('F Proj'!$D$1:$D$7669,P11))</f>
        <v>5.2</v>
      </c>
      <c r="AH11">
        <f>IF(Week&gt;=Q$1,INDEX(Finals!$G$1:$G$501,Q11),INDEX('F Proj'!$D$1:$D$7669,Q11))</f>
        <v>5.38</v>
      </c>
      <c r="AI11">
        <f>IF(Week&gt;=R$1,INDEX(Finals!$G$1:$G$501,R11),INDEX('F Proj'!$D$1:$D$7669,R11))</f>
        <v>5.49</v>
      </c>
      <c r="AJ11">
        <f>IF(Week&gt;=S$1,INDEX(Finals!$G$1:$G$501,S11),INDEX('F Proj'!$D$1:$D$7669,S11))</f>
        <v>5.84</v>
      </c>
      <c r="AK11">
        <f>IF(Week&gt;=C$1,INDEX(Finals!$I$1:$I$501,C11),INDEX('F Proj'!$J$1:$J$7669,C11))</f>
        <v>0</v>
      </c>
      <c r="AL11">
        <f>IF(Week&gt;=D$1,INDEX(Finals!$I$1:$I$501,D11),INDEX('F Proj'!$J$1:$J$7669,D11))</f>
        <v>0</v>
      </c>
      <c r="AM11">
        <f>IF(Week&gt;=E$1,INDEX(Finals!$I$1:$I$501,E11),INDEX('F Proj'!$J$1:$J$7669,E11))</f>
        <v>0</v>
      </c>
      <c r="AN11">
        <f>IF(Week&gt;=F$1,INDEX(Finals!$I$1:$I$501,F11),INDEX('F Proj'!$J$1:$J$7669,F11))</f>
        <v>0</v>
      </c>
      <c r="AO11">
        <f>IF(Week&gt;=G$1,INDEX(Finals!$I$1:$I$501,G11),INDEX('F Proj'!$J$1:$J$7669,G11))</f>
        <v>19.6249</v>
      </c>
      <c r="AP11">
        <f>IF(Week&gt;=H$1,INDEX(Finals!$I$1:$I$501,H11),INDEX('F Proj'!$J$1:$J$7669,H11))</f>
        <v>12.531599999999999</v>
      </c>
      <c r="AQ11">
        <f>IF(Week&gt;=I$1,INDEX(Finals!$I$1:$I$501,I11),INDEX('F Proj'!$J$1:$J$7669,I11))</f>
        <v>19.009599999999999</v>
      </c>
      <c r="AR11">
        <f>IF(Week&gt;=J$1,INDEX(Finals!$I$1:$I$501,J11),INDEX('F Proj'!$J$1:$J$7669,J11))</f>
        <v>13.616099999999999</v>
      </c>
      <c r="AS11">
        <f>IF(Week&gt;=K$1,INDEX(Finals!$I$1:$I$501,K11),INDEX('F Proj'!$J$1:$J$7669,K11))</f>
        <v>17.808399999999999</v>
      </c>
      <c r="AT11">
        <f>IF(Week&gt;=L$1,INDEX(Finals!$I$1:$I$501,L11),INDEX('F Proj'!$J$1:$J$7669,L11))</f>
        <v>13.4689</v>
      </c>
      <c r="AU11">
        <f>IF(Week&gt;=M$1,INDEX(Finals!$I$1:$I$501,M11),INDEX('F Proj'!$J$1:$J$7669,M11))</f>
        <v>10.24</v>
      </c>
      <c r="AV11">
        <f>IF(Week&gt;=N$1,INDEX(Finals!$I$1:$I$501,N11),INDEX('F Proj'!$J$1:$J$7669,N11))</f>
        <v>20.430399999999999</v>
      </c>
      <c r="AW11">
        <f>IF(Week&gt;=O$1,INDEX(Finals!$I$1:$I$501,O11),INDEX('F Proj'!$J$1:$J$7669,O11))</f>
        <v>12.25</v>
      </c>
      <c r="AX11">
        <f>IF(Week&gt;=P$1,INDEX(Finals!$I$1:$I$501,P11),INDEX('F Proj'!$J$1:$J$7669,P11))</f>
        <v>10.3041</v>
      </c>
      <c r="AY11">
        <f>IF(Week&gt;=Q$1,INDEX(Finals!$I$1:$I$501,Q11),INDEX('F Proj'!$J$1:$J$7669,Q11))</f>
        <v>12.25</v>
      </c>
      <c r="AZ11">
        <f>IF(Week&gt;=R$1,INDEX(Finals!$I$1:$I$501,R11),INDEX('F Proj'!$J$1:$J$7669,R11))</f>
        <v>20.3401</v>
      </c>
      <c r="BA11">
        <f>IF(Week&gt;=S$1,INDEX(Finals!$I$1:$I$501,S11),INDEX('F Proj'!$J$1:$J$7669,S11))</f>
        <v>19.009599999999999</v>
      </c>
    </row>
    <row r="12" spans="1:53" x14ac:dyDescent="0.25">
      <c r="A12" t="s">
        <v>20</v>
      </c>
      <c r="B12" t="s">
        <v>477</v>
      </c>
      <c r="C12">
        <f>IF(Week&gt;=C$1,MATCH($A12&amp;"-"&amp;C$1&amp;$B12,Finals!$J$1:$J$501,0),IFERROR(MATCH($A12&amp;C$1,'D Proj'!$V$1:$V$514,0),MATCH("NA"&amp;C$1,'D Proj'!$V$1:$V$514,0)))</f>
        <v>480</v>
      </c>
      <c r="D12">
        <f>IF(Week&gt;=D$1,MATCH($A12&amp;"-"&amp;D$1&amp;$B12,Finals!$J$1:$J$501,0),IFERROR(MATCH($A12&amp;D$1,'D Proj'!$V$1:$V$514,0),MATCH("NA"&amp;D$1,'D Proj'!$V$1:$V$514,0)))</f>
        <v>481</v>
      </c>
      <c r="E12">
        <f>IF(Week&gt;=E$1,MATCH($A12&amp;"-"&amp;E$1&amp;$B12,Finals!$J$1:$J$501,0),IFERROR(MATCH($A12&amp;E$1,'D Proj'!$V$1:$V$514,0),MATCH("NA"&amp;E$1,'D Proj'!$V$1:$V$514,0)))</f>
        <v>482</v>
      </c>
      <c r="F12">
        <f>IF(Week&gt;=F$1,MATCH($A12&amp;"-"&amp;F$1&amp;$B12,Finals!$J$1:$J$501,0),IFERROR(MATCH($A12&amp;F$1,'D Proj'!$V$1:$V$514,0),MATCH("NA"&amp;F$1,'D Proj'!$V$1:$V$514,0)))</f>
        <v>483</v>
      </c>
      <c r="G12">
        <f>IF(Week&gt;=G$1,MATCH($A12&amp;"-"&amp;G$1&amp;$B12,Finals!$J$1:$J$501,0),IFERROR(MATCH($A12&amp;G$1,'D Proj'!$V$1:$V$514,0),MATCH("NA"&amp;G$1,'D Proj'!$V$1:$V$514,0)))</f>
        <v>484</v>
      </c>
      <c r="H12">
        <f>IF(Week&gt;=H$1,MATCH($A12&amp;"-"&amp;H$1&amp;$B12,Finals!$J$1:$J$501,0),IFERROR(MATCH($A12&amp;H$1,'D Proj'!$V$1:$V$514,0),MATCH("NA"&amp;H$1,'D Proj'!$V$1:$V$514,0)))</f>
        <v>51</v>
      </c>
      <c r="I12">
        <f>IF(Week&gt;=I$1,MATCH($A12&amp;"-"&amp;I$1&amp;$B12,Finals!$J$1:$J$501,0),IFERROR(MATCH($A12&amp;I$1,'D Proj'!$V$1:$V$514,0),MATCH("NA"&amp;I$1,'D Proj'!$V$1:$V$514,0)))</f>
        <v>86</v>
      </c>
      <c r="J12">
        <f>IF(Week&gt;=J$1,MATCH($A12&amp;"-"&amp;J$1&amp;$B12,Finals!$J$1:$J$501,0),IFERROR(MATCH($A12&amp;J$1,'D Proj'!$V$1:$V$514,0),MATCH("NA"&amp;J$1,'D Proj'!$V$1:$V$514,0)))</f>
        <v>80</v>
      </c>
      <c r="K12">
        <f>IF(Week&gt;=K$1,MATCH($A12&amp;"-"&amp;K$1&amp;$B12,Finals!$J$1:$J$501,0),IFERROR(MATCH($A12&amp;K$1,'D Proj'!$V$1:$V$514,0),MATCH("NA"&amp;K$1,'D Proj'!$V$1:$V$514,0)))</f>
        <v>409</v>
      </c>
      <c r="L12">
        <f>IF(Week&gt;=L$1,MATCH($A12&amp;"-"&amp;L$1&amp;$B12,Finals!$J$1:$J$501,0),IFERROR(MATCH($A12&amp;L$1,'D Proj'!$V$1:$V$514,0),MATCH("NA"&amp;L$1,'D Proj'!$V$1:$V$514,0)))</f>
        <v>134</v>
      </c>
      <c r="M12">
        <f>IF(Week&gt;=M$1,MATCH($A12&amp;"-"&amp;M$1&amp;$B12,Finals!$J$1:$J$501,0),IFERROR(MATCH($A12&amp;M$1,'D Proj'!$V$1:$V$514,0),MATCH("NA"&amp;M$1,'D Proj'!$V$1:$V$514,0)))</f>
        <v>419</v>
      </c>
      <c r="N12">
        <f>IF(Week&gt;=N$1,MATCH($A12&amp;"-"&amp;N$1&amp;$B12,Finals!$J$1:$J$501,0),IFERROR(MATCH($A12&amp;N$1,'D Proj'!$V$1:$V$514,0),MATCH("NA"&amp;N$1,'D Proj'!$V$1:$V$514,0)))</f>
        <v>56</v>
      </c>
      <c r="O12">
        <f>IF(Week&gt;=O$1,MATCH($A12&amp;"-"&amp;O$1&amp;$B12,Finals!$J$1:$J$501,0),IFERROR(MATCH($A12&amp;O$1,'D Proj'!$V$1:$V$514,0),MATCH("NA"&amp;O$1,'D Proj'!$V$1:$V$514,0)))</f>
        <v>33</v>
      </c>
      <c r="P12">
        <f>IF(Week&gt;=P$1,MATCH($A12&amp;"-"&amp;P$1&amp;$B12,Finals!$J$1:$J$501,0),IFERROR(MATCH($A12&amp;P$1,'D Proj'!$V$1:$V$514,0),MATCH("NA"&amp;P$1,'D Proj'!$V$1:$V$514,0)))</f>
        <v>136</v>
      </c>
      <c r="Q12">
        <f>IF(Week&gt;=Q$1,MATCH($A12&amp;"-"&amp;Q$1&amp;$B12,Finals!$J$1:$J$501,0),IFERROR(MATCH($A12&amp;Q$1,'D Proj'!$V$1:$V$514,0),MATCH("NA"&amp;Q$1,'D Proj'!$V$1:$V$514,0)))</f>
        <v>93</v>
      </c>
      <c r="R12">
        <f>IF(Week&gt;=R$1,MATCH($A12&amp;"-"&amp;R$1&amp;$B12,Finals!$J$1:$J$501,0),IFERROR(MATCH($A12&amp;R$1,'D Proj'!$V$1:$V$514,0),MATCH("NA"&amp;R$1,'D Proj'!$V$1:$V$514,0)))</f>
        <v>29</v>
      </c>
      <c r="S12">
        <f>IF(Week&gt;=S$1,MATCH($A12&amp;"-"&amp;S$1&amp;$B12,Finals!$J$1:$J$501,0),IFERROR(MATCH($A12&amp;S$1,'D Proj'!$V$1:$V$514,0),MATCH("NA"&amp;S$1,'D Proj'!$V$1:$V$514,0)))</f>
        <v>87</v>
      </c>
      <c r="T12">
        <f>IF(Week&gt;=C$1,INDEX(Finals!$G$1:$G$501,C12),INDEX('D Proj'!$T$1:$T$513,C12))</f>
        <v>15</v>
      </c>
      <c r="U12">
        <f>IF(Week&gt;=D$1,INDEX(Finals!$G$1:$G$501,D12),INDEX('D Proj'!$T$1:$T$513,D12))</f>
        <v>11</v>
      </c>
      <c r="V12">
        <f>IF(Week&gt;=E$1,INDEX(Finals!$G$1:$G$501,E12),INDEX('D Proj'!$T$1:$T$513,E12))</f>
        <v>13</v>
      </c>
      <c r="W12">
        <f>IF(Week&gt;=F$1,INDEX(Finals!$G$1:$G$501,F12),INDEX('D Proj'!$T$1:$T$513,F12))</f>
        <v>2</v>
      </c>
      <c r="X12">
        <f>IF(Week&gt;=G$1,INDEX(Finals!$G$1:$G$501,G12),INDEX('D Proj'!$T$1:$T$513,G12))</f>
        <v>7.48</v>
      </c>
      <c r="Y12">
        <f>IF(Week&gt;=H$1,INDEX(Finals!$G$1:$G$501,H12),INDEX('D Proj'!$T$1:$T$513,H12))</f>
        <v>8.2200000000000006</v>
      </c>
      <c r="Z12">
        <f>IF(Week&gt;=I$1,INDEX(Finals!$G$1:$G$501,I12),INDEX('D Proj'!$T$1:$T$513,I12))</f>
        <v>7.66</v>
      </c>
      <c r="AA12">
        <f>IF(Week&gt;=J$1,INDEX(Finals!$G$1:$G$501,J12),INDEX('D Proj'!$T$1:$T$513,J12))</f>
        <v>7.79</v>
      </c>
      <c r="AB12">
        <f>IF(Week&gt;=K$1,INDEX(Finals!$G$1:$G$501,K12),INDEX('D Proj'!$T$1:$T$513,K12))</f>
        <v>4.12</v>
      </c>
      <c r="AC12">
        <f>IF(Week&gt;=L$1,INDEX(Finals!$G$1:$G$501,L12),INDEX('D Proj'!$T$1:$T$513,L12))</f>
        <v>7.26</v>
      </c>
      <c r="AD12">
        <f>IF(Week&gt;=M$1,INDEX(Finals!$G$1:$G$501,M12),INDEX('D Proj'!$T$1:$T$513,M12))</f>
        <v>4.01</v>
      </c>
      <c r="AE12">
        <f>IF(Week&gt;=N$1,INDEX(Finals!$G$1:$G$501,N12),INDEX('D Proj'!$T$1:$T$513,N12))</f>
        <v>8.14</v>
      </c>
      <c r="AF12">
        <f>IF(Week&gt;=O$1,INDEX(Finals!$G$1:$G$501,O12),INDEX('D Proj'!$T$1:$T$513,O12))</f>
        <v>8.68</v>
      </c>
      <c r="AG12">
        <f>IF(Week&gt;=P$1,INDEX(Finals!$G$1:$G$501,P12),INDEX('D Proj'!$T$1:$T$513,P12))</f>
        <v>7.26</v>
      </c>
      <c r="AH12">
        <f>IF(Week&gt;=Q$1,INDEX(Finals!$G$1:$G$501,Q12),INDEX('D Proj'!$T$1:$T$513,Q12))</f>
        <v>7.6</v>
      </c>
      <c r="AI12">
        <f>IF(Week&gt;=R$1,INDEX(Finals!$G$1:$G$501,R12),INDEX('D Proj'!$T$1:$T$513,R12))</f>
        <v>8.75</v>
      </c>
      <c r="AJ12">
        <f>IF(Week&gt;=S$1,INDEX(Finals!$G$1:$G$501,S12),INDEX('D Proj'!$T$1:$T$513,S12))</f>
        <v>7.66</v>
      </c>
      <c r="AK12">
        <f>IF(Week&gt;=C$1,INDEX(Finals!$I$1:$I$501,C12),INDEX('D Proj'!$N$1:$N$513,C12))</f>
        <v>0</v>
      </c>
      <c r="AL12">
        <f>IF(Week&gt;=D$1,INDEX(Finals!$I$1:$I$501,D12),INDEX('D Proj'!$N$1:$N$513,D12))</f>
        <v>0</v>
      </c>
      <c r="AM12">
        <f>IF(Week&gt;=E$1,INDEX(Finals!$I$1:$I$501,E12),INDEX('D Proj'!$N$1:$N$513,E12))</f>
        <v>0</v>
      </c>
      <c r="AN12">
        <f>IF(Week&gt;=F$1,INDEX(Finals!$I$1:$I$501,F12),INDEX('D Proj'!$N$1:$N$513,F12))</f>
        <v>0</v>
      </c>
      <c r="AO12">
        <f>IF(Week&gt;=G$1,INDEX(Finals!$I$1:$I$501,G12),INDEX('D Proj'!$N$1:$N$513,G12))</f>
        <v>32.49</v>
      </c>
      <c r="AP12">
        <f>IF(Week&gt;=H$1,INDEX(Finals!$I$1:$I$501,H12),INDEX('D Proj'!$N$1:$N$513,H12))</f>
        <v>38.937600000000003</v>
      </c>
      <c r="AQ12">
        <f>IF(Week&gt;=I$1,INDEX(Finals!$I$1:$I$501,I12),INDEX('D Proj'!$N$1:$N$513,I12))</f>
        <v>21.9024</v>
      </c>
      <c r="AR12">
        <f>IF(Week&gt;=J$1,INDEX(Finals!$I$1:$I$501,J12),INDEX('D Proj'!$N$1:$N$513,J12))</f>
        <v>24.403600000000001</v>
      </c>
      <c r="AS12">
        <f>IF(Week&gt;=K$1,INDEX(Finals!$I$1:$I$501,K12),INDEX('D Proj'!$N$1:$N$513,K12))</f>
        <v>21.529599999999999</v>
      </c>
      <c r="AT12">
        <f>IF(Week&gt;=L$1,INDEX(Finals!$I$1:$I$501,L12),INDEX('D Proj'!$N$1:$N$513,L12))</f>
        <v>30.25</v>
      </c>
      <c r="AU12">
        <f>IF(Week&gt;=M$1,INDEX(Finals!$I$1:$I$501,M12),INDEX('D Proj'!$N$1:$N$513,M12))</f>
        <v>20.520900000000001</v>
      </c>
      <c r="AV12">
        <f>IF(Week&gt;=N$1,INDEX(Finals!$I$1:$I$501,N12),INDEX('D Proj'!$N$1:$N$513,N12))</f>
        <v>36.723599999999998</v>
      </c>
      <c r="AW12">
        <f>IF(Week&gt;=O$1,INDEX(Finals!$I$1:$I$501,O12),INDEX('D Proj'!$N$1:$N$513,O12))</f>
        <v>29.811599999999999</v>
      </c>
      <c r="AX12">
        <f>IF(Week&gt;=P$1,INDEX(Finals!$I$1:$I$501,P12),INDEX('D Proj'!$N$1:$N$513,P12))</f>
        <v>37.21</v>
      </c>
      <c r="AY12">
        <f>IF(Week&gt;=Q$1,INDEX(Finals!$I$1:$I$501,Q12),INDEX('D Proj'!$N$1:$N$513,Q12))</f>
        <v>37.088099999999997</v>
      </c>
      <c r="AZ12">
        <f>IF(Week&gt;=R$1,INDEX(Finals!$I$1:$I$501,R12),INDEX('D Proj'!$N$1:$N$513,R12))</f>
        <v>40.832099999999997</v>
      </c>
      <c r="BA12">
        <f>IF(Week&gt;=S$1,INDEX(Finals!$I$1:$I$501,S12),INDEX('D Proj'!$N$1:$N$513,S12))</f>
        <v>21.9024</v>
      </c>
    </row>
    <row r="13" spans="1:53" x14ac:dyDescent="0.25">
      <c r="A13" t="s">
        <v>20</v>
      </c>
      <c r="B13" t="s">
        <v>478</v>
      </c>
      <c r="C13">
        <f>IF(Week&gt;=C$1,MATCH($A13&amp;"-"&amp;C$1&amp;$B13,Finals!$J$1:$J$501,0),IFERROR(MATCH($A13&amp;C$1,'K Proj'!$R$1:$R$508,0),MATCH("NA"&amp;C$1,'K Proj'!$R$1:$R$508,0)))</f>
        <v>408</v>
      </c>
      <c r="D13">
        <f>IF(Week&gt;=D$1,MATCH($A13&amp;"-"&amp;D$1&amp;$B13,Finals!$J$1:$J$501,0),IFERROR(MATCH($A13&amp;D$1,'K Proj'!$R$1:$R$508,0),MATCH("NA"&amp;D$1,'K Proj'!$R$1:$R$508,0)))</f>
        <v>409</v>
      </c>
      <c r="E13">
        <f>IF(Week&gt;=E$1,MATCH($A13&amp;"-"&amp;E$1&amp;$B13,Finals!$J$1:$J$501,0),IFERROR(MATCH($A13&amp;E$1,'K Proj'!$R$1:$R$508,0),MATCH("NA"&amp;E$1,'K Proj'!$R$1:$R$508,0)))</f>
        <v>440</v>
      </c>
      <c r="F13">
        <f>IF(Week&gt;=F$1,MATCH($A13&amp;"-"&amp;F$1&amp;$B13,Finals!$J$1:$J$501,0),IFERROR(MATCH($A13&amp;F$1,'K Proj'!$R$1:$R$508,0),MATCH("NA"&amp;F$1,'K Proj'!$R$1:$R$508,0)))</f>
        <v>441</v>
      </c>
      <c r="G13">
        <f>IF(Week&gt;=G$1,MATCH($A13&amp;"-"&amp;G$1&amp;$B13,Finals!$J$1:$J$501,0),IFERROR(MATCH($A13&amp;G$1,'K Proj'!$R$1:$R$508,0),MATCH("NA"&amp;G$1,'K Proj'!$R$1:$R$508,0)))</f>
        <v>416</v>
      </c>
      <c r="H13">
        <f>IF(Week&gt;=H$1,MATCH($A13&amp;"-"&amp;H$1&amp;$B13,Finals!$J$1:$J$501,0),IFERROR(MATCH($A13&amp;H$1,'K Proj'!$R$1:$R$508,0),MATCH("NA"&amp;H$1,'K Proj'!$R$1:$R$508,0)))</f>
        <v>166</v>
      </c>
      <c r="I13">
        <f>IF(Week&gt;=I$1,MATCH($A13&amp;"-"&amp;I$1&amp;$B13,Finals!$J$1:$J$501,0),IFERROR(MATCH($A13&amp;I$1,'K Proj'!$R$1:$R$508,0),MATCH("NA"&amp;I$1,'K Proj'!$R$1:$R$508,0)))</f>
        <v>26</v>
      </c>
      <c r="J13">
        <f>IF(Week&gt;=J$1,MATCH($A13&amp;"-"&amp;J$1&amp;$B13,Finals!$J$1:$J$501,0),IFERROR(MATCH($A13&amp;J$1,'K Proj'!$R$1:$R$508,0),MATCH("NA"&amp;J$1,'K Proj'!$R$1:$R$508,0)))</f>
        <v>104</v>
      </c>
      <c r="K13">
        <f>IF(Week&gt;=K$1,MATCH($A13&amp;"-"&amp;K$1&amp;$B13,Finals!$J$1:$J$501,0),IFERROR(MATCH($A13&amp;K$1,'K Proj'!$R$1:$R$508,0),MATCH("NA"&amp;K$1,'K Proj'!$R$1:$R$508,0)))</f>
        <v>25</v>
      </c>
      <c r="L13">
        <f>IF(Week&gt;=L$1,MATCH($A13&amp;"-"&amp;L$1&amp;$B13,Finals!$J$1:$J$501,0),IFERROR(MATCH($A13&amp;L$1,'K Proj'!$R$1:$R$508,0),MATCH("NA"&amp;L$1,'K Proj'!$R$1:$R$508,0)))</f>
        <v>212</v>
      </c>
      <c r="M13">
        <f>IF(Week&gt;=M$1,MATCH($A13&amp;"-"&amp;M$1&amp;$B13,Finals!$J$1:$J$501,0),IFERROR(MATCH($A13&amp;M$1,'K Proj'!$R$1:$R$508,0),MATCH("NA"&amp;M$1,'K Proj'!$R$1:$R$508,0)))</f>
        <v>402</v>
      </c>
      <c r="N13">
        <f>IF(Week&gt;=N$1,MATCH($A13&amp;"-"&amp;N$1&amp;$B13,Finals!$J$1:$J$501,0),IFERROR(MATCH($A13&amp;N$1,'K Proj'!$R$1:$R$508,0),MATCH("NA"&amp;N$1,'K Proj'!$R$1:$R$508,0)))</f>
        <v>378</v>
      </c>
      <c r="O13">
        <f>IF(Week&gt;=O$1,MATCH($A13&amp;"-"&amp;O$1&amp;$B13,Finals!$J$1:$J$501,0),IFERROR(MATCH($A13&amp;O$1,'K Proj'!$R$1:$R$508,0),MATCH("NA"&amp;O$1,'K Proj'!$R$1:$R$508,0)))</f>
        <v>134</v>
      </c>
      <c r="P13">
        <f>IF(Week&gt;=P$1,MATCH($A13&amp;"-"&amp;P$1&amp;$B13,Finals!$J$1:$J$501,0),IFERROR(MATCH($A13&amp;P$1,'K Proj'!$R$1:$R$508,0),MATCH("NA"&amp;P$1,'K Proj'!$R$1:$R$508,0)))</f>
        <v>324</v>
      </c>
      <c r="Q13">
        <f>IF(Week&gt;=Q$1,MATCH($A13&amp;"-"&amp;Q$1&amp;$B13,Finals!$J$1:$J$501,0),IFERROR(MATCH($A13&amp;Q$1,'K Proj'!$R$1:$R$508,0),MATCH("NA"&amp;Q$1,'K Proj'!$R$1:$R$508,0)))</f>
        <v>145</v>
      </c>
      <c r="R13">
        <f>IF(Week&gt;=R$1,MATCH($A13&amp;"-"&amp;R$1&amp;$B13,Finals!$J$1:$J$501,0),IFERROR(MATCH($A13&amp;R$1,'K Proj'!$R$1:$R$508,0),MATCH("NA"&amp;R$1,'K Proj'!$R$1:$R$508,0)))</f>
        <v>201</v>
      </c>
      <c r="S13">
        <f>IF(Week&gt;=S$1,MATCH($A13&amp;"-"&amp;S$1&amp;$B13,Finals!$J$1:$J$501,0),IFERROR(MATCH($A13&amp;S$1,'K Proj'!$R$1:$R$508,0),MATCH("NA"&amp;S$1,'K Proj'!$R$1:$R$508,0)))</f>
        <v>74</v>
      </c>
      <c r="T13">
        <f>IF(Week&gt;=C$1,INDEX(Finals!$G$1:$G$501,C13),INDEX('K Proj'!$L$1:$L$508,C13))</f>
        <v>14</v>
      </c>
      <c r="U13">
        <f>IF(Week&gt;=D$1,INDEX(Finals!$G$1:$G$501,D13),INDEX('K Proj'!$L$1:$L$508,D13))</f>
        <v>0</v>
      </c>
      <c r="V13">
        <f>IF(Week&gt;=E$1,INDEX(Finals!$G$1:$G$501,E13),INDEX('K Proj'!$L$1:$L$508,E13))</f>
        <v>2</v>
      </c>
      <c r="W13">
        <f>IF(Week&gt;=F$1,INDEX(Finals!$G$1:$G$501,F13),INDEX('K Proj'!$L$1:$L$508,F13))</f>
        <v>5</v>
      </c>
      <c r="X13">
        <f>IF(Week&gt;=G$1,INDEX(Finals!$G$1:$G$501,G13),INDEX('K Proj'!$L$1:$L$508,G13))</f>
        <v>7.93</v>
      </c>
      <c r="Y13">
        <f>IF(Week&gt;=H$1,INDEX(Finals!$G$1:$G$501,H13),INDEX('K Proj'!$L$1:$L$508,H13))</f>
        <v>7.51</v>
      </c>
      <c r="Z13">
        <f>IF(Week&gt;=I$1,INDEX(Finals!$G$1:$G$501,I13),INDEX('K Proj'!$L$1:$L$508,I13))</f>
        <v>8.7100000000000009</v>
      </c>
      <c r="AA13">
        <f>IF(Week&gt;=J$1,INDEX(Finals!$G$1:$G$501,J13),INDEX('K Proj'!$L$1:$L$508,J13))</f>
        <v>7.95</v>
      </c>
      <c r="AB13">
        <f>IF(Week&gt;=K$1,INDEX(Finals!$G$1:$G$501,K13),INDEX('K Proj'!$L$1:$L$508,K13))</f>
        <v>8.7200000000000006</v>
      </c>
      <c r="AC13">
        <f>IF(Week&gt;=L$1,INDEX(Finals!$G$1:$G$501,L13),INDEX('K Proj'!$L$1:$L$508,L13))</f>
        <v>7.27</v>
      </c>
      <c r="AD13">
        <f>IF(Week&gt;=M$1,INDEX(Finals!$G$1:$G$501,M13),INDEX('K Proj'!$L$1:$L$508,M13))</f>
        <v>6.34</v>
      </c>
      <c r="AE13">
        <f>IF(Week&gt;=N$1,INDEX(Finals!$G$1:$G$501,N13),INDEX('K Proj'!$L$1:$L$508,N13))</f>
        <v>6.49</v>
      </c>
      <c r="AF13">
        <f>IF(Week&gt;=O$1,INDEX(Finals!$G$1:$G$501,O13),INDEX('K Proj'!$L$1:$L$508,O13))</f>
        <v>7.68</v>
      </c>
      <c r="AG13">
        <f>IF(Week&gt;=P$1,INDEX(Finals!$G$1:$G$501,P13),INDEX('K Proj'!$L$1:$L$508,P13))</f>
        <v>6.77</v>
      </c>
      <c r="AH13">
        <f>IF(Week&gt;=Q$1,INDEX(Finals!$G$1:$G$501,Q13),INDEX('K Proj'!$L$1:$L$508,Q13))</f>
        <v>7.61</v>
      </c>
      <c r="AI13">
        <f>IF(Week&gt;=R$1,INDEX(Finals!$G$1:$G$501,R13),INDEX('K Proj'!$L$1:$L$508,R13))</f>
        <v>7.32</v>
      </c>
      <c r="AJ13">
        <f>IF(Week&gt;=S$1,INDEX(Finals!$G$1:$G$501,S13),INDEX('K Proj'!$L$1:$L$508,S13))</f>
        <v>8.2200000000000006</v>
      </c>
      <c r="AK13">
        <f>IF(Week&gt;=C$1,INDEX(Finals!$I$1:$I$501,C13),INDEX('K Proj'!$P$1:$P$508,C13))</f>
        <v>0</v>
      </c>
      <c r="AL13">
        <f>IF(Week&gt;=D$1,INDEX(Finals!$I$1:$I$501,D13),INDEX('K Proj'!$P$1:$P$508,D13))</f>
        <v>0</v>
      </c>
      <c r="AM13">
        <f>IF(Week&gt;=E$1,INDEX(Finals!$I$1:$I$501,E13),INDEX('K Proj'!$P$1:$P$508,E13))</f>
        <v>0</v>
      </c>
      <c r="AN13">
        <f>IF(Week&gt;=F$1,INDEX(Finals!$I$1:$I$501,F13),INDEX('K Proj'!$P$1:$P$508,F13))</f>
        <v>0</v>
      </c>
      <c r="AO13">
        <f>IF(Week&gt;=G$1,INDEX(Finals!$I$1:$I$501,G13),INDEX('K Proj'!$P$1:$P$508,G13))</f>
        <v>13.3956</v>
      </c>
      <c r="AP13">
        <f>IF(Week&gt;=H$1,INDEX(Finals!$I$1:$I$501,H13),INDEX('K Proj'!$P$1:$P$508,H13))</f>
        <v>15.6816</v>
      </c>
      <c r="AQ13">
        <f>IF(Week&gt;=I$1,INDEX(Finals!$I$1:$I$501,I13),INDEX('K Proj'!$P$1:$P$508,I13))</f>
        <v>16.160399999999999</v>
      </c>
      <c r="AR13">
        <f>IF(Week&gt;=J$1,INDEX(Finals!$I$1:$I$501,J13),INDEX('K Proj'!$P$1:$P$508,J13))</f>
        <v>23.232399999999998</v>
      </c>
      <c r="AS13">
        <f>IF(Week&gt;=K$1,INDEX(Finals!$I$1:$I$501,K13),INDEX('K Proj'!$P$1:$P$508,K13))</f>
        <v>17.139600000000002</v>
      </c>
      <c r="AT13">
        <f>IF(Week&gt;=L$1,INDEX(Finals!$I$1:$I$501,L13),INDEX('K Proj'!$P$1:$P$508,L13))</f>
        <v>15.132099999999999</v>
      </c>
      <c r="AU13">
        <f>IF(Week&gt;=M$1,INDEX(Finals!$I$1:$I$501,M13),INDEX('K Proj'!$P$1:$P$508,M13))</f>
        <v>13.0321</v>
      </c>
      <c r="AV13">
        <f>IF(Week&gt;=N$1,INDEX(Finals!$I$1:$I$501,N13),INDEX('K Proj'!$P$1:$P$508,N13))</f>
        <v>13.1044</v>
      </c>
      <c r="AW13">
        <f>IF(Week&gt;=O$1,INDEX(Finals!$I$1:$I$501,O13),INDEX('K Proj'!$P$1:$P$508,O13))</f>
        <v>16.892099999999999</v>
      </c>
      <c r="AX13">
        <f>IF(Week&gt;=P$1,INDEX(Finals!$I$1:$I$501,P13),INDEX('K Proj'!$P$1:$P$508,P13))</f>
        <v>12.3904</v>
      </c>
      <c r="AY13">
        <f>IF(Week&gt;=Q$1,INDEX(Finals!$I$1:$I$501,Q13),INDEX('K Proj'!$P$1:$P$508,Q13))</f>
        <v>16.564900000000002</v>
      </c>
      <c r="AZ13">
        <f>IF(Week&gt;=R$1,INDEX(Finals!$I$1:$I$501,R13),INDEX('K Proj'!$P$1:$P$508,R13))</f>
        <v>15.6816</v>
      </c>
      <c r="BA13">
        <f>IF(Week&gt;=S$1,INDEX(Finals!$I$1:$I$501,S13),INDEX('K Proj'!$P$1:$P$508,S13))</f>
        <v>14.44</v>
      </c>
    </row>
    <row r="14" spans="1:53" x14ac:dyDescent="0.25">
      <c r="A14" t="s">
        <v>16</v>
      </c>
      <c r="B14" t="s">
        <v>467</v>
      </c>
      <c r="C14">
        <f>IF(Week&gt;=C$1,MATCH($A14&amp;"-"&amp;C$1&amp;$B14,Finals!$J$1:$J$501,0),IFERROR(MATCH($A14&amp;C$1&amp;$B14,'F Proj'!$N$1:$N$7669,0),MATCH("NA"&amp;C$1&amp;$B14,'F Proj'!$N$1:$N$7669,0)))</f>
        <v>7</v>
      </c>
      <c r="D14">
        <f>IF(Week&gt;=D$1,MATCH($A14&amp;"-"&amp;D$1&amp;$B14,Finals!$J$1:$J$501,0),IFERROR(MATCH($A14&amp;D$1&amp;$B14,'F Proj'!$N$1:$N$7669,0),MATCH("NA"&amp;D$1&amp;$B14,'F Proj'!$N$1:$N$7669,0)))</f>
        <v>8</v>
      </c>
      <c r="E14">
        <f>IF(Week&gt;=E$1,MATCH($A14&amp;"-"&amp;E$1&amp;$B14,Finals!$J$1:$J$501,0),IFERROR(MATCH($A14&amp;E$1&amp;$B14,'F Proj'!$N$1:$N$7669,0),MATCH("NA"&amp;E$1&amp;$B14,'F Proj'!$N$1:$N$7669,0)))</f>
        <v>9</v>
      </c>
      <c r="F14">
        <f>IF(Week&gt;=F$1,MATCH($A14&amp;"-"&amp;F$1&amp;$B14,Finals!$J$1:$J$501,0),IFERROR(MATCH($A14&amp;F$1&amp;$B14,'F Proj'!$N$1:$N$7669,0),MATCH("NA"&amp;F$1&amp;$B14,'F Proj'!$N$1:$N$7669,0)))</f>
        <v>10</v>
      </c>
      <c r="G14">
        <f>IF(Week&gt;=G$1,MATCH($A14&amp;"-"&amp;G$1&amp;$B14,Finals!$J$1:$J$501,0),IFERROR(MATCH($A14&amp;G$1&amp;$B14,'F Proj'!$N$1:$N$7669,0),MATCH("NA"&amp;G$1&amp;$B14,'F Proj'!$N$1:$N$7669,0)))</f>
        <v>11</v>
      </c>
      <c r="H14">
        <f>IF(Week&gt;=H$1,MATCH($A14&amp;"-"&amp;H$1&amp;$B14,Finals!$J$1:$J$501,0),IFERROR(MATCH($A14&amp;H$1&amp;$B14,'F Proj'!$N$1:$N$7669,0),MATCH("NA"&amp;H$1&amp;$B14,'F Proj'!$N$1:$N$7669,0)))</f>
        <v>75</v>
      </c>
      <c r="I14">
        <f>IF(Week&gt;=I$1,MATCH($A14&amp;"-"&amp;I$1&amp;$B14,Finals!$J$1:$J$501,0),IFERROR(MATCH($A14&amp;I$1&amp;$B14,'F Proj'!$N$1:$N$7669,0),MATCH("NA"&amp;I$1&amp;$B14,'F Proj'!$N$1:$N$7669,0)))</f>
        <v>92</v>
      </c>
      <c r="J14">
        <f>IF(Week&gt;=J$1,MATCH($A14&amp;"-"&amp;J$1&amp;$B14,Finals!$J$1:$J$501,0),IFERROR(MATCH($A14&amp;J$1&amp;$B14,'F Proj'!$N$1:$N$7669,0),MATCH("NA"&amp;J$1&amp;$B14,'F Proj'!$N$1:$N$7669,0)))</f>
        <v>49</v>
      </c>
      <c r="K14">
        <f>IF(Week&gt;=K$1,MATCH($A14&amp;"-"&amp;K$1&amp;$B14,Finals!$J$1:$J$501,0),IFERROR(MATCH($A14&amp;K$1&amp;$B14,'F Proj'!$N$1:$N$7669,0),MATCH("NA"&amp;K$1&amp;$B14,'F Proj'!$N$1:$N$7669,0)))</f>
        <v>97</v>
      </c>
      <c r="L14">
        <f>IF(Week&gt;=L$1,MATCH($A14&amp;"-"&amp;L$1&amp;$B14,Finals!$J$1:$J$501,0),IFERROR(MATCH($A14&amp;L$1&amp;$B14,'F Proj'!$N$1:$N$7669,0),MATCH("NA"&amp;L$1&amp;$B14,'F Proj'!$N$1:$N$7669,0)))</f>
        <v>90</v>
      </c>
      <c r="M14">
        <f>IF(Week&gt;=M$1,MATCH($A14&amp;"-"&amp;M$1&amp;$B14,Finals!$J$1:$J$501,0),IFERROR(MATCH($A14&amp;M$1&amp;$B14,'F Proj'!$N$1:$N$7669,0),MATCH("NA"&amp;M$1&amp;$B14,'F Proj'!$N$1:$N$7669,0)))</f>
        <v>52</v>
      </c>
      <c r="N14">
        <f>IF(Week&gt;=N$1,MATCH($A14&amp;"-"&amp;N$1&amp;$B14,Finals!$J$1:$J$501,0),IFERROR(MATCH($A14&amp;N$1&amp;$B14,'F Proj'!$N$1:$N$7669,0),MATCH("NA"&amp;N$1&amp;$B14,'F Proj'!$N$1:$N$7669,0)))</f>
        <v>61</v>
      </c>
      <c r="O14">
        <f>IF(Week&gt;=O$1,MATCH($A14&amp;"-"&amp;O$1&amp;$B14,Finals!$J$1:$J$501,0),IFERROR(MATCH($A14&amp;O$1&amp;$B14,'F Proj'!$N$1:$N$7669,0),MATCH("NA"&amp;O$1&amp;$B14,'F Proj'!$N$1:$N$7669,0)))</f>
        <v>78</v>
      </c>
      <c r="P14">
        <f>IF(Week&gt;=P$1,MATCH($A14&amp;"-"&amp;P$1&amp;$B14,Finals!$J$1:$J$501,0),IFERROR(MATCH($A14&amp;P$1&amp;$B14,'F Proj'!$N$1:$N$7669,0),MATCH("NA"&amp;P$1&amp;$B14,'F Proj'!$N$1:$N$7669,0)))</f>
        <v>13</v>
      </c>
      <c r="Q14">
        <f>IF(Week&gt;=Q$1,MATCH($A14&amp;"-"&amp;Q$1&amp;$B14,Finals!$J$1:$J$501,0),IFERROR(MATCH($A14&amp;Q$1&amp;$B14,'F Proj'!$N$1:$N$7669,0),MATCH("NA"&amp;Q$1&amp;$B14,'F Proj'!$N$1:$N$7669,0)))</f>
        <v>140</v>
      </c>
      <c r="R14">
        <f>IF(Week&gt;=R$1,MATCH($A14&amp;"-"&amp;R$1&amp;$B14,Finals!$J$1:$J$501,0),IFERROR(MATCH($A14&amp;R$1&amp;$B14,'F Proj'!$N$1:$N$7669,0),MATCH("NA"&amp;R$1&amp;$B14,'F Proj'!$N$1:$N$7669,0)))</f>
        <v>125</v>
      </c>
      <c r="S14">
        <f>IF(Week&gt;=S$1,MATCH($A14&amp;"-"&amp;S$1&amp;$B14,Finals!$J$1:$J$501,0),IFERROR(MATCH($A14&amp;S$1&amp;$B14,'F Proj'!$N$1:$N$7669,0),MATCH("NA"&amp;S$1&amp;$B14,'F Proj'!$N$1:$N$7669,0)))</f>
        <v>27</v>
      </c>
      <c r="T14">
        <f>IF(Week&gt;=C$1,INDEX(Finals!$G$1:$G$501,C14),INDEX('F Proj'!$D$1:$D$7669,C14))</f>
        <v>24.9</v>
      </c>
      <c r="U14">
        <f>IF(Week&gt;=D$1,INDEX(Finals!$G$1:$G$501,D14),INDEX('F Proj'!$D$1:$D$7669,D14))</f>
        <v>16</v>
      </c>
      <c r="V14">
        <f>IF(Week&gt;=E$1,INDEX(Finals!$G$1:$G$501,E14),INDEX('F Proj'!$D$1:$D$7669,E14))</f>
        <v>19.899999999999999</v>
      </c>
      <c r="W14">
        <f>IF(Week&gt;=F$1,INDEX(Finals!$G$1:$G$501,F14),INDEX('F Proj'!$D$1:$D$7669,F14))</f>
        <v>15</v>
      </c>
      <c r="X14">
        <f>IF(Week&gt;=G$1,INDEX(Finals!$G$1:$G$501,G14),INDEX('F Proj'!$D$1:$D$7669,G14))</f>
        <v>21.59</v>
      </c>
      <c r="Y14">
        <f>IF(Week&gt;=H$1,INDEX(Finals!$G$1:$G$501,H14),INDEX('F Proj'!$D$1:$D$7669,H14))</f>
        <v>21.25</v>
      </c>
      <c r="Z14">
        <f>IF(Week&gt;=I$1,INDEX(Finals!$G$1:$G$501,I14),INDEX('F Proj'!$D$1:$D$7669,I14))</f>
        <v>20.82</v>
      </c>
      <c r="AA14">
        <f>IF(Week&gt;=J$1,INDEX(Finals!$G$1:$G$501,J14),INDEX('F Proj'!$D$1:$D$7669,J14))</f>
        <v>21.82</v>
      </c>
      <c r="AB14">
        <f>IF(Week&gt;=K$1,INDEX(Finals!$G$1:$G$501,K14),INDEX('F Proj'!$D$1:$D$7669,K14))</f>
        <v>20.71</v>
      </c>
      <c r="AC14">
        <f>IF(Week&gt;=L$1,INDEX(Finals!$G$1:$G$501,L14),INDEX('F Proj'!$D$1:$D$7669,L14))</f>
        <v>20.83</v>
      </c>
      <c r="AD14">
        <f>IF(Week&gt;=M$1,INDEX(Finals!$G$1:$G$501,M14),INDEX('F Proj'!$D$1:$D$7669,M14))</f>
        <v>21.77</v>
      </c>
      <c r="AE14">
        <f>IF(Week&gt;=N$1,INDEX(Finals!$G$1:$G$501,N14),INDEX('F Proj'!$D$1:$D$7669,N14))</f>
        <v>21.55</v>
      </c>
      <c r="AF14">
        <f>IF(Week&gt;=O$1,INDEX(Finals!$G$1:$G$501,O14),INDEX('F Proj'!$D$1:$D$7669,O14))</f>
        <v>21.23</v>
      </c>
      <c r="AG14">
        <f>IF(Week&gt;=P$1,INDEX(Finals!$G$1:$G$501,P14),INDEX('F Proj'!$D$1:$D$7669,P14))</f>
        <v>23.91</v>
      </c>
      <c r="AH14">
        <f>IF(Week&gt;=Q$1,INDEX(Finals!$G$1:$G$501,Q14),INDEX('F Proj'!$D$1:$D$7669,Q14))</f>
        <v>19.95</v>
      </c>
      <c r="AI14">
        <f>IF(Week&gt;=R$1,INDEX(Finals!$G$1:$G$501,R14),INDEX('F Proj'!$D$1:$D$7669,R14))</f>
        <v>20.190000000000001</v>
      </c>
      <c r="AJ14">
        <f>IF(Week&gt;=S$1,INDEX(Finals!$G$1:$G$501,S14),INDEX('F Proj'!$D$1:$D$7669,S14))</f>
        <v>23</v>
      </c>
      <c r="AK14">
        <f>IF(Week&gt;=C$1,INDEX(Finals!$I$1:$I$501,C14),INDEX('F Proj'!$J$1:$J$7669,C14))</f>
        <v>0</v>
      </c>
      <c r="AL14">
        <f>IF(Week&gt;=D$1,INDEX(Finals!$I$1:$I$501,D14),INDEX('F Proj'!$J$1:$J$7669,D14))</f>
        <v>0</v>
      </c>
      <c r="AM14">
        <f>IF(Week&gt;=E$1,INDEX(Finals!$I$1:$I$501,E14),INDEX('F Proj'!$J$1:$J$7669,E14))</f>
        <v>0</v>
      </c>
      <c r="AN14">
        <f>IF(Week&gt;=F$1,INDEX(Finals!$I$1:$I$501,F14),INDEX('F Proj'!$J$1:$J$7669,F14))</f>
        <v>0</v>
      </c>
      <c r="AO14">
        <f>IF(Week&gt;=G$1,INDEX(Finals!$I$1:$I$501,G14),INDEX('F Proj'!$J$1:$J$7669,G14))</f>
        <v>70.56</v>
      </c>
      <c r="AP14">
        <f>IF(Week&gt;=H$1,INDEX(Finals!$I$1:$I$501,H14),INDEX('F Proj'!$J$1:$J$7669,H14))</f>
        <v>62.726399999999998</v>
      </c>
      <c r="AQ14">
        <f>IF(Week&gt;=I$1,INDEX(Finals!$I$1:$I$501,I14),INDEX('F Proj'!$J$1:$J$7669,I14))</f>
        <v>45.697600000000001</v>
      </c>
      <c r="AR14">
        <f>IF(Week&gt;=J$1,INDEX(Finals!$I$1:$I$501,J14),INDEX('F Proj'!$J$1:$J$7669,J14))</f>
        <v>52.707599999999999</v>
      </c>
      <c r="AS14">
        <f>IF(Week&gt;=K$1,INDEX(Finals!$I$1:$I$501,K14),INDEX('F Proj'!$J$1:$J$7669,K14))</f>
        <v>57.912100000000002</v>
      </c>
      <c r="AT14">
        <f>IF(Week&gt;=L$1,INDEX(Finals!$I$1:$I$501,L14),INDEX('F Proj'!$J$1:$J$7669,L14))</f>
        <v>63.361600000000003</v>
      </c>
      <c r="AU14">
        <f>IF(Week&gt;=M$1,INDEX(Finals!$I$1:$I$501,M14),INDEX('F Proj'!$J$1:$J$7669,M14))</f>
        <v>49.140099999999997</v>
      </c>
      <c r="AV14">
        <f>IF(Week&gt;=N$1,INDEX(Finals!$I$1:$I$501,N14),INDEX('F Proj'!$J$1:$J$7669,N14))</f>
        <v>73.959999999999994</v>
      </c>
      <c r="AW14">
        <f>IF(Week&gt;=O$1,INDEX(Finals!$I$1:$I$501,O14),INDEX('F Proj'!$J$1:$J$7669,O14))</f>
        <v>56.700899999999997</v>
      </c>
      <c r="AX14">
        <f>IF(Week&gt;=P$1,INDEX(Finals!$I$1:$I$501,P14),INDEX('F Proj'!$J$1:$J$7669,P14))</f>
        <v>72.760900000000007</v>
      </c>
      <c r="AY14">
        <f>IF(Week&gt;=Q$1,INDEX(Finals!$I$1:$I$501,Q14),INDEX('F Proj'!$J$1:$J$7669,Q14))</f>
        <v>60.372900000000001</v>
      </c>
      <c r="AZ14">
        <f>IF(Week&gt;=R$1,INDEX(Finals!$I$1:$I$501,R14),INDEX('F Proj'!$J$1:$J$7669,R14))</f>
        <v>55.502499999999998</v>
      </c>
      <c r="BA14">
        <f>IF(Week&gt;=S$1,INDEX(Finals!$I$1:$I$501,S14),INDEX('F Proj'!$J$1:$J$7669,S14))</f>
        <v>64</v>
      </c>
    </row>
    <row r="15" spans="1:53" x14ac:dyDescent="0.25">
      <c r="A15" t="s">
        <v>16</v>
      </c>
      <c r="B15" t="s">
        <v>468</v>
      </c>
      <c r="C15">
        <f>IF(Week&gt;=C$1,MATCH($A15&amp;"-"&amp;C$1&amp;$B15,Finals!$J$1:$J$501,0),IFERROR(MATCH($A15&amp;C$1&amp;$B15,'F Proj'!$N$1:$N$7669,0),MATCH("NA"&amp;C$1&amp;$B15,'F Proj'!$N$1:$N$7669,0)))</f>
        <v>66</v>
      </c>
      <c r="D15">
        <f>IF(Week&gt;=D$1,MATCH($A15&amp;"-"&amp;D$1&amp;$B15,Finals!$J$1:$J$501,0),IFERROR(MATCH($A15&amp;D$1&amp;$B15,'F Proj'!$N$1:$N$7669,0),MATCH("NA"&amp;D$1&amp;$B15,'F Proj'!$N$1:$N$7669,0)))</f>
        <v>67</v>
      </c>
      <c r="E15">
        <f>IF(Week&gt;=E$1,MATCH($A15&amp;"-"&amp;E$1&amp;$B15,Finals!$J$1:$J$501,0),IFERROR(MATCH($A15&amp;E$1&amp;$B15,'F Proj'!$N$1:$N$7669,0),MATCH("NA"&amp;E$1&amp;$B15,'F Proj'!$N$1:$N$7669,0)))</f>
        <v>68</v>
      </c>
      <c r="F15">
        <f>IF(Week&gt;=F$1,MATCH($A15&amp;"-"&amp;F$1&amp;$B15,Finals!$J$1:$J$501,0),IFERROR(MATCH($A15&amp;F$1&amp;$B15,'F Proj'!$N$1:$N$7669,0),MATCH("NA"&amp;F$1&amp;$B15,'F Proj'!$N$1:$N$7669,0)))</f>
        <v>69</v>
      </c>
      <c r="G15">
        <f>IF(Week&gt;=G$1,MATCH($A15&amp;"-"&amp;G$1&amp;$B15,Finals!$J$1:$J$501,0),IFERROR(MATCH($A15&amp;G$1&amp;$B15,'F Proj'!$N$1:$N$7669,0),MATCH("NA"&amp;G$1&amp;$B15,'F Proj'!$N$1:$N$7669,0)))</f>
        <v>70</v>
      </c>
      <c r="H15">
        <f>IF(Week&gt;=H$1,MATCH($A15&amp;"-"&amp;H$1&amp;$B15,Finals!$J$1:$J$501,0),IFERROR(MATCH($A15&amp;H$1&amp;$B15,'F Proj'!$N$1:$N$7669,0),MATCH("NA"&amp;H$1&amp;$B15,'F Proj'!$N$1:$N$7669,0)))</f>
        <v>570</v>
      </c>
      <c r="I15">
        <f>IF(Week&gt;=I$1,MATCH($A15&amp;"-"&amp;I$1&amp;$B15,Finals!$J$1:$J$501,0),IFERROR(MATCH($A15&amp;I$1&amp;$B15,'F Proj'!$N$1:$N$7669,0),MATCH("NA"&amp;I$1&amp;$B15,'F Proj'!$N$1:$N$7669,0)))</f>
        <v>791</v>
      </c>
      <c r="J15">
        <f>IF(Week&gt;=J$1,MATCH($A15&amp;"-"&amp;J$1&amp;$B15,Finals!$J$1:$J$501,0),IFERROR(MATCH($A15&amp;J$1&amp;$B15,'F Proj'!$N$1:$N$7669,0),MATCH("NA"&amp;J$1&amp;$B15,'F Proj'!$N$1:$N$7669,0)))</f>
        <v>589</v>
      </c>
      <c r="K15">
        <f>IF(Week&gt;=K$1,MATCH($A15&amp;"-"&amp;K$1&amp;$B15,Finals!$J$1:$J$501,0),IFERROR(MATCH($A15&amp;K$1&amp;$B15,'F Proj'!$N$1:$N$7669,0),MATCH("NA"&amp;K$1&amp;$B15,'F Proj'!$N$1:$N$7669,0)))</f>
        <v>574</v>
      </c>
      <c r="L15">
        <f>IF(Week&gt;=L$1,MATCH($A15&amp;"-"&amp;L$1&amp;$B15,Finals!$J$1:$J$501,0),IFERROR(MATCH($A15&amp;L$1&amp;$B15,'F Proj'!$N$1:$N$7669,0),MATCH("NA"&amp;L$1&amp;$B15,'F Proj'!$N$1:$N$7669,0)))</f>
        <v>505</v>
      </c>
      <c r="M15">
        <f>IF(Week&gt;=M$1,MATCH($A15&amp;"-"&amp;M$1&amp;$B15,Finals!$J$1:$J$501,0),IFERROR(MATCH($A15&amp;M$1&amp;$B15,'F Proj'!$N$1:$N$7669,0),MATCH("NA"&amp;M$1&amp;$B15,'F Proj'!$N$1:$N$7669,0)))</f>
        <v>1182</v>
      </c>
      <c r="N15">
        <f>IF(Week&gt;=N$1,MATCH($A15&amp;"-"&amp;N$1&amp;$B15,Finals!$J$1:$J$501,0),IFERROR(MATCH($A15&amp;N$1&amp;$B15,'F Proj'!$N$1:$N$7669,0),MATCH("NA"&amp;N$1&amp;$B15,'F Proj'!$N$1:$N$7669,0)))</f>
        <v>691</v>
      </c>
      <c r="O15">
        <f>IF(Week&gt;=O$1,MATCH($A15&amp;"-"&amp;O$1&amp;$B15,Finals!$J$1:$J$501,0),IFERROR(MATCH($A15&amp;O$1&amp;$B15,'F Proj'!$N$1:$N$7669,0),MATCH("NA"&amp;O$1&amp;$B15,'F Proj'!$N$1:$N$7669,0)))</f>
        <v>856</v>
      </c>
      <c r="P15">
        <f>IF(Week&gt;=P$1,MATCH($A15&amp;"-"&amp;P$1&amp;$B15,Finals!$J$1:$J$501,0),IFERROR(MATCH($A15&amp;P$1&amp;$B15,'F Proj'!$N$1:$N$7669,0),MATCH("NA"&amp;P$1&amp;$B15,'F Proj'!$N$1:$N$7669,0)))</f>
        <v>618</v>
      </c>
      <c r="Q15">
        <f>IF(Week&gt;=Q$1,MATCH($A15&amp;"-"&amp;Q$1&amp;$B15,Finals!$J$1:$J$501,0),IFERROR(MATCH($A15&amp;Q$1&amp;$B15,'F Proj'!$N$1:$N$7669,0),MATCH("NA"&amp;Q$1&amp;$B15,'F Proj'!$N$1:$N$7669,0)))</f>
        <v>950</v>
      </c>
      <c r="R15">
        <f>IF(Week&gt;=R$1,MATCH($A15&amp;"-"&amp;R$1&amp;$B15,Finals!$J$1:$J$501,0),IFERROR(MATCH($A15&amp;R$1&amp;$B15,'F Proj'!$N$1:$N$7669,0),MATCH("NA"&amp;R$1&amp;$B15,'F Proj'!$N$1:$N$7669,0)))</f>
        <v>575</v>
      </c>
      <c r="S15">
        <f>IF(Week&gt;=S$1,MATCH($A15&amp;"-"&amp;S$1&amp;$B15,Finals!$J$1:$J$501,0),IFERROR(MATCH($A15&amp;S$1&amp;$B15,'F Proj'!$N$1:$N$7669,0),MATCH("NA"&amp;S$1&amp;$B15,'F Proj'!$N$1:$N$7669,0)))</f>
        <v>1123</v>
      </c>
      <c r="T15">
        <f>IF(Week&gt;=C$1,INDEX(Finals!$G$1:$G$501,C15),INDEX('F Proj'!$D$1:$D$7669,C15))</f>
        <v>12.5</v>
      </c>
      <c r="U15">
        <f>IF(Week&gt;=D$1,INDEX(Finals!$G$1:$G$501,D15),INDEX('F Proj'!$D$1:$D$7669,D15))</f>
        <v>11</v>
      </c>
      <c r="V15">
        <f>IF(Week&gt;=E$1,INDEX(Finals!$G$1:$G$501,E15),INDEX('F Proj'!$D$1:$D$7669,E15))</f>
        <v>22.3</v>
      </c>
      <c r="W15">
        <f>IF(Week&gt;=F$1,INDEX(Finals!$G$1:$G$501,F15),INDEX('F Proj'!$D$1:$D$7669,F15))</f>
        <v>14.2</v>
      </c>
      <c r="X15">
        <f>IF(Week&gt;=G$1,INDEX(Finals!$G$1:$G$501,G15),INDEX('F Proj'!$D$1:$D$7669,G15))</f>
        <v>10.39</v>
      </c>
      <c r="Y15">
        <f>IF(Week&gt;=H$1,INDEX(Finals!$G$1:$G$501,H15),INDEX('F Proj'!$D$1:$D$7669,H15))</f>
        <v>14.08</v>
      </c>
      <c r="Z15">
        <f>IF(Week&gt;=I$1,INDEX(Finals!$G$1:$G$501,I15),INDEX('F Proj'!$D$1:$D$7669,I15))</f>
        <v>12.25</v>
      </c>
      <c r="AA15">
        <f>IF(Week&gt;=J$1,INDEX(Finals!$G$1:$G$501,J15),INDEX('F Proj'!$D$1:$D$7669,J15))</f>
        <v>13.84</v>
      </c>
      <c r="AB15">
        <f>IF(Week&gt;=K$1,INDEX(Finals!$G$1:$G$501,K15),INDEX('F Proj'!$D$1:$D$7669,K15))</f>
        <v>14.07</v>
      </c>
      <c r="AC15">
        <f>IF(Week&gt;=L$1,INDEX(Finals!$G$1:$G$501,L15),INDEX('F Proj'!$D$1:$D$7669,L15))</f>
        <v>14.75</v>
      </c>
      <c r="AD15">
        <f>IF(Week&gt;=M$1,INDEX(Finals!$G$1:$G$501,M15),INDEX('F Proj'!$D$1:$D$7669,M15))</f>
        <v>9.52</v>
      </c>
      <c r="AE15">
        <f>IF(Week&gt;=N$1,INDEX(Finals!$G$1:$G$501,N15),INDEX('F Proj'!$D$1:$D$7669,N15))</f>
        <v>12.96</v>
      </c>
      <c r="AF15">
        <f>IF(Week&gt;=O$1,INDEX(Finals!$G$1:$G$501,O15),INDEX('F Proj'!$D$1:$D$7669,O15))</f>
        <v>11.68</v>
      </c>
      <c r="AG15">
        <f>IF(Week&gt;=P$1,INDEX(Finals!$G$1:$G$501,P15),INDEX('F Proj'!$D$1:$D$7669,P15))</f>
        <v>13.61</v>
      </c>
      <c r="AH15">
        <f>IF(Week&gt;=Q$1,INDEX(Finals!$G$1:$G$501,Q15),INDEX('F Proj'!$D$1:$D$7669,Q15))</f>
        <v>10.75</v>
      </c>
      <c r="AI15">
        <f>IF(Week&gt;=R$1,INDEX(Finals!$G$1:$G$501,R15),INDEX('F Proj'!$D$1:$D$7669,R15))</f>
        <v>14.06</v>
      </c>
      <c r="AJ15">
        <f>IF(Week&gt;=S$1,INDEX(Finals!$G$1:$G$501,S15),INDEX('F Proj'!$D$1:$D$7669,S15))</f>
        <v>9.7799999999999994</v>
      </c>
      <c r="AK15">
        <f>IF(Week&gt;=C$1,INDEX(Finals!$I$1:$I$501,C15),INDEX('F Proj'!$J$1:$J$7669,C15))</f>
        <v>0</v>
      </c>
      <c r="AL15">
        <f>IF(Week&gt;=D$1,INDEX(Finals!$I$1:$I$501,D15),INDEX('F Proj'!$J$1:$J$7669,D15))</f>
        <v>0</v>
      </c>
      <c r="AM15">
        <f>IF(Week&gt;=E$1,INDEX(Finals!$I$1:$I$501,E15),INDEX('F Proj'!$J$1:$J$7669,E15))</f>
        <v>0</v>
      </c>
      <c r="AN15">
        <f>IF(Week&gt;=F$1,INDEX(Finals!$I$1:$I$501,F15),INDEX('F Proj'!$J$1:$J$7669,F15))</f>
        <v>0</v>
      </c>
      <c r="AO15">
        <f>IF(Week&gt;=G$1,INDEX(Finals!$I$1:$I$501,G15),INDEX('F Proj'!$J$1:$J$7669,G15))</f>
        <v>32.148899999999998</v>
      </c>
      <c r="AP15">
        <f>IF(Week&gt;=H$1,INDEX(Finals!$I$1:$I$501,H15),INDEX('F Proj'!$J$1:$J$7669,H15))</f>
        <v>37.088099999999997</v>
      </c>
      <c r="AQ15">
        <f>IF(Week&gt;=I$1,INDEX(Finals!$I$1:$I$501,I15),INDEX('F Proj'!$J$1:$J$7669,I15))</f>
        <v>35.521599999999999</v>
      </c>
      <c r="AR15">
        <f>IF(Week&gt;=J$1,INDEX(Finals!$I$1:$I$501,J15),INDEX('F Proj'!$J$1:$J$7669,J15))</f>
        <v>41.088099999999997</v>
      </c>
      <c r="AS15">
        <f>IF(Week&gt;=K$1,INDEX(Finals!$I$1:$I$501,K15),INDEX('F Proj'!$J$1:$J$7669,K15))</f>
        <v>42.902500000000003</v>
      </c>
      <c r="AT15">
        <f>IF(Week&gt;=L$1,INDEX(Finals!$I$1:$I$501,L15),INDEX('F Proj'!$J$1:$J$7669,L15))</f>
        <v>40.449599999999997</v>
      </c>
      <c r="AU15">
        <f>IF(Week&gt;=M$1,INDEX(Finals!$I$1:$I$501,M15),INDEX('F Proj'!$J$1:$J$7669,M15))</f>
        <v>35.046399999999998</v>
      </c>
      <c r="AV15">
        <f>IF(Week&gt;=N$1,INDEX(Finals!$I$1:$I$501,N15),INDEX('F Proj'!$J$1:$J$7669,N15))</f>
        <v>39.187600000000003</v>
      </c>
      <c r="AW15">
        <f>IF(Week&gt;=O$1,INDEX(Finals!$I$1:$I$501,O15),INDEX('F Proj'!$J$1:$J$7669,O15))</f>
        <v>36.9664</v>
      </c>
      <c r="AX15">
        <f>IF(Week&gt;=P$1,INDEX(Finals!$I$1:$I$501,P15),INDEX('F Proj'!$J$1:$J$7669,P15))</f>
        <v>41.990400000000001</v>
      </c>
      <c r="AY15">
        <f>IF(Week&gt;=Q$1,INDEX(Finals!$I$1:$I$501,Q15),INDEX('F Proj'!$J$1:$J$7669,Q15))</f>
        <v>33.524099999999997</v>
      </c>
      <c r="AZ15">
        <f>IF(Week&gt;=R$1,INDEX(Finals!$I$1:$I$501,R15),INDEX('F Proj'!$J$1:$J$7669,R15))</f>
        <v>39.187600000000003</v>
      </c>
      <c r="BA15">
        <f>IF(Week&gt;=S$1,INDEX(Finals!$I$1:$I$501,S15),INDEX('F Proj'!$J$1:$J$7669,S15))</f>
        <v>35.521599999999999</v>
      </c>
    </row>
    <row r="16" spans="1:53" x14ac:dyDescent="0.25">
      <c r="A16" t="s">
        <v>16</v>
      </c>
      <c r="B16" t="s">
        <v>469</v>
      </c>
      <c r="C16">
        <f>IF(Week&gt;=C$1,MATCH($A16&amp;"-"&amp;C$1&amp;$B16,Finals!$J$1:$J$501,0),IFERROR(MATCH($A16&amp;C$1&amp;$B16,'F Proj'!$N$1:$N$7669,0),MATCH("NA"&amp;C$1&amp;$B16,'F Proj'!$N$1:$N$7669,0)))</f>
        <v>320</v>
      </c>
      <c r="D16">
        <f>IF(Week&gt;=D$1,MATCH($A16&amp;"-"&amp;D$1&amp;$B16,Finals!$J$1:$J$501,0),IFERROR(MATCH($A16&amp;D$1&amp;$B16,'F Proj'!$N$1:$N$7669,0),MATCH("NA"&amp;D$1&amp;$B16,'F Proj'!$N$1:$N$7669,0)))</f>
        <v>321</v>
      </c>
      <c r="E16">
        <f>IF(Week&gt;=E$1,MATCH($A16&amp;"-"&amp;E$1&amp;$B16,Finals!$J$1:$J$501,0),IFERROR(MATCH($A16&amp;E$1&amp;$B16,'F Proj'!$N$1:$N$7669,0),MATCH("NA"&amp;E$1&amp;$B16,'F Proj'!$N$1:$N$7669,0)))</f>
        <v>175</v>
      </c>
      <c r="F16">
        <f>IF(Week&gt;=F$1,MATCH($A16&amp;"-"&amp;F$1&amp;$B16,Finals!$J$1:$J$501,0),IFERROR(MATCH($A16&amp;F$1&amp;$B16,'F Proj'!$N$1:$N$7669,0),MATCH("NA"&amp;F$1&amp;$B16,'F Proj'!$N$1:$N$7669,0)))</f>
        <v>176</v>
      </c>
      <c r="G16">
        <f>IF(Week&gt;=G$1,MATCH($A16&amp;"-"&amp;G$1&amp;$B16,Finals!$J$1:$J$501,0),IFERROR(MATCH($A16&amp;G$1&amp;$B16,'F Proj'!$N$1:$N$7669,0),MATCH("NA"&amp;G$1&amp;$B16,'F Proj'!$N$1:$N$7669,0)))</f>
        <v>177</v>
      </c>
      <c r="H16">
        <f>IF(Week&gt;=H$1,MATCH($A16&amp;"-"&amp;H$1&amp;$B16,Finals!$J$1:$J$501,0),IFERROR(MATCH($A16&amp;H$1&amp;$B16,'F Proj'!$N$1:$N$7669,0),MATCH("NA"&amp;H$1&amp;$B16,'F Proj'!$N$1:$N$7669,0)))</f>
        <v>1037</v>
      </c>
      <c r="I16">
        <f>IF(Week&gt;=I$1,MATCH($A16&amp;"-"&amp;I$1&amp;$B16,Finals!$J$1:$J$501,0),IFERROR(MATCH($A16&amp;I$1&amp;$B16,'F Proj'!$N$1:$N$7669,0),MATCH("NA"&amp;I$1&amp;$B16,'F Proj'!$N$1:$N$7669,0)))</f>
        <v>1393</v>
      </c>
      <c r="J16">
        <f>IF(Week&gt;=J$1,MATCH($A16&amp;"-"&amp;J$1&amp;$B16,Finals!$J$1:$J$501,0),IFERROR(MATCH($A16&amp;J$1&amp;$B16,'F Proj'!$N$1:$N$7669,0),MATCH("NA"&amp;J$1&amp;$B16,'F Proj'!$N$1:$N$7669,0)))</f>
        <v>1181</v>
      </c>
      <c r="K16">
        <f>IF(Week&gt;=K$1,MATCH($A16&amp;"-"&amp;K$1&amp;$B16,Finals!$J$1:$J$501,0),IFERROR(MATCH($A16&amp;K$1&amp;$B16,'F Proj'!$N$1:$N$7669,0),MATCH("NA"&amp;K$1&amp;$B16,'F Proj'!$N$1:$N$7669,0)))</f>
        <v>946</v>
      </c>
      <c r="L16">
        <f>IF(Week&gt;=L$1,MATCH($A16&amp;"-"&amp;L$1&amp;$B16,Finals!$J$1:$J$501,0),IFERROR(MATCH($A16&amp;L$1&amp;$B16,'F Proj'!$N$1:$N$7669,0),MATCH("NA"&amp;L$1&amp;$B16,'F Proj'!$N$1:$N$7669,0)))</f>
        <v>1158</v>
      </c>
      <c r="M16">
        <f>IF(Week&gt;=M$1,MATCH($A16&amp;"-"&amp;M$1&amp;$B16,Finals!$J$1:$J$501,0),IFERROR(MATCH($A16&amp;M$1&amp;$B16,'F Proj'!$N$1:$N$7669,0),MATCH("NA"&amp;M$1&amp;$B16,'F Proj'!$N$1:$N$7669,0)))</f>
        <v>2152</v>
      </c>
      <c r="N16">
        <f>IF(Week&gt;=N$1,MATCH($A16&amp;"-"&amp;N$1&amp;$B16,Finals!$J$1:$J$501,0),IFERROR(MATCH($A16&amp;N$1&amp;$B16,'F Proj'!$N$1:$N$7669,0),MATCH("NA"&amp;N$1&amp;$B16,'F Proj'!$N$1:$N$7669,0)))</f>
        <v>961</v>
      </c>
      <c r="O16">
        <f>IF(Week&gt;=O$1,MATCH($A16&amp;"-"&amp;O$1&amp;$B16,Finals!$J$1:$J$501,0),IFERROR(MATCH($A16&amp;O$1&amp;$B16,'F Proj'!$N$1:$N$7669,0),MATCH("NA"&amp;O$1&amp;$B16,'F Proj'!$N$1:$N$7669,0)))</f>
        <v>1419</v>
      </c>
      <c r="P16">
        <f>IF(Week&gt;=P$1,MATCH($A16&amp;"-"&amp;P$1&amp;$B16,Finals!$J$1:$J$501,0),IFERROR(MATCH($A16&amp;P$1&amp;$B16,'F Proj'!$N$1:$N$7669,0),MATCH("NA"&amp;P$1&amp;$B16,'F Proj'!$N$1:$N$7669,0)))</f>
        <v>1057</v>
      </c>
      <c r="Q16">
        <f>IF(Week&gt;=Q$1,MATCH($A16&amp;"-"&amp;Q$1&amp;$B16,Finals!$J$1:$J$501,0),IFERROR(MATCH($A16&amp;Q$1&amp;$B16,'F Proj'!$N$1:$N$7669,0),MATCH("NA"&amp;Q$1&amp;$B16,'F Proj'!$N$1:$N$7669,0)))</f>
        <v>1085</v>
      </c>
      <c r="R16">
        <f>IF(Week&gt;=R$1,MATCH($A16&amp;"-"&amp;R$1&amp;$B16,Finals!$J$1:$J$501,0),IFERROR(MATCH($A16&amp;R$1&amp;$B16,'F Proj'!$N$1:$N$7669,0),MATCH("NA"&amp;R$1&amp;$B16,'F Proj'!$N$1:$N$7669,0)))</f>
        <v>986</v>
      </c>
      <c r="S16">
        <f>IF(Week&gt;=S$1,MATCH($A16&amp;"-"&amp;S$1&amp;$B16,Finals!$J$1:$J$501,0),IFERROR(MATCH($A16&amp;S$1&amp;$B16,'F Proj'!$N$1:$N$7669,0),MATCH("NA"&amp;S$1&amp;$B16,'F Proj'!$N$1:$N$7669,0)))</f>
        <v>1252</v>
      </c>
      <c r="T16">
        <f>IF(Week&gt;=C$1,INDEX(Finals!$G$1:$G$501,C16),INDEX('F Proj'!$D$1:$D$7669,C16))</f>
        <v>6.9</v>
      </c>
      <c r="U16">
        <f>IF(Week&gt;=D$1,INDEX(Finals!$G$1:$G$501,D16),INDEX('F Proj'!$D$1:$D$7669,D16))</f>
        <v>2.2000000000000002</v>
      </c>
      <c r="V16">
        <f>IF(Week&gt;=E$1,INDEX(Finals!$G$1:$G$501,E16),INDEX('F Proj'!$D$1:$D$7669,E16))</f>
        <v>11.1</v>
      </c>
      <c r="W16">
        <f>IF(Week&gt;=F$1,INDEX(Finals!$G$1:$G$501,F16),INDEX('F Proj'!$D$1:$D$7669,F16))</f>
        <v>23.2</v>
      </c>
      <c r="X16">
        <f>IF(Week&gt;=G$1,INDEX(Finals!$G$1:$G$501,G16),INDEX('F Proj'!$D$1:$D$7669,G16))</f>
        <v>13.7</v>
      </c>
      <c r="Y16">
        <f>IF(Week&gt;=H$1,INDEX(Finals!$G$1:$G$501,H16),INDEX('F Proj'!$D$1:$D$7669,H16))</f>
        <v>10.199999999999999</v>
      </c>
      <c r="Z16">
        <f>IF(Week&gt;=I$1,INDEX(Finals!$G$1:$G$501,I16),INDEX('F Proj'!$D$1:$D$7669,I16))</f>
        <v>8.5</v>
      </c>
      <c r="AA16">
        <f>IF(Week&gt;=J$1,INDEX(Finals!$G$1:$G$501,J16),INDEX('F Proj'!$D$1:$D$7669,J16))</f>
        <v>9.52</v>
      </c>
      <c r="AB16">
        <f>IF(Week&gt;=K$1,INDEX(Finals!$G$1:$G$501,K16),INDEX('F Proj'!$D$1:$D$7669,K16))</f>
        <v>10.81</v>
      </c>
      <c r="AC16">
        <f>IF(Week&gt;=L$1,INDEX(Finals!$G$1:$G$501,L16),INDEX('F Proj'!$D$1:$D$7669,L16))</f>
        <v>9.6199999999999992</v>
      </c>
      <c r="AD16">
        <f>IF(Week&gt;=M$1,INDEX(Finals!$G$1:$G$501,M16),INDEX('F Proj'!$D$1:$D$7669,M16))</f>
        <v>6.07</v>
      </c>
      <c r="AE16">
        <f>IF(Week&gt;=N$1,INDEX(Finals!$G$1:$G$501,N16),INDEX('F Proj'!$D$1:$D$7669,N16))</f>
        <v>10.68</v>
      </c>
      <c r="AF16">
        <f>IF(Week&gt;=O$1,INDEX(Finals!$G$1:$G$501,O16),INDEX('F Proj'!$D$1:$D$7669,O16))</f>
        <v>8.4</v>
      </c>
      <c r="AG16">
        <f>IF(Week&gt;=P$1,INDEX(Finals!$G$1:$G$501,P16),INDEX('F Proj'!$D$1:$D$7669,P16))</f>
        <v>10.050000000000001</v>
      </c>
      <c r="AH16">
        <f>IF(Week&gt;=Q$1,INDEX(Finals!$G$1:$G$501,Q16),INDEX('F Proj'!$D$1:$D$7669,Q16))</f>
        <v>9.9499999999999993</v>
      </c>
      <c r="AI16">
        <f>IF(Week&gt;=R$1,INDEX(Finals!$G$1:$G$501,R16),INDEX('F Proj'!$D$1:$D$7669,R16))</f>
        <v>10.51</v>
      </c>
      <c r="AJ16">
        <f>IF(Week&gt;=S$1,INDEX(Finals!$G$1:$G$501,S16),INDEX('F Proj'!$D$1:$D$7669,S16))</f>
        <v>9.11</v>
      </c>
      <c r="AK16">
        <f>IF(Week&gt;=C$1,INDEX(Finals!$I$1:$I$501,C16),INDEX('F Proj'!$J$1:$J$7669,C16))</f>
        <v>0</v>
      </c>
      <c r="AL16">
        <f>IF(Week&gt;=D$1,INDEX(Finals!$I$1:$I$501,D16),INDEX('F Proj'!$J$1:$J$7669,D16))</f>
        <v>0</v>
      </c>
      <c r="AM16">
        <f>IF(Week&gt;=E$1,INDEX(Finals!$I$1:$I$501,E16),INDEX('F Proj'!$J$1:$J$7669,E16))</f>
        <v>0</v>
      </c>
      <c r="AN16">
        <f>IF(Week&gt;=F$1,INDEX(Finals!$I$1:$I$501,F16),INDEX('F Proj'!$J$1:$J$7669,F16))</f>
        <v>0</v>
      </c>
      <c r="AO16">
        <f>IF(Week&gt;=G$1,INDEX(Finals!$I$1:$I$501,G16),INDEX('F Proj'!$J$1:$J$7669,G16))</f>
        <v>0</v>
      </c>
      <c r="AP16">
        <f>IF(Week&gt;=H$1,INDEX(Finals!$I$1:$I$501,H16),INDEX('F Proj'!$J$1:$J$7669,H16))</f>
        <v>25.704899999999999</v>
      </c>
      <c r="AQ16">
        <f>IF(Week&gt;=I$1,INDEX(Finals!$I$1:$I$501,I16),INDEX('F Proj'!$J$1:$J$7669,I16))</f>
        <v>44.756100000000004</v>
      </c>
      <c r="AR16">
        <f>IF(Week&gt;=J$1,INDEX(Finals!$I$1:$I$501,J16),INDEX('F Proj'!$J$1:$J$7669,J16))</f>
        <v>44.089599999999997</v>
      </c>
      <c r="AS16">
        <f>IF(Week&gt;=K$1,INDEX(Finals!$I$1:$I$501,K16),INDEX('F Proj'!$J$1:$J$7669,K16))</f>
        <v>29.593599999999999</v>
      </c>
      <c r="AT16">
        <f>IF(Week&gt;=L$1,INDEX(Finals!$I$1:$I$501,L16),INDEX('F Proj'!$J$1:$J$7669,L16))</f>
        <v>33.756100000000004</v>
      </c>
      <c r="AU16">
        <f>IF(Week&gt;=M$1,INDEX(Finals!$I$1:$I$501,M16),INDEX('F Proj'!$J$1:$J$7669,M16))</f>
        <v>21.529599999999999</v>
      </c>
      <c r="AV16">
        <f>IF(Week&gt;=N$1,INDEX(Finals!$I$1:$I$501,N16),INDEX('F Proj'!$J$1:$J$7669,N16))</f>
        <v>31.922499999999999</v>
      </c>
      <c r="AW16">
        <f>IF(Week&gt;=O$1,INDEX(Finals!$I$1:$I$501,O16),INDEX('F Proj'!$J$1:$J$7669,O16))</f>
        <v>29.702500000000001</v>
      </c>
      <c r="AX16">
        <f>IF(Week&gt;=P$1,INDEX(Finals!$I$1:$I$501,P16),INDEX('F Proj'!$J$1:$J$7669,P16))</f>
        <v>46.376100000000001</v>
      </c>
      <c r="AY16">
        <f>IF(Week&gt;=Q$1,INDEX(Finals!$I$1:$I$501,Q16),INDEX('F Proj'!$J$1:$J$7669,Q16))</f>
        <v>35.521599999999999</v>
      </c>
      <c r="AZ16">
        <f>IF(Week&gt;=R$1,INDEX(Finals!$I$1:$I$501,R16),INDEX('F Proj'!$J$1:$J$7669,R16))</f>
        <v>34.222499999999997</v>
      </c>
      <c r="BA16">
        <f>IF(Week&gt;=S$1,INDEX(Finals!$I$1:$I$501,S16),INDEX('F Proj'!$J$1:$J$7669,S16))</f>
        <v>32.148899999999998</v>
      </c>
    </row>
    <row r="17" spans="1:53" x14ac:dyDescent="0.25">
      <c r="A17" t="s">
        <v>16</v>
      </c>
      <c r="B17" t="s">
        <v>470</v>
      </c>
      <c r="C17" t="e">
        <f>IF(Week&gt;=C$1,MATCH($A17&amp;"-"&amp;C$1&amp;$B17,Finals!$J$1:$J$501,0),IFERROR(MATCH($A17&amp;C$1&amp;$B17,'F Proj'!$N$1:$N$7669,0),MATCH("NA"&amp;C$1&amp;$B17,'F Proj'!$N$1:$N$7669,0)))</f>
        <v>#N/A</v>
      </c>
      <c r="D17" t="e">
        <f>IF(Week&gt;=D$1,MATCH($A17&amp;"-"&amp;D$1&amp;$B17,Finals!$J$1:$J$501,0),IFERROR(MATCH($A17&amp;D$1&amp;$B17,'F Proj'!$N$1:$N$7669,0),MATCH("NA"&amp;D$1&amp;$B17,'F Proj'!$N$1:$N$7669,0)))</f>
        <v>#N/A</v>
      </c>
      <c r="E17" t="e">
        <f>IF(Week&gt;=E$1,MATCH($A17&amp;"-"&amp;E$1&amp;$B17,Finals!$J$1:$J$501,0),IFERROR(MATCH($A17&amp;E$1&amp;$B17,'F Proj'!$N$1:$N$7669,0),MATCH("NA"&amp;E$1&amp;$B17,'F Proj'!$N$1:$N$7669,0)))</f>
        <v>#N/A</v>
      </c>
      <c r="F17" t="e">
        <f>IF(Week&gt;=F$1,MATCH($A17&amp;"-"&amp;F$1&amp;$B17,Finals!$J$1:$J$501,0),IFERROR(MATCH($A17&amp;F$1&amp;$B17,'F Proj'!$N$1:$N$7669,0),MATCH("NA"&amp;F$1&amp;$B17,'F Proj'!$N$1:$N$7669,0)))</f>
        <v>#N/A</v>
      </c>
      <c r="G17" t="e">
        <f>IF(Week&gt;=G$1,MATCH($A17&amp;"-"&amp;G$1&amp;$B17,Finals!$J$1:$J$501,0),IFERROR(MATCH($A17&amp;G$1&amp;$B17,'F Proj'!$N$1:$N$7669,0),MATCH("NA"&amp;G$1&amp;$B17,'F Proj'!$N$1:$N$7669,0)))</f>
        <v>#N/A</v>
      </c>
      <c r="H17">
        <f>IF(Week&gt;=H$1,MATCH($A17&amp;"-"&amp;H$1&amp;$B17,Finals!$J$1:$J$501,0),IFERROR(MATCH($A17&amp;H$1&amp;$B17,'F Proj'!$N$1:$N$7669,0),MATCH("NA"&amp;H$1&amp;$B17,'F Proj'!$N$1:$N$7669,0)))</f>
        <v>1510</v>
      </c>
      <c r="I17">
        <f>IF(Week&gt;=I$1,MATCH($A17&amp;"-"&amp;I$1&amp;$B17,Finals!$J$1:$J$501,0),IFERROR(MATCH($A17&amp;I$1&amp;$B17,'F Proj'!$N$1:$N$7669,0),MATCH("NA"&amp;I$1&amp;$B17,'F Proj'!$N$1:$N$7669,0)))</f>
        <v>1470</v>
      </c>
      <c r="J17">
        <f>IF(Week&gt;=J$1,MATCH($A17&amp;"-"&amp;J$1&amp;$B17,Finals!$J$1:$J$501,0),IFERROR(MATCH($A17&amp;J$1&amp;$B17,'F Proj'!$N$1:$N$7669,0),MATCH("NA"&amp;J$1&amp;$B17,'F Proj'!$N$1:$N$7669,0)))</f>
        <v>1283</v>
      </c>
      <c r="K17">
        <f>IF(Week&gt;=K$1,MATCH($A17&amp;"-"&amp;K$1&amp;$B17,Finals!$J$1:$J$501,0),IFERROR(MATCH($A17&amp;K$1&amp;$B17,'F Proj'!$N$1:$N$7669,0),MATCH("NA"&amp;K$1&amp;$B17,'F Proj'!$N$1:$N$7669,0)))</f>
        <v>1056</v>
      </c>
      <c r="L17">
        <f>IF(Week&gt;=L$1,MATCH($A17&amp;"-"&amp;L$1&amp;$B17,Finals!$J$1:$J$501,0),IFERROR(MATCH($A17&amp;L$1&amp;$B17,'F Proj'!$N$1:$N$7669,0),MATCH("NA"&amp;L$1&amp;$B17,'F Proj'!$N$1:$N$7669,0)))</f>
        <v>1358</v>
      </c>
      <c r="M17">
        <f>IF(Week&gt;=M$1,MATCH($A17&amp;"-"&amp;M$1&amp;$B17,Finals!$J$1:$J$501,0),IFERROR(MATCH($A17&amp;M$1&amp;$B17,'F Proj'!$N$1:$N$7669,0),MATCH("NA"&amp;M$1&amp;$B17,'F Proj'!$N$1:$N$7669,0)))</f>
        <v>2228</v>
      </c>
      <c r="N17">
        <f>IF(Week&gt;=N$1,MATCH($A17&amp;"-"&amp;N$1&amp;$B17,Finals!$J$1:$J$501,0),IFERROR(MATCH($A17&amp;N$1&amp;$B17,'F Proj'!$N$1:$N$7669,0),MATCH("NA"&amp;N$1&amp;$B17,'F Proj'!$N$1:$N$7669,0)))</f>
        <v>1507</v>
      </c>
      <c r="O17">
        <f>IF(Week&gt;=O$1,MATCH($A17&amp;"-"&amp;O$1&amp;$B17,Finals!$J$1:$J$501,0),IFERROR(MATCH($A17&amp;O$1&amp;$B17,'F Proj'!$N$1:$N$7669,0),MATCH("NA"&amp;O$1&amp;$B17,'F Proj'!$N$1:$N$7669,0)))</f>
        <v>1641</v>
      </c>
      <c r="P17">
        <f>IF(Week&gt;=P$1,MATCH($A17&amp;"-"&amp;P$1&amp;$B17,Finals!$J$1:$J$501,0),IFERROR(MATCH($A17&amp;P$1&amp;$B17,'F Proj'!$N$1:$N$7669,0),MATCH("NA"&amp;P$1&amp;$B17,'F Proj'!$N$1:$N$7669,0)))</f>
        <v>1113</v>
      </c>
      <c r="Q17">
        <f>IF(Week&gt;=Q$1,MATCH($A17&amp;"-"&amp;Q$1&amp;$B17,Finals!$J$1:$J$501,0),IFERROR(MATCH($A17&amp;Q$1&amp;$B17,'F Proj'!$N$1:$N$7669,0),MATCH("NA"&amp;Q$1&amp;$B17,'F Proj'!$N$1:$N$7669,0)))</f>
        <v>1288</v>
      </c>
      <c r="R17">
        <f>IF(Week&gt;=R$1,MATCH($A17&amp;"-"&amp;R$1&amp;$B17,Finals!$J$1:$J$501,0),IFERROR(MATCH($A17&amp;R$1&amp;$B17,'F Proj'!$N$1:$N$7669,0),MATCH("NA"&amp;R$1&amp;$B17,'F Proj'!$N$1:$N$7669,0)))</f>
        <v>1184</v>
      </c>
      <c r="S17">
        <f>IF(Week&gt;=S$1,MATCH($A17&amp;"-"&amp;S$1&amp;$B17,Finals!$J$1:$J$501,0),IFERROR(MATCH($A17&amp;S$1&amp;$B17,'F Proj'!$N$1:$N$7669,0),MATCH("NA"&amp;S$1&amp;$B17,'F Proj'!$N$1:$N$7669,0)))</f>
        <v>1373</v>
      </c>
    </row>
    <row r="18" spans="1:53" x14ac:dyDescent="0.25">
      <c r="A18" t="s">
        <v>16</v>
      </c>
      <c r="B18" t="s">
        <v>471</v>
      </c>
      <c r="C18">
        <f>IF(Week&gt;=C$1,MATCH($A18&amp;"-"&amp;C$1&amp;$B18,Finals!$J$1:$J$501,0),IFERROR(MATCH($A18&amp;C$1&amp;$B18,'F Proj'!$N$1:$N$7669,0),MATCH("NA"&amp;C$1&amp;$B18,'F Proj'!$N$1:$N$7669,0)))</f>
        <v>219</v>
      </c>
      <c r="D18">
        <f>IF(Week&gt;=D$1,MATCH($A18&amp;"-"&amp;D$1&amp;$B18,Finals!$J$1:$J$501,0),IFERROR(MATCH($A18&amp;D$1&amp;$B18,'F Proj'!$N$1:$N$7669,0),MATCH("NA"&amp;D$1&amp;$B18,'F Proj'!$N$1:$N$7669,0)))</f>
        <v>220</v>
      </c>
      <c r="E18">
        <f>IF(Week&gt;=E$1,MATCH($A18&amp;"-"&amp;E$1&amp;$B18,Finals!$J$1:$J$501,0),IFERROR(MATCH($A18&amp;E$1&amp;$B18,'F Proj'!$N$1:$N$7669,0),MATCH("NA"&amp;E$1&amp;$B18,'F Proj'!$N$1:$N$7669,0)))</f>
        <v>221</v>
      </c>
      <c r="F18">
        <f>IF(Week&gt;=F$1,MATCH($A18&amp;"-"&amp;F$1&amp;$B18,Finals!$J$1:$J$501,0),IFERROR(MATCH($A18&amp;F$1&amp;$B18,'F Proj'!$N$1:$N$7669,0),MATCH("NA"&amp;F$1&amp;$B18,'F Proj'!$N$1:$N$7669,0)))</f>
        <v>222</v>
      </c>
      <c r="G18">
        <f>IF(Week&gt;=G$1,MATCH($A18&amp;"-"&amp;G$1&amp;$B18,Finals!$J$1:$J$501,0),IFERROR(MATCH($A18&amp;G$1&amp;$B18,'F Proj'!$N$1:$N$7669,0),MATCH("NA"&amp;G$1&amp;$B18,'F Proj'!$N$1:$N$7669,0)))</f>
        <v>223</v>
      </c>
      <c r="H18">
        <f>IF(Week&gt;=H$1,MATCH($A18&amp;"-"&amp;H$1&amp;$B18,Finals!$J$1:$J$501,0),IFERROR(MATCH($A18&amp;H$1&amp;$B18,'F Proj'!$N$1:$N$7669,0),MATCH("NA"&amp;H$1&amp;$B18,'F Proj'!$N$1:$N$7669,0)))</f>
        <v>458</v>
      </c>
      <c r="I18">
        <f>IF(Week&gt;=I$1,MATCH($A18&amp;"-"&amp;I$1&amp;$B18,Finals!$J$1:$J$501,0),IFERROR(MATCH($A18&amp;I$1&amp;$B18,'F Proj'!$N$1:$N$7669,0),MATCH("NA"&amp;I$1&amp;$B18,'F Proj'!$N$1:$N$7669,0)))</f>
        <v>582</v>
      </c>
      <c r="J18">
        <f>IF(Week&gt;=J$1,MATCH($A18&amp;"-"&amp;J$1&amp;$B18,Finals!$J$1:$J$501,0),IFERROR(MATCH($A18&amp;J$1&amp;$B18,'F Proj'!$N$1:$N$7669,0),MATCH("NA"&amp;J$1&amp;$B18,'F Proj'!$N$1:$N$7669,0)))</f>
        <v>761</v>
      </c>
      <c r="K18">
        <f>IF(Week&gt;=K$1,MATCH($A18&amp;"-"&amp;K$1&amp;$B18,Finals!$J$1:$J$501,0),IFERROR(MATCH($A18&amp;K$1&amp;$B18,'F Proj'!$N$1:$N$7669,0),MATCH("NA"&amp;K$1&amp;$B18,'F Proj'!$N$1:$N$7669,0)))</f>
        <v>614</v>
      </c>
      <c r="L18">
        <f>IF(Week&gt;=L$1,MATCH($A18&amp;"-"&amp;L$1&amp;$B18,Finals!$J$1:$J$501,0),IFERROR(MATCH($A18&amp;L$1&amp;$B18,'F Proj'!$N$1:$N$7669,0),MATCH("NA"&amp;L$1&amp;$B18,'F Proj'!$N$1:$N$7669,0)))</f>
        <v>602</v>
      </c>
      <c r="M18">
        <f>IF(Week&gt;=M$1,MATCH($A18&amp;"-"&amp;M$1&amp;$B18,Finals!$J$1:$J$501,0),IFERROR(MATCH($A18&amp;M$1&amp;$B18,'F Proj'!$N$1:$N$7669,0),MATCH("NA"&amp;M$1&amp;$B18,'F Proj'!$N$1:$N$7669,0)))</f>
        <v>514</v>
      </c>
      <c r="N18">
        <f>IF(Week&gt;=N$1,MATCH($A18&amp;"-"&amp;N$1&amp;$B18,Finals!$J$1:$J$501,0),IFERROR(MATCH($A18&amp;N$1&amp;$B18,'F Proj'!$N$1:$N$7669,0),MATCH("NA"&amp;N$1&amp;$B18,'F Proj'!$N$1:$N$7669,0)))</f>
        <v>516</v>
      </c>
      <c r="O18">
        <f>IF(Week&gt;=O$1,MATCH($A18&amp;"-"&amp;O$1&amp;$B18,Finals!$J$1:$J$501,0),IFERROR(MATCH($A18&amp;O$1&amp;$B18,'F Proj'!$N$1:$N$7669,0),MATCH("NA"&amp;O$1&amp;$B18,'F Proj'!$N$1:$N$7669,0)))</f>
        <v>728</v>
      </c>
      <c r="P18">
        <f>IF(Week&gt;=P$1,MATCH($A18&amp;"-"&amp;P$1&amp;$B18,Finals!$J$1:$J$501,0),IFERROR(MATCH($A18&amp;P$1&amp;$B18,'F Proj'!$N$1:$N$7669,0),MATCH("NA"&amp;P$1&amp;$B18,'F Proj'!$N$1:$N$7669,0)))</f>
        <v>502</v>
      </c>
      <c r="Q18">
        <f>IF(Week&gt;=Q$1,MATCH($A18&amp;"-"&amp;Q$1&amp;$B18,Finals!$J$1:$J$501,0),IFERROR(MATCH($A18&amp;Q$1&amp;$B18,'F Proj'!$N$1:$N$7669,0),MATCH("NA"&amp;Q$1&amp;$B18,'F Proj'!$N$1:$N$7669,0)))</f>
        <v>650</v>
      </c>
      <c r="R18">
        <f>IF(Week&gt;=R$1,MATCH($A18&amp;"-"&amp;R$1&amp;$B18,Finals!$J$1:$J$501,0),IFERROR(MATCH($A18&amp;R$1&amp;$B18,'F Proj'!$N$1:$N$7669,0),MATCH("NA"&amp;R$1&amp;$B18,'F Proj'!$N$1:$N$7669,0)))</f>
        <v>662</v>
      </c>
      <c r="S18">
        <f>IF(Week&gt;=S$1,MATCH($A18&amp;"-"&amp;S$1&amp;$B18,Finals!$J$1:$J$501,0),IFERROR(MATCH($A18&amp;S$1&amp;$B18,'F Proj'!$N$1:$N$7669,0),MATCH("NA"&amp;S$1&amp;$B18,'F Proj'!$N$1:$N$7669,0)))</f>
        <v>507</v>
      </c>
      <c r="T18">
        <f>IF(Week&gt;=C$1,INDEX(Finals!$G$1:$G$501,C18),INDEX('F Proj'!$D$1:$D$7669,C18))</f>
        <v>18</v>
      </c>
      <c r="U18">
        <f>IF(Week&gt;=D$1,INDEX(Finals!$G$1:$G$501,D18),INDEX('F Proj'!$D$1:$D$7669,D18))</f>
        <v>6.4</v>
      </c>
      <c r="V18">
        <f>IF(Week&gt;=E$1,INDEX(Finals!$G$1:$G$501,E18),INDEX('F Proj'!$D$1:$D$7669,E18))</f>
        <v>9.6</v>
      </c>
      <c r="W18">
        <f>IF(Week&gt;=F$1,INDEX(Finals!$G$1:$G$501,F18),INDEX('F Proj'!$D$1:$D$7669,F18))</f>
        <v>17.3</v>
      </c>
      <c r="X18">
        <f>IF(Week&gt;=G$1,INDEX(Finals!$G$1:$G$501,G18),INDEX('F Proj'!$D$1:$D$7669,G18))</f>
        <v>14.17</v>
      </c>
      <c r="Y18">
        <f>IF(Week&gt;=H$1,INDEX(Finals!$G$1:$G$501,H18),INDEX('F Proj'!$D$1:$D$7669,H18))</f>
        <v>15.34</v>
      </c>
      <c r="Z18">
        <f>IF(Week&gt;=I$1,INDEX(Finals!$G$1:$G$501,I18),INDEX('F Proj'!$D$1:$D$7669,I18))</f>
        <v>13.96</v>
      </c>
      <c r="AA18">
        <f>IF(Week&gt;=J$1,INDEX(Finals!$G$1:$G$501,J18),INDEX('F Proj'!$D$1:$D$7669,J18))</f>
        <v>12.44</v>
      </c>
      <c r="AB18">
        <f>IF(Week&gt;=K$1,INDEX(Finals!$G$1:$G$501,K18),INDEX('F Proj'!$D$1:$D$7669,K18))</f>
        <v>13.63</v>
      </c>
      <c r="AC18">
        <f>IF(Week&gt;=L$1,INDEX(Finals!$G$1:$G$501,L18),INDEX('F Proj'!$D$1:$D$7669,L18))</f>
        <v>13.72</v>
      </c>
      <c r="AD18">
        <f>IF(Week&gt;=M$1,INDEX(Finals!$G$1:$G$501,M18),INDEX('F Proj'!$D$1:$D$7669,M18))</f>
        <v>14.6</v>
      </c>
      <c r="AE18">
        <f>IF(Week&gt;=N$1,INDEX(Finals!$G$1:$G$501,N18),INDEX('F Proj'!$D$1:$D$7669,N18))</f>
        <v>14.59</v>
      </c>
      <c r="AF18">
        <f>IF(Week&gt;=O$1,INDEX(Finals!$G$1:$G$501,O18),INDEX('F Proj'!$D$1:$D$7669,O18))</f>
        <v>12.76</v>
      </c>
      <c r="AG18">
        <f>IF(Week&gt;=P$1,INDEX(Finals!$G$1:$G$501,P18),INDEX('F Proj'!$D$1:$D$7669,P18))</f>
        <v>14.79</v>
      </c>
      <c r="AH18">
        <f>IF(Week&gt;=Q$1,INDEX(Finals!$G$1:$G$501,Q18),INDEX('F Proj'!$D$1:$D$7669,Q18))</f>
        <v>13.29</v>
      </c>
      <c r="AI18">
        <f>IF(Week&gt;=R$1,INDEX(Finals!$G$1:$G$501,R18),INDEX('F Proj'!$D$1:$D$7669,R18))</f>
        <v>13.19</v>
      </c>
      <c r="AJ18">
        <f>IF(Week&gt;=S$1,INDEX(Finals!$G$1:$G$501,S18),INDEX('F Proj'!$D$1:$D$7669,S18))</f>
        <v>14.71</v>
      </c>
      <c r="AK18">
        <f>IF(Week&gt;=C$1,INDEX(Finals!$I$1:$I$501,C18),INDEX('F Proj'!$J$1:$J$7669,C18))</f>
        <v>0</v>
      </c>
      <c r="AL18">
        <f>IF(Week&gt;=D$1,INDEX(Finals!$I$1:$I$501,D18),INDEX('F Proj'!$J$1:$J$7669,D18))</f>
        <v>0</v>
      </c>
      <c r="AM18">
        <f>IF(Week&gt;=E$1,INDEX(Finals!$I$1:$I$501,E18),INDEX('F Proj'!$J$1:$J$7669,E18))</f>
        <v>0</v>
      </c>
      <c r="AN18">
        <f>IF(Week&gt;=F$1,INDEX(Finals!$I$1:$I$501,F18),INDEX('F Proj'!$J$1:$J$7669,F18))</f>
        <v>0</v>
      </c>
      <c r="AO18">
        <f>IF(Week&gt;=G$1,INDEX(Finals!$I$1:$I$501,G18),INDEX('F Proj'!$J$1:$J$7669,G18))</f>
        <v>63.680399999999999</v>
      </c>
      <c r="AP18">
        <f>IF(Week&gt;=H$1,INDEX(Finals!$I$1:$I$501,H18),INDEX('F Proj'!$J$1:$J$7669,H18))</f>
        <v>79.566400000000002</v>
      </c>
      <c r="AQ18">
        <f>IF(Week&gt;=I$1,INDEX(Finals!$I$1:$I$501,I18),INDEX('F Proj'!$J$1:$J$7669,I18))</f>
        <v>63.202500000000001</v>
      </c>
      <c r="AR18">
        <f>IF(Week&gt;=J$1,INDEX(Finals!$I$1:$I$501,J18),INDEX('F Proj'!$J$1:$J$7669,J18))</f>
        <v>49.702500000000001</v>
      </c>
      <c r="AS18">
        <f>IF(Week&gt;=K$1,INDEX(Finals!$I$1:$I$501,K18),INDEX('F Proj'!$J$1:$J$7669,K18))</f>
        <v>68.724100000000007</v>
      </c>
      <c r="AT18">
        <f>IF(Week&gt;=L$1,INDEX(Finals!$I$1:$I$501,L18),INDEX('F Proj'!$J$1:$J$7669,L18))</f>
        <v>73.7881</v>
      </c>
      <c r="AU18">
        <f>IF(Week&gt;=M$1,INDEX(Finals!$I$1:$I$501,M18),INDEX('F Proj'!$J$1:$J$7669,M18))</f>
        <v>77.088399999999993</v>
      </c>
      <c r="AV18">
        <f>IF(Week&gt;=N$1,INDEX(Finals!$I$1:$I$501,N18),INDEX('F Proj'!$J$1:$J$7669,N18))</f>
        <v>43.956899999999997</v>
      </c>
      <c r="AW18">
        <f>IF(Week&gt;=O$1,INDEX(Finals!$I$1:$I$501,O18),INDEX('F Proj'!$J$1:$J$7669,O18))</f>
        <v>46.24</v>
      </c>
      <c r="AX18">
        <f>IF(Week&gt;=P$1,INDEX(Finals!$I$1:$I$501,P18),INDEX('F Proj'!$J$1:$J$7669,P18))</f>
        <v>51.552399999999999</v>
      </c>
      <c r="AY18">
        <f>IF(Week&gt;=Q$1,INDEX(Finals!$I$1:$I$501,Q18),INDEX('F Proj'!$J$1:$J$7669,Q18))</f>
        <v>56.700899999999997</v>
      </c>
      <c r="AZ18">
        <f>IF(Week&gt;=R$1,INDEX(Finals!$I$1:$I$501,R18),INDEX('F Proj'!$J$1:$J$7669,R18))</f>
        <v>49.984900000000003</v>
      </c>
      <c r="BA18">
        <f>IF(Week&gt;=S$1,INDEX(Finals!$I$1:$I$501,S18),INDEX('F Proj'!$J$1:$J$7669,S18))</f>
        <v>79.566400000000002</v>
      </c>
    </row>
    <row r="19" spans="1:53" x14ac:dyDescent="0.25">
      <c r="A19" t="s">
        <v>16</v>
      </c>
      <c r="B19" t="s">
        <v>472</v>
      </c>
      <c r="C19">
        <f>IF(Week&gt;=C$1,MATCH($A19&amp;"-"&amp;C$1&amp;$B19,Finals!$J$1:$J$501,0),IFERROR(MATCH($A19&amp;C$1&amp;$B19,'F Proj'!$N$1:$N$7669,0),MATCH("NA"&amp;C$1&amp;$B19,'F Proj'!$N$1:$N$7669,0)))</f>
        <v>286</v>
      </c>
      <c r="D19">
        <f>IF(Week&gt;=D$1,MATCH($A19&amp;"-"&amp;D$1&amp;$B19,Finals!$J$1:$J$501,0),IFERROR(MATCH($A19&amp;D$1&amp;$B19,'F Proj'!$N$1:$N$7669,0),MATCH("NA"&amp;D$1&amp;$B19,'F Proj'!$N$1:$N$7669,0)))</f>
        <v>287</v>
      </c>
      <c r="E19">
        <f>IF(Week&gt;=E$1,MATCH($A19&amp;"-"&amp;E$1&amp;$B19,Finals!$J$1:$J$501,0),IFERROR(MATCH($A19&amp;E$1&amp;$B19,'F Proj'!$N$1:$N$7669,0),MATCH("NA"&amp;E$1&amp;$B19,'F Proj'!$N$1:$N$7669,0)))</f>
        <v>288</v>
      </c>
      <c r="F19">
        <f>IF(Week&gt;=F$1,MATCH($A19&amp;"-"&amp;F$1&amp;$B19,Finals!$J$1:$J$501,0),IFERROR(MATCH($A19&amp;F$1&amp;$B19,'F Proj'!$N$1:$N$7669,0),MATCH("NA"&amp;F$1&amp;$B19,'F Proj'!$N$1:$N$7669,0)))</f>
        <v>289</v>
      </c>
      <c r="G19">
        <f>IF(Week&gt;=G$1,MATCH($A19&amp;"-"&amp;G$1&amp;$B19,Finals!$J$1:$J$501,0),IFERROR(MATCH($A19&amp;G$1&amp;$B19,'F Proj'!$N$1:$N$7669,0),MATCH("NA"&amp;G$1&amp;$B19,'F Proj'!$N$1:$N$7669,0)))</f>
        <v>290</v>
      </c>
      <c r="H19">
        <f>IF(Week&gt;=H$1,MATCH($A19&amp;"-"&amp;H$1&amp;$B19,Finals!$J$1:$J$501,0),IFERROR(MATCH($A19&amp;H$1&amp;$B19,'F Proj'!$N$1:$N$7669,0),MATCH("NA"&amp;H$1&amp;$B19,'F Proj'!$N$1:$N$7669,0)))</f>
        <v>1093</v>
      </c>
      <c r="I19">
        <f>IF(Week&gt;=I$1,MATCH($A19&amp;"-"&amp;I$1&amp;$B19,Finals!$J$1:$J$501,0),IFERROR(MATCH($A19&amp;I$1&amp;$B19,'F Proj'!$N$1:$N$7669,0),MATCH("NA"&amp;I$1&amp;$B19,'F Proj'!$N$1:$N$7669,0)))</f>
        <v>978</v>
      </c>
      <c r="J19">
        <f>IF(Week&gt;=J$1,MATCH($A19&amp;"-"&amp;J$1&amp;$B19,Finals!$J$1:$J$501,0),IFERROR(MATCH($A19&amp;J$1&amp;$B19,'F Proj'!$N$1:$N$7669,0),MATCH("NA"&amp;J$1&amp;$B19,'F Proj'!$N$1:$N$7669,0)))</f>
        <v>1059</v>
      </c>
      <c r="K19">
        <f>IF(Week&gt;=K$1,MATCH($A19&amp;"-"&amp;K$1&amp;$B19,Finals!$J$1:$J$501,0),IFERROR(MATCH($A19&amp;K$1&amp;$B19,'F Proj'!$N$1:$N$7669,0),MATCH("NA"&amp;K$1&amp;$B19,'F Proj'!$N$1:$N$7669,0)))</f>
        <v>619</v>
      </c>
      <c r="L19">
        <f>IF(Week&gt;=L$1,MATCH($A19&amp;"-"&amp;L$1&amp;$B19,Finals!$J$1:$J$501,0),IFERROR(MATCH($A19&amp;L$1&amp;$B19,'F Proj'!$N$1:$N$7669,0),MATCH("NA"&amp;L$1&amp;$B19,'F Proj'!$N$1:$N$7669,0)))</f>
        <v>699</v>
      </c>
      <c r="M19">
        <f>IF(Week&gt;=M$1,MATCH($A19&amp;"-"&amp;M$1&amp;$B19,Finals!$J$1:$J$501,0),IFERROR(MATCH($A19&amp;M$1&amp;$B19,'F Proj'!$N$1:$N$7669,0),MATCH("NA"&amp;M$1&amp;$B19,'F Proj'!$N$1:$N$7669,0)))</f>
        <v>727</v>
      </c>
      <c r="N19">
        <f>IF(Week&gt;=N$1,MATCH($A19&amp;"-"&amp;N$1&amp;$B19,Finals!$J$1:$J$501,0),IFERROR(MATCH($A19&amp;N$1&amp;$B19,'F Proj'!$N$1:$N$7669,0),MATCH("NA"&amp;N$1&amp;$B19,'F Proj'!$N$1:$N$7669,0)))</f>
        <v>579</v>
      </c>
      <c r="O19">
        <f>IF(Week&gt;=O$1,MATCH($A19&amp;"-"&amp;O$1&amp;$B19,Finals!$J$1:$J$501,0),IFERROR(MATCH($A19&amp;O$1&amp;$B19,'F Proj'!$N$1:$N$7669,0),MATCH("NA"&amp;O$1&amp;$B19,'F Proj'!$N$1:$N$7669,0)))</f>
        <v>852</v>
      </c>
      <c r="P19">
        <f>IF(Week&gt;=P$1,MATCH($A19&amp;"-"&amp;P$1&amp;$B19,Finals!$J$1:$J$501,0),IFERROR(MATCH($A19&amp;P$1&amp;$B19,'F Proj'!$N$1:$N$7669,0),MATCH("NA"&amp;P$1&amp;$B19,'F Proj'!$N$1:$N$7669,0)))</f>
        <v>617</v>
      </c>
      <c r="Q19">
        <f>IF(Week&gt;=Q$1,MATCH($A19&amp;"-"&amp;Q$1&amp;$B19,Finals!$J$1:$J$501,0),IFERROR(MATCH($A19&amp;Q$1&amp;$B19,'F Proj'!$N$1:$N$7669,0),MATCH("NA"&amp;Q$1&amp;$B19,'F Proj'!$N$1:$N$7669,0)))</f>
        <v>669</v>
      </c>
      <c r="R19">
        <f>IF(Week&gt;=R$1,MATCH($A19&amp;"-"&amp;R$1&amp;$B19,Finals!$J$1:$J$501,0),IFERROR(MATCH($A19&amp;R$1&amp;$B19,'F Proj'!$N$1:$N$7669,0),MATCH("NA"&amp;R$1&amp;$B19,'F Proj'!$N$1:$N$7669,0)))</f>
        <v>802</v>
      </c>
      <c r="S19">
        <f>IF(Week&gt;=S$1,MATCH($A19&amp;"-"&amp;S$1&amp;$B19,Finals!$J$1:$J$501,0),IFERROR(MATCH($A19&amp;S$1&amp;$B19,'F Proj'!$N$1:$N$7669,0),MATCH("NA"&amp;S$1&amp;$B19,'F Proj'!$N$1:$N$7669,0)))</f>
        <v>616</v>
      </c>
      <c r="T19">
        <f>IF(Week&gt;=C$1,INDEX(Finals!$G$1:$G$501,C19),INDEX('F Proj'!$D$1:$D$7669,C19))</f>
        <v>22</v>
      </c>
      <c r="U19">
        <f>IF(Week&gt;=D$1,INDEX(Finals!$G$1:$G$501,D19),INDEX('F Proj'!$D$1:$D$7669,D19))</f>
        <v>18.899999999999999</v>
      </c>
      <c r="V19">
        <f>IF(Week&gt;=E$1,INDEX(Finals!$G$1:$G$501,E19),INDEX('F Proj'!$D$1:$D$7669,E19))</f>
        <v>12.9</v>
      </c>
      <c r="W19">
        <f>IF(Week&gt;=F$1,INDEX(Finals!$G$1:$G$501,F19),INDEX('F Proj'!$D$1:$D$7669,F19))</f>
        <v>4.7</v>
      </c>
      <c r="X19">
        <f>IF(Week&gt;=G$1,INDEX(Finals!$G$1:$G$501,G19),INDEX('F Proj'!$D$1:$D$7669,G19))</f>
        <v>13.45</v>
      </c>
      <c r="Y19">
        <f>IF(Week&gt;=H$1,INDEX(Finals!$G$1:$G$501,H19),INDEX('F Proj'!$D$1:$D$7669,H19))</f>
        <v>9.93</v>
      </c>
      <c r="Z19">
        <f>IF(Week&gt;=I$1,INDEX(Finals!$G$1:$G$501,I19),INDEX('F Proj'!$D$1:$D$7669,I19))</f>
        <v>10.57</v>
      </c>
      <c r="AA19">
        <f>IF(Week&gt;=J$1,INDEX(Finals!$G$1:$G$501,J19),INDEX('F Proj'!$D$1:$D$7669,J19))</f>
        <v>10.039999999999999</v>
      </c>
      <c r="AB19">
        <f>IF(Week&gt;=K$1,INDEX(Finals!$G$1:$G$501,K19),INDEX('F Proj'!$D$1:$D$7669,K19))</f>
        <v>13.61</v>
      </c>
      <c r="AC19">
        <f>IF(Week&gt;=L$1,INDEX(Finals!$G$1:$G$501,L19),INDEX('F Proj'!$D$1:$D$7669,L19))</f>
        <v>12.94</v>
      </c>
      <c r="AD19">
        <f>IF(Week&gt;=M$1,INDEX(Finals!$G$1:$G$501,M19),INDEX('F Proj'!$D$1:$D$7669,M19))</f>
        <v>12.76</v>
      </c>
      <c r="AE19">
        <f>IF(Week&gt;=N$1,INDEX(Finals!$G$1:$G$501,N19),INDEX('F Proj'!$D$1:$D$7669,N19))</f>
        <v>14.02</v>
      </c>
      <c r="AF19">
        <f>IF(Week&gt;=O$1,INDEX(Finals!$G$1:$G$501,O19),INDEX('F Proj'!$D$1:$D$7669,O19))</f>
        <v>11.71</v>
      </c>
      <c r="AG19">
        <f>IF(Week&gt;=P$1,INDEX(Finals!$G$1:$G$501,P19),INDEX('F Proj'!$D$1:$D$7669,P19))</f>
        <v>13.62</v>
      </c>
      <c r="AH19">
        <f>IF(Week&gt;=Q$1,INDEX(Finals!$G$1:$G$501,Q19),INDEX('F Proj'!$D$1:$D$7669,Q19))</f>
        <v>13.14</v>
      </c>
      <c r="AI19">
        <f>IF(Week&gt;=R$1,INDEX(Finals!$G$1:$G$501,R19),INDEX('F Proj'!$D$1:$D$7669,R19))</f>
        <v>12.18</v>
      </c>
      <c r="AJ19">
        <f>IF(Week&gt;=S$1,INDEX(Finals!$G$1:$G$501,S19),INDEX('F Proj'!$D$1:$D$7669,S19))</f>
        <v>13.63</v>
      </c>
      <c r="AK19">
        <f>IF(Week&gt;=C$1,INDEX(Finals!$I$1:$I$501,C19),INDEX('F Proj'!$J$1:$J$7669,C19))</f>
        <v>0</v>
      </c>
      <c r="AL19">
        <f>IF(Week&gt;=D$1,INDEX(Finals!$I$1:$I$501,D19),INDEX('F Proj'!$J$1:$J$7669,D19))</f>
        <v>0</v>
      </c>
      <c r="AM19">
        <f>IF(Week&gt;=E$1,INDEX(Finals!$I$1:$I$501,E19),INDEX('F Proj'!$J$1:$J$7669,E19))</f>
        <v>0</v>
      </c>
      <c r="AN19">
        <f>IF(Week&gt;=F$1,INDEX(Finals!$I$1:$I$501,F19),INDEX('F Proj'!$J$1:$J$7669,F19))</f>
        <v>0</v>
      </c>
      <c r="AO19">
        <f>IF(Week&gt;=G$1,INDEX(Finals!$I$1:$I$501,G19),INDEX('F Proj'!$J$1:$J$7669,G19))</f>
        <v>51.84</v>
      </c>
      <c r="AP19">
        <f>IF(Week&gt;=H$1,INDEX(Finals!$I$1:$I$501,H19),INDEX('F Proj'!$J$1:$J$7669,H19))</f>
        <v>45.5625</v>
      </c>
      <c r="AQ19">
        <f>IF(Week&gt;=I$1,INDEX(Finals!$I$1:$I$501,I19),INDEX('F Proj'!$J$1:$J$7669,I19))</f>
        <v>44.622399999999999</v>
      </c>
      <c r="AR19">
        <f>IF(Week&gt;=J$1,INDEX(Finals!$I$1:$I$501,J19),INDEX('F Proj'!$J$1:$J$7669,J19))</f>
        <v>43.56</v>
      </c>
      <c r="AS19">
        <f>IF(Week&gt;=K$1,INDEX(Finals!$I$1:$I$501,K19),INDEX('F Proj'!$J$1:$J$7669,K19))</f>
        <v>55.056399999999996</v>
      </c>
      <c r="AT19">
        <f>IF(Week&gt;=L$1,INDEX(Finals!$I$1:$I$501,L19),INDEX('F Proj'!$J$1:$J$7669,L19))</f>
        <v>41.2164</v>
      </c>
      <c r="AU19">
        <f>IF(Week&gt;=M$1,INDEX(Finals!$I$1:$I$501,M19),INDEX('F Proj'!$J$1:$J$7669,M19))</f>
        <v>52.2729</v>
      </c>
      <c r="AV19">
        <f>IF(Week&gt;=N$1,INDEX(Finals!$I$1:$I$501,N19),INDEX('F Proj'!$J$1:$J$7669,N19))</f>
        <v>71.910399999999996</v>
      </c>
      <c r="AW19">
        <f>IF(Week&gt;=O$1,INDEX(Finals!$I$1:$I$501,O19),INDEX('F Proj'!$J$1:$J$7669,O19))</f>
        <v>38.812899999999999</v>
      </c>
      <c r="AX19">
        <f>IF(Week&gt;=P$1,INDEX(Finals!$I$1:$I$501,P19),INDEX('F Proj'!$J$1:$J$7669,P19))</f>
        <v>65.61</v>
      </c>
      <c r="AY19">
        <f>IF(Week&gt;=Q$1,INDEX(Finals!$I$1:$I$501,Q19),INDEX('F Proj'!$J$1:$J$7669,Q19))</f>
        <v>57.304900000000004</v>
      </c>
      <c r="AZ19">
        <f>IF(Week&gt;=R$1,INDEX(Finals!$I$1:$I$501,R19),INDEX('F Proj'!$J$1:$J$7669,R19))</f>
        <v>54.612099999999998</v>
      </c>
      <c r="BA19">
        <f>IF(Week&gt;=S$1,INDEX(Finals!$I$1:$I$501,S19),INDEX('F Proj'!$J$1:$J$7669,S19))</f>
        <v>57.304900000000004</v>
      </c>
    </row>
    <row r="20" spans="1:53" x14ac:dyDescent="0.25">
      <c r="A20" t="s">
        <v>16</v>
      </c>
      <c r="B20" t="s">
        <v>473</v>
      </c>
      <c r="C20">
        <f>IF(Week&gt;=C$1,MATCH($A20&amp;"-"&amp;C$1&amp;$B20,Finals!$J$1:$J$501,0),IFERROR(MATCH($A20&amp;C$1&amp;$B20,'F Proj'!$N$1:$N$7669,0),MATCH("NA"&amp;C$1&amp;$B20,'F Proj'!$N$1:$N$7669,0)))</f>
        <v>181</v>
      </c>
      <c r="D20">
        <f>IF(Week&gt;=D$1,MATCH($A20&amp;"-"&amp;D$1&amp;$B20,Finals!$J$1:$J$501,0),IFERROR(MATCH($A20&amp;D$1&amp;$B20,'F Proj'!$N$1:$N$7669,0),MATCH("NA"&amp;D$1&amp;$B20,'F Proj'!$N$1:$N$7669,0)))</f>
        <v>182</v>
      </c>
      <c r="E20">
        <f>IF(Week&gt;=E$1,MATCH($A20&amp;"-"&amp;E$1&amp;$B20,Finals!$J$1:$J$501,0),IFERROR(MATCH($A20&amp;E$1&amp;$B20,'F Proj'!$N$1:$N$7669,0),MATCH("NA"&amp;E$1&amp;$B20,'F Proj'!$N$1:$N$7669,0)))</f>
        <v>183</v>
      </c>
      <c r="F20">
        <f>IF(Week&gt;=F$1,MATCH($A20&amp;"-"&amp;F$1&amp;$B20,Finals!$J$1:$J$501,0),IFERROR(MATCH($A20&amp;F$1&amp;$B20,'F Proj'!$N$1:$N$7669,0),MATCH("NA"&amp;F$1&amp;$B20,'F Proj'!$N$1:$N$7669,0)))</f>
        <v>184</v>
      </c>
      <c r="G20">
        <f>IF(Week&gt;=G$1,MATCH($A20&amp;"-"&amp;G$1&amp;$B20,Finals!$J$1:$J$501,0),IFERROR(MATCH($A20&amp;G$1&amp;$B20,'F Proj'!$N$1:$N$7669,0),MATCH("NA"&amp;G$1&amp;$B20,'F Proj'!$N$1:$N$7669,0)))</f>
        <v>185</v>
      </c>
      <c r="H20">
        <f>IF(Week&gt;=H$1,MATCH($A20&amp;"-"&amp;H$1&amp;$B20,Finals!$J$1:$J$501,0),IFERROR(MATCH($A20&amp;H$1&amp;$B20,'F Proj'!$N$1:$N$7669,0),MATCH("NA"&amp;H$1&amp;$B20,'F Proj'!$N$1:$N$7669,0)))</f>
        <v>1866</v>
      </c>
      <c r="I20">
        <f>IF(Week&gt;=I$1,MATCH($A20&amp;"-"&amp;I$1&amp;$B20,Finals!$J$1:$J$501,0),IFERROR(MATCH($A20&amp;I$1&amp;$B20,'F Proj'!$N$1:$N$7669,0),MATCH("NA"&amp;I$1&amp;$B20,'F Proj'!$N$1:$N$7669,0)))</f>
        <v>1021</v>
      </c>
      <c r="J20">
        <f>IF(Week&gt;=J$1,MATCH($A20&amp;"-"&amp;J$1&amp;$B20,Finals!$J$1:$J$501,0),IFERROR(MATCH($A20&amp;J$1&amp;$B20,'F Proj'!$N$1:$N$7669,0),MATCH("NA"&amp;J$1&amp;$B20,'F Proj'!$N$1:$N$7669,0)))</f>
        <v>1250</v>
      </c>
      <c r="K20">
        <f>IF(Week&gt;=K$1,MATCH($A20&amp;"-"&amp;K$1&amp;$B20,Finals!$J$1:$J$501,0),IFERROR(MATCH($A20&amp;K$1&amp;$B20,'F Proj'!$N$1:$N$7669,0),MATCH("NA"&amp;K$1&amp;$B20,'F Proj'!$N$1:$N$7669,0)))</f>
        <v>917</v>
      </c>
      <c r="L20">
        <f>IF(Week&gt;=L$1,MATCH($A20&amp;"-"&amp;L$1&amp;$B20,Finals!$J$1:$J$501,0),IFERROR(MATCH($A20&amp;L$1&amp;$B20,'F Proj'!$N$1:$N$7669,0),MATCH("NA"&amp;L$1&amp;$B20,'F Proj'!$N$1:$N$7669,0)))</f>
        <v>1005</v>
      </c>
      <c r="M20">
        <f>IF(Week&gt;=M$1,MATCH($A20&amp;"-"&amp;M$1&amp;$B20,Finals!$J$1:$J$501,0),IFERROR(MATCH($A20&amp;M$1&amp;$B20,'F Proj'!$N$1:$N$7669,0),MATCH("NA"&amp;M$1&amp;$B20,'F Proj'!$N$1:$N$7669,0)))</f>
        <v>1457</v>
      </c>
      <c r="N20">
        <f>IF(Week&gt;=N$1,MATCH($A20&amp;"-"&amp;N$1&amp;$B20,Finals!$J$1:$J$501,0),IFERROR(MATCH($A20&amp;N$1&amp;$B20,'F Proj'!$N$1:$N$7669,0),MATCH("NA"&amp;N$1&amp;$B20,'F Proj'!$N$1:$N$7669,0)))</f>
        <v>1205</v>
      </c>
      <c r="O20">
        <f>IF(Week&gt;=O$1,MATCH($A20&amp;"-"&amp;O$1&amp;$B20,Finals!$J$1:$J$501,0),IFERROR(MATCH($A20&amp;O$1&amp;$B20,'F Proj'!$N$1:$N$7669,0),MATCH("NA"&amp;O$1&amp;$B20,'F Proj'!$N$1:$N$7669,0)))</f>
        <v>1086</v>
      </c>
      <c r="P20">
        <f>IF(Week&gt;=P$1,MATCH($A20&amp;"-"&amp;P$1&amp;$B20,Finals!$J$1:$J$501,0),IFERROR(MATCH($A20&amp;P$1&amp;$B20,'F Proj'!$N$1:$N$7669,0),MATCH("NA"&amp;P$1&amp;$B20,'F Proj'!$N$1:$N$7669,0)))</f>
        <v>1363</v>
      </c>
      <c r="Q20">
        <f>IF(Week&gt;=Q$1,MATCH($A20&amp;"-"&amp;Q$1&amp;$B20,Finals!$J$1:$J$501,0),IFERROR(MATCH($A20&amp;Q$1&amp;$B20,'F Proj'!$N$1:$N$7669,0),MATCH("NA"&amp;Q$1&amp;$B20,'F Proj'!$N$1:$N$7669,0)))</f>
        <v>1318</v>
      </c>
      <c r="R20">
        <f>IF(Week&gt;=R$1,MATCH($A20&amp;"-"&amp;R$1&amp;$B20,Finals!$J$1:$J$501,0),IFERROR(MATCH($A20&amp;R$1&amp;$B20,'F Proj'!$N$1:$N$7669,0),MATCH("NA"&amp;R$1&amp;$B20,'F Proj'!$N$1:$N$7669,0)))</f>
        <v>1157</v>
      </c>
      <c r="S20">
        <f>IF(Week&gt;=S$1,MATCH($A20&amp;"-"&amp;S$1&amp;$B20,Finals!$J$1:$J$501,0),IFERROR(MATCH($A20&amp;S$1&amp;$B20,'F Proj'!$N$1:$N$7669,0),MATCH("NA"&amp;S$1&amp;$B20,'F Proj'!$N$1:$N$7669,0)))</f>
        <v>1605</v>
      </c>
      <c r="T20">
        <f>IF(Week&gt;=C$1,INDEX(Finals!$G$1:$G$501,C20),INDEX('F Proj'!$D$1:$D$7669,C20))</f>
        <v>10.6</v>
      </c>
      <c r="U20">
        <f>IF(Week&gt;=D$1,INDEX(Finals!$G$1:$G$501,D20),INDEX('F Proj'!$D$1:$D$7669,D20))</f>
        <v>6.9</v>
      </c>
      <c r="V20">
        <f>IF(Week&gt;=E$1,INDEX(Finals!$G$1:$G$501,E20),INDEX('F Proj'!$D$1:$D$7669,E20))</f>
        <v>12.3</v>
      </c>
      <c r="W20">
        <f>IF(Week&gt;=F$1,INDEX(Finals!$G$1:$G$501,F20),INDEX('F Proj'!$D$1:$D$7669,F20))</f>
        <v>9.4</v>
      </c>
      <c r="X20">
        <f>IF(Week&gt;=G$1,INDEX(Finals!$G$1:$G$501,G20),INDEX('F Proj'!$D$1:$D$7669,G20))</f>
        <v>9.6199999999999992</v>
      </c>
      <c r="Y20">
        <f>IF(Week&gt;=H$1,INDEX(Finals!$G$1:$G$501,H20),INDEX('F Proj'!$D$1:$D$7669,H20))</f>
        <v>6.91</v>
      </c>
      <c r="Z20">
        <f>IF(Week&gt;=I$1,INDEX(Finals!$G$1:$G$501,I20),INDEX('F Proj'!$D$1:$D$7669,I20))</f>
        <v>10.3</v>
      </c>
      <c r="AA20">
        <f>IF(Week&gt;=J$1,INDEX(Finals!$G$1:$G$501,J20),INDEX('F Proj'!$D$1:$D$7669,J20))</f>
        <v>9.1300000000000008</v>
      </c>
      <c r="AB20">
        <f>IF(Week&gt;=K$1,INDEX(Finals!$G$1:$G$501,K20),INDEX('F Proj'!$D$1:$D$7669,K20))</f>
        <v>11.07</v>
      </c>
      <c r="AC20">
        <f>IF(Week&gt;=L$1,INDEX(Finals!$G$1:$G$501,L20),INDEX('F Proj'!$D$1:$D$7669,L20))</f>
        <v>10.38</v>
      </c>
      <c r="AD20">
        <f>IF(Week&gt;=M$1,INDEX(Finals!$G$1:$G$501,M20),INDEX('F Proj'!$D$1:$D$7669,M20))</f>
        <v>8.25</v>
      </c>
      <c r="AE20">
        <f>IF(Week&gt;=N$1,INDEX(Finals!$G$1:$G$501,N20),INDEX('F Proj'!$D$1:$D$7669,N20))</f>
        <v>9.35</v>
      </c>
      <c r="AF20">
        <f>IF(Week&gt;=O$1,INDEX(Finals!$G$1:$G$501,O20),INDEX('F Proj'!$D$1:$D$7669,O20))</f>
        <v>9.9499999999999993</v>
      </c>
      <c r="AG20">
        <f>IF(Week&gt;=P$1,INDEX(Finals!$G$1:$G$501,P20),INDEX('F Proj'!$D$1:$D$7669,P20))</f>
        <v>8.6</v>
      </c>
      <c r="AH20">
        <f>IF(Week&gt;=Q$1,INDEX(Finals!$G$1:$G$501,Q20),INDEX('F Proj'!$D$1:$D$7669,Q20))</f>
        <v>8.7799999999999994</v>
      </c>
      <c r="AI20">
        <f>IF(Week&gt;=R$1,INDEX(Finals!$G$1:$G$501,R20),INDEX('F Proj'!$D$1:$D$7669,R20))</f>
        <v>9.6199999999999992</v>
      </c>
      <c r="AJ20">
        <f>IF(Week&gt;=S$1,INDEX(Finals!$G$1:$G$501,S20),INDEX('F Proj'!$D$1:$D$7669,S20))</f>
        <v>7.76</v>
      </c>
      <c r="AK20">
        <f>IF(Week&gt;=C$1,INDEX(Finals!$I$1:$I$501,C20),INDEX('F Proj'!$J$1:$J$7669,C20))</f>
        <v>0</v>
      </c>
      <c r="AL20">
        <f>IF(Week&gt;=D$1,INDEX(Finals!$I$1:$I$501,D20),INDEX('F Proj'!$J$1:$J$7669,D20))</f>
        <v>0</v>
      </c>
      <c r="AM20">
        <f>IF(Week&gt;=E$1,INDEX(Finals!$I$1:$I$501,E20),INDEX('F Proj'!$J$1:$J$7669,E20))</f>
        <v>0</v>
      </c>
      <c r="AN20">
        <f>IF(Week&gt;=F$1,INDEX(Finals!$I$1:$I$501,F20),INDEX('F Proj'!$J$1:$J$7669,F20))</f>
        <v>0</v>
      </c>
      <c r="AO20">
        <f>IF(Week&gt;=G$1,INDEX(Finals!$I$1:$I$501,G20),INDEX('F Proj'!$J$1:$J$7669,G20))</f>
        <v>28.729600000000001</v>
      </c>
      <c r="AP20">
        <f>IF(Week&gt;=H$1,INDEX(Finals!$I$1:$I$501,H20),INDEX('F Proj'!$J$1:$J$7669,H20))</f>
        <v>15.054399999999999</v>
      </c>
      <c r="AQ20">
        <f>IF(Week&gt;=I$1,INDEX(Finals!$I$1:$I$501,I20),INDEX('F Proj'!$J$1:$J$7669,I20))</f>
        <v>36.360900000000001</v>
      </c>
      <c r="AR20">
        <f>IF(Week&gt;=J$1,INDEX(Finals!$I$1:$I$501,J20),INDEX('F Proj'!$J$1:$J$7669,J20))</f>
        <v>32.2624</v>
      </c>
      <c r="AS20">
        <f>IF(Week&gt;=K$1,INDEX(Finals!$I$1:$I$501,K20),INDEX('F Proj'!$J$1:$J$7669,K20))</f>
        <v>45.292900000000003</v>
      </c>
      <c r="AT20">
        <f>IF(Week&gt;=L$1,INDEX(Finals!$I$1:$I$501,L20),INDEX('F Proj'!$J$1:$J$7669,L20))</f>
        <v>47.334400000000002</v>
      </c>
      <c r="AU20">
        <f>IF(Week&gt;=M$1,INDEX(Finals!$I$1:$I$501,M20),INDEX('F Proj'!$J$1:$J$7669,M20))</f>
        <v>27.7729</v>
      </c>
      <c r="AV20">
        <f>IF(Week&gt;=N$1,INDEX(Finals!$I$1:$I$501,N20),INDEX('F Proj'!$J$1:$J$7669,N20))</f>
        <v>45.292900000000003</v>
      </c>
      <c r="AW20">
        <f>IF(Week&gt;=O$1,INDEX(Finals!$I$1:$I$501,O20),INDEX('F Proj'!$J$1:$J$7669,O20))</f>
        <v>33.64</v>
      </c>
      <c r="AX20">
        <f>IF(Week&gt;=P$1,INDEX(Finals!$I$1:$I$501,P20),INDEX('F Proj'!$J$1:$J$7669,P20))</f>
        <v>21.529599999999999</v>
      </c>
      <c r="AY20">
        <f>IF(Week&gt;=Q$1,INDEX(Finals!$I$1:$I$501,Q20),INDEX('F Proj'!$J$1:$J$7669,Q20))</f>
        <v>24.8004</v>
      </c>
      <c r="AZ20">
        <f>IF(Week&gt;=R$1,INDEX(Finals!$I$1:$I$501,R20),INDEX('F Proj'!$J$1:$J$7669,R20))</f>
        <v>45.292900000000003</v>
      </c>
      <c r="BA20">
        <f>IF(Week&gt;=S$1,INDEX(Finals!$I$1:$I$501,S20),INDEX('F Proj'!$J$1:$J$7669,S20))</f>
        <v>19.6249</v>
      </c>
    </row>
    <row r="21" spans="1:53" x14ac:dyDescent="0.25">
      <c r="A21" t="s">
        <v>16</v>
      </c>
      <c r="B21" t="s">
        <v>474</v>
      </c>
      <c r="C21" t="e">
        <f>IF(Week&gt;=C$1,MATCH($A21&amp;"-"&amp;C$1&amp;$B21,Finals!$J$1:$J$501,0),IFERROR(MATCH($A21&amp;C$1&amp;$B21,'F Proj'!$N$1:$N$7669,0),MATCH("NA"&amp;C$1&amp;$B21,'F Proj'!$N$1:$N$7669,0)))</f>
        <v>#N/A</v>
      </c>
      <c r="D21" t="e">
        <f>IF(Week&gt;=D$1,MATCH($A21&amp;"-"&amp;D$1&amp;$B21,Finals!$J$1:$J$501,0),IFERROR(MATCH($A21&amp;D$1&amp;$B21,'F Proj'!$N$1:$N$7669,0),MATCH("NA"&amp;D$1&amp;$B21,'F Proj'!$N$1:$N$7669,0)))</f>
        <v>#N/A</v>
      </c>
      <c r="E21" t="e">
        <f>IF(Week&gt;=E$1,MATCH($A21&amp;"-"&amp;E$1&amp;$B21,Finals!$J$1:$J$501,0),IFERROR(MATCH($A21&amp;E$1&amp;$B21,'F Proj'!$N$1:$N$7669,0),MATCH("NA"&amp;E$1&amp;$B21,'F Proj'!$N$1:$N$7669,0)))</f>
        <v>#N/A</v>
      </c>
      <c r="F21" t="e">
        <f>IF(Week&gt;=F$1,MATCH($A21&amp;"-"&amp;F$1&amp;$B21,Finals!$J$1:$J$501,0),IFERROR(MATCH($A21&amp;F$1&amp;$B21,'F Proj'!$N$1:$N$7669,0),MATCH("NA"&amp;F$1&amp;$B21,'F Proj'!$N$1:$N$7669,0)))</f>
        <v>#N/A</v>
      </c>
      <c r="G21" t="e">
        <f>IF(Week&gt;=G$1,MATCH($A21&amp;"-"&amp;G$1&amp;$B21,Finals!$J$1:$J$501,0),IFERROR(MATCH($A21&amp;G$1&amp;$B21,'F Proj'!$N$1:$N$7669,0),MATCH("NA"&amp;G$1&amp;$B21,'F Proj'!$N$1:$N$7669,0)))</f>
        <v>#N/A</v>
      </c>
      <c r="H21">
        <f>IF(Week&gt;=H$1,MATCH($A21&amp;"-"&amp;H$1&amp;$B21,Finals!$J$1:$J$501,0),IFERROR(MATCH($A21&amp;H$1&amp;$B21,'F Proj'!$N$1:$N$7669,0),MATCH("NA"&amp;H$1&amp;$B21,'F Proj'!$N$1:$N$7669,0)))</f>
        <v>2020</v>
      </c>
      <c r="I21">
        <f>IF(Week&gt;=I$1,MATCH($A21&amp;"-"&amp;I$1&amp;$B21,Finals!$J$1:$J$501,0),IFERROR(MATCH($A21&amp;I$1&amp;$B21,'F Proj'!$N$1:$N$7669,0),MATCH("NA"&amp;I$1&amp;$B21,'F Proj'!$N$1:$N$7669,0)))</f>
        <v>1336</v>
      </c>
      <c r="J21">
        <f>IF(Week&gt;=J$1,MATCH($A21&amp;"-"&amp;J$1&amp;$B21,Finals!$J$1:$J$501,0),IFERROR(MATCH($A21&amp;J$1&amp;$B21,'F Proj'!$N$1:$N$7669,0),MATCH("NA"&amp;J$1&amp;$B21,'F Proj'!$N$1:$N$7669,0)))</f>
        <v>1889</v>
      </c>
      <c r="K21">
        <f>IF(Week&gt;=K$1,MATCH($A21&amp;"-"&amp;K$1&amp;$B21,Finals!$J$1:$J$501,0),IFERROR(MATCH($A21&amp;K$1&amp;$B21,'F Proj'!$N$1:$N$7669,0),MATCH("NA"&amp;K$1&amp;$B21,'F Proj'!$N$1:$N$7669,0)))</f>
        <v>2137</v>
      </c>
      <c r="L21">
        <f>IF(Week&gt;=L$1,MATCH($A21&amp;"-"&amp;L$1&amp;$B21,Finals!$J$1:$J$501,0),IFERROR(MATCH($A21&amp;L$1&amp;$B21,'F Proj'!$N$1:$N$7669,0),MATCH("NA"&amp;L$1&amp;$B21,'F Proj'!$N$1:$N$7669,0)))</f>
        <v>1688</v>
      </c>
      <c r="M21">
        <f>IF(Week&gt;=M$1,MATCH($A21&amp;"-"&amp;M$1&amp;$B21,Finals!$J$1:$J$501,0),IFERROR(MATCH($A21&amp;M$1&amp;$B21,'F Proj'!$N$1:$N$7669,0),MATCH("NA"&amp;M$1&amp;$B21,'F Proj'!$N$1:$N$7669,0)))</f>
        <v>1551</v>
      </c>
      <c r="N21">
        <f>IF(Week&gt;=N$1,MATCH($A21&amp;"-"&amp;N$1&amp;$B21,Finals!$J$1:$J$501,0),IFERROR(MATCH($A21&amp;N$1&amp;$B21,'F Proj'!$N$1:$N$7669,0),MATCH("NA"&amp;N$1&amp;$B21,'F Proj'!$N$1:$N$7669,0)))</f>
        <v>1614</v>
      </c>
      <c r="O21">
        <f>IF(Week&gt;=O$1,MATCH($A21&amp;"-"&amp;O$1&amp;$B21,Finals!$J$1:$J$501,0),IFERROR(MATCH($A21&amp;O$1&amp;$B21,'F Proj'!$N$1:$N$7669,0),MATCH("NA"&amp;O$1&amp;$B21,'F Proj'!$N$1:$N$7669,0)))</f>
        <v>1552</v>
      </c>
      <c r="P21">
        <f>IF(Week&gt;=P$1,MATCH($A21&amp;"-"&amp;P$1&amp;$B21,Finals!$J$1:$J$501,0),IFERROR(MATCH($A21&amp;P$1&amp;$B21,'F Proj'!$N$1:$N$7669,0),MATCH("NA"&amp;P$1&amp;$B21,'F Proj'!$N$1:$N$7669,0)))</f>
        <v>1955</v>
      </c>
      <c r="Q21">
        <f>IF(Week&gt;=Q$1,MATCH($A21&amp;"-"&amp;Q$1&amp;$B21,Finals!$J$1:$J$501,0),IFERROR(MATCH($A21&amp;Q$1&amp;$B21,'F Proj'!$N$1:$N$7669,0),MATCH("NA"&amp;Q$1&amp;$B21,'F Proj'!$N$1:$N$7669,0)))</f>
        <v>1384</v>
      </c>
      <c r="R21">
        <f>IF(Week&gt;=R$1,MATCH($A21&amp;"-"&amp;R$1&amp;$B21,Finals!$J$1:$J$501,0),IFERROR(MATCH($A21&amp;R$1&amp;$B21,'F Proj'!$N$1:$N$7669,0),MATCH("NA"&amp;R$1&amp;$B21,'F Proj'!$N$1:$N$7669,0)))</f>
        <v>1645</v>
      </c>
      <c r="S21">
        <f>IF(Week&gt;=S$1,MATCH($A21&amp;"-"&amp;S$1&amp;$B21,Finals!$J$1:$J$501,0),IFERROR(MATCH($A21&amp;S$1&amp;$B21,'F Proj'!$N$1:$N$7669,0),MATCH("NA"&amp;S$1&amp;$B21,'F Proj'!$N$1:$N$7669,0)))</f>
        <v>1697</v>
      </c>
    </row>
    <row r="22" spans="1:53" x14ac:dyDescent="0.25">
      <c r="A22" t="s">
        <v>16</v>
      </c>
      <c r="B22" t="s">
        <v>466</v>
      </c>
      <c r="C22">
        <f>IF(Week&gt;=C$1,MATCH($A22&amp;"-"&amp;C$1&amp;$B22,Finals!$J$1:$J$501,0),MIN(C17,C21))</f>
        <v>211</v>
      </c>
      <c r="D22">
        <f>IF(Week&gt;=D$1,MATCH($A22&amp;"-"&amp;D$1&amp;$B22,Finals!$J$1:$J$501,0),MIN(D17,D21))</f>
        <v>54</v>
      </c>
      <c r="E22">
        <f>IF(Week&gt;=E$1,MATCH($A22&amp;"-"&amp;E$1&amp;$B22,Finals!$J$1:$J$501,0),MIN(E17,E21))</f>
        <v>55</v>
      </c>
      <c r="F22">
        <f>IF(Week&gt;=F$1,MATCH($A22&amp;"-"&amp;F$1&amp;$B22,Finals!$J$1:$J$501,0),MIN(F17,F21))</f>
        <v>384</v>
      </c>
      <c r="G22">
        <f>IF(Week&gt;=G$1,MATCH($A22&amp;"-"&amp;G$1&amp;$B22,Finals!$J$1:$J$501,0),MIN(G17,G21))</f>
        <v>385</v>
      </c>
      <c r="H22">
        <f>IF(Week&gt;=H$1,MATCH($A22&amp;"-"&amp;H$1&amp;$B22,Finals!$J$1:$J$501,0),MIN(H17,H21))</f>
        <v>1510</v>
      </c>
      <c r="I22">
        <f>IF(Week&gt;=I$1,MATCH($A22&amp;"-"&amp;I$1&amp;$B22,Finals!$J$1:$J$501,0),MIN(I17,I21))</f>
        <v>1336</v>
      </c>
      <c r="J22">
        <f>IF(Week&gt;=J$1,MATCH($A22&amp;"-"&amp;J$1&amp;$B22,Finals!$J$1:$J$501,0),MIN(J17,J21))</f>
        <v>1283</v>
      </c>
      <c r="K22">
        <f>IF(Week&gt;=K$1,MATCH($A22&amp;"-"&amp;K$1&amp;$B22,Finals!$J$1:$J$501,0),MIN(K17,K21))</f>
        <v>1056</v>
      </c>
      <c r="L22">
        <f>IF(Week&gt;=L$1,MATCH($A22&amp;"-"&amp;L$1&amp;$B22,Finals!$J$1:$J$501,0),MIN(L17,L21))</f>
        <v>1358</v>
      </c>
      <c r="M22">
        <f>IF(Week&gt;=M$1,MATCH($A22&amp;"-"&amp;M$1&amp;$B22,Finals!$J$1:$J$501,0),MIN(M17,M21))</f>
        <v>1551</v>
      </c>
      <c r="N22">
        <f>IF(Week&gt;=N$1,MATCH($A22&amp;"-"&amp;N$1&amp;$B22,Finals!$J$1:$J$501,0),MIN(N17,N21))</f>
        <v>1507</v>
      </c>
      <c r="O22">
        <f>IF(Week&gt;=O$1,MATCH($A22&amp;"-"&amp;O$1&amp;$B22,Finals!$J$1:$J$501,0),MIN(O17,O21))</f>
        <v>1552</v>
      </c>
      <c r="P22">
        <f>IF(Week&gt;=P$1,MATCH($A22&amp;"-"&amp;P$1&amp;$B22,Finals!$J$1:$J$501,0),MIN(P17,P21))</f>
        <v>1113</v>
      </c>
      <c r="Q22">
        <f>IF(Week&gt;=Q$1,MATCH($A22&amp;"-"&amp;Q$1&amp;$B22,Finals!$J$1:$J$501,0),MIN(Q17,Q21))</f>
        <v>1288</v>
      </c>
      <c r="R22">
        <f>IF(Week&gt;=R$1,MATCH($A22&amp;"-"&amp;R$1&amp;$B22,Finals!$J$1:$J$501,0),MIN(R17,R21))</f>
        <v>1184</v>
      </c>
      <c r="S22">
        <f>IF(Week&gt;=S$1,MATCH($A22&amp;"-"&amp;S$1&amp;$B22,Finals!$J$1:$J$501,0),MIN(S17,S21))</f>
        <v>1373</v>
      </c>
      <c r="T22">
        <f>IF(Week&gt;=C$1,INDEX(Finals!$G$1:$G$501,C22),INDEX('F Proj'!$D$1:$D$7669,C22))</f>
        <v>1.1000000000000001</v>
      </c>
      <c r="U22">
        <f>IF(Week&gt;=D$1,INDEX(Finals!$G$1:$G$501,D22),INDEX('F Proj'!$D$1:$D$7669,D22))</f>
        <v>14</v>
      </c>
      <c r="V22">
        <f>IF(Week&gt;=E$1,INDEX(Finals!$G$1:$G$501,E22),INDEX('F Proj'!$D$1:$D$7669,E22))</f>
        <v>7.3</v>
      </c>
      <c r="W22">
        <f>IF(Week&gt;=F$1,INDEX(Finals!$G$1:$G$501,F22),INDEX('F Proj'!$D$1:$D$7669,F22))</f>
        <v>10</v>
      </c>
      <c r="X22">
        <f>IF(Week&gt;=G$1,INDEX(Finals!$G$1:$G$501,G22),INDEX('F Proj'!$D$1:$D$7669,G22))</f>
        <v>8.0500000000000007</v>
      </c>
      <c r="Y22">
        <f>IF(Week&gt;=H$1,INDEX(Finals!$G$1:$G$501,H22),INDEX('F Proj'!$D$1:$D$7669,H22))</f>
        <v>8.09</v>
      </c>
      <c r="Z22">
        <f>IF(Week&gt;=I$1,INDEX(Finals!$G$1:$G$501,I22),INDEX('F Proj'!$D$1:$D$7669,I22))</f>
        <v>8.69</v>
      </c>
      <c r="AA22">
        <f>IF(Week&gt;=J$1,INDEX(Finals!$G$1:$G$501,J22),INDEX('F Proj'!$D$1:$D$7669,J22))</f>
        <v>8.9499999999999993</v>
      </c>
      <c r="AB22">
        <f>IF(Week&gt;=K$1,INDEX(Finals!$G$1:$G$501,K22),INDEX('F Proj'!$D$1:$D$7669,K22))</f>
        <v>10.07</v>
      </c>
      <c r="AC22">
        <f>IF(Week&gt;=L$1,INDEX(Finals!$G$1:$G$501,L22),INDEX('F Proj'!$D$1:$D$7669,L22))</f>
        <v>8.6199999999999992</v>
      </c>
      <c r="AD22">
        <f>IF(Week&gt;=M$1,INDEX(Finals!$G$1:$G$501,M22),INDEX('F Proj'!$D$1:$D$7669,M22))</f>
        <v>7.96</v>
      </c>
      <c r="AE22">
        <f>IF(Week&gt;=N$1,INDEX(Finals!$G$1:$G$501,N22),INDEX('F Proj'!$D$1:$D$7669,N22))</f>
        <v>8.1</v>
      </c>
      <c r="AF22">
        <f>IF(Week&gt;=O$1,INDEX(Finals!$G$1:$G$501,O22),INDEX('F Proj'!$D$1:$D$7669,O22))</f>
        <v>7.96</v>
      </c>
      <c r="AG22">
        <f>IF(Week&gt;=P$1,INDEX(Finals!$G$1:$G$501,P22),INDEX('F Proj'!$D$1:$D$7669,P22))</f>
        <v>9.82</v>
      </c>
      <c r="AH22">
        <f>IF(Week&gt;=Q$1,INDEX(Finals!$G$1:$G$501,Q22),INDEX('F Proj'!$D$1:$D$7669,Q22))</f>
        <v>8.93</v>
      </c>
      <c r="AI22">
        <f>IF(Week&gt;=R$1,INDEX(Finals!$G$1:$G$501,R22),INDEX('F Proj'!$D$1:$D$7669,R22))</f>
        <v>9.49</v>
      </c>
      <c r="AJ22">
        <f>IF(Week&gt;=S$1,INDEX(Finals!$G$1:$G$501,S22),INDEX('F Proj'!$D$1:$D$7669,S22))</f>
        <v>8.56</v>
      </c>
      <c r="AK22">
        <f>IF(Week&gt;=C$1,INDEX(Finals!$I$1:$I$501,C22),INDEX('F Proj'!$J$1:$J$7669,C22))</f>
        <v>0</v>
      </c>
      <c r="AL22">
        <f>IF(Week&gt;=D$1,INDEX(Finals!$I$1:$I$501,D22),INDEX('F Proj'!$J$1:$J$7669,D22))</f>
        <v>0</v>
      </c>
      <c r="AM22">
        <f>IF(Week&gt;=E$1,INDEX(Finals!$I$1:$I$501,E22),INDEX('F Proj'!$J$1:$J$7669,E22))</f>
        <v>0</v>
      </c>
      <c r="AN22">
        <f>IF(Week&gt;=F$1,INDEX(Finals!$I$1:$I$501,F22),INDEX('F Proj'!$J$1:$J$7669,F22))</f>
        <v>0</v>
      </c>
      <c r="AO22">
        <f>IF(Week&gt;=G$1,INDEX(Finals!$I$1:$I$501,G22),INDEX('F Proj'!$J$1:$J$7669,G22))</f>
        <v>19.802499999999998</v>
      </c>
      <c r="AP22">
        <f>IF(Week&gt;=H$1,INDEX(Finals!$I$1:$I$501,H22),INDEX('F Proj'!$J$1:$J$7669,H22))</f>
        <v>26.3169</v>
      </c>
      <c r="AQ22">
        <f>IF(Week&gt;=I$1,INDEX(Finals!$I$1:$I$501,I22),INDEX('F Proj'!$J$1:$J$7669,I22))</f>
        <v>20.793600000000001</v>
      </c>
      <c r="AR22">
        <f>IF(Week&gt;=J$1,INDEX(Finals!$I$1:$I$501,J22),INDEX('F Proj'!$J$1:$J$7669,J22))</f>
        <v>29.593599999999999</v>
      </c>
      <c r="AS22">
        <f>IF(Week&gt;=K$1,INDEX(Finals!$I$1:$I$501,K22),INDEX('F Proj'!$J$1:$J$7669,K22))</f>
        <v>36.9664</v>
      </c>
      <c r="AT22">
        <f>IF(Week&gt;=L$1,INDEX(Finals!$I$1:$I$501,L22),INDEX('F Proj'!$J$1:$J$7669,L22))</f>
        <v>23.425599999999999</v>
      </c>
      <c r="AU22">
        <f>IF(Week&gt;=M$1,INDEX(Finals!$I$1:$I$501,M22),INDEX('F Proj'!$J$1:$J$7669,M22))</f>
        <v>28.515599999999999</v>
      </c>
      <c r="AV22">
        <f>IF(Week&gt;=N$1,INDEX(Finals!$I$1:$I$501,N22),INDEX('F Proj'!$J$1:$J$7669,N22))</f>
        <v>26.3169</v>
      </c>
      <c r="AW22">
        <f>IF(Week&gt;=O$1,INDEX(Finals!$I$1:$I$501,O22),INDEX('F Proj'!$J$1:$J$7669,O22))</f>
        <v>16.6464</v>
      </c>
      <c r="AX22">
        <f>IF(Week&gt;=P$1,INDEX(Finals!$I$1:$I$501,P22),INDEX('F Proj'!$J$1:$J$7669,P22))</f>
        <v>30.5809</v>
      </c>
      <c r="AY22">
        <f>IF(Week&gt;=Q$1,INDEX(Finals!$I$1:$I$501,Q22),INDEX('F Proj'!$J$1:$J$7669,Q22))</f>
        <v>35.521599999999999</v>
      </c>
      <c r="AZ22">
        <f>IF(Week&gt;=R$1,INDEX(Finals!$I$1:$I$501,R22),INDEX('F Proj'!$J$1:$J$7669,R22))</f>
        <v>29.593599999999999</v>
      </c>
      <c r="BA22">
        <f>IF(Week&gt;=S$1,INDEX(Finals!$I$1:$I$501,S22),INDEX('F Proj'!$J$1:$J$7669,S22))</f>
        <v>17.977599999999999</v>
      </c>
    </row>
    <row r="23" spans="1:53" x14ac:dyDescent="0.25">
      <c r="A23" t="s">
        <v>16</v>
      </c>
      <c r="B23" t="s">
        <v>475</v>
      </c>
      <c r="C23">
        <f>IF(Week&gt;=C$1,MATCH($A23&amp;"-"&amp;C$1&amp;$B23,Finals!$J$1:$J$501,0),IFERROR(MATCH($A23&amp;C$1&amp;$B23,'F Proj'!$N$1:$N$7669,0),MATCH("NA"&amp;C$1&amp;$B23,'F Proj'!$N$1:$N$7669,0)))</f>
        <v>246</v>
      </c>
      <c r="D23">
        <f>IF(Week&gt;=D$1,MATCH($A23&amp;"-"&amp;D$1&amp;$B23,Finals!$J$1:$J$501,0),IFERROR(MATCH($A23&amp;D$1&amp;$B23,'F Proj'!$N$1:$N$7669,0),MATCH("NA"&amp;D$1&amp;$B23,'F Proj'!$N$1:$N$7669,0)))</f>
        <v>247</v>
      </c>
      <c r="E23">
        <f>IF(Week&gt;=E$1,MATCH($A23&amp;"-"&amp;E$1&amp;$B23,Finals!$J$1:$J$501,0),IFERROR(MATCH($A23&amp;E$1&amp;$B23,'F Proj'!$N$1:$N$7669,0),MATCH("NA"&amp;E$1&amp;$B23,'F Proj'!$N$1:$N$7669,0)))</f>
        <v>248</v>
      </c>
      <c r="F23">
        <f>IF(Week&gt;=F$1,MATCH($A23&amp;"-"&amp;F$1&amp;$B23,Finals!$J$1:$J$501,0),IFERROR(MATCH($A23&amp;F$1&amp;$B23,'F Proj'!$N$1:$N$7669,0),MATCH("NA"&amp;F$1&amp;$B23,'F Proj'!$N$1:$N$7669,0)))</f>
        <v>249</v>
      </c>
      <c r="G23">
        <f>IF(Week&gt;=G$1,MATCH($A23&amp;"-"&amp;G$1&amp;$B23,Finals!$J$1:$J$501,0),IFERROR(MATCH($A23&amp;G$1&amp;$B23,'F Proj'!$N$1:$N$7669,0),MATCH("NA"&amp;G$1&amp;$B23,'F Proj'!$N$1:$N$7669,0)))</f>
        <v>250</v>
      </c>
      <c r="H23">
        <f>IF(Week&gt;=H$1,MATCH($A23&amp;"-"&amp;H$1&amp;$B23,Finals!$J$1:$J$501,0),IFERROR(MATCH($A23&amp;H$1&amp;$B23,'F Proj'!$N$1:$N$7669,0),MATCH("NA"&amp;H$1&amp;$B23,'F Proj'!$N$1:$N$7669,0)))</f>
        <v>2080</v>
      </c>
      <c r="I23">
        <f>IF(Week&gt;=I$1,MATCH($A23&amp;"-"&amp;I$1&amp;$B23,Finals!$J$1:$J$501,0),IFERROR(MATCH($A23&amp;I$1&amp;$B23,'F Proj'!$N$1:$N$7669,0),MATCH("NA"&amp;I$1&amp;$B23,'F Proj'!$N$1:$N$7669,0)))</f>
        <v>1905</v>
      </c>
      <c r="J23">
        <f>IF(Week&gt;=J$1,MATCH($A23&amp;"-"&amp;J$1&amp;$B23,Finals!$J$1:$J$501,0),IFERROR(MATCH($A23&amp;J$1&amp;$B23,'F Proj'!$N$1:$N$7669,0),MATCH("NA"&amp;J$1&amp;$B23,'F Proj'!$N$1:$N$7669,0)))</f>
        <v>1871</v>
      </c>
      <c r="K23">
        <f>IF(Week&gt;=K$1,MATCH($A23&amp;"-"&amp;K$1&amp;$B23,Finals!$J$1:$J$501,0),IFERROR(MATCH($A23&amp;K$1&amp;$B23,'F Proj'!$N$1:$N$7669,0),MATCH("NA"&amp;K$1&amp;$B23,'F Proj'!$N$1:$N$7669,0)))</f>
        <v>1939</v>
      </c>
      <c r="L23">
        <f>IF(Week&gt;=L$1,MATCH($A23&amp;"-"&amp;L$1&amp;$B23,Finals!$J$1:$J$501,0),IFERROR(MATCH($A23&amp;L$1&amp;$B23,'F Proj'!$N$1:$N$7669,0),MATCH("NA"&amp;L$1&amp;$B23,'F Proj'!$N$1:$N$7669,0)))</f>
        <v>1967</v>
      </c>
      <c r="M23">
        <f>IF(Week&gt;=M$1,MATCH($A23&amp;"-"&amp;M$1&amp;$B23,Finals!$J$1:$J$501,0),IFERROR(MATCH($A23&amp;M$1&amp;$B23,'F Proj'!$N$1:$N$7669,0),MATCH("NA"&amp;M$1&amp;$B23,'F Proj'!$N$1:$N$7669,0)))</f>
        <v>2516</v>
      </c>
      <c r="N23">
        <f>IF(Week&gt;=N$1,MATCH($A23&amp;"-"&amp;N$1&amp;$B23,Finals!$J$1:$J$501,0),IFERROR(MATCH($A23&amp;N$1&amp;$B23,'F Proj'!$N$1:$N$7669,0),MATCH("NA"&amp;N$1&amp;$B23,'F Proj'!$N$1:$N$7669,0)))</f>
        <v>1849</v>
      </c>
      <c r="O23">
        <f>IF(Week&gt;=O$1,MATCH($A23&amp;"-"&amp;O$1&amp;$B23,Finals!$J$1:$J$501,0),IFERROR(MATCH($A23&amp;O$1&amp;$B23,'F Proj'!$N$1:$N$7669,0),MATCH("NA"&amp;O$1&amp;$B23,'F Proj'!$N$1:$N$7669,0)))</f>
        <v>1970</v>
      </c>
      <c r="P23">
        <f>IF(Week&gt;=P$1,MATCH($A23&amp;"-"&amp;P$1&amp;$B23,Finals!$J$1:$J$501,0),IFERROR(MATCH($A23&amp;P$1&amp;$B23,'F Proj'!$N$1:$N$7669,0),MATCH("NA"&amp;P$1&amp;$B23,'F Proj'!$N$1:$N$7669,0)))</f>
        <v>2363</v>
      </c>
      <c r="Q23">
        <f>IF(Week&gt;=Q$1,MATCH($A23&amp;"-"&amp;Q$1&amp;$B23,Finals!$J$1:$J$501,0),IFERROR(MATCH($A23&amp;Q$1&amp;$B23,'F Proj'!$N$1:$N$7669,0),MATCH("NA"&amp;Q$1&amp;$B23,'F Proj'!$N$1:$N$7669,0)))</f>
        <v>1972</v>
      </c>
      <c r="R23">
        <f>IF(Week&gt;=R$1,MATCH($A23&amp;"-"&amp;R$1&amp;$B23,Finals!$J$1:$J$501,0),IFERROR(MATCH($A23&amp;R$1&amp;$B23,'F Proj'!$N$1:$N$7669,0),MATCH("NA"&amp;R$1&amp;$B23,'F Proj'!$N$1:$N$7669,0)))</f>
        <v>1992</v>
      </c>
      <c r="S23">
        <f>IF(Week&gt;=S$1,MATCH($A23&amp;"-"&amp;S$1&amp;$B23,Finals!$J$1:$J$501,0),IFERROR(MATCH($A23&amp;S$1&amp;$B23,'F Proj'!$N$1:$N$7669,0),MATCH("NA"&amp;S$1&amp;$B23,'F Proj'!$N$1:$N$7669,0)))</f>
        <v>2434</v>
      </c>
      <c r="T23">
        <f>IF(Week&gt;=C$1,INDEX(Finals!$G$1:$G$501,C23),INDEX('F Proj'!$D$1:$D$7669,C23))</f>
        <v>7.1</v>
      </c>
      <c r="U23">
        <f>IF(Week&gt;=D$1,INDEX(Finals!$G$1:$G$501,D23),INDEX('F Proj'!$D$1:$D$7669,D23))</f>
        <v>7.2</v>
      </c>
      <c r="V23">
        <f>IF(Week&gt;=E$1,INDEX(Finals!$G$1:$G$501,E23),INDEX('F Proj'!$D$1:$D$7669,E23))</f>
        <v>10.8</v>
      </c>
      <c r="W23">
        <f>IF(Week&gt;=F$1,INDEX(Finals!$G$1:$G$501,F23),INDEX('F Proj'!$D$1:$D$7669,F23))</f>
        <v>5.7</v>
      </c>
      <c r="X23">
        <f>IF(Week&gt;=G$1,INDEX(Finals!$G$1:$G$501,G23),INDEX('F Proj'!$D$1:$D$7669,G23))</f>
        <v>6.37</v>
      </c>
      <c r="Y23">
        <f>IF(Week&gt;=H$1,INDEX(Finals!$G$1:$G$501,H23),INDEX('F Proj'!$D$1:$D$7669,H23))</f>
        <v>6.28</v>
      </c>
      <c r="Z23">
        <f>IF(Week&gt;=I$1,INDEX(Finals!$G$1:$G$501,I23),INDEX('F Proj'!$D$1:$D$7669,I23))</f>
        <v>6.79</v>
      </c>
      <c r="AA23">
        <f>IF(Week&gt;=J$1,INDEX(Finals!$G$1:$G$501,J23),INDEX('F Proj'!$D$1:$D$7669,J23))</f>
        <v>6.9</v>
      </c>
      <c r="AB23">
        <f>IF(Week&gt;=K$1,INDEX(Finals!$G$1:$G$501,K23),INDEX('F Proj'!$D$1:$D$7669,K23))</f>
        <v>6.67</v>
      </c>
      <c r="AC23">
        <f>IF(Week&gt;=L$1,INDEX(Finals!$G$1:$G$501,L23),INDEX('F Proj'!$D$1:$D$7669,L23))</f>
        <v>6.59</v>
      </c>
      <c r="AD23">
        <f>IF(Week&gt;=M$1,INDEX(Finals!$G$1:$G$501,M23),INDEX('F Proj'!$D$1:$D$7669,M23))</f>
        <v>5.17</v>
      </c>
      <c r="AE23">
        <f>IF(Week&gt;=N$1,INDEX(Finals!$G$1:$G$501,N23),INDEX('F Proj'!$D$1:$D$7669,N23))</f>
        <v>6.95</v>
      </c>
      <c r="AF23">
        <f>IF(Week&gt;=O$1,INDEX(Finals!$G$1:$G$501,O23),INDEX('F Proj'!$D$1:$D$7669,O23))</f>
        <v>6.58</v>
      </c>
      <c r="AG23">
        <f>IF(Week&gt;=P$1,INDEX(Finals!$G$1:$G$501,P23),INDEX('F Proj'!$D$1:$D$7669,P23))</f>
        <v>5.53</v>
      </c>
      <c r="AH23">
        <f>IF(Week&gt;=Q$1,INDEX(Finals!$G$1:$G$501,Q23),INDEX('F Proj'!$D$1:$D$7669,Q23))</f>
        <v>6.57</v>
      </c>
      <c r="AI23">
        <f>IF(Week&gt;=R$1,INDEX(Finals!$G$1:$G$501,R23),INDEX('F Proj'!$D$1:$D$7669,R23))</f>
        <v>6.51</v>
      </c>
      <c r="AJ23">
        <f>IF(Week&gt;=S$1,INDEX(Finals!$G$1:$G$501,S23),INDEX('F Proj'!$D$1:$D$7669,S23))</f>
        <v>5.39</v>
      </c>
      <c r="AK23">
        <f>IF(Week&gt;=C$1,INDEX(Finals!$I$1:$I$501,C23),INDEX('F Proj'!$J$1:$J$7669,C23))</f>
        <v>0</v>
      </c>
      <c r="AL23">
        <f>IF(Week&gt;=D$1,INDEX(Finals!$I$1:$I$501,D23),INDEX('F Proj'!$J$1:$J$7669,D23))</f>
        <v>0</v>
      </c>
      <c r="AM23">
        <f>IF(Week&gt;=E$1,INDEX(Finals!$I$1:$I$501,E23),INDEX('F Proj'!$J$1:$J$7669,E23))</f>
        <v>0</v>
      </c>
      <c r="AN23">
        <f>IF(Week&gt;=F$1,INDEX(Finals!$I$1:$I$501,F23),INDEX('F Proj'!$J$1:$J$7669,F23))</f>
        <v>0</v>
      </c>
      <c r="AO23">
        <f>IF(Week&gt;=G$1,INDEX(Finals!$I$1:$I$501,G23),INDEX('F Proj'!$J$1:$J$7669,G23))</f>
        <v>17.056899999999999</v>
      </c>
      <c r="AP23">
        <f>IF(Week&gt;=H$1,INDEX(Finals!$I$1:$I$501,H23),INDEX('F Proj'!$J$1:$J$7669,H23))</f>
        <v>11.1556</v>
      </c>
      <c r="AQ23">
        <f>IF(Week&gt;=I$1,INDEX(Finals!$I$1:$I$501,I23),INDEX('F Proj'!$J$1:$J$7669,I23))</f>
        <v>14.7456</v>
      </c>
      <c r="AR23">
        <f>IF(Week&gt;=J$1,INDEX(Finals!$I$1:$I$501,J23),INDEX('F Proj'!$J$1:$J$7669,J23))</f>
        <v>14.5924</v>
      </c>
      <c r="AS23">
        <f>IF(Week&gt;=K$1,INDEX(Finals!$I$1:$I$501,K23),INDEX('F Proj'!$J$1:$J$7669,K23))</f>
        <v>13.249599999999999</v>
      </c>
      <c r="AT23">
        <f>IF(Week&gt;=L$1,INDEX(Finals!$I$1:$I$501,L23),INDEX('F Proj'!$J$1:$J$7669,L23))</f>
        <v>29.702500000000001</v>
      </c>
      <c r="AU23">
        <f>IF(Week&gt;=M$1,INDEX(Finals!$I$1:$I$501,M23),INDEX('F Proj'!$J$1:$J$7669,M23))</f>
        <v>8.1796000000000006</v>
      </c>
      <c r="AV23">
        <f>IF(Week&gt;=N$1,INDEX(Finals!$I$1:$I$501,N23),INDEX('F Proj'!$J$1:$J$7669,N23))</f>
        <v>14.0625</v>
      </c>
      <c r="AW23">
        <f>IF(Week&gt;=O$1,INDEX(Finals!$I$1:$I$501,O23),INDEX('F Proj'!$J$1:$J$7669,O23))</f>
        <v>14.5924</v>
      </c>
      <c r="AX23">
        <f>IF(Week&gt;=P$1,INDEX(Finals!$I$1:$I$501,P23),INDEX('F Proj'!$J$1:$J$7669,P23))</f>
        <v>9.3635999999999999</v>
      </c>
      <c r="AY23">
        <f>IF(Week&gt;=Q$1,INDEX(Finals!$I$1:$I$501,Q23),INDEX('F Proj'!$J$1:$J$7669,Q23))</f>
        <v>12.180099999999999</v>
      </c>
      <c r="AZ23">
        <f>IF(Week&gt;=R$1,INDEX(Finals!$I$1:$I$501,R23),INDEX('F Proj'!$J$1:$J$7669,R23))</f>
        <v>13.249599999999999</v>
      </c>
      <c r="BA23">
        <f>IF(Week&gt;=S$1,INDEX(Finals!$I$1:$I$501,S23),INDEX('F Proj'!$J$1:$J$7669,S23))</f>
        <v>8.1796000000000006</v>
      </c>
    </row>
    <row r="24" spans="1:53" x14ac:dyDescent="0.25">
      <c r="A24" t="s">
        <v>16</v>
      </c>
      <c r="B24" t="s">
        <v>477</v>
      </c>
      <c r="C24">
        <f>IF(Week&gt;=C$1,MATCH($A24&amp;"-"&amp;C$1&amp;$B24,Finals!$J$1:$J$501,0),IFERROR(MATCH($A24&amp;C$1,'D Proj'!$V$1:$V$514,0),MATCH("NA"&amp;C$1,'D Proj'!$V$1:$V$514,0)))</f>
        <v>494</v>
      </c>
      <c r="D24">
        <f>IF(Week&gt;=D$1,MATCH($A24&amp;"-"&amp;D$1&amp;$B24,Finals!$J$1:$J$501,0),IFERROR(MATCH($A24&amp;D$1,'D Proj'!$V$1:$V$514,0),MATCH("NA"&amp;D$1,'D Proj'!$V$1:$V$514,0)))</f>
        <v>495</v>
      </c>
      <c r="E24">
        <f>IF(Week&gt;=E$1,MATCH($A24&amp;"-"&amp;E$1&amp;$B24,Finals!$J$1:$J$501,0),IFERROR(MATCH($A24&amp;E$1,'D Proj'!$V$1:$V$514,0),MATCH("NA"&amp;E$1,'D Proj'!$V$1:$V$514,0)))</f>
        <v>460</v>
      </c>
      <c r="F24">
        <f>IF(Week&gt;=F$1,MATCH($A24&amp;"-"&amp;F$1&amp;$B24,Finals!$J$1:$J$501,0),IFERROR(MATCH($A24&amp;F$1,'D Proj'!$V$1:$V$514,0),MATCH("NA"&amp;F$1,'D Proj'!$V$1:$V$514,0)))</f>
        <v>462</v>
      </c>
      <c r="G24">
        <f>IF(Week&gt;=G$1,MATCH($A24&amp;"-"&amp;G$1&amp;$B24,Finals!$J$1:$J$501,0),IFERROR(MATCH($A24&amp;G$1,'D Proj'!$V$1:$V$514,0),MATCH("NA"&amp;G$1,'D Proj'!$V$1:$V$514,0)))</f>
        <v>477</v>
      </c>
      <c r="H24">
        <f>IF(Week&gt;=H$1,MATCH($A24&amp;"-"&amp;H$1&amp;$B24,Finals!$J$1:$J$501,0),IFERROR(MATCH($A24&amp;H$1,'D Proj'!$V$1:$V$514,0),MATCH("NA"&amp;H$1,'D Proj'!$V$1:$V$514,0)))</f>
        <v>88</v>
      </c>
      <c r="I24">
        <f>IF(Week&gt;=I$1,MATCH($A24&amp;"-"&amp;I$1&amp;$B24,Finals!$J$1:$J$501,0),IFERROR(MATCH($A24&amp;I$1,'D Proj'!$V$1:$V$514,0),MATCH("NA"&amp;I$1,'D Proj'!$V$1:$V$514,0)))</f>
        <v>138</v>
      </c>
      <c r="J24">
        <f>IF(Week&gt;=J$1,MATCH($A24&amp;"-"&amp;J$1&amp;$B24,Finals!$J$1:$J$501,0),IFERROR(MATCH($A24&amp;J$1,'D Proj'!$V$1:$V$514,0),MATCH("NA"&amp;J$1,'D Proj'!$V$1:$V$514,0)))</f>
        <v>75</v>
      </c>
      <c r="K24">
        <f>IF(Week&gt;=K$1,MATCH($A24&amp;"-"&amp;K$1&amp;$B24,Finals!$J$1:$J$501,0),IFERROR(MATCH($A24&amp;K$1,'D Proj'!$V$1:$V$514,0),MATCH("NA"&amp;K$1,'D Proj'!$V$1:$V$514,0)))</f>
        <v>116</v>
      </c>
      <c r="L24">
        <f>IF(Week&gt;=L$1,MATCH($A24&amp;"-"&amp;L$1&amp;$B24,Finals!$J$1:$J$501,0),IFERROR(MATCH($A24&amp;L$1,'D Proj'!$V$1:$V$514,0),MATCH("NA"&amp;L$1,'D Proj'!$V$1:$V$514,0)))</f>
        <v>161</v>
      </c>
      <c r="M24">
        <f>IF(Week&gt;=M$1,MATCH($A24&amp;"-"&amp;M$1&amp;$B24,Finals!$J$1:$J$501,0),IFERROR(MATCH($A24&amp;M$1,'D Proj'!$V$1:$V$514,0),MATCH("NA"&amp;M$1,'D Proj'!$V$1:$V$514,0)))</f>
        <v>83</v>
      </c>
      <c r="N24">
        <f>IF(Week&gt;=N$1,MATCH($A24&amp;"-"&amp;N$1&amp;$B24,Finals!$J$1:$J$501,0),IFERROR(MATCH($A24&amp;N$1,'D Proj'!$V$1:$V$514,0),MATCH("NA"&amp;N$1,'D Proj'!$V$1:$V$514,0)))</f>
        <v>141</v>
      </c>
      <c r="O24">
        <f>IF(Week&gt;=O$1,MATCH($A24&amp;"-"&amp;O$1&amp;$B24,Finals!$J$1:$J$501,0),IFERROR(MATCH($A24&amp;O$1,'D Proj'!$V$1:$V$514,0),MATCH("NA"&amp;O$1,'D Proj'!$V$1:$V$514,0)))</f>
        <v>117</v>
      </c>
      <c r="P24">
        <f>IF(Week&gt;=P$1,MATCH($A24&amp;"-"&amp;P$1&amp;$B24,Finals!$J$1:$J$501,0),IFERROR(MATCH($A24&amp;P$1,'D Proj'!$V$1:$V$514,0),MATCH("NA"&amp;P$1,'D Proj'!$V$1:$V$514,0)))</f>
        <v>82</v>
      </c>
      <c r="Q24">
        <f>IF(Week&gt;=Q$1,MATCH($A24&amp;"-"&amp;Q$1&amp;$B24,Finals!$J$1:$J$501,0),IFERROR(MATCH($A24&amp;Q$1,'D Proj'!$V$1:$V$514,0),MATCH("NA"&amp;Q$1,'D Proj'!$V$1:$V$514,0)))</f>
        <v>490</v>
      </c>
      <c r="R24">
        <f>IF(Week&gt;=R$1,MATCH($A24&amp;"-"&amp;R$1&amp;$B24,Finals!$J$1:$J$501,0),IFERROR(MATCH($A24&amp;R$1,'D Proj'!$V$1:$V$514,0),MATCH("NA"&amp;R$1,'D Proj'!$V$1:$V$514,0)))</f>
        <v>368</v>
      </c>
      <c r="S24">
        <f>IF(Week&gt;=S$1,MATCH($A24&amp;"-"&amp;S$1&amp;$B24,Finals!$J$1:$J$501,0),IFERROR(MATCH($A24&amp;S$1,'D Proj'!$V$1:$V$514,0),MATCH("NA"&amp;S$1,'D Proj'!$V$1:$V$514,0)))</f>
        <v>491</v>
      </c>
      <c r="T24">
        <f>IF(Week&gt;=C$1,INDEX(Finals!$G$1:$G$501,C24),INDEX('D Proj'!$T$1:$T$513,C24))</f>
        <v>11</v>
      </c>
      <c r="U24">
        <f>IF(Week&gt;=D$1,INDEX(Finals!$G$1:$G$501,D24),INDEX('D Proj'!$T$1:$T$513,D24))</f>
        <v>4</v>
      </c>
      <c r="V24">
        <f>IF(Week&gt;=E$1,INDEX(Finals!$G$1:$G$501,E24),INDEX('D Proj'!$T$1:$T$513,E24))</f>
        <v>8</v>
      </c>
      <c r="W24">
        <f>IF(Week&gt;=F$1,INDEX(Finals!$G$1:$G$501,F24),INDEX('D Proj'!$T$1:$T$513,F24))</f>
        <v>4</v>
      </c>
      <c r="X24">
        <f>IF(Week&gt;=G$1,INDEX(Finals!$G$1:$G$501,G24),INDEX('D Proj'!$T$1:$T$513,G24))</f>
        <v>7.66</v>
      </c>
      <c r="Y24">
        <f>IF(Week&gt;=H$1,INDEX(Finals!$G$1:$G$501,H24),INDEX('D Proj'!$T$1:$T$513,H24))</f>
        <v>7.64</v>
      </c>
      <c r="Z24">
        <f>IF(Week&gt;=I$1,INDEX(Finals!$G$1:$G$501,I24),INDEX('D Proj'!$T$1:$T$513,I24))</f>
        <v>7.24</v>
      </c>
      <c r="AA24">
        <f>IF(Week&gt;=J$1,INDEX(Finals!$G$1:$G$501,J24),INDEX('D Proj'!$T$1:$T$513,J24))</f>
        <v>7.86</v>
      </c>
      <c r="AB24">
        <f>IF(Week&gt;=K$1,INDEX(Finals!$G$1:$G$501,K24),INDEX('D Proj'!$T$1:$T$513,K24))</f>
        <v>7.42</v>
      </c>
      <c r="AC24">
        <f>IF(Week&gt;=L$1,INDEX(Finals!$G$1:$G$501,L24),INDEX('D Proj'!$T$1:$T$513,L24))</f>
        <v>7.04</v>
      </c>
      <c r="AD24">
        <f>IF(Week&gt;=M$1,INDEX(Finals!$G$1:$G$501,M24),INDEX('D Proj'!$T$1:$T$513,M24))</f>
        <v>7.75</v>
      </c>
      <c r="AE24">
        <f>IF(Week&gt;=N$1,INDEX(Finals!$G$1:$G$501,N24),INDEX('D Proj'!$T$1:$T$513,N24))</f>
        <v>7.2</v>
      </c>
      <c r="AF24">
        <f>IF(Week&gt;=O$1,INDEX(Finals!$G$1:$G$501,O24),INDEX('D Proj'!$T$1:$T$513,O24))</f>
        <v>7.42</v>
      </c>
      <c r="AG24">
        <f>IF(Week&gt;=P$1,INDEX(Finals!$G$1:$G$501,P24),INDEX('D Proj'!$T$1:$T$513,P24))</f>
        <v>7.78</v>
      </c>
      <c r="AH24">
        <f>IF(Week&gt;=Q$1,INDEX(Finals!$G$1:$G$501,Q24),INDEX('D Proj'!$T$1:$T$513,Q24))</f>
        <v>2.74</v>
      </c>
      <c r="AI24">
        <f>IF(Week&gt;=R$1,INDEX(Finals!$G$1:$G$501,R24),INDEX('D Proj'!$T$1:$T$513,R24))</f>
        <v>4.82</v>
      </c>
      <c r="AJ24">
        <f>IF(Week&gt;=S$1,INDEX(Finals!$G$1:$G$501,S24),INDEX('D Proj'!$T$1:$T$513,S24))</f>
        <v>2.74</v>
      </c>
      <c r="AK24">
        <f>IF(Week&gt;=C$1,INDEX(Finals!$I$1:$I$501,C24),INDEX('D Proj'!$N$1:$N$513,C24))</f>
        <v>0</v>
      </c>
      <c r="AL24">
        <f>IF(Week&gt;=D$1,INDEX(Finals!$I$1:$I$501,D24),INDEX('D Proj'!$N$1:$N$513,D24))</f>
        <v>0</v>
      </c>
      <c r="AM24">
        <f>IF(Week&gt;=E$1,INDEX(Finals!$I$1:$I$501,E24),INDEX('D Proj'!$N$1:$N$513,E24))</f>
        <v>0</v>
      </c>
      <c r="AN24">
        <f>IF(Week&gt;=F$1,INDEX(Finals!$I$1:$I$501,F24),INDEX('D Proj'!$N$1:$N$513,F24))</f>
        <v>0</v>
      </c>
      <c r="AO24">
        <f>IF(Week&gt;=G$1,INDEX(Finals!$I$1:$I$501,G24),INDEX('D Proj'!$N$1:$N$513,G24))</f>
        <v>25.100100000000001</v>
      </c>
      <c r="AP24">
        <f>IF(Week&gt;=H$1,INDEX(Finals!$I$1:$I$501,H24),INDEX('D Proj'!$N$1:$N$513,H24))</f>
        <v>54.316899999999997</v>
      </c>
      <c r="AQ24">
        <f>IF(Week&gt;=I$1,INDEX(Finals!$I$1:$I$501,I24),INDEX('D Proj'!$N$1:$N$513,I24))</f>
        <v>36.120100000000001</v>
      </c>
      <c r="AR24">
        <f>IF(Week&gt;=J$1,INDEX(Finals!$I$1:$I$501,J24),INDEX('D Proj'!$N$1:$N$513,J24))</f>
        <v>39.438400000000001</v>
      </c>
      <c r="AS24">
        <f>IF(Week&gt;=K$1,INDEX(Finals!$I$1:$I$501,K24),INDEX('D Proj'!$N$1:$N$513,K24))</f>
        <v>33.292900000000003</v>
      </c>
      <c r="AT24">
        <f>IF(Week&gt;=L$1,INDEX(Finals!$I$1:$I$501,L24),INDEX('D Proj'!$N$1:$N$513,L24))</f>
        <v>32.947600000000001</v>
      </c>
      <c r="AU24">
        <f>IF(Week&gt;=M$1,INDEX(Finals!$I$1:$I$501,M24),INDEX('D Proj'!$N$1:$N$513,M24))</f>
        <v>40.195599999999999</v>
      </c>
      <c r="AV24">
        <f>IF(Week&gt;=N$1,INDEX(Finals!$I$1:$I$501,N24),INDEX('D Proj'!$N$1:$N$513,N24))</f>
        <v>50.268099999999997</v>
      </c>
      <c r="AW24">
        <f>IF(Week&gt;=O$1,INDEX(Finals!$I$1:$I$501,O24),INDEX('D Proj'!$N$1:$N$513,O24))</f>
        <v>33.292900000000003</v>
      </c>
      <c r="AX24">
        <f>IF(Week&gt;=P$1,INDEX(Finals!$I$1:$I$501,P24),INDEX('D Proj'!$N$1:$N$513,P24))</f>
        <v>31.696899999999999</v>
      </c>
      <c r="AY24">
        <f>IF(Week&gt;=Q$1,INDEX(Finals!$I$1:$I$501,Q24),INDEX('D Proj'!$N$1:$N$513,Q24))</f>
        <v>21.808900000000001</v>
      </c>
      <c r="AZ24">
        <f>IF(Week&gt;=R$1,INDEX(Finals!$I$1:$I$501,R24),INDEX('D Proj'!$N$1:$N$513,R24))</f>
        <v>25.6036</v>
      </c>
      <c r="BA24">
        <f>IF(Week&gt;=S$1,INDEX(Finals!$I$1:$I$501,S24),INDEX('D Proj'!$N$1:$N$513,S24))</f>
        <v>21.808900000000001</v>
      </c>
    </row>
    <row r="25" spans="1:53" x14ac:dyDescent="0.25">
      <c r="A25" t="s">
        <v>16</v>
      </c>
      <c r="B25" t="s">
        <v>478</v>
      </c>
      <c r="C25">
        <f>IF(Week&gt;=C$1,MATCH($A25&amp;"-"&amp;C$1&amp;$B25,Finals!$J$1:$J$501,0),IFERROR(MATCH($A25&amp;C$1,'K Proj'!$R$1:$R$508,0),MATCH("NA"&amp;C$1,'K Proj'!$R$1:$R$508,0)))</f>
        <v>447</v>
      </c>
      <c r="D25">
        <f>IF(Week&gt;=D$1,MATCH($A25&amp;"-"&amp;D$1&amp;$B25,Finals!$J$1:$J$501,0),IFERROR(MATCH($A25&amp;D$1,'K Proj'!$R$1:$R$508,0),MATCH("NA"&amp;D$1,'K Proj'!$R$1:$R$508,0)))</f>
        <v>448</v>
      </c>
      <c r="E25">
        <f>IF(Week&gt;=E$1,MATCH($A25&amp;"-"&amp;E$1&amp;$B25,Finals!$J$1:$J$501,0),IFERROR(MATCH($A25&amp;E$1,'K Proj'!$R$1:$R$508,0),MATCH("NA"&amp;E$1,'K Proj'!$R$1:$R$508,0)))</f>
        <v>449</v>
      </c>
      <c r="F25">
        <f>IF(Week&gt;=F$1,MATCH($A25&amp;"-"&amp;F$1&amp;$B25,Finals!$J$1:$J$501,0),IFERROR(MATCH($A25&amp;F$1,'K Proj'!$R$1:$R$508,0),MATCH("NA"&amp;F$1,'K Proj'!$R$1:$R$508,0)))</f>
        <v>450</v>
      </c>
      <c r="G25">
        <f>IF(Week&gt;=G$1,MATCH($A25&amp;"-"&amp;G$1&amp;$B25,Finals!$J$1:$J$501,0),IFERROR(MATCH($A25&amp;G$1,'K Proj'!$R$1:$R$508,0),MATCH("NA"&amp;G$1,'K Proj'!$R$1:$R$508,0)))</f>
        <v>451</v>
      </c>
      <c r="H25">
        <f>IF(Week&gt;=H$1,MATCH($A25&amp;"-"&amp;H$1&amp;$B25,Finals!$J$1:$J$501,0),IFERROR(MATCH($A25&amp;H$1,'K Proj'!$R$1:$R$508,0),MATCH("NA"&amp;H$1,'K Proj'!$R$1:$R$508,0)))</f>
        <v>89</v>
      </c>
      <c r="I25">
        <f>IF(Week&gt;=I$1,MATCH($A25&amp;"-"&amp;I$1&amp;$B25,Finals!$J$1:$J$501,0),IFERROR(MATCH($A25&amp;I$1,'K Proj'!$R$1:$R$508,0),MATCH("NA"&amp;I$1,'K Proj'!$R$1:$R$508,0)))</f>
        <v>392</v>
      </c>
      <c r="J25">
        <f>IF(Week&gt;=J$1,MATCH($A25&amp;"-"&amp;J$1&amp;$B25,Finals!$J$1:$J$501,0),IFERROR(MATCH($A25&amp;J$1,'K Proj'!$R$1:$R$508,0),MATCH("NA"&amp;J$1,'K Proj'!$R$1:$R$508,0)))</f>
        <v>144</v>
      </c>
      <c r="K25">
        <f>IF(Week&gt;=K$1,MATCH($A25&amp;"-"&amp;K$1&amp;$B25,Finals!$J$1:$J$501,0),IFERROR(MATCH($A25&amp;K$1,'K Proj'!$R$1:$R$508,0),MATCH("NA"&amp;K$1,'K Proj'!$R$1:$R$508,0)))</f>
        <v>79</v>
      </c>
      <c r="L25">
        <f>IF(Week&gt;=L$1,MATCH($A25&amp;"-"&amp;L$1&amp;$B25,Finals!$J$1:$J$501,0),IFERROR(MATCH($A25&amp;L$1,'K Proj'!$R$1:$R$508,0),MATCH("NA"&amp;L$1,'K Proj'!$R$1:$R$508,0)))</f>
        <v>87</v>
      </c>
      <c r="M25">
        <f>IF(Week&gt;=M$1,MATCH($A25&amp;"-"&amp;M$1&amp;$B25,Finals!$J$1:$J$501,0),IFERROR(MATCH($A25&amp;M$1,'K Proj'!$R$1:$R$508,0),MATCH("NA"&amp;M$1,'K Proj'!$R$1:$R$508,0)))</f>
        <v>275</v>
      </c>
      <c r="N25">
        <f>IF(Week&gt;=N$1,MATCH($A25&amp;"-"&amp;N$1&amp;$B25,Finals!$J$1:$J$501,0),IFERROR(MATCH($A25&amp;N$1,'K Proj'!$R$1:$R$508,0),MATCH("NA"&amp;N$1,'K Proj'!$R$1:$R$508,0)))</f>
        <v>14</v>
      </c>
      <c r="O25">
        <f>IF(Week&gt;=O$1,MATCH($A25&amp;"-"&amp;O$1&amp;$B25,Finals!$J$1:$J$501,0),IFERROR(MATCH($A25&amp;O$1,'K Proj'!$R$1:$R$508,0),MATCH("NA"&amp;O$1,'K Proj'!$R$1:$R$508,0)))</f>
        <v>57</v>
      </c>
      <c r="P25">
        <f>IF(Week&gt;=P$1,MATCH($A25&amp;"-"&amp;P$1&amp;$B25,Finals!$J$1:$J$501,0),IFERROR(MATCH($A25&amp;P$1,'K Proj'!$R$1:$R$508,0),MATCH("NA"&amp;P$1,'K Proj'!$R$1:$R$508,0)))</f>
        <v>21</v>
      </c>
      <c r="Q25">
        <f>IF(Week&gt;=Q$1,MATCH($A25&amp;"-"&amp;Q$1&amp;$B25,Finals!$J$1:$J$501,0),IFERROR(MATCH($A25&amp;Q$1,'K Proj'!$R$1:$R$508,0),MATCH("NA"&amp;Q$1,'K Proj'!$R$1:$R$508,0)))</f>
        <v>279</v>
      </c>
      <c r="R25">
        <f>IF(Week&gt;=R$1,MATCH($A25&amp;"-"&amp;R$1&amp;$B25,Finals!$J$1:$J$501,0),IFERROR(MATCH($A25&amp;R$1,'K Proj'!$R$1:$R$508,0),MATCH("NA"&amp;R$1,'K Proj'!$R$1:$R$508,0)))</f>
        <v>162</v>
      </c>
      <c r="S25">
        <f>IF(Week&gt;=S$1,MATCH($A25&amp;"-"&amp;S$1&amp;$B25,Finals!$J$1:$J$501,0),IFERROR(MATCH($A25&amp;S$1,'K Proj'!$R$1:$R$508,0),MATCH("NA"&amp;S$1,'K Proj'!$R$1:$R$508,0)))</f>
        <v>185</v>
      </c>
      <c r="T25">
        <f>IF(Week&gt;=C$1,INDEX(Finals!$G$1:$G$501,C25),INDEX('K Proj'!$L$1:$L$508,C25))</f>
        <v>6</v>
      </c>
      <c r="U25">
        <f>IF(Week&gt;=D$1,INDEX(Finals!$G$1:$G$501,D25),INDEX('K Proj'!$L$1:$L$508,D25))</f>
        <v>5</v>
      </c>
      <c r="V25">
        <f>IF(Week&gt;=E$1,INDEX(Finals!$G$1:$G$501,E25),INDEX('K Proj'!$L$1:$L$508,E25))</f>
        <v>15</v>
      </c>
      <c r="W25">
        <f>IF(Week&gt;=F$1,INDEX(Finals!$G$1:$G$501,F25),INDEX('K Proj'!$L$1:$L$508,F25))</f>
        <v>16</v>
      </c>
      <c r="X25">
        <f>IF(Week&gt;=G$1,INDEX(Finals!$G$1:$G$501,G25),INDEX('K Proj'!$L$1:$L$508,G25))</f>
        <v>9.3800000000000008</v>
      </c>
      <c r="Y25">
        <f>IF(Week&gt;=H$1,INDEX(Finals!$G$1:$G$501,H25),INDEX('K Proj'!$L$1:$L$508,H25))</f>
        <v>8.09</v>
      </c>
      <c r="Z25">
        <f>IF(Week&gt;=I$1,INDEX(Finals!$G$1:$G$501,I25),INDEX('K Proj'!$L$1:$L$508,I25))</f>
        <v>6.4</v>
      </c>
      <c r="AA25">
        <f>IF(Week&gt;=J$1,INDEX(Finals!$G$1:$G$501,J25),INDEX('K Proj'!$L$1:$L$508,J25))</f>
        <v>7.62</v>
      </c>
      <c r="AB25">
        <f>IF(Week&gt;=K$1,INDEX(Finals!$G$1:$G$501,K25),INDEX('K Proj'!$L$1:$L$508,K25))</f>
        <v>8.17</v>
      </c>
      <c r="AC25">
        <f>IF(Week&gt;=L$1,INDEX(Finals!$G$1:$G$501,L25),INDEX('K Proj'!$L$1:$L$508,L25))</f>
        <v>8.1</v>
      </c>
      <c r="AD25">
        <f>IF(Week&gt;=M$1,INDEX(Finals!$G$1:$G$501,M25),INDEX('K Proj'!$L$1:$L$508,M25))</f>
        <v>6.98</v>
      </c>
      <c r="AE25">
        <f>IF(Week&gt;=N$1,INDEX(Finals!$G$1:$G$501,N25),INDEX('K Proj'!$L$1:$L$508,N25))</f>
        <v>9.0299999999999994</v>
      </c>
      <c r="AF25">
        <f>IF(Week&gt;=O$1,INDEX(Finals!$G$1:$G$501,O25),INDEX('K Proj'!$L$1:$L$508,O25))</f>
        <v>8.39</v>
      </c>
      <c r="AG25">
        <f>IF(Week&gt;=P$1,INDEX(Finals!$G$1:$G$501,P25),INDEX('K Proj'!$L$1:$L$508,P25))</f>
        <v>8.81</v>
      </c>
      <c r="AH25">
        <f>IF(Week&gt;=Q$1,INDEX(Finals!$G$1:$G$501,Q25),INDEX('K Proj'!$L$1:$L$508,Q25))</f>
        <v>6.96</v>
      </c>
      <c r="AI25">
        <f>IF(Week&gt;=R$1,INDEX(Finals!$G$1:$G$501,R25),INDEX('K Proj'!$L$1:$L$508,R25))</f>
        <v>7.53</v>
      </c>
      <c r="AJ25">
        <f>IF(Week&gt;=S$1,INDEX(Finals!$G$1:$G$501,S25),INDEX('K Proj'!$L$1:$L$508,S25))</f>
        <v>7.41</v>
      </c>
      <c r="AK25">
        <f>IF(Week&gt;=C$1,INDEX(Finals!$I$1:$I$501,C25),INDEX('K Proj'!$P$1:$P$508,C25))</f>
        <v>0</v>
      </c>
      <c r="AL25">
        <f>IF(Week&gt;=D$1,INDEX(Finals!$I$1:$I$501,D25),INDEX('K Proj'!$P$1:$P$508,D25))</f>
        <v>0</v>
      </c>
      <c r="AM25">
        <f>IF(Week&gt;=E$1,INDEX(Finals!$I$1:$I$501,E25),INDEX('K Proj'!$P$1:$P$508,E25))</f>
        <v>0</v>
      </c>
      <c r="AN25">
        <f>IF(Week&gt;=F$1,INDEX(Finals!$I$1:$I$501,F25),INDEX('K Proj'!$P$1:$P$508,F25))</f>
        <v>0</v>
      </c>
      <c r="AO25">
        <f>IF(Week&gt;=G$1,INDEX(Finals!$I$1:$I$501,G25),INDEX('K Proj'!$P$1:$P$508,G25))</f>
        <v>17.64</v>
      </c>
      <c r="AP25">
        <f>IF(Week&gt;=H$1,INDEX(Finals!$I$1:$I$501,H25),INDEX('K Proj'!$P$1:$P$508,H25))</f>
        <v>16.080100000000002</v>
      </c>
      <c r="AQ25">
        <f>IF(Week&gt;=I$1,INDEX(Finals!$I$1:$I$501,I25),INDEX('K Proj'!$P$1:$P$508,I25))</f>
        <v>13.8384</v>
      </c>
      <c r="AR25">
        <f>IF(Week&gt;=J$1,INDEX(Finals!$I$1:$I$501,J25),INDEX('K Proj'!$P$1:$P$508,J25))</f>
        <v>16.4025</v>
      </c>
      <c r="AS25">
        <f>IF(Week&gt;=K$1,INDEX(Finals!$I$1:$I$501,K25),INDEX('K Proj'!$P$1:$P$508,K25))</f>
        <v>19.5364</v>
      </c>
      <c r="AT25">
        <f>IF(Week&gt;=L$1,INDEX(Finals!$I$1:$I$501,L25),INDEX('K Proj'!$P$1:$P$508,L25))</f>
        <v>18.662400000000002</v>
      </c>
      <c r="AU25">
        <f>IF(Week&gt;=M$1,INDEX(Finals!$I$1:$I$501,M25),INDEX('K Proj'!$P$1:$P$508,M25))</f>
        <v>15.444900000000001</v>
      </c>
      <c r="AV25">
        <f>IF(Week&gt;=N$1,INDEX(Finals!$I$1:$I$501,N25),INDEX('K Proj'!$P$1:$P$508,N25))</f>
        <v>15.2881</v>
      </c>
      <c r="AW25">
        <f>IF(Week&gt;=O$1,INDEX(Finals!$I$1:$I$501,O25),INDEX('K Proj'!$P$1:$P$508,O25))</f>
        <v>13.616099999999999</v>
      </c>
      <c r="AX25">
        <f>IF(Week&gt;=P$1,INDEX(Finals!$I$1:$I$501,P25),INDEX('K Proj'!$P$1:$P$508,P25))</f>
        <v>16.080100000000002</v>
      </c>
      <c r="AY25">
        <f>IF(Week&gt;=Q$1,INDEX(Finals!$I$1:$I$501,Q25),INDEX('K Proj'!$P$1:$P$508,Q25))</f>
        <v>15.444900000000001</v>
      </c>
      <c r="AZ25">
        <f>IF(Week&gt;=R$1,INDEX(Finals!$I$1:$I$501,R25),INDEX('K Proj'!$P$1:$P$508,R25))</f>
        <v>20.3401</v>
      </c>
      <c r="BA25">
        <f>IF(Week&gt;=S$1,INDEX(Finals!$I$1:$I$501,S25),INDEX('K Proj'!$P$1:$P$508,S25))</f>
        <v>17.305599999999998</v>
      </c>
    </row>
    <row r="26" spans="1:53" x14ac:dyDescent="0.25">
      <c r="A26" t="s">
        <v>55</v>
      </c>
      <c r="B26" t="s">
        <v>467</v>
      </c>
      <c r="C26">
        <f>IF(Week&gt;=C$1,MATCH($A26&amp;"-"&amp;C$1&amp;$B26,Finals!$J$1:$J$501,0),IFERROR(MATCH($A26&amp;C$1&amp;$B26,'F Proj'!$N$1:$N$7669,0),MATCH("NA"&amp;C$1&amp;$B26,'F Proj'!$N$1:$N$7669,0)))</f>
        <v>278</v>
      </c>
      <c r="D26">
        <f>IF(Week&gt;=D$1,MATCH($A26&amp;"-"&amp;D$1&amp;$B26,Finals!$J$1:$J$501,0),IFERROR(MATCH($A26&amp;D$1&amp;$B26,'F Proj'!$N$1:$N$7669,0),MATCH("NA"&amp;D$1&amp;$B26,'F Proj'!$N$1:$N$7669,0)))</f>
        <v>244</v>
      </c>
      <c r="E26">
        <f>IF(Week&gt;=E$1,MATCH($A26&amp;"-"&amp;E$1&amp;$B26,Finals!$J$1:$J$501,0),IFERROR(MATCH($A26&amp;E$1&amp;$B26,'F Proj'!$N$1:$N$7669,0),MATCH("NA"&amp;E$1&amp;$B26,'F Proj'!$N$1:$N$7669,0)))</f>
        <v>245</v>
      </c>
      <c r="F26">
        <f>IF(Week&gt;=F$1,MATCH($A26&amp;"-"&amp;F$1&amp;$B26,Finals!$J$1:$J$501,0),IFERROR(MATCH($A26&amp;F$1&amp;$B26,'F Proj'!$N$1:$N$7669,0),MATCH("NA"&amp;F$1&amp;$B26,'F Proj'!$N$1:$N$7669,0)))</f>
        <v>279</v>
      </c>
      <c r="G26">
        <f>IF(Week&gt;=G$1,MATCH($A26&amp;"-"&amp;G$1&amp;$B26,Finals!$J$1:$J$501,0),IFERROR(MATCH($A26&amp;G$1&amp;$B26,'F Proj'!$N$1:$N$7669,0),MATCH("NA"&amp;G$1&amp;$B26,'F Proj'!$N$1:$N$7669,0)))</f>
        <v>280</v>
      </c>
      <c r="H26">
        <f>IF(Week&gt;=H$1,MATCH($A26&amp;"-"&amp;H$1&amp;$B26,Finals!$J$1:$J$501,0),IFERROR(MATCH($A26&amp;H$1&amp;$B26,'F Proj'!$N$1:$N$7669,0),MATCH("NA"&amp;H$1&amp;$B26,'F Proj'!$N$1:$N$7669,0)))</f>
        <v>10</v>
      </c>
      <c r="I26">
        <f>IF(Week&gt;=I$1,MATCH($A26&amp;"-"&amp;I$1&amp;$B26,Finals!$J$1:$J$501,0),IFERROR(MATCH($A26&amp;I$1&amp;$B26,'F Proj'!$N$1:$N$7669,0),MATCH("NA"&amp;I$1&amp;$B26,'F Proj'!$N$1:$N$7669,0)))</f>
        <v>55</v>
      </c>
      <c r="J26">
        <f>IF(Week&gt;=J$1,MATCH($A26&amp;"-"&amp;J$1&amp;$B26,Finals!$J$1:$J$501,0),IFERROR(MATCH($A26&amp;J$1&amp;$B26,'F Proj'!$N$1:$N$7669,0),MATCH("NA"&amp;J$1&amp;$B26,'F Proj'!$N$1:$N$7669,0)))</f>
        <v>334</v>
      </c>
      <c r="K26">
        <f>IF(Week&gt;=K$1,MATCH($A26&amp;"-"&amp;K$1&amp;$B26,Finals!$J$1:$J$501,0),IFERROR(MATCH($A26&amp;K$1&amp;$B26,'F Proj'!$N$1:$N$7669,0),MATCH("NA"&amp;K$1&amp;$B26,'F Proj'!$N$1:$N$7669,0)))</f>
        <v>300</v>
      </c>
      <c r="L26">
        <f>IF(Week&gt;=L$1,MATCH($A26&amp;"-"&amp;L$1&amp;$B26,Finals!$J$1:$J$501,0),IFERROR(MATCH($A26&amp;L$1&amp;$B26,'F Proj'!$N$1:$N$7669,0),MATCH("NA"&amp;L$1&amp;$B26,'F Proj'!$N$1:$N$7669,0)))</f>
        <v>197</v>
      </c>
      <c r="M26">
        <f>IF(Week&gt;=M$1,MATCH($A26&amp;"-"&amp;M$1&amp;$B26,Finals!$J$1:$J$501,0),IFERROR(MATCH($A26&amp;M$1&amp;$B26,'F Proj'!$N$1:$N$7669,0),MATCH("NA"&amp;M$1&amp;$B26,'F Proj'!$N$1:$N$7669,0)))</f>
        <v>20</v>
      </c>
      <c r="N26">
        <f>IF(Week&gt;=N$1,MATCH($A26&amp;"-"&amp;N$1&amp;$B26,Finals!$J$1:$J$501,0),IFERROR(MATCH($A26&amp;N$1&amp;$B26,'F Proj'!$N$1:$N$7669,0),MATCH("NA"&amp;N$1&amp;$B26,'F Proj'!$N$1:$N$7669,0)))</f>
        <v>40</v>
      </c>
      <c r="O26">
        <f>IF(Week&gt;=O$1,MATCH($A26&amp;"-"&amp;O$1&amp;$B26,Finals!$J$1:$J$501,0),IFERROR(MATCH($A26&amp;O$1&amp;$B26,'F Proj'!$N$1:$N$7669,0),MATCH("NA"&amp;O$1&amp;$B26,'F Proj'!$N$1:$N$7669,0)))</f>
        <v>151</v>
      </c>
      <c r="P26">
        <f>IF(Week&gt;=P$1,MATCH($A26&amp;"-"&amp;P$1&amp;$B26,Finals!$J$1:$J$501,0),IFERROR(MATCH($A26&amp;P$1&amp;$B26,'F Proj'!$N$1:$N$7669,0),MATCH("NA"&amp;P$1&amp;$B26,'F Proj'!$N$1:$N$7669,0)))</f>
        <v>50</v>
      </c>
      <c r="Q26">
        <f>IF(Week&gt;=Q$1,MATCH($A26&amp;"-"&amp;Q$1&amp;$B26,Finals!$J$1:$J$501,0),IFERROR(MATCH($A26&amp;Q$1&amp;$B26,'F Proj'!$N$1:$N$7669,0),MATCH("NA"&amp;Q$1&amp;$B26,'F Proj'!$N$1:$N$7669,0)))</f>
        <v>287</v>
      </c>
      <c r="R26">
        <f>IF(Week&gt;=R$1,MATCH($A26&amp;"-"&amp;R$1&amp;$B26,Finals!$J$1:$J$501,0),IFERROR(MATCH($A26&amp;R$1&amp;$B26,'F Proj'!$N$1:$N$7669,0),MATCH("NA"&amp;R$1&amp;$B26,'F Proj'!$N$1:$N$7669,0)))</f>
        <v>286</v>
      </c>
      <c r="S26">
        <f>IF(Week&gt;=S$1,MATCH($A26&amp;"-"&amp;S$1&amp;$B26,Finals!$J$1:$J$501,0),IFERROR(MATCH($A26&amp;S$1&amp;$B26,'F Proj'!$N$1:$N$7669,0),MATCH("NA"&amp;S$1&amp;$B26,'F Proj'!$N$1:$N$7669,0)))</f>
        <v>34</v>
      </c>
      <c r="T26">
        <f>IF(Week&gt;=C$1,INDEX(Finals!$G$1:$G$501,C26),INDEX('F Proj'!$D$1:$D$7669,C26))</f>
        <v>8</v>
      </c>
      <c r="U26">
        <f>IF(Week&gt;=D$1,INDEX(Finals!$G$1:$G$501,D26),INDEX('F Proj'!$D$1:$D$7669,D26))</f>
        <v>33.5</v>
      </c>
      <c r="V26">
        <f>IF(Week&gt;=E$1,INDEX(Finals!$G$1:$G$501,E26),INDEX('F Proj'!$D$1:$D$7669,E26))</f>
        <v>10</v>
      </c>
      <c r="W26">
        <f>IF(Week&gt;=F$1,INDEX(Finals!$G$1:$G$501,F26),INDEX('F Proj'!$D$1:$D$7669,F26))</f>
        <v>20.8</v>
      </c>
      <c r="X26">
        <f>IF(Week&gt;=G$1,INDEX(Finals!$G$1:$G$501,G26),INDEX('F Proj'!$D$1:$D$7669,G26))</f>
        <v>19.37</v>
      </c>
      <c r="Y26">
        <f>IF(Week&gt;=H$1,INDEX(Finals!$G$1:$G$501,H26),INDEX('F Proj'!$D$1:$D$7669,H26))</f>
        <v>24.06</v>
      </c>
      <c r="Z26">
        <f>IF(Week&gt;=I$1,INDEX(Finals!$G$1:$G$501,I26),INDEX('F Proj'!$D$1:$D$7669,I26))</f>
        <v>21.68</v>
      </c>
      <c r="AA26">
        <f>IF(Week&gt;=J$1,INDEX(Finals!$G$1:$G$501,J26),INDEX('F Proj'!$D$1:$D$7669,J26))</f>
        <v>17.100000000000001</v>
      </c>
      <c r="AB26">
        <f>IF(Week&gt;=K$1,INDEX(Finals!$G$1:$G$501,K26),INDEX('F Proj'!$D$1:$D$7669,K26))</f>
        <v>17.55</v>
      </c>
      <c r="AC26">
        <f>IF(Week&gt;=L$1,INDEX(Finals!$G$1:$G$501,L26),INDEX('F Proj'!$D$1:$D$7669,L26))</f>
        <v>19.170000000000002</v>
      </c>
      <c r="AD26">
        <f>IF(Week&gt;=M$1,INDEX(Finals!$G$1:$G$501,M26),INDEX('F Proj'!$D$1:$D$7669,M26))</f>
        <v>23.31</v>
      </c>
      <c r="AE26">
        <f>IF(Week&gt;=N$1,INDEX(Finals!$G$1:$G$501,N26),INDEX('F Proj'!$D$1:$D$7669,N26))</f>
        <v>22.26</v>
      </c>
      <c r="AF26">
        <f>IF(Week&gt;=O$1,INDEX(Finals!$G$1:$G$501,O26),INDEX('F Proj'!$D$1:$D$7669,O26))</f>
        <v>19.809999999999999</v>
      </c>
      <c r="AG26">
        <f>IF(Week&gt;=P$1,INDEX(Finals!$G$1:$G$501,P26),INDEX('F Proj'!$D$1:$D$7669,P26))</f>
        <v>21.8</v>
      </c>
      <c r="AH26">
        <f>IF(Week&gt;=Q$1,INDEX(Finals!$G$1:$G$501,Q26),INDEX('F Proj'!$D$1:$D$7669,Q26))</f>
        <v>17.73</v>
      </c>
      <c r="AI26">
        <f>IF(Week&gt;=R$1,INDEX(Finals!$G$1:$G$501,R26),INDEX('F Proj'!$D$1:$D$7669,R26))</f>
        <v>17.77</v>
      </c>
      <c r="AJ26">
        <f>IF(Week&gt;=S$1,INDEX(Finals!$G$1:$G$501,S26),INDEX('F Proj'!$D$1:$D$7669,S26))</f>
        <v>22.66</v>
      </c>
      <c r="AK26">
        <f>IF(Week&gt;=C$1,INDEX(Finals!$I$1:$I$501,C26),INDEX('F Proj'!$J$1:$J$7669,C26))</f>
        <v>0</v>
      </c>
      <c r="AL26">
        <f>IF(Week&gt;=D$1,INDEX(Finals!$I$1:$I$501,D26),INDEX('F Proj'!$J$1:$J$7669,D26))</f>
        <v>0</v>
      </c>
      <c r="AM26">
        <f>IF(Week&gt;=E$1,INDEX(Finals!$I$1:$I$501,E26),INDEX('F Proj'!$J$1:$J$7669,E26))</f>
        <v>0</v>
      </c>
      <c r="AN26">
        <f>IF(Week&gt;=F$1,INDEX(Finals!$I$1:$I$501,F26),INDEX('F Proj'!$J$1:$J$7669,F26))</f>
        <v>0</v>
      </c>
      <c r="AO26">
        <f>IF(Week&gt;=G$1,INDEX(Finals!$I$1:$I$501,G26),INDEX('F Proj'!$J$1:$J$7669,G26))</f>
        <v>85.008399999999995</v>
      </c>
      <c r="AP26">
        <f>IF(Week&gt;=H$1,INDEX(Finals!$I$1:$I$501,H26),INDEX('F Proj'!$J$1:$J$7669,H26))</f>
        <v>54.612099999999998</v>
      </c>
      <c r="AQ26">
        <f>IF(Week&gt;=I$1,INDEX(Finals!$I$1:$I$501,I26),INDEX('F Proj'!$J$1:$J$7669,I26))</f>
        <v>54.908099999999997</v>
      </c>
      <c r="AR26">
        <f>IF(Week&gt;=J$1,INDEX(Finals!$I$1:$I$501,J26),INDEX('F Proj'!$J$1:$J$7669,J26))</f>
        <v>47.886400000000002</v>
      </c>
      <c r="AS26">
        <f>IF(Week&gt;=K$1,INDEX(Finals!$I$1:$I$501,K26),INDEX('F Proj'!$J$1:$J$7669,K26))</f>
        <v>45.427599999999998</v>
      </c>
      <c r="AT26">
        <f>IF(Week&gt;=L$1,INDEX(Finals!$I$1:$I$501,L26),INDEX('F Proj'!$J$1:$J$7669,L26))</f>
        <v>52.852899999999998</v>
      </c>
      <c r="AU26">
        <f>IF(Week&gt;=M$1,INDEX(Finals!$I$1:$I$501,M26),INDEX('F Proj'!$J$1:$J$7669,M26))</f>
        <v>53.144100000000002</v>
      </c>
      <c r="AV26">
        <f>IF(Week&gt;=N$1,INDEX(Finals!$I$1:$I$501,N26),INDEX('F Proj'!$J$1:$J$7669,N26))</f>
        <v>55.800899999999999</v>
      </c>
      <c r="AW26">
        <f>IF(Week&gt;=O$1,INDEX(Finals!$I$1:$I$501,O26),INDEX('F Proj'!$J$1:$J$7669,O26))</f>
        <v>66.259600000000006</v>
      </c>
      <c r="AX26">
        <f>IF(Week&gt;=P$1,INDEX(Finals!$I$1:$I$501,P26),INDEX('F Proj'!$J$1:$J$7669,P26))</f>
        <v>52.128399999999999</v>
      </c>
      <c r="AY26">
        <f>IF(Week&gt;=Q$1,INDEX(Finals!$I$1:$I$501,Q26),INDEX('F Proj'!$J$1:$J$7669,Q26))</f>
        <v>40.832099999999997</v>
      </c>
      <c r="AZ26">
        <f>IF(Week&gt;=R$1,INDEX(Finals!$I$1:$I$501,R26),INDEX('F Proj'!$J$1:$J$7669,R26))</f>
        <v>42.380099999999999</v>
      </c>
      <c r="BA26">
        <f>IF(Week&gt;=S$1,INDEX(Finals!$I$1:$I$501,S26),INDEX('F Proj'!$J$1:$J$7669,S26))</f>
        <v>54.612099999999998</v>
      </c>
    </row>
    <row r="27" spans="1:53" x14ac:dyDescent="0.25">
      <c r="A27" t="s">
        <v>55</v>
      </c>
      <c r="B27" t="s">
        <v>468</v>
      </c>
      <c r="C27">
        <f>IF(Week&gt;=C$1,MATCH($A27&amp;"-"&amp;C$1&amp;$B27,Finals!$J$1:$J$501,0),IFERROR(MATCH($A27&amp;C$1&amp;$B27,'F Proj'!$N$1:$N$7669,0),MATCH("NA"&amp;C$1&amp;$B27,'F Proj'!$N$1:$N$7669,0)))</f>
        <v>35</v>
      </c>
      <c r="D27">
        <f>IF(Week&gt;=D$1,MATCH($A27&amp;"-"&amp;D$1&amp;$B27,Finals!$J$1:$J$501,0),IFERROR(MATCH($A27&amp;D$1&amp;$B27,'F Proj'!$N$1:$N$7669,0),MATCH("NA"&amp;D$1&amp;$B27,'F Proj'!$N$1:$N$7669,0)))</f>
        <v>36</v>
      </c>
      <c r="E27">
        <f>IF(Week&gt;=E$1,MATCH($A27&amp;"-"&amp;E$1&amp;$B27,Finals!$J$1:$J$501,0),IFERROR(MATCH($A27&amp;E$1&amp;$B27,'F Proj'!$N$1:$N$7669,0),MATCH("NA"&amp;E$1&amp;$B27,'F Proj'!$N$1:$N$7669,0)))</f>
        <v>37</v>
      </c>
      <c r="F27">
        <f>IF(Week&gt;=F$1,MATCH($A27&amp;"-"&amp;F$1&amp;$B27,Finals!$J$1:$J$501,0),IFERROR(MATCH($A27&amp;F$1&amp;$B27,'F Proj'!$N$1:$N$7669,0),MATCH("NA"&amp;F$1&amp;$B27,'F Proj'!$N$1:$N$7669,0)))</f>
        <v>38</v>
      </c>
      <c r="G27">
        <f>IF(Week&gt;=G$1,MATCH($A27&amp;"-"&amp;G$1&amp;$B27,Finals!$J$1:$J$501,0),IFERROR(MATCH($A27&amp;G$1&amp;$B27,'F Proj'!$N$1:$N$7669,0),MATCH("NA"&amp;G$1&amp;$B27,'F Proj'!$N$1:$N$7669,0)))</f>
        <v>174</v>
      </c>
      <c r="H27">
        <f>IF(Week&gt;=H$1,MATCH($A27&amp;"-"&amp;H$1&amp;$B27,Finals!$J$1:$J$501,0),IFERROR(MATCH($A27&amp;H$1&amp;$B27,'F Proj'!$N$1:$N$7669,0),MATCH("NA"&amp;H$1&amp;$B27,'F Proj'!$N$1:$N$7669,0)))</f>
        <v>776</v>
      </c>
      <c r="I27">
        <f>IF(Week&gt;=I$1,MATCH($A27&amp;"-"&amp;I$1&amp;$B27,Finals!$J$1:$J$501,0),IFERROR(MATCH($A27&amp;I$1&amp;$B27,'F Proj'!$N$1:$N$7669,0),MATCH("NA"&amp;I$1&amp;$B27,'F Proj'!$N$1:$N$7669,0)))</f>
        <v>810</v>
      </c>
      <c r="J27">
        <f>IF(Week&gt;=J$1,MATCH($A27&amp;"-"&amp;J$1&amp;$B27,Finals!$J$1:$J$501,0),IFERROR(MATCH($A27&amp;J$1&amp;$B27,'F Proj'!$N$1:$N$7669,0),MATCH("NA"&amp;J$1&amp;$B27,'F Proj'!$N$1:$N$7669,0)))</f>
        <v>631</v>
      </c>
      <c r="K27">
        <f>IF(Week&gt;=K$1,MATCH($A27&amp;"-"&amp;K$1&amp;$B27,Finals!$J$1:$J$501,0),IFERROR(MATCH($A27&amp;K$1&amp;$B27,'F Proj'!$N$1:$N$7669,0),MATCH("NA"&amp;K$1&amp;$B27,'F Proj'!$N$1:$N$7669,0)))</f>
        <v>580</v>
      </c>
      <c r="L27">
        <f>IF(Week&gt;=L$1,MATCH($A27&amp;"-"&amp;L$1&amp;$B27,Finals!$J$1:$J$501,0),IFERROR(MATCH($A27&amp;L$1&amp;$B27,'F Proj'!$N$1:$N$7669,0),MATCH("NA"&amp;L$1&amp;$B27,'F Proj'!$N$1:$N$7669,0)))</f>
        <v>880</v>
      </c>
      <c r="M27">
        <f>IF(Week&gt;=M$1,MATCH($A27&amp;"-"&amp;M$1&amp;$B27,Finals!$J$1:$J$501,0),IFERROR(MATCH($A27&amp;M$1&amp;$B27,'F Proj'!$N$1:$N$7669,0),MATCH("NA"&amp;M$1&amp;$B27,'F Proj'!$N$1:$N$7669,0)))</f>
        <v>913</v>
      </c>
      <c r="N27">
        <f>IF(Week&gt;=N$1,MATCH($A27&amp;"-"&amp;N$1&amp;$B27,Finals!$J$1:$J$501,0),IFERROR(MATCH($A27&amp;N$1&amp;$B27,'F Proj'!$N$1:$N$7669,0),MATCH("NA"&amp;N$1&amp;$B27,'F Proj'!$N$1:$N$7669,0)))</f>
        <v>644</v>
      </c>
      <c r="O27">
        <f>IF(Week&gt;=O$1,MATCH($A27&amp;"-"&amp;O$1&amp;$B27,Finals!$J$1:$J$501,0),IFERROR(MATCH($A27&amp;O$1&amp;$B27,'F Proj'!$N$1:$N$7669,0),MATCH("NA"&amp;O$1&amp;$B27,'F Proj'!$N$1:$N$7669,0)))</f>
        <v>673</v>
      </c>
      <c r="P27">
        <f>IF(Week&gt;=P$1,MATCH($A27&amp;"-"&amp;P$1&amp;$B27,Finals!$J$1:$J$501,0),IFERROR(MATCH($A27&amp;P$1&amp;$B27,'F Proj'!$N$1:$N$7669,0),MATCH("NA"&amp;P$1&amp;$B27,'F Proj'!$N$1:$N$7669,0)))</f>
        <v>890</v>
      </c>
      <c r="Q27">
        <f>IF(Week&gt;=Q$1,MATCH($A27&amp;"-"&amp;Q$1&amp;$B27,Finals!$J$1:$J$501,0),IFERROR(MATCH($A27&amp;Q$1&amp;$B27,'F Proj'!$N$1:$N$7669,0),MATCH("NA"&amp;Q$1&amp;$B27,'F Proj'!$N$1:$N$7669,0)))</f>
        <v>645</v>
      </c>
      <c r="R27">
        <f>IF(Week&gt;=R$1,MATCH($A27&amp;"-"&amp;R$1&amp;$B27,Finals!$J$1:$J$501,0),IFERROR(MATCH($A27&amp;R$1&amp;$B27,'F Proj'!$N$1:$N$7669,0),MATCH("NA"&amp;R$1&amp;$B27,'F Proj'!$N$1:$N$7669,0)))</f>
        <v>708</v>
      </c>
      <c r="S27">
        <f>IF(Week&gt;=S$1,MATCH($A27&amp;"-"&amp;S$1&amp;$B27,Finals!$J$1:$J$501,0),IFERROR(MATCH($A27&amp;S$1&amp;$B27,'F Proj'!$N$1:$N$7669,0),MATCH("NA"&amp;S$1&amp;$B27,'F Proj'!$N$1:$N$7669,0)))</f>
        <v>811</v>
      </c>
      <c r="T27">
        <f>IF(Week&gt;=C$1,INDEX(Finals!$G$1:$G$501,C27),INDEX('F Proj'!$D$1:$D$7669,C27))</f>
        <v>34.1</v>
      </c>
      <c r="U27">
        <f>IF(Week&gt;=D$1,INDEX(Finals!$G$1:$G$501,D27),INDEX('F Proj'!$D$1:$D$7669,D27))</f>
        <v>11.9</v>
      </c>
      <c r="V27">
        <f>IF(Week&gt;=E$1,INDEX(Finals!$G$1:$G$501,E27),INDEX('F Proj'!$D$1:$D$7669,E27))</f>
        <v>19</v>
      </c>
      <c r="W27">
        <f>IF(Week&gt;=F$1,INDEX(Finals!$G$1:$G$501,F27),INDEX('F Proj'!$D$1:$D$7669,F27))</f>
        <v>36.1</v>
      </c>
      <c r="X27">
        <f>IF(Week&gt;=G$1,INDEX(Finals!$G$1:$G$501,G27),INDEX('F Proj'!$D$1:$D$7669,G27))</f>
        <v>13.33</v>
      </c>
      <c r="Y27">
        <f>IF(Week&gt;=H$1,INDEX(Finals!$G$1:$G$501,H27),INDEX('F Proj'!$D$1:$D$7669,H27))</f>
        <v>12.33</v>
      </c>
      <c r="Z27">
        <f>IF(Week&gt;=I$1,INDEX(Finals!$G$1:$G$501,I27),INDEX('F Proj'!$D$1:$D$7669,I27))</f>
        <v>12.08</v>
      </c>
      <c r="AA27">
        <f>IF(Week&gt;=J$1,INDEX(Finals!$G$1:$G$501,J27),INDEX('F Proj'!$D$1:$D$7669,J27))</f>
        <v>13.44</v>
      </c>
      <c r="AB27">
        <f>IF(Week&gt;=K$1,INDEX(Finals!$G$1:$G$501,K27),INDEX('F Proj'!$D$1:$D$7669,K27))</f>
        <v>13.97</v>
      </c>
      <c r="AC27">
        <f>IF(Week&gt;=L$1,INDEX(Finals!$G$1:$G$501,L27),INDEX('F Proj'!$D$1:$D$7669,L27))</f>
        <v>11.37</v>
      </c>
      <c r="AD27">
        <f>IF(Week&gt;=M$1,INDEX(Finals!$G$1:$G$501,M27),INDEX('F Proj'!$D$1:$D$7669,M27))</f>
        <v>11.12</v>
      </c>
      <c r="AE27">
        <f>IF(Week&gt;=N$1,INDEX(Finals!$G$1:$G$501,N27),INDEX('F Proj'!$D$1:$D$7669,N27))</f>
        <v>13.35</v>
      </c>
      <c r="AF27">
        <f>IF(Week&gt;=O$1,INDEX(Finals!$G$1:$G$501,O27),INDEX('F Proj'!$D$1:$D$7669,O27))</f>
        <v>13.11</v>
      </c>
      <c r="AG27">
        <f>IF(Week&gt;=P$1,INDEX(Finals!$G$1:$G$501,P27),INDEX('F Proj'!$D$1:$D$7669,P27))</f>
        <v>11.32</v>
      </c>
      <c r="AH27">
        <f>IF(Week&gt;=Q$1,INDEX(Finals!$G$1:$G$501,Q27),INDEX('F Proj'!$D$1:$D$7669,Q27))</f>
        <v>13.34</v>
      </c>
      <c r="AI27">
        <f>IF(Week&gt;=R$1,INDEX(Finals!$G$1:$G$501,R27),INDEX('F Proj'!$D$1:$D$7669,R27))</f>
        <v>12.88</v>
      </c>
      <c r="AJ27">
        <f>IF(Week&gt;=S$1,INDEX(Finals!$G$1:$G$501,S27),INDEX('F Proj'!$D$1:$D$7669,S27))</f>
        <v>12.06</v>
      </c>
      <c r="AK27">
        <f>IF(Week&gt;=C$1,INDEX(Finals!$I$1:$I$501,C27),INDEX('F Proj'!$J$1:$J$7669,C27))</f>
        <v>0</v>
      </c>
      <c r="AL27">
        <f>IF(Week&gt;=D$1,INDEX(Finals!$I$1:$I$501,D27),INDEX('F Proj'!$J$1:$J$7669,D27))</f>
        <v>0</v>
      </c>
      <c r="AM27">
        <f>IF(Week&gt;=E$1,INDEX(Finals!$I$1:$I$501,E27),INDEX('F Proj'!$J$1:$J$7669,E27))</f>
        <v>0</v>
      </c>
      <c r="AN27">
        <f>IF(Week&gt;=F$1,INDEX(Finals!$I$1:$I$501,F27),INDEX('F Proj'!$J$1:$J$7669,F27))</f>
        <v>0</v>
      </c>
      <c r="AO27">
        <f>IF(Week&gt;=G$1,INDEX(Finals!$I$1:$I$501,G27),INDEX('F Proj'!$J$1:$J$7669,G27))</f>
        <v>74.995599999999996</v>
      </c>
      <c r="AP27">
        <f>IF(Week&gt;=H$1,INDEX(Finals!$I$1:$I$501,H27),INDEX('F Proj'!$J$1:$J$7669,H27))</f>
        <v>80.6404</v>
      </c>
      <c r="AQ27">
        <f>IF(Week&gt;=I$1,INDEX(Finals!$I$1:$I$501,I27),INDEX('F Proj'!$J$1:$J$7669,I27))</f>
        <v>71.740899999999996</v>
      </c>
      <c r="AR27">
        <f>IF(Week&gt;=J$1,INDEX(Finals!$I$1:$I$501,J27),INDEX('F Proj'!$J$1:$J$7669,J27))</f>
        <v>50.41</v>
      </c>
      <c r="AS27">
        <f>IF(Week&gt;=K$1,INDEX(Finals!$I$1:$I$501,K27),INDEX('F Proj'!$J$1:$J$7669,K27))</f>
        <v>49.420900000000003</v>
      </c>
      <c r="AT27">
        <f>IF(Week&gt;=L$1,INDEX(Finals!$I$1:$I$501,L27),INDEX('F Proj'!$J$1:$J$7669,L27))</f>
        <v>83.539599999999993</v>
      </c>
      <c r="AU27">
        <f>IF(Week&gt;=M$1,INDEX(Finals!$I$1:$I$501,M27),INDEX('F Proj'!$J$1:$J$7669,M27))</f>
        <v>63.680399999999999</v>
      </c>
      <c r="AV27">
        <f>IF(Week&gt;=N$1,INDEX(Finals!$I$1:$I$501,N27),INDEX('F Proj'!$J$1:$J$7669,N27))</f>
        <v>47.61</v>
      </c>
      <c r="AW27">
        <f>IF(Week&gt;=O$1,INDEX(Finals!$I$1:$I$501,O27),INDEX('F Proj'!$J$1:$J$7669,O27))</f>
        <v>55.3536</v>
      </c>
      <c r="AX27">
        <f>IF(Week&gt;=P$1,INDEX(Finals!$I$1:$I$501,P27),INDEX('F Proj'!$J$1:$J$7669,P27))</f>
        <v>58.982399999999998</v>
      </c>
      <c r="AY27">
        <f>IF(Week&gt;=Q$1,INDEX(Finals!$I$1:$I$501,Q27),INDEX('F Proj'!$J$1:$J$7669,Q27))</f>
        <v>51.696100000000001</v>
      </c>
      <c r="AZ27">
        <f>IF(Week&gt;=R$1,INDEX(Finals!$I$1:$I$501,R27),INDEX('F Proj'!$J$1:$J$7669,R27))</f>
        <v>49.420900000000003</v>
      </c>
      <c r="BA27">
        <f>IF(Week&gt;=S$1,INDEX(Finals!$I$1:$I$501,S27),INDEX('F Proj'!$J$1:$J$7669,S27))</f>
        <v>63.680399999999999</v>
      </c>
    </row>
    <row r="28" spans="1:53" x14ac:dyDescent="0.25">
      <c r="A28" t="s">
        <v>55</v>
      </c>
      <c r="B28" t="s">
        <v>469</v>
      </c>
      <c r="C28">
        <f>IF(Week&gt;=C$1,MATCH($A28&amp;"-"&amp;C$1&amp;$B28,Finals!$J$1:$J$501,0),IFERROR(MATCH($A28&amp;C$1&amp;$B28,'F Proj'!$N$1:$N$7669,0),MATCH("NA"&amp;C$1&amp;$B28,'F Proj'!$N$1:$N$7669,0)))</f>
        <v>251</v>
      </c>
      <c r="D28">
        <f>IF(Week&gt;=D$1,MATCH($A28&amp;"-"&amp;D$1&amp;$B28,Finals!$J$1:$J$501,0),IFERROR(MATCH($A28&amp;D$1&amp;$B28,'F Proj'!$N$1:$N$7669,0),MATCH("NA"&amp;D$1&amp;$B28,'F Proj'!$N$1:$N$7669,0)))</f>
        <v>171</v>
      </c>
      <c r="E28">
        <f>IF(Week&gt;=E$1,MATCH($A28&amp;"-"&amp;E$1&amp;$B28,Finals!$J$1:$J$501,0),IFERROR(MATCH($A28&amp;E$1&amp;$B28,'F Proj'!$N$1:$N$7669,0),MATCH("NA"&amp;E$1&amp;$B28,'F Proj'!$N$1:$N$7669,0)))</f>
        <v>159</v>
      </c>
      <c r="F28">
        <f>IF(Week&gt;=F$1,MATCH($A28&amp;"-"&amp;F$1&amp;$B28,Finals!$J$1:$J$501,0),IFERROR(MATCH($A28&amp;F$1&amp;$B28,'F Proj'!$N$1:$N$7669,0),MATCH("NA"&amp;F$1&amp;$B28,'F Proj'!$N$1:$N$7669,0)))</f>
        <v>160</v>
      </c>
      <c r="G28">
        <f>IF(Week&gt;=G$1,MATCH($A28&amp;"-"&amp;G$1&amp;$B28,Finals!$J$1:$J$501,0),IFERROR(MATCH($A28&amp;G$1&amp;$B28,'F Proj'!$N$1:$N$7669,0),MATCH("NA"&amp;G$1&amp;$B28,'F Proj'!$N$1:$N$7669,0)))</f>
        <v>197</v>
      </c>
      <c r="H28">
        <f>IF(Week&gt;=H$1,MATCH($A28&amp;"-"&amp;H$1&amp;$B28,Finals!$J$1:$J$501,0),IFERROR(MATCH($A28&amp;H$1&amp;$B28,'F Proj'!$N$1:$N$7669,0),MATCH("NA"&amp;H$1&amp;$B28,'F Proj'!$N$1:$N$7669,0)))</f>
        <v>815</v>
      </c>
      <c r="I28">
        <f>IF(Week&gt;=I$1,MATCH($A28&amp;"-"&amp;I$1&amp;$B28,Finals!$J$1:$J$501,0),IFERROR(MATCH($A28&amp;I$1&amp;$B28,'F Proj'!$N$1:$N$7669,0),MATCH("NA"&amp;I$1&amp;$B28,'F Proj'!$N$1:$N$7669,0)))</f>
        <v>931</v>
      </c>
      <c r="J28">
        <f>IF(Week&gt;=J$1,MATCH($A28&amp;"-"&amp;J$1&amp;$B28,Finals!$J$1:$J$501,0),IFERROR(MATCH($A28&amp;J$1&amp;$B28,'F Proj'!$N$1:$N$7669,0),MATCH("NA"&amp;J$1&amp;$B28,'F Proj'!$N$1:$N$7669,0)))</f>
        <v>654</v>
      </c>
      <c r="K28">
        <f>IF(Week&gt;=K$1,MATCH($A28&amp;"-"&amp;K$1&amp;$B28,Finals!$J$1:$J$501,0),IFERROR(MATCH($A28&amp;K$1&amp;$B28,'F Proj'!$N$1:$N$7669,0),MATCH("NA"&amp;K$1&amp;$B28,'F Proj'!$N$1:$N$7669,0)))</f>
        <v>1301</v>
      </c>
      <c r="L28">
        <f>IF(Week&gt;=L$1,MATCH($A28&amp;"-"&amp;L$1&amp;$B28,Finals!$J$1:$J$501,0),IFERROR(MATCH($A28&amp;L$1&amp;$B28,'F Proj'!$N$1:$N$7669,0),MATCH("NA"&amp;L$1&amp;$B28,'F Proj'!$N$1:$N$7669,0)))</f>
        <v>1424</v>
      </c>
      <c r="M28">
        <f>IF(Week&gt;=M$1,MATCH($A28&amp;"-"&amp;M$1&amp;$B28,Finals!$J$1:$J$501,0),IFERROR(MATCH($A28&amp;M$1&amp;$B28,'F Proj'!$N$1:$N$7669,0),MATCH("NA"&amp;M$1&amp;$B28,'F Proj'!$N$1:$N$7669,0)))</f>
        <v>1016</v>
      </c>
      <c r="N28">
        <f>IF(Week&gt;=N$1,MATCH($A28&amp;"-"&amp;N$1&amp;$B28,Finals!$J$1:$J$501,0),IFERROR(MATCH($A28&amp;N$1&amp;$B28,'F Proj'!$N$1:$N$7669,0),MATCH("NA"&amp;N$1&amp;$B28,'F Proj'!$N$1:$N$7669,0)))</f>
        <v>820</v>
      </c>
      <c r="O28">
        <f>IF(Week&gt;=O$1,MATCH($A28&amp;"-"&amp;O$1&amp;$B28,Finals!$J$1:$J$501,0),IFERROR(MATCH($A28&amp;O$1&amp;$B28,'F Proj'!$N$1:$N$7669,0),MATCH("NA"&amp;O$1&amp;$B28,'F Proj'!$N$1:$N$7669,0)))</f>
        <v>843</v>
      </c>
      <c r="P28">
        <f>IF(Week&gt;=P$1,MATCH($A28&amp;"-"&amp;P$1&amp;$B28,Finals!$J$1:$J$501,0),IFERROR(MATCH($A28&amp;P$1&amp;$B28,'F Proj'!$N$1:$N$7669,0),MATCH("NA"&amp;P$1&amp;$B28,'F Proj'!$N$1:$N$7669,0)))</f>
        <v>994</v>
      </c>
      <c r="Q28">
        <f>IF(Week&gt;=Q$1,MATCH($A28&amp;"-"&amp;Q$1&amp;$B28,Finals!$J$1:$J$501,0),IFERROR(MATCH($A28&amp;Q$1&amp;$B28,'F Proj'!$N$1:$N$7669,0),MATCH("NA"&amp;Q$1&amp;$B28,'F Proj'!$N$1:$N$7669,0)))</f>
        <v>737</v>
      </c>
      <c r="R28">
        <f>IF(Week&gt;=R$1,MATCH($A28&amp;"-"&amp;R$1&amp;$B28,Finals!$J$1:$J$501,0),IFERROR(MATCH($A28&amp;R$1&amp;$B28,'F Proj'!$N$1:$N$7669,0),MATCH("NA"&amp;R$1&amp;$B28,'F Proj'!$N$1:$N$7669,0)))</f>
        <v>925</v>
      </c>
      <c r="S28">
        <f>IF(Week&gt;=S$1,MATCH($A28&amp;"-"&amp;S$1&amp;$B28,Finals!$J$1:$J$501,0),IFERROR(MATCH($A28&amp;S$1&amp;$B28,'F Proj'!$N$1:$N$7669,0),MATCH("NA"&amp;S$1&amp;$B28,'F Proj'!$N$1:$N$7669,0)))</f>
        <v>1049</v>
      </c>
      <c r="T28">
        <f>IF(Week&gt;=C$1,INDEX(Finals!$G$1:$G$501,C28),INDEX('F Proj'!$D$1:$D$7669,C28))</f>
        <v>10.9</v>
      </c>
      <c r="U28">
        <f>IF(Week&gt;=D$1,INDEX(Finals!$G$1:$G$501,D28),INDEX('F Proj'!$D$1:$D$7669,D28))</f>
        <v>14.5</v>
      </c>
      <c r="V28">
        <f>IF(Week&gt;=E$1,INDEX(Finals!$G$1:$G$501,E28),INDEX('F Proj'!$D$1:$D$7669,E28))</f>
        <v>14.6</v>
      </c>
      <c r="W28">
        <f>IF(Week&gt;=F$1,INDEX(Finals!$G$1:$G$501,F28),INDEX('F Proj'!$D$1:$D$7669,F28))</f>
        <v>21.6</v>
      </c>
      <c r="X28">
        <f>IF(Week&gt;=G$1,INDEX(Finals!$G$1:$G$501,G28),INDEX('F Proj'!$D$1:$D$7669,G28))</f>
        <v>11.78</v>
      </c>
      <c r="Y28">
        <f>IF(Week&gt;=H$1,INDEX(Finals!$G$1:$G$501,H28),INDEX('F Proj'!$D$1:$D$7669,H28))</f>
        <v>12.02</v>
      </c>
      <c r="Z28">
        <f>IF(Week&gt;=I$1,INDEX(Finals!$G$1:$G$501,I28),INDEX('F Proj'!$D$1:$D$7669,I28))</f>
        <v>10.91</v>
      </c>
      <c r="AA28">
        <f>IF(Week&gt;=J$1,INDEX(Finals!$G$1:$G$501,J28),INDEX('F Proj'!$D$1:$D$7669,J28))</f>
        <v>13.25</v>
      </c>
      <c r="AB28">
        <f>IF(Week&gt;=K$1,INDEX(Finals!$G$1:$G$501,K28),INDEX('F Proj'!$D$1:$D$7669,K28))</f>
        <v>8.8699999999999992</v>
      </c>
      <c r="AC28">
        <f>IF(Week&gt;=L$1,INDEX(Finals!$G$1:$G$501,L28),INDEX('F Proj'!$D$1:$D$7669,L28))</f>
        <v>8.3699999999999992</v>
      </c>
      <c r="AD28">
        <f>IF(Week&gt;=M$1,INDEX(Finals!$G$1:$G$501,M28),INDEX('F Proj'!$D$1:$D$7669,M28))</f>
        <v>10.32</v>
      </c>
      <c r="AE28">
        <f>IF(Week&gt;=N$1,INDEX(Finals!$G$1:$G$501,N28),INDEX('F Proj'!$D$1:$D$7669,N28))</f>
        <v>11.97</v>
      </c>
      <c r="AF28">
        <f>IF(Week&gt;=O$1,INDEX(Finals!$G$1:$G$501,O28),INDEX('F Proj'!$D$1:$D$7669,O28))</f>
        <v>11.75</v>
      </c>
      <c r="AG28">
        <f>IF(Week&gt;=P$1,INDEX(Finals!$G$1:$G$501,P28),INDEX('F Proj'!$D$1:$D$7669,P28))</f>
        <v>10.45</v>
      </c>
      <c r="AH28">
        <f>IF(Week&gt;=Q$1,INDEX(Finals!$G$1:$G$501,Q28),INDEX('F Proj'!$D$1:$D$7669,Q28))</f>
        <v>12.68</v>
      </c>
      <c r="AI28">
        <f>IF(Week&gt;=R$1,INDEX(Finals!$G$1:$G$501,R28),INDEX('F Proj'!$D$1:$D$7669,R28))</f>
        <v>10.95</v>
      </c>
      <c r="AJ28">
        <f>IF(Week&gt;=S$1,INDEX(Finals!$G$1:$G$501,S28),INDEX('F Proj'!$D$1:$D$7669,S28))</f>
        <v>10.119999999999999</v>
      </c>
      <c r="AK28">
        <f>IF(Week&gt;=C$1,INDEX(Finals!$I$1:$I$501,C28),INDEX('F Proj'!$J$1:$J$7669,C28))</f>
        <v>0</v>
      </c>
      <c r="AL28">
        <f>IF(Week&gt;=D$1,INDEX(Finals!$I$1:$I$501,D28),INDEX('F Proj'!$J$1:$J$7669,D28))</f>
        <v>0</v>
      </c>
      <c r="AM28">
        <f>IF(Week&gt;=E$1,INDEX(Finals!$I$1:$I$501,E28),INDEX('F Proj'!$J$1:$J$7669,E28))</f>
        <v>0</v>
      </c>
      <c r="AN28">
        <f>IF(Week&gt;=F$1,INDEX(Finals!$I$1:$I$501,F28),INDEX('F Proj'!$J$1:$J$7669,F28))</f>
        <v>0</v>
      </c>
      <c r="AO28">
        <f>IF(Week&gt;=G$1,INDEX(Finals!$I$1:$I$501,G28),INDEX('F Proj'!$J$1:$J$7669,G28))</f>
        <v>239.32089999999999</v>
      </c>
      <c r="AP28">
        <f>IF(Week&gt;=H$1,INDEX(Finals!$I$1:$I$501,H28),INDEX('F Proj'!$J$1:$J$7669,H28))</f>
        <v>65.61</v>
      </c>
      <c r="AQ28">
        <f>IF(Week&gt;=I$1,INDEX(Finals!$I$1:$I$501,I28),INDEX('F Proj'!$J$1:$J$7669,I28))</f>
        <v>58.828899999999997</v>
      </c>
      <c r="AR28">
        <f>IF(Week&gt;=J$1,INDEX(Finals!$I$1:$I$501,J28),INDEX('F Proj'!$J$1:$J$7669,J28))</f>
        <v>78.145600000000002</v>
      </c>
      <c r="AS28">
        <f>IF(Week&gt;=K$1,INDEX(Finals!$I$1:$I$501,K28),INDEX('F Proj'!$J$1:$J$7669,K28))</f>
        <v>33.4084</v>
      </c>
      <c r="AT28">
        <f>IF(Week&gt;=L$1,INDEX(Finals!$I$1:$I$501,L28),INDEX('F Proj'!$J$1:$J$7669,L28))</f>
        <v>22.657599999999999</v>
      </c>
      <c r="AU28">
        <f>IF(Week&gt;=M$1,INDEX(Finals!$I$1:$I$501,M28),INDEX('F Proj'!$J$1:$J$7669,M28))</f>
        <v>79.923599999999993</v>
      </c>
      <c r="AV28">
        <f>IF(Week&gt;=N$1,INDEX(Finals!$I$1:$I$501,N28),INDEX('F Proj'!$J$1:$J$7669,N28))</f>
        <v>75.69</v>
      </c>
      <c r="AW28">
        <f>IF(Week&gt;=O$1,INDEX(Finals!$I$1:$I$501,O28),INDEX('F Proj'!$J$1:$J$7669,O28))</f>
        <v>60.528399999999998</v>
      </c>
      <c r="AX28">
        <f>IF(Week&gt;=P$1,INDEX(Finals!$I$1:$I$501,P28),INDEX('F Proj'!$J$1:$J$7669,P28))</f>
        <v>81.540899999999993</v>
      </c>
      <c r="AY28">
        <f>IF(Week&gt;=Q$1,INDEX(Finals!$I$1:$I$501,Q28),INDEX('F Proj'!$J$1:$J$7669,Q28))</f>
        <v>68.227599999999995</v>
      </c>
      <c r="AZ28">
        <f>IF(Week&gt;=R$1,INDEX(Finals!$I$1:$I$501,R28),INDEX('F Proj'!$J$1:$J$7669,R28))</f>
        <v>75.69</v>
      </c>
      <c r="BA28">
        <f>IF(Week&gt;=S$1,INDEX(Finals!$I$1:$I$501,S28),INDEX('F Proj'!$J$1:$J$7669,S28))</f>
        <v>68.0625</v>
      </c>
    </row>
    <row r="29" spans="1:53" x14ac:dyDescent="0.25">
      <c r="A29" t="s">
        <v>55</v>
      </c>
      <c r="B29" t="s">
        <v>470</v>
      </c>
      <c r="C29" t="e">
        <f>IF(Week&gt;=C$1,MATCH($A29&amp;"-"&amp;C$1&amp;$B29,Finals!$J$1:$J$501,0),IFERROR(MATCH($A29&amp;C$1&amp;$B29,'F Proj'!$N$1:$N$7669,0),MATCH("NA"&amp;C$1&amp;$B29,'F Proj'!$N$1:$N$7669,0)))</f>
        <v>#N/A</v>
      </c>
      <c r="D29" t="e">
        <f>IF(Week&gt;=D$1,MATCH($A29&amp;"-"&amp;D$1&amp;$B29,Finals!$J$1:$J$501,0),IFERROR(MATCH($A29&amp;D$1&amp;$B29,'F Proj'!$N$1:$N$7669,0),MATCH("NA"&amp;D$1&amp;$B29,'F Proj'!$N$1:$N$7669,0)))</f>
        <v>#N/A</v>
      </c>
      <c r="E29" t="e">
        <f>IF(Week&gt;=E$1,MATCH($A29&amp;"-"&amp;E$1&amp;$B29,Finals!$J$1:$J$501,0),IFERROR(MATCH($A29&amp;E$1&amp;$B29,'F Proj'!$N$1:$N$7669,0),MATCH("NA"&amp;E$1&amp;$B29,'F Proj'!$N$1:$N$7669,0)))</f>
        <v>#N/A</v>
      </c>
      <c r="F29" t="e">
        <f>IF(Week&gt;=F$1,MATCH($A29&amp;"-"&amp;F$1&amp;$B29,Finals!$J$1:$J$501,0),IFERROR(MATCH($A29&amp;F$1&amp;$B29,'F Proj'!$N$1:$N$7669,0),MATCH("NA"&amp;F$1&amp;$B29,'F Proj'!$N$1:$N$7669,0)))</f>
        <v>#N/A</v>
      </c>
      <c r="G29" t="e">
        <f>IF(Week&gt;=G$1,MATCH($A29&amp;"-"&amp;G$1&amp;$B29,Finals!$J$1:$J$501,0),IFERROR(MATCH($A29&amp;G$1&amp;$B29,'F Proj'!$N$1:$N$7669,0),MATCH("NA"&amp;G$1&amp;$B29,'F Proj'!$N$1:$N$7669,0)))</f>
        <v>#N/A</v>
      </c>
      <c r="H29">
        <f>IF(Week&gt;=H$1,MATCH($A29&amp;"-"&amp;H$1&amp;$B29,Finals!$J$1:$J$501,0),IFERROR(MATCH($A29&amp;H$1&amp;$B29,'F Proj'!$N$1:$N$7669,0),MATCH("NA"&amp;H$1&amp;$B29,'F Proj'!$N$1:$N$7669,0)))</f>
        <v>867</v>
      </c>
      <c r="I29">
        <f>IF(Week&gt;=I$1,MATCH($A29&amp;"-"&amp;I$1&amp;$B29,Finals!$J$1:$J$501,0),IFERROR(MATCH($A29&amp;I$1&amp;$B29,'F Proj'!$N$1:$N$7669,0),MATCH("NA"&amp;I$1&amp;$B29,'F Proj'!$N$1:$N$7669,0)))</f>
        <v>1455</v>
      </c>
      <c r="J29">
        <f>IF(Week&gt;=J$1,MATCH($A29&amp;"-"&amp;J$1&amp;$B29,Finals!$J$1:$J$501,0),IFERROR(MATCH($A29&amp;J$1&amp;$B29,'F Proj'!$N$1:$N$7669,0),MATCH("NA"&amp;J$1&amp;$B29,'F Proj'!$N$1:$N$7669,0)))</f>
        <v>1293</v>
      </c>
      <c r="K29">
        <f>IF(Week&gt;=K$1,MATCH($A29&amp;"-"&amp;K$1&amp;$B29,Finals!$J$1:$J$501,0),IFERROR(MATCH($A29&amp;K$1&amp;$B29,'F Proj'!$N$1:$N$7669,0),MATCH("NA"&amp;K$1&amp;$B29,'F Proj'!$N$1:$N$7669,0)))</f>
        <v>1861</v>
      </c>
      <c r="L29">
        <f>IF(Week&gt;=L$1,MATCH($A29&amp;"-"&amp;L$1&amp;$B29,Finals!$J$1:$J$501,0),IFERROR(MATCH($A29&amp;L$1&amp;$B29,'F Proj'!$N$1:$N$7669,0),MATCH("NA"&amp;L$1&amp;$B29,'F Proj'!$N$1:$N$7669,0)))</f>
        <v>1512</v>
      </c>
      <c r="M29">
        <f>IF(Week&gt;=M$1,MATCH($A29&amp;"-"&amp;M$1&amp;$B29,Finals!$J$1:$J$501,0),IFERROR(MATCH($A29&amp;M$1&amp;$B29,'F Proj'!$N$1:$N$7669,0),MATCH("NA"&amp;M$1&amp;$B29,'F Proj'!$N$1:$N$7669,0)))</f>
        <v>1986</v>
      </c>
      <c r="N29">
        <f>IF(Week&gt;=N$1,MATCH($A29&amp;"-"&amp;N$1&amp;$B29,Finals!$J$1:$J$501,0),IFERROR(MATCH($A29&amp;N$1&amp;$B29,'F Proj'!$N$1:$N$7669,0),MATCH("NA"&amp;N$1&amp;$B29,'F Proj'!$N$1:$N$7669,0)))</f>
        <v>1737</v>
      </c>
      <c r="O29">
        <f>IF(Week&gt;=O$1,MATCH($A29&amp;"-"&amp;O$1&amp;$B29,Finals!$J$1:$J$501,0),IFERROR(MATCH($A29&amp;O$1&amp;$B29,'F Proj'!$N$1:$N$7669,0),MATCH("NA"&amp;O$1&amp;$B29,'F Proj'!$N$1:$N$7669,0)))</f>
        <v>1278</v>
      </c>
      <c r="P29">
        <f>IF(Week&gt;=P$1,MATCH($A29&amp;"-"&amp;P$1&amp;$B29,Finals!$J$1:$J$501,0),IFERROR(MATCH($A29&amp;P$1&amp;$B29,'F Proj'!$N$1:$N$7669,0),MATCH("NA"&amp;P$1&amp;$B29,'F Proj'!$N$1:$N$7669,0)))</f>
        <v>1325</v>
      </c>
      <c r="Q29">
        <f>IF(Week&gt;=Q$1,MATCH($A29&amp;"-"&amp;Q$1&amp;$B29,Finals!$J$1:$J$501,0),IFERROR(MATCH($A29&amp;Q$1&amp;$B29,'F Proj'!$N$1:$N$7669,0),MATCH("NA"&amp;Q$1&amp;$B29,'F Proj'!$N$1:$N$7669,0)))</f>
        <v>1226</v>
      </c>
      <c r="R29">
        <f>IF(Week&gt;=R$1,MATCH($A29&amp;"-"&amp;R$1&amp;$B29,Finals!$J$1:$J$501,0),IFERROR(MATCH($A29&amp;R$1&amp;$B29,'F Proj'!$N$1:$N$7669,0),MATCH("NA"&amp;R$1&amp;$B29,'F Proj'!$N$1:$N$7669,0)))</f>
        <v>1420</v>
      </c>
      <c r="S29">
        <f>IF(Week&gt;=S$1,MATCH($A29&amp;"-"&amp;S$1&amp;$B29,Finals!$J$1:$J$501,0),IFERROR(MATCH($A29&amp;S$1&amp;$B29,'F Proj'!$N$1:$N$7669,0),MATCH("NA"&amp;S$1&amp;$B29,'F Proj'!$N$1:$N$7669,0)))</f>
        <v>1155</v>
      </c>
    </row>
    <row r="30" spans="1:53" x14ac:dyDescent="0.25">
      <c r="A30" t="s">
        <v>55</v>
      </c>
      <c r="B30" t="s">
        <v>471</v>
      </c>
      <c r="C30">
        <f>IF(Week&gt;=C$1,MATCH($A30&amp;"-"&amp;C$1&amp;$B30,Finals!$J$1:$J$501,0),IFERROR(MATCH($A30&amp;C$1&amp;$B30,'F Proj'!$N$1:$N$7669,0),MATCH("NA"&amp;C$1&amp;$B30,'F Proj'!$N$1:$N$7669,0)))</f>
        <v>108</v>
      </c>
      <c r="D30">
        <f>IF(Week&gt;=D$1,MATCH($A30&amp;"-"&amp;D$1&amp;$B30,Finals!$J$1:$J$501,0),IFERROR(MATCH($A30&amp;D$1&amp;$B30,'F Proj'!$N$1:$N$7669,0),MATCH("NA"&amp;D$1&amp;$B30,'F Proj'!$N$1:$N$7669,0)))</f>
        <v>109</v>
      </c>
      <c r="E30">
        <f>IF(Week&gt;=E$1,MATCH($A30&amp;"-"&amp;E$1&amp;$B30,Finals!$J$1:$J$501,0),IFERROR(MATCH($A30&amp;E$1&amp;$B30,'F Proj'!$N$1:$N$7669,0),MATCH("NA"&amp;E$1&amp;$B30,'F Proj'!$N$1:$N$7669,0)))</f>
        <v>110</v>
      </c>
      <c r="F30">
        <f>IF(Week&gt;=F$1,MATCH($A30&amp;"-"&amp;F$1&amp;$B30,Finals!$J$1:$J$501,0),IFERROR(MATCH($A30&amp;F$1&amp;$B30,'F Proj'!$N$1:$N$7669,0),MATCH("NA"&amp;F$1&amp;$B30,'F Proj'!$N$1:$N$7669,0)))</f>
        <v>111</v>
      </c>
      <c r="G30">
        <f>IF(Week&gt;=G$1,MATCH($A30&amp;"-"&amp;G$1&amp;$B30,Finals!$J$1:$J$501,0),IFERROR(MATCH($A30&amp;G$1&amp;$B30,'F Proj'!$N$1:$N$7669,0),MATCH("NA"&amp;G$1&amp;$B30,'F Proj'!$N$1:$N$7669,0)))</f>
        <v>112</v>
      </c>
      <c r="H30">
        <f>IF(Week&gt;=H$1,MATCH($A30&amp;"-"&amp;H$1&amp;$B30,Finals!$J$1:$J$501,0),IFERROR(MATCH($A30&amp;H$1&amp;$B30,'F Proj'!$N$1:$N$7669,0),MATCH("NA"&amp;H$1&amp;$B30,'F Proj'!$N$1:$N$7669,0)))</f>
        <v>657</v>
      </c>
      <c r="I30">
        <f>IF(Week&gt;=I$1,MATCH($A30&amp;"-"&amp;I$1&amp;$B30,Finals!$J$1:$J$501,0),IFERROR(MATCH($A30&amp;I$1&amp;$B30,'F Proj'!$N$1:$N$7669,0),MATCH("NA"&amp;I$1&amp;$B30,'F Proj'!$N$1:$N$7669,0)))</f>
        <v>837</v>
      </c>
      <c r="J30">
        <f>IF(Week&gt;=J$1,MATCH($A30&amp;"-"&amp;J$1&amp;$B30,Finals!$J$1:$J$501,0),IFERROR(MATCH($A30&amp;J$1&amp;$B30,'F Proj'!$N$1:$N$7669,0),MATCH("NA"&amp;J$1&amp;$B30,'F Proj'!$N$1:$N$7669,0)))</f>
        <v>462</v>
      </c>
      <c r="K30">
        <f>IF(Week&gt;=K$1,MATCH($A30&amp;"-"&amp;K$1&amp;$B30,Finals!$J$1:$J$501,0),IFERROR(MATCH($A30&amp;K$1&amp;$B30,'F Proj'!$N$1:$N$7669,0),MATCH("NA"&amp;K$1&amp;$B30,'F Proj'!$N$1:$N$7669,0)))</f>
        <v>877</v>
      </c>
      <c r="L30">
        <f>IF(Week&gt;=L$1,MATCH($A30&amp;"-"&amp;L$1&amp;$B30,Finals!$J$1:$J$501,0),IFERROR(MATCH($A30&amp;L$1&amp;$B30,'F Proj'!$N$1:$N$7669,0),MATCH("NA"&amp;L$1&amp;$B30,'F Proj'!$N$1:$N$7669,0)))</f>
        <v>904</v>
      </c>
      <c r="M30">
        <f>IF(Week&gt;=M$1,MATCH($A30&amp;"-"&amp;M$1&amp;$B30,Finals!$J$1:$J$501,0),IFERROR(MATCH($A30&amp;M$1&amp;$B30,'F Proj'!$N$1:$N$7669,0),MATCH("NA"&amp;M$1&amp;$B30,'F Proj'!$N$1:$N$7669,0)))</f>
        <v>592</v>
      </c>
      <c r="N30">
        <f>IF(Week&gt;=N$1,MATCH($A30&amp;"-"&amp;N$1&amp;$B30,Finals!$J$1:$J$501,0),IFERROR(MATCH($A30&amp;N$1&amp;$B30,'F Proj'!$N$1:$N$7669,0),MATCH("NA"&amp;N$1&amp;$B30,'F Proj'!$N$1:$N$7669,0)))</f>
        <v>526</v>
      </c>
      <c r="O30">
        <f>IF(Week&gt;=O$1,MATCH($A30&amp;"-"&amp;O$1&amp;$B30,Finals!$J$1:$J$501,0),IFERROR(MATCH($A30&amp;O$1&amp;$B30,'F Proj'!$N$1:$N$7669,0),MATCH("NA"&amp;O$1&amp;$B30,'F Proj'!$N$1:$N$7669,0)))</f>
        <v>629</v>
      </c>
      <c r="P30">
        <f>IF(Week&gt;=P$1,MATCH($A30&amp;"-"&amp;P$1&amp;$B30,Finals!$J$1:$J$501,0),IFERROR(MATCH($A30&amp;P$1&amp;$B30,'F Proj'!$N$1:$N$7669,0),MATCH("NA"&amp;P$1&amp;$B30,'F Proj'!$N$1:$N$7669,0)))</f>
        <v>433</v>
      </c>
      <c r="Q30">
        <f>IF(Week&gt;=Q$1,MATCH($A30&amp;"-"&amp;Q$1&amp;$B30,Finals!$J$1:$J$501,0),IFERROR(MATCH($A30&amp;Q$1&amp;$B30,'F Proj'!$N$1:$N$7669,0),MATCH("NA"&amp;Q$1&amp;$B30,'F Proj'!$N$1:$N$7669,0)))</f>
        <v>757</v>
      </c>
      <c r="R30">
        <f>IF(Week&gt;=R$1,MATCH($A30&amp;"-"&amp;R$1&amp;$B30,Finals!$J$1:$J$501,0),IFERROR(MATCH($A30&amp;R$1&amp;$B30,'F Proj'!$N$1:$N$7669,0),MATCH("NA"&amp;R$1&amp;$B30,'F Proj'!$N$1:$N$7669,0)))</f>
        <v>755</v>
      </c>
      <c r="S30">
        <f>IF(Week&gt;=S$1,MATCH($A30&amp;"-"&amp;S$1&amp;$B30,Finals!$J$1:$J$501,0),IFERROR(MATCH($A30&amp;S$1&amp;$B30,'F Proj'!$N$1:$N$7669,0),MATCH("NA"&amp;S$1&amp;$B30,'F Proj'!$N$1:$N$7669,0)))</f>
        <v>809</v>
      </c>
      <c r="T30">
        <f>IF(Week&gt;=C$1,INDEX(Finals!$G$1:$G$501,C30),INDEX('F Proj'!$D$1:$D$7669,C30))</f>
        <v>7.1</v>
      </c>
      <c r="U30">
        <f>IF(Week&gt;=D$1,INDEX(Finals!$G$1:$G$501,D30),INDEX('F Proj'!$D$1:$D$7669,D30))</f>
        <v>17</v>
      </c>
      <c r="V30">
        <f>IF(Week&gt;=E$1,INDEX(Finals!$G$1:$G$501,E30),INDEX('F Proj'!$D$1:$D$7669,E30))</f>
        <v>8.6</v>
      </c>
      <c r="W30">
        <f>IF(Week&gt;=F$1,INDEX(Finals!$G$1:$G$501,F30),INDEX('F Proj'!$D$1:$D$7669,F30))</f>
        <v>22.9</v>
      </c>
      <c r="X30">
        <f>IF(Week&gt;=G$1,INDEX(Finals!$G$1:$G$501,G30),INDEX('F Proj'!$D$1:$D$7669,G30))</f>
        <v>15.31</v>
      </c>
      <c r="Y30">
        <f>IF(Week&gt;=H$1,INDEX(Finals!$G$1:$G$501,H30),INDEX('F Proj'!$D$1:$D$7669,H30))</f>
        <v>13.24</v>
      </c>
      <c r="Z30">
        <f>IF(Week&gt;=I$1,INDEX(Finals!$G$1:$G$501,I30),INDEX('F Proj'!$D$1:$D$7669,I30))</f>
        <v>11.79</v>
      </c>
      <c r="AA30">
        <f>IF(Week&gt;=J$1,INDEX(Finals!$G$1:$G$501,J30),INDEX('F Proj'!$D$1:$D$7669,J30))</f>
        <v>15.28</v>
      </c>
      <c r="AB30">
        <f>IF(Week&gt;=K$1,INDEX(Finals!$G$1:$G$501,K30),INDEX('F Proj'!$D$1:$D$7669,K30))</f>
        <v>11.42</v>
      </c>
      <c r="AC30">
        <f>IF(Week&gt;=L$1,INDEX(Finals!$G$1:$G$501,L30),INDEX('F Proj'!$D$1:$D$7669,L30))</f>
        <v>11.2</v>
      </c>
      <c r="AD30">
        <f>IF(Week&gt;=M$1,INDEX(Finals!$G$1:$G$501,M30),INDEX('F Proj'!$D$1:$D$7669,M30))</f>
        <v>13.79</v>
      </c>
      <c r="AE30">
        <f>IF(Week&gt;=N$1,INDEX(Finals!$G$1:$G$501,N30),INDEX('F Proj'!$D$1:$D$7669,N30))</f>
        <v>14.49</v>
      </c>
      <c r="AF30">
        <f>IF(Week&gt;=O$1,INDEX(Finals!$G$1:$G$501,O30),INDEX('F Proj'!$D$1:$D$7669,O30))</f>
        <v>13.47</v>
      </c>
      <c r="AG30">
        <f>IF(Week&gt;=P$1,INDEX(Finals!$G$1:$G$501,P30),INDEX('F Proj'!$D$1:$D$7669,P30))</f>
        <v>15.6</v>
      </c>
      <c r="AH30">
        <f>IF(Week&gt;=Q$1,INDEX(Finals!$G$1:$G$501,Q30),INDEX('F Proj'!$D$1:$D$7669,Q30))</f>
        <v>12.47</v>
      </c>
      <c r="AI30">
        <f>IF(Week&gt;=R$1,INDEX(Finals!$G$1:$G$501,R30),INDEX('F Proj'!$D$1:$D$7669,R30))</f>
        <v>12.49</v>
      </c>
      <c r="AJ30">
        <f>IF(Week&gt;=S$1,INDEX(Finals!$G$1:$G$501,S30),INDEX('F Proj'!$D$1:$D$7669,S30))</f>
        <v>12.08</v>
      </c>
      <c r="AK30">
        <f>IF(Week&gt;=C$1,INDEX(Finals!$I$1:$I$501,C30),INDEX('F Proj'!$J$1:$J$7669,C30))</f>
        <v>0</v>
      </c>
      <c r="AL30">
        <f>IF(Week&gt;=D$1,INDEX(Finals!$I$1:$I$501,D30),INDEX('F Proj'!$J$1:$J$7669,D30))</f>
        <v>0</v>
      </c>
      <c r="AM30">
        <f>IF(Week&gt;=E$1,INDEX(Finals!$I$1:$I$501,E30),INDEX('F Proj'!$J$1:$J$7669,E30))</f>
        <v>0</v>
      </c>
      <c r="AN30">
        <f>IF(Week&gt;=F$1,INDEX(Finals!$I$1:$I$501,F30),INDEX('F Proj'!$J$1:$J$7669,F30))</f>
        <v>0</v>
      </c>
      <c r="AO30">
        <f>IF(Week&gt;=G$1,INDEX(Finals!$I$1:$I$501,G30),INDEX('F Proj'!$J$1:$J$7669,G30))</f>
        <v>54.464399999999998</v>
      </c>
      <c r="AP30">
        <f>IF(Week&gt;=H$1,INDEX(Finals!$I$1:$I$501,H30),INDEX('F Proj'!$J$1:$J$7669,H30))</f>
        <v>58.982399999999998</v>
      </c>
      <c r="AQ30">
        <f>IF(Week&gt;=I$1,INDEX(Finals!$I$1:$I$501,I30),INDEX('F Proj'!$J$1:$J$7669,I30))</f>
        <v>38.316099999999999</v>
      </c>
      <c r="AR30">
        <f>IF(Week&gt;=J$1,INDEX(Finals!$I$1:$I$501,J30),INDEX('F Proj'!$J$1:$J$7669,J30))</f>
        <v>63.043599999999998</v>
      </c>
      <c r="AS30">
        <f>IF(Week&gt;=K$1,INDEX(Finals!$I$1:$I$501,K30),INDEX('F Proj'!$J$1:$J$7669,K30))</f>
        <v>35.640900000000002</v>
      </c>
      <c r="AT30">
        <f>IF(Week&gt;=L$1,INDEX(Finals!$I$1:$I$501,L30),INDEX('F Proj'!$J$1:$J$7669,L30))</f>
        <v>43.824399999999997</v>
      </c>
      <c r="AU30">
        <f>IF(Week&gt;=M$1,INDEX(Finals!$I$1:$I$501,M30),INDEX('F Proj'!$J$1:$J$7669,M30))</f>
        <v>60.217599999999997</v>
      </c>
      <c r="AV30">
        <f>IF(Week&gt;=N$1,INDEX(Finals!$I$1:$I$501,N30),INDEX('F Proj'!$J$1:$J$7669,N30))</f>
        <v>67.732900000000001</v>
      </c>
      <c r="AW30">
        <f>IF(Week&gt;=O$1,INDEX(Finals!$I$1:$I$501,O30),INDEX('F Proj'!$J$1:$J$7669,O30))</f>
        <v>49.984900000000003</v>
      </c>
      <c r="AX30">
        <f>IF(Week&gt;=P$1,INDEX(Finals!$I$1:$I$501,P30),INDEX('F Proj'!$J$1:$J$7669,P30))</f>
        <v>56.851599999999998</v>
      </c>
      <c r="AY30">
        <f>IF(Week&gt;=Q$1,INDEX(Finals!$I$1:$I$501,Q30),INDEX('F Proj'!$J$1:$J$7669,Q30))</f>
        <v>41.2164</v>
      </c>
      <c r="AZ30">
        <f>IF(Week&gt;=R$1,INDEX(Finals!$I$1:$I$501,R30),INDEX('F Proj'!$J$1:$J$7669,R30))</f>
        <v>45.292900000000003</v>
      </c>
      <c r="BA30">
        <f>IF(Week&gt;=S$1,INDEX(Finals!$I$1:$I$501,S30),INDEX('F Proj'!$J$1:$J$7669,S30))</f>
        <v>38.316099999999999</v>
      </c>
    </row>
    <row r="31" spans="1:53" x14ac:dyDescent="0.25">
      <c r="A31" t="s">
        <v>55</v>
      </c>
      <c r="B31" t="s">
        <v>472</v>
      </c>
      <c r="C31">
        <f>IF(Week&gt;=C$1,MATCH($A31&amp;"-"&amp;C$1&amp;$B31,Finals!$J$1:$J$501,0),IFERROR(MATCH($A31&amp;C$1&amp;$B31,'F Proj'!$N$1:$N$7669,0),MATCH("NA"&amp;C$1&amp;$B31,'F Proj'!$N$1:$N$7669,0)))</f>
        <v>291</v>
      </c>
      <c r="D31">
        <f>IF(Week&gt;=D$1,MATCH($A31&amp;"-"&amp;D$1&amp;$B31,Finals!$J$1:$J$501,0),IFERROR(MATCH($A31&amp;D$1&amp;$B31,'F Proj'!$N$1:$N$7669,0),MATCH("NA"&amp;D$1&amp;$B31,'F Proj'!$N$1:$N$7669,0)))</f>
        <v>292</v>
      </c>
      <c r="E31">
        <f>IF(Week&gt;=E$1,MATCH($A31&amp;"-"&amp;E$1&amp;$B31,Finals!$J$1:$J$501,0),IFERROR(MATCH($A31&amp;E$1&amp;$B31,'F Proj'!$N$1:$N$7669,0),MATCH("NA"&amp;E$1&amp;$B31,'F Proj'!$N$1:$N$7669,0)))</f>
        <v>293</v>
      </c>
      <c r="F31">
        <f>IF(Week&gt;=F$1,MATCH($A31&amp;"-"&amp;F$1&amp;$B31,Finals!$J$1:$J$501,0),IFERROR(MATCH($A31&amp;F$1&amp;$B31,'F Proj'!$N$1:$N$7669,0),MATCH("NA"&amp;F$1&amp;$B31,'F Proj'!$N$1:$N$7669,0)))</f>
        <v>294</v>
      </c>
      <c r="G31">
        <f>IF(Week&gt;=G$1,MATCH($A31&amp;"-"&amp;G$1&amp;$B31,Finals!$J$1:$J$501,0),IFERROR(MATCH($A31&amp;G$1&amp;$B31,'F Proj'!$N$1:$N$7669,0),MATCH("NA"&amp;G$1&amp;$B31,'F Proj'!$N$1:$N$7669,0)))</f>
        <v>354</v>
      </c>
      <c r="H31">
        <f>IF(Week&gt;=H$1,MATCH($A31&amp;"-"&amp;H$1&amp;$B31,Finals!$J$1:$J$501,0),IFERROR(MATCH($A31&amp;H$1&amp;$B31,'F Proj'!$N$1:$N$7669,0),MATCH("NA"&amp;H$1&amp;$B31,'F Proj'!$N$1:$N$7669,0)))</f>
        <v>864</v>
      </c>
      <c r="I31">
        <f>IF(Week&gt;=I$1,MATCH($A31&amp;"-"&amp;I$1&amp;$B31,Finals!$J$1:$J$501,0),IFERROR(MATCH($A31&amp;I$1&amp;$B31,'F Proj'!$N$1:$N$7669,0),MATCH("NA"&amp;I$1&amp;$B31,'F Proj'!$N$1:$N$7669,0)))</f>
        <v>869</v>
      </c>
      <c r="J31">
        <f>IF(Week&gt;=J$1,MATCH($A31&amp;"-"&amp;J$1&amp;$B31,Finals!$J$1:$J$501,0),IFERROR(MATCH($A31&amp;J$1&amp;$B31,'F Proj'!$N$1:$N$7669,0),MATCH("NA"&amp;J$1&amp;$B31,'F Proj'!$N$1:$N$7669,0)))</f>
        <v>902</v>
      </c>
      <c r="K31">
        <f>IF(Week&gt;=K$1,MATCH($A31&amp;"-"&amp;K$1&amp;$B31,Finals!$J$1:$J$501,0),IFERROR(MATCH($A31&amp;K$1&amp;$B31,'F Proj'!$N$1:$N$7669,0),MATCH("NA"&amp;K$1&amp;$B31,'F Proj'!$N$1:$N$7669,0)))</f>
        <v>914</v>
      </c>
      <c r="L31">
        <f>IF(Week&gt;=L$1,MATCH($A31&amp;"-"&amp;L$1&amp;$B31,Finals!$J$1:$J$501,0),IFERROR(MATCH($A31&amp;L$1&amp;$B31,'F Proj'!$N$1:$N$7669,0),MATCH("NA"&amp;L$1&amp;$B31,'F Proj'!$N$1:$N$7669,0)))</f>
        <v>972</v>
      </c>
      <c r="M31">
        <f>IF(Week&gt;=M$1,MATCH($A31&amp;"-"&amp;M$1&amp;$B31,Finals!$J$1:$J$501,0),IFERROR(MATCH($A31&amp;M$1&amp;$B31,'F Proj'!$N$1:$N$7669,0),MATCH("NA"&amp;M$1&amp;$B31,'F Proj'!$N$1:$N$7669,0)))</f>
        <v>1040</v>
      </c>
      <c r="N31">
        <f>IF(Week&gt;=N$1,MATCH($A31&amp;"-"&amp;N$1&amp;$B31,Finals!$J$1:$J$501,0),IFERROR(MATCH($A31&amp;N$1&amp;$B31,'F Proj'!$N$1:$N$7669,0),MATCH("NA"&amp;N$1&amp;$B31,'F Proj'!$N$1:$N$7669,0)))</f>
        <v>712</v>
      </c>
      <c r="O31">
        <f>IF(Week&gt;=O$1,MATCH($A31&amp;"-"&amp;O$1&amp;$B31,Finals!$J$1:$J$501,0),IFERROR(MATCH($A31&amp;O$1&amp;$B31,'F Proj'!$N$1:$N$7669,0),MATCH("NA"&amp;O$1&amp;$B31,'F Proj'!$N$1:$N$7669,0)))</f>
        <v>928</v>
      </c>
      <c r="P31">
        <f>IF(Week&gt;=P$1,MATCH($A31&amp;"-"&amp;P$1&amp;$B31,Finals!$J$1:$J$501,0),IFERROR(MATCH($A31&amp;P$1&amp;$B31,'F Proj'!$N$1:$N$7669,0),MATCH("NA"&amp;P$1&amp;$B31,'F Proj'!$N$1:$N$7669,0)))</f>
        <v>762</v>
      </c>
      <c r="Q31">
        <f>IF(Week&gt;=Q$1,MATCH($A31&amp;"-"&amp;Q$1&amp;$B31,Finals!$J$1:$J$501,0),IFERROR(MATCH($A31&amp;Q$1&amp;$B31,'F Proj'!$N$1:$N$7669,0),MATCH("NA"&amp;Q$1&amp;$B31,'F Proj'!$N$1:$N$7669,0)))</f>
        <v>829</v>
      </c>
      <c r="R31">
        <f>IF(Week&gt;=R$1,MATCH($A31&amp;"-"&amp;R$1&amp;$B31,Finals!$J$1:$J$501,0),IFERROR(MATCH($A31&amp;R$1&amp;$B31,'F Proj'!$N$1:$N$7669,0),MATCH("NA"&amp;R$1&amp;$B31,'F Proj'!$N$1:$N$7669,0)))</f>
        <v>873</v>
      </c>
      <c r="S31">
        <f>IF(Week&gt;=S$1,MATCH($A31&amp;"-"&amp;S$1&amp;$B31,Finals!$J$1:$J$501,0),IFERROR(MATCH($A31&amp;S$1&amp;$B31,'F Proj'!$N$1:$N$7669,0),MATCH("NA"&amp;S$1&amp;$B31,'F Proj'!$N$1:$N$7669,0)))</f>
        <v>822</v>
      </c>
      <c r="T31">
        <f>IF(Week&gt;=C$1,INDEX(Finals!$G$1:$G$501,C31),INDEX('F Proj'!$D$1:$D$7669,C31))</f>
        <v>20.7</v>
      </c>
      <c r="U31">
        <f>IF(Week&gt;=D$1,INDEX(Finals!$G$1:$G$501,D31),INDEX('F Proj'!$D$1:$D$7669,D31))</f>
        <v>12.3</v>
      </c>
      <c r="V31">
        <f>IF(Week&gt;=E$1,INDEX(Finals!$G$1:$G$501,E31),INDEX('F Proj'!$D$1:$D$7669,E31))</f>
        <v>19.7</v>
      </c>
      <c r="W31">
        <f>IF(Week&gt;=F$1,INDEX(Finals!$G$1:$G$501,F31),INDEX('F Proj'!$D$1:$D$7669,F31))</f>
        <v>5.9</v>
      </c>
      <c r="X31">
        <f>IF(Week&gt;=G$1,INDEX(Finals!$G$1:$G$501,G31),INDEX('F Proj'!$D$1:$D$7669,G31))</f>
        <v>10.38</v>
      </c>
      <c r="Y31">
        <f>IF(Week&gt;=H$1,INDEX(Finals!$G$1:$G$501,H31),INDEX('F Proj'!$D$1:$D$7669,H31))</f>
        <v>11.59</v>
      </c>
      <c r="Z31">
        <f>IF(Week&gt;=I$1,INDEX(Finals!$G$1:$G$501,I31),INDEX('F Proj'!$D$1:$D$7669,I31))</f>
        <v>11.57</v>
      </c>
      <c r="AA31">
        <f>IF(Week&gt;=J$1,INDEX(Finals!$G$1:$G$501,J31),INDEX('F Proj'!$D$1:$D$7669,J31))</f>
        <v>11.21</v>
      </c>
      <c r="AB31">
        <f>IF(Week&gt;=K$1,INDEX(Finals!$G$1:$G$501,K31),INDEX('F Proj'!$D$1:$D$7669,K31))</f>
        <v>11.12</v>
      </c>
      <c r="AC31">
        <f>IF(Week&gt;=L$1,INDEX(Finals!$G$1:$G$501,L31),INDEX('F Proj'!$D$1:$D$7669,L31))</f>
        <v>10.6</v>
      </c>
      <c r="AD31">
        <f>IF(Week&gt;=M$1,INDEX(Finals!$G$1:$G$501,M31),INDEX('F Proj'!$D$1:$D$7669,M31))</f>
        <v>10.18</v>
      </c>
      <c r="AE31">
        <f>IF(Week&gt;=N$1,INDEX(Finals!$G$1:$G$501,N31),INDEX('F Proj'!$D$1:$D$7669,N31))</f>
        <v>12.85</v>
      </c>
      <c r="AF31">
        <f>IF(Week&gt;=O$1,INDEX(Finals!$G$1:$G$501,O31),INDEX('F Proj'!$D$1:$D$7669,O31))</f>
        <v>10.94</v>
      </c>
      <c r="AG31">
        <f>IF(Week&gt;=P$1,INDEX(Finals!$G$1:$G$501,P31),INDEX('F Proj'!$D$1:$D$7669,P31))</f>
        <v>12.44</v>
      </c>
      <c r="AH31">
        <f>IF(Week&gt;=Q$1,INDEX(Finals!$G$1:$G$501,Q31),INDEX('F Proj'!$D$1:$D$7669,Q31))</f>
        <v>11.88</v>
      </c>
      <c r="AI31">
        <f>IF(Week&gt;=R$1,INDEX(Finals!$G$1:$G$501,R31),INDEX('F Proj'!$D$1:$D$7669,R31))</f>
        <v>11.5</v>
      </c>
      <c r="AJ31">
        <f>IF(Week&gt;=S$1,INDEX(Finals!$G$1:$G$501,S31),INDEX('F Proj'!$D$1:$D$7669,S31))</f>
        <v>11.95</v>
      </c>
      <c r="AK31">
        <f>IF(Week&gt;=C$1,INDEX(Finals!$I$1:$I$501,C31),INDEX('F Proj'!$J$1:$J$7669,C31))</f>
        <v>0</v>
      </c>
      <c r="AL31">
        <f>IF(Week&gt;=D$1,INDEX(Finals!$I$1:$I$501,D31),INDEX('F Proj'!$J$1:$J$7669,D31))</f>
        <v>0</v>
      </c>
      <c r="AM31">
        <f>IF(Week&gt;=E$1,INDEX(Finals!$I$1:$I$501,E31),INDEX('F Proj'!$J$1:$J$7669,E31))</f>
        <v>0</v>
      </c>
      <c r="AN31">
        <f>IF(Week&gt;=F$1,INDEX(Finals!$I$1:$I$501,F31),INDEX('F Proj'!$J$1:$J$7669,F31))</f>
        <v>0</v>
      </c>
      <c r="AO31">
        <f>IF(Week&gt;=G$1,INDEX(Finals!$I$1:$I$501,G31),INDEX('F Proj'!$J$1:$J$7669,G31))</f>
        <v>50.694400000000002</v>
      </c>
      <c r="AP31">
        <f>IF(Week&gt;=H$1,INDEX(Finals!$I$1:$I$501,H31),INDEX('F Proj'!$J$1:$J$7669,H31))</f>
        <v>35.046399999999998</v>
      </c>
      <c r="AQ31">
        <f>IF(Week&gt;=I$1,INDEX(Finals!$I$1:$I$501,I31),INDEX('F Proj'!$J$1:$J$7669,I31))</f>
        <v>46.5124</v>
      </c>
      <c r="AR31">
        <f>IF(Week&gt;=J$1,INDEX(Finals!$I$1:$I$501,J31),INDEX('F Proj'!$J$1:$J$7669,J31))</f>
        <v>44.89</v>
      </c>
      <c r="AS31">
        <f>IF(Week&gt;=K$1,INDEX(Finals!$I$1:$I$501,K31),INDEX('F Proj'!$J$1:$J$7669,K31))</f>
        <v>35.880099999999999</v>
      </c>
      <c r="AT31">
        <f>IF(Week&gt;=L$1,INDEX(Finals!$I$1:$I$501,L31),INDEX('F Proj'!$J$1:$J$7669,L31))</f>
        <v>41.7316</v>
      </c>
      <c r="AU31">
        <f>IF(Week&gt;=M$1,INDEX(Finals!$I$1:$I$501,M31),INDEX('F Proj'!$J$1:$J$7669,M31))</f>
        <v>36.844900000000003</v>
      </c>
      <c r="AV31">
        <f>IF(Week&gt;=N$1,INDEX(Finals!$I$1:$I$501,N31),INDEX('F Proj'!$J$1:$J$7669,N31))</f>
        <v>45.832900000000002</v>
      </c>
      <c r="AW31">
        <f>IF(Week&gt;=O$1,INDEX(Finals!$I$1:$I$501,O31),INDEX('F Proj'!$J$1:$J$7669,O31))</f>
        <v>45.1584</v>
      </c>
      <c r="AX31">
        <f>IF(Week&gt;=P$1,INDEX(Finals!$I$1:$I$501,P31),INDEX('F Proj'!$J$1:$J$7669,P31))</f>
        <v>39.816099999999999</v>
      </c>
      <c r="AY31">
        <f>IF(Week&gt;=Q$1,INDEX(Finals!$I$1:$I$501,Q31),INDEX('F Proj'!$J$1:$J$7669,Q31))</f>
        <v>50.694400000000002</v>
      </c>
      <c r="AZ31">
        <f>IF(Week&gt;=R$1,INDEX(Finals!$I$1:$I$501,R31),INDEX('F Proj'!$J$1:$J$7669,R31))</f>
        <v>28.729600000000001</v>
      </c>
      <c r="BA31">
        <f>IF(Week&gt;=S$1,INDEX(Finals!$I$1:$I$501,S31),INDEX('F Proj'!$J$1:$J$7669,S31))</f>
        <v>35.046399999999998</v>
      </c>
    </row>
    <row r="32" spans="1:53" x14ac:dyDescent="0.25">
      <c r="A32" t="s">
        <v>55</v>
      </c>
      <c r="B32" t="s">
        <v>473</v>
      </c>
      <c r="C32">
        <f>IF(Week&gt;=C$1,MATCH($A32&amp;"-"&amp;C$1&amp;$B32,Finals!$J$1:$J$501,0),IFERROR(MATCH($A32&amp;C$1&amp;$B32,'F Proj'!$N$1:$N$7669,0),MATCH("NA"&amp;C$1&amp;$B32,'F Proj'!$N$1:$N$7669,0)))</f>
        <v>350</v>
      </c>
      <c r="D32">
        <f>IF(Week&gt;=D$1,MATCH($A32&amp;"-"&amp;D$1&amp;$B32,Finals!$J$1:$J$501,0),IFERROR(MATCH($A32&amp;D$1&amp;$B32,'F Proj'!$N$1:$N$7669,0),MATCH("NA"&amp;D$1&amp;$B32,'F Proj'!$N$1:$N$7669,0)))</f>
        <v>351</v>
      </c>
      <c r="E32">
        <f>IF(Week&gt;=E$1,MATCH($A32&amp;"-"&amp;E$1&amp;$B32,Finals!$J$1:$J$501,0),IFERROR(MATCH($A32&amp;E$1&amp;$B32,'F Proj'!$N$1:$N$7669,0),MATCH("NA"&amp;E$1&amp;$B32,'F Proj'!$N$1:$N$7669,0)))</f>
        <v>352</v>
      </c>
      <c r="F32">
        <f>IF(Week&gt;=F$1,MATCH($A32&amp;"-"&amp;F$1&amp;$B32,Finals!$J$1:$J$501,0),IFERROR(MATCH($A32&amp;F$1&amp;$B32,'F Proj'!$N$1:$N$7669,0),MATCH("NA"&amp;F$1&amp;$B32,'F Proj'!$N$1:$N$7669,0)))</f>
        <v>353</v>
      </c>
      <c r="G32">
        <f>IF(Week&gt;=G$1,MATCH($A32&amp;"-"&amp;G$1&amp;$B32,Finals!$J$1:$J$501,0),IFERROR(MATCH($A32&amp;G$1&amp;$B32,'F Proj'!$N$1:$N$7669,0),MATCH("NA"&amp;G$1&amp;$B32,'F Proj'!$N$1:$N$7669,0)))</f>
        <v>264</v>
      </c>
      <c r="H32">
        <f>IF(Week&gt;=H$1,MATCH($A32&amp;"-"&amp;H$1&amp;$B32,Finals!$J$1:$J$501,0),IFERROR(MATCH($A32&amp;H$1&amp;$B32,'F Proj'!$N$1:$N$7669,0),MATCH("NA"&amp;H$1&amp;$B32,'F Proj'!$N$1:$N$7669,0)))</f>
        <v>1107</v>
      </c>
      <c r="I32">
        <f>IF(Week&gt;=I$1,MATCH($A32&amp;"-"&amp;I$1&amp;$B32,Finals!$J$1:$J$501,0),IFERROR(MATCH($A32&amp;I$1&amp;$B32,'F Proj'!$N$1:$N$7669,0),MATCH("NA"&amp;I$1&amp;$B32,'F Proj'!$N$1:$N$7669,0)))</f>
        <v>1298</v>
      </c>
      <c r="J32">
        <f>IF(Week&gt;=J$1,MATCH($A32&amp;"-"&amp;J$1&amp;$B32,Finals!$J$1:$J$501,0),IFERROR(MATCH($A32&amp;J$1&amp;$B32,'F Proj'!$N$1:$N$7669,0),MATCH("NA"&amp;J$1&amp;$B32,'F Proj'!$N$1:$N$7669,0)))</f>
        <v>1126</v>
      </c>
      <c r="K32">
        <f>IF(Week&gt;=K$1,MATCH($A32&amp;"-"&amp;K$1&amp;$B32,Finals!$J$1:$J$501,0),IFERROR(MATCH($A32&amp;K$1&amp;$B32,'F Proj'!$N$1:$N$7669,0),MATCH("NA"&amp;K$1&amp;$B32,'F Proj'!$N$1:$N$7669,0)))</f>
        <v>974</v>
      </c>
      <c r="L32">
        <f>IF(Week&gt;=L$1,MATCH($A32&amp;"-"&amp;L$1&amp;$B32,Finals!$J$1:$J$501,0),IFERROR(MATCH($A32&amp;L$1&amp;$B32,'F Proj'!$N$1:$N$7669,0),MATCH("NA"&amp;L$1&amp;$B32,'F Proj'!$N$1:$N$7669,0)))</f>
        <v>3841</v>
      </c>
      <c r="M32">
        <f>IF(Week&gt;=M$1,MATCH($A32&amp;"-"&amp;M$1&amp;$B32,Finals!$J$1:$J$501,0),IFERROR(MATCH($A32&amp;M$1&amp;$B32,'F Proj'!$N$1:$N$7669,0),MATCH("NA"&amp;M$1&amp;$B32,'F Proj'!$N$1:$N$7669,0)))</f>
        <v>1089</v>
      </c>
      <c r="N32">
        <f>IF(Week&gt;=N$1,MATCH($A32&amp;"-"&amp;N$1&amp;$B32,Finals!$J$1:$J$501,0),IFERROR(MATCH($A32&amp;N$1&amp;$B32,'F Proj'!$N$1:$N$7669,0),MATCH("NA"&amp;N$1&amp;$B32,'F Proj'!$N$1:$N$7669,0)))</f>
        <v>863</v>
      </c>
      <c r="O32">
        <f>IF(Week&gt;=O$1,MATCH($A32&amp;"-"&amp;O$1&amp;$B32,Finals!$J$1:$J$501,0),IFERROR(MATCH($A32&amp;O$1&amp;$B32,'F Proj'!$N$1:$N$7669,0),MATCH("NA"&amp;O$1&amp;$B32,'F Proj'!$N$1:$N$7669,0)))</f>
        <v>1070</v>
      </c>
      <c r="P32">
        <f>IF(Week&gt;=P$1,MATCH($A32&amp;"-"&amp;P$1&amp;$B32,Finals!$J$1:$J$501,0),IFERROR(MATCH($A32&amp;P$1&amp;$B32,'F Proj'!$N$1:$N$7669,0),MATCH("NA"&amp;P$1&amp;$B32,'F Proj'!$N$1:$N$7669,0)))</f>
        <v>1041</v>
      </c>
      <c r="Q32">
        <f>IF(Week&gt;=Q$1,MATCH($A32&amp;"-"&amp;Q$1&amp;$B32,Finals!$J$1:$J$501,0),IFERROR(MATCH($A32&amp;Q$1&amp;$B32,'F Proj'!$N$1:$N$7669,0),MATCH("NA"&amp;Q$1&amp;$B32,'F Proj'!$N$1:$N$7669,0)))</f>
        <v>887</v>
      </c>
      <c r="R32">
        <f>IF(Week&gt;=R$1,MATCH($A32&amp;"-"&amp;R$1&amp;$B32,Finals!$J$1:$J$501,0),IFERROR(MATCH($A32&amp;R$1&amp;$B32,'F Proj'!$N$1:$N$7669,0),MATCH("NA"&amp;R$1&amp;$B32,'F Proj'!$N$1:$N$7669,0)))</f>
        <v>920</v>
      </c>
      <c r="S32">
        <f>IF(Week&gt;=S$1,MATCH($A32&amp;"-"&amp;S$1&amp;$B32,Finals!$J$1:$J$501,0),IFERROR(MATCH($A32&amp;S$1&amp;$B32,'F Proj'!$N$1:$N$7669,0),MATCH("NA"&amp;S$1&amp;$B32,'F Proj'!$N$1:$N$7669,0)))</f>
        <v>1023</v>
      </c>
      <c r="T32">
        <f>IF(Week&gt;=C$1,INDEX(Finals!$G$1:$G$501,C32),INDEX('F Proj'!$D$1:$D$7669,C32))</f>
        <v>11.1</v>
      </c>
      <c r="U32">
        <f>IF(Week&gt;=D$1,INDEX(Finals!$G$1:$G$501,D32),INDEX('F Proj'!$D$1:$D$7669,D32))</f>
        <v>26.9</v>
      </c>
      <c r="V32">
        <f>IF(Week&gt;=E$1,INDEX(Finals!$G$1:$G$501,E32),INDEX('F Proj'!$D$1:$D$7669,E32))</f>
        <v>1.7</v>
      </c>
      <c r="W32">
        <f>IF(Week&gt;=F$1,INDEX(Finals!$G$1:$G$501,F32),INDEX('F Proj'!$D$1:$D$7669,F32))</f>
        <v>12.3</v>
      </c>
      <c r="X32">
        <f>IF(Week&gt;=G$1,INDEX(Finals!$G$1:$G$501,G32),INDEX('F Proj'!$D$1:$D$7669,G32))</f>
        <v>6.82</v>
      </c>
      <c r="Y32">
        <f>IF(Week&gt;=H$1,INDEX(Finals!$G$1:$G$501,H32),INDEX('F Proj'!$D$1:$D$7669,H32))</f>
        <v>9.86</v>
      </c>
      <c r="Z32">
        <f>IF(Week&gt;=I$1,INDEX(Finals!$G$1:$G$501,I32),INDEX('F Proj'!$D$1:$D$7669,I32))</f>
        <v>8.89</v>
      </c>
      <c r="AA32">
        <f>IF(Week&gt;=J$1,INDEX(Finals!$G$1:$G$501,J32),INDEX('F Proj'!$D$1:$D$7669,J32))</f>
        <v>9.77</v>
      </c>
      <c r="AB32">
        <f>IF(Week&gt;=K$1,INDEX(Finals!$G$1:$G$501,K32),INDEX('F Proj'!$D$1:$D$7669,K32))</f>
        <v>10.59</v>
      </c>
      <c r="AC32">
        <f>IF(Week&gt;=L$1,INDEX(Finals!$G$1:$G$501,L32),INDEX('F Proj'!$D$1:$D$7669,L32))</f>
        <v>2.54</v>
      </c>
      <c r="AD32">
        <f>IF(Week&gt;=M$1,INDEX(Finals!$G$1:$G$501,M32),INDEX('F Proj'!$D$1:$D$7669,M32))</f>
        <v>9.9499999999999993</v>
      </c>
      <c r="AE32">
        <f>IF(Week&gt;=N$1,INDEX(Finals!$G$1:$G$501,N32),INDEX('F Proj'!$D$1:$D$7669,N32))</f>
        <v>11.61</v>
      </c>
      <c r="AF32">
        <f>IF(Week&gt;=O$1,INDEX(Finals!$G$1:$G$501,O32),INDEX('F Proj'!$D$1:$D$7669,O32))</f>
        <v>10</v>
      </c>
      <c r="AG32">
        <f>IF(Week&gt;=P$1,INDEX(Finals!$G$1:$G$501,P32),INDEX('F Proj'!$D$1:$D$7669,P32))</f>
        <v>10.18</v>
      </c>
      <c r="AH32">
        <f>IF(Week&gt;=Q$1,INDEX(Finals!$G$1:$G$501,Q32),INDEX('F Proj'!$D$1:$D$7669,Q32))</f>
        <v>11.34</v>
      </c>
      <c r="AI32">
        <f>IF(Week&gt;=R$1,INDEX(Finals!$G$1:$G$501,R32),INDEX('F Proj'!$D$1:$D$7669,R32))</f>
        <v>11.05</v>
      </c>
      <c r="AJ32">
        <f>IF(Week&gt;=S$1,INDEX(Finals!$G$1:$G$501,S32),INDEX('F Proj'!$D$1:$D$7669,S32))</f>
        <v>10.29</v>
      </c>
      <c r="AK32">
        <f>IF(Week&gt;=C$1,INDEX(Finals!$I$1:$I$501,C32),INDEX('F Proj'!$J$1:$J$7669,C32))</f>
        <v>0</v>
      </c>
      <c r="AL32">
        <f>IF(Week&gt;=D$1,INDEX(Finals!$I$1:$I$501,D32),INDEX('F Proj'!$J$1:$J$7669,D32))</f>
        <v>0</v>
      </c>
      <c r="AM32">
        <f>IF(Week&gt;=E$1,INDEX(Finals!$I$1:$I$501,E32),INDEX('F Proj'!$J$1:$J$7669,E32))</f>
        <v>0</v>
      </c>
      <c r="AN32">
        <f>IF(Week&gt;=F$1,INDEX(Finals!$I$1:$I$501,F32),INDEX('F Proj'!$J$1:$J$7669,F32))</f>
        <v>0</v>
      </c>
      <c r="AO32">
        <f>IF(Week&gt;=G$1,INDEX(Finals!$I$1:$I$501,G32),INDEX('F Proj'!$J$1:$J$7669,G32))</f>
        <v>87.6096</v>
      </c>
      <c r="AP32">
        <f>IF(Week&gt;=H$1,INDEX(Finals!$I$1:$I$501,H32),INDEX('F Proj'!$J$1:$J$7669,H32))</f>
        <v>44.089599999999997</v>
      </c>
      <c r="AQ32">
        <f>IF(Week&gt;=I$1,INDEX(Finals!$I$1:$I$501,I32),INDEX('F Proj'!$J$1:$J$7669,I32))</f>
        <v>44.89</v>
      </c>
      <c r="AR32">
        <f>IF(Week&gt;=J$1,INDEX(Finals!$I$1:$I$501,J32),INDEX('F Proj'!$J$1:$J$7669,J32))</f>
        <v>48.024900000000002</v>
      </c>
      <c r="AS32">
        <f>IF(Week&gt;=K$1,INDEX(Finals!$I$1:$I$501,K32),INDEX('F Proj'!$J$1:$J$7669,K32))</f>
        <v>45.1584</v>
      </c>
      <c r="AT32">
        <f>IF(Week&gt;=L$1,INDEX(Finals!$I$1:$I$501,L32),INDEX('F Proj'!$J$1:$J$7669,L32))</f>
        <v>9</v>
      </c>
      <c r="AU32">
        <f>IF(Week&gt;=M$1,INDEX(Finals!$I$1:$I$501,M32),INDEX('F Proj'!$J$1:$J$7669,M32))</f>
        <v>40.449599999999997</v>
      </c>
      <c r="AV32">
        <f>IF(Week&gt;=N$1,INDEX(Finals!$I$1:$I$501,N32),INDEX('F Proj'!$J$1:$J$7669,N32))</f>
        <v>41.7316</v>
      </c>
      <c r="AW32">
        <f>IF(Week&gt;=O$1,INDEX(Finals!$I$1:$I$501,O32),INDEX('F Proj'!$J$1:$J$7669,O32))</f>
        <v>34.692100000000003</v>
      </c>
      <c r="AX32">
        <f>IF(Week&gt;=P$1,INDEX(Finals!$I$1:$I$501,P32),INDEX('F Proj'!$J$1:$J$7669,P32))</f>
        <v>41.7316</v>
      </c>
      <c r="AY32">
        <f>IF(Week&gt;=Q$1,INDEX(Finals!$I$1:$I$501,Q32),INDEX('F Proj'!$J$1:$J$7669,Q32))</f>
        <v>49.561599999999999</v>
      </c>
      <c r="AZ32">
        <f>IF(Week&gt;=R$1,INDEX(Finals!$I$1:$I$501,R32),INDEX('F Proj'!$J$1:$J$7669,R32))</f>
        <v>35.640900000000002</v>
      </c>
      <c r="BA32">
        <f>IF(Week&gt;=S$1,INDEX(Finals!$I$1:$I$501,S32),INDEX('F Proj'!$J$1:$J$7669,S32))</f>
        <v>40.449599999999997</v>
      </c>
    </row>
    <row r="33" spans="1:53" x14ac:dyDescent="0.25">
      <c r="A33" t="s">
        <v>55</v>
      </c>
      <c r="B33" t="s">
        <v>474</v>
      </c>
      <c r="C33" t="e">
        <f>IF(Week&gt;=C$1,MATCH($A33&amp;"-"&amp;C$1&amp;$B33,Finals!$J$1:$J$501,0),IFERROR(MATCH($A33&amp;C$1&amp;$B33,'F Proj'!$N$1:$N$7669,0),MATCH("NA"&amp;C$1&amp;$B33,'F Proj'!$N$1:$N$7669,0)))</f>
        <v>#N/A</v>
      </c>
      <c r="D33" t="e">
        <f>IF(Week&gt;=D$1,MATCH($A33&amp;"-"&amp;D$1&amp;$B33,Finals!$J$1:$J$501,0),IFERROR(MATCH($A33&amp;D$1&amp;$B33,'F Proj'!$N$1:$N$7669,0),MATCH("NA"&amp;D$1&amp;$B33,'F Proj'!$N$1:$N$7669,0)))</f>
        <v>#N/A</v>
      </c>
      <c r="E33" t="e">
        <f>IF(Week&gt;=E$1,MATCH($A33&amp;"-"&amp;E$1&amp;$B33,Finals!$J$1:$J$501,0),IFERROR(MATCH($A33&amp;E$1&amp;$B33,'F Proj'!$N$1:$N$7669,0),MATCH("NA"&amp;E$1&amp;$B33,'F Proj'!$N$1:$N$7669,0)))</f>
        <v>#N/A</v>
      </c>
      <c r="F33" t="e">
        <f>IF(Week&gt;=F$1,MATCH($A33&amp;"-"&amp;F$1&amp;$B33,Finals!$J$1:$J$501,0),IFERROR(MATCH($A33&amp;F$1&amp;$B33,'F Proj'!$N$1:$N$7669,0),MATCH("NA"&amp;F$1&amp;$B33,'F Proj'!$N$1:$N$7669,0)))</f>
        <v>#N/A</v>
      </c>
      <c r="G33" t="e">
        <f>IF(Week&gt;=G$1,MATCH($A33&amp;"-"&amp;G$1&amp;$B33,Finals!$J$1:$J$501,0),IFERROR(MATCH($A33&amp;G$1&amp;$B33,'F Proj'!$N$1:$N$7669,0),MATCH("NA"&amp;G$1&amp;$B33,'F Proj'!$N$1:$N$7669,0)))</f>
        <v>#N/A</v>
      </c>
      <c r="H33">
        <f>IF(Week&gt;=H$1,MATCH($A33&amp;"-"&amp;H$1&amp;$B33,Finals!$J$1:$J$501,0),IFERROR(MATCH($A33&amp;H$1&amp;$B33,'F Proj'!$N$1:$N$7669,0),MATCH("NA"&amp;H$1&amp;$B33,'F Proj'!$N$1:$N$7669,0)))</f>
        <v>1284</v>
      </c>
      <c r="I33">
        <f>IF(Week&gt;=I$1,MATCH($A33&amp;"-"&amp;I$1&amp;$B33,Finals!$J$1:$J$501,0),IFERROR(MATCH($A33&amp;I$1&amp;$B33,'F Proj'!$N$1:$N$7669,0),MATCH("NA"&amp;I$1&amp;$B33,'F Proj'!$N$1:$N$7669,0)))</f>
        <v>1394</v>
      </c>
      <c r="J33">
        <f>IF(Week&gt;=J$1,MATCH($A33&amp;"-"&amp;J$1&amp;$B33,Finals!$J$1:$J$501,0),IFERROR(MATCH($A33&amp;J$1&amp;$B33,'F Proj'!$N$1:$N$7669,0),MATCH("NA"&amp;J$1&amp;$B33,'F Proj'!$N$1:$N$7669,0)))</f>
        <v>1632</v>
      </c>
      <c r="K33">
        <f>IF(Week&gt;=K$1,MATCH($A33&amp;"-"&amp;K$1&amp;$B33,Finals!$J$1:$J$501,0),IFERROR(MATCH($A33&amp;K$1&amp;$B33,'F Proj'!$N$1:$N$7669,0),MATCH("NA"&amp;K$1&amp;$B33,'F Proj'!$N$1:$N$7669,0)))</f>
        <v>1766</v>
      </c>
      <c r="L33">
        <f>IF(Week&gt;=L$1,MATCH($A33&amp;"-"&amp;L$1&amp;$B33,Finals!$J$1:$J$501,0),IFERROR(MATCH($A33&amp;L$1&amp;$B33,'F Proj'!$N$1:$N$7669,0),MATCH("NA"&amp;L$1&amp;$B33,'F Proj'!$N$1:$N$7669,0)))</f>
        <v>2014</v>
      </c>
      <c r="M33">
        <f>IF(Week&gt;=M$1,MATCH($A33&amp;"-"&amp;M$1&amp;$B33,Finals!$J$1:$J$501,0),IFERROR(MATCH($A33&amp;M$1&amp;$B33,'F Proj'!$N$1:$N$7669,0),MATCH("NA"&amp;M$1&amp;$B33,'F Proj'!$N$1:$N$7669,0)))</f>
        <v>1391</v>
      </c>
      <c r="N33">
        <f>IF(Week&gt;=N$1,MATCH($A33&amp;"-"&amp;N$1&amp;$B33,Finals!$J$1:$J$501,0),IFERROR(MATCH($A33&amp;N$1&amp;$B33,'F Proj'!$N$1:$N$7669,0),MATCH("NA"&amp;N$1&amp;$B33,'F Proj'!$N$1:$N$7669,0)))</f>
        <v>1209</v>
      </c>
      <c r="O33">
        <f>IF(Week&gt;=O$1,MATCH($A33&amp;"-"&amp;O$1&amp;$B33,Finals!$J$1:$J$501,0),IFERROR(MATCH($A33&amp;O$1&amp;$B33,'F Proj'!$N$1:$N$7669,0),MATCH("NA"&amp;O$1&amp;$B33,'F Proj'!$N$1:$N$7669,0)))</f>
        <v>1503</v>
      </c>
      <c r="P33">
        <f>IF(Week&gt;=P$1,MATCH($A33&amp;"-"&amp;P$1&amp;$B33,Finals!$J$1:$J$501,0),IFERROR(MATCH($A33&amp;P$1&amp;$B33,'F Proj'!$N$1:$N$7669,0),MATCH("NA"&amp;P$1&amp;$B33,'F Proj'!$N$1:$N$7669,0)))</f>
        <v>1200</v>
      </c>
      <c r="Q33">
        <f>IF(Week&gt;=Q$1,MATCH($A33&amp;"-"&amp;Q$1&amp;$B33,Finals!$J$1:$J$501,0),IFERROR(MATCH($A33&amp;Q$1&amp;$B33,'F Proj'!$N$1:$N$7669,0),MATCH("NA"&amp;Q$1&amp;$B33,'F Proj'!$N$1:$N$7669,0)))</f>
        <v>1334</v>
      </c>
      <c r="R33">
        <f>IF(Week&gt;=R$1,MATCH($A33&amp;"-"&amp;R$1&amp;$B33,Finals!$J$1:$J$501,0),IFERROR(MATCH($A33&amp;R$1&amp;$B33,'F Proj'!$N$1:$N$7669,0),MATCH("NA"&amp;R$1&amp;$B33,'F Proj'!$N$1:$N$7669,0)))</f>
        <v>1289</v>
      </c>
      <c r="S33">
        <f>IF(Week&gt;=S$1,MATCH($A33&amp;"-"&amp;S$1&amp;$B33,Finals!$J$1:$J$501,0),IFERROR(MATCH($A33&amp;S$1&amp;$B33,'F Proj'!$N$1:$N$7669,0),MATCH("NA"&amp;S$1&amp;$B33,'F Proj'!$N$1:$N$7669,0)))</f>
        <v>1516</v>
      </c>
    </row>
    <row r="34" spans="1:53" x14ac:dyDescent="0.25">
      <c r="A34" t="s">
        <v>55</v>
      </c>
      <c r="B34" t="s">
        <v>466</v>
      </c>
      <c r="C34">
        <f>IF(Week&gt;=C$1,MATCH($A34&amp;"-"&amp;C$1&amp;$B34,Finals!$J$1:$J$501,0),MIN(C29,C33))</f>
        <v>170</v>
      </c>
      <c r="D34">
        <f>IF(Week&gt;=D$1,MATCH($A34&amp;"-"&amp;D$1&amp;$B34,Finals!$J$1:$J$501,0),MIN(D29,D33))</f>
        <v>169</v>
      </c>
      <c r="E34">
        <f>IF(Week&gt;=E$1,MATCH($A34&amp;"-"&amp;E$1&amp;$B34,Finals!$J$1:$J$501,0),MIN(E29,E33))</f>
        <v>172</v>
      </c>
      <c r="F34">
        <f>IF(Week&gt;=F$1,MATCH($A34&amp;"-"&amp;F$1&amp;$B34,Finals!$J$1:$J$501,0),MIN(F29,F33))</f>
        <v>173</v>
      </c>
      <c r="G34">
        <f>IF(Week&gt;=G$1,MATCH($A34&amp;"-"&amp;G$1&amp;$B34,Finals!$J$1:$J$501,0),MIN(G29,G33))</f>
        <v>130</v>
      </c>
      <c r="H34">
        <f>IF(Week&gt;=H$1,MATCH($A34&amp;"-"&amp;H$1&amp;$B34,Finals!$J$1:$J$501,0),MIN(H29,H33))</f>
        <v>867</v>
      </c>
      <c r="I34">
        <f>IF(Week&gt;=I$1,MATCH($A34&amp;"-"&amp;I$1&amp;$B34,Finals!$J$1:$J$501,0),MIN(I29,I33))</f>
        <v>1394</v>
      </c>
      <c r="J34">
        <f>IF(Week&gt;=J$1,MATCH($A34&amp;"-"&amp;J$1&amp;$B34,Finals!$J$1:$J$501,0),MIN(J29,J33))</f>
        <v>1293</v>
      </c>
      <c r="K34">
        <f>IF(Week&gt;=K$1,MATCH($A34&amp;"-"&amp;K$1&amp;$B34,Finals!$J$1:$J$501,0),MIN(K29,K33))</f>
        <v>1766</v>
      </c>
      <c r="L34">
        <f>IF(Week&gt;=L$1,MATCH($A34&amp;"-"&amp;L$1&amp;$B34,Finals!$J$1:$J$501,0),MIN(L29,L33))</f>
        <v>1512</v>
      </c>
      <c r="M34">
        <f>IF(Week&gt;=M$1,MATCH($A34&amp;"-"&amp;M$1&amp;$B34,Finals!$J$1:$J$501,0),MIN(M29,M33))</f>
        <v>1391</v>
      </c>
      <c r="N34">
        <f>IF(Week&gt;=N$1,MATCH($A34&amp;"-"&amp;N$1&amp;$B34,Finals!$J$1:$J$501,0),MIN(N29,N33))</f>
        <v>1209</v>
      </c>
      <c r="O34">
        <f>IF(Week&gt;=O$1,MATCH($A34&amp;"-"&amp;O$1&amp;$B34,Finals!$J$1:$J$501,0),MIN(O29,O33))</f>
        <v>1278</v>
      </c>
      <c r="P34">
        <f>IF(Week&gt;=P$1,MATCH($A34&amp;"-"&amp;P$1&amp;$B34,Finals!$J$1:$J$501,0),MIN(P29,P33))</f>
        <v>1200</v>
      </c>
      <c r="Q34">
        <f>IF(Week&gt;=Q$1,MATCH($A34&amp;"-"&amp;Q$1&amp;$B34,Finals!$J$1:$J$501,0),MIN(Q29,Q33))</f>
        <v>1226</v>
      </c>
      <c r="R34">
        <f>IF(Week&gt;=R$1,MATCH($A34&amp;"-"&amp;R$1&amp;$B34,Finals!$J$1:$J$501,0),MIN(R29,R33))</f>
        <v>1289</v>
      </c>
      <c r="S34">
        <f>IF(Week&gt;=S$1,MATCH($A34&amp;"-"&amp;S$1&amp;$B34,Finals!$J$1:$J$501,0),MIN(S29,S33))</f>
        <v>1155</v>
      </c>
      <c r="T34">
        <f>IF(Week&gt;=C$1,INDEX(Finals!$G$1:$G$501,C34),INDEX('F Proj'!$D$1:$D$7669,C34))</f>
        <v>29.2</v>
      </c>
      <c r="U34">
        <f>IF(Week&gt;=D$1,INDEX(Finals!$G$1:$G$501,D34),INDEX('F Proj'!$D$1:$D$7669,D34))</f>
        <v>7.1</v>
      </c>
      <c r="V34">
        <f>IF(Week&gt;=E$1,INDEX(Finals!$G$1:$G$501,E34),INDEX('F Proj'!$D$1:$D$7669,E34))</f>
        <v>9.5</v>
      </c>
      <c r="W34">
        <f>IF(Week&gt;=F$1,INDEX(Finals!$G$1:$G$501,F34),INDEX('F Proj'!$D$1:$D$7669,F34))</f>
        <v>6.4</v>
      </c>
      <c r="X34">
        <f>IF(Week&gt;=G$1,INDEX(Finals!$G$1:$G$501,G34),INDEX('F Proj'!$D$1:$D$7669,G34))</f>
        <v>8.9499999999999993</v>
      </c>
      <c r="Y34">
        <f>IF(Week&gt;=H$1,INDEX(Finals!$G$1:$G$501,H34),INDEX('F Proj'!$D$1:$D$7669,H34))</f>
        <v>11.57</v>
      </c>
      <c r="Z34">
        <f>IF(Week&gt;=I$1,INDEX(Finals!$G$1:$G$501,I34),INDEX('F Proj'!$D$1:$D$7669,I34))</f>
        <v>8.5</v>
      </c>
      <c r="AA34">
        <f>IF(Week&gt;=J$1,INDEX(Finals!$G$1:$G$501,J34),INDEX('F Proj'!$D$1:$D$7669,J34))</f>
        <v>8.91</v>
      </c>
      <c r="AB34">
        <f>IF(Week&gt;=K$1,INDEX(Finals!$G$1:$G$501,K34),INDEX('F Proj'!$D$1:$D$7669,K34))</f>
        <v>7.19</v>
      </c>
      <c r="AC34">
        <f>IF(Week&gt;=L$1,INDEX(Finals!$G$1:$G$501,L34),INDEX('F Proj'!$D$1:$D$7669,L34))</f>
        <v>8.08</v>
      </c>
      <c r="AD34">
        <f>IF(Week&gt;=M$1,INDEX(Finals!$G$1:$G$501,M34),INDEX('F Proj'!$D$1:$D$7669,M34))</f>
        <v>8.51</v>
      </c>
      <c r="AE34">
        <f>IF(Week&gt;=N$1,INDEX(Finals!$G$1:$G$501,N34),INDEX('F Proj'!$D$1:$D$7669,N34))</f>
        <v>9.33</v>
      </c>
      <c r="AF34">
        <f>IF(Week&gt;=O$1,INDEX(Finals!$G$1:$G$501,O34),INDEX('F Proj'!$D$1:$D$7669,O34))</f>
        <v>8.9600000000000009</v>
      </c>
      <c r="AG34">
        <f>IF(Week&gt;=P$1,INDEX(Finals!$G$1:$G$501,P34),INDEX('F Proj'!$D$1:$D$7669,P34))</f>
        <v>9.3699999999999992</v>
      </c>
      <c r="AH34">
        <f>IF(Week&gt;=Q$1,INDEX(Finals!$G$1:$G$501,Q34),INDEX('F Proj'!$D$1:$D$7669,Q34))</f>
        <v>9.24</v>
      </c>
      <c r="AI34">
        <f>IF(Week&gt;=R$1,INDEX(Finals!$G$1:$G$501,R34),INDEX('F Proj'!$D$1:$D$7669,R34))</f>
        <v>8.93</v>
      </c>
      <c r="AJ34">
        <f>IF(Week&gt;=S$1,INDEX(Finals!$G$1:$G$501,S34),INDEX('F Proj'!$D$1:$D$7669,S34))</f>
        <v>9.6199999999999992</v>
      </c>
      <c r="AK34">
        <f>IF(Week&gt;=C$1,INDEX(Finals!$I$1:$I$501,C34),INDEX('F Proj'!$J$1:$J$7669,C34))</f>
        <v>0</v>
      </c>
      <c r="AL34">
        <f>IF(Week&gt;=D$1,INDEX(Finals!$I$1:$I$501,D34),INDEX('F Proj'!$J$1:$J$7669,D34))</f>
        <v>0</v>
      </c>
      <c r="AM34">
        <f>IF(Week&gt;=E$1,INDEX(Finals!$I$1:$I$501,E34),INDEX('F Proj'!$J$1:$J$7669,E34))</f>
        <v>0</v>
      </c>
      <c r="AN34">
        <f>IF(Week&gt;=F$1,INDEX(Finals!$I$1:$I$501,F34),INDEX('F Proj'!$J$1:$J$7669,F34))</f>
        <v>0</v>
      </c>
      <c r="AO34">
        <f>IF(Week&gt;=G$1,INDEX(Finals!$I$1:$I$501,G34),INDEX('F Proj'!$J$1:$J$7669,G34))</f>
        <v>76.7376</v>
      </c>
      <c r="AP34">
        <f>IF(Week&gt;=H$1,INDEX(Finals!$I$1:$I$501,H34),INDEX('F Proj'!$J$1:$J$7669,H34))</f>
        <v>76.038399999999996</v>
      </c>
      <c r="AQ34">
        <f>IF(Week&gt;=I$1,INDEX(Finals!$I$1:$I$501,I34),INDEX('F Proj'!$J$1:$J$7669,I34))</f>
        <v>48.720399999999998</v>
      </c>
      <c r="AR34">
        <f>IF(Week&gt;=J$1,INDEX(Finals!$I$1:$I$501,J34),INDEX('F Proj'!$J$1:$J$7669,J34))</f>
        <v>36.240400000000001</v>
      </c>
      <c r="AS34">
        <f>IF(Week&gt;=K$1,INDEX(Finals!$I$1:$I$501,K34),INDEX('F Proj'!$J$1:$J$7669,K34))</f>
        <v>24.700900000000001</v>
      </c>
      <c r="AT34">
        <f>IF(Week&gt;=L$1,INDEX(Finals!$I$1:$I$501,L34),INDEX('F Proj'!$J$1:$J$7669,L34))</f>
        <v>37.822499999999998</v>
      </c>
      <c r="AU34">
        <f>IF(Week&gt;=M$1,INDEX(Finals!$I$1:$I$501,M34),INDEX('F Proj'!$J$1:$J$7669,M34))</f>
        <v>39.438400000000001</v>
      </c>
      <c r="AV34">
        <f>IF(Week&gt;=N$1,INDEX(Finals!$I$1:$I$501,N34),INDEX('F Proj'!$J$1:$J$7669,N34))</f>
        <v>35.2836</v>
      </c>
      <c r="AW34">
        <f>IF(Week&gt;=O$1,INDEX(Finals!$I$1:$I$501,O34),INDEX('F Proj'!$J$1:$J$7669,O34))</f>
        <v>25.6036</v>
      </c>
      <c r="AX34">
        <f>IF(Week&gt;=P$1,INDEX(Finals!$I$1:$I$501,P34),INDEX('F Proj'!$J$1:$J$7669,P34))</f>
        <v>42.120100000000001</v>
      </c>
      <c r="AY34">
        <f>IF(Week&gt;=Q$1,INDEX(Finals!$I$1:$I$501,Q34),INDEX('F Proj'!$J$1:$J$7669,Q34))</f>
        <v>40.96</v>
      </c>
      <c r="AZ34">
        <f>IF(Week&gt;=R$1,INDEX(Finals!$I$1:$I$501,R34),INDEX('F Proj'!$J$1:$J$7669,R34))</f>
        <v>35.521599999999999</v>
      </c>
      <c r="BA34">
        <f>IF(Week&gt;=S$1,INDEX(Finals!$I$1:$I$501,S34),INDEX('F Proj'!$J$1:$J$7669,S34))</f>
        <v>40.449599999999997</v>
      </c>
    </row>
    <row r="35" spans="1:53" x14ac:dyDescent="0.25">
      <c r="A35" t="s">
        <v>55</v>
      </c>
      <c r="B35" t="s">
        <v>475</v>
      </c>
      <c r="C35">
        <f>IF(Week&gt;=C$1,MATCH($A35&amp;"-"&amp;C$1&amp;$B35,Finals!$J$1:$J$501,0),IFERROR(MATCH($A35&amp;C$1&amp;$B35,'F Proj'!$N$1:$N$7669,0),MATCH("NA"&amp;C$1&amp;$B35,'F Proj'!$N$1:$N$7669,0)))</f>
        <v>166</v>
      </c>
      <c r="D35">
        <f>IF(Week&gt;=D$1,MATCH($A35&amp;"-"&amp;D$1&amp;$B35,Finals!$J$1:$J$501,0),IFERROR(MATCH($A35&amp;D$1&amp;$B35,'F Proj'!$N$1:$N$7669,0),MATCH("NA"&amp;D$1&amp;$B35,'F Proj'!$N$1:$N$7669,0)))</f>
        <v>154</v>
      </c>
      <c r="E35">
        <f>IF(Week&gt;=E$1,MATCH($A35&amp;"-"&amp;E$1&amp;$B35,Finals!$J$1:$J$501,0),IFERROR(MATCH($A35&amp;E$1&amp;$B35,'F Proj'!$N$1:$N$7669,0),MATCH("NA"&amp;E$1&amp;$B35,'F Proj'!$N$1:$N$7669,0)))</f>
        <v>155</v>
      </c>
      <c r="F35">
        <f>IF(Week&gt;=F$1,MATCH($A35&amp;"-"&amp;F$1&amp;$B35,Finals!$J$1:$J$501,0),IFERROR(MATCH($A35&amp;F$1&amp;$B35,'F Proj'!$N$1:$N$7669,0),MATCH("NA"&amp;F$1&amp;$B35,'F Proj'!$N$1:$N$7669,0)))</f>
        <v>156</v>
      </c>
      <c r="G35">
        <f>IF(Week&gt;=G$1,MATCH($A35&amp;"-"&amp;G$1&amp;$B35,Finals!$J$1:$J$501,0),IFERROR(MATCH($A35&amp;G$1&amp;$B35,'F Proj'!$N$1:$N$7669,0),MATCH("NA"&amp;G$1&amp;$B35,'F Proj'!$N$1:$N$7669,0)))</f>
        <v>380</v>
      </c>
      <c r="H35">
        <f>IF(Week&gt;=H$1,MATCH($A35&amp;"-"&amp;H$1&amp;$B35,Finals!$J$1:$J$501,0),IFERROR(MATCH($A35&amp;H$1&amp;$B35,'F Proj'!$N$1:$N$7669,0),MATCH("NA"&amp;H$1&amp;$B35,'F Proj'!$N$1:$N$7669,0)))</f>
        <v>1194</v>
      </c>
      <c r="I35">
        <f>IF(Week&gt;=I$1,MATCH($A35&amp;"-"&amp;I$1&amp;$B35,Finals!$J$1:$J$501,0),IFERROR(MATCH($A35&amp;I$1&amp;$B35,'F Proj'!$N$1:$N$7669,0),MATCH("NA"&amp;I$1&amp;$B35,'F Proj'!$N$1:$N$7669,0)))</f>
        <v>968</v>
      </c>
      <c r="J35">
        <f>IF(Week&gt;=J$1,MATCH($A35&amp;"-"&amp;J$1&amp;$B35,Finals!$J$1:$J$501,0),IFERROR(MATCH($A35&amp;J$1&amp;$B35,'F Proj'!$N$1:$N$7669,0),MATCH("NA"&amp;J$1&amp;$B35,'F Proj'!$N$1:$N$7669,0)))</f>
        <v>976</v>
      </c>
      <c r="K35">
        <f>IF(Week&gt;=K$1,MATCH($A35&amp;"-"&amp;K$1&amp;$B35,Finals!$J$1:$J$501,0),IFERROR(MATCH($A35&amp;K$1&amp;$B35,'F Proj'!$N$1:$N$7669,0),MATCH("NA"&amp;K$1&amp;$B35,'F Proj'!$N$1:$N$7669,0)))</f>
        <v>1071</v>
      </c>
      <c r="L35">
        <f>IF(Week&gt;=L$1,MATCH($A35&amp;"-"&amp;L$1&amp;$B35,Finals!$J$1:$J$501,0),IFERROR(MATCH($A35&amp;L$1&amp;$B35,'F Proj'!$N$1:$N$7669,0),MATCH("NA"&amp;L$1&amp;$B35,'F Proj'!$N$1:$N$7669,0)))</f>
        <v>1010</v>
      </c>
      <c r="M35">
        <f>IF(Week&gt;=M$1,MATCH($A35&amp;"-"&amp;M$1&amp;$B35,Finals!$J$1:$J$501,0),IFERROR(MATCH($A35&amp;M$1&amp;$B35,'F Proj'!$N$1:$N$7669,0),MATCH("NA"&amp;M$1&amp;$B35,'F Proj'!$N$1:$N$7669,0)))</f>
        <v>1045</v>
      </c>
      <c r="N35">
        <f>IF(Week&gt;=N$1,MATCH($A35&amp;"-"&amp;N$1&amp;$B35,Finals!$J$1:$J$501,0),IFERROR(MATCH($A35&amp;N$1&amp;$B35,'F Proj'!$N$1:$N$7669,0),MATCH("NA"&amp;N$1&amp;$B35,'F Proj'!$N$1:$N$7669,0)))</f>
        <v>3110</v>
      </c>
      <c r="O35">
        <f>IF(Week&gt;=O$1,MATCH($A35&amp;"-"&amp;O$1&amp;$B35,Finals!$J$1:$J$501,0),IFERROR(MATCH($A35&amp;O$1&amp;$B35,'F Proj'!$N$1:$N$7669,0),MATCH("NA"&amp;O$1&amp;$B35,'F Proj'!$N$1:$N$7669,0)))</f>
        <v>1105</v>
      </c>
      <c r="P35">
        <f>IF(Week&gt;=P$1,MATCH($A35&amp;"-"&amp;P$1&amp;$B35,Finals!$J$1:$J$501,0),IFERROR(MATCH($A35&amp;P$1&amp;$B35,'F Proj'!$N$1:$N$7669,0),MATCH("NA"&amp;P$1&amp;$B35,'F Proj'!$N$1:$N$7669,0)))</f>
        <v>943</v>
      </c>
      <c r="Q35">
        <f>IF(Week&gt;=Q$1,MATCH($A35&amp;"-"&amp;Q$1&amp;$B35,Finals!$J$1:$J$501,0),IFERROR(MATCH($A35&amp;Q$1&amp;$B35,'F Proj'!$N$1:$N$7669,0),MATCH("NA"&amp;Q$1&amp;$B35,'F Proj'!$N$1:$N$7669,0)))</f>
        <v>888</v>
      </c>
      <c r="R35">
        <f>IF(Week&gt;=R$1,MATCH($A35&amp;"-"&amp;R$1&amp;$B35,Finals!$J$1:$J$501,0),IFERROR(MATCH($A35&amp;R$1&amp;$B35,'F Proj'!$N$1:$N$7669,0),MATCH("NA"&amp;R$1&amp;$B35,'F Proj'!$N$1:$N$7669,0)))</f>
        <v>1214</v>
      </c>
      <c r="S35">
        <f>IF(Week&gt;=S$1,MATCH($A35&amp;"-"&amp;S$1&amp;$B35,Finals!$J$1:$J$501,0),IFERROR(MATCH($A35&amp;S$1&amp;$B35,'F Proj'!$N$1:$N$7669,0),MATCH("NA"&amp;S$1&amp;$B35,'F Proj'!$N$1:$N$7669,0)))</f>
        <v>1024</v>
      </c>
      <c r="T35">
        <f>IF(Week&gt;=C$1,INDEX(Finals!$G$1:$G$501,C35),INDEX('F Proj'!$D$1:$D$7669,C35))</f>
        <v>3.3</v>
      </c>
      <c r="U35">
        <f>IF(Week&gt;=D$1,INDEX(Finals!$G$1:$G$501,D35),INDEX('F Proj'!$D$1:$D$7669,D35))</f>
        <v>2.2000000000000002</v>
      </c>
      <c r="V35">
        <f>IF(Week&gt;=E$1,INDEX(Finals!$G$1:$G$501,E35),INDEX('F Proj'!$D$1:$D$7669,E35))</f>
        <v>9.9</v>
      </c>
      <c r="W35">
        <f>IF(Week&gt;=F$1,INDEX(Finals!$G$1:$G$501,F35),INDEX('F Proj'!$D$1:$D$7669,F35))</f>
        <v>18.5</v>
      </c>
      <c r="X35">
        <f>IF(Week&gt;=G$1,INDEX(Finals!$G$1:$G$501,G35),INDEX('F Proj'!$D$1:$D$7669,G35))</f>
        <v>10.91</v>
      </c>
      <c r="Y35">
        <f>IF(Week&gt;=H$1,INDEX(Finals!$G$1:$G$501,H35),INDEX('F Proj'!$D$1:$D$7669,H35))</f>
        <v>9.42</v>
      </c>
      <c r="Z35">
        <f>IF(Week&gt;=I$1,INDEX(Finals!$G$1:$G$501,I35),INDEX('F Proj'!$D$1:$D$7669,I35))</f>
        <v>10.64</v>
      </c>
      <c r="AA35">
        <f>IF(Week&gt;=J$1,INDEX(Finals!$G$1:$G$501,J35),INDEX('F Proj'!$D$1:$D$7669,J35))</f>
        <v>10.59</v>
      </c>
      <c r="AB35">
        <f>IF(Week&gt;=K$1,INDEX(Finals!$G$1:$G$501,K35),INDEX('F Proj'!$D$1:$D$7669,K35))</f>
        <v>10</v>
      </c>
      <c r="AC35">
        <f>IF(Week&gt;=L$1,INDEX(Finals!$G$1:$G$501,L35),INDEX('F Proj'!$D$1:$D$7669,L35))</f>
        <v>10.37</v>
      </c>
      <c r="AD35">
        <f>IF(Week&gt;=M$1,INDEX(Finals!$G$1:$G$501,M35),INDEX('F Proj'!$D$1:$D$7669,M35))</f>
        <v>10.17</v>
      </c>
      <c r="AE35">
        <f>IF(Week&gt;=N$1,INDEX(Finals!$G$1:$G$501,N35),INDEX('F Proj'!$D$1:$D$7669,N35))</f>
        <v>3.85</v>
      </c>
      <c r="AF35">
        <f>IF(Week&gt;=O$1,INDEX(Finals!$G$1:$G$501,O35),INDEX('F Proj'!$D$1:$D$7669,O35))</f>
        <v>9.8699999999999992</v>
      </c>
      <c r="AG35">
        <f>IF(Week&gt;=P$1,INDEX(Finals!$G$1:$G$501,P35),INDEX('F Proj'!$D$1:$D$7669,P35))</f>
        <v>10.86</v>
      </c>
      <c r="AH35">
        <f>IF(Week&gt;=Q$1,INDEX(Finals!$G$1:$G$501,Q35),INDEX('F Proj'!$D$1:$D$7669,Q35))</f>
        <v>11.33</v>
      </c>
      <c r="AI35">
        <f>IF(Week&gt;=R$1,INDEX(Finals!$G$1:$G$501,R35),INDEX('F Proj'!$D$1:$D$7669,R35))</f>
        <v>9.3000000000000007</v>
      </c>
      <c r="AJ35">
        <f>IF(Week&gt;=S$1,INDEX(Finals!$G$1:$G$501,S35),INDEX('F Proj'!$D$1:$D$7669,S35))</f>
        <v>10.29</v>
      </c>
      <c r="AK35">
        <f>IF(Week&gt;=C$1,INDEX(Finals!$I$1:$I$501,C35),INDEX('F Proj'!$J$1:$J$7669,C35))</f>
        <v>0</v>
      </c>
      <c r="AL35">
        <f>IF(Week&gt;=D$1,INDEX(Finals!$I$1:$I$501,D35),INDEX('F Proj'!$J$1:$J$7669,D35))</f>
        <v>0</v>
      </c>
      <c r="AM35">
        <f>IF(Week&gt;=E$1,INDEX(Finals!$I$1:$I$501,E35),INDEX('F Proj'!$J$1:$J$7669,E35))</f>
        <v>0</v>
      </c>
      <c r="AN35">
        <f>IF(Week&gt;=F$1,INDEX(Finals!$I$1:$I$501,F35),INDEX('F Proj'!$J$1:$J$7669,F35))</f>
        <v>0</v>
      </c>
      <c r="AO35">
        <f>IF(Week&gt;=G$1,INDEX(Finals!$I$1:$I$501,G35),INDEX('F Proj'!$J$1:$J$7669,G35))</f>
        <v>33.64</v>
      </c>
      <c r="AP35">
        <f>IF(Week&gt;=H$1,INDEX(Finals!$I$1:$I$501,H35),INDEX('F Proj'!$J$1:$J$7669,H35))</f>
        <v>28.196100000000001</v>
      </c>
      <c r="AQ35">
        <f>IF(Week&gt;=I$1,INDEX(Finals!$I$1:$I$501,I35),INDEX('F Proj'!$J$1:$J$7669,I35))</f>
        <v>34.339599999999997</v>
      </c>
      <c r="AR35">
        <f>IF(Week&gt;=J$1,INDEX(Finals!$I$1:$I$501,J35),INDEX('F Proj'!$J$1:$J$7669,J35))</f>
        <v>32.832900000000002</v>
      </c>
      <c r="AS35">
        <f>IF(Week&gt;=K$1,INDEX(Finals!$I$1:$I$501,K35),INDEX('F Proj'!$J$1:$J$7669,K35))</f>
        <v>29.4849</v>
      </c>
      <c r="AT35">
        <f>IF(Week&gt;=L$1,INDEX(Finals!$I$1:$I$501,L35),INDEX('F Proj'!$J$1:$J$7669,L35))</f>
        <v>31.472100000000001</v>
      </c>
      <c r="AU35">
        <f>IF(Week&gt;=M$1,INDEX(Finals!$I$1:$I$501,M35),INDEX('F Proj'!$J$1:$J$7669,M35))</f>
        <v>38.316099999999999</v>
      </c>
      <c r="AV35">
        <f>IF(Week&gt;=N$1,INDEX(Finals!$I$1:$I$501,N35),INDEX('F Proj'!$J$1:$J$7669,N35))</f>
        <v>12.8164</v>
      </c>
      <c r="AW35">
        <f>IF(Week&gt;=O$1,INDEX(Finals!$I$1:$I$501,O35),INDEX('F Proj'!$J$1:$J$7669,O35))</f>
        <v>25.300899999999999</v>
      </c>
      <c r="AX35">
        <f>IF(Week&gt;=P$1,INDEX(Finals!$I$1:$I$501,P35),INDEX('F Proj'!$J$1:$J$7669,P35))</f>
        <v>33.177599999999998</v>
      </c>
      <c r="AY35">
        <f>IF(Week&gt;=Q$1,INDEX(Finals!$I$1:$I$501,Q35),INDEX('F Proj'!$J$1:$J$7669,Q35))</f>
        <v>42.640900000000002</v>
      </c>
      <c r="AZ35">
        <f>IF(Week&gt;=R$1,INDEX(Finals!$I$1:$I$501,R35),INDEX('F Proj'!$J$1:$J$7669,R35))</f>
        <v>22.467600000000001</v>
      </c>
      <c r="BA35">
        <f>IF(Week&gt;=S$1,INDEX(Finals!$I$1:$I$501,S35),INDEX('F Proj'!$J$1:$J$7669,S35))</f>
        <v>25.300899999999999</v>
      </c>
    </row>
    <row r="36" spans="1:53" x14ac:dyDescent="0.25">
      <c r="A36" t="s">
        <v>55</v>
      </c>
      <c r="B36" t="s">
        <v>477</v>
      </c>
      <c r="C36">
        <f>IF(Week&gt;=C$1,MATCH($A36&amp;"-"&amp;C$1&amp;$B36,Finals!$J$1:$J$501,0),IFERROR(MATCH($A36&amp;C$1,'D Proj'!$V$1:$V$514,0),MATCH("NA"&amp;C$1,'D Proj'!$V$1:$V$514,0)))</f>
        <v>485</v>
      </c>
      <c r="D36">
        <f>IF(Week&gt;=D$1,MATCH($A36&amp;"-"&amp;D$1&amp;$B36,Finals!$J$1:$J$501,0),IFERROR(MATCH($A36&amp;D$1,'D Proj'!$V$1:$V$514,0),MATCH("NA"&amp;D$1,'D Proj'!$V$1:$V$514,0)))</f>
        <v>486</v>
      </c>
      <c r="E36">
        <f>IF(Week&gt;=E$1,MATCH($A36&amp;"-"&amp;E$1&amp;$B36,Finals!$J$1:$J$501,0),IFERROR(MATCH($A36&amp;E$1,'D Proj'!$V$1:$V$514,0),MATCH("NA"&amp;E$1,'D Proj'!$V$1:$V$514,0)))</f>
        <v>452</v>
      </c>
      <c r="F36">
        <f>IF(Week&gt;=F$1,MATCH($A36&amp;"-"&amp;F$1&amp;$B36,Finals!$J$1:$J$501,0),IFERROR(MATCH($A36&amp;F$1,'D Proj'!$V$1:$V$514,0),MATCH("NA"&amp;F$1,'D Proj'!$V$1:$V$514,0)))</f>
        <v>476</v>
      </c>
      <c r="G36">
        <f>IF(Week&gt;=G$1,MATCH($A36&amp;"-"&amp;G$1&amp;$B36,Finals!$J$1:$J$501,0),IFERROR(MATCH($A36&amp;G$1,'D Proj'!$V$1:$V$514,0),MATCH("NA"&amp;G$1,'D Proj'!$V$1:$V$514,0)))</f>
        <v>496</v>
      </c>
      <c r="H36">
        <f>IF(Week&gt;=H$1,MATCH($A36&amp;"-"&amp;H$1&amp;$B36,Finals!$J$1:$J$501,0),IFERROR(MATCH($A36&amp;H$1,'D Proj'!$V$1:$V$514,0),MATCH("NA"&amp;H$1,'D Proj'!$V$1:$V$514,0)))</f>
        <v>396</v>
      </c>
      <c r="I36">
        <f>IF(Week&gt;=I$1,MATCH($A36&amp;"-"&amp;I$1&amp;$B36,Finals!$J$1:$J$501,0),IFERROR(MATCH($A36&amp;I$1,'D Proj'!$V$1:$V$514,0),MATCH("NA"&amp;I$1,'D Proj'!$V$1:$V$514,0)))</f>
        <v>477</v>
      </c>
      <c r="J36">
        <f>IF(Week&gt;=J$1,MATCH($A36&amp;"-"&amp;J$1&amp;$B36,Finals!$J$1:$J$501,0),IFERROR(MATCH($A36&amp;J$1,'D Proj'!$V$1:$V$514,0),MATCH("NA"&amp;J$1,'D Proj'!$V$1:$V$514,0)))</f>
        <v>13</v>
      </c>
      <c r="K36">
        <f>IF(Week&gt;=K$1,MATCH($A36&amp;"-"&amp;K$1&amp;$B36,Finals!$J$1:$J$501,0),IFERROR(MATCH($A36&amp;K$1,'D Proj'!$V$1:$V$514,0),MATCH("NA"&amp;K$1,'D Proj'!$V$1:$V$514,0)))</f>
        <v>333</v>
      </c>
      <c r="L36">
        <f>IF(Week&gt;=L$1,MATCH($A36&amp;"-"&amp;L$1&amp;$B36,Finals!$J$1:$J$501,0),IFERROR(MATCH($A36&amp;L$1,'D Proj'!$V$1:$V$514,0),MATCH("NA"&amp;L$1,'D Proj'!$V$1:$V$514,0)))</f>
        <v>493</v>
      </c>
      <c r="M36">
        <f>IF(Week&gt;=M$1,MATCH($A36&amp;"-"&amp;M$1&amp;$B36,Finals!$J$1:$J$501,0),IFERROR(MATCH($A36&amp;M$1,'D Proj'!$V$1:$V$514,0),MATCH("NA"&amp;M$1,'D Proj'!$V$1:$V$514,0)))</f>
        <v>159</v>
      </c>
      <c r="N36">
        <f>IF(Week&gt;=N$1,MATCH($A36&amp;"-"&amp;N$1&amp;$B36,Finals!$J$1:$J$501,0),IFERROR(MATCH($A36&amp;N$1,'D Proj'!$V$1:$V$514,0),MATCH("NA"&amp;N$1,'D Proj'!$V$1:$V$514,0)))</f>
        <v>427</v>
      </c>
      <c r="O36">
        <f>IF(Week&gt;=O$1,MATCH($A36&amp;"-"&amp;O$1&amp;$B36,Finals!$J$1:$J$501,0),IFERROR(MATCH($A36&amp;O$1,'D Proj'!$V$1:$V$514,0),MATCH("NA"&amp;O$1,'D Proj'!$V$1:$V$514,0)))</f>
        <v>155</v>
      </c>
      <c r="P36">
        <f>IF(Week&gt;=P$1,MATCH($A36&amp;"-"&amp;P$1&amp;$B36,Finals!$J$1:$J$501,0),IFERROR(MATCH($A36&amp;P$1,'D Proj'!$V$1:$V$514,0),MATCH("NA"&amp;P$1,'D Proj'!$V$1:$V$514,0)))</f>
        <v>482</v>
      </c>
      <c r="Q36">
        <f>IF(Week&gt;=Q$1,MATCH($A36&amp;"-"&amp;Q$1&amp;$B36,Finals!$J$1:$J$501,0),IFERROR(MATCH($A36&amp;Q$1,'D Proj'!$V$1:$V$514,0),MATCH("NA"&amp;Q$1,'D Proj'!$V$1:$V$514,0)))</f>
        <v>94</v>
      </c>
      <c r="R36">
        <f>IF(Week&gt;=R$1,MATCH($A36&amp;"-"&amp;R$1&amp;$B36,Finals!$J$1:$J$501,0),IFERROR(MATCH($A36&amp;R$1,'D Proj'!$V$1:$V$514,0),MATCH("NA"&amp;R$1,'D Proj'!$V$1:$V$514,0)))</f>
        <v>435</v>
      </c>
      <c r="S36">
        <f>IF(Week&gt;=S$1,MATCH($A36&amp;"-"&amp;S$1&amp;$B36,Finals!$J$1:$J$501,0),IFERROR(MATCH($A36&amp;S$1,'D Proj'!$V$1:$V$514,0),MATCH("NA"&amp;S$1,'D Proj'!$V$1:$V$514,0)))</f>
        <v>160</v>
      </c>
      <c r="T36">
        <f>IF(Week&gt;=C$1,INDEX(Finals!$G$1:$G$501,C36),INDEX('D Proj'!$T$1:$T$513,C36))</f>
        <v>17</v>
      </c>
      <c r="U36">
        <f>IF(Week&gt;=D$1,INDEX(Finals!$G$1:$G$501,D36),INDEX('D Proj'!$T$1:$T$513,D36))</f>
        <v>-2</v>
      </c>
      <c r="V36">
        <f>IF(Week&gt;=E$1,INDEX(Finals!$G$1:$G$501,E36),INDEX('D Proj'!$T$1:$T$513,E36))</f>
        <v>15</v>
      </c>
      <c r="W36">
        <f>IF(Week&gt;=F$1,INDEX(Finals!$G$1:$G$501,F36),INDEX('D Proj'!$T$1:$T$513,F36))</f>
        <v>21</v>
      </c>
      <c r="X36">
        <f>IF(Week&gt;=G$1,INDEX(Finals!$G$1:$G$501,G36),INDEX('D Proj'!$T$1:$T$513,G36))</f>
        <v>7.16</v>
      </c>
      <c r="Y36">
        <f>IF(Week&gt;=H$1,INDEX(Finals!$G$1:$G$501,H36),INDEX('D Proj'!$T$1:$T$513,H36))</f>
        <v>4.45</v>
      </c>
      <c r="Z36">
        <f>IF(Week&gt;=I$1,INDEX(Finals!$G$1:$G$501,I36),INDEX('D Proj'!$T$1:$T$513,I36))</f>
        <v>2.92</v>
      </c>
      <c r="AA36">
        <f>IF(Week&gt;=J$1,INDEX(Finals!$G$1:$G$501,J36),INDEX('D Proj'!$T$1:$T$513,J36))</f>
        <v>9.32</v>
      </c>
      <c r="AB36">
        <f>IF(Week&gt;=K$1,INDEX(Finals!$G$1:$G$501,K36),INDEX('D Proj'!$T$1:$T$513,K36))</f>
        <v>5.28</v>
      </c>
      <c r="AC36">
        <f>IF(Week&gt;=L$1,INDEX(Finals!$G$1:$G$501,L36),INDEX('D Proj'!$T$1:$T$513,L36))</f>
        <v>2.7</v>
      </c>
      <c r="AD36">
        <f>IF(Week&gt;=M$1,INDEX(Finals!$G$1:$G$501,M36),INDEX('D Proj'!$T$1:$T$513,M36))</f>
        <v>7.06</v>
      </c>
      <c r="AE36">
        <f>IF(Week&gt;=N$1,INDEX(Finals!$G$1:$G$501,N36),INDEX('D Proj'!$T$1:$T$513,N36))</f>
        <v>3.89</v>
      </c>
      <c r="AF36">
        <f>IF(Week&gt;=O$1,INDEX(Finals!$G$1:$G$501,O36),INDEX('D Proj'!$T$1:$T$513,O36))</f>
        <v>7.1</v>
      </c>
      <c r="AG36">
        <f>IF(Week&gt;=P$1,INDEX(Finals!$G$1:$G$501,P36),INDEX('D Proj'!$T$1:$T$513,P36))</f>
        <v>2.86</v>
      </c>
      <c r="AH36">
        <f>IF(Week&gt;=Q$1,INDEX(Finals!$G$1:$G$501,Q36),INDEX('D Proj'!$T$1:$T$513,Q36))</f>
        <v>7.58</v>
      </c>
      <c r="AI36">
        <f>IF(Week&gt;=R$1,INDEX(Finals!$G$1:$G$501,R36),INDEX('D Proj'!$T$1:$T$513,R36))</f>
        <v>3.72</v>
      </c>
      <c r="AJ36">
        <f>IF(Week&gt;=S$1,INDEX(Finals!$G$1:$G$501,S36),INDEX('D Proj'!$T$1:$T$513,S36))</f>
        <v>7.06</v>
      </c>
      <c r="AK36">
        <f>IF(Week&gt;=C$1,INDEX(Finals!$I$1:$I$501,C36),INDEX('D Proj'!$N$1:$N$513,C36))</f>
        <v>0</v>
      </c>
      <c r="AL36">
        <f>IF(Week&gt;=D$1,INDEX(Finals!$I$1:$I$501,D36),INDEX('D Proj'!$N$1:$N$513,D36))</f>
        <v>0</v>
      </c>
      <c r="AM36">
        <f>IF(Week&gt;=E$1,INDEX(Finals!$I$1:$I$501,E36),INDEX('D Proj'!$N$1:$N$513,E36))</f>
        <v>0</v>
      </c>
      <c r="AN36">
        <f>IF(Week&gt;=F$1,INDEX(Finals!$I$1:$I$501,F36),INDEX('D Proj'!$N$1:$N$513,F36))</f>
        <v>0</v>
      </c>
      <c r="AO36">
        <f>IF(Week&gt;=G$1,INDEX(Finals!$I$1:$I$501,G36),INDEX('D Proj'!$N$1:$N$513,G36))</f>
        <v>37.332099999999997</v>
      </c>
      <c r="AP36">
        <f>IF(Week&gt;=H$1,INDEX(Finals!$I$1:$I$501,H36),INDEX('D Proj'!$N$1:$N$513,H36))</f>
        <v>20.702500000000001</v>
      </c>
      <c r="AQ36">
        <f>IF(Week&gt;=I$1,INDEX(Finals!$I$1:$I$501,I36),INDEX('D Proj'!$N$1:$N$513,I36))</f>
        <v>28.8369</v>
      </c>
      <c r="AR36">
        <f>IF(Week&gt;=J$1,INDEX(Finals!$I$1:$I$501,J36),INDEX('D Proj'!$N$1:$N$513,J36))</f>
        <v>40.832099999999997</v>
      </c>
      <c r="AS36">
        <f>IF(Week&gt;=K$1,INDEX(Finals!$I$1:$I$501,K36),INDEX('D Proj'!$N$1:$N$513,K36))</f>
        <v>31.696899999999999</v>
      </c>
      <c r="AT36">
        <f>IF(Week&gt;=L$1,INDEX(Finals!$I$1:$I$501,L36),INDEX('D Proj'!$N$1:$N$513,L36))</f>
        <v>27.984100000000002</v>
      </c>
      <c r="AU36">
        <f>IF(Week&gt;=M$1,INDEX(Finals!$I$1:$I$501,M36),INDEX('D Proj'!$N$1:$N$513,M36))</f>
        <v>19.802499999999998</v>
      </c>
      <c r="AV36">
        <f>IF(Week&gt;=N$1,INDEX(Finals!$I$1:$I$501,N36),INDEX('D Proj'!$N$1:$N$513,N36))</f>
        <v>23.522500000000001</v>
      </c>
      <c r="AW36">
        <f>IF(Week&gt;=O$1,INDEX(Finals!$I$1:$I$501,O36),INDEX('D Proj'!$N$1:$N$513,O36))</f>
        <v>29.593599999999999</v>
      </c>
      <c r="AX36">
        <f>IF(Week&gt;=P$1,INDEX(Finals!$I$1:$I$501,P36),INDEX('D Proj'!$N$1:$N$513,P36))</f>
        <v>24.1081</v>
      </c>
      <c r="AY36">
        <f>IF(Week&gt;=Q$1,INDEX(Finals!$I$1:$I$501,Q36),INDEX('D Proj'!$N$1:$N$513,Q36))</f>
        <v>43.0336</v>
      </c>
      <c r="AZ36">
        <f>IF(Week&gt;=R$1,INDEX(Finals!$I$1:$I$501,R36),INDEX('D Proj'!$N$1:$N$513,R36))</f>
        <v>24.3049</v>
      </c>
      <c r="BA36">
        <f>IF(Week&gt;=S$1,INDEX(Finals!$I$1:$I$501,S36),INDEX('D Proj'!$N$1:$N$513,S36))</f>
        <v>19.802499999999998</v>
      </c>
    </row>
    <row r="37" spans="1:53" x14ac:dyDescent="0.25">
      <c r="A37" t="s">
        <v>55</v>
      </c>
      <c r="B37" t="s">
        <v>478</v>
      </c>
      <c r="C37">
        <f>IF(Week&gt;=C$1,MATCH($A37&amp;"-"&amp;C$1&amp;$B37,Finals!$J$1:$J$501,0),IFERROR(MATCH($A37&amp;C$1,'K Proj'!$R$1:$R$508,0),MATCH("NA"&amp;C$1,'K Proj'!$R$1:$R$508,0)))</f>
        <v>407</v>
      </c>
      <c r="D37">
        <f>IF(Week&gt;=D$1,MATCH($A37&amp;"-"&amp;D$1&amp;$B37,Finals!$J$1:$J$501,0),IFERROR(MATCH($A37&amp;D$1,'K Proj'!$R$1:$R$508,0),MATCH("NA"&amp;D$1,'K Proj'!$R$1:$R$508,0)))</f>
        <v>415</v>
      </c>
      <c r="E37">
        <f>IF(Week&gt;=E$1,MATCH($A37&amp;"-"&amp;E$1&amp;$B37,Finals!$J$1:$J$501,0),IFERROR(MATCH($A37&amp;E$1,'K Proj'!$R$1:$R$508,0),MATCH("NA"&amp;E$1,'K Proj'!$R$1:$R$508,0)))</f>
        <v>406</v>
      </c>
      <c r="F37">
        <f>IF(Week&gt;=F$1,MATCH($A37&amp;"-"&amp;F$1&amp;$B37,Finals!$J$1:$J$501,0),IFERROR(MATCH($A37&amp;F$1,'K Proj'!$R$1:$R$508,0),MATCH("NA"&amp;F$1,'K Proj'!$R$1:$R$508,0)))</f>
        <v>439</v>
      </c>
      <c r="G37">
        <f>IF(Week&gt;=G$1,MATCH($A37&amp;"-"&amp;G$1&amp;$B37,Finals!$J$1:$J$501,0),IFERROR(MATCH($A37&amp;G$1,'K Proj'!$R$1:$R$508,0),MATCH("NA"&amp;G$1,'K Proj'!$R$1:$R$508,0)))</f>
        <v>402</v>
      </c>
      <c r="H37">
        <f>IF(Week&gt;=H$1,MATCH($A37&amp;"-"&amp;H$1&amp;$B37,Finals!$J$1:$J$501,0),IFERROR(MATCH($A37&amp;H$1,'K Proj'!$R$1:$R$508,0),MATCH("NA"&amp;H$1,'K Proj'!$R$1:$R$508,0)))</f>
        <v>89</v>
      </c>
      <c r="I37">
        <f>IF(Week&gt;=I$1,MATCH($A37&amp;"-"&amp;I$1&amp;$B37,Finals!$J$1:$J$501,0),IFERROR(MATCH($A37&amp;I$1,'K Proj'!$R$1:$R$508,0),MATCH("NA"&amp;I$1,'K Proj'!$R$1:$R$508,0)))</f>
        <v>66</v>
      </c>
      <c r="J37">
        <f>IF(Week&gt;=J$1,MATCH($A37&amp;"-"&amp;J$1&amp;$B37,Finals!$J$1:$J$501,0),IFERROR(MATCH($A37&amp;J$1,'K Proj'!$R$1:$R$508,0),MATCH("NA"&amp;J$1,'K Proj'!$R$1:$R$508,0)))</f>
        <v>73</v>
      </c>
      <c r="K37">
        <f>IF(Week&gt;=K$1,MATCH($A37&amp;"-"&amp;K$1&amp;$B37,Finals!$J$1:$J$501,0),IFERROR(MATCH($A37&amp;K$1,'K Proj'!$R$1:$R$508,0),MATCH("NA"&amp;K$1,'K Proj'!$R$1:$R$508,0)))</f>
        <v>25</v>
      </c>
      <c r="L37">
        <f>IF(Week&gt;=L$1,MATCH($A37&amp;"-"&amp;L$1&amp;$B37,Finals!$J$1:$J$501,0),IFERROR(MATCH($A37&amp;L$1,'K Proj'!$R$1:$R$508,0),MATCH("NA"&amp;L$1,'K Proj'!$R$1:$R$508,0)))</f>
        <v>36</v>
      </c>
      <c r="M37">
        <f>IF(Week&gt;=M$1,MATCH($A37&amp;"-"&amp;M$1&amp;$B37,Finals!$J$1:$J$501,0),IFERROR(MATCH($A37&amp;M$1,'K Proj'!$R$1:$R$508,0),MATCH("NA"&amp;M$1,'K Proj'!$R$1:$R$508,0)))</f>
        <v>40</v>
      </c>
      <c r="N37">
        <f>IF(Week&gt;=N$1,MATCH($A37&amp;"-"&amp;N$1&amp;$B37,Finals!$J$1:$J$501,0),IFERROR(MATCH($A37&amp;N$1,'K Proj'!$R$1:$R$508,0),MATCH("NA"&amp;N$1,'K Proj'!$R$1:$R$508,0)))</f>
        <v>111</v>
      </c>
      <c r="O37">
        <f>IF(Week&gt;=O$1,MATCH($A37&amp;"-"&amp;O$1&amp;$B37,Finals!$J$1:$J$501,0),IFERROR(MATCH($A37&amp;O$1,'K Proj'!$R$1:$R$508,0),MATCH("NA"&amp;O$1,'K Proj'!$R$1:$R$508,0)))</f>
        <v>44</v>
      </c>
      <c r="P37">
        <f>IF(Week&gt;=P$1,MATCH($A37&amp;"-"&amp;P$1&amp;$B37,Finals!$J$1:$J$501,0),IFERROR(MATCH($A37&amp;P$1,'K Proj'!$R$1:$R$508,0),MATCH("NA"&amp;P$1,'K Proj'!$R$1:$R$508,0)))</f>
        <v>92</v>
      </c>
      <c r="Q37">
        <f>IF(Week&gt;=Q$1,MATCH($A37&amp;"-"&amp;Q$1&amp;$B37,Finals!$J$1:$J$501,0),IFERROR(MATCH($A37&amp;Q$1,'K Proj'!$R$1:$R$508,0),MATCH("NA"&amp;Q$1,'K Proj'!$R$1:$R$508,0)))</f>
        <v>18</v>
      </c>
      <c r="R37">
        <f>IF(Week&gt;=R$1,MATCH($A37&amp;"-"&amp;R$1&amp;$B37,Finals!$J$1:$J$501,0),IFERROR(MATCH($A37&amp;R$1,'K Proj'!$R$1:$R$508,0),MATCH("NA"&amp;R$1,'K Proj'!$R$1:$R$508,0)))</f>
        <v>41</v>
      </c>
      <c r="S37">
        <f>IF(Week&gt;=S$1,MATCH($A37&amp;"-"&amp;S$1&amp;$B37,Finals!$J$1:$J$501,0),IFERROR(MATCH($A37&amp;S$1,'K Proj'!$R$1:$R$508,0),MATCH("NA"&amp;S$1,'K Proj'!$R$1:$R$508,0)))</f>
        <v>53</v>
      </c>
      <c r="T37">
        <f>IF(Week&gt;=C$1,INDEX(Finals!$G$1:$G$501,C37),INDEX('K Proj'!$L$1:$L$508,C37))</f>
        <v>4</v>
      </c>
      <c r="U37">
        <f>IF(Week&gt;=D$1,INDEX(Finals!$G$1:$G$501,D37),INDEX('K Proj'!$L$1:$L$508,D37))</f>
        <v>0</v>
      </c>
      <c r="V37">
        <f>IF(Week&gt;=E$1,INDEX(Finals!$G$1:$G$501,E37),INDEX('K Proj'!$L$1:$L$508,E37))</f>
        <v>0</v>
      </c>
      <c r="W37">
        <f>IF(Week&gt;=F$1,INDEX(Finals!$G$1:$G$501,F37),INDEX('K Proj'!$L$1:$L$508,F37))</f>
        <v>9</v>
      </c>
      <c r="X37">
        <f>IF(Week&gt;=G$1,INDEX(Finals!$G$1:$G$501,G37),INDEX('K Proj'!$L$1:$L$508,G37))</f>
        <v>8.64</v>
      </c>
      <c r="Y37">
        <f>IF(Week&gt;=H$1,INDEX(Finals!$G$1:$G$501,H37),INDEX('K Proj'!$L$1:$L$508,H37))</f>
        <v>8.09</v>
      </c>
      <c r="Z37">
        <f>IF(Week&gt;=I$1,INDEX(Finals!$G$1:$G$501,I37),INDEX('K Proj'!$L$1:$L$508,I37))</f>
        <v>8.2899999999999991</v>
      </c>
      <c r="AA37">
        <f>IF(Week&gt;=J$1,INDEX(Finals!$G$1:$G$501,J37),INDEX('K Proj'!$L$1:$L$508,J37))</f>
        <v>8.2200000000000006</v>
      </c>
      <c r="AB37">
        <f>IF(Week&gt;=K$1,INDEX(Finals!$G$1:$G$501,K37),INDEX('K Proj'!$L$1:$L$508,K37))</f>
        <v>8.7200000000000006</v>
      </c>
      <c r="AC37">
        <f>IF(Week&gt;=L$1,INDEX(Finals!$G$1:$G$501,L37),INDEX('K Proj'!$L$1:$L$508,L37))</f>
        <v>8.6</v>
      </c>
      <c r="AD37">
        <f>IF(Week&gt;=M$1,INDEX(Finals!$G$1:$G$501,M37),INDEX('K Proj'!$L$1:$L$508,M37))</f>
        <v>8.5</v>
      </c>
      <c r="AE37">
        <f>IF(Week&gt;=N$1,INDEX(Finals!$G$1:$G$501,N37),INDEX('K Proj'!$L$1:$L$508,N37))</f>
        <v>7.9</v>
      </c>
      <c r="AF37">
        <f>IF(Week&gt;=O$1,INDEX(Finals!$G$1:$G$501,O37),INDEX('K Proj'!$L$1:$L$508,O37))</f>
        <v>8.48</v>
      </c>
      <c r="AG37">
        <f>IF(Week&gt;=P$1,INDEX(Finals!$G$1:$G$501,P37),INDEX('K Proj'!$L$1:$L$508,P37))</f>
        <v>8.0500000000000007</v>
      </c>
      <c r="AH37">
        <f>IF(Week&gt;=Q$1,INDEX(Finals!$G$1:$G$501,Q37),INDEX('K Proj'!$L$1:$L$508,Q37))</f>
        <v>8.85</v>
      </c>
      <c r="AI37">
        <f>IF(Week&gt;=R$1,INDEX(Finals!$G$1:$G$501,R37),INDEX('K Proj'!$L$1:$L$508,R37))</f>
        <v>8.49</v>
      </c>
      <c r="AJ37">
        <f>IF(Week&gt;=S$1,INDEX(Finals!$G$1:$G$501,S37),INDEX('K Proj'!$L$1:$L$508,S37))</f>
        <v>8.42</v>
      </c>
      <c r="AK37">
        <f>IF(Week&gt;=C$1,INDEX(Finals!$I$1:$I$501,C37),INDEX('K Proj'!$P$1:$P$508,C37))</f>
        <v>0</v>
      </c>
      <c r="AL37">
        <f>IF(Week&gt;=D$1,INDEX(Finals!$I$1:$I$501,D37),INDEX('K Proj'!$P$1:$P$508,D37))</f>
        <v>0</v>
      </c>
      <c r="AM37">
        <f>IF(Week&gt;=E$1,INDEX(Finals!$I$1:$I$501,E37),INDEX('K Proj'!$P$1:$P$508,E37))</f>
        <v>0</v>
      </c>
      <c r="AN37">
        <f>IF(Week&gt;=F$1,INDEX(Finals!$I$1:$I$501,F37),INDEX('K Proj'!$P$1:$P$508,F37))</f>
        <v>0</v>
      </c>
      <c r="AO37">
        <f>IF(Week&gt;=G$1,INDEX(Finals!$I$1:$I$501,G37),INDEX('K Proj'!$P$1:$P$508,G37))</f>
        <v>23.912099999999999</v>
      </c>
      <c r="AP37">
        <f>IF(Week&gt;=H$1,INDEX(Finals!$I$1:$I$501,H37),INDEX('K Proj'!$P$1:$P$508,H37))</f>
        <v>16.080100000000002</v>
      </c>
      <c r="AQ37">
        <f>IF(Week&gt;=I$1,INDEX(Finals!$I$1:$I$501,I37),INDEX('K Proj'!$P$1:$P$508,I37))</f>
        <v>11.833600000000001</v>
      </c>
      <c r="AR37">
        <f>IF(Week&gt;=J$1,INDEX(Finals!$I$1:$I$501,J37),INDEX('K Proj'!$P$1:$P$508,J37))</f>
        <v>17.7241</v>
      </c>
      <c r="AS37">
        <f>IF(Week&gt;=K$1,INDEX(Finals!$I$1:$I$501,K37),INDEX('K Proj'!$P$1:$P$508,K37))</f>
        <v>17.139600000000002</v>
      </c>
      <c r="AT37">
        <f>IF(Week&gt;=L$1,INDEX(Finals!$I$1:$I$501,L37),INDEX('K Proj'!$P$1:$P$508,L37))</f>
        <v>12.96</v>
      </c>
      <c r="AU37">
        <f>IF(Week&gt;=M$1,INDEX(Finals!$I$1:$I$501,M37),INDEX('K Proj'!$P$1:$P$508,M37))</f>
        <v>17.305599999999998</v>
      </c>
      <c r="AV37">
        <f>IF(Week&gt;=N$1,INDEX(Finals!$I$1:$I$501,N37),INDEX('K Proj'!$P$1:$P$508,N37))</f>
        <v>14.8225</v>
      </c>
      <c r="AW37">
        <f>IF(Week&gt;=O$1,INDEX(Finals!$I$1:$I$501,O37),INDEX('K Proj'!$P$1:$P$508,O37))</f>
        <v>13.616099999999999</v>
      </c>
      <c r="AX37">
        <f>IF(Week&gt;=P$1,INDEX(Finals!$I$1:$I$501,P37),INDEX('K Proj'!$P$1:$P$508,P37))</f>
        <v>16.974399999999999</v>
      </c>
      <c r="AY37">
        <f>IF(Week&gt;=Q$1,INDEX(Finals!$I$1:$I$501,Q37),INDEX('K Proj'!$P$1:$P$508,Q37))</f>
        <v>17.3889</v>
      </c>
      <c r="AZ37">
        <f>IF(Week&gt;=R$1,INDEX(Finals!$I$1:$I$501,R37),INDEX('K Proj'!$P$1:$P$508,R37))</f>
        <v>20.25</v>
      </c>
      <c r="BA37">
        <f>IF(Week&gt;=S$1,INDEX(Finals!$I$1:$I$501,S37),INDEX('K Proj'!$P$1:$P$508,S37))</f>
        <v>19.4481</v>
      </c>
    </row>
    <row r="38" spans="1:53" x14ac:dyDescent="0.25">
      <c r="A38" t="s">
        <v>35</v>
      </c>
      <c r="B38" t="s">
        <v>467</v>
      </c>
      <c r="C38">
        <f>IF(Week&gt;=C$1,MATCH($A38&amp;"-"&amp;C$1&amp;$B38,Finals!$J$1:$J$501,0),IFERROR(MATCH($A38&amp;C$1&amp;$B38,'F Proj'!$N$1:$N$7669,0),MATCH("NA"&amp;C$1&amp;$B38,'F Proj'!$N$1:$N$7669,0)))</f>
        <v>63</v>
      </c>
      <c r="D38">
        <f>IF(Week&gt;=D$1,MATCH($A38&amp;"-"&amp;D$1&amp;$B38,Finals!$J$1:$J$501,0),IFERROR(MATCH($A38&amp;D$1&amp;$B38,'F Proj'!$N$1:$N$7669,0),MATCH("NA"&amp;D$1&amp;$B38,'F Proj'!$N$1:$N$7669,0)))</f>
        <v>64</v>
      </c>
      <c r="E38">
        <f>IF(Week&gt;=E$1,MATCH($A38&amp;"-"&amp;E$1&amp;$B38,Finals!$J$1:$J$501,0),IFERROR(MATCH($A38&amp;E$1&amp;$B38,'F Proj'!$N$1:$N$7669,0),MATCH("NA"&amp;E$1&amp;$B38,'F Proj'!$N$1:$N$7669,0)))</f>
        <v>65</v>
      </c>
      <c r="F38">
        <f>IF(Week&gt;=F$1,MATCH($A38&amp;"-"&amp;F$1&amp;$B38,Finals!$J$1:$J$501,0),IFERROR(MATCH($A38&amp;F$1&amp;$B38,'F Proj'!$N$1:$N$7669,0),MATCH("NA"&amp;F$1&amp;$B38,'F Proj'!$N$1:$N$7669,0)))</f>
        <v>276</v>
      </c>
      <c r="G38">
        <f>IF(Week&gt;=G$1,MATCH($A38&amp;"-"&amp;G$1&amp;$B38,Finals!$J$1:$J$501,0),IFERROR(MATCH($A38&amp;G$1&amp;$B38,'F Proj'!$N$1:$N$7669,0),MATCH("NA"&amp;G$1&amp;$B38,'F Proj'!$N$1:$N$7669,0)))</f>
        <v>277</v>
      </c>
      <c r="H38">
        <f>IF(Week&gt;=H$1,MATCH($A38&amp;"-"&amp;H$1&amp;$B38,Finals!$J$1:$J$501,0),IFERROR(MATCH($A38&amp;H$1&amp;$B38,'F Proj'!$N$1:$N$7669,0),MATCH("NA"&amp;H$1&amp;$B38,'F Proj'!$N$1:$N$7669,0)))</f>
        <v>134</v>
      </c>
      <c r="I38">
        <f>IF(Week&gt;=I$1,MATCH($A38&amp;"-"&amp;I$1&amp;$B38,Finals!$J$1:$J$501,0),IFERROR(MATCH($A38&amp;I$1&amp;$B38,'F Proj'!$N$1:$N$7669,0),MATCH("NA"&amp;I$1&amp;$B38,'F Proj'!$N$1:$N$7669,0)))</f>
        <v>278</v>
      </c>
      <c r="J38">
        <f>IF(Week&gt;=J$1,MATCH($A38&amp;"-"&amp;J$1&amp;$B38,Finals!$J$1:$J$501,0),IFERROR(MATCH($A38&amp;J$1&amp;$B38,'F Proj'!$N$1:$N$7669,0),MATCH("NA"&amp;J$1&amp;$B38,'F Proj'!$N$1:$N$7669,0)))</f>
        <v>263</v>
      </c>
      <c r="K38">
        <f>IF(Week&gt;=K$1,MATCH($A38&amp;"-"&amp;K$1&amp;$B38,Finals!$J$1:$J$501,0),IFERROR(MATCH($A38&amp;K$1&amp;$B38,'F Proj'!$N$1:$N$7669,0),MATCH("NA"&amp;K$1&amp;$B38,'F Proj'!$N$1:$N$7669,0)))</f>
        <v>4</v>
      </c>
      <c r="L38">
        <f>IF(Week&gt;=L$1,MATCH($A38&amp;"-"&amp;L$1&amp;$B38,Finals!$J$1:$J$501,0),IFERROR(MATCH($A38&amp;L$1&amp;$B38,'F Proj'!$N$1:$N$7669,0),MATCH("NA"&amp;L$1&amp;$B38,'F Proj'!$N$1:$N$7669,0)))</f>
        <v>148</v>
      </c>
      <c r="M38">
        <f>IF(Week&gt;=M$1,MATCH($A38&amp;"-"&amp;M$1&amp;$B38,Finals!$J$1:$J$501,0),IFERROR(MATCH($A38&amp;M$1&amp;$B38,'F Proj'!$N$1:$N$7669,0),MATCH("NA"&amp;M$1&amp;$B38,'F Proj'!$N$1:$N$7669,0)))</f>
        <v>32</v>
      </c>
      <c r="N38">
        <f>IF(Week&gt;=N$1,MATCH($A38&amp;"-"&amp;N$1&amp;$B38,Finals!$J$1:$J$501,0),IFERROR(MATCH($A38&amp;N$1&amp;$B38,'F Proj'!$N$1:$N$7669,0),MATCH("NA"&amp;N$1&amp;$B38,'F Proj'!$N$1:$N$7669,0)))</f>
        <v>222</v>
      </c>
      <c r="O38">
        <f>IF(Week&gt;=O$1,MATCH($A38&amp;"-"&amp;O$1&amp;$B38,Finals!$J$1:$J$501,0),IFERROR(MATCH($A38&amp;O$1&amp;$B38,'F Proj'!$N$1:$N$7669,0),MATCH("NA"&amp;O$1&amp;$B38,'F Proj'!$N$1:$N$7669,0)))</f>
        <v>15</v>
      </c>
      <c r="P38">
        <f>IF(Week&gt;=P$1,MATCH($A38&amp;"-"&amp;P$1&amp;$B38,Finals!$J$1:$J$501,0),IFERROR(MATCH($A38&amp;P$1&amp;$B38,'F Proj'!$N$1:$N$7669,0),MATCH("NA"&amp;P$1&amp;$B38,'F Proj'!$N$1:$N$7669,0)))</f>
        <v>152</v>
      </c>
      <c r="Q38">
        <f>IF(Week&gt;=Q$1,MATCH($A38&amp;"-"&amp;Q$1&amp;$B38,Finals!$J$1:$J$501,0),IFERROR(MATCH($A38&amp;Q$1&amp;$B38,'F Proj'!$N$1:$N$7669,0),MATCH("NA"&amp;Q$1&amp;$B38,'F Proj'!$N$1:$N$7669,0)))</f>
        <v>26</v>
      </c>
      <c r="R38">
        <f>IF(Week&gt;=R$1,MATCH($A38&amp;"-"&amp;R$1&amp;$B38,Finals!$J$1:$J$501,0),IFERROR(MATCH($A38&amp;R$1&amp;$B38,'F Proj'!$N$1:$N$7669,0),MATCH("NA"&amp;R$1&amp;$B38,'F Proj'!$N$1:$N$7669,0)))</f>
        <v>19</v>
      </c>
      <c r="S38">
        <f>IF(Week&gt;=S$1,MATCH($A38&amp;"-"&amp;S$1&amp;$B38,Finals!$J$1:$J$501,0),IFERROR(MATCH($A38&amp;S$1&amp;$B38,'F Proj'!$N$1:$N$7669,0),MATCH("NA"&amp;S$1&amp;$B38,'F Proj'!$N$1:$N$7669,0)))</f>
        <v>68</v>
      </c>
      <c r="T38">
        <f>IF(Week&gt;=C$1,INDEX(Finals!$G$1:$G$501,C38),INDEX('F Proj'!$D$1:$D$7669,C38))</f>
        <v>18.2</v>
      </c>
      <c r="U38">
        <f>IF(Week&gt;=D$1,INDEX(Finals!$G$1:$G$501,D38),INDEX('F Proj'!$D$1:$D$7669,D38))</f>
        <v>27.6</v>
      </c>
      <c r="V38">
        <f>IF(Week&gt;=E$1,INDEX(Finals!$G$1:$G$501,E38),INDEX('F Proj'!$D$1:$D$7669,E38))</f>
        <v>29.6</v>
      </c>
      <c r="W38">
        <f>IF(Week&gt;=F$1,INDEX(Finals!$G$1:$G$501,F38),INDEX('F Proj'!$D$1:$D$7669,F38))</f>
        <v>29.3</v>
      </c>
      <c r="X38">
        <f>IF(Week&gt;=G$1,INDEX(Finals!$G$1:$G$501,G38),INDEX('F Proj'!$D$1:$D$7669,G38))</f>
        <v>21.48</v>
      </c>
      <c r="Y38">
        <f>IF(Week&gt;=H$1,INDEX(Finals!$G$1:$G$501,H38),INDEX('F Proj'!$D$1:$D$7669,H38))</f>
        <v>20.02</v>
      </c>
      <c r="Z38">
        <f>IF(Week&gt;=I$1,INDEX(Finals!$G$1:$G$501,I38),INDEX('F Proj'!$D$1:$D$7669,I38))</f>
        <v>17.97</v>
      </c>
      <c r="AA38">
        <f>IF(Week&gt;=J$1,INDEX(Finals!$G$1:$G$501,J38),INDEX('F Proj'!$D$1:$D$7669,J38))</f>
        <v>18.3</v>
      </c>
      <c r="AB38">
        <f>IF(Week&gt;=K$1,INDEX(Finals!$G$1:$G$501,K38),INDEX('F Proj'!$D$1:$D$7669,K38))</f>
        <v>25.59</v>
      </c>
      <c r="AC38">
        <f>IF(Week&gt;=L$1,INDEX(Finals!$G$1:$G$501,L38),INDEX('F Proj'!$D$1:$D$7669,L38))</f>
        <v>19.809999999999999</v>
      </c>
      <c r="AD38">
        <f>IF(Week&gt;=M$1,INDEX(Finals!$G$1:$G$501,M38),INDEX('F Proj'!$D$1:$D$7669,M38))</f>
        <v>22.7</v>
      </c>
      <c r="AE38">
        <f>IF(Week&gt;=N$1,INDEX(Finals!$G$1:$G$501,N38),INDEX('F Proj'!$D$1:$D$7669,N38))</f>
        <v>18.79</v>
      </c>
      <c r="AF38">
        <f>IF(Week&gt;=O$1,INDEX(Finals!$G$1:$G$501,O38),INDEX('F Proj'!$D$1:$D$7669,O38))</f>
        <v>23.74</v>
      </c>
      <c r="AG38">
        <f>IF(Week&gt;=P$1,INDEX(Finals!$G$1:$G$501,P38),INDEX('F Proj'!$D$1:$D$7669,P38))</f>
        <v>19.8</v>
      </c>
      <c r="AH38">
        <f>IF(Week&gt;=Q$1,INDEX(Finals!$G$1:$G$501,Q38),INDEX('F Proj'!$D$1:$D$7669,Q38))</f>
        <v>23.05</v>
      </c>
      <c r="AI38">
        <f>IF(Week&gt;=R$1,INDEX(Finals!$G$1:$G$501,R38),INDEX('F Proj'!$D$1:$D$7669,R38))</f>
        <v>23.31</v>
      </c>
      <c r="AJ38">
        <f>IF(Week&gt;=S$1,INDEX(Finals!$G$1:$G$501,S38),INDEX('F Proj'!$D$1:$D$7669,S38))</f>
        <v>21.38</v>
      </c>
      <c r="AK38">
        <f>IF(Week&gt;=C$1,INDEX(Finals!$I$1:$I$501,C38),INDEX('F Proj'!$J$1:$J$7669,C38))</f>
        <v>0</v>
      </c>
      <c r="AL38">
        <f>IF(Week&gt;=D$1,INDEX(Finals!$I$1:$I$501,D38),INDEX('F Proj'!$J$1:$J$7669,D38))</f>
        <v>0</v>
      </c>
      <c r="AM38">
        <f>IF(Week&gt;=E$1,INDEX(Finals!$I$1:$I$501,E38),INDEX('F Proj'!$J$1:$J$7669,E38))</f>
        <v>0</v>
      </c>
      <c r="AN38">
        <f>IF(Week&gt;=F$1,INDEX(Finals!$I$1:$I$501,F38),INDEX('F Proj'!$J$1:$J$7669,F38))</f>
        <v>0</v>
      </c>
      <c r="AO38">
        <f>IF(Week&gt;=G$1,INDEX(Finals!$I$1:$I$501,G38),INDEX('F Proj'!$J$1:$J$7669,G38))</f>
        <v>81.180099999999996</v>
      </c>
      <c r="AP38">
        <f>IF(Week&gt;=H$1,INDEX(Finals!$I$1:$I$501,H38),INDEX('F Proj'!$J$1:$J$7669,H38))</f>
        <v>58.828899999999997</v>
      </c>
      <c r="AQ38">
        <f>IF(Week&gt;=I$1,INDEX(Finals!$I$1:$I$501,I38),INDEX('F Proj'!$J$1:$J$7669,I38))</f>
        <v>58.369599999999998</v>
      </c>
      <c r="AR38">
        <f>IF(Week&gt;=J$1,INDEX(Finals!$I$1:$I$501,J38),INDEX('F Proj'!$J$1:$J$7669,J38))</f>
        <v>58.982399999999998</v>
      </c>
      <c r="AS38">
        <f>IF(Week&gt;=K$1,INDEX(Finals!$I$1:$I$501,K38),INDEX('F Proj'!$J$1:$J$7669,K38))</f>
        <v>80.460899999999995</v>
      </c>
      <c r="AT38">
        <f>IF(Week&gt;=L$1,INDEX(Finals!$I$1:$I$501,L38),INDEX('F Proj'!$J$1:$J$7669,L38))</f>
        <v>68.724100000000007</v>
      </c>
      <c r="AU38">
        <f>IF(Week&gt;=M$1,INDEX(Finals!$I$1:$I$501,M38),INDEX('F Proj'!$J$1:$J$7669,M38))</f>
        <v>82.81</v>
      </c>
      <c r="AV38">
        <f>IF(Week&gt;=N$1,INDEX(Finals!$I$1:$I$501,N38),INDEX('F Proj'!$J$1:$J$7669,N38))</f>
        <v>50.979599999999998</v>
      </c>
      <c r="AW38">
        <f>IF(Week&gt;=O$1,INDEX(Finals!$I$1:$I$501,O38),INDEX('F Proj'!$J$1:$J$7669,O38))</f>
        <v>80.460899999999995</v>
      </c>
      <c r="AX38">
        <f>IF(Week&gt;=P$1,INDEX(Finals!$I$1:$I$501,P38),INDEX('F Proj'!$J$1:$J$7669,P38))</f>
        <v>76.912899999999993</v>
      </c>
      <c r="AY38">
        <f>IF(Week&gt;=Q$1,INDEX(Finals!$I$1:$I$501,Q38),INDEX('F Proj'!$J$1:$J$7669,Q38))</f>
        <v>83.539599999999993</v>
      </c>
      <c r="AZ38">
        <f>IF(Week&gt;=R$1,INDEX(Finals!$I$1:$I$501,R38),INDEX('F Proj'!$J$1:$J$7669,R38))</f>
        <v>65.124899999999997</v>
      </c>
      <c r="BA38">
        <f>IF(Week&gt;=S$1,INDEX(Finals!$I$1:$I$501,S38),INDEX('F Proj'!$J$1:$J$7669,S38))</f>
        <v>83.539599999999993</v>
      </c>
    </row>
    <row r="39" spans="1:53" x14ac:dyDescent="0.25">
      <c r="A39" t="s">
        <v>35</v>
      </c>
      <c r="B39" t="s">
        <v>468</v>
      </c>
      <c r="C39">
        <f>IF(Week&gt;=C$1,MATCH($A39&amp;"-"&amp;C$1&amp;$B39,Finals!$J$1:$J$501,0),IFERROR(MATCH($A39&amp;C$1&amp;$B39,'F Proj'!$N$1:$N$7669,0),MATCH("NA"&amp;C$1&amp;$B39,'F Proj'!$N$1:$N$7669,0)))</f>
        <v>149</v>
      </c>
      <c r="D39">
        <f>IF(Week&gt;=D$1,MATCH($A39&amp;"-"&amp;D$1&amp;$B39,Finals!$J$1:$J$501,0),IFERROR(MATCH($A39&amp;D$1&amp;$B39,'F Proj'!$N$1:$N$7669,0),MATCH("NA"&amp;D$1&amp;$B39,'F Proj'!$N$1:$N$7669,0)))</f>
        <v>150</v>
      </c>
      <c r="E39">
        <f>IF(Week&gt;=E$1,MATCH($A39&amp;"-"&amp;E$1&amp;$B39,Finals!$J$1:$J$501,0),IFERROR(MATCH($A39&amp;E$1&amp;$B39,'F Proj'!$N$1:$N$7669,0),MATCH("NA"&amp;E$1&amp;$B39,'F Proj'!$N$1:$N$7669,0)))</f>
        <v>80</v>
      </c>
      <c r="F39">
        <f>IF(Week&gt;=F$1,MATCH($A39&amp;"-"&amp;F$1&amp;$B39,Finals!$J$1:$J$501,0),IFERROR(MATCH($A39&amp;F$1&amp;$B39,'F Proj'!$N$1:$N$7669,0),MATCH("NA"&amp;F$1&amp;$B39,'F Proj'!$N$1:$N$7669,0)))</f>
        <v>307</v>
      </c>
      <c r="G39">
        <f>IF(Week&gt;=G$1,MATCH($A39&amp;"-"&amp;G$1&amp;$B39,Finals!$J$1:$J$501,0),IFERROR(MATCH($A39&amp;G$1&amp;$B39,'F Proj'!$N$1:$N$7669,0),MATCH("NA"&amp;G$1&amp;$B39,'F Proj'!$N$1:$N$7669,0)))</f>
        <v>81</v>
      </c>
      <c r="H39">
        <f>IF(Week&gt;=H$1,MATCH($A39&amp;"-"&amp;H$1&amp;$B39,Finals!$J$1:$J$501,0),IFERROR(MATCH($A39&amp;H$1&amp;$B39,'F Proj'!$N$1:$N$7669,0),MATCH("NA"&amp;H$1&amp;$B39,'F Proj'!$N$1:$N$7669,0)))</f>
        <v>667</v>
      </c>
      <c r="I39">
        <f>IF(Week&gt;=I$1,MATCH($A39&amp;"-"&amp;I$1&amp;$B39,Finals!$J$1:$J$501,0),IFERROR(MATCH($A39&amp;I$1&amp;$B39,'F Proj'!$N$1:$N$7669,0),MATCH("NA"&amp;I$1&amp;$B39,'F Proj'!$N$1:$N$7669,0)))</f>
        <v>747</v>
      </c>
      <c r="J39">
        <f>IF(Week&gt;=J$1,MATCH($A39&amp;"-"&amp;J$1&amp;$B39,Finals!$J$1:$J$501,0),IFERROR(MATCH($A39&amp;J$1&amp;$B39,'F Proj'!$N$1:$N$7669,0),MATCH("NA"&amp;J$1&amp;$B39,'F Proj'!$N$1:$N$7669,0)))</f>
        <v>733</v>
      </c>
      <c r="K39">
        <f>IF(Week&gt;=K$1,MATCH($A39&amp;"-"&amp;K$1&amp;$B39,Finals!$J$1:$J$501,0),IFERROR(MATCH($A39&amp;K$1&amp;$B39,'F Proj'!$N$1:$N$7669,0),MATCH("NA"&amp;K$1&amp;$B39,'F Proj'!$N$1:$N$7669,0)))</f>
        <v>563</v>
      </c>
      <c r="L39">
        <f>IF(Week&gt;=L$1,MATCH($A39&amp;"-"&amp;L$1&amp;$B39,Finals!$J$1:$J$501,0),IFERROR(MATCH($A39&amp;L$1&amp;$B39,'F Proj'!$N$1:$N$7669,0),MATCH("NA"&amp;L$1&amp;$B39,'F Proj'!$N$1:$N$7669,0)))</f>
        <v>883</v>
      </c>
      <c r="M39">
        <f>IF(Week&gt;=M$1,MATCH($A39&amp;"-"&amp;M$1&amp;$B39,Finals!$J$1:$J$501,0),IFERROR(MATCH($A39&amp;M$1&amp;$B39,'F Proj'!$N$1:$N$7669,0),MATCH("NA"&amp;M$1&amp;$B39,'F Proj'!$N$1:$N$7669,0)))</f>
        <v>649</v>
      </c>
      <c r="N39">
        <f>IF(Week&gt;=N$1,MATCH($A39&amp;"-"&amp;N$1&amp;$B39,Finals!$J$1:$J$501,0),IFERROR(MATCH($A39&amp;N$1&amp;$B39,'F Proj'!$N$1:$N$7669,0),MATCH("NA"&amp;N$1&amp;$B39,'F Proj'!$N$1:$N$7669,0)))</f>
        <v>620</v>
      </c>
      <c r="O39">
        <f>IF(Week&gt;=O$1,MATCH($A39&amp;"-"&amp;O$1&amp;$B39,Finals!$J$1:$J$501,0),IFERROR(MATCH($A39&amp;O$1&amp;$B39,'F Proj'!$N$1:$N$7669,0),MATCH("NA"&amp;O$1&amp;$B39,'F Proj'!$N$1:$N$7669,0)))</f>
        <v>659</v>
      </c>
      <c r="P39">
        <f>IF(Week&gt;=P$1,MATCH($A39&amp;"-"&amp;P$1&amp;$B39,Finals!$J$1:$J$501,0),IFERROR(MATCH($A39&amp;P$1&amp;$B39,'F Proj'!$N$1:$N$7669,0),MATCH("NA"&amp;P$1&amp;$B39,'F Proj'!$N$1:$N$7669,0)))</f>
        <v>765</v>
      </c>
      <c r="Q39">
        <f>IF(Week&gt;=Q$1,MATCH($A39&amp;"-"&amp;Q$1&amp;$B39,Finals!$J$1:$J$501,0),IFERROR(MATCH($A39&amp;Q$1&amp;$B39,'F Proj'!$N$1:$N$7669,0),MATCH("NA"&amp;Q$1&amp;$B39,'F Proj'!$N$1:$N$7669,0)))</f>
        <v>713</v>
      </c>
      <c r="R39">
        <f>IF(Week&gt;=R$1,MATCH($A39&amp;"-"&amp;R$1&amp;$B39,Finals!$J$1:$J$501,0),IFERROR(MATCH($A39&amp;R$1&amp;$B39,'F Proj'!$N$1:$N$7669,0),MATCH("NA"&amp;R$1&amp;$B39,'F Proj'!$N$1:$N$7669,0)))</f>
        <v>586</v>
      </c>
      <c r="S39">
        <f>IF(Week&gt;=S$1,MATCH($A39&amp;"-"&amp;S$1&amp;$B39,Finals!$J$1:$J$501,0),IFERROR(MATCH($A39&amp;S$1&amp;$B39,'F Proj'!$N$1:$N$7669,0),MATCH("NA"&amp;S$1&amp;$B39,'F Proj'!$N$1:$N$7669,0)))</f>
        <v>813</v>
      </c>
      <c r="T39">
        <f>IF(Week&gt;=C$1,INDEX(Finals!$G$1:$G$501,C39),INDEX('F Proj'!$D$1:$D$7669,C39))</f>
        <v>14.6</v>
      </c>
      <c r="U39">
        <f>IF(Week&gt;=D$1,INDEX(Finals!$G$1:$G$501,D39),INDEX('F Proj'!$D$1:$D$7669,D39))</f>
        <v>14.7</v>
      </c>
      <c r="V39">
        <f>IF(Week&gt;=E$1,INDEX(Finals!$G$1:$G$501,E39),INDEX('F Proj'!$D$1:$D$7669,E39))</f>
        <v>19.399999999999999</v>
      </c>
      <c r="W39">
        <f>IF(Week&gt;=F$1,INDEX(Finals!$G$1:$G$501,F39),INDEX('F Proj'!$D$1:$D$7669,F39))</f>
        <v>3</v>
      </c>
      <c r="X39">
        <f>IF(Week&gt;=G$1,INDEX(Finals!$G$1:$G$501,G39),INDEX('F Proj'!$D$1:$D$7669,G39))</f>
        <v>15.54</v>
      </c>
      <c r="Y39">
        <f>IF(Week&gt;=H$1,INDEX(Finals!$G$1:$G$501,H39),INDEX('F Proj'!$D$1:$D$7669,H39))</f>
        <v>13.15</v>
      </c>
      <c r="Z39">
        <f>IF(Week&gt;=I$1,INDEX(Finals!$G$1:$G$501,I39),INDEX('F Proj'!$D$1:$D$7669,I39))</f>
        <v>12.58</v>
      </c>
      <c r="AA39">
        <f>IF(Week&gt;=J$1,INDEX(Finals!$G$1:$G$501,J39),INDEX('F Proj'!$D$1:$D$7669,J39))</f>
        <v>12.72</v>
      </c>
      <c r="AB39">
        <f>IF(Week&gt;=K$1,INDEX(Finals!$G$1:$G$501,K39),INDEX('F Proj'!$D$1:$D$7669,K39))</f>
        <v>14.13</v>
      </c>
      <c r="AC39">
        <f>IF(Week&gt;=L$1,INDEX(Finals!$G$1:$G$501,L39),INDEX('F Proj'!$D$1:$D$7669,L39))</f>
        <v>11.35</v>
      </c>
      <c r="AD39">
        <f>IF(Week&gt;=M$1,INDEX(Finals!$G$1:$G$501,M39),INDEX('F Proj'!$D$1:$D$7669,M39))</f>
        <v>13.29</v>
      </c>
      <c r="AE39">
        <f>IF(Week&gt;=N$1,INDEX(Finals!$G$1:$G$501,N39),INDEX('F Proj'!$D$1:$D$7669,N39))</f>
        <v>13.59</v>
      </c>
      <c r="AF39">
        <f>IF(Week&gt;=O$1,INDEX(Finals!$G$1:$G$501,O39),INDEX('F Proj'!$D$1:$D$7669,O39))</f>
        <v>13.23</v>
      </c>
      <c r="AG39">
        <f>IF(Week&gt;=P$1,INDEX(Finals!$G$1:$G$501,P39),INDEX('F Proj'!$D$1:$D$7669,P39))</f>
        <v>12.42</v>
      </c>
      <c r="AH39">
        <f>IF(Week&gt;=Q$1,INDEX(Finals!$G$1:$G$501,Q39),INDEX('F Proj'!$D$1:$D$7669,Q39))</f>
        <v>12.84</v>
      </c>
      <c r="AI39">
        <f>IF(Week&gt;=R$1,INDEX(Finals!$G$1:$G$501,R39),INDEX('F Proj'!$D$1:$D$7669,R39))</f>
        <v>13.9</v>
      </c>
      <c r="AJ39">
        <f>IF(Week&gt;=S$1,INDEX(Finals!$G$1:$G$501,S39),INDEX('F Proj'!$D$1:$D$7669,S39))</f>
        <v>12.03</v>
      </c>
      <c r="AK39">
        <f>IF(Week&gt;=C$1,INDEX(Finals!$I$1:$I$501,C39),INDEX('F Proj'!$J$1:$J$7669,C39))</f>
        <v>0</v>
      </c>
      <c r="AL39">
        <f>IF(Week&gt;=D$1,INDEX(Finals!$I$1:$I$501,D39),INDEX('F Proj'!$J$1:$J$7669,D39))</f>
        <v>0</v>
      </c>
      <c r="AM39">
        <f>IF(Week&gt;=E$1,INDEX(Finals!$I$1:$I$501,E39),INDEX('F Proj'!$J$1:$J$7669,E39))</f>
        <v>0</v>
      </c>
      <c r="AN39">
        <f>IF(Week&gt;=F$1,INDEX(Finals!$I$1:$I$501,F39),INDEX('F Proj'!$J$1:$J$7669,F39))</f>
        <v>0</v>
      </c>
      <c r="AO39">
        <f>IF(Week&gt;=G$1,INDEX(Finals!$I$1:$I$501,G39),INDEX('F Proj'!$J$1:$J$7669,G39))</f>
        <v>55.800899999999999</v>
      </c>
      <c r="AP39">
        <f>IF(Week&gt;=H$1,INDEX(Finals!$I$1:$I$501,H39),INDEX('F Proj'!$J$1:$J$7669,H39))</f>
        <v>57.6081</v>
      </c>
      <c r="AQ39">
        <f>IF(Week&gt;=I$1,INDEX(Finals!$I$1:$I$501,I39),INDEX('F Proj'!$J$1:$J$7669,I39))</f>
        <v>31.024899999999999</v>
      </c>
      <c r="AR39">
        <f>IF(Week&gt;=J$1,INDEX(Finals!$I$1:$I$501,J39),INDEX('F Proj'!$J$1:$J$7669,J39))</f>
        <v>28.408899999999999</v>
      </c>
      <c r="AS39">
        <f>IF(Week&gt;=K$1,INDEX(Finals!$I$1:$I$501,K39),INDEX('F Proj'!$J$1:$J$7669,K39))</f>
        <v>52.852899999999998</v>
      </c>
      <c r="AT39">
        <f>IF(Week&gt;=L$1,INDEX(Finals!$I$1:$I$501,L39),INDEX('F Proj'!$J$1:$J$7669,L39))</f>
        <v>31.36</v>
      </c>
      <c r="AU39">
        <f>IF(Week&gt;=M$1,INDEX(Finals!$I$1:$I$501,M39),INDEX('F Proj'!$J$1:$J$7669,M39))</f>
        <v>53.728900000000003</v>
      </c>
      <c r="AV39">
        <f>IF(Week&gt;=N$1,INDEX(Finals!$I$1:$I$501,N39),INDEX('F Proj'!$J$1:$J$7669,N39))</f>
        <v>35.2836</v>
      </c>
      <c r="AW39">
        <f>IF(Week&gt;=O$1,INDEX(Finals!$I$1:$I$501,O39),INDEX('F Proj'!$J$1:$J$7669,O39))</f>
        <v>52.852899999999998</v>
      </c>
      <c r="AX39">
        <f>IF(Week&gt;=P$1,INDEX(Finals!$I$1:$I$501,P39),INDEX('F Proj'!$J$1:$J$7669,P39))</f>
        <v>35.521599999999999</v>
      </c>
      <c r="AY39">
        <f>IF(Week&gt;=Q$1,INDEX(Finals!$I$1:$I$501,Q39),INDEX('F Proj'!$J$1:$J$7669,Q39))</f>
        <v>35.880099999999999</v>
      </c>
      <c r="AZ39">
        <f>IF(Week&gt;=R$1,INDEX(Finals!$I$1:$I$501,R39),INDEX('F Proj'!$J$1:$J$7669,R39))</f>
        <v>49</v>
      </c>
      <c r="BA39">
        <f>IF(Week&gt;=S$1,INDEX(Finals!$I$1:$I$501,S39),INDEX('F Proj'!$J$1:$J$7669,S39))</f>
        <v>35.880099999999999</v>
      </c>
    </row>
    <row r="40" spans="1:53" x14ac:dyDescent="0.25">
      <c r="A40" t="s">
        <v>35</v>
      </c>
      <c r="B40" t="s">
        <v>469</v>
      </c>
      <c r="C40">
        <f>IF(Week&gt;=C$1,MATCH($A40&amp;"-"&amp;C$1&amp;$B40,Finals!$J$1:$J$501,0),IFERROR(MATCH($A40&amp;C$1&amp;$B40,'F Proj'!$N$1:$N$7669,0),MATCH("NA"&amp;C$1&amp;$B40,'F Proj'!$N$1:$N$7669,0)))</f>
        <v>78</v>
      </c>
      <c r="D40">
        <f>IF(Week&gt;=D$1,MATCH($A40&amp;"-"&amp;D$1&amp;$B40,Finals!$J$1:$J$501,0),IFERROR(MATCH($A40&amp;D$1&amp;$B40,'F Proj'!$N$1:$N$7669,0),MATCH("NA"&amp;D$1&amp;$B40,'F Proj'!$N$1:$N$7669,0)))</f>
        <v>79</v>
      </c>
      <c r="E40">
        <f>IF(Week&gt;=E$1,MATCH($A40&amp;"-"&amp;E$1&amp;$B40,Finals!$J$1:$J$501,0),IFERROR(MATCH($A40&amp;E$1&amp;$B40,'F Proj'!$N$1:$N$7669,0),MATCH("NA"&amp;E$1&amp;$B40,'F Proj'!$N$1:$N$7669,0)))</f>
        <v>306</v>
      </c>
      <c r="F40">
        <f>IF(Week&gt;=F$1,MATCH($A40&amp;"-"&amp;F$1&amp;$B40,Finals!$J$1:$J$501,0),IFERROR(MATCH($A40&amp;F$1&amp;$B40,'F Proj'!$N$1:$N$7669,0),MATCH("NA"&amp;F$1&amp;$B40,'F Proj'!$N$1:$N$7669,0)))</f>
        <v>348</v>
      </c>
      <c r="G40">
        <f>IF(Week&gt;=G$1,MATCH($A40&amp;"-"&amp;G$1&amp;$B40,Finals!$J$1:$J$501,0),IFERROR(MATCH($A40&amp;G$1&amp;$B40,'F Proj'!$N$1:$N$7669,0),MATCH("NA"&amp;G$1&amp;$B40,'F Proj'!$N$1:$N$7669,0)))</f>
        <v>349</v>
      </c>
      <c r="H40">
        <f>IF(Week&gt;=H$1,MATCH($A40&amp;"-"&amp;H$1&amp;$B40,Finals!$J$1:$J$501,0),IFERROR(MATCH($A40&amp;H$1&amp;$B40,'F Proj'!$N$1:$N$7669,0),MATCH("NA"&amp;H$1&amp;$B40,'F Proj'!$N$1:$N$7669,0)))</f>
        <v>696</v>
      </c>
      <c r="I40">
        <f>IF(Week&gt;=I$1,MATCH($A40&amp;"-"&amp;I$1&amp;$B40,Finals!$J$1:$J$501,0),IFERROR(MATCH($A40&amp;I$1&amp;$B40,'F Proj'!$N$1:$N$7669,0),MATCH("NA"&amp;I$1&amp;$B40,'F Proj'!$N$1:$N$7669,0)))</f>
        <v>900</v>
      </c>
      <c r="J40">
        <f>IF(Week&gt;=J$1,MATCH($A40&amp;"-"&amp;J$1&amp;$B40,Finals!$J$1:$J$501,0),IFERROR(MATCH($A40&amp;J$1&amp;$B40,'F Proj'!$N$1:$N$7669,0),MATCH("NA"&amp;J$1&amp;$B40,'F Proj'!$N$1:$N$7669,0)))</f>
        <v>1006</v>
      </c>
      <c r="K40">
        <f>IF(Week&gt;=K$1,MATCH($A40&amp;"-"&amp;K$1&amp;$B40,Finals!$J$1:$J$501,0),IFERROR(MATCH($A40&amp;K$1&amp;$B40,'F Proj'!$N$1:$N$7669,0),MATCH("NA"&amp;K$1&amp;$B40,'F Proj'!$N$1:$N$7669,0)))</f>
        <v>866</v>
      </c>
      <c r="L40">
        <f>IF(Week&gt;=L$1,MATCH($A40&amp;"-"&amp;L$1&amp;$B40,Finals!$J$1:$J$501,0),IFERROR(MATCH($A40&amp;L$1&amp;$B40,'F Proj'!$N$1:$N$7669,0),MATCH("NA"&amp;L$1&amp;$B40,'F Proj'!$N$1:$N$7669,0)))</f>
        <v>1020</v>
      </c>
      <c r="M40">
        <f>IF(Week&gt;=M$1,MATCH($A40&amp;"-"&amp;M$1&amp;$B40,Finals!$J$1:$J$501,0),IFERROR(MATCH($A40&amp;M$1&amp;$B40,'F Proj'!$N$1:$N$7669,0),MATCH("NA"&amp;M$1&amp;$B40,'F Proj'!$N$1:$N$7669,0)))</f>
        <v>973</v>
      </c>
      <c r="N40">
        <f>IF(Week&gt;=N$1,MATCH($A40&amp;"-"&amp;N$1&amp;$B40,Finals!$J$1:$J$501,0),IFERROR(MATCH($A40&amp;N$1&amp;$B40,'F Proj'!$N$1:$N$7669,0),MATCH("NA"&amp;N$1&amp;$B40,'F Proj'!$N$1:$N$7669,0)))</f>
        <v>1054</v>
      </c>
      <c r="O40">
        <f>IF(Week&gt;=O$1,MATCH($A40&amp;"-"&amp;O$1&amp;$B40,Finals!$J$1:$J$501,0),IFERROR(MATCH($A40&amp;O$1&amp;$B40,'F Proj'!$N$1:$N$7669,0),MATCH("NA"&amp;O$1&amp;$B40,'F Proj'!$N$1:$N$7669,0)))</f>
        <v>941</v>
      </c>
      <c r="P40">
        <f>IF(Week&gt;=P$1,MATCH($A40&amp;"-"&amp;P$1&amp;$B40,Finals!$J$1:$J$501,0),IFERROR(MATCH($A40&amp;P$1&amp;$B40,'F Proj'!$N$1:$N$7669,0),MATCH("NA"&amp;P$1&amp;$B40,'F Proj'!$N$1:$N$7669,0)))</f>
        <v>951</v>
      </c>
      <c r="Q40">
        <f>IF(Week&gt;=Q$1,MATCH($A40&amp;"-"&amp;Q$1&amp;$B40,Finals!$J$1:$J$501,0),IFERROR(MATCH($A40&amp;Q$1&amp;$B40,'F Proj'!$N$1:$N$7669,0),MATCH("NA"&amp;Q$1&amp;$B40,'F Proj'!$N$1:$N$7669,0)))</f>
        <v>967</v>
      </c>
      <c r="R40">
        <f>IF(Week&gt;=R$1,MATCH($A40&amp;"-"&amp;R$1&amp;$B40,Finals!$J$1:$J$501,0),IFERROR(MATCH($A40&amp;R$1&amp;$B40,'F Proj'!$N$1:$N$7669,0),MATCH("NA"&amp;R$1&amp;$B40,'F Proj'!$N$1:$N$7669,0)))</f>
        <v>875</v>
      </c>
      <c r="S40">
        <f>IF(Week&gt;=S$1,MATCH($A40&amp;"-"&amp;S$1&amp;$B40,Finals!$J$1:$J$501,0),IFERROR(MATCH($A40&amp;S$1&amp;$B40,'F Proj'!$N$1:$N$7669,0),MATCH("NA"&amp;S$1&amp;$B40,'F Proj'!$N$1:$N$7669,0)))</f>
        <v>817</v>
      </c>
      <c r="T40">
        <f>IF(Week&gt;=C$1,INDEX(Finals!$G$1:$G$501,C40),INDEX('F Proj'!$D$1:$D$7669,C40))</f>
        <v>7.5</v>
      </c>
      <c r="U40">
        <f>IF(Week&gt;=D$1,INDEX(Finals!$G$1:$G$501,D40),INDEX('F Proj'!$D$1:$D$7669,D40))</f>
        <v>13.9</v>
      </c>
      <c r="V40">
        <f>IF(Week&gt;=E$1,INDEX(Finals!$G$1:$G$501,E40),INDEX('F Proj'!$D$1:$D$7669,E40))</f>
        <v>3.3</v>
      </c>
      <c r="W40">
        <f>IF(Week&gt;=F$1,INDEX(Finals!$G$1:$G$501,F40),INDEX('F Proj'!$D$1:$D$7669,F40))</f>
        <v>17.2</v>
      </c>
      <c r="X40">
        <f>IF(Week&gt;=G$1,INDEX(Finals!$G$1:$G$501,G40),INDEX('F Proj'!$D$1:$D$7669,G40))</f>
        <v>17</v>
      </c>
      <c r="Y40">
        <f>IF(Week&gt;=H$1,INDEX(Finals!$G$1:$G$501,H40),INDEX('F Proj'!$D$1:$D$7669,H40))</f>
        <v>12.95</v>
      </c>
      <c r="Z40">
        <f>IF(Week&gt;=I$1,INDEX(Finals!$G$1:$G$501,I40),INDEX('F Proj'!$D$1:$D$7669,I40))</f>
        <v>11.23</v>
      </c>
      <c r="AA40">
        <f>IF(Week&gt;=J$1,INDEX(Finals!$G$1:$G$501,J40),INDEX('F Proj'!$D$1:$D$7669,J40))</f>
        <v>10.38</v>
      </c>
      <c r="AB40">
        <f>IF(Week&gt;=K$1,INDEX(Finals!$G$1:$G$501,K40),INDEX('F Proj'!$D$1:$D$7669,K40))</f>
        <v>11.58</v>
      </c>
      <c r="AC40">
        <f>IF(Week&gt;=L$1,INDEX(Finals!$G$1:$G$501,L40),INDEX('F Proj'!$D$1:$D$7669,L40))</f>
        <v>10.31</v>
      </c>
      <c r="AD40">
        <f>IF(Week&gt;=M$1,INDEX(Finals!$G$1:$G$501,M40),INDEX('F Proj'!$D$1:$D$7669,M40))</f>
        <v>10.59</v>
      </c>
      <c r="AE40">
        <f>IF(Week&gt;=N$1,INDEX(Finals!$G$1:$G$501,N40),INDEX('F Proj'!$D$1:$D$7669,N40))</f>
        <v>10.08</v>
      </c>
      <c r="AF40">
        <f>IF(Week&gt;=O$1,INDEX(Finals!$G$1:$G$501,O40),INDEX('F Proj'!$D$1:$D$7669,O40))</f>
        <v>10.86</v>
      </c>
      <c r="AG40">
        <f>IF(Week&gt;=P$1,INDEX(Finals!$G$1:$G$501,P40),INDEX('F Proj'!$D$1:$D$7669,P40))</f>
        <v>10.75</v>
      </c>
      <c r="AH40">
        <f>IF(Week&gt;=Q$1,INDEX(Finals!$G$1:$G$501,Q40),INDEX('F Proj'!$D$1:$D$7669,Q40))</f>
        <v>10.64</v>
      </c>
      <c r="AI40">
        <f>IF(Week&gt;=R$1,INDEX(Finals!$G$1:$G$501,R40),INDEX('F Proj'!$D$1:$D$7669,R40))</f>
        <v>11.43</v>
      </c>
      <c r="AJ40">
        <f>IF(Week&gt;=S$1,INDEX(Finals!$G$1:$G$501,S40),INDEX('F Proj'!$D$1:$D$7669,S40))</f>
        <v>12</v>
      </c>
      <c r="AK40">
        <f>IF(Week&gt;=C$1,INDEX(Finals!$I$1:$I$501,C40),INDEX('F Proj'!$J$1:$J$7669,C40))</f>
        <v>0</v>
      </c>
      <c r="AL40">
        <f>IF(Week&gt;=D$1,INDEX(Finals!$I$1:$I$501,D40),INDEX('F Proj'!$J$1:$J$7669,D40))</f>
        <v>0</v>
      </c>
      <c r="AM40">
        <f>IF(Week&gt;=E$1,INDEX(Finals!$I$1:$I$501,E40),INDEX('F Proj'!$J$1:$J$7669,E40))</f>
        <v>0</v>
      </c>
      <c r="AN40">
        <f>IF(Week&gt;=F$1,INDEX(Finals!$I$1:$I$501,F40),INDEX('F Proj'!$J$1:$J$7669,F40))</f>
        <v>0</v>
      </c>
      <c r="AO40">
        <f>IF(Week&gt;=G$1,INDEX(Finals!$I$1:$I$501,G40),INDEX('F Proj'!$J$1:$J$7669,G40))</f>
        <v>0</v>
      </c>
      <c r="AP40">
        <f>IF(Week&gt;=H$1,INDEX(Finals!$I$1:$I$501,H40),INDEX('F Proj'!$J$1:$J$7669,H40))</f>
        <v>72.931600000000003</v>
      </c>
      <c r="AQ40">
        <f>IF(Week&gt;=I$1,INDEX(Finals!$I$1:$I$501,I40),INDEX('F Proj'!$J$1:$J$7669,I40))</f>
        <v>49.984900000000003</v>
      </c>
      <c r="AR40">
        <f>IF(Week&gt;=J$1,INDEX(Finals!$I$1:$I$501,J40),INDEX('F Proj'!$J$1:$J$7669,J40))</f>
        <v>43.428100000000001</v>
      </c>
      <c r="AS40">
        <f>IF(Week&gt;=K$1,INDEX(Finals!$I$1:$I$501,K40),INDEX('F Proj'!$J$1:$J$7669,K40))</f>
        <v>57.002499999999998</v>
      </c>
      <c r="AT40">
        <f>IF(Week&gt;=L$1,INDEX(Finals!$I$1:$I$501,L40),INDEX('F Proj'!$J$1:$J$7669,L40))</f>
        <v>54.316899999999997</v>
      </c>
      <c r="AU40">
        <f>IF(Week&gt;=M$1,INDEX(Finals!$I$1:$I$501,M40),INDEX('F Proj'!$J$1:$J$7669,M40))</f>
        <v>43.296399999999998</v>
      </c>
      <c r="AV40">
        <f>IF(Week&gt;=N$1,INDEX(Finals!$I$1:$I$501,N40),INDEX('F Proj'!$J$1:$J$7669,N40))</f>
        <v>48.024900000000002</v>
      </c>
      <c r="AW40">
        <f>IF(Week&gt;=O$1,INDEX(Finals!$I$1:$I$501,O40),INDEX('F Proj'!$J$1:$J$7669,O40))</f>
        <v>45.427599999999998</v>
      </c>
      <c r="AX40">
        <f>IF(Week&gt;=P$1,INDEX(Finals!$I$1:$I$501,P40),INDEX('F Proj'!$J$1:$J$7669,P40))</f>
        <v>60.0625</v>
      </c>
      <c r="AY40">
        <f>IF(Week&gt;=Q$1,INDEX(Finals!$I$1:$I$501,Q40),INDEX('F Proj'!$J$1:$J$7669,Q40))</f>
        <v>45.832900000000002</v>
      </c>
      <c r="AZ40">
        <f>IF(Week&gt;=R$1,INDEX(Finals!$I$1:$I$501,R40),INDEX('F Proj'!$J$1:$J$7669,R40))</f>
        <v>43.428100000000001</v>
      </c>
      <c r="BA40">
        <f>IF(Week&gt;=S$1,INDEX(Finals!$I$1:$I$501,S40),INDEX('F Proj'!$J$1:$J$7669,S40))</f>
        <v>57.6081</v>
      </c>
    </row>
    <row r="41" spans="1:53" x14ac:dyDescent="0.25">
      <c r="A41" t="s">
        <v>35</v>
      </c>
      <c r="B41" t="s">
        <v>470</v>
      </c>
      <c r="C41" t="e">
        <f>IF(Week&gt;=C$1,MATCH($A41&amp;"-"&amp;C$1&amp;$B41,Finals!$J$1:$J$501,0),IFERROR(MATCH($A41&amp;C$1&amp;$B41,'F Proj'!$N$1:$N$7669,0),MATCH("NA"&amp;C$1&amp;$B41,'F Proj'!$N$1:$N$7669,0)))</f>
        <v>#N/A</v>
      </c>
      <c r="D41" t="e">
        <f>IF(Week&gt;=D$1,MATCH($A41&amp;"-"&amp;D$1&amp;$B41,Finals!$J$1:$J$501,0),IFERROR(MATCH($A41&amp;D$1&amp;$B41,'F Proj'!$N$1:$N$7669,0),MATCH("NA"&amp;D$1&amp;$B41,'F Proj'!$N$1:$N$7669,0)))</f>
        <v>#N/A</v>
      </c>
      <c r="E41" t="e">
        <f>IF(Week&gt;=E$1,MATCH($A41&amp;"-"&amp;E$1&amp;$B41,Finals!$J$1:$J$501,0),IFERROR(MATCH($A41&amp;E$1&amp;$B41,'F Proj'!$N$1:$N$7669,0),MATCH("NA"&amp;E$1&amp;$B41,'F Proj'!$N$1:$N$7669,0)))</f>
        <v>#N/A</v>
      </c>
      <c r="F41" t="e">
        <f>IF(Week&gt;=F$1,MATCH($A41&amp;"-"&amp;F$1&amp;$B41,Finals!$J$1:$J$501,0),IFERROR(MATCH($A41&amp;F$1&amp;$B41,'F Proj'!$N$1:$N$7669,0),MATCH("NA"&amp;F$1&amp;$B41,'F Proj'!$N$1:$N$7669,0)))</f>
        <v>#N/A</v>
      </c>
      <c r="G41" t="e">
        <f>IF(Week&gt;=G$1,MATCH($A41&amp;"-"&amp;G$1&amp;$B41,Finals!$J$1:$J$501,0),IFERROR(MATCH($A41&amp;G$1&amp;$B41,'F Proj'!$N$1:$N$7669,0),MATCH("NA"&amp;G$1&amp;$B41,'F Proj'!$N$1:$N$7669,0)))</f>
        <v>#N/A</v>
      </c>
      <c r="H41">
        <f>IF(Week&gt;=H$1,MATCH($A41&amp;"-"&amp;H$1&amp;$B41,Finals!$J$1:$J$501,0),IFERROR(MATCH($A41&amp;H$1&amp;$B41,'F Proj'!$N$1:$N$7669,0),MATCH("NA"&amp;H$1&amp;$B41,'F Proj'!$N$1:$N$7669,0)))</f>
        <v>700</v>
      </c>
      <c r="I41">
        <f>IF(Week&gt;=I$1,MATCH($A41&amp;"-"&amp;I$1&amp;$B41,Finals!$J$1:$J$501,0),IFERROR(MATCH($A41&amp;I$1&amp;$B41,'F Proj'!$N$1:$N$7669,0),MATCH("NA"&amp;I$1&amp;$B41,'F Proj'!$N$1:$N$7669,0)))</f>
        <v>1026</v>
      </c>
      <c r="J41">
        <f>IF(Week&gt;=J$1,MATCH($A41&amp;"-"&amp;J$1&amp;$B41,Finals!$J$1:$J$501,0),IFERROR(MATCH($A41&amp;J$1&amp;$B41,'F Proj'!$N$1:$N$7669,0),MATCH("NA"&amp;J$1&amp;$B41,'F Proj'!$N$1:$N$7669,0)))</f>
        <v>1776</v>
      </c>
      <c r="K41">
        <f>IF(Week&gt;=K$1,MATCH($A41&amp;"-"&amp;K$1&amp;$B41,Finals!$J$1:$J$501,0),IFERROR(MATCH($A41&amp;K$1&amp;$B41,'F Proj'!$N$1:$N$7669,0),MATCH("NA"&amp;K$1&amp;$B41,'F Proj'!$N$1:$N$7669,0)))</f>
        <v>1042</v>
      </c>
      <c r="L41">
        <f>IF(Week&gt;=L$1,MATCH($A41&amp;"-"&amp;L$1&amp;$B41,Finals!$J$1:$J$501,0),IFERROR(MATCH($A41&amp;L$1&amp;$B41,'F Proj'!$N$1:$N$7669,0),MATCH("NA"&amp;L$1&amp;$B41,'F Proj'!$N$1:$N$7669,0)))</f>
        <v>1204</v>
      </c>
      <c r="M41">
        <f>IF(Week&gt;=M$1,MATCH($A41&amp;"-"&amp;M$1&amp;$B41,Finals!$J$1:$J$501,0),IFERROR(MATCH($A41&amp;M$1&amp;$B41,'F Proj'!$N$1:$N$7669,0),MATCH("NA"&amp;M$1&amp;$B41,'F Proj'!$N$1:$N$7669,0)))</f>
        <v>1621</v>
      </c>
      <c r="N41">
        <f>IF(Week&gt;=N$1,MATCH($A41&amp;"-"&amp;N$1&amp;$B41,Finals!$J$1:$J$501,0),IFERROR(MATCH($A41&amp;N$1&amp;$B41,'F Proj'!$N$1:$N$7669,0),MATCH("NA"&amp;N$1&amp;$B41,'F Proj'!$N$1:$N$7669,0)))</f>
        <v>1109</v>
      </c>
      <c r="O41">
        <f>IF(Week&gt;=O$1,MATCH($A41&amp;"-"&amp;O$1&amp;$B41,Finals!$J$1:$J$501,0),IFERROR(MATCH($A41&amp;O$1&amp;$B41,'F Proj'!$N$1:$N$7669,0),MATCH("NA"&amp;O$1&amp;$B41,'F Proj'!$N$1:$N$7669,0)))</f>
        <v>1096</v>
      </c>
      <c r="P41">
        <f>IF(Week&gt;=P$1,MATCH($A41&amp;"-"&amp;P$1&amp;$B41,Finals!$J$1:$J$501,0),IFERROR(MATCH($A41&amp;P$1&amp;$B41,'F Proj'!$N$1:$N$7669,0),MATCH("NA"&amp;P$1&amp;$B41,'F Proj'!$N$1:$N$7669,0)))</f>
        <v>1097</v>
      </c>
      <c r="Q41">
        <f>IF(Week&gt;=Q$1,MATCH($A41&amp;"-"&amp;Q$1&amp;$B41,Finals!$J$1:$J$501,0),IFERROR(MATCH($A41&amp;Q$1&amp;$B41,'F Proj'!$N$1:$N$7669,0),MATCH("NA"&amp;Q$1&amp;$B41,'F Proj'!$N$1:$N$7669,0)))</f>
        <v>1034</v>
      </c>
      <c r="R41">
        <f>IF(Week&gt;=R$1,MATCH($A41&amp;"-"&amp;R$1&amp;$B41,Finals!$J$1:$J$501,0),IFERROR(MATCH($A41&amp;R$1&amp;$B41,'F Proj'!$N$1:$N$7669,0),MATCH("NA"&amp;R$1&amp;$B41,'F Proj'!$N$1:$N$7669,0)))</f>
        <v>1248</v>
      </c>
      <c r="S41">
        <f>IF(Week&gt;=S$1,MATCH($A41&amp;"-"&amp;S$1&amp;$B41,Finals!$J$1:$J$501,0),IFERROR(MATCH($A41&amp;S$1&amp;$B41,'F Proj'!$N$1:$N$7669,0),MATCH("NA"&amp;S$1&amp;$B41,'F Proj'!$N$1:$N$7669,0)))</f>
        <v>948</v>
      </c>
    </row>
    <row r="42" spans="1:53" x14ac:dyDescent="0.25">
      <c r="A42" t="s">
        <v>35</v>
      </c>
      <c r="B42" t="s">
        <v>471</v>
      </c>
      <c r="C42">
        <f>IF(Week&gt;=C$1,MATCH($A42&amp;"-"&amp;C$1&amp;$B42,Finals!$J$1:$J$501,0),IFERROR(MATCH($A42&amp;C$1&amp;$B42,'F Proj'!$N$1:$N$7669,0),MATCH("NA"&amp;C$1&amp;$B42,'F Proj'!$N$1:$N$7669,0)))</f>
        <v>2</v>
      </c>
      <c r="D42">
        <f>IF(Week&gt;=D$1,MATCH($A42&amp;"-"&amp;D$1&amp;$B42,Finals!$J$1:$J$501,0),IFERROR(MATCH($A42&amp;D$1&amp;$B42,'F Proj'!$N$1:$N$7669,0),MATCH("NA"&amp;D$1&amp;$B42,'F Proj'!$N$1:$N$7669,0)))</f>
        <v>3</v>
      </c>
      <c r="E42">
        <f>IF(Week&gt;=E$1,MATCH($A42&amp;"-"&amp;E$1&amp;$B42,Finals!$J$1:$J$501,0),IFERROR(MATCH($A42&amp;E$1&amp;$B42,'F Proj'!$N$1:$N$7669,0),MATCH("NA"&amp;E$1&amp;$B42,'F Proj'!$N$1:$N$7669,0)))</f>
        <v>4</v>
      </c>
      <c r="F42">
        <f>IF(Week&gt;=F$1,MATCH($A42&amp;"-"&amp;F$1&amp;$B42,Finals!$J$1:$J$501,0),IFERROR(MATCH($A42&amp;F$1&amp;$B42,'F Proj'!$N$1:$N$7669,0),MATCH("NA"&amp;F$1&amp;$B42,'F Proj'!$N$1:$N$7669,0)))</f>
        <v>5</v>
      </c>
      <c r="G42">
        <f>IF(Week&gt;=G$1,MATCH($A42&amp;"-"&amp;G$1&amp;$B42,Finals!$J$1:$J$501,0),IFERROR(MATCH($A42&amp;G$1&amp;$B42,'F Proj'!$N$1:$N$7669,0),MATCH("NA"&amp;G$1&amp;$B42,'F Proj'!$N$1:$N$7669,0)))</f>
        <v>6</v>
      </c>
      <c r="H42">
        <f>IF(Week&gt;=H$1,MATCH($A42&amp;"-"&amp;H$1&amp;$B42,Finals!$J$1:$J$501,0),IFERROR(MATCH($A42&amp;H$1&amp;$B42,'F Proj'!$N$1:$N$7669,0),MATCH("NA"&amp;H$1&amp;$B42,'F Proj'!$N$1:$N$7669,0)))</f>
        <v>1163</v>
      </c>
      <c r="I42">
        <f>IF(Week&gt;=I$1,MATCH($A42&amp;"-"&amp;I$1&amp;$B42,Finals!$J$1:$J$501,0),IFERROR(MATCH($A42&amp;I$1&amp;$B42,'F Proj'!$N$1:$N$7669,0),MATCH("NA"&amp;I$1&amp;$B42,'F Proj'!$N$1:$N$7669,0)))</f>
        <v>688</v>
      </c>
      <c r="J42">
        <f>IF(Week&gt;=J$1,MATCH($A42&amp;"-"&amp;J$1&amp;$B42,Finals!$J$1:$J$501,0),IFERROR(MATCH($A42&amp;J$1&amp;$B42,'F Proj'!$N$1:$N$7669,0),MATCH("NA"&amp;J$1&amp;$B42,'F Proj'!$N$1:$N$7669,0)))</f>
        <v>746</v>
      </c>
      <c r="K42">
        <f>IF(Week&gt;=K$1,MATCH($A42&amp;"-"&amp;K$1&amp;$B42,Finals!$J$1:$J$501,0),IFERROR(MATCH($A42&amp;K$1&amp;$B42,'F Proj'!$N$1:$N$7669,0),MATCH("NA"&amp;K$1&amp;$B42,'F Proj'!$N$1:$N$7669,0)))</f>
        <v>1141</v>
      </c>
      <c r="L42">
        <f>IF(Week&gt;=L$1,MATCH($A42&amp;"-"&amp;L$1&amp;$B42,Finals!$J$1:$J$501,0),IFERROR(MATCH($A42&amp;L$1&amp;$B42,'F Proj'!$N$1:$N$7669,0),MATCH("NA"&amp;L$1&amp;$B42,'F Proj'!$N$1:$N$7669,0)))</f>
        <v>1008</v>
      </c>
      <c r="M42">
        <f>IF(Week&gt;=M$1,MATCH($A42&amp;"-"&amp;M$1&amp;$B42,Finals!$J$1:$J$501,0),IFERROR(MATCH($A42&amp;M$1&amp;$B42,'F Proj'!$N$1:$N$7669,0),MATCH("NA"&amp;M$1&amp;$B42,'F Proj'!$N$1:$N$7669,0)))</f>
        <v>915</v>
      </c>
      <c r="N42">
        <f>IF(Week&gt;=N$1,MATCH($A42&amp;"-"&amp;N$1&amp;$B42,Finals!$J$1:$J$501,0),IFERROR(MATCH($A42&amp;N$1&amp;$B42,'F Proj'!$N$1:$N$7669,0),MATCH("NA"&amp;N$1&amp;$B42,'F Proj'!$N$1:$N$7669,0)))</f>
        <v>1012</v>
      </c>
      <c r="O42">
        <f>IF(Week&gt;=O$1,MATCH($A42&amp;"-"&amp;O$1&amp;$B42,Finals!$J$1:$J$501,0),IFERROR(MATCH($A42&amp;O$1&amp;$B42,'F Proj'!$N$1:$N$7669,0),MATCH("NA"&amp;O$1&amp;$B42,'F Proj'!$N$1:$N$7669,0)))</f>
        <v>923</v>
      </c>
      <c r="P42">
        <f>IF(Week&gt;=P$1,MATCH($A42&amp;"-"&amp;P$1&amp;$B42,Finals!$J$1:$J$501,0),IFERROR(MATCH($A42&amp;P$1&amp;$B42,'F Proj'!$N$1:$N$7669,0),MATCH("NA"&amp;P$1&amp;$B42,'F Proj'!$N$1:$N$7669,0)))</f>
        <v>1072</v>
      </c>
      <c r="Q42">
        <f>IF(Week&gt;=Q$1,MATCH($A42&amp;"-"&amp;Q$1&amp;$B42,Finals!$J$1:$J$501,0),IFERROR(MATCH($A42&amp;Q$1&amp;$B42,'F Proj'!$N$1:$N$7669,0),MATCH("NA"&amp;Q$1&amp;$B42,'F Proj'!$N$1:$N$7669,0)))</f>
        <v>797</v>
      </c>
      <c r="R42">
        <f>IF(Week&gt;=R$1,MATCH($A42&amp;"-"&amp;R$1&amp;$B42,Finals!$J$1:$J$501,0),IFERROR(MATCH($A42&amp;R$1&amp;$B42,'F Proj'!$N$1:$N$7669,0),MATCH("NA"&amp;R$1&amp;$B42,'F Proj'!$N$1:$N$7669,0)))</f>
        <v>1082</v>
      </c>
      <c r="S42">
        <f>IF(Week&gt;=S$1,MATCH($A42&amp;"-"&amp;S$1&amp;$B42,Finals!$J$1:$J$501,0),IFERROR(MATCH($A42&amp;S$1&amp;$B42,'F Proj'!$N$1:$N$7669,0),MATCH("NA"&amp;S$1&amp;$B42,'F Proj'!$N$1:$N$7669,0)))</f>
        <v>632</v>
      </c>
      <c r="T42">
        <f>IF(Week&gt;=C$1,INDEX(Finals!$G$1:$G$501,C42),INDEX('F Proj'!$D$1:$D$7669,C42))</f>
        <v>13.2</v>
      </c>
      <c r="U42">
        <f>IF(Week&gt;=D$1,INDEX(Finals!$G$1:$G$501,D42),INDEX('F Proj'!$D$1:$D$7669,D42))</f>
        <v>24.9</v>
      </c>
      <c r="V42">
        <f>IF(Week&gt;=E$1,INDEX(Finals!$G$1:$G$501,E42),INDEX('F Proj'!$D$1:$D$7669,E42))</f>
        <v>5.8</v>
      </c>
      <c r="W42">
        <f>IF(Week&gt;=F$1,INDEX(Finals!$G$1:$G$501,F42),INDEX('F Proj'!$D$1:$D$7669,F42))</f>
        <v>13.8</v>
      </c>
      <c r="X42">
        <f>IF(Week&gt;=G$1,INDEX(Finals!$G$1:$G$501,G42),INDEX('F Proj'!$D$1:$D$7669,G42))</f>
        <v>11.17</v>
      </c>
      <c r="Y42">
        <f>IF(Week&gt;=H$1,INDEX(Finals!$G$1:$G$501,H42),INDEX('F Proj'!$D$1:$D$7669,H42))</f>
        <v>9.6</v>
      </c>
      <c r="Z42">
        <f>IF(Week&gt;=I$1,INDEX(Finals!$G$1:$G$501,I42),INDEX('F Proj'!$D$1:$D$7669,I42))</f>
        <v>12.99</v>
      </c>
      <c r="AA42">
        <f>IF(Week&gt;=J$1,INDEX(Finals!$G$1:$G$501,J42),INDEX('F Proj'!$D$1:$D$7669,J42))</f>
        <v>12.59</v>
      </c>
      <c r="AB42">
        <f>IF(Week&gt;=K$1,INDEX(Finals!$G$1:$G$501,K42),INDEX('F Proj'!$D$1:$D$7669,K42))</f>
        <v>9.6999999999999993</v>
      </c>
      <c r="AC42">
        <f>IF(Week&gt;=L$1,INDEX(Finals!$G$1:$G$501,L42),INDEX('F Proj'!$D$1:$D$7669,L42))</f>
        <v>10.37</v>
      </c>
      <c r="AD42">
        <f>IF(Week&gt;=M$1,INDEX(Finals!$G$1:$G$501,M42),INDEX('F Proj'!$D$1:$D$7669,M42))</f>
        <v>11.09</v>
      </c>
      <c r="AE42">
        <f>IF(Week&gt;=N$1,INDEX(Finals!$G$1:$G$501,N42),INDEX('F Proj'!$D$1:$D$7669,N42))</f>
        <v>10.34</v>
      </c>
      <c r="AF42">
        <f>IF(Week&gt;=O$1,INDEX(Finals!$G$1:$G$501,O42),INDEX('F Proj'!$D$1:$D$7669,O42))</f>
        <v>10.96</v>
      </c>
      <c r="AG42">
        <f>IF(Week&gt;=P$1,INDEX(Finals!$G$1:$G$501,P42),INDEX('F Proj'!$D$1:$D$7669,P42))</f>
        <v>9.99</v>
      </c>
      <c r="AH42">
        <f>IF(Week&gt;=Q$1,INDEX(Finals!$G$1:$G$501,Q42),INDEX('F Proj'!$D$1:$D$7669,Q42))</f>
        <v>12.2</v>
      </c>
      <c r="AI42">
        <f>IF(Week&gt;=R$1,INDEX(Finals!$G$1:$G$501,R42),INDEX('F Proj'!$D$1:$D$7669,R42))</f>
        <v>9.9600000000000009</v>
      </c>
      <c r="AJ42">
        <f>IF(Week&gt;=S$1,INDEX(Finals!$G$1:$G$501,S42),INDEX('F Proj'!$D$1:$D$7669,S42))</f>
        <v>13.44</v>
      </c>
      <c r="AK42">
        <f>IF(Week&gt;=C$1,INDEX(Finals!$I$1:$I$501,C42),INDEX('F Proj'!$J$1:$J$7669,C42))</f>
        <v>0</v>
      </c>
      <c r="AL42">
        <f>IF(Week&gt;=D$1,INDEX(Finals!$I$1:$I$501,D42),INDEX('F Proj'!$J$1:$J$7669,D42))</f>
        <v>0</v>
      </c>
      <c r="AM42">
        <f>IF(Week&gt;=E$1,INDEX(Finals!$I$1:$I$501,E42),INDEX('F Proj'!$J$1:$J$7669,E42))</f>
        <v>0</v>
      </c>
      <c r="AN42">
        <f>IF(Week&gt;=F$1,INDEX(Finals!$I$1:$I$501,F42),INDEX('F Proj'!$J$1:$J$7669,F42))</f>
        <v>0</v>
      </c>
      <c r="AO42">
        <f>IF(Week&gt;=G$1,INDEX(Finals!$I$1:$I$501,G42),INDEX('F Proj'!$J$1:$J$7669,G42))</f>
        <v>53.728900000000003</v>
      </c>
      <c r="AP42">
        <f>IF(Week&gt;=H$1,INDEX(Finals!$I$1:$I$501,H42),INDEX('F Proj'!$J$1:$J$7669,H42))</f>
        <v>34.222499999999997</v>
      </c>
      <c r="AQ42">
        <f>IF(Week&gt;=I$1,INDEX(Finals!$I$1:$I$501,I42),INDEX('F Proj'!$J$1:$J$7669,I42))</f>
        <v>53.5824</v>
      </c>
      <c r="AR42">
        <f>IF(Week&gt;=J$1,INDEX(Finals!$I$1:$I$501,J42),INDEX('F Proj'!$J$1:$J$7669,J42))</f>
        <v>38.688400000000001</v>
      </c>
      <c r="AS42">
        <f>IF(Week&gt;=K$1,INDEX(Finals!$I$1:$I$501,K42),INDEX('F Proj'!$J$1:$J$7669,K42))</f>
        <v>38.564100000000003</v>
      </c>
      <c r="AT42">
        <f>IF(Week&gt;=L$1,INDEX(Finals!$I$1:$I$501,L42),INDEX('F Proj'!$J$1:$J$7669,L42))</f>
        <v>30.360099999999999</v>
      </c>
      <c r="AU42">
        <f>IF(Week&gt;=M$1,INDEX(Finals!$I$1:$I$501,M42),INDEX('F Proj'!$J$1:$J$7669,M42))</f>
        <v>37.4544</v>
      </c>
      <c r="AV42">
        <f>IF(Week&gt;=N$1,INDEX(Finals!$I$1:$I$501,N42),INDEX('F Proj'!$J$1:$J$7669,N42))</f>
        <v>31.472100000000001</v>
      </c>
      <c r="AW42">
        <f>IF(Week&gt;=O$1,INDEX(Finals!$I$1:$I$501,O42),INDEX('F Proj'!$J$1:$J$7669,O42))</f>
        <v>41.473599999999998</v>
      </c>
      <c r="AX42">
        <f>IF(Week&gt;=P$1,INDEX(Finals!$I$1:$I$501,P42),INDEX('F Proj'!$J$1:$J$7669,P42))</f>
        <v>41.473599999999998</v>
      </c>
      <c r="AY42">
        <f>IF(Week&gt;=Q$1,INDEX(Finals!$I$1:$I$501,Q42),INDEX('F Proj'!$J$1:$J$7669,Q42))</f>
        <v>30.691600000000001</v>
      </c>
      <c r="AZ42">
        <f>IF(Week&gt;=R$1,INDEX(Finals!$I$1:$I$501,R42),INDEX('F Proj'!$J$1:$J$7669,R42))</f>
        <v>31.472100000000001</v>
      </c>
      <c r="BA42">
        <f>IF(Week&gt;=S$1,INDEX(Finals!$I$1:$I$501,S42),INDEX('F Proj'!$J$1:$J$7669,S42))</f>
        <v>53.5824</v>
      </c>
    </row>
    <row r="43" spans="1:53" x14ac:dyDescent="0.25">
      <c r="A43" t="s">
        <v>35</v>
      </c>
      <c r="B43" t="s">
        <v>472</v>
      </c>
      <c r="C43">
        <f>IF(Week&gt;=C$1,MATCH($A43&amp;"-"&amp;C$1&amp;$B43,Finals!$J$1:$J$501,0),IFERROR(MATCH($A43&amp;C$1&amp;$B43,'F Proj'!$N$1:$N$7669,0),MATCH("NA"&amp;C$1&amp;$B43,'F Proj'!$N$1:$N$7669,0)))</f>
        <v>161</v>
      </c>
      <c r="D43">
        <f>IF(Week&gt;=D$1,MATCH($A43&amp;"-"&amp;D$1&amp;$B43,Finals!$J$1:$J$501,0),IFERROR(MATCH($A43&amp;D$1&amp;$B43,'F Proj'!$N$1:$N$7669,0),MATCH("NA"&amp;D$1&amp;$B43,'F Proj'!$N$1:$N$7669,0)))</f>
        <v>162</v>
      </c>
      <c r="E43">
        <f>IF(Week&gt;=E$1,MATCH($A43&amp;"-"&amp;E$1&amp;$B43,Finals!$J$1:$J$501,0),IFERROR(MATCH($A43&amp;E$1&amp;$B43,'F Proj'!$N$1:$N$7669,0),MATCH("NA"&amp;E$1&amp;$B43,'F Proj'!$N$1:$N$7669,0)))</f>
        <v>163</v>
      </c>
      <c r="F43">
        <f>IF(Week&gt;=F$1,MATCH($A43&amp;"-"&amp;F$1&amp;$B43,Finals!$J$1:$J$501,0),IFERROR(MATCH($A43&amp;F$1&amp;$B43,'F Proj'!$N$1:$N$7669,0),MATCH("NA"&amp;F$1&amp;$B43,'F Proj'!$N$1:$N$7669,0)))</f>
        <v>164</v>
      </c>
      <c r="G43">
        <f>IF(Week&gt;=G$1,MATCH($A43&amp;"-"&amp;G$1&amp;$B43,Finals!$J$1:$J$501,0),IFERROR(MATCH($A43&amp;G$1&amp;$B43,'F Proj'!$N$1:$N$7669,0),MATCH("NA"&amp;G$1&amp;$B43,'F Proj'!$N$1:$N$7669,0)))</f>
        <v>165</v>
      </c>
      <c r="H43">
        <f>IF(Week&gt;=H$1,MATCH($A43&amp;"-"&amp;H$1&amp;$B43,Finals!$J$1:$J$501,0),IFERROR(MATCH($A43&amp;H$1&amp;$B43,'F Proj'!$N$1:$N$7669,0),MATCH("NA"&amp;H$1&amp;$B43,'F Proj'!$N$1:$N$7669,0)))</f>
        <v>1271</v>
      </c>
      <c r="I43">
        <f>IF(Week&gt;=I$1,MATCH($A43&amp;"-"&amp;I$1&amp;$B43,Finals!$J$1:$J$501,0),IFERROR(MATCH($A43&amp;I$1&amp;$B43,'F Proj'!$N$1:$N$7669,0),MATCH("NA"&amp;I$1&amp;$B43,'F Proj'!$N$1:$N$7669,0)))</f>
        <v>912</v>
      </c>
      <c r="J43">
        <f>IF(Week&gt;=J$1,MATCH($A43&amp;"-"&amp;J$1&amp;$B43,Finals!$J$1:$J$501,0),IFERROR(MATCH($A43&amp;J$1&amp;$B43,'F Proj'!$N$1:$N$7669,0),MATCH("NA"&amp;J$1&amp;$B43,'F Proj'!$N$1:$N$7669,0)))</f>
        <v>1014</v>
      </c>
      <c r="K43">
        <f>IF(Week&gt;=K$1,MATCH($A43&amp;"-"&amp;K$1&amp;$B43,Finals!$J$1:$J$501,0),IFERROR(MATCH($A43&amp;K$1&amp;$B43,'F Proj'!$N$1:$N$7669,0),MATCH("NA"&amp;K$1&amp;$B43,'F Proj'!$N$1:$N$7669,0)))</f>
        <v>1148</v>
      </c>
      <c r="L43">
        <f>IF(Week&gt;=L$1,MATCH($A43&amp;"-"&amp;L$1&amp;$B43,Finals!$J$1:$J$501,0),IFERROR(MATCH($A43&amp;L$1&amp;$B43,'F Proj'!$N$1:$N$7669,0),MATCH("NA"&amp;L$1&amp;$B43,'F Proj'!$N$1:$N$7669,0)))</f>
        <v>1159</v>
      </c>
      <c r="M43">
        <f>IF(Week&gt;=M$1,MATCH($A43&amp;"-"&amp;M$1&amp;$B43,Finals!$J$1:$J$501,0),IFERROR(MATCH($A43&amp;M$1&amp;$B43,'F Proj'!$N$1:$N$7669,0),MATCH("NA"&amp;M$1&amp;$B43,'F Proj'!$N$1:$N$7669,0)))</f>
        <v>1217</v>
      </c>
      <c r="N43">
        <f>IF(Week&gt;=N$1,MATCH($A43&amp;"-"&amp;N$1&amp;$B43,Finals!$J$1:$J$501,0),IFERROR(MATCH($A43&amp;N$1&amp;$B43,'F Proj'!$N$1:$N$7669,0),MATCH("NA"&amp;N$1&amp;$B43,'F Proj'!$N$1:$N$7669,0)))</f>
        <v>1101</v>
      </c>
      <c r="O43">
        <f>IF(Week&gt;=O$1,MATCH($A43&amp;"-"&amp;O$1&amp;$B43,Finals!$J$1:$J$501,0),IFERROR(MATCH($A43&amp;O$1&amp;$B43,'F Proj'!$N$1:$N$7669,0),MATCH("NA"&amp;O$1&amp;$B43,'F Proj'!$N$1:$N$7669,0)))</f>
        <v>989</v>
      </c>
      <c r="P43">
        <f>IF(Week&gt;=P$1,MATCH($A43&amp;"-"&amp;P$1&amp;$B43,Finals!$J$1:$J$501,0),IFERROR(MATCH($A43&amp;P$1&amp;$B43,'F Proj'!$N$1:$N$7669,0),MATCH("NA"&amp;P$1&amp;$B43,'F Proj'!$N$1:$N$7669,0)))</f>
        <v>1292</v>
      </c>
      <c r="Q43">
        <f>IF(Week&gt;=Q$1,MATCH($A43&amp;"-"&amp;Q$1&amp;$B43,Finals!$J$1:$J$501,0),IFERROR(MATCH($A43&amp;Q$1&amp;$B43,'F Proj'!$N$1:$N$7669,0),MATCH("NA"&amp;Q$1&amp;$B43,'F Proj'!$N$1:$N$7669,0)))</f>
        <v>1031</v>
      </c>
      <c r="R43">
        <f>IF(Week&gt;=R$1,MATCH($A43&amp;"-"&amp;R$1&amp;$B43,Finals!$J$1:$J$501,0),IFERROR(MATCH($A43&amp;R$1&amp;$B43,'F Proj'!$N$1:$N$7669,0),MATCH("NA"&amp;R$1&amp;$B43,'F Proj'!$N$1:$N$7669,0)))</f>
        <v>1095</v>
      </c>
      <c r="S43">
        <f>IF(Week&gt;=S$1,MATCH($A43&amp;"-"&amp;S$1&amp;$B43,Finals!$J$1:$J$501,0),IFERROR(MATCH($A43&amp;S$1&amp;$B43,'F Proj'!$N$1:$N$7669,0),MATCH("NA"&amp;S$1&amp;$B43,'F Proj'!$N$1:$N$7669,0)))</f>
        <v>1215</v>
      </c>
      <c r="T43">
        <f>IF(Week&gt;=C$1,INDEX(Finals!$G$1:$G$501,C43),INDEX('F Proj'!$D$1:$D$7669,C43))</f>
        <v>13.9</v>
      </c>
      <c r="U43">
        <f>IF(Week&gt;=D$1,INDEX(Finals!$G$1:$G$501,D43),INDEX('F Proj'!$D$1:$D$7669,D43))</f>
        <v>11.8</v>
      </c>
      <c r="V43">
        <f>IF(Week&gt;=E$1,INDEX(Finals!$G$1:$G$501,E43),INDEX('F Proj'!$D$1:$D$7669,E43))</f>
        <v>6.9</v>
      </c>
      <c r="W43">
        <f>IF(Week&gt;=F$1,INDEX(Finals!$G$1:$G$501,F43),INDEX('F Proj'!$D$1:$D$7669,F43))</f>
        <v>25.2</v>
      </c>
      <c r="X43">
        <f>IF(Week&gt;=G$1,INDEX(Finals!$G$1:$G$501,G43),INDEX('F Proj'!$D$1:$D$7669,G43))</f>
        <v>11.58</v>
      </c>
      <c r="Y43">
        <f>IF(Week&gt;=H$1,INDEX(Finals!$G$1:$G$501,H43),INDEX('F Proj'!$D$1:$D$7669,H43))</f>
        <v>8.99</v>
      </c>
      <c r="Z43">
        <f>IF(Week&gt;=I$1,INDEX(Finals!$G$1:$G$501,I43),INDEX('F Proj'!$D$1:$D$7669,I43))</f>
        <v>11.13</v>
      </c>
      <c r="AA43">
        <f>IF(Week&gt;=J$1,INDEX(Finals!$G$1:$G$501,J43),INDEX('F Proj'!$D$1:$D$7669,J43))</f>
        <v>10.34</v>
      </c>
      <c r="AB43">
        <f>IF(Week&gt;=K$1,INDEX(Finals!$G$1:$G$501,K43),INDEX('F Proj'!$D$1:$D$7669,K43))</f>
        <v>9.65</v>
      </c>
      <c r="AC43">
        <f>IF(Week&gt;=L$1,INDEX(Finals!$G$1:$G$501,L43),INDEX('F Proj'!$D$1:$D$7669,L43))</f>
        <v>9.61</v>
      </c>
      <c r="AD43">
        <f>IF(Week&gt;=M$1,INDEX(Finals!$G$1:$G$501,M43),INDEX('F Proj'!$D$1:$D$7669,M43))</f>
        <v>9.27</v>
      </c>
      <c r="AE43">
        <f>IF(Week&gt;=N$1,INDEX(Finals!$G$1:$G$501,N43),INDEX('F Proj'!$D$1:$D$7669,N43))</f>
        <v>9.8800000000000008</v>
      </c>
      <c r="AF43">
        <f>IF(Week&gt;=O$1,INDEX(Finals!$G$1:$G$501,O43),INDEX('F Proj'!$D$1:$D$7669,O43))</f>
        <v>10.49</v>
      </c>
      <c r="AG43">
        <f>IF(Week&gt;=P$1,INDEX(Finals!$G$1:$G$501,P43),INDEX('F Proj'!$D$1:$D$7669,P43))</f>
        <v>8.91</v>
      </c>
      <c r="AH43">
        <f>IF(Week&gt;=Q$1,INDEX(Finals!$G$1:$G$501,Q43),INDEX('F Proj'!$D$1:$D$7669,Q43))</f>
        <v>10.24</v>
      </c>
      <c r="AI43">
        <f>IF(Week&gt;=R$1,INDEX(Finals!$G$1:$G$501,R43),INDEX('F Proj'!$D$1:$D$7669,R43))</f>
        <v>9.91</v>
      </c>
      <c r="AJ43">
        <f>IF(Week&gt;=S$1,INDEX(Finals!$G$1:$G$501,S43),INDEX('F Proj'!$D$1:$D$7669,S43))</f>
        <v>9.2899999999999991</v>
      </c>
      <c r="AK43">
        <f>IF(Week&gt;=C$1,INDEX(Finals!$I$1:$I$501,C43),INDEX('F Proj'!$J$1:$J$7669,C43))</f>
        <v>0</v>
      </c>
      <c r="AL43">
        <f>IF(Week&gt;=D$1,INDEX(Finals!$I$1:$I$501,D43),INDEX('F Proj'!$J$1:$J$7669,D43))</f>
        <v>0</v>
      </c>
      <c r="AM43">
        <f>IF(Week&gt;=E$1,INDEX(Finals!$I$1:$I$501,E43),INDEX('F Proj'!$J$1:$J$7669,E43))</f>
        <v>0</v>
      </c>
      <c r="AN43">
        <f>IF(Week&gt;=F$1,INDEX(Finals!$I$1:$I$501,F43),INDEX('F Proj'!$J$1:$J$7669,F43))</f>
        <v>0</v>
      </c>
      <c r="AO43">
        <f>IF(Week&gt;=G$1,INDEX(Finals!$I$1:$I$501,G43),INDEX('F Proj'!$J$1:$J$7669,G43))</f>
        <v>43.428100000000001</v>
      </c>
      <c r="AP43">
        <f>IF(Week&gt;=H$1,INDEX(Finals!$I$1:$I$501,H43),INDEX('F Proj'!$J$1:$J$7669,H43))</f>
        <v>27.04</v>
      </c>
      <c r="AQ43">
        <f>IF(Week&gt;=I$1,INDEX(Finals!$I$1:$I$501,I43),INDEX('F Proj'!$J$1:$J$7669,I43))</f>
        <v>31.696899999999999</v>
      </c>
      <c r="AR43">
        <f>IF(Week&gt;=J$1,INDEX(Finals!$I$1:$I$501,J43),INDEX('F Proj'!$J$1:$J$7669,J43))</f>
        <v>29.9209</v>
      </c>
      <c r="AS43">
        <f>IF(Week&gt;=K$1,INDEX(Finals!$I$1:$I$501,K43),INDEX('F Proj'!$J$1:$J$7669,K43))</f>
        <v>29.3764</v>
      </c>
      <c r="AT43">
        <f>IF(Week&gt;=L$1,INDEX(Finals!$I$1:$I$501,L43),INDEX('F Proj'!$J$1:$J$7669,L43))</f>
        <v>28.729600000000001</v>
      </c>
      <c r="AU43">
        <f>IF(Week&gt;=M$1,INDEX(Finals!$I$1:$I$501,M43),INDEX('F Proj'!$J$1:$J$7669,M43))</f>
        <v>49.702500000000001</v>
      </c>
      <c r="AV43">
        <f>IF(Week&gt;=N$1,INDEX(Finals!$I$1:$I$501,N43),INDEX('F Proj'!$J$1:$J$7669,N43))</f>
        <v>28.729600000000001</v>
      </c>
      <c r="AW43">
        <f>IF(Week&gt;=O$1,INDEX(Finals!$I$1:$I$501,O43),INDEX('F Proj'!$J$1:$J$7669,O43))</f>
        <v>36.240400000000001</v>
      </c>
      <c r="AX43">
        <f>IF(Week&gt;=P$1,INDEX(Finals!$I$1:$I$501,P43),INDEX('F Proj'!$J$1:$J$7669,P43))</f>
        <v>27.5625</v>
      </c>
      <c r="AY43">
        <f>IF(Week&gt;=Q$1,INDEX(Finals!$I$1:$I$501,Q43),INDEX('F Proj'!$J$1:$J$7669,Q43))</f>
        <v>45.1584</v>
      </c>
      <c r="AZ43">
        <f>IF(Week&gt;=R$1,INDEX(Finals!$I$1:$I$501,R43),INDEX('F Proj'!$J$1:$J$7669,R43))</f>
        <v>29.3764</v>
      </c>
      <c r="BA43">
        <f>IF(Week&gt;=S$1,INDEX(Finals!$I$1:$I$501,S43),INDEX('F Proj'!$J$1:$J$7669,S43))</f>
        <v>34.222499999999997</v>
      </c>
    </row>
    <row r="44" spans="1:53" x14ac:dyDescent="0.25">
      <c r="A44" t="s">
        <v>35</v>
      </c>
      <c r="B44" t="s">
        <v>473</v>
      </c>
      <c r="C44">
        <f>IF(Week&gt;=C$1,MATCH($A44&amp;"-"&amp;C$1&amp;$B44,Finals!$J$1:$J$501,0),IFERROR(MATCH($A44&amp;C$1&amp;$B44,'F Proj'!$N$1:$N$7669,0),MATCH("NA"&amp;C$1&amp;$B44,'F Proj'!$N$1:$N$7669,0)))</f>
        <v>114</v>
      </c>
      <c r="D44">
        <f>IF(Week&gt;=D$1,MATCH($A44&amp;"-"&amp;D$1&amp;$B44,Finals!$J$1:$J$501,0),IFERROR(MATCH($A44&amp;D$1&amp;$B44,'F Proj'!$N$1:$N$7669,0),MATCH("NA"&amp;D$1&amp;$B44,'F Proj'!$N$1:$N$7669,0)))</f>
        <v>115</v>
      </c>
      <c r="E44">
        <f>IF(Week&gt;=E$1,MATCH($A44&amp;"-"&amp;E$1&amp;$B44,Finals!$J$1:$J$501,0),IFERROR(MATCH($A44&amp;E$1&amp;$B44,'F Proj'!$N$1:$N$7669,0),MATCH("NA"&amp;E$1&amp;$B44,'F Proj'!$N$1:$N$7669,0)))</f>
        <v>116</v>
      </c>
      <c r="F44">
        <f>IF(Week&gt;=F$1,MATCH($A44&amp;"-"&amp;F$1&amp;$B44,Finals!$J$1:$J$501,0),IFERROR(MATCH($A44&amp;F$1&amp;$B44,'F Proj'!$N$1:$N$7669,0),MATCH("NA"&amp;F$1&amp;$B44,'F Proj'!$N$1:$N$7669,0)))</f>
        <v>117</v>
      </c>
      <c r="G44">
        <f>IF(Week&gt;=G$1,MATCH($A44&amp;"-"&amp;G$1&amp;$B44,Finals!$J$1:$J$501,0),IFERROR(MATCH($A44&amp;G$1&amp;$B44,'F Proj'!$N$1:$N$7669,0),MATCH("NA"&amp;G$1&amp;$B44,'F Proj'!$N$1:$N$7669,0)))</f>
        <v>34</v>
      </c>
      <c r="H44">
        <f>IF(Week&gt;=H$1,MATCH($A44&amp;"-"&amp;H$1&amp;$B44,Finals!$J$1:$J$501,0),IFERROR(MATCH($A44&amp;H$1&amp;$B44,'F Proj'!$N$1:$N$7669,0),MATCH("NA"&amp;H$1&amp;$B44,'F Proj'!$N$1:$N$7669,0)))</f>
        <v>1482</v>
      </c>
      <c r="I44">
        <f>IF(Week&gt;=I$1,MATCH($A44&amp;"-"&amp;I$1&amp;$B44,Finals!$J$1:$J$501,0),IFERROR(MATCH($A44&amp;I$1&amp;$B44,'F Proj'!$N$1:$N$7669,0),MATCH("NA"&amp;I$1&amp;$B44,'F Proj'!$N$1:$N$7669,0)))</f>
        <v>1435</v>
      </c>
      <c r="J44">
        <f>IF(Week&gt;=J$1,MATCH($A44&amp;"-"&amp;J$1&amp;$B44,Finals!$J$1:$J$501,0),IFERROR(MATCH($A44&amp;J$1&amp;$B44,'F Proj'!$N$1:$N$7669,0),MATCH("NA"&amp;J$1&amp;$B44,'F Proj'!$N$1:$N$7669,0)))</f>
        <v>1192</v>
      </c>
      <c r="K44">
        <f>IF(Week&gt;=K$1,MATCH($A44&amp;"-"&amp;K$1&amp;$B44,Finals!$J$1:$J$501,0),IFERROR(MATCH($A44&amp;K$1&amp;$B44,'F Proj'!$N$1:$N$7669,0),MATCH("NA"&amp;K$1&amp;$B44,'F Proj'!$N$1:$N$7669,0)))</f>
        <v>2023</v>
      </c>
      <c r="L44">
        <f>IF(Week&gt;=L$1,MATCH($A44&amp;"-"&amp;L$1&amp;$B44,Finals!$J$1:$J$501,0),IFERROR(MATCH($A44&amp;L$1&amp;$B44,'F Proj'!$N$1:$N$7669,0),MATCH("NA"&amp;L$1&amp;$B44,'F Proj'!$N$1:$N$7669,0)))</f>
        <v>1258</v>
      </c>
      <c r="M44">
        <f>IF(Week&gt;=M$1,MATCH($A44&amp;"-"&amp;M$1&amp;$B44,Finals!$J$1:$J$501,0),IFERROR(MATCH($A44&amp;M$1&amp;$B44,'F Proj'!$N$1:$N$7669,0),MATCH("NA"&amp;M$1&amp;$B44,'F Proj'!$N$1:$N$7669,0)))</f>
        <v>1240</v>
      </c>
      <c r="N44">
        <f>IF(Week&gt;=N$1,MATCH($A44&amp;"-"&amp;N$1&amp;$B44,Finals!$J$1:$J$501,0),IFERROR(MATCH($A44&amp;N$1&amp;$B44,'F Proj'!$N$1:$N$7669,0),MATCH("NA"&amp;N$1&amp;$B44,'F Proj'!$N$1:$N$7669,0)))</f>
        <v>1230</v>
      </c>
      <c r="O44">
        <f>IF(Week&gt;=O$1,MATCH($A44&amp;"-"&amp;O$1&amp;$B44,Finals!$J$1:$J$501,0),IFERROR(MATCH($A44&amp;O$1&amp;$B44,'F Proj'!$N$1:$N$7669,0),MATCH("NA"&amp;O$1&amp;$B44,'F Proj'!$N$1:$N$7669,0)))</f>
        <v>1259</v>
      </c>
      <c r="P44">
        <f>IF(Week&gt;=P$1,MATCH($A44&amp;"-"&amp;P$1&amp;$B44,Finals!$J$1:$J$501,0),IFERROR(MATCH($A44&amp;P$1&amp;$B44,'F Proj'!$N$1:$N$7669,0),MATCH("NA"&amp;P$1&amp;$B44,'F Proj'!$N$1:$N$7669,0)))</f>
        <v>1313</v>
      </c>
      <c r="Q44">
        <f>IF(Week&gt;=Q$1,MATCH($A44&amp;"-"&amp;Q$1&amp;$B44,Finals!$J$1:$J$501,0),IFERROR(MATCH($A44&amp;Q$1&amp;$B44,'F Proj'!$N$1:$N$7669,0),MATCH("NA"&amp;Q$1&amp;$B44,'F Proj'!$N$1:$N$7669,0)))</f>
        <v>1376</v>
      </c>
      <c r="R44">
        <f>IF(Week&gt;=R$1,MATCH($A44&amp;"-"&amp;R$1&amp;$B44,Finals!$J$1:$J$501,0),IFERROR(MATCH($A44&amp;R$1&amp;$B44,'F Proj'!$N$1:$N$7669,0),MATCH("NA"&amp;R$1&amp;$B44,'F Proj'!$N$1:$N$7669,0)))</f>
        <v>1110</v>
      </c>
      <c r="S44">
        <f>IF(Week&gt;=S$1,MATCH($A44&amp;"-"&amp;S$1&amp;$B44,Finals!$J$1:$J$501,0),IFERROR(MATCH($A44&amp;S$1&amp;$B44,'F Proj'!$N$1:$N$7669,0),MATCH("NA"&amp;S$1&amp;$B44,'F Proj'!$N$1:$N$7669,0)))</f>
        <v>1295</v>
      </c>
      <c r="T44">
        <f>IF(Week&gt;=C$1,INDEX(Finals!$G$1:$G$501,C44),INDEX('F Proj'!$D$1:$D$7669,C44))</f>
        <v>12.3</v>
      </c>
      <c r="U44">
        <f>IF(Week&gt;=D$1,INDEX(Finals!$G$1:$G$501,D44),INDEX('F Proj'!$D$1:$D$7669,D44))</f>
        <v>1.8</v>
      </c>
      <c r="V44">
        <f>IF(Week&gt;=E$1,INDEX(Finals!$G$1:$G$501,E44),INDEX('F Proj'!$D$1:$D$7669,E44))</f>
        <v>6.3</v>
      </c>
      <c r="W44">
        <f>IF(Week&gt;=F$1,INDEX(Finals!$G$1:$G$501,F44),INDEX('F Proj'!$D$1:$D$7669,F44))</f>
        <v>2.4</v>
      </c>
      <c r="X44">
        <f>IF(Week&gt;=G$1,INDEX(Finals!$G$1:$G$501,G44),INDEX('F Proj'!$D$1:$D$7669,G44))</f>
        <v>9.19</v>
      </c>
      <c r="Y44">
        <f>IF(Week&gt;=H$1,INDEX(Finals!$G$1:$G$501,H44),INDEX('F Proj'!$D$1:$D$7669,H44))</f>
        <v>8.16</v>
      </c>
      <c r="Z44">
        <f>IF(Week&gt;=I$1,INDEX(Finals!$G$1:$G$501,I44),INDEX('F Proj'!$D$1:$D$7669,I44))</f>
        <v>8.32</v>
      </c>
      <c r="AA44">
        <f>IF(Week&gt;=J$1,INDEX(Finals!$G$1:$G$501,J44),INDEX('F Proj'!$D$1:$D$7669,J44))</f>
        <v>9.43</v>
      </c>
      <c r="AB44">
        <f>IF(Week&gt;=K$1,INDEX(Finals!$G$1:$G$501,K44),INDEX('F Proj'!$D$1:$D$7669,K44))</f>
        <v>6.43</v>
      </c>
      <c r="AC44">
        <f>IF(Week&gt;=L$1,INDEX(Finals!$G$1:$G$501,L44),INDEX('F Proj'!$D$1:$D$7669,L44))</f>
        <v>9.07</v>
      </c>
      <c r="AD44">
        <f>IF(Week&gt;=M$1,INDEX(Finals!$G$1:$G$501,M44),INDEX('F Proj'!$D$1:$D$7669,M44))</f>
        <v>9.17</v>
      </c>
      <c r="AE44">
        <f>IF(Week&gt;=N$1,INDEX(Finals!$G$1:$G$501,N44),INDEX('F Proj'!$D$1:$D$7669,N44))</f>
        <v>9.2200000000000006</v>
      </c>
      <c r="AF44">
        <f>IF(Week&gt;=O$1,INDEX(Finals!$G$1:$G$501,O44),INDEX('F Proj'!$D$1:$D$7669,O44))</f>
        <v>9.07</v>
      </c>
      <c r="AG44">
        <f>IF(Week&gt;=P$1,INDEX(Finals!$G$1:$G$501,P44),INDEX('F Proj'!$D$1:$D$7669,P44))</f>
        <v>8.8000000000000007</v>
      </c>
      <c r="AH44">
        <f>IF(Week&gt;=Q$1,INDEX(Finals!$G$1:$G$501,Q44),INDEX('F Proj'!$D$1:$D$7669,Q44))</f>
        <v>8.5399999999999991</v>
      </c>
      <c r="AI44">
        <f>IF(Week&gt;=R$1,INDEX(Finals!$G$1:$G$501,R44),INDEX('F Proj'!$D$1:$D$7669,R44))</f>
        <v>9.83</v>
      </c>
      <c r="AJ44">
        <f>IF(Week&gt;=S$1,INDEX(Finals!$G$1:$G$501,S44),INDEX('F Proj'!$D$1:$D$7669,S44))</f>
        <v>8.89</v>
      </c>
      <c r="AK44">
        <f>IF(Week&gt;=C$1,INDEX(Finals!$I$1:$I$501,C44),INDEX('F Proj'!$J$1:$J$7669,C44))</f>
        <v>0</v>
      </c>
      <c r="AL44">
        <f>IF(Week&gt;=D$1,INDEX(Finals!$I$1:$I$501,D44),INDEX('F Proj'!$J$1:$J$7669,D44))</f>
        <v>0</v>
      </c>
      <c r="AM44">
        <f>IF(Week&gt;=E$1,INDEX(Finals!$I$1:$I$501,E44),INDEX('F Proj'!$J$1:$J$7669,E44))</f>
        <v>0</v>
      </c>
      <c r="AN44">
        <f>IF(Week&gt;=F$1,INDEX(Finals!$I$1:$I$501,F44),INDEX('F Proj'!$J$1:$J$7669,F44))</f>
        <v>0</v>
      </c>
      <c r="AO44">
        <f>IF(Week&gt;=G$1,INDEX(Finals!$I$1:$I$501,G44),INDEX('F Proj'!$J$1:$J$7669,G44))</f>
        <v>52.4176</v>
      </c>
      <c r="AP44">
        <f>IF(Week&gt;=H$1,INDEX(Finals!$I$1:$I$501,H44),INDEX('F Proj'!$J$1:$J$7669,H44))</f>
        <v>39.0625</v>
      </c>
      <c r="AQ44">
        <f>IF(Week&gt;=I$1,INDEX(Finals!$I$1:$I$501,I44),INDEX('F Proj'!$J$1:$J$7669,I44))</f>
        <v>44.622399999999999</v>
      </c>
      <c r="AR44">
        <f>IF(Week&gt;=J$1,INDEX(Finals!$I$1:$I$501,J44),INDEX('F Proj'!$J$1:$J$7669,J44))</f>
        <v>25.6036</v>
      </c>
      <c r="AS44">
        <f>IF(Week&gt;=K$1,INDEX(Finals!$I$1:$I$501,K44),INDEX('F Proj'!$J$1:$J$7669,K44))</f>
        <v>25.300899999999999</v>
      </c>
      <c r="AT44">
        <f>IF(Week&gt;=L$1,INDEX(Finals!$I$1:$I$501,L44),INDEX('F Proj'!$J$1:$J$7669,L44))</f>
        <v>57.456400000000002</v>
      </c>
      <c r="AU44">
        <f>IF(Week&gt;=M$1,INDEX(Finals!$I$1:$I$501,M44),INDEX('F Proj'!$J$1:$J$7669,M44))</f>
        <v>27.878399999999999</v>
      </c>
      <c r="AV44">
        <f>IF(Week&gt;=N$1,INDEX(Finals!$I$1:$I$501,N44),INDEX('F Proj'!$J$1:$J$7669,N44))</f>
        <v>27.457599999999999</v>
      </c>
      <c r="AW44">
        <f>IF(Week&gt;=O$1,INDEX(Finals!$I$1:$I$501,O44),INDEX('F Proj'!$J$1:$J$7669,O44))</f>
        <v>34.222499999999997</v>
      </c>
      <c r="AX44">
        <f>IF(Week&gt;=P$1,INDEX(Finals!$I$1:$I$501,P44),INDEX('F Proj'!$J$1:$J$7669,P44))</f>
        <v>57.456400000000002</v>
      </c>
      <c r="AY44">
        <f>IF(Week&gt;=Q$1,INDEX(Finals!$I$1:$I$501,Q44),INDEX('F Proj'!$J$1:$J$7669,Q44))</f>
        <v>22.372900000000001</v>
      </c>
      <c r="AZ44">
        <f>IF(Week&gt;=R$1,INDEX(Finals!$I$1:$I$501,R44),INDEX('F Proj'!$J$1:$J$7669,R44))</f>
        <v>46.922499999999999</v>
      </c>
      <c r="BA44">
        <f>IF(Week&gt;=S$1,INDEX(Finals!$I$1:$I$501,S44),INDEX('F Proj'!$J$1:$J$7669,S44))</f>
        <v>24.1081</v>
      </c>
    </row>
    <row r="45" spans="1:53" x14ac:dyDescent="0.25">
      <c r="A45" t="s">
        <v>35</v>
      </c>
      <c r="B45" t="s">
        <v>474</v>
      </c>
      <c r="C45" t="e">
        <f>IF(Week&gt;=C$1,MATCH($A45&amp;"-"&amp;C$1&amp;$B45,Finals!$J$1:$J$501,0),IFERROR(MATCH($A45&amp;C$1&amp;$B45,'F Proj'!$N$1:$N$7669,0),MATCH("NA"&amp;C$1&amp;$B45,'F Proj'!$N$1:$N$7669,0)))</f>
        <v>#N/A</v>
      </c>
      <c r="D45" t="e">
        <f>IF(Week&gt;=D$1,MATCH($A45&amp;"-"&amp;D$1&amp;$B45,Finals!$J$1:$J$501,0),IFERROR(MATCH($A45&amp;D$1&amp;$B45,'F Proj'!$N$1:$N$7669,0),MATCH("NA"&amp;D$1&amp;$B45,'F Proj'!$N$1:$N$7669,0)))</f>
        <v>#N/A</v>
      </c>
      <c r="E45" t="e">
        <f>IF(Week&gt;=E$1,MATCH($A45&amp;"-"&amp;E$1&amp;$B45,Finals!$J$1:$J$501,0),IFERROR(MATCH($A45&amp;E$1&amp;$B45,'F Proj'!$N$1:$N$7669,0),MATCH("NA"&amp;E$1&amp;$B45,'F Proj'!$N$1:$N$7669,0)))</f>
        <v>#N/A</v>
      </c>
      <c r="F45" t="e">
        <f>IF(Week&gt;=F$1,MATCH($A45&amp;"-"&amp;F$1&amp;$B45,Finals!$J$1:$J$501,0),IFERROR(MATCH($A45&amp;F$1&amp;$B45,'F Proj'!$N$1:$N$7669,0),MATCH("NA"&amp;F$1&amp;$B45,'F Proj'!$N$1:$N$7669,0)))</f>
        <v>#N/A</v>
      </c>
      <c r="G45" t="e">
        <f>IF(Week&gt;=G$1,MATCH($A45&amp;"-"&amp;G$1&amp;$B45,Finals!$J$1:$J$501,0),IFERROR(MATCH($A45&amp;G$1&amp;$B45,'F Proj'!$N$1:$N$7669,0),MATCH("NA"&amp;G$1&amp;$B45,'F Proj'!$N$1:$N$7669,0)))</f>
        <v>#N/A</v>
      </c>
      <c r="H45">
        <f>IF(Week&gt;=H$1,MATCH($A45&amp;"-"&amp;H$1&amp;$B45,Finals!$J$1:$J$501,0),IFERROR(MATCH($A45&amp;H$1&amp;$B45,'F Proj'!$N$1:$N$7669,0),MATCH("NA"&amp;H$1&amp;$B45,'F Proj'!$N$1:$N$7669,0)))</f>
        <v>2218</v>
      </c>
      <c r="I45">
        <f>IF(Week&gt;=I$1,MATCH($A45&amp;"-"&amp;I$1&amp;$B45,Finals!$J$1:$J$501,0),IFERROR(MATCH($A45&amp;I$1&amp;$B45,'F Proj'!$N$1:$N$7669,0),MATCH("NA"&amp;I$1&amp;$B45,'F Proj'!$N$1:$N$7669,0)))</f>
        <v>1559</v>
      </c>
      <c r="J45">
        <f>IF(Week&gt;=J$1,MATCH($A45&amp;"-"&amp;J$1&amp;$B45,Finals!$J$1:$J$501,0),IFERROR(MATCH($A45&amp;J$1&amp;$B45,'F Proj'!$N$1:$N$7669,0),MATCH("NA"&amp;J$1&amp;$B45,'F Proj'!$N$1:$N$7669,0)))</f>
        <v>1486</v>
      </c>
      <c r="K45">
        <f>IF(Week&gt;=K$1,MATCH($A45&amp;"-"&amp;K$1&amp;$B45,Finals!$J$1:$J$501,0),IFERROR(MATCH($A45&amp;K$1&amp;$B45,'F Proj'!$N$1:$N$7669,0),MATCH("NA"&amp;K$1&amp;$B45,'F Proj'!$N$1:$N$7669,0)))</f>
        <v>2137</v>
      </c>
      <c r="L45">
        <f>IF(Week&gt;=L$1,MATCH($A45&amp;"-"&amp;L$1&amp;$B45,Finals!$J$1:$J$501,0),IFERROR(MATCH($A45&amp;L$1&amp;$B45,'F Proj'!$N$1:$N$7669,0),MATCH("NA"&amp;L$1&amp;$B45,'F Proj'!$N$1:$N$7669,0)))</f>
        <v>2014</v>
      </c>
      <c r="M45">
        <f>IF(Week&gt;=M$1,MATCH($A45&amp;"-"&amp;M$1&amp;$B45,Finals!$J$1:$J$501,0),IFERROR(MATCH($A45&amp;M$1&amp;$B45,'F Proj'!$N$1:$N$7669,0),MATCH("NA"&amp;M$1&amp;$B45,'F Proj'!$N$1:$N$7669,0)))</f>
        <v>1367</v>
      </c>
      <c r="N45">
        <f>IF(Week&gt;=N$1,MATCH($A45&amp;"-"&amp;N$1&amp;$B45,Finals!$J$1:$J$501,0),IFERROR(MATCH($A45&amp;N$1&amp;$B45,'F Proj'!$N$1:$N$7669,0),MATCH("NA"&amp;N$1&amp;$B45,'F Proj'!$N$1:$N$7669,0)))</f>
        <v>1416</v>
      </c>
      <c r="O45">
        <f>IF(Week&gt;=O$1,MATCH($A45&amp;"-"&amp;O$1&amp;$B45,Finals!$J$1:$J$501,0),IFERROR(MATCH($A45&amp;O$1&amp;$B45,'F Proj'!$N$1:$N$7669,0),MATCH("NA"&amp;O$1&amp;$B45,'F Proj'!$N$1:$N$7669,0)))</f>
        <v>1379</v>
      </c>
      <c r="P45">
        <f>IF(Week&gt;=P$1,MATCH($A45&amp;"-"&amp;P$1&amp;$B45,Finals!$J$1:$J$501,0),IFERROR(MATCH($A45&amp;P$1&amp;$B45,'F Proj'!$N$1:$N$7669,0),MATCH("NA"&amp;P$1&amp;$B45,'F Proj'!$N$1:$N$7669,0)))</f>
        <v>1401</v>
      </c>
      <c r="Q45">
        <f>IF(Week&gt;=Q$1,MATCH($A45&amp;"-"&amp;Q$1&amp;$B45,Finals!$J$1:$J$501,0),IFERROR(MATCH($A45&amp;Q$1&amp;$B45,'F Proj'!$N$1:$N$7669,0),MATCH("NA"&amp;Q$1&amp;$B45,'F Proj'!$N$1:$N$7669,0)))</f>
        <v>1536</v>
      </c>
      <c r="R45">
        <f>IF(Week&gt;=R$1,MATCH($A45&amp;"-"&amp;R$1&amp;$B45,Finals!$J$1:$J$501,0),IFERROR(MATCH($A45&amp;R$1&amp;$B45,'F Proj'!$N$1:$N$7669,0),MATCH("NA"&amp;R$1&amp;$B45,'F Proj'!$N$1:$N$7669,0)))</f>
        <v>1154</v>
      </c>
      <c r="S45">
        <f>IF(Week&gt;=S$1,MATCH($A45&amp;"-"&amp;S$1&amp;$B45,Finals!$J$1:$J$501,0),IFERROR(MATCH($A45&amp;S$1&amp;$B45,'F Proj'!$N$1:$N$7669,0),MATCH("NA"&amp;S$1&amp;$B45,'F Proj'!$N$1:$N$7669,0)))</f>
        <v>1326</v>
      </c>
    </row>
    <row r="46" spans="1:53" x14ac:dyDescent="0.25">
      <c r="A46" t="s">
        <v>35</v>
      </c>
      <c r="B46" t="s">
        <v>466</v>
      </c>
      <c r="C46">
        <f>IF(Week&gt;=C$1,MATCH($A46&amp;"-"&amp;C$1&amp;$B46,Finals!$J$1:$J$501,0),MIN(C41,C45))</f>
        <v>29</v>
      </c>
      <c r="D46">
        <f>IF(Week&gt;=D$1,MATCH($A46&amp;"-"&amp;D$1&amp;$B46,Finals!$J$1:$J$501,0),MIN(D41,D45))</f>
        <v>355</v>
      </c>
      <c r="E46">
        <f>IF(Week&gt;=E$1,MATCH($A46&amp;"-"&amp;E$1&amp;$B46,Finals!$J$1:$J$501,0),MIN(E41,E45))</f>
        <v>347</v>
      </c>
      <c r="F46">
        <f>IF(Week&gt;=F$1,MATCH($A46&amp;"-"&amp;F$1&amp;$B46,Finals!$J$1:$J$501,0),MIN(F41,F45))</f>
        <v>93</v>
      </c>
      <c r="G46">
        <f>IF(Week&gt;=G$1,MATCH($A46&amp;"-"&amp;G$1&amp;$B46,Finals!$J$1:$J$501,0),MIN(G41,G45))</f>
        <v>118</v>
      </c>
      <c r="H46">
        <f>IF(Week&gt;=H$1,MATCH($A46&amp;"-"&amp;H$1&amp;$B46,Finals!$J$1:$J$501,0),MIN(H41,H45))</f>
        <v>700</v>
      </c>
      <c r="I46">
        <f>IF(Week&gt;=I$1,MATCH($A46&amp;"-"&amp;I$1&amp;$B46,Finals!$J$1:$J$501,0),MIN(I41,I45))</f>
        <v>1026</v>
      </c>
      <c r="J46">
        <f>IF(Week&gt;=J$1,MATCH($A46&amp;"-"&amp;J$1&amp;$B46,Finals!$J$1:$J$501,0),MIN(J41,J45))</f>
        <v>1486</v>
      </c>
      <c r="K46">
        <f>IF(Week&gt;=K$1,MATCH($A46&amp;"-"&amp;K$1&amp;$B46,Finals!$J$1:$J$501,0),MIN(K41,K45))</f>
        <v>1042</v>
      </c>
      <c r="L46">
        <f>IF(Week&gt;=L$1,MATCH($A46&amp;"-"&amp;L$1&amp;$B46,Finals!$J$1:$J$501,0),MIN(L41,L45))</f>
        <v>1204</v>
      </c>
      <c r="M46">
        <f>IF(Week&gt;=M$1,MATCH($A46&amp;"-"&amp;M$1&amp;$B46,Finals!$J$1:$J$501,0),MIN(M41,M45))</f>
        <v>1367</v>
      </c>
      <c r="N46">
        <f>IF(Week&gt;=N$1,MATCH($A46&amp;"-"&amp;N$1&amp;$B46,Finals!$J$1:$J$501,0),MIN(N41,N45))</f>
        <v>1109</v>
      </c>
      <c r="O46">
        <f>IF(Week&gt;=O$1,MATCH($A46&amp;"-"&amp;O$1&amp;$B46,Finals!$J$1:$J$501,0),MIN(O41,O45))</f>
        <v>1096</v>
      </c>
      <c r="P46">
        <f>IF(Week&gt;=P$1,MATCH($A46&amp;"-"&amp;P$1&amp;$B46,Finals!$J$1:$J$501,0),MIN(P41,P45))</f>
        <v>1097</v>
      </c>
      <c r="Q46">
        <f>IF(Week&gt;=Q$1,MATCH($A46&amp;"-"&amp;Q$1&amp;$B46,Finals!$J$1:$J$501,0),MIN(Q41,Q45))</f>
        <v>1034</v>
      </c>
      <c r="R46">
        <f>IF(Week&gt;=R$1,MATCH($A46&amp;"-"&amp;R$1&amp;$B46,Finals!$J$1:$J$501,0),MIN(R41,R45))</f>
        <v>1154</v>
      </c>
      <c r="S46">
        <f>IF(Week&gt;=S$1,MATCH($A46&amp;"-"&amp;S$1&amp;$B46,Finals!$J$1:$J$501,0),MIN(S41,S45))</f>
        <v>948</v>
      </c>
      <c r="T46">
        <f>IF(Week&gt;=C$1,INDEX(Finals!$G$1:$G$501,C46),INDEX('F Proj'!$D$1:$D$7669,C46))</f>
        <v>2</v>
      </c>
      <c r="U46">
        <f>IF(Week&gt;=D$1,INDEX(Finals!$G$1:$G$501,D46),INDEX('F Proj'!$D$1:$D$7669,D46))</f>
        <v>7.1</v>
      </c>
      <c r="V46">
        <f>IF(Week&gt;=E$1,INDEX(Finals!$G$1:$G$501,E46),INDEX('F Proj'!$D$1:$D$7669,E46))</f>
        <v>4.9000000000000004</v>
      </c>
      <c r="W46">
        <f>IF(Week&gt;=F$1,INDEX(Finals!$G$1:$G$501,F46),INDEX('F Proj'!$D$1:$D$7669,F46))</f>
        <v>2</v>
      </c>
      <c r="X46">
        <f>IF(Week&gt;=G$1,INDEX(Finals!$G$1:$G$501,G46),INDEX('F Proj'!$D$1:$D$7669,G46))</f>
        <v>7.92</v>
      </c>
      <c r="Y46">
        <f>IF(Week&gt;=H$1,INDEX(Finals!$G$1:$G$501,H46),INDEX('F Proj'!$D$1:$D$7669,H46))</f>
        <v>12.93</v>
      </c>
      <c r="Z46">
        <f>IF(Week&gt;=I$1,INDEX(Finals!$G$1:$G$501,I46),INDEX('F Proj'!$D$1:$D$7669,I46))</f>
        <v>10.28</v>
      </c>
      <c r="AA46">
        <f>IF(Week&gt;=J$1,INDEX(Finals!$G$1:$G$501,J46),INDEX('F Proj'!$D$1:$D$7669,J46))</f>
        <v>8.15</v>
      </c>
      <c r="AB46">
        <f>IF(Week&gt;=K$1,INDEX(Finals!$G$1:$G$501,K46),INDEX('F Proj'!$D$1:$D$7669,K46))</f>
        <v>10.17</v>
      </c>
      <c r="AC46">
        <f>IF(Week&gt;=L$1,INDEX(Finals!$G$1:$G$501,L46),INDEX('F Proj'!$D$1:$D$7669,L46))</f>
        <v>9.35</v>
      </c>
      <c r="AD46">
        <f>IF(Week&gt;=M$1,INDEX(Finals!$G$1:$G$501,M46),INDEX('F Proj'!$D$1:$D$7669,M46))</f>
        <v>8.59</v>
      </c>
      <c r="AE46">
        <f>IF(Week&gt;=N$1,INDEX(Finals!$G$1:$G$501,N46),INDEX('F Proj'!$D$1:$D$7669,N46))</f>
        <v>9.84</v>
      </c>
      <c r="AF46">
        <f>IF(Week&gt;=O$1,INDEX(Finals!$G$1:$G$501,O46),INDEX('F Proj'!$D$1:$D$7669,O46))</f>
        <v>9.9</v>
      </c>
      <c r="AG46">
        <f>IF(Week&gt;=P$1,INDEX(Finals!$G$1:$G$501,P46),INDEX('F Proj'!$D$1:$D$7669,P46))</f>
        <v>9.9</v>
      </c>
      <c r="AH46">
        <f>IF(Week&gt;=Q$1,INDEX(Finals!$G$1:$G$501,Q46),INDEX('F Proj'!$D$1:$D$7669,Q46))</f>
        <v>10.23</v>
      </c>
      <c r="AI46">
        <f>IF(Week&gt;=R$1,INDEX(Finals!$G$1:$G$501,R46),INDEX('F Proj'!$D$1:$D$7669,R46))</f>
        <v>9.6199999999999992</v>
      </c>
      <c r="AJ46">
        <f>IF(Week&gt;=S$1,INDEX(Finals!$G$1:$G$501,S46),INDEX('F Proj'!$D$1:$D$7669,S46))</f>
        <v>10.79</v>
      </c>
      <c r="AK46">
        <f>IF(Week&gt;=C$1,INDEX(Finals!$I$1:$I$501,C46),INDEX('F Proj'!$J$1:$J$7669,C46))</f>
        <v>0</v>
      </c>
      <c r="AL46">
        <f>IF(Week&gt;=D$1,INDEX(Finals!$I$1:$I$501,D46),INDEX('F Proj'!$J$1:$J$7669,D46))</f>
        <v>0</v>
      </c>
      <c r="AM46">
        <f>IF(Week&gt;=E$1,INDEX(Finals!$I$1:$I$501,E46),INDEX('F Proj'!$J$1:$J$7669,E46))</f>
        <v>0</v>
      </c>
      <c r="AN46">
        <f>IF(Week&gt;=F$1,INDEX(Finals!$I$1:$I$501,F46),INDEX('F Proj'!$J$1:$J$7669,F46))</f>
        <v>0</v>
      </c>
      <c r="AO46">
        <f>IF(Week&gt;=G$1,INDEX(Finals!$I$1:$I$501,G46),INDEX('F Proj'!$J$1:$J$7669,G46))</f>
        <v>23.814399999999999</v>
      </c>
      <c r="AP46">
        <f>IF(Week&gt;=H$1,INDEX(Finals!$I$1:$I$501,H46),INDEX('F Proj'!$J$1:$J$7669,H46))</f>
        <v>48.5809</v>
      </c>
      <c r="AQ46">
        <f>IF(Week&gt;=I$1,INDEX(Finals!$I$1:$I$501,I46),INDEX('F Proj'!$J$1:$J$7669,I46))</f>
        <v>42.771599999999999</v>
      </c>
      <c r="AR46">
        <f>IF(Week&gt;=J$1,INDEX(Finals!$I$1:$I$501,J46),INDEX('F Proj'!$J$1:$J$7669,J46))</f>
        <v>62.726399999999998</v>
      </c>
      <c r="AS46">
        <f>IF(Week&gt;=K$1,INDEX(Finals!$I$1:$I$501,K46),INDEX('F Proj'!$J$1:$J$7669,K46))</f>
        <v>39.438400000000001</v>
      </c>
      <c r="AT46">
        <f>IF(Week&gt;=L$1,INDEX(Finals!$I$1:$I$501,L46),INDEX('F Proj'!$J$1:$J$7669,L46))</f>
        <v>46.785600000000002</v>
      </c>
      <c r="AU46">
        <f>IF(Week&gt;=M$1,INDEX(Finals!$I$1:$I$501,M46),INDEX('F Proj'!$J$1:$J$7669,M46))</f>
        <v>24.1081</v>
      </c>
      <c r="AV46">
        <f>IF(Week&gt;=N$1,INDEX(Finals!$I$1:$I$501,N46),INDEX('F Proj'!$J$1:$J$7669,N46))</f>
        <v>44.756100000000004</v>
      </c>
      <c r="AW46">
        <f>IF(Week&gt;=O$1,INDEX(Finals!$I$1:$I$501,O46),INDEX('F Proj'!$J$1:$J$7669,O46))</f>
        <v>41.602499999999999</v>
      </c>
      <c r="AX46">
        <f>IF(Week&gt;=P$1,INDEX(Finals!$I$1:$I$501,P46),INDEX('F Proj'!$J$1:$J$7669,P46))</f>
        <v>46.648899999999998</v>
      </c>
      <c r="AY46">
        <f>IF(Week&gt;=Q$1,INDEX(Finals!$I$1:$I$501,Q46),INDEX('F Proj'!$J$1:$J$7669,Q46))</f>
        <v>37.699599999999997</v>
      </c>
      <c r="AZ46">
        <f>IF(Week&gt;=R$1,INDEX(Finals!$I$1:$I$501,R46),INDEX('F Proj'!$J$1:$J$7669,R46))</f>
        <v>26.728899999999999</v>
      </c>
      <c r="BA46">
        <f>IF(Week&gt;=S$1,INDEX(Finals!$I$1:$I$501,S46),INDEX('F Proj'!$J$1:$J$7669,S46))</f>
        <v>44.756100000000004</v>
      </c>
    </row>
    <row r="47" spans="1:53" x14ac:dyDescent="0.25">
      <c r="A47" t="s">
        <v>35</v>
      </c>
      <c r="B47" t="s">
        <v>475</v>
      </c>
      <c r="C47">
        <f>IF(Week&gt;=C$1,MATCH($A47&amp;"-"&amp;C$1&amp;$B47,Finals!$J$1:$J$501,0),IFERROR(MATCH($A47&amp;C$1&amp;$B47,'F Proj'!$N$1:$N$7669,0),MATCH("NA"&amp;C$1&amp;$B47,'F Proj'!$N$1:$N$7669,0)))</f>
        <v>167</v>
      </c>
      <c r="D47">
        <f>IF(Week&gt;=D$1,MATCH($A47&amp;"-"&amp;D$1&amp;$B47,Finals!$J$1:$J$501,0),IFERROR(MATCH($A47&amp;D$1&amp;$B47,'F Proj'!$N$1:$N$7669,0),MATCH("NA"&amp;D$1&amp;$B47,'F Proj'!$N$1:$N$7669,0)))</f>
        <v>168</v>
      </c>
      <c r="E47">
        <f>IF(Week&gt;=E$1,MATCH($A47&amp;"-"&amp;E$1&amp;$B47,Finals!$J$1:$J$501,0),IFERROR(MATCH($A47&amp;E$1&amp;$B47,'F Proj'!$N$1:$N$7669,0),MATCH("NA"&amp;E$1&amp;$B47,'F Proj'!$N$1:$N$7669,0)))</f>
        <v>148</v>
      </c>
      <c r="F47">
        <f>IF(Week&gt;=F$1,MATCH($A47&amp;"-"&amp;F$1&amp;$B47,Finals!$J$1:$J$501,0),IFERROR(MATCH($A47&amp;F$1&amp;$B47,'F Proj'!$N$1:$N$7669,0),MATCH("NA"&amp;F$1&amp;$B47,'F Proj'!$N$1:$N$7669,0)))</f>
        <v>146</v>
      </c>
      <c r="G47">
        <f>IF(Week&gt;=G$1,MATCH($A47&amp;"-"&amp;G$1&amp;$B47,Finals!$J$1:$J$501,0),IFERROR(MATCH($A47&amp;G$1&amp;$B47,'F Proj'!$N$1:$N$7669,0),MATCH("NA"&amp;G$1&amp;$B47,'F Proj'!$N$1:$N$7669,0)))</f>
        <v>147</v>
      </c>
      <c r="H47">
        <f>IF(Week&gt;=H$1,MATCH($A47&amp;"-"&amp;H$1&amp;$B47,Finals!$J$1:$J$501,0),IFERROR(MATCH($A47&amp;H$1&amp;$B47,'F Proj'!$N$1:$N$7669,0),MATCH("NA"&amp;H$1&amp;$B47,'F Proj'!$N$1:$N$7669,0)))</f>
        <v>2334</v>
      </c>
      <c r="I47">
        <f>IF(Week&gt;=I$1,MATCH($A47&amp;"-"&amp;I$1&amp;$B47,Finals!$J$1:$J$501,0),IFERROR(MATCH($A47&amp;I$1&amp;$B47,'F Proj'!$N$1:$N$7669,0),MATCH("NA"&amp;I$1&amp;$B47,'F Proj'!$N$1:$N$7669,0)))</f>
        <v>2445</v>
      </c>
      <c r="J47">
        <f>IF(Week&gt;=J$1,MATCH($A47&amp;"-"&amp;J$1&amp;$B47,Finals!$J$1:$J$501,0),IFERROR(MATCH($A47&amp;J$1&amp;$B47,'F Proj'!$N$1:$N$7669,0),MATCH("NA"&amp;J$1&amp;$B47,'F Proj'!$N$1:$N$7669,0)))</f>
        <v>2008</v>
      </c>
      <c r="K47">
        <f>IF(Week&gt;=K$1,MATCH($A47&amp;"-"&amp;K$1&amp;$B47,Finals!$J$1:$J$501,0),IFERROR(MATCH($A47&amp;K$1&amp;$B47,'F Proj'!$N$1:$N$7669,0),MATCH("NA"&amp;K$1&amp;$B47,'F Proj'!$N$1:$N$7669,0)))</f>
        <v>2083</v>
      </c>
      <c r="L47">
        <f>IF(Week&gt;=L$1,MATCH($A47&amp;"-"&amp;L$1&amp;$B47,Finals!$J$1:$J$501,0),IFERROR(MATCH($A47&amp;L$1&amp;$B47,'F Proj'!$N$1:$N$7669,0),MATCH("NA"&amp;L$1&amp;$B47,'F Proj'!$N$1:$N$7669,0)))</f>
        <v>2010</v>
      </c>
      <c r="M47">
        <f>IF(Week&gt;=M$1,MATCH($A47&amp;"-"&amp;M$1&amp;$B47,Finals!$J$1:$J$501,0),IFERROR(MATCH($A47&amp;M$1&amp;$B47,'F Proj'!$N$1:$N$7669,0),MATCH("NA"&amp;M$1&amp;$B47,'F Proj'!$N$1:$N$7669,0)))</f>
        <v>1629</v>
      </c>
      <c r="N47">
        <f>IF(Week&gt;=N$1,MATCH($A47&amp;"-"&amp;N$1&amp;$B47,Finals!$J$1:$J$501,0),IFERROR(MATCH($A47&amp;N$1&amp;$B47,'F Proj'!$N$1:$N$7669,0),MATCH("NA"&amp;N$1&amp;$B47,'F Proj'!$N$1:$N$7669,0)))</f>
        <v>2406</v>
      </c>
      <c r="O47">
        <f>IF(Week&gt;=O$1,MATCH($A47&amp;"-"&amp;O$1&amp;$B47,Finals!$J$1:$J$501,0),IFERROR(MATCH($A47&amp;O$1&amp;$B47,'F Proj'!$N$1:$N$7669,0),MATCH("NA"&amp;O$1&amp;$B47,'F Proj'!$N$1:$N$7669,0)))</f>
        <v>2421</v>
      </c>
      <c r="P47">
        <f>IF(Week&gt;=P$1,MATCH($A47&amp;"-"&amp;P$1&amp;$B47,Finals!$J$1:$J$501,0),IFERROR(MATCH($A47&amp;P$1&amp;$B47,'F Proj'!$N$1:$N$7669,0),MATCH("NA"&amp;P$1&amp;$B47,'F Proj'!$N$1:$N$7669,0)))</f>
        <v>2094</v>
      </c>
      <c r="Q47">
        <f>IF(Week&gt;=Q$1,MATCH($A47&amp;"-"&amp;Q$1&amp;$B47,Finals!$J$1:$J$501,0),IFERROR(MATCH($A47&amp;Q$1&amp;$B47,'F Proj'!$N$1:$N$7669,0),MATCH("NA"&amp;Q$1&amp;$B47,'F Proj'!$N$1:$N$7669,0)))</f>
        <v>2251</v>
      </c>
      <c r="R47">
        <f>IF(Week&gt;=R$1,MATCH($A47&amp;"-"&amp;R$1&amp;$B47,Finals!$J$1:$J$501,0),IFERROR(MATCH($A47&amp;R$1&amp;$B47,'F Proj'!$N$1:$N$7669,0),MATCH("NA"&amp;R$1&amp;$B47,'F Proj'!$N$1:$N$7669,0)))</f>
        <v>1707</v>
      </c>
      <c r="S47">
        <f>IF(Week&gt;=S$1,MATCH($A47&amp;"-"&amp;S$1&amp;$B47,Finals!$J$1:$J$501,0),IFERROR(MATCH($A47&amp;S$1&amp;$B47,'F Proj'!$N$1:$N$7669,0),MATCH("NA"&amp;S$1&amp;$B47,'F Proj'!$N$1:$N$7669,0)))</f>
        <v>1665</v>
      </c>
      <c r="T47">
        <f>IF(Week&gt;=C$1,INDEX(Finals!$G$1:$G$501,C47),INDEX('F Proj'!$D$1:$D$7669,C47))</f>
        <v>4</v>
      </c>
      <c r="U47">
        <f>IF(Week&gt;=D$1,INDEX(Finals!$G$1:$G$501,D47),INDEX('F Proj'!$D$1:$D$7669,D47))</f>
        <v>2</v>
      </c>
      <c r="V47">
        <f>IF(Week&gt;=E$1,INDEX(Finals!$G$1:$G$501,E47),INDEX('F Proj'!$D$1:$D$7669,E47))</f>
        <v>1.9</v>
      </c>
      <c r="W47">
        <f>IF(Week&gt;=F$1,INDEX(Finals!$G$1:$G$501,F47),INDEX('F Proj'!$D$1:$D$7669,F47))</f>
        <v>10</v>
      </c>
      <c r="X47">
        <f>IF(Week&gt;=G$1,INDEX(Finals!$G$1:$G$501,G47),INDEX('F Proj'!$D$1:$D$7669,G47))</f>
        <v>22.5</v>
      </c>
      <c r="Y47">
        <f>IF(Week&gt;=H$1,INDEX(Finals!$G$1:$G$501,H47),INDEX('F Proj'!$D$1:$D$7669,H47))</f>
        <v>5.62</v>
      </c>
      <c r="Z47">
        <f>IF(Week&gt;=I$1,INDEX(Finals!$G$1:$G$501,I47),INDEX('F Proj'!$D$1:$D$7669,I47))</f>
        <v>5.37</v>
      </c>
      <c r="AA47">
        <f>IF(Week&gt;=J$1,INDEX(Finals!$G$1:$G$501,J47),INDEX('F Proj'!$D$1:$D$7669,J47))</f>
        <v>6.47</v>
      </c>
      <c r="AB47">
        <f>IF(Week&gt;=K$1,INDEX(Finals!$G$1:$G$501,K47),INDEX('F Proj'!$D$1:$D$7669,K47))</f>
        <v>6.27</v>
      </c>
      <c r="AC47">
        <f>IF(Week&gt;=L$1,INDEX(Finals!$G$1:$G$501,L47),INDEX('F Proj'!$D$1:$D$7669,L47))</f>
        <v>6.46</v>
      </c>
      <c r="AD47">
        <f>IF(Week&gt;=M$1,INDEX(Finals!$G$1:$G$501,M47),INDEX('F Proj'!$D$1:$D$7669,M47))</f>
        <v>7.66</v>
      </c>
      <c r="AE47">
        <f>IF(Week&gt;=N$1,INDEX(Finals!$G$1:$G$501,N47),INDEX('F Proj'!$D$1:$D$7669,N47))</f>
        <v>5.44</v>
      </c>
      <c r="AF47">
        <f>IF(Week&gt;=O$1,INDEX(Finals!$G$1:$G$501,O47),INDEX('F Proj'!$D$1:$D$7669,O47))</f>
        <v>5.41</v>
      </c>
      <c r="AG47">
        <f>IF(Week&gt;=P$1,INDEX(Finals!$G$1:$G$501,P47),INDEX('F Proj'!$D$1:$D$7669,P47))</f>
        <v>6.24</v>
      </c>
      <c r="AH47">
        <f>IF(Week&gt;=Q$1,INDEX(Finals!$G$1:$G$501,Q47),INDEX('F Proj'!$D$1:$D$7669,Q47))</f>
        <v>5.81</v>
      </c>
      <c r="AI47">
        <f>IF(Week&gt;=R$1,INDEX(Finals!$G$1:$G$501,R47),INDEX('F Proj'!$D$1:$D$7669,R47))</f>
        <v>7.38</v>
      </c>
      <c r="AJ47">
        <f>IF(Week&gt;=S$1,INDEX(Finals!$G$1:$G$501,S47),INDEX('F Proj'!$D$1:$D$7669,S47))</f>
        <v>7.52</v>
      </c>
      <c r="AK47">
        <f>IF(Week&gt;=C$1,INDEX(Finals!$I$1:$I$501,C47),INDEX('F Proj'!$J$1:$J$7669,C47))</f>
        <v>0</v>
      </c>
      <c r="AL47">
        <f>IF(Week&gt;=D$1,INDEX(Finals!$I$1:$I$501,D47),INDEX('F Proj'!$J$1:$J$7669,D47))</f>
        <v>0</v>
      </c>
      <c r="AM47">
        <f>IF(Week&gt;=E$1,INDEX(Finals!$I$1:$I$501,E47),INDEX('F Proj'!$J$1:$J$7669,E47))</f>
        <v>0</v>
      </c>
      <c r="AN47">
        <f>IF(Week&gt;=F$1,INDEX(Finals!$I$1:$I$501,F47),INDEX('F Proj'!$J$1:$J$7669,F47))</f>
        <v>0</v>
      </c>
      <c r="AO47">
        <f>IF(Week&gt;=G$1,INDEX(Finals!$I$1:$I$501,G47),INDEX('F Proj'!$J$1:$J$7669,G47))</f>
        <v>0</v>
      </c>
      <c r="AP47">
        <f>IF(Week&gt;=H$1,INDEX(Finals!$I$1:$I$501,H47),INDEX('F Proj'!$J$1:$J$7669,H47))</f>
        <v>18.0625</v>
      </c>
      <c r="AQ47">
        <f>IF(Week&gt;=I$1,INDEX(Finals!$I$1:$I$501,I47),INDEX('F Proj'!$J$1:$J$7669,I47))</f>
        <v>13.1044</v>
      </c>
      <c r="AR47">
        <f>IF(Week&gt;=J$1,INDEX(Finals!$I$1:$I$501,J47),INDEX('F Proj'!$J$1:$J$7669,J47))</f>
        <v>24.900099999999998</v>
      </c>
      <c r="AS47">
        <f>IF(Week&gt;=K$1,INDEX(Finals!$I$1:$I$501,K47),INDEX('F Proj'!$J$1:$J$7669,K47))</f>
        <v>21.3444</v>
      </c>
      <c r="AT47">
        <f>IF(Week&gt;=L$1,INDEX(Finals!$I$1:$I$501,L47),INDEX('F Proj'!$J$1:$J$7669,L47))</f>
        <v>20.611599999999999</v>
      </c>
      <c r="AU47">
        <f>IF(Week&gt;=M$1,INDEX(Finals!$I$1:$I$501,M47),INDEX('F Proj'!$J$1:$J$7669,M47))</f>
        <v>25.704899999999999</v>
      </c>
      <c r="AV47">
        <f>IF(Week&gt;=N$1,INDEX(Finals!$I$1:$I$501,N47),INDEX('F Proj'!$J$1:$J$7669,N47))</f>
        <v>13.3956</v>
      </c>
      <c r="AW47">
        <f>IF(Week&gt;=O$1,INDEX(Finals!$I$1:$I$501,O47),INDEX('F Proj'!$J$1:$J$7669,O47))</f>
        <v>29.702500000000001</v>
      </c>
      <c r="AX47">
        <f>IF(Week&gt;=P$1,INDEX(Finals!$I$1:$I$501,P47),INDEX('F Proj'!$J$1:$J$7669,P47))</f>
        <v>24.900099999999998</v>
      </c>
      <c r="AY47">
        <f>IF(Week&gt;=Q$1,INDEX(Finals!$I$1:$I$501,Q47),INDEX('F Proj'!$J$1:$J$7669,Q47))</f>
        <v>19.6249</v>
      </c>
      <c r="AZ47">
        <f>IF(Week&gt;=R$1,INDEX(Finals!$I$1:$I$501,R47),INDEX('F Proj'!$J$1:$J$7669,R47))</f>
        <v>24.1081</v>
      </c>
      <c r="BA47">
        <f>IF(Week&gt;=S$1,INDEX(Finals!$I$1:$I$501,S47),INDEX('F Proj'!$J$1:$J$7669,S47))</f>
        <v>22.5625</v>
      </c>
    </row>
    <row r="48" spans="1:53" x14ac:dyDescent="0.25">
      <c r="A48" t="s">
        <v>35</v>
      </c>
      <c r="B48" t="s">
        <v>477</v>
      </c>
      <c r="C48">
        <f>IF(Week&gt;=C$1,MATCH($A48&amp;"-"&amp;C$1&amp;$B48,Finals!$J$1:$J$501,0),IFERROR(MATCH($A48&amp;C$1,'D Proj'!$V$1:$V$514,0),MATCH("NA"&amp;C$1,'D Proj'!$V$1:$V$514,0)))</f>
        <v>469</v>
      </c>
      <c r="D48">
        <f>IF(Week&gt;=D$1,MATCH($A48&amp;"-"&amp;D$1&amp;$B48,Finals!$J$1:$J$501,0),IFERROR(MATCH($A48&amp;D$1,'D Proj'!$V$1:$V$514,0),MATCH("NA"&amp;D$1,'D Proj'!$V$1:$V$514,0)))</f>
        <v>470</v>
      </c>
      <c r="E48">
        <f>IF(Week&gt;=E$1,MATCH($A48&amp;"-"&amp;E$1&amp;$B48,Finals!$J$1:$J$501,0),IFERROR(MATCH($A48&amp;E$1,'D Proj'!$V$1:$V$514,0),MATCH("NA"&amp;E$1,'D Proj'!$V$1:$V$514,0)))</f>
        <v>471</v>
      </c>
      <c r="F48">
        <f>IF(Week&gt;=F$1,MATCH($A48&amp;"-"&amp;F$1&amp;$B48,Finals!$J$1:$J$501,0),IFERROR(MATCH($A48&amp;F$1,'D Proj'!$V$1:$V$514,0),MATCH("NA"&amp;F$1,'D Proj'!$V$1:$V$514,0)))</f>
        <v>472</v>
      </c>
      <c r="G48">
        <f>IF(Week&gt;=G$1,MATCH($A48&amp;"-"&amp;G$1&amp;$B48,Finals!$J$1:$J$501,0),IFERROR(MATCH($A48&amp;G$1,'D Proj'!$V$1:$V$514,0),MATCH("NA"&amp;G$1,'D Proj'!$V$1:$V$514,0)))</f>
        <v>473</v>
      </c>
      <c r="H48">
        <f>IF(Week&gt;=H$1,MATCH($A48&amp;"-"&amp;H$1&amp;$B48,Finals!$J$1:$J$501,0),IFERROR(MATCH($A48&amp;H$1,'D Proj'!$V$1:$V$514,0),MATCH("NA"&amp;H$1,'D Proj'!$V$1:$V$514,0)))</f>
        <v>150</v>
      </c>
      <c r="I48">
        <f>IF(Week&gt;=I$1,MATCH($A48&amp;"-"&amp;I$1&amp;$B48,Finals!$J$1:$J$501,0),IFERROR(MATCH($A48&amp;I$1,'D Proj'!$V$1:$V$514,0),MATCH("NA"&amp;I$1,'D Proj'!$V$1:$V$514,0)))</f>
        <v>153</v>
      </c>
      <c r="J48">
        <f>IF(Week&gt;=J$1,MATCH($A48&amp;"-"&amp;J$1&amp;$B48,Finals!$J$1:$J$501,0),IFERROR(MATCH($A48&amp;J$1,'D Proj'!$V$1:$V$514,0),MATCH("NA"&amp;J$1,'D Proj'!$V$1:$V$514,0)))</f>
        <v>215</v>
      </c>
      <c r="K48">
        <f>IF(Week&gt;=K$1,MATCH($A48&amp;"-"&amp;K$1&amp;$B48,Finals!$J$1:$J$501,0),IFERROR(MATCH($A48&amp;K$1,'D Proj'!$V$1:$V$514,0),MATCH("NA"&amp;K$1,'D Proj'!$V$1:$V$514,0)))</f>
        <v>19</v>
      </c>
      <c r="L48">
        <f>IF(Week&gt;=L$1,MATCH($A48&amp;"-"&amp;L$1&amp;$B48,Finals!$J$1:$J$501,0),IFERROR(MATCH($A48&amp;L$1,'D Proj'!$V$1:$V$514,0),MATCH("NA"&amp;L$1,'D Proj'!$V$1:$V$514,0)))</f>
        <v>37</v>
      </c>
      <c r="M48">
        <f>IF(Week&gt;=M$1,MATCH($A48&amp;"-"&amp;M$1&amp;$B48,Finals!$J$1:$J$501,0),IFERROR(MATCH($A48&amp;M$1,'D Proj'!$V$1:$V$514,0),MATCH("NA"&amp;M$1,'D Proj'!$V$1:$V$514,0)))</f>
        <v>204</v>
      </c>
      <c r="N48">
        <f>IF(Week&gt;=N$1,MATCH($A48&amp;"-"&amp;N$1&amp;$B48,Finals!$J$1:$J$501,0),IFERROR(MATCH($A48&amp;N$1,'D Proj'!$V$1:$V$514,0),MATCH("NA"&amp;N$1,'D Proj'!$V$1:$V$514,0)))</f>
        <v>3</v>
      </c>
      <c r="O48">
        <f>IF(Week&gt;=O$1,MATCH($A48&amp;"-"&amp;O$1&amp;$B48,Finals!$J$1:$J$501,0),IFERROR(MATCH($A48&amp;O$1,'D Proj'!$V$1:$V$514,0),MATCH("NA"&amp;O$1,'D Proj'!$V$1:$V$514,0)))</f>
        <v>38</v>
      </c>
      <c r="P48">
        <f>IF(Week&gt;=P$1,MATCH($A48&amp;"-"&amp;P$1&amp;$B48,Finals!$J$1:$J$501,0),IFERROR(MATCH($A48&amp;P$1,'D Proj'!$V$1:$V$514,0),MATCH("NA"&amp;P$1,'D Proj'!$V$1:$V$514,0)))</f>
        <v>58</v>
      </c>
      <c r="Q48">
        <f>IF(Week&gt;=Q$1,MATCH($A48&amp;"-"&amp;Q$1&amp;$B48,Finals!$J$1:$J$501,0),IFERROR(MATCH($A48&amp;Q$1,'D Proj'!$V$1:$V$514,0),MATCH("NA"&amp;Q$1,'D Proj'!$V$1:$V$514,0)))</f>
        <v>182</v>
      </c>
      <c r="R48">
        <f>IF(Week&gt;=R$1,MATCH($A48&amp;"-"&amp;R$1&amp;$B48,Finals!$J$1:$J$501,0),IFERROR(MATCH($A48&amp;R$1,'D Proj'!$V$1:$V$514,0),MATCH("NA"&amp;R$1,'D Proj'!$V$1:$V$514,0)))</f>
        <v>31</v>
      </c>
      <c r="S48">
        <f>IF(Week&gt;=S$1,MATCH($A48&amp;"-"&amp;S$1&amp;$B48,Finals!$J$1:$J$501,0),IFERROR(MATCH($A48&amp;S$1,'D Proj'!$V$1:$V$514,0),MATCH("NA"&amp;S$1,'D Proj'!$V$1:$V$514,0)))</f>
        <v>154</v>
      </c>
      <c r="T48">
        <f>IF(Week&gt;=C$1,INDEX(Finals!$G$1:$G$501,C48),INDEX('D Proj'!$T$1:$T$513,C48))</f>
        <v>13</v>
      </c>
      <c r="U48">
        <f>IF(Week&gt;=D$1,INDEX(Finals!$G$1:$G$501,D48),INDEX('D Proj'!$T$1:$T$513,D48))</f>
        <v>4</v>
      </c>
      <c r="V48">
        <f>IF(Week&gt;=E$1,INDEX(Finals!$G$1:$G$501,E48),INDEX('D Proj'!$T$1:$T$513,E48))</f>
        <v>8</v>
      </c>
      <c r="W48">
        <f>IF(Week&gt;=F$1,INDEX(Finals!$G$1:$G$501,F48),INDEX('D Proj'!$T$1:$T$513,F48))</f>
        <v>11</v>
      </c>
      <c r="X48">
        <f>IF(Week&gt;=G$1,INDEX(Finals!$G$1:$G$501,G48),INDEX('D Proj'!$T$1:$T$513,G48))</f>
        <v>5.5</v>
      </c>
      <c r="Y48">
        <f>IF(Week&gt;=H$1,INDEX(Finals!$G$1:$G$501,H48),INDEX('D Proj'!$T$1:$T$513,H48))</f>
        <v>7.15</v>
      </c>
      <c r="Z48">
        <f>IF(Week&gt;=I$1,INDEX(Finals!$G$1:$G$501,I48),INDEX('D Proj'!$T$1:$T$513,I48))</f>
        <v>7.12</v>
      </c>
      <c r="AA48">
        <f>IF(Week&gt;=J$1,INDEX(Finals!$G$1:$G$501,J48),INDEX('D Proj'!$T$1:$T$513,J48))</f>
        <v>6.56</v>
      </c>
      <c r="AB48">
        <f>IF(Week&gt;=K$1,INDEX(Finals!$G$1:$G$501,K48),INDEX('D Proj'!$T$1:$T$513,K48))</f>
        <v>9.1</v>
      </c>
      <c r="AC48">
        <f>IF(Week&gt;=L$1,INDEX(Finals!$G$1:$G$501,L48),INDEX('D Proj'!$T$1:$T$513,L48))</f>
        <v>8.56</v>
      </c>
      <c r="AD48">
        <f>IF(Week&gt;=M$1,INDEX(Finals!$G$1:$G$501,M48),INDEX('D Proj'!$T$1:$T$513,M48))</f>
        <v>6.68</v>
      </c>
      <c r="AE48">
        <f>IF(Week&gt;=N$1,INDEX(Finals!$G$1:$G$501,N48),INDEX('D Proj'!$T$1:$T$513,N48))</f>
        <v>13.86</v>
      </c>
      <c r="AF48">
        <f>IF(Week&gt;=O$1,INDEX(Finals!$G$1:$G$501,O48),INDEX('D Proj'!$T$1:$T$513,O48))</f>
        <v>8.56</v>
      </c>
      <c r="AG48">
        <f>IF(Week&gt;=P$1,INDEX(Finals!$G$1:$G$501,P48),INDEX('D Proj'!$T$1:$T$513,P48))</f>
        <v>8.14</v>
      </c>
      <c r="AH48">
        <f>IF(Week&gt;=Q$1,INDEX(Finals!$G$1:$G$501,Q48),INDEX('D Proj'!$T$1:$T$513,Q48))</f>
        <v>6.92</v>
      </c>
      <c r="AI48">
        <f>IF(Week&gt;=R$1,INDEX(Finals!$G$1:$G$501,R48),INDEX('D Proj'!$T$1:$T$513,R48))</f>
        <v>8.6999999999999993</v>
      </c>
      <c r="AJ48">
        <f>IF(Week&gt;=S$1,INDEX(Finals!$G$1:$G$501,S48),INDEX('D Proj'!$T$1:$T$513,S48))</f>
        <v>7.12</v>
      </c>
      <c r="AK48">
        <f>IF(Week&gt;=C$1,INDEX(Finals!$I$1:$I$501,C48),INDEX('D Proj'!$N$1:$N$513,C48))</f>
        <v>0</v>
      </c>
      <c r="AL48">
        <f>IF(Week&gt;=D$1,INDEX(Finals!$I$1:$I$501,D48),INDEX('D Proj'!$N$1:$N$513,D48))</f>
        <v>0</v>
      </c>
      <c r="AM48">
        <f>IF(Week&gt;=E$1,INDEX(Finals!$I$1:$I$501,E48),INDEX('D Proj'!$N$1:$N$513,E48))</f>
        <v>0</v>
      </c>
      <c r="AN48">
        <f>IF(Week&gt;=F$1,INDEX(Finals!$I$1:$I$501,F48),INDEX('D Proj'!$N$1:$N$513,F48))</f>
        <v>0</v>
      </c>
      <c r="AO48">
        <f>IF(Week&gt;=G$1,INDEX(Finals!$I$1:$I$501,G48),INDEX('D Proj'!$N$1:$N$513,G48))</f>
        <v>43.0336</v>
      </c>
      <c r="AP48">
        <f>IF(Week&gt;=H$1,INDEX(Finals!$I$1:$I$501,H48),INDEX('D Proj'!$N$1:$N$513,H48))</f>
        <v>26.8324</v>
      </c>
      <c r="AQ48">
        <f>IF(Week&gt;=I$1,INDEX(Finals!$I$1:$I$501,I48),INDEX('D Proj'!$N$1:$N$513,I48))</f>
        <v>28.8369</v>
      </c>
      <c r="AR48">
        <f>IF(Week&gt;=J$1,INDEX(Finals!$I$1:$I$501,J48),INDEX('D Proj'!$N$1:$N$513,J48))</f>
        <v>38.316099999999999</v>
      </c>
      <c r="AS48">
        <f>IF(Week&gt;=K$1,INDEX(Finals!$I$1:$I$501,K48),INDEX('D Proj'!$N$1:$N$513,K48))</f>
        <v>35.521599999999999</v>
      </c>
      <c r="AT48">
        <f>IF(Week&gt;=L$1,INDEX(Finals!$I$1:$I$501,L48),INDEX('D Proj'!$N$1:$N$513,L48))</f>
        <v>41.7316</v>
      </c>
      <c r="AU48">
        <f>IF(Week&gt;=M$1,INDEX(Finals!$I$1:$I$501,M48),INDEX('D Proj'!$N$1:$N$513,M48))</f>
        <v>30.1401</v>
      </c>
      <c r="AV48">
        <f>IF(Week&gt;=N$1,INDEX(Finals!$I$1:$I$501,N48),INDEX('D Proj'!$N$1:$N$513,N48))</f>
        <v>63.680399999999999</v>
      </c>
      <c r="AW48">
        <f>IF(Week&gt;=O$1,INDEX(Finals!$I$1:$I$501,O48),INDEX('D Proj'!$N$1:$N$513,O48))</f>
        <v>41.7316</v>
      </c>
      <c r="AX48">
        <f>IF(Week&gt;=P$1,INDEX(Finals!$I$1:$I$501,P48),INDEX('D Proj'!$N$1:$N$513,P48))</f>
        <v>28.729600000000001</v>
      </c>
      <c r="AY48">
        <f>IF(Week&gt;=Q$1,INDEX(Finals!$I$1:$I$501,Q48),INDEX('D Proj'!$N$1:$N$513,Q48))</f>
        <v>28.8369</v>
      </c>
      <c r="AZ48">
        <f>IF(Week&gt;=R$1,INDEX(Finals!$I$1:$I$501,R48),INDEX('D Proj'!$N$1:$N$513,R48))</f>
        <v>38.688400000000001</v>
      </c>
      <c r="BA48">
        <f>IF(Week&gt;=S$1,INDEX(Finals!$I$1:$I$501,S48),INDEX('D Proj'!$N$1:$N$513,S48))</f>
        <v>28.8369</v>
      </c>
    </row>
    <row r="49" spans="1:53" x14ac:dyDescent="0.25">
      <c r="A49" t="s">
        <v>35</v>
      </c>
      <c r="B49" t="s">
        <v>478</v>
      </c>
      <c r="C49">
        <f>IF(Week&gt;=C$1,MATCH($A49&amp;"-"&amp;C$1&amp;$B49,Finals!$J$1:$J$501,0),IFERROR(MATCH($A49&amp;C$1,'K Proj'!$R$1:$R$508,0),MATCH("NA"&amp;C$1,'K Proj'!$R$1:$R$508,0)))</f>
        <v>429</v>
      </c>
      <c r="D49">
        <f>IF(Week&gt;=D$1,MATCH($A49&amp;"-"&amp;D$1&amp;$B49,Finals!$J$1:$J$501,0),IFERROR(MATCH($A49&amp;D$1,'K Proj'!$R$1:$R$508,0),MATCH("NA"&amp;D$1,'K Proj'!$R$1:$R$508,0)))</f>
        <v>430</v>
      </c>
      <c r="E49">
        <f>IF(Week&gt;=E$1,MATCH($A49&amp;"-"&amp;E$1&amp;$B49,Finals!$J$1:$J$501,0),IFERROR(MATCH($A49&amp;E$1,'K Proj'!$R$1:$R$508,0),MATCH("NA"&amp;E$1,'K Proj'!$R$1:$R$508,0)))</f>
        <v>431</v>
      </c>
      <c r="F49">
        <f>IF(Week&gt;=F$1,MATCH($A49&amp;"-"&amp;F$1&amp;$B49,Finals!$J$1:$J$501,0),IFERROR(MATCH($A49&amp;F$1,'K Proj'!$R$1:$R$508,0),MATCH("NA"&amp;F$1,'K Proj'!$R$1:$R$508,0)))</f>
        <v>432</v>
      </c>
      <c r="G49">
        <f>IF(Week&gt;=G$1,MATCH($A49&amp;"-"&amp;G$1&amp;$B49,Finals!$J$1:$J$501,0),IFERROR(MATCH($A49&amp;G$1,'K Proj'!$R$1:$R$508,0),MATCH("NA"&amp;G$1,'K Proj'!$R$1:$R$508,0)))</f>
        <v>433</v>
      </c>
      <c r="H49">
        <f>IF(Week&gt;=H$1,MATCH($A49&amp;"-"&amp;H$1&amp;$B49,Finals!$J$1:$J$501,0),IFERROR(MATCH($A49&amp;H$1,'K Proj'!$R$1:$R$508,0),MATCH("NA"&amp;H$1,'K Proj'!$R$1:$R$508,0)))</f>
        <v>89</v>
      </c>
      <c r="I49">
        <f>IF(Week&gt;=I$1,MATCH($A49&amp;"-"&amp;I$1&amp;$B49,Finals!$J$1:$J$501,0),IFERROR(MATCH($A49&amp;I$1,'K Proj'!$R$1:$R$508,0),MATCH("NA"&amp;I$1,'K Proj'!$R$1:$R$508,0)))</f>
        <v>446</v>
      </c>
      <c r="J49">
        <f>IF(Week&gt;=J$1,MATCH($A49&amp;"-"&amp;J$1&amp;$B49,Finals!$J$1:$J$501,0),IFERROR(MATCH($A49&amp;J$1,'K Proj'!$R$1:$R$508,0),MATCH("NA"&amp;J$1,'K Proj'!$R$1:$R$508,0)))</f>
        <v>447</v>
      </c>
      <c r="K49">
        <f>IF(Week&gt;=K$1,MATCH($A49&amp;"-"&amp;K$1&amp;$B49,Finals!$J$1:$J$501,0),IFERROR(MATCH($A49&amp;K$1,'K Proj'!$R$1:$R$508,0),MATCH("NA"&amp;K$1,'K Proj'!$R$1:$R$508,0)))</f>
        <v>380</v>
      </c>
      <c r="L49">
        <f>IF(Week&gt;=L$1,MATCH($A49&amp;"-"&amp;L$1&amp;$B49,Finals!$J$1:$J$501,0),IFERROR(MATCH($A49&amp;L$1,'K Proj'!$R$1:$R$508,0),MATCH("NA"&amp;L$1,'K Proj'!$R$1:$R$508,0)))</f>
        <v>492</v>
      </c>
      <c r="M49">
        <f>IF(Week&gt;=M$1,MATCH($A49&amp;"-"&amp;M$1&amp;$B49,Finals!$J$1:$J$501,0),IFERROR(MATCH($A49&amp;M$1,'K Proj'!$R$1:$R$508,0),MATCH("NA"&amp;M$1,'K Proj'!$R$1:$R$508,0)))</f>
        <v>472</v>
      </c>
      <c r="N49">
        <f>IF(Week&gt;=N$1,MATCH($A49&amp;"-"&amp;N$1&amp;$B49,Finals!$J$1:$J$501,0),IFERROR(MATCH($A49&amp;N$1,'K Proj'!$R$1:$R$508,0),MATCH("NA"&amp;N$1,'K Proj'!$R$1:$R$508,0)))</f>
        <v>474</v>
      </c>
      <c r="O49">
        <f>IF(Week&gt;=O$1,MATCH($A49&amp;"-"&amp;O$1&amp;$B49,Finals!$J$1:$J$501,0),IFERROR(MATCH($A49&amp;O$1,'K Proj'!$R$1:$R$508,0),MATCH("NA"&amp;O$1,'K Proj'!$R$1:$R$508,0)))</f>
        <v>231</v>
      </c>
      <c r="P49">
        <f>IF(Week&gt;=P$1,MATCH($A49&amp;"-"&amp;P$1&amp;$B49,Finals!$J$1:$J$501,0),IFERROR(MATCH($A49&amp;P$1,'K Proj'!$R$1:$R$508,0),MATCH("NA"&amp;P$1,'K Proj'!$R$1:$R$508,0)))</f>
        <v>487</v>
      </c>
      <c r="Q49">
        <f>IF(Week&gt;=Q$1,MATCH($A49&amp;"-"&amp;Q$1&amp;$B49,Finals!$J$1:$J$501,0),IFERROR(MATCH($A49&amp;Q$1,'K Proj'!$R$1:$R$508,0),MATCH("NA"&amp;Q$1,'K Proj'!$R$1:$R$508,0)))</f>
        <v>498</v>
      </c>
      <c r="R49">
        <f>IF(Week&gt;=R$1,MATCH($A49&amp;"-"&amp;R$1&amp;$B49,Finals!$J$1:$J$501,0),IFERROR(MATCH($A49&amp;R$1,'K Proj'!$R$1:$R$508,0),MATCH("NA"&amp;R$1,'K Proj'!$R$1:$R$508,0)))</f>
        <v>313</v>
      </c>
      <c r="S49">
        <f>IF(Week&gt;=S$1,MATCH($A49&amp;"-"&amp;S$1&amp;$B49,Finals!$J$1:$J$501,0),IFERROR(MATCH($A49&amp;S$1,'K Proj'!$R$1:$R$508,0),MATCH("NA"&amp;S$1,'K Proj'!$R$1:$R$508,0)))</f>
        <v>379</v>
      </c>
      <c r="T49">
        <f>IF(Week&gt;=C$1,INDEX(Finals!$G$1:$G$501,C49),INDEX('K Proj'!$L$1:$L$508,C49))</f>
        <v>-1</v>
      </c>
      <c r="U49">
        <f>IF(Week&gt;=D$1,INDEX(Finals!$G$1:$G$501,D49),INDEX('K Proj'!$L$1:$L$508,D49))</f>
        <v>10</v>
      </c>
      <c r="V49">
        <f>IF(Week&gt;=E$1,INDEX(Finals!$G$1:$G$501,E49),INDEX('K Proj'!$L$1:$L$508,E49))</f>
        <v>14</v>
      </c>
      <c r="W49">
        <f>IF(Week&gt;=F$1,INDEX(Finals!$G$1:$G$501,F49),INDEX('K Proj'!$L$1:$L$508,F49))</f>
        <v>6</v>
      </c>
      <c r="X49">
        <f>IF(Week&gt;=G$1,INDEX(Finals!$G$1:$G$501,G49),INDEX('K Proj'!$L$1:$L$508,G49))</f>
        <v>7.58</v>
      </c>
      <c r="Y49">
        <f>IF(Week&gt;=H$1,INDEX(Finals!$G$1:$G$501,H49),INDEX('K Proj'!$L$1:$L$508,H49))</f>
        <v>8.09</v>
      </c>
      <c r="Z49">
        <f>IF(Week&gt;=I$1,INDEX(Finals!$G$1:$G$501,I49),INDEX('K Proj'!$L$1:$L$508,I49))</f>
        <v>5.98</v>
      </c>
      <c r="AA49">
        <f>IF(Week&gt;=J$1,INDEX(Finals!$G$1:$G$501,J49),INDEX('K Proj'!$L$1:$L$508,J49))</f>
        <v>5.98</v>
      </c>
      <c r="AB49">
        <f>IF(Week&gt;=K$1,INDEX(Finals!$G$1:$G$501,K49),INDEX('K Proj'!$L$1:$L$508,K49))</f>
        <v>6.47</v>
      </c>
      <c r="AC49">
        <f>IF(Week&gt;=L$1,INDEX(Finals!$G$1:$G$501,L49),INDEX('K Proj'!$L$1:$L$508,L49))</f>
        <v>5.28</v>
      </c>
      <c r="AD49">
        <f>IF(Week&gt;=M$1,INDEX(Finals!$G$1:$G$501,M49),INDEX('K Proj'!$L$1:$L$508,M49))</f>
        <v>5.64</v>
      </c>
      <c r="AE49">
        <f>IF(Week&gt;=N$1,INDEX(Finals!$G$1:$G$501,N49),INDEX('K Proj'!$L$1:$L$508,N49))</f>
        <v>5.58</v>
      </c>
      <c r="AF49">
        <f>IF(Week&gt;=O$1,INDEX(Finals!$G$1:$G$501,O49),INDEX('K Proj'!$L$1:$L$508,O49))</f>
        <v>7.17</v>
      </c>
      <c r="AG49">
        <f>IF(Week&gt;=P$1,INDEX(Finals!$G$1:$G$501,P49),INDEX('K Proj'!$L$1:$L$508,P49))</f>
        <v>5.4</v>
      </c>
      <c r="AH49">
        <f>IF(Week&gt;=Q$1,INDEX(Finals!$G$1:$G$501,Q49),INDEX('K Proj'!$L$1:$L$508,Q49))</f>
        <v>5.15</v>
      </c>
      <c r="AI49">
        <f>IF(Week&gt;=R$1,INDEX(Finals!$G$1:$G$501,R49),INDEX('K Proj'!$L$1:$L$508,R49))</f>
        <v>6.83</v>
      </c>
      <c r="AJ49">
        <f>IF(Week&gt;=S$1,INDEX(Finals!$G$1:$G$501,S49),INDEX('K Proj'!$L$1:$L$508,S49))</f>
        <v>6.48</v>
      </c>
      <c r="AK49">
        <f>IF(Week&gt;=C$1,INDEX(Finals!$I$1:$I$501,C49),INDEX('K Proj'!$P$1:$P$508,C49))</f>
        <v>0</v>
      </c>
      <c r="AL49">
        <f>IF(Week&gt;=D$1,INDEX(Finals!$I$1:$I$501,D49),INDEX('K Proj'!$P$1:$P$508,D49))</f>
        <v>0</v>
      </c>
      <c r="AM49">
        <f>IF(Week&gt;=E$1,INDEX(Finals!$I$1:$I$501,E49),INDEX('K Proj'!$P$1:$P$508,E49))</f>
        <v>0</v>
      </c>
      <c r="AN49">
        <f>IF(Week&gt;=F$1,INDEX(Finals!$I$1:$I$501,F49),INDEX('K Proj'!$P$1:$P$508,F49))</f>
        <v>0</v>
      </c>
      <c r="AO49">
        <f>IF(Week&gt;=G$1,INDEX(Finals!$I$1:$I$501,G49),INDEX('K Proj'!$P$1:$P$508,G49))</f>
        <v>18.3184</v>
      </c>
      <c r="AP49">
        <f>IF(Week&gt;=H$1,INDEX(Finals!$I$1:$I$501,H49),INDEX('K Proj'!$P$1:$P$508,H49))</f>
        <v>16.080100000000002</v>
      </c>
      <c r="AQ49">
        <f>IF(Week&gt;=I$1,INDEX(Finals!$I$1:$I$501,I49),INDEX('K Proj'!$P$1:$P$508,I49))</f>
        <v>13.1769</v>
      </c>
      <c r="AR49">
        <f>IF(Week&gt;=J$1,INDEX(Finals!$I$1:$I$501,J49),INDEX('K Proj'!$P$1:$P$508,J49))</f>
        <v>15.602499999999999</v>
      </c>
      <c r="AS49">
        <f>IF(Week&gt;=K$1,INDEX(Finals!$I$1:$I$501,K49),INDEX('K Proj'!$P$1:$P$508,K49))</f>
        <v>14.8996</v>
      </c>
      <c r="AT49">
        <f>IF(Week&gt;=L$1,INDEX(Finals!$I$1:$I$501,L49),INDEX('K Proj'!$P$1:$P$508,L49))</f>
        <v>16.483599999999999</v>
      </c>
      <c r="AU49">
        <f>IF(Week&gt;=M$1,INDEX(Finals!$I$1:$I$501,M49),INDEX('K Proj'!$P$1:$P$508,M49))</f>
        <v>17.808399999999999</v>
      </c>
      <c r="AV49">
        <f>IF(Week&gt;=N$1,INDEX(Finals!$I$1:$I$501,N49),INDEX('K Proj'!$P$1:$P$508,N49))</f>
        <v>18.4041</v>
      </c>
      <c r="AW49">
        <f>IF(Week&gt;=O$1,INDEX(Finals!$I$1:$I$501,O49),INDEX('K Proj'!$P$1:$P$508,O49))</f>
        <v>20.520900000000001</v>
      </c>
      <c r="AX49">
        <f>IF(Week&gt;=P$1,INDEX(Finals!$I$1:$I$501,P49),INDEX('K Proj'!$P$1:$P$508,P49))</f>
        <v>16.080100000000002</v>
      </c>
      <c r="AY49">
        <f>IF(Week&gt;=Q$1,INDEX(Finals!$I$1:$I$501,Q49),INDEX('K Proj'!$P$1:$P$508,Q49))</f>
        <v>12.3201</v>
      </c>
      <c r="AZ49">
        <f>IF(Week&gt;=R$1,INDEX(Finals!$I$1:$I$501,R49),INDEX('K Proj'!$P$1:$P$508,R49))</f>
        <v>16.6464</v>
      </c>
      <c r="BA49">
        <f>IF(Week&gt;=S$1,INDEX(Finals!$I$1:$I$501,S49),INDEX('K Proj'!$P$1:$P$508,S49))</f>
        <v>14.7456</v>
      </c>
    </row>
    <row r="50" spans="1:53" x14ac:dyDescent="0.25">
      <c r="A50" t="s">
        <v>27</v>
      </c>
      <c r="B50" t="s">
        <v>467</v>
      </c>
      <c r="C50">
        <f>IF(Week&gt;=C$1,MATCH($A50&amp;"-"&amp;C$1&amp;$B50,Finals!$J$1:$J$501,0),IFERROR(MATCH($A50&amp;C$1&amp;$B50,'F Proj'!$N$1:$N$7669,0),MATCH("NA"&amp;C$1&amp;$B50,'F Proj'!$N$1:$N$7669,0)))</f>
        <v>43</v>
      </c>
      <c r="D50">
        <f>IF(Week&gt;=D$1,MATCH($A50&amp;"-"&amp;D$1&amp;$B50,Finals!$J$1:$J$501,0),IFERROR(MATCH($A50&amp;D$1&amp;$B50,'F Proj'!$N$1:$N$7669,0),MATCH("NA"&amp;D$1&amp;$B50,'F Proj'!$N$1:$N$7669,0)))</f>
        <v>44</v>
      </c>
      <c r="E50">
        <f>IF(Week&gt;=E$1,MATCH($A50&amp;"-"&amp;E$1&amp;$B50,Finals!$J$1:$J$501,0),IFERROR(MATCH($A50&amp;E$1&amp;$B50,'F Proj'!$N$1:$N$7669,0),MATCH("NA"&amp;E$1&amp;$B50,'F Proj'!$N$1:$N$7669,0)))</f>
        <v>45</v>
      </c>
      <c r="F50">
        <f>IF(Week&gt;=F$1,MATCH($A50&amp;"-"&amp;F$1&amp;$B50,Finals!$J$1:$J$501,0),IFERROR(MATCH($A50&amp;F$1&amp;$B50,'F Proj'!$N$1:$N$7669,0),MATCH("NA"&amp;F$1&amp;$B50,'F Proj'!$N$1:$N$7669,0)))</f>
        <v>308</v>
      </c>
      <c r="G50">
        <f>IF(Week&gt;=G$1,MATCH($A50&amp;"-"&amp;G$1&amp;$B50,Finals!$J$1:$J$501,0),IFERROR(MATCH($A50&amp;G$1&amp;$B50,'F Proj'!$N$1:$N$7669,0),MATCH("NA"&amp;G$1&amp;$B50,'F Proj'!$N$1:$N$7669,0)))</f>
        <v>309</v>
      </c>
      <c r="H50">
        <f>IF(Week&gt;=H$1,MATCH($A50&amp;"-"&amp;H$1&amp;$B50,Finals!$J$1:$J$501,0),IFERROR(MATCH($A50&amp;H$1&amp;$B50,'F Proj'!$N$1:$N$7669,0),MATCH("NA"&amp;H$1&amp;$B50,'F Proj'!$N$1:$N$7669,0)))</f>
        <v>193</v>
      </c>
      <c r="I50">
        <f>IF(Week&gt;=I$1,MATCH($A50&amp;"-"&amp;I$1&amp;$B50,Finals!$J$1:$J$501,0),IFERROR(MATCH($A50&amp;I$1&amp;$B50,'F Proj'!$N$1:$N$7669,0),MATCH("NA"&amp;I$1&amp;$B50,'F Proj'!$N$1:$N$7669,0)))</f>
        <v>60</v>
      </c>
      <c r="J50">
        <f>IF(Week&gt;=J$1,MATCH($A50&amp;"-"&amp;J$1&amp;$B50,Finals!$J$1:$J$501,0),IFERROR(MATCH($A50&amp;J$1&amp;$B50,'F Proj'!$N$1:$N$7669,0),MATCH("NA"&amp;J$1&amp;$B50,'F Proj'!$N$1:$N$7669,0)))</f>
        <v>185</v>
      </c>
      <c r="K50">
        <f>IF(Week&gt;=K$1,MATCH($A50&amp;"-"&amp;K$1&amp;$B50,Finals!$J$1:$J$501,0),IFERROR(MATCH($A50&amp;K$1&amp;$B50,'F Proj'!$N$1:$N$7669,0),MATCH("NA"&amp;K$1&amp;$B50,'F Proj'!$N$1:$N$7669,0)))</f>
        <v>219</v>
      </c>
      <c r="L50">
        <f>IF(Week&gt;=L$1,MATCH($A50&amp;"-"&amp;L$1&amp;$B50,Finals!$J$1:$J$501,0),IFERROR(MATCH($A50&amp;L$1&amp;$B50,'F Proj'!$N$1:$N$7669,0),MATCH("NA"&amp;L$1&amp;$B50,'F Proj'!$N$1:$N$7669,0)))</f>
        <v>124</v>
      </c>
      <c r="M50">
        <f>IF(Week&gt;=M$1,MATCH($A50&amp;"-"&amp;M$1&amp;$B50,Finals!$J$1:$J$501,0),IFERROR(MATCH($A50&amp;M$1&amp;$B50,'F Proj'!$N$1:$N$7669,0),MATCH("NA"&amp;M$1&amp;$B50,'F Proj'!$N$1:$N$7669,0)))</f>
        <v>95</v>
      </c>
      <c r="N50">
        <f>IF(Week&gt;=N$1,MATCH($A50&amp;"-"&amp;N$1&amp;$B50,Finals!$J$1:$J$501,0),IFERROR(MATCH($A50&amp;N$1&amp;$B50,'F Proj'!$N$1:$N$7669,0),MATCH("NA"&amp;N$1&amp;$B50,'F Proj'!$N$1:$N$7669,0)))</f>
        <v>243</v>
      </c>
      <c r="O50">
        <f>IF(Week&gt;=O$1,MATCH($A50&amp;"-"&amp;O$1&amp;$B50,Finals!$J$1:$J$501,0),IFERROR(MATCH($A50&amp;O$1&amp;$B50,'F Proj'!$N$1:$N$7669,0),MATCH("NA"&amp;O$1&amp;$B50,'F Proj'!$N$1:$N$7669,0)))</f>
        <v>294</v>
      </c>
      <c r="P50">
        <f>IF(Week&gt;=P$1,MATCH($A50&amp;"-"&amp;P$1&amp;$B50,Finals!$J$1:$J$501,0),IFERROR(MATCH($A50&amp;P$1&amp;$B50,'F Proj'!$N$1:$N$7669,0),MATCH("NA"&amp;P$1&amp;$B50,'F Proj'!$N$1:$N$7669,0)))</f>
        <v>127</v>
      </c>
      <c r="Q50">
        <f>IF(Week&gt;=Q$1,MATCH($A50&amp;"-"&amp;Q$1&amp;$B50,Finals!$J$1:$J$501,0),IFERROR(MATCH($A50&amp;Q$1&amp;$B50,'F Proj'!$N$1:$N$7669,0),MATCH("NA"&amp;Q$1&amp;$B50,'F Proj'!$N$1:$N$7669,0)))</f>
        <v>199</v>
      </c>
      <c r="R50">
        <f>IF(Week&gt;=R$1,MATCH($A50&amp;"-"&amp;R$1&amp;$B50,Finals!$J$1:$J$501,0),IFERROR(MATCH($A50&amp;R$1&amp;$B50,'F Proj'!$N$1:$N$7669,0),MATCH("NA"&amp;R$1&amp;$B50,'F Proj'!$N$1:$N$7669,0)))</f>
        <v>195</v>
      </c>
      <c r="S50">
        <f>IF(Week&gt;=S$1,MATCH($A50&amp;"-"&amp;S$1&amp;$B50,Finals!$J$1:$J$501,0),IFERROR(MATCH($A50&amp;S$1&amp;$B50,'F Proj'!$N$1:$N$7669,0),MATCH("NA"&amp;S$1&amp;$B50,'F Proj'!$N$1:$N$7669,0)))</f>
        <v>168</v>
      </c>
      <c r="T50">
        <f>IF(Week&gt;=C$1,INDEX(Finals!$G$1:$G$501,C50),INDEX('F Proj'!$D$1:$D$7669,C50))</f>
        <v>19.5</v>
      </c>
      <c r="U50">
        <f>IF(Week&gt;=D$1,INDEX(Finals!$G$1:$G$501,D50),INDEX('F Proj'!$D$1:$D$7669,D50))</f>
        <v>11.4</v>
      </c>
      <c r="V50">
        <f>IF(Week&gt;=E$1,INDEX(Finals!$G$1:$G$501,E50),INDEX('F Proj'!$D$1:$D$7669,E50))</f>
        <v>13.9</v>
      </c>
      <c r="W50">
        <f>IF(Week&gt;=F$1,INDEX(Finals!$G$1:$G$501,F50),INDEX('F Proj'!$D$1:$D$7669,F50))</f>
        <v>21.7</v>
      </c>
      <c r="X50">
        <f>IF(Week&gt;=G$1,INDEX(Finals!$G$1:$G$501,G50),INDEX('F Proj'!$D$1:$D$7669,G50))</f>
        <v>21.4</v>
      </c>
      <c r="Y50">
        <f>IF(Week&gt;=H$1,INDEX(Finals!$G$1:$G$501,H50),INDEX('F Proj'!$D$1:$D$7669,H50))</f>
        <v>19.27</v>
      </c>
      <c r="Z50">
        <f>IF(Week&gt;=I$1,INDEX(Finals!$G$1:$G$501,I50),INDEX('F Proj'!$D$1:$D$7669,I50))</f>
        <v>21.56</v>
      </c>
      <c r="AA50">
        <f>IF(Week&gt;=J$1,INDEX(Finals!$G$1:$G$501,J50),INDEX('F Proj'!$D$1:$D$7669,J50))</f>
        <v>19.39</v>
      </c>
      <c r="AB50">
        <f>IF(Week&gt;=K$1,INDEX(Finals!$G$1:$G$501,K50),INDEX('F Proj'!$D$1:$D$7669,K50))</f>
        <v>18.82</v>
      </c>
      <c r="AC50">
        <f>IF(Week&gt;=L$1,INDEX(Finals!$G$1:$G$501,L50),INDEX('F Proj'!$D$1:$D$7669,L50))</f>
        <v>20.22</v>
      </c>
      <c r="AD50">
        <f>IF(Week&gt;=M$1,INDEX(Finals!$G$1:$G$501,M50),INDEX('F Proj'!$D$1:$D$7669,M50))</f>
        <v>20.75</v>
      </c>
      <c r="AE50">
        <f>IF(Week&gt;=N$1,INDEX(Finals!$G$1:$G$501,N50),INDEX('F Proj'!$D$1:$D$7669,N50))</f>
        <v>18.510000000000002</v>
      </c>
      <c r="AF50">
        <f>IF(Week&gt;=O$1,INDEX(Finals!$G$1:$G$501,O50),INDEX('F Proj'!$D$1:$D$7669,O50))</f>
        <v>17.7</v>
      </c>
      <c r="AG50">
        <f>IF(Week&gt;=P$1,INDEX(Finals!$G$1:$G$501,P50),INDEX('F Proj'!$D$1:$D$7669,P50))</f>
        <v>20.18</v>
      </c>
      <c r="AH50">
        <f>IF(Week&gt;=Q$1,INDEX(Finals!$G$1:$G$501,Q50),INDEX('F Proj'!$D$1:$D$7669,Q50))</f>
        <v>19.149999999999999</v>
      </c>
      <c r="AI50">
        <f>IF(Week&gt;=R$1,INDEX(Finals!$G$1:$G$501,R50),INDEX('F Proj'!$D$1:$D$7669,R50))</f>
        <v>19.25</v>
      </c>
      <c r="AJ50">
        <f>IF(Week&gt;=S$1,INDEX(Finals!$G$1:$G$501,S50),INDEX('F Proj'!$D$1:$D$7669,S50))</f>
        <v>19.559999999999999</v>
      </c>
      <c r="AK50">
        <f>IF(Week&gt;=C$1,INDEX(Finals!$I$1:$I$501,C50),INDEX('F Proj'!$J$1:$J$7669,C50))</f>
        <v>0</v>
      </c>
      <c r="AL50">
        <f>IF(Week&gt;=D$1,INDEX(Finals!$I$1:$I$501,D50),INDEX('F Proj'!$J$1:$J$7669,D50))</f>
        <v>0</v>
      </c>
      <c r="AM50">
        <f>IF(Week&gt;=E$1,INDEX(Finals!$I$1:$I$501,E50),INDEX('F Proj'!$J$1:$J$7669,E50))</f>
        <v>0</v>
      </c>
      <c r="AN50">
        <f>IF(Week&gt;=F$1,INDEX(Finals!$I$1:$I$501,F50),INDEX('F Proj'!$J$1:$J$7669,F50))</f>
        <v>0</v>
      </c>
      <c r="AO50">
        <f>IF(Week&gt;=G$1,INDEX(Finals!$I$1:$I$501,G50),INDEX('F Proj'!$J$1:$J$7669,G50))</f>
        <v>72.420100000000005</v>
      </c>
      <c r="AP50">
        <f>IF(Week&gt;=H$1,INDEX(Finals!$I$1:$I$501,H50),INDEX('F Proj'!$J$1:$J$7669,H50))</f>
        <v>59.29</v>
      </c>
      <c r="AQ50">
        <f>IF(Week&gt;=I$1,INDEX(Finals!$I$1:$I$501,I50),INDEX('F Proj'!$J$1:$J$7669,I50))</f>
        <v>54.464399999999998</v>
      </c>
      <c r="AR50">
        <f>IF(Week&gt;=J$1,INDEX(Finals!$I$1:$I$501,J50),INDEX('F Proj'!$J$1:$J$7669,J50))</f>
        <v>24.403600000000001</v>
      </c>
      <c r="AS50">
        <f>IF(Week&gt;=K$1,INDEX(Finals!$I$1:$I$501,K50),INDEX('F Proj'!$J$1:$J$7669,K50))</f>
        <v>65.61</v>
      </c>
      <c r="AT50">
        <f>IF(Week&gt;=L$1,INDEX(Finals!$I$1:$I$501,L50),INDEX('F Proj'!$J$1:$J$7669,L50))</f>
        <v>59.907600000000002</v>
      </c>
      <c r="AU50">
        <f>IF(Week&gt;=M$1,INDEX(Finals!$I$1:$I$501,M50),INDEX('F Proj'!$J$1:$J$7669,M50))</f>
        <v>64.802499999999995</v>
      </c>
      <c r="AV50">
        <f>IF(Week&gt;=N$1,INDEX(Finals!$I$1:$I$501,N50),INDEX('F Proj'!$J$1:$J$7669,N50))</f>
        <v>67.4041</v>
      </c>
      <c r="AW50">
        <f>IF(Week&gt;=O$1,INDEX(Finals!$I$1:$I$501,O50),INDEX('F Proj'!$J$1:$J$7669,O50))</f>
        <v>55.651600000000002</v>
      </c>
      <c r="AX50">
        <f>IF(Week&gt;=P$1,INDEX(Finals!$I$1:$I$501,P50),INDEX('F Proj'!$J$1:$J$7669,P50))</f>
        <v>54.022500000000001</v>
      </c>
      <c r="AY50">
        <f>IF(Week&gt;=Q$1,INDEX(Finals!$I$1:$I$501,Q50),INDEX('F Proj'!$J$1:$J$7669,Q50))</f>
        <v>52.128399999999999</v>
      </c>
      <c r="AZ50">
        <f>IF(Week&gt;=R$1,INDEX(Finals!$I$1:$I$501,R50),INDEX('F Proj'!$J$1:$J$7669,R50))</f>
        <v>64.9636</v>
      </c>
      <c r="BA50">
        <f>IF(Week&gt;=S$1,INDEX(Finals!$I$1:$I$501,S50),INDEX('F Proj'!$J$1:$J$7669,S50))</f>
        <v>64.802499999999995</v>
      </c>
    </row>
    <row r="51" spans="1:53" x14ac:dyDescent="0.25">
      <c r="A51" t="s">
        <v>27</v>
      </c>
      <c r="B51" t="s">
        <v>468</v>
      </c>
      <c r="C51">
        <f>IF(Week&gt;=C$1,MATCH($A51&amp;"-"&amp;C$1&amp;$B51,Finals!$J$1:$J$501,0),IFERROR(MATCH($A51&amp;C$1&amp;$B51,'F Proj'!$N$1:$N$7669,0),MATCH("NA"&amp;C$1&amp;$B51,'F Proj'!$N$1:$N$7669,0)))</f>
        <v>129</v>
      </c>
      <c r="D51">
        <f>IF(Week&gt;=D$1,MATCH($A51&amp;"-"&amp;D$1&amp;$B51,Finals!$J$1:$J$501,0),IFERROR(MATCH($A51&amp;D$1&amp;$B51,'F Proj'!$N$1:$N$7669,0),MATCH("NA"&amp;D$1&amp;$B51,'F Proj'!$N$1:$N$7669,0)))</f>
        <v>333</v>
      </c>
      <c r="E51">
        <f>IF(Week&gt;=E$1,MATCH($A51&amp;"-"&amp;E$1&amp;$B51,Finals!$J$1:$J$501,0),IFERROR(MATCH($A51&amp;E$1&amp;$B51,'F Proj'!$N$1:$N$7669,0),MATCH("NA"&amp;E$1&amp;$B51,'F Proj'!$N$1:$N$7669,0)))</f>
        <v>253</v>
      </c>
      <c r="F51">
        <f>IF(Week&gt;=F$1,MATCH($A51&amp;"-"&amp;F$1&amp;$B51,Finals!$J$1:$J$501,0),IFERROR(MATCH($A51&amp;F$1&amp;$B51,'F Proj'!$N$1:$N$7669,0),MATCH("NA"&amp;F$1&amp;$B51,'F Proj'!$N$1:$N$7669,0)))</f>
        <v>334</v>
      </c>
      <c r="G51">
        <f>IF(Week&gt;=G$1,MATCH($A51&amp;"-"&amp;G$1&amp;$B51,Finals!$J$1:$J$501,0),IFERROR(MATCH($A51&amp;G$1&amp;$B51,'F Proj'!$N$1:$N$7669,0),MATCH("NA"&amp;G$1&amp;$B51,'F Proj'!$N$1:$N$7669,0)))</f>
        <v>255</v>
      </c>
      <c r="H51">
        <f>IF(Week&gt;=H$1,MATCH($A51&amp;"-"&amp;H$1&amp;$B51,Finals!$J$1:$J$501,0),IFERROR(MATCH($A51&amp;H$1&amp;$B51,'F Proj'!$N$1:$N$7669,0),MATCH("NA"&amp;H$1&amp;$B51,'F Proj'!$N$1:$N$7669,0)))</f>
        <v>642</v>
      </c>
      <c r="I51">
        <f>IF(Week&gt;=I$1,MATCH($A51&amp;"-"&amp;I$1&amp;$B51,Finals!$J$1:$J$501,0),IFERROR(MATCH($A51&amp;I$1&amp;$B51,'F Proj'!$N$1:$N$7669,0),MATCH("NA"&amp;I$1&amp;$B51,'F Proj'!$N$1:$N$7669,0)))</f>
        <v>894</v>
      </c>
      <c r="J51">
        <f>IF(Week&gt;=J$1,MATCH($A51&amp;"-"&amp;J$1&amp;$B51,Finals!$J$1:$J$501,0),IFERROR(MATCH($A51&amp;J$1&amp;$B51,'F Proj'!$N$1:$N$7669,0),MATCH("NA"&amp;J$1&amp;$B51,'F Proj'!$N$1:$N$7669,0)))</f>
        <v>552</v>
      </c>
      <c r="K51">
        <f>IF(Week&gt;=K$1,MATCH($A51&amp;"-"&amp;K$1&amp;$B51,Finals!$J$1:$J$501,0),IFERROR(MATCH($A51&amp;K$1&amp;$B51,'F Proj'!$N$1:$N$7669,0),MATCH("NA"&amp;K$1&amp;$B51,'F Proj'!$N$1:$N$7669,0)))</f>
        <v>844</v>
      </c>
      <c r="L51">
        <f>IF(Week&gt;=L$1,MATCH($A51&amp;"-"&amp;L$1&amp;$B51,Finals!$J$1:$J$501,0),IFERROR(MATCH($A51&amp;L$1&amp;$B51,'F Proj'!$N$1:$N$7669,0),MATCH("NA"&amp;L$1&amp;$B51,'F Proj'!$N$1:$N$7669,0)))</f>
        <v>1013</v>
      </c>
      <c r="M51">
        <f>IF(Week&gt;=M$1,MATCH($A51&amp;"-"&amp;M$1&amp;$B51,Finals!$J$1:$J$501,0),IFERROR(MATCH($A51&amp;M$1&amp;$B51,'F Proj'!$N$1:$N$7669,0),MATCH("NA"&amp;M$1&amp;$B51,'F Proj'!$N$1:$N$7669,0)))</f>
        <v>773</v>
      </c>
      <c r="N51">
        <f>IF(Week&gt;=N$1,MATCH($A51&amp;"-"&amp;N$1&amp;$B51,Finals!$J$1:$J$501,0),IFERROR(MATCH($A51&amp;N$1&amp;$B51,'F Proj'!$N$1:$N$7669,0),MATCH("NA"&amp;N$1&amp;$B51,'F Proj'!$N$1:$N$7669,0)))</f>
        <v>615</v>
      </c>
      <c r="O51">
        <f>IF(Week&gt;=O$1,MATCH($A51&amp;"-"&amp;O$1&amp;$B51,Finals!$J$1:$J$501,0),IFERROR(MATCH($A51&amp;O$1&amp;$B51,'F Proj'!$N$1:$N$7669,0),MATCH("NA"&amp;O$1&amp;$B51,'F Proj'!$N$1:$N$7669,0)))</f>
        <v>702</v>
      </c>
      <c r="P51">
        <f>IF(Week&gt;=P$1,MATCH($A51&amp;"-"&amp;P$1&amp;$B51,Finals!$J$1:$J$501,0),IFERROR(MATCH($A51&amp;P$1&amp;$B51,'F Proj'!$N$1:$N$7669,0),MATCH("NA"&amp;P$1&amp;$B51,'F Proj'!$N$1:$N$7669,0)))</f>
        <v>567</v>
      </c>
      <c r="Q51">
        <f>IF(Week&gt;=Q$1,MATCH($A51&amp;"-"&amp;Q$1&amp;$B51,Finals!$J$1:$J$501,0),IFERROR(MATCH($A51&amp;Q$1&amp;$B51,'F Proj'!$N$1:$N$7669,0),MATCH("NA"&amp;Q$1&amp;$B51,'F Proj'!$N$1:$N$7669,0)))</f>
        <v>861</v>
      </c>
      <c r="R51">
        <f>IF(Week&gt;=R$1,MATCH($A51&amp;"-"&amp;R$1&amp;$B51,Finals!$J$1:$J$501,0),IFERROR(MATCH($A51&amp;R$1&amp;$B51,'F Proj'!$N$1:$N$7669,0),MATCH("NA"&amp;R$1&amp;$B51,'F Proj'!$N$1:$N$7669,0)))</f>
        <v>841</v>
      </c>
      <c r="S51">
        <f>IF(Week&gt;=S$1,MATCH($A51&amp;"-"&amp;S$1&amp;$B51,Finals!$J$1:$J$501,0),IFERROR(MATCH($A51&amp;S$1&amp;$B51,'F Proj'!$N$1:$N$7669,0),MATCH("NA"&amp;S$1&amp;$B51,'F Proj'!$N$1:$N$7669,0)))</f>
        <v>937</v>
      </c>
      <c r="T51">
        <f>IF(Week&gt;=C$1,INDEX(Finals!$G$1:$G$501,C51),INDEX('F Proj'!$D$1:$D$7669,C51))</f>
        <v>5</v>
      </c>
      <c r="U51">
        <f>IF(Week&gt;=D$1,INDEX(Finals!$G$1:$G$501,D51),INDEX('F Proj'!$D$1:$D$7669,D51))</f>
        <v>8.8000000000000007</v>
      </c>
      <c r="V51">
        <f>IF(Week&gt;=E$1,INDEX(Finals!$G$1:$G$501,E51),INDEX('F Proj'!$D$1:$D$7669,E51))</f>
        <v>9.1</v>
      </c>
      <c r="W51">
        <f>IF(Week&gt;=F$1,INDEX(Finals!$G$1:$G$501,F51),INDEX('F Proj'!$D$1:$D$7669,F51))</f>
        <v>12.7</v>
      </c>
      <c r="X51">
        <f>IF(Week&gt;=G$1,INDEX(Finals!$G$1:$G$501,G51),INDEX('F Proj'!$D$1:$D$7669,G51))</f>
        <v>11.82</v>
      </c>
      <c r="Y51">
        <f>IF(Week&gt;=H$1,INDEX(Finals!$G$1:$G$501,H51),INDEX('F Proj'!$D$1:$D$7669,H51))</f>
        <v>13.38</v>
      </c>
      <c r="Z51">
        <f>IF(Week&gt;=I$1,INDEX(Finals!$G$1:$G$501,I51),INDEX('F Proj'!$D$1:$D$7669,I51))</f>
        <v>11.28</v>
      </c>
      <c r="AA51">
        <f>IF(Week&gt;=J$1,INDEX(Finals!$G$1:$G$501,J51),INDEX('F Proj'!$D$1:$D$7669,J51))</f>
        <v>14.26</v>
      </c>
      <c r="AB51">
        <f>IF(Week&gt;=K$1,INDEX(Finals!$G$1:$G$501,K51),INDEX('F Proj'!$D$1:$D$7669,K51))</f>
        <v>11.75</v>
      </c>
      <c r="AC51">
        <f>IF(Week&gt;=L$1,INDEX(Finals!$G$1:$G$501,L51),INDEX('F Proj'!$D$1:$D$7669,L51))</f>
        <v>10.34</v>
      </c>
      <c r="AD51">
        <f>IF(Week&gt;=M$1,INDEX(Finals!$G$1:$G$501,M51),INDEX('F Proj'!$D$1:$D$7669,M51))</f>
        <v>12.36</v>
      </c>
      <c r="AE51">
        <f>IF(Week&gt;=N$1,INDEX(Finals!$G$1:$G$501,N51),INDEX('F Proj'!$D$1:$D$7669,N51))</f>
        <v>13.63</v>
      </c>
      <c r="AF51">
        <f>IF(Week&gt;=O$1,INDEX(Finals!$G$1:$G$501,O51),INDEX('F Proj'!$D$1:$D$7669,O51))</f>
        <v>12.92</v>
      </c>
      <c r="AG51">
        <f>IF(Week&gt;=P$1,INDEX(Finals!$G$1:$G$501,P51),INDEX('F Proj'!$D$1:$D$7669,P51))</f>
        <v>14.11</v>
      </c>
      <c r="AH51">
        <f>IF(Week&gt;=Q$1,INDEX(Finals!$G$1:$G$501,Q51),INDEX('F Proj'!$D$1:$D$7669,Q51))</f>
        <v>11.64</v>
      </c>
      <c r="AI51">
        <f>IF(Week&gt;=R$1,INDEX(Finals!$G$1:$G$501,R51),INDEX('F Proj'!$D$1:$D$7669,R51))</f>
        <v>11.77</v>
      </c>
      <c r="AJ51">
        <f>IF(Week&gt;=S$1,INDEX(Finals!$G$1:$G$501,S51),INDEX('F Proj'!$D$1:$D$7669,S51))</f>
        <v>10.88</v>
      </c>
      <c r="AK51">
        <f>IF(Week&gt;=C$1,INDEX(Finals!$I$1:$I$501,C51),INDEX('F Proj'!$J$1:$J$7669,C51))</f>
        <v>0</v>
      </c>
      <c r="AL51">
        <f>IF(Week&gt;=D$1,INDEX(Finals!$I$1:$I$501,D51),INDEX('F Proj'!$J$1:$J$7669,D51))</f>
        <v>0</v>
      </c>
      <c r="AM51">
        <f>IF(Week&gt;=E$1,INDEX(Finals!$I$1:$I$501,E51),INDEX('F Proj'!$J$1:$J$7669,E51))</f>
        <v>0</v>
      </c>
      <c r="AN51">
        <f>IF(Week&gt;=F$1,INDEX(Finals!$I$1:$I$501,F51),INDEX('F Proj'!$J$1:$J$7669,F51))</f>
        <v>0</v>
      </c>
      <c r="AO51">
        <f>IF(Week&gt;=G$1,INDEX(Finals!$I$1:$I$501,G51),INDEX('F Proj'!$J$1:$J$7669,G51))</f>
        <v>41.088099999999997</v>
      </c>
      <c r="AP51">
        <f>IF(Week&gt;=H$1,INDEX(Finals!$I$1:$I$501,H51),INDEX('F Proj'!$J$1:$J$7669,H51))</f>
        <v>58.982399999999998</v>
      </c>
      <c r="AQ51">
        <f>IF(Week&gt;=I$1,INDEX(Finals!$I$1:$I$501,I51),INDEX('F Proj'!$J$1:$J$7669,I51))</f>
        <v>30.470400000000001</v>
      </c>
      <c r="AR51">
        <f>IF(Week&gt;=J$1,INDEX(Finals!$I$1:$I$501,J51),INDEX('F Proj'!$J$1:$J$7669,J51))</f>
        <v>58.522500000000001</v>
      </c>
      <c r="AS51">
        <f>IF(Week&gt;=K$1,INDEX(Finals!$I$1:$I$501,K51),INDEX('F Proj'!$J$1:$J$7669,K51))</f>
        <v>56.550400000000003</v>
      </c>
      <c r="AT51">
        <f>IF(Week&gt;=L$1,INDEX(Finals!$I$1:$I$501,L51),INDEX('F Proj'!$J$1:$J$7669,L51))</f>
        <v>34.339599999999997</v>
      </c>
      <c r="AU51">
        <f>IF(Week&gt;=M$1,INDEX(Finals!$I$1:$I$501,M51),INDEX('F Proj'!$J$1:$J$7669,M51))</f>
        <v>44.89</v>
      </c>
      <c r="AV51">
        <f>IF(Week&gt;=N$1,INDEX(Finals!$I$1:$I$501,N51),INDEX('F Proj'!$J$1:$J$7669,N51))</f>
        <v>58.522500000000001</v>
      </c>
      <c r="AW51">
        <f>IF(Week&gt;=O$1,INDEX(Finals!$I$1:$I$501,O51),INDEX('F Proj'!$J$1:$J$7669,O51))</f>
        <v>59.136099999999999</v>
      </c>
      <c r="AX51">
        <f>IF(Week&gt;=P$1,INDEX(Finals!$I$1:$I$501,P51),INDEX('F Proj'!$J$1:$J$7669,P51))</f>
        <v>50.979599999999998</v>
      </c>
      <c r="AY51">
        <f>IF(Week&gt;=Q$1,INDEX(Finals!$I$1:$I$501,Q51),INDEX('F Proj'!$J$1:$J$7669,Q51))</f>
        <v>59.29</v>
      </c>
      <c r="AZ51">
        <f>IF(Week&gt;=R$1,INDEX(Finals!$I$1:$I$501,R51),INDEX('F Proj'!$J$1:$J$7669,R51))</f>
        <v>52.2729</v>
      </c>
      <c r="BA51">
        <f>IF(Week&gt;=S$1,INDEX(Finals!$I$1:$I$501,S51),INDEX('F Proj'!$J$1:$J$7669,S51))</f>
        <v>36.4816</v>
      </c>
    </row>
    <row r="52" spans="1:53" x14ac:dyDescent="0.25">
      <c r="A52" t="s">
        <v>27</v>
      </c>
      <c r="B52" t="s">
        <v>469</v>
      </c>
      <c r="C52">
        <f>IF(Week&gt;=C$1,MATCH($A52&amp;"-"&amp;C$1&amp;$B52,Finals!$J$1:$J$501,0),IFERROR(MATCH($A52&amp;C$1&amp;$B52,'F Proj'!$N$1:$N$7669,0),MATCH("NA"&amp;C$1&amp;$B52,'F Proj'!$N$1:$N$7669,0)))</f>
        <v>332</v>
      </c>
      <c r="D52">
        <f>IF(Week&gt;=D$1,MATCH($A52&amp;"-"&amp;D$1&amp;$B52,Finals!$J$1:$J$501,0),IFERROR(MATCH($A52&amp;D$1&amp;$B52,'F Proj'!$N$1:$N$7669,0),MATCH("NA"&amp;D$1&amp;$B52,'F Proj'!$N$1:$N$7669,0)))</f>
        <v>252</v>
      </c>
      <c r="E52">
        <f>IF(Week&gt;=E$1,MATCH($A52&amp;"-"&amp;E$1&amp;$B52,Finals!$J$1:$J$501,0),IFERROR(MATCH($A52&amp;E$1&amp;$B52,'F Proj'!$N$1:$N$7669,0),MATCH("NA"&amp;E$1&amp;$B52,'F Proj'!$N$1:$N$7669,0)))</f>
        <v>18</v>
      </c>
      <c r="F52">
        <f>IF(Week&gt;=F$1,MATCH($A52&amp;"-"&amp;F$1&amp;$B52,Finals!$J$1:$J$501,0),IFERROR(MATCH($A52&amp;F$1&amp;$B52,'F Proj'!$N$1:$N$7669,0),MATCH("NA"&amp;F$1&amp;$B52,'F Proj'!$N$1:$N$7669,0)))</f>
        <v>254</v>
      </c>
      <c r="G52">
        <f>IF(Week&gt;=G$1,MATCH($A52&amp;"-"&amp;G$1&amp;$B52,Finals!$J$1:$J$501,0),IFERROR(MATCH($A52&amp;G$1&amp;$B52,'F Proj'!$N$1:$N$7669,0),MATCH("NA"&amp;G$1&amp;$B52,'F Proj'!$N$1:$N$7669,0)))</f>
        <v>19</v>
      </c>
      <c r="H52">
        <f>IF(Week&gt;=H$1,MATCH($A52&amp;"-"&amp;H$1&amp;$B52,Finals!$J$1:$J$501,0),IFERROR(MATCH($A52&amp;H$1&amp;$B52,'F Proj'!$N$1:$N$7669,0),MATCH("NA"&amp;H$1&amp;$B52,'F Proj'!$N$1:$N$7669,0)))</f>
        <v>1090</v>
      </c>
      <c r="I52">
        <f>IF(Week&gt;=I$1,MATCH($A52&amp;"-"&amp;I$1&amp;$B52,Finals!$J$1:$J$501,0),IFERROR(MATCH($A52&amp;I$1&amp;$B52,'F Proj'!$N$1:$N$7669,0),MATCH("NA"&amp;I$1&amp;$B52,'F Proj'!$N$1:$N$7669,0)))</f>
        <v>1030</v>
      </c>
      <c r="J52">
        <f>IF(Week&gt;=J$1,MATCH($A52&amp;"-"&amp;J$1&amp;$B52,Finals!$J$1:$J$501,0),IFERROR(MATCH($A52&amp;J$1&amp;$B52,'F Proj'!$N$1:$N$7669,0),MATCH("NA"&amp;J$1&amp;$B52,'F Proj'!$N$1:$N$7669,0)))</f>
        <v>1018</v>
      </c>
      <c r="K52">
        <f>IF(Week&gt;=K$1,MATCH($A52&amp;"-"&amp;K$1&amp;$B52,Finals!$J$1:$J$501,0),IFERROR(MATCH($A52&amp;K$1&amp;$B52,'F Proj'!$N$1:$N$7669,0),MATCH("NA"&amp;K$1&amp;$B52,'F Proj'!$N$1:$N$7669,0)))</f>
        <v>897</v>
      </c>
      <c r="L52">
        <f>IF(Week&gt;=L$1,MATCH($A52&amp;"-"&amp;L$1&amp;$B52,Finals!$J$1:$J$501,0),IFERROR(MATCH($A52&amp;L$1&amp;$B52,'F Proj'!$N$1:$N$7669,0),MATCH("NA"&amp;L$1&amp;$B52,'F Proj'!$N$1:$N$7669,0)))</f>
        <v>2037</v>
      </c>
      <c r="M52">
        <f>IF(Week&gt;=M$1,MATCH($A52&amp;"-"&amp;M$1&amp;$B52,Finals!$J$1:$J$501,0),IFERROR(MATCH($A52&amp;M$1&amp;$B52,'F Proj'!$N$1:$N$7669,0),MATCH("NA"&amp;M$1&amp;$B52,'F Proj'!$N$1:$N$7669,0)))</f>
        <v>871</v>
      </c>
      <c r="N52">
        <f>IF(Week&gt;=N$1,MATCH($A52&amp;"-"&amp;N$1&amp;$B52,Finals!$J$1:$J$501,0),IFERROR(MATCH($A52&amp;N$1&amp;$B52,'F Proj'!$N$1:$N$7669,0),MATCH("NA"&amp;N$1&amp;$B52,'F Proj'!$N$1:$N$7669,0)))</f>
        <v>1019</v>
      </c>
      <c r="O52">
        <f>IF(Week&gt;=O$1,MATCH($A52&amp;"-"&amp;O$1&amp;$B52,Finals!$J$1:$J$501,0),IFERROR(MATCH($A52&amp;O$1&amp;$B52,'F Proj'!$N$1:$N$7669,0),MATCH("NA"&amp;O$1&amp;$B52,'F Proj'!$N$1:$N$7669,0)))</f>
        <v>1600</v>
      </c>
      <c r="P52">
        <f>IF(Week&gt;=P$1,MATCH($A52&amp;"-"&amp;P$1&amp;$B52,Finals!$J$1:$J$501,0),IFERROR(MATCH($A52&amp;P$1&amp;$B52,'F Proj'!$N$1:$N$7669,0),MATCH("NA"&amp;P$1&amp;$B52,'F Proj'!$N$1:$N$7669,0)))</f>
        <v>898</v>
      </c>
      <c r="Q52">
        <f>IF(Week&gt;=Q$1,MATCH($A52&amp;"-"&amp;Q$1&amp;$B52,Finals!$J$1:$J$501,0),IFERROR(MATCH($A52&amp;Q$1&amp;$B52,'F Proj'!$N$1:$N$7669,0),MATCH("NA"&amp;Q$1&amp;$B52,'F Proj'!$N$1:$N$7669,0)))</f>
        <v>1676</v>
      </c>
      <c r="R52">
        <f>IF(Week&gt;=R$1,MATCH($A52&amp;"-"&amp;R$1&amp;$B52,Finals!$J$1:$J$501,0),IFERROR(MATCH($A52&amp;R$1&amp;$B52,'F Proj'!$N$1:$N$7669,0),MATCH("NA"&amp;R$1&amp;$B52,'F Proj'!$N$1:$N$7669,0)))</f>
        <v>1306</v>
      </c>
      <c r="S52">
        <f>IF(Week&gt;=S$1,MATCH($A52&amp;"-"&amp;S$1&amp;$B52,Finals!$J$1:$J$501,0),IFERROR(MATCH($A52&amp;S$1&amp;$B52,'F Proj'!$N$1:$N$7669,0),MATCH("NA"&amp;S$1&amp;$B52,'F Proj'!$N$1:$N$7669,0)))</f>
        <v>1442</v>
      </c>
      <c r="T52">
        <f>IF(Week&gt;=C$1,INDEX(Finals!$G$1:$G$501,C52),INDEX('F Proj'!$D$1:$D$7669,C52))</f>
        <v>7.1</v>
      </c>
      <c r="U52">
        <f>IF(Week&gt;=D$1,INDEX(Finals!$G$1:$G$501,D52),INDEX('F Proj'!$D$1:$D$7669,D52))</f>
        <v>7</v>
      </c>
      <c r="V52">
        <f>IF(Week&gt;=E$1,INDEX(Finals!$G$1:$G$501,E52),INDEX('F Proj'!$D$1:$D$7669,E52))</f>
        <v>24</v>
      </c>
      <c r="W52">
        <f>IF(Week&gt;=F$1,INDEX(Finals!$G$1:$G$501,F52),INDEX('F Proj'!$D$1:$D$7669,F52))</f>
        <v>4.9000000000000004</v>
      </c>
      <c r="X52">
        <f>IF(Week&gt;=G$1,INDEX(Finals!$G$1:$G$501,G52),INDEX('F Proj'!$D$1:$D$7669,G52))</f>
        <v>9.69</v>
      </c>
      <c r="Y52">
        <f>IF(Week&gt;=H$1,INDEX(Finals!$G$1:$G$501,H52),INDEX('F Proj'!$D$1:$D$7669,H52))</f>
        <v>9.93</v>
      </c>
      <c r="Z52">
        <f>IF(Week&gt;=I$1,INDEX(Finals!$G$1:$G$501,I52),INDEX('F Proj'!$D$1:$D$7669,I52))</f>
        <v>10.25</v>
      </c>
      <c r="AA52">
        <f>IF(Week&gt;=J$1,INDEX(Finals!$G$1:$G$501,J52),INDEX('F Proj'!$D$1:$D$7669,J52))</f>
        <v>10.31</v>
      </c>
      <c r="AB52">
        <f>IF(Week&gt;=K$1,INDEX(Finals!$G$1:$G$501,K52),INDEX('F Proj'!$D$1:$D$7669,K52))</f>
        <v>11.24</v>
      </c>
      <c r="AC52">
        <f>IF(Week&gt;=L$1,INDEX(Finals!$G$1:$G$501,L52),INDEX('F Proj'!$D$1:$D$7669,L52))</f>
        <v>6.4</v>
      </c>
      <c r="AD52">
        <f>IF(Week&gt;=M$1,INDEX(Finals!$G$1:$G$501,M52),INDEX('F Proj'!$D$1:$D$7669,M52))</f>
        <v>11.55</v>
      </c>
      <c r="AE52">
        <f>IF(Week&gt;=N$1,INDEX(Finals!$G$1:$G$501,N52),INDEX('F Proj'!$D$1:$D$7669,N52))</f>
        <v>10.31</v>
      </c>
      <c r="AF52">
        <f>IF(Week&gt;=O$1,INDEX(Finals!$G$1:$G$501,O52),INDEX('F Proj'!$D$1:$D$7669,O52))</f>
        <v>7.77</v>
      </c>
      <c r="AG52">
        <f>IF(Week&gt;=P$1,INDEX(Finals!$G$1:$G$501,P52),INDEX('F Proj'!$D$1:$D$7669,P52))</f>
        <v>11.24</v>
      </c>
      <c r="AH52">
        <f>IF(Week&gt;=Q$1,INDEX(Finals!$G$1:$G$501,Q52),INDEX('F Proj'!$D$1:$D$7669,Q52))</f>
        <v>7.49</v>
      </c>
      <c r="AI52">
        <f>IF(Week&gt;=R$1,INDEX(Finals!$G$1:$G$501,R52),INDEX('F Proj'!$D$1:$D$7669,R52))</f>
        <v>8.84</v>
      </c>
      <c r="AJ52">
        <f>IF(Week&gt;=S$1,INDEX(Finals!$G$1:$G$501,S52),INDEX('F Proj'!$D$1:$D$7669,S52))</f>
        <v>8.2899999999999991</v>
      </c>
      <c r="AK52">
        <f>IF(Week&gt;=C$1,INDEX(Finals!$I$1:$I$501,C52),INDEX('F Proj'!$J$1:$J$7669,C52))</f>
        <v>0</v>
      </c>
      <c r="AL52">
        <f>IF(Week&gt;=D$1,INDEX(Finals!$I$1:$I$501,D52),INDEX('F Proj'!$J$1:$J$7669,D52))</f>
        <v>0</v>
      </c>
      <c r="AM52">
        <f>IF(Week&gt;=E$1,INDEX(Finals!$I$1:$I$501,E52),INDEX('F Proj'!$J$1:$J$7669,E52))</f>
        <v>0</v>
      </c>
      <c r="AN52">
        <f>IF(Week&gt;=F$1,INDEX(Finals!$I$1:$I$501,F52),INDEX('F Proj'!$J$1:$J$7669,F52))</f>
        <v>0</v>
      </c>
      <c r="AO52">
        <f>IF(Week&gt;=G$1,INDEX(Finals!$I$1:$I$501,G52),INDEX('F Proj'!$J$1:$J$7669,G52))</f>
        <v>85.5625</v>
      </c>
      <c r="AP52">
        <f>IF(Week&gt;=H$1,INDEX(Finals!$I$1:$I$501,H52),INDEX('F Proj'!$J$1:$J$7669,H52))</f>
        <v>27.352900000000002</v>
      </c>
      <c r="AQ52">
        <f>IF(Week&gt;=I$1,INDEX(Finals!$I$1:$I$501,I52),INDEX('F Proj'!$J$1:$J$7669,I52))</f>
        <v>36.4816</v>
      </c>
      <c r="AR52">
        <f>IF(Week&gt;=J$1,INDEX(Finals!$I$1:$I$501,J52),INDEX('F Proj'!$J$1:$J$7669,J52))</f>
        <v>33.872399999999999</v>
      </c>
      <c r="AS52">
        <f>IF(Week&gt;=K$1,INDEX(Finals!$I$1:$I$501,K52),INDEX('F Proj'!$J$1:$J$7669,K52))</f>
        <v>30.0304</v>
      </c>
      <c r="AT52">
        <f>IF(Week&gt;=L$1,INDEX(Finals!$I$1:$I$501,L52),INDEX('F Proj'!$J$1:$J$7669,L52))</f>
        <v>17.556100000000001</v>
      </c>
      <c r="AU52">
        <f>IF(Week&gt;=M$1,INDEX(Finals!$I$1:$I$501,M52),INDEX('F Proj'!$J$1:$J$7669,M52))</f>
        <v>37.4544</v>
      </c>
      <c r="AV52">
        <f>IF(Week&gt;=N$1,INDEX(Finals!$I$1:$I$501,N52),INDEX('F Proj'!$J$1:$J$7669,N52))</f>
        <v>30.470400000000001</v>
      </c>
      <c r="AW52">
        <f>IF(Week&gt;=O$1,INDEX(Finals!$I$1:$I$501,O52),INDEX('F Proj'!$J$1:$J$7669,O52))</f>
        <v>40.96</v>
      </c>
      <c r="AX52">
        <f>IF(Week&gt;=P$1,INDEX(Finals!$I$1:$I$501,P52),INDEX('F Proj'!$J$1:$J$7669,P52))</f>
        <v>33.872399999999999</v>
      </c>
      <c r="AY52">
        <f>IF(Week&gt;=Q$1,INDEX(Finals!$I$1:$I$501,Q52),INDEX('F Proj'!$J$1:$J$7669,Q52))</f>
        <v>18.835599999999999</v>
      </c>
      <c r="AZ52">
        <f>IF(Week&gt;=R$1,INDEX(Finals!$I$1:$I$501,R52),INDEX('F Proj'!$J$1:$J$7669,R52))</f>
        <v>35.402500000000003</v>
      </c>
      <c r="BA52">
        <f>IF(Week&gt;=S$1,INDEX(Finals!$I$1:$I$501,S52),INDEX('F Proj'!$J$1:$J$7669,S52))</f>
        <v>20.1601</v>
      </c>
    </row>
    <row r="53" spans="1:53" x14ac:dyDescent="0.25">
      <c r="A53" t="s">
        <v>27</v>
      </c>
      <c r="B53" t="s">
        <v>470</v>
      </c>
      <c r="C53" t="e">
        <f>IF(Week&gt;=C$1,MATCH($A53&amp;"-"&amp;C$1&amp;$B53,Finals!$J$1:$J$501,0),IFERROR(MATCH($A53&amp;C$1&amp;$B53,'F Proj'!$N$1:$N$7669,0),MATCH("NA"&amp;C$1&amp;$B53,'F Proj'!$N$1:$N$7669,0)))</f>
        <v>#N/A</v>
      </c>
      <c r="D53" t="e">
        <f>IF(Week&gt;=D$1,MATCH($A53&amp;"-"&amp;D$1&amp;$B53,Finals!$J$1:$J$501,0),IFERROR(MATCH($A53&amp;D$1&amp;$B53,'F Proj'!$N$1:$N$7669,0),MATCH("NA"&amp;D$1&amp;$B53,'F Proj'!$N$1:$N$7669,0)))</f>
        <v>#N/A</v>
      </c>
      <c r="E53" t="e">
        <f>IF(Week&gt;=E$1,MATCH($A53&amp;"-"&amp;E$1&amp;$B53,Finals!$J$1:$J$501,0),IFERROR(MATCH($A53&amp;E$1&amp;$B53,'F Proj'!$N$1:$N$7669,0),MATCH("NA"&amp;E$1&amp;$B53,'F Proj'!$N$1:$N$7669,0)))</f>
        <v>#N/A</v>
      </c>
      <c r="F53" t="e">
        <f>IF(Week&gt;=F$1,MATCH($A53&amp;"-"&amp;F$1&amp;$B53,Finals!$J$1:$J$501,0),IFERROR(MATCH($A53&amp;F$1&amp;$B53,'F Proj'!$N$1:$N$7669,0),MATCH("NA"&amp;F$1&amp;$B53,'F Proj'!$N$1:$N$7669,0)))</f>
        <v>#N/A</v>
      </c>
      <c r="G53" t="e">
        <f>IF(Week&gt;=G$1,MATCH($A53&amp;"-"&amp;G$1&amp;$B53,Finals!$J$1:$J$501,0),IFERROR(MATCH($A53&amp;G$1&amp;$B53,'F Proj'!$N$1:$N$7669,0),MATCH("NA"&amp;G$1&amp;$B53,'F Proj'!$N$1:$N$7669,0)))</f>
        <v>#N/A</v>
      </c>
      <c r="H53">
        <f>IF(Week&gt;=H$1,MATCH($A53&amp;"-"&amp;H$1&amp;$B53,Finals!$J$1:$J$501,0),IFERROR(MATCH($A53&amp;H$1&amp;$B53,'F Proj'!$N$1:$N$7669,0),MATCH("NA"&amp;H$1&amp;$B53,'F Proj'!$N$1:$N$7669,0)))</f>
        <v>1437</v>
      </c>
      <c r="I53">
        <f>IF(Week&gt;=I$1,MATCH($A53&amp;"-"&amp;I$1&amp;$B53,Finals!$J$1:$J$501,0),IFERROR(MATCH($A53&amp;I$1&amp;$B53,'F Proj'!$N$1:$N$7669,0),MATCH("NA"&amp;I$1&amp;$B53,'F Proj'!$N$1:$N$7669,0)))</f>
        <v>2121</v>
      </c>
      <c r="J53">
        <f>IF(Week&gt;=J$1,MATCH($A53&amp;"-"&amp;J$1&amp;$B53,Finals!$J$1:$J$501,0),IFERROR(MATCH($A53&amp;J$1&amp;$B53,'F Proj'!$N$1:$N$7669,0),MATCH("NA"&amp;J$1&amp;$B53,'F Proj'!$N$1:$N$7669,0)))</f>
        <v>1504</v>
      </c>
      <c r="K53">
        <f>IF(Week&gt;=K$1,MATCH($A53&amp;"-"&amp;K$1&amp;$B53,Finals!$J$1:$J$501,0),IFERROR(MATCH($A53&amp;K$1&amp;$B53,'F Proj'!$N$1:$N$7669,0),MATCH("NA"&amp;K$1&amp;$B53,'F Proj'!$N$1:$N$7669,0)))</f>
        <v>1805</v>
      </c>
      <c r="L53">
        <f>IF(Week&gt;=L$1,MATCH($A53&amp;"-"&amp;L$1&amp;$B53,Finals!$J$1:$J$501,0),IFERROR(MATCH($A53&amp;L$1&amp;$B53,'F Proj'!$N$1:$N$7669,0),MATCH("NA"&amp;L$1&amp;$B53,'F Proj'!$N$1:$N$7669,0)))</f>
        <v>2040</v>
      </c>
      <c r="M53">
        <f>IF(Week&gt;=M$1,MATCH($A53&amp;"-"&amp;M$1&amp;$B53,Finals!$J$1:$J$501,0),IFERROR(MATCH($A53&amp;M$1&amp;$B53,'F Proj'!$N$1:$N$7669,0),MATCH("NA"&amp;M$1&amp;$B53,'F Proj'!$N$1:$N$7669,0)))</f>
        <v>1976</v>
      </c>
      <c r="N53">
        <f>IF(Week&gt;=N$1,MATCH($A53&amp;"-"&amp;N$1&amp;$B53,Finals!$J$1:$J$501,0),IFERROR(MATCH($A53&amp;N$1&amp;$B53,'F Proj'!$N$1:$N$7669,0),MATCH("NA"&amp;N$1&amp;$B53,'F Proj'!$N$1:$N$7669,0)))</f>
        <v>1474</v>
      </c>
      <c r="O53">
        <f>IF(Week&gt;=O$1,MATCH($A53&amp;"-"&amp;O$1&amp;$B53,Finals!$J$1:$J$501,0),IFERROR(MATCH($A53&amp;O$1&amp;$B53,'F Proj'!$N$1:$N$7669,0),MATCH("NA"&amp;O$1&amp;$B53,'F Proj'!$N$1:$N$7669,0)))</f>
        <v>1606</v>
      </c>
      <c r="P53">
        <f>IF(Week&gt;=P$1,MATCH($A53&amp;"-"&amp;P$1&amp;$B53,Finals!$J$1:$J$501,0),IFERROR(MATCH($A53&amp;P$1&amp;$B53,'F Proj'!$N$1:$N$7669,0),MATCH("NA"&amp;P$1&amp;$B53,'F Proj'!$N$1:$N$7669,0)))</f>
        <v>1768</v>
      </c>
      <c r="Q53">
        <f>IF(Week&gt;=Q$1,MATCH($A53&amp;"-"&amp;Q$1&amp;$B53,Finals!$J$1:$J$501,0),IFERROR(MATCH($A53&amp;Q$1&amp;$B53,'F Proj'!$N$1:$N$7669,0),MATCH("NA"&amp;Q$1&amp;$B53,'F Proj'!$N$1:$N$7669,0)))</f>
        <v>2540</v>
      </c>
      <c r="R53">
        <f>IF(Week&gt;=R$1,MATCH($A53&amp;"-"&amp;R$1&amp;$B53,Finals!$J$1:$J$501,0),IFERROR(MATCH($A53&amp;R$1&amp;$B53,'F Proj'!$N$1:$N$7669,0),MATCH("NA"&amp;R$1&amp;$B53,'F Proj'!$N$1:$N$7669,0)))</f>
        <v>1784</v>
      </c>
      <c r="S53">
        <f>IF(Week&gt;=S$1,MATCH($A53&amp;"-"&amp;S$1&amp;$B53,Finals!$J$1:$J$501,0),IFERROR(MATCH($A53&amp;S$1&amp;$B53,'F Proj'!$N$1:$N$7669,0),MATCH("NA"&amp;S$1&amp;$B53,'F Proj'!$N$1:$N$7669,0)))</f>
        <v>1810</v>
      </c>
    </row>
    <row r="54" spans="1:53" x14ac:dyDescent="0.25">
      <c r="A54" t="s">
        <v>27</v>
      </c>
      <c r="B54" t="s">
        <v>471</v>
      </c>
      <c r="C54">
        <f>IF(Week&gt;=C$1,MATCH($A54&amp;"-"&amp;C$1&amp;$B54,Finals!$J$1:$J$501,0),IFERROR(MATCH($A54&amp;C$1&amp;$B54,'F Proj'!$N$1:$N$7669,0),MATCH("NA"&amp;C$1&amp;$B54,'F Proj'!$N$1:$N$7669,0)))</f>
        <v>46</v>
      </c>
      <c r="D54">
        <f>IF(Week&gt;=D$1,MATCH($A54&amp;"-"&amp;D$1&amp;$B54,Finals!$J$1:$J$501,0),IFERROR(MATCH($A54&amp;D$1&amp;$B54,'F Proj'!$N$1:$N$7669,0),MATCH("NA"&amp;D$1&amp;$B54,'F Proj'!$N$1:$N$7669,0)))</f>
        <v>47</v>
      </c>
      <c r="E54">
        <f>IF(Week&gt;=E$1,MATCH($A54&amp;"-"&amp;E$1&amp;$B54,Finals!$J$1:$J$501,0),IFERROR(MATCH($A54&amp;E$1&amp;$B54,'F Proj'!$N$1:$N$7669,0),MATCH("NA"&amp;E$1&amp;$B54,'F Proj'!$N$1:$N$7669,0)))</f>
        <v>48</v>
      </c>
      <c r="F54">
        <f>IF(Week&gt;=F$1,MATCH($A54&amp;"-"&amp;F$1&amp;$B54,Finals!$J$1:$J$501,0),IFERROR(MATCH($A54&amp;F$1&amp;$B54,'F Proj'!$N$1:$N$7669,0),MATCH("NA"&amp;F$1&amp;$B54,'F Proj'!$N$1:$N$7669,0)))</f>
        <v>49</v>
      </c>
      <c r="G54">
        <f>IF(Week&gt;=G$1,MATCH($A54&amp;"-"&amp;G$1&amp;$B54,Finals!$J$1:$J$501,0),IFERROR(MATCH($A54&amp;G$1&amp;$B54,'F Proj'!$N$1:$N$7669,0),MATCH("NA"&amp;G$1&amp;$B54,'F Proj'!$N$1:$N$7669,0)))</f>
        <v>50</v>
      </c>
      <c r="H54">
        <f>IF(Week&gt;=H$1,MATCH($A54&amp;"-"&amp;H$1&amp;$B54,Finals!$J$1:$J$501,0),IFERROR(MATCH($A54&amp;H$1&amp;$B54,'F Proj'!$N$1:$N$7669,0),MATCH("NA"&amp;H$1&amp;$B54,'F Proj'!$N$1:$N$7669,0)))</f>
        <v>519</v>
      </c>
      <c r="I54">
        <f>IF(Week&gt;=I$1,MATCH($A54&amp;"-"&amp;I$1&amp;$B54,Finals!$J$1:$J$501,0),IFERROR(MATCH($A54&amp;I$1&amp;$B54,'F Proj'!$N$1:$N$7669,0),MATCH("NA"&amp;I$1&amp;$B54,'F Proj'!$N$1:$N$7669,0)))</f>
        <v>845</v>
      </c>
      <c r="J54">
        <f>IF(Week&gt;=J$1,MATCH($A54&amp;"-"&amp;J$1&amp;$B54,Finals!$J$1:$J$501,0),IFERROR(MATCH($A54&amp;J$1&amp;$B54,'F Proj'!$N$1:$N$7669,0),MATCH("NA"&amp;J$1&amp;$B54,'F Proj'!$N$1:$N$7669,0)))</f>
        <v>539</v>
      </c>
      <c r="K54">
        <f>IF(Week&gt;=K$1,MATCH($A54&amp;"-"&amp;K$1&amp;$B54,Finals!$J$1:$J$501,0),IFERROR(MATCH($A54&amp;K$1&amp;$B54,'F Proj'!$N$1:$N$7669,0),MATCH("NA"&amp;K$1&amp;$B54,'F Proj'!$N$1:$N$7669,0)))</f>
        <v>789</v>
      </c>
      <c r="L54">
        <f>IF(Week&gt;=L$1,MATCH($A54&amp;"-"&amp;L$1&amp;$B54,Finals!$J$1:$J$501,0),IFERROR(MATCH($A54&amp;L$1&amp;$B54,'F Proj'!$N$1:$N$7669,0),MATCH("NA"&amp;L$1&amp;$B54,'F Proj'!$N$1:$N$7669,0)))</f>
        <v>531</v>
      </c>
      <c r="M54">
        <f>IF(Week&gt;=M$1,MATCH($A54&amp;"-"&amp;M$1&amp;$B54,Finals!$J$1:$J$501,0),IFERROR(MATCH($A54&amp;M$1&amp;$B54,'F Proj'!$N$1:$N$7669,0),MATCH("NA"&amp;M$1&amp;$B54,'F Proj'!$N$1:$N$7669,0)))</f>
        <v>709</v>
      </c>
      <c r="N54">
        <f>IF(Week&gt;=N$1,MATCH($A54&amp;"-"&amp;N$1&amp;$B54,Finals!$J$1:$J$501,0),IFERROR(MATCH($A54&amp;N$1&amp;$B54,'F Proj'!$N$1:$N$7669,0),MATCH("NA"&amp;N$1&amp;$B54,'F Proj'!$N$1:$N$7669,0)))</f>
        <v>710</v>
      </c>
      <c r="O54">
        <f>IF(Week&gt;=O$1,MATCH($A54&amp;"-"&amp;O$1&amp;$B54,Finals!$J$1:$J$501,0),IFERROR(MATCH($A54&amp;O$1&amp;$B54,'F Proj'!$N$1:$N$7669,0),MATCH("NA"&amp;O$1&amp;$B54,'F Proj'!$N$1:$N$7669,0)))</f>
        <v>624</v>
      </c>
      <c r="P54">
        <f>IF(Week&gt;=P$1,MATCH($A54&amp;"-"&amp;P$1&amp;$B54,Finals!$J$1:$J$501,0),IFERROR(MATCH($A54&amp;P$1&amp;$B54,'F Proj'!$N$1:$N$7669,0),MATCH("NA"&amp;P$1&amp;$B54,'F Proj'!$N$1:$N$7669,0)))</f>
        <v>366</v>
      </c>
      <c r="Q54">
        <f>IF(Week&gt;=Q$1,MATCH($A54&amp;"-"&amp;Q$1&amp;$B54,Finals!$J$1:$J$501,0),IFERROR(MATCH($A54&amp;Q$1&amp;$B54,'F Proj'!$N$1:$N$7669,0),MATCH("NA"&amp;Q$1&amp;$B54,'F Proj'!$N$1:$N$7669,0)))</f>
        <v>437</v>
      </c>
      <c r="R54">
        <f>IF(Week&gt;=R$1,MATCH($A54&amp;"-"&amp;R$1&amp;$B54,Finals!$J$1:$J$501,0),IFERROR(MATCH($A54&amp;R$1&amp;$B54,'F Proj'!$N$1:$N$7669,0),MATCH("NA"&amp;R$1&amp;$B54,'F Proj'!$N$1:$N$7669,0)))</f>
        <v>431</v>
      </c>
      <c r="S54">
        <f>IF(Week&gt;=S$1,MATCH($A54&amp;"-"&amp;S$1&amp;$B54,Finals!$J$1:$J$501,0),IFERROR(MATCH($A54&amp;S$1&amp;$B54,'F Proj'!$N$1:$N$7669,0),MATCH("NA"&amp;S$1&amp;$B54,'F Proj'!$N$1:$N$7669,0)))</f>
        <v>481</v>
      </c>
      <c r="T54">
        <f>IF(Week&gt;=C$1,INDEX(Finals!$G$1:$G$501,C54),INDEX('F Proj'!$D$1:$D$7669,C54))</f>
        <v>15.3</v>
      </c>
      <c r="U54">
        <f>IF(Week&gt;=D$1,INDEX(Finals!$G$1:$G$501,D54),INDEX('F Proj'!$D$1:$D$7669,D54))</f>
        <v>6.7</v>
      </c>
      <c r="V54">
        <f>IF(Week&gt;=E$1,INDEX(Finals!$G$1:$G$501,E54),INDEX('F Proj'!$D$1:$D$7669,E54))</f>
        <v>11</v>
      </c>
      <c r="W54">
        <f>IF(Week&gt;=F$1,INDEX(Finals!$G$1:$G$501,F54),INDEX('F Proj'!$D$1:$D$7669,F54))</f>
        <v>12.2</v>
      </c>
      <c r="X54">
        <f>IF(Week&gt;=G$1,INDEX(Finals!$G$1:$G$501,G54),INDEX('F Proj'!$D$1:$D$7669,G54))</f>
        <v>15.59</v>
      </c>
      <c r="Y54">
        <f>IF(Week&gt;=H$1,INDEX(Finals!$G$1:$G$501,H54),INDEX('F Proj'!$D$1:$D$7669,H54))</f>
        <v>14.56</v>
      </c>
      <c r="Z54">
        <f>IF(Week&gt;=I$1,INDEX(Finals!$G$1:$G$501,I54),INDEX('F Proj'!$D$1:$D$7669,I54))</f>
        <v>11.75</v>
      </c>
      <c r="AA54">
        <f>IF(Week&gt;=J$1,INDEX(Finals!$G$1:$G$501,J54),INDEX('F Proj'!$D$1:$D$7669,J54))</f>
        <v>14.36</v>
      </c>
      <c r="AB54">
        <f>IF(Week&gt;=K$1,INDEX(Finals!$G$1:$G$501,K54),INDEX('F Proj'!$D$1:$D$7669,K54))</f>
        <v>12.26</v>
      </c>
      <c r="AC54">
        <f>IF(Week&gt;=L$1,INDEX(Finals!$G$1:$G$501,L54),INDEX('F Proj'!$D$1:$D$7669,L54))</f>
        <v>14.42</v>
      </c>
      <c r="AD54">
        <f>IF(Week&gt;=M$1,INDEX(Finals!$G$1:$G$501,M54),INDEX('F Proj'!$D$1:$D$7669,M54))</f>
        <v>12.88</v>
      </c>
      <c r="AE54">
        <f>IF(Week&gt;=N$1,INDEX(Finals!$G$1:$G$501,N54),INDEX('F Proj'!$D$1:$D$7669,N54))</f>
        <v>12.86</v>
      </c>
      <c r="AF54">
        <f>IF(Week&gt;=O$1,INDEX(Finals!$G$1:$G$501,O54),INDEX('F Proj'!$D$1:$D$7669,O54))</f>
        <v>13.53</v>
      </c>
      <c r="AG54">
        <f>IF(Week&gt;=P$1,INDEX(Finals!$G$1:$G$501,P54),INDEX('F Proj'!$D$1:$D$7669,P54))</f>
        <v>16.53</v>
      </c>
      <c r="AH54">
        <f>IF(Week&gt;=Q$1,INDEX(Finals!$G$1:$G$501,Q54),INDEX('F Proj'!$D$1:$D$7669,Q54))</f>
        <v>15.58</v>
      </c>
      <c r="AI54">
        <f>IF(Week&gt;=R$1,INDEX(Finals!$G$1:$G$501,R54),INDEX('F Proj'!$D$1:$D$7669,R54))</f>
        <v>15.61</v>
      </c>
      <c r="AJ54">
        <f>IF(Week&gt;=S$1,INDEX(Finals!$G$1:$G$501,S54),INDEX('F Proj'!$D$1:$D$7669,S54))</f>
        <v>15.07</v>
      </c>
      <c r="AK54">
        <f>IF(Week&gt;=C$1,INDEX(Finals!$I$1:$I$501,C54),INDEX('F Proj'!$J$1:$J$7669,C54))</f>
        <v>0</v>
      </c>
      <c r="AL54">
        <f>IF(Week&gt;=D$1,INDEX(Finals!$I$1:$I$501,D54),INDEX('F Proj'!$J$1:$J$7669,D54))</f>
        <v>0</v>
      </c>
      <c r="AM54">
        <f>IF(Week&gt;=E$1,INDEX(Finals!$I$1:$I$501,E54),INDEX('F Proj'!$J$1:$J$7669,E54))</f>
        <v>0</v>
      </c>
      <c r="AN54">
        <f>IF(Week&gt;=F$1,INDEX(Finals!$I$1:$I$501,F54),INDEX('F Proj'!$J$1:$J$7669,F54))</f>
        <v>0</v>
      </c>
      <c r="AO54">
        <f>IF(Week&gt;=G$1,INDEX(Finals!$I$1:$I$501,G54),INDEX('F Proj'!$J$1:$J$7669,G54))</f>
        <v>60.528399999999998</v>
      </c>
      <c r="AP54">
        <f>IF(Week&gt;=H$1,INDEX(Finals!$I$1:$I$501,H54),INDEX('F Proj'!$J$1:$J$7669,H54))</f>
        <v>70.8964</v>
      </c>
      <c r="AQ54">
        <f>IF(Week&gt;=I$1,INDEX(Finals!$I$1:$I$501,I54),INDEX('F Proj'!$J$1:$J$7669,I54))</f>
        <v>50.552100000000003</v>
      </c>
      <c r="AR54">
        <f>IF(Week&gt;=J$1,INDEX(Finals!$I$1:$I$501,J54),INDEX('F Proj'!$J$1:$J$7669,J54))</f>
        <v>49.2804</v>
      </c>
      <c r="AS54">
        <f>IF(Week&gt;=K$1,INDEX(Finals!$I$1:$I$501,K54),INDEX('F Proj'!$J$1:$J$7669,K54))</f>
        <v>59.136099999999999</v>
      </c>
      <c r="AT54">
        <f>IF(Week&gt;=L$1,INDEX(Finals!$I$1:$I$501,L54),INDEX('F Proj'!$J$1:$J$7669,L54))</f>
        <v>60.996099999999998</v>
      </c>
      <c r="AU54">
        <f>IF(Week&gt;=M$1,INDEX(Finals!$I$1:$I$501,M54),INDEX('F Proj'!$J$1:$J$7669,M54))</f>
        <v>62.884900000000002</v>
      </c>
      <c r="AV54">
        <f>IF(Week&gt;=N$1,INDEX(Finals!$I$1:$I$501,N54),INDEX('F Proj'!$J$1:$J$7669,N54))</f>
        <v>49</v>
      </c>
      <c r="AW54">
        <f>IF(Week&gt;=O$1,INDEX(Finals!$I$1:$I$501,O54),INDEX('F Proj'!$J$1:$J$7669,O54))</f>
        <v>60.84</v>
      </c>
      <c r="AX54">
        <f>IF(Week&gt;=P$1,INDEX(Finals!$I$1:$I$501,P54),INDEX('F Proj'!$J$1:$J$7669,P54))</f>
        <v>59.29</v>
      </c>
      <c r="AY54">
        <f>IF(Week&gt;=Q$1,INDEX(Finals!$I$1:$I$501,Q54),INDEX('F Proj'!$J$1:$J$7669,Q54))</f>
        <v>59.752899999999997</v>
      </c>
      <c r="AZ54">
        <f>IF(Week&gt;=R$1,INDEX(Finals!$I$1:$I$501,R54),INDEX('F Proj'!$J$1:$J$7669,R54))</f>
        <v>54.316899999999997</v>
      </c>
      <c r="BA54">
        <f>IF(Week&gt;=S$1,INDEX(Finals!$I$1:$I$501,S54),INDEX('F Proj'!$J$1:$J$7669,S54))</f>
        <v>70.8964</v>
      </c>
    </row>
    <row r="55" spans="1:53" x14ac:dyDescent="0.25">
      <c r="A55" t="s">
        <v>27</v>
      </c>
      <c r="B55" t="s">
        <v>472</v>
      </c>
      <c r="C55">
        <f>IF(Week&gt;=C$1,MATCH($A55&amp;"-"&amp;C$1&amp;$B55,Finals!$J$1:$J$501,0),IFERROR(MATCH($A55&amp;C$1&amp;$B55,'F Proj'!$N$1:$N$7669,0),MATCH("NA"&amp;C$1&amp;$B55,'F Proj'!$N$1:$N$7669,0)))</f>
        <v>357</v>
      </c>
      <c r="D55">
        <f>IF(Week&gt;=D$1,MATCH($A55&amp;"-"&amp;D$1&amp;$B55,Finals!$J$1:$J$501,0),IFERROR(MATCH($A55&amp;D$1&amp;$B55,'F Proj'!$N$1:$N$7669,0),MATCH("NA"&amp;D$1&amp;$B55,'F Proj'!$N$1:$N$7669,0)))</f>
        <v>358</v>
      </c>
      <c r="E55">
        <f>IF(Week&gt;=E$1,MATCH($A55&amp;"-"&amp;E$1&amp;$B55,Finals!$J$1:$J$501,0),IFERROR(MATCH($A55&amp;E$1&amp;$B55,'F Proj'!$N$1:$N$7669,0),MATCH("NA"&amp;E$1&amp;$B55,'F Proj'!$N$1:$N$7669,0)))</f>
        <v>359</v>
      </c>
      <c r="F55">
        <f>IF(Week&gt;=F$1,MATCH($A55&amp;"-"&amp;F$1&amp;$B55,Finals!$J$1:$J$501,0),IFERROR(MATCH($A55&amp;F$1&amp;$B55,'F Proj'!$N$1:$N$7669,0),MATCH("NA"&amp;F$1&amp;$B55,'F Proj'!$N$1:$N$7669,0)))</f>
        <v>360</v>
      </c>
      <c r="G55">
        <f>IF(Week&gt;=G$1,MATCH($A55&amp;"-"&amp;G$1&amp;$B55,Finals!$J$1:$J$501,0),IFERROR(MATCH($A55&amp;G$1&amp;$B55,'F Proj'!$N$1:$N$7669,0),MATCH("NA"&amp;G$1&amp;$B55,'F Proj'!$N$1:$N$7669,0)))</f>
        <v>145</v>
      </c>
      <c r="H55">
        <f>IF(Week&gt;=H$1,MATCH($A55&amp;"-"&amp;H$1&amp;$B55,Finals!$J$1:$J$501,0),IFERROR(MATCH($A55&amp;H$1&amp;$B55,'F Proj'!$N$1:$N$7669,0),MATCH("NA"&amp;H$1&amp;$B55,'F Proj'!$N$1:$N$7669,0)))</f>
        <v>975</v>
      </c>
      <c r="I55">
        <f>IF(Week&gt;=I$1,MATCH($A55&amp;"-"&amp;I$1&amp;$B55,Finals!$J$1:$J$501,0),IFERROR(MATCH($A55&amp;I$1&amp;$B55,'F Proj'!$N$1:$N$7669,0),MATCH("NA"&amp;I$1&amp;$B55,'F Proj'!$N$1:$N$7669,0)))</f>
        <v>1426</v>
      </c>
      <c r="J55">
        <f>IF(Week&gt;=J$1,MATCH($A55&amp;"-"&amp;J$1&amp;$B55,Finals!$J$1:$J$501,0),IFERROR(MATCH($A55&amp;J$1&amp;$B55,'F Proj'!$N$1:$N$7669,0),MATCH("NA"&amp;J$1&amp;$B55,'F Proj'!$N$1:$N$7669,0)))</f>
        <v>854</v>
      </c>
      <c r="K55">
        <f>IF(Week&gt;=K$1,MATCH($A55&amp;"-"&amp;K$1&amp;$B55,Finals!$J$1:$J$501,0),IFERROR(MATCH($A55&amp;K$1&amp;$B55,'F Proj'!$N$1:$N$7669,0),MATCH("NA"&amp;K$1&amp;$B55,'F Proj'!$N$1:$N$7669,0)))</f>
        <v>1098</v>
      </c>
      <c r="L55">
        <f>IF(Week&gt;=L$1,MATCH($A55&amp;"-"&amp;L$1&amp;$B55,Finals!$J$1:$J$501,0),IFERROR(MATCH($A55&amp;L$1&amp;$B55,'F Proj'!$N$1:$N$7669,0),MATCH("NA"&amp;L$1&amp;$B55,'F Proj'!$N$1:$N$7669,0)))</f>
        <v>1081</v>
      </c>
      <c r="M55">
        <f>IF(Week&gt;=M$1,MATCH($A55&amp;"-"&amp;M$1&amp;$B55,Finals!$J$1:$J$501,0),IFERROR(MATCH($A55&amp;M$1&amp;$B55,'F Proj'!$N$1:$N$7669,0),MATCH("NA"&amp;M$1&amp;$B55,'F Proj'!$N$1:$N$7669,0)))</f>
        <v>788</v>
      </c>
      <c r="N55">
        <f>IF(Week&gt;=N$1,MATCH($A55&amp;"-"&amp;N$1&amp;$B55,Finals!$J$1:$J$501,0),IFERROR(MATCH($A55&amp;N$1&amp;$B55,'F Proj'!$N$1:$N$7669,0),MATCH("NA"&amp;N$1&amp;$B55,'F Proj'!$N$1:$N$7669,0)))</f>
        <v>767</v>
      </c>
      <c r="O55">
        <f>IF(Week&gt;=O$1,MATCH($A55&amp;"-"&amp;O$1&amp;$B55,Finals!$J$1:$J$501,0),IFERROR(MATCH($A55&amp;O$1&amp;$B55,'F Proj'!$N$1:$N$7669,0),MATCH("NA"&amp;O$1&amp;$B55,'F Proj'!$N$1:$N$7669,0)))</f>
        <v>896</v>
      </c>
      <c r="P55">
        <f>IF(Week&gt;=P$1,MATCH($A55&amp;"-"&amp;P$1&amp;$B55,Finals!$J$1:$J$501,0),IFERROR(MATCH($A55&amp;P$1&amp;$B55,'F Proj'!$N$1:$N$7669,0),MATCH("NA"&amp;P$1&amp;$B55,'F Proj'!$N$1:$N$7669,0)))</f>
        <v>851</v>
      </c>
      <c r="Q55">
        <f>IF(Week&gt;=Q$1,MATCH($A55&amp;"-"&amp;Q$1&amp;$B55,Finals!$J$1:$J$501,0),IFERROR(MATCH($A55&amp;Q$1&amp;$B55,'F Proj'!$N$1:$N$7669,0),MATCH("NA"&amp;Q$1&amp;$B55,'F Proj'!$N$1:$N$7669,0)))</f>
        <v>730</v>
      </c>
      <c r="R55">
        <f>IF(Week&gt;=R$1,MATCH($A55&amp;"-"&amp;R$1&amp;$B55,Finals!$J$1:$J$501,0),IFERROR(MATCH($A55&amp;R$1&amp;$B55,'F Proj'!$N$1:$N$7669,0),MATCH("NA"&amp;R$1&amp;$B55,'F Proj'!$N$1:$N$7669,0)))</f>
        <v>777</v>
      </c>
      <c r="S55">
        <f>IF(Week&gt;=S$1,MATCH($A55&amp;"-"&amp;S$1&amp;$B55,Finals!$J$1:$J$501,0),IFERROR(MATCH($A55&amp;S$1&amp;$B55,'F Proj'!$N$1:$N$7669,0),MATCH("NA"&amp;S$1&amp;$B55,'F Proj'!$N$1:$N$7669,0)))</f>
        <v>771</v>
      </c>
      <c r="T55">
        <f>IF(Week&gt;=C$1,INDEX(Finals!$G$1:$G$501,C55),INDEX('F Proj'!$D$1:$D$7669,C55))</f>
        <v>10.6</v>
      </c>
      <c r="U55">
        <f>IF(Week&gt;=D$1,INDEX(Finals!$G$1:$G$501,D55),INDEX('F Proj'!$D$1:$D$7669,D55))</f>
        <v>14.3</v>
      </c>
      <c r="V55">
        <f>IF(Week&gt;=E$1,INDEX(Finals!$G$1:$G$501,E55),INDEX('F Proj'!$D$1:$D$7669,E55))</f>
        <v>5</v>
      </c>
      <c r="W55">
        <f>IF(Week&gt;=F$1,INDEX(Finals!$G$1:$G$501,F55),INDEX('F Proj'!$D$1:$D$7669,F55))</f>
        <v>11.5</v>
      </c>
      <c r="X55">
        <f>IF(Week&gt;=G$1,INDEX(Finals!$G$1:$G$501,G55),INDEX('F Proj'!$D$1:$D$7669,G55))</f>
        <v>8.33</v>
      </c>
      <c r="Y55">
        <f>IF(Week&gt;=H$1,INDEX(Finals!$G$1:$G$501,H55),INDEX('F Proj'!$D$1:$D$7669,H55))</f>
        <v>10.59</v>
      </c>
      <c r="Z55">
        <f>IF(Week&gt;=I$1,INDEX(Finals!$G$1:$G$501,I55),INDEX('F Proj'!$D$1:$D$7669,I55))</f>
        <v>8.3699999999999992</v>
      </c>
      <c r="AA55">
        <f>IF(Week&gt;=J$1,INDEX(Finals!$G$1:$G$501,J55),INDEX('F Proj'!$D$1:$D$7669,J55))</f>
        <v>11.7</v>
      </c>
      <c r="AB55">
        <f>IF(Week&gt;=K$1,INDEX(Finals!$G$1:$G$501,K55),INDEX('F Proj'!$D$1:$D$7669,K55))</f>
        <v>9.89</v>
      </c>
      <c r="AC55">
        <f>IF(Week&gt;=L$1,INDEX(Finals!$G$1:$G$501,L55),INDEX('F Proj'!$D$1:$D$7669,L55))</f>
        <v>9.9700000000000006</v>
      </c>
      <c r="AD55">
        <f>IF(Week&gt;=M$1,INDEX(Finals!$G$1:$G$501,M55),INDEX('F Proj'!$D$1:$D$7669,M55))</f>
        <v>12.27</v>
      </c>
      <c r="AE55">
        <f>IF(Week&gt;=N$1,INDEX(Finals!$G$1:$G$501,N55),INDEX('F Proj'!$D$1:$D$7669,N55))</f>
        <v>12.41</v>
      </c>
      <c r="AF55">
        <f>IF(Week&gt;=O$1,INDEX(Finals!$G$1:$G$501,O55),INDEX('F Proj'!$D$1:$D$7669,O55))</f>
        <v>11.25</v>
      </c>
      <c r="AG55">
        <f>IF(Week&gt;=P$1,INDEX(Finals!$G$1:$G$501,P55),INDEX('F Proj'!$D$1:$D$7669,P55))</f>
        <v>11.72</v>
      </c>
      <c r="AH55">
        <f>IF(Week&gt;=Q$1,INDEX(Finals!$G$1:$G$501,Q55),INDEX('F Proj'!$D$1:$D$7669,Q55))</f>
        <v>12.75</v>
      </c>
      <c r="AI55">
        <f>IF(Week&gt;=R$1,INDEX(Finals!$G$1:$G$501,R55),INDEX('F Proj'!$D$1:$D$7669,R55))</f>
        <v>12.32</v>
      </c>
      <c r="AJ55">
        <f>IF(Week&gt;=S$1,INDEX(Finals!$G$1:$G$501,S55),INDEX('F Proj'!$D$1:$D$7669,S55))</f>
        <v>12.39</v>
      </c>
      <c r="AK55">
        <f>IF(Week&gt;=C$1,INDEX(Finals!$I$1:$I$501,C55),INDEX('F Proj'!$J$1:$J$7669,C55))</f>
        <v>0</v>
      </c>
      <c r="AL55">
        <f>IF(Week&gt;=D$1,INDEX(Finals!$I$1:$I$501,D55),INDEX('F Proj'!$J$1:$J$7669,D55))</f>
        <v>0</v>
      </c>
      <c r="AM55">
        <f>IF(Week&gt;=E$1,INDEX(Finals!$I$1:$I$501,E55),INDEX('F Proj'!$J$1:$J$7669,E55))</f>
        <v>0</v>
      </c>
      <c r="AN55">
        <f>IF(Week&gt;=F$1,INDEX(Finals!$I$1:$I$501,F55),INDEX('F Proj'!$J$1:$J$7669,F55))</f>
        <v>0</v>
      </c>
      <c r="AO55">
        <f>IF(Week&gt;=G$1,INDEX(Finals!$I$1:$I$501,G55),INDEX('F Proj'!$J$1:$J$7669,G55))</f>
        <v>17.7241</v>
      </c>
      <c r="AP55">
        <f>IF(Week&gt;=H$1,INDEX(Finals!$I$1:$I$501,H55),INDEX('F Proj'!$J$1:$J$7669,H55))</f>
        <v>55.204900000000002</v>
      </c>
      <c r="AQ55">
        <f>IF(Week&gt;=I$1,INDEX(Finals!$I$1:$I$501,I55),INDEX('F Proj'!$J$1:$J$7669,I55))</f>
        <v>39.187600000000003</v>
      </c>
      <c r="AR55">
        <f>IF(Week&gt;=J$1,INDEX(Finals!$I$1:$I$501,J55),INDEX('F Proj'!$J$1:$J$7669,J55))</f>
        <v>50.126399999999997</v>
      </c>
      <c r="AS55">
        <f>IF(Week&gt;=K$1,INDEX(Finals!$I$1:$I$501,K55),INDEX('F Proj'!$J$1:$J$7669,K55))</f>
        <v>38.192399999999999</v>
      </c>
      <c r="AT55">
        <f>IF(Week&gt;=L$1,INDEX(Finals!$I$1:$I$501,L55),INDEX('F Proj'!$J$1:$J$7669,L55))</f>
        <v>31.584399999999999</v>
      </c>
      <c r="AU55">
        <f>IF(Week&gt;=M$1,INDEX(Finals!$I$1:$I$501,M55),INDEX('F Proj'!$J$1:$J$7669,M55))</f>
        <v>57.912100000000002</v>
      </c>
      <c r="AV55">
        <f>IF(Week&gt;=N$1,INDEX(Finals!$I$1:$I$501,N55),INDEX('F Proj'!$J$1:$J$7669,N55))</f>
        <v>46.24</v>
      </c>
      <c r="AW55">
        <f>IF(Week&gt;=O$1,INDEX(Finals!$I$1:$I$501,O55),INDEX('F Proj'!$J$1:$J$7669,O55))</f>
        <v>60.684100000000001</v>
      </c>
      <c r="AX55">
        <f>IF(Week&gt;=P$1,INDEX(Finals!$I$1:$I$501,P55),INDEX('F Proj'!$J$1:$J$7669,P55))</f>
        <v>59.907600000000002</v>
      </c>
      <c r="AY55">
        <f>IF(Week&gt;=Q$1,INDEX(Finals!$I$1:$I$501,Q55),INDEX('F Proj'!$J$1:$J$7669,Q55))</f>
        <v>49.702500000000001</v>
      </c>
      <c r="AZ55">
        <f>IF(Week&gt;=R$1,INDEX(Finals!$I$1:$I$501,R55),INDEX('F Proj'!$J$1:$J$7669,R55))</f>
        <v>44.355600000000003</v>
      </c>
      <c r="BA55">
        <f>IF(Week&gt;=S$1,INDEX(Finals!$I$1:$I$501,S55),INDEX('F Proj'!$J$1:$J$7669,S55))</f>
        <v>62.884900000000002</v>
      </c>
    </row>
    <row r="56" spans="1:53" x14ac:dyDescent="0.25">
      <c r="A56" t="s">
        <v>27</v>
      </c>
      <c r="B56" t="s">
        <v>473</v>
      </c>
      <c r="C56">
        <f>IF(Week&gt;=C$1,MATCH($A56&amp;"-"&amp;C$1&amp;$B56,Finals!$J$1:$J$501,0),IFERROR(MATCH($A56&amp;C$1&amp;$B56,'F Proj'!$N$1:$N$7669,0),MATCH("NA"&amp;C$1&amp;$B56,'F Proj'!$N$1:$N$7669,0)))</f>
        <v>40</v>
      </c>
      <c r="D56">
        <f>IF(Week&gt;=D$1,MATCH($A56&amp;"-"&amp;D$1&amp;$B56,Finals!$J$1:$J$501,0),IFERROR(MATCH($A56&amp;D$1&amp;$B56,'F Proj'!$N$1:$N$7669,0),MATCH("NA"&amp;D$1&amp;$B56,'F Proj'!$N$1:$N$7669,0)))</f>
        <v>142</v>
      </c>
      <c r="E56">
        <f>IF(Week&gt;=E$1,MATCH($A56&amp;"-"&amp;E$1&amp;$B56,Finals!$J$1:$J$501,0),IFERROR(MATCH($A56&amp;E$1&amp;$B56,'F Proj'!$N$1:$N$7669,0),MATCH("NA"&amp;E$1&amp;$B56,'F Proj'!$N$1:$N$7669,0)))</f>
        <v>143</v>
      </c>
      <c r="F56">
        <f>IF(Week&gt;=F$1,MATCH($A56&amp;"-"&amp;F$1&amp;$B56,Finals!$J$1:$J$501,0),IFERROR(MATCH($A56&amp;F$1&amp;$B56,'F Proj'!$N$1:$N$7669,0),MATCH("NA"&amp;F$1&amp;$B56,'F Proj'!$N$1:$N$7669,0)))</f>
        <v>144</v>
      </c>
      <c r="G56">
        <f>IF(Week&gt;=G$1,MATCH($A56&amp;"-"&amp;G$1&amp;$B56,Finals!$J$1:$J$501,0),IFERROR(MATCH($A56&amp;G$1&amp;$B56,'F Proj'!$N$1:$N$7669,0),MATCH("NA"&amp;G$1&amp;$B56,'F Proj'!$N$1:$N$7669,0)))</f>
        <v>62</v>
      </c>
      <c r="H56">
        <f>IF(Week&gt;=H$1,MATCH($A56&amp;"-"&amp;H$1&amp;$B56,Finals!$J$1:$J$501,0),IFERROR(MATCH($A56&amp;H$1&amp;$B56,'F Proj'!$N$1:$N$7669,0),MATCH("NA"&amp;H$1&amp;$B56,'F Proj'!$N$1:$N$7669,0)))</f>
        <v>1388</v>
      </c>
      <c r="I56">
        <f>IF(Week&gt;=I$1,MATCH($A56&amp;"-"&amp;I$1&amp;$B56,Finals!$J$1:$J$501,0),IFERROR(MATCH($A56&amp;I$1&amp;$B56,'F Proj'!$N$1:$N$7669,0),MATCH("NA"&amp;I$1&amp;$B56,'F Proj'!$N$1:$N$7669,0)))</f>
        <v>1599</v>
      </c>
      <c r="J56">
        <f>IF(Week&gt;=J$1,MATCH($A56&amp;"-"&amp;J$1&amp;$B56,Finals!$J$1:$J$501,0),IFERROR(MATCH($A56&amp;J$1&amp;$B56,'F Proj'!$N$1:$N$7669,0),MATCH("NA"&amp;J$1&amp;$B56,'F Proj'!$N$1:$N$7669,0)))</f>
        <v>1137</v>
      </c>
      <c r="K56">
        <f>IF(Week&gt;=K$1,MATCH($A56&amp;"-"&amp;K$1&amp;$B56,Finals!$J$1:$J$501,0),IFERROR(MATCH($A56&amp;K$1&amp;$B56,'F Proj'!$N$1:$N$7669,0),MATCH("NA"&amp;K$1&amp;$B56,'F Proj'!$N$1:$N$7669,0)))</f>
        <v>1303</v>
      </c>
      <c r="L56">
        <f>IF(Week&gt;=L$1,MATCH($A56&amp;"-"&amp;L$1&amp;$B56,Finals!$J$1:$J$501,0),IFERROR(MATCH($A56&amp;L$1&amp;$B56,'F Proj'!$N$1:$N$7669,0),MATCH("NA"&amp;L$1&amp;$B56,'F Proj'!$N$1:$N$7669,0)))</f>
        <v>1343</v>
      </c>
      <c r="M56">
        <f>IF(Week&gt;=M$1,MATCH($A56&amp;"-"&amp;M$1&amp;$B56,Finals!$J$1:$J$501,0),IFERROR(MATCH($A56&amp;M$1&amp;$B56,'F Proj'!$N$1:$N$7669,0),MATCH("NA"&amp;M$1&amp;$B56,'F Proj'!$N$1:$N$7669,0)))</f>
        <v>1506</v>
      </c>
      <c r="N56">
        <f>IF(Week&gt;=N$1,MATCH($A56&amp;"-"&amp;N$1&amp;$B56,Finals!$J$1:$J$501,0),IFERROR(MATCH($A56&amp;N$1&amp;$B56,'F Proj'!$N$1:$N$7669,0),MATCH("NA"&amp;N$1&amp;$B56,'F Proj'!$N$1:$N$7669,0)))</f>
        <v>1076</v>
      </c>
      <c r="O56">
        <f>IF(Week&gt;=O$1,MATCH($A56&amp;"-"&amp;O$1&amp;$B56,Finals!$J$1:$J$501,0),IFERROR(MATCH($A56&amp;O$1&amp;$B56,'F Proj'!$N$1:$N$7669,0),MATCH("NA"&amp;O$1&amp;$B56,'F Proj'!$N$1:$N$7669,0)))</f>
        <v>1143</v>
      </c>
      <c r="P56">
        <f>IF(Week&gt;=P$1,MATCH($A56&amp;"-"&amp;P$1&amp;$B56,Finals!$J$1:$J$501,0),IFERROR(MATCH($A56&amp;P$1&amp;$B56,'F Proj'!$N$1:$N$7669,0),MATCH("NA"&amp;P$1&amp;$B56,'F Proj'!$N$1:$N$7669,0)))</f>
        <v>1175</v>
      </c>
      <c r="Q56">
        <f>IF(Week&gt;=Q$1,MATCH($A56&amp;"-"&amp;Q$1&amp;$B56,Finals!$J$1:$J$501,0),IFERROR(MATCH($A56&amp;Q$1&amp;$B56,'F Proj'!$N$1:$N$7669,0),MATCH("NA"&amp;Q$1&amp;$B56,'F Proj'!$N$1:$N$7669,0)))</f>
        <v>1444</v>
      </c>
      <c r="R56">
        <f>IF(Week&gt;=R$1,MATCH($A56&amp;"-"&amp;R$1&amp;$B56,Finals!$J$1:$J$501,0),IFERROR(MATCH($A56&amp;R$1&amp;$B56,'F Proj'!$N$1:$N$7669,0),MATCH("NA"&amp;R$1&amp;$B56,'F Proj'!$N$1:$N$7669,0)))</f>
        <v>1171</v>
      </c>
      <c r="S56">
        <f>IF(Week&gt;=S$1,MATCH($A56&amp;"-"&amp;S$1&amp;$B56,Finals!$J$1:$J$501,0),IFERROR(MATCH($A56&amp;S$1&amp;$B56,'F Proj'!$N$1:$N$7669,0),MATCH("NA"&amp;S$1&amp;$B56,'F Proj'!$N$1:$N$7669,0)))</f>
        <v>930</v>
      </c>
      <c r="T56">
        <f>IF(Week&gt;=C$1,INDEX(Finals!$G$1:$G$501,C56),INDEX('F Proj'!$D$1:$D$7669,C56))</f>
        <v>1.8</v>
      </c>
      <c r="U56">
        <f>IF(Week&gt;=D$1,INDEX(Finals!$G$1:$G$501,D56),INDEX('F Proj'!$D$1:$D$7669,D56))</f>
        <v>9.6</v>
      </c>
      <c r="V56">
        <f>IF(Week&gt;=E$1,INDEX(Finals!$G$1:$G$501,E56),INDEX('F Proj'!$D$1:$D$7669,E56))</f>
        <v>13.3</v>
      </c>
      <c r="W56">
        <f>IF(Week&gt;=F$1,INDEX(Finals!$G$1:$G$501,F56),INDEX('F Proj'!$D$1:$D$7669,F56))</f>
        <v>6.3</v>
      </c>
      <c r="X56">
        <f>IF(Week&gt;=G$1,INDEX(Finals!$G$1:$G$501,G56),INDEX('F Proj'!$D$1:$D$7669,G56))</f>
        <v>7.75</v>
      </c>
      <c r="Y56">
        <f>IF(Week&gt;=H$1,INDEX(Finals!$G$1:$G$501,H56),INDEX('F Proj'!$D$1:$D$7669,H56))</f>
        <v>8.51</v>
      </c>
      <c r="Z56">
        <f>IF(Week&gt;=I$1,INDEX(Finals!$G$1:$G$501,I56),INDEX('F Proj'!$D$1:$D$7669,I56))</f>
        <v>7.77</v>
      </c>
      <c r="AA56">
        <f>IF(Week&gt;=J$1,INDEX(Finals!$G$1:$G$501,J56),INDEX('F Proj'!$D$1:$D$7669,J56))</f>
        <v>9.7200000000000006</v>
      </c>
      <c r="AB56">
        <f>IF(Week&gt;=K$1,INDEX(Finals!$G$1:$G$501,K56),INDEX('F Proj'!$D$1:$D$7669,K56))</f>
        <v>8.85</v>
      </c>
      <c r="AC56">
        <f>IF(Week&gt;=L$1,INDEX(Finals!$G$1:$G$501,L56),INDEX('F Proj'!$D$1:$D$7669,L56))</f>
        <v>8.67</v>
      </c>
      <c r="AD56">
        <f>IF(Week&gt;=M$1,INDEX(Finals!$G$1:$G$501,M56),INDEX('F Proj'!$D$1:$D$7669,M56))</f>
        <v>8.1</v>
      </c>
      <c r="AE56">
        <f>IF(Week&gt;=N$1,INDEX(Finals!$G$1:$G$501,N56),INDEX('F Proj'!$D$1:$D$7669,N56))</f>
        <v>9.98</v>
      </c>
      <c r="AF56">
        <f>IF(Week&gt;=O$1,INDEX(Finals!$G$1:$G$501,O56),INDEX('F Proj'!$D$1:$D$7669,O56))</f>
        <v>9.69</v>
      </c>
      <c r="AG56">
        <f>IF(Week&gt;=P$1,INDEX(Finals!$G$1:$G$501,P56),INDEX('F Proj'!$D$1:$D$7669,P56))</f>
        <v>9.5299999999999994</v>
      </c>
      <c r="AH56">
        <f>IF(Week&gt;=Q$1,INDEX(Finals!$G$1:$G$501,Q56),INDEX('F Proj'!$D$1:$D$7669,Q56))</f>
        <v>8.2899999999999991</v>
      </c>
      <c r="AI56">
        <f>IF(Week&gt;=R$1,INDEX(Finals!$G$1:$G$501,R56),INDEX('F Proj'!$D$1:$D$7669,R56))</f>
        <v>9.56</v>
      </c>
      <c r="AJ56">
        <f>IF(Week&gt;=S$1,INDEX(Finals!$G$1:$G$501,S56),INDEX('F Proj'!$D$1:$D$7669,S56))</f>
        <v>10.92</v>
      </c>
      <c r="AK56">
        <f>IF(Week&gt;=C$1,INDEX(Finals!$I$1:$I$501,C56),INDEX('F Proj'!$J$1:$J$7669,C56))</f>
        <v>0</v>
      </c>
      <c r="AL56">
        <f>IF(Week&gt;=D$1,INDEX(Finals!$I$1:$I$501,D56),INDEX('F Proj'!$J$1:$J$7669,D56))</f>
        <v>0</v>
      </c>
      <c r="AM56">
        <f>IF(Week&gt;=E$1,INDEX(Finals!$I$1:$I$501,E56),INDEX('F Proj'!$J$1:$J$7669,E56))</f>
        <v>0</v>
      </c>
      <c r="AN56">
        <f>IF(Week&gt;=F$1,INDEX(Finals!$I$1:$I$501,F56),INDEX('F Proj'!$J$1:$J$7669,F56))</f>
        <v>0</v>
      </c>
      <c r="AO56">
        <f>IF(Week&gt;=G$1,INDEX(Finals!$I$1:$I$501,G56),INDEX('F Proj'!$J$1:$J$7669,G56))</f>
        <v>30.691600000000001</v>
      </c>
      <c r="AP56">
        <f>IF(Week&gt;=H$1,INDEX(Finals!$I$1:$I$501,H56),INDEX('F Proj'!$J$1:$J$7669,H56))</f>
        <v>33.988900000000001</v>
      </c>
      <c r="AQ56">
        <f>IF(Week&gt;=I$1,INDEX(Finals!$I$1:$I$501,I56),INDEX('F Proj'!$J$1:$J$7669,I56))</f>
        <v>23.619599999999998</v>
      </c>
      <c r="AR56">
        <f>IF(Week&gt;=J$1,INDEX(Finals!$I$1:$I$501,J56),INDEX('F Proj'!$J$1:$J$7669,J56))</f>
        <v>41.473599999999998</v>
      </c>
      <c r="AS56">
        <f>IF(Week&gt;=K$1,INDEX(Finals!$I$1:$I$501,K56),INDEX('F Proj'!$J$1:$J$7669,K56))</f>
        <v>41.2164</v>
      </c>
      <c r="AT56">
        <f>IF(Week&gt;=L$1,INDEX(Finals!$I$1:$I$501,L56),INDEX('F Proj'!$J$1:$J$7669,L56))</f>
        <v>39.816099999999999</v>
      </c>
      <c r="AU56">
        <f>IF(Week&gt;=M$1,INDEX(Finals!$I$1:$I$501,M56),INDEX('F Proj'!$J$1:$J$7669,M56))</f>
        <v>31.584399999999999</v>
      </c>
      <c r="AV56">
        <f>IF(Week&gt;=N$1,INDEX(Finals!$I$1:$I$501,N56),INDEX('F Proj'!$J$1:$J$7669,N56))</f>
        <v>52.2729</v>
      </c>
      <c r="AW56">
        <f>IF(Week&gt;=O$1,INDEX(Finals!$I$1:$I$501,O56),INDEX('F Proj'!$J$1:$J$7669,O56))</f>
        <v>31.584399999999999</v>
      </c>
      <c r="AX56">
        <f>IF(Week&gt;=P$1,INDEX(Finals!$I$1:$I$501,P56),INDEX('F Proj'!$J$1:$J$7669,P56))</f>
        <v>38.812899999999999</v>
      </c>
      <c r="AY56">
        <f>IF(Week&gt;=Q$1,INDEX(Finals!$I$1:$I$501,Q56),INDEX('F Proj'!$J$1:$J$7669,Q56))</f>
        <v>43.56</v>
      </c>
      <c r="AZ56">
        <f>IF(Week&gt;=R$1,INDEX(Finals!$I$1:$I$501,R56),INDEX('F Proj'!$J$1:$J$7669,R56))</f>
        <v>32.376100000000001</v>
      </c>
      <c r="BA56">
        <f>IF(Week&gt;=S$1,INDEX(Finals!$I$1:$I$501,S56),INDEX('F Proj'!$J$1:$J$7669,S56))</f>
        <v>60.684100000000001</v>
      </c>
    </row>
    <row r="57" spans="1:53" x14ac:dyDescent="0.25">
      <c r="A57" t="s">
        <v>27</v>
      </c>
      <c r="B57" t="s">
        <v>474</v>
      </c>
      <c r="C57" t="e">
        <f>IF(Week&gt;=C$1,MATCH($A57&amp;"-"&amp;C$1&amp;$B57,Finals!$J$1:$J$501,0),IFERROR(MATCH($A57&amp;C$1&amp;$B57,'F Proj'!$N$1:$N$7669,0),MATCH("NA"&amp;C$1&amp;$B57,'F Proj'!$N$1:$N$7669,0)))</f>
        <v>#N/A</v>
      </c>
      <c r="D57" t="e">
        <f>IF(Week&gt;=D$1,MATCH($A57&amp;"-"&amp;D$1&amp;$B57,Finals!$J$1:$J$501,0),IFERROR(MATCH($A57&amp;D$1&amp;$B57,'F Proj'!$N$1:$N$7669,0),MATCH("NA"&amp;D$1&amp;$B57,'F Proj'!$N$1:$N$7669,0)))</f>
        <v>#N/A</v>
      </c>
      <c r="E57" t="e">
        <f>IF(Week&gt;=E$1,MATCH($A57&amp;"-"&amp;E$1&amp;$B57,Finals!$J$1:$J$501,0),IFERROR(MATCH($A57&amp;E$1&amp;$B57,'F Proj'!$N$1:$N$7669,0),MATCH("NA"&amp;E$1&amp;$B57,'F Proj'!$N$1:$N$7669,0)))</f>
        <v>#N/A</v>
      </c>
      <c r="F57" t="e">
        <f>IF(Week&gt;=F$1,MATCH($A57&amp;"-"&amp;F$1&amp;$B57,Finals!$J$1:$J$501,0),IFERROR(MATCH($A57&amp;F$1&amp;$B57,'F Proj'!$N$1:$N$7669,0),MATCH("NA"&amp;F$1&amp;$B57,'F Proj'!$N$1:$N$7669,0)))</f>
        <v>#N/A</v>
      </c>
      <c r="G57" t="e">
        <f>IF(Week&gt;=G$1,MATCH($A57&amp;"-"&amp;G$1&amp;$B57,Finals!$J$1:$J$501,0),IFERROR(MATCH($A57&amp;G$1&amp;$B57,'F Proj'!$N$1:$N$7669,0),MATCH("NA"&amp;G$1&amp;$B57,'F Proj'!$N$1:$N$7669,0)))</f>
        <v>#N/A</v>
      </c>
      <c r="H57">
        <f>IF(Week&gt;=H$1,MATCH($A57&amp;"-"&amp;H$1&amp;$B57,Finals!$J$1:$J$501,0),IFERROR(MATCH($A57&amp;H$1&amp;$B57,'F Proj'!$N$1:$N$7669,0),MATCH("NA"&amp;H$1&amp;$B57,'F Proj'!$N$1:$N$7669,0)))</f>
        <v>1532</v>
      </c>
      <c r="I57">
        <f>IF(Week&gt;=I$1,MATCH($A57&amp;"-"&amp;I$1&amp;$B57,Finals!$J$1:$J$501,0),IFERROR(MATCH($A57&amp;I$1&amp;$B57,'F Proj'!$N$1:$N$7669,0),MATCH("NA"&amp;I$1&amp;$B57,'F Proj'!$N$1:$N$7669,0)))</f>
        <v>1717</v>
      </c>
      <c r="J57">
        <f>IF(Week&gt;=J$1,MATCH($A57&amp;"-"&amp;J$1&amp;$B57,Finals!$J$1:$J$501,0),IFERROR(MATCH($A57&amp;J$1&amp;$B57,'F Proj'!$N$1:$N$7669,0),MATCH("NA"&amp;J$1&amp;$B57,'F Proj'!$N$1:$N$7669,0)))</f>
        <v>1265</v>
      </c>
      <c r="K57">
        <f>IF(Week&gt;=K$1,MATCH($A57&amp;"-"&amp;K$1&amp;$B57,Finals!$J$1:$J$501,0),IFERROR(MATCH($A57&amp;K$1&amp;$B57,'F Proj'!$N$1:$N$7669,0),MATCH("NA"&amp;K$1&amp;$B57,'F Proj'!$N$1:$N$7669,0)))</f>
        <v>1616</v>
      </c>
      <c r="L57">
        <f>IF(Week&gt;=L$1,MATCH($A57&amp;"-"&amp;L$1&amp;$B57,Finals!$J$1:$J$501,0),IFERROR(MATCH($A57&amp;L$1&amp;$B57,'F Proj'!$N$1:$N$7669,0),MATCH("NA"&amp;L$1&amp;$B57,'F Proj'!$N$1:$N$7669,0)))</f>
        <v>1345</v>
      </c>
      <c r="M57">
        <f>IF(Week&gt;=M$1,MATCH($A57&amp;"-"&amp;M$1&amp;$B57,Finals!$J$1:$J$501,0),IFERROR(MATCH($A57&amp;M$1&amp;$B57,'F Proj'!$N$1:$N$7669,0),MATCH("NA"&amp;M$1&amp;$B57,'F Proj'!$N$1:$N$7669,0)))</f>
        <v>1581</v>
      </c>
      <c r="N57">
        <f>IF(Week&gt;=N$1,MATCH($A57&amp;"-"&amp;N$1&amp;$B57,Finals!$J$1:$J$501,0),IFERROR(MATCH($A57&amp;N$1&amp;$B57,'F Proj'!$N$1:$N$7669,0),MATCH("NA"&amp;N$1&amp;$B57,'F Proj'!$N$1:$N$7669,0)))</f>
        <v>1402</v>
      </c>
      <c r="O57">
        <f>IF(Week&gt;=O$1,MATCH($A57&amp;"-"&amp;O$1&amp;$B57,Finals!$J$1:$J$501,0),IFERROR(MATCH($A57&amp;O$1&amp;$B57,'F Proj'!$N$1:$N$7669,0),MATCH("NA"&amp;O$1&amp;$B57,'F Proj'!$N$1:$N$7669,0)))</f>
        <v>1736</v>
      </c>
      <c r="P57">
        <f>IF(Week&gt;=P$1,MATCH($A57&amp;"-"&amp;P$1&amp;$B57,Finals!$J$1:$J$501,0),IFERROR(MATCH($A57&amp;P$1&amp;$B57,'F Proj'!$N$1:$N$7669,0),MATCH("NA"&amp;P$1&amp;$B57,'F Proj'!$N$1:$N$7669,0)))</f>
        <v>1274</v>
      </c>
      <c r="Q57">
        <f>IF(Week&gt;=Q$1,MATCH($A57&amp;"-"&amp;Q$1&amp;$B57,Finals!$J$1:$J$501,0),IFERROR(MATCH($A57&amp;Q$1&amp;$B57,'F Proj'!$N$1:$N$7669,0),MATCH("NA"&amp;Q$1&amp;$B57,'F Proj'!$N$1:$N$7669,0)))</f>
        <v>1459</v>
      </c>
      <c r="R57">
        <f>IF(Week&gt;=R$1,MATCH($A57&amp;"-"&amp;R$1&amp;$B57,Finals!$J$1:$J$501,0),IFERROR(MATCH($A57&amp;R$1&amp;$B57,'F Proj'!$N$1:$N$7669,0),MATCH("NA"&amp;R$1&amp;$B57,'F Proj'!$N$1:$N$7669,0)))</f>
        <v>1443</v>
      </c>
      <c r="S57">
        <f>IF(Week&gt;=S$1,MATCH($A57&amp;"-"&amp;S$1&amp;$B57,Finals!$J$1:$J$501,0),IFERROR(MATCH($A57&amp;S$1&amp;$B57,'F Proj'!$N$1:$N$7669,0),MATCH("NA"&amp;S$1&amp;$B57,'F Proj'!$N$1:$N$7669,0)))</f>
        <v>1673</v>
      </c>
    </row>
    <row r="58" spans="1:53" x14ac:dyDescent="0.25">
      <c r="A58" t="s">
        <v>27</v>
      </c>
      <c r="B58" t="s">
        <v>466</v>
      </c>
      <c r="C58">
        <f>IF(Week&gt;=C$1,MATCH($A58&amp;"-"&amp;C$1&amp;$B58,Finals!$J$1:$J$501,0),MIN(C53,C57))</f>
        <v>240</v>
      </c>
      <c r="D58">
        <f>IF(Week&gt;=D$1,MATCH($A58&amp;"-"&amp;D$1&amp;$B58,Finals!$J$1:$J$501,0),MIN(D53,D57))</f>
        <v>17</v>
      </c>
      <c r="E58">
        <f>IF(Week&gt;=E$1,MATCH($A58&amp;"-"&amp;E$1&amp;$B58,Finals!$J$1:$J$501,0),MIN(E53,E57))</f>
        <v>41</v>
      </c>
      <c r="F58">
        <f>IF(Week&gt;=F$1,MATCH($A58&amp;"-"&amp;F$1&amp;$B58,Finals!$J$1:$J$501,0),MIN(F53,F57))</f>
        <v>61</v>
      </c>
      <c r="G58">
        <f>IF(Week&gt;=G$1,MATCH($A58&amp;"-"&amp;G$1&amp;$B58,Finals!$J$1:$J$501,0),MIN(G53,G57))</f>
        <v>42</v>
      </c>
      <c r="H58">
        <f>IF(Week&gt;=H$1,MATCH($A58&amp;"-"&amp;H$1&amp;$B58,Finals!$J$1:$J$501,0),MIN(H53,H57))</f>
        <v>1437</v>
      </c>
      <c r="I58">
        <f>IF(Week&gt;=I$1,MATCH($A58&amp;"-"&amp;I$1&amp;$B58,Finals!$J$1:$J$501,0),MIN(I53,I57))</f>
        <v>1717</v>
      </c>
      <c r="J58">
        <f>IF(Week&gt;=J$1,MATCH($A58&amp;"-"&amp;J$1&amp;$B58,Finals!$J$1:$J$501,0),MIN(J53,J57))</f>
        <v>1265</v>
      </c>
      <c r="K58">
        <f>IF(Week&gt;=K$1,MATCH($A58&amp;"-"&amp;K$1&amp;$B58,Finals!$J$1:$J$501,0),MIN(K53,K57))</f>
        <v>1616</v>
      </c>
      <c r="L58">
        <f>IF(Week&gt;=L$1,MATCH($A58&amp;"-"&amp;L$1&amp;$B58,Finals!$J$1:$J$501,0),MIN(L53,L57))</f>
        <v>1345</v>
      </c>
      <c r="M58">
        <f>IF(Week&gt;=M$1,MATCH($A58&amp;"-"&amp;M$1&amp;$B58,Finals!$J$1:$J$501,0),MIN(M53,M57))</f>
        <v>1581</v>
      </c>
      <c r="N58">
        <f>IF(Week&gt;=N$1,MATCH($A58&amp;"-"&amp;N$1&amp;$B58,Finals!$J$1:$J$501,0),MIN(N53,N57))</f>
        <v>1402</v>
      </c>
      <c r="O58">
        <f>IF(Week&gt;=O$1,MATCH($A58&amp;"-"&amp;O$1&amp;$B58,Finals!$J$1:$J$501,0),MIN(O53,O57))</f>
        <v>1606</v>
      </c>
      <c r="P58">
        <f>IF(Week&gt;=P$1,MATCH($A58&amp;"-"&amp;P$1&amp;$B58,Finals!$J$1:$J$501,0),MIN(P53,P57))</f>
        <v>1274</v>
      </c>
      <c r="Q58">
        <f>IF(Week&gt;=Q$1,MATCH($A58&amp;"-"&amp;Q$1&amp;$B58,Finals!$J$1:$J$501,0),MIN(Q53,Q57))</f>
        <v>1459</v>
      </c>
      <c r="R58">
        <f>IF(Week&gt;=R$1,MATCH($A58&amp;"-"&amp;R$1&amp;$B58,Finals!$J$1:$J$501,0),MIN(R53,R57))</f>
        <v>1443</v>
      </c>
      <c r="S58">
        <f>IF(Week&gt;=S$1,MATCH($A58&amp;"-"&amp;S$1&amp;$B58,Finals!$J$1:$J$501,0),MIN(S53,S57))</f>
        <v>1673</v>
      </c>
      <c r="T58">
        <f>IF(Week&gt;=C$1,INDEX(Finals!$G$1:$G$501,C58),INDEX('F Proj'!$D$1:$D$7669,C58))</f>
        <v>22.6</v>
      </c>
      <c r="U58">
        <f>IF(Week&gt;=D$1,INDEX(Finals!$G$1:$G$501,D58),INDEX('F Proj'!$D$1:$D$7669,D58))</f>
        <v>5</v>
      </c>
      <c r="V58">
        <f>IF(Week&gt;=E$1,INDEX(Finals!$G$1:$G$501,E58),INDEX('F Proj'!$D$1:$D$7669,E58))</f>
        <v>1.7</v>
      </c>
      <c r="W58">
        <f>IF(Week&gt;=F$1,INDEX(Finals!$G$1:$G$501,F58),INDEX('F Proj'!$D$1:$D$7669,F58))</f>
        <v>17.5</v>
      </c>
      <c r="X58">
        <f>IF(Week&gt;=G$1,INDEX(Finals!$G$1:$G$501,G58),INDEX('F Proj'!$D$1:$D$7669,G58))</f>
        <v>9.01</v>
      </c>
      <c r="Y58">
        <f>IF(Week&gt;=H$1,INDEX(Finals!$G$1:$G$501,H58),INDEX('F Proj'!$D$1:$D$7669,H58))</f>
        <v>8.32</v>
      </c>
      <c r="Z58">
        <f>IF(Week&gt;=I$1,INDEX(Finals!$G$1:$G$501,I58),INDEX('F Proj'!$D$1:$D$7669,I58))</f>
        <v>7.35</v>
      </c>
      <c r="AA58">
        <f>IF(Week&gt;=J$1,INDEX(Finals!$G$1:$G$501,J58),INDEX('F Proj'!$D$1:$D$7669,J58))</f>
        <v>9.0500000000000007</v>
      </c>
      <c r="AB58">
        <f>IF(Week&gt;=K$1,INDEX(Finals!$G$1:$G$501,K58),INDEX('F Proj'!$D$1:$D$7669,K58))</f>
        <v>7.72</v>
      </c>
      <c r="AC58">
        <f>IF(Week&gt;=L$1,INDEX(Finals!$G$1:$G$501,L58),INDEX('F Proj'!$D$1:$D$7669,L58))</f>
        <v>8.66</v>
      </c>
      <c r="AD58">
        <f>IF(Week&gt;=M$1,INDEX(Finals!$G$1:$G$501,M58),INDEX('F Proj'!$D$1:$D$7669,M58))</f>
        <v>7.85</v>
      </c>
      <c r="AE58">
        <f>IF(Week&gt;=N$1,INDEX(Finals!$G$1:$G$501,N58),INDEX('F Proj'!$D$1:$D$7669,N58))</f>
        <v>8.48</v>
      </c>
      <c r="AF58">
        <f>IF(Week&gt;=O$1,INDEX(Finals!$G$1:$G$501,O58),INDEX('F Proj'!$D$1:$D$7669,O58))</f>
        <v>7.75</v>
      </c>
      <c r="AG58">
        <f>IF(Week&gt;=P$1,INDEX(Finals!$G$1:$G$501,P58),INDEX('F Proj'!$D$1:$D$7669,P58))</f>
        <v>8.98</v>
      </c>
      <c r="AH58">
        <f>IF(Week&gt;=Q$1,INDEX(Finals!$G$1:$G$501,Q58),INDEX('F Proj'!$D$1:$D$7669,Q58))</f>
        <v>8.24</v>
      </c>
      <c r="AI58">
        <f>IF(Week&gt;=R$1,INDEX(Finals!$G$1:$G$501,R58),INDEX('F Proj'!$D$1:$D$7669,R58))</f>
        <v>8.2899999999999991</v>
      </c>
      <c r="AJ58">
        <f>IF(Week&gt;=S$1,INDEX(Finals!$G$1:$G$501,S58),INDEX('F Proj'!$D$1:$D$7669,S58))</f>
        <v>7.5</v>
      </c>
      <c r="AK58">
        <f>IF(Week&gt;=C$1,INDEX(Finals!$I$1:$I$501,C58),INDEX('F Proj'!$J$1:$J$7669,C58))</f>
        <v>0</v>
      </c>
      <c r="AL58">
        <f>IF(Week&gt;=D$1,INDEX(Finals!$I$1:$I$501,D58),INDEX('F Proj'!$J$1:$J$7669,D58))</f>
        <v>0</v>
      </c>
      <c r="AM58">
        <f>IF(Week&gt;=E$1,INDEX(Finals!$I$1:$I$501,E58),INDEX('F Proj'!$J$1:$J$7669,E58))</f>
        <v>0</v>
      </c>
      <c r="AN58">
        <f>IF(Week&gt;=F$1,INDEX(Finals!$I$1:$I$501,F58),INDEX('F Proj'!$J$1:$J$7669,F58))</f>
        <v>0</v>
      </c>
      <c r="AO58">
        <f>IF(Week&gt;=G$1,INDEX(Finals!$I$1:$I$501,G58),INDEX('F Proj'!$J$1:$J$7669,G58))</f>
        <v>36.9664</v>
      </c>
      <c r="AP58">
        <f>IF(Week&gt;=H$1,INDEX(Finals!$I$1:$I$501,H58),INDEX('F Proj'!$J$1:$J$7669,H58))</f>
        <v>32.035600000000002</v>
      </c>
      <c r="AQ58">
        <f>IF(Week&gt;=I$1,INDEX(Finals!$I$1:$I$501,I58),INDEX('F Proj'!$J$1:$J$7669,I58))</f>
        <v>29.811599999999999</v>
      </c>
      <c r="AR58">
        <f>IF(Week&gt;=J$1,INDEX(Finals!$I$1:$I$501,J58),INDEX('F Proj'!$J$1:$J$7669,J58))</f>
        <v>57.304900000000004</v>
      </c>
      <c r="AS58">
        <f>IF(Week&gt;=K$1,INDEX(Finals!$I$1:$I$501,K58),INDEX('F Proj'!$J$1:$J$7669,K58))</f>
        <v>40.96</v>
      </c>
      <c r="AT58">
        <f>IF(Week&gt;=L$1,INDEX(Finals!$I$1:$I$501,L58),INDEX('F Proj'!$J$1:$J$7669,L58))</f>
        <v>37.4544</v>
      </c>
      <c r="AU58">
        <f>IF(Week&gt;=M$1,INDEX(Finals!$I$1:$I$501,M58),INDEX('F Proj'!$J$1:$J$7669,M58))</f>
        <v>33.177599999999998</v>
      </c>
      <c r="AV58">
        <f>IF(Week&gt;=N$1,INDEX(Finals!$I$1:$I$501,N58),INDEX('F Proj'!$J$1:$J$7669,N58))</f>
        <v>38.688400000000001</v>
      </c>
      <c r="AW58">
        <f>IF(Week&gt;=O$1,INDEX(Finals!$I$1:$I$501,O58),INDEX('F Proj'!$J$1:$J$7669,O58))</f>
        <v>20.1601</v>
      </c>
      <c r="AX58">
        <f>IF(Week&gt;=P$1,INDEX(Finals!$I$1:$I$501,P58),INDEX('F Proj'!$J$1:$J$7669,P58))</f>
        <v>38.812899999999999</v>
      </c>
      <c r="AY58">
        <f>IF(Week&gt;=Q$1,INDEX(Finals!$I$1:$I$501,Q58),INDEX('F Proj'!$J$1:$J$7669,Q58))</f>
        <v>32.718400000000003</v>
      </c>
      <c r="AZ58">
        <f>IF(Week&gt;=R$1,INDEX(Finals!$I$1:$I$501,R58),INDEX('F Proj'!$J$1:$J$7669,R58))</f>
        <v>31.136399999999998</v>
      </c>
      <c r="BA58">
        <f>IF(Week&gt;=S$1,INDEX(Finals!$I$1:$I$501,S58),INDEX('F Proj'!$J$1:$J$7669,S58))</f>
        <v>32.947600000000001</v>
      </c>
    </row>
    <row r="59" spans="1:53" x14ac:dyDescent="0.25">
      <c r="A59" t="s">
        <v>27</v>
      </c>
      <c r="B59" t="s">
        <v>475</v>
      </c>
      <c r="C59">
        <f>IF(Week&gt;=C$1,MATCH($A59&amp;"-"&amp;C$1&amp;$B59,Finals!$J$1:$J$501,0),IFERROR(MATCH($A59&amp;C$1&amp;$B59,'F Proj'!$N$1:$N$7669,0),MATCH("NA"&amp;C$1&amp;$B59,'F Proj'!$N$1:$N$7669,0)))</f>
        <v>113</v>
      </c>
      <c r="D59">
        <f>IF(Week&gt;=D$1,MATCH($A59&amp;"-"&amp;D$1&amp;$B59,Finals!$J$1:$J$501,0),IFERROR(MATCH($A59&amp;D$1&amp;$B59,'F Proj'!$N$1:$N$7669,0),MATCH("NA"&amp;D$1&amp;$B59,'F Proj'!$N$1:$N$7669,0)))</f>
        <v>381</v>
      </c>
      <c r="E59">
        <f>IF(Week&gt;=E$1,MATCH($A59&amp;"-"&amp;E$1&amp;$B59,Finals!$J$1:$J$501,0),IFERROR(MATCH($A59&amp;E$1&amp;$B59,'F Proj'!$N$1:$N$7669,0),MATCH("NA"&amp;E$1&amp;$B59,'F Proj'!$N$1:$N$7669,0)))</f>
        <v>382</v>
      </c>
      <c r="F59">
        <f>IF(Week&gt;=F$1,MATCH($A59&amp;"-"&amp;F$1&amp;$B59,Finals!$J$1:$J$501,0),IFERROR(MATCH($A59&amp;F$1&amp;$B59,'F Proj'!$N$1:$N$7669,0),MATCH("NA"&amp;F$1&amp;$B59,'F Proj'!$N$1:$N$7669,0)))</f>
        <v>383</v>
      </c>
      <c r="G59">
        <f>IF(Week&gt;=G$1,MATCH($A59&amp;"-"&amp;G$1&amp;$B59,Finals!$J$1:$J$501,0),IFERROR(MATCH($A59&amp;G$1&amp;$B59,'F Proj'!$N$1:$N$7669,0),MATCH("NA"&amp;G$1&amp;$B59,'F Proj'!$N$1:$N$7669,0)))</f>
        <v>52</v>
      </c>
      <c r="H59">
        <f>IF(Week&gt;=H$1,MATCH($A59&amp;"-"&amp;H$1&amp;$B59,Finals!$J$1:$J$501,0),IFERROR(MATCH($A59&amp;H$1&amp;$B59,'F Proj'!$N$1:$N$7669,0),MATCH("NA"&amp;H$1&amp;$B59,'F Proj'!$N$1:$N$7669,0)))</f>
        <v>1857</v>
      </c>
      <c r="I59">
        <f>IF(Week&gt;=I$1,MATCH($A59&amp;"-"&amp;I$1&amp;$B59,Finals!$J$1:$J$501,0),IFERROR(MATCH($A59&amp;I$1&amp;$B59,'F Proj'!$N$1:$N$7669,0),MATCH("NA"&amp;I$1&amp;$B59,'F Proj'!$N$1:$N$7669,0)))</f>
        <v>2494</v>
      </c>
      <c r="J59">
        <f>IF(Week&gt;=J$1,MATCH($A59&amp;"-"&amp;J$1&amp;$B59,Finals!$J$1:$J$501,0),IFERROR(MATCH($A59&amp;J$1&amp;$B59,'F Proj'!$N$1:$N$7669,0),MATCH("NA"&amp;J$1&amp;$B59,'F Proj'!$N$1:$N$7669,0)))</f>
        <v>2219</v>
      </c>
      <c r="K59">
        <f>IF(Week&gt;=K$1,MATCH($A59&amp;"-"&amp;K$1&amp;$B59,Finals!$J$1:$J$501,0),IFERROR(MATCH($A59&amp;K$1&amp;$B59,'F Proj'!$N$1:$N$7669,0),MATCH("NA"&amp;K$1&amp;$B59,'F Proj'!$N$1:$N$7669,0)))</f>
        <v>2616</v>
      </c>
      <c r="L59">
        <f>IF(Week&gt;=L$1,MATCH($A59&amp;"-"&amp;L$1&amp;$B59,Finals!$J$1:$J$501,0),IFERROR(MATCH($A59&amp;L$1&amp;$B59,'F Proj'!$N$1:$N$7669,0),MATCH("NA"&amp;L$1&amp;$B59,'F Proj'!$N$1:$N$7669,0)))</f>
        <v>2460</v>
      </c>
      <c r="M59">
        <f>IF(Week&gt;=M$1,MATCH($A59&amp;"-"&amp;M$1&amp;$B59,Finals!$J$1:$J$501,0),IFERROR(MATCH($A59&amp;M$1&amp;$B59,'F Proj'!$N$1:$N$7669,0),MATCH("NA"&amp;M$1&amp;$B59,'F Proj'!$N$1:$N$7669,0)))</f>
        <v>2127</v>
      </c>
      <c r="N59">
        <f>IF(Week&gt;=N$1,MATCH($A59&amp;"-"&amp;N$1&amp;$B59,Finals!$J$1:$J$501,0),IFERROR(MATCH($A59&amp;N$1&amp;$B59,'F Proj'!$N$1:$N$7669,0),MATCH("NA"&amp;N$1&amp;$B59,'F Proj'!$N$1:$N$7669,0)))</f>
        <v>2448</v>
      </c>
      <c r="O59">
        <f>IF(Week&gt;=O$1,MATCH($A59&amp;"-"&amp;O$1&amp;$B59,Finals!$J$1:$J$501,0),IFERROR(MATCH($A59&amp;O$1&amp;$B59,'F Proj'!$N$1:$N$7669,0),MATCH("NA"&amp;O$1&amp;$B59,'F Proj'!$N$1:$N$7669,0)))</f>
        <v>2585</v>
      </c>
      <c r="P59">
        <f>IF(Week&gt;=P$1,MATCH($A59&amp;"-"&amp;P$1&amp;$B59,Finals!$J$1:$J$501,0),IFERROR(MATCH($A59&amp;P$1&amp;$B59,'F Proj'!$N$1:$N$7669,0),MATCH("NA"&amp;P$1&amp;$B59,'F Proj'!$N$1:$N$7669,0)))</f>
        <v>2283</v>
      </c>
      <c r="Q59">
        <f>IF(Week&gt;=Q$1,MATCH($A59&amp;"-"&amp;Q$1&amp;$B59,Finals!$J$1:$J$501,0),IFERROR(MATCH($A59&amp;Q$1&amp;$B59,'F Proj'!$N$1:$N$7669,0),MATCH("NA"&amp;Q$1&amp;$B59,'F Proj'!$N$1:$N$7669,0)))</f>
        <v>2318</v>
      </c>
      <c r="R59">
        <f>IF(Week&gt;=R$1,MATCH($A59&amp;"-"&amp;R$1&amp;$B59,Finals!$J$1:$J$501,0),IFERROR(MATCH($A59&amp;R$1&amp;$B59,'F Proj'!$N$1:$N$7669,0),MATCH("NA"&amp;R$1&amp;$B59,'F Proj'!$N$1:$N$7669,0)))</f>
        <v>2326</v>
      </c>
      <c r="S59">
        <f>IF(Week&gt;=S$1,MATCH($A59&amp;"-"&amp;S$1&amp;$B59,Finals!$J$1:$J$501,0),IFERROR(MATCH($A59&amp;S$1&amp;$B59,'F Proj'!$N$1:$N$7669,0),MATCH("NA"&amp;S$1&amp;$B59,'F Proj'!$N$1:$N$7669,0)))</f>
        <v>1957</v>
      </c>
      <c r="T59">
        <f>IF(Week&gt;=C$1,INDEX(Finals!$G$1:$G$501,C59),INDEX('F Proj'!$D$1:$D$7669,C59))</f>
        <v>5.2</v>
      </c>
      <c r="U59">
        <f>IF(Week&gt;=D$1,INDEX(Finals!$G$1:$G$501,D59),INDEX('F Proj'!$D$1:$D$7669,D59))</f>
        <v>8.1999999999999993</v>
      </c>
      <c r="V59">
        <f>IF(Week&gt;=E$1,INDEX(Finals!$G$1:$G$501,E59),INDEX('F Proj'!$D$1:$D$7669,E59))</f>
        <v>5.5</v>
      </c>
      <c r="W59">
        <f>IF(Week&gt;=F$1,INDEX(Finals!$G$1:$G$501,F59),INDEX('F Proj'!$D$1:$D$7669,F59))</f>
        <v>14.6</v>
      </c>
      <c r="X59">
        <f>IF(Week&gt;=G$1,INDEX(Finals!$G$1:$G$501,G59),INDEX('F Proj'!$D$1:$D$7669,G59))</f>
        <v>4.21</v>
      </c>
      <c r="Y59">
        <f>IF(Week&gt;=H$1,INDEX(Finals!$G$1:$G$501,H59),INDEX('F Proj'!$D$1:$D$7669,H59))</f>
        <v>6.92</v>
      </c>
      <c r="Z59">
        <f>IF(Week&gt;=I$1,INDEX(Finals!$G$1:$G$501,I59),INDEX('F Proj'!$D$1:$D$7669,I59))</f>
        <v>5.24</v>
      </c>
      <c r="AA59">
        <f>IF(Week&gt;=J$1,INDEX(Finals!$G$1:$G$501,J59),INDEX('F Proj'!$D$1:$D$7669,J59))</f>
        <v>5.9</v>
      </c>
      <c r="AB59">
        <f>IF(Week&gt;=K$1,INDEX(Finals!$G$1:$G$501,K59),INDEX('F Proj'!$D$1:$D$7669,K59))</f>
        <v>4.91</v>
      </c>
      <c r="AC59">
        <f>IF(Week&gt;=L$1,INDEX(Finals!$G$1:$G$501,L59),INDEX('F Proj'!$D$1:$D$7669,L59))</f>
        <v>5.33</v>
      </c>
      <c r="AD59">
        <f>IF(Week&gt;=M$1,INDEX(Finals!$G$1:$G$501,M59),INDEX('F Proj'!$D$1:$D$7669,M59))</f>
        <v>6.14</v>
      </c>
      <c r="AE59">
        <f>IF(Week&gt;=N$1,INDEX(Finals!$G$1:$G$501,N59),INDEX('F Proj'!$D$1:$D$7669,N59))</f>
        <v>5.36</v>
      </c>
      <c r="AF59">
        <f>IF(Week&gt;=O$1,INDEX(Finals!$G$1:$G$501,O59),INDEX('F Proj'!$D$1:$D$7669,O59))</f>
        <v>4.9800000000000004</v>
      </c>
      <c r="AG59">
        <f>IF(Week&gt;=P$1,INDEX(Finals!$G$1:$G$501,P59),INDEX('F Proj'!$D$1:$D$7669,P59))</f>
        <v>5.72</v>
      </c>
      <c r="AH59">
        <f>IF(Week&gt;=Q$1,INDEX(Finals!$G$1:$G$501,Q59),INDEX('F Proj'!$D$1:$D$7669,Q59))</f>
        <v>5.66</v>
      </c>
      <c r="AI59">
        <f>IF(Week&gt;=R$1,INDEX(Finals!$G$1:$G$501,R59),INDEX('F Proj'!$D$1:$D$7669,R59))</f>
        <v>5.64</v>
      </c>
      <c r="AJ59">
        <f>IF(Week&gt;=S$1,INDEX(Finals!$G$1:$G$501,S59),INDEX('F Proj'!$D$1:$D$7669,S59))</f>
        <v>6.62</v>
      </c>
      <c r="AK59">
        <f>IF(Week&gt;=C$1,INDEX(Finals!$I$1:$I$501,C59),INDEX('F Proj'!$J$1:$J$7669,C59))</f>
        <v>0</v>
      </c>
      <c r="AL59">
        <f>IF(Week&gt;=D$1,INDEX(Finals!$I$1:$I$501,D59),INDEX('F Proj'!$J$1:$J$7669,D59))</f>
        <v>0</v>
      </c>
      <c r="AM59">
        <f>IF(Week&gt;=E$1,INDEX(Finals!$I$1:$I$501,E59),INDEX('F Proj'!$J$1:$J$7669,E59))</f>
        <v>0</v>
      </c>
      <c r="AN59">
        <f>IF(Week&gt;=F$1,INDEX(Finals!$I$1:$I$501,F59),INDEX('F Proj'!$J$1:$J$7669,F59))</f>
        <v>0</v>
      </c>
      <c r="AO59">
        <f>IF(Week&gt;=G$1,INDEX(Finals!$I$1:$I$501,G59),INDEX('F Proj'!$J$1:$J$7669,G59))</f>
        <v>21.715599999999998</v>
      </c>
      <c r="AP59">
        <f>IF(Week&gt;=H$1,INDEX(Finals!$I$1:$I$501,H59),INDEX('F Proj'!$J$1:$J$7669,H59))</f>
        <v>37.332099999999997</v>
      </c>
      <c r="AQ59">
        <f>IF(Week&gt;=I$1,INDEX(Finals!$I$1:$I$501,I59),INDEX('F Proj'!$J$1:$J$7669,I59))</f>
        <v>17.3889</v>
      </c>
      <c r="AR59">
        <f>IF(Week&gt;=J$1,INDEX(Finals!$I$1:$I$501,J59),INDEX('F Proj'!$J$1:$J$7669,J59))</f>
        <v>20.611599999999999</v>
      </c>
      <c r="AS59">
        <f>IF(Week&gt;=K$1,INDEX(Finals!$I$1:$I$501,K59),INDEX('F Proj'!$J$1:$J$7669,K59))</f>
        <v>13.9876</v>
      </c>
      <c r="AT59">
        <f>IF(Week&gt;=L$1,INDEX(Finals!$I$1:$I$501,L59),INDEX('F Proj'!$J$1:$J$7669,L59))</f>
        <v>25.704899999999999</v>
      </c>
      <c r="AU59">
        <f>IF(Week&gt;=M$1,INDEX(Finals!$I$1:$I$501,M59),INDEX('F Proj'!$J$1:$J$7669,M59))</f>
        <v>28.729600000000001</v>
      </c>
      <c r="AV59">
        <f>IF(Week&gt;=N$1,INDEX(Finals!$I$1:$I$501,N59),INDEX('F Proj'!$J$1:$J$7669,N59))</f>
        <v>24.601600000000001</v>
      </c>
      <c r="AW59">
        <f>IF(Week&gt;=O$1,INDEX(Finals!$I$1:$I$501,O59),INDEX('F Proj'!$J$1:$J$7669,O59))</f>
        <v>17.892900000000001</v>
      </c>
      <c r="AX59">
        <f>IF(Week&gt;=P$1,INDEX(Finals!$I$1:$I$501,P59),INDEX('F Proj'!$J$1:$J$7669,P59))</f>
        <v>26.419599999999999</v>
      </c>
      <c r="AY59">
        <f>IF(Week&gt;=Q$1,INDEX(Finals!$I$1:$I$501,Q59),INDEX('F Proj'!$J$1:$J$7669,Q59))</f>
        <v>17.556100000000001</v>
      </c>
      <c r="AZ59">
        <f>IF(Week&gt;=R$1,INDEX(Finals!$I$1:$I$501,R59),INDEX('F Proj'!$J$1:$J$7669,R59))</f>
        <v>17.892900000000001</v>
      </c>
      <c r="BA59">
        <f>IF(Week&gt;=S$1,INDEX(Finals!$I$1:$I$501,S59),INDEX('F Proj'!$J$1:$J$7669,S59))</f>
        <v>37.332099999999997</v>
      </c>
    </row>
    <row r="60" spans="1:53" x14ac:dyDescent="0.25">
      <c r="A60" t="s">
        <v>27</v>
      </c>
      <c r="B60" t="s">
        <v>477</v>
      </c>
      <c r="C60">
        <f>IF(Week&gt;=C$1,MATCH($A60&amp;"-"&amp;C$1&amp;$B60,Finals!$J$1:$J$501,0),IFERROR(MATCH($A60&amp;C$1,'D Proj'!$V$1:$V$514,0),MATCH("NA"&amp;C$1,'D Proj'!$V$1:$V$514,0)))</f>
        <v>464</v>
      </c>
      <c r="D60">
        <f>IF(Week&gt;=D$1,MATCH($A60&amp;"-"&amp;D$1&amp;$B60,Finals!$J$1:$J$501,0),IFERROR(MATCH($A60&amp;D$1,'D Proj'!$V$1:$V$514,0),MATCH("NA"&amp;D$1,'D Proj'!$V$1:$V$514,0)))</f>
        <v>465</v>
      </c>
      <c r="E60">
        <f>IF(Week&gt;=E$1,MATCH($A60&amp;"-"&amp;E$1&amp;$B60,Finals!$J$1:$J$501,0),IFERROR(MATCH($A60&amp;E$1,'D Proj'!$V$1:$V$514,0),MATCH("NA"&amp;E$1,'D Proj'!$V$1:$V$514,0)))</f>
        <v>466</v>
      </c>
      <c r="F60">
        <f>IF(Week&gt;=F$1,MATCH($A60&amp;"-"&amp;F$1&amp;$B60,Finals!$J$1:$J$501,0),IFERROR(MATCH($A60&amp;F$1,'D Proj'!$V$1:$V$514,0),MATCH("NA"&amp;F$1,'D Proj'!$V$1:$V$514,0)))</f>
        <v>467</v>
      </c>
      <c r="G60">
        <f>IF(Week&gt;=G$1,MATCH($A60&amp;"-"&amp;G$1&amp;$B60,Finals!$J$1:$J$501,0),IFERROR(MATCH($A60&amp;G$1,'D Proj'!$V$1:$V$514,0),MATCH("NA"&amp;G$1,'D Proj'!$V$1:$V$514,0)))</f>
        <v>468</v>
      </c>
      <c r="H60">
        <f>IF(Week&gt;=H$1,MATCH($A60&amp;"-"&amp;H$1&amp;$B60,Finals!$J$1:$J$501,0),IFERROR(MATCH($A60&amp;H$1,'D Proj'!$V$1:$V$514,0),MATCH("NA"&amp;H$1,'D Proj'!$V$1:$V$514,0)))</f>
        <v>7</v>
      </c>
      <c r="I60">
        <f>IF(Week&gt;=I$1,MATCH($A60&amp;"-"&amp;I$1&amp;$B60,Finals!$J$1:$J$501,0),IFERROR(MATCH($A60&amp;I$1,'D Proj'!$V$1:$V$514,0),MATCH("NA"&amp;I$1,'D Proj'!$V$1:$V$514,0)))</f>
        <v>235</v>
      </c>
      <c r="J60">
        <f>IF(Week&gt;=J$1,MATCH($A60&amp;"-"&amp;J$1&amp;$B60,Finals!$J$1:$J$501,0),IFERROR(MATCH($A60&amp;J$1,'D Proj'!$V$1:$V$514,0),MATCH("NA"&amp;J$1,'D Proj'!$V$1:$V$514,0)))</f>
        <v>262</v>
      </c>
      <c r="K60">
        <f>IF(Week&gt;=K$1,MATCH($A60&amp;"-"&amp;K$1&amp;$B60,Finals!$J$1:$J$501,0),IFERROR(MATCH($A60&amp;K$1,'D Proj'!$V$1:$V$514,0),MATCH("NA"&amp;K$1,'D Proj'!$V$1:$V$514,0)))</f>
        <v>19</v>
      </c>
      <c r="L60">
        <f>IF(Week&gt;=L$1,MATCH($A60&amp;"-"&amp;L$1&amp;$B60,Finals!$J$1:$J$501,0),IFERROR(MATCH($A60&amp;L$1,'D Proj'!$V$1:$V$514,0),MATCH("NA"&amp;L$1,'D Proj'!$V$1:$V$514,0)))</f>
        <v>249</v>
      </c>
      <c r="M60">
        <f>IF(Week&gt;=M$1,MATCH($A60&amp;"-"&amp;M$1&amp;$B60,Finals!$J$1:$J$501,0),IFERROR(MATCH($A60&amp;M$1,'D Proj'!$V$1:$V$514,0),MATCH("NA"&amp;M$1,'D Proj'!$V$1:$V$514,0)))</f>
        <v>407</v>
      </c>
      <c r="N60">
        <f>IF(Week&gt;=N$1,MATCH($A60&amp;"-"&amp;N$1&amp;$B60,Finals!$J$1:$J$501,0),IFERROR(MATCH($A60&amp;N$1,'D Proj'!$V$1:$V$514,0),MATCH("NA"&amp;N$1,'D Proj'!$V$1:$V$514,0)))</f>
        <v>8</v>
      </c>
      <c r="O60">
        <f>IF(Week&gt;=O$1,MATCH($A60&amp;"-"&amp;O$1&amp;$B60,Finals!$J$1:$J$501,0),IFERROR(MATCH($A60&amp;O$1,'D Proj'!$V$1:$V$514,0),MATCH("NA"&amp;O$1,'D Proj'!$V$1:$V$514,0)))</f>
        <v>103</v>
      </c>
      <c r="P60">
        <f>IF(Week&gt;=P$1,MATCH($A60&amp;"-"&amp;P$1&amp;$B60,Finals!$J$1:$J$501,0),IFERROR(MATCH($A60&amp;P$1,'D Proj'!$V$1:$V$514,0),MATCH("NA"&amp;P$1,'D Proj'!$V$1:$V$514,0)))</f>
        <v>250</v>
      </c>
      <c r="Q60">
        <f>IF(Week&gt;=Q$1,MATCH($A60&amp;"-"&amp;Q$1&amp;$B60,Finals!$J$1:$J$501,0),IFERROR(MATCH($A60&amp;Q$1,'D Proj'!$V$1:$V$514,0),MATCH("NA"&amp;Q$1,'D Proj'!$V$1:$V$514,0)))</f>
        <v>454</v>
      </c>
      <c r="R60">
        <f>IF(Week&gt;=R$1,MATCH($A60&amp;"-"&amp;R$1&amp;$B60,Finals!$J$1:$J$501,0),IFERROR(MATCH($A60&amp;R$1,'D Proj'!$V$1:$V$514,0),MATCH("NA"&amp;R$1,'D Proj'!$V$1:$V$514,0)))</f>
        <v>89</v>
      </c>
      <c r="S60">
        <f>IF(Week&gt;=S$1,MATCH($A60&amp;"-"&amp;S$1&amp;$B60,Finals!$J$1:$J$501,0),IFERROR(MATCH($A60&amp;S$1,'D Proj'!$V$1:$V$514,0),MATCH("NA"&amp;S$1,'D Proj'!$V$1:$V$514,0)))</f>
        <v>104</v>
      </c>
      <c r="T60">
        <f>IF(Week&gt;=C$1,INDEX(Finals!$G$1:$G$501,C60),INDEX('D Proj'!$T$1:$T$513,C60))</f>
        <v>11</v>
      </c>
      <c r="U60">
        <f>IF(Week&gt;=D$1,INDEX(Finals!$G$1:$G$501,D60),INDEX('D Proj'!$T$1:$T$513,D60))</f>
        <v>3</v>
      </c>
      <c r="V60">
        <f>IF(Week&gt;=E$1,INDEX(Finals!$G$1:$G$501,E60),INDEX('D Proj'!$T$1:$T$513,E60))</f>
        <v>5</v>
      </c>
      <c r="W60">
        <f>IF(Week&gt;=F$1,INDEX(Finals!$G$1:$G$501,F60),INDEX('D Proj'!$T$1:$T$513,F60))</f>
        <v>4</v>
      </c>
      <c r="X60">
        <f>IF(Week&gt;=G$1,INDEX(Finals!$G$1:$G$501,G60),INDEX('D Proj'!$T$1:$T$513,G60))</f>
        <v>6.91</v>
      </c>
      <c r="Y60">
        <f>IF(Week&gt;=H$1,INDEX(Finals!$G$1:$G$501,H60),INDEX('D Proj'!$T$1:$T$513,H60))</f>
        <v>10.7</v>
      </c>
      <c r="Z60">
        <f>IF(Week&gt;=I$1,INDEX(Finals!$G$1:$G$501,I60),INDEX('D Proj'!$T$1:$T$513,I60))</f>
        <v>6.34</v>
      </c>
      <c r="AA60">
        <f>IF(Week&gt;=J$1,INDEX(Finals!$G$1:$G$501,J60),INDEX('D Proj'!$T$1:$T$513,J60))</f>
        <v>6.06</v>
      </c>
      <c r="AB60">
        <f>IF(Week&gt;=K$1,INDEX(Finals!$G$1:$G$501,K60),INDEX('D Proj'!$T$1:$T$513,K60))</f>
        <v>9.1</v>
      </c>
      <c r="AC60">
        <f>IF(Week&gt;=L$1,INDEX(Finals!$G$1:$G$501,L60),INDEX('D Proj'!$T$1:$T$513,L60))</f>
        <v>6.22</v>
      </c>
      <c r="AD60">
        <f>IF(Week&gt;=M$1,INDEX(Finals!$G$1:$G$501,M60),INDEX('D Proj'!$T$1:$T$513,M60))</f>
        <v>4.1399999999999997</v>
      </c>
      <c r="AE60">
        <f>IF(Week&gt;=N$1,INDEX(Finals!$G$1:$G$501,N60),INDEX('D Proj'!$T$1:$T$513,N60))</f>
        <v>10.7</v>
      </c>
      <c r="AF60">
        <f>IF(Week&gt;=O$1,INDEX(Finals!$G$1:$G$501,O60),INDEX('D Proj'!$T$1:$T$513,O60))</f>
        <v>7.52</v>
      </c>
      <c r="AG60">
        <f>IF(Week&gt;=P$1,INDEX(Finals!$G$1:$G$501,P60),INDEX('D Proj'!$T$1:$T$513,P60))</f>
        <v>6.22</v>
      </c>
      <c r="AH60">
        <f>IF(Week&gt;=Q$1,INDEX(Finals!$G$1:$G$501,Q60),INDEX('D Proj'!$T$1:$T$513,Q60))</f>
        <v>3.3</v>
      </c>
      <c r="AI60">
        <f>IF(Week&gt;=R$1,INDEX(Finals!$G$1:$G$501,R60),INDEX('D Proj'!$T$1:$T$513,R60))</f>
        <v>7.62</v>
      </c>
      <c r="AJ60">
        <f>IF(Week&gt;=S$1,INDEX(Finals!$G$1:$G$501,S60),INDEX('D Proj'!$T$1:$T$513,S60))</f>
        <v>7.52</v>
      </c>
      <c r="AK60">
        <f>IF(Week&gt;=C$1,INDEX(Finals!$I$1:$I$501,C60),INDEX('D Proj'!$N$1:$N$513,C60))</f>
        <v>0</v>
      </c>
      <c r="AL60">
        <f>IF(Week&gt;=D$1,INDEX(Finals!$I$1:$I$501,D60),INDEX('D Proj'!$N$1:$N$513,D60))</f>
        <v>0</v>
      </c>
      <c r="AM60">
        <f>IF(Week&gt;=E$1,INDEX(Finals!$I$1:$I$501,E60),INDEX('D Proj'!$N$1:$N$513,E60))</f>
        <v>0</v>
      </c>
      <c r="AN60">
        <f>IF(Week&gt;=F$1,INDEX(Finals!$I$1:$I$501,F60),INDEX('D Proj'!$N$1:$N$513,F60))</f>
        <v>0</v>
      </c>
      <c r="AO60">
        <f>IF(Week&gt;=G$1,INDEX(Finals!$I$1:$I$501,G60),INDEX('D Proj'!$N$1:$N$513,G60))</f>
        <v>27.2484</v>
      </c>
      <c r="AP60">
        <f>IF(Week&gt;=H$1,INDEX(Finals!$I$1:$I$501,H60),INDEX('D Proj'!$N$1:$N$513,H60))</f>
        <v>40.7044</v>
      </c>
      <c r="AQ60">
        <f>IF(Week&gt;=I$1,INDEX(Finals!$I$1:$I$501,I60),INDEX('D Proj'!$N$1:$N$513,I60))</f>
        <v>40.576900000000002</v>
      </c>
      <c r="AR60">
        <f>IF(Week&gt;=J$1,INDEX(Finals!$I$1:$I$501,J60),INDEX('D Proj'!$N$1:$N$513,J60))</f>
        <v>38.192399999999999</v>
      </c>
      <c r="AS60">
        <f>IF(Week&gt;=K$1,INDEX(Finals!$I$1:$I$501,K60),INDEX('D Proj'!$N$1:$N$513,K60))</f>
        <v>35.521599999999999</v>
      </c>
      <c r="AT60">
        <f>IF(Week&gt;=L$1,INDEX(Finals!$I$1:$I$501,L60),INDEX('D Proj'!$N$1:$N$513,L60))</f>
        <v>20.520900000000001</v>
      </c>
      <c r="AU60">
        <f>IF(Week&gt;=M$1,INDEX(Finals!$I$1:$I$501,M60),INDEX('D Proj'!$N$1:$N$513,M60))</f>
        <v>31.024899999999999</v>
      </c>
      <c r="AV60">
        <f>IF(Week&gt;=N$1,INDEX(Finals!$I$1:$I$501,N60),INDEX('D Proj'!$N$1:$N$513,N60))</f>
        <v>40.7044</v>
      </c>
      <c r="AW60">
        <f>IF(Week&gt;=O$1,INDEX(Finals!$I$1:$I$501,O60),INDEX('D Proj'!$N$1:$N$513,O60))</f>
        <v>37.945599999999999</v>
      </c>
      <c r="AX60">
        <f>IF(Week&gt;=P$1,INDEX(Finals!$I$1:$I$501,P60),INDEX('D Proj'!$N$1:$N$513,P60))</f>
        <v>20.520900000000001</v>
      </c>
      <c r="AY60">
        <f>IF(Week&gt;=Q$1,INDEX(Finals!$I$1:$I$501,Q60),INDEX('D Proj'!$N$1:$N$513,Q60))</f>
        <v>21.808900000000001</v>
      </c>
      <c r="AZ60">
        <f>IF(Week&gt;=R$1,INDEX(Finals!$I$1:$I$501,R60),INDEX('D Proj'!$N$1:$N$513,R60))</f>
        <v>43.296399999999998</v>
      </c>
      <c r="BA60">
        <f>IF(Week&gt;=S$1,INDEX(Finals!$I$1:$I$501,S60),INDEX('D Proj'!$N$1:$N$513,S60))</f>
        <v>37.945599999999999</v>
      </c>
    </row>
    <row r="61" spans="1:53" x14ac:dyDescent="0.25">
      <c r="A61" t="s">
        <v>27</v>
      </c>
      <c r="B61" t="s">
        <v>478</v>
      </c>
      <c r="C61">
        <f>IF(Week&gt;=C$1,MATCH($A61&amp;"-"&amp;C$1&amp;$B61,Finals!$J$1:$J$501,0),IFERROR(MATCH($A61&amp;C$1,'K Proj'!$R$1:$R$508,0),MATCH("NA"&amp;C$1,'K Proj'!$R$1:$R$508,0)))</f>
        <v>442</v>
      </c>
      <c r="D61">
        <f>IF(Week&gt;=D$1,MATCH($A61&amp;"-"&amp;D$1&amp;$B61,Finals!$J$1:$J$501,0),IFERROR(MATCH($A61&amp;D$1,'K Proj'!$R$1:$R$508,0),MATCH("NA"&amp;D$1,'K Proj'!$R$1:$R$508,0)))</f>
        <v>443</v>
      </c>
      <c r="E61">
        <f>IF(Week&gt;=E$1,MATCH($A61&amp;"-"&amp;E$1&amp;$B61,Finals!$J$1:$J$501,0),IFERROR(MATCH($A61&amp;E$1,'K Proj'!$R$1:$R$508,0),MATCH("NA"&amp;E$1,'K Proj'!$R$1:$R$508,0)))</f>
        <v>444</v>
      </c>
      <c r="F61">
        <f>IF(Week&gt;=F$1,MATCH($A61&amp;"-"&amp;F$1&amp;$B61,Finals!$J$1:$J$501,0),IFERROR(MATCH($A61&amp;F$1,'K Proj'!$R$1:$R$508,0),MATCH("NA"&amp;F$1,'K Proj'!$R$1:$R$508,0)))</f>
        <v>445</v>
      </c>
      <c r="G61">
        <f>IF(Week&gt;=G$1,MATCH($A61&amp;"-"&amp;G$1&amp;$B61,Finals!$J$1:$J$501,0),IFERROR(MATCH($A61&amp;G$1,'K Proj'!$R$1:$R$508,0),MATCH("NA"&amp;G$1,'K Proj'!$R$1:$R$508,0)))</f>
        <v>446</v>
      </c>
      <c r="H61">
        <f>IF(Week&gt;=H$1,MATCH($A61&amp;"-"&amp;H$1&amp;$B61,Finals!$J$1:$J$501,0),IFERROR(MATCH($A61&amp;H$1,'K Proj'!$R$1:$R$508,0),MATCH("NA"&amp;H$1,'K Proj'!$R$1:$R$508,0)))</f>
        <v>17</v>
      </c>
      <c r="I61">
        <f>IF(Week&gt;=I$1,MATCH($A61&amp;"-"&amp;I$1&amp;$B61,Finals!$J$1:$J$501,0),IFERROR(MATCH($A61&amp;I$1,'K Proj'!$R$1:$R$508,0),MATCH("NA"&amp;I$1,'K Proj'!$R$1:$R$508,0)))</f>
        <v>133</v>
      </c>
      <c r="J61">
        <f>IF(Week&gt;=J$1,MATCH($A61&amp;"-"&amp;J$1&amp;$B61,Finals!$J$1:$J$501,0),IFERROR(MATCH($A61&amp;J$1,'K Proj'!$R$1:$R$508,0),MATCH("NA"&amp;J$1,'K Proj'!$R$1:$R$508,0)))</f>
        <v>107</v>
      </c>
      <c r="K61">
        <f>IF(Week&gt;=K$1,MATCH($A61&amp;"-"&amp;K$1&amp;$B61,Finals!$J$1:$J$501,0),IFERROR(MATCH($A61&amp;K$1,'K Proj'!$R$1:$R$508,0),MATCH("NA"&amp;K$1,'K Proj'!$R$1:$R$508,0)))</f>
        <v>15</v>
      </c>
      <c r="L61">
        <f>IF(Week&gt;=L$1,MATCH($A61&amp;"-"&amp;L$1&amp;$B61,Finals!$J$1:$J$501,0),IFERROR(MATCH($A61&amp;L$1,'K Proj'!$R$1:$R$508,0),MATCH("NA"&amp;L$1,'K Proj'!$R$1:$R$508,0)))</f>
        <v>304</v>
      </c>
      <c r="M61">
        <f>IF(Week&gt;=M$1,MATCH($A61&amp;"-"&amp;M$1&amp;$B61,Finals!$J$1:$J$501,0),IFERROR(MATCH($A61&amp;M$1,'K Proj'!$R$1:$R$508,0),MATCH("NA"&amp;M$1,'K Proj'!$R$1:$R$508,0)))</f>
        <v>40</v>
      </c>
      <c r="N61">
        <f>IF(Week&gt;=N$1,MATCH($A61&amp;"-"&amp;N$1&amp;$B61,Finals!$J$1:$J$501,0),IFERROR(MATCH($A61&amp;N$1,'K Proj'!$R$1:$R$508,0),MATCH("NA"&amp;N$1,'K Proj'!$R$1:$R$508,0)))</f>
        <v>167</v>
      </c>
      <c r="O61">
        <f>IF(Week&gt;=O$1,MATCH($A61&amp;"-"&amp;O$1&amp;$B61,Finals!$J$1:$J$501,0),IFERROR(MATCH($A61&amp;O$1,'K Proj'!$R$1:$R$508,0),MATCH("NA"&amp;O$1,'K Proj'!$R$1:$R$508,0)))</f>
        <v>105</v>
      </c>
      <c r="P61">
        <f>IF(Week&gt;=P$1,MATCH($A61&amp;"-"&amp;P$1&amp;$B61,Finals!$J$1:$J$501,0),IFERROR(MATCH($A61&amp;P$1,'K Proj'!$R$1:$R$508,0),MATCH("NA"&amp;P$1,'K Proj'!$R$1:$R$508,0)))</f>
        <v>85</v>
      </c>
      <c r="Q61">
        <f>IF(Week&gt;=Q$1,MATCH($A61&amp;"-"&amp;Q$1&amp;$B61,Finals!$J$1:$J$501,0),IFERROR(MATCH($A61&amp;Q$1,'K Proj'!$R$1:$R$508,0),MATCH("NA"&amp;Q$1,'K Proj'!$R$1:$R$508,0)))</f>
        <v>77</v>
      </c>
      <c r="R61">
        <f>IF(Week&gt;=R$1,MATCH($A61&amp;"-"&amp;R$1&amp;$B61,Finals!$J$1:$J$501,0),IFERROR(MATCH($A61&amp;R$1,'K Proj'!$R$1:$R$508,0),MATCH("NA"&amp;R$1,'K Proj'!$R$1:$R$508,0)))</f>
        <v>56</v>
      </c>
      <c r="S61">
        <f>IF(Week&gt;=S$1,MATCH($A61&amp;"-"&amp;S$1&amp;$B61,Finals!$J$1:$J$501,0),IFERROR(MATCH($A61&amp;S$1,'K Proj'!$R$1:$R$508,0),MATCH("NA"&amp;S$1,'K Proj'!$R$1:$R$508,0)))</f>
        <v>106</v>
      </c>
      <c r="T61">
        <f>IF(Week&gt;=C$1,INDEX(Finals!$G$1:$G$501,C61),INDEX('K Proj'!$L$1:$L$508,C61))</f>
        <v>9</v>
      </c>
      <c r="U61">
        <f>IF(Week&gt;=D$1,INDEX(Finals!$G$1:$G$501,D61),INDEX('K Proj'!$L$1:$L$508,D61))</f>
        <v>6</v>
      </c>
      <c r="V61">
        <f>IF(Week&gt;=E$1,INDEX(Finals!$G$1:$G$501,E61),INDEX('K Proj'!$L$1:$L$508,E61))</f>
        <v>4</v>
      </c>
      <c r="W61">
        <f>IF(Week&gt;=F$1,INDEX(Finals!$G$1:$G$501,F61),INDEX('K Proj'!$L$1:$L$508,F61))</f>
        <v>8</v>
      </c>
      <c r="X61">
        <f>IF(Week&gt;=G$1,INDEX(Finals!$G$1:$G$501,G61),INDEX('K Proj'!$L$1:$L$508,G61))</f>
        <v>9</v>
      </c>
      <c r="Y61">
        <f>IF(Week&gt;=H$1,INDEX(Finals!$G$1:$G$501,H61),INDEX('K Proj'!$L$1:$L$508,H61))</f>
        <v>8.8800000000000008</v>
      </c>
      <c r="Z61">
        <f>IF(Week&gt;=I$1,INDEX(Finals!$G$1:$G$501,I61),INDEX('K Proj'!$L$1:$L$508,I61))</f>
        <v>7.71</v>
      </c>
      <c r="AA61">
        <f>IF(Week&gt;=J$1,INDEX(Finals!$G$1:$G$501,J61),INDEX('K Proj'!$L$1:$L$508,J61))</f>
        <v>7.93</v>
      </c>
      <c r="AB61">
        <f>IF(Week&gt;=K$1,INDEX(Finals!$G$1:$G$501,K61),INDEX('K Proj'!$L$1:$L$508,K61))</f>
        <v>9.02</v>
      </c>
      <c r="AC61">
        <f>IF(Week&gt;=L$1,INDEX(Finals!$G$1:$G$501,L61),INDEX('K Proj'!$L$1:$L$508,L61))</f>
        <v>6.88</v>
      </c>
      <c r="AD61">
        <f>IF(Week&gt;=M$1,INDEX(Finals!$G$1:$G$501,M61),INDEX('K Proj'!$L$1:$L$508,M61))</f>
        <v>8.5</v>
      </c>
      <c r="AE61">
        <f>IF(Week&gt;=N$1,INDEX(Finals!$G$1:$G$501,N61),INDEX('K Proj'!$L$1:$L$508,N61))</f>
        <v>7.5</v>
      </c>
      <c r="AF61">
        <f>IF(Week&gt;=O$1,INDEX(Finals!$G$1:$G$501,O61),INDEX('K Proj'!$L$1:$L$508,O61))</f>
        <v>7.95</v>
      </c>
      <c r="AG61">
        <f>IF(Week&gt;=P$1,INDEX(Finals!$G$1:$G$501,P61),INDEX('K Proj'!$L$1:$L$508,P61))</f>
        <v>8.11</v>
      </c>
      <c r="AH61">
        <f>IF(Week&gt;=Q$1,INDEX(Finals!$G$1:$G$501,Q61),INDEX('K Proj'!$L$1:$L$508,Q61))</f>
        <v>8.18</v>
      </c>
      <c r="AI61">
        <f>IF(Week&gt;=R$1,INDEX(Finals!$G$1:$G$501,R61),INDEX('K Proj'!$L$1:$L$508,R61))</f>
        <v>8.39</v>
      </c>
      <c r="AJ61">
        <f>IF(Week&gt;=S$1,INDEX(Finals!$G$1:$G$501,S61),INDEX('K Proj'!$L$1:$L$508,S61))</f>
        <v>7.95</v>
      </c>
      <c r="AK61">
        <f>IF(Week&gt;=C$1,INDEX(Finals!$I$1:$I$501,C61),INDEX('K Proj'!$P$1:$P$508,C61))</f>
        <v>0</v>
      </c>
      <c r="AL61">
        <f>IF(Week&gt;=D$1,INDEX(Finals!$I$1:$I$501,D61),INDEX('K Proj'!$P$1:$P$508,D61))</f>
        <v>0</v>
      </c>
      <c r="AM61">
        <f>IF(Week&gt;=E$1,INDEX(Finals!$I$1:$I$501,E61),INDEX('K Proj'!$P$1:$P$508,E61))</f>
        <v>0</v>
      </c>
      <c r="AN61">
        <f>IF(Week&gt;=F$1,INDEX(Finals!$I$1:$I$501,F61),INDEX('K Proj'!$P$1:$P$508,F61))</f>
        <v>0</v>
      </c>
      <c r="AO61">
        <f>IF(Week&gt;=G$1,INDEX(Finals!$I$1:$I$501,G61),INDEX('K Proj'!$P$1:$P$508,G61))</f>
        <v>0</v>
      </c>
      <c r="AP61">
        <f>IF(Week&gt;=H$1,INDEX(Finals!$I$1:$I$501,H61),INDEX('K Proj'!$P$1:$P$508,H61))</f>
        <v>17.7241</v>
      </c>
      <c r="AQ61">
        <f>IF(Week&gt;=I$1,INDEX(Finals!$I$1:$I$501,I61),INDEX('K Proj'!$P$1:$P$508,I61))</f>
        <v>19.4481</v>
      </c>
      <c r="AR61">
        <f>IF(Week&gt;=J$1,INDEX(Finals!$I$1:$I$501,J61),INDEX('K Proj'!$P$1:$P$508,J61))</f>
        <v>18.147600000000001</v>
      </c>
      <c r="AS61">
        <f>IF(Week&gt;=K$1,INDEX(Finals!$I$1:$I$501,K61),INDEX('K Proj'!$P$1:$P$508,K61))</f>
        <v>17.305599999999998</v>
      </c>
      <c r="AT61">
        <f>IF(Week&gt;=L$1,INDEX(Finals!$I$1:$I$501,L61),INDEX('K Proj'!$P$1:$P$508,L61))</f>
        <v>15.5236</v>
      </c>
      <c r="AU61">
        <f>IF(Week&gt;=M$1,INDEX(Finals!$I$1:$I$501,M61),INDEX('K Proj'!$P$1:$P$508,M61))</f>
        <v>17.305599999999998</v>
      </c>
      <c r="AV61">
        <f>IF(Week&gt;=N$1,INDEX(Finals!$I$1:$I$501,N61),INDEX('K Proj'!$P$1:$P$508,N61))</f>
        <v>18.835599999999999</v>
      </c>
      <c r="AW61">
        <f>IF(Week&gt;=O$1,INDEX(Finals!$I$1:$I$501,O61),INDEX('K Proj'!$P$1:$P$508,O61))</f>
        <v>23.232399999999998</v>
      </c>
      <c r="AX61">
        <f>IF(Week&gt;=P$1,INDEX(Finals!$I$1:$I$501,P61),INDEX('K Proj'!$P$1:$P$508,P61))</f>
        <v>16.6464</v>
      </c>
      <c r="AY61">
        <f>IF(Week&gt;=Q$1,INDEX(Finals!$I$1:$I$501,Q61),INDEX('K Proj'!$P$1:$P$508,Q61))</f>
        <v>17.977599999999999</v>
      </c>
      <c r="AZ61">
        <f>IF(Week&gt;=R$1,INDEX(Finals!$I$1:$I$501,R61),INDEX('K Proj'!$P$1:$P$508,R61))</f>
        <v>20.3401</v>
      </c>
      <c r="BA61">
        <f>IF(Week&gt;=S$1,INDEX(Finals!$I$1:$I$501,S61),INDEX('K Proj'!$P$1:$P$508,S61))</f>
        <v>21.068100000000001</v>
      </c>
    </row>
    <row r="62" spans="1:53" x14ac:dyDescent="0.25">
      <c r="A62" t="s">
        <v>62</v>
      </c>
      <c r="B62" t="s">
        <v>467</v>
      </c>
      <c r="C62">
        <f>IF(Week&gt;=C$1,MATCH($A62&amp;"-"&amp;C$1&amp;$B62,Finals!$J$1:$J$501,0),IFERROR(MATCH($A62&amp;C$1&amp;$B62,'F Proj'!$N$1:$N$7669,0),MATCH("NA"&amp;C$1&amp;$B62,'F Proj'!$N$1:$N$7669,0)))</f>
        <v>121</v>
      </c>
      <c r="D62">
        <f>IF(Week&gt;=D$1,MATCH($A62&amp;"-"&amp;D$1&amp;$B62,Finals!$J$1:$J$501,0),IFERROR(MATCH($A62&amp;D$1&amp;$B62,'F Proj'!$N$1:$N$7669,0),MATCH("NA"&amp;D$1&amp;$B62,'F Proj'!$N$1:$N$7669,0)))</f>
        <v>122</v>
      </c>
      <c r="E62">
        <f>IF(Week&gt;=E$1,MATCH($A62&amp;"-"&amp;E$1&amp;$B62,Finals!$J$1:$J$501,0),IFERROR(MATCH($A62&amp;E$1&amp;$B62,'F Proj'!$N$1:$N$7669,0),MATCH("NA"&amp;E$1&amp;$B62,'F Proj'!$N$1:$N$7669,0)))</f>
        <v>123</v>
      </c>
      <c r="F62">
        <f>IF(Week&gt;=F$1,MATCH($A62&amp;"-"&amp;F$1&amp;$B62,Finals!$J$1:$J$501,0),IFERROR(MATCH($A62&amp;F$1&amp;$B62,'F Proj'!$N$1:$N$7669,0),MATCH("NA"&amp;F$1&amp;$B62,'F Proj'!$N$1:$N$7669,0)))</f>
        <v>124</v>
      </c>
      <c r="G62">
        <f>IF(Week&gt;=G$1,MATCH($A62&amp;"-"&amp;G$1&amp;$B62,Finals!$J$1:$J$501,0),IFERROR(MATCH($A62&amp;G$1&amp;$B62,'F Proj'!$N$1:$N$7669,0),MATCH("NA"&amp;G$1&amp;$B62,'F Proj'!$N$1:$N$7669,0)))</f>
        <v>125</v>
      </c>
      <c r="H62">
        <f>IF(Week&gt;=H$1,MATCH($A62&amp;"-"&amp;H$1&amp;$B62,Finals!$J$1:$J$501,0),IFERROR(MATCH($A62&amp;H$1&amp;$B62,'F Proj'!$N$1:$N$7669,0),MATCH("NA"&amp;H$1&amp;$B62,'F Proj'!$N$1:$N$7669,0)))</f>
        <v>96</v>
      </c>
      <c r="I62">
        <f>IF(Week&gt;=I$1,MATCH($A62&amp;"-"&amp;I$1&amp;$B62,Finals!$J$1:$J$501,0),IFERROR(MATCH($A62&amp;I$1&amp;$B62,'F Proj'!$N$1:$N$7669,0),MATCH("NA"&amp;I$1&amp;$B62,'F Proj'!$N$1:$N$7669,0)))</f>
        <v>341</v>
      </c>
      <c r="J62">
        <f>IF(Week&gt;=J$1,MATCH($A62&amp;"-"&amp;J$1&amp;$B62,Finals!$J$1:$J$501,0),IFERROR(MATCH($A62&amp;J$1&amp;$B62,'F Proj'!$N$1:$N$7669,0),MATCH("NA"&amp;J$1&amp;$B62,'F Proj'!$N$1:$N$7669,0)))</f>
        <v>28</v>
      </c>
      <c r="K62">
        <f>IF(Week&gt;=K$1,MATCH($A62&amp;"-"&amp;K$1&amp;$B62,Finals!$J$1:$J$501,0),IFERROR(MATCH($A62&amp;K$1&amp;$B62,'F Proj'!$N$1:$N$7669,0),MATCH("NA"&amp;K$1&amp;$B62,'F Proj'!$N$1:$N$7669,0)))</f>
        <v>154</v>
      </c>
      <c r="L62">
        <f>IF(Week&gt;=L$1,MATCH($A62&amp;"-"&amp;L$1&amp;$B62,Finals!$J$1:$J$501,0),IFERROR(MATCH($A62&amp;L$1&amp;$B62,'F Proj'!$N$1:$N$7669,0),MATCH("NA"&amp;L$1&amp;$B62,'F Proj'!$N$1:$N$7669,0)))</f>
        <v>118</v>
      </c>
      <c r="M62">
        <f>IF(Week&gt;=M$1,MATCH($A62&amp;"-"&amp;M$1&amp;$B62,Finals!$J$1:$J$501,0),IFERROR(MATCH($A62&amp;M$1&amp;$B62,'F Proj'!$N$1:$N$7669,0),MATCH("NA"&amp;M$1&amp;$B62,'F Proj'!$N$1:$N$7669,0)))</f>
        <v>320</v>
      </c>
      <c r="N62">
        <f>IF(Week&gt;=N$1,MATCH($A62&amp;"-"&amp;N$1&amp;$B62,Finals!$J$1:$J$501,0),IFERROR(MATCH($A62&amp;N$1&amp;$B62,'F Proj'!$N$1:$N$7669,0),MATCH("NA"&amp;N$1&amp;$B62,'F Proj'!$N$1:$N$7669,0)))</f>
        <v>8</v>
      </c>
      <c r="O62">
        <f>IF(Week&gt;=O$1,MATCH($A62&amp;"-"&amp;O$1&amp;$B62,Finals!$J$1:$J$501,0),IFERROR(MATCH($A62&amp;O$1&amp;$B62,'F Proj'!$N$1:$N$7669,0),MATCH("NA"&amp;O$1&amp;$B62,'F Proj'!$N$1:$N$7669,0)))</f>
        <v>65</v>
      </c>
      <c r="P62">
        <f>IF(Week&gt;=P$1,MATCH($A62&amp;"-"&amp;P$1&amp;$B62,Finals!$J$1:$J$501,0),IFERROR(MATCH($A62&amp;P$1&amp;$B62,'F Proj'!$N$1:$N$7669,0),MATCH("NA"&amp;P$1&amp;$B62,'F Proj'!$N$1:$N$7669,0)))</f>
        <v>16</v>
      </c>
      <c r="Q62">
        <f>IF(Week&gt;=Q$1,MATCH($A62&amp;"-"&amp;Q$1&amp;$B62,Finals!$J$1:$J$501,0),IFERROR(MATCH($A62&amp;Q$1&amp;$B62,'F Proj'!$N$1:$N$7669,0),MATCH("NA"&amp;Q$1&amp;$B62,'F Proj'!$N$1:$N$7669,0)))</f>
        <v>169</v>
      </c>
      <c r="R62">
        <f>IF(Week&gt;=R$1,MATCH($A62&amp;"-"&amp;R$1&amp;$B62,Finals!$J$1:$J$501,0),IFERROR(MATCH($A62&amp;R$1&amp;$B62,'F Proj'!$N$1:$N$7669,0),MATCH("NA"&amp;R$1&amp;$B62,'F Proj'!$N$1:$N$7669,0)))</f>
        <v>245</v>
      </c>
      <c r="S62">
        <f>IF(Week&gt;=S$1,MATCH($A62&amp;"-"&amp;S$1&amp;$B62,Finals!$J$1:$J$501,0),IFERROR(MATCH($A62&amp;S$1&amp;$B62,'F Proj'!$N$1:$N$7669,0),MATCH("NA"&amp;S$1&amp;$B62,'F Proj'!$N$1:$N$7669,0)))</f>
        <v>274</v>
      </c>
      <c r="T62">
        <f>IF(Week&gt;=C$1,INDEX(Finals!$G$1:$G$501,C62),INDEX('F Proj'!$D$1:$D$7669,C62))</f>
        <v>11</v>
      </c>
      <c r="U62">
        <f>IF(Week&gt;=D$1,INDEX(Finals!$G$1:$G$501,D62),INDEX('F Proj'!$D$1:$D$7669,D62))</f>
        <v>22.8</v>
      </c>
      <c r="V62">
        <f>IF(Week&gt;=E$1,INDEX(Finals!$G$1:$G$501,E62),INDEX('F Proj'!$D$1:$D$7669,E62))</f>
        <v>25</v>
      </c>
      <c r="W62">
        <f>IF(Week&gt;=F$1,INDEX(Finals!$G$1:$G$501,F62),INDEX('F Proj'!$D$1:$D$7669,F62))</f>
        <v>31.1</v>
      </c>
      <c r="X62">
        <f>IF(Week&gt;=G$1,INDEX(Finals!$G$1:$G$501,G62),INDEX('F Proj'!$D$1:$D$7669,G62))</f>
        <v>23.21</v>
      </c>
      <c r="Y62">
        <f>IF(Week&gt;=H$1,INDEX(Finals!$G$1:$G$501,H62),INDEX('F Proj'!$D$1:$D$7669,H62))</f>
        <v>20.74</v>
      </c>
      <c r="Z62">
        <f>IF(Week&gt;=I$1,INDEX(Finals!$G$1:$G$501,I62),INDEX('F Proj'!$D$1:$D$7669,I62))</f>
        <v>16.97</v>
      </c>
      <c r="AA62">
        <f>IF(Week&gt;=J$1,INDEX(Finals!$G$1:$G$501,J62),INDEX('F Proj'!$D$1:$D$7669,J62))</f>
        <v>22.91</v>
      </c>
      <c r="AB62">
        <f>IF(Week&gt;=K$1,INDEX(Finals!$G$1:$G$501,K62),INDEX('F Proj'!$D$1:$D$7669,K62))</f>
        <v>19.79</v>
      </c>
      <c r="AC62">
        <f>IF(Week&gt;=L$1,INDEX(Finals!$G$1:$G$501,L62),INDEX('F Proj'!$D$1:$D$7669,L62))</f>
        <v>20.29</v>
      </c>
      <c r="AD62">
        <f>IF(Week&gt;=M$1,INDEX(Finals!$G$1:$G$501,M62),INDEX('F Proj'!$D$1:$D$7669,M62))</f>
        <v>17.260000000000002</v>
      </c>
      <c r="AE62">
        <f>IF(Week&gt;=N$1,INDEX(Finals!$G$1:$G$501,N62),INDEX('F Proj'!$D$1:$D$7669,N62))</f>
        <v>24.42</v>
      </c>
      <c r="AF62">
        <f>IF(Week&gt;=O$1,INDEX(Finals!$G$1:$G$501,O62),INDEX('F Proj'!$D$1:$D$7669,O62))</f>
        <v>21.42</v>
      </c>
      <c r="AG62">
        <f>IF(Week&gt;=P$1,INDEX(Finals!$G$1:$G$501,P62),INDEX('F Proj'!$D$1:$D$7669,P62))</f>
        <v>23.59</v>
      </c>
      <c r="AH62">
        <f>IF(Week&gt;=Q$1,INDEX(Finals!$G$1:$G$501,Q62),INDEX('F Proj'!$D$1:$D$7669,Q62))</f>
        <v>19.55</v>
      </c>
      <c r="AI62">
        <f>IF(Week&gt;=R$1,INDEX(Finals!$G$1:$G$501,R62),INDEX('F Proj'!$D$1:$D$7669,R62))</f>
        <v>18.5</v>
      </c>
      <c r="AJ62">
        <f>IF(Week&gt;=S$1,INDEX(Finals!$G$1:$G$501,S62),INDEX('F Proj'!$D$1:$D$7669,S62))</f>
        <v>18.059999999999999</v>
      </c>
      <c r="AK62">
        <f>IF(Week&gt;=C$1,INDEX(Finals!$I$1:$I$501,C62),INDEX('F Proj'!$J$1:$J$7669,C62))</f>
        <v>0</v>
      </c>
      <c r="AL62">
        <f>IF(Week&gt;=D$1,INDEX(Finals!$I$1:$I$501,D62),INDEX('F Proj'!$J$1:$J$7669,D62))</f>
        <v>0</v>
      </c>
      <c r="AM62">
        <f>IF(Week&gt;=E$1,INDEX(Finals!$I$1:$I$501,E62),INDEX('F Proj'!$J$1:$J$7669,E62))</f>
        <v>0</v>
      </c>
      <c r="AN62">
        <f>IF(Week&gt;=F$1,INDEX(Finals!$I$1:$I$501,F62),INDEX('F Proj'!$J$1:$J$7669,F62))</f>
        <v>0</v>
      </c>
      <c r="AO62">
        <f>IF(Week&gt;=G$1,INDEX(Finals!$I$1:$I$501,G62),INDEX('F Proj'!$J$1:$J$7669,G62))</f>
        <v>72.080100000000002</v>
      </c>
      <c r="AP62">
        <f>IF(Week&gt;=H$1,INDEX(Finals!$I$1:$I$501,H62),INDEX('F Proj'!$J$1:$J$7669,H62))</f>
        <v>42.771599999999999</v>
      </c>
      <c r="AQ62">
        <f>IF(Week&gt;=I$1,INDEX(Finals!$I$1:$I$501,I62),INDEX('F Proj'!$J$1:$J$7669,I62))</f>
        <v>41.088099999999997</v>
      </c>
      <c r="AR62">
        <f>IF(Week&gt;=J$1,INDEX(Finals!$I$1:$I$501,J62),INDEX('F Proj'!$J$1:$J$7669,J62))</f>
        <v>77.088399999999993</v>
      </c>
      <c r="AS62">
        <f>IF(Week&gt;=K$1,INDEX(Finals!$I$1:$I$501,K62),INDEX('F Proj'!$J$1:$J$7669,K62))</f>
        <v>70.56</v>
      </c>
      <c r="AT62">
        <f>IF(Week&gt;=L$1,INDEX(Finals!$I$1:$I$501,L62),INDEX('F Proj'!$J$1:$J$7669,L62))</f>
        <v>51.408900000000003</v>
      </c>
      <c r="AU62">
        <f>IF(Week&gt;=M$1,INDEX(Finals!$I$1:$I$501,M62),INDEX('F Proj'!$J$1:$J$7669,M62))</f>
        <v>56.550400000000003</v>
      </c>
      <c r="AV62">
        <f>IF(Week&gt;=N$1,INDEX(Finals!$I$1:$I$501,N62),INDEX('F Proj'!$J$1:$J$7669,N62))</f>
        <v>88.548100000000005</v>
      </c>
      <c r="AW62">
        <f>IF(Week&gt;=O$1,INDEX(Finals!$I$1:$I$501,O62),INDEX('F Proj'!$J$1:$J$7669,O62))</f>
        <v>66.422499999999999</v>
      </c>
      <c r="AX62">
        <f>IF(Week&gt;=P$1,INDEX(Finals!$I$1:$I$501,P62),INDEX('F Proj'!$J$1:$J$7669,P62))</f>
        <v>79.209999999999994</v>
      </c>
      <c r="AY62">
        <f>IF(Week&gt;=Q$1,INDEX(Finals!$I$1:$I$501,Q62),INDEX('F Proj'!$J$1:$J$7669,Q62))</f>
        <v>72.420100000000005</v>
      </c>
      <c r="AZ62">
        <f>IF(Week&gt;=R$1,INDEX(Finals!$I$1:$I$501,R62),INDEX('F Proj'!$J$1:$J$7669,R62))</f>
        <v>53.5824</v>
      </c>
      <c r="BA62">
        <f>IF(Week&gt;=S$1,INDEX(Finals!$I$1:$I$501,S62),INDEX('F Proj'!$J$1:$J$7669,S62))</f>
        <v>41.088099999999997</v>
      </c>
    </row>
    <row r="63" spans="1:53" x14ac:dyDescent="0.25">
      <c r="A63" t="s">
        <v>62</v>
      </c>
      <c r="B63" t="s">
        <v>468</v>
      </c>
      <c r="C63">
        <f>IF(Week&gt;=C$1,MATCH($A63&amp;"-"&amp;C$1&amp;$B63,Finals!$J$1:$J$501,0),IFERROR(MATCH($A63&amp;C$1&amp;$B63,'F Proj'!$N$1:$N$7669,0),MATCH("NA"&amp;C$1&amp;$B63,'F Proj'!$N$1:$N$7669,0)))</f>
        <v>367</v>
      </c>
      <c r="D63">
        <f>IF(Week&gt;=D$1,MATCH($A63&amp;"-"&amp;D$1&amp;$B63,Finals!$J$1:$J$501,0),IFERROR(MATCH($A63&amp;D$1&amp;$B63,'F Proj'!$N$1:$N$7669,0),MATCH("NA"&amp;D$1&amp;$B63,'F Proj'!$N$1:$N$7669,0)))</f>
        <v>368</v>
      </c>
      <c r="E63">
        <f>IF(Week&gt;=E$1,MATCH($A63&amp;"-"&amp;E$1&amp;$B63,Finals!$J$1:$J$501,0),IFERROR(MATCH($A63&amp;E$1&amp;$B63,'F Proj'!$N$1:$N$7669,0),MATCH("NA"&amp;E$1&amp;$B63,'F Proj'!$N$1:$N$7669,0)))</f>
        <v>369</v>
      </c>
      <c r="F63">
        <f>IF(Week&gt;=F$1,MATCH($A63&amp;"-"&amp;F$1&amp;$B63,Finals!$J$1:$J$501,0),IFERROR(MATCH($A63&amp;F$1&amp;$B63,'F Proj'!$N$1:$N$7669,0),MATCH("NA"&amp;F$1&amp;$B63,'F Proj'!$N$1:$N$7669,0)))</f>
        <v>370</v>
      </c>
      <c r="G63">
        <f>IF(Week&gt;=G$1,MATCH($A63&amp;"-"&amp;G$1&amp;$B63,Finals!$J$1:$J$501,0),IFERROR(MATCH($A63&amp;G$1&amp;$B63,'F Proj'!$N$1:$N$7669,0),MATCH("NA"&amp;G$1&amp;$B63,'F Proj'!$N$1:$N$7669,0)))</f>
        <v>371</v>
      </c>
      <c r="H63">
        <f>IF(Week&gt;=H$1,MATCH($A63&amp;"-"&amp;H$1&amp;$B63,Finals!$J$1:$J$501,0),IFERROR(MATCH($A63&amp;H$1&amp;$B63,'F Proj'!$N$1:$N$7669,0),MATCH("NA"&amp;H$1&amp;$B63,'F Proj'!$N$1:$N$7669,0)))</f>
        <v>264</v>
      </c>
      <c r="I63">
        <f>IF(Week&gt;=I$1,MATCH($A63&amp;"-"&amp;I$1&amp;$B63,Finals!$J$1:$J$501,0),IFERROR(MATCH($A63&amp;I$1&amp;$B63,'F Proj'!$N$1:$N$7669,0),MATCH("NA"&amp;I$1&amp;$B63,'F Proj'!$N$1:$N$7669,0)))</f>
        <v>266</v>
      </c>
      <c r="J63">
        <f>IF(Week&gt;=J$1,MATCH($A63&amp;"-"&amp;J$1&amp;$B63,Finals!$J$1:$J$501,0),IFERROR(MATCH($A63&amp;J$1&amp;$B63,'F Proj'!$N$1:$N$7669,0),MATCH("NA"&amp;J$1&amp;$B63,'F Proj'!$N$1:$N$7669,0)))</f>
        <v>132</v>
      </c>
      <c r="K63">
        <f>IF(Week&gt;=K$1,MATCH($A63&amp;"-"&amp;K$1&amp;$B63,Finals!$J$1:$J$501,0),IFERROR(MATCH($A63&amp;K$1&amp;$B63,'F Proj'!$N$1:$N$7669,0),MATCH("NA"&amp;K$1&amp;$B63,'F Proj'!$N$1:$N$7669,0)))</f>
        <v>220</v>
      </c>
      <c r="L63">
        <f>IF(Week&gt;=L$1,MATCH($A63&amp;"-"&amp;L$1&amp;$B63,Finals!$J$1:$J$501,0),IFERROR(MATCH($A63&amp;L$1&amp;$B63,'F Proj'!$N$1:$N$7669,0),MATCH("NA"&amp;L$1&amp;$B63,'F Proj'!$N$1:$N$7669,0)))</f>
        <v>136</v>
      </c>
      <c r="M63">
        <f>IF(Week&gt;=M$1,MATCH($A63&amp;"-"&amp;M$1&amp;$B63,Finals!$J$1:$J$501,0),IFERROR(MATCH($A63&amp;M$1&amp;$B63,'F Proj'!$N$1:$N$7669,0),MATCH("NA"&amp;M$1&amp;$B63,'F Proj'!$N$1:$N$7669,0)))</f>
        <v>5</v>
      </c>
      <c r="N63">
        <f>IF(Week&gt;=N$1,MATCH($A63&amp;"-"&amp;N$1&amp;$B63,Finals!$J$1:$J$501,0),IFERROR(MATCH($A63&amp;N$1&amp;$B63,'F Proj'!$N$1:$N$7669,0),MATCH("NA"&amp;N$1&amp;$B63,'F Proj'!$N$1:$N$7669,0)))</f>
        <v>637</v>
      </c>
      <c r="O63">
        <f>IF(Week&gt;=O$1,MATCH($A63&amp;"-"&amp;O$1&amp;$B63,Finals!$J$1:$J$501,0),IFERROR(MATCH($A63&amp;O$1&amp;$B63,'F Proj'!$N$1:$N$7669,0),MATCH("NA"&amp;O$1&amp;$B63,'F Proj'!$N$1:$N$7669,0)))</f>
        <v>98</v>
      </c>
      <c r="P63">
        <f>IF(Week&gt;=P$1,MATCH($A63&amp;"-"&amp;P$1&amp;$B63,Finals!$J$1:$J$501,0),IFERROR(MATCH($A63&amp;P$1&amp;$B63,'F Proj'!$N$1:$N$7669,0),MATCH("NA"&amp;P$1&amp;$B63,'F Proj'!$N$1:$N$7669,0)))</f>
        <v>244</v>
      </c>
      <c r="Q63">
        <f>IF(Week&gt;=Q$1,MATCH($A63&amp;"-"&amp;Q$1&amp;$B63,Finals!$J$1:$J$501,0),IFERROR(MATCH($A63&amp;Q$1&amp;$B63,'F Proj'!$N$1:$N$7669,0),MATCH("NA"&amp;Q$1&amp;$B63,'F Proj'!$N$1:$N$7669,0)))</f>
        <v>128</v>
      </c>
      <c r="R63">
        <f>IF(Week&gt;=R$1,MATCH($A63&amp;"-"&amp;R$1&amp;$B63,Finals!$J$1:$J$501,0),IFERROR(MATCH($A63&amp;R$1&amp;$B63,'F Proj'!$N$1:$N$7669,0),MATCH("NA"&amp;R$1&amp;$B63,'F Proj'!$N$1:$N$7669,0)))</f>
        <v>254</v>
      </c>
      <c r="S63">
        <f>IF(Week&gt;=S$1,MATCH($A63&amp;"-"&amp;S$1&amp;$B63,Finals!$J$1:$J$501,0),IFERROR(MATCH($A63&amp;S$1&amp;$B63,'F Proj'!$N$1:$N$7669,0),MATCH("NA"&amp;S$1&amp;$B63,'F Proj'!$N$1:$N$7669,0)))</f>
        <v>156</v>
      </c>
      <c r="T63">
        <f>IF(Week&gt;=C$1,INDEX(Finals!$G$1:$G$501,C63),INDEX('F Proj'!$D$1:$D$7669,C63))</f>
        <v>20.7</v>
      </c>
      <c r="U63">
        <f>IF(Week&gt;=D$1,INDEX(Finals!$G$1:$G$501,D63),INDEX('F Proj'!$D$1:$D$7669,D63))</f>
        <v>29.3</v>
      </c>
      <c r="V63">
        <f>IF(Week&gt;=E$1,INDEX(Finals!$G$1:$G$501,E63),INDEX('F Proj'!$D$1:$D$7669,E63))</f>
        <v>19.600000000000001</v>
      </c>
      <c r="W63">
        <f>IF(Week&gt;=F$1,INDEX(Finals!$G$1:$G$501,F63),INDEX('F Proj'!$D$1:$D$7669,F63))</f>
        <v>21.6</v>
      </c>
      <c r="X63">
        <f>IF(Week&gt;=G$1,INDEX(Finals!$G$1:$G$501,G63),INDEX('F Proj'!$D$1:$D$7669,G63))</f>
        <v>18.43</v>
      </c>
      <c r="Y63">
        <f>IF(Week&gt;=H$1,INDEX(Finals!$G$1:$G$501,H63),INDEX('F Proj'!$D$1:$D$7669,H63))</f>
        <v>18.3</v>
      </c>
      <c r="Z63">
        <f>IF(Week&gt;=I$1,INDEX(Finals!$G$1:$G$501,I63),INDEX('F Proj'!$D$1:$D$7669,I63))</f>
        <v>18.25</v>
      </c>
      <c r="AA63">
        <f>IF(Week&gt;=J$1,INDEX(Finals!$G$1:$G$501,J63),INDEX('F Proj'!$D$1:$D$7669,J63))</f>
        <v>20.07</v>
      </c>
      <c r="AB63">
        <f>IF(Week&gt;=K$1,INDEX(Finals!$G$1:$G$501,K63),INDEX('F Proj'!$D$1:$D$7669,K63))</f>
        <v>18.82</v>
      </c>
      <c r="AC63">
        <f>IF(Week&gt;=L$1,INDEX(Finals!$G$1:$G$501,L63),INDEX('F Proj'!$D$1:$D$7669,L63))</f>
        <v>20.02</v>
      </c>
      <c r="AD63">
        <f>IF(Week&gt;=M$1,INDEX(Finals!$G$1:$G$501,M63),INDEX('F Proj'!$D$1:$D$7669,M63))</f>
        <v>25.49</v>
      </c>
      <c r="AE63">
        <f>IF(Week&gt;=N$1,INDEX(Finals!$G$1:$G$501,N63),INDEX('F Proj'!$D$1:$D$7669,N63))</f>
        <v>13.43</v>
      </c>
      <c r="AF63">
        <f>IF(Week&gt;=O$1,INDEX(Finals!$G$1:$G$501,O63),INDEX('F Proj'!$D$1:$D$7669,O63))</f>
        <v>20.71</v>
      </c>
      <c r="AG63">
        <f>IF(Week&gt;=P$1,INDEX(Finals!$G$1:$G$501,P63),INDEX('F Proj'!$D$1:$D$7669,P63))</f>
        <v>18.510000000000002</v>
      </c>
      <c r="AH63">
        <f>IF(Week&gt;=Q$1,INDEX(Finals!$G$1:$G$501,Q63),INDEX('F Proj'!$D$1:$D$7669,Q63))</f>
        <v>20.18</v>
      </c>
      <c r="AI63">
        <f>IF(Week&gt;=R$1,INDEX(Finals!$G$1:$G$501,R63),INDEX('F Proj'!$D$1:$D$7669,R63))</f>
        <v>18.399999999999999</v>
      </c>
      <c r="AJ63">
        <f>IF(Week&gt;=S$1,INDEX(Finals!$G$1:$G$501,S63),INDEX('F Proj'!$D$1:$D$7669,S63))</f>
        <v>19.78</v>
      </c>
      <c r="AK63">
        <f>IF(Week&gt;=C$1,INDEX(Finals!$I$1:$I$501,C63),INDEX('F Proj'!$J$1:$J$7669,C63))</f>
        <v>0</v>
      </c>
      <c r="AL63">
        <f>IF(Week&gt;=D$1,INDEX(Finals!$I$1:$I$501,D63),INDEX('F Proj'!$J$1:$J$7669,D63))</f>
        <v>0</v>
      </c>
      <c r="AM63">
        <f>IF(Week&gt;=E$1,INDEX(Finals!$I$1:$I$501,E63),INDEX('F Proj'!$J$1:$J$7669,E63))</f>
        <v>0</v>
      </c>
      <c r="AN63">
        <f>IF(Week&gt;=F$1,INDEX(Finals!$I$1:$I$501,F63),INDEX('F Proj'!$J$1:$J$7669,F63))</f>
        <v>0</v>
      </c>
      <c r="AO63">
        <f>IF(Week&gt;=G$1,INDEX(Finals!$I$1:$I$501,G63),INDEX('F Proj'!$J$1:$J$7669,G63))</f>
        <v>72.080100000000002</v>
      </c>
      <c r="AP63">
        <f>IF(Week&gt;=H$1,INDEX(Finals!$I$1:$I$501,H63),INDEX('F Proj'!$J$1:$J$7669,H63))</f>
        <v>85.747600000000006</v>
      </c>
      <c r="AQ63">
        <f>IF(Week&gt;=I$1,INDEX(Finals!$I$1:$I$501,I63),INDEX('F Proj'!$J$1:$J$7669,I63))</f>
        <v>90.820899999999995</v>
      </c>
      <c r="AR63">
        <f>IF(Week&gt;=J$1,INDEX(Finals!$I$1:$I$501,J63),INDEX('F Proj'!$J$1:$J$7669,J63))</f>
        <v>106.09</v>
      </c>
      <c r="AS63">
        <f>IF(Week&gt;=K$1,INDEX(Finals!$I$1:$I$501,K63),INDEX('F Proj'!$J$1:$J$7669,K63))</f>
        <v>100.4004</v>
      </c>
      <c r="AT63">
        <f>IF(Week&gt;=L$1,INDEX(Finals!$I$1:$I$501,L63),INDEX('F Proj'!$J$1:$J$7669,L63))</f>
        <v>88.924899999999994</v>
      </c>
      <c r="AU63">
        <f>IF(Week&gt;=M$1,INDEX(Finals!$I$1:$I$501,M63),INDEX('F Proj'!$J$1:$J$7669,M63))</f>
        <v>110.8809</v>
      </c>
      <c r="AV63">
        <f>IF(Week&gt;=N$1,INDEX(Finals!$I$1:$I$501,N63),INDEX('F Proj'!$J$1:$J$7669,N63))</f>
        <v>58.369599999999998</v>
      </c>
      <c r="AW63">
        <f>IF(Week&gt;=O$1,INDEX(Finals!$I$1:$I$501,O63),INDEX('F Proj'!$J$1:$J$7669,O63))</f>
        <v>104.85760000000001</v>
      </c>
      <c r="AX63">
        <f>IF(Week&gt;=P$1,INDEX(Finals!$I$1:$I$501,P63),INDEX('F Proj'!$J$1:$J$7669,P63))</f>
        <v>86.118399999999994</v>
      </c>
      <c r="AY63">
        <f>IF(Week&gt;=Q$1,INDEX(Finals!$I$1:$I$501,Q63),INDEX('F Proj'!$J$1:$J$7669,Q63))</f>
        <v>102.4144</v>
      </c>
      <c r="AZ63">
        <f>IF(Week&gt;=R$1,INDEX(Finals!$I$1:$I$501,R63),INDEX('F Proj'!$J$1:$J$7669,R63))</f>
        <v>77.792400000000001</v>
      </c>
      <c r="BA63">
        <f>IF(Week&gt;=S$1,INDEX(Finals!$I$1:$I$501,S63),INDEX('F Proj'!$J$1:$J$7669,S63))</f>
        <v>90.820899999999995</v>
      </c>
    </row>
    <row r="64" spans="1:53" x14ac:dyDescent="0.25">
      <c r="A64" t="s">
        <v>62</v>
      </c>
      <c r="B64" t="s">
        <v>469</v>
      </c>
      <c r="C64">
        <f>IF(Week&gt;=C$1,MATCH($A64&amp;"-"&amp;C$1&amp;$B64,Finals!$J$1:$J$501,0),IFERROR(MATCH($A64&amp;C$1&amp;$B64,'F Proj'!$N$1:$N$7669,0),MATCH("NA"&amp;C$1&amp;$B64,'F Proj'!$N$1:$N$7669,0)))</f>
        <v>200</v>
      </c>
      <c r="D64">
        <f>IF(Week&gt;=D$1,MATCH($A64&amp;"-"&amp;D$1&amp;$B64,Finals!$J$1:$J$501,0),IFERROR(MATCH($A64&amp;D$1&amp;$B64,'F Proj'!$N$1:$N$7669,0),MATCH("NA"&amp;D$1&amp;$B64,'F Proj'!$N$1:$N$7669,0)))</f>
        <v>201</v>
      </c>
      <c r="E64">
        <f>IF(Week&gt;=E$1,MATCH($A64&amp;"-"&amp;E$1&amp;$B64,Finals!$J$1:$J$501,0),IFERROR(MATCH($A64&amp;E$1&amp;$B64,'F Proj'!$N$1:$N$7669,0),MATCH("NA"&amp;E$1&amp;$B64,'F Proj'!$N$1:$N$7669,0)))</f>
        <v>202</v>
      </c>
      <c r="F64">
        <f>IF(Week&gt;=F$1,MATCH($A64&amp;"-"&amp;F$1&amp;$B64,Finals!$J$1:$J$501,0),IFERROR(MATCH($A64&amp;F$1&amp;$B64,'F Proj'!$N$1:$N$7669,0),MATCH("NA"&amp;F$1&amp;$B64,'F Proj'!$N$1:$N$7669,0)))</f>
        <v>203</v>
      </c>
      <c r="G64">
        <f>IF(Week&gt;=G$1,MATCH($A64&amp;"-"&amp;G$1&amp;$B64,Finals!$J$1:$J$501,0),IFERROR(MATCH($A64&amp;G$1&amp;$B64,'F Proj'!$N$1:$N$7669,0),MATCH("NA"&amp;G$1&amp;$B64,'F Proj'!$N$1:$N$7669,0)))</f>
        <v>135</v>
      </c>
      <c r="H64">
        <f>IF(Week&gt;=H$1,MATCH($A64&amp;"-"&amp;H$1&amp;$B64,Finals!$J$1:$J$501,0),IFERROR(MATCH($A64&amp;H$1&amp;$B64,'F Proj'!$N$1:$N$7669,0),MATCH("NA"&amp;H$1&amp;$B64,'F Proj'!$N$1:$N$7669,0)))</f>
        <v>722</v>
      </c>
      <c r="I64">
        <f>IF(Week&gt;=I$1,MATCH($A64&amp;"-"&amp;I$1&amp;$B64,Finals!$J$1:$J$501,0),IFERROR(MATCH($A64&amp;I$1&amp;$B64,'F Proj'!$N$1:$N$7669,0),MATCH("NA"&amp;I$1&amp;$B64,'F Proj'!$N$1:$N$7669,0)))</f>
        <v>588</v>
      </c>
      <c r="J64">
        <f>IF(Week&gt;=J$1,MATCH($A64&amp;"-"&amp;J$1&amp;$B64,Finals!$J$1:$J$501,0),IFERROR(MATCH($A64&amp;J$1&amp;$B64,'F Proj'!$N$1:$N$7669,0),MATCH("NA"&amp;J$1&amp;$B64,'F Proj'!$N$1:$N$7669,0)))</f>
        <v>783</v>
      </c>
      <c r="K64">
        <f>IF(Week&gt;=K$1,MATCH($A64&amp;"-"&amp;K$1&amp;$B64,Finals!$J$1:$J$501,0),IFERROR(MATCH($A64&amp;K$1&amp;$B64,'F Proj'!$N$1:$N$7669,0),MATCH("NA"&amp;K$1&amp;$B64,'F Proj'!$N$1:$N$7669,0)))</f>
        <v>661</v>
      </c>
      <c r="L64">
        <f>IF(Week&gt;=L$1,MATCH($A64&amp;"-"&amp;L$1&amp;$B64,Finals!$J$1:$J$501,0),IFERROR(MATCH($A64&amp;L$1&amp;$B64,'F Proj'!$N$1:$N$7669,0),MATCH("NA"&amp;L$1&amp;$B64,'F Proj'!$N$1:$N$7669,0)))</f>
        <v>506</v>
      </c>
      <c r="M64">
        <f>IF(Week&gt;=M$1,MATCH($A64&amp;"-"&amp;M$1&amp;$B64,Finals!$J$1:$J$501,0),IFERROR(MATCH($A64&amp;M$1&amp;$B64,'F Proj'!$N$1:$N$7669,0),MATCH("NA"&amp;M$1&amp;$B64,'F Proj'!$N$1:$N$7669,0)))</f>
        <v>675</v>
      </c>
      <c r="N64">
        <f>IF(Week&gt;=N$1,MATCH($A64&amp;"-"&amp;N$1&amp;$B64,Finals!$J$1:$J$501,0),IFERROR(MATCH($A64&amp;N$1&amp;$B64,'F Proj'!$N$1:$N$7669,0),MATCH("NA"&amp;N$1&amp;$B64,'F Proj'!$N$1:$N$7669,0)))</f>
        <v>1380</v>
      </c>
      <c r="O64">
        <f>IF(Week&gt;=O$1,MATCH($A64&amp;"-"&amp;O$1&amp;$B64,Finals!$J$1:$J$501,0),IFERROR(MATCH($A64&amp;O$1&amp;$B64,'F Proj'!$N$1:$N$7669,0),MATCH("NA"&amp;O$1&amp;$B64,'F Proj'!$N$1:$N$7669,0)))</f>
        <v>694</v>
      </c>
      <c r="P64">
        <f>IF(Week&gt;=P$1,MATCH($A64&amp;"-"&amp;P$1&amp;$B64,Finals!$J$1:$J$501,0),IFERROR(MATCH($A64&amp;P$1&amp;$B64,'F Proj'!$N$1:$N$7669,0),MATCH("NA"&amp;P$1&amp;$B64,'F Proj'!$N$1:$N$7669,0)))</f>
        <v>527</v>
      </c>
      <c r="Q64">
        <f>IF(Week&gt;=Q$1,MATCH($A64&amp;"-"&amp;Q$1&amp;$B64,Finals!$J$1:$J$501,0),IFERROR(MATCH($A64&amp;Q$1&amp;$B64,'F Proj'!$N$1:$N$7669,0),MATCH("NA"&amp;Q$1&amp;$B64,'F Proj'!$N$1:$N$7669,0)))</f>
        <v>581</v>
      </c>
      <c r="R64">
        <f>IF(Week&gt;=R$1,MATCH($A64&amp;"-"&amp;R$1&amp;$B64,Finals!$J$1:$J$501,0),IFERROR(MATCH($A64&amp;R$1&amp;$B64,'F Proj'!$N$1:$N$7669,0),MATCH("NA"&amp;R$1&amp;$B64,'F Proj'!$N$1:$N$7669,0)))</f>
        <v>655</v>
      </c>
      <c r="S64">
        <f>IF(Week&gt;=S$1,MATCH($A64&amp;"-"&amp;S$1&amp;$B64,Finals!$J$1:$J$501,0),IFERROR(MATCH($A64&amp;S$1&amp;$B64,'F Proj'!$N$1:$N$7669,0),MATCH("NA"&amp;S$1&amp;$B64,'F Proj'!$N$1:$N$7669,0)))</f>
        <v>833</v>
      </c>
      <c r="T64">
        <f>IF(Week&gt;=C$1,INDEX(Finals!$G$1:$G$501,C64),INDEX('F Proj'!$D$1:$D$7669,C64))</f>
        <v>10.7</v>
      </c>
      <c r="U64">
        <f>IF(Week&gt;=D$1,INDEX(Finals!$G$1:$G$501,D64),INDEX('F Proj'!$D$1:$D$7669,D64))</f>
        <v>6.8</v>
      </c>
      <c r="V64">
        <f>IF(Week&gt;=E$1,INDEX(Finals!$G$1:$G$501,E64),INDEX('F Proj'!$D$1:$D$7669,E64))</f>
        <v>14.1</v>
      </c>
      <c r="W64">
        <f>IF(Week&gt;=F$1,INDEX(Finals!$G$1:$G$501,F64),INDEX('F Proj'!$D$1:$D$7669,F64))</f>
        <v>2.5</v>
      </c>
      <c r="X64">
        <f>IF(Week&gt;=G$1,INDEX(Finals!$G$1:$G$501,G64),INDEX('F Proj'!$D$1:$D$7669,G64))</f>
        <v>8.2799999999999994</v>
      </c>
      <c r="Y64">
        <f>IF(Week&gt;=H$1,INDEX(Finals!$G$1:$G$501,H64),INDEX('F Proj'!$D$1:$D$7669,H64))</f>
        <v>12.79</v>
      </c>
      <c r="Z64">
        <f>IF(Week&gt;=I$1,INDEX(Finals!$G$1:$G$501,I64),INDEX('F Proj'!$D$1:$D$7669,I64))</f>
        <v>13.85</v>
      </c>
      <c r="AA64">
        <f>IF(Week&gt;=J$1,INDEX(Finals!$G$1:$G$501,J64),INDEX('F Proj'!$D$1:$D$7669,J64))</f>
        <v>12.29</v>
      </c>
      <c r="AB64">
        <f>IF(Week&gt;=K$1,INDEX(Finals!$G$1:$G$501,K64),INDEX('F Proj'!$D$1:$D$7669,K64))</f>
        <v>13.22</v>
      </c>
      <c r="AC64">
        <f>IF(Week&gt;=L$1,INDEX(Finals!$G$1:$G$501,L64),INDEX('F Proj'!$D$1:$D$7669,L64))</f>
        <v>14.74</v>
      </c>
      <c r="AD64">
        <f>IF(Week&gt;=M$1,INDEX(Finals!$G$1:$G$501,M64),INDEX('F Proj'!$D$1:$D$7669,M64))</f>
        <v>13.09</v>
      </c>
      <c r="AE64">
        <f>IF(Week&gt;=N$1,INDEX(Finals!$G$1:$G$501,N64),INDEX('F Proj'!$D$1:$D$7669,N64))</f>
        <v>8.5299999999999994</v>
      </c>
      <c r="AF64">
        <f>IF(Week&gt;=O$1,INDEX(Finals!$G$1:$G$501,O64),INDEX('F Proj'!$D$1:$D$7669,O64))</f>
        <v>12.95</v>
      </c>
      <c r="AG64">
        <f>IF(Week&gt;=P$1,INDEX(Finals!$G$1:$G$501,P64),INDEX('F Proj'!$D$1:$D$7669,P64))</f>
        <v>14.49</v>
      </c>
      <c r="AH64">
        <f>IF(Week&gt;=Q$1,INDEX(Finals!$G$1:$G$501,Q64),INDEX('F Proj'!$D$1:$D$7669,Q64))</f>
        <v>13.97</v>
      </c>
      <c r="AI64">
        <f>IF(Week&gt;=R$1,INDEX(Finals!$G$1:$G$501,R64),INDEX('F Proj'!$D$1:$D$7669,R64))</f>
        <v>13.25</v>
      </c>
      <c r="AJ64">
        <f>IF(Week&gt;=S$1,INDEX(Finals!$G$1:$G$501,S64),INDEX('F Proj'!$D$1:$D$7669,S64))</f>
        <v>11.85</v>
      </c>
      <c r="AK64">
        <f>IF(Week&gt;=C$1,INDEX(Finals!$I$1:$I$501,C64),INDEX('F Proj'!$J$1:$J$7669,C64))</f>
        <v>0</v>
      </c>
      <c r="AL64">
        <f>IF(Week&gt;=D$1,INDEX(Finals!$I$1:$I$501,D64),INDEX('F Proj'!$J$1:$J$7669,D64))</f>
        <v>0</v>
      </c>
      <c r="AM64">
        <f>IF(Week&gt;=E$1,INDEX(Finals!$I$1:$I$501,E64),INDEX('F Proj'!$J$1:$J$7669,E64))</f>
        <v>0</v>
      </c>
      <c r="AN64">
        <f>IF(Week&gt;=F$1,INDEX(Finals!$I$1:$I$501,F64),INDEX('F Proj'!$J$1:$J$7669,F64))</f>
        <v>0</v>
      </c>
      <c r="AO64">
        <f>IF(Week&gt;=G$1,INDEX(Finals!$I$1:$I$501,G64),INDEX('F Proj'!$J$1:$J$7669,G64))</f>
        <v>41.473599999999998</v>
      </c>
      <c r="AP64">
        <f>IF(Week&gt;=H$1,INDEX(Finals!$I$1:$I$501,H64),INDEX('F Proj'!$J$1:$J$7669,H64))</f>
        <v>52.128399999999999</v>
      </c>
      <c r="AQ64">
        <f>IF(Week&gt;=I$1,INDEX(Finals!$I$1:$I$501,I64),INDEX('F Proj'!$J$1:$J$7669,I64))</f>
        <v>58.522500000000001</v>
      </c>
      <c r="AR64">
        <f>IF(Week&gt;=J$1,INDEX(Finals!$I$1:$I$501,J64),INDEX('F Proj'!$J$1:$J$7669,J64))</f>
        <v>44.222499999999997</v>
      </c>
      <c r="AS64">
        <f>IF(Week&gt;=K$1,INDEX(Finals!$I$1:$I$501,K64),INDEX('F Proj'!$J$1:$J$7669,K64))</f>
        <v>69.222399999999993</v>
      </c>
      <c r="AT64">
        <f>IF(Week&gt;=L$1,INDEX(Finals!$I$1:$I$501,L64),INDEX('F Proj'!$J$1:$J$7669,L64))</f>
        <v>58.369599999999998</v>
      </c>
      <c r="AU64">
        <f>IF(Week&gt;=M$1,INDEX(Finals!$I$1:$I$501,M64),INDEX('F Proj'!$J$1:$J$7669,M64))</f>
        <v>49.984900000000003</v>
      </c>
      <c r="AV64">
        <f>IF(Week&gt;=N$1,INDEX(Finals!$I$1:$I$501,N64),INDEX('F Proj'!$J$1:$J$7669,N64))</f>
        <v>33.756100000000004</v>
      </c>
      <c r="AW64">
        <f>IF(Week&gt;=O$1,INDEX(Finals!$I$1:$I$501,O64),INDEX('F Proj'!$J$1:$J$7669,O64))</f>
        <v>59.752899999999997</v>
      </c>
      <c r="AX64">
        <f>IF(Week&gt;=P$1,INDEX(Finals!$I$1:$I$501,P64),INDEX('F Proj'!$J$1:$J$7669,P64))</f>
        <v>63.8401</v>
      </c>
      <c r="AY64">
        <f>IF(Week&gt;=Q$1,INDEX(Finals!$I$1:$I$501,Q64),INDEX('F Proj'!$J$1:$J$7669,Q64))</f>
        <v>57.002499999999998</v>
      </c>
      <c r="AZ64">
        <f>IF(Week&gt;=R$1,INDEX(Finals!$I$1:$I$501,R64),INDEX('F Proj'!$J$1:$J$7669,R64))</f>
        <v>48.163600000000002</v>
      </c>
      <c r="BA64">
        <f>IF(Week&gt;=S$1,INDEX(Finals!$I$1:$I$501,S64),INDEX('F Proj'!$J$1:$J$7669,S64))</f>
        <v>49.984900000000003</v>
      </c>
    </row>
    <row r="65" spans="1:53" x14ac:dyDescent="0.25">
      <c r="A65" t="s">
        <v>62</v>
      </c>
      <c r="B65" t="s">
        <v>470</v>
      </c>
      <c r="C65" t="e">
        <f>IF(Week&gt;=C$1,MATCH($A65&amp;"-"&amp;C$1&amp;$B65,Finals!$J$1:$J$501,0),IFERROR(MATCH($A65&amp;C$1&amp;$B65,'F Proj'!$N$1:$N$7669,0),MATCH("NA"&amp;C$1&amp;$B65,'F Proj'!$N$1:$N$7669,0)))</f>
        <v>#N/A</v>
      </c>
      <c r="D65" t="e">
        <f>IF(Week&gt;=D$1,MATCH($A65&amp;"-"&amp;D$1&amp;$B65,Finals!$J$1:$J$501,0),IFERROR(MATCH($A65&amp;D$1&amp;$B65,'F Proj'!$N$1:$N$7669,0),MATCH("NA"&amp;D$1&amp;$B65,'F Proj'!$N$1:$N$7669,0)))</f>
        <v>#N/A</v>
      </c>
      <c r="E65" t="e">
        <f>IF(Week&gt;=E$1,MATCH($A65&amp;"-"&amp;E$1&amp;$B65,Finals!$J$1:$J$501,0),IFERROR(MATCH($A65&amp;E$1&amp;$B65,'F Proj'!$N$1:$N$7669,0),MATCH("NA"&amp;E$1&amp;$B65,'F Proj'!$N$1:$N$7669,0)))</f>
        <v>#N/A</v>
      </c>
      <c r="F65" t="e">
        <f>IF(Week&gt;=F$1,MATCH($A65&amp;"-"&amp;F$1&amp;$B65,Finals!$J$1:$J$501,0),IFERROR(MATCH($A65&amp;F$1&amp;$B65,'F Proj'!$N$1:$N$7669,0),MATCH("NA"&amp;F$1&amp;$B65,'F Proj'!$N$1:$N$7669,0)))</f>
        <v>#N/A</v>
      </c>
      <c r="G65" t="e">
        <f>IF(Week&gt;=G$1,MATCH($A65&amp;"-"&amp;G$1&amp;$B65,Finals!$J$1:$J$501,0),IFERROR(MATCH($A65&amp;G$1&amp;$B65,'F Proj'!$N$1:$N$7669,0),MATCH("NA"&amp;G$1&amp;$B65,'F Proj'!$N$1:$N$7669,0)))</f>
        <v>#N/A</v>
      </c>
      <c r="H65">
        <f>IF(Week&gt;=H$1,MATCH($A65&amp;"-"&amp;H$1&amp;$B65,Finals!$J$1:$J$501,0),IFERROR(MATCH($A65&amp;H$1&amp;$B65,'F Proj'!$N$1:$N$7669,0),MATCH("NA"&amp;H$1&amp;$B65,'F Proj'!$N$1:$N$7669,0)))</f>
        <v>1602</v>
      </c>
      <c r="I65">
        <f>IF(Week&gt;=I$1,MATCH($A65&amp;"-"&amp;I$1&amp;$B65,Finals!$J$1:$J$501,0),IFERROR(MATCH($A65&amp;I$1&amp;$B65,'F Proj'!$N$1:$N$7669,0),MATCH("NA"&amp;I$1&amp;$B65,'F Proj'!$N$1:$N$7669,0)))</f>
        <v>1771</v>
      </c>
      <c r="J65">
        <f>IF(Week&gt;=J$1,MATCH($A65&amp;"-"&amp;J$1&amp;$B65,Finals!$J$1:$J$501,0),IFERROR(MATCH($A65&amp;J$1&amp;$B65,'F Proj'!$N$1:$N$7669,0),MATCH("NA"&amp;J$1&amp;$B65,'F Proj'!$N$1:$N$7669,0)))</f>
        <v>1709</v>
      </c>
      <c r="K65">
        <f>IF(Week&gt;=K$1,MATCH($A65&amp;"-"&amp;K$1&amp;$B65,Finals!$J$1:$J$501,0),IFERROR(MATCH($A65&amp;K$1&amp;$B65,'F Proj'!$N$1:$N$7669,0),MATCH("NA"&amp;K$1&amp;$B65,'F Proj'!$N$1:$N$7669,0)))</f>
        <v>1428</v>
      </c>
      <c r="L65">
        <f>IF(Week&gt;=L$1,MATCH($A65&amp;"-"&amp;L$1&amp;$B65,Finals!$J$1:$J$501,0),IFERROR(MATCH($A65&amp;L$1&amp;$B65,'F Proj'!$N$1:$N$7669,0),MATCH("NA"&amp;L$1&amp;$B65,'F Proj'!$N$1:$N$7669,0)))</f>
        <v>1276</v>
      </c>
      <c r="M65">
        <f>IF(Week&gt;=M$1,MATCH($A65&amp;"-"&amp;M$1&amp;$B65,Finals!$J$1:$J$501,0),IFERROR(MATCH($A65&amp;M$1&amp;$B65,'F Proj'!$N$1:$N$7669,0),MATCH("NA"&amp;M$1&amp;$B65,'F Proj'!$N$1:$N$7669,0)))</f>
        <v>1396</v>
      </c>
      <c r="N65">
        <f>IF(Week&gt;=N$1,MATCH($A65&amp;"-"&amp;N$1&amp;$B65,Finals!$J$1:$J$501,0),IFERROR(MATCH($A65&amp;N$1&amp;$B65,'F Proj'!$N$1:$N$7669,0),MATCH("NA"&amp;N$1&amp;$B65,'F Proj'!$N$1:$N$7669,0)))</f>
        <v>1946</v>
      </c>
      <c r="O65">
        <f>IF(Week&gt;=O$1,MATCH($A65&amp;"-"&amp;O$1&amp;$B65,Finals!$J$1:$J$501,0),IFERROR(MATCH($A65&amp;O$1&amp;$B65,'F Proj'!$N$1:$N$7669,0),MATCH("NA"&amp;O$1&amp;$B65,'F Proj'!$N$1:$N$7669,0)))</f>
        <v>1540</v>
      </c>
      <c r="P65">
        <f>IF(Week&gt;=P$1,MATCH($A65&amp;"-"&amp;P$1&amp;$B65,Finals!$J$1:$J$501,0),IFERROR(MATCH($A65&amp;P$1&amp;$B65,'F Proj'!$N$1:$N$7669,0),MATCH("NA"&amp;P$1&amp;$B65,'F Proj'!$N$1:$N$7669,0)))</f>
        <v>1574</v>
      </c>
      <c r="Q65">
        <f>IF(Week&gt;=Q$1,MATCH($A65&amp;"-"&amp;Q$1&amp;$B65,Finals!$J$1:$J$501,0),IFERROR(MATCH($A65&amp;Q$1&amp;$B65,'F Proj'!$N$1:$N$7669,0),MATCH("NA"&amp;Q$1&amp;$B65,'F Proj'!$N$1:$N$7669,0)))</f>
        <v>1338</v>
      </c>
      <c r="R65">
        <f>IF(Week&gt;=R$1,MATCH($A65&amp;"-"&amp;R$1&amp;$B65,Finals!$J$1:$J$501,0),IFERROR(MATCH($A65&amp;R$1&amp;$B65,'F Proj'!$N$1:$N$7669,0),MATCH("NA"&amp;R$1&amp;$B65,'F Proj'!$N$1:$N$7669,0)))</f>
        <v>1129</v>
      </c>
      <c r="S65">
        <f>IF(Week&gt;=S$1,MATCH($A65&amp;"-"&amp;S$1&amp;$B65,Finals!$J$1:$J$501,0),IFERROR(MATCH($A65&amp;S$1&amp;$B65,'F Proj'!$N$1:$N$7669,0),MATCH("NA"&amp;S$1&amp;$B65,'F Proj'!$N$1:$N$7669,0)))</f>
        <v>1260</v>
      </c>
    </row>
    <row r="66" spans="1:53" x14ac:dyDescent="0.25">
      <c r="A66" t="s">
        <v>62</v>
      </c>
      <c r="B66" t="s">
        <v>471</v>
      </c>
      <c r="C66">
        <f>IF(Week&gt;=C$1,MATCH($A66&amp;"-"&amp;C$1&amp;$B66,Finals!$J$1:$J$501,0),IFERROR(MATCH($A66&amp;C$1&amp;$B66,'F Proj'!$N$1:$N$7669,0),MATCH("NA"&amp;C$1&amp;$B66,'F Proj'!$N$1:$N$7669,0)))</f>
        <v>231</v>
      </c>
      <c r="D66">
        <f>IF(Week&gt;=D$1,MATCH($A66&amp;"-"&amp;D$1&amp;$B66,Finals!$J$1:$J$501,0),IFERROR(MATCH($A66&amp;D$1&amp;$B66,'F Proj'!$N$1:$N$7669,0),MATCH("NA"&amp;D$1&amp;$B66,'F Proj'!$N$1:$N$7669,0)))</f>
        <v>232</v>
      </c>
      <c r="E66">
        <f>IF(Week&gt;=E$1,MATCH($A66&amp;"-"&amp;E$1&amp;$B66,Finals!$J$1:$J$501,0),IFERROR(MATCH($A66&amp;E$1&amp;$B66,'F Proj'!$N$1:$N$7669,0),MATCH("NA"&amp;E$1&amp;$B66,'F Proj'!$N$1:$N$7669,0)))</f>
        <v>233</v>
      </c>
      <c r="F66">
        <f>IF(Week&gt;=F$1,MATCH($A66&amp;"-"&amp;F$1&amp;$B66,Finals!$J$1:$J$501,0),IFERROR(MATCH($A66&amp;F$1&amp;$B66,'F Proj'!$N$1:$N$7669,0),MATCH("NA"&amp;F$1&amp;$B66,'F Proj'!$N$1:$N$7669,0)))</f>
        <v>234</v>
      </c>
      <c r="G66">
        <f>IF(Week&gt;=G$1,MATCH($A66&amp;"-"&amp;G$1&amp;$B66,Finals!$J$1:$J$501,0),IFERROR(MATCH($A66&amp;G$1&amp;$B66,'F Proj'!$N$1:$N$7669,0),MATCH("NA"&amp;G$1&amp;$B66,'F Proj'!$N$1:$N$7669,0)))</f>
        <v>235</v>
      </c>
      <c r="H66">
        <f>IF(Week&gt;=H$1,MATCH($A66&amp;"-"&amp;H$1&amp;$B66,Finals!$J$1:$J$501,0),IFERROR(MATCH($A66&amp;H$1&amp;$B66,'F Proj'!$N$1:$N$7669,0),MATCH("NA"&amp;H$1&amp;$B66,'F Proj'!$N$1:$N$7669,0)))</f>
        <v>681</v>
      </c>
      <c r="I66">
        <f>IF(Week&gt;=I$1,MATCH($A66&amp;"-"&amp;I$1&amp;$B66,Finals!$J$1:$J$501,0),IFERROR(MATCH($A66&amp;I$1&amp;$B66,'F Proj'!$N$1:$N$7669,0),MATCH("NA"&amp;I$1&amp;$B66,'F Proj'!$N$1:$N$7669,0)))</f>
        <v>583</v>
      </c>
      <c r="J66">
        <f>IF(Week&gt;=J$1,MATCH($A66&amp;"-"&amp;J$1&amp;$B66,Finals!$J$1:$J$501,0),IFERROR(MATCH($A66&amp;J$1&amp;$B66,'F Proj'!$N$1:$N$7669,0),MATCH("NA"&amp;J$1&amp;$B66,'F Proj'!$N$1:$N$7669,0)))</f>
        <v>1264</v>
      </c>
      <c r="K66">
        <f>IF(Week&gt;=K$1,MATCH($A66&amp;"-"&amp;K$1&amp;$B66,Finals!$J$1:$J$501,0),IFERROR(MATCH($A66&amp;K$1&amp;$B66,'F Proj'!$N$1:$N$7669,0),MATCH("NA"&amp;K$1&amp;$B66,'F Proj'!$N$1:$N$7669,0)))</f>
        <v>715</v>
      </c>
      <c r="L66">
        <f>IF(Week&gt;=L$1,MATCH($A66&amp;"-"&amp;L$1&amp;$B66,Finals!$J$1:$J$501,0),IFERROR(MATCH($A66&amp;L$1&amp;$B66,'F Proj'!$N$1:$N$7669,0),MATCH("NA"&amp;L$1&amp;$B66,'F Proj'!$N$1:$N$7669,0)))</f>
        <v>518</v>
      </c>
      <c r="M66">
        <f>IF(Week&gt;=M$1,MATCH($A66&amp;"-"&amp;M$1&amp;$B66,Finals!$J$1:$J$501,0),IFERROR(MATCH($A66&amp;M$1&amp;$B66,'F Proj'!$N$1:$N$7669,0),MATCH("NA"&amp;M$1&amp;$B66,'F Proj'!$N$1:$N$7669,0)))</f>
        <v>648</v>
      </c>
      <c r="N66">
        <f>IF(Week&gt;=N$1,MATCH($A66&amp;"-"&amp;N$1&amp;$B66,Finals!$J$1:$J$501,0),IFERROR(MATCH($A66&amp;N$1&amp;$B66,'F Proj'!$N$1:$N$7669,0),MATCH("NA"&amp;N$1&amp;$B66,'F Proj'!$N$1:$N$7669,0)))</f>
        <v>749</v>
      </c>
      <c r="O66">
        <f>IF(Week&gt;=O$1,MATCH($A66&amp;"-"&amp;O$1&amp;$B66,Finals!$J$1:$J$501,0),IFERROR(MATCH($A66&amp;O$1&amp;$B66,'F Proj'!$N$1:$N$7669,0),MATCH("NA"&amp;O$1&amp;$B66,'F Proj'!$N$1:$N$7669,0)))</f>
        <v>907</v>
      </c>
      <c r="P66">
        <f>IF(Week&gt;=P$1,MATCH($A66&amp;"-"&amp;P$1&amp;$B66,Finals!$J$1:$J$501,0),IFERROR(MATCH($A66&amp;P$1&amp;$B66,'F Proj'!$N$1:$N$7669,0),MATCH("NA"&amp;P$1&amp;$B66,'F Proj'!$N$1:$N$7669,0)))</f>
        <v>862</v>
      </c>
      <c r="Q66">
        <f>IF(Week&gt;=Q$1,MATCH($A66&amp;"-"&amp;Q$1&amp;$B66,Finals!$J$1:$J$501,0),IFERROR(MATCH($A66&amp;Q$1&amp;$B66,'F Proj'!$N$1:$N$7669,0),MATCH("NA"&amp;Q$1&amp;$B66,'F Proj'!$N$1:$N$7669,0)))</f>
        <v>705</v>
      </c>
      <c r="R66">
        <f>IF(Week&gt;=R$1,MATCH($A66&amp;"-"&amp;R$1&amp;$B66,Finals!$J$1:$J$501,0),IFERROR(MATCH($A66&amp;R$1&amp;$B66,'F Proj'!$N$1:$N$7669,0),MATCH("NA"&amp;R$1&amp;$B66,'F Proj'!$N$1:$N$7669,0)))</f>
        <v>969</v>
      </c>
      <c r="S66">
        <f>IF(Week&gt;=S$1,MATCH($A66&amp;"-"&amp;S$1&amp;$B66,Finals!$J$1:$J$501,0),IFERROR(MATCH($A66&amp;S$1&amp;$B66,'F Proj'!$N$1:$N$7669,0),MATCH("NA"&amp;S$1&amp;$B66,'F Proj'!$N$1:$N$7669,0)))</f>
        <v>714</v>
      </c>
      <c r="T66">
        <f>IF(Week&gt;=C$1,INDEX(Finals!$G$1:$G$501,C66),INDEX('F Proj'!$D$1:$D$7669,C66))</f>
        <v>16.8</v>
      </c>
      <c r="U66">
        <f>IF(Week&gt;=D$1,INDEX(Finals!$G$1:$G$501,D66),INDEX('F Proj'!$D$1:$D$7669,D66))</f>
        <v>6.7</v>
      </c>
      <c r="V66">
        <f>IF(Week&gt;=E$1,INDEX(Finals!$G$1:$G$501,E66),INDEX('F Proj'!$D$1:$D$7669,E66))</f>
        <v>2.4</v>
      </c>
      <c r="W66">
        <f>IF(Week&gt;=F$1,INDEX(Finals!$G$1:$G$501,F66),INDEX('F Proj'!$D$1:$D$7669,F66))</f>
        <v>6.3</v>
      </c>
      <c r="X66">
        <f>IF(Week&gt;=G$1,INDEX(Finals!$G$1:$G$501,G66),INDEX('F Proj'!$D$1:$D$7669,G66))</f>
        <v>15.17</v>
      </c>
      <c r="Y66">
        <f>IF(Week&gt;=H$1,INDEX(Finals!$G$1:$G$501,H66),INDEX('F Proj'!$D$1:$D$7669,H66))</f>
        <v>13.03</v>
      </c>
      <c r="Z66">
        <f>IF(Week&gt;=I$1,INDEX(Finals!$G$1:$G$501,I66),INDEX('F Proj'!$D$1:$D$7669,I66))</f>
        <v>13.94</v>
      </c>
      <c r="AA66">
        <f>IF(Week&gt;=J$1,INDEX(Finals!$G$1:$G$501,J66),INDEX('F Proj'!$D$1:$D$7669,J66))</f>
        <v>9.0500000000000007</v>
      </c>
      <c r="AB66">
        <f>IF(Week&gt;=K$1,INDEX(Finals!$G$1:$G$501,K66),INDEX('F Proj'!$D$1:$D$7669,K66))</f>
        <v>12.83</v>
      </c>
      <c r="AC66">
        <f>IF(Week&gt;=L$1,INDEX(Finals!$G$1:$G$501,L66),INDEX('F Proj'!$D$1:$D$7669,L66))</f>
        <v>14.57</v>
      </c>
      <c r="AD66">
        <f>IF(Week&gt;=M$1,INDEX(Finals!$G$1:$G$501,M66),INDEX('F Proj'!$D$1:$D$7669,M66))</f>
        <v>13.31</v>
      </c>
      <c r="AE66">
        <f>IF(Week&gt;=N$1,INDEX(Finals!$G$1:$G$501,N66),INDEX('F Proj'!$D$1:$D$7669,N66))</f>
        <v>12.54</v>
      </c>
      <c r="AF66">
        <f>IF(Week&gt;=O$1,INDEX(Finals!$G$1:$G$501,O66),INDEX('F Proj'!$D$1:$D$7669,O66))</f>
        <v>11.17</v>
      </c>
      <c r="AG66">
        <f>IF(Week&gt;=P$1,INDEX(Finals!$G$1:$G$501,P66),INDEX('F Proj'!$D$1:$D$7669,P66))</f>
        <v>11.61</v>
      </c>
      <c r="AH66">
        <f>IF(Week&gt;=Q$1,INDEX(Finals!$G$1:$G$501,Q66),INDEX('F Proj'!$D$1:$D$7669,Q66))</f>
        <v>12.9</v>
      </c>
      <c r="AI66">
        <f>IF(Week&gt;=R$1,INDEX(Finals!$G$1:$G$501,R66),INDEX('F Proj'!$D$1:$D$7669,R66))</f>
        <v>10.63</v>
      </c>
      <c r="AJ66">
        <f>IF(Week&gt;=S$1,INDEX(Finals!$G$1:$G$501,S66),INDEX('F Proj'!$D$1:$D$7669,S66))</f>
        <v>12.84</v>
      </c>
      <c r="AK66">
        <f>IF(Week&gt;=C$1,INDEX(Finals!$I$1:$I$501,C66),INDEX('F Proj'!$J$1:$J$7669,C66))</f>
        <v>0</v>
      </c>
      <c r="AL66">
        <f>IF(Week&gt;=D$1,INDEX(Finals!$I$1:$I$501,D66),INDEX('F Proj'!$J$1:$J$7669,D66))</f>
        <v>0</v>
      </c>
      <c r="AM66">
        <f>IF(Week&gt;=E$1,INDEX(Finals!$I$1:$I$501,E66),INDEX('F Proj'!$J$1:$J$7669,E66))</f>
        <v>0</v>
      </c>
      <c r="AN66">
        <f>IF(Week&gt;=F$1,INDEX(Finals!$I$1:$I$501,F66),INDEX('F Proj'!$J$1:$J$7669,F66))</f>
        <v>0</v>
      </c>
      <c r="AO66">
        <f>IF(Week&gt;=G$1,INDEX(Finals!$I$1:$I$501,G66),INDEX('F Proj'!$J$1:$J$7669,G66))</f>
        <v>46.648899999999998</v>
      </c>
      <c r="AP66">
        <f>IF(Week&gt;=H$1,INDEX(Finals!$I$1:$I$501,H66),INDEX('F Proj'!$J$1:$J$7669,H66))</f>
        <v>59.444099999999999</v>
      </c>
      <c r="AQ66">
        <f>IF(Week&gt;=I$1,INDEX(Finals!$I$1:$I$501,I66),INDEX('F Proj'!$J$1:$J$7669,I66))</f>
        <v>50.979599999999998</v>
      </c>
      <c r="AR66">
        <f>IF(Week&gt;=J$1,INDEX(Finals!$I$1:$I$501,J66),INDEX('F Proj'!$J$1:$J$7669,J66))</f>
        <v>45.292900000000003</v>
      </c>
      <c r="AS66">
        <f>IF(Week&gt;=K$1,INDEX(Finals!$I$1:$I$501,K66),INDEX('F Proj'!$J$1:$J$7669,K66))</f>
        <v>50.979599999999998</v>
      </c>
      <c r="AT66">
        <f>IF(Week&gt;=L$1,INDEX(Finals!$I$1:$I$501,L66),INDEX('F Proj'!$J$1:$J$7669,L66))</f>
        <v>46.648899999999998</v>
      </c>
      <c r="AU66">
        <f>IF(Week&gt;=M$1,INDEX(Finals!$I$1:$I$501,M66),INDEX('F Proj'!$J$1:$J$7669,M66))</f>
        <v>54.169600000000003</v>
      </c>
      <c r="AV66">
        <f>IF(Week&gt;=N$1,INDEX(Finals!$I$1:$I$501,N66),INDEX('F Proj'!$J$1:$J$7669,N66))</f>
        <v>53.144100000000002</v>
      </c>
      <c r="AW66">
        <f>IF(Week&gt;=O$1,INDEX(Finals!$I$1:$I$501,O66),INDEX('F Proj'!$J$1:$J$7669,O66))</f>
        <v>43.428100000000001</v>
      </c>
      <c r="AX66">
        <f>IF(Week&gt;=P$1,INDEX(Finals!$I$1:$I$501,P66),INDEX('F Proj'!$J$1:$J$7669,P66))</f>
        <v>38.688400000000001</v>
      </c>
      <c r="AY66">
        <f>IF(Week&gt;=Q$1,INDEX(Finals!$I$1:$I$501,Q66),INDEX('F Proj'!$J$1:$J$7669,Q66))</f>
        <v>49.420900000000003</v>
      </c>
      <c r="AZ66">
        <f>IF(Week&gt;=R$1,INDEX(Finals!$I$1:$I$501,R66),INDEX('F Proj'!$J$1:$J$7669,R66))</f>
        <v>39.816099999999999</v>
      </c>
      <c r="BA66">
        <f>IF(Week&gt;=S$1,INDEX(Finals!$I$1:$I$501,S66),INDEX('F Proj'!$J$1:$J$7669,S66))</f>
        <v>54.169600000000003</v>
      </c>
    </row>
    <row r="67" spans="1:53" x14ac:dyDescent="0.25">
      <c r="A67" t="s">
        <v>62</v>
      </c>
      <c r="B67" t="s">
        <v>472</v>
      </c>
      <c r="C67">
        <f>IF(Week&gt;=C$1,MATCH($A67&amp;"-"&amp;C$1&amp;$B67,Finals!$J$1:$J$501,0),IFERROR(MATCH($A67&amp;C$1&amp;$B67,'F Proj'!$N$1:$N$7669,0),MATCH("NA"&amp;C$1&amp;$B67,'F Proj'!$N$1:$N$7669,0)))</f>
        <v>136</v>
      </c>
      <c r="D67">
        <f>IF(Week&gt;=D$1,MATCH($A67&amp;"-"&amp;D$1&amp;$B67,Finals!$J$1:$J$501,0),IFERROR(MATCH($A67&amp;D$1&amp;$B67,'F Proj'!$N$1:$N$7669,0),MATCH("NA"&amp;D$1&amp;$B67,'F Proj'!$N$1:$N$7669,0)))</f>
        <v>126</v>
      </c>
      <c r="E67">
        <f>IF(Week&gt;=E$1,MATCH($A67&amp;"-"&amp;E$1&amp;$B67,Finals!$J$1:$J$501,0),IFERROR(MATCH($A67&amp;E$1&amp;$B67,'F Proj'!$N$1:$N$7669,0),MATCH("NA"&amp;E$1&amp;$B67,'F Proj'!$N$1:$N$7669,0)))</f>
        <v>127</v>
      </c>
      <c r="F67">
        <f>IF(Week&gt;=F$1,MATCH($A67&amp;"-"&amp;F$1&amp;$B67,Finals!$J$1:$J$501,0),IFERROR(MATCH($A67&amp;F$1&amp;$B67,'F Proj'!$N$1:$N$7669,0),MATCH("NA"&amp;F$1&amp;$B67,'F Proj'!$N$1:$N$7669,0)))</f>
        <v>388</v>
      </c>
      <c r="G67">
        <f>IF(Week&gt;=G$1,MATCH($A67&amp;"-"&amp;G$1&amp;$B67,Finals!$J$1:$J$501,0),IFERROR(MATCH($A67&amp;G$1&amp;$B67,'F Proj'!$N$1:$N$7669,0),MATCH("NA"&amp;G$1&amp;$B67,'F Proj'!$N$1:$N$7669,0)))</f>
        <v>137</v>
      </c>
      <c r="H67">
        <f>IF(Week&gt;=H$1,MATCH($A67&amp;"-"&amp;H$1&amp;$B67,Finals!$J$1:$J$501,0),IFERROR(MATCH($A67&amp;H$1&amp;$B67,'F Proj'!$N$1:$N$7669,0),MATCH("NA"&amp;H$1&amp;$B67,'F Proj'!$N$1:$N$7669,0)))</f>
        <v>1017</v>
      </c>
      <c r="I67">
        <f>IF(Week&gt;=I$1,MATCH($A67&amp;"-"&amp;I$1&amp;$B67,Finals!$J$1:$J$501,0),IFERROR(MATCH($A67&amp;I$1&amp;$B67,'F Proj'!$N$1:$N$7669,0),MATCH("NA"&amp;I$1&amp;$B67,'F Proj'!$N$1:$N$7669,0)))</f>
        <v>1060</v>
      </c>
      <c r="J67">
        <f>IF(Week&gt;=J$1,MATCH($A67&amp;"-"&amp;J$1&amp;$B67,Finals!$J$1:$J$501,0),IFERROR(MATCH($A67&amp;J$1&amp;$B67,'F Proj'!$N$1:$N$7669,0),MATCH("NA"&amp;J$1&amp;$B67,'F Proj'!$N$1:$N$7669,0)))</f>
        <v>1526</v>
      </c>
      <c r="K67">
        <f>IF(Week&gt;=K$1,MATCH($A67&amp;"-"&amp;K$1&amp;$B67,Finals!$J$1:$J$501,0),IFERROR(MATCH($A67&amp;K$1&amp;$B67,'F Proj'!$N$1:$N$7669,0),MATCH("NA"&amp;K$1&amp;$B67,'F Proj'!$N$1:$N$7669,0)))</f>
        <v>1122</v>
      </c>
      <c r="L67">
        <f>IF(Week&gt;=L$1,MATCH($A67&amp;"-"&amp;L$1&amp;$B67,Finals!$J$1:$J$501,0),IFERROR(MATCH($A67&amp;L$1&amp;$B67,'F Proj'!$N$1:$N$7669,0),MATCH("NA"&amp;L$1&amp;$B67,'F Proj'!$N$1:$N$7669,0)))</f>
        <v>1232</v>
      </c>
      <c r="M67">
        <f>IF(Week&gt;=M$1,MATCH($A67&amp;"-"&amp;M$1&amp;$B67,Finals!$J$1:$J$501,0),IFERROR(MATCH($A67&amp;M$1&amp;$B67,'F Proj'!$N$1:$N$7669,0),MATCH("NA"&amp;M$1&amp;$B67,'F Proj'!$N$1:$N$7669,0)))</f>
        <v>1027</v>
      </c>
      <c r="N67">
        <f>IF(Week&gt;=N$1,MATCH($A67&amp;"-"&amp;N$1&amp;$B67,Finals!$J$1:$J$501,0),IFERROR(MATCH($A67&amp;N$1&amp;$B67,'F Proj'!$N$1:$N$7669,0),MATCH("NA"&amp;N$1&amp;$B67,'F Proj'!$N$1:$N$7669,0)))</f>
        <v>1160</v>
      </c>
      <c r="O67">
        <f>IF(Week&gt;=O$1,MATCH($A67&amp;"-"&amp;O$1&amp;$B67,Finals!$J$1:$J$501,0),IFERROR(MATCH($A67&amp;O$1&amp;$B67,'F Proj'!$N$1:$N$7669,0),MATCH("NA"&amp;O$1&amp;$B67,'F Proj'!$N$1:$N$7669,0)))</f>
        <v>1055</v>
      </c>
      <c r="P67">
        <f>IF(Week&gt;=P$1,MATCH($A67&amp;"-"&amp;P$1&amp;$B67,Finals!$J$1:$J$501,0),IFERROR(MATCH($A67&amp;P$1&amp;$B67,'F Proj'!$N$1:$N$7669,0),MATCH("NA"&amp;P$1&amp;$B67,'F Proj'!$N$1:$N$7669,0)))</f>
        <v>1270</v>
      </c>
      <c r="Q67">
        <f>IF(Week&gt;=Q$1,MATCH($A67&amp;"-"&amp;Q$1&amp;$B67,Finals!$J$1:$J$501,0),IFERROR(MATCH($A67&amp;Q$1&amp;$B67,'F Proj'!$N$1:$N$7669,0),MATCH("NA"&amp;Q$1&amp;$B67,'F Proj'!$N$1:$N$7669,0)))</f>
        <v>1287</v>
      </c>
      <c r="R67">
        <f>IF(Week&gt;=R$1,MATCH($A67&amp;"-"&amp;R$1&amp;$B67,Finals!$J$1:$J$501,0),IFERROR(MATCH($A67&amp;R$1&amp;$B67,'F Proj'!$N$1:$N$7669,0),MATCH("NA"&amp;R$1&amp;$B67,'F Proj'!$N$1:$N$7669,0)))</f>
        <v>1234</v>
      </c>
      <c r="S67">
        <f>IF(Week&gt;=S$1,MATCH($A67&amp;"-"&amp;S$1&amp;$B67,Finals!$J$1:$J$501,0),IFERROR(MATCH($A67&amp;S$1&amp;$B67,'F Proj'!$N$1:$N$7669,0),MATCH("NA"&amp;S$1&amp;$B67,'F Proj'!$N$1:$N$7669,0)))</f>
        <v>1108</v>
      </c>
      <c r="T67">
        <f>IF(Week&gt;=C$1,INDEX(Finals!$G$1:$G$501,C67),INDEX('F Proj'!$D$1:$D$7669,C67))</f>
        <v>0</v>
      </c>
      <c r="U67">
        <f>IF(Week&gt;=D$1,INDEX(Finals!$G$1:$G$501,D67),INDEX('F Proj'!$D$1:$D$7669,D67))</f>
        <v>7.7</v>
      </c>
      <c r="V67">
        <f>IF(Week&gt;=E$1,INDEX(Finals!$G$1:$G$501,E67),INDEX('F Proj'!$D$1:$D$7669,E67))</f>
        <v>12.7</v>
      </c>
      <c r="W67">
        <f>IF(Week&gt;=F$1,INDEX(Finals!$G$1:$G$501,F67),INDEX('F Proj'!$D$1:$D$7669,F67))</f>
        <v>5.3</v>
      </c>
      <c r="X67">
        <f>IF(Week&gt;=G$1,INDEX(Finals!$G$1:$G$501,G67),INDEX('F Proj'!$D$1:$D$7669,G67))</f>
        <v>9.06</v>
      </c>
      <c r="Y67">
        <f>IF(Week&gt;=H$1,INDEX(Finals!$G$1:$G$501,H67),INDEX('F Proj'!$D$1:$D$7669,H67))</f>
        <v>10.32</v>
      </c>
      <c r="Z67">
        <f>IF(Week&gt;=I$1,INDEX(Finals!$G$1:$G$501,I67),INDEX('F Proj'!$D$1:$D$7669,I67))</f>
        <v>10.039999999999999</v>
      </c>
      <c r="AA67">
        <f>IF(Week&gt;=J$1,INDEX(Finals!$G$1:$G$501,J67),INDEX('F Proj'!$D$1:$D$7669,J67))</f>
        <v>8.0399999999999991</v>
      </c>
      <c r="AB67">
        <f>IF(Week&gt;=K$1,INDEX(Finals!$G$1:$G$501,K67),INDEX('F Proj'!$D$1:$D$7669,K67))</f>
        <v>9.7799999999999994</v>
      </c>
      <c r="AC67">
        <f>IF(Week&gt;=L$1,INDEX(Finals!$G$1:$G$501,L67),INDEX('F Proj'!$D$1:$D$7669,L67))</f>
        <v>9.2100000000000009</v>
      </c>
      <c r="AD67">
        <f>IF(Week&gt;=M$1,INDEX(Finals!$G$1:$G$501,M67),INDEX('F Proj'!$D$1:$D$7669,M67))</f>
        <v>10.26</v>
      </c>
      <c r="AE67">
        <f>IF(Week&gt;=N$1,INDEX(Finals!$G$1:$G$501,N67),INDEX('F Proj'!$D$1:$D$7669,N67))</f>
        <v>9.61</v>
      </c>
      <c r="AF67">
        <f>IF(Week&gt;=O$1,INDEX(Finals!$G$1:$G$501,O67),INDEX('F Proj'!$D$1:$D$7669,O67))</f>
        <v>10.08</v>
      </c>
      <c r="AG67">
        <f>IF(Week&gt;=P$1,INDEX(Finals!$G$1:$G$501,P67),INDEX('F Proj'!$D$1:$D$7669,P67))</f>
        <v>9</v>
      </c>
      <c r="AH67">
        <f>IF(Week&gt;=Q$1,INDEX(Finals!$G$1:$G$501,Q67),INDEX('F Proj'!$D$1:$D$7669,Q67))</f>
        <v>8.93</v>
      </c>
      <c r="AI67">
        <f>IF(Week&gt;=R$1,INDEX(Finals!$G$1:$G$501,R67),INDEX('F Proj'!$D$1:$D$7669,R67))</f>
        <v>9.1999999999999993</v>
      </c>
      <c r="AJ67">
        <f>IF(Week&gt;=S$1,INDEX(Finals!$G$1:$G$501,S67),INDEX('F Proj'!$D$1:$D$7669,S67))</f>
        <v>9.85</v>
      </c>
      <c r="AK67">
        <f>IF(Week&gt;=C$1,INDEX(Finals!$I$1:$I$501,C67),INDEX('F Proj'!$J$1:$J$7669,C67))</f>
        <v>0</v>
      </c>
      <c r="AL67">
        <f>IF(Week&gt;=D$1,INDEX(Finals!$I$1:$I$501,D67),INDEX('F Proj'!$J$1:$J$7669,D67))</f>
        <v>0</v>
      </c>
      <c r="AM67">
        <f>IF(Week&gt;=E$1,INDEX(Finals!$I$1:$I$501,E67),INDEX('F Proj'!$J$1:$J$7669,E67))</f>
        <v>0</v>
      </c>
      <c r="AN67">
        <f>IF(Week&gt;=F$1,INDEX(Finals!$I$1:$I$501,F67),INDEX('F Proj'!$J$1:$J$7669,F67))</f>
        <v>0</v>
      </c>
      <c r="AO67">
        <f>IF(Week&gt;=G$1,INDEX(Finals!$I$1:$I$501,G67),INDEX('F Proj'!$J$1:$J$7669,G67))</f>
        <v>55.056399999999996</v>
      </c>
      <c r="AP67">
        <f>IF(Week&gt;=H$1,INDEX(Finals!$I$1:$I$501,H67),INDEX('F Proj'!$J$1:$J$7669,H67))</f>
        <v>37.21</v>
      </c>
      <c r="AQ67">
        <f>IF(Week&gt;=I$1,INDEX(Finals!$I$1:$I$501,I67),INDEX('F Proj'!$J$1:$J$7669,I67))</f>
        <v>40.832099999999997</v>
      </c>
      <c r="AR67">
        <f>IF(Week&gt;=J$1,INDEX(Finals!$I$1:$I$501,J67),INDEX('F Proj'!$J$1:$J$7669,J67))</f>
        <v>32.832900000000002</v>
      </c>
      <c r="AS67">
        <f>IF(Week&gt;=K$1,INDEX(Finals!$I$1:$I$501,K67),INDEX('F Proj'!$J$1:$J$7669,K67))</f>
        <v>34.692100000000003</v>
      </c>
      <c r="AT67">
        <f>IF(Week&gt;=L$1,INDEX(Finals!$I$1:$I$501,L67),INDEX('F Proj'!$J$1:$J$7669,L67))</f>
        <v>53.875599999999999</v>
      </c>
      <c r="AU67">
        <f>IF(Week&gt;=M$1,INDEX(Finals!$I$1:$I$501,M67),INDEX('F Proj'!$J$1:$J$7669,M67))</f>
        <v>50.552100000000003</v>
      </c>
      <c r="AV67">
        <f>IF(Week&gt;=N$1,INDEX(Finals!$I$1:$I$501,N67),INDEX('F Proj'!$J$1:$J$7669,N67))</f>
        <v>37.088099999999997</v>
      </c>
      <c r="AW67">
        <f>IF(Week&gt;=O$1,INDEX(Finals!$I$1:$I$501,O67),INDEX('F Proj'!$J$1:$J$7669,O67))</f>
        <v>37.21</v>
      </c>
      <c r="AX67">
        <f>IF(Week&gt;=P$1,INDEX(Finals!$I$1:$I$501,P67),INDEX('F Proj'!$J$1:$J$7669,P67))</f>
        <v>36.9664</v>
      </c>
      <c r="AY67">
        <f>IF(Week&gt;=Q$1,INDEX(Finals!$I$1:$I$501,Q67),INDEX('F Proj'!$J$1:$J$7669,Q67))</f>
        <v>43.164900000000003</v>
      </c>
      <c r="AZ67">
        <f>IF(Week&gt;=R$1,INDEX(Finals!$I$1:$I$501,R67),INDEX('F Proj'!$J$1:$J$7669,R67))</f>
        <v>40.068899999999999</v>
      </c>
      <c r="BA67">
        <f>IF(Week&gt;=S$1,INDEX(Finals!$I$1:$I$501,S67),INDEX('F Proj'!$J$1:$J$7669,S67))</f>
        <v>37.088099999999997</v>
      </c>
    </row>
    <row r="68" spans="1:53" x14ac:dyDescent="0.25">
      <c r="A68" t="s">
        <v>62</v>
      </c>
      <c r="B68" t="s">
        <v>473</v>
      </c>
      <c r="C68">
        <f>IF(Week&gt;=C$1,MATCH($A68&amp;"-"&amp;C$1&amp;$B68,Finals!$J$1:$J$501,0),IFERROR(MATCH($A68&amp;C$1&amp;$B68,'F Proj'!$N$1:$N$7669,0),MATCH("NA"&amp;C$1&amp;$B68,'F Proj'!$N$1:$N$7669,0)))</f>
        <v>212</v>
      </c>
      <c r="D68">
        <f>IF(Week&gt;=D$1,MATCH($A68&amp;"-"&amp;D$1&amp;$B68,Finals!$J$1:$J$501,0),IFERROR(MATCH($A68&amp;D$1&amp;$B68,'F Proj'!$N$1:$N$7669,0),MATCH("NA"&amp;D$1&amp;$B68,'F Proj'!$N$1:$N$7669,0)))</f>
        <v>387</v>
      </c>
      <c r="E68">
        <f>IF(Week&gt;=E$1,MATCH($A68&amp;"-"&amp;E$1&amp;$B68,Finals!$J$1:$J$501,0),IFERROR(MATCH($A68&amp;E$1&amp;$B68,'F Proj'!$N$1:$N$7669,0),MATCH("NA"&amp;E$1&amp;$B68,'F Proj'!$N$1:$N$7669,0)))</f>
        <v>361</v>
      </c>
      <c r="F68">
        <f>IF(Week&gt;=F$1,MATCH($A68&amp;"-"&amp;F$1&amp;$B68,Finals!$J$1:$J$501,0),IFERROR(MATCH($A68&amp;F$1&amp;$B68,'F Proj'!$N$1:$N$7669,0),MATCH("NA"&amp;F$1&amp;$B68,'F Proj'!$N$1:$N$7669,0)))</f>
        <v>51</v>
      </c>
      <c r="G68">
        <f>IF(Week&gt;=G$1,MATCH($A68&amp;"-"&amp;G$1&amp;$B68,Finals!$J$1:$J$501,0),IFERROR(MATCH($A68&amp;G$1&amp;$B68,'F Proj'!$N$1:$N$7669,0),MATCH("NA"&amp;G$1&amp;$B68,'F Proj'!$N$1:$N$7669,0)))</f>
        <v>218</v>
      </c>
      <c r="H68">
        <f>IF(Week&gt;=H$1,MATCH($A68&amp;"-"&amp;H$1&amp;$B68,Finals!$J$1:$J$501,0),IFERROR(MATCH($A68&amp;H$1&amp;$B68,'F Proj'!$N$1:$N$7669,0),MATCH("NA"&amp;H$1&amp;$B68,'F Proj'!$N$1:$N$7669,0)))</f>
        <v>1362</v>
      </c>
      <c r="I68">
        <f>IF(Week&gt;=I$1,MATCH($A68&amp;"-"&amp;I$1&amp;$B68,Finals!$J$1:$J$501,0),IFERROR(MATCH($A68&amp;I$1&amp;$B68,'F Proj'!$N$1:$N$7669,0),MATCH("NA"&amp;I$1&amp;$B68,'F Proj'!$N$1:$N$7669,0)))</f>
        <v>1389</v>
      </c>
      <c r="J68">
        <f>IF(Week&gt;=J$1,MATCH($A68&amp;"-"&amp;J$1&amp;$B68,Finals!$J$1:$J$501,0),IFERROR(MATCH($A68&amp;J$1&amp;$B68,'F Proj'!$N$1:$N$7669,0),MATCH("NA"&amp;J$1&amp;$B68,'F Proj'!$N$1:$N$7669,0)))</f>
        <v>1544</v>
      </c>
      <c r="K68">
        <f>IF(Week&gt;=K$1,MATCH($A68&amp;"-"&amp;K$1&amp;$B68,Finals!$J$1:$J$501,0),IFERROR(MATCH($A68&amp;K$1&amp;$B68,'F Proj'!$N$1:$N$7669,0),MATCH("NA"&amp;K$1&amp;$B68,'F Proj'!$N$1:$N$7669,0)))</f>
        <v>1188</v>
      </c>
      <c r="L68">
        <f>IF(Week&gt;=L$1,MATCH($A68&amp;"-"&amp;L$1&amp;$B68,Finals!$J$1:$J$501,0),IFERROR(MATCH($A68&amp;L$1&amp;$B68,'F Proj'!$N$1:$N$7669,0),MATCH("NA"&amp;L$1&amp;$B68,'F Proj'!$N$1:$N$7669,0)))</f>
        <v>1269</v>
      </c>
      <c r="M68">
        <f>IF(Week&gt;=M$1,MATCH($A68&amp;"-"&amp;M$1&amp;$B68,Finals!$J$1:$J$501,0),IFERROR(MATCH($A68&amp;M$1&amp;$B68,'F Proj'!$N$1:$N$7669,0),MATCH("NA"&amp;M$1&amp;$B68,'F Proj'!$N$1:$N$7669,0)))</f>
        <v>1322</v>
      </c>
      <c r="N68">
        <f>IF(Week&gt;=N$1,MATCH($A68&amp;"-"&amp;N$1&amp;$B68,Finals!$J$1:$J$501,0),IFERROR(MATCH($A68&amp;N$1&amp;$B68,'F Proj'!$N$1:$N$7669,0),MATCH("NA"&amp;N$1&amp;$B68,'F Proj'!$N$1:$N$7669,0)))</f>
        <v>1266</v>
      </c>
      <c r="O68">
        <f>IF(Week&gt;=O$1,MATCH($A68&amp;"-"&amp;O$1&amp;$B68,Finals!$J$1:$J$501,0),IFERROR(MATCH($A68&amp;O$1&amp;$B68,'F Proj'!$N$1:$N$7669,0),MATCH("NA"&amp;O$1&amp;$B68,'F Proj'!$N$1:$N$7669,0)))</f>
        <v>1221</v>
      </c>
      <c r="P68">
        <f>IF(Week&gt;=P$1,MATCH($A68&amp;"-"&amp;P$1&amp;$B68,Finals!$J$1:$J$501,0),IFERROR(MATCH($A68&amp;P$1&amp;$B68,'F Proj'!$N$1:$N$7669,0),MATCH("NA"&amp;P$1&amp;$B68,'F Proj'!$N$1:$N$7669,0)))</f>
        <v>1279</v>
      </c>
      <c r="Q68">
        <f>IF(Week&gt;=Q$1,MATCH($A68&amp;"-"&amp;Q$1&amp;$B68,Finals!$J$1:$J$501,0),IFERROR(MATCH($A68&amp;Q$1&amp;$B68,'F Proj'!$N$1:$N$7669,0),MATCH("NA"&amp;Q$1&amp;$B68,'F Proj'!$N$1:$N$7669,0)))</f>
        <v>1323</v>
      </c>
      <c r="R68">
        <f>IF(Week&gt;=R$1,MATCH($A68&amp;"-"&amp;R$1&amp;$B68,Finals!$J$1:$J$501,0),IFERROR(MATCH($A68&amp;R$1&amp;$B68,'F Proj'!$N$1:$N$7669,0),MATCH("NA"&amp;R$1&amp;$B68,'F Proj'!$N$1:$N$7669,0)))</f>
        <v>1311</v>
      </c>
      <c r="S68">
        <f>IF(Week&gt;=S$1,MATCH($A68&amp;"-"&amp;S$1&amp;$B68,Finals!$J$1:$J$501,0),IFERROR(MATCH($A68&amp;S$1&amp;$B68,'F Proj'!$N$1:$N$7669,0),MATCH("NA"&amp;S$1&amp;$B68,'F Proj'!$N$1:$N$7669,0)))</f>
        <v>1425</v>
      </c>
      <c r="T68">
        <f>IF(Week&gt;=C$1,INDEX(Finals!$G$1:$G$501,C68),INDEX('F Proj'!$D$1:$D$7669,C68))</f>
        <v>7.7</v>
      </c>
      <c r="U68">
        <f>IF(Week&gt;=D$1,INDEX(Finals!$G$1:$G$501,D68),INDEX('F Proj'!$D$1:$D$7669,D68))</f>
        <v>12</v>
      </c>
      <c r="V68">
        <f>IF(Week&gt;=E$1,INDEX(Finals!$G$1:$G$501,E68),INDEX('F Proj'!$D$1:$D$7669,E68))</f>
        <v>9.1999999999999993</v>
      </c>
      <c r="W68">
        <f>IF(Week&gt;=F$1,INDEX(Finals!$G$1:$G$501,F68),INDEX('F Proj'!$D$1:$D$7669,F68))</f>
        <v>5.4</v>
      </c>
      <c r="X68">
        <f>IF(Week&gt;=G$1,INDEX(Finals!$G$1:$G$501,G68),INDEX('F Proj'!$D$1:$D$7669,G68))</f>
        <v>5.7</v>
      </c>
      <c r="Y68">
        <f>IF(Week&gt;=H$1,INDEX(Finals!$G$1:$G$501,H68),INDEX('F Proj'!$D$1:$D$7669,H68))</f>
        <v>8.61</v>
      </c>
      <c r="Z68">
        <f>IF(Week&gt;=I$1,INDEX(Finals!$G$1:$G$501,I68),INDEX('F Proj'!$D$1:$D$7669,I68))</f>
        <v>8.51</v>
      </c>
      <c r="AA68">
        <f>IF(Week&gt;=J$1,INDEX(Finals!$G$1:$G$501,J68),INDEX('F Proj'!$D$1:$D$7669,J68))</f>
        <v>7.98</v>
      </c>
      <c r="AB68">
        <f>IF(Week&gt;=K$1,INDEX(Finals!$G$1:$G$501,K68),INDEX('F Proj'!$D$1:$D$7669,K68))</f>
        <v>9.4700000000000006</v>
      </c>
      <c r="AC68">
        <f>IF(Week&gt;=L$1,INDEX(Finals!$G$1:$G$501,L68),INDEX('F Proj'!$D$1:$D$7669,L68))</f>
        <v>9</v>
      </c>
      <c r="AD68">
        <f>IF(Week&gt;=M$1,INDEX(Finals!$G$1:$G$501,M68),INDEX('F Proj'!$D$1:$D$7669,M68))</f>
        <v>8.76</v>
      </c>
      <c r="AE68">
        <f>IF(Week&gt;=N$1,INDEX(Finals!$G$1:$G$501,N68),INDEX('F Proj'!$D$1:$D$7669,N68))</f>
        <v>9.0399999999999991</v>
      </c>
      <c r="AF68">
        <f>IF(Week&gt;=O$1,INDEX(Finals!$G$1:$G$501,O68),INDEX('F Proj'!$D$1:$D$7669,O68))</f>
        <v>9.25</v>
      </c>
      <c r="AG68">
        <f>IF(Week&gt;=P$1,INDEX(Finals!$G$1:$G$501,P68),INDEX('F Proj'!$D$1:$D$7669,P68))</f>
        <v>8.9600000000000009</v>
      </c>
      <c r="AH68">
        <f>IF(Week&gt;=Q$1,INDEX(Finals!$G$1:$G$501,Q68),INDEX('F Proj'!$D$1:$D$7669,Q68))</f>
        <v>8.76</v>
      </c>
      <c r="AI68">
        <f>IF(Week&gt;=R$1,INDEX(Finals!$G$1:$G$501,R68),INDEX('F Proj'!$D$1:$D$7669,R68))</f>
        <v>8.82</v>
      </c>
      <c r="AJ68">
        <f>IF(Week&gt;=S$1,INDEX(Finals!$G$1:$G$501,S68),INDEX('F Proj'!$D$1:$D$7669,S68))</f>
        <v>8.3699999999999992</v>
      </c>
      <c r="AK68">
        <f>IF(Week&gt;=C$1,INDEX(Finals!$I$1:$I$501,C68),INDEX('F Proj'!$J$1:$J$7669,C68))</f>
        <v>0</v>
      </c>
      <c r="AL68">
        <f>IF(Week&gt;=D$1,INDEX(Finals!$I$1:$I$501,D68),INDEX('F Proj'!$J$1:$J$7669,D68))</f>
        <v>0</v>
      </c>
      <c r="AM68">
        <f>IF(Week&gt;=E$1,INDEX(Finals!$I$1:$I$501,E68),INDEX('F Proj'!$J$1:$J$7669,E68))</f>
        <v>0</v>
      </c>
      <c r="AN68">
        <f>IF(Week&gt;=F$1,INDEX(Finals!$I$1:$I$501,F68),INDEX('F Proj'!$J$1:$J$7669,F68))</f>
        <v>0</v>
      </c>
      <c r="AO68">
        <f>IF(Week&gt;=G$1,INDEX(Finals!$I$1:$I$501,G68),INDEX('F Proj'!$J$1:$J$7669,G68))</f>
        <v>0</v>
      </c>
      <c r="AP68">
        <f>IF(Week&gt;=H$1,INDEX(Finals!$I$1:$I$501,H68),INDEX('F Proj'!$J$1:$J$7669,H68))</f>
        <v>57.304900000000004</v>
      </c>
      <c r="AQ68">
        <f>IF(Week&gt;=I$1,INDEX(Finals!$I$1:$I$501,I68),INDEX('F Proj'!$J$1:$J$7669,I68))</f>
        <v>52.128399999999999</v>
      </c>
      <c r="AR68">
        <f>IF(Week&gt;=J$1,INDEX(Finals!$I$1:$I$501,J68),INDEX('F Proj'!$J$1:$J$7669,J68))</f>
        <v>42.120100000000001</v>
      </c>
      <c r="AS68">
        <f>IF(Week&gt;=K$1,INDEX(Finals!$I$1:$I$501,K68),INDEX('F Proj'!$J$1:$J$7669,K68))</f>
        <v>45.832900000000002</v>
      </c>
      <c r="AT68">
        <f>IF(Week&gt;=L$1,INDEX(Finals!$I$1:$I$501,L68),INDEX('F Proj'!$J$1:$J$7669,L68))</f>
        <v>43.0336</v>
      </c>
      <c r="AU68">
        <f>IF(Week&gt;=M$1,INDEX(Finals!$I$1:$I$501,M68),INDEX('F Proj'!$J$1:$J$7669,M68))</f>
        <v>43.824399999999997</v>
      </c>
      <c r="AV68">
        <f>IF(Week&gt;=N$1,INDEX(Finals!$I$1:$I$501,N68),INDEX('F Proj'!$J$1:$J$7669,N68))</f>
        <v>40.7044</v>
      </c>
      <c r="AW68">
        <f>IF(Week&gt;=O$1,INDEX(Finals!$I$1:$I$501,O68),INDEX('F Proj'!$J$1:$J$7669,O68))</f>
        <v>43.164900000000003</v>
      </c>
      <c r="AX68">
        <f>IF(Week&gt;=P$1,INDEX(Finals!$I$1:$I$501,P68),INDEX('F Proj'!$J$1:$J$7669,P68))</f>
        <v>33.872399999999999</v>
      </c>
      <c r="AY68">
        <f>IF(Week&gt;=Q$1,INDEX(Finals!$I$1:$I$501,Q68),INDEX('F Proj'!$J$1:$J$7669,Q68))</f>
        <v>36.4816</v>
      </c>
      <c r="AZ68">
        <f>IF(Week&gt;=R$1,INDEX(Finals!$I$1:$I$501,R68),INDEX('F Proj'!$J$1:$J$7669,R68))</f>
        <v>47.472099999999998</v>
      </c>
      <c r="BA68">
        <f>IF(Week&gt;=S$1,INDEX(Finals!$I$1:$I$501,S68),INDEX('F Proj'!$J$1:$J$7669,S68))</f>
        <v>48.302500000000002</v>
      </c>
    </row>
    <row r="69" spans="1:53" x14ac:dyDescent="0.25">
      <c r="A69" t="s">
        <v>62</v>
      </c>
      <c r="B69" t="s">
        <v>474</v>
      </c>
      <c r="C69" t="e">
        <f>IF(Week&gt;=C$1,MATCH($A69&amp;"-"&amp;C$1&amp;$B69,Finals!$J$1:$J$501,0),IFERROR(MATCH($A69&amp;C$1&amp;$B69,'F Proj'!$N$1:$N$7669,0),MATCH("NA"&amp;C$1&amp;$B69,'F Proj'!$N$1:$N$7669,0)))</f>
        <v>#N/A</v>
      </c>
      <c r="D69" t="e">
        <f>IF(Week&gt;=D$1,MATCH($A69&amp;"-"&amp;D$1&amp;$B69,Finals!$J$1:$J$501,0),IFERROR(MATCH($A69&amp;D$1&amp;$B69,'F Proj'!$N$1:$N$7669,0),MATCH("NA"&amp;D$1&amp;$B69,'F Proj'!$N$1:$N$7669,0)))</f>
        <v>#N/A</v>
      </c>
      <c r="E69" t="e">
        <f>IF(Week&gt;=E$1,MATCH($A69&amp;"-"&amp;E$1&amp;$B69,Finals!$J$1:$J$501,0),IFERROR(MATCH($A69&amp;E$1&amp;$B69,'F Proj'!$N$1:$N$7669,0),MATCH("NA"&amp;E$1&amp;$B69,'F Proj'!$N$1:$N$7669,0)))</f>
        <v>#N/A</v>
      </c>
      <c r="F69" t="e">
        <f>IF(Week&gt;=F$1,MATCH($A69&amp;"-"&amp;F$1&amp;$B69,Finals!$J$1:$J$501,0),IFERROR(MATCH($A69&amp;F$1&amp;$B69,'F Proj'!$N$1:$N$7669,0),MATCH("NA"&amp;F$1&amp;$B69,'F Proj'!$N$1:$N$7669,0)))</f>
        <v>#N/A</v>
      </c>
      <c r="G69" t="e">
        <f>IF(Week&gt;=G$1,MATCH($A69&amp;"-"&amp;G$1&amp;$B69,Finals!$J$1:$J$501,0),IFERROR(MATCH($A69&amp;G$1&amp;$B69,'F Proj'!$N$1:$N$7669,0),MATCH("NA"&amp;G$1&amp;$B69,'F Proj'!$N$1:$N$7669,0)))</f>
        <v>#N/A</v>
      </c>
      <c r="H69">
        <f>IF(Week&gt;=H$1,MATCH($A69&amp;"-"&amp;H$1&amp;$B69,Finals!$J$1:$J$501,0),IFERROR(MATCH($A69&amp;H$1&amp;$B69,'F Proj'!$N$1:$N$7669,0),MATCH("NA"&amp;H$1&amp;$B69,'F Proj'!$N$1:$N$7669,0)))</f>
        <v>1436</v>
      </c>
      <c r="I69">
        <f>IF(Week&gt;=I$1,MATCH($A69&amp;"-"&amp;I$1&amp;$B69,Finals!$J$1:$J$501,0),IFERROR(MATCH($A69&amp;I$1&amp;$B69,'F Proj'!$N$1:$N$7669,0),MATCH("NA"&amp;I$1&amp;$B69,'F Proj'!$N$1:$N$7669,0)))</f>
        <v>1472</v>
      </c>
      <c r="J69">
        <f>IF(Week&gt;=J$1,MATCH($A69&amp;"-"&amp;J$1&amp;$B69,Finals!$J$1:$J$501,0),IFERROR(MATCH($A69&amp;J$1&amp;$B69,'F Proj'!$N$1:$N$7669,0),MATCH("NA"&amp;J$1&amp;$B69,'F Proj'!$N$1:$N$7669,0)))</f>
        <v>1553</v>
      </c>
      <c r="K69">
        <f>IF(Week&gt;=K$1,MATCH($A69&amp;"-"&amp;K$1&amp;$B69,Finals!$J$1:$J$501,0),IFERROR(MATCH($A69&amp;K$1&amp;$B69,'F Proj'!$N$1:$N$7669,0),MATCH("NA"&amp;K$1&amp;$B69,'F Proj'!$N$1:$N$7669,0)))</f>
        <v>1277</v>
      </c>
      <c r="L69">
        <f>IF(Week&gt;=L$1,MATCH($A69&amp;"-"&amp;L$1&amp;$B69,Finals!$J$1:$J$501,0),IFERROR(MATCH($A69&amp;L$1&amp;$B69,'F Proj'!$N$1:$N$7669,0),MATCH("NA"&amp;L$1&amp;$B69,'F Proj'!$N$1:$N$7669,0)))</f>
        <v>1446</v>
      </c>
      <c r="M69">
        <f>IF(Week&gt;=M$1,MATCH($A69&amp;"-"&amp;M$1&amp;$B69,Finals!$J$1:$J$501,0),IFERROR(MATCH($A69&amp;M$1&amp;$B69,'F Proj'!$N$1:$N$7669,0),MATCH("NA"&amp;M$1&amp;$B69,'F Proj'!$N$1:$N$7669,0)))</f>
        <v>2199</v>
      </c>
      <c r="N69">
        <f>IF(Week&gt;=N$1,MATCH($A69&amp;"-"&amp;N$1&amp;$B69,Finals!$J$1:$J$501,0),IFERROR(MATCH($A69&amp;N$1&amp;$B69,'F Proj'!$N$1:$N$7669,0),MATCH("NA"&amp;N$1&amp;$B69,'F Proj'!$N$1:$N$7669,0)))</f>
        <v>1360</v>
      </c>
      <c r="O69">
        <f>IF(Week&gt;=O$1,MATCH($A69&amp;"-"&amp;O$1&amp;$B69,Finals!$J$1:$J$501,0),IFERROR(MATCH($A69&amp;O$1&amp;$B69,'F Proj'!$N$1:$N$7669,0),MATCH("NA"&amp;O$1&amp;$B69,'F Proj'!$N$1:$N$7669,0)))</f>
        <v>1239</v>
      </c>
      <c r="P69">
        <f>IF(Week&gt;=P$1,MATCH($A69&amp;"-"&amp;P$1&amp;$B69,Finals!$J$1:$J$501,0),IFERROR(MATCH($A69&amp;P$1&amp;$B69,'F Proj'!$N$1:$N$7669,0),MATCH("NA"&amp;P$1&amp;$B69,'F Proj'!$N$1:$N$7669,0)))</f>
        <v>1448</v>
      </c>
      <c r="Q69">
        <f>IF(Week&gt;=Q$1,MATCH($A69&amp;"-"&amp;Q$1&amp;$B69,Finals!$J$1:$J$501,0),IFERROR(MATCH($A69&amp;Q$1&amp;$B69,'F Proj'!$N$1:$N$7669,0),MATCH("NA"&amp;Q$1&amp;$B69,'F Proj'!$N$1:$N$7669,0)))</f>
        <v>1578</v>
      </c>
      <c r="R69">
        <f>IF(Week&gt;=R$1,MATCH($A69&amp;"-"&amp;R$1&amp;$B69,Finals!$J$1:$J$501,0),IFERROR(MATCH($A69&amp;R$1&amp;$B69,'F Proj'!$N$1:$N$7669,0),MATCH("NA"&amp;R$1&amp;$B69,'F Proj'!$N$1:$N$7669,0)))</f>
        <v>1324</v>
      </c>
      <c r="S69">
        <f>IF(Week&gt;=S$1,MATCH($A69&amp;"-"&amp;S$1&amp;$B69,Finals!$J$1:$J$501,0),IFERROR(MATCH($A69&amp;S$1&amp;$B69,'F Proj'!$N$1:$N$7669,0),MATCH("NA"&amp;S$1&amp;$B69,'F Proj'!$N$1:$N$7669,0)))</f>
        <v>1519</v>
      </c>
    </row>
    <row r="70" spans="1:53" x14ac:dyDescent="0.25">
      <c r="A70" t="s">
        <v>62</v>
      </c>
      <c r="B70" t="s">
        <v>466</v>
      </c>
      <c r="C70">
        <f>IF(Week&gt;=C$1,MATCH($A70&amp;"-"&amp;C$1&amp;$B70,Finals!$J$1:$J$501,0),MIN(C65,C69))</f>
        <v>131</v>
      </c>
      <c r="D70">
        <f>IF(Week&gt;=D$1,MATCH($A70&amp;"-"&amp;D$1&amp;$B70,Finals!$J$1:$J$501,0),MIN(D65,D69))</f>
        <v>132</v>
      </c>
      <c r="E70">
        <f>IF(Week&gt;=E$1,MATCH($A70&amp;"-"&amp;E$1&amp;$B70,Finals!$J$1:$J$501,0),MIN(E65,E69))</f>
        <v>133</v>
      </c>
      <c r="F70">
        <f>IF(Week&gt;=F$1,MATCH($A70&amp;"-"&amp;F$1&amp;$B70,Finals!$J$1:$J$501,0),MIN(F65,F69))</f>
        <v>134</v>
      </c>
      <c r="G70">
        <f>IF(Week&gt;=G$1,MATCH($A70&amp;"-"&amp;G$1&amp;$B70,Finals!$J$1:$J$501,0),MIN(G65,G69))</f>
        <v>128</v>
      </c>
      <c r="H70">
        <f>IF(Week&gt;=H$1,MATCH($A70&amp;"-"&amp;H$1&amp;$B70,Finals!$J$1:$J$501,0),MIN(H65,H69))</f>
        <v>1436</v>
      </c>
      <c r="I70">
        <f>IF(Week&gt;=I$1,MATCH($A70&amp;"-"&amp;I$1&amp;$B70,Finals!$J$1:$J$501,0),MIN(I65,I69))</f>
        <v>1472</v>
      </c>
      <c r="J70">
        <f>IF(Week&gt;=J$1,MATCH($A70&amp;"-"&amp;J$1&amp;$B70,Finals!$J$1:$J$501,0),MIN(J65,J69))</f>
        <v>1553</v>
      </c>
      <c r="K70">
        <f>IF(Week&gt;=K$1,MATCH($A70&amp;"-"&amp;K$1&amp;$B70,Finals!$J$1:$J$501,0),MIN(K65,K69))</f>
        <v>1277</v>
      </c>
      <c r="L70">
        <f>IF(Week&gt;=L$1,MATCH($A70&amp;"-"&amp;L$1&amp;$B70,Finals!$J$1:$J$501,0),MIN(L65,L69))</f>
        <v>1276</v>
      </c>
      <c r="M70">
        <f>IF(Week&gt;=M$1,MATCH($A70&amp;"-"&amp;M$1&amp;$B70,Finals!$J$1:$J$501,0),MIN(M65,M69))</f>
        <v>1396</v>
      </c>
      <c r="N70">
        <f>IF(Week&gt;=N$1,MATCH($A70&amp;"-"&amp;N$1&amp;$B70,Finals!$J$1:$J$501,0),MIN(N65,N69))</f>
        <v>1360</v>
      </c>
      <c r="O70">
        <f>IF(Week&gt;=O$1,MATCH($A70&amp;"-"&amp;O$1&amp;$B70,Finals!$J$1:$J$501,0),MIN(O65,O69))</f>
        <v>1239</v>
      </c>
      <c r="P70">
        <f>IF(Week&gt;=P$1,MATCH($A70&amp;"-"&amp;P$1&amp;$B70,Finals!$J$1:$J$501,0),MIN(P65,P69))</f>
        <v>1448</v>
      </c>
      <c r="Q70">
        <f>IF(Week&gt;=Q$1,MATCH($A70&amp;"-"&amp;Q$1&amp;$B70,Finals!$J$1:$J$501,0),MIN(Q65,Q69))</f>
        <v>1338</v>
      </c>
      <c r="R70">
        <f>IF(Week&gt;=R$1,MATCH($A70&amp;"-"&amp;R$1&amp;$B70,Finals!$J$1:$J$501,0),MIN(R65,R69))</f>
        <v>1129</v>
      </c>
      <c r="S70">
        <f>IF(Week&gt;=S$1,MATCH($A70&amp;"-"&amp;S$1&amp;$B70,Finals!$J$1:$J$501,0),MIN(S65,S69))</f>
        <v>1260</v>
      </c>
      <c r="T70">
        <f>IF(Week&gt;=C$1,INDEX(Finals!$G$1:$G$501,C70),INDEX('F Proj'!$D$1:$D$7669,C70))</f>
        <v>17</v>
      </c>
      <c r="U70">
        <f>IF(Week&gt;=D$1,INDEX(Finals!$G$1:$G$501,D70),INDEX('F Proj'!$D$1:$D$7669,D70))</f>
        <v>4.3</v>
      </c>
      <c r="V70">
        <f>IF(Week&gt;=E$1,INDEX(Finals!$G$1:$G$501,E70),INDEX('F Proj'!$D$1:$D$7669,E70))</f>
        <v>4</v>
      </c>
      <c r="W70">
        <f>IF(Week&gt;=F$1,INDEX(Finals!$G$1:$G$501,F70),INDEX('F Proj'!$D$1:$D$7669,F70))</f>
        <v>6.6</v>
      </c>
      <c r="X70">
        <f>IF(Week&gt;=G$1,INDEX(Finals!$G$1:$G$501,G70),INDEX('F Proj'!$D$1:$D$7669,G70))</f>
        <v>9.5299999999999994</v>
      </c>
      <c r="Y70">
        <f>IF(Week&gt;=H$1,INDEX(Finals!$G$1:$G$501,H70),INDEX('F Proj'!$D$1:$D$7669,H70))</f>
        <v>8.32</v>
      </c>
      <c r="Z70">
        <f>IF(Week&gt;=I$1,INDEX(Finals!$G$1:$G$501,I70),INDEX('F Proj'!$D$1:$D$7669,I70))</f>
        <v>8.19</v>
      </c>
      <c r="AA70">
        <f>IF(Week&gt;=J$1,INDEX(Finals!$G$1:$G$501,J70),INDEX('F Proj'!$D$1:$D$7669,J70))</f>
        <v>7.95</v>
      </c>
      <c r="AB70">
        <f>IF(Week&gt;=K$1,INDEX(Finals!$G$1:$G$501,K70),INDEX('F Proj'!$D$1:$D$7669,K70))</f>
        <v>8.9600000000000009</v>
      </c>
      <c r="AC70">
        <f>IF(Week&gt;=L$1,INDEX(Finals!$G$1:$G$501,L70),INDEX('F Proj'!$D$1:$D$7669,L70))</f>
        <v>8.9600000000000009</v>
      </c>
      <c r="AD70">
        <f>IF(Week&gt;=M$1,INDEX(Finals!$G$1:$G$501,M70),INDEX('F Proj'!$D$1:$D$7669,M70))</f>
        <v>8.49</v>
      </c>
      <c r="AE70">
        <f>IF(Week&gt;=N$1,INDEX(Finals!$G$1:$G$501,N70),INDEX('F Proj'!$D$1:$D$7669,N70))</f>
        <v>8.61</v>
      </c>
      <c r="AF70">
        <f>IF(Week&gt;=O$1,INDEX(Finals!$G$1:$G$501,O70),INDEX('F Proj'!$D$1:$D$7669,O70))</f>
        <v>9.17</v>
      </c>
      <c r="AG70">
        <f>IF(Week&gt;=P$1,INDEX(Finals!$G$1:$G$501,P70),INDEX('F Proj'!$D$1:$D$7669,P70))</f>
        <v>8.2799999999999994</v>
      </c>
      <c r="AH70">
        <f>IF(Week&gt;=Q$1,INDEX(Finals!$G$1:$G$501,Q70),INDEX('F Proj'!$D$1:$D$7669,Q70))</f>
        <v>8.68</v>
      </c>
      <c r="AI70">
        <f>IF(Week&gt;=R$1,INDEX(Finals!$G$1:$G$501,R70),INDEX('F Proj'!$D$1:$D$7669,R70))</f>
        <v>9.76</v>
      </c>
      <c r="AJ70">
        <f>IF(Week&gt;=S$1,INDEX(Finals!$G$1:$G$501,S70),INDEX('F Proj'!$D$1:$D$7669,S70))</f>
        <v>9.07</v>
      </c>
      <c r="AK70">
        <f>IF(Week&gt;=C$1,INDEX(Finals!$I$1:$I$501,C70),INDEX('F Proj'!$J$1:$J$7669,C70))</f>
        <v>0</v>
      </c>
      <c r="AL70">
        <f>IF(Week&gt;=D$1,INDEX(Finals!$I$1:$I$501,D70),INDEX('F Proj'!$J$1:$J$7669,D70))</f>
        <v>0</v>
      </c>
      <c r="AM70">
        <f>IF(Week&gt;=E$1,INDEX(Finals!$I$1:$I$501,E70),INDEX('F Proj'!$J$1:$J$7669,E70))</f>
        <v>0</v>
      </c>
      <c r="AN70">
        <f>IF(Week&gt;=F$1,INDEX(Finals!$I$1:$I$501,F70),INDEX('F Proj'!$J$1:$J$7669,F70))</f>
        <v>0</v>
      </c>
      <c r="AO70">
        <f>IF(Week&gt;=G$1,INDEX(Finals!$I$1:$I$501,G70),INDEX('F Proj'!$J$1:$J$7669,G70))</f>
        <v>39.0625</v>
      </c>
      <c r="AP70">
        <f>IF(Week&gt;=H$1,INDEX(Finals!$I$1:$I$501,H70),INDEX('F Proj'!$J$1:$J$7669,H70))</f>
        <v>44.089599999999997</v>
      </c>
      <c r="AQ70">
        <f>IF(Week&gt;=I$1,INDEX(Finals!$I$1:$I$501,I70),INDEX('F Proj'!$J$1:$J$7669,I70))</f>
        <v>44.355600000000003</v>
      </c>
      <c r="AR70">
        <f>IF(Week&gt;=J$1,INDEX(Finals!$I$1:$I$501,J70),INDEX('F Proj'!$J$1:$J$7669,J70))</f>
        <v>38.192399999999999</v>
      </c>
      <c r="AS70">
        <f>IF(Week&gt;=K$1,INDEX(Finals!$I$1:$I$501,K70),INDEX('F Proj'!$J$1:$J$7669,K70))</f>
        <v>41.473599999999998</v>
      </c>
      <c r="AT70">
        <f>IF(Week&gt;=L$1,INDEX(Finals!$I$1:$I$501,L70),INDEX('F Proj'!$J$1:$J$7669,L70))</f>
        <v>43.296399999999998</v>
      </c>
      <c r="AU70">
        <f>IF(Week&gt;=M$1,INDEX(Finals!$I$1:$I$501,M70),INDEX('F Proj'!$J$1:$J$7669,M70))</f>
        <v>30.1401</v>
      </c>
      <c r="AV70">
        <f>IF(Week&gt;=N$1,INDEX(Finals!$I$1:$I$501,N70),INDEX('F Proj'!$J$1:$J$7669,N70))</f>
        <v>47.472099999999998</v>
      </c>
      <c r="AW70">
        <f>IF(Week&gt;=O$1,INDEX(Finals!$I$1:$I$501,O70),INDEX('F Proj'!$J$1:$J$7669,O70))</f>
        <v>45.832900000000002</v>
      </c>
      <c r="AX70">
        <f>IF(Week&gt;=P$1,INDEX(Finals!$I$1:$I$501,P70),INDEX('F Proj'!$J$1:$J$7669,P70))</f>
        <v>32.947600000000001</v>
      </c>
      <c r="AY70">
        <f>IF(Week&gt;=Q$1,INDEX(Finals!$I$1:$I$501,Q70),INDEX('F Proj'!$J$1:$J$7669,Q70))</f>
        <v>45.5625</v>
      </c>
      <c r="AZ70">
        <f>IF(Week&gt;=R$1,INDEX(Finals!$I$1:$I$501,R70),INDEX('F Proj'!$J$1:$J$7669,R70))</f>
        <v>54.464399999999998</v>
      </c>
      <c r="BA70">
        <f>IF(Week&gt;=S$1,INDEX(Finals!$I$1:$I$501,S70),INDEX('F Proj'!$J$1:$J$7669,S70))</f>
        <v>30.1401</v>
      </c>
    </row>
    <row r="71" spans="1:53" x14ac:dyDescent="0.25">
      <c r="A71" t="s">
        <v>62</v>
      </c>
      <c r="B71" t="s">
        <v>475</v>
      </c>
      <c r="C71">
        <f>IF(Week&gt;=C$1,MATCH($A71&amp;"-"&amp;C$1&amp;$B71,Finals!$J$1:$J$501,0),IFERROR(MATCH($A71&amp;C$1&amp;$B71,'F Proj'!$N$1:$N$7669,0),MATCH("NA"&amp;C$1&amp;$B71,'F Proj'!$N$1:$N$7669,0)))</f>
        <v>104</v>
      </c>
      <c r="D71">
        <f>IF(Week&gt;=D$1,MATCH($A71&amp;"-"&amp;D$1&amp;$B71,Finals!$J$1:$J$501,0),IFERROR(MATCH($A71&amp;D$1&amp;$B71,'F Proj'!$N$1:$N$7669,0),MATCH("NA"&amp;D$1&amp;$B71,'F Proj'!$N$1:$N$7669,0)))</f>
        <v>105</v>
      </c>
      <c r="E71">
        <f>IF(Week&gt;=E$1,MATCH($A71&amp;"-"&amp;E$1&amp;$B71,Finals!$J$1:$J$501,0),IFERROR(MATCH($A71&amp;E$1&amp;$B71,'F Proj'!$N$1:$N$7669,0),MATCH("NA"&amp;E$1&amp;$B71,'F Proj'!$N$1:$N$7669,0)))</f>
        <v>106</v>
      </c>
      <c r="F71">
        <f>IF(Week&gt;=F$1,MATCH($A71&amp;"-"&amp;F$1&amp;$B71,Finals!$J$1:$J$501,0),IFERROR(MATCH($A71&amp;F$1&amp;$B71,'F Proj'!$N$1:$N$7669,0),MATCH("NA"&amp;F$1&amp;$B71,'F Proj'!$N$1:$N$7669,0)))</f>
        <v>107</v>
      </c>
      <c r="G71">
        <f>IF(Week&gt;=G$1,MATCH($A71&amp;"-"&amp;G$1&amp;$B71,Finals!$J$1:$J$501,0),IFERROR(MATCH($A71&amp;G$1&amp;$B71,'F Proj'!$N$1:$N$7669,0),MATCH("NA"&amp;G$1&amp;$B71,'F Proj'!$N$1:$N$7669,0)))</f>
        <v>180</v>
      </c>
      <c r="H71">
        <f>IF(Week&gt;=H$1,MATCH($A71&amp;"-"&amp;H$1&amp;$B71,Finals!$J$1:$J$501,0),IFERROR(MATCH($A71&amp;H$1&amp;$B71,'F Proj'!$N$1:$N$7669,0),MATCH("NA"&amp;H$1&amp;$B71,'F Proj'!$N$1:$N$7669,0)))</f>
        <v>1643</v>
      </c>
      <c r="I71">
        <f>IF(Week&gt;=I$1,MATCH($A71&amp;"-"&amp;I$1&amp;$B71,Finals!$J$1:$J$501,0),IFERROR(MATCH($A71&amp;I$1&amp;$B71,'F Proj'!$N$1:$N$7669,0),MATCH("NA"&amp;I$1&amp;$B71,'F Proj'!$N$1:$N$7669,0)))</f>
        <v>1735</v>
      </c>
      <c r="J71">
        <f>IF(Week&gt;=J$1,MATCH($A71&amp;"-"&amp;J$1&amp;$B71,Finals!$J$1:$J$501,0),IFERROR(MATCH($A71&amp;J$1&amp;$B71,'F Proj'!$N$1:$N$7669,0),MATCH("NA"&amp;J$1&amp;$B71,'F Proj'!$N$1:$N$7669,0)))</f>
        <v>1575</v>
      </c>
      <c r="K71">
        <f>IF(Week&gt;=K$1,MATCH($A71&amp;"-"&amp;K$1&amp;$B71,Finals!$J$1:$J$501,0),IFERROR(MATCH($A71&amp;K$1&amp;$B71,'F Proj'!$N$1:$N$7669,0),MATCH("NA"&amp;K$1&amp;$B71,'F Proj'!$N$1:$N$7669,0)))</f>
        <v>1604</v>
      </c>
      <c r="L71">
        <f>IF(Week&gt;=L$1,MATCH($A71&amp;"-"&amp;L$1&amp;$B71,Finals!$J$1:$J$501,0),IFERROR(MATCH($A71&amp;L$1&amp;$B71,'F Proj'!$N$1:$N$7669,0),MATCH("NA"&amp;L$1&amp;$B71,'F Proj'!$N$1:$N$7669,0)))</f>
        <v>1619</v>
      </c>
      <c r="M71">
        <f>IF(Week&gt;=M$1,MATCH($A71&amp;"-"&amp;M$1&amp;$B71,Finals!$J$1:$J$501,0),IFERROR(MATCH($A71&amp;M$1&amp;$B71,'F Proj'!$N$1:$N$7669,0),MATCH("NA"&amp;M$1&amp;$B71,'F Proj'!$N$1:$N$7669,0)))</f>
        <v>2085</v>
      </c>
      <c r="N71">
        <f>IF(Week&gt;=N$1,MATCH($A71&amp;"-"&amp;N$1&amp;$B71,Finals!$J$1:$J$501,0),IFERROR(MATCH($A71&amp;N$1&amp;$B71,'F Proj'!$N$1:$N$7669,0),MATCH("NA"&amp;N$1&amp;$B71,'F Proj'!$N$1:$N$7669,0)))</f>
        <v>1930</v>
      </c>
      <c r="O71">
        <f>IF(Week&gt;=O$1,MATCH($A71&amp;"-"&amp;O$1&amp;$B71,Finals!$J$1:$J$501,0),IFERROR(MATCH($A71&amp;O$1&amp;$B71,'F Proj'!$N$1:$N$7669,0),MATCH("NA"&amp;O$1&amp;$B71,'F Proj'!$N$1:$N$7669,0)))</f>
        <v>1190</v>
      </c>
      <c r="P71">
        <f>IF(Week&gt;=P$1,MATCH($A71&amp;"-"&amp;P$1&amp;$B71,Finals!$J$1:$J$501,0),IFERROR(MATCH($A71&amp;P$1&amp;$B71,'F Proj'!$N$1:$N$7669,0),MATCH("NA"&amp;P$1&amp;$B71,'F Proj'!$N$1:$N$7669,0)))</f>
        <v>1570</v>
      </c>
      <c r="Q71">
        <f>IF(Week&gt;=Q$1,MATCH($A71&amp;"-"&amp;Q$1&amp;$B71,Finals!$J$1:$J$501,0),IFERROR(MATCH($A71&amp;Q$1&amp;$B71,'F Proj'!$N$1:$N$7669,0),MATCH("NA"&amp;Q$1&amp;$B71,'F Proj'!$N$1:$N$7669,0)))</f>
        <v>1696</v>
      </c>
      <c r="R71">
        <f>IF(Week&gt;=R$1,MATCH($A71&amp;"-"&amp;R$1&amp;$B71,Finals!$J$1:$J$501,0),IFERROR(MATCH($A71&amp;R$1&amp;$B71,'F Proj'!$N$1:$N$7669,0),MATCH("NA"&amp;R$1&amp;$B71,'F Proj'!$N$1:$N$7669,0)))</f>
        <v>1829</v>
      </c>
      <c r="S71">
        <f>IF(Week&gt;=S$1,MATCH($A71&amp;"-"&amp;S$1&amp;$B71,Finals!$J$1:$J$501,0),IFERROR(MATCH($A71&amp;S$1&amp;$B71,'F Proj'!$N$1:$N$7669,0),MATCH("NA"&amp;S$1&amp;$B71,'F Proj'!$N$1:$N$7669,0)))</f>
        <v>1255</v>
      </c>
      <c r="T71">
        <f>IF(Week&gt;=C$1,INDEX(Finals!$G$1:$G$501,C71),INDEX('F Proj'!$D$1:$D$7669,C71))</f>
        <v>1.3</v>
      </c>
      <c r="U71">
        <f>IF(Week&gt;=D$1,INDEX(Finals!$G$1:$G$501,D71),INDEX('F Proj'!$D$1:$D$7669,D71))</f>
        <v>2</v>
      </c>
      <c r="V71">
        <f>IF(Week&gt;=E$1,INDEX(Finals!$G$1:$G$501,E71),INDEX('F Proj'!$D$1:$D$7669,E71))</f>
        <v>3.6</v>
      </c>
      <c r="W71">
        <f>IF(Week&gt;=F$1,INDEX(Finals!$G$1:$G$501,F71),INDEX('F Proj'!$D$1:$D$7669,F71))</f>
        <v>5.2</v>
      </c>
      <c r="X71">
        <f>IF(Week&gt;=G$1,INDEX(Finals!$G$1:$G$501,G71),INDEX('F Proj'!$D$1:$D$7669,G71))</f>
        <v>7.48</v>
      </c>
      <c r="Y71">
        <f>IF(Week&gt;=H$1,INDEX(Finals!$G$1:$G$501,H71),INDEX('F Proj'!$D$1:$D$7669,H71))</f>
        <v>7.61</v>
      </c>
      <c r="Z71">
        <f>IF(Week&gt;=I$1,INDEX(Finals!$G$1:$G$501,I71),INDEX('F Proj'!$D$1:$D$7669,I71))</f>
        <v>7.28</v>
      </c>
      <c r="AA71">
        <f>IF(Week&gt;=J$1,INDEX(Finals!$G$1:$G$501,J71),INDEX('F Proj'!$D$1:$D$7669,J71))</f>
        <v>7.89</v>
      </c>
      <c r="AB71">
        <f>IF(Week&gt;=K$1,INDEX(Finals!$G$1:$G$501,K71),INDEX('F Proj'!$D$1:$D$7669,K71))</f>
        <v>7.76</v>
      </c>
      <c r="AC71">
        <f>IF(Week&gt;=L$1,INDEX(Finals!$G$1:$G$501,L71),INDEX('F Proj'!$D$1:$D$7669,L71))</f>
        <v>7.69</v>
      </c>
      <c r="AD71">
        <f>IF(Week&gt;=M$1,INDEX(Finals!$G$1:$G$501,M71),INDEX('F Proj'!$D$1:$D$7669,M71))</f>
        <v>6.27</v>
      </c>
      <c r="AE71">
        <f>IF(Week&gt;=N$1,INDEX(Finals!$G$1:$G$501,N71),INDEX('F Proj'!$D$1:$D$7669,N71))</f>
        <v>6.7</v>
      </c>
      <c r="AF71">
        <f>IF(Week&gt;=O$1,INDEX(Finals!$G$1:$G$501,O71),INDEX('F Proj'!$D$1:$D$7669,O71))</f>
        <v>9.4600000000000009</v>
      </c>
      <c r="AG71">
        <f>IF(Week&gt;=P$1,INDEX(Finals!$G$1:$G$501,P71),INDEX('F Proj'!$D$1:$D$7669,P71))</f>
        <v>7.9</v>
      </c>
      <c r="AH71">
        <f>IF(Week&gt;=Q$1,INDEX(Finals!$G$1:$G$501,Q71),INDEX('F Proj'!$D$1:$D$7669,Q71))</f>
        <v>7.43</v>
      </c>
      <c r="AI71">
        <f>IF(Week&gt;=R$1,INDEX(Finals!$G$1:$G$501,R71),INDEX('F Proj'!$D$1:$D$7669,R71))</f>
        <v>6.99</v>
      </c>
      <c r="AJ71">
        <f>IF(Week&gt;=S$1,INDEX(Finals!$G$1:$G$501,S71),INDEX('F Proj'!$D$1:$D$7669,S71))</f>
        <v>9.09</v>
      </c>
      <c r="AK71">
        <f>IF(Week&gt;=C$1,INDEX(Finals!$I$1:$I$501,C71),INDEX('F Proj'!$J$1:$J$7669,C71))</f>
        <v>0</v>
      </c>
      <c r="AL71">
        <f>IF(Week&gt;=D$1,INDEX(Finals!$I$1:$I$501,D71),INDEX('F Proj'!$J$1:$J$7669,D71))</f>
        <v>0</v>
      </c>
      <c r="AM71">
        <f>IF(Week&gt;=E$1,INDEX(Finals!$I$1:$I$501,E71),INDEX('F Proj'!$J$1:$J$7669,E71))</f>
        <v>0</v>
      </c>
      <c r="AN71">
        <f>IF(Week&gt;=F$1,INDEX(Finals!$I$1:$I$501,F71),INDEX('F Proj'!$J$1:$J$7669,F71))</f>
        <v>0</v>
      </c>
      <c r="AO71">
        <f>IF(Week&gt;=G$1,INDEX(Finals!$I$1:$I$501,G71),INDEX('F Proj'!$J$1:$J$7669,G71))</f>
        <v>19.6249</v>
      </c>
      <c r="AP71">
        <f>IF(Week&gt;=H$1,INDEX(Finals!$I$1:$I$501,H71),INDEX('F Proj'!$J$1:$J$7669,H71))</f>
        <v>25.704899999999999</v>
      </c>
      <c r="AQ71">
        <f>IF(Week&gt;=I$1,INDEX(Finals!$I$1:$I$501,I71),INDEX('F Proj'!$J$1:$J$7669,I71))</f>
        <v>32.035600000000002</v>
      </c>
      <c r="AR71">
        <f>IF(Week&gt;=J$1,INDEX(Finals!$I$1:$I$501,J71),INDEX('F Proj'!$J$1:$J$7669,J71))</f>
        <v>26.522500000000001</v>
      </c>
      <c r="AS71">
        <f>IF(Week&gt;=K$1,INDEX(Finals!$I$1:$I$501,K71),INDEX('F Proj'!$J$1:$J$7669,K71))</f>
        <v>26.419599999999999</v>
      </c>
      <c r="AT71">
        <f>IF(Week&gt;=L$1,INDEX(Finals!$I$1:$I$501,L71),INDEX('F Proj'!$J$1:$J$7669,L71))</f>
        <v>19.6249</v>
      </c>
      <c r="AU71">
        <f>IF(Week&gt;=M$1,INDEX(Finals!$I$1:$I$501,M71),INDEX('F Proj'!$J$1:$J$7669,M71))</f>
        <v>17.2225</v>
      </c>
      <c r="AV71">
        <f>IF(Week&gt;=N$1,INDEX(Finals!$I$1:$I$501,N71),INDEX('F Proj'!$J$1:$J$7669,N71))</f>
        <v>23.04</v>
      </c>
      <c r="AW71">
        <f>IF(Week&gt;=O$1,INDEX(Finals!$I$1:$I$501,O71),INDEX('F Proj'!$J$1:$J$7669,O71))</f>
        <v>45.5625</v>
      </c>
      <c r="AX71">
        <f>IF(Week&gt;=P$1,INDEX(Finals!$I$1:$I$501,P71),INDEX('F Proj'!$J$1:$J$7669,P71))</f>
        <v>26.522500000000001</v>
      </c>
      <c r="AY71">
        <f>IF(Week&gt;=Q$1,INDEX(Finals!$I$1:$I$501,Q71),INDEX('F Proj'!$J$1:$J$7669,Q71))</f>
        <v>25.100100000000001</v>
      </c>
      <c r="AZ71">
        <f>IF(Week&gt;=R$1,INDEX(Finals!$I$1:$I$501,R71),INDEX('F Proj'!$J$1:$J$7669,R71))</f>
        <v>22.657599999999999</v>
      </c>
      <c r="BA71">
        <f>IF(Week&gt;=S$1,INDEX(Finals!$I$1:$I$501,S71),INDEX('F Proj'!$J$1:$J$7669,S71))</f>
        <v>45.5625</v>
      </c>
    </row>
    <row r="72" spans="1:53" x14ac:dyDescent="0.25">
      <c r="A72" t="s">
        <v>62</v>
      </c>
      <c r="B72" t="s">
        <v>477</v>
      </c>
      <c r="C72">
        <f>IF(Week&gt;=C$1,MATCH($A72&amp;"-"&amp;C$1&amp;$B72,Finals!$J$1:$J$501,0),IFERROR(MATCH($A72&amp;C$1,'D Proj'!$V$1:$V$514,0),MATCH("NA"&amp;C$1,'D Proj'!$V$1:$V$514,0)))</f>
        <v>474</v>
      </c>
      <c r="D72">
        <f>IF(Week&gt;=D$1,MATCH($A72&amp;"-"&amp;D$1&amp;$B72,Finals!$J$1:$J$501,0),IFERROR(MATCH($A72&amp;D$1,'D Proj'!$V$1:$V$514,0),MATCH("NA"&amp;D$1,'D Proj'!$V$1:$V$514,0)))</f>
        <v>461</v>
      </c>
      <c r="E72">
        <f>IF(Week&gt;=E$1,MATCH($A72&amp;"-"&amp;E$1&amp;$B72,Finals!$J$1:$J$501,0),IFERROR(MATCH($A72&amp;E$1,'D Proj'!$V$1:$V$514,0),MATCH("NA"&amp;E$1,'D Proj'!$V$1:$V$514,0)))</f>
        <v>463</v>
      </c>
      <c r="F72">
        <f>IF(Week&gt;=F$1,MATCH($A72&amp;"-"&amp;F$1&amp;$B72,Finals!$J$1:$J$501,0),IFERROR(MATCH($A72&amp;F$1,'D Proj'!$V$1:$V$514,0),MATCH("NA"&amp;F$1,'D Proj'!$V$1:$V$514,0)))</f>
        <v>490</v>
      </c>
      <c r="G72">
        <f>IF(Week&gt;=G$1,MATCH($A72&amp;"-"&amp;G$1&amp;$B72,Finals!$J$1:$J$501,0),IFERROR(MATCH($A72&amp;G$1,'D Proj'!$V$1:$V$514,0),MATCH("NA"&amp;G$1,'D Proj'!$V$1:$V$514,0)))</f>
        <v>457</v>
      </c>
      <c r="H72">
        <f>IF(Week&gt;=H$1,MATCH($A72&amp;"-"&amp;H$1&amp;$B72,Finals!$J$1:$J$501,0),IFERROR(MATCH($A72&amp;H$1,'D Proj'!$V$1:$V$514,0),MATCH("NA"&amp;H$1,'D Proj'!$V$1:$V$514,0)))</f>
        <v>468</v>
      </c>
      <c r="I72">
        <f>IF(Week&gt;=I$1,MATCH($A72&amp;"-"&amp;I$1&amp;$B72,Finals!$J$1:$J$501,0),IFERROR(MATCH($A72&amp;I$1,'D Proj'!$V$1:$V$514,0),MATCH("NA"&amp;I$1,'D Proj'!$V$1:$V$514,0)))</f>
        <v>62</v>
      </c>
      <c r="J72">
        <f>IF(Week&gt;=J$1,MATCH($A72&amp;"-"&amp;J$1&amp;$B72,Finals!$J$1:$J$501,0),IFERROR(MATCH($A72&amp;J$1,'D Proj'!$V$1:$V$514,0),MATCH("NA"&amp;J$1,'D Proj'!$V$1:$V$514,0)))</f>
        <v>447</v>
      </c>
      <c r="K72">
        <f>IF(Week&gt;=K$1,MATCH($A72&amp;"-"&amp;K$1&amp;$B72,Finals!$J$1:$J$501,0),IFERROR(MATCH($A72&amp;K$1,'D Proj'!$V$1:$V$514,0),MATCH("NA"&amp;K$1,'D Proj'!$V$1:$V$514,0)))</f>
        <v>275</v>
      </c>
      <c r="L72">
        <f>IF(Week&gt;=L$1,MATCH($A72&amp;"-"&amp;L$1&amp;$B72,Finals!$J$1:$J$501,0),IFERROR(MATCH($A72&amp;L$1,'D Proj'!$V$1:$V$514,0),MATCH("NA"&amp;L$1,'D Proj'!$V$1:$V$514,0)))</f>
        <v>17</v>
      </c>
      <c r="M72">
        <f>IF(Week&gt;=M$1,MATCH($A72&amp;"-"&amp;M$1&amp;$B72,Finals!$J$1:$J$501,0),IFERROR(MATCH($A72&amp;M$1,'D Proj'!$V$1:$V$514,0),MATCH("NA"&amp;M$1,'D Proj'!$V$1:$V$514,0)))</f>
        <v>390</v>
      </c>
      <c r="N72">
        <f>IF(Week&gt;=N$1,MATCH($A72&amp;"-"&amp;N$1&amp;$B72,Finals!$J$1:$J$501,0),IFERROR(MATCH($A72&amp;N$1,'D Proj'!$V$1:$V$514,0),MATCH("NA"&amp;N$1,'D Proj'!$V$1:$V$514,0)))</f>
        <v>365</v>
      </c>
      <c r="O72">
        <f>IF(Week&gt;=O$1,MATCH($A72&amp;"-"&amp;O$1&amp;$B72,Finals!$J$1:$J$501,0),IFERROR(MATCH($A72&amp;O$1,'D Proj'!$V$1:$V$514,0),MATCH("NA"&amp;O$1,'D Proj'!$V$1:$V$514,0)))</f>
        <v>131</v>
      </c>
      <c r="P72">
        <f>IF(Week&gt;=P$1,MATCH($A72&amp;"-"&amp;P$1&amp;$B72,Finals!$J$1:$J$501,0),IFERROR(MATCH($A72&amp;P$1,'D Proj'!$V$1:$V$514,0),MATCH("NA"&amp;P$1,'D Proj'!$V$1:$V$514,0)))</f>
        <v>25</v>
      </c>
      <c r="Q72">
        <f>IF(Week&gt;=Q$1,MATCH($A72&amp;"-"&amp;Q$1&amp;$B72,Finals!$J$1:$J$501,0),IFERROR(MATCH($A72&amp;Q$1,'D Proj'!$V$1:$V$514,0),MATCH("NA"&amp;Q$1,'D Proj'!$V$1:$V$514,0)))</f>
        <v>16</v>
      </c>
      <c r="R72">
        <f>IF(Week&gt;=R$1,MATCH($A72&amp;"-"&amp;R$1&amp;$B72,Finals!$J$1:$J$501,0),IFERROR(MATCH($A72&amp;R$1,'D Proj'!$V$1:$V$514,0),MATCH("NA"&amp;R$1,'D Proj'!$V$1:$V$514,0)))</f>
        <v>185</v>
      </c>
      <c r="S72">
        <f>IF(Week&gt;=S$1,MATCH($A72&amp;"-"&amp;S$1&amp;$B72,Finals!$J$1:$J$501,0),IFERROR(MATCH($A72&amp;S$1,'D Proj'!$V$1:$V$514,0),MATCH("NA"&amp;S$1,'D Proj'!$V$1:$V$514,0)))</f>
        <v>391</v>
      </c>
      <c r="T72">
        <f>IF(Week&gt;=C$1,INDEX(Finals!$G$1:$G$501,C72),INDEX('D Proj'!$T$1:$T$513,C72))</f>
        <v>9</v>
      </c>
      <c r="U72">
        <f>IF(Week&gt;=D$1,INDEX(Finals!$G$1:$G$501,D72),INDEX('D Proj'!$T$1:$T$513,D72))</f>
        <v>11</v>
      </c>
      <c r="V72">
        <f>IF(Week&gt;=E$1,INDEX(Finals!$G$1:$G$501,E72),INDEX('D Proj'!$T$1:$T$513,E72))</f>
        <v>4</v>
      </c>
      <c r="W72">
        <f>IF(Week&gt;=F$1,INDEX(Finals!$G$1:$G$501,F72),INDEX('D Proj'!$T$1:$T$513,F72))</f>
        <v>6</v>
      </c>
      <c r="X72">
        <f>IF(Week&gt;=G$1,INDEX(Finals!$G$1:$G$501,G72),INDEX('D Proj'!$T$1:$T$513,G72))</f>
        <v>6.22</v>
      </c>
      <c r="Y72">
        <f>IF(Week&gt;=H$1,INDEX(Finals!$G$1:$G$501,H72),INDEX('D Proj'!$T$1:$T$513,H72))</f>
        <v>3.04</v>
      </c>
      <c r="Z72">
        <f>IF(Week&gt;=I$1,INDEX(Finals!$G$1:$G$501,I72),INDEX('D Proj'!$T$1:$T$513,I72))</f>
        <v>8.06</v>
      </c>
      <c r="AA72">
        <f>IF(Week&gt;=J$1,INDEX(Finals!$G$1:$G$501,J72),INDEX('D Proj'!$T$1:$T$513,J72))</f>
        <v>3.46</v>
      </c>
      <c r="AB72">
        <f>IF(Week&gt;=K$1,INDEX(Finals!$G$1:$G$501,K72),INDEX('D Proj'!$T$1:$T$513,K72))</f>
        <v>5.92</v>
      </c>
      <c r="AC72">
        <f>IF(Week&gt;=L$1,INDEX(Finals!$G$1:$G$501,L72),INDEX('D Proj'!$T$1:$T$513,L72))</f>
        <v>9.17</v>
      </c>
      <c r="AD72">
        <f>IF(Week&gt;=M$1,INDEX(Finals!$G$1:$G$501,M72),INDEX('D Proj'!$T$1:$T$513,M72))</f>
        <v>4.5999999999999996</v>
      </c>
      <c r="AE72">
        <f>IF(Week&gt;=N$1,INDEX(Finals!$G$1:$G$501,N72),INDEX('D Proj'!$T$1:$T$513,N72))</f>
        <v>4.84</v>
      </c>
      <c r="AF72">
        <f>IF(Week&gt;=O$1,INDEX(Finals!$G$1:$G$501,O72),INDEX('D Proj'!$T$1:$T$513,O72))</f>
        <v>7.28</v>
      </c>
      <c r="AG72">
        <f>IF(Week&gt;=P$1,INDEX(Finals!$G$1:$G$501,P72),INDEX('D Proj'!$T$1:$T$513,P72))</f>
        <v>8.82</v>
      </c>
      <c r="AH72">
        <f>IF(Week&gt;=Q$1,INDEX(Finals!$G$1:$G$501,Q72),INDEX('D Proj'!$T$1:$T$513,Q72))</f>
        <v>9.2200000000000006</v>
      </c>
      <c r="AI72">
        <f>IF(Week&gt;=R$1,INDEX(Finals!$G$1:$G$501,R72),INDEX('D Proj'!$T$1:$T$513,R72))</f>
        <v>6.9</v>
      </c>
      <c r="AJ72">
        <f>IF(Week&gt;=S$1,INDEX(Finals!$G$1:$G$501,S72),INDEX('D Proj'!$T$1:$T$513,S72))</f>
        <v>4.5999999999999996</v>
      </c>
      <c r="AK72">
        <f>IF(Week&gt;=C$1,INDEX(Finals!$I$1:$I$501,C72),INDEX('D Proj'!$N$1:$N$513,C72))</f>
        <v>0</v>
      </c>
      <c r="AL72">
        <f>IF(Week&gt;=D$1,INDEX(Finals!$I$1:$I$501,D72),INDEX('D Proj'!$N$1:$N$513,D72))</f>
        <v>0</v>
      </c>
      <c r="AM72">
        <f>IF(Week&gt;=E$1,INDEX(Finals!$I$1:$I$501,E72),INDEX('D Proj'!$N$1:$N$513,E72))</f>
        <v>0</v>
      </c>
      <c r="AN72">
        <f>IF(Week&gt;=F$1,INDEX(Finals!$I$1:$I$501,F72),INDEX('D Proj'!$N$1:$N$513,F72))</f>
        <v>0</v>
      </c>
      <c r="AO72">
        <f>IF(Week&gt;=G$1,INDEX(Finals!$I$1:$I$501,G72),INDEX('D Proj'!$N$1:$N$513,G72))</f>
        <v>21.622499999999999</v>
      </c>
      <c r="AP72">
        <f>IF(Week&gt;=H$1,INDEX(Finals!$I$1:$I$501,H72),INDEX('D Proj'!$N$1:$N$513,H72))</f>
        <v>34.222499999999997</v>
      </c>
      <c r="AQ72">
        <f>IF(Week&gt;=I$1,INDEX(Finals!$I$1:$I$501,I72),INDEX('D Proj'!$N$1:$N$513,I72))</f>
        <v>31.696899999999999</v>
      </c>
      <c r="AR72">
        <f>IF(Week&gt;=J$1,INDEX(Finals!$I$1:$I$501,J72),INDEX('D Proj'!$N$1:$N$513,J72))</f>
        <v>37.699599999999997</v>
      </c>
      <c r="AS72">
        <f>IF(Week&gt;=K$1,INDEX(Finals!$I$1:$I$501,K72),INDEX('D Proj'!$N$1:$N$513,K72))</f>
        <v>17.64</v>
      </c>
      <c r="AT72">
        <f>IF(Week&gt;=L$1,INDEX(Finals!$I$1:$I$501,L72),INDEX('D Proj'!$N$1:$N$513,L72))</f>
        <v>28.196100000000001</v>
      </c>
      <c r="AU72">
        <f>IF(Week&gt;=M$1,INDEX(Finals!$I$1:$I$501,M72),INDEX('D Proj'!$N$1:$N$513,M72))</f>
        <v>31.696899999999999</v>
      </c>
      <c r="AV72">
        <f>IF(Week&gt;=N$1,INDEX(Finals!$I$1:$I$501,N72),INDEX('D Proj'!$N$1:$N$513,N72))</f>
        <v>27.04</v>
      </c>
      <c r="AW72">
        <f>IF(Week&gt;=O$1,INDEX(Finals!$I$1:$I$501,O72),INDEX('D Proj'!$N$1:$N$513,O72))</f>
        <v>35.402500000000003</v>
      </c>
      <c r="AX72">
        <f>IF(Week&gt;=P$1,INDEX(Finals!$I$1:$I$501,P72),INDEX('D Proj'!$N$1:$N$513,P72))</f>
        <v>28.944400000000002</v>
      </c>
      <c r="AY72">
        <f>IF(Week&gt;=Q$1,INDEX(Finals!$I$1:$I$501,Q72),INDEX('D Proj'!$N$1:$N$513,Q72))</f>
        <v>48.163600000000002</v>
      </c>
      <c r="AZ72">
        <f>IF(Week&gt;=R$1,INDEX(Finals!$I$1:$I$501,R72),INDEX('D Proj'!$N$1:$N$513,R72))</f>
        <v>30.470400000000001</v>
      </c>
      <c r="BA72">
        <f>IF(Week&gt;=S$1,INDEX(Finals!$I$1:$I$501,S72),INDEX('D Proj'!$N$1:$N$513,S72))</f>
        <v>31.696899999999999</v>
      </c>
    </row>
    <row r="73" spans="1:53" x14ac:dyDescent="0.25">
      <c r="A73" t="s">
        <v>62</v>
      </c>
      <c r="B73" t="s">
        <v>478</v>
      </c>
      <c r="C73">
        <f>IF(Week&gt;=C$1,MATCH($A73&amp;"-"&amp;C$1&amp;$B73,Finals!$J$1:$J$501,0),IFERROR(MATCH($A73&amp;C$1,'K Proj'!$R$1:$R$508,0),MATCH("NA"&amp;C$1,'K Proj'!$R$1:$R$508,0)))</f>
        <v>417</v>
      </c>
      <c r="D73">
        <f>IF(Week&gt;=D$1,MATCH($A73&amp;"-"&amp;D$1&amp;$B73,Finals!$J$1:$J$501,0),IFERROR(MATCH($A73&amp;D$1,'K Proj'!$R$1:$R$508,0),MATCH("NA"&amp;D$1,'K Proj'!$R$1:$R$508,0)))</f>
        <v>418</v>
      </c>
      <c r="E73">
        <f>IF(Week&gt;=E$1,MATCH($A73&amp;"-"&amp;E$1&amp;$B73,Finals!$J$1:$J$501,0),IFERROR(MATCH($A73&amp;E$1,'K Proj'!$R$1:$R$508,0),MATCH("NA"&amp;E$1,'K Proj'!$R$1:$R$508,0)))</f>
        <v>419</v>
      </c>
      <c r="F73">
        <f>IF(Week&gt;=F$1,MATCH($A73&amp;"-"&amp;F$1&amp;$B73,Finals!$J$1:$J$501,0),IFERROR(MATCH($A73&amp;F$1,'K Proj'!$R$1:$R$508,0),MATCH("NA"&amp;F$1,'K Proj'!$R$1:$R$508,0)))</f>
        <v>420</v>
      </c>
      <c r="G73">
        <f>IF(Week&gt;=G$1,MATCH($A73&amp;"-"&amp;G$1&amp;$B73,Finals!$J$1:$J$501,0),IFERROR(MATCH($A73&amp;G$1,'K Proj'!$R$1:$R$508,0),MATCH("NA"&amp;G$1,'K Proj'!$R$1:$R$508,0)))</f>
        <v>421</v>
      </c>
      <c r="H73">
        <f>IF(Week&gt;=H$1,MATCH($A73&amp;"-"&amp;H$1&amp;$B73,Finals!$J$1:$J$501,0),IFERROR(MATCH($A73&amp;H$1,'K Proj'!$R$1:$R$508,0),MATCH("NA"&amp;H$1,'K Proj'!$R$1:$R$508,0)))</f>
        <v>141</v>
      </c>
      <c r="I73">
        <f>IF(Week&gt;=I$1,MATCH($A73&amp;"-"&amp;I$1&amp;$B73,Finals!$J$1:$J$501,0),IFERROR(MATCH($A73&amp;I$1,'K Proj'!$R$1:$R$508,0),MATCH("NA"&amp;I$1,'K Proj'!$R$1:$R$508,0)))</f>
        <v>31</v>
      </c>
      <c r="J73">
        <f>IF(Week&gt;=J$1,MATCH($A73&amp;"-"&amp;J$1&amp;$B73,Finals!$J$1:$J$501,0),IFERROR(MATCH($A73&amp;J$1,'K Proj'!$R$1:$R$508,0),MATCH("NA"&amp;J$1,'K Proj'!$R$1:$R$508,0)))</f>
        <v>240</v>
      </c>
      <c r="K73">
        <f>IF(Week&gt;=K$1,MATCH($A73&amp;"-"&amp;K$1&amp;$B73,Finals!$J$1:$J$501,0),IFERROR(MATCH($A73&amp;K$1,'K Proj'!$R$1:$R$508,0),MATCH("NA"&amp;K$1,'K Proj'!$R$1:$R$508,0)))</f>
        <v>78</v>
      </c>
      <c r="L73">
        <f>IF(Week&gt;=L$1,MATCH($A73&amp;"-"&amp;L$1&amp;$B73,Finals!$J$1:$J$501,0),IFERROR(MATCH($A73&amp;L$1,'K Proj'!$R$1:$R$508,0),MATCH("NA"&amp;L$1,'K Proj'!$R$1:$R$508,0)))</f>
        <v>36</v>
      </c>
      <c r="M73">
        <f>IF(Week&gt;=M$1,MATCH($A73&amp;"-"&amp;M$1&amp;$B73,Finals!$J$1:$J$501,0),IFERROR(MATCH($A73&amp;M$1,'K Proj'!$R$1:$R$508,0),MATCH("NA"&amp;M$1,'K Proj'!$R$1:$R$508,0)))</f>
        <v>75</v>
      </c>
      <c r="N73">
        <f>IF(Week&gt;=N$1,MATCH($A73&amp;"-"&amp;N$1&amp;$B73,Finals!$J$1:$J$501,0),IFERROR(MATCH($A73&amp;N$1,'K Proj'!$R$1:$R$508,0),MATCH("NA"&amp;N$1,'K Proj'!$R$1:$R$508,0)))</f>
        <v>32</v>
      </c>
      <c r="O73">
        <f>IF(Week&gt;=O$1,MATCH($A73&amp;"-"&amp;O$1&amp;$B73,Finals!$J$1:$J$501,0),IFERROR(MATCH($A73&amp;O$1,'K Proj'!$R$1:$R$508,0),MATCH("NA"&amp;O$1,'K Proj'!$R$1:$R$508,0)))</f>
        <v>35</v>
      </c>
      <c r="P73">
        <f>IF(Week&gt;=P$1,MATCH($A73&amp;"-"&amp;P$1&amp;$B73,Finals!$J$1:$J$501,0),IFERROR(MATCH($A73&amp;P$1,'K Proj'!$R$1:$R$508,0),MATCH("NA"&amp;P$1,'K Proj'!$R$1:$R$508,0)))</f>
        <v>11</v>
      </c>
      <c r="Q73">
        <f>IF(Week&gt;=Q$1,MATCH($A73&amp;"-"&amp;Q$1&amp;$B73,Finals!$J$1:$J$501,0),IFERROR(MATCH($A73&amp;Q$1,'K Proj'!$R$1:$R$508,0),MATCH("NA"&amp;Q$1,'K Proj'!$R$1:$R$508,0)))</f>
        <v>13</v>
      </c>
      <c r="R73">
        <f>IF(Week&gt;=R$1,MATCH($A73&amp;"-"&amp;R$1&amp;$B73,Finals!$J$1:$J$501,0),IFERROR(MATCH($A73&amp;R$1,'K Proj'!$R$1:$R$508,0),MATCH("NA"&amp;R$1,'K Proj'!$R$1:$R$508,0)))</f>
        <v>156</v>
      </c>
      <c r="S73">
        <f>IF(Week&gt;=S$1,MATCH($A73&amp;"-"&amp;S$1&amp;$B73,Finals!$J$1:$J$501,0),IFERROR(MATCH($A73&amp;S$1,'K Proj'!$R$1:$R$508,0),MATCH("NA"&amp;S$1,'K Proj'!$R$1:$R$508,0)))</f>
        <v>137</v>
      </c>
      <c r="T73">
        <f>IF(Week&gt;=C$1,INDEX(Finals!$G$1:$G$501,C73),INDEX('K Proj'!$L$1:$L$508,C73))</f>
        <v>12</v>
      </c>
      <c r="U73">
        <f>IF(Week&gt;=D$1,INDEX(Finals!$G$1:$G$501,D73),INDEX('K Proj'!$L$1:$L$508,D73))</f>
        <v>7</v>
      </c>
      <c r="V73">
        <f>IF(Week&gt;=E$1,INDEX(Finals!$G$1:$G$501,E73),INDEX('K Proj'!$L$1:$L$508,E73))</f>
        <v>10</v>
      </c>
      <c r="W73">
        <f>IF(Week&gt;=F$1,INDEX(Finals!$G$1:$G$501,F73),INDEX('K Proj'!$L$1:$L$508,F73))</f>
        <v>16</v>
      </c>
      <c r="X73">
        <f>IF(Week&gt;=G$1,INDEX(Finals!$G$1:$G$501,G73),INDEX('K Proj'!$L$1:$L$508,G73))</f>
        <v>9.31</v>
      </c>
      <c r="Y73">
        <f>IF(Week&gt;=H$1,INDEX(Finals!$G$1:$G$501,H73),INDEX('K Proj'!$L$1:$L$508,H73))</f>
        <v>7.64</v>
      </c>
      <c r="Z73">
        <f>IF(Week&gt;=I$1,INDEX(Finals!$G$1:$G$501,I73),INDEX('K Proj'!$L$1:$L$508,I73))</f>
        <v>8.68</v>
      </c>
      <c r="AA73">
        <f>IF(Week&gt;=J$1,INDEX(Finals!$G$1:$G$501,J73),INDEX('K Proj'!$L$1:$L$508,J73))</f>
        <v>7.11</v>
      </c>
      <c r="AB73">
        <f>IF(Week&gt;=K$1,INDEX(Finals!$G$1:$G$501,K73),INDEX('K Proj'!$L$1:$L$508,K73))</f>
        <v>8.17</v>
      </c>
      <c r="AC73">
        <f>IF(Week&gt;=L$1,INDEX(Finals!$G$1:$G$501,L73),INDEX('K Proj'!$L$1:$L$508,L73))</f>
        <v>8.6</v>
      </c>
      <c r="AD73">
        <f>IF(Week&gt;=M$1,INDEX(Finals!$G$1:$G$501,M73),INDEX('K Proj'!$L$1:$L$508,M73))</f>
        <v>8.2200000000000006</v>
      </c>
      <c r="AE73">
        <f>IF(Week&gt;=N$1,INDEX(Finals!$G$1:$G$501,N73),INDEX('K Proj'!$L$1:$L$508,N73))</f>
        <v>8.66</v>
      </c>
      <c r="AF73">
        <f>IF(Week&gt;=O$1,INDEX(Finals!$G$1:$G$501,O73),INDEX('K Proj'!$L$1:$L$508,O73))</f>
        <v>8.6199999999999992</v>
      </c>
      <c r="AG73">
        <f>IF(Week&gt;=P$1,INDEX(Finals!$G$1:$G$501,P73),INDEX('K Proj'!$L$1:$L$508,P73))</f>
        <v>9.09</v>
      </c>
      <c r="AH73">
        <f>IF(Week&gt;=Q$1,INDEX(Finals!$G$1:$G$501,Q73),INDEX('K Proj'!$L$1:$L$508,Q73))</f>
        <v>9.0399999999999991</v>
      </c>
      <c r="AI73">
        <f>IF(Week&gt;=R$1,INDEX(Finals!$G$1:$G$501,R73),INDEX('K Proj'!$L$1:$L$508,R73))</f>
        <v>7.56</v>
      </c>
      <c r="AJ73">
        <f>IF(Week&gt;=S$1,INDEX(Finals!$G$1:$G$501,S73),INDEX('K Proj'!$L$1:$L$508,S73))</f>
        <v>7.66</v>
      </c>
      <c r="AK73">
        <f>IF(Week&gt;=C$1,INDEX(Finals!$I$1:$I$501,C73),INDEX('K Proj'!$P$1:$P$508,C73))</f>
        <v>0</v>
      </c>
      <c r="AL73">
        <f>IF(Week&gt;=D$1,INDEX(Finals!$I$1:$I$501,D73),INDEX('K Proj'!$P$1:$P$508,D73))</f>
        <v>0</v>
      </c>
      <c r="AM73">
        <f>IF(Week&gt;=E$1,INDEX(Finals!$I$1:$I$501,E73),INDEX('K Proj'!$P$1:$P$508,E73))</f>
        <v>0</v>
      </c>
      <c r="AN73">
        <f>IF(Week&gt;=F$1,INDEX(Finals!$I$1:$I$501,F73),INDEX('K Proj'!$P$1:$P$508,F73))</f>
        <v>0</v>
      </c>
      <c r="AO73">
        <f>IF(Week&gt;=G$1,INDEX(Finals!$I$1:$I$501,G73),INDEX('K Proj'!$P$1:$P$508,G73))</f>
        <v>23.522500000000001</v>
      </c>
      <c r="AP73">
        <f>IF(Week&gt;=H$1,INDEX(Finals!$I$1:$I$501,H73),INDEX('K Proj'!$P$1:$P$508,H73))</f>
        <v>18.835599999999999</v>
      </c>
      <c r="AQ73">
        <f>IF(Week&gt;=I$1,INDEX(Finals!$I$1:$I$501,I73),INDEX('K Proj'!$P$1:$P$508,I73))</f>
        <v>23.232399999999998</v>
      </c>
      <c r="AR73">
        <f>IF(Week&gt;=J$1,INDEX(Finals!$I$1:$I$501,J73),INDEX('K Proj'!$P$1:$P$508,J73))</f>
        <v>18.0625</v>
      </c>
      <c r="AS73">
        <f>IF(Week&gt;=K$1,INDEX(Finals!$I$1:$I$501,K73),INDEX('K Proj'!$P$1:$P$508,K73))</f>
        <v>19.980899999999998</v>
      </c>
      <c r="AT73">
        <f>IF(Week&gt;=L$1,INDEX(Finals!$I$1:$I$501,L73),INDEX('K Proj'!$P$1:$P$508,L73))</f>
        <v>12.96</v>
      </c>
      <c r="AU73">
        <f>IF(Week&gt;=M$1,INDEX(Finals!$I$1:$I$501,M73),INDEX('K Proj'!$P$1:$P$508,M73))</f>
        <v>21.622499999999999</v>
      </c>
      <c r="AV73">
        <f>IF(Week&gt;=N$1,INDEX(Finals!$I$1:$I$501,N73),INDEX('K Proj'!$P$1:$P$508,N73))</f>
        <v>17.892900000000001</v>
      </c>
      <c r="AW73">
        <f>IF(Week&gt;=O$1,INDEX(Finals!$I$1:$I$501,O73),INDEX('K Proj'!$P$1:$P$508,O73))</f>
        <v>14.364100000000001</v>
      </c>
      <c r="AX73">
        <f>IF(Week&gt;=P$1,INDEX(Finals!$I$1:$I$501,P73),INDEX('K Proj'!$P$1:$P$508,P73))</f>
        <v>16.080100000000002</v>
      </c>
      <c r="AY73">
        <f>IF(Week&gt;=Q$1,INDEX(Finals!$I$1:$I$501,Q73),INDEX('K Proj'!$P$1:$P$508,Q73))</f>
        <v>16.809999999999999</v>
      </c>
      <c r="AZ73">
        <f>IF(Week&gt;=R$1,INDEX(Finals!$I$1:$I$501,R73),INDEX('K Proj'!$P$1:$P$508,R73))</f>
        <v>16.892099999999999</v>
      </c>
      <c r="BA73">
        <f>IF(Week&gt;=S$1,INDEX(Finals!$I$1:$I$501,S73),INDEX('K Proj'!$P$1:$P$508,S73))</f>
        <v>20.3401</v>
      </c>
    </row>
    <row r="74" spans="1:53" x14ac:dyDescent="0.25">
      <c r="A74" t="s">
        <v>1648</v>
      </c>
      <c r="B74" t="s">
        <v>467</v>
      </c>
      <c r="C74">
        <f>IF(Week&gt;=C$1,MATCH($A74&amp;"-"&amp;C$1&amp;$B74,Finals!$J$1:$J$501,0),IFERROR(MATCH($A74&amp;C$1&amp;$B74,'F Proj'!$N$1:$N$7669,0),MATCH("NA"&amp;C$1&amp;$B74,'F Proj'!$N$1:$N$7669,0)))</f>
        <v>372</v>
      </c>
      <c r="D74">
        <f>IF(Week&gt;=D$1,MATCH($A74&amp;"-"&amp;D$1&amp;$B74,Finals!$J$1:$J$501,0),IFERROR(MATCH($A74&amp;D$1&amp;$B74,'F Proj'!$N$1:$N$7669,0),MATCH("NA"&amp;D$1&amp;$B74,'F Proj'!$N$1:$N$7669,0)))</f>
        <v>53</v>
      </c>
      <c r="E74">
        <f>IF(Week&gt;=E$1,MATCH($A74&amp;"-"&amp;E$1&amp;$B74,Finals!$J$1:$J$501,0),IFERROR(MATCH($A74&amp;E$1&amp;$B74,'F Proj'!$N$1:$N$7669,0),MATCH("NA"&amp;E$1&amp;$B74,'F Proj'!$N$1:$N$7669,0)))</f>
        <v>373</v>
      </c>
      <c r="F74">
        <f>IF(Week&gt;=F$1,MATCH($A74&amp;"-"&amp;F$1&amp;$B74,Finals!$J$1:$J$501,0),IFERROR(MATCH($A74&amp;F$1&amp;$B74,'F Proj'!$N$1:$N$7669,0),MATCH("NA"&amp;F$1&amp;$B74,'F Proj'!$N$1:$N$7669,0)))</f>
        <v>374</v>
      </c>
      <c r="G74">
        <f>IF(Week&gt;=G$1,MATCH($A74&amp;"-"&amp;G$1&amp;$B74,Finals!$J$1:$J$501,0),IFERROR(MATCH($A74&amp;G$1&amp;$B74,'F Proj'!$N$1:$N$7669,0),MATCH("NA"&amp;G$1&amp;$B74,'F Proj'!$N$1:$N$7669,0)))</f>
        <v>375</v>
      </c>
      <c r="H74">
        <f>IF(Week&gt;=H$1,MATCH($A74&amp;"-"&amp;H$1&amp;$B74,Finals!$J$1:$J$501,0),IFERROR(MATCH($A74&amp;H$1&amp;$B74,'F Proj'!$N$1:$N$7669,0),MATCH("NA"&amp;H$1&amp;$B74,'F Proj'!$N$1:$N$7669,0)))</f>
        <v>25</v>
      </c>
      <c r="I74">
        <f>IF(Week&gt;=I$1,MATCH($A74&amp;"-"&amp;I$1&amp;$B74,Finals!$J$1:$J$501,0),IFERROR(MATCH($A74&amp;I$1&amp;$B74,'F Proj'!$N$1:$N$7669,0),MATCH("NA"&amp;I$1&amp;$B74,'F Proj'!$N$1:$N$7669,0)))</f>
        <v>175</v>
      </c>
      <c r="J74">
        <f>IF(Week&gt;=J$1,MATCH($A74&amp;"-"&amp;J$1&amp;$B74,Finals!$J$1:$J$501,0),IFERROR(MATCH($A74&amp;J$1&amp;$B74,'F Proj'!$N$1:$N$7669,0),MATCH("NA"&amp;J$1&amp;$B74,'F Proj'!$N$1:$N$7669,0)))</f>
        <v>84</v>
      </c>
      <c r="K74">
        <f>IF(Week&gt;=K$1,MATCH($A74&amp;"-"&amp;K$1&amp;$B74,Finals!$J$1:$J$501,0),IFERROR(MATCH($A74&amp;K$1&amp;$B74,'F Proj'!$N$1:$N$7669,0),MATCH("NA"&amp;K$1&amp;$B74,'F Proj'!$N$1:$N$7669,0)))</f>
        <v>18</v>
      </c>
      <c r="L74">
        <f>IF(Week&gt;=L$1,MATCH($A74&amp;"-"&amp;L$1&amp;$B74,Finals!$J$1:$J$501,0),IFERROR(MATCH($A74&amp;L$1&amp;$B74,'F Proj'!$N$1:$N$7669,0),MATCH("NA"&amp;L$1&amp;$B74,'F Proj'!$N$1:$N$7669,0)))</f>
        <v>112</v>
      </c>
      <c r="M74">
        <f>IF(Week&gt;=M$1,MATCH($A74&amp;"-"&amp;M$1&amp;$B74,Finals!$J$1:$J$501,0),IFERROR(MATCH($A74&amp;M$1&amp;$B74,'F Proj'!$N$1:$N$7669,0),MATCH("NA"&amp;M$1&amp;$B74,'F Proj'!$N$1:$N$7669,0)))</f>
        <v>295</v>
      </c>
      <c r="N74">
        <f>IF(Week&gt;=N$1,MATCH($A74&amp;"-"&amp;N$1&amp;$B74,Finals!$J$1:$J$501,0),IFERROR(MATCH($A74&amp;N$1&amp;$B74,'F Proj'!$N$1:$N$7669,0),MATCH("NA"&amp;N$1&amp;$B74,'F Proj'!$N$1:$N$7669,0)))</f>
        <v>145</v>
      </c>
      <c r="O74">
        <f>IF(Week&gt;=O$1,MATCH($A74&amp;"-"&amp;O$1&amp;$B74,Finals!$J$1:$J$501,0),IFERROR(MATCH($A74&amp;O$1&amp;$B74,'F Proj'!$N$1:$N$7669,0),MATCH("NA"&amp;O$1&amp;$B74,'F Proj'!$N$1:$N$7669,0)))</f>
        <v>71</v>
      </c>
      <c r="P74">
        <f>IF(Week&gt;=P$1,MATCH($A74&amp;"-"&amp;P$1&amp;$B74,Finals!$J$1:$J$501,0),IFERROR(MATCH($A74&amp;P$1&amp;$B74,'F Proj'!$N$1:$N$7669,0),MATCH("NA"&amp;P$1&amp;$B74,'F Proj'!$N$1:$N$7669,0)))</f>
        <v>36</v>
      </c>
      <c r="Q74">
        <f>IF(Week&gt;=Q$1,MATCH($A74&amp;"-"&amp;Q$1&amp;$B74,Finals!$J$1:$J$501,0),IFERROR(MATCH($A74&amp;Q$1&amp;$B74,'F Proj'!$N$1:$N$7669,0),MATCH("NA"&amp;Q$1&amp;$B74,'F Proj'!$N$1:$N$7669,0)))</f>
        <v>23</v>
      </c>
      <c r="R74">
        <f>IF(Week&gt;=R$1,MATCH($A74&amp;"-"&amp;R$1&amp;$B74,Finals!$J$1:$J$501,0),IFERROR(MATCH($A74&amp;R$1&amp;$B74,'F Proj'!$N$1:$N$7669,0),MATCH("NA"&amp;R$1&amp;$B74,'F Proj'!$N$1:$N$7669,0)))</f>
        <v>47</v>
      </c>
      <c r="S74">
        <f>IF(Week&gt;=S$1,MATCH($A74&amp;"-"&amp;S$1&amp;$B74,Finals!$J$1:$J$501,0),IFERROR(MATCH($A74&amp;S$1&amp;$B74,'F Proj'!$N$1:$N$7669,0),MATCH("NA"&amp;S$1&amp;$B74,'F Proj'!$N$1:$N$7669,0)))</f>
        <v>46</v>
      </c>
      <c r="T74">
        <f>IF(Week&gt;=C$1,INDEX(Finals!$G$1:$G$501,C74),INDEX('F Proj'!$D$1:$D$7669,C74))</f>
        <v>21.3</v>
      </c>
      <c r="U74">
        <f>IF(Week&gt;=D$1,INDEX(Finals!$G$1:$G$501,D74),INDEX('F Proj'!$D$1:$D$7669,D74))</f>
        <v>39</v>
      </c>
      <c r="V74">
        <f>IF(Week&gt;=E$1,INDEX(Finals!$G$1:$G$501,E74),INDEX('F Proj'!$D$1:$D$7669,E74))</f>
        <v>7.5</v>
      </c>
      <c r="W74">
        <f>IF(Week&gt;=F$1,INDEX(Finals!$G$1:$G$501,F74),INDEX('F Proj'!$D$1:$D$7669,F74))</f>
        <v>19</v>
      </c>
      <c r="X74">
        <f>IF(Week&gt;=G$1,INDEX(Finals!$G$1:$G$501,G74),INDEX('F Proj'!$D$1:$D$7669,G74))</f>
        <v>27.5</v>
      </c>
      <c r="Y74">
        <f>IF(Week&gt;=H$1,INDEX(Finals!$G$1:$G$501,H74),INDEX('F Proj'!$D$1:$D$7669,H74))</f>
        <v>23.1</v>
      </c>
      <c r="Z74">
        <f>IF(Week&gt;=I$1,INDEX(Finals!$G$1:$G$501,I74),INDEX('F Proj'!$D$1:$D$7669,I74))</f>
        <v>19.5</v>
      </c>
      <c r="AA74">
        <f>IF(Week&gt;=J$1,INDEX(Finals!$G$1:$G$501,J74),INDEX('F Proj'!$D$1:$D$7669,J74))</f>
        <v>21.1</v>
      </c>
      <c r="AB74">
        <f>IF(Week&gt;=K$1,INDEX(Finals!$G$1:$G$501,K74),INDEX('F Proj'!$D$1:$D$7669,K74))</f>
        <v>23.35</v>
      </c>
      <c r="AC74">
        <f>IF(Week&gt;=L$1,INDEX(Finals!$G$1:$G$501,L74),INDEX('F Proj'!$D$1:$D$7669,L74))</f>
        <v>20.399999999999999</v>
      </c>
      <c r="AD74">
        <f>IF(Week&gt;=M$1,INDEX(Finals!$G$1:$G$501,M74),INDEX('F Proj'!$D$1:$D$7669,M74))</f>
        <v>17.690000000000001</v>
      </c>
      <c r="AE74">
        <f>IF(Week&gt;=N$1,INDEX(Finals!$G$1:$G$501,N74),INDEX('F Proj'!$D$1:$D$7669,N74))</f>
        <v>19.87</v>
      </c>
      <c r="AF74">
        <f>IF(Week&gt;=O$1,INDEX(Finals!$G$1:$G$501,O74),INDEX('F Proj'!$D$1:$D$7669,O74))</f>
        <v>21.28</v>
      </c>
      <c r="AG74">
        <f>IF(Week&gt;=P$1,INDEX(Finals!$G$1:$G$501,P74),INDEX('F Proj'!$D$1:$D$7669,P74))</f>
        <v>22.6</v>
      </c>
      <c r="AH74">
        <f>IF(Week&gt;=Q$1,INDEX(Finals!$G$1:$G$501,Q74),INDEX('F Proj'!$D$1:$D$7669,Q74))</f>
        <v>23.18</v>
      </c>
      <c r="AI74">
        <f>IF(Week&gt;=R$1,INDEX(Finals!$G$1:$G$501,R74),INDEX('F Proj'!$D$1:$D$7669,R74))</f>
        <v>21.92</v>
      </c>
      <c r="AJ74">
        <f>IF(Week&gt;=S$1,INDEX(Finals!$G$1:$G$501,S74),INDEX('F Proj'!$D$1:$D$7669,S74))</f>
        <v>21.94</v>
      </c>
      <c r="AK74">
        <f>IF(Week&gt;=C$1,INDEX(Finals!$I$1:$I$501,C74),INDEX('F Proj'!$J$1:$J$7669,C74))</f>
        <v>0</v>
      </c>
      <c r="AL74">
        <f>IF(Week&gt;=D$1,INDEX(Finals!$I$1:$I$501,D74),INDEX('F Proj'!$J$1:$J$7669,D74))</f>
        <v>0</v>
      </c>
      <c r="AM74">
        <f>IF(Week&gt;=E$1,INDEX(Finals!$I$1:$I$501,E74),INDEX('F Proj'!$J$1:$J$7669,E74))</f>
        <v>0</v>
      </c>
      <c r="AN74">
        <f>IF(Week&gt;=F$1,INDEX(Finals!$I$1:$I$501,F74),INDEX('F Proj'!$J$1:$J$7669,F74))</f>
        <v>0</v>
      </c>
      <c r="AO74">
        <f>IF(Week&gt;=G$1,INDEX(Finals!$I$1:$I$501,G74),INDEX('F Proj'!$J$1:$J$7669,G74))</f>
        <v>0</v>
      </c>
      <c r="AP74">
        <f>IF(Week&gt;=H$1,INDEX(Finals!$I$1:$I$501,H74),INDEX('F Proj'!$J$1:$J$7669,H74))</f>
        <v>42.25</v>
      </c>
      <c r="AQ74">
        <f>IF(Week&gt;=I$1,INDEX(Finals!$I$1:$I$501,I74),INDEX('F Proj'!$J$1:$J$7669,I74))</f>
        <v>52.5625</v>
      </c>
      <c r="AR74">
        <f>IF(Week&gt;=J$1,INDEX(Finals!$I$1:$I$501,J74),INDEX('F Proj'!$J$1:$J$7669,J74))</f>
        <v>49</v>
      </c>
      <c r="AS74">
        <f>IF(Week&gt;=K$1,INDEX(Finals!$I$1:$I$501,K74),INDEX('F Proj'!$J$1:$J$7669,K74))</f>
        <v>44.089599999999997</v>
      </c>
      <c r="AT74">
        <f>IF(Week&gt;=L$1,INDEX(Finals!$I$1:$I$501,L74),INDEX('F Proj'!$J$1:$J$7669,L74))</f>
        <v>53.29</v>
      </c>
      <c r="AU74">
        <f>IF(Week&gt;=M$1,INDEX(Finals!$I$1:$I$501,M74),INDEX('F Proj'!$J$1:$J$7669,M74))</f>
        <v>53.875599999999999</v>
      </c>
      <c r="AV74">
        <f>IF(Week&gt;=N$1,INDEX(Finals!$I$1:$I$501,N74),INDEX('F Proj'!$J$1:$J$7669,N74))</f>
        <v>46.648899999999998</v>
      </c>
      <c r="AW74">
        <f>IF(Week&gt;=O$1,INDEX(Finals!$I$1:$I$501,O74),INDEX('F Proj'!$J$1:$J$7669,O74))</f>
        <v>42.120100000000001</v>
      </c>
      <c r="AX74">
        <f>IF(Week&gt;=P$1,INDEX(Finals!$I$1:$I$501,P74),INDEX('F Proj'!$J$1:$J$7669,P74))</f>
        <v>50.126399999999997</v>
      </c>
      <c r="AY74">
        <f>IF(Week&gt;=Q$1,INDEX(Finals!$I$1:$I$501,Q74),INDEX('F Proj'!$J$1:$J$7669,Q74))</f>
        <v>46.376100000000001</v>
      </c>
      <c r="AZ74">
        <f>IF(Week&gt;=R$1,INDEX(Finals!$I$1:$I$501,R74),INDEX('F Proj'!$J$1:$J$7669,R74))</f>
        <v>37.4544</v>
      </c>
      <c r="BA74">
        <f>IF(Week&gt;=S$1,INDEX(Finals!$I$1:$I$501,S74),INDEX('F Proj'!$J$1:$J$7669,S74))</f>
        <v>55.056399999999996</v>
      </c>
    </row>
    <row r="75" spans="1:53" x14ac:dyDescent="0.25">
      <c r="A75" t="s">
        <v>1648</v>
      </c>
      <c r="B75" t="s">
        <v>468</v>
      </c>
      <c r="C75">
        <f>IF(Week&gt;=C$1,MATCH($A75&amp;"-"&amp;C$1&amp;$B75,Finals!$J$1:$J$501,0),IFERROR(MATCH($A75&amp;C$1&amp;$B75,'F Proj'!$N$1:$N$7669,0),MATCH("NA"&amp;C$1&amp;$B75,'F Proj'!$N$1:$N$7669,0)))</f>
        <v>342</v>
      </c>
      <c r="D75">
        <f>IF(Week&gt;=D$1,MATCH($A75&amp;"-"&amp;D$1&amp;$B75,Finals!$J$1:$J$501,0),IFERROR(MATCH($A75&amp;D$1&amp;$B75,'F Proj'!$N$1:$N$7669,0),MATCH("NA"&amp;D$1&amp;$B75,'F Proj'!$N$1:$N$7669,0)))</f>
        <v>343</v>
      </c>
      <c r="E75">
        <f>IF(Week&gt;=E$1,MATCH($A75&amp;"-"&amp;E$1&amp;$B75,Finals!$J$1:$J$501,0),IFERROR(MATCH($A75&amp;E$1&amp;$B75,'F Proj'!$N$1:$N$7669,0),MATCH("NA"&amp;E$1&amp;$B75,'F Proj'!$N$1:$N$7669,0)))</f>
        <v>344</v>
      </c>
      <c r="F75">
        <f>IF(Week&gt;=F$1,MATCH($A75&amp;"-"&amp;F$1&amp;$B75,Finals!$J$1:$J$501,0),IFERROR(MATCH($A75&amp;F$1&amp;$B75,'F Proj'!$N$1:$N$7669,0),MATCH("NA"&amp;F$1&amp;$B75,'F Proj'!$N$1:$N$7669,0)))</f>
        <v>345</v>
      </c>
      <c r="G75">
        <f>IF(Week&gt;=G$1,MATCH($A75&amp;"-"&amp;G$1&amp;$B75,Finals!$J$1:$J$501,0),IFERROR(MATCH($A75&amp;G$1&amp;$B75,'F Proj'!$N$1:$N$7669,0),MATCH("NA"&amp;G$1&amp;$B75,'F Proj'!$N$1:$N$7669,0)))</f>
        <v>346</v>
      </c>
      <c r="H75">
        <f>IF(Week&gt;=H$1,MATCH($A75&amp;"-"&amp;H$1&amp;$B75,Finals!$J$1:$J$501,0),IFERROR(MATCH($A75&amp;H$1&amp;$B75,'F Proj'!$N$1:$N$7669,0),MATCH("NA"&amp;H$1&amp;$B75,'F Proj'!$N$1:$N$7669,0)))</f>
        <v>901</v>
      </c>
      <c r="I75">
        <f>IF(Week&gt;=I$1,MATCH($A75&amp;"-"&amp;I$1&amp;$B75,Finals!$J$1:$J$501,0),IFERROR(MATCH($A75&amp;I$1&amp;$B75,'F Proj'!$N$1:$N$7669,0),MATCH("NA"&amp;I$1&amp;$B75,'F Proj'!$N$1:$N$7669,0)))</f>
        <v>578</v>
      </c>
      <c r="J75">
        <f>IF(Week&gt;=J$1,MATCH($A75&amp;"-"&amp;J$1&amp;$B75,Finals!$J$1:$J$501,0),IFERROR(MATCH($A75&amp;J$1&amp;$B75,'F Proj'!$N$1:$N$7669,0),MATCH("NA"&amp;J$1&amp;$B75,'F Proj'!$N$1:$N$7669,0)))</f>
        <v>446</v>
      </c>
      <c r="K75">
        <f>IF(Week&gt;=K$1,MATCH($A75&amp;"-"&amp;K$1&amp;$B75,Finals!$J$1:$J$501,0),IFERROR(MATCH($A75&amp;K$1&amp;$B75,'F Proj'!$N$1:$N$7669,0),MATCH("NA"&amp;K$1&amp;$B75,'F Proj'!$N$1:$N$7669,0)))</f>
        <v>1286</v>
      </c>
      <c r="L75">
        <f>IF(Week&gt;=L$1,MATCH($A75&amp;"-"&amp;L$1&amp;$B75,Finals!$J$1:$J$501,0),IFERROR(MATCH($A75&amp;L$1&amp;$B75,'F Proj'!$N$1:$N$7669,0),MATCH("NA"&amp;L$1&amp;$B75,'F Proj'!$N$1:$N$7669,0)))</f>
        <v>611</v>
      </c>
      <c r="M75">
        <f>IF(Week&gt;=M$1,MATCH($A75&amp;"-"&amp;M$1&amp;$B75,Finals!$J$1:$J$501,0),IFERROR(MATCH($A75&amp;M$1&amp;$B75,'F Proj'!$N$1:$N$7669,0),MATCH("NA"&amp;M$1&amp;$B75,'F Proj'!$N$1:$N$7669,0)))</f>
        <v>525</v>
      </c>
      <c r="N75">
        <f>IF(Week&gt;=N$1,MATCH($A75&amp;"-"&amp;N$1&amp;$B75,Finals!$J$1:$J$501,0),IFERROR(MATCH($A75&amp;N$1&amp;$B75,'F Proj'!$N$1:$N$7669,0),MATCH("NA"&amp;N$1&amp;$B75,'F Proj'!$N$1:$N$7669,0)))</f>
        <v>995</v>
      </c>
      <c r="O75">
        <f>IF(Week&gt;=O$1,MATCH($A75&amp;"-"&amp;O$1&amp;$B75,Finals!$J$1:$J$501,0),IFERROR(MATCH($A75&amp;O$1&amp;$B75,'F Proj'!$N$1:$N$7669,0),MATCH("NA"&amp;O$1&amp;$B75,'F Proj'!$N$1:$N$7669,0)))</f>
        <v>743</v>
      </c>
      <c r="P75">
        <f>IF(Week&gt;=P$1,MATCH($A75&amp;"-"&amp;P$1&amp;$B75,Finals!$J$1:$J$501,0),IFERROR(MATCH($A75&amp;P$1&amp;$B75,'F Proj'!$N$1:$N$7669,0),MATCH("NA"&amp;P$1&amp;$B75,'F Proj'!$N$1:$N$7669,0)))</f>
        <v>534</v>
      </c>
      <c r="Q75">
        <f>IF(Week&gt;=Q$1,MATCH($A75&amp;"-"&amp;Q$1&amp;$B75,Finals!$J$1:$J$501,0),IFERROR(MATCH($A75&amp;Q$1&amp;$B75,'F Proj'!$N$1:$N$7669,0),MATCH("NA"&amp;Q$1&amp;$B75,'F Proj'!$N$1:$N$7669,0)))</f>
        <v>512</v>
      </c>
      <c r="R75">
        <f>IF(Week&gt;=R$1,MATCH($A75&amp;"-"&amp;R$1&amp;$B75,Finals!$J$1:$J$501,0),IFERROR(MATCH($A75&amp;R$1&amp;$B75,'F Proj'!$N$1:$N$7669,0),MATCH("NA"&amp;R$1&amp;$B75,'F Proj'!$N$1:$N$7669,0)))</f>
        <v>636</v>
      </c>
      <c r="S75">
        <f>IF(Week&gt;=S$1,MATCH($A75&amp;"-"&amp;S$1&amp;$B75,Finals!$J$1:$J$501,0),IFERROR(MATCH($A75&amp;S$1&amp;$B75,'F Proj'!$N$1:$N$7669,0),MATCH("NA"&amp;S$1&amp;$B75,'F Proj'!$N$1:$N$7669,0)))</f>
        <v>569</v>
      </c>
      <c r="T75">
        <f>IF(Week&gt;=C$1,INDEX(Finals!$G$1:$G$501,C75),INDEX('F Proj'!$D$1:$D$7669,C75))</f>
        <v>18.8</v>
      </c>
      <c r="U75">
        <f>IF(Week&gt;=D$1,INDEX(Finals!$G$1:$G$501,D75),INDEX('F Proj'!$D$1:$D$7669,D75))</f>
        <v>10.8</v>
      </c>
      <c r="V75">
        <f>IF(Week&gt;=E$1,INDEX(Finals!$G$1:$G$501,E75),INDEX('F Proj'!$D$1:$D$7669,E75))</f>
        <v>17.7</v>
      </c>
      <c r="W75">
        <f>IF(Week&gt;=F$1,INDEX(Finals!$G$1:$G$501,F75),INDEX('F Proj'!$D$1:$D$7669,F75))</f>
        <v>16</v>
      </c>
      <c r="X75">
        <f>IF(Week&gt;=G$1,INDEX(Finals!$G$1:$G$501,G75),INDEX('F Proj'!$D$1:$D$7669,G75))</f>
        <v>13.37</v>
      </c>
      <c r="Y75">
        <f>IF(Week&gt;=H$1,INDEX(Finals!$G$1:$G$501,H75),INDEX('F Proj'!$D$1:$D$7669,H75))</f>
        <v>11.23</v>
      </c>
      <c r="Z75">
        <f>IF(Week&gt;=I$1,INDEX(Finals!$G$1:$G$501,I75),INDEX('F Proj'!$D$1:$D$7669,I75))</f>
        <v>14.05</v>
      </c>
      <c r="AA75">
        <f>IF(Week&gt;=J$1,INDEX(Finals!$G$1:$G$501,J75),INDEX('F Proj'!$D$1:$D$7669,J75))</f>
        <v>15.52</v>
      </c>
      <c r="AB75">
        <f>IF(Week&gt;=K$1,INDEX(Finals!$G$1:$G$501,K75),INDEX('F Proj'!$D$1:$D$7669,K75))</f>
        <v>8.93</v>
      </c>
      <c r="AC75">
        <f>IF(Week&gt;=L$1,INDEX(Finals!$G$1:$G$501,L75),INDEX('F Proj'!$D$1:$D$7669,L75))</f>
        <v>13.67</v>
      </c>
      <c r="AD75">
        <f>IF(Week&gt;=M$1,INDEX(Finals!$G$1:$G$501,M75),INDEX('F Proj'!$D$1:$D$7669,M75))</f>
        <v>14.51</v>
      </c>
      <c r="AE75">
        <f>IF(Week&gt;=N$1,INDEX(Finals!$G$1:$G$501,N75),INDEX('F Proj'!$D$1:$D$7669,N75))</f>
        <v>10.44</v>
      </c>
      <c r="AF75">
        <f>IF(Week&gt;=O$1,INDEX(Finals!$G$1:$G$501,O75),INDEX('F Proj'!$D$1:$D$7669,O75))</f>
        <v>12.61</v>
      </c>
      <c r="AG75">
        <f>IF(Week&gt;=P$1,INDEX(Finals!$G$1:$G$501,P75),INDEX('F Proj'!$D$1:$D$7669,P75))</f>
        <v>14.42</v>
      </c>
      <c r="AH75">
        <f>IF(Week&gt;=Q$1,INDEX(Finals!$G$1:$G$501,Q75),INDEX('F Proj'!$D$1:$D$7669,Q75))</f>
        <v>14.61</v>
      </c>
      <c r="AI75">
        <f>IF(Week&gt;=R$1,INDEX(Finals!$G$1:$G$501,R75),INDEX('F Proj'!$D$1:$D$7669,R75))</f>
        <v>13.44</v>
      </c>
      <c r="AJ75">
        <f>IF(Week&gt;=S$1,INDEX(Finals!$G$1:$G$501,S75),INDEX('F Proj'!$D$1:$D$7669,S75))</f>
        <v>14.09</v>
      </c>
      <c r="AK75">
        <f>IF(Week&gt;=C$1,INDEX(Finals!$I$1:$I$501,C75),INDEX('F Proj'!$J$1:$J$7669,C75))</f>
        <v>0</v>
      </c>
      <c r="AL75">
        <f>IF(Week&gt;=D$1,INDEX(Finals!$I$1:$I$501,D75),INDEX('F Proj'!$J$1:$J$7669,D75))</f>
        <v>0</v>
      </c>
      <c r="AM75">
        <f>IF(Week&gt;=E$1,INDEX(Finals!$I$1:$I$501,E75),INDEX('F Proj'!$J$1:$J$7669,E75))</f>
        <v>0</v>
      </c>
      <c r="AN75">
        <f>IF(Week&gt;=F$1,INDEX(Finals!$I$1:$I$501,F75),INDEX('F Proj'!$J$1:$J$7669,F75))</f>
        <v>0</v>
      </c>
      <c r="AO75">
        <f>IF(Week&gt;=G$1,INDEX(Finals!$I$1:$I$501,G75),INDEX('F Proj'!$J$1:$J$7669,G75))</f>
        <v>68.392899999999997</v>
      </c>
      <c r="AP75">
        <f>IF(Week&gt;=H$1,INDEX(Finals!$I$1:$I$501,H75),INDEX('F Proj'!$J$1:$J$7669,H75))</f>
        <v>46.24</v>
      </c>
      <c r="AQ75">
        <f>IF(Week&gt;=I$1,INDEX(Finals!$I$1:$I$501,I75),INDEX('F Proj'!$J$1:$J$7669,I75))</f>
        <v>80.820099999999996</v>
      </c>
      <c r="AR75">
        <f>IF(Week&gt;=J$1,INDEX(Finals!$I$1:$I$501,J75),INDEX('F Proj'!$J$1:$J$7669,J75))</f>
        <v>90.820899999999995</v>
      </c>
      <c r="AS75">
        <f>IF(Week&gt;=K$1,INDEX(Finals!$I$1:$I$501,K75),INDEX('F Proj'!$J$1:$J$7669,K75))</f>
        <v>33.872399999999999</v>
      </c>
      <c r="AT75">
        <f>IF(Week&gt;=L$1,INDEX(Finals!$I$1:$I$501,L75),INDEX('F Proj'!$J$1:$J$7669,L75))</f>
        <v>68.89</v>
      </c>
      <c r="AU75">
        <f>IF(Week&gt;=M$1,INDEX(Finals!$I$1:$I$501,M75),INDEX('F Proj'!$J$1:$J$7669,M75))</f>
        <v>77.088399999999993</v>
      </c>
      <c r="AV75">
        <f>IF(Week&gt;=N$1,INDEX(Finals!$I$1:$I$501,N75),INDEX('F Proj'!$J$1:$J$7669,N75))</f>
        <v>46.24</v>
      </c>
      <c r="AW75">
        <f>IF(Week&gt;=O$1,INDEX(Finals!$I$1:$I$501,O75),INDEX('F Proj'!$J$1:$J$7669,O75))</f>
        <v>62.568100000000001</v>
      </c>
      <c r="AX75">
        <f>IF(Week&gt;=P$1,INDEX(Finals!$I$1:$I$501,P75),INDEX('F Proj'!$J$1:$J$7669,P75))</f>
        <v>90.820899999999995</v>
      </c>
      <c r="AY75">
        <f>IF(Week&gt;=Q$1,INDEX(Finals!$I$1:$I$501,Q75),INDEX('F Proj'!$J$1:$J$7669,Q75))</f>
        <v>66.096900000000005</v>
      </c>
      <c r="AZ75">
        <f>IF(Week&gt;=R$1,INDEX(Finals!$I$1:$I$501,R75),INDEX('F Proj'!$J$1:$J$7669,R75))</f>
        <v>68.558400000000006</v>
      </c>
      <c r="BA75">
        <f>IF(Week&gt;=S$1,INDEX(Finals!$I$1:$I$501,S75),INDEX('F Proj'!$J$1:$J$7669,S75))</f>
        <v>62.252099999999999</v>
      </c>
    </row>
    <row r="76" spans="1:53" x14ac:dyDescent="0.25">
      <c r="A76" t="s">
        <v>1648</v>
      </c>
      <c r="B76" t="s">
        <v>469</v>
      </c>
      <c r="C76">
        <f>IF(Week&gt;=C$1,MATCH($A76&amp;"-"&amp;C$1&amp;$B76,Finals!$J$1:$J$501,0),IFERROR(MATCH($A76&amp;C$1&amp;$B76,'F Proj'!$N$1:$N$7669,0),MATCH("NA"&amp;C$1&amp;$B76,'F Proj'!$N$1:$N$7669,0)))</f>
        <v>241</v>
      </c>
      <c r="D76">
        <f>IF(Week&gt;=D$1,MATCH($A76&amp;"-"&amp;D$1&amp;$B76,Finals!$J$1:$J$501,0),IFERROR(MATCH($A76&amp;D$1&amp;$B76,'F Proj'!$N$1:$N$7669,0),MATCH("NA"&amp;D$1&amp;$B76,'F Proj'!$N$1:$N$7669,0)))</f>
        <v>242</v>
      </c>
      <c r="E76">
        <f>IF(Week&gt;=E$1,MATCH($A76&amp;"-"&amp;E$1&amp;$B76,Finals!$J$1:$J$501,0),IFERROR(MATCH($A76&amp;E$1&amp;$B76,'F Proj'!$N$1:$N$7669,0),MATCH("NA"&amp;E$1&amp;$B76,'F Proj'!$N$1:$N$7669,0)))</f>
        <v>243</v>
      </c>
      <c r="F76">
        <f>IF(Week&gt;=F$1,MATCH($A76&amp;"-"&amp;F$1&amp;$B76,Finals!$J$1:$J$501,0),IFERROR(MATCH($A76&amp;F$1&amp;$B76,'F Proj'!$N$1:$N$7669,0),MATCH("NA"&amp;F$1&amp;$B76,'F Proj'!$N$1:$N$7669,0)))</f>
        <v>319</v>
      </c>
      <c r="G76">
        <f>IF(Week&gt;=G$1,MATCH($A76&amp;"-"&amp;G$1&amp;$B76,Finals!$J$1:$J$501,0),IFERROR(MATCH($A76&amp;G$1&amp;$B76,'F Proj'!$N$1:$N$7669,0),MATCH("NA"&amp;G$1&amp;$B76,'F Proj'!$N$1:$N$7669,0)))</f>
        <v>74</v>
      </c>
      <c r="H76">
        <f>IF(Week&gt;=H$1,MATCH($A76&amp;"-"&amp;H$1&amp;$B76,Finals!$J$1:$J$501,0),IFERROR(MATCH($A76&amp;H$1&amp;$B76,'F Proj'!$N$1:$N$7669,0),MATCH("NA"&amp;H$1&amp;$B76,'F Proj'!$N$1:$N$7669,0)))</f>
        <v>1341</v>
      </c>
      <c r="I76">
        <f>IF(Week&gt;=I$1,MATCH($A76&amp;"-"&amp;I$1&amp;$B76,Finals!$J$1:$J$501,0),IFERROR(MATCH($A76&amp;I$1&amp;$B76,'F Proj'!$N$1:$N$7669,0),MATCH("NA"&amp;I$1&amp;$B76,'F Proj'!$N$1:$N$7669,0)))</f>
        <v>1319</v>
      </c>
      <c r="J76">
        <f>IF(Week&gt;=J$1,MATCH($A76&amp;"-"&amp;J$1&amp;$B76,Finals!$J$1:$J$501,0),IFERROR(MATCH($A76&amp;J$1&amp;$B76,'F Proj'!$N$1:$N$7669,0),MATCH("NA"&amp;J$1&amp;$B76,'F Proj'!$N$1:$N$7669,0)))</f>
        <v>1608</v>
      </c>
      <c r="K76">
        <f>IF(Week&gt;=K$1,MATCH($A76&amp;"-"&amp;K$1&amp;$B76,Finals!$J$1:$J$501,0),IFERROR(MATCH($A76&amp;K$1&amp;$B76,'F Proj'!$N$1:$N$7669,0),MATCH("NA"&amp;K$1&amp;$B76,'F Proj'!$N$1:$N$7669,0)))</f>
        <v>1635</v>
      </c>
      <c r="L76">
        <f>IF(Week&gt;=L$1,MATCH($A76&amp;"-"&amp;L$1&amp;$B76,Finals!$J$1:$J$501,0),IFERROR(MATCH($A76&amp;L$1&amp;$B76,'F Proj'!$N$1:$N$7669,0),MATCH("NA"&amp;L$1&amp;$B76,'F Proj'!$N$1:$N$7669,0)))</f>
        <v>1798</v>
      </c>
      <c r="M76">
        <f>IF(Week&gt;=M$1,MATCH($A76&amp;"-"&amp;M$1&amp;$B76,Finals!$J$1:$J$501,0),IFERROR(MATCH($A76&amp;M$1&amp;$B76,'F Proj'!$N$1:$N$7669,0),MATCH("NA"&amp;M$1&amp;$B76,'F Proj'!$N$1:$N$7669,0)))</f>
        <v>1315</v>
      </c>
      <c r="N76">
        <f>IF(Week&gt;=N$1,MATCH($A76&amp;"-"&amp;N$1&amp;$B76,Finals!$J$1:$J$501,0),IFERROR(MATCH($A76&amp;N$1&amp;$B76,'F Proj'!$N$1:$N$7669,0),MATCH("NA"&amp;N$1&amp;$B76,'F Proj'!$N$1:$N$7669,0)))</f>
        <v>1354</v>
      </c>
      <c r="O76">
        <f>IF(Week&gt;=O$1,MATCH($A76&amp;"-"&amp;O$1&amp;$B76,Finals!$J$1:$J$501,0),IFERROR(MATCH($A76&amp;O$1&amp;$B76,'F Proj'!$N$1:$N$7669,0),MATCH("NA"&amp;O$1&amp;$B76,'F Proj'!$N$1:$N$7669,0)))</f>
        <v>1690</v>
      </c>
      <c r="P76">
        <f>IF(Week&gt;=P$1,MATCH($A76&amp;"-"&amp;P$1&amp;$B76,Finals!$J$1:$J$501,0),IFERROR(MATCH($A76&amp;P$1&amp;$B76,'F Proj'!$N$1:$N$7669,0),MATCH("NA"&amp;P$1&amp;$B76,'F Proj'!$N$1:$N$7669,0)))</f>
        <v>1371</v>
      </c>
      <c r="Q76">
        <f>IF(Week&gt;=Q$1,MATCH($A76&amp;"-"&amp;Q$1&amp;$B76,Finals!$J$1:$J$501,0),IFERROR(MATCH($A76&amp;Q$1&amp;$B76,'F Proj'!$N$1:$N$7669,0),MATCH("NA"&amp;Q$1&amp;$B76,'F Proj'!$N$1:$N$7669,0)))</f>
        <v>1901</v>
      </c>
      <c r="R76">
        <f>IF(Week&gt;=R$1,MATCH($A76&amp;"-"&amp;R$1&amp;$B76,Finals!$J$1:$J$501,0),IFERROR(MATCH($A76&amp;R$1&amp;$B76,'F Proj'!$N$1:$N$7669,0),MATCH("NA"&amp;R$1&amp;$B76,'F Proj'!$N$1:$N$7669,0)))</f>
        <v>1524</v>
      </c>
      <c r="S76">
        <f>IF(Week&gt;=S$1,MATCH($A76&amp;"-"&amp;S$1&amp;$B76,Finals!$J$1:$J$501,0),IFERROR(MATCH($A76&amp;S$1&amp;$B76,'F Proj'!$N$1:$N$7669,0),MATCH("NA"&amp;S$1&amp;$B76,'F Proj'!$N$1:$N$7669,0)))</f>
        <v>1280</v>
      </c>
      <c r="T76">
        <f>IF(Week&gt;=C$1,INDEX(Finals!$G$1:$G$501,C76),INDEX('F Proj'!$D$1:$D$7669,C76))</f>
        <v>6.6</v>
      </c>
      <c r="U76">
        <f>IF(Week&gt;=D$1,INDEX(Finals!$G$1:$G$501,D76),INDEX('F Proj'!$D$1:$D$7669,D76))</f>
        <v>13</v>
      </c>
      <c r="V76">
        <f>IF(Week&gt;=E$1,INDEX(Finals!$G$1:$G$501,E76),INDEX('F Proj'!$D$1:$D$7669,E76))</f>
        <v>1</v>
      </c>
      <c r="W76">
        <f>IF(Week&gt;=F$1,INDEX(Finals!$G$1:$G$501,F76),INDEX('F Proj'!$D$1:$D$7669,F76))</f>
        <v>4.9000000000000004</v>
      </c>
      <c r="X76">
        <f>IF(Week&gt;=G$1,INDEX(Finals!$G$1:$G$501,G76),INDEX('F Proj'!$D$1:$D$7669,G76))</f>
        <v>7.35</v>
      </c>
      <c r="Y76">
        <f>IF(Week&gt;=H$1,INDEX(Finals!$G$1:$G$501,H76),INDEX('F Proj'!$D$1:$D$7669,H76))</f>
        <v>8.68</v>
      </c>
      <c r="Z76">
        <f>IF(Week&gt;=I$1,INDEX(Finals!$G$1:$G$501,I76),INDEX('F Proj'!$D$1:$D$7669,I76))</f>
        <v>8.77</v>
      </c>
      <c r="AA76">
        <f>IF(Week&gt;=J$1,INDEX(Finals!$G$1:$G$501,J76),INDEX('F Proj'!$D$1:$D$7669,J76))</f>
        <v>7.75</v>
      </c>
      <c r="AB76">
        <f>IF(Week&gt;=K$1,INDEX(Finals!$G$1:$G$501,K76),INDEX('F Proj'!$D$1:$D$7669,K76))</f>
        <v>7.64</v>
      </c>
      <c r="AC76">
        <f>IF(Week&gt;=L$1,INDEX(Finals!$G$1:$G$501,L76),INDEX('F Proj'!$D$1:$D$7669,L76))</f>
        <v>7.11</v>
      </c>
      <c r="AD76">
        <f>IF(Week&gt;=M$1,INDEX(Finals!$G$1:$G$501,M76),INDEX('F Proj'!$D$1:$D$7669,M76))</f>
        <v>8.8000000000000007</v>
      </c>
      <c r="AE76">
        <f>IF(Week&gt;=N$1,INDEX(Finals!$G$1:$G$501,N76),INDEX('F Proj'!$D$1:$D$7669,N76))</f>
        <v>8.64</v>
      </c>
      <c r="AF76">
        <f>IF(Week&gt;=O$1,INDEX(Finals!$G$1:$G$501,O76),INDEX('F Proj'!$D$1:$D$7669,O76))</f>
        <v>7.45</v>
      </c>
      <c r="AG76">
        <f>IF(Week&gt;=P$1,INDEX(Finals!$G$1:$G$501,P76),INDEX('F Proj'!$D$1:$D$7669,P76))</f>
        <v>8.57</v>
      </c>
      <c r="AH76">
        <f>IF(Week&gt;=Q$1,INDEX(Finals!$G$1:$G$501,Q76),INDEX('F Proj'!$D$1:$D$7669,Q76))</f>
        <v>6.8</v>
      </c>
      <c r="AI76">
        <f>IF(Week&gt;=R$1,INDEX(Finals!$G$1:$G$501,R76),INDEX('F Proj'!$D$1:$D$7669,R76))</f>
        <v>8.0399999999999991</v>
      </c>
      <c r="AJ76">
        <f>IF(Week&gt;=S$1,INDEX(Finals!$G$1:$G$501,S76),INDEX('F Proj'!$D$1:$D$7669,S76))</f>
        <v>8.9600000000000009</v>
      </c>
      <c r="AK76">
        <f>IF(Week&gt;=C$1,INDEX(Finals!$I$1:$I$501,C76),INDEX('F Proj'!$J$1:$J$7669,C76))</f>
        <v>0</v>
      </c>
      <c r="AL76">
        <f>IF(Week&gt;=D$1,INDEX(Finals!$I$1:$I$501,D76),INDEX('F Proj'!$J$1:$J$7669,D76))</f>
        <v>0</v>
      </c>
      <c r="AM76">
        <f>IF(Week&gt;=E$1,INDEX(Finals!$I$1:$I$501,E76),INDEX('F Proj'!$J$1:$J$7669,E76))</f>
        <v>0</v>
      </c>
      <c r="AN76">
        <f>IF(Week&gt;=F$1,INDEX(Finals!$I$1:$I$501,F76),INDEX('F Proj'!$J$1:$J$7669,F76))</f>
        <v>0</v>
      </c>
      <c r="AO76">
        <f>IF(Week&gt;=G$1,INDEX(Finals!$I$1:$I$501,G76),INDEX('F Proj'!$J$1:$J$7669,G76))</f>
        <v>30.691600000000001</v>
      </c>
      <c r="AP76">
        <f>IF(Week&gt;=H$1,INDEX(Finals!$I$1:$I$501,H76),INDEX('F Proj'!$J$1:$J$7669,H76))</f>
        <v>41.088099999999997</v>
      </c>
      <c r="AQ76">
        <f>IF(Week&gt;=I$1,INDEX(Finals!$I$1:$I$501,I76),INDEX('F Proj'!$J$1:$J$7669,I76))</f>
        <v>29.4849</v>
      </c>
      <c r="AR76">
        <f>IF(Week&gt;=J$1,INDEX(Finals!$I$1:$I$501,J76),INDEX('F Proj'!$J$1:$J$7669,J76))</f>
        <v>31.36</v>
      </c>
      <c r="AS76">
        <f>IF(Week&gt;=K$1,INDEX(Finals!$I$1:$I$501,K76),INDEX('F Proj'!$J$1:$J$7669,K76))</f>
        <v>34.105600000000003</v>
      </c>
      <c r="AT76">
        <f>IF(Week&gt;=L$1,INDEX(Finals!$I$1:$I$501,L76),INDEX('F Proj'!$J$1:$J$7669,L76))</f>
        <v>29.9209</v>
      </c>
      <c r="AU76">
        <f>IF(Week&gt;=M$1,INDEX(Finals!$I$1:$I$501,M76),INDEX('F Proj'!$J$1:$J$7669,M76))</f>
        <v>41.7316</v>
      </c>
      <c r="AV76">
        <f>IF(Week&gt;=N$1,INDEX(Finals!$I$1:$I$501,N76),INDEX('F Proj'!$J$1:$J$7669,N76))</f>
        <v>42.25</v>
      </c>
      <c r="AW76">
        <f>IF(Week&gt;=O$1,INDEX(Finals!$I$1:$I$501,O76),INDEX('F Proj'!$J$1:$J$7669,O76))</f>
        <v>31.584399999999999</v>
      </c>
      <c r="AX76">
        <f>IF(Week&gt;=P$1,INDEX(Finals!$I$1:$I$501,P76),INDEX('F Proj'!$J$1:$J$7669,P76))</f>
        <v>43.164900000000003</v>
      </c>
      <c r="AY76">
        <f>IF(Week&gt;=Q$1,INDEX(Finals!$I$1:$I$501,Q76),INDEX('F Proj'!$J$1:$J$7669,Q76))</f>
        <v>23.814399999999999</v>
      </c>
      <c r="AZ76">
        <f>IF(Week&gt;=R$1,INDEX(Finals!$I$1:$I$501,R76),INDEX('F Proj'!$J$1:$J$7669,R76))</f>
        <v>40.195599999999999</v>
      </c>
      <c r="BA76">
        <f>IF(Week&gt;=S$1,INDEX(Finals!$I$1:$I$501,S76),INDEX('F Proj'!$J$1:$J$7669,S76))</f>
        <v>50.552100000000003</v>
      </c>
    </row>
    <row r="77" spans="1:53" x14ac:dyDescent="0.25">
      <c r="A77" t="s">
        <v>1648</v>
      </c>
      <c r="B77" t="s">
        <v>470</v>
      </c>
      <c r="C77" t="e">
        <f>IF(Week&gt;=C$1,MATCH($A77&amp;"-"&amp;C$1&amp;$B77,Finals!$J$1:$J$501,0),IFERROR(MATCH($A77&amp;C$1&amp;$B77,'F Proj'!$N$1:$N$7669,0),MATCH("NA"&amp;C$1&amp;$B77,'F Proj'!$N$1:$N$7669,0)))</f>
        <v>#N/A</v>
      </c>
      <c r="D77" t="e">
        <f>IF(Week&gt;=D$1,MATCH($A77&amp;"-"&amp;D$1&amp;$B77,Finals!$J$1:$J$501,0),IFERROR(MATCH($A77&amp;D$1&amp;$B77,'F Proj'!$N$1:$N$7669,0),MATCH("NA"&amp;D$1&amp;$B77,'F Proj'!$N$1:$N$7669,0)))</f>
        <v>#N/A</v>
      </c>
      <c r="E77" t="e">
        <f>IF(Week&gt;=E$1,MATCH($A77&amp;"-"&amp;E$1&amp;$B77,Finals!$J$1:$J$501,0),IFERROR(MATCH($A77&amp;E$1&amp;$B77,'F Proj'!$N$1:$N$7669,0),MATCH("NA"&amp;E$1&amp;$B77,'F Proj'!$N$1:$N$7669,0)))</f>
        <v>#N/A</v>
      </c>
      <c r="F77" t="e">
        <f>IF(Week&gt;=F$1,MATCH($A77&amp;"-"&amp;F$1&amp;$B77,Finals!$J$1:$J$501,0),IFERROR(MATCH($A77&amp;F$1&amp;$B77,'F Proj'!$N$1:$N$7669,0),MATCH("NA"&amp;F$1&amp;$B77,'F Proj'!$N$1:$N$7669,0)))</f>
        <v>#N/A</v>
      </c>
      <c r="G77" t="e">
        <f>IF(Week&gt;=G$1,MATCH($A77&amp;"-"&amp;G$1&amp;$B77,Finals!$J$1:$J$501,0),IFERROR(MATCH($A77&amp;G$1&amp;$B77,'F Proj'!$N$1:$N$7669,0),MATCH("NA"&amp;G$1&amp;$B77,'F Proj'!$N$1:$N$7669,0)))</f>
        <v>#N/A</v>
      </c>
      <c r="H77">
        <f>IF(Week&gt;=H$1,MATCH($A77&amp;"-"&amp;H$1&amp;$B77,Finals!$J$1:$J$501,0),IFERROR(MATCH($A77&amp;H$1&amp;$B77,'F Proj'!$N$1:$N$7669,0),MATCH("NA"&amp;H$1&amp;$B77,'F Proj'!$N$1:$N$7669,0)))</f>
        <v>1714</v>
      </c>
      <c r="I77">
        <f>IF(Week&gt;=I$1,MATCH($A77&amp;"-"&amp;I$1&amp;$B77,Finals!$J$1:$J$501,0),IFERROR(MATCH($A77&amp;I$1&amp;$B77,'F Proj'!$N$1:$N$7669,0),MATCH("NA"&amp;I$1&amp;$B77,'F Proj'!$N$1:$N$7669,0)))</f>
        <v>1414</v>
      </c>
      <c r="J77">
        <f>IF(Week&gt;=J$1,MATCH($A77&amp;"-"&amp;J$1&amp;$B77,Finals!$J$1:$J$501,0),IFERROR(MATCH($A77&amp;J$1&amp;$B77,'F Proj'!$N$1:$N$7669,0),MATCH("NA"&amp;J$1&amp;$B77,'F Proj'!$N$1:$N$7669,0)))</f>
        <v>1808</v>
      </c>
      <c r="K77">
        <f>IF(Week&gt;=K$1,MATCH($A77&amp;"-"&amp;K$1&amp;$B77,Finals!$J$1:$J$501,0),IFERROR(MATCH($A77&amp;K$1&amp;$B77,'F Proj'!$N$1:$N$7669,0),MATCH("NA"&amp;K$1&amp;$B77,'F Proj'!$N$1:$N$7669,0)))</f>
        <v>1886</v>
      </c>
      <c r="L77">
        <f>IF(Week&gt;=L$1,MATCH($A77&amp;"-"&amp;L$1&amp;$B77,Finals!$J$1:$J$501,0),IFERROR(MATCH($A77&amp;L$1&amp;$B77,'F Proj'!$N$1:$N$7669,0),MATCH("NA"&amp;L$1&amp;$B77,'F Proj'!$N$1:$N$7669,0)))</f>
        <v>1847</v>
      </c>
      <c r="M77">
        <f>IF(Week&gt;=M$1,MATCH($A77&amp;"-"&amp;M$1&amp;$B77,Finals!$J$1:$J$501,0),IFERROR(MATCH($A77&amp;M$1&amp;$B77,'F Proj'!$N$1:$N$7669,0),MATCH("NA"&amp;M$1&amp;$B77,'F Proj'!$N$1:$N$7669,0)))</f>
        <v>1493</v>
      </c>
      <c r="N77">
        <f>IF(Week&gt;=N$1,MATCH($A77&amp;"-"&amp;N$1&amp;$B77,Finals!$J$1:$J$501,0),IFERROR(MATCH($A77&amp;N$1&amp;$B77,'F Proj'!$N$1:$N$7669,0),MATCH("NA"&amp;N$1&amp;$B77,'F Proj'!$N$1:$N$7669,0)))</f>
        <v>1469</v>
      </c>
      <c r="O77">
        <f>IF(Week&gt;=O$1,MATCH($A77&amp;"-"&amp;O$1&amp;$B77,Finals!$J$1:$J$501,0),IFERROR(MATCH($A77&amp;O$1&amp;$B77,'F Proj'!$N$1:$N$7669,0),MATCH("NA"&amp;O$1&amp;$B77,'F Proj'!$N$1:$N$7669,0)))</f>
        <v>1734</v>
      </c>
      <c r="P77">
        <f>IF(Week&gt;=P$1,MATCH($A77&amp;"-"&amp;P$1&amp;$B77,Finals!$J$1:$J$501,0),IFERROR(MATCH($A77&amp;P$1&amp;$B77,'F Proj'!$N$1:$N$7669,0),MATCH("NA"&amp;P$1&amp;$B77,'F Proj'!$N$1:$N$7669,0)))</f>
        <v>1440</v>
      </c>
      <c r="Q77">
        <f>IF(Week&gt;=Q$1,MATCH($A77&amp;"-"&amp;Q$1&amp;$B77,Finals!$J$1:$J$501,0),IFERROR(MATCH($A77&amp;Q$1&amp;$B77,'F Proj'!$N$1:$N$7669,0),MATCH("NA"&amp;Q$1&amp;$B77,'F Proj'!$N$1:$N$7669,0)))</f>
        <v>1909</v>
      </c>
      <c r="R77">
        <f>IF(Week&gt;=R$1,MATCH($A77&amp;"-"&amp;R$1&amp;$B77,Finals!$J$1:$J$501,0),IFERROR(MATCH($A77&amp;R$1&amp;$B77,'F Proj'!$N$1:$N$7669,0),MATCH("NA"&amp;R$1&amp;$B77,'F Proj'!$N$1:$N$7669,0)))</f>
        <v>1791</v>
      </c>
      <c r="S77">
        <f>IF(Week&gt;=S$1,MATCH($A77&amp;"-"&amp;S$1&amp;$B77,Finals!$J$1:$J$501,0),IFERROR(MATCH($A77&amp;S$1&amp;$B77,'F Proj'!$N$1:$N$7669,0),MATCH("NA"&amp;S$1&amp;$B77,'F Proj'!$N$1:$N$7669,0)))</f>
        <v>1870</v>
      </c>
    </row>
    <row r="78" spans="1:53" x14ac:dyDescent="0.25">
      <c r="A78" t="s">
        <v>1648</v>
      </c>
      <c r="B78" t="s">
        <v>471</v>
      </c>
      <c r="C78">
        <f>IF(Week&gt;=C$1,MATCH($A78&amp;"-"&amp;C$1&amp;$B78,Finals!$J$1:$J$501,0),IFERROR(MATCH($A78&amp;C$1&amp;$B78,'F Proj'!$N$1:$N$7669,0),MATCH("NA"&amp;C$1&amp;$B78,'F Proj'!$N$1:$N$7669,0)))</f>
        <v>30</v>
      </c>
      <c r="D78">
        <f>IF(Week&gt;=D$1,MATCH($A78&amp;"-"&amp;D$1&amp;$B78,Finals!$J$1:$J$501,0),IFERROR(MATCH($A78&amp;D$1&amp;$B78,'F Proj'!$N$1:$N$7669,0),MATCH("NA"&amp;D$1&amp;$B78,'F Proj'!$N$1:$N$7669,0)))</f>
        <v>31</v>
      </c>
      <c r="E78">
        <f>IF(Week&gt;=E$1,MATCH($A78&amp;"-"&amp;E$1&amp;$B78,Finals!$J$1:$J$501,0),IFERROR(MATCH($A78&amp;E$1&amp;$B78,'F Proj'!$N$1:$N$7669,0),MATCH("NA"&amp;E$1&amp;$B78,'F Proj'!$N$1:$N$7669,0)))</f>
        <v>32</v>
      </c>
      <c r="F78">
        <f>IF(Week&gt;=F$1,MATCH($A78&amp;"-"&amp;F$1&amp;$B78,Finals!$J$1:$J$501,0),IFERROR(MATCH($A78&amp;F$1&amp;$B78,'F Proj'!$N$1:$N$7669,0),MATCH("NA"&amp;F$1&amp;$B78,'F Proj'!$N$1:$N$7669,0)))</f>
        <v>33</v>
      </c>
      <c r="G78">
        <f>IF(Week&gt;=G$1,MATCH($A78&amp;"-"&amp;G$1&amp;$B78,Finals!$J$1:$J$501,0),IFERROR(MATCH($A78&amp;G$1&amp;$B78,'F Proj'!$N$1:$N$7669,0),MATCH("NA"&amp;G$1&amp;$B78,'F Proj'!$N$1:$N$7669,0)))</f>
        <v>86</v>
      </c>
      <c r="H78">
        <f>IF(Week&gt;=H$1,MATCH($A78&amp;"-"&amp;H$1&amp;$B78,Finals!$J$1:$J$501,0),IFERROR(MATCH($A78&amp;H$1&amp;$B78,'F Proj'!$N$1:$N$7669,0),MATCH("NA"&amp;H$1&amp;$B78,'F Proj'!$N$1:$N$7669,0)))</f>
        <v>1064</v>
      </c>
      <c r="I78">
        <f>IF(Week&gt;=I$1,MATCH($A78&amp;"-"&amp;I$1&amp;$B78,Finals!$J$1:$J$501,0),IFERROR(MATCH($A78&amp;I$1&amp;$B78,'F Proj'!$N$1:$N$7669,0),MATCH("NA"&amp;I$1&amp;$B78,'F Proj'!$N$1:$N$7669,0)))</f>
        <v>1067</v>
      </c>
      <c r="J78">
        <f>IF(Week&gt;=J$1,MATCH($A78&amp;"-"&amp;J$1&amp;$B78,Finals!$J$1:$J$501,0),IFERROR(MATCH($A78&amp;J$1&amp;$B78,'F Proj'!$N$1:$N$7669,0),MATCH("NA"&amp;J$1&amp;$B78,'F Proj'!$N$1:$N$7669,0)))</f>
        <v>1073</v>
      </c>
      <c r="K78">
        <f>IF(Week&gt;=K$1,MATCH($A78&amp;"-"&amp;K$1&amp;$B78,Finals!$J$1:$J$501,0),IFERROR(MATCH($A78&amp;K$1&amp;$B78,'F Proj'!$N$1:$N$7669,0),MATCH("NA"&amp;K$1&amp;$B78,'F Proj'!$N$1:$N$7669,0)))</f>
        <v>1120</v>
      </c>
      <c r="L78">
        <f>IF(Week&gt;=L$1,MATCH($A78&amp;"-"&amp;L$1&amp;$B78,Finals!$J$1:$J$501,0),IFERROR(MATCH($A78&amp;L$1&amp;$B78,'F Proj'!$N$1:$N$7669,0),MATCH("NA"&amp;L$1&amp;$B78,'F Proj'!$N$1:$N$7669,0)))</f>
        <v>1068</v>
      </c>
      <c r="M78">
        <f>IF(Week&gt;=M$1,MATCH($A78&amp;"-"&amp;M$1&amp;$B78,Finals!$J$1:$J$501,0),IFERROR(MATCH($A78&amp;M$1&amp;$B78,'F Proj'!$N$1:$N$7669,0),MATCH("NA"&amp;M$1&amp;$B78,'F Proj'!$N$1:$N$7669,0)))</f>
        <v>1053</v>
      </c>
      <c r="N78">
        <f>IF(Week&gt;=N$1,MATCH($A78&amp;"-"&amp;N$1&amp;$B78,Finals!$J$1:$J$501,0),IFERROR(MATCH($A78&amp;N$1&amp;$B78,'F Proj'!$N$1:$N$7669,0),MATCH("NA"&amp;N$1&amp;$B78,'F Proj'!$N$1:$N$7669,0)))</f>
        <v>1043</v>
      </c>
      <c r="O78">
        <f>IF(Week&gt;=O$1,MATCH($A78&amp;"-"&amp;O$1&amp;$B78,Finals!$J$1:$J$501,0),IFERROR(MATCH($A78&amp;O$1&amp;$B78,'F Proj'!$N$1:$N$7669,0),MATCH("NA"&amp;O$1&amp;$B78,'F Proj'!$N$1:$N$7669,0)))</f>
        <v>1225</v>
      </c>
      <c r="P78">
        <f>IF(Week&gt;=P$1,MATCH($A78&amp;"-"&amp;P$1&amp;$B78,Finals!$J$1:$J$501,0),IFERROR(MATCH($A78&amp;P$1&amp;$B78,'F Proj'!$N$1:$N$7669,0),MATCH("NA"&amp;P$1&amp;$B78,'F Proj'!$N$1:$N$7669,0)))</f>
        <v>1357</v>
      </c>
      <c r="Q78">
        <f>IF(Week&gt;=Q$1,MATCH($A78&amp;"-"&amp;Q$1&amp;$B78,Finals!$J$1:$J$501,0),IFERROR(MATCH($A78&amp;Q$1&amp;$B78,'F Proj'!$N$1:$N$7669,0),MATCH("NA"&amp;Q$1&amp;$B78,'F Proj'!$N$1:$N$7669,0)))</f>
        <v>1169</v>
      </c>
      <c r="R78">
        <f>IF(Week&gt;=R$1,MATCH($A78&amp;"-"&amp;R$1&amp;$B78,Finals!$J$1:$J$501,0),IFERROR(MATCH($A78&amp;R$1&amp;$B78,'F Proj'!$N$1:$N$7669,0),MATCH("NA"&amp;R$1&amp;$B78,'F Proj'!$N$1:$N$7669,0)))</f>
        <v>1087</v>
      </c>
      <c r="S78">
        <f>IF(Week&gt;=S$1,MATCH($A78&amp;"-"&amp;S$1&amp;$B78,Finals!$J$1:$J$501,0),IFERROR(MATCH($A78&amp;S$1&amp;$B78,'F Proj'!$N$1:$N$7669,0),MATCH("NA"&amp;S$1&amp;$B78,'F Proj'!$N$1:$N$7669,0)))</f>
        <v>996</v>
      </c>
      <c r="T78">
        <f>IF(Week&gt;=C$1,INDEX(Finals!$G$1:$G$501,C78),INDEX('F Proj'!$D$1:$D$7669,C78))</f>
        <v>6.1</v>
      </c>
      <c r="U78">
        <f>IF(Week&gt;=D$1,INDEX(Finals!$G$1:$G$501,D78),INDEX('F Proj'!$D$1:$D$7669,D78))</f>
        <v>8.3000000000000007</v>
      </c>
      <c r="V78">
        <f>IF(Week&gt;=E$1,INDEX(Finals!$G$1:$G$501,E78),INDEX('F Proj'!$D$1:$D$7669,E78))</f>
        <v>5</v>
      </c>
      <c r="W78">
        <f>IF(Week&gt;=F$1,INDEX(Finals!$G$1:$G$501,F78),INDEX('F Proj'!$D$1:$D$7669,F78))</f>
        <v>8.3000000000000007</v>
      </c>
      <c r="X78">
        <f>IF(Week&gt;=G$1,INDEX(Finals!$G$1:$G$501,G78),INDEX('F Proj'!$D$1:$D$7669,G78))</f>
        <v>9.57</v>
      </c>
      <c r="Y78">
        <f>IF(Week&gt;=H$1,INDEX(Finals!$G$1:$G$501,H78),INDEX('F Proj'!$D$1:$D$7669,H78))</f>
        <v>10.02</v>
      </c>
      <c r="Z78">
        <f>IF(Week&gt;=I$1,INDEX(Finals!$G$1:$G$501,I78),INDEX('F Proj'!$D$1:$D$7669,I78))</f>
        <v>10</v>
      </c>
      <c r="AA78">
        <f>IF(Week&gt;=J$1,INDEX(Finals!$G$1:$G$501,J78),INDEX('F Proj'!$D$1:$D$7669,J78))</f>
        <v>9.99</v>
      </c>
      <c r="AB78">
        <f>IF(Week&gt;=K$1,INDEX(Finals!$G$1:$G$501,K78),INDEX('F Proj'!$D$1:$D$7669,K78))</f>
        <v>9.7899999999999991</v>
      </c>
      <c r="AC78">
        <f>IF(Week&gt;=L$1,INDEX(Finals!$G$1:$G$501,L78),INDEX('F Proj'!$D$1:$D$7669,L78))</f>
        <v>10</v>
      </c>
      <c r="AD78">
        <f>IF(Week&gt;=M$1,INDEX(Finals!$G$1:$G$501,M78),INDEX('F Proj'!$D$1:$D$7669,M78))</f>
        <v>10.08</v>
      </c>
      <c r="AE78">
        <f>IF(Week&gt;=N$1,INDEX(Finals!$G$1:$G$501,N78),INDEX('F Proj'!$D$1:$D$7669,N78))</f>
        <v>10.17</v>
      </c>
      <c r="AF78">
        <f>IF(Week&gt;=O$1,INDEX(Finals!$G$1:$G$501,O78),INDEX('F Proj'!$D$1:$D$7669,O78))</f>
        <v>9.24</v>
      </c>
      <c r="AG78">
        <f>IF(Week&gt;=P$1,INDEX(Finals!$G$1:$G$501,P78),INDEX('F Proj'!$D$1:$D$7669,P78))</f>
        <v>8.6300000000000008</v>
      </c>
      <c r="AH78">
        <f>IF(Week&gt;=Q$1,INDEX(Finals!$G$1:$G$501,Q78),INDEX('F Proj'!$D$1:$D$7669,Q78))</f>
        <v>9.57</v>
      </c>
      <c r="AI78">
        <f>IF(Week&gt;=R$1,INDEX(Finals!$G$1:$G$501,R78),INDEX('F Proj'!$D$1:$D$7669,R78))</f>
        <v>9.9499999999999993</v>
      </c>
      <c r="AJ78">
        <f>IF(Week&gt;=S$1,INDEX(Finals!$G$1:$G$501,S78),INDEX('F Proj'!$D$1:$D$7669,S78))</f>
        <v>10.43</v>
      </c>
      <c r="AK78">
        <f>IF(Week&gt;=C$1,INDEX(Finals!$I$1:$I$501,C78),INDEX('F Proj'!$J$1:$J$7669,C78))</f>
        <v>0</v>
      </c>
      <c r="AL78">
        <f>IF(Week&gt;=D$1,INDEX(Finals!$I$1:$I$501,D78),INDEX('F Proj'!$J$1:$J$7669,D78))</f>
        <v>0</v>
      </c>
      <c r="AM78">
        <f>IF(Week&gt;=E$1,INDEX(Finals!$I$1:$I$501,E78),INDEX('F Proj'!$J$1:$J$7669,E78))</f>
        <v>0</v>
      </c>
      <c r="AN78">
        <f>IF(Week&gt;=F$1,INDEX(Finals!$I$1:$I$501,F78),INDEX('F Proj'!$J$1:$J$7669,F78))</f>
        <v>0</v>
      </c>
      <c r="AO78">
        <f>IF(Week&gt;=G$1,INDEX(Finals!$I$1:$I$501,G78),INDEX('F Proj'!$J$1:$J$7669,G78))</f>
        <v>32.376100000000001</v>
      </c>
      <c r="AP78">
        <f>IF(Week&gt;=H$1,INDEX(Finals!$I$1:$I$501,H78),INDEX('F Proj'!$J$1:$J$7669,H78))</f>
        <v>27.457599999999999</v>
      </c>
      <c r="AQ78">
        <f>IF(Week&gt;=I$1,INDEX(Finals!$I$1:$I$501,I78),INDEX('F Proj'!$J$1:$J$7669,I78))</f>
        <v>44.089599999999997</v>
      </c>
      <c r="AR78">
        <f>IF(Week&gt;=J$1,INDEX(Finals!$I$1:$I$501,J78),INDEX('F Proj'!$J$1:$J$7669,J78))</f>
        <v>39.438400000000001</v>
      </c>
      <c r="AS78">
        <f>IF(Week&gt;=K$1,INDEX(Finals!$I$1:$I$501,K78),INDEX('F Proj'!$J$1:$J$7669,K78))</f>
        <v>38.192399999999999</v>
      </c>
      <c r="AT78">
        <f>IF(Week&gt;=L$1,INDEX(Finals!$I$1:$I$501,L78),INDEX('F Proj'!$J$1:$J$7669,L78))</f>
        <v>32.376100000000001</v>
      </c>
      <c r="AU78">
        <f>IF(Week&gt;=M$1,INDEX(Finals!$I$1:$I$501,M78),INDEX('F Proj'!$J$1:$J$7669,M78))</f>
        <v>34.692100000000003</v>
      </c>
      <c r="AV78">
        <f>IF(Week&gt;=N$1,INDEX(Finals!$I$1:$I$501,N78),INDEX('F Proj'!$J$1:$J$7669,N78))</f>
        <v>30.913599999999999</v>
      </c>
      <c r="AW78">
        <f>IF(Week&gt;=O$1,INDEX(Finals!$I$1:$I$501,O78),INDEX('F Proj'!$J$1:$J$7669,O78))</f>
        <v>38.068899999999999</v>
      </c>
      <c r="AX78">
        <f>IF(Week&gt;=P$1,INDEX(Finals!$I$1:$I$501,P78),INDEX('F Proj'!$J$1:$J$7669,P78))</f>
        <v>34.928100000000001</v>
      </c>
      <c r="AY78">
        <f>IF(Week&gt;=Q$1,INDEX(Finals!$I$1:$I$501,Q78),INDEX('F Proj'!$J$1:$J$7669,Q78))</f>
        <v>34.928100000000001</v>
      </c>
      <c r="AZ78">
        <f>IF(Week&gt;=R$1,INDEX(Finals!$I$1:$I$501,R78),INDEX('F Proj'!$J$1:$J$7669,R78))</f>
        <v>31.8096</v>
      </c>
      <c r="BA78">
        <f>IF(Week&gt;=S$1,INDEX(Finals!$I$1:$I$501,S78),INDEX('F Proj'!$J$1:$J$7669,S78))</f>
        <v>44.089599999999997</v>
      </c>
    </row>
    <row r="79" spans="1:53" x14ac:dyDescent="0.25">
      <c r="A79" t="s">
        <v>1648</v>
      </c>
      <c r="B79" t="s">
        <v>472</v>
      </c>
      <c r="C79">
        <f>IF(Week&gt;=C$1,MATCH($A79&amp;"-"&amp;C$1&amp;$B79,Finals!$J$1:$J$501,0),IFERROR(MATCH($A79&amp;C$1&amp;$B79,'F Proj'!$N$1:$N$7669,0),MATCH("NA"&amp;C$1&amp;$B79,'F Proj'!$N$1:$N$7669,0)))</f>
        <v>265</v>
      </c>
      <c r="D79">
        <f>IF(Week&gt;=D$1,MATCH($A79&amp;"-"&amp;D$1&amp;$B79,Finals!$J$1:$J$501,0),IFERROR(MATCH($A79&amp;D$1&amp;$B79,'F Proj'!$N$1:$N$7669,0),MATCH("NA"&amp;D$1&amp;$B79,'F Proj'!$N$1:$N$7669,0)))</f>
        <v>83</v>
      </c>
      <c r="E79">
        <f>IF(Week&gt;=E$1,MATCH($A79&amp;"-"&amp;E$1&amp;$B79,Finals!$J$1:$J$501,0),IFERROR(MATCH($A79&amp;E$1&amp;$B79,'F Proj'!$N$1:$N$7669,0),MATCH("NA"&amp;E$1&amp;$B79,'F Proj'!$N$1:$N$7669,0)))</f>
        <v>84</v>
      </c>
      <c r="F79">
        <f>IF(Week&gt;=F$1,MATCH($A79&amp;"-"&amp;F$1&amp;$B79,Finals!$J$1:$J$501,0),IFERROR(MATCH($A79&amp;F$1&amp;$B79,'F Proj'!$N$1:$N$7669,0),MATCH("NA"&amp;F$1&amp;$B79,'F Proj'!$N$1:$N$7669,0)))</f>
        <v>85</v>
      </c>
      <c r="G79">
        <f>IF(Week&gt;=G$1,MATCH($A79&amp;"-"&amp;G$1&amp;$B79,Finals!$J$1:$J$501,0),IFERROR(MATCH($A79&amp;G$1&amp;$B79,'F Proj'!$N$1:$N$7669,0),MATCH("NA"&amp;G$1&amp;$B79,'F Proj'!$N$1:$N$7669,0)))</f>
        <v>179</v>
      </c>
      <c r="H79">
        <f>IF(Week&gt;=H$1,MATCH($A79&amp;"-"&amp;H$1&amp;$B79,Finals!$J$1:$J$501,0),IFERROR(MATCH($A79&amp;H$1&amp;$B79,'F Proj'!$N$1:$N$7669,0),MATCH("NA"&amp;H$1&amp;$B79,'F Proj'!$N$1:$N$7669,0)))</f>
        <v>1117</v>
      </c>
      <c r="I79">
        <f>IF(Week&gt;=I$1,MATCH($A79&amp;"-"&amp;I$1&amp;$B79,Finals!$J$1:$J$501,0),IFERROR(MATCH($A79&amp;I$1&amp;$B79,'F Proj'!$N$1:$N$7669,0),MATCH("NA"&amp;I$1&amp;$B79,'F Proj'!$N$1:$N$7669,0)))</f>
        <v>1220</v>
      </c>
      <c r="J79">
        <f>IF(Week&gt;=J$1,MATCH($A79&amp;"-"&amp;J$1&amp;$B79,Finals!$J$1:$J$501,0),IFERROR(MATCH($A79&amp;J$1&amp;$B79,'F Proj'!$N$1:$N$7669,0),MATCH("NA"&amp;J$1&amp;$B79,'F Proj'!$N$1:$N$7669,0)))</f>
        <v>1530</v>
      </c>
      <c r="K79">
        <f>IF(Week&gt;=K$1,MATCH($A79&amp;"-"&amp;K$1&amp;$B79,Finals!$J$1:$J$501,0),IFERROR(MATCH($A79&amp;K$1&amp;$B79,'F Proj'!$N$1:$N$7669,0),MATCH("NA"&amp;K$1&amp;$B79,'F Proj'!$N$1:$N$7669,0)))</f>
        <v>1285</v>
      </c>
      <c r="L79">
        <f>IF(Week&gt;=L$1,MATCH($A79&amp;"-"&amp;L$1&amp;$B79,Finals!$J$1:$J$501,0),IFERROR(MATCH($A79&amp;L$1&amp;$B79,'F Proj'!$N$1:$N$7669,0),MATCH("NA"&amp;L$1&amp;$B79,'F Proj'!$N$1:$N$7669,0)))</f>
        <v>1145</v>
      </c>
      <c r="M79">
        <f>IF(Week&gt;=M$1,MATCH($A79&amp;"-"&amp;M$1&amp;$B79,Finals!$J$1:$J$501,0),IFERROR(MATCH($A79&amp;M$1&amp;$B79,'F Proj'!$N$1:$N$7669,0),MATCH("NA"&amp;M$1&amp;$B79,'F Proj'!$N$1:$N$7669,0)))</f>
        <v>1566</v>
      </c>
      <c r="N79">
        <f>IF(Week&gt;=N$1,MATCH($A79&amp;"-"&amp;N$1&amp;$B79,Finals!$J$1:$J$501,0),IFERROR(MATCH($A79&amp;N$1&amp;$B79,'F Proj'!$N$1:$N$7669,0),MATCH("NA"&amp;N$1&amp;$B79,'F Proj'!$N$1:$N$7669,0)))</f>
        <v>1197</v>
      </c>
      <c r="O79">
        <f>IF(Week&gt;=O$1,MATCH($A79&amp;"-"&amp;O$1&amp;$B79,Finals!$J$1:$J$501,0),IFERROR(MATCH($A79&amp;O$1&amp;$B79,'F Proj'!$N$1:$N$7669,0),MATCH("NA"&amp;O$1&amp;$B79,'F Proj'!$N$1:$N$7669,0)))</f>
        <v>1403</v>
      </c>
      <c r="P79">
        <f>IF(Week&gt;=P$1,MATCH($A79&amp;"-"&amp;P$1&amp;$B79,Finals!$J$1:$J$501,0),IFERROR(MATCH($A79&amp;P$1&amp;$B79,'F Proj'!$N$1:$N$7669,0),MATCH("NA"&amp;P$1&amp;$B79,'F Proj'!$N$1:$N$7669,0)))</f>
        <v>1374</v>
      </c>
      <c r="Q79">
        <f>IF(Week&gt;=Q$1,MATCH($A79&amp;"-"&amp;Q$1&amp;$B79,Finals!$J$1:$J$501,0),IFERROR(MATCH($A79&amp;Q$1&amp;$B79,'F Proj'!$N$1:$N$7669,0),MATCH("NA"&amp;Q$1&amp;$B79,'F Proj'!$N$1:$N$7669,0)))</f>
        <v>1262</v>
      </c>
      <c r="R79">
        <f>IF(Week&gt;=R$1,MATCH($A79&amp;"-"&amp;R$1&amp;$B79,Finals!$J$1:$J$501,0),IFERROR(MATCH($A79&amp;R$1&amp;$B79,'F Proj'!$N$1:$N$7669,0),MATCH("NA"&amp;R$1&amp;$B79,'F Proj'!$N$1:$N$7669,0)))</f>
        <v>1332</v>
      </c>
      <c r="S79">
        <f>IF(Week&gt;=S$1,MATCH($A79&amp;"-"&amp;S$1&amp;$B79,Finals!$J$1:$J$501,0),IFERROR(MATCH($A79&amp;S$1&amp;$B79,'F Proj'!$N$1:$N$7669,0),MATCH("NA"&amp;S$1&amp;$B79,'F Proj'!$N$1:$N$7669,0)))</f>
        <v>1128</v>
      </c>
      <c r="T79">
        <f>IF(Week&gt;=C$1,INDEX(Finals!$G$1:$G$501,C79),INDEX('F Proj'!$D$1:$D$7669,C79))</f>
        <v>0</v>
      </c>
      <c r="U79">
        <f>IF(Week&gt;=D$1,INDEX(Finals!$G$1:$G$501,D79),INDEX('F Proj'!$D$1:$D$7669,D79))</f>
        <v>6.3</v>
      </c>
      <c r="V79">
        <f>IF(Week&gt;=E$1,INDEX(Finals!$G$1:$G$501,E79),INDEX('F Proj'!$D$1:$D$7669,E79))</f>
        <v>12.8</v>
      </c>
      <c r="W79">
        <f>IF(Week&gt;=F$1,INDEX(Finals!$G$1:$G$501,F79),INDEX('F Proj'!$D$1:$D$7669,F79))</f>
        <v>28.2</v>
      </c>
      <c r="X79">
        <f>IF(Week&gt;=G$1,INDEX(Finals!$G$1:$G$501,G79),INDEX('F Proj'!$D$1:$D$7669,G79))</f>
        <v>6.48</v>
      </c>
      <c r="Y79">
        <f>IF(Week&gt;=H$1,INDEX(Finals!$G$1:$G$501,H79),INDEX('F Proj'!$D$1:$D$7669,H79))</f>
        <v>9.81</v>
      </c>
      <c r="Z79">
        <f>IF(Week&gt;=I$1,INDEX(Finals!$G$1:$G$501,I79),INDEX('F Proj'!$D$1:$D$7669,I79))</f>
        <v>9.26</v>
      </c>
      <c r="AA79">
        <f>IF(Week&gt;=J$1,INDEX(Finals!$G$1:$G$501,J79),INDEX('F Proj'!$D$1:$D$7669,J79))</f>
        <v>8.0299999999999994</v>
      </c>
      <c r="AB79">
        <f>IF(Week&gt;=K$1,INDEX(Finals!$G$1:$G$501,K79),INDEX('F Proj'!$D$1:$D$7669,K79))</f>
        <v>8.9499999999999993</v>
      </c>
      <c r="AC79">
        <f>IF(Week&gt;=L$1,INDEX(Finals!$G$1:$G$501,L79),INDEX('F Proj'!$D$1:$D$7669,L79))</f>
        <v>9.66</v>
      </c>
      <c r="AD79">
        <f>IF(Week&gt;=M$1,INDEX(Finals!$G$1:$G$501,M79),INDEX('F Proj'!$D$1:$D$7669,M79))</f>
        <v>7.91</v>
      </c>
      <c r="AE79">
        <f>IF(Week&gt;=N$1,INDEX(Finals!$G$1:$G$501,N79),INDEX('F Proj'!$D$1:$D$7669,N79))</f>
        <v>9.39</v>
      </c>
      <c r="AF79">
        <f>IF(Week&gt;=O$1,INDEX(Finals!$G$1:$G$501,O79),INDEX('F Proj'!$D$1:$D$7669,O79))</f>
        <v>8.4700000000000006</v>
      </c>
      <c r="AG79">
        <f>IF(Week&gt;=P$1,INDEX(Finals!$G$1:$G$501,P79),INDEX('F Proj'!$D$1:$D$7669,P79))</f>
        <v>8.5500000000000007</v>
      </c>
      <c r="AH79">
        <f>IF(Week&gt;=Q$1,INDEX(Finals!$G$1:$G$501,Q79),INDEX('F Proj'!$D$1:$D$7669,Q79))</f>
        <v>9.06</v>
      </c>
      <c r="AI79">
        <f>IF(Week&gt;=R$1,INDEX(Finals!$G$1:$G$501,R79),INDEX('F Proj'!$D$1:$D$7669,R79))</f>
        <v>8.6999999999999993</v>
      </c>
      <c r="AJ79">
        <f>IF(Week&gt;=S$1,INDEX(Finals!$G$1:$G$501,S79),INDEX('F Proj'!$D$1:$D$7669,S79))</f>
        <v>9.77</v>
      </c>
      <c r="AK79">
        <f>IF(Week&gt;=C$1,INDEX(Finals!$I$1:$I$501,C79),INDEX('F Proj'!$J$1:$J$7669,C79))</f>
        <v>0</v>
      </c>
      <c r="AL79">
        <f>IF(Week&gt;=D$1,INDEX(Finals!$I$1:$I$501,D79),INDEX('F Proj'!$J$1:$J$7669,D79))</f>
        <v>0</v>
      </c>
      <c r="AM79">
        <f>IF(Week&gt;=E$1,INDEX(Finals!$I$1:$I$501,E79),INDEX('F Proj'!$J$1:$J$7669,E79))</f>
        <v>0</v>
      </c>
      <c r="AN79">
        <f>IF(Week&gt;=F$1,INDEX(Finals!$I$1:$I$501,F79),INDEX('F Proj'!$J$1:$J$7669,F79))</f>
        <v>0</v>
      </c>
      <c r="AO79">
        <f>IF(Week&gt;=G$1,INDEX(Finals!$I$1:$I$501,G79),INDEX('F Proj'!$J$1:$J$7669,G79))</f>
        <v>19.272099999999998</v>
      </c>
      <c r="AP79">
        <f>IF(Week&gt;=H$1,INDEX(Finals!$I$1:$I$501,H79),INDEX('F Proj'!$J$1:$J$7669,H79))</f>
        <v>34.222499999999997</v>
      </c>
      <c r="AQ79">
        <f>IF(Week&gt;=I$1,INDEX(Finals!$I$1:$I$501,I79),INDEX('F Proj'!$J$1:$J$7669,I79))</f>
        <v>26.728899999999999</v>
      </c>
      <c r="AR79">
        <f>IF(Week&gt;=J$1,INDEX(Finals!$I$1:$I$501,J79),INDEX('F Proj'!$J$1:$J$7669,J79))</f>
        <v>29.2681</v>
      </c>
      <c r="AS79">
        <f>IF(Week&gt;=K$1,INDEX(Finals!$I$1:$I$501,K79),INDEX('F Proj'!$J$1:$J$7669,K79))</f>
        <v>27.5625</v>
      </c>
      <c r="AT79">
        <f>IF(Week&gt;=L$1,INDEX(Finals!$I$1:$I$501,L79),INDEX('F Proj'!$J$1:$J$7669,L79))</f>
        <v>37.699599999999997</v>
      </c>
      <c r="AU79">
        <f>IF(Week&gt;=M$1,INDEX(Finals!$I$1:$I$501,M79),INDEX('F Proj'!$J$1:$J$7669,M79))</f>
        <v>33.988900000000001</v>
      </c>
      <c r="AV79">
        <f>IF(Week&gt;=N$1,INDEX(Finals!$I$1:$I$501,N79),INDEX('F Proj'!$J$1:$J$7669,N79))</f>
        <v>37.699599999999997</v>
      </c>
      <c r="AW79">
        <f>IF(Week&gt;=O$1,INDEX(Finals!$I$1:$I$501,O79),INDEX('F Proj'!$J$1:$J$7669,O79))</f>
        <v>25.100100000000001</v>
      </c>
      <c r="AX79">
        <f>IF(Week&gt;=P$1,INDEX(Finals!$I$1:$I$501,P79),INDEX('F Proj'!$J$1:$J$7669,P79))</f>
        <v>24.601600000000001</v>
      </c>
      <c r="AY79">
        <f>IF(Week&gt;=Q$1,INDEX(Finals!$I$1:$I$501,Q79),INDEX('F Proj'!$J$1:$J$7669,Q79))</f>
        <v>31.136399999999998</v>
      </c>
      <c r="AZ79">
        <f>IF(Week&gt;=R$1,INDEX(Finals!$I$1:$I$501,R79),INDEX('F Proj'!$J$1:$J$7669,R79))</f>
        <v>25.200399999999998</v>
      </c>
      <c r="BA79">
        <f>IF(Week&gt;=S$1,INDEX(Finals!$I$1:$I$501,S79),INDEX('F Proj'!$J$1:$J$7669,S79))</f>
        <v>30.913599999999999</v>
      </c>
    </row>
    <row r="80" spans="1:53" x14ac:dyDescent="0.25">
      <c r="A80" t="s">
        <v>1648</v>
      </c>
      <c r="B80" t="s">
        <v>473</v>
      </c>
      <c r="C80">
        <f>IF(Week&gt;=C$1,MATCH($A80&amp;"-"&amp;C$1&amp;$B80,Finals!$J$1:$J$501,0),IFERROR(MATCH($A80&amp;C$1&amp;$B80,'F Proj'!$N$1:$N$7669,0),MATCH("NA"&amp;C$1&amp;$B80,'F Proj'!$N$1:$N$7669,0)))</f>
        <v>82</v>
      </c>
      <c r="D80">
        <f>IF(Week&gt;=D$1,MATCH($A80&amp;"-"&amp;D$1&amp;$B80,Finals!$J$1:$J$501,0),IFERROR(MATCH($A80&amp;D$1&amp;$B80,'F Proj'!$N$1:$N$7669,0),MATCH("NA"&amp;D$1&amp;$B80,'F Proj'!$N$1:$N$7669,0)))</f>
        <v>178</v>
      </c>
      <c r="E80">
        <f>IF(Week&gt;=E$1,MATCH($A80&amp;"-"&amp;E$1&amp;$B80,Finals!$J$1:$J$501,0),IFERROR(MATCH($A80&amp;E$1&amp;$B80,'F Proj'!$N$1:$N$7669,0),MATCH("NA"&amp;E$1&amp;$B80,'F Proj'!$N$1:$N$7669,0)))</f>
        <v>314</v>
      </c>
      <c r="F80">
        <f>IF(Week&gt;=F$1,MATCH($A80&amp;"-"&amp;F$1&amp;$B80,Finals!$J$1:$J$501,0),IFERROR(MATCH($A80&amp;F$1&amp;$B80,'F Proj'!$N$1:$N$7669,0),MATCH("NA"&amp;F$1&amp;$B80,'F Proj'!$N$1:$N$7669,0)))</f>
        <v>315</v>
      </c>
      <c r="G80">
        <f>IF(Week&gt;=G$1,MATCH($A80&amp;"-"&amp;G$1&amp;$B80,Finals!$J$1:$J$501,0),IFERROR(MATCH($A80&amp;G$1&amp;$B80,'F Proj'!$N$1:$N$7669,0),MATCH("NA"&amp;G$1&amp;$B80,'F Proj'!$N$1:$N$7669,0)))</f>
        <v>316</v>
      </c>
      <c r="H80">
        <f>IF(Week&gt;=H$1,MATCH($A80&amp;"-"&amp;H$1&amp;$B80,Finals!$J$1:$J$501,0),IFERROR(MATCH($A80&amp;H$1&amp;$B80,'F Proj'!$N$1:$N$7669,0),MATCH("NA"&amp;H$1&amp;$B80,'F Proj'!$N$1:$N$7669,0)))</f>
        <v>1590</v>
      </c>
      <c r="I80">
        <f>IF(Week&gt;=I$1,MATCH($A80&amp;"-"&amp;I$1&amp;$B80,Finals!$J$1:$J$501,0),IFERROR(MATCH($A80&amp;I$1&amp;$B80,'F Proj'!$N$1:$N$7669,0),MATCH("NA"&amp;I$1&amp;$B80,'F Proj'!$N$1:$N$7669,0)))</f>
        <v>1355</v>
      </c>
      <c r="J80">
        <f>IF(Week&gt;=J$1,MATCH($A80&amp;"-"&amp;J$1&amp;$B80,Finals!$J$1:$J$501,0),IFERROR(MATCH($A80&amp;J$1&amp;$B80,'F Proj'!$N$1:$N$7669,0),MATCH("NA"&amp;J$1&amp;$B80,'F Proj'!$N$1:$N$7669,0)))</f>
        <v>1601</v>
      </c>
      <c r="K80">
        <f>IF(Week&gt;=K$1,MATCH($A80&amp;"-"&amp;K$1&amp;$B80,Finals!$J$1:$J$501,0),IFERROR(MATCH($A80&amp;K$1&amp;$B80,'F Proj'!$N$1:$N$7669,0),MATCH("NA"&amp;K$1&amp;$B80,'F Proj'!$N$1:$N$7669,0)))</f>
        <v>1563</v>
      </c>
      <c r="L80">
        <f>IF(Week&gt;=L$1,MATCH($A80&amp;"-"&amp;L$1&amp;$B80,Finals!$J$1:$J$501,0),IFERROR(MATCH($A80&amp;L$1&amp;$B80,'F Proj'!$N$1:$N$7669,0),MATCH("NA"&amp;L$1&amp;$B80,'F Proj'!$N$1:$N$7669,0)))</f>
        <v>1291</v>
      </c>
      <c r="M80">
        <f>IF(Week&gt;=M$1,MATCH($A80&amp;"-"&amp;M$1&amp;$B80,Finals!$J$1:$J$501,0),IFERROR(MATCH($A80&amp;M$1&amp;$B80,'F Proj'!$N$1:$N$7669,0),MATCH("NA"&amp;M$1&amp;$B80,'F Proj'!$N$1:$N$7669,0)))</f>
        <v>1832</v>
      </c>
      <c r="N80">
        <f>IF(Week&gt;=N$1,MATCH($A80&amp;"-"&amp;N$1&amp;$B80,Finals!$J$1:$J$501,0),IFERROR(MATCH($A80&amp;N$1&amp;$B80,'F Proj'!$N$1:$N$7669,0),MATCH("NA"&amp;N$1&amp;$B80,'F Proj'!$N$1:$N$7669,0)))</f>
        <v>2238</v>
      </c>
      <c r="O80">
        <f>IF(Week&gt;=O$1,MATCH($A80&amp;"-"&amp;O$1&amp;$B80,Finals!$J$1:$J$501,0),IFERROR(MATCH($A80&amp;O$1&amp;$B80,'F Proj'!$N$1:$N$7669,0),MATCH("NA"&amp;O$1&amp;$B80,'F Proj'!$N$1:$N$7669,0)))</f>
        <v>1653</v>
      </c>
      <c r="P80">
        <f>IF(Week&gt;=P$1,MATCH($A80&amp;"-"&amp;P$1&amp;$B80,Finals!$J$1:$J$501,0),IFERROR(MATCH($A80&amp;P$1&amp;$B80,'F Proj'!$N$1:$N$7669,0),MATCH("NA"&amp;P$1&amp;$B80,'F Proj'!$N$1:$N$7669,0)))</f>
        <v>1466</v>
      </c>
      <c r="Q80">
        <f>IF(Week&gt;=Q$1,MATCH($A80&amp;"-"&amp;Q$1&amp;$B80,Finals!$J$1:$J$501,0),IFERROR(MATCH($A80&amp;Q$1&amp;$B80,'F Proj'!$N$1:$N$7669,0),MATCH("NA"&amp;Q$1&amp;$B80,'F Proj'!$N$1:$N$7669,0)))</f>
        <v>1385</v>
      </c>
      <c r="R80">
        <f>IF(Week&gt;=R$1,MATCH($A80&amp;"-"&amp;R$1&amp;$B80,Finals!$J$1:$J$501,0),IFERROR(MATCH($A80&amp;R$1&amp;$B80,'F Proj'!$N$1:$N$7669,0),MATCH("NA"&amp;R$1&amp;$B80,'F Proj'!$N$1:$N$7669,0)))</f>
        <v>1547</v>
      </c>
      <c r="S80">
        <f>IF(Week&gt;=S$1,MATCH($A80&amp;"-"&amp;S$1&amp;$B80,Finals!$J$1:$J$501,0),IFERROR(MATCH($A80&amp;S$1&amp;$B80,'F Proj'!$N$1:$N$7669,0),MATCH("NA"&amp;S$1&amp;$B80,'F Proj'!$N$1:$N$7669,0)))</f>
        <v>1630</v>
      </c>
      <c r="T80">
        <f>IF(Week&gt;=C$1,INDEX(Finals!$G$1:$G$501,C80),INDEX('F Proj'!$D$1:$D$7669,C80))</f>
        <v>12.8</v>
      </c>
      <c r="U80">
        <f>IF(Week&gt;=D$1,INDEX(Finals!$G$1:$G$501,D80),INDEX('F Proj'!$D$1:$D$7669,D80))</f>
        <v>3.7</v>
      </c>
      <c r="V80">
        <f>IF(Week&gt;=E$1,INDEX(Finals!$G$1:$G$501,E80),INDEX('F Proj'!$D$1:$D$7669,E80))</f>
        <v>5.7</v>
      </c>
      <c r="W80">
        <f>IF(Week&gt;=F$1,INDEX(Finals!$G$1:$G$501,F80),INDEX('F Proj'!$D$1:$D$7669,F80))</f>
        <v>6.6</v>
      </c>
      <c r="X80">
        <f>IF(Week&gt;=G$1,INDEX(Finals!$G$1:$G$501,G80),INDEX('F Proj'!$D$1:$D$7669,G80))</f>
        <v>8.65</v>
      </c>
      <c r="Y80">
        <f>IF(Week&gt;=H$1,INDEX(Finals!$G$1:$G$501,H80),INDEX('F Proj'!$D$1:$D$7669,H80))</f>
        <v>7.82</v>
      </c>
      <c r="Z80">
        <f>IF(Week&gt;=I$1,INDEX(Finals!$G$1:$G$501,I80),INDEX('F Proj'!$D$1:$D$7669,I80))</f>
        <v>8.6300000000000008</v>
      </c>
      <c r="AA80">
        <f>IF(Week&gt;=J$1,INDEX(Finals!$G$1:$G$501,J80),INDEX('F Proj'!$D$1:$D$7669,J80))</f>
        <v>7.76</v>
      </c>
      <c r="AB80">
        <f>IF(Week&gt;=K$1,INDEX(Finals!$G$1:$G$501,K80),INDEX('F Proj'!$D$1:$D$7669,K80))</f>
        <v>7.92</v>
      </c>
      <c r="AC80">
        <f>IF(Week&gt;=L$1,INDEX(Finals!$G$1:$G$501,L80),INDEX('F Proj'!$D$1:$D$7669,L80))</f>
        <v>8.92</v>
      </c>
      <c r="AD80">
        <f>IF(Week&gt;=M$1,INDEX(Finals!$G$1:$G$501,M80),INDEX('F Proj'!$D$1:$D$7669,M80))</f>
        <v>6.98</v>
      </c>
      <c r="AE80">
        <f>IF(Week&gt;=N$1,INDEX(Finals!$G$1:$G$501,N80),INDEX('F Proj'!$D$1:$D$7669,N80))</f>
        <v>5.86</v>
      </c>
      <c r="AF80">
        <f>IF(Week&gt;=O$1,INDEX(Finals!$G$1:$G$501,O80),INDEX('F Proj'!$D$1:$D$7669,O80))</f>
        <v>7.56</v>
      </c>
      <c r="AG80">
        <f>IF(Week&gt;=P$1,INDEX(Finals!$G$1:$G$501,P80),INDEX('F Proj'!$D$1:$D$7669,P80))</f>
        <v>8.2100000000000009</v>
      </c>
      <c r="AH80">
        <f>IF(Week&gt;=Q$1,INDEX(Finals!$G$1:$G$501,Q80),INDEX('F Proj'!$D$1:$D$7669,Q80))</f>
        <v>8.52</v>
      </c>
      <c r="AI80">
        <f>IF(Week&gt;=R$1,INDEX(Finals!$G$1:$G$501,R80),INDEX('F Proj'!$D$1:$D$7669,R80))</f>
        <v>7.96</v>
      </c>
      <c r="AJ80">
        <f>IF(Week&gt;=S$1,INDEX(Finals!$G$1:$G$501,S80),INDEX('F Proj'!$D$1:$D$7669,S80))</f>
        <v>7.65</v>
      </c>
      <c r="AK80">
        <f>IF(Week&gt;=C$1,INDEX(Finals!$I$1:$I$501,C80),INDEX('F Proj'!$J$1:$J$7669,C80))</f>
        <v>0</v>
      </c>
      <c r="AL80">
        <f>IF(Week&gt;=D$1,INDEX(Finals!$I$1:$I$501,D80),INDEX('F Proj'!$J$1:$J$7669,D80))</f>
        <v>0</v>
      </c>
      <c r="AM80">
        <f>IF(Week&gt;=E$1,INDEX(Finals!$I$1:$I$501,E80),INDEX('F Proj'!$J$1:$J$7669,E80))</f>
        <v>0</v>
      </c>
      <c r="AN80">
        <f>IF(Week&gt;=F$1,INDEX(Finals!$I$1:$I$501,F80),INDEX('F Proj'!$J$1:$J$7669,F80))</f>
        <v>0</v>
      </c>
      <c r="AO80">
        <f>IF(Week&gt;=G$1,INDEX(Finals!$I$1:$I$501,G80),INDEX('F Proj'!$J$1:$J$7669,G80))</f>
        <v>24.700900000000001</v>
      </c>
      <c r="AP80">
        <f>IF(Week&gt;=H$1,INDEX(Finals!$I$1:$I$501,H80),INDEX('F Proj'!$J$1:$J$7669,H80))</f>
        <v>31.36</v>
      </c>
      <c r="AQ80">
        <f>IF(Week&gt;=I$1,INDEX(Finals!$I$1:$I$501,I80),INDEX('F Proj'!$J$1:$J$7669,I80))</f>
        <v>38.068899999999999</v>
      </c>
      <c r="AR80">
        <f>IF(Week&gt;=J$1,INDEX(Finals!$I$1:$I$501,J80),INDEX('F Proj'!$J$1:$J$7669,J80))</f>
        <v>33.0625</v>
      </c>
      <c r="AS80">
        <f>IF(Week&gt;=K$1,INDEX(Finals!$I$1:$I$501,K80),INDEX('F Proj'!$J$1:$J$7669,K80))</f>
        <v>33.177599999999998</v>
      </c>
      <c r="AT80">
        <f>IF(Week&gt;=L$1,INDEX(Finals!$I$1:$I$501,L80),INDEX('F Proj'!$J$1:$J$7669,L80))</f>
        <v>34.928100000000001</v>
      </c>
      <c r="AU80">
        <f>IF(Week&gt;=M$1,INDEX(Finals!$I$1:$I$501,M80),INDEX('F Proj'!$J$1:$J$7669,M80))</f>
        <v>19.7136</v>
      </c>
      <c r="AV80">
        <f>IF(Week&gt;=N$1,INDEX(Finals!$I$1:$I$501,N80),INDEX('F Proj'!$J$1:$J$7669,N80))</f>
        <v>16.892099999999999</v>
      </c>
      <c r="AW80">
        <f>IF(Week&gt;=O$1,INDEX(Finals!$I$1:$I$501,O80),INDEX('F Proj'!$J$1:$J$7669,O80))</f>
        <v>30.5809</v>
      </c>
      <c r="AX80">
        <f>IF(Week&gt;=P$1,INDEX(Finals!$I$1:$I$501,P80),INDEX('F Proj'!$J$1:$J$7669,P80))</f>
        <v>33.988900000000001</v>
      </c>
      <c r="AY80">
        <f>IF(Week&gt;=Q$1,INDEX(Finals!$I$1:$I$501,Q80),INDEX('F Proj'!$J$1:$J$7669,Q80))</f>
        <v>37.699599999999997</v>
      </c>
      <c r="AZ80">
        <f>IF(Week&gt;=R$1,INDEX(Finals!$I$1:$I$501,R80),INDEX('F Proj'!$J$1:$J$7669,R80))</f>
        <v>34.692100000000003</v>
      </c>
      <c r="BA80">
        <f>IF(Week&gt;=S$1,INDEX(Finals!$I$1:$I$501,S80),INDEX('F Proj'!$J$1:$J$7669,S80))</f>
        <v>33.988900000000001</v>
      </c>
    </row>
    <row r="81" spans="1:53" x14ac:dyDescent="0.25">
      <c r="A81" t="s">
        <v>1648</v>
      </c>
      <c r="B81" t="s">
        <v>474</v>
      </c>
      <c r="C81" t="e">
        <f>IF(Week&gt;=C$1,MATCH($A81&amp;"-"&amp;C$1&amp;$B81,Finals!$J$1:$J$501,0),IFERROR(MATCH($A81&amp;C$1&amp;$B81,'F Proj'!$N$1:$N$7669,0),MATCH("NA"&amp;C$1&amp;$B81,'F Proj'!$N$1:$N$7669,0)))</f>
        <v>#N/A</v>
      </c>
      <c r="D81" t="e">
        <f>IF(Week&gt;=D$1,MATCH($A81&amp;"-"&amp;D$1&amp;$B81,Finals!$J$1:$J$501,0),IFERROR(MATCH($A81&amp;D$1&amp;$B81,'F Proj'!$N$1:$N$7669,0),MATCH("NA"&amp;D$1&amp;$B81,'F Proj'!$N$1:$N$7669,0)))</f>
        <v>#N/A</v>
      </c>
      <c r="E81" t="e">
        <f>IF(Week&gt;=E$1,MATCH($A81&amp;"-"&amp;E$1&amp;$B81,Finals!$J$1:$J$501,0),IFERROR(MATCH($A81&amp;E$1&amp;$B81,'F Proj'!$N$1:$N$7669,0),MATCH("NA"&amp;E$1&amp;$B81,'F Proj'!$N$1:$N$7669,0)))</f>
        <v>#N/A</v>
      </c>
      <c r="F81" t="e">
        <f>IF(Week&gt;=F$1,MATCH($A81&amp;"-"&amp;F$1&amp;$B81,Finals!$J$1:$J$501,0),IFERROR(MATCH($A81&amp;F$1&amp;$B81,'F Proj'!$N$1:$N$7669,0),MATCH("NA"&amp;F$1&amp;$B81,'F Proj'!$N$1:$N$7669,0)))</f>
        <v>#N/A</v>
      </c>
      <c r="G81" t="e">
        <f>IF(Week&gt;=G$1,MATCH($A81&amp;"-"&amp;G$1&amp;$B81,Finals!$J$1:$J$501,0),IFERROR(MATCH($A81&amp;G$1&amp;$B81,'F Proj'!$N$1:$N$7669,0),MATCH("NA"&amp;G$1&amp;$B81,'F Proj'!$N$1:$N$7669,0)))</f>
        <v>#N/A</v>
      </c>
      <c r="H81">
        <f>IF(Week&gt;=H$1,MATCH($A81&amp;"-"&amp;H$1&amp;$B81,Finals!$J$1:$J$501,0),IFERROR(MATCH($A81&amp;H$1&amp;$B81,'F Proj'!$N$1:$N$7669,0),MATCH("NA"&amp;H$1&amp;$B81,'F Proj'!$N$1:$N$7669,0)))</f>
        <v>1657</v>
      </c>
      <c r="I81">
        <f>IF(Week&gt;=I$1,MATCH($A81&amp;"-"&amp;I$1&amp;$B81,Finals!$J$1:$J$501,0),IFERROR(MATCH($A81&amp;I$1&amp;$B81,'F Proj'!$N$1:$N$7669,0),MATCH("NA"&amp;I$1&amp;$B81,'F Proj'!$N$1:$N$7669,0)))</f>
        <v>2150</v>
      </c>
      <c r="J81">
        <f>IF(Week&gt;=J$1,MATCH($A81&amp;"-"&amp;J$1&amp;$B81,Finals!$J$1:$J$501,0),IFERROR(MATCH($A81&amp;J$1&amp;$B81,'F Proj'!$N$1:$N$7669,0),MATCH("NA"&amp;J$1&amp;$B81,'F Proj'!$N$1:$N$7669,0)))</f>
        <v>2186</v>
      </c>
      <c r="K81">
        <f>IF(Week&gt;=K$1,MATCH($A81&amp;"-"&amp;K$1&amp;$B81,Finals!$J$1:$J$501,0),IFERROR(MATCH($A81&amp;K$1&amp;$B81,'F Proj'!$N$1:$N$7669,0),MATCH("NA"&amp;K$1&amp;$B81,'F Proj'!$N$1:$N$7669,0)))</f>
        <v>1869</v>
      </c>
      <c r="L81">
        <f>IF(Week&gt;=L$1,MATCH($A81&amp;"-"&amp;L$1&amp;$B81,Finals!$J$1:$J$501,0),IFERROR(MATCH($A81&amp;L$1&amp;$B81,'F Proj'!$N$1:$N$7669,0),MATCH("NA"&amp;L$1&amp;$B81,'F Proj'!$N$1:$N$7669,0)))</f>
        <v>1694</v>
      </c>
      <c r="M81">
        <f>IF(Week&gt;=M$1,MATCH($A81&amp;"-"&amp;M$1&amp;$B81,Finals!$J$1:$J$501,0),IFERROR(MATCH($A81&amp;M$1&amp;$B81,'F Proj'!$N$1:$N$7669,0),MATCH("NA"&amp;M$1&amp;$B81,'F Proj'!$N$1:$N$7669,0)))</f>
        <v>2199</v>
      </c>
      <c r="N81">
        <f>IF(Week&gt;=N$1,MATCH($A81&amp;"-"&amp;N$1&amp;$B81,Finals!$J$1:$J$501,0),IFERROR(MATCH($A81&amp;N$1&amp;$B81,'F Proj'!$N$1:$N$7669,0),MATCH("NA"&amp;N$1&amp;$B81,'F Proj'!$N$1:$N$7669,0)))</f>
        <v>1812</v>
      </c>
      <c r="O81">
        <f>IF(Week&gt;=O$1,MATCH($A81&amp;"-"&amp;O$1&amp;$B81,Finals!$J$1:$J$501,0),IFERROR(MATCH($A81&amp;O$1&amp;$B81,'F Proj'!$N$1:$N$7669,0),MATCH("NA"&amp;O$1&amp;$B81,'F Proj'!$N$1:$N$7669,0)))</f>
        <v>2098</v>
      </c>
      <c r="P81">
        <f>IF(Week&gt;=P$1,MATCH($A81&amp;"-"&amp;P$1&amp;$B81,Finals!$J$1:$J$501,0),IFERROR(MATCH($A81&amp;P$1&amp;$B81,'F Proj'!$N$1:$N$7669,0),MATCH("NA"&amp;P$1&amp;$B81,'F Proj'!$N$1:$N$7669,0)))</f>
        <v>2136</v>
      </c>
      <c r="Q81">
        <f>IF(Week&gt;=Q$1,MATCH($A81&amp;"-"&amp;Q$1&amp;$B81,Finals!$J$1:$J$501,0),IFERROR(MATCH($A81&amp;Q$1&amp;$B81,'F Proj'!$N$1:$N$7669,0),MATCH("NA"&amp;Q$1&amp;$B81,'F Proj'!$N$1:$N$7669,0)))</f>
        <v>2181</v>
      </c>
      <c r="R81">
        <f>IF(Week&gt;=R$1,MATCH($A81&amp;"-"&amp;R$1&amp;$B81,Finals!$J$1:$J$501,0),IFERROR(MATCH($A81&amp;R$1&amp;$B81,'F Proj'!$N$1:$N$7669,0),MATCH("NA"&amp;R$1&amp;$B81,'F Proj'!$N$1:$N$7669,0)))</f>
        <v>1833</v>
      </c>
      <c r="S81">
        <f>IF(Week&gt;=S$1,MATCH($A81&amp;"-"&amp;S$1&amp;$B81,Finals!$J$1:$J$501,0),IFERROR(MATCH($A81&amp;S$1&amp;$B81,'F Proj'!$N$1:$N$7669,0),MATCH("NA"&amp;S$1&amp;$B81,'F Proj'!$N$1:$N$7669,0)))</f>
        <v>2021</v>
      </c>
    </row>
    <row r="82" spans="1:53" x14ac:dyDescent="0.25">
      <c r="A82" t="s">
        <v>1648</v>
      </c>
      <c r="B82" t="s">
        <v>466</v>
      </c>
      <c r="C82">
        <f>IF(Week&gt;=C$1,MATCH($A82&amp;"-"&amp;C$1&amp;$B82,Finals!$J$1:$J$501,0),MIN(C77,C81))</f>
        <v>362</v>
      </c>
      <c r="D82">
        <f>IF(Week&gt;=D$1,MATCH($A82&amp;"-"&amp;D$1&amp;$B82,Finals!$J$1:$J$501,0),MIN(D77,D81))</f>
        <v>363</v>
      </c>
      <c r="E82">
        <f>IF(Week&gt;=E$1,MATCH($A82&amp;"-"&amp;E$1&amp;$B82,Finals!$J$1:$J$501,0),MIN(E77,E81))</f>
        <v>364</v>
      </c>
      <c r="F82">
        <f>IF(Week&gt;=F$1,MATCH($A82&amp;"-"&amp;F$1&amp;$B82,Finals!$J$1:$J$501,0),MIN(F77,F81))</f>
        <v>365</v>
      </c>
      <c r="G82">
        <f>IF(Week&gt;=G$1,MATCH($A82&amp;"-"&amp;G$1&amp;$B82,Finals!$J$1:$J$501,0),MIN(G77,G81))</f>
        <v>366</v>
      </c>
      <c r="H82">
        <f>IF(Week&gt;=H$1,MATCH($A82&amp;"-"&amp;H$1&amp;$B82,Finals!$J$1:$J$501,0),MIN(H77,H81))</f>
        <v>1657</v>
      </c>
      <c r="I82">
        <f>IF(Week&gt;=I$1,MATCH($A82&amp;"-"&amp;I$1&amp;$B82,Finals!$J$1:$J$501,0),MIN(I77,I81))</f>
        <v>1414</v>
      </c>
      <c r="J82">
        <f>IF(Week&gt;=J$1,MATCH($A82&amp;"-"&amp;J$1&amp;$B82,Finals!$J$1:$J$501,0),MIN(J77,J81))</f>
        <v>1808</v>
      </c>
      <c r="K82">
        <f>IF(Week&gt;=K$1,MATCH($A82&amp;"-"&amp;K$1&amp;$B82,Finals!$J$1:$J$501,0),MIN(K77,K81))</f>
        <v>1869</v>
      </c>
      <c r="L82">
        <f>IF(Week&gt;=L$1,MATCH($A82&amp;"-"&amp;L$1&amp;$B82,Finals!$J$1:$J$501,0),MIN(L77,L81))</f>
        <v>1694</v>
      </c>
      <c r="M82">
        <f>IF(Week&gt;=M$1,MATCH($A82&amp;"-"&amp;M$1&amp;$B82,Finals!$J$1:$J$501,0),MIN(M77,M81))</f>
        <v>1493</v>
      </c>
      <c r="N82">
        <f>IF(Week&gt;=N$1,MATCH($A82&amp;"-"&amp;N$1&amp;$B82,Finals!$J$1:$J$501,0),MIN(N77,N81))</f>
        <v>1469</v>
      </c>
      <c r="O82">
        <f>IF(Week&gt;=O$1,MATCH($A82&amp;"-"&amp;O$1&amp;$B82,Finals!$J$1:$J$501,0),MIN(O77,O81))</f>
        <v>1734</v>
      </c>
      <c r="P82">
        <f>IF(Week&gt;=P$1,MATCH($A82&amp;"-"&amp;P$1&amp;$B82,Finals!$J$1:$J$501,0),MIN(P77,P81))</f>
        <v>1440</v>
      </c>
      <c r="Q82">
        <f>IF(Week&gt;=Q$1,MATCH($A82&amp;"-"&amp;Q$1&amp;$B82,Finals!$J$1:$J$501,0),MIN(Q77,Q81))</f>
        <v>1909</v>
      </c>
      <c r="R82">
        <f>IF(Week&gt;=R$1,MATCH($A82&amp;"-"&amp;R$1&amp;$B82,Finals!$J$1:$J$501,0),MIN(R77,R81))</f>
        <v>1791</v>
      </c>
      <c r="S82">
        <f>IF(Week&gt;=S$1,MATCH($A82&amp;"-"&amp;S$1&amp;$B82,Finals!$J$1:$J$501,0),MIN(S77,S81))</f>
        <v>1870</v>
      </c>
      <c r="T82">
        <f>IF(Week&gt;=C$1,INDEX(Finals!$G$1:$G$501,C82),INDEX('F Proj'!$D$1:$D$7669,C82))</f>
        <v>10.5</v>
      </c>
      <c r="U82">
        <f>IF(Week&gt;=D$1,INDEX(Finals!$G$1:$G$501,D82),INDEX('F Proj'!$D$1:$D$7669,D82))</f>
        <v>12.5</v>
      </c>
      <c r="V82">
        <f>IF(Week&gt;=E$1,INDEX(Finals!$G$1:$G$501,E82),INDEX('F Proj'!$D$1:$D$7669,E82))</f>
        <v>10.7</v>
      </c>
      <c r="W82">
        <f>IF(Week&gt;=F$1,INDEX(Finals!$G$1:$G$501,F82),INDEX('F Proj'!$D$1:$D$7669,F82))</f>
        <v>7.7</v>
      </c>
      <c r="X82">
        <f>IF(Week&gt;=G$1,INDEX(Finals!$G$1:$G$501,G82),INDEX('F Proj'!$D$1:$D$7669,G82))</f>
        <v>7.55</v>
      </c>
      <c r="Y82">
        <f>IF(Week&gt;=H$1,INDEX(Finals!$G$1:$G$501,H82),INDEX('F Proj'!$D$1:$D$7669,H82))</f>
        <v>7.54</v>
      </c>
      <c r="Z82">
        <f>IF(Week&gt;=I$1,INDEX(Finals!$G$1:$G$501,I82),INDEX('F Proj'!$D$1:$D$7669,I82))</f>
        <v>8.43</v>
      </c>
      <c r="AA82">
        <f>IF(Week&gt;=J$1,INDEX(Finals!$G$1:$G$501,J82),INDEX('F Proj'!$D$1:$D$7669,J82))</f>
        <v>7.08</v>
      </c>
      <c r="AB82">
        <f>IF(Week&gt;=K$1,INDEX(Finals!$G$1:$G$501,K82),INDEX('F Proj'!$D$1:$D$7669,K82))</f>
        <v>6.9</v>
      </c>
      <c r="AC82">
        <f>IF(Week&gt;=L$1,INDEX(Finals!$G$1:$G$501,L82),INDEX('F Proj'!$D$1:$D$7669,L82))</f>
        <v>7.44</v>
      </c>
      <c r="AD82">
        <f>IF(Week&gt;=M$1,INDEX(Finals!$G$1:$G$501,M82),INDEX('F Proj'!$D$1:$D$7669,M82))</f>
        <v>8.1300000000000008</v>
      </c>
      <c r="AE82">
        <f>IF(Week&gt;=N$1,INDEX(Finals!$G$1:$G$501,N82),INDEX('F Proj'!$D$1:$D$7669,N82))</f>
        <v>8.1999999999999993</v>
      </c>
      <c r="AF82">
        <f>IF(Week&gt;=O$1,INDEX(Finals!$G$1:$G$501,O82),INDEX('F Proj'!$D$1:$D$7669,O82))</f>
        <v>7.28</v>
      </c>
      <c r="AG82">
        <f>IF(Week&gt;=P$1,INDEX(Finals!$G$1:$G$501,P82),INDEX('F Proj'!$D$1:$D$7669,P82))</f>
        <v>8.3000000000000007</v>
      </c>
      <c r="AH82">
        <f>IF(Week&gt;=Q$1,INDEX(Finals!$G$1:$G$501,Q82),INDEX('F Proj'!$D$1:$D$7669,Q82))</f>
        <v>6.77</v>
      </c>
      <c r="AI82">
        <f>IF(Week&gt;=R$1,INDEX(Finals!$G$1:$G$501,R82),INDEX('F Proj'!$D$1:$D$7669,R82))</f>
        <v>7.13</v>
      </c>
      <c r="AJ82">
        <f>IF(Week&gt;=S$1,INDEX(Finals!$G$1:$G$501,S82),INDEX('F Proj'!$D$1:$D$7669,S82))</f>
        <v>6.9</v>
      </c>
      <c r="AK82">
        <f>IF(Week&gt;=C$1,INDEX(Finals!$I$1:$I$501,C82),INDEX('F Proj'!$J$1:$J$7669,C82))</f>
        <v>0</v>
      </c>
      <c r="AL82">
        <f>IF(Week&gt;=D$1,INDEX(Finals!$I$1:$I$501,D82),INDEX('F Proj'!$J$1:$J$7669,D82))</f>
        <v>0</v>
      </c>
      <c r="AM82">
        <f>IF(Week&gt;=E$1,INDEX(Finals!$I$1:$I$501,E82),INDEX('F Proj'!$J$1:$J$7669,E82))</f>
        <v>0</v>
      </c>
      <c r="AN82">
        <f>IF(Week&gt;=F$1,INDEX(Finals!$I$1:$I$501,F82),INDEX('F Proj'!$J$1:$J$7669,F82))</f>
        <v>0</v>
      </c>
      <c r="AO82">
        <f>IF(Week&gt;=G$1,INDEX(Finals!$I$1:$I$501,G82),INDEX('F Proj'!$J$1:$J$7669,G82))</f>
        <v>34.339599999999997</v>
      </c>
      <c r="AP82">
        <f>IF(Week&gt;=H$1,INDEX(Finals!$I$1:$I$501,H82),INDEX('F Proj'!$J$1:$J$7669,H82))</f>
        <v>22.7529</v>
      </c>
      <c r="AQ82">
        <f>IF(Week&gt;=I$1,INDEX(Finals!$I$1:$I$501,I82),INDEX('F Proj'!$J$1:$J$7669,I82))</f>
        <v>30.5809</v>
      </c>
      <c r="AR82">
        <f>IF(Week&gt;=J$1,INDEX(Finals!$I$1:$I$501,J82),INDEX('F Proj'!$J$1:$J$7669,J82))</f>
        <v>36.240400000000001</v>
      </c>
      <c r="AS82">
        <f>IF(Week&gt;=K$1,INDEX(Finals!$I$1:$I$501,K82),INDEX('F Proj'!$J$1:$J$7669,K82))</f>
        <v>23.04</v>
      </c>
      <c r="AT82">
        <f>IF(Week&gt;=L$1,INDEX(Finals!$I$1:$I$501,L82),INDEX('F Proj'!$J$1:$J$7669,L82))</f>
        <v>30.1401</v>
      </c>
      <c r="AU82">
        <f>IF(Week&gt;=M$1,INDEX(Finals!$I$1:$I$501,M82),INDEX('F Proj'!$J$1:$J$7669,M82))</f>
        <v>31.922499999999999</v>
      </c>
      <c r="AV82">
        <f>IF(Week&gt;=N$1,INDEX(Finals!$I$1:$I$501,N82),INDEX('F Proj'!$J$1:$J$7669,N82))</f>
        <v>29.4849</v>
      </c>
      <c r="AW82">
        <f>IF(Week&gt;=O$1,INDEX(Finals!$I$1:$I$501,O82),INDEX('F Proj'!$J$1:$J$7669,O82))</f>
        <v>30.691600000000001</v>
      </c>
      <c r="AX82">
        <f>IF(Week&gt;=P$1,INDEX(Finals!$I$1:$I$501,P82),INDEX('F Proj'!$J$1:$J$7669,P82))</f>
        <v>31.36</v>
      </c>
      <c r="AY82">
        <f>IF(Week&gt;=Q$1,INDEX(Finals!$I$1:$I$501,Q82),INDEX('F Proj'!$J$1:$J$7669,Q82))</f>
        <v>30.691600000000001</v>
      </c>
      <c r="AZ82">
        <f>IF(Week&gt;=R$1,INDEX(Finals!$I$1:$I$501,R82),INDEX('F Proj'!$J$1:$J$7669,R82))</f>
        <v>29.052099999999999</v>
      </c>
      <c r="BA82">
        <f>IF(Week&gt;=S$1,INDEX(Finals!$I$1:$I$501,S82),INDEX('F Proj'!$J$1:$J$7669,S82))</f>
        <v>31.584399999999999</v>
      </c>
    </row>
    <row r="83" spans="1:53" x14ac:dyDescent="0.25">
      <c r="A83" t="s">
        <v>1648</v>
      </c>
      <c r="B83" t="s">
        <v>475</v>
      </c>
      <c r="C83">
        <f>IF(Week&gt;=C$1,MATCH($A83&amp;"-"&amp;C$1&amp;$B83,Finals!$J$1:$J$501,0),IFERROR(MATCH($A83&amp;C$1&amp;$B83,'F Proj'!$N$1:$N$7669,0),MATCH("NA"&amp;C$1&amp;$B83,'F Proj'!$N$1:$N$7669,0)))</f>
        <v>322</v>
      </c>
      <c r="D83">
        <f>IF(Week&gt;=D$1,MATCH($A83&amp;"-"&amp;D$1&amp;$B83,Finals!$J$1:$J$501,0),IFERROR(MATCH($A83&amp;D$1&amp;$B83,'F Proj'!$N$1:$N$7669,0),MATCH("NA"&amp;D$1&amp;$B83,'F Proj'!$N$1:$N$7669,0)))</f>
        <v>323</v>
      </c>
      <c r="E83">
        <f>IF(Week&gt;=E$1,MATCH($A83&amp;"-"&amp;E$1&amp;$B83,Finals!$J$1:$J$501,0),IFERROR(MATCH($A83&amp;E$1&amp;$B83,'F Proj'!$N$1:$N$7669,0),MATCH("NA"&amp;E$1&amp;$B83,'F Proj'!$N$1:$N$7669,0)))</f>
        <v>324</v>
      </c>
      <c r="F83">
        <f>IF(Week&gt;=F$1,MATCH($A83&amp;"-"&amp;F$1&amp;$B83,Finals!$J$1:$J$501,0),IFERROR(MATCH($A83&amp;F$1&amp;$B83,'F Proj'!$N$1:$N$7669,0),MATCH("NA"&amp;F$1&amp;$B83,'F Proj'!$N$1:$N$7669,0)))</f>
        <v>325</v>
      </c>
      <c r="G83">
        <f>IF(Week&gt;=G$1,MATCH($A83&amp;"-"&amp;G$1&amp;$B83,Finals!$J$1:$J$501,0),IFERROR(MATCH($A83&amp;G$1&amp;$B83,'F Proj'!$N$1:$N$7669,0),MATCH("NA"&amp;G$1&amp;$B83,'F Proj'!$N$1:$N$7669,0)))</f>
        <v>326</v>
      </c>
      <c r="H83">
        <f>IF(Week&gt;=H$1,MATCH($A83&amp;"-"&amp;H$1&amp;$B83,Finals!$J$1:$J$501,0),IFERROR(MATCH($A83&amp;H$1&amp;$B83,'F Proj'!$N$1:$N$7669,0),MATCH("NA"&amp;H$1&amp;$B83,'F Proj'!$N$1:$N$7669,0)))</f>
        <v>964</v>
      </c>
      <c r="I83">
        <f>IF(Week&gt;=I$1,MATCH($A83&amp;"-"&amp;I$1&amp;$B83,Finals!$J$1:$J$501,0),IFERROR(MATCH($A83&amp;I$1&amp;$B83,'F Proj'!$N$1:$N$7669,0),MATCH("NA"&amp;I$1&amp;$B83,'F Proj'!$N$1:$N$7669,0)))</f>
        <v>1149</v>
      </c>
      <c r="J83">
        <f>IF(Week&gt;=J$1,MATCH($A83&amp;"-"&amp;J$1&amp;$B83,Finals!$J$1:$J$501,0),IFERROR(MATCH($A83&amp;J$1&amp;$B83,'F Proj'!$N$1:$N$7669,0),MATCH("NA"&amp;J$1&amp;$B83,'F Proj'!$N$1:$N$7669,0)))</f>
        <v>1038</v>
      </c>
      <c r="K83">
        <f>IF(Week&gt;=K$1,MATCH($A83&amp;"-"&amp;K$1&amp;$B83,Finals!$J$1:$J$501,0),IFERROR(MATCH($A83&amp;K$1&amp;$B83,'F Proj'!$N$1:$N$7669,0),MATCH("NA"&amp;K$1&amp;$B83,'F Proj'!$N$1:$N$7669,0)))</f>
        <v>908</v>
      </c>
      <c r="L83">
        <f>IF(Week&gt;=L$1,MATCH($A83&amp;"-"&amp;L$1&amp;$B83,Finals!$J$1:$J$501,0),IFERROR(MATCH($A83&amp;L$1&amp;$B83,'F Proj'!$N$1:$N$7669,0),MATCH("NA"&amp;L$1&amp;$B83,'F Proj'!$N$1:$N$7669,0)))</f>
        <v>970</v>
      </c>
      <c r="M83">
        <f>IF(Week&gt;=M$1,MATCH($A83&amp;"-"&amp;M$1&amp;$B83,Finals!$J$1:$J$501,0),IFERROR(MATCH($A83&amp;M$1&amp;$B83,'F Proj'!$N$1:$N$7669,0),MATCH("NA"&amp;M$1&amp;$B83,'F Proj'!$N$1:$N$7669,0)))</f>
        <v>2208</v>
      </c>
      <c r="N83">
        <f>IF(Week&gt;=N$1,MATCH($A83&amp;"-"&amp;N$1&amp;$B83,Finals!$J$1:$J$501,0),IFERROR(MATCH($A83&amp;N$1&amp;$B83,'F Proj'!$N$1:$N$7669,0),MATCH("NA"&amp;N$1&amp;$B83,'F Proj'!$N$1:$N$7669,0)))</f>
        <v>1136</v>
      </c>
      <c r="O83">
        <f>IF(Week&gt;=O$1,MATCH($A83&amp;"-"&amp;O$1&amp;$B83,Finals!$J$1:$J$501,0),IFERROR(MATCH($A83&amp;O$1&amp;$B83,'F Proj'!$N$1:$N$7669,0),MATCH("NA"&amp;O$1&amp;$B83,'F Proj'!$N$1:$N$7669,0)))</f>
        <v>1191</v>
      </c>
      <c r="P83">
        <f>IF(Week&gt;=P$1,MATCH($A83&amp;"-"&amp;P$1&amp;$B83,Finals!$J$1:$J$501,0),IFERROR(MATCH($A83&amp;P$1&amp;$B83,'F Proj'!$N$1:$N$7669,0),MATCH("NA"&amp;P$1&amp;$B83,'F Proj'!$N$1:$N$7669,0)))</f>
        <v>823</v>
      </c>
      <c r="Q83">
        <f>IF(Week&gt;=Q$1,MATCH($A83&amp;"-"&amp;Q$1&amp;$B83,Finals!$J$1:$J$501,0),IFERROR(MATCH($A83&amp;Q$1&amp;$B83,'F Proj'!$N$1:$N$7669,0),MATCH("NA"&amp;Q$1&amp;$B83,'F Proj'!$N$1:$N$7669,0)))</f>
        <v>911</v>
      </c>
      <c r="R83">
        <f>IF(Week&gt;=R$1,MATCH($A83&amp;"-"&amp;R$1&amp;$B83,Finals!$J$1:$J$501,0),IFERROR(MATCH($A83&amp;R$1&amp;$B83,'F Proj'!$N$1:$N$7669,0),MATCH("NA"&amp;R$1&amp;$B83,'F Proj'!$N$1:$N$7669,0)))</f>
        <v>846</v>
      </c>
      <c r="S83">
        <f>IF(Week&gt;=S$1,MATCH($A83&amp;"-"&amp;S$1&amp;$B83,Finals!$J$1:$J$501,0),IFERROR(MATCH($A83&amp;S$1&amp;$B83,'F Proj'!$N$1:$N$7669,0),MATCH("NA"&amp;S$1&amp;$B83,'F Proj'!$N$1:$N$7669,0)))</f>
        <v>1224</v>
      </c>
      <c r="T83">
        <f>IF(Week&gt;=C$1,INDEX(Finals!$G$1:$G$501,C83),INDEX('F Proj'!$D$1:$D$7669,C83))</f>
        <v>16.3</v>
      </c>
      <c r="U83">
        <f>IF(Week&gt;=D$1,INDEX(Finals!$G$1:$G$501,D83),INDEX('F Proj'!$D$1:$D$7669,D83))</f>
        <v>1.5</v>
      </c>
      <c r="V83">
        <f>IF(Week&gt;=E$1,INDEX(Finals!$G$1:$G$501,E83),INDEX('F Proj'!$D$1:$D$7669,E83))</f>
        <v>5.0999999999999996</v>
      </c>
      <c r="W83">
        <f>IF(Week&gt;=F$1,INDEX(Finals!$G$1:$G$501,F83),INDEX('F Proj'!$D$1:$D$7669,F83))</f>
        <v>4.4000000000000004</v>
      </c>
      <c r="X83">
        <f>IF(Week&gt;=G$1,INDEX(Finals!$G$1:$G$501,G83),INDEX('F Proj'!$D$1:$D$7669,G83))</f>
        <v>7.5</v>
      </c>
      <c r="Y83">
        <f>IF(Week&gt;=H$1,INDEX(Finals!$G$1:$G$501,H83),INDEX('F Proj'!$D$1:$D$7669,H83))</f>
        <v>10.66</v>
      </c>
      <c r="Z83">
        <f>IF(Week&gt;=I$1,INDEX(Finals!$G$1:$G$501,I83),INDEX('F Proj'!$D$1:$D$7669,I83))</f>
        <v>9.65</v>
      </c>
      <c r="AA83">
        <f>IF(Week&gt;=J$1,INDEX(Finals!$G$1:$G$501,J83),INDEX('F Proj'!$D$1:$D$7669,J83))</f>
        <v>10.199999999999999</v>
      </c>
      <c r="AB83">
        <f>IF(Week&gt;=K$1,INDEX(Finals!$G$1:$G$501,K83),INDEX('F Proj'!$D$1:$D$7669,K83))</f>
        <v>11.17</v>
      </c>
      <c r="AC83">
        <f>IF(Week&gt;=L$1,INDEX(Finals!$G$1:$G$501,L83),INDEX('F Proj'!$D$1:$D$7669,L83))</f>
        <v>10.63</v>
      </c>
      <c r="AD83">
        <f>IF(Week&gt;=M$1,INDEX(Finals!$G$1:$G$501,M83),INDEX('F Proj'!$D$1:$D$7669,M83))</f>
        <v>5.91</v>
      </c>
      <c r="AE83">
        <f>IF(Week&gt;=N$1,INDEX(Finals!$G$1:$G$501,N83),INDEX('F Proj'!$D$1:$D$7669,N83))</f>
        <v>9.74</v>
      </c>
      <c r="AF83">
        <f>IF(Week&gt;=O$1,INDEX(Finals!$G$1:$G$501,O83),INDEX('F Proj'!$D$1:$D$7669,O83))</f>
        <v>9.44</v>
      </c>
      <c r="AG83">
        <f>IF(Week&gt;=P$1,INDEX(Finals!$G$1:$G$501,P83),INDEX('F Proj'!$D$1:$D$7669,P83))</f>
        <v>11.94</v>
      </c>
      <c r="AH83">
        <f>IF(Week&gt;=Q$1,INDEX(Finals!$G$1:$G$501,Q83),INDEX('F Proj'!$D$1:$D$7669,Q83))</f>
        <v>11.14</v>
      </c>
      <c r="AI83">
        <f>IF(Week&gt;=R$1,INDEX(Finals!$G$1:$G$501,R83),INDEX('F Proj'!$D$1:$D$7669,R83))</f>
        <v>11.74</v>
      </c>
      <c r="AJ83">
        <f>IF(Week&gt;=S$1,INDEX(Finals!$G$1:$G$501,S83),INDEX('F Proj'!$D$1:$D$7669,S83))</f>
        <v>9.25</v>
      </c>
      <c r="AK83">
        <f>IF(Week&gt;=C$1,INDEX(Finals!$I$1:$I$501,C83),INDEX('F Proj'!$J$1:$J$7669,C83))</f>
        <v>0</v>
      </c>
      <c r="AL83">
        <f>IF(Week&gt;=D$1,INDEX(Finals!$I$1:$I$501,D83),INDEX('F Proj'!$J$1:$J$7669,D83))</f>
        <v>0</v>
      </c>
      <c r="AM83">
        <f>IF(Week&gt;=E$1,INDEX(Finals!$I$1:$I$501,E83),INDEX('F Proj'!$J$1:$J$7669,E83))</f>
        <v>0</v>
      </c>
      <c r="AN83">
        <f>IF(Week&gt;=F$1,INDEX(Finals!$I$1:$I$501,F83),INDEX('F Proj'!$J$1:$J$7669,F83))</f>
        <v>0</v>
      </c>
      <c r="AO83">
        <f>IF(Week&gt;=G$1,INDEX(Finals!$I$1:$I$501,G83),INDEX('F Proj'!$J$1:$J$7669,G83))</f>
        <v>0</v>
      </c>
      <c r="AP83">
        <f>IF(Week&gt;=H$1,INDEX(Finals!$I$1:$I$501,H83),INDEX('F Proj'!$J$1:$J$7669,H83))</f>
        <v>41.344900000000003</v>
      </c>
      <c r="AQ83">
        <f>IF(Week&gt;=I$1,INDEX(Finals!$I$1:$I$501,I83),INDEX('F Proj'!$J$1:$J$7669,I83))</f>
        <v>40.96</v>
      </c>
      <c r="AR83">
        <f>IF(Week&gt;=J$1,INDEX(Finals!$I$1:$I$501,J83),INDEX('F Proj'!$J$1:$J$7669,J83))</f>
        <v>28.729600000000001</v>
      </c>
      <c r="AS83">
        <f>IF(Week&gt;=K$1,INDEX(Finals!$I$1:$I$501,K83),INDEX('F Proj'!$J$1:$J$7669,K83))</f>
        <v>47.059600000000003</v>
      </c>
      <c r="AT83">
        <f>IF(Week&gt;=L$1,INDEX(Finals!$I$1:$I$501,L83),INDEX('F Proj'!$J$1:$J$7669,L83))</f>
        <v>35.164900000000003</v>
      </c>
      <c r="AU83">
        <f>IF(Week&gt;=M$1,INDEX(Finals!$I$1:$I$501,M83),INDEX('F Proj'!$J$1:$J$7669,M83))</f>
        <v>27.144100000000002</v>
      </c>
      <c r="AV83">
        <f>IF(Week&gt;=N$1,INDEX(Finals!$I$1:$I$501,N83),INDEX('F Proj'!$J$1:$J$7669,N83))</f>
        <v>42.120100000000001</v>
      </c>
      <c r="AW83">
        <f>IF(Week&gt;=O$1,INDEX(Finals!$I$1:$I$501,O83),INDEX('F Proj'!$J$1:$J$7669,O83))</f>
        <v>33.872399999999999</v>
      </c>
      <c r="AX83">
        <f>IF(Week&gt;=P$1,INDEX(Finals!$I$1:$I$501,P83),INDEX('F Proj'!$J$1:$J$7669,P83))</f>
        <v>51.122500000000002</v>
      </c>
      <c r="AY83">
        <f>IF(Week&gt;=Q$1,INDEX(Finals!$I$1:$I$501,Q83),INDEX('F Proj'!$J$1:$J$7669,Q83))</f>
        <v>43.956899999999997</v>
      </c>
      <c r="AZ83">
        <f>IF(Week&gt;=R$1,INDEX(Finals!$I$1:$I$501,R83),INDEX('F Proj'!$J$1:$J$7669,R83))</f>
        <v>34.81</v>
      </c>
      <c r="BA83">
        <f>IF(Week&gt;=S$1,INDEX(Finals!$I$1:$I$501,S83),INDEX('F Proj'!$J$1:$J$7669,S83))</f>
        <v>34.81</v>
      </c>
    </row>
    <row r="84" spans="1:53" x14ac:dyDescent="0.25">
      <c r="A84" t="s">
        <v>1648</v>
      </c>
      <c r="B84" t="s">
        <v>477</v>
      </c>
      <c r="C84">
        <f>IF(Week&gt;=C$1,MATCH($A84&amp;"-"&amp;C$1&amp;$B84,Finals!$J$1:$J$501,0),IFERROR(MATCH($A84&amp;C$1,'D Proj'!$V$1:$V$514,0),MATCH("NA"&amp;C$1,'D Proj'!$V$1:$V$514,0)))</f>
        <v>454</v>
      </c>
      <c r="D84">
        <f>IF(Week&gt;=D$1,MATCH($A84&amp;"-"&amp;D$1&amp;$B84,Finals!$J$1:$J$501,0),IFERROR(MATCH($A84&amp;D$1,'D Proj'!$V$1:$V$514,0),MATCH("NA"&amp;D$1,'D Proj'!$V$1:$V$514,0)))</f>
        <v>455</v>
      </c>
      <c r="E84">
        <f>IF(Week&gt;=E$1,MATCH($A84&amp;"-"&amp;E$1&amp;$B84,Finals!$J$1:$J$501,0),IFERROR(MATCH($A84&amp;E$1,'D Proj'!$V$1:$V$514,0),MATCH("NA"&amp;E$1,'D Proj'!$V$1:$V$514,0)))</f>
        <v>456</v>
      </c>
      <c r="F84">
        <f>IF(Week&gt;=F$1,MATCH($A84&amp;"-"&amp;F$1&amp;$B84,Finals!$J$1:$J$501,0),IFERROR(MATCH($A84&amp;F$1,'D Proj'!$V$1:$V$514,0),MATCH("NA"&amp;F$1,'D Proj'!$V$1:$V$514,0)))</f>
        <v>453</v>
      </c>
      <c r="G84">
        <f>IF(Week&gt;=G$1,MATCH($A84&amp;"-"&amp;G$1&amp;$B84,Finals!$J$1:$J$501,0),IFERROR(MATCH($A84&amp;G$1,'D Proj'!$V$1:$V$514,0),MATCH("NA"&amp;G$1,'D Proj'!$V$1:$V$514,0)))</f>
        <v>488</v>
      </c>
      <c r="H84">
        <f>IF(Week&gt;=H$1,MATCH($A84&amp;"-"&amp;H$1&amp;$B84,Finals!$J$1:$J$501,0),IFERROR(MATCH($A84&amp;H$1,'D Proj'!$V$1:$V$514,0),MATCH("NA"&amp;H$1,'D Proj'!$V$1:$V$514,0)))</f>
        <v>42</v>
      </c>
      <c r="I84">
        <f>IF(Week&gt;=I$1,MATCH($A84&amp;"-"&amp;I$1&amp;$B84,Finals!$J$1:$J$501,0),IFERROR(MATCH($A84&amp;I$1,'D Proj'!$V$1:$V$514,0),MATCH("NA"&amp;I$1,'D Proj'!$V$1:$V$514,0)))</f>
        <v>322</v>
      </c>
      <c r="J84">
        <f>IF(Week&gt;=J$1,MATCH($A84&amp;"-"&amp;J$1&amp;$B84,Finals!$J$1:$J$501,0),IFERROR(MATCH($A84&amp;J$1,'D Proj'!$V$1:$V$514,0),MATCH("NA"&amp;J$1,'D Proj'!$V$1:$V$514,0)))</f>
        <v>95</v>
      </c>
      <c r="K84">
        <f>IF(Week&gt;=K$1,MATCH($A84&amp;"-"&amp;K$1&amp;$B84,Finals!$J$1:$J$501,0),IFERROR(MATCH($A84&amp;K$1,'D Proj'!$V$1:$V$514,0),MATCH("NA"&amp;K$1,'D Proj'!$V$1:$V$514,0)))</f>
        <v>20</v>
      </c>
      <c r="L84">
        <f>IF(Week&gt;=L$1,MATCH($A84&amp;"-"&amp;L$1&amp;$B84,Finals!$J$1:$J$501,0),IFERROR(MATCH($A84&amp;L$1,'D Proj'!$V$1:$V$514,0),MATCH("NA"&amp;L$1,'D Proj'!$V$1:$V$514,0)))</f>
        <v>240</v>
      </c>
      <c r="M84">
        <f>IF(Week&gt;=M$1,MATCH($A84&amp;"-"&amp;M$1&amp;$B84,Finals!$J$1:$J$501,0),IFERROR(MATCH($A84&amp;M$1,'D Proj'!$V$1:$V$514,0),MATCH("NA"&amp;M$1,'D Proj'!$V$1:$V$514,0)))</f>
        <v>139</v>
      </c>
      <c r="N84">
        <f>IF(Week&gt;=N$1,MATCH($A84&amp;"-"&amp;N$1&amp;$B84,Finals!$J$1:$J$501,0),IFERROR(MATCH($A84&amp;N$1,'D Proj'!$V$1:$V$514,0),MATCH("NA"&amp;N$1,'D Proj'!$V$1:$V$514,0)))</f>
        <v>224</v>
      </c>
      <c r="O84">
        <f>IF(Week&gt;=O$1,MATCH($A84&amp;"-"&amp;O$1&amp;$B84,Finals!$J$1:$J$501,0),IFERROR(MATCH($A84&amp;O$1,'D Proj'!$V$1:$V$514,0),MATCH("NA"&amp;O$1,'D Proj'!$V$1:$V$514,0)))</f>
        <v>97</v>
      </c>
      <c r="P84">
        <f>IF(Week&gt;=P$1,MATCH($A84&amp;"-"&amp;P$1&amp;$B84,Finals!$J$1:$J$501,0),IFERROR(MATCH($A84&amp;P$1,'D Proj'!$V$1:$V$514,0),MATCH("NA"&amp;P$1,'D Proj'!$V$1:$V$514,0)))</f>
        <v>388</v>
      </c>
      <c r="Q84">
        <f>IF(Week&gt;=Q$1,MATCH($A84&amp;"-"&amp;Q$1&amp;$B84,Finals!$J$1:$J$501,0),IFERROR(MATCH($A84&amp;Q$1,'D Proj'!$V$1:$V$514,0),MATCH("NA"&amp;Q$1,'D Proj'!$V$1:$V$514,0)))</f>
        <v>210</v>
      </c>
      <c r="R84">
        <f>IF(Week&gt;=R$1,MATCH($A84&amp;"-"&amp;R$1&amp;$B84,Finals!$J$1:$J$501,0),IFERROR(MATCH($A84&amp;R$1,'D Proj'!$V$1:$V$514,0),MATCH("NA"&amp;R$1,'D Proj'!$V$1:$V$514,0)))</f>
        <v>68</v>
      </c>
      <c r="S84">
        <f>IF(Week&gt;=S$1,MATCH($A84&amp;"-"&amp;S$1&amp;$B84,Finals!$J$1:$J$501,0),IFERROR(MATCH($A84&amp;S$1,'D Proj'!$V$1:$V$514,0),MATCH("NA"&amp;S$1,'D Proj'!$V$1:$V$514,0)))</f>
        <v>2</v>
      </c>
      <c r="T84">
        <f>IF(Week&gt;=C$1,INDEX(Finals!$G$1:$G$501,C84),INDEX('D Proj'!$T$1:$T$513,C84))</f>
        <v>12</v>
      </c>
      <c r="U84">
        <f>IF(Week&gt;=D$1,INDEX(Finals!$G$1:$G$501,D84),INDEX('D Proj'!$T$1:$T$513,D84))</f>
        <v>2</v>
      </c>
      <c r="V84">
        <f>IF(Week&gt;=E$1,INDEX(Finals!$G$1:$G$501,E84),INDEX('D Proj'!$T$1:$T$513,E84))</f>
        <v>6</v>
      </c>
      <c r="W84">
        <f>IF(Week&gt;=F$1,INDEX(Finals!$G$1:$G$501,F84),INDEX('D Proj'!$T$1:$T$513,F84))</f>
        <v>13</v>
      </c>
      <c r="X84">
        <f>IF(Week&gt;=G$1,INDEX(Finals!$G$1:$G$501,G84),INDEX('D Proj'!$T$1:$T$513,G84))</f>
        <v>10.18</v>
      </c>
      <c r="Y84">
        <f>IF(Week&gt;=H$1,INDEX(Finals!$G$1:$G$501,H84),INDEX('D Proj'!$T$1:$T$513,H84))</f>
        <v>8.4600000000000009</v>
      </c>
      <c r="Z84">
        <f>IF(Week&gt;=I$1,INDEX(Finals!$G$1:$G$501,I84),INDEX('D Proj'!$T$1:$T$513,I84))</f>
        <v>5.42</v>
      </c>
      <c r="AA84">
        <f>IF(Week&gt;=J$1,INDEX(Finals!$G$1:$G$501,J84),INDEX('D Proj'!$T$1:$T$513,J84))</f>
        <v>7.56</v>
      </c>
      <c r="AB84">
        <f>IF(Week&gt;=K$1,INDEX(Finals!$G$1:$G$501,K84),INDEX('D Proj'!$T$1:$T$513,K84))</f>
        <v>9.06</v>
      </c>
      <c r="AC84">
        <f>IF(Week&gt;=L$1,INDEX(Finals!$G$1:$G$501,L84),INDEX('D Proj'!$T$1:$T$513,L84))</f>
        <v>6.3</v>
      </c>
      <c r="AD84">
        <f>IF(Week&gt;=M$1,INDEX(Finals!$G$1:$G$501,M84),INDEX('D Proj'!$T$1:$T$513,M84))</f>
        <v>7.24</v>
      </c>
      <c r="AE84">
        <f>IF(Week&gt;=N$1,INDEX(Finals!$G$1:$G$501,N84),INDEX('D Proj'!$T$1:$T$513,N84))</f>
        <v>6.48</v>
      </c>
      <c r="AF84">
        <f>IF(Week&gt;=O$1,INDEX(Finals!$G$1:$G$501,O84),INDEX('D Proj'!$T$1:$T$513,O84))</f>
        <v>7.54</v>
      </c>
      <c r="AG84">
        <f>IF(Week&gt;=P$1,INDEX(Finals!$G$1:$G$501,P84),INDEX('D Proj'!$T$1:$T$513,P84))</f>
        <v>4.66</v>
      </c>
      <c r="AH84">
        <f>IF(Week&gt;=Q$1,INDEX(Finals!$G$1:$G$501,Q84),INDEX('D Proj'!$T$1:$T$513,Q84))</f>
        <v>6.6</v>
      </c>
      <c r="AI84">
        <f>IF(Week&gt;=R$1,INDEX(Finals!$G$1:$G$501,R84),INDEX('D Proj'!$T$1:$T$513,R84))</f>
        <v>7.98</v>
      </c>
      <c r="AJ84">
        <f>IF(Week&gt;=S$1,INDEX(Finals!$G$1:$G$501,S84),INDEX('D Proj'!$T$1:$T$513,S84))</f>
        <v>15.72</v>
      </c>
      <c r="AK84">
        <f>IF(Week&gt;=C$1,INDEX(Finals!$I$1:$I$501,C84),INDEX('D Proj'!$N$1:$N$513,C84))</f>
        <v>0</v>
      </c>
      <c r="AL84">
        <f>IF(Week&gt;=D$1,INDEX(Finals!$I$1:$I$501,D84),INDEX('D Proj'!$N$1:$N$513,D84))</f>
        <v>0</v>
      </c>
      <c r="AM84">
        <f>IF(Week&gt;=E$1,INDEX(Finals!$I$1:$I$501,E84),INDEX('D Proj'!$N$1:$N$513,E84))</f>
        <v>0</v>
      </c>
      <c r="AN84">
        <f>IF(Week&gt;=F$1,INDEX(Finals!$I$1:$I$501,F84),INDEX('D Proj'!$N$1:$N$513,F84))</f>
        <v>0</v>
      </c>
      <c r="AO84">
        <f>IF(Week&gt;=G$1,INDEX(Finals!$I$1:$I$501,G84),INDEX('D Proj'!$N$1:$N$513,G84))</f>
        <v>14.8996</v>
      </c>
      <c r="AP84">
        <f>IF(Week&gt;=H$1,INDEX(Finals!$I$1:$I$501,H84),INDEX('D Proj'!$N$1:$N$513,H84))</f>
        <v>33.872399999999999</v>
      </c>
      <c r="AQ84">
        <f>IF(Week&gt;=I$1,INDEX(Finals!$I$1:$I$501,I84),INDEX('D Proj'!$N$1:$N$513,I84))</f>
        <v>35.164900000000003</v>
      </c>
      <c r="AR84">
        <f>IF(Week&gt;=J$1,INDEX(Finals!$I$1:$I$501,J84),INDEX('D Proj'!$N$1:$N$513,J84))</f>
        <v>49.420900000000003</v>
      </c>
      <c r="AS84">
        <f>IF(Week&gt;=K$1,INDEX(Finals!$I$1:$I$501,K84),INDEX('D Proj'!$N$1:$N$513,K84))</f>
        <v>43.296399999999998</v>
      </c>
      <c r="AT84">
        <f>IF(Week&gt;=L$1,INDEX(Finals!$I$1:$I$501,L84),INDEX('D Proj'!$N$1:$N$513,L84))</f>
        <v>23.912099999999999</v>
      </c>
      <c r="AU84">
        <f>IF(Week&gt;=M$1,INDEX(Finals!$I$1:$I$501,M84),INDEX('D Proj'!$N$1:$N$513,M84))</f>
        <v>45.427599999999998</v>
      </c>
      <c r="AV84">
        <f>IF(Week&gt;=N$1,INDEX(Finals!$I$1:$I$501,N84),INDEX('D Proj'!$N$1:$N$513,N84))</f>
        <v>33.988900000000001</v>
      </c>
      <c r="AW84">
        <f>IF(Week&gt;=O$1,INDEX(Finals!$I$1:$I$501,O84),INDEX('D Proj'!$N$1:$N$513,O84))</f>
        <v>33.0625</v>
      </c>
      <c r="AX84">
        <f>IF(Week&gt;=P$1,INDEX(Finals!$I$1:$I$501,P84),INDEX('D Proj'!$N$1:$N$513,P84))</f>
        <v>34.928100000000001</v>
      </c>
      <c r="AY84">
        <f>IF(Week&gt;=Q$1,INDEX(Finals!$I$1:$I$501,Q84),INDEX('D Proj'!$N$1:$N$513,Q84))</f>
        <v>24.900099999999998</v>
      </c>
      <c r="AZ84">
        <f>IF(Week&gt;=R$1,INDEX(Finals!$I$1:$I$501,R84),INDEX('D Proj'!$N$1:$N$513,R84))</f>
        <v>36.602499999999999</v>
      </c>
      <c r="BA84">
        <f>IF(Week&gt;=S$1,INDEX(Finals!$I$1:$I$501,S84),INDEX('D Proj'!$N$1:$N$513,S84))</f>
        <v>64.320400000000006</v>
      </c>
    </row>
    <row r="85" spans="1:53" x14ac:dyDescent="0.25">
      <c r="A85" t="s">
        <v>1648</v>
      </c>
      <c r="B85" t="s">
        <v>478</v>
      </c>
      <c r="C85">
        <f>IF(Week&gt;=C$1,MATCH($A85&amp;"-"&amp;C$1&amp;$B85,Finals!$J$1:$J$501,0),IFERROR(MATCH($A85&amp;C$1,'K Proj'!$R$1:$R$508,0),MATCH("NA"&amp;C$1,'K Proj'!$R$1:$R$508,0)))</f>
        <v>424</v>
      </c>
      <c r="D85">
        <f>IF(Week&gt;=D$1,MATCH($A85&amp;"-"&amp;D$1&amp;$B85,Finals!$J$1:$J$501,0),IFERROR(MATCH($A85&amp;D$1,'K Proj'!$R$1:$R$508,0),MATCH("NA"&amp;D$1,'K Proj'!$R$1:$R$508,0)))</f>
        <v>425</v>
      </c>
      <c r="E85">
        <f>IF(Week&gt;=E$1,MATCH($A85&amp;"-"&amp;E$1&amp;$B85,Finals!$J$1:$J$501,0),IFERROR(MATCH($A85&amp;E$1,'K Proj'!$R$1:$R$508,0),MATCH("NA"&amp;E$1,'K Proj'!$R$1:$R$508,0)))</f>
        <v>426</v>
      </c>
      <c r="F85">
        <f>IF(Week&gt;=F$1,MATCH($A85&amp;"-"&amp;F$1&amp;$B85,Finals!$J$1:$J$501,0),IFERROR(MATCH($A85&amp;F$1,'K Proj'!$R$1:$R$508,0),MATCH("NA"&amp;F$1,'K Proj'!$R$1:$R$508,0)))</f>
        <v>427</v>
      </c>
      <c r="G85">
        <f>IF(Week&gt;=G$1,MATCH($A85&amp;"-"&amp;G$1&amp;$B85,Finals!$J$1:$J$501,0),IFERROR(MATCH($A85&amp;G$1,'K Proj'!$R$1:$R$508,0),MATCH("NA"&amp;G$1,'K Proj'!$R$1:$R$508,0)))</f>
        <v>428</v>
      </c>
      <c r="H85">
        <f>IF(Week&gt;=H$1,MATCH($A85&amp;"-"&amp;H$1&amp;$B85,Finals!$J$1:$J$501,0),IFERROR(MATCH($A85&amp;H$1,'K Proj'!$R$1:$R$508,0),MATCH("NA"&amp;H$1,'K Proj'!$R$1:$R$508,0)))</f>
        <v>4</v>
      </c>
      <c r="I85">
        <f>IF(Week&gt;=I$1,MATCH($A85&amp;"-"&amp;I$1&amp;$B85,Finals!$J$1:$J$501,0),IFERROR(MATCH($A85&amp;I$1,'K Proj'!$R$1:$R$508,0),MATCH("NA"&amp;I$1,'K Proj'!$R$1:$R$508,0)))</f>
        <v>24</v>
      </c>
      <c r="J85">
        <f>IF(Week&gt;=J$1,MATCH($A85&amp;"-"&amp;J$1&amp;$B85,Finals!$J$1:$J$501,0),IFERROR(MATCH($A85&amp;J$1,'K Proj'!$R$1:$R$508,0),MATCH("NA"&amp;J$1,'K Proj'!$R$1:$R$508,0)))</f>
        <v>73</v>
      </c>
      <c r="K85">
        <f>IF(Week&gt;=K$1,MATCH($A85&amp;"-"&amp;K$1&amp;$B85,Finals!$J$1:$J$501,0),IFERROR(MATCH($A85&amp;K$1,'K Proj'!$R$1:$R$508,0),MATCH("NA"&amp;K$1,'K Proj'!$R$1:$R$508,0)))</f>
        <v>38</v>
      </c>
      <c r="L85">
        <f>IF(Week&gt;=L$1,MATCH($A85&amp;"-"&amp;L$1&amp;$B85,Finals!$J$1:$J$501,0),IFERROR(MATCH($A85&amp;L$1,'K Proj'!$R$1:$R$508,0),MATCH("NA"&amp;L$1,'K Proj'!$R$1:$R$508,0)))</f>
        <v>172</v>
      </c>
      <c r="M85">
        <f>IF(Week&gt;=M$1,MATCH($A85&amp;"-"&amp;M$1&amp;$B85,Finals!$J$1:$J$501,0),IFERROR(MATCH($A85&amp;M$1,'K Proj'!$R$1:$R$508,0),MATCH("NA"&amp;M$1,'K Proj'!$R$1:$R$508,0)))</f>
        <v>19</v>
      </c>
      <c r="N85">
        <f>IF(Week&gt;=N$1,MATCH($A85&amp;"-"&amp;N$1&amp;$B85,Finals!$J$1:$J$501,0),IFERROR(MATCH($A85&amp;N$1,'K Proj'!$R$1:$R$508,0),MATCH("NA"&amp;N$1,'K Proj'!$R$1:$R$508,0)))</f>
        <v>45</v>
      </c>
      <c r="O85">
        <f>IF(Week&gt;=O$1,MATCH($A85&amp;"-"&amp;O$1&amp;$B85,Finals!$J$1:$J$501,0),IFERROR(MATCH($A85&amp;O$1,'K Proj'!$R$1:$R$508,0),MATCH("NA"&amp;O$1,'K Proj'!$R$1:$R$508,0)))</f>
        <v>124</v>
      </c>
      <c r="P85">
        <f>IF(Week&gt;=P$1,MATCH($A85&amp;"-"&amp;P$1&amp;$B85,Finals!$J$1:$J$501,0),IFERROR(MATCH($A85&amp;P$1,'K Proj'!$R$1:$R$508,0),MATCH("NA"&amp;P$1,'K Proj'!$R$1:$R$508,0)))</f>
        <v>82</v>
      </c>
      <c r="Q85">
        <f>IF(Week&gt;=Q$1,MATCH($A85&amp;"-"&amp;Q$1&amp;$B85,Finals!$J$1:$J$501,0),IFERROR(MATCH($A85&amp;Q$1,'K Proj'!$R$1:$R$508,0),MATCH("NA"&amp;Q$1,'K Proj'!$R$1:$R$508,0)))</f>
        <v>115</v>
      </c>
      <c r="R85">
        <f>IF(Week&gt;=R$1,MATCH($A85&amp;"-"&amp;R$1&amp;$B85,Finals!$J$1:$J$501,0),IFERROR(MATCH($A85&amp;R$1,'K Proj'!$R$1:$R$508,0),MATCH("NA"&amp;R$1,'K Proj'!$R$1:$R$508,0)))</f>
        <v>138</v>
      </c>
      <c r="S85">
        <f>IF(Week&gt;=S$1,MATCH($A85&amp;"-"&amp;S$1&amp;$B85,Finals!$J$1:$J$501,0),IFERROR(MATCH($A85&amp;S$1,'K Proj'!$R$1:$R$508,0),MATCH("NA"&amp;S$1,'K Proj'!$R$1:$R$508,0)))</f>
        <v>10</v>
      </c>
      <c r="T85">
        <f>IF(Week&gt;=C$1,INDEX(Finals!$G$1:$G$501,C85),INDEX('K Proj'!$L$1:$L$508,C85))</f>
        <v>7</v>
      </c>
      <c r="U85">
        <f>IF(Week&gt;=D$1,INDEX(Finals!$G$1:$G$501,D85),INDEX('K Proj'!$L$1:$L$508,D85))</f>
        <v>8</v>
      </c>
      <c r="V85">
        <f>IF(Week&gt;=E$1,INDEX(Finals!$G$1:$G$501,E85),INDEX('K Proj'!$L$1:$L$508,E85))</f>
        <v>3</v>
      </c>
      <c r="W85">
        <f>IF(Week&gt;=F$1,INDEX(Finals!$G$1:$G$501,F85),INDEX('K Proj'!$L$1:$L$508,F85))</f>
        <v>14</v>
      </c>
      <c r="X85">
        <f>IF(Week&gt;=G$1,INDEX(Finals!$G$1:$G$501,G85),INDEX('K Proj'!$L$1:$L$508,G85))</f>
        <v>8.99</v>
      </c>
      <c r="Y85">
        <f>IF(Week&gt;=H$1,INDEX(Finals!$G$1:$G$501,H85),INDEX('K Proj'!$L$1:$L$508,H85))</f>
        <v>9.66</v>
      </c>
      <c r="Z85">
        <f>IF(Week&gt;=I$1,INDEX(Finals!$G$1:$G$501,I85),INDEX('K Proj'!$L$1:$L$508,I85))</f>
        <v>8.7200000000000006</v>
      </c>
      <c r="AA85">
        <f>IF(Week&gt;=J$1,INDEX(Finals!$G$1:$G$501,J85),INDEX('K Proj'!$L$1:$L$508,J85))</f>
        <v>8.2200000000000006</v>
      </c>
      <c r="AB85">
        <f>IF(Week&gt;=K$1,INDEX(Finals!$G$1:$G$501,K85),INDEX('K Proj'!$L$1:$L$508,K85))</f>
        <v>8.56</v>
      </c>
      <c r="AC85">
        <f>IF(Week&gt;=L$1,INDEX(Finals!$G$1:$G$501,L85),INDEX('K Proj'!$L$1:$L$508,L85))</f>
        <v>7.48</v>
      </c>
      <c r="AD85">
        <f>IF(Week&gt;=M$1,INDEX(Finals!$G$1:$G$501,M85),INDEX('K Proj'!$L$1:$L$508,M85))</f>
        <v>8.82</v>
      </c>
      <c r="AE85">
        <f>IF(Week&gt;=N$1,INDEX(Finals!$G$1:$G$501,N85),INDEX('K Proj'!$L$1:$L$508,N85))</f>
        <v>8.48</v>
      </c>
      <c r="AF85">
        <f>IF(Week&gt;=O$1,INDEX(Finals!$G$1:$G$501,O85),INDEX('K Proj'!$L$1:$L$508,O85))</f>
        <v>7.76</v>
      </c>
      <c r="AG85">
        <f>IF(Week&gt;=P$1,INDEX(Finals!$G$1:$G$501,P85),INDEX('K Proj'!$L$1:$L$508,P85))</f>
        <v>8.14</v>
      </c>
      <c r="AH85">
        <f>IF(Week&gt;=Q$1,INDEX(Finals!$G$1:$G$501,Q85),INDEX('K Proj'!$L$1:$L$508,Q85))</f>
        <v>7.86</v>
      </c>
      <c r="AI85">
        <f>IF(Week&gt;=R$1,INDEX(Finals!$G$1:$G$501,R85),INDEX('K Proj'!$L$1:$L$508,R85))</f>
        <v>7.66</v>
      </c>
      <c r="AJ85">
        <f>IF(Week&gt;=S$1,INDEX(Finals!$G$1:$G$501,S85),INDEX('K Proj'!$L$1:$L$508,S85))</f>
        <v>9.1300000000000008</v>
      </c>
      <c r="AK85">
        <f>IF(Week&gt;=C$1,INDEX(Finals!$I$1:$I$501,C85),INDEX('K Proj'!$P$1:$P$508,C85))</f>
        <v>0</v>
      </c>
      <c r="AL85">
        <f>IF(Week&gt;=D$1,INDEX(Finals!$I$1:$I$501,D85),INDEX('K Proj'!$P$1:$P$508,D85))</f>
        <v>0</v>
      </c>
      <c r="AM85">
        <f>IF(Week&gt;=E$1,INDEX(Finals!$I$1:$I$501,E85),INDEX('K Proj'!$P$1:$P$508,E85))</f>
        <v>0</v>
      </c>
      <c r="AN85">
        <f>IF(Week&gt;=F$1,INDEX(Finals!$I$1:$I$501,F85),INDEX('K Proj'!$P$1:$P$508,F85))</f>
        <v>0</v>
      </c>
      <c r="AO85">
        <f>IF(Week&gt;=G$1,INDEX(Finals!$I$1:$I$501,G85),INDEX('K Proj'!$P$1:$P$508,G85))</f>
        <v>10.4976</v>
      </c>
      <c r="AP85">
        <f>IF(Week&gt;=H$1,INDEX(Finals!$I$1:$I$501,H85),INDEX('K Proj'!$P$1:$P$508,H85))</f>
        <v>13.1044</v>
      </c>
      <c r="AQ85">
        <f>IF(Week&gt;=I$1,INDEX(Finals!$I$1:$I$501,I85),INDEX('K Proj'!$P$1:$P$508,I85))</f>
        <v>16.2409</v>
      </c>
      <c r="AR85">
        <f>IF(Week&gt;=J$1,INDEX(Finals!$I$1:$I$501,J85),INDEX('K Proj'!$P$1:$P$508,J85))</f>
        <v>17.7241</v>
      </c>
      <c r="AS85">
        <f>IF(Week&gt;=K$1,INDEX(Finals!$I$1:$I$501,K85),INDEX('K Proj'!$P$1:$P$508,K85))</f>
        <v>11.56</v>
      </c>
      <c r="AT85">
        <f>IF(Week&gt;=L$1,INDEX(Finals!$I$1:$I$501,L85),INDEX('K Proj'!$P$1:$P$508,L85))</f>
        <v>11.1556</v>
      </c>
      <c r="AU85">
        <f>IF(Week&gt;=M$1,INDEX(Finals!$I$1:$I$501,M85),INDEX('K Proj'!$P$1:$P$508,M85))</f>
        <v>15.760899999999999</v>
      </c>
      <c r="AV85">
        <f>IF(Week&gt;=N$1,INDEX(Finals!$I$1:$I$501,N85),INDEX('K Proj'!$P$1:$P$508,N85))</f>
        <v>12.531599999999999</v>
      </c>
      <c r="AW85">
        <f>IF(Week&gt;=O$1,INDEX(Finals!$I$1:$I$501,O85),INDEX('K Proj'!$P$1:$P$508,O85))</f>
        <v>14.8996</v>
      </c>
      <c r="AX85">
        <f>IF(Week&gt;=P$1,INDEX(Finals!$I$1:$I$501,P85),INDEX('K Proj'!$P$1:$P$508,P85))</f>
        <v>12.96</v>
      </c>
      <c r="AY85">
        <f>IF(Week&gt;=Q$1,INDEX(Finals!$I$1:$I$501,Q85),INDEX('K Proj'!$P$1:$P$508,Q85))</f>
        <v>12.6736</v>
      </c>
      <c r="AZ85">
        <f>IF(Week&gt;=R$1,INDEX(Finals!$I$1:$I$501,R85),INDEX('K Proj'!$P$1:$P$508,R85))</f>
        <v>11.56</v>
      </c>
      <c r="BA85">
        <f>IF(Week&gt;=S$1,INDEX(Finals!$I$1:$I$501,S85),INDEX('K Proj'!$P$1:$P$508,S85))</f>
        <v>11.696400000000001</v>
      </c>
    </row>
    <row r="86" spans="1:53" x14ac:dyDescent="0.25">
      <c r="A86" t="s">
        <v>23</v>
      </c>
      <c r="B86" t="s">
        <v>467</v>
      </c>
      <c r="C86">
        <f>IF(Week&gt;=C$1,MATCH($A86&amp;"-"&amp;C$1&amp;$B86,Finals!$J$1:$J$501,0),IFERROR(MATCH($A86&amp;C$1&amp;$B86,'F Proj'!$N$1:$N$7669,0),MATCH("NA"&amp;C$1&amp;$B86,'F Proj'!$N$1:$N$7669,0)))</f>
        <v>188</v>
      </c>
      <c r="D86">
        <f>IF(Week&gt;=D$1,MATCH($A86&amp;"-"&amp;D$1&amp;$B86,Finals!$J$1:$J$501,0),IFERROR(MATCH($A86&amp;D$1&amp;$B86,'F Proj'!$N$1:$N$7669,0),MATCH("NA"&amp;D$1&amp;$B86,'F Proj'!$N$1:$N$7669,0)))</f>
        <v>189</v>
      </c>
      <c r="E86">
        <f>IF(Week&gt;=E$1,MATCH($A86&amp;"-"&amp;E$1&amp;$B86,Finals!$J$1:$J$501,0),IFERROR(MATCH($A86&amp;E$1&amp;$B86,'F Proj'!$N$1:$N$7669,0),MATCH("NA"&amp;E$1&amp;$B86,'F Proj'!$N$1:$N$7669,0)))</f>
        <v>71</v>
      </c>
      <c r="F86">
        <f>IF(Week&gt;=F$1,MATCH($A86&amp;"-"&amp;F$1&amp;$B86,Finals!$J$1:$J$501,0),IFERROR(MATCH($A86&amp;F$1&amp;$B86,'F Proj'!$N$1:$N$7669,0),MATCH("NA"&amp;F$1&amp;$B86,'F Proj'!$N$1:$N$7669,0)))</f>
        <v>72</v>
      </c>
      <c r="G86">
        <f>IF(Week&gt;=G$1,MATCH($A86&amp;"-"&amp;G$1&amp;$B86,Finals!$J$1:$J$501,0),IFERROR(MATCH($A86&amp;G$1&amp;$B86,'F Proj'!$N$1:$N$7669,0),MATCH("NA"&amp;G$1&amp;$B86,'F Proj'!$N$1:$N$7669,0)))</f>
        <v>73</v>
      </c>
      <c r="H86">
        <f>IF(Week&gt;=H$1,MATCH($A86&amp;"-"&amp;H$1&amp;$B86,Finals!$J$1:$J$501,0),IFERROR(MATCH($A86&amp;H$1&amp;$B86,'F Proj'!$N$1:$N$7669,0),MATCH("NA"&amp;H$1&amp;$B86,'F Proj'!$N$1:$N$7669,0)))</f>
        <v>117</v>
      </c>
      <c r="I86">
        <f>IF(Week&gt;=I$1,MATCH($A86&amp;"-"&amp;I$1&amp;$B86,Finals!$J$1:$J$501,0),IFERROR(MATCH($A86&amp;I$1&amp;$B86,'F Proj'!$N$1:$N$7669,0),MATCH("NA"&amp;I$1&amp;$B86,'F Proj'!$N$1:$N$7669,0)))</f>
        <v>279</v>
      </c>
      <c r="J86">
        <f>IF(Week&gt;=J$1,MATCH($A86&amp;"-"&amp;J$1&amp;$B86,Finals!$J$1:$J$501,0),IFERROR(MATCH($A86&amp;J$1&amp;$B86,'F Proj'!$N$1:$N$7669,0),MATCH("NA"&amp;J$1&amp;$B86,'F Proj'!$N$1:$N$7669,0)))</f>
        <v>483</v>
      </c>
      <c r="K86">
        <f>IF(Week&gt;=K$1,MATCH($A86&amp;"-"&amp;K$1&amp;$B86,Finals!$J$1:$J$501,0),IFERROR(MATCH($A86&amp;K$1&amp;$B86,'F Proj'!$N$1:$N$7669,0),MATCH("NA"&amp;K$1&amp;$B86,'F Proj'!$N$1:$N$7669,0)))</f>
        <v>328</v>
      </c>
      <c r="L86">
        <f>IF(Week&gt;=L$1,MATCH($A86&amp;"-"&amp;L$1&amp;$B86,Finals!$J$1:$J$501,0),IFERROR(MATCH($A86&amp;L$1&amp;$B86,'F Proj'!$N$1:$N$7669,0),MATCH("NA"&amp;L$1&amp;$B86,'F Proj'!$N$1:$N$7669,0)))</f>
        <v>41</v>
      </c>
      <c r="M86">
        <f>IF(Week&gt;=M$1,MATCH($A86&amp;"-"&amp;M$1&amp;$B86,Finals!$J$1:$J$501,0),IFERROR(MATCH($A86&amp;M$1&amp;$B86,'F Proj'!$N$1:$N$7669,0),MATCH("NA"&amp;M$1&amp;$B86,'F Proj'!$N$1:$N$7669,0)))</f>
        <v>113</v>
      </c>
      <c r="N86">
        <f>IF(Week&gt;=N$1,MATCH($A86&amp;"-"&amp;N$1&amp;$B86,Finals!$J$1:$J$501,0),IFERROR(MATCH($A86&amp;N$1&amp;$B86,'F Proj'!$N$1:$N$7669,0),MATCH("NA"&amp;N$1&amp;$B86,'F Proj'!$N$1:$N$7669,0)))</f>
        <v>53</v>
      </c>
      <c r="O86">
        <f>IF(Week&gt;=O$1,MATCH($A86&amp;"-"&amp;O$1&amp;$B86,Finals!$J$1:$J$501,0),IFERROR(MATCH($A86&amp;O$1&amp;$B86,'F Proj'!$N$1:$N$7669,0),MATCH("NA"&amp;O$1&amp;$B86,'F Proj'!$N$1:$N$7669,0)))</f>
        <v>129</v>
      </c>
      <c r="P86">
        <f>IF(Week&gt;=P$1,MATCH($A86&amp;"-"&amp;P$1&amp;$B86,Finals!$J$1:$J$501,0),IFERROR(MATCH($A86&amp;P$1&amp;$B86,'F Proj'!$N$1:$N$7669,0),MATCH("NA"&amp;P$1&amp;$B86,'F Proj'!$N$1:$N$7669,0)))</f>
        <v>91</v>
      </c>
      <c r="Q86">
        <f>IF(Week&gt;=Q$1,MATCH($A86&amp;"-"&amp;Q$1&amp;$B86,Finals!$J$1:$J$501,0),IFERROR(MATCH($A86&amp;Q$1&amp;$B86,'F Proj'!$N$1:$N$7669,0),MATCH("NA"&amp;Q$1&amp;$B86,'F Proj'!$N$1:$N$7669,0)))</f>
        <v>190</v>
      </c>
      <c r="R86">
        <f>IF(Week&gt;=R$1,MATCH($A86&amp;"-"&amp;R$1&amp;$B86,Finals!$J$1:$J$501,0),IFERROR(MATCH($A86&amp;R$1&amp;$B86,'F Proj'!$N$1:$N$7669,0),MATCH("NA"&amp;R$1&amp;$B86,'F Proj'!$N$1:$N$7669,0)))</f>
        <v>3</v>
      </c>
      <c r="S86">
        <f>IF(Week&gt;=S$1,MATCH($A86&amp;"-"&amp;S$1&amp;$B86,Finals!$J$1:$J$501,0),IFERROR(MATCH($A86&amp;S$1&amp;$B86,'F Proj'!$N$1:$N$7669,0),MATCH("NA"&amp;S$1&amp;$B86,'F Proj'!$N$1:$N$7669,0)))</f>
        <v>208</v>
      </c>
      <c r="T86">
        <f>IF(Week&gt;=C$1,INDEX(Finals!$G$1:$G$501,C86),INDEX('F Proj'!$D$1:$D$7669,C86))</f>
        <v>9</v>
      </c>
      <c r="U86">
        <f>IF(Week&gt;=D$1,INDEX(Finals!$G$1:$G$501,D86),INDEX('F Proj'!$D$1:$D$7669,D86))</f>
        <v>16.600000000000001</v>
      </c>
      <c r="V86">
        <f>IF(Week&gt;=E$1,INDEX(Finals!$G$1:$G$501,E86),INDEX('F Proj'!$D$1:$D$7669,E86))</f>
        <v>11.2</v>
      </c>
      <c r="W86">
        <f>IF(Week&gt;=F$1,INDEX(Finals!$G$1:$G$501,F86),INDEX('F Proj'!$D$1:$D$7669,F86))</f>
        <v>20.7</v>
      </c>
      <c r="X86">
        <f>IF(Week&gt;=G$1,INDEX(Finals!$G$1:$G$501,G86),INDEX('F Proj'!$D$1:$D$7669,G86))</f>
        <v>19.39</v>
      </c>
      <c r="Y86">
        <f>IF(Week&gt;=H$1,INDEX(Finals!$G$1:$G$501,H86),INDEX('F Proj'!$D$1:$D$7669,H86))</f>
        <v>20.3</v>
      </c>
      <c r="Z86">
        <f>IF(Week&gt;=I$1,INDEX(Finals!$G$1:$G$501,I86),INDEX('F Proj'!$D$1:$D$7669,I86))</f>
        <v>17.95</v>
      </c>
      <c r="AA86">
        <f>IF(Week&gt;=J$1,INDEX(Finals!$G$1:$G$501,J86),INDEX('F Proj'!$D$1:$D$7669,J86))</f>
        <v>15.04</v>
      </c>
      <c r="AB86">
        <f>IF(Week&gt;=K$1,INDEX(Finals!$G$1:$G$501,K86),INDEX('F Proj'!$D$1:$D$7669,K86))</f>
        <v>17.18</v>
      </c>
      <c r="AC86">
        <f>IF(Week&gt;=L$1,INDEX(Finals!$G$1:$G$501,L86),INDEX('F Proj'!$D$1:$D$7669,L86))</f>
        <v>22.25</v>
      </c>
      <c r="AD86">
        <f>IF(Week&gt;=M$1,INDEX(Finals!$G$1:$G$501,M86),INDEX('F Proj'!$D$1:$D$7669,M86))</f>
        <v>20.38</v>
      </c>
      <c r="AE86">
        <f>IF(Week&gt;=N$1,INDEX(Finals!$G$1:$G$501,N86),INDEX('F Proj'!$D$1:$D$7669,N86))</f>
        <v>21.74</v>
      </c>
      <c r="AF86">
        <f>IF(Week&gt;=O$1,INDEX(Finals!$G$1:$G$501,O86),INDEX('F Proj'!$D$1:$D$7669,O86))</f>
        <v>20.149999999999999</v>
      </c>
      <c r="AG86">
        <f>IF(Week&gt;=P$1,INDEX(Finals!$G$1:$G$501,P86),INDEX('F Proj'!$D$1:$D$7669,P86))</f>
        <v>20.83</v>
      </c>
      <c r="AH86">
        <f>IF(Week&gt;=Q$1,INDEX(Finals!$G$1:$G$501,Q86),INDEX('F Proj'!$D$1:$D$7669,Q86))</f>
        <v>19.329999999999998</v>
      </c>
      <c r="AI86">
        <f>IF(Week&gt;=R$1,INDEX(Finals!$G$1:$G$501,R86),INDEX('F Proj'!$D$1:$D$7669,R86))</f>
        <v>26.02</v>
      </c>
      <c r="AJ86">
        <f>IF(Week&gt;=S$1,INDEX(Finals!$G$1:$G$501,S86),INDEX('F Proj'!$D$1:$D$7669,S86))</f>
        <v>18.989999999999998</v>
      </c>
      <c r="AK86">
        <f>IF(Week&gt;=C$1,INDEX(Finals!$I$1:$I$501,C86),INDEX('F Proj'!$J$1:$J$7669,C86))</f>
        <v>0</v>
      </c>
      <c r="AL86">
        <f>IF(Week&gt;=D$1,INDEX(Finals!$I$1:$I$501,D86),INDEX('F Proj'!$J$1:$J$7669,D86))</f>
        <v>0</v>
      </c>
      <c r="AM86">
        <f>IF(Week&gt;=E$1,INDEX(Finals!$I$1:$I$501,E86),INDEX('F Proj'!$J$1:$J$7669,E86))</f>
        <v>0</v>
      </c>
      <c r="AN86">
        <f>IF(Week&gt;=F$1,INDEX(Finals!$I$1:$I$501,F86),INDEX('F Proj'!$J$1:$J$7669,F86))</f>
        <v>0</v>
      </c>
      <c r="AO86">
        <f>IF(Week&gt;=G$1,INDEX(Finals!$I$1:$I$501,G86),INDEX('F Proj'!$J$1:$J$7669,G86))</f>
        <v>67.897599999999997</v>
      </c>
      <c r="AP86">
        <f>IF(Week&gt;=H$1,INDEX(Finals!$I$1:$I$501,H86),INDEX('F Proj'!$J$1:$J$7669,H86))</f>
        <v>53.728900000000003</v>
      </c>
      <c r="AQ86">
        <f>IF(Week&gt;=I$1,INDEX(Finals!$I$1:$I$501,I86),INDEX('F Proj'!$J$1:$J$7669,I86))</f>
        <v>51.696100000000001</v>
      </c>
      <c r="AR86">
        <f>IF(Week&gt;=J$1,INDEX(Finals!$I$1:$I$501,J86),INDEX('F Proj'!$J$1:$J$7669,J86))</f>
        <v>70.8964</v>
      </c>
      <c r="AS86">
        <f>IF(Week&gt;=K$1,INDEX(Finals!$I$1:$I$501,K86),INDEX('F Proj'!$J$1:$J$7669,K86))</f>
        <v>49.984900000000003</v>
      </c>
      <c r="AT86">
        <f>IF(Week&gt;=L$1,INDEX(Finals!$I$1:$I$501,L86),INDEX('F Proj'!$J$1:$J$7669,L86))</f>
        <v>76.912899999999993</v>
      </c>
      <c r="AU86">
        <f>IF(Week&gt;=M$1,INDEX(Finals!$I$1:$I$501,M86),INDEX('F Proj'!$J$1:$J$7669,M86))</f>
        <v>69.722499999999997</v>
      </c>
      <c r="AV86">
        <f>IF(Week&gt;=N$1,INDEX(Finals!$I$1:$I$501,N86),INDEX('F Proj'!$J$1:$J$7669,N86))</f>
        <v>53.728900000000003</v>
      </c>
      <c r="AW86">
        <f>IF(Week&gt;=O$1,INDEX(Finals!$I$1:$I$501,O86),INDEX('F Proj'!$J$1:$J$7669,O86))</f>
        <v>72.25</v>
      </c>
      <c r="AX86">
        <f>IF(Week&gt;=P$1,INDEX(Finals!$I$1:$I$501,P86),INDEX('F Proj'!$J$1:$J$7669,P86))</f>
        <v>76.912899999999993</v>
      </c>
      <c r="AY86">
        <f>IF(Week&gt;=Q$1,INDEX(Finals!$I$1:$I$501,Q86),INDEX('F Proj'!$J$1:$J$7669,Q86))</f>
        <v>72.931600000000003</v>
      </c>
      <c r="AZ86">
        <f>IF(Week&gt;=R$1,INDEX(Finals!$I$1:$I$501,R86),INDEX('F Proj'!$J$1:$J$7669,R86))</f>
        <v>72.25</v>
      </c>
      <c r="BA86">
        <f>IF(Week&gt;=S$1,INDEX(Finals!$I$1:$I$501,S86),INDEX('F Proj'!$J$1:$J$7669,S86))</f>
        <v>72.25</v>
      </c>
    </row>
    <row r="87" spans="1:53" x14ac:dyDescent="0.25">
      <c r="A87" t="s">
        <v>23</v>
      </c>
      <c r="B87" t="s">
        <v>468</v>
      </c>
      <c r="C87">
        <f>IF(Week&gt;=C$1,MATCH($A87&amp;"-"&amp;C$1&amp;$B87,Finals!$J$1:$J$501,0),IFERROR(MATCH($A87&amp;C$1&amp;$B87,'F Proj'!$N$1:$N$7669,0),MATCH("NA"&amp;C$1&amp;$B87,'F Proj'!$N$1:$N$7669,0)))</f>
        <v>91</v>
      </c>
      <c r="D87">
        <f>IF(Week&gt;=D$1,MATCH($A87&amp;"-"&amp;D$1&amp;$B87,Finals!$J$1:$J$501,0),IFERROR(MATCH($A87&amp;D$1&amp;$B87,'F Proj'!$N$1:$N$7669,0),MATCH("NA"&amp;D$1&amp;$B87,'F Proj'!$N$1:$N$7669,0)))</f>
        <v>92</v>
      </c>
      <c r="E87">
        <f>IF(Week&gt;=E$1,MATCH($A87&amp;"-"&amp;E$1&amp;$B87,Finals!$J$1:$J$501,0),IFERROR(MATCH($A87&amp;E$1&amp;$B87,'F Proj'!$N$1:$N$7669,0),MATCH("NA"&amp;E$1&amp;$B87,'F Proj'!$N$1:$N$7669,0)))</f>
        <v>274</v>
      </c>
      <c r="F87">
        <f>IF(Week&gt;=F$1,MATCH($A87&amp;"-"&amp;F$1&amp;$B87,Finals!$J$1:$J$501,0),IFERROR(MATCH($A87&amp;F$1&amp;$B87,'F Proj'!$N$1:$N$7669,0),MATCH("NA"&amp;F$1&amp;$B87,'F Proj'!$N$1:$N$7669,0)))</f>
        <v>312</v>
      </c>
      <c r="G87">
        <f>IF(Week&gt;=G$1,MATCH($A87&amp;"-"&amp;G$1&amp;$B87,Finals!$J$1:$J$501,0),IFERROR(MATCH($A87&amp;G$1&amp;$B87,'F Proj'!$N$1:$N$7669,0),MATCH("NA"&amp;G$1&amp;$B87,'F Proj'!$N$1:$N$7669,0)))</f>
        <v>313</v>
      </c>
      <c r="H87">
        <f>IF(Week&gt;=H$1,MATCH($A87&amp;"-"&amp;H$1&amp;$B87,Finals!$J$1:$J$501,0),IFERROR(MATCH($A87&amp;H$1&amp;$B87,'F Proj'!$N$1:$N$7669,0),MATCH("NA"&amp;H$1&amp;$B87,'F Proj'!$N$1:$N$7669,0)))</f>
        <v>339</v>
      </c>
      <c r="I87">
        <f>IF(Week&gt;=I$1,MATCH($A87&amp;"-"&amp;I$1&amp;$B87,Finals!$J$1:$J$501,0),IFERROR(MATCH($A87&amp;I$1&amp;$B87,'F Proj'!$N$1:$N$7669,0),MATCH("NA"&amp;I$1&amp;$B87,'F Proj'!$N$1:$N$7669,0)))</f>
        <v>133</v>
      </c>
      <c r="J87">
        <f>IF(Week&gt;=J$1,MATCH($A87&amp;"-"&amp;J$1&amp;$B87,Finals!$J$1:$J$501,0),IFERROR(MATCH($A87&amp;J$1&amp;$B87,'F Proj'!$N$1:$N$7669,0),MATCH("NA"&amp;J$1&amp;$B87,'F Proj'!$N$1:$N$7669,0)))</f>
        <v>1223</v>
      </c>
      <c r="K87">
        <f>IF(Week&gt;=K$1,MATCH($A87&amp;"-"&amp;K$1&amp;$B87,Finals!$J$1:$J$501,0),IFERROR(MATCH($A87&amp;K$1&amp;$B87,'F Proj'!$N$1:$N$7669,0),MATCH("NA"&amp;K$1&amp;$B87,'F Proj'!$N$1:$N$7669,0)))</f>
        <v>160</v>
      </c>
      <c r="L87">
        <f>IF(Week&gt;=L$1,MATCH($A87&amp;"-"&amp;L$1&amp;$B87,Finals!$J$1:$J$501,0),IFERROR(MATCH($A87&amp;L$1&amp;$B87,'F Proj'!$N$1:$N$7669,0),MATCH("NA"&amp;L$1&amp;$B87,'F Proj'!$N$1:$N$7669,0)))</f>
        <v>382</v>
      </c>
      <c r="M87">
        <f>IF(Week&gt;=M$1,MATCH($A87&amp;"-"&amp;M$1&amp;$B87,Finals!$J$1:$J$501,0),IFERROR(MATCH($A87&amp;M$1&amp;$B87,'F Proj'!$N$1:$N$7669,0),MATCH("NA"&amp;M$1&amp;$B87,'F Proj'!$N$1:$N$7669,0)))</f>
        <v>183</v>
      </c>
      <c r="N87">
        <f>IF(Week&gt;=N$1,MATCH($A87&amp;"-"&amp;N$1&amp;$B87,Finals!$J$1:$J$501,0),IFERROR(MATCH($A87&amp;N$1&amp;$B87,'F Proj'!$N$1:$N$7669,0),MATCH("NA"&amp;N$1&amp;$B87,'F Proj'!$N$1:$N$7669,0)))</f>
        <v>44</v>
      </c>
      <c r="O87">
        <f>IF(Week&gt;=O$1,MATCH($A87&amp;"-"&amp;O$1&amp;$B87,Finals!$J$1:$J$501,0),IFERROR(MATCH($A87&amp;O$1&amp;$B87,'F Proj'!$N$1:$N$7669,0),MATCH("NA"&amp;O$1&amp;$B87,'F Proj'!$N$1:$N$7669,0)))</f>
        <v>62</v>
      </c>
      <c r="P87">
        <f>IF(Week&gt;=P$1,MATCH($A87&amp;"-"&amp;P$1&amp;$B87,Finals!$J$1:$J$501,0),IFERROR(MATCH($A87&amp;P$1&amp;$B87,'F Proj'!$N$1:$N$7669,0),MATCH("NA"&amp;P$1&amp;$B87,'F Proj'!$N$1:$N$7669,0)))</f>
        <v>289</v>
      </c>
      <c r="Q87">
        <f>IF(Week&gt;=Q$1,MATCH($A87&amp;"-"&amp;Q$1&amp;$B87,Finals!$J$1:$J$501,0),IFERROR(MATCH($A87&amp;Q$1&amp;$B87,'F Proj'!$N$1:$N$7669,0),MATCH("NA"&amp;Q$1&amp;$B87,'F Proj'!$N$1:$N$7669,0)))</f>
        <v>209</v>
      </c>
      <c r="R87">
        <f>IF(Week&gt;=R$1,MATCH($A87&amp;"-"&amp;R$1&amp;$B87,Finals!$J$1:$J$501,0),IFERROR(MATCH($A87&amp;R$1&amp;$B87,'F Proj'!$N$1:$N$7669,0),MATCH("NA"&amp;R$1&amp;$B87,'F Proj'!$N$1:$N$7669,0)))</f>
        <v>115</v>
      </c>
      <c r="S87">
        <f>IF(Week&gt;=S$1,MATCH($A87&amp;"-"&amp;S$1&amp;$B87,Finals!$J$1:$J$501,0),IFERROR(MATCH($A87&amp;S$1&amp;$B87,'F Proj'!$N$1:$N$7669,0),MATCH("NA"&amp;S$1&amp;$B87,'F Proj'!$N$1:$N$7669,0)))</f>
        <v>202</v>
      </c>
      <c r="T87">
        <f>IF(Week&gt;=C$1,INDEX(Finals!$G$1:$G$501,C87),INDEX('F Proj'!$D$1:$D$7669,C87))</f>
        <v>7.5</v>
      </c>
      <c r="U87">
        <f>IF(Week&gt;=D$1,INDEX(Finals!$G$1:$G$501,D87),INDEX('F Proj'!$D$1:$D$7669,D87))</f>
        <v>9</v>
      </c>
      <c r="V87">
        <f>IF(Week&gt;=E$1,INDEX(Finals!$G$1:$G$501,E87),INDEX('F Proj'!$D$1:$D$7669,E87))</f>
        <v>11.7</v>
      </c>
      <c r="W87">
        <f>IF(Week&gt;=F$1,INDEX(Finals!$G$1:$G$501,F87),INDEX('F Proj'!$D$1:$D$7669,F87))</f>
        <v>13.9</v>
      </c>
      <c r="X87">
        <f>IF(Week&gt;=G$1,INDEX(Finals!$G$1:$G$501,G87),INDEX('F Proj'!$D$1:$D$7669,G87))</f>
        <v>7.95</v>
      </c>
      <c r="Y87">
        <f>IF(Week&gt;=H$1,INDEX(Finals!$G$1:$G$501,H87),INDEX('F Proj'!$D$1:$D$7669,H87))</f>
        <v>16.989999999999998</v>
      </c>
      <c r="Z87">
        <f>IF(Week&gt;=I$1,INDEX(Finals!$G$1:$G$501,I87),INDEX('F Proj'!$D$1:$D$7669,I87))</f>
        <v>20.04</v>
      </c>
      <c r="AA87">
        <f>IF(Week&gt;=J$1,INDEX(Finals!$G$1:$G$501,J87),INDEX('F Proj'!$D$1:$D$7669,J87))</f>
        <v>9.25</v>
      </c>
      <c r="AB87">
        <f>IF(Week&gt;=K$1,INDEX(Finals!$G$1:$G$501,K87),INDEX('F Proj'!$D$1:$D$7669,K87))</f>
        <v>19.670000000000002</v>
      </c>
      <c r="AC87">
        <f>IF(Week&gt;=L$1,INDEX(Finals!$G$1:$G$501,L87),INDEX('F Proj'!$D$1:$D$7669,L87))</f>
        <v>16.21</v>
      </c>
      <c r="AD87">
        <f>IF(Week&gt;=M$1,INDEX(Finals!$G$1:$G$501,M87),INDEX('F Proj'!$D$1:$D$7669,M87))</f>
        <v>19.41</v>
      </c>
      <c r="AE87">
        <f>IF(Week&gt;=N$1,INDEX(Finals!$G$1:$G$501,N87),INDEX('F Proj'!$D$1:$D$7669,N87))</f>
        <v>22.12</v>
      </c>
      <c r="AF87">
        <f>IF(Week&gt;=O$1,INDEX(Finals!$G$1:$G$501,O87),INDEX('F Proj'!$D$1:$D$7669,O87))</f>
        <v>21.55</v>
      </c>
      <c r="AG87">
        <f>IF(Week&gt;=P$1,INDEX(Finals!$G$1:$G$501,P87),INDEX('F Proj'!$D$1:$D$7669,P87))</f>
        <v>17.71</v>
      </c>
      <c r="AH87">
        <f>IF(Week&gt;=Q$1,INDEX(Finals!$G$1:$G$501,Q87),INDEX('F Proj'!$D$1:$D$7669,Q87))</f>
        <v>18.98</v>
      </c>
      <c r="AI87">
        <f>IF(Week&gt;=R$1,INDEX(Finals!$G$1:$G$501,R87),INDEX('F Proj'!$D$1:$D$7669,R87))</f>
        <v>20.38</v>
      </c>
      <c r="AJ87">
        <f>IF(Week&gt;=S$1,INDEX(Finals!$G$1:$G$501,S87),INDEX('F Proj'!$D$1:$D$7669,S87))</f>
        <v>19.09</v>
      </c>
      <c r="AK87">
        <f>IF(Week&gt;=C$1,INDEX(Finals!$I$1:$I$501,C87),INDEX('F Proj'!$J$1:$J$7669,C87))</f>
        <v>0</v>
      </c>
      <c r="AL87">
        <f>IF(Week&gt;=D$1,INDEX(Finals!$I$1:$I$501,D87),INDEX('F Proj'!$J$1:$J$7669,D87))</f>
        <v>0</v>
      </c>
      <c r="AM87">
        <f>IF(Week&gt;=E$1,INDEX(Finals!$I$1:$I$501,E87),INDEX('F Proj'!$J$1:$J$7669,E87))</f>
        <v>0</v>
      </c>
      <c r="AN87">
        <f>IF(Week&gt;=F$1,INDEX(Finals!$I$1:$I$501,F87),INDEX('F Proj'!$J$1:$J$7669,F87))</f>
        <v>0</v>
      </c>
      <c r="AO87">
        <f>IF(Week&gt;=G$1,INDEX(Finals!$I$1:$I$501,G87),INDEX('F Proj'!$J$1:$J$7669,G87))</f>
        <v>48.860100000000003</v>
      </c>
      <c r="AP87">
        <f>IF(Week&gt;=H$1,INDEX(Finals!$I$1:$I$501,H87),INDEX('F Proj'!$J$1:$J$7669,H87))</f>
        <v>85.192899999999995</v>
      </c>
      <c r="AQ87">
        <f>IF(Week&gt;=I$1,INDEX(Finals!$I$1:$I$501,I87),INDEX('F Proj'!$J$1:$J$7669,I87))</f>
        <v>110.0401</v>
      </c>
      <c r="AR87">
        <f>IF(Week&gt;=J$1,INDEX(Finals!$I$1:$I$501,J87),INDEX('F Proj'!$J$1:$J$7669,J87))</f>
        <v>69.056100000000001</v>
      </c>
      <c r="AS87">
        <f>IF(Week&gt;=K$1,INDEX(Finals!$I$1:$I$501,K87),INDEX('F Proj'!$J$1:$J$7669,K87))</f>
        <v>108.78489999999999</v>
      </c>
      <c r="AT87">
        <f>IF(Week&gt;=L$1,INDEX(Finals!$I$1:$I$501,L87),INDEX('F Proj'!$J$1:$J$7669,L87))</f>
        <v>84.456100000000006</v>
      </c>
      <c r="AU87">
        <f>IF(Week&gt;=M$1,INDEX(Finals!$I$1:$I$501,M87),INDEX('F Proj'!$J$1:$J$7669,M87))</f>
        <v>107.3296</v>
      </c>
      <c r="AV87">
        <f>IF(Week&gt;=N$1,INDEX(Finals!$I$1:$I$501,N87),INDEX('F Proj'!$J$1:$J$7669,N87))</f>
        <v>110.0401</v>
      </c>
      <c r="AW87">
        <f>IF(Week&gt;=O$1,INDEX(Finals!$I$1:$I$501,O87),INDEX('F Proj'!$J$1:$J$7669,O87))</f>
        <v>118.81</v>
      </c>
      <c r="AX87">
        <f>IF(Week&gt;=P$1,INDEX(Finals!$I$1:$I$501,P87),INDEX('F Proj'!$J$1:$J$7669,P87))</f>
        <v>84.456100000000006</v>
      </c>
      <c r="AY87">
        <f>IF(Week&gt;=Q$1,INDEX(Finals!$I$1:$I$501,Q87),INDEX('F Proj'!$J$1:$J$7669,Q87))</f>
        <v>107.3296</v>
      </c>
      <c r="AZ87">
        <f>IF(Week&gt;=R$1,INDEX(Finals!$I$1:$I$501,R87),INDEX('F Proj'!$J$1:$J$7669,R87))</f>
        <v>99.8001</v>
      </c>
      <c r="BA87">
        <f>IF(Week&gt;=S$1,INDEX(Finals!$I$1:$I$501,S87),INDEX('F Proj'!$J$1:$J$7669,S87))</f>
        <v>122.3236</v>
      </c>
    </row>
    <row r="88" spans="1:53" x14ac:dyDescent="0.25">
      <c r="A88" t="s">
        <v>23</v>
      </c>
      <c r="B88" t="s">
        <v>469</v>
      </c>
      <c r="C88">
        <f>IF(Week&gt;=C$1,MATCH($A88&amp;"-"&amp;C$1&amp;$B88,Finals!$J$1:$J$501,0),IFERROR(MATCH($A88&amp;C$1&amp;$B88,'F Proj'!$N$1:$N$7669,0),MATCH("NA"&amp;C$1&amp;$B88,'F Proj'!$N$1:$N$7669,0)))</f>
        <v>208</v>
      </c>
      <c r="D88">
        <f>IF(Week&gt;=D$1,MATCH($A88&amp;"-"&amp;D$1&amp;$B88,Finals!$J$1:$J$501,0),IFERROR(MATCH($A88&amp;D$1&amp;$B88,'F Proj'!$N$1:$N$7669,0),MATCH("NA"&amp;D$1&amp;$B88,'F Proj'!$N$1:$N$7669,0)))</f>
        <v>310</v>
      </c>
      <c r="E88">
        <f>IF(Week&gt;=E$1,MATCH($A88&amp;"-"&amp;E$1&amp;$B88,Finals!$J$1:$J$501,0),IFERROR(MATCH($A88&amp;E$1&amp;$B88,'F Proj'!$N$1:$N$7669,0),MATCH("NA"&amp;E$1&amp;$B88,'F Proj'!$N$1:$N$7669,0)))</f>
        <v>151</v>
      </c>
      <c r="F88">
        <f>IF(Week&gt;=F$1,MATCH($A88&amp;"-"&amp;F$1&amp;$B88,Finals!$J$1:$J$501,0),IFERROR(MATCH($A88&amp;F$1&amp;$B88,'F Proj'!$N$1:$N$7669,0),MATCH("NA"&amp;F$1&amp;$B88,'F Proj'!$N$1:$N$7669,0)))</f>
        <v>152</v>
      </c>
      <c r="G88">
        <f>IF(Week&gt;=G$1,MATCH($A88&amp;"-"&amp;G$1&amp;$B88,Finals!$J$1:$J$501,0),IFERROR(MATCH($A88&amp;G$1&amp;$B88,'F Proj'!$N$1:$N$7669,0),MATCH("NA"&amp;G$1&amp;$B88,'F Proj'!$N$1:$N$7669,0)))</f>
        <v>153</v>
      </c>
      <c r="H88">
        <f>IF(Week&gt;=H$1,MATCH($A88&amp;"-"&amp;H$1&amp;$B88,Finals!$J$1:$J$501,0),IFERROR(MATCH($A88&amp;H$1&amp;$B88,'F Proj'!$N$1:$N$7669,0),MATCH("NA"&amp;H$1&amp;$B88,'F Proj'!$N$1:$N$7669,0)))</f>
        <v>1144</v>
      </c>
      <c r="I88">
        <f>IF(Week&gt;=I$1,MATCH($A88&amp;"-"&amp;I$1&amp;$B88,Finals!$J$1:$J$501,0),IFERROR(MATCH($A88&amp;I$1&amp;$B88,'F Proj'!$N$1:$N$7669,0),MATCH("NA"&amp;I$1&amp;$B88,'F Proj'!$N$1:$N$7669,0)))</f>
        <v>987</v>
      </c>
      <c r="J88">
        <f>IF(Week&gt;=J$1,MATCH($A88&amp;"-"&amp;J$1&amp;$B88,Finals!$J$1:$J$501,0),IFERROR(MATCH($A88&amp;J$1&amp;$B88,'F Proj'!$N$1:$N$7669,0),MATCH("NA"&amp;J$1&amp;$B88,'F Proj'!$N$1:$N$7669,0)))</f>
        <v>1684</v>
      </c>
      <c r="K88">
        <f>IF(Week&gt;=K$1,MATCH($A88&amp;"-"&amp;K$1&amp;$B88,Finals!$J$1:$J$501,0),IFERROR(MATCH($A88&amp;K$1&amp;$B88,'F Proj'!$N$1:$N$7669,0),MATCH("NA"&amp;K$1&amp;$B88,'F Proj'!$N$1:$N$7669,0)))</f>
        <v>1166</v>
      </c>
      <c r="L88">
        <f>IF(Week&gt;=L$1,MATCH($A88&amp;"-"&amp;L$1&amp;$B88,Finals!$J$1:$J$501,0),IFERROR(MATCH($A88&amp;L$1&amp;$B88,'F Proj'!$N$1:$N$7669,0),MATCH("NA"&amp;L$1&amp;$B88,'F Proj'!$N$1:$N$7669,0)))</f>
        <v>1033</v>
      </c>
      <c r="M88">
        <f>IF(Week&gt;=M$1,MATCH($A88&amp;"-"&amp;M$1&amp;$B88,Finals!$J$1:$J$501,0),IFERROR(MATCH($A88&amp;M$1&amp;$B88,'F Proj'!$N$1:$N$7669,0),MATCH("NA"&amp;M$1&amp;$B88,'F Proj'!$N$1:$N$7669,0)))</f>
        <v>1304</v>
      </c>
      <c r="N88">
        <f>IF(Week&gt;=N$1,MATCH($A88&amp;"-"&amp;N$1&amp;$B88,Finals!$J$1:$J$501,0),IFERROR(MATCH($A88&amp;N$1&amp;$B88,'F Proj'!$N$1:$N$7669,0),MATCH("NA"&amp;N$1&amp;$B88,'F Proj'!$N$1:$N$7669,0)))</f>
        <v>1235</v>
      </c>
      <c r="O88">
        <f>IF(Week&gt;=O$1,MATCH($A88&amp;"-"&amp;O$1&amp;$B88,Finals!$J$1:$J$501,0),IFERROR(MATCH($A88&amp;O$1&amp;$B88,'F Proj'!$N$1:$N$7669,0),MATCH("NA"&amp;O$1&amp;$B88,'F Proj'!$N$1:$N$7669,0)))</f>
        <v>1290</v>
      </c>
      <c r="P88">
        <f>IF(Week&gt;=P$1,MATCH($A88&amp;"-"&amp;P$1&amp;$B88,Finals!$J$1:$J$501,0),IFERROR(MATCH($A88&amp;P$1&amp;$B88,'F Proj'!$N$1:$N$7669,0),MATCH("NA"&amp;P$1&amp;$B88,'F Proj'!$N$1:$N$7669,0)))</f>
        <v>1365</v>
      </c>
      <c r="Q88">
        <f>IF(Week&gt;=Q$1,MATCH($A88&amp;"-"&amp;Q$1&amp;$B88,Finals!$J$1:$J$501,0),IFERROR(MATCH($A88&amp;Q$1&amp;$B88,'F Proj'!$N$1:$N$7669,0),MATCH("NA"&amp;Q$1&amp;$B88,'F Proj'!$N$1:$N$7669,0)))</f>
        <v>1582</v>
      </c>
      <c r="R88">
        <f>IF(Week&gt;=R$1,MATCH($A88&amp;"-"&amp;R$1&amp;$B88,Finals!$J$1:$J$501,0),IFERROR(MATCH($A88&amp;R$1&amp;$B88,'F Proj'!$N$1:$N$7669,0),MATCH("NA"&amp;R$1&amp;$B88,'F Proj'!$N$1:$N$7669,0)))</f>
        <v>1383</v>
      </c>
      <c r="S88">
        <f>IF(Week&gt;=S$1,MATCH($A88&amp;"-"&amp;S$1&amp;$B88,Finals!$J$1:$J$501,0),IFERROR(MATCH($A88&amp;S$1&amp;$B88,'F Proj'!$N$1:$N$7669,0),MATCH("NA"&amp;S$1&amp;$B88,'F Proj'!$N$1:$N$7669,0)))</f>
        <v>1115</v>
      </c>
      <c r="T88">
        <f>IF(Week&gt;=C$1,INDEX(Finals!$G$1:$G$501,C88),INDEX('F Proj'!$D$1:$D$7669,C88))</f>
        <v>6.1</v>
      </c>
      <c r="U88">
        <f>IF(Week&gt;=D$1,INDEX(Finals!$G$1:$G$501,D88),INDEX('F Proj'!$D$1:$D$7669,D88))</f>
        <v>11.1</v>
      </c>
      <c r="V88">
        <f>IF(Week&gt;=E$1,INDEX(Finals!$G$1:$G$501,E88),INDEX('F Proj'!$D$1:$D$7669,E88))</f>
        <v>11.8</v>
      </c>
      <c r="W88">
        <f>IF(Week&gt;=F$1,INDEX(Finals!$G$1:$G$501,F88),INDEX('F Proj'!$D$1:$D$7669,F88))</f>
        <v>30</v>
      </c>
      <c r="X88">
        <f>IF(Week&gt;=G$1,INDEX(Finals!$G$1:$G$501,G88),INDEX('F Proj'!$D$1:$D$7669,G88))</f>
        <v>17.41</v>
      </c>
      <c r="Y88">
        <f>IF(Week&gt;=H$1,INDEX(Finals!$G$1:$G$501,H88),INDEX('F Proj'!$D$1:$D$7669,H88))</f>
        <v>9.67</v>
      </c>
      <c r="Z88">
        <f>IF(Week&gt;=I$1,INDEX(Finals!$G$1:$G$501,I88),INDEX('F Proj'!$D$1:$D$7669,I88))</f>
        <v>10.51</v>
      </c>
      <c r="AA88">
        <f>IF(Week&gt;=J$1,INDEX(Finals!$G$1:$G$501,J88),INDEX('F Proj'!$D$1:$D$7669,J88))</f>
        <v>7.47</v>
      </c>
      <c r="AB88">
        <f>IF(Week&gt;=K$1,INDEX(Finals!$G$1:$G$501,K88),INDEX('F Proj'!$D$1:$D$7669,K88))</f>
        <v>9.59</v>
      </c>
      <c r="AC88">
        <f>IF(Week&gt;=L$1,INDEX(Finals!$G$1:$G$501,L88),INDEX('F Proj'!$D$1:$D$7669,L88))</f>
        <v>10.24</v>
      </c>
      <c r="AD88">
        <f>IF(Week&gt;=M$1,INDEX(Finals!$G$1:$G$501,M88),INDEX('F Proj'!$D$1:$D$7669,M88))</f>
        <v>8.85</v>
      </c>
      <c r="AE88">
        <f>IF(Week&gt;=N$1,INDEX(Finals!$G$1:$G$501,N88),INDEX('F Proj'!$D$1:$D$7669,N88))</f>
        <v>9.1999999999999993</v>
      </c>
      <c r="AF88">
        <f>IF(Week&gt;=O$1,INDEX(Finals!$G$1:$G$501,O88),INDEX('F Proj'!$D$1:$D$7669,O88))</f>
        <v>8.92</v>
      </c>
      <c r="AG88">
        <f>IF(Week&gt;=P$1,INDEX(Finals!$G$1:$G$501,P88),INDEX('F Proj'!$D$1:$D$7669,P88))</f>
        <v>8.6</v>
      </c>
      <c r="AH88">
        <f>IF(Week&gt;=Q$1,INDEX(Finals!$G$1:$G$501,Q88),INDEX('F Proj'!$D$1:$D$7669,Q88))</f>
        <v>7.85</v>
      </c>
      <c r="AI88">
        <f>IF(Week&gt;=R$1,INDEX(Finals!$G$1:$G$501,R88),INDEX('F Proj'!$D$1:$D$7669,R88))</f>
        <v>8.5299999999999994</v>
      </c>
      <c r="AJ88">
        <f>IF(Week&gt;=S$1,INDEX(Finals!$G$1:$G$501,S88),INDEX('F Proj'!$D$1:$D$7669,S88))</f>
        <v>9.82</v>
      </c>
      <c r="AK88">
        <f>IF(Week&gt;=C$1,INDEX(Finals!$I$1:$I$501,C88),INDEX('F Proj'!$J$1:$J$7669,C88))</f>
        <v>0</v>
      </c>
      <c r="AL88">
        <f>IF(Week&gt;=D$1,INDEX(Finals!$I$1:$I$501,D88),INDEX('F Proj'!$J$1:$J$7669,D88))</f>
        <v>0</v>
      </c>
      <c r="AM88">
        <f>IF(Week&gt;=E$1,INDEX(Finals!$I$1:$I$501,E88),INDEX('F Proj'!$J$1:$J$7669,E88))</f>
        <v>0</v>
      </c>
      <c r="AN88">
        <f>IF(Week&gt;=F$1,INDEX(Finals!$I$1:$I$501,F88),INDEX('F Proj'!$J$1:$J$7669,F88))</f>
        <v>0</v>
      </c>
      <c r="AO88">
        <f>IF(Week&gt;=G$1,INDEX(Finals!$I$1:$I$501,G88),INDEX('F Proj'!$J$1:$J$7669,G88))</f>
        <v>74.304400000000001</v>
      </c>
      <c r="AP88">
        <f>IF(Week&gt;=H$1,INDEX(Finals!$I$1:$I$501,H88),INDEX('F Proj'!$J$1:$J$7669,H88))</f>
        <v>42.120100000000001</v>
      </c>
      <c r="AQ88">
        <f>IF(Week&gt;=I$1,INDEX(Finals!$I$1:$I$501,I88),INDEX('F Proj'!$J$1:$J$7669,I88))</f>
        <v>35.521599999999999</v>
      </c>
      <c r="AR88">
        <f>IF(Week&gt;=J$1,INDEX(Finals!$I$1:$I$501,J88),INDEX('F Proj'!$J$1:$J$7669,J88))</f>
        <v>36</v>
      </c>
      <c r="AS88">
        <f>IF(Week&gt;=K$1,INDEX(Finals!$I$1:$I$501,K88),INDEX('F Proj'!$J$1:$J$7669,K88))</f>
        <v>21.3444</v>
      </c>
      <c r="AT88">
        <f>IF(Week&gt;=L$1,INDEX(Finals!$I$1:$I$501,L88),INDEX('F Proj'!$J$1:$J$7669,L88))</f>
        <v>32.718400000000003</v>
      </c>
      <c r="AU88">
        <f>IF(Week&gt;=M$1,INDEX(Finals!$I$1:$I$501,M88),INDEX('F Proj'!$J$1:$J$7669,M88))</f>
        <v>64</v>
      </c>
      <c r="AV88">
        <f>IF(Week&gt;=N$1,INDEX(Finals!$I$1:$I$501,N88),INDEX('F Proj'!$J$1:$J$7669,N88))</f>
        <v>48.163600000000002</v>
      </c>
      <c r="AW88">
        <f>IF(Week&gt;=O$1,INDEX(Finals!$I$1:$I$501,O88),INDEX('F Proj'!$J$1:$J$7669,O88))</f>
        <v>61.936900000000001</v>
      </c>
      <c r="AX88">
        <f>IF(Week&gt;=P$1,INDEX(Finals!$I$1:$I$501,P88),INDEX('F Proj'!$J$1:$J$7669,P88))</f>
        <v>60.0625</v>
      </c>
      <c r="AY88">
        <f>IF(Week&gt;=Q$1,INDEX(Finals!$I$1:$I$501,Q88),INDEX('F Proj'!$J$1:$J$7669,Q88))</f>
        <v>31.024899999999999</v>
      </c>
      <c r="AZ88">
        <f>IF(Week&gt;=R$1,INDEX(Finals!$I$1:$I$501,R88),INDEX('F Proj'!$J$1:$J$7669,R88))</f>
        <v>73.616399999999999</v>
      </c>
      <c r="BA88">
        <f>IF(Week&gt;=S$1,INDEX(Finals!$I$1:$I$501,S88),INDEX('F Proj'!$J$1:$J$7669,S88))</f>
        <v>35.521599999999999</v>
      </c>
    </row>
    <row r="89" spans="1:53" x14ac:dyDescent="0.25">
      <c r="A89" t="s">
        <v>23</v>
      </c>
      <c r="B89" t="s">
        <v>470</v>
      </c>
      <c r="C89" t="e">
        <f>IF(Week&gt;=C$1,MATCH($A89&amp;"-"&amp;C$1&amp;$B89,Finals!$J$1:$J$501,0),IFERROR(MATCH($A89&amp;C$1&amp;$B89,'F Proj'!$N$1:$N$7669,0),MATCH("NA"&amp;C$1&amp;$B89,'F Proj'!$N$1:$N$7669,0)))</f>
        <v>#N/A</v>
      </c>
      <c r="D89" t="e">
        <f>IF(Week&gt;=D$1,MATCH($A89&amp;"-"&amp;D$1&amp;$B89,Finals!$J$1:$J$501,0),IFERROR(MATCH($A89&amp;D$1&amp;$B89,'F Proj'!$N$1:$N$7669,0),MATCH("NA"&amp;D$1&amp;$B89,'F Proj'!$N$1:$N$7669,0)))</f>
        <v>#N/A</v>
      </c>
      <c r="E89" t="e">
        <f>IF(Week&gt;=E$1,MATCH($A89&amp;"-"&amp;E$1&amp;$B89,Finals!$J$1:$J$501,0),IFERROR(MATCH($A89&amp;E$1&amp;$B89,'F Proj'!$N$1:$N$7669,0),MATCH("NA"&amp;E$1&amp;$B89,'F Proj'!$N$1:$N$7669,0)))</f>
        <v>#N/A</v>
      </c>
      <c r="F89" t="e">
        <f>IF(Week&gt;=F$1,MATCH($A89&amp;"-"&amp;F$1&amp;$B89,Finals!$J$1:$J$501,0),IFERROR(MATCH($A89&amp;F$1&amp;$B89,'F Proj'!$N$1:$N$7669,0),MATCH("NA"&amp;F$1&amp;$B89,'F Proj'!$N$1:$N$7669,0)))</f>
        <v>#N/A</v>
      </c>
      <c r="G89" t="e">
        <f>IF(Week&gt;=G$1,MATCH($A89&amp;"-"&amp;G$1&amp;$B89,Finals!$J$1:$J$501,0),IFERROR(MATCH($A89&amp;G$1&amp;$B89,'F Proj'!$N$1:$N$7669,0),MATCH("NA"&amp;G$1&amp;$B89,'F Proj'!$N$1:$N$7669,0)))</f>
        <v>#N/A</v>
      </c>
      <c r="H89">
        <f>IF(Week&gt;=H$1,MATCH($A89&amp;"-"&amp;H$1&amp;$B89,Finals!$J$1:$J$501,0),IFERROR(MATCH($A89&amp;H$1&amp;$B89,'F Proj'!$N$1:$N$7669,0),MATCH("NA"&amp;H$1&amp;$B89,'F Proj'!$N$1:$N$7669,0)))</f>
        <v>1592</v>
      </c>
      <c r="I89">
        <f>IF(Week&gt;=I$1,MATCH($A89&amp;"-"&amp;I$1&amp;$B89,Finals!$J$1:$J$501,0),IFERROR(MATCH($A89&amp;I$1&amp;$B89,'F Proj'!$N$1:$N$7669,0),MATCH("NA"&amp;I$1&amp;$B89,'F Proj'!$N$1:$N$7669,0)))</f>
        <v>1549</v>
      </c>
      <c r="J89">
        <f>IF(Week&gt;=J$1,MATCH($A89&amp;"-"&amp;J$1&amp;$B89,Finals!$J$1:$J$501,0),IFERROR(MATCH($A89&amp;J$1&amp;$B89,'F Proj'!$N$1:$N$7669,0),MATCH("NA"&amp;J$1&amp;$B89,'F Proj'!$N$1:$N$7669,0)))</f>
        <v>2360</v>
      </c>
      <c r="K89">
        <f>IF(Week&gt;=K$1,MATCH($A89&amp;"-"&amp;K$1&amp;$B89,Finals!$J$1:$J$501,0),IFERROR(MATCH($A89&amp;K$1&amp;$B89,'F Proj'!$N$1:$N$7669,0),MATCH("NA"&amp;K$1&amp;$B89,'F Proj'!$N$1:$N$7669,0)))</f>
        <v>1375</v>
      </c>
      <c r="L89">
        <f>IF(Week&gt;=L$1,MATCH($A89&amp;"-"&amp;L$1&amp;$B89,Finals!$J$1:$J$501,0),IFERROR(MATCH($A89&amp;L$1&amp;$B89,'F Proj'!$N$1:$N$7669,0),MATCH("NA"&amp;L$1&amp;$B89,'F Proj'!$N$1:$N$7669,0)))</f>
        <v>2040</v>
      </c>
      <c r="M89">
        <f>IF(Week&gt;=M$1,MATCH($A89&amp;"-"&amp;M$1&amp;$B89,Finals!$J$1:$J$501,0),IFERROR(MATCH($A89&amp;M$1&amp;$B89,'F Proj'!$N$1:$N$7669,0),MATCH("NA"&amp;M$1&amp;$B89,'F Proj'!$N$1:$N$7669,0)))</f>
        <v>2383</v>
      </c>
      <c r="N89">
        <f>IF(Week&gt;=N$1,MATCH($A89&amp;"-"&amp;N$1&amp;$B89,Finals!$J$1:$J$501,0),IFERROR(MATCH($A89&amp;N$1&amp;$B89,'F Proj'!$N$1:$N$7669,0),MATCH("NA"&amp;N$1&amp;$B89,'F Proj'!$N$1:$N$7669,0)))</f>
        <v>1382</v>
      </c>
      <c r="O89">
        <f>IF(Week&gt;=O$1,MATCH($A89&amp;"-"&amp;O$1&amp;$B89,Finals!$J$1:$J$501,0),IFERROR(MATCH($A89&amp;O$1&amp;$B89,'F Proj'!$N$1:$N$7669,0),MATCH("NA"&amp;O$1&amp;$B89,'F Proj'!$N$1:$N$7669,0)))</f>
        <v>1778</v>
      </c>
      <c r="P89">
        <f>IF(Week&gt;=P$1,MATCH($A89&amp;"-"&amp;P$1&amp;$B89,Finals!$J$1:$J$501,0),IFERROR(MATCH($A89&amp;P$1&amp;$B89,'F Proj'!$N$1:$N$7669,0),MATCH("NA"&amp;P$1&amp;$B89,'F Proj'!$N$1:$N$7669,0)))</f>
        <v>1542</v>
      </c>
      <c r="Q89">
        <f>IF(Week&gt;=Q$1,MATCH($A89&amp;"-"&amp;Q$1&amp;$B89,Finals!$J$1:$J$501,0),IFERROR(MATCH($A89&amp;Q$1&amp;$B89,'F Proj'!$N$1:$N$7669,0),MATCH("NA"&amp;Q$1&amp;$B89,'F Proj'!$N$1:$N$7669,0)))</f>
        <v>2032</v>
      </c>
      <c r="R89">
        <f>IF(Week&gt;=R$1,MATCH($A89&amp;"-"&amp;R$1&amp;$B89,Finals!$J$1:$J$501,0),IFERROR(MATCH($A89&amp;R$1&amp;$B89,'F Proj'!$N$1:$N$7669,0),MATCH("NA"&amp;R$1&amp;$B89,'F Proj'!$N$1:$N$7669,0)))</f>
        <v>1572</v>
      </c>
      <c r="S89">
        <f>IF(Week&gt;=S$1,MATCH($A89&amp;"-"&amp;S$1&amp;$B89,Finals!$J$1:$J$501,0),IFERROR(MATCH($A89&amp;S$1&amp;$B89,'F Proj'!$N$1:$N$7669,0),MATCH("NA"&amp;S$1&amp;$B89,'F Proj'!$N$1:$N$7669,0)))</f>
        <v>1147</v>
      </c>
    </row>
    <row r="90" spans="1:53" x14ac:dyDescent="0.25">
      <c r="A90" t="s">
        <v>23</v>
      </c>
      <c r="B90" t="s">
        <v>471</v>
      </c>
      <c r="C90">
        <f>IF(Week&gt;=C$1,MATCH($A90&amp;"-"&amp;C$1&amp;$B90,Finals!$J$1:$J$501,0),IFERROR(MATCH($A90&amp;C$1&amp;$B90,'F Proj'!$N$1:$N$7669,0),MATCH("NA"&amp;C$1&amp;$B90,'F Proj'!$N$1:$N$7669,0)))</f>
        <v>94</v>
      </c>
      <c r="D90">
        <f>IF(Week&gt;=D$1,MATCH($A90&amp;"-"&amp;D$1&amp;$B90,Finals!$J$1:$J$501,0),IFERROR(MATCH($A90&amp;D$1&amp;$B90,'F Proj'!$N$1:$N$7669,0),MATCH("NA"&amp;D$1&amp;$B90,'F Proj'!$N$1:$N$7669,0)))</f>
        <v>95</v>
      </c>
      <c r="E90">
        <f>IF(Week&gt;=E$1,MATCH($A90&amp;"-"&amp;E$1&amp;$B90,Finals!$J$1:$J$501,0),IFERROR(MATCH($A90&amp;E$1&amp;$B90,'F Proj'!$N$1:$N$7669,0),MATCH("NA"&amp;E$1&amp;$B90,'F Proj'!$N$1:$N$7669,0)))</f>
        <v>96</v>
      </c>
      <c r="F90">
        <f>IF(Week&gt;=F$1,MATCH($A90&amp;"-"&amp;F$1&amp;$B90,Finals!$J$1:$J$501,0),IFERROR(MATCH($A90&amp;F$1&amp;$B90,'F Proj'!$N$1:$N$7669,0),MATCH("NA"&amp;F$1&amp;$B90,'F Proj'!$N$1:$N$7669,0)))</f>
        <v>97</v>
      </c>
      <c r="G90">
        <f>IF(Week&gt;=G$1,MATCH($A90&amp;"-"&amp;G$1&amp;$B90,Finals!$J$1:$J$501,0),IFERROR(MATCH($A90&amp;G$1&amp;$B90,'F Proj'!$N$1:$N$7669,0),MATCH("NA"&amp;G$1&amp;$B90,'F Proj'!$N$1:$N$7669,0)))</f>
        <v>98</v>
      </c>
      <c r="H90">
        <f>IF(Week&gt;=H$1,MATCH($A90&amp;"-"&amp;H$1&amp;$B90,Finals!$J$1:$J$501,0),IFERROR(MATCH($A90&amp;H$1&amp;$B90,'F Proj'!$N$1:$N$7669,0),MATCH("NA"&amp;H$1&amp;$B90,'F Proj'!$N$1:$N$7669,0)))</f>
        <v>778</v>
      </c>
      <c r="I90">
        <f>IF(Week&gt;=I$1,MATCH($A90&amp;"-"&amp;I$1&amp;$B90,Finals!$J$1:$J$501,0),IFERROR(MATCH($A90&amp;I$1&amp;$B90,'F Proj'!$N$1:$N$7669,0),MATCH("NA"&amp;I$1&amp;$B90,'F Proj'!$N$1:$N$7669,0)))</f>
        <v>756</v>
      </c>
      <c r="J90">
        <f>IF(Week&gt;=J$1,MATCH($A90&amp;"-"&amp;J$1&amp;$B90,Finals!$J$1:$J$501,0),IFERROR(MATCH($A90&amp;J$1&amp;$B90,'F Proj'!$N$1:$N$7669,0),MATCH("NA"&amp;J$1&amp;$B90,'F Proj'!$N$1:$N$7669,0)))</f>
        <v>725</v>
      </c>
      <c r="K90">
        <f>IF(Week&gt;=K$1,MATCH($A90&amp;"-"&amp;K$1&amp;$B90,Finals!$J$1:$J$501,0),IFERROR(MATCH($A90&amp;K$1&amp;$B90,'F Proj'!$N$1:$N$7669,0),MATCH("NA"&amp;K$1&amp;$B90,'F Proj'!$N$1:$N$7669,0)))</f>
        <v>736</v>
      </c>
      <c r="L90">
        <f>IF(Week&gt;=L$1,MATCH($A90&amp;"-"&amp;L$1&amp;$B90,Finals!$J$1:$J$501,0),IFERROR(MATCH($A90&amp;L$1&amp;$B90,'F Proj'!$N$1:$N$7669,0),MATCH("NA"&amp;L$1&amp;$B90,'F Proj'!$N$1:$N$7669,0)))</f>
        <v>639</v>
      </c>
      <c r="M90">
        <f>IF(Week&gt;=M$1,MATCH($A90&amp;"-"&amp;M$1&amp;$B90,Finals!$J$1:$J$501,0),IFERROR(MATCH($A90&amp;M$1&amp;$B90,'F Proj'!$N$1:$N$7669,0),MATCH("NA"&amp;M$1&amp;$B90,'F Proj'!$N$1:$N$7669,0)))</f>
        <v>610</v>
      </c>
      <c r="N90">
        <f>IF(Week&gt;=N$1,MATCH($A90&amp;"-"&amp;N$1&amp;$B90,Finals!$J$1:$J$501,0),IFERROR(MATCH($A90&amp;N$1&amp;$B90,'F Proj'!$N$1:$N$7669,0),MATCH("NA"&amp;N$1&amp;$B90,'F Proj'!$N$1:$N$7669,0)))</f>
        <v>1146</v>
      </c>
      <c r="O90">
        <f>IF(Week&gt;=O$1,MATCH($A90&amp;"-"&amp;O$1&amp;$B90,Finals!$J$1:$J$501,0),IFERROR(MATCH($A90&amp;O$1&amp;$B90,'F Proj'!$N$1:$N$7669,0),MATCH("NA"&amp;O$1&amp;$B90,'F Proj'!$N$1:$N$7669,0)))</f>
        <v>799</v>
      </c>
      <c r="P90">
        <f>IF(Week&gt;=P$1,MATCH($A90&amp;"-"&amp;P$1&amp;$B90,Finals!$J$1:$J$501,0),IFERROR(MATCH($A90&amp;P$1&amp;$B90,'F Proj'!$N$1:$N$7669,0),MATCH("NA"&amp;P$1&amp;$B90,'F Proj'!$N$1:$N$7669,0)))</f>
        <v>748</v>
      </c>
      <c r="Q90">
        <f>IF(Week&gt;=Q$1,MATCH($A90&amp;"-"&amp;Q$1&amp;$B90,Finals!$J$1:$J$501,0),IFERROR(MATCH($A90&amp;Q$1&amp;$B90,'F Proj'!$N$1:$N$7669,0),MATCH("NA"&amp;Q$1&amp;$B90,'F Proj'!$N$1:$N$7669,0)))</f>
        <v>792</v>
      </c>
      <c r="R90">
        <f>IF(Week&gt;=R$1,MATCH($A90&amp;"-"&amp;R$1&amp;$B90,Finals!$J$1:$J$501,0),IFERROR(MATCH($A90&amp;R$1&amp;$B90,'F Proj'!$N$1:$N$7669,0),MATCH("NA"&amp;R$1&amp;$B90,'F Proj'!$N$1:$N$7669,0)))</f>
        <v>779</v>
      </c>
      <c r="S90">
        <f>IF(Week&gt;=S$1,MATCH($A90&amp;"-"&amp;S$1&amp;$B90,Finals!$J$1:$J$501,0),IFERROR(MATCH($A90&amp;S$1&amp;$B90,'F Proj'!$N$1:$N$7669,0),MATCH("NA"&amp;S$1&amp;$B90,'F Proj'!$N$1:$N$7669,0)))</f>
        <v>676</v>
      </c>
      <c r="T90">
        <f>IF(Week&gt;=C$1,INDEX(Finals!$G$1:$G$501,C90),INDEX('F Proj'!$D$1:$D$7669,C90))</f>
        <v>14.8</v>
      </c>
      <c r="U90">
        <f>IF(Week&gt;=D$1,INDEX(Finals!$G$1:$G$501,D90),INDEX('F Proj'!$D$1:$D$7669,D90))</f>
        <v>12.4</v>
      </c>
      <c r="V90">
        <f>IF(Week&gt;=E$1,INDEX(Finals!$G$1:$G$501,E90),INDEX('F Proj'!$D$1:$D$7669,E90))</f>
        <v>11.2</v>
      </c>
      <c r="W90">
        <f>IF(Week&gt;=F$1,INDEX(Finals!$G$1:$G$501,F90),INDEX('F Proj'!$D$1:$D$7669,F90))</f>
        <v>8.1</v>
      </c>
      <c r="X90">
        <f>IF(Week&gt;=G$1,INDEX(Finals!$G$1:$G$501,G90),INDEX('F Proj'!$D$1:$D$7669,G90))</f>
        <v>6.53</v>
      </c>
      <c r="Y90">
        <f>IF(Week&gt;=H$1,INDEX(Finals!$G$1:$G$501,H90),INDEX('F Proj'!$D$1:$D$7669,H90))</f>
        <v>12.31</v>
      </c>
      <c r="Z90">
        <f>IF(Week&gt;=I$1,INDEX(Finals!$G$1:$G$501,I90),INDEX('F Proj'!$D$1:$D$7669,I90))</f>
        <v>12.48</v>
      </c>
      <c r="AA90">
        <f>IF(Week&gt;=J$1,INDEX(Finals!$G$1:$G$501,J90),INDEX('F Proj'!$D$1:$D$7669,J90))</f>
        <v>12.78</v>
      </c>
      <c r="AB90">
        <f>IF(Week&gt;=K$1,INDEX(Finals!$G$1:$G$501,K90),INDEX('F Proj'!$D$1:$D$7669,K90))</f>
        <v>12.69</v>
      </c>
      <c r="AC90">
        <f>IF(Week&gt;=L$1,INDEX(Finals!$G$1:$G$501,L90),INDEX('F Proj'!$D$1:$D$7669,L90))</f>
        <v>13.41</v>
      </c>
      <c r="AD90">
        <f>IF(Week&gt;=M$1,INDEX(Finals!$G$1:$G$501,M90),INDEX('F Proj'!$D$1:$D$7669,M90))</f>
        <v>13.68</v>
      </c>
      <c r="AE90">
        <f>IF(Week&gt;=N$1,INDEX(Finals!$G$1:$G$501,N90),INDEX('F Proj'!$D$1:$D$7669,N90))</f>
        <v>9.66</v>
      </c>
      <c r="AF90">
        <f>IF(Week&gt;=O$1,INDEX(Finals!$G$1:$G$501,O90),INDEX('F Proj'!$D$1:$D$7669,O90))</f>
        <v>12.2</v>
      </c>
      <c r="AG90">
        <f>IF(Week&gt;=P$1,INDEX(Finals!$G$1:$G$501,P90),INDEX('F Proj'!$D$1:$D$7669,P90))</f>
        <v>12.54</v>
      </c>
      <c r="AH90">
        <f>IF(Week&gt;=Q$1,INDEX(Finals!$G$1:$G$501,Q90),INDEX('F Proj'!$D$1:$D$7669,Q90))</f>
        <v>12.23</v>
      </c>
      <c r="AI90">
        <f>IF(Week&gt;=R$1,INDEX(Finals!$G$1:$G$501,R90),INDEX('F Proj'!$D$1:$D$7669,R90))</f>
        <v>12.3</v>
      </c>
      <c r="AJ90">
        <f>IF(Week&gt;=S$1,INDEX(Finals!$G$1:$G$501,S90),INDEX('F Proj'!$D$1:$D$7669,S90))</f>
        <v>13.08</v>
      </c>
      <c r="AK90">
        <f>IF(Week&gt;=C$1,INDEX(Finals!$I$1:$I$501,C90),INDEX('F Proj'!$J$1:$J$7669,C90))</f>
        <v>0</v>
      </c>
      <c r="AL90">
        <f>IF(Week&gt;=D$1,INDEX(Finals!$I$1:$I$501,D90),INDEX('F Proj'!$J$1:$J$7669,D90))</f>
        <v>0</v>
      </c>
      <c r="AM90">
        <f>IF(Week&gt;=E$1,INDEX(Finals!$I$1:$I$501,E90),INDEX('F Proj'!$J$1:$J$7669,E90))</f>
        <v>0</v>
      </c>
      <c r="AN90">
        <f>IF(Week&gt;=F$1,INDEX(Finals!$I$1:$I$501,F90),INDEX('F Proj'!$J$1:$J$7669,F90))</f>
        <v>0</v>
      </c>
      <c r="AO90">
        <f>IF(Week&gt;=G$1,INDEX(Finals!$I$1:$I$501,G90),INDEX('F Proj'!$J$1:$J$7669,G90))</f>
        <v>12.3201</v>
      </c>
      <c r="AP90">
        <f>IF(Week&gt;=H$1,INDEX(Finals!$I$1:$I$501,H90),INDEX('F Proj'!$J$1:$J$7669,H90))</f>
        <v>46.24</v>
      </c>
      <c r="AQ90">
        <f>IF(Week&gt;=I$1,INDEX(Finals!$I$1:$I$501,I90),INDEX('F Proj'!$J$1:$J$7669,I90))</f>
        <v>52.998399999999997</v>
      </c>
      <c r="AR90">
        <f>IF(Week&gt;=J$1,INDEX(Finals!$I$1:$I$501,J90),INDEX('F Proj'!$J$1:$J$7669,J90))</f>
        <v>47.61</v>
      </c>
      <c r="AS90">
        <f>IF(Week&gt;=K$1,INDEX(Finals!$I$1:$I$501,K90),INDEX('F Proj'!$J$1:$J$7669,K90))</f>
        <v>53.5824</v>
      </c>
      <c r="AT90">
        <f>IF(Week&gt;=L$1,INDEX(Finals!$I$1:$I$501,L90),INDEX('F Proj'!$J$1:$J$7669,L90))</f>
        <v>46.24</v>
      </c>
      <c r="AU90">
        <f>IF(Week&gt;=M$1,INDEX(Finals!$I$1:$I$501,M90),INDEX('F Proj'!$J$1:$J$7669,M90))</f>
        <v>42.380099999999999</v>
      </c>
      <c r="AV90">
        <f>IF(Week&gt;=N$1,INDEX(Finals!$I$1:$I$501,N90),INDEX('F Proj'!$J$1:$J$7669,N90))</f>
        <v>30.913599999999999</v>
      </c>
      <c r="AW90">
        <f>IF(Week&gt;=O$1,INDEX(Finals!$I$1:$I$501,O90),INDEX('F Proj'!$J$1:$J$7669,O90))</f>
        <v>42.120100000000001</v>
      </c>
      <c r="AX90">
        <f>IF(Week&gt;=P$1,INDEX(Finals!$I$1:$I$501,P90),INDEX('F Proj'!$J$1:$J$7669,P90))</f>
        <v>52.2729</v>
      </c>
      <c r="AY90">
        <f>IF(Week&gt;=Q$1,INDEX(Finals!$I$1:$I$501,Q90),INDEX('F Proj'!$J$1:$J$7669,Q90))</f>
        <v>31.696899999999999</v>
      </c>
      <c r="AZ90">
        <f>IF(Week&gt;=R$1,INDEX(Finals!$I$1:$I$501,R90),INDEX('F Proj'!$J$1:$J$7669,R90))</f>
        <v>39.69</v>
      </c>
      <c r="BA90">
        <f>IF(Week&gt;=S$1,INDEX(Finals!$I$1:$I$501,S90),INDEX('F Proj'!$J$1:$J$7669,S90))</f>
        <v>52.998399999999997</v>
      </c>
    </row>
    <row r="91" spans="1:53" x14ac:dyDescent="0.25">
      <c r="A91" t="s">
        <v>23</v>
      </c>
      <c r="B91" t="s">
        <v>472</v>
      </c>
      <c r="C91">
        <f>IF(Week&gt;=C$1,MATCH($A91&amp;"-"&amp;C$1&amp;$B91,Finals!$J$1:$J$501,0),IFERROR(MATCH($A91&amp;C$1&amp;$B91,'F Proj'!$N$1:$N$7669,0),MATCH("NA"&amp;C$1&amp;$B91,'F Proj'!$N$1:$N$7669,0)))</f>
        <v>75</v>
      </c>
      <c r="D91">
        <f>IF(Week&gt;=D$1,MATCH($A91&amp;"-"&amp;D$1&amp;$B91,Finals!$J$1:$J$501,0),IFERROR(MATCH($A91&amp;D$1&amp;$B91,'F Proj'!$N$1:$N$7669,0),MATCH("NA"&amp;D$1&amp;$B91,'F Proj'!$N$1:$N$7669,0)))</f>
        <v>76</v>
      </c>
      <c r="E91">
        <f>IF(Week&gt;=E$1,MATCH($A91&amp;"-"&amp;E$1&amp;$B91,Finals!$J$1:$J$501,0),IFERROR(MATCH($A91&amp;E$1&amp;$B91,'F Proj'!$N$1:$N$7669,0),MATCH("NA"&amp;E$1&amp;$B91,'F Proj'!$N$1:$N$7669,0)))</f>
        <v>58</v>
      </c>
      <c r="F91">
        <f>IF(Week&gt;=F$1,MATCH($A91&amp;"-"&amp;F$1&amp;$B91,Finals!$J$1:$J$501,0),IFERROR(MATCH($A91&amp;F$1&amp;$B91,'F Proj'!$N$1:$N$7669,0),MATCH("NA"&amp;F$1&amp;$B91,'F Proj'!$N$1:$N$7669,0)))</f>
        <v>59</v>
      </c>
      <c r="G91">
        <f>IF(Week&gt;=G$1,MATCH($A91&amp;"-"&amp;G$1&amp;$B91,Finals!$J$1:$J$501,0),IFERROR(MATCH($A91&amp;G$1&amp;$B91,'F Proj'!$N$1:$N$7669,0),MATCH("NA"&amp;G$1&amp;$B91,'F Proj'!$N$1:$N$7669,0)))</f>
        <v>60</v>
      </c>
      <c r="H91">
        <f>IF(Week&gt;=H$1,MATCH($A91&amp;"-"&amp;H$1&amp;$B91,Finals!$J$1:$J$501,0),IFERROR(MATCH($A91&amp;H$1&amp;$B91,'F Proj'!$N$1:$N$7669,0),MATCH("NA"&amp;H$1&amp;$B91,'F Proj'!$N$1:$N$7669,0)))</f>
        <v>780</v>
      </c>
      <c r="I91">
        <f>IF(Week&gt;=I$1,MATCH($A91&amp;"-"&amp;I$1&amp;$B91,Finals!$J$1:$J$501,0),IFERROR(MATCH($A91&amp;I$1&amp;$B91,'F Proj'!$N$1:$N$7669,0),MATCH("NA"&amp;I$1&amp;$B91,'F Proj'!$N$1:$N$7669,0)))</f>
        <v>1615</v>
      </c>
      <c r="J91">
        <f>IF(Week&gt;=J$1,MATCH($A91&amp;"-"&amp;J$1&amp;$B91,Finals!$J$1:$J$501,0),IFERROR(MATCH($A91&amp;J$1&amp;$B91,'F Proj'!$N$1:$N$7669,0),MATCH("NA"&amp;J$1&amp;$B91,'F Proj'!$N$1:$N$7669,0)))</f>
        <v>1174</v>
      </c>
      <c r="K91">
        <f>IF(Week&gt;=K$1,MATCH($A91&amp;"-"&amp;K$1&amp;$B91,Finals!$J$1:$J$501,0),IFERROR(MATCH($A91&amp;K$1&amp;$B91,'F Proj'!$N$1:$N$7669,0),MATCH("NA"&amp;K$1&amp;$B91,'F Proj'!$N$1:$N$7669,0)))</f>
        <v>768</v>
      </c>
      <c r="L91">
        <f>IF(Week&gt;=L$1,MATCH($A91&amp;"-"&amp;L$1&amp;$B91,Finals!$J$1:$J$501,0),IFERROR(MATCH($A91&amp;L$1&amp;$B91,'F Proj'!$N$1:$N$7669,0),MATCH("NA"&amp;L$1&amp;$B91,'F Proj'!$N$1:$N$7669,0)))</f>
        <v>753</v>
      </c>
      <c r="M91">
        <f>IF(Week&gt;=M$1,MATCH($A91&amp;"-"&amp;M$1&amp;$B91,Finals!$J$1:$J$501,0),IFERROR(MATCH($A91&amp;M$1&amp;$B91,'F Proj'!$N$1:$N$7669,0),MATCH("NA"&amp;M$1&amp;$B91,'F Proj'!$N$1:$N$7669,0)))</f>
        <v>922</v>
      </c>
      <c r="N91">
        <f>IF(Week&gt;=N$1,MATCH($A91&amp;"-"&amp;N$1&amp;$B91,Finals!$J$1:$J$501,0),IFERROR(MATCH($A91&amp;N$1&amp;$B91,'F Proj'!$N$1:$N$7669,0),MATCH("NA"&amp;N$1&amp;$B91,'F Proj'!$N$1:$N$7669,0)))</f>
        <v>1495</v>
      </c>
      <c r="O91">
        <f>IF(Week&gt;=O$1,MATCH($A91&amp;"-"&amp;O$1&amp;$B91,Finals!$J$1:$J$501,0),IFERROR(MATCH($A91&amp;O$1&amp;$B91,'F Proj'!$N$1:$N$7669,0),MATCH("NA"&amp;O$1&amp;$B91,'F Proj'!$N$1:$N$7669,0)))</f>
        <v>1207</v>
      </c>
      <c r="P91">
        <f>IF(Week&gt;=P$1,MATCH($A91&amp;"-"&amp;P$1&amp;$B91,Finals!$J$1:$J$501,0),IFERROR(MATCH($A91&amp;P$1&amp;$B91,'F Proj'!$N$1:$N$7669,0),MATCH("NA"&amp;P$1&amp;$B91,'F Proj'!$N$1:$N$7669,0)))</f>
        <v>807</v>
      </c>
      <c r="Q91">
        <f>IF(Week&gt;=Q$1,MATCH($A91&amp;"-"&amp;Q$1&amp;$B91,Finals!$J$1:$J$501,0),IFERROR(MATCH($A91&amp;Q$1&amp;$B91,'F Proj'!$N$1:$N$7669,0),MATCH("NA"&amp;Q$1&amp;$B91,'F Proj'!$N$1:$N$7669,0)))</f>
        <v>1211</v>
      </c>
      <c r="R91">
        <f>IF(Week&gt;=R$1,MATCH($A91&amp;"-"&amp;R$1&amp;$B91,Finals!$J$1:$J$501,0),IFERROR(MATCH($A91&amp;R$1&amp;$B91,'F Proj'!$N$1:$N$7669,0),MATCH("NA"&amp;R$1&amp;$B91,'F Proj'!$N$1:$N$7669,0)))</f>
        <v>1186</v>
      </c>
      <c r="S91">
        <f>IF(Week&gt;=S$1,MATCH($A91&amp;"-"&amp;S$1&amp;$B91,Finals!$J$1:$J$501,0),IFERROR(MATCH($A91&amp;S$1&amp;$B91,'F Proj'!$N$1:$N$7669,0),MATCH("NA"&amp;S$1&amp;$B91,'F Proj'!$N$1:$N$7669,0)))</f>
        <v>782</v>
      </c>
      <c r="T91">
        <f>IF(Week&gt;=C$1,INDEX(Finals!$G$1:$G$501,C91),INDEX('F Proj'!$D$1:$D$7669,C91))</f>
        <v>1.1000000000000001</v>
      </c>
      <c r="U91">
        <f>IF(Week&gt;=D$1,INDEX(Finals!$G$1:$G$501,D91),INDEX('F Proj'!$D$1:$D$7669,D91))</f>
        <v>16.2</v>
      </c>
      <c r="V91">
        <f>IF(Week&gt;=E$1,INDEX(Finals!$G$1:$G$501,E91),INDEX('F Proj'!$D$1:$D$7669,E91))</f>
        <v>9</v>
      </c>
      <c r="W91">
        <f>IF(Week&gt;=F$1,INDEX(Finals!$G$1:$G$501,F91),INDEX('F Proj'!$D$1:$D$7669,F91))</f>
        <v>18.600000000000001</v>
      </c>
      <c r="X91">
        <f>IF(Week&gt;=G$1,INDEX(Finals!$G$1:$G$501,G91),INDEX('F Proj'!$D$1:$D$7669,G91))</f>
        <v>12.13</v>
      </c>
      <c r="Y91">
        <f>IF(Week&gt;=H$1,INDEX(Finals!$G$1:$G$501,H91),INDEX('F Proj'!$D$1:$D$7669,H91))</f>
        <v>12.3</v>
      </c>
      <c r="Z91">
        <f>IF(Week&gt;=I$1,INDEX(Finals!$G$1:$G$501,I91),INDEX('F Proj'!$D$1:$D$7669,I91))</f>
        <v>7.73</v>
      </c>
      <c r="AA91">
        <f>IF(Week&gt;=J$1,INDEX(Finals!$G$1:$G$501,J91),INDEX('F Proj'!$D$1:$D$7669,J91))</f>
        <v>9.5500000000000007</v>
      </c>
      <c r="AB91">
        <f>IF(Week&gt;=K$1,INDEX(Finals!$G$1:$G$501,K91),INDEX('F Proj'!$D$1:$D$7669,K91))</f>
        <v>12.4</v>
      </c>
      <c r="AC91">
        <f>IF(Week&gt;=L$1,INDEX(Finals!$G$1:$G$501,L91),INDEX('F Proj'!$D$1:$D$7669,L91))</f>
        <v>12.5</v>
      </c>
      <c r="AD91">
        <f>IF(Week&gt;=M$1,INDEX(Finals!$G$1:$G$501,M91),INDEX('F Proj'!$D$1:$D$7669,M91))</f>
        <v>10.97</v>
      </c>
      <c r="AE91">
        <f>IF(Week&gt;=N$1,INDEX(Finals!$G$1:$G$501,N91),INDEX('F Proj'!$D$1:$D$7669,N91))</f>
        <v>8.1300000000000008</v>
      </c>
      <c r="AF91">
        <f>IF(Week&gt;=O$1,INDEX(Finals!$G$1:$G$501,O91),INDEX('F Proj'!$D$1:$D$7669,O91))</f>
        <v>9.34</v>
      </c>
      <c r="AG91">
        <f>IF(Week&gt;=P$1,INDEX(Finals!$G$1:$G$501,P91),INDEX('F Proj'!$D$1:$D$7669,P91))</f>
        <v>12.11</v>
      </c>
      <c r="AH91">
        <f>IF(Week&gt;=Q$1,INDEX(Finals!$G$1:$G$501,Q91),INDEX('F Proj'!$D$1:$D$7669,Q91))</f>
        <v>9.32</v>
      </c>
      <c r="AI91">
        <f>IF(Week&gt;=R$1,INDEX(Finals!$G$1:$G$501,R91),INDEX('F Proj'!$D$1:$D$7669,R91))</f>
        <v>9.48</v>
      </c>
      <c r="AJ91">
        <f>IF(Week&gt;=S$1,INDEX(Finals!$G$1:$G$501,S91),INDEX('F Proj'!$D$1:$D$7669,S91))</f>
        <v>12.29</v>
      </c>
      <c r="AK91">
        <f>IF(Week&gt;=C$1,INDEX(Finals!$I$1:$I$501,C91),INDEX('F Proj'!$J$1:$J$7669,C91))</f>
        <v>0</v>
      </c>
      <c r="AL91">
        <f>IF(Week&gt;=D$1,INDEX(Finals!$I$1:$I$501,D91),INDEX('F Proj'!$J$1:$J$7669,D91))</f>
        <v>0</v>
      </c>
      <c r="AM91">
        <f>IF(Week&gt;=E$1,INDEX(Finals!$I$1:$I$501,E91),INDEX('F Proj'!$J$1:$J$7669,E91))</f>
        <v>0</v>
      </c>
      <c r="AN91">
        <f>IF(Week&gt;=F$1,INDEX(Finals!$I$1:$I$501,F91),INDEX('F Proj'!$J$1:$J$7669,F91))</f>
        <v>0</v>
      </c>
      <c r="AO91">
        <f>IF(Week&gt;=G$1,INDEX(Finals!$I$1:$I$501,G91),INDEX('F Proj'!$J$1:$J$7669,G91))</f>
        <v>53.728900000000003</v>
      </c>
      <c r="AP91">
        <f>IF(Week&gt;=H$1,INDEX(Finals!$I$1:$I$501,H91),INDEX('F Proj'!$J$1:$J$7669,H91))</f>
        <v>53.436100000000003</v>
      </c>
      <c r="AQ91">
        <f>IF(Week&gt;=I$1,INDEX(Finals!$I$1:$I$501,I91),INDEX('F Proj'!$J$1:$J$7669,I91))</f>
        <v>43.956899999999997</v>
      </c>
      <c r="AR91">
        <f>IF(Week&gt;=J$1,INDEX(Finals!$I$1:$I$501,J91),INDEX('F Proj'!$J$1:$J$7669,J91))</f>
        <v>47.61</v>
      </c>
      <c r="AS91">
        <f>IF(Week&gt;=K$1,INDEX(Finals!$I$1:$I$501,K91),INDEX('F Proj'!$J$1:$J$7669,K91))</f>
        <v>60.0625</v>
      </c>
      <c r="AT91">
        <f>IF(Week&gt;=L$1,INDEX(Finals!$I$1:$I$501,L91),INDEX('F Proj'!$J$1:$J$7669,L91))</f>
        <v>50.126399999999997</v>
      </c>
      <c r="AU91">
        <f>IF(Week&gt;=M$1,INDEX(Finals!$I$1:$I$501,M91),INDEX('F Proj'!$J$1:$J$7669,M91))</f>
        <v>32.2624</v>
      </c>
      <c r="AV91">
        <f>IF(Week&gt;=N$1,INDEX(Finals!$I$1:$I$501,N91),INDEX('F Proj'!$J$1:$J$7669,N91))</f>
        <v>34.81</v>
      </c>
      <c r="AW91">
        <f>IF(Week&gt;=O$1,INDEX(Finals!$I$1:$I$501,O91),INDEX('F Proj'!$J$1:$J$7669,O91))</f>
        <v>22.944099999999999</v>
      </c>
      <c r="AX91">
        <f>IF(Week&gt;=P$1,INDEX(Finals!$I$1:$I$501,P91),INDEX('F Proj'!$J$1:$J$7669,P91))</f>
        <v>28.302399999999999</v>
      </c>
      <c r="AY91">
        <f>IF(Week&gt;=Q$1,INDEX(Finals!$I$1:$I$501,Q91),INDEX('F Proj'!$J$1:$J$7669,Q91))</f>
        <v>24.8004</v>
      </c>
      <c r="AZ91">
        <f>IF(Week&gt;=R$1,INDEX(Finals!$I$1:$I$501,R91),INDEX('F Proj'!$J$1:$J$7669,R91))</f>
        <v>29.593599999999999</v>
      </c>
      <c r="BA91">
        <f>IF(Week&gt;=S$1,INDEX(Finals!$I$1:$I$501,S91),INDEX('F Proj'!$J$1:$J$7669,S91))</f>
        <v>40.7044</v>
      </c>
    </row>
    <row r="92" spans="1:53" x14ac:dyDescent="0.25">
      <c r="A92" t="s">
        <v>23</v>
      </c>
      <c r="B92" t="s">
        <v>473</v>
      </c>
      <c r="C92">
        <f>IF(Week&gt;=C$1,MATCH($A92&amp;"-"&amp;C$1&amp;$B92,Finals!$J$1:$J$501,0),IFERROR(MATCH($A92&amp;C$1&amp;$B92,'F Proj'!$N$1:$N$7669,0),MATCH("NA"&amp;C$1&amp;$B92,'F Proj'!$N$1:$N$7669,0)))</f>
        <v>56</v>
      </c>
      <c r="D92">
        <f>IF(Week&gt;=D$1,MATCH($A92&amp;"-"&amp;D$1&amp;$B92,Finals!$J$1:$J$501,0),IFERROR(MATCH($A92&amp;D$1&amp;$B92,'F Proj'!$N$1:$N$7669,0),MATCH("NA"&amp;D$1&amp;$B92,'F Proj'!$N$1:$N$7669,0)))</f>
        <v>57</v>
      </c>
      <c r="E92">
        <f>IF(Week&gt;=E$1,MATCH($A92&amp;"-"&amp;E$1&amp;$B92,Finals!$J$1:$J$501,0),IFERROR(MATCH($A92&amp;E$1&amp;$B92,'F Proj'!$N$1:$N$7669,0),MATCH("NA"&amp;E$1&amp;$B92,'F Proj'!$N$1:$N$7669,0)))</f>
        <v>394</v>
      </c>
      <c r="F92">
        <f>IF(Week&gt;=F$1,MATCH($A92&amp;"-"&amp;F$1&amp;$B92,Finals!$J$1:$J$501,0),IFERROR(MATCH($A92&amp;F$1&amp;$B92,'F Proj'!$N$1:$N$7669,0),MATCH("NA"&amp;F$1&amp;$B92,'F Proj'!$N$1:$N$7669,0)))</f>
        <v>395</v>
      </c>
      <c r="G92">
        <f>IF(Week&gt;=G$1,MATCH($A92&amp;"-"&amp;G$1&amp;$B92,Finals!$J$1:$J$501,0),IFERROR(MATCH($A92&amp;G$1&amp;$B92,'F Proj'!$N$1:$N$7669,0),MATCH("NA"&amp;G$1&amp;$B92,'F Proj'!$N$1:$N$7669,0)))</f>
        <v>396</v>
      </c>
      <c r="H92">
        <f>IF(Week&gt;=H$1,MATCH($A92&amp;"-"&amp;H$1&amp;$B92,Finals!$J$1:$J$501,0),IFERROR(MATCH($A92&amp;H$1&amp;$B92,'F Proj'!$N$1:$N$7669,0),MATCH("NA"&amp;H$1&amp;$B92,'F Proj'!$N$1:$N$7669,0)))</f>
        <v>1577</v>
      </c>
      <c r="I92">
        <f>IF(Week&gt;=I$1,MATCH($A92&amp;"-"&amp;I$1&amp;$B92,Finals!$J$1:$J$501,0),IFERROR(MATCH($A92&amp;I$1&amp;$B92,'F Proj'!$N$1:$N$7669,0),MATCH("NA"&amp;I$1&amp;$B92,'F Proj'!$N$1:$N$7669,0)))</f>
        <v>2834</v>
      </c>
      <c r="J92">
        <f>IF(Week&gt;=J$1,MATCH($A92&amp;"-"&amp;J$1&amp;$B92,Finals!$J$1:$J$501,0),IFERROR(MATCH($A92&amp;J$1&amp;$B92,'F Proj'!$N$1:$N$7669,0),MATCH("NA"&amp;J$1&amp;$B92,'F Proj'!$N$1:$N$7669,0)))</f>
        <v>1251</v>
      </c>
      <c r="K92">
        <f>IF(Week&gt;=K$1,MATCH($A92&amp;"-"&amp;K$1&amp;$B92,Finals!$J$1:$J$501,0),IFERROR(MATCH($A92&amp;K$1&amp;$B92,'F Proj'!$N$1:$N$7669,0),MATCH("NA"&amp;K$1&amp;$B92,'F Proj'!$N$1:$N$7669,0)))</f>
        <v>1481</v>
      </c>
      <c r="L92">
        <f>IF(Week&gt;=L$1,MATCH($A92&amp;"-"&amp;L$1&amp;$B92,Finals!$J$1:$J$501,0),IFERROR(MATCH($A92&amp;L$1&amp;$B92,'F Proj'!$N$1:$N$7669,0),MATCH("NA"&amp;L$1&amp;$B92,'F Proj'!$N$1:$N$7669,0)))</f>
        <v>2535</v>
      </c>
      <c r="M92">
        <f>IF(Week&gt;=M$1,MATCH($A92&amp;"-"&amp;M$1&amp;$B92,Finals!$J$1:$J$501,0),IFERROR(MATCH($A92&amp;M$1&amp;$B92,'F Proj'!$N$1:$N$7669,0),MATCH("NA"&amp;M$1&amp;$B92,'F Proj'!$N$1:$N$7669,0)))</f>
        <v>1458</v>
      </c>
      <c r="N92">
        <f>IF(Week&gt;=N$1,MATCH($A92&amp;"-"&amp;N$1&amp;$B92,Finals!$J$1:$J$501,0),IFERROR(MATCH($A92&amp;N$1&amp;$B92,'F Proj'!$N$1:$N$7669,0),MATCH("NA"&amp;N$1&amp;$B92,'F Proj'!$N$1:$N$7669,0)))</f>
        <v>2217</v>
      </c>
      <c r="O92">
        <f>IF(Week&gt;=O$1,MATCH($A92&amp;"-"&amp;O$1&amp;$B92,Finals!$J$1:$J$501,0),IFERROR(MATCH($A92&amp;O$1&amp;$B92,'F Proj'!$N$1:$N$7669,0),MATCH("NA"&amp;O$1&amp;$B92,'F Proj'!$N$1:$N$7669,0)))</f>
        <v>1310</v>
      </c>
      <c r="P92">
        <f>IF(Week&gt;=P$1,MATCH($A92&amp;"-"&amp;P$1&amp;$B92,Finals!$J$1:$J$501,0),IFERROR(MATCH($A92&amp;P$1&amp;$B92,'F Proj'!$N$1:$N$7669,0),MATCH("NA"&amp;P$1&amp;$B92,'F Proj'!$N$1:$N$7669,0)))</f>
        <v>1065</v>
      </c>
      <c r="Q92">
        <f>IF(Week&gt;=Q$1,MATCH($A92&amp;"-"&amp;Q$1&amp;$B92,Finals!$J$1:$J$501,0),IFERROR(MATCH($A92&amp;Q$1&amp;$B92,'F Proj'!$N$1:$N$7669,0),MATCH("NA"&amp;Q$1&amp;$B92,'F Proj'!$N$1:$N$7669,0)))</f>
        <v>1509</v>
      </c>
      <c r="R92">
        <f>IF(Week&gt;=R$1,MATCH($A92&amp;"-"&amp;R$1&amp;$B92,Finals!$J$1:$J$501,0),IFERROR(MATCH($A92&amp;R$1&amp;$B92,'F Proj'!$N$1:$N$7669,0),MATCH("NA"&amp;R$1&amp;$B92,'F Proj'!$N$1:$N$7669,0)))</f>
        <v>1589</v>
      </c>
      <c r="S92">
        <f>IF(Week&gt;=S$1,MATCH($A92&amp;"-"&amp;S$1&amp;$B92,Finals!$J$1:$J$501,0),IFERROR(MATCH($A92&amp;S$1&amp;$B92,'F Proj'!$N$1:$N$7669,0),MATCH("NA"&amp;S$1&amp;$B92,'F Proj'!$N$1:$N$7669,0)))</f>
        <v>1543</v>
      </c>
      <c r="T92">
        <f>IF(Week&gt;=C$1,INDEX(Finals!$G$1:$G$501,C92),INDEX('F Proj'!$D$1:$D$7669,C92))</f>
        <v>9.3000000000000007</v>
      </c>
      <c r="U92">
        <f>IF(Week&gt;=D$1,INDEX(Finals!$G$1:$G$501,D92),INDEX('F Proj'!$D$1:$D$7669,D92))</f>
        <v>15.9</v>
      </c>
      <c r="V92">
        <f>IF(Week&gt;=E$1,INDEX(Finals!$G$1:$G$501,E92),INDEX('F Proj'!$D$1:$D$7669,E92))</f>
        <v>16.100000000000001</v>
      </c>
      <c r="W92">
        <f>IF(Week&gt;=F$1,INDEX(Finals!$G$1:$G$501,F92),INDEX('F Proj'!$D$1:$D$7669,F92))</f>
        <v>10.9</v>
      </c>
      <c r="X92">
        <f>IF(Week&gt;=G$1,INDEX(Finals!$G$1:$G$501,G92),INDEX('F Proj'!$D$1:$D$7669,G92))</f>
        <v>8.69</v>
      </c>
      <c r="Y92">
        <f>IF(Week&gt;=H$1,INDEX(Finals!$G$1:$G$501,H92),INDEX('F Proj'!$D$1:$D$7669,H92))</f>
        <v>7.89</v>
      </c>
      <c r="Z92">
        <f>IF(Week&gt;=I$1,INDEX(Finals!$G$1:$G$501,I92),INDEX('F Proj'!$D$1:$D$7669,I92))</f>
        <v>4.46</v>
      </c>
      <c r="AA92">
        <f>IF(Week&gt;=J$1,INDEX(Finals!$G$1:$G$501,J92),INDEX('F Proj'!$D$1:$D$7669,J92))</f>
        <v>9.1199999999999992</v>
      </c>
      <c r="AB92">
        <f>IF(Week&gt;=K$1,INDEX(Finals!$G$1:$G$501,K92),INDEX('F Proj'!$D$1:$D$7669,K92))</f>
        <v>8.17</v>
      </c>
      <c r="AC92">
        <f>IF(Week&gt;=L$1,INDEX(Finals!$G$1:$G$501,L92),INDEX('F Proj'!$D$1:$D$7669,L92))</f>
        <v>5.13</v>
      </c>
      <c r="AD92">
        <f>IF(Week&gt;=M$1,INDEX(Finals!$G$1:$G$501,M92),INDEX('F Proj'!$D$1:$D$7669,M92))</f>
        <v>8.25</v>
      </c>
      <c r="AE92">
        <f>IF(Week&gt;=N$1,INDEX(Finals!$G$1:$G$501,N92),INDEX('F Proj'!$D$1:$D$7669,N92))</f>
        <v>5.9</v>
      </c>
      <c r="AF92">
        <f>IF(Week&gt;=O$1,INDEX(Finals!$G$1:$G$501,O92),INDEX('F Proj'!$D$1:$D$7669,O92))</f>
        <v>8.83</v>
      </c>
      <c r="AG92">
        <f>IF(Week&gt;=P$1,INDEX(Finals!$G$1:$G$501,P92),INDEX('F Proj'!$D$1:$D$7669,P92))</f>
        <v>10.02</v>
      </c>
      <c r="AH92">
        <f>IF(Week&gt;=Q$1,INDEX(Finals!$G$1:$G$501,Q92),INDEX('F Proj'!$D$1:$D$7669,Q92))</f>
        <v>8.1</v>
      </c>
      <c r="AI92">
        <f>IF(Week&gt;=R$1,INDEX(Finals!$G$1:$G$501,R92),INDEX('F Proj'!$D$1:$D$7669,R92))</f>
        <v>7.83</v>
      </c>
      <c r="AJ92">
        <f>IF(Week&gt;=S$1,INDEX(Finals!$G$1:$G$501,S92),INDEX('F Proj'!$D$1:$D$7669,S92))</f>
        <v>7.99</v>
      </c>
      <c r="AK92">
        <f>IF(Week&gt;=C$1,INDEX(Finals!$I$1:$I$501,C92),INDEX('F Proj'!$J$1:$J$7669,C92))</f>
        <v>0</v>
      </c>
      <c r="AL92">
        <f>IF(Week&gt;=D$1,INDEX(Finals!$I$1:$I$501,D92),INDEX('F Proj'!$J$1:$J$7669,D92))</f>
        <v>0</v>
      </c>
      <c r="AM92">
        <f>IF(Week&gt;=E$1,INDEX(Finals!$I$1:$I$501,E92),INDEX('F Proj'!$J$1:$J$7669,E92))</f>
        <v>0</v>
      </c>
      <c r="AN92">
        <f>IF(Week&gt;=F$1,INDEX(Finals!$I$1:$I$501,F92),INDEX('F Proj'!$J$1:$J$7669,F92))</f>
        <v>0</v>
      </c>
      <c r="AO92">
        <f>IF(Week&gt;=G$1,INDEX(Finals!$I$1:$I$501,G92),INDEX('F Proj'!$J$1:$J$7669,G92))</f>
        <v>46.24</v>
      </c>
      <c r="AP92">
        <f>IF(Week&gt;=H$1,INDEX(Finals!$I$1:$I$501,H92),INDEX('F Proj'!$J$1:$J$7669,H92))</f>
        <v>33.988900000000001</v>
      </c>
      <c r="AQ92">
        <f>IF(Week&gt;=I$1,INDEX(Finals!$I$1:$I$501,I92),INDEX('F Proj'!$J$1:$J$7669,I92))</f>
        <v>11.9716</v>
      </c>
      <c r="AR92">
        <f>IF(Week&gt;=J$1,INDEX(Finals!$I$1:$I$501,J92),INDEX('F Proj'!$J$1:$J$7669,J92))</f>
        <v>33.177599999999998</v>
      </c>
      <c r="AS92">
        <f>IF(Week&gt;=K$1,INDEX(Finals!$I$1:$I$501,K92),INDEX('F Proj'!$J$1:$J$7669,K92))</f>
        <v>42.510399999999997</v>
      </c>
      <c r="AT92">
        <f>IF(Week&gt;=L$1,INDEX(Finals!$I$1:$I$501,L92),INDEX('F Proj'!$J$1:$J$7669,L92))</f>
        <v>14.8225</v>
      </c>
      <c r="AU92">
        <f>IF(Week&gt;=M$1,INDEX(Finals!$I$1:$I$501,M92),INDEX('F Proj'!$J$1:$J$7669,M92))</f>
        <v>50.41</v>
      </c>
      <c r="AV92">
        <f>IF(Week&gt;=N$1,INDEX(Finals!$I$1:$I$501,N92),INDEX('F Proj'!$J$1:$J$7669,N92))</f>
        <v>18.489999999999998</v>
      </c>
      <c r="AW92">
        <f>IF(Week&gt;=O$1,INDEX(Finals!$I$1:$I$501,O92),INDEX('F Proj'!$J$1:$J$7669,O92))</f>
        <v>39.438400000000001</v>
      </c>
      <c r="AX92">
        <f>IF(Week&gt;=P$1,INDEX(Finals!$I$1:$I$501,P92),INDEX('F Proj'!$J$1:$J$7669,P92))</f>
        <v>49.561599999999999</v>
      </c>
      <c r="AY92">
        <f>IF(Week&gt;=Q$1,INDEX(Finals!$I$1:$I$501,Q92),INDEX('F Proj'!$J$1:$J$7669,Q92))</f>
        <v>40.576900000000002</v>
      </c>
      <c r="AZ92">
        <f>IF(Week&gt;=R$1,INDEX(Finals!$I$1:$I$501,R92),INDEX('F Proj'!$J$1:$J$7669,R92))</f>
        <v>37.945599999999999</v>
      </c>
      <c r="BA92">
        <f>IF(Week&gt;=S$1,INDEX(Finals!$I$1:$I$501,S92),INDEX('F Proj'!$J$1:$J$7669,S92))</f>
        <v>43.956899999999997</v>
      </c>
    </row>
    <row r="93" spans="1:53" x14ac:dyDescent="0.25">
      <c r="A93" t="s">
        <v>23</v>
      </c>
      <c r="B93" t="s">
        <v>474</v>
      </c>
      <c r="C93" t="e">
        <f>IF(Week&gt;=C$1,MATCH($A93&amp;"-"&amp;C$1&amp;$B93,Finals!$J$1:$J$501,0),IFERROR(MATCH($A93&amp;C$1&amp;$B93,'F Proj'!$N$1:$N$7669,0),MATCH("NA"&amp;C$1&amp;$B93,'F Proj'!$N$1:$N$7669,0)))</f>
        <v>#N/A</v>
      </c>
      <c r="D93" t="e">
        <f>IF(Week&gt;=D$1,MATCH($A93&amp;"-"&amp;D$1&amp;$B93,Finals!$J$1:$J$501,0),IFERROR(MATCH($A93&amp;D$1&amp;$B93,'F Proj'!$N$1:$N$7669,0),MATCH("NA"&amp;D$1&amp;$B93,'F Proj'!$N$1:$N$7669,0)))</f>
        <v>#N/A</v>
      </c>
      <c r="E93" t="e">
        <f>IF(Week&gt;=E$1,MATCH($A93&amp;"-"&amp;E$1&amp;$B93,Finals!$J$1:$J$501,0),IFERROR(MATCH($A93&amp;E$1&amp;$B93,'F Proj'!$N$1:$N$7669,0),MATCH("NA"&amp;E$1&amp;$B93,'F Proj'!$N$1:$N$7669,0)))</f>
        <v>#N/A</v>
      </c>
      <c r="F93" t="e">
        <f>IF(Week&gt;=F$1,MATCH($A93&amp;"-"&amp;F$1&amp;$B93,Finals!$J$1:$J$501,0),IFERROR(MATCH($A93&amp;F$1&amp;$B93,'F Proj'!$N$1:$N$7669,0),MATCH("NA"&amp;F$1&amp;$B93,'F Proj'!$N$1:$N$7669,0)))</f>
        <v>#N/A</v>
      </c>
      <c r="G93" t="e">
        <f>IF(Week&gt;=G$1,MATCH($A93&amp;"-"&amp;G$1&amp;$B93,Finals!$J$1:$J$501,0),IFERROR(MATCH($A93&amp;G$1&amp;$B93,'F Proj'!$N$1:$N$7669,0),MATCH("NA"&amp;G$1&amp;$B93,'F Proj'!$N$1:$N$7669,0)))</f>
        <v>#N/A</v>
      </c>
      <c r="H93">
        <f>IF(Week&gt;=H$1,MATCH($A93&amp;"-"&amp;H$1&amp;$B93,Finals!$J$1:$J$501,0),IFERROR(MATCH($A93&amp;H$1&amp;$B93,'F Proj'!$N$1:$N$7669,0),MATCH("NA"&amp;H$1&amp;$B93,'F Proj'!$N$1:$N$7669,0)))</f>
        <v>2568</v>
      </c>
      <c r="I93">
        <f>IF(Week&gt;=I$1,MATCH($A93&amp;"-"&amp;I$1&amp;$B93,Finals!$J$1:$J$501,0),IFERROR(MATCH($A93&amp;I$1&amp;$B93,'F Proj'!$N$1:$N$7669,0),MATCH("NA"&amp;I$1&amp;$B93,'F Proj'!$N$1:$N$7669,0)))</f>
        <v>2872</v>
      </c>
      <c r="J93">
        <f>IF(Week&gt;=J$1,MATCH($A93&amp;"-"&amp;J$1&amp;$B93,Finals!$J$1:$J$501,0),IFERROR(MATCH($A93&amp;J$1&amp;$B93,'F Proj'!$N$1:$N$7669,0),MATCH("NA"&amp;J$1&amp;$B93,'F Proj'!$N$1:$N$7669,0)))</f>
        <v>2455</v>
      </c>
      <c r="K93">
        <f>IF(Week&gt;=K$1,MATCH($A93&amp;"-"&amp;K$1&amp;$B93,Finals!$J$1:$J$501,0),IFERROR(MATCH($A93&amp;K$1&amp;$B93,'F Proj'!$N$1:$N$7669,0),MATCH("NA"&amp;K$1&amp;$B93,'F Proj'!$N$1:$N$7669,0)))</f>
        <v>2786</v>
      </c>
      <c r="L93">
        <f>IF(Week&gt;=L$1,MATCH($A93&amp;"-"&amp;L$1&amp;$B93,Finals!$J$1:$J$501,0),IFERROR(MATCH($A93&amp;L$1&amp;$B93,'F Proj'!$N$1:$N$7669,0),MATCH("NA"&amp;L$1&amp;$B93,'F Proj'!$N$1:$N$7669,0)))</f>
        <v>2723</v>
      </c>
      <c r="M93">
        <f>IF(Week&gt;=M$1,MATCH($A93&amp;"-"&amp;M$1&amp;$B93,Finals!$J$1:$J$501,0),IFERROR(MATCH($A93&amp;M$1&amp;$B93,'F Proj'!$N$1:$N$7669,0),MATCH("NA"&amp;M$1&amp;$B93,'F Proj'!$N$1:$N$7669,0)))</f>
        <v>2235</v>
      </c>
      <c r="N93">
        <f>IF(Week&gt;=N$1,MATCH($A93&amp;"-"&amp;N$1&amp;$B93,Finals!$J$1:$J$501,0),IFERROR(MATCH($A93&amp;N$1&amp;$B93,'F Proj'!$N$1:$N$7669,0),MATCH("NA"&amp;N$1&amp;$B93,'F Proj'!$N$1:$N$7669,0)))</f>
        <v>2729</v>
      </c>
      <c r="O93">
        <f>IF(Week&gt;=O$1,MATCH($A93&amp;"-"&amp;O$1&amp;$B93,Finals!$J$1:$J$501,0),IFERROR(MATCH($A93&amp;O$1&amp;$B93,'F Proj'!$N$1:$N$7669,0),MATCH("NA"&amp;O$1&amp;$B93,'F Proj'!$N$1:$N$7669,0)))</f>
        <v>2591</v>
      </c>
      <c r="P93">
        <f>IF(Week&gt;=P$1,MATCH($A93&amp;"-"&amp;P$1&amp;$B93,Finals!$J$1:$J$501,0),IFERROR(MATCH($A93&amp;P$1&amp;$B93,'F Proj'!$N$1:$N$7669,0),MATCH("NA"&amp;P$1&amp;$B93,'F Proj'!$N$1:$N$7669,0)))</f>
        <v>2491</v>
      </c>
      <c r="Q93">
        <f>IF(Week&gt;=Q$1,MATCH($A93&amp;"-"&amp;Q$1&amp;$B93,Finals!$J$1:$J$501,0),IFERROR(MATCH($A93&amp;Q$1&amp;$B93,'F Proj'!$N$1:$N$7669,0),MATCH("NA"&amp;Q$1&amp;$B93,'F Proj'!$N$1:$N$7669,0)))</f>
        <v>2298</v>
      </c>
      <c r="R93">
        <f>IF(Week&gt;=R$1,MATCH($A93&amp;"-"&amp;R$1&amp;$B93,Finals!$J$1:$J$501,0),IFERROR(MATCH($A93&amp;R$1&amp;$B93,'F Proj'!$N$1:$N$7669,0),MATCH("NA"&amp;R$1&amp;$B93,'F Proj'!$N$1:$N$7669,0)))</f>
        <v>2571</v>
      </c>
      <c r="S93">
        <f>IF(Week&gt;=S$1,MATCH($A93&amp;"-"&amp;S$1&amp;$B93,Finals!$J$1:$J$501,0),IFERROR(MATCH($A93&amp;S$1&amp;$B93,'F Proj'!$N$1:$N$7669,0),MATCH("NA"&amp;S$1&amp;$B93,'F Proj'!$N$1:$N$7669,0)))</f>
        <v>2299</v>
      </c>
    </row>
    <row r="94" spans="1:53" x14ac:dyDescent="0.25">
      <c r="A94" t="s">
        <v>23</v>
      </c>
      <c r="B94" t="s">
        <v>466</v>
      </c>
      <c r="C94">
        <f>IF(Week&gt;=C$1,MATCH($A94&amp;"-"&amp;C$1&amp;$B94,Finals!$J$1:$J$501,0),MIN(C89,C93))</f>
        <v>327</v>
      </c>
      <c r="D94">
        <f>IF(Week&gt;=D$1,MATCH($A94&amp;"-"&amp;D$1&amp;$B94,Finals!$J$1:$J$501,0),MIN(D89,D93))</f>
        <v>328</v>
      </c>
      <c r="E94">
        <f>IF(Week&gt;=E$1,MATCH($A94&amp;"-"&amp;E$1&amp;$B94,Finals!$J$1:$J$501,0),MIN(E89,E93))</f>
        <v>311</v>
      </c>
      <c r="F94">
        <f>IF(Week&gt;=F$1,MATCH($A94&amp;"-"&amp;F$1&amp;$B94,Finals!$J$1:$J$501,0),MIN(F89,F93))</f>
        <v>77</v>
      </c>
      <c r="G94">
        <f>IF(Week&gt;=G$1,MATCH($A94&amp;"-"&amp;G$1&amp;$B94,Finals!$J$1:$J$501,0),MIN(G89,G93))</f>
        <v>275</v>
      </c>
      <c r="H94">
        <f>IF(Week&gt;=H$1,MATCH($A94&amp;"-"&amp;H$1&amp;$B94,Finals!$J$1:$J$501,0),MIN(H89,H93))</f>
        <v>1592</v>
      </c>
      <c r="I94">
        <f>IF(Week&gt;=I$1,MATCH($A94&amp;"-"&amp;I$1&amp;$B94,Finals!$J$1:$J$501,0),MIN(I89,I93))</f>
        <v>1549</v>
      </c>
      <c r="J94">
        <f>IF(Week&gt;=J$1,MATCH($A94&amp;"-"&amp;J$1&amp;$B94,Finals!$J$1:$J$501,0),MIN(J89,J93))</f>
        <v>2360</v>
      </c>
      <c r="K94">
        <f>IF(Week&gt;=K$1,MATCH($A94&amp;"-"&amp;K$1&amp;$B94,Finals!$J$1:$J$501,0),MIN(K89,K93))</f>
        <v>1375</v>
      </c>
      <c r="L94">
        <f>IF(Week&gt;=L$1,MATCH($A94&amp;"-"&amp;L$1&amp;$B94,Finals!$J$1:$J$501,0),MIN(L89,L93))</f>
        <v>2040</v>
      </c>
      <c r="M94">
        <f>IF(Week&gt;=M$1,MATCH($A94&amp;"-"&amp;M$1&amp;$B94,Finals!$J$1:$J$501,0),MIN(M89,M93))</f>
        <v>2235</v>
      </c>
      <c r="N94">
        <f>IF(Week&gt;=N$1,MATCH($A94&amp;"-"&amp;N$1&amp;$B94,Finals!$J$1:$J$501,0),MIN(N89,N93))</f>
        <v>1382</v>
      </c>
      <c r="O94">
        <f>IF(Week&gt;=O$1,MATCH($A94&amp;"-"&amp;O$1&amp;$B94,Finals!$J$1:$J$501,0),MIN(O89,O93))</f>
        <v>1778</v>
      </c>
      <c r="P94">
        <f>IF(Week&gt;=P$1,MATCH($A94&amp;"-"&amp;P$1&amp;$B94,Finals!$J$1:$J$501,0),MIN(P89,P93))</f>
        <v>1542</v>
      </c>
      <c r="Q94">
        <f>IF(Week&gt;=Q$1,MATCH($A94&amp;"-"&amp;Q$1&amp;$B94,Finals!$J$1:$J$501,0),MIN(Q89,Q93))</f>
        <v>2032</v>
      </c>
      <c r="R94">
        <f>IF(Week&gt;=R$1,MATCH($A94&amp;"-"&amp;R$1&amp;$B94,Finals!$J$1:$J$501,0),MIN(R89,R93))</f>
        <v>1572</v>
      </c>
      <c r="S94">
        <f>IF(Week&gt;=S$1,MATCH($A94&amp;"-"&amp;S$1&amp;$B94,Finals!$J$1:$J$501,0),MIN(S89,S93))</f>
        <v>1147</v>
      </c>
      <c r="T94">
        <f>IF(Week&gt;=C$1,INDEX(Finals!$G$1:$G$501,C94),INDEX('F Proj'!$D$1:$D$7669,C94))</f>
        <v>9.1999999999999993</v>
      </c>
      <c r="U94">
        <f>IF(Week&gt;=D$1,INDEX(Finals!$G$1:$G$501,D94),INDEX('F Proj'!$D$1:$D$7669,D94))</f>
        <v>0.7</v>
      </c>
      <c r="V94">
        <f>IF(Week&gt;=E$1,INDEX(Finals!$G$1:$G$501,E94),INDEX('F Proj'!$D$1:$D$7669,E94))</f>
        <v>2</v>
      </c>
      <c r="W94">
        <f>IF(Week&gt;=F$1,INDEX(Finals!$G$1:$G$501,F94),INDEX('F Proj'!$D$1:$D$7669,F94))</f>
        <v>2.5</v>
      </c>
      <c r="X94">
        <f>IF(Week&gt;=G$1,INDEX(Finals!$G$1:$G$501,G94),INDEX('F Proj'!$D$1:$D$7669,G94))</f>
        <v>8.0500000000000007</v>
      </c>
      <c r="Y94">
        <f>IF(Week&gt;=H$1,INDEX(Finals!$G$1:$G$501,H94),INDEX('F Proj'!$D$1:$D$7669,H94))</f>
        <v>7.82</v>
      </c>
      <c r="Z94">
        <f>IF(Week&gt;=I$1,INDEX(Finals!$G$1:$G$501,I94),INDEX('F Proj'!$D$1:$D$7669,I94))</f>
        <v>7.96</v>
      </c>
      <c r="AA94">
        <f>IF(Week&gt;=J$1,INDEX(Finals!$G$1:$G$501,J94),INDEX('F Proj'!$D$1:$D$7669,J94))</f>
        <v>5.54</v>
      </c>
      <c r="AB94">
        <f>IF(Week&gt;=K$1,INDEX(Finals!$G$1:$G$501,K94),INDEX('F Proj'!$D$1:$D$7669,K94))</f>
        <v>8.5500000000000007</v>
      </c>
      <c r="AC94">
        <f>IF(Week&gt;=L$1,INDEX(Finals!$G$1:$G$501,L94),INDEX('F Proj'!$D$1:$D$7669,L94))</f>
        <v>6.4</v>
      </c>
      <c r="AD94">
        <f>IF(Week&gt;=M$1,INDEX(Finals!$G$1:$G$501,M94),INDEX('F Proj'!$D$1:$D$7669,M94))</f>
        <v>5.87</v>
      </c>
      <c r="AE94">
        <f>IF(Week&gt;=N$1,INDEX(Finals!$G$1:$G$501,N94),INDEX('F Proj'!$D$1:$D$7669,N94))</f>
        <v>8.5299999999999994</v>
      </c>
      <c r="AF94">
        <f>IF(Week&gt;=O$1,INDEX(Finals!$G$1:$G$501,O94),INDEX('F Proj'!$D$1:$D$7669,O94))</f>
        <v>7.18</v>
      </c>
      <c r="AG94">
        <f>IF(Week&gt;=P$1,INDEX(Finals!$G$1:$G$501,P94),INDEX('F Proj'!$D$1:$D$7669,P94))</f>
        <v>7.99</v>
      </c>
      <c r="AH94">
        <f>IF(Week&gt;=Q$1,INDEX(Finals!$G$1:$G$501,Q94),INDEX('F Proj'!$D$1:$D$7669,Q94))</f>
        <v>6.41</v>
      </c>
      <c r="AI94">
        <f>IF(Week&gt;=R$1,INDEX(Finals!$G$1:$G$501,R94),INDEX('F Proj'!$D$1:$D$7669,R94))</f>
        <v>7.9</v>
      </c>
      <c r="AJ94">
        <f>IF(Week&gt;=S$1,INDEX(Finals!$G$1:$G$501,S94),INDEX('F Proj'!$D$1:$D$7669,S94))</f>
        <v>9.66</v>
      </c>
      <c r="AK94">
        <f>IF(Week&gt;=C$1,INDEX(Finals!$I$1:$I$501,C94),INDEX('F Proj'!$J$1:$J$7669,C94))</f>
        <v>0</v>
      </c>
      <c r="AL94">
        <f>IF(Week&gt;=D$1,INDEX(Finals!$I$1:$I$501,D94),INDEX('F Proj'!$J$1:$J$7669,D94))</f>
        <v>0</v>
      </c>
      <c r="AM94">
        <f>IF(Week&gt;=E$1,INDEX(Finals!$I$1:$I$501,E94),INDEX('F Proj'!$J$1:$J$7669,E94))</f>
        <v>0</v>
      </c>
      <c r="AN94">
        <f>IF(Week&gt;=F$1,INDEX(Finals!$I$1:$I$501,F94),INDEX('F Proj'!$J$1:$J$7669,F94))</f>
        <v>0</v>
      </c>
      <c r="AO94">
        <f>IF(Week&gt;=G$1,INDEX(Finals!$I$1:$I$501,G94),INDEX('F Proj'!$J$1:$J$7669,G94))</f>
        <v>36</v>
      </c>
      <c r="AP94">
        <f>IF(Week&gt;=H$1,INDEX(Finals!$I$1:$I$501,H94),INDEX('F Proj'!$J$1:$J$7669,H94))</f>
        <v>33.4084</v>
      </c>
      <c r="AQ94">
        <f>IF(Week&gt;=I$1,INDEX(Finals!$I$1:$I$501,I94),INDEX('F Proj'!$J$1:$J$7669,I94))</f>
        <v>39.0625</v>
      </c>
      <c r="AR94">
        <f>IF(Week&gt;=J$1,INDEX(Finals!$I$1:$I$501,J94),INDEX('F Proj'!$J$1:$J$7669,J94))</f>
        <v>23.232399999999998</v>
      </c>
      <c r="AS94">
        <f>IF(Week&gt;=K$1,INDEX(Finals!$I$1:$I$501,K94),INDEX('F Proj'!$J$1:$J$7669,K94))</f>
        <v>60.84</v>
      </c>
      <c r="AT94">
        <f>IF(Week&gt;=L$1,INDEX(Finals!$I$1:$I$501,L94),INDEX('F Proj'!$J$1:$J$7669,L94))</f>
        <v>19.7136</v>
      </c>
      <c r="AU94">
        <f>IF(Week&gt;=M$1,INDEX(Finals!$I$1:$I$501,M94),INDEX('F Proj'!$J$1:$J$7669,M94))</f>
        <v>18.147600000000001</v>
      </c>
      <c r="AV94">
        <f>IF(Week&gt;=N$1,INDEX(Finals!$I$1:$I$501,N94),INDEX('F Proj'!$J$1:$J$7669,N94))</f>
        <v>23.04</v>
      </c>
      <c r="AW94">
        <f>IF(Week&gt;=O$1,INDEX(Finals!$I$1:$I$501,O94),INDEX('F Proj'!$J$1:$J$7669,O94))</f>
        <v>31.024899999999999</v>
      </c>
      <c r="AX94">
        <f>IF(Week&gt;=P$1,INDEX(Finals!$I$1:$I$501,P94),INDEX('F Proj'!$J$1:$J$7669,P94))</f>
        <v>31.248100000000001</v>
      </c>
      <c r="AY94">
        <f>IF(Week&gt;=Q$1,INDEX(Finals!$I$1:$I$501,Q94),INDEX('F Proj'!$J$1:$J$7669,Q94))</f>
        <v>33.292900000000003</v>
      </c>
      <c r="AZ94">
        <f>IF(Week&gt;=R$1,INDEX(Finals!$I$1:$I$501,R94),INDEX('F Proj'!$J$1:$J$7669,R94))</f>
        <v>32.49</v>
      </c>
      <c r="BA94">
        <f>IF(Week&gt;=S$1,INDEX(Finals!$I$1:$I$501,S94),INDEX('F Proj'!$J$1:$J$7669,S94))</f>
        <v>64</v>
      </c>
    </row>
    <row r="95" spans="1:53" x14ac:dyDescent="0.25">
      <c r="A95" t="s">
        <v>23</v>
      </c>
      <c r="B95" t="s">
        <v>475</v>
      </c>
      <c r="C95">
        <f>IF(Week&gt;=C$1,MATCH($A95&amp;"-"&amp;C$1&amp;$B95,Finals!$J$1:$J$501,0),IFERROR(MATCH($A95&amp;C$1&amp;$B95,'F Proj'!$N$1:$N$7669,0),MATCH("NA"&amp;C$1&amp;$B95,'F Proj'!$N$1:$N$7669,0)))</f>
        <v>397</v>
      </c>
      <c r="D95">
        <f>IF(Week&gt;=D$1,MATCH($A95&amp;"-"&amp;D$1&amp;$B95,Finals!$J$1:$J$501,0),IFERROR(MATCH($A95&amp;D$1&amp;$B95,'F Proj'!$N$1:$N$7669,0),MATCH("NA"&amp;D$1&amp;$B95,'F Proj'!$N$1:$N$7669,0)))</f>
        <v>398</v>
      </c>
      <c r="E95">
        <f>IF(Week&gt;=E$1,MATCH($A95&amp;"-"&amp;E$1&amp;$B95,Finals!$J$1:$J$501,0),IFERROR(MATCH($A95&amp;E$1&amp;$B95,'F Proj'!$N$1:$N$7669,0),MATCH("NA"&amp;E$1&amp;$B95,'F Proj'!$N$1:$N$7669,0)))</f>
        <v>399</v>
      </c>
      <c r="F95">
        <f>IF(Week&gt;=F$1,MATCH($A95&amp;"-"&amp;F$1&amp;$B95,Finals!$J$1:$J$501,0),IFERROR(MATCH($A95&amp;F$1&amp;$B95,'F Proj'!$N$1:$N$7669,0),MATCH("NA"&amp;F$1&amp;$B95,'F Proj'!$N$1:$N$7669,0)))</f>
        <v>400</v>
      </c>
      <c r="G95">
        <f>IF(Week&gt;=G$1,MATCH($A95&amp;"-"&amp;G$1&amp;$B95,Finals!$J$1:$J$501,0),IFERROR(MATCH($A95&amp;G$1&amp;$B95,'F Proj'!$N$1:$N$7669,0),MATCH("NA"&amp;G$1&amp;$B95,'F Proj'!$N$1:$N$7669,0)))</f>
        <v>401</v>
      </c>
      <c r="H95">
        <f>IF(Week&gt;=H$1,MATCH($A95&amp;"-"&amp;H$1&amp;$B95,Finals!$J$1:$J$501,0),IFERROR(MATCH($A95&amp;H$1&amp;$B95,'F Proj'!$N$1:$N$7669,0),MATCH("NA"&amp;H$1&amp;$B95,'F Proj'!$N$1:$N$7669,0)))</f>
        <v>1370</v>
      </c>
      <c r="I95">
        <f>IF(Week&gt;=I$1,MATCH($A95&amp;"-"&amp;I$1&amp;$B95,Finals!$J$1:$J$501,0),IFERROR(MATCH($A95&amp;I$1&amp;$B95,'F Proj'!$N$1:$N$7669,0),MATCH("NA"&amp;I$1&amp;$B95,'F Proj'!$N$1:$N$7669,0)))</f>
        <v>1170</v>
      </c>
      <c r="J95">
        <f>IF(Week&gt;=J$1,MATCH($A95&amp;"-"&amp;J$1&amp;$B95,Finals!$J$1:$J$501,0),IFERROR(MATCH($A95&amp;J$1&amp;$B95,'F Proj'!$N$1:$N$7669,0),MATCH("NA"&amp;J$1&amp;$B95,'F Proj'!$N$1:$N$7669,0)))</f>
        <v>1685</v>
      </c>
      <c r="K95">
        <f>IF(Week&gt;=K$1,MATCH($A95&amp;"-"&amp;K$1&amp;$B95,Finals!$J$1:$J$501,0),IFERROR(MATCH($A95&amp;K$1&amp;$B95,'F Proj'!$N$1:$N$7669,0),MATCH("NA"&amp;K$1&amp;$B95,'F Proj'!$N$1:$N$7669,0)))</f>
        <v>2083</v>
      </c>
      <c r="L95">
        <f>IF(Week&gt;=L$1,MATCH($A95&amp;"-"&amp;L$1&amp;$B95,Finals!$J$1:$J$501,0),IFERROR(MATCH($A95&amp;L$1&amp;$B95,'F Proj'!$N$1:$N$7669,0),MATCH("NA"&amp;L$1&amp;$B95,'F Proj'!$N$1:$N$7669,0)))</f>
        <v>1189</v>
      </c>
      <c r="M95">
        <f>IF(Week&gt;=M$1,MATCH($A95&amp;"-"&amp;M$1&amp;$B95,Finals!$J$1:$J$501,0),IFERROR(MATCH($A95&amp;M$1&amp;$B95,'F Proj'!$N$1:$N$7669,0),MATCH("NA"&amp;M$1&amp;$B95,'F Proj'!$N$1:$N$7669,0)))</f>
        <v>1302</v>
      </c>
      <c r="N95">
        <f>IF(Week&gt;=N$1,MATCH($A95&amp;"-"&amp;N$1&amp;$B95,Finals!$J$1:$J$501,0),IFERROR(MATCH($A95&amp;N$1&amp;$B95,'F Proj'!$N$1:$N$7669,0),MATCH("NA"&amp;N$1&amp;$B95,'F Proj'!$N$1:$N$7669,0)))</f>
        <v>1305</v>
      </c>
      <c r="O95">
        <f>IF(Week&gt;=O$1,MATCH($A95&amp;"-"&amp;O$1&amp;$B95,Finals!$J$1:$J$501,0),IFERROR(MATCH($A95&amp;O$1&amp;$B95,'F Proj'!$N$1:$N$7669,0),MATCH("NA"&amp;O$1&amp;$B95,'F Proj'!$N$1:$N$7669,0)))</f>
        <v>1496</v>
      </c>
      <c r="P95">
        <f>IF(Week&gt;=P$1,MATCH($A95&amp;"-"&amp;P$1&amp;$B95,Finals!$J$1:$J$501,0),IFERROR(MATCH($A95&amp;P$1&amp;$B95,'F Proj'!$N$1:$N$7669,0),MATCH("NA"&amp;P$1&amp;$B95,'F Proj'!$N$1:$N$7669,0)))</f>
        <v>1241</v>
      </c>
      <c r="Q95">
        <f>IF(Week&gt;=Q$1,MATCH($A95&amp;"-"&amp;Q$1&amp;$B95,Finals!$J$1:$J$501,0),IFERROR(MATCH($A95&amp;Q$1&amp;$B95,'F Proj'!$N$1:$N$7669,0),MATCH("NA"&amp;Q$1&amp;$B95,'F Proj'!$N$1:$N$7669,0)))</f>
        <v>1477</v>
      </c>
      <c r="R95">
        <f>IF(Week&gt;=R$1,MATCH($A95&amp;"-"&amp;R$1&amp;$B95,Finals!$J$1:$J$501,0),IFERROR(MATCH($A95&amp;R$1&amp;$B95,'F Proj'!$N$1:$N$7669,0),MATCH("NA"&amp;R$1&amp;$B95,'F Proj'!$N$1:$N$7669,0)))</f>
        <v>903</v>
      </c>
      <c r="S95">
        <f>IF(Week&gt;=S$1,MATCH($A95&amp;"-"&amp;S$1&amp;$B95,Finals!$J$1:$J$501,0),IFERROR(MATCH($A95&amp;S$1&amp;$B95,'F Proj'!$N$1:$N$7669,0),MATCH("NA"&amp;S$1&amp;$B95,'F Proj'!$N$1:$N$7669,0)))</f>
        <v>1558</v>
      </c>
      <c r="T95">
        <f>IF(Week&gt;=C$1,INDEX(Finals!$G$1:$G$501,C95),INDEX('F Proj'!$D$1:$D$7669,C95))</f>
        <v>4.8</v>
      </c>
      <c r="U95">
        <f>IF(Week&gt;=D$1,INDEX(Finals!$G$1:$G$501,D95),INDEX('F Proj'!$D$1:$D$7669,D95))</f>
        <v>9.4</v>
      </c>
      <c r="V95">
        <f>IF(Week&gt;=E$1,INDEX(Finals!$G$1:$G$501,E95),INDEX('F Proj'!$D$1:$D$7669,E95))</f>
        <v>7.3</v>
      </c>
      <c r="W95">
        <f>IF(Week&gt;=F$1,INDEX(Finals!$G$1:$G$501,F95),INDEX('F Proj'!$D$1:$D$7669,F95))</f>
        <v>11.2</v>
      </c>
      <c r="X95">
        <f>IF(Week&gt;=G$1,INDEX(Finals!$G$1:$G$501,G95),INDEX('F Proj'!$D$1:$D$7669,G95))</f>
        <v>9.61</v>
      </c>
      <c r="Y95">
        <f>IF(Week&gt;=H$1,INDEX(Finals!$G$1:$G$501,H95),INDEX('F Proj'!$D$1:$D$7669,H95))</f>
        <v>8.58</v>
      </c>
      <c r="Z95">
        <f>IF(Week&gt;=I$1,INDEX(Finals!$G$1:$G$501,I95),INDEX('F Proj'!$D$1:$D$7669,I95))</f>
        <v>9.57</v>
      </c>
      <c r="AA95">
        <f>IF(Week&gt;=J$1,INDEX(Finals!$G$1:$G$501,J95),INDEX('F Proj'!$D$1:$D$7669,J95))</f>
        <v>7.47</v>
      </c>
      <c r="AB95">
        <f>IF(Week&gt;=K$1,INDEX(Finals!$G$1:$G$501,K95),INDEX('F Proj'!$D$1:$D$7669,K95))</f>
        <v>6.27</v>
      </c>
      <c r="AC95">
        <f>IF(Week&gt;=L$1,INDEX(Finals!$G$1:$G$501,L95),INDEX('F Proj'!$D$1:$D$7669,L95))</f>
        <v>9.4700000000000006</v>
      </c>
      <c r="AD95">
        <f>IF(Week&gt;=M$1,INDEX(Finals!$G$1:$G$501,M95),INDEX('F Proj'!$D$1:$D$7669,M95))</f>
        <v>8.86</v>
      </c>
      <c r="AE95">
        <f>IF(Week&gt;=N$1,INDEX(Finals!$G$1:$G$501,N95),INDEX('F Proj'!$D$1:$D$7669,N95))</f>
        <v>8.85</v>
      </c>
      <c r="AF95">
        <f>IF(Week&gt;=O$1,INDEX(Finals!$G$1:$G$501,O95),INDEX('F Proj'!$D$1:$D$7669,O95))</f>
        <v>8.1300000000000008</v>
      </c>
      <c r="AG95">
        <f>IF(Week&gt;=P$1,INDEX(Finals!$G$1:$G$501,P95),INDEX('F Proj'!$D$1:$D$7669,P95))</f>
        <v>9.17</v>
      </c>
      <c r="AH95">
        <f>IF(Week&gt;=Q$1,INDEX(Finals!$G$1:$G$501,Q95),INDEX('F Proj'!$D$1:$D$7669,Q95))</f>
        <v>8.18</v>
      </c>
      <c r="AI95">
        <f>IF(Week&gt;=R$1,INDEX(Finals!$G$1:$G$501,R95),INDEX('F Proj'!$D$1:$D$7669,R95))</f>
        <v>11.21</v>
      </c>
      <c r="AJ95">
        <f>IF(Week&gt;=S$1,INDEX(Finals!$G$1:$G$501,S95),INDEX('F Proj'!$D$1:$D$7669,S95))</f>
        <v>7.94</v>
      </c>
      <c r="AK95">
        <f>IF(Week&gt;=C$1,INDEX(Finals!$I$1:$I$501,C95),INDEX('F Proj'!$J$1:$J$7669,C95))</f>
        <v>0</v>
      </c>
      <c r="AL95">
        <f>IF(Week&gt;=D$1,INDEX(Finals!$I$1:$I$501,D95),INDEX('F Proj'!$J$1:$J$7669,D95))</f>
        <v>0</v>
      </c>
      <c r="AM95">
        <f>IF(Week&gt;=E$1,INDEX(Finals!$I$1:$I$501,E95),INDEX('F Proj'!$J$1:$J$7669,E95))</f>
        <v>0</v>
      </c>
      <c r="AN95">
        <f>IF(Week&gt;=F$1,INDEX(Finals!$I$1:$I$501,F95),INDEX('F Proj'!$J$1:$J$7669,F95))</f>
        <v>0</v>
      </c>
      <c r="AO95">
        <f>IF(Week&gt;=G$1,INDEX(Finals!$I$1:$I$501,G95),INDEX('F Proj'!$J$1:$J$7669,G95))</f>
        <v>27.2484</v>
      </c>
      <c r="AP95">
        <f>IF(Week&gt;=H$1,INDEX(Finals!$I$1:$I$501,H95),INDEX('F Proj'!$J$1:$J$7669,H95))</f>
        <v>27.7729</v>
      </c>
      <c r="AQ95">
        <f>IF(Week&gt;=I$1,INDEX(Finals!$I$1:$I$501,I95),INDEX('F Proj'!$J$1:$J$7669,I95))</f>
        <v>25.6036</v>
      </c>
      <c r="AR95">
        <f>IF(Week&gt;=J$1,INDEX(Finals!$I$1:$I$501,J95),INDEX('F Proj'!$J$1:$J$7669,J95))</f>
        <v>19.802499999999998</v>
      </c>
      <c r="AS95">
        <f>IF(Week&gt;=K$1,INDEX(Finals!$I$1:$I$501,K95),INDEX('F Proj'!$J$1:$J$7669,K95))</f>
        <v>21.3444</v>
      </c>
      <c r="AT95">
        <f>IF(Week&gt;=L$1,INDEX(Finals!$I$1:$I$501,L95),INDEX('F Proj'!$J$1:$J$7669,L95))</f>
        <v>27.984100000000002</v>
      </c>
      <c r="AU95">
        <f>IF(Week&gt;=M$1,INDEX(Finals!$I$1:$I$501,M95),INDEX('F Proj'!$J$1:$J$7669,M95))</f>
        <v>27.6676</v>
      </c>
      <c r="AV95">
        <f>IF(Week&gt;=N$1,INDEX(Finals!$I$1:$I$501,N95),INDEX('F Proj'!$J$1:$J$7669,N95))</f>
        <v>27.7729</v>
      </c>
      <c r="AW95">
        <f>IF(Week&gt;=O$1,INDEX(Finals!$I$1:$I$501,O95),INDEX('F Proj'!$J$1:$J$7669,O95))</f>
        <v>23.814399999999999</v>
      </c>
      <c r="AX95">
        <f>IF(Week&gt;=P$1,INDEX(Finals!$I$1:$I$501,P95),INDEX('F Proj'!$J$1:$J$7669,P95))</f>
        <v>27.984100000000002</v>
      </c>
      <c r="AY95">
        <f>IF(Week&gt;=Q$1,INDEX(Finals!$I$1:$I$501,Q95),INDEX('F Proj'!$J$1:$J$7669,Q95))</f>
        <v>31.696899999999999</v>
      </c>
      <c r="AZ95">
        <f>IF(Week&gt;=R$1,INDEX(Finals!$I$1:$I$501,R95),INDEX('F Proj'!$J$1:$J$7669,R95))</f>
        <v>24.502500000000001</v>
      </c>
      <c r="BA95">
        <f>IF(Week&gt;=S$1,INDEX(Finals!$I$1:$I$501,S95),INDEX('F Proj'!$J$1:$J$7669,S95))</f>
        <v>23.814399999999999</v>
      </c>
    </row>
    <row r="96" spans="1:53" x14ac:dyDescent="0.25">
      <c r="A96" t="s">
        <v>23</v>
      </c>
      <c r="B96" t="s">
        <v>477</v>
      </c>
      <c r="C96">
        <f>IF(Week&gt;=C$1,MATCH($A96&amp;"-"&amp;C$1&amp;$B96,Finals!$J$1:$J$501,0),IFERROR(MATCH($A96&amp;C$1,'D Proj'!$V$1:$V$514,0),MATCH("NA"&amp;C$1,'D Proj'!$V$1:$V$514,0)))</f>
        <v>489</v>
      </c>
      <c r="D96">
        <f>IF(Week&gt;=D$1,MATCH($A96&amp;"-"&amp;D$1&amp;$B96,Finals!$J$1:$J$501,0),IFERROR(MATCH($A96&amp;D$1,'D Proj'!$V$1:$V$514,0),MATCH("NA"&amp;D$1,'D Proj'!$V$1:$V$514,0)))</f>
        <v>475</v>
      </c>
      <c r="E96">
        <f>IF(Week&gt;=E$1,MATCH($A96&amp;"-"&amp;E$1&amp;$B96,Finals!$J$1:$J$501,0),IFERROR(MATCH($A96&amp;E$1,'D Proj'!$V$1:$V$514,0),MATCH("NA"&amp;E$1,'D Proj'!$V$1:$V$514,0)))</f>
        <v>491</v>
      </c>
      <c r="F96">
        <f>IF(Week&gt;=F$1,MATCH($A96&amp;"-"&amp;F$1&amp;$B96,Finals!$J$1:$J$501,0),IFERROR(MATCH($A96&amp;F$1,'D Proj'!$V$1:$V$514,0),MATCH("NA"&amp;F$1,'D Proj'!$V$1:$V$514,0)))</f>
        <v>492</v>
      </c>
      <c r="G96">
        <f>IF(Week&gt;=G$1,MATCH($A96&amp;"-"&amp;G$1&amp;$B96,Finals!$J$1:$J$501,0),IFERROR(MATCH($A96&amp;G$1,'D Proj'!$V$1:$V$514,0),MATCH("NA"&amp;G$1,'D Proj'!$V$1:$V$514,0)))</f>
        <v>493</v>
      </c>
      <c r="H96">
        <f>IF(Week&gt;=H$1,MATCH($A96&amp;"-"&amp;H$1&amp;$B96,Finals!$J$1:$J$501,0),IFERROR(MATCH($A96&amp;H$1,'D Proj'!$V$1:$V$514,0),MATCH("NA"&amp;H$1,'D Proj'!$V$1:$V$514,0)))</f>
        <v>147</v>
      </c>
      <c r="I96">
        <f>IF(Week&gt;=I$1,MATCH($A96&amp;"-"&amp;I$1&amp;$B96,Finals!$J$1:$J$501,0),IFERROR(MATCH($A96&amp;I$1,'D Proj'!$V$1:$V$514,0),MATCH("NA"&amp;I$1,'D Proj'!$V$1:$V$514,0)))</f>
        <v>451</v>
      </c>
      <c r="J96">
        <f>IF(Week&gt;=J$1,MATCH($A96&amp;"-"&amp;J$1&amp;$B96,Finals!$J$1:$J$501,0),IFERROR(MATCH($A96&amp;J$1,'D Proj'!$V$1:$V$514,0),MATCH("NA"&amp;J$1,'D Proj'!$V$1:$V$514,0)))</f>
        <v>273</v>
      </c>
      <c r="K96">
        <f>IF(Week&gt;=K$1,MATCH($A96&amp;"-"&amp;K$1&amp;$B96,Finals!$J$1:$J$501,0),IFERROR(MATCH($A96&amp;K$1,'D Proj'!$V$1:$V$514,0),MATCH("NA"&amp;K$1,'D Proj'!$V$1:$V$514,0)))</f>
        <v>169</v>
      </c>
      <c r="L96">
        <f>IF(Week&gt;=L$1,MATCH($A96&amp;"-"&amp;L$1&amp;$B96,Finals!$J$1:$J$501,0),IFERROR(MATCH($A96&amp;L$1,'D Proj'!$V$1:$V$514,0),MATCH("NA"&amp;L$1,'D Proj'!$V$1:$V$514,0)))</f>
        <v>17</v>
      </c>
      <c r="M96">
        <f>IF(Week&gt;=M$1,MATCH($A96&amp;"-"&amp;M$1&amp;$B96,Finals!$J$1:$J$501,0),IFERROR(MATCH($A96&amp;M$1,'D Proj'!$V$1:$V$514,0),MATCH("NA"&amp;M$1,'D Proj'!$V$1:$V$514,0)))</f>
        <v>355</v>
      </c>
      <c r="N96">
        <f>IF(Week&gt;=N$1,MATCH($A96&amp;"-"&amp;N$1&amp;$B96,Finals!$J$1:$J$501,0),IFERROR(MATCH($A96&amp;N$1,'D Proj'!$V$1:$V$514,0),MATCH("NA"&amp;N$1,'D Proj'!$V$1:$V$514,0)))</f>
        <v>402</v>
      </c>
      <c r="O96">
        <f>IF(Week&gt;=O$1,MATCH($A96&amp;"-"&amp;O$1&amp;$B96,Finals!$J$1:$J$501,0),IFERROR(MATCH($A96&amp;O$1,'D Proj'!$V$1:$V$514,0),MATCH("NA"&amp;O$1,'D Proj'!$V$1:$V$514,0)))</f>
        <v>124</v>
      </c>
      <c r="P96">
        <f>IF(Week&gt;=P$1,MATCH($A96&amp;"-"&amp;P$1&amp;$B96,Finals!$J$1:$J$501,0),IFERROR(MATCH($A96&amp;P$1,'D Proj'!$V$1:$V$514,0),MATCH("NA"&amp;P$1,'D Proj'!$V$1:$V$514,0)))</f>
        <v>238</v>
      </c>
      <c r="Q96">
        <f>IF(Week&gt;=Q$1,MATCH($A96&amp;"-"&amp;Q$1&amp;$B96,Finals!$J$1:$J$501,0),IFERROR(MATCH($A96&amp;Q$1,'D Proj'!$V$1:$V$514,0),MATCH("NA"&amp;Q$1,'D Proj'!$V$1:$V$514,0)))</f>
        <v>335</v>
      </c>
      <c r="R96">
        <f>IF(Week&gt;=R$1,MATCH($A96&amp;"-"&amp;R$1&amp;$B96,Finals!$J$1:$J$501,0),IFERROR(MATCH($A96&amp;R$1,'D Proj'!$V$1:$V$514,0),MATCH("NA"&amp;R$1,'D Proj'!$V$1:$V$514,0)))</f>
        <v>337</v>
      </c>
      <c r="S96">
        <f>IF(Week&gt;=S$1,MATCH($A96&amp;"-"&amp;S$1&amp;$B96,Finals!$J$1:$J$501,0),IFERROR(MATCH($A96&amp;S$1,'D Proj'!$V$1:$V$514,0),MATCH("NA"&amp;S$1,'D Proj'!$V$1:$V$514,0)))</f>
        <v>452</v>
      </c>
      <c r="T96">
        <f>IF(Week&gt;=C$1,INDEX(Finals!$G$1:$G$501,C96),INDEX('D Proj'!$T$1:$T$513,C96))</f>
        <v>-9</v>
      </c>
      <c r="U96">
        <f>IF(Week&gt;=D$1,INDEX(Finals!$G$1:$G$501,D96),INDEX('D Proj'!$T$1:$T$513,D96))</f>
        <v>0</v>
      </c>
      <c r="V96">
        <f>IF(Week&gt;=E$1,INDEX(Finals!$G$1:$G$501,E96),INDEX('D Proj'!$T$1:$T$513,E96))</f>
        <v>3</v>
      </c>
      <c r="W96">
        <f>IF(Week&gt;=F$1,INDEX(Finals!$G$1:$G$501,F96),INDEX('D Proj'!$T$1:$T$513,F96))</f>
        <v>8</v>
      </c>
      <c r="X96">
        <f>IF(Week&gt;=G$1,INDEX(Finals!$G$1:$G$501,G96),INDEX('D Proj'!$T$1:$T$513,G96))</f>
        <v>6.46</v>
      </c>
      <c r="Y96">
        <f>IF(Week&gt;=H$1,INDEX(Finals!$G$1:$G$501,H96),INDEX('D Proj'!$T$1:$T$513,H96))</f>
        <v>7.16</v>
      </c>
      <c r="Z96">
        <f>IF(Week&gt;=I$1,INDEX(Finals!$G$1:$G$501,I96),INDEX('D Proj'!$T$1:$T$513,I96))</f>
        <v>3.4</v>
      </c>
      <c r="AA96">
        <f>IF(Week&gt;=J$1,INDEX(Finals!$G$1:$G$501,J96),INDEX('D Proj'!$T$1:$T$513,J96))</f>
        <v>5.94</v>
      </c>
      <c r="AB96">
        <f>IF(Week&gt;=K$1,INDEX(Finals!$G$1:$G$501,K96),INDEX('D Proj'!$T$1:$T$513,K96))</f>
        <v>6.98</v>
      </c>
      <c r="AC96">
        <f>IF(Week&gt;=L$1,INDEX(Finals!$G$1:$G$501,L96),INDEX('D Proj'!$T$1:$T$513,L96))</f>
        <v>9.17</v>
      </c>
      <c r="AD96">
        <f>IF(Week&gt;=M$1,INDEX(Finals!$G$1:$G$501,M96),INDEX('D Proj'!$T$1:$T$513,M96))</f>
        <v>5.0199999999999996</v>
      </c>
      <c r="AE96">
        <f>IF(Week&gt;=N$1,INDEX(Finals!$G$1:$G$501,N96),INDEX('D Proj'!$T$1:$T$513,N96))</f>
        <v>4.28</v>
      </c>
      <c r="AF96">
        <f>IF(Week&gt;=O$1,INDEX(Finals!$G$1:$G$501,O96),INDEX('D Proj'!$T$1:$T$513,O96))</f>
        <v>7.33</v>
      </c>
      <c r="AG96">
        <f>IF(Week&gt;=P$1,INDEX(Finals!$G$1:$G$501,P96),INDEX('D Proj'!$T$1:$T$513,P96))</f>
        <v>6.32</v>
      </c>
      <c r="AH96">
        <f>IF(Week&gt;=Q$1,INDEX(Finals!$G$1:$G$501,Q96),INDEX('D Proj'!$T$1:$T$513,Q96))</f>
        <v>5.24</v>
      </c>
      <c r="AI96">
        <f>IF(Week&gt;=R$1,INDEX(Finals!$G$1:$G$501,R96),INDEX('D Proj'!$T$1:$T$513,R96))</f>
        <v>5.22</v>
      </c>
      <c r="AJ96">
        <f>IF(Week&gt;=S$1,INDEX(Finals!$G$1:$G$501,S96),INDEX('D Proj'!$T$1:$T$513,S96))</f>
        <v>3.4</v>
      </c>
      <c r="AK96">
        <f>IF(Week&gt;=C$1,INDEX(Finals!$I$1:$I$501,C96),INDEX('D Proj'!$N$1:$N$513,C96))</f>
        <v>0</v>
      </c>
      <c r="AL96">
        <f>IF(Week&gt;=D$1,INDEX(Finals!$I$1:$I$501,D96),INDEX('D Proj'!$N$1:$N$513,D96))</f>
        <v>0</v>
      </c>
      <c r="AM96">
        <f>IF(Week&gt;=E$1,INDEX(Finals!$I$1:$I$501,E96),INDEX('D Proj'!$N$1:$N$513,E96))</f>
        <v>0</v>
      </c>
      <c r="AN96">
        <f>IF(Week&gt;=F$1,INDEX(Finals!$I$1:$I$501,F96),INDEX('D Proj'!$N$1:$N$513,F96))</f>
        <v>0</v>
      </c>
      <c r="AO96">
        <f>IF(Week&gt;=G$1,INDEX(Finals!$I$1:$I$501,G96),INDEX('D Proj'!$N$1:$N$513,G96))</f>
        <v>85.5625</v>
      </c>
      <c r="AP96">
        <f>IF(Week&gt;=H$1,INDEX(Finals!$I$1:$I$501,H96),INDEX('D Proj'!$N$1:$N$513,H96))</f>
        <v>36.4816</v>
      </c>
      <c r="AQ96">
        <f>IF(Week&gt;=I$1,INDEX(Finals!$I$1:$I$501,I96),INDEX('D Proj'!$N$1:$N$513,I96))</f>
        <v>22.372900000000001</v>
      </c>
      <c r="AR96">
        <f>IF(Week&gt;=J$1,INDEX(Finals!$I$1:$I$501,J96),INDEX('D Proj'!$N$1:$N$513,J96))</f>
        <v>21.16</v>
      </c>
      <c r="AS96">
        <f>IF(Week&gt;=K$1,INDEX(Finals!$I$1:$I$501,K96),INDEX('D Proj'!$N$1:$N$513,K96))</f>
        <v>30.802499999999998</v>
      </c>
      <c r="AT96">
        <f>IF(Week&gt;=L$1,INDEX(Finals!$I$1:$I$501,L96),INDEX('D Proj'!$N$1:$N$513,L96))</f>
        <v>28.196100000000001</v>
      </c>
      <c r="AU96">
        <f>IF(Week&gt;=M$1,INDEX(Finals!$I$1:$I$501,M96),INDEX('D Proj'!$N$1:$N$513,M96))</f>
        <v>32.718400000000003</v>
      </c>
      <c r="AV96">
        <f>IF(Week&gt;=N$1,INDEX(Finals!$I$1:$I$501,N96),INDEX('D Proj'!$N$1:$N$513,N96))</f>
        <v>22.09</v>
      </c>
      <c r="AW96">
        <f>IF(Week&gt;=O$1,INDEX(Finals!$I$1:$I$501,O96),INDEX('D Proj'!$N$1:$N$513,O96))</f>
        <v>37.699599999999997</v>
      </c>
      <c r="AX96">
        <f>IF(Week&gt;=P$1,INDEX(Finals!$I$1:$I$501,P96),INDEX('D Proj'!$N$1:$N$513,P96))</f>
        <v>24.206399999999999</v>
      </c>
      <c r="AY96">
        <f>IF(Week&gt;=Q$1,INDEX(Finals!$I$1:$I$501,Q96),INDEX('D Proj'!$N$1:$N$513,Q96))</f>
        <v>27.2484</v>
      </c>
      <c r="AZ96">
        <f>IF(Week&gt;=R$1,INDEX(Finals!$I$1:$I$501,R96),INDEX('D Proj'!$N$1:$N$513,R96))</f>
        <v>34.574399999999997</v>
      </c>
      <c r="BA96">
        <f>IF(Week&gt;=S$1,INDEX(Finals!$I$1:$I$501,S96),INDEX('D Proj'!$N$1:$N$513,S96))</f>
        <v>22.372900000000001</v>
      </c>
    </row>
    <row r="97" spans="1:53" x14ac:dyDescent="0.25">
      <c r="A97" t="s">
        <v>23</v>
      </c>
      <c r="B97" t="s">
        <v>478</v>
      </c>
      <c r="C97">
        <f>IF(Week&gt;=C$1,MATCH($A97&amp;"-"&amp;C$1&amp;$B97,Finals!$J$1:$J$501,0),IFERROR(MATCH($A97&amp;C$1,'K Proj'!$R$1:$R$508,0),MATCH("NA"&amp;C$1,'K Proj'!$R$1:$R$508,0)))</f>
        <v>403</v>
      </c>
      <c r="D97">
        <f>IF(Week&gt;=D$1,MATCH($A97&amp;"-"&amp;D$1&amp;$B97,Finals!$J$1:$J$501,0),IFERROR(MATCH($A97&amp;D$1,'K Proj'!$R$1:$R$508,0),MATCH("NA"&amp;D$1,'K Proj'!$R$1:$R$508,0)))</f>
        <v>404</v>
      </c>
      <c r="E97">
        <f>IF(Week&gt;=E$1,MATCH($A97&amp;"-"&amp;E$1&amp;$B97,Finals!$J$1:$J$501,0),IFERROR(MATCH($A97&amp;E$1,'K Proj'!$R$1:$R$508,0),MATCH("NA"&amp;E$1,'K Proj'!$R$1:$R$508,0)))</f>
        <v>405</v>
      </c>
      <c r="F97">
        <f>IF(Week&gt;=F$1,MATCH($A97&amp;"-"&amp;F$1&amp;$B97,Finals!$J$1:$J$501,0),IFERROR(MATCH($A97&amp;F$1,'K Proj'!$R$1:$R$508,0),MATCH("NA"&amp;F$1,'K Proj'!$R$1:$R$508,0)))</f>
        <v>422</v>
      </c>
      <c r="G97">
        <f>IF(Week&gt;=G$1,MATCH($A97&amp;"-"&amp;G$1&amp;$B97,Finals!$J$1:$J$501,0),IFERROR(MATCH($A97&amp;G$1,'K Proj'!$R$1:$R$508,0),MATCH("NA"&amp;G$1,'K Proj'!$R$1:$R$508,0)))</f>
        <v>423</v>
      </c>
      <c r="H97">
        <f>IF(Week&gt;=H$1,MATCH($A97&amp;"-"&amp;H$1&amp;$B97,Finals!$J$1:$J$501,0),IFERROR(MATCH($A97&amp;H$1,'K Proj'!$R$1:$R$508,0),MATCH("NA"&amp;H$1,'K Proj'!$R$1:$R$508,0)))</f>
        <v>246</v>
      </c>
      <c r="I97">
        <f>IF(Week&gt;=I$1,MATCH($A97&amp;"-"&amp;I$1&amp;$B97,Finals!$J$1:$J$501,0),IFERROR(MATCH($A97&amp;I$1,'K Proj'!$R$1:$R$508,0),MATCH("NA"&amp;I$1,'K Proj'!$R$1:$R$508,0)))</f>
        <v>66</v>
      </c>
      <c r="J97">
        <f>IF(Week&gt;=J$1,MATCH($A97&amp;"-"&amp;J$1&amp;$B97,Finals!$J$1:$J$501,0),IFERROR(MATCH($A97&amp;J$1,'K Proj'!$R$1:$R$508,0),MATCH("NA"&amp;J$1,'K Proj'!$R$1:$R$508,0)))</f>
        <v>453</v>
      </c>
      <c r="K97">
        <f>IF(Week&gt;=K$1,MATCH($A97&amp;"-"&amp;K$1&amp;$B97,Finals!$J$1:$J$501,0),IFERROR(MATCH($A97&amp;K$1,'K Proj'!$R$1:$R$508,0),MATCH("NA"&amp;K$1,'K Proj'!$R$1:$R$508,0)))</f>
        <v>387</v>
      </c>
      <c r="L97">
        <f>IF(Week&gt;=L$1,MATCH($A97&amp;"-"&amp;L$1&amp;$B97,Finals!$J$1:$J$501,0),IFERROR(MATCH($A97&amp;L$1,'K Proj'!$R$1:$R$508,0),MATCH("NA"&amp;L$1,'K Proj'!$R$1:$R$508,0)))</f>
        <v>250</v>
      </c>
      <c r="M97">
        <f>IF(Week&gt;=M$1,MATCH($A97&amp;"-"&amp;M$1&amp;$B97,Finals!$J$1:$J$501,0),IFERROR(MATCH($A97&amp;M$1,'K Proj'!$R$1:$R$508,0),MATCH("NA"&amp;M$1,'K Proj'!$R$1:$R$508,0)))</f>
        <v>439</v>
      </c>
      <c r="N97">
        <f>IF(Week&gt;=N$1,MATCH($A97&amp;"-"&amp;N$1&amp;$B97,Finals!$J$1:$J$501,0),IFERROR(MATCH($A97&amp;N$1,'K Proj'!$R$1:$R$508,0),MATCH("NA"&amp;N$1,'K Proj'!$R$1:$R$508,0)))</f>
        <v>243</v>
      </c>
      <c r="O97">
        <f>IF(Week&gt;=O$1,MATCH($A97&amp;"-"&amp;O$1&amp;$B97,Finals!$J$1:$J$501,0),IFERROR(MATCH($A97&amp;O$1,'K Proj'!$R$1:$R$508,0),MATCH("NA"&amp;O$1,'K Proj'!$R$1:$R$508,0)))</f>
        <v>369</v>
      </c>
      <c r="P97">
        <f>IF(Week&gt;=P$1,MATCH($A97&amp;"-"&amp;P$1&amp;$B97,Finals!$J$1:$J$501,0),IFERROR(MATCH($A97&amp;P$1,'K Proj'!$R$1:$R$508,0),MATCH("NA"&amp;P$1,'K Proj'!$R$1:$R$508,0)))</f>
        <v>142</v>
      </c>
      <c r="Q97">
        <f>IF(Week&gt;=Q$1,MATCH($A97&amp;"-"&amp;Q$1&amp;$B97,Finals!$J$1:$J$501,0),IFERROR(MATCH($A97&amp;Q$1,'K Proj'!$R$1:$R$508,0),MATCH("NA"&amp;Q$1,'K Proj'!$R$1:$R$508,0)))</f>
        <v>449</v>
      </c>
      <c r="R97">
        <f>IF(Week&gt;=R$1,MATCH($A97&amp;"-"&amp;R$1&amp;$B97,Finals!$J$1:$J$501,0),IFERROR(MATCH($A97&amp;R$1,'K Proj'!$R$1:$R$508,0),MATCH("NA"&amp;R$1,'K Proj'!$R$1:$R$508,0)))</f>
        <v>391</v>
      </c>
      <c r="S97">
        <f>IF(Week&gt;=S$1,MATCH($A97&amp;"-"&amp;S$1&amp;$B97,Finals!$J$1:$J$501,0),IFERROR(MATCH($A97&amp;S$1,'K Proj'!$R$1:$R$508,0),MATCH("NA"&amp;S$1,'K Proj'!$R$1:$R$508,0)))</f>
        <v>165</v>
      </c>
      <c r="T97">
        <f>IF(Week&gt;=C$1,INDEX(Finals!$G$1:$G$501,C97),INDEX('K Proj'!$L$1:$L$508,C97))</f>
        <v>0</v>
      </c>
      <c r="U97">
        <f>IF(Week&gt;=D$1,INDEX(Finals!$G$1:$G$501,D97),INDEX('K Proj'!$L$1:$L$508,D97))</f>
        <v>-1</v>
      </c>
      <c r="V97">
        <f>IF(Week&gt;=E$1,INDEX(Finals!$G$1:$G$501,E97),INDEX('K Proj'!$L$1:$L$508,E97))</f>
        <v>2</v>
      </c>
      <c r="W97">
        <f>IF(Week&gt;=F$1,INDEX(Finals!$G$1:$G$501,F97),INDEX('K Proj'!$L$1:$L$508,F97))</f>
        <v>13</v>
      </c>
      <c r="X97">
        <f>IF(Week&gt;=G$1,INDEX(Finals!$G$1:$G$501,G97),INDEX('K Proj'!$L$1:$L$508,G97))</f>
        <v>10.47</v>
      </c>
      <c r="Y97">
        <f>IF(Week&gt;=H$1,INDEX(Finals!$G$1:$G$501,H97),INDEX('K Proj'!$L$1:$L$508,H97))</f>
        <v>7.09</v>
      </c>
      <c r="Z97">
        <f>IF(Week&gt;=I$1,INDEX(Finals!$G$1:$G$501,I97),INDEX('K Proj'!$L$1:$L$508,I97))</f>
        <v>8.2899999999999991</v>
      </c>
      <c r="AA97">
        <f>IF(Week&gt;=J$1,INDEX(Finals!$G$1:$G$501,J97),INDEX('K Proj'!$L$1:$L$508,J97))</f>
        <v>5.88</v>
      </c>
      <c r="AB97">
        <f>IF(Week&gt;=K$1,INDEX(Finals!$G$1:$G$501,K97),INDEX('K Proj'!$L$1:$L$508,K97))</f>
        <v>6.43</v>
      </c>
      <c r="AC97">
        <f>IF(Week&gt;=L$1,INDEX(Finals!$G$1:$G$501,L97),INDEX('K Proj'!$L$1:$L$508,L97))</f>
        <v>7.07</v>
      </c>
      <c r="AD97">
        <f>IF(Week&gt;=M$1,INDEX(Finals!$G$1:$G$501,M97),INDEX('K Proj'!$L$1:$L$508,M97))</f>
        <v>6.04</v>
      </c>
      <c r="AE97">
        <f>IF(Week&gt;=N$1,INDEX(Finals!$G$1:$G$501,N97),INDEX('K Proj'!$L$1:$L$508,N97))</f>
        <v>7.1</v>
      </c>
      <c r="AF97">
        <f>IF(Week&gt;=O$1,INDEX(Finals!$G$1:$G$501,O97),INDEX('K Proj'!$L$1:$L$508,O97))</f>
        <v>6.55</v>
      </c>
      <c r="AG97">
        <f>IF(Week&gt;=P$1,INDEX(Finals!$G$1:$G$501,P97),INDEX('K Proj'!$L$1:$L$508,P97))</f>
        <v>7.64</v>
      </c>
      <c r="AH97">
        <f>IF(Week&gt;=Q$1,INDEX(Finals!$G$1:$G$501,Q97),INDEX('K Proj'!$L$1:$L$508,Q97))</f>
        <v>5.93</v>
      </c>
      <c r="AI97">
        <f>IF(Week&gt;=R$1,INDEX(Finals!$G$1:$G$501,R97),INDEX('K Proj'!$L$1:$L$508,R97))</f>
        <v>6.4</v>
      </c>
      <c r="AJ97">
        <f>IF(Week&gt;=S$1,INDEX(Finals!$G$1:$G$501,S97),INDEX('K Proj'!$L$1:$L$508,S97))</f>
        <v>7.51</v>
      </c>
      <c r="AK97">
        <f>IF(Week&gt;=C$1,INDEX(Finals!$I$1:$I$501,C97),INDEX('K Proj'!$P$1:$P$508,C97))</f>
        <v>0</v>
      </c>
      <c r="AL97">
        <f>IF(Week&gt;=D$1,INDEX(Finals!$I$1:$I$501,D97),INDEX('K Proj'!$P$1:$P$508,D97))</f>
        <v>0</v>
      </c>
      <c r="AM97">
        <f>IF(Week&gt;=E$1,INDEX(Finals!$I$1:$I$501,E97),INDEX('K Proj'!$P$1:$P$508,E97))</f>
        <v>0</v>
      </c>
      <c r="AN97">
        <f>IF(Week&gt;=F$1,INDEX(Finals!$I$1:$I$501,F97),INDEX('K Proj'!$P$1:$P$508,F97))</f>
        <v>0</v>
      </c>
      <c r="AO97">
        <f>IF(Week&gt;=G$1,INDEX(Finals!$I$1:$I$501,G97),INDEX('K Proj'!$P$1:$P$508,G97))</f>
        <v>26.3169</v>
      </c>
      <c r="AP97">
        <f>IF(Week&gt;=H$1,INDEX(Finals!$I$1:$I$501,H97),INDEX('K Proj'!$P$1:$P$508,H97))</f>
        <v>20.1601</v>
      </c>
      <c r="AQ97">
        <f>IF(Week&gt;=I$1,INDEX(Finals!$I$1:$I$501,I97),INDEX('K Proj'!$P$1:$P$508,I97))</f>
        <v>11.833600000000001</v>
      </c>
      <c r="AR97">
        <f>IF(Week&gt;=J$1,INDEX(Finals!$I$1:$I$501,J97),INDEX('K Proj'!$P$1:$P$508,J97))</f>
        <v>14.212899999999999</v>
      </c>
      <c r="AS97">
        <f>IF(Week&gt;=K$1,INDEX(Finals!$I$1:$I$501,K97),INDEX('K Proj'!$P$1:$P$508,K97))</f>
        <v>18.3184</v>
      </c>
      <c r="AT97">
        <f>IF(Week&gt;=L$1,INDEX(Finals!$I$1:$I$501,L97),INDEX('K Proj'!$P$1:$P$508,L97))</f>
        <v>19.1844</v>
      </c>
      <c r="AU97">
        <f>IF(Week&gt;=M$1,INDEX(Finals!$I$1:$I$501,M97),INDEX('K Proj'!$P$1:$P$508,M97))</f>
        <v>16.974399999999999</v>
      </c>
      <c r="AV97">
        <f>IF(Week&gt;=N$1,INDEX(Finals!$I$1:$I$501,N97),INDEX('K Proj'!$P$1:$P$508,N97))</f>
        <v>15.5236</v>
      </c>
      <c r="AW97">
        <f>IF(Week&gt;=O$1,INDEX(Finals!$I$1:$I$501,O97),INDEX('K Proj'!$P$1:$P$508,O97))</f>
        <v>19.6249</v>
      </c>
      <c r="AX97">
        <f>IF(Week&gt;=P$1,INDEX(Finals!$I$1:$I$501,P97),INDEX('K Proj'!$P$1:$P$508,P97))</f>
        <v>21.16</v>
      </c>
      <c r="AY97">
        <f>IF(Week&gt;=Q$1,INDEX(Finals!$I$1:$I$501,Q97),INDEX('K Proj'!$P$1:$P$508,Q97))</f>
        <v>17.808399999999999</v>
      </c>
      <c r="AZ97">
        <f>IF(Week&gt;=R$1,INDEX(Finals!$I$1:$I$501,R97),INDEX('K Proj'!$P$1:$P$508,R97))</f>
        <v>16.809999999999999</v>
      </c>
      <c r="BA97">
        <f>IF(Week&gt;=S$1,INDEX(Finals!$I$1:$I$501,S97),INDEX('K Proj'!$P$1:$P$508,S97))</f>
        <v>17.808399999999999</v>
      </c>
    </row>
    <row r="98" spans="1:53" x14ac:dyDescent="0.25">
      <c r="A98" t="s">
        <v>49</v>
      </c>
      <c r="B98" t="s">
        <v>467</v>
      </c>
      <c r="C98">
        <f>IF(Week&gt;=C$1,MATCH($A98&amp;"-"&amp;C$1&amp;$B98,Finals!$J$1:$J$501,0),IFERROR(MATCH($A98&amp;C$1&amp;$B98,'F Proj'!$N$1:$N$7669,0),MATCH("NA"&amp;C$1&amp;$B98,'F Proj'!$N$1:$N$7669,0)))</f>
        <v>25</v>
      </c>
      <c r="D98">
        <f>IF(Week&gt;=D$1,MATCH($A98&amp;"-"&amp;D$1&amp;$B98,Finals!$J$1:$J$501,0),IFERROR(MATCH($A98&amp;D$1&amp;$B98,'F Proj'!$N$1:$N$7669,0),MATCH("NA"&amp;D$1&amp;$B98,'F Proj'!$N$1:$N$7669,0)))</f>
        <v>26</v>
      </c>
      <c r="E98">
        <f>IF(Week&gt;=E$1,MATCH($A98&amp;"-"&amp;E$1&amp;$B98,Finals!$J$1:$J$501,0),IFERROR(MATCH($A98&amp;E$1&amp;$B98,'F Proj'!$N$1:$N$7669,0),MATCH("NA"&amp;E$1&amp;$B98,'F Proj'!$N$1:$N$7669,0)))</f>
        <v>303</v>
      </c>
      <c r="F98">
        <f>IF(Week&gt;=F$1,MATCH($A98&amp;"-"&amp;F$1&amp;$B98,Finals!$J$1:$J$501,0),IFERROR(MATCH($A98&amp;F$1&amp;$B98,'F Proj'!$N$1:$N$7669,0),MATCH("NA"&amp;F$1&amp;$B98,'F Proj'!$N$1:$N$7669,0)))</f>
        <v>304</v>
      </c>
      <c r="G98">
        <f>IF(Week&gt;=G$1,MATCH($A98&amp;"-"&amp;G$1&amp;$B98,Finals!$J$1:$J$501,0),IFERROR(MATCH($A98&amp;G$1&amp;$B98,'F Proj'!$N$1:$N$7669,0),MATCH("NA"&amp;G$1&amp;$B98,'F Proj'!$N$1:$N$7669,0)))</f>
        <v>305</v>
      </c>
      <c r="H98">
        <f>IF(Week&gt;=H$1,MATCH($A98&amp;"-"&amp;H$1&amp;$B98,Finals!$J$1:$J$501,0),IFERROR(MATCH($A98&amp;H$1&amp;$B98,'F Proj'!$N$1:$N$7669,0),MATCH("NA"&amp;H$1&amp;$B98,'F Proj'!$N$1:$N$7669,0)))</f>
        <v>38</v>
      </c>
      <c r="I98">
        <f>IF(Week&gt;=I$1,MATCH($A98&amp;"-"&amp;I$1&amp;$B98,Finals!$J$1:$J$501,0),IFERROR(MATCH($A98&amp;I$1&amp;$B98,'F Proj'!$N$1:$N$7669,0),MATCH("NA"&amp;I$1&amp;$B98,'F Proj'!$N$1:$N$7669,0)))</f>
        <v>6</v>
      </c>
      <c r="J98">
        <f>IF(Week&gt;=J$1,MATCH($A98&amp;"-"&amp;J$1&amp;$B98,Finals!$J$1:$J$501,0),IFERROR(MATCH($A98&amp;J$1&amp;$B98,'F Proj'!$N$1:$N$7669,0),MATCH("NA"&amp;J$1&amp;$B98,'F Proj'!$N$1:$N$7669,0)))</f>
        <v>76</v>
      </c>
      <c r="K98">
        <f>IF(Week&gt;=K$1,MATCH($A98&amp;"-"&amp;K$1&amp;$B98,Finals!$J$1:$J$501,0),IFERROR(MATCH($A98&amp;K$1&amp;$B98,'F Proj'!$N$1:$N$7669,0),MATCH("NA"&amp;K$1&amp;$B98,'F Proj'!$N$1:$N$7669,0)))</f>
        <v>58</v>
      </c>
      <c r="L98">
        <f>IF(Week&gt;=L$1,MATCH($A98&amp;"-"&amp;L$1&amp;$B98,Finals!$J$1:$J$501,0),IFERROR(MATCH($A98&amp;L$1&amp;$B98,'F Proj'!$N$1:$N$7669,0),MATCH("NA"&amp;L$1&amp;$B98,'F Proj'!$N$1:$N$7669,0)))</f>
        <v>77</v>
      </c>
      <c r="M98">
        <f>IF(Week&gt;=M$1,MATCH($A98&amp;"-"&amp;M$1&amp;$B98,Finals!$J$1:$J$501,0),IFERROR(MATCH($A98&amp;M$1&amp;$B98,'F Proj'!$N$1:$N$7669,0),MATCH("NA"&amp;M$1&amp;$B98,'F Proj'!$N$1:$N$7669,0)))</f>
        <v>43</v>
      </c>
      <c r="N98">
        <f>IF(Week&gt;=N$1,MATCH($A98&amp;"-"&amp;N$1&amp;$B98,Finals!$J$1:$J$501,0),IFERROR(MATCH($A98&amp;N$1&amp;$B98,'F Proj'!$N$1:$N$7669,0),MATCH("NA"&amp;N$1&amp;$B98,'F Proj'!$N$1:$N$7669,0)))</f>
        <v>179</v>
      </c>
      <c r="O98">
        <f>IF(Week&gt;=O$1,MATCH($A98&amp;"-"&amp;O$1&amp;$B98,Finals!$J$1:$J$501,0),IFERROR(MATCH($A98&amp;O$1&amp;$B98,'F Proj'!$N$1:$N$7669,0),MATCH("NA"&amp;O$1&amp;$B98,'F Proj'!$N$1:$N$7669,0)))</f>
        <v>7</v>
      </c>
      <c r="P98">
        <f>IF(Week&gt;=P$1,MATCH($A98&amp;"-"&amp;P$1&amp;$B98,Finals!$J$1:$J$501,0),IFERROR(MATCH($A98&amp;P$1&amp;$B98,'F Proj'!$N$1:$N$7669,0),MATCH("NA"&amp;P$1&amp;$B98,'F Proj'!$N$1:$N$7669,0)))</f>
        <v>54</v>
      </c>
      <c r="Q98">
        <f>IF(Week&gt;=Q$1,MATCH($A98&amp;"-"&amp;Q$1&amp;$B98,Finals!$J$1:$J$501,0),IFERROR(MATCH($A98&amp;Q$1&amp;$B98,'F Proj'!$N$1:$N$7669,0),MATCH("NA"&amp;Q$1&amp;$B98,'F Proj'!$N$1:$N$7669,0)))</f>
        <v>11</v>
      </c>
      <c r="R98">
        <f>IF(Week&gt;=R$1,MATCH($A98&amp;"-"&amp;R$1&amp;$B98,Finals!$J$1:$J$501,0),IFERROR(MATCH($A98&amp;R$1&amp;$B98,'F Proj'!$N$1:$N$7669,0),MATCH("NA"&amp;R$1&amp;$B98,'F Proj'!$N$1:$N$7669,0)))</f>
        <v>107</v>
      </c>
      <c r="S98">
        <f>IF(Week&gt;=S$1,MATCH($A98&amp;"-"&amp;S$1&amp;$B98,Finals!$J$1:$J$501,0),IFERROR(MATCH($A98&amp;S$1&amp;$B98,'F Proj'!$N$1:$N$7669,0),MATCH("NA"&amp;S$1&amp;$B98,'F Proj'!$N$1:$N$7669,0)))</f>
        <v>2</v>
      </c>
      <c r="T98">
        <f>IF(Week&gt;=C$1,INDEX(Finals!$G$1:$G$501,C98),INDEX('F Proj'!$D$1:$D$7669,C98))</f>
        <v>19.600000000000001</v>
      </c>
      <c r="U98">
        <f>IF(Week&gt;=D$1,INDEX(Finals!$G$1:$G$501,D98),INDEX('F Proj'!$D$1:$D$7669,D98))</f>
        <v>13.1</v>
      </c>
      <c r="V98">
        <f>IF(Week&gt;=E$1,INDEX(Finals!$G$1:$G$501,E98),INDEX('F Proj'!$D$1:$D$7669,E98))</f>
        <v>25.3</v>
      </c>
      <c r="W98">
        <f>IF(Week&gt;=F$1,INDEX(Finals!$G$1:$G$501,F98),INDEX('F Proj'!$D$1:$D$7669,F98))</f>
        <v>22.9</v>
      </c>
      <c r="X98">
        <f>IF(Week&gt;=G$1,INDEX(Finals!$G$1:$G$501,G98),INDEX('F Proj'!$D$1:$D$7669,G98))</f>
        <v>20.13</v>
      </c>
      <c r="Y98">
        <f>IF(Week&gt;=H$1,INDEX(Finals!$G$1:$G$501,H98),INDEX('F Proj'!$D$1:$D$7669,H98))</f>
        <v>22.49</v>
      </c>
      <c r="Z98">
        <f>IF(Week&gt;=I$1,INDEX(Finals!$G$1:$G$501,I98),INDEX('F Proj'!$D$1:$D$7669,I98))</f>
        <v>24.54</v>
      </c>
      <c r="AA98">
        <f>IF(Week&gt;=J$1,INDEX(Finals!$G$1:$G$501,J98),INDEX('F Proj'!$D$1:$D$7669,J98))</f>
        <v>21.25</v>
      </c>
      <c r="AB98">
        <f>IF(Week&gt;=K$1,INDEX(Finals!$G$1:$G$501,K98),INDEX('F Proj'!$D$1:$D$7669,K98))</f>
        <v>21.56</v>
      </c>
      <c r="AC98">
        <f>IF(Week&gt;=L$1,INDEX(Finals!$G$1:$G$501,L98),INDEX('F Proj'!$D$1:$D$7669,L98))</f>
        <v>21.24</v>
      </c>
      <c r="AD98">
        <f>IF(Week&gt;=M$1,INDEX(Finals!$G$1:$G$501,M98),INDEX('F Proj'!$D$1:$D$7669,M98))</f>
        <v>22.17</v>
      </c>
      <c r="AE98">
        <f>IF(Week&gt;=N$1,INDEX(Finals!$G$1:$G$501,N98),INDEX('F Proj'!$D$1:$D$7669,N98))</f>
        <v>19.440000000000001</v>
      </c>
      <c r="AF98">
        <f>IF(Week&gt;=O$1,INDEX(Finals!$G$1:$G$501,O98),INDEX('F Proj'!$D$1:$D$7669,O98))</f>
        <v>24.52</v>
      </c>
      <c r="AG98">
        <f>IF(Week&gt;=P$1,INDEX(Finals!$G$1:$G$501,P98),INDEX('F Proj'!$D$1:$D$7669,P98))</f>
        <v>21.69</v>
      </c>
      <c r="AH98">
        <f>IF(Week&gt;=Q$1,INDEX(Finals!$G$1:$G$501,Q98),INDEX('F Proj'!$D$1:$D$7669,Q98))</f>
        <v>23.93</v>
      </c>
      <c r="AI98">
        <f>IF(Week&gt;=R$1,INDEX(Finals!$G$1:$G$501,R98),INDEX('F Proj'!$D$1:$D$7669,R98))</f>
        <v>20.61</v>
      </c>
      <c r="AJ98">
        <f>IF(Week&gt;=S$1,INDEX(Finals!$G$1:$G$501,S98),INDEX('F Proj'!$D$1:$D$7669,S98))</f>
        <v>26.26</v>
      </c>
      <c r="AK98">
        <f>IF(Week&gt;=C$1,INDEX(Finals!$I$1:$I$501,C98),INDEX('F Proj'!$J$1:$J$7669,C98))</f>
        <v>0</v>
      </c>
      <c r="AL98">
        <f>IF(Week&gt;=D$1,INDEX(Finals!$I$1:$I$501,D98),INDEX('F Proj'!$J$1:$J$7669,D98))</f>
        <v>0</v>
      </c>
      <c r="AM98">
        <f>IF(Week&gt;=E$1,INDEX(Finals!$I$1:$I$501,E98),INDEX('F Proj'!$J$1:$J$7669,E98))</f>
        <v>0</v>
      </c>
      <c r="AN98">
        <f>IF(Week&gt;=F$1,INDEX(Finals!$I$1:$I$501,F98),INDEX('F Proj'!$J$1:$J$7669,F98))</f>
        <v>0</v>
      </c>
      <c r="AO98">
        <f>IF(Week&gt;=G$1,INDEX(Finals!$I$1:$I$501,G98),INDEX('F Proj'!$J$1:$J$7669,G98))</f>
        <v>74.649600000000007</v>
      </c>
      <c r="AP98">
        <f>IF(Week&gt;=H$1,INDEX(Finals!$I$1:$I$501,H98),INDEX('F Proj'!$J$1:$J$7669,H98))</f>
        <v>52.707599999999999</v>
      </c>
      <c r="AQ98">
        <f>IF(Week&gt;=I$1,INDEX(Finals!$I$1:$I$501,I98),INDEX('F Proj'!$J$1:$J$7669,I98))</f>
        <v>60.84</v>
      </c>
      <c r="AR98">
        <f>IF(Week&gt;=J$1,INDEX(Finals!$I$1:$I$501,J98),INDEX('F Proj'!$J$1:$J$7669,J98))</f>
        <v>73.616399999999999</v>
      </c>
      <c r="AS98">
        <f>IF(Week&gt;=K$1,INDEX(Finals!$I$1:$I$501,K98),INDEX('F Proj'!$J$1:$J$7669,K98))</f>
        <v>54.464399999999998</v>
      </c>
      <c r="AT98">
        <f>IF(Week&gt;=L$1,INDEX(Finals!$I$1:$I$501,L98),INDEX('F Proj'!$J$1:$J$7669,L98))</f>
        <v>59.444099999999999</v>
      </c>
      <c r="AU98">
        <f>IF(Week&gt;=M$1,INDEX(Finals!$I$1:$I$501,M98),INDEX('F Proj'!$J$1:$J$7669,M98))</f>
        <v>67.897599999999997</v>
      </c>
      <c r="AV98">
        <f>IF(Week&gt;=N$1,INDEX(Finals!$I$1:$I$501,N98),INDEX('F Proj'!$J$1:$J$7669,N98))</f>
        <v>65.448099999999997</v>
      </c>
      <c r="AW98">
        <f>IF(Week&gt;=O$1,INDEX(Finals!$I$1:$I$501,O98),INDEX('F Proj'!$J$1:$J$7669,O98))</f>
        <v>63.361600000000003</v>
      </c>
      <c r="AX98">
        <f>IF(Week&gt;=P$1,INDEX(Finals!$I$1:$I$501,P98),INDEX('F Proj'!$J$1:$J$7669,P98))</f>
        <v>72.25</v>
      </c>
      <c r="AY98">
        <f>IF(Week&gt;=Q$1,INDEX(Finals!$I$1:$I$501,Q98),INDEX('F Proj'!$J$1:$J$7669,Q98))</f>
        <v>78.854399999999998</v>
      </c>
      <c r="AZ98">
        <f>IF(Week&gt;=R$1,INDEX(Finals!$I$1:$I$501,R98),INDEX('F Proj'!$J$1:$J$7669,R98))</f>
        <v>66.748900000000006</v>
      </c>
      <c r="BA98">
        <f>IF(Week&gt;=S$1,INDEX(Finals!$I$1:$I$501,S98),INDEX('F Proj'!$J$1:$J$7669,S98))</f>
        <v>63.361600000000003</v>
      </c>
    </row>
    <row r="99" spans="1:53" x14ac:dyDescent="0.25">
      <c r="A99" t="s">
        <v>49</v>
      </c>
      <c r="B99" t="s">
        <v>468</v>
      </c>
      <c r="C99">
        <f>IF(Week&gt;=C$1,MATCH($A99&amp;"-"&amp;C$1&amp;$B99,Finals!$J$1:$J$501,0),IFERROR(MATCH($A99&amp;C$1&amp;$B99,'F Proj'!$N$1:$N$7669,0),MATCH("NA"&amp;C$1&amp;$B99,'F Proj'!$N$1:$N$7669,0)))</f>
        <v>99</v>
      </c>
      <c r="D99">
        <f>IF(Week&gt;=D$1,MATCH($A99&amp;"-"&amp;D$1&amp;$B99,Finals!$J$1:$J$501,0),IFERROR(MATCH($A99&amp;D$1&amp;$B99,'F Proj'!$N$1:$N$7669,0),MATCH("NA"&amp;D$1&amp;$B99,'F Proj'!$N$1:$N$7669,0)))</f>
        <v>100</v>
      </c>
      <c r="E99">
        <f>IF(Week&gt;=E$1,MATCH($A99&amp;"-"&amp;E$1&amp;$B99,Finals!$J$1:$J$501,0),IFERROR(MATCH($A99&amp;E$1&amp;$B99,'F Proj'!$N$1:$N$7669,0),MATCH("NA"&amp;E$1&amp;$B99,'F Proj'!$N$1:$N$7669,0)))</f>
        <v>101</v>
      </c>
      <c r="F99">
        <f>IF(Week&gt;=F$1,MATCH($A99&amp;"-"&amp;F$1&amp;$B99,Finals!$J$1:$J$501,0),IFERROR(MATCH($A99&amp;F$1&amp;$B99,'F Proj'!$N$1:$N$7669,0),MATCH("NA"&amp;F$1&amp;$B99,'F Proj'!$N$1:$N$7669,0)))</f>
        <v>102</v>
      </c>
      <c r="G99">
        <f>IF(Week&gt;=G$1,MATCH($A99&amp;"-"&amp;G$1&amp;$B99,Finals!$J$1:$J$501,0),IFERROR(MATCH($A99&amp;G$1&amp;$B99,'F Proj'!$N$1:$N$7669,0),MATCH("NA"&amp;G$1&amp;$B99,'F Proj'!$N$1:$N$7669,0)))</f>
        <v>103</v>
      </c>
      <c r="H99">
        <f>IF(Week&gt;=H$1,MATCH($A99&amp;"-"&amp;H$1&amp;$B99,Finals!$J$1:$J$501,0),IFERROR(MATCH($A99&amp;H$1&amp;$B99,'F Proj'!$N$1:$N$7669,0),MATCH("NA"&amp;H$1&amp;$B99,'F Proj'!$N$1:$N$7669,0)))</f>
        <v>492</v>
      </c>
      <c r="I99">
        <f>IF(Week&gt;=I$1,MATCH($A99&amp;"-"&amp;I$1&amp;$B99,Finals!$J$1:$J$501,0),IFERROR(MATCH($A99&amp;I$1&amp;$B99,'F Proj'!$N$1:$N$7669,0),MATCH("NA"&amp;I$1&amp;$B99,'F Proj'!$N$1:$N$7669,0)))</f>
        <v>327</v>
      </c>
      <c r="J99">
        <f>IF(Week&gt;=J$1,MATCH($A99&amp;"-"&amp;J$1&amp;$B99,Finals!$J$1:$J$501,0),IFERROR(MATCH($A99&amp;J$1&amp;$B99,'F Proj'!$N$1:$N$7669,0),MATCH("NA"&amp;J$1&amp;$B99,'F Proj'!$N$1:$N$7669,0)))</f>
        <v>479</v>
      </c>
      <c r="K99">
        <f>IF(Week&gt;=K$1,MATCH($A99&amp;"-"&amp;K$1&amp;$B99,Finals!$J$1:$J$501,0),IFERROR(MATCH($A99&amp;K$1&amp;$B99,'F Proj'!$N$1:$N$7669,0),MATCH("NA"&amp;K$1&amp;$B99,'F Proj'!$N$1:$N$7669,0)))</f>
        <v>504</v>
      </c>
      <c r="L99">
        <f>IF(Week&gt;=L$1,MATCH($A99&amp;"-"&amp;L$1&amp;$B99,Finals!$J$1:$J$501,0),IFERROR(MATCH($A99&amp;L$1&amp;$B99,'F Proj'!$N$1:$N$7669,0),MATCH("NA"&amp;L$1&amp;$B99,'F Proj'!$N$1:$N$7669,0)))</f>
        <v>297</v>
      </c>
      <c r="M99">
        <f>IF(Week&gt;=M$1,MATCH($A99&amp;"-"&amp;M$1&amp;$B99,Finals!$J$1:$J$501,0),IFERROR(MATCH($A99&amp;M$1&amp;$B99,'F Proj'!$N$1:$N$7669,0),MATCH("NA"&amp;M$1&amp;$B99,'F Proj'!$N$1:$N$7669,0)))</f>
        <v>485</v>
      </c>
      <c r="N99">
        <f>IF(Week&gt;=N$1,MATCH($A99&amp;"-"&amp;N$1&amp;$B99,Finals!$J$1:$J$501,0),IFERROR(MATCH($A99&amp;N$1&amp;$B99,'F Proj'!$N$1:$N$7669,0),MATCH("NA"&amp;N$1&amp;$B99,'F Proj'!$N$1:$N$7669,0)))</f>
        <v>376</v>
      </c>
      <c r="O99">
        <f>IF(Week&gt;=O$1,MATCH($A99&amp;"-"&amp;O$1&amp;$B99,Finals!$J$1:$J$501,0),IFERROR(MATCH($A99&amp;O$1&amp;$B99,'F Proj'!$N$1:$N$7669,0),MATCH("NA"&amp;O$1&amp;$B99,'F Proj'!$N$1:$N$7669,0)))</f>
        <v>395</v>
      </c>
      <c r="P99">
        <f>IF(Week&gt;=P$1,MATCH($A99&amp;"-"&amp;P$1&amp;$B99,Finals!$J$1:$J$501,0),IFERROR(MATCH($A99&amp;P$1&amp;$B99,'F Proj'!$N$1:$N$7669,0),MATCH("NA"&amp;P$1&amp;$B99,'F Proj'!$N$1:$N$7669,0)))</f>
        <v>303</v>
      </c>
      <c r="Q99">
        <f>IF(Week&gt;=Q$1,MATCH($A99&amp;"-"&amp;Q$1&amp;$B99,Finals!$J$1:$J$501,0),IFERROR(MATCH($A99&amp;Q$1&amp;$B99,'F Proj'!$N$1:$N$7669,0),MATCH("NA"&amp;Q$1&amp;$B99,'F Proj'!$N$1:$N$7669,0)))</f>
        <v>159</v>
      </c>
      <c r="R99">
        <f>IF(Week&gt;=R$1,MATCH($A99&amp;"-"&amp;R$1&amp;$B99,Finals!$J$1:$J$501,0),IFERROR(MATCH($A99&amp;R$1&amp;$B99,'F Proj'!$N$1:$N$7669,0),MATCH("NA"&amp;R$1&amp;$B99,'F Proj'!$N$1:$N$7669,0)))</f>
        <v>384</v>
      </c>
      <c r="S99">
        <f>IF(Week&gt;=S$1,MATCH($A99&amp;"-"&amp;S$1&amp;$B99,Finals!$J$1:$J$501,0),IFERROR(MATCH($A99&amp;S$1&amp;$B99,'F Proj'!$N$1:$N$7669,0),MATCH("NA"&amp;S$1&amp;$B99,'F Proj'!$N$1:$N$7669,0)))</f>
        <v>576</v>
      </c>
      <c r="T99">
        <f>IF(Week&gt;=C$1,INDEX(Finals!$G$1:$G$501,C99),INDEX('F Proj'!$D$1:$D$7669,C99))</f>
        <v>12.7</v>
      </c>
      <c r="U99">
        <f>IF(Week&gt;=D$1,INDEX(Finals!$G$1:$G$501,D99),INDEX('F Proj'!$D$1:$D$7669,D99))</f>
        <v>5.0999999999999996</v>
      </c>
      <c r="V99">
        <f>IF(Week&gt;=E$1,INDEX(Finals!$G$1:$G$501,E99),INDEX('F Proj'!$D$1:$D$7669,E99))</f>
        <v>12.1</v>
      </c>
      <c r="W99">
        <f>IF(Week&gt;=F$1,INDEX(Finals!$G$1:$G$501,F99),INDEX('F Proj'!$D$1:$D$7669,F99))</f>
        <v>15.2</v>
      </c>
      <c r="X99">
        <f>IF(Week&gt;=G$1,INDEX(Finals!$G$1:$G$501,G99),INDEX('F Proj'!$D$1:$D$7669,G99))</f>
        <v>14.08</v>
      </c>
      <c r="Y99">
        <f>IF(Week&gt;=H$1,INDEX(Finals!$G$1:$G$501,H99),INDEX('F Proj'!$D$1:$D$7669,H99))</f>
        <v>14.94</v>
      </c>
      <c r="Z99">
        <f>IF(Week&gt;=I$1,INDEX(Finals!$G$1:$G$501,I99),INDEX('F Proj'!$D$1:$D$7669,I99))</f>
        <v>17.2</v>
      </c>
      <c r="AA99">
        <f>IF(Week&gt;=J$1,INDEX(Finals!$G$1:$G$501,J99),INDEX('F Proj'!$D$1:$D$7669,J99))</f>
        <v>15.09</v>
      </c>
      <c r="AB99">
        <f>IF(Week&gt;=K$1,INDEX(Finals!$G$1:$G$501,K99),INDEX('F Proj'!$D$1:$D$7669,K99))</f>
        <v>14.77</v>
      </c>
      <c r="AC99">
        <f>IF(Week&gt;=L$1,INDEX(Finals!$G$1:$G$501,L99),INDEX('F Proj'!$D$1:$D$7669,L99))</f>
        <v>17.600000000000001</v>
      </c>
      <c r="AD99">
        <f>IF(Week&gt;=M$1,INDEX(Finals!$G$1:$G$501,M99),INDEX('F Proj'!$D$1:$D$7669,M99))</f>
        <v>15.02</v>
      </c>
      <c r="AE99">
        <f>IF(Week&gt;=N$1,INDEX(Finals!$G$1:$G$501,N99),INDEX('F Proj'!$D$1:$D$7669,N99))</f>
        <v>16.34</v>
      </c>
      <c r="AF99">
        <f>IF(Week&gt;=O$1,INDEX(Finals!$G$1:$G$501,O99),INDEX('F Proj'!$D$1:$D$7669,O99))</f>
        <v>16.02</v>
      </c>
      <c r="AG99">
        <f>IF(Week&gt;=P$1,INDEX(Finals!$G$1:$G$501,P99),INDEX('F Proj'!$D$1:$D$7669,P99))</f>
        <v>17.54</v>
      </c>
      <c r="AH99">
        <f>IF(Week&gt;=Q$1,INDEX(Finals!$G$1:$G$501,Q99),INDEX('F Proj'!$D$1:$D$7669,Q99))</f>
        <v>19.68</v>
      </c>
      <c r="AI99">
        <f>IF(Week&gt;=R$1,INDEX(Finals!$G$1:$G$501,R99),INDEX('F Proj'!$D$1:$D$7669,R99))</f>
        <v>16.2</v>
      </c>
      <c r="AJ99">
        <f>IF(Week&gt;=S$1,INDEX(Finals!$G$1:$G$501,S99),INDEX('F Proj'!$D$1:$D$7669,S99))</f>
        <v>14.06</v>
      </c>
      <c r="AK99">
        <f>IF(Week&gt;=C$1,INDEX(Finals!$I$1:$I$501,C99),INDEX('F Proj'!$J$1:$J$7669,C99))</f>
        <v>0</v>
      </c>
      <c r="AL99">
        <f>IF(Week&gt;=D$1,INDEX(Finals!$I$1:$I$501,D99),INDEX('F Proj'!$J$1:$J$7669,D99))</f>
        <v>0</v>
      </c>
      <c r="AM99">
        <f>IF(Week&gt;=E$1,INDEX(Finals!$I$1:$I$501,E99),INDEX('F Proj'!$J$1:$J$7669,E99))</f>
        <v>0</v>
      </c>
      <c r="AN99">
        <f>IF(Week&gt;=F$1,INDEX(Finals!$I$1:$I$501,F99),INDEX('F Proj'!$J$1:$J$7669,F99))</f>
        <v>0</v>
      </c>
      <c r="AO99">
        <f>IF(Week&gt;=G$1,INDEX(Finals!$I$1:$I$501,G99),INDEX('F Proj'!$J$1:$J$7669,G99))</f>
        <v>66.096900000000005</v>
      </c>
      <c r="AP99">
        <f>IF(Week&gt;=H$1,INDEX(Finals!$I$1:$I$501,H99),INDEX('F Proj'!$J$1:$J$7669,H99))</f>
        <v>68.227599999999995</v>
      </c>
      <c r="AQ99">
        <f>IF(Week&gt;=I$1,INDEX(Finals!$I$1:$I$501,I99),INDEX('F Proj'!$J$1:$J$7669,I99))</f>
        <v>68.89</v>
      </c>
      <c r="AR99">
        <f>IF(Week&gt;=J$1,INDEX(Finals!$I$1:$I$501,J99),INDEX('F Proj'!$J$1:$J$7669,J99))</f>
        <v>127.4641</v>
      </c>
      <c r="AS99">
        <f>IF(Week&gt;=K$1,INDEX(Finals!$I$1:$I$501,K99),INDEX('F Proj'!$J$1:$J$7669,K99))</f>
        <v>64.320400000000006</v>
      </c>
      <c r="AT99">
        <f>IF(Week&gt;=L$1,INDEX(Finals!$I$1:$I$501,L99),INDEX('F Proj'!$J$1:$J$7669,L99))</f>
        <v>82.628100000000003</v>
      </c>
      <c r="AU99">
        <f>IF(Week&gt;=M$1,INDEX(Finals!$I$1:$I$501,M99),INDEX('F Proj'!$J$1:$J$7669,M99))</f>
        <v>51.84</v>
      </c>
      <c r="AV99">
        <f>IF(Week&gt;=N$1,INDEX(Finals!$I$1:$I$501,N99),INDEX('F Proj'!$J$1:$J$7669,N99))</f>
        <v>69.722499999999997</v>
      </c>
      <c r="AW99">
        <f>IF(Week&gt;=O$1,INDEX(Finals!$I$1:$I$501,O99),INDEX('F Proj'!$J$1:$J$7669,O99))</f>
        <v>68.392899999999997</v>
      </c>
      <c r="AX99">
        <f>IF(Week&gt;=P$1,INDEX(Finals!$I$1:$I$501,P99),INDEX('F Proj'!$J$1:$J$7669,P99))</f>
        <v>90.060100000000006</v>
      </c>
      <c r="AY99">
        <f>IF(Week&gt;=Q$1,INDEX(Finals!$I$1:$I$501,Q99),INDEX('F Proj'!$J$1:$J$7669,Q99))</f>
        <v>91.776399999999995</v>
      </c>
      <c r="AZ99">
        <f>IF(Week&gt;=R$1,INDEX(Finals!$I$1:$I$501,R99),INDEX('F Proj'!$J$1:$J$7669,R99))</f>
        <v>55.204900000000002</v>
      </c>
      <c r="BA99">
        <f>IF(Week&gt;=S$1,INDEX(Finals!$I$1:$I$501,S99),INDEX('F Proj'!$J$1:$J$7669,S99))</f>
        <v>51.84</v>
      </c>
    </row>
    <row r="100" spans="1:53" x14ac:dyDescent="0.25">
      <c r="A100" t="s">
        <v>49</v>
      </c>
      <c r="B100" t="s">
        <v>469</v>
      </c>
      <c r="C100">
        <f>IF(Week&gt;=C$1,MATCH($A100&amp;"-"&amp;C$1&amp;$B100,Finals!$J$1:$J$501,0),IFERROR(MATCH($A100&amp;C$1&amp;$B100,'F Proj'!$N$1:$N$7669,0),MATCH("NA"&amp;C$1&amp;$B100,'F Proj'!$N$1:$N$7669,0)))</f>
        <v>281</v>
      </c>
      <c r="D100">
        <f>IF(Week&gt;=D$1,MATCH($A100&amp;"-"&amp;D$1&amp;$B100,Finals!$J$1:$J$501,0),IFERROR(MATCH($A100&amp;D$1&amp;$B100,'F Proj'!$N$1:$N$7669,0),MATCH("NA"&amp;D$1&amp;$B100,'F Proj'!$N$1:$N$7669,0)))</f>
        <v>282</v>
      </c>
      <c r="E100">
        <f>IF(Week&gt;=E$1,MATCH($A100&amp;"-"&amp;E$1&amp;$B100,Finals!$J$1:$J$501,0),IFERROR(MATCH($A100&amp;E$1&amp;$B100,'F Proj'!$N$1:$N$7669,0),MATCH("NA"&amp;E$1&amp;$B100,'F Proj'!$N$1:$N$7669,0)))</f>
        <v>283</v>
      </c>
      <c r="F100">
        <f>IF(Week&gt;=F$1,MATCH($A100&amp;"-"&amp;F$1&amp;$B100,Finals!$J$1:$J$501,0),IFERROR(MATCH($A100&amp;F$1&amp;$B100,'F Proj'!$N$1:$N$7669,0),MATCH("NA"&amp;F$1&amp;$B100,'F Proj'!$N$1:$N$7669,0)))</f>
        <v>284</v>
      </c>
      <c r="G100">
        <f>IF(Week&gt;=G$1,MATCH($A100&amp;"-"&amp;G$1&amp;$B100,Finals!$J$1:$J$501,0),IFERROR(MATCH($A100&amp;G$1&amp;$B100,'F Proj'!$N$1:$N$7669,0),MATCH("NA"&amp;G$1&amp;$B100,'F Proj'!$N$1:$N$7669,0)))</f>
        <v>285</v>
      </c>
      <c r="H100">
        <f>IF(Week&gt;=H$1,MATCH($A100&amp;"-"&amp;H$1&amp;$B100,Finals!$J$1:$J$501,0),IFERROR(MATCH($A100&amp;H$1&amp;$B100,'F Proj'!$N$1:$N$7669,0),MATCH("NA"&amp;H$1&amp;$B100,'F Proj'!$N$1:$N$7669,0)))</f>
        <v>905</v>
      </c>
      <c r="I100">
        <f>IF(Week&gt;=I$1,MATCH($A100&amp;"-"&amp;I$1&amp;$B100,Finals!$J$1:$J$501,0),IFERROR(MATCH($A100&amp;I$1&amp;$B100,'F Proj'!$N$1:$N$7669,0),MATCH("NA"&amp;I$1&amp;$B100,'F Proj'!$N$1:$N$7669,0)))</f>
        <v>754</v>
      </c>
      <c r="J100">
        <f>IF(Week&gt;=J$1,MATCH($A100&amp;"-"&amp;J$1&amp;$B100,Finals!$J$1:$J$501,0),IFERROR(MATCH($A100&amp;J$1&amp;$B100,'F Proj'!$N$1:$N$7669,0),MATCH("NA"&amp;J$1&amp;$B100,'F Proj'!$N$1:$N$7669,0)))</f>
        <v>1368</v>
      </c>
      <c r="K100">
        <f>IF(Week&gt;=K$1,MATCH($A100&amp;"-"&amp;K$1&amp;$B100,Finals!$J$1:$J$501,0),IFERROR(MATCH($A100&amp;K$1&amp;$B100,'F Proj'!$N$1:$N$7669,0),MATCH("NA"&amp;K$1&amp;$B100,'F Proj'!$N$1:$N$7669,0)))</f>
        <v>2579</v>
      </c>
      <c r="L100">
        <f>IF(Week&gt;=L$1,MATCH($A100&amp;"-"&amp;L$1&amp;$B100,Finals!$J$1:$J$501,0),IFERROR(MATCH($A100&amp;L$1&amp;$B100,'F Proj'!$N$1:$N$7669,0),MATCH("NA"&amp;L$1&amp;$B100,'F Proj'!$N$1:$N$7669,0)))</f>
        <v>568</v>
      </c>
      <c r="M100">
        <f>IF(Week&gt;=M$1,MATCH($A100&amp;"-"&amp;M$1&amp;$B100,Finals!$J$1:$J$501,0),IFERROR(MATCH($A100&amp;M$1&amp;$B100,'F Proj'!$N$1:$N$7669,0),MATCH("NA"&amp;M$1&amp;$B100,'F Proj'!$N$1:$N$7669,0)))</f>
        <v>496</v>
      </c>
      <c r="N100">
        <f>IF(Week&gt;=N$1,MATCH($A100&amp;"-"&amp;N$1&amp;$B100,Finals!$J$1:$J$501,0),IFERROR(MATCH($A100&amp;N$1&amp;$B100,'F Proj'!$N$1:$N$7669,0),MATCH("NA"&amp;N$1&amp;$B100,'F Proj'!$N$1:$N$7669,0)))</f>
        <v>794</v>
      </c>
      <c r="O100">
        <f>IF(Week&gt;=O$1,MATCH($A100&amp;"-"&amp;O$1&amp;$B100,Finals!$J$1:$J$501,0),IFERROR(MATCH($A100&amp;O$1&amp;$B100,'F Proj'!$N$1:$N$7669,0),MATCH("NA"&amp;O$1&amp;$B100,'F Proj'!$N$1:$N$7669,0)))</f>
        <v>559</v>
      </c>
      <c r="P100">
        <f>IF(Week&gt;=P$1,MATCH($A100&amp;"-"&amp;P$1&amp;$B100,Finals!$J$1:$J$501,0),IFERROR(MATCH($A100&amp;P$1&amp;$B100,'F Proj'!$N$1:$N$7669,0),MATCH("NA"&amp;P$1&amp;$B100,'F Proj'!$N$1:$N$7669,0)))</f>
        <v>477</v>
      </c>
      <c r="Q100">
        <f>IF(Week&gt;=Q$1,MATCH($A100&amp;"-"&amp;Q$1&amp;$B100,Finals!$J$1:$J$501,0),IFERROR(MATCH($A100&amp;Q$1&amp;$B100,'F Proj'!$N$1:$N$7669,0),MATCH("NA"&amp;Q$1&amp;$B100,'F Proj'!$N$1:$N$7669,0)))</f>
        <v>509</v>
      </c>
      <c r="R100">
        <f>IF(Week&gt;=R$1,MATCH($A100&amp;"-"&amp;R$1&amp;$B100,Finals!$J$1:$J$501,0),IFERROR(MATCH($A100&amp;R$1&amp;$B100,'F Proj'!$N$1:$N$7669,0),MATCH("NA"&amp;R$1&amp;$B100,'F Proj'!$N$1:$N$7669,0)))</f>
        <v>491</v>
      </c>
      <c r="S100">
        <f>IF(Week&gt;=S$1,MATCH($A100&amp;"-"&amp;S$1&amp;$B100,Finals!$J$1:$J$501,0),IFERROR(MATCH($A100&amp;S$1&amp;$B100,'F Proj'!$N$1:$N$7669,0),MATCH("NA"&amp;S$1&amp;$B100,'F Proj'!$N$1:$N$7669,0)))</f>
        <v>819</v>
      </c>
      <c r="T100">
        <f>IF(Week&gt;=C$1,INDEX(Finals!$G$1:$G$501,C100),INDEX('F Proj'!$D$1:$D$7669,C100))</f>
        <v>18.600000000000001</v>
      </c>
      <c r="U100">
        <f>IF(Week&gt;=D$1,INDEX(Finals!$G$1:$G$501,D100),INDEX('F Proj'!$D$1:$D$7669,D100))</f>
        <v>24.6</v>
      </c>
      <c r="V100">
        <f>IF(Week&gt;=E$1,INDEX(Finals!$G$1:$G$501,E100),INDEX('F Proj'!$D$1:$D$7669,E100))</f>
        <v>14.4</v>
      </c>
      <c r="W100">
        <f>IF(Week&gt;=F$1,INDEX(Finals!$G$1:$G$501,F100),INDEX('F Proj'!$D$1:$D$7669,F100))</f>
        <v>23.9</v>
      </c>
      <c r="X100">
        <f>IF(Week&gt;=G$1,INDEX(Finals!$G$1:$G$501,G100),INDEX('F Proj'!$D$1:$D$7669,G100))</f>
        <v>17.71</v>
      </c>
      <c r="Y100">
        <f>IF(Week&gt;=H$1,INDEX(Finals!$G$1:$G$501,H100),INDEX('F Proj'!$D$1:$D$7669,H100))</f>
        <v>11.18</v>
      </c>
      <c r="Z100">
        <f>IF(Week&gt;=I$1,INDEX(Finals!$G$1:$G$501,I100),INDEX('F Proj'!$D$1:$D$7669,I100))</f>
        <v>12.5</v>
      </c>
      <c r="AA100">
        <f>IF(Week&gt;=J$1,INDEX(Finals!$G$1:$G$501,J100),INDEX('F Proj'!$D$1:$D$7669,J100))</f>
        <v>8.59</v>
      </c>
      <c r="AB100">
        <f>IF(Week&gt;=K$1,INDEX(Finals!$G$1:$G$501,K100),INDEX('F Proj'!$D$1:$D$7669,K100))</f>
        <v>4.99</v>
      </c>
      <c r="AC100">
        <f>IF(Week&gt;=L$1,INDEX(Finals!$G$1:$G$501,L100),INDEX('F Proj'!$D$1:$D$7669,L100))</f>
        <v>14.1</v>
      </c>
      <c r="AD100">
        <f>IF(Week&gt;=M$1,INDEX(Finals!$G$1:$G$501,M100),INDEX('F Proj'!$D$1:$D$7669,M100))</f>
        <v>14.9</v>
      </c>
      <c r="AE100">
        <f>IF(Week&gt;=N$1,INDEX(Finals!$G$1:$G$501,N100),INDEX('F Proj'!$D$1:$D$7669,N100))</f>
        <v>12.21</v>
      </c>
      <c r="AF100">
        <f>IF(Week&gt;=O$1,INDEX(Finals!$G$1:$G$501,O100),INDEX('F Proj'!$D$1:$D$7669,O100))</f>
        <v>14.16</v>
      </c>
      <c r="AG100">
        <f>IF(Week&gt;=P$1,INDEX(Finals!$G$1:$G$501,P100),INDEX('F Proj'!$D$1:$D$7669,P100))</f>
        <v>15.11</v>
      </c>
      <c r="AH100">
        <f>IF(Week&gt;=Q$1,INDEX(Finals!$G$1:$G$501,Q100),INDEX('F Proj'!$D$1:$D$7669,Q100))</f>
        <v>14.65</v>
      </c>
      <c r="AI100">
        <f>IF(Week&gt;=R$1,INDEX(Finals!$G$1:$G$501,R100),INDEX('F Proj'!$D$1:$D$7669,R100))</f>
        <v>14.96</v>
      </c>
      <c r="AJ100">
        <f>IF(Week&gt;=S$1,INDEX(Finals!$G$1:$G$501,S100),INDEX('F Proj'!$D$1:$D$7669,S100))</f>
        <v>11.97</v>
      </c>
      <c r="AK100">
        <f>IF(Week&gt;=C$1,INDEX(Finals!$I$1:$I$501,C100),INDEX('F Proj'!$J$1:$J$7669,C100))</f>
        <v>0</v>
      </c>
      <c r="AL100">
        <f>IF(Week&gt;=D$1,INDEX(Finals!$I$1:$I$501,D100),INDEX('F Proj'!$J$1:$J$7669,D100))</f>
        <v>0</v>
      </c>
      <c r="AM100">
        <f>IF(Week&gt;=E$1,INDEX(Finals!$I$1:$I$501,E100),INDEX('F Proj'!$J$1:$J$7669,E100))</f>
        <v>0</v>
      </c>
      <c r="AN100">
        <f>IF(Week&gt;=F$1,INDEX(Finals!$I$1:$I$501,F100),INDEX('F Proj'!$J$1:$J$7669,F100))</f>
        <v>0</v>
      </c>
      <c r="AO100">
        <f>IF(Week&gt;=G$1,INDEX(Finals!$I$1:$I$501,G100),INDEX('F Proj'!$J$1:$J$7669,G100))</f>
        <v>56.550400000000003</v>
      </c>
      <c r="AP100">
        <f>IF(Week&gt;=H$1,INDEX(Finals!$I$1:$I$501,H100),INDEX('F Proj'!$J$1:$J$7669,H100))</f>
        <v>54.76</v>
      </c>
      <c r="AQ100">
        <f>IF(Week&gt;=I$1,INDEX(Finals!$I$1:$I$501,I100),INDEX('F Proj'!$J$1:$J$7669,I100))</f>
        <v>56.851599999999998</v>
      </c>
      <c r="AR100">
        <f>IF(Week&gt;=J$1,INDEX(Finals!$I$1:$I$501,J100),INDEX('F Proj'!$J$1:$J$7669,J100))</f>
        <v>40.449599999999997</v>
      </c>
      <c r="AS100">
        <f>IF(Week&gt;=K$1,INDEX(Finals!$I$1:$I$501,K100),INDEX('F Proj'!$J$1:$J$7669,K100))</f>
        <v>14.137600000000001</v>
      </c>
      <c r="AT100">
        <f>IF(Week&gt;=L$1,INDEX(Finals!$I$1:$I$501,L100),INDEX('F Proj'!$J$1:$J$7669,L100))</f>
        <v>147.1369</v>
      </c>
      <c r="AU100">
        <f>IF(Week&gt;=M$1,INDEX(Finals!$I$1:$I$501,M100),INDEX('F Proj'!$J$1:$J$7669,M100))</f>
        <v>134.32810000000001</v>
      </c>
      <c r="AV100">
        <f>IF(Week&gt;=N$1,INDEX(Finals!$I$1:$I$501,N100),INDEX('F Proj'!$J$1:$J$7669,N100))</f>
        <v>64.480900000000005</v>
      </c>
      <c r="AW100">
        <f>IF(Week&gt;=O$1,INDEX(Finals!$I$1:$I$501,O100),INDEX('F Proj'!$J$1:$J$7669,O100))</f>
        <v>131.5609</v>
      </c>
      <c r="AX100">
        <f>IF(Week&gt;=P$1,INDEX(Finals!$I$1:$I$501,P100),INDEX('F Proj'!$J$1:$J$7669,P100))</f>
        <v>140.65960000000001</v>
      </c>
      <c r="AY100">
        <f>IF(Week&gt;=Q$1,INDEX(Finals!$I$1:$I$501,Q100),INDEX('F Proj'!$J$1:$J$7669,Q100))</f>
        <v>136.18889999999999</v>
      </c>
      <c r="AZ100">
        <f>IF(Week&gt;=R$1,INDEX(Finals!$I$1:$I$501,R100),INDEX('F Proj'!$J$1:$J$7669,R100))</f>
        <v>127.9161</v>
      </c>
      <c r="BA100">
        <f>IF(Week&gt;=S$1,INDEX(Finals!$I$1:$I$501,S100),INDEX('F Proj'!$J$1:$J$7669,S100))</f>
        <v>54.76</v>
      </c>
    </row>
    <row r="101" spans="1:53" x14ac:dyDescent="0.25">
      <c r="A101" t="s">
        <v>49</v>
      </c>
      <c r="B101" t="s">
        <v>470</v>
      </c>
      <c r="C101" t="e">
        <f>IF(Week&gt;=C$1,MATCH($A101&amp;"-"&amp;C$1&amp;$B101,Finals!$J$1:$J$501,0),IFERROR(MATCH($A101&amp;C$1&amp;$B101,'F Proj'!$N$1:$N$7669,0),MATCH("NA"&amp;C$1&amp;$B101,'F Proj'!$N$1:$N$7669,0)))</f>
        <v>#N/A</v>
      </c>
      <c r="D101" t="e">
        <f>IF(Week&gt;=D$1,MATCH($A101&amp;"-"&amp;D$1&amp;$B101,Finals!$J$1:$J$501,0),IFERROR(MATCH($A101&amp;D$1&amp;$B101,'F Proj'!$N$1:$N$7669,0),MATCH("NA"&amp;D$1&amp;$B101,'F Proj'!$N$1:$N$7669,0)))</f>
        <v>#N/A</v>
      </c>
      <c r="E101" t="e">
        <f>IF(Week&gt;=E$1,MATCH($A101&amp;"-"&amp;E$1&amp;$B101,Finals!$J$1:$J$501,0),IFERROR(MATCH($A101&amp;E$1&amp;$B101,'F Proj'!$N$1:$N$7669,0),MATCH("NA"&amp;E$1&amp;$B101,'F Proj'!$N$1:$N$7669,0)))</f>
        <v>#N/A</v>
      </c>
      <c r="F101" t="e">
        <f>IF(Week&gt;=F$1,MATCH($A101&amp;"-"&amp;F$1&amp;$B101,Finals!$J$1:$J$501,0),IFERROR(MATCH($A101&amp;F$1&amp;$B101,'F Proj'!$N$1:$N$7669,0),MATCH("NA"&amp;F$1&amp;$B101,'F Proj'!$N$1:$N$7669,0)))</f>
        <v>#N/A</v>
      </c>
      <c r="G101" t="e">
        <f>IF(Week&gt;=G$1,MATCH($A101&amp;"-"&amp;G$1&amp;$B101,Finals!$J$1:$J$501,0),IFERROR(MATCH($A101&amp;G$1&amp;$B101,'F Proj'!$N$1:$N$7669,0),MATCH("NA"&amp;G$1&amp;$B101,'F Proj'!$N$1:$N$7669,0)))</f>
        <v>#N/A</v>
      </c>
      <c r="H101">
        <f>IF(Week&gt;=H$1,MATCH($A101&amp;"-"&amp;H$1&amp;$B101,Finals!$J$1:$J$501,0),IFERROR(MATCH($A101&amp;H$1&amp;$B101,'F Proj'!$N$1:$N$7669,0),MATCH("NA"&amp;H$1&amp;$B101,'F Proj'!$N$1:$N$7669,0)))</f>
        <v>1140</v>
      </c>
      <c r="I101">
        <f>IF(Week&gt;=I$1,MATCH($A101&amp;"-"&amp;I$1&amp;$B101,Finals!$J$1:$J$501,0),IFERROR(MATCH($A101&amp;I$1&amp;$B101,'F Proj'!$N$1:$N$7669,0),MATCH("NA"&amp;I$1&amp;$B101,'F Proj'!$N$1:$N$7669,0)))</f>
        <v>979</v>
      </c>
      <c r="J101">
        <f>IF(Week&gt;=J$1,MATCH($A101&amp;"-"&amp;J$1&amp;$B101,Finals!$J$1:$J$501,0),IFERROR(MATCH($A101&amp;J$1&amp;$B101,'F Proj'!$N$1:$N$7669,0),MATCH("NA"&amp;J$1&amp;$B101,'F Proj'!$N$1:$N$7669,0)))</f>
        <v>1977</v>
      </c>
      <c r="K101">
        <f>IF(Week&gt;=K$1,MATCH($A101&amp;"-"&amp;K$1&amp;$B101,Finals!$J$1:$J$501,0),IFERROR(MATCH($A101&amp;K$1&amp;$B101,'F Proj'!$N$1:$N$7669,0),MATCH("NA"&amp;K$1&amp;$B101,'F Proj'!$N$1:$N$7669,0)))</f>
        <v>1894</v>
      </c>
      <c r="L101">
        <f>IF(Week&gt;=L$1,MATCH($A101&amp;"-"&amp;L$1&amp;$B101,Finals!$J$1:$J$501,0),IFERROR(MATCH($A101&amp;L$1&amp;$B101,'F Proj'!$N$1:$N$7669,0),MATCH("NA"&amp;L$1&amp;$B101,'F Proj'!$N$1:$N$7669,0)))</f>
        <v>876</v>
      </c>
      <c r="M101">
        <f>IF(Week&gt;=M$1,MATCH($A101&amp;"-"&amp;M$1&amp;$B101,Finals!$J$1:$J$501,0),IFERROR(MATCH($A101&amp;M$1&amp;$B101,'F Proj'!$N$1:$N$7669,0),MATCH("NA"&amp;M$1&amp;$B101,'F Proj'!$N$1:$N$7669,0)))</f>
        <v>980</v>
      </c>
      <c r="N101">
        <f>IF(Week&gt;=N$1,MATCH($A101&amp;"-"&amp;N$1&amp;$B101,Finals!$J$1:$J$501,0),IFERROR(MATCH($A101&amp;N$1&amp;$B101,'F Proj'!$N$1:$N$7669,0),MATCH("NA"&amp;N$1&amp;$B101,'F Proj'!$N$1:$N$7669,0)))</f>
        <v>965</v>
      </c>
      <c r="O101">
        <f>IF(Week&gt;=O$1,MATCH($A101&amp;"-"&amp;O$1&amp;$B101,Finals!$J$1:$J$501,0),IFERROR(MATCH($A101&amp;O$1&amp;$B101,'F Proj'!$N$1:$N$7669,0),MATCH("NA"&amp;O$1&amp;$B101,'F Proj'!$N$1:$N$7669,0)))</f>
        <v>874</v>
      </c>
      <c r="P101">
        <f>IF(Week&gt;=P$1,MATCH($A101&amp;"-"&amp;P$1&amp;$B101,Finals!$J$1:$J$501,0),IFERROR(MATCH($A101&amp;P$1&amp;$B101,'F Proj'!$N$1:$N$7669,0),MATCH("NA"&amp;P$1&amp;$B101,'F Proj'!$N$1:$N$7669,0)))</f>
        <v>997</v>
      </c>
      <c r="Q101">
        <f>IF(Week&gt;=Q$1,MATCH($A101&amp;"-"&amp;Q$1&amp;$B101,Finals!$J$1:$J$501,0),IFERROR(MATCH($A101&amp;Q$1&amp;$B101,'F Proj'!$N$1:$N$7669,0),MATCH("NA"&amp;Q$1&amp;$B101,'F Proj'!$N$1:$N$7669,0)))</f>
        <v>1028</v>
      </c>
      <c r="R101">
        <f>IF(Week&gt;=R$1,MATCH($A101&amp;"-"&amp;R$1&amp;$B101,Finals!$J$1:$J$501,0),IFERROR(MATCH($A101&amp;R$1&amp;$B101,'F Proj'!$N$1:$N$7669,0),MATCH("NA"&amp;R$1&amp;$B101,'F Proj'!$N$1:$N$7669,0)))</f>
        <v>781</v>
      </c>
      <c r="S101">
        <f>IF(Week&gt;=S$1,MATCH($A101&amp;"-"&amp;S$1&amp;$B101,Finals!$J$1:$J$501,0),IFERROR(MATCH($A101&amp;S$1&amp;$B101,'F Proj'!$N$1:$N$7669,0),MATCH("NA"&amp;S$1&amp;$B101,'F Proj'!$N$1:$N$7669,0)))</f>
        <v>1009</v>
      </c>
    </row>
    <row r="102" spans="1:53" x14ac:dyDescent="0.25">
      <c r="A102" t="s">
        <v>49</v>
      </c>
      <c r="B102" t="s">
        <v>471</v>
      </c>
      <c r="C102">
        <f>IF(Week&gt;=C$1,MATCH($A102&amp;"-"&amp;C$1&amp;$B102,Finals!$J$1:$J$501,0),IFERROR(MATCH($A102&amp;C$1&amp;$B102,'F Proj'!$N$1:$N$7669,0),MATCH("NA"&amp;C$1&amp;$B102,'F Proj'!$N$1:$N$7669,0)))</f>
        <v>389</v>
      </c>
      <c r="D102">
        <f>IF(Week&gt;=D$1,MATCH($A102&amp;"-"&amp;D$1&amp;$B102,Finals!$J$1:$J$501,0),IFERROR(MATCH($A102&amp;D$1&amp;$B102,'F Proj'!$N$1:$N$7669,0),MATCH("NA"&amp;D$1&amp;$B102,'F Proj'!$N$1:$N$7669,0)))</f>
        <v>390</v>
      </c>
      <c r="E102">
        <f>IF(Week&gt;=E$1,MATCH($A102&amp;"-"&amp;E$1&amp;$B102,Finals!$J$1:$J$501,0),IFERROR(MATCH($A102&amp;E$1&amp;$B102,'F Proj'!$N$1:$N$7669,0),MATCH("NA"&amp;E$1&amp;$B102,'F Proj'!$N$1:$N$7669,0)))</f>
        <v>391</v>
      </c>
      <c r="F102">
        <f>IF(Week&gt;=F$1,MATCH($A102&amp;"-"&amp;F$1&amp;$B102,Finals!$J$1:$J$501,0),IFERROR(MATCH($A102&amp;F$1&amp;$B102,'F Proj'!$N$1:$N$7669,0),MATCH("NA"&amp;F$1&amp;$B102,'F Proj'!$N$1:$N$7669,0)))</f>
        <v>392</v>
      </c>
      <c r="G102">
        <f>IF(Week&gt;=G$1,MATCH($A102&amp;"-"&amp;G$1&amp;$B102,Finals!$J$1:$J$501,0),IFERROR(MATCH($A102&amp;G$1&amp;$B102,'F Proj'!$N$1:$N$7669,0),MATCH("NA"&amp;G$1&amp;$B102,'F Proj'!$N$1:$N$7669,0)))</f>
        <v>393</v>
      </c>
      <c r="H102">
        <f>IF(Week&gt;=H$1,MATCH($A102&amp;"-"&amp;H$1&amp;$B102,Finals!$J$1:$J$501,0),IFERROR(MATCH($A102&amp;H$1&amp;$B102,'F Proj'!$N$1:$N$7669,0),MATCH("NA"&amp;H$1&amp;$B102,'F Proj'!$N$1:$N$7669,0)))</f>
        <v>716</v>
      </c>
      <c r="I102">
        <f>IF(Week&gt;=I$1,MATCH($A102&amp;"-"&amp;I$1&amp;$B102,Finals!$J$1:$J$501,0),IFERROR(MATCH($A102&amp;I$1&amp;$B102,'F Proj'!$N$1:$N$7669,0),MATCH("NA"&amp;I$1&amp;$B102,'F Proj'!$N$1:$N$7669,0)))</f>
        <v>597</v>
      </c>
      <c r="J102">
        <f>IF(Week&gt;=J$1,MATCH($A102&amp;"-"&amp;J$1&amp;$B102,Finals!$J$1:$J$501,0),IFERROR(MATCH($A102&amp;J$1&amp;$B102,'F Proj'!$N$1:$N$7669,0),MATCH("NA"&amp;J$1&amp;$B102,'F Proj'!$N$1:$N$7669,0)))</f>
        <v>653</v>
      </c>
      <c r="K102">
        <f>IF(Week&gt;=K$1,MATCH($A102&amp;"-"&amp;K$1&amp;$B102,Finals!$J$1:$J$501,0),IFERROR(MATCH($A102&amp;K$1&amp;$B102,'F Proj'!$N$1:$N$7669,0),MATCH("NA"&amp;K$1&amp;$B102,'F Proj'!$N$1:$N$7669,0)))</f>
        <v>744</v>
      </c>
      <c r="L102">
        <f>IF(Week&gt;=L$1,MATCH($A102&amp;"-"&amp;L$1&amp;$B102,Finals!$J$1:$J$501,0),IFERROR(MATCH($A102&amp;L$1&amp;$B102,'F Proj'!$N$1:$N$7669,0),MATCH("NA"&amp;L$1&amp;$B102,'F Proj'!$N$1:$N$7669,0)))</f>
        <v>801</v>
      </c>
      <c r="M102">
        <f>IF(Week&gt;=M$1,MATCH($A102&amp;"-"&amp;M$1&amp;$B102,Finals!$J$1:$J$501,0),IFERROR(MATCH($A102&amp;M$1&amp;$B102,'F Proj'!$N$1:$N$7669,0),MATCH("NA"&amp;M$1&amp;$B102,'F Proj'!$N$1:$N$7669,0)))</f>
        <v>739</v>
      </c>
      <c r="N102">
        <f>IF(Week&gt;=N$1,MATCH($A102&amp;"-"&amp;N$1&amp;$B102,Finals!$J$1:$J$501,0),IFERROR(MATCH($A102&amp;N$1&amp;$B102,'F Proj'!$N$1:$N$7669,0),MATCH("NA"&amp;N$1&amp;$B102,'F Proj'!$N$1:$N$7669,0)))</f>
        <v>929</v>
      </c>
      <c r="O102">
        <f>IF(Week&gt;=O$1,MATCH($A102&amp;"-"&amp;O$1&amp;$B102,Finals!$J$1:$J$501,0),IFERROR(MATCH($A102&amp;O$1&amp;$B102,'F Proj'!$N$1:$N$7669,0),MATCH("NA"&amp;O$1&amp;$B102,'F Proj'!$N$1:$N$7669,0)))</f>
        <v>542</v>
      </c>
      <c r="P102">
        <f>IF(Week&gt;=P$1,MATCH($A102&amp;"-"&amp;P$1&amp;$B102,Finals!$J$1:$J$501,0),IFERROR(MATCH($A102&amp;P$1&amp;$B102,'F Proj'!$N$1:$N$7669,0),MATCH("NA"&amp;P$1&amp;$B102,'F Proj'!$N$1:$N$7669,0)))</f>
        <v>878</v>
      </c>
      <c r="Q102">
        <f>IF(Week&gt;=Q$1,MATCH($A102&amp;"-"&amp;Q$1&amp;$B102,Finals!$J$1:$J$501,0),IFERROR(MATCH($A102&amp;Q$1&amp;$B102,'F Proj'!$N$1:$N$7669,0),MATCH("NA"&amp;Q$1&amp;$B102,'F Proj'!$N$1:$N$7669,0)))</f>
        <v>625</v>
      </c>
      <c r="R102">
        <f>IF(Week&gt;=R$1,MATCH($A102&amp;"-"&amp;R$1&amp;$B102,Finals!$J$1:$J$501,0),IFERROR(MATCH($A102&amp;R$1&amp;$B102,'F Proj'!$N$1:$N$7669,0),MATCH("NA"&amp;R$1&amp;$B102,'F Proj'!$N$1:$N$7669,0)))</f>
        <v>764</v>
      </c>
      <c r="S102">
        <f>IF(Week&gt;=S$1,MATCH($A102&amp;"-"&amp;S$1&amp;$B102,Finals!$J$1:$J$501,0),IFERROR(MATCH($A102&amp;S$1&amp;$B102,'F Proj'!$N$1:$N$7669,0),MATCH("NA"&amp;S$1&amp;$B102,'F Proj'!$N$1:$N$7669,0)))</f>
        <v>499</v>
      </c>
      <c r="T102">
        <f>IF(Week&gt;=C$1,INDEX(Finals!$G$1:$G$501,C102),INDEX('F Proj'!$D$1:$D$7669,C102))</f>
        <v>35.299999999999997</v>
      </c>
      <c r="U102">
        <f>IF(Week&gt;=D$1,INDEX(Finals!$G$1:$G$501,D102),INDEX('F Proj'!$D$1:$D$7669,D102))</f>
        <v>15</v>
      </c>
      <c r="V102">
        <f>IF(Week&gt;=E$1,INDEX(Finals!$G$1:$G$501,E102),INDEX('F Proj'!$D$1:$D$7669,E102))</f>
        <v>5.6</v>
      </c>
      <c r="W102">
        <f>IF(Week&gt;=F$1,INDEX(Finals!$G$1:$G$501,F102),INDEX('F Proj'!$D$1:$D$7669,F102))</f>
        <v>5.6</v>
      </c>
      <c r="X102">
        <f>IF(Week&gt;=G$1,INDEX(Finals!$G$1:$G$501,G102),INDEX('F Proj'!$D$1:$D$7669,G102))</f>
        <v>11.83</v>
      </c>
      <c r="Y102">
        <f>IF(Week&gt;=H$1,INDEX(Finals!$G$1:$G$501,H102),INDEX('F Proj'!$D$1:$D$7669,H102))</f>
        <v>12.83</v>
      </c>
      <c r="Z102">
        <f>IF(Week&gt;=I$1,INDEX(Finals!$G$1:$G$501,I102),INDEX('F Proj'!$D$1:$D$7669,I102))</f>
        <v>13.74</v>
      </c>
      <c r="AA102">
        <f>IF(Week&gt;=J$1,INDEX(Finals!$G$1:$G$501,J102),INDEX('F Proj'!$D$1:$D$7669,J102))</f>
        <v>13.26</v>
      </c>
      <c r="AB102">
        <f>IF(Week&gt;=K$1,INDEX(Finals!$G$1:$G$501,K102),INDEX('F Proj'!$D$1:$D$7669,K102))</f>
        <v>12.61</v>
      </c>
      <c r="AC102">
        <f>IF(Week&gt;=L$1,INDEX(Finals!$G$1:$G$501,L102),INDEX('F Proj'!$D$1:$D$7669,L102))</f>
        <v>12.2</v>
      </c>
      <c r="AD102">
        <f>IF(Week&gt;=M$1,INDEX(Finals!$G$1:$G$501,M102),INDEX('F Proj'!$D$1:$D$7669,M102))</f>
        <v>12.68</v>
      </c>
      <c r="AE102">
        <f>IF(Week&gt;=N$1,INDEX(Finals!$G$1:$G$501,N102),INDEX('F Proj'!$D$1:$D$7669,N102))</f>
        <v>10.93</v>
      </c>
      <c r="AF102">
        <f>IF(Week&gt;=O$1,INDEX(Finals!$G$1:$G$501,O102),INDEX('F Proj'!$D$1:$D$7669,O102))</f>
        <v>14.33</v>
      </c>
      <c r="AG102">
        <f>IF(Week&gt;=P$1,INDEX(Finals!$G$1:$G$501,P102),INDEX('F Proj'!$D$1:$D$7669,P102))</f>
        <v>11.41</v>
      </c>
      <c r="AH102">
        <f>IF(Week&gt;=Q$1,INDEX(Finals!$G$1:$G$501,Q102),INDEX('F Proj'!$D$1:$D$7669,Q102))</f>
        <v>13.53</v>
      </c>
      <c r="AI102">
        <f>IF(Week&gt;=R$1,INDEX(Finals!$G$1:$G$501,R102),INDEX('F Proj'!$D$1:$D$7669,R102))</f>
        <v>12.43</v>
      </c>
      <c r="AJ102">
        <f>IF(Week&gt;=S$1,INDEX(Finals!$G$1:$G$501,S102),INDEX('F Proj'!$D$1:$D$7669,S102))</f>
        <v>14.86</v>
      </c>
      <c r="AK102">
        <f>IF(Week&gt;=C$1,INDEX(Finals!$I$1:$I$501,C102),INDEX('F Proj'!$J$1:$J$7669,C102))</f>
        <v>0</v>
      </c>
      <c r="AL102">
        <f>IF(Week&gt;=D$1,INDEX(Finals!$I$1:$I$501,D102),INDEX('F Proj'!$J$1:$J$7669,D102))</f>
        <v>0</v>
      </c>
      <c r="AM102">
        <f>IF(Week&gt;=E$1,INDEX(Finals!$I$1:$I$501,E102),INDEX('F Proj'!$J$1:$J$7669,E102))</f>
        <v>0</v>
      </c>
      <c r="AN102">
        <f>IF(Week&gt;=F$1,INDEX(Finals!$I$1:$I$501,F102),INDEX('F Proj'!$J$1:$J$7669,F102))</f>
        <v>0</v>
      </c>
      <c r="AO102">
        <f>IF(Week&gt;=G$1,INDEX(Finals!$I$1:$I$501,G102),INDEX('F Proj'!$J$1:$J$7669,G102))</f>
        <v>65.934399999999997</v>
      </c>
      <c r="AP102">
        <f>IF(Week&gt;=H$1,INDEX(Finals!$I$1:$I$501,H102),INDEX('F Proj'!$J$1:$J$7669,H102))</f>
        <v>79.209999999999994</v>
      </c>
      <c r="AQ102">
        <f>IF(Week&gt;=I$1,INDEX(Finals!$I$1:$I$501,I102),INDEX('F Proj'!$J$1:$J$7669,I102))</f>
        <v>59.907600000000002</v>
      </c>
      <c r="AR102">
        <f>IF(Week&gt;=J$1,INDEX(Finals!$I$1:$I$501,J102),INDEX('F Proj'!$J$1:$J$7669,J102))</f>
        <v>60.0625</v>
      </c>
      <c r="AS102">
        <f>IF(Week&gt;=K$1,INDEX(Finals!$I$1:$I$501,K102),INDEX('F Proj'!$J$1:$J$7669,K102))</f>
        <v>60.217599999999997</v>
      </c>
      <c r="AT102">
        <f>IF(Week&gt;=L$1,INDEX(Finals!$I$1:$I$501,L102),INDEX('F Proj'!$J$1:$J$7669,L102))</f>
        <v>44.756100000000004</v>
      </c>
      <c r="AU102">
        <f>IF(Week&gt;=M$1,INDEX(Finals!$I$1:$I$501,M102),INDEX('F Proj'!$J$1:$J$7669,M102))</f>
        <v>52.5625</v>
      </c>
      <c r="AV102">
        <f>IF(Week&gt;=N$1,INDEX(Finals!$I$1:$I$501,N102),INDEX('F Proj'!$J$1:$J$7669,N102))</f>
        <v>46.104100000000003</v>
      </c>
      <c r="AW102">
        <f>IF(Week&gt;=O$1,INDEX(Finals!$I$1:$I$501,O102),INDEX('F Proj'!$J$1:$J$7669,O102))</f>
        <v>70.8964</v>
      </c>
      <c r="AX102">
        <f>IF(Week&gt;=P$1,INDEX(Finals!$I$1:$I$501,P102),INDEX('F Proj'!$J$1:$J$7669,P102))</f>
        <v>60.0625</v>
      </c>
      <c r="AY102">
        <f>IF(Week&gt;=Q$1,INDEX(Finals!$I$1:$I$501,Q102),INDEX('F Proj'!$J$1:$J$7669,Q102))</f>
        <v>55.056399999999996</v>
      </c>
      <c r="AZ102">
        <f>IF(Week&gt;=R$1,INDEX(Finals!$I$1:$I$501,R102),INDEX('F Proj'!$J$1:$J$7669,R102))</f>
        <v>53.5824</v>
      </c>
      <c r="BA102">
        <f>IF(Week&gt;=S$1,INDEX(Finals!$I$1:$I$501,S102),INDEX('F Proj'!$J$1:$J$7669,S102))</f>
        <v>70.8964</v>
      </c>
    </row>
    <row r="103" spans="1:53" x14ac:dyDescent="0.25">
      <c r="A103" t="s">
        <v>49</v>
      </c>
      <c r="B103" t="s">
        <v>472</v>
      </c>
      <c r="C103">
        <f>IF(Week&gt;=C$1,MATCH($A103&amp;"-"&amp;C$1&amp;$B103,Finals!$J$1:$J$501,0),IFERROR(MATCH($A103&amp;C$1&amp;$B103,'F Proj'!$N$1:$N$7669,0),MATCH("NA"&amp;C$1&amp;$B103,'F Proj'!$N$1:$N$7669,0)))</f>
        <v>329</v>
      </c>
      <c r="D103">
        <f>IF(Week&gt;=D$1,MATCH($A103&amp;"-"&amp;D$1&amp;$B103,Finals!$J$1:$J$501,0),IFERROR(MATCH($A103&amp;D$1&amp;$B103,'F Proj'!$N$1:$N$7669,0),MATCH("NA"&amp;D$1&amp;$B103,'F Proj'!$N$1:$N$7669,0)))</f>
        <v>270</v>
      </c>
      <c r="E103">
        <f>IF(Week&gt;=E$1,MATCH($A103&amp;"-"&amp;E$1&amp;$B103,Finals!$J$1:$J$501,0),IFERROR(MATCH($A103&amp;E$1&amp;$B103,'F Proj'!$N$1:$N$7669,0),MATCH("NA"&amp;E$1&amp;$B103,'F Proj'!$N$1:$N$7669,0)))</f>
        <v>271</v>
      </c>
      <c r="F103">
        <f>IF(Week&gt;=F$1,MATCH($A103&amp;"-"&amp;F$1&amp;$B103,Finals!$J$1:$J$501,0),IFERROR(MATCH($A103&amp;F$1&amp;$B103,'F Proj'!$N$1:$N$7669,0),MATCH("NA"&amp;F$1&amp;$B103,'F Proj'!$N$1:$N$7669,0)))</f>
        <v>330</v>
      </c>
      <c r="G103">
        <f>IF(Week&gt;=G$1,MATCH($A103&amp;"-"&amp;G$1&amp;$B103,Finals!$J$1:$J$501,0),IFERROR(MATCH($A103&amp;G$1&amp;$B103,'F Proj'!$N$1:$N$7669,0),MATCH("NA"&amp;G$1&amp;$B103,'F Proj'!$N$1:$N$7669,0)))</f>
        <v>331</v>
      </c>
      <c r="H103">
        <f>IF(Week&gt;=H$1,MATCH($A103&amp;"-"&amp;H$1&amp;$B103,Finals!$J$1:$J$501,0),IFERROR(MATCH($A103&amp;H$1&amp;$B103,'F Proj'!$N$1:$N$7669,0),MATCH("NA"&amp;H$1&amp;$B103,'F Proj'!$N$1:$N$7669,0)))</f>
        <v>1079</v>
      </c>
      <c r="I103">
        <f>IF(Week&gt;=I$1,MATCH($A103&amp;"-"&amp;I$1&amp;$B103,Finals!$J$1:$J$501,0),IFERROR(MATCH($A103&amp;I$1&amp;$B103,'F Proj'!$N$1:$N$7669,0),MATCH("NA"&amp;I$1&amp;$B103,'F Proj'!$N$1:$N$7669,0)))</f>
        <v>981</v>
      </c>
      <c r="J103">
        <f>IF(Week&gt;=J$1,MATCH($A103&amp;"-"&amp;J$1&amp;$B103,Finals!$J$1:$J$501,0),IFERROR(MATCH($A103&amp;J$1&amp;$B103,'F Proj'!$N$1:$N$7669,0),MATCH("NA"&amp;J$1&amp;$B103,'F Proj'!$N$1:$N$7669,0)))</f>
        <v>985</v>
      </c>
      <c r="K103">
        <f>IF(Week&gt;=K$1,MATCH($A103&amp;"-"&amp;K$1&amp;$B103,Finals!$J$1:$J$501,0),IFERROR(MATCH($A103&amp;K$1&amp;$B103,'F Proj'!$N$1:$N$7669,0),MATCH("NA"&amp;K$1&amp;$B103,'F Proj'!$N$1:$N$7669,0)))</f>
        <v>940</v>
      </c>
      <c r="L103">
        <f>IF(Week&gt;=L$1,MATCH($A103&amp;"-"&amp;L$1&amp;$B103,Finals!$J$1:$J$501,0),IFERROR(MATCH($A103&amp;L$1&amp;$B103,'F Proj'!$N$1:$N$7669,0),MATCH("NA"&amp;L$1&amp;$B103,'F Proj'!$N$1:$N$7669,0)))</f>
        <v>1066</v>
      </c>
      <c r="M103">
        <f>IF(Week&gt;=M$1,MATCH($A103&amp;"-"&amp;M$1&amp;$B103,Finals!$J$1:$J$501,0),IFERROR(MATCH($A103&amp;M$1&amp;$B103,'F Proj'!$N$1:$N$7669,0),MATCH("NA"&amp;M$1&amp;$B103,'F Proj'!$N$1:$N$7669,0)))</f>
        <v>785</v>
      </c>
      <c r="N103">
        <f>IF(Week&gt;=N$1,MATCH($A103&amp;"-"&amp;N$1&amp;$B103,Finals!$J$1:$J$501,0),IFERROR(MATCH($A103&amp;N$1&amp;$B103,'F Proj'!$N$1:$N$7669,0),MATCH("NA"&amp;N$1&amp;$B103,'F Proj'!$N$1:$N$7669,0)))</f>
        <v>1693</v>
      </c>
      <c r="O103">
        <f>IF(Week&gt;=O$1,MATCH($A103&amp;"-"&amp;O$1&amp;$B103,Finals!$J$1:$J$501,0),IFERROR(MATCH($A103&amp;O$1&amp;$B103,'F Proj'!$N$1:$N$7669,0),MATCH("NA"&amp;O$1&amp;$B103,'F Proj'!$N$1:$N$7669,0)))</f>
        <v>1058</v>
      </c>
      <c r="P103">
        <f>IF(Week&gt;=P$1,MATCH($A103&amp;"-"&amp;P$1&amp;$B103,Finals!$J$1:$J$501,0),IFERROR(MATCH($A103&amp;P$1&amp;$B103,'F Proj'!$N$1:$N$7669,0),MATCH("NA"&amp;P$1&amp;$B103,'F Proj'!$N$1:$N$7669,0)))</f>
        <v>999</v>
      </c>
      <c r="Q103">
        <f>IF(Week&gt;=Q$1,MATCH($A103&amp;"-"&amp;Q$1&amp;$B103,Finals!$J$1:$J$501,0),IFERROR(MATCH($A103&amp;Q$1&amp;$B103,'F Proj'!$N$1:$N$7669,0),MATCH("NA"&amp;Q$1&amp;$B103,'F Proj'!$N$1:$N$7669,0)))</f>
        <v>1088</v>
      </c>
      <c r="R103">
        <f>IF(Week&gt;=R$1,MATCH($A103&amp;"-"&amp;R$1&amp;$B103,Finals!$J$1:$J$501,0),IFERROR(MATCH($A103&amp;R$1&amp;$B103,'F Proj'!$N$1:$N$7669,0),MATCH("NA"&amp;R$1&amp;$B103,'F Proj'!$N$1:$N$7669,0)))</f>
        <v>955</v>
      </c>
      <c r="S103">
        <f>IF(Week&gt;=S$1,MATCH($A103&amp;"-"&amp;S$1&amp;$B103,Finals!$J$1:$J$501,0),IFERROR(MATCH($A103&amp;S$1&amp;$B103,'F Proj'!$N$1:$N$7669,0),MATCH("NA"&amp;S$1&amp;$B103,'F Proj'!$N$1:$N$7669,0)))</f>
        <v>921</v>
      </c>
      <c r="T103">
        <f>IF(Week&gt;=C$1,INDEX(Finals!$G$1:$G$501,C103),INDEX('F Proj'!$D$1:$D$7669,C103))</f>
        <v>4.3</v>
      </c>
      <c r="U103">
        <f>IF(Week&gt;=D$1,INDEX(Finals!$G$1:$G$501,D103),INDEX('F Proj'!$D$1:$D$7669,D103))</f>
        <v>11.4</v>
      </c>
      <c r="V103">
        <f>IF(Week&gt;=E$1,INDEX(Finals!$G$1:$G$501,E103),INDEX('F Proj'!$D$1:$D$7669,E103))</f>
        <v>12.9</v>
      </c>
      <c r="W103">
        <f>IF(Week&gt;=F$1,INDEX(Finals!$G$1:$G$501,F103),INDEX('F Proj'!$D$1:$D$7669,F103))</f>
        <v>16.100000000000001</v>
      </c>
      <c r="X103">
        <f>IF(Week&gt;=G$1,INDEX(Finals!$G$1:$G$501,G103),INDEX('F Proj'!$D$1:$D$7669,G103))</f>
        <v>10.16</v>
      </c>
      <c r="Y103">
        <f>IF(Week&gt;=H$1,INDEX(Finals!$G$1:$G$501,H103),INDEX('F Proj'!$D$1:$D$7669,H103))</f>
        <v>9.9700000000000006</v>
      </c>
      <c r="Z103">
        <f>IF(Week&gt;=I$1,INDEX(Finals!$G$1:$G$501,I103),INDEX('F Proj'!$D$1:$D$7669,I103))</f>
        <v>10.55</v>
      </c>
      <c r="AA103">
        <f>IF(Week&gt;=J$1,INDEX(Finals!$G$1:$G$501,J103),INDEX('F Proj'!$D$1:$D$7669,J103))</f>
        <v>10.52</v>
      </c>
      <c r="AB103">
        <f>IF(Week&gt;=K$1,INDEX(Finals!$G$1:$G$501,K103),INDEX('F Proj'!$D$1:$D$7669,K103))</f>
        <v>10.86</v>
      </c>
      <c r="AC103">
        <f>IF(Week&gt;=L$1,INDEX(Finals!$G$1:$G$501,L103),INDEX('F Proj'!$D$1:$D$7669,L103))</f>
        <v>10.01</v>
      </c>
      <c r="AD103">
        <f>IF(Week&gt;=M$1,INDEX(Finals!$G$1:$G$501,M103),INDEX('F Proj'!$D$1:$D$7669,M103))</f>
        <v>12.29</v>
      </c>
      <c r="AE103">
        <f>IF(Week&gt;=N$1,INDEX(Finals!$G$1:$G$501,N103),INDEX('F Proj'!$D$1:$D$7669,N103))</f>
        <v>7.44</v>
      </c>
      <c r="AF103">
        <f>IF(Week&gt;=O$1,INDEX(Finals!$G$1:$G$501,O103),INDEX('F Proj'!$D$1:$D$7669,O103))</f>
        <v>10.050000000000001</v>
      </c>
      <c r="AG103">
        <f>IF(Week&gt;=P$1,INDEX(Finals!$G$1:$G$501,P103),INDEX('F Proj'!$D$1:$D$7669,P103))</f>
        <v>10.41</v>
      </c>
      <c r="AH103">
        <f>IF(Week&gt;=Q$1,INDEX(Finals!$G$1:$G$501,Q103),INDEX('F Proj'!$D$1:$D$7669,Q103))</f>
        <v>9.9499999999999993</v>
      </c>
      <c r="AI103">
        <f>IF(Week&gt;=R$1,INDEX(Finals!$G$1:$G$501,R103),INDEX('F Proj'!$D$1:$D$7669,R103))</f>
        <v>10.72</v>
      </c>
      <c r="AJ103">
        <f>IF(Week&gt;=S$1,INDEX(Finals!$G$1:$G$501,S103),INDEX('F Proj'!$D$1:$D$7669,S103))</f>
        <v>10.99</v>
      </c>
      <c r="AK103">
        <f>IF(Week&gt;=C$1,INDEX(Finals!$I$1:$I$501,C103),INDEX('F Proj'!$J$1:$J$7669,C103))</f>
        <v>0</v>
      </c>
      <c r="AL103">
        <f>IF(Week&gt;=D$1,INDEX(Finals!$I$1:$I$501,D103),INDEX('F Proj'!$J$1:$J$7669,D103))</f>
        <v>0</v>
      </c>
      <c r="AM103">
        <f>IF(Week&gt;=E$1,INDEX(Finals!$I$1:$I$501,E103),INDEX('F Proj'!$J$1:$J$7669,E103))</f>
        <v>0</v>
      </c>
      <c r="AN103">
        <f>IF(Week&gt;=F$1,INDEX(Finals!$I$1:$I$501,F103),INDEX('F Proj'!$J$1:$J$7669,F103))</f>
        <v>0</v>
      </c>
      <c r="AO103">
        <f>IF(Week&gt;=G$1,INDEX(Finals!$I$1:$I$501,G103),INDEX('F Proj'!$J$1:$J$7669,G103))</f>
        <v>41.473599999999998</v>
      </c>
      <c r="AP103">
        <f>IF(Week&gt;=H$1,INDEX(Finals!$I$1:$I$501,H103),INDEX('F Proj'!$J$1:$J$7669,H103))</f>
        <v>37.21</v>
      </c>
      <c r="AQ103">
        <f>IF(Week&gt;=I$1,INDEX(Finals!$I$1:$I$501,I103),INDEX('F Proj'!$J$1:$J$7669,I103))</f>
        <v>45.697600000000001</v>
      </c>
      <c r="AR103">
        <f>IF(Week&gt;=J$1,INDEX(Finals!$I$1:$I$501,J103),INDEX('F Proj'!$J$1:$J$7669,J103))</f>
        <v>40.322499999999998</v>
      </c>
      <c r="AS103">
        <f>IF(Week&gt;=K$1,INDEX(Finals!$I$1:$I$501,K103),INDEX('F Proj'!$J$1:$J$7669,K103))</f>
        <v>45.832900000000002</v>
      </c>
      <c r="AT103">
        <f>IF(Week&gt;=L$1,INDEX(Finals!$I$1:$I$501,L103),INDEX('F Proj'!$J$1:$J$7669,L103))</f>
        <v>37.21</v>
      </c>
      <c r="AU103">
        <f>IF(Week&gt;=M$1,INDEX(Finals!$I$1:$I$501,M103),INDEX('F Proj'!$J$1:$J$7669,M103))</f>
        <v>48.024900000000002</v>
      </c>
      <c r="AV103">
        <f>IF(Week&gt;=N$1,INDEX(Finals!$I$1:$I$501,N103),INDEX('F Proj'!$J$1:$J$7669,N103))</f>
        <v>39.0625</v>
      </c>
      <c r="AW103">
        <f>IF(Week&gt;=O$1,INDEX(Finals!$I$1:$I$501,O103),INDEX('F Proj'!$J$1:$J$7669,O103))</f>
        <v>46.785600000000002</v>
      </c>
      <c r="AX103">
        <f>IF(Week&gt;=P$1,INDEX(Finals!$I$1:$I$501,P103),INDEX('F Proj'!$J$1:$J$7669,P103))</f>
        <v>32.718400000000003</v>
      </c>
      <c r="AY103">
        <f>IF(Week&gt;=Q$1,INDEX(Finals!$I$1:$I$501,Q103),INDEX('F Proj'!$J$1:$J$7669,Q103))</f>
        <v>29.702500000000001</v>
      </c>
      <c r="AZ103">
        <f>IF(Week&gt;=R$1,INDEX(Finals!$I$1:$I$501,R103),INDEX('F Proj'!$J$1:$J$7669,R103))</f>
        <v>37.332099999999997</v>
      </c>
      <c r="BA103">
        <f>IF(Week&gt;=S$1,INDEX(Finals!$I$1:$I$501,S103),INDEX('F Proj'!$J$1:$J$7669,S103))</f>
        <v>45.697600000000001</v>
      </c>
    </row>
    <row r="104" spans="1:53" x14ac:dyDescent="0.25">
      <c r="A104" t="s">
        <v>49</v>
      </c>
      <c r="B104" t="s">
        <v>473</v>
      </c>
      <c r="C104">
        <f>IF(Week&gt;=C$1,MATCH($A104&amp;"-"&amp;C$1&amp;$B104,Finals!$J$1:$J$501,0),IFERROR(MATCH($A104&amp;C$1&amp;$B104,'F Proj'!$N$1:$N$7669,0),MATCH("NA"&amp;C$1&amp;$B104,'F Proj'!$N$1:$N$7669,0)))</f>
        <v>269</v>
      </c>
      <c r="D104">
        <f>IF(Week&gt;=D$1,MATCH($A104&amp;"-"&amp;D$1&amp;$B104,Finals!$J$1:$J$501,0),IFERROR(MATCH($A104&amp;D$1&amp;$B104,'F Proj'!$N$1:$N$7669,0),MATCH("NA"&amp;D$1&amp;$B104,'F Proj'!$N$1:$N$7669,0)))</f>
        <v>87</v>
      </c>
      <c r="E104">
        <f>IF(Week&gt;=E$1,MATCH($A104&amp;"-"&amp;E$1&amp;$B104,Finals!$J$1:$J$501,0),IFERROR(MATCH($A104&amp;E$1&amp;$B104,'F Proj'!$N$1:$N$7669,0),MATCH("NA"&amp;E$1&amp;$B104,'F Proj'!$N$1:$N$7669,0)))</f>
        <v>88</v>
      </c>
      <c r="F104">
        <f>IF(Week&gt;=F$1,MATCH($A104&amp;"-"&amp;F$1&amp;$B104,Finals!$J$1:$J$501,0),IFERROR(MATCH($A104&amp;F$1&amp;$B104,'F Proj'!$N$1:$N$7669,0),MATCH("NA"&amp;F$1&amp;$B104,'F Proj'!$N$1:$N$7669,0)))</f>
        <v>272</v>
      </c>
      <c r="G104">
        <f>IF(Week&gt;=G$1,MATCH($A104&amp;"-"&amp;G$1&amp;$B104,Finals!$J$1:$J$501,0),IFERROR(MATCH($A104&amp;G$1&amp;$B104,'F Proj'!$N$1:$N$7669,0),MATCH("NA"&amp;G$1&amp;$B104,'F Proj'!$N$1:$N$7669,0)))</f>
        <v>273</v>
      </c>
      <c r="H104">
        <f>IF(Week&gt;=H$1,MATCH($A104&amp;"-"&amp;H$1&amp;$B104,Finals!$J$1:$J$501,0),IFERROR(MATCH($A104&amp;H$1&amp;$B104,'F Proj'!$N$1:$N$7669,0),MATCH("NA"&amp;H$1&amp;$B104,'F Proj'!$N$1:$N$7669,0)))</f>
        <v>1243</v>
      </c>
      <c r="I104">
        <f>IF(Week&gt;=I$1,MATCH($A104&amp;"-"&amp;I$1&amp;$B104,Finals!$J$1:$J$501,0),IFERROR(MATCH($A104&amp;I$1&amp;$B104,'F Proj'!$N$1:$N$7669,0),MATCH("NA"&amp;I$1&amp;$B104,'F Proj'!$N$1:$N$7669,0)))</f>
        <v>1320</v>
      </c>
      <c r="J104">
        <f>IF(Week&gt;=J$1,MATCH($A104&amp;"-"&amp;J$1&amp;$B104,Finals!$J$1:$J$501,0),IFERROR(MATCH($A104&amp;J$1&amp;$B104,'F Proj'!$N$1:$N$7669,0),MATCH("NA"&amp;J$1&amp;$B104,'F Proj'!$N$1:$N$7669,0)))</f>
        <v>992</v>
      </c>
      <c r="K104">
        <f>IF(Week&gt;=K$1,MATCH($A104&amp;"-"&amp;K$1&amp;$B104,Finals!$J$1:$J$501,0),IFERROR(MATCH($A104&amp;K$1&amp;$B104,'F Proj'!$N$1:$N$7669,0),MATCH("NA"&amp;K$1&amp;$B104,'F Proj'!$N$1:$N$7669,0)))</f>
        <v>1231</v>
      </c>
      <c r="L104">
        <f>IF(Week&gt;=L$1,MATCH($A104&amp;"-"&amp;L$1&amp;$B104,Finals!$J$1:$J$501,0),IFERROR(MATCH($A104&amp;L$1&amp;$B104,'F Proj'!$N$1:$N$7669,0),MATCH("NA"&amp;L$1&amp;$B104,'F Proj'!$N$1:$N$7669,0)))</f>
        <v>1185</v>
      </c>
      <c r="M104">
        <f>IF(Week&gt;=M$1,MATCH($A104&amp;"-"&amp;M$1&amp;$B104,Finals!$J$1:$J$501,0),IFERROR(MATCH($A104&amp;M$1&amp;$B104,'F Proj'!$N$1:$N$7669,0),MATCH("NA"&amp;M$1&amp;$B104,'F Proj'!$N$1:$N$7669,0)))</f>
        <v>1151</v>
      </c>
      <c r="N104">
        <f>IF(Week&gt;=N$1,MATCH($A104&amp;"-"&amp;N$1&amp;$B104,Finals!$J$1:$J$501,0),IFERROR(MATCH($A104&amp;N$1&amp;$B104,'F Proj'!$N$1:$N$7669,0),MATCH("NA"&amp;N$1&amp;$B104,'F Proj'!$N$1:$N$7669,0)))</f>
        <v>1856</v>
      </c>
      <c r="O104">
        <f>IF(Week&gt;=O$1,MATCH($A104&amp;"-"&amp;O$1&amp;$B104,Finals!$J$1:$J$501,0),IFERROR(MATCH($A104&amp;O$1&amp;$B104,'F Proj'!$N$1:$N$7669,0),MATCH("NA"&amp;O$1&amp;$B104,'F Proj'!$N$1:$N$7669,0)))</f>
        <v>1130</v>
      </c>
      <c r="P104">
        <f>IF(Week&gt;=P$1,MATCH($A104&amp;"-"&amp;P$1&amp;$B104,Finals!$J$1:$J$501,0),IFERROR(MATCH($A104&amp;P$1&amp;$B104,'F Proj'!$N$1:$N$7669,0),MATCH("NA"&amp;P$1&amp;$B104,'F Proj'!$N$1:$N$7669,0)))</f>
        <v>1103</v>
      </c>
      <c r="Q104">
        <f>IF(Week&gt;=Q$1,MATCH($A104&amp;"-"&amp;Q$1&amp;$B104,Finals!$J$1:$J$501,0),IFERROR(MATCH($A104&amp;Q$1&amp;$B104,'F Proj'!$N$1:$N$7669,0),MATCH("NA"&amp;Q$1&amp;$B104,'F Proj'!$N$1:$N$7669,0)))</f>
        <v>1196</v>
      </c>
      <c r="R104">
        <f>IF(Week&gt;=R$1,MATCH($A104&amp;"-"&amp;R$1&amp;$B104,Finals!$J$1:$J$501,0),IFERROR(MATCH($A104&amp;R$1&amp;$B104,'F Proj'!$N$1:$N$7669,0),MATCH("NA"&amp;R$1&amp;$B104,'F Proj'!$N$1:$N$7669,0)))</f>
        <v>963</v>
      </c>
      <c r="S104">
        <f>IF(Week&gt;=S$1,MATCH($A104&amp;"-"&amp;S$1&amp;$B104,Finals!$J$1:$J$501,0),IFERROR(MATCH($A104&amp;S$1&amp;$B104,'F Proj'!$N$1:$N$7669,0),MATCH("NA"&amp;S$1&amp;$B104,'F Proj'!$N$1:$N$7669,0)))</f>
        <v>1294</v>
      </c>
      <c r="T104">
        <f>IF(Week&gt;=C$1,INDEX(Finals!$G$1:$G$501,C104),INDEX('F Proj'!$D$1:$D$7669,C104))</f>
        <v>5.4</v>
      </c>
      <c r="U104">
        <f>IF(Week&gt;=D$1,INDEX(Finals!$G$1:$G$501,D104),INDEX('F Proj'!$D$1:$D$7669,D104))</f>
        <v>5.5</v>
      </c>
      <c r="V104">
        <f>IF(Week&gt;=E$1,INDEX(Finals!$G$1:$G$501,E104),INDEX('F Proj'!$D$1:$D$7669,E104))</f>
        <v>3.4</v>
      </c>
      <c r="W104">
        <f>IF(Week&gt;=F$1,INDEX(Finals!$G$1:$G$501,F104),INDEX('F Proj'!$D$1:$D$7669,F104))</f>
        <v>5.6</v>
      </c>
      <c r="X104">
        <f>IF(Week&gt;=G$1,INDEX(Finals!$G$1:$G$501,G104),INDEX('F Proj'!$D$1:$D$7669,G104))</f>
        <v>8.4499999999999993</v>
      </c>
      <c r="Y104">
        <f>IF(Week&gt;=H$1,INDEX(Finals!$G$1:$G$501,H104),INDEX('F Proj'!$D$1:$D$7669,H104))</f>
        <v>9.16</v>
      </c>
      <c r="Z104">
        <f>IF(Week&gt;=I$1,INDEX(Finals!$G$1:$G$501,I104),INDEX('F Proj'!$D$1:$D$7669,I104))</f>
        <v>8.77</v>
      </c>
      <c r="AA104">
        <f>IF(Week&gt;=J$1,INDEX(Finals!$G$1:$G$501,J104),INDEX('F Proj'!$D$1:$D$7669,J104))</f>
        <v>10.47</v>
      </c>
      <c r="AB104">
        <f>IF(Week&gt;=K$1,INDEX(Finals!$G$1:$G$501,K104),INDEX('F Proj'!$D$1:$D$7669,K104))</f>
        <v>9.2200000000000006</v>
      </c>
      <c r="AC104">
        <f>IF(Week&gt;=L$1,INDEX(Finals!$G$1:$G$501,L104),INDEX('F Proj'!$D$1:$D$7669,L104))</f>
        <v>9.49</v>
      </c>
      <c r="AD104">
        <f>IF(Week&gt;=M$1,INDEX(Finals!$G$1:$G$501,M104),INDEX('F Proj'!$D$1:$D$7669,M104))</f>
        <v>9.64</v>
      </c>
      <c r="AE104">
        <f>IF(Week&gt;=N$1,INDEX(Finals!$G$1:$G$501,N104),INDEX('F Proj'!$D$1:$D$7669,N104))</f>
        <v>6.93</v>
      </c>
      <c r="AF104">
        <f>IF(Week&gt;=O$1,INDEX(Finals!$G$1:$G$501,O104),INDEX('F Proj'!$D$1:$D$7669,O104))</f>
        <v>9.76</v>
      </c>
      <c r="AG104">
        <f>IF(Week&gt;=P$1,INDEX(Finals!$G$1:$G$501,P104),INDEX('F Proj'!$D$1:$D$7669,P104))</f>
        <v>9.8800000000000008</v>
      </c>
      <c r="AH104">
        <f>IF(Week&gt;=Q$1,INDEX(Finals!$G$1:$G$501,Q104),INDEX('F Proj'!$D$1:$D$7669,Q104))</f>
        <v>9.4</v>
      </c>
      <c r="AI104">
        <f>IF(Week&gt;=R$1,INDEX(Finals!$G$1:$G$501,R104),INDEX('F Proj'!$D$1:$D$7669,R104))</f>
        <v>10.66</v>
      </c>
      <c r="AJ104">
        <f>IF(Week&gt;=S$1,INDEX(Finals!$G$1:$G$501,S104),INDEX('F Proj'!$D$1:$D$7669,S104))</f>
        <v>8.89</v>
      </c>
      <c r="AK104">
        <f>IF(Week&gt;=C$1,INDEX(Finals!$I$1:$I$501,C104),INDEX('F Proj'!$J$1:$J$7669,C104))</f>
        <v>0</v>
      </c>
      <c r="AL104">
        <f>IF(Week&gt;=D$1,INDEX(Finals!$I$1:$I$501,D104),INDEX('F Proj'!$J$1:$J$7669,D104))</f>
        <v>0</v>
      </c>
      <c r="AM104">
        <f>IF(Week&gt;=E$1,INDEX(Finals!$I$1:$I$501,E104),INDEX('F Proj'!$J$1:$J$7669,E104))</f>
        <v>0</v>
      </c>
      <c r="AN104">
        <f>IF(Week&gt;=F$1,INDEX(Finals!$I$1:$I$501,F104),INDEX('F Proj'!$J$1:$J$7669,F104))</f>
        <v>0</v>
      </c>
      <c r="AO104">
        <f>IF(Week&gt;=G$1,INDEX(Finals!$I$1:$I$501,G104),INDEX('F Proj'!$J$1:$J$7669,G104))</f>
        <v>28.8369</v>
      </c>
      <c r="AP104">
        <f>IF(Week&gt;=H$1,INDEX(Finals!$I$1:$I$501,H104),INDEX('F Proj'!$J$1:$J$7669,H104))</f>
        <v>42.25</v>
      </c>
      <c r="AQ104">
        <f>IF(Week&gt;=I$1,INDEX(Finals!$I$1:$I$501,I104),INDEX('F Proj'!$J$1:$J$7669,I104))</f>
        <v>50.8369</v>
      </c>
      <c r="AR104">
        <f>IF(Week&gt;=J$1,INDEX(Finals!$I$1:$I$501,J104),INDEX('F Proj'!$J$1:$J$7669,J104))</f>
        <v>41.344900000000003</v>
      </c>
      <c r="AS104">
        <f>IF(Week&gt;=K$1,INDEX(Finals!$I$1:$I$501,K104),INDEX('F Proj'!$J$1:$J$7669,K104))</f>
        <v>32.947600000000001</v>
      </c>
      <c r="AT104">
        <f>IF(Week&gt;=L$1,INDEX(Finals!$I$1:$I$501,L104),INDEX('F Proj'!$J$1:$J$7669,L104))</f>
        <v>37.332099999999997</v>
      </c>
      <c r="AU104">
        <f>IF(Week&gt;=M$1,INDEX(Finals!$I$1:$I$501,M104),INDEX('F Proj'!$J$1:$J$7669,M104))</f>
        <v>37.088099999999997</v>
      </c>
      <c r="AV104">
        <f>IF(Week&gt;=N$1,INDEX(Finals!$I$1:$I$501,N104),INDEX('F Proj'!$J$1:$J$7669,N104))</f>
        <v>35.521599999999999</v>
      </c>
      <c r="AW104">
        <f>IF(Week&gt;=O$1,INDEX(Finals!$I$1:$I$501,O104),INDEX('F Proj'!$J$1:$J$7669,O104))</f>
        <v>32.148899999999998</v>
      </c>
      <c r="AX104">
        <f>IF(Week&gt;=P$1,INDEX(Finals!$I$1:$I$501,P104),INDEX('F Proj'!$J$1:$J$7669,P104))</f>
        <v>43.296399999999998</v>
      </c>
      <c r="AY104">
        <f>IF(Week&gt;=Q$1,INDEX(Finals!$I$1:$I$501,Q104),INDEX('F Proj'!$J$1:$J$7669,Q104))</f>
        <v>35.2836</v>
      </c>
      <c r="AZ104">
        <f>IF(Week&gt;=R$1,INDEX(Finals!$I$1:$I$501,R104),INDEX('F Proj'!$J$1:$J$7669,R104))</f>
        <v>40.7044</v>
      </c>
      <c r="BA104">
        <f>IF(Week&gt;=S$1,INDEX(Finals!$I$1:$I$501,S104),INDEX('F Proj'!$J$1:$J$7669,S104))</f>
        <v>70.224400000000003</v>
      </c>
    </row>
    <row r="105" spans="1:53" x14ac:dyDescent="0.25">
      <c r="A105" t="s">
        <v>49</v>
      </c>
      <c r="B105" t="s">
        <v>474</v>
      </c>
      <c r="C105" t="e">
        <f>IF(Week&gt;=C$1,MATCH($A105&amp;"-"&amp;C$1&amp;$B105,Finals!$J$1:$J$501,0),IFERROR(MATCH($A105&amp;C$1&amp;$B105,'F Proj'!$N$1:$N$7669,0),MATCH("NA"&amp;C$1&amp;$B105,'F Proj'!$N$1:$N$7669,0)))</f>
        <v>#N/A</v>
      </c>
      <c r="D105" t="e">
        <f>IF(Week&gt;=D$1,MATCH($A105&amp;"-"&amp;D$1&amp;$B105,Finals!$J$1:$J$501,0),IFERROR(MATCH($A105&amp;D$1&amp;$B105,'F Proj'!$N$1:$N$7669,0),MATCH("NA"&amp;D$1&amp;$B105,'F Proj'!$N$1:$N$7669,0)))</f>
        <v>#N/A</v>
      </c>
      <c r="E105" t="e">
        <f>IF(Week&gt;=E$1,MATCH($A105&amp;"-"&amp;E$1&amp;$B105,Finals!$J$1:$J$501,0),IFERROR(MATCH($A105&amp;E$1&amp;$B105,'F Proj'!$N$1:$N$7669,0),MATCH("NA"&amp;E$1&amp;$B105,'F Proj'!$N$1:$N$7669,0)))</f>
        <v>#N/A</v>
      </c>
      <c r="F105" t="e">
        <f>IF(Week&gt;=F$1,MATCH($A105&amp;"-"&amp;F$1&amp;$B105,Finals!$J$1:$J$501,0),IFERROR(MATCH($A105&amp;F$1&amp;$B105,'F Proj'!$N$1:$N$7669,0),MATCH("NA"&amp;F$1&amp;$B105,'F Proj'!$N$1:$N$7669,0)))</f>
        <v>#N/A</v>
      </c>
      <c r="G105" t="e">
        <f>IF(Week&gt;=G$1,MATCH($A105&amp;"-"&amp;G$1&amp;$B105,Finals!$J$1:$J$501,0),IFERROR(MATCH($A105&amp;G$1&amp;$B105,'F Proj'!$N$1:$N$7669,0),MATCH("NA"&amp;G$1&amp;$B105,'F Proj'!$N$1:$N$7669,0)))</f>
        <v>#N/A</v>
      </c>
      <c r="H105">
        <f>IF(Week&gt;=H$1,MATCH($A105&amp;"-"&amp;H$1&amp;$B105,Finals!$J$1:$J$501,0),IFERROR(MATCH($A105&amp;H$1&amp;$B105,'F Proj'!$N$1:$N$7669,0),MATCH("NA"&amp;H$1&amp;$B105,'F Proj'!$N$1:$N$7669,0)))</f>
        <v>1919</v>
      </c>
      <c r="I105">
        <f>IF(Week&gt;=I$1,MATCH($A105&amp;"-"&amp;I$1&amp;$B105,Finals!$J$1:$J$501,0),IFERROR(MATCH($A105&amp;I$1&amp;$B105,'F Proj'!$N$1:$N$7669,0),MATCH("NA"&amp;I$1&amp;$B105,'F Proj'!$N$1:$N$7669,0)))</f>
        <v>1412</v>
      </c>
      <c r="J105">
        <f>IF(Week&gt;=J$1,MATCH($A105&amp;"-"&amp;J$1&amp;$B105,Finals!$J$1:$J$501,0),IFERROR(MATCH($A105&amp;J$1&amp;$B105,'F Proj'!$N$1:$N$7669,0),MATCH("NA"&amp;J$1&amp;$B105,'F Proj'!$N$1:$N$7669,0)))</f>
        <v>1567</v>
      </c>
      <c r="K105">
        <f>IF(Week&gt;=K$1,MATCH($A105&amp;"-"&amp;K$1&amp;$B105,Finals!$J$1:$J$501,0),IFERROR(MATCH($A105&amp;K$1&amp;$B105,'F Proj'!$N$1:$N$7669,0),MATCH("NA"&amp;K$1&amp;$B105,'F Proj'!$N$1:$N$7669,0)))</f>
        <v>1500</v>
      </c>
      <c r="L105">
        <f>IF(Week&gt;=L$1,MATCH($A105&amp;"-"&amp;L$1&amp;$B105,Finals!$J$1:$J$501,0),IFERROR(MATCH($A105&amp;L$1&amp;$B105,'F Proj'!$N$1:$N$7669,0),MATCH("NA"&amp;L$1&amp;$B105,'F Proj'!$N$1:$N$7669,0)))</f>
        <v>1300</v>
      </c>
      <c r="M105">
        <f>IF(Week&gt;=M$1,MATCH($A105&amp;"-"&amp;M$1&amp;$B105,Finals!$J$1:$J$501,0),IFERROR(MATCH($A105&amp;M$1&amp;$B105,'F Proj'!$N$1:$N$7669,0),MATCH("NA"&amp;M$1&amp;$B105,'F Proj'!$N$1:$N$7669,0)))</f>
        <v>1352</v>
      </c>
      <c r="N105">
        <f>IF(Week&gt;=N$1,MATCH($A105&amp;"-"&amp;N$1&amp;$B105,Finals!$J$1:$J$501,0),IFERROR(MATCH($A105&amp;N$1&amp;$B105,'F Proj'!$N$1:$N$7669,0),MATCH("NA"&amp;N$1&amp;$B105,'F Proj'!$N$1:$N$7669,0)))</f>
        <v>1812</v>
      </c>
      <c r="O105">
        <f>IF(Week&gt;=O$1,MATCH($A105&amp;"-"&amp;O$1&amp;$B105,Finals!$J$1:$J$501,0),IFERROR(MATCH($A105&amp;O$1&amp;$B105,'F Proj'!$N$1:$N$7669,0),MATCH("NA"&amp;O$1&amp;$B105,'F Proj'!$N$1:$N$7669,0)))</f>
        <v>1131</v>
      </c>
      <c r="P105">
        <f>IF(Week&gt;=P$1,MATCH($A105&amp;"-"&amp;P$1&amp;$B105,Finals!$J$1:$J$501,0),IFERROR(MATCH($A105&amp;P$1&amp;$B105,'F Proj'!$N$1:$N$7669,0),MATCH("NA"&amp;P$1&amp;$B105,'F Proj'!$N$1:$N$7669,0)))</f>
        <v>1178</v>
      </c>
      <c r="Q105">
        <f>IF(Week&gt;=Q$1,MATCH($A105&amp;"-"&amp;Q$1&amp;$B105,Finals!$J$1:$J$501,0),IFERROR(MATCH($A105&amp;Q$1&amp;$B105,'F Proj'!$N$1:$N$7669,0),MATCH("NA"&amp;Q$1&amp;$B105,'F Proj'!$N$1:$N$7669,0)))</f>
        <v>1733</v>
      </c>
      <c r="R105">
        <f>IF(Week&gt;=R$1,MATCH($A105&amp;"-"&amp;R$1&amp;$B105,Finals!$J$1:$J$501,0),IFERROR(MATCH($A105&amp;R$1&amp;$B105,'F Proj'!$N$1:$N$7669,0),MATCH("NA"&amp;R$1&amp;$B105,'F Proj'!$N$1:$N$7669,0)))</f>
        <v>1418</v>
      </c>
      <c r="S105">
        <f>IF(Week&gt;=S$1,MATCH($A105&amp;"-"&amp;S$1&amp;$B105,Finals!$J$1:$J$501,0),IFERROR(MATCH($A105&amp;S$1&amp;$B105,'F Proj'!$N$1:$N$7669,0),MATCH("NA"&amp;S$1&amp;$B105,'F Proj'!$N$1:$N$7669,0)))</f>
        <v>1456</v>
      </c>
    </row>
    <row r="106" spans="1:53" x14ac:dyDescent="0.25">
      <c r="A106" t="s">
        <v>49</v>
      </c>
      <c r="B106" t="s">
        <v>466</v>
      </c>
      <c r="C106">
        <f>IF(Week&gt;=C$1,MATCH($A106&amp;"-"&amp;C$1&amp;$B106,Finals!$J$1:$J$501,0),MIN(C101,C105))</f>
        <v>186</v>
      </c>
      <c r="D106">
        <f>IF(Week&gt;=D$1,MATCH($A106&amp;"-"&amp;D$1&amp;$B106,Finals!$J$1:$J$501,0),MIN(D101,D105))</f>
        <v>187</v>
      </c>
      <c r="E106">
        <f>IF(Week&gt;=E$1,MATCH($A106&amp;"-"&amp;E$1&amp;$B106,Finals!$J$1:$J$501,0),MIN(E101,E105))</f>
        <v>158</v>
      </c>
      <c r="F106">
        <f>IF(Week&gt;=F$1,MATCH($A106&amp;"-"&amp;F$1&amp;$B106,Finals!$J$1:$J$501,0),MIN(F101,F105))</f>
        <v>89</v>
      </c>
      <c r="G106">
        <f>IF(Week&gt;=G$1,MATCH($A106&amp;"-"&amp;G$1&amp;$B106,Finals!$J$1:$J$501,0),MIN(G101,G105))</f>
        <v>90</v>
      </c>
      <c r="H106">
        <f>IF(Week&gt;=H$1,MATCH($A106&amp;"-"&amp;H$1&amp;$B106,Finals!$J$1:$J$501,0),MIN(H101,H105))</f>
        <v>1140</v>
      </c>
      <c r="I106">
        <f>IF(Week&gt;=I$1,MATCH($A106&amp;"-"&amp;I$1&amp;$B106,Finals!$J$1:$J$501,0),MIN(I101,I105))</f>
        <v>979</v>
      </c>
      <c r="J106">
        <f>IF(Week&gt;=J$1,MATCH($A106&amp;"-"&amp;J$1&amp;$B106,Finals!$J$1:$J$501,0),MIN(J101,J105))</f>
        <v>1567</v>
      </c>
      <c r="K106">
        <f>IF(Week&gt;=K$1,MATCH($A106&amp;"-"&amp;K$1&amp;$B106,Finals!$J$1:$J$501,0),MIN(K101,K105))</f>
        <v>1500</v>
      </c>
      <c r="L106">
        <f>IF(Week&gt;=L$1,MATCH($A106&amp;"-"&amp;L$1&amp;$B106,Finals!$J$1:$J$501,0),MIN(L101,L105))</f>
        <v>876</v>
      </c>
      <c r="M106">
        <f>IF(Week&gt;=M$1,MATCH($A106&amp;"-"&amp;M$1&amp;$B106,Finals!$J$1:$J$501,0),MIN(M101,M105))</f>
        <v>980</v>
      </c>
      <c r="N106">
        <f>IF(Week&gt;=N$1,MATCH($A106&amp;"-"&amp;N$1&amp;$B106,Finals!$J$1:$J$501,0),MIN(N101,N105))</f>
        <v>965</v>
      </c>
      <c r="O106">
        <f>IF(Week&gt;=O$1,MATCH($A106&amp;"-"&amp;O$1&amp;$B106,Finals!$J$1:$J$501,0),MIN(O101,O105))</f>
        <v>874</v>
      </c>
      <c r="P106">
        <f>IF(Week&gt;=P$1,MATCH($A106&amp;"-"&amp;P$1&amp;$B106,Finals!$J$1:$J$501,0),MIN(P101,P105))</f>
        <v>997</v>
      </c>
      <c r="Q106">
        <f>IF(Week&gt;=Q$1,MATCH($A106&amp;"-"&amp;Q$1&amp;$B106,Finals!$J$1:$J$501,0),MIN(Q101,Q105))</f>
        <v>1028</v>
      </c>
      <c r="R106">
        <f>IF(Week&gt;=R$1,MATCH($A106&amp;"-"&amp;R$1&amp;$B106,Finals!$J$1:$J$501,0),MIN(R101,R105))</f>
        <v>781</v>
      </c>
      <c r="S106">
        <f>IF(Week&gt;=S$1,MATCH($A106&amp;"-"&amp;S$1&amp;$B106,Finals!$J$1:$J$501,0),MIN(S101,S105))</f>
        <v>1009</v>
      </c>
      <c r="T106">
        <f>IF(Week&gt;=C$1,INDEX(Finals!$G$1:$G$501,C106),INDEX('F Proj'!$D$1:$D$7669,C106))</f>
        <v>20.2</v>
      </c>
      <c r="U106">
        <f>IF(Week&gt;=D$1,INDEX(Finals!$G$1:$G$501,D106),INDEX('F Proj'!$D$1:$D$7669,D106))</f>
        <v>8.6999999999999993</v>
      </c>
      <c r="V106">
        <f>IF(Week&gt;=E$1,INDEX(Finals!$G$1:$G$501,E106),INDEX('F Proj'!$D$1:$D$7669,E106))</f>
        <v>13.6</v>
      </c>
      <c r="W106">
        <f>IF(Week&gt;=F$1,INDEX(Finals!$G$1:$G$501,F106),INDEX('F Proj'!$D$1:$D$7669,F106))</f>
        <v>22.1</v>
      </c>
      <c r="X106">
        <f>IF(Week&gt;=G$1,INDEX(Finals!$G$1:$G$501,G106),INDEX('F Proj'!$D$1:$D$7669,G106))</f>
        <v>9.16</v>
      </c>
      <c r="Y106">
        <f>IF(Week&gt;=H$1,INDEX(Finals!$G$1:$G$501,H106),INDEX('F Proj'!$D$1:$D$7669,H106))</f>
        <v>9.7100000000000009</v>
      </c>
      <c r="Z106">
        <f>IF(Week&gt;=I$1,INDEX(Finals!$G$1:$G$501,I106),INDEX('F Proj'!$D$1:$D$7669,I106))</f>
        <v>10.56</v>
      </c>
      <c r="AA106">
        <f>IF(Week&gt;=J$1,INDEX(Finals!$G$1:$G$501,J106),INDEX('F Proj'!$D$1:$D$7669,J106))</f>
        <v>7.91</v>
      </c>
      <c r="AB106">
        <f>IF(Week&gt;=K$1,INDEX(Finals!$G$1:$G$501,K106),INDEX('F Proj'!$D$1:$D$7669,K106))</f>
        <v>8.11</v>
      </c>
      <c r="AC106">
        <f>IF(Week&gt;=L$1,INDEX(Finals!$G$1:$G$501,L106),INDEX('F Proj'!$D$1:$D$7669,L106))</f>
        <v>11.42</v>
      </c>
      <c r="AD106">
        <f>IF(Week&gt;=M$1,INDEX(Finals!$G$1:$G$501,M106),INDEX('F Proj'!$D$1:$D$7669,M106))</f>
        <v>10.55</v>
      </c>
      <c r="AE106">
        <f>IF(Week&gt;=N$1,INDEX(Finals!$G$1:$G$501,N106),INDEX('F Proj'!$D$1:$D$7669,N106))</f>
        <v>10.64</v>
      </c>
      <c r="AF106">
        <f>IF(Week&gt;=O$1,INDEX(Finals!$G$1:$G$501,O106),INDEX('F Proj'!$D$1:$D$7669,O106))</f>
        <v>11.47</v>
      </c>
      <c r="AG106">
        <f>IF(Week&gt;=P$1,INDEX(Finals!$G$1:$G$501,P106),INDEX('F Proj'!$D$1:$D$7669,P106))</f>
        <v>10.42</v>
      </c>
      <c r="AH106">
        <f>IF(Week&gt;=Q$1,INDEX(Finals!$G$1:$G$501,Q106),INDEX('F Proj'!$D$1:$D$7669,Q106))</f>
        <v>10.26</v>
      </c>
      <c r="AI106">
        <f>IF(Week&gt;=R$1,INDEX(Finals!$G$1:$G$501,R106),INDEX('F Proj'!$D$1:$D$7669,R106))</f>
        <v>12.3</v>
      </c>
      <c r="AJ106">
        <f>IF(Week&gt;=S$1,INDEX(Finals!$G$1:$G$501,S106),INDEX('F Proj'!$D$1:$D$7669,S106))</f>
        <v>10.37</v>
      </c>
      <c r="AK106">
        <f>IF(Week&gt;=C$1,INDEX(Finals!$I$1:$I$501,C106),INDEX('F Proj'!$J$1:$J$7669,C106))</f>
        <v>0</v>
      </c>
      <c r="AL106">
        <f>IF(Week&gt;=D$1,INDEX(Finals!$I$1:$I$501,D106),INDEX('F Proj'!$J$1:$J$7669,D106))</f>
        <v>0</v>
      </c>
      <c r="AM106">
        <f>IF(Week&gt;=E$1,INDEX(Finals!$I$1:$I$501,E106),INDEX('F Proj'!$J$1:$J$7669,E106))</f>
        <v>0</v>
      </c>
      <c r="AN106">
        <f>IF(Week&gt;=F$1,INDEX(Finals!$I$1:$I$501,F106),INDEX('F Proj'!$J$1:$J$7669,F106))</f>
        <v>0</v>
      </c>
      <c r="AO106">
        <f>IF(Week&gt;=G$1,INDEX(Finals!$I$1:$I$501,G106),INDEX('F Proj'!$J$1:$J$7669,G106))</f>
        <v>58.216900000000003</v>
      </c>
      <c r="AP106">
        <f>IF(Week&gt;=H$1,INDEX(Finals!$I$1:$I$501,H106),INDEX('F Proj'!$J$1:$J$7669,H106))</f>
        <v>60.217599999999997</v>
      </c>
      <c r="AQ106">
        <f>IF(Week&gt;=I$1,INDEX(Finals!$I$1:$I$501,I106),INDEX('F Proj'!$J$1:$J$7669,I106))</f>
        <v>55.204900000000002</v>
      </c>
      <c r="AR106">
        <f>IF(Week&gt;=J$1,INDEX(Finals!$I$1:$I$501,J106),INDEX('F Proj'!$J$1:$J$7669,J106))</f>
        <v>36.120100000000001</v>
      </c>
      <c r="AS106">
        <f>IF(Week&gt;=K$1,INDEX(Finals!$I$1:$I$501,K106),INDEX('F Proj'!$J$1:$J$7669,K106))</f>
        <v>53.436100000000003</v>
      </c>
      <c r="AT106">
        <f>IF(Week&gt;=L$1,INDEX(Finals!$I$1:$I$501,L106),INDEX('F Proj'!$J$1:$J$7669,L106))</f>
        <v>56.25</v>
      </c>
      <c r="AU106">
        <f>IF(Week&gt;=M$1,INDEX(Finals!$I$1:$I$501,M106),INDEX('F Proj'!$J$1:$J$7669,M106))</f>
        <v>48.720399999999998</v>
      </c>
      <c r="AV106">
        <f>IF(Week&gt;=N$1,INDEX(Finals!$I$1:$I$501,N106),INDEX('F Proj'!$J$1:$J$7669,N106))</f>
        <v>60.217599999999997</v>
      </c>
      <c r="AW106">
        <f>IF(Week&gt;=O$1,INDEX(Finals!$I$1:$I$501,O106),INDEX('F Proj'!$J$1:$J$7669,O106))</f>
        <v>63.680399999999999</v>
      </c>
      <c r="AX106">
        <f>IF(Week&gt;=P$1,INDEX(Finals!$I$1:$I$501,P106),INDEX('F Proj'!$J$1:$J$7669,P106))</f>
        <v>56.25</v>
      </c>
      <c r="AY106">
        <f>IF(Week&gt;=Q$1,INDEX(Finals!$I$1:$I$501,Q106),INDEX('F Proj'!$J$1:$J$7669,Q106))</f>
        <v>63.8401</v>
      </c>
      <c r="AZ106">
        <f>IF(Week&gt;=R$1,INDEX(Finals!$I$1:$I$501,R106),INDEX('F Proj'!$J$1:$J$7669,R106))</f>
        <v>68.89</v>
      </c>
      <c r="BA106">
        <f>IF(Week&gt;=S$1,INDEX(Finals!$I$1:$I$501,S106),INDEX('F Proj'!$J$1:$J$7669,S106))</f>
        <v>63.680399999999999</v>
      </c>
    </row>
    <row r="107" spans="1:53" x14ac:dyDescent="0.25">
      <c r="A107" t="s">
        <v>49</v>
      </c>
      <c r="B107" t="s">
        <v>475</v>
      </c>
      <c r="C107">
        <f>IF(Week&gt;=C$1,MATCH($A107&amp;"-"&amp;C$1&amp;$B107,Finals!$J$1:$J$501,0),IFERROR(MATCH($A107&amp;C$1&amp;$B107,'F Proj'!$N$1:$N$7669,0),MATCH("NA"&amp;C$1&amp;$B107,'F Proj'!$N$1:$N$7669,0)))</f>
        <v>204</v>
      </c>
      <c r="D107">
        <f>IF(Week&gt;=D$1,MATCH($A107&amp;"-"&amp;D$1&amp;$B107,Finals!$J$1:$J$501,0),IFERROR(MATCH($A107&amp;D$1&amp;$B107,'F Proj'!$N$1:$N$7669,0),MATCH("NA"&amp;D$1&amp;$B107,'F Proj'!$N$1:$N$7669,0)))</f>
        <v>205</v>
      </c>
      <c r="E107">
        <f>IF(Week&gt;=E$1,MATCH($A107&amp;"-"&amp;E$1&amp;$B107,Finals!$J$1:$J$501,0),IFERROR(MATCH($A107&amp;E$1&amp;$B107,'F Proj'!$N$1:$N$7669,0),MATCH("NA"&amp;E$1&amp;$B107,'F Proj'!$N$1:$N$7669,0)))</f>
        <v>206</v>
      </c>
      <c r="F107">
        <f>IF(Week&gt;=F$1,MATCH($A107&amp;"-"&amp;F$1&amp;$B107,Finals!$J$1:$J$501,0),IFERROR(MATCH($A107&amp;F$1&amp;$B107,'F Proj'!$N$1:$N$7669,0),MATCH("NA"&amp;F$1&amp;$B107,'F Proj'!$N$1:$N$7669,0)))</f>
        <v>386</v>
      </c>
      <c r="G107">
        <f>IF(Week&gt;=G$1,MATCH($A107&amp;"-"&amp;G$1&amp;$B107,Finals!$J$1:$J$501,0),IFERROR(MATCH($A107&amp;G$1&amp;$B107,'F Proj'!$N$1:$N$7669,0),MATCH("NA"&amp;G$1&amp;$B107,'F Proj'!$N$1:$N$7669,0)))</f>
        <v>207</v>
      </c>
      <c r="H107">
        <f>IF(Week&gt;=H$1,MATCH($A107&amp;"-"&amp;H$1&amp;$B107,Finals!$J$1:$J$501,0),IFERROR(MATCH($A107&amp;H$1&amp;$B107,'F Proj'!$N$1:$N$7669,0),MATCH("NA"&amp;H$1&amp;$B107,'F Proj'!$N$1:$N$7669,0)))</f>
        <v>1421</v>
      </c>
      <c r="I107">
        <f>IF(Week&gt;=I$1,MATCH($A107&amp;"-"&amp;I$1&amp;$B107,Finals!$J$1:$J$501,0),IFERROR(MATCH($A107&amp;I$1&amp;$B107,'F Proj'!$N$1:$N$7669,0),MATCH("NA"&amp;I$1&amp;$B107,'F Proj'!$N$1:$N$7669,0)))</f>
        <v>1848</v>
      </c>
      <c r="J107">
        <f>IF(Week&gt;=J$1,MATCH($A107&amp;"-"&amp;J$1&amp;$B107,Finals!$J$1:$J$501,0),IFERROR(MATCH($A107&amp;J$1&amp;$B107,'F Proj'!$N$1:$N$7669,0),MATCH("NA"&amp;J$1&amp;$B107,'F Proj'!$N$1:$N$7669,0)))</f>
        <v>1554</v>
      </c>
      <c r="K107">
        <f>IF(Week&gt;=K$1,MATCH($A107&amp;"-"&amp;K$1&amp;$B107,Finals!$J$1:$J$501,0),IFERROR(MATCH($A107&amp;K$1&amp;$B107,'F Proj'!$N$1:$N$7669,0),MATCH("NA"&amp;K$1&amp;$B107,'F Proj'!$N$1:$N$7669,0)))</f>
        <v>2038</v>
      </c>
      <c r="L107">
        <f>IF(Week&gt;=L$1,MATCH($A107&amp;"-"&amp;L$1&amp;$B107,Finals!$J$1:$J$501,0),IFERROR(MATCH($A107&amp;L$1&amp;$B107,'F Proj'!$N$1:$N$7669,0),MATCH("NA"&amp;L$1&amp;$B107,'F Proj'!$N$1:$N$7669,0)))</f>
        <v>2100</v>
      </c>
      <c r="M107">
        <f>IF(Week&gt;=M$1,MATCH($A107&amp;"-"&amp;M$1&amp;$B107,Finals!$J$1:$J$501,0),IFERROR(MATCH($A107&amp;M$1&amp;$B107,'F Proj'!$N$1:$N$7669,0),MATCH("NA"&amp;M$1&amp;$B107,'F Proj'!$N$1:$N$7669,0)))</f>
        <v>2009</v>
      </c>
      <c r="N107">
        <f>IF(Week&gt;=N$1,MATCH($A107&amp;"-"&amp;N$1&amp;$B107,Finals!$J$1:$J$501,0),IFERROR(MATCH($A107&amp;N$1&amp;$B107,'F Proj'!$N$1:$N$7669,0),MATCH("NA"&amp;N$1&amp;$B107,'F Proj'!$N$1:$N$7669,0)))</f>
        <v>1938</v>
      </c>
      <c r="O107">
        <f>IF(Week&gt;=O$1,MATCH($A107&amp;"-"&amp;O$1&amp;$B107,Finals!$J$1:$J$501,0),IFERROR(MATCH($A107&amp;O$1&amp;$B107,'F Proj'!$N$1:$N$7669,0),MATCH("NA"&amp;O$1&amp;$B107,'F Proj'!$N$1:$N$7669,0)))</f>
        <v>1851</v>
      </c>
      <c r="P107">
        <f>IF(Week&gt;=P$1,MATCH($A107&amp;"-"&amp;P$1&amp;$B107,Finals!$J$1:$J$501,0),IFERROR(MATCH($A107&amp;P$1&amp;$B107,'F Proj'!$N$1:$N$7669,0),MATCH("NA"&amp;P$1&amp;$B107,'F Proj'!$N$1:$N$7669,0)))</f>
        <v>1438</v>
      </c>
      <c r="Q107">
        <f>IF(Week&gt;=Q$1,MATCH($A107&amp;"-"&amp;Q$1&amp;$B107,Finals!$J$1:$J$501,0),IFERROR(MATCH($A107&amp;Q$1&amp;$B107,'F Proj'!$N$1:$N$7669,0),MATCH("NA"&amp;Q$1&amp;$B107,'F Proj'!$N$1:$N$7669,0)))</f>
        <v>2429</v>
      </c>
      <c r="R107">
        <f>IF(Week&gt;=R$1,MATCH($A107&amp;"-"&amp;R$1&amp;$B107,Finals!$J$1:$J$501,0),IFERROR(MATCH($A107&amp;R$1&amp;$B107,'F Proj'!$N$1:$N$7669,0),MATCH("NA"&amp;R$1&amp;$B107,'F Proj'!$N$1:$N$7669,0)))</f>
        <v>1816</v>
      </c>
      <c r="S107">
        <f>IF(Week&gt;=S$1,MATCH($A107&amp;"-"&amp;S$1&amp;$B107,Finals!$J$1:$J$501,0),IFERROR(MATCH($A107&amp;S$1&amp;$B107,'F Proj'!$N$1:$N$7669,0),MATCH("NA"&amp;S$1&amp;$B107,'F Proj'!$N$1:$N$7669,0)))</f>
        <v>1731</v>
      </c>
      <c r="T107">
        <f>IF(Week&gt;=C$1,INDEX(Finals!$G$1:$G$501,C107),INDEX('F Proj'!$D$1:$D$7669,C107))</f>
        <v>10.8</v>
      </c>
      <c r="U107">
        <f>IF(Week&gt;=D$1,INDEX(Finals!$G$1:$G$501,D107),INDEX('F Proj'!$D$1:$D$7669,D107))</f>
        <v>3.5</v>
      </c>
      <c r="V107">
        <f>IF(Week&gt;=E$1,INDEX(Finals!$G$1:$G$501,E107),INDEX('F Proj'!$D$1:$D$7669,E107))</f>
        <v>6.5</v>
      </c>
      <c r="W107">
        <f>IF(Week&gt;=F$1,INDEX(Finals!$G$1:$G$501,F107),INDEX('F Proj'!$D$1:$D$7669,F107))</f>
        <v>9.8000000000000007</v>
      </c>
      <c r="X107">
        <f>IF(Week&gt;=G$1,INDEX(Finals!$G$1:$G$501,G107),INDEX('F Proj'!$D$1:$D$7669,G107))</f>
        <v>7.57</v>
      </c>
      <c r="Y107">
        <f>IF(Week&gt;=H$1,INDEX(Finals!$G$1:$G$501,H107),INDEX('F Proj'!$D$1:$D$7669,H107))</f>
        <v>8.3800000000000008</v>
      </c>
      <c r="Z107">
        <f>IF(Week&gt;=I$1,INDEX(Finals!$G$1:$G$501,I107),INDEX('F Proj'!$D$1:$D$7669,I107))</f>
        <v>6.95</v>
      </c>
      <c r="AA107">
        <f>IF(Week&gt;=J$1,INDEX(Finals!$G$1:$G$501,J107),INDEX('F Proj'!$D$1:$D$7669,J107))</f>
        <v>7.95</v>
      </c>
      <c r="AB107">
        <f>IF(Week&gt;=K$1,INDEX(Finals!$G$1:$G$501,K107),INDEX('F Proj'!$D$1:$D$7669,K107))</f>
        <v>6.4</v>
      </c>
      <c r="AC107">
        <f>IF(Week&gt;=L$1,INDEX(Finals!$G$1:$G$501,L107),INDEX('F Proj'!$D$1:$D$7669,L107))</f>
        <v>6.22</v>
      </c>
      <c r="AD107">
        <f>IF(Week&gt;=M$1,INDEX(Finals!$G$1:$G$501,M107),INDEX('F Proj'!$D$1:$D$7669,M107))</f>
        <v>6.47</v>
      </c>
      <c r="AE107">
        <f>IF(Week&gt;=N$1,INDEX(Finals!$G$1:$G$501,N107),INDEX('F Proj'!$D$1:$D$7669,N107))</f>
        <v>6.68</v>
      </c>
      <c r="AF107">
        <f>IF(Week&gt;=O$1,INDEX(Finals!$G$1:$G$501,O107),INDEX('F Proj'!$D$1:$D$7669,O107))</f>
        <v>6.94</v>
      </c>
      <c r="AG107">
        <f>IF(Week&gt;=P$1,INDEX(Finals!$G$1:$G$501,P107),INDEX('F Proj'!$D$1:$D$7669,P107))</f>
        <v>8.31</v>
      </c>
      <c r="AH107">
        <f>IF(Week&gt;=Q$1,INDEX(Finals!$G$1:$G$501,Q107),INDEX('F Proj'!$D$1:$D$7669,Q107))</f>
        <v>5.4</v>
      </c>
      <c r="AI107">
        <f>IF(Week&gt;=R$1,INDEX(Finals!$G$1:$G$501,R107),INDEX('F Proj'!$D$1:$D$7669,R107))</f>
        <v>7.05</v>
      </c>
      <c r="AJ107">
        <f>IF(Week&gt;=S$1,INDEX(Finals!$G$1:$G$501,S107),INDEX('F Proj'!$D$1:$D$7669,S107))</f>
        <v>7.3</v>
      </c>
      <c r="AK107">
        <f>IF(Week&gt;=C$1,INDEX(Finals!$I$1:$I$501,C107),INDEX('F Proj'!$J$1:$J$7669,C107))</f>
        <v>0</v>
      </c>
      <c r="AL107">
        <f>IF(Week&gt;=D$1,INDEX(Finals!$I$1:$I$501,D107),INDEX('F Proj'!$J$1:$J$7669,D107))</f>
        <v>0</v>
      </c>
      <c r="AM107">
        <f>IF(Week&gt;=E$1,INDEX(Finals!$I$1:$I$501,E107),INDEX('F Proj'!$J$1:$J$7669,E107))</f>
        <v>0</v>
      </c>
      <c r="AN107">
        <f>IF(Week&gt;=F$1,INDEX(Finals!$I$1:$I$501,F107),INDEX('F Proj'!$J$1:$J$7669,F107))</f>
        <v>0</v>
      </c>
      <c r="AO107">
        <f>IF(Week&gt;=G$1,INDEX(Finals!$I$1:$I$501,G107),INDEX('F Proj'!$J$1:$J$7669,G107))</f>
        <v>32.832900000000002</v>
      </c>
      <c r="AP107">
        <f>IF(Week&gt;=H$1,INDEX(Finals!$I$1:$I$501,H107),INDEX('F Proj'!$J$1:$J$7669,H107))</f>
        <v>56.100099999999998</v>
      </c>
      <c r="AQ107">
        <f>IF(Week&gt;=I$1,INDEX(Finals!$I$1:$I$501,I107),INDEX('F Proj'!$J$1:$J$7669,I107))</f>
        <v>46.785600000000002</v>
      </c>
      <c r="AR107">
        <f>IF(Week&gt;=J$1,INDEX(Finals!$I$1:$I$501,J107),INDEX('F Proj'!$J$1:$J$7669,J107))</f>
        <v>55.3536</v>
      </c>
      <c r="AS107">
        <f>IF(Week&gt;=K$1,INDEX(Finals!$I$1:$I$501,K107),INDEX('F Proj'!$J$1:$J$7669,K107))</f>
        <v>27.457599999999999</v>
      </c>
      <c r="AT107">
        <f>IF(Week&gt;=L$1,INDEX(Finals!$I$1:$I$501,L107),INDEX('F Proj'!$J$1:$J$7669,L107))</f>
        <v>29.4849</v>
      </c>
      <c r="AU107">
        <f>IF(Week&gt;=M$1,INDEX(Finals!$I$1:$I$501,M107),INDEX('F Proj'!$J$1:$J$7669,M107))</f>
        <v>29.052099999999999</v>
      </c>
      <c r="AV107">
        <f>IF(Week&gt;=N$1,INDEX(Finals!$I$1:$I$501,N107),INDEX('F Proj'!$J$1:$J$7669,N107))</f>
        <v>46.785600000000002</v>
      </c>
      <c r="AW107">
        <f>IF(Week&gt;=O$1,INDEX(Finals!$I$1:$I$501,O107),INDEX('F Proj'!$J$1:$J$7669,O107))</f>
        <v>46.648899999999998</v>
      </c>
      <c r="AX107">
        <f>IF(Week&gt;=P$1,INDEX(Finals!$I$1:$I$501,P107),INDEX('F Proj'!$J$1:$J$7669,P107))</f>
        <v>55.3536</v>
      </c>
      <c r="AY107">
        <f>IF(Week&gt;=Q$1,INDEX(Finals!$I$1:$I$501,Q107),INDEX('F Proj'!$J$1:$J$7669,Q107))</f>
        <v>19.980899999999998</v>
      </c>
      <c r="AZ107">
        <f>IF(Week&gt;=R$1,INDEX(Finals!$I$1:$I$501,R107),INDEX('F Proj'!$J$1:$J$7669,R107))</f>
        <v>49.140099999999997</v>
      </c>
      <c r="BA107">
        <f>IF(Week&gt;=S$1,INDEX(Finals!$I$1:$I$501,S107),INDEX('F Proj'!$J$1:$J$7669,S107))</f>
        <v>46.648899999999998</v>
      </c>
    </row>
    <row r="108" spans="1:53" x14ac:dyDescent="0.25">
      <c r="A108" t="s">
        <v>49</v>
      </c>
      <c r="B108" t="s">
        <v>477</v>
      </c>
      <c r="C108">
        <f>IF(Week&gt;=C$1,MATCH($A108&amp;"-"&amp;C$1&amp;$B108,Finals!$J$1:$J$501,0),IFERROR(MATCH($A108&amp;C$1,'D Proj'!$V$1:$V$514,0),MATCH("NA"&amp;C$1,'D Proj'!$V$1:$V$514,0)))</f>
        <v>478</v>
      </c>
      <c r="D108">
        <f>IF(Week&gt;=D$1,MATCH($A108&amp;"-"&amp;D$1&amp;$B108,Finals!$J$1:$J$501,0),IFERROR(MATCH($A108&amp;D$1,'D Proj'!$V$1:$V$514,0),MATCH("NA"&amp;D$1,'D Proj'!$V$1:$V$514,0)))</f>
        <v>479</v>
      </c>
      <c r="E108">
        <f>IF(Week&gt;=E$1,MATCH($A108&amp;"-"&amp;E$1&amp;$B108,Finals!$J$1:$J$501,0),IFERROR(MATCH($A108&amp;E$1,'D Proj'!$V$1:$V$514,0),MATCH("NA"&amp;E$1,'D Proj'!$V$1:$V$514,0)))</f>
        <v>487</v>
      </c>
      <c r="F108">
        <f>IF(Week&gt;=F$1,MATCH($A108&amp;"-"&amp;F$1&amp;$B108,Finals!$J$1:$J$501,0),IFERROR(MATCH($A108&amp;F$1,'D Proj'!$V$1:$V$514,0),MATCH("NA"&amp;F$1,'D Proj'!$V$1:$V$514,0)))</f>
        <v>458</v>
      </c>
      <c r="G108">
        <f>IF(Week&gt;=G$1,MATCH($A108&amp;"-"&amp;G$1&amp;$B108,Finals!$J$1:$J$501,0),IFERROR(MATCH($A108&amp;G$1,'D Proj'!$V$1:$V$514,0),MATCH("NA"&amp;G$1,'D Proj'!$V$1:$V$514,0)))</f>
        <v>459</v>
      </c>
      <c r="H108">
        <f>IF(Week&gt;=H$1,MATCH($A108&amp;"-"&amp;H$1&amp;$B108,Finals!$J$1:$J$501,0),IFERROR(MATCH($A108&amp;H$1,'D Proj'!$V$1:$V$514,0),MATCH("NA"&amp;H$1,'D Proj'!$V$1:$V$514,0)))</f>
        <v>470</v>
      </c>
      <c r="I108">
        <f>IF(Week&gt;=I$1,MATCH($A108&amp;"-"&amp;I$1&amp;$B108,Finals!$J$1:$J$501,0),IFERROR(MATCH($A108&amp;I$1,'D Proj'!$V$1:$V$514,0),MATCH("NA"&amp;I$1,'D Proj'!$V$1:$V$514,0)))</f>
        <v>380</v>
      </c>
      <c r="J108">
        <f>IF(Week&gt;=J$1,MATCH($A108&amp;"-"&amp;J$1&amp;$B108,Finals!$J$1:$J$501,0),IFERROR(MATCH($A108&amp;J$1,'D Proj'!$V$1:$V$514,0),MATCH("NA"&amp;J$1,'D Proj'!$V$1:$V$514,0)))</f>
        <v>395</v>
      </c>
      <c r="K108">
        <f>IF(Week&gt;=K$1,MATCH($A108&amp;"-"&amp;K$1&amp;$B108,Finals!$J$1:$J$501,0),IFERROR(MATCH($A108&amp;K$1,'D Proj'!$V$1:$V$514,0),MATCH("NA"&amp;K$1,'D Proj'!$V$1:$V$514,0)))</f>
        <v>448</v>
      </c>
      <c r="L108">
        <f>IF(Week&gt;=L$1,MATCH($A108&amp;"-"&amp;L$1&amp;$B108,Finals!$J$1:$J$501,0),IFERROR(MATCH($A108&amp;L$1,'D Proj'!$V$1:$V$514,0),MATCH("NA"&amp;L$1,'D Proj'!$V$1:$V$514,0)))</f>
        <v>433</v>
      </c>
      <c r="M108">
        <f>IF(Week&gt;=M$1,MATCH($A108&amp;"-"&amp;M$1&amp;$B108,Finals!$J$1:$J$501,0),IFERROR(MATCH($A108&amp;M$1,'D Proj'!$V$1:$V$514,0),MATCH("NA"&amp;M$1,'D Proj'!$V$1:$V$514,0)))</f>
        <v>23</v>
      </c>
      <c r="N108">
        <f>IF(Week&gt;=N$1,MATCH($A108&amp;"-"&amp;N$1&amp;$B108,Finals!$J$1:$J$501,0),IFERROR(MATCH($A108&amp;N$1,'D Proj'!$V$1:$V$514,0),MATCH("NA"&amp;N$1,'D Proj'!$V$1:$V$514,0)))</f>
        <v>99</v>
      </c>
      <c r="O108">
        <f>IF(Week&gt;=O$1,MATCH($A108&amp;"-"&amp;O$1&amp;$B108,Finals!$J$1:$J$501,0),IFERROR(MATCH($A108&amp;O$1,'D Proj'!$V$1:$V$514,0),MATCH("NA"&amp;O$1,'D Proj'!$V$1:$V$514,0)))</f>
        <v>227</v>
      </c>
      <c r="P108">
        <f>IF(Week&gt;=P$1,MATCH($A108&amp;"-"&amp;P$1&amp;$B108,Finals!$J$1:$J$501,0),IFERROR(MATCH($A108&amp;P$1,'D Proj'!$V$1:$V$514,0),MATCH("NA"&amp;P$1,'D Proj'!$V$1:$V$514,0)))</f>
        <v>453</v>
      </c>
      <c r="Q108">
        <f>IF(Week&gt;=Q$1,MATCH($A108&amp;"-"&amp;Q$1&amp;$B108,Finals!$J$1:$J$501,0),IFERROR(MATCH($A108&amp;Q$1,'D Proj'!$V$1:$V$514,0),MATCH("NA"&amp;Q$1,'D Proj'!$V$1:$V$514,0)))</f>
        <v>48</v>
      </c>
      <c r="R108">
        <f>IF(Week&gt;=R$1,MATCH($A108&amp;"-"&amp;R$1&amp;$B108,Finals!$J$1:$J$501,0),IFERROR(MATCH($A108&amp;R$1,'D Proj'!$V$1:$V$514,0),MATCH("NA"&amp;R$1,'D Proj'!$V$1:$V$514,0)))</f>
        <v>100</v>
      </c>
      <c r="S108">
        <f>IF(Week&gt;=S$1,MATCH($A108&amp;"-"&amp;S$1&amp;$B108,Finals!$J$1:$J$501,0),IFERROR(MATCH($A108&amp;S$1,'D Proj'!$V$1:$V$514,0),MATCH("NA"&amp;S$1,'D Proj'!$V$1:$V$514,0)))</f>
        <v>256</v>
      </c>
      <c r="T108">
        <f>IF(Week&gt;=C$1,INDEX(Finals!$G$1:$G$501,C108),INDEX('D Proj'!$T$1:$T$513,C108))</f>
        <v>7</v>
      </c>
      <c r="U108">
        <f>IF(Week&gt;=D$1,INDEX(Finals!$G$1:$G$501,D108),INDEX('D Proj'!$T$1:$T$513,D108))</f>
        <v>-2</v>
      </c>
      <c r="V108">
        <f>IF(Week&gt;=E$1,INDEX(Finals!$G$1:$G$501,E108),INDEX('D Proj'!$T$1:$T$513,E108))</f>
        <v>8</v>
      </c>
      <c r="W108">
        <f>IF(Week&gt;=F$1,INDEX(Finals!$G$1:$G$501,F108),INDEX('D Proj'!$T$1:$T$513,F108))</f>
        <v>-3</v>
      </c>
      <c r="X108">
        <f>IF(Week&gt;=G$1,INDEX(Finals!$G$1:$G$501,G108),INDEX('D Proj'!$T$1:$T$513,G108))</f>
        <v>5.83</v>
      </c>
      <c r="Y108">
        <f>IF(Week&gt;=H$1,INDEX(Finals!$G$1:$G$501,H108),INDEX('D Proj'!$T$1:$T$513,H108))</f>
        <v>3.02</v>
      </c>
      <c r="Z108">
        <f>IF(Week&gt;=I$1,INDEX(Finals!$G$1:$G$501,I108),INDEX('D Proj'!$T$1:$T$513,I108))</f>
        <v>4.7</v>
      </c>
      <c r="AA108">
        <f>IF(Week&gt;=J$1,INDEX(Finals!$G$1:$G$501,J108),INDEX('D Proj'!$T$1:$T$513,J108))</f>
        <v>4.5199999999999996</v>
      </c>
      <c r="AB108">
        <f>IF(Week&gt;=K$1,INDEX(Finals!$G$1:$G$501,K108),INDEX('D Proj'!$T$1:$T$513,K108))</f>
        <v>3.46</v>
      </c>
      <c r="AC108">
        <f>IF(Week&gt;=L$1,INDEX(Finals!$G$1:$G$501,L108),INDEX('D Proj'!$T$1:$T$513,L108))</f>
        <v>3.76</v>
      </c>
      <c r="AD108">
        <f>IF(Week&gt;=M$1,INDEX(Finals!$G$1:$G$501,M108),INDEX('D Proj'!$T$1:$T$513,M108))</f>
        <v>8.84</v>
      </c>
      <c r="AE108">
        <f>IF(Week&gt;=N$1,INDEX(Finals!$G$1:$G$501,N108),INDEX('D Proj'!$T$1:$T$513,N108))</f>
        <v>7.54</v>
      </c>
      <c r="AF108">
        <f>IF(Week&gt;=O$1,INDEX(Finals!$G$1:$G$501,O108),INDEX('D Proj'!$T$1:$T$513,O108))</f>
        <v>6.44</v>
      </c>
      <c r="AG108">
        <f>IF(Week&gt;=P$1,INDEX(Finals!$G$1:$G$501,P108),INDEX('D Proj'!$T$1:$T$513,P108))</f>
        <v>3.33</v>
      </c>
      <c r="AH108">
        <f>IF(Week&gt;=Q$1,INDEX(Finals!$G$1:$G$501,Q108),INDEX('D Proj'!$T$1:$T$513,Q108))</f>
        <v>8.26</v>
      </c>
      <c r="AI108">
        <f>IF(Week&gt;=R$1,INDEX(Finals!$G$1:$G$501,R108),INDEX('D Proj'!$T$1:$T$513,R108))</f>
        <v>7.54</v>
      </c>
      <c r="AJ108">
        <f>IF(Week&gt;=S$1,INDEX(Finals!$G$1:$G$501,S108),INDEX('D Proj'!$T$1:$T$513,S108))</f>
        <v>6.12</v>
      </c>
      <c r="AK108">
        <f>IF(Week&gt;=C$1,INDEX(Finals!$I$1:$I$501,C108),INDEX('D Proj'!$N$1:$N$513,C108))</f>
        <v>0</v>
      </c>
      <c r="AL108">
        <f>IF(Week&gt;=D$1,INDEX(Finals!$I$1:$I$501,D108),INDEX('D Proj'!$N$1:$N$513,D108))</f>
        <v>0</v>
      </c>
      <c r="AM108">
        <f>IF(Week&gt;=E$1,INDEX(Finals!$I$1:$I$501,E108),INDEX('D Proj'!$N$1:$N$513,E108))</f>
        <v>0</v>
      </c>
      <c r="AN108">
        <f>IF(Week&gt;=F$1,INDEX(Finals!$I$1:$I$501,F108),INDEX('D Proj'!$N$1:$N$513,F108))</f>
        <v>0</v>
      </c>
      <c r="AO108">
        <f>IF(Week&gt;=G$1,INDEX(Finals!$I$1:$I$501,G108),INDEX('D Proj'!$N$1:$N$513,G108))</f>
        <v>31.36</v>
      </c>
      <c r="AP108">
        <f>IF(Week&gt;=H$1,INDEX(Finals!$I$1:$I$501,H108),INDEX('D Proj'!$N$1:$N$513,H108))</f>
        <v>22.657599999999999</v>
      </c>
      <c r="AQ108">
        <f>IF(Week&gt;=I$1,INDEX(Finals!$I$1:$I$501,I108),INDEX('D Proj'!$N$1:$N$513,I108))</f>
        <v>25.300899999999999</v>
      </c>
      <c r="AR108">
        <f>IF(Week&gt;=J$1,INDEX(Finals!$I$1:$I$501,J108),INDEX('D Proj'!$N$1:$N$513,J108))</f>
        <v>19.1844</v>
      </c>
      <c r="AS108">
        <f>IF(Week&gt;=K$1,INDEX(Finals!$I$1:$I$501,K108),INDEX('D Proj'!$N$1:$N$513,K108))</f>
        <v>29.811599999999999</v>
      </c>
      <c r="AT108">
        <f>IF(Week&gt;=L$1,INDEX(Finals!$I$1:$I$501,L108),INDEX('D Proj'!$N$1:$N$513,L108))</f>
        <v>21.808900000000001</v>
      </c>
      <c r="AU108">
        <f>IF(Week&gt;=M$1,INDEX(Finals!$I$1:$I$501,M108),INDEX('D Proj'!$N$1:$N$513,M108))</f>
        <v>30.5809</v>
      </c>
      <c r="AV108">
        <f>IF(Week&gt;=N$1,INDEX(Finals!$I$1:$I$501,N108),INDEX('D Proj'!$N$1:$N$513,N108))</f>
        <v>32.947600000000001</v>
      </c>
      <c r="AW108">
        <f>IF(Week&gt;=O$1,INDEX(Finals!$I$1:$I$501,O108),INDEX('D Proj'!$N$1:$N$513,O108))</f>
        <v>33.177599999999998</v>
      </c>
      <c r="AX108">
        <f>IF(Week&gt;=P$1,INDEX(Finals!$I$1:$I$501,P108),INDEX('D Proj'!$N$1:$N$513,P108))</f>
        <v>11.3569</v>
      </c>
      <c r="AY108">
        <f>IF(Week&gt;=Q$1,INDEX(Finals!$I$1:$I$501,Q108),INDEX('D Proj'!$N$1:$N$513,Q108))</f>
        <v>66.422499999999999</v>
      </c>
      <c r="AZ108">
        <f>IF(Week&gt;=R$1,INDEX(Finals!$I$1:$I$501,R108),INDEX('D Proj'!$N$1:$N$513,R108))</f>
        <v>32.947600000000001</v>
      </c>
      <c r="BA108">
        <f>IF(Week&gt;=S$1,INDEX(Finals!$I$1:$I$501,S108),INDEX('D Proj'!$N$1:$N$513,S108))</f>
        <v>34.222499999999997</v>
      </c>
    </row>
    <row r="109" spans="1:53" x14ac:dyDescent="0.25">
      <c r="A109" t="s">
        <v>49</v>
      </c>
      <c r="B109" t="s">
        <v>478</v>
      </c>
      <c r="C109">
        <f>IF(Week&gt;=C$1,MATCH($A109&amp;"-"&amp;C$1&amp;$B109,Finals!$J$1:$J$501,0),IFERROR(MATCH($A109&amp;C$1,'K Proj'!$R$1:$R$508,0),MATCH("NA"&amp;C$1,'K Proj'!$R$1:$R$508,0)))</f>
        <v>434</v>
      </c>
      <c r="D109">
        <f>IF(Week&gt;=D$1,MATCH($A109&amp;"-"&amp;D$1&amp;$B109,Finals!$J$1:$J$501,0),IFERROR(MATCH($A109&amp;D$1,'K Proj'!$R$1:$R$508,0),MATCH("NA"&amp;D$1,'K Proj'!$R$1:$R$508,0)))</f>
        <v>435</v>
      </c>
      <c r="E109">
        <f>IF(Week&gt;=E$1,MATCH($A109&amp;"-"&amp;E$1&amp;$B109,Finals!$J$1:$J$501,0),IFERROR(MATCH($A109&amp;E$1,'K Proj'!$R$1:$R$508,0),MATCH("NA"&amp;E$1,'K Proj'!$R$1:$R$508,0)))</f>
        <v>436</v>
      </c>
      <c r="F109">
        <f>IF(Week&gt;=F$1,MATCH($A109&amp;"-"&amp;F$1&amp;$B109,Finals!$J$1:$J$501,0),IFERROR(MATCH($A109&amp;F$1,'K Proj'!$R$1:$R$508,0),MATCH("NA"&amp;F$1,'K Proj'!$R$1:$R$508,0)))</f>
        <v>437</v>
      </c>
      <c r="G109">
        <f>IF(Week&gt;=G$1,MATCH($A109&amp;"-"&amp;G$1&amp;$B109,Finals!$J$1:$J$501,0),IFERROR(MATCH($A109&amp;G$1,'K Proj'!$R$1:$R$508,0),MATCH("NA"&amp;G$1,'K Proj'!$R$1:$R$508,0)))</f>
        <v>438</v>
      </c>
      <c r="H109">
        <f>IF(Week&gt;=H$1,MATCH($A109&amp;"-"&amp;H$1&amp;$B109,Finals!$J$1:$J$501,0),IFERROR(MATCH($A109&amp;H$1,'K Proj'!$R$1:$R$508,0),MATCH("NA"&amp;H$1,'K Proj'!$R$1:$R$508,0)))</f>
        <v>154</v>
      </c>
      <c r="I109">
        <f>IF(Week&gt;=I$1,MATCH($A109&amp;"-"&amp;I$1&amp;$B109,Finals!$J$1:$J$501,0),IFERROR(MATCH($A109&amp;I$1,'K Proj'!$R$1:$R$508,0),MATCH("NA"&amp;I$1,'K Proj'!$R$1:$R$508,0)))</f>
        <v>27</v>
      </c>
      <c r="J109">
        <f>IF(Week&gt;=J$1,MATCH($A109&amp;"-"&amp;J$1&amp;$B109,Finals!$J$1:$J$501,0),IFERROR(MATCH($A109&amp;J$1,'K Proj'!$R$1:$R$508,0),MATCH("NA"&amp;J$1,'K Proj'!$R$1:$R$508,0)))</f>
        <v>248</v>
      </c>
      <c r="K109">
        <f>IF(Week&gt;=K$1,MATCH($A109&amp;"-"&amp;K$1&amp;$B109,Finals!$J$1:$J$501,0),IFERROR(MATCH($A109&amp;K$1,'K Proj'!$R$1:$R$508,0),MATCH("NA"&amp;K$1,'K Proj'!$R$1:$R$508,0)))</f>
        <v>33</v>
      </c>
      <c r="L109">
        <f>IF(Week&gt;=L$1,MATCH($A109&amp;"-"&amp;L$1&amp;$B109,Finals!$J$1:$J$501,0),IFERROR(MATCH($A109&amp;L$1,'K Proj'!$R$1:$R$508,0),MATCH("NA"&amp;L$1,'K Proj'!$R$1:$R$508,0)))</f>
        <v>130</v>
      </c>
      <c r="M109">
        <f>IF(Week&gt;=M$1,MATCH($A109&amp;"-"&amp;M$1&amp;$B109,Finals!$J$1:$J$501,0),IFERROR(MATCH($A109&amp;M$1,'K Proj'!$R$1:$R$508,0),MATCH("NA"&amp;M$1,'K Proj'!$R$1:$R$508,0)))</f>
        <v>40</v>
      </c>
      <c r="N109">
        <f>IF(Week&gt;=N$1,MATCH($A109&amp;"-"&amp;N$1&amp;$B109,Finals!$J$1:$J$501,0),IFERROR(MATCH($A109&amp;N$1,'K Proj'!$R$1:$R$508,0),MATCH("NA"&amp;N$1,'K Proj'!$R$1:$R$508,0)))</f>
        <v>103</v>
      </c>
      <c r="O109">
        <f>IF(Week&gt;=O$1,MATCH($A109&amp;"-"&amp;O$1&amp;$B109,Finals!$J$1:$J$501,0),IFERROR(MATCH($A109&amp;O$1,'K Proj'!$R$1:$R$508,0),MATCH("NA"&amp;O$1,'K Proj'!$R$1:$R$508,0)))</f>
        <v>320</v>
      </c>
      <c r="P109">
        <f>IF(Week&gt;=P$1,MATCH($A109&amp;"-"&amp;P$1&amp;$B109,Finals!$J$1:$J$501,0),IFERROR(MATCH($A109&amp;P$1,'K Proj'!$R$1:$R$508,0),MATCH("NA"&amp;P$1,'K Proj'!$R$1:$R$508,0)))</f>
        <v>213</v>
      </c>
      <c r="Q109">
        <f>IF(Week&gt;=Q$1,MATCH($A109&amp;"-"&amp;Q$1&amp;$B109,Finals!$J$1:$J$501,0),IFERROR(MATCH($A109&amp;Q$1,'K Proj'!$R$1:$R$508,0),MATCH("NA"&amp;Q$1,'K Proj'!$R$1:$R$508,0)))</f>
        <v>228</v>
      </c>
      <c r="R109">
        <f>IF(Week&gt;=R$1,MATCH($A109&amp;"-"&amp;R$1&amp;$B109,Finals!$J$1:$J$501,0),IFERROR(MATCH($A109&amp;R$1,'K Proj'!$R$1:$R$508,0),MATCH("NA"&amp;R$1,'K Proj'!$R$1:$R$508,0)))</f>
        <v>149</v>
      </c>
      <c r="S109">
        <f>IF(Week&gt;=S$1,MATCH($A109&amp;"-"&amp;S$1&amp;$B109,Finals!$J$1:$J$501,0),IFERROR(MATCH($A109&amp;S$1,'K Proj'!$R$1:$R$508,0),MATCH("NA"&amp;S$1,'K Proj'!$R$1:$R$508,0)))</f>
        <v>71</v>
      </c>
      <c r="T109">
        <f>IF(Week&gt;=C$1,INDEX(Finals!$G$1:$G$501,C109),INDEX('K Proj'!$L$1:$L$508,C109))</f>
        <v>11</v>
      </c>
      <c r="U109">
        <f>IF(Week&gt;=D$1,INDEX(Finals!$G$1:$G$501,D109),INDEX('K Proj'!$L$1:$L$508,D109))</f>
        <v>14</v>
      </c>
      <c r="V109">
        <f>IF(Week&gt;=E$1,INDEX(Finals!$G$1:$G$501,E109),INDEX('K Proj'!$L$1:$L$508,E109))</f>
        <v>6</v>
      </c>
      <c r="W109">
        <f>IF(Week&gt;=F$1,INDEX(Finals!$G$1:$G$501,F109),INDEX('K Proj'!$L$1:$L$508,F109))</f>
        <v>9</v>
      </c>
      <c r="X109">
        <f>IF(Week&gt;=G$1,INDEX(Finals!$G$1:$G$501,G109),INDEX('K Proj'!$L$1:$L$508,G109))</f>
        <v>9.3000000000000007</v>
      </c>
      <c r="Y109">
        <f>IF(Week&gt;=H$1,INDEX(Finals!$G$1:$G$501,H109),INDEX('K Proj'!$L$1:$L$508,H109))</f>
        <v>7.56</v>
      </c>
      <c r="Z109">
        <f>IF(Week&gt;=I$1,INDEX(Finals!$G$1:$G$501,I109),INDEX('K Proj'!$L$1:$L$508,I109))</f>
        <v>8.7100000000000009</v>
      </c>
      <c r="AA109">
        <f>IF(Week&gt;=J$1,INDEX(Finals!$G$1:$G$501,J109),INDEX('K Proj'!$L$1:$L$508,J109))</f>
        <v>7.08</v>
      </c>
      <c r="AB109">
        <f>IF(Week&gt;=K$1,INDEX(Finals!$G$1:$G$501,K109),INDEX('K Proj'!$L$1:$L$508,K109))</f>
        <v>8.66</v>
      </c>
      <c r="AC109">
        <f>IF(Week&gt;=L$1,INDEX(Finals!$G$1:$G$501,L109),INDEX('K Proj'!$L$1:$L$508,L109))</f>
        <v>7.72</v>
      </c>
      <c r="AD109">
        <f>IF(Week&gt;=M$1,INDEX(Finals!$G$1:$G$501,M109),INDEX('K Proj'!$L$1:$L$508,M109))</f>
        <v>8.5</v>
      </c>
      <c r="AE109">
        <f>IF(Week&gt;=N$1,INDEX(Finals!$G$1:$G$501,N109),INDEX('K Proj'!$L$1:$L$508,N109))</f>
        <v>7.97</v>
      </c>
      <c r="AF109">
        <f>IF(Week&gt;=O$1,INDEX(Finals!$G$1:$G$501,O109),INDEX('K Proj'!$L$1:$L$508,O109))</f>
        <v>6.8</v>
      </c>
      <c r="AG109">
        <f>IF(Week&gt;=P$1,INDEX(Finals!$G$1:$G$501,P109),INDEX('K Proj'!$L$1:$L$508,P109))</f>
        <v>7.27</v>
      </c>
      <c r="AH109">
        <f>IF(Week&gt;=Q$1,INDEX(Finals!$G$1:$G$501,Q109),INDEX('K Proj'!$L$1:$L$508,Q109))</f>
        <v>7.19</v>
      </c>
      <c r="AI109">
        <f>IF(Week&gt;=R$1,INDEX(Finals!$G$1:$G$501,R109),INDEX('K Proj'!$L$1:$L$508,R109))</f>
        <v>7.59</v>
      </c>
      <c r="AJ109">
        <f>IF(Week&gt;=S$1,INDEX(Finals!$G$1:$G$501,S109),INDEX('K Proj'!$L$1:$L$508,S109))</f>
        <v>8.23</v>
      </c>
      <c r="AK109">
        <f>IF(Week&gt;=C$1,INDEX(Finals!$I$1:$I$501,C109),INDEX('K Proj'!$P$1:$P$508,C109))</f>
        <v>0</v>
      </c>
      <c r="AL109">
        <f>IF(Week&gt;=D$1,INDEX(Finals!$I$1:$I$501,D109),INDEX('K Proj'!$P$1:$P$508,D109))</f>
        <v>0</v>
      </c>
      <c r="AM109">
        <f>IF(Week&gt;=E$1,INDEX(Finals!$I$1:$I$501,E109),INDEX('K Proj'!$P$1:$P$508,E109))</f>
        <v>0</v>
      </c>
      <c r="AN109">
        <f>IF(Week&gt;=F$1,INDEX(Finals!$I$1:$I$501,F109),INDEX('K Proj'!$P$1:$P$508,F109))</f>
        <v>0</v>
      </c>
      <c r="AO109">
        <f>IF(Week&gt;=G$1,INDEX(Finals!$I$1:$I$501,G109),INDEX('K Proj'!$P$1:$P$508,G109))</f>
        <v>32.035600000000002</v>
      </c>
      <c r="AP109">
        <f>IF(Week&gt;=H$1,INDEX(Finals!$I$1:$I$501,H109),INDEX('K Proj'!$P$1:$P$508,H109))</f>
        <v>17.977599999999999</v>
      </c>
      <c r="AQ109">
        <f>IF(Week&gt;=I$1,INDEX(Finals!$I$1:$I$501,I109),INDEX('K Proj'!$P$1:$P$508,I109))</f>
        <v>27.878399999999999</v>
      </c>
      <c r="AR109">
        <f>IF(Week&gt;=J$1,INDEX(Finals!$I$1:$I$501,J109),INDEX('K Proj'!$P$1:$P$508,J109))</f>
        <v>19.009599999999999</v>
      </c>
      <c r="AS109">
        <f>IF(Week&gt;=K$1,INDEX(Finals!$I$1:$I$501,K109),INDEX('K Proj'!$P$1:$P$508,K109))</f>
        <v>19.980899999999998</v>
      </c>
      <c r="AT109">
        <f>IF(Week&gt;=L$1,INDEX(Finals!$I$1:$I$501,L109),INDEX('K Proj'!$P$1:$P$508,L109))</f>
        <v>21.715599999999998</v>
      </c>
      <c r="AU109">
        <f>IF(Week&gt;=M$1,INDEX(Finals!$I$1:$I$501,M109),INDEX('K Proj'!$P$1:$P$508,M109))</f>
        <v>17.305599999999998</v>
      </c>
      <c r="AV109">
        <f>IF(Week&gt;=N$1,INDEX(Finals!$I$1:$I$501,N109),INDEX('K Proj'!$P$1:$P$508,N109))</f>
        <v>16.564900000000002</v>
      </c>
      <c r="AW109">
        <f>IF(Week&gt;=O$1,INDEX(Finals!$I$1:$I$501,O109),INDEX('K Proj'!$P$1:$P$508,O109))</f>
        <v>24.206399999999999</v>
      </c>
      <c r="AX109">
        <f>IF(Week&gt;=P$1,INDEX(Finals!$I$1:$I$501,P109),INDEX('K Proj'!$P$1:$P$508,P109))</f>
        <v>26.522500000000001</v>
      </c>
      <c r="AY109">
        <f>IF(Week&gt;=Q$1,INDEX(Finals!$I$1:$I$501,Q109),INDEX('K Proj'!$P$1:$P$508,Q109))</f>
        <v>27.04</v>
      </c>
      <c r="AZ109">
        <f>IF(Week&gt;=R$1,INDEX(Finals!$I$1:$I$501,R109),INDEX('K Proj'!$P$1:$P$508,R109))</f>
        <v>21.3444</v>
      </c>
      <c r="BA109">
        <f>IF(Week&gt;=S$1,INDEX(Finals!$I$1:$I$501,S109),INDEX('K Proj'!$P$1:$P$508,S109))</f>
        <v>25</v>
      </c>
    </row>
    <row r="110" spans="1:53" x14ac:dyDescent="0.25">
      <c r="A110" t="s">
        <v>44</v>
      </c>
      <c r="B110" t="s">
        <v>467</v>
      </c>
      <c r="C110">
        <f>IF(Week&gt;=C$1,MATCH($A110&amp;"-"&amp;C$1&amp;$B110,Finals!$J$1:$J$501,0),IFERROR(MATCH($A110&amp;C$1&amp;$B110,'F Proj'!$N$1:$N$7669,0),MATCH("NA"&amp;C$1&amp;$B110,'F Proj'!$N$1:$N$7669,0)))</f>
        <v>335</v>
      </c>
      <c r="D110">
        <f>IF(Week&gt;=D$1,MATCH($A110&amp;"-"&amp;D$1&amp;$B110,Finals!$J$1:$J$501,0),IFERROR(MATCH($A110&amp;D$1&amp;$B110,'F Proj'!$N$1:$N$7669,0),MATCH("NA"&amp;D$1&amp;$B110,'F Proj'!$N$1:$N$7669,0)))</f>
        <v>336</v>
      </c>
      <c r="E110">
        <f>IF(Week&gt;=E$1,MATCH($A110&amp;"-"&amp;E$1&amp;$B110,Finals!$J$1:$J$501,0),IFERROR(MATCH($A110&amp;E$1&amp;$B110,'F Proj'!$N$1:$N$7669,0),MATCH("NA"&amp;E$1&amp;$B110,'F Proj'!$N$1:$N$7669,0)))</f>
        <v>337</v>
      </c>
      <c r="F110">
        <f>IF(Week&gt;=F$1,MATCH($A110&amp;"-"&amp;F$1&amp;$B110,Finals!$J$1:$J$501,0),IFERROR(MATCH($A110&amp;F$1&amp;$B110,'F Proj'!$N$1:$N$7669,0),MATCH("NA"&amp;F$1&amp;$B110,'F Proj'!$N$1:$N$7669,0)))</f>
        <v>338</v>
      </c>
      <c r="G110">
        <f>IF(Week&gt;=G$1,MATCH($A110&amp;"-"&amp;G$1&amp;$B110,Finals!$J$1:$J$501,0),IFERROR(MATCH($A110&amp;G$1&amp;$B110,'F Proj'!$N$1:$N$7669,0),MATCH("NA"&amp;G$1&amp;$B110,'F Proj'!$N$1:$N$7669,0)))</f>
        <v>339</v>
      </c>
      <c r="H110">
        <f>IF(Week&gt;=H$1,MATCH($A110&amp;"-"&amp;H$1&amp;$B110,Finals!$J$1:$J$501,0),IFERROR(MATCH($A110&amp;H$1&amp;$B110,'F Proj'!$N$1:$N$7669,0),MATCH("NA"&amp;H$1&amp;$B110,'F Proj'!$N$1:$N$7669,0)))</f>
        <v>166</v>
      </c>
      <c r="I110">
        <f>IF(Week&gt;=I$1,MATCH($A110&amp;"-"&amp;I$1&amp;$B110,Finals!$J$1:$J$501,0),IFERROR(MATCH($A110&amp;I$1&amp;$B110,'F Proj'!$N$1:$N$7669,0),MATCH("NA"&amp;I$1&amp;$B110,'F Proj'!$N$1:$N$7669,0)))</f>
        <v>37</v>
      </c>
      <c r="J110">
        <f>IF(Week&gt;=J$1,MATCH($A110&amp;"-"&amp;J$1&amp;$B110,Finals!$J$1:$J$501,0),IFERROR(MATCH($A110&amp;J$1&amp;$B110,'F Proj'!$N$1:$N$7669,0),MATCH("NA"&amp;J$1&amp;$B110,'F Proj'!$N$1:$N$7669,0)))</f>
        <v>207</v>
      </c>
      <c r="K110">
        <f>IF(Week&gt;=K$1,MATCH($A110&amp;"-"&amp;K$1&amp;$B110,Finals!$J$1:$J$501,0),IFERROR(MATCH($A110&amp;K$1&amp;$B110,'F Proj'!$N$1:$N$7669,0),MATCH("NA"&amp;K$1&amp;$B110,'F Proj'!$N$1:$N$7669,0)))</f>
        <v>386</v>
      </c>
      <c r="L110">
        <f>IF(Week&gt;=L$1,MATCH($A110&amp;"-"&amp;L$1&amp;$B110,Finals!$J$1:$J$501,0),IFERROR(MATCH($A110&amp;L$1&amp;$B110,'F Proj'!$N$1:$N$7669,0),MATCH("NA"&amp;L$1&amp;$B110,'F Proj'!$N$1:$N$7669,0)))</f>
        <v>428</v>
      </c>
      <c r="M110">
        <f>IF(Week&gt;=M$1,MATCH($A110&amp;"-"&amp;M$1&amp;$B110,Finals!$J$1:$J$501,0),IFERROR(MATCH($A110&amp;M$1&amp;$B110,'F Proj'!$N$1:$N$7669,0),MATCH("NA"&amp;M$1&amp;$B110,'F Proj'!$N$1:$N$7669,0)))</f>
        <v>165</v>
      </c>
      <c r="N110">
        <f>IF(Week&gt;=N$1,MATCH($A110&amp;"-"&amp;N$1&amp;$B110,Finals!$J$1:$J$501,0),IFERROR(MATCH($A110&amp;N$1&amp;$B110,'F Proj'!$N$1:$N$7669,0),MATCH("NA"&amp;N$1&amp;$B110,'F Proj'!$N$1:$N$7669,0)))</f>
        <v>455</v>
      </c>
      <c r="O110">
        <f>IF(Week&gt;=O$1,MATCH($A110&amp;"-"&amp;O$1&amp;$B110,Finals!$J$1:$J$501,0),IFERROR(MATCH($A110&amp;O$1&amp;$B110,'F Proj'!$N$1:$N$7669,0),MATCH("NA"&amp;O$1&amp;$B110,'F Proj'!$N$1:$N$7669,0)))</f>
        <v>252</v>
      </c>
      <c r="P110">
        <f>IF(Week&gt;=P$1,MATCH($A110&amp;"-"&amp;P$1&amp;$B110,Finals!$J$1:$J$501,0),IFERROR(MATCH($A110&amp;P$1&amp;$B110,'F Proj'!$N$1:$N$7669,0),MATCH("NA"&amp;P$1&amp;$B110,'F Proj'!$N$1:$N$7669,0)))</f>
        <v>388</v>
      </c>
      <c r="Q110">
        <f>IF(Week&gt;=Q$1,MATCH($A110&amp;"-"&amp;Q$1&amp;$B110,Finals!$J$1:$J$501,0),IFERROR(MATCH($A110&amp;Q$1&amp;$B110,'F Proj'!$N$1:$N$7669,0),MATCH("NA"&amp;Q$1&amp;$B110,'F Proj'!$N$1:$N$7669,0)))</f>
        <v>312</v>
      </c>
      <c r="R110">
        <f>IF(Week&gt;=R$1,MATCH($A110&amp;"-"&amp;R$1&amp;$B110,Finals!$J$1:$J$501,0),IFERROR(MATCH($A110&amp;R$1&amp;$B110,'F Proj'!$N$1:$N$7669,0),MATCH("NA"&amp;R$1&amp;$B110,'F Proj'!$N$1:$N$7669,0)))</f>
        <v>108</v>
      </c>
      <c r="S110">
        <f>IF(Week&gt;=S$1,MATCH($A110&amp;"-"&amp;S$1&amp;$B110,Finals!$J$1:$J$501,0),IFERROR(MATCH($A110&amp;S$1&amp;$B110,'F Proj'!$N$1:$N$7669,0),MATCH("NA"&amp;S$1&amp;$B110,'F Proj'!$N$1:$N$7669,0)))</f>
        <v>380</v>
      </c>
      <c r="T110">
        <f>IF(Week&gt;=C$1,INDEX(Finals!$G$1:$G$501,C110),INDEX('F Proj'!$D$1:$D$7669,C110))</f>
        <v>20.399999999999999</v>
      </c>
      <c r="U110">
        <f>IF(Week&gt;=D$1,INDEX(Finals!$G$1:$G$501,D110),INDEX('F Proj'!$D$1:$D$7669,D110))</f>
        <v>14.7</v>
      </c>
      <c r="V110">
        <f>IF(Week&gt;=E$1,INDEX(Finals!$G$1:$G$501,E110),INDEX('F Proj'!$D$1:$D$7669,E110))</f>
        <v>15.6</v>
      </c>
      <c r="W110">
        <f>IF(Week&gt;=F$1,INDEX(Finals!$G$1:$G$501,F110),INDEX('F Proj'!$D$1:$D$7669,F110))</f>
        <v>9</v>
      </c>
      <c r="X110">
        <f>IF(Week&gt;=G$1,INDEX(Finals!$G$1:$G$501,G110),INDEX('F Proj'!$D$1:$D$7669,G110))</f>
        <v>16.690000000000001</v>
      </c>
      <c r="Y110">
        <f>IF(Week&gt;=H$1,INDEX(Finals!$G$1:$G$501,H110),INDEX('F Proj'!$D$1:$D$7669,H110))</f>
        <v>19.57</v>
      </c>
      <c r="Z110">
        <f>IF(Week&gt;=I$1,INDEX(Finals!$G$1:$G$501,I110),INDEX('F Proj'!$D$1:$D$7669,I110))</f>
        <v>22.59</v>
      </c>
      <c r="AA110">
        <f>IF(Week&gt;=J$1,INDEX(Finals!$G$1:$G$501,J110),INDEX('F Proj'!$D$1:$D$7669,J110))</f>
        <v>19.02</v>
      </c>
      <c r="AB110">
        <f>IF(Week&gt;=K$1,INDEX(Finals!$G$1:$G$501,K110),INDEX('F Proj'!$D$1:$D$7669,K110))</f>
        <v>16.190000000000001</v>
      </c>
      <c r="AC110">
        <f>IF(Week&gt;=L$1,INDEX(Finals!$G$1:$G$501,L110),INDEX('F Proj'!$D$1:$D$7669,L110))</f>
        <v>15.63</v>
      </c>
      <c r="AD110">
        <f>IF(Week&gt;=M$1,INDEX(Finals!$G$1:$G$501,M110),INDEX('F Proj'!$D$1:$D$7669,M110))</f>
        <v>19.579999999999998</v>
      </c>
      <c r="AE110">
        <f>IF(Week&gt;=N$1,INDEX(Finals!$G$1:$G$501,N110),INDEX('F Proj'!$D$1:$D$7669,N110))</f>
        <v>15.38</v>
      </c>
      <c r="AF110">
        <f>IF(Week&gt;=O$1,INDEX(Finals!$G$1:$G$501,O110),INDEX('F Proj'!$D$1:$D$7669,O110))</f>
        <v>18.440000000000001</v>
      </c>
      <c r="AG110">
        <f>IF(Week&gt;=P$1,INDEX(Finals!$G$1:$G$501,P110),INDEX('F Proj'!$D$1:$D$7669,P110))</f>
        <v>16.14</v>
      </c>
      <c r="AH110">
        <f>IF(Week&gt;=Q$1,INDEX(Finals!$G$1:$G$501,Q110),INDEX('F Proj'!$D$1:$D$7669,Q110))</f>
        <v>17.420000000000002</v>
      </c>
      <c r="AI110">
        <f>IF(Week&gt;=R$1,INDEX(Finals!$G$1:$G$501,R110),INDEX('F Proj'!$D$1:$D$7669,R110))</f>
        <v>20.6</v>
      </c>
      <c r="AJ110">
        <f>IF(Week&gt;=S$1,INDEX(Finals!$G$1:$G$501,S110),INDEX('F Proj'!$D$1:$D$7669,S110))</f>
        <v>16.239999999999998</v>
      </c>
      <c r="AK110">
        <f>IF(Week&gt;=C$1,INDEX(Finals!$I$1:$I$501,C110),INDEX('F Proj'!$J$1:$J$7669,C110))</f>
        <v>0</v>
      </c>
      <c r="AL110">
        <f>IF(Week&gt;=D$1,INDEX(Finals!$I$1:$I$501,D110),INDEX('F Proj'!$J$1:$J$7669,D110))</f>
        <v>0</v>
      </c>
      <c r="AM110">
        <f>IF(Week&gt;=E$1,INDEX(Finals!$I$1:$I$501,E110),INDEX('F Proj'!$J$1:$J$7669,E110))</f>
        <v>0</v>
      </c>
      <c r="AN110">
        <f>IF(Week&gt;=F$1,INDEX(Finals!$I$1:$I$501,F110),INDEX('F Proj'!$J$1:$J$7669,F110))</f>
        <v>0</v>
      </c>
      <c r="AO110">
        <f>IF(Week&gt;=G$1,INDEX(Finals!$I$1:$I$501,G110),INDEX('F Proj'!$J$1:$J$7669,G110))</f>
        <v>50.8369</v>
      </c>
      <c r="AP110">
        <f>IF(Week&gt;=H$1,INDEX(Finals!$I$1:$I$501,H110),INDEX('F Proj'!$J$1:$J$7669,H110))</f>
        <v>71.064899999999994</v>
      </c>
      <c r="AQ110">
        <f>IF(Week&gt;=I$1,INDEX(Finals!$I$1:$I$501,I110),INDEX('F Proj'!$J$1:$J$7669,I110))</f>
        <v>61.779600000000002</v>
      </c>
      <c r="AR110">
        <f>IF(Week&gt;=J$1,INDEX(Finals!$I$1:$I$501,J110),INDEX('F Proj'!$J$1:$J$7669,J110))</f>
        <v>81.360399999999998</v>
      </c>
      <c r="AS110">
        <f>IF(Week&gt;=K$1,INDEX(Finals!$I$1:$I$501,K110),INDEX('F Proj'!$J$1:$J$7669,K110))</f>
        <v>52.5625</v>
      </c>
      <c r="AT110">
        <f>IF(Week&gt;=L$1,INDEX(Finals!$I$1:$I$501,L110),INDEX('F Proj'!$J$1:$J$7669,L110))</f>
        <v>50.8369</v>
      </c>
      <c r="AU110">
        <f>IF(Week&gt;=M$1,INDEX(Finals!$I$1:$I$501,M110),INDEX('F Proj'!$J$1:$J$7669,M110))</f>
        <v>73.7881</v>
      </c>
      <c r="AV110">
        <f>IF(Week&gt;=N$1,INDEX(Finals!$I$1:$I$501,N110),INDEX('F Proj'!$J$1:$J$7669,N110))</f>
        <v>57.002499999999998</v>
      </c>
      <c r="AW110">
        <f>IF(Week&gt;=O$1,INDEX(Finals!$I$1:$I$501,O110),INDEX('F Proj'!$J$1:$J$7669,O110))</f>
        <v>58.828899999999997</v>
      </c>
      <c r="AX110">
        <f>IF(Week&gt;=P$1,INDEX(Finals!$I$1:$I$501,P110),INDEX('F Proj'!$J$1:$J$7669,P110))</f>
        <v>58.522500000000001</v>
      </c>
      <c r="AY110">
        <f>IF(Week&gt;=Q$1,INDEX(Finals!$I$1:$I$501,Q110),INDEX('F Proj'!$J$1:$J$7669,Q110))</f>
        <v>58.828899999999997</v>
      </c>
      <c r="AZ110">
        <f>IF(Week&gt;=R$1,INDEX(Finals!$I$1:$I$501,R110),INDEX('F Proj'!$J$1:$J$7669,R110))</f>
        <v>73.7881</v>
      </c>
      <c r="BA110">
        <f>IF(Week&gt;=S$1,INDEX(Finals!$I$1:$I$501,S110),INDEX('F Proj'!$J$1:$J$7669,S110))</f>
        <v>56.700899999999997</v>
      </c>
    </row>
    <row r="111" spans="1:53" x14ac:dyDescent="0.25">
      <c r="A111" t="s">
        <v>44</v>
      </c>
      <c r="B111" t="s">
        <v>468</v>
      </c>
      <c r="C111">
        <f>IF(Week&gt;=C$1,MATCH($A111&amp;"-"&amp;C$1&amp;$B111,Finals!$J$1:$J$501,0),IFERROR(MATCH($A111&amp;C$1&amp;$B111,'F Proj'!$N$1:$N$7669,0),MATCH("NA"&amp;C$1&amp;$B111,'F Proj'!$N$1:$N$7669,0)))</f>
        <v>260</v>
      </c>
      <c r="D111">
        <f>IF(Week&gt;=D$1,MATCH($A111&amp;"-"&amp;D$1&amp;$B111,Finals!$J$1:$J$501,0),IFERROR(MATCH($A111&amp;D$1&amp;$B111,'F Proj'!$N$1:$N$7669,0),MATCH("NA"&amp;D$1&amp;$B111,'F Proj'!$N$1:$N$7669,0)))</f>
        <v>21</v>
      </c>
      <c r="E111">
        <f>IF(Week&gt;=E$1,MATCH($A111&amp;"-"&amp;E$1&amp;$B111,Finals!$J$1:$J$501,0),IFERROR(MATCH($A111&amp;E$1&amp;$B111,'F Proj'!$N$1:$N$7669,0),MATCH("NA"&amp;E$1&amp;$B111,'F Proj'!$N$1:$N$7669,0)))</f>
        <v>22</v>
      </c>
      <c r="F111">
        <f>IF(Week&gt;=F$1,MATCH($A111&amp;"-"&amp;F$1&amp;$B111,Finals!$J$1:$J$501,0),IFERROR(MATCH($A111&amp;F$1&amp;$B111,'F Proj'!$N$1:$N$7669,0),MATCH("NA"&amp;F$1&amp;$B111,'F Proj'!$N$1:$N$7669,0)))</f>
        <v>261</v>
      </c>
      <c r="G111">
        <f>IF(Week&gt;=G$1,MATCH($A111&amp;"-"&amp;G$1&amp;$B111,Finals!$J$1:$J$501,0),IFERROR(MATCH($A111&amp;G$1&amp;$B111,'F Proj'!$N$1:$N$7669,0),MATCH("NA"&amp;G$1&amp;$B111,'F Proj'!$N$1:$N$7669,0)))</f>
        <v>24</v>
      </c>
      <c r="H111">
        <f>IF(Week&gt;=H$1,MATCH($A111&amp;"-"&amp;H$1&amp;$B111,Finals!$J$1:$J$501,0),IFERROR(MATCH($A111&amp;H$1&amp;$B111,'F Proj'!$N$1:$N$7669,0),MATCH("NA"&amp;H$1&amp;$B111,'F Proj'!$N$1:$N$7669,0)))</f>
        <v>847</v>
      </c>
      <c r="I111">
        <f>IF(Week&gt;=I$1,MATCH($A111&amp;"-"&amp;I$1&amp;$B111,Finals!$J$1:$J$501,0),IFERROR(MATCH($A111&amp;I$1&amp;$B111,'F Proj'!$N$1:$N$7669,0),MATCH("NA"&amp;I$1&amp;$B111,'F Proj'!$N$1:$N$7669,0)))</f>
        <v>1257</v>
      </c>
      <c r="J111">
        <f>IF(Week&gt;=J$1,MATCH($A111&amp;"-"&amp;J$1&amp;$B111,Finals!$J$1:$J$501,0),IFERROR(MATCH($A111&amp;J$1&amp;$B111,'F Proj'!$N$1:$N$7669,0),MATCH("NA"&amp;J$1&amp;$B111,'F Proj'!$N$1:$N$7669,0)))</f>
        <v>1854</v>
      </c>
      <c r="K111">
        <f>IF(Week&gt;=K$1,MATCH($A111&amp;"-"&amp;K$1&amp;$B111,Finals!$J$1:$J$501,0),IFERROR(MATCH($A111&amp;K$1&amp;$B111,'F Proj'!$N$1:$N$7669,0),MATCH("NA"&amp;K$1&amp;$B111,'F Proj'!$N$1:$N$7669,0)))</f>
        <v>1111</v>
      </c>
      <c r="L111">
        <f>IF(Week&gt;=L$1,MATCH($A111&amp;"-"&amp;L$1&amp;$B111,Finals!$J$1:$J$501,0),IFERROR(MATCH($A111&amp;L$1&amp;$B111,'F Proj'!$N$1:$N$7669,0),MATCH("NA"&amp;L$1&amp;$B111,'F Proj'!$N$1:$N$7669,0)))</f>
        <v>834</v>
      </c>
      <c r="M111">
        <f>IF(Week&gt;=M$1,MATCH($A111&amp;"-"&amp;M$1&amp;$B111,Finals!$J$1:$J$501,0),IFERROR(MATCH($A111&amp;M$1&amp;$B111,'F Proj'!$N$1:$N$7669,0),MATCH("NA"&amp;M$1&amp;$B111,'F Proj'!$N$1:$N$7669,0)))</f>
        <v>745</v>
      </c>
      <c r="N111">
        <f>IF(Week&gt;=N$1,MATCH($A111&amp;"-"&amp;N$1&amp;$B111,Finals!$J$1:$J$501,0),IFERROR(MATCH($A111&amp;N$1&amp;$B111,'F Proj'!$N$1:$N$7669,0),MATCH("NA"&amp;N$1&amp;$B111,'F Proj'!$N$1:$N$7669,0)))</f>
        <v>892</v>
      </c>
      <c r="O111">
        <f>IF(Week&gt;=O$1,MATCH($A111&amp;"-"&amp;O$1&amp;$B111,Finals!$J$1:$J$501,0),IFERROR(MATCH($A111&amp;O$1&amp;$B111,'F Proj'!$N$1:$N$7669,0),MATCH("NA"&amp;O$1&amp;$B111,'F Proj'!$N$1:$N$7669,0)))</f>
        <v>703</v>
      </c>
      <c r="P111">
        <f>IF(Week&gt;=P$1,MATCH($A111&amp;"-"&amp;P$1&amp;$B111,Finals!$J$1:$J$501,0),IFERROR(MATCH($A111&amp;P$1&amp;$B111,'F Proj'!$N$1:$N$7669,0),MATCH("NA"&amp;P$1&amp;$B111,'F Proj'!$N$1:$N$7669,0)))</f>
        <v>924</v>
      </c>
      <c r="Q111">
        <f>IF(Week&gt;=Q$1,MATCH($A111&amp;"-"&amp;Q$1&amp;$B111,Finals!$J$1:$J$501,0),IFERROR(MATCH($A111&amp;Q$1&amp;$B111,'F Proj'!$N$1:$N$7669,0),MATCH("NA"&amp;Q$1&amp;$B111,'F Proj'!$N$1:$N$7669,0)))</f>
        <v>554</v>
      </c>
      <c r="R111">
        <f>IF(Week&gt;=R$1,MATCH($A111&amp;"-"&amp;R$1&amp;$B111,Finals!$J$1:$J$501,0),IFERROR(MATCH($A111&amp;R$1&amp;$B111,'F Proj'!$N$1:$N$7669,0),MATCH("NA"&amp;R$1&amp;$B111,'F Proj'!$N$1:$N$7669,0)))</f>
        <v>827</v>
      </c>
      <c r="S111">
        <f>IF(Week&gt;=S$1,MATCH($A111&amp;"-"&amp;S$1&amp;$B111,Finals!$J$1:$J$501,0),IFERROR(MATCH($A111&amp;S$1&amp;$B111,'F Proj'!$N$1:$N$7669,0),MATCH("NA"&amp;S$1&amp;$B111,'F Proj'!$N$1:$N$7669,0)))</f>
        <v>804</v>
      </c>
      <c r="T111">
        <f>IF(Week&gt;=C$1,INDEX(Finals!$G$1:$G$501,C111),INDEX('F Proj'!$D$1:$D$7669,C111))</f>
        <v>5.5</v>
      </c>
      <c r="U111">
        <f>IF(Week&gt;=D$1,INDEX(Finals!$G$1:$G$501,D111),INDEX('F Proj'!$D$1:$D$7669,D111))</f>
        <v>9</v>
      </c>
      <c r="V111">
        <f>IF(Week&gt;=E$1,INDEX(Finals!$G$1:$G$501,E111),INDEX('F Proj'!$D$1:$D$7669,E111))</f>
        <v>13.4</v>
      </c>
      <c r="W111">
        <f>IF(Week&gt;=F$1,INDEX(Finals!$G$1:$G$501,F111),INDEX('F Proj'!$D$1:$D$7669,F111))</f>
        <v>3.5</v>
      </c>
      <c r="X111">
        <f>IF(Week&gt;=G$1,INDEX(Finals!$G$1:$G$501,G111),INDEX('F Proj'!$D$1:$D$7669,G111))</f>
        <v>3.67</v>
      </c>
      <c r="Y111">
        <f>IF(Week&gt;=H$1,INDEX(Finals!$G$1:$G$501,H111),INDEX('F Proj'!$D$1:$D$7669,H111))</f>
        <v>11.74</v>
      </c>
      <c r="Z111">
        <f>IF(Week&gt;=I$1,INDEX(Finals!$G$1:$G$501,I111),INDEX('F Proj'!$D$1:$D$7669,I111))</f>
        <v>9.09</v>
      </c>
      <c r="AA111">
        <f>IF(Week&gt;=J$1,INDEX(Finals!$G$1:$G$501,J111),INDEX('F Proj'!$D$1:$D$7669,J111))</f>
        <v>6.93</v>
      </c>
      <c r="AB111">
        <f>IF(Week&gt;=K$1,INDEX(Finals!$G$1:$G$501,K111),INDEX('F Proj'!$D$1:$D$7669,K111))</f>
        <v>9.82</v>
      </c>
      <c r="AC111">
        <f>IF(Week&gt;=L$1,INDEX(Finals!$G$1:$G$501,L111),INDEX('F Proj'!$D$1:$D$7669,L111))</f>
        <v>11.84</v>
      </c>
      <c r="AD111">
        <f>IF(Week&gt;=M$1,INDEX(Finals!$G$1:$G$501,M111),INDEX('F Proj'!$D$1:$D$7669,M111))</f>
        <v>12.6</v>
      </c>
      <c r="AE111">
        <f>IF(Week&gt;=N$1,INDEX(Finals!$G$1:$G$501,N111),INDEX('F Proj'!$D$1:$D$7669,N111))</f>
        <v>11.3</v>
      </c>
      <c r="AF111">
        <f>IF(Week&gt;=O$1,INDEX(Finals!$G$1:$G$501,O111),INDEX('F Proj'!$D$1:$D$7669,O111))</f>
        <v>12.91</v>
      </c>
      <c r="AG111">
        <f>IF(Week&gt;=P$1,INDEX(Finals!$G$1:$G$501,P111),INDEX('F Proj'!$D$1:$D$7669,P111))</f>
        <v>10.96</v>
      </c>
      <c r="AH111">
        <f>IF(Week&gt;=Q$1,INDEX(Finals!$G$1:$G$501,Q111),INDEX('F Proj'!$D$1:$D$7669,Q111))</f>
        <v>14.23</v>
      </c>
      <c r="AI111">
        <f>IF(Week&gt;=R$1,INDEX(Finals!$G$1:$G$501,R111),INDEX('F Proj'!$D$1:$D$7669,R111))</f>
        <v>11.89</v>
      </c>
      <c r="AJ111">
        <f>IF(Week&gt;=S$1,INDEX(Finals!$G$1:$G$501,S111),INDEX('F Proj'!$D$1:$D$7669,S111))</f>
        <v>12.13</v>
      </c>
      <c r="AK111">
        <f>IF(Week&gt;=C$1,INDEX(Finals!$I$1:$I$501,C111),INDEX('F Proj'!$J$1:$J$7669,C111))</f>
        <v>0</v>
      </c>
      <c r="AL111">
        <f>IF(Week&gt;=D$1,INDEX(Finals!$I$1:$I$501,D111),INDEX('F Proj'!$J$1:$J$7669,D111))</f>
        <v>0</v>
      </c>
      <c r="AM111">
        <f>IF(Week&gt;=E$1,INDEX(Finals!$I$1:$I$501,E111),INDEX('F Proj'!$J$1:$J$7669,E111))</f>
        <v>0</v>
      </c>
      <c r="AN111">
        <f>IF(Week&gt;=F$1,INDEX(Finals!$I$1:$I$501,F111),INDEX('F Proj'!$J$1:$J$7669,F111))</f>
        <v>0</v>
      </c>
      <c r="AO111">
        <f>IF(Week&gt;=G$1,INDEX(Finals!$I$1:$I$501,G111),INDEX('F Proj'!$J$1:$J$7669,G111))</f>
        <v>11.088900000000001</v>
      </c>
      <c r="AP111">
        <f>IF(Week&gt;=H$1,INDEX(Finals!$I$1:$I$501,H111),INDEX('F Proj'!$J$1:$J$7669,H111))</f>
        <v>134.09639999999999</v>
      </c>
      <c r="AQ111">
        <f>IF(Week&gt;=I$1,INDEX(Finals!$I$1:$I$501,I111),INDEX('F Proj'!$J$1:$J$7669,I111))</f>
        <v>45.1584</v>
      </c>
      <c r="AR111">
        <f>IF(Week&gt;=J$1,INDEX(Finals!$I$1:$I$501,J111),INDEX('F Proj'!$J$1:$J$7669,J111))</f>
        <v>37.945599999999999</v>
      </c>
      <c r="AS111">
        <f>IF(Week&gt;=K$1,INDEX(Finals!$I$1:$I$501,K111),INDEX('F Proj'!$J$1:$J$7669,K111))</f>
        <v>50.268099999999997</v>
      </c>
      <c r="AT111">
        <f>IF(Week&gt;=L$1,INDEX(Finals!$I$1:$I$501,L111),INDEX('F Proj'!$J$1:$J$7669,L111))</f>
        <v>54.022500000000001</v>
      </c>
      <c r="AU111">
        <f>IF(Week&gt;=M$1,INDEX(Finals!$I$1:$I$501,M111),INDEX('F Proj'!$J$1:$J$7669,M111))</f>
        <v>41.7316</v>
      </c>
      <c r="AV111">
        <f>IF(Week&gt;=N$1,INDEX(Finals!$I$1:$I$501,N111),INDEX('F Proj'!$J$1:$J$7669,N111))</f>
        <v>40.576900000000002</v>
      </c>
      <c r="AW111">
        <f>IF(Week&gt;=O$1,INDEX(Finals!$I$1:$I$501,O111),INDEX('F Proj'!$J$1:$J$7669,O111))</f>
        <v>54.022500000000001</v>
      </c>
      <c r="AX111">
        <f>IF(Week&gt;=P$1,INDEX(Finals!$I$1:$I$501,P111),INDEX('F Proj'!$J$1:$J$7669,P111))</f>
        <v>52.128399999999999</v>
      </c>
      <c r="AY111">
        <f>IF(Week&gt;=Q$1,INDEX(Finals!$I$1:$I$501,Q111),INDEX('F Proj'!$J$1:$J$7669,Q111))</f>
        <v>47.196899999999999</v>
      </c>
      <c r="AZ111">
        <f>IF(Week&gt;=R$1,INDEX(Finals!$I$1:$I$501,R111),INDEX('F Proj'!$J$1:$J$7669,R111))</f>
        <v>57.304900000000004</v>
      </c>
      <c r="BA111">
        <f>IF(Week&gt;=S$1,INDEX(Finals!$I$1:$I$501,S111),INDEX('F Proj'!$J$1:$J$7669,S111))</f>
        <v>60.684100000000001</v>
      </c>
    </row>
    <row r="112" spans="1:53" x14ac:dyDescent="0.25">
      <c r="A112" t="s">
        <v>44</v>
      </c>
      <c r="B112" t="s">
        <v>469</v>
      </c>
      <c r="C112">
        <f>IF(Week&gt;=C$1,MATCH($A112&amp;"-"&amp;C$1&amp;$B112,Finals!$J$1:$J$501,0),IFERROR(MATCH($A112&amp;C$1&amp;$B112,'F Proj'!$N$1:$N$7669,0),MATCH("NA"&amp;C$1&amp;$B112,'F Proj'!$N$1:$N$7669,0)))</f>
        <v>119</v>
      </c>
      <c r="D112">
        <f>IF(Week&gt;=D$1,MATCH($A112&amp;"-"&amp;D$1&amp;$B112,Finals!$J$1:$J$501,0),IFERROR(MATCH($A112&amp;D$1&amp;$B112,'F Proj'!$N$1:$N$7669,0),MATCH("NA"&amp;D$1&amp;$B112,'F Proj'!$N$1:$N$7669,0)))</f>
        <v>27</v>
      </c>
      <c r="E112">
        <f>IF(Week&gt;=E$1,MATCH($A112&amp;"-"&amp;E$1&amp;$B112,Finals!$J$1:$J$501,0),IFERROR(MATCH($A112&amp;E$1&amp;$B112,'F Proj'!$N$1:$N$7669,0),MATCH("NA"&amp;E$1&amp;$B112,'F Proj'!$N$1:$N$7669,0)))</f>
        <v>259</v>
      </c>
      <c r="F112">
        <f>IF(Week&gt;=F$1,MATCH($A112&amp;"-"&amp;F$1&amp;$B112,Finals!$J$1:$J$501,0),IFERROR(MATCH($A112&amp;F$1&amp;$B112,'F Proj'!$N$1:$N$7669,0),MATCH("NA"&amp;F$1&amp;$B112,'F Proj'!$N$1:$N$7669,0)))</f>
        <v>23</v>
      </c>
      <c r="G112">
        <f>IF(Week&gt;=G$1,MATCH($A112&amp;"-"&amp;G$1&amp;$B112,Finals!$J$1:$J$501,0),IFERROR(MATCH($A112&amp;G$1&amp;$B112,'F Proj'!$N$1:$N$7669,0),MATCH("NA"&amp;G$1&amp;$B112,'F Proj'!$N$1:$N$7669,0)))</f>
        <v>356</v>
      </c>
      <c r="H112">
        <f>IF(Week&gt;=H$1,MATCH($A112&amp;"-"&amp;H$1&amp;$B112,Finals!$J$1:$J$501,0),IFERROR(MATCH($A112&amp;H$1&amp;$B112,'F Proj'!$N$1:$N$7669,0),MATCH("NA"&amp;H$1&amp;$B112,'F Proj'!$N$1:$N$7669,0)))</f>
        <v>1580</v>
      </c>
      <c r="I112">
        <f>IF(Week&gt;=I$1,MATCH($A112&amp;"-"&amp;I$1&amp;$B112,Finals!$J$1:$J$501,0),IFERROR(MATCH($A112&amp;I$1&amp;$B112,'F Proj'!$N$1:$N$7669,0),MATCH("NA"&amp;I$1&amp;$B112,'F Proj'!$N$1:$N$7669,0)))</f>
        <v>1378</v>
      </c>
      <c r="J112">
        <f>IF(Week&gt;=J$1,MATCH($A112&amp;"-"&amp;J$1&amp;$B112,Finals!$J$1:$J$501,0),IFERROR(MATCH($A112&amp;J$1&amp;$B112,'F Proj'!$N$1:$N$7669,0),MATCH("NA"&amp;J$1&amp;$B112,'F Proj'!$N$1:$N$7669,0)))</f>
        <v>1999</v>
      </c>
      <c r="K112">
        <f>IF(Week&gt;=K$1,MATCH($A112&amp;"-"&amp;K$1&amp;$B112,Finals!$J$1:$J$501,0),IFERROR(MATCH($A112&amp;K$1&amp;$B112,'F Proj'!$N$1:$N$7669,0),MATCH("NA"&amp;K$1&amp;$B112,'F Proj'!$N$1:$N$7669,0)))</f>
        <v>1573</v>
      </c>
      <c r="L112">
        <f>IF(Week&gt;=L$1,MATCH($A112&amp;"-"&amp;L$1&amp;$B112,Finals!$J$1:$J$501,0),IFERROR(MATCH($A112&amp;L$1&amp;$B112,'F Proj'!$N$1:$N$7669,0),MATCH("NA"&amp;L$1&amp;$B112,'F Proj'!$N$1:$N$7669,0)))</f>
        <v>1078</v>
      </c>
      <c r="M112">
        <f>IF(Week&gt;=M$1,MATCH($A112&amp;"-"&amp;M$1&amp;$B112,Finals!$J$1:$J$501,0),IFERROR(MATCH($A112&amp;M$1&amp;$B112,'F Proj'!$N$1:$N$7669,0),MATCH("NA"&amp;M$1&amp;$B112,'F Proj'!$N$1:$N$7669,0)))</f>
        <v>1094</v>
      </c>
      <c r="N112">
        <f>IF(Week&gt;=N$1,MATCH($A112&amp;"-"&amp;N$1&amp;$B112,Finals!$J$1:$J$501,0),IFERROR(MATCH($A112&amp;N$1&amp;$B112,'F Proj'!$N$1:$N$7669,0),MATCH("NA"&amp;N$1&amp;$B112,'F Proj'!$N$1:$N$7669,0)))</f>
        <v>1036</v>
      </c>
      <c r="O112">
        <f>IF(Week&gt;=O$1,MATCH($A112&amp;"-"&amp;O$1&amp;$B112,Finals!$J$1:$J$501,0),IFERROR(MATCH($A112&amp;O$1&amp;$B112,'F Proj'!$N$1:$N$7669,0),MATCH("NA"&amp;O$1&amp;$B112,'F Proj'!$N$1:$N$7669,0)))</f>
        <v>1560</v>
      </c>
      <c r="P112">
        <f>IF(Week&gt;=P$1,MATCH($A112&amp;"-"&amp;P$1&amp;$B112,Finals!$J$1:$J$501,0),IFERROR(MATCH($A112&amp;P$1&amp;$B112,'F Proj'!$N$1:$N$7669,0),MATCH("NA"&amp;P$1&amp;$B112,'F Proj'!$N$1:$N$7669,0)))</f>
        <v>1626</v>
      </c>
      <c r="Q112">
        <f>IF(Week&gt;=Q$1,MATCH($A112&amp;"-"&amp;Q$1&amp;$B112,Finals!$J$1:$J$501,0),IFERROR(MATCH($A112&amp;Q$1&amp;$B112,'F Proj'!$N$1:$N$7669,0),MATCH("NA"&amp;Q$1&amp;$B112,'F Proj'!$N$1:$N$7669,0)))</f>
        <v>1179</v>
      </c>
      <c r="R112">
        <f>IF(Week&gt;=R$1,MATCH($A112&amp;"-"&amp;R$1&amp;$B112,Finals!$J$1:$J$501,0),IFERROR(MATCH($A112&amp;R$1&amp;$B112,'F Proj'!$N$1:$N$7669,0),MATCH("NA"&amp;R$1&amp;$B112,'F Proj'!$N$1:$N$7669,0)))</f>
        <v>910</v>
      </c>
      <c r="S112">
        <f>IF(Week&gt;=S$1,MATCH($A112&amp;"-"&amp;S$1&amp;$B112,Finals!$J$1:$J$501,0),IFERROR(MATCH($A112&amp;S$1&amp;$B112,'F Proj'!$N$1:$N$7669,0),MATCH("NA"&amp;S$1&amp;$B112,'F Proj'!$N$1:$N$7669,0)))</f>
        <v>956</v>
      </c>
      <c r="T112">
        <f>IF(Week&gt;=C$1,INDEX(Finals!$G$1:$G$501,C112),INDEX('F Proj'!$D$1:$D$7669,C112))</f>
        <v>3.1</v>
      </c>
      <c r="U112">
        <f>IF(Week&gt;=D$1,INDEX(Finals!$G$1:$G$501,D112),INDEX('F Proj'!$D$1:$D$7669,D112))</f>
        <v>8</v>
      </c>
      <c r="V112">
        <f>IF(Week&gt;=E$1,INDEX(Finals!$G$1:$G$501,E112),INDEX('F Proj'!$D$1:$D$7669,E112))</f>
        <v>3.1</v>
      </c>
      <c r="W112">
        <f>IF(Week&gt;=F$1,INDEX(Finals!$G$1:$G$501,F112),INDEX('F Proj'!$D$1:$D$7669,F112))</f>
        <v>8.5</v>
      </c>
      <c r="X112">
        <f>IF(Week&gt;=G$1,INDEX(Finals!$G$1:$G$501,G112),INDEX('F Proj'!$D$1:$D$7669,G112))</f>
        <v>12.09</v>
      </c>
      <c r="Y112">
        <f>IF(Week&gt;=H$1,INDEX(Finals!$G$1:$G$501,H112),INDEX('F Proj'!$D$1:$D$7669,H112))</f>
        <v>7.86</v>
      </c>
      <c r="Z112">
        <f>IF(Week&gt;=I$1,INDEX(Finals!$G$1:$G$501,I112),INDEX('F Proj'!$D$1:$D$7669,I112))</f>
        <v>8.5299999999999994</v>
      </c>
      <c r="AA112">
        <f>IF(Week&gt;=J$1,INDEX(Finals!$G$1:$G$501,J112),INDEX('F Proj'!$D$1:$D$7669,J112))</f>
        <v>6.5</v>
      </c>
      <c r="AB112">
        <f>IF(Week&gt;=K$1,INDEX(Finals!$G$1:$G$501,K112),INDEX('F Proj'!$D$1:$D$7669,K112))</f>
        <v>7.89</v>
      </c>
      <c r="AC112">
        <f>IF(Week&gt;=L$1,INDEX(Finals!$G$1:$G$501,L112),INDEX('F Proj'!$D$1:$D$7669,L112))</f>
        <v>9.9700000000000006</v>
      </c>
      <c r="AD112">
        <f>IF(Week&gt;=M$1,INDEX(Finals!$G$1:$G$501,M112),INDEX('F Proj'!$D$1:$D$7669,M112))</f>
        <v>9.91</v>
      </c>
      <c r="AE112">
        <f>IF(Week&gt;=N$1,INDEX(Finals!$G$1:$G$501,N112),INDEX('F Proj'!$D$1:$D$7669,N112))</f>
        <v>10.199999999999999</v>
      </c>
      <c r="AF112">
        <f>IF(Week&gt;=O$1,INDEX(Finals!$G$1:$G$501,O112),INDEX('F Proj'!$D$1:$D$7669,O112))</f>
        <v>7.93</v>
      </c>
      <c r="AG112">
        <f>IF(Week&gt;=P$1,INDEX(Finals!$G$1:$G$501,P112),INDEX('F Proj'!$D$1:$D$7669,P112))</f>
        <v>7.67</v>
      </c>
      <c r="AH112">
        <f>IF(Week&gt;=Q$1,INDEX(Finals!$G$1:$G$501,Q112),INDEX('F Proj'!$D$1:$D$7669,Q112))</f>
        <v>9.52</v>
      </c>
      <c r="AI112">
        <f>IF(Week&gt;=R$1,INDEX(Finals!$G$1:$G$501,R112),INDEX('F Proj'!$D$1:$D$7669,R112))</f>
        <v>11.14</v>
      </c>
      <c r="AJ112">
        <f>IF(Week&gt;=S$1,INDEX(Finals!$G$1:$G$501,S112),INDEX('F Proj'!$D$1:$D$7669,S112))</f>
        <v>10.71</v>
      </c>
      <c r="AK112">
        <f>IF(Week&gt;=C$1,INDEX(Finals!$I$1:$I$501,C112),INDEX('F Proj'!$J$1:$J$7669,C112))</f>
        <v>0</v>
      </c>
      <c r="AL112">
        <f>IF(Week&gt;=D$1,INDEX(Finals!$I$1:$I$501,D112),INDEX('F Proj'!$J$1:$J$7669,D112))</f>
        <v>0</v>
      </c>
      <c r="AM112">
        <f>IF(Week&gt;=E$1,INDEX(Finals!$I$1:$I$501,E112),INDEX('F Proj'!$J$1:$J$7669,E112))</f>
        <v>0</v>
      </c>
      <c r="AN112">
        <f>IF(Week&gt;=F$1,INDEX(Finals!$I$1:$I$501,F112),INDEX('F Proj'!$J$1:$J$7669,F112))</f>
        <v>0</v>
      </c>
      <c r="AO112">
        <f>IF(Week&gt;=G$1,INDEX(Finals!$I$1:$I$501,G112),INDEX('F Proj'!$J$1:$J$7669,G112))</f>
        <v>64.320400000000006</v>
      </c>
      <c r="AP112">
        <f>IF(Week&gt;=H$1,INDEX(Finals!$I$1:$I$501,H112),INDEX('F Proj'!$J$1:$J$7669,H112))</f>
        <v>30.25</v>
      </c>
      <c r="AQ112">
        <f>IF(Week&gt;=I$1,INDEX(Finals!$I$1:$I$501,I112),INDEX('F Proj'!$J$1:$J$7669,I112))</f>
        <v>45.5625</v>
      </c>
      <c r="AR112">
        <f>IF(Week&gt;=J$1,INDEX(Finals!$I$1:$I$501,J112),INDEX('F Proj'!$J$1:$J$7669,J112))</f>
        <v>17.556100000000001</v>
      </c>
      <c r="AS112">
        <f>IF(Week&gt;=K$1,INDEX(Finals!$I$1:$I$501,K112),INDEX('F Proj'!$J$1:$J$7669,K112))</f>
        <v>42.120100000000001</v>
      </c>
      <c r="AT112">
        <f>IF(Week&gt;=L$1,INDEX(Finals!$I$1:$I$501,L112),INDEX('F Proj'!$J$1:$J$7669,L112))</f>
        <v>49.420900000000003</v>
      </c>
      <c r="AU112">
        <f>IF(Week&gt;=M$1,INDEX(Finals!$I$1:$I$501,M112),INDEX('F Proj'!$J$1:$J$7669,M112))</f>
        <v>53.29</v>
      </c>
      <c r="AV112">
        <f>IF(Week&gt;=N$1,INDEX(Finals!$I$1:$I$501,N112),INDEX('F Proj'!$J$1:$J$7669,N112))</f>
        <v>35.402500000000003</v>
      </c>
      <c r="AW112">
        <f>IF(Week&gt;=O$1,INDEX(Finals!$I$1:$I$501,O112),INDEX('F Proj'!$J$1:$J$7669,O112))</f>
        <v>36.602499999999999</v>
      </c>
      <c r="AX112">
        <f>IF(Week&gt;=P$1,INDEX(Finals!$I$1:$I$501,P112),INDEX('F Proj'!$J$1:$J$7669,P112))</f>
        <v>31.584399999999999</v>
      </c>
      <c r="AY112">
        <f>IF(Week&gt;=Q$1,INDEX(Finals!$I$1:$I$501,Q112),INDEX('F Proj'!$J$1:$J$7669,Q112))</f>
        <v>47.61</v>
      </c>
      <c r="AZ112">
        <f>IF(Week&gt;=R$1,INDEX(Finals!$I$1:$I$501,R112),INDEX('F Proj'!$J$1:$J$7669,R112))</f>
        <v>53.5824</v>
      </c>
      <c r="BA112">
        <f>IF(Week&gt;=S$1,INDEX(Finals!$I$1:$I$501,S112),INDEX('F Proj'!$J$1:$J$7669,S112))</f>
        <v>53.29</v>
      </c>
    </row>
    <row r="113" spans="1:53" x14ac:dyDescent="0.25">
      <c r="A113" t="s">
        <v>44</v>
      </c>
      <c r="B113" t="s">
        <v>470</v>
      </c>
      <c r="C113" t="e">
        <f>IF(Week&gt;=C$1,MATCH($A113&amp;"-"&amp;C$1&amp;$B113,Finals!$J$1:$J$501,0),IFERROR(MATCH($A113&amp;C$1&amp;$B113,'F Proj'!$N$1:$N$7669,0),MATCH("NA"&amp;C$1&amp;$B113,'F Proj'!$N$1:$N$7669,0)))</f>
        <v>#N/A</v>
      </c>
      <c r="D113" t="e">
        <f>IF(Week&gt;=D$1,MATCH($A113&amp;"-"&amp;D$1&amp;$B113,Finals!$J$1:$J$501,0),IFERROR(MATCH($A113&amp;D$1&amp;$B113,'F Proj'!$N$1:$N$7669,0),MATCH("NA"&amp;D$1&amp;$B113,'F Proj'!$N$1:$N$7669,0)))</f>
        <v>#N/A</v>
      </c>
      <c r="E113" t="e">
        <f>IF(Week&gt;=E$1,MATCH($A113&amp;"-"&amp;E$1&amp;$B113,Finals!$J$1:$J$501,0),IFERROR(MATCH($A113&amp;E$1&amp;$B113,'F Proj'!$N$1:$N$7669,0),MATCH("NA"&amp;E$1&amp;$B113,'F Proj'!$N$1:$N$7669,0)))</f>
        <v>#N/A</v>
      </c>
      <c r="F113" t="e">
        <f>IF(Week&gt;=F$1,MATCH($A113&amp;"-"&amp;F$1&amp;$B113,Finals!$J$1:$J$501,0),IFERROR(MATCH($A113&amp;F$1&amp;$B113,'F Proj'!$N$1:$N$7669,0),MATCH("NA"&amp;F$1&amp;$B113,'F Proj'!$N$1:$N$7669,0)))</f>
        <v>#N/A</v>
      </c>
      <c r="G113" t="e">
        <f>IF(Week&gt;=G$1,MATCH($A113&amp;"-"&amp;G$1&amp;$B113,Finals!$J$1:$J$501,0),IFERROR(MATCH($A113&amp;G$1&amp;$B113,'F Proj'!$N$1:$N$7669,0),MATCH("NA"&amp;G$1&amp;$B113,'F Proj'!$N$1:$N$7669,0)))</f>
        <v>#N/A</v>
      </c>
      <c r="H113">
        <f>IF(Week&gt;=H$1,MATCH($A113&amp;"-"&amp;H$1&amp;$B113,Finals!$J$1:$J$501,0),IFERROR(MATCH($A113&amp;H$1&amp;$B113,'F Proj'!$N$1:$N$7669,0),MATCH("NA"&amp;H$1&amp;$B113,'F Proj'!$N$1:$N$7669,0)))</f>
        <v>1625</v>
      </c>
      <c r="I113">
        <f>IF(Week&gt;=I$1,MATCH($A113&amp;"-"&amp;I$1&amp;$B113,Finals!$J$1:$J$501,0),IFERROR(MATCH($A113&amp;I$1&amp;$B113,'F Proj'!$N$1:$N$7669,0),MATCH("NA"&amp;I$1&amp;$B113,'F Proj'!$N$1:$N$7669,0)))</f>
        <v>1628</v>
      </c>
      <c r="J113">
        <f>IF(Week&gt;=J$1,MATCH($A113&amp;"-"&amp;J$1&amp;$B113,Finals!$J$1:$J$501,0),IFERROR(MATCH($A113&amp;J$1&amp;$B113,'F Proj'!$N$1:$N$7669,0),MATCH("NA"&amp;J$1&amp;$B113,'F Proj'!$N$1:$N$7669,0)))</f>
        <v>2242</v>
      </c>
      <c r="K113">
        <f>IF(Week&gt;=K$1,MATCH($A113&amp;"-"&amp;K$1&amp;$B113,Finals!$J$1:$J$501,0),IFERROR(MATCH($A113&amp;K$1&amp;$B113,'F Proj'!$N$1:$N$7669,0),MATCH("NA"&amp;K$1&amp;$B113,'F Proj'!$N$1:$N$7669,0)))</f>
        <v>1758</v>
      </c>
      <c r="L113">
        <f>IF(Week&gt;=L$1,MATCH($A113&amp;"-"&amp;L$1&amp;$B113,Finals!$J$1:$J$501,0),IFERROR(MATCH($A113&amp;L$1&amp;$B113,'F Proj'!$N$1:$N$7669,0),MATCH("NA"&amp;L$1&amp;$B113,'F Proj'!$N$1:$N$7669,0)))</f>
        <v>1748</v>
      </c>
      <c r="M113">
        <f>IF(Week&gt;=M$1,MATCH($A113&amp;"-"&amp;M$1&amp;$B113,Finals!$J$1:$J$501,0),IFERROR(MATCH($A113&amp;M$1&amp;$B113,'F Proj'!$N$1:$N$7669,0),MATCH("NA"&amp;M$1&amp;$B113,'F Proj'!$N$1:$N$7669,0)))</f>
        <v>1744</v>
      </c>
      <c r="N113">
        <f>IF(Week&gt;=N$1,MATCH($A113&amp;"-"&amp;N$1&amp;$B113,Finals!$J$1:$J$501,0),IFERROR(MATCH($A113&amp;N$1&amp;$B113,'F Proj'!$N$1:$N$7669,0),MATCH("NA"&amp;N$1&amp;$B113,'F Proj'!$N$1:$N$7669,0)))</f>
        <v>1497</v>
      </c>
      <c r="O113">
        <f>IF(Week&gt;=O$1,MATCH($A113&amp;"-"&amp;O$1&amp;$B113,Finals!$J$1:$J$501,0),IFERROR(MATCH($A113&amp;O$1&amp;$B113,'F Proj'!$N$1:$N$7669,0),MATCH("NA"&amp;O$1&amp;$B113,'F Proj'!$N$1:$N$7669,0)))</f>
        <v>1664</v>
      </c>
      <c r="P113">
        <f>IF(Week&gt;=P$1,MATCH($A113&amp;"-"&amp;P$1&amp;$B113,Finals!$J$1:$J$501,0),IFERROR(MATCH($A113&amp;P$1&amp;$B113,'F Proj'!$N$1:$N$7669,0),MATCH("NA"&amp;P$1&amp;$B113,'F Proj'!$N$1:$N$7669,0)))</f>
        <v>1769</v>
      </c>
      <c r="Q113">
        <f>IF(Week&gt;=Q$1,MATCH($A113&amp;"-"&amp;Q$1&amp;$B113,Finals!$J$1:$J$501,0),IFERROR(MATCH($A113&amp;Q$1&amp;$B113,'F Proj'!$N$1:$N$7669,0),MATCH("NA"&amp;Q$1&amp;$B113,'F Proj'!$N$1:$N$7669,0)))</f>
        <v>1359</v>
      </c>
      <c r="R113">
        <f>IF(Week&gt;=R$1,MATCH($A113&amp;"-"&amp;R$1&amp;$B113,Finals!$J$1:$J$501,0),IFERROR(MATCH($A113&amp;R$1&amp;$B113,'F Proj'!$N$1:$N$7669,0),MATCH("NA"&amp;R$1&amp;$B113,'F Proj'!$N$1:$N$7669,0)))</f>
        <v>1862</v>
      </c>
      <c r="S113">
        <f>IF(Week&gt;=S$1,MATCH($A113&amp;"-"&amp;S$1&amp;$B113,Finals!$J$1:$J$501,0),IFERROR(MATCH($A113&amp;S$1&amp;$B113,'F Proj'!$N$1:$N$7669,0),MATCH("NA"&amp;S$1&amp;$B113,'F Proj'!$N$1:$N$7669,0)))</f>
        <v>1811</v>
      </c>
    </row>
    <row r="114" spans="1:53" x14ac:dyDescent="0.25">
      <c r="A114" t="s">
        <v>44</v>
      </c>
      <c r="B114" t="s">
        <v>471</v>
      </c>
      <c r="C114">
        <f>IF(Week&gt;=C$1,MATCH($A114&amp;"-"&amp;C$1&amp;$B114,Finals!$J$1:$J$501,0),IFERROR(MATCH($A114&amp;C$1&amp;$B114,'F Proj'!$N$1:$N$7669,0),MATCH("NA"&amp;C$1&amp;$B114,'F Proj'!$N$1:$N$7669,0)))</f>
        <v>298</v>
      </c>
      <c r="D114">
        <f>IF(Week&gt;=D$1,MATCH($A114&amp;"-"&amp;D$1&amp;$B114,Finals!$J$1:$J$501,0),IFERROR(MATCH($A114&amp;D$1&amp;$B114,'F Proj'!$N$1:$N$7669,0),MATCH("NA"&amp;D$1&amp;$B114,'F Proj'!$N$1:$N$7669,0)))</f>
        <v>299</v>
      </c>
      <c r="E114">
        <f>IF(Week&gt;=E$1,MATCH($A114&amp;"-"&amp;E$1&amp;$B114,Finals!$J$1:$J$501,0),IFERROR(MATCH($A114&amp;E$1&amp;$B114,'F Proj'!$N$1:$N$7669,0),MATCH("NA"&amp;E$1&amp;$B114,'F Proj'!$N$1:$N$7669,0)))</f>
        <v>300</v>
      </c>
      <c r="F114">
        <f>IF(Week&gt;=F$1,MATCH($A114&amp;"-"&amp;F$1&amp;$B114,Finals!$J$1:$J$501,0),IFERROR(MATCH($A114&amp;F$1&amp;$B114,'F Proj'!$N$1:$N$7669,0),MATCH("NA"&amp;F$1&amp;$B114,'F Proj'!$N$1:$N$7669,0)))</f>
        <v>301</v>
      </c>
      <c r="G114">
        <f>IF(Week&gt;=G$1,MATCH($A114&amp;"-"&amp;G$1&amp;$B114,Finals!$J$1:$J$501,0),IFERROR(MATCH($A114&amp;G$1&amp;$B114,'F Proj'!$N$1:$N$7669,0),MATCH("NA"&amp;G$1&amp;$B114,'F Proj'!$N$1:$N$7669,0)))</f>
        <v>302</v>
      </c>
      <c r="H114">
        <f>IF(Week&gt;=H$1,MATCH($A114&amp;"-"&amp;H$1&amp;$B114,Finals!$J$1:$J$501,0),IFERROR(MATCH($A114&amp;H$1&amp;$B114,'F Proj'!$N$1:$N$7669,0),MATCH("NA"&amp;H$1&amp;$B114,'F Proj'!$N$1:$N$7669,0)))</f>
        <v>735</v>
      </c>
      <c r="I114">
        <f>IF(Week&gt;=I$1,MATCH($A114&amp;"-"&amp;I$1&amp;$B114,Finals!$J$1:$J$501,0),IFERROR(MATCH($A114&amp;I$1&amp;$B114,'F Proj'!$N$1:$N$7669,0),MATCH("NA"&amp;I$1&amp;$B114,'F Proj'!$N$1:$N$7669,0)))</f>
        <v>593</v>
      </c>
      <c r="J114">
        <f>IF(Week&gt;=J$1,MATCH($A114&amp;"-"&amp;J$1&amp;$B114,Finals!$J$1:$J$501,0),IFERROR(MATCH($A114&amp;J$1&amp;$B114,'F Proj'!$N$1:$N$7669,0),MATCH("NA"&amp;J$1&amp;$B114,'F Proj'!$N$1:$N$7669,0)))</f>
        <v>609</v>
      </c>
      <c r="K114">
        <f>IF(Week&gt;=K$1,MATCH($A114&amp;"-"&amp;K$1&amp;$B114,Finals!$J$1:$J$501,0),IFERROR(MATCH($A114&amp;K$1&amp;$B114,'F Proj'!$N$1:$N$7669,0),MATCH("NA"&amp;K$1&amp;$B114,'F Proj'!$N$1:$N$7669,0)))</f>
        <v>729</v>
      </c>
      <c r="L114">
        <f>IF(Week&gt;=L$1,MATCH($A114&amp;"-"&amp;L$1&amp;$B114,Finals!$J$1:$J$501,0),IFERROR(MATCH($A114&amp;L$1&amp;$B114,'F Proj'!$N$1:$N$7669,0),MATCH("NA"&amp;L$1&amp;$B114,'F Proj'!$N$1:$N$7669,0)))</f>
        <v>772</v>
      </c>
      <c r="M114">
        <f>IF(Week&gt;=M$1,MATCH($A114&amp;"-"&amp;M$1&amp;$B114,Finals!$J$1:$J$501,0),IFERROR(MATCH($A114&amp;M$1&amp;$B114,'F Proj'!$N$1:$N$7669,0),MATCH("NA"&amp;M$1&amp;$B114,'F Proj'!$N$1:$N$7669,0)))</f>
        <v>674</v>
      </c>
      <c r="N114">
        <f>IF(Week&gt;=N$1,MATCH($A114&amp;"-"&amp;N$1&amp;$B114,Finals!$J$1:$J$501,0),IFERROR(MATCH($A114&amp;N$1&amp;$B114,'F Proj'!$N$1:$N$7669,0),MATCH("NA"&amp;N$1&amp;$B114,'F Proj'!$N$1:$N$7669,0)))</f>
        <v>707</v>
      </c>
      <c r="O114">
        <f>IF(Week&gt;=O$1,MATCH($A114&amp;"-"&amp;O$1&amp;$B114,Finals!$J$1:$J$501,0),IFERROR(MATCH($A114&amp;O$1&amp;$B114,'F Proj'!$N$1:$N$7669,0),MATCH("NA"&amp;O$1&amp;$B114,'F Proj'!$N$1:$N$7669,0)))</f>
        <v>918</v>
      </c>
      <c r="P114">
        <f>IF(Week&gt;=P$1,MATCH($A114&amp;"-"&amp;P$1&amp;$B114,Finals!$J$1:$J$501,0),IFERROR(MATCH($A114&amp;P$1&amp;$B114,'F Proj'!$N$1:$N$7669,0),MATCH("NA"&amp;P$1&amp;$B114,'F Proj'!$N$1:$N$7669,0)))</f>
        <v>670</v>
      </c>
      <c r="Q114">
        <f>IF(Week&gt;=Q$1,MATCH($A114&amp;"-"&amp;Q$1&amp;$B114,Finals!$J$1:$J$501,0),IFERROR(MATCH($A114&amp;Q$1&amp;$B114,'F Proj'!$N$1:$N$7669,0),MATCH("NA"&amp;Q$1&amp;$B114,'F Proj'!$N$1:$N$7669,0)))</f>
        <v>731</v>
      </c>
      <c r="R114">
        <f>IF(Week&gt;=R$1,MATCH($A114&amp;"-"&amp;R$1&amp;$B114,Finals!$J$1:$J$501,0),IFERROR(MATCH($A114&amp;R$1&amp;$B114,'F Proj'!$N$1:$N$7669,0),MATCH("NA"&amp;R$1&amp;$B114,'F Proj'!$N$1:$N$7669,0)))</f>
        <v>759</v>
      </c>
      <c r="S114">
        <f>IF(Week&gt;=S$1,MATCH($A114&amp;"-"&amp;S$1&amp;$B114,Finals!$J$1:$J$501,0),IFERROR(MATCH($A114&amp;S$1&amp;$B114,'F Proj'!$N$1:$N$7669,0),MATCH("NA"&amp;S$1&amp;$B114,'F Proj'!$N$1:$N$7669,0)))</f>
        <v>634</v>
      </c>
      <c r="T114">
        <f>IF(Week&gt;=C$1,INDEX(Finals!$G$1:$G$501,C114),INDEX('F Proj'!$D$1:$D$7669,C114))</f>
        <v>11</v>
      </c>
      <c r="U114">
        <f>IF(Week&gt;=D$1,INDEX(Finals!$G$1:$G$501,D114),INDEX('F Proj'!$D$1:$D$7669,D114))</f>
        <v>5.0999999999999996</v>
      </c>
      <c r="V114">
        <f>IF(Week&gt;=E$1,INDEX(Finals!$G$1:$G$501,E114),INDEX('F Proj'!$D$1:$D$7669,E114))</f>
        <v>10.9</v>
      </c>
      <c r="W114">
        <f>IF(Week&gt;=F$1,INDEX(Finals!$G$1:$G$501,F114),INDEX('F Proj'!$D$1:$D$7669,F114))</f>
        <v>7</v>
      </c>
      <c r="X114">
        <f>IF(Week&gt;=G$1,INDEX(Finals!$G$1:$G$501,G114),INDEX('F Proj'!$D$1:$D$7669,G114))</f>
        <v>12.21</v>
      </c>
      <c r="Y114">
        <f>IF(Week&gt;=H$1,INDEX(Finals!$G$1:$G$501,H114),INDEX('F Proj'!$D$1:$D$7669,H114))</f>
        <v>12.69</v>
      </c>
      <c r="Z114">
        <f>IF(Week&gt;=I$1,INDEX(Finals!$G$1:$G$501,I114),INDEX('F Proj'!$D$1:$D$7669,I114))</f>
        <v>13.77</v>
      </c>
      <c r="AA114">
        <f>IF(Week&gt;=J$1,INDEX(Finals!$G$1:$G$501,J114),INDEX('F Proj'!$D$1:$D$7669,J114))</f>
        <v>13.69</v>
      </c>
      <c r="AB114">
        <f>IF(Week&gt;=K$1,INDEX(Finals!$G$1:$G$501,K114),INDEX('F Proj'!$D$1:$D$7669,K114))</f>
        <v>12.75</v>
      </c>
      <c r="AC114">
        <f>IF(Week&gt;=L$1,INDEX(Finals!$G$1:$G$501,L114),INDEX('F Proj'!$D$1:$D$7669,L114))</f>
        <v>12.38</v>
      </c>
      <c r="AD114">
        <f>IF(Week&gt;=M$1,INDEX(Finals!$G$1:$G$501,M114),INDEX('F Proj'!$D$1:$D$7669,M114))</f>
        <v>13.1</v>
      </c>
      <c r="AE114">
        <f>IF(Week&gt;=N$1,INDEX(Finals!$G$1:$G$501,N114),INDEX('F Proj'!$D$1:$D$7669,N114))</f>
        <v>12.88</v>
      </c>
      <c r="AF114">
        <f>IF(Week&gt;=O$1,INDEX(Finals!$G$1:$G$501,O114),INDEX('F Proj'!$D$1:$D$7669,O114))</f>
        <v>11.06</v>
      </c>
      <c r="AG114">
        <f>IF(Week&gt;=P$1,INDEX(Finals!$G$1:$G$501,P114),INDEX('F Proj'!$D$1:$D$7669,P114))</f>
        <v>13.14</v>
      </c>
      <c r="AH114">
        <f>IF(Week&gt;=Q$1,INDEX(Finals!$G$1:$G$501,Q114),INDEX('F Proj'!$D$1:$D$7669,Q114))</f>
        <v>12.74</v>
      </c>
      <c r="AI114">
        <f>IF(Week&gt;=R$1,INDEX(Finals!$G$1:$G$501,R114),INDEX('F Proj'!$D$1:$D$7669,R114))</f>
        <v>12.46</v>
      </c>
      <c r="AJ114">
        <f>IF(Week&gt;=S$1,INDEX(Finals!$G$1:$G$501,S114),INDEX('F Proj'!$D$1:$D$7669,S114))</f>
        <v>13.44</v>
      </c>
      <c r="AK114">
        <f>IF(Week&gt;=C$1,INDEX(Finals!$I$1:$I$501,C114),INDEX('F Proj'!$J$1:$J$7669,C114))</f>
        <v>0</v>
      </c>
      <c r="AL114">
        <f>IF(Week&gt;=D$1,INDEX(Finals!$I$1:$I$501,D114),INDEX('F Proj'!$J$1:$J$7669,D114))</f>
        <v>0</v>
      </c>
      <c r="AM114">
        <f>IF(Week&gt;=E$1,INDEX(Finals!$I$1:$I$501,E114),INDEX('F Proj'!$J$1:$J$7669,E114))</f>
        <v>0</v>
      </c>
      <c r="AN114">
        <f>IF(Week&gt;=F$1,INDEX(Finals!$I$1:$I$501,F114),INDEX('F Proj'!$J$1:$J$7669,F114))</f>
        <v>0</v>
      </c>
      <c r="AO114">
        <f>IF(Week&gt;=G$1,INDEX(Finals!$I$1:$I$501,G114),INDEX('F Proj'!$J$1:$J$7669,G114))</f>
        <v>56.550400000000003</v>
      </c>
      <c r="AP114">
        <f>IF(Week&gt;=H$1,INDEX(Finals!$I$1:$I$501,H114),INDEX('F Proj'!$J$1:$J$7669,H114))</f>
        <v>46.104100000000003</v>
      </c>
      <c r="AQ114">
        <f>IF(Week&gt;=I$1,INDEX(Finals!$I$1:$I$501,I114),INDEX('F Proj'!$J$1:$J$7669,I114))</f>
        <v>54.316899999999997</v>
      </c>
      <c r="AR114">
        <f>IF(Week&gt;=J$1,INDEX(Finals!$I$1:$I$501,J114),INDEX('F Proj'!$J$1:$J$7669,J114))</f>
        <v>65.448099999999997</v>
      </c>
      <c r="AS114">
        <f>IF(Week&gt;=K$1,INDEX(Finals!$I$1:$I$501,K114),INDEX('F Proj'!$J$1:$J$7669,K114))</f>
        <v>28.8369</v>
      </c>
      <c r="AT114">
        <f>IF(Week&gt;=L$1,INDEX(Finals!$I$1:$I$501,L114),INDEX('F Proj'!$J$1:$J$7669,L114))</f>
        <v>51.408900000000003</v>
      </c>
      <c r="AU114">
        <f>IF(Week&gt;=M$1,INDEX(Finals!$I$1:$I$501,M114),INDEX('F Proj'!$J$1:$J$7669,M114))</f>
        <v>58.828899999999997</v>
      </c>
      <c r="AV114">
        <f>IF(Week&gt;=N$1,INDEX(Finals!$I$1:$I$501,N114),INDEX('F Proj'!$J$1:$J$7669,N114))</f>
        <v>28.302399999999999</v>
      </c>
      <c r="AW114">
        <f>IF(Week&gt;=O$1,INDEX(Finals!$I$1:$I$501,O114),INDEX('F Proj'!$J$1:$J$7669,O114))</f>
        <v>27.2484</v>
      </c>
      <c r="AX114">
        <f>IF(Week&gt;=P$1,INDEX(Finals!$I$1:$I$501,P114),INDEX('F Proj'!$J$1:$J$7669,P114))</f>
        <v>65.448099999999997</v>
      </c>
      <c r="AY114">
        <f>IF(Week&gt;=Q$1,INDEX(Finals!$I$1:$I$501,Q114),INDEX('F Proj'!$J$1:$J$7669,Q114))</f>
        <v>28.196100000000001</v>
      </c>
      <c r="AZ114">
        <f>IF(Week&gt;=R$1,INDEX(Finals!$I$1:$I$501,R114),INDEX('F Proj'!$J$1:$J$7669,R114))</f>
        <v>53.875599999999999</v>
      </c>
      <c r="BA114">
        <f>IF(Week&gt;=S$1,INDEX(Finals!$I$1:$I$501,S114),INDEX('F Proj'!$J$1:$J$7669,S114))</f>
        <v>58.828899999999997</v>
      </c>
    </row>
    <row r="115" spans="1:53" x14ac:dyDescent="0.25">
      <c r="A115" t="s">
        <v>44</v>
      </c>
      <c r="B115" t="s">
        <v>472</v>
      </c>
      <c r="C115">
        <f>IF(Week&gt;=C$1,MATCH($A115&amp;"-"&amp;C$1&amp;$B115,Finals!$J$1:$J$501,0),IFERROR(MATCH($A115&amp;C$1&amp;$B115,'F Proj'!$N$1:$N$7669,0),MATCH("NA"&amp;C$1&amp;$B115,'F Proj'!$N$1:$N$7669,0)))</f>
        <v>12</v>
      </c>
      <c r="D115">
        <f>IF(Week&gt;=D$1,MATCH($A115&amp;"-"&amp;D$1&amp;$B115,Finals!$J$1:$J$501,0),IFERROR(MATCH($A115&amp;D$1&amp;$B115,'F Proj'!$N$1:$N$7669,0),MATCH("NA"&amp;D$1&amp;$B115,'F Proj'!$N$1:$N$7669,0)))</f>
        <v>13</v>
      </c>
      <c r="E115">
        <f>IF(Week&gt;=E$1,MATCH($A115&amp;"-"&amp;E$1&amp;$B115,Finals!$J$1:$J$501,0),IFERROR(MATCH($A115&amp;E$1&amp;$B115,'F Proj'!$N$1:$N$7669,0),MATCH("NA"&amp;E$1&amp;$B115,'F Proj'!$N$1:$N$7669,0)))</f>
        <v>14</v>
      </c>
      <c r="F115">
        <f>IF(Week&gt;=F$1,MATCH($A115&amp;"-"&amp;F$1&amp;$B115,Finals!$J$1:$J$501,0),IFERROR(MATCH($A115&amp;F$1&amp;$B115,'F Proj'!$N$1:$N$7669,0),MATCH("NA"&amp;F$1&amp;$B115,'F Proj'!$N$1:$N$7669,0)))</f>
        <v>15</v>
      </c>
      <c r="G115">
        <f>IF(Week&gt;=G$1,MATCH($A115&amp;"-"&amp;G$1&amp;$B115,Finals!$J$1:$J$501,0),IFERROR(MATCH($A115&amp;G$1&amp;$B115,'F Proj'!$N$1:$N$7669,0),MATCH("NA"&amp;G$1&amp;$B115,'F Proj'!$N$1:$N$7669,0)))</f>
        <v>16</v>
      </c>
      <c r="H115">
        <f>IF(Week&gt;=H$1,MATCH($A115&amp;"-"&amp;H$1&amp;$B115,Finals!$J$1:$J$501,0),IFERROR(MATCH($A115&amp;H$1&amp;$B115,'F Proj'!$N$1:$N$7669,0),MATCH("NA"&amp;H$1&amp;$B115,'F Proj'!$N$1:$N$7669,0)))</f>
        <v>1127</v>
      </c>
      <c r="I115">
        <f>IF(Week&gt;=I$1,MATCH($A115&amp;"-"&amp;I$1&amp;$B115,Finals!$J$1:$J$501,0),IFERROR(MATCH($A115&amp;I$1&amp;$B115,'F Proj'!$N$1:$N$7669,0),MATCH("NA"&amp;I$1&amp;$B115,'F Proj'!$N$1:$N$7669,0)))</f>
        <v>706</v>
      </c>
      <c r="J115">
        <f>IF(Week&gt;=J$1,MATCH($A115&amp;"-"&amp;J$1&amp;$B115,Finals!$J$1:$J$501,0),IFERROR(MATCH($A115&amp;J$1&amp;$B115,'F Proj'!$N$1:$N$7669,0),MATCH("NA"&amp;J$1&amp;$B115,'F Proj'!$N$1:$N$7669,0)))</f>
        <v>724</v>
      </c>
      <c r="K115">
        <f>IF(Week&gt;=K$1,MATCH($A115&amp;"-"&amp;K$1&amp;$B115,Finals!$J$1:$J$501,0),IFERROR(MATCH($A115&amp;K$1&amp;$B115,'F Proj'!$N$1:$N$7669,0),MATCH("NA"&amp;K$1&amp;$B115,'F Proj'!$N$1:$N$7669,0)))</f>
        <v>1386</v>
      </c>
      <c r="L115">
        <f>IF(Week&gt;=L$1,MATCH($A115&amp;"-"&amp;L$1&amp;$B115,Finals!$J$1:$J$501,0),IFERROR(MATCH($A115&amp;L$1&amp;$B115,'F Proj'!$N$1:$N$7669,0),MATCH("NA"&amp;L$1&amp;$B115,'F Proj'!$N$1:$N$7669,0)))</f>
        <v>1434</v>
      </c>
      <c r="M115">
        <f>IF(Week&gt;=M$1,MATCH($A115&amp;"-"&amp;M$1&amp;$B115,Finals!$J$1:$J$501,0),IFERROR(MATCH($A115&amp;M$1&amp;$B115,'F Proj'!$N$1:$N$7669,0),MATCH("NA"&amp;M$1&amp;$B115,'F Proj'!$N$1:$N$7669,0)))</f>
        <v>927</v>
      </c>
      <c r="N115">
        <f>IF(Week&gt;=N$1,MATCH($A115&amp;"-"&amp;N$1&amp;$B115,Finals!$J$1:$J$501,0),IFERROR(MATCH($A115&amp;N$1&amp;$B115,'F Proj'!$N$1:$N$7669,0),MATCH("NA"&amp;N$1&amp;$B115,'F Proj'!$N$1:$N$7669,0)))</f>
        <v>1168</v>
      </c>
      <c r="O115">
        <f>IF(Week&gt;=O$1,MATCH($A115&amp;"-"&amp;O$1&amp;$B115,Finals!$J$1:$J$501,0),IFERROR(MATCH($A115&amp;O$1&amp;$B115,'F Proj'!$N$1:$N$7669,0),MATCH("NA"&amp;O$1&amp;$B115,'F Proj'!$N$1:$N$7669,0)))</f>
        <v>1106</v>
      </c>
      <c r="P115">
        <f>IF(Week&gt;=P$1,MATCH($A115&amp;"-"&amp;P$1&amp;$B115,Finals!$J$1:$J$501,0),IFERROR(MATCH($A115&amp;P$1&amp;$B115,'F Proj'!$N$1:$N$7669,0),MATCH("NA"&amp;P$1&amp;$B115,'F Proj'!$N$1:$N$7669,0)))</f>
        <v>826</v>
      </c>
      <c r="Q115">
        <f>IF(Week&gt;=Q$1,MATCH($A115&amp;"-"&amp;Q$1&amp;$B115,Finals!$J$1:$J$501,0),IFERROR(MATCH($A115&amp;Q$1&amp;$B115,'F Proj'!$N$1:$N$7669,0),MATCH("NA"&amp;Q$1&amp;$B115,'F Proj'!$N$1:$N$7669,0)))</f>
        <v>977</v>
      </c>
      <c r="R115">
        <f>IF(Week&gt;=R$1,MATCH($A115&amp;"-"&amp;R$1&amp;$B115,Finals!$J$1:$J$501,0),IFERROR(MATCH($A115&amp;R$1&amp;$B115,'F Proj'!$N$1:$N$7669,0),MATCH("NA"&amp;R$1&amp;$B115,'F Proj'!$N$1:$N$7669,0)))</f>
        <v>787</v>
      </c>
      <c r="S115">
        <f>IF(Week&gt;=S$1,MATCH($A115&amp;"-"&amp;S$1&amp;$B115,Finals!$J$1:$J$501,0),IFERROR(MATCH($A115&amp;S$1&amp;$B115,'F Proj'!$N$1:$N$7669,0),MATCH("NA"&amp;S$1&amp;$B115,'F Proj'!$N$1:$N$7669,0)))</f>
        <v>889</v>
      </c>
      <c r="T115">
        <f>IF(Week&gt;=C$1,INDEX(Finals!$G$1:$G$501,C115),INDEX('F Proj'!$D$1:$D$7669,C115))</f>
        <v>10.199999999999999</v>
      </c>
      <c r="U115">
        <f>IF(Week&gt;=D$1,INDEX(Finals!$G$1:$G$501,D115),INDEX('F Proj'!$D$1:$D$7669,D115))</f>
        <v>19.100000000000001</v>
      </c>
      <c r="V115">
        <f>IF(Week&gt;=E$1,INDEX(Finals!$G$1:$G$501,E115),INDEX('F Proj'!$D$1:$D$7669,E115))</f>
        <v>10.5</v>
      </c>
      <c r="W115">
        <f>IF(Week&gt;=F$1,INDEX(Finals!$G$1:$G$501,F115),INDEX('F Proj'!$D$1:$D$7669,F115))</f>
        <v>19.5</v>
      </c>
      <c r="X115">
        <f>IF(Week&gt;=G$1,INDEX(Finals!$G$1:$G$501,G115),INDEX('F Proj'!$D$1:$D$7669,G115))</f>
        <v>12.27</v>
      </c>
      <c r="Y115">
        <f>IF(Week&gt;=H$1,INDEX(Finals!$G$1:$G$501,H115),INDEX('F Proj'!$D$1:$D$7669,H115))</f>
        <v>9.77</v>
      </c>
      <c r="Z115">
        <f>IF(Week&gt;=I$1,INDEX(Finals!$G$1:$G$501,I115),INDEX('F Proj'!$D$1:$D$7669,I115))</f>
        <v>12.89</v>
      </c>
      <c r="AA115">
        <f>IF(Week&gt;=J$1,INDEX(Finals!$G$1:$G$501,J115),INDEX('F Proj'!$D$1:$D$7669,J115))</f>
        <v>12.78</v>
      </c>
      <c r="AB115">
        <f>IF(Week&gt;=K$1,INDEX(Finals!$G$1:$G$501,K115),INDEX('F Proj'!$D$1:$D$7669,K115))</f>
        <v>8.52</v>
      </c>
      <c r="AC115">
        <f>IF(Week&gt;=L$1,INDEX(Finals!$G$1:$G$501,L115),INDEX('F Proj'!$D$1:$D$7669,L115))</f>
        <v>8.33</v>
      </c>
      <c r="AD115">
        <f>IF(Week&gt;=M$1,INDEX(Finals!$G$1:$G$501,M115),INDEX('F Proj'!$D$1:$D$7669,M115))</f>
        <v>10.94</v>
      </c>
      <c r="AE115">
        <f>IF(Week&gt;=N$1,INDEX(Finals!$G$1:$G$501,N115),INDEX('F Proj'!$D$1:$D$7669,N115))</f>
        <v>9.57</v>
      </c>
      <c r="AF115">
        <f>IF(Week&gt;=O$1,INDEX(Finals!$G$1:$G$501,O115),INDEX('F Proj'!$D$1:$D$7669,O115))</f>
        <v>9.86</v>
      </c>
      <c r="AG115">
        <f>IF(Week&gt;=P$1,INDEX(Finals!$G$1:$G$501,P115),INDEX('F Proj'!$D$1:$D$7669,P115))</f>
        <v>11.89</v>
      </c>
      <c r="AH115">
        <f>IF(Week&gt;=Q$1,INDEX(Finals!$G$1:$G$501,Q115),INDEX('F Proj'!$D$1:$D$7669,Q115))</f>
        <v>10.58</v>
      </c>
      <c r="AI115">
        <f>IF(Week&gt;=R$1,INDEX(Finals!$G$1:$G$501,R115),INDEX('F Proj'!$D$1:$D$7669,R115))</f>
        <v>12.27</v>
      </c>
      <c r="AJ115">
        <f>IF(Week&gt;=S$1,INDEX(Finals!$G$1:$G$501,S115),INDEX('F Proj'!$D$1:$D$7669,S115))</f>
        <v>11.32</v>
      </c>
      <c r="AK115">
        <f>IF(Week&gt;=C$1,INDEX(Finals!$I$1:$I$501,C115),INDEX('F Proj'!$J$1:$J$7669,C115))</f>
        <v>0</v>
      </c>
      <c r="AL115">
        <f>IF(Week&gt;=D$1,INDEX(Finals!$I$1:$I$501,D115),INDEX('F Proj'!$J$1:$J$7669,D115))</f>
        <v>0</v>
      </c>
      <c r="AM115">
        <f>IF(Week&gt;=E$1,INDEX(Finals!$I$1:$I$501,E115),INDEX('F Proj'!$J$1:$J$7669,E115))</f>
        <v>0</v>
      </c>
      <c r="AN115">
        <f>IF(Week&gt;=F$1,INDEX(Finals!$I$1:$I$501,F115),INDEX('F Proj'!$J$1:$J$7669,F115))</f>
        <v>0</v>
      </c>
      <c r="AO115">
        <f>IF(Week&gt;=G$1,INDEX(Finals!$I$1:$I$501,G115),INDEX('F Proj'!$J$1:$J$7669,G115))</f>
        <v>50.552100000000003</v>
      </c>
      <c r="AP115">
        <f>IF(Week&gt;=H$1,INDEX(Finals!$I$1:$I$501,H115),INDEX('F Proj'!$J$1:$J$7669,H115))</f>
        <v>37.576900000000002</v>
      </c>
      <c r="AQ115">
        <f>IF(Week&gt;=I$1,INDEX(Finals!$I$1:$I$501,I115),INDEX('F Proj'!$J$1:$J$7669,I115))</f>
        <v>45.968400000000003</v>
      </c>
      <c r="AR115">
        <f>IF(Week&gt;=J$1,INDEX(Finals!$I$1:$I$501,J115),INDEX('F Proj'!$J$1:$J$7669,J115))</f>
        <v>28.622499999999999</v>
      </c>
      <c r="AS115">
        <f>IF(Week&gt;=K$1,INDEX(Finals!$I$1:$I$501,K115),INDEX('F Proj'!$J$1:$J$7669,K115))</f>
        <v>36.602499999999999</v>
      </c>
      <c r="AT115">
        <f>IF(Week&gt;=L$1,INDEX(Finals!$I$1:$I$501,L115),INDEX('F Proj'!$J$1:$J$7669,L115))</f>
        <v>36.120100000000001</v>
      </c>
      <c r="AU115">
        <f>IF(Week&gt;=M$1,INDEX(Finals!$I$1:$I$501,M115),INDEX('F Proj'!$J$1:$J$7669,M115))</f>
        <v>39.564100000000003</v>
      </c>
      <c r="AV115">
        <f>IF(Week&gt;=N$1,INDEX(Finals!$I$1:$I$501,N115),INDEX('F Proj'!$J$1:$J$7669,N115))</f>
        <v>36.9664</v>
      </c>
      <c r="AW115">
        <f>IF(Week&gt;=O$1,INDEX(Finals!$I$1:$I$501,O115),INDEX('F Proj'!$J$1:$J$7669,O115))</f>
        <v>33.4084</v>
      </c>
      <c r="AX115">
        <f>IF(Week&gt;=P$1,INDEX(Finals!$I$1:$I$501,P115),INDEX('F Proj'!$J$1:$J$7669,P115))</f>
        <v>40.195599999999999</v>
      </c>
      <c r="AY115">
        <f>IF(Week&gt;=Q$1,INDEX(Finals!$I$1:$I$501,Q115),INDEX('F Proj'!$J$1:$J$7669,Q115))</f>
        <v>41.473599999999998</v>
      </c>
      <c r="AZ115">
        <f>IF(Week&gt;=R$1,INDEX(Finals!$I$1:$I$501,R115),INDEX('F Proj'!$J$1:$J$7669,R115))</f>
        <v>28.8369</v>
      </c>
      <c r="BA115">
        <f>IF(Week&gt;=S$1,INDEX(Finals!$I$1:$I$501,S115),INDEX('F Proj'!$J$1:$J$7669,S115))</f>
        <v>39.564100000000003</v>
      </c>
    </row>
    <row r="116" spans="1:53" x14ac:dyDescent="0.25">
      <c r="A116" t="s">
        <v>44</v>
      </c>
      <c r="B116" t="s">
        <v>473</v>
      </c>
      <c r="C116">
        <f>IF(Week&gt;=C$1,MATCH($A116&amp;"-"&amp;C$1&amp;$B116,Finals!$J$1:$J$501,0),IFERROR(MATCH($A116&amp;C$1&amp;$B116,'F Proj'!$N$1:$N$7669,0),MATCH("NA"&amp;C$1&amp;$B116,'F Proj'!$N$1:$N$7669,0)))</f>
        <v>256</v>
      </c>
      <c r="D116">
        <f>IF(Week&gt;=D$1,MATCH($A116&amp;"-"&amp;D$1&amp;$B116,Finals!$J$1:$J$501,0),IFERROR(MATCH($A116&amp;D$1&amp;$B116,'F Proj'!$N$1:$N$7669,0),MATCH("NA"&amp;D$1&amp;$B116,'F Proj'!$N$1:$N$7669,0)))</f>
        <v>257</v>
      </c>
      <c r="E116">
        <f>IF(Week&gt;=E$1,MATCH($A116&amp;"-"&amp;E$1&amp;$B116,Finals!$J$1:$J$501,0),IFERROR(MATCH($A116&amp;E$1&amp;$B116,'F Proj'!$N$1:$N$7669,0),MATCH("NA"&amp;E$1&amp;$B116,'F Proj'!$N$1:$N$7669,0)))</f>
        <v>318</v>
      </c>
      <c r="F116">
        <f>IF(Week&gt;=F$1,MATCH($A116&amp;"-"&amp;F$1&amp;$B116,Finals!$J$1:$J$501,0),IFERROR(MATCH($A116&amp;F$1&amp;$B116,'F Proj'!$N$1:$N$7669,0),MATCH("NA"&amp;F$1&amp;$B116,'F Proj'!$N$1:$N$7669,0)))</f>
        <v>209</v>
      </c>
      <c r="G116">
        <f>IF(Week&gt;=G$1,MATCH($A116&amp;"-"&amp;G$1&amp;$B116,Finals!$J$1:$J$501,0),IFERROR(MATCH($A116&amp;G$1&amp;$B116,'F Proj'!$N$1:$N$7669,0),MATCH("NA"&amp;G$1&amp;$B116,'F Proj'!$N$1:$N$7669,0)))</f>
        <v>210</v>
      </c>
      <c r="H116">
        <f>IF(Week&gt;=H$1,MATCH($A116&amp;"-"&amp;H$1&amp;$B116,Finals!$J$1:$J$501,0),IFERROR(MATCH($A116&amp;H$1&amp;$B116,'F Proj'!$N$1:$N$7669,0),MATCH("NA"&amp;H$1&amp;$B116,'F Proj'!$N$1:$N$7669,0)))</f>
        <v>1450</v>
      </c>
      <c r="I116">
        <f>IF(Week&gt;=I$1,MATCH($A116&amp;"-"&amp;I$1&amp;$B116,Finals!$J$1:$J$501,0),IFERROR(MATCH($A116&amp;I$1&amp;$B116,'F Proj'!$N$1:$N$7669,0),MATCH("NA"&amp;I$1&amp;$B116,'F Proj'!$N$1:$N$7669,0)))</f>
        <v>1591</v>
      </c>
      <c r="J116">
        <f>IF(Week&gt;=J$1,MATCH($A116&amp;"-"&amp;J$1&amp;$B116,Finals!$J$1:$J$501,0),IFERROR(MATCH($A116&amp;J$1&amp;$B116,'F Proj'!$N$1:$N$7669,0),MATCH("NA"&amp;J$1&amp;$B116,'F Proj'!$N$1:$N$7669,0)))</f>
        <v>1180</v>
      </c>
      <c r="K116">
        <f>IF(Week&gt;=K$1,MATCH($A116&amp;"-"&amp;K$1&amp;$B116,Finals!$J$1:$J$501,0),IFERROR(MATCH($A116&amp;K$1&amp;$B116,'F Proj'!$N$1:$N$7669,0),MATCH("NA"&amp;K$1&amp;$B116,'F Proj'!$N$1:$N$7669,0)))</f>
        <v>1387</v>
      </c>
      <c r="L116">
        <f>IF(Week&gt;=L$1,MATCH($A116&amp;"-"&amp;L$1&amp;$B116,Finals!$J$1:$J$501,0),IFERROR(MATCH($A116&amp;L$1&amp;$B116,'F Proj'!$N$1:$N$7669,0),MATCH("NA"&amp;L$1&amp;$B116,'F Proj'!$N$1:$N$7669,0)))</f>
        <v>1727</v>
      </c>
      <c r="M116">
        <f>IF(Week&gt;=M$1,MATCH($A116&amp;"-"&amp;M$1&amp;$B116,Finals!$J$1:$J$501,0),IFERROR(MATCH($A116&amp;M$1&amp;$B116,'F Proj'!$N$1:$N$7669,0),MATCH("NA"&amp;M$1&amp;$B116,'F Proj'!$N$1:$N$7669,0)))</f>
        <v>1441</v>
      </c>
      <c r="N116">
        <f>IF(Week&gt;=N$1,MATCH($A116&amp;"-"&amp;N$1&amp;$B116,Finals!$J$1:$J$501,0),IFERROR(MATCH($A116&amp;N$1&amp;$B116,'F Proj'!$N$1:$N$7669,0),MATCH("NA"&amp;N$1&amp;$B116,'F Proj'!$N$1:$N$7669,0)))</f>
        <v>1316</v>
      </c>
      <c r="O116">
        <f>IF(Week&gt;=O$1,MATCH($A116&amp;"-"&amp;O$1&amp;$B116,Finals!$J$1:$J$501,0),IFERROR(MATCH($A116&amp;O$1&amp;$B116,'F Proj'!$N$1:$N$7669,0),MATCH("NA"&amp;O$1&amp;$B116,'F Proj'!$N$1:$N$7669,0)))</f>
        <v>1246</v>
      </c>
      <c r="P116">
        <f>IF(Week&gt;=P$1,MATCH($A116&amp;"-"&amp;P$1&amp;$B116,Finals!$J$1:$J$501,0),IFERROR(MATCH($A116&amp;P$1&amp;$B116,'F Proj'!$N$1:$N$7669,0),MATCH("NA"&amp;P$1&amp;$B116,'F Proj'!$N$1:$N$7669,0)))</f>
        <v>1216</v>
      </c>
      <c r="Q116">
        <f>IF(Week&gt;=Q$1,MATCH($A116&amp;"-"&amp;Q$1&amp;$B116,Finals!$J$1:$J$501,0),IFERROR(MATCH($A116&amp;Q$1&amp;$B116,'F Proj'!$N$1:$N$7669,0),MATCH("NA"&amp;Q$1&amp;$B116,'F Proj'!$N$1:$N$7669,0)))</f>
        <v>1267</v>
      </c>
      <c r="R116">
        <f>IF(Week&gt;=R$1,MATCH($A116&amp;"-"&amp;R$1&amp;$B116,Finals!$J$1:$J$501,0),IFERROR(MATCH($A116&amp;R$1&amp;$B116,'F Proj'!$N$1:$N$7669,0),MATCH("NA"&amp;R$1&amp;$B116,'F Proj'!$N$1:$N$7669,0)))</f>
        <v>1463</v>
      </c>
      <c r="S116">
        <f>IF(Week&gt;=S$1,MATCH($A116&amp;"-"&amp;S$1&amp;$B116,Finals!$J$1:$J$501,0),IFERROR(MATCH($A116&amp;S$1&amp;$B116,'F Proj'!$N$1:$N$7669,0),MATCH("NA"&amp;S$1&amp;$B116,'F Proj'!$N$1:$N$7669,0)))</f>
        <v>1165</v>
      </c>
      <c r="T116">
        <f>IF(Week&gt;=C$1,INDEX(Finals!$G$1:$G$501,C116),INDEX('F Proj'!$D$1:$D$7669,C116))</f>
        <v>7.6</v>
      </c>
      <c r="U116">
        <f>IF(Week&gt;=D$1,INDEX(Finals!$G$1:$G$501,D116),INDEX('F Proj'!$D$1:$D$7669,D116))</f>
        <v>2.8</v>
      </c>
      <c r="V116">
        <f>IF(Week&gt;=E$1,INDEX(Finals!$G$1:$G$501,E116),INDEX('F Proj'!$D$1:$D$7669,E116))</f>
        <v>0.2</v>
      </c>
      <c r="W116">
        <f>IF(Week&gt;=F$1,INDEX(Finals!$G$1:$G$501,F116),INDEX('F Proj'!$D$1:$D$7669,F116))</f>
        <v>12.8</v>
      </c>
      <c r="X116">
        <f>IF(Week&gt;=G$1,INDEX(Finals!$G$1:$G$501,G116),INDEX('F Proj'!$D$1:$D$7669,G116))</f>
        <v>7.46</v>
      </c>
      <c r="Y116">
        <f>IF(Week&gt;=H$1,INDEX(Finals!$G$1:$G$501,H116),INDEX('F Proj'!$D$1:$D$7669,H116))</f>
        <v>8.2799999999999994</v>
      </c>
      <c r="Z116">
        <f>IF(Week&gt;=I$1,INDEX(Finals!$G$1:$G$501,I116),INDEX('F Proj'!$D$1:$D$7669,I116))</f>
        <v>7.82</v>
      </c>
      <c r="AA116">
        <f>IF(Week&gt;=J$1,INDEX(Finals!$G$1:$G$501,J116),INDEX('F Proj'!$D$1:$D$7669,J116))</f>
        <v>9.52</v>
      </c>
      <c r="AB116">
        <f>IF(Week&gt;=K$1,INDEX(Finals!$G$1:$G$501,K116),INDEX('F Proj'!$D$1:$D$7669,K116))</f>
        <v>8.52</v>
      </c>
      <c r="AC116">
        <f>IF(Week&gt;=L$1,INDEX(Finals!$G$1:$G$501,L116),INDEX('F Proj'!$D$1:$D$7669,L116))</f>
        <v>7.32</v>
      </c>
      <c r="AD116">
        <f>IF(Week&gt;=M$1,INDEX(Finals!$G$1:$G$501,M116),INDEX('F Proj'!$D$1:$D$7669,M116))</f>
        <v>8.3000000000000007</v>
      </c>
      <c r="AE116">
        <f>IF(Week&gt;=N$1,INDEX(Finals!$G$1:$G$501,N116),INDEX('F Proj'!$D$1:$D$7669,N116))</f>
        <v>8.7899999999999991</v>
      </c>
      <c r="AF116">
        <f>IF(Week&gt;=O$1,INDEX(Finals!$G$1:$G$501,O116),INDEX('F Proj'!$D$1:$D$7669,O116))</f>
        <v>9.16</v>
      </c>
      <c r="AG116">
        <f>IF(Week&gt;=P$1,INDEX(Finals!$G$1:$G$501,P116),INDEX('F Proj'!$D$1:$D$7669,P116))</f>
        <v>9.2899999999999991</v>
      </c>
      <c r="AH116">
        <f>IF(Week&gt;=Q$1,INDEX(Finals!$G$1:$G$501,Q116),INDEX('F Proj'!$D$1:$D$7669,Q116))</f>
        <v>9.0299999999999994</v>
      </c>
      <c r="AI116">
        <f>IF(Week&gt;=R$1,INDEX(Finals!$G$1:$G$501,R116),INDEX('F Proj'!$D$1:$D$7669,R116))</f>
        <v>8.23</v>
      </c>
      <c r="AJ116">
        <f>IF(Week&gt;=S$1,INDEX(Finals!$G$1:$G$501,S116),INDEX('F Proj'!$D$1:$D$7669,S116))</f>
        <v>9.59</v>
      </c>
      <c r="AK116">
        <f>IF(Week&gt;=C$1,INDEX(Finals!$I$1:$I$501,C116),INDEX('F Proj'!$J$1:$J$7669,C116))</f>
        <v>0</v>
      </c>
      <c r="AL116">
        <f>IF(Week&gt;=D$1,INDEX(Finals!$I$1:$I$501,D116),INDEX('F Proj'!$J$1:$J$7669,D116))</f>
        <v>0</v>
      </c>
      <c r="AM116">
        <f>IF(Week&gt;=E$1,INDEX(Finals!$I$1:$I$501,E116),INDEX('F Proj'!$J$1:$J$7669,E116))</f>
        <v>0</v>
      </c>
      <c r="AN116">
        <f>IF(Week&gt;=F$1,INDEX(Finals!$I$1:$I$501,F116),INDEX('F Proj'!$J$1:$J$7669,F116))</f>
        <v>0</v>
      </c>
      <c r="AO116">
        <f>IF(Week&gt;=G$1,INDEX(Finals!$I$1:$I$501,G116),INDEX('F Proj'!$J$1:$J$7669,G116))</f>
        <v>45.1584</v>
      </c>
      <c r="AP116">
        <f>IF(Week&gt;=H$1,INDEX(Finals!$I$1:$I$501,H116),INDEX('F Proj'!$J$1:$J$7669,H116))</f>
        <v>37.21</v>
      </c>
      <c r="AQ116">
        <f>IF(Week&gt;=I$1,INDEX(Finals!$I$1:$I$501,I116),INDEX('F Proj'!$J$1:$J$7669,I116))</f>
        <v>30.0304</v>
      </c>
      <c r="AR116">
        <f>IF(Week&gt;=J$1,INDEX(Finals!$I$1:$I$501,J116),INDEX('F Proj'!$J$1:$J$7669,J116))</f>
        <v>41.473599999999998</v>
      </c>
      <c r="AS116">
        <f>IF(Week&gt;=K$1,INDEX(Finals!$I$1:$I$501,K116),INDEX('F Proj'!$J$1:$J$7669,K116))</f>
        <v>33.756100000000004</v>
      </c>
      <c r="AT116">
        <f>IF(Week&gt;=L$1,INDEX(Finals!$I$1:$I$501,L116),INDEX('F Proj'!$J$1:$J$7669,L116))</f>
        <v>31.696899999999999</v>
      </c>
      <c r="AU116">
        <f>IF(Week&gt;=M$1,INDEX(Finals!$I$1:$I$501,M116),INDEX('F Proj'!$J$1:$J$7669,M116))</f>
        <v>34.222499999999997</v>
      </c>
      <c r="AV116">
        <f>IF(Week&gt;=N$1,INDEX(Finals!$I$1:$I$501,N116),INDEX('F Proj'!$J$1:$J$7669,N116))</f>
        <v>32.2624</v>
      </c>
      <c r="AW116">
        <f>IF(Week&gt;=O$1,INDEX(Finals!$I$1:$I$501,O116),INDEX('F Proj'!$J$1:$J$7669,O116))</f>
        <v>36.120100000000001</v>
      </c>
      <c r="AX116">
        <f>IF(Week&gt;=P$1,INDEX(Finals!$I$1:$I$501,P116),INDEX('F Proj'!$J$1:$J$7669,P116))</f>
        <v>36.9664</v>
      </c>
      <c r="AY116">
        <f>IF(Week&gt;=Q$1,INDEX(Finals!$I$1:$I$501,Q116),INDEX('F Proj'!$J$1:$J$7669,Q116))</f>
        <v>35.760399999999997</v>
      </c>
      <c r="AZ116">
        <f>IF(Week&gt;=R$1,INDEX(Finals!$I$1:$I$501,R116),INDEX('F Proj'!$J$1:$J$7669,R116))</f>
        <v>32.718400000000003</v>
      </c>
      <c r="BA116">
        <f>IF(Week&gt;=S$1,INDEX(Finals!$I$1:$I$501,S116),INDEX('F Proj'!$J$1:$J$7669,S116))</f>
        <v>36.9664</v>
      </c>
    </row>
    <row r="117" spans="1:53" x14ac:dyDescent="0.25">
      <c r="A117" t="s">
        <v>44</v>
      </c>
      <c r="B117" t="s">
        <v>474</v>
      </c>
      <c r="C117" t="e">
        <f>IF(Week&gt;=C$1,MATCH($A117&amp;"-"&amp;C$1&amp;$B117,Finals!$J$1:$J$501,0),IFERROR(MATCH($A117&amp;C$1&amp;$B117,'F Proj'!$N$1:$N$7669,0),MATCH("NA"&amp;C$1&amp;$B117,'F Proj'!$N$1:$N$7669,0)))</f>
        <v>#N/A</v>
      </c>
      <c r="D117" t="e">
        <f>IF(Week&gt;=D$1,MATCH($A117&amp;"-"&amp;D$1&amp;$B117,Finals!$J$1:$J$501,0),IFERROR(MATCH($A117&amp;D$1&amp;$B117,'F Proj'!$N$1:$N$7669,0),MATCH("NA"&amp;D$1&amp;$B117,'F Proj'!$N$1:$N$7669,0)))</f>
        <v>#N/A</v>
      </c>
      <c r="E117" t="e">
        <f>IF(Week&gt;=E$1,MATCH($A117&amp;"-"&amp;E$1&amp;$B117,Finals!$J$1:$J$501,0),IFERROR(MATCH($A117&amp;E$1&amp;$B117,'F Proj'!$N$1:$N$7669,0),MATCH("NA"&amp;E$1&amp;$B117,'F Proj'!$N$1:$N$7669,0)))</f>
        <v>#N/A</v>
      </c>
      <c r="F117" t="e">
        <f>IF(Week&gt;=F$1,MATCH($A117&amp;"-"&amp;F$1&amp;$B117,Finals!$J$1:$J$501,0),IFERROR(MATCH($A117&amp;F$1&amp;$B117,'F Proj'!$N$1:$N$7669,0),MATCH("NA"&amp;F$1&amp;$B117,'F Proj'!$N$1:$N$7669,0)))</f>
        <v>#N/A</v>
      </c>
      <c r="G117" t="e">
        <f>IF(Week&gt;=G$1,MATCH($A117&amp;"-"&amp;G$1&amp;$B117,Finals!$J$1:$J$501,0),IFERROR(MATCH($A117&amp;G$1&amp;$B117,'F Proj'!$N$1:$N$7669,0),MATCH("NA"&amp;G$1&amp;$B117,'F Proj'!$N$1:$N$7669,0)))</f>
        <v>#N/A</v>
      </c>
      <c r="H117">
        <f>IF(Week&gt;=H$1,MATCH($A117&amp;"-"&amp;H$1&amp;$B117,Finals!$J$1:$J$501,0),IFERROR(MATCH($A117&amp;H$1&amp;$B117,'F Proj'!$N$1:$N$7669,0),MATCH("NA"&amp;H$1&amp;$B117,'F Proj'!$N$1:$N$7669,0)))</f>
        <v>1538</v>
      </c>
      <c r="I117">
        <f>IF(Week&gt;=I$1,MATCH($A117&amp;"-"&amp;I$1&amp;$B117,Finals!$J$1:$J$501,0),IFERROR(MATCH($A117&amp;I$1&amp;$B117,'F Proj'!$N$1:$N$7669,0),MATCH("NA"&amp;I$1&amp;$B117,'F Proj'!$N$1:$N$7669,0)))</f>
        <v>2293</v>
      </c>
      <c r="J117">
        <f>IF(Week&gt;=J$1,MATCH($A117&amp;"-"&amp;J$1&amp;$B117,Finals!$J$1:$J$501,0),IFERROR(MATCH($A117&amp;J$1&amp;$B117,'F Proj'!$N$1:$N$7669,0),MATCH("NA"&amp;J$1&amp;$B117,'F Proj'!$N$1:$N$7669,0)))</f>
        <v>1193</v>
      </c>
      <c r="K117">
        <f>IF(Week&gt;=K$1,MATCH($A117&amp;"-"&amp;K$1&amp;$B117,Finals!$J$1:$J$501,0),IFERROR(MATCH($A117&amp;K$1&amp;$B117,'F Proj'!$N$1:$N$7669,0),MATCH("NA"&amp;K$1&amp;$B117,'F Proj'!$N$1:$N$7669,0)))</f>
        <v>2137</v>
      </c>
      <c r="L117">
        <f>IF(Week&gt;=L$1,MATCH($A117&amp;"-"&amp;L$1&amp;$B117,Finals!$J$1:$J$501,0),IFERROR(MATCH($A117&amp;L$1&amp;$B117,'F Proj'!$N$1:$N$7669,0),MATCH("NA"&amp;L$1&amp;$B117,'F Proj'!$N$1:$N$7669,0)))</f>
        <v>2089</v>
      </c>
      <c r="M117">
        <f>IF(Week&gt;=M$1,MATCH($A117&amp;"-"&amp;M$1&amp;$B117,Finals!$J$1:$J$501,0),IFERROR(MATCH($A117&amp;M$1&amp;$B117,'F Proj'!$N$1:$N$7669,0),MATCH("NA"&amp;M$1&amp;$B117,'F Proj'!$N$1:$N$7669,0)))</f>
        <v>1613</v>
      </c>
      <c r="N117">
        <f>IF(Week&gt;=N$1,MATCH($A117&amp;"-"&amp;N$1&amp;$B117,Finals!$J$1:$J$501,0),IFERROR(MATCH($A117&amp;N$1&amp;$B117,'F Proj'!$N$1:$N$7669,0),MATCH("NA"&amp;N$1&amp;$B117,'F Proj'!$N$1:$N$7669,0)))</f>
        <v>1499</v>
      </c>
      <c r="O117">
        <f>IF(Week&gt;=O$1,MATCH($A117&amp;"-"&amp;O$1&amp;$B117,Finals!$J$1:$J$501,0),IFERROR(MATCH($A117&amp;O$1&amp;$B117,'F Proj'!$N$1:$N$7669,0),MATCH("NA"&amp;O$1&amp;$B117,'F Proj'!$N$1:$N$7669,0)))</f>
        <v>1307</v>
      </c>
      <c r="P117">
        <f>IF(Week&gt;=P$1,MATCH($A117&amp;"-"&amp;P$1&amp;$B117,Finals!$J$1:$J$501,0),IFERROR(MATCH($A117&amp;P$1&amp;$B117,'F Proj'!$N$1:$N$7669,0),MATCH("NA"&amp;P$1&amp;$B117,'F Proj'!$N$1:$N$7669,0)))</f>
        <v>1423</v>
      </c>
      <c r="Q117">
        <f>IF(Week&gt;=Q$1,MATCH($A117&amp;"-"&amp;Q$1&amp;$B117,Finals!$J$1:$J$501,0),IFERROR(MATCH($A117&amp;Q$1&amp;$B117,'F Proj'!$N$1:$N$7669,0),MATCH("NA"&amp;Q$1&amp;$B117,'F Proj'!$N$1:$N$7669,0)))</f>
        <v>1692</v>
      </c>
      <c r="R117">
        <f>IF(Week&gt;=R$1,MATCH($A117&amp;"-"&amp;R$1&amp;$B117,Finals!$J$1:$J$501,0),IFERROR(MATCH($A117&amp;R$1&amp;$B117,'F Proj'!$N$1:$N$7669,0),MATCH("NA"&amp;R$1&amp;$B117,'F Proj'!$N$1:$N$7669,0)))</f>
        <v>1571</v>
      </c>
      <c r="S117">
        <f>IF(Week&gt;=S$1,MATCH($A117&amp;"-"&amp;S$1&amp;$B117,Finals!$J$1:$J$501,0),IFERROR(MATCH($A117&amp;S$1&amp;$B117,'F Proj'!$N$1:$N$7669,0),MATCH("NA"&amp;S$1&amp;$B117,'F Proj'!$N$1:$N$7669,0)))</f>
        <v>1682</v>
      </c>
    </row>
    <row r="118" spans="1:53" x14ac:dyDescent="0.25">
      <c r="A118" t="s">
        <v>44</v>
      </c>
      <c r="B118" t="s">
        <v>466</v>
      </c>
      <c r="C118">
        <f>IF(Week&gt;=C$1,MATCH($A118&amp;"-"&amp;C$1&amp;$B118,Finals!$J$1:$J$501,0),MIN(C113,C117))</f>
        <v>20</v>
      </c>
      <c r="D118">
        <f>IF(Week&gt;=D$1,MATCH($A118&amp;"-"&amp;D$1&amp;$B118,Finals!$J$1:$J$501,0),MIN(D113,D117))</f>
        <v>317</v>
      </c>
      <c r="E118">
        <f>IF(Week&gt;=E$1,MATCH($A118&amp;"-"&amp;E$1&amp;$B118,Finals!$J$1:$J$501,0),MIN(E113,E117))</f>
        <v>28</v>
      </c>
      <c r="F118">
        <f>IF(Week&gt;=F$1,MATCH($A118&amp;"-"&amp;F$1&amp;$B118,Finals!$J$1:$J$501,0),MIN(F113,F117))</f>
        <v>258</v>
      </c>
      <c r="G118">
        <f>IF(Week&gt;=G$1,MATCH($A118&amp;"-"&amp;G$1&amp;$B118,Finals!$J$1:$J$501,0),MIN(G113,G117))</f>
        <v>120</v>
      </c>
      <c r="H118">
        <f>IF(Week&gt;=H$1,MATCH($A118&amp;"-"&amp;H$1&amp;$B118,Finals!$J$1:$J$501,0),MIN(H113,H117))</f>
        <v>1538</v>
      </c>
      <c r="I118">
        <f>IF(Week&gt;=I$1,MATCH($A118&amp;"-"&amp;I$1&amp;$B118,Finals!$J$1:$J$501,0),MIN(I113,I117))</f>
        <v>1628</v>
      </c>
      <c r="J118">
        <f>IF(Week&gt;=J$1,MATCH($A118&amp;"-"&amp;J$1&amp;$B118,Finals!$J$1:$J$501,0),MIN(J113,J117))</f>
        <v>1193</v>
      </c>
      <c r="K118">
        <f>IF(Week&gt;=K$1,MATCH($A118&amp;"-"&amp;K$1&amp;$B118,Finals!$J$1:$J$501,0),MIN(K113,K117))</f>
        <v>1758</v>
      </c>
      <c r="L118">
        <f>IF(Week&gt;=L$1,MATCH($A118&amp;"-"&amp;L$1&amp;$B118,Finals!$J$1:$J$501,0),MIN(L113,L117))</f>
        <v>1748</v>
      </c>
      <c r="M118">
        <f>IF(Week&gt;=M$1,MATCH($A118&amp;"-"&amp;M$1&amp;$B118,Finals!$J$1:$J$501,0),MIN(M113,M117))</f>
        <v>1613</v>
      </c>
      <c r="N118">
        <f>IF(Week&gt;=N$1,MATCH($A118&amp;"-"&amp;N$1&amp;$B118,Finals!$J$1:$J$501,0),MIN(N113,N117))</f>
        <v>1497</v>
      </c>
      <c r="O118">
        <f>IF(Week&gt;=O$1,MATCH($A118&amp;"-"&amp;O$1&amp;$B118,Finals!$J$1:$J$501,0),MIN(O113,O117))</f>
        <v>1307</v>
      </c>
      <c r="P118">
        <f>IF(Week&gt;=P$1,MATCH($A118&amp;"-"&amp;P$1&amp;$B118,Finals!$J$1:$J$501,0),MIN(P113,P117))</f>
        <v>1423</v>
      </c>
      <c r="Q118">
        <f>IF(Week&gt;=Q$1,MATCH($A118&amp;"-"&amp;Q$1&amp;$B118,Finals!$J$1:$J$501,0),MIN(Q113,Q117))</f>
        <v>1359</v>
      </c>
      <c r="R118">
        <f>IF(Week&gt;=R$1,MATCH($A118&amp;"-"&amp;R$1&amp;$B118,Finals!$J$1:$J$501,0),MIN(R113,R117))</f>
        <v>1571</v>
      </c>
      <c r="S118">
        <f>IF(Week&gt;=S$1,MATCH($A118&amp;"-"&amp;S$1&amp;$B118,Finals!$J$1:$J$501,0),MIN(S113,S117))</f>
        <v>1682</v>
      </c>
      <c r="T118">
        <f>IF(Week&gt;=C$1,INDEX(Finals!$G$1:$G$501,C118),INDEX('F Proj'!$D$1:$D$7669,C118))</f>
        <v>5.9</v>
      </c>
      <c r="U118">
        <f>IF(Week&gt;=D$1,INDEX(Finals!$G$1:$G$501,D118),INDEX('F Proj'!$D$1:$D$7669,D118))</f>
        <v>3</v>
      </c>
      <c r="V118">
        <f>IF(Week&gt;=E$1,INDEX(Finals!$G$1:$G$501,E118),INDEX('F Proj'!$D$1:$D$7669,E118))</f>
        <v>12.7</v>
      </c>
      <c r="W118">
        <f>IF(Week&gt;=F$1,INDEX(Finals!$G$1:$G$501,F118),INDEX('F Proj'!$D$1:$D$7669,F118))</f>
        <v>2.8</v>
      </c>
      <c r="X118">
        <f>IF(Week&gt;=G$1,INDEX(Finals!$G$1:$G$501,G118),INDEX('F Proj'!$D$1:$D$7669,G118))</f>
        <v>10.029999999999999</v>
      </c>
      <c r="Y118">
        <f>IF(Week&gt;=H$1,INDEX(Finals!$G$1:$G$501,H118),INDEX('F Proj'!$D$1:$D$7669,H118))</f>
        <v>8</v>
      </c>
      <c r="Z118">
        <f>IF(Week&gt;=I$1,INDEX(Finals!$G$1:$G$501,I118),INDEX('F Proj'!$D$1:$D$7669,I118))</f>
        <v>7.66</v>
      </c>
      <c r="AA118">
        <f>IF(Week&gt;=J$1,INDEX(Finals!$G$1:$G$501,J118),INDEX('F Proj'!$D$1:$D$7669,J118))</f>
        <v>9.42</v>
      </c>
      <c r="AB118">
        <f>IF(Week&gt;=K$1,INDEX(Finals!$G$1:$G$501,K118),INDEX('F Proj'!$D$1:$D$7669,K118))</f>
        <v>7.22</v>
      </c>
      <c r="AC118">
        <f>IF(Week&gt;=L$1,INDEX(Finals!$G$1:$G$501,L118),INDEX('F Proj'!$D$1:$D$7669,L118))</f>
        <v>7.24</v>
      </c>
      <c r="AD118">
        <f>IF(Week&gt;=M$1,INDEX(Finals!$G$1:$G$501,M118),INDEX('F Proj'!$D$1:$D$7669,M118))</f>
        <v>7.73</v>
      </c>
      <c r="AE118">
        <f>IF(Week&gt;=N$1,INDEX(Finals!$G$1:$G$501,N118),INDEX('F Proj'!$D$1:$D$7669,N118))</f>
        <v>8.1199999999999992</v>
      </c>
      <c r="AF118">
        <f>IF(Week&gt;=O$1,INDEX(Finals!$G$1:$G$501,O118),INDEX('F Proj'!$D$1:$D$7669,O118))</f>
        <v>8.84</v>
      </c>
      <c r="AG118">
        <f>IF(Week&gt;=P$1,INDEX(Finals!$G$1:$G$501,P118),INDEX('F Proj'!$D$1:$D$7669,P118))</f>
        <v>8.3800000000000008</v>
      </c>
      <c r="AH118">
        <f>IF(Week&gt;=Q$1,INDEX(Finals!$G$1:$G$501,Q118),INDEX('F Proj'!$D$1:$D$7669,Q118))</f>
        <v>8.61</v>
      </c>
      <c r="AI118">
        <f>IF(Week&gt;=R$1,INDEX(Finals!$G$1:$G$501,R118),INDEX('F Proj'!$D$1:$D$7669,R118))</f>
        <v>7.9</v>
      </c>
      <c r="AJ118">
        <f>IF(Week&gt;=S$1,INDEX(Finals!$G$1:$G$501,S118),INDEX('F Proj'!$D$1:$D$7669,S118))</f>
        <v>7.48</v>
      </c>
      <c r="AK118">
        <f>IF(Week&gt;=C$1,INDEX(Finals!$I$1:$I$501,C118),INDEX('F Proj'!$J$1:$J$7669,C118))</f>
        <v>0</v>
      </c>
      <c r="AL118">
        <f>IF(Week&gt;=D$1,INDEX(Finals!$I$1:$I$501,D118),INDEX('F Proj'!$J$1:$J$7669,D118))</f>
        <v>0</v>
      </c>
      <c r="AM118">
        <f>IF(Week&gt;=E$1,INDEX(Finals!$I$1:$I$501,E118),INDEX('F Proj'!$J$1:$J$7669,E118))</f>
        <v>0</v>
      </c>
      <c r="AN118">
        <f>IF(Week&gt;=F$1,INDEX(Finals!$I$1:$I$501,F118),INDEX('F Proj'!$J$1:$J$7669,F118))</f>
        <v>0</v>
      </c>
      <c r="AO118">
        <f>IF(Week&gt;=G$1,INDEX(Finals!$I$1:$I$501,G118),INDEX('F Proj'!$J$1:$J$7669,G118))</f>
        <v>60.372900000000001</v>
      </c>
      <c r="AP118">
        <f>IF(Week&gt;=H$1,INDEX(Finals!$I$1:$I$501,H118),INDEX('F Proj'!$J$1:$J$7669,H118))</f>
        <v>31.922499999999999</v>
      </c>
      <c r="AQ118">
        <f>IF(Week&gt;=I$1,INDEX(Finals!$I$1:$I$501,I118),INDEX('F Proj'!$J$1:$J$7669,I118))</f>
        <v>29.593599999999999</v>
      </c>
      <c r="AR118">
        <f>IF(Week&gt;=J$1,INDEX(Finals!$I$1:$I$501,J118),INDEX('F Proj'!$J$1:$J$7669,J118))</f>
        <v>39.0625</v>
      </c>
      <c r="AS118">
        <f>IF(Week&gt;=K$1,INDEX(Finals!$I$1:$I$501,K118),INDEX('F Proj'!$J$1:$J$7669,K118))</f>
        <v>18.748899999999999</v>
      </c>
      <c r="AT118">
        <f>IF(Week&gt;=L$1,INDEX(Finals!$I$1:$I$501,L118),INDEX('F Proj'!$J$1:$J$7669,L118))</f>
        <v>24.8004</v>
      </c>
      <c r="AU118">
        <f>IF(Week&gt;=M$1,INDEX(Finals!$I$1:$I$501,M118),INDEX('F Proj'!$J$1:$J$7669,M118))</f>
        <v>33.988900000000001</v>
      </c>
      <c r="AV118">
        <f>IF(Week&gt;=N$1,INDEX(Finals!$I$1:$I$501,N118),INDEX('F Proj'!$J$1:$J$7669,N118))</f>
        <v>30.360099999999999</v>
      </c>
      <c r="AW118">
        <f>IF(Week&gt;=O$1,INDEX(Finals!$I$1:$I$501,O118),INDEX('F Proj'!$J$1:$J$7669,O118))</f>
        <v>29.9209</v>
      </c>
      <c r="AX118">
        <f>IF(Week&gt;=P$1,INDEX(Finals!$I$1:$I$501,P118),INDEX('F Proj'!$J$1:$J$7669,P118))</f>
        <v>30.470400000000001</v>
      </c>
      <c r="AY118">
        <f>IF(Week&gt;=Q$1,INDEX(Finals!$I$1:$I$501,Q118),INDEX('F Proj'!$J$1:$J$7669,Q118))</f>
        <v>29.052099999999999</v>
      </c>
      <c r="AZ118">
        <f>IF(Week&gt;=R$1,INDEX(Finals!$I$1:$I$501,R118),INDEX('F Proj'!$J$1:$J$7669,R118))</f>
        <v>32.035600000000002</v>
      </c>
      <c r="BA118">
        <f>IF(Week&gt;=S$1,INDEX(Finals!$I$1:$I$501,S118),INDEX('F Proj'!$J$1:$J$7669,S118))</f>
        <v>28.302399999999999</v>
      </c>
    </row>
    <row r="119" spans="1:53" x14ac:dyDescent="0.25">
      <c r="A119" t="s">
        <v>44</v>
      </c>
      <c r="B119" t="s">
        <v>475</v>
      </c>
      <c r="C119">
        <f>IF(Week&gt;=C$1,MATCH($A119&amp;"-"&amp;C$1&amp;$B119,Finals!$J$1:$J$501,0),IFERROR(MATCH($A119&amp;C$1&amp;$B119,'F Proj'!$N$1:$N$7669,0),MATCH("NA"&amp;C$1&amp;$B119,'F Proj'!$N$1:$N$7669,0)))</f>
        <v>190</v>
      </c>
      <c r="D119">
        <f>IF(Week&gt;=D$1,MATCH($A119&amp;"-"&amp;D$1&amp;$B119,Finals!$J$1:$J$501,0),IFERROR(MATCH($A119&amp;D$1&amp;$B119,'F Proj'!$N$1:$N$7669,0),MATCH("NA"&amp;D$1&amp;$B119,'F Proj'!$N$1:$N$7669,0)))</f>
        <v>191</v>
      </c>
      <c r="E119">
        <f>IF(Week&gt;=E$1,MATCH($A119&amp;"-"&amp;E$1&amp;$B119,Finals!$J$1:$J$501,0),IFERROR(MATCH($A119&amp;E$1&amp;$B119,'F Proj'!$N$1:$N$7669,0),MATCH("NA"&amp;E$1&amp;$B119,'F Proj'!$N$1:$N$7669,0)))</f>
        <v>192</v>
      </c>
      <c r="F119">
        <f>IF(Week&gt;=F$1,MATCH($A119&amp;"-"&amp;F$1&amp;$B119,Finals!$J$1:$J$501,0),IFERROR(MATCH($A119&amp;F$1&amp;$B119,'F Proj'!$N$1:$N$7669,0),MATCH("NA"&amp;F$1&amp;$B119,'F Proj'!$N$1:$N$7669,0)))</f>
        <v>193</v>
      </c>
      <c r="G119">
        <f>IF(Week&gt;=G$1,MATCH($A119&amp;"-"&amp;G$1&amp;$B119,Finals!$J$1:$J$501,0),IFERROR(MATCH($A119&amp;G$1&amp;$B119,'F Proj'!$N$1:$N$7669,0),MATCH("NA"&amp;G$1&amp;$B119,'F Proj'!$N$1:$N$7669,0)))</f>
        <v>194</v>
      </c>
      <c r="H119">
        <f>IF(Week&gt;=H$1,MATCH($A119&amp;"-"&amp;H$1&amp;$B119,Finals!$J$1:$J$501,0),IFERROR(MATCH($A119&amp;H$1&amp;$B119,'F Proj'!$N$1:$N$7669,0),MATCH("NA"&amp;H$1&amp;$B119,'F Proj'!$N$1:$N$7669,0)))</f>
        <v>2001</v>
      </c>
      <c r="I119">
        <f>IF(Week&gt;=I$1,MATCH($A119&amp;"-"&amp;I$1&amp;$B119,Finals!$J$1:$J$501,0),IFERROR(MATCH($A119&amp;I$1&amp;$B119,'F Proj'!$N$1:$N$7669,0),MATCH("NA"&amp;I$1&amp;$B119,'F Proj'!$N$1:$N$7669,0)))</f>
        <v>1735</v>
      </c>
      <c r="J119">
        <f>IF(Week&gt;=J$1,MATCH($A119&amp;"-"&amp;J$1&amp;$B119,Finals!$J$1:$J$501,0),IFERROR(MATCH($A119&amp;J$1&amp;$B119,'F Proj'!$N$1:$N$7669,0),MATCH("NA"&amp;J$1&amp;$B119,'F Proj'!$N$1:$N$7669,0)))</f>
        <v>2328</v>
      </c>
      <c r="K119">
        <f>IF(Week&gt;=K$1,MATCH($A119&amp;"-"&amp;K$1&amp;$B119,Finals!$J$1:$J$501,0),IFERROR(MATCH($A119&amp;K$1&amp;$B119,'F Proj'!$N$1:$N$7669,0),MATCH("NA"&amp;K$1&amp;$B119,'F Proj'!$N$1:$N$7669,0)))</f>
        <v>1984</v>
      </c>
      <c r="L119">
        <f>IF(Week&gt;=L$1,MATCH($A119&amp;"-"&amp;L$1&amp;$B119,Finals!$J$1:$J$501,0),IFERROR(MATCH($A119&amp;L$1&amp;$B119,'F Proj'!$N$1:$N$7669,0),MATCH("NA"&amp;L$1&amp;$B119,'F Proj'!$N$1:$N$7669,0)))</f>
        <v>1792</v>
      </c>
      <c r="M119">
        <f>IF(Week&gt;=M$1,MATCH($A119&amp;"-"&amp;M$1&amp;$B119,Finals!$J$1:$J$501,0),IFERROR(MATCH($A119&amp;M$1&amp;$B119,'F Proj'!$N$1:$N$7669,0),MATCH("NA"&amp;M$1&amp;$B119,'F Proj'!$N$1:$N$7669,0)))</f>
        <v>2022</v>
      </c>
      <c r="N119">
        <f>IF(Week&gt;=N$1,MATCH($A119&amp;"-"&amp;N$1&amp;$B119,Finals!$J$1:$J$501,0),IFERROR(MATCH($A119&amp;N$1&amp;$B119,'F Proj'!$N$1:$N$7669,0),MATCH("NA"&amp;N$1&amp;$B119,'F Proj'!$N$1:$N$7669,0)))</f>
        <v>1775</v>
      </c>
      <c r="O119">
        <f>IF(Week&gt;=O$1,MATCH($A119&amp;"-"&amp;O$1&amp;$B119,Finals!$J$1:$J$501,0),IFERROR(MATCH($A119&amp;O$1&amp;$B119,'F Proj'!$N$1:$N$7669,0),MATCH("NA"&amp;O$1&amp;$B119,'F Proj'!$N$1:$N$7669,0)))</f>
        <v>2070</v>
      </c>
      <c r="P119">
        <f>IF(Week&gt;=P$1,MATCH($A119&amp;"-"&amp;P$1&amp;$B119,Finals!$J$1:$J$501,0),IFERROR(MATCH($A119&amp;P$1&amp;$B119,'F Proj'!$N$1:$N$7669,0),MATCH("NA"&amp;P$1&amp;$B119,'F Proj'!$N$1:$N$7669,0)))</f>
        <v>1942</v>
      </c>
      <c r="Q119">
        <f>IF(Week&gt;=Q$1,MATCH($A119&amp;"-"&amp;Q$1&amp;$B119,Finals!$J$1:$J$501,0),IFERROR(MATCH($A119&amp;Q$1&amp;$B119,'F Proj'!$N$1:$N$7669,0),MATCH("NA"&amp;Q$1&amp;$B119,'F Proj'!$N$1:$N$7669,0)))</f>
        <v>2096</v>
      </c>
      <c r="R119">
        <f>IF(Week&gt;=R$1,MATCH($A119&amp;"-"&amp;R$1&amp;$B119,Finals!$J$1:$J$501,0),IFERROR(MATCH($A119&amp;R$1&amp;$B119,'F Proj'!$N$1:$N$7669,0),MATCH("NA"&amp;R$1&amp;$B119,'F Proj'!$N$1:$N$7669,0)))</f>
        <v>1741</v>
      </c>
      <c r="S119">
        <f>IF(Week&gt;=S$1,MATCH($A119&amp;"-"&amp;S$1&amp;$B119,Finals!$J$1:$J$501,0),IFERROR(MATCH($A119&amp;S$1&amp;$B119,'F Proj'!$N$1:$N$7669,0),MATCH("NA"&amp;S$1&amp;$B119,'F Proj'!$N$1:$N$7669,0)))</f>
        <v>1947</v>
      </c>
      <c r="T119">
        <f>IF(Week&gt;=C$1,INDEX(Finals!$G$1:$G$501,C119),INDEX('F Proj'!$D$1:$D$7669,C119))</f>
        <v>0.8</v>
      </c>
      <c r="U119">
        <f>IF(Week&gt;=D$1,INDEX(Finals!$G$1:$G$501,D119),INDEX('F Proj'!$D$1:$D$7669,D119))</f>
        <v>9.5</v>
      </c>
      <c r="V119">
        <f>IF(Week&gt;=E$1,INDEX(Finals!$G$1:$G$501,E119),INDEX('F Proj'!$D$1:$D$7669,E119))</f>
        <v>4.5</v>
      </c>
      <c r="W119">
        <f>IF(Week&gt;=F$1,INDEX(Finals!$G$1:$G$501,F119),INDEX('F Proj'!$D$1:$D$7669,F119))</f>
        <v>8.1</v>
      </c>
      <c r="X119">
        <f>IF(Week&gt;=G$1,INDEX(Finals!$G$1:$G$501,G119),INDEX('F Proj'!$D$1:$D$7669,G119))</f>
        <v>8.65</v>
      </c>
      <c r="Y119">
        <f>IF(Week&gt;=H$1,INDEX(Finals!$G$1:$G$501,H119),INDEX('F Proj'!$D$1:$D$7669,H119))</f>
        <v>6.49</v>
      </c>
      <c r="Z119">
        <f>IF(Week&gt;=I$1,INDEX(Finals!$G$1:$G$501,I119),INDEX('F Proj'!$D$1:$D$7669,I119))</f>
        <v>7.28</v>
      </c>
      <c r="AA119">
        <f>IF(Week&gt;=J$1,INDEX(Finals!$G$1:$G$501,J119),INDEX('F Proj'!$D$1:$D$7669,J119))</f>
        <v>5.63</v>
      </c>
      <c r="AB119">
        <f>IF(Week&gt;=K$1,INDEX(Finals!$G$1:$G$501,K119),INDEX('F Proj'!$D$1:$D$7669,K119))</f>
        <v>6.53</v>
      </c>
      <c r="AC119">
        <f>IF(Week&gt;=L$1,INDEX(Finals!$G$1:$G$501,L119),INDEX('F Proj'!$D$1:$D$7669,L119))</f>
        <v>7.13</v>
      </c>
      <c r="AD119">
        <f>IF(Week&gt;=M$1,INDEX(Finals!$G$1:$G$501,M119),INDEX('F Proj'!$D$1:$D$7669,M119))</f>
        <v>6.43</v>
      </c>
      <c r="AE119">
        <f>IF(Week&gt;=N$1,INDEX(Finals!$G$1:$G$501,N119),INDEX('F Proj'!$D$1:$D$7669,N119))</f>
        <v>7.18</v>
      </c>
      <c r="AF119">
        <f>IF(Week&gt;=O$1,INDEX(Finals!$G$1:$G$501,O119),INDEX('F Proj'!$D$1:$D$7669,O119))</f>
        <v>6.3</v>
      </c>
      <c r="AG119">
        <f>IF(Week&gt;=P$1,INDEX(Finals!$G$1:$G$501,P119),INDEX('F Proj'!$D$1:$D$7669,P119))</f>
        <v>6.66</v>
      </c>
      <c r="AH119">
        <f>IF(Week&gt;=Q$1,INDEX(Finals!$G$1:$G$501,Q119),INDEX('F Proj'!$D$1:$D$7669,Q119))</f>
        <v>6.24</v>
      </c>
      <c r="AI119">
        <f>IF(Week&gt;=R$1,INDEX(Finals!$G$1:$G$501,R119),INDEX('F Proj'!$D$1:$D$7669,R119))</f>
        <v>7.27</v>
      </c>
      <c r="AJ119">
        <f>IF(Week&gt;=S$1,INDEX(Finals!$G$1:$G$501,S119),INDEX('F Proj'!$D$1:$D$7669,S119))</f>
        <v>6.65</v>
      </c>
      <c r="AK119">
        <f>IF(Week&gt;=C$1,INDEX(Finals!$I$1:$I$501,C119),INDEX('F Proj'!$J$1:$J$7669,C119))</f>
        <v>0</v>
      </c>
      <c r="AL119">
        <f>IF(Week&gt;=D$1,INDEX(Finals!$I$1:$I$501,D119),INDEX('F Proj'!$J$1:$J$7669,D119))</f>
        <v>0</v>
      </c>
      <c r="AM119">
        <f>IF(Week&gt;=E$1,INDEX(Finals!$I$1:$I$501,E119),INDEX('F Proj'!$J$1:$J$7669,E119))</f>
        <v>0</v>
      </c>
      <c r="AN119">
        <f>IF(Week&gt;=F$1,INDEX(Finals!$I$1:$I$501,F119),INDEX('F Proj'!$J$1:$J$7669,F119))</f>
        <v>0</v>
      </c>
      <c r="AO119">
        <f>IF(Week&gt;=G$1,INDEX(Finals!$I$1:$I$501,G119),INDEX('F Proj'!$J$1:$J$7669,G119))</f>
        <v>43.56</v>
      </c>
      <c r="AP119">
        <f>IF(Week&gt;=H$1,INDEX(Finals!$I$1:$I$501,H119),INDEX('F Proj'!$J$1:$J$7669,H119))</f>
        <v>23.328900000000001</v>
      </c>
      <c r="AQ119">
        <f>IF(Week&gt;=I$1,INDEX(Finals!$I$1:$I$501,I119),INDEX('F Proj'!$J$1:$J$7669,I119))</f>
        <v>32.035600000000002</v>
      </c>
      <c r="AR119">
        <f>IF(Week&gt;=J$1,INDEX(Finals!$I$1:$I$501,J119),INDEX('F Proj'!$J$1:$J$7669,J119))</f>
        <v>22.5625</v>
      </c>
      <c r="AS119">
        <f>IF(Week&gt;=K$1,INDEX(Finals!$I$1:$I$501,K119),INDEX('F Proj'!$J$1:$J$7669,K119))</f>
        <v>27.7729</v>
      </c>
      <c r="AT119">
        <f>IF(Week&gt;=L$1,INDEX(Finals!$I$1:$I$501,L119),INDEX('F Proj'!$J$1:$J$7669,L119))</f>
        <v>29.811599999999999</v>
      </c>
      <c r="AU119">
        <f>IF(Week&gt;=M$1,INDEX(Finals!$I$1:$I$501,M119),INDEX('F Proj'!$J$1:$J$7669,M119))</f>
        <v>28.196100000000001</v>
      </c>
      <c r="AV119">
        <f>IF(Week&gt;=N$1,INDEX(Finals!$I$1:$I$501,N119),INDEX('F Proj'!$J$1:$J$7669,N119))</f>
        <v>29.16</v>
      </c>
      <c r="AW119">
        <f>IF(Week&gt;=O$1,INDEX(Finals!$I$1:$I$501,O119),INDEX('F Proj'!$J$1:$J$7669,O119))</f>
        <v>23.425599999999999</v>
      </c>
      <c r="AX119">
        <f>IF(Week&gt;=P$1,INDEX(Finals!$I$1:$I$501,P119),INDEX('F Proj'!$J$1:$J$7669,P119))</f>
        <v>23.522500000000001</v>
      </c>
      <c r="AY119">
        <f>IF(Week&gt;=Q$1,INDEX(Finals!$I$1:$I$501,Q119),INDEX('F Proj'!$J$1:$J$7669,Q119))</f>
        <v>22.7529</v>
      </c>
      <c r="AZ119">
        <f>IF(Week&gt;=R$1,INDEX(Finals!$I$1:$I$501,R119),INDEX('F Proj'!$J$1:$J$7669,R119))</f>
        <v>28.944400000000002</v>
      </c>
      <c r="BA119">
        <f>IF(Week&gt;=S$1,INDEX(Finals!$I$1:$I$501,S119),INDEX('F Proj'!$J$1:$J$7669,S119))</f>
        <v>22.278400000000001</v>
      </c>
    </row>
    <row r="120" spans="1:53" x14ac:dyDescent="0.25">
      <c r="A120" t="s">
        <v>44</v>
      </c>
      <c r="B120" t="s">
        <v>477</v>
      </c>
      <c r="C120">
        <f>IF(Week&gt;=C$1,MATCH($A120&amp;"-"&amp;C$1&amp;$B120,Finals!$J$1:$J$501,0),IFERROR(MATCH($A120&amp;C$1,'D Proj'!$V$1:$V$514,0),MATCH("NA"&amp;C$1,'D Proj'!$V$1:$V$514,0)))</f>
        <v>497</v>
      </c>
      <c r="D120">
        <f>IF(Week&gt;=D$1,MATCH($A120&amp;"-"&amp;D$1&amp;$B120,Finals!$J$1:$J$501,0),IFERROR(MATCH($A120&amp;D$1,'D Proj'!$V$1:$V$514,0),MATCH("NA"&amp;D$1,'D Proj'!$V$1:$V$514,0)))</f>
        <v>498</v>
      </c>
      <c r="E120">
        <f>IF(Week&gt;=E$1,MATCH($A120&amp;"-"&amp;E$1&amp;$B120,Finals!$J$1:$J$501,0),IFERROR(MATCH($A120&amp;E$1,'D Proj'!$V$1:$V$514,0),MATCH("NA"&amp;E$1,'D Proj'!$V$1:$V$514,0)))</f>
        <v>499</v>
      </c>
      <c r="F120">
        <f>IF(Week&gt;=F$1,MATCH($A120&amp;"-"&amp;F$1&amp;$B120,Finals!$J$1:$J$501,0),IFERROR(MATCH($A120&amp;F$1,'D Proj'!$V$1:$V$514,0),MATCH("NA"&amp;F$1,'D Proj'!$V$1:$V$514,0)))</f>
        <v>500</v>
      </c>
      <c r="G120">
        <f>IF(Week&gt;=G$1,MATCH($A120&amp;"-"&amp;G$1&amp;$B120,Finals!$J$1:$J$501,0),IFERROR(MATCH($A120&amp;G$1,'D Proj'!$V$1:$V$514,0),MATCH("NA"&amp;G$1,'D Proj'!$V$1:$V$514,0)))</f>
        <v>501</v>
      </c>
      <c r="H120">
        <f>IF(Week&gt;=H$1,MATCH($A120&amp;"-"&amp;H$1&amp;$B120,Finals!$J$1:$J$501,0),IFERROR(MATCH($A120&amp;H$1,'D Proj'!$V$1:$V$514,0),MATCH("NA"&amp;H$1,'D Proj'!$V$1:$V$514,0)))</f>
        <v>67</v>
      </c>
      <c r="I120">
        <f>IF(Week&gt;=I$1,MATCH($A120&amp;"-"&amp;I$1&amp;$B120,Finals!$J$1:$J$501,0),IFERROR(MATCH($A120&amp;I$1,'D Proj'!$V$1:$V$514,0),MATCH("NA"&amp;I$1,'D Proj'!$V$1:$V$514,0)))</f>
        <v>269</v>
      </c>
      <c r="J120">
        <f>IF(Week&gt;=J$1,MATCH($A120&amp;"-"&amp;J$1&amp;$B120,Finals!$J$1:$J$501,0),IFERROR(MATCH($A120&amp;J$1,'D Proj'!$V$1:$V$514,0),MATCH("NA"&amp;J$1,'D Proj'!$V$1:$V$514,0)))</f>
        <v>479</v>
      </c>
      <c r="K120">
        <f>IF(Week&gt;=K$1,MATCH($A120&amp;"-"&amp;K$1&amp;$B120,Finals!$J$1:$J$501,0),IFERROR(MATCH($A120&amp;K$1,'D Proj'!$V$1:$V$514,0),MATCH("NA"&amp;K$1,'D Proj'!$V$1:$V$514,0)))</f>
        <v>199</v>
      </c>
      <c r="L120">
        <f>IF(Week&gt;=L$1,MATCH($A120&amp;"-"&amp;L$1&amp;$B120,Finals!$J$1:$J$501,0),IFERROR(MATCH($A120&amp;L$1,'D Proj'!$V$1:$V$514,0),MATCH("NA"&amp;L$1,'D Proj'!$V$1:$V$514,0)))</f>
        <v>17</v>
      </c>
      <c r="M120">
        <f>IF(Week&gt;=M$1,MATCH($A120&amp;"-"&amp;M$1&amp;$B120,Finals!$J$1:$J$501,0),IFERROR(MATCH($A120&amp;M$1,'D Proj'!$V$1:$V$514,0),MATCH("NA"&amp;M$1,'D Proj'!$V$1:$V$514,0)))</f>
        <v>315</v>
      </c>
      <c r="N120">
        <f>IF(Week&gt;=N$1,MATCH($A120&amp;"-"&amp;N$1&amp;$B120,Finals!$J$1:$J$501,0),IFERROR(MATCH($A120&amp;N$1,'D Proj'!$V$1:$V$514,0),MATCH("NA"&amp;N$1,'D Proj'!$V$1:$V$514,0)))</f>
        <v>168</v>
      </c>
      <c r="O120">
        <f>IF(Week&gt;=O$1,MATCH($A120&amp;"-"&amp;O$1&amp;$B120,Finals!$J$1:$J$501,0),IFERROR(MATCH($A120&amp;O$1,'D Proj'!$V$1:$V$514,0),MATCH("NA"&amp;O$1,'D Proj'!$V$1:$V$514,0)))</f>
        <v>483</v>
      </c>
      <c r="P120">
        <f>IF(Week&gt;=P$1,MATCH($A120&amp;"-"&amp;P$1&amp;$B120,Finals!$J$1:$J$501,0),IFERROR(MATCH($A120&amp;P$1,'D Proj'!$V$1:$V$514,0),MATCH("NA"&amp;P$1,'D Proj'!$V$1:$V$514,0)))</f>
        <v>217</v>
      </c>
      <c r="Q120">
        <f>IF(Week&gt;=Q$1,MATCH($A120&amp;"-"&amp;Q$1&amp;$B120,Finals!$J$1:$J$501,0),IFERROR(MATCH($A120&amp;Q$1,'D Proj'!$V$1:$V$514,0),MATCH("NA"&amp;Q$1,'D Proj'!$V$1:$V$514,0)))</f>
        <v>113</v>
      </c>
      <c r="R120">
        <f>IF(Week&gt;=R$1,MATCH($A120&amp;"-"&amp;R$1&amp;$B120,Finals!$J$1:$J$501,0),IFERROR(MATCH($A120&amp;R$1,'D Proj'!$V$1:$V$514,0),MATCH("NA"&amp;R$1,'D Proj'!$V$1:$V$514,0)))</f>
        <v>200</v>
      </c>
      <c r="S120">
        <f>IF(Week&gt;=S$1,MATCH($A120&amp;"-"&amp;S$1&amp;$B120,Finals!$J$1:$J$501,0),IFERROR(MATCH($A120&amp;S$1,'D Proj'!$V$1:$V$514,0),MATCH("NA"&amp;S$1,'D Proj'!$V$1:$V$514,0)))</f>
        <v>316</v>
      </c>
      <c r="T120">
        <f>IF(Week&gt;=C$1,INDEX(Finals!$G$1:$G$501,C120),INDEX('D Proj'!$T$1:$T$513,C120))</f>
        <v>18</v>
      </c>
      <c r="U120">
        <f>IF(Week&gt;=D$1,INDEX(Finals!$G$1:$G$501,D120),INDEX('D Proj'!$T$1:$T$513,D120))</f>
        <v>2</v>
      </c>
      <c r="V120">
        <f>IF(Week&gt;=E$1,INDEX(Finals!$G$1:$G$501,E120),INDEX('D Proj'!$T$1:$T$513,E120))</f>
        <v>5</v>
      </c>
      <c r="W120">
        <f>IF(Week&gt;=F$1,INDEX(Finals!$G$1:$G$501,F120),INDEX('D Proj'!$T$1:$T$513,F120))</f>
        <v>-9</v>
      </c>
      <c r="X120">
        <f>IF(Week&gt;=G$1,INDEX(Finals!$G$1:$G$501,G120),INDEX('D Proj'!$T$1:$T$513,G120))</f>
        <v>5.9</v>
      </c>
      <c r="Y120">
        <f>IF(Week&gt;=H$1,INDEX(Finals!$G$1:$G$501,H120),INDEX('D Proj'!$T$1:$T$513,H120))</f>
        <v>8</v>
      </c>
      <c r="Z120">
        <f>IF(Week&gt;=I$1,INDEX(Finals!$G$1:$G$501,I120),INDEX('D Proj'!$T$1:$T$513,I120))</f>
        <v>5.98</v>
      </c>
      <c r="AA120">
        <f>IF(Week&gt;=J$1,INDEX(Finals!$G$1:$G$501,J120),INDEX('D Proj'!$T$1:$T$513,J120))</f>
        <v>2.9</v>
      </c>
      <c r="AB120">
        <f>IF(Week&gt;=K$1,INDEX(Finals!$G$1:$G$501,K120),INDEX('D Proj'!$T$1:$T$513,K120))</f>
        <v>6.72</v>
      </c>
      <c r="AC120">
        <f>IF(Week&gt;=L$1,INDEX(Finals!$G$1:$G$501,L120),INDEX('D Proj'!$T$1:$T$513,L120))</f>
        <v>9.17</v>
      </c>
      <c r="AD120">
        <f>IF(Week&gt;=M$1,INDEX(Finals!$G$1:$G$501,M120),INDEX('D Proj'!$T$1:$T$513,M120))</f>
        <v>5.46</v>
      </c>
      <c r="AE120">
        <f>IF(Week&gt;=N$1,INDEX(Finals!$G$1:$G$501,N120),INDEX('D Proj'!$T$1:$T$513,N120))</f>
        <v>6.99</v>
      </c>
      <c r="AF120">
        <f>IF(Week&gt;=O$1,INDEX(Finals!$G$1:$G$501,O120),INDEX('D Proj'!$T$1:$T$513,O120))</f>
        <v>2.86</v>
      </c>
      <c r="AG120">
        <f>IF(Week&gt;=P$1,INDEX(Finals!$G$1:$G$501,P120),INDEX('D Proj'!$T$1:$T$513,P120))</f>
        <v>6.54</v>
      </c>
      <c r="AH120">
        <f>IF(Week&gt;=Q$1,INDEX(Finals!$G$1:$G$501,Q120),INDEX('D Proj'!$T$1:$T$513,Q120))</f>
        <v>7.46</v>
      </c>
      <c r="AI120">
        <f>IF(Week&gt;=R$1,INDEX(Finals!$G$1:$G$501,R120),INDEX('D Proj'!$T$1:$T$513,R120))</f>
        <v>6.72</v>
      </c>
      <c r="AJ120">
        <f>IF(Week&gt;=S$1,INDEX(Finals!$G$1:$G$501,S120),INDEX('D Proj'!$T$1:$T$513,S120))</f>
        <v>5.46</v>
      </c>
      <c r="AK120">
        <f>IF(Week&gt;=C$1,INDEX(Finals!$I$1:$I$501,C120),INDEX('D Proj'!$N$1:$N$513,C120))</f>
        <v>0</v>
      </c>
      <c r="AL120">
        <f>IF(Week&gt;=D$1,INDEX(Finals!$I$1:$I$501,D120),INDEX('D Proj'!$N$1:$N$513,D120))</f>
        <v>0</v>
      </c>
      <c r="AM120">
        <f>IF(Week&gt;=E$1,INDEX(Finals!$I$1:$I$501,E120),INDEX('D Proj'!$N$1:$N$513,E120))</f>
        <v>0</v>
      </c>
      <c r="AN120">
        <f>IF(Week&gt;=F$1,INDEX(Finals!$I$1:$I$501,F120),INDEX('D Proj'!$N$1:$N$513,F120))</f>
        <v>0</v>
      </c>
      <c r="AO120">
        <f>IF(Week&gt;=G$1,INDEX(Finals!$I$1:$I$501,G120),INDEX('D Proj'!$N$1:$N$513,G120))</f>
        <v>21.9024</v>
      </c>
      <c r="AP120">
        <f>IF(Week&gt;=H$1,INDEX(Finals!$I$1:$I$501,H120),INDEX('D Proj'!$N$1:$N$513,H120))</f>
        <v>32.49</v>
      </c>
      <c r="AQ120">
        <f>IF(Week&gt;=I$1,INDEX(Finals!$I$1:$I$501,I120),INDEX('D Proj'!$N$1:$N$513,I120))</f>
        <v>29.593599999999999</v>
      </c>
      <c r="AR120">
        <f>IF(Week&gt;=J$1,INDEX(Finals!$I$1:$I$501,J120),INDEX('D Proj'!$N$1:$N$513,J120))</f>
        <v>15.760899999999999</v>
      </c>
      <c r="AS120">
        <f>IF(Week&gt;=K$1,INDEX(Finals!$I$1:$I$501,K120),INDEX('D Proj'!$N$1:$N$513,K120))</f>
        <v>27.04</v>
      </c>
      <c r="AT120">
        <f>IF(Week&gt;=L$1,INDEX(Finals!$I$1:$I$501,L120),INDEX('D Proj'!$N$1:$N$513,L120))</f>
        <v>28.196100000000001</v>
      </c>
      <c r="AU120">
        <f>IF(Week&gt;=M$1,INDEX(Finals!$I$1:$I$501,M120),INDEX('D Proj'!$N$1:$N$513,M120))</f>
        <v>25.401599999999998</v>
      </c>
      <c r="AV120">
        <f>IF(Week&gt;=N$1,INDEX(Finals!$I$1:$I$501,N120),INDEX('D Proj'!$N$1:$N$513,N120))</f>
        <v>27.6676</v>
      </c>
      <c r="AW120">
        <f>IF(Week&gt;=O$1,INDEX(Finals!$I$1:$I$501,O120),INDEX('D Proj'!$N$1:$N$513,O120))</f>
        <v>20.25</v>
      </c>
      <c r="AX120">
        <f>IF(Week&gt;=P$1,INDEX(Finals!$I$1:$I$501,P120),INDEX('D Proj'!$N$1:$N$513,P120))</f>
        <v>36.602499999999999</v>
      </c>
      <c r="AY120">
        <f>IF(Week&gt;=Q$1,INDEX(Finals!$I$1:$I$501,Q120),INDEX('D Proj'!$N$1:$N$513,Q120))</f>
        <v>29.593599999999999</v>
      </c>
      <c r="AZ120">
        <f>IF(Week&gt;=R$1,INDEX(Finals!$I$1:$I$501,R120),INDEX('D Proj'!$N$1:$N$513,R120))</f>
        <v>27.04</v>
      </c>
      <c r="BA120">
        <f>IF(Week&gt;=S$1,INDEX(Finals!$I$1:$I$501,S120),INDEX('D Proj'!$N$1:$N$513,S120))</f>
        <v>25.401599999999998</v>
      </c>
    </row>
    <row r="121" spans="1:53" x14ac:dyDescent="0.25">
      <c r="A121" t="s">
        <v>44</v>
      </c>
      <c r="B121" t="s">
        <v>478</v>
      </c>
      <c r="C121">
        <f>IF(Week&gt;=C$1,MATCH($A121&amp;"-"&amp;C$1&amp;$B121,Finals!$J$1:$J$501,0),IFERROR(MATCH($A121&amp;C$1,'K Proj'!$R$1:$R$508,0),MATCH("NA"&amp;C$1,'K Proj'!$R$1:$R$508,0)))</f>
        <v>410</v>
      </c>
      <c r="D121">
        <f>IF(Week&gt;=D$1,MATCH($A121&amp;"-"&amp;D$1&amp;$B121,Finals!$J$1:$J$501,0),IFERROR(MATCH($A121&amp;D$1,'K Proj'!$R$1:$R$508,0),MATCH("NA"&amp;D$1,'K Proj'!$R$1:$R$508,0)))</f>
        <v>411</v>
      </c>
      <c r="E121">
        <f>IF(Week&gt;=E$1,MATCH($A121&amp;"-"&amp;E$1&amp;$B121,Finals!$J$1:$J$501,0),IFERROR(MATCH($A121&amp;E$1,'K Proj'!$R$1:$R$508,0),MATCH("NA"&amp;E$1,'K Proj'!$R$1:$R$508,0)))</f>
        <v>412</v>
      </c>
      <c r="F121">
        <f>IF(Week&gt;=F$1,MATCH($A121&amp;"-"&amp;F$1&amp;$B121,Finals!$J$1:$J$501,0),IFERROR(MATCH($A121&amp;F$1,'K Proj'!$R$1:$R$508,0),MATCH("NA"&amp;F$1,'K Proj'!$R$1:$R$508,0)))</f>
        <v>413</v>
      </c>
      <c r="G121">
        <f>IF(Week&gt;=G$1,MATCH($A121&amp;"-"&amp;G$1&amp;$B121,Finals!$J$1:$J$501,0),IFERROR(MATCH($A121&amp;G$1,'K Proj'!$R$1:$R$508,0),MATCH("NA"&amp;G$1,'K Proj'!$R$1:$R$508,0)))</f>
        <v>414</v>
      </c>
      <c r="H121">
        <f>IF(Week&gt;=H$1,MATCH($A121&amp;"-"&amp;H$1&amp;$B121,Finals!$J$1:$J$501,0),IFERROR(MATCH($A121&amp;H$1,'K Proj'!$R$1:$R$508,0),MATCH("NA"&amp;H$1,'K Proj'!$R$1:$R$508,0)))</f>
        <v>109</v>
      </c>
      <c r="I121">
        <f>IF(Week&gt;=I$1,MATCH($A121&amp;"-"&amp;I$1&amp;$B121,Finals!$J$1:$J$501,0),IFERROR(MATCH($A121&amp;I$1,'K Proj'!$R$1:$R$508,0),MATCH("NA"&amp;I$1,'K Proj'!$R$1:$R$508,0)))</f>
        <v>129</v>
      </c>
      <c r="J121">
        <f>IF(Week&gt;=J$1,MATCH($A121&amp;"-"&amp;J$1&amp;$B121,Finals!$J$1:$J$501,0),IFERROR(MATCH($A121&amp;J$1,'K Proj'!$R$1:$R$508,0),MATCH("NA"&amp;J$1,'K Proj'!$R$1:$R$508,0)))</f>
        <v>218</v>
      </c>
      <c r="K121">
        <f>IF(Week&gt;=K$1,MATCH($A121&amp;"-"&amp;K$1&amp;$B121,Finals!$J$1:$J$501,0),IFERROR(MATCH($A121&amp;K$1,'K Proj'!$R$1:$R$508,0),MATCH("NA"&amp;K$1,'K Proj'!$R$1:$R$508,0)))</f>
        <v>306</v>
      </c>
      <c r="L121">
        <f>IF(Week&gt;=L$1,MATCH($A121&amp;"-"&amp;L$1&amp;$B121,Finals!$J$1:$J$501,0),IFERROR(MATCH($A121&amp;L$1,'K Proj'!$R$1:$R$508,0),MATCH("NA"&amp;L$1,'K Proj'!$R$1:$R$508,0)))</f>
        <v>136</v>
      </c>
      <c r="M121">
        <f>IF(Week&gt;=M$1,MATCH($A121&amp;"-"&amp;M$1&amp;$B121,Finals!$J$1:$J$501,0),IFERROR(MATCH($A121&amp;M$1,'K Proj'!$R$1:$R$508,0),MATCH("NA"&amp;M$1,'K Proj'!$R$1:$R$508,0)))</f>
        <v>148</v>
      </c>
      <c r="N121">
        <f>IF(Week&gt;=N$1,MATCH($A121&amp;"-"&amp;N$1&amp;$B121,Finals!$J$1:$J$501,0),IFERROR(MATCH($A121&amp;N$1,'K Proj'!$R$1:$R$508,0),MATCH("NA"&amp;N$1,'K Proj'!$R$1:$R$508,0)))</f>
        <v>111</v>
      </c>
      <c r="O121">
        <f>IF(Week&gt;=O$1,MATCH($A121&amp;"-"&amp;O$1&amp;$B121,Finals!$J$1:$J$501,0),IFERROR(MATCH($A121&amp;O$1,'K Proj'!$R$1:$R$508,0),MATCH("NA"&amp;O$1,'K Proj'!$R$1:$R$508,0)))</f>
        <v>233</v>
      </c>
      <c r="P121">
        <f>IF(Week&gt;=P$1,MATCH($A121&amp;"-"&amp;P$1&amp;$B121,Finals!$J$1:$J$501,0),IFERROR(MATCH($A121&amp;P$1,'K Proj'!$R$1:$R$508,0),MATCH("NA"&amp;P$1,'K Proj'!$R$1:$R$508,0)))</f>
        <v>200</v>
      </c>
      <c r="Q121">
        <f>IF(Week&gt;=Q$1,MATCH($A121&amp;"-"&amp;Q$1&amp;$B121,Finals!$J$1:$J$501,0),IFERROR(MATCH($A121&amp;Q$1,'K Proj'!$R$1:$R$508,0),MATCH("NA"&amp;Q$1,'K Proj'!$R$1:$R$508,0)))</f>
        <v>98</v>
      </c>
      <c r="R121">
        <f>IF(Week&gt;=R$1,MATCH($A121&amp;"-"&amp;R$1&amp;$B121,Finals!$J$1:$J$501,0),IFERROR(MATCH($A121&amp;R$1,'K Proj'!$R$1:$R$508,0),MATCH("NA"&amp;R$1,'K Proj'!$R$1:$R$508,0)))</f>
        <v>245</v>
      </c>
      <c r="S121">
        <f>IF(Week&gt;=S$1,MATCH($A121&amp;"-"&amp;S$1&amp;$B121,Finals!$J$1:$J$501,0),IFERROR(MATCH($A121&amp;S$1,'K Proj'!$R$1:$R$508,0),MATCH("NA"&amp;S$1,'K Proj'!$R$1:$R$508,0)))</f>
        <v>155</v>
      </c>
      <c r="T121">
        <f>IF(Week&gt;=C$1,INDEX(Finals!$G$1:$G$501,C121),INDEX('K Proj'!$L$1:$L$508,C121))</f>
        <v>9</v>
      </c>
      <c r="U121">
        <f>IF(Week&gt;=D$1,INDEX(Finals!$G$1:$G$501,D121),INDEX('K Proj'!$L$1:$L$508,D121))</f>
        <v>6</v>
      </c>
      <c r="V121">
        <f>IF(Week&gt;=E$1,INDEX(Finals!$G$1:$G$501,E121),INDEX('K Proj'!$L$1:$L$508,E121))</f>
        <v>8</v>
      </c>
      <c r="W121">
        <f>IF(Week&gt;=F$1,INDEX(Finals!$G$1:$G$501,F121),INDEX('K Proj'!$L$1:$L$508,F121))</f>
        <v>9</v>
      </c>
      <c r="X121">
        <f>IF(Week&gt;=G$1,INDEX(Finals!$G$1:$G$501,G121),INDEX('K Proj'!$L$1:$L$508,G121))</f>
        <v>8.1199999999999992</v>
      </c>
      <c r="Y121">
        <f>IF(Week&gt;=H$1,INDEX(Finals!$G$1:$G$501,H121),INDEX('K Proj'!$L$1:$L$508,H121))</f>
        <v>7.92</v>
      </c>
      <c r="Z121">
        <f>IF(Week&gt;=I$1,INDEX(Finals!$G$1:$G$501,I121),INDEX('K Proj'!$L$1:$L$508,I121))</f>
        <v>7.73</v>
      </c>
      <c r="AA121">
        <f>IF(Week&gt;=J$1,INDEX(Finals!$G$1:$G$501,J121),INDEX('K Proj'!$L$1:$L$508,J121))</f>
        <v>7.21</v>
      </c>
      <c r="AB121">
        <f>IF(Week&gt;=K$1,INDEX(Finals!$G$1:$G$501,K121),INDEX('K Proj'!$L$1:$L$508,K121))</f>
        <v>6.87</v>
      </c>
      <c r="AC121">
        <f>IF(Week&gt;=L$1,INDEX(Finals!$G$1:$G$501,L121),INDEX('K Proj'!$L$1:$L$508,L121))</f>
        <v>7.66</v>
      </c>
      <c r="AD121">
        <f>IF(Week&gt;=M$1,INDEX(Finals!$G$1:$G$501,M121),INDEX('K Proj'!$L$1:$L$508,M121))</f>
        <v>7.59</v>
      </c>
      <c r="AE121">
        <f>IF(Week&gt;=N$1,INDEX(Finals!$G$1:$G$501,N121),INDEX('K Proj'!$L$1:$L$508,N121))</f>
        <v>7.9</v>
      </c>
      <c r="AF121">
        <f>IF(Week&gt;=O$1,INDEX(Finals!$G$1:$G$501,O121),INDEX('K Proj'!$L$1:$L$508,O121))</f>
        <v>7.16</v>
      </c>
      <c r="AG121">
        <f>IF(Week&gt;=P$1,INDEX(Finals!$G$1:$G$501,P121),INDEX('K Proj'!$L$1:$L$508,P121))</f>
        <v>7.32</v>
      </c>
      <c r="AH121">
        <f>IF(Week&gt;=Q$1,INDEX(Finals!$G$1:$G$501,Q121),INDEX('K Proj'!$L$1:$L$508,Q121))</f>
        <v>8</v>
      </c>
      <c r="AI121">
        <f>IF(Week&gt;=R$1,INDEX(Finals!$G$1:$G$501,R121),INDEX('K Proj'!$L$1:$L$508,R121))</f>
        <v>7.09</v>
      </c>
      <c r="AJ121">
        <f>IF(Week&gt;=S$1,INDEX(Finals!$G$1:$G$501,S121),INDEX('K Proj'!$L$1:$L$508,S121))</f>
        <v>7.56</v>
      </c>
      <c r="AK121">
        <f>IF(Week&gt;=C$1,INDEX(Finals!$I$1:$I$501,C121),INDEX('K Proj'!$P$1:$P$508,C121))</f>
        <v>0</v>
      </c>
      <c r="AL121">
        <f>IF(Week&gt;=D$1,INDEX(Finals!$I$1:$I$501,D121),INDEX('K Proj'!$P$1:$P$508,D121))</f>
        <v>0</v>
      </c>
      <c r="AM121">
        <f>IF(Week&gt;=E$1,INDEX(Finals!$I$1:$I$501,E121),INDEX('K Proj'!$P$1:$P$508,E121))</f>
        <v>0</v>
      </c>
      <c r="AN121">
        <f>IF(Week&gt;=F$1,INDEX(Finals!$I$1:$I$501,F121),INDEX('K Proj'!$P$1:$P$508,F121))</f>
        <v>0</v>
      </c>
      <c r="AO121">
        <f>IF(Week&gt;=G$1,INDEX(Finals!$I$1:$I$501,G121),INDEX('K Proj'!$P$1:$P$508,G121))</f>
        <v>18.0625</v>
      </c>
      <c r="AP121">
        <f>IF(Week&gt;=H$1,INDEX(Finals!$I$1:$I$501,H121),INDEX('K Proj'!$P$1:$P$508,H121))</f>
        <v>12.744899999999999</v>
      </c>
      <c r="AQ121">
        <f>IF(Week&gt;=I$1,INDEX(Finals!$I$1:$I$501,I121),INDEX('K Proj'!$P$1:$P$508,I121))</f>
        <v>15.366400000000001</v>
      </c>
      <c r="AR121">
        <f>IF(Week&gt;=J$1,INDEX(Finals!$I$1:$I$501,J121),INDEX('K Proj'!$P$1:$P$508,J121))</f>
        <v>15.366400000000001</v>
      </c>
      <c r="AS121">
        <f>IF(Week&gt;=K$1,INDEX(Finals!$I$1:$I$501,K121),INDEX('K Proj'!$P$1:$P$508,K121))</f>
        <v>16.892099999999999</v>
      </c>
      <c r="AT121">
        <f>IF(Week&gt;=L$1,INDEX(Finals!$I$1:$I$501,L121),INDEX('K Proj'!$P$1:$P$508,L121))</f>
        <v>21.622499999999999</v>
      </c>
      <c r="AU121">
        <f>IF(Week&gt;=M$1,INDEX(Finals!$I$1:$I$501,M121),INDEX('K Proj'!$P$1:$P$508,M121))</f>
        <v>17.808399999999999</v>
      </c>
      <c r="AV121">
        <f>IF(Week&gt;=N$1,INDEX(Finals!$I$1:$I$501,N121),INDEX('K Proj'!$P$1:$P$508,N121))</f>
        <v>14.8225</v>
      </c>
      <c r="AW121">
        <f>IF(Week&gt;=O$1,INDEX(Finals!$I$1:$I$501,O121),INDEX('K Proj'!$P$1:$P$508,O121))</f>
        <v>15.054399999999999</v>
      </c>
      <c r="AX121">
        <f>IF(Week&gt;=P$1,INDEX(Finals!$I$1:$I$501,P121),INDEX('K Proj'!$P$1:$P$508,P121))</f>
        <v>17.892900000000001</v>
      </c>
      <c r="AY121">
        <f>IF(Week&gt;=Q$1,INDEX(Finals!$I$1:$I$501,Q121),INDEX('K Proj'!$P$1:$P$508,Q121))</f>
        <v>17.808399999999999</v>
      </c>
      <c r="AZ121">
        <f>IF(Week&gt;=R$1,INDEX(Finals!$I$1:$I$501,R121),INDEX('K Proj'!$P$1:$P$508,R121))</f>
        <v>13.3956</v>
      </c>
      <c r="BA121">
        <f>IF(Week&gt;=S$1,INDEX(Finals!$I$1:$I$501,S121),INDEX('K Proj'!$P$1:$P$508,S121))</f>
        <v>16.892099999999999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151"/>
  <sheetViews>
    <sheetView workbookViewId="0">
      <selection activeCell="F2" sqref="F2"/>
    </sheetView>
  </sheetViews>
  <sheetFormatPr defaultRowHeight="15" x14ac:dyDescent="0.25"/>
  <sheetData>
    <row r="1" spans="1:6" x14ac:dyDescent="0.25">
      <c r="A1" t="s">
        <v>986</v>
      </c>
      <c r="B1" t="s">
        <v>482</v>
      </c>
      <c r="C1" t="s">
        <v>483</v>
      </c>
      <c r="D1" t="s">
        <v>484</v>
      </c>
      <c r="E1" t="s">
        <v>984</v>
      </c>
      <c r="F1" t="s">
        <v>985</v>
      </c>
    </row>
    <row r="2" spans="1:6" x14ac:dyDescent="0.25">
      <c r="A2">
        <v>1</v>
      </c>
      <c r="B2">
        <v>1</v>
      </c>
      <c r="C2">
        <v>3</v>
      </c>
      <c r="D2" t="s">
        <v>504</v>
      </c>
      <c r="E2">
        <f>INDEX(Scores!$B$2:$T$11,$B2,$A2)</f>
        <v>111.89999999999999</v>
      </c>
      <c r="F2">
        <f>INDEX(Scores!$B$13:$T$22,$B2,$A2)</f>
        <v>0</v>
      </c>
    </row>
    <row r="3" spans="1:6" x14ac:dyDescent="0.25">
      <c r="A3">
        <v>2</v>
      </c>
      <c r="B3">
        <v>1</v>
      </c>
      <c r="C3">
        <v>4</v>
      </c>
      <c r="D3" t="s">
        <v>628</v>
      </c>
      <c r="E3">
        <f>INDEX(Scores!$B$2:$T$11,$B3,$A3)</f>
        <v>129</v>
      </c>
      <c r="F3">
        <f>INDEX(Scores!$B$13:$T$22,$B3,$A3)</f>
        <v>0</v>
      </c>
    </row>
    <row r="4" spans="1:6" x14ac:dyDescent="0.25">
      <c r="A4">
        <v>3</v>
      </c>
      <c r="B4">
        <v>1</v>
      </c>
      <c r="C4">
        <v>8</v>
      </c>
      <c r="D4" t="s">
        <v>807</v>
      </c>
      <c r="E4">
        <f>INDEX(Scores!$B$2:$T$11,$B4,$A4)</f>
        <v>111.80000000000001</v>
      </c>
      <c r="F4">
        <f>INDEX(Scores!$B$13:$T$22,$B4,$A4)</f>
        <v>0</v>
      </c>
    </row>
    <row r="5" spans="1:6" x14ac:dyDescent="0.25">
      <c r="A5">
        <v>4</v>
      </c>
      <c r="B5">
        <v>1</v>
      </c>
      <c r="C5">
        <v>2</v>
      </c>
      <c r="D5" t="s">
        <v>861</v>
      </c>
      <c r="E5">
        <f>INDEX(Scores!$B$2:$T$11,$B5,$A5)</f>
        <v>99.899999999999991</v>
      </c>
      <c r="F5">
        <f>INDEX(Scores!$B$13:$T$22,$B5,$A5)</f>
        <v>0</v>
      </c>
    </row>
    <row r="6" spans="1:6" x14ac:dyDescent="0.25">
      <c r="A6">
        <v>5</v>
      </c>
      <c r="B6">
        <v>1</v>
      </c>
      <c r="C6">
        <v>7</v>
      </c>
      <c r="D6" t="s">
        <v>890</v>
      </c>
      <c r="E6">
        <f>INDEX(Scores!$B$2:$T$11,$B6,$A6)</f>
        <v>114.56</v>
      </c>
      <c r="F6">
        <f>INDEX(Scores!$B$13:$T$22,$B6,$A6)</f>
        <v>490.17610000000008</v>
      </c>
    </row>
    <row r="7" spans="1:6" x14ac:dyDescent="0.25">
      <c r="A7">
        <v>6</v>
      </c>
      <c r="B7">
        <v>1</v>
      </c>
      <c r="C7">
        <v>10</v>
      </c>
      <c r="D7" t="s">
        <v>904</v>
      </c>
      <c r="E7">
        <f>INDEX(Scores!$B$2:$T$11,$B7,$A7)</f>
        <v>95.610000000000014</v>
      </c>
      <c r="F7">
        <f>INDEX(Scores!$B$13:$T$22,$B7,$A7)</f>
        <v>379.00150000000008</v>
      </c>
    </row>
    <row r="8" spans="1:6" x14ac:dyDescent="0.25">
      <c r="A8">
        <v>7</v>
      </c>
      <c r="B8">
        <v>1</v>
      </c>
      <c r="C8">
        <v>9</v>
      </c>
      <c r="D8" t="s">
        <v>905</v>
      </c>
      <c r="E8">
        <f>INDEX(Scores!$B$2:$T$11,$B8,$A8)</f>
        <v>104.80000000000001</v>
      </c>
      <c r="F8">
        <f>INDEX(Scores!$B$13:$T$22,$B8,$A8)</f>
        <v>440.22199999999998</v>
      </c>
    </row>
    <row r="9" spans="1:6" x14ac:dyDescent="0.25">
      <c r="A9">
        <v>8</v>
      </c>
      <c r="B9">
        <v>1</v>
      </c>
      <c r="C9">
        <v>6</v>
      </c>
      <c r="D9" t="s">
        <v>906</v>
      </c>
      <c r="E9">
        <f>INDEX(Scores!$B$2:$T$11,$B9,$A9)</f>
        <v>116.25000000000003</v>
      </c>
      <c r="F9">
        <f>INDEX(Scores!$B$13:$T$22,$B9,$A9)</f>
        <v>449.70740000000001</v>
      </c>
    </row>
    <row r="10" spans="1:6" x14ac:dyDescent="0.25">
      <c r="A10">
        <v>9</v>
      </c>
      <c r="B10">
        <v>1</v>
      </c>
      <c r="C10">
        <v>7</v>
      </c>
      <c r="D10" t="s">
        <v>907</v>
      </c>
      <c r="E10">
        <f>INDEX(Scores!$B$2:$T$11,$B10,$A10)</f>
        <v>112.01999999999998</v>
      </c>
      <c r="F10">
        <f>INDEX(Scores!$B$13:$T$22,$B10,$A10)</f>
        <v>452.37890000000004</v>
      </c>
    </row>
    <row r="11" spans="1:6" x14ac:dyDescent="0.25">
      <c r="A11">
        <v>10</v>
      </c>
      <c r="B11">
        <v>1</v>
      </c>
      <c r="C11">
        <v>5</v>
      </c>
      <c r="D11" t="s">
        <v>908</v>
      </c>
      <c r="E11">
        <f>INDEX(Scores!$B$2:$T$11,$B11,$A11)</f>
        <v>109.97</v>
      </c>
      <c r="F11">
        <f>INDEX(Scores!$B$13:$T$22,$B11,$A11)</f>
        <v>456.93399999999997</v>
      </c>
    </row>
    <row r="12" spans="1:6" x14ac:dyDescent="0.25">
      <c r="A12">
        <v>11</v>
      </c>
      <c r="B12">
        <v>1</v>
      </c>
      <c r="C12">
        <v>4</v>
      </c>
      <c r="D12" t="s">
        <v>909</v>
      </c>
      <c r="E12">
        <f>INDEX(Scores!$B$2:$T$11,$B12,$A12)</f>
        <v>105.10000000000001</v>
      </c>
      <c r="F12">
        <f>INDEX(Scores!$B$13:$T$22,$B12,$A12)</f>
        <v>428.5215</v>
      </c>
    </row>
    <row r="13" spans="1:6" x14ac:dyDescent="0.25">
      <c r="A13">
        <v>12</v>
      </c>
      <c r="B13">
        <v>1</v>
      </c>
      <c r="C13">
        <v>8</v>
      </c>
      <c r="D13" t="s">
        <v>910</v>
      </c>
      <c r="E13">
        <f>INDEX(Scores!$B$2:$T$11,$B13,$A13)</f>
        <v>107.46</v>
      </c>
      <c r="F13">
        <f>INDEX(Scores!$B$13:$T$22,$B13,$A13)</f>
        <v>423.25290000000001</v>
      </c>
    </row>
    <row r="14" spans="1:6" x14ac:dyDescent="0.25">
      <c r="A14">
        <v>13</v>
      </c>
      <c r="B14">
        <v>1</v>
      </c>
      <c r="C14">
        <v>2</v>
      </c>
      <c r="D14" t="s">
        <v>911</v>
      </c>
      <c r="E14">
        <f>INDEX(Scores!$B$2:$T$11,$B14,$A14)</f>
        <v>117.95000000000002</v>
      </c>
      <c r="F14">
        <f>INDEX(Scores!$B$13:$T$22,$B14,$A14)</f>
        <v>462.59000000000003</v>
      </c>
    </row>
    <row r="15" spans="1:6" x14ac:dyDescent="0.25">
      <c r="A15">
        <v>1</v>
      </c>
      <c r="B15">
        <v>2</v>
      </c>
      <c r="C15">
        <v>8</v>
      </c>
      <c r="D15" t="s">
        <v>502</v>
      </c>
      <c r="E15">
        <f>INDEX(Scores!$B$2:$T$11,$B15,$A15)</f>
        <v>120.09999999999998</v>
      </c>
      <c r="F15">
        <f>INDEX(Scores!$B$13:$T$22,$B15,$A15)</f>
        <v>0</v>
      </c>
    </row>
    <row r="16" spans="1:6" x14ac:dyDescent="0.25">
      <c r="A16">
        <v>2</v>
      </c>
      <c r="B16">
        <v>2</v>
      </c>
      <c r="C16">
        <v>5</v>
      </c>
      <c r="D16" t="s">
        <v>618</v>
      </c>
      <c r="E16">
        <f>INDEX(Scores!$B$2:$T$11,$B16,$A16)</f>
        <v>91.600000000000009</v>
      </c>
      <c r="F16">
        <f>INDEX(Scores!$B$13:$T$22,$B16,$A16)</f>
        <v>0</v>
      </c>
    </row>
    <row r="17" spans="1:6" x14ac:dyDescent="0.25">
      <c r="A17">
        <v>3</v>
      </c>
      <c r="B17">
        <v>2</v>
      </c>
      <c r="C17">
        <v>7</v>
      </c>
      <c r="D17" t="s">
        <v>803</v>
      </c>
      <c r="E17">
        <f>INDEX(Scores!$B$2:$T$11,$B17,$A17)</f>
        <v>129.19999999999999</v>
      </c>
      <c r="F17">
        <f>INDEX(Scores!$B$13:$T$22,$B17,$A17)</f>
        <v>0</v>
      </c>
    </row>
    <row r="18" spans="1:6" x14ac:dyDescent="0.25">
      <c r="A18">
        <v>4</v>
      </c>
      <c r="B18">
        <v>2</v>
      </c>
      <c r="C18">
        <v>1</v>
      </c>
      <c r="D18" t="s">
        <v>858</v>
      </c>
      <c r="E18">
        <f>INDEX(Scores!$B$2:$T$11,$B18,$A18)</f>
        <v>119.50000000000001</v>
      </c>
      <c r="F18">
        <f>INDEX(Scores!$B$13:$T$22,$B18,$A18)</f>
        <v>0</v>
      </c>
    </row>
    <row r="19" spans="1:6" x14ac:dyDescent="0.25">
      <c r="A19">
        <v>5</v>
      </c>
      <c r="B19">
        <v>2</v>
      </c>
      <c r="C19">
        <v>4</v>
      </c>
      <c r="D19" t="s">
        <v>883</v>
      </c>
      <c r="E19">
        <f>INDEX(Scores!$B$2:$T$11,$B19,$A19)</f>
        <v>114.38</v>
      </c>
      <c r="F19">
        <f>INDEX(Scores!$B$13:$T$22,$B19,$A19)</f>
        <v>326.55839999999995</v>
      </c>
    </row>
    <row r="20" spans="1:6" x14ac:dyDescent="0.25">
      <c r="A20">
        <v>6</v>
      </c>
      <c r="B20">
        <v>2</v>
      </c>
      <c r="C20">
        <v>3</v>
      </c>
      <c r="D20" t="s">
        <v>912</v>
      </c>
      <c r="E20">
        <f>INDEX(Scores!$B$2:$T$11,$B20,$A20)</f>
        <v>107.81000000000002</v>
      </c>
      <c r="F20">
        <f>INDEX(Scores!$B$13:$T$22,$B20,$A20)</f>
        <v>373.57219999999995</v>
      </c>
    </row>
    <row r="21" spans="1:6" x14ac:dyDescent="0.25">
      <c r="A21">
        <v>7</v>
      </c>
      <c r="B21">
        <v>2</v>
      </c>
      <c r="C21">
        <v>10</v>
      </c>
      <c r="D21" t="s">
        <v>913</v>
      </c>
      <c r="E21">
        <f>INDEX(Scores!$B$2:$T$11,$B21,$A21)</f>
        <v>105.52</v>
      </c>
      <c r="F21">
        <f>INDEX(Scores!$B$13:$T$22,$B21,$A21)</f>
        <v>355.65879999999999</v>
      </c>
    </row>
    <row r="22" spans="1:6" x14ac:dyDescent="0.25">
      <c r="A22">
        <v>8</v>
      </c>
      <c r="B22">
        <v>2</v>
      </c>
      <c r="C22">
        <v>9</v>
      </c>
      <c r="D22" t="s">
        <v>914</v>
      </c>
      <c r="E22">
        <f>INDEX(Scores!$B$2:$T$11,$B22,$A22)</f>
        <v>108.12</v>
      </c>
      <c r="F22">
        <f>INDEX(Scores!$B$13:$T$22,$B22,$A22)</f>
        <v>363.43709999999999</v>
      </c>
    </row>
    <row r="23" spans="1:6" x14ac:dyDescent="0.25">
      <c r="A23">
        <v>9</v>
      </c>
      <c r="B23">
        <v>2</v>
      </c>
      <c r="C23">
        <v>4</v>
      </c>
      <c r="D23" t="s">
        <v>915</v>
      </c>
      <c r="E23">
        <f>INDEX(Scores!$B$2:$T$11,$B23,$A23)</f>
        <v>116.23</v>
      </c>
      <c r="F23">
        <f>INDEX(Scores!$B$13:$T$22,$B23,$A23)</f>
        <v>402.52690000000013</v>
      </c>
    </row>
    <row r="24" spans="1:6" x14ac:dyDescent="0.25">
      <c r="A24">
        <v>10</v>
      </c>
      <c r="B24">
        <v>2</v>
      </c>
      <c r="C24">
        <v>8</v>
      </c>
      <c r="D24" t="s">
        <v>916</v>
      </c>
      <c r="E24">
        <f>INDEX(Scores!$B$2:$T$11,$B24,$A24)</f>
        <v>112.59</v>
      </c>
      <c r="F24">
        <f>INDEX(Scores!$B$13:$T$22,$B24,$A24)</f>
        <v>404.64429999999993</v>
      </c>
    </row>
    <row r="25" spans="1:6" x14ac:dyDescent="0.25">
      <c r="A25">
        <v>11</v>
      </c>
      <c r="B25">
        <v>2</v>
      </c>
      <c r="C25">
        <v>6</v>
      </c>
      <c r="D25" t="s">
        <v>917</v>
      </c>
      <c r="E25">
        <f>INDEX(Scores!$B$2:$T$11,$B25,$A25)</f>
        <v>100.83</v>
      </c>
      <c r="F25">
        <f>INDEX(Scores!$B$13:$T$22,$B25,$A25)</f>
        <v>355.18600000000004</v>
      </c>
    </row>
    <row r="26" spans="1:6" x14ac:dyDescent="0.25">
      <c r="A26">
        <v>12</v>
      </c>
      <c r="B26">
        <v>2</v>
      </c>
      <c r="C26">
        <v>7</v>
      </c>
      <c r="D26" t="s">
        <v>918</v>
      </c>
      <c r="E26">
        <f>INDEX(Scores!$B$2:$T$11,$B26,$A26)</f>
        <v>114.42999999999999</v>
      </c>
      <c r="F26">
        <f>INDEX(Scores!$B$13:$T$22,$B26,$A26)</f>
        <v>412.16589999999991</v>
      </c>
    </row>
    <row r="27" spans="1:6" x14ac:dyDescent="0.25">
      <c r="A27">
        <v>13</v>
      </c>
      <c r="B27">
        <v>2</v>
      </c>
      <c r="C27">
        <v>1</v>
      </c>
      <c r="D27" t="s">
        <v>919</v>
      </c>
      <c r="E27">
        <f>INDEX(Scores!$B$2:$T$11,$B27,$A27)</f>
        <v>106.08</v>
      </c>
      <c r="F27">
        <f>INDEX(Scores!$B$13:$T$22,$B27,$A27)</f>
        <v>320.21050000000008</v>
      </c>
    </row>
    <row r="28" spans="1:6" x14ac:dyDescent="0.25">
      <c r="A28">
        <v>1</v>
      </c>
      <c r="B28">
        <v>3</v>
      </c>
      <c r="C28">
        <v>1</v>
      </c>
      <c r="D28" t="s">
        <v>507</v>
      </c>
      <c r="E28">
        <f>INDEX(Scores!$B$2:$T$11,$B28,$A28)</f>
        <v>145.39999999999998</v>
      </c>
      <c r="F28">
        <f>INDEX(Scores!$B$13:$T$22,$B28,$A28)</f>
        <v>0</v>
      </c>
    </row>
    <row r="29" spans="1:6" x14ac:dyDescent="0.25">
      <c r="A29">
        <v>2</v>
      </c>
      <c r="B29">
        <v>3</v>
      </c>
      <c r="C29">
        <v>6</v>
      </c>
      <c r="D29" t="s">
        <v>625</v>
      </c>
      <c r="E29">
        <f>INDEX(Scores!$B$2:$T$11,$B29,$A29)</f>
        <v>123.39999999999999</v>
      </c>
      <c r="F29">
        <f>INDEX(Scores!$B$13:$T$22,$B29,$A29)</f>
        <v>0</v>
      </c>
    </row>
    <row r="30" spans="1:6" x14ac:dyDescent="0.25">
      <c r="A30">
        <v>3</v>
      </c>
      <c r="B30">
        <v>3</v>
      </c>
      <c r="C30">
        <v>10</v>
      </c>
      <c r="D30" t="s">
        <v>806</v>
      </c>
      <c r="E30">
        <f>INDEX(Scores!$B$2:$T$11,$B30,$A30)</f>
        <v>108.00000000000001</v>
      </c>
      <c r="F30">
        <f>INDEX(Scores!$B$13:$T$22,$B30,$A30)</f>
        <v>0</v>
      </c>
    </row>
    <row r="31" spans="1:6" x14ac:dyDescent="0.25">
      <c r="A31">
        <v>4</v>
      </c>
      <c r="B31">
        <v>3</v>
      </c>
      <c r="C31">
        <v>5</v>
      </c>
      <c r="D31" t="s">
        <v>866</v>
      </c>
      <c r="E31">
        <f>INDEX(Scores!$B$2:$T$11,$B31,$A31)</f>
        <v>174.5</v>
      </c>
      <c r="F31">
        <f>INDEX(Scores!$B$13:$T$22,$B31,$A31)</f>
        <v>0</v>
      </c>
    </row>
    <row r="32" spans="1:6" x14ac:dyDescent="0.25">
      <c r="A32">
        <v>5</v>
      </c>
      <c r="B32">
        <v>3</v>
      </c>
      <c r="C32">
        <v>9</v>
      </c>
      <c r="D32" t="s">
        <v>888</v>
      </c>
      <c r="E32">
        <f>INDEX(Scores!$B$2:$T$11,$B32,$A32)</f>
        <v>112.65</v>
      </c>
      <c r="F32">
        <f>INDEX(Scores!$B$13:$T$22,$B32,$A32)</f>
        <v>763.71510000000001</v>
      </c>
    </row>
    <row r="33" spans="1:6" x14ac:dyDescent="0.25">
      <c r="A33">
        <v>6</v>
      </c>
      <c r="B33">
        <v>3</v>
      </c>
      <c r="C33">
        <v>2</v>
      </c>
      <c r="D33" t="s">
        <v>920</v>
      </c>
      <c r="E33">
        <f>INDEX(Scores!$B$2:$T$11,$B33,$A33)</f>
        <v>116.63</v>
      </c>
      <c r="F33">
        <f>INDEX(Scores!$B$13:$T$22,$B33,$A33)</f>
        <v>479.99800000000005</v>
      </c>
    </row>
    <row r="34" spans="1:6" x14ac:dyDescent="0.25">
      <c r="A34">
        <v>7</v>
      </c>
      <c r="B34">
        <v>3</v>
      </c>
      <c r="C34">
        <v>4</v>
      </c>
      <c r="D34" t="s">
        <v>921</v>
      </c>
      <c r="E34">
        <f>INDEX(Scores!$B$2:$T$11,$B34,$A34)</f>
        <v>107.27000000000001</v>
      </c>
      <c r="F34">
        <f>INDEX(Scores!$B$13:$T$22,$B34,$A34)</f>
        <v>438.92689999999999</v>
      </c>
    </row>
    <row r="35" spans="1:6" x14ac:dyDescent="0.25">
      <c r="A35">
        <v>8</v>
      </c>
      <c r="B35">
        <v>3</v>
      </c>
      <c r="C35">
        <v>7</v>
      </c>
      <c r="D35" t="s">
        <v>922</v>
      </c>
      <c r="E35">
        <f>INDEX(Scores!$B$2:$T$11,$B35,$A35)</f>
        <v>117.09</v>
      </c>
      <c r="F35">
        <f>INDEX(Scores!$B$13:$T$22,$B35,$A35)</f>
        <v>460.03000000000009</v>
      </c>
    </row>
    <row r="36" spans="1:6" x14ac:dyDescent="0.25">
      <c r="A36">
        <v>9</v>
      </c>
      <c r="B36">
        <v>3</v>
      </c>
      <c r="C36">
        <v>8</v>
      </c>
      <c r="D36" t="s">
        <v>923</v>
      </c>
      <c r="E36">
        <f>INDEX(Scores!$B$2:$T$11,$B36,$A36)</f>
        <v>104.71</v>
      </c>
      <c r="F36">
        <f>INDEX(Scores!$B$13:$T$22,$B36,$A36)</f>
        <v>347.95859999999993</v>
      </c>
    </row>
    <row r="37" spans="1:6" x14ac:dyDescent="0.25">
      <c r="A37">
        <v>10</v>
      </c>
      <c r="B37">
        <v>3</v>
      </c>
      <c r="C37">
        <v>6</v>
      </c>
      <c r="D37" t="s">
        <v>924</v>
      </c>
      <c r="E37">
        <f>INDEX(Scores!$B$2:$T$11,$B37,$A37)</f>
        <v>93</v>
      </c>
      <c r="F37">
        <f>INDEX(Scores!$B$13:$T$22,$B37,$A37)</f>
        <v>363.84479999999996</v>
      </c>
    </row>
    <row r="38" spans="1:6" x14ac:dyDescent="0.25">
      <c r="A38">
        <v>11</v>
      </c>
      <c r="B38">
        <v>3</v>
      </c>
      <c r="C38">
        <v>10</v>
      </c>
      <c r="D38" t="s">
        <v>925</v>
      </c>
      <c r="E38">
        <f>INDEX(Scores!$B$2:$T$11,$B38,$A38)</f>
        <v>112.91000000000001</v>
      </c>
      <c r="F38">
        <f>INDEX(Scores!$B$13:$T$22,$B38,$A38)</f>
        <v>449.12279999999998</v>
      </c>
    </row>
    <row r="39" spans="1:6" x14ac:dyDescent="0.25">
      <c r="A39">
        <v>12</v>
      </c>
      <c r="B39">
        <v>3</v>
      </c>
      <c r="C39">
        <v>5</v>
      </c>
      <c r="D39" t="s">
        <v>926</v>
      </c>
      <c r="E39">
        <f>INDEX(Scores!$B$2:$T$11,$B39,$A39)</f>
        <v>111.5</v>
      </c>
      <c r="F39">
        <f>INDEX(Scores!$B$13:$T$22,$B39,$A39)</f>
        <v>420.84329999999994</v>
      </c>
    </row>
    <row r="40" spans="1:6" x14ac:dyDescent="0.25">
      <c r="A40">
        <v>13</v>
      </c>
      <c r="B40">
        <v>3</v>
      </c>
      <c r="C40">
        <v>9</v>
      </c>
      <c r="D40" t="s">
        <v>927</v>
      </c>
      <c r="E40">
        <f>INDEX(Scores!$B$2:$T$11,$B40,$A40)</f>
        <v>113.49</v>
      </c>
      <c r="F40">
        <f>INDEX(Scores!$B$13:$T$22,$B40,$A40)</f>
        <v>406.09120000000001</v>
      </c>
    </row>
    <row r="41" spans="1:6" x14ac:dyDescent="0.25">
      <c r="A41">
        <v>1</v>
      </c>
      <c r="B41">
        <v>4</v>
      </c>
      <c r="C41">
        <v>7</v>
      </c>
      <c r="D41" t="s">
        <v>503</v>
      </c>
      <c r="E41">
        <f>INDEX(Scores!$B$2:$T$11,$B41,$A41)</f>
        <v>97.7</v>
      </c>
      <c r="F41">
        <f>INDEX(Scores!$B$13:$T$22,$B41,$A41)</f>
        <v>0</v>
      </c>
    </row>
    <row r="42" spans="1:6" x14ac:dyDescent="0.25">
      <c r="A42">
        <v>2</v>
      </c>
      <c r="B42">
        <v>4</v>
      </c>
      <c r="C42">
        <v>1</v>
      </c>
      <c r="D42" t="s">
        <v>633</v>
      </c>
      <c r="E42">
        <f>INDEX(Scores!$B$2:$T$11,$B42,$A42)</f>
        <v>117.79999999999998</v>
      </c>
      <c r="F42">
        <f>INDEX(Scores!$B$13:$T$22,$B42,$A42)</f>
        <v>0</v>
      </c>
    </row>
    <row r="43" spans="1:6" x14ac:dyDescent="0.25">
      <c r="A43">
        <v>3</v>
      </c>
      <c r="B43">
        <v>4</v>
      </c>
      <c r="C43">
        <v>6</v>
      </c>
      <c r="D43" t="s">
        <v>811</v>
      </c>
      <c r="E43">
        <f>INDEX(Scores!$B$2:$T$11,$B43,$A43)</f>
        <v>100.10000000000001</v>
      </c>
      <c r="F43">
        <f>INDEX(Scores!$B$13:$T$22,$B43,$A43)</f>
        <v>0</v>
      </c>
    </row>
    <row r="44" spans="1:6" x14ac:dyDescent="0.25">
      <c r="A44">
        <v>4</v>
      </c>
      <c r="B44">
        <v>4</v>
      </c>
      <c r="C44">
        <v>8</v>
      </c>
      <c r="D44" t="s">
        <v>863</v>
      </c>
      <c r="E44">
        <f>INDEX(Scores!$B$2:$T$11,$B44,$A44)</f>
        <v>119.9</v>
      </c>
      <c r="F44">
        <f>INDEX(Scores!$B$13:$T$22,$B44,$A44)</f>
        <v>0</v>
      </c>
    </row>
    <row r="45" spans="1:6" x14ac:dyDescent="0.25">
      <c r="A45">
        <v>5</v>
      </c>
      <c r="B45">
        <v>4</v>
      </c>
      <c r="C45">
        <v>2</v>
      </c>
      <c r="D45" t="s">
        <v>885</v>
      </c>
      <c r="E45">
        <f>INDEX(Scores!$B$2:$T$11,$B45,$A45)</f>
        <v>129.46</v>
      </c>
      <c r="F45">
        <f>INDEX(Scores!$B$13:$T$22,$B45,$A45)</f>
        <v>371.72199999999998</v>
      </c>
    </row>
    <row r="46" spans="1:6" x14ac:dyDescent="0.25">
      <c r="A46">
        <v>6</v>
      </c>
      <c r="B46">
        <v>4</v>
      </c>
      <c r="C46">
        <v>5</v>
      </c>
      <c r="D46" t="s">
        <v>928</v>
      </c>
      <c r="E46">
        <f>INDEX(Scores!$B$2:$T$11,$B46,$A46)</f>
        <v>106.66000000000003</v>
      </c>
      <c r="F46">
        <f>INDEX(Scores!$B$13:$T$22,$B46,$A46)</f>
        <v>399.24950000000001</v>
      </c>
    </row>
    <row r="47" spans="1:6" x14ac:dyDescent="0.25">
      <c r="A47">
        <v>7</v>
      </c>
      <c r="B47">
        <v>4</v>
      </c>
      <c r="C47">
        <v>3</v>
      </c>
      <c r="D47" t="s">
        <v>929</v>
      </c>
      <c r="E47">
        <f>INDEX(Scores!$B$2:$T$11,$B47,$A47)</f>
        <v>102.97000000000001</v>
      </c>
      <c r="F47">
        <f>INDEX(Scores!$B$13:$T$22,$B47,$A47)</f>
        <v>367.17090000000002</v>
      </c>
    </row>
    <row r="48" spans="1:6" x14ac:dyDescent="0.25">
      <c r="A48">
        <v>8</v>
      </c>
      <c r="B48">
        <v>4</v>
      </c>
      <c r="C48">
        <v>10</v>
      </c>
      <c r="D48" t="s">
        <v>930</v>
      </c>
      <c r="E48">
        <f>INDEX(Scores!$B$2:$T$11,$B48,$A48)</f>
        <v>100.92000000000003</v>
      </c>
      <c r="F48">
        <f>INDEX(Scores!$B$13:$T$22,$B48,$A48)</f>
        <v>366.57740000000001</v>
      </c>
    </row>
    <row r="49" spans="1:6" x14ac:dyDescent="0.25">
      <c r="A49">
        <v>9</v>
      </c>
      <c r="B49">
        <v>4</v>
      </c>
      <c r="C49">
        <v>2</v>
      </c>
      <c r="D49" t="s">
        <v>931</v>
      </c>
      <c r="E49">
        <f>INDEX(Scores!$B$2:$T$11,$B49,$A49)</f>
        <v>109.09</v>
      </c>
      <c r="F49">
        <f>INDEX(Scores!$B$13:$T$22,$B49,$A49)</f>
        <v>394.76170000000002</v>
      </c>
    </row>
    <row r="50" spans="1:6" x14ac:dyDescent="0.25">
      <c r="A50">
        <v>10</v>
      </c>
      <c r="B50">
        <v>4</v>
      </c>
      <c r="C50">
        <v>7</v>
      </c>
      <c r="D50" t="s">
        <v>932</v>
      </c>
      <c r="E50">
        <f>INDEX(Scores!$B$2:$T$11,$B50,$A50)</f>
        <v>100.16999999999999</v>
      </c>
      <c r="F50">
        <f>INDEX(Scores!$B$13:$T$22,$B50,$A50)</f>
        <v>396.55950000000001</v>
      </c>
    </row>
    <row r="51" spans="1:6" x14ac:dyDescent="0.25">
      <c r="A51">
        <v>11</v>
      </c>
      <c r="B51">
        <v>4</v>
      </c>
      <c r="C51">
        <v>1</v>
      </c>
      <c r="D51" t="s">
        <v>933</v>
      </c>
      <c r="E51">
        <f>INDEX(Scores!$B$2:$T$11,$B51,$A51)</f>
        <v>104.67999999999999</v>
      </c>
      <c r="F51">
        <f>INDEX(Scores!$B$13:$T$22,$B51,$A51)</f>
        <v>392.63210000000004</v>
      </c>
    </row>
    <row r="52" spans="1:6" x14ac:dyDescent="0.25">
      <c r="A52">
        <v>12</v>
      </c>
      <c r="B52">
        <v>4</v>
      </c>
      <c r="C52">
        <v>9</v>
      </c>
      <c r="D52" t="s">
        <v>934</v>
      </c>
      <c r="E52">
        <f>INDEX(Scores!$B$2:$T$11,$B52,$A52)</f>
        <v>106.62</v>
      </c>
      <c r="F52">
        <f>INDEX(Scores!$B$13:$T$22,$B52,$A52)</f>
        <v>362.18360000000007</v>
      </c>
    </row>
    <row r="53" spans="1:6" x14ac:dyDescent="0.25">
      <c r="A53">
        <v>13</v>
      </c>
      <c r="B53">
        <v>4</v>
      </c>
      <c r="C53">
        <v>8</v>
      </c>
      <c r="D53" t="s">
        <v>935</v>
      </c>
      <c r="E53">
        <f>INDEX(Scores!$B$2:$T$11,$B53,$A53)</f>
        <v>109.39</v>
      </c>
      <c r="F53">
        <f>INDEX(Scores!$B$13:$T$22,$B53,$A53)</f>
        <v>424.23540000000003</v>
      </c>
    </row>
    <row r="54" spans="1:6" x14ac:dyDescent="0.25">
      <c r="A54">
        <v>1</v>
      </c>
      <c r="B54">
        <v>5</v>
      </c>
      <c r="C54">
        <v>10</v>
      </c>
      <c r="D54" t="s">
        <v>506</v>
      </c>
      <c r="E54">
        <f>INDEX(Scores!$B$2:$T$11,$B54,$A54)</f>
        <v>107.10000000000001</v>
      </c>
      <c r="F54">
        <f>INDEX(Scores!$B$13:$T$22,$B54,$A54)</f>
        <v>0</v>
      </c>
    </row>
    <row r="55" spans="1:6" x14ac:dyDescent="0.25">
      <c r="A55">
        <v>2</v>
      </c>
      <c r="B55">
        <v>5</v>
      </c>
      <c r="C55">
        <v>2</v>
      </c>
      <c r="D55" t="s">
        <v>623</v>
      </c>
      <c r="E55">
        <f>INDEX(Scores!$B$2:$T$11,$B55,$A55)</f>
        <v>80</v>
      </c>
      <c r="F55">
        <f>INDEX(Scores!$B$13:$T$22,$B55,$A55)</f>
        <v>0</v>
      </c>
    </row>
    <row r="56" spans="1:6" x14ac:dyDescent="0.25">
      <c r="A56">
        <v>3</v>
      </c>
      <c r="B56">
        <v>5</v>
      </c>
      <c r="C56">
        <v>9</v>
      </c>
      <c r="D56" t="s">
        <v>805</v>
      </c>
      <c r="E56">
        <f>INDEX(Scores!$B$2:$T$11,$B56,$A56)</f>
        <v>92.5</v>
      </c>
      <c r="F56">
        <f>INDEX(Scores!$B$13:$T$22,$B56,$A56)</f>
        <v>0</v>
      </c>
    </row>
    <row r="57" spans="1:6" x14ac:dyDescent="0.25">
      <c r="A57">
        <v>4</v>
      </c>
      <c r="B57">
        <v>5</v>
      </c>
      <c r="C57">
        <v>3</v>
      </c>
      <c r="D57" t="s">
        <v>860</v>
      </c>
      <c r="E57">
        <f>INDEX(Scores!$B$2:$T$11,$B57,$A57)</f>
        <v>113.39999999999999</v>
      </c>
      <c r="F57">
        <f>INDEX(Scores!$B$13:$T$22,$B57,$A57)</f>
        <v>0</v>
      </c>
    </row>
    <row r="58" spans="1:6" x14ac:dyDescent="0.25">
      <c r="A58">
        <v>5</v>
      </c>
      <c r="B58">
        <v>5</v>
      </c>
      <c r="C58">
        <v>6</v>
      </c>
      <c r="D58" t="s">
        <v>887</v>
      </c>
      <c r="E58">
        <f>INDEX(Scores!$B$2:$T$11,$B58,$A58)</f>
        <v>103.71</v>
      </c>
      <c r="F58">
        <f>INDEX(Scores!$B$13:$T$22,$B58,$A58)</f>
        <v>393.9452</v>
      </c>
    </row>
    <row r="59" spans="1:6" x14ac:dyDescent="0.25">
      <c r="A59">
        <v>6</v>
      </c>
      <c r="B59">
        <v>5</v>
      </c>
      <c r="C59">
        <v>4</v>
      </c>
      <c r="D59" t="s">
        <v>936</v>
      </c>
      <c r="E59">
        <f>INDEX(Scores!$B$2:$T$11,$B59,$A59)</f>
        <v>111.06</v>
      </c>
      <c r="F59">
        <f>INDEX(Scores!$B$13:$T$22,$B59,$A59)</f>
        <v>433.51170000000008</v>
      </c>
    </row>
    <row r="60" spans="1:6" x14ac:dyDescent="0.25">
      <c r="A60">
        <v>7</v>
      </c>
      <c r="B60">
        <v>5</v>
      </c>
      <c r="C60">
        <v>7</v>
      </c>
      <c r="D60" t="s">
        <v>937</v>
      </c>
      <c r="E60">
        <f>INDEX(Scores!$B$2:$T$11,$B60,$A60)</f>
        <v>97.619999999999976</v>
      </c>
      <c r="F60">
        <f>INDEX(Scores!$B$13:$T$22,$B60,$A60)</f>
        <v>342.00120000000004</v>
      </c>
    </row>
    <row r="61" spans="1:6" x14ac:dyDescent="0.25">
      <c r="A61">
        <v>8</v>
      </c>
      <c r="B61">
        <v>5</v>
      </c>
      <c r="C61">
        <v>8</v>
      </c>
      <c r="D61" t="s">
        <v>938</v>
      </c>
      <c r="E61">
        <f>INDEX(Scores!$B$2:$T$11,$B61,$A61)</f>
        <v>108.68</v>
      </c>
      <c r="F61">
        <f>INDEX(Scores!$B$13:$T$22,$B61,$A61)</f>
        <v>391.93540000000002</v>
      </c>
    </row>
    <row r="62" spans="1:6" x14ac:dyDescent="0.25">
      <c r="A62">
        <v>9</v>
      </c>
      <c r="B62">
        <v>5</v>
      </c>
      <c r="C62">
        <v>10</v>
      </c>
      <c r="D62" t="s">
        <v>939</v>
      </c>
      <c r="E62">
        <f>INDEX(Scores!$B$2:$T$11,$B62,$A62)</f>
        <v>103.55999999999999</v>
      </c>
      <c r="F62">
        <f>INDEX(Scores!$B$13:$T$22,$B62,$A62)</f>
        <v>398.51049999999998</v>
      </c>
    </row>
    <row r="63" spans="1:6" x14ac:dyDescent="0.25">
      <c r="A63">
        <v>10</v>
      </c>
      <c r="B63">
        <v>5</v>
      </c>
      <c r="C63">
        <v>1</v>
      </c>
      <c r="D63" t="s">
        <v>940</v>
      </c>
      <c r="E63">
        <f>INDEX(Scores!$B$2:$T$11,$B63,$A63)</f>
        <v>97.109999999999985</v>
      </c>
      <c r="F63">
        <f>INDEX(Scores!$B$13:$T$22,$B63,$A63)</f>
        <v>343.40369999999996</v>
      </c>
    </row>
    <row r="64" spans="1:6" x14ac:dyDescent="0.25">
      <c r="A64">
        <v>11</v>
      </c>
      <c r="B64">
        <v>5</v>
      </c>
      <c r="C64">
        <v>9</v>
      </c>
      <c r="D64" t="s">
        <v>941</v>
      </c>
      <c r="E64">
        <f>INDEX(Scores!$B$2:$T$11,$B64,$A64)</f>
        <v>104.53999999999999</v>
      </c>
      <c r="F64">
        <f>INDEX(Scores!$B$13:$T$22,$B64,$A64)</f>
        <v>409.76599999999996</v>
      </c>
    </row>
    <row r="65" spans="1:6" x14ac:dyDescent="0.25">
      <c r="A65">
        <v>12</v>
      </c>
      <c r="B65">
        <v>5</v>
      </c>
      <c r="C65">
        <v>3</v>
      </c>
      <c r="D65" t="s">
        <v>942</v>
      </c>
      <c r="E65">
        <f>INDEX(Scores!$B$2:$T$11,$B65,$A65)</f>
        <v>109.74000000000001</v>
      </c>
      <c r="F65">
        <f>INDEX(Scores!$B$13:$T$22,$B65,$A65)</f>
        <v>426.73990000000009</v>
      </c>
    </row>
    <row r="66" spans="1:6" x14ac:dyDescent="0.25">
      <c r="A66">
        <v>13</v>
      </c>
      <c r="B66">
        <v>5</v>
      </c>
      <c r="C66">
        <v>6</v>
      </c>
      <c r="D66" t="s">
        <v>943</v>
      </c>
      <c r="E66">
        <f>INDEX(Scores!$B$2:$T$11,$B66,$A66)</f>
        <v>101.06</v>
      </c>
      <c r="F66">
        <f>INDEX(Scores!$B$13:$T$22,$B66,$A66)</f>
        <v>408.0872</v>
      </c>
    </row>
    <row r="67" spans="1:6" x14ac:dyDescent="0.25">
      <c r="A67">
        <v>1</v>
      </c>
      <c r="B67">
        <v>6</v>
      </c>
      <c r="C67">
        <v>9</v>
      </c>
      <c r="D67" t="s">
        <v>501</v>
      </c>
      <c r="E67">
        <f>INDEX(Scores!$B$2:$T$11,$B67,$A67)</f>
        <v>106.2</v>
      </c>
      <c r="F67">
        <f>INDEX(Scores!$B$13:$T$22,$B67,$A67)</f>
        <v>0</v>
      </c>
    </row>
    <row r="68" spans="1:6" x14ac:dyDescent="0.25">
      <c r="A68">
        <v>2</v>
      </c>
      <c r="B68">
        <v>6</v>
      </c>
      <c r="C68">
        <v>3</v>
      </c>
      <c r="D68" t="s">
        <v>638</v>
      </c>
      <c r="E68">
        <f>INDEX(Scores!$B$2:$T$11,$B68,$A68)</f>
        <v>109.6</v>
      </c>
      <c r="F68">
        <f>INDEX(Scores!$B$13:$T$22,$B68,$A68)</f>
        <v>0</v>
      </c>
    </row>
    <row r="69" spans="1:6" x14ac:dyDescent="0.25">
      <c r="A69">
        <v>3</v>
      </c>
      <c r="B69">
        <v>6</v>
      </c>
      <c r="C69">
        <v>4</v>
      </c>
      <c r="D69" t="s">
        <v>810</v>
      </c>
      <c r="E69">
        <f>INDEX(Scores!$B$2:$T$11,$B69,$A69)</f>
        <v>104.6</v>
      </c>
      <c r="F69">
        <f>INDEX(Scores!$B$13:$T$22,$B69,$A69)</f>
        <v>0</v>
      </c>
    </row>
    <row r="70" spans="1:6" x14ac:dyDescent="0.25">
      <c r="A70">
        <v>4</v>
      </c>
      <c r="B70">
        <v>6</v>
      </c>
      <c r="C70">
        <v>10</v>
      </c>
      <c r="D70" t="s">
        <v>865</v>
      </c>
      <c r="E70">
        <f>INDEX(Scores!$B$2:$T$11,$B70,$A70)</f>
        <v>106</v>
      </c>
      <c r="F70">
        <f>INDEX(Scores!$B$13:$T$22,$B70,$A70)</f>
        <v>0</v>
      </c>
    </row>
    <row r="71" spans="1:6" x14ac:dyDescent="0.25">
      <c r="A71">
        <v>5</v>
      </c>
      <c r="B71">
        <v>6</v>
      </c>
      <c r="C71">
        <v>5</v>
      </c>
      <c r="D71" t="s">
        <v>886</v>
      </c>
      <c r="E71">
        <f>INDEX(Scores!$B$2:$T$11,$B71,$A71)</f>
        <v>112.39000000000001</v>
      </c>
      <c r="F71">
        <f>INDEX(Scores!$B$13:$T$22,$B71,$A71)</f>
        <v>391.17150000000004</v>
      </c>
    </row>
    <row r="72" spans="1:6" x14ac:dyDescent="0.25">
      <c r="A72">
        <v>6</v>
      </c>
      <c r="B72">
        <v>6</v>
      </c>
      <c r="C72">
        <v>7</v>
      </c>
      <c r="D72" t="s">
        <v>944</v>
      </c>
      <c r="E72">
        <f>INDEX(Scores!$B$2:$T$11,$B72,$A72)</f>
        <v>110.40000000000002</v>
      </c>
      <c r="F72">
        <f>INDEX(Scores!$B$13:$T$22,$B72,$A72)</f>
        <v>457.45920000000001</v>
      </c>
    </row>
    <row r="73" spans="1:6" x14ac:dyDescent="0.25">
      <c r="A73">
        <v>7</v>
      </c>
      <c r="B73">
        <v>6</v>
      </c>
      <c r="C73">
        <v>8</v>
      </c>
      <c r="D73" t="s">
        <v>945</v>
      </c>
      <c r="E73">
        <f>INDEX(Scores!$B$2:$T$11,$B73,$A73)</f>
        <v>113.77000000000001</v>
      </c>
      <c r="F73">
        <f>INDEX(Scores!$B$13:$T$22,$B73,$A73)</f>
        <v>465.69209999999998</v>
      </c>
    </row>
    <row r="74" spans="1:6" x14ac:dyDescent="0.25">
      <c r="A74">
        <v>8</v>
      </c>
      <c r="B74">
        <v>6</v>
      </c>
      <c r="C74">
        <v>1</v>
      </c>
      <c r="D74" t="s">
        <v>946</v>
      </c>
      <c r="E74">
        <f>INDEX(Scores!$B$2:$T$11,$B74,$A74)</f>
        <v>106.75000000000001</v>
      </c>
      <c r="F74">
        <f>INDEX(Scores!$B$13:$T$22,$B74,$A74)</f>
        <v>468.12379999999996</v>
      </c>
    </row>
    <row r="75" spans="1:6" x14ac:dyDescent="0.25">
      <c r="A75">
        <v>9</v>
      </c>
      <c r="B75">
        <v>6</v>
      </c>
      <c r="C75">
        <v>9</v>
      </c>
      <c r="D75" t="s">
        <v>947</v>
      </c>
      <c r="E75">
        <f>INDEX(Scores!$B$2:$T$11,$B75,$A75)</f>
        <v>114.72000000000001</v>
      </c>
      <c r="F75">
        <f>INDEX(Scores!$B$13:$T$22,$B75,$A75)</f>
        <v>477.20149999999995</v>
      </c>
    </row>
    <row r="76" spans="1:6" x14ac:dyDescent="0.25">
      <c r="A76">
        <v>10</v>
      </c>
      <c r="B76">
        <v>6</v>
      </c>
      <c r="C76">
        <v>3</v>
      </c>
      <c r="D76" t="s">
        <v>948</v>
      </c>
      <c r="E76">
        <f>INDEX(Scores!$B$2:$T$11,$B76,$A76)</f>
        <v>122.25000000000001</v>
      </c>
      <c r="F76">
        <f>INDEX(Scores!$B$13:$T$22,$B76,$A76)</f>
        <v>446.33889999999997</v>
      </c>
    </row>
    <row r="77" spans="1:6" x14ac:dyDescent="0.25">
      <c r="A77">
        <v>11</v>
      </c>
      <c r="B77">
        <v>6</v>
      </c>
      <c r="C77">
        <v>2</v>
      </c>
      <c r="D77" t="s">
        <v>949</v>
      </c>
      <c r="E77">
        <f>INDEX(Scores!$B$2:$T$11,$B77,$A77)</f>
        <v>115.75</v>
      </c>
      <c r="F77">
        <f>INDEX(Scores!$B$13:$T$22,$B77,$A77)</f>
        <v>466.6443000000001</v>
      </c>
    </row>
    <row r="78" spans="1:6" x14ac:dyDescent="0.25">
      <c r="A78">
        <v>12</v>
      </c>
      <c r="B78">
        <v>6</v>
      </c>
      <c r="C78">
        <v>10</v>
      </c>
      <c r="D78" t="s">
        <v>950</v>
      </c>
      <c r="E78">
        <f>INDEX(Scores!$B$2:$T$11,$B78,$A78)</f>
        <v>106.38</v>
      </c>
      <c r="F78">
        <f>INDEX(Scores!$B$13:$T$22,$B78,$A78)</f>
        <v>427.05540000000008</v>
      </c>
    </row>
    <row r="79" spans="1:6" x14ac:dyDescent="0.25">
      <c r="A79">
        <v>13</v>
      </c>
      <c r="B79">
        <v>6</v>
      </c>
      <c r="C79">
        <v>5</v>
      </c>
      <c r="D79" t="s">
        <v>951</v>
      </c>
      <c r="E79">
        <f>INDEX(Scores!$B$2:$T$11,$B79,$A79)</f>
        <v>120.11000000000001</v>
      </c>
      <c r="F79">
        <f>INDEX(Scores!$B$13:$T$22,$B79,$A79)</f>
        <v>495.99799999999993</v>
      </c>
    </row>
    <row r="80" spans="1:6" x14ac:dyDescent="0.25">
      <c r="A80">
        <v>1</v>
      </c>
      <c r="B80">
        <v>7</v>
      </c>
      <c r="C80">
        <v>4</v>
      </c>
      <c r="D80" t="s">
        <v>499</v>
      </c>
      <c r="E80">
        <f>INDEX(Scores!$B$2:$T$11,$B80,$A80)</f>
        <v>111.4</v>
      </c>
      <c r="F80">
        <f>INDEX(Scores!$B$13:$T$22,$B80,$A80)</f>
        <v>0</v>
      </c>
    </row>
    <row r="81" spans="1:6" x14ac:dyDescent="0.25">
      <c r="A81">
        <v>2</v>
      </c>
      <c r="B81">
        <v>7</v>
      </c>
      <c r="C81">
        <v>8</v>
      </c>
      <c r="D81" t="s">
        <v>620</v>
      </c>
      <c r="E81">
        <f>INDEX(Scores!$B$2:$T$11,$B81,$A81)</f>
        <v>105.1</v>
      </c>
      <c r="F81">
        <f>INDEX(Scores!$B$13:$T$22,$B81,$A81)</f>
        <v>0</v>
      </c>
    </row>
    <row r="82" spans="1:6" x14ac:dyDescent="0.25">
      <c r="A82">
        <v>3</v>
      </c>
      <c r="B82">
        <v>7</v>
      </c>
      <c r="C82">
        <v>2</v>
      </c>
      <c r="D82" t="s">
        <v>804</v>
      </c>
      <c r="E82">
        <f>INDEX(Scores!$B$2:$T$11,$B82,$A82)</f>
        <v>74.5</v>
      </c>
      <c r="F82">
        <f>INDEX(Scores!$B$13:$T$22,$B82,$A82)</f>
        <v>0</v>
      </c>
    </row>
    <row r="83" spans="1:6" x14ac:dyDescent="0.25">
      <c r="A83">
        <v>4</v>
      </c>
      <c r="B83">
        <v>7</v>
      </c>
      <c r="C83">
        <v>9</v>
      </c>
      <c r="D83" t="s">
        <v>859</v>
      </c>
      <c r="E83">
        <f>INDEX(Scores!$B$2:$T$11,$B83,$A83)</f>
        <v>122.10000000000001</v>
      </c>
      <c r="F83">
        <f>INDEX(Scores!$B$13:$T$22,$B83,$A83)</f>
        <v>0</v>
      </c>
    </row>
    <row r="84" spans="1:6" x14ac:dyDescent="0.25">
      <c r="A84">
        <v>5</v>
      </c>
      <c r="B84">
        <v>7</v>
      </c>
      <c r="C84">
        <v>1</v>
      </c>
      <c r="D84" t="s">
        <v>884</v>
      </c>
      <c r="E84">
        <f>INDEX(Scores!$B$2:$T$11,$B84,$A84)</f>
        <v>107.14</v>
      </c>
      <c r="F84">
        <f>INDEX(Scores!$B$13:$T$22,$B84,$A84)</f>
        <v>235.17039999999997</v>
      </c>
    </row>
    <row r="85" spans="1:6" x14ac:dyDescent="0.25">
      <c r="A85">
        <v>6</v>
      </c>
      <c r="B85">
        <v>7</v>
      </c>
      <c r="C85">
        <v>6</v>
      </c>
      <c r="D85" t="s">
        <v>952</v>
      </c>
      <c r="E85">
        <f>INDEX(Scores!$B$2:$T$11,$B85,$A85)</f>
        <v>106.97999999999999</v>
      </c>
      <c r="F85">
        <f>INDEX(Scores!$B$13:$T$22,$B85,$A85)</f>
        <v>333.69279999999998</v>
      </c>
    </row>
    <row r="86" spans="1:6" x14ac:dyDescent="0.25">
      <c r="A86">
        <v>7</v>
      </c>
      <c r="B86">
        <v>7</v>
      </c>
      <c r="C86">
        <v>5</v>
      </c>
      <c r="D86" t="s">
        <v>953</v>
      </c>
      <c r="E86">
        <f>INDEX(Scores!$B$2:$T$11,$B86,$A86)</f>
        <v>102.42999999999999</v>
      </c>
      <c r="F86">
        <f>INDEX(Scores!$B$13:$T$22,$B86,$A86)</f>
        <v>394.70159999999998</v>
      </c>
    </row>
    <row r="87" spans="1:6" x14ac:dyDescent="0.25">
      <c r="A87">
        <v>8</v>
      </c>
      <c r="B87">
        <v>7</v>
      </c>
      <c r="C87">
        <v>3</v>
      </c>
      <c r="D87" t="s">
        <v>954</v>
      </c>
      <c r="E87">
        <f>INDEX(Scores!$B$2:$T$11,$B87,$A87)</f>
        <v>103.21000000000001</v>
      </c>
      <c r="F87">
        <f>INDEX(Scores!$B$13:$T$22,$B87,$A87)</f>
        <v>405.06490000000008</v>
      </c>
    </row>
    <row r="88" spans="1:6" x14ac:dyDescent="0.25">
      <c r="A88">
        <v>9</v>
      </c>
      <c r="B88">
        <v>7</v>
      </c>
      <c r="C88">
        <v>1</v>
      </c>
      <c r="D88" t="s">
        <v>955</v>
      </c>
      <c r="E88">
        <f>INDEX(Scores!$B$2:$T$11,$B88,$A88)</f>
        <v>102.27000000000001</v>
      </c>
      <c r="F88">
        <f>INDEX(Scores!$B$13:$T$22,$B88,$A88)</f>
        <v>335.95609999999999</v>
      </c>
    </row>
    <row r="89" spans="1:6" x14ac:dyDescent="0.25">
      <c r="A89">
        <v>10</v>
      </c>
      <c r="B89">
        <v>7</v>
      </c>
      <c r="C89">
        <v>4</v>
      </c>
      <c r="D89" t="s">
        <v>956</v>
      </c>
      <c r="E89">
        <f>INDEX(Scores!$B$2:$T$11,$B89,$A89)</f>
        <v>101.61</v>
      </c>
      <c r="F89">
        <f>INDEX(Scores!$B$13:$T$22,$B89,$A89)</f>
        <v>357.47739999999999</v>
      </c>
    </row>
    <row r="90" spans="1:6" x14ac:dyDescent="0.25">
      <c r="A90">
        <v>11</v>
      </c>
      <c r="B90">
        <v>7</v>
      </c>
      <c r="C90">
        <v>8</v>
      </c>
      <c r="D90" t="s">
        <v>957</v>
      </c>
      <c r="E90">
        <f>INDEX(Scores!$B$2:$T$11,$B90,$A90)</f>
        <v>96.07</v>
      </c>
      <c r="F90">
        <f>INDEX(Scores!$B$13:$T$22,$B90,$A90)</f>
        <v>381.34530000000001</v>
      </c>
    </row>
    <row r="91" spans="1:6" x14ac:dyDescent="0.25">
      <c r="A91">
        <v>12</v>
      </c>
      <c r="B91">
        <v>7</v>
      </c>
      <c r="C91">
        <v>2</v>
      </c>
      <c r="D91" t="s">
        <v>958</v>
      </c>
      <c r="E91">
        <f>INDEX(Scores!$B$2:$T$11,$B91,$A91)</f>
        <v>97.27000000000001</v>
      </c>
      <c r="F91">
        <f>INDEX(Scores!$B$13:$T$22,$B91,$A91)</f>
        <v>338.76970000000006</v>
      </c>
    </row>
    <row r="92" spans="1:6" x14ac:dyDescent="0.25">
      <c r="A92">
        <v>13</v>
      </c>
      <c r="B92">
        <v>7</v>
      </c>
      <c r="C92">
        <v>10</v>
      </c>
      <c r="D92" t="s">
        <v>959</v>
      </c>
      <c r="E92">
        <f>INDEX(Scores!$B$2:$T$11,$B92,$A92)</f>
        <v>98.63000000000001</v>
      </c>
      <c r="F92">
        <f>INDEX(Scores!$B$13:$T$22,$B92,$A92)</f>
        <v>342.54860000000002</v>
      </c>
    </row>
    <row r="93" spans="1:6" x14ac:dyDescent="0.25">
      <c r="A93">
        <v>1</v>
      </c>
      <c r="B93">
        <v>8</v>
      </c>
      <c r="C93">
        <v>2</v>
      </c>
      <c r="D93" t="s">
        <v>508</v>
      </c>
      <c r="E93">
        <f>INDEX(Scores!$B$2:$T$11,$B93,$A93)</f>
        <v>52.800000000000011</v>
      </c>
      <c r="F93">
        <f>INDEX(Scores!$B$13:$T$22,$B93,$A93)</f>
        <v>0</v>
      </c>
    </row>
    <row r="94" spans="1:6" x14ac:dyDescent="0.25">
      <c r="A94">
        <v>2</v>
      </c>
      <c r="B94">
        <v>8</v>
      </c>
      <c r="C94">
        <v>7</v>
      </c>
      <c r="D94" t="s">
        <v>616</v>
      </c>
      <c r="E94">
        <f>INDEX(Scores!$B$2:$T$11,$B94,$A94)</f>
        <v>90.300000000000011</v>
      </c>
      <c r="F94">
        <f>INDEX(Scores!$B$13:$T$22,$B94,$A94)</f>
        <v>0</v>
      </c>
    </row>
    <row r="95" spans="1:6" x14ac:dyDescent="0.25">
      <c r="A95">
        <v>3</v>
      </c>
      <c r="B95">
        <v>8</v>
      </c>
      <c r="C95">
        <v>1</v>
      </c>
      <c r="D95" t="s">
        <v>809</v>
      </c>
      <c r="E95">
        <f>INDEX(Scores!$B$2:$T$11,$B95,$A95)</f>
        <v>85.3</v>
      </c>
      <c r="F95">
        <f>INDEX(Scores!$B$13:$T$22,$B95,$A95)</f>
        <v>0</v>
      </c>
    </row>
    <row r="96" spans="1:6" x14ac:dyDescent="0.25">
      <c r="A96">
        <v>4</v>
      </c>
      <c r="B96">
        <v>8</v>
      </c>
      <c r="C96">
        <v>4</v>
      </c>
      <c r="D96" t="s">
        <v>862</v>
      </c>
      <c r="E96">
        <f>INDEX(Scores!$B$2:$T$11,$B96,$A96)</f>
        <v>136.89999999999998</v>
      </c>
      <c r="F96">
        <f>INDEX(Scores!$B$13:$T$22,$B96,$A96)</f>
        <v>0</v>
      </c>
    </row>
    <row r="97" spans="1:6" x14ac:dyDescent="0.25">
      <c r="A97">
        <v>5</v>
      </c>
      <c r="B97">
        <v>8</v>
      </c>
      <c r="C97">
        <v>10</v>
      </c>
      <c r="D97" t="s">
        <v>889</v>
      </c>
      <c r="E97">
        <f>INDEX(Scores!$B$2:$T$11,$B97,$A97)</f>
        <v>106.69</v>
      </c>
      <c r="F97">
        <f>INDEX(Scores!$B$13:$T$22,$B97,$A97)</f>
        <v>478.47889999999995</v>
      </c>
    </row>
    <row r="98" spans="1:6" x14ac:dyDescent="0.25">
      <c r="A98">
        <v>6</v>
      </c>
      <c r="B98">
        <v>8</v>
      </c>
      <c r="C98">
        <v>9</v>
      </c>
      <c r="D98" t="s">
        <v>960</v>
      </c>
      <c r="E98">
        <f>INDEX(Scores!$B$2:$T$11,$B98,$A98)</f>
        <v>110.11</v>
      </c>
      <c r="F98">
        <f>INDEX(Scores!$B$13:$T$22,$B98,$A98)</f>
        <v>432.52990000000005</v>
      </c>
    </row>
    <row r="99" spans="1:6" x14ac:dyDescent="0.25">
      <c r="A99">
        <v>7</v>
      </c>
      <c r="B99">
        <v>8</v>
      </c>
      <c r="C99">
        <v>6</v>
      </c>
      <c r="D99" t="s">
        <v>961</v>
      </c>
      <c r="E99">
        <f>INDEX(Scores!$B$2:$T$11,$B99,$A99)</f>
        <v>102.38999999999999</v>
      </c>
      <c r="F99">
        <f>INDEX(Scores!$B$13:$T$22,$B99,$A99)</f>
        <v>405.05730000000005</v>
      </c>
    </row>
    <row r="100" spans="1:6" x14ac:dyDescent="0.25">
      <c r="A100">
        <v>8</v>
      </c>
      <c r="B100">
        <v>8</v>
      </c>
      <c r="C100">
        <v>5</v>
      </c>
      <c r="D100" t="s">
        <v>962</v>
      </c>
      <c r="E100">
        <f>INDEX(Scores!$B$2:$T$11,$B100,$A100)</f>
        <v>88.039999999999992</v>
      </c>
      <c r="F100">
        <f>INDEX(Scores!$B$13:$T$22,$B100,$A100)</f>
        <v>382.75790000000001</v>
      </c>
    </row>
    <row r="101" spans="1:6" x14ac:dyDescent="0.25">
      <c r="A101">
        <v>9</v>
      </c>
      <c r="B101">
        <v>8</v>
      </c>
      <c r="C101">
        <v>3</v>
      </c>
      <c r="D101" t="s">
        <v>963</v>
      </c>
      <c r="E101">
        <f>INDEX(Scores!$B$2:$T$11,$B101,$A101)</f>
        <v>107.93</v>
      </c>
      <c r="F101">
        <f>INDEX(Scores!$B$13:$T$22,$B101,$A101)</f>
        <v>467.57480000000004</v>
      </c>
    </row>
    <row r="102" spans="1:6" x14ac:dyDescent="0.25">
      <c r="A102">
        <v>10</v>
      </c>
      <c r="B102">
        <v>8</v>
      </c>
      <c r="C102">
        <v>2</v>
      </c>
      <c r="D102" t="s">
        <v>964</v>
      </c>
      <c r="E102">
        <f>INDEX(Scores!$B$2:$T$11,$B102,$A102)</f>
        <v>111.85</v>
      </c>
      <c r="F102">
        <f>INDEX(Scores!$B$13:$T$22,$B102,$A102)</f>
        <v>400.35449999999997</v>
      </c>
    </row>
    <row r="103" spans="1:6" x14ac:dyDescent="0.25">
      <c r="A103">
        <v>11</v>
      </c>
      <c r="B103">
        <v>8</v>
      </c>
      <c r="C103">
        <v>7</v>
      </c>
      <c r="D103" t="s">
        <v>965</v>
      </c>
      <c r="E103">
        <f>INDEX(Scores!$B$2:$T$11,$B103,$A103)</f>
        <v>107.33000000000001</v>
      </c>
      <c r="F103">
        <f>INDEX(Scores!$B$13:$T$22,$B103,$A103)</f>
        <v>461.61259999999999</v>
      </c>
    </row>
    <row r="104" spans="1:6" x14ac:dyDescent="0.25">
      <c r="A104">
        <v>12</v>
      </c>
      <c r="B104">
        <v>8</v>
      </c>
      <c r="C104">
        <v>1</v>
      </c>
      <c r="D104" t="s">
        <v>966</v>
      </c>
      <c r="E104">
        <f>INDEX(Scores!$B$2:$T$11,$B104,$A104)</f>
        <v>105.50999999999999</v>
      </c>
      <c r="F104">
        <f>INDEX(Scores!$B$13:$T$22,$B104,$A104)</f>
        <v>384.5727</v>
      </c>
    </row>
    <row r="105" spans="1:6" x14ac:dyDescent="0.25">
      <c r="A105">
        <v>13</v>
      </c>
      <c r="B105">
        <v>8</v>
      </c>
      <c r="C105">
        <v>4</v>
      </c>
      <c r="D105" t="s">
        <v>967</v>
      </c>
      <c r="E105">
        <f>INDEX(Scores!$B$2:$T$11,$B105,$A105)</f>
        <v>110.18</v>
      </c>
      <c r="F105">
        <f>INDEX(Scores!$B$13:$T$22,$B105,$A105)</f>
        <v>469.66329999999999</v>
      </c>
    </row>
    <row r="106" spans="1:6" x14ac:dyDescent="0.25">
      <c r="A106">
        <v>1</v>
      </c>
      <c r="B106">
        <v>9</v>
      </c>
      <c r="C106">
        <v>6</v>
      </c>
      <c r="D106" t="s">
        <v>505</v>
      </c>
      <c r="E106">
        <f>INDEX(Scores!$B$2:$T$11,$B106,$A106)</f>
        <v>144.89999999999998</v>
      </c>
      <c r="F106">
        <f>INDEX(Scores!$B$13:$T$22,$B106,$A106)</f>
        <v>0</v>
      </c>
    </row>
    <row r="107" spans="1:6" x14ac:dyDescent="0.25">
      <c r="A107">
        <v>2</v>
      </c>
      <c r="B107">
        <v>9</v>
      </c>
      <c r="C107">
        <v>10</v>
      </c>
      <c r="D107" t="s">
        <v>636</v>
      </c>
      <c r="E107">
        <f>INDEX(Scores!$B$2:$T$11,$B107,$A107)</f>
        <v>98.9</v>
      </c>
      <c r="F107">
        <f>INDEX(Scores!$B$13:$T$22,$B107,$A107)</f>
        <v>0</v>
      </c>
    </row>
    <row r="108" spans="1:6" x14ac:dyDescent="0.25">
      <c r="A108">
        <v>3</v>
      </c>
      <c r="B108">
        <v>9</v>
      </c>
      <c r="C108">
        <v>5</v>
      </c>
      <c r="D108" t="s">
        <v>812</v>
      </c>
      <c r="E108">
        <f>INDEX(Scores!$B$2:$T$11,$B108,$A108)</f>
        <v>107.8</v>
      </c>
      <c r="F108">
        <f>INDEX(Scores!$B$13:$T$22,$B108,$A108)</f>
        <v>0</v>
      </c>
    </row>
    <row r="109" spans="1:6" x14ac:dyDescent="0.25">
      <c r="A109">
        <v>4</v>
      </c>
      <c r="B109">
        <v>9</v>
      </c>
      <c r="C109">
        <v>7</v>
      </c>
      <c r="D109" t="s">
        <v>864</v>
      </c>
      <c r="E109">
        <f>INDEX(Scores!$B$2:$T$11,$B109,$A109)</f>
        <v>127.19999999999997</v>
      </c>
      <c r="F109">
        <f>INDEX(Scores!$B$13:$T$22,$B109,$A109)</f>
        <v>0</v>
      </c>
    </row>
    <row r="110" spans="1:6" x14ac:dyDescent="0.25">
      <c r="A110">
        <v>5</v>
      </c>
      <c r="B110">
        <v>9</v>
      </c>
      <c r="C110">
        <v>3</v>
      </c>
      <c r="D110" t="s">
        <v>891</v>
      </c>
      <c r="E110">
        <f>INDEX(Scores!$B$2:$T$11,$B110,$A110)</f>
        <v>114.22</v>
      </c>
      <c r="F110">
        <f>INDEX(Scores!$B$13:$T$22,$B110,$A110)</f>
        <v>487.98720000000003</v>
      </c>
    </row>
    <row r="111" spans="1:6" x14ac:dyDescent="0.25">
      <c r="A111">
        <v>6</v>
      </c>
      <c r="B111">
        <v>9</v>
      </c>
      <c r="C111">
        <v>8</v>
      </c>
      <c r="D111" t="s">
        <v>968</v>
      </c>
      <c r="E111">
        <f>INDEX(Scores!$B$2:$T$11,$B111,$A111)</f>
        <v>109.24</v>
      </c>
      <c r="F111">
        <f>INDEX(Scores!$B$13:$T$22,$B111,$A111)</f>
        <v>491.31809999999996</v>
      </c>
    </row>
    <row r="112" spans="1:6" x14ac:dyDescent="0.25">
      <c r="A112">
        <v>7</v>
      </c>
      <c r="B112">
        <v>9</v>
      </c>
      <c r="C112">
        <v>1</v>
      </c>
      <c r="D112" t="s">
        <v>969</v>
      </c>
      <c r="E112">
        <f>INDEX(Scores!$B$2:$T$11,$B112,$A112)</f>
        <v>118.22</v>
      </c>
      <c r="F112">
        <f>INDEX(Scores!$B$13:$T$22,$B112,$A112)</f>
        <v>498.19350000000003</v>
      </c>
    </row>
    <row r="113" spans="1:6" x14ac:dyDescent="0.25">
      <c r="A113">
        <v>8</v>
      </c>
      <c r="B113">
        <v>9</v>
      </c>
      <c r="C113">
        <v>2</v>
      </c>
      <c r="D113" t="s">
        <v>970</v>
      </c>
      <c r="E113">
        <f>INDEX(Scores!$B$2:$T$11,$B113,$A113)</f>
        <v>106.64</v>
      </c>
      <c r="F113">
        <f>INDEX(Scores!$B$13:$T$22,$B113,$A113)</f>
        <v>512.92769999999996</v>
      </c>
    </row>
    <row r="114" spans="1:6" x14ac:dyDescent="0.25">
      <c r="A114">
        <v>9</v>
      </c>
      <c r="B114">
        <v>9</v>
      </c>
      <c r="C114">
        <v>6</v>
      </c>
      <c r="D114" t="s">
        <v>971</v>
      </c>
      <c r="E114">
        <f>INDEX(Scores!$B$2:$T$11,$B114,$A114)</f>
        <v>100.63999999999999</v>
      </c>
      <c r="F114">
        <f>INDEX(Scores!$B$13:$T$22,$B114,$A114)</f>
        <v>402.60670000000005</v>
      </c>
    </row>
    <row r="115" spans="1:6" x14ac:dyDescent="0.25">
      <c r="A115">
        <v>10</v>
      </c>
      <c r="B115">
        <v>9</v>
      </c>
      <c r="C115">
        <v>10</v>
      </c>
      <c r="D115" t="s">
        <v>972</v>
      </c>
      <c r="E115">
        <f>INDEX(Scores!$B$2:$T$11,$B115,$A115)</f>
        <v>113.76</v>
      </c>
      <c r="F115">
        <f>INDEX(Scores!$B$13:$T$22,$B115,$A115)</f>
        <v>537.76670000000001</v>
      </c>
    </row>
    <row r="116" spans="1:6" x14ac:dyDescent="0.25">
      <c r="A116">
        <v>11</v>
      </c>
      <c r="B116">
        <v>9</v>
      </c>
      <c r="C116">
        <v>5</v>
      </c>
      <c r="D116" t="s">
        <v>973</v>
      </c>
      <c r="E116">
        <f>INDEX(Scores!$B$2:$T$11,$B116,$A116)</f>
        <v>121.06</v>
      </c>
      <c r="F116">
        <f>INDEX(Scores!$B$13:$T$22,$B116,$A116)</f>
        <v>517.40019999999993</v>
      </c>
    </row>
    <row r="117" spans="1:6" x14ac:dyDescent="0.25">
      <c r="A117">
        <v>12</v>
      </c>
      <c r="B117">
        <v>9</v>
      </c>
      <c r="C117">
        <v>4</v>
      </c>
      <c r="D117" t="s">
        <v>974</v>
      </c>
      <c r="E117">
        <f>INDEX(Scores!$B$2:$T$11,$B117,$A117)</f>
        <v>106.11999999999999</v>
      </c>
      <c r="F117">
        <f>INDEX(Scores!$B$13:$T$22,$B117,$A117)</f>
        <v>476.85540000000003</v>
      </c>
    </row>
    <row r="118" spans="1:6" x14ac:dyDescent="0.25">
      <c r="A118">
        <v>13</v>
      </c>
      <c r="B118">
        <v>9</v>
      </c>
      <c r="C118">
        <v>3</v>
      </c>
      <c r="D118" t="s">
        <v>975</v>
      </c>
      <c r="E118">
        <f>INDEX(Scores!$B$2:$T$11,$B118,$A118)</f>
        <v>120.49</v>
      </c>
      <c r="F118">
        <f>INDEX(Scores!$B$13:$T$22,$B118,$A118)</f>
        <v>580.8596</v>
      </c>
    </row>
    <row r="119" spans="1:6" x14ac:dyDescent="0.25">
      <c r="A119">
        <v>1</v>
      </c>
      <c r="B119">
        <v>10</v>
      </c>
      <c r="C119">
        <v>5</v>
      </c>
      <c r="D119" t="s">
        <v>500</v>
      </c>
      <c r="E119">
        <f>INDEX(Scores!$B$2:$T$11,$B119,$A119)</f>
        <v>91.5</v>
      </c>
      <c r="F119">
        <f>INDEX(Scores!$B$13:$T$22,$B119,$A119)</f>
        <v>0</v>
      </c>
    </row>
    <row r="120" spans="1:6" x14ac:dyDescent="0.25">
      <c r="A120">
        <v>2</v>
      </c>
      <c r="B120">
        <v>10</v>
      </c>
      <c r="C120">
        <v>9</v>
      </c>
      <c r="D120" t="s">
        <v>630</v>
      </c>
      <c r="E120">
        <f>INDEX(Scores!$B$2:$T$11,$B120,$A120)</f>
        <v>79.199999999999989</v>
      </c>
      <c r="F120">
        <f>INDEX(Scores!$B$13:$T$22,$B120,$A120)</f>
        <v>0</v>
      </c>
    </row>
    <row r="121" spans="1:6" x14ac:dyDescent="0.25">
      <c r="A121">
        <v>3</v>
      </c>
      <c r="B121">
        <v>10</v>
      </c>
      <c r="C121">
        <v>3</v>
      </c>
      <c r="D121" t="s">
        <v>808</v>
      </c>
      <c r="E121">
        <f>INDEX(Scores!$B$2:$T$11,$B121,$A121)</f>
        <v>83.9</v>
      </c>
      <c r="F121">
        <f>INDEX(Scores!$B$13:$T$22,$B121,$A121)</f>
        <v>0</v>
      </c>
    </row>
    <row r="122" spans="1:6" x14ac:dyDescent="0.25">
      <c r="A122">
        <v>4</v>
      </c>
      <c r="B122">
        <v>10</v>
      </c>
      <c r="C122">
        <v>6</v>
      </c>
      <c r="D122" t="s">
        <v>857</v>
      </c>
      <c r="E122">
        <f>INDEX(Scores!$B$2:$T$11,$B122,$A122)</f>
        <v>71.199999999999989</v>
      </c>
      <c r="F122">
        <f>INDEX(Scores!$B$13:$T$22,$B122,$A122)</f>
        <v>0</v>
      </c>
    </row>
    <row r="123" spans="1:6" x14ac:dyDescent="0.25">
      <c r="A123">
        <v>5</v>
      </c>
      <c r="B123">
        <v>10</v>
      </c>
      <c r="C123">
        <v>8</v>
      </c>
      <c r="D123" t="s">
        <v>882</v>
      </c>
      <c r="E123">
        <f>INDEX(Scores!$B$2:$T$11,$B123,$A123)</f>
        <v>97.090000000000018</v>
      </c>
      <c r="F123">
        <f>INDEX(Scores!$B$13:$T$22,$B123,$A123)</f>
        <v>422.40490000000005</v>
      </c>
    </row>
    <row r="124" spans="1:6" x14ac:dyDescent="0.25">
      <c r="A124">
        <v>6</v>
      </c>
      <c r="B124">
        <v>10</v>
      </c>
      <c r="C124">
        <v>1</v>
      </c>
      <c r="D124" t="s">
        <v>976</v>
      </c>
      <c r="E124">
        <f>INDEX(Scores!$B$2:$T$11,$B124,$A124)</f>
        <v>100.32</v>
      </c>
      <c r="F124">
        <f>INDEX(Scores!$B$13:$T$22,$B124,$A124)</f>
        <v>456.78859999999997</v>
      </c>
    </row>
    <row r="125" spans="1:6" x14ac:dyDescent="0.25">
      <c r="A125">
        <v>7</v>
      </c>
      <c r="B125">
        <v>10</v>
      </c>
      <c r="C125">
        <v>2</v>
      </c>
      <c r="D125" t="s">
        <v>977</v>
      </c>
      <c r="E125">
        <f>INDEX(Scores!$B$2:$T$11,$B125,$A125)</f>
        <v>103.34</v>
      </c>
      <c r="F125">
        <f>INDEX(Scores!$B$13:$T$22,$B125,$A125)</f>
        <v>389.40539999999993</v>
      </c>
    </row>
    <row r="126" spans="1:6" x14ac:dyDescent="0.25">
      <c r="A126">
        <v>8</v>
      </c>
      <c r="B126">
        <v>10</v>
      </c>
      <c r="C126">
        <v>4</v>
      </c>
      <c r="D126" t="s">
        <v>978</v>
      </c>
      <c r="E126">
        <f>INDEX(Scores!$B$2:$T$11,$B126,$A126)</f>
        <v>93.6</v>
      </c>
      <c r="F126">
        <f>INDEX(Scores!$B$13:$T$22,$B126,$A126)</f>
        <v>365.15859999999998</v>
      </c>
    </row>
    <row r="127" spans="1:6" x14ac:dyDescent="0.25">
      <c r="A127">
        <v>9</v>
      </c>
      <c r="B127">
        <v>10</v>
      </c>
      <c r="C127">
        <v>5</v>
      </c>
      <c r="D127" t="s">
        <v>979</v>
      </c>
      <c r="E127">
        <f>INDEX(Scores!$B$2:$T$11,$B127,$A127)</f>
        <v>91.03</v>
      </c>
      <c r="F127">
        <f>INDEX(Scores!$B$13:$T$22,$B127,$A127)</f>
        <v>334.6001</v>
      </c>
    </row>
    <row r="128" spans="1:6" x14ac:dyDescent="0.25">
      <c r="A128">
        <v>10</v>
      </c>
      <c r="B128">
        <v>10</v>
      </c>
      <c r="C128">
        <v>9</v>
      </c>
      <c r="D128" t="s">
        <v>980</v>
      </c>
      <c r="E128">
        <f>INDEX(Scores!$B$2:$T$11,$B128,$A128)</f>
        <v>96.669999999999987</v>
      </c>
      <c r="F128">
        <f>INDEX(Scores!$B$13:$T$22,$B128,$A128)</f>
        <v>377.93680000000006</v>
      </c>
    </row>
    <row r="129" spans="1:6" x14ac:dyDescent="0.25">
      <c r="A129">
        <v>11</v>
      </c>
      <c r="B129">
        <v>10</v>
      </c>
      <c r="C129">
        <v>3</v>
      </c>
      <c r="D129" t="s">
        <v>981</v>
      </c>
      <c r="E129">
        <f>INDEX(Scores!$B$2:$T$11,$B129,$A129)</f>
        <v>101.64</v>
      </c>
      <c r="F129">
        <f>INDEX(Scores!$B$13:$T$22,$B129,$A129)</f>
        <v>406.8202</v>
      </c>
    </row>
    <row r="130" spans="1:6" x14ac:dyDescent="0.25">
      <c r="A130">
        <v>12</v>
      </c>
      <c r="B130">
        <v>10</v>
      </c>
      <c r="C130">
        <v>6</v>
      </c>
      <c r="D130" t="s">
        <v>982</v>
      </c>
      <c r="E130">
        <f>INDEX(Scores!$B$2:$T$11,$B130,$A130)</f>
        <v>98.310000000000016</v>
      </c>
      <c r="F130">
        <f>INDEX(Scores!$B$13:$T$22,$B130,$A130)</f>
        <v>332.52330000000001</v>
      </c>
    </row>
    <row r="131" spans="1:6" x14ac:dyDescent="0.25">
      <c r="A131">
        <v>13</v>
      </c>
      <c r="B131">
        <v>10</v>
      </c>
      <c r="C131">
        <v>7</v>
      </c>
      <c r="D131" t="s">
        <v>983</v>
      </c>
      <c r="E131">
        <f>INDEX(Scores!$B$2:$T$11,$B131,$A131)</f>
        <v>94.52</v>
      </c>
      <c r="F131">
        <f>INDEX(Scores!$B$13:$T$22,$B131,$A131)</f>
        <v>334.88169999999997</v>
      </c>
    </row>
    <row r="132" spans="1:6" x14ac:dyDescent="0.25">
      <c r="A132" t="s">
        <v>479</v>
      </c>
      <c r="B132">
        <v>1</v>
      </c>
      <c r="C132" t="s">
        <v>64</v>
      </c>
      <c r="D132" t="s">
        <v>64</v>
      </c>
      <c r="E132">
        <f>INDEX(Scores!$B$2:$T$11,$B132,18)</f>
        <v>225.83999999999997</v>
      </c>
      <c r="F132">
        <f>INDEX(Scores!$B$13:$T$22,$B132,18)</f>
        <v>925.70260000000007</v>
      </c>
    </row>
    <row r="133" spans="1:6" x14ac:dyDescent="0.25">
      <c r="A133" t="s">
        <v>479</v>
      </c>
      <c r="B133">
        <v>2</v>
      </c>
      <c r="C133" t="s">
        <v>64</v>
      </c>
      <c r="D133" t="s">
        <v>64</v>
      </c>
      <c r="E133">
        <f>INDEX(Scores!$B$2:$T$11,$B133,18)</f>
        <v>217.57999999999996</v>
      </c>
      <c r="F133">
        <f>INDEX(Scores!$B$13:$T$22,$B133,18)</f>
        <v>740.72120000000007</v>
      </c>
    </row>
    <row r="134" spans="1:6" x14ac:dyDescent="0.25">
      <c r="A134" t="s">
        <v>479</v>
      </c>
      <c r="B134">
        <v>3</v>
      </c>
      <c r="C134" t="s">
        <v>64</v>
      </c>
      <c r="D134" t="s">
        <v>64</v>
      </c>
      <c r="E134">
        <f>INDEX(Scores!$B$2:$T$11,$B134,18)</f>
        <v>229.37</v>
      </c>
      <c r="F134">
        <f>INDEX(Scores!$B$13:$T$22,$B134,18)</f>
        <v>893.68279999999982</v>
      </c>
    </row>
    <row r="135" spans="1:6" x14ac:dyDescent="0.25">
      <c r="A135" t="s">
        <v>479</v>
      </c>
      <c r="B135">
        <v>4</v>
      </c>
      <c r="C135" t="s">
        <v>64</v>
      </c>
      <c r="D135" t="s">
        <v>64</v>
      </c>
      <c r="E135">
        <f>INDEX(Scores!$B$2:$T$11,$B135,18)</f>
        <v>205.97000000000003</v>
      </c>
      <c r="F135">
        <f>INDEX(Scores!$B$13:$T$22,$B135,18)</f>
        <v>777.30520000000013</v>
      </c>
    </row>
    <row r="136" spans="1:6" x14ac:dyDescent="0.25">
      <c r="A136" t="s">
        <v>479</v>
      </c>
      <c r="B136">
        <v>5</v>
      </c>
      <c r="C136" t="s">
        <v>64</v>
      </c>
      <c r="D136" t="s">
        <v>64</v>
      </c>
      <c r="E136">
        <f>INDEX(Scores!$B$2:$T$11,$B136,18)</f>
        <v>212.62</v>
      </c>
      <c r="F136">
        <f>INDEX(Scores!$B$13:$T$22,$B136,18)</f>
        <v>772.61519999999996</v>
      </c>
    </row>
    <row r="137" spans="1:6" x14ac:dyDescent="0.25">
      <c r="A137" t="s">
        <v>479</v>
      </c>
      <c r="B137">
        <v>6</v>
      </c>
      <c r="C137" t="s">
        <v>64</v>
      </c>
      <c r="D137" t="s">
        <v>64</v>
      </c>
      <c r="E137">
        <f>INDEX(Scores!$B$2:$T$11,$B137,18)</f>
        <v>238.91</v>
      </c>
      <c r="F137">
        <f>INDEX(Scores!$B$13:$T$22,$B137,18)</f>
        <v>939.73090000000002</v>
      </c>
    </row>
    <row r="138" spans="1:6" x14ac:dyDescent="0.25">
      <c r="A138" t="s">
        <v>479</v>
      </c>
      <c r="B138">
        <v>7</v>
      </c>
      <c r="C138" t="s">
        <v>64</v>
      </c>
      <c r="D138" t="s">
        <v>64</v>
      </c>
      <c r="E138">
        <f>INDEX(Scores!$B$2:$T$11,$B138,18)</f>
        <v>208.13</v>
      </c>
      <c r="F138">
        <f>INDEX(Scores!$B$13:$T$22,$B138,18)</f>
        <v>760.27510000000007</v>
      </c>
    </row>
    <row r="139" spans="1:6" x14ac:dyDescent="0.25">
      <c r="A139" t="s">
        <v>479</v>
      </c>
      <c r="B139">
        <v>8</v>
      </c>
      <c r="C139" t="s">
        <v>64</v>
      </c>
      <c r="D139" t="s">
        <v>64</v>
      </c>
      <c r="E139">
        <f>INDEX(Scores!$B$2:$T$11,$B139,18)</f>
        <v>214.5</v>
      </c>
      <c r="F139">
        <f>INDEX(Scores!$B$13:$T$22,$B139,18)</f>
        <v>874.57390000000009</v>
      </c>
    </row>
    <row r="140" spans="1:6" x14ac:dyDescent="0.25">
      <c r="A140" t="s">
        <v>479</v>
      </c>
      <c r="B140">
        <v>9</v>
      </c>
      <c r="C140" t="s">
        <v>64</v>
      </c>
      <c r="D140" t="s">
        <v>64</v>
      </c>
      <c r="E140">
        <f>INDEX(Scores!$B$2:$T$11,$B140,18)</f>
        <v>237.62</v>
      </c>
      <c r="F140">
        <f>INDEX(Scores!$B$13:$T$22,$B140,18)</f>
        <v>1192.6756999999998</v>
      </c>
    </row>
    <row r="141" spans="1:6" x14ac:dyDescent="0.25">
      <c r="A141" t="s">
        <v>479</v>
      </c>
      <c r="B141">
        <v>10</v>
      </c>
      <c r="C141" t="s">
        <v>64</v>
      </c>
      <c r="D141" t="s">
        <v>64</v>
      </c>
      <c r="E141">
        <f>INDEX(Scores!$B$2:$T$11,$B141,18)</f>
        <v>201.82</v>
      </c>
      <c r="F141">
        <f>INDEX(Scores!$B$13:$T$22,$B141,18)</f>
        <v>751.60660000000007</v>
      </c>
    </row>
    <row r="142" spans="1:6" x14ac:dyDescent="0.25">
      <c r="A142" t="s">
        <v>480</v>
      </c>
      <c r="B142">
        <v>1</v>
      </c>
      <c r="C142" t="s">
        <v>64</v>
      </c>
      <c r="D142" t="s">
        <v>64</v>
      </c>
      <c r="E142">
        <f>INDEX(Scores!$B$2:$T$11,$B142,19)</f>
        <v>230.73999999999998</v>
      </c>
      <c r="F142">
        <f>INDEX(Scores!$B$13:$T$22,$B142,19)</f>
        <v>961.03870000000006</v>
      </c>
    </row>
    <row r="143" spans="1:6" x14ac:dyDescent="0.25">
      <c r="A143" t="s">
        <v>480</v>
      </c>
      <c r="B143">
        <v>2</v>
      </c>
      <c r="C143" t="s">
        <v>64</v>
      </c>
      <c r="D143" t="s">
        <v>64</v>
      </c>
      <c r="E143">
        <f>INDEX(Scores!$B$2:$T$11,$B143,19)</f>
        <v>210.19</v>
      </c>
      <c r="F143">
        <f>INDEX(Scores!$B$13:$T$22,$B143,19)</f>
        <v>721.02779999999996</v>
      </c>
    </row>
    <row r="144" spans="1:6" x14ac:dyDescent="0.25">
      <c r="A144" t="s">
        <v>480</v>
      </c>
      <c r="B144">
        <v>3</v>
      </c>
      <c r="C144" t="s">
        <v>64</v>
      </c>
      <c r="D144" t="s">
        <v>64</v>
      </c>
      <c r="E144">
        <f>INDEX(Scores!$B$2:$T$11,$B144,19)</f>
        <v>221.63</v>
      </c>
      <c r="F144">
        <f>INDEX(Scores!$B$13:$T$22,$B144,19)</f>
        <v>784.86669999999992</v>
      </c>
    </row>
    <row r="145" spans="1:6" x14ac:dyDescent="0.25">
      <c r="A145" t="s">
        <v>480</v>
      </c>
      <c r="B145">
        <v>4</v>
      </c>
      <c r="C145" t="s">
        <v>64</v>
      </c>
      <c r="D145" t="s">
        <v>64</v>
      </c>
      <c r="E145">
        <f>INDEX(Scores!$B$2:$T$11,$B145,19)</f>
        <v>219.81</v>
      </c>
      <c r="F145">
        <f>INDEX(Scores!$B$13:$T$22,$B145,19)</f>
        <v>771.33770000000004</v>
      </c>
    </row>
    <row r="146" spans="1:6" x14ac:dyDescent="0.25">
      <c r="A146" t="s">
        <v>480</v>
      </c>
      <c r="B146">
        <v>5</v>
      </c>
      <c r="C146" t="s">
        <v>64</v>
      </c>
      <c r="D146" t="s">
        <v>64</v>
      </c>
      <c r="E146">
        <f>INDEX(Scores!$B$2:$T$11,$B146,19)</f>
        <v>213.99</v>
      </c>
      <c r="F146">
        <f>INDEX(Scores!$B$13:$T$22,$B146,19)</f>
        <v>841.55640000000005</v>
      </c>
    </row>
    <row r="147" spans="1:6" x14ac:dyDescent="0.25">
      <c r="A147" t="s">
        <v>480</v>
      </c>
      <c r="B147">
        <v>6</v>
      </c>
      <c r="C147" t="s">
        <v>64</v>
      </c>
      <c r="D147" t="s">
        <v>64</v>
      </c>
      <c r="E147">
        <f>INDEX(Scores!$B$2:$T$11,$B147,19)</f>
        <v>221.18</v>
      </c>
      <c r="F147">
        <f>INDEX(Scores!$B$13:$T$22,$B147,19)</f>
        <v>880.57370000000003</v>
      </c>
    </row>
    <row r="148" spans="1:6" x14ac:dyDescent="0.25">
      <c r="A148" t="s">
        <v>480</v>
      </c>
      <c r="B148">
        <v>7</v>
      </c>
      <c r="C148" t="s">
        <v>64</v>
      </c>
      <c r="D148" t="s">
        <v>64</v>
      </c>
      <c r="E148">
        <f>INDEX(Scores!$B$2:$T$11,$B148,19)</f>
        <v>218.35999999999999</v>
      </c>
      <c r="F148">
        <f>INDEX(Scores!$B$13:$T$22,$B148,19)</f>
        <v>769.19900000000007</v>
      </c>
    </row>
    <row r="149" spans="1:6" x14ac:dyDescent="0.25">
      <c r="A149" t="s">
        <v>480</v>
      </c>
      <c r="B149">
        <v>8</v>
      </c>
      <c r="C149" t="s">
        <v>64</v>
      </c>
      <c r="D149" t="s">
        <v>64</v>
      </c>
      <c r="E149">
        <f>INDEX(Scores!$B$2:$T$11,$B149,19)</f>
        <v>225.04000000000002</v>
      </c>
      <c r="F149">
        <f>INDEX(Scores!$B$13:$T$22,$B149,19)</f>
        <v>957.02319999999997</v>
      </c>
    </row>
    <row r="150" spans="1:6" x14ac:dyDescent="0.25">
      <c r="A150" t="s">
        <v>480</v>
      </c>
      <c r="B150">
        <v>9</v>
      </c>
      <c r="C150" t="s">
        <v>64</v>
      </c>
      <c r="D150" t="s">
        <v>64</v>
      </c>
      <c r="E150">
        <f>INDEX(Scores!$B$2:$T$11,$B150,19)</f>
        <v>239.11</v>
      </c>
      <c r="F150">
        <f>INDEX(Scores!$B$13:$T$22,$B150,19)</f>
        <v>1080.1426999999999</v>
      </c>
    </row>
    <row r="151" spans="1:6" x14ac:dyDescent="0.25">
      <c r="A151" t="s">
        <v>480</v>
      </c>
      <c r="B151">
        <v>10</v>
      </c>
      <c r="C151" t="s">
        <v>64</v>
      </c>
      <c r="D151" t="s">
        <v>64</v>
      </c>
      <c r="E151">
        <f>INDEX(Scores!$B$2:$T$11,$B151,19)</f>
        <v>206.15</v>
      </c>
      <c r="F151">
        <f>INDEX(Scores!$B$13:$T$22,$B151,19)</f>
        <v>800.43079999999998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R131"/>
  <sheetViews>
    <sheetView topLeftCell="AA1" workbookViewId="0">
      <selection activeCell="AO2" sqref="AO2"/>
    </sheetView>
  </sheetViews>
  <sheetFormatPr defaultRowHeight="15" x14ac:dyDescent="0.25"/>
  <cols>
    <col min="1" max="1" width="13.7109375" bestFit="1" customWidth="1"/>
    <col min="2" max="3" width="9.140625" customWidth="1"/>
    <col min="5" max="5" width="9.140625" customWidth="1"/>
    <col min="7" max="9" width="9.140625" customWidth="1"/>
    <col min="10" max="10" width="9.7109375" customWidth="1"/>
    <col min="11" max="12" width="9.140625" customWidth="1"/>
    <col min="14" max="16" width="9.140625" customWidth="1"/>
    <col min="25" max="25" width="5.85546875" bestFit="1" customWidth="1"/>
    <col min="26" max="26" width="7.85546875" bestFit="1" customWidth="1"/>
    <col min="27" max="27" width="6.7109375" bestFit="1" customWidth="1"/>
    <col min="35" max="35" width="9.5703125" bestFit="1" customWidth="1"/>
    <col min="36" max="36" width="10.85546875" bestFit="1" customWidth="1"/>
    <col min="38" max="38" width="9.5703125" bestFit="1" customWidth="1"/>
    <col min="39" max="39" width="10.85546875" bestFit="1" customWidth="1"/>
    <col min="43" max="43" width="15.7109375" bestFit="1" customWidth="1"/>
  </cols>
  <sheetData>
    <row r="1" spans="1:44" x14ac:dyDescent="0.25">
      <c r="A1">
        <v>0</v>
      </c>
      <c r="B1">
        <v>1</v>
      </c>
      <c r="C1">
        <f>B1+1</f>
        <v>2</v>
      </c>
      <c r="D1">
        <f t="shared" ref="D1:R1" si="0">C1+1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t="s">
        <v>479</v>
      </c>
      <c r="T1" t="s">
        <v>480</v>
      </c>
      <c r="Y1" t="s">
        <v>481</v>
      </c>
      <c r="Z1" t="s">
        <v>482</v>
      </c>
      <c r="AA1" t="s">
        <v>483</v>
      </c>
      <c r="AB1" t="s">
        <v>484</v>
      </c>
      <c r="AC1">
        <v>0</v>
      </c>
      <c r="AG1" t="s">
        <v>773</v>
      </c>
      <c r="AH1" t="s">
        <v>3917</v>
      </c>
      <c r="AI1" t="s">
        <v>775</v>
      </c>
      <c r="AJ1" t="s">
        <v>776</v>
      </c>
      <c r="AK1" t="s">
        <v>3917</v>
      </c>
      <c r="AL1" t="s">
        <v>775</v>
      </c>
      <c r="AM1" t="s">
        <v>776</v>
      </c>
      <c r="AO1" t="s">
        <v>876</v>
      </c>
      <c r="AP1" t="s">
        <v>877</v>
      </c>
    </row>
    <row r="2" spans="1:44" x14ac:dyDescent="0.25">
      <c r="A2" t="s">
        <v>20</v>
      </c>
      <c r="B2" s="2">
        <f>SUMIF('Weekly Scores'!$A$2:$A$121,$A2,INDEX('Weekly Scores'!$T$2:$AJ$121,,B$1))</f>
        <v>111.89999999999999</v>
      </c>
      <c r="C2" s="2">
        <f>SUMIF('Weekly Scores'!$A$2:$A$121,$A2,INDEX('Weekly Scores'!$T$2:$AJ$121,,C$1))</f>
        <v>129</v>
      </c>
      <c r="D2" s="2">
        <f>SUMIF('Weekly Scores'!$A$2:$A$121,$A2,INDEX('Weekly Scores'!$T$2:$AJ$121,,D$1))</f>
        <v>111.80000000000001</v>
      </c>
      <c r="E2" s="2">
        <f>SUMIF('Weekly Scores'!$A$2:$A$121,$A2,INDEX('Weekly Scores'!$T$2:$AJ$121,,E$1))</f>
        <v>99.899999999999991</v>
      </c>
      <c r="F2" s="2">
        <f>SUMIF('Weekly Scores'!$A$2:$A$121,$A2,INDEX('Weekly Scores'!$T$2:$AJ$121,,F$1))</f>
        <v>114.56</v>
      </c>
      <c r="G2" s="2">
        <f>SUMIF('Weekly Scores'!$A$2:$A$121,$A2,INDEX('Weekly Scores'!$T$2:$AJ$121,,G$1))</f>
        <v>95.610000000000014</v>
      </c>
      <c r="H2" s="2">
        <f>SUMIF('Weekly Scores'!$A$2:$A$121,$A2,INDEX('Weekly Scores'!$T$2:$AJ$121,,H$1))</f>
        <v>104.80000000000001</v>
      </c>
      <c r="I2" s="2">
        <f>SUMIF('Weekly Scores'!$A$2:$A$121,$A2,INDEX('Weekly Scores'!$T$2:$AJ$121,,I$1))</f>
        <v>116.25000000000003</v>
      </c>
      <c r="J2" s="2">
        <f>SUMIF('Weekly Scores'!$A$2:$A$121,$A2,INDEX('Weekly Scores'!$T$2:$AJ$121,,J$1))</f>
        <v>112.01999999999998</v>
      </c>
      <c r="K2" s="2">
        <f>SUMIF('Weekly Scores'!$A$2:$A$121,$A2,INDEX('Weekly Scores'!$T$2:$AJ$121,,K$1))</f>
        <v>109.97</v>
      </c>
      <c r="L2" s="2">
        <f>SUMIF('Weekly Scores'!$A$2:$A$121,$A2,INDEX('Weekly Scores'!$T$2:$AJ$121,,L$1))</f>
        <v>105.10000000000001</v>
      </c>
      <c r="M2" s="2">
        <f>SUMIF('Weekly Scores'!$A$2:$A$121,$A2,INDEX('Weekly Scores'!$T$2:$AJ$121,,M$1))</f>
        <v>107.46</v>
      </c>
      <c r="N2" s="2">
        <f>SUMIF('Weekly Scores'!$A$2:$A$121,$A2,INDEX('Weekly Scores'!$T$2:$AJ$121,,N$1))</f>
        <v>117.95000000000002</v>
      </c>
      <c r="O2" s="2">
        <f>SUMIF('Weekly Scores'!$A$2:$A$121,$A2,INDEX('Weekly Scores'!$T$2:$AJ$121,,O$1))</f>
        <v>115.45</v>
      </c>
      <c r="P2" s="2">
        <f>SUMIF('Weekly Scores'!$A$2:$A$121,$A2,INDEX('Weekly Scores'!$T$2:$AJ$121,,P$1))</f>
        <v>110.38999999999999</v>
      </c>
      <c r="Q2" s="2">
        <f>SUMIF('Weekly Scores'!$A$2:$A$121,$A2,INDEX('Weekly Scores'!$T$2:$AJ$121,,Q$1))</f>
        <v>113.00999999999999</v>
      </c>
      <c r="R2" s="2">
        <f>SUMIF('Weekly Scores'!$A$2:$A$121,$A2,INDEX('Weekly Scores'!$T$2:$AJ$121,,R$1))</f>
        <v>117.72999999999999</v>
      </c>
      <c r="S2" s="2">
        <f>O2+P2</f>
        <v>225.83999999999997</v>
      </c>
      <c r="T2" s="2">
        <f>R2+Q2</f>
        <v>230.73999999999998</v>
      </c>
      <c r="V2" s="2">
        <f>AVERAGE(INDEX($B2:$N2,Week+1):INDEX($B2:$N2,13))</f>
        <v>108.64500000000002</v>
      </c>
      <c r="W2">
        <f>_xlfn.RANK.AVG(V2,$V$2:$V$11)</f>
        <v>5</v>
      </c>
      <c r="Y2">
        <v>1</v>
      </c>
      <c r="Z2">
        <v>1</v>
      </c>
      <c r="AA2">
        <v>3</v>
      </c>
      <c r="AB2" t="str">
        <f>INDEX($A$2:$A$11,Z2)&amp;"-"&amp;Y2</f>
        <v>scott-1</v>
      </c>
      <c r="AC2">
        <f>IF(AA2&gt;Z2,AC1+1,AC1)</f>
        <v>1</v>
      </c>
      <c r="AD2" s="56" t="str">
        <f>IF(AND(INDEX($R$36:$R$45,Z2)&lt;&gt;INDEX($R$36:$R$45,AA2),INDEX($R$36:$R$45,Z2)="HK"),INDEX($B$24:$N$33,$Z2,$Y2),"")</f>
        <v/>
      </c>
      <c r="AG2" t="s">
        <v>15</v>
      </c>
      <c r="AH2">
        <v>5</v>
      </c>
      <c r="AI2">
        <v>10</v>
      </c>
      <c r="AJ2">
        <v>14</v>
      </c>
      <c r="AK2" s="2">
        <f>INDEX('ROS Proj'!$T$2:$T$561,MATCH($AG2&amp;AH2,'ROS Proj'!$AA$2:$AA$561,0))</f>
        <v>20.884285714285713</v>
      </c>
      <c r="AL2" s="2">
        <f>INDEX('ROS Proj'!$T$2:$T$561,MATCH($AG2&amp;AI2,'ROS Proj'!$AA$2:$AA$561,0))</f>
        <v>19.903749999999999</v>
      </c>
      <c r="AM2" s="2">
        <f>INDEX('ROS Proj'!$T$2:$T$561,MATCH($AG2&amp;AJ2,'ROS Proj'!$AA$2:$AA$561,0))</f>
        <v>19.499999999999996</v>
      </c>
      <c r="AO2">
        <f>COUNTIF(Rosters!$F$2:$F$155,$AG2)</f>
        <v>17</v>
      </c>
      <c r="AP2">
        <f>MATCH("FA"&amp;AG2&amp;"1",'ROS Rankings'!$Y$2:$Y$201,0)</f>
        <v>94</v>
      </c>
      <c r="AQ2" t="str">
        <f>INDEX('ROS Rankings'!$C$2:$C$201,AP2)</f>
        <v>Jameis Winston</v>
      </c>
      <c r="AR2" t="str">
        <f>INDEX('ROS Rankings'!$F$2:$F$201,AP2)</f>
        <v>QB3</v>
      </c>
    </row>
    <row r="3" spans="1:44" x14ac:dyDescent="0.25">
      <c r="A3" t="s">
        <v>16</v>
      </c>
      <c r="B3" s="2">
        <f>SUMIF('Weekly Scores'!$A$2:$A$121,$A3,INDEX('Weekly Scores'!$T$2:$AJ$121,,B$1))</f>
        <v>120.09999999999998</v>
      </c>
      <c r="C3" s="2">
        <f>SUMIF('Weekly Scores'!$A$2:$A$121,$A3,INDEX('Weekly Scores'!$T$2:$AJ$121,,C$1))</f>
        <v>91.600000000000009</v>
      </c>
      <c r="D3" s="2">
        <f>SUMIF('Weekly Scores'!$A$2:$A$121,$A3,INDEX('Weekly Scores'!$T$2:$AJ$121,,D$1))</f>
        <v>129.19999999999999</v>
      </c>
      <c r="E3" s="2">
        <f>SUMIF('Weekly Scores'!$A$2:$A$121,$A3,INDEX('Weekly Scores'!$T$2:$AJ$121,,E$1))</f>
        <v>119.50000000000001</v>
      </c>
      <c r="F3" s="2">
        <f>SUMIF('Weekly Scores'!$A$2:$A$121,$A3,INDEX('Weekly Scores'!$T$2:$AJ$121,,F$1))</f>
        <v>114.38</v>
      </c>
      <c r="G3" s="2">
        <f>SUMIF('Weekly Scores'!$A$2:$A$121,$A3,INDEX('Weekly Scores'!$T$2:$AJ$121,,G$1))</f>
        <v>107.81000000000002</v>
      </c>
      <c r="H3" s="2">
        <f>SUMIF('Weekly Scores'!$A$2:$A$121,$A3,INDEX('Weekly Scores'!$T$2:$AJ$121,,H$1))</f>
        <v>105.52</v>
      </c>
      <c r="I3" s="2">
        <f>SUMIF('Weekly Scores'!$A$2:$A$121,$A3,INDEX('Weekly Scores'!$T$2:$AJ$121,,I$1))</f>
        <v>108.12</v>
      </c>
      <c r="J3" s="2">
        <f>SUMIF('Weekly Scores'!$A$2:$A$121,$A3,INDEX('Weekly Scores'!$T$2:$AJ$121,,J$1))</f>
        <v>116.23</v>
      </c>
      <c r="K3" s="2">
        <f>SUMIF('Weekly Scores'!$A$2:$A$121,$A3,INDEX('Weekly Scores'!$T$2:$AJ$121,,K$1))</f>
        <v>112.59</v>
      </c>
      <c r="L3" s="2">
        <f>SUMIF('Weekly Scores'!$A$2:$A$121,$A3,INDEX('Weekly Scores'!$T$2:$AJ$121,,L$1))</f>
        <v>100.83</v>
      </c>
      <c r="M3" s="2">
        <f>SUMIF('Weekly Scores'!$A$2:$A$121,$A3,INDEX('Weekly Scores'!$T$2:$AJ$121,,M$1))</f>
        <v>114.42999999999999</v>
      </c>
      <c r="N3" s="2">
        <f>SUMIF('Weekly Scores'!$A$2:$A$121,$A3,INDEX('Weekly Scores'!$T$2:$AJ$121,,N$1))</f>
        <v>106.08</v>
      </c>
      <c r="O3" s="2">
        <f>SUMIF('Weekly Scores'!$A$2:$A$121,$A3,INDEX('Weekly Scores'!$T$2:$AJ$121,,O$1))</f>
        <v>116.51999999999998</v>
      </c>
      <c r="P3" s="2">
        <f>SUMIF('Weekly Scores'!$A$2:$A$121,$A3,INDEX('Weekly Scores'!$T$2:$AJ$121,,P$1))</f>
        <v>101.05999999999997</v>
      </c>
      <c r="Q3" s="2">
        <f>SUMIF('Weekly Scores'!$A$2:$A$121,$A3,INDEX('Weekly Scores'!$T$2:$AJ$121,,Q$1))</f>
        <v>108.1</v>
      </c>
      <c r="R3" s="2">
        <f>SUMIF('Weekly Scores'!$A$2:$A$121,$A3,INDEX('Weekly Scores'!$T$2:$AJ$121,,R$1))</f>
        <v>102.09</v>
      </c>
      <c r="S3" s="2">
        <f t="shared" ref="S3:S11" si="1">O3+P3</f>
        <v>217.57999999999996</v>
      </c>
      <c r="T3" s="2">
        <f t="shared" ref="T3:T11" si="2">R3+Q3</f>
        <v>210.19</v>
      </c>
      <c r="V3" s="2">
        <f>AVERAGE(INDEX($B3:$N3,Week+1):INDEX($B3:$N3,13))</f>
        <v>108.95125000000002</v>
      </c>
      <c r="W3">
        <f t="shared" ref="W3:W11" si="3">_xlfn.RANK.AVG(V3,$V$2:$V$11)</f>
        <v>4</v>
      </c>
      <c r="Y3">
        <v>2</v>
      </c>
      <c r="Z3">
        <v>1</v>
      </c>
      <c r="AA3">
        <v>4</v>
      </c>
      <c r="AB3" t="str">
        <f t="shared" ref="AB3:AB66" si="4">INDEX($A$2:$A$11,Z3)&amp;"-"&amp;Y3</f>
        <v>scott-2</v>
      </c>
      <c r="AC3">
        <f t="shared" ref="AC3:AC66" si="5">IF(AA3&gt;Z3,AC2+1,AC2)</f>
        <v>2</v>
      </c>
      <c r="AD3" s="56" t="str">
        <f t="shared" ref="AD3:AD66" si="6">IF(AND(INDEX($R$36:$R$45,Z3)&lt;&gt;INDEX($R$36:$R$45,AA3),INDEX($R$36:$R$45,Z3)="HK"),INDEX($B$24:$N$33,$Z3,$Y3),"")</f>
        <v/>
      </c>
      <c r="AG3" t="s">
        <v>47</v>
      </c>
      <c r="AH3">
        <v>13</v>
      </c>
      <c r="AI3">
        <v>25</v>
      </c>
      <c r="AJ3">
        <v>48</v>
      </c>
      <c r="AK3" s="55">
        <f>INDEX('ROS Proj'!$T$2:$T$561,MATCH($AG3&amp;AH3,'ROS Proj'!$AA$2:$AA$561,0))</f>
        <v>11.758571428571429</v>
      </c>
      <c r="AL3" s="55">
        <f>INDEX('ROS Proj'!$T$2:$T$561,MATCH($AG3&amp;AI3,'ROS Proj'!$AA$2:$AA$561,0))</f>
        <v>8.2700000000000014</v>
      </c>
      <c r="AM3" s="55">
        <f>INDEX('ROS Proj'!$T$2:$T$561,MATCH($AG3&amp;AJ3,'ROS Proj'!$AA$2:$AA$561,0))</f>
        <v>5.8685714285714292</v>
      </c>
      <c r="AO3">
        <f>COUNTIF(Rosters!$F$2:$F$155,$AG3)</f>
        <v>47</v>
      </c>
      <c r="AP3">
        <f>MATCH("FA"&amp;AG3&amp;"1",'ROS Rankings'!$Y$2:$Y$201,0)</f>
        <v>86</v>
      </c>
      <c r="AQ3" t="str">
        <f>INDEX('ROS Rankings'!$C$2:$C$201,AP3)</f>
        <v>Tarik Cohen</v>
      </c>
      <c r="AR3" t="str">
        <f>INDEX('ROS Rankings'!$F$2:$F$201,AP3)</f>
        <v>RB36</v>
      </c>
    </row>
    <row r="4" spans="1:44" x14ac:dyDescent="0.25">
      <c r="A4" t="s">
        <v>55</v>
      </c>
      <c r="B4" s="2">
        <f>SUMIF('Weekly Scores'!$A$2:$A$121,$A4,INDEX('Weekly Scores'!$T$2:$AJ$121,,B$1))</f>
        <v>145.39999999999998</v>
      </c>
      <c r="C4" s="2">
        <f>SUMIF('Weekly Scores'!$A$2:$A$121,$A4,INDEX('Weekly Scores'!$T$2:$AJ$121,,C$1))</f>
        <v>123.39999999999999</v>
      </c>
      <c r="D4" s="2">
        <f>SUMIF('Weekly Scores'!$A$2:$A$121,$A4,INDEX('Weekly Scores'!$T$2:$AJ$121,,D$1))</f>
        <v>108.00000000000001</v>
      </c>
      <c r="E4" s="2">
        <f>SUMIF('Weekly Scores'!$A$2:$A$121,$A4,INDEX('Weekly Scores'!$T$2:$AJ$121,,E$1))</f>
        <v>174.5</v>
      </c>
      <c r="F4" s="2">
        <f>SUMIF('Weekly Scores'!$A$2:$A$121,$A4,INDEX('Weekly Scores'!$T$2:$AJ$121,,F$1))</f>
        <v>112.65</v>
      </c>
      <c r="G4" s="2">
        <f>SUMIF('Weekly Scores'!$A$2:$A$121,$A4,INDEX('Weekly Scores'!$T$2:$AJ$121,,G$1))</f>
        <v>116.63</v>
      </c>
      <c r="H4" s="2">
        <f>SUMIF('Weekly Scores'!$A$2:$A$121,$A4,INDEX('Weekly Scores'!$T$2:$AJ$121,,H$1))</f>
        <v>107.27000000000001</v>
      </c>
      <c r="I4" s="2">
        <f>SUMIF('Weekly Scores'!$A$2:$A$121,$A4,INDEX('Weekly Scores'!$T$2:$AJ$121,,I$1))</f>
        <v>117.09</v>
      </c>
      <c r="J4" s="2">
        <f>SUMIF('Weekly Scores'!$A$2:$A$121,$A4,INDEX('Weekly Scores'!$T$2:$AJ$121,,J$1))</f>
        <v>104.71</v>
      </c>
      <c r="K4" s="2">
        <f>SUMIF('Weekly Scores'!$A$2:$A$121,$A4,INDEX('Weekly Scores'!$T$2:$AJ$121,,K$1))</f>
        <v>93</v>
      </c>
      <c r="L4" s="2">
        <f>SUMIF('Weekly Scores'!$A$2:$A$121,$A4,INDEX('Weekly Scores'!$T$2:$AJ$121,,L$1))</f>
        <v>112.91000000000001</v>
      </c>
      <c r="M4" s="2">
        <f>SUMIF('Weekly Scores'!$A$2:$A$121,$A4,INDEX('Weekly Scores'!$T$2:$AJ$121,,M$1))</f>
        <v>111.5</v>
      </c>
      <c r="N4" s="2">
        <f>SUMIF('Weekly Scores'!$A$2:$A$121,$A4,INDEX('Weekly Scores'!$T$2:$AJ$121,,N$1))</f>
        <v>113.49</v>
      </c>
      <c r="O4" s="2">
        <f>SUMIF('Weekly Scores'!$A$2:$A$121,$A4,INDEX('Weekly Scores'!$T$2:$AJ$121,,O$1))</f>
        <v>112.93000000000002</v>
      </c>
      <c r="P4" s="2">
        <f>SUMIF('Weekly Scores'!$A$2:$A$121,$A4,INDEX('Weekly Scores'!$T$2:$AJ$121,,P$1))</f>
        <v>116.43999999999998</v>
      </c>
      <c r="Q4" s="2">
        <f>SUMIF('Weekly Scores'!$A$2:$A$121,$A4,INDEX('Weekly Scores'!$T$2:$AJ$121,,Q$1))</f>
        <v>107.07999999999998</v>
      </c>
      <c r="R4" s="2">
        <f>SUMIF('Weekly Scores'!$A$2:$A$121,$A4,INDEX('Weekly Scores'!$T$2:$AJ$121,,R$1))</f>
        <v>114.55</v>
      </c>
      <c r="S4" s="2">
        <f t="shared" si="1"/>
        <v>229.37</v>
      </c>
      <c r="T4" s="2">
        <f t="shared" si="2"/>
        <v>221.63</v>
      </c>
      <c r="V4" s="2">
        <f>AVERAGE(INDEX($B4:$N4,Week+1):INDEX($B4:$N4,13))</f>
        <v>109.575</v>
      </c>
      <c r="W4">
        <f t="shared" si="3"/>
        <v>3</v>
      </c>
      <c r="Y4">
        <v>3</v>
      </c>
      <c r="Z4">
        <v>1</v>
      </c>
      <c r="AA4">
        <v>8</v>
      </c>
      <c r="AB4" t="str">
        <f t="shared" si="4"/>
        <v>scott-3</v>
      </c>
      <c r="AC4">
        <f t="shared" si="5"/>
        <v>3</v>
      </c>
      <c r="AD4" s="56" t="str">
        <f t="shared" si="6"/>
        <v/>
      </c>
      <c r="AG4" t="s">
        <v>87</v>
      </c>
      <c r="AH4">
        <v>17</v>
      </c>
      <c r="AI4">
        <v>35</v>
      </c>
      <c r="AJ4">
        <v>53</v>
      </c>
      <c r="AK4" s="55">
        <f>INDEX('ROS Proj'!$T$2:$T$561,MATCH($AG4&amp;AH4,'ROS Proj'!$AA$2:$AA$561,0))</f>
        <v>10.37142857142857</v>
      </c>
      <c r="AL4" s="55">
        <f>INDEX('ROS Proj'!$T$2:$T$561,MATCH($AG4&amp;AI4,'ROS Proj'!$AA$2:$AA$561,0))</f>
        <v>8.031428571428572</v>
      </c>
      <c r="AM4" s="55">
        <f>INDEX('ROS Proj'!$T$2:$T$561,MATCH($AG4&amp;AJ4,'ROS Proj'!$AA$2:$AA$561,0))</f>
        <v>6.0528571428571425</v>
      </c>
      <c r="AO4">
        <f>COUNTIF(Rosters!$F$2:$F$155,$AG4)</f>
        <v>54</v>
      </c>
      <c r="AP4">
        <f>MATCH("FA"&amp;AG4&amp;"1",'ROS Rankings'!$Y$2:$Y$201,0)</f>
        <v>96</v>
      </c>
      <c r="AQ4" t="str">
        <f>INDEX('ROS Rankings'!$C$2:$C$201,AP4)</f>
        <v>Robby Anderson</v>
      </c>
      <c r="AR4" t="str">
        <f>INDEX('ROS Rankings'!$F$2:$F$201,AP4)</f>
        <v>WR48</v>
      </c>
    </row>
    <row r="5" spans="1:44" x14ac:dyDescent="0.25">
      <c r="A5" t="s">
        <v>35</v>
      </c>
      <c r="B5" s="2">
        <f>SUMIF('Weekly Scores'!$A$2:$A$121,$A5,INDEX('Weekly Scores'!$T$2:$AJ$121,,B$1))</f>
        <v>97.7</v>
      </c>
      <c r="C5" s="2">
        <f>SUMIF('Weekly Scores'!$A$2:$A$121,$A5,INDEX('Weekly Scores'!$T$2:$AJ$121,,C$1))</f>
        <v>117.79999999999998</v>
      </c>
      <c r="D5" s="2">
        <f>SUMIF('Weekly Scores'!$A$2:$A$121,$A5,INDEX('Weekly Scores'!$T$2:$AJ$121,,D$1))</f>
        <v>100.10000000000001</v>
      </c>
      <c r="E5" s="2">
        <f>SUMIF('Weekly Scores'!$A$2:$A$121,$A5,INDEX('Weekly Scores'!$T$2:$AJ$121,,E$1))</f>
        <v>119.9</v>
      </c>
      <c r="F5" s="2">
        <f>SUMIF('Weekly Scores'!$A$2:$A$121,$A5,INDEX('Weekly Scores'!$T$2:$AJ$121,,F$1))</f>
        <v>129.46</v>
      </c>
      <c r="G5" s="2">
        <f>SUMIF('Weekly Scores'!$A$2:$A$121,$A5,INDEX('Weekly Scores'!$T$2:$AJ$121,,G$1))</f>
        <v>106.66000000000003</v>
      </c>
      <c r="H5" s="2">
        <f>SUMIF('Weekly Scores'!$A$2:$A$121,$A5,INDEX('Weekly Scores'!$T$2:$AJ$121,,H$1))</f>
        <v>102.97000000000001</v>
      </c>
      <c r="I5" s="2">
        <f>SUMIF('Weekly Scores'!$A$2:$A$121,$A5,INDEX('Weekly Scores'!$T$2:$AJ$121,,I$1))</f>
        <v>100.92000000000003</v>
      </c>
      <c r="J5" s="2">
        <f>SUMIF('Weekly Scores'!$A$2:$A$121,$A5,INDEX('Weekly Scores'!$T$2:$AJ$121,,J$1))</f>
        <v>109.09</v>
      </c>
      <c r="K5" s="2">
        <f>SUMIF('Weekly Scores'!$A$2:$A$121,$A5,INDEX('Weekly Scores'!$T$2:$AJ$121,,K$1))</f>
        <v>100.16999999999999</v>
      </c>
      <c r="L5" s="2">
        <f>SUMIF('Weekly Scores'!$A$2:$A$121,$A5,INDEX('Weekly Scores'!$T$2:$AJ$121,,L$1))</f>
        <v>104.67999999999999</v>
      </c>
      <c r="M5" s="2">
        <f>SUMIF('Weekly Scores'!$A$2:$A$121,$A5,INDEX('Weekly Scores'!$T$2:$AJ$121,,M$1))</f>
        <v>106.62</v>
      </c>
      <c r="N5" s="2">
        <f>SUMIF('Weekly Scores'!$A$2:$A$121,$A5,INDEX('Weekly Scores'!$T$2:$AJ$121,,N$1))</f>
        <v>109.39</v>
      </c>
      <c r="O5" s="2">
        <f>SUMIF('Weekly Scores'!$A$2:$A$121,$A5,INDEX('Weekly Scores'!$T$2:$AJ$121,,O$1))</f>
        <v>100.35000000000001</v>
      </c>
      <c r="P5" s="2">
        <f>SUMIF('Weekly Scores'!$A$2:$A$121,$A5,INDEX('Weekly Scores'!$T$2:$AJ$121,,P$1))</f>
        <v>105.62</v>
      </c>
      <c r="Q5" s="2">
        <f>SUMIF('Weekly Scores'!$A$2:$A$121,$A5,INDEX('Weekly Scores'!$T$2:$AJ$121,,Q$1))</f>
        <v>110.87</v>
      </c>
      <c r="R5" s="2">
        <f>SUMIF('Weekly Scores'!$A$2:$A$121,$A5,INDEX('Weekly Scores'!$T$2:$AJ$121,,R$1))</f>
        <v>108.94</v>
      </c>
      <c r="S5" s="2">
        <f t="shared" si="1"/>
        <v>205.97000000000003</v>
      </c>
      <c r="T5" s="2">
        <f t="shared" si="2"/>
        <v>219.81</v>
      </c>
      <c r="V5" s="2">
        <f>AVERAGE(INDEX($B5:$N5,Week+1):INDEX($B5:$N5,13))</f>
        <v>105.0625</v>
      </c>
      <c r="W5">
        <f t="shared" si="3"/>
        <v>7</v>
      </c>
      <c r="Y5">
        <v>4</v>
      </c>
      <c r="Z5">
        <v>1</v>
      </c>
      <c r="AA5">
        <v>2</v>
      </c>
      <c r="AB5" t="str">
        <f t="shared" si="4"/>
        <v>scott-4</v>
      </c>
      <c r="AC5">
        <f t="shared" si="5"/>
        <v>4</v>
      </c>
      <c r="AD5" s="56" t="str">
        <f t="shared" si="6"/>
        <v/>
      </c>
      <c r="AG5" t="s">
        <v>114</v>
      </c>
      <c r="AH5">
        <v>5</v>
      </c>
      <c r="AI5">
        <v>10</v>
      </c>
      <c r="AJ5">
        <v>13</v>
      </c>
      <c r="AK5" s="2">
        <f>INDEX('ROS Proj'!$T$2:$T$561,MATCH($AG5&amp;AH5,'ROS Proj'!$AA$2:$AA$561,0))</f>
        <v>6.9987499999999994</v>
      </c>
      <c r="AL5" s="2">
        <f>INDEX('ROS Proj'!$T$2:$T$561,MATCH($AG5&amp;AI5,'ROS Proj'!$AA$2:$AA$561,0))</f>
        <v>5.25</v>
      </c>
      <c r="AM5" s="2">
        <f>INDEX('ROS Proj'!$T$2:$T$561,MATCH($AG5&amp;AJ5,'ROS Proj'!$AA$2:$AA$561,0))</f>
        <v>5.18</v>
      </c>
      <c r="AO5">
        <f>COUNTIF(Rosters!$F$2:$F$155,$AG5)</f>
        <v>14</v>
      </c>
      <c r="AP5">
        <f>MATCH("FA"&amp;AG5&amp;"1",'ROS Rankings'!$Y$2:$Y$201,0)</f>
        <v>98</v>
      </c>
      <c r="AQ5" t="str">
        <f>INDEX('ROS Rankings'!$C$2:$C$201,AP5)</f>
        <v>David Njoku</v>
      </c>
      <c r="AR5" t="str">
        <f>INDEX('ROS Rankings'!$F$2:$F$201,AP5)</f>
        <v>TE7</v>
      </c>
    </row>
    <row r="6" spans="1:44" x14ac:dyDescent="0.25">
      <c r="A6" t="s">
        <v>27</v>
      </c>
      <c r="B6" s="2">
        <f>SUMIF('Weekly Scores'!$A$2:$A$121,$A6,INDEX('Weekly Scores'!$T$2:$AJ$121,,B$1))</f>
        <v>107.10000000000001</v>
      </c>
      <c r="C6" s="2">
        <f>SUMIF('Weekly Scores'!$A$2:$A$121,$A6,INDEX('Weekly Scores'!$T$2:$AJ$121,,C$1))</f>
        <v>80</v>
      </c>
      <c r="D6" s="2">
        <f>SUMIF('Weekly Scores'!$A$2:$A$121,$A6,INDEX('Weekly Scores'!$T$2:$AJ$121,,D$1))</f>
        <v>92.5</v>
      </c>
      <c r="E6" s="2">
        <f>SUMIF('Weekly Scores'!$A$2:$A$121,$A6,INDEX('Weekly Scores'!$T$2:$AJ$121,,E$1))</f>
        <v>113.39999999999999</v>
      </c>
      <c r="F6" s="2">
        <f>SUMIF('Weekly Scores'!$A$2:$A$121,$A6,INDEX('Weekly Scores'!$T$2:$AJ$121,,F$1))</f>
        <v>103.71</v>
      </c>
      <c r="G6" s="2">
        <f>SUMIF('Weekly Scores'!$A$2:$A$121,$A6,INDEX('Weekly Scores'!$T$2:$AJ$121,,G$1))</f>
        <v>111.06</v>
      </c>
      <c r="H6" s="2">
        <f>SUMIF('Weekly Scores'!$A$2:$A$121,$A6,INDEX('Weekly Scores'!$T$2:$AJ$121,,H$1))</f>
        <v>97.619999999999976</v>
      </c>
      <c r="I6" s="2">
        <f>SUMIF('Weekly Scores'!$A$2:$A$121,$A6,INDEX('Weekly Scores'!$T$2:$AJ$121,,I$1))</f>
        <v>108.68</v>
      </c>
      <c r="J6" s="2">
        <f>SUMIF('Weekly Scores'!$A$2:$A$121,$A6,INDEX('Weekly Scores'!$T$2:$AJ$121,,J$1))</f>
        <v>103.55999999999999</v>
      </c>
      <c r="K6" s="2">
        <f>SUMIF('Weekly Scores'!$A$2:$A$121,$A6,INDEX('Weekly Scores'!$T$2:$AJ$121,,K$1))</f>
        <v>97.109999999999985</v>
      </c>
      <c r="L6" s="2">
        <f>SUMIF('Weekly Scores'!$A$2:$A$121,$A6,INDEX('Weekly Scores'!$T$2:$AJ$121,,L$1))</f>
        <v>104.53999999999999</v>
      </c>
      <c r="M6" s="2">
        <f>SUMIF('Weekly Scores'!$A$2:$A$121,$A6,INDEX('Weekly Scores'!$T$2:$AJ$121,,M$1))</f>
        <v>109.74000000000001</v>
      </c>
      <c r="N6" s="2">
        <f>SUMIF('Weekly Scores'!$A$2:$A$121,$A6,INDEX('Weekly Scores'!$T$2:$AJ$121,,N$1))</f>
        <v>101.06</v>
      </c>
      <c r="O6" s="2">
        <f>SUMIF('Weekly Scores'!$A$2:$A$121,$A6,INDEX('Weekly Scores'!$T$2:$AJ$121,,O$1))</f>
        <v>112.34</v>
      </c>
      <c r="P6" s="2">
        <f>SUMIF('Weekly Scores'!$A$2:$A$121,$A6,INDEX('Weekly Scores'!$T$2:$AJ$121,,P$1))</f>
        <v>100.28</v>
      </c>
      <c r="Q6" s="2">
        <f>SUMIF('Weekly Scores'!$A$2:$A$121,$A6,INDEX('Weekly Scores'!$T$2:$AJ$121,,Q$1))</f>
        <v>107.28999999999999</v>
      </c>
      <c r="R6" s="2">
        <f>SUMIF('Weekly Scores'!$A$2:$A$121,$A6,INDEX('Weekly Scores'!$T$2:$AJ$121,,R$1))</f>
        <v>106.7</v>
      </c>
      <c r="S6" s="2">
        <f t="shared" si="1"/>
        <v>212.62</v>
      </c>
      <c r="T6" s="2">
        <f t="shared" si="2"/>
        <v>213.99</v>
      </c>
      <c r="V6" s="2">
        <f>AVERAGE(INDEX($B6:$N6,Week+1):INDEX($B6:$N6,13))</f>
        <v>104.17124999999999</v>
      </c>
      <c r="W6">
        <f t="shared" si="3"/>
        <v>8</v>
      </c>
      <c r="Y6">
        <v>5</v>
      </c>
      <c r="Z6">
        <v>1</v>
      </c>
      <c r="AA6">
        <v>7</v>
      </c>
      <c r="AB6" t="str">
        <f t="shared" si="4"/>
        <v>scott-5</v>
      </c>
      <c r="AC6">
        <f t="shared" si="5"/>
        <v>5</v>
      </c>
      <c r="AD6" s="56" t="str">
        <f t="shared" si="6"/>
        <v/>
      </c>
      <c r="AG6" t="s">
        <v>770</v>
      </c>
      <c r="AH6">
        <v>5</v>
      </c>
      <c r="AI6">
        <v>10</v>
      </c>
      <c r="AJ6">
        <v>12</v>
      </c>
      <c r="AK6" s="2">
        <f>INDEX('ROS Proj'!$T$2:$T$561,MATCH($AG6&amp;AH6,'ROS Proj'!$AA$2:$AA$561,0))</f>
        <v>6.82</v>
      </c>
      <c r="AL6" s="2">
        <f>INDEX('ROS Proj'!$T$2:$T$561,MATCH($AG6&amp;AI6,'ROS Proj'!$AA$2:$AA$561,0))</f>
        <v>6.2925000000000004</v>
      </c>
      <c r="AM6" s="2">
        <f>INDEX('ROS Proj'!$T$2:$T$561,MATCH($AG6&amp;AJ6,'ROS Proj'!$AA$2:$AA$561,0))</f>
        <v>6.1742857142857144</v>
      </c>
      <c r="AO6">
        <f>COUNTIF(Rosters!$F$2:$F$155,$AG6)</f>
        <v>0</v>
      </c>
      <c r="AP6">
        <f>MATCH("FA"&amp;AG6&amp;"1",'ROS Rankings'!$Y$2:$Y$201,0)</f>
        <v>109</v>
      </c>
      <c r="AQ6" t="str">
        <f>INDEX('ROS Rankings'!$C$2:$C$201,AP6)</f>
        <v>Chargers D/ST</v>
      </c>
      <c r="AR6" t="str">
        <f>INDEX('ROS Rankings'!$F$2:$F$201,AP6)</f>
        <v>D3</v>
      </c>
    </row>
    <row r="7" spans="1:44" x14ac:dyDescent="0.25">
      <c r="A7" t="s">
        <v>62</v>
      </c>
      <c r="B7" s="2">
        <f>SUMIF('Weekly Scores'!$A$2:$A$121,$A7,INDEX('Weekly Scores'!$T$2:$AJ$121,,B$1))</f>
        <v>106.2</v>
      </c>
      <c r="C7" s="2">
        <f>SUMIF('Weekly Scores'!$A$2:$A$121,$A7,INDEX('Weekly Scores'!$T$2:$AJ$121,,C$1))</f>
        <v>109.6</v>
      </c>
      <c r="D7" s="2">
        <f>SUMIF('Weekly Scores'!$A$2:$A$121,$A7,INDEX('Weekly Scores'!$T$2:$AJ$121,,D$1))</f>
        <v>104.6</v>
      </c>
      <c r="E7" s="2">
        <f>SUMIF('Weekly Scores'!$A$2:$A$121,$A7,INDEX('Weekly Scores'!$T$2:$AJ$121,,E$1))</f>
        <v>106</v>
      </c>
      <c r="F7" s="2">
        <f>SUMIF('Weekly Scores'!$A$2:$A$121,$A7,INDEX('Weekly Scores'!$T$2:$AJ$121,,F$1))</f>
        <v>112.39000000000001</v>
      </c>
      <c r="G7" s="2">
        <f>SUMIF('Weekly Scores'!$A$2:$A$121,$A7,INDEX('Weekly Scores'!$T$2:$AJ$121,,G$1))</f>
        <v>110.40000000000002</v>
      </c>
      <c r="H7" s="2">
        <f>SUMIF('Weekly Scores'!$A$2:$A$121,$A7,INDEX('Weekly Scores'!$T$2:$AJ$121,,H$1))</f>
        <v>113.77000000000001</v>
      </c>
      <c r="I7" s="2">
        <f>SUMIF('Weekly Scores'!$A$2:$A$121,$A7,INDEX('Weekly Scores'!$T$2:$AJ$121,,I$1))</f>
        <v>106.75000000000001</v>
      </c>
      <c r="J7" s="2">
        <f>SUMIF('Weekly Scores'!$A$2:$A$121,$A7,INDEX('Weekly Scores'!$T$2:$AJ$121,,J$1))</f>
        <v>114.72000000000001</v>
      </c>
      <c r="K7" s="2">
        <f>SUMIF('Weekly Scores'!$A$2:$A$121,$A7,INDEX('Weekly Scores'!$T$2:$AJ$121,,K$1))</f>
        <v>122.25000000000001</v>
      </c>
      <c r="L7" s="2">
        <f>SUMIF('Weekly Scores'!$A$2:$A$121,$A7,INDEX('Weekly Scores'!$T$2:$AJ$121,,L$1))</f>
        <v>115.75</v>
      </c>
      <c r="M7" s="2">
        <f>SUMIF('Weekly Scores'!$A$2:$A$121,$A7,INDEX('Weekly Scores'!$T$2:$AJ$121,,M$1))</f>
        <v>106.38</v>
      </c>
      <c r="N7" s="2">
        <f>SUMIF('Weekly Scores'!$A$2:$A$121,$A7,INDEX('Weekly Scores'!$T$2:$AJ$121,,N$1))</f>
        <v>120.11000000000001</v>
      </c>
      <c r="O7" s="2">
        <f>SUMIF('Weekly Scores'!$A$2:$A$121,$A7,INDEX('Weekly Scores'!$T$2:$AJ$121,,O$1))</f>
        <v>120.25</v>
      </c>
      <c r="P7" s="2">
        <f>SUMIF('Weekly Scores'!$A$2:$A$121,$A7,INDEX('Weekly Scores'!$T$2:$AJ$121,,P$1))</f>
        <v>118.66</v>
      </c>
      <c r="Q7" s="2">
        <f>SUMIF('Weekly Scores'!$A$2:$A$121,$A7,INDEX('Weekly Scores'!$T$2:$AJ$121,,Q$1))</f>
        <v>110.01000000000002</v>
      </c>
      <c r="R7" s="2">
        <f>SUMIF('Weekly Scores'!$A$2:$A$121,$A7,INDEX('Weekly Scores'!$T$2:$AJ$121,,R$1))</f>
        <v>111.16999999999999</v>
      </c>
      <c r="S7" s="2">
        <f t="shared" si="1"/>
        <v>238.91</v>
      </c>
      <c r="T7" s="2">
        <f t="shared" si="2"/>
        <v>221.18</v>
      </c>
      <c r="V7" s="2">
        <f>AVERAGE(INDEX($B7:$N7,Week+1):INDEX($B7:$N7,13))</f>
        <v>113.76625000000001</v>
      </c>
      <c r="W7">
        <f>_xlfn.RANK.AVG(V7,$V$2:$V$11)</f>
        <v>1</v>
      </c>
      <c r="Y7">
        <v>6</v>
      </c>
      <c r="Z7">
        <v>1</v>
      </c>
      <c r="AA7">
        <v>10</v>
      </c>
      <c r="AB7" t="str">
        <f t="shared" si="4"/>
        <v>scott-6</v>
      </c>
      <c r="AC7">
        <f t="shared" si="5"/>
        <v>6</v>
      </c>
      <c r="AD7" s="56" t="str">
        <f t="shared" si="6"/>
        <v/>
      </c>
      <c r="AG7" t="s">
        <v>478</v>
      </c>
      <c r="AH7">
        <v>5</v>
      </c>
      <c r="AI7">
        <v>10</v>
      </c>
      <c r="AJ7">
        <v>10</v>
      </c>
      <c r="AK7" s="2">
        <f>INDEX('ROS Proj'!$T$2:$T$561,MATCH($AG7&amp;AH7,'ROS Proj'!$AA$2:$AA$561,0))</f>
        <v>7.7857142857142856</v>
      </c>
      <c r="AL7" s="2">
        <f>INDEX('ROS Proj'!$T$2:$T$561,MATCH($AG7&amp;AI7,'ROS Proj'!$AA$2:$AA$561,0))</f>
        <v>7.4214285714285717</v>
      </c>
      <c r="AM7" s="2">
        <f>INDEX('ROS Proj'!$T$2:$T$561,MATCH($AG7&amp;AJ7,'ROS Proj'!$AA$2:$AA$561,0))</f>
        <v>7.4214285714285717</v>
      </c>
      <c r="AO7">
        <f>COUNTIF(Rosters!$F$2:$F$155,$AG7)</f>
        <v>0</v>
      </c>
      <c r="AP7">
        <f>MATCH("FA"&amp;AG7&amp;"1",'ROS Rankings'!$Y$2:$Y$201,0)</f>
        <v>120</v>
      </c>
      <c r="AQ7" t="str">
        <f>INDEX('ROS Rankings'!$C$2:$C$201,AP7)</f>
        <v>Cody Parkey</v>
      </c>
      <c r="AR7" t="str">
        <f>INDEX('ROS Rankings'!$F$2:$F$201,AP7)</f>
        <v>K2</v>
      </c>
    </row>
    <row r="8" spans="1:44" x14ac:dyDescent="0.25">
      <c r="A8" t="s">
        <v>1648</v>
      </c>
      <c r="B8" s="2">
        <f>SUMIF('Weekly Scores'!$A$2:$A$121,$A8,INDEX('Weekly Scores'!$T$2:$AJ$121,,B$1))</f>
        <v>111.4</v>
      </c>
      <c r="C8" s="2">
        <f>SUMIF('Weekly Scores'!$A$2:$A$121,$A8,INDEX('Weekly Scores'!$T$2:$AJ$121,,C$1))</f>
        <v>105.1</v>
      </c>
      <c r="D8" s="2">
        <f>SUMIF('Weekly Scores'!$A$2:$A$121,$A8,INDEX('Weekly Scores'!$T$2:$AJ$121,,D$1))</f>
        <v>74.5</v>
      </c>
      <c r="E8" s="2">
        <f>SUMIF('Weekly Scores'!$A$2:$A$121,$A8,INDEX('Weekly Scores'!$T$2:$AJ$121,,E$1))</f>
        <v>122.10000000000001</v>
      </c>
      <c r="F8" s="2">
        <f>SUMIF('Weekly Scores'!$A$2:$A$121,$A8,INDEX('Weekly Scores'!$T$2:$AJ$121,,F$1))</f>
        <v>107.14</v>
      </c>
      <c r="G8" s="2">
        <f>SUMIF('Weekly Scores'!$A$2:$A$121,$A8,INDEX('Weekly Scores'!$T$2:$AJ$121,,G$1))</f>
        <v>106.97999999999999</v>
      </c>
      <c r="H8" s="2">
        <f>SUMIF('Weekly Scores'!$A$2:$A$121,$A8,INDEX('Weekly Scores'!$T$2:$AJ$121,,H$1))</f>
        <v>102.42999999999999</v>
      </c>
      <c r="I8" s="2">
        <f>SUMIF('Weekly Scores'!$A$2:$A$121,$A8,INDEX('Weekly Scores'!$T$2:$AJ$121,,I$1))</f>
        <v>103.21000000000001</v>
      </c>
      <c r="J8" s="2">
        <f>SUMIF('Weekly Scores'!$A$2:$A$121,$A8,INDEX('Weekly Scores'!$T$2:$AJ$121,,J$1))</f>
        <v>102.27000000000001</v>
      </c>
      <c r="K8" s="2">
        <f>SUMIF('Weekly Scores'!$A$2:$A$121,$A8,INDEX('Weekly Scores'!$T$2:$AJ$121,,K$1))</f>
        <v>101.61</v>
      </c>
      <c r="L8" s="2">
        <f>SUMIF('Weekly Scores'!$A$2:$A$121,$A8,INDEX('Weekly Scores'!$T$2:$AJ$121,,L$1))</f>
        <v>96.07</v>
      </c>
      <c r="M8" s="2">
        <f>SUMIF('Weekly Scores'!$A$2:$A$121,$A8,INDEX('Weekly Scores'!$T$2:$AJ$121,,M$1))</f>
        <v>97.27000000000001</v>
      </c>
      <c r="N8" s="2">
        <f>SUMIF('Weekly Scores'!$A$2:$A$121,$A8,INDEX('Weekly Scores'!$T$2:$AJ$121,,N$1))</f>
        <v>98.63000000000001</v>
      </c>
      <c r="O8" s="2">
        <f>SUMIF('Weekly Scores'!$A$2:$A$121,$A8,INDEX('Weekly Scores'!$T$2:$AJ$121,,O$1))</f>
        <v>104.02000000000001</v>
      </c>
      <c r="P8" s="2">
        <f>SUMIF('Weekly Scores'!$A$2:$A$121,$A8,INDEX('Weekly Scores'!$T$2:$AJ$121,,P$1))</f>
        <v>104.10999999999999</v>
      </c>
      <c r="Q8" s="2">
        <f>SUMIF('Weekly Scores'!$A$2:$A$121,$A8,INDEX('Weekly Scores'!$T$2:$AJ$121,,Q$1))</f>
        <v>104.51999999999998</v>
      </c>
      <c r="R8" s="2">
        <f>SUMIF('Weekly Scores'!$A$2:$A$121,$A8,INDEX('Weekly Scores'!$T$2:$AJ$121,,R$1))</f>
        <v>113.84</v>
      </c>
      <c r="S8" s="2">
        <f t="shared" si="1"/>
        <v>208.13</v>
      </c>
      <c r="T8" s="2">
        <f t="shared" si="2"/>
        <v>218.35999999999999</v>
      </c>
      <c r="V8" s="2">
        <f>AVERAGE(INDEX($B8:$N8,Week+1):INDEX($B8:$N8,13))</f>
        <v>101.05874999999999</v>
      </c>
      <c r="W8">
        <f t="shared" si="3"/>
        <v>9</v>
      </c>
      <c r="Y8">
        <v>7</v>
      </c>
      <c r="Z8">
        <v>1</v>
      </c>
      <c r="AA8">
        <v>9</v>
      </c>
      <c r="AB8" t="str">
        <f t="shared" si="4"/>
        <v>scott-7</v>
      </c>
      <c r="AC8">
        <f t="shared" si="5"/>
        <v>7</v>
      </c>
      <c r="AD8" s="56" t="str">
        <f t="shared" si="6"/>
        <v/>
      </c>
      <c r="AH8">
        <f>SUM(AH2:AH7)</f>
        <v>50</v>
      </c>
      <c r="AI8">
        <f>SUM(AI2:AI7)</f>
        <v>100</v>
      </c>
      <c r="AJ8">
        <f>SUM(AJ2:AJ7)</f>
        <v>150</v>
      </c>
      <c r="AK8" s="2">
        <f>SUMPRODUCT($AI$2:$AI$7/10,AK2:AK7)</f>
        <v>108.18517857142858</v>
      </c>
      <c r="AL8" s="2">
        <f>SUMPRODUCT($AI$2:$AI$7/10,AL2:AL7)</f>
        <v>87.652678571428581</v>
      </c>
    </row>
    <row r="9" spans="1:44" x14ac:dyDescent="0.25">
      <c r="A9" t="s">
        <v>23</v>
      </c>
      <c r="B9" s="2">
        <f>SUMIF('Weekly Scores'!$A$2:$A$121,$A9,INDEX('Weekly Scores'!$T$2:$AJ$121,,B$1))</f>
        <v>52.800000000000011</v>
      </c>
      <c r="C9" s="2">
        <f>SUMIF('Weekly Scores'!$A$2:$A$121,$A9,INDEX('Weekly Scores'!$T$2:$AJ$121,,C$1))</f>
        <v>90.300000000000011</v>
      </c>
      <c r="D9" s="2">
        <f>SUMIF('Weekly Scores'!$A$2:$A$121,$A9,INDEX('Weekly Scores'!$T$2:$AJ$121,,D$1))</f>
        <v>85.3</v>
      </c>
      <c r="E9" s="2">
        <f>SUMIF('Weekly Scores'!$A$2:$A$121,$A9,INDEX('Weekly Scores'!$T$2:$AJ$121,,E$1))</f>
        <v>136.89999999999998</v>
      </c>
      <c r="F9" s="2">
        <f>SUMIF('Weekly Scores'!$A$2:$A$121,$A9,INDEX('Weekly Scores'!$T$2:$AJ$121,,F$1))</f>
        <v>106.69</v>
      </c>
      <c r="G9" s="2">
        <f>SUMIF('Weekly Scores'!$A$2:$A$121,$A9,INDEX('Weekly Scores'!$T$2:$AJ$121,,G$1))</f>
        <v>110.11</v>
      </c>
      <c r="H9" s="2">
        <f>SUMIF('Weekly Scores'!$A$2:$A$121,$A9,INDEX('Weekly Scores'!$T$2:$AJ$121,,H$1))</f>
        <v>102.38999999999999</v>
      </c>
      <c r="I9" s="2">
        <f>SUMIF('Weekly Scores'!$A$2:$A$121,$A9,INDEX('Weekly Scores'!$T$2:$AJ$121,,I$1))</f>
        <v>88.039999999999992</v>
      </c>
      <c r="J9" s="2">
        <f>SUMIF('Weekly Scores'!$A$2:$A$121,$A9,INDEX('Weekly Scores'!$T$2:$AJ$121,,J$1))</f>
        <v>107.93</v>
      </c>
      <c r="K9" s="2">
        <f>SUMIF('Weekly Scores'!$A$2:$A$121,$A9,INDEX('Weekly Scores'!$T$2:$AJ$121,,K$1))</f>
        <v>111.85</v>
      </c>
      <c r="L9" s="2">
        <f>SUMIF('Weekly Scores'!$A$2:$A$121,$A9,INDEX('Weekly Scores'!$T$2:$AJ$121,,L$1))</f>
        <v>107.33000000000001</v>
      </c>
      <c r="M9" s="2">
        <f>SUMIF('Weekly Scores'!$A$2:$A$121,$A9,INDEX('Weekly Scores'!$T$2:$AJ$121,,M$1))</f>
        <v>105.50999999999999</v>
      </c>
      <c r="N9" s="2">
        <f>SUMIF('Weekly Scores'!$A$2:$A$121,$A9,INDEX('Weekly Scores'!$T$2:$AJ$121,,N$1))</f>
        <v>110.18</v>
      </c>
      <c r="O9" s="2">
        <f>SUMIF('Weekly Scores'!$A$2:$A$121,$A9,INDEX('Weekly Scores'!$T$2:$AJ$121,,O$1))</f>
        <v>112.92999999999999</v>
      </c>
      <c r="P9" s="2">
        <f>SUMIF('Weekly Scores'!$A$2:$A$121,$A9,INDEX('Weekly Scores'!$T$2:$AJ$121,,P$1))</f>
        <v>101.57</v>
      </c>
      <c r="Q9" s="2">
        <f>SUMIF('Weekly Scores'!$A$2:$A$121,$A9,INDEX('Weekly Scores'!$T$2:$AJ$121,,Q$1))</f>
        <v>115.27000000000001</v>
      </c>
      <c r="R9" s="2">
        <f>SUMIF('Weekly Scores'!$A$2:$A$121,$A9,INDEX('Weekly Scores'!$T$2:$AJ$121,,R$1))</f>
        <v>109.77</v>
      </c>
      <c r="S9" s="2">
        <f t="shared" si="1"/>
        <v>214.5</v>
      </c>
      <c r="T9" s="2">
        <f t="shared" si="2"/>
        <v>225.04000000000002</v>
      </c>
      <c r="V9" s="2">
        <f>AVERAGE(INDEX($B9:$N9,Week+1):INDEX($B9:$N9,13))</f>
        <v>105.41749999999999</v>
      </c>
      <c r="W9">
        <f t="shared" si="3"/>
        <v>6</v>
      </c>
      <c r="Y9">
        <v>8</v>
      </c>
      <c r="Z9">
        <v>1</v>
      </c>
      <c r="AA9">
        <v>6</v>
      </c>
      <c r="AB9" t="str">
        <f t="shared" si="4"/>
        <v>scott-8</v>
      </c>
      <c r="AC9">
        <f t="shared" si="5"/>
        <v>8</v>
      </c>
      <c r="AD9" s="56" t="str">
        <f t="shared" si="6"/>
        <v/>
      </c>
    </row>
    <row r="10" spans="1:44" x14ac:dyDescent="0.25">
      <c r="A10" t="s">
        <v>49</v>
      </c>
      <c r="B10" s="2">
        <f>SUMIF('Weekly Scores'!$A$2:$A$121,$A10,INDEX('Weekly Scores'!$T$2:$AJ$121,,B$1))</f>
        <v>144.89999999999998</v>
      </c>
      <c r="C10" s="2">
        <f>SUMIF('Weekly Scores'!$A$2:$A$121,$A10,INDEX('Weekly Scores'!$T$2:$AJ$121,,C$1))</f>
        <v>98.9</v>
      </c>
      <c r="D10" s="2">
        <f>SUMIF('Weekly Scores'!$A$2:$A$121,$A10,INDEX('Weekly Scores'!$T$2:$AJ$121,,D$1))</f>
        <v>107.8</v>
      </c>
      <c r="E10" s="2">
        <f>SUMIF('Weekly Scores'!$A$2:$A$121,$A10,INDEX('Weekly Scores'!$T$2:$AJ$121,,E$1))</f>
        <v>127.19999999999997</v>
      </c>
      <c r="F10" s="2">
        <f>SUMIF('Weekly Scores'!$A$2:$A$121,$A10,INDEX('Weekly Scores'!$T$2:$AJ$121,,F$1))</f>
        <v>114.22</v>
      </c>
      <c r="G10" s="2">
        <f>SUMIF('Weekly Scores'!$A$2:$A$121,$A10,INDEX('Weekly Scores'!$T$2:$AJ$121,,G$1))</f>
        <v>109.24</v>
      </c>
      <c r="H10" s="2">
        <f>SUMIF('Weekly Scores'!$A$2:$A$121,$A10,INDEX('Weekly Scores'!$T$2:$AJ$121,,H$1))</f>
        <v>118.22</v>
      </c>
      <c r="I10" s="2">
        <f>SUMIF('Weekly Scores'!$A$2:$A$121,$A10,INDEX('Weekly Scores'!$T$2:$AJ$121,,I$1))</f>
        <v>106.64</v>
      </c>
      <c r="J10" s="2">
        <f>SUMIF('Weekly Scores'!$A$2:$A$121,$A10,INDEX('Weekly Scores'!$T$2:$AJ$121,,J$1))</f>
        <v>100.63999999999999</v>
      </c>
      <c r="K10" s="2">
        <f>SUMIF('Weekly Scores'!$A$2:$A$121,$A10,INDEX('Weekly Scores'!$T$2:$AJ$121,,K$1))</f>
        <v>113.76</v>
      </c>
      <c r="L10" s="2">
        <f>SUMIF('Weekly Scores'!$A$2:$A$121,$A10,INDEX('Weekly Scores'!$T$2:$AJ$121,,L$1))</f>
        <v>121.06</v>
      </c>
      <c r="M10" s="2">
        <f>SUMIF('Weekly Scores'!$A$2:$A$121,$A10,INDEX('Weekly Scores'!$T$2:$AJ$121,,M$1))</f>
        <v>106.11999999999999</v>
      </c>
      <c r="N10" s="2">
        <f>SUMIF('Weekly Scores'!$A$2:$A$121,$A10,INDEX('Weekly Scores'!$T$2:$AJ$121,,N$1))</f>
        <v>120.49</v>
      </c>
      <c r="O10" s="2">
        <f>SUMIF('Weekly Scores'!$A$2:$A$121,$A10,INDEX('Weekly Scores'!$T$2:$AJ$121,,O$1))</f>
        <v>115.36999999999999</v>
      </c>
      <c r="P10" s="2">
        <f>SUMIF('Weekly Scores'!$A$2:$A$121,$A10,INDEX('Weekly Scores'!$T$2:$AJ$121,,P$1))</f>
        <v>122.25000000000001</v>
      </c>
      <c r="Q10" s="2">
        <f>SUMIF('Weekly Scores'!$A$2:$A$121,$A10,INDEX('Weekly Scores'!$T$2:$AJ$121,,Q$1))</f>
        <v>120.06</v>
      </c>
      <c r="R10" s="2">
        <f>SUMIF('Weekly Scores'!$A$2:$A$121,$A10,INDEX('Weekly Scores'!$T$2:$AJ$121,,R$1))</f>
        <v>119.05000000000001</v>
      </c>
      <c r="S10" s="2">
        <f t="shared" si="1"/>
        <v>237.62</v>
      </c>
      <c r="T10" s="2">
        <f t="shared" si="2"/>
        <v>239.11</v>
      </c>
      <c r="V10" s="2">
        <f>AVERAGE(INDEX($B10:$N10,Week+1):INDEX($B10:$N10,13))</f>
        <v>112.02124999999999</v>
      </c>
      <c r="W10">
        <f t="shared" si="3"/>
        <v>2</v>
      </c>
      <c r="Y10">
        <v>9</v>
      </c>
      <c r="Z10">
        <v>1</v>
      </c>
      <c r="AA10">
        <v>7</v>
      </c>
      <c r="AB10" t="str">
        <f t="shared" si="4"/>
        <v>scott-9</v>
      </c>
      <c r="AC10">
        <f t="shared" si="5"/>
        <v>9</v>
      </c>
      <c r="AD10" s="56" t="str">
        <f t="shared" si="6"/>
        <v/>
      </c>
    </row>
    <row r="11" spans="1:44" x14ac:dyDescent="0.25">
      <c r="A11" t="s">
        <v>44</v>
      </c>
      <c r="B11" s="2">
        <f>SUMIF('Weekly Scores'!$A$2:$A$121,$A11,INDEX('Weekly Scores'!$T$2:$AJ$121,,B$1))</f>
        <v>91.5</v>
      </c>
      <c r="C11" s="2">
        <f>SUMIF('Weekly Scores'!$A$2:$A$121,$A11,INDEX('Weekly Scores'!$T$2:$AJ$121,,C$1))</f>
        <v>79.199999999999989</v>
      </c>
      <c r="D11" s="2">
        <f>SUMIF('Weekly Scores'!$A$2:$A$121,$A11,INDEX('Weekly Scores'!$T$2:$AJ$121,,D$1))</f>
        <v>83.9</v>
      </c>
      <c r="E11" s="2">
        <f>SUMIF('Weekly Scores'!$A$2:$A$121,$A11,INDEX('Weekly Scores'!$T$2:$AJ$121,,E$1))</f>
        <v>71.199999999999989</v>
      </c>
      <c r="F11" s="2">
        <f>SUMIF('Weekly Scores'!$A$2:$A$121,$A11,INDEX('Weekly Scores'!$T$2:$AJ$121,,F$1))</f>
        <v>97.090000000000018</v>
      </c>
      <c r="G11" s="2">
        <f>SUMIF('Weekly Scores'!$A$2:$A$121,$A11,INDEX('Weekly Scores'!$T$2:$AJ$121,,G$1))</f>
        <v>100.32</v>
      </c>
      <c r="H11" s="2">
        <f>SUMIF('Weekly Scores'!$A$2:$A$121,$A11,INDEX('Weekly Scores'!$T$2:$AJ$121,,H$1))</f>
        <v>103.34</v>
      </c>
      <c r="I11" s="2">
        <f>SUMIF('Weekly Scores'!$A$2:$A$121,$A11,INDEX('Weekly Scores'!$T$2:$AJ$121,,I$1))</f>
        <v>93.6</v>
      </c>
      <c r="J11" s="2">
        <f>SUMIF('Weekly Scores'!$A$2:$A$121,$A11,INDEX('Weekly Scores'!$T$2:$AJ$121,,J$1))</f>
        <v>91.03</v>
      </c>
      <c r="K11" s="2">
        <f>SUMIF('Weekly Scores'!$A$2:$A$121,$A11,INDEX('Weekly Scores'!$T$2:$AJ$121,,K$1))</f>
        <v>96.669999999999987</v>
      </c>
      <c r="L11" s="2">
        <f>SUMIF('Weekly Scores'!$A$2:$A$121,$A11,INDEX('Weekly Scores'!$T$2:$AJ$121,,L$1))</f>
        <v>101.64</v>
      </c>
      <c r="M11" s="2">
        <f>SUMIF('Weekly Scores'!$A$2:$A$121,$A11,INDEX('Weekly Scores'!$T$2:$AJ$121,,M$1))</f>
        <v>98.310000000000016</v>
      </c>
      <c r="N11" s="2">
        <f>SUMIF('Weekly Scores'!$A$2:$A$121,$A11,INDEX('Weekly Scores'!$T$2:$AJ$121,,N$1))</f>
        <v>94.52</v>
      </c>
      <c r="O11" s="2">
        <f>SUMIF('Weekly Scores'!$A$2:$A$121,$A11,INDEX('Weekly Scores'!$T$2:$AJ$121,,O$1))</f>
        <v>97.990000000000009</v>
      </c>
      <c r="P11" s="2">
        <f>SUMIF('Weekly Scores'!$A$2:$A$121,$A11,INDEX('Weekly Scores'!$T$2:$AJ$121,,P$1))</f>
        <v>103.83</v>
      </c>
      <c r="Q11" s="2">
        <f>SUMIF('Weekly Scores'!$A$2:$A$121,$A11,INDEX('Weekly Scores'!$T$2:$AJ$121,,Q$1))</f>
        <v>105.57000000000001</v>
      </c>
      <c r="R11" s="2">
        <f>SUMIF('Weekly Scores'!$A$2:$A$121,$A11,INDEX('Weekly Scores'!$T$2:$AJ$121,,R$1))</f>
        <v>100.58</v>
      </c>
      <c r="S11" s="2">
        <f t="shared" si="1"/>
        <v>201.82</v>
      </c>
      <c r="T11" s="2">
        <f t="shared" si="2"/>
        <v>206.15</v>
      </c>
      <c r="V11" s="2">
        <f>AVERAGE(INDEX($B11:$N11,Week+1):INDEX($B11:$N11,13))</f>
        <v>97.428749999999994</v>
      </c>
      <c r="W11">
        <f t="shared" si="3"/>
        <v>10</v>
      </c>
      <c r="Y11">
        <v>10</v>
      </c>
      <c r="Z11">
        <v>1</v>
      </c>
      <c r="AA11">
        <v>5</v>
      </c>
      <c r="AB11" t="str">
        <f t="shared" si="4"/>
        <v>scott-10</v>
      </c>
      <c r="AC11">
        <f t="shared" si="5"/>
        <v>10</v>
      </c>
      <c r="AD11" s="56" t="str">
        <f t="shared" si="6"/>
        <v/>
      </c>
    </row>
    <row r="12" spans="1:44" ht="15.75" thickBot="1" x14ac:dyDescent="0.3">
      <c r="Y12">
        <v>11</v>
      </c>
      <c r="Z12">
        <v>1</v>
      </c>
      <c r="AA12">
        <v>4</v>
      </c>
      <c r="AB12" t="str">
        <f t="shared" si="4"/>
        <v>scott-11</v>
      </c>
      <c r="AC12">
        <f t="shared" si="5"/>
        <v>11</v>
      </c>
      <c r="AD12" s="56" t="str">
        <f t="shared" si="6"/>
        <v/>
      </c>
    </row>
    <row r="13" spans="1:44" x14ac:dyDescent="0.25">
      <c r="A13" t="s">
        <v>20</v>
      </c>
      <c r="B13" s="2">
        <f>SUMIF('Weekly Scores'!$A$2:$A$121,$A13,INDEX('Weekly Scores'!$AK$2:$BA$121,,B$1))</f>
        <v>0</v>
      </c>
      <c r="C13" s="2">
        <f>SUMIF('Weekly Scores'!$A$2:$A$121,$A13,INDEX('Weekly Scores'!$AK$2:$BA$121,,C$1))</f>
        <v>0</v>
      </c>
      <c r="D13" s="2">
        <f>SUMIF('Weekly Scores'!$A$2:$A$121,$A13,INDEX('Weekly Scores'!$AK$2:$BA$121,,D$1))</f>
        <v>0</v>
      </c>
      <c r="E13" s="2">
        <f>SUMIF('Weekly Scores'!$A$2:$A$121,$A13,INDEX('Weekly Scores'!$AK$2:$BA$121,,E$1))</f>
        <v>0</v>
      </c>
      <c r="F13" s="2">
        <f>SUMIF('Weekly Scores'!$A$2:$A$121,$A13,INDEX('Weekly Scores'!$AK$2:$BA$121,,F$1))</f>
        <v>490.17610000000008</v>
      </c>
      <c r="G13" s="2">
        <f>SUMIF('Weekly Scores'!$A$2:$A$121,$A13,INDEX('Weekly Scores'!$AK$2:$BA$121,,G$1))</f>
        <v>379.00150000000008</v>
      </c>
      <c r="H13" s="2">
        <f>SUMIF('Weekly Scores'!$A$2:$A$121,$A13,INDEX('Weekly Scores'!$AK$2:$BA$121,,H$1))</f>
        <v>440.22199999999998</v>
      </c>
      <c r="I13" s="2">
        <f>SUMIF('Weekly Scores'!$A$2:$A$121,$A13,INDEX('Weekly Scores'!$AK$2:$BA$121,,I$1))</f>
        <v>449.70740000000001</v>
      </c>
      <c r="J13" s="2">
        <f>SUMIF('Weekly Scores'!$A$2:$A$121,$A13,INDEX('Weekly Scores'!$AK$2:$BA$121,,J$1))</f>
        <v>452.37890000000004</v>
      </c>
      <c r="K13" s="2">
        <f>SUMIF('Weekly Scores'!$A$2:$A$121,$A13,INDEX('Weekly Scores'!$AK$2:$BA$121,,K$1))</f>
        <v>456.93399999999997</v>
      </c>
      <c r="L13" s="2">
        <f>SUMIF('Weekly Scores'!$A$2:$A$121,$A13,INDEX('Weekly Scores'!$AK$2:$BA$121,,L$1))</f>
        <v>428.5215</v>
      </c>
      <c r="M13" s="2">
        <f>SUMIF('Weekly Scores'!$A$2:$A$121,$A13,INDEX('Weekly Scores'!$AK$2:$BA$121,,M$1))</f>
        <v>423.25290000000001</v>
      </c>
      <c r="N13" s="2">
        <f>SUMIF('Weekly Scores'!$A$2:$A$121,$A13,INDEX('Weekly Scores'!$AK$2:$BA$121,,N$1))</f>
        <v>462.59000000000003</v>
      </c>
      <c r="O13" s="2">
        <f>SUMIF('Weekly Scores'!$A$2:$A$121,$A13,INDEX('Weekly Scores'!$AK$2:$BA$121,,O$1))</f>
        <v>499.87000000000006</v>
      </c>
      <c r="P13" s="2">
        <f>SUMIF('Weekly Scores'!$A$2:$A$121,$A13,INDEX('Weekly Scores'!$AK$2:$BA$121,,P$1))</f>
        <v>425.83260000000001</v>
      </c>
      <c r="Q13" s="2">
        <f>SUMIF('Weekly Scores'!$A$2:$A$121,$A13,INDEX('Weekly Scores'!$AK$2:$BA$121,,Q$1))</f>
        <v>491.05480000000011</v>
      </c>
      <c r="R13" s="2">
        <f>SUMIF('Weekly Scores'!$A$2:$A$121,$A13,INDEX('Weekly Scores'!$AK$2:$BA$121,,R$1))</f>
        <v>469.98390000000001</v>
      </c>
      <c r="S13" s="2">
        <f>O13+P13</f>
        <v>925.70260000000007</v>
      </c>
      <c r="T13" s="2">
        <f>R13+Q13</f>
        <v>961.03870000000006</v>
      </c>
      <c r="V13" s="141" t="s">
        <v>3886</v>
      </c>
      <c r="W13" s="142">
        <f>SUM(AD2:AD131)</f>
        <v>22.678870682990226</v>
      </c>
      <c r="Y13">
        <v>12</v>
      </c>
      <c r="Z13">
        <v>1</v>
      </c>
      <c r="AA13">
        <v>8</v>
      </c>
      <c r="AB13" t="str">
        <f t="shared" si="4"/>
        <v>scott-12</v>
      </c>
      <c r="AC13">
        <f t="shared" si="5"/>
        <v>12</v>
      </c>
      <c r="AD13" s="56" t="str">
        <f t="shared" si="6"/>
        <v/>
      </c>
    </row>
    <row r="14" spans="1:44" x14ac:dyDescent="0.25">
      <c r="A14" t="s">
        <v>16</v>
      </c>
      <c r="B14" s="2">
        <f>SUMIF('Weekly Scores'!$A$2:$A$121,$A14,INDEX('Weekly Scores'!$AK$2:$BA$121,,B$1))</f>
        <v>0</v>
      </c>
      <c r="C14" s="2">
        <f>SUMIF('Weekly Scores'!$A$2:$A$121,$A14,INDEX('Weekly Scores'!$AK$2:$BA$121,,C$1))</f>
        <v>0</v>
      </c>
      <c r="D14" s="2">
        <f>SUMIF('Weekly Scores'!$A$2:$A$121,$A14,INDEX('Weekly Scores'!$AK$2:$BA$121,,D$1))</f>
        <v>0</v>
      </c>
      <c r="E14" s="2">
        <f>SUMIF('Weekly Scores'!$A$2:$A$121,$A14,INDEX('Weekly Scores'!$AK$2:$BA$121,,E$1))</f>
        <v>0</v>
      </c>
      <c r="F14" s="2">
        <f>SUMIF('Weekly Scores'!$A$2:$A$121,$A14,INDEX('Weekly Scores'!$AK$2:$BA$121,,F$1))</f>
        <v>326.55839999999995</v>
      </c>
      <c r="G14" s="2">
        <f>SUMIF('Weekly Scores'!$A$2:$A$121,$A14,INDEX('Weekly Scores'!$AK$2:$BA$121,,G$1))</f>
        <v>373.57219999999995</v>
      </c>
      <c r="H14" s="2">
        <f>SUMIF('Weekly Scores'!$A$2:$A$121,$A14,INDEX('Weekly Scores'!$AK$2:$BA$121,,H$1))</f>
        <v>355.65879999999999</v>
      </c>
      <c r="I14" s="2">
        <f>SUMIF('Weekly Scores'!$A$2:$A$121,$A14,INDEX('Weekly Scores'!$AK$2:$BA$121,,I$1))</f>
        <v>363.43709999999999</v>
      </c>
      <c r="J14" s="2">
        <f>SUMIF('Weekly Scores'!$A$2:$A$121,$A14,INDEX('Weekly Scores'!$AK$2:$BA$121,,J$1))</f>
        <v>402.52690000000013</v>
      </c>
      <c r="K14" s="2">
        <f>SUMIF('Weekly Scores'!$A$2:$A$121,$A14,INDEX('Weekly Scores'!$AK$2:$BA$121,,K$1))</f>
        <v>404.64429999999993</v>
      </c>
      <c r="L14" s="2">
        <f>SUMIF('Weekly Scores'!$A$2:$A$121,$A14,INDEX('Weekly Scores'!$AK$2:$BA$121,,L$1))</f>
        <v>355.18600000000004</v>
      </c>
      <c r="M14" s="2">
        <f>SUMIF('Weekly Scores'!$A$2:$A$121,$A14,INDEX('Weekly Scores'!$AK$2:$BA$121,,M$1))</f>
        <v>412.16589999999991</v>
      </c>
      <c r="N14" s="2">
        <f>SUMIF('Weekly Scores'!$A$2:$A$121,$A14,INDEX('Weekly Scores'!$AK$2:$BA$121,,N$1))</f>
        <v>320.21050000000008</v>
      </c>
      <c r="O14" s="2">
        <f>SUMIF('Weekly Scores'!$A$2:$A$121,$A14,INDEX('Weekly Scores'!$AK$2:$BA$121,,O$1))</f>
        <v>387.54090000000008</v>
      </c>
      <c r="P14" s="2">
        <f>SUMIF('Weekly Scores'!$A$2:$A$121,$A14,INDEX('Weekly Scores'!$AK$2:$BA$121,,P$1))</f>
        <v>353.18029999999999</v>
      </c>
      <c r="Q14" s="2">
        <f>SUMIF('Weekly Scores'!$A$2:$A$121,$A14,INDEX('Weekly Scores'!$AK$2:$BA$121,,Q$1))</f>
        <v>367.58939999999996</v>
      </c>
      <c r="R14" s="2">
        <f>SUMIF('Weekly Scores'!$A$2:$A$121,$A14,INDEX('Weekly Scores'!$AK$2:$BA$121,,R$1))</f>
        <v>353.4384</v>
      </c>
      <c r="S14" s="2">
        <f t="shared" ref="S14:S22" si="7">O14+P14</f>
        <v>740.72120000000007</v>
      </c>
      <c r="T14" s="2">
        <f t="shared" ref="T14:T22" si="8">R14+Q14</f>
        <v>721.02779999999996</v>
      </c>
      <c r="V14" s="143" t="s">
        <v>3890</v>
      </c>
      <c r="W14" s="144">
        <f>W13/37</f>
        <v>0.61294245089162769</v>
      </c>
      <c r="Y14">
        <v>13</v>
      </c>
      <c r="Z14">
        <v>1</v>
      </c>
      <c r="AA14">
        <v>2</v>
      </c>
      <c r="AB14" t="str">
        <f t="shared" si="4"/>
        <v>scott-13</v>
      </c>
      <c r="AC14">
        <f t="shared" si="5"/>
        <v>13</v>
      </c>
      <c r="AD14" s="56" t="str">
        <f t="shared" si="6"/>
        <v/>
      </c>
    </row>
    <row r="15" spans="1:44" x14ac:dyDescent="0.25">
      <c r="A15" t="s">
        <v>55</v>
      </c>
      <c r="B15" s="2">
        <f>SUMIF('Weekly Scores'!$A$2:$A$121,$A15,INDEX('Weekly Scores'!$AK$2:$BA$121,,B$1))</f>
        <v>0</v>
      </c>
      <c r="C15" s="2">
        <f>SUMIF('Weekly Scores'!$A$2:$A$121,$A15,INDEX('Weekly Scores'!$AK$2:$BA$121,,C$1))</f>
        <v>0</v>
      </c>
      <c r="D15" s="2">
        <f>SUMIF('Weekly Scores'!$A$2:$A$121,$A15,INDEX('Weekly Scores'!$AK$2:$BA$121,,D$1))</f>
        <v>0</v>
      </c>
      <c r="E15" s="2">
        <f>SUMIF('Weekly Scores'!$A$2:$A$121,$A15,INDEX('Weekly Scores'!$AK$2:$BA$121,,E$1))</f>
        <v>0</v>
      </c>
      <c r="F15" s="2">
        <f>SUMIF('Weekly Scores'!$A$2:$A$121,$A15,INDEX('Weekly Scores'!$AK$2:$BA$121,,F$1))</f>
        <v>763.71510000000001</v>
      </c>
      <c r="G15" s="2">
        <f>SUMIF('Weekly Scores'!$A$2:$A$121,$A15,INDEX('Weekly Scores'!$AK$2:$BA$121,,G$1))</f>
        <v>479.99800000000005</v>
      </c>
      <c r="H15" s="2">
        <f>SUMIF('Weekly Scores'!$A$2:$A$121,$A15,INDEX('Weekly Scores'!$AK$2:$BA$121,,H$1))</f>
        <v>438.92689999999999</v>
      </c>
      <c r="I15" s="2">
        <f>SUMIF('Weekly Scores'!$A$2:$A$121,$A15,INDEX('Weekly Scores'!$AK$2:$BA$121,,I$1))</f>
        <v>460.03000000000009</v>
      </c>
      <c r="J15" s="2">
        <f>SUMIF('Weekly Scores'!$A$2:$A$121,$A15,INDEX('Weekly Scores'!$AK$2:$BA$121,,J$1))</f>
        <v>347.95859999999993</v>
      </c>
      <c r="K15" s="2">
        <f>SUMIF('Weekly Scores'!$A$2:$A$121,$A15,INDEX('Weekly Scores'!$AK$2:$BA$121,,K$1))</f>
        <v>363.84479999999996</v>
      </c>
      <c r="L15" s="2">
        <f>SUMIF('Weekly Scores'!$A$2:$A$121,$A15,INDEX('Weekly Scores'!$AK$2:$BA$121,,L$1))</f>
        <v>449.12279999999998</v>
      </c>
      <c r="M15" s="2">
        <f>SUMIF('Weekly Scores'!$A$2:$A$121,$A15,INDEX('Weekly Scores'!$AK$2:$BA$121,,M$1))</f>
        <v>420.84329999999994</v>
      </c>
      <c r="N15" s="2">
        <f>SUMIF('Weekly Scores'!$A$2:$A$121,$A15,INDEX('Weekly Scores'!$AK$2:$BA$121,,N$1))</f>
        <v>406.09120000000001</v>
      </c>
      <c r="O15" s="2">
        <f>SUMIF('Weekly Scores'!$A$2:$A$121,$A15,INDEX('Weekly Scores'!$AK$2:$BA$121,,O$1))</f>
        <v>447.43119999999993</v>
      </c>
      <c r="P15" s="2">
        <f>SUMIF('Weekly Scores'!$A$2:$A$121,$A15,INDEX('Weekly Scores'!$AK$2:$BA$121,,P$1))</f>
        <v>446.25159999999994</v>
      </c>
      <c r="Q15" s="2">
        <f>SUMIF('Weekly Scores'!$A$2:$A$121,$A15,INDEX('Weekly Scores'!$AK$2:$BA$121,,Q$1))</f>
        <v>379.69849999999997</v>
      </c>
      <c r="R15" s="2">
        <f>SUMIF('Weekly Scores'!$A$2:$A$121,$A15,INDEX('Weekly Scores'!$AK$2:$BA$121,,R$1))</f>
        <v>405.16819999999996</v>
      </c>
      <c r="S15" s="2">
        <f t="shared" si="7"/>
        <v>893.68279999999982</v>
      </c>
      <c r="T15" s="2">
        <f t="shared" si="8"/>
        <v>784.86669999999992</v>
      </c>
      <c r="V15" s="143"/>
      <c r="W15" s="145"/>
      <c r="Y15">
        <v>1</v>
      </c>
      <c r="Z15">
        <v>2</v>
      </c>
      <c r="AA15">
        <v>8</v>
      </c>
      <c r="AB15" t="str">
        <f t="shared" si="4"/>
        <v>cory-1</v>
      </c>
      <c r="AC15">
        <f t="shared" si="5"/>
        <v>14</v>
      </c>
      <c r="AD15" s="56">
        <f t="shared" si="6"/>
        <v>1</v>
      </c>
    </row>
    <row r="16" spans="1:44" x14ac:dyDescent="0.25">
      <c r="A16" t="s">
        <v>35</v>
      </c>
      <c r="B16" s="2">
        <f>SUMIF('Weekly Scores'!$A$2:$A$121,$A16,INDEX('Weekly Scores'!$AK$2:$BA$121,,B$1))</f>
        <v>0</v>
      </c>
      <c r="C16" s="2">
        <f>SUMIF('Weekly Scores'!$A$2:$A$121,$A16,INDEX('Weekly Scores'!$AK$2:$BA$121,,C$1))</f>
        <v>0</v>
      </c>
      <c r="D16" s="2">
        <f>SUMIF('Weekly Scores'!$A$2:$A$121,$A16,INDEX('Weekly Scores'!$AK$2:$BA$121,,D$1))</f>
        <v>0</v>
      </c>
      <c r="E16" s="2">
        <f>SUMIF('Weekly Scores'!$A$2:$A$121,$A16,INDEX('Weekly Scores'!$AK$2:$BA$121,,E$1))</f>
        <v>0</v>
      </c>
      <c r="F16" s="2">
        <f>SUMIF('Weekly Scores'!$A$2:$A$121,$A16,INDEX('Weekly Scores'!$AK$2:$BA$121,,F$1))</f>
        <v>371.72199999999998</v>
      </c>
      <c r="G16" s="2">
        <f>SUMIF('Weekly Scores'!$A$2:$A$121,$A16,INDEX('Weekly Scores'!$AK$2:$BA$121,,G$1))</f>
        <v>399.24950000000001</v>
      </c>
      <c r="H16" s="2">
        <f>SUMIF('Weekly Scores'!$A$2:$A$121,$A16,INDEX('Weekly Scores'!$AK$2:$BA$121,,H$1))</f>
        <v>367.17090000000002</v>
      </c>
      <c r="I16" s="2">
        <f>SUMIF('Weekly Scores'!$A$2:$A$121,$A16,INDEX('Weekly Scores'!$AK$2:$BA$121,,I$1))</f>
        <v>366.57740000000001</v>
      </c>
      <c r="J16" s="2">
        <f>SUMIF('Weekly Scores'!$A$2:$A$121,$A16,INDEX('Weekly Scores'!$AK$2:$BA$121,,J$1))</f>
        <v>394.76170000000002</v>
      </c>
      <c r="K16" s="2">
        <f>SUMIF('Weekly Scores'!$A$2:$A$121,$A16,INDEX('Weekly Scores'!$AK$2:$BA$121,,K$1))</f>
        <v>396.55950000000001</v>
      </c>
      <c r="L16" s="2">
        <f>SUMIF('Weekly Scores'!$A$2:$A$121,$A16,INDEX('Weekly Scores'!$AK$2:$BA$121,,L$1))</f>
        <v>392.63210000000004</v>
      </c>
      <c r="M16" s="2">
        <f>SUMIF('Weekly Scores'!$A$2:$A$121,$A16,INDEX('Weekly Scores'!$AK$2:$BA$121,,M$1))</f>
        <v>362.18360000000007</v>
      </c>
      <c r="N16" s="2">
        <f>SUMIF('Weekly Scores'!$A$2:$A$121,$A16,INDEX('Weekly Scores'!$AK$2:$BA$121,,N$1))</f>
        <v>424.23540000000003</v>
      </c>
      <c r="O16" s="2">
        <f>SUMIF('Weekly Scores'!$A$2:$A$121,$A16,INDEX('Weekly Scores'!$AK$2:$BA$121,,O$1))</f>
        <v>415.34820000000008</v>
      </c>
      <c r="P16" s="2">
        <f>SUMIF('Weekly Scores'!$A$2:$A$121,$A16,INDEX('Weekly Scores'!$AK$2:$BA$121,,P$1))</f>
        <v>361.95700000000005</v>
      </c>
      <c r="Q16" s="2">
        <f>SUMIF('Weekly Scores'!$A$2:$A$121,$A16,INDEX('Weekly Scores'!$AK$2:$BA$121,,Q$1))</f>
        <v>371.49580000000003</v>
      </c>
      <c r="R16" s="2">
        <f>SUMIF('Weekly Scores'!$A$2:$A$121,$A16,INDEX('Weekly Scores'!$AK$2:$BA$121,,R$1))</f>
        <v>399.84190000000001</v>
      </c>
      <c r="S16" s="2">
        <f t="shared" si="7"/>
        <v>777.30520000000013</v>
      </c>
      <c r="T16" s="2">
        <f t="shared" si="8"/>
        <v>771.33770000000004</v>
      </c>
      <c r="V16" s="143" t="s">
        <v>3887</v>
      </c>
      <c r="W16" s="145">
        <f>COUNTIF($AD$2:$AD$131,1)</f>
        <v>10</v>
      </c>
      <c r="Y16">
        <v>2</v>
      </c>
      <c r="Z16">
        <v>2</v>
      </c>
      <c r="AA16">
        <v>5</v>
      </c>
      <c r="AB16" t="str">
        <f t="shared" si="4"/>
        <v>cory-2</v>
      </c>
      <c r="AC16">
        <f t="shared" si="5"/>
        <v>15</v>
      </c>
      <c r="AD16" s="56" t="str">
        <f t="shared" si="6"/>
        <v/>
      </c>
    </row>
    <row r="17" spans="1:30" x14ac:dyDescent="0.25">
      <c r="A17" t="s">
        <v>27</v>
      </c>
      <c r="B17" s="2">
        <f>SUMIF('Weekly Scores'!$A$2:$A$121,$A17,INDEX('Weekly Scores'!$AK$2:$BA$121,,B$1))</f>
        <v>0</v>
      </c>
      <c r="C17" s="2">
        <f>SUMIF('Weekly Scores'!$A$2:$A$121,$A17,INDEX('Weekly Scores'!$AK$2:$BA$121,,C$1))</f>
        <v>0</v>
      </c>
      <c r="D17" s="2">
        <f>SUMIF('Weekly Scores'!$A$2:$A$121,$A17,INDEX('Weekly Scores'!$AK$2:$BA$121,,D$1))</f>
        <v>0</v>
      </c>
      <c r="E17" s="2">
        <f>SUMIF('Weekly Scores'!$A$2:$A$121,$A17,INDEX('Weekly Scores'!$AK$2:$BA$121,,E$1))</f>
        <v>0</v>
      </c>
      <c r="F17" s="2">
        <f>SUMIF('Weekly Scores'!$A$2:$A$121,$A17,INDEX('Weekly Scores'!$AK$2:$BA$121,,F$1))</f>
        <v>393.9452</v>
      </c>
      <c r="G17" s="2">
        <f>SUMIF('Weekly Scores'!$A$2:$A$121,$A17,INDEX('Weekly Scores'!$AK$2:$BA$121,,G$1))</f>
        <v>433.51170000000008</v>
      </c>
      <c r="H17" s="2">
        <f>SUMIF('Weekly Scores'!$A$2:$A$121,$A17,INDEX('Weekly Scores'!$AK$2:$BA$121,,H$1))</f>
        <v>342.00120000000004</v>
      </c>
      <c r="I17" s="2">
        <f>SUMIF('Weekly Scores'!$A$2:$A$121,$A17,INDEX('Weekly Scores'!$AK$2:$BA$121,,I$1))</f>
        <v>391.93540000000002</v>
      </c>
      <c r="J17" s="2">
        <f>SUMIF('Weekly Scores'!$A$2:$A$121,$A17,INDEX('Weekly Scores'!$AK$2:$BA$121,,J$1))</f>
        <v>398.51049999999998</v>
      </c>
      <c r="K17" s="2">
        <f>SUMIF('Weekly Scores'!$A$2:$A$121,$A17,INDEX('Weekly Scores'!$AK$2:$BA$121,,K$1))</f>
        <v>343.40369999999996</v>
      </c>
      <c r="L17" s="2">
        <f>SUMIF('Weekly Scores'!$A$2:$A$121,$A17,INDEX('Weekly Scores'!$AK$2:$BA$121,,L$1))</f>
        <v>409.76599999999996</v>
      </c>
      <c r="M17" s="2">
        <f>SUMIF('Weekly Scores'!$A$2:$A$121,$A17,INDEX('Weekly Scores'!$AK$2:$BA$121,,M$1))</f>
        <v>426.73990000000009</v>
      </c>
      <c r="N17" s="2">
        <f>SUMIF('Weekly Scores'!$A$2:$A$121,$A17,INDEX('Weekly Scores'!$AK$2:$BA$121,,N$1))</f>
        <v>408.0872</v>
      </c>
      <c r="O17" s="2">
        <f>SUMIF('Weekly Scores'!$A$2:$A$121,$A17,INDEX('Weekly Scores'!$AK$2:$BA$121,,O$1))</f>
        <v>399.28480000000002</v>
      </c>
      <c r="P17" s="2">
        <f>SUMIF('Weekly Scores'!$A$2:$A$121,$A17,INDEX('Weekly Scores'!$AK$2:$BA$121,,P$1))</f>
        <v>373.3304</v>
      </c>
      <c r="Q17" s="2">
        <f>SUMIF('Weekly Scores'!$A$2:$A$121,$A17,INDEX('Weekly Scores'!$AK$2:$BA$121,,Q$1))</f>
        <v>396.35340000000002</v>
      </c>
      <c r="R17" s="2">
        <f>SUMIF('Weekly Scores'!$A$2:$A$121,$A17,INDEX('Weekly Scores'!$AK$2:$BA$121,,R$1))</f>
        <v>445.20300000000003</v>
      </c>
      <c r="S17" s="2">
        <f t="shared" si="7"/>
        <v>772.61519999999996</v>
      </c>
      <c r="T17" s="2">
        <f t="shared" si="8"/>
        <v>841.55640000000005</v>
      </c>
      <c r="V17" s="143" t="s">
        <v>3888</v>
      </c>
      <c r="W17" s="145">
        <f>COUNTIF($AD$2:$AD$131,0)</f>
        <v>0</v>
      </c>
      <c r="Y17">
        <v>3</v>
      </c>
      <c r="Z17">
        <v>2</v>
      </c>
      <c r="AA17">
        <v>7</v>
      </c>
      <c r="AB17" t="str">
        <f t="shared" si="4"/>
        <v>cory-3</v>
      </c>
      <c r="AC17">
        <f t="shared" si="5"/>
        <v>16</v>
      </c>
      <c r="AD17" s="56" t="str">
        <f t="shared" si="6"/>
        <v/>
      </c>
    </row>
    <row r="18" spans="1:30" x14ac:dyDescent="0.25">
      <c r="A18" t="s">
        <v>62</v>
      </c>
      <c r="B18" s="2">
        <f>SUMIF('Weekly Scores'!$A$2:$A$121,$A18,INDEX('Weekly Scores'!$AK$2:$BA$121,,B$1))</f>
        <v>0</v>
      </c>
      <c r="C18" s="2">
        <f>SUMIF('Weekly Scores'!$A$2:$A$121,$A18,INDEX('Weekly Scores'!$AK$2:$BA$121,,C$1))</f>
        <v>0</v>
      </c>
      <c r="D18" s="2">
        <f>SUMIF('Weekly Scores'!$A$2:$A$121,$A18,INDEX('Weekly Scores'!$AK$2:$BA$121,,D$1))</f>
        <v>0</v>
      </c>
      <c r="E18" s="2">
        <f>SUMIF('Weekly Scores'!$A$2:$A$121,$A18,INDEX('Weekly Scores'!$AK$2:$BA$121,,E$1))</f>
        <v>0</v>
      </c>
      <c r="F18" s="2">
        <f>SUMIF('Weekly Scores'!$A$2:$A$121,$A18,INDEX('Weekly Scores'!$AK$2:$BA$121,,F$1))</f>
        <v>391.17150000000004</v>
      </c>
      <c r="G18" s="2">
        <f>SUMIF('Weekly Scores'!$A$2:$A$121,$A18,INDEX('Weekly Scores'!$AK$2:$BA$121,,G$1))</f>
        <v>457.45920000000001</v>
      </c>
      <c r="H18" s="2">
        <f>SUMIF('Weekly Scores'!$A$2:$A$121,$A18,INDEX('Weekly Scores'!$AK$2:$BA$121,,H$1))</f>
        <v>465.69209999999998</v>
      </c>
      <c r="I18" s="2">
        <f>SUMIF('Weekly Scores'!$A$2:$A$121,$A18,INDEX('Weekly Scores'!$AK$2:$BA$121,,I$1))</f>
        <v>468.12379999999996</v>
      </c>
      <c r="J18" s="2">
        <f>SUMIF('Weekly Scores'!$A$2:$A$121,$A18,INDEX('Weekly Scores'!$AK$2:$BA$121,,J$1))</f>
        <v>477.20149999999995</v>
      </c>
      <c r="K18" s="2">
        <f>SUMIF('Weekly Scores'!$A$2:$A$121,$A18,INDEX('Weekly Scores'!$AK$2:$BA$121,,K$1))</f>
        <v>446.33889999999997</v>
      </c>
      <c r="L18" s="2">
        <f>SUMIF('Weekly Scores'!$A$2:$A$121,$A18,INDEX('Weekly Scores'!$AK$2:$BA$121,,L$1))</f>
        <v>466.6443000000001</v>
      </c>
      <c r="M18" s="2">
        <f>SUMIF('Weekly Scores'!$A$2:$A$121,$A18,INDEX('Weekly Scores'!$AK$2:$BA$121,,M$1))</f>
        <v>427.05540000000008</v>
      </c>
      <c r="N18" s="2">
        <f>SUMIF('Weekly Scores'!$A$2:$A$121,$A18,INDEX('Weekly Scores'!$AK$2:$BA$121,,N$1))</f>
        <v>495.99799999999993</v>
      </c>
      <c r="O18" s="2">
        <f>SUMIF('Weekly Scores'!$A$2:$A$121,$A18,INDEX('Weekly Scores'!$AK$2:$BA$121,,O$1))</f>
        <v>443.19029999999998</v>
      </c>
      <c r="P18" s="2">
        <f>SUMIF('Weekly Scores'!$A$2:$A$121,$A18,INDEX('Weekly Scores'!$AK$2:$BA$121,,P$1))</f>
        <v>496.54059999999998</v>
      </c>
      <c r="Q18" s="2">
        <f>SUMIF('Weekly Scores'!$A$2:$A$121,$A18,INDEX('Weekly Scores'!$AK$2:$BA$121,,Q$1))</f>
        <v>431.38</v>
      </c>
      <c r="R18" s="2">
        <f>SUMIF('Weekly Scores'!$A$2:$A$121,$A18,INDEX('Weekly Scores'!$AK$2:$BA$121,,R$1))</f>
        <v>449.19370000000004</v>
      </c>
      <c r="S18" s="2">
        <f t="shared" si="7"/>
        <v>939.73090000000002</v>
      </c>
      <c r="T18" s="2">
        <f t="shared" si="8"/>
        <v>880.57370000000003</v>
      </c>
      <c r="V18" s="143"/>
      <c r="W18" s="145"/>
      <c r="Y18">
        <v>4</v>
      </c>
      <c r="Z18">
        <v>2</v>
      </c>
      <c r="AA18">
        <v>1</v>
      </c>
      <c r="AB18" t="str">
        <f t="shared" si="4"/>
        <v>cory-4</v>
      </c>
      <c r="AC18">
        <f t="shared" si="5"/>
        <v>16</v>
      </c>
      <c r="AD18" s="56">
        <f t="shared" si="6"/>
        <v>1</v>
      </c>
    </row>
    <row r="19" spans="1:30" x14ac:dyDescent="0.25">
      <c r="A19" t="s">
        <v>1648</v>
      </c>
      <c r="B19" s="2">
        <f>SUMIF('Weekly Scores'!$A$2:$A$121,$A19,INDEX('Weekly Scores'!$AK$2:$BA$121,,B$1))</f>
        <v>0</v>
      </c>
      <c r="C19" s="2">
        <f>SUMIF('Weekly Scores'!$A$2:$A$121,$A19,INDEX('Weekly Scores'!$AK$2:$BA$121,,C$1))</f>
        <v>0</v>
      </c>
      <c r="D19" s="2">
        <f>SUMIF('Weekly Scores'!$A$2:$A$121,$A19,INDEX('Weekly Scores'!$AK$2:$BA$121,,D$1))</f>
        <v>0</v>
      </c>
      <c r="E19" s="2">
        <f>SUMIF('Weekly Scores'!$A$2:$A$121,$A19,INDEX('Weekly Scores'!$AK$2:$BA$121,,E$1))</f>
        <v>0</v>
      </c>
      <c r="F19" s="2">
        <f>SUMIF('Weekly Scores'!$A$2:$A$121,$A19,INDEX('Weekly Scores'!$AK$2:$BA$121,,F$1))</f>
        <v>235.17039999999997</v>
      </c>
      <c r="G19" s="2">
        <f>SUMIF('Weekly Scores'!$A$2:$A$121,$A19,INDEX('Weekly Scores'!$AK$2:$BA$121,,G$1))</f>
        <v>333.69279999999998</v>
      </c>
      <c r="H19" s="2">
        <f>SUMIF('Weekly Scores'!$A$2:$A$121,$A19,INDEX('Weekly Scores'!$AK$2:$BA$121,,H$1))</f>
        <v>394.70159999999998</v>
      </c>
      <c r="I19" s="2">
        <f>SUMIF('Weekly Scores'!$A$2:$A$121,$A19,INDEX('Weekly Scores'!$AK$2:$BA$121,,I$1))</f>
        <v>405.06490000000008</v>
      </c>
      <c r="J19" s="2">
        <f>SUMIF('Weekly Scores'!$A$2:$A$121,$A19,INDEX('Weekly Scores'!$AK$2:$BA$121,,J$1))</f>
        <v>335.95609999999999</v>
      </c>
      <c r="K19" s="2">
        <f>SUMIF('Weekly Scores'!$A$2:$A$121,$A19,INDEX('Weekly Scores'!$AK$2:$BA$121,,K$1))</f>
        <v>357.47739999999999</v>
      </c>
      <c r="L19" s="2">
        <f>SUMIF('Weekly Scores'!$A$2:$A$121,$A19,INDEX('Weekly Scores'!$AK$2:$BA$121,,L$1))</f>
        <v>381.34530000000001</v>
      </c>
      <c r="M19" s="2">
        <f>SUMIF('Weekly Scores'!$A$2:$A$121,$A19,INDEX('Weekly Scores'!$AK$2:$BA$121,,M$1))</f>
        <v>338.76970000000006</v>
      </c>
      <c r="N19" s="2">
        <f>SUMIF('Weekly Scores'!$A$2:$A$121,$A19,INDEX('Weekly Scores'!$AK$2:$BA$121,,N$1))</f>
        <v>342.54860000000002</v>
      </c>
      <c r="O19" s="2">
        <f>SUMIF('Weekly Scores'!$A$2:$A$121,$A19,INDEX('Weekly Scores'!$AK$2:$BA$121,,O$1))</f>
        <v>408.00139999999993</v>
      </c>
      <c r="P19" s="2">
        <f>SUMIF('Weekly Scores'!$A$2:$A$121,$A19,INDEX('Weekly Scores'!$AK$2:$BA$121,,P$1))</f>
        <v>352.27370000000008</v>
      </c>
      <c r="Q19" s="2">
        <f>SUMIF('Weekly Scores'!$A$2:$A$121,$A19,INDEX('Weekly Scores'!$AK$2:$BA$121,,Q$1))</f>
        <v>349.93510000000003</v>
      </c>
      <c r="R19" s="2">
        <f>SUMIF('Weekly Scores'!$A$2:$A$121,$A19,INDEX('Weekly Scores'!$AK$2:$BA$121,,R$1))</f>
        <v>419.26390000000004</v>
      </c>
      <c r="S19" s="2">
        <f t="shared" si="7"/>
        <v>760.27510000000007</v>
      </c>
      <c r="T19" s="2">
        <f t="shared" si="8"/>
        <v>769.19900000000007</v>
      </c>
      <c r="V19" s="143" t="s">
        <v>3891</v>
      </c>
      <c r="W19" s="145">
        <f>37-W16-W17</f>
        <v>27</v>
      </c>
      <c r="Y19">
        <v>5</v>
      </c>
      <c r="Z19">
        <v>2</v>
      </c>
      <c r="AA19">
        <v>4</v>
      </c>
      <c r="AB19" t="str">
        <f t="shared" si="4"/>
        <v>cory-5</v>
      </c>
      <c r="AC19">
        <f t="shared" si="5"/>
        <v>17</v>
      </c>
      <c r="AD19" s="56">
        <f t="shared" si="6"/>
        <v>0.28411106749471321</v>
      </c>
    </row>
    <row r="20" spans="1:30" x14ac:dyDescent="0.25">
      <c r="A20" t="s">
        <v>23</v>
      </c>
      <c r="B20" s="2">
        <f>SUMIF('Weekly Scores'!$A$2:$A$121,$A20,INDEX('Weekly Scores'!$AK$2:$BA$121,,B$1))</f>
        <v>0</v>
      </c>
      <c r="C20" s="2">
        <f>SUMIF('Weekly Scores'!$A$2:$A$121,$A20,INDEX('Weekly Scores'!$AK$2:$BA$121,,C$1))</f>
        <v>0</v>
      </c>
      <c r="D20" s="2">
        <f>SUMIF('Weekly Scores'!$A$2:$A$121,$A20,INDEX('Weekly Scores'!$AK$2:$BA$121,,D$1))</f>
        <v>0</v>
      </c>
      <c r="E20" s="2">
        <f>SUMIF('Weekly Scores'!$A$2:$A$121,$A20,INDEX('Weekly Scores'!$AK$2:$BA$121,,E$1))</f>
        <v>0</v>
      </c>
      <c r="F20" s="2">
        <f>SUMIF('Weekly Scores'!$A$2:$A$121,$A20,INDEX('Weekly Scores'!$AK$2:$BA$121,,F$1))</f>
        <v>478.47889999999995</v>
      </c>
      <c r="G20" s="2">
        <f>SUMIF('Weekly Scores'!$A$2:$A$121,$A20,INDEX('Weekly Scores'!$AK$2:$BA$121,,G$1))</f>
        <v>432.52990000000005</v>
      </c>
      <c r="H20" s="2">
        <f>SUMIF('Weekly Scores'!$A$2:$A$121,$A20,INDEX('Weekly Scores'!$AK$2:$BA$121,,H$1))</f>
        <v>405.05730000000005</v>
      </c>
      <c r="I20" s="2">
        <f>SUMIF('Weekly Scores'!$A$2:$A$121,$A20,INDEX('Weekly Scores'!$AK$2:$BA$121,,I$1))</f>
        <v>382.75790000000001</v>
      </c>
      <c r="J20" s="2">
        <f>SUMIF('Weekly Scores'!$A$2:$A$121,$A20,INDEX('Weekly Scores'!$AK$2:$BA$121,,J$1))</f>
        <v>467.57480000000004</v>
      </c>
      <c r="K20" s="2">
        <f>SUMIF('Weekly Scores'!$A$2:$A$121,$A20,INDEX('Weekly Scores'!$AK$2:$BA$121,,K$1))</f>
        <v>400.35449999999997</v>
      </c>
      <c r="L20" s="2">
        <f>SUMIF('Weekly Scores'!$A$2:$A$121,$A20,INDEX('Weekly Scores'!$AK$2:$BA$121,,L$1))</f>
        <v>461.61259999999999</v>
      </c>
      <c r="M20" s="2">
        <f>SUMIF('Weekly Scores'!$A$2:$A$121,$A20,INDEX('Weekly Scores'!$AK$2:$BA$121,,M$1))</f>
        <v>384.5727</v>
      </c>
      <c r="N20" s="2">
        <f>SUMIF('Weekly Scores'!$A$2:$A$121,$A20,INDEX('Weekly Scores'!$AK$2:$BA$121,,N$1))</f>
        <v>469.66329999999999</v>
      </c>
      <c r="O20" s="2">
        <f>SUMIF('Weekly Scores'!$A$2:$A$121,$A20,INDEX('Weekly Scores'!$AK$2:$BA$121,,O$1))</f>
        <v>456.16700000000003</v>
      </c>
      <c r="P20" s="2">
        <f>SUMIF('Weekly Scores'!$A$2:$A$121,$A20,INDEX('Weekly Scores'!$AK$2:$BA$121,,P$1))</f>
        <v>418.40690000000012</v>
      </c>
      <c r="Q20" s="2">
        <f>SUMIF('Weekly Scores'!$A$2:$A$121,$A20,INDEX('Weekly Scores'!$AK$2:$BA$121,,Q$1))</f>
        <v>461.27259999999995</v>
      </c>
      <c r="R20" s="2">
        <f>SUMIF('Weekly Scores'!$A$2:$A$121,$A20,INDEX('Weekly Scores'!$AK$2:$BA$121,,R$1))</f>
        <v>495.75060000000002</v>
      </c>
      <c r="S20" s="2">
        <f t="shared" si="7"/>
        <v>874.57390000000009</v>
      </c>
      <c r="T20" s="2">
        <f t="shared" si="8"/>
        <v>957.02319999999997</v>
      </c>
      <c r="V20" s="143" t="s">
        <v>3889</v>
      </c>
      <c r="W20" s="146">
        <f>W13-W16</f>
        <v>12.678870682990226</v>
      </c>
      <c r="Y20">
        <v>6</v>
      </c>
      <c r="Z20">
        <v>2</v>
      </c>
      <c r="AA20">
        <v>3</v>
      </c>
      <c r="AB20" t="str">
        <f t="shared" si="4"/>
        <v>cory-6</v>
      </c>
      <c r="AC20">
        <f t="shared" si="5"/>
        <v>18</v>
      </c>
      <c r="AD20" s="56" t="str">
        <f t="shared" si="6"/>
        <v/>
      </c>
    </row>
    <row r="21" spans="1:30" ht="15.75" thickBot="1" x14ac:dyDescent="0.3">
      <c r="A21" t="s">
        <v>49</v>
      </c>
      <c r="B21" s="2">
        <f>SUMIF('Weekly Scores'!$A$2:$A$121,$A21,INDEX('Weekly Scores'!$AK$2:$BA$121,,B$1))</f>
        <v>0</v>
      </c>
      <c r="C21" s="2">
        <f>SUMIF('Weekly Scores'!$A$2:$A$121,$A21,INDEX('Weekly Scores'!$AK$2:$BA$121,,C$1))</f>
        <v>0</v>
      </c>
      <c r="D21" s="2">
        <f>SUMIF('Weekly Scores'!$A$2:$A$121,$A21,INDEX('Weekly Scores'!$AK$2:$BA$121,,D$1))</f>
        <v>0</v>
      </c>
      <c r="E21" s="2">
        <f>SUMIF('Weekly Scores'!$A$2:$A$121,$A21,INDEX('Weekly Scores'!$AK$2:$BA$121,,E$1))</f>
        <v>0</v>
      </c>
      <c r="F21" s="2">
        <f>SUMIF('Weekly Scores'!$A$2:$A$121,$A21,INDEX('Weekly Scores'!$AK$2:$BA$121,,F$1))</f>
        <v>487.98720000000003</v>
      </c>
      <c r="G21" s="2">
        <f>SUMIF('Weekly Scores'!$A$2:$A$121,$A21,INDEX('Weekly Scores'!$AK$2:$BA$121,,G$1))</f>
        <v>491.31809999999996</v>
      </c>
      <c r="H21" s="2">
        <f>SUMIF('Weekly Scores'!$A$2:$A$121,$A21,INDEX('Weekly Scores'!$AK$2:$BA$121,,H$1))</f>
        <v>498.19350000000003</v>
      </c>
      <c r="I21" s="2">
        <f>SUMIF('Weekly Scores'!$A$2:$A$121,$A21,INDEX('Weekly Scores'!$AK$2:$BA$121,,I$1))</f>
        <v>512.92769999999996</v>
      </c>
      <c r="J21" s="2">
        <f>SUMIF('Weekly Scores'!$A$2:$A$121,$A21,INDEX('Weekly Scores'!$AK$2:$BA$121,,J$1))</f>
        <v>402.60670000000005</v>
      </c>
      <c r="K21" s="2">
        <f>SUMIF('Weekly Scores'!$A$2:$A$121,$A21,INDEX('Weekly Scores'!$AK$2:$BA$121,,K$1))</f>
        <v>537.76670000000001</v>
      </c>
      <c r="L21" s="2">
        <f>SUMIF('Weekly Scores'!$A$2:$A$121,$A21,INDEX('Weekly Scores'!$AK$2:$BA$121,,L$1))</f>
        <v>517.40019999999993</v>
      </c>
      <c r="M21" s="2">
        <f>SUMIF('Weekly Scores'!$A$2:$A$121,$A21,INDEX('Weekly Scores'!$AK$2:$BA$121,,M$1))</f>
        <v>476.85540000000003</v>
      </c>
      <c r="N21" s="2">
        <f>SUMIF('Weekly Scores'!$A$2:$A$121,$A21,INDEX('Weekly Scores'!$AK$2:$BA$121,,N$1))</f>
        <v>580.8596</v>
      </c>
      <c r="O21" s="2">
        <f>SUMIF('Weekly Scores'!$A$2:$A$121,$A21,INDEX('Weekly Scores'!$AK$2:$BA$121,,O$1))</f>
        <v>588.53</v>
      </c>
      <c r="P21" s="2">
        <f>SUMIF('Weekly Scores'!$A$2:$A$121,$A21,INDEX('Weekly Scores'!$AK$2:$BA$121,,P$1))</f>
        <v>604.14569999999992</v>
      </c>
      <c r="Q21" s="2">
        <f>SUMIF('Weekly Scores'!$A$2:$A$121,$A21,INDEX('Weekly Scores'!$AK$2:$BA$121,,Q$1))</f>
        <v>553.81089999999995</v>
      </c>
      <c r="R21" s="2">
        <f>SUMIF('Weekly Scores'!$A$2:$A$121,$A21,INDEX('Weekly Scores'!$AK$2:$BA$121,,R$1))</f>
        <v>526.33180000000004</v>
      </c>
      <c r="S21" s="2">
        <f t="shared" si="7"/>
        <v>1192.6756999999998</v>
      </c>
      <c r="T21" s="2">
        <f t="shared" si="8"/>
        <v>1080.1426999999999</v>
      </c>
      <c r="V21" s="147" t="s">
        <v>3890</v>
      </c>
      <c r="W21" s="148">
        <f>W20/W19</f>
        <v>0.46958780307371206</v>
      </c>
      <c r="Y21">
        <v>7</v>
      </c>
      <c r="Z21">
        <v>2</v>
      </c>
      <c r="AA21">
        <v>10</v>
      </c>
      <c r="AB21" t="str">
        <f t="shared" si="4"/>
        <v>cory-7</v>
      </c>
      <c r="AC21">
        <f t="shared" si="5"/>
        <v>19</v>
      </c>
      <c r="AD21" s="56">
        <f t="shared" si="6"/>
        <v>0.53182791690760634</v>
      </c>
    </row>
    <row r="22" spans="1:30" x14ac:dyDescent="0.25">
      <c r="A22" t="s">
        <v>44</v>
      </c>
      <c r="B22" s="2">
        <f>SUMIF('Weekly Scores'!$A$2:$A$121,$A22,INDEX('Weekly Scores'!$AK$2:$BA$121,,B$1))</f>
        <v>0</v>
      </c>
      <c r="C22" s="2">
        <f>SUMIF('Weekly Scores'!$A$2:$A$121,$A22,INDEX('Weekly Scores'!$AK$2:$BA$121,,C$1))</f>
        <v>0</v>
      </c>
      <c r="D22" s="2">
        <f>SUMIF('Weekly Scores'!$A$2:$A$121,$A22,INDEX('Weekly Scores'!$AK$2:$BA$121,,D$1))</f>
        <v>0</v>
      </c>
      <c r="E22" s="2">
        <f>SUMIF('Weekly Scores'!$A$2:$A$121,$A22,INDEX('Weekly Scores'!$AK$2:$BA$121,,E$1))</f>
        <v>0</v>
      </c>
      <c r="F22" s="2">
        <f>SUMIF('Weekly Scores'!$A$2:$A$121,$A22,INDEX('Weekly Scores'!$AK$2:$BA$121,,F$1))</f>
        <v>422.40490000000005</v>
      </c>
      <c r="G22" s="2">
        <f>SUMIF('Weekly Scores'!$A$2:$A$121,$A22,INDEX('Weekly Scores'!$AK$2:$BA$121,,G$1))</f>
        <v>456.78859999999997</v>
      </c>
      <c r="H22" s="2">
        <f>SUMIF('Weekly Scores'!$A$2:$A$121,$A22,INDEX('Weekly Scores'!$AK$2:$BA$121,,H$1))</f>
        <v>389.40539999999993</v>
      </c>
      <c r="I22" s="2">
        <f>SUMIF('Weekly Scores'!$A$2:$A$121,$A22,INDEX('Weekly Scores'!$AK$2:$BA$121,,I$1))</f>
        <v>365.15859999999998</v>
      </c>
      <c r="J22" s="2">
        <f>SUMIF('Weekly Scores'!$A$2:$A$121,$A22,INDEX('Weekly Scores'!$AK$2:$BA$121,,J$1))</f>
        <v>334.6001</v>
      </c>
      <c r="K22" s="2">
        <f>SUMIF('Weekly Scores'!$A$2:$A$121,$A22,INDEX('Weekly Scores'!$AK$2:$BA$121,,K$1))</f>
        <v>377.93680000000006</v>
      </c>
      <c r="L22" s="2">
        <f>SUMIF('Weekly Scores'!$A$2:$A$121,$A22,INDEX('Weekly Scores'!$AK$2:$BA$121,,L$1))</f>
        <v>406.8202</v>
      </c>
      <c r="M22" s="2">
        <f>SUMIF('Weekly Scores'!$A$2:$A$121,$A22,INDEX('Weekly Scores'!$AK$2:$BA$121,,M$1))</f>
        <v>332.52330000000001</v>
      </c>
      <c r="N22" s="2">
        <f>SUMIF('Weekly Scores'!$A$2:$A$121,$A22,INDEX('Weekly Scores'!$AK$2:$BA$121,,N$1))</f>
        <v>334.88169999999997</v>
      </c>
      <c r="O22" s="2">
        <f>SUMIF('Weekly Scores'!$A$2:$A$121,$A22,INDEX('Weekly Scores'!$AK$2:$BA$121,,O$1))</f>
        <v>393.33370000000002</v>
      </c>
      <c r="P22" s="2">
        <f>SUMIF('Weekly Scores'!$A$2:$A$121,$A22,INDEX('Weekly Scores'!$AK$2:$BA$121,,P$1))</f>
        <v>358.27289999999999</v>
      </c>
      <c r="Q22" s="2">
        <f>SUMIF('Weekly Scores'!$A$2:$A$121,$A22,INDEX('Weekly Scores'!$AK$2:$BA$121,,Q$1))</f>
        <v>401.52190000000007</v>
      </c>
      <c r="R22" s="2">
        <f>SUMIF('Weekly Scores'!$A$2:$A$121,$A22,INDEX('Weekly Scores'!$AK$2:$BA$121,,R$1))</f>
        <v>398.9088999999999</v>
      </c>
      <c r="S22" s="2">
        <f t="shared" si="7"/>
        <v>751.60660000000007</v>
      </c>
      <c r="T22" s="2">
        <f t="shared" si="8"/>
        <v>800.43079999999998</v>
      </c>
      <c r="Y22">
        <v>8</v>
      </c>
      <c r="Z22">
        <v>2</v>
      </c>
      <c r="AA22">
        <v>9</v>
      </c>
      <c r="AB22" t="str">
        <f t="shared" si="4"/>
        <v>cory-8</v>
      </c>
      <c r="AC22">
        <f t="shared" si="5"/>
        <v>20</v>
      </c>
      <c r="AD22" s="56" t="str">
        <f t="shared" si="6"/>
        <v/>
      </c>
    </row>
    <row r="23" spans="1:30" ht="15.75" thickBot="1" x14ac:dyDescent="0.3">
      <c r="P23" t="s">
        <v>799</v>
      </c>
      <c r="Q23" t="s">
        <v>772</v>
      </c>
      <c r="R23" t="s">
        <v>1117</v>
      </c>
      <c r="Y23">
        <v>9</v>
      </c>
      <c r="Z23">
        <v>2</v>
      </c>
      <c r="AA23">
        <v>4</v>
      </c>
      <c r="AB23" t="str">
        <f t="shared" si="4"/>
        <v>cory-9</v>
      </c>
      <c r="AC23">
        <f t="shared" si="5"/>
        <v>21</v>
      </c>
      <c r="AD23" s="56">
        <f t="shared" si="6"/>
        <v>0.59981411715749666</v>
      </c>
    </row>
    <row r="24" spans="1:30" x14ac:dyDescent="0.25">
      <c r="A24" t="s">
        <v>20</v>
      </c>
      <c r="B24" s="3">
        <f>IF(SQRT(B13+INDEX(B$13:B$22,INDEX($AA$2:$AA$131,MATCH($A2&amp;"-"&amp;B$1,$AB$2:$AB$133,0))))=0,IF(B2-INDEX(B$2:B$11,INDEX($AA$2:$AA$131,MATCH($A2&amp;"-"&amp;B$1,$AB$2:$AB$133,0)))&gt;0,1,0),_xlfn.NORM.DIST(0,INDEX(B$2:B$11,INDEX($AA$2:$AA$131,MATCH($A2&amp;"-"&amp;B$1,$AB$2:$AB$133,0)))-B2,SQRT(B13+INDEX(B$13:B$22,INDEX($AA$2:$AA$131,MATCH($A2&amp;"-"&amp;B$1,$AB$2:$AB$133,0)))),TRUE))</f>
        <v>0</v>
      </c>
      <c r="C24" s="3">
        <f t="shared" ref="C24:N24" si="9">IF(SQRT(C13+INDEX(C$13:C$22,INDEX($AA$2:$AA$131,MATCH($A2&amp;"-"&amp;C$1,$AB$2:$AB$133,0))))=0,IF(C2-INDEX(C$2:C$11,INDEX($AA$2:$AA$131,MATCH($A2&amp;"-"&amp;C$1,$AB$2:$AB$133,0)))&gt;0,1,0),_xlfn.NORM.DIST(0,INDEX(C$2:C$11,INDEX($AA$2:$AA$131,MATCH($A2&amp;"-"&amp;C$1,$AB$2:$AB$133,0)))-C2,SQRT(C13+INDEX(C$13:C$22,INDEX($AA$2:$AA$131,MATCH($A2&amp;"-"&amp;C$1,$AB$2:$AB$133,0)))),TRUE))</f>
        <v>1</v>
      </c>
      <c r="D24" s="3">
        <f t="shared" si="9"/>
        <v>1</v>
      </c>
      <c r="E24" s="3">
        <f t="shared" si="9"/>
        <v>0</v>
      </c>
      <c r="F24" s="3">
        <f t="shared" si="9"/>
        <v>0.60853626206753453</v>
      </c>
      <c r="G24" s="3">
        <f t="shared" si="9"/>
        <v>0.43529102270863457</v>
      </c>
      <c r="H24" s="3">
        <f t="shared" si="9"/>
        <v>0.33066359643987875</v>
      </c>
      <c r="I24" s="3">
        <f t="shared" si="9"/>
        <v>0.62307828526329789</v>
      </c>
      <c r="J24" s="3">
        <f t="shared" si="9"/>
        <v>0.63580033410378123</v>
      </c>
      <c r="K24" s="3">
        <f t="shared" si="9"/>
        <v>0.67529203010546812</v>
      </c>
      <c r="L24" s="3">
        <f t="shared" si="9"/>
        <v>0.50584697997796424</v>
      </c>
      <c r="M24" s="3">
        <f t="shared" si="9"/>
        <v>0.52734924037586617</v>
      </c>
      <c r="N24" s="3">
        <f t="shared" si="9"/>
        <v>0.664309432961114</v>
      </c>
      <c r="O24" s="4">
        <f>AVERAGE(B24:N24)</f>
        <v>0.5389359372310415</v>
      </c>
      <c r="P24" s="11">
        <f>SUM(INDEX($B$24:$N$33,ROW(A1),1):INDEX($B$24:$N$33,ROW(A1),Week))</f>
        <v>2.6085362620675348</v>
      </c>
      <c r="Q24" s="11">
        <f>SUM(INDEX($B$2:$N$11,ROW(B1),1):INDEX($B$2:$N$11,ROW(B1),Week))</f>
        <v>567.16</v>
      </c>
      <c r="R24" s="22">
        <f>P36-P24</f>
        <v>4.3976309219360044</v>
      </c>
      <c r="S24" s="3"/>
      <c r="T24" s="3"/>
      <c r="Y24">
        <v>10</v>
      </c>
      <c r="Z24">
        <v>2</v>
      </c>
      <c r="AA24">
        <v>8</v>
      </c>
      <c r="AB24" t="str">
        <f t="shared" si="4"/>
        <v>cory-10</v>
      </c>
      <c r="AC24">
        <f t="shared" si="5"/>
        <v>22</v>
      </c>
      <c r="AD24" s="56">
        <f t="shared" si="6"/>
        <v>0.51040387039059754</v>
      </c>
    </row>
    <row r="25" spans="1:30" x14ac:dyDescent="0.25">
      <c r="A25" t="s">
        <v>16</v>
      </c>
      <c r="B25" s="3">
        <f t="shared" ref="B25:N25" si="10">IF(SQRT(B14+INDEX(B$13:B$22,INDEX($AA$2:$AA$131,MATCH($A3&amp;"-"&amp;B$1,$AB$2:$AB$133,0))))=0,IF(B3-INDEX(B$2:B$11,INDEX($AA$2:$AA$131,MATCH($A3&amp;"-"&amp;B$1,$AB$2:$AB$133,0)))&gt;0,1,0),_xlfn.NORM.DIST(0,INDEX(B$2:B$11,INDEX($AA$2:$AA$131,MATCH($A3&amp;"-"&amp;B$1,$AB$2:$AB$133,0)))-B3,SQRT(B14+INDEX(B$13:B$22,INDEX($AA$2:$AA$131,MATCH($A3&amp;"-"&amp;B$1,$AB$2:$AB$133,0)))),TRUE))</f>
        <v>1</v>
      </c>
      <c r="C25" s="3">
        <f t="shared" si="10"/>
        <v>1</v>
      </c>
      <c r="D25" s="3">
        <f t="shared" si="10"/>
        <v>1</v>
      </c>
      <c r="E25" s="3">
        <f t="shared" si="10"/>
        <v>1</v>
      </c>
      <c r="F25" s="3">
        <f t="shared" si="10"/>
        <v>0.28411106749471321</v>
      </c>
      <c r="G25" s="3">
        <f t="shared" si="10"/>
        <v>0.38136789719376918</v>
      </c>
      <c r="H25" s="3">
        <f t="shared" si="10"/>
        <v>0.53182791690760634</v>
      </c>
      <c r="I25" s="3">
        <f t="shared" si="10"/>
        <v>0.51993647786680497</v>
      </c>
      <c r="J25" s="3">
        <f t="shared" si="10"/>
        <v>0.59981411715749666</v>
      </c>
      <c r="K25" s="3">
        <f t="shared" si="10"/>
        <v>0.51040387039059754</v>
      </c>
      <c r="L25" s="3">
        <f t="shared" si="10"/>
        <v>0.30137551216253461</v>
      </c>
      <c r="M25" s="3">
        <f t="shared" si="10"/>
        <v>0.73440947497267228</v>
      </c>
      <c r="N25" s="3">
        <f t="shared" si="10"/>
        <v>0.335690567038886</v>
      </c>
      <c r="O25" s="5">
        <f t="shared" ref="O25:O33" si="11">AVERAGE(B25:N25)</f>
        <v>0.63068745393731396</v>
      </c>
      <c r="P25" s="11">
        <f>SUM(INDEX($B$24:$N$33,ROW(A2),1):INDEX($B$24:$N$33,ROW(A2),Week))</f>
        <v>4.2841110674947132</v>
      </c>
      <c r="Q25" s="11">
        <f>SUM(INDEX($B$2:$N$11,ROW(B2),1):INDEX($B$2:$N$11,ROW(B2),Week))</f>
        <v>574.78</v>
      </c>
      <c r="R25" s="22">
        <f t="shared" ref="R25:R33" si="12">P37-P25</f>
        <v>3.9148258336903705</v>
      </c>
      <c r="Y25">
        <v>11</v>
      </c>
      <c r="Z25">
        <v>2</v>
      </c>
      <c r="AA25">
        <v>6</v>
      </c>
      <c r="AB25" t="str">
        <f t="shared" si="4"/>
        <v>cory-11</v>
      </c>
      <c r="AC25">
        <f t="shared" si="5"/>
        <v>23</v>
      </c>
      <c r="AD25" s="56">
        <f t="shared" si="6"/>
        <v>0.30137551216253461</v>
      </c>
    </row>
    <row r="26" spans="1:30" x14ac:dyDescent="0.25">
      <c r="A26" t="s">
        <v>55</v>
      </c>
      <c r="B26" s="3">
        <f t="shared" ref="B26:N26" si="13">IF(SQRT(B15+INDEX(B$13:B$22,INDEX($AA$2:$AA$131,MATCH($A4&amp;"-"&amp;B$1,$AB$2:$AB$133,0))))=0,IF(B4-INDEX(B$2:B$11,INDEX($AA$2:$AA$131,MATCH($A4&amp;"-"&amp;B$1,$AB$2:$AB$133,0)))&gt;0,1,0),_xlfn.NORM.DIST(0,INDEX(B$2:B$11,INDEX($AA$2:$AA$131,MATCH($A4&amp;"-"&amp;B$1,$AB$2:$AB$133,0)))-B4,SQRT(B15+INDEX(B$13:B$22,INDEX($AA$2:$AA$131,MATCH($A4&amp;"-"&amp;B$1,$AB$2:$AB$133,0)))),TRUE))</f>
        <v>1</v>
      </c>
      <c r="C26" s="3">
        <f t="shared" si="13"/>
        <v>1</v>
      </c>
      <c r="D26" s="3">
        <f t="shared" si="13"/>
        <v>1</v>
      </c>
      <c r="E26" s="3">
        <f t="shared" si="13"/>
        <v>1</v>
      </c>
      <c r="F26" s="3">
        <f t="shared" si="13"/>
        <v>0.48230230633039956</v>
      </c>
      <c r="G26" s="3">
        <f t="shared" si="13"/>
        <v>0.61863210280623082</v>
      </c>
      <c r="H26" s="3">
        <f t="shared" si="13"/>
        <v>0.56019035531275452</v>
      </c>
      <c r="I26" s="3">
        <f t="shared" si="13"/>
        <v>0.6815038683512824</v>
      </c>
      <c r="J26" s="3">
        <f t="shared" si="13"/>
        <v>0.4551124815163628</v>
      </c>
      <c r="K26" s="3">
        <f t="shared" si="13"/>
        <v>0.15206343130735664</v>
      </c>
      <c r="L26" s="3">
        <f t="shared" si="13"/>
        <v>0.64996037728110745</v>
      </c>
      <c r="M26" s="3">
        <f t="shared" si="13"/>
        <v>0.52410277781861836</v>
      </c>
      <c r="N26" s="3">
        <f t="shared" si="13"/>
        <v>0.41183857578019795</v>
      </c>
      <c r="O26" s="5">
        <f>AVERAGE(B26:N26)</f>
        <v>0.6565927905003317</v>
      </c>
      <c r="P26" s="11">
        <f>SUM(INDEX($B$24:$N$33,ROW(A3),1):INDEX($B$24:$N$33,ROW(A3),Week))</f>
        <v>4.4823023063303999</v>
      </c>
      <c r="Q26" s="11">
        <f>SUM(INDEX($B$2:$N$11,ROW(B3),1):INDEX($B$2:$N$11,ROW(B3),Week))</f>
        <v>663.94999999999993</v>
      </c>
      <c r="R26" s="22">
        <f t="shared" si="12"/>
        <v>4.0534039701739122</v>
      </c>
      <c r="Y26">
        <v>12</v>
      </c>
      <c r="Z26">
        <v>2</v>
      </c>
      <c r="AA26">
        <v>7</v>
      </c>
      <c r="AB26" t="str">
        <f t="shared" si="4"/>
        <v>cory-12</v>
      </c>
      <c r="AC26">
        <f t="shared" si="5"/>
        <v>24</v>
      </c>
      <c r="AD26" s="56" t="str">
        <f t="shared" si="6"/>
        <v/>
      </c>
    </row>
    <row r="27" spans="1:30" x14ac:dyDescent="0.25">
      <c r="A27" t="s">
        <v>35</v>
      </c>
      <c r="B27" s="3">
        <f t="shared" ref="B27:N27" si="14">IF(SQRT(B16+INDEX(B$13:B$22,INDEX($AA$2:$AA$131,MATCH($A5&amp;"-"&amp;B$1,$AB$2:$AB$133,0))))=0,IF(B5-INDEX(B$2:B$11,INDEX($AA$2:$AA$131,MATCH($A5&amp;"-"&amp;B$1,$AB$2:$AB$133,0)))&gt;0,1,0),_xlfn.NORM.DIST(0,INDEX(B$2:B$11,INDEX($AA$2:$AA$131,MATCH($A5&amp;"-"&amp;B$1,$AB$2:$AB$133,0)))-B5,SQRT(B16+INDEX(B$13:B$22,INDEX($AA$2:$AA$131,MATCH($A5&amp;"-"&amp;B$1,$AB$2:$AB$133,0)))),TRUE))</f>
        <v>0</v>
      </c>
      <c r="C27" s="3">
        <f t="shared" si="14"/>
        <v>0</v>
      </c>
      <c r="D27" s="3">
        <f t="shared" si="14"/>
        <v>0</v>
      </c>
      <c r="E27" s="3">
        <f t="shared" si="14"/>
        <v>0</v>
      </c>
      <c r="F27" s="3">
        <f t="shared" si="14"/>
        <v>0.71588893250528685</v>
      </c>
      <c r="G27" s="3">
        <f t="shared" si="14"/>
        <v>0.43940701277158895</v>
      </c>
      <c r="H27" s="3">
        <f t="shared" si="14"/>
        <v>0.43980964468724554</v>
      </c>
      <c r="I27" s="3">
        <f t="shared" si="14"/>
        <v>0.60665210855795282</v>
      </c>
      <c r="J27" s="3">
        <f t="shared" si="14"/>
        <v>0.40018588284250334</v>
      </c>
      <c r="K27" s="3">
        <f t="shared" si="14"/>
        <v>0.47908888245533215</v>
      </c>
      <c r="L27" s="3">
        <f t="shared" si="14"/>
        <v>0.49415302002203576</v>
      </c>
      <c r="M27" s="3">
        <f t="shared" si="14"/>
        <v>0.50688600651864546</v>
      </c>
      <c r="N27" s="3">
        <f t="shared" si="14"/>
        <v>0.48945995485983096</v>
      </c>
      <c r="O27" s="5">
        <f t="shared" si="11"/>
        <v>0.35165626501695557</v>
      </c>
      <c r="P27" s="11">
        <f>SUM(INDEX($B$24:$N$33,ROW(A4),1):INDEX($B$24:$N$33,ROW(A4),Week))</f>
        <v>0.71588893250528685</v>
      </c>
      <c r="Q27" s="11">
        <f>SUM(INDEX($B$2:$N$11,ROW(B4),1):INDEX($B$2:$N$11,ROW(B4),Week))</f>
        <v>564.96</v>
      </c>
      <c r="R27" s="22">
        <f t="shared" si="12"/>
        <v>3.8556425127151375</v>
      </c>
      <c r="Y27">
        <v>13</v>
      </c>
      <c r="Z27">
        <v>2</v>
      </c>
      <c r="AA27">
        <v>1</v>
      </c>
      <c r="AB27" t="str">
        <f t="shared" si="4"/>
        <v>cory-13</v>
      </c>
      <c r="AC27">
        <f t="shared" si="5"/>
        <v>24</v>
      </c>
      <c r="AD27" s="56">
        <f t="shared" si="6"/>
        <v>0.335690567038886</v>
      </c>
    </row>
    <row r="28" spans="1:30" x14ac:dyDescent="0.25">
      <c r="A28" t="s">
        <v>27</v>
      </c>
      <c r="B28" s="3">
        <f t="shared" ref="B28:N28" si="15">IF(SQRT(B17+INDEX(B$13:B$22,INDEX($AA$2:$AA$131,MATCH($A6&amp;"-"&amp;B$1,$AB$2:$AB$133,0))))=0,IF(B6-INDEX(B$2:B$11,INDEX($AA$2:$AA$131,MATCH($A6&amp;"-"&amp;B$1,$AB$2:$AB$133,0)))&gt;0,1,0),_xlfn.NORM.DIST(0,INDEX(B$2:B$11,INDEX($AA$2:$AA$131,MATCH($A6&amp;"-"&amp;B$1,$AB$2:$AB$133,0)))-B6,SQRT(B17+INDEX(B$13:B$22,INDEX($AA$2:$AA$131,MATCH($A6&amp;"-"&amp;B$1,$AB$2:$AB$133,0)))),TRUE))</f>
        <v>1</v>
      </c>
      <c r="C28" s="3">
        <f t="shared" si="15"/>
        <v>0</v>
      </c>
      <c r="D28" s="3">
        <f t="shared" si="15"/>
        <v>0</v>
      </c>
      <c r="E28" s="3">
        <f t="shared" si="15"/>
        <v>0</v>
      </c>
      <c r="F28" s="3">
        <f t="shared" si="15"/>
        <v>0.37836433638415362</v>
      </c>
      <c r="G28" s="3">
        <f t="shared" si="15"/>
        <v>0.560592987228411</v>
      </c>
      <c r="H28" s="3">
        <f t="shared" si="15"/>
        <v>0.42967000738842365</v>
      </c>
      <c r="I28" s="3">
        <f t="shared" si="15"/>
        <v>0.77082223924321258</v>
      </c>
      <c r="J28" s="3">
        <f t="shared" si="15"/>
        <v>0.67823581091448948</v>
      </c>
      <c r="K28" s="3">
        <f t="shared" si="15"/>
        <v>0.32470796989453188</v>
      </c>
      <c r="L28" s="3">
        <f t="shared" si="15"/>
        <v>0.29372350158260974</v>
      </c>
      <c r="M28" s="3">
        <f t="shared" si="15"/>
        <v>0.47589722218138164</v>
      </c>
      <c r="N28" s="3">
        <f t="shared" si="15"/>
        <v>0.26318279198862815</v>
      </c>
      <c r="O28" s="5">
        <f t="shared" si="11"/>
        <v>0.39809206667737246</v>
      </c>
      <c r="P28" s="11">
        <f>SUM(INDEX($B$24:$N$33,ROW(A5),1):INDEX($B$24:$N$33,ROW(A5),Week))</f>
        <v>1.3783643363841536</v>
      </c>
      <c r="Q28" s="11">
        <f>SUM(INDEX($B$2:$N$11,ROW(B5),1):INDEX($B$2:$N$11,ROW(B5),Week))</f>
        <v>496.71</v>
      </c>
      <c r="R28" s="22">
        <f t="shared" si="12"/>
        <v>3.7968325304216881</v>
      </c>
      <c r="Y28">
        <v>1</v>
      </c>
      <c r="Z28">
        <v>3</v>
      </c>
      <c r="AA28">
        <v>1</v>
      </c>
      <c r="AB28" t="str">
        <f t="shared" si="4"/>
        <v>aj-1</v>
      </c>
      <c r="AC28">
        <f t="shared" si="5"/>
        <v>24</v>
      </c>
      <c r="AD28" s="56">
        <f t="shared" si="6"/>
        <v>1</v>
      </c>
    </row>
    <row r="29" spans="1:30" x14ac:dyDescent="0.25">
      <c r="A29" t="s">
        <v>62</v>
      </c>
      <c r="B29" s="3">
        <f>IF(SQRT(B18+INDEX(B$13:B$22,INDEX($AA$2:$AA$131,MATCH($A7&amp;"-"&amp;B$1,$AB$2:$AB$133,0))))=0,IF(B7-INDEX(B$2:B$11,INDEX($AA$2:$AA$131,MATCH($A7&amp;"-"&amp;B$1,$AB$2:$AB$133,0)))&gt;0,1,0),_xlfn.NORM.DIST(0,INDEX(B$2:B$11,INDEX($AA$2:$AA$131,MATCH($A7&amp;"-"&amp;B$1,$AB$2:$AB$133,0)))-B7,SQRT(B18+INDEX(B$13:B$22,INDEX($AA$2:$AA$131,MATCH($A7&amp;"-"&amp;B$1,$AB$2:$AB$133,0)))),TRUE))</f>
        <v>0</v>
      </c>
      <c r="C29" s="3">
        <f t="shared" ref="C29:N29" si="16">IF(SQRT(C18+INDEX(C$13:C$22,INDEX($AA$2:$AA$131,MATCH($A7&amp;"-"&amp;C$1,$AB$2:$AB$133,0))))=0,IF(C7-INDEX(C$2:C$11,INDEX($AA$2:$AA$131,MATCH($A7&amp;"-"&amp;C$1,$AB$2:$AB$133,0)))&gt;0,1,0),_xlfn.NORM.DIST(0,INDEX(C$2:C$11,INDEX($AA$2:$AA$131,MATCH($A7&amp;"-"&amp;C$1,$AB$2:$AB$133,0)))-C7,SQRT(C18+INDEX(C$13:C$22,INDEX($AA$2:$AA$131,MATCH($A7&amp;"-"&amp;C$1,$AB$2:$AB$133,0)))),TRUE))</f>
        <v>0</v>
      </c>
      <c r="D29" s="3">
        <f t="shared" si="16"/>
        <v>1</v>
      </c>
      <c r="E29" s="3">
        <f t="shared" si="16"/>
        <v>1</v>
      </c>
      <c r="F29" s="3">
        <f t="shared" si="16"/>
        <v>0.62163566361584643</v>
      </c>
      <c r="G29" s="3">
        <f t="shared" si="16"/>
        <v>0.54838794279145975</v>
      </c>
      <c r="H29" s="3">
        <f t="shared" si="16"/>
        <v>0.65012281888584655</v>
      </c>
      <c r="I29" s="3">
        <f t="shared" si="16"/>
        <v>0.37692171473670211</v>
      </c>
      <c r="J29" s="3">
        <f t="shared" si="16"/>
        <v>0.68249546931219407</v>
      </c>
      <c r="K29" s="3">
        <f t="shared" si="16"/>
        <v>0.84793656869264333</v>
      </c>
      <c r="L29" s="3">
        <f t="shared" si="16"/>
        <v>0.69862448783746545</v>
      </c>
      <c r="M29" s="3">
        <f t="shared" si="16"/>
        <v>0.6151666277418234</v>
      </c>
      <c r="N29" s="3">
        <f t="shared" si="16"/>
        <v>0.73681720801137185</v>
      </c>
      <c r="O29" s="5">
        <f t="shared" si="11"/>
        <v>0.59831603858656557</v>
      </c>
      <c r="P29" s="11">
        <f>SUM(INDEX($B$24:$N$33,ROW(A6),1):INDEX($B$24:$N$33,ROW(A6),Week))</f>
        <v>2.6216356636158462</v>
      </c>
      <c r="Q29" s="11">
        <f>SUM(INDEX($B$2:$N$11,ROW(B6),1):INDEX($B$2:$N$11,ROW(B6),Week))</f>
        <v>538.79</v>
      </c>
      <c r="R29" s="22">
        <f t="shared" si="12"/>
        <v>5.1564728380095062</v>
      </c>
      <c r="Y29">
        <v>2</v>
      </c>
      <c r="Z29">
        <v>3</v>
      </c>
      <c r="AA29">
        <v>6</v>
      </c>
      <c r="AB29" t="str">
        <f t="shared" si="4"/>
        <v>aj-2</v>
      </c>
      <c r="AC29">
        <f t="shared" si="5"/>
        <v>25</v>
      </c>
      <c r="AD29" s="56">
        <f t="shared" si="6"/>
        <v>1</v>
      </c>
    </row>
    <row r="30" spans="1:30" x14ac:dyDescent="0.25">
      <c r="A30" t="s">
        <v>1648</v>
      </c>
      <c r="B30" s="3">
        <f t="shared" ref="B30:N30" si="17">IF(SQRT(B19+INDEX(B$13:B$22,INDEX($AA$2:$AA$131,MATCH($A8&amp;"-"&amp;B$1,$AB$2:$AB$133,0))))=0,IF(B8-INDEX(B$2:B$11,INDEX($AA$2:$AA$131,MATCH($A8&amp;"-"&amp;B$1,$AB$2:$AB$133,0)))&gt;0,1,0),_xlfn.NORM.DIST(0,INDEX(B$2:B$11,INDEX($AA$2:$AA$131,MATCH($A8&amp;"-"&amp;B$1,$AB$2:$AB$133,0)))-B8,SQRT(B19+INDEX(B$13:B$22,INDEX($AA$2:$AA$131,MATCH($A8&amp;"-"&amp;B$1,$AB$2:$AB$133,0)))),TRUE))</f>
        <v>1</v>
      </c>
      <c r="C30" s="3">
        <f t="shared" si="17"/>
        <v>1</v>
      </c>
      <c r="D30" s="3">
        <f t="shared" si="17"/>
        <v>0</v>
      </c>
      <c r="E30" s="3">
        <f t="shared" si="17"/>
        <v>0</v>
      </c>
      <c r="F30" s="3">
        <f t="shared" si="17"/>
        <v>0.39146373793246547</v>
      </c>
      <c r="G30" s="3">
        <f t="shared" si="17"/>
        <v>0.45161205720854025</v>
      </c>
      <c r="H30" s="3">
        <f t="shared" si="17"/>
        <v>0.57032999261157635</v>
      </c>
      <c r="I30" s="3">
        <f t="shared" si="17"/>
        <v>0.3184961316487176</v>
      </c>
      <c r="J30" s="3">
        <f t="shared" si="17"/>
        <v>0.36419966589621883</v>
      </c>
      <c r="K30" s="3">
        <f t="shared" si="17"/>
        <v>0.5209111175446679</v>
      </c>
      <c r="L30" s="3">
        <f t="shared" si="17"/>
        <v>0.3490728884183939</v>
      </c>
      <c r="M30" s="3">
        <f t="shared" si="17"/>
        <v>0.26559052502732772</v>
      </c>
      <c r="N30" s="3">
        <f t="shared" si="17"/>
        <v>0.56273612369177817</v>
      </c>
      <c r="O30" s="5">
        <f t="shared" si="11"/>
        <v>0.44572401845997578</v>
      </c>
      <c r="P30" s="11">
        <f>SUM(INDEX($B$24:$N$33,ROW(A7),1):INDEX($B$24:$N$33,ROW(A7),Week))</f>
        <v>2.3914637379324652</v>
      </c>
      <c r="Q30" s="11">
        <f>SUM(INDEX($B$2:$N$11,ROW(B7),1):INDEX($B$2:$N$11,ROW(B7),Week))</f>
        <v>520.24</v>
      </c>
      <c r="R30" s="22">
        <f t="shared" si="12"/>
        <v>3.4029485020472201</v>
      </c>
      <c r="Y30">
        <v>3</v>
      </c>
      <c r="Z30">
        <v>3</v>
      </c>
      <c r="AA30">
        <v>10</v>
      </c>
      <c r="AB30" t="str">
        <f t="shared" si="4"/>
        <v>aj-3</v>
      </c>
      <c r="AC30">
        <f t="shared" si="5"/>
        <v>26</v>
      </c>
      <c r="AD30" s="56">
        <f t="shared" si="6"/>
        <v>1</v>
      </c>
    </row>
    <row r="31" spans="1:30" x14ac:dyDescent="0.25">
      <c r="A31" t="s">
        <v>23</v>
      </c>
      <c r="B31" s="3">
        <f t="shared" ref="B31:N31" si="18">IF(SQRT(B20+INDEX(B$13:B$22,INDEX($AA$2:$AA$131,MATCH($A9&amp;"-"&amp;B$1,$AB$2:$AB$133,0))))=0,IF(B9-INDEX(B$2:B$11,INDEX($AA$2:$AA$131,MATCH($A9&amp;"-"&amp;B$1,$AB$2:$AB$133,0)))&gt;0,1,0),_xlfn.NORM.DIST(0,INDEX(B$2:B$11,INDEX($AA$2:$AA$131,MATCH($A9&amp;"-"&amp;B$1,$AB$2:$AB$133,0)))-B9,SQRT(B20+INDEX(B$13:B$22,INDEX($AA$2:$AA$131,MATCH($A9&amp;"-"&amp;B$1,$AB$2:$AB$133,0)))),TRUE))</f>
        <v>0</v>
      </c>
      <c r="C31" s="3">
        <f t="shared" si="18"/>
        <v>0</v>
      </c>
      <c r="D31" s="3">
        <f t="shared" si="18"/>
        <v>0</v>
      </c>
      <c r="E31" s="3">
        <f t="shared" si="18"/>
        <v>1</v>
      </c>
      <c r="F31" s="3">
        <f t="shared" si="18"/>
        <v>0.62545632377747684</v>
      </c>
      <c r="G31" s="3">
        <f t="shared" si="18"/>
        <v>0.51141746681412303</v>
      </c>
      <c r="H31" s="3">
        <f t="shared" si="18"/>
        <v>0.34987718111415345</v>
      </c>
      <c r="I31" s="3">
        <f t="shared" si="18"/>
        <v>0.22917776075678745</v>
      </c>
      <c r="J31" s="3">
        <f t="shared" si="18"/>
        <v>0.54488751848363726</v>
      </c>
      <c r="K31" s="3">
        <f t="shared" si="18"/>
        <v>0.48959612960940241</v>
      </c>
      <c r="L31" s="3">
        <f t="shared" si="18"/>
        <v>0.6509271115816061</v>
      </c>
      <c r="M31" s="3">
        <f t="shared" si="18"/>
        <v>0.47265075962413383</v>
      </c>
      <c r="N31" s="3">
        <f t="shared" si="18"/>
        <v>0.51054004514016904</v>
      </c>
      <c r="O31" s="5">
        <f t="shared" si="11"/>
        <v>0.41419463822319147</v>
      </c>
      <c r="P31" s="11">
        <f>SUM(INDEX($B$24:$N$33,ROW(A8),1):INDEX($B$24:$N$33,ROW(A8),Week))</f>
        <v>1.6254563237774768</v>
      </c>
      <c r="Q31" s="11">
        <f>SUM(INDEX($B$2:$N$11,ROW(B8),1):INDEX($B$2:$N$11,ROW(B8),Week))</f>
        <v>471.99</v>
      </c>
      <c r="R31" s="22">
        <f t="shared" si="12"/>
        <v>3.7590739731240124</v>
      </c>
      <c r="Y31">
        <v>4</v>
      </c>
      <c r="Z31">
        <v>3</v>
      </c>
      <c r="AA31">
        <v>5</v>
      </c>
      <c r="AB31" t="str">
        <f t="shared" si="4"/>
        <v>aj-4</v>
      </c>
      <c r="AC31">
        <f t="shared" si="5"/>
        <v>27</v>
      </c>
      <c r="AD31" s="56" t="str">
        <f t="shared" si="6"/>
        <v/>
      </c>
    </row>
    <row r="32" spans="1:30" x14ac:dyDescent="0.25">
      <c r="A32" t="s">
        <v>49</v>
      </c>
      <c r="B32" s="3">
        <f t="shared" ref="B32:N32" si="19">IF(SQRT(B21+INDEX(B$13:B$22,INDEX($AA$2:$AA$131,MATCH($A10&amp;"-"&amp;B$1,$AB$2:$AB$133,0))))=0,IF(B10-INDEX(B$2:B$11,INDEX($AA$2:$AA$131,MATCH($A10&amp;"-"&amp;B$1,$AB$2:$AB$133,0)))&gt;0,1,0),_xlfn.NORM.DIST(0,INDEX(B$2:B$11,INDEX($AA$2:$AA$131,MATCH($A10&amp;"-"&amp;B$1,$AB$2:$AB$133,0)))-B10,SQRT(B21+INDEX(B$13:B$22,INDEX($AA$2:$AA$131,MATCH($A10&amp;"-"&amp;B$1,$AB$2:$AB$133,0)))),TRUE))</f>
        <v>1</v>
      </c>
      <c r="C32" s="3">
        <f t="shared" si="19"/>
        <v>1</v>
      </c>
      <c r="D32" s="3">
        <f t="shared" si="19"/>
        <v>1</v>
      </c>
      <c r="E32" s="3">
        <f t="shared" si="19"/>
        <v>1</v>
      </c>
      <c r="F32" s="3">
        <f t="shared" si="19"/>
        <v>0.5176976936696005</v>
      </c>
      <c r="G32" s="3">
        <f t="shared" si="19"/>
        <v>0.48858253318587697</v>
      </c>
      <c r="H32" s="3">
        <f t="shared" si="19"/>
        <v>0.66933640356012125</v>
      </c>
      <c r="I32" s="3">
        <f t="shared" si="19"/>
        <v>0.48006352213319509</v>
      </c>
      <c r="J32" s="3">
        <f t="shared" si="19"/>
        <v>0.31750453068780599</v>
      </c>
      <c r="K32" s="3">
        <f t="shared" si="19"/>
        <v>0.71388179916016403</v>
      </c>
      <c r="L32" s="3">
        <f t="shared" si="19"/>
        <v>0.70627649841739026</v>
      </c>
      <c r="M32" s="3">
        <f t="shared" si="19"/>
        <v>0.49311399348135454</v>
      </c>
      <c r="N32" s="3">
        <f t="shared" si="19"/>
        <v>0.58816142421980211</v>
      </c>
      <c r="O32" s="5">
        <f t="shared" si="11"/>
        <v>0.69035526142425474</v>
      </c>
      <c r="P32" s="11">
        <f>SUM(INDEX($B$24:$N$33,ROW(A9),1):INDEX($B$24:$N$33,ROW(A9),Week))</f>
        <v>4.5176976936696001</v>
      </c>
      <c r="Q32" s="11">
        <f>SUM(INDEX($B$2:$N$11,ROW(B9),1):INDEX($B$2:$N$11,ROW(B9),Week))</f>
        <v>593.02</v>
      </c>
      <c r="R32" s="22">
        <f t="shared" si="12"/>
        <v>4.4569207048457109</v>
      </c>
      <c r="Y32">
        <v>5</v>
      </c>
      <c r="Z32">
        <v>3</v>
      </c>
      <c r="AA32">
        <v>9</v>
      </c>
      <c r="AB32" t="str">
        <f t="shared" si="4"/>
        <v>aj-5</v>
      </c>
      <c r="AC32">
        <f t="shared" si="5"/>
        <v>28</v>
      </c>
      <c r="AD32" s="56" t="str">
        <f t="shared" si="6"/>
        <v/>
      </c>
    </row>
    <row r="33" spans="1:30" ht="15.75" thickBot="1" x14ac:dyDescent="0.3">
      <c r="A33" t="s">
        <v>44</v>
      </c>
      <c r="B33" s="3">
        <f t="shared" ref="B33:N33" si="20">IF(SQRT(B22+INDEX(B$13:B$22,INDEX($AA$2:$AA$131,MATCH($A11&amp;"-"&amp;B$1,$AB$2:$AB$133,0))))=0,IF(B11-INDEX(B$2:B$11,INDEX($AA$2:$AA$131,MATCH($A11&amp;"-"&amp;B$1,$AB$2:$AB$133,0)))&gt;0,1,0),_xlfn.NORM.DIST(0,INDEX(B$2:B$11,INDEX($AA$2:$AA$131,MATCH($A11&amp;"-"&amp;B$1,$AB$2:$AB$133,0)))-B11,SQRT(B22+INDEX(B$13:B$22,INDEX($AA$2:$AA$131,MATCH($A11&amp;"-"&amp;B$1,$AB$2:$AB$133,0)))),TRUE))</f>
        <v>0</v>
      </c>
      <c r="C33" s="3">
        <f t="shared" si="20"/>
        <v>0</v>
      </c>
      <c r="D33" s="3">
        <f t="shared" si="20"/>
        <v>0</v>
      </c>
      <c r="E33" s="3">
        <f t="shared" si="20"/>
        <v>0</v>
      </c>
      <c r="F33" s="3">
        <f t="shared" si="20"/>
        <v>0.3745436762225231</v>
      </c>
      <c r="G33" s="3">
        <f t="shared" si="20"/>
        <v>0.56470897729136538</v>
      </c>
      <c r="H33" s="3">
        <f t="shared" si="20"/>
        <v>0.46817208309239366</v>
      </c>
      <c r="I33" s="3">
        <f t="shared" si="20"/>
        <v>0.39334789144204713</v>
      </c>
      <c r="J33" s="3">
        <f t="shared" si="20"/>
        <v>0.32176418908551052</v>
      </c>
      <c r="K33" s="3">
        <f t="shared" si="20"/>
        <v>0.28611820083983602</v>
      </c>
      <c r="L33" s="3">
        <f t="shared" si="20"/>
        <v>0.35003962271889255</v>
      </c>
      <c r="M33" s="3">
        <f t="shared" si="20"/>
        <v>0.3848333722581766</v>
      </c>
      <c r="N33" s="3">
        <f t="shared" si="20"/>
        <v>0.43726387630822183</v>
      </c>
      <c r="O33" s="6">
        <f t="shared" si="11"/>
        <v>0.27544552994299748</v>
      </c>
      <c r="P33" s="11">
        <f>SUM(INDEX($B$24:$N$33,ROW(A10),1):INDEX($B$24:$N$33,ROW(A10),Week))</f>
        <v>0.3745436762225231</v>
      </c>
      <c r="Q33" s="11">
        <f>SUM(INDEX($B$2:$N$11,ROW(B10),1):INDEX($B$2:$N$11,ROW(B10),Week))</f>
        <v>422.89</v>
      </c>
      <c r="R33" s="22">
        <f t="shared" si="12"/>
        <v>3.206248213036444</v>
      </c>
      <c r="Y33">
        <v>6</v>
      </c>
      <c r="Z33">
        <v>3</v>
      </c>
      <c r="AA33">
        <v>2</v>
      </c>
      <c r="AB33" t="str">
        <f t="shared" si="4"/>
        <v>aj-6</v>
      </c>
      <c r="AC33">
        <f t="shared" si="5"/>
        <v>28</v>
      </c>
      <c r="AD33" s="56" t="str">
        <f t="shared" si="6"/>
        <v/>
      </c>
    </row>
    <row r="34" spans="1:30" x14ac:dyDescent="0.25">
      <c r="Y34">
        <v>7</v>
      </c>
      <c r="Z34">
        <v>3</v>
      </c>
      <c r="AA34">
        <v>4</v>
      </c>
      <c r="AB34" t="str">
        <f t="shared" si="4"/>
        <v>aj-7</v>
      </c>
      <c r="AC34">
        <f t="shared" si="5"/>
        <v>29</v>
      </c>
      <c r="AD34" s="56">
        <f t="shared" si="6"/>
        <v>0.56019035531275452</v>
      </c>
    </row>
    <row r="35" spans="1:30" x14ac:dyDescent="0.25">
      <c r="P35" t="s">
        <v>485</v>
      </c>
      <c r="Q35" t="s">
        <v>486</v>
      </c>
      <c r="R35" t="s">
        <v>487</v>
      </c>
      <c r="Y35">
        <v>8</v>
      </c>
      <c r="Z35">
        <v>3</v>
      </c>
      <c r="AA35">
        <v>7</v>
      </c>
      <c r="AB35" t="str">
        <f t="shared" si="4"/>
        <v>aj-8</v>
      </c>
      <c r="AC35">
        <f t="shared" si="5"/>
        <v>30</v>
      </c>
      <c r="AD35" s="56" t="str">
        <f t="shared" si="6"/>
        <v/>
      </c>
    </row>
    <row r="36" spans="1:30" x14ac:dyDescent="0.25">
      <c r="A36" t="s">
        <v>20</v>
      </c>
      <c r="B36" s="7">
        <f>_xlfn.BINOM.DIST(A$1,13,$O24,FALSE)</f>
        <v>4.2549704359965754E-5</v>
      </c>
      <c r="C36" s="7">
        <f t="shared" ref="C36:O36" si="21">_xlfn.BINOM.DIST(B$1,13,$O24,FALSE)</f>
        <v>6.465703281785134E-4</v>
      </c>
      <c r="D36" s="7">
        <f t="shared" si="21"/>
        <v>4.5346408094783753E-3</v>
      </c>
      <c r="E36" s="7">
        <f t="shared" si="21"/>
        <v>1.9435252793172736E-2</v>
      </c>
      <c r="F36" s="7">
        <f t="shared" si="21"/>
        <v>5.6794472966002568E-2</v>
      </c>
      <c r="G36" s="7">
        <f t="shared" si="21"/>
        <v>0.11949629776082706</v>
      </c>
      <c r="H36" s="7">
        <f t="shared" si="21"/>
        <v>0.18623832544399227</v>
      </c>
      <c r="I36" s="7">
        <f t="shared" si="21"/>
        <v>0.21769323305901167</v>
      </c>
      <c r="J36" s="7">
        <f t="shared" si="21"/>
        <v>0.19084556148703519</v>
      </c>
      <c r="K36" s="7">
        <f t="shared" si="21"/>
        <v>0.12393256268108765</v>
      </c>
      <c r="L36" s="7">
        <f t="shared" si="21"/>
        <v>5.7945710555581897E-2</v>
      </c>
      <c r="M36" s="7">
        <f t="shared" si="21"/>
        <v>1.8472502481587334E-2</v>
      </c>
      <c r="N36" s="7">
        <f t="shared" si="21"/>
        <v>3.5987390335479067E-3</v>
      </c>
      <c r="O36" s="7">
        <f t="shared" si="21"/>
        <v>3.2358089613693068E-4</v>
      </c>
      <c r="P36" s="8">
        <f>SUMPRODUCT($A$1:$N$1,B36:O36)</f>
        <v>7.0061671840035391</v>
      </c>
      <c r="Q36" s="8">
        <f>O24*(1-O24)*13</f>
        <v>3.2302919062952249</v>
      </c>
      <c r="R36" t="s">
        <v>490</v>
      </c>
      <c r="S36" s="22"/>
      <c r="Y36">
        <v>9</v>
      </c>
      <c r="Z36">
        <v>3</v>
      </c>
      <c r="AA36">
        <v>8</v>
      </c>
      <c r="AB36" t="str">
        <f t="shared" si="4"/>
        <v>aj-9</v>
      </c>
      <c r="AC36">
        <f t="shared" si="5"/>
        <v>31</v>
      </c>
      <c r="AD36" s="56">
        <f t="shared" si="6"/>
        <v>0.4551124815163628</v>
      </c>
    </row>
    <row r="37" spans="1:30" x14ac:dyDescent="0.25">
      <c r="A37" t="s">
        <v>16</v>
      </c>
      <c r="B37" s="7">
        <f t="shared" ref="B37:O37" si="22">_xlfn.BINOM.DIST(A$1,13,$O25,FALSE)</f>
        <v>2.3775124475933415E-6</v>
      </c>
      <c r="C37" s="7">
        <f t="shared" si="22"/>
        <v>5.2782053432572098E-5</v>
      </c>
      <c r="D37" s="7">
        <f t="shared" si="22"/>
        <v>5.4082612542475186E-4</v>
      </c>
      <c r="E37" s="7">
        <f t="shared" si="22"/>
        <v>3.3864855235645076E-3</v>
      </c>
      <c r="F37" s="7">
        <f t="shared" si="22"/>
        <v>1.445803801835872E-2</v>
      </c>
      <c r="G37" s="7">
        <f t="shared" si="22"/>
        <v>4.4442859878699233E-2</v>
      </c>
      <c r="H37" s="7">
        <f t="shared" si="22"/>
        <v>0.10119542175110033</v>
      </c>
      <c r="I37" s="7">
        <f t="shared" si="22"/>
        <v>0.17281482466474626</v>
      </c>
      <c r="J37" s="7">
        <f t="shared" si="22"/>
        <v>0.22134126554679551</v>
      </c>
      <c r="K37" s="7">
        <f t="shared" si="22"/>
        <v>0.20999551239374678</v>
      </c>
      <c r="L37" s="7">
        <f t="shared" si="22"/>
        <v>0.14344655924837563</v>
      </c>
      <c r="M37" s="7">
        <f t="shared" si="22"/>
        <v>6.6809594445097362E-2</v>
      </c>
      <c r="N37" s="7">
        <f t="shared" si="22"/>
        <v>1.9015498511302922E-2</v>
      </c>
      <c r="O37" s="7">
        <f t="shared" si="22"/>
        <v>2.4979543269078659E-3</v>
      </c>
      <c r="P37" s="8">
        <f t="shared" ref="P37:P45" si="23">SUMPRODUCT($A$1:$N$1,B37:O37)</f>
        <v>8.1989369011850837</v>
      </c>
      <c r="Q37" s="8">
        <f t="shared" ref="Q37:Q45" si="24">O25*(1-O25)*13</f>
        <v>3.0279702619839721</v>
      </c>
      <c r="R37" t="s">
        <v>491</v>
      </c>
      <c r="S37" s="22"/>
      <c r="Y37">
        <v>10</v>
      </c>
      <c r="Z37">
        <v>3</v>
      </c>
      <c r="AA37">
        <v>6</v>
      </c>
      <c r="AB37" t="str">
        <f t="shared" si="4"/>
        <v>aj-10</v>
      </c>
      <c r="AC37">
        <f t="shared" si="5"/>
        <v>32</v>
      </c>
      <c r="AD37" s="56">
        <f t="shared" si="6"/>
        <v>0.15206343130735664</v>
      </c>
    </row>
    <row r="38" spans="1:30" x14ac:dyDescent="0.25">
      <c r="A38" t="s">
        <v>55</v>
      </c>
      <c r="B38" s="7">
        <f t="shared" ref="B38:O38" si="25">_xlfn.BINOM.DIST(A$1,13,$O26,FALSE)</f>
        <v>9.2368163868791393E-7</v>
      </c>
      <c r="C38" s="7">
        <f t="shared" si="25"/>
        <v>2.295896807853078E-5</v>
      </c>
      <c r="D38" s="7">
        <f t="shared" si="25"/>
        <v>2.6338456212938235E-4</v>
      </c>
      <c r="E38" s="7">
        <f t="shared" si="25"/>
        <v>1.8464963248997332E-3</v>
      </c>
      <c r="F38" s="7">
        <f t="shared" si="25"/>
        <v>8.8262283163837805E-3</v>
      </c>
      <c r="G38" s="7">
        <f t="shared" si="25"/>
        <v>3.0376264374075444E-2</v>
      </c>
      <c r="H38" s="7">
        <f t="shared" si="25"/>
        <v>7.7439011717930759E-2</v>
      </c>
      <c r="I38" s="7">
        <f t="shared" si="25"/>
        <v>0.14806298583988559</v>
      </c>
      <c r="J38" s="7">
        <f t="shared" si="25"/>
        <v>0.21232174155006089</v>
      </c>
      <c r="K38" s="7">
        <f t="shared" si="25"/>
        <v>0.22553225589487699</v>
      </c>
      <c r="L38" s="7">
        <f t="shared" si="25"/>
        <v>0.17248659800893923</v>
      </c>
      <c r="M38" s="7">
        <f t="shared" si="25"/>
        <v>8.9943674801176793E-2</v>
      </c>
      <c r="N38" s="7">
        <f t="shared" si="25"/>
        <v>2.8661972721152215E-2</v>
      </c>
      <c r="O38" s="7">
        <f t="shared" si="25"/>
        <v>4.2155032387720314E-3</v>
      </c>
      <c r="P38" s="8">
        <f t="shared" si="23"/>
        <v>8.5357062765043121</v>
      </c>
      <c r="Q38" s="8">
        <f t="shared" si="24"/>
        <v>2.9312230735231499</v>
      </c>
      <c r="R38" t="s">
        <v>491</v>
      </c>
      <c r="S38" s="22"/>
      <c r="Y38">
        <v>11</v>
      </c>
      <c r="Z38">
        <v>3</v>
      </c>
      <c r="AA38">
        <v>10</v>
      </c>
      <c r="AB38" t="str">
        <f t="shared" si="4"/>
        <v>aj-11</v>
      </c>
      <c r="AC38">
        <f t="shared" si="5"/>
        <v>33</v>
      </c>
      <c r="AD38" s="56">
        <f t="shared" si="6"/>
        <v>0.64996037728110745</v>
      </c>
    </row>
    <row r="39" spans="1:30" x14ac:dyDescent="0.25">
      <c r="A39" t="s">
        <v>35</v>
      </c>
      <c r="B39" s="7">
        <f t="shared" ref="B39:O39" si="26">_xlfn.BINOM.DIST(A$1,13,$O27,FALSE)</f>
        <v>3.5765898633955055E-3</v>
      </c>
      <c r="C39" s="7">
        <f t="shared" si="26"/>
        <v>2.521886484735875E-2</v>
      </c>
      <c r="D39" s="7">
        <f t="shared" si="26"/>
        <v>8.2071018890201783E-2</v>
      </c>
      <c r="E39" s="7">
        <f t="shared" si="26"/>
        <v>0.16322034672344013</v>
      </c>
      <c r="F39" s="7">
        <f t="shared" si="26"/>
        <v>0.22132340611357379</v>
      </c>
      <c r="G39" s="7">
        <f t="shared" si="26"/>
        <v>0.21607916399805749</v>
      </c>
      <c r="H39" s="7">
        <f t="shared" si="26"/>
        <v>0.15626606208928209</v>
      </c>
      <c r="I39" s="7">
        <f t="shared" si="26"/>
        <v>8.4757416133066782E-2</v>
      </c>
      <c r="J39" s="7">
        <f t="shared" si="26"/>
        <v>3.4478789700907966E-2</v>
      </c>
      <c r="K39" s="7">
        <f t="shared" si="26"/>
        <v>1.0389449774786045E-2</v>
      </c>
      <c r="L39" s="7">
        <f t="shared" si="26"/>
        <v>2.2540605584647484E-3</v>
      </c>
      <c r="M39" s="7">
        <f t="shared" si="26"/>
        <v>3.3343193278869869E-4</v>
      </c>
      <c r="N39" s="7">
        <f t="shared" si="26"/>
        <v>3.0141785855030655E-5</v>
      </c>
      <c r="O39" s="7">
        <f t="shared" si="26"/>
        <v>1.2575888212468034E-6</v>
      </c>
      <c r="P39" s="8">
        <f t="shared" si="23"/>
        <v>4.5715314452204243</v>
      </c>
      <c r="Q39" s="8">
        <f t="shared" si="24"/>
        <v>2.9639237717866438</v>
      </c>
      <c r="R39" t="s">
        <v>490</v>
      </c>
      <c r="S39" s="22"/>
      <c r="Y39">
        <v>12</v>
      </c>
      <c r="Z39">
        <v>3</v>
      </c>
      <c r="AA39">
        <v>5</v>
      </c>
      <c r="AB39" t="str">
        <f t="shared" si="4"/>
        <v>aj-12</v>
      </c>
      <c r="AC39">
        <f t="shared" si="5"/>
        <v>34</v>
      </c>
      <c r="AD39" s="56" t="str">
        <f t="shared" si="6"/>
        <v/>
      </c>
    </row>
    <row r="40" spans="1:30" x14ac:dyDescent="0.25">
      <c r="A40" t="s">
        <v>27</v>
      </c>
      <c r="B40" s="7">
        <f t="shared" ref="B40:O40" si="27">_xlfn.BINOM.DIST(A$1,13,$O28,FALSE)</f>
        <v>1.3611026432434703E-3</v>
      </c>
      <c r="C40" s="7">
        <f t="shared" si="27"/>
        <v>1.170274346747832E-2</v>
      </c>
      <c r="D40" s="7">
        <f t="shared" si="27"/>
        <v>4.6440019227323492E-2</v>
      </c>
      <c r="E40" s="7">
        <f t="shared" si="27"/>
        <v>0.11262045476821009</v>
      </c>
      <c r="F40" s="7">
        <f t="shared" si="27"/>
        <v>0.18621331895949306</v>
      </c>
      <c r="G40" s="7">
        <f t="shared" si="27"/>
        <v>0.22168520065985814</v>
      </c>
      <c r="H40" s="7">
        <f t="shared" si="27"/>
        <v>0.1954919565972173</v>
      </c>
      <c r="I40" s="7">
        <f t="shared" si="27"/>
        <v>0.12929518405080606</v>
      </c>
      <c r="J40" s="7">
        <f t="shared" si="27"/>
        <v>6.4135290690662261E-2</v>
      </c>
      <c r="K40" s="7">
        <f t="shared" si="27"/>
        <v>2.3565573740618496E-2</v>
      </c>
      <c r="L40" s="7">
        <f t="shared" si="27"/>
        <v>6.2343540820635054E-3</v>
      </c>
      <c r="M40" s="7">
        <f t="shared" si="27"/>
        <v>1.1245363271424017E-3</v>
      </c>
      <c r="N40" s="7">
        <f t="shared" si="27"/>
        <v>1.2395832367438034E-4</v>
      </c>
      <c r="O40" s="7">
        <f t="shared" si="27"/>
        <v>6.3064622091332884E-6</v>
      </c>
      <c r="P40" s="8">
        <f t="shared" si="23"/>
        <v>5.1751968668058419</v>
      </c>
      <c r="Q40" s="8">
        <f t="shared" si="24"/>
        <v>3.1149920506368418</v>
      </c>
      <c r="R40" t="s">
        <v>491</v>
      </c>
      <c r="S40" s="22"/>
      <c r="Y40">
        <v>13</v>
      </c>
      <c r="Z40">
        <v>3</v>
      </c>
      <c r="AA40">
        <v>9</v>
      </c>
      <c r="AB40" t="str">
        <f t="shared" si="4"/>
        <v>aj-13</v>
      </c>
      <c r="AC40">
        <f t="shared" si="5"/>
        <v>35</v>
      </c>
      <c r="AD40" s="56" t="str">
        <f t="shared" si="6"/>
        <v/>
      </c>
    </row>
    <row r="41" spans="1:30" x14ac:dyDescent="0.25">
      <c r="A41" t="s">
        <v>62</v>
      </c>
      <c r="B41" s="7">
        <f t="shared" ref="B41:O41" si="28">_xlfn.BINOM.DIST(A$1,13,$O29,FALSE)</f>
        <v>7.0875867615920619E-6</v>
      </c>
      <c r="C41" s="7">
        <f t="shared" si="28"/>
        <v>1.3724227039676551E-4</v>
      </c>
      <c r="D41" s="7">
        <f t="shared" si="28"/>
        <v>1.2265501155905405E-3</v>
      </c>
      <c r="E41" s="7">
        <f t="shared" si="28"/>
        <v>6.6988905413457884E-3</v>
      </c>
      <c r="F41" s="7">
        <f t="shared" si="28"/>
        <v>2.4945317940499739E-2</v>
      </c>
      <c r="G41" s="7">
        <f t="shared" si="28"/>
        <v>6.6881761387890579E-2</v>
      </c>
      <c r="H41" s="7">
        <f t="shared" si="28"/>
        <v>0.13282890488162513</v>
      </c>
      <c r="I41" s="7">
        <f t="shared" si="28"/>
        <v>0.19785122587149348</v>
      </c>
      <c r="J41" s="7">
        <f t="shared" si="28"/>
        <v>0.22102742404075107</v>
      </c>
      <c r="K41" s="7">
        <f t="shared" si="28"/>
        <v>0.18290257111270289</v>
      </c>
      <c r="L41" s="7">
        <f t="shared" si="28"/>
        <v>0.108974768532334</v>
      </c>
      <c r="M41" s="7">
        <f t="shared" si="28"/>
        <v>4.4269098511760745E-2</v>
      </c>
      <c r="N41" s="7">
        <f t="shared" si="28"/>
        <v>1.0989946573982248E-2</v>
      </c>
      <c r="O41" s="7">
        <f t="shared" si="28"/>
        <v>1.2592106328654501E-3</v>
      </c>
      <c r="P41" s="8">
        <f t="shared" si="23"/>
        <v>7.7781085016253524</v>
      </c>
      <c r="Q41" s="8">
        <f t="shared" si="24"/>
        <v>3.1243414352363841</v>
      </c>
      <c r="R41" t="s">
        <v>490</v>
      </c>
      <c r="S41" s="22"/>
      <c r="Y41">
        <v>1</v>
      </c>
      <c r="Z41">
        <v>4</v>
      </c>
      <c r="AA41">
        <v>7</v>
      </c>
      <c r="AB41" t="str">
        <f t="shared" si="4"/>
        <v>devon-1</v>
      </c>
      <c r="AC41">
        <f t="shared" si="5"/>
        <v>36</v>
      </c>
      <c r="AD41" s="56" t="str">
        <f t="shared" si="6"/>
        <v/>
      </c>
    </row>
    <row r="42" spans="1:30" x14ac:dyDescent="0.25">
      <c r="A42" t="s">
        <v>1648</v>
      </c>
      <c r="B42" s="7">
        <f t="shared" ref="B42:O42" si="29">_xlfn.BINOM.DIST(A$1,13,$O30,FALSE)</f>
        <v>4.6605672188142807E-4</v>
      </c>
      <c r="C42" s="7">
        <f t="shared" si="29"/>
        <v>4.8721663282094551E-3</v>
      </c>
      <c r="D42" s="7">
        <f t="shared" si="29"/>
        <v>2.3507872901666668E-2</v>
      </c>
      <c r="E42" s="7">
        <f t="shared" si="29"/>
        <v>6.9314603293658406E-2</v>
      </c>
      <c r="F42" s="7">
        <f t="shared" si="29"/>
        <v>0.13934927972238664</v>
      </c>
      <c r="G42" s="7">
        <f t="shared" si="29"/>
        <v>0.20170525404804071</v>
      </c>
      <c r="H42" s="7">
        <f t="shared" si="29"/>
        <v>0.21626982315196702</v>
      </c>
      <c r="I42" s="7">
        <f t="shared" si="29"/>
        <v>0.17391454412130661</v>
      </c>
      <c r="J42" s="7">
        <f t="shared" si="29"/>
        <v>0.10489073862492358</v>
      </c>
      <c r="K42" s="7">
        <f t="shared" si="29"/>
        <v>4.6860251607709152E-2</v>
      </c>
      <c r="L42" s="7">
        <f t="shared" si="29"/>
        <v>1.507316957491181E-2</v>
      </c>
      <c r="M42" s="7">
        <f t="shared" si="29"/>
        <v>3.305773791206832E-3</v>
      </c>
      <c r="N42" s="7">
        <f t="shared" si="29"/>
        <v>4.4305930240817634E-4</v>
      </c>
      <c r="O42" s="7">
        <f t="shared" si="29"/>
        <v>2.7406809723581634E-5</v>
      </c>
      <c r="P42" s="8">
        <f t="shared" si="23"/>
        <v>5.7944122399796854</v>
      </c>
      <c r="Q42" s="8">
        <f t="shared" si="24"/>
        <v>3.2117035317622706</v>
      </c>
      <c r="R42" t="s">
        <v>491</v>
      </c>
      <c r="S42" s="22"/>
      <c r="Y42">
        <v>2</v>
      </c>
      <c r="Z42">
        <v>4</v>
      </c>
      <c r="AA42">
        <v>1</v>
      </c>
      <c r="AB42" t="str">
        <f t="shared" si="4"/>
        <v>devon-2</v>
      </c>
      <c r="AC42">
        <f t="shared" si="5"/>
        <v>36</v>
      </c>
      <c r="AD42" s="56" t="str">
        <f t="shared" si="6"/>
        <v/>
      </c>
    </row>
    <row r="43" spans="1:30" x14ac:dyDescent="0.25">
      <c r="A43" t="s">
        <v>23</v>
      </c>
      <c r="B43" s="7">
        <f t="shared" ref="B43:O43" si="30">_xlfn.BINOM.DIST(A$1,13,$O31,FALSE)</f>
        <v>9.567389413165804E-4</v>
      </c>
      <c r="C43" s="7">
        <f t="shared" si="30"/>
        <v>8.7940298124265723E-3</v>
      </c>
      <c r="D43" s="7">
        <f t="shared" si="30"/>
        <v>3.7306998887487987E-2</v>
      </c>
      <c r="E43" s="7">
        <f t="shared" si="30"/>
        <v>9.6719239911474006E-2</v>
      </c>
      <c r="F43" s="7">
        <f t="shared" si="30"/>
        <v>0.17096374153544419</v>
      </c>
      <c r="G43" s="7">
        <f t="shared" si="30"/>
        <v>0.21758434703908483</v>
      </c>
      <c r="H43" s="7">
        <f t="shared" si="30"/>
        <v>0.2051244907956751</v>
      </c>
      <c r="I43" s="7">
        <f t="shared" si="30"/>
        <v>0.145033606381024</v>
      </c>
      <c r="J43" s="7">
        <f t="shared" si="30"/>
        <v>7.6909686277436842E-2</v>
      </c>
      <c r="K43" s="7">
        <f t="shared" si="30"/>
        <v>3.0210621860742286E-2</v>
      </c>
      <c r="L43" s="7">
        <f t="shared" si="30"/>
        <v>8.5441878197593298E-3</v>
      </c>
      <c r="M43" s="7">
        <f t="shared" si="30"/>
        <v>1.6475950796642816E-3</v>
      </c>
      <c r="N43" s="7">
        <f t="shared" si="30"/>
        <v>1.9415579886181229E-4</v>
      </c>
      <c r="O43" s="7">
        <f t="shared" si="30"/>
        <v>1.0559859602065427E-5</v>
      </c>
      <c r="P43" s="8">
        <f t="shared" si="23"/>
        <v>5.384530296901489</v>
      </c>
      <c r="Q43" s="8">
        <f t="shared" si="24"/>
        <v>3.1542867185745629</v>
      </c>
      <c r="R43" t="s">
        <v>490</v>
      </c>
      <c r="S43" s="22"/>
      <c r="Y43">
        <v>3</v>
      </c>
      <c r="Z43">
        <v>4</v>
      </c>
      <c r="AA43">
        <v>6</v>
      </c>
      <c r="AB43" t="str">
        <f t="shared" si="4"/>
        <v>devon-3</v>
      </c>
      <c r="AC43">
        <f t="shared" si="5"/>
        <v>37</v>
      </c>
      <c r="AD43" s="56" t="str">
        <f t="shared" si="6"/>
        <v/>
      </c>
    </row>
    <row r="44" spans="1:30" x14ac:dyDescent="0.25">
      <c r="A44" t="s">
        <v>49</v>
      </c>
      <c r="B44" s="7">
        <f t="shared" ref="B44:O44" si="31">_xlfn.BINOM.DIST(A$1,13,$O32,FALSE)</f>
        <v>2.4056263074269515E-7</v>
      </c>
      <c r="C44" s="7">
        <f t="shared" si="31"/>
        <v>6.9723704067734969E-6</v>
      </c>
      <c r="D44" s="7">
        <f t="shared" si="31"/>
        <v>9.3269711936101141E-5</v>
      </c>
      <c r="E44" s="7">
        <f t="shared" si="31"/>
        <v>7.6246690889541363E-4</v>
      </c>
      <c r="F44" s="7">
        <f t="shared" si="31"/>
        <v>4.2498141954467293E-3</v>
      </c>
      <c r="G44" s="7">
        <f t="shared" si="31"/>
        <v>1.7054986582735084E-2</v>
      </c>
      <c r="H44" s="7">
        <f t="shared" si="31"/>
        <v>5.0698960256055206E-2</v>
      </c>
      <c r="I44" s="7">
        <f t="shared" si="31"/>
        <v>0.11303371122175591</v>
      </c>
      <c r="J44" s="7">
        <f t="shared" si="31"/>
        <v>0.18900712866745628</v>
      </c>
      <c r="K44" s="7">
        <f t="shared" si="31"/>
        <v>0.23410711528896022</v>
      </c>
      <c r="L44" s="7">
        <f t="shared" si="31"/>
        <v>0.208777426052797</v>
      </c>
      <c r="M44" s="7">
        <f t="shared" si="31"/>
        <v>0.12694659094434602</v>
      </c>
      <c r="N44" s="7">
        <f t="shared" si="31"/>
        <v>4.7171395721328079E-2</v>
      </c>
      <c r="O44" s="7">
        <f t="shared" si="31"/>
        <v>8.0899215152504776E-3</v>
      </c>
      <c r="P44" s="8">
        <f t="shared" si="23"/>
        <v>8.974618398515311</v>
      </c>
      <c r="Q44" s="8">
        <f t="shared" si="24"/>
        <v>2.778943367825347</v>
      </c>
      <c r="R44" t="s">
        <v>491</v>
      </c>
      <c r="S44" s="22"/>
      <c r="Y44">
        <v>4</v>
      </c>
      <c r="Z44">
        <v>4</v>
      </c>
      <c r="AA44">
        <v>8</v>
      </c>
      <c r="AB44" t="str">
        <f t="shared" si="4"/>
        <v>devon-4</v>
      </c>
      <c r="AC44">
        <f t="shared" si="5"/>
        <v>38</v>
      </c>
      <c r="AD44" s="56" t="str">
        <f t="shared" si="6"/>
        <v/>
      </c>
    </row>
    <row r="45" spans="1:30" x14ac:dyDescent="0.25">
      <c r="A45" t="s">
        <v>44</v>
      </c>
      <c r="B45" s="7">
        <f t="shared" ref="B45:O45" si="32">_xlfn.BINOM.DIST(A$1,13,$O33,FALSE)</f>
        <v>1.516783241540531E-2</v>
      </c>
      <c r="C45" s="7">
        <f t="shared" si="32"/>
        <v>7.4960342576383038E-2</v>
      </c>
      <c r="D45" s="7">
        <f t="shared" si="32"/>
        <v>0.17098086180355282</v>
      </c>
      <c r="E45" s="7">
        <f t="shared" si="32"/>
        <v>0.23833269335142074</v>
      </c>
      <c r="F45" s="7">
        <f t="shared" si="32"/>
        <v>0.22651048932787393</v>
      </c>
      <c r="G45" s="7">
        <f t="shared" si="32"/>
        <v>0.15499779219936327</v>
      </c>
      <c r="H45" s="7">
        <f t="shared" si="32"/>
        <v>7.8564967901795624E-2</v>
      </c>
      <c r="I45" s="7">
        <f t="shared" si="32"/>
        <v>2.9867139204816692E-2</v>
      </c>
      <c r="J45" s="7">
        <f t="shared" si="32"/>
        <v>8.5156848030053488E-3</v>
      </c>
      <c r="K45" s="7">
        <f t="shared" si="32"/>
        <v>1.7985054650256742E-3</v>
      </c>
      <c r="L45" s="7">
        <f t="shared" si="32"/>
        <v>2.7348684544332459E-4</v>
      </c>
      <c r="M45" s="7">
        <f t="shared" si="32"/>
        <v>2.8355003167287608E-5</v>
      </c>
      <c r="N45" s="7">
        <f t="shared" si="32"/>
        <v>1.7965658430378691E-6</v>
      </c>
      <c r="O45" s="7">
        <f t="shared" si="32"/>
        <v>5.2536903834702961E-8</v>
      </c>
      <c r="P45" s="8">
        <f t="shared" si="23"/>
        <v>3.580791889258967</v>
      </c>
      <c r="Q45" s="8">
        <f t="shared" si="24"/>
        <v>2.594478769706444</v>
      </c>
      <c r="R45" t="s">
        <v>490</v>
      </c>
      <c r="S45" s="22"/>
      <c r="Y45">
        <v>5</v>
      </c>
      <c r="Z45">
        <v>4</v>
      </c>
      <c r="AA45">
        <v>2</v>
      </c>
      <c r="AB45" t="str">
        <f t="shared" si="4"/>
        <v>devon-5</v>
      </c>
      <c r="AC45">
        <f t="shared" si="5"/>
        <v>38</v>
      </c>
      <c r="AD45" s="56" t="str">
        <f t="shared" si="6"/>
        <v/>
      </c>
    </row>
    <row r="46" spans="1:30" x14ac:dyDescent="0.25">
      <c r="B46" s="3"/>
      <c r="C46" s="7"/>
      <c r="D46" s="7"/>
      <c r="E46" s="7"/>
      <c r="F46" s="7"/>
      <c r="G46" s="7"/>
      <c r="H46" s="7"/>
      <c r="I46" s="7"/>
      <c r="J46" s="7"/>
      <c r="K46" s="7"/>
      <c r="L46" s="7"/>
      <c r="M46" s="7"/>
      <c r="N46" s="7"/>
      <c r="O46" s="7"/>
      <c r="P46" s="7"/>
      <c r="Q46" s="8"/>
      <c r="R46" s="8"/>
      <c r="Y46">
        <v>6</v>
      </c>
      <c r="Z46">
        <v>4</v>
      </c>
      <c r="AA46">
        <v>5</v>
      </c>
      <c r="AB46" t="str">
        <f t="shared" si="4"/>
        <v>devon-6</v>
      </c>
      <c r="AC46">
        <f t="shared" si="5"/>
        <v>39</v>
      </c>
      <c r="AD46" s="56" t="str">
        <f t="shared" si="6"/>
        <v/>
      </c>
    </row>
    <row r="47" spans="1:30" x14ac:dyDescent="0.25">
      <c r="B47" s="3" t="s">
        <v>492</v>
      </c>
      <c r="C47" s="7" t="s">
        <v>9</v>
      </c>
      <c r="D47" s="7" t="s">
        <v>493</v>
      </c>
      <c r="E47" s="7"/>
      <c r="F47" s="7"/>
      <c r="G47" s="7"/>
      <c r="H47" s="7"/>
      <c r="I47" s="7"/>
      <c r="J47" s="7"/>
      <c r="K47" s="7"/>
      <c r="L47" s="7"/>
      <c r="M47" s="7"/>
      <c r="N47" s="7"/>
      <c r="O47" s="7"/>
      <c r="P47" s="7"/>
      <c r="Q47" s="8"/>
      <c r="R47" s="8"/>
      <c r="Y47">
        <v>7</v>
      </c>
      <c r="Z47">
        <v>4</v>
      </c>
      <c r="AA47">
        <v>3</v>
      </c>
      <c r="AB47" t="str">
        <f t="shared" si="4"/>
        <v>devon-7</v>
      </c>
      <c r="AC47">
        <f t="shared" si="5"/>
        <v>39</v>
      </c>
      <c r="AD47" s="56" t="str">
        <f t="shared" si="6"/>
        <v/>
      </c>
    </row>
    <row r="48" spans="1:30" x14ac:dyDescent="0.25">
      <c r="A48" t="s">
        <v>494</v>
      </c>
      <c r="B48" s="10">
        <f>AVERAGEIF($R$36:$R$45,"DP",$P$36:$P$45)</f>
        <v>5.6642258634019544</v>
      </c>
      <c r="C48" s="10">
        <f>AVERAGEIF($R$36:$R$45,"HK",$Q$36:$Q$45)</f>
        <v>3.0129664571463164</v>
      </c>
      <c r="D48" s="11">
        <f>_xlfn.NORM.INV(5/6,B48,SQRT(C48))</f>
        <v>7.343466413500126</v>
      </c>
      <c r="E48" s="3">
        <f>SUMIF($R$36:$R$45,"DP",$B$56:$B$65)</f>
        <v>1.2211385538979138</v>
      </c>
      <c r="G48" s="7"/>
      <c r="J48" s="7"/>
      <c r="K48" s="7"/>
      <c r="L48" s="7"/>
      <c r="M48" s="7"/>
      <c r="N48" s="7"/>
      <c r="O48" s="7"/>
      <c r="P48" s="7"/>
      <c r="Q48" s="7"/>
      <c r="R48" s="8"/>
      <c r="Y48">
        <v>8</v>
      </c>
      <c r="Z48">
        <v>4</v>
      </c>
      <c r="AA48">
        <v>10</v>
      </c>
      <c r="AB48" t="str">
        <f t="shared" si="4"/>
        <v>devon-8</v>
      </c>
      <c r="AC48">
        <f t="shared" si="5"/>
        <v>40</v>
      </c>
      <c r="AD48" s="56" t="str">
        <f t="shared" si="6"/>
        <v/>
      </c>
    </row>
    <row r="49" spans="1:30" x14ac:dyDescent="0.25">
      <c r="A49" t="s">
        <v>495</v>
      </c>
      <c r="B49" s="10">
        <f>AVERAGEIF($R$36:$R$45,"HK",$P$36:$P$45)</f>
        <v>7.3357741365980473</v>
      </c>
      <c r="C49" s="10">
        <f>AVERAGEIF($R$36:$R$45,"DP",$Q$36:$Q$45)</f>
        <v>3.0134645203198516</v>
      </c>
      <c r="D49" s="11">
        <f>_xlfn.NORM.INV(5/6,B49,SQRT(C49))</f>
        <v>9.0151534757149463</v>
      </c>
      <c r="E49" s="3">
        <f>SUMIF($R$36:$R$45,"HK",$B$56:$B$65)</f>
        <v>1.2504812655721853</v>
      </c>
      <c r="F49" s="7"/>
      <c r="G49" s="7"/>
      <c r="H49" s="7"/>
      <c r="I49" s="7"/>
      <c r="J49" s="7"/>
      <c r="K49" s="7"/>
      <c r="L49" s="7"/>
      <c r="M49" s="7"/>
      <c r="N49" s="7"/>
      <c r="O49" s="7"/>
      <c r="P49" s="7"/>
      <c r="Q49" s="8"/>
      <c r="R49" s="8"/>
      <c r="Y49">
        <v>9</v>
      </c>
      <c r="Z49">
        <v>4</v>
      </c>
      <c r="AA49">
        <v>2</v>
      </c>
      <c r="AB49" t="str">
        <f t="shared" si="4"/>
        <v>devon-9</v>
      </c>
      <c r="AC49">
        <f t="shared" si="5"/>
        <v>40</v>
      </c>
      <c r="AD49" s="56" t="str">
        <f t="shared" si="6"/>
        <v/>
      </c>
    </row>
    <row r="50" spans="1:30" x14ac:dyDescent="0.25">
      <c r="A50" t="s">
        <v>496</v>
      </c>
      <c r="B50" s="10">
        <f>AVERAGE(P36:P45)</f>
        <v>6.5</v>
      </c>
      <c r="C50" s="10">
        <f>AVERAGE(Q36:Q45)</f>
        <v>3.0132154887330844</v>
      </c>
      <c r="D50" s="11">
        <f>_xlfn.NORM.INV(10/11,B50,SQRT(C50))</f>
        <v>8.8176837591418504</v>
      </c>
      <c r="E50" s="3"/>
      <c r="F50" s="7"/>
      <c r="G50" s="7"/>
      <c r="H50" s="7"/>
      <c r="I50" s="7"/>
      <c r="J50" s="7"/>
      <c r="K50" s="7"/>
      <c r="L50" s="7"/>
      <c r="M50" s="7"/>
      <c r="N50" s="7"/>
      <c r="O50" s="7"/>
      <c r="P50" s="7"/>
      <c r="Q50" s="10"/>
      <c r="R50" s="8"/>
      <c r="Y50">
        <v>10</v>
      </c>
      <c r="Z50">
        <v>4</v>
      </c>
      <c r="AA50">
        <v>7</v>
      </c>
      <c r="AB50" t="str">
        <f t="shared" si="4"/>
        <v>devon-10</v>
      </c>
      <c r="AC50">
        <f t="shared" si="5"/>
        <v>41</v>
      </c>
      <c r="AD50" s="56" t="str">
        <f t="shared" si="6"/>
        <v/>
      </c>
    </row>
    <row r="51" spans="1:30" x14ac:dyDescent="0.25">
      <c r="A51" t="s">
        <v>600</v>
      </c>
      <c r="B51" s="10">
        <f>AVERAGE(P36:P45)</f>
        <v>6.5</v>
      </c>
      <c r="C51" s="10">
        <f>AVERAGE(Q36:Q45)</f>
        <v>3.0132154887330844</v>
      </c>
      <c r="D51" s="11">
        <f>_xlfn.NORM.INV(8/11,B51,SQRT(C51))</f>
        <v>7.5494764860775776</v>
      </c>
      <c r="E51" s="3"/>
      <c r="F51" s="7"/>
      <c r="G51" s="7"/>
      <c r="H51" s="7"/>
      <c r="I51" s="7"/>
      <c r="J51" s="7"/>
      <c r="K51" s="7"/>
      <c r="L51" s="7"/>
      <c r="M51" s="7"/>
      <c r="N51" s="7"/>
      <c r="O51" s="7"/>
      <c r="P51" s="7"/>
      <c r="Q51" s="10"/>
      <c r="R51" s="8"/>
      <c r="Y51">
        <v>11</v>
      </c>
      <c r="Z51">
        <v>4</v>
      </c>
      <c r="AA51">
        <v>1</v>
      </c>
      <c r="AB51" t="str">
        <f t="shared" si="4"/>
        <v>devon-11</v>
      </c>
      <c r="AC51">
        <f t="shared" si="5"/>
        <v>41</v>
      </c>
      <c r="AD51" s="56" t="str">
        <f t="shared" si="6"/>
        <v/>
      </c>
    </row>
    <row r="52" spans="1:30" x14ac:dyDescent="0.25">
      <c r="A52" t="s">
        <v>497</v>
      </c>
      <c r="B52" s="10">
        <f>AVERAGE(P36:P45)</f>
        <v>6.5</v>
      </c>
      <c r="C52" s="10">
        <f>AVERAGE(Q36:Q45)</f>
        <v>3.0132154887330844</v>
      </c>
      <c r="D52" s="11">
        <f>_xlfn.NORM.INV(7/11,B52,SQRT(C52))</f>
        <v>7.1053916190646191</v>
      </c>
      <c r="E52" s="3"/>
      <c r="F52" s="7"/>
      <c r="G52" s="7"/>
      <c r="H52" s="7"/>
      <c r="I52" s="7"/>
      <c r="J52" s="7"/>
      <c r="K52" s="7"/>
      <c r="L52" s="7"/>
      <c r="M52" s="7"/>
      <c r="N52" s="7"/>
      <c r="O52" s="7"/>
      <c r="P52" s="7"/>
      <c r="Q52" s="10"/>
      <c r="R52" s="8"/>
      <c r="Y52">
        <v>12</v>
      </c>
      <c r="Z52">
        <v>4</v>
      </c>
      <c r="AA52">
        <v>9</v>
      </c>
      <c r="AB52" t="str">
        <f t="shared" si="4"/>
        <v>devon-12</v>
      </c>
      <c r="AC52">
        <f t="shared" si="5"/>
        <v>42</v>
      </c>
      <c r="AD52" s="56" t="str">
        <f t="shared" si="6"/>
        <v/>
      </c>
    </row>
    <row r="53" spans="1:30" x14ac:dyDescent="0.25">
      <c r="B53" s="10"/>
      <c r="C53" s="10"/>
      <c r="D53" s="11"/>
      <c r="E53" s="3"/>
      <c r="F53" s="7"/>
      <c r="G53" s="7"/>
      <c r="H53" s="7"/>
      <c r="I53" s="7"/>
      <c r="J53" s="7"/>
      <c r="K53" s="7"/>
      <c r="M53" s="7"/>
      <c r="N53" s="7"/>
      <c r="O53" s="7"/>
      <c r="P53" s="7"/>
      <c r="Q53" s="10"/>
      <c r="R53" s="8"/>
      <c r="Y53">
        <v>13</v>
      </c>
      <c r="Z53">
        <v>4</v>
      </c>
      <c r="AA53">
        <v>8</v>
      </c>
      <c r="AB53" t="str">
        <f t="shared" si="4"/>
        <v>devon-13</v>
      </c>
      <c r="AC53">
        <f t="shared" si="5"/>
        <v>43</v>
      </c>
      <c r="AD53" s="56" t="str">
        <f t="shared" si="6"/>
        <v/>
      </c>
    </row>
    <row r="54" spans="1:30" x14ac:dyDescent="0.25">
      <c r="B54" s="157" t="s">
        <v>487</v>
      </c>
      <c r="C54" s="157"/>
      <c r="D54" s="157" t="s">
        <v>599</v>
      </c>
      <c r="E54" s="157"/>
      <c r="F54" s="157" t="s">
        <v>601</v>
      </c>
      <c r="G54" s="157"/>
      <c r="H54" s="157" t="s">
        <v>497</v>
      </c>
      <c r="I54" s="157"/>
      <c r="Y54">
        <v>1</v>
      </c>
      <c r="Z54">
        <v>5</v>
      </c>
      <c r="AA54">
        <v>10</v>
      </c>
      <c r="AB54" t="str">
        <f t="shared" si="4"/>
        <v>comp-1</v>
      </c>
      <c r="AC54">
        <f t="shared" si="5"/>
        <v>44</v>
      </c>
      <c r="AD54" s="56">
        <f t="shared" si="6"/>
        <v>1</v>
      </c>
    </row>
    <row r="55" spans="1:30" x14ac:dyDescent="0.25">
      <c r="B55" s="12" t="s">
        <v>488</v>
      </c>
      <c r="C55" t="s">
        <v>489</v>
      </c>
      <c r="D55" s="12" t="s">
        <v>488</v>
      </c>
      <c r="E55" t="s">
        <v>489</v>
      </c>
      <c r="F55" s="12" t="s">
        <v>488</v>
      </c>
      <c r="G55" t="s">
        <v>489</v>
      </c>
      <c r="H55" s="12" t="s">
        <v>488</v>
      </c>
      <c r="I55" t="s">
        <v>489</v>
      </c>
      <c r="Y55">
        <v>2</v>
      </c>
      <c r="Z55">
        <v>5</v>
      </c>
      <c r="AA55">
        <v>2</v>
      </c>
      <c r="AB55" t="str">
        <f t="shared" si="4"/>
        <v>comp-2</v>
      </c>
      <c r="AC55">
        <f t="shared" si="5"/>
        <v>44</v>
      </c>
      <c r="AD55" s="56" t="str">
        <f t="shared" si="6"/>
        <v/>
      </c>
    </row>
    <row r="56" spans="1:30" x14ac:dyDescent="0.25">
      <c r="A56" t="s">
        <v>20</v>
      </c>
      <c r="B56" s="13">
        <f t="shared" ref="B56:B65" si="33">1-_xlfn.NORM.DIST(IF(R36="DP",$D$48,$D$49),P36,SQRT(Q36),TRUE)</f>
        <v>0.42556774043006595</v>
      </c>
      <c r="C56" s="3">
        <f>IF(R36="DP",B56/$E$48,B56/$E$49)</f>
        <v>0.34850078156294384</v>
      </c>
      <c r="D56" s="13">
        <f t="shared" ref="D56:D65" si="34">1-_xlfn.NORM.DIST($D$50,$P36,SQRT($Q36),TRUE)</f>
        <v>0.1567490171951158</v>
      </c>
      <c r="E56" s="3">
        <f>D56/$D$66</f>
        <v>8.3936335602947651E-2</v>
      </c>
      <c r="F56" s="13">
        <f>1-_xlfn.NORM.DIST($D$51,$P36,SQRT($Q36),TRUE)</f>
        <v>0.38121484371108894</v>
      </c>
      <c r="G56" s="3">
        <f>F56/$F$66*3</f>
        <v>0.32557349972437605</v>
      </c>
      <c r="H56" s="13">
        <f>1-_xlfn.NORM.DIST($D$52,$P36,SQRT($Q36),TRUE)</f>
        <v>0.47798659370967345</v>
      </c>
      <c r="I56" s="3">
        <f>H56/$H$66*4</f>
        <v>0.4608216997141425</v>
      </c>
      <c r="Y56">
        <v>3</v>
      </c>
      <c r="Z56">
        <v>5</v>
      </c>
      <c r="AA56">
        <v>9</v>
      </c>
      <c r="AB56" t="str">
        <f t="shared" si="4"/>
        <v>comp-3</v>
      </c>
      <c r="AC56">
        <f t="shared" si="5"/>
        <v>45</v>
      </c>
      <c r="AD56" s="56" t="str">
        <f t="shared" si="6"/>
        <v/>
      </c>
    </row>
    <row r="57" spans="1:30" x14ac:dyDescent="0.25">
      <c r="A57" t="s">
        <v>16</v>
      </c>
      <c r="B57" s="13">
        <f t="shared" si="33"/>
        <v>0.31951290863249604</v>
      </c>
      <c r="C57" s="3">
        <f t="shared" ref="C57:C65" si="35">IF(R37="DP",B57/$E$48,B57/$E$49)</f>
        <v>0.25551195162151896</v>
      </c>
      <c r="D57" s="13">
        <f t="shared" si="34"/>
        <v>0.36107759920039384</v>
      </c>
      <c r="E57" s="3">
        <f t="shared" ref="E57:E65" si="36">D57/$D$66</f>
        <v>0.19335068944939607</v>
      </c>
      <c r="F57" s="13">
        <f t="shared" ref="F57:F65" si="37">1-_xlfn.NORM.DIST($D$51,$P37,SQRT($Q37),TRUE)</f>
        <v>0.64551147316053292</v>
      </c>
      <c r="G57" s="3">
        <f t="shared" ref="G57:G65" si="38">F57/$F$66*3</f>
        <v>0.55129393017126915</v>
      </c>
      <c r="H57" s="13">
        <f t="shared" ref="H57:H65" si="39">1-_xlfn.NORM.DIST($D$52,$P37,SQRT($Q37),TRUE)</f>
        <v>0.73514077864385285</v>
      </c>
      <c r="I57" s="3">
        <f t="shared" ref="I57:I65" si="40">H57/$H$66*4</f>
        <v>0.70874126513599434</v>
      </c>
      <c r="Y57">
        <v>4</v>
      </c>
      <c r="Z57">
        <v>5</v>
      </c>
      <c r="AA57">
        <v>3</v>
      </c>
      <c r="AB57" t="str">
        <f t="shared" si="4"/>
        <v>comp-4</v>
      </c>
      <c r="AC57">
        <f t="shared" si="5"/>
        <v>45</v>
      </c>
      <c r="AD57" s="56" t="str">
        <f t="shared" si="6"/>
        <v/>
      </c>
    </row>
    <row r="58" spans="1:30" x14ac:dyDescent="0.25">
      <c r="A58" t="s">
        <v>55</v>
      </c>
      <c r="B58" s="13">
        <f t="shared" si="33"/>
        <v>0.38972432801469381</v>
      </c>
      <c r="C58" s="3">
        <f t="shared" si="35"/>
        <v>0.31165946963337099</v>
      </c>
      <c r="D58" s="13">
        <f t="shared" si="34"/>
        <v>0.43459059661754929</v>
      </c>
      <c r="E58" s="3">
        <f t="shared" si="36"/>
        <v>0.23271560371041672</v>
      </c>
      <c r="F58" s="13">
        <f t="shared" si="37"/>
        <v>0.71770639357461907</v>
      </c>
      <c r="G58" s="3">
        <f t="shared" si="38"/>
        <v>0.61295142669664138</v>
      </c>
      <c r="H58" s="13">
        <f t="shared" si="39"/>
        <v>0.79826060097700768</v>
      </c>
      <c r="I58" s="3">
        <f t="shared" si="40"/>
        <v>0.76959440243315957</v>
      </c>
      <c r="Y58">
        <v>5</v>
      </c>
      <c r="Z58">
        <v>5</v>
      </c>
      <c r="AA58">
        <v>6</v>
      </c>
      <c r="AB58" t="str">
        <f t="shared" si="4"/>
        <v>comp-5</v>
      </c>
      <c r="AC58">
        <f t="shared" si="5"/>
        <v>46</v>
      </c>
      <c r="AD58" s="56">
        <f t="shared" si="6"/>
        <v>0.37836433638415362</v>
      </c>
    </row>
    <row r="59" spans="1:30" x14ac:dyDescent="0.25">
      <c r="A59" t="s">
        <v>35</v>
      </c>
      <c r="B59" s="13">
        <f t="shared" si="33"/>
        <v>5.3689360039674727E-2</v>
      </c>
      <c r="C59" s="3">
        <f t="shared" si="35"/>
        <v>4.3966640696337489E-2</v>
      </c>
      <c r="D59" s="13">
        <f t="shared" si="34"/>
        <v>6.8240993068351408E-3</v>
      </c>
      <c r="E59" s="3">
        <f t="shared" si="36"/>
        <v>3.6541848864887466E-3</v>
      </c>
      <c r="F59" s="13">
        <f t="shared" si="37"/>
        <v>4.183753819263003E-2</v>
      </c>
      <c r="G59" s="3">
        <f t="shared" si="38"/>
        <v>3.5731016128925694E-2</v>
      </c>
      <c r="H59" s="13">
        <f t="shared" si="39"/>
        <v>7.0537294881918955E-2</v>
      </c>
      <c r="I59" s="3">
        <f t="shared" si="40"/>
        <v>6.8004242270583465E-2</v>
      </c>
      <c r="Y59">
        <v>6</v>
      </c>
      <c r="Z59">
        <v>5</v>
      </c>
      <c r="AA59">
        <v>4</v>
      </c>
      <c r="AB59" t="str">
        <f t="shared" si="4"/>
        <v>comp-6</v>
      </c>
      <c r="AC59">
        <f t="shared" si="5"/>
        <v>46</v>
      </c>
      <c r="AD59" s="56">
        <f t="shared" si="6"/>
        <v>0.560592987228411</v>
      </c>
    </row>
    <row r="60" spans="1:30" x14ac:dyDescent="0.25">
      <c r="A60" t="s">
        <v>27</v>
      </c>
      <c r="B60" s="13">
        <f t="shared" si="33"/>
        <v>1.4789068671995254E-2</v>
      </c>
      <c r="C60" s="3">
        <f t="shared" si="35"/>
        <v>1.1826701510180714E-2</v>
      </c>
      <c r="D60" s="13">
        <f t="shared" si="34"/>
        <v>1.9517909241296816E-2</v>
      </c>
      <c r="E60" s="3">
        <f t="shared" si="36"/>
        <v>1.0451496345307931E-2</v>
      </c>
      <c r="F60" s="13">
        <f t="shared" si="37"/>
        <v>8.9272060939630027E-2</v>
      </c>
      <c r="G60" s="3">
        <f t="shared" si="38"/>
        <v>7.6242092319338706E-2</v>
      </c>
      <c r="H60" s="13">
        <f t="shared" si="39"/>
        <v>0.13705740340981576</v>
      </c>
      <c r="I60" s="3">
        <f t="shared" si="40"/>
        <v>0.13213555867234358</v>
      </c>
      <c r="Y60">
        <v>7</v>
      </c>
      <c r="Z60">
        <v>5</v>
      </c>
      <c r="AA60">
        <v>7</v>
      </c>
      <c r="AB60" t="str">
        <f t="shared" si="4"/>
        <v>comp-7</v>
      </c>
      <c r="AC60">
        <f t="shared" si="5"/>
        <v>47</v>
      </c>
      <c r="AD60" s="56" t="str">
        <f t="shared" si="6"/>
        <v/>
      </c>
    </row>
    <row r="61" spans="1:30" x14ac:dyDescent="0.25">
      <c r="A61" t="s">
        <v>62</v>
      </c>
      <c r="B61" s="13">
        <f t="shared" si="33"/>
        <v>0.59711886435994344</v>
      </c>
      <c r="C61" s="3">
        <f t="shared" si="35"/>
        <v>0.48898535096932338</v>
      </c>
      <c r="D61" s="13">
        <f t="shared" si="34"/>
        <v>0.27822099326441674</v>
      </c>
      <c r="E61" s="3">
        <f t="shared" si="36"/>
        <v>0.14898243753170518</v>
      </c>
      <c r="F61" s="13">
        <f t="shared" si="37"/>
        <v>0.5514586281394338</v>
      </c>
      <c r="G61" s="3">
        <f t="shared" si="38"/>
        <v>0.47096884730078048</v>
      </c>
      <c r="H61" s="13">
        <f t="shared" si="39"/>
        <v>0.64824485350390437</v>
      </c>
      <c r="I61" s="3">
        <f t="shared" si="40"/>
        <v>0.62496584455265847</v>
      </c>
      <c r="Y61">
        <v>8</v>
      </c>
      <c r="Z61">
        <v>5</v>
      </c>
      <c r="AA61">
        <v>8</v>
      </c>
      <c r="AB61" t="str">
        <f t="shared" si="4"/>
        <v>comp-8</v>
      </c>
      <c r="AC61">
        <f t="shared" si="5"/>
        <v>48</v>
      </c>
      <c r="AD61" s="56">
        <f t="shared" si="6"/>
        <v>0.77082223924321258</v>
      </c>
    </row>
    <row r="62" spans="1:30" x14ac:dyDescent="0.25">
      <c r="A62" t="s">
        <v>1648</v>
      </c>
      <c r="B62" s="13">
        <f t="shared" si="33"/>
        <v>3.6154663029758782E-2</v>
      </c>
      <c r="C62" s="3">
        <f t="shared" si="35"/>
        <v>2.8912598713116602E-2</v>
      </c>
      <c r="D62" s="13">
        <f t="shared" si="34"/>
        <v>4.5803787723092459E-2</v>
      </c>
      <c r="E62" s="3">
        <f t="shared" si="36"/>
        <v>2.4527120916018462E-2</v>
      </c>
      <c r="F62" s="13">
        <f t="shared" si="37"/>
        <v>0.1637105723540182</v>
      </c>
      <c r="G62" s="3">
        <f t="shared" si="38"/>
        <v>0.13981570986142577</v>
      </c>
      <c r="H62" s="13">
        <f t="shared" si="39"/>
        <v>0.23222980321684883</v>
      </c>
      <c r="I62" s="3">
        <f t="shared" si="40"/>
        <v>0.22389023887073786</v>
      </c>
      <c r="Y62">
        <v>9</v>
      </c>
      <c r="Z62">
        <v>5</v>
      </c>
      <c r="AA62">
        <v>10</v>
      </c>
      <c r="AB62" t="str">
        <f t="shared" si="4"/>
        <v>comp-9</v>
      </c>
      <c r="AC62">
        <f t="shared" si="5"/>
        <v>49</v>
      </c>
      <c r="AD62" s="56">
        <f t="shared" si="6"/>
        <v>0.67823581091448948</v>
      </c>
    </row>
    <row r="63" spans="1:30" x14ac:dyDescent="0.25">
      <c r="A63" t="s">
        <v>23</v>
      </c>
      <c r="B63" s="13">
        <f t="shared" si="33"/>
        <v>0.13501679363456143</v>
      </c>
      <c r="C63" s="3">
        <f t="shared" si="35"/>
        <v>0.11056631796906538</v>
      </c>
      <c r="D63" s="13">
        <f t="shared" si="34"/>
        <v>2.6615143883804371E-2</v>
      </c>
      <c r="E63" s="3">
        <f t="shared" si="36"/>
        <v>1.4251940389335676E-2</v>
      </c>
      <c r="F63" s="13">
        <f t="shared" si="37"/>
        <v>0.11142592244926197</v>
      </c>
      <c r="G63" s="3">
        <f t="shared" si="38"/>
        <v>9.5162421218090376E-2</v>
      </c>
      <c r="H63" s="13">
        <f t="shared" si="39"/>
        <v>0.16628845100178624</v>
      </c>
      <c r="I63" s="3">
        <f t="shared" si="40"/>
        <v>0.16031689516384071</v>
      </c>
      <c r="Y63">
        <v>10</v>
      </c>
      <c r="Z63">
        <v>5</v>
      </c>
      <c r="AA63">
        <v>1</v>
      </c>
      <c r="AB63" t="str">
        <f t="shared" si="4"/>
        <v>comp-10</v>
      </c>
      <c r="AC63">
        <f t="shared" si="5"/>
        <v>49</v>
      </c>
      <c r="AD63" s="56">
        <f t="shared" si="6"/>
        <v>0.32470796989453188</v>
      </c>
    </row>
    <row r="64" spans="1:30" x14ac:dyDescent="0.25">
      <c r="A64" t="s">
        <v>49</v>
      </c>
      <c r="B64" s="13">
        <f t="shared" si="33"/>
        <v>0.49030029722324153</v>
      </c>
      <c r="C64" s="3">
        <f t="shared" si="35"/>
        <v>0.3920892785218128</v>
      </c>
      <c r="D64" s="13">
        <f t="shared" si="34"/>
        <v>0.53750143778539594</v>
      </c>
      <c r="E64" s="3">
        <f t="shared" si="36"/>
        <v>0.2878225450872407</v>
      </c>
      <c r="F64" s="13">
        <f t="shared" si="37"/>
        <v>0.80369835075898488</v>
      </c>
      <c r="G64" s="3">
        <f t="shared" si="38"/>
        <v>0.68639217253989748</v>
      </c>
      <c r="H64" s="13">
        <f t="shared" si="39"/>
        <v>0.8689200851851363</v>
      </c>
      <c r="I64" s="3">
        <f t="shared" si="40"/>
        <v>0.83771644611016705</v>
      </c>
      <c r="Y64">
        <v>11</v>
      </c>
      <c r="Z64">
        <v>5</v>
      </c>
      <c r="AA64">
        <v>9</v>
      </c>
      <c r="AB64" t="str">
        <f t="shared" si="4"/>
        <v>comp-11</v>
      </c>
      <c r="AC64">
        <f t="shared" si="5"/>
        <v>50</v>
      </c>
      <c r="AD64" s="56" t="str">
        <f t="shared" si="6"/>
        <v/>
      </c>
    </row>
    <row r="65" spans="1:30" x14ac:dyDescent="0.25">
      <c r="A65" t="s">
        <v>44</v>
      </c>
      <c r="B65" s="13">
        <f t="shared" si="33"/>
        <v>9.7457954336681585E-3</v>
      </c>
      <c r="C65" s="3">
        <f t="shared" si="35"/>
        <v>7.9809088023298121E-3</v>
      </c>
      <c r="D65" s="13">
        <f t="shared" si="34"/>
        <v>5.7452139787461665E-4</v>
      </c>
      <c r="E65" s="3">
        <f t="shared" si="36"/>
        <v>3.0764608114290009E-4</v>
      </c>
      <c r="F65" s="13">
        <f t="shared" si="37"/>
        <v>6.871891335372915E-3</v>
      </c>
      <c r="G65" s="3">
        <f t="shared" si="38"/>
        <v>5.8688840392546763E-3</v>
      </c>
      <c r="H65" s="13">
        <f t="shared" si="39"/>
        <v>1.4327935077831366E-2</v>
      </c>
      <c r="I65" s="3">
        <f t="shared" si="40"/>
        <v>1.3813407076371966E-2</v>
      </c>
      <c r="Y65">
        <v>12</v>
      </c>
      <c r="Z65">
        <v>5</v>
      </c>
      <c r="AA65">
        <v>3</v>
      </c>
      <c r="AB65" t="str">
        <f t="shared" si="4"/>
        <v>comp-12</v>
      </c>
      <c r="AC65">
        <f t="shared" si="5"/>
        <v>50</v>
      </c>
      <c r="AD65" s="56" t="str">
        <f t="shared" si="6"/>
        <v/>
      </c>
    </row>
    <row r="66" spans="1:30" x14ac:dyDescent="0.25">
      <c r="B66" s="14">
        <f>SUM(B56:B65)</f>
        <v>2.4716198194700993</v>
      </c>
      <c r="C66" s="3"/>
      <c r="D66" s="14">
        <f>SUM(D56:D65)</f>
        <v>1.867475105615775</v>
      </c>
      <c r="E66" s="3"/>
      <c r="F66" s="14">
        <f>SUM(F56:F65)</f>
        <v>3.512707674615573</v>
      </c>
      <c r="G66" s="3"/>
      <c r="H66" s="14">
        <f>SUM(H56:H65)</f>
        <v>4.1489937996077764</v>
      </c>
      <c r="I66" s="3"/>
      <c r="Y66">
        <v>13</v>
      </c>
      <c r="Z66">
        <v>5</v>
      </c>
      <c r="AA66">
        <v>6</v>
      </c>
      <c r="AB66" t="str">
        <f t="shared" si="4"/>
        <v>comp-13</v>
      </c>
      <c r="AC66">
        <f t="shared" si="5"/>
        <v>51</v>
      </c>
      <c r="AD66" s="56">
        <f t="shared" si="6"/>
        <v>0.26318279198862815</v>
      </c>
    </row>
    <row r="67" spans="1:30" x14ac:dyDescent="0.25">
      <c r="Y67">
        <v>1</v>
      </c>
      <c r="Z67">
        <v>6</v>
      </c>
      <c r="AA67">
        <v>9</v>
      </c>
      <c r="AB67" t="str">
        <f t="shared" ref="AB67:AB130" si="41">INDEX($A$2:$A$11,Z67)&amp;"-"&amp;Y67</f>
        <v>chad-1</v>
      </c>
      <c r="AC67">
        <f t="shared" ref="AC67:AC130" si="42">IF(AA67&gt;Z67,AC66+1,AC66)</f>
        <v>52</v>
      </c>
      <c r="AD67" s="56" t="str">
        <f t="shared" ref="AD67:AD130" si="43">IF(AND(INDEX($R$36:$R$45,Z67)&lt;&gt;INDEX($R$36:$R$45,AA67),INDEX($R$36:$R$45,Z67)="HK"),INDEX($B$24:$N$33,$Z67,$Y67),"")</f>
        <v/>
      </c>
    </row>
    <row r="68" spans="1:30" x14ac:dyDescent="0.25">
      <c r="B68" t="s">
        <v>602</v>
      </c>
      <c r="C68" t="s">
        <v>603</v>
      </c>
      <c r="D68" t="s">
        <v>604</v>
      </c>
      <c r="E68" t="s">
        <v>605</v>
      </c>
      <c r="F68" t="s">
        <v>606</v>
      </c>
      <c r="Y68">
        <v>2</v>
      </c>
      <c r="Z68">
        <v>6</v>
      </c>
      <c r="AA68">
        <v>3</v>
      </c>
      <c r="AB68" t="str">
        <f t="shared" si="41"/>
        <v>chad-2</v>
      </c>
      <c r="AC68">
        <f t="shared" si="42"/>
        <v>52</v>
      </c>
      <c r="AD68" s="56" t="str">
        <f t="shared" si="43"/>
        <v/>
      </c>
    </row>
    <row r="69" spans="1:30" x14ac:dyDescent="0.25">
      <c r="A69" t="s">
        <v>20</v>
      </c>
      <c r="B69" s="9">
        <f>E56</f>
        <v>8.3936335602947651E-2</v>
      </c>
      <c r="C69" s="9">
        <f>C56-E56</f>
        <v>0.26456444595999618</v>
      </c>
      <c r="D69" s="9">
        <f>G56-C56</f>
        <v>-2.2927281838567792E-2</v>
      </c>
      <c r="E69" s="9">
        <f>I56-SUM(B69:D69)</f>
        <v>0.13524819998976645</v>
      </c>
      <c r="F69" s="9">
        <f>1-I56</f>
        <v>0.53917830028585745</v>
      </c>
      <c r="Y69">
        <v>3</v>
      </c>
      <c r="Z69">
        <v>6</v>
      </c>
      <c r="AA69">
        <v>4</v>
      </c>
      <c r="AB69" t="str">
        <f t="shared" si="41"/>
        <v>chad-3</v>
      </c>
      <c r="AC69">
        <f t="shared" si="42"/>
        <v>52</v>
      </c>
      <c r="AD69" s="56" t="str">
        <f t="shared" si="43"/>
        <v/>
      </c>
    </row>
    <row r="70" spans="1:30" x14ac:dyDescent="0.25">
      <c r="A70" t="s">
        <v>16</v>
      </c>
      <c r="B70" s="9">
        <f t="shared" ref="B70:B78" si="44">E57</f>
        <v>0.19335068944939607</v>
      </c>
      <c r="C70" s="9">
        <f t="shared" ref="C70:C78" si="45">C57-E57</f>
        <v>6.2161262172122894E-2</v>
      </c>
      <c r="D70" s="9">
        <f t="shared" ref="D70:D78" si="46">G57-C57</f>
        <v>0.29578197854975019</v>
      </c>
      <c r="E70" s="9">
        <f>I57-SUM(B70:D70)</f>
        <v>0.15744733496472518</v>
      </c>
      <c r="F70" s="9">
        <f t="shared" ref="F70:F78" si="47">1-I57</f>
        <v>0.29125873486400566</v>
      </c>
      <c r="K70" s="15"/>
      <c r="L70" s="16"/>
      <c r="M70" s="16"/>
      <c r="O70" s="16"/>
      <c r="Y70">
        <v>4</v>
      </c>
      <c r="Z70">
        <v>6</v>
      </c>
      <c r="AA70">
        <v>10</v>
      </c>
      <c r="AB70" t="str">
        <f t="shared" si="41"/>
        <v>chad-4</v>
      </c>
      <c r="AC70">
        <f t="shared" si="42"/>
        <v>53</v>
      </c>
      <c r="AD70" s="56" t="str">
        <f t="shared" si="43"/>
        <v/>
      </c>
    </row>
    <row r="71" spans="1:30" x14ac:dyDescent="0.25">
      <c r="A71" t="s">
        <v>55</v>
      </c>
      <c r="B71" s="9">
        <f t="shared" si="44"/>
        <v>0.23271560371041672</v>
      </c>
      <c r="C71" s="9">
        <f t="shared" si="45"/>
        <v>7.8943865922954271E-2</v>
      </c>
      <c r="D71" s="9">
        <f t="shared" si="46"/>
        <v>0.30129195706327039</v>
      </c>
      <c r="E71" s="9">
        <f t="shared" ref="E71:E78" si="48">I58-SUM(B71:D71)</f>
        <v>0.1566429757365182</v>
      </c>
      <c r="F71" s="9">
        <f t="shared" si="47"/>
        <v>0.23040559756684043</v>
      </c>
      <c r="K71" s="3"/>
      <c r="Y71">
        <v>5</v>
      </c>
      <c r="Z71">
        <v>6</v>
      </c>
      <c r="AA71">
        <v>5</v>
      </c>
      <c r="AB71" t="str">
        <f t="shared" si="41"/>
        <v>chad-5</v>
      </c>
      <c r="AC71">
        <f t="shared" si="42"/>
        <v>53</v>
      </c>
      <c r="AD71" s="56" t="str">
        <f t="shared" si="43"/>
        <v/>
      </c>
    </row>
    <row r="72" spans="1:30" x14ac:dyDescent="0.25">
      <c r="A72" t="s">
        <v>35</v>
      </c>
      <c r="B72" s="9">
        <f t="shared" si="44"/>
        <v>3.6541848864887466E-3</v>
      </c>
      <c r="C72" s="9">
        <f t="shared" si="45"/>
        <v>4.0312455809848741E-2</v>
      </c>
      <c r="D72" s="9">
        <f t="shared" si="46"/>
        <v>-8.235624567411795E-3</v>
      </c>
      <c r="E72" s="9">
        <f t="shared" si="48"/>
        <v>3.2273226141657771E-2</v>
      </c>
      <c r="F72" s="9">
        <f t="shared" si="47"/>
        <v>0.93199575772941656</v>
      </c>
      <c r="K72" s="3"/>
      <c r="Y72">
        <v>6</v>
      </c>
      <c r="Z72">
        <v>6</v>
      </c>
      <c r="AA72">
        <v>7</v>
      </c>
      <c r="AB72" t="str">
        <f t="shared" si="41"/>
        <v>chad-6</v>
      </c>
      <c r="AC72">
        <f t="shared" si="42"/>
        <v>54</v>
      </c>
      <c r="AD72" s="56" t="str">
        <f t="shared" si="43"/>
        <v/>
      </c>
    </row>
    <row r="73" spans="1:30" x14ac:dyDescent="0.25">
      <c r="A73" t="s">
        <v>27</v>
      </c>
      <c r="B73" s="9">
        <f t="shared" si="44"/>
        <v>1.0451496345307931E-2</v>
      </c>
      <c r="C73" s="9">
        <f t="shared" si="45"/>
        <v>1.375205164872783E-3</v>
      </c>
      <c r="D73" s="9">
        <f t="shared" si="46"/>
        <v>6.4415390809157994E-2</v>
      </c>
      <c r="E73" s="9">
        <f t="shared" si="48"/>
        <v>5.5893466353004878E-2</v>
      </c>
      <c r="F73" s="9">
        <f t="shared" si="47"/>
        <v>0.86786444132765639</v>
      </c>
      <c r="K73" s="17"/>
      <c r="Y73">
        <v>7</v>
      </c>
      <c r="Z73">
        <v>6</v>
      </c>
      <c r="AA73">
        <v>8</v>
      </c>
      <c r="AB73" t="str">
        <f t="shared" si="41"/>
        <v>chad-7</v>
      </c>
      <c r="AC73">
        <f t="shared" si="42"/>
        <v>55</v>
      </c>
      <c r="AD73" s="56" t="str">
        <f t="shared" si="43"/>
        <v/>
      </c>
    </row>
    <row r="74" spans="1:30" x14ac:dyDescent="0.25">
      <c r="A74" t="s">
        <v>62</v>
      </c>
      <c r="B74" s="9">
        <f t="shared" si="44"/>
        <v>0.14898243753170518</v>
      </c>
      <c r="C74" s="9">
        <f t="shared" si="45"/>
        <v>0.34000291343761824</v>
      </c>
      <c r="D74" s="9">
        <f t="shared" si="46"/>
        <v>-1.8016503668542905E-2</v>
      </c>
      <c r="E74" s="9">
        <f t="shared" si="48"/>
        <v>0.15399699725187799</v>
      </c>
      <c r="F74" s="9">
        <f t="shared" si="47"/>
        <v>0.37503415544734153</v>
      </c>
      <c r="Y74">
        <v>8</v>
      </c>
      <c r="Z74">
        <v>6</v>
      </c>
      <c r="AA74">
        <v>1</v>
      </c>
      <c r="AB74" t="str">
        <f t="shared" si="41"/>
        <v>chad-8</v>
      </c>
      <c r="AC74">
        <f t="shared" si="42"/>
        <v>55</v>
      </c>
      <c r="AD74" s="56" t="str">
        <f t="shared" si="43"/>
        <v/>
      </c>
    </row>
    <row r="75" spans="1:30" x14ac:dyDescent="0.25">
      <c r="A75" t="s">
        <v>1648</v>
      </c>
      <c r="B75" s="9">
        <f t="shared" si="44"/>
        <v>2.4527120916018462E-2</v>
      </c>
      <c r="C75" s="9">
        <f t="shared" si="45"/>
        <v>4.3854777970981397E-3</v>
      </c>
      <c r="D75" s="9">
        <f t="shared" si="46"/>
        <v>0.11090311114830917</v>
      </c>
      <c r="E75" s="9">
        <f t="shared" si="48"/>
        <v>8.4074529009312088E-2</v>
      </c>
      <c r="F75" s="9">
        <f t="shared" si="47"/>
        <v>0.77610976112926211</v>
      </c>
      <c r="Y75">
        <v>9</v>
      </c>
      <c r="Z75">
        <v>6</v>
      </c>
      <c r="AA75">
        <v>9</v>
      </c>
      <c r="AB75" t="str">
        <f t="shared" si="41"/>
        <v>chad-9</v>
      </c>
      <c r="AC75">
        <f t="shared" si="42"/>
        <v>56</v>
      </c>
      <c r="AD75" s="56" t="str">
        <f t="shared" si="43"/>
        <v/>
      </c>
    </row>
    <row r="76" spans="1:30" x14ac:dyDescent="0.25">
      <c r="A76" t="s">
        <v>23</v>
      </c>
      <c r="B76" s="9">
        <f t="shared" si="44"/>
        <v>1.4251940389335676E-2</v>
      </c>
      <c r="C76" s="9">
        <f t="shared" si="45"/>
        <v>9.6314377579729701E-2</v>
      </c>
      <c r="D76" s="9">
        <f t="shared" si="46"/>
        <v>-1.5403896750975005E-2</v>
      </c>
      <c r="E76" s="9">
        <f t="shared" si="48"/>
        <v>6.515447394575033E-2</v>
      </c>
      <c r="F76" s="9">
        <f t="shared" si="47"/>
        <v>0.83968310483615927</v>
      </c>
      <c r="Y76">
        <v>10</v>
      </c>
      <c r="Z76">
        <v>6</v>
      </c>
      <c r="AA76">
        <v>3</v>
      </c>
      <c r="AB76" t="str">
        <f t="shared" si="41"/>
        <v>chad-10</v>
      </c>
      <c r="AC76">
        <f t="shared" si="42"/>
        <v>56</v>
      </c>
      <c r="AD76" s="56" t="str">
        <f t="shared" si="43"/>
        <v/>
      </c>
    </row>
    <row r="77" spans="1:30" x14ac:dyDescent="0.25">
      <c r="A77" t="s">
        <v>49</v>
      </c>
      <c r="B77" s="9">
        <f t="shared" si="44"/>
        <v>0.2878225450872407</v>
      </c>
      <c r="C77" s="9">
        <f t="shared" si="45"/>
        <v>0.1042667334345721</v>
      </c>
      <c r="D77" s="9">
        <f t="shared" si="46"/>
        <v>0.29430289401808468</v>
      </c>
      <c r="E77" s="9">
        <f t="shared" si="48"/>
        <v>0.15132427357026956</v>
      </c>
      <c r="F77" s="9">
        <f t="shared" si="47"/>
        <v>0.16228355388983295</v>
      </c>
      <c r="Y77">
        <v>11</v>
      </c>
      <c r="Z77">
        <v>6</v>
      </c>
      <c r="AA77">
        <v>2</v>
      </c>
      <c r="AB77" t="str">
        <f t="shared" si="41"/>
        <v>chad-11</v>
      </c>
      <c r="AC77">
        <f t="shared" si="42"/>
        <v>56</v>
      </c>
      <c r="AD77" s="56" t="str">
        <f t="shared" si="43"/>
        <v/>
      </c>
    </row>
    <row r="78" spans="1:30" x14ac:dyDescent="0.25">
      <c r="A78" t="s">
        <v>44</v>
      </c>
      <c r="B78" s="9">
        <f t="shared" si="44"/>
        <v>3.0764608114290009E-4</v>
      </c>
      <c r="C78" s="9">
        <f t="shared" si="45"/>
        <v>7.6732627211869124E-3</v>
      </c>
      <c r="D78" s="9">
        <f t="shared" si="46"/>
        <v>-2.1120247630751357E-3</v>
      </c>
      <c r="E78" s="9">
        <f t="shared" si="48"/>
        <v>7.9445230371172904E-3</v>
      </c>
      <c r="F78" s="9">
        <f t="shared" si="47"/>
        <v>0.98618659292362798</v>
      </c>
      <c r="Y78">
        <v>12</v>
      </c>
      <c r="Z78">
        <v>6</v>
      </c>
      <c r="AA78">
        <v>10</v>
      </c>
      <c r="AB78" t="str">
        <f t="shared" si="41"/>
        <v>chad-12</v>
      </c>
      <c r="AC78">
        <f t="shared" si="42"/>
        <v>57</v>
      </c>
      <c r="AD78" s="56" t="str">
        <f t="shared" si="43"/>
        <v/>
      </c>
    </row>
    <row r="79" spans="1:30" x14ac:dyDescent="0.25">
      <c r="Y79">
        <v>13</v>
      </c>
      <c r="Z79">
        <v>6</v>
      </c>
      <c r="AA79">
        <v>5</v>
      </c>
      <c r="AB79" t="str">
        <f t="shared" si="41"/>
        <v>chad-13</v>
      </c>
      <c r="AC79">
        <f t="shared" si="42"/>
        <v>57</v>
      </c>
      <c r="AD79" s="56" t="str">
        <f t="shared" si="43"/>
        <v/>
      </c>
    </row>
    <row r="80" spans="1:30" x14ac:dyDescent="0.25">
      <c r="A80" t="s">
        <v>607</v>
      </c>
      <c r="M80" t="s">
        <v>608</v>
      </c>
      <c r="Y80">
        <v>1</v>
      </c>
      <c r="Z80">
        <v>7</v>
      </c>
      <c r="AA80">
        <v>4</v>
      </c>
      <c r="AB80" t="str">
        <f t="shared" si="41"/>
        <v>lucas-1</v>
      </c>
      <c r="AC80">
        <f t="shared" si="42"/>
        <v>57</v>
      </c>
      <c r="AD80" s="56">
        <f t="shared" si="43"/>
        <v>1</v>
      </c>
    </row>
    <row r="81" spans="1:30" x14ac:dyDescent="0.25">
      <c r="B81" t="s">
        <v>20</v>
      </c>
      <c r="C81" t="s">
        <v>16</v>
      </c>
      <c r="D81" t="s">
        <v>55</v>
      </c>
      <c r="E81" t="s">
        <v>35</v>
      </c>
      <c r="F81" t="s">
        <v>27</v>
      </c>
      <c r="G81" t="s">
        <v>62</v>
      </c>
      <c r="H81" t="s">
        <v>40</v>
      </c>
      <c r="I81" t="s">
        <v>23</v>
      </c>
      <c r="J81" t="s">
        <v>49</v>
      </c>
      <c r="K81" t="s">
        <v>44</v>
      </c>
      <c r="N81" t="s">
        <v>20</v>
      </c>
      <c r="O81" t="s">
        <v>16</v>
      </c>
      <c r="P81" t="s">
        <v>55</v>
      </c>
      <c r="Q81" t="s">
        <v>35</v>
      </c>
      <c r="R81" t="s">
        <v>27</v>
      </c>
      <c r="S81" t="s">
        <v>62</v>
      </c>
      <c r="T81" t="s">
        <v>40</v>
      </c>
      <c r="U81" t="s">
        <v>23</v>
      </c>
      <c r="V81" t="s">
        <v>49</v>
      </c>
      <c r="W81" t="s">
        <v>44</v>
      </c>
      <c r="Y81">
        <v>2</v>
      </c>
      <c r="Z81">
        <v>7</v>
      </c>
      <c r="AA81">
        <v>8</v>
      </c>
      <c r="AB81" t="str">
        <f t="shared" si="41"/>
        <v>lucas-2</v>
      </c>
      <c r="AC81">
        <f t="shared" si="42"/>
        <v>58</v>
      </c>
      <c r="AD81" s="56">
        <f t="shared" si="43"/>
        <v>1</v>
      </c>
    </row>
    <row r="82" spans="1:30" x14ac:dyDescent="0.25">
      <c r="A82" t="s">
        <v>20</v>
      </c>
      <c r="B82" s="3"/>
      <c r="C82" s="3">
        <f t="shared" ref="C82:K82" si="49">(($B69*INDEX($E$69:$E$78,C$1))+($E69*INDEX($B$69:$B$78,C$1)))/(1-SUMPRODUCT($B$69:$B$78,$E$69:$E$78))</f>
        <v>4.6228000412829963E-2</v>
      </c>
      <c r="D82" s="3">
        <f t="shared" si="49"/>
        <v>5.240081614602729E-2</v>
      </c>
      <c r="E82" s="3">
        <f t="shared" si="49"/>
        <v>3.7614739873332026E-3</v>
      </c>
      <c r="F82" s="3">
        <f t="shared" si="49"/>
        <v>7.1692465834311669E-3</v>
      </c>
      <c r="G82" s="3">
        <f t="shared" si="49"/>
        <v>3.8841157605031436E-2</v>
      </c>
      <c r="H82" s="3">
        <f t="shared" si="49"/>
        <v>1.218254145193778E-2</v>
      </c>
      <c r="I82" s="3">
        <f t="shared" si="49"/>
        <v>8.6856861453473329E-3</v>
      </c>
      <c r="J82" s="3">
        <f t="shared" si="49"/>
        <v>6.0628877316529134E-2</v>
      </c>
      <c r="K82" s="3">
        <f t="shared" si="49"/>
        <v>8.319358446767604E-4</v>
      </c>
      <c r="M82" t="s">
        <v>20</v>
      </c>
      <c r="N82" s="3"/>
      <c r="O82" s="3">
        <f t="shared" ref="O82:W82" si="50">(($C69*INDEX($D$69:$D$78,C$1))+($D69*INDEX($C$69:$C$78,C$1)))/(1-SUMPRODUCT($C$69:$C$78,$D$69:$D$78))</f>
        <v>8.1680784599278328E-2</v>
      </c>
      <c r="P82" s="3">
        <f t="shared" si="50"/>
        <v>8.2821519506854138E-2</v>
      </c>
      <c r="Q82" s="3">
        <f t="shared" si="50"/>
        <v>-3.2991052041160384E-3</v>
      </c>
      <c r="R82" s="3">
        <f t="shared" si="50"/>
        <v>1.8084899207648487E-2</v>
      </c>
      <c r="S82" s="3">
        <f t="shared" si="50"/>
        <v>-1.3355294327836659E-2</v>
      </c>
      <c r="T82" s="3">
        <f t="shared" si="50"/>
        <v>3.1087342672617844E-2</v>
      </c>
      <c r="U82" s="3">
        <f t="shared" si="50"/>
        <v>-6.6804282056363695E-3</v>
      </c>
      <c r="V82" s="3">
        <f t="shared" si="50"/>
        <v>8.0238417764707706E-2</v>
      </c>
      <c r="W82" s="3">
        <f t="shared" si="50"/>
        <v>-7.8109801184778386E-4</v>
      </c>
      <c r="X82" s="15"/>
      <c r="Y82">
        <v>3</v>
      </c>
      <c r="Z82">
        <v>7</v>
      </c>
      <c r="AA82">
        <v>2</v>
      </c>
      <c r="AB82" t="str">
        <f t="shared" si="41"/>
        <v>lucas-3</v>
      </c>
      <c r="AC82">
        <f t="shared" si="42"/>
        <v>58</v>
      </c>
      <c r="AD82" s="56" t="str">
        <f t="shared" si="43"/>
        <v/>
      </c>
    </row>
    <row r="83" spans="1:30" x14ac:dyDescent="0.25">
      <c r="A83" t="s">
        <v>16</v>
      </c>
      <c r="B83" s="3">
        <f t="shared" ref="B83:B91" si="51">(($B70*INDEX($E$69:$E$78,B$1))+($E70*INDEX($B$69:$B$78,B$1)))/(1-SUMPRODUCT($B$69:$B$78,$E$69:$E$78))</f>
        <v>4.6228000412829963E-2</v>
      </c>
      <c r="C83" s="3"/>
      <c r="D83" s="3">
        <f t="shared" ref="D83:K83" si="52">(($B70*INDEX($E$69:$E$78,D$1))+($E70*INDEX($B$69:$B$78,D$1)))/(1-SUMPRODUCT($B$69:$B$78,$E$69:$E$78))</f>
        <v>7.8594029331079202E-2</v>
      </c>
      <c r="E83" s="3">
        <f t="shared" si="52"/>
        <v>8.0034261341500636E-3</v>
      </c>
      <c r="F83" s="3">
        <f t="shared" si="52"/>
        <v>1.4623291720558644E-2</v>
      </c>
      <c r="G83" s="3">
        <f t="shared" si="52"/>
        <v>6.2511573131481896E-2</v>
      </c>
      <c r="H83" s="3">
        <f t="shared" si="52"/>
        <v>2.3624423174278819E-2</v>
      </c>
      <c r="I83" s="3">
        <f t="shared" si="52"/>
        <v>1.7428723949527547E-2</v>
      </c>
      <c r="J83" s="3">
        <f t="shared" si="52"/>
        <v>8.757527826690549E-2</v>
      </c>
      <c r="K83" s="3">
        <f t="shared" si="52"/>
        <v>1.8607242105188842E-3</v>
      </c>
      <c r="M83" t="s">
        <v>16</v>
      </c>
      <c r="N83" s="3">
        <f t="shared" ref="N83:N91" si="53">(($C70*INDEX($D$69:$D$78,B$1))+($D70*INDEX($C$69:$C$78,B$1)))/(1-SUMPRODUCT($C$69:$C$78,$D$69:$D$78))</f>
        <v>8.1680784599278328E-2</v>
      </c>
      <c r="O83" s="3"/>
      <c r="P83" s="3">
        <f t="shared" ref="P83:W83" si="54">(($C70*INDEX($D$69:$D$78,D$1))+($D70*INDEX($C$69:$C$78,D$1)))/(1-SUMPRODUCT($C$69:$C$78,$D$69:$D$78))</f>
        <v>4.4736621529185248E-2</v>
      </c>
      <c r="Q83" s="3">
        <f t="shared" si="54"/>
        <v>1.2132544081336783E-2</v>
      </c>
      <c r="R83" s="3">
        <f t="shared" si="54"/>
        <v>4.6895017612885595E-3</v>
      </c>
      <c r="S83" s="3">
        <f t="shared" si="54"/>
        <v>0.10572800663676725</v>
      </c>
      <c r="T83" s="3">
        <f t="shared" si="54"/>
        <v>8.7083792347644445E-3</v>
      </c>
      <c r="U83" s="3">
        <f t="shared" si="54"/>
        <v>2.9269398774615242E-2</v>
      </c>
      <c r="V83" s="3">
        <f t="shared" si="54"/>
        <v>5.2237861999965503E-2</v>
      </c>
      <c r="W83" s="3">
        <f t="shared" si="54"/>
        <v>2.2733864411452953E-3</v>
      </c>
      <c r="X83" s="15"/>
      <c r="Y83">
        <v>4</v>
      </c>
      <c r="Z83">
        <v>7</v>
      </c>
      <c r="AA83">
        <v>9</v>
      </c>
      <c r="AB83" t="str">
        <f t="shared" si="41"/>
        <v>lucas-4</v>
      </c>
      <c r="AC83">
        <f t="shared" si="42"/>
        <v>59</v>
      </c>
      <c r="AD83" s="56" t="str">
        <f t="shared" si="43"/>
        <v/>
      </c>
    </row>
    <row r="84" spans="1:30" x14ac:dyDescent="0.25">
      <c r="A84" t="s">
        <v>55</v>
      </c>
      <c r="B84" s="3">
        <f t="shared" si="51"/>
        <v>5.240081614602729E-2</v>
      </c>
      <c r="C84" s="3">
        <f t="shared" ref="C84:C91" si="55">(($B71*INDEX($E$69:$E$78,C$1))+($E71*INDEX($B$69:$B$78,C$1)))/(1-SUMPRODUCT($B$69:$B$78,$E$69:$E$78))</f>
        <v>7.8594029331079202E-2</v>
      </c>
      <c r="D84" s="3"/>
      <c r="E84" s="3">
        <f t="shared" ref="E84:K84" si="56">(($B71*INDEX($E$69:$E$78,E$1))+($E71*INDEX($B$69:$B$78,E$1)))/(1-SUMPRODUCT($B$69:$B$78,$E$69:$E$78))</f>
        <v>9.4918644119011217E-3</v>
      </c>
      <c r="F84" s="3">
        <f t="shared" si="56"/>
        <v>1.7197198993717695E-2</v>
      </c>
      <c r="G84" s="3">
        <f t="shared" si="56"/>
        <v>6.9489646161684668E-2</v>
      </c>
      <c r="H84" s="3">
        <f t="shared" si="56"/>
        <v>2.7487757053378081E-2</v>
      </c>
      <c r="I84" s="3">
        <f t="shared" si="56"/>
        <v>2.0427148734096713E-2</v>
      </c>
      <c r="J84" s="3">
        <f t="shared" si="56"/>
        <v>9.4298655173576107E-2</v>
      </c>
      <c r="K84" s="3">
        <f t="shared" si="56"/>
        <v>2.2276839738619284E-3</v>
      </c>
      <c r="M84" t="s">
        <v>55</v>
      </c>
      <c r="N84" s="3">
        <f t="shared" si="53"/>
        <v>8.2821519506854138E-2</v>
      </c>
      <c r="O84" s="3">
        <f t="shared" ref="O84:O91" si="57">(($C71*INDEX($D$69:$D$78,C$1))+($D71*INDEX($C$69:$C$78,C$1)))/(1-SUMPRODUCT($C$69:$C$78,$D$69:$D$78))</f>
        <v>4.4736621529185248E-2</v>
      </c>
      <c r="P84" s="3"/>
      <c r="Q84" s="3">
        <f t="shared" ref="Q84:W84" si="58">(($C71*INDEX($D$69:$D$78,E$1))+($D71*INDEX($C$69:$C$78,E$1)))/(1-SUMPRODUCT($C$69:$C$78,$D$69:$D$78))</f>
        <v>1.2221749215502817E-2</v>
      </c>
      <c r="R84" s="3">
        <f t="shared" si="58"/>
        <v>5.8468968375293088E-3</v>
      </c>
      <c r="S84" s="3">
        <f t="shared" si="58"/>
        <v>0.10739828095873717</v>
      </c>
      <c r="T84" s="3">
        <f t="shared" si="58"/>
        <v>1.0712871053921472E-2</v>
      </c>
      <c r="U84" s="3">
        <f t="shared" si="58"/>
        <v>2.9558762239796317E-2</v>
      </c>
      <c r="V84" s="3">
        <f t="shared" si="58"/>
        <v>5.8099789901825731E-2</v>
      </c>
      <c r="W84" s="3">
        <f t="shared" si="58"/>
        <v>2.2806523392879833E-3</v>
      </c>
      <c r="X84" s="15"/>
      <c r="Y84">
        <v>5</v>
      </c>
      <c r="Z84">
        <v>7</v>
      </c>
      <c r="AA84">
        <v>1</v>
      </c>
      <c r="AB84" t="str">
        <f t="shared" si="41"/>
        <v>lucas-5</v>
      </c>
      <c r="AC84">
        <f t="shared" si="42"/>
        <v>59</v>
      </c>
      <c r="AD84" s="56">
        <f t="shared" si="43"/>
        <v>0.39146373793246547</v>
      </c>
    </row>
    <row r="85" spans="1:30" x14ac:dyDescent="0.25">
      <c r="A85" t="s">
        <v>35</v>
      </c>
      <c r="B85" s="3">
        <f t="shared" si="51"/>
        <v>3.7614739873332026E-3</v>
      </c>
      <c r="C85" s="3">
        <f t="shared" si="55"/>
        <v>8.0034261341500636E-3</v>
      </c>
      <c r="D85" s="3">
        <f t="shared" ref="D85:D91" si="59">(($B72*INDEX($E$69:$E$78,D$1))+($E72*INDEX($B$69:$B$78,D$1)))/(1-SUMPRODUCT($B$69:$B$78,$E$69:$E$78))</f>
        <v>9.4918644119011217E-3</v>
      </c>
      <c r="E85" s="3"/>
      <c r="F85" s="3">
        <f t="shared" ref="F85:K85" si="60">(($B72*INDEX($E$69:$E$78,F$1))+($E72*INDEX($B$69:$B$78,F$1)))/(1-SUMPRODUCT($B$69:$B$78,$E$69:$E$78))</f>
        <v>6.3594930610944998E-4</v>
      </c>
      <c r="G85" s="3">
        <f t="shared" si="60"/>
        <v>6.3071088623422502E-3</v>
      </c>
      <c r="H85" s="3">
        <f t="shared" si="60"/>
        <v>1.2903307548467961E-3</v>
      </c>
      <c r="I85" s="3">
        <f t="shared" si="60"/>
        <v>8.1972278908817864E-4</v>
      </c>
      <c r="J85" s="3">
        <f t="shared" si="60"/>
        <v>1.1557537580915978E-2</v>
      </c>
      <c r="K85" s="3">
        <f t="shared" si="60"/>
        <v>4.5750761203614167E-5</v>
      </c>
      <c r="M85" t="s">
        <v>35</v>
      </c>
      <c r="N85" s="3">
        <f t="shared" si="53"/>
        <v>-3.2991052041160384E-3</v>
      </c>
      <c r="O85" s="3">
        <f t="shared" si="57"/>
        <v>1.2132544081336783E-2</v>
      </c>
      <c r="P85" s="3">
        <f t="shared" ref="P85:P91" si="61">(($C72*INDEX($D$69:$D$78,D$1))+($D72*INDEX($C$69:$C$78,D$1)))/(1-SUMPRODUCT($C$69:$C$78,$D$69:$D$78))</f>
        <v>1.2221749215502817E-2</v>
      </c>
      <c r="Q85" s="3"/>
      <c r="R85" s="3">
        <f t="shared" ref="R85:W85" si="62">(($C72*INDEX($D$69:$D$78,F$1))+($D72*INDEX($C$69:$C$78,F$1)))/(1-SUMPRODUCT($C$69:$C$78,$D$69:$D$78))</f>
        <v>2.748715508541816E-3</v>
      </c>
      <c r="S85" s="3">
        <f t="shared" si="62"/>
        <v>-3.7491598954351494E-3</v>
      </c>
      <c r="T85" s="3">
        <f t="shared" si="62"/>
        <v>4.7147589872445069E-3</v>
      </c>
      <c r="U85" s="3">
        <f t="shared" si="62"/>
        <v>-1.5034994398179047E-3</v>
      </c>
      <c r="V85" s="3">
        <f t="shared" si="62"/>
        <v>1.1700485507037483E-2</v>
      </c>
      <c r="W85" s="3">
        <f t="shared" si="62"/>
        <v>-1.5770406514194438E-4</v>
      </c>
      <c r="X85" s="15"/>
      <c r="Y85">
        <v>6</v>
      </c>
      <c r="Z85">
        <v>7</v>
      </c>
      <c r="AA85">
        <v>6</v>
      </c>
      <c r="AB85" t="str">
        <f t="shared" si="41"/>
        <v>lucas-6</v>
      </c>
      <c r="AC85">
        <f t="shared" si="42"/>
        <v>59</v>
      </c>
      <c r="AD85" s="56">
        <f t="shared" si="43"/>
        <v>0.45161205720854025</v>
      </c>
    </row>
    <row r="86" spans="1:30" x14ac:dyDescent="0.25">
      <c r="A86" t="s">
        <v>27</v>
      </c>
      <c r="B86" s="3">
        <f t="shared" si="51"/>
        <v>7.1692465834311669E-3</v>
      </c>
      <c r="C86" s="3">
        <f t="shared" si="55"/>
        <v>1.4623291720558644E-2</v>
      </c>
      <c r="D86" s="3">
        <f t="shared" si="59"/>
        <v>1.7197198993717695E-2</v>
      </c>
      <c r="E86" s="3">
        <f t="shared" ref="E86:E91" si="63">(($B73*INDEX($E$69:$E$78,E$1))+($E73*INDEX($B$69:$B$78,E$1)))/(1-SUMPRODUCT($B$69:$B$78,$E$69:$E$78))</f>
        <v>6.3594930610944998E-4</v>
      </c>
      <c r="F86" s="3"/>
      <c r="G86" s="3">
        <f>(($B73*INDEX($E$69:$E$78,G$1))+($E73*INDEX($B$69:$B$78,G$1)))/(1-SUMPRODUCT($B$69:$B$78,$E$69:$E$78))</f>
        <v>1.1668762894621165E-2</v>
      </c>
      <c r="H86" s="3">
        <f>(($B73*INDEX($E$69:$E$78,H$1))+($E73*INDEX($B$69:$B$78,H$1)))/(1-SUMPRODUCT($B$69:$B$78,$E$69:$E$78))</f>
        <v>2.6417542041785335E-3</v>
      </c>
      <c r="I86" s="3">
        <f>(($B73*INDEX($E$69:$E$78,I$1))+($E73*INDEX($B$69:$B$78,I$1)))/(1-SUMPRODUCT($B$69:$B$78,$E$69:$E$78))</f>
        <v>1.7351135085476824E-3</v>
      </c>
      <c r="J86" s="3">
        <f>(($B73*INDEX($E$69:$E$78,J$1))+($E73*INDEX($B$69:$B$78,J$1)))/(1-SUMPRODUCT($B$69:$B$78,$E$69:$E$78))</f>
        <v>2.0748953370183915E-2</v>
      </c>
      <c r="K86" s="3">
        <f>(($B73*INDEX($E$69:$E$78,K$1))+($E73*INDEX($B$69:$B$78,K$1)))/(1-SUMPRODUCT($B$69:$B$78,$E$69:$E$78))</f>
        <v>1.1769885647774698E-4</v>
      </c>
      <c r="M86" t="s">
        <v>27</v>
      </c>
      <c r="N86" s="3">
        <f t="shared" si="53"/>
        <v>1.8084899207648487E-2</v>
      </c>
      <c r="O86" s="3">
        <f t="shared" si="57"/>
        <v>4.6895017612885595E-3</v>
      </c>
      <c r="P86" s="3">
        <f t="shared" si="61"/>
        <v>5.8468968375293088E-3</v>
      </c>
      <c r="Q86" s="3">
        <f t="shared" ref="Q86:Q91" si="64">(($C73*INDEX($D$69:$D$78,E$1))+($D73*INDEX($C$69:$C$78,E$1)))/(1-SUMPRODUCT($C$69:$C$78,$D$69:$D$78))</f>
        <v>2.748715508541816E-3</v>
      </c>
      <c r="R86" s="3"/>
      <c r="S86" s="3">
        <f>(($C73*INDEX($D$69:$D$78,G$1))+($D73*INDEX($C$69:$C$78,G$1)))/(1-SUMPRODUCT($C$69:$C$78,$D$69:$D$78))</f>
        <v>2.3258403917501454E-2</v>
      </c>
      <c r="T86" s="3">
        <f>(($C73*INDEX($D$69:$D$78,H$1))+($D73*INDEX($C$69:$C$78,H$1)))/(1-SUMPRODUCT($C$69:$C$78,$D$69:$D$78))</f>
        <v>4.6248244151564355E-4</v>
      </c>
      <c r="U86" s="3">
        <f>(($C73*INDEX($D$69:$D$78,I$1))+($D73*INDEX($C$69:$C$78,I$1)))/(1-SUMPRODUCT($C$69:$C$78,$D$69:$D$78))</f>
        <v>6.573468282385548E-3</v>
      </c>
      <c r="V86" s="3">
        <f>(($C73*INDEX($D$69:$D$78,J$1))+($D73*INDEX($C$69:$C$78,J$1)))/(1-SUMPRODUCT($C$69:$C$78,$D$69:$D$78))</f>
        <v>7.5708885658014756E-3</v>
      </c>
      <c r="W86" s="3">
        <f>(($C73*INDEX($D$69:$D$78,K$1))+($D73*INDEX($C$69:$C$78,K$1)))/(1-SUMPRODUCT($C$69:$C$78,$D$69:$D$78))</f>
        <v>5.2240748371717115E-4</v>
      </c>
      <c r="X86" s="15"/>
      <c r="Y86">
        <v>7</v>
      </c>
      <c r="Z86">
        <v>7</v>
      </c>
      <c r="AA86">
        <v>5</v>
      </c>
      <c r="AB86" t="str">
        <f t="shared" si="41"/>
        <v>lucas-7</v>
      </c>
      <c r="AC86">
        <f t="shared" si="42"/>
        <v>59</v>
      </c>
      <c r="AD86" s="56" t="str">
        <f t="shared" si="43"/>
        <v/>
      </c>
    </row>
    <row r="87" spans="1:30" x14ac:dyDescent="0.25">
      <c r="A87" t="s">
        <v>62</v>
      </c>
      <c r="B87" s="3">
        <f t="shared" si="51"/>
        <v>3.8841157605031436E-2</v>
      </c>
      <c r="C87" s="3">
        <f t="shared" si="55"/>
        <v>6.2511573131481896E-2</v>
      </c>
      <c r="D87" s="3">
        <f t="shared" si="59"/>
        <v>6.9489646161684668E-2</v>
      </c>
      <c r="E87" s="3">
        <f t="shared" si="63"/>
        <v>6.3071088623422502E-3</v>
      </c>
      <c r="F87" s="3">
        <f>(($B74*INDEX($E$69:$E$78,F$1))+($E74*INDEX($B$69:$B$78,F$1)))/(1-SUMPRODUCT($B$69:$B$78,$E$69:$E$78))</f>
        <v>1.1668762894621165E-2</v>
      </c>
      <c r="G87" s="3"/>
      <c r="H87" s="3">
        <f>(($B74*INDEX($E$69:$E$78,H$1))+($E74*INDEX($B$69:$B$78,H$1)))/(1-SUMPRODUCT($B$69:$B$78,$E$69:$E$78))</f>
        <v>1.9144562994836085E-2</v>
      </c>
      <c r="I87" s="3">
        <f>(($B74*INDEX($E$69:$E$78,I$1))+($E74*INDEX($B$69:$B$78,I$1)))/(1-SUMPRODUCT($B$69:$B$78,$E$69:$E$78))</f>
        <v>1.3976276166774087E-2</v>
      </c>
      <c r="J87" s="3">
        <f>(($B74*INDEX($E$69:$E$78,J$1))+($E74*INDEX($B$69:$B$78,J$1)))/(1-SUMPRODUCT($B$69:$B$78,$E$69:$E$78))</f>
        <v>7.8524730406333426E-2</v>
      </c>
      <c r="K87" s="3">
        <f>(($B74*INDEX($E$69:$E$78,K$1))+($E74*INDEX($B$69:$B$78,K$1)))/(1-SUMPRODUCT($B$69:$B$78,$E$69:$E$78))</f>
        <v>1.4455492839262028E-3</v>
      </c>
      <c r="M87" t="s">
        <v>62</v>
      </c>
      <c r="N87" s="3">
        <f t="shared" si="53"/>
        <v>-1.3355294327836659E-2</v>
      </c>
      <c r="O87" s="3">
        <f t="shared" si="57"/>
        <v>0.10572800663676725</v>
      </c>
      <c r="P87" s="3">
        <f t="shared" si="61"/>
        <v>0.10739828095873717</v>
      </c>
      <c r="Q87" s="3">
        <f t="shared" si="64"/>
        <v>-3.7491598954351494E-3</v>
      </c>
      <c r="R87" s="3">
        <f>(($C74*INDEX($D$69:$D$78,F$1))+($D74*INDEX($C$69:$C$78,F$1)))/(1-SUMPRODUCT($C$69:$C$78,$D$69:$D$78))</f>
        <v>2.3258403917501454E-2</v>
      </c>
      <c r="S87" s="3"/>
      <c r="T87" s="3">
        <f>(($C74*INDEX($D$69:$D$78,H$1))+($D74*INDEX($C$69:$C$78,H$1)))/(1-SUMPRODUCT($C$69:$C$78,$D$69:$D$78))</f>
        <v>4.0005030943762385E-2</v>
      </c>
      <c r="U87" s="3">
        <f>(($C74*INDEX($D$69:$D$78,I$1))+($D74*INDEX($C$69:$C$78,I$1)))/(1-SUMPRODUCT($C$69:$C$78,$D$69:$D$78))</f>
        <v>-7.4130185242151127E-3</v>
      </c>
      <c r="V87" s="3">
        <f>(($C74*INDEX($D$69:$D$78,J$1))+($D74*INDEX($C$69:$C$78,J$1)))/(1-SUMPRODUCT($C$69:$C$78,$D$69:$D$78))</f>
        <v>0.10438684294382033</v>
      </c>
      <c r="W87" s="3">
        <f>(($C74*INDEX($D$69:$D$78,K$1))+($D74*INDEX($C$69:$C$78,K$1)))/(1-SUMPRODUCT($C$69:$C$78,$D$69:$D$78))</f>
        <v>-9.1042757937220158E-4</v>
      </c>
      <c r="X87" s="15"/>
      <c r="Y87">
        <v>8</v>
      </c>
      <c r="Z87">
        <v>7</v>
      </c>
      <c r="AA87">
        <v>3</v>
      </c>
      <c r="AB87" t="str">
        <f t="shared" si="41"/>
        <v>lucas-8</v>
      </c>
      <c r="AC87">
        <f t="shared" si="42"/>
        <v>59</v>
      </c>
      <c r="AD87" s="56" t="str">
        <f t="shared" si="43"/>
        <v/>
      </c>
    </row>
    <row r="88" spans="1:30" x14ac:dyDescent="0.25">
      <c r="A88" t="s">
        <v>1648</v>
      </c>
      <c r="B88" s="3">
        <f t="shared" si="51"/>
        <v>1.218254145193778E-2</v>
      </c>
      <c r="C88" s="3">
        <f t="shared" si="55"/>
        <v>2.3624423174278819E-2</v>
      </c>
      <c r="D88" s="3">
        <f t="shared" si="59"/>
        <v>2.7487757053378081E-2</v>
      </c>
      <c r="E88" s="3">
        <f t="shared" si="63"/>
        <v>1.2903307548467961E-3</v>
      </c>
      <c r="F88" s="3">
        <f>(($B75*INDEX($E$69:$E$78,F$1))+($E75*INDEX($B$69:$B$78,F$1)))/(1-SUMPRODUCT($B$69:$B$78,$E$69:$E$78))</f>
        <v>2.6417542041785335E-3</v>
      </c>
      <c r="G88" s="3">
        <f>(($B75*INDEX($E$69:$E$78,G$1))+($E75*INDEX($B$69:$B$78,G$1)))/(1-SUMPRODUCT($B$69:$B$78,$E$69:$E$78))</f>
        <v>1.9144562994836085E-2</v>
      </c>
      <c r="H88" s="3"/>
      <c r="I88" s="3">
        <f>(($B75*INDEX($E$69:$E$78,I$1))+($E75*INDEX($B$69:$B$78,I$1)))/(1-SUMPRODUCT($B$69:$B$78,$E$69:$E$78))</f>
        <v>3.2837134626273199E-3</v>
      </c>
      <c r="J88" s="3">
        <f>(($B75*INDEX($E$69:$E$78,J$1))+($E75*INDEX($B$69:$B$78,J$1)))/(1-SUMPRODUCT($B$69:$B$78,$E$69:$E$78))</f>
        <v>3.2775277876926863E-2</v>
      </c>
      <c r="K88" s="3">
        <f>(($B75*INDEX($E$69:$E$78,K$1))+($E75*INDEX($B$69:$B$78,K$1)))/(1-SUMPRODUCT($B$69:$B$78,$E$69:$E$78))</f>
        <v>2.5919682719699135E-4</v>
      </c>
      <c r="M88" t="s">
        <v>1648</v>
      </c>
      <c r="N88" s="3">
        <f t="shared" si="53"/>
        <v>3.1087342672617844E-2</v>
      </c>
      <c r="O88" s="3">
        <f t="shared" si="57"/>
        <v>8.7083792347644445E-3</v>
      </c>
      <c r="P88" s="3">
        <f t="shared" si="61"/>
        <v>1.0712871053921472E-2</v>
      </c>
      <c r="Q88" s="3">
        <f t="shared" si="64"/>
        <v>4.7147589872445069E-3</v>
      </c>
      <c r="R88" s="3">
        <f>(($C75*INDEX($D$69:$D$78,F$1))+($D75*INDEX($C$69:$C$78,F$1)))/(1-SUMPRODUCT($C$69:$C$78,$D$69:$D$78))</f>
        <v>4.6248244151564355E-4</v>
      </c>
      <c r="S88" s="3">
        <f>(($C75*INDEX($D$69:$D$78,G$1))+($D75*INDEX($C$69:$C$78,G$1)))/(1-SUMPRODUCT($C$69:$C$78,$D$69:$D$78))</f>
        <v>4.0005030943762385E-2</v>
      </c>
      <c r="T88" s="3"/>
      <c r="U88" s="3">
        <f>(($C75*INDEX($D$69:$D$78,I$1))+($D75*INDEX($C$69:$C$78,I$1)))/(1-SUMPRODUCT($C$69:$C$78,$D$69:$D$78))</f>
        <v>1.1284406588682993E-2</v>
      </c>
      <c r="V88" s="3">
        <f>(($C75*INDEX($D$69:$D$78,J$1))+($D75*INDEX($C$69:$C$78,J$1)))/(1-SUMPRODUCT($C$69:$C$78,$D$69:$D$78))</f>
        <v>1.3666051094151595E-2</v>
      </c>
      <c r="W88" s="3">
        <f>(($C75*INDEX($D$69:$D$78,K$1))+($D75*INDEX($C$69:$C$78,K$1)))/(1-SUMPRODUCT($C$69:$C$78,$D$69:$D$78))</f>
        <v>8.9489110415454369E-4</v>
      </c>
      <c r="X88" s="15"/>
      <c r="Y88">
        <v>9</v>
      </c>
      <c r="Z88">
        <v>7</v>
      </c>
      <c r="AA88">
        <v>1</v>
      </c>
      <c r="AB88" t="str">
        <f t="shared" si="41"/>
        <v>lucas-9</v>
      </c>
      <c r="AC88">
        <f t="shared" si="42"/>
        <v>59</v>
      </c>
      <c r="AD88" s="56">
        <f t="shared" si="43"/>
        <v>0.36419966589621883</v>
      </c>
    </row>
    <row r="89" spans="1:30" x14ac:dyDescent="0.25">
      <c r="A89" t="s">
        <v>23</v>
      </c>
      <c r="B89" s="3">
        <f t="shared" si="51"/>
        <v>8.6856861453473329E-3</v>
      </c>
      <c r="C89" s="3">
        <f t="shared" si="55"/>
        <v>1.7428723949527547E-2</v>
      </c>
      <c r="D89" s="3">
        <f t="shared" si="59"/>
        <v>2.0427148734096713E-2</v>
      </c>
      <c r="E89" s="3">
        <f t="shared" si="63"/>
        <v>8.1972278908817864E-4</v>
      </c>
      <c r="F89" s="3">
        <f>(($B76*INDEX($E$69:$E$78,F$1))+($E76*INDEX($B$69:$B$78,F$1)))/(1-SUMPRODUCT($B$69:$B$78,$E$69:$E$78))</f>
        <v>1.7351135085476824E-3</v>
      </c>
      <c r="G89" s="3">
        <f>(($B76*INDEX($E$69:$E$78,G$1))+($E76*INDEX($B$69:$B$78,G$1)))/(1-SUMPRODUCT($B$69:$B$78,$E$69:$E$78))</f>
        <v>1.3976276166774087E-2</v>
      </c>
      <c r="H89" s="3">
        <f>(($B76*INDEX($E$69:$E$78,H$1))+($E76*INDEX($B$69:$B$78,H$1)))/(1-SUMPRODUCT($B$69:$B$78,$E$69:$E$78))</f>
        <v>3.2837134626273199E-3</v>
      </c>
      <c r="I89" s="3"/>
      <c r="J89" s="3">
        <f>(($B76*INDEX($E$69:$E$78,J$1))+($E76*INDEX($B$69:$B$78,J$1)))/(1-SUMPRODUCT($B$69:$B$78,$E$69:$E$78))</f>
        <v>2.4554473543795811E-2</v>
      </c>
      <c r="K89" s="3">
        <f>(($B76*INDEX($E$69:$E$78,K$1))+($E76*INDEX($B$69:$B$78,K$1)))/(1-SUMPRODUCT($B$69:$B$78,$E$69:$E$78))</f>
        <v>1.5650041355719734E-4</v>
      </c>
      <c r="M89" t="s">
        <v>23</v>
      </c>
      <c r="N89" s="3">
        <f t="shared" si="53"/>
        <v>-6.6804282056363695E-3</v>
      </c>
      <c r="O89" s="3">
        <f t="shared" si="57"/>
        <v>2.9269398774615242E-2</v>
      </c>
      <c r="P89" s="3">
        <f t="shared" si="61"/>
        <v>2.9558762239796317E-2</v>
      </c>
      <c r="Q89" s="3">
        <f t="shared" si="64"/>
        <v>-1.5034994398179047E-3</v>
      </c>
      <c r="R89" s="3">
        <f>(($C76*INDEX($D$69:$D$78,F$1))+($D76*INDEX($C$69:$C$78,F$1)))/(1-SUMPRODUCT($C$69:$C$78,$D$69:$D$78))</f>
        <v>6.573468282385548E-3</v>
      </c>
      <c r="S89" s="3">
        <f>(($C76*INDEX($D$69:$D$78,G$1))+($D76*INDEX($C$69:$C$78,G$1)))/(1-SUMPRODUCT($C$69:$C$78,$D$69:$D$78))</f>
        <v>-7.4130185242151127E-3</v>
      </c>
      <c r="T89" s="3">
        <f>(($C76*INDEX($D$69:$D$78,H$1))+($D76*INDEX($C$69:$C$78,H$1)))/(1-SUMPRODUCT($C$69:$C$78,$D$69:$D$78))</f>
        <v>1.1284406588682993E-2</v>
      </c>
      <c r="U89" s="3"/>
      <c r="V89" s="3">
        <f>(($C76*INDEX($D$69:$D$78,J$1))+($D76*INDEX($C$69:$C$78,J$1)))/(1-SUMPRODUCT($C$69:$C$78,$D$69:$D$78))</f>
        <v>2.8428389788808094E-2</v>
      </c>
      <c r="W89" s="3">
        <f>(($C76*INDEX($D$69:$D$78,K$1))+($D76*INDEX($C$69:$C$78,K$1)))/(1-SUMPRODUCT($C$69:$C$78,$D$69:$D$78))</f>
        <v>-3.4193024966071669E-4</v>
      </c>
      <c r="X89" s="15"/>
      <c r="Y89">
        <v>10</v>
      </c>
      <c r="Z89">
        <v>7</v>
      </c>
      <c r="AA89">
        <v>4</v>
      </c>
      <c r="AB89" t="str">
        <f t="shared" si="41"/>
        <v>lucas-10</v>
      </c>
      <c r="AC89">
        <f t="shared" si="42"/>
        <v>59</v>
      </c>
      <c r="AD89" s="56">
        <f t="shared" si="43"/>
        <v>0.5209111175446679</v>
      </c>
    </row>
    <row r="90" spans="1:30" x14ac:dyDescent="0.25">
      <c r="A90" t="s">
        <v>49</v>
      </c>
      <c r="B90" s="3">
        <f t="shared" si="51"/>
        <v>6.0628877316529134E-2</v>
      </c>
      <c r="C90" s="3">
        <f t="shared" si="55"/>
        <v>8.757527826690549E-2</v>
      </c>
      <c r="D90" s="3">
        <f t="shared" si="59"/>
        <v>9.4298655173576107E-2</v>
      </c>
      <c r="E90" s="3">
        <f t="shared" si="63"/>
        <v>1.1557537580915978E-2</v>
      </c>
      <c r="F90" s="3">
        <f>(($B77*INDEX($E$69:$E$78,F$1))+($E77*INDEX($B$69:$B$78,F$1)))/(1-SUMPRODUCT($B$69:$B$78,$E$69:$E$78))</f>
        <v>2.0748953370183915E-2</v>
      </c>
      <c r="G90" s="3">
        <f>(($B77*INDEX($E$69:$E$78,G$1))+($E77*INDEX($B$69:$B$78,G$1)))/(1-SUMPRODUCT($B$69:$B$78,$E$69:$E$78))</f>
        <v>7.8524730406333426E-2</v>
      </c>
      <c r="H90" s="3">
        <f>(($B77*INDEX($E$69:$E$78,H$1))+($E77*INDEX($B$69:$B$78,H$1)))/(1-SUMPRODUCT($B$69:$B$78,$E$69:$E$78))</f>
        <v>3.2775277876926863E-2</v>
      </c>
      <c r="I90" s="3">
        <f>(($B77*INDEX($E$69:$E$78,I$1))+($E77*INDEX($B$69:$B$78,I$1)))/(1-SUMPRODUCT($B$69:$B$78,$E$69:$E$78))</f>
        <v>2.4554473543795811E-2</v>
      </c>
      <c r="J90" s="3"/>
      <c r="K90" s="3">
        <f>(($B77*INDEX($E$69:$E$78,K$1))+($E77*INDEX($B$69:$B$78,K$1)))/(1-SUMPRODUCT($B$69:$B$78,$E$69:$E$78))</f>
        <v>2.7398762216495798E-3</v>
      </c>
      <c r="M90" t="s">
        <v>49</v>
      </c>
      <c r="N90" s="3">
        <f t="shared" si="53"/>
        <v>8.0238417764707706E-2</v>
      </c>
      <c r="O90" s="3">
        <f t="shared" si="57"/>
        <v>5.2237861999965503E-2</v>
      </c>
      <c r="P90" s="3">
        <f t="shared" si="61"/>
        <v>5.8099789901825731E-2</v>
      </c>
      <c r="Q90" s="3">
        <f t="shared" si="64"/>
        <v>1.1700485507037483E-2</v>
      </c>
      <c r="R90" s="3">
        <f>(($C77*INDEX($D$69:$D$78,F$1))+($D77*INDEX($C$69:$C$78,F$1)))/(1-SUMPRODUCT($C$69:$C$78,$D$69:$D$78))</f>
        <v>7.5708885658014756E-3</v>
      </c>
      <c r="S90" s="3">
        <f>(($C77*INDEX($D$69:$D$78,G$1))+($D77*INDEX($C$69:$C$78,G$1)))/(1-SUMPRODUCT($C$69:$C$78,$D$69:$D$78))</f>
        <v>0.10438684294382033</v>
      </c>
      <c r="T90" s="3">
        <f>(($C77*INDEX($D$69:$D$78,H$1))+($D77*INDEX($C$69:$C$78,H$1)))/(1-SUMPRODUCT($C$69:$C$78,$D$69:$D$78))</f>
        <v>1.3666051094151595E-2</v>
      </c>
      <c r="U90" s="3">
        <f>(($C77*INDEX($D$69:$D$78,I$1))+($D77*INDEX($C$69:$C$78,I$1)))/(1-SUMPRODUCT($C$69:$C$78,$D$69:$D$78))</f>
        <v>2.8428389788808094E-2</v>
      </c>
      <c r="V90" s="3"/>
      <c r="W90" s="3">
        <f>(($C77*INDEX($D$69:$D$78,K$1))+($D77*INDEX($C$69:$C$78,K$1)))/(1-SUMPRODUCT($C$69:$C$78,$D$69:$D$78))</f>
        <v>2.1667755891789072E-3</v>
      </c>
      <c r="X90" s="15"/>
      <c r="Y90">
        <v>11</v>
      </c>
      <c r="Z90">
        <v>7</v>
      </c>
      <c r="AA90">
        <v>8</v>
      </c>
      <c r="AB90" t="str">
        <f t="shared" si="41"/>
        <v>lucas-11</v>
      </c>
      <c r="AC90">
        <f t="shared" si="42"/>
        <v>60</v>
      </c>
      <c r="AD90" s="56">
        <f t="shared" si="43"/>
        <v>0.3490728884183939</v>
      </c>
    </row>
    <row r="91" spans="1:30" x14ac:dyDescent="0.25">
      <c r="A91" t="s">
        <v>44</v>
      </c>
      <c r="B91" s="3">
        <f t="shared" si="51"/>
        <v>8.319358446767604E-4</v>
      </c>
      <c r="C91" s="3">
        <f t="shared" si="55"/>
        <v>1.8607242105188842E-3</v>
      </c>
      <c r="D91" s="3">
        <f t="shared" si="59"/>
        <v>2.2276839738619284E-3</v>
      </c>
      <c r="E91" s="3">
        <f t="shared" si="63"/>
        <v>4.5750761203614167E-5</v>
      </c>
      <c r="F91" s="3">
        <f>(($B78*INDEX($E$69:$E$78,F$1))+($E78*INDEX($B$69:$B$78,F$1)))/(1-SUMPRODUCT($B$69:$B$78,$E$69:$E$78))</f>
        <v>1.1769885647774698E-4</v>
      </c>
      <c r="G91" s="3">
        <f>(($B78*INDEX($E$69:$E$78,G$1))+($E78*INDEX($B$69:$B$78,G$1)))/(1-SUMPRODUCT($B$69:$B$78,$E$69:$E$78))</f>
        <v>1.4455492839262028E-3</v>
      </c>
      <c r="H91" s="3">
        <f>(($B78*INDEX($E$69:$E$78,H$1))+($E78*INDEX($B$69:$B$78,H$1)))/(1-SUMPRODUCT($B$69:$B$78,$E$69:$E$78))</f>
        <v>2.5919682719699135E-4</v>
      </c>
      <c r="I91" s="3">
        <f>(($B78*INDEX($E$69:$E$78,I$1))+($E78*INDEX($B$69:$B$78,I$1)))/(1-SUMPRODUCT($B$69:$B$78,$E$69:$E$78))</f>
        <v>1.5650041355719734E-4</v>
      </c>
      <c r="J91" s="3">
        <f>(($B78*INDEX($E$69:$E$78,J$1))+($E78*INDEX($B$69:$B$78,J$1)))/(1-SUMPRODUCT($B$69:$B$78,$E$69:$E$78))</f>
        <v>2.7398762216495798E-3</v>
      </c>
      <c r="K91" s="3"/>
      <c r="M91" t="s">
        <v>44</v>
      </c>
      <c r="N91" s="3">
        <f t="shared" si="53"/>
        <v>-7.8109801184778386E-4</v>
      </c>
      <c r="O91" s="3">
        <f t="shared" si="57"/>
        <v>2.2733864411452953E-3</v>
      </c>
      <c r="P91" s="3">
        <f t="shared" si="61"/>
        <v>2.2806523392879833E-3</v>
      </c>
      <c r="Q91" s="3">
        <f t="shared" si="64"/>
        <v>-1.5770406514194438E-4</v>
      </c>
      <c r="R91" s="3">
        <f>(($C78*INDEX($D$69:$D$78,F$1))+($D78*INDEX($C$69:$C$78,F$1)))/(1-SUMPRODUCT($C$69:$C$78,$D$69:$D$78))</f>
        <v>5.2240748371717115E-4</v>
      </c>
      <c r="S91" s="3">
        <f>(($C78*INDEX($D$69:$D$78,G$1))+($D78*INDEX($C$69:$C$78,G$1)))/(1-SUMPRODUCT($C$69:$C$78,$D$69:$D$78))</f>
        <v>-9.1042757937220158E-4</v>
      </c>
      <c r="T91" s="3">
        <f>(($C78*INDEX($D$69:$D$78,H$1))+($D78*INDEX($C$69:$C$78,H$1)))/(1-SUMPRODUCT($C$69:$C$78,$D$69:$D$78))</f>
        <v>8.9489110415454369E-4</v>
      </c>
      <c r="U91" s="3">
        <f>(($C78*INDEX($D$69:$D$78,I$1))+($D78*INDEX($C$69:$C$78,I$1)))/(1-SUMPRODUCT($C$69:$C$78,$D$69:$D$78))</f>
        <v>-3.4193024966071669E-4</v>
      </c>
      <c r="V91" s="3">
        <f>(($C78*INDEX($D$69:$D$78,J$1))+($D78*INDEX($C$69:$C$78,J$1)))/(1-SUMPRODUCT($C$69:$C$78,$D$69:$D$78))</f>
        <v>2.1667755891789072E-3</v>
      </c>
      <c r="W91" s="3"/>
      <c r="X91" s="15"/>
      <c r="Y91">
        <v>12</v>
      </c>
      <c r="Z91">
        <v>7</v>
      </c>
      <c r="AA91">
        <v>2</v>
      </c>
      <c r="AB91" t="str">
        <f t="shared" si="41"/>
        <v>lucas-12</v>
      </c>
      <c r="AC91">
        <f t="shared" si="42"/>
        <v>60</v>
      </c>
      <c r="AD91" s="56" t="str">
        <f t="shared" si="43"/>
        <v/>
      </c>
    </row>
    <row r="92" spans="1:30" x14ac:dyDescent="0.25">
      <c r="K92" s="9"/>
      <c r="Y92">
        <v>13</v>
      </c>
      <c r="Z92">
        <v>7</v>
      </c>
      <c r="AA92">
        <v>10</v>
      </c>
      <c r="AB92" t="str">
        <f t="shared" si="41"/>
        <v>lucas-13</v>
      </c>
      <c r="AC92">
        <f t="shared" si="42"/>
        <v>61</v>
      </c>
      <c r="AD92" s="56">
        <f t="shared" si="43"/>
        <v>0.56273612369177817</v>
      </c>
    </row>
    <row r="93" spans="1:30" x14ac:dyDescent="0.25">
      <c r="A93" t="s">
        <v>609</v>
      </c>
      <c r="Y93">
        <v>1</v>
      </c>
      <c r="Z93">
        <v>8</v>
      </c>
      <c r="AA93">
        <v>2</v>
      </c>
      <c r="AB93" t="str">
        <f t="shared" si="41"/>
        <v>perry-1</v>
      </c>
      <c r="AC93">
        <f t="shared" si="42"/>
        <v>61</v>
      </c>
      <c r="AD93" s="56" t="str">
        <f t="shared" si="43"/>
        <v/>
      </c>
    </row>
    <row r="94" spans="1:30" x14ac:dyDescent="0.25">
      <c r="B94" t="s">
        <v>20</v>
      </c>
      <c r="C94" t="s">
        <v>16</v>
      </c>
      <c r="D94" t="s">
        <v>55</v>
      </c>
      <c r="E94" t="s">
        <v>35</v>
      </c>
      <c r="F94" t="s">
        <v>27</v>
      </c>
      <c r="G94" t="s">
        <v>62</v>
      </c>
      <c r="H94" t="s">
        <v>40</v>
      </c>
      <c r="I94" t="s">
        <v>23</v>
      </c>
      <c r="J94" t="s">
        <v>49</v>
      </c>
      <c r="K94" t="s">
        <v>44</v>
      </c>
      <c r="M94" t="s">
        <v>607</v>
      </c>
      <c r="N94" t="s">
        <v>608</v>
      </c>
      <c r="O94" t="s">
        <v>480</v>
      </c>
      <c r="Y94">
        <v>2</v>
      </c>
      <c r="Z94">
        <v>8</v>
      </c>
      <c r="AA94">
        <v>7</v>
      </c>
      <c r="AB94" t="str">
        <f t="shared" si="41"/>
        <v>perry-2</v>
      </c>
      <c r="AC94">
        <f t="shared" si="42"/>
        <v>61</v>
      </c>
      <c r="AD94" s="56" t="str">
        <f t="shared" si="43"/>
        <v/>
      </c>
    </row>
    <row r="95" spans="1:30" x14ac:dyDescent="0.25">
      <c r="A95" t="s">
        <v>20</v>
      </c>
      <c r="B95" s="3"/>
      <c r="C95" s="3">
        <f t="shared" ref="C95:K95" si="65">_xlfn.NORM.DIST(0,INDEX($S$2:$S$11,C$1)-$S2,SQRT($S13+INDEX($S$13:$S$22,C$1)),TRUE)</f>
        <v>0.58017554908037705</v>
      </c>
      <c r="D95" s="3">
        <f t="shared" si="65"/>
        <v>0.46702180356809464</v>
      </c>
      <c r="E95" s="3">
        <f t="shared" si="65"/>
        <v>0.6849167541717065</v>
      </c>
      <c r="F95" s="3">
        <f t="shared" si="65"/>
        <v>0.62581555365273567</v>
      </c>
      <c r="G95" s="3">
        <f t="shared" si="65"/>
        <v>0.38109290210445945</v>
      </c>
      <c r="H95" s="3">
        <f t="shared" si="65"/>
        <v>0.6668796365293902</v>
      </c>
      <c r="I95" s="3">
        <f t="shared" si="65"/>
        <v>0.60536775562795619</v>
      </c>
      <c r="J95" s="3">
        <f t="shared" si="65"/>
        <v>0.39899736294683252</v>
      </c>
      <c r="K95" s="3">
        <f t="shared" si="65"/>
        <v>0.72122950344806314</v>
      </c>
      <c r="M95" s="3">
        <f>SUMPRODUCT(B95:K95,B82:K82)</f>
        <v>0.11133079322159524</v>
      </c>
      <c r="N95" s="3">
        <f>SUMPRODUCT(B95:K95,N82:W82)</f>
        <v>0.13817620649361889</v>
      </c>
      <c r="O95" s="9">
        <f>SUM(M95:N95)</f>
        <v>0.24950699971521412</v>
      </c>
      <c r="Y95">
        <v>3</v>
      </c>
      <c r="Z95">
        <v>8</v>
      </c>
      <c r="AA95">
        <v>1</v>
      </c>
      <c r="AB95" t="str">
        <f t="shared" si="41"/>
        <v>perry-3</v>
      </c>
      <c r="AC95">
        <f t="shared" si="42"/>
        <v>61</v>
      </c>
      <c r="AD95" s="56" t="str">
        <f t="shared" si="43"/>
        <v/>
      </c>
    </row>
    <row r="96" spans="1:30" x14ac:dyDescent="0.25">
      <c r="A96" t="s">
        <v>16</v>
      </c>
      <c r="B96" s="3">
        <f t="shared" ref="B96:B104" si="66">_xlfn.NORM.DIST(0,INDEX($S$2:$S$11,B$1)-$S3,SQRT($S14+INDEX($S$13:$S$22,B$1)),TRUE)</f>
        <v>0.41982445091962295</v>
      </c>
      <c r="C96" s="3"/>
      <c r="D96" s="3">
        <f t="shared" ref="D96:K96" si="67">_xlfn.NORM.DIST(0,INDEX($S$2:$S$11,D$1)-$S3,SQRT($S14+INDEX($S$13:$S$22,D$1)),TRUE)</f>
        <v>0.38528428012357352</v>
      </c>
      <c r="E96" s="3">
        <f t="shared" si="67"/>
        <v>0.61714221069610831</v>
      </c>
      <c r="F96" s="3">
        <f t="shared" si="67"/>
        <v>0.5507280993643674</v>
      </c>
      <c r="G96" s="3">
        <f t="shared" si="67"/>
        <v>0.30141724557612493</v>
      </c>
      <c r="H96" s="3">
        <f t="shared" si="67"/>
        <v>0.59635243295533147</v>
      </c>
      <c r="I96" s="3">
        <f t="shared" si="67"/>
        <v>0.53054287531208244</v>
      </c>
      <c r="J96" s="3">
        <f t="shared" si="67"/>
        <v>0.32428090740341631</v>
      </c>
      <c r="K96" s="3">
        <f t="shared" si="67"/>
        <v>0.65835072585225518</v>
      </c>
      <c r="M96" s="3">
        <f t="shared" ref="M96:M103" si="68">SUMPRODUCT(B96:K96,B83:K83)</f>
        <v>0.13448263223792753</v>
      </c>
      <c r="N96" s="3">
        <f t="shared" ref="N96:N104" si="69">SUMPRODUCT(B96:K96,N83:W83)</f>
        <v>0.13262465860662573</v>
      </c>
      <c r="O96" s="9">
        <f t="shared" ref="O96:O104" si="70">SUM(M96:N96)</f>
        <v>0.26710729084455326</v>
      </c>
      <c r="Y96">
        <v>4</v>
      </c>
      <c r="Z96">
        <v>8</v>
      </c>
      <c r="AA96">
        <v>4</v>
      </c>
      <c r="AB96" t="str">
        <f t="shared" si="41"/>
        <v>perry-4</v>
      </c>
      <c r="AC96">
        <f t="shared" si="42"/>
        <v>61</v>
      </c>
      <c r="AD96" s="56" t="str">
        <f t="shared" si="43"/>
        <v/>
      </c>
    </row>
    <row r="97" spans="1:30" x14ac:dyDescent="0.25">
      <c r="A97" t="s">
        <v>55</v>
      </c>
      <c r="B97" s="3">
        <f t="shared" si="66"/>
        <v>0.53297819643190536</v>
      </c>
      <c r="C97" s="3">
        <f t="shared" ref="C97:C104" si="71">_xlfn.NORM.DIST(0,INDEX($S$2:$S$11,C$1)-$S4,SQRT($S15+INDEX($S$13:$S$22,C$1)),TRUE)</f>
        <v>0.61471571987642648</v>
      </c>
      <c r="D97" s="3"/>
      <c r="E97" s="3">
        <f t="shared" ref="E97:K97" si="72">_xlfn.NORM.DIST(0,INDEX($S$2:$S$11,E$1)-$S4,SQRT($S15+INDEX($S$13:$S$22,E$1)),TRUE)</f>
        <v>0.71648768961092246</v>
      </c>
      <c r="F97" s="3">
        <f t="shared" si="72"/>
        <v>0.65921985937739713</v>
      </c>
      <c r="G97" s="3">
        <f t="shared" si="72"/>
        <v>0.41184499462982055</v>
      </c>
      <c r="H97" s="3">
        <f t="shared" si="72"/>
        <v>0.69925765394970285</v>
      </c>
      <c r="I97" s="3">
        <f t="shared" si="72"/>
        <v>0.63818861355078826</v>
      </c>
      <c r="J97" s="3">
        <f t="shared" si="72"/>
        <v>0.42833396586436862</v>
      </c>
      <c r="K97" s="3">
        <f t="shared" si="72"/>
        <v>0.75149580160711926</v>
      </c>
      <c r="M97" s="3">
        <f t="shared" si="68"/>
        <v>0.19732079019323942</v>
      </c>
      <c r="N97" s="3">
        <f t="shared" si="69"/>
        <v>0.18144007306957813</v>
      </c>
      <c r="O97" s="9">
        <f t="shared" si="70"/>
        <v>0.37876086326281755</v>
      </c>
      <c r="Y97">
        <v>5</v>
      </c>
      <c r="Z97">
        <v>8</v>
      </c>
      <c r="AA97">
        <v>10</v>
      </c>
      <c r="AB97" t="str">
        <f t="shared" si="41"/>
        <v>perry-5</v>
      </c>
      <c r="AC97">
        <f t="shared" si="42"/>
        <v>62</v>
      </c>
      <c r="AD97" s="56" t="str">
        <f t="shared" si="43"/>
        <v/>
      </c>
    </row>
    <row r="98" spans="1:30" x14ac:dyDescent="0.25">
      <c r="A98" t="s">
        <v>35</v>
      </c>
      <c r="B98" s="3">
        <f t="shared" si="66"/>
        <v>0.3150832458282935</v>
      </c>
      <c r="C98" s="3">
        <f t="shared" si="71"/>
        <v>0.38285778930389169</v>
      </c>
      <c r="D98" s="3">
        <f t="shared" ref="D98:D104" si="73">_xlfn.NORM.DIST(0,INDEX($S$2:$S$11,D$1)-$S5,SQRT($S16+INDEX($S$13:$S$22,D$1)),TRUE)</f>
        <v>0.28351231038907759</v>
      </c>
      <c r="E98" s="3"/>
      <c r="F98" s="3">
        <f t="shared" ref="F98:K98" si="74">_xlfn.NORM.DIST(0,INDEX($S$2:$S$11,F$1)-$S5,SQRT($S16+INDEX($S$13:$S$22,F$1)),TRUE)</f>
        <v>0.43293194440745775</v>
      </c>
      <c r="G98" s="3">
        <f t="shared" si="74"/>
        <v>0.21332445197167646</v>
      </c>
      <c r="H98" s="3">
        <f t="shared" si="74"/>
        <v>0.47803529763083102</v>
      </c>
      <c r="I98" s="3">
        <f t="shared" si="74"/>
        <v>0.41688276961962051</v>
      </c>
      <c r="J98" s="3">
        <f t="shared" si="74"/>
        <v>0.23789586640525925</v>
      </c>
      <c r="K98" s="3">
        <f t="shared" si="74"/>
        <v>0.54226220995309349</v>
      </c>
      <c r="M98" s="3">
        <f t="shared" si="68"/>
        <v>1.2294046468418139E-2</v>
      </c>
      <c r="N98" s="3">
        <f t="shared" si="69"/>
        <v>1.1785800243650503E-2</v>
      </c>
      <c r="O98" s="9">
        <f t="shared" si="70"/>
        <v>2.4079846712068642E-2</v>
      </c>
      <c r="Y98">
        <v>6</v>
      </c>
      <c r="Z98">
        <v>8</v>
      </c>
      <c r="AA98">
        <v>9</v>
      </c>
      <c r="AB98" t="str">
        <f t="shared" si="41"/>
        <v>perry-6</v>
      </c>
      <c r="AC98">
        <f t="shared" si="42"/>
        <v>63</v>
      </c>
      <c r="AD98" s="56" t="str">
        <f t="shared" si="43"/>
        <v/>
      </c>
    </row>
    <row r="99" spans="1:30" x14ac:dyDescent="0.25">
      <c r="A99" t="s">
        <v>27</v>
      </c>
      <c r="B99" s="3">
        <f t="shared" si="66"/>
        <v>0.37418444634726433</v>
      </c>
      <c r="C99" s="3">
        <f t="shared" si="71"/>
        <v>0.4492719006356326</v>
      </c>
      <c r="D99" s="3">
        <f t="shared" si="73"/>
        <v>0.34078014062260287</v>
      </c>
      <c r="E99" s="3">
        <f t="shared" ref="E99:E104" si="75">_xlfn.NORM.DIST(0,INDEX($S$2:$S$11,E$1)-$S6,SQRT($S17+INDEX($S$13:$S$22,E$1)),TRUE)</f>
        <v>0.56706805559254225</v>
      </c>
      <c r="F99" s="3"/>
      <c r="G99" s="3">
        <f>_xlfn.NORM.DIST(0,INDEX($S$2:$S$11,G$1)-$S6,SQRT($S17+INDEX($S$13:$S$22,G$1)),TRUE)</f>
        <v>0.2626087765463877</v>
      </c>
      <c r="H99" s="3">
        <f>_xlfn.NORM.DIST(0,INDEX($S$2:$S$11,H$1)-$S6,SQRT($S17+INDEX($S$13:$S$22,H$1)),TRUE)</f>
        <v>0.54565094288114091</v>
      </c>
      <c r="I99" s="3">
        <f>_xlfn.NORM.DIST(0,INDEX($S$2:$S$11,I$1)-$S6,SQRT($S17+INDEX($S$13:$S$22,I$1)),TRUE)</f>
        <v>0.48152685260958034</v>
      </c>
      <c r="J99" s="3">
        <f>_xlfn.NORM.DIST(0,INDEX($S$2:$S$11,J$1)-$S6,SQRT($S17+INDEX($S$13:$S$22,J$1)),TRUE)</f>
        <v>0.2864002727253866</v>
      </c>
      <c r="K99" s="3">
        <f>_xlfn.NORM.DIST(0,INDEX($S$2:$S$11,K$1)-$S6,SQRT($S17+INDEX($S$13:$S$22,K$1)),TRUE)</f>
        <v>0.60896798313556766</v>
      </c>
      <c r="M99" s="3">
        <f t="shared" si="68"/>
        <v>2.6829024762119347E-2</v>
      </c>
      <c r="N99" s="3">
        <f t="shared" si="69"/>
        <v>2.4437114903868244E-2</v>
      </c>
      <c r="O99" s="9">
        <f t="shared" si="70"/>
        <v>5.1266139665987587E-2</v>
      </c>
      <c r="Y99">
        <v>7</v>
      </c>
      <c r="Z99">
        <v>8</v>
      </c>
      <c r="AA99">
        <v>6</v>
      </c>
      <c r="AB99" t="str">
        <f t="shared" si="41"/>
        <v>perry-7</v>
      </c>
      <c r="AC99">
        <f t="shared" si="42"/>
        <v>63</v>
      </c>
      <c r="AD99" s="56" t="str">
        <f t="shared" si="43"/>
        <v/>
      </c>
    </row>
    <row r="100" spans="1:30" x14ac:dyDescent="0.25">
      <c r="A100" t="s">
        <v>62</v>
      </c>
      <c r="B100" s="3">
        <f t="shared" si="66"/>
        <v>0.61890709789554055</v>
      </c>
      <c r="C100" s="3">
        <f t="shared" si="71"/>
        <v>0.69858275442387507</v>
      </c>
      <c r="D100" s="3">
        <f t="shared" si="73"/>
        <v>0.5881550053701794</v>
      </c>
      <c r="E100" s="3">
        <f t="shared" si="75"/>
        <v>0.78667554802832351</v>
      </c>
      <c r="F100" s="3">
        <f>_xlfn.NORM.DIST(0,INDEX($S$2:$S$11,F$1)-$S7,SQRT($S18+INDEX($S$13:$S$22,F$1)),TRUE)</f>
        <v>0.7373912234536123</v>
      </c>
      <c r="G100" s="3"/>
      <c r="H100" s="3">
        <f>_xlfn.NORM.DIST(0,INDEX($S$2:$S$11,H$1)-$S7,SQRT($S18+INDEX($S$13:$S$22,H$1)),TRUE)</f>
        <v>0.77232433005656209</v>
      </c>
      <c r="I100" s="3">
        <f>_xlfn.NORM.DIST(0,INDEX($S$2:$S$11,I$1)-$S7,SQRT($S18+INDEX($S$13:$S$22,I$1)),TRUE)</f>
        <v>0.71670357549903474</v>
      </c>
      <c r="J100" s="3">
        <f>_xlfn.NORM.DIST(0,INDEX($S$2:$S$11,J$1)-$S7,SQRT($S18+INDEX($S$13:$S$22,J$1)),TRUE)</f>
        <v>0.51114315788088593</v>
      </c>
      <c r="K100" s="3">
        <f>_xlfn.NORM.DIST(0,INDEX($S$2:$S$11,K$1)-$S7,SQRT($S18+INDEX($S$13:$S$22,K$1)),TRUE)</f>
        <v>0.81643579611664197</v>
      </c>
      <c r="M100" s="3">
        <f t="shared" si="68"/>
        <v>0.18826558569519114</v>
      </c>
      <c r="N100" s="3">
        <f t="shared" si="69"/>
        <v>0.22115931937996486</v>
      </c>
      <c r="O100" s="9">
        <f t="shared" si="70"/>
        <v>0.409424905075156</v>
      </c>
      <c r="Y100">
        <v>8</v>
      </c>
      <c r="Z100">
        <v>8</v>
      </c>
      <c r="AA100">
        <v>5</v>
      </c>
      <c r="AB100" t="str">
        <f t="shared" si="41"/>
        <v>perry-8</v>
      </c>
      <c r="AC100">
        <f t="shared" si="42"/>
        <v>63</v>
      </c>
      <c r="AD100" s="56" t="str">
        <f t="shared" si="43"/>
        <v/>
      </c>
    </row>
    <row r="101" spans="1:30" x14ac:dyDescent="0.25">
      <c r="A101" t="s">
        <v>1648</v>
      </c>
      <c r="B101" s="3">
        <f t="shared" si="66"/>
        <v>0.3331203634706098</v>
      </c>
      <c r="C101" s="3">
        <f t="shared" si="71"/>
        <v>0.40364756704466853</v>
      </c>
      <c r="D101" s="3">
        <f t="shared" si="73"/>
        <v>0.3007423460502972</v>
      </c>
      <c r="E101" s="3">
        <f t="shared" si="75"/>
        <v>0.52196470236916892</v>
      </c>
      <c r="F101" s="3">
        <f>_xlfn.NORM.DIST(0,INDEX($S$2:$S$11,F$1)-$S8,SQRT($S19+INDEX($S$13:$S$22,F$1)),TRUE)</f>
        <v>0.45434905711885909</v>
      </c>
      <c r="G101" s="3">
        <f>_xlfn.NORM.DIST(0,INDEX($S$2:$S$11,G$1)-$S8,SQRT($S19+INDEX($S$13:$S$22,G$1)),TRUE)</f>
        <v>0.22767566994343794</v>
      </c>
      <c r="H101" s="3"/>
      <c r="I101" s="3">
        <f>_xlfn.NORM.DIST(0,INDEX($S$2:$S$11,I$1)-$S8,SQRT($S19+INDEX($S$13:$S$22,I$1)),TRUE)</f>
        <v>0.43740824681067147</v>
      </c>
      <c r="J101" s="3">
        <f>_xlfn.NORM.DIST(0,INDEX($S$2:$S$11,J$1)-$S8,SQRT($S19+INDEX($S$13:$S$22,J$1)),TRUE)</f>
        <v>0.25228633985692561</v>
      </c>
      <c r="K101" s="3">
        <f>_xlfn.NORM.DIST(0,INDEX($S$2:$S$11,K$1)-$S8,SQRT($S19+INDEX($S$13:$S$22,K$1)),TRUE)</f>
        <v>0.56445812075259727</v>
      </c>
      <c r="M101" s="3">
        <f>SUMPRODUCT(B101:K101,B88:K88)</f>
        <v>3.7944846959398107E-2</v>
      </c>
      <c r="N101" s="3">
        <f t="shared" si="69"/>
        <v>3.7760774473153812E-2</v>
      </c>
      <c r="O101" s="9">
        <f t="shared" si="70"/>
        <v>7.5705621432551912E-2</v>
      </c>
      <c r="Y101">
        <v>9</v>
      </c>
      <c r="Z101">
        <v>8</v>
      </c>
      <c r="AA101">
        <v>3</v>
      </c>
      <c r="AB101" t="str">
        <f t="shared" si="41"/>
        <v>perry-9</v>
      </c>
      <c r="AC101">
        <f t="shared" si="42"/>
        <v>63</v>
      </c>
      <c r="AD101" s="56" t="str">
        <f t="shared" si="43"/>
        <v/>
      </c>
    </row>
    <row r="102" spans="1:30" x14ac:dyDescent="0.25">
      <c r="A102" t="s">
        <v>23</v>
      </c>
      <c r="B102" s="3">
        <f t="shared" si="66"/>
        <v>0.39463224437204375</v>
      </c>
      <c r="C102" s="3">
        <f t="shared" si="71"/>
        <v>0.46945712468791756</v>
      </c>
      <c r="D102" s="3">
        <f t="shared" si="73"/>
        <v>0.36181138644921174</v>
      </c>
      <c r="E102" s="3">
        <f t="shared" si="75"/>
        <v>0.58311723038037955</v>
      </c>
      <c r="F102" s="3">
        <f>_xlfn.NORM.DIST(0,INDEX($S$2:$S$11,F$1)-$S9,SQRT($S20+INDEX($S$13:$S$22,F$1)),TRUE)</f>
        <v>0.51847314739041961</v>
      </c>
      <c r="G102" s="3">
        <f>_xlfn.NORM.DIST(0,INDEX($S$2:$S$11,G$1)-$S9,SQRT($S20+INDEX($S$13:$S$22,G$1)),TRUE)</f>
        <v>0.28329642450096526</v>
      </c>
      <c r="H102" s="3">
        <f>_xlfn.NORM.DIST(0,INDEX($S$2:$S$11,H$1)-$S9,SQRT($S20+INDEX($S$13:$S$22,H$1)),TRUE)</f>
        <v>0.56259175318932853</v>
      </c>
      <c r="I102" s="3"/>
      <c r="J102" s="3">
        <f>_xlfn.NORM.DIST(0,INDEX($S$2:$S$11,J$1)-$S9,SQRT($S20+INDEX($S$13:$S$22,J$1)),TRUE)</f>
        <v>0.30555119953555038</v>
      </c>
      <c r="K102" s="3">
        <f>_xlfn.NORM.DIST(0,INDEX($S$2:$S$11,K$1)-$S9,SQRT($S20+INDEX($S$13:$S$22,K$1)),TRUE)</f>
        <v>0.6234057604100135</v>
      </c>
      <c r="M102" s="3">
        <f t="shared" si="68"/>
        <v>3.3785100983156069E-2</v>
      </c>
      <c r="N102" s="3">
        <f t="shared" si="69"/>
        <v>3.7052162279332508E-2</v>
      </c>
      <c r="O102" s="9">
        <f t="shared" si="70"/>
        <v>7.083726326248857E-2</v>
      </c>
      <c r="Y102">
        <v>10</v>
      </c>
      <c r="Z102">
        <v>8</v>
      </c>
      <c r="AA102">
        <v>2</v>
      </c>
      <c r="AB102" t="str">
        <f t="shared" si="41"/>
        <v>perry-10</v>
      </c>
      <c r="AC102">
        <f t="shared" si="42"/>
        <v>63</v>
      </c>
      <c r="AD102" s="56" t="str">
        <f t="shared" si="43"/>
        <v/>
      </c>
    </row>
    <row r="103" spans="1:30" x14ac:dyDescent="0.25">
      <c r="A103" t="s">
        <v>49</v>
      </c>
      <c r="B103" s="3">
        <f t="shared" si="66"/>
        <v>0.60100263705316748</v>
      </c>
      <c r="C103" s="3">
        <f t="shared" si="71"/>
        <v>0.67571909259658369</v>
      </c>
      <c r="D103" s="3">
        <f t="shared" si="73"/>
        <v>0.57166603413563144</v>
      </c>
      <c r="E103" s="3">
        <f t="shared" si="75"/>
        <v>0.76210413359474072</v>
      </c>
      <c r="F103" s="3">
        <f>_xlfn.NORM.DIST(0,INDEX($S$2:$S$11,F$1)-$S10,SQRT($S21+INDEX($S$13:$S$22,F$1)),TRUE)</f>
        <v>0.7135997272746134</v>
      </c>
      <c r="G103" s="3">
        <f>_xlfn.NORM.DIST(0,INDEX($S$2:$S$11,G$1)-$S10,SQRT($S21+INDEX($S$13:$S$22,G$1)),TRUE)</f>
        <v>0.48885684211911407</v>
      </c>
      <c r="H103" s="3">
        <f>_xlfn.NORM.DIST(0,INDEX($S$2:$S$11,H$1)-$S10,SQRT($S21+INDEX($S$13:$S$22,H$1)),TRUE)</f>
        <v>0.74771366014307439</v>
      </c>
      <c r="I103" s="3">
        <f>_xlfn.NORM.DIST(0,INDEX($S$2:$S$11,I$1)-$S10,SQRT($S21+INDEX($S$13:$S$22,I$1)),TRUE)</f>
        <v>0.69444880046444957</v>
      </c>
      <c r="J103" s="3"/>
      <c r="K103" s="3">
        <f>_xlfn.NORM.DIST(0,INDEX($S$2:$S$11,K$1)-$S10,SQRT($S21+INDEX($S$13:$S$22,K$1)),TRUE)</f>
        <v>0.79157593474906451</v>
      </c>
      <c r="M103" s="3">
        <f t="shared" si="68"/>
        <v>0.25525075506943723</v>
      </c>
      <c r="N103" s="3">
        <f t="shared" si="69"/>
        <v>0.21376061432639606</v>
      </c>
      <c r="O103" s="9">
        <f t="shared" si="70"/>
        <v>0.46901136939583332</v>
      </c>
      <c r="Y103">
        <v>11</v>
      </c>
      <c r="Z103">
        <v>8</v>
      </c>
      <c r="AA103">
        <v>7</v>
      </c>
      <c r="AB103" t="str">
        <f t="shared" si="41"/>
        <v>perry-11</v>
      </c>
      <c r="AC103">
        <f t="shared" si="42"/>
        <v>63</v>
      </c>
      <c r="AD103" s="56" t="str">
        <f t="shared" si="43"/>
        <v/>
      </c>
    </row>
    <row r="104" spans="1:30" x14ac:dyDescent="0.25">
      <c r="A104" t="s">
        <v>44</v>
      </c>
      <c r="B104" s="3">
        <f t="shared" si="66"/>
        <v>0.27877049655193686</v>
      </c>
      <c r="C104" s="3">
        <f t="shared" si="71"/>
        <v>0.34164927414774482</v>
      </c>
      <c r="D104" s="3">
        <f t="shared" si="73"/>
        <v>0.24850419839288074</v>
      </c>
      <c r="E104" s="3">
        <f t="shared" si="75"/>
        <v>0.45773779004690651</v>
      </c>
      <c r="F104" s="3">
        <f>_xlfn.NORM.DIST(0,INDEX($S$2:$S$11,F$1)-$S11,SQRT($S22+INDEX($S$13:$S$22,F$1)),TRUE)</f>
        <v>0.3910320168644324</v>
      </c>
      <c r="G104" s="3">
        <f>_xlfn.NORM.DIST(0,INDEX($S$2:$S$11,G$1)-$S11,SQRT($S22+INDEX($S$13:$S$22,G$1)),TRUE)</f>
        <v>0.18356420388335801</v>
      </c>
      <c r="H104" s="3">
        <f>_xlfn.NORM.DIST(0,INDEX($S$2:$S$11,H$1)-$S11,SQRT($S22+INDEX($S$13:$S$22,H$1)),TRUE)</f>
        <v>0.43554187924740273</v>
      </c>
      <c r="I104" s="3">
        <f>_xlfn.NORM.DIST(0,INDEX($S$2:$S$11,I$1)-$S11,SQRT($S22+INDEX($S$13:$S$22,I$1)),TRUE)</f>
        <v>0.3765942395899865</v>
      </c>
      <c r="J104" s="3">
        <f>_xlfn.NORM.DIST(0,INDEX($S$2:$S$11,J$1)-$S11,SQRT($S22+INDEX($S$13:$S$22,J$1)),TRUE)</f>
        <v>0.20842406525093549</v>
      </c>
      <c r="K104" s="3"/>
      <c r="M104" s="3">
        <f>SUMPRODUCT(B104:K104,B91:K91)</f>
        <v>2.4964244095175537E-3</v>
      </c>
      <c r="N104" s="3">
        <f t="shared" si="69"/>
        <v>1.803276223810907E-3</v>
      </c>
      <c r="O104" s="9">
        <f t="shared" si="70"/>
        <v>4.2997006333284609E-3</v>
      </c>
      <c r="Y104">
        <v>12</v>
      </c>
      <c r="Z104">
        <v>8</v>
      </c>
      <c r="AA104">
        <v>1</v>
      </c>
      <c r="AB104" t="str">
        <f t="shared" si="41"/>
        <v>perry-12</v>
      </c>
      <c r="AC104">
        <f t="shared" si="42"/>
        <v>63</v>
      </c>
      <c r="AD104" s="56" t="str">
        <f t="shared" si="43"/>
        <v/>
      </c>
    </row>
    <row r="105" spans="1:30" x14ac:dyDescent="0.25">
      <c r="Y105">
        <v>13</v>
      </c>
      <c r="Z105">
        <v>8</v>
      </c>
      <c r="AA105">
        <v>4</v>
      </c>
      <c r="AB105" t="str">
        <f t="shared" si="41"/>
        <v>perry-13</v>
      </c>
      <c r="AC105">
        <f t="shared" si="42"/>
        <v>63</v>
      </c>
      <c r="AD105" s="56" t="str">
        <f t="shared" si="43"/>
        <v/>
      </c>
    </row>
    <row r="106" spans="1:30" x14ac:dyDescent="0.25">
      <c r="A106" t="s">
        <v>610</v>
      </c>
      <c r="Y106">
        <v>1</v>
      </c>
      <c r="Z106">
        <v>9</v>
      </c>
      <c r="AA106">
        <v>6</v>
      </c>
      <c r="AB106" t="str">
        <f t="shared" si="41"/>
        <v>matty-1</v>
      </c>
      <c r="AC106">
        <f t="shared" si="42"/>
        <v>63</v>
      </c>
      <c r="AD106" s="56">
        <f t="shared" si="43"/>
        <v>1</v>
      </c>
    </row>
    <row r="107" spans="1:30" x14ac:dyDescent="0.25">
      <c r="B107" t="s">
        <v>20</v>
      </c>
      <c r="C107" t="s">
        <v>16</v>
      </c>
      <c r="D107" t="s">
        <v>55</v>
      </c>
      <c r="E107" t="s">
        <v>35</v>
      </c>
      <c r="F107" t="s">
        <v>27</v>
      </c>
      <c r="G107" t="s">
        <v>62</v>
      </c>
      <c r="H107" t="s">
        <v>40</v>
      </c>
      <c r="I107" t="s">
        <v>23</v>
      </c>
      <c r="J107" t="s">
        <v>49</v>
      </c>
      <c r="K107" t="s">
        <v>44</v>
      </c>
      <c r="Y107">
        <v>2</v>
      </c>
      <c r="Z107">
        <v>9</v>
      </c>
      <c r="AA107">
        <v>10</v>
      </c>
      <c r="AB107" t="str">
        <f t="shared" si="41"/>
        <v>matty-2</v>
      </c>
      <c r="AC107">
        <f t="shared" si="42"/>
        <v>64</v>
      </c>
      <c r="AD107" s="56">
        <f t="shared" si="43"/>
        <v>1</v>
      </c>
    </row>
    <row r="108" spans="1:30" x14ac:dyDescent="0.25">
      <c r="A108" t="s">
        <v>20</v>
      </c>
      <c r="B108" s="3"/>
      <c r="C108" s="3">
        <f t="shared" ref="C108:K108" si="76">(($M95*INDEX($N$95:$N$104,C$1))+($N95*INDEX($M$95:$M$104,C$1)))/(1-SUMPRODUCT($M$95:$M$104,$N$95:$N$104))</f>
        <v>4.0115362566720443E-2</v>
      </c>
      <c r="D108" s="3">
        <f t="shared" si="76"/>
        <v>5.709787581473208E-2</v>
      </c>
      <c r="E108" s="3">
        <f t="shared" si="76"/>
        <v>3.6219206434544918E-3</v>
      </c>
      <c r="F108" s="3">
        <f t="shared" si="76"/>
        <v>7.7322409546166527E-3</v>
      </c>
      <c r="G108" s="3">
        <f t="shared" si="76"/>
        <v>6.0912141074970359E-2</v>
      </c>
      <c r="H108" s="3">
        <f t="shared" si="76"/>
        <v>1.1364276643625063E-2</v>
      </c>
      <c r="I108" s="3">
        <f t="shared" si="76"/>
        <v>1.0577946834650999E-2</v>
      </c>
      <c r="J108" s="3">
        <f t="shared" si="76"/>
        <v>7.1055473370583613E-2</v>
      </c>
      <c r="K108" s="3">
        <f t="shared" si="76"/>
        <v>6.5645741610089803E-4</v>
      </c>
      <c r="Y108">
        <v>3</v>
      </c>
      <c r="Z108">
        <v>9</v>
      </c>
      <c r="AA108">
        <v>5</v>
      </c>
      <c r="AB108" t="str">
        <f t="shared" si="41"/>
        <v>matty-3</v>
      </c>
      <c r="AC108">
        <f t="shared" si="42"/>
        <v>64</v>
      </c>
      <c r="AD108" s="56" t="str">
        <f t="shared" si="43"/>
        <v/>
      </c>
    </row>
    <row r="109" spans="1:30" x14ac:dyDescent="0.25">
      <c r="A109" t="s">
        <v>16</v>
      </c>
      <c r="B109" s="3">
        <f t="shared" ref="B109:B117" si="77">(($M96*INDEX($N$95:$N$104,B$1))+($N96*INDEX($M$95:$M$104,B$1)))/(1-SUMPRODUCT($M$95:$M$104,$N$95:$N$104))</f>
        <v>4.0115362566720443E-2</v>
      </c>
      <c r="C109" s="3"/>
      <c r="D109" s="3">
        <f t="shared" ref="D109:K109" si="78">(($M96*INDEX($N$95:$N$104,D$1))+($N96*INDEX($M$95:$M$104,D$1)))/(1-SUMPRODUCT($M$95:$M$104,$N$95:$N$104))</f>
        <v>6.0833316805025205E-2</v>
      </c>
      <c r="E109" s="3">
        <f t="shared" si="78"/>
        <v>3.8680584643192048E-3</v>
      </c>
      <c r="F109" s="3">
        <f t="shared" si="78"/>
        <v>8.2336561362500137E-3</v>
      </c>
      <c r="G109" s="3">
        <f t="shared" si="78"/>
        <v>6.5814255243152514E-2</v>
      </c>
      <c r="H109" s="3">
        <f t="shared" si="78"/>
        <v>1.2162528233930665E-2</v>
      </c>
      <c r="I109" s="3">
        <f t="shared" si="78"/>
        <v>1.1384242972361708E-2</v>
      </c>
      <c r="J109" s="3">
        <f t="shared" si="78"/>
        <v>7.5304187566650568E-2</v>
      </c>
      <c r="K109" s="3">
        <f t="shared" si="78"/>
        <v>6.9000784247374189E-4</v>
      </c>
      <c r="Y109">
        <v>4</v>
      </c>
      <c r="Z109">
        <v>9</v>
      </c>
      <c r="AA109">
        <v>7</v>
      </c>
      <c r="AB109" t="str">
        <f t="shared" si="41"/>
        <v>matty-4</v>
      </c>
      <c r="AC109">
        <f t="shared" si="42"/>
        <v>64</v>
      </c>
      <c r="AD109" s="56" t="str">
        <f t="shared" si="43"/>
        <v/>
      </c>
    </row>
    <row r="110" spans="1:30" x14ac:dyDescent="0.25">
      <c r="A110" t="s">
        <v>55</v>
      </c>
      <c r="B110" s="3">
        <f t="shared" si="77"/>
        <v>5.709787581473208E-2</v>
      </c>
      <c r="C110" s="3">
        <f t="shared" ref="C110:C117" si="79">(($M97*INDEX($N$95:$N$104,C$1))+($N97*INDEX($M$95:$M$104,C$1)))/(1-SUMPRODUCT($M$95:$M$104,$N$95:$N$104))</f>
        <v>6.0833316805025205E-2</v>
      </c>
      <c r="D110" s="3"/>
      <c r="E110" s="3">
        <f t="shared" ref="E110:K110" si="80">(($M97*INDEX($N$95:$N$104,E$1))+($N97*INDEX($M$95:$M$104,E$1)))/(1-SUMPRODUCT($M$95:$M$104,$N$95:$N$104))</f>
        <v>5.4808970682460332E-3</v>
      </c>
      <c r="F110" s="3">
        <f t="shared" si="80"/>
        <v>1.1656351598788575E-2</v>
      </c>
      <c r="G110" s="3">
        <f t="shared" si="80"/>
        <v>9.3587355900724173E-2</v>
      </c>
      <c r="H110" s="3">
        <f t="shared" si="80"/>
        <v>1.7245122569297777E-2</v>
      </c>
      <c r="I110" s="3">
        <f t="shared" si="80"/>
        <v>1.6169001961965242E-2</v>
      </c>
      <c r="J110" s="3">
        <f t="shared" si="80"/>
        <v>0.10645154640230664</v>
      </c>
      <c r="K110" s="3">
        <f t="shared" si="80"/>
        <v>9.7291571741623577E-4</v>
      </c>
      <c r="Y110">
        <v>5</v>
      </c>
      <c r="Z110">
        <v>9</v>
      </c>
      <c r="AA110">
        <v>3</v>
      </c>
      <c r="AB110" t="str">
        <f t="shared" si="41"/>
        <v>matty-5</v>
      </c>
      <c r="AC110">
        <f t="shared" si="42"/>
        <v>64</v>
      </c>
      <c r="AD110" s="56" t="str">
        <f t="shared" si="43"/>
        <v/>
      </c>
    </row>
    <row r="111" spans="1:30" x14ac:dyDescent="0.25">
      <c r="A111" t="s">
        <v>35</v>
      </c>
      <c r="B111" s="3">
        <f t="shared" si="77"/>
        <v>3.6219206434544918E-3</v>
      </c>
      <c r="C111" s="3">
        <f t="shared" si="79"/>
        <v>3.8680584643192048E-3</v>
      </c>
      <c r="D111" s="3">
        <f t="shared" ref="D111:D117" si="81">(($M98*INDEX($N$95:$N$104,D$1))+($N98*INDEX($M$95:$M$104,D$1)))/(1-SUMPRODUCT($M$95:$M$104,$N$95:$N$104))</f>
        <v>5.4808970682460332E-3</v>
      </c>
      <c r="E111" s="3"/>
      <c r="F111" s="3">
        <f t="shared" ref="F111:K111" si="82">(($M98*INDEX($N$95:$N$104,F$1))+($N98*INDEX($M$95:$M$104,F$1)))/(1-SUMPRODUCT($M$95:$M$104,$N$95:$N$104))</f>
        <v>7.4177771015946064E-4</v>
      </c>
      <c r="G111" s="3">
        <f t="shared" si="82"/>
        <v>5.9399274058999319E-3</v>
      </c>
      <c r="H111" s="3">
        <f t="shared" si="82"/>
        <v>1.0964198606729909E-3</v>
      </c>
      <c r="I111" s="3">
        <f t="shared" si="82"/>
        <v>1.0269643982108499E-3</v>
      </c>
      <c r="J111" s="3">
        <f t="shared" si="82"/>
        <v>6.7802041089256686E-3</v>
      </c>
      <c r="K111" s="3">
        <f t="shared" si="82"/>
        <v>6.2062466421168808E-5</v>
      </c>
      <c r="Y111">
        <v>6</v>
      </c>
      <c r="Z111">
        <v>9</v>
      </c>
      <c r="AA111">
        <v>8</v>
      </c>
      <c r="AB111" t="str">
        <f t="shared" si="41"/>
        <v>matty-6</v>
      </c>
      <c r="AC111">
        <f t="shared" si="42"/>
        <v>64</v>
      </c>
      <c r="AD111" s="56">
        <f t="shared" si="43"/>
        <v>0.48858253318587697</v>
      </c>
    </row>
    <row r="112" spans="1:30" x14ac:dyDescent="0.25">
      <c r="A112" t="s">
        <v>27</v>
      </c>
      <c r="B112" s="3">
        <f t="shared" si="77"/>
        <v>7.7322409546166527E-3</v>
      </c>
      <c r="C112" s="3">
        <f t="shared" si="79"/>
        <v>8.2336561362500137E-3</v>
      </c>
      <c r="D112" s="3">
        <f t="shared" si="81"/>
        <v>1.1656351598788575E-2</v>
      </c>
      <c r="E112" s="3">
        <f t="shared" ref="E112:E117" si="83">(($M99*INDEX($N$95:$N$104,E$1))+($N99*INDEX($M$95:$M$104,E$1)))/(1-SUMPRODUCT($M$95:$M$104,$N$95:$N$104))</f>
        <v>7.4177771015946064E-4</v>
      </c>
      <c r="F112" s="3"/>
      <c r="G112" s="3">
        <f>(($M99*INDEX($N$95:$N$104,G$1))+($N99*INDEX($M$95:$M$104,G$1)))/(1-SUMPRODUCT($M$95:$M$104,$N$95:$N$104))</f>
        <v>1.2672056528234762E-2</v>
      </c>
      <c r="H112" s="3">
        <f>(($M99*INDEX($N$95:$N$104,H$1))+($N99*INDEX($M$95:$M$104,H$1)))/(1-SUMPRODUCT($M$95:$M$104,$N$95:$N$104))</f>
        <v>2.3341395118502621E-3</v>
      </c>
      <c r="I112" s="3">
        <f>(($M99*INDEX($N$95:$N$104,I$1))+($N99*INDEX($M$95:$M$104,I$1)))/(1-SUMPRODUCT($M$95:$M$104,$N$95:$N$104))</f>
        <v>2.1889873589770069E-3</v>
      </c>
      <c r="J112" s="3">
        <f>(($M99*INDEX($N$95:$N$104,J$1))+($N99*INDEX($M$95:$M$104,J$1)))/(1-SUMPRODUCT($M$95:$M$104,$N$95:$N$104))</f>
        <v>1.4402407989624723E-2</v>
      </c>
      <c r="K112" s="3">
        <f>(($M99*INDEX($N$95:$N$104,K$1))+($N99*INDEX($M$95:$M$104,K$1)))/(1-SUMPRODUCT($M$95:$M$104,$N$95:$N$104))</f>
        <v>1.3158527614733965E-4</v>
      </c>
      <c r="Y112">
        <v>7</v>
      </c>
      <c r="Z112">
        <v>9</v>
      </c>
      <c r="AA112">
        <v>1</v>
      </c>
      <c r="AB112" t="str">
        <f t="shared" si="41"/>
        <v>matty-7</v>
      </c>
      <c r="AC112">
        <f t="shared" si="42"/>
        <v>64</v>
      </c>
      <c r="AD112" s="56">
        <f t="shared" si="43"/>
        <v>0.66933640356012125</v>
      </c>
    </row>
    <row r="113" spans="1:30" x14ac:dyDescent="0.25">
      <c r="A113" t="s">
        <v>62</v>
      </c>
      <c r="B113" s="3">
        <f t="shared" si="77"/>
        <v>6.0912141074970359E-2</v>
      </c>
      <c r="C113" s="3">
        <f t="shared" si="79"/>
        <v>6.5814255243152514E-2</v>
      </c>
      <c r="D113" s="3">
        <f t="shared" si="81"/>
        <v>9.3587355900724173E-2</v>
      </c>
      <c r="E113" s="3">
        <f t="shared" si="83"/>
        <v>5.9399274058999319E-3</v>
      </c>
      <c r="F113" s="3">
        <f>(($M100*INDEX($N$95:$N$104,F$1))+($N100*INDEX($M$95:$M$104,F$1)))/(1-SUMPRODUCT($M$95:$M$104,$N$95:$N$104))</f>
        <v>1.2672056528234762E-2</v>
      </c>
      <c r="G113" s="3"/>
      <c r="H113" s="3">
        <f>(($M100*INDEX($N$95:$N$104,H$1))+($N100*INDEX($M$95:$M$104,H$1)))/(1-SUMPRODUCT($M$95:$M$104,$N$95:$N$104))</f>
        <v>1.8646810169575458E-2</v>
      </c>
      <c r="I113" s="3">
        <f>(($M100*INDEX($N$95:$N$104,I$1))+($N100*INDEX($M$95:$M$104,I$1)))/(1-SUMPRODUCT($M$95:$M$104,$N$95:$N$104))</f>
        <v>1.7379654778392314E-2</v>
      </c>
      <c r="J113" s="3">
        <f>(($M100*INDEX($N$95:$N$104,J$1))+($N100*INDEX($M$95:$M$104,J$1)))/(1-SUMPRODUCT($M$95:$M$104,$N$95:$N$104))</f>
        <v>0.11631900469685866</v>
      </c>
      <c r="K113" s="3">
        <f>(($M100*INDEX($N$95:$N$104,K$1))+($N100*INDEX($M$95:$M$104,K$1)))/(1-SUMPRODUCT($M$95:$M$104,$N$95:$N$104))</f>
        <v>1.0725524741934582E-3</v>
      </c>
      <c r="Y113">
        <v>8</v>
      </c>
      <c r="Z113">
        <v>9</v>
      </c>
      <c r="AA113">
        <v>2</v>
      </c>
      <c r="AB113" t="str">
        <f t="shared" si="41"/>
        <v>matty-8</v>
      </c>
      <c r="AC113">
        <f t="shared" si="42"/>
        <v>64</v>
      </c>
      <c r="AD113" s="56" t="str">
        <f t="shared" si="43"/>
        <v/>
      </c>
    </row>
    <row r="114" spans="1:30" x14ac:dyDescent="0.25">
      <c r="A114" t="s">
        <v>1648</v>
      </c>
      <c r="B114" s="3">
        <f t="shared" si="77"/>
        <v>1.1364276643625063E-2</v>
      </c>
      <c r="C114" s="3">
        <f t="shared" si="79"/>
        <v>1.2162528233930665E-2</v>
      </c>
      <c r="D114" s="3">
        <f t="shared" si="81"/>
        <v>1.7245122569297777E-2</v>
      </c>
      <c r="E114" s="3">
        <f t="shared" si="83"/>
        <v>1.0964198606729909E-3</v>
      </c>
      <c r="F114" s="3">
        <f>(($M101*INDEX($N$95:$N$104,F$1))+($N101*INDEX($M$95:$M$104,F$1)))/(1-SUMPRODUCT($M$95:$M$104,$N$95:$N$104))</f>
        <v>2.3341395118502621E-3</v>
      </c>
      <c r="G114" s="3">
        <f>(($M101*INDEX($N$95:$N$104,G$1))+($N101*INDEX($M$95:$M$104,G$1)))/(1-SUMPRODUCT($M$95:$M$104,$N$95:$N$104))</f>
        <v>1.8646810169575458E-2</v>
      </c>
      <c r="H114" s="3"/>
      <c r="I114" s="3">
        <f>(($M101*INDEX($N$95:$N$104,I$1))+($N101*INDEX($M$95:$M$104,I$1)))/(1-SUMPRODUCT($M$95:$M$104,$N$95:$N$104))</f>
        <v>3.2259374102857818E-3</v>
      </c>
      <c r="J114" s="3">
        <f>(($M101*INDEX($N$95:$N$104,J$1))+($N101*INDEX($M$95:$M$104,J$1)))/(1-SUMPRODUCT($M$95:$M$104,$N$95:$N$104))</f>
        <v>2.1351845186310298E-2</v>
      </c>
      <c r="K114" s="3">
        <f>(($M101*INDEX($N$95:$N$104,K$1))+($N101*INDEX($M$95:$M$104,K$1)))/(1-SUMPRODUCT($M$95:$M$104,$N$95:$N$104))</f>
        <v>1.9571018202930391E-4</v>
      </c>
      <c r="Y114">
        <v>9</v>
      </c>
      <c r="Z114">
        <v>9</v>
      </c>
      <c r="AA114">
        <v>6</v>
      </c>
      <c r="AB114" t="str">
        <f t="shared" si="41"/>
        <v>matty-9</v>
      </c>
      <c r="AC114">
        <f t="shared" si="42"/>
        <v>64</v>
      </c>
      <c r="AD114" s="56">
        <f t="shared" si="43"/>
        <v>0.31750453068780599</v>
      </c>
    </row>
    <row r="115" spans="1:30" x14ac:dyDescent="0.25">
      <c r="A115" t="s">
        <v>23</v>
      </c>
      <c r="B115" s="3">
        <f t="shared" si="77"/>
        <v>1.0577946834650999E-2</v>
      </c>
      <c r="C115" s="3">
        <f t="shared" si="79"/>
        <v>1.1384242972361708E-2</v>
      </c>
      <c r="D115" s="3">
        <f t="shared" si="81"/>
        <v>1.6169001961965242E-2</v>
      </c>
      <c r="E115" s="3">
        <f t="shared" si="83"/>
        <v>1.0269643982108499E-3</v>
      </c>
      <c r="F115" s="3">
        <f>(($M102*INDEX($N$95:$N$104,F$1))+($N102*INDEX($M$95:$M$104,F$1)))/(1-SUMPRODUCT($M$95:$M$104,$N$95:$N$104))</f>
        <v>2.1889873589770069E-3</v>
      </c>
      <c r="G115" s="3">
        <f>(($M102*INDEX($N$95:$N$104,G$1))+($N102*INDEX($M$95:$M$104,G$1)))/(1-SUMPRODUCT($M$95:$M$104,$N$95:$N$104))</f>
        <v>1.7379654778392314E-2</v>
      </c>
      <c r="H115" s="3">
        <f>(($M102*INDEX($N$95:$N$104,H$1))+($N102*INDEX($M$95:$M$104,H$1)))/(1-SUMPRODUCT($M$95:$M$104,$N$95:$N$104))</f>
        <v>3.2259374102857818E-3</v>
      </c>
      <c r="I115" s="3"/>
      <c r="J115" s="3">
        <f>(($M102*INDEX($N$95:$N$104,J$1))+($N102*INDEX($M$95:$M$104,J$1)))/(1-SUMPRODUCT($M$95:$M$104,$N$95:$N$104))</f>
        <v>2.0064612842541404E-2</v>
      </c>
      <c r="K115" s="3">
        <f>(($M102*INDEX($N$95:$N$104,K$1))+($N102*INDEX($M$95:$M$104,K$1)))/(1-SUMPRODUCT($M$95:$M$104,$N$95:$N$104))</f>
        <v>1.8455863998382261E-4</v>
      </c>
      <c r="Y115">
        <v>10</v>
      </c>
      <c r="Z115">
        <v>9</v>
      </c>
      <c r="AA115">
        <v>10</v>
      </c>
      <c r="AB115" t="str">
        <f t="shared" si="41"/>
        <v>matty-10</v>
      </c>
      <c r="AC115">
        <f t="shared" si="42"/>
        <v>65</v>
      </c>
      <c r="AD115" s="56">
        <f t="shared" si="43"/>
        <v>0.71388179916016403</v>
      </c>
    </row>
    <row r="116" spans="1:30" x14ac:dyDescent="0.25">
      <c r="A116" t="s">
        <v>49</v>
      </c>
      <c r="B116" s="3">
        <f t="shared" si="77"/>
        <v>7.1055473370583613E-2</v>
      </c>
      <c r="C116" s="3">
        <f t="shared" si="79"/>
        <v>7.5304187566650568E-2</v>
      </c>
      <c r="D116" s="3">
        <f t="shared" si="81"/>
        <v>0.10645154640230664</v>
      </c>
      <c r="E116" s="3">
        <f t="shared" si="83"/>
        <v>6.7802041089256686E-3</v>
      </c>
      <c r="F116" s="3">
        <f>(($M103*INDEX($N$95:$N$104,F$1))+($N103*INDEX($M$95:$M$104,F$1)))/(1-SUMPRODUCT($M$95:$M$104,$N$95:$N$104))</f>
        <v>1.4402407989624723E-2</v>
      </c>
      <c r="G116" s="3">
        <f>(($M103*INDEX($N$95:$N$104,G$1))+($N103*INDEX($M$95:$M$104,G$1)))/(1-SUMPRODUCT($M$95:$M$104,$N$95:$N$104))</f>
        <v>0.11631900469685866</v>
      </c>
      <c r="H116" s="3">
        <f>(($M103*INDEX($N$95:$N$104,H$1))+($N103*INDEX($M$95:$M$104,H$1)))/(1-SUMPRODUCT($M$95:$M$104,$N$95:$N$104))</f>
        <v>2.1351845186310298E-2</v>
      </c>
      <c r="I116" s="3">
        <f>(($M103*INDEX($N$95:$N$104,I$1))+($N103*INDEX($M$95:$M$104,I$1)))/(1-SUMPRODUCT($M$95:$M$104,$N$95:$N$104))</f>
        <v>2.0064612842541404E-2</v>
      </c>
      <c r="J116" s="3"/>
      <c r="K116" s="3">
        <f>(($M103*INDEX($N$95:$N$104,K$1))+($N103*INDEX($M$95:$M$104,K$1)))/(1-SUMPRODUCT($M$95:$M$104,$N$95:$N$104))</f>
        <v>1.1956412023417088E-3</v>
      </c>
      <c r="Y116">
        <v>11</v>
      </c>
      <c r="Z116">
        <v>9</v>
      </c>
      <c r="AA116">
        <v>5</v>
      </c>
      <c r="AB116" t="str">
        <f t="shared" si="41"/>
        <v>matty-11</v>
      </c>
      <c r="AC116">
        <f t="shared" si="42"/>
        <v>65</v>
      </c>
      <c r="AD116" s="56" t="str">
        <f t="shared" si="43"/>
        <v/>
      </c>
    </row>
    <row r="117" spans="1:30" x14ac:dyDescent="0.25">
      <c r="A117" t="s">
        <v>44</v>
      </c>
      <c r="B117" s="3">
        <f t="shared" si="77"/>
        <v>6.5645741610089803E-4</v>
      </c>
      <c r="C117" s="3">
        <f t="shared" si="79"/>
        <v>6.9000784247374189E-4</v>
      </c>
      <c r="D117" s="3">
        <f t="shared" si="81"/>
        <v>9.7291571741623577E-4</v>
      </c>
      <c r="E117" s="3">
        <f t="shared" si="83"/>
        <v>6.2062466421168808E-5</v>
      </c>
      <c r="F117" s="3">
        <f>(($M104*INDEX($N$95:$N$104,F$1))+($N104*INDEX($M$95:$M$104,F$1)))/(1-SUMPRODUCT($M$95:$M$104,$N$95:$N$104))</f>
        <v>1.3158527614733965E-4</v>
      </c>
      <c r="G117" s="3">
        <f>(($M104*INDEX($N$95:$N$104,G$1))+($N104*INDEX($M$95:$M$104,G$1)))/(1-SUMPRODUCT($M$95:$M$104,$N$95:$N$104))</f>
        <v>1.0725524741934582E-3</v>
      </c>
      <c r="H117" s="3">
        <f>(($M104*INDEX($N$95:$N$104,H$1))+($N104*INDEX($M$95:$M$104,H$1)))/(1-SUMPRODUCT($M$95:$M$104,$N$95:$N$104))</f>
        <v>1.9571018202930391E-4</v>
      </c>
      <c r="I117" s="3">
        <f>(($M104*INDEX($N$95:$N$104,I$1))+($N104*INDEX($M$95:$M$104,I$1)))/(1-SUMPRODUCT($M$95:$M$104,$N$95:$N$104))</f>
        <v>1.8455863998382261E-4</v>
      </c>
      <c r="J117" s="3">
        <f>(($M104*INDEX($N$95:$N$104,J$1))+($N104*INDEX($M$95:$M$104,J$1)))/(1-SUMPRODUCT($M$95:$M$104,$N$95:$N$104))</f>
        <v>1.1956412023417088E-3</v>
      </c>
      <c r="K117" s="3"/>
      <c r="Y117">
        <v>12</v>
      </c>
      <c r="Z117">
        <v>9</v>
      </c>
      <c r="AA117">
        <v>4</v>
      </c>
      <c r="AB117" t="str">
        <f t="shared" si="41"/>
        <v>matty-12</v>
      </c>
      <c r="AC117">
        <f t="shared" si="42"/>
        <v>65</v>
      </c>
      <c r="AD117" s="56">
        <f t="shared" si="43"/>
        <v>0.49311399348135454</v>
      </c>
    </row>
    <row r="118" spans="1:30" x14ac:dyDescent="0.25">
      <c r="B118" s="3"/>
      <c r="C118" s="3"/>
      <c r="D118" s="3"/>
      <c r="E118" s="3"/>
      <c r="F118" s="3"/>
      <c r="G118" s="3"/>
      <c r="H118" s="3"/>
      <c r="I118" s="3"/>
      <c r="J118" s="3"/>
      <c r="K118" s="3"/>
      <c r="Y118">
        <v>13</v>
      </c>
      <c r="Z118">
        <v>9</v>
      </c>
      <c r="AA118">
        <v>3</v>
      </c>
      <c r="AB118" t="str">
        <f t="shared" si="41"/>
        <v>matty-13</v>
      </c>
      <c r="AC118">
        <f t="shared" si="42"/>
        <v>65</v>
      </c>
      <c r="AD118" s="56" t="str">
        <f t="shared" si="43"/>
        <v/>
      </c>
    </row>
    <row r="119" spans="1:30" x14ac:dyDescent="0.25">
      <c r="A119" t="s">
        <v>611</v>
      </c>
      <c r="Y119">
        <v>1</v>
      </c>
      <c r="Z119">
        <v>10</v>
      </c>
      <c r="AA119">
        <v>5</v>
      </c>
      <c r="AB119" t="str">
        <f t="shared" si="41"/>
        <v>seth-1</v>
      </c>
      <c r="AC119">
        <f t="shared" si="42"/>
        <v>65</v>
      </c>
      <c r="AD119" s="56" t="str">
        <f t="shared" si="43"/>
        <v/>
      </c>
    </row>
    <row r="120" spans="1:30" x14ac:dyDescent="0.25">
      <c r="B120" t="s">
        <v>20</v>
      </c>
      <c r="C120" t="s">
        <v>16</v>
      </c>
      <c r="D120" t="s">
        <v>55</v>
      </c>
      <c r="E120" t="s">
        <v>35</v>
      </c>
      <c r="F120" t="s">
        <v>27</v>
      </c>
      <c r="G120" t="s">
        <v>62</v>
      </c>
      <c r="H120" t="s">
        <v>40</v>
      </c>
      <c r="I120" t="s">
        <v>23</v>
      </c>
      <c r="J120" t="s">
        <v>49</v>
      </c>
      <c r="K120" t="s">
        <v>44</v>
      </c>
      <c r="M120" t="s">
        <v>612</v>
      </c>
      <c r="Y120">
        <v>2</v>
      </c>
      <c r="Z120">
        <v>10</v>
      </c>
      <c r="AA120">
        <v>9</v>
      </c>
      <c r="AB120" t="str">
        <f t="shared" si="41"/>
        <v>seth-2</v>
      </c>
      <c r="AC120">
        <f t="shared" si="42"/>
        <v>65</v>
      </c>
      <c r="AD120" s="56" t="str">
        <f t="shared" si="43"/>
        <v/>
      </c>
    </row>
    <row r="121" spans="1:30" x14ac:dyDescent="0.25">
      <c r="A121" t="s">
        <v>20</v>
      </c>
      <c r="B121" s="3"/>
      <c r="C121" s="3">
        <f t="shared" ref="C121:K121" si="84">_xlfn.NORM.DIST(0,INDEX($S$2:$S$11,C$1)-$S2,SQRT($S13+INDEX($S$13:$S$22,C$1)),TRUE)</f>
        <v>0.58017554908037705</v>
      </c>
      <c r="D121" s="3">
        <f t="shared" si="84"/>
        <v>0.46702180356809464</v>
      </c>
      <c r="E121" s="3">
        <f t="shared" si="84"/>
        <v>0.6849167541717065</v>
      </c>
      <c r="F121" s="3">
        <f t="shared" si="84"/>
        <v>0.62581555365273567</v>
      </c>
      <c r="G121" s="3">
        <f t="shared" si="84"/>
        <v>0.38109290210445945</v>
      </c>
      <c r="H121" s="3">
        <f t="shared" si="84"/>
        <v>0.6668796365293902</v>
      </c>
      <c r="I121" s="3">
        <f t="shared" si="84"/>
        <v>0.60536775562795619</v>
      </c>
      <c r="J121" s="3">
        <f t="shared" si="84"/>
        <v>0.39899736294683252</v>
      </c>
      <c r="K121" s="3">
        <f t="shared" si="84"/>
        <v>0.72122950344806314</v>
      </c>
      <c r="M121" s="3">
        <f>SUMPRODUCT(B108:K108,B121:K121)</f>
        <v>0.12327931641325317</v>
      </c>
      <c r="N121">
        <f>_xlfn.RANK.AVG(M121,$M$121:$M$130,0)</f>
        <v>4</v>
      </c>
      <c r="Y121">
        <v>3</v>
      </c>
      <c r="Z121">
        <v>10</v>
      </c>
      <c r="AA121">
        <v>3</v>
      </c>
      <c r="AB121" t="str">
        <f t="shared" si="41"/>
        <v>seth-3</v>
      </c>
      <c r="AC121">
        <f t="shared" si="42"/>
        <v>65</v>
      </c>
      <c r="AD121" s="56" t="str">
        <f t="shared" si="43"/>
        <v/>
      </c>
    </row>
    <row r="122" spans="1:30" x14ac:dyDescent="0.25">
      <c r="A122" t="s">
        <v>16</v>
      </c>
      <c r="B122" s="3">
        <f t="shared" ref="B122:B130" si="85">_xlfn.NORM.DIST(0,INDEX($S$2:$S$11,B$1)-$S3,SQRT($S14+INDEX($S$13:$S$22,B$1)),TRUE)</f>
        <v>0.41982445091962295</v>
      </c>
      <c r="C122" s="3"/>
      <c r="D122" s="3">
        <f t="shared" ref="D122:K122" si="86">_xlfn.NORM.DIST(0,INDEX($S$2:$S$11,D$1)-$S3,SQRT($S14+INDEX($S$13:$S$22,D$1)),TRUE)</f>
        <v>0.38528428012357352</v>
      </c>
      <c r="E122" s="3">
        <f t="shared" si="86"/>
        <v>0.61714221069610831</v>
      </c>
      <c r="F122" s="3">
        <f t="shared" si="86"/>
        <v>0.5507280993643674</v>
      </c>
      <c r="G122" s="3">
        <f t="shared" si="86"/>
        <v>0.30141724557612493</v>
      </c>
      <c r="H122" s="3">
        <f t="shared" si="86"/>
        <v>0.59635243295533147</v>
      </c>
      <c r="I122" s="3">
        <f t="shared" si="86"/>
        <v>0.53054287531208244</v>
      </c>
      <c r="J122" s="3">
        <f t="shared" si="86"/>
        <v>0.32428090740341631</v>
      </c>
      <c r="K122" s="3">
        <f t="shared" si="86"/>
        <v>0.65835072585225518</v>
      </c>
      <c r="M122" s="3">
        <f t="shared" ref="M122:M130" si="87">SUMPRODUCT(B109:K109,B122:K122)</f>
        <v>0.10520568995963943</v>
      </c>
      <c r="N122">
        <f t="shared" ref="N122:N130" si="88">_xlfn.RANK.AVG(M122,$M$121:$M$130,0)</f>
        <v>5</v>
      </c>
      <c r="Y122">
        <v>4</v>
      </c>
      <c r="Z122">
        <v>10</v>
      </c>
      <c r="AA122">
        <v>6</v>
      </c>
      <c r="AB122" t="str">
        <f t="shared" si="41"/>
        <v>seth-4</v>
      </c>
      <c r="AC122">
        <f t="shared" si="42"/>
        <v>65</v>
      </c>
      <c r="AD122" s="56" t="str">
        <f t="shared" si="43"/>
        <v/>
      </c>
    </row>
    <row r="123" spans="1:30" x14ac:dyDescent="0.25">
      <c r="A123" t="s">
        <v>55</v>
      </c>
      <c r="B123" s="3">
        <f t="shared" si="85"/>
        <v>0.53297819643190536</v>
      </c>
      <c r="C123" s="3">
        <f t="shared" ref="C123:K123" si="89">_xlfn.NORM.DIST(0,INDEX($S$2:$S$11,C$1)-$S4,SQRT($S15+INDEX($S$13:$S$22,C$1)),TRUE)</f>
        <v>0.61471571987642648</v>
      </c>
      <c r="D123" s="3"/>
      <c r="E123" s="3">
        <f t="shared" si="89"/>
        <v>0.71648768961092246</v>
      </c>
      <c r="F123" s="3">
        <f t="shared" si="89"/>
        <v>0.65921985937739713</v>
      </c>
      <c r="G123" s="3">
        <f t="shared" si="89"/>
        <v>0.41184499462982055</v>
      </c>
      <c r="H123" s="3">
        <f t="shared" si="89"/>
        <v>0.69925765394970285</v>
      </c>
      <c r="I123" s="3">
        <f t="shared" si="89"/>
        <v>0.63818861355078826</v>
      </c>
      <c r="J123" s="3">
        <f t="shared" si="89"/>
        <v>0.42833396586436862</v>
      </c>
      <c r="K123" s="3">
        <f t="shared" si="89"/>
        <v>0.75149580160711926</v>
      </c>
      <c r="M123" s="3">
        <f t="shared" si="87"/>
        <v>0.18668730884602278</v>
      </c>
      <c r="N123">
        <f t="shared" si="88"/>
        <v>3</v>
      </c>
      <c r="Y123">
        <v>5</v>
      </c>
      <c r="Z123">
        <v>10</v>
      </c>
      <c r="AA123">
        <v>8</v>
      </c>
      <c r="AB123" t="str">
        <f t="shared" si="41"/>
        <v>seth-5</v>
      </c>
      <c r="AC123">
        <f t="shared" si="42"/>
        <v>65</v>
      </c>
      <c r="AD123" s="56" t="str">
        <f t="shared" si="43"/>
        <v/>
      </c>
    </row>
    <row r="124" spans="1:30" x14ac:dyDescent="0.25">
      <c r="A124" t="s">
        <v>35</v>
      </c>
      <c r="B124" s="3">
        <f t="shared" si="85"/>
        <v>0.3150832458282935</v>
      </c>
      <c r="C124" s="3">
        <f t="shared" ref="C124:K124" si="90">_xlfn.NORM.DIST(0,INDEX($S$2:$S$11,C$1)-$S5,SQRT($S16+INDEX($S$13:$S$22,C$1)),TRUE)</f>
        <v>0.38285778930389169</v>
      </c>
      <c r="D124" s="3">
        <f t="shared" si="90"/>
        <v>0.28351231038907759</v>
      </c>
      <c r="E124" s="3"/>
      <c r="F124" s="3">
        <f t="shared" si="90"/>
        <v>0.43293194440745775</v>
      </c>
      <c r="G124" s="3">
        <f t="shared" si="90"/>
        <v>0.21332445197167646</v>
      </c>
      <c r="H124" s="3">
        <f t="shared" si="90"/>
        <v>0.47803529763083102</v>
      </c>
      <c r="I124" s="3">
        <f t="shared" si="90"/>
        <v>0.41688276961962051</v>
      </c>
      <c r="J124" s="3">
        <f t="shared" si="90"/>
        <v>0.23789586640525925</v>
      </c>
      <c r="K124" s="3">
        <f t="shared" si="90"/>
        <v>0.54226220995309349</v>
      </c>
      <c r="M124" s="3">
        <f t="shared" si="87"/>
        <v>8.3631834589814515E-3</v>
      </c>
      <c r="N124">
        <f t="shared" si="88"/>
        <v>9</v>
      </c>
      <c r="Y124">
        <v>6</v>
      </c>
      <c r="Z124">
        <v>10</v>
      </c>
      <c r="AA124">
        <v>1</v>
      </c>
      <c r="AB124" t="str">
        <f t="shared" si="41"/>
        <v>seth-6</v>
      </c>
      <c r="AC124">
        <f t="shared" si="42"/>
        <v>65</v>
      </c>
      <c r="AD124" s="56" t="str">
        <f t="shared" si="43"/>
        <v/>
      </c>
    </row>
    <row r="125" spans="1:30" x14ac:dyDescent="0.25">
      <c r="A125" t="s">
        <v>27</v>
      </c>
      <c r="B125" s="3">
        <f t="shared" si="85"/>
        <v>0.37418444634726433</v>
      </c>
      <c r="C125" s="3">
        <f t="shared" ref="C125:K125" si="91">_xlfn.NORM.DIST(0,INDEX($S$2:$S$11,C$1)-$S6,SQRT($S17+INDEX($S$13:$S$22,C$1)),TRUE)</f>
        <v>0.4492719006356326</v>
      </c>
      <c r="D125" s="3">
        <f t="shared" si="91"/>
        <v>0.34078014062260287</v>
      </c>
      <c r="E125" s="3">
        <f t="shared" si="91"/>
        <v>0.56706805559254225</v>
      </c>
      <c r="F125" s="3"/>
      <c r="G125" s="3">
        <f t="shared" si="91"/>
        <v>0.2626087765463877</v>
      </c>
      <c r="H125" s="3">
        <f t="shared" si="91"/>
        <v>0.54565094288114091</v>
      </c>
      <c r="I125" s="3">
        <f t="shared" si="91"/>
        <v>0.48152685260958034</v>
      </c>
      <c r="J125" s="3">
        <f t="shared" si="91"/>
        <v>0.2864002727253866</v>
      </c>
      <c r="K125" s="3">
        <f t="shared" si="91"/>
        <v>0.60896798313556766</v>
      </c>
      <c r="M125" s="3">
        <f t="shared" si="87"/>
        <v>2.0845785899294408E-2</v>
      </c>
      <c r="N125">
        <f t="shared" si="88"/>
        <v>8</v>
      </c>
      <c r="Y125">
        <v>7</v>
      </c>
      <c r="Z125">
        <v>10</v>
      </c>
      <c r="AA125">
        <v>2</v>
      </c>
      <c r="AB125" t="str">
        <f t="shared" si="41"/>
        <v>seth-7</v>
      </c>
      <c r="AC125">
        <f t="shared" si="42"/>
        <v>65</v>
      </c>
      <c r="AD125" s="56" t="str">
        <f t="shared" si="43"/>
        <v/>
      </c>
    </row>
    <row r="126" spans="1:30" x14ac:dyDescent="0.25">
      <c r="A126" t="s">
        <v>62</v>
      </c>
      <c r="B126" s="3">
        <f t="shared" si="85"/>
        <v>0.61890709789554055</v>
      </c>
      <c r="C126" s="3">
        <f t="shared" ref="C126:K126" si="92">_xlfn.NORM.DIST(0,INDEX($S$2:$S$11,C$1)-$S7,SQRT($S18+INDEX($S$13:$S$22,C$1)),TRUE)</f>
        <v>0.69858275442387507</v>
      </c>
      <c r="D126" s="3">
        <f t="shared" si="92"/>
        <v>0.5881550053701794</v>
      </c>
      <c r="E126" s="3">
        <f t="shared" si="92"/>
        <v>0.78667554802832351</v>
      </c>
      <c r="F126" s="3">
        <f t="shared" si="92"/>
        <v>0.7373912234536123</v>
      </c>
      <c r="G126" s="3"/>
      <c r="H126" s="3">
        <f t="shared" si="92"/>
        <v>0.77232433005656209</v>
      </c>
      <c r="I126" s="3">
        <f t="shared" si="92"/>
        <v>0.71670357549903474</v>
      </c>
      <c r="J126" s="3">
        <f t="shared" si="92"/>
        <v>0.51114315788088593</v>
      </c>
      <c r="K126" s="3">
        <f t="shared" si="92"/>
        <v>0.81643579611664197</v>
      </c>
      <c r="M126" s="3">
        <f t="shared" si="87"/>
        <v>0.23992537040209638</v>
      </c>
      <c r="N126">
        <f t="shared" si="88"/>
        <v>2</v>
      </c>
      <c r="Y126">
        <v>8</v>
      </c>
      <c r="Z126">
        <v>10</v>
      </c>
      <c r="AA126">
        <v>4</v>
      </c>
      <c r="AB126" t="str">
        <f t="shared" si="41"/>
        <v>seth-8</v>
      </c>
      <c r="AC126">
        <f t="shared" si="42"/>
        <v>65</v>
      </c>
      <c r="AD126" s="56" t="str">
        <f t="shared" si="43"/>
        <v/>
      </c>
    </row>
    <row r="127" spans="1:30" x14ac:dyDescent="0.25">
      <c r="A127" t="s">
        <v>1648</v>
      </c>
      <c r="B127" s="3">
        <f t="shared" si="85"/>
        <v>0.3331203634706098</v>
      </c>
      <c r="C127" s="3">
        <f t="shared" ref="C127:K127" si="93">_xlfn.NORM.DIST(0,INDEX($S$2:$S$11,C$1)-$S8,SQRT($S19+INDEX($S$13:$S$22,C$1)),TRUE)</f>
        <v>0.40364756704466853</v>
      </c>
      <c r="D127" s="3">
        <f t="shared" si="93"/>
        <v>0.3007423460502972</v>
      </c>
      <c r="E127" s="3">
        <f t="shared" si="93"/>
        <v>0.52196470236916892</v>
      </c>
      <c r="F127" s="3">
        <f t="shared" si="93"/>
        <v>0.45434905711885909</v>
      </c>
      <c r="G127" s="3">
        <f t="shared" si="93"/>
        <v>0.22767566994343794</v>
      </c>
      <c r="H127" s="3"/>
      <c r="I127" s="3">
        <f t="shared" si="93"/>
        <v>0.43740824681067147</v>
      </c>
      <c r="J127" s="3">
        <f t="shared" si="93"/>
        <v>0.25228633985692561</v>
      </c>
      <c r="K127" s="3">
        <f t="shared" si="93"/>
        <v>0.56445812075259727</v>
      </c>
      <c r="M127" s="3">
        <f t="shared" si="87"/>
        <v>2.6667917766326169E-2</v>
      </c>
      <c r="N127">
        <f t="shared" si="88"/>
        <v>7</v>
      </c>
      <c r="Y127">
        <v>9</v>
      </c>
      <c r="Z127">
        <v>10</v>
      </c>
      <c r="AA127">
        <v>5</v>
      </c>
      <c r="AB127" t="str">
        <f t="shared" si="41"/>
        <v>seth-9</v>
      </c>
      <c r="AC127">
        <f t="shared" si="42"/>
        <v>65</v>
      </c>
      <c r="AD127" s="56" t="str">
        <f t="shared" si="43"/>
        <v/>
      </c>
    </row>
    <row r="128" spans="1:30" x14ac:dyDescent="0.25">
      <c r="A128" t="s">
        <v>23</v>
      </c>
      <c r="B128" s="3">
        <f t="shared" si="85"/>
        <v>0.39463224437204375</v>
      </c>
      <c r="C128" s="3">
        <f t="shared" ref="C128:K128" si="94">_xlfn.NORM.DIST(0,INDEX($S$2:$S$11,C$1)-$S9,SQRT($S20+INDEX($S$13:$S$22,C$1)),TRUE)</f>
        <v>0.46945712468791756</v>
      </c>
      <c r="D128" s="3">
        <f t="shared" si="94"/>
        <v>0.36181138644921174</v>
      </c>
      <c r="E128" s="3">
        <f t="shared" si="94"/>
        <v>0.58311723038037955</v>
      </c>
      <c r="F128" s="3">
        <f t="shared" si="94"/>
        <v>0.51847314739041961</v>
      </c>
      <c r="G128" s="3">
        <f t="shared" si="94"/>
        <v>0.28329642450096526</v>
      </c>
      <c r="H128" s="3">
        <f t="shared" si="94"/>
        <v>0.56259175318932853</v>
      </c>
      <c r="I128" s="3"/>
      <c r="J128" s="3">
        <f t="shared" si="94"/>
        <v>0.30555119953555038</v>
      </c>
      <c r="K128" s="3">
        <f t="shared" si="94"/>
        <v>0.6234057604100135</v>
      </c>
      <c r="M128" s="3">
        <f t="shared" si="87"/>
        <v>3.008701497397499E-2</v>
      </c>
      <c r="N128">
        <f t="shared" si="88"/>
        <v>6</v>
      </c>
      <c r="Y128">
        <v>10</v>
      </c>
      <c r="Z128">
        <v>10</v>
      </c>
      <c r="AA128">
        <v>9</v>
      </c>
      <c r="AB128" t="str">
        <f t="shared" si="41"/>
        <v>seth-10</v>
      </c>
      <c r="AC128">
        <f t="shared" si="42"/>
        <v>65</v>
      </c>
      <c r="AD128" s="56" t="str">
        <f t="shared" si="43"/>
        <v/>
      </c>
    </row>
    <row r="129" spans="1:30" x14ac:dyDescent="0.25">
      <c r="A129" t="s">
        <v>49</v>
      </c>
      <c r="B129" s="3">
        <f t="shared" si="85"/>
        <v>0.60100263705316748</v>
      </c>
      <c r="C129" s="3">
        <f t="shared" ref="C129:K129" si="95">_xlfn.NORM.DIST(0,INDEX($S$2:$S$11,C$1)-$S10,SQRT($S21+INDEX($S$13:$S$22,C$1)),TRUE)</f>
        <v>0.67571909259658369</v>
      </c>
      <c r="D129" s="3">
        <f t="shared" si="95"/>
        <v>0.57166603413563144</v>
      </c>
      <c r="E129" s="3">
        <f t="shared" si="95"/>
        <v>0.76210413359474072</v>
      </c>
      <c r="F129" s="3">
        <f t="shared" si="95"/>
        <v>0.7135997272746134</v>
      </c>
      <c r="G129" s="3">
        <f t="shared" si="95"/>
        <v>0.48885684211911407</v>
      </c>
      <c r="H129" s="3">
        <f t="shared" si="95"/>
        <v>0.74771366014307439</v>
      </c>
      <c r="I129" s="3">
        <f t="shared" si="95"/>
        <v>0.69444880046444957</v>
      </c>
      <c r="J129" s="3"/>
      <c r="K129" s="3">
        <f t="shared" si="95"/>
        <v>0.79157593474906451</v>
      </c>
      <c r="M129" s="3">
        <f t="shared" si="87"/>
        <v>0.25759720826723959</v>
      </c>
      <c r="N129">
        <f t="shared" si="88"/>
        <v>1</v>
      </c>
      <c r="Y129">
        <v>11</v>
      </c>
      <c r="Z129">
        <v>10</v>
      </c>
      <c r="AA129">
        <v>3</v>
      </c>
      <c r="AB129" t="str">
        <f t="shared" si="41"/>
        <v>seth-11</v>
      </c>
      <c r="AC129">
        <f t="shared" si="42"/>
        <v>65</v>
      </c>
      <c r="AD129" s="56" t="str">
        <f t="shared" si="43"/>
        <v/>
      </c>
    </row>
    <row r="130" spans="1:30" x14ac:dyDescent="0.25">
      <c r="A130" t="s">
        <v>44</v>
      </c>
      <c r="B130" s="3">
        <f t="shared" si="85"/>
        <v>0.27877049655193686</v>
      </c>
      <c r="C130" s="3">
        <f t="shared" ref="C130:J130" si="96">_xlfn.NORM.DIST(0,INDEX($S$2:$S$11,C$1)-$S11,SQRT($S22+INDEX($S$13:$S$22,C$1)),TRUE)</f>
        <v>0.34164927414774482</v>
      </c>
      <c r="D130" s="3">
        <f t="shared" si="96"/>
        <v>0.24850419839288074</v>
      </c>
      <c r="E130" s="3">
        <f t="shared" si="96"/>
        <v>0.45773779004690651</v>
      </c>
      <c r="F130" s="3">
        <f t="shared" si="96"/>
        <v>0.3910320168644324</v>
      </c>
      <c r="G130" s="3">
        <f t="shared" si="96"/>
        <v>0.18356420388335801</v>
      </c>
      <c r="H130" s="3">
        <f t="shared" si="96"/>
        <v>0.43554187924740273</v>
      </c>
      <c r="I130" s="3">
        <f t="shared" si="96"/>
        <v>0.3765942395899865</v>
      </c>
      <c r="J130" s="3">
        <f t="shared" si="96"/>
        <v>0.20842406525093549</v>
      </c>
      <c r="K130" s="3"/>
      <c r="M130" s="3">
        <f t="shared" si="87"/>
        <v>1.3412040131708413E-3</v>
      </c>
      <c r="N130">
        <f t="shared" si="88"/>
        <v>10</v>
      </c>
      <c r="Y130">
        <v>12</v>
      </c>
      <c r="Z130">
        <v>10</v>
      </c>
      <c r="AA130">
        <v>6</v>
      </c>
      <c r="AB130" t="str">
        <f t="shared" si="41"/>
        <v>seth-12</v>
      </c>
      <c r="AC130">
        <f t="shared" si="42"/>
        <v>65</v>
      </c>
      <c r="AD130" s="56" t="str">
        <f t="shared" si="43"/>
        <v/>
      </c>
    </row>
    <row r="131" spans="1:30" x14ac:dyDescent="0.25">
      <c r="Y131">
        <v>13</v>
      </c>
      <c r="Z131">
        <v>10</v>
      </c>
      <c r="AA131">
        <v>7</v>
      </c>
      <c r="AB131" t="str">
        <f>INDEX($A$2:$A$11,Z131)&amp;"-"&amp;Y131</f>
        <v>seth-13</v>
      </c>
      <c r="AC131">
        <f>IF(AA131&gt;Z131,AC130+1,AC130)</f>
        <v>65</v>
      </c>
      <c r="AD131" s="56" t="str">
        <f>IF(AND(INDEX($R$36:$R$45,Z131)&lt;&gt;INDEX($R$36:$R$45,AA131),INDEX($R$36:$R$45,Z131)="HK"),INDEX($B$24:$N$33,$Z131,$Y131),"")</f>
        <v/>
      </c>
    </row>
  </sheetData>
  <autoFilter ref="Y1:AD131"/>
  <mergeCells count="4">
    <mergeCell ref="B54:C54"/>
    <mergeCell ref="D54:E54"/>
    <mergeCell ref="F54:G54"/>
    <mergeCell ref="H54:I5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V651"/>
  <sheetViews>
    <sheetView workbookViewId="0">
      <selection activeCell="O2" sqref="O2"/>
    </sheetView>
  </sheetViews>
  <sheetFormatPr defaultRowHeight="15" x14ac:dyDescent="0.25"/>
  <cols>
    <col min="1" max="1" width="5.28515625" bestFit="1" customWidth="1"/>
    <col min="2" max="3" width="22.140625" hidden="1" customWidth="1"/>
    <col min="4" max="4" width="18.85546875" hidden="1" customWidth="1"/>
    <col min="6" max="6" width="0" hidden="1" customWidth="1"/>
    <col min="7" max="7" width="18.85546875" hidden="1" customWidth="1"/>
    <col min="8" max="8" width="5" bestFit="1" customWidth="1"/>
    <col min="9" max="9" width="6.140625" bestFit="1" customWidth="1"/>
    <col min="10" max="10" width="9.42578125" hidden="1" customWidth="1"/>
    <col min="11" max="11" width="13.28515625" hidden="1" customWidth="1"/>
    <col min="12" max="12" width="6.85546875" hidden="1" customWidth="1"/>
    <col min="13" max="13" width="7" hidden="1" customWidth="1"/>
    <col min="14" max="14" width="6" hidden="1" customWidth="1"/>
    <col min="15" max="15" width="21.140625" bestFit="1" customWidth="1"/>
    <col min="18" max="18" width="5.28515625" bestFit="1" customWidth="1"/>
    <col min="19" max="19" width="9" bestFit="1" customWidth="1"/>
    <col min="20" max="20" width="5" bestFit="1" customWidth="1"/>
    <col min="21" max="21" width="6.140625" bestFit="1" customWidth="1"/>
    <col min="22" max="22" width="20.7109375" bestFit="1" customWidth="1"/>
  </cols>
  <sheetData>
    <row r="1" spans="1:22" x14ac:dyDescent="0.25">
      <c r="A1" t="s">
        <v>747</v>
      </c>
      <c r="B1" t="s">
        <v>3202</v>
      </c>
      <c r="C1" t="s">
        <v>3203</v>
      </c>
      <c r="D1" t="s">
        <v>10</v>
      </c>
      <c r="E1" t="s">
        <v>10</v>
      </c>
      <c r="F1" t="s">
        <v>750</v>
      </c>
      <c r="G1" t="s">
        <v>3203</v>
      </c>
      <c r="H1" t="s">
        <v>813</v>
      </c>
      <c r="I1" t="s">
        <v>1</v>
      </c>
      <c r="J1" t="s">
        <v>3204</v>
      </c>
      <c r="K1" t="s">
        <v>3205</v>
      </c>
      <c r="L1" t="s">
        <v>3206</v>
      </c>
      <c r="M1" t="s">
        <v>3207</v>
      </c>
      <c r="N1" t="s">
        <v>900</v>
      </c>
      <c r="O1" t="s">
        <v>3229</v>
      </c>
      <c r="R1" t="s">
        <v>747</v>
      </c>
      <c r="S1" t="s">
        <v>10</v>
      </c>
      <c r="T1" t="s">
        <v>813</v>
      </c>
      <c r="U1" t="s">
        <v>1</v>
      </c>
      <c r="V1" t="s">
        <v>3229</v>
      </c>
    </row>
    <row r="2" spans="1:22" ht="15" customHeight="1" x14ac:dyDescent="0.25">
      <c r="A2">
        <v>1</v>
      </c>
      <c r="B2" t="s">
        <v>3222</v>
      </c>
      <c r="C2" t="s">
        <v>3208</v>
      </c>
      <c r="D2" t="s">
        <v>3223</v>
      </c>
      <c r="E2" t="str">
        <f t="shared" ref="E2:E65" si="0">LEFT(D2,SEARCH(" ",D2)-1)</f>
        <v>Austin</v>
      </c>
      <c r="F2" t="str">
        <f t="shared" ref="F2:F65" si="1">LEFT(G2,SEARCH(" ",G2)-1)</f>
        <v>Spencer</v>
      </c>
      <c r="G2" t="s">
        <v>3210</v>
      </c>
      <c r="H2">
        <v>2013</v>
      </c>
      <c r="I2">
        <v>12</v>
      </c>
      <c r="J2">
        <v>24</v>
      </c>
      <c r="K2">
        <v>85</v>
      </c>
      <c r="L2">
        <v>0</v>
      </c>
      <c r="M2">
        <v>1</v>
      </c>
      <c r="N2">
        <v>0</v>
      </c>
      <c r="O2" t="str">
        <f t="shared" ref="O2:O65" si="2">IF(L2=1,"W",IF(M2=1,"L","T"))&amp;" "&amp;J2&amp;"-"&amp;K2&amp;" vs. "&amp;F2</f>
        <v>L 24-85 vs. Spencer</v>
      </c>
      <c r="R2">
        <v>1</v>
      </c>
      <c r="S2" t="s">
        <v>3212</v>
      </c>
      <c r="T2">
        <v>2016</v>
      </c>
      <c r="U2">
        <v>1</v>
      </c>
      <c r="V2" t="s">
        <v>3230</v>
      </c>
    </row>
    <row r="3" spans="1:22" ht="15" customHeight="1" x14ac:dyDescent="0.25">
      <c r="A3">
        <f t="shared" ref="A3:A66" si="3">A2+1</f>
        <v>2</v>
      </c>
      <c r="B3" t="s">
        <v>3222</v>
      </c>
      <c r="C3" t="s">
        <v>3216</v>
      </c>
      <c r="D3" t="s">
        <v>3223</v>
      </c>
      <c r="E3" t="str">
        <f t="shared" si="0"/>
        <v>Austin</v>
      </c>
      <c r="F3" t="str">
        <f t="shared" si="1"/>
        <v>Seth</v>
      </c>
      <c r="G3" t="s">
        <v>3217</v>
      </c>
      <c r="H3">
        <v>2013</v>
      </c>
      <c r="I3">
        <v>9</v>
      </c>
      <c r="J3">
        <v>38</v>
      </c>
      <c r="K3">
        <v>76</v>
      </c>
      <c r="L3">
        <v>0</v>
      </c>
      <c r="M3">
        <v>1</v>
      </c>
      <c r="N3">
        <v>0</v>
      </c>
      <c r="O3" t="str">
        <f t="shared" si="2"/>
        <v>L 38-76 vs. Seth</v>
      </c>
      <c r="R3">
        <f>R2+1</f>
        <v>2</v>
      </c>
      <c r="S3" t="s">
        <v>3215</v>
      </c>
      <c r="T3">
        <v>2014</v>
      </c>
      <c r="U3">
        <v>1</v>
      </c>
      <c r="V3" t="s">
        <v>3231</v>
      </c>
    </row>
    <row r="4" spans="1:22" ht="15" customHeight="1" x14ac:dyDescent="0.25">
      <c r="A4">
        <f t="shared" si="3"/>
        <v>3</v>
      </c>
      <c r="B4" t="s">
        <v>3216</v>
      </c>
      <c r="C4" t="s">
        <v>3218</v>
      </c>
      <c r="D4" t="s">
        <v>3217</v>
      </c>
      <c r="E4" t="str">
        <f t="shared" si="0"/>
        <v>Seth</v>
      </c>
      <c r="F4" t="str">
        <f t="shared" si="1"/>
        <v>Matthew</v>
      </c>
      <c r="G4" t="s">
        <v>3219</v>
      </c>
      <c r="H4">
        <v>2013</v>
      </c>
      <c r="I4">
        <v>10</v>
      </c>
      <c r="J4">
        <v>42</v>
      </c>
      <c r="K4">
        <v>108</v>
      </c>
      <c r="L4">
        <v>0</v>
      </c>
      <c r="M4">
        <v>1</v>
      </c>
      <c r="N4">
        <v>0</v>
      </c>
      <c r="O4" t="str">
        <f t="shared" si="2"/>
        <v>L 42-108 vs. Matthew</v>
      </c>
      <c r="R4">
        <f t="shared" ref="R4:R51" si="4">R3+1</f>
        <v>3</v>
      </c>
      <c r="S4" t="s">
        <v>3232</v>
      </c>
      <c r="T4">
        <v>2015</v>
      </c>
      <c r="U4">
        <v>1</v>
      </c>
      <c r="V4" t="s">
        <v>3233</v>
      </c>
    </row>
    <row r="5" spans="1:22" ht="15" customHeight="1" x14ac:dyDescent="0.25">
      <c r="A5">
        <f t="shared" si="3"/>
        <v>4</v>
      </c>
      <c r="B5" t="s">
        <v>3222</v>
      </c>
      <c r="C5" t="s">
        <v>3220</v>
      </c>
      <c r="D5" t="s">
        <v>3200</v>
      </c>
      <c r="E5" t="str">
        <f t="shared" si="0"/>
        <v>Taylor</v>
      </c>
      <c r="F5" t="str">
        <f t="shared" si="1"/>
        <v>Perry</v>
      </c>
      <c r="G5" t="s">
        <v>3226</v>
      </c>
      <c r="H5">
        <v>2016</v>
      </c>
      <c r="I5">
        <v>11</v>
      </c>
      <c r="J5">
        <v>43</v>
      </c>
      <c r="K5">
        <v>104</v>
      </c>
      <c r="L5">
        <v>0</v>
      </c>
      <c r="M5">
        <v>1</v>
      </c>
      <c r="N5">
        <v>0</v>
      </c>
      <c r="O5" t="str">
        <f t="shared" si="2"/>
        <v>L 43-104 vs. Perry</v>
      </c>
      <c r="R5">
        <f t="shared" si="4"/>
        <v>4</v>
      </c>
      <c r="S5" t="s">
        <v>3211</v>
      </c>
      <c r="T5">
        <v>2013</v>
      </c>
      <c r="U5">
        <v>1</v>
      </c>
      <c r="V5" t="s">
        <v>3234</v>
      </c>
    </row>
    <row r="6" spans="1:22" ht="15" customHeight="1" x14ac:dyDescent="0.25">
      <c r="A6">
        <f t="shared" si="3"/>
        <v>5</v>
      </c>
      <c r="B6" t="s">
        <v>3208</v>
      </c>
      <c r="C6" t="s">
        <v>3215</v>
      </c>
      <c r="D6" t="s">
        <v>3225</v>
      </c>
      <c r="E6" t="str">
        <f t="shared" si="0"/>
        <v>Chad</v>
      </c>
      <c r="F6" t="str">
        <f t="shared" si="1"/>
        <v>Devon</v>
      </c>
      <c r="G6" t="s">
        <v>3199</v>
      </c>
      <c r="H6">
        <v>2014</v>
      </c>
      <c r="I6">
        <v>3</v>
      </c>
      <c r="J6">
        <v>44</v>
      </c>
      <c r="K6">
        <v>81</v>
      </c>
      <c r="L6">
        <v>0</v>
      </c>
      <c r="M6">
        <v>1</v>
      </c>
      <c r="N6">
        <v>0</v>
      </c>
      <c r="O6" t="str">
        <f t="shared" si="2"/>
        <v>L 44-81 vs. Devon</v>
      </c>
      <c r="R6">
        <f t="shared" si="4"/>
        <v>5</v>
      </c>
      <c r="S6" t="s">
        <v>3211</v>
      </c>
      <c r="T6">
        <v>2016</v>
      </c>
      <c r="U6">
        <v>1</v>
      </c>
      <c r="V6" t="s">
        <v>3236</v>
      </c>
    </row>
    <row r="7" spans="1:22" x14ac:dyDescent="0.25">
      <c r="A7">
        <f t="shared" si="3"/>
        <v>6</v>
      </c>
      <c r="B7" t="s">
        <v>3213</v>
      </c>
      <c r="C7" t="s">
        <v>3216</v>
      </c>
      <c r="D7" t="s">
        <v>3214</v>
      </c>
      <c r="E7" t="str">
        <f t="shared" si="0"/>
        <v>Cory</v>
      </c>
      <c r="F7" t="str">
        <f t="shared" si="1"/>
        <v>Seth</v>
      </c>
      <c r="G7" t="s">
        <v>3217</v>
      </c>
      <c r="H7">
        <v>2014</v>
      </c>
      <c r="I7">
        <v>7</v>
      </c>
      <c r="J7">
        <v>46</v>
      </c>
      <c r="K7">
        <v>106</v>
      </c>
      <c r="L7">
        <v>0</v>
      </c>
      <c r="M7">
        <v>1</v>
      </c>
      <c r="N7">
        <v>0</v>
      </c>
      <c r="O7" t="str">
        <f t="shared" si="2"/>
        <v>L 46-106 vs. Seth</v>
      </c>
      <c r="R7">
        <f t="shared" si="4"/>
        <v>6</v>
      </c>
      <c r="S7" t="s">
        <v>3235</v>
      </c>
      <c r="T7">
        <v>2015</v>
      </c>
      <c r="U7">
        <v>1</v>
      </c>
      <c r="V7" t="s">
        <v>3237</v>
      </c>
    </row>
    <row r="8" spans="1:22" x14ac:dyDescent="0.25">
      <c r="A8">
        <f t="shared" si="3"/>
        <v>7</v>
      </c>
      <c r="B8" t="s">
        <v>3212</v>
      </c>
      <c r="C8" t="s">
        <v>3216</v>
      </c>
      <c r="D8" t="s">
        <v>3198</v>
      </c>
      <c r="E8" t="str">
        <f t="shared" si="0"/>
        <v>Ty</v>
      </c>
      <c r="F8" t="str">
        <f t="shared" si="1"/>
        <v>Seth</v>
      </c>
      <c r="G8" t="s">
        <v>3217</v>
      </c>
      <c r="H8">
        <v>2014</v>
      </c>
      <c r="I8">
        <v>9</v>
      </c>
      <c r="J8">
        <v>46</v>
      </c>
      <c r="K8">
        <v>80</v>
      </c>
      <c r="L8">
        <v>0</v>
      </c>
      <c r="M8">
        <v>1</v>
      </c>
      <c r="N8">
        <v>0</v>
      </c>
      <c r="O8" t="str">
        <f t="shared" si="2"/>
        <v>L 46-80 vs. Seth</v>
      </c>
      <c r="R8">
        <f t="shared" si="4"/>
        <v>7</v>
      </c>
      <c r="S8" t="s">
        <v>3209</v>
      </c>
      <c r="T8">
        <v>2017</v>
      </c>
      <c r="U8">
        <v>1</v>
      </c>
      <c r="V8" t="s">
        <v>3238</v>
      </c>
    </row>
    <row r="9" spans="1:22" ht="15" customHeight="1" x14ac:dyDescent="0.25">
      <c r="A9">
        <f t="shared" si="3"/>
        <v>8</v>
      </c>
      <c r="B9" t="s">
        <v>3212</v>
      </c>
      <c r="C9" t="s">
        <v>3211</v>
      </c>
      <c r="D9" t="s">
        <v>3198</v>
      </c>
      <c r="E9" t="str">
        <f t="shared" si="0"/>
        <v>Ty</v>
      </c>
      <c r="F9" t="str">
        <f t="shared" si="1"/>
        <v>Anthony</v>
      </c>
      <c r="G9" t="s">
        <v>3201</v>
      </c>
      <c r="H9">
        <v>2017</v>
      </c>
      <c r="I9">
        <v>4</v>
      </c>
      <c r="J9">
        <v>46</v>
      </c>
      <c r="K9">
        <v>80</v>
      </c>
      <c r="L9">
        <v>0</v>
      </c>
      <c r="M9">
        <v>1</v>
      </c>
      <c r="N9">
        <v>0</v>
      </c>
      <c r="O9" t="str">
        <f t="shared" si="2"/>
        <v>L 46-80 vs. Anthony</v>
      </c>
      <c r="R9">
        <f t="shared" si="4"/>
        <v>8</v>
      </c>
      <c r="S9" t="s">
        <v>3239</v>
      </c>
      <c r="T9">
        <v>2013</v>
      </c>
      <c r="U9">
        <v>1</v>
      </c>
      <c r="V9" t="s">
        <v>3240</v>
      </c>
    </row>
    <row r="10" spans="1:22" ht="15" customHeight="1" x14ac:dyDescent="0.25">
      <c r="A10">
        <f t="shared" si="3"/>
        <v>9</v>
      </c>
      <c r="B10" t="s">
        <v>3212</v>
      </c>
      <c r="C10" t="s">
        <v>3220</v>
      </c>
      <c r="D10" t="s">
        <v>3198</v>
      </c>
      <c r="E10" t="str">
        <f t="shared" si="0"/>
        <v>Ty</v>
      </c>
      <c r="F10" t="str">
        <f t="shared" si="1"/>
        <v>Carter</v>
      </c>
      <c r="G10" t="s">
        <v>3224</v>
      </c>
      <c r="H10">
        <v>2014</v>
      </c>
      <c r="I10">
        <v>8</v>
      </c>
      <c r="J10">
        <v>47</v>
      </c>
      <c r="K10">
        <v>112</v>
      </c>
      <c r="L10">
        <v>0</v>
      </c>
      <c r="M10">
        <v>1</v>
      </c>
      <c r="N10">
        <v>0</v>
      </c>
      <c r="O10" t="str">
        <f t="shared" si="2"/>
        <v>L 47-112 vs. Carter</v>
      </c>
      <c r="R10">
        <f t="shared" si="4"/>
        <v>9</v>
      </c>
      <c r="S10" t="s">
        <v>3216</v>
      </c>
      <c r="T10">
        <v>2015</v>
      </c>
      <c r="U10">
        <v>1</v>
      </c>
      <c r="V10" t="s">
        <v>3241</v>
      </c>
    </row>
    <row r="11" spans="1:22" ht="15" customHeight="1" x14ac:dyDescent="0.25">
      <c r="A11">
        <f t="shared" si="3"/>
        <v>10</v>
      </c>
      <c r="B11" t="s">
        <v>3222</v>
      </c>
      <c r="C11" t="s">
        <v>3220</v>
      </c>
      <c r="D11" t="s">
        <v>3228</v>
      </c>
      <c r="E11" t="str">
        <f t="shared" si="0"/>
        <v>Jason</v>
      </c>
      <c r="F11" t="str">
        <f t="shared" si="1"/>
        <v>Perry</v>
      </c>
      <c r="G11" t="s">
        <v>3226</v>
      </c>
      <c r="H11">
        <v>2017</v>
      </c>
      <c r="I11">
        <v>11</v>
      </c>
      <c r="J11">
        <v>50</v>
      </c>
      <c r="K11">
        <v>85</v>
      </c>
      <c r="L11">
        <v>0</v>
      </c>
      <c r="M11">
        <v>1</v>
      </c>
      <c r="N11">
        <v>0</v>
      </c>
      <c r="O11" t="str">
        <f t="shared" si="2"/>
        <v>L 50-85 vs. Perry</v>
      </c>
      <c r="R11">
        <f t="shared" si="4"/>
        <v>10</v>
      </c>
      <c r="S11" t="s">
        <v>3212</v>
      </c>
      <c r="T11">
        <v>2013</v>
      </c>
      <c r="U11">
        <v>1</v>
      </c>
      <c r="V11" t="s">
        <v>3242</v>
      </c>
    </row>
    <row r="12" spans="1:22" ht="15" customHeight="1" x14ac:dyDescent="0.25">
      <c r="A12">
        <f t="shared" si="3"/>
        <v>11</v>
      </c>
      <c r="B12" t="s">
        <v>3208</v>
      </c>
      <c r="C12" t="s">
        <v>3220</v>
      </c>
      <c r="D12" t="s">
        <v>3210</v>
      </c>
      <c r="E12" t="str">
        <f t="shared" si="0"/>
        <v>Spencer</v>
      </c>
      <c r="F12" t="str">
        <f t="shared" si="1"/>
        <v>Lucas</v>
      </c>
      <c r="G12" t="s">
        <v>3221</v>
      </c>
      <c r="H12">
        <v>2013</v>
      </c>
      <c r="I12">
        <v>10</v>
      </c>
      <c r="J12">
        <v>52</v>
      </c>
      <c r="K12">
        <v>94</v>
      </c>
      <c r="L12">
        <v>0</v>
      </c>
      <c r="M12">
        <v>1</v>
      </c>
      <c r="N12">
        <v>0</v>
      </c>
      <c r="O12" t="str">
        <f t="shared" si="2"/>
        <v>L 52-94 vs. Lucas</v>
      </c>
      <c r="R12">
        <f t="shared" si="4"/>
        <v>11</v>
      </c>
      <c r="S12" t="s">
        <v>3235</v>
      </c>
      <c r="T12">
        <v>2016</v>
      </c>
      <c r="U12">
        <v>1</v>
      </c>
      <c r="V12" t="s">
        <v>3243</v>
      </c>
    </row>
    <row r="13" spans="1:22" ht="15" customHeight="1" x14ac:dyDescent="0.25">
      <c r="A13">
        <f t="shared" si="3"/>
        <v>12</v>
      </c>
      <c r="B13" t="s">
        <v>3209</v>
      </c>
      <c r="C13" t="s">
        <v>3215</v>
      </c>
      <c r="D13" t="s">
        <v>3227</v>
      </c>
      <c r="E13" t="str">
        <f t="shared" si="0"/>
        <v>Scott</v>
      </c>
      <c r="F13" t="str">
        <f t="shared" si="1"/>
        <v>Devon</v>
      </c>
      <c r="G13" t="s">
        <v>3199</v>
      </c>
      <c r="H13">
        <v>2014</v>
      </c>
      <c r="I13">
        <v>2</v>
      </c>
      <c r="J13">
        <v>52</v>
      </c>
      <c r="K13">
        <v>78</v>
      </c>
      <c r="L13">
        <v>0</v>
      </c>
      <c r="M13">
        <v>1</v>
      </c>
      <c r="N13">
        <v>0</v>
      </c>
      <c r="O13" t="str">
        <f t="shared" si="2"/>
        <v>L 52-78 vs. Devon</v>
      </c>
      <c r="R13">
        <f t="shared" si="4"/>
        <v>12</v>
      </c>
      <c r="S13" t="s">
        <v>3209</v>
      </c>
      <c r="T13">
        <v>2013</v>
      </c>
      <c r="U13">
        <v>1</v>
      </c>
      <c r="V13" t="s">
        <v>3245</v>
      </c>
    </row>
    <row r="14" spans="1:22" ht="15" customHeight="1" x14ac:dyDescent="0.25">
      <c r="A14">
        <f t="shared" si="3"/>
        <v>13</v>
      </c>
      <c r="B14" t="s">
        <v>3222</v>
      </c>
      <c r="C14" t="s">
        <v>3213</v>
      </c>
      <c r="D14" t="s">
        <v>3228</v>
      </c>
      <c r="E14" t="str">
        <f t="shared" si="0"/>
        <v>Jason</v>
      </c>
      <c r="F14" t="str">
        <f t="shared" si="1"/>
        <v>Cory</v>
      </c>
      <c r="G14" t="s">
        <v>3214</v>
      </c>
      <c r="H14">
        <v>2017</v>
      </c>
      <c r="I14">
        <v>3</v>
      </c>
      <c r="J14">
        <v>53</v>
      </c>
      <c r="K14">
        <v>88</v>
      </c>
      <c r="L14">
        <v>0</v>
      </c>
      <c r="M14">
        <v>1</v>
      </c>
      <c r="N14">
        <v>0</v>
      </c>
      <c r="O14" t="str">
        <f t="shared" si="2"/>
        <v>L 53-88 vs. Cory</v>
      </c>
      <c r="R14">
        <f t="shared" si="4"/>
        <v>13</v>
      </c>
      <c r="S14" t="s">
        <v>3244</v>
      </c>
      <c r="T14">
        <v>2016</v>
      </c>
      <c r="U14">
        <v>1</v>
      </c>
      <c r="V14" t="s">
        <v>3246</v>
      </c>
    </row>
    <row r="15" spans="1:22" ht="15" customHeight="1" x14ac:dyDescent="0.25">
      <c r="A15">
        <f t="shared" si="3"/>
        <v>14</v>
      </c>
      <c r="B15" t="s">
        <v>3220</v>
      </c>
      <c r="C15" t="s">
        <v>3211</v>
      </c>
      <c r="D15" t="s">
        <v>3226</v>
      </c>
      <c r="E15" t="str">
        <f t="shared" si="0"/>
        <v>Perry</v>
      </c>
      <c r="F15" t="str">
        <f t="shared" si="1"/>
        <v>Anthony</v>
      </c>
      <c r="G15" t="s">
        <v>3201</v>
      </c>
      <c r="H15">
        <v>2016</v>
      </c>
      <c r="I15">
        <v>9</v>
      </c>
      <c r="J15">
        <v>54</v>
      </c>
      <c r="K15">
        <v>109</v>
      </c>
      <c r="L15">
        <v>0</v>
      </c>
      <c r="M15">
        <v>1</v>
      </c>
      <c r="N15">
        <v>0</v>
      </c>
      <c r="O15" t="str">
        <f t="shared" si="2"/>
        <v>L 54-109 vs. Anthony</v>
      </c>
      <c r="R15">
        <f t="shared" si="4"/>
        <v>14</v>
      </c>
      <c r="S15" t="s">
        <v>3215</v>
      </c>
      <c r="T15">
        <v>2015</v>
      </c>
      <c r="U15">
        <v>1</v>
      </c>
      <c r="V15" t="s">
        <v>3247</v>
      </c>
    </row>
    <row r="16" spans="1:22" ht="15" customHeight="1" x14ac:dyDescent="0.25">
      <c r="A16">
        <f t="shared" si="3"/>
        <v>15</v>
      </c>
      <c r="B16" t="s">
        <v>3218</v>
      </c>
      <c r="C16" t="s">
        <v>3216</v>
      </c>
      <c r="D16" t="s">
        <v>3219</v>
      </c>
      <c r="E16" t="str">
        <f t="shared" si="0"/>
        <v>Matthew</v>
      </c>
      <c r="F16" t="str">
        <f t="shared" si="1"/>
        <v>Seth</v>
      </c>
      <c r="G16" t="s">
        <v>3217</v>
      </c>
      <c r="H16">
        <v>2015</v>
      </c>
      <c r="I16">
        <v>2</v>
      </c>
      <c r="J16">
        <v>54</v>
      </c>
      <c r="K16">
        <v>100</v>
      </c>
      <c r="L16">
        <v>0</v>
      </c>
      <c r="M16">
        <v>1</v>
      </c>
      <c r="N16">
        <v>0</v>
      </c>
      <c r="O16" t="str">
        <f t="shared" si="2"/>
        <v>L 54-100 vs. Seth</v>
      </c>
      <c r="R16">
        <f t="shared" si="4"/>
        <v>15</v>
      </c>
      <c r="S16" t="s">
        <v>3216</v>
      </c>
      <c r="T16">
        <v>2013</v>
      </c>
      <c r="U16">
        <v>1</v>
      </c>
      <c r="V16" t="s">
        <v>3248</v>
      </c>
    </row>
    <row r="17" spans="1:22" ht="15" customHeight="1" x14ac:dyDescent="0.25">
      <c r="A17">
        <f t="shared" si="3"/>
        <v>16</v>
      </c>
      <c r="B17" t="s">
        <v>3208</v>
      </c>
      <c r="C17" t="s">
        <v>3218</v>
      </c>
      <c r="D17" t="s">
        <v>3210</v>
      </c>
      <c r="E17" t="str">
        <f t="shared" si="0"/>
        <v>Spencer</v>
      </c>
      <c r="F17" t="str">
        <f t="shared" si="1"/>
        <v>Matthew</v>
      </c>
      <c r="G17" t="s">
        <v>3219</v>
      </c>
      <c r="H17">
        <v>2013</v>
      </c>
      <c r="I17">
        <v>5</v>
      </c>
      <c r="J17">
        <v>54</v>
      </c>
      <c r="K17">
        <v>97</v>
      </c>
      <c r="L17">
        <v>0</v>
      </c>
      <c r="M17">
        <v>1</v>
      </c>
      <c r="N17">
        <v>0</v>
      </c>
      <c r="O17" t="str">
        <f t="shared" si="2"/>
        <v>L 54-97 vs. Matthew</v>
      </c>
      <c r="R17">
        <f t="shared" si="4"/>
        <v>16</v>
      </c>
      <c r="S17" t="s">
        <v>3249</v>
      </c>
      <c r="T17">
        <v>2014</v>
      </c>
      <c r="U17">
        <v>1</v>
      </c>
      <c r="V17" t="s">
        <v>3250</v>
      </c>
    </row>
    <row r="18" spans="1:22" ht="15" customHeight="1" x14ac:dyDescent="0.25">
      <c r="A18">
        <f t="shared" si="3"/>
        <v>17</v>
      </c>
      <c r="B18" t="s">
        <v>3215</v>
      </c>
      <c r="C18" t="s">
        <v>3212</v>
      </c>
      <c r="D18" t="s">
        <v>3199</v>
      </c>
      <c r="E18" t="str">
        <f t="shared" si="0"/>
        <v>Devon</v>
      </c>
      <c r="F18" t="str">
        <f t="shared" si="1"/>
        <v>Ty</v>
      </c>
      <c r="G18" t="s">
        <v>3198</v>
      </c>
      <c r="H18">
        <v>2016</v>
      </c>
      <c r="I18">
        <v>6</v>
      </c>
      <c r="J18">
        <v>56</v>
      </c>
      <c r="K18">
        <v>116</v>
      </c>
      <c r="L18">
        <v>0</v>
      </c>
      <c r="M18">
        <v>1</v>
      </c>
      <c r="N18">
        <v>0</v>
      </c>
      <c r="O18" t="str">
        <f t="shared" si="2"/>
        <v>L 56-116 vs. Ty</v>
      </c>
      <c r="R18">
        <f t="shared" si="4"/>
        <v>17</v>
      </c>
      <c r="S18" t="s">
        <v>3251</v>
      </c>
      <c r="T18">
        <v>2013</v>
      </c>
      <c r="U18">
        <v>1</v>
      </c>
      <c r="V18" t="s">
        <v>3252</v>
      </c>
    </row>
    <row r="19" spans="1:22" ht="15" customHeight="1" x14ac:dyDescent="0.25">
      <c r="A19">
        <f t="shared" si="3"/>
        <v>18</v>
      </c>
      <c r="B19" t="s">
        <v>3209</v>
      </c>
      <c r="C19" t="s">
        <v>3216</v>
      </c>
      <c r="D19" t="s">
        <v>3227</v>
      </c>
      <c r="E19" t="str">
        <f t="shared" si="0"/>
        <v>Scott</v>
      </c>
      <c r="F19" t="str">
        <f t="shared" si="1"/>
        <v>Seth</v>
      </c>
      <c r="G19" t="s">
        <v>3217</v>
      </c>
      <c r="H19">
        <v>2015</v>
      </c>
      <c r="I19">
        <v>6</v>
      </c>
      <c r="J19">
        <v>57</v>
      </c>
      <c r="K19">
        <v>97</v>
      </c>
      <c r="L19">
        <v>0</v>
      </c>
      <c r="M19">
        <v>1</v>
      </c>
      <c r="N19">
        <v>0</v>
      </c>
      <c r="O19" t="str">
        <f t="shared" si="2"/>
        <v>L 57-97 vs. Seth</v>
      </c>
      <c r="R19">
        <f t="shared" si="4"/>
        <v>18</v>
      </c>
      <c r="S19" t="s">
        <v>3213</v>
      </c>
      <c r="T19">
        <v>2013</v>
      </c>
      <c r="U19">
        <v>1</v>
      </c>
      <c r="V19" t="s">
        <v>3253</v>
      </c>
    </row>
    <row r="20" spans="1:22" ht="15" customHeight="1" x14ac:dyDescent="0.25">
      <c r="A20">
        <f t="shared" si="3"/>
        <v>19</v>
      </c>
      <c r="B20" t="s">
        <v>3222</v>
      </c>
      <c r="C20" t="s">
        <v>3211</v>
      </c>
      <c r="D20" t="s">
        <v>3223</v>
      </c>
      <c r="E20" t="str">
        <f t="shared" si="0"/>
        <v>Austin</v>
      </c>
      <c r="F20" t="str">
        <f t="shared" si="1"/>
        <v>Anthony</v>
      </c>
      <c r="G20" t="s">
        <v>3201</v>
      </c>
      <c r="H20">
        <v>2013</v>
      </c>
      <c r="I20">
        <v>6</v>
      </c>
      <c r="J20">
        <v>58</v>
      </c>
      <c r="K20">
        <v>108</v>
      </c>
      <c r="L20">
        <v>0</v>
      </c>
      <c r="M20">
        <v>1</v>
      </c>
      <c r="N20">
        <v>0</v>
      </c>
      <c r="O20" t="str">
        <f t="shared" si="2"/>
        <v>L 58-108 vs. Anthony</v>
      </c>
      <c r="R20">
        <f t="shared" si="4"/>
        <v>19</v>
      </c>
      <c r="S20" t="s">
        <v>3244</v>
      </c>
      <c r="T20">
        <v>2013</v>
      </c>
      <c r="U20">
        <v>1</v>
      </c>
      <c r="V20" t="s">
        <v>3254</v>
      </c>
    </row>
    <row r="21" spans="1:22" ht="15" customHeight="1" x14ac:dyDescent="0.25">
      <c r="A21">
        <f t="shared" si="3"/>
        <v>20</v>
      </c>
      <c r="B21" t="s">
        <v>3209</v>
      </c>
      <c r="C21" t="s">
        <v>3222</v>
      </c>
      <c r="D21" t="s">
        <v>3227</v>
      </c>
      <c r="E21" t="str">
        <f t="shared" si="0"/>
        <v>Scott</v>
      </c>
      <c r="F21" t="str">
        <f t="shared" si="1"/>
        <v>Taylor</v>
      </c>
      <c r="G21" t="s">
        <v>3200</v>
      </c>
      <c r="H21">
        <v>2016</v>
      </c>
      <c r="I21">
        <v>5</v>
      </c>
      <c r="J21">
        <v>58</v>
      </c>
      <c r="K21">
        <v>98</v>
      </c>
      <c r="L21">
        <v>0</v>
      </c>
      <c r="M21">
        <v>1</v>
      </c>
      <c r="N21">
        <v>0</v>
      </c>
      <c r="O21" t="str">
        <f t="shared" si="2"/>
        <v>L 58-98 vs. Taylor</v>
      </c>
      <c r="R21">
        <f t="shared" si="4"/>
        <v>20</v>
      </c>
      <c r="S21" t="s">
        <v>3255</v>
      </c>
      <c r="T21">
        <v>2016</v>
      </c>
      <c r="U21">
        <v>1</v>
      </c>
      <c r="V21" t="s">
        <v>3256</v>
      </c>
    </row>
    <row r="22" spans="1:22" ht="15" customHeight="1" x14ac:dyDescent="0.25">
      <c r="A22">
        <f t="shared" si="3"/>
        <v>21</v>
      </c>
      <c r="B22" t="s">
        <v>3213</v>
      </c>
      <c r="C22" t="s">
        <v>3212</v>
      </c>
      <c r="D22" t="s">
        <v>3214</v>
      </c>
      <c r="E22" t="str">
        <f t="shared" si="0"/>
        <v>Cory</v>
      </c>
      <c r="F22" t="str">
        <f t="shared" si="1"/>
        <v>Ty</v>
      </c>
      <c r="G22" t="s">
        <v>3198</v>
      </c>
      <c r="H22">
        <v>2015</v>
      </c>
      <c r="I22">
        <v>2</v>
      </c>
      <c r="J22">
        <v>58</v>
      </c>
      <c r="K22">
        <v>87</v>
      </c>
      <c r="L22">
        <v>0</v>
      </c>
      <c r="M22">
        <v>1</v>
      </c>
      <c r="N22">
        <v>0</v>
      </c>
      <c r="O22" t="str">
        <f t="shared" si="2"/>
        <v>L 58-87 vs. Ty</v>
      </c>
      <c r="R22">
        <f t="shared" si="4"/>
        <v>21</v>
      </c>
      <c r="S22" t="s">
        <v>3209</v>
      </c>
      <c r="T22">
        <v>2016</v>
      </c>
      <c r="U22">
        <v>1</v>
      </c>
      <c r="V22" t="s">
        <v>3257</v>
      </c>
    </row>
    <row r="23" spans="1:22" ht="15" customHeight="1" x14ac:dyDescent="0.25">
      <c r="A23">
        <f t="shared" si="3"/>
        <v>22</v>
      </c>
      <c r="B23" t="s">
        <v>3222</v>
      </c>
      <c r="C23" t="s">
        <v>3216</v>
      </c>
      <c r="D23" t="s">
        <v>3228</v>
      </c>
      <c r="E23" t="str">
        <f t="shared" si="0"/>
        <v>Jason</v>
      </c>
      <c r="F23" t="str">
        <f t="shared" si="1"/>
        <v>Seth</v>
      </c>
      <c r="G23" t="s">
        <v>3217</v>
      </c>
      <c r="H23">
        <v>2017</v>
      </c>
      <c r="I23">
        <v>13</v>
      </c>
      <c r="J23">
        <v>59</v>
      </c>
      <c r="K23">
        <v>98</v>
      </c>
      <c r="L23">
        <v>0</v>
      </c>
      <c r="M23">
        <v>1</v>
      </c>
      <c r="N23">
        <v>0</v>
      </c>
      <c r="O23" t="str">
        <f t="shared" si="2"/>
        <v>L 59-98 vs. Seth</v>
      </c>
      <c r="R23">
        <f t="shared" si="4"/>
        <v>22</v>
      </c>
      <c r="S23" t="s">
        <v>3213</v>
      </c>
      <c r="T23">
        <v>2017</v>
      </c>
      <c r="U23">
        <v>1</v>
      </c>
      <c r="V23" t="s">
        <v>3258</v>
      </c>
    </row>
    <row r="24" spans="1:22" x14ac:dyDescent="0.25">
      <c r="A24">
        <f t="shared" si="3"/>
        <v>23</v>
      </c>
      <c r="B24" t="s">
        <v>3218</v>
      </c>
      <c r="C24" t="s">
        <v>3216</v>
      </c>
      <c r="D24" t="s">
        <v>3219</v>
      </c>
      <c r="E24" t="str">
        <f t="shared" si="0"/>
        <v>Matthew</v>
      </c>
      <c r="F24" t="str">
        <f t="shared" si="1"/>
        <v>Seth</v>
      </c>
      <c r="G24" t="s">
        <v>3217</v>
      </c>
      <c r="H24">
        <v>2015</v>
      </c>
      <c r="I24">
        <v>10</v>
      </c>
      <c r="J24">
        <v>59</v>
      </c>
      <c r="K24">
        <v>79</v>
      </c>
      <c r="L24">
        <v>0</v>
      </c>
      <c r="M24">
        <v>1</v>
      </c>
      <c r="N24">
        <v>0</v>
      </c>
      <c r="O24" t="str">
        <f t="shared" si="2"/>
        <v>L 59-79 vs. Seth</v>
      </c>
      <c r="R24">
        <f t="shared" si="4"/>
        <v>23</v>
      </c>
      <c r="S24" t="s">
        <v>3215</v>
      </c>
      <c r="T24">
        <v>2016</v>
      </c>
      <c r="U24">
        <v>1</v>
      </c>
      <c r="V24" t="s">
        <v>3259</v>
      </c>
    </row>
    <row r="25" spans="1:22" ht="15" customHeight="1" x14ac:dyDescent="0.25">
      <c r="A25">
        <f t="shared" si="3"/>
        <v>24</v>
      </c>
      <c r="B25" t="s">
        <v>3208</v>
      </c>
      <c r="C25" t="s">
        <v>3211</v>
      </c>
      <c r="D25" t="s">
        <v>3210</v>
      </c>
      <c r="E25" t="str">
        <f t="shared" si="0"/>
        <v>Spencer</v>
      </c>
      <c r="F25" t="str">
        <f t="shared" si="1"/>
        <v>Anthony</v>
      </c>
      <c r="G25" t="s">
        <v>3201</v>
      </c>
      <c r="H25">
        <v>2013</v>
      </c>
      <c r="I25">
        <v>7</v>
      </c>
      <c r="J25">
        <v>60</v>
      </c>
      <c r="K25">
        <v>113</v>
      </c>
      <c r="L25">
        <v>0</v>
      </c>
      <c r="M25">
        <v>1</v>
      </c>
      <c r="N25">
        <v>0</v>
      </c>
      <c r="O25" t="str">
        <f t="shared" si="2"/>
        <v>L 60-113 vs. Anthony</v>
      </c>
      <c r="R25">
        <f t="shared" si="4"/>
        <v>24</v>
      </c>
      <c r="S25" t="s">
        <v>3213</v>
      </c>
      <c r="T25">
        <v>2014</v>
      </c>
      <c r="U25">
        <v>1</v>
      </c>
      <c r="V25" t="s">
        <v>3260</v>
      </c>
    </row>
    <row r="26" spans="1:22" x14ac:dyDescent="0.25">
      <c r="A26">
        <f t="shared" si="3"/>
        <v>25</v>
      </c>
      <c r="B26" t="s">
        <v>3222</v>
      </c>
      <c r="C26" t="s">
        <v>3220</v>
      </c>
      <c r="D26" t="s">
        <v>3228</v>
      </c>
      <c r="E26" t="str">
        <f t="shared" si="0"/>
        <v>Jason</v>
      </c>
      <c r="F26" t="str">
        <f t="shared" si="1"/>
        <v>Perry</v>
      </c>
      <c r="G26" t="s">
        <v>3226</v>
      </c>
      <c r="H26">
        <v>2017</v>
      </c>
      <c r="I26">
        <v>2</v>
      </c>
      <c r="J26">
        <v>60</v>
      </c>
      <c r="K26">
        <v>102</v>
      </c>
      <c r="L26">
        <v>0</v>
      </c>
      <c r="M26">
        <v>1</v>
      </c>
      <c r="N26">
        <v>0</v>
      </c>
      <c r="O26" t="str">
        <f t="shared" si="2"/>
        <v>L 60-102 vs. Perry</v>
      </c>
      <c r="R26">
        <f t="shared" si="4"/>
        <v>25</v>
      </c>
      <c r="S26" t="s">
        <v>3244</v>
      </c>
      <c r="T26">
        <v>2014</v>
      </c>
      <c r="U26">
        <v>1</v>
      </c>
      <c r="V26" t="s">
        <v>3261</v>
      </c>
    </row>
    <row r="27" spans="1:22" ht="15" customHeight="1" x14ac:dyDescent="0.25">
      <c r="A27">
        <f t="shared" si="3"/>
        <v>26</v>
      </c>
      <c r="B27" t="s">
        <v>3216</v>
      </c>
      <c r="C27" t="s">
        <v>3208</v>
      </c>
      <c r="D27" t="s">
        <v>3217</v>
      </c>
      <c r="E27" t="str">
        <f t="shared" si="0"/>
        <v>Seth</v>
      </c>
      <c r="F27" t="str">
        <f t="shared" si="1"/>
        <v>Chad</v>
      </c>
      <c r="G27" t="s">
        <v>3225</v>
      </c>
      <c r="H27">
        <v>2016</v>
      </c>
      <c r="I27">
        <v>4</v>
      </c>
      <c r="J27">
        <v>60</v>
      </c>
      <c r="K27">
        <v>101</v>
      </c>
      <c r="L27">
        <v>0</v>
      </c>
      <c r="M27">
        <v>1</v>
      </c>
      <c r="N27">
        <v>0</v>
      </c>
      <c r="O27" t="str">
        <f t="shared" si="2"/>
        <v>L 60-101 vs. Chad</v>
      </c>
      <c r="R27">
        <f t="shared" si="4"/>
        <v>26</v>
      </c>
      <c r="S27" t="s">
        <v>3255</v>
      </c>
      <c r="T27">
        <v>2017</v>
      </c>
      <c r="U27">
        <v>1</v>
      </c>
      <c r="V27" t="s">
        <v>3262</v>
      </c>
    </row>
    <row r="28" spans="1:22" ht="15" customHeight="1" x14ac:dyDescent="0.25">
      <c r="A28">
        <f t="shared" si="3"/>
        <v>27</v>
      </c>
      <c r="B28" t="s">
        <v>3215</v>
      </c>
      <c r="C28" t="s">
        <v>3222</v>
      </c>
      <c r="D28" t="s">
        <v>3199</v>
      </c>
      <c r="E28" t="str">
        <f t="shared" si="0"/>
        <v>Devon</v>
      </c>
      <c r="F28" t="str">
        <f t="shared" si="1"/>
        <v>Taylor</v>
      </c>
      <c r="G28" t="s">
        <v>3200</v>
      </c>
      <c r="H28">
        <v>2015</v>
      </c>
      <c r="I28">
        <v>10</v>
      </c>
      <c r="J28">
        <v>60</v>
      </c>
      <c r="K28">
        <v>78</v>
      </c>
      <c r="L28">
        <v>0</v>
      </c>
      <c r="M28">
        <v>1</v>
      </c>
      <c r="N28">
        <v>0</v>
      </c>
      <c r="O28" t="str">
        <f t="shared" si="2"/>
        <v>L 60-78 vs. Taylor</v>
      </c>
      <c r="R28">
        <f t="shared" si="4"/>
        <v>27</v>
      </c>
      <c r="S28" t="s">
        <v>3209</v>
      </c>
      <c r="T28">
        <v>2015</v>
      </c>
      <c r="U28">
        <v>1</v>
      </c>
      <c r="V28" t="s">
        <v>3263</v>
      </c>
    </row>
    <row r="29" spans="1:22" ht="15" customHeight="1" x14ac:dyDescent="0.25">
      <c r="A29">
        <f t="shared" si="3"/>
        <v>28</v>
      </c>
      <c r="B29" t="s">
        <v>3215</v>
      </c>
      <c r="C29" t="s">
        <v>3213</v>
      </c>
      <c r="D29" t="s">
        <v>3199</v>
      </c>
      <c r="E29" t="str">
        <f t="shared" si="0"/>
        <v>Devon</v>
      </c>
      <c r="F29" t="str">
        <f t="shared" si="1"/>
        <v>Cory</v>
      </c>
      <c r="G29" t="s">
        <v>3214</v>
      </c>
      <c r="H29">
        <v>2014</v>
      </c>
      <c r="I29">
        <v>5</v>
      </c>
      <c r="J29">
        <v>60</v>
      </c>
      <c r="K29">
        <v>76</v>
      </c>
      <c r="L29">
        <v>0</v>
      </c>
      <c r="M29">
        <v>1</v>
      </c>
      <c r="N29">
        <v>0</v>
      </c>
      <c r="O29" t="str">
        <f t="shared" si="2"/>
        <v>L 60-76 vs. Cory</v>
      </c>
      <c r="R29">
        <f t="shared" si="4"/>
        <v>28</v>
      </c>
      <c r="S29" t="s">
        <v>3264</v>
      </c>
      <c r="T29">
        <v>2013</v>
      </c>
      <c r="U29">
        <v>1</v>
      </c>
      <c r="V29" t="s">
        <v>3265</v>
      </c>
    </row>
    <row r="30" spans="1:22" ht="15" customHeight="1" x14ac:dyDescent="0.25">
      <c r="A30">
        <f t="shared" si="3"/>
        <v>29</v>
      </c>
      <c r="B30" t="s">
        <v>3212</v>
      </c>
      <c r="C30" t="s">
        <v>3211</v>
      </c>
      <c r="D30" t="s">
        <v>3198</v>
      </c>
      <c r="E30" t="str">
        <f t="shared" si="0"/>
        <v>Ty</v>
      </c>
      <c r="F30" t="str">
        <f t="shared" si="1"/>
        <v>Anthony</v>
      </c>
      <c r="G30" t="s">
        <v>3201</v>
      </c>
      <c r="H30">
        <v>2014</v>
      </c>
      <c r="I30">
        <v>4</v>
      </c>
      <c r="J30">
        <v>61</v>
      </c>
      <c r="K30">
        <v>108</v>
      </c>
      <c r="L30">
        <v>0</v>
      </c>
      <c r="M30">
        <v>1</v>
      </c>
      <c r="N30">
        <v>0</v>
      </c>
      <c r="O30" t="str">
        <f t="shared" si="2"/>
        <v>L 61-108 vs. Anthony</v>
      </c>
      <c r="R30">
        <f t="shared" si="4"/>
        <v>29</v>
      </c>
      <c r="S30" t="s">
        <v>3209</v>
      </c>
      <c r="T30">
        <v>2014</v>
      </c>
      <c r="U30">
        <v>1</v>
      </c>
      <c r="V30" t="s">
        <v>3266</v>
      </c>
    </row>
    <row r="31" spans="1:22" ht="15" customHeight="1" x14ac:dyDescent="0.25">
      <c r="A31">
        <f t="shared" si="3"/>
        <v>30</v>
      </c>
      <c r="B31" t="s">
        <v>3218</v>
      </c>
      <c r="C31" t="s">
        <v>3209</v>
      </c>
      <c r="D31" t="s">
        <v>3219</v>
      </c>
      <c r="E31" t="str">
        <f t="shared" si="0"/>
        <v>Matthew</v>
      </c>
      <c r="F31" t="str">
        <f t="shared" si="1"/>
        <v>Scott</v>
      </c>
      <c r="G31" t="s">
        <v>3227</v>
      </c>
      <c r="H31">
        <v>2015</v>
      </c>
      <c r="I31">
        <v>7</v>
      </c>
      <c r="J31">
        <v>61</v>
      </c>
      <c r="K31">
        <v>103</v>
      </c>
      <c r="L31">
        <v>0</v>
      </c>
      <c r="M31">
        <v>1</v>
      </c>
      <c r="N31">
        <v>0</v>
      </c>
      <c r="O31" t="str">
        <f t="shared" si="2"/>
        <v>L 61-103 vs. Scott</v>
      </c>
      <c r="R31">
        <f t="shared" si="4"/>
        <v>30</v>
      </c>
      <c r="S31" t="s">
        <v>3212</v>
      </c>
      <c r="T31">
        <v>2014</v>
      </c>
      <c r="U31">
        <v>1</v>
      </c>
      <c r="V31" t="s">
        <v>3267</v>
      </c>
    </row>
    <row r="32" spans="1:22" ht="15" customHeight="1" x14ac:dyDescent="0.25">
      <c r="A32">
        <f t="shared" si="3"/>
        <v>31</v>
      </c>
      <c r="B32" t="s">
        <v>3213</v>
      </c>
      <c r="C32" t="s">
        <v>3211</v>
      </c>
      <c r="D32" t="s">
        <v>3214</v>
      </c>
      <c r="E32" t="str">
        <f t="shared" si="0"/>
        <v>Cory</v>
      </c>
      <c r="F32" t="str">
        <f t="shared" si="1"/>
        <v>Anthony</v>
      </c>
      <c r="G32" t="s">
        <v>3201</v>
      </c>
      <c r="H32">
        <v>2014</v>
      </c>
      <c r="I32">
        <v>6</v>
      </c>
      <c r="J32">
        <v>61</v>
      </c>
      <c r="K32">
        <v>88</v>
      </c>
      <c r="L32">
        <v>0</v>
      </c>
      <c r="M32">
        <v>1</v>
      </c>
      <c r="N32">
        <v>0</v>
      </c>
      <c r="O32" t="str">
        <f t="shared" si="2"/>
        <v>L 61-88 vs. Anthony</v>
      </c>
      <c r="R32">
        <f t="shared" si="4"/>
        <v>31</v>
      </c>
      <c r="S32" t="s">
        <v>3211</v>
      </c>
      <c r="T32">
        <v>2015</v>
      </c>
      <c r="U32">
        <v>1</v>
      </c>
      <c r="V32" t="s">
        <v>3268</v>
      </c>
    </row>
    <row r="33" spans="1:22" ht="15" customHeight="1" x14ac:dyDescent="0.25">
      <c r="A33">
        <f t="shared" si="3"/>
        <v>32</v>
      </c>
      <c r="B33" t="s">
        <v>3208</v>
      </c>
      <c r="C33" t="s">
        <v>3213</v>
      </c>
      <c r="D33" t="s">
        <v>3225</v>
      </c>
      <c r="E33" t="str">
        <f t="shared" si="0"/>
        <v>Chad</v>
      </c>
      <c r="F33" t="str">
        <f t="shared" si="1"/>
        <v>Cory</v>
      </c>
      <c r="G33" t="s">
        <v>3214</v>
      </c>
      <c r="H33">
        <v>2015</v>
      </c>
      <c r="I33">
        <v>11</v>
      </c>
      <c r="J33">
        <v>61</v>
      </c>
      <c r="K33">
        <v>76</v>
      </c>
      <c r="L33">
        <v>0</v>
      </c>
      <c r="M33">
        <v>1</v>
      </c>
      <c r="N33">
        <v>0</v>
      </c>
      <c r="O33" t="str">
        <f t="shared" si="2"/>
        <v>L 61-76 vs. Cory</v>
      </c>
      <c r="R33">
        <f t="shared" si="4"/>
        <v>32</v>
      </c>
      <c r="S33" t="s">
        <v>3216</v>
      </c>
      <c r="T33">
        <v>2014</v>
      </c>
      <c r="U33">
        <v>1</v>
      </c>
      <c r="V33" t="s">
        <v>3269</v>
      </c>
    </row>
    <row r="34" spans="1:22" ht="15" customHeight="1" x14ac:dyDescent="0.25">
      <c r="A34">
        <f t="shared" si="3"/>
        <v>33</v>
      </c>
      <c r="B34" t="s">
        <v>3213</v>
      </c>
      <c r="C34" t="s">
        <v>3209</v>
      </c>
      <c r="D34" t="s">
        <v>3214</v>
      </c>
      <c r="E34" t="str">
        <f t="shared" si="0"/>
        <v>Cory</v>
      </c>
      <c r="F34" t="str">
        <f t="shared" si="1"/>
        <v>Scott</v>
      </c>
      <c r="G34" t="s">
        <v>3227</v>
      </c>
      <c r="H34">
        <v>2015</v>
      </c>
      <c r="I34">
        <v>4</v>
      </c>
      <c r="J34">
        <v>62</v>
      </c>
      <c r="K34">
        <v>86</v>
      </c>
      <c r="L34">
        <v>0</v>
      </c>
      <c r="M34">
        <v>1</v>
      </c>
      <c r="N34">
        <v>0</v>
      </c>
      <c r="O34" t="str">
        <f t="shared" si="2"/>
        <v>L 62-86 vs. Scott</v>
      </c>
      <c r="R34">
        <f t="shared" si="4"/>
        <v>33</v>
      </c>
      <c r="S34" t="s">
        <v>3215</v>
      </c>
      <c r="T34">
        <v>2013</v>
      </c>
      <c r="U34">
        <v>1</v>
      </c>
      <c r="V34" t="s">
        <v>3270</v>
      </c>
    </row>
    <row r="35" spans="1:22" ht="15" customHeight="1" x14ac:dyDescent="0.25">
      <c r="A35">
        <f t="shared" si="3"/>
        <v>34</v>
      </c>
      <c r="B35" t="s">
        <v>3208</v>
      </c>
      <c r="C35" t="s">
        <v>3218</v>
      </c>
      <c r="D35" t="s">
        <v>3225</v>
      </c>
      <c r="E35" t="str">
        <f t="shared" si="0"/>
        <v>Chad</v>
      </c>
      <c r="F35" t="str">
        <f t="shared" si="1"/>
        <v>Matthew</v>
      </c>
      <c r="G35" t="s">
        <v>3219</v>
      </c>
      <c r="H35">
        <v>2015</v>
      </c>
      <c r="I35">
        <v>1</v>
      </c>
      <c r="J35">
        <v>62</v>
      </c>
      <c r="K35">
        <v>83</v>
      </c>
      <c r="L35">
        <v>0</v>
      </c>
      <c r="M35">
        <v>1</v>
      </c>
      <c r="N35">
        <v>0</v>
      </c>
      <c r="O35" t="str">
        <f t="shared" si="2"/>
        <v>L 62-83 vs. Matthew</v>
      </c>
      <c r="R35">
        <f t="shared" si="4"/>
        <v>34</v>
      </c>
      <c r="S35" t="s">
        <v>3255</v>
      </c>
      <c r="T35">
        <v>2014</v>
      </c>
      <c r="U35">
        <v>1</v>
      </c>
      <c r="V35" t="s">
        <v>3271</v>
      </c>
    </row>
    <row r="36" spans="1:22" ht="15" customHeight="1" x14ac:dyDescent="0.25">
      <c r="A36">
        <f t="shared" si="3"/>
        <v>35</v>
      </c>
      <c r="B36" t="s">
        <v>3216</v>
      </c>
      <c r="C36" t="s">
        <v>3211</v>
      </c>
      <c r="D36" t="s">
        <v>3217</v>
      </c>
      <c r="E36" t="str">
        <f t="shared" si="0"/>
        <v>Seth</v>
      </c>
      <c r="F36" t="str">
        <f t="shared" si="1"/>
        <v>Anthony</v>
      </c>
      <c r="G36" t="s">
        <v>3201</v>
      </c>
      <c r="H36">
        <v>2015</v>
      </c>
      <c r="I36">
        <v>11</v>
      </c>
      <c r="J36">
        <v>62</v>
      </c>
      <c r="K36">
        <v>80</v>
      </c>
      <c r="L36">
        <v>0</v>
      </c>
      <c r="M36">
        <v>1</v>
      </c>
      <c r="N36">
        <v>0</v>
      </c>
      <c r="O36" t="str">
        <f t="shared" si="2"/>
        <v>L 62-80 vs. Anthony</v>
      </c>
      <c r="R36">
        <f t="shared" si="4"/>
        <v>35</v>
      </c>
      <c r="S36" t="s">
        <v>3211</v>
      </c>
      <c r="T36">
        <v>2014</v>
      </c>
      <c r="U36">
        <v>1</v>
      </c>
      <c r="V36" t="s">
        <v>3272</v>
      </c>
    </row>
    <row r="37" spans="1:22" ht="15" customHeight="1" x14ac:dyDescent="0.25">
      <c r="A37">
        <f t="shared" si="3"/>
        <v>36</v>
      </c>
      <c r="B37" t="s">
        <v>3215</v>
      </c>
      <c r="C37" t="s">
        <v>3208</v>
      </c>
      <c r="D37" t="s">
        <v>3199</v>
      </c>
      <c r="E37" t="str">
        <f t="shared" si="0"/>
        <v>Devon</v>
      </c>
      <c r="F37" t="str">
        <f t="shared" si="1"/>
        <v>Chad</v>
      </c>
      <c r="G37" t="s">
        <v>3225</v>
      </c>
      <c r="H37">
        <v>2017</v>
      </c>
      <c r="I37">
        <v>3</v>
      </c>
      <c r="J37">
        <v>63</v>
      </c>
      <c r="K37">
        <v>123</v>
      </c>
      <c r="L37">
        <v>0</v>
      </c>
      <c r="M37">
        <v>1</v>
      </c>
      <c r="N37">
        <v>0</v>
      </c>
      <c r="O37" t="str">
        <f t="shared" si="2"/>
        <v>L 63-123 vs. Chad</v>
      </c>
      <c r="R37">
        <f t="shared" si="4"/>
        <v>36</v>
      </c>
      <c r="S37" t="s">
        <v>3232</v>
      </c>
      <c r="T37">
        <v>2014</v>
      </c>
      <c r="U37">
        <v>1</v>
      </c>
      <c r="V37" t="s">
        <v>3273</v>
      </c>
    </row>
    <row r="38" spans="1:22" ht="15" customHeight="1" x14ac:dyDescent="0.25">
      <c r="A38">
        <f t="shared" si="3"/>
        <v>37</v>
      </c>
      <c r="B38" t="s">
        <v>3215</v>
      </c>
      <c r="C38" t="s">
        <v>3211</v>
      </c>
      <c r="D38" t="s">
        <v>3199</v>
      </c>
      <c r="E38" t="str">
        <f t="shared" si="0"/>
        <v>Devon</v>
      </c>
      <c r="F38" t="str">
        <f t="shared" si="1"/>
        <v>Anthony</v>
      </c>
      <c r="G38" t="s">
        <v>3201</v>
      </c>
      <c r="H38">
        <v>2014</v>
      </c>
      <c r="I38">
        <v>7</v>
      </c>
      <c r="J38">
        <v>63</v>
      </c>
      <c r="K38">
        <v>106</v>
      </c>
      <c r="L38">
        <v>0</v>
      </c>
      <c r="M38">
        <v>1</v>
      </c>
      <c r="N38">
        <v>0</v>
      </c>
      <c r="O38" t="str">
        <f t="shared" si="2"/>
        <v>L 63-106 vs. Anthony</v>
      </c>
      <c r="R38">
        <f t="shared" si="4"/>
        <v>37</v>
      </c>
      <c r="S38" t="s">
        <v>3244</v>
      </c>
      <c r="T38">
        <v>2015</v>
      </c>
      <c r="U38">
        <v>1</v>
      </c>
      <c r="V38" t="s">
        <v>3274</v>
      </c>
    </row>
    <row r="39" spans="1:22" ht="15" customHeight="1" x14ac:dyDescent="0.25">
      <c r="A39">
        <f t="shared" si="3"/>
        <v>38</v>
      </c>
      <c r="B39" t="s">
        <v>3218</v>
      </c>
      <c r="C39" t="s">
        <v>3208</v>
      </c>
      <c r="D39" t="s">
        <v>3219</v>
      </c>
      <c r="E39" t="str">
        <f t="shared" si="0"/>
        <v>Matthew</v>
      </c>
      <c r="F39" t="str">
        <f t="shared" si="1"/>
        <v>Chad</v>
      </c>
      <c r="G39" t="s">
        <v>3225</v>
      </c>
      <c r="H39">
        <v>2016</v>
      </c>
      <c r="I39">
        <v>9</v>
      </c>
      <c r="J39">
        <v>63</v>
      </c>
      <c r="K39">
        <v>88</v>
      </c>
      <c r="L39">
        <v>0</v>
      </c>
      <c r="M39">
        <v>1</v>
      </c>
      <c r="N39">
        <v>0</v>
      </c>
      <c r="O39" t="str">
        <f t="shared" si="2"/>
        <v>L 63-88 vs. Chad</v>
      </c>
      <c r="R39">
        <f t="shared" si="4"/>
        <v>38</v>
      </c>
      <c r="S39" t="s">
        <v>3213</v>
      </c>
      <c r="T39">
        <v>2015</v>
      </c>
      <c r="U39">
        <v>1</v>
      </c>
      <c r="V39" t="s">
        <v>3275</v>
      </c>
    </row>
    <row r="40" spans="1:22" ht="15" customHeight="1" x14ac:dyDescent="0.25">
      <c r="A40">
        <f t="shared" si="3"/>
        <v>39</v>
      </c>
      <c r="B40" t="s">
        <v>3220</v>
      </c>
      <c r="C40" t="s">
        <v>3212</v>
      </c>
      <c r="D40" t="s">
        <v>3221</v>
      </c>
      <c r="E40" t="str">
        <f t="shared" si="0"/>
        <v>Lucas</v>
      </c>
      <c r="F40" t="str">
        <f t="shared" si="1"/>
        <v>Ty</v>
      </c>
      <c r="G40" t="s">
        <v>3198</v>
      </c>
      <c r="H40">
        <v>2013</v>
      </c>
      <c r="I40">
        <v>7</v>
      </c>
      <c r="J40">
        <v>63</v>
      </c>
      <c r="K40">
        <v>66</v>
      </c>
      <c r="L40">
        <v>0</v>
      </c>
      <c r="M40">
        <v>1</v>
      </c>
      <c r="N40">
        <v>0</v>
      </c>
      <c r="O40" t="str">
        <f t="shared" si="2"/>
        <v>L 63-66 vs. Ty</v>
      </c>
      <c r="R40">
        <f t="shared" si="4"/>
        <v>39</v>
      </c>
      <c r="S40" t="s">
        <v>3216</v>
      </c>
      <c r="T40">
        <v>2016</v>
      </c>
      <c r="U40">
        <v>1</v>
      </c>
      <c r="V40" t="s">
        <v>3276</v>
      </c>
    </row>
    <row r="41" spans="1:22" ht="15" customHeight="1" x14ac:dyDescent="0.25">
      <c r="A41">
        <f t="shared" si="3"/>
        <v>40</v>
      </c>
      <c r="B41" t="s">
        <v>3220</v>
      </c>
      <c r="C41" t="s">
        <v>3216</v>
      </c>
      <c r="D41" t="s">
        <v>3221</v>
      </c>
      <c r="E41" t="str">
        <f t="shared" si="0"/>
        <v>Lucas</v>
      </c>
      <c r="F41" t="str">
        <f t="shared" si="1"/>
        <v>Seth</v>
      </c>
      <c r="G41" t="s">
        <v>3217</v>
      </c>
      <c r="H41">
        <v>2013</v>
      </c>
      <c r="I41">
        <v>4</v>
      </c>
      <c r="J41">
        <v>64</v>
      </c>
      <c r="K41">
        <v>127</v>
      </c>
      <c r="L41">
        <v>0</v>
      </c>
      <c r="M41">
        <v>1</v>
      </c>
      <c r="N41">
        <v>0</v>
      </c>
      <c r="O41" t="str">
        <f t="shared" si="2"/>
        <v>L 64-127 vs. Seth</v>
      </c>
      <c r="R41">
        <f t="shared" si="4"/>
        <v>40</v>
      </c>
      <c r="S41" t="s">
        <v>3235</v>
      </c>
      <c r="T41">
        <v>2017</v>
      </c>
      <c r="U41">
        <v>1</v>
      </c>
      <c r="V41" t="s">
        <v>3277</v>
      </c>
    </row>
    <row r="42" spans="1:22" ht="15" customHeight="1" x14ac:dyDescent="0.25">
      <c r="A42">
        <f t="shared" si="3"/>
        <v>41</v>
      </c>
      <c r="B42" t="s">
        <v>3218</v>
      </c>
      <c r="C42" t="s">
        <v>3211</v>
      </c>
      <c r="D42" t="s">
        <v>3219</v>
      </c>
      <c r="E42" t="str">
        <f t="shared" si="0"/>
        <v>Matthew</v>
      </c>
      <c r="F42" t="str">
        <f t="shared" si="1"/>
        <v>Anthony</v>
      </c>
      <c r="G42" t="s">
        <v>3201</v>
      </c>
      <c r="H42">
        <v>2015</v>
      </c>
      <c r="I42">
        <v>13</v>
      </c>
      <c r="J42">
        <v>64</v>
      </c>
      <c r="K42">
        <v>100</v>
      </c>
      <c r="L42">
        <v>0</v>
      </c>
      <c r="M42">
        <v>1</v>
      </c>
      <c r="N42">
        <v>0</v>
      </c>
      <c r="O42" t="str">
        <f t="shared" si="2"/>
        <v>L 64-100 vs. Anthony</v>
      </c>
      <c r="R42">
        <f t="shared" si="4"/>
        <v>41</v>
      </c>
      <c r="S42" t="s">
        <v>3213</v>
      </c>
      <c r="T42">
        <v>2016</v>
      </c>
      <c r="U42">
        <v>1</v>
      </c>
      <c r="V42" t="s">
        <v>3278</v>
      </c>
    </row>
    <row r="43" spans="1:22" ht="15" customHeight="1" x14ac:dyDescent="0.25">
      <c r="A43">
        <f t="shared" si="3"/>
        <v>42</v>
      </c>
      <c r="B43" t="s">
        <v>3220</v>
      </c>
      <c r="C43" t="s">
        <v>3222</v>
      </c>
      <c r="D43" t="s">
        <v>3226</v>
      </c>
      <c r="E43" t="str">
        <f t="shared" si="0"/>
        <v>Perry</v>
      </c>
      <c r="F43" t="str">
        <f t="shared" si="1"/>
        <v>Taylor</v>
      </c>
      <c r="G43" t="s">
        <v>3200</v>
      </c>
      <c r="H43">
        <v>2015</v>
      </c>
      <c r="I43">
        <v>11</v>
      </c>
      <c r="J43">
        <v>64</v>
      </c>
      <c r="K43">
        <v>78</v>
      </c>
      <c r="L43">
        <v>0</v>
      </c>
      <c r="M43">
        <v>1</v>
      </c>
      <c r="N43">
        <v>0</v>
      </c>
      <c r="O43" t="str">
        <f t="shared" si="2"/>
        <v>L 64-78 vs. Taylor</v>
      </c>
      <c r="R43">
        <f t="shared" si="4"/>
        <v>42</v>
      </c>
      <c r="S43" t="s">
        <v>3212</v>
      </c>
      <c r="T43">
        <v>2015</v>
      </c>
      <c r="U43">
        <v>1</v>
      </c>
      <c r="V43" t="s">
        <v>3279</v>
      </c>
    </row>
    <row r="44" spans="1:22" ht="15" customHeight="1" x14ac:dyDescent="0.25">
      <c r="A44">
        <f t="shared" si="3"/>
        <v>43</v>
      </c>
      <c r="B44" t="s">
        <v>3222</v>
      </c>
      <c r="C44" t="s">
        <v>3209</v>
      </c>
      <c r="D44" t="s">
        <v>3223</v>
      </c>
      <c r="E44" t="str">
        <f t="shared" si="0"/>
        <v>Austin</v>
      </c>
      <c r="F44" t="str">
        <f t="shared" si="1"/>
        <v>Scott</v>
      </c>
      <c r="G44" t="s">
        <v>3227</v>
      </c>
      <c r="H44">
        <v>2013</v>
      </c>
      <c r="I44">
        <v>10</v>
      </c>
      <c r="J44">
        <v>64</v>
      </c>
      <c r="K44">
        <v>72</v>
      </c>
      <c r="L44">
        <v>0</v>
      </c>
      <c r="M44">
        <v>1</v>
      </c>
      <c r="N44">
        <v>0</v>
      </c>
      <c r="O44" t="str">
        <f t="shared" si="2"/>
        <v>L 64-72 vs. Scott</v>
      </c>
      <c r="R44">
        <f t="shared" si="4"/>
        <v>43</v>
      </c>
      <c r="S44" t="s">
        <v>3232</v>
      </c>
      <c r="T44">
        <v>2016</v>
      </c>
      <c r="U44">
        <v>1</v>
      </c>
      <c r="V44" t="s">
        <v>3280</v>
      </c>
    </row>
    <row r="45" spans="1:22" ht="15" customHeight="1" x14ac:dyDescent="0.25">
      <c r="A45">
        <f t="shared" si="3"/>
        <v>44</v>
      </c>
      <c r="B45" t="s">
        <v>3222</v>
      </c>
      <c r="C45" t="s">
        <v>3220</v>
      </c>
      <c r="D45" t="s">
        <v>3223</v>
      </c>
      <c r="E45" t="str">
        <f t="shared" si="0"/>
        <v>Austin</v>
      </c>
      <c r="F45" t="str">
        <f t="shared" si="1"/>
        <v>Lucas</v>
      </c>
      <c r="G45" t="s">
        <v>3221</v>
      </c>
      <c r="H45">
        <v>2013</v>
      </c>
      <c r="I45">
        <v>5</v>
      </c>
      <c r="J45">
        <v>64</v>
      </c>
      <c r="K45">
        <v>72</v>
      </c>
      <c r="L45">
        <v>0</v>
      </c>
      <c r="M45">
        <v>1</v>
      </c>
      <c r="N45">
        <v>0</v>
      </c>
      <c r="O45" t="str">
        <f t="shared" si="2"/>
        <v>L 64-72 vs. Lucas</v>
      </c>
      <c r="R45">
        <f t="shared" si="4"/>
        <v>44</v>
      </c>
      <c r="S45" t="s">
        <v>3212</v>
      </c>
      <c r="T45">
        <v>2017</v>
      </c>
      <c r="U45">
        <v>1</v>
      </c>
      <c r="V45" t="s">
        <v>3281</v>
      </c>
    </row>
    <row r="46" spans="1:22" ht="15" customHeight="1" x14ac:dyDescent="0.25">
      <c r="A46">
        <f t="shared" si="3"/>
        <v>45</v>
      </c>
      <c r="B46" t="s">
        <v>3222</v>
      </c>
      <c r="C46" t="s">
        <v>3216</v>
      </c>
      <c r="D46" t="s">
        <v>3200</v>
      </c>
      <c r="E46" t="str">
        <f t="shared" si="0"/>
        <v>Taylor</v>
      </c>
      <c r="F46" t="str">
        <f t="shared" si="1"/>
        <v>Seth</v>
      </c>
      <c r="G46" t="s">
        <v>3217</v>
      </c>
      <c r="H46">
        <v>2014</v>
      </c>
      <c r="I46">
        <v>13</v>
      </c>
      <c r="J46">
        <v>65</v>
      </c>
      <c r="K46">
        <v>170</v>
      </c>
      <c r="L46">
        <v>0</v>
      </c>
      <c r="M46">
        <v>1</v>
      </c>
      <c r="N46">
        <v>0</v>
      </c>
      <c r="O46" t="str">
        <f t="shared" si="2"/>
        <v>L 65-170 vs. Seth</v>
      </c>
      <c r="R46">
        <f t="shared" si="4"/>
        <v>45</v>
      </c>
      <c r="S46" t="s">
        <v>3244</v>
      </c>
      <c r="T46">
        <v>2017</v>
      </c>
      <c r="U46">
        <v>1</v>
      </c>
      <c r="V46" t="s">
        <v>3282</v>
      </c>
    </row>
    <row r="47" spans="1:22" ht="15" customHeight="1" x14ac:dyDescent="0.25">
      <c r="A47">
        <f t="shared" si="3"/>
        <v>46</v>
      </c>
      <c r="B47" t="s">
        <v>3220</v>
      </c>
      <c r="C47" t="s">
        <v>3208</v>
      </c>
      <c r="D47" t="s">
        <v>3221</v>
      </c>
      <c r="E47" t="str">
        <f t="shared" si="0"/>
        <v>Lucas</v>
      </c>
      <c r="F47" t="str">
        <f t="shared" si="1"/>
        <v>Spencer</v>
      </c>
      <c r="G47" t="s">
        <v>3210</v>
      </c>
      <c r="H47">
        <v>2013</v>
      </c>
      <c r="I47">
        <v>2</v>
      </c>
      <c r="J47">
        <v>65</v>
      </c>
      <c r="K47">
        <v>114</v>
      </c>
      <c r="L47">
        <v>0</v>
      </c>
      <c r="M47">
        <v>1</v>
      </c>
      <c r="N47">
        <v>0</v>
      </c>
      <c r="O47" t="str">
        <f t="shared" si="2"/>
        <v>L 65-114 vs. Spencer</v>
      </c>
      <c r="R47">
        <f t="shared" si="4"/>
        <v>46</v>
      </c>
      <c r="S47" t="s">
        <v>3215</v>
      </c>
      <c r="T47">
        <v>2017</v>
      </c>
      <c r="U47">
        <v>1</v>
      </c>
      <c r="V47" t="s">
        <v>3283</v>
      </c>
    </row>
    <row r="48" spans="1:22" ht="15" customHeight="1" x14ac:dyDescent="0.25">
      <c r="A48">
        <f t="shared" si="3"/>
        <v>47</v>
      </c>
      <c r="B48" t="s">
        <v>3212</v>
      </c>
      <c r="C48" t="s">
        <v>3213</v>
      </c>
      <c r="D48" t="s">
        <v>3198</v>
      </c>
      <c r="E48" t="str">
        <f t="shared" si="0"/>
        <v>Ty</v>
      </c>
      <c r="F48" t="str">
        <f t="shared" si="1"/>
        <v>Cory</v>
      </c>
      <c r="G48" t="s">
        <v>3214</v>
      </c>
      <c r="H48">
        <v>2017</v>
      </c>
      <c r="I48">
        <v>2</v>
      </c>
      <c r="J48">
        <v>65</v>
      </c>
      <c r="K48">
        <v>97</v>
      </c>
      <c r="L48">
        <v>0</v>
      </c>
      <c r="M48">
        <v>1</v>
      </c>
      <c r="N48">
        <v>0</v>
      </c>
      <c r="O48" t="str">
        <f t="shared" si="2"/>
        <v>L 65-97 vs. Cory</v>
      </c>
      <c r="R48">
        <f t="shared" si="4"/>
        <v>47</v>
      </c>
      <c r="S48" t="s">
        <v>3211</v>
      </c>
      <c r="T48">
        <v>2017</v>
      </c>
      <c r="U48">
        <v>1</v>
      </c>
      <c r="V48" t="s">
        <v>3285</v>
      </c>
    </row>
    <row r="49" spans="1:22" ht="15" customHeight="1" x14ac:dyDescent="0.25">
      <c r="A49">
        <f t="shared" si="3"/>
        <v>48</v>
      </c>
      <c r="B49" t="s">
        <v>3216</v>
      </c>
      <c r="C49" t="s">
        <v>3208</v>
      </c>
      <c r="D49" t="s">
        <v>3217</v>
      </c>
      <c r="E49" t="str">
        <f t="shared" si="0"/>
        <v>Seth</v>
      </c>
      <c r="F49" t="str">
        <f t="shared" si="1"/>
        <v>Chad</v>
      </c>
      <c r="G49" t="s">
        <v>3225</v>
      </c>
      <c r="H49">
        <v>2015</v>
      </c>
      <c r="I49">
        <v>12</v>
      </c>
      <c r="J49">
        <v>65</v>
      </c>
      <c r="K49">
        <v>96</v>
      </c>
      <c r="L49">
        <v>0</v>
      </c>
      <c r="M49">
        <v>1</v>
      </c>
      <c r="N49">
        <v>0</v>
      </c>
      <c r="O49" t="str">
        <f t="shared" si="2"/>
        <v>L 65-96 vs. Chad</v>
      </c>
      <c r="R49">
        <f t="shared" si="4"/>
        <v>48</v>
      </c>
      <c r="S49" t="s">
        <v>3284</v>
      </c>
      <c r="T49">
        <v>2017</v>
      </c>
      <c r="U49">
        <v>1</v>
      </c>
      <c r="V49" t="s">
        <v>3286</v>
      </c>
    </row>
    <row r="50" spans="1:22" ht="15" customHeight="1" x14ac:dyDescent="0.25">
      <c r="A50">
        <f t="shared" si="3"/>
        <v>49</v>
      </c>
      <c r="B50" t="s">
        <v>3218</v>
      </c>
      <c r="C50" t="s">
        <v>3222</v>
      </c>
      <c r="D50" t="s">
        <v>3219</v>
      </c>
      <c r="E50" t="str">
        <f t="shared" si="0"/>
        <v>Matthew</v>
      </c>
      <c r="F50" t="str">
        <f t="shared" si="1"/>
        <v>Taylor</v>
      </c>
      <c r="G50" t="s">
        <v>3200</v>
      </c>
      <c r="H50">
        <v>2014</v>
      </c>
      <c r="I50">
        <v>4</v>
      </c>
      <c r="J50">
        <v>65</v>
      </c>
      <c r="K50">
        <v>95</v>
      </c>
      <c r="L50">
        <v>0</v>
      </c>
      <c r="M50">
        <v>1</v>
      </c>
      <c r="N50">
        <v>0</v>
      </c>
      <c r="O50" t="str">
        <f t="shared" si="2"/>
        <v>L 65-95 vs. Taylor</v>
      </c>
      <c r="R50">
        <f t="shared" si="4"/>
        <v>49</v>
      </c>
      <c r="S50" t="s">
        <v>3216</v>
      </c>
      <c r="T50">
        <v>2017</v>
      </c>
      <c r="U50">
        <v>1</v>
      </c>
      <c r="V50" t="s">
        <v>3287</v>
      </c>
    </row>
    <row r="51" spans="1:22" ht="15" customHeight="1" x14ac:dyDescent="0.25">
      <c r="A51">
        <f t="shared" si="3"/>
        <v>50</v>
      </c>
      <c r="B51" t="s">
        <v>3218</v>
      </c>
      <c r="C51" t="s">
        <v>3209</v>
      </c>
      <c r="D51" t="s">
        <v>3219</v>
      </c>
      <c r="E51" t="str">
        <f t="shared" si="0"/>
        <v>Matthew</v>
      </c>
      <c r="F51" t="str">
        <f t="shared" si="1"/>
        <v>Scott</v>
      </c>
      <c r="G51" t="s">
        <v>3227</v>
      </c>
      <c r="H51">
        <v>2017</v>
      </c>
      <c r="I51">
        <v>7</v>
      </c>
      <c r="J51">
        <v>65</v>
      </c>
      <c r="K51">
        <v>82</v>
      </c>
      <c r="L51">
        <v>0</v>
      </c>
      <c r="M51">
        <v>1</v>
      </c>
      <c r="N51">
        <v>0</v>
      </c>
      <c r="O51" t="str">
        <f t="shared" si="2"/>
        <v>L 65-82 vs. Scott</v>
      </c>
      <c r="R51">
        <f t="shared" si="4"/>
        <v>50</v>
      </c>
      <c r="S51" t="s">
        <v>3255</v>
      </c>
      <c r="T51">
        <v>2015</v>
      </c>
      <c r="U51">
        <v>1</v>
      </c>
      <c r="V51" t="s">
        <v>3288</v>
      </c>
    </row>
    <row r="52" spans="1:22" ht="15" customHeight="1" x14ac:dyDescent="0.25">
      <c r="A52">
        <f t="shared" si="3"/>
        <v>51</v>
      </c>
      <c r="B52" t="s">
        <v>3212</v>
      </c>
      <c r="C52" t="s">
        <v>3218</v>
      </c>
      <c r="D52" t="s">
        <v>3198</v>
      </c>
      <c r="E52" t="str">
        <f t="shared" si="0"/>
        <v>Ty</v>
      </c>
      <c r="F52" t="str">
        <f t="shared" si="1"/>
        <v>Matthew</v>
      </c>
      <c r="G52" t="s">
        <v>3219</v>
      </c>
      <c r="H52">
        <v>2013</v>
      </c>
      <c r="I52">
        <v>6</v>
      </c>
      <c r="J52">
        <v>65</v>
      </c>
      <c r="K52">
        <v>71</v>
      </c>
      <c r="L52">
        <v>0</v>
      </c>
      <c r="M52">
        <v>1</v>
      </c>
      <c r="N52">
        <v>0</v>
      </c>
      <c r="O52" t="str">
        <f t="shared" si="2"/>
        <v>L 65-71 vs. Matthew</v>
      </c>
    </row>
    <row r="53" spans="1:22" ht="15" customHeight="1" x14ac:dyDescent="0.25">
      <c r="A53">
        <f t="shared" si="3"/>
        <v>52</v>
      </c>
      <c r="B53" t="s">
        <v>3220</v>
      </c>
      <c r="C53" t="s">
        <v>3209</v>
      </c>
      <c r="D53" t="s">
        <v>3226</v>
      </c>
      <c r="E53" t="str">
        <f t="shared" si="0"/>
        <v>Perry</v>
      </c>
      <c r="F53" t="str">
        <f t="shared" si="1"/>
        <v>Scott</v>
      </c>
      <c r="G53" t="s">
        <v>3227</v>
      </c>
      <c r="H53">
        <v>2016</v>
      </c>
      <c r="I53">
        <v>3</v>
      </c>
      <c r="J53">
        <v>65</v>
      </c>
      <c r="K53">
        <v>69</v>
      </c>
      <c r="L53">
        <v>0</v>
      </c>
      <c r="M53">
        <v>1</v>
      </c>
      <c r="N53">
        <v>0</v>
      </c>
      <c r="O53" t="str">
        <f t="shared" si="2"/>
        <v>L 65-69 vs. Scott</v>
      </c>
    </row>
    <row r="54" spans="1:22" ht="15" customHeight="1" x14ac:dyDescent="0.25">
      <c r="A54">
        <f t="shared" si="3"/>
        <v>53</v>
      </c>
      <c r="B54" t="s">
        <v>3212</v>
      </c>
      <c r="C54" t="s">
        <v>3211</v>
      </c>
      <c r="D54" t="s">
        <v>3198</v>
      </c>
      <c r="E54" t="str">
        <f t="shared" si="0"/>
        <v>Ty</v>
      </c>
      <c r="F54" t="str">
        <f t="shared" si="1"/>
        <v>Anthony</v>
      </c>
      <c r="G54" t="s">
        <v>3201</v>
      </c>
      <c r="H54">
        <v>2013</v>
      </c>
      <c r="I54">
        <v>4</v>
      </c>
      <c r="J54">
        <v>66</v>
      </c>
      <c r="K54">
        <v>147</v>
      </c>
      <c r="L54">
        <v>0</v>
      </c>
      <c r="M54">
        <v>1</v>
      </c>
      <c r="N54">
        <v>0</v>
      </c>
      <c r="O54" t="str">
        <f t="shared" si="2"/>
        <v>L 66-147 vs. Anthony</v>
      </c>
    </row>
    <row r="55" spans="1:22" ht="15" customHeight="1" x14ac:dyDescent="0.25">
      <c r="A55">
        <f t="shared" si="3"/>
        <v>54</v>
      </c>
      <c r="B55" t="s">
        <v>3216</v>
      </c>
      <c r="C55" t="s">
        <v>3220</v>
      </c>
      <c r="D55" t="s">
        <v>3217</v>
      </c>
      <c r="E55" t="str">
        <f t="shared" si="0"/>
        <v>Seth</v>
      </c>
      <c r="F55" t="str">
        <f t="shared" si="1"/>
        <v>Perry</v>
      </c>
      <c r="G55" t="s">
        <v>3226</v>
      </c>
      <c r="H55">
        <v>2015</v>
      </c>
      <c r="I55">
        <v>5</v>
      </c>
      <c r="J55">
        <v>66</v>
      </c>
      <c r="K55">
        <v>105</v>
      </c>
      <c r="L55">
        <v>0</v>
      </c>
      <c r="M55">
        <v>1</v>
      </c>
      <c r="N55">
        <v>0</v>
      </c>
      <c r="O55" t="str">
        <f t="shared" si="2"/>
        <v>L 66-105 vs. Perry</v>
      </c>
    </row>
    <row r="56" spans="1:22" ht="15" customHeight="1" x14ac:dyDescent="0.25">
      <c r="A56">
        <f t="shared" si="3"/>
        <v>55</v>
      </c>
      <c r="B56" t="s">
        <v>3213</v>
      </c>
      <c r="C56" t="s">
        <v>3220</v>
      </c>
      <c r="D56" t="s">
        <v>3214</v>
      </c>
      <c r="E56" t="str">
        <f t="shared" si="0"/>
        <v>Cory</v>
      </c>
      <c r="F56" t="str">
        <f t="shared" si="1"/>
        <v>Carter</v>
      </c>
      <c r="G56" t="s">
        <v>3224</v>
      </c>
      <c r="H56">
        <v>2014</v>
      </c>
      <c r="I56">
        <v>10</v>
      </c>
      <c r="J56">
        <v>66</v>
      </c>
      <c r="K56">
        <v>94</v>
      </c>
      <c r="L56">
        <v>0</v>
      </c>
      <c r="M56">
        <v>1</v>
      </c>
      <c r="N56">
        <v>0</v>
      </c>
      <c r="O56" t="str">
        <f t="shared" si="2"/>
        <v>L 66-94 vs. Carter</v>
      </c>
    </row>
    <row r="57" spans="1:22" ht="15" customHeight="1" x14ac:dyDescent="0.25">
      <c r="A57">
        <f t="shared" si="3"/>
        <v>56</v>
      </c>
      <c r="B57" t="s">
        <v>3209</v>
      </c>
      <c r="C57" t="s">
        <v>3213</v>
      </c>
      <c r="D57" t="s">
        <v>3227</v>
      </c>
      <c r="E57" t="str">
        <f t="shared" si="0"/>
        <v>Scott</v>
      </c>
      <c r="F57" t="str">
        <f t="shared" si="1"/>
        <v>Cory</v>
      </c>
      <c r="G57" t="s">
        <v>3214</v>
      </c>
      <c r="H57">
        <v>2017</v>
      </c>
      <c r="I57">
        <v>13</v>
      </c>
      <c r="J57">
        <v>66</v>
      </c>
      <c r="K57">
        <v>86</v>
      </c>
      <c r="L57">
        <v>0</v>
      </c>
      <c r="M57">
        <v>1</v>
      </c>
      <c r="N57">
        <v>0</v>
      </c>
      <c r="O57" t="str">
        <f t="shared" si="2"/>
        <v>L 66-86 vs. Cory</v>
      </c>
    </row>
    <row r="58" spans="1:22" ht="15" customHeight="1" x14ac:dyDescent="0.25">
      <c r="A58">
        <f t="shared" si="3"/>
        <v>57</v>
      </c>
      <c r="B58" t="s">
        <v>3212</v>
      </c>
      <c r="C58" t="s">
        <v>3220</v>
      </c>
      <c r="D58" t="s">
        <v>3198</v>
      </c>
      <c r="E58" t="str">
        <f t="shared" si="0"/>
        <v>Ty</v>
      </c>
      <c r="F58" t="str">
        <f t="shared" si="1"/>
        <v>Lucas</v>
      </c>
      <c r="G58" t="s">
        <v>3221</v>
      </c>
      <c r="H58">
        <v>2013</v>
      </c>
      <c r="I58">
        <v>7</v>
      </c>
      <c r="J58">
        <v>66</v>
      </c>
      <c r="K58">
        <v>63</v>
      </c>
      <c r="L58">
        <v>1</v>
      </c>
      <c r="M58">
        <v>0</v>
      </c>
      <c r="N58">
        <v>0</v>
      </c>
      <c r="O58" t="str">
        <f t="shared" si="2"/>
        <v>W 66-63 vs. Lucas</v>
      </c>
    </row>
    <row r="59" spans="1:22" ht="15" customHeight="1" x14ac:dyDescent="0.25">
      <c r="A59">
        <f t="shared" si="3"/>
        <v>58</v>
      </c>
      <c r="B59" t="s">
        <v>3209</v>
      </c>
      <c r="C59" t="s">
        <v>3212</v>
      </c>
      <c r="D59" t="s">
        <v>3227</v>
      </c>
      <c r="E59" t="str">
        <f t="shared" si="0"/>
        <v>Scott</v>
      </c>
      <c r="F59" t="str">
        <f t="shared" si="1"/>
        <v>Ty</v>
      </c>
      <c r="G59" t="s">
        <v>3198</v>
      </c>
      <c r="H59">
        <v>2017</v>
      </c>
      <c r="I59">
        <v>10</v>
      </c>
      <c r="J59">
        <v>67</v>
      </c>
      <c r="K59">
        <v>130</v>
      </c>
      <c r="L59">
        <v>0</v>
      </c>
      <c r="M59">
        <v>1</v>
      </c>
      <c r="N59">
        <v>0</v>
      </c>
      <c r="O59" t="str">
        <f t="shared" si="2"/>
        <v>L 67-130 vs. Ty</v>
      </c>
    </row>
    <row r="60" spans="1:22" ht="15" customHeight="1" x14ac:dyDescent="0.25">
      <c r="A60">
        <f t="shared" si="3"/>
        <v>59</v>
      </c>
      <c r="B60" t="s">
        <v>3220</v>
      </c>
      <c r="C60" t="s">
        <v>3215</v>
      </c>
      <c r="D60" t="s">
        <v>3226</v>
      </c>
      <c r="E60" t="str">
        <f t="shared" si="0"/>
        <v>Perry</v>
      </c>
      <c r="F60" t="str">
        <f t="shared" si="1"/>
        <v>Devon</v>
      </c>
      <c r="G60" t="s">
        <v>3199</v>
      </c>
      <c r="H60">
        <v>2016</v>
      </c>
      <c r="I60">
        <v>13</v>
      </c>
      <c r="J60">
        <v>67</v>
      </c>
      <c r="K60">
        <v>125</v>
      </c>
      <c r="L60">
        <v>0</v>
      </c>
      <c r="M60">
        <v>1</v>
      </c>
      <c r="N60">
        <v>0</v>
      </c>
      <c r="O60" t="str">
        <f t="shared" si="2"/>
        <v>L 67-125 vs. Devon</v>
      </c>
    </row>
    <row r="61" spans="1:22" ht="15" customHeight="1" x14ac:dyDescent="0.25">
      <c r="A61">
        <f t="shared" si="3"/>
        <v>60</v>
      </c>
      <c r="B61" t="s">
        <v>3208</v>
      </c>
      <c r="C61" t="s">
        <v>3213</v>
      </c>
      <c r="D61" t="s">
        <v>3210</v>
      </c>
      <c r="E61" t="str">
        <f t="shared" si="0"/>
        <v>Spencer</v>
      </c>
      <c r="F61" t="str">
        <f t="shared" si="1"/>
        <v>Cory</v>
      </c>
      <c r="G61" t="s">
        <v>3214</v>
      </c>
      <c r="H61">
        <v>2013</v>
      </c>
      <c r="I61">
        <v>6</v>
      </c>
      <c r="J61">
        <v>67</v>
      </c>
      <c r="K61">
        <v>111</v>
      </c>
      <c r="L61">
        <v>0</v>
      </c>
      <c r="M61">
        <v>1</v>
      </c>
      <c r="N61">
        <v>0</v>
      </c>
      <c r="O61" t="str">
        <f t="shared" si="2"/>
        <v>L 67-111 vs. Cory</v>
      </c>
    </row>
    <row r="62" spans="1:22" ht="15" customHeight="1" x14ac:dyDescent="0.25">
      <c r="A62">
        <f t="shared" si="3"/>
        <v>61</v>
      </c>
      <c r="B62" t="s">
        <v>3218</v>
      </c>
      <c r="C62" t="s">
        <v>3222</v>
      </c>
      <c r="D62" t="s">
        <v>3219</v>
      </c>
      <c r="E62" t="str">
        <f t="shared" si="0"/>
        <v>Matthew</v>
      </c>
      <c r="F62" t="str">
        <f t="shared" si="1"/>
        <v>Austin</v>
      </c>
      <c r="G62" t="s">
        <v>3223</v>
      </c>
      <c r="H62">
        <v>2013</v>
      </c>
      <c r="I62">
        <v>11</v>
      </c>
      <c r="J62">
        <v>67</v>
      </c>
      <c r="K62">
        <v>103</v>
      </c>
      <c r="L62">
        <v>0</v>
      </c>
      <c r="M62">
        <v>1</v>
      </c>
      <c r="N62">
        <v>0</v>
      </c>
      <c r="O62" t="str">
        <f t="shared" si="2"/>
        <v>L 67-103 vs. Austin</v>
      </c>
    </row>
    <row r="63" spans="1:22" ht="15" customHeight="1" x14ac:dyDescent="0.25">
      <c r="A63">
        <f t="shared" si="3"/>
        <v>62</v>
      </c>
      <c r="B63" t="s">
        <v>3222</v>
      </c>
      <c r="C63" t="s">
        <v>3209</v>
      </c>
      <c r="D63" t="s">
        <v>3228</v>
      </c>
      <c r="E63" t="str">
        <f t="shared" si="0"/>
        <v>Jason</v>
      </c>
      <c r="F63" t="str">
        <f t="shared" si="1"/>
        <v>Scott</v>
      </c>
      <c r="G63" t="s">
        <v>3227</v>
      </c>
      <c r="H63">
        <v>2017</v>
      </c>
      <c r="I63">
        <v>9</v>
      </c>
      <c r="J63">
        <v>67</v>
      </c>
      <c r="K63">
        <v>89</v>
      </c>
      <c r="L63">
        <v>0</v>
      </c>
      <c r="M63">
        <v>1</v>
      </c>
      <c r="N63">
        <v>0</v>
      </c>
      <c r="O63" t="str">
        <f t="shared" si="2"/>
        <v>L 67-89 vs. Scott</v>
      </c>
    </row>
    <row r="64" spans="1:22" ht="15" customHeight="1" x14ac:dyDescent="0.25">
      <c r="A64">
        <f t="shared" si="3"/>
        <v>63</v>
      </c>
      <c r="B64" t="s">
        <v>3222</v>
      </c>
      <c r="C64" t="s">
        <v>3220</v>
      </c>
      <c r="D64" t="s">
        <v>3223</v>
      </c>
      <c r="E64" t="str">
        <f t="shared" si="0"/>
        <v>Austin</v>
      </c>
      <c r="F64" t="str">
        <f t="shared" si="1"/>
        <v>Lucas</v>
      </c>
      <c r="G64" t="s">
        <v>3221</v>
      </c>
      <c r="H64">
        <v>2013</v>
      </c>
      <c r="I64">
        <v>13</v>
      </c>
      <c r="J64">
        <v>67</v>
      </c>
      <c r="K64">
        <v>69</v>
      </c>
      <c r="L64">
        <v>0</v>
      </c>
      <c r="M64">
        <v>1</v>
      </c>
      <c r="N64">
        <v>0</v>
      </c>
      <c r="O64" t="str">
        <f t="shared" si="2"/>
        <v>L 67-69 vs. Lucas</v>
      </c>
    </row>
    <row r="65" spans="1:15" ht="15" customHeight="1" x14ac:dyDescent="0.25">
      <c r="A65">
        <f t="shared" si="3"/>
        <v>64</v>
      </c>
      <c r="B65" t="s">
        <v>3218</v>
      </c>
      <c r="C65" t="s">
        <v>3208</v>
      </c>
      <c r="D65" t="s">
        <v>3219</v>
      </c>
      <c r="E65" t="str">
        <f t="shared" si="0"/>
        <v>Matthew</v>
      </c>
      <c r="F65" t="str">
        <f t="shared" si="1"/>
        <v>Chad</v>
      </c>
      <c r="G65" t="s">
        <v>3225</v>
      </c>
      <c r="H65">
        <v>2017</v>
      </c>
      <c r="I65">
        <v>9</v>
      </c>
      <c r="J65">
        <v>68</v>
      </c>
      <c r="K65">
        <v>129</v>
      </c>
      <c r="L65">
        <v>0</v>
      </c>
      <c r="M65">
        <v>1</v>
      </c>
      <c r="N65">
        <v>0</v>
      </c>
      <c r="O65" t="str">
        <f t="shared" si="2"/>
        <v>L 68-129 vs. Chad</v>
      </c>
    </row>
    <row r="66" spans="1:15" ht="15" customHeight="1" x14ac:dyDescent="0.25">
      <c r="A66">
        <f t="shared" si="3"/>
        <v>65</v>
      </c>
      <c r="B66" t="s">
        <v>3212</v>
      </c>
      <c r="C66" t="s">
        <v>3209</v>
      </c>
      <c r="D66" t="s">
        <v>3198</v>
      </c>
      <c r="E66" t="str">
        <f t="shared" ref="E66:E129" si="5">LEFT(D66,SEARCH(" ",D66)-1)</f>
        <v>Ty</v>
      </c>
      <c r="F66" t="str">
        <f t="shared" ref="F66:F129" si="6">LEFT(G66,SEARCH(" ",G66)-1)</f>
        <v>Scott</v>
      </c>
      <c r="G66" t="s">
        <v>3227</v>
      </c>
      <c r="H66">
        <v>2015</v>
      </c>
      <c r="I66">
        <v>10</v>
      </c>
      <c r="J66">
        <v>68</v>
      </c>
      <c r="K66">
        <v>111</v>
      </c>
      <c r="L66">
        <v>0</v>
      </c>
      <c r="M66">
        <v>1</v>
      </c>
      <c r="N66">
        <v>0</v>
      </c>
      <c r="O66" t="str">
        <f t="shared" ref="O66:O129" si="7">IF(L66=1,"W",IF(M66=1,"L","T"))&amp;" "&amp;J66&amp;"-"&amp;K66&amp;" vs. "&amp;F66</f>
        <v>L 68-111 vs. Scott</v>
      </c>
    </row>
    <row r="67" spans="1:15" ht="15" customHeight="1" x14ac:dyDescent="0.25">
      <c r="A67">
        <f t="shared" ref="A67:A130" si="8">A66+1</f>
        <v>66</v>
      </c>
      <c r="B67" t="s">
        <v>3213</v>
      </c>
      <c r="C67" t="s">
        <v>3209</v>
      </c>
      <c r="D67" t="s">
        <v>3214</v>
      </c>
      <c r="E67" t="str">
        <f t="shared" si="5"/>
        <v>Cory</v>
      </c>
      <c r="F67" t="str">
        <f t="shared" si="6"/>
        <v>Scott</v>
      </c>
      <c r="G67" t="s">
        <v>3227</v>
      </c>
      <c r="H67">
        <v>2016</v>
      </c>
      <c r="I67">
        <v>13</v>
      </c>
      <c r="J67">
        <v>68</v>
      </c>
      <c r="K67">
        <v>83</v>
      </c>
      <c r="L67">
        <v>0</v>
      </c>
      <c r="M67">
        <v>1</v>
      </c>
      <c r="N67">
        <v>0</v>
      </c>
      <c r="O67" t="str">
        <f t="shared" si="7"/>
        <v>L 68-83 vs. Scott</v>
      </c>
    </row>
    <row r="68" spans="1:15" ht="15" customHeight="1" x14ac:dyDescent="0.25">
      <c r="A68">
        <f t="shared" si="8"/>
        <v>67</v>
      </c>
      <c r="B68" t="s">
        <v>3216</v>
      </c>
      <c r="C68" t="s">
        <v>3213</v>
      </c>
      <c r="D68" t="s">
        <v>3217</v>
      </c>
      <c r="E68" t="str">
        <f t="shared" si="5"/>
        <v>Seth</v>
      </c>
      <c r="F68" t="str">
        <f t="shared" si="6"/>
        <v>Cory</v>
      </c>
      <c r="G68" t="s">
        <v>3214</v>
      </c>
      <c r="H68">
        <v>2013</v>
      </c>
      <c r="I68">
        <v>7</v>
      </c>
      <c r="J68">
        <v>68</v>
      </c>
      <c r="K68">
        <v>80</v>
      </c>
      <c r="L68">
        <v>0</v>
      </c>
      <c r="M68">
        <v>1</v>
      </c>
      <c r="N68">
        <v>0</v>
      </c>
      <c r="O68" t="str">
        <f t="shared" si="7"/>
        <v>L 68-80 vs. Cory</v>
      </c>
    </row>
    <row r="69" spans="1:15" ht="15" customHeight="1" x14ac:dyDescent="0.25">
      <c r="A69">
        <f t="shared" si="8"/>
        <v>68</v>
      </c>
      <c r="B69" t="s">
        <v>3209</v>
      </c>
      <c r="C69" t="s">
        <v>3215</v>
      </c>
      <c r="D69" t="s">
        <v>3227</v>
      </c>
      <c r="E69" t="str">
        <f t="shared" si="5"/>
        <v>Scott</v>
      </c>
      <c r="F69" t="str">
        <f t="shared" si="6"/>
        <v>Devon</v>
      </c>
      <c r="G69" t="s">
        <v>3199</v>
      </c>
      <c r="H69">
        <v>2016</v>
      </c>
      <c r="I69">
        <v>2</v>
      </c>
      <c r="J69">
        <v>69</v>
      </c>
      <c r="K69">
        <v>115</v>
      </c>
      <c r="L69">
        <v>0</v>
      </c>
      <c r="M69">
        <v>1</v>
      </c>
      <c r="N69">
        <v>0</v>
      </c>
      <c r="O69" t="str">
        <f t="shared" si="7"/>
        <v>L 69-115 vs. Devon</v>
      </c>
    </row>
    <row r="70" spans="1:15" ht="15" customHeight="1" x14ac:dyDescent="0.25">
      <c r="A70">
        <f t="shared" si="8"/>
        <v>69</v>
      </c>
      <c r="B70" t="s">
        <v>3222</v>
      </c>
      <c r="C70" t="s">
        <v>3208</v>
      </c>
      <c r="D70" t="s">
        <v>3200</v>
      </c>
      <c r="E70" t="str">
        <f t="shared" si="5"/>
        <v>Taylor</v>
      </c>
      <c r="F70" t="str">
        <f t="shared" si="6"/>
        <v>Chad</v>
      </c>
      <c r="G70" t="s">
        <v>3225</v>
      </c>
      <c r="H70">
        <v>2016</v>
      </c>
      <c r="I70">
        <v>6</v>
      </c>
      <c r="J70">
        <v>69</v>
      </c>
      <c r="K70">
        <v>98</v>
      </c>
      <c r="L70">
        <v>0</v>
      </c>
      <c r="M70">
        <v>1</v>
      </c>
      <c r="N70">
        <v>0</v>
      </c>
      <c r="O70" t="str">
        <f t="shared" si="7"/>
        <v>L 69-98 vs. Chad</v>
      </c>
    </row>
    <row r="71" spans="1:15" ht="15" customHeight="1" x14ac:dyDescent="0.25">
      <c r="A71">
        <f t="shared" si="8"/>
        <v>70</v>
      </c>
      <c r="B71" t="s">
        <v>3209</v>
      </c>
      <c r="C71" t="s">
        <v>3222</v>
      </c>
      <c r="D71" t="s">
        <v>3227</v>
      </c>
      <c r="E71" t="str">
        <f t="shared" si="5"/>
        <v>Scott</v>
      </c>
      <c r="F71" t="str">
        <f t="shared" si="6"/>
        <v>Jason</v>
      </c>
      <c r="G71" t="s">
        <v>3228</v>
      </c>
      <c r="H71">
        <v>2017</v>
      </c>
      <c r="I71">
        <v>5</v>
      </c>
      <c r="J71">
        <v>69</v>
      </c>
      <c r="K71">
        <v>93</v>
      </c>
      <c r="L71">
        <v>0</v>
      </c>
      <c r="M71">
        <v>1</v>
      </c>
      <c r="N71">
        <v>0</v>
      </c>
      <c r="O71" t="str">
        <f t="shared" si="7"/>
        <v>L 69-93 vs. Jason</v>
      </c>
    </row>
    <row r="72" spans="1:15" ht="15" customHeight="1" x14ac:dyDescent="0.25">
      <c r="A72">
        <f t="shared" si="8"/>
        <v>71</v>
      </c>
      <c r="B72" t="s">
        <v>3222</v>
      </c>
      <c r="C72" t="s">
        <v>3218</v>
      </c>
      <c r="D72" t="s">
        <v>3228</v>
      </c>
      <c r="E72" t="str">
        <f t="shared" si="5"/>
        <v>Jason</v>
      </c>
      <c r="F72" t="str">
        <f t="shared" si="6"/>
        <v>Matthew</v>
      </c>
      <c r="G72" t="s">
        <v>3219</v>
      </c>
      <c r="H72">
        <v>2017</v>
      </c>
      <c r="I72">
        <v>4</v>
      </c>
      <c r="J72">
        <v>69</v>
      </c>
      <c r="K72">
        <v>92</v>
      </c>
      <c r="L72">
        <v>0</v>
      </c>
      <c r="M72">
        <v>1</v>
      </c>
      <c r="N72">
        <v>0</v>
      </c>
      <c r="O72" t="str">
        <f t="shared" si="7"/>
        <v>L 69-92 vs. Matthew</v>
      </c>
    </row>
    <row r="73" spans="1:15" ht="15" customHeight="1" x14ac:dyDescent="0.25">
      <c r="A73">
        <f t="shared" si="8"/>
        <v>72</v>
      </c>
      <c r="B73" t="s">
        <v>3215</v>
      </c>
      <c r="C73" t="s">
        <v>3218</v>
      </c>
      <c r="D73" t="s">
        <v>3199</v>
      </c>
      <c r="E73" t="str">
        <f t="shared" si="5"/>
        <v>Devon</v>
      </c>
      <c r="F73" t="str">
        <f t="shared" si="6"/>
        <v>Matthew</v>
      </c>
      <c r="G73" t="s">
        <v>3219</v>
      </c>
      <c r="H73">
        <v>2015</v>
      </c>
      <c r="I73">
        <v>12</v>
      </c>
      <c r="J73">
        <v>69</v>
      </c>
      <c r="K73">
        <v>71</v>
      </c>
      <c r="L73">
        <v>0</v>
      </c>
      <c r="M73">
        <v>1</v>
      </c>
      <c r="N73">
        <v>0</v>
      </c>
      <c r="O73" t="str">
        <f t="shared" si="7"/>
        <v>L 69-71 vs. Matthew</v>
      </c>
    </row>
    <row r="74" spans="1:15" ht="15" customHeight="1" x14ac:dyDescent="0.25">
      <c r="A74">
        <f t="shared" si="8"/>
        <v>73</v>
      </c>
      <c r="B74" t="s">
        <v>3220</v>
      </c>
      <c r="C74" t="s">
        <v>3222</v>
      </c>
      <c r="D74" t="s">
        <v>3221</v>
      </c>
      <c r="E74" t="str">
        <f t="shared" si="5"/>
        <v>Lucas</v>
      </c>
      <c r="F74" t="str">
        <f t="shared" si="6"/>
        <v>Austin</v>
      </c>
      <c r="G74" t="s">
        <v>3223</v>
      </c>
      <c r="H74">
        <v>2013</v>
      </c>
      <c r="I74">
        <v>13</v>
      </c>
      <c r="J74">
        <v>69</v>
      </c>
      <c r="K74">
        <v>67</v>
      </c>
      <c r="L74">
        <v>1</v>
      </c>
      <c r="M74">
        <v>0</v>
      </c>
      <c r="N74">
        <v>0</v>
      </c>
      <c r="O74" t="str">
        <f t="shared" si="7"/>
        <v>W 69-67 vs. Austin</v>
      </c>
    </row>
    <row r="75" spans="1:15" ht="15" customHeight="1" x14ac:dyDescent="0.25">
      <c r="A75">
        <f t="shared" si="8"/>
        <v>74</v>
      </c>
      <c r="B75" t="s">
        <v>3209</v>
      </c>
      <c r="C75" t="s">
        <v>3220</v>
      </c>
      <c r="D75" t="s">
        <v>3227</v>
      </c>
      <c r="E75" t="str">
        <f t="shared" si="5"/>
        <v>Scott</v>
      </c>
      <c r="F75" t="str">
        <f t="shared" si="6"/>
        <v>Perry</v>
      </c>
      <c r="G75" t="s">
        <v>3226</v>
      </c>
      <c r="H75">
        <v>2016</v>
      </c>
      <c r="I75">
        <v>3</v>
      </c>
      <c r="J75">
        <v>69</v>
      </c>
      <c r="K75">
        <v>65</v>
      </c>
      <c r="L75">
        <v>1</v>
      </c>
      <c r="M75">
        <v>0</v>
      </c>
      <c r="N75">
        <v>0</v>
      </c>
      <c r="O75" t="str">
        <f t="shared" si="7"/>
        <v>W 69-65 vs. Perry</v>
      </c>
    </row>
    <row r="76" spans="1:15" ht="15" customHeight="1" x14ac:dyDescent="0.25">
      <c r="A76">
        <f t="shared" si="8"/>
        <v>75</v>
      </c>
      <c r="B76" t="s">
        <v>3220</v>
      </c>
      <c r="C76" t="s">
        <v>3222</v>
      </c>
      <c r="D76" t="s">
        <v>3226</v>
      </c>
      <c r="E76" t="str">
        <f t="shared" si="5"/>
        <v>Perry</v>
      </c>
      <c r="F76" t="str">
        <f t="shared" si="6"/>
        <v>Taylor</v>
      </c>
      <c r="G76" t="s">
        <v>3200</v>
      </c>
      <c r="H76">
        <v>2016</v>
      </c>
      <c r="I76">
        <v>2</v>
      </c>
      <c r="J76">
        <v>70</v>
      </c>
      <c r="K76">
        <v>119</v>
      </c>
      <c r="L76">
        <v>0</v>
      </c>
      <c r="M76">
        <v>1</v>
      </c>
      <c r="N76">
        <v>0</v>
      </c>
      <c r="O76" t="str">
        <f t="shared" si="7"/>
        <v>L 70-119 vs. Taylor</v>
      </c>
    </row>
    <row r="77" spans="1:15" ht="15" customHeight="1" x14ac:dyDescent="0.25">
      <c r="A77">
        <f t="shared" si="8"/>
        <v>76</v>
      </c>
      <c r="B77" t="s">
        <v>3218</v>
      </c>
      <c r="C77" t="s">
        <v>3208</v>
      </c>
      <c r="D77" t="s">
        <v>3219</v>
      </c>
      <c r="E77" t="str">
        <f t="shared" si="5"/>
        <v>Matthew</v>
      </c>
      <c r="F77" t="str">
        <f t="shared" si="6"/>
        <v>Chad</v>
      </c>
      <c r="G77" t="s">
        <v>3225</v>
      </c>
      <c r="H77">
        <v>2014</v>
      </c>
      <c r="I77">
        <v>9</v>
      </c>
      <c r="J77">
        <v>70</v>
      </c>
      <c r="K77">
        <v>115</v>
      </c>
      <c r="L77">
        <v>0</v>
      </c>
      <c r="M77">
        <v>1</v>
      </c>
      <c r="N77">
        <v>0</v>
      </c>
      <c r="O77" t="str">
        <f t="shared" si="7"/>
        <v>L 70-115 vs. Chad</v>
      </c>
    </row>
    <row r="78" spans="1:15" ht="15" customHeight="1" x14ac:dyDescent="0.25">
      <c r="A78">
        <f t="shared" si="8"/>
        <v>77</v>
      </c>
      <c r="B78" t="s">
        <v>3218</v>
      </c>
      <c r="C78" t="s">
        <v>3212</v>
      </c>
      <c r="D78" t="s">
        <v>3219</v>
      </c>
      <c r="E78" t="str">
        <f t="shared" si="5"/>
        <v>Matthew</v>
      </c>
      <c r="F78" t="str">
        <f t="shared" si="6"/>
        <v>Ty</v>
      </c>
      <c r="G78" t="s">
        <v>3198</v>
      </c>
      <c r="H78">
        <v>2014</v>
      </c>
      <c r="I78">
        <v>11</v>
      </c>
      <c r="J78">
        <v>70</v>
      </c>
      <c r="K78">
        <v>95</v>
      </c>
      <c r="L78">
        <v>0</v>
      </c>
      <c r="M78">
        <v>1</v>
      </c>
      <c r="N78">
        <v>0</v>
      </c>
      <c r="O78" t="str">
        <f t="shared" si="7"/>
        <v>L 70-95 vs. Ty</v>
      </c>
    </row>
    <row r="79" spans="1:15" ht="15" customHeight="1" x14ac:dyDescent="0.25">
      <c r="A79">
        <f t="shared" si="8"/>
        <v>78</v>
      </c>
      <c r="B79" t="s">
        <v>3215</v>
      </c>
      <c r="C79" t="s">
        <v>3209</v>
      </c>
      <c r="D79" t="s">
        <v>3199</v>
      </c>
      <c r="E79" t="str">
        <f t="shared" si="5"/>
        <v>Devon</v>
      </c>
      <c r="F79" t="str">
        <f t="shared" si="6"/>
        <v>Scott</v>
      </c>
      <c r="G79" t="s">
        <v>3227</v>
      </c>
      <c r="H79">
        <v>2015</v>
      </c>
      <c r="I79">
        <v>2</v>
      </c>
      <c r="J79">
        <v>70</v>
      </c>
      <c r="K79">
        <v>91</v>
      </c>
      <c r="L79">
        <v>0</v>
      </c>
      <c r="M79">
        <v>1</v>
      </c>
      <c r="N79">
        <v>0</v>
      </c>
      <c r="O79" t="str">
        <f t="shared" si="7"/>
        <v>L 70-91 vs. Scott</v>
      </c>
    </row>
    <row r="80" spans="1:15" ht="15" customHeight="1" x14ac:dyDescent="0.25">
      <c r="A80">
        <f t="shared" si="8"/>
        <v>79</v>
      </c>
      <c r="B80" t="s">
        <v>3212</v>
      </c>
      <c r="C80" t="s">
        <v>3222</v>
      </c>
      <c r="D80" t="s">
        <v>3198</v>
      </c>
      <c r="E80" t="str">
        <f t="shared" si="5"/>
        <v>Ty</v>
      </c>
      <c r="F80" t="str">
        <f t="shared" si="6"/>
        <v>Taylor</v>
      </c>
      <c r="G80" t="s">
        <v>3200</v>
      </c>
      <c r="H80">
        <v>2016</v>
      </c>
      <c r="I80">
        <v>7</v>
      </c>
      <c r="J80">
        <v>70</v>
      </c>
      <c r="K80">
        <v>85</v>
      </c>
      <c r="L80">
        <v>0</v>
      </c>
      <c r="M80">
        <v>1</v>
      </c>
      <c r="N80">
        <v>0</v>
      </c>
      <c r="O80" t="str">
        <f t="shared" si="7"/>
        <v>L 70-85 vs. Taylor</v>
      </c>
    </row>
    <row r="81" spans="1:15" ht="15" customHeight="1" x14ac:dyDescent="0.25">
      <c r="A81">
        <f t="shared" si="8"/>
        <v>80</v>
      </c>
      <c r="B81" t="s">
        <v>3218</v>
      </c>
      <c r="C81" t="s">
        <v>3216</v>
      </c>
      <c r="D81" t="s">
        <v>3219</v>
      </c>
      <c r="E81" t="str">
        <f t="shared" si="5"/>
        <v>Matthew</v>
      </c>
      <c r="F81" t="str">
        <f t="shared" si="6"/>
        <v>Seth</v>
      </c>
      <c r="G81" t="s">
        <v>3217</v>
      </c>
      <c r="H81">
        <v>2017</v>
      </c>
      <c r="I81">
        <v>2</v>
      </c>
      <c r="J81">
        <v>70</v>
      </c>
      <c r="K81">
        <v>82</v>
      </c>
      <c r="L81">
        <v>0</v>
      </c>
      <c r="M81">
        <v>1</v>
      </c>
      <c r="N81">
        <v>0</v>
      </c>
      <c r="O81" t="str">
        <f t="shared" si="7"/>
        <v>L 70-82 vs. Seth</v>
      </c>
    </row>
    <row r="82" spans="1:15" ht="15" customHeight="1" x14ac:dyDescent="0.25">
      <c r="A82">
        <f t="shared" si="8"/>
        <v>81</v>
      </c>
      <c r="B82" t="s">
        <v>3208</v>
      </c>
      <c r="C82" t="s">
        <v>3212</v>
      </c>
      <c r="D82" t="s">
        <v>3225</v>
      </c>
      <c r="E82" t="str">
        <f t="shared" si="5"/>
        <v>Chad</v>
      </c>
      <c r="F82" t="str">
        <f t="shared" si="6"/>
        <v>Ty</v>
      </c>
      <c r="G82" t="s">
        <v>3198</v>
      </c>
      <c r="H82">
        <v>2017</v>
      </c>
      <c r="I82">
        <v>5</v>
      </c>
      <c r="J82">
        <v>71</v>
      </c>
      <c r="K82">
        <v>121</v>
      </c>
      <c r="L82">
        <v>0</v>
      </c>
      <c r="M82">
        <v>1</v>
      </c>
      <c r="N82">
        <v>0</v>
      </c>
      <c r="O82" t="str">
        <f t="shared" si="7"/>
        <v>L 71-121 vs. Ty</v>
      </c>
    </row>
    <row r="83" spans="1:15" x14ac:dyDescent="0.25">
      <c r="A83">
        <f t="shared" si="8"/>
        <v>82</v>
      </c>
      <c r="B83" t="s">
        <v>3211</v>
      </c>
      <c r="C83" t="s">
        <v>3209</v>
      </c>
      <c r="D83" t="s">
        <v>3201</v>
      </c>
      <c r="E83" t="str">
        <f t="shared" si="5"/>
        <v>Anthony</v>
      </c>
      <c r="F83" t="str">
        <f t="shared" si="6"/>
        <v>Scott</v>
      </c>
      <c r="G83" t="s">
        <v>3227</v>
      </c>
      <c r="H83">
        <v>2017</v>
      </c>
      <c r="I83">
        <v>1</v>
      </c>
      <c r="J83">
        <v>71</v>
      </c>
      <c r="K83">
        <v>120</v>
      </c>
      <c r="L83">
        <v>0</v>
      </c>
      <c r="M83">
        <v>1</v>
      </c>
      <c r="N83">
        <v>0</v>
      </c>
      <c r="O83" t="str">
        <f t="shared" si="7"/>
        <v>L 71-120 vs. Scott</v>
      </c>
    </row>
    <row r="84" spans="1:15" x14ac:dyDescent="0.25">
      <c r="A84">
        <f t="shared" si="8"/>
        <v>83</v>
      </c>
      <c r="B84" t="s">
        <v>3216</v>
      </c>
      <c r="C84" t="s">
        <v>3212</v>
      </c>
      <c r="D84" t="s">
        <v>3217</v>
      </c>
      <c r="E84" t="str">
        <f t="shared" si="5"/>
        <v>Seth</v>
      </c>
      <c r="F84" t="str">
        <f t="shared" si="6"/>
        <v>Ty</v>
      </c>
      <c r="G84" t="s">
        <v>3198</v>
      </c>
      <c r="H84">
        <v>2017</v>
      </c>
      <c r="I84">
        <v>1</v>
      </c>
      <c r="J84">
        <v>71</v>
      </c>
      <c r="K84">
        <v>77</v>
      </c>
      <c r="L84">
        <v>0</v>
      </c>
      <c r="M84">
        <v>1</v>
      </c>
      <c r="N84">
        <v>0</v>
      </c>
      <c r="O84" t="str">
        <f t="shared" si="7"/>
        <v>L 71-77 vs. Ty</v>
      </c>
    </row>
    <row r="85" spans="1:15" ht="15" customHeight="1" x14ac:dyDescent="0.25">
      <c r="A85">
        <f t="shared" si="8"/>
        <v>84</v>
      </c>
      <c r="B85" t="s">
        <v>3222</v>
      </c>
      <c r="C85" t="s">
        <v>3215</v>
      </c>
      <c r="D85" t="s">
        <v>3228</v>
      </c>
      <c r="E85" t="str">
        <f t="shared" si="5"/>
        <v>Jason</v>
      </c>
      <c r="F85" t="str">
        <f t="shared" si="6"/>
        <v>Devon</v>
      </c>
      <c r="G85" t="s">
        <v>3199</v>
      </c>
      <c r="H85">
        <v>2017</v>
      </c>
      <c r="I85">
        <v>1</v>
      </c>
      <c r="J85">
        <v>71</v>
      </c>
      <c r="K85">
        <v>75</v>
      </c>
      <c r="L85">
        <v>0</v>
      </c>
      <c r="M85">
        <v>1</v>
      </c>
      <c r="N85">
        <v>0</v>
      </c>
      <c r="O85" t="str">
        <f t="shared" si="7"/>
        <v>L 71-75 vs. Devon</v>
      </c>
    </row>
    <row r="86" spans="1:15" ht="15" customHeight="1" x14ac:dyDescent="0.25">
      <c r="A86">
        <f t="shared" si="8"/>
        <v>85</v>
      </c>
      <c r="B86" t="s">
        <v>3218</v>
      </c>
      <c r="C86" t="s">
        <v>3215</v>
      </c>
      <c r="D86" t="s">
        <v>3219</v>
      </c>
      <c r="E86" t="str">
        <f t="shared" si="5"/>
        <v>Matthew</v>
      </c>
      <c r="F86" t="str">
        <f t="shared" si="6"/>
        <v>Devon</v>
      </c>
      <c r="G86" t="s">
        <v>3199</v>
      </c>
      <c r="H86">
        <v>2015</v>
      </c>
      <c r="I86">
        <v>12</v>
      </c>
      <c r="J86">
        <v>71</v>
      </c>
      <c r="K86">
        <v>69</v>
      </c>
      <c r="L86">
        <v>1</v>
      </c>
      <c r="M86">
        <v>0</v>
      </c>
      <c r="N86">
        <v>0</v>
      </c>
      <c r="O86" t="str">
        <f t="shared" si="7"/>
        <v>W 71-69 vs. Devon</v>
      </c>
    </row>
    <row r="87" spans="1:15" ht="15" customHeight="1" x14ac:dyDescent="0.25">
      <c r="A87">
        <f t="shared" si="8"/>
        <v>86</v>
      </c>
      <c r="B87" t="s">
        <v>3218</v>
      </c>
      <c r="C87" t="s">
        <v>3212</v>
      </c>
      <c r="D87" t="s">
        <v>3219</v>
      </c>
      <c r="E87" t="str">
        <f t="shared" si="5"/>
        <v>Matthew</v>
      </c>
      <c r="F87" t="str">
        <f t="shared" si="6"/>
        <v>Ty</v>
      </c>
      <c r="G87" t="s">
        <v>3198</v>
      </c>
      <c r="H87">
        <v>2013</v>
      </c>
      <c r="I87">
        <v>6</v>
      </c>
      <c r="J87">
        <v>71</v>
      </c>
      <c r="K87">
        <v>65</v>
      </c>
      <c r="L87">
        <v>1</v>
      </c>
      <c r="M87">
        <v>0</v>
      </c>
      <c r="N87">
        <v>0</v>
      </c>
      <c r="O87" t="str">
        <f t="shared" si="7"/>
        <v>W 71-65 vs. Ty</v>
      </c>
    </row>
    <row r="88" spans="1:15" ht="15" customHeight="1" x14ac:dyDescent="0.25">
      <c r="A88">
        <f t="shared" si="8"/>
        <v>87</v>
      </c>
      <c r="B88" t="s">
        <v>3208</v>
      </c>
      <c r="C88" t="s">
        <v>3216</v>
      </c>
      <c r="D88" t="s">
        <v>3225</v>
      </c>
      <c r="E88" t="str">
        <f t="shared" si="5"/>
        <v>Chad</v>
      </c>
      <c r="F88" t="str">
        <f t="shared" si="6"/>
        <v>Seth</v>
      </c>
      <c r="G88" t="s">
        <v>3217</v>
      </c>
      <c r="H88">
        <v>2014</v>
      </c>
      <c r="I88">
        <v>4</v>
      </c>
      <c r="J88">
        <v>72</v>
      </c>
      <c r="K88">
        <v>144</v>
      </c>
      <c r="L88">
        <v>0</v>
      </c>
      <c r="M88">
        <v>1</v>
      </c>
      <c r="N88">
        <v>0</v>
      </c>
      <c r="O88" t="str">
        <f t="shared" si="7"/>
        <v>L 72-144 vs. Seth</v>
      </c>
    </row>
    <row r="89" spans="1:15" ht="15" customHeight="1" x14ac:dyDescent="0.25">
      <c r="A89">
        <f t="shared" si="8"/>
        <v>88</v>
      </c>
      <c r="B89" t="s">
        <v>3222</v>
      </c>
      <c r="C89" t="s">
        <v>3213</v>
      </c>
      <c r="D89" t="s">
        <v>3200</v>
      </c>
      <c r="E89" t="str">
        <f t="shared" si="5"/>
        <v>Taylor</v>
      </c>
      <c r="F89" t="str">
        <f t="shared" si="6"/>
        <v>Cory</v>
      </c>
      <c r="G89" t="s">
        <v>3214</v>
      </c>
      <c r="H89">
        <v>2014</v>
      </c>
      <c r="I89">
        <v>3</v>
      </c>
      <c r="J89">
        <v>72</v>
      </c>
      <c r="K89">
        <v>105</v>
      </c>
      <c r="L89">
        <v>0</v>
      </c>
      <c r="M89">
        <v>1</v>
      </c>
      <c r="N89">
        <v>0</v>
      </c>
      <c r="O89" t="str">
        <f t="shared" si="7"/>
        <v>L 72-105 vs. Cory</v>
      </c>
    </row>
    <row r="90" spans="1:15" ht="15" customHeight="1" x14ac:dyDescent="0.25">
      <c r="A90">
        <f t="shared" si="8"/>
        <v>89</v>
      </c>
      <c r="B90" t="s">
        <v>3213</v>
      </c>
      <c r="C90" t="s">
        <v>3222</v>
      </c>
      <c r="D90" t="s">
        <v>3214</v>
      </c>
      <c r="E90" t="str">
        <f t="shared" si="5"/>
        <v>Cory</v>
      </c>
      <c r="F90" t="str">
        <f t="shared" si="6"/>
        <v>Taylor</v>
      </c>
      <c r="G90" t="s">
        <v>3200</v>
      </c>
      <c r="H90">
        <v>2015</v>
      </c>
      <c r="I90">
        <v>3</v>
      </c>
      <c r="J90">
        <v>72</v>
      </c>
      <c r="K90">
        <v>94</v>
      </c>
      <c r="L90">
        <v>0</v>
      </c>
      <c r="M90">
        <v>1</v>
      </c>
      <c r="N90">
        <v>0</v>
      </c>
      <c r="O90" t="str">
        <f t="shared" si="7"/>
        <v>L 72-94 vs. Taylor</v>
      </c>
    </row>
    <row r="91" spans="1:15" ht="15" customHeight="1" x14ac:dyDescent="0.25">
      <c r="A91">
        <f t="shared" si="8"/>
        <v>90</v>
      </c>
      <c r="B91" t="s">
        <v>3213</v>
      </c>
      <c r="C91" t="s">
        <v>3222</v>
      </c>
      <c r="D91" t="s">
        <v>3214</v>
      </c>
      <c r="E91" t="str">
        <f t="shared" si="5"/>
        <v>Cory</v>
      </c>
      <c r="F91" t="str">
        <f t="shared" si="6"/>
        <v>Taylor</v>
      </c>
      <c r="G91" t="s">
        <v>3200</v>
      </c>
      <c r="H91">
        <v>2015</v>
      </c>
      <c r="I91">
        <v>12</v>
      </c>
      <c r="J91">
        <v>72</v>
      </c>
      <c r="K91">
        <v>91</v>
      </c>
      <c r="L91">
        <v>0</v>
      </c>
      <c r="M91">
        <v>1</v>
      </c>
      <c r="N91">
        <v>0</v>
      </c>
      <c r="O91" t="str">
        <f t="shared" si="7"/>
        <v>L 72-91 vs. Taylor</v>
      </c>
    </row>
    <row r="92" spans="1:15" ht="15" customHeight="1" x14ac:dyDescent="0.25">
      <c r="A92">
        <f t="shared" si="8"/>
        <v>91</v>
      </c>
      <c r="B92" t="s">
        <v>3215</v>
      </c>
      <c r="C92" t="s">
        <v>3212</v>
      </c>
      <c r="D92" t="s">
        <v>3199</v>
      </c>
      <c r="E92" t="str">
        <f t="shared" si="5"/>
        <v>Devon</v>
      </c>
      <c r="F92" t="str">
        <f t="shared" si="6"/>
        <v>Ty</v>
      </c>
      <c r="G92" t="s">
        <v>3198</v>
      </c>
      <c r="H92">
        <v>2017</v>
      </c>
      <c r="I92">
        <v>6</v>
      </c>
      <c r="J92">
        <v>72</v>
      </c>
      <c r="K92">
        <v>91</v>
      </c>
      <c r="L92">
        <v>0</v>
      </c>
      <c r="M92">
        <v>1</v>
      </c>
      <c r="N92">
        <v>0</v>
      </c>
      <c r="O92" t="str">
        <f t="shared" si="7"/>
        <v>L 72-91 vs. Ty</v>
      </c>
    </row>
    <row r="93" spans="1:15" ht="15" customHeight="1" x14ac:dyDescent="0.25">
      <c r="A93">
        <f t="shared" si="8"/>
        <v>92</v>
      </c>
      <c r="B93" t="s">
        <v>3220</v>
      </c>
      <c r="C93" t="s">
        <v>3215</v>
      </c>
      <c r="D93" t="s">
        <v>3226</v>
      </c>
      <c r="E93" t="str">
        <f t="shared" si="5"/>
        <v>Perry</v>
      </c>
      <c r="F93" t="str">
        <f t="shared" si="6"/>
        <v>Devon</v>
      </c>
      <c r="G93" t="s">
        <v>3199</v>
      </c>
      <c r="H93">
        <v>2017</v>
      </c>
      <c r="I93">
        <v>4</v>
      </c>
      <c r="J93">
        <v>72</v>
      </c>
      <c r="K93">
        <v>84</v>
      </c>
      <c r="L93">
        <v>0</v>
      </c>
      <c r="M93">
        <v>1</v>
      </c>
      <c r="N93">
        <v>0</v>
      </c>
      <c r="O93" t="str">
        <f t="shared" si="7"/>
        <v>L 72-84 vs. Devon</v>
      </c>
    </row>
    <row r="94" spans="1:15" x14ac:dyDescent="0.25">
      <c r="A94">
        <f t="shared" si="8"/>
        <v>93</v>
      </c>
      <c r="B94" t="s">
        <v>3220</v>
      </c>
      <c r="C94" t="s">
        <v>3222</v>
      </c>
      <c r="D94" t="s">
        <v>3221</v>
      </c>
      <c r="E94" t="str">
        <f t="shared" si="5"/>
        <v>Lucas</v>
      </c>
      <c r="F94" t="str">
        <f t="shared" si="6"/>
        <v>Austin</v>
      </c>
      <c r="G94" t="s">
        <v>3223</v>
      </c>
      <c r="H94">
        <v>2013</v>
      </c>
      <c r="I94">
        <v>5</v>
      </c>
      <c r="J94">
        <v>72</v>
      </c>
      <c r="K94">
        <v>64</v>
      </c>
      <c r="L94">
        <v>1</v>
      </c>
      <c r="M94">
        <v>0</v>
      </c>
      <c r="N94">
        <v>0</v>
      </c>
      <c r="O94" t="str">
        <f t="shared" si="7"/>
        <v>W 72-64 vs. Austin</v>
      </c>
    </row>
    <row r="95" spans="1:15" ht="15" customHeight="1" x14ac:dyDescent="0.25">
      <c r="A95">
        <f t="shared" si="8"/>
        <v>94</v>
      </c>
      <c r="B95" t="s">
        <v>3209</v>
      </c>
      <c r="C95" t="s">
        <v>3222</v>
      </c>
      <c r="D95" t="s">
        <v>3227</v>
      </c>
      <c r="E95" t="str">
        <f t="shared" si="5"/>
        <v>Scott</v>
      </c>
      <c r="F95" t="str">
        <f t="shared" si="6"/>
        <v>Austin</v>
      </c>
      <c r="G95" t="s">
        <v>3223</v>
      </c>
      <c r="H95">
        <v>2013</v>
      </c>
      <c r="I95">
        <v>10</v>
      </c>
      <c r="J95">
        <v>72</v>
      </c>
      <c r="K95">
        <v>64</v>
      </c>
      <c r="L95">
        <v>1</v>
      </c>
      <c r="M95">
        <v>0</v>
      </c>
      <c r="N95">
        <v>0</v>
      </c>
      <c r="O95" t="str">
        <f t="shared" si="7"/>
        <v>W 72-64 vs. Austin</v>
      </c>
    </row>
    <row r="96" spans="1:15" ht="15" customHeight="1" x14ac:dyDescent="0.25">
      <c r="A96">
        <f t="shared" si="8"/>
        <v>95</v>
      </c>
      <c r="B96" t="s">
        <v>3222</v>
      </c>
      <c r="C96" t="s">
        <v>3213</v>
      </c>
      <c r="D96" t="s">
        <v>3228</v>
      </c>
      <c r="E96" t="str">
        <f t="shared" si="5"/>
        <v>Jason</v>
      </c>
      <c r="F96" t="str">
        <f t="shared" si="6"/>
        <v>Cory</v>
      </c>
      <c r="G96" t="s">
        <v>3214</v>
      </c>
      <c r="H96">
        <v>2017</v>
      </c>
      <c r="I96">
        <v>12</v>
      </c>
      <c r="J96">
        <v>73</v>
      </c>
      <c r="K96">
        <v>155</v>
      </c>
      <c r="L96">
        <v>0</v>
      </c>
      <c r="M96">
        <v>1</v>
      </c>
      <c r="N96">
        <v>0</v>
      </c>
      <c r="O96" t="str">
        <f t="shared" si="7"/>
        <v>L 73-155 vs. Cory</v>
      </c>
    </row>
    <row r="97" spans="1:15" ht="15" customHeight="1" x14ac:dyDescent="0.25">
      <c r="A97">
        <f t="shared" si="8"/>
        <v>96</v>
      </c>
      <c r="B97" t="s">
        <v>3215</v>
      </c>
      <c r="C97" t="s">
        <v>3220</v>
      </c>
      <c r="D97" t="s">
        <v>3199</v>
      </c>
      <c r="E97" t="str">
        <f t="shared" si="5"/>
        <v>Devon</v>
      </c>
      <c r="F97" t="str">
        <f t="shared" si="6"/>
        <v>Carter</v>
      </c>
      <c r="G97" t="s">
        <v>3224</v>
      </c>
      <c r="H97">
        <v>2014</v>
      </c>
      <c r="I97">
        <v>13</v>
      </c>
      <c r="J97">
        <v>73</v>
      </c>
      <c r="K97">
        <v>126</v>
      </c>
      <c r="L97">
        <v>0</v>
      </c>
      <c r="M97">
        <v>1</v>
      </c>
      <c r="N97">
        <v>0</v>
      </c>
      <c r="O97" t="str">
        <f t="shared" si="7"/>
        <v>L 73-126 vs. Carter</v>
      </c>
    </row>
    <row r="98" spans="1:15" ht="15" customHeight="1" x14ac:dyDescent="0.25">
      <c r="A98">
        <f t="shared" si="8"/>
        <v>97</v>
      </c>
      <c r="B98" t="s">
        <v>3215</v>
      </c>
      <c r="C98" t="s">
        <v>3211</v>
      </c>
      <c r="D98" t="s">
        <v>3199</v>
      </c>
      <c r="E98" t="str">
        <f t="shared" si="5"/>
        <v>Devon</v>
      </c>
      <c r="F98" t="str">
        <f t="shared" si="6"/>
        <v>Anthony</v>
      </c>
      <c r="G98" t="s">
        <v>3201</v>
      </c>
      <c r="H98">
        <v>2013</v>
      </c>
      <c r="I98">
        <v>10</v>
      </c>
      <c r="J98">
        <v>73</v>
      </c>
      <c r="K98">
        <v>119</v>
      </c>
      <c r="L98">
        <v>0</v>
      </c>
      <c r="M98">
        <v>1</v>
      </c>
      <c r="N98">
        <v>0</v>
      </c>
      <c r="O98" t="str">
        <f t="shared" si="7"/>
        <v>L 73-119 vs. Anthony</v>
      </c>
    </row>
    <row r="99" spans="1:15" ht="15" customHeight="1" x14ac:dyDescent="0.25">
      <c r="A99">
        <f t="shared" si="8"/>
        <v>98</v>
      </c>
      <c r="B99" t="s">
        <v>3211</v>
      </c>
      <c r="C99" t="s">
        <v>3222</v>
      </c>
      <c r="D99" t="s">
        <v>3201</v>
      </c>
      <c r="E99" t="str">
        <f t="shared" si="5"/>
        <v>Anthony</v>
      </c>
      <c r="F99" t="str">
        <f t="shared" si="6"/>
        <v>Taylor</v>
      </c>
      <c r="G99" t="s">
        <v>3200</v>
      </c>
      <c r="H99">
        <v>2016</v>
      </c>
      <c r="I99">
        <v>8</v>
      </c>
      <c r="J99">
        <v>73</v>
      </c>
      <c r="K99">
        <v>119</v>
      </c>
      <c r="L99">
        <v>0</v>
      </c>
      <c r="M99">
        <v>1</v>
      </c>
      <c r="N99">
        <v>0</v>
      </c>
      <c r="O99" t="str">
        <f t="shared" si="7"/>
        <v>L 73-119 vs. Taylor</v>
      </c>
    </row>
    <row r="100" spans="1:15" ht="15" customHeight="1" x14ac:dyDescent="0.25">
      <c r="A100">
        <f t="shared" si="8"/>
        <v>99</v>
      </c>
      <c r="B100" t="s">
        <v>3209</v>
      </c>
      <c r="C100" t="s">
        <v>3213</v>
      </c>
      <c r="D100" t="s">
        <v>3227</v>
      </c>
      <c r="E100" t="str">
        <f t="shared" si="5"/>
        <v>Scott</v>
      </c>
      <c r="F100" t="str">
        <f t="shared" si="6"/>
        <v>Cory</v>
      </c>
      <c r="G100" t="s">
        <v>3214</v>
      </c>
      <c r="H100">
        <v>2014</v>
      </c>
      <c r="I100">
        <v>13</v>
      </c>
      <c r="J100">
        <v>73</v>
      </c>
      <c r="K100">
        <v>113</v>
      </c>
      <c r="L100">
        <v>0</v>
      </c>
      <c r="M100">
        <v>1</v>
      </c>
      <c r="N100">
        <v>0</v>
      </c>
      <c r="O100" t="str">
        <f t="shared" si="7"/>
        <v>L 73-113 vs. Cory</v>
      </c>
    </row>
    <row r="101" spans="1:15" ht="15" customHeight="1" x14ac:dyDescent="0.25">
      <c r="A101">
        <f t="shared" si="8"/>
        <v>100</v>
      </c>
      <c r="B101" t="s">
        <v>3209</v>
      </c>
      <c r="C101" t="s">
        <v>3222</v>
      </c>
      <c r="D101" t="s">
        <v>3227</v>
      </c>
      <c r="E101" t="str">
        <f t="shared" si="5"/>
        <v>Scott</v>
      </c>
      <c r="F101" t="str">
        <f t="shared" si="6"/>
        <v>Taylor</v>
      </c>
      <c r="G101" t="s">
        <v>3200</v>
      </c>
      <c r="H101">
        <v>2014</v>
      </c>
      <c r="I101">
        <v>5</v>
      </c>
      <c r="J101">
        <v>73</v>
      </c>
      <c r="K101">
        <v>102</v>
      </c>
      <c r="L101">
        <v>0</v>
      </c>
      <c r="M101">
        <v>1</v>
      </c>
      <c r="N101">
        <v>0</v>
      </c>
      <c r="O101" t="str">
        <f t="shared" si="7"/>
        <v>L 73-102 vs. Taylor</v>
      </c>
    </row>
    <row r="102" spans="1:15" ht="15" customHeight="1" x14ac:dyDescent="0.25">
      <c r="A102">
        <f t="shared" si="8"/>
        <v>101</v>
      </c>
      <c r="B102" t="s">
        <v>3211</v>
      </c>
      <c r="C102" t="s">
        <v>3220</v>
      </c>
      <c r="D102" t="s">
        <v>3201</v>
      </c>
      <c r="E102" t="str">
        <f t="shared" si="5"/>
        <v>Anthony</v>
      </c>
      <c r="F102" t="str">
        <f t="shared" si="6"/>
        <v>Lucas</v>
      </c>
      <c r="G102" t="s">
        <v>3221</v>
      </c>
      <c r="H102">
        <v>2013</v>
      </c>
      <c r="I102">
        <v>3</v>
      </c>
      <c r="J102">
        <v>73</v>
      </c>
      <c r="K102">
        <v>98</v>
      </c>
      <c r="L102">
        <v>0</v>
      </c>
      <c r="M102">
        <v>1</v>
      </c>
      <c r="N102">
        <v>0</v>
      </c>
      <c r="O102" t="str">
        <f t="shared" si="7"/>
        <v>L 73-98 vs. Lucas</v>
      </c>
    </row>
    <row r="103" spans="1:15" ht="15" customHeight="1" x14ac:dyDescent="0.25">
      <c r="A103">
        <f t="shared" si="8"/>
        <v>102</v>
      </c>
      <c r="B103" t="s">
        <v>3212</v>
      </c>
      <c r="C103" t="s">
        <v>3222</v>
      </c>
      <c r="D103" t="s">
        <v>3198</v>
      </c>
      <c r="E103" t="str">
        <f t="shared" si="5"/>
        <v>Ty</v>
      </c>
      <c r="F103" t="str">
        <f t="shared" si="6"/>
        <v>Jason</v>
      </c>
      <c r="G103" t="s">
        <v>3228</v>
      </c>
      <c r="H103">
        <v>2017</v>
      </c>
      <c r="I103">
        <v>7</v>
      </c>
      <c r="J103">
        <v>73</v>
      </c>
      <c r="K103">
        <v>75</v>
      </c>
      <c r="L103">
        <v>0</v>
      </c>
      <c r="M103">
        <v>1</v>
      </c>
      <c r="N103">
        <v>0</v>
      </c>
      <c r="O103" t="str">
        <f t="shared" si="7"/>
        <v>L 73-75 vs. Jason</v>
      </c>
    </row>
    <row r="104" spans="1:15" ht="15" customHeight="1" x14ac:dyDescent="0.25">
      <c r="A104">
        <f t="shared" si="8"/>
        <v>103</v>
      </c>
      <c r="B104" t="s">
        <v>3209</v>
      </c>
      <c r="C104" t="s">
        <v>3213</v>
      </c>
      <c r="D104" t="s">
        <v>3227</v>
      </c>
      <c r="E104" t="str">
        <f t="shared" si="5"/>
        <v>Scott</v>
      </c>
      <c r="F104" t="str">
        <f t="shared" si="6"/>
        <v>Cory</v>
      </c>
      <c r="G104" t="s">
        <v>3214</v>
      </c>
      <c r="H104">
        <v>2016</v>
      </c>
      <c r="I104">
        <v>4</v>
      </c>
      <c r="J104">
        <v>74</v>
      </c>
      <c r="K104">
        <v>142</v>
      </c>
      <c r="L104">
        <v>0</v>
      </c>
      <c r="M104">
        <v>1</v>
      </c>
      <c r="N104">
        <v>0</v>
      </c>
      <c r="O104" t="str">
        <f t="shared" si="7"/>
        <v>L 74-142 vs. Cory</v>
      </c>
    </row>
    <row r="105" spans="1:15" ht="15" customHeight="1" x14ac:dyDescent="0.25">
      <c r="A105">
        <f t="shared" si="8"/>
        <v>104</v>
      </c>
      <c r="B105" t="s">
        <v>3218</v>
      </c>
      <c r="C105" t="s">
        <v>3213</v>
      </c>
      <c r="D105" t="s">
        <v>3219</v>
      </c>
      <c r="E105" t="str">
        <f t="shared" si="5"/>
        <v>Matthew</v>
      </c>
      <c r="F105" t="str">
        <f t="shared" si="6"/>
        <v>Cory</v>
      </c>
      <c r="G105" t="s">
        <v>3214</v>
      </c>
      <c r="H105">
        <v>2015</v>
      </c>
      <c r="I105">
        <v>8</v>
      </c>
      <c r="J105">
        <v>74</v>
      </c>
      <c r="K105">
        <v>120</v>
      </c>
      <c r="L105">
        <v>0</v>
      </c>
      <c r="M105">
        <v>1</v>
      </c>
      <c r="N105">
        <v>0</v>
      </c>
      <c r="O105" t="str">
        <f t="shared" si="7"/>
        <v>L 74-120 vs. Cory</v>
      </c>
    </row>
    <row r="106" spans="1:15" ht="15" customHeight="1" x14ac:dyDescent="0.25">
      <c r="A106">
        <f t="shared" si="8"/>
        <v>105</v>
      </c>
      <c r="B106" t="s">
        <v>3215</v>
      </c>
      <c r="C106" t="s">
        <v>3209</v>
      </c>
      <c r="D106" t="s">
        <v>3199</v>
      </c>
      <c r="E106" t="str">
        <f t="shared" si="5"/>
        <v>Devon</v>
      </c>
      <c r="F106" t="str">
        <f t="shared" si="6"/>
        <v>Scott</v>
      </c>
      <c r="G106" t="s">
        <v>3227</v>
      </c>
      <c r="H106">
        <v>2014</v>
      </c>
      <c r="I106">
        <v>11</v>
      </c>
      <c r="J106">
        <v>74</v>
      </c>
      <c r="K106">
        <v>115</v>
      </c>
      <c r="L106">
        <v>0</v>
      </c>
      <c r="M106">
        <v>1</v>
      </c>
      <c r="N106">
        <v>0</v>
      </c>
      <c r="O106" t="str">
        <f t="shared" si="7"/>
        <v>L 74-115 vs. Scott</v>
      </c>
    </row>
    <row r="107" spans="1:15" ht="15" customHeight="1" x14ac:dyDescent="0.25">
      <c r="A107">
        <f t="shared" si="8"/>
        <v>106</v>
      </c>
      <c r="B107" t="s">
        <v>3220</v>
      </c>
      <c r="C107" t="s">
        <v>3218</v>
      </c>
      <c r="D107" t="s">
        <v>3221</v>
      </c>
      <c r="E107" t="str">
        <f t="shared" si="5"/>
        <v>Lucas</v>
      </c>
      <c r="F107" t="str">
        <f t="shared" si="6"/>
        <v>Matthew</v>
      </c>
      <c r="G107" t="s">
        <v>3219</v>
      </c>
      <c r="H107">
        <v>2013</v>
      </c>
      <c r="I107">
        <v>9</v>
      </c>
      <c r="J107">
        <v>74</v>
      </c>
      <c r="K107">
        <v>110</v>
      </c>
      <c r="L107">
        <v>0</v>
      </c>
      <c r="M107">
        <v>1</v>
      </c>
      <c r="N107">
        <v>0</v>
      </c>
      <c r="O107" t="str">
        <f t="shared" si="7"/>
        <v>L 74-110 vs. Matthew</v>
      </c>
    </row>
    <row r="108" spans="1:15" ht="15" customHeight="1" x14ac:dyDescent="0.25">
      <c r="A108">
        <f t="shared" si="8"/>
        <v>107</v>
      </c>
      <c r="B108" t="s">
        <v>3211</v>
      </c>
      <c r="C108" t="s">
        <v>3222</v>
      </c>
      <c r="D108" t="s">
        <v>3201</v>
      </c>
      <c r="E108" t="str">
        <f t="shared" si="5"/>
        <v>Anthony</v>
      </c>
      <c r="F108" t="str">
        <f t="shared" si="6"/>
        <v>Taylor</v>
      </c>
      <c r="G108" t="s">
        <v>3200</v>
      </c>
      <c r="H108">
        <v>2015</v>
      </c>
      <c r="I108">
        <v>8</v>
      </c>
      <c r="J108">
        <v>74</v>
      </c>
      <c r="K108">
        <v>104</v>
      </c>
      <c r="L108">
        <v>0</v>
      </c>
      <c r="M108">
        <v>1</v>
      </c>
      <c r="N108">
        <v>0</v>
      </c>
      <c r="O108" t="str">
        <f t="shared" si="7"/>
        <v>L 74-104 vs. Taylor</v>
      </c>
    </row>
    <row r="109" spans="1:15" ht="15" customHeight="1" x14ac:dyDescent="0.25">
      <c r="A109">
        <f t="shared" si="8"/>
        <v>108</v>
      </c>
      <c r="B109" t="s">
        <v>3215</v>
      </c>
      <c r="C109" t="s">
        <v>3220</v>
      </c>
      <c r="D109" t="s">
        <v>3199</v>
      </c>
      <c r="E109" t="str">
        <f t="shared" si="5"/>
        <v>Devon</v>
      </c>
      <c r="F109" t="str">
        <f t="shared" si="6"/>
        <v>Perry</v>
      </c>
      <c r="G109" t="s">
        <v>3226</v>
      </c>
      <c r="H109">
        <v>2016</v>
      </c>
      <c r="I109">
        <v>4</v>
      </c>
      <c r="J109">
        <v>74</v>
      </c>
      <c r="K109">
        <v>94</v>
      </c>
      <c r="L109">
        <v>0</v>
      </c>
      <c r="M109">
        <v>1</v>
      </c>
      <c r="N109">
        <v>0</v>
      </c>
      <c r="O109" t="str">
        <f t="shared" si="7"/>
        <v>L 74-94 vs. Perry</v>
      </c>
    </row>
    <row r="110" spans="1:15" x14ac:dyDescent="0.25">
      <c r="A110">
        <f t="shared" si="8"/>
        <v>109</v>
      </c>
      <c r="B110" t="s">
        <v>3209</v>
      </c>
      <c r="C110" t="s">
        <v>3222</v>
      </c>
      <c r="D110" t="s">
        <v>3227</v>
      </c>
      <c r="E110" t="str">
        <f t="shared" si="5"/>
        <v>Scott</v>
      </c>
      <c r="F110" t="str">
        <f t="shared" si="6"/>
        <v>Taylor</v>
      </c>
      <c r="G110" t="s">
        <v>3200</v>
      </c>
      <c r="H110">
        <v>2015</v>
      </c>
      <c r="I110">
        <v>9</v>
      </c>
      <c r="J110">
        <v>74</v>
      </c>
      <c r="K110">
        <v>81</v>
      </c>
      <c r="L110">
        <v>0</v>
      </c>
      <c r="M110">
        <v>1</v>
      </c>
      <c r="N110">
        <v>0</v>
      </c>
      <c r="O110" t="str">
        <f t="shared" si="7"/>
        <v>L 74-81 vs. Taylor</v>
      </c>
    </row>
    <row r="111" spans="1:15" ht="15" customHeight="1" x14ac:dyDescent="0.25">
      <c r="A111">
        <f t="shared" si="8"/>
        <v>110</v>
      </c>
      <c r="B111" t="s">
        <v>3222</v>
      </c>
      <c r="C111" t="s">
        <v>3211</v>
      </c>
      <c r="D111" t="s">
        <v>3228</v>
      </c>
      <c r="E111" t="str">
        <f t="shared" si="5"/>
        <v>Jason</v>
      </c>
      <c r="F111" t="str">
        <f t="shared" si="6"/>
        <v>Anthony</v>
      </c>
      <c r="G111" t="s">
        <v>3201</v>
      </c>
      <c r="H111">
        <v>2017</v>
      </c>
      <c r="I111">
        <v>8</v>
      </c>
      <c r="J111">
        <v>75</v>
      </c>
      <c r="K111">
        <v>113</v>
      </c>
      <c r="L111">
        <v>0</v>
      </c>
      <c r="M111">
        <v>1</v>
      </c>
      <c r="N111">
        <v>0</v>
      </c>
      <c r="O111" t="str">
        <f t="shared" si="7"/>
        <v>L 75-113 vs. Anthony</v>
      </c>
    </row>
    <row r="112" spans="1:15" ht="15" customHeight="1" x14ac:dyDescent="0.25">
      <c r="A112">
        <f t="shared" si="8"/>
        <v>111</v>
      </c>
      <c r="B112" t="s">
        <v>3215</v>
      </c>
      <c r="C112" t="s">
        <v>3211</v>
      </c>
      <c r="D112" t="s">
        <v>3199</v>
      </c>
      <c r="E112" t="str">
        <f t="shared" si="5"/>
        <v>Devon</v>
      </c>
      <c r="F112" t="str">
        <f t="shared" si="6"/>
        <v>Anthony</v>
      </c>
      <c r="G112" t="s">
        <v>3201</v>
      </c>
      <c r="H112">
        <v>2016</v>
      </c>
      <c r="I112">
        <v>7</v>
      </c>
      <c r="J112">
        <v>75</v>
      </c>
      <c r="K112">
        <v>93</v>
      </c>
      <c r="L112">
        <v>0</v>
      </c>
      <c r="M112">
        <v>1</v>
      </c>
      <c r="N112">
        <v>0</v>
      </c>
      <c r="O112" t="str">
        <f t="shared" si="7"/>
        <v>L 75-93 vs. Anthony</v>
      </c>
    </row>
    <row r="113" spans="1:15" ht="15" customHeight="1" x14ac:dyDescent="0.25">
      <c r="A113">
        <f t="shared" si="8"/>
        <v>112</v>
      </c>
      <c r="B113" t="s">
        <v>3208</v>
      </c>
      <c r="C113" t="s">
        <v>3216</v>
      </c>
      <c r="D113" t="s">
        <v>3210</v>
      </c>
      <c r="E113" t="str">
        <f t="shared" si="5"/>
        <v>Spencer</v>
      </c>
      <c r="F113" t="str">
        <f t="shared" si="6"/>
        <v>Seth</v>
      </c>
      <c r="G113" t="s">
        <v>3217</v>
      </c>
      <c r="H113">
        <v>2013</v>
      </c>
      <c r="I113">
        <v>11</v>
      </c>
      <c r="J113">
        <v>75</v>
      </c>
      <c r="K113">
        <v>91</v>
      </c>
      <c r="L113">
        <v>0</v>
      </c>
      <c r="M113">
        <v>1</v>
      </c>
      <c r="N113">
        <v>0</v>
      </c>
      <c r="O113" t="str">
        <f t="shared" si="7"/>
        <v>L 75-91 vs. Seth</v>
      </c>
    </row>
    <row r="114" spans="1:15" ht="15" customHeight="1" x14ac:dyDescent="0.25">
      <c r="A114">
        <f t="shared" si="8"/>
        <v>113</v>
      </c>
      <c r="B114" t="s">
        <v>3218</v>
      </c>
      <c r="C114" t="s">
        <v>3215</v>
      </c>
      <c r="D114" t="s">
        <v>3219</v>
      </c>
      <c r="E114" t="str">
        <f t="shared" si="5"/>
        <v>Matthew</v>
      </c>
      <c r="F114" t="str">
        <f t="shared" si="6"/>
        <v>Devon</v>
      </c>
      <c r="G114" t="s">
        <v>3199</v>
      </c>
      <c r="H114">
        <v>2017</v>
      </c>
      <c r="I114">
        <v>12</v>
      </c>
      <c r="J114">
        <v>75</v>
      </c>
      <c r="K114">
        <v>80</v>
      </c>
      <c r="L114">
        <v>0</v>
      </c>
      <c r="M114">
        <v>1</v>
      </c>
      <c r="N114">
        <v>0</v>
      </c>
      <c r="O114" t="str">
        <f t="shared" si="7"/>
        <v>L 75-80 vs. Devon</v>
      </c>
    </row>
    <row r="115" spans="1:15" ht="15" customHeight="1" x14ac:dyDescent="0.25">
      <c r="A115">
        <f t="shared" si="8"/>
        <v>114</v>
      </c>
      <c r="B115" t="s">
        <v>3209</v>
      </c>
      <c r="C115" t="s">
        <v>3208</v>
      </c>
      <c r="D115" t="s">
        <v>3227</v>
      </c>
      <c r="E115" t="str">
        <f t="shared" si="5"/>
        <v>Scott</v>
      </c>
      <c r="F115" t="str">
        <f t="shared" si="6"/>
        <v>Chad</v>
      </c>
      <c r="G115" t="s">
        <v>3225</v>
      </c>
      <c r="H115">
        <v>2017</v>
      </c>
      <c r="I115">
        <v>8</v>
      </c>
      <c r="J115">
        <v>75</v>
      </c>
      <c r="K115">
        <v>78</v>
      </c>
      <c r="L115">
        <v>0</v>
      </c>
      <c r="M115">
        <v>1</v>
      </c>
      <c r="N115">
        <v>0</v>
      </c>
      <c r="O115" t="str">
        <f t="shared" si="7"/>
        <v>L 75-78 vs. Chad</v>
      </c>
    </row>
    <row r="116" spans="1:15" ht="15" customHeight="1" x14ac:dyDescent="0.25">
      <c r="A116">
        <f t="shared" si="8"/>
        <v>115</v>
      </c>
      <c r="B116" t="s">
        <v>3222</v>
      </c>
      <c r="C116" t="s">
        <v>3212</v>
      </c>
      <c r="D116" t="s">
        <v>3228</v>
      </c>
      <c r="E116" t="str">
        <f t="shared" si="5"/>
        <v>Jason</v>
      </c>
      <c r="F116" t="str">
        <f t="shared" si="6"/>
        <v>Ty</v>
      </c>
      <c r="G116" t="s">
        <v>3198</v>
      </c>
      <c r="H116">
        <v>2017</v>
      </c>
      <c r="I116">
        <v>7</v>
      </c>
      <c r="J116">
        <v>75</v>
      </c>
      <c r="K116">
        <v>73</v>
      </c>
      <c r="L116">
        <v>1</v>
      </c>
      <c r="M116">
        <v>0</v>
      </c>
      <c r="N116">
        <v>0</v>
      </c>
      <c r="O116" t="str">
        <f t="shared" si="7"/>
        <v>W 75-73 vs. Ty</v>
      </c>
    </row>
    <row r="117" spans="1:15" ht="15" customHeight="1" x14ac:dyDescent="0.25">
      <c r="A117">
        <f t="shared" si="8"/>
        <v>116</v>
      </c>
      <c r="B117" t="s">
        <v>3215</v>
      </c>
      <c r="C117" t="s">
        <v>3222</v>
      </c>
      <c r="D117" t="s">
        <v>3199</v>
      </c>
      <c r="E117" t="str">
        <f t="shared" si="5"/>
        <v>Devon</v>
      </c>
      <c r="F117" t="str">
        <f t="shared" si="6"/>
        <v>Jason</v>
      </c>
      <c r="G117" t="s">
        <v>3228</v>
      </c>
      <c r="H117">
        <v>2017</v>
      </c>
      <c r="I117">
        <v>1</v>
      </c>
      <c r="J117">
        <v>75</v>
      </c>
      <c r="K117">
        <v>71</v>
      </c>
      <c r="L117">
        <v>1</v>
      </c>
      <c r="M117">
        <v>0</v>
      </c>
      <c r="N117">
        <v>0</v>
      </c>
      <c r="O117" t="str">
        <f t="shared" si="7"/>
        <v>W 75-71 vs. Jason</v>
      </c>
    </row>
    <row r="118" spans="1:15" ht="15" customHeight="1" x14ac:dyDescent="0.25">
      <c r="A118">
        <f t="shared" si="8"/>
        <v>117</v>
      </c>
      <c r="B118" t="s">
        <v>3218</v>
      </c>
      <c r="C118" t="s">
        <v>3215</v>
      </c>
      <c r="D118" t="s">
        <v>3219</v>
      </c>
      <c r="E118" t="str">
        <f t="shared" si="5"/>
        <v>Matthew</v>
      </c>
      <c r="F118" t="str">
        <f t="shared" si="6"/>
        <v>Devon</v>
      </c>
      <c r="G118" t="s">
        <v>3199</v>
      </c>
      <c r="H118">
        <v>2014</v>
      </c>
      <c r="I118">
        <v>12</v>
      </c>
      <c r="J118">
        <v>76</v>
      </c>
      <c r="K118">
        <v>120</v>
      </c>
      <c r="L118">
        <v>0</v>
      </c>
      <c r="M118">
        <v>1</v>
      </c>
      <c r="N118">
        <v>0</v>
      </c>
      <c r="O118" t="str">
        <f t="shared" si="7"/>
        <v>L 76-120 vs. Devon</v>
      </c>
    </row>
    <row r="119" spans="1:15" ht="15" customHeight="1" x14ac:dyDescent="0.25">
      <c r="A119">
        <f t="shared" si="8"/>
        <v>118</v>
      </c>
      <c r="B119" t="s">
        <v>3215</v>
      </c>
      <c r="C119" t="s">
        <v>3220</v>
      </c>
      <c r="D119" t="s">
        <v>3199</v>
      </c>
      <c r="E119" t="str">
        <f t="shared" si="5"/>
        <v>Devon</v>
      </c>
      <c r="F119" t="str">
        <f t="shared" si="6"/>
        <v>Carter</v>
      </c>
      <c r="G119" t="s">
        <v>3224</v>
      </c>
      <c r="H119">
        <v>2014</v>
      </c>
      <c r="I119">
        <v>4</v>
      </c>
      <c r="J119">
        <v>76</v>
      </c>
      <c r="K119">
        <v>109</v>
      </c>
      <c r="L119">
        <v>0</v>
      </c>
      <c r="M119">
        <v>1</v>
      </c>
      <c r="N119">
        <v>0</v>
      </c>
      <c r="O119" t="str">
        <f t="shared" si="7"/>
        <v>L 76-109 vs. Carter</v>
      </c>
    </row>
    <row r="120" spans="1:15" ht="15" customHeight="1" x14ac:dyDescent="0.25">
      <c r="A120">
        <f t="shared" si="8"/>
        <v>119</v>
      </c>
      <c r="B120" t="s">
        <v>3208</v>
      </c>
      <c r="C120" t="s">
        <v>3216</v>
      </c>
      <c r="D120" t="s">
        <v>3225</v>
      </c>
      <c r="E120" t="str">
        <f t="shared" si="5"/>
        <v>Chad</v>
      </c>
      <c r="F120" t="str">
        <f t="shared" si="6"/>
        <v>Seth</v>
      </c>
      <c r="G120" t="s">
        <v>3217</v>
      </c>
      <c r="H120">
        <v>2015</v>
      </c>
      <c r="I120">
        <v>4</v>
      </c>
      <c r="J120">
        <v>76</v>
      </c>
      <c r="K120">
        <v>106</v>
      </c>
      <c r="L120">
        <v>0</v>
      </c>
      <c r="M120">
        <v>1</v>
      </c>
      <c r="N120">
        <v>0</v>
      </c>
      <c r="O120" t="str">
        <f t="shared" si="7"/>
        <v>L 76-106 vs. Seth</v>
      </c>
    </row>
    <row r="121" spans="1:15" ht="15" customHeight="1" x14ac:dyDescent="0.25">
      <c r="A121">
        <f t="shared" si="8"/>
        <v>120</v>
      </c>
      <c r="B121" t="s">
        <v>3212</v>
      </c>
      <c r="C121" t="s">
        <v>3218</v>
      </c>
      <c r="D121" t="s">
        <v>3198</v>
      </c>
      <c r="E121" t="str">
        <f t="shared" si="5"/>
        <v>Ty</v>
      </c>
      <c r="F121" t="str">
        <f t="shared" si="6"/>
        <v>Matthew</v>
      </c>
      <c r="G121" t="s">
        <v>3219</v>
      </c>
      <c r="H121">
        <v>2014</v>
      </c>
      <c r="I121">
        <v>3</v>
      </c>
      <c r="J121">
        <v>76</v>
      </c>
      <c r="K121">
        <v>105</v>
      </c>
      <c r="L121">
        <v>0</v>
      </c>
      <c r="M121">
        <v>1</v>
      </c>
      <c r="N121">
        <v>0</v>
      </c>
      <c r="O121" t="str">
        <f t="shared" si="7"/>
        <v>L 76-105 vs. Matthew</v>
      </c>
    </row>
    <row r="122" spans="1:15" ht="15" customHeight="1" x14ac:dyDescent="0.25">
      <c r="A122">
        <f t="shared" si="8"/>
        <v>121</v>
      </c>
      <c r="B122" t="s">
        <v>3218</v>
      </c>
      <c r="C122" t="s">
        <v>3208</v>
      </c>
      <c r="D122" t="s">
        <v>3219</v>
      </c>
      <c r="E122" t="str">
        <f t="shared" si="5"/>
        <v>Matthew</v>
      </c>
      <c r="F122" t="str">
        <f t="shared" si="6"/>
        <v>Chad</v>
      </c>
      <c r="G122" t="s">
        <v>3225</v>
      </c>
      <c r="H122">
        <v>2017</v>
      </c>
      <c r="I122">
        <v>1</v>
      </c>
      <c r="J122">
        <v>76</v>
      </c>
      <c r="K122">
        <v>95</v>
      </c>
      <c r="L122">
        <v>0</v>
      </c>
      <c r="M122">
        <v>1</v>
      </c>
      <c r="N122">
        <v>0</v>
      </c>
      <c r="O122" t="str">
        <f t="shared" si="7"/>
        <v>L 76-95 vs. Chad</v>
      </c>
    </row>
    <row r="123" spans="1:15" ht="15" customHeight="1" x14ac:dyDescent="0.25">
      <c r="A123">
        <f t="shared" si="8"/>
        <v>122</v>
      </c>
      <c r="B123" t="s">
        <v>3213</v>
      </c>
      <c r="C123" t="s">
        <v>3218</v>
      </c>
      <c r="D123" t="s">
        <v>3214</v>
      </c>
      <c r="E123" t="str">
        <f t="shared" si="5"/>
        <v>Cory</v>
      </c>
      <c r="F123" t="str">
        <f t="shared" si="6"/>
        <v>Matthew</v>
      </c>
      <c r="G123" t="s">
        <v>3219</v>
      </c>
      <c r="H123">
        <v>2016</v>
      </c>
      <c r="I123">
        <v>8</v>
      </c>
      <c r="J123">
        <v>76</v>
      </c>
      <c r="K123">
        <v>87</v>
      </c>
      <c r="L123">
        <v>0</v>
      </c>
      <c r="M123">
        <v>1</v>
      </c>
      <c r="N123">
        <v>0</v>
      </c>
      <c r="O123" t="str">
        <f t="shared" si="7"/>
        <v>L 76-87 vs. Matthew</v>
      </c>
    </row>
    <row r="124" spans="1:15" ht="15" customHeight="1" x14ac:dyDescent="0.25">
      <c r="A124">
        <f t="shared" si="8"/>
        <v>123</v>
      </c>
      <c r="B124" t="s">
        <v>3213</v>
      </c>
      <c r="C124" t="s">
        <v>3208</v>
      </c>
      <c r="D124" t="s">
        <v>3214</v>
      </c>
      <c r="E124" t="str">
        <f t="shared" si="5"/>
        <v>Cory</v>
      </c>
      <c r="F124" t="str">
        <f t="shared" si="6"/>
        <v>Chad</v>
      </c>
      <c r="G124" t="s">
        <v>3225</v>
      </c>
      <c r="H124">
        <v>2014</v>
      </c>
      <c r="I124">
        <v>11</v>
      </c>
      <c r="J124">
        <v>76</v>
      </c>
      <c r="K124">
        <v>85</v>
      </c>
      <c r="L124">
        <v>0</v>
      </c>
      <c r="M124">
        <v>1</v>
      </c>
      <c r="N124">
        <v>0</v>
      </c>
      <c r="O124" t="str">
        <f t="shared" si="7"/>
        <v>L 76-85 vs. Chad</v>
      </c>
    </row>
    <row r="125" spans="1:15" ht="15" customHeight="1" x14ac:dyDescent="0.25">
      <c r="A125">
        <f t="shared" si="8"/>
        <v>124</v>
      </c>
      <c r="B125" t="s">
        <v>3218</v>
      </c>
      <c r="C125" t="s">
        <v>3211</v>
      </c>
      <c r="D125" t="s">
        <v>3219</v>
      </c>
      <c r="E125" t="str">
        <f t="shared" si="5"/>
        <v>Matthew</v>
      </c>
      <c r="F125" t="str">
        <f t="shared" si="6"/>
        <v>Anthony</v>
      </c>
      <c r="G125" t="s">
        <v>3201</v>
      </c>
      <c r="H125">
        <v>2014</v>
      </c>
      <c r="I125">
        <v>13</v>
      </c>
      <c r="J125">
        <v>76</v>
      </c>
      <c r="K125">
        <v>78</v>
      </c>
      <c r="L125">
        <v>0</v>
      </c>
      <c r="M125">
        <v>1</v>
      </c>
      <c r="N125">
        <v>0</v>
      </c>
      <c r="O125" t="str">
        <f t="shared" si="7"/>
        <v>L 76-78 vs. Anthony</v>
      </c>
    </row>
    <row r="126" spans="1:15" ht="15" customHeight="1" x14ac:dyDescent="0.25">
      <c r="A126">
        <f t="shared" si="8"/>
        <v>125</v>
      </c>
      <c r="B126" t="s">
        <v>3218</v>
      </c>
      <c r="C126" t="s">
        <v>3211</v>
      </c>
      <c r="D126" t="s">
        <v>3219</v>
      </c>
      <c r="E126" t="str">
        <f t="shared" si="5"/>
        <v>Matthew</v>
      </c>
      <c r="F126" t="str">
        <f t="shared" si="6"/>
        <v>Anthony</v>
      </c>
      <c r="G126" t="s">
        <v>3201</v>
      </c>
      <c r="H126">
        <v>2015</v>
      </c>
      <c r="I126">
        <v>5</v>
      </c>
      <c r="J126">
        <v>76</v>
      </c>
      <c r="K126">
        <v>78</v>
      </c>
      <c r="L126">
        <v>0</v>
      </c>
      <c r="M126">
        <v>1</v>
      </c>
      <c r="N126">
        <v>0</v>
      </c>
      <c r="O126" t="str">
        <f t="shared" si="7"/>
        <v>L 76-78 vs. Anthony</v>
      </c>
    </row>
    <row r="127" spans="1:15" ht="15" customHeight="1" x14ac:dyDescent="0.25">
      <c r="A127">
        <f t="shared" si="8"/>
        <v>126</v>
      </c>
      <c r="B127" t="s">
        <v>3213</v>
      </c>
      <c r="C127" t="s">
        <v>3208</v>
      </c>
      <c r="D127" t="s">
        <v>3214</v>
      </c>
      <c r="E127" t="str">
        <f t="shared" si="5"/>
        <v>Cory</v>
      </c>
      <c r="F127" t="str">
        <f t="shared" si="6"/>
        <v>Chad</v>
      </c>
      <c r="G127" t="s">
        <v>3225</v>
      </c>
      <c r="H127">
        <v>2015</v>
      </c>
      <c r="I127">
        <v>11</v>
      </c>
      <c r="J127">
        <v>76</v>
      </c>
      <c r="K127">
        <v>61</v>
      </c>
      <c r="L127">
        <v>1</v>
      </c>
      <c r="M127">
        <v>0</v>
      </c>
      <c r="N127">
        <v>0</v>
      </c>
      <c r="O127" t="str">
        <f t="shared" si="7"/>
        <v>W 76-61 vs. Chad</v>
      </c>
    </row>
    <row r="128" spans="1:15" ht="15" customHeight="1" x14ac:dyDescent="0.25">
      <c r="A128">
        <f t="shared" si="8"/>
        <v>127</v>
      </c>
      <c r="B128" t="s">
        <v>3213</v>
      </c>
      <c r="C128" t="s">
        <v>3215</v>
      </c>
      <c r="D128" t="s">
        <v>3214</v>
      </c>
      <c r="E128" t="str">
        <f t="shared" si="5"/>
        <v>Cory</v>
      </c>
      <c r="F128" t="str">
        <f t="shared" si="6"/>
        <v>Devon</v>
      </c>
      <c r="G128" t="s">
        <v>3199</v>
      </c>
      <c r="H128">
        <v>2014</v>
      </c>
      <c r="I128">
        <v>5</v>
      </c>
      <c r="J128">
        <v>76</v>
      </c>
      <c r="K128">
        <v>60</v>
      </c>
      <c r="L128">
        <v>1</v>
      </c>
      <c r="M128">
        <v>0</v>
      </c>
      <c r="N128">
        <v>0</v>
      </c>
      <c r="O128" t="str">
        <f t="shared" si="7"/>
        <v>W 76-60 vs. Devon</v>
      </c>
    </row>
    <row r="129" spans="1:15" ht="15" customHeight="1" x14ac:dyDescent="0.25">
      <c r="A129">
        <f t="shared" si="8"/>
        <v>128</v>
      </c>
      <c r="B129" t="s">
        <v>3216</v>
      </c>
      <c r="C129" t="s">
        <v>3222</v>
      </c>
      <c r="D129" t="s">
        <v>3217</v>
      </c>
      <c r="E129" t="str">
        <f t="shared" si="5"/>
        <v>Seth</v>
      </c>
      <c r="F129" t="str">
        <f t="shared" si="6"/>
        <v>Austin</v>
      </c>
      <c r="G129" t="s">
        <v>3223</v>
      </c>
      <c r="H129">
        <v>2013</v>
      </c>
      <c r="I129">
        <v>9</v>
      </c>
      <c r="J129">
        <v>76</v>
      </c>
      <c r="K129">
        <v>38</v>
      </c>
      <c r="L129">
        <v>1</v>
      </c>
      <c r="M129">
        <v>0</v>
      </c>
      <c r="N129">
        <v>0</v>
      </c>
      <c r="O129" t="str">
        <f t="shared" si="7"/>
        <v>W 76-38 vs. Austin</v>
      </c>
    </row>
    <row r="130" spans="1:15" ht="15" customHeight="1" x14ac:dyDescent="0.25">
      <c r="A130">
        <f t="shared" si="8"/>
        <v>129</v>
      </c>
      <c r="B130" t="s">
        <v>3208</v>
      </c>
      <c r="C130" t="s">
        <v>3211</v>
      </c>
      <c r="D130" t="s">
        <v>3225</v>
      </c>
      <c r="E130" t="str">
        <f t="shared" ref="E130:E193" si="9">LEFT(D130,SEARCH(" ",D130)-1)</f>
        <v>Chad</v>
      </c>
      <c r="F130" t="str">
        <f t="shared" ref="F130:F193" si="10">LEFT(G130,SEARCH(" ",G130)-1)</f>
        <v>Anthony</v>
      </c>
      <c r="G130" t="s">
        <v>3201</v>
      </c>
      <c r="H130">
        <v>2015</v>
      </c>
      <c r="I130">
        <v>10</v>
      </c>
      <c r="J130">
        <v>77</v>
      </c>
      <c r="K130">
        <v>119</v>
      </c>
      <c r="L130">
        <v>0</v>
      </c>
      <c r="M130">
        <v>1</v>
      </c>
      <c r="N130">
        <v>0</v>
      </c>
      <c r="O130" t="str">
        <f t="shared" ref="O130:O193" si="11">IF(L130=1,"W",IF(M130=1,"L","T"))&amp;" "&amp;J130&amp;"-"&amp;K130&amp;" vs. "&amp;F130</f>
        <v>L 77-119 vs. Anthony</v>
      </c>
    </row>
    <row r="131" spans="1:15" x14ac:dyDescent="0.25">
      <c r="A131">
        <f t="shared" ref="A131:A194" si="12">A130+1</f>
        <v>130</v>
      </c>
      <c r="B131" t="s">
        <v>3215</v>
      </c>
      <c r="C131" t="s">
        <v>3208</v>
      </c>
      <c r="D131" t="s">
        <v>3199</v>
      </c>
      <c r="E131" t="str">
        <f t="shared" si="9"/>
        <v>Devon</v>
      </c>
      <c r="F131" t="str">
        <f t="shared" si="10"/>
        <v>Chad</v>
      </c>
      <c r="G131" t="s">
        <v>3225</v>
      </c>
      <c r="H131">
        <v>2015</v>
      </c>
      <c r="I131">
        <v>3</v>
      </c>
      <c r="J131">
        <v>77</v>
      </c>
      <c r="K131">
        <v>111</v>
      </c>
      <c r="L131">
        <v>0</v>
      </c>
      <c r="M131">
        <v>1</v>
      </c>
      <c r="N131">
        <v>0</v>
      </c>
      <c r="O131" t="str">
        <f t="shared" si="11"/>
        <v>L 77-111 vs. Chad</v>
      </c>
    </row>
    <row r="132" spans="1:15" ht="15" customHeight="1" x14ac:dyDescent="0.25">
      <c r="A132">
        <f t="shared" si="12"/>
        <v>131</v>
      </c>
      <c r="B132" t="s">
        <v>3208</v>
      </c>
      <c r="C132" t="s">
        <v>3216</v>
      </c>
      <c r="D132" t="s">
        <v>3225</v>
      </c>
      <c r="E132" t="str">
        <f t="shared" si="9"/>
        <v>Chad</v>
      </c>
      <c r="F132" t="str">
        <f t="shared" si="10"/>
        <v>Seth</v>
      </c>
      <c r="G132" t="s">
        <v>3217</v>
      </c>
      <c r="H132">
        <v>2016</v>
      </c>
      <c r="I132">
        <v>12</v>
      </c>
      <c r="J132">
        <v>77</v>
      </c>
      <c r="K132">
        <v>106</v>
      </c>
      <c r="L132">
        <v>0</v>
      </c>
      <c r="M132">
        <v>1</v>
      </c>
      <c r="N132">
        <v>0</v>
      </c>
      <c r="O132" t="str">
        <f t="shared" si="11"/>
        <v>L 77-106 vs. Seth</v>
      </c>
    </row>
    <row r="133" spans="1:15" ht="15" customHeight="1" x14ac:dyDescent="0.25">
      <c r="A133">
        <f t="shared" si="12"/>
        <v>132</v>
      </c>
      <c r="B133" t="s">
        <v>3211</v>
      </c>
      <c r="C133" t="s">
        <v>3216</v>
      </c>
      <c r="D133" t="s">
        <v>3201</v>
      </c>
      <c r="E133" t="str">
        <f t="shared" si="9"/>
        <v>Anthony</v>
      </c>
      <c r="F133" t="str">
        <f t="shared" si="10"/>
        <v>Seth</v>
      </c>
      <c r="G133" t="s">
        <v>3217</v>
      </c>
      <c r="H133">
        <v>2014</v>
      </c>
      <c r="I133">
        <v>3</v>
      </c>
      <c r="J133">
        <v>77</v>
      </c>
      <c r="K133">
        <v>104</v>
      </c>
      <c r="L133">
        <v>0</v>
      </c>
      <c r="M133">
        <v>1</v>
      </c>
      <c r="N133">
        <v>0</v>
      </c>
      <c r="O133" t="str">
        <f t="shared" si="11"/>
        <v>L 77-104 vs. Seth</v>
      </c>
    </row>
    <row r="134" spans="1:15" ht="15" customHeight="1" x14ac:dyDescent="0.25">
      <c r="A134">
        <f t="shared" si="12"/>
        <v>133</v>
      </c>
      <c r="B134" t="s">
        <v>3216</v>
      </c>
      <c r="C134" t="s">
        <v>3220</v>
      </c>
      <c r="D134" t="s">
        <v>3217</v>
      </c>
      <c r="E134" t="str">
        <f t="shared" si="9"/>
        <v>Seth</v>
      </c>
      <c r="F134" t="str">
        <f t="shared" si="10"/>
        <v>Perry</v>
      </c>
      <c r="G134" t="s">
        <v>3226</v>
      </c>
      <c r="H134">
        <v>2016</v>
      </c>
      <c r="I134">
        <v>5</v>
      </c>
      <c r="J134">
        <v>77</v>
      </c>
      <c r="K134">
        <v>97</v>
      </c>
      <c r="L134">
        <v>0</v>
      </c>
      <c r="M134">
        <v>1</v>
      </c>
      <c r="N134">
        <v>0</v>
      </c>
      <c r="O134" t="str">
        <f t="shared" si="11"/>
        <v>L 77-97 vs. Perry</v>
      </c>
    </row>
    <row r="135" spans="1:15" ht="15" customHeight="1" x14ac:dyDescent="0.25">
      <c r="A135">
        <f t="shared" si="12"/>
        <v>134</v>
      </c>
      <c r="B135" t="s">
        <v>3208</v>
      </c>
      <c r="C135" t="s">
        <v>3211</v>
      </c>
      <c r="D135" t="s">
        <v>3225</v>
      </c>
      <c r="E135" t="str">
        <f t="shared" si="9"/>
        <v>Chad</v>
      </c>
      <c r="F135" t="str">
        <f t="shared" si="10"/>
        <v>Anthony</v>
      </c>
      <c r="G135" t="s">
        <v>3201</v>
      </c>
      <c r="H135">
        <v>2014</v>
      </c>
      <c r="I135">
        <v>2</v>
      </c>
      <c r="J135">
        <v>77</v>
      </c>
      <c r="K135">
        <v>96</v>
      </c>
      <c r="L135">
        <v>0</v>
      </c>
      <c r="M135">
        <v>1</v>
      </c>
      <c r="N135">
        <v>0</v>
      </c>
      <c r="O135" t="str">
        <f t="shared" si="11"/>
        <v>L 77-96 vs. Anthony</v>
      </c>
    </row>
    <row r="136" spans="1:15" ht="15" customHeight="1" x14ac:dyDescent="0.25">
      <c r="A136">
        <f t="shared" si="12"/>
        <v>135</v>
      </c>
      <c r="B136" t="s">
        <v>3212</v>
      </c>
      <c r="C136" t="s">
        <v>3216</v>
      </c>
      <c r="D136" t="s">
        <v>3198</v>
      </c>
      <c r="E136" t="str">
        <f t="shared" si="9"/>
        <v>Ty</v>
      </c>
      <c r="F136" t="str">
        <f t="shared" si="10"/>
        <v>Seth</v>
      </c>
      <c r="G136" t="s">
        <v>3217</v>
      </c>
      <c r="H136">
        <v>2017</v>
      </c>
      <c r="I136">
        <v>9</v>
      </c>
      <c r="J136">
        <v>77</v>
      </c>
      <c r="K136">
        <v>95</v>
      </c>
      <c r="L136">
        <v>0</v>
      </c>
      <c r="M136">
        <v>1</v>
      </c>
      <c r="N136">
        <v>0</v>
      </c>
      <c r="O136" t="str">
        <f t="shared" si="11"/>
        <v>L 77-95 vs. Seth</v>
      </c>
    </row>
    <row r="137" spans="1:15" ht="15" customHeight="1" x14ac:dyDescent="0.25">
      <c r="A137">
        <f t="shared" si="12"/>
        <v>136</v>
      </c>
      <c r="B137" t="s">
        <v>3213</v>
      </c>
      <c r="C137" t="s">
        <v>3209</v>
      </c>
      <c r="D137" t="s">
        <v>3214</v>
      </c>
      <c r="E137" t="str">
        <f t="shared" si="9"/>
        <v>Cory</v>
      </c>
      <c r="F137" t="str">
        <f t="shared" si="10"/>
        <v>Scott</v>
      </c>
      <c r="G137" t="s">
        <v>3227</v>
      </c>
      <c r="H137">
        <v>2013</v>
      </c>
      <c r="I137">
        <v>13</v>
      </c>
      <c r="J137">
        <v>77</v>
      </c>
      <c r="K137">
        <v>90</v>
      </c>
      <c r="L137">
        <v>0</v>
      </c>
      <c r="M137">
        <v>1</v>
      </c>
      <c r="N137">
        <v>0</v>
      </c>
      <c r="O137" t="str">
        <f t="shared" si="11"/>
        <v>L 77-90 vs. Scott</v>
      </c>
    </row>
    <row r="138" spans="1:15" x14ac:dyDescent="0.25">
      <c r="A138">
        <f t="shared" si="12"/>
        <v>137</v>
      </c>
      <c r="B138" t="s">
        <v>3212</v>
      </c>
      <c r="C138" t="s">
        <v>3222</v>
      </c>
      <c r="D138" t="s">
        <v>3198</v>
      </c>
      <c r="E138" t="str">
        <f t="shared" si="9"/>
        <v>Ty</v>
      </c>
      <c r="F138" t="str">
        <f t="shared" si="10"/>
        <v>Austin</v>
      </c>
      <c r="G138" t="s">
        <v>3223</v>
      </c>
      <c r="H138">
        <v>2013</v>
      </c>
      <c r="I138">
        <v>8</v>
      </c>
      <c r="J138">
        <v>77</v>
      </c>
      <c r="K138">
        <v>90</v>
      </c>
      <c r="L138">
        <v>0</v>
      </c>
      <c r="M138">
        <v>1</v>
      </c>
      <c r="N138">
        <v>0</v>
      </c>
      <c r="O138" t="str">
        <f t="shared" si="11"/>
        <v>L 77-90 vs. Austin</v>
      </c>
    </row>
    <row r="139" spans="1:15" ht="15" customHeight="1" x14ac:dyDescent="0.25">
      <c r="A139">
        <f t="shared" si="12"/>
        <v>138</v>
      </c>
      <c r="B139" t="s">
        <v>3212</v>
      </c>
      <c r="C139" t="s">
        <v>3216</v>
      </c>
      <c r="D139" t="s">
        <v>3198</v>
      </c>
      <c r="E139" t="str">
        <f t="shared" si="9"/>
        <v>Ty</v>
      </c>
      <c r="F139" t="str">
        <f t="shared" si="10"/>
        <v>Seth</v>
      </c>
      <c r="G139" t="s">
        <v>3217</v>
      </c>
      <c r="H139">
        <v>2017</v>
      </c>
      <c r="I139">
        <v>1</v>
      </c>
      <c r="J139">
        <v>77</v>
      </c>
      <c r="K139">
        <v>71</v>
      </c>
      <c r="L139">
        <v>1</v>
      </c>
      <c r="M139">
        <v>0</v>
      </c>
      <c r="N139">
        <v>0</v>
      </c>
      <c r="O139" t="str">
        <f t="shared" si="11"/>
        <v>W 77-71 vs. Seth</v>
      </c>
    </row>
    <row r="140" spans="1:15" ht="15" customHeight="1" x14ac:dyDescent="0.25">
      <c r="A140">
        <f t="shared" si="12"/>
        <v>139</v>
      </c>
      <c r="B140" t="s">
        <v>3216</v>
      </c>
      <c r="C140" t="s">
        <v>3209</v>
      </c>
      <c r="D140" t="s">
        <v>3217</v>
      </c>
      <c r="E140" t="str">
        <f t="shared" si="9"/>
        <v>Seth</v>
      </c>
      <c r="F140" t="str">
        <f t="shared" si="10"/>
        <v>Scott</v>
      </c>
      <c r="G140" t="s">
        <v>3227</v>
      </c>
      <c r="H140">
        <v>2013</v>
      </c>
      <c r="I140">
        <v>6</v>
      </c>
      <c r="J140">
        <v>78</v>
      </c>
      <c r="K140">
        <v>130</v>
      </c>
      <c r="L140">
        <v>0</v>
      </c>
      <c r="M140">
        <v>1</v>
      </c>
      <c r="N140">
        <v>0</v>
      </c>
      <c r="O140" t="str">
        <f t="shared" si="11"/>
        <v>L 78-130 vs. Scott</v>
      </c>
    </row>
    <row r="141" spans="1:15" ht="15" customHeight="1" x14ac:dyDescent="0.25">
      <c r="A141">
        <f t="shared" si="12"/>
        <v>140</v>
      </c>
      <c r="B141" t="s">
        <v>3215</v>
      </c>
      <c r="C141" t="s">
        <v>3213</v>
      </c>
      <c r="D141" t="s">
        <v>3199</v>
      </c>
      <c r="E141" t="str">
        <f t="shared" si="9"/>
        <v>Devon</v>
      </c>
      <c r="F141" t="str">
        <f t="shared" si="10"/>
        <v>Cory</v>
      </c>
      <c r="G141" t="s">
        <v>3214</v>
      </c>
      <c r="H141">
        <v>2013</v>
      </c>
      <c r="I141">
        <v>12</v>
      </c>
      <c r="J141">
        <v>78</v>
      </c>
      <c r="K141">
        <v>127</v>
      </c>
      <c r="L141">
        <v>0</v>
      </c>
      <c r="M141">
        <v>1</v>
      </c>
      <c r="N141">
        <v>0</v>
      </c>
      <c r="O141" t="str">
        <f t="shared" si="11"/>
        <v>L 78-127 vs. Cory</v>
      </c>
    </row>
    <row r="142" spans="1:15" ht="15" customHeight="1" x14ac:dyDescent="0.25">
      <c r="A142">
        <f t="shared" si="12"/>
        <v>141</v>
      </c>
      <c r="B142" t="s">
        <v>3215</v>
      </c>
      <c r="C142" t="s">
        <v>3209</v>
      </c>
      <c r="D142" t="s">
        <v>3199</v>
      </c>
      <c r="E142" t="str">
        <f t="shared" si="9"/>
        <v>Devon</v>
      </c>
      <c r="F142" t="str">
        <f t="shared" si="10"/>
        <v>Scott</v>
      </c>
      <c r="G142" t="s">
        <v>3227</v>
      </c>
      <c r="H142">
        <v>2017</v>
      </c>
      <c r="I142">
        <v>11</v>
      </c>
      <c r="J142">
        <v>78</v>
      </c>
      <c r="K142">
        <v>124</v>
      </c>
      <c r="L142">
        <v>0</v>
      </c>
      <c r="M142">
        <v>1</v>
      </c>
      <c r="N142">
        <v>0</v>
      </c>
      <c r="O142" t="str">
        <f t="shared" si="11"/>
        <v>L 78-124 vs. Scott</v>
      </c>
    </row>
    <row r="143" spans="1:15" ht="15" customHeight="1" x14ac:dyDescent="0.25">
      <c r="A143">
        <f t="shared" si="12"/>
        <v>142</v>
      </c>
      <c r="B143" t="s">
        <v>3209</v>
      </c>
      <c r="C143" t="s">
        <v>3216</v>
      </c>
      <c r="D143" t="s">
        <v>3227</v>
      </c>
      <c r="E143" t="str">
        <f t="shared" si="9"/>
        <v>Scott</v>
      </c>
      <c r="F143" t="str">
        <f t="shared" si="10"/>
        <v>Seth</v>
      </c>
      <c r="G143" t="s">
        <v>3217</v>
      </c>
      <c r="H143">
        <v>2016</v>
      </c>
      <c r="I143">
        <v>6</v>
      </c>
      <c r="J143">
        <v>78</v>
      </c>
      <c r="K143">
        <v>116</v>
      </c>
      <c r="L143">
        <v>0</v>
      </c>
      <c r="M143">
        <v>1</v>
      </c>
      <c r="N143">
        <v>0</v>
      </c>
      <c r="O143" t="str">
        <f t="shared" si="11"/>
        <v>L 78-116 vs. Seth</v>
      </c>
    </row>
    <row r="144" spans="1:15" x14ac:dyDescent="0.25">
      <c r="A144">
        <f t="shared" si="12"/>
        <v>143</v>
      </c>
      <c r="B144" t="s">
        <v>3216</v>
      </c>
      <c r="C144" t="s">
        <v>3215</v>
      </c>
      <c r="D144" t="s">
        <v>3217</v>
      </c>
      <c r="E144" t="str">
        <f t="shared" si="9"/>
        <v>Seth</v>
      </c>
      <c r="F144" t="str">
        <f t="shared" si="10"/>
        <v>Devon</v>
      </c>
      <c r="G144" t="s">
        <v>3199</v>
      </c>
      <c r="H144">
        <v>2016</v>
      </c>
      <c r="I144">
        <v>8</v>
      </c>
      <c r="J144">
        <v>78</v>
      </c>
      <c r="K144">
        <v>108</v>
      </c>
      <c r="L144">
        <v>0</v>
      </c>
      <c r="M144">
        <v>1</v>
      </c>
      <c r="N144">
        <v>0</v>
      </c>
      <c r="O144" t="str">
        <f t="shared" si="11"/>
        <v>L 78-108 vs. Devon</v>
      </c>
    </row>
    <row r="145" spans="1:15" ht="15" customHeight="1" x14ac:dyDescent="0.25">
      <c r="A145">
        <f t="shared" si="12"/>
        <v>144</v>
      </c>
      <c r="B145" t="s">
        <v>3218</v>
      </c>
      <c r="C145" t="s">
        <v>3222</v>
      </c>
      <c r="D145" t="s">
        <v>3219</v>
      </c>
      <c r="E145" t="str">
        <f t="shared" si="9"/>
        <v>Matthew</v>
      </c>
      <c r="F145" t="str">
        <f t="shared" si="10"/>
        <v>Taylor</v>
      </c>
      <c r="G145" t="s">
        <v>3200</v>
      </c>
      <c r="H145">
        <v>2015</v>
      </c>
      <c r="I145">
        <v>4</v>
      </c>
      <c r="J145">
        <v>78</v>
      </c>
      <c r="K145">
        <v>103</v>
      </c>
      <c r="L145">
        <v>0</v>
      </c>
      <c r="M145">
        <v>1</v>
      </c>
      <c r="N145">
        <v>0</v>
      </c>
      <c r="O145" t="str">
        <f t="shared" si="11"/>
        <v>L 78-103 vs. Taylor</v>
      </c>
    </row>
    <row r="146" spans="1:15" ht="15" customHeight="1" x14ac:dyDescent="0.25">
      <c r="A146">
        <f t="shared" si="12"/>
        <v>145</v>
      </c>
      <c r="B146" t="s">
        <v>3222</v>
      </c>
      <c r="C146" t="s">
        <v>3215</v>
      </c>
      <c r="D146" t="s">
        <v>3200</v>
      </c>
      <c r="E146" t="str">
        <f t="shared" si="9"/>
        <v>Taylor</v>
      </c>
      <c r="F146" t="str">
        <f t="shared" si="10"/>
        <v>Devon</v>
      </c>
      <c r="G146" t="s">
        <v>3199</v>
      </c>
      <c r="H146">
        <v>2016</v>
      </c>
      <c r="I146">
        <v>1</v>
      </c>
      <c r="J146">
        <v>78</v>
      </c>
      <c r="K146">
        <v>97</v>
      </c>
      <c r="L146">
        <v>0</v>
      </c>
      <c r="M146">
        <v>1</v>
      </c>
      <c r="N146">
        <v>0</v>
      </c>
      <c r="O146" t="str">
        <f t="shared" si="11"/>
        <v>L 78-97 vs. Devon</v>
      </c>
    </row>
    <row r="147" spans="1:15" x14ac:dyDescent="0.25">
      <c r="A147">
        <f t="shared" si="12"/>
        <v>146</v>
      </c>
      <c r="B147" t="s">
        <v>3222</v>
      </c>
      <c r="C147" t="s">
        <v>3213</v>
      </c>
      <c r="D147" t="s">
        <v>3200</v>
      </c>
      <c r="E147" t="str">
        <f t="shared" si="9"/>
        <v>Taylor</v>
      </c>
      <c r="F147" t="str">
        <f t="shared" si="10"/>
        <v>Cory</v>
      </c>
      <c r="G147" t="s">
        <v>3214</v>
      </c>
      <c r="H147">
        <v>2016</v>
      </c>
      <c r="I147">
        <v>12</v>
      </c>
      <c r="J147">
        <v>78</v>
      </c>
      <c r="K147">
        <v>95</v>
      </c>
      <c r="L147">
        <v>0</v>
      </c>
      <c r="M147">
        <v>1</v>
      </c>
      <c r="N147">
        <v>0</v>
      </c>
      <c r="O147" t="str">
        <f t="shared" si="11"/>
        <v>L 78-95 vs. Cory</v>
      </c>
    </row>
    <row r="148" spans="1:15" x14ac:dyDescent="0.25">
      <c r="A148">
        <f t="shared" si="12"/>
        <v>147</v>
      </c>
      <c r="B148" t="s">
        <v>3213</v>
      </c>
      <c r="C148" t="s">
        <v>3220</v>
      </c>
      <c r="D148" t="s">
        <v>3214</v>
      </c>
      <c r="E148" t="str">
        <f t="shared" si="9"/>
        <v>Cory</v>
      </c>
      <c r="F148" t="str">
        <f t="shared" si="10"/>
        <v>Perry</v>
      </c>
      <c r="G148" t="s">
        <v>3226</v>
      </c>
      <c r="H148">
        <v>2016</v>
      </c>
      <c r="I148">
        <v>10</v>
      </c>
      <c r="J148">
        <v>78</v>
      </c>
      <c r="K148">
        <v>82</v>
      </c>
      <c r="L148">
        <v>0</v>
      </c>
      <c r="M148">
        <v>1</v>
      </c>
      <c r="N148">
        <v>0</v>
      </c>
      <c r="O148" t="str">
        <f t="shared" si="11"/>
        <v>L 78-82 vs. Perry</v>
      </c>
    </row>
    <row r="149" spans="1:15" ht="15" customHeight="1" x14ac:dyDescent="0.25">
      <c r="A149">
        <f t="shared" si="12"/>
        <v>148</v>
      </c>
      <c r="B149" t="s">
        <v>3212</v>
      </c>
      <c r="C149" t="s">
        <v>3218</v>
      </c>
      <c r="D149" t="s">
        <v>3198</v>
      </c>
      <c r="E149" t="str">
        <f t="shared" si="9"/>
        <v>Ty</v>
      </c>
      <c r="F149" t="str">
        <f t="shared" si="10"/>
        <v>Matthew</v>
      </c>
      <c r="G149" t="s">
        <v>3219</v>
      </c>
      <c r="H149">
        <v>2016</v>
      </c>
      <c r="I149">
        <v>11</v>
      </c>
      <c r="J149">
        <v>78</v>
      </c>
      <c r="K149">
        <v>80</v>
      </c>
      <c r="L149">
        <v>0</v>
      </c>
      <c r="M149">
        <v>1</v>
      </c>
      <c r="N149">
        <v>0</v>
      </c>
      <c r="O149" t="str">
        <f t="shared" si="11"/>
        <v>L 78-80 vs. Matthew</v>
      </c>
    </row>
    <row r="150" spans="1:15" ht="15" customHeight="1" x14ac:dyDescent="0.25">
      <c r="A150">
        <f t="shared" si="12"/>
        <v>149</v>
      </c>
      <c r="B150" t="s">
        <v>3211</v>
      </c>
      <c r="C150" t="s">
        <v>3218</v>
      </c>
      <c r="D150" t="s">
        <v>3201</v>
      </c>
      <c r="E150" t="str">
        <f t="shared" si="9"/>
        <v>Anthony</v>
      </c>
      <c r="F150" t="str">
        <f t="shared" si="10"/>
        <v>Matthew</v>
      </c>
      <c r="G150" t="s">
        <v>3219</v>
      </c>
      <c r="H150">
        <v>2014</v>
      </c>
      <c r="I150">
        <v>13</v>
      </c>
      <c r="J150">
        <v>78</v>
      </c>
      <c r="K150">
        <v>76</v>
      </c>
      <c r="L150">
        <v>1</v>
      </c>
      <c r="M150">
        <v>0</v>
      </c>
      <c r="N150">
        <v>0</v>
      </c>
      <c r="O150" t="str">
        <f t="shared" si="11"/>
        <v>W 78-76 vs. Matthew</v>
      </c>
    </row>
    <row r="151" spans="1:15" ht="15" customHeight="1" x14ac:dyDescent="0.25">
      <c r="A151">
        <f t="shared" si="12"/>
        <v>150</v>
      </c>
      <c r="B151" t="s">
        <v>3211</v>
      </c>
      <c r="C151" t="s">
        <v>3218</v>
      </c>
      <c r="D151" t="s">
        <v>3201</v>
      </c>
      <c r="E151" t="str">
        <f t="shared" si="9"/>
        <v>Anthony</v>
      </c>
      <c r="F151" t="str">
        <f t="shared" si="10"/>
        <v>Matthew</v>
      </c>
      <c r="G151" t="s">
        <v>3219</v>
      </c>
      <c r="H151">
        <v>2015</v>
      </c>
      <c r="I151">
        <v>5</v>
      </c>
      <c r="J151">
        <v>78</v>
      </c>
      <c r="K151">
        <v>76</v>
      </c>
      <c r="L151">
        <v>1</v>
      </c>
      <c r="M151">
        <v>0</v>
      </c>
      <c r="N151">
        <v>0</v>
      </c>
      <c r="O151" t="str">
        <f t="shared" si="11"/>
        <v>W 78-76 vs. Matthew</v>
      </c>
    </row>
    <row r="152" spans="1:15" ht="15" customHeight="1" x14ac:dyDescent="0.25">
      <c r="A152">
        <f t="shared" si="12"/>
        <v>151</v>
      </c>
      <c r="B152" t="s">
        <v>3208</v>
      </c>
      <c r="C152" t="s">
        <v>3209</v>
      </c>
      <c r="D152" t="s">
        <v>3225</v>
      </c>
      <c r="E152" t="str">
        <f t="shared" si="9"/>
        <v>Chad</v>
      </c>
      <c r="F152" t="str">
        <f t="shared" si="10"/>
        <v>Scott</v>
      </c>
      <c r="G152" t="s">
        <v>3227</v>
      </c>
      <c r="H152">
        <v>2017</v>
      </c>
      <c r="I152">
        <v>8</v>
      </c>
      <c r="J152">
        <v>78</v>
      </c>
      <c r="K152">
        <v>75</v>
      </c>
      <c r="L152">
        <v>1</v>
      </c>
      <c r="M152">
        <v>0</v>
      </c>
      <c r="N152">
        <v>0</v>
      </c>
      <c r="O152" t="str">
        <f t="shared" si="11"/>
        <v>W 78-75 vs. Scott</v>
      </c>
    </row>
    <row r="153" spans="1:15" ht="15" customHeight="1" x14ac:dyDescent="0.25">
      <c r="A153">
        <f t="shared" si="12"/>
        <v>152</v>
      </c>
      <c r="B153" t="s">
        <v>3222</v>
      </c>
      <c r="C153" t="s">
        <v>3220</v>
      </c>
      <c r="D153" t="s">
        <v>3200</v>
      </c>
      <c r="E153" t="str">
        <f t="shared" si="9"/>
        <v>Taylor</v>
      </c>
      <c r="F153" t="str">
        <f t="shared" si="10"/>
        <v>Perry</v>
      </c>
      <c r="G153" t="s">
        <v>3226</v>
      </c>
      <c r="H153">
        <v>2015</v>
      </c>
      <c r="I153">
        <v>11</v>
      </c>
      <c r="J153">
        <v>78</v>
      </c>
      <c r="K153">
        <v>64</v>
      </c>
      <c r="L153">
        <v>1</v>
      </c>
      <c r="M153">
        <v>0</v>
      </c>
      <c r="N153">
        <v>0</v>
      </c>
      <c r="O153" t="str">
        <f t="shared" si="11"/>
        <v>W 78-64 vs. Perry</v>
      </c>
    </row>
    <row r="154" spans="1:15" ht="15" customHeight="1" x14ac:dyDescent="0.25">
      <c r="A154">
        <f t="shared" si="12"/>
        <v>153</v>
      </c>
      <c r="B154" t="s">
        <v>3222</v>
      </c>
      <c r="C154" t="s">
        <v>3215</v>
      </c>
      <c r="D154" t="s">
        <v>3200</v>
      </c>
      <c r="E154" t="str">
        <f t="shared" si="9"/>
        <v>Taylor</v>
      </c>
      <c r="F154" t="str">
        <f t="shared" si="10"/>
        <v>Devon</v>
      </c>
      <c r="G154" t="s">
        <v>3199</v>
      </c>
      <c r="H154">
        <v>2015</v>
      </c>
      <c r="I154">
        <v>10</v>
      </c>
      <c r="J154">
        <v>78</v>
      </c>
      <c r="K154">
        <v>60</v>
      </c>
      <c r="L154">
        <v>1</v>
      </c>
      <c r="M154">
        <v>0</v>
      </c>
      <c r="N154">
        <v>0</v>
      </c>
      <c r="O154" t="str">
        <f t="shared" si="11"/>
        <v>W 78-60 vs. Devon</v>
      </c>
    </row>
    <row r="155" spans="1:15" ht="15" customHeight="1" x14ac:dyDescent="0.25">
      <c r="A155">
        <f t="shared" si="12"/>
        <v>154</v>
      </c>
      <c r="B155" t="s">
        <v>3215</v>
      </c>
      <c r="C155" t="s">
        <v>3209</v>
      </c>
      <c r="D155" t="s">
        <v>3199</v>
      </c>
      <c r="E155" t="str">
        <f t="shared" si="9"/>
        <v>Devon</v>
      </c>
      <c r="F155" t="str">
        <f t="shared" si="10"/>
        <v>Scott</v>
      </c>
      <c r="G155" t="s">
        <v>3227</v>
      </c>
      <c r="H155">
        <v>2014</v>
      </c>
      <c r="I155">
        <v>2</v>
      </c>
      <c r="J155">
        <v>78</v>
      </c>
      <c r="K155">
        <v>52</v>
      </c>
      <c r="L155">
        <v>1</v>
      </c>
      <c r="M155">
        <v>0</v>
      </c>
      <c r="N155">
        <v>0</v>
      </c>
      <c r="O155" t="str">
        <f t="shared" si="11"/>
        <v>W 78-52 vs. Scott</v>
      </c>
    </row>
    <row r="156" spans="1:15" ht="15" customHeight="1" x14ac:dyDescent="0.25">
      <c r="A156">
        <f t="shared" si="12"/>
        <v>155</v>
      </c>
      <c r="B156" t="s">
        <v>3209</v>
      </c>
      <c r="C156" t="s">
        <v>3215</v>
      </c>
      <c r="D156" t="s">
        <v>3227</v>
      </c>
      <c r="E156" t="str">
        <f t="shared" si="9"/>
        <v>Scott</v>
      </c>
      <c r="F156" t="str">
        <f t="shared" si="10"/>
        <v>Devon</v>
      </c>
      <c r="G156" t="s">
        <v>3199</v>
      </c>
      <c r="H156">
        <v>2015</v>
      </c>
      <c r="I156">
        <v>11</v>
      </c>
      <c r="J156">
        <v>79</v>
      </c>
      <c r="K156">
        <v>119</v>
      </c>
      <c r="L156">
        <v>0</v>
      </c>
      <c r="M156">
        <v>1</v>
      </c>
      <c r="N156">
        <v>0</v>
      </c>
      <c r="O156" t="str">
        <f t="shared" si="11"/>
        <v>L 79-119 vs. Devon</v>
      </c>
    </row>
    <row r="157" spans="1:15" ht="15" customHeight="1" x14ac:dyDescent="0.25">
      <c r="A157">
        <f t="shared" si="12"/>
        <v>156</v>
      </c>
      <c r="B157" t="s">
        <v>3216</v>
      </c>
      <c r="C157" t="s">
        <v>3213</v>
      </c>
      <c r="D157" t="s">
        <v>3217</v>
      </c>
      <c r="E157" t="str">
        <f t="shared" si="9"/>
        <v>Seth</v>
      </c>
      <c r="F157" t="str">
        <f t="shared" si="10"/>
        <v>Cory</v>
      </c>
      <c r="G157" t="s">
        <v>3214</v>
      </c>
      <c r="H157">
        <v>2015</v>
      </c>
      <c r="I157">
        <v>7</v>
      </c>
      <c r="J157">
        <v>79</v>
      </c>
      <c r="K157">
        <v>117</v>
      </c>
      <c r="L157">
        <v>0</v>
      </c>
      <c r="M157">
        <v>1</v>
      </c>
      <c r="N157">
        <v>0</v>
      </c>
      <c r="O157" t="str">
        <f t="shared" si="11"/>
        <v>L 79-117 vs. Cory</v>
      </c>
    </row>
    <row r="158" spans="1:15" ht="15" customHeight="1" x14ac:dyDescent="0.25">
      <c r="A158">
        <f t="shared" si="12"/>
        <v>157</v>
      </c>
      <c r="B158" t="s">
        <v>3212</v>
      </c>
      <c r="C158" t="s">
        <v>3209</v>
      </c>
      <c r="D158" t="s">
        <v>3198</v>
      </c>
      <c r="E158" t="str">
        <f t="shared" si="9"/>
        <v>Ty</v>
      </c>
      <c r="F158" t="str">
        <f t="shared" si="10"/>
        <v>Scott</v>
      </c>
      <c r="G158" t="s">
        <v>3227</v>
      </c>
      <c r="H158">
        <v>2013</v>
      </c>
      <c r="I158">
        <v>12</v>
      </c>
      <c r="J158">
        <v>79</v>
      </c>
      <c r="K158">
        <v>115</v>
      </c>
      <c r="L158">
        <v>0</v>
      </c>
      <c r="M158">
        <v>1</v>
      </c>
      <c r="N158">
        <v>0</v>
      </c>
      <c r="O158" t="str">
        <f t="shared" si="11"/>
        <v>L 79-115 vs. Scott</v>
      </c>
    </row>
    <row r="159" spans="1:15" ht="15" customHeight="1" x14ac:dyDescent="0.25">
      <c r="A159">
        <f t="shared" si="12"/>
        <v>158</v>
      </c>
      <c r="B159" t="s">
        <v>3212</v>
      </c>
      <c r="C159" t="s">
        <v>3216</v>
      </c>
      <c r="D159" t="s">
        <v>3198</v>
      </c>
      <c r="E159" t="str">
        <f t="shared" si="9"/>
        <v>Ty</v>
      </c>
      <c r="F159" t="str">
        <f t="shared" si="10"/>
        <v>Seth</v>
      </c>
      <c r="G159" t="s">
        <v>3217</v>
      </c>
      <c r="H159">
        <v>2015</v>
      </c>
      <c r="I159">
        <v>1</v>
      </c>
      <c r="J159">
        <v>79</v>
      </c>
      <c r="K159">
        <v>114</v>
      </c>
      <c r="L159">
        <v>0</v>
      </c>
      <c r="M159">
        <v>1</v>
      </c>
      <c r="N159">
        <v>0</v>
      </c>
      <c r="O159" t="str">
        <f t="shared" si="11"/>
        <v>L 79-114 vs. Seth</v>
      </c>
    </row>
    <row r="160" spans="1:15" ht="15" customHeight="1" x14ac:dyDescent="0.25">
      <c r="A160">
        <f t="shared" si="12"/>
        <v>159</v>
      </c>
      <c r="B160" t="s">
        <v>3208</v>
      </c>
      <c r="C160" t="s">
        <v>3222</v>
      </c>
      <c r="D160" t="s">
        <v>3225</v>
      </c>
      <c r="E160" t="str">
        <f t="shared" si="9"/>
        <v>Chad</v>
      </c>
      <c r="F160" t="str">
        <f t="shared" si="10"/>
        <v>Jason</v>
      </c>
      <c r="G160" t="s">
        <v>3228</v>
      </c>
      <c r="H160">
        <v>2017</v>
      </c>
      <c r="I160">
        <v>6</v>
      </c>
      <c r="J160">
        <v>79</v>
      </c>
      <c r="K160">
        <v>99</v>
      </c>
      <c r="L160">
        <v>0</v>
      </c>
      <c r="M160">
        <v>1</v>
      </c>
      <c r="N160">
        <v>0</v>
      </c>
      <c r="O160" t="str">
        <f t="shared" si="11"/>
        <v>L 79-99 vs. Jason</v>
      </c>
    </row>
    <row r="161" spans="1:15" ht="15" customHeight="1" x14ac:dyDescent="0.25">
      <c r="A161">
        <f t="shared" si="12"/>
        <v>160</v>
      </c>
      <c r="B161" t="s">
        <v>3218</v>
      </c>
      <c r="C161" t="s">
        <v>3222</v>
      </c>
      <c r="D161" t="s">
        <v>3219</v>
      </c>
      <c r="E161" t="str">
        <f t="shared" si="9"/>
        <v>Matthew</v>
      </c>
      <c r="F161" t="str">
        <f t="shared" si="10"/>
        <v>Austin</v>
      </c>
      <c r="G161" t="s">
        <v>3223</v>
      </c>
      <c r="H161">
        <v>2013</v>
      </c>
      <c r="I161">
        <v>3</v>
      </c>
      <c r="J161">
        <v>79</v>
      </c>
      <c r="K161">
        <v>84</v>
      </c>
      <c r="L161">
        <v>0</v>
      </c>
      <c r="M161">
        <v>1</v>
      </c>
      <c r="N161">
        <v>0</v>
      </c>
      <c r="O161" t="str">
        <f t="shared" si="11"/>
        <v>L 79-84 vs. Austin</v>
      </c>
    </row>
    <row r="162" spans="1:15" ht="15" customHeight="1" x14ac:dyDescent="0.25">
      <c r="A162">
        <f t="shared" si="12"/>
        <v>161</v>
      </c>
      <c r="B162" t="s">
        <v>3216</v>
      </c>
      <c r="C162" t="s">
        <v>3218</v>
      </c>
      <c r="D162" t="s">
        <v>3217</v>
      </c>
      <c r="E162" t="str">
        <f t="shared" si="9"/>
        <v>Seth</v>
      </c>
      <c r="F162" t="str">
        <f t="shared" si="10"/>
        <v>Matthew</v>
      </c>
      <c r="G162" t="s">
        <v>3219</v>
      </c>
      <c r="H162">
        <v>2015</v>
      </c>
      <c r="I162">
        <v>10</v>
      </c>
      <c r="J162">
        <v>79</v>
      </c>
      <c r="K162">
        <v>59</v>
      </c>
      <c r="L162">
        <v>1</v>
      </c>
      <c r="M162">
        <v>0</v>
      </c>
      <c r="N162">
        <v>0</v>
      </c>
      <c r="O162" t="str">
        <f t="shared" si="11"/>
        <v>W 79-59 vs. Matthew</v>
      </c>
    </row>
    <row r="163" spans="1:15" ht="15" customHeight="1" x14ac:dyDescent="0.25">
      <c r="A163">
        <f t="shared" si="12"/>
        <v>162</v>
      </c>
      <c r="B163" t="s">
        <v>3209</v>
      </c>
      <c r="C163" t="s">
        <v>3220</v>
      </c>
      <c r="D163" t="s">
        <v>3227</v>
      </c>
      <c r="E163" t="str">
        <f t="shared" si="9"/>
        <v>Scott</v>
      </c>
      <c r="F163" t="str">
        <f t="shared" si="10"/>
        <v>Carter</v>
      </c>
      <c r="G163" t="s">
        <v>3224</v>
      </c>
      <c r="H163">
        <v>2014</v>
      </c>
      <c r="I163">
        <v>3</v>
      </c>
      <c r="J163">
        <v>80</v>
      </c>
      <c r="K163">
        <v>115</v>
      </c>
      <c r="L163">
        <v>0</v>
      </c>
      <c r="M163">
        <v>1</v>
      </c>
      <c r="N163">
        <v>0</v>
      </c>
      <c r="O163" t="str">
        <f t="shared" si="11"/>
        <v>L 80-115 vs. Carter</v>
      </c>
    </row>
    <row r="164" spans="1:15" ht="15" customHeight="1" x14ac:dyDescent="0.25">
      <c r="A164">
        <f t="shared" si="12"/>
        <v>163</v>
      </c>
      <c r="B164" t="s">
        <v>3220</v>
      </c>
      <c r="C164" t="s">
        <v>3212</v>
      </c>
      <c r="D164" t="s">
        <v>3226</v>
      </c>
      <c r="E164" t="str">
        <f t="shared" si="9"/>
        <v>Perry</v>
      </c>
      <c r="F164" t="str">
        <f t="shared" si="10"/>
        <v>Ty</v>
      </c>
      <c r="G164" t="s">
        <v>3198</v>
      </c>
      <c r="H164">
        <v>2017</v>
      </c>
      <c r="I164">
        <v>8</v>
      </c>
      <c r="J164">
        <v>80</v>
      </c>
      <c r="K164">
        <v>115</v>
      </c>
      <c r="L164">
        <v>0</v>
      </c>
      <c r="M164">
        <v>1</v>
      </c>
      <c r="N164">
        <v>0</v>
      </c>
      <c r="O164" t="str">
        <f t="shared" si="11"/>
        <v>L 80-115 vs. Ty</v>
      </c>
    </row>
    <row r="165" spans="1:15" ht="15" customHeight="1" x14ac:dyDescent="0.25">
      <c r="A165">
        <f t="shared" si="12"/>
        <v>164</v>
      </c>
      <c r="B165" t="s">
        <v>3213</v>
      </c>
      <c r="C165" t="s">
        <v>3220</v>
      </c>
      <c r="D165" t="s">
        <v>3214</v>
      </c>
      <c r="E165" t="str">
        <f t="shared" si="9"/>
        <v>Cory</v>
      </c>
      <c r="F165" t="str">
        <f t="shared" si="10"/>
        <v>Perry</v>
      </c>
      <c r="G165" t="s">
        <v>3226</v>
      </c>
      <c r="H165">
        <v>2016</v>
      </c>
      <c r="I165">
        <v>1</v>
      </c>
      <c r="J165">
        <v>80</v>
      </c>
      <c r="K165">
        <v>112</v>
      </c>
      <c r="L165">
        <v>0</v>
      </c>
      <c r="M165">
        <v>1</v>
      </c>
      <c r="N165">
        <v>0</v>
      </c>
      <c r="O165" t="str">
        <f t="shared" si="11"/>
        <v>L 80-112 vs. Perry</v>
      </c>
    </row>
    <row r="166" spans="1:15" ht="15" customHeight="1" x14ac:dyDescent="0.25">
      <c r="A166">
        <f t="shared" si="12"/>
        <v>165</v>
      </c>
      <c r="B166" t="s">
        <v>3215</v>
      </c>
      <c r="C166" t="s">
        <v>3208</v>
      </c>
      <c r="D166" t="s">
        <v>3199</v>
      </c>
      <c r="E166" t="str">
        <f t="shared" si="9"/>
        <v>Devon</v>
      </c>
      <c r="F166" t="str">
        <f t="shared" si="10"/>
        <v>Chad</v>
      </c>
      <c r="G166" t="s">
        <v>3225</v>
      </c>
      <c r="H166">
        <v>2016</v>
      </c>
      <c r="I166">
        <v>3</v>
      </c>
      <c r="J166">
        <v>80</v>
      </c>
      <c r="K166">
        <v>111</v>
      </c>
      <c r="L166">
        <v>0</v>
      </c>
      <c r="M166">
        <v>1</v>
      </c>
      <c r="N166">
        <v>0</v>
      </c>
      <c r="O166" t="str">
        <f t="shared" si="11"/>
        <v>L 80-111 vs. Chad</v>
      </c>
    </row>
    <row r="167" spans="1:15" ht="15" customHeight="1" x14ac:dyDescent="0.25">
      <c r="A167">
        <f t="shared" si="12"/>
        <v>166</v>
      </c>
      <c r="B167" t="s">
        <v>3211</v>
      </c>
      <c r="C167" t="s">
        <v>3208</v>
      </c>
      <c r="D167" t="s">
        <v>3201</v>
      </c>
      <c r="E167" t="str">
        <f t="shared" si="9"/>
        <v>Anthony</v>
      </c>
      <c r="F167" t="str">
        <f t="shared" si="10"/>
        <v>Chad</v>
      </c>
      <c r="G167" t="s">
        <v>3225</v>
      </c>
      <c r="H167">
        <v>2016</v>
      </c>
      <c r="I167">
        <v>2</v>
      </c>
      <c r="J167">
        <v>80</v>
      </c>
      <c r="K167">
        <v>106</v>
      </c>
      <c r="L167">
        <v>0</v>
      </c>
      <c r="M167">
        <v>1</v>
      </c>
      <c r="N167">
        <v>0</v>
      </c>
      <c r="O167" t="str">
        <f t="shared" si="11"/>
        <v>L 80-106 vs. Chad</v>
      </c>
    </row>
    <row r="168" spans="1:15" ht="15" customHeight="1" x14ac:dyDescent="0.25">
      <c r="A168">
        <f t="shared" si="12"/>
        <v>167</v>
      </c>
      <c r="B168" t="s">
        <v>3212</v>
      </c>
      <c r="C168" t="s">
        <v>3208</v>
      </c>
      <c r="D168" t="s">
        <v>3198</v>
      </c>
      <c r="E168" t="str">
        <f t="shared" si="9"/>
        <v>Ty</v>
      </c>
      <c r="F168" t="str">
        <f t="shared" si="10"/>
        <v>Chad</v>
      </c>
      <c r="G168" t="s">
        <v>3225</v>
      </c>
      <c r="H168">
        <v>2017</v>
      </c>
      <c r="I168">
        <v>13</v>
      </c>
      <c r="J168">
        <v>80</v>
      </c>
      <c r="K168">
        <v>95</v>
      </c>
      <c r="L168">
        <v>0</v>
      </c>
      <c r="M168">
        <v>1</v>
      </c>
      <c r="N168">
        <v>0</v>
      </c>
      <c r="O168" t="str">
        <f t="shared" si="11"/>
        <v>L 80-95 vs. Chad</v>
      </c>
    </row>
    <row r="169" spans="1:15" ht="15" customHeight="1" x14ac:dyDescent="0.25">
      <c r="A169">
        <f t="shared" si="12"/>
        <v>168</v>
      </c>
      <c r="B169" t="s">
        <v>3216</v>
      </c>
      <c r="C169" t="s">
        <v>3218</v>
      </c>
      <c r="D169" t="s">
        <v>3217</v>
      </c>
      <c r="E169" t="str">
        <f t="shared" si="9"/>
        <v>Seth</v>
      </c>
      <c r="F169" t="str">
        <f t="shared" si="10"/>
        <v>Matthew</v>
      </c>
      <c r="G169" t="s">
        <v>3219</v>
      </c>
      <c r="H169">
        <v>2017</v>
      </c>
      <c r="I169">
        <v>10</v>
      </c>
      <c r="J169">
        <v>80</v>
      </c>
      <c r="K169">
        <v>84</v>
      </c>
      <c r="L169">
        <v>0</v>
      </c>
      <c r="M169">
        <v>1</v>
      </c>
      <c r="N169">
        <v>0</v>
      </c>
      <c r="O169" t="str">
        <f t="shared" si="11"/>
        <v>L 80-84 vs. Matthew</v>
      </c>
    </row>
    <row r="170" spans="1:15" ht="15" customHeight="1" x14ac:dyDescent="0.25">
      <c r="A170">
        <f t="shared" si="12"/>
        <v>169</v>
      </c>
      <c r="B170" t="s">
        <v>3218</v>
      </c>
      <c r="C170" t="s">
        <v>3212</v>
      </c>
      <c r="D170" t="s">
        <v>3219</v>
      </c>
      <c r="E170" t="str">
        <f t="shared" si="9"/>
        <v>Matthew</v>
      </c>
      <c r="F170" t="str">
        <f t="shared" si="10"/>
        <v>Ty</v>
      </c>
      <c r="G170" t="s">
        <v>3198</v>
      </c>
      <c r="H170">
        <v>2016</v>
      </c>
      <c r="I170">
        <v>11</v>
      </c>
      <c r="J170">
        <v>80</v>
      </c>
      <c r="K170">
        <v>78</v>
      </c>
      <c r="L170">
        <v>1</v>
      </c>
      <c r="M170">
        <v>0</v>
      </c>
      <c r="N170">
        <v>0</v>
      </c>
      <c r="O170" t="str">
        <f t="shared" si="11"/>
        <v>W 80-78 vs. Ty</v>
      </c>
    </row>
    <row r="171" spans="1:15" ht="15" customHeight="1" x14ac:dyDescent="0.25">
      <c r="A171">
        <f t="shared" si="12"/>
        <v>170</v>
      </c>
      <c r="B171" t="s">
        <v>3215</v>
      </c>
      <c r="C171" t="s">
        <v>3218</v>
      </c>
      <c r="D171" t="s">
        <v>3199</v>
      </c>
      <c r="E171" t="str">
        <f t="shared" si="9"/>
        <v>Devon</v>
      </c>
      <c r="F171" t="str">
        <f t="shared" si="10"/>
        <v>Matthew</v>
      </c>
      <c r="G171" t="s">
        <v>3219</v>
      </c>
      <c r="H171">
        <v>2017</v>
      </c>
      <c r="I171">
        <v>12</v>
      </c>
      <c r="J171">
        <v>80</v>
      </c>
      <c r="K171">
        <v>75</v>
      </c>
      <c r="L171">
        <v>1</v>
      </c>
      <c r="M171">
        <v>0</v>
      </c>
      <c r="N171">
        <v>0</v>
      </c>
      <c r="O171" t="str">
        <f t="shared" si="11"/>
        <v>W 80-75 vs. Matthew</v>
      </c>
    </row>
    <row r="172" spans="1:15" ht="15" customHeight="1" x14ac:dyDescent="0.25">
      <c r="A172">
        <f t="shared" si="12"/>
        <v>171</v>
      </c>
      <c r="B172" t="s">
        <v>3213</v>
      </c>
      <c r="C172" t="s">
        <v>3216</v>
      </c>
      <c r="D172" t="s">
        <v>3214</v>
      </c>
      <c r="E172" t="str">
        <f t="shared" si="9"/>
        <v>Cory</v>
      </c>
      <c r="F172" t="str">
        <f t="shared" si="10"/>
        <v>Seth</v>
      </c>
      <c r="G172" t="s">
        <v>3217</v>
      </c>
      <c r="H172">
        <v>2013</v>
      </c>
      <c r="I172">
        <v>7</v>
      </c>
      <c r="J172">
        <v>80</v>
      </c>
      <c r="K172">
        <v>68</v>
      </c>
      <c r="L172">
        <v>1</v>
      </c>
      <c r="M172">
        <v>0</v>
      </c>
      <c r="N172">
        <v>0</v>
      </c>
      <c r="O172" t="str">
        <f t="shared" si="11"/>
        <v>W 80-68 vs. Seth</v>
      </c>
    </row>
    <row r="173" spans="1:15" ht="15" customHeight="1" x14ac:dyDescent="0.25">
      <c r="A173">
        <f t="shared" si="12"/>
        <v>172</v>
      </c>
      <c r="B173" t="s">
        <v>3211</v>
      </c>
      <c r="C173" t="s">
        <v>3216</v>
      </c>
      <c r="D173" t="s">
        <v>3201</v>
      </c>
      <c r="E173" t="str">
        <f t="shared" si="9"/>
        <v>Anthony</v>
      </c>
      <c r="F173" t="str">
        <f t="shared" si="10"/>
        <v>Seth</v>
      </c>
      <c r="G173" t="s">
        <v>3217</v>
      </c>
      <c r="H173">
        <v>2015</v>
      </c>
      <c r="I173">
        <v>11</v>
      </c>
      <c r="J173">
        <v>80</v>
      </c>
      <c r="K173">
        <v>62</v>
      </c>
      <c r="L173">
        <v>1</v>
      </c>
      <c r="M173">
        <v>0</v>
      </c>
      <c r="N173">
        <v>0</v>
      </c>
      <c r="O173" t="str">
        <f t="shared" si="11"/>
        <v>W 80-62 vs. Seth</v>
      </c>
    </row>
    <row r="174" spans="1:15" ht="15" customHeight="1" x14ac:dyDescent="0.25">
      <c r="A174">
        <f t="shared" si="12"/>
        <v>173</v>
      </c>
      <c r="B174" t="s">
        <v>3216</v>
      </c>
      <c r="C174" t="s">
        <v>3212</v>
      </c>
      <c r="D174" t="s">
        <v>3217</v>
      </c>
      <c r="E174" t="str">
        <f t="shared" si="9"/>
        <v>Seth</v>
      </c>
      <c r="F174" t="str">
        <f t="shared" si="10"/>
        <v>Ty</v>
      </c>
      <c r="G174" t="s">
        <v>3198</v>
      </c>
      <c r="H174">
        <v>2014</v>
      </c>
      <c r="I174">
        <v>9</v>
      </c>
      <c r="J174">
        <v>80</v>
      </c>
      <c r="K174">
        <v>46</v>
      </c>
      <c r="L174">
        <v>1</v>
      </c>
      <c r="M174">
        <v>0</v>
      </c>
      <c r="N174">
        <v>0</v>
      </c>
      <c r="O174" t="str">
        <f t="shared" si="11"/>
        <v>W 80-46 vs. Ty</v>
      </c>
    </row>
    <row r="175" spans="1:15" ht="15" customHeight="1" x14ac:dyDescent="0.25">
      <c r="A175">
        <f t="shared" si="12"/>
        <v>174</v>
      </c>
      <c r="B175" t="s">
        <v>3211</v>
      </c>
      <c r="C175" t="s">
        <v>3212</v>
      </c>
      <c r="D175" t="s">
        <v>3201</v>
      </c>
      <c r="E175" t="str">
        <f t="shared" si="9"/>
        <v>Anthony</v>
      </c>
      <c r="F175" t="str">
        <f t="shared" si="10"/>
        <v>Ty</v>
      </c>
      <c r="G175" t="s">
        <v>3198</v>
      </c>
      <c r="H175">
        <v>2017</v>
      </c>
      <c r="I175">
        <v>4</v>
      </c>
      <c r="J175">
        <v>80</v>
      </c>
      <c r="K175">
        <v>46</v>
      </c>
      <c r="L175">
        <v>1</v>
      </c>
      <c r="M175">
        <v>0</v>
      </c>
      <c r="N175">
        <v>0</v>
      </c>
      <c r="O175" t="str">
        <f t="shared" si="11"/>
        <v>W 80-46 vs. Ty</v>
      </c>
    </row>
    <row r="176" spans="1:15" ht="15" customHeight="1" x14ac:dyDescent="0.25">
      <c r="A176">
        <f t="shared" si="12"/>
        <v>175</v>
      </c>
      <c r="B176" t="s">
        <v>3215</v>
      </c>
      <c r="C176" t="s">
        <v>3213</v>
      </c>
      <c r="D176" t="s">
        <v>3199</v>
      </c>
      <c r="E176" t="str">
        <f t="shared" si="9"/>
        <v>Devon</v>
      </c>
      <c r="F176" t="str">
        <f t="shared" si="10"/>
        <v>Cory</v>
      </c>
      <c r="G176" t="s">
        <v>3214</v>
      </c>
      <c r="H176">
        <v>2015</v>
      </c>
      <c r="I176">
        <v>9</v>
      </c>
      <c r="J176">
        <v>81</v>
      </c>
      <c r="K176">
        <v>136</v>
      </c>
      <c r="L176">
        <v>0</v>
      </c>
      <c r="M176">
        <v>1</v>
      </c>
      <c r="N176">
        <v>0</v>
      </c>
      <c r="O176" t="str">
        <f t="shared" si="11"/>
        <v>L 81-136 vs. Cory</v>
      </c>
    </row>
    <row r="177" spans="1:15" ht="15" customHeight="1" x14ac:dyDescent="0.25">
      <c r="A177">
        <f t="shared" si="12"/>
        <v>176</v>
      </c>
      <c r="B177" t="s">
        <v>3222</v>
      </c>
      <c r="C177" t="s">
        <v>3208</v>
      </c>
      <c r="D177" t="s">
        <v>3200</v>
      </c>
      <c r="E177" t="str">
        <f t="shared" si="9"/>
        <v>Taylor</v>
      </c>
      <c r="F177" t="str">
        <f t="shared" si="10"/>
        <v>Chad</v>
      </c>
      <c r="G177" t="s">
        <v>3225</v>
      </c>
      <c r="H177">
        <v>2014</v>
      </c>
      <c r="I177">
        <v>6</v>
      </c>
      <c r="J177">
        <v>81</v>
      </c>
      <c r="K177">
        <v>129</v>
      </c>
      <c r="L177">
        <v>0</v>
      </c>
      <c r="M177">
        <v>1</v>
      </c>
      <c r="N177">
        <v>0</v>
      </c>
      <c r="O177" t="str">
        <f t="shared" si="11"/>
        <v>L 81-129 vs. Chad</v>
      </c>
    </row>
    <row r="178" spans="1:15" ht="15" customHeight="1" x14ac:dyDescent="0.25">
      <c r="A178">
        <f t="shared" si="12"/>
        <v>177</v>
      </c>
      <c r="B178" t="s">
        <v>3216</v>
      </c>
      <c r="C178" t="s">
        <v>3220</v>
      </c>
      <c r="D178" t="s">
        <v>3217</v>
      </c>
      <c r="E178" t="str">
        <f t="shared" si="9"/>
        <v>Seth</v>
      </c>
      <c r="F178" t="str">
        <f t="shared" si="10"/>
        <v>Carter</v>
      </c>
      <c r="G178" t="s">
        <v>3224</v>
      </c>
      <c r="H178">
        <v>2014</v>
      </c>
      <c r="I178">
        <v>5</v>
      </c>
      <c r="J178">
        <v>81</v>
      </c>
      <c r="K178">
        <v>120</v>
      </c>
      <c r="L178">
        <v>0</v>
      </c>
      <c r="M178">
        <v>1</v>
      </c>
      <c r="N178">
        <v>0</v>
      </c>
      <c r="O178" t="str">
        <f t="shared" si="11"/>
        <v>L 81-120 vs. Carter</v>
      </c>
    </row>
    <row r="179" spans="1:15" ht="15" customHeight="1" x14ac:dyDescent="0.25">
      <c r="A179">
        <f t="shared" si="12"/>
        <v>178</v>
      </c>
      <c r="B179" t="s">
        <v>3222</v>
      </c>
      <c r="C179" t="s">
        <v>3209</v>
      </c>
      <c r="D179" t="s">
        <v>3200</v>
      </c>
      <c r="E179" t="str">
        <f t="shared" si="9"/>
        <v>Taylor</v>
      </c>
      <c r="F179" t="str">
        <f t="shared" si="10"/>
        <v>Scott</v>
      </c>
      <c r="G179" t="s">
        <v>3227</v>
      </c>
      <c r="H179">
        <v>2015</v>
      </c>
      <c r="I179">
        <v>5</v>
      </c>
      <c r="J179">
        <v>81</v>
      </c>
      <c r="K179">
        <v>101</v>
      </c>
      <c r="L179">
        <v>0</v>
      </c>
      <c r="M179">
        <v>1</v>
      </c>
      <c r="N179">
        <v>0</v>
      </c>
      <c r="O179" t="str">
        <f t="shared" si="11"/>
        <v>L 81-101 vs. Scott</v>
      </c>
    </row>
    <row r="180" spans="1:15" ht="15" customHeight="1" x14ac:dyDescent="0.25">
      <c r="A180">
        <f t="shared" si="12"/>
        <v>179</v>
      </c>
      <c r="B180" t="s">
        <v>3222</v>
      </c>
      <c r="C180" t="s">
        <v>3216</v>
      </c>
      <c r="D180" t="s">
        <v>3200</v>
      </c>
      <c r="E180" t="str">
        <f t="shared" si="9"/>
        <v>Taylor</v>
      </c>
      <c r="F180" t="str">
        <f t="shared" si="10"/>
        <v>Seth</v>
      </c>
      <c r="G180" t="s">
        <v>3217</v>
      </c>
      <c r="H180">
        <v>2016</v>
      </c>
      <c r="I180">
        <v>13</v>
      </c>
      <c r="J180">
        <v>81</v>
      </c>
      <c r="K180">
        <v>99</v>
      </c>
      <c r="L180">
        <v>0</v>
      </c>
      <c r="M180">
        <v>1</v>
      </c>
      <c r="N180">
        <v>0</v>
      </c>
      <c r="O180" t="str">
        <f t="shared" si="11"/>
        <v>L 81-99 vs. Seth</v>
      </c>
    </row>
    <row r="181" spans="1:15" ht="15" customHeight="1" x14ac:dyDescent="0.25">
      <c r="A181">
        <f t="shared" si="12"/>
        <v>180</v>
      </c>
      <c r="B181" t="s">
        <v>3216</v>
      </c>
      <c r="C181" t="s">
        <v>3211</v>
      </c>
      <c r="D181" t="s">
        <v>3217</v>
      </c>
      <c r="E181" t="str">
        <f t="shared" si="9"/>
        <v>Seth</v>
      </c>
      <c r="F181" t="str">
        <f t="shared" si="10"/>
        <v>Anthony</v>
      </c>
      <c r="G181" t="s">
        <v>3201</v>
      </c>
      <c r="H181">
        <v>2014</v>
      </c>
      <c r="I181">
        <v>11</v>
      </c>
      <c r="J181">
        <v>81</v>
      </c>
      <c r="K181">
        <v>97</v>
      </c>
      <c r="L181">
        <v>0</v>
      </c>
      <c r="M181">
        <v>1</v>
      </c>
      <c r="N181">
        <v>0</v>
      </c>
      <c r="O181" t="str">
        <f t="shared" si="11"/>
        <v>L 81-97 vs. Anthony</v>
      </c>
    </row>
    <row r="182" spans="1:15" ht="15" customHeight="1" x14ac:dyDescent="0.25">
      <c r="A182">
        <f t="shared" si="12"/>
        <v>181</v>
      </c>
      <c r="B182" t="s">
        <v>3215</v>
      </c>
      <c r="C182" t="s">
        <v>3213</v>
      </c>
      <c r="D182" t="s">
        <v>3199</v>
      </c>
      <c r="E182" t="str">
        <f t="shared" si="9"/>
        <v>Devon</v>
      </c>
      <c r="F182" t="str">
        <f t="shared" si="10"/>
        <v>Cory</v>
      </c>
      <c r="G182" t="s">
        <v>3214</v>
      </c>
      <c r="H182">
        <v>2017</v>
      </c>
      <c r="I182">
        <v>9</v>
      </c>
      <c r="J182">
        <v>81</v>
      </c>
      <c r="K182">
        <v>89</v>
      </c>
      <c r="L182">
        <v>0</v>
      </c>
      <c r="M182">
        <v>1</v>
      </c>
      <c r="N182">
        <v>0</v>
      </c>
      <c r="O182" t="str">
        <f t="shared" si="11"/>
        <v>L 81-89 vs. Cory</v>
      </c>
    </row>
    <row r="183" spans="1:15" ht="15" customHeight="1" x14ac:dyDescent="0.25">
      <c r="A183">
        <f t="shared" si="12"/>
        <v>182</v>
      </c>
      <c r="B183" t="s">
        <v>3218</v>
      </c>
      <c r="C183" t="s">
        <v>3212</v>
      </c>
      <c r="D183" t="s">
        <v>3219</v>
      </c>
      <c r="E183" t="str">
        <f t="shared" si="9"/>
        <v>Matthew</v>
      </c>
      <c r="F183" t="str">
        <f t="shared" si="10"/>
        <v>Ty</v>
      </c>
      <c r="G183" t="s">
        <v>3198</v>
      </c>
      <c r="H183">
        <v>2015</v>
      </c>
      <c r="I183">
        <v>11</v>
      </c>
      <c r="J183">
        <v>81</v>
      </c>
      <c r="K183">
        <v>85</v>
      </c>
      <c r="L183">
        <v>0</v>
      </c>
      <c r="M183">
        <v>1</v>
      </c>
      <c r="N183">
        <v>0</v>
      </c>
      <c r="O183" t="str">
        <f t="shared" si="11"/>
        <v>L 81-85 vs. Ty</v>
      </c>
    </row>
    <row r="184" spans="1:15" ht="15" customHeight="1" x14ac:dyDescent="0.25">
      <c r="A184">
        <f t="shared" si="12"/>
        <v>183</v>
      </c>
      <c r="B184" t="s">
        <v>3216</v>
      </c>
      <c r="C184" t="s">
        <v>3213</v>
      </c>
      <c r="D184" t="s">
        <v>3217</v>
      </c>
      <c r="E184" t="str">
        <f t="shared" si="9"/>
        <v>Seth</v>
      </c>
      <c r="F184" t="str">
        <f t="shared" si="10"/>
        <v>Cory</v>
      </c>
      <c r="G184" t="s">
        <v>3214</v>
      </c>
      <c r="H184">
        <v>2017</v>
      </c>
      <c r="I184">
        <v>7</v>
      </c>
      <c r="J184">
        <v>81</v>
      </c>
      <c r="K184">
        <v>85</v>
      </c>
      <c r="L184">
        <v>0</v>
      </c>
      <c r="M184">
        <v>1</v>
      </c>
      <c r="N184">
        <v>0</v>
      </c>
      <c r="O184" t="str">
        <f t="shared" si="11"/>
        <v>L 81-85 vs. Cory</v>
      </c>
    </row>
    <row r="185" spans="1:15" ht="15" customHeight="1" x14ac:dyDescent="0.25">
      <c r="A185">
        <f t="shared" si="12"/>
        <v>184</v>
      </c>
      <c r="B185" t="s">
        <v>3218</v>
      </c>
      <c r="C185" t="s">
        <v>3212</v>
      </c>
      <c r="D185" t="s">
        <v>3219</v>
      </c>
      <c r="E185" t="str">
        <f t="shared" si="9"/>
        <v>Matthew</v>
      </c>
      <c r="F185" t="str">
        <f t="shared" si="10"/>
        <v>Ty</v>
      </c>
      <c r="G185" t="s">
        <v>3198</v>
      </c>
      <c r="H185">
        <v>2017</v>
      </c>
      <c r="I185">
        <v>3</v>
      </c>
      <c r="J185">
        <v>81</v>
      </c>
      <c r="K185">
        <v>85</v>
      </c>
      <c r="L185">
        <v>0</v>
      </c>
      <c r="M185">
        <v>1</v>
      </c>
      <c r="N185">
        <v>0</v>
      </c>
      <c r="O185" t="str">
        <f t="shared" si="11"/>
        <v>L 81-85 vs. Ty</v>
      </c>
    </row>
    <row r="186" spans="1:15" ht="15" customHeight="1" x14ac:dyDescent="0.25">
      <c r="A186">
        <f t="shared" si="12"/>
        <v>185</v>
      </c>
      <c r="B186" t="s">
        <v>3222</v>
      </c>
      <c r="C186" t="s">
        <v>3209</v>
      </c>
      <c r="D186" t="s">
        <v>3200</v>
      </c>
      <c r="E186" t="str">
        <f t="shared" si="9"/>
        <v>Taylor</v>
      </c>
      <c r="F186" t="str">
        <f t="shared" si="10"/>
        <v>Scott</v>
      </c>
      <c r="G186" t="s">
        <v>3227</v>
      </c>
      <c r="H186">
        <v>2015</v>
      </c>
      <c r="I186">
        <v>9</v>
      </c>
      <c r="J186">
        <v>81</v>
      </c>
      <c r="K186">
        <v>74</v>
      </c>
      <c r="L186">
        <v>1</v>
      </c>
      <c r="M186">
        <v>0</v>
      </c>
      <c r="N186">
        <v>0</v>
      </c>
      <c r="O186" t="str">
        <f t="shared" si="11"/>
        <v>W 81-74 vs. Scott</v>
      </c>
    </row>
    <row r="187" spans="1:15" ht="15" customHeight="1" x14ac:dyDescent="0.25">
      <c r="A187">
        <f t="shared" si="12"/>
        <v>186</v>
      </c>
      <c r="B187" t="s">
        <v>3215</v>
      </c>
      <c r="C187" t="s">
        <v>3208</v>
      </c>
      <c r="D187" t="s">
        <v>3199</v>
      </c>
      <c r="E187" t="str">
        <f t="shared" si="9"/>
        <v>Devon</v>
      </c>
      <c r="F187" t="str">
        <f t="shared" si="10"/>
        <v>Chad</v>
      </c>
      <c r="G187" t="s">
        <v>3225</v>
      </c>
      <c r="H187">
        <v>2014</v>
      </c>
      <c r="I187">
        <v>3</v>
      </c>
      <c r="J187">
        <v>81</v>
      </c>
      <c r="K187">
        <v>44</v>
      </c>
      <c r="L187">
        <v>1</v>
      </c>
      <c r="M187">
        <v>0</v>
      </c>
      <c r="N187">
        <v>0</v>
      </c>
      <c r="O187" t="str">
        <f t="shared" si="11"/>
        <v>W 81-44 vs. Chad</v>
      </c>
    </row>
    <row r="188" spans="1:15" ht="15" customHeight="1" x14ac:dyDescent="0.25">
      <c r="A188">
        <f t="shared" si="12"/>
        <v>187</v>
      </c>
      <c r="B188" t="s">
        <v>3216</v>
      </c>
      <c r="C188" t="s">
        <v>3212</v>
      </c>
      <c r="D188" t="s">
        <v>3217</v>
      </c>
      <c r="E188" t="str">
        <f t="shared" si="9"/>
        <v>Seth</v>
      </c>
      <c r="F188" t="str">
        <f t="shared" si="10"/>
        <v>Ty</v>
      </c>
      <c r="G188" t="s">
        <v>3198</v>
      </c>
      <c r="H188">
        <v>2016</v>
      </c>
      <c r="I188">
        <v>1</v>
      </c>
      <c r="J188">
        <v>82</v>
      </c>
      <c r="K188">
        <v>154</v>
      </c>
      <c r="L188">
        <v>0</v>
      </c>
      <c r="M188">
        <v>1</v>
      </c>
      <c r="N188">
        <v>0</v>
      </c>
      <c r="O188" t="str">
        <f t="shared" si="11"/>
        <v>L 82-154 vs. Ty</v>
      </c>
    </row>
    <row r="189" spans="1:15" ht="15" customHeight="1" x14ac:dyDescent="0.25">
      <c r="A189">
        <f t="shared" si="12"/>
        <v>188</v>
      </c>
      <c r="B189" t="s">
        <v>3208</v>
      </c>
      <c r="C189" t="s">
        <v>3215</v>
      </c>
      <c r="D189" t="s">
        <v>3210</v>
      </c>
      <c r="E189" t="str">
        <f t="shared" si="9"/>
        <v>Spencer</v>
      </c>
      <c r="F189" t="str">
        <f t="shared" si="10"/>
        <v>Devon</v>
      </c>
      <c r="G189" t="s">
        <v>3199</v>
      </c>
      <c r="H189">
        <v>2013</v>
      </c>
      <c r="I189">
        <v>8</v>
      </c>
      <c r="J189">
        <v>82</v>
      </c>
      <c r="K189">
        <v>136</v>
      </c>
      <c r="L189">
        <v>0</v>
      </c>
      <c r="M189">
        <v>1</v>
      </c>
      <c r="N189">
        <v>0</v>
      </c>
      <c r="O189" t="str">
        <f t="shared" si="11"/>
        <v>L 82-136 vs. Devon</v>
      </c>
    </row>
    <row r="190" spans="1:15" ht="15" customHeight="1" x14ac:dyDescent="0.25">
      <c r="A190">
        <f t="shared" si="12"/>
        <v>189</v>
      </c>
      <c r="B190" t="s">
        <v>3209</v>
      </c>
      <c r="C190" t="s">
        <v>3213</v>
      </c>
      <c r="D190" t="s">
        <v>3227</v>
      </c>
      <c r="E190" t="str">
        <f t="shared" si="9"/>
        <v>Scott</v>
      </c>
      <c r="F190" t="str">
        <f t="shared" si="10"/>
        <v>Cory</v>
      </c>
      <c r="G190" t="s">
        <v>3214</v>
      </c>
      <c r="H190">
        <v>2014</v>
      </c>
      <c r="I190">
        <v>4</v>
      </c>
      <c r="J190">
        <v>82</v>
      </c>
      <c r="K190">
        <v>128</v>
      </c>
      <c r="L190">
        <v>0</v>
      </c>
      <c r="M190">
        <v>1</v>
      </c>
      <c r="N190">
        <v>0</v>
      </c>
      <c r="O190" t="str">
        <f t="shared" si="11"/>
        <v>L 82-128 vs. Cory</v>
      </c>
    </row>
    <row r="191" spans="1:15" x14ac:dyDescent="0.25">
      <c r="A191">
        <f t="shared" si="12"/>
        <v>190</v>
      </c>
      <c r="B191" t="s">
        <v>3213</v>
      </c>
      <c r="C191" t="s">
        <v>3215</v>
      </c>
      <c r="D191" t="s">
        <v>3214</v>
      </c>
      <c r="E191" t="str">
        <f t="shared" si="9"/>
        <v>Cory</v>
      </c>
      <c r="F191" t="str">
        <f t="shared" si="10"/>
        <v>Devon</v>
      </c>
      <c r="G191" t="s">
        <v>3199</v>
      </c>
      <c r="H191">
        <v>2013</v>
      </c>
      <c r="I191">
        <v>3</v>
      </c>
      <c r="J191">
        <v>82</v>
      </c>
      <c r="K191">
        <v>123</v>
      </c>
      <c r="L191">
        <v>0</v>
      </c>
      <c r="M191">
        <v>1</v>
      </c>
      <c r="N191">
        <v>0</v>
      </c>
      <c r="O191" t="str">
        <f t="shared" si="11"/>
        <v>L 82-123 vs. Devon</v>
      </c>
    </row>
    <row r="192" spans="1:15" ht="15" customHeight="1" x14ac:dyDescent="0.25">
      <c r="A192">
        <f t="shared" si="12"/>
        <v>191</v>
      </c>
      <c r="B192" t="s">
        <v>3216</v>
      </c>
      <c r="C192" t="s">
        <v>3211</v>
      </c>
      <c r="D192" t="s">
        <v>3217</v>
      </c>
      <c r="E192" t="str">
        <f t="shared" si="9"/>
        <v>Seth</v>
      </c>
      <c r="F192" t="str">
        <f t="shared" si="10"/>
        <v>Anthony</v>
      </c>
      <c r="G192" t="s">
        <v>3201</v>
      </c>
      <c r="H192">
        <v>2013</v>
      </c>
      <c r="I192">
        <v>8</v>
      </c>
      <c r="J192">
        <v>82</v>
      </c>
      <c r="K192">
        <v>114</v>
      </c>
      <c r="L192">
        <v>0</v>
      </c>
      <c r="M192">
        <v>1</v>
      </c>
      <c r="N192">
        <v>0</v>
      </c>
      <c r="O192" t="str">
        <f t="shared" si="11"/>
        <v>L 82-114 vs. Anthony</v>
      </c>
    </row>
    <row r="193" spans="1:15" ht="15" customHeight="1" x14ac:dyDescent="0.25">
      <c r="A193">
        <f t="shared" si="12"/>
        <v>192</v>
      </c>
      <c r="B193" t="s">
        <v>3211</v>
      </c>
      <c r="C193" t="s">
        <v>3208</v>
      </c>
      <c r="D193" t="s">
        <v>3201</v>
      </c>
      <c r="E193" t="str">
        <f t="shared" si="9"/>
        <v>Anthony</v>
      </c>
      <c r="F193" t="str">
        <f t="shared" si="10"/>
        <v>Chad</v>
      </c>
      <c r="G193" t="s">
        <v>3225</v>
      </c>
      <c r="H193">
        <v>2017</v>
      </c>
      <c r="I193">
        <v>10</v>
      </c>
      <c r="J193">
        <v>82</v>
      </c>
      <c r="K193">
        <v>103</v>
      </c>
      <c r="L193">
        <v>0</v>
      </c>
      <c r="M193">
        <v>1</v>
      </c>
      <c r="N193">
        <v>0</v>
      </c>
      <c r="O193" t="str">
        <f t="shared" si="11"/>
        <v>L 82-103 vs. Chad</v>
      </c>
    </row>
    <row r="194" spans="1:15" ht="15" customHeight="1" x14ac:dyDescent="0.25">
      <c r="A194">
        <f t="shared" si="12"/>
        <v>193</v>
      </c>
      <c r="B194" t="s">
        <v>3212</v>
      </c>
      <c r="C194" t="s">
        <v>3213</v>
      </c>
      <c r="D194" t="s">
        <v>3198</v>
      </c>
      <c r="E194" t="str">
        <f t="shared" ref="E194:E257" si="13">LEFT(D194,SEARCH(" ",D194)-1)</f>
        <v>Ty</v>
      </c>
      <c r="F194" t="str">
        <f t="shared" ref="F194:F257" si="14">LEFT(G194,SEARCH(" ",G194)-1)</f>
        <v>Cory</v>
      </c>
      <c r="G194" t="s">
        <v>3214</v>
      </c>
      <c r="H194">
        <v>2016</v>
      </c>
      <c r="I194">
        <v>2</v>
      </c>
      <c r="J194">
        <v>82</v>
      </c>
      <c r="K194">
        <v>102</v>
      </c>
      <c r="L194">
        <v>0</v>
      </c>
      <c r="M194">
        <v>1</v>
      </c>
      <c r="N194">
        <v>0</v>
      </c>
      <c r="O194" t="str">
        <f t="shared" ref="O194:O257" si="15">IF(L194=1,"W",IF(M194=1,"L","T"))&amp;" "&amp;J194&amp;"-"&amp;K194&amp;" vs. "&amp;F194</f>
        <v>L 82-102 vs. Cory</v>
      </c>
    </row>
    <row r="195" spans="1:15" ht="15" customHeight="1" x14ac:dyDescent="0.25">
      <c r="A195">
        <f t="shared" ref="A195:A258" si="16">A194+1</f>
        <v>194</v>
      </c>
      <c r="B195" t="s">
        <v>3220</v>
      </c>
      <c r="C195" t="s">
        <v>3213</v>
      </c>
      <c r="D195" t="s">
        <v>3226</v>
      </c>
      <c r="E195" t="str">
        <f t="shared" si="13"/>
        <v>Perry</v>
      </c>
      <c r="F195" t="str">
        <f t="shared" si="14"/>
        <v>Cory</v>
      </c>
      <c r="G195" t="s">
        <v>3214</v>
      </c>
      <c r="H195">
        <v>2017</v>
      </c>
      <c r="I195">
        <v>1</v>
      </c>
      <c r="J195">
        <v>82</v>
      </c>
      <c r="K195">
        <v>100</v>
      </c>
      <c r="L195">
        <v>0</v>
      </c>
      <c r="M195">
        <v>1</v>
      </c>
      <c r="N195">
        <v>0</v>
      </c>
      <c r="O195" t="str">
        <f t="shared" si="15"/>
        <v>L 82-100 vs. Cory</v>
      </c>
    </row>
    <row r="196" spans="1:15" ht="15" customHeight="1" x14ac:dyDescent="0.25">
      <c r="A196">
        <f t="shared" si="16"/>
        <v>195</v>
      </c>
      <c r="B196" t="s">
        <v>3216</v>
      </c>
      <c r="C196" t="s">
        <v>3218</v>
      </c>
      <c r="D196" t="s">
        <v>3217</v>
      </c>
      <c r="E196" t="str">
        <f t="shared" si="13"/>
        <v>Seth</v>
      </c>
      <c r="F196" t="str">
        <f t="shared" si="14"/>
        <v>Matthew</v>
      </c>
      <c r="G196" t="s">
        <v>3219</v>
      </c>
      <c r="H196">
        <v>2014</v>
      </c>
      <c r="I196">
        <v>10</v>
      </c>
      <c r="J196">
        <v>82</v>
      </c>
      <c r="K196">
        <v>94</v>
      </c>
      <c r="L196">
        <v>0</v>
      </c>
      <c r="M196">
        <v>1</v>
      </c>
      <c r="N196">
        <v>0</v>
      </c>
      <c r="O196" t="str">
        <f t="shared" si="15"/>
        <v>L 82-94 vs. Matthew</v>
      </c>
    </row>
    <row r="197" spans="1:15" ht="15" customHeight="1" x14ac:dyDescent="0.25">
      <c r="A197">
        <f t="shared" si="16"/>
        <v>196</v>
      </c>
      <c r="B197" t="s">
        <v>3220</v>
      </c>
      <c r="C197" t="s">
        <v>3209</v>
      </c>
      <c r="D197" t="s">
        <v>3221</v>
      </c>
      <c r="E197" t="str">
        <f t="shared" si="13"/>
        <v>Lucas</v>
      </c>
      <c r="F197" t="str">
        <f t="shared" si="14"/>
        <v>Scott</v>
      </c>
      <c r="G197" t="s">
        <v>3227</v>
      </c>
      <c r="H197">
        <v>2013</v>
      </c>
      <c r="I197">
        <v>8</v>
      </c>
      <c r="J197">
        <v>82</v>
      </c>
      <c r="K197">
        <v>82</v>
      </c>
      <c r="L197">
        <v>0</v>
      </c>
      <c r="M197">
        <v>0</v>
      </c>
      <c r="N197">
        <v>1</v>
      </c>
      <c r="O197" t="str">
        <f t="shared" si="15"/>
        <v>T 82-82 vs. Scott</v>
      </c>
    </row>
    <row r="198" spans="1:15" ht="15" customHeight="1" x14ac:dyDescent="0.25">
      <c r="A198">
        <f t="shared" si="16"/>
        <v>197</v>
      </c>
      <c r="B198" t="s">
        <v>3209</v>
      </c>
      <c r="C198" t="s">
        <v>3220</v>
      </c>
      <c r="D198" t="s">
        <v>3227</v>
      </c>
      <c r="E198" t="str">
        <f t="shared" si="13"/>
        <v>Scott</v>
      </c>
      <c r="F198" t="str">
        <f t="shared" si="14"/>
        <v>Lucas</v>
      </c>
      <c r="G198" t="s">
        <v>3221</v>
      </c>
      <c r="H198">
        <v>2013</v>
      </c>
      <c r="I198">
        <v>8</v>
      </c>
      <c r="J198">
        <v>82</v>
      </c>
      <c r="K198">
        <v>82</v>
      </c>
      <c r="L198">
        <v>0</v>
      </c>
      <c r="M198">
        <v>0</v>
      </c>
      <c r="N198">
        <v>1</v>
      </c>
      <c r="O198" t="str">
        <f t="shared" si="15"/>
        <v>T 82-82 vs. Lucas</v>
      </c>
    </row>
    <row r="199" spans="1:15" ht="15" customHeight="1" x14ac:dyDescent="0.25">
      <c r="A199">
        <f t="shared" si="16"/>
        <v>198</v>
      </c>
      <c r="B199" t="s">
        <v>3220</v>
      </c>
      <c r="C199" t="s">
        <v>3213</v>
      </c>
      <c r="D199" t="s">
        <v>3226</v>
      </c>
      <c r="E199" t="str">
        <f t="shared" si="13"/>
        <v>Perry</v>
      </c>
      <c r="F199" t="str">
        <f t="shared" si="14"/>
        <v>Cory</v>
      </c>
      <c r="G199" t="s">
        <v>3214</v>
      </c>
      <c r="H199">
        <v>2016</v>
      </c>
      <c r="I199">
        <v>10</v>
      </c>
      <c r="J199">
        <v>82</v>
      </c>
      <c r="K199">
        <v>78</v>
      </c>
      <c r="L199">
        <v>1</v>
      </c>
      <c r="M199">
        <v>0</v>
      </c>
      <c r="N199">
        <v>0</v>
      </c>
      <c r="O199" t="str">
        <f t="shared" si="15"/>
        <v>W 82-78 vs. Cory</v>
      </c>
    </row>
    <row r="200" spans="1:15" ht="15" customHeight="1" x14ac:dyDescent="0.25">
      <c r="A200">
        <f t="shared" si="16"/>
        <v>199</v>
      </c>
      <c r="B200" t="s">
        <v>3216</v>
      </c>
      <c r="C200" t="s">
        <v>3218</v>
      </c>
      <c r="D200" t="s">
        <v>3217</v>
      </c>
      <c r="E200" t="str">
        <f t="shared" si="13"/>
        <v>Seth</v>
      </c>
      <c r="F200" t="str">
        <f t="shared" si="14"/>
        <v>Matthew</v>
      </c>
      <c r="G200" t="s">
        <v>3219</v>
      </c>
      <c r="H200">
        <v>2017</v>
      </c>
      <c r="I200">
        <v>2</v>
      </c>
      <c r="J200">
        <v>82</v>
      </c>
      <c r="K200">
        <v>70</v>
      </c>
      <c r="L200">
        <v>1</v>
      </c>
      <c r="M200">
        <v>0</v>
      </c>
      <c r="N200">
        <v>0</v>
      </c>
      <c r="O200" t="str">
        <f t="shared" si="15"/>
        <v>W 82-70 vs. Matthew</v>
      </c>
    </row>
    <row r="201" spans="1:15" ht="15" customHeight="1" x14ac:dyDescent="0.25">
      <c r="A201">
        <f t="shared" si="16"/>
        <v>200</v>
      </c>
      <c r="B201" t="s">
        <v>3209</v>
      </c>
      <c r="C201" t="s">
        <v>3218</v>
      </c>
      <c r="D201" t="s">
        <v>3227</v>
      </c>
      <c r="E201" t="str">
        <f t="shared" si="13"/>
        <v>Scott</v>
      </c>
      <c r="F201" t="str">
        <f t="shared" si="14"/>
        <v>Matthew</v>
      </c>
      <c r="G201" t="s">
        <v>3219</v>
      </c>
      <c r="H201">
        <v>2017</v>
      </c>
      <c r="I201">
        <v>7</v>
      </c>
      <c r="J201">
        <v>82</v>
      </c>
      <c r="K201">
        <v>65</v>
      </c>
      <c r="L201">
        <v>1</v>
      </c>
      <c r="M201">
        <v>0</v>
      </c>
      <c r="N201">
        <v>0</v>
      </c>
      <c r="O201" t="str">
        <f t="shared" si="15"/>
        <v>W 82-65 vs. Matthew</v>
      </c>
    </row>
    <row r="202" spans="1:15" ht="15" customHeight="1" x14ac:dyDescent="0.25">
      <c r="A202">
        <f t="shared" si="16"/>
        <v>201</v>
      </c>
      <c r="B202" t="s">
        <v>3211</v>
      </c>
      <c r="C202" t="s">
        <v>3212</v>
      </c>
      <c r="D202" t="s">
        <v>3201</v>
      </c>
      <c r="E202" t="str">
        <f t="shared" si="13"/>
        <v>Anthony</v>
      </c>
      <c r="F202" t="str">
        <f t="shared" si="14"/>
        <v>Ty</v>
      </c>
      <c r="G202" t="s">
        <v>3198</v>
      </c>
      <c r="H202">
        <v>2016</v>
      </c>
      <c r="I202">
        <v>12</v>
      </c>
      <c r="J202">
        <v>83</v>
      </c>
      <c r="K202">
        <v>154</v>
      </c>
      <c r="L202">
        <v>0</v>
      </c>
      <c r="M202">
        <v>1</v>
      </c>
      <c r="N202">
        <v>0</v>
      </c>
      <c r="O202" t="str">
        <f t="shared" si="15"/>
        <v>L 83-154 vs. Ty</v>
      </c>
    </row>
    <row r="203" spans="1:15" ht="15" customHeight="1" x14ac:dyDescent="0.25">
      <c r="A203">
        <f t="shared" si="16"/>
        <v>202</v>
      </c>
      <c r="B203" t="s">
        <v>3216</v>
      </c>
      <c r="C203" t="s">
        <v>3208</v>
      </c>
      <c r="D203" t="s">
        <v>3217</v>
      </c>
      <c r="E203" t="str">
        <f t="shared" si="13"/>
        <v>Seth</v>
      </c>
      <c r="F203" t="str">
        <f t="shared" si="14"/>
        <v>Chad</v>
      </c>
      <c r="G203" t="s">
        <v>3225</v>
      </c>
      <c r="H203">
        <v>2014</v>
      </c>
      <c r="I203">
        <v>12</v>
      </c>
      <c r="J203">
        <v>83</v>
      </c>
      <c r="K203">
        <v>120</v>
      </c>
      <c r="L203">
        <v>0</v>
      </c>
      <c r="M203">
        <v>1</v>
      </c>
      <c r="N203">
        <v>0</v>
      </c>
      <c r="O203" t="str">
        <f t="shared" si="15"/>
        <v>L 83-120 vs. Chad</v>
      </c>
    </row>
    <row r="204" spans="1:15" ht="15" customHeight="1" x14ac:dyDescent="0.25">
      <c r="A204">
        <f t="shared" si="16"/>
        <v>203</v>
      </c>
      <c r="B204" t="s">
        <v>3213</v>
      </c>
      <c r="C204" t="s">
        <v>3220</v>
      </c>
      <c r="D204" t="s">
        <v>3214</v>
      </c>
      <c r="E204" t="str">
        <f t="shared" si="13"/>
        <v>Cory</v>
      </c>
      <c r="F204" t="str">
        <f t="shared" si="14"/>
        <v>Perry</v>
      </c>
      <c r="G204" t="s">
        <v>3226</v>
      </c>
      <c r="H204">
        <v>2015</v>
      </c>
      <c r="I204">
        <v>1</v>
      </c>
      <c r="J204">
        <v>83</v>
      </c>
      <c r="K204">
        <v>120</v>
      </c>
      <c r="L204">
        <v>0</v>
      </c>
      <c r="M204">
        <v>1</v>
      </c>
      <c r="N204">
        <v>0</v>
      </c>
      <c r="O204" t="str">
        <f t="shared" si="15"/>
        <v>L 83-120 vs. Perry</v>
      </c>
    </row>
    <row r="205" spans="1:15" x14ac:dyDescent="0.25">
      <c r="A205">
        <f t="shared" si="16"/>
        <v>204</v>
      </c>
      <c r="B205" t="s">
        <v>3213</v>
      </c>
      <c r="C205" t="s">
        <v>3211</v>
      </c>
      <c r="D205" t="s">
        <v>3214</v>
      </c>
      <c r="E205" t="str">
        <f t="shared" si="13"/>
        <v>Cory</v>
      </c>
      <c r="F205" t="str">
        <f t="shared" si="14"/>
        <v>Anthony</v>
      </c>
      <c r="G205" t="s">
        <v>3201</v>
      </c>
      <c r="H205">
        <v>2015</v>
      </c>
      <c r="I205">
        <v>6</v>
      </c>
      <c r="J205">
        <v>83</v>
      </c>
      <c r="K205">
        <v>104</v>
      </c>
      <c r="L205">
        <v>0</v>
      </c>
      <c r="M205">
        <v>1</v>
      </c>
      <c r="N205">
        <v>0</v>
      </c>
      <c r="O205" t="str">
        <f t="shared" si="15"/>
        <v>L 83-104 vs. Anthony</v>
      </c>
    </row>
    <row r="206" spans="1:15" ht="15" customHeight="1" x14ac:dyDescent="0.25">
      <c r="A206">
        <f t="shared" si="16"/>
        <v>205</v>
      </c>
      <c r="B206" t="s">
        <v>3218</v>
      </c>
      <c r="C206" t="s">
        <v>3216</v>
      </c>
      <c r="D206" t="s">
        <v>3219</v>
      </c>
      <c r="E206" t="str">
        <f t="shared" si="13"/>
        <v>Matthew</v>
      </c>
      <c r="F206" t="str">
        <f t="shared" si="14"/>
        <v>Seth</v>
      </c>
      <c r="G206" t="s">
        <v>3217</v>
      </c>
      <c r="H206">
        <v>2014</v>
      </c>
      <c r="I206">
        <v>2</v>
      </c>
      <c r="J206">
        <v>83</v>
      </c>
      <c r="K206">
        <v>104</v>
      </c>
      <c r="L206">
        <v>0</v>
      </c>
      <c r="M206">
        <v>1</v>
      </c>
      <c r="N206">
        <v>0</v>
      </c>
      <c r="O206" t="str">
        <f t="shared" si="15"/>
        <v>L 83-104 vs. Seth</v>
      </c>
    </row>
    <row r="207" spans="1:15" ht="15" customHeight="1" x14ac:dyDescent="0.25">
      <c r="A207">
        <f t="shared" si="16"/>
        <v>206</v>
      </c>
      <c r="B207" t="s">
        <v>3208</v>
      </c>
      <c r="C207" t="s">
        <v>3218</v>
      </c>
      <c r="D207" t="s">
        <v>3225</v>
      </c>
      <c r="E207" t="str">
        <f t="shared" si="13"/>
        <v>Chad</v>
      </c>
      <c r="F207" t="str">
        <f t="shared" si="14"/>
        <v>Matthew</v>
      </c>
      <c r="G207" t="s">
        <v>3219</v>
      </c>
      <c r="H207">
        <v>2015</v>
      </c>
      <c r="I207">
        <v>9</v>
      </c>
      <c r="J207">
        <v>83</v>
      </c>
      <c r="K207">
        <v>103</v>
      </c>
      <c r="L207">
        <v>0</v>
      </c>
      <c r="M207">
        <v>1</v>
      </c>
      <c r="N207">
        <v>0</v>
      </c>
      <c r="O207" t="str">
        <f t="shared" si="15"/>
        <v>L 83-103 vs. Matthew</v>
      </c>
    </row>
    <row r="208" spans="1:15" ht="15" customHeight="1" x14ac:dyDescent="0.25">
      <c r="A208">
        <f t="shared" si="16"/>
        <v>207</v>
      </c>
      <c r="B208" t="s">
        <v>3212</v>
      </c>
      <c r="C208" t="s">
        <v>3208</v>
      </c>
      <c r="D208" t="s">
        <v>3198</v>
      </c>
      <c r="E208" t="str">
        <f t="shared" si="13"/>
        <v>Ty</v>
      </c>
      <c r="F208" t="str">
        <f t="shared" si="14"/>
        <v>Chad</v>
      </c>
      <c r="G208" t="s">
        <v>3225</v>
      </c>
      <c r="H208">
        <v>2014</v>
      </c>
      <c r="I208">
        <v>5</v>
      </c>
      <c r="J208">
        <v>83</v>
      </c>
      <c r="K208">
        <v>93</v>
      </c>
      <c r="L208">
        <v>0</v>
      </c>
      <c r="M208">
        <v>1</v>
      </c>
      <c r="N208">
        <v>0</v>
      </c>
      <c r="O208" t="str">
        <f t="shared" si="15"/>
        <v>L 83-93 vs. Chad</v>
      </c>
    </row>
    <row r="209" spans="1:15" ht="15" customHeight="1" x14ac:dyDescent="0.25">
      <c r="A209">
        <f t="shared" si="16"/>
        <v>208</v>
      </c>
      <c r="B209" t="s">
        <v>3220</v>
      </c>
      <c r="C209" t="s">
        <v>3209</v>
      </c>
      <c r="D209" t="s">
        <v>3224</v>
      </c>
      <c r="E209" t="str">
        <f t="shared" si="13"/>
        <v>Carter</v>
      </c>
      <c r="F209" t="str">
        <f t="shared" si="14"/>
        <v>Scott</v>
      </c>
      <c r="G209" t="s">
        <v>3227</v>
      </c>
      <c r="H209">
        <v>2014</v>
      </c>
      <c r="I209">
        <v>12</v>
      </c>
      <c r="J209">
        <v>83</v>
      </c>
      <c r="K209">
        <v>86</v>
      </c>
      <c r="L209">
        <v>0</v>
      </c>
      <c r="M209">
        <v>1</v>
      </c>
      <c r="N209">
        <v>0</v>
      </c>
      <c r="O209" t="str">
        <f t="shared" si="15"/>
        <v>L 83-86 vs. Scott</v>
      </c>
    </row>
    <row r="210" spans="1:15" ht="15" customHeight="1" x14ac:dyDescent="0.25">
      <c r="A210">
        <f t="shared" si="16"/>
        <v>209</v>
      </c>
      <c r="B210" t="s">
        <v>3209</v>
      </c>
      <c r="C210" t="s">
        <v>3213</v>
      </c>
      <c r="D210" t="s">
        <v>3227</v>
      </c>
      <c r="E210" t="str">
        <f t="shared" si="13"/>
        <v>Scott</v>
      </c>
      <c r="F210" t="str">
        <f t="shared" si="14"/>
        <v>Cory</v>
      </c>
      <c r="G210" t="s">
        <v>3214</v>
      </c>
      <c r="H210">
        <v>2016</v>
      </c>
      <c r="I210">
        <v>13</v>
      </c>
      <c r="J210">
        <v>83</v>
      </c>
      <c r="K210">
        <v>68</v>
      </c>
      <c r="L210">
        <v>1</v>
      </c>
      <c r="M210">
        <v>0</v>
      </c>
      <c r="N210">
        <v>0</v>
      </c>
      <c r="O210" t="str">
        <f t="shared" si="15"/>
        <v>W 83-68 vs. Cory</v>
      </c>
    </row>
    <row r="211" spans="1:15" x14ac:dyDescent="0.25">
      <c r="A211">
        <f t="shared" si="16"/>
        <v>210</v>
      </c>
      <c r="B211" t="s">
        <v>3218</v>
      </c>
      <c r="C211" t="s">
        <v>3208</v>
      </c>
      <c r="D211" t="s">
        <v>3219</v>
      </c>
      <c r="E211" t="str">
        <f t="shared" si="13"/>
        <v>Matthew</v>
      </c>
      <c r="F211" t="str">
        <f t="shared" si="14"/>
        <v>Chad</v>
      </c>
      <c r="G211" t="s">
        <v>3225</v>
      </c>
      <c r="H211">
        <v>2015</v>
      </c>
      <c r="I211">
        <v>1</v>
      </c>
      <c r="J211">
        <v>83</v>
      </c>
      <c r="K211">
        <v>62</v>
      </c>
      <c r="L211">
        <v>1</v>
      </c>
      <c r="M211">
        <v>0</v>
      </c>
      <c r="N211">
        <v>0</v>
      </c>
      <c r="O211" t="str">
        <f t="shared" si="15"/>
        <v>W 83-62 vs. Chad</v>
      </c>
    </row>
    <row r="212" spans="1:15" ht="15" customHeight="1" x14ac:dyDescent="0.25">
      <c r="A212">
        <f t="shared" si="16"/>
        <v>211</v>
      </c>
      <c r="B212" t="s">
        <v>3211</v>
      </c>
      <c r="C212" t="s">
        <v>3212</v>
      </c>
      <c r="D212" t="s">
        <v>3201</v>
      </c>
      <c r="E212" t="str">
        <f t="shared" si="13"/>
        <v>Anthony</v>
      </c>
      <c r="F212" t="str">
        <f t="shared" si="14"/>
        <v>Ty</v>
      </c>
      <c r="G212" t="s">
        <v>3198</v>
      </c>
      <c r="H212">
        <v>2017</v>
      </c>
      <c r="I212">
        <v>12</v>
      </c>
      <c r="J212">
        <v>84</v>
      </c>
      <c r="K212">
        <v>125</v>
      </c>
      <c r="L212">
        <v>0</v>
      </c>
      <c r="M212">
        <v>1</v>
      </c>
      <c r="N212">
        <v>0</v>
      </c>
      <c r="O212" t="str">
        <f t="shared" si="15"/>
        <v>L 84-125 vs. Ty</v>
      </c>
    </row>
    <row r="213" spans="1:15" ht="15" customHeight="1" x14ac:dyDescent="0.25">
      <c r="A213">
        <f t="shared" si="16"/>
        <v>212</v>
      </c>
      <c r="B213" t="s">
        <v>3209</v>
      </c>
      <c r="C213" t="s">
        <v>3208</v>
      </c>
      <c r="D213" t="s">
        <v>3227</v>
      </c>
      <c r="E213" t="str">
        <f t="shared" si="13"/>
        <v>Scott</v>
      </c>
      <c r="F213" t="str">
        <f t="shared" si="14"/>
        <v>Chad</v>
      </c>
      <c r="G213" t="s">
        <v>3225</v>
      </c>
      <c r="H213">
        <v>2014</v>
      </c>
      <c r="I213">
        <v>8</v>
      </c>
      <c r="J213">
        <v>84</v>
      </c>
      <c r="K213">
        <v>121</v>
      </c>
      <c r="L213">
        <v>0</v>
      </c>
      <c r="M213">
        <v>1</v>
      </c>
      <c r="N213">
        <v>0</v>
      </c>
      <c r="O213" t="str">
        <f t="shared" si="15"/>
        <v>L 84-121 vs. Chad</v>
      </c>
    </row>
    <row r="214" spans="1:15" ht="15" customHeight="1" x14ac:dyDescent="0.25">
      <c r="A214">
        <f t="shared" si="16"/>
        <v>213</v>
      </c>
      <c r="B214" t="s">
        <v>3222</v>
      </c>
      <c r="C214" t="s">
        <v>3215</v>
      </c>
      <c r="D214" t="s">
        <v>3200</v>
      </c>
      <c r="E214" t="str">
        <f t="shared" si="13"/>
        <v>Taylor</v>
      </c>
      <c r="F214" t="str">
        <f t="shared" si="14"/>
        <v>Devon</v>
      </c>
      <c r="G214" t="s">
        <v>3199</v>
      </c>
      <c r="H214">
        <v>2016</v>
      </c>
      <c r="I214">
        <v>10</v>
      </c>
      <c r="J214">
        <v>84</v>
      </c>
      <c r="K214">
        <v>116</v>
      </c>
      <c r="L214">
        <v>0</v>
      </c>
      <c r="M214">
        <v>1</v>
      </c>
      <c r="N214">
        <v>0</v>
      </c>
      <c r="O214" t="str">
        <f t="shared" si="15"/>
        <v>L 84-116 vs. Devon</v>
      </c>
    </row>
    <row r="215" spans="1:15" ht="15" customHeight="1" x14ac:dyDescent="0.25">
      <c r="A215">
        <f t="shared" si="16"/>
        <v>214</v>
      </c>
      <c r="B215" t="s">
        <v>3218</v>
      </c>
      <c r="C215" t="s">
        <v>3212</v>
      </c>
      <c r="D215" t="s">
        <v>3219</v>
      </c>
      <c r="E215" t="str">
        <f t="shared" si="13"/>
        <v>Matthew</v>
      </c>
      <c r="F215" t="str">
        <f t="shared" si="14"/>
        <v>Ty</v>
      </c>
      <c r="G215" t="s">
        <v>3198</v>
      </c>
      <c r="H215">
        <v>2017</v>
      </c>
      <c r="I215">
        <v>11</v>
      </c>
      <c r="J215">
        <v>84</v>
      </c>
      <c r="K215">
        <v>111</v>
      </c>
      <c r="L215">
        <v>0</v>
      </c>
      <c r="M215">
        <v>1</v>
      </c>
      <c r="N215">
        <v>0</v>
      </c>
      <c r="O215" t="str">
        <f t="shared" si="15"/>
        <v>L 84-111 vs. Ty</v>
      </c>
    </row>
    <row r="216" spans="1:15" ht="15" customHeight="1" x14ac:dyDescent="0.25">
      <c r="A216">
        <f t="shared" si="16"/>
        <v>215</v>
      </c>
      <c r="B216" t="s">
        <v>3209</v>
      </c>
      <c r="C216" t="s">
        <v>3211</v>
      </c>
      <c r="D216" t="s">
        <v>3227</v>
      </c>
      <c r="E216" t="str">
        <f t="shared" si="13"/>
        <v>Scott</v>
      </c>
      <c r="F216" t="str">
        <f t="shared" si="14"/>
        <v>Anthony</v>
      </c>
      <c r="G216" t="s">
        <v>3201</v>
      </c>
      <c r="H216">
        <v>2013</v>
      </c>
      <c r="I216">
        <v>2</v>
      </c>
      <c r="J216">
        <v>84</v>
      </c>
      <c r="K216">
        <v>94</v>
      </c>
      <c r="L216">
        <v>0</v>
      </c>
      <c r="M216">
        <v>1</v>
      </c>
      <c r="N216">
        <v>0</v>
      </c>
      <c r="O216" t="str">
        <f t="shared" si="15"/>
        <v>L 84-94 vs. Anthony</v>
      </c>
    </row>
    <row r="217" spans="1:15" ht="15" customHeight="1" x14ac:dyDescent="0.25">
      <c r="A217">
        <f t="shared" si="16"/>
        <v>216</v>
      </c>
      <c r="B217" t="s">
        <v>3209</v>
      </c>
      <c r="C217" t="s">
        <v>3215</v>
      </c>
      <c r="D217" t="s">
        <v>3227</v>
      </c>
      <c r="E217" t="str">
        <f t="shared" si="13"/>
        <v>Scott</v>
      </c>
      <c r="F217" t="str">
        <f t="shared" si="14"/>
        <v>Devon</v>
      </c>
      <c r="G217" t="s">
        <v>3199</v>
      </c>
      <c r="H217">
        <v>2016</v>
      </c>
      <c r="I217">
        <v>11</v>
      </c>
      <c r="J217">
        <v>84</v>
      </c>
      <c r="K217">
        <v>85</v>
      </c>
      <c r="L217">
        <v>0</v>
      </c>
      <c r="M217">
        <v>1</v>
      </c>
      <c r="N217">
        <v>0</v>
      </c>
      <c r="O217" t="str">
        <f t="shared" si="15"/>
        <v>L 84-85 vs. Devon</v>
      </c>
    </row>
    <row r="218" spans="1:15" ht="15" customHeight="1" x14ac:dyDescent="0.25">
      <c r="A218">
        <f t="shared" si="16"/>
        <v>217</v>
      </c>
      <c r="B218" t="s">
        <v>3218</v>
      </c>
      <c r="C218" t="s">
        <v>3216</v>
      </c>
      <c r="D218" t="s">
        <v>3219</v>
      </c>
      <c r="E218" t="str">
        <f t="shared" si="13"/>
        <v>Matthew</v>
      </c>
      <c r="F218" t="str">
        <f t="shared" si="14"/>
        <v>Seth</v>
      </c>
      <c r="G218" t="s">
        <v>3217</v>
      </c>
      <c r="H218">
        <v>2017</v>
      </c>
      <c r="I218">
        <v>10</v>
      </c>
      <c r="J218">
        <v>84</v>
      </c>
      <c r="K218">
        <v>80</v>
      </c>
      <c r="L218">
        <v>1</v>
      </c>
      <c r="M218">
        <v>0</v>
      </c>
      <c r="N218">
        <v>0</v>
      </c>
      <c r="O218" t="str">
        <f t="shared" si="15"/>
        <v>W 84-80 vs. Seth</v>
      </c>
    </row>
    <row r="219" spans="1:15" ht="15" customHeight="1" x14ac:dyDescent="0.25">
      <c r="A219">
        <f t="shared" si="16"/>
        <v>218</v>
      </c>
      <c r="B219" t="s">
        <v>3222</v>
      </c>
      <c r="C219" t="s">
        <v>3218</v>
      </c>
      <c r="D219" t="s">
        <v>3223</v>
      </c>
      <c r="E219" t="str">
        <f t="shared" si="13"/>
        <v>Austin</v>
      </c>
      <c r="F219" t="str">
        <f t="shared" si="14"/>
        <v>Matthew</v>
      </c>
      <c r="G219" t="s">
        <v>3219</v>
      </c>
      <c r="H219">
        <v>2013</v>
      </c>
      <c r="I219">
        <v>3</v>
      </c>
      <c r="J219">
        <v>84</v>
      </c>
      <c r="K219">
        <v>79</v>
      </c>
      <c r="L219">
        <v>1</v>
      </c>
      <c r="M219">
        <v>0</v>
      </c>
      <c r="N219">
        <v>0</v>
      </c>
      <c r="O219" t="str">
        <f t="shared" si="15"/>
        <v>W 84-79 vs. Matthew</v>
      </c>
    </row>
    <row r="220" spans="1:15" ht="15" customHeight="1" x14ac:dyDescent="0.25">
      <c r="A220">
        <f t="shared" si="16"/>
        <v>219</v>
      </c>
      <c r="B220" t="s">
        <v>3215</v>
      </c>
      <c r="C220" t="s">
        <v>3220</v>
      </c>
      <c r="D220" t="s">
        <v>3199</v>
      </c>
      <c r="E220" t="str">
        <f t="shared" si="13"/>
        <v>Devon</v>
      </c>
      <c r="F220" t="str">
        <f t="shared" si="14"/>
        <v>Perry</v>
      </c>
      <c r="G220" t="s">
        <v>3226</v>
      </c>
      <c r="H220">
        <v>2017</v>
      </c>
      <c r="I220">
        <v>4</v>
      </c>
      <c r="J220">
        <v>84</v>
      </c>
      <c r="K220">
        <v>72</v>
      </c>
      <c r="L220">
        <v>1</v>
      </c>
      <c r="M220">
        <v>0</v>
      </c>
      <c r="N220">
        <v>0</v>
      </c>
      <c r="O220" t="str">
        <f t="shared" si="15"/>
        <v>W 84-72 vs. Perry</v>
      </c>
    </row>
    <row r="221" spans="1:15" ht="15" customHeight="1" x14ac:dyDescent="0.25">
      <c r="A221">
        <f t="shared" si="16"/>
        <v>220</v>
      </c>
      <c r="B221" t="s">
        <v>3211</v>
      </c>
      <c r="C221" t="s">
        <v>3208</v>
      </c>
      <c r="D221" t="s">
        <v>3201</v>
      </c>
      <c r="E221" t="str">
        <f t="shared" si="13"/>
        <v>Anthony</v>
      </c>
      <c r="F221" t="str">
        <f t="shared" si="14"/>
        <v>Chad</v>
      </c>
      <c r="G221" t="s">
        <v>3225</v>
      </c>
      <c r="H221">
        <v>2016</v>
      </c>
      <c r="I221">
        <v>10</v>
      </c>
      <c r="J221">
        <v>85</v>
      </c>
      <c r="K221">
        <v>122</v>
      </c>
      <c r="L221">
        <v>0</v>
      </c>
      <c r="M221">
        <v>1</v>
      </c>
      <c r="N221">
        <v>0</v>
      </c>
      <c r="O221" t="str">
        <f t="shared" si="15"/>
        <v>L 85-122 vs. Chad</v>
      </c>
    </row>
    <row r="222" spans="1:15" ht="15" customHeight="1" x14ac:dyDescent="0.25">
      <c r="A222">
        <f t="shared" si="16"/>
        <v>221</v>
      </c>
      <c r="B222" t="s">
        <v>3215</v>
      </c>
      <c r="C222" t="s">
        <v>3220</v>
      </c>
      <c r="D222" t="s">
        <v>3199</v>
      </c>
      <c r="E222" t="str">
        <f t="shared" si="13"/>
        <v>Devon</v>
      </c>
      <c r="F222" t="str">
        <f t="shared" si="14"/>
        <v>Lucas</v>
      </c>
      <c r="G222" t="s">
        <v>3221</v>
      </c>
      <c r="H222">
        <v>2013</v>
      </c>
      <c r="I222">
        <v>6</v>
      </c>
      <c r="J222">
        <v>85</v>
      </c>
      <c r="K222">
        <v>119</v>
      </c>
      <c r="L222">
        <v>0</v>
      </c>
      <c r="M222">
        <v>1</v>
      </c>
      <c r="N222">
        <v>0</v>
      </c>
      <c r="O222" t="str">
        <f t="shared" si="15"/>
        <v>L 85-119 vs. Lucas</v>
      </c>
    </row>
    <row r="223" spans="1:15" ht="15" customHeight="1" x14ac:dyDescent="0.25">
      <c r="A223">
        <f t="shared" si="16"/>
        <v>222</v>
      </c>
      <c r="B223" t="s">
        <v>3212</v>
      </c>
      <c r="C223" t="s">
        <v>3215</v>
      </c>
      <c r="D223" t="s">
        <v>3198</v>
      </c>
      <c r="E223" t="str">
        <f t="shared" si="13"/>
        <v>Ty</v>
      </c>
      <c r="F223" t="str">
        <f t="shared" si="14"/>
        <v>Devon</v>
      </c>
      <c r="G223" t="s">
        <v>3199</v>
      </c>
      <c r="H223">
        <v>2014</v>
      </c>
      <c r="I223">
        <v>6</v>
      </c>
      <c r="J223">
        <v>85</v>
      </c>
      <c r="K223">
        <v>112</v>
      </c>
      <c r="L223">
        <v>0</v>
      </c>
      <c r="M223">
        <v>1</v>
      </c>
      <c r="N223">
        <v>0</v>
      </c>
      <c r="O223" t="str">
        <f t="shared" si="15"/>
        <v>L 85-112 vs. Devon</v>
      </c>
    </row>
    <row r="224" spans="1:15" x14ac:dyDescent="0.25">
      <c r="A224">
        <f t="shared" si="16"/>
        <v>223</v>
      </c>
      <c r="B224" t="s">
        <v>3213</v>
      </c>
      <c r="C224" t="s">
        <v>3211</v>
      </c>
      <c r="D224" t="s">
        <v>3214</v>
      </c>
      <c r="E224" t="str">
        <f t="shared" si="13"/>
        <v>Cory</v>
      </c>
      <c r="F224" t="str">
        <f t="shared" si="14"/>
        <v>Anthony</v>
      </c>
      <c r="G224" t="s">
        <v>3201</v>
      </c>
      <c r="H224">
        <v>2017</v>
      </c>
      <c r="I224">
        <v>6</v>
      </c>
      <c r="J224">
        <v>85</v>
      </c>
      <c r="K224">
        <v>104</v>
      </c>
      <c r="L224">
        <v>0</v>
      </c>
      <c r="M224">
        <v>1</v>
      </c>
      <c r="N224">
        <v>0</v>
      </c>
      <c r="O224" t="str">
        <f t="shared" si="15"/>
        <v>L 85-104 vs. Anthony</v>
      </c>
    </row>
    <row r="225" spans="1:15" ht="15" customHeight="1" x14ac:dyDescent="0.25">
      <c r="A225">
        <f t="shared" si="16"/>
        <v>224</v>
      </c>
      <c r="B225" t="s">
        <v>3216</v>
      </c>
      <c r="C225" t="s">
        <v>3215</v>
      </c>
      <c r="D225" t="s">
        <v>3217</v>
      </c>
      <c r="E225" t="str">
        <f t="shared" si="13"/>
        <v>Seth</v>
      </c>
      <c r="F225" t="str">
        <f t="shared" si="14"/>
        <v>Devon</v>
      </c>
      <c r="G225" t="s">
        <v>3199</v>
      </c>
      <c r="H225">
        <v>2017</v>
      </c>
      <c r="I225">
        <v>8</v>
      </c>
      <c r="J225">
        <v>85</v>
      </c>
      <c r="K225">
        <v>100</v>
      </c>
      <c r="L225">
        <v>0</v>
      </c>
      <c r="M225">
        <v>1</v>
      </c>
      <c r="N225">
        <v>0</v>
      </c>
      <c r="O225" t="str">
        <f t="shared" si="15"/>
        <v>L 85-100 vs. Devon</v>
      </c>
    </row>
    <row r="226" spans="1:15" ht="15" customHeight="1" x14ac:dyDescent="0.25">
      <c r="A226">
        <f t="shared" si="16"/>
        <v>225</v>
      </c>
      <c r="B226" t="s">
        <v>3218</v>
      </c>
      <c r="C226" t="s">
        <v>3209</v>
      </c>
      <c r="D226" t="s">
        <v>3219</v>
      </c>
      <c r="E226" t="str">
        <f t="shared" si="13"/>
        <v>Matthew</v>
      </c>
      <c r="F226" t="str">
        <f t="shared" si="14"/>
        <v>Scott</v>
      </c>
      <c r="G226" t="s">
        <v>3227</v>
      </c>
      <c r="H226">
        <v>2014</v>
      </c>
      <c r="I226">
        <v>7</v>
      </c>
      <c r="J226">
        <v>85</v>
      </c>
      <c r="K226">
        <v>88</v>
      </c>
      <c r="L226">
        <v>0</v>
      </c>
      <c r="M226">
        <v>1</v>
      </c>
      <c r="N226">
        <v>0</v>
      </c>
      <c r="O226" t="str">
        <f t="shared" si="15"/>
        <v>L 85-88 vs. Scott</v>
      </c>
    </row>
    <row r="227" spans="1:15" x14ac:dyDescent="0.25">
      <c r="A227">
        <f t="shared" si="16"/>
        <v>226</v>
      </c>
      <c r="B227" t="s">
        <v>3215</v>
      </c>
      <c r="C227" t="s">
        <v>3209</v>
      </c>
      <c r="D227" t="s">
        <v>3199</v>
      </c>
      <c r="E227" t="str">
        <f t="shared" si="13"/>
        <v>Devon</v>
      </c>
      <c r="F227" t="str">
        <f t="shared" si="14"/>
        <v>Scott</v>
      </c>
      <c r="G227" t="s">
        <v>3227</v>
      </c>
      <c r="H227">
        <v>2016</v>
      </c>
      <c r="I227">
        <v>11</v>
      </c>
      <c r="J227">
        <v>85</v>
      </c>
      <c r="K227">
        <v>84</v>
      </c>
      <c r="L227">
        <v>1</v>
      </c>
      <c r="M227">
        <v>0</v>
      </c>
      <c r="N227">
        <v>0</v>
      </c>
      <c r="O227" t="str">
        <f t="shared" si="15"/>
        <v>W 85-84 vs. Scott</v>
      </c>
    </row>
    <row r="228" spans="1:15" ht="15" customHeight="1" x14ac:dyDescent="0.25">
      <c r="A228">
        <f t="shared" si="16"/>
        <v>227</v>
      </c>
      <c r="B228" t="s">
        <v>3212</v>
      </c>
      <c r="C228" t="s">
        <v>3218</v>
      </c>
      <c r="D228" t="s">
        <v>3198</v>
      </c>
      <c r="E228" t="str">
        <f t="shared" si="13"/>
        <v>Ty</v>
      </c>
      <c r="F228" t="str">
        <f t="shared" si="14"/>
        <v>Matthew</v>
      </c>
      <c r="G228" t="s">
        <v>3219</v>
      </c>
      <c r="H228">
        <v>2015</v>
      </c>
      <c r="I228">
        <v>11</v>
      </c>
      <c r="J228">
        <v>85</v>
      </c>
      <c r="K228">
        <v>81</v>
      </c>
      <c r="L228">
        <v>1</v>
      </c>
      <c r="M228">
        <v>0</v>
      </c>
      <c r="N228">
        <v>0</v>
      </c>
      <c r="O228" t="str">
        <f t="shared" si="15"/>
        <v>W 85-81 vs. Matthew</v>
      </c>
    </row>
    <row r="229" spans="1:15" ht="15" customHeight="1" x14ac:dyDescent="0.25">
      <c r="A229">
        <f t="shared" si="16"/>
        <v>228</v>
      </c>
      <c r="B229" t="s">
        <v>3212</v>
      </c>
      <c r="C229" t="s">
        <v>3218</v>
      </c>
      <c r="D229" t="s">
        <v>3198</v>
      </c>
      <c r="E229" t="str">
        <f t="shared" si="13"/>
        <v>Ty</v>
      </c>
      <c r="F229" t="str">
        <f t="shared" si="14"/>
        <v>Matthew</v>
      </c>
      <c r="G229" t="s">
        <v>3219</v>
      </c>
      <c r="H229">
        <v>2017</v>
      </c>
      <c r="I229">
        <v>3</v>
      </c>
      <c r="J229">
        <v>85</v>
      </c>
      <c r="K229">
        <v>81</v>
      </c>
      <c r="L229">
        <v>1</v>
      </c>
      <c r="M229">
        <v>0</v>
      </c>
      <c r="N229">
        <v>0</v>
      </c>
      <c r="O229" t="str">
        <f t="shared" si="15"/>
        <v>W 85-81 vs. Matthew</v>
      </c>
    </row>
    <row r="230" spans="1:15" ht="15" customHeight="1" x14ac:dyDescent="0.25">
      <c r="A230">
        <f t="shared" si="16"/>
        <v>229</v>
      </c>
      <c r="B230" t="s">
        <v>3213</v>
      </c>
      <c r="C230" t="s">
        <v>3216</v>
      </c>
      <c r="D230" t="s">
        <v>3214</v>
      </c>
      <c r="E230" t="str">
        <f t="shared" si="13"/>
        <v>Cory</v>
      </c>
      <c r="F230" t="str">
        <f t="shared" si="14"/>
        <v>Seth</v>
      </c>
      <c r="G230" t="s">
        <v>3217</v>
      </c>
      <c r="H230">
        <v>2017</v>
      </c>
      <c r="I230">
        <v>7</v>
      </c>
      <c r="J230">
        <v>85</v>
      </c>
      <c r="K230">
        <v>81</v>
      </c>
      <c r="L230">
        <v>1</v>
      </c>
      <c r="M230">
        <v>0</v>
      </c>
      <c r="N230">
        <v>0</v>
      </c>
      <c r="O230" t="str">
        <f t="shared" si="15"/>
        <v>W 85-81 vs. Seth</v>
      </c>
    </row>
    <row r="231" spans="1:15" ht="15" customHeight="1" x14ac:dyDescent="0.25">
      <c r="A231">
        <f t="shared" si="16"/>
        <v>230</v>
      </c>
      <c r="B231" t="s">
        <v>3208</v>
      </c>
      <c r="C231" t="s">
        <v>3213</v>
      </c>
      <c r="D231" t="s">
        <v>3225</v>
      </c>
      <c r="E231" t="str">
        <f t="shared" si="13"/>
        <v>Chad</v>
      </c>
      <c r="F231" t="str">
        <f t="shared" si="14"/>
        <v>Cory</v>
      </c>
      <c r="G231" t="s">
        <v>3214</v>
      </c>
      <c r="H231">
        <v>2014</v>
      </c>
      <c r="I231">
        <v>11</v>
      </c>
      <c r="J231">
        <v>85</v>
      </c>
      <c r="K231">
        <v>76</v>
      </c>
      <c r="L231">
        <v>1</v>
      </c>
      <c r="M231">
        <v>0</v>
      </c>
      <c r="N231">
        <v>0</v>
      </c>
      <c r="O231" t="str">
        <f t="shared" si="15"/>
        <v>W 85-76 vs. Cory</v>
      </c>
    </row>
    <row r="232" spans="1:15" x14ac:dyDescent="0.25">
      <c r="A232">
        <f t="shared" si="16"/>
        <v>231</v>
      </c>
      <c r="B232" t="s">
        <v>3222</v>
      </c>
      <c r="C232" t="s">
        <v>3212</v>
      </c>
      <c r="D232" t="s">
        <v>3200</v>
      </c>
      <c r="E232" t="str">
        <f t="shared" si="13"/>
        <v>Taylor</v>
      </c>
      <c r="F232" t="str">
        <f t="shared" si="14"/>
        <v>Ty</v>
      </c>
      <c r="G232" t="s">
        <v>3198</v>
      </c>
      <c r="H232">
        <v>2016</v>
      </c>
      <c r="I232">
        <v>7</v>
      </c>
      <c r="J232">
        <v>85</v>
      </c>
      <c r="K232">
        <v>70</v>
      </c>
      <c r="L232">
        <v>1</v>
      </c>
      <c r="M232">
        <v>0</v>
      </c>
      <c r="N232">
        <v>0</v>
      </c>
      <c r="O232" t="str">
        <f t="shared" si="15"/>
        <v>W 85-70 vs. Ty</v>
      </c>
    </row>
    <row r="233" spans="1:15" ht="15" customHeight="1" x14ac:dyDescent="0.25">
      <c r="A233">
        <f t="shared" si="16"/>
        <v>232</v>
      </c>
      <c r="B233" t="s">
        <v>3220</v>
      </c>
      <c r="C233" t="s">
        <v>3222</v>
      </c>
      <c r="D233" t="s">
        <v>3226</v>
      </c>
      <c r="E233" t="str">
        <f t="shared" si="13"/>
        <v>Perry</v>
      </c>
      <c r="F233" t="str">
        <f t="shared" si="14"/>
        <v>Jason</v>
      </c>
      <c r="G233" t="s">
        <v>3228</v>
      </c>
      <c r="H233">
        <v>2017</v>
      </c>
      <c r="I233">
        <v>11</v>
      </c>
      <c r="J233">
        <v>85</v>
      </c>
      <c r="K233">
        <v>50</v>
      </c>
      <c r="L233">
        <v>1</v>
      </c>
      <c r="M233">
        <v>0</v>
      </c>
      <c r="N233">
        <v>0</v>
      </c>
      <c r="O233" t="str">
        <f t="shared" si="15"/>
        <v>W 85-50 vs. Jason</v>
      </c>
    </row>
    <row r="234" spans="1:15" ht="15" customHeight="1" x14ac:dyDescent="0.25">
      <c r="A234">
        <f t="shared" si="16"/>
        <v>233</v>
      </c>
      <c r="B234" t="s">
        <v>3208</v>
      </c>
      <c r="C234" t="s">
        <v>3222</v>
      </c>
      <c r="D234" t="s">
        <v>3210</v>
      </c>
      <c r="E234" t="str">
        <f t="shared" si="13"/>
        <v>Spencer</v>
      </c>
      <c r="F234" t="str">
        <f t="shared" si="14"/>
        <v>Austin</v>
      </c>
      <c r="G234" t="s">
        <v>3223</v>
      </c>
      <c r="H234">
        <v>2013</v>
      </c>
      <c r="I234">
        <v>12</v>
      </c>
      <c r="J234">
        <v>85</v>
      </c>
      <c r="K234">
        <v>24</v>
      </c>
      <c r="L234">
        <v>1</v>
      </c>
      <c r="M234">
        <v>0</v>
      </c>
      <c r="N234">
        <v>0</v>
      </c>
      <c r="O234" t="str">
        <f t="shared" si="15"/>
        <v>W 85-24 vs. Austin</v>
      </c>
    </row>
    <row r="235" spans="1:15" ht="15" customHeight="1" x14ac:dyDescent="0.25">
      <c r="A235">
        <f t="shared" si="16"/>
        <v>234</v>
      </c>
      <c r="B235" t="s">
        <v>3222</v>
      </c>
      <c r="C235" t="s">
        <v>3215</v>
      </c>
      <c r="D235" t="s">
        <v>3200</v>
      </c>
      <c r="E235" t="str">
        <f t="shared" si="13"/>
        <v>Taylor</v>
      </c>
      <c r="F235" t="str">
        <f t="shared" si="14"/>
        <v>Devon</v>
      </c>
      <c r="G235" t="s">
        <v>3199</v>
      </c>
      <c r="H235">
        <v>2014</v>
      </c>
      <c r="I235">
        <v>1</v>
      </c>
      <c r="J235">
        <v>86</v>
      </c>
      <c r="K235">
        <v>151</v>
      </c>
      <c r="L235">
        <v>0</v>
      </c>
      <c r="M235">
        <v>1</v>
      </c>
      <c r="N235">
        <v>0</v>
      </c>
      <c r="O235" t="str">
        <f t="shared" si="15"/>
        <v>L 86-151 vs. Devon</v>
      </c>
    </row>
    <row r="236" spans="1:15" ht="15" customHeight="1" x14ac:dyDescent="0.25">
      <c r="A236">
        <f t="shared" si="16"/>
        <v>235</v>
      </c>
      <c r="B236" t="s">
        <v>3213</v>
      </c>
      <c r="C236" t="s">
        <v>3212</v>
      </c>
      <c r="D236" t="s">
        <v>3214</v>
      </c>
      <c r="E236" t="str">
        <f t="shared" si="13"/>
        <v>Cory</v>
      </c>
      <c r="F236" t="str">
        <f t="shared" si="14"/>
        <v>Ty</v>
      </c>
      <c r="G236" t="s">
        <v>3198</v>
      </c>
      <c r="H236">
        <v>2014</v>
      </c>
      <c r="I236">
        <v>2</v>
      </c>
      <c r="J236">
        <v>86</v>
      </c>
      <c r="K236">
        <v>122</v>
      </c>
      <c r="L236">
        <v>0</v>
      </c>
      <c r="M236">
        <v>1</v>
      </c>
      <c r="N236">
        <v>0</v>
      </c>
      <c r="O236" t="str">
        <f t="shared" si="15"/>
        <v>L 86-122 vs. Ty</v>
      </c>
    </row>
    <row r="237" spans="1:15" x14ac:dyDescent="0.25">
      <c r="A237">
        <f t="shared" si="16"/>
        <v>236</v>
      </c>
      <c r="B237" t="s">
        <v>3212</v>
      </c>
      <c r="C237" t="s">
        <v>3213</v>
      </c>
      <c r="D237" t="s">
        <v>3198</v>
      </c>
      <c r="E237" t="str">
        <f t="shared" si="13"/>
        <v>Ty</v>
      </c>
      <c r="F237" t="str">
        <f t="shared" si="14"/>
        <v>Cory</v>
      </c>
      <c r="G237" t="s">
        <v>3214</v>
      </c>
      <c r="H237">
        <v>2013</v>
      </c>
      <c r="I237">
        <v>10</v>
      </c>
      <c r="J237">
        <v>86</v>
      </c>
      <c r="K237">
        <v>111</v>
      </c>
      <c r="L237">
        <v>0</v>
      </c>
      <c r="M237">
        <v>1</v>
      </c>
      <c r="N237">
        <v>0</v>
      </c>
      <c r="O237" t="str">
        <f t="shared" si="15"/>
        <v>L 86-111 vs. Cory</v>
      </c>
    </row>
    <row r="238" spans="1:15" ht="15" customHeight="1" x14ac:dyDescent="0.25">
      <c r="A238">
        <f t="shared" si="16"/>
        <v>237</v>
      </c>
      <c r="B238" t="s">
        <v>3211</v>
      </c>
      <c r="C238" t="s">
        <v>3220</v>
      </c>
      <c r="D238" t="s">
        <v>3201</v>
      </c>
      <c r="E238" t="str">
        <f t="shared" si="13"/>
        <v>Anthony</v>
      </c>
      <c r="F238" t="str">
        <f t="shared" si="14"/>
        <v>Perry</v>
      </c>
      <c r="G238" t="s">
        <v>3226</v>
      </c>
      <c r="H238">
        <v>2017</v>
      </c>
      <c r="I238">
        <v>9</v>
      </c>
      <c r="J238">
        <v>86</v>
      </c>
      <c r="K238">
        <v>105</v>
      </c>
      <c r="L238">
        <v>0</v>
      </c>
      <c r="M238">
        <v>1</v>
      </c>
      <c r="N238">
        <v>0</v>
      </c>
      <c r="O238" t="str">
        <f t="shared" si="15"/>
        <v>L 86-105 vs. Perry</v>
      </c>
    </row>
    <row r="239" spans="1:15" ht="15" customHeight="1" x14ac:dyDescent="0.25">
      <c r="A239">
        <f t="shared" si="16"/>
        <v>238</v>
      </c>
      <c r="B239" t="s">
        <v>3212</v>
      </c>
      <c r="C239" t="s">
        <v>3211</v>
      </c>
      <c r="D239" t="s">
        <v>3198</v>
      </c>
      <c r="E239" t="str">
        <f t="shared" si="13"/>
        <v>Ty</v>
      </c>
      <c r="F239" t="str">
        <f t="shared" si="14"/>
        <v>Anthony</v>
      </c>
      <c r="G239" t="s">
        <v>3201</v>
      </c>
      <c r="H239">
        <v>2015</v>
      </c>
      <c r="I239">
        <v>4</v>
      </c>
      <c r="J239">
        <v>86</v>
      </c>
      <c r="K239">
        <v>99</v>
      </c>
      <c r="L239">
        <v>0</v>
      </c>
      <c r="M239">
        <v>1</v>
      </c>
      <c r="N239">
        <v>0</v>
      </c>
      <c r="O239" t="str">
        <f t="shared" si="15"/>
        <v>L 86-99 vs. Anthony</v>
      </c>
    </row>
    <row r="240" spans="1:15" ht="15" customHeight="1" x14ac:dyDescent="0.25">
      <c r="A240">
        <f t="shared" si="16"/>
        <v>239</v>
      </c>
      <c r="B240" t="s">
        <v>3222</v>
      </c>
      <c r="C240" t="s">
        <v>3220</v>
      </c>
      <c r="D240" t="s">
        <v>3200</v>
      </c>
      <c r="E240" t="str">
        <f t="shared" si="13"/>
        <v>Taylor</v>
      </c>
      <c r="F240" t="str">
        <f t="shared" si="14"/>
        <v>Carter</v>
      </c>
      <c r="G240" t="s">
        <v>3224</v>
      </c>
      <c r="H240">
        <v>2014</v>
      </c>
      <c r="I240">
        <v>2</v>
      </c>
      <c r="J240">
        <v>86</v>
      </c>
      <c r="K240">
        <v>94</v>
      </c>
      <c r="L240">
        <v>0</v>
      </c>
      <c r="M240">
        <v>1</v>
      </c>
      <c r="N240">
        <v>0</v>
      </c>
      <c r="O240" t="str">
        <f t="shared" si="15"/>
        <v>L 86-94 vs. Carter</v>
      </c>
    </row>
    <row r="241" spans="1:15" ht="15" customHeight="1" x14ac:dyDescent="0.25">
      <c r="A241">
        <f t="shared" si="16"/>
        <v>240</v>
      </c>
      <c r="B241" t="s">
        <v>3211</v>
      </c>
      <c r="C241" t="s">
        <v>3209</v>
      </c>
      <c r="D241" t="s">
        <v>3201</v>
      </c>
      <c r="E241" t="str">
        <f t="shared" si="13"/>
        <v>Anthony</v>
      </c>
      <c r="F241" t="str">
        <f t="shared" si="14"/>
        <v>Scott</v>
      </c>
      <c r="G241" t="s">
        <v>3227</v>
      </c>
      <c r="H241">
        <v>2014</v>
      </c>
      <c r="I241">
        <v>1</v>
      </c>
      <c r="J241">
        <v>86</v>
      </c>
      <c r="K241">
        <v>93</v>
      </c>
      <c r="L241">
        <v>0</v>
      </c>
      <c r="M241">
        <v>1</v>
      </c>
      <c r="N241">
        <v>0</v>
      </c>
      <c r="O241" t="str">
        <f t="shared" si="15"/>
        <v>L 86-93 vs. Scott</v>
      </c>
    </row>
    <row r="242" spans="1:15" ht="15" customHeight="1" x14ac:dyDescent="0.25">
      <c r="A242">
        <f t="shared" si="16"/>
        <v>241</v>
      </c>
      <c r="B242" t="s">
        <v>3209</v>
      </c>
      <c r="C242" t="s">
        <v>3220</v>
      </c>
      <c r="D242" t="s">
        <v>3227</v>
      </c>
      <c r="E242" t="str">
        <f t="shared" si="13"/>
        <v>Scott</v>
      </c>
      <c r="F242" t="str">
        <f t="shared" si="14"/>
        <v>Carter</v>
      </c>
      <c r="G242" t="s">
        <v>3224</v>
      </c>
      <c r="H242">
        <v>2014</v>
      </c>
      <c r="I242">
        <v>12</v>
      </c>
      <c r="J242">
        <v>86</v>
      </c>
      <c r="K242">
        <v>83</v>
      </c>
      <c r="L242">
        <v>1</v>
      </c>
      <c r="M242">
        <v>0</v>
      </c>
      <c r="N242">
        <v>0</v>
      </c>
      <c r="O242" t="str">
        <f t="shared" si="15"/>
        <v>W 86-83 vs. Carter</v>
      </c>
    </row>
    <row r="243" spans="1:15" ht="15" customHeight="1" x14ac:dyDescent="0.25">
      <c r="A243">
        <f t="shared" si="16"/>
        <v>242</v>
      </c>
      <c r="B243" t="s">
        <v>3213</v>
      </c>
      <c r="C243" t="s">
        <v>3209</v>
      </c>
      <c r="D243" t="s">
        <v>3214</v>
      </c>
      <c r="E243" t="str">
        <f t="shared" si="13"/>
        <v>Cory</v>
      </c>
      <c r="F243" t="str">
        <f t="shared" si="14"/>
        <v>Scott</v>
      </c>
      <c r="G243" t="s">
        <v>3227</v>
      </c>
      <c r="H243">
        <v>2017</v>
      </c>
      <c r="I243">
        <v>13</v>
      </c>
      <c r="J243">
        <v>86</v>
      </c>
      <c r="K243">
        <v>66</v>
      </c>
      <c r="L243">
        <v>1</v>
      </c>
      <c r="M243">
        <v>0</v>
      </c>
      <c r="N243">
        <v>0</v>
      </c>
      <c r="O243" t="str">
        <f t="shared" si="15"/>
        <v>W 86-66 vs. Scott</v>
      </c>
    </row>
    <row r="244" spans="1:15" ht="15" customHeight="1" x14ac:dyDescent="0.25">
      <c r="A244">
        <f t="shared" si="16"/>
        <v>243</v>
      </c>
      <c r="B244" t="s">
        <v>3209</v>
      </c>
      <c r="C244" t="s">
        <v>3213</v>
      </c>
      <c r="D244" t="s">
        <v>3227</v>
      </c>
      <c r="E244" t="str">
        <f t="shared" si="13"/>
        <v>Scott</v>
      </c>
      <c r="F244" t="str">
        <f t="shared" si="14"/>
        <v>Cory</v>
      </c>
      <c r="G244" t="s">
        <v>3214</v>
      </c>
      <c r="H244">
        <v>2015</v>
      </c>
      <c r="I244">
        <v>4</v>
      </c>
      <c r="J244">
        <v>86</v>
      </c>
      <c r="K244">
        <v>62</v>
      </c>
      <c r="L244">
        <v>1</v>
      </c>
      <c r="M244">
        <v>0</v>
      </c>
      <c r="N244">
        <v>0</v>
      </c>
      <c r="O244" t="str">
        <f t="shared" si="15"/>
        <v>W 86-62 vs. Cory</v>
      </c>
    </row>
    <row r="245" spans="1:15" ht="15" customHeight="1" x14ac:dyDescent="0.25">
      <c r="A245">
        <f t="shared" si="16"/>
        <v>244</v>
      </c>
      <c r="B245" t="s">
        <v>3215</v>
      </c>
      <c r="C245" t="s">
        <v>3211</v>
      </c>
      <c r="D245" t="s">
        <v>3199</v>
      </c>
      <c r="E245" t="str">
        <f t="shared" si="13"/>
        <v>Devon</v>
      </c>
      <c r="F245" t="str">
        <f t="shared" si="14"/>
        <v>Anthony</v>
      </c>
      <c r="G245" t="s">
        <v>3201</v>
      </c>
      <c r="H245">
        <v>2013</v>
      </c>
      <c r="I245">
        <v>1</v>
      </c>
      <c r="J245">
        <v>87</v>
      </c>
      <c r="K245">
        <v>136</v>
      </c>
      <c r="L245">
        <v>0</v>
      </c>
      <c r="M245">
        <v>1</v>
      </c>
      <c r="N245">
        <v>0</v>
      </c>
      <c r="O245" t="str">
        <f t="shared" si="15"/>
        <v>L 87-136 vs. Anthony</v>
      </c>
    </row>
    <row r="246" spans="1:15" ht="15" customHeight="1" x14ac:dyDescent="0.25">
      <c r="A246">
        <f t="shared" si="16"/>
        <v>245</v>
      </c>
      <c r="B246" t="s">
        <v>3212</v>
      </c>
      <c r="C246" t="s">
        <v>3215</v>
      </c>
      <c r="D246" t="s">
        <v>3198</v>
      </c>
      <c r="E246" t="str">
        <f t="shared" si="13"/>
        <v>Ty</v>
      </c>
      <c r="F246" t="str">
        <f t="shared" si="14"/>
        <v>Devon</v>
      </c>
      <c r="G246" t="s">
        <v>3199</v>
      </c>
      <c r="H246">
        <v>2013</v>
      </c>
      <c r="I246">
        <v>2</v>
      </c>
      <c r="J246">
        <v>87</v>
      </c>
      <c r="K246">
        <v>120</v>
      </c>
      <c r="L246">
        <v>0</v>
      </c>
      <c r="M246">
        <v>1</v>
      </c>
      <c r="N246">
        <v>0</v>
      </c>
      <c r="O246" t="str">
        <f t="shared" si="15"/>
        <v>L 87-120 vs. Devon</v>
      </c>
    </row>
    <row r="247" spans="1:15" ht="15" customHeight="1" x14ac:dyDescent="0.25">
      <c r="A247">
        <f t="shared" si="16"/>
        <v>246</v>
      </c>
      <c r="B247" t="s">
        <v>3218</v>
      </c>
      <c r="C247" t="s">
        <v>3215</v>
      </c>
      <c r="D247" t="s">
        <v>3219</v>
      </c>
      <c r="E247" t="str">
        <f t="shared" si="13"/>
        <v>Matthew</v>
      </c>
      <c r="F247" t="str">
        <f t="shared" si="14"/>
        <v>Devon</v>
      </c>
      <c r="G247" t="s">
        <v>3199</v>
      </c>
      <c r="H247">
        <v>2016</v>
      </c>
      <c r="I247">
        <v>12</v>
      </c>
      <c r="J247">
        <v>87</v>
      </c>
      <c r="K247">
        <v>119</v>
      </c>
      <c r="L247">
        <v>0</v>
      </c>
      <c r="M247">
        <v>1</v>
      </c>
      <c r="N247">
        <v>0</v>
      </c>
      <c r="O247" t="str">
        <f t="shared" si="15"/>
        <v>L 87-119 vs. Devon</v>
      </c>
    </row>
    <row r="248" spans="1:15" ht="15" customHeight="1" x14ac:dyDescent="0.25">
      <c r="A248">
        <f t="shared" si="16"/>
        <v>247</v>
      </c>
      <c r="B248" t="s">
        <v>3211</v>
      </c>
      <c r="C248" t="s">
        <v>3212</v>
      </c>
      <c r="D248" t="s">
        <v>3201</v>
      </c>
      <c r="E248" t="str">
        <f t="shared" si="13"/>
        <v>Anthony</v>
      </c>
      <c r="F248" t="str">
        <f t="shared" si="14"/>
        <v>Ty</v>
      </c>
      <c r="G248" t="s">
        <v>3198</v>
      </c>
      <c r="H248">
        <v>2016</v>
      </c>
      <c r="I248">
        <v>4</v>
      </c>
      <c r="J248">
        <v>87</v>
      </c>
      <c r="K248">
        <v>115</v>
      </c>
      <c r="L248">
        <v>0</v>
      </c>
      <c r="M248">
        <v>1</v>
      </c>
      <c r="N248">
        <v>0</v>
      </c>
      <c r="O248" t="str">
        <f t="shared" si="15"/>
        <v>L 87-115 vs. Ty</v>
      </c>
    </row>
    <row r="249" spans="1:15" ht="15" customHeight="1" x14ac:dyDescent="0.25">
      <c r="A249">
        <f t="shared" si="16"/>
        <v>248</v>
      </c>
      <c r="B249" t="s">
        <v>3209</v>
      </c>
      <c r="C249" t="s">
        <v>3215</v>
      </c>
      <c r="D249" t="s">
        <v>3227</v>
      </c>
      <c r="E249" t="str">
        <f t="shared" si="13"/>
        <v>Scott</v>
      </c>
      <c r="F249" t="str">
        <f t="shared" si="14"/>
        <v>Devon</v>
      </c>
      <c r="G249" t="s">
        <v>3199</v>
      </c>
      <c r="H249">
        <v>2013</v>
      </c>
      <c r="I249">
        <v>5</v>
      </c>
      <c r="J249">
        <v>87</v>
      </c>
      <c r="K249">
        <v>109</v>
      </c>
      <c r="L249">
        <v>0</v>
      </c>
      <c r="M249">
        <v>1</v>
      </c>
      <c r="N249">
        <v>0</v>
      </c>
      <c r="O249" t="str">
        <f t="shared" si="15"/>
        <v>L 87-109 vs. Devon</v>
      </c>
    </row>
    <row r="250" spans="1:15" ht="15" customHeight="1" x14ac:dyDescent="0.25">
      <c r="A250">
        <f t="shared" si="16"/>
        <v>249</v>
      </c>
      <c r="B250" t="s">
        <v>3218</v>
      </c>
      <c r="C250" t="s">
        <v>3211</v>
      </c>
      <c r="D250" t="s">
        <v>3219</v>
      </c>
      <c r="E250" t="str">
        <f t="shared" si="13"/>
        <v>Matthew</v>
      </c>
      <c r="F250" t="str">
        <f t="shared" si="14"/>
        <v>Anthony</v>
      </c>
      <c r="G250" t="s">
        <v>3201</v>
      </c>
      <c r="H250">
        <v>2016</v>
      </c>
      <c r="I250">
        <v>13</v>
      </c>
      <c r="J250">
        <v>87</v>
      </c>
      <c r="K250">
        <v>108</v>
      </c>
      <c r="L250">
        <v>0</v>
      </c>
      <c r="M250">
        <v>1</v>
      </c>
      <c r="N250">
        <v>0</v>
      </c>
      <c r="O250" t="str">
        <f t="shared" si="15"/>
        <v>L 87-108 vs. Anthony</v>
      </c>
    </row>
    <row r="251" spans="1:15" ht="15" customHeight="1" x14ac:dyDescent="0.25">
      <c r="A251">
        <f t="shared" si="16"/>
        <v>250</v>
      </c>
      <c r="B251" t="s">
        <v>3208</v>
      </c>
      <c r="C251" t="s">
        <v>3212</v>
      </c>
      <c r="D251" t="s">
        <v>3210</v>
      </c>
      <c r="E251" t="str">
        <f t="shared" si="13"/>
        <v>Spencer</v>
      </c>
      <c r="F251" t="str">
        <f t="shared" si="14"/>
        <v>Ty</v>
      </c>
      <c r="G251" t="s">
        <v>3198</v>
      </c>
      <c r="H251">
        <v>2013</v>
      </c>
      <c r="I251">
        <v>9</v>
      </c>
      <c r="J251">
        <v>87</v>
      </c>
      <c r="K251">
        <v>107</v>
      </c>
      <c r="L251">
        <v>0</v>
      </c>
      <c r="M251">
        <v>1</v>
      </c>
      <c r="N251">
        <v>0</v>
      </c>
      <c r="O251" t="str">
        <f t="shared" si="15"/>
        <v>L 87-107 vs. Ty</v>
      </c>
    </row>
    <row r="252" spans="1:15" ht="15" customHeight="1" x14ac:dyDescent="0.25">
      <c r="A252">
        <f t="shared" si="16"/>
        <v>251</v>
      </c>
      <c r="B252" t="s">
        <v>3220</v>
      </c>
      <c r="C252" t="s">
        <v>3216</v>
      </c>
      <c r="D252" t="s">
        <v>3221</v>
      </c>
      <c r="E252" t="str">
        <f t="shared" si="13"/>
        <v>Lucas</v>
      </c>
      <c r="F252" t="str">
        <f t="shared" si="14"/>
        <v>Seth</v>
      </c>
      <c r="G252" t="s">
        <v>3217</v>
      </c>
      <c r="H252">
        <v>2013</v>
      </c>
      <c r="I252">
        <v>12</v>
      </c>
      <c r="J252">
        <v>87</v>
      </c>
      <c r="K252">
        <v>102</v>
      </c>
      <c r="L252">
        <v>0</v>
      </c>
      <c r="M252">
        <v>1</v>
      </c>
      <c r="N252">
        <v>0</v>
      </c>
      <c r="O252" t="str">
        <f t="shared" si="15"/>
        <v>L 87-102 vs. Seth</v>
      </c>
    </row>
    <row r="253" spans="1:15" ht="15" customHeight="1" x14ac:dyDescent="0.25">
      <c r="A253">
        <f t="shared" si="16"/>
        <v>252</v>
      </c>
      <c r="B253" t="s">
        <v>3208</v>
      </c>
      <c r="C253" t="s">
        <v>3218</v>
      </c>
      <c r="D253" t="s">
        <v>3225</v>
      </c>
      <c r="E253" t="str">
        <f t="shared" si="13"/>
        <v>Chad</v>
      </c>
      <c r="F253" t="str">
        <f t="shared" si="14"/>
        <v>Matthew</v>
      </c>
      <c r="G253" t="s">
        <v>3219</v>
      </c>
      <c r="H253">
        <v>2014</v>
      </c>
      <c r="I253">
        <v>1</v>
      </c>
      <c r="J253">
        <v>87</v>
      </c>
      <c r="K253">
        <v>95</v>
      </c>
      <c r="L253">
        <v>0</v>
      </c>
      <c r="M253">
        <v>1</v>
      </c>
      <c r="N253">
        <v>0</v>
      </c>
      <c r="O253" t="str">
        <f t="shared" si="15"/>
        <v>L 87-95 vs. Matthew</v>
      </c>
    </row>
    <row r="254" spans="1:15" ht="15" customHeight="1" x14ac:dyDescent="0.25">
      <c r="A254">
        <f t="shared" si="16"/>
        <v>253</v>
      </c>
      <c r="B254" t="s">
        <v>3218</v>
      </c>
      <c r="C254" t="s">
        <v>3220</v>
      </c>
      <c r="D254" t="s">
        <v>3219</v>
      </c>
      <c r="E254" t="str">
        <f t="shared" si="13"/>
        <v>Matthew</v>
      </c>
      <c r="F254" t="str">
        <f t="shared" si="14"/>
        <v>Perry</v>
      </c>
      <c r="G254" t="s">
        <v>3226</v>
      </c>
      <c r="H254">
        <v>2016</v>
      </c>
      <c r="I254">
        <v>6</v>
      </c>
      <c r="J254">
        <v>87</v>
      </c>
      <c r="K254">
        <v>92</v>
      </c>
      <c r="L254">
        <v>0</v>
      </c>
      <c r="M254">
        <v>1</v>
      </c>
      <c r="N254">
        <v>0</v>
      </c>
      <c r="O254" t="str">
        <f t="shared" si="15"/>
        <v>L 87-92 vs. Perry</v>
      </c>
    </row>
    <row r="255" spans="1:15" ht="15" customHeight="1" x14ac:dyDescent="0.25">
      <c r="A255">
        <f t="shared" si="16"/>
        <v>254</v>
      </c>
      <c r="B255" t="s">
        <v>3216</v>
      </c>
      <c r="C255" t="s">
        <v>3215</v>
      </c>
      <c r="D255" t="s">
        <v>3217</v>
      </c>
      <c r="E255" t="str">
        <f t="shared" si="13"/>
        <v>Seth</v>
      </c>
      <c r="F255" t="str">
        <f t="shared" si="14"/>
        <v>Devon</v>
      </c>
      <c r="G255" t="s">
        <v>3199</v>
      </c>
      <c r="H255">
        <v>2015</v>
      </c>
      <c r="I255">
        <v>8</v>
      </c>
      <c r="J255">
        <v>87</v>
      </c>
      <c r="K255">
        <v>89</v>
      </c>
      <c r="L255">
        <v>0</v>
      </c>
      <c r="M255">
        <v>1</v>
      </c>
      <c r="N255">
        <v>0</v>
      </c>
      <c r="O255" t="str">
        <f t="shared" si="15"/>
        <v>L 87-89 vs. Devon</v>
      </c>
    </row>
    <row r="256" spans="1:15" ht="15" customHeight="1" x14ac:dyDescent="0.25">
      <c r="A256">
        <f t="shared" si="16"/>
        <v>255</v>
      </c>
      <c r="B256" t="s">
        <v>3218</v>
      </c>
      <c r="C256" t="s">
        <v>3213</v>
      </c>
      <c r="D256" t="s">
        <v>3219</v>
      </c>
      <c r="E256" t="str">
        <f t="shared" si="13"/>
        <v>Matthew</v>
      </c>
      <c r="F256" t="str">
        <f t="shared" si="14"/>
        <v>Cory</v>
      </c>
      <c r="G256" t="s">
        <v>3214</v>
      </c>
      <c r="H256">
        <v>2016</v>
      </c>
      <c r="I256">
        <v>8</v>
      </c>
      <c r="J256">
        <v>87</v>
      </c>
      <c r="K256">
        <v>76</v>
      </c>
      <c r="L256">
        <v>1</v>
      </c>
      <c r="M256">
        <v>0</v>
      </c>
      <c r="N256">
        <v>0</v>
      </c>
      <c r="O256" t="str">
        <f t="shared" si="15"/>
        <v>W 87-76 vs. Cory</v>
      </c>
    </row>
    <row r="257" spans="1:15" ht="15" customHeight="1" x14ac:dyDescent="0.25">
      <c r="A257">
        <f t="shared" si="16"/>
        <v>256</v>
      </c>
      <c r="B257" t="s">
        <v>3212</v>
      </c>
      <c r="C257" t="s">
        <v>3213</v>
      </c>
      <c r="D257" t="s">
        <v>3198</v>
      </c>
      <c r="E257" t="str">
        <f t="shared" si="13"/>
        <v>Ty</v>
      </c>
      <c r="F257" t="str">
        <f t="shared" si="14"/>
        <v>Cory</v>
      </c>
      <c r="G257" t="s">
        <v>3214</v>
      </c>
      <c r="H257">
        <v>2015</v>
      </c>
      <c r="I257">
        <v>2</v>
      </c>
      <c r="J257">
        <v>87</v>
      </c>
      <c r="K257">
        <v>58</v>
      </c>
      <c r="L257">
        <v>1</v>
      </c>
      <c r="M257">
        <v>0</v>
      </c>
      <c r="N257">
        <v>0</v>
      </c>
      <c r="O257" t="str">
        <f t="shared" si="15"/>
        <v>W 87-58 vs. Cory</v>
      </c>
    </row>
    <row r="258" spans="1:15" ht="15" customHeight="1" x14ac:dyDescent="0.25">
      <c r="A258">
        <f t="shared" si="16"/>
        <v>257</v>
      </c>
      <c r="B258" t="s">
        <v>3209</v>
      </c>
      <c r="C258" t="s">
        <v>3220</v>
      </c>
      <c r="D258" t="s">
        <v>3227</v>
      </c>
      <c r="E258" t="str">
        <f t="shared" ref="E258:E321" si="17">LEFT(D258,SEARCH(" ",D258)-1)</f>
        <v>Scott</v>
      </c>
      <c r="F258" t="str">
        <f t="shared" ref="F258:F321" si="18">LEFT(G258,SEARCH(" ",G258)-1)</f>
        <v>Perry</v>
      </c>
      <c r="G258" t="s">
        <v>3226</v>
      </c>
      <c r="H258">
        <v>2017</v>
      </c>
      <c r="I258">
        <v>12</v>
      </c>
      <c r="J258">
        <v>88</v>
      </c>
      <c r="K258">
        <v>131</v>
      </c>
      <c r="L258">
        <v>0</v>
      </c>
      <c r="M258">
        <v>1</v>
      </c>
      <c r="N258">
        <v>0</v>
      </c>
      <c r="O258" t="str">
        <f t="shared" ref="O258:O321" si="19">IF(L258=1,"W",IF(M258=1,"L","T"))&amp;" "&amp;J258&amp;"-"&amp;K258&amp;" vs. "&amp;F258</f>
        <v>L 88-131 vs. Perry</v>
      </c>
    </row>
    <row r="259" spans="1:15" ht="15" customHeight="1" x14ac:dyDescent="0.25">
      <c r="A259">
        <f t="shared" ref="A259:A322" si="20">A258+1</f>
        <v>258</v>
      </c>
      <c r="B259" t="s">
        <v>3212</v>
      </c>
      <c r="C259" t="s">
        <v>3211</v>
      </c>
      <c r="D259" t="s">
        <v>3198</v>
      </c>
      <c r="E259" t="str">
        <f t="shared" si="17"/>
        <v>Ty</v>
      </c>
      <c r="F259" t="str">
        <f t="shared" si="18"/>
        <v>Anthony</v>
      </c>
      <c r="G259" t="s">
        <v>3201</v>
      </c>
      <c r="H259">
        <v>2013</v>
      </c>
      <c r="I259">
        <v>13</v>
      </c>
      <c r="J259">
        <v>88</v>
      </c>
      <c r="K259">
        <v>127</v>
      </c>
      <c r="L259">
        <v>0</v>
      </c>
      <c r="M259">
        <v>1</v>
      </c>
      <c r="N259">
        <v>0</v>
      </c>
      <c r="O259" t="str">
        <f t="shared" si="19"/>
        <v>L 88-127 vs. Anthony</v>
      </c>
    </row>
    <row r="260" spans="1:15" ht="15" customHeight="1" x14ac:dyDescent="0.25">
      <c r="A260">
        <f t="shared" si="20"/>
        <v>259</v>
      </c>
      <c r="B260" t="s">
        <v>3209</v>
      </c>
      <c r="C260" t="s">
        <v>3213</v>
      </c>
      <c r="D260" t="s">
        <v>3227</v>
      </c>
      <c r="E260" t="str">
        <f t="shared" si="17"/>
        <v>Scott</v>
      </c>
      <c r="F260" t="str">
        <f t="shared" si="18"/>
        <v>Cory</v>
      </c>
      <c r="G260" t="s">
        <v>3214</v>
      </c>
      <c r="H260">
        <v>2017</v>
      </c>
      <c r="I260">
        <v>4</v>
      </c>
      <c r="J260">
        <v>88</v>
      </c>
      <c r="K260">
        <v>104</v>
      </c>
      <c r="L260">
        <v>0</v>
      </c>
      <c r="M260">
        <v>1</v>
      </c>
      <c r="N260">
        <v>0</v>
      </c>
      <c r="O260" t="str">
        <f t="shared" si="19"/>
        <v>L 88-104 vs. Cory</v>
      </c>
    </row>
    <row r="261" spans="1:15" x14ac:dyDescent="0.25">
      <c r="A261">
        <f t="shared" si="20"/>
        <v>260</v>
      </c>
      <c r="B261" t="s">
        <v>3216</v>
      </c>
      <c r="C261" t="s">
        <v>3211</v>
      </c>
      <c r="D261" t="s">
        <v>3217</v>
      </c>
      <c r="E261" t="str">
        <f t="shared" si="17"/>
        <v>Seth</v>
      </c>
      <c r="F261" t="str">
        <f t="shared" si="18"/>
        <v>Anthony</v>
      </c>
      <c r="G261" t="s">
        <v>3201</v>
      </c>
      <c r="H261">
        <v>2017</v>
      </c>
      <c r="I261">
        <v>3</v>
      </c>
      <c r="J261">
        <v>88</v>
      </c>
      <c r="K261">
        <v>96</v>
      </c>
      <c r="L261">
        <v>0</v>
      </c>
      <c r="M261">
        <v>1</v>
      </c>
      <c r="N261">
        <v>0</v>
      </c>
      <c r="O261" t="str">
        <f t="shared" si="19"/>
        <v>L 88-96 vs. Anthony</v>
      </c>
    </row>
    <row r="262" spans="1:15" ht="15" customHeight="1" x14ac:dyDescent="0.25">
      <c r="A262">
        <f t="shared" si="20"/>
        <v>261</v>
      </c>
      <c r="B262" t="s">
        <v>3216</v>
      </c>
      <c r="C262" t="s">
        <v>3212</v>
      </c>
      <c r="D262" t="s">
        <v>3217</v>
      </c>
      <c r="E262" t="str">
        <f t="shared" si="17"/>
        <v>Seth</v>
      </c>
      <c r="F262" t="str">
        <f t="shared" si="18"/>
        <v>Ty</v>
      </c>
      <c r="G262" t="s">
        <v>3198</v>
      </c>
      <c r="H262">
        <v>2014</v>
      </c>
      <c r="I262">
        <v>1</v>
      </c>
      <c r="J262">
        <v>88</v>
      </c>
      <c r="K262">
        <v>91</v>
      </c>
      <c r="L262">
        <v>0</v>
      </c>
      <c r="M262">
        <v>1</v>
      </c>
      <c r="N262">
        <v>0</v>
      </c>
      <c r="O262" t="str">
        <f t="shared" si="19"/>
        <v>L 88-91 vs. Ty</v>
      </c>
    </row>
    <row r="263" spans="1:15" ht="15" customHeight="1" x14ac:dyDescent="0.25">
      <c r="A263">
        <f t="shared" si="20"/>
        <v>262</v>
      </c>
      <c r="B263" t="s">
        <v>3209</v>
      </c>
      <c r="C263" t="s">
        <v>3218</v>
      </c>
      <c r="D263" t="s">
        <v>3227</v>
      </c>
      <c r="E263" t="str">
        <f t="shared" si="17"/>
        <v>Scott</v>
      </c>
      <c r="F263" t="str">
        <f t="shared" si="18"/>
        <v>Matthew</v>
      </c>
      <c r="G263" t="s">
        <v>3219</v>
      </c>
      <c r="H263">
        <v>2014</v>
      </c>
      <c r="I263">
        <v>7</v>
      </c>
      <c r="J263">
        <v>88</v>
      </c>
      <c r="K263">
        <v>85</v>
      </c>
      <c r="L263">
        <v>1</v>
      </c>
      <c r="M263">
        <v>0</v>
      </c>
      <c r="N263">
        <v>0</v>
      </c>
      <c r="O263" t="str">
        <f t="shared" si="19"/>
        <v>W 88-85 vs. Matthew</v>
      </c>
    </row>
    <row r="264" spans="1:15" ht="15" customHeight="1" x14ac:dyDescent="0.25">
      <c r="A264">
        <f t="shared" si="20"/>
        <v>263</v>
      </c>
      <c r="B264" t="s">
        <v>3208</v>
      </c>
      <c r="C264" t="s">
        <v>3218</v>
      </c>
      <c r="D264" t="s">
        <v>3225</v>
      </c>
      <c r="E264" t="str">
        <f t="shared" si="17"/>
        <v>Chad</v>
      </c>
      <c r="F264" t="str">
        <f t="shared" si="18"/>
        <v>Matthew</v>
      </c>
      <c r="G264" t="s">
        <v>3219</v>
      </c>
      <c r="H264">
        <v>2016</v>
      </c>
      <c r="I264">
        <v>9</v>
      </c>
      <c r="J264">
        <v>88</v>
      </c>
      <c r="K264">
        <v>63</v>
      </c>
      <c r="L264">
        <v>1</v>
      </c>
      <c r="M264">
        <v>0</v>
      </c>
      <c r="N264">
        <v>0</v>
      </c>
      <c r="O264" t="str">
        <f t="shared" si="19"/>
        <v>W 88-63 vs. Matthew</v>
      </c>
    </row>
    <row r="265" spans="1:15" ht="15" customHeight="1" x14ac:dyDescent="0.25">
      <c r="A265">
        <f t="shared" si="20"/>
        <v>264</v>
      </c>
      <c r="B265" t="s">
        <v>3211</v>
      </c>
      <c r="C265" t="s">
        <v>3213</v>
      </c>
      <c r="D265" t="s">
        <v>3201</v>
      </c>
      <c r="E265" t="str">
        <f t="shared" si="17"/>
        <v>Anthony</v>
      </c>
      <c r="F265" t="str">
        <f t="shared" si="18"/>
        <v>Cory</v>
      </c>
      <c r="G265" t="s">
        <v>3214</v>
      </c>
      <c r="H265">
        <v>2014</v>
      </c>
      <c r="I265">
        <v>6</v>
      </c>
      <c r="J265">
        <v>88</v>
      </c>
      <c r="K265">
        <v>61</v>
      </c>
      <c r="L265">
        <v>1</v>
      </c>
      <c r="M265">
        <v>0</v>
      </c>
      <c r="N265">
        <v>0</v>
      </c>
      <c r="O265" t="str">
        <f t="shared" si="19"/>
        <v>W 88-61 vs. Cory</v>
      </c>
    </row>
    <row r="266" spans="1:15" ht="15" customHeight="1" x14ac:dyDescent="0.25">
      <c r="A266">
        <f t="shared" si="20"/>
        <v>265</v>
      </c>
      <c r="B266" t="s">
        <v>3213</v>
      </c>
      <c r="C266" t="s">
        <v>3222</v>
      </c>
      <c r="D266" t="s">
        <v>3214</v>
      </c>
      <c r="E266" t="str">
        <f t="shared" si="17"/>
        <v>Cory</v>
      </c>
      <c r="F266" t="str">
        <f t="shared" si="18"/>
        <v>Jason</v>
      </c>
      <c r="G266" t="s">
        <v>3228</v>
      </c>
      <c r="H266">
        <v>2017</v>
      </c>
      <c r="I266">
        <v>3</v>
      </c>
      <c r="J266">
        <v>88</v>
      </c>
      <c r="K266">
        <v>53</v>
      </c>
      <c r="L266">
        <v>1</v>
      </c>
      <c r="M266">
        <v>0</v>
      </c>
      <c r="N266">
        <v>0</v>
      </c>
      <c r="O266" t="str">
        <f t="shared" si="19"/>
        <v>W 88-53 vs. Jason</v>
      </c>
    </row>
    <row r="267" spans="1:15" ht="15" customHeight="1" x14ac:dyDescent="0.25">
      <c r="A267">
        <f t="shared" si="20"/>
        <v>266</v>
      </c>
      <c r="B267" t="s">
        <v>3208</v>
      </c>
      <c r="C267" t="s">
        <v>3220</v>
      </c>
      <c r="D267" t="s">
        <v>3225</v>
      </c>
      <c r="E267" t="str">
        <f t="shared" si="17"/>
        <v>Chad</v>
      </c>
      <c r="F267" t="str">
        <f t="shared" si="18"/>
        <v>Perry</v>
      </c>
      <c r="G267" t="s">
        <v>3226</v>
      </c>
      <c r="H267">
        <v>2016</v>
      </c>
      <c r="I267">
        <v>7</v>
      </c>
      <c r="J267">
        <v>89</v>
      </c>
      <c r="K267">
        <v>123</v>
      </c>
      <c r="L267">
        <v>0</v>
      </c>
      <c r="M267">
        <v>1</v>
      </c>
      <c r="N267">
        <v>0</v>
      </c>
      <c r="O267" t="str">
        <f t="shared" si="19"/>
        <v>L 89-123 vs. Perry</v>
      </c>
    </row>
    <row r="268" spans="1:15" x14ac:dyDescent="0.25">
      <c r="A268">
        <f t="shared" si="20"/>
        <v>267</v>
      </c>
      <c r="B268" t="s">
        <v>3222</v>
      </c>
      <c r="C268" t="s">
        <v>3220</v>
      </c>
      <c r="D268" t="s">
        <v>3200</v>
      </c>
      <c r="E268" t="str">
        <f t="shared" si="17"/>
        <v>Taylor</v>
      </c>
      <c r="F268" t="str">
        <f t="shared" si="18"/>
        <v>Perry</v>
      </c>
      <c r="G268" t="s">
        <v>3226</v>
      </c>
      <c r="H268">
        <v>2015</v>
      </c>
      <c r="I268">
        <v>2</v>
      </c>
      <c r="J268">
        <v>89</v>
      </c>
      <c r="K268">
        <v>110</v>
      </c>
      <c r="L268">
        <v>0</v>
      </c>
      <c r="M268">
        <v>1</v>
      </c>
      <c r="N268">
        <v>0</v>
      </c>
      <c r="O268" t="str">
        <f t="shared" si="19"/>
        <v>L 89-110 vs. Perry</v>
      </c>
    </row>
    <row r="269" spans="1:15" ht="15" customHeight="1" x14ac:dyDescent="0.25">
      <c r="A269">
        <f t="shared" si="20"/>
        <v>268</v>
      </c>
      <c r="B269" t="s">
        <v>3215</v>
      </c>
      <c r="C269" t="s">
        <v>3220</v>
      </c>
      <c r="D269" t="s">
        <v>3199</v>
      </c>
      <c r="E269" t="str">
        <f t="shared" si="17"/>
        <v>Devon</v>
      </c>
      <c r="F269" t="str">
        <f t="shared" si="18"/>
        <v>Perry</v>
      </c>
      <c r="G269" t="s">
        <v>3226</v>
      </c>
      <c r="H269">
        <v>2015</v>
      </c>
      <c r="I269">
        <v>4</v>
      </c>
      <c r="J269">
        <v>89</v>
      </c>
      <c r="K269">
        <v>103</v>
      </c>
      <c r="L269">
        <v>0</v>
      </c>
      <c r="M269">
        <v>1</v>
      </c>
      <c r="N269">
        <v>0</v>
      </c>
      <c r="O269" t="str">
        <f t="shared" si="19"/>
        <v>L 89-103 vs. Perry</v>
      </c>
    </row>
    <row r="270" spans="1:15" ht="15" customHeight="1" x14ac:dyDescent="0.25">
      <c r="A270">
        <f t="shared" si="20"/>
        <v>269</v>
      </c>
      <c r="B270" t="s">
        <v>3211</v>
      </c>
      <c r="C270" t="s">
        <v>3213</v>
      </c>
      <c r="D270" t="s">
        <v>3201</v>
      </c>
      <c r="E270" t="str">
        <f t="shared" si="17"/>
        <v>Anthony</v>
      </c>
      <c r="F270" t="str">
        <f t="shared" si="18"/>
        <v>Cory</v>
      </c>
      <c r="G270" t="s">
        <v>3214</v>
      </c>
      <c r="H270">
        <v>2013</v>
      </c>
      <c r="I270">
        <v>5</v>
      </c>
      <c r="J270">
        <v>89</v>
      </c>
      <c r="K270">
        <v>97</v>
      </c>
      <c r="L270">
        <v>0</v>
      </c>
      <c r="M270">
        <v>1</v>
      </c>
      <c r="N270">
        <v>0</v>
      </c>
      <c r="O270" t="str">
        <f t="shared" si="19"/>
        <v>L 89-97 vs. Cory</v>
      </c>
    </row>
    <row r="271" spans="1:15" ht="15" customHeight="1" x14ac:dyDescent="0.25">
      <c r="A271">
        <f t="shared" si="20"/>
        <v>270</v>
      </c>
      <c r="B271" t="s">
        <v>3211</v>
      </c>
      <c r="C271" t="s">
        <v>3209</v>
      </c>
      <c r="D271" t="s">
        <v>3201</v>
      </c>
      <c r="E271" t="str">
        <f t="shared" si="17"/>
        <v>Anthony</v>
      </c>
      <c r="F271" t="str">
        <f t="shared" si="18"/>
        <v>Scott</v>
      </c>
      <c r="G271" t="s">
        <v>3227</v>
      </c>
      <c r="H271">
        <v>2015</v>
      </c>
      <c r="I271">
        <v>1</v>
      </c>
      <c r="J271">
        <v>89</v>
      </c>
      <c r="K271">
        <v>94</v>
      </c>
      <c r="L271">
        <v>0</v>
      </c>
      <c r="M271">
        <v>1</v>
      </c>
      <c r="N271">
        <v>0</v>
      </c>
      <c r="O271" t="str">
        <f t="shared" si="19"/>
        <v>L 89-94 vs. Scott</v>
      </c>
    </row>
    <row r="272" spans="1:15" ht="15" customHeight="1" x14ac:dyDescent="0.25">
      <c r="A272">
        <f t="shared" si="20"/>
        <v>271</v>
      </c>
      <c r="B272" t="s">
        <v>3208</v>
      </c>
      <c r="C272" t="s">
        <v>3220</v>
      </c>
      <c r="D272" t="s">
        <v>3225</v>
      </c>
      <c r="E272" t="str">
        <f t="shared" si="17"/>
        <v>Chad</v>
      </c>
      <c r="F272" t="str">
        <f t="shared" si="18"/>
        <v>Carter</v>
      </c>
      <c r="G272" t="s">
        <v>3224</v>
      </c>
      <c r="H272">
        <v>2014</v>
      </c>
      <c r="I272">
        <v>7</v>
      </c>
      <c r="J272">
        <v>89</v>
      </c>
      <c r="K272">
        <v>92</v>
      </c>
      <c r="L272">
        <v>0</v>
      </c>
      <c r="M272">
        <v>1</v>
      </c>
      <c r="N272">
        <v>0</v>
      </c>
      <c r="O272" t="str">
        <f t="shared" si="19"/>
        <v>L 89-92 vs. Carter</v>
      </c>
    </row>
    <row r="273" spans="1:15" ht="15" customHeight="1" x14ac:dyDescent="0.25">
      <c r="A273">
        <f t="shared" si="20"/>
        <v>272</v>
      </c>
      <c r="B273" t="s">
        <v>3215</v>
      </c>
      <c r="C273" t="s">
        <v>3216</v>
      </c>
      <c r="D273" t="s">
        <v>3199</v>
      </c>
      <c r="E273" t="str">
        <f t="shared" si="17"/>
        <v>Devon</v>
      </c>
      <c r="F273" t="str">
        <f t="shared" si="18"/>
        <v>Seth</v>
      </c>
      <c r="G273" t="s">
        <v>3217</v>
      </c>
      <c r="H273">
        <v>2015</v>
      </c>
      <c r="I273">
        <v>8</v>
      </c>
      <c r="J273">
        <v>89</v>
      </c>
      <c r="K273">
        <v>87</v>
      </c>
      <c r="L273">
        <v>1</v>
      </c>
      <c r="M273">
        <v>0</v>
      </c>
      <c r="N273">
        <v>0</v>
      </c>
      <c r="O273" t="str">
        <f t="shared" si="19"/>
        <v>W 89-87 vs. Seth</v>
      </c>
    </row>
    <row r="274" spans="1:15" ht="15" customHeight="1" x14ac:dyDescent="0.25">
      <c r="A274">
        <f t="shared" si="20"/>
        <v>273</v>
      </c>
      <c r="B274" t="s">
        <v>3213</v>
      </c>
      <c r="C274" t="s">
        <v>3215</v>
      </c>
      <c r="D274" t="s">
        <v>3214</v>
      </c>
      <c r="E274" t="str">
        <f t="shared" si="17"/>
        <v>Cory</v>
      </c>
      <c r="F274" t="str">
        <f t="shared" si="18"/>
        <v>Devon</v>
      </c>
      <c r="G274" t="s">
        <v>3199</v>
      </c>
      <c r="H274">
        <v>2017</v>
      </c>
      <c r="I274">
        <v>9</v>
      </c>
      <c r="J274">
        <v>89</v>
      </c>
      <c r="K274">
        <v>81</v>
      </c>
      <c r="L274">
        <v>1</v>
      </c>
      <c r="M274">
        <v>0</v>
      </c>
      <c r="N274">
        <v>0</v>
      </c>
      <c r="O274" t="str">
        <f t="shared" si="19"/>
        <v>W 89-81 vs. Devon</v>
      </c>
    </row>
    <row r="275" spans="1:15" ht="15" customHeight="1" x14ac:dyDescent="0.25">
      <c r="A275">
        <f t="shared" si="20"/>
        <v>274</v>
      </c>
      <c r="B275" t="s">
        <v>3209</v>
      </c>
      <c r="C275" t="s">
        <v>3222</v>
      </c>
      <c r="D275" t="s">
        <v>3227</v>
      </c>
      <c r="E275" t="str">
        <f t="shared" si="17"/>
        <v>Scott</v>
      </c>
      <c r="F275" t="str">
        <f t="shared" si="18"/>
        <v>Jason</v>
      </c>
      <c r="G275" t="s">
        <v>3228</v>
      </c>
      <c r="H275">
        <v>2017</v>
      </c>
      <c r="I275">
        <v>9</v>
      </c>
      <c r="J275">
        <v>89</v>
      </c>
      <c r="K275">
        <v>67</v>
      </c>
      <c r="L275">
        <v>1</v>
      </c>
      <c r="M275">
        <v>0</v>
      </c>
      <c r="N275">
        <v>0</v>
      </c>
      <c r="O275" t="str">
        <f t="shared" si="19"/>
        <v>W 89-67 vs. Jason</v>
      </c>
    </row>
    <row r="276" spans="1:15" ht="15" customHeight="1" x14ac:dyDescent="0.25">
      <c r="A276">
        <f t="shared" si="20"/>
        <v>275</v>
      </c>
      <c r="B276" t="s">
        <v>3218</v>
      </c>
      <c r="C276" t="s">
        <v>3208</v>
      </c>
      <c r="D276" t="s">
        <v>3219</v>
      </c>
      <c r="E276" t="str">
        <f t="shared" si="17"/>
        <v>Matthew</v>
      </c>
      <c r="F276" t="str">
        <f t="shared" si="18"/>
        <v>Spencer</v>
      </c>
      <c r="G276" t="s">
        <v>3210</v>
      </c>
      <c r="H276">
        <v>2013</v>
      </c>
      <c r="I276">
        <v>13</v>
      </c>
      <c r="J276">
        <v>90</v>
      </c>
      <c r="K276">
        <v>142</v>
      </c>
      <c r="L276">
        <v>0</v>
      </c>
      <c r="M276">
        <v>1</v>
      </c>
      <c r="N276">
        <v>0</v>
      </c>
      <c r="O276" t="str">
        <f t="shared" si="19"/>
        <v>L 90-142 vs. Spencer</v>
      </c>
    </row>
    <row r="277" spans="1:15" ht="15" customHeight="1" x14ac:dyDescent="0.25">
      <c r="A277">
        <f t="shared" si="20"/>
        <v>276</v>
      </c>
      <c r="B277" t="s">
        <v>3209</v>
      </c>
      <c r="C277" t="s">
        <v>3212</v>
      </c>
      <c r="D277" t="s">
        <v>3227</v>
      </c>
      <c r="E277" t="str">
        <f t="shared" si="17"/>
        <v>Scott</v>
      </c>
      <c r="F277" t="str">
        <f t="shared" si="18"/>
        <v>Ty</v>
      </c>
      <c r="G277" t="s">
        <v>3198</v>
      </c>
      <c r="H277">
        <v>2013</v>
      </c>
      <c r="I277">
        <v>3</v>
      </c>
      <c r="J277">
        <v>90</v>
      </c>
      <c r="K277">
        <v>116</v>
      </c>
      <c r="L277">
        <v>0</v>
      </c>
      <c r="M277">
        <v>1</v>
      </c>
      <c r="N277">
        <v>0</v>
      </c>
      <c r="O277" t="str">
        <f t="shared" si="19"/>
        <v>L 90-116 vs. Ty</v>
      </c>
    </row>
    <row r="278" spans="1:15" ht="15" customHeight="1" x14ac:dyDescent="0.25">
      <c r="A278">
        <f t="shared" si="20"/>
        <v>277</v>
      </c>
      <c r="B278" t="s">
        <v>3216</v>
      </c>
      <c r="C278" t="s">
        <v>3218</v>
      </c>
      <c r="D278" t="s">
        <v>3217</v>
      </c>
      <c r="E278" t="str">
        <f t="shared" si="17"/>
        <v>Seth</v>
      </c>
      <c r="F278" t="str">
        <f t="shared" si="18"/>
        <v>Matthew</v>
      </c>
      <c r="G278" t="s">
        <v>3219</v>
      </c>
      <c r="H278">
        <v>2016</v>
      </c>
      <c r="I278">
        <v>2</v>
      </c>
      <c r="J278">
        <v>90</v>
      </c>
      <c r="K278">
        <v>114</v>
      </c>
      <c r="L278">
        <v>0</v>
      </c>
      <c r="M278">
        <v>1</v>
      </c>
      <c r="N278">
        <v>0</v>
      </c>
      <c r="O278" t="str">
        <f t="shared" si="19"/>
        <v>L 90-114 vs. Matthew</v>
      </c>
    </row>
    <row r="279" spans="1:15" ht="15" customHeight="1" x14ac:dyDescent="0.25">
      <c r="A279">
        <f t="shared" si="20"/>
        <v>278</v>
      </c>
      <c r="B279" t="s">
        <v>3222</v>
      </c>
      <c r="C279" t="s">
        <v>3208</v>
      </c>
      <c r="D279" t="s">
        <v>3223</v>
      </c>
      <c r="E279" t="str">
        <f t="shared" si="17"/>
        <v>Austin</v>
      </c>
      <c r="F279" t="str">
        <f t="shared" si="18"/>
        <v>Spencer</v>
      </c>
      <c r="G279" t="s">
        <v>3210</v>
      </c>
      <c r="H279">
        <v>2013</v>
      </c>
      <c r="I279">
        <v>4</v>
      </c>
      <c r="J279">
        <v>90</v>
      </c>
      <c r="K279">
        <v>112</v>
      </c>
      <c r="L279">
        <v>0</v>
      </c>
      <c r="M279">
        <v>1</v>
      </c>
      <c r="N279">
        <v>0</v>
      </c>
      <c r="O279" t="str">
        <f t="shared" si="19"/>
        <v>L 90-112 vs. Spencer</v>
      </c>
    </row>
    <row r="280" spans="1:15" ht="15" customHeight="1" x14ac:dyDescent="0.25">
      <c r="A280">
        <f t="shared" si="20"/>
        <v>279</v>
      </c>
      <c r="B280" t="s">
        <v>3220</v>
      </c>
      <c r="C280" t="s">
        <v>3208</v>
      </c>
      <c r="D280" t="s">
        <v>3226</v>
      </c>
      <c r="E280" t="str">
        <f t="shared" si="17"/>
        <v>Perry</v>
      </c>
      <c r="F280" t="str">
        <f t="shared" si="18"/>
        <v>Chad</v>
      </c>
      <c r="G280" t="s">
        <v>3225</v>
      </c>
      <c r="H280">
        <v>2015</v>
      </c>
      <c r="I280">
        <v>7</v>
      </c>
      <c r="J280">
        <v>90</v>
      </c>
      <c r="K280">
        <v>103</v>
      </c>
      <c r="L280">
        <v>0</v>
      </c>
      <c r="M280">
        <v>1</v>
      </c>
      <c r="N280">
        <v>0</v>
      </c>
      <c r="O280" t="str">
        <f t="shared" si="19"/>
        <v>L 90-103 vs. Chad</v>
      </c>
    </row>
    <row r="281" spans="1:15" ht="15" customHeight="1" x14ac:dyDescent="0.25">
      <c r="A281">
        <f t="shared" si="20"/>
        <v>280</v>
      </c>
      <c r="B281" t="s">
        <v>3211</v>
      </c>
      <c r="C281" t="s">
        <v>3208</v>
      </c>
      <c r="D281" t="s">
        <v>3201</v>
      </c>
      <c r="E281" t="str">
        <f t="shared" si="17"/>
        <v>Anthony</v>
      </c>
      <c r="F281" t="str">
        <f t="shared" si="18"/>
        <v>Chad</v>
      </c>
      <c r="G281" t="s">
        <v>3225</v>
      </c>
      <c r="H281">
        <v>2017</v>
      </c>
      <c r="I281">
        <v>2</v>
      </c>
      <c r="J281">
        <v>90</v>
      </c>
      <c r="K281">
        <v>99</v>
      </c>
      <c r="L281">
        <v>0</v>
      </c>
      <c r="M281">
        <v>1</v>
      </c>
      <c r="N281">
        <v>0</v>
      </c>
      <c r="O281" t="str">
        <f t="shared" si="19"/>
        <v>L 90-99 vs. Chad</v>
      </c>
    </row>
    <row r="282" spans="1:15" ht="15" customHeight="1" x14ac:dyDescent="0.25">
      <c r="A282">
        <f t="shared" si="20"/>
        <v>281</v>
      </c>
      <c r="B282" t="s">
        <v>3216</v>
      </c>
      <c r="C282" t="s">
        <v>3220</v>
      </c>
      <c r="D282" t="s">
        <v>3217</v>
      </c>
      <c r="E282" t="str">
        <f t="shared" si="17"/>
        <v>Seth</v>
      </c>
      <c r="F282" t="str">
        <f t="shared" si="18"/>
        <v>Perry</v>
      </c>
      <c r="G282" t="s">
        <v>3226</v>
      </c>
      <c r="H282">
        <v>2017</v>
      </c>
      <c r="I282">
        <v>5</v>
      </c>
      <c r="J282">
        <v>90</v>
      </c>
      <c r="K282">
        <v>96</v>
      </c>
      <c r="L282">
        <v>0</v>
      </c>
      <c r="M282">
        <v>1</v>
      </c>
      <c r="N282">
        <v>0</v>
      </c>
      <c r="O282" t="str">
        <f t="shared" si="19"/>
        <v>L 90-96 vs. Perry</v>
      </c>
    </row>
    <row r="283" spans="1:15" ht="15" customHeight="1" x14ac:dyDescent="0.25">
      <c r="A283">
        <f t="shared" si="20"/>
        <v>282</v>
      </c>
      <c r="B283" t="s">
        <v>3209</v>
      </c>
      <c r="C283" t="s">
        <v>3213</v>
      </c>
      <c r="D283" t="s">
        <v>3227</v>
      </c>
      <c r="E283" t="str">
        <f t="shared" si="17"/>
        <v>Scott</v>
      </c>
      <c r="F283" t="str">
        <f t="shared" si="18"/>
        <v>Cory</v>
      </c>
      <c r="G283" t="s">
        <v>3214</v>
      </c>
      <c r="H283">
        <v>2013</v>
      </c>
      <c r="I283">
        <v>13</v>
      </c>
      <c r="J283">
        <v>90</v>
      </c>
      <c r="K283">
        <v>77</v>
      </c>
      <c r="L283">
        <v>1</v>
      </c>
      <c r="M283">
        <v>0</v>
      </c>
      <c r="N283">
        <v>0</v>
      </c>
      <c r="O283" t="str">
        <f t="shared" si="19"/>
        <v>W 90-77 vs. Cory</v>
      </c>
    </row>
    <row r="284" spans="1:15" ht="15" customHeight="1" x14ac:dyDescent="0.25">
      <c r="A284">
        <f t="shared" si="20"/>
        <v>283</v>
      </c>
      <c r="B284" t="s">
        <v>3222</v>
      </c>
      <c r="C284" t="s">
        <v>3212</v>
      </c>
      <c r="D284" t="s">
        <v>3223</v>
      </c>
      <c r="E284" t="str">
        <f t="shared" si="17"/>
        <v>Austin</v>
      </c>
      <c r="F284" t="str">
        <f t="shared" si="18"/>
        <v>Ty</v>
      </c>
      <c r="G284" t="s">
        <v>3198</v>
      </c>
      <c r="H284">
        <v>2013</v>
      </c>
      <c r="I284">
        <v>8</v>
      </c>
      <c r="J284">
        <v>90</v>
      </c>
      <c r="K284">
        <v>77</v>
      </c>
      <c r="L284">
        <v>1</v>
      </c>
      <c r="M284">
        <v>0</v>
      </c>
      <c r="N284">
        <v>0</v>
      </c>
      <c r="O284" t="str">
        <f t="shared" si="19"/>
        <v>W 90-77 vs. Ty</v>
      </c>
    </row>
    <row r="285" spans="1:15" ht="15" customHeight="1" x14ac:dyDescent="0.25">
      <c r="A285">
        <f t="shared" si="20"/>
        <v>284</v>
      </c>
      <c r="B285" t="s">
        <v>3213</v>
      </c>
      <c r="C285" t="s">
        <v>3215</v>
      </c>
      <c r="D285" t="s">
        <v>3214</v>
      </c>
      <c r="E285" t="str">
        <f t="shared" si="17"/>
        <v>Cory</v>
      </c>
      <c r="F285" t="str">
        <f t="shared" si="18"/>
        <v>Devon</v>
      </c>
      <c r="G285" t="s">
        <v>3199</v>
      </c>
      <c r="H285">
        <v>2014</v>
      </c>
      <c r="I285">
        <v>9</v>
      </c>
      <c r="J285">
        <v>91</v>
      </c>
      <c r="K285">
        <v>121</v>
      </c>
      <c r="L285">
        <v>0</v>
      </c>
      <c r="M285">
        <v>1</v>
      </c>
      <c r="N285">
        <v>0</v>
      </c>
      <c r="O285" t="str">
        <f t="shared" si="19"/>
        <v>L 91-121 vs. Devon</v>
      </c>
    </row>
    <row r="286" spans="1:15" ht="15" customHeight="1" x14ac:dyDescent="0.25">
      <c r="A286">
        <f t="shared" si="20"/>
        <v>285</v>
      </c>
      <c r="B286" t="s">
        <v>3218</v>
      </c>
      <c r="C286" t="s">
        <v>3222</v>
      </c>
      <c r="D286" t="s">
        <v>3219</v>
      </c>
      <c r="E286" t="str">
        <f t="shared" si="17"/>
        <v>Matthew</v>
      </c>
      <c r="F286" t="str">
        <f t="shared" si="18"/>
        <v>Taylor</v>
      </c>
      <c r="G286" t="s">
        <v>3200</v>
      </c>
      <c r="H286">
        <v>2016</v>
      </c>
      <c r="I286">
        <v>4</v>
      </c>
      <c r="J286">
        <v>91</v>
      </c>
      <c r="K286">
        <v>113</v>
      </c>
      <c r="L286">
        <v>0</v>
      </c>
      <c r="M286">
        <v>1</v>
      </c>
      <c r="N286">
        <v>0</v>
      </c>
      <c r="O286" t="str">
        <f t="shared" si="19"/>
        <v>L 91-113 vs. Taylor</v>
      </c>
    </row>
    <row r="287" spans="1:15" ht="15" customHeight="1" x14ac:dyDescent="0.25">
      <c r="A287">
        <f t="shared" si="20"/>
        <v>286</v>
      </c>
      <c r="B287" t="s">
        <v>3215</v>
      </c>
      <c r="C287" t="s">
        <v>3220</v>
      </c>
      <c r="D287" t="s">
        <v>3199</v>
      </c>
      <c r="E287" t="str">
        <f t="shared" si="17"/>
        <v>Devon</v>
      </c>
      <c r="F287" t="str">
        <f t="shared" si="18"/>
        <v>Perry</v>
      </c>
      <c r="G287" t="s">
        <v>3226</v>
      </c>
      <c r="H287">
        <v>2015</v>
      </c>
      <c r="I287">
        <v>13</v>
      </c>
      <c r="J287">
        <v>91</v>
      </c>
      <c r="K287">
        <v>111</v>
      </c>
      <c r="L287">
        <v>0</v>
      </c>
      <c r="M287">
        <v>1</v>
      </c>
      <c r="N287">
        <v>0</v>
      </c>
      <c r="O287" t="str">
        <f t="shared" si="19"/>
        <v>L 91-111 vs. Perry</v>
      </c>
    </row>
    <row r="288" spans="1:15" ht="15" customHeight="1" x14ac:dyDescent="0.25">
      <c r="A288">
        <f t="shared" si="20"/>
        <v>287</v>
      </c>
      <c r="B288" t="s">
        <v>3213</v>
      </c>
      <c r="C288" t="s">
        <v>3220</v>
      </c>
      <c r="D288" t="s">
        <v>3214</v>
      </c>
      <c r="E288" t="str">
        <f t="shared" si="17"/>
        <v>Cory</v>
      </c>
      <c r="F288" t="str">
        <f t="shared" si="18"/>
        <v>Perry</v>
      </c>
      <c r="G288" t="s">
        <v>3226</v>
      </c>
      <c r="H288">
        <v>2017</v>
      </c>
      <c r="I288">
        <v>10</v>
      </c>
      <c r="J288">
        <v>91</v>
      </c>
      <c r="K288">
        <v>106</v>
      </c>
      <c r="L288">
        <v>0</v>
      </c>
      <c r="M288">
        <v>1</v>
      </c>
      <c r="N288">
        <v>0</v>
      </c>
      <c r="O288" t="str">
        <f t="shared" si="19"/>
        <v>L 91-106 vs. Perry</v>
      </c>
    </row>
    <row r="289" spans="1:15" ht="15" customHeight="1" x14ac:dyDescent="0.25">
      <c r="A289">
        <f t="shared" si="20"/>
        <v>288</v>
      </c>
      <c r="B289" t="s">
        <v>3211</v>
      </c>
      <c r="C289" t="s">
        <v>3218</v>
      </c>
      <c r="D289" t="s">
        <v>3201</v>
      </c>
      <c r="E289" t="str">
        <f t="shared" si="17"/>
        <v>Anthony</v>
      </c>
      <c r="F289" t="str">
        <f t="shared" si="18"/>
        <v>Matthew</v>
      </c>
      <c r="G289" t="s">
        <v>3219</v>
      </c>
      <c r="H289">
        <v>2014</v>
      </c>
      <c r="I289">
        <v>5</v>
      </c>
      <c r="J289">
        <v>91</v>
      </c>
      <c r="K289">
        <v>101</v>
      </c>
      <c r="L289">
        <v>0</v>
      </c>
      <c r="M289">
        <v>1</v>
      </c>
      <c r="N289">
        <v>0</v>
      </c>
      <c r="O289" t="str">
        <f t="shared" si="19"/>
        <v>L 91-101 vs. Matthew</v>
      </c>
    </row>
    <row r="290" spans="1:15" ht="15" customHeight="1" x14ac:dyDescent="0.25">
      <c r="A290">
        <f t="shared" si="20"/>
        <v>289</v>
      </c>
      <c r="B290" t="s">
        <v>3212</v>
      </c>
      <c r="C290" t="s">
        <v>3222</v>
      </c>
      <c r="D290" t="s">
        <v>3198</v>
      </c>
      <c r="E290" t="str">
        <f t="shared" si="17"/>
        <v>Ty</v>
      </c>
      <c r="F290" t="str">
        <f t="shared" si="18"/>
        <v>Taylor</v>
      </c>
      <c r="G290" t="s">
        <v>3200</v>
      </c>
      <c r="H290">
        <v>2015</v>
      </c>
      <c r="I290">
        <v>7</v>
      </c>
      <c r="J290">
        <v>91</v>
      </c>
      <c r="K290">
        <v>97</v>
      </c>
      <c r="L290">
        <v>0</v>
      </c>
      <c r="M290">
        <v>1</v>
      </c>
      <c r="N290">
        <v>0</v>
      </c>
      <c r="O290" t="str">
        <f t="shared" si="19"/>
        <v>L 91-97 vs. Taylor</v>
      </c>
    </row>
    <row r="291" spans="1:15" ht="15" customHeight="1" x14ac:dyDescent="0.25">
      <c r="A291">
        <f t="shared" si="20"/>
        <v>290</v>
      </c>
      <c r="B291" t="s">
        <v>3222</v>
      </c>
      <c r="C291" t="s">
        <v>3215</v>
      </c>
      <c r="D291" t="s">
        <v>3228</v>
      </c>
      <c r="E291" t="str">
        <f t="shared" si="17"/>
        <v>Jason</v>
      </c>
      <c r="F291" t="str">
        <f t="shared" si="18"/>
        <v>Devon</v>
      </c>
      <c r="G291" t="s">
        <v>3199</v>
      </c>
      <c r="H291">
        <v>2017</v>
      </c>
      <c r="I291">
        <v>10</v>
      </c>
      <c r="J291">
        <v>91</v>
      </c>
      <c r="K291">
        <v>97</v>
      </c>
      <c r="L291">
        <v>0</v>
      </c>
      <c r="M291">
        <v>1</v>
      </c>
      <c r="N291">
        <v>0</v>
      </c>
      <c r="O291" t="str">
        <f t="shared" si="19"/>
        <v>L 91-97 vs. Devon</v>
      </c>
    </row>
    <row r="292" spans="1:15" ht="15" customHeight="1" x14ac:dyDescent="0.25">
      <c r="A292">
        <f t="shared" si="20"/>
        <v>291</v>
      </c>
      <c r="B292" t="s">
        <v>3212</v>
      </c>
      <c r="C292" t="s">
        <v>3216</v>
      </c>
      <c r="D292" t="s">
        <v>3198</v>
      </c>
      <c r="E292" t="str">
        <f t="shared" si="17"/>
        <v>Ty</v>
      </c>
      <c r="F292" t="str">
        <f t="shared" si="18"/>
        <v>Seth</v>
      </c>
      <c r="G292" t="s">
        <v>3217</v>
      </c>
      <c r="H292">
        <v>2014</v>
      </c>
      <c r="I292">
        <v>1</v>
      </c>
      <c r="J292">
        <v>91</v>
      </c>
      <c r="K292">
        <v>88</v>
      </c>
      <c r="L292">
        <v>1</v>
      </c>
      <c r="M292">
        <v>0</v>
      </c>
      <c r="N292">
        <v>0</v>
      </c>
      <c r="O292" t="str">
        <f t="shared" si="19"/>
        <v>W 91-88 vs. Seth</v>
      </c>
    </row>
    <row r="293" spans="1:15" ht="15" customHeight="1" x14ac:dyDescent="0.25">
      <c r="A293">
        <f t="shared" si="20"/>
        <v>292</v>
      </c>
      <c r="B293" t="s">
        <v>3216</v>
      </c>
      <c r="C293" t="s">
        <v>3208</v>
      </c>
      <c r="D293" t="s">
        <v>3217</v>
      </c>
      <c r="E293" t="str">
        <f t="shared" si="17"/>
        <v>Seth</v>
      </c>
      <c r="F293" t="str">
        <f t="shared" si="18"/>
        <v>Spencer</v>
      </c>
      <c r="G293" t="s">
        <v>3210</v>
      </c>
      <c r="H293">
        <v>2013</v>
      </c>
      <c r="I293">
        <v>11</v>
      </c>
      <c r="J293">
        <v>91</v>
      </c>
      <c r="K293">
        <v>75</v>
      </c>
      <c r="L293">
        <v>1</v>
      </c>
      <c r="M293">
        <v>0</v>
      </c>
      <c r="N293">
        <v>0</v>
      </c>
      <c r="O293" t="str">
        <f t="shared" si="19"/>
        <v>W 91-75 vs. Spencer</v>
      </c>
    </row>
    <row r="294" spans="1:15" ht="15" customHeight="1" x14ac:dyDescent="0.25">
      <c r="A294">
        <f t="shared" si="20"/>
        <v>293</v>
      </c>
      <c r="B294" t="s">
        <v>3222</v>
      </c>
      <c r="C294" t="s">
        <v>3213</v>
      </c>
      <c r="D294" t="s">
        <v>3200</v>
      </c>
      <c r="E294" t="str">
        <f t="shared" si="17"/>
        <v>Taylor</v>
      </c>
      <c r="F294" t="str">
        <f t="shared" si="18"/>
        <v>Cory</v>
      </c>
      <c r="G294" t="s">
        <v>3214</v>
      </c>
      <c r="H294">
        <v>2015</v>
      </c>
      <c r="I294">
        <v>12</v>
      </c>
      <c r="J294">
        <v>91</v>
      </c>
      <c r="K294">
        <v>72</v>
      </c>
      <c r="L294">
        <v>1</v>
      </c>
      <c r="M294">
        <v>0</v>
      </c>
      <c r="N294">
        <v>0</v>
      </c>
      <c r="O294" t="str">
        <f t="shared" si="19"/>
        <v>W 91-72 vs. Cory</v>
      </c>
    </row>
    <row r="295" spans="1:15" x14ac:dyDescent="0.25">
      <c r="A295">
        <f t="shared" si="20"/>
        <v>294</v>
      </c>
      <c r="B295" t="s">
        <v>3212</v>
      </c>
      <c r="C295" t="s">
        <v>3215</v>
      </c>
      <c r="D295" t="s">
        <v>3198</v>
      </c>
      <c r="E295" t="str">
        <f t="shared" si="17"/>
        <v>Ty</v>
      </c>
      <c r="F295" t="str">
        <f t="shared" si="18"/>
        <v>Devon</v>
      </c>
      <c r="G295" t="s">
        <v>3199</v>
      </c>
      <c r="H295">
        <v>2017</v>
      </c>
      <c r="I295">
        <v>6</v>
      </c>
      <c r="J295">
        <v>91</v>
      </c>
      <c r="K295">
        <v>72</v>
      </c>
      <c r="L295">
        <v>1</v>
      </c>
      <c r="M295">
        <v>0</v>
      </c>
      <c r="N295">
        <v>0</v>
      </c>
      <c r="O295" t="str">
        <f t="shared" si="19"/>
        <v>W 91-72 vs. Devon</v>
      </c>
    </row>
    <row r="296" spans="1:15" x14ac:dyDescent="0.25">
      <c r="A296">
        <f t="shared" si="20"/>
        <v>295</v>
      </c>
      <c r="B296" t="s">
        <v>3209</v>
      </c>
      <c r="C296" t="s">
        <v>3215</v>
      </c>
      <c r="D296" t="s">
        <v>3227</v>
      </c>
      <c r="E296" t="str">
        <f t="shared" si="17"/>
        <v>Scott</v>
      </c>
      <c r="F296" t="str">
        <f t="shared" si="18"/>
        <v>Devon</v>
      </c>
      <c r="G296" t="s">
        <v>3199</v>
      </c>
      <c r="H296">
        <v>2015</v>
      </c>
      <c r="I296">
        <v>2</v>
      </c>
      <c r="J296">
        <v>91</v>
      </c>
      <c r="K296">
        <v>70</v>
      </c>
      <c r="L296">
        <v>1</v>
      </c>
      <c r="M296">
        <v>0</v>
      </c>
      <c r="N296">
        <v>0</v>
      </c>
      <c r="O296" t="str">
        <f t="shared" si="19"/>
        <v>W 91-70 vs. Devon</v>
      </c>
    </row>
    <row r="297" spans="1:15" ht="15" customHeight="1" x14ac:dyDescent="0.25">
      <c r="A297">
        <f t="shared" si="20"/>
        <v>296</v>
      </c>
      <c r="B297" t="s">
        <v>3215</v>
      </c>
      <c r="C297" t="s">
        <v>3216</v>
      </c>
      <c r="D297" t="s">
        <v>3199</v>
      </c>
      <c r="E297" t="str">
        <f t="shared" si="17"/>
        <v>Devon</v>
      </c>
      <c r="F297" t="str">
        <f t="shared" si="18"/>
        <v>Seth</v>
      </c>
      <c r="G297" t="s">
        <v>3217</v>
      </c>
      <c r="H297">
        <v>2014</v>
      </c>
      <c r="I297">
        <v>8</v>
      </c>
      <c r="J297">
        <v>92</v>
      </c>
      <c r="K297">
        <v>138</v>
      </c>
      <c r="L297">
        <v>0</v>
      </c>
      <c r="M297">
        <v>1</v>
      </c>
      <c r="N297">
        <v>0</v>
      </c>
      <c r="O297" t="str">
        <f t="shared" si="19"/>
        <v>L 92-138 vs. Seth</v>
      </c>
    </row>
    <row r="298" spans="1:15" ht="15" customHeight="1" x14ac:dyDescent="0.25">
      <c r="A298">
        <f t="shared" si="20"/>
        <v>297</v>
      </c>
      <c r="B298" t="s">
        <v>3209</v>
      </c>
      <c r="C298" t="s">
        <v>3213</v>
      </c>
      <c r="D298" t="s">
        <v>3227</v>
      </c>
      <c r="E298" t="str">
        <f t="shared" si="17"/>
        <v>Scott</v>
      </c>
      <c r="F298" t="str">
        <f t="shared" si="18"/>
        <v>Cory</v>
      </c>
      <c r="G298" t="s">
        <v>3214</v>
      </c>
      <c r="H298">
        <v>2015</v>
      </c>
      <c r="I298">
        <v>13</v>
      </c>
      <c r="J298">
        <v>92</v>
      </c>
      <c r="K298">
        <v>101</v>
      </c>
      <c r="L298">
        <v>0</v>
      </c>
      <c r="M298">
        <v>1</v>
      </c>
      <c r="N298">
        <v>0</v>
      </c>
      <c r="O298" t="str">
        <f t="shared" si="19"/>
        <v>L 92-101 vs. Cory</v>
      </c>
    </row>
    <row r="299" spans="1:15" ht="15" customHeight="1" x14ac:dyDescent="0.25">
      <c r="A299">
        <f t="shared" si="20"/>
        <v>298</v>
      </c>
      <c r="B299" t="s">
        <v>3208</v>
      </c>
      <c r="C299" t="s">
        <v>3216</v>
      </c>
      <c r="D299" t="s">
        <v>3225</v>
      </c>
      <c r="E299" t="str">
        <f t="shared" si="17"/>
        <v>Chad</v>
      </c>
      <c r="F299" t="str">
        <f t="shared" si="18"/>
        <v>Seth</v>
      </c>
      <c r="G299" t="s">
        <v>3217</v>
      </c>
      <c r="H299">
        <v>2017</v>
      </c>
      <c r="I299">
        <v>12</v>
      </c>
      <c r="J299">
        <v>92</v>
      </c>
      <c r="K299">
        <v>95</v>
      </c>
      <c r="L299">
        <v>0</v>
      </c>
      <c r="M299">
        <v>1</v>
      </c>
      <c r="N299">
        <v>0</v>
      </c>
      <c r="O299" t="str">
        <f t="shared" si="19"/>
        <v>L 92-95 vs. Seth</v>
      </c>
    </row>
    <row r="300" spans="1:15" ht="15" customHeight="1" x14ac:dyDescent="0.25">
      <c r="A300">
        <f t="shared" si="20"/>
        <v>299</v>
      </c>
      <c r="B300" t="s">
        <v>3209</v>
      </c>
      <c r="C300" t="s">
        <v>3222</v>
      </c>
      <c r="D300" t="s">
        <v>3227</v>
      </c>
      <c r="E300" t="str">
        <f t="shared" si="17"/>
        <v>Scott</v>
      </c>
      <c r="F300" t="str">
        <f t="shared" si="18"/>
        <v>Taylor</v>
      </c>
      <c r="G300" t="s">
        <v>3200</v>
      </c>
      <c r="H300">
        <v>2016</v>
      </c>
      <c r="I300">
        <v>9</v>
      </c>
      <c r="J300">
        <v>92</v>
      </c>
      <c r="K300">
        <v>94</v>
      </c>
      <c r="L300">
        <v>0</v>
      </c>
      <c r="M300">
        <v>1</v>
      </c>
      <c r="N300">
        <v>0</v>
      </c>
      <c r="O300" t="str">
        <f t="shared" si="19"/>
        <v>L 92-94 vs. Taylor</v>
      </c>
    </row>
    <row r="301" spans="1:15" ht="15" customHeight="1" x14ac:dyDescent="0.25">
      <c r="A301">
        <f t="shared" si="20"/>
        <v>300</v>
      </c>
      <c r="B301" t="s">
        <v>3220</v>
      </c>
      <c r="C301" t="s">
        <v>3208</v>
      </c>
      <c r="D301" t="s">
        <v>3224</v>
      </c>
      <c r="E301" t="str">
        <f t="shared" si="17"/>
        <v>Carter</v>
      </c>
      <c r="F301" t="str">
        <f t="shared" si="18"/>
        <v>Chad</v>
      </c>
      <c r="G301" t="s">
        <v>3225</v>
      </c>
      <c r="H301">
        <v>2014</v>
      </c>
      <c r="I301">
        <v>7</v>
      </c>
      <c r="J301">
        <v>92</v>
      </c>
      <c r="K301">
        <v>89</v>
      </c>
      <c r="L301">
        <v>1</v>
      </c>
      <c r="M301">
        <v>0</v>
      </c>
      <c r="N301">
        <v>0</v>
      </c>
      <c r="O301" t="str">
        <f t="shared" si="19"/>
        <v>W 92-89 vs. Chad</v>
      </c>
    </row>
    <row r="302" spans="1:15" ht="15" customHeight="1" x14ac:dyDescent="0.25">
      <c r="A302">
        <f t="shared" si="20"/>
        <v>301</v>
      </c>
      <c r="B302" t="s">
        <v>3220</v>
      </c>
      <c r="C302" t="s">
        <v>3218</v>
      </c>
      <c r="D302" t="s">
        <v>3226</v>
      </c>
      <c r="E302" t="str">
        <f t="shared" si="17"/>
        <v>Perry</v>
      </c>
      <c r="F302" t="str">
        <f t="shared" si="18"/>
        <v>Matthew</v>
      </c>
      <c r="G302" t="s">
        <v>3219</v>
      </c>
      <c r="H302">
        <v>2016</v>
      </c>
      <c r="I302">
        <v>6</v>
      </c>
      <c r="J302">
        <v>92</v>
      </c>
      <c r="K302">
        <v>87</v>
      </c>
      <c r="L302">
        <v>1</v>
      </c>
      <c r="M302">
        <v>0</v>
      </c>
      <c r="N302">
        <v>0</v>
      </c>
      <c r="O302" t="str">
        <f t="shared" si="19"/>
        <v>W 92-87 vs. Matthew</v>
      </c>
    </row>
    <row r="303" spans="1:15" ht="15" customHeight="1" x14ac:dyDescent="0.25">
      <c r="A303">
        <f t="shared" si="20"/>
        <v>302</v>
      </c>
      <c r="B303" t="s">
        <v>3218</v>
      </c>
      <c r="C303" t="s">
        <v>3222</v>
      </c>
      <c r="D303" t="s">
        <v>3219</v>
      </c>
      <c r="E303" t="str">
        <f t="shared" si="17"/>
        <v>Matthew</v>
      </c>
      <c r="F303" t="str">
        <f t="shared" si="18"/>
        <v>Jason</v>
      </c>
      <c r="G303" t="s">
        <v>3228</v>
      </c>
      <c r="H303">
        <v>2017</v>
      </c>
      <c r="I303">
        <v>4</v>
      </c>
      <c r="J303">
        <v>92</v>
      </c>
      <c r="K303">
        <v>69</v>
      </c>
      <c r="L303">
        <v>1</v>
      </c>
      <c r="M303">
        <v>0</v>
      </c>
      <c r="N303">
        <v>0</v>
      </c>
      <c r="O303" t="str">
        <f t="shared" si="19"/>
        <v>W 92-69 vs. Jason</v>
      </c>
    </row>
    <row r="304" spans="1:15" ht="15" customHeight="1" x14ac:dyDescent="0.25">
      <c r="A304">
        <f t="shared" si="20"/>
        <v>303</v>
      </c>
      <c r="B304" t="s">
        <v>3215</v>
      </c>
      <c r="C304" t="s">
        <v>3211</v>
      </c>
      <c r="D304" t="s">
        <v>3199</v>
      </c>
      <c r="E304" t="str">
        <f t="shared" si="17"/>
        <v>Devon</v>
      </c>
      <c r="F304" t="str">
        <f t="shared" si="18"/>
        <v>Anthony</v>
      </c>
      <c r="G304" t="s">
        <v>3201</v>
      </c>
      <c r="H304">
        <v>2015</v>
      </c>
      <c r="I304">
        <v>7</v>
      </c>
      <c r="J304">
        <v>93</v>
      </c>
      <c r="K304">
        <v>136</v>
      </c>
      <c r="L304">
        <v>0</v>
      </c>
      <c r="M304">
        <v>1</v>
      </c>
      <c r="N304">
        <v>0</v>
      </c>
      <c r="O304" t="str">
        <f t="shared" si="19"/>
        <v>L 93-136 vs. Anthony</v>
      </c>
    </row>
    <row r="305" spans="1:15" ht="15" customHeight="1" x14ac:dyDescent="0.25">
      <c r="A305">
        <f t="shared" si="20"/>
        <v>304</v>
      </c>
      <c r="B305" t="s">
        <v>3212</v>
      </c>
      <c r="C305" t="s">
        <v>3215</v>
      </c>
      <c r="D305" t="s">
        <v>3198</v>
      </c>
      <c r="E305" t="str">
        <f t="shared" si="17"/>
        <v>Ty</v>
      </c>
      <c r="F305" t="str">
        <f t="shared" si="18"/>
        <v>Devon</v>
      </c>
      <c r="G305" t="s">
        <v>3199</v>
      </c>
      <c r="H305">
        <v>2013</v>
      </c>
      <c r="I305">
        <v>11</v>
      </c>
      <c r="J305">
        <v>93</v>
      </c>
      <c r="K305">
        <v>118</v>
      </c>
      <c r="L305">
        <v>0</v>
      </c>
      <c r="M305">
        <v>1</v>
      </c>
      <c r="N305">
        <v>0</v>
      </c>
      <c r="O305" t="str">
        <f t="shared" si="19"/>
        <v>L 93-118 vs. Devon</v>
      </c>
    </row>
    <row r="306" spans="1:15" ht="15" customHeight="1" x14ac:dyDescent="0.25">
      <c r="A306">
        <f t="shared" si="20"/>
        <v>305</v>
      </c>
      <c r="B306" t="s">
        <v>3211</v>
      </c>
      <c r="C306" t="s">
        <v>3215</v>
      </c>
      <c r="D306" t="s">
        <v>3201</v>
      </c>
      <c r="E306" t="str">
        <f t="shared" si="17"/>
        <v>Anthony</v>
      </c>
      <c r="F306" t="str">
        <f t="shared" si="18"/>
        <v>Devon</v>
      </c>
      <c r="G306" t="s">
        <v>3199</v>
      </c>
      <c r="H306">
        <v>2017</v>
      </c>
      <c r="I306">
        <v>7</v>
      </c>
      <c r="J306">
        <v>93</v>
      </c>
      <c r="K306">
        <v>117</v>
      </c>
      <c r="L306">
        <v>0</v>
      </c>
      <c r="M306">
        <v>1</v>
      </c>
      <c r="N306">
        <v>0</v>
      </c>
      <c r="O306" t="str">
        <f t="shared" si="19"/>
        <v>L 93-117 vs. Devon</v>
      </c>
    </row>
    <row r="307" spans="1:15" ht="15" customHeight="1" x14ac:dyDescent="0.25">
      <c r="A307">
        <f t="shared" si="20"/>
        <v>306</v>
      </c>
      <c r="B307" t="s">
        <v>3213</v>
      </c>
      <c r="C307" t="s">
        <v>3222</v>
      </c>
      <c r="D307" t="s">
        <v>3214</v>
      </c>
      <c r="E307" t="str">
        <f t="shared" si="17"/>
        <v>Cory</v>
      </c>
      <c r="F307" t="str">
        <f t="shared" si="18"/>
        <v>Austin</v>
      </c>
      <c r="G307" t="s">
        <v>3223</v>
      </c>
      <c r="H307">
        <v>2013</v>
      </c>
      <c r="I307">
        <v>2</v>
      </c>
      <c r="J307">
        <v>93</v>
      </c>
      <c r="K307">
        <v>98</v>
      </c>
      <c r="L307">
        <v>0</v>
      </c>
      <c r="M307">
        <v>1</v>
      </c>
      <c r="N307">
        <v>0</v>
      </c>
      <c r="O307" t="str">
        <f t="shared" si="19"/>
        <v>L 93-98 vs. Austin</v>
      </c>
    </row>
    <row r="308" spans="1:15" ht="15" customHeight="1" x14ac:dyDescent="0.25">
      <c r="A308">
        <f t="shared" si="20"/>
        <v>307</v>
      </c>
      <c r="B308" t="s">
        <v>3216</v>
      </c>
      <c r="C308" t="s">
        <v>3218</v>
      </c>
      <c r="D308" t="s">
        <v>3217</v>
      </c>
      <c r="E308" t="str">
        <f t="shared" si="17"/>
        <v>Seth</v>
      </c>
      <c r="F308" t="str">
        <f t="shared" si="18"/>
        <v>Matthew</v>
      </c>
      <c r="G308" t="s">
        <v>3219</v>
      </c>
      <c r="H308">
        <v>2016</v>
      </c>
      <c r="I308">
        <v>10</v>
      </c>
      <c r="J308">
        <v>93</v>
      </c>
      <c r="K308">
        <v>98</v>
      </c>
      <c r="L308">
        <v>0</v>
      </c>
      <c r="M308">
        <v>1</v>
      </c>
      <c r="N308">
        <v>0</v>
      </c>
      <c r="O308" t="str">
        <f t="shared" si="19"/>
        <v>L 93-98 vs. Matthew</v>
      </c>
    </row>
    <row r="309" spans="1:15" ht="15" customHeight="1" x14ac:dyDescent="0.25">
      <c r="A309">
        <f t="shared" si="20"/>
        <v>308</v>
      </c>
      <c r="B309" t="s">
        <v>3209</v>
      </c>
      <c r="C309" t="s">
        <v>3211</v>
      </c>
      <c r="D309" t="s">
        <v>3227</v>
      </c>
      <c r="E309" t="str">
        <f t="shared" si="17"/>
        <v>Scott</v>
      </c>
      <c r="F309" t="str">
        <f t="shared" si="18"/>
        <v>Anthony</v>
      </c>
      <c r="G309" t="s">
        <v>3201</v>
      </c>
      <c r="H309">
        <v>2014</v>
      </c>
      <c r="I309">
        <v>1</v>
      </c>
      <c r="J309">
        <v>93</v>
      </c>
      <c r="K309">
        <v>86</v>
      </c>
      <c r="L309">
        <v>1</v>
      </c>
      <c r="M309">
        <v>0</v>
      </c>
      <c r="N309">
        <v>0</v>
      </c>
      <c r="O309" t="str">
        <f t="shared" si="19"/>
        <v>W 93-86 vs. Anthony</v>
      </c>
    </row>
    <row r="310" spans="1:15" ht="15" customHeight="1" x14ac:dyDescent="0.25">
      <c r="A310">
        <f t="shared" si="20"/>
        <v>309</v>
      </c>
      <c r="B310" t="s">
        <v>3208</v>
      </c>
      <c r="C310" t="s">
        <v>3212</v>
      </c>
      <c r="D310" t="s">
        <v>3225</v>
      </c>
      <c r="E310" t="str">
        <f t="shared" si="17"/>
        <v>Chad</v>
      </c>
      <c r="F310" t="str">
        <f t="shared" si="18"/>
        <v>Ty</v>
      </c>
      <c r="G310" t="s">
        <v>3198</v>
      </c>
      <c r="H310">
        <v>2014</v>
      </c>
      <c r="I310">
        <v>5</v>
      </c>
      <c r="J310">
        <v>93</v>
      </c>
      <c r="K310">
        <v>83</v>
      </c>
      <c r="L310">
        <v>1</v>
      </c>
      <c r="M310">
        <v>0</v>
      </c>
      <c r="N310">
        <v>0</v>
      </c>
      <c r="O310" t="str">
        <f t="shared" si="19"/>
        <v>W 93-83 vs. Ty</v>
      </c>
    </row>
    <row r="311" spans="1:15" ht="15" customHeight="1" x14ac:dyDescent="0.25">
      <c r="A311">
        <f t="shared" si="20"/>
        <v>310</v>
      </c>
      <c r="B311" t="s">
        <v>3211</v>
      </c>
      <c r="C311" t="s">
        <v>3215</v>
      </c>
      <c r="D311" t="s">
        <v>3201</v>
      </c>
      <c r="E311" t="str">
        <f t="shared" si="17"/>
        <v>Anthony</v>
      </c>
      <c r="F311" t="str">
        <f t="shared" si="18"/>
        <v>Devon</v>
      </c>
      <c r="G311" t="s">
        <v>3199</v>
      </c>
      <c r="H311">
        <v>2016</v>
      </c>
      <c r="I311">
        <v>7</v>
      </c>
      <c r="J311">
        <v>93</v>
      </c>
      <c r="K311">
        <v>75</v>
      </c>
      <c r="L311">
        <v>1</v>
      </c>
      <c r="M311">
        <v>0</v>
      </c>
      <c r="N311">
        <v>0</v>
      </c>
      <c r="O311" t="str">
        <f t="shared" si="19"/>
        <v>W 93-75 vs. Devon</v>
      </c>
    </row>
    <row r="312" spans="1:15" ht="15" customHeight="1" x14ac:dyDescent="0.25">
      <c r="A312">
        <f t="shared" si="20"/>
        <v>311</v>
      </c>
      <c r="B312" t="s">
        <v>3222</v>
      </c>
      <c r="C312" t="s">
        <v>3209</v>
      </c>
      <c r="D312" t="s">
        <v>3228</v>
      </c>
      <c r="E312" t="str">
        <f t="shared" si="17"/>
        <v>Jason</v>
      </c>
      <c r="F312" t="str">
        <f t="shared" si="18"/>
        <v>Scott</v>
      </c>
      <c r="G312" t="s">
        <v>3227</v>
      </c>
      <c r="H312">
        <v>2017</v>
      </c>
      <c r="I312">
        <v>5</v>
      </c>
      <c r="J312">
        <v>93</v>
      </c>
      <c r="K312">
        <v>69</v>
      </c>
      <c r="L312">
        <v>1</v>
      </c>
      <c r="M312">
        <v>0</v>
      </c>
      <c r="N312">
        <v>0</v>
      </c>
      <c r="O312" t="str">
        <f t="shared" si="19"/>
        <v>W 93-69 vs. Scott</v>
      </c>
    </row>
    <row r="313" spans="1:15" ht="15" customHeight="1" x14ac:dyDescent="0.25">
      <c r="A313">
        <f t="shared" si="20"/>
        <v>312</v>
      </c>
      <c r="B313" t="s">
        <v>3218</v>
      </c>
      <c r="C313" t="s">
        <v>3212</v>
      </c>
      <c r="D313" t="s">
        <v>3219</v>
      </c>
      <c r="E313" t="str">
        <f t="shared" si="17"/>
        <v>Matthew</v>
      </c>
      <c r="F313" t="str">
        <f t="shared" si="18"/>
        <v>Ty</v>
      </c>
      <c r="G313" t="s">
        <v>3198</v>
      </c>
      <c r="H313">
        <v>2015</v>
      </c>
      <c r="I313">
        <v>3</v>
      </c>
      <c r="J313">
        <v>94</v>
      </c>
      <c r="K313">
        <v>137</v>
      </c>
      <c r="L313">
        <v>0</v>
      </c>
      <c r="M313">
        <v>1</v>
      </c>
      <c r="N313">
        <v>0</v>
      </c>
      <c r="O313" t="str">
        <f t="shared" si="19"/>
        <v>L 94-137 vs. Ty</v>
      </c>
    </row>
    <row r="314" spans="1:15" ht="15" customHeight="1" x14ac:dyDescent="0.25">
      <c r="A314">
        <f t="shared" si="20"/>
        <v>313</v>
      </c>
      <c r="B314" t="s">
        <v>3212</v>
      </c>
      <c r="C314" t="s">
        <v>3211</v>
      </c>
      <c r="D314" t="s">
        <v>3198</v>
      </c>
      <c r="E314" t="str">
        <f t="shared" si="17"/>
        <v>Ty</v>
      </c>
      <c r="F314" t="str">
        <f t="shared" si="18"/>
        <v>Anthony</v>
      </c>
      <c r="G314" t="s">
        <v>3201</v>
      </c>
      <c r="H314">
        <v>2015</v>
      </c>
      <c r="I314">
        <v>12</v>
      </c>
      <c r="J314">
        <v>94</v>
      </c>
      <c r="K314">
        <v>135</v>
      </c>
      <c r="L314">
        <v>0</v>
      </c>
      <c r="M314">
        <v>1</v>
      </c>
      <c r="N314">
        <v>0</v>
      </c>
      <c r="O314" t="str">
        <f t="shared" si="19"/>
        <v>L 94-135 vs. Anthony</v>
      </c>
    </row>
    <row r="315" spans="1:15" x14ac:dyDescent="0.25">
      <c r="A315">
        <f t="shared" si="20"/>
        <v>314</v>
      </c>
      <c r="B315" t="s">
        <v>3211</v>
      </c>
      <c r="C315" t="s">
        <v>3213</v>
      </c>
      <c r="D315" t="s">
        <v>3201</v>
      </c>
      <c r="E315" t="str">
        <f t="shared" si="17"/>
        <v>Anthony</v>
      </c>
      <c r="F315" t="str">
        <f t="shared" si="18"/>
        <v>Cory</v>
      </c>
      <c r="G315" t="s">
        <v>3214</v>
      </c>
      <c r="H315">
        <v>2013</v>
      </c>
      <c r="I315">
        <v>9</v>
      </c>
      <c r="J315">
        <v>94</v>
      </c>
      <c r="K315">
        <v>118</v>
      </c>
      <c r="L315">
        <v>0</v>
      </c>
      <c r="M315">
        <v>1</v>
      </c>
      <c r="N315">
        <v>0</v>
      </c>
      <c r="O315" t="str">
        <f t="shared" si="19"/>
        <v>L 94-118 vs. Cory</v>
      </c>
    </row>
    <row r="316" spans="1:15" ht="15" customHeight="1" x14ac:dyDescent="0.25">
      <c r="A316">
        <f t="shared" si="20"/>
        <v>315</v>
      </c>
      <c r="B316" t="s">
        <v>3212</v>
      </c>
      <c r="C316" t="s">
        <v>3222</v>
      </c>
      <c r="D316" t="s">
        <v>3198</v>
      </c>
      <c r="E316" t="str">
        <f t="shared" si="17"/>
        <v>Ty</v>
      </c>
      <c r="F316" t="str">
        <f t="shared" si="18"/>
        <v>Taylor</v>
      </c>
      <c r="G316" t="s">
        <v>3200</v>
      </c>
      <c r="H316">
        <v>2014</v>
      </c>
      <c r="I316">
        <v>7</v>
      </c>
      <c r="J316">
        <v>94</v>
      </c>
      <c r="K316">
        <v>116</v>
      </c>
      <c r="L316">
        <v>0</v>
      </c>
      <c r="M316">
        <v>1</v>
      </c>
      <c r="N316">
        <v>0</v>
      </c>
      <c r="O316" t="str">
        <f t="shared" si="19"/>
        <v>L 94-116 vs. Taylor</v>
      </c>
    </row>
    <row r="317" spans="1:15" ht="15" customHeight="1" x14ac:dyDescent="0.25">
      <c r="A317">
        <f t="shared" si="20"/>
        <v>316</v>
      </c>
      <c r="B317" t="s">
        <v>3216</v>
      </c>
      <c r="C317" t="s">
        <v>3208</v>
      </c>
      <c r="D317" t="s">
        <v>3217</v>
      </c>
      <c r="E317" t="str">
        <f t="shared" si="17"/>
        <v>Seth</v>
      </c>
      <c r="F317" t="str">
        <f t="shared" si="18"/>
        <v>Spencer</v>
      </c>
      <c r="G317" t="s">
        <v>3210</v>
      </c>
      <c r="H317">
        <v>2013</v>
      </c>
      <c r="I317">
        <v>3</v>
      </c>
      <c r="J317">
        <v>94</v>
      </c>
      <c r="K317">
        <v>105</v>
      </c>
      <c r="L317">
        <v>0</v>
      </c>
      <c r="M317">
        <v>1</v>
      </c>
      <c r="N317">
        <v>0</v>
      </c>
      <c r="O317" t="str">
        <f t="shared" si="19"/>
        <v>L 94-105 vs. Spencer</v>
      </c>
    </row>
    <row r="318" spans="1:15" ht="15" customHeight="1" x14ac:dyDescent="0.25">
      <c r="A318">
        <f t="shared" si="20"/>
        <v>317</v>
      </c>
      <c r="B318" t="s">
        <v>3220</v>
      </c>
      <c r="C318" t="s">
        <v>3218</v>
      </c>
      <c r="D318" t="s">
        <v>3221</v>
      </c>
      <c r="E318" t="str">
        <f t="shared" si="17"/>
        <v>Lucas</v>
      </c>
      <c r="F318" t="str">
        <f t="shared" si="18"/>
        <v>Matthew</v>
      </c>
      <c r="G318" t="s">
        <v>3219</v>
      </c>
      <c r="H318">
        <v>2013</v>
      </c>
      <c r="I318">
        <v>1</v>
      </c>
      <c r="J318">
        <v>94</v>
      </c>
      <c r="K318">
        <v>103</v>
      </c>
      <c r="L318">
        <v>0</v>
      </c>
      <c r="M318">
        <v>1</v>
      </c>
      <c r="N318">
        <v>0</v>
      </c>
      <c r="O318" t="str">
        <f t="shared" si="19"/>
        <v>L 94-103 vs. Matthew</v>
      </c>
    </row>
    <row r="319" spans="1:15" ht="15" customHeight="1" x14ac:dyDescent="0.25">
      <c r="A319">
        <f t="shared" si="20"/>
        <v>318</v>
      </c>
      <c r="B319" t="s">
        <v>3222</v>
      </c>
      <c r="C319" t="s">
        <v>3209</v>
      </c>
      <c r="D319" t="s">
        <v>3200</v>
      </c>
      <c r="E319" t="str">
        <f t="shared" si="17"/>
        <v>Taylor</v>
      </c>
      <c r="F319" t="str">
        <f t="shared" si="18"/>
        <v>Scott</v>
      </c>
      <c r="G319" t="s">
        <v>3227</v>
      </c>
      <c r="H319">
        <v>2016</v>
      </c>
      <c r="I319">
        <v>9</v>
      </c>
      <c r="J319">
        <v>94</v>
      </c>
      <c r="K319">
        <v>92</v>
      </c>
      <c r="L319">
        <v>1</v>
      </c>
      <c r="M319">
        <v>0</v>
      </c>
      <c r="N319">
        <v>0</v>
      </c>
      <c r="O319" t="str">
        <f t="shared" si="19"/>
        <v>W 94-92 vs. Scott</v>
      </c>
    </row>
    <row r="320" spans="1:15" ht="15" customHeight="1" x14ac:dyDescent="0.25">
      <c r="A320">
        <f t="shared" si="20"/>
        <v>319</v>
      </c>
      <c r="B320" t="s">
        <v>3209</v>
      </c>
      <c r="C320" t="s">
        <v>3211</v>
      </c>
      <c r="D320" t="s">
        <v>3227</v>
      </c>
      <c r="E320" t="str">
        <f t="shared" si="17"/>
        <v>Scott</v>
      </c>
      <c r="F320" t="str">
        <f t="shared" si="18"/>
        <v>Anthony</v>
      </c>
      <c r="G320" t="s">
        <v>3201</v>
      </c>
      <c r="H320">
        <v>2015</v>
      </c>
      <c r="I320">
        <v>1</v>
      </c>
      <c r="J320">
        <v>94</v>
      </c>
      <c r="K320">
        <v>89</v>
      </c>
      <c r="L320">
        <v>1</v>
      </c>
      <c r="M320">
        <v>0</v>
      </c>
      <c r="N320">
        <v>0</v>
      </c>
      <c r="O320" t="str">
        <f t="shared" si="19"/>
        <v>W 94-89 vs. Anthony</v>
      </c>
    </row>
    <row r="321" spans="1:15" ht="15" customHeight="1" x14ac:dyDescent="0.25">
      <c r="A321">
        <f t="shared" si="20"/>
        <v>320</v>
      </c>
      <c r="B321" t="s">
        <v>3220</v>
      </c>
      <c r="C321" t="s">
        <v>3222</v>
      </c>
      <c r="D321" t="s">
        <v>3224</v>
      </c>
      <c r="E321" t="str">
        <f t="shared" si="17"/>
        <v>Carter</v>
      </c>
      <c r="F321" t="str">
        <f t="shared" si="18"/>
        <v>Taylor</v>
      </c>
      <c r="G321" t="s">
        <v>3200</v>
      </c>
      <c r="H321">
        <v>2014</v>
      </c>
      <c r="I321">
        <v>2</v>
      </c>
      <c r="J321">
        <v>94</v>
      </c>
      <c r="K321">
        <v>86</v>
      </c>
      <c r="L321">
        <v>1</v>
      </c>
      <c r="M321">
        <v>0</v>
      </c>
      <c r="N321">
        <v>0</v>
      </c>
      <c r="O321" t="str">
        <f t="shared" si="19"/>
        <v>W 94-86 vs. Taylor</v>
      </c>
    </row>
    <row r="322" spans="1:15" ht="15" customHeight="1" x14ac:dyDescent="0.25">
      <c r="A322">
        <f t="shared" si="20"/>
        <v>321</v>
      </c>
      <c r="B322" t="s">
        <v>3211</v>
      </c>
      <c r="C322" t="s">
        <v>3209</v>
      </c>
      <c r="D322" t="s">
        <v>3201</v>
      </c>
      <c r="E322" t="str">
        <f t="shared" ref="E322:E385" si="21">LEFT(D322,SEARCH(" ",D322)-1)</f>
        <v>Anthony</v>
      </c>
      <c r="F322" t="str">
        <f t="shared" ref="F322:F385" si="22">LEFT(G322,SEARCH(" ",G322)-1)</f>
        <v>Scott</v>
      </c>
      <c r="G322" t="s">
        <v>3227</v>
      </c>
      <c r="H322">
        <v>2013</v>
      </c>
      <c r="I322">
        <v>2</v>
      </c>
      <c r="J322">
        <v>94</v>
      </c>
      <c r="K322">
        <v>84</v>
      </c>
      <c r="L322">
        <v>1</v>
      </c>
      <c r="M322">
        <v>0</v>
      </c>
      <c r="N322">
        <v>0</v>
      </c>
      <c r="O322" t="str">
        <f t="shared" ref="O322:O385" si="23">IF(L322=1,"W",IF(M322=1,"L","T"))&amp;" "&amp;J322&amp;"-"&amp;K322&amp;" vs. "&amp;F322</f>
        <v>W 94-84 vs. Scott</v>
      </c>
    </row>
    <row r="323" spans="1:15" ht="15" customHeight="1" x14ac:dyDescent="0.25">
      <c r="A323">
        <f t="shared" ref="A323:A386" si="24">A322+1</f>
        <v>322</v>
      </c>
      <c r="B323" t="s">
        <v>3218</v>
      </c>
      <c r="C323" t="s">
        <v>3216</v>
      </c>
      <c r="D323" t="s">
        <v>3219</v>
      </c>
      <c r="E323" t="str">
        <f t="shared" si="21"/>
        <v>Matthew</v>
      </c>
      <c r="F323" t="str">
        <f t="shared" si="22"/>
        <v>Seth</v>
      </c>
      <c r="G323" t="s">
        <v>3217</v>
      </c>
      <c r="H323">
        <v>2014</v>
      </c>
      <c r="I323">
        <v>10</v>
      </c>
      <c r="J323">
        <v>94</v>
      </c>
      <c r="K323">
        <v>82</v>
      </c>
      <c r="L323">
        <v>1</v>
      </c>
      <c r="M323">
        <v>0</v>
      </c>
      <c r="N323">
        <v>0</v>
      </c>
      <c r="O323" t="str">
        <f t="shared" si="23"/>
        <v>W 94-82 vs. Seth</v>
      </c>
    </row>
    <row r="324" spans="1:15" ht="15" customHeight="1" x14ac:dyDescent="0.25">
      <c r="A324">
        <f t="shared" si="24"/>
        <v>323</v>
      </c>
      <c r="B324" t="s">
        <v>3220</v>
      </c>
      <c r="C324" t="s">
        <v>3215</v>
      </c>
      <c r="D324" t="s">
        <v>3226</v>
      </c>
      <c r="E324" t="str">
        <f t="shared" si="21"/>
        <v>Perry</v>
      </c>
      <c r="F324" t="str">
        <f t="shared" si="22"/>
        <v>Devon</v>
      </c>
      <c r="G324" t="s">
        <v>3199</v>
      </c>
      <c r="H324">
        <v>2016</v>
      </c>
      <c r="I324">
        <v>4</v>
      </c>
      <c r="J324">
        <v>94</v>
      </c>
      <c r="K324">
        <v>74</v>
      </c>
      <c r="L324">
        <v>1</v>
      </c>
      <c r="M324">
        <v>0</v>
      </c>
      <c r="N324">
        <v>0</v>
      </c>
      <c r="O324" t="str">
        <f t="shared" si="23"/>
        <v>W 94-74 vs. Devon</v>
      </c>
    </row>
    <row r="325" spans="1:15" x14ac:dyDescent="0.25">
      <c r="A325">
        <f t="shared" si="24"/>
        <v>324</v>
      </c>
      <c r="B325" t="s">
        <v>3222</v>
      </c>
      <c r="C325" t="s">
        <v>3213</v>
      </c>
      <c r="D325" t="s">
        <v>3200</v>
      </c>
      <c r="E325" t="str">
        <f t="shared" si="21"/>
        <v>Taylor</v>
      </c>
      <c r="F325" t="str">
        <f t="shared" si="22"/>
        <v>Cory</v>
      </c>
      <c r="G325" t="s">
        <v>3214</v>
      </c>
      <c r="H325">
        <v>2015</v>
      </c>
      <c r="I325">
        <v>3</v>
      </c>
      <c r="J325">
        <v>94</v>
      </c>
      <c r="K325">
        <v>72</v>
      </c>
      <c r="L325">
        <v>1</v>
      </c>
      <c r="M325">
        <v>0</v>
      </c>
      <c r="N325">
        <v>0</v>
      </c>
      <c r="O325" t="str">
        <f t="shared" si="23"/>
        <v>W 94-72 vs. Cory</v>
      </c>
    </row>
    <row r="326" spans="1:15" ht="15" customHeight="1" x14ac:dyDescent="0.25">
      <c r="A326">
        <f t="shared" si="24"/>
        <v>325</v>
      </c>
      <c r="B326" t="s">
        <v>3220</v>
      </c>
      <c r="C326" t="s">
        <v>3213</v>
      </c>
      <c r="D326" t="s">
        <v>3224</v>
      </c>
      <c r="E326" t="str">
        <f t="shared" si="21"/>
        <v>Carter</v>
      </c>
      <c r="F326" t="str">
        <f t="shared" si="22"/>
        <v>Cory</v>
      </c>
      <c r="G326" t="s">
        <v>3214</v>
      </c>
      <c r="H326">
        <v>2014</v>
      </c>
      <c r="I326">
        <v>10</v>
      </c>
      <c r="J326">
        <v>94</v>
      </c>
      <c r="K326">
        <v>66</v>
      </c>
      <c r="L326">
        <v>1</v>
      </c>
      <c r="M326">
        <v>0</v>
      </c>
      <c r="N326">
        <v>0</v>
      </c>
      <c r="O326" t="str">
        <f t="shared" si="23"/>
        <v>W 94-66 vs. Cory</v>
      </c>
    </row>
    <row r="327" spans="1:15" ht="15" customHeight="1" x14ac:dyDescent="0.25">
      <c r="A327">
        <f t="shared" si="24"/>
        <v>326</v>
      </c>
      <c r="B327" t="s">
        <v>3220</v>
      </c>
      <c r="C327" t="s">
        <v>3208</v>
      </c>
      <c r="D327" t="s">
        <v>3221</v>
      </c>
      <c r="E327" t="str">
        <f t="shared" si="21"/>
        <v>Lucas</v>
      </c>
      <c r="F327" t="str">
        <f t="shared" si="22"/>
        <v>Spencer</v>
      </c>
      <c r="G327" t="s">
        <v>3210</v>
      </c>
      <c r="H327">
        <v>2013</v>
      </c>
      <c r="I327">
        <v>10</v>
      </c>
      <c r="J327">
        <v>94</v>
      </c>
      <c r="K327">
        <v>52</v>
      </c>
      <c r="L327">
        <v>1</v>
      </c>
      <c r="M327">
        <v>0</v>
      </c>
      <c r="N327">
        <v>0</v>
      </c>
      <c r="O327" t="str">
        <f t="shared" si="23"/>
        <v>W 94-52 vs. Spencer</v>
      </c>
    </row>
    <row r="328" spans="1:15" ht="15" customHeight="1" x14ac:dyDescent="0.25">
      <c r="A328">
        <f t="shared" si="24"/>
        <v>327</v>
      </c>
      <c r="B328" t="s">
        <v>3216</v>
      </c>
      <c r="C328" t="s">
        <v>3218</v>
      </c>
      <c r="D328" t="s">
        <v>3217</v>
      </c>
      <c r="E328" t="str">
        <f t="shared" si="21"/>
        <v>Seth</v>
      </c>
      <c r="F328" t="str">
        <f t="shared" si="22"/>
        <v>Matthew</v>
      </c>
      <c r="G328" t="s">
        <v>3219</v>
      </c>
      <c r="H328">
        <v>2013</v>
      </c>
      <c r="I328">
        <v>2</v>
      </c>
      <c r="J328">
        <v>95</v>
      </c>
      <c r="K328">
        <v>135</v>
      </c>
      <c r="L328">
        <v>0</v>
      </c>
      <c r="M328">
        <v>1</v>
      </c>
      <c r="N328">
        <v>0</v>
      </c>
      <c r="O328" t="str">
        <f t="shared" si="23"/>
        <v>L 95-135 vs. Matthew</v>
      </c>
    </row>
    <row r="329" spans="1:15" ht="15" customHeight="1" x14ac:dyDescent="0.25">
      <c r="A329">
        <f t="shared" si="24"/>
        <v>328</v>
      </c>
      <c r="B329" t="s">
        <v>3212</v>
      </c>
      <c r="C329" t="s">
        <v>3208</v>
      </c>
      <c r="D329" t="s">
        <v>3198</v>
      </c>
      <c r="E329" t="str">
        <f t="shared" si="21"/>
        <v>Ty</v>
      </c>
      <c r="F329" t="str">
        <f t="shared" si="22"/>
        <v>Chad</v>
      </c>
      <c r="G329" t="s">
        <v>3225</v>
      </c>
      <c r="H329">
        <v>2015</v>
      </c>
      <c r="I329">
        <v>5</v>
      </c>
      <c r="J329">
        <v>95</v>
      </c>
      <c r="K329">
        <v>131</v>
      </c>
      <c r="L329">
        <v>0</v>
      </c>
      <c r="M329">
        <v>1</v>
      </c>
      <c r="N329">
        <v>0</v>
      </c>
      <c r="O329" t="str">
        <f t="shared" si="23"/>
        <v>L 95-131 vs. Chad</v>
      </c>
    </row>
    <row r="330" spans="1:15" ht="15" customHeight="1" x14ac:dyDescent="0.25">
      <c r="A330">
        <f t="shared" si="24"/>
        <v>329</v>
      </c>
      <c r="B330" t="s">
        <v>3222</v>
      </c>
      <c r="C330" t="s">
        <v>3215</v>
      </c>
      <c r="D330" t="s">
        <v>3223</v>
      </c>
      <c r="E330" t="str">
        <f t="shared" si="21"/>
        <v>Austin</v>
      </c>
      <c r="F330" t="str">
        <f t="shared" si="22"/>
        <v>Devon</v>
      </c>
      <c r="G330" t="s">
        <v>3199</v>
      </c>
      <c r="H330">
        <v>2013</v>
      </c>
      <c r="I330">
        <v>7</v>
      </c>
      <c r="J330">
        <v>95</v>
      </c>
      <c r="K330">
        <v>124</v>
      </c>
      <c r="L330">
        <v>0</v>
      </c>
      <c r="M330">
        <v>1</v>
      </c>
      <c r="N330">
        <v>0</v>
      </c>
      <c r="O330" t="str">
        <f t="shared" si="23"/>
        <v>L 95-124 vs. Devon</v>
      </c>
    </row>
    <row r="331" spans="1:15" ht="15" customHeight="1" x14ac:dyDescent="0.25">
      <c r="A331">
        <f t="shared" si="24"/>
        <v>330</v>
      </c>
      <c r="B331" t="s">
        <v>3220</v>
      </c>
      <c r="C331" t="s">
        <v>3218</v>
      </c>
      <c r="D331" t="s">
        <v>3226</v>
      </c>
      <c r="E331" t="str">
        <f t="shared" si="21"/>
        <v>Perry</v>
      </c>
      <c r="F331" t="str">
        <f t="shared" si="22"/>
        <v>Matthew</v>
      </c>
      <c r="G331" t="s">
        <v>3219</v>
      </c>
      <c r="H331">
        <v>2015</v>
      </c>
      <c r="I331">
        <v>6</v>
      </c>
      <c r="J331">
        <v>95</v>
      </c>
      <c r="K331">
        <v>115</v>
      </c>
      <c r="L331">
        <v>0</v>
      </c>
      <c r="M331">
        <v>1</v>
      </c>
      <c r="N331">
        <v>0</v>
      </c>
      <c r="O331" t="str">
        <f t="shared" si="23"/>
        <v>L 95-115 vs. Matthew</v>
      </c>
    </row>
    <row r="332" spans="1:15" x14ac:dyDescent="0.25">
      <c r="A332">
        <f t="shared" si="24"/>
        <v>331</v>
      </c>
      <c r="B332" t="s">
        <v>3208</v>
      </c>
      <c r="C332" t="s">
        <v>3212</v>
      </c>
      <c r="D332" t="s">
        <v>3225</v>
      </c>
      <c r="E332" t="str">
        <f t="shared" si="21"/>
        <v>Chad</v>
      </c>
      <c r="F332" t="str">
        <f t="shared" si="22"/>
        <v>Ty</v>
      </c>
      <c r="G332" t="s">
        <v>3198</v>
      </c>
      <c r="H332">
        <v>2016</v>
      </c>
      <c r="I332">
        <v>5</v>
      </c>
      <c r="J332">
        <v>95</v>
      </c>
      <c r="K332">
        <v>107</v>
      </c>
      <c r="L332">
        <v>0</v>
      </c>
      <c r="M332">
        <v>1</v>
      </c>
      <c r="N332">
        <v>0</v>
      </c>
      <c r="O332" t="str">
        <f t="shared" si="23"/>
        <v>L 95-107 vs. Ty</v>
      </c>
    </row>
    <row r="333" spans="1:15" ht="15" customHeight="1" x14ac:dyDescent="0.25">
      <c r="A333">
        <f t="shared" si="24"/>
        <v>332</v>
      </c>
      <c r="B333" t="s">
        <v>3212</v>
      </c>
      <c r="C333" t="s">
        <v>3209</v>
      </c>
      <c r="D333" t="s">
        <v>3198</v>
      </c>
      <c r="E333" t="str">
        <f t="shared" si="21"/>
        <v>Ty</v>
      </c>
      <c r="F333" t="str">
        <f t="shared" si="22"/>
        <v>Scott</v>
      </c>
      <c r="G333" t="s">
        <v>3227</v>
      </c>
      <c r="H333">
        <v>2014</v>
      </c>
      <c r="I333">
        <v>10</v>
      </c>
      <c r="J333">
        <v>95</v>
      </c>
      <c r="K333">
        <v>95</v>
      </c>
      <c r="L333">
        <v>0</v>
      </c>
      <c r="M333">
        <v>0</v>
      </c>
      <c r="N333">
        <v>1</v>
      </c>
      <c r="O333" t="str">
        <f t="shared" si="23"/>
        <v>T 95-95 vs. Scott</v>
      </c>
    </row>
    <row r="334" spans="1:15" ht="15" customHeight="1" x14ac:dyDescent="0.25">
      <c r="A334">
        <f t="shared" si="24"/>
        <v>333</v>
      </c>
      <c r="B334" t="s">
        <v>3209</v>
      </c>
      <c r="C334" t="s">
        <v>3212</v>
      </c>
      <c r="D334" t="s">
        <v>3227</v>
      </c>
      <c r="E334" t="str">
        <f t="shared" si="21"/>
        <v>Scott</v>
      </c>
      <c r="F334" t="str">
        <f t="shared" si="22"/>
        <v>Ty</v>
      </c>
      <c r="G334" t="s">
        <v>3198</v>
      </c>
      <c r="H334">
        <v>2014</v>
      </c>
      <c r="I334">
        <v>10</v>
      </c>
      <c r="J334">
        <v>95</v>
      </c>
      <c r="K334">
        <v>95</v>
      </c>
      <c r="L334">
        <v>0</v>
      </c>
      <c r="M334">
        <v>0</v>
      </c>
      <c r="N334">
        <v>1</v>
      </c>
      <c r="O334" t="str">
        <f t="shared" si="23"/>
        <v>T 95-95 vs. Ty</v>
      </c>
    </row>
    <row r="335" spans="1:15" ht="15" customHeight="1" x14ac:dyDescent="0.25">
      <c r="A335">
        <f t="shared" si="24"/>
        <v>334</v>
      </c>
      <c r="B335" t="s">
        <v>3216</v>
      </c>
      <c r="C335" t="s">
        <v>3208</v>
      </c>
      <c r="D335" t="s">
        <v>3217</v>
      </c>
      <c r="E335" t="str">
        <f t="shared" si="21"/>
        <v>Seth</v>
      </c>
      <c r="F335" t="str">
        <f t="shared" si="22"/>
        <v>Chad</v>
      </c>
      <c r="G335" t="s">
        <v>3225</v>
      </c>
      <c r="H335">
        <v>2017</v>
      </c>
      <c r="I335">
        <v>12</v>
      </c>
      <c r="J335">
        <v>95</v>
      </c>
      <c r="K335">
        <v>92</v>
      </c>
      <c r="L335">
        <v>1</v>
      </c>
      <c r="M335">
        <v>0</v>
      </c>
      <c r="N335">
        <v>0</v>
      </c>
      <c r="O335" t="str">
        <f t="shared" si="23"/>
        <v>W 95-92 vs. Chad</v>
      </c>
    </row>
    <row r="336" spans="1:15" ht="15" customHeight="1" x14ac:dyDescent="0.25">
      <c r="A336">
        <f t="shared" si="24"/>
        <v>335</v>
      </c>
      <c r="B336" t="s">
        <v>3218</v>
      </c>
      <c r="C336" t="s">
        <v>3208</v>
      </c>
      <c r="D336" t="s">
        <v>3219</v>
      </c>
      <c r="E336" t="str">
        <f t="shared" si="21"/>
        <v>Matthew</v>
      </c>
      <c r="F336" t="str">
        <f t="shared" si="22"/>
        <v>Chad</v>
      </c>
      <c r="G336" t="s">
        <v>3225</v>
      </c>
      <c r="H336">
        <v>2014</v>
      </c>
      <c r="I336">
        <v>1</v>
      </c>
      <c r="J336">
        <v>95</v>
      </c>
      <c r="K336">
        <v>87</v>
      </c>
      <c r="L336">
        <v>1</v>
      </c>
      <c r="M336">
        <v>0</v>
      </c>
      <c r="N336">
        <v>0</v>
      </c>
      <c r="O336" t="str">
        <f t="shared" si="23"/>
        <v>W 95-87 vs. Chad</v>
      </c>
    </row>
    <row r="337" spans="1:15" ht="15" customHeight="1" x14ac:dyDescent="0.25">
      <c r="A337">
        <f t="shared" si="24"/>
        <v>336</v>
      </c>
      <c r="B337" t="s">
        <v>3208</v>
      </c>
      <c r="C337" t="s">
        <v>3212</v>
      </c>
      <c r="D337" t="s">
        <v>3225</v>
      </c>
      <c r="E337" t="str">
        <f t="shared" si="21"/>
        <v>Chad</v>
      </c>
      <c r="F337" t="str">
        <f t="shared" si="22"/>
        <v>Ty</v>
      </c>
      <c r="G337" t="s">
        <v>3198</v>
      </c>
      <c r="H337">
        <v>2017</v>
      </c>
      <c r="I337">
        <v>13</v>
      </c>
      <c r="J337">
        <v>95</v>
      </c>
      <c r="K337">
        <v>80</v>
      </c>
      <c r="L337">
        <v>1</v>
      </c>
      <c r="M337">
        <v>0</v>
      </c>
      <c r="N337">
        <v>0</v>
      </c>
      <c r="O337" t="str">
        <f t="shared" si="23"/>
        <v>W 95-80 vs. Ty</v>
      </c>
    </row>
    <row r="338" spans="1:15" ht="15" customHeight="1" x14ac:dyDescent="0.25">
      <c r="A338">
        <f t="shared" si="24"/>
        <v>337</v>
      </c>
      <c r="B338" t="s">
        <v>3213</v>
      </c>
      <c r="C338" t="s">
        <v>3222</v>
      </c>
      <c r="D338" t="s">
        <v>3214</v>
      </c>
      <c r="E338" t="str">
        <f t="shared" si="21"/>
        <v>Cory</v>
      </c>
      <c r="F338" t="str">
        <f t="shared" si="22"/>
        <v>Taylor</v>
      </c>
      <c r="G338" t="s">
        <v>3200</v>
      </c>
      <c r="H338">
        <v>2016</v>
      </c>
      <c r="I338">
        <v>12</v>
      </c>
      <c r="J338">
        <v>95</v>
      </c>
      <c r="K338">
        <v>78</v>
      </c>
      <c r="L338">
        <v>1</v>
      </c>
      <c r="M338">
        <v>0</v>
      </c>
      <c r="N338">
        <v>0</v>
      </c>
      <c r="O338" t="str">
        <f t="shared" si="23"/>
        <v>W 95-78 vs. Taylor</v>
      </c>
    </row>
    <row r="339" spans="1:15" x14ac:dyDescent="0.25">
      <c r="A339">
        <f t="shared" si="24"/>
        <v>338</v>
      </c>
      <c r="B339" t="s">
        <v>3216</v>
      </c>
      <c r="C339" t="s">
        <v>3212</v>
      </c>
      <c r="D339" t="s">
        <v>3217</v>
      </c>
      <c r="E339" t="str">
        <f t="shared" si="21"/>
        <v>Seth</v>
      </c>
      <c r="F339" t="str">
        <f t="shared" si="22"/>
        <v>Ty</v>
      </c>
      <c r="G339" t="s">
        <v>3198</v>
      </c>
      <c r="H339">
        <v>2017</v>
      </c>
      <c r="I339">
        <v>9</v>
      </c>
      <c r="J339">
        <v>95</v>
      </c>
      <c r="K339">
        <v>77</v>
      </c>
      <c r="L339">
        <v>1</v>
      </c>
      <c r="M339">
        <v>0</v>
      </c>
      <c r="N339">
        <v>0</v>
      </c>
      <c r="O339" t="str">
        <f t="shared" si="23"/>
        <v>W 95-77 vs. Ty</v>
      </c>
    </row>
    <row r="340" spans="1:15" ht="15" customHeight="1" x14ac:dyDescent="0.25">
      <c r="A340">
        <f t="shared" si="24"/>
        <v>339</v>
      </c>
      <c r="B340" t="s">
        <v>3208</v>
      </c>
      <c r="C340" t="s">
        <v>3218</v>
      </c>
      <c r="D340" t="s">
        <v>3225</v>
      </c>
      <c r="E340" t="str">
        <f t="shared" si="21"/>
        <v>Chad</v>
      </c>
      <c r="F340" t="str">
        <f t="shared" si="22"/>
        <v>Matthew</v>
      </c>
      <c r="G340" t="s">
        <v>3219</v>
      </c>
      <c r="H340">
        <v>2017</v>
      </c>
      <c r="I340">
        <v>1</v>
      </c>
      <c r="J340">
        <v>95</v>
      </c>
      <c r="K340">
        <v>76</v>
      </c>
      <c r="L340">
        <v>1</v>
      </c>
      <c r="M340">
        <v>0</v>
      </c>
      <c r="N340">
        <v>0</v>
      </c>
      <c r="O340" t="str">
        <f t="shared" si="23"/>
        <v>W 95-76 vs. Matthew</v>
      </c>
    </row>
    <row r="341" spans="1:15" ht="15" customHeight="1" x14ac:dyDescent="0.25">
      <c r="A341">
        <f t="shared" si="24"/>
        <v>340</v>
      </c>
      <c r="B341" t="s">
        <v>3212</v>
      </c>
      <c r="C341" t="s">
        <v>3218</v>
      </c>
      <c r="D341" t="s">
        <v>3198</v>
      </c>
      <c r="E341" t="str">
        <f t="shared" si="21"/>
        <v>Ty</v>
      </c>
      <c r="F341" t="str">
        <f t="shared" si="22"/>
        <v>Matthew</v>
      </c>
      <c r="G341" t="s">
        <v>3219</v>
      </c>
      <c r="H341">
        <v>2014</v>
      </c>
      <c r="I341">
        <v>11</v>
      </c>
      <c r="J341">
        <v>95</v>
      </c>
      <c r="K341">
        <v>70</v>
      </c>
      <c r="L341">
        <v>1</v>
      </c>
      <c r="M341">
        <v>0</v>
      </c>
      <c r="N341">
        <v>0</v>
      </c>
      <c r="O341" t="str">
        <f t="shared" si="23"/>
        <v>W 95-70 vs. Matthew</v>
      </c>
    </row>
    <row r="342" spans="1:15" ht="15" customHeight="1" x14ac:dyDescent="0.25">
      <c r="A342">
        <f t="shared" si="24"/>
        <v>341</v>
      </c>
      <c r="B342" t="s">
        <v>3222</v>
      </c>
      <c r="C342" t="s">
        <v>3218</v>
      </c>
      <c r="D342" t="s">
        <v>3200</v>
      </c>
      <c r="E342" t="str">
        <f t="shared" si="21"/>
        <v>Taylor</v>
      </c>
      <c r="F342" t="str">
        <f t="shared" si="22"/>
        <v>Matthew</v>
      </c>
      <c r="G342" t="s">
        <v>3219</v>
      </c>
      <c r="H342">
        <v>2014</v>
      </c>
      <c r="I342">
        <v>4</v>
      </c>
      <c r="J342">
        <v>95</v>
      </c>
      <c r="K342">
        <v>65</v>
      </c>
      <c r="L342">
        <v>1</v>
      </c>
      <c r="M342">
        <v>0</v>
      </c>
      <c r="N342">
        <v>0</v>
      </c>
      <c r="O342" t="str">
        <f t="shared" si="23"/>
        <v>W 95-65 vs. Matthew</v>
      </c>
    </row>
    <row r="343" spans="1:15" x14ac:dyDescent="0.25">
      <c r="A343">
        <f t="shared" si="24"/>
        <v>342</v>
      </c>
      <c r="B343" t="s">
        <v>3209</v>
      </c>
      <c r="C343" t="s">
        <v>3216</v>
      </c>
      <c r="D343" t="s">
        <v>3227</v>
      </c>
      <c r="E343" t="str">
        <f t="shared" si="21"/>
        <v>Scott</v>
      </c>
      <c r="F343" t="str">
        <f t="shared" si="22"/>
        <v>Seth</v>
      </c>
      <c r="G343" t="s">
        <v>3217</v>
      </c>
      <c r="H343">
        <v>2017</v>
      </c>
      <c r="I343">
        <v>6</v>
      </c>
      <c r="J343">
        <v>96</v>
      </c>
      <c r="K343">
        <v>130</v>
      </c>
      <c r="L343">
        <v>0</v>
      </c>
      <c r="M343">
        <v>1</v>
      </c>
      <c r="N343">
        <v>0</v>
      </c>
      <c r="O343" t="str">
        <f t="shared" si="23"/>
        <v>L 96-130 vs. Seth</v>
      </c>
    </row>
    <row r="344" spans="1:15" ht="15" customHeight="1" x14ac:dyDescent="0.25">
      <c r="A344">
        <f t="shared" si="24"/>
        <v>343</v>
      </c>
      <c r="B344" t="s">
        <v>3215</v>
      </c>
      <c r="C344" t="s">
        <v>3213</v>
      </c>
      <c r="D344" t="s">
        <v>3199</v>
      </c>
      <c r="E344" t="str">
        <f t="shared" si="21"/>
        <v>Devon</v>
      </c>
      <c r="F344" t="str">
        <f t="shared" si="22"/>
        <v>Cory</v>
      </c>
      <c r="G344" t="s">
        <v>3214</v>
      </c>
      <c r="H344">
        <v>2016</v>
      </c>
      <c r="I344">
        <v>5</v>
      </c>
      <c r="J344">
        <v>96</v>
      </c>
      <c r="K344">
        <v>120</v>
      </c>
      <c r="L344">
        <v>0</v>
      </c>
      <c r="M344">
        <v>1</v>
      </c>
      <c r="N344">
        <v>0</v>
      </c>
      <c r="O344" t="str">
        <f t="shared" si="23"/>
        <v>L 96-120 vs. Cory</v>
      </c>
    </row>
    <row r="345" spans="1:15" ht="15" customHeight="1" x14ac:dyDescent="0.25">
      <c r="A345">
        <f t="shared" si="24"/>
        <v>344</v>
      </c>
      <c r="B345" t="s">
        <v>3216</v>
      </c>
      <c r="C345" t="s">
        <v>3212</v>
      </c>
      <c r="D345" t="s">
        <v>3217</v>
      </c>
      <c r="E345" t="str">
        <f t="shared" si="21"/>
        <v>Seth</v>
      </c>
      <c r="F345" t="str">
        <f t="shared" si="22"/>
        <v>Ty</v>
      </c>
      <c r="G345" t="s">
        <v>3198</v>
      </c>
      <c r="H345">
        <v>2013</v>
      </c>
      <c r="I345">
        <v>5</v>
      </c>
      <c r="J345">
        <v>96</v>
      </c>
      <c r="K345">
        <v>111</v>
      </c>
      <c r="L345">
        <v>0</v>
      </c>
      <c r="M345">
        <v>1</v>
      </c>
      <c r="N345">
        <v>0</v>
      </c>
      <c r="O345" t="str">
        <f t="shared" si="23"/>
        <v>L 96-111 vs. Ty</v>
      </c>
    </row>
    <row r="346" spans="1:15" ht="15" customHeight="1" x14ac:dyDescent="0.25">
      <c r="A346">
        <f t="shared" si="24"/>
        <v>345</v>
      </c>
      <c r="B346" t="s">
        <v>3218</v>
      </c>
      <c r="C346" t="s">
        <v>3211</v>
      </c>
      <c r="D346" t="s">
        <v>3219</v>
      </c>
      <c r="E346" t="str">
        <f t="shared" si="21"/>
        <v>Matthew</v>
      </c>
      <c r="F346" t="str">
        <f t="shared" si="22"/>
        <v>Anthony</v>
      </c>
      <c r="G346" t="s">
        <v>3201</v>
      </c>
      <c r="H346">
        <v>2013</v>
      </c>
      <c r="I346">
        <v>12</v>
      </c>
      <c r="J346">
        <v>96</v>
      </c>
      <c r="K346">
        <v>96</v>
      </c>
      <c r="L346">
        <v>0</v>
      </c>
      <c r="M346">
        <v>0</v>
      </c>
      <c r="N346">
        <v>1</v>
      </c>
      <c r="O346" t="str">
        <f t="shared" si="23"/>
        <v>T 96-96 vs. Anthony</v>
      </c>
    </row>
    <row r="347" spans="1:15" ht="15" customHeight="1" x14ac:dyDescent="0.25">
      <c r="A347">
        <f t="shared" si="24"/>
        <v>346</v>
      </c>
      <c r="B347" t="s">
        <v>3211</v>
      </c>
      <c r="C347" t="s">
        <v>3218</v>
      </c>
      <c r="D347" t="s">
        <v>3201</v>
      </c>
      <c r="E347" t="str">
        <f t="shared" si="21"/>
        <v>Anthony</v>
      </c>
      <c r="F347" t="str">
        <f t="shared" si="22"/>
        <v>Matthew</v>
      </c>
      <c r="G347" t="s">
        <v>3219</v>
      </c>
      <c r="H347">
        <v>2013</v>
      </c>
      <c r="I347">
        <v>12</v>
      </c>
      <c r="J347">
        <v>96</v>
      </c>
      <c r="K347">
        <v>96</v>
      </c>
      <c r="L347">
        <v>0</v>
      </c>
      <c r="M347">
        <v>0</v>
      </c>
      <c r="N347">
        <v>1</v>
      </c>
      <c r="O347" t="str">
        <f t="shared" si="23"/>
        <v>T 96-96 vs. Matthew</v>
      </c>
    </row>
    <row r="348" spans="1:15" ht="15" customHeight="1" x14ac:dyDescent="0.25">
      <c r="A348">
        <f t="shared" si="24"/>
        <v>347</v>
      </c>
      <c r="B348" t="s">
        <v>3220</v>
      </c>
      <c r="C348" t="s">
        <v>3216</v>
      </c>
      <c r="D348" t="s">
        <v>3226</v>
      </c>
      <c r="E348" t="str">
        <f t="shared" si="21"/>
        <v>Perry</v>
      </c>
      <c r="F348" t="str">
        <f t="shared" si="22"/>
        <v>Seth</v>
      </c>
      <c r="G348" t="s">
        <v>3217</v>
      </c>
      <c r="H348">
        <v>2017</v>
      </c>
      <c r="I348">
        <v>5</v>
      </c>
      <c r="J348">
        <v>96</v>
      </c>
      <c r="K348">
        <v>90</v>
      </c>
      <c r="L348">
        <v>1</v>
      </c>
      <c r="M348">
        <v>0</v>
      </c>
      <c r="N348">
        <v>0</v>
      </c>
      <c r="O348" t="str">
        <f t="shared" si="23"/>
        <v>W 96-90 vs. Seth</v>
      </c>
    </row>
    <row r="349" spans="1:15" ht="15" customHeight="1" x14ac:dyDescent="0.25">
      <c r="A349">
        <f t="shared" si="24"/>
        <v>348</v>
      </c>
      <c r="B349" t="s">
        <v>3211</v>
      </c>
      <c r="C349" t="s">
        <v>3216</v>
      </c>
      <c r="D349" t="s">
        <v>3201</v>
      </c>
      <c r="E349" t="str">
        <f t="shared" si="21"/>
        <v>Anthony</v>
      </c>
      <c r="F349" t="str">
        <f t="shared" si="22"/>
        <v>Seth</v>
      </c>
      <c r="G349" t="s">
        <v>3217</v>
      </c>
      <c r="H349">
        <v>2017</v>
      </c>
      <c r="I349">
        <v>3</v>
      </c>
      <c r="J349">
        <v>96</v>
      </c>
      <c r="K349">
        <v>88</v>
      </c>
      <c r="L349">
        <v>1</v>
      </c>
      <c r="M349">
        <v>0</v>
      </c>
      <c r="N349">
        <v>0</v>
      </c>
      <c r="O349" t="str">
        <f t="shared" si="23"/>
        <v>W 96-88 vs. Seth</v>
      </c>
    </row>
    <row r="350" spans="1:15" ht="15" customHeight="1" x14ac:dyDescent="0.25">
      <c r="A350">
        <f t="shared" si="24"/>
        <v>349</v>
      </c>
      <c r="B350" t="s">
        <v>3211</v>
      </c>
      <c r="C350" t="s">
        <v>3208</v>
      </c>
      <c r="D350" t="s">
        <v>3201</v>
      </c>
      <c r="E350" t="str">
        <f t="shared" si="21"/>
        <v>Anthony</v>
      </c>
      <c r="F350" t="str">
        <f t="shared" si="22"/>
        <v>Chad</v>
      </c>
      <c r="G350" t="s">
        <v>3225</v>
      </c>
      <c r="H350">
        <v>2014</v>
      </c>
      <c r="I350">
        <v>2</v>
      </c>
      <c r="J350">
        <v>96</v>
      </c>
      <c r="K350">
        <v>77</v>
      </c>
      <c r="L350">
        <v>1</v>
      </c>
      <c r="M350">
        <v>0</v>
      </c>
      <c r="N350">
        <v>0</v>
      </c>
      <c r="O350" t="str">
        <f t="shared" si="23"/>
        <v>W 96-77 vs. Chad</v>
      </c>
    </row>
    <row r="351" spans="1:15" ht="15" customHeight="1" x14ac:dyDescent="0.25">
      <c r="A351">
        <f t="shared" si="24"/>
        <v>350</v>
      </c>
      <c r="B351" t="s">
        <v>3208</v>
      </c>
      <c r="C351" t="s">
        <v>3216</v>
      </c>
      <c r="D351" t="s">
        <v>3225</v>
      </c>
      <c r="E351" t="str">
        <f t="shared" si="21"/>
        <v>Chad</v>
      </c>
      <c r="F351" t="str">
        <f t="shared" si="22"/>
        <v>Seth</v>
      </c>
      <c r="G351" t="s">
        <v>3217</v>
      </c>
      <c r="H351">
        <v>2015</v>
      </c>
      <c r="I351">
        <v>12</v>
      </c>
      <c r="J351">
        <v>96</v>
      </c>
      <c r="K351">
        <v>65</v>
      </c>
      <c r="L351">
        <v>1</v>
      </c>
      <c r="M351">
        <v>0</v>
      </c>
      <c r="N351">
        <v>0</v>
      </c>
      <c r="O351" t="str">
        <f t="shared" si="23"/>
        <v>W 96-65 vs. Seth</v>
      </c>
    </row>
    <row r="352" spans="1:15" ht="15" customHeight="1" x14ac:dyDescent="0.25">
      <c r="A352">
        <f t="shared" si="24"/>
        <v>351</v>
      </c>
      <c r="B352" t="s">
        <v>3213</v>
      </c>
      <c r="C352" t="s">
        <v>3220</v>
      </c>
      <c r="D352" t="s">
        <v>3214</v>
      </c>
      <c r="E352" t="str">
        <f t="shared" si="21"/>
        <v>Cory</v>
      </c>
      <c r="F352" t="str">
        <f t="shared" si="22"/>
        <v>Carter</v>
      </c>
      <c r="G352" t="s">
        <v>3224</v>
      </c>
      <c r="H352">
        <v>2014</v>
      </c>
      <c r="I352">
        <v>1</v>
      </c>
      <c r="J352">
        <v>97</v>
      </c>
      <c r="K352">
        <v>104</v>
      </c>
      <c r="L352">
        <v>0</v>
      </c>
      <c r="M352">
        <v>1</v>
      </c>
      <c r="N352">
        <v>0</v>
      </c>
      <c r="O352" t="str">
        <f t="shared" si="23"/>
        <v>L 97-104 vs. Carter</v>
      </c>
    </row>
    <row r="353" spans="1:15" ht="15" customHeight="1" x14ac:dyDescent="0.25">
      <c r="A353">
        <f t="shared" si="24"/>
        <v>352</v>
      </c>
      <c r="B353" t="s">
        <v>3216</v>
      </c>
      <c r="C353" t="s">
        <v>3211</v>
      </c>
      <c r="D353" t="s">
        <v>3217</v>
      </c>
      <c r="E353" t="str">
        <f t="shared" si="21"/>
        <v>Seth</v>
      </c>
      <c r="F353" t="str">
        <f t="shared" si="22"/>
        <v>Anthony</v>
      </c>
      <c r="G353" t="s">
        <v>3201</v>
      </c>
      <c r="H353">
        <v>2016</v>
      </c>
      <c r="I353">
        <v>11</v>
      </c>
      <c r="J353">
        <v>97</v>
      </c>
      <c r="K353">
        <v>97</v>
      </c>
      <c r="L353">
        <v>0</v>
      </c>
      <c r="M353">
        <v>0</v>
      </c>
      <c r="N353">
        <v>1</v>
      </c>
      <c r="O353" t="str">
        <f t="shared" si="23"/>
        <v>T 97-97 vs. Anthony</v>
      </c>
    </row>
    <row r="354" spans="1:15" ht="15" customHeight="1" x14ac:dyDescent="0.25">
      <c r="A354">
        <f t="shared" si="24"/>
        <v>353</v>
      </c>
      <c r="B354" t="s">
        <v>3211</v>
      </c>
      <c r="C354" t="s">
        <v>3216</v>
      </c>
      <c r="D354" t="s">
        <v>3201</v>
      </c>
      <c r="E354" t="str">
        <f t="shared" si="21"/>
        <v>Anthony</v>
      </c>
      <c r="F354" t="str">
        <f t="shared" si="22"/>
        <v>Seth</v>
      </c>
      <c r="G354" t="s">
        <v>3217</v>
      </c>
      <c r="H354">
        <v>2016</v>
      </c>
      <c r="I354">
        <v>11</v>
      </c>
      <c r="J354">
        <v>97</v>
      </c>
      <c r="K354">
        <v>97</v>
      </c>
      <c r="L354">
        <v>0</v>
      </c>
      <c r="M354">
        <v>0</v>
      </c>
      <c r="N354">
        <v>1</v>
      </c>
      <c r="O354" t="str">
        <f t="shared" si="23"/>
        <v>T 97-97 vs. Seth</v>
      </c>
    </row>
    <row r="355" spans="1:15" ht="15" customHeight="1" x14ac:dyDescent="0.25">
      <c r="A355">
        <f t="shared" si="24"/>
        <v>354</v>
      </c>
      <c r="B355" t="s">
        <v>3222</v>
      </c>
      <c r="C355" t="s">
        <v>3212</v>
      </c>
      <c r="D355" t="s">
        <v>3200</v>
      </c>
      <c r="E355" t="str">
        <f t="shared" si="21"/>
        <v>Taylor</v>
      </c>
      <c r="F355" t="str">
        <f t="shared" si="22"/>
        <v>Ty</v>
      </c>
      <c r="G355" t="s">
        <v>3198</v>
      </c>
      <c r="H355">
        <v>2015</v>
      </c>
      <c r="I355">
        <v>7</v>
      </c>
      <c r="J355">
        <v>97</v>
      </c>
      <c r="K355">
        <v>91</v>
      </c>
      <c r="L355">
        <v>1</v>
      </c>
      <c r="M355">
        <v>0</v>
      </c>
      <c r="N355">
        <v>0</v>
      </c>
      <c r="O355" t="str">
        <f t="shared" si="23"/>
        <v>W 97-91 vs. Ty</v>
      </c>
    </row>
    <row r="356" spans="1:15" ht="15" customHeight="1" x14ac:dyDescent="0.25">
      <c r="A356">
        <f t="shared" si="24"/>
        <v>355</v>
      </c>
      <c r="B356" t="s">
        <v>3215</v>
      </c>
      <c r="C356" t="s">
        <v>3222</v>
      </c>
      <c r="D356" t="s">
        <v>3199</v>
      </c>
      <c r="E356" t="str">
        <f t="shared" si="21"/>
        <v>Devon</v>
      </c>
      <c r="F356" t="str">
        <f t="shared" si="22"/>
        <v>Jason</v>
      </c>
      <c r="G356" t="s">
        <v>3228</v>
      </c>
      <c r="H356">
        <v>2017</v>
      </c>
      <c r="I356">
        <v>10</v>
      </c>
      <c r="J356">
        <v>97</v>
      </c>
      <c r="K356">
        <v>91</v>
      </c>
      <c r="L356">
        <v>1</v>
      </c>
      <c r="M356">
        <v>0</v>
      </c>
      <c r="N356">
        <v>0</v>
      </c>
      <c r="O356" t="str">
        <f t="shared" si="23"/>
        <v>W 97-91 vs. Jason</v>
      </c>
    </row>
    <row r="357" spans="1:15" ht="15" customHeight="1" x14ac:dyDescent="0.25">
      <c r="A357">
        <f t="shared" si="24"/>
        <v>356</v>
      </c>
      <c r="B357" t="s">
        <v>3213</v>
      </c>
      <c r="C357" t="s">
        <v>3211</v>
      </c>
      <c r="D357" t="s">
        <v>3214</v>
      </c>
      <c r="E357" t="str">
        <f t="shared" si="21"/>
        <v>Cory</v>
      </c>
      <c r="F357" t="str">
        <f t="shared" si="22"/>
        <v>Anthony</v>
      </c>
      <c r="G357" t="s">
        <v>3201</v>
      </c>
      <c r="H357">
        <v>2013</v>
      </c>
      <c r="I357">
        <v>5</v>
      </c>
      <c r="J357">
        <v>97</v>
      </c>
      <c r="K357">
        <v>89</v>
      </c>
      <c r="L357">
        <v>1</v>
      </c>
      <c r="M357">
        <v>0</v>
      </c>
      <c r="N357">
        <v>0</v>
      </c>
      <c r="O357" t="str">
        <f t="shared" si="23"/>
        <v>W 97-89 vs. Anthony</v>
      </c>
    </row>
    <row r="358" spans="1:15" ht="15" customHeight="1" x14ac:dyDescent="0.25">
      <c r="A358">
        <f t="shared" si="24"/>
        <v>357</v>
      </c>
      <c r="B358" t="s">
        <v>3211</v>
      </c>
      <c r="C358" t="s">
        <v>3216</v>
      </c>
      <c r="D358" t="s">
        <v>3201</v>
      </c>
      <c r="E358" t="str">
        <f t="shared" si="21"/>
        <v>Anthony</v>
      </c>
      <c r="F358" t="str">
        <f t="shared" si="22"/>
        <v>Seth</v>
      </c>
      <c r="G358" t="s">
        <v>3217</v>
      </c>
      <c r="H358">
        <v>2014</v>
      </c>
      <c r="I358">
        <v>11</v>
      </c>
      <c r="J358">
        <v>97</v>
      </c>
      <c r="K358">
        <v>81</v>
      </c>
      <c r="L358">
        <v>1</v>
      </c>
      <c r="M358">
        <v>0</v>
      </c>
      <c r="N358">
        <v>0</v>
      </c>
      <c r="O358" t="str">
        <f t="shared" si="23"/>
        <v>W 97-81 vs. Seth</v>
      </c>
    </row>
    <row r="359" spans="1:15" ht="15" customHeight="1" x14ac:dyDescent="0.25">
      <c r="A359">
        <f t="shared" si="24"/>
        <v>358</v>
      </c>
      <c r="B359" t="s">
        <v>3215</v>
      </c>
      <c r="C359" t="s">
        <v>3222</v>
      </c>
      <c r="D359" t="s">
        <v>3199</v>
      </c>
      <c r="E359" t="str">
        <f t="shared" si="21"/>
        <v>Devon</v>
      </c>
      <c r="F359" t="str">
        <f t="shared" si="22"/>
        <v>Taylor</v>
      </c>
      <c r="G359" t="s">
        <v>3200</v>
      </c>
      <c r="H359">
        <v>2016</v>
      </c>
      <c r="I359">
        <v>1</v>
      </c>
      <c r="J359">
        <v>97</v>
      </c>
      <c r="K359">
        <v>78</v>
      </c>
      <c r="L359">
        <v>1</v>
      </c>
      <c r="M359">
        <v>0</v>
      </c>
      <c r="N359">
        <v>0</v>
      </c>
      <c r="O359" t="str">
        <f t="shared" si="23"/>
        <v>W 97-78 vs. Taylor</v>
      </c>
    </row>
    <row r="360" spans="1:15" ht="15" customHeight="1" x14ac:dyDescent="0.25">
      <c r="A360">
        <f t="shared" si="24"/>
        <v>359</v>
      </c>
      <c r="B360" t="s">
        <v>3220</v>
      </c>
      <c r="C360" t="s">
        <v>3216</v>
      </c>
      <c r="D360" t="s">
        <v>3226</v>
      </c>
      <c r="E360" t="str">
        <f t="shared" si="21"/>
        <v>Perry</v>
      </c>
      <c r="F360" t="str">
        <f t="shared" si="22"/>
        <v>Seth</v>
      </c>
      <c r="G360" t="s">
        <v>3217</v>
      </c>
      <c r="H360">
        <v>2016</v>
      </c>
      <c r="I360">
        <v>5</v>
      </c>
      <c r="J360">
        <v>97</v>
      </c>
      <c r="K360">
        <v>77</v>
      </c>
      <c r="L360">
        <v>1</v>
      </c>
      <c r="M360">
        <v>0</v>
      </c>
      <c r="N360">
        <v>0</v>
      </c>
      <c r="O360" t="str">
        <f t="shared" si="23"/>
        <v>W 97-77 vs. Seth</v>
      </c>
    </row>
    <row r="361" spans="1:15" ht="15" customHeight="1" x14ac:dyDescent="0.25">
      <c r="A361">
        <f t="shared" si="24"/>
        <v>360</v>
      </c>
      <c r="B361" t="s">
        <v>3213</v>
      </c>
      <c r="C361" t="s">
        <v>3212</v>
      </c>
      <c r="D361" t="s">
        <v>3214</v>
      </c>
      <c r="E361" t="str">
        <f t="shared" si="21"/>
        <v>Cory</v>
      </c>
      <c r="F361" t="str">
        <f t="shared" si="22"/>
        <v>Ty</v>
      </c>
      <c r="G361" t="s">
        <v>3198</v>
      </c>
      <c r="H361">
        <v>2017</v>
      </c>
      <c r="I361">
        <v>2</v>
      </c>
      <c r="J361">
        <v>97</v>
      </c>
      <c r="K361">
        <v>65</v>
      </c>
      <c r="L361">
        <v>1</v>
      </c>
      <c r="M361">
        <v>0</v>
      </c>
      <c r="N361">
        <v>0</v>
      </c>
      <c r="O361" t="str">
        <f t="shared" si="23"/>
        <v>W 97-65 vs. Ty</v>
      </c>
    </row>
    <row r="362" spans="1:15" ht="15" customHeight="1" x14ac:dyDescent="0.25">
      <c r="A362">
        <f t="shared" si="24"/>
        <v>361</v>
      </c>
      <c r="B362" t="s">
        <v>3216</v>
      </c>
      <c r="C362" t="s">
        <v>3209</v>
      </c>
      <c r="D362" t="s">
        <v>3217</v>
      </c>
      <c r="E362" t="str">
        <f t="shared" si="21"/>
        <v>Seth</v>
      </c>
      <c r="F362" t="str">
        <f t="shared" si="22"/>
        <v>Scott</v>
      </c>
      <c r="G362" t="s">
        <v>3227</v>
      </c>
      <c r="H362">
        <v>2015</v>
      </c>
      <c r="I362">
        <v>6</v>
      </c>
      <c r="J362">
        <v>97</v>
      </c>
      <c r="K362">
        <v>57</v>
      </c>
      <c r="L362">
        <v>1</v>
      </c>
      <c r="M362">
        <v>0</v>
      </c>
      <c r="N362">
        <v>0</v>
      </c>
      <c r="O362" t="str">
        <f t="shared" si="23"/>
        <v>W 97-57 vs. Scott</v>
      </c>
    </row>
    <row r="363" spans="1:15" ht="15" customHeight="1" x14ac:dyDescent="0.25">
      <c r="A363">
        <f t="shared" si="24"/>
        <v>362</v>
      </c>
      <c r="B363" t="s">
        <v>3218</v>
      </c>
      <c r="C363" t="s">
        <v>3208</v>
      </c>
      <c r="D363" t="s">
        <v>3219</v>
      </c>
      <c r="E363" t="str">
        <f t="shared" si="21"/>
        <v>Matthew</v>
      </c>
      <c r="F363" t="str">
        <f t="shared" si="22"/>
        <v>Spencer</v>
      </c>
      <c r="G363" t="s">
        <v>3210</v>
      </c>
      <c r="H363">
        <v>2013</v>
      </c>
      <c r="I363">
        <v>5</v>
      </c>
      <c r="J363">
        <v>97</v>
      </c>
      <c r="K363">
        <v>54</v>
      </c>
      <c r="L363">
        <v>1</v>
      </c>
      <c r="M363">
        <v>0</v>
      </c>
      <c r="N363">
        <v>0</v>
      </c>
      <c r="O363" t="str">
        <f t="shared" si="23"/>
        <v>W 97-54 vs. Spencer</v>
      </c>
    </row>
    <row r="364" spans="1:15" ht="15" customHeight="1" x14ac:dyDescent="0.25">
      <c r="A364">
        <f t="shared" si="24"/>
        <v>363</v>
      </c>
      <c r="B364" t="s">
        <v>3211</v>
      </c>
      <c r="C364" t="s">
        <v>3220</v>
      </c>
      <c r="D364" t="s">
        <v>3201</v>
      </c>
      <c r="E364" t="str">
        <f t="shared" si="21"/>
        <v>Anthony</v>
      </c>
      <c r="F364" t="str">
        <f t="shared" si="22"/>
        <v>Carter</v>
      </c>
      <c r="G364" t="s">
        <v>3224</v>
      </c>
      <c r="H364">
        <v>2014</v>
      </c>
      <c r="I364">
        <v>9</v>
      </c>
      <c r="J364">
        <v>98</v>
      </c>
      <c r="K364">
        <v>104</v>
      </c>
      <c r="L364">
        <v>0</v>
      </c>
      <c r="M364">
        <v>1</v>
      </c>
      <c r="N364">
        <v>0</v>
      </c>
      <c r="O364" t="str">
        <f t="shared" si="23"/>
        <v>L 98-104 vs. Carter</v>
      </c>
    </row>
    <row r="365" spans="1:15" x14ac:dyDescent="0.25">
      <c r="A365">
        <f t="shared" si="24"/>
        <v>364</v>
      </c>
      <c r="B365" t="s">
        <v>3222</v>
      </c>
      <c r="C365" t="s">
        <v>3213</v>
      </c>
      <c r="D365" t="s">
        <v>3223</v>
      </c>
      <c r="E365" t="str">
        <f t="shared" si="21"/>
        <v>Austin</v>
      </c>
      <c r="F365" t="str">
        <f t="shared" si="22"/>
        <v>Cory</v>
      </c>
      <c r="G365" t="s">
        <v>3214</v>
      </c>
      <c r="H365">
        <v>2013</v>
      </c>
      <c r="I365">
        <v>2</v>
      </c>
      <c r="J365">
        <v>98</v>
      </c>
      <c r="K365">
        <v>93</v>
      </c>
      <c r="L365">
        <v>1</v>
      </c>
      <c r="M365">
        <v>0</v>
      </c>
      <c r="N365">
        <v>0</v>
      </c>
      <c r="O365" t="str">
        <f t="shared" si="23"/>
        <v>W 98-93 vs. Cory</v>
      </c>
    </row>
    <row r="366" spans="1:15" ht="15" customHeight="1" x14ac:dyDescent="0.25">
      <c r="A366">
        <f t="shared" si="24"/>
        <v>365</v>
      </c>
      <c r="B366" t="s">
        <v>3218</v>
      </c>
      <c r="C366" t="s">
        <v>3216</v>
      </c>
      <c r="D366" t="s">
        <v>3219</v>
      </c>
      <c r="E366" t="str">
        <f t="shared" si="21"/>
        <v>Matthew</v>
      </c>
      <c r="F366" t="str">
        <f t="shared" si="22"/>
        <v>Seth</v>
      </c>
      <c r="G366" t="s">
        <v>3217</v>
      </c>
      <c r="H366">
        <v>2016</v>
      </c>
      <c r="I366">
        <v>10</v>
      </c>
      <c r="J366">
        <v>98</v>
      </c>
      <c r="K366">
        <v>93</v>
      </c>
      <c r="L366">
        <v>1</v>
      </c>
      <c r="M366">
        <v>0</v>
      </c>
      <c r="N366">
        <v>0</v>
      </c>
      <c r="O366" t="str">
        <f t="shared" si="23"/>
        <v>W 98-93 vs. Seth</v>
      </c>
    </row>
    <row r="367" spans="1:15" ht="15" customHeight="1" x14ac:dyDescent="0.25">
      <c r="A367">
        <f t="shared" si="24"/>
        <v>366</v>
      </c>
      <c r="B367" t="s">
        <v>3220</v>
      </c>
      <c r="C367" t="s">
        <v>3211</v>
      </c>
      <c r="D367" t="s">
        <v>3221</v>
      </c>
      <c r="E367" t="str">
        <f t="shared" si="21"/>
        <v>Lucas</v>
      </c>
      <c r="F367" t="str">
        <f t="shared" si="22"/>
        <v>Anthony</v>
      </c>
      <c r="G367" t="s">
        <v>3201</v>
      </c>
      <c r="H367">
        <v>2013</v>
      </c>
      <c r="I367">
        <v>3</v>
      </c>
      <c r="J367">
        <v>98</v>
      </c>
      <c r="K367">
        <v>73</v>
      </c>
      <c r="L367">
        <v>1</v>
      </c>
      <c r="M367">
        <v>0</v>
      </c>
      <c r="N367">
        <v>0</v>
      </c>
      <c r="O367" t="str">
        <f t="shared" si="23"/>
        <v>W 98-73 vs. Anthony</v>
      </c>
    </row>
    <row r="368" spans="1:15" ht="15" customHeight="1" x14ac:dyDescent="0.25">
      <c r="A368">
        <f t="shared" si="24"/>
        <v>367</v>
      </c>
      <c r="B368" t="s">
        <v>3208</v>
      </c>
      <c r="C368" t="s">
        <v>3222</v>
      </c>
      <c r="D368" t="s">
        <v>3225</v>
      </c>
      <c r="E368" t="str">
        <f t="shared" si="21"/>
        <v>Chad</v>
      </c>
      <c r="F368" t="str">
        <f t="shared" si="22"/>
        <v>Taylor</v>
      </c>
      <c r="G368" t="s">
        <v>3200</v>
      </c>
      <c r="H368">
        <v>2016</v>
      </c>
      <c r="I368">
        <v>6</v>
      </c>
      <c r="J368">
        <v>98</v>
      </c>
      <c r="K368">
        <v>69</v>
      </c>
      <c r="L368">
        <v>1</v>
      </c>
      <c r="M368">
        <v>0</v>
      </c>
      <c r="N368">
        <v>0</v>
      </c>
      <c r="O368" t="str">
        <f t="shared" si="23"/>
        <v>W 98-69 vs. Taylor</v>
      </c>
    </row>
    <row r="369" spans="1:15" ht="15" customHeight="1" x14ac:dyDescent="0.25">
      <c r="A369">
        <f t="shared" si="24"/>
        <v>368</v>
      </c>
      <c r="B369" t="s">
        <v>3216</v>
      </c>
      <c r="C369" t="s">
        <v>3222</v>
      </c>
      <c r="D369" t="s">
        <v>3217</v>
      </c>
      <c r="E369" t="str">
        <f t="shared" si="21"/>
        <v>Seth</v>
      </c>
      <c r="F369" t="str">
        <f t="shared" si="22"/>
        <v>Jason</v>
      </c>
      <c r="G369" t="s">
        <v>3228</v>
      </c>
      <c r="H369">
        <v>2017</v>
      </c>
      <c r="I369">
        <v>13</v>
      </c>
      <c r="J369">
        <v>98</v>
      </c>
      <c r="K369">
        <v>59</v>
      </c>
      <c r="L369">
        <v>1</v>
      </c>
      <c r="M369">
        <v>0</v>
      </c>
      <c r="N369">
        <v>0</v>
      </c>
      <c r="O369" t="str">
        <f t="shared" si="23"/>
        <v>W 98-59 vs. Jason</v>
      </c>
    </row>
    <row r="370" spans="1:15" ht="15" customHeight="1" x14ac:dyDescent="0.25">
      <c r="A370">
        <f t="shared" si="24"/>
        <v>369</v>
      </c>
      <c r="B370" t="s">
        <v>3222</v>
      </c>
      <c r="C370" t="s">
        <v>3209</v>
      </c>
      <c r="D370" t="s">
        <v>3200</v>
      </c>
      <c r="E370" t="str">
        <f t="shared" si="21"/>
        <v>Taylor</v>
      </c>
      <c r="F370" t="str">
        <f t="shared" si="22"/>
        <v>Scott</v>
      </c>
      <c r="G370" t="s">
        <v>3227</v>
      </c>
      <c r="H370">
        <v>2016</v>
      </c>
      <c r="I370">
        <v>5</v>
      </c>
      <c r="J370">
        <v>98</v>
      </c>
      <c r="K370">
        <v>58</v>
      </c>
      <c r="L370">
        <v>1</v>
      </c>
      <c r="M370">
        <v>0</v>
      </c>
      <c r="N370">
        <v>0</v>
      </c>
      <c r="O370" t="str">
        <f t="shared" si="23"/>
        <v>W 98-58 vs. Scott</v>
      </c>
    </row>
    <row r="371" spans="1:15" ht="15" customHeight="1" x14ac:dyDescent="0.25">
      <c r="A371">
        <f t="shared" si="24"/>
        <v>370</v>
      </c>
      <c r="B371" t="s">
        <v>3208</v>
      </c>
      <c r="C371" t="s">
        <v>3211</v>
      </c>
      <c r="D371" t="s">
        <v>3225</v>
      </c>
      <c r="E371" t="str">
        <f t="shared" si="21"/>
        <v>Chad</v>
      </c>
      <c r="F371" t="str">
        <f t="shared" si="22"/>
        <v>Anthony</v>
      </c>
      <c r="G371" t="s">
        <v>3201</v>
      </c>
      <c r="H371">
        <v>2014</v>
      </c>
      <c r="I371">
        <v>10</v>
      </c>
      <c r="J371">
        <v>99</v>
      </c>
      <c r="K371">
        <v>166</v>
      </c>
      <c r="L371">
        <v>0</v>
      </c>
      <c r="M371">
        <v>1</v>
      </c>
      <c r="N371">
        <v>0</v>
      </c>
      <c r="O371" t="str">
        <f t="shared" si="23"/>
        <v>L 99-166 vs. Anthony</v>
      </c>
    </row>
    <row r="372" spans="1:15" ht="15" customHeight="1" x14ac:dyDescent="0.25">
      <c r="A372">
        <f t="shared" si="24"/>
        <v>371</v>
      </c>
      <c r="B372" t="s">
        <v>3218</v>
      </c>
      <c r="C372" t="s">
        <v>3213</v>
      </c>
      <c r="D372" t="s">
        <v>3219</v>
      </c>
      <c r="E372" t="str">
        <f t="shared" si="21"/>
        <v>Matthew</v>
      </c>
      <c r="F372" t="str">
        <f t="shared" si="22"/>
        <v>Cory</v>
      </c>
      <c r="G372" t="s">
        <v>3214</v>
      </c>
      <c r="H372">
        <v>2014</v>
      </c>
      <c r="I372">
        <v>8</v>
      </c>
      <c r="J372">
        <v>99</v>
      </c>
      <c r="K372">
        <v>147</v>
      </c>
      <c r="L372">
        <v>0</v>
      </c>
      <c r="M372">
        <v>1</v>
      </c>
      <c r="N372">
        <v>0</v>
      </c>
      <c r="O372" t="str">
        <f t="shared" si="23"/>
        <v>L 99-147 vs. Cory</v>
      </c>
    </row>
    <row r="373" spans="1:15" ht="15" customHeight="1" x14ac:dyDescent="0.25">
      <c r="A373">
        <f t="shared" si="24"/>
        <v>372</v>
      </c>
      <c r="B373" t="s">
        <v>3209</v>
      </c>
      <c r="C373" t="s">
        <v>3212</v>
      </c>
      <c r="D373" t="s">
        <v>3227</v>
      </c>
      <c r="E373" t="str">
        <f t="shared" si="21"/>
        <v>Scott</v>
      </c>
      <c r="F373" t="str">
        <f t="shared" si="22"/>
        <v>Ty</v>
      </c>
      <c r="G373" t="s">
        <v>3198</v>
      </c>
      <c r="H373">
        <v>2016</v>
      </c>
      <c r="I373">
        <v>10</v>
      </c>
      <c r="J373">
        <v>99</v>
      </c>
      <c r="K373">
        <v>135</v>
      </c>
      <c r="L373">
        <v>0</v>
      </c>
      <c r="M373">
        <v>1</v>
      </c>
      <c r="N373">
        <v>0</v>
      </c>
      <c r="O373" t="str">
        <f t="shared" si="23"/>
        <v>L 99-135 vs. Ty</v>
      </c>
    </row>
    <row r="374" spans="1:15" ht="15" customHeight="1" x14ac:dyDescent="0.25">
      <c r="A374">
        <f t="shared" si="24"/>
        <v>373</v>
      </c>
      <c r="B374" t="s">
        <v>3220</v>
      </c>
      <c r="C374" t="s">
        <v>3215</v>
      </c>
      <c r="D374" t="s">
        <v>3226</v>
      </c>
      <c r="E374" t="str">
        <f t="shared" si="21"/>
        <v>Perry</v>
      </c>
      <c r="F374" t="str">
        <f t="shared" si="22"/>
        <v>Devon</v>
      </c>
      <c r="G374" t="s">
        <v>3199</v>
      </c>
      <c r="H374">
        <v>2017</v>
      </c>
      <c r="I374">
        <v>13</v>
      </c>
      <c r="J374">
        <v>99</v>
      </c>
      <c r="K374">
        <v>133</v>
      </c>
      <c r="L374">
        <v>0</v>
      </c>
      <c r="M374">
        <v>1</v>
      </c>
      <c r="N374">
        <v>0</v>
      </c>
      <c r="O374" t="str">
        <f t="shared" si="23"/>
        <v>L 99-133 vs. Devon</v>
      </c>
    </row>
    <row r="375" spans="1:15" ht="15" customHeight="1" x14ac:dyDescent="0.25">
      <c r="A375">
        <f t="shared" si="24"/>
        <v>374</v>
      </c>
      <c r="B375" t="s">
        <v>3208</v>
      </c>
      <c r="C375" t="s">
        <v>3213</v>
      </c>
      <c r="D375" t="s">
        <v>3225</v>
      </c>
      <c r="E375" t="str">
        <f t="shared" si="21"/>
        <v>Chad</v>
      </c>
      <c r="F375" t="str">
        <f t="shared" si="22"/>
        <v>Cory</v>
      </c>
      <c r="G375" t="s">
        <v>3214</v>
      </c>
      <c r="H375">
        <v>2017</v>
      </c>
      <c r="I375">
        <v>11</v>
      </c>
      <c r="J375">
        <v>99</v>
      </c>
      <c r="K375">
        <v>130</v>
      </c>
      <c r="L375">
        <v>0</v>
      </c>
      <c r="M375">
        <v>1</v>
      </c>
      <c r="N375">
        <v>0</v>
      </c>
      <c r="O375" t="str">
        <f t="shared" si="23"/>
        <v>L 99-130 vs. Cory</v>
      </c>
    </row>
    <row r="376" spans="1:15" ht="15" customHeight="1" x14ac:dyDescent="0.25">
      <c r="A376">
        <f t="shared" si="24"/>
        <v>375</v>
      </c>
      <c r="B376" t="s">
        <v>3218</v>
      </c>
      <c r="C376" t="s">
        <v>3213</v>
      </c>
      <c r="D376" t="s">
        <v>3219</v>
      </c>
      <c r="E376" t="str">
        <f t="shared" si="21"/>
        <v>Matthew</v>
      </c>
      <c r="F376" t="str">
        <f t="shared" si="22"/>
        <v>Cory</v>
      </c>
      <c r="G376" t="s">
        <v>3214</v>
      </c>
      <c r="H376">
        <v>2013</v>
      </c>
      <c r="I376">
        <v>8</v>
      </c>
      <c r="J376">
        <v>99</v>
      </c>
      <c r="K376">
        <v>127</v>
      </c>
      <c r="L376">
        <v>0</v>
      </c>
      <c r="M376">
        <v>1</v>
      </c>
      <c r="N376">
        <v>0</v>
      </c>
      <c r="O376" t="str">
        <f t="shared" si="23"/>
        <v>L 99-127 vs. Cory</v>
      </c>
    </row>
    <row r="377" spans="1:15" ht="15" customHeight="1" x14ac:dyDescent="0.25">
      <c r="A377">
        <f t="shared" si="24"/>
        <v>376</v>
      </c>
      <c r="B377" t="s">
        <v>3216</v>
      </c>
      <c r="C377" t="s">
        <v>3213</v>
      </c>
      <c r="D377" t="s">
        <v>3217</v>
      </c>
      <c r="E377" t="str">
        <f t="shared" si="21"/>
        <v>Seth</v>
      </c>
      <c r="F377" t="str">
        <f t="shared" si="22"/>
        <v>Cory</v>
      </c>
      <c r="G377" t="s">
        <v>3214</v>
      </c>
      <c r="H377">
        <v>2016</v>
      </c>
      <c r="I377">
        <v>7</v>
      </c>
      <c r="J377">
        <v>99</v>
      </c>
      <c r="K377">
        <v>119</v>
      </c>
      <c r="L377">
        <v>0</v>
      </c>
      <c r="M377">
        <v>1</v>
      </c>
      <c r="N377">
        <v>0</v>
      </c>
      <c r="O377" t="str">
        <f t="shared" si="23"/>
        <v>L 99-119 vs. Cory</v>
      </c>
    </row>
    <row r="378" spans="1:15" x14ac:dyDescent="0.25">
      <c r="A378">
        <f t="shared" si="24"/>
        <v>377</v>
      </c>
      <c r="B378" t="s">
        <v>3209</v>
      </c>
      <c r="C378" t="s">
        <v>3220</v>
      </c>
      <c r="D378" t="s">
        <v>3227</v>
      </c>
      <c r="E378" t="str">
        <f t="shared" si="21"/>
        <v>Scott</v>
      </c>
      <c r="F378" t="str">
        <f t="shared" si="22"/>
        <v>Perry</v>
      </c>
      <c r="G378" t="s">
        <v>3226</v>
      </c>
      <c r="H378">
        <v>2016</v>
      </c>
      <c r="I378">
        <v>12</v>
      </c>
      <c r="J378">
        <v>99</v>
      </c>
      <c r="K378">
        <v>110</v>
      </c>
      <c r="L378">
        <v>0</v>
      </c>
      <c r="M378">
        <v>1</v>
      </c>
      <c r="N378">
        <v>0</v>
      </c>
      <c r="O378" t="str">
        <f t="shared" si="23"/>
        <v>L 99-110 vs. Perry</v>
      </c>
    </row>
    <row r="379" spans="1:15" ht="15" customHeight="1" x14ac:dyDescent="0.25">
      <c r="A379">
        <f t="shared" si="24"/>
        <v>378</v>
      </c>
      <c r="B379" t="s">
        <v>3212</v>
      </c>
      <c r="C379" t="s">
        <v>3211</v>
      </c>
      <c r="D379" t="s">
        <v>3198</v>
      </c>
      <c r="E379" t="str">
        <f t="shared" si="21"/>
        <v>Ty</v>
      </c>
      <c r="F379" t="str">
        <f t="shared" si="22"/>
        <v>Anthony</v>
      </c>
      <c r="G379" t="s">
        <v>3201</v>
      </c>
      <c r="H379">
        <v>2014</v>
      </c>
      <c r="I379">
        <v>12</v>
      </c>
      <c r="J379">
        <v>99</v>
      </c>
      <c r="K379">
        <v>102</v>
      </c>
      <c r="L379">
        <v>0</v>
      </c>
      <c r="M379">
        <v>1</v>
      </c>
      <c r="N379">
        <v>0</v>
      </c>
      <c r="O379" t="str">
        <f t="shared" si="23"/>
        <v>L 99-102 vs. Anthony</v>
      </c>
    </row>
    <row r="380" spans="1:15" ht="15" customHeight="1" x14ac:dyDescent="0.25">
      <c r="A380">
        <f t="shared" si="24"/>
        <v>379</v>
      </c>
      <c r="B380" t="s">
        <v>3208</v>
      </c>
      <c r="C380" t="s">
        <v>3211</v>
      </c>
      <c r="D380" t="s">
        <v>3225</v>
      </c>
      <c r="E380" t="str">
        <f t="shared" si="21"/>
        <v>Chad</v>
      </c>
      <c r="F380" t="str">
        <f t="shared" si="22"/>
        <v>Anthony</v>
      </c>
      <c r="G380" t="s">
        <v>3201</v>
      </c>
      <c r="H380">
        <v>2017</v>
      </c>
      <c r="I380">
        <v>2</v>
      </c>
      <c r="J380">
        <v>99</v>
      </c>
      <c r="K380">
        <v>90</v>
      </c>
      <c r="L380">
        <v>1</v>
      </c>
      <c r="M380">
        <v>0</v>
      </c>
      <c r="N380">
        <v>0</v>
      </c>
      <c r="O380" t="str">
        <f t="shared" si="23"/>
        <v>W 99-90 vs. Anthony</v>
      </c>
    </row>
    <row r="381" spans="1:15" ht="15" customHeight="1" x14ac:dyDescent="0.25">
      <c r="A381">
        <f t="shared" si="24"/>
        <v>380</v>
      </c>
      <c r="B381" t="s">
        <v>3211</v>
      </c>
      <c r="C381" t="s">
        <v>3212</v>
      </c>
      <c r="D381" t="s">
        <v>3201</v>
      </c>
      <c r="E381" t="str">
        <f t="shared" si="21"/>
        <v>Anthony</v>
      </c>
      <c r="F381" t="str">
        <f t="shared" si="22"/>
        <v>Ty</v>
      </c>
      <c r="G381" t="s">
        <v>3198</v>
      </c>
      <c r="H381">
        <v>2015</v>
      </c>
      <c r="I381">
        <v>4</v>
      </c>
      <c r="J381">
        <v>99</v>
      </c>
      <c r="K381">
        <v>86</v>
      </c>
      <c r="L381">
        <v>1</v>
      </c>
      <c r="M381">
        <v>0</v>
      </c>
      <c r="N381">
        <v>0</v>
      </c>
      <c r="O381" t="str">
        <f t="shared" si="23"/>
        <v>W 99-86 vs. Ty</v>
      </c>
    </row>
    <row r="382" spans="1:15" ht="15" customHeight="1" x14ac:dyDescent="0.25">
      <c r="A382">
        <f t="shared" si="24"/>
        <v>381</v>
      </c>
      <c r="B382" t="s">
        <v>3216</v>
      </c>
      <c r="C382" t="s">
        <v>3222</v>
      </c>
      <c r="D382" t="s">
        <v>3217</v>
      </c>
      <c r="E382" t="str">
        <f t="shared" si="21"/>
        <v>Seth</v>
      </c>
      <c r="F382" t="str">
        <f t="shared" si="22"/>
        <v>Taylor</v>
      </c>
      <c r="G382" t="s">
        <v>3200</v>
      </c>
      <c r="H382">
        <v>2016</v>
      </c>
      <c r="I382">
        <v>13</v>
      </c>
      <c r="J382">
        <v>99</v>
      </c>
      <c r="K382">
        <v>81</v>
      </c>
      <c r="L382">
        <v>1</v>
      </c>
      <c r="M382">
        <v>0</v>
      </c>
      <c r="N382">
        <v>0</v>
      </c>
      <c r="O382" t="str">
        <f t="shared" si="23"/>
        <v>W 99-81 vs. Taylor</v>
      </c>
    </row>
    <row r="383" spans="1:15" ht="15" customHeight="1" x14ac:dyDescent="0.25">
      <c r="A383">
        <f t="shared" si="24"/>
        <v>382</v>
      </c>
      <c r="B383" t="s">
        <v>3222</v>
      </c>
      <c r="C383" t="s">
        <v>3208</v>
      </c>
      <c r="D383" t="s">
        <v>3228</v>
      </c>
      <c r="E383" t="str">
        <f t="shared" si="21"/>
        <v>Jason</v>
      </c>
      <c r="F383" t="str">
        <f t="shared" si="22"/>
        <v>Chad</v>
      </c>
      <c r="G383" t="s">
        <v>3225</v>
      </c>
      <c r="H383">
        <v>2017</v>
      </c>
      <c r="I383">
        <v>6</v>
      </c>
      <c r="J383">
        <v>99</v>
      </c>
      <c r="K383">
        <v>79</v>
      </c>
      <c r="L383">
        <v>1</v>
      </c>
      <c r="M383">
        <v>0</v>
      </c>
      <c r="N383">
        <v>0</v>
      </c>
      <c r="O383" t="str">
        <f t="shared" si="23"/>
        <v>W 99-79 vs. Chad</v>
      </c>
    </row>
    <row r="384" spans="1:15" ht="15" customHeight="1" x14ac:dyDescent="0.25">
      <c r="A384">
        <f t="shared" si="24"/>
        <v>383</v>
      </c>
      <c r="B384" t="s">
        <v>3212</v>
      </c>
      <c r="C384" t="s">
        <v>3215</v>
      </c>
      <c r="D384" t="s">
        <v>3198</v>
      </c>
      <c r="E384" t="str">
        <f t="shared" si="21"/>
        <v>Ty</v>
      </c>
      <c r="F384" t="str">
        <f t="shared" si="22"/>
        <v>Devon</v>
      </c>
      <c r="G384" t="s">
        <v>3199</v>
      </c>
      <c r="H384">
        <v>2015</v>
      </c>
      <c r="I384">
        <v>6</v>
      </c>
      <c r="J384">
        <v>100</v>
      </c>
      <c r="K384">
        <v>124</v>
      </c>
      <c r="L384">
        <v>0</v>
      </c>
      <c r="M384">
        <v>1</v>
      </c>
      <c r="N384">
        <v>0</v>
      </c>
      <c r="O384" t="str">
        <f t="shared" si="23"/>
        <v>L 100-124 vs. Devon</v>
      </c>
    </row>
    <row r="385" spans="1:15" ht="15" customHeight="1" x14ac:dyDescent="0.25">
      <c r="A385">
        <f t="shared" si="24"/>
        <v>384</v>
      </c>
      <c r="B385" t="s">
        <v>3218</v>
      </c>
      <c r="C385" t="s">
        <v>3209</v>
      </c>
      <c r="D385" t="s">
        <v>3219</v>
      </c>
      <c r="E385" t="str">
        <f t="shared" si="21"/>
        <v>Matthew</v>
      </c>
      <c r="F385" t="str">
        <f t="shared" si="22"/>
        <v>Scott</v>
      </c>
      <c r="G385" t="s">
        <v>3227</v>
      </c>
      <c r="H385">
        <v>2013</v>
      </c>
      <c r="I385">
        <v>7</v>
      </c>
      <c r="J385">
        <v>100</v>
      </c>
      <c r="K385">
        <v>120</v>
      </c>
      <c r="L385">
        <v>0</v>
      </c>
      <c r="M385">
        <v>1</v>
      </c>
      <c r="N385">
        <v>0</v>
      </c>
      <c r="O385" t="str">
        <f t="shared" si="23"/>
        <v>L 100-120 vs. Scott</v>
      </c>
    </row>
    <row r="386" spans="1:15" ht="15" customHeight="1" x14ac:dyDescent="0.25">
      <c r="A386">
        <f t="shared" si="24"/>
        <v>385</v>
      </c>
      <c r="B386" t="s">
        <v>3209</v>
      </c>
      <c r="C386" t="s">
        <v>3211</v>
      </c>
      <c r="D386" t="s">
        <v>3227</v>
      </c>
      <c r="E386" t="str">
        <f t="shared" ref="E386:E449" si="25">LEFT(D386,SEARCH(" ",D386)-1)</f>
        <v>Scott</v>
      </c>
      <c r="F386" t="str">
        <f t="shared" ref="F386:F449" si="26">LEFT(G386,SEARCH(" ",G386)-1)</f>
        <v>Anthony</v>
      </c>
      <c r="G386" t="s">
        <v>3201</v>
      </c>
      <c r="H386">
        <v>2016</v>
      </c>
      <c r="I386">
        <v>1</v>
      </c>
      <c r="J386">
        <v>100</v>
      </c>
      <c r="K386">
        <v>120</v>
      </c>
      <c r="L386">
        <v>0</v>
      </c>
      <c r="M386">
        <v>1</v>
      </c>
      <c r="N386">
        <v>0</v>
      </c>
      <c r="O386" t="str">
        <f t="shared" ref="O386:O449" si="27">IF(L386=1,"W",IF(M386=1,"L","T"))&amp;" "&amp;J386&amp;"-"&amp;K386&amp;" vs. "&amp;F386</f>
        <v>L 100-120 vs. Anthony</v>
      </c>
    </row>
    <row r="387" spans="1:15" ht="15" customHeight="1" x14ac:dyDescent="0.25">
      <c r="A387">
        <f t="shared" ref="A387:A394" si="28">A386+1</f>
        <v>386</v>
      </c>
      <c r="B387" t="s">
        <v>3220</v>
      </c>
      <c r="C387" t="s">
        <v>3222</v>
      </c>
      <c r="D387" t="s">
        <v>3224</v>
      </c>
      <c r="E387" t="str">
        <f t="shared" si="25"/>
        <v>Carter</v>
      </c>
      <c r="F387" t="str">
        <f t="shared" si="26"/>
        <v>Taylor</v>
      </c>
      <c r="G387" t="s">
        <v>3200</v>
      </c>
      <c r="H387">
        <v>2014</v>
      </c>
      <c r="I387">
        <v>11</v>
      </c>
      <c r="J387">
        <v>100</v>
      </c>
      <c r="K387">
        <v>112</v>
      </c>
      <c r="L387">
        <v>0</v>
      </c>
      <c r="M387">
        <v>1</v>
      </c>
      <c r="N387">
        <v>0</v>
      </c>
      <c r="O387" t="str">
        <f t="shared" si="27"/>
        <v>L 100-112 vs. Taylor</v>
      </c>
    </row>
    <row r="388" spans="1:15" ht="15" customHeight="1" x14ac:dyDescent="0.25">
      <c r="A388">
        <f t="shared" si="28"/>
        <v>387</v>
      </c>
      <c r="B388" t="s">
        <v>3220</v>
      </c>
      <c r="C388" t="s">
        <v>3218</v>
      </c>
      <c r="D388" t="s">
        <v>3224</v>
      </c>
      <c r="E388" t="str">
        <f t="shared" si="25"/>
        <v>Carter</v>
      </c>
      <c r="F388" t="str">
        <f t="shared" si="26"/>
        <v>Matthew</v>
      </c>
      <c r="G388" t="s">
        <v>3219</v>
      </c>
      <c r="H388">
        <v>2014</v>
      </c>
      <c r="I388">
        <v>6</v>
      </c>
      <c r="J388">
        <v>100</v>
      </c>
      <c r="K388">
        <v>108</v>
      </c>
      <c r="L388">
        <v>0</v>
      </c>
      <c r="M388">
        <v>1</v>
      </c>
      <c r="N388">
        <v>0</v>
      </c>
      <c r="O388" t="str">
        <f t="shared" si="27"/>
        <v>L 100-108 vs. Matthew</v>
      </c>
    </row>
    <row r="389" spans="1:15" x14ac:dyDescent="0.25">
      <c r="A389">
        <f t="shared" si="28"/>
        <v>388</v>
      </c>
      <c r="B389" t="s">
        <v>3213</v>
      </c>
      <c r="C389" t="s">
        <v>3215</v>
      </c>
      <c r="D389" t="s">
        <v>3214</v>
      </c>
      <c r="E389" t="str">
        <f t="shared" si="25"/>
        <v>Cory</v>
      </c>
      <c r="F389" t="str">
        <f t="shared" si="26"/>
        <v>Devon</v>
      </c>
      <c r="G389" t="s">
        <v>3199</v>
      </c>
      <c r="H389">
        <v>2017</v>
      </c>
      <c r="I389">
        <v>5</v>
      </c>
      <c r="J389">
        <v>100</v>
      </c>
      <c r="K389">
        <v>105</v>
      </c>
      <c r="L389">
        <v>0</v>
      </c>
      <c r="M389">
        <v>1</v>
      </c>
      <c r="N389">
        <v>0</v>
      </c>
      <c r="O389" t="str">
        <f t="shared" si="27"/>
        <v>L 100-105 vs. Devon</v>
      </c>
    </row>
    <row r="390" spans="1:15" ht="15" customHeight="1" x14ac:dyDescent="0.25">
      <c r="A390">
        <f t="shared" si="28"/>
        <v>389</v>
      </c>
      <c r="B390" t="s">
        <v>3212</v>
      </c>
      <c r="C390" t="s">
        <v>3216</v>
      </c>
      <c r="D390" t="s">
        <v>3198</v>
      </c>
      <c r="E390" t="str">
        <f t="shared" si="25"/>
        <v>Ty</v>
      </c>
      <c r="F390" t="str">
        <f t="shared" si="26"/>
        <v>Seth</v>
      </c>
      <c r="G390" t="s">
        <v>3217</v>
      </c>
      <c r="H390">
        <v>2016</v>
      </c>
      <c r="I390">
        <v>9</v>
      </c>
      <c r="J390">
        <v>100</v>
      </c>
      <c r="K390">
        <v>103</v>
      </c>
      <c r="L390">
        <v>0</v>
      </c>
      <c r="M390">
        <v>1</v>
      </c>
      <c r="N390">
        <v>0</v>
      </c>
      <c r="O390" t="str">
        <f t="shared" si="27"/>
        <v>L 100-103 vs. Seth</v>
      </c>
    </row>
    <row r="391" spans="1:15" ht="15" customHeight="1" x14ac:dyDescent="0.25">
      <c r="A391">
        <f t="shared" si="28"/>
        <v>390</v>
      </c>
      <c r="B391" t="s">
        <v>3215</v>
      </c>
      <c r="C391" t="s">
        <v>3216</v>
      </c>
      <c r="D391" t="s">
        <v>3199</v>
      </c>
      <c r="E391" t="str">
        <f t="shared" si="25"/>
        <v>Devon</v>
      </c>
      <c r="F391" t="str">
        <f t="shared" si="26"/>
        <v>Seth</v>
      </c>
      <c r="G391" t="s">
        <v>3217</v>
      </c>
      <c r="H391">
        <v>2017</v>
      </c>
      <c r="I391">
        <v>8</v>
      </c>
      <c r="J391">
        <v>100</v>
      </c>
      <c r="K391">
        <v>85</v>
      </c>
      <c r="L391">
        <v>1</v>
      </c>
      <c r="M391">
        <v>0</v>
      </c>
      <c r="N391">
        <v>0</v>
      </c>
      <c r="O391" t="str">
        <f t="shared" si="27"/>
        <v>W 100-85 vs. Seth</v>
      </c>
    </row>
    <row r="392" spans="1:15" ht="15" customHeight="1" x14ac:dyDescent="0.25">
      <c r="A392">
        <f t="shared" si="28"/>
        <v>391</v>
      </c>
      <c r="B392" t="s">
        <v>3213</v>
      </c>
      <c r="C392" t="s">
        <v>3220</v>
      </c>
      <c r="D392" t="s">
        <v>3214</v>
      </c>
      <c r="E392" t="str">
        <f t="shared" si="25"/>
        <v>Cory</v>
      </c>
      <c r="F392" t="str">
        <f t="shared" si="26"/>
        <v>Perry</v>
      </c>
      <c r="G392" t="s">
        <v>3226</v>
      </c>
      <c r="H392">
        <v>2017</v>
      </c>
      <c r="I392">
        <v>1</v>
      </c>
      <c r="J392">
        <v>100</v>
      </c>
      <c r="K392">
        <v>82</v>
      </c>
      <c r="L392">
        <v>1</v>
      </c>
      <c r="M392">
        <v>0</v>
      </c>
      <c r="N392">
        <v>0</v>
      </c>
      <c r="O392" t="str">
        <f t="shared" si="27"/>
        <v>W 100-82 vs. Perry</v>
      </c>
    </row>
    <row r="393" spans="1:15" ht="15" customHeight="1" x14ac:dyDescent="0.25">
      <c r="A393">
        <f t="shared" si="28"/>
        <v>392</v>
      </c>
      <c r="B393" t="s">
        <v>3211</v>
      </c>
      <c r="C393" t="s">
        <v>3218</v>
      </c>
      <c r="D393" t="s">
        <v>3201</v>
      </c>
      <c r="E393" t="str">
        <f t="shared" si="25"/>
        <v>Anthony</v>
      </c>
      <c r="F393" t="str">
        <f t="shared" si="26"/>
        <v>Matthew</v>
      </c>
      <c r="G393" t="s">
        <v>3219</v>
      </c>
      <c r="H393">
        <v>2015</v>
      </c>
      <c r="I393">
        <v>13</v>
      </c>
      <c r="J393">
        <v>100</v>
      </c>
      <c r="K393">
        <v>64</v>
      </c>
      <c r="L393">
        <v>1</v>
      </c>
      <c r="M393">
        <v>0</v>
      </c>
      <c r="N393">
        <v>0</v>
      </c>
      <c r="O393" t="str">
        <f t="shared" si="27"/>
        <v>W 100-64 vs. Matthew</v>
      </c>
    </row>
    <row r="394" spans="1:15" ht="15" customHeight="1" x14ac:dyDescent="0.25">
      <c r="A394">
        <f t="shared" si="28"/>
        <v>393</v>
      </c>
      <c r="B394" t="s">
        <v>3216</v>
      </c>
      <c r="C394" t="s">
        <v>3218</v>
      </c>
      <c r="D394" t="s">
        <v>3217</v>
      </c>
      <c r="E394" t="str">
        <f t="shared" si="25"/>
        <v>Seth</v>
      </c>
      <c r="F394" t="str">
        <f t="shared" si="26"/>
        <v>Matthew</v>
      </c>
      <c r="G394" t="s">
        <v>3219</v>
      </c>
      <c r="H394">
        <v>2015</v>
      </c>
      <c r="I394">
        <v>2</v>
      </c>
      <c r="J394">
        <v>100</v>
      </c>
      <c r="K394">
        <v>54</v>
      </c>
      <c r="L394">
        <v>1</v>
      </c>
      <c r="M394">
        <v>0</v>
      </c>
      <c r="N394">
        <v>0</v>
      </c>
      <c r="O394" t="str">
        <f t="shared" si="27"/>
        <v>W 100-54 vs. Matthew</v>
      </c>
    </row>
    <row r="395" spans="1:15" ht="15" customHeight="1" x14ac:dyDescent="0.25">
      <c r="A395">
        <v>1</v>
      </c>
      <c r="B395" t="s">
        <v>3215</v>
      </c>
      <c r="C395" t="s">
        <v>3213</v>
      </c>
      <c r="D395" t="s">
        <v>3199</v>
      </c>
      <c r="E395" t="str">
        <f t="shared" si="25"/>
        <v>Devon</v>
      </c>
      <c r="F395" t="str">
        <f t="shared" si="26"/>
        <v>Cory</v>
      </c>
      <c r="G395" t="s">
        <v>3214</v>
      </c>
      <c r="H395">
        <v>2016</v>
      </c>
      <c r="I395">
        <v>9</v>
      </c>
      <c r="J395">
        <v>101</v>
      </c>
      <c r="K395">
        <v>174</v>
      </c>
      <c r="L395">
        <v>0</v>
      </c>
      <c r="M395">
        <v>1</v>
      </c>
      <c r="N395">
        <v>0</v>
      </c>
      <c r="O395" t="str">
        <f t="shared" si="27"/>
        <v>L 101-174 vs. Cory</v>
      </c>
    </row>
    <row r="396" spans="1:15" ht="15" customHeight="1" x14ac:dyDescent="0.25">
      <c r="A396">
        <f t="shared" ref="A396:A459" si="29">A395+1</f>
        <v>2</v>
      </c>
      <c r="B396" t="s">
        <v>3215</v>
      </c>
      <c r="C396" t="s">
        <v>3213</v>
      </c>
      <c r="D396" t="s">
        <v>3199</v>
      </c>
      <c r="E396" t="str">
        <f t="shared" si="25"/>
        <v>Devon</v>
      </c>
      <c r="F396" t="str">
        <f t="shared" si="26"/>
        <v>Cory</v>
      </c>
      <c r="G396" t="s">
        <v>3214</v>
      </c>
      <c r="H396">
        <v>2015</v>
      </c>
      <c r="I396">
        <v>5</v>
      </c>
      <c r="J396">
        <v>101</v>
      </c>
      <c r="K396">
        <v>122</v>
      </c>
      <c r="L396">
        <v>0</v>
      </c>
      <c r="M396">
        <v>1</v>
      </c>
      <c r="N396">
        <v>0</v>
      </c>
      <c r="O396" t="str">
        <f t="shared" si="27"/>
        <v>L 101-122 vs. Cory</v>
      </c>
    </row>
    <row r="397" spans="1:15" ht="15" customHeight="1" x14ac:dyDescent="0.25">
      <c r="A397">
        <f t="shared" si="29"/>
        <v>3</v>
      </c>
      <c r="B397" t="s">
        <v>3213</v>
      </c>
      <c r="C397" t="s">
        <v>3211</v>
      </c>
      <c r="D397" t="s">
        <v>3214</v>
      </c>
      <c r="E397" t="str">
        <f t="shared" si="25"/>
        <v>Cory</v>
      </c>
      <c r="F397" t="str">
        <f t="shared" si="26"/>
        <v>Anthony</v>
      </c>
      <c r="G397" t="s">
        <v>3201</v>
      </c>
      <c r="H397">
        <v>2016</v>
      </c>
      <c r="I397">
        <v>6</v>
      </c>
      <c r="J397">
        <v>101</v>
      </c>
      <c r="K397">
        <v>119</v>
      </c>
      <c r="L397">
        <v>0</v>
      </c>
      <c r="M397">
        <v>1</v>
      </c>
      <c r="N397">
        <v>0</v>
      </c>
      <c r="O397" t="str">
        <f t="shared" si="27"/>
        <v>L 101-119 vs. Anthony</v>
      </c>
    </row>
    <row r="398" spans="1:15" ht="15" customHeight="1" x14ac:dyDescent="0.25">
      <c r="A398">
        <f t="shared" si="29"/>
        <v>4</v>
      </c>
      <c r="B398" t="s">
        <v>3213</v>
      </c>
      <c r="C398" t="s">
        <v>3209</v>
      </c>
      <c r="D398" t="s">
        <v>3214</v>
      </c>
      <c r="E398" t="str">
        <f t="shared" si="25"/>
        <v>Cory</v>
      </c>
      <c r="F398" t="str">
        <f t="shared" si="26"/>
        <v>Scott</v>
      </c>
      <c r="G398" t="s">
        <v>3227</v>
      </c>
      <c r="H398">
        <v>2015</v>
      </c>
      <c r="I398">
        <v>13</v>
      </c>
      <c r="J398">
        <v>101</v>
      </c>
      <c r="K398">
        <v>92</v>
      </c>
      <c r="L398">
        <v>1</v>
      </c>
      <c r="M398">
        <v>0</v>
      </c>
      <c r="N398">
        <v>0</v>
      </c>
      <c r="O398" t="str">
        <f t="shared" si="27"/>
        <v>W 101-92 vs. Scott</v>
      </c>
    </row>
    <row r="399" spans="1:15" ht="15" customHeight="1" x14ac:dyDescent="0.25">
      <c r="A399">
        <f t="shared" si="29"/>
        <v>5</v>
      </c>
      <c r="B399" t="s">
        <v>3218</v>
      </c>
      <c r="C399" t="s">
        <v>3211</v>
      </c>
      <c r="D399" t="s">
        <v>3219</v>
      </c>
      <c r="E399" t="str">
        <f t="shared" si="25"/>
        <v>Matthew</v>
      </c>
      <c r="F399" t="str">
        <f t="shared" si="26"/>
        <v>Anthony</v>
      </c>
      <c r="G399" t="s">
        <v>3201</v>
      </c>
      <c r="H399">
        <v>2014</v>
      </c>
      <c r="I399">
        <v>5</v>
      </c>
      <c r="J399">
        <v>101</v>
      </c>
      <c r="K399">
        <v>91</v>
      </c>
      <c r="L399">
        <v>1</v>
      </c>
      <c r="M399">
        <v>0</v>
      </c>
      <c r="N399">
        <v>0</v>
      </c>
      <c r="O399" t="str">
        <f t="shared" si="27"/>
        <v>W 101-91 vs. Anthony</v>
      </c>
    </row>
    <row r="400" spans="1:15" ht="15" customHeight="1" x14ac:dyDescent="0.25">
      <c r="A400">
        <f t="shared" si="29"/>
        <v>6</v>
      </c>
      <c r="B400" t="s">
        <v>3209</v>
      </c>
      <c r="C400" t="s">
        <v>3222</v>
      </c>
      <c r="D400" t="s">
        <v>3227</v>
      </c>
      <c r="E400" t="str">
        <f t="shared" si="25"/>
        <v>Scott</v>
      </c>
      <c r="F400" t="str">
        <f t="shared" si="26"/>
        <v>Taylor</v>
      </c>
      <c r="G400" t="s">
        <v>3200</v>
      </c>
      <c r="H400">
        <v>2015</v>
      </c>
      <c r="I400">
        <v>5</v>
      </c>
      <c r="J400">
        <v>101</v>
      </c>
      <c r="K400">
        <v>81</v>
      </c>
      <c r="L400">
        <v>1</v>
      </c>
      <c r="M400">
        <v>0</v>
      </c>
      <c r="N400">
        <v>0</v>
      </c>
      <c r="O400" t="str">
        <f t="shared" si="27"/>
        <v>W 101-81 vs. Taylor</v>
      </c>
    </row>
    <row r="401" spans="1:15" ht="15" customHeight="1" x14ac:dyDescent="0.25">
      <c r="A401">
        <f t="shared" si="29"/>
        <v>7</v>
      </c>
      <c r="B401" t="s">
        <v>3208</v>
      </c>
      <c r="C401" t="s">
        <v>3216</v>
      </c>
      <c r="D401" t="s">
        <v>3225</v>
      </c>
      <c r="E401" t="str">
        <f t="shared" si="25"/>
        <v>Chad</v>
      </c>
      <c r="F401" t="str">
        <f t="shared" si="26"/>
        <v>Seth</v>
      </c>
      <c r="G401" t="s">
        <v>3217</v>
      </c>
      <c r="H401">
        <v>2016</v>
      </c>
      <c r="I401">
        <v>4</v>
      </c>
      <c r="J401">
        <v>101</v>
      </c>
      <c r="K401">
        <v>60</v>
      </c>
      <c r="L401">
        <v>1</v>
      </c>
      <c r="M401">
        <v>0</v>
      </c>
      <c r="N401">
        <v>0</v>
      </c>
      <c r="O401" t="str">
        <f t="shared" si="27"/>
        <v>W 101-60 vs. Seth</v>
      </c>
    </row>
    <row r="402" spans="1:15" x14ac:dyDescent="0.25">
      <c r="A402">
        <f t="shared" si="29"/>
        <v>8</v>
      </c>
      <c r="B402" t="s">
        <v>3220</v>
      </c>
      <c r="C402" t="s">
        <v>3209</v>
      </c>
      <c r="D402" t="s">
        <v>3226</v>
      </c>
      <c r="E402" t="str">
        <f t="shared" si="25"/>
        <v>Perry</v>
      </c>
      <c r="F402" t="str">
        <f t="shared" si="26"/>
        <v>Scott</v>
      </c>
      <c r="G402" t="s">
        <v>3227</v>
      </c>
      <c r="H402">
        <v>2017</v>
      </c>
      <c r="I402">
        <v>3</v>
      </c>
      <c r="J402">
        <v>102</v>
      </c>
      <c r="K402">
        <v>132</v>
      </c>
      <c r="L402">
        <v>0</v>
      </c>
      <c r="M402">
        <v>1</v>
      </c>
      <c r="N402">
        <v>0</v>
      </c>
      <c r="O402" t="str">
        <f t="shared" si="27"/>
        <v>L 102-132 vs. Scott</v>
      </c>
    </row>
    <row r="403" spans="1:15" ht="15" customHeight="1" x14ac:dyDescent="0.25">
      <c r="A403">
        <f t="shared" si="29"/>
        <v>9</v>
      </c>
      <c r="B403" t="s">
        <v>3220</v>
      </c>
      <c r="C403" t="s">
        <v>3218</v>
      </c>
      <c r="D403" t="s">
        <v>3226</v>
      </c>
      <c r="E403" t="str">
        <f t="shared" si="25"/>
        <v>Perry</v>
      </c>
      <c r="F403" t="str">
        <f t="shared" si="26"/>
        <v>Matthew</v>
      </c>
      <c r="G403" t="s">
        <v>3219</v>
      </c>
      <c r="H403">
        <v>2017</v>
      </c>
      <c r="I403">
        <v>6</v>
      </c>
      <c r="J403">
        <v>102</v>
      </c>
      <c r="K403">
        <v>119</v>
      </c>
      <c r="L403">
        <v>0</v>
      </c>
      <c r="M403">
        <v>1</v>
      </c>
      <c r="N403">
        <v>0</v>
      </c>
      <c r="O403" t="str">
        <f t="shared" si="27"/>
        <v>L 102-119 vs. Matthew</v>
      </c>
    </row>
    <row r="404" spans="1:15" ht="15" customHeight="1" x14ac:dyDescent="0.25">
      <c r="A404">
        <f t="shared" si="29"/>
        <v>10</v>
      </c>
      <c r="B404" t="s">
        <v>3209</v>
      </c>
      <c r="C404" t="s">
        <v>3213</v>
      </c>
      <c r="D404" t="s">
        <v>3227</v>
      </c>
      <c r="E404" t="str">
        <f t="shared" si="25"/>
        <v>Scott</v>
      </c>
      <c r="F404" t="str">
        <f t="shared" si="26"/>
        <v>Cory</v>
      </c>
      <c r="G404" t="s">
        <v>3214</v>
      </c>
      <c r="H404">
        <v>2013</v>
      </c>
      <c r="I404">
        <v>4</v>
      </c>
      <c r="J404">
        <v>102</v>
      </c>
      <c r="K404">
        <v>115</v>
      </c>
      <c r="L404">
        <v>0</v>
      </c>
      <c r="M404">
        <v>1</v>
      </c>
      <c r="N404">
        <v>0</v>
      </c>
      <c r="O404" t="str">
        <f t="shared" si="27"/>
        <v>L 102-115 vs. Cory</v>
      </c>
    </row>
    <row r="405" spans="1:15" ht="15" customHeight="1" x14ac:dyDescent="0.25">
      <c r="A405">
        <f t="shared" si="29"/>
        <v>11</v>
      </c>
      <c r="B405" t="s">
        <v>3208</v>
      </c>
      <c r="C405" t="s">
        <v>3220</v>
      </c>
      <c r="D405" t="s">
        <v>3225</v>
      </c>
      <c r="E405" t="str">
        <f t="shared" si="25"/>
        <v>Chad</v>
      </c>
      <c r="F405" t="str">
        <f t="shared" si="26"/>
        <v>Perry</v>
      </c>
      <c r="G405" t="s">
        <v>3226</v>
      </c>
      <c r="H405">
        <v>2017</v>
      </c>
      <c r="I405">
        <v>7</v>
      </c>
      <c r="J405">
        <v>102</v>
      </c>
      <c r="K405">
        <v>115</v>
      </c>
      <c r="L405">
        <v>0</v>
      </c>
      <c r="M405">
        <v>1</v>
      </c>
      <c r="N405">
        <v>0</v>
      </c>
      <c r="O405" t="str">
        <f t="shared" si="27"/>
        <v>L 102-115 vs. Perry</v>
      </c>
    </row>
    <row r="406" spans="1:15" ht="15" customHeight="1" x14ac:dyDescent="0.25">
      <c r="A406">
        <f t="shared" si="29"/>
        <v>12</v>
      </c>
      <c r="B406" t="s">
        <v>3213</v>
      </c>
      <c r="C406" t="s">
        <v>3220</v>
      </c>
      <c r="D406" t="s">
        <v>3214</v>
      </c>
      <c r="E406" t="str">
        <f t="shared" si="25"/>
        <v>Cory</v>
      </c>
      <c r="F406" t="str">
        <f t="shared" si="26"/>
        <v>Lucas</v>
      </c>
      <c r="G406" t="s">
        <v>3221</v>
      </c>
      <c r="H406">
        <v>2013</v>
      </c>
      <c r="I406">
        <v>11</v>
      </c>
      <c r="J406">
        <v>102</v>
      </c>
      <c r="K406">
        <v>110</v>
      </c>
      <c r="L406">
        <v>0</v>
      </c>
      <c r="M406">
        <v>1</v>
      </c>
      <c r="N406">
        <v>0</v>
      </c>
      <c r="O406" t="str">
        <f t="shared" si="27"/>
        <v>L 102-110 vs. Lucas</v>
      </c>
    </row>
    <row r="407" spans="1:15" x14ac:dyDescent="0.25">
      <c r="A407">
        <f t="shared" si="29"/>
        <v>13</v>
      </c>
      <c r="B407" t="s">
        <v>3216</v>
      </c>
      <c r="C407" t="s">
        <v>3211</v>
      </c>
      <c r="D407" t="s">
        <v>3217</v>
      </c>
      <c r="E407" t="str">
        <f t="shared" si="25"/>
        <v>Seth</v>
      </c>
      <c r="F407" t="str">
        <f t="shared" si="26"/>
        <v>Anthony</v>
      </c>
      <c r="G407" t="s">
        <v>3201</v>
      </c>
      <c r="H407">
        <v>2016</v>
      </c>
      <c r="I407">
        <v>3</v>
      </c>
      <c r="J407">
        <v>102</v>
      </c>
      <c r="K407">
        <v>107</v>
      </c>
      <c r="L407">
        <v>0</v>
      </c>
      <c r="M407">
        <v>1</v>
      </c>
      <c r="N407">
        <v>0</v>
      </c>
      <c r="O407" t="str">
        <f t="shared" si="27"/>
        <v>L 102-107 vs. Anthony</v>
      </c>
    </row>
    <row r="408" spans="1:15" ht="15" customHeight="1" x14ac:dyDescent="0.25">
      <c r="A408">
        <f t="shared" si="29"/>
        <v>14</v>
      </c>
      <c r="B408" t="s">
        <v>3211</v>
      </c>
      <c r="C408" t="s">
        <v>3212</v>
      </c>
      <c r="D408" t="s">
        <v>3201</v>
      </c>
      <c r="E408" t="str">
        <f t="shared" si="25"/>
        <v>Anthony</v>
      </c>
      <c r="F408" t="str">
        <f t="shared" si="26"/>
        <v>Ty</v>
      </c>
      <c r="G408" t="s">
        <v>3198</v>
      </c>
      <c r="H408">
        <v>2014</v>
      </c>
      <c r="I408">
        <v>12</v>
      </c>
      <c r="J408">
        <v>102</v>
      </c>
      <c r="K408">
        <v>99</v>
      </c>
      <c r="L408">
        <v>1</v>
      </c>
      <c r="M408">
        <v>0</v>
      </c>
      <c r="N408">
        <v>0</v>
      </c>
      <c r="O408" t="str">
        <f t="shared" si="27"/>
        <v>W 102-99 vs. Ty</v>
      </c>
    </row>
    <row r="409" spans="1:15" x14ac:dyDescent="0.25">
      <c r="A409">
        <f t="shared" si="29"/>
        <v>15</v>
      </c>
      <c r="B409" t="s">
        <v>3216</v>
      </c>
      <c r="C409" t="s">
        <v>3220</v>
      </c>
      <c r="D409" t="s">
        <v>3217</v>
      </c>
      <c r="E409" t="str">
        <f t="shared" si="25"/>
        <v>Seth</v>
      </c>
      <c r="F409" t="str">
        <f t="shared" si="26"/>
        <v>Lucas</v>
      </c>
      <c r="G409" t="s">
        <v>3221</v>
      </c>
      <c r="H409">
        <v>2013</v>
      </c>
      <c r="I409">
        <v>12</v>
      </c>
      <c r="J409">
        <v>102</v>
      </c>
      <c r="K409">
        <v>87</v>
      </c>
      <c r="L409">
        <v>1</v>
      </c>
      <c r="M409">
        <v>0</v>
      </c>
      <c r="N409">
        <v>0</v>
      </c>
      <c r="O409" t="str">
        <f t="shared" si="27"/>
        <v>W 102-87 vs. Lucas</v>
      </c>
    </row>
    <row r="410" spans="1:15" ht="15" customHeight="1" x14ac:dyDescent="0.25">
      <c r="A410">
        <f t="shared" si="29"/>
        <v>16</v>
      </c>
      <c r="B410" t="s">
        <v>3213</v>
      </c>
      <c r="C410" t="s">
        <v>3212</v>
      </c>
      <c r="D410" t="s">
        <v>3214</v>
      </c>
      <c r="E410" t="str">
        <f t="shared" si="25"/>
        <v>Cory</v>
      </c>
      <c r="F410" t="str">
        <f t="shared" si="26"/>
        <v>Ty</v>
      </c>
      <c r="G410" t="s">
        <v>3198</v>
      </c>
      <c r="H410">
        <v>2016</v>
      </c>
      <c r="I410">
        <v>2</v>
      </c>
      <c r="J410">
        <v>102</v>
      </c>
      <c r="K410">
        <v>82</v>
      </c>
      <c r="L410">
        <v>1</v>
      </c>
      <c r="M410">
        <v>0</v>
      </c>
      <c r="N410">
        <v>0</v>
      </c>
      <c r="O410" t="str">
        <f t="shared" si="27"/>
        <v>W 102-82 vs. Ty</v>
      </c>
    </row>
    <row r="411" spans="1:15" ht="15" customHeight="1" x14ac:dyDescent="0.25">
      <c r="A411">
        <f t="shared" si="29"/>
        <v>17</v>
      </c>
      <c r="B411" t="s">
        <v>3222</v>
      </c>
      <c r="C411" t="s">
        <v>3209</v>
      </c>
      <c r="D411" t="s">
        <v>3200</v>
      </c>
      <c r="E411" t="str">
        <f t="shared" si="25"/>
        <v>Taylor</v>
      </c>
      <c r="F411" t="str">
        <f t="shared" si="26"/>
        <v>Scott</v>
      </c>
      <c r="G411" t="s">
        <v>3227</v>
      </c>
      <c r="H411">
        <v>2014</v>
      </c>
      <c r="I411">
        <v>5</v>
      </c>
      <c r="J411">
        <v>102</v>
      </c>
      <c r="K411">
        <v>73</v>
      </c>
      <c r="L411">
        <v>1</v>
      </c>
      <c r="M411">
        <v>0</v>
      </c>
      <c r="N411">
        <v>0</v>
      </c>
      <c r="O411" t="str">
        <f t="shared" si="27"/>
        <v>W 102-73 vs. Scott</v>
      </c>
    </row>
    <row r="412" spans="1:15" x14ac:dyDescent="0.25">
      <c r="A412">
        <f t="shared" si="29"/>
        <v>18</v>
      </c>
      <c r="B412" t="s">
        <v>3220</v>
      </c>
      <c r="C412" t="s">
        <v>3222</v>
      </c>
      <c r="D412" t="s">
        <v>3226</v>
      </c>
      <c r="E412" t="str">
        <f t="shared" si="25"/>
        <v>Perry</v>
      </c>
      <c r="F412" t="str">
        <f t="shared" si="26"/>
        <v>Jason</v>
      </c>
      <c r="G412" t="s">
        <v>3228</v>
      </c>
      <c r="H412">
        <v>2017</v>
      </c>
      <c r="I412">
        <v>2</v>
      </c>
      <c r="J412">
        <v>102</v>
      </c>
      <c r="K412">
        <v>60</v>
      </c>
      <c r="L412">
        <v>1</v>
      </c>
      <c r="M412">
        <v>0</v>
      </c>
      <c r="N412">
        <v>0</v>
      </c>
      <c r="O412" t="str">
        <f t="shared" si="27"/>
        <v>W 102-60 vs. Jason</v>
      </c>
    </row>
    <row r="413" spans="1:15" ht="15" customHeight="1" x14ac:dyDescent="0.25">
      <c r="A413">
        <f t="shared" si="29"/>
        <v>19</v>
      </c>
      <c r="B413" t="s">
        <v>3212</v>
      </c>
      <c r="C413" t="s">
        <v>3216</v>
      </c>
      <c r="D413" t="s">
        <v>3198</v>
      </c>
      <c r="E413" t="str">
        <f t="shared" si="25"/>
        <v>Ty</v>
      </c>
      <c r="F413" t="str">
        <f t="shared" si="26"/>
        <v>Seth</v>
      </c>
      <c r="G413" t="s">
        <v>3217</v>
      </c>
      <c r="H413">
        <v>2015</v>
      </c>
      <c r="I413">
        <v>9</v>
      </c>
      <c r="J413">
        <v>103</v>
      </c>
      <c r="K413">
        <v>143</v>
      </c>
      <c r="L413">
        <v>0</v>
      </c>
      <c r="M413">
        <v>1</v>
      </c>
      <c r="N413">
        <v>0</v>
      </c>
      <c r="O413" t="str">
        <f t="shared" si="27"/>
        <v>L 103-143 vs. Seth</v>
      </c>
    </row>
    <row r="414" spans="1:15" ht="15" customHeight="1" x14ac:dyDescent="0.25">
      <c r="A414">
        <f t="shared" si="29"/>
        <v>20</v>
      </c>
      <c r="B414" t="s">
        <v>3209</v>
      </c>
      <c r="C414" t="s">
        <v>3216</v>
      </c>
      <c r="D414" t="s">
        <v>3227</v>
      </c>
      <c r="E414" t="str">
        <f t="shared" si="25"/>
        <v>Scott</v>
      </c>
      <c r="F414" t="str">
        <f t="shared" si="26"/>
        <v>Seth</v>
      </c>
      <c r="G414" t="s">
        <v>3217</v>
      </c>
      <c r="H414">
        <v>2014</v>
      </c>
      <c r="I414">
        <v>6</v>
      </c>
      <c r="J414">
        <v>103</v>
      </c>
      <c r="K414">
        <v>130</v>
      </c>
      <c r="L414">
        <v>0</v>
      </c>
      <c r="M414">
        <v>1</v>
      </c>
      <c r="N414">
        <v>0</v>
      </c>
      <c r="O414" t="str">
        <f t="shared" si="27"/>
        <v>L 103-130 vs. Seth</v>
      </c>
    </row>
    <row r="415" spans="1:15" ht="15" customHeight="1" x14ac:dyDescent="0.25">
      <c r="A415">
        <f t="shared" si="29"/>
        <v>21</v>
      </c>
      <c r="B415" t="s">
        <v>3212</v>
      </c>
      <c r="C415" t="s">
        <v>3208</v>
      </c>
      <c r="D415" t="s">
        <v>3198</v>
      </c>
      <c r="E415" t="str">
        <f t="shared" si="25"/>
        <v>Ty</v>
      </c>
      <c r="F415" t="str">
        <f t="shared" si="26"/>
        <v>Chad</v>
      </c>
      <c r="G415" t="s">
        <v>3225</v>
      </c>
      <c r="H415">
        <v>2014</v>
      </c>
      <c r="I415">
        <v>13</v>
      </c>
      <c r="J415">
        <v>103</v>
      </c>
      <c r="K415">
        <v>120</v>
      </c>
      <c r="L415">
        <v>0</v>
      </c>
      <c r="M415">
        <v>1</v>
      </c>
      <c r="N415">
        <v>0</v>
      </c>
      <c r="O415" t="str">
        <f t="shared" si="27"/>
        <v>L 103-120 vs. Chad</v>
      </c>
    </row>
    <row r="416" spans="1:15" ht="15" customHeight="1" x14ac:dyDescent="0.25">
      <c r="A416">
        <f t="shared" si="29"/>
        <v>22</v>
      </c>
      <c r="B416" t="s">
        <v>3213</v>
      </c>
      <c r="C416" t="s">
        <v>3212</v>
      </c>
      <c r="D416" t="s">
        <v>3214</v>
      </c>
      <c r="E416" t="str">
        <f t="shared" si="25"/>
        <v>Cory</v>
      </c>
      <c r="F416" t="str">
        <f t="shared" si="26"/>
        <v>Ty</v>
      </c>
      <c r="G416" t="s">
        <v>3198</v>
      </c>
      <c r="H416">
        <v>2013</v>
      </c>
      <c r="I416">
        <v>1</v>
      </c>
      <c r="J416">
        <v>103</v>
      </c>
      <c r="K416">
        <v>113</v>
      </c>
      <c r="L416">
        <v>0</v>
      </c>
      <c r="M416">
        <v>1</v>
      </c>
      <c r="N416">
        <v>0</v>
      </c>
      <c r="O416" t="str">
        <f t="shared" si="27"/>
        <v>L 103-113 vs. Ty</v>
      </c>
    </row>
    <row r="417" spans="1:15" ht="15" customHeight="1" x14ac:dyDescent="0.25">
      <c r="A417">
        <f t="shared" si="29"/>
        <v>23</v>
      </c>
      <c r="B417" t="s">
        <v>3208</v>
      </c>
      <c r="C417" t="s">
        <v>3209</v>
      </c>
      <c r="D417" t="s">
        <v>3210</v>
      </c>
      <c r="E417" t="str">
        <f t="shared" si="25"/>
        <v>Spencer</v>
      </c>
      <c r="F417" t="str">
        <f t="shared" si="26"/>
        <v>Scott</v>
      </c>
      <c r="G417" t="s">
        <v>3227</v>
      </c>
      <c r="H417">
        <v>2013</v>
      </c>
      <c r="I417">
        <v>1</v>
      </c>
      <c r="J417">
        <v>103</v>
      </c>
      <c r="K417">
        <v>112</v>
      </c>
      <c r="L417">
        <v>0</v>
      </c>
      <c r="M417">
        <v>1</v>
      </c>
      <c r="N417">
        <v>0</v>
      </c>
      <c r="O417" t="str">
        <f t="shared" si="27"/>
        <v>L 103-112 vs. Scott</v>
      </c>
    </row>
    <row r="418" spans="1:15" ht="15" customHeight="1" x14ac:dyDescent="0.25">
      <c r="A418">
        <f t="shared" si="29"/>
        <v>24</v>
      </c>
      <c r="B418" t="s">
        <v>3208</v>
      </c>
      <c r="C418" t="s">
        <v>3218</v>
      </c>
      <c r="D418" t="s">
        <v>3225</v>
      </c>
      <c r="E418" t="str">
        <f t="shared" si="25"/>
        <v>Chad</v>
      </c>
      <c r="F418" t="str">
        <f t="shared" si="26"/>
        <v>Matthew</v>
      </c>
      <c r="G418" t="s">
        <v>3219</v>
      </c>
      <c r="H418">
        <v>2016</v>
      </c>
      <c r="I418">
        <v>1</v>
      </c>
      <c r="J418">
        <v>103</v>
      </c>
      <c r="K418">
        <v>112</v>
      </c>
      <c r="L418">
        <v>0</v>
      </c>
      <c r="M418">
        <v>1</v>
      </c>
      <c r="N418">
        <v>0</v>
      </c>
      <c r="O418" t="str">
        <f t="shared" si="27"/>
        <v>L 103-112 vs. Matthew</v>
      </c>
    </row>
    <row r="419" spans="1:15" ht="15" customHeight="1" x14ac:dyDescent="0.25">
      <c r="A419">
        <f t="shared" si="29"/>
        <v>25</v>
      </c>
      <c r="B419" t="s">
        <v>3209</v>
      </c>
      <c r="C419" t="s">
        <v>3222</v>
      </c>
      <c r="D419" t="s">
        <v>3227</v>
      </c>
      <c r="E419" t="str">
        <f t="shared" si="25"/>
        <v>Scott</v>
      </c>
      <c r="F419" t="str">
        <f t="shared" si="26"/>
        <v>Taylor</v>
      </c>
      <c r="G419" t="s">
        <v>3200</v>
      </c>
      <c r="H419">
        <v>2014</v>
      </c>
      <c r="I419">
        <v>9</v>
      </c>
      <c r="J419">
        <v>103</v>
      </c>
      <c r="K419">
        <v>109</v>
      </c>
      <c r="L419">
        <v>0</v>
      </c>
      <c r="M419">
        <v>1</v>
      </c>
      <c r="N419">
        <v>0</v>
      </c>
      <c r="O419" t="str">
        <f t="shared" si="27"/>
        <v>L 103-109 vs. Taylor</v>
      </c>
    </row>
    <row r="420" spans="1:15" ht="15" customHeight="1" x14ac:dyDescent="0.25">
      <c r="A420">
        <f t="shared" si="29"/>
        <v>26</v>
      </c>
      <c r="B420" t="s">
        <v>3208</v>
      </c>
      <c r="C420" t="s">
        <v>3213</v>
      </c>
      <c r="D420" t="s">
        <v>3225</v>
      </c>
      <c r="E420" t="str">
        <f t="shared" si="25"/>
        <v>Chad</v>
      </c>
      <c r="F420" t="str">
        <f t="shared" si="26"/>
        <v>Cory</v>
      </c>
      <c r="G420" t="s">
        <v>3214</v>
      </c>
      <c r="H420">
        <v>2016</v>
      </c>
      <c r="I420">
        <v>11</v>
      </c>
      <c r="J420">
        <v>103</v>
      </c>
      <c r="K420">
        <v>107</v>
      </c>
      <c r="L420">
        <v>0</v>
      </c>
      <c r="M420">
        <v>1</v>
      </c>
      <c r="N420">
        <v>0</v>
      </c>
      <c r="O420" t="str">
        <f t="shared" si="27"/>
        <v>L 103-107 vs. Cory</v>
      </c>
    </row>
    <row r="421" spans="1:15" ht="15" customHeight="1" x14ac:dyDescent="0.25">
      <c r="A421">
        <f t="shared" si="29"/>
        <v>27</v>
      </c>
      <c r="B421" t="s">
        <v>3216</v>
      </c>
      <c r="C421" t="s">
        <v>3212</v>
      </c>
      <c r="D421" t="s">
        <v>3217</v>
      </c>
      <c r="E421" t="str">
        <f t="shared" si="25"/>
        <v>Seth</v>
      </c>
      <c r="F421" t="str">
        <f t="shared" si="26"/>
        <v>Ty</v>
      </c>
      <c r="G421" t="s">
        <v>3198</v>
      </c>
      <c r="H421">
        <v>2016</v>
      </c>
      <c r="I421">
        <v>9</v>
      </c>
      <c r="J421">
        <v>103</v>
      </c>
      <c r="K421">
        <v>100</v>
      </c>
      <c r="L421">
        <v>1</v>
      </c>
      <c r="M421">
        <v>0</v>
      </c>
      <c r="N421">
        <v>0</v>
      </c>
      <c r="O421" t="str">
        <f t="shared" si="27"/>
        <v>W 103-100 vs. Ty</v>
      </c>
    </row>
    <row r="422" spans="1:15" ht="15" customHeight="1" x14ac:dyDescent="0.25">
      <c r="A422">
        <f t="shared" si="29"/>
        <v>28</v>
      </c>
      <c r="B422" t="s">
        <v>3218</v>
      </c>
      <c r="C422" t="s">
        <v>3220</v>
      </c>
      <c r="D422" t="s">
        <v>3219</v>
      </c>
      <c r="E422" t="str">
        <f t="shared" si="25"/>
        <v>Matthew</v>
      </c>
      <c r="F422" t="str">
        <f t="shared" si="26"/>
        <v>Lucas</v>
      </c>
      <c r="G422" t="s">
        <v>3221</v>
      </c>
      <c r="H422">
        <v>2013</v>
      </c>
      <c r="I422">
        <v>1</v>
      </c>
      <c r="J422">
        <v>103</v>
      </c>
      <c r="K422">
        <v>94</v>
      </c>
      <c r="L422">
        <v>1</v>
      </c>
      <c r="M422">
        <v>0</v>
      </c>
      <c r="N422">
        <v>0</v>
      </c>
      <c r="O422" t="str">
        <f t="shared" si="27"/>
        <v>W 103-94 vs. Lucas</v>
      </c>
    </row>
    <row r="423" spans="1:15" ht="15" customHeight="1" x14ac:dyDescent="0.25">
      <c r="A423">
        <f t="shared" si="29"/>
        <v>29</v>
      </c>
      <c r="B423" t="s">
        <v>3208</v>
      </c>
      <c r="C423" t="s">
        <v>3220</v>
      </c>
      <c r="D423" t="s">
        <v>3225</v>
      </c>
      <c r="E423" t="str">
        <f t="shared" si="25"/>
        <v>Chad</v>
      </c>
      <c r="F423" t="str">
        <f t="shared" si="26"/>
        <v>Perry</v>
      </c>
      <c r="G423" t="s">
        <v>3226</v>
      </c>
      <c r="H423">
        <v>2015</v>
      </c>
      <c r="I423">
        <v>7</v>
      </c>
      <c r="J423">
        <v>103</v>
      </c>
      <c r="K423">
        <v>90</v>
      </c>
      <c r="L423">
        <v>1</v>
      </c>
      <c r="M423">
        <v>0</v>
      </c>
      <c r="N423">
        <v>0</v>
      </c>
      <c r="O423" t="str">
        <f t="shared" si="27"/>
        <v>W 103-90 vs. Perry</v>
      </c>
    </row>
    <row r="424" spans="1:15" ht="15" customHeight="1" x14ac:dyDescent="0.25">
      <c r="A424">
        <f t="shared" si="29"/>
        <v>30</v>
      </c>
      <c r="B424" t="s">
        <v>3220</v>
      </c>
      <c r="C424" t="s">
        <v>3215</v>
      </c>
      <c r="D424" t="s">
        <v>3226</v>
      </c>
      <c r="E424" t="str">
        <f t="shared" si="25"/>
        <v>Perry</v>
      </c>
      <c r="F424" t="str">
        <f t="shared" si="26"/>
        <v>Devon</v>
      </c>
      <c r="G424" t="s">
        <v>3199</v>
      </c>
      <c r="H424">
        <v>2015</v>
      </c>
      <c r="I424">
        <v>4</v>
      </c>
      <c r="J424">
        <v>103</v>
      </c>
      <c r="K424">
        <v>89</v>
      </c>
      <c r="L424">
        <v>1</v>
      </c>
      <c r="M424">
        <v>0</v>
      </c>
      <c r="N424">
        <v>0</v>
      </c>
      <c r="O424" t="str">
        <f t="shared" si="27"/>
        <v>W 103-89 vs. Devon</v>
      </c>
    </row>
    <row r="425" spans="1:15" ht="15" customHeight="1" x14ac:dyDescent="0.25">
      <c r="A425">
        <f t="shared" si="29"/>
        <v>31</v>
      </c>
      <c r="B425" t="s">
        <v>3218</v>
      </c>
      <c r="C425" t="s">
        <v>3208</v>
      </c>
      <c r="D425" t="s">
        <v>3219</v>
      </c>
      <c r="E425" t="str">
        <f t="shared" si="25"/>
        <v>Matthew</v>
      </c>
      <c r="F425" t="str">
        <f t="shared" si="26"/>
        <v>Chad</v>
      </c>
      <c r="G425" t="s">
        <v>3225</v>
      </c>
      <c r="H425">
        <v>2015</v>
      </c>
      <c r="I425">
        <v>9</v>
      </c>
      <c r="J425">
        <v>103</v>
      </c>
      <c r="K425">
        <v>83</v>
      </c>
      <c r="L425">
        <v>1</v>
      </c>
      <c r="M425">
        <v>0</v>
      </c>
      <c r="N425">
        <v>0</v>
      </c>
      <c r="O425" t="str">
        <f t="shared" si="27"/>
        <v>W 103-83 vs. Chad</v>
      </c>
    </row>
    <row r="426" spans="1:15" ht="15" customHeight="1" x14ac:dyDescent="0.25">
      <c r="A426">
        <f t="shared" si="29"/>
        <v>32</v>
      </c>
      <c r="B426" t="s">
        <v>3208</v>
      </c>
      <c r="C426" t="s">
        <v>3211</v>
      </c>
      <c r="D426" t="s">
        <v>3225</v>
      </c>
      <c r="E426" t="str">
        <f t="shared" si="25"/>
        <v>Chad</v>
      </c>
      <c r="F426" t="str">
        <f t="shared" si="26"/>
        <v>Anthony</v>
      </c>
      <c r="G426" t="s">
        <v>3201</v>
      </c>
      <c r="H426">
        <v>2017</v>
      </c>
      <c r="I426">
        <v>10</v>
      </c>
      <c r="J426">
        <v>103</v>
      </c>
      <c r="K426">
        <v>82</v>
      </c>
      <c r="L426">
        <v>1</v>
      </c>
      <c r="M426">
        <v>0</v>
      </c>
      <c r="N426">
        <v>0</v>
      </c>
      <c r="O426" t="str">
        <f t="shared" si="27"/>
        <v>W 103-82 vs. Anthony</v>
      </c>
    </row>
    <row r="427" spans="1:15" ht="15" customHeight="1" x14ac:dyDescent="0.25">
      <c r="A427">
        <f t="shared" si="29"/>
        <v>33</v>
      </c>
      <c r="B427" t="s">
        <v>3222</v>
      </c>
      <c r="C427" t="s">
        <v>3218</v>
      </c>
      <c r="D427" t="s">
        <v>3200</v>
      </c>
      <c r="E427" t="str">
        <f t="shared" si="25"/>
        <v>Taylor</v>
      </c>
      <c r="F427" t="str">
        <f t="shared" si="26"/>
        <v>Matthew</v>
      </c>
      <c r="G427" t="s">
        <v>3219</v>
      </c>
      <c r="H427">
        <v>2015</v>
      </c>
      <c r="I427">
        <v>4</v>
      </c>
      <c r="J427">
        <v>103</v>
      </c>
      <c r="K427">
        <v>78</v>
      </c>
      <c r="L427">
        <v>1</v>
      </c>
      <c r="M427">
        <v>0</v>
      </c>
      <c r="N427">
        <v>0</v>
      </c>
      <c r="O427" t="str">
        <f t="shared" si="27"/>
        <v>W 103-78 vs. Matthew</v>
      </c>
    </row>
    <row r="428" spans="1:15" ht="15" customHeight="1" x14ac:dyDescent="0.25">
      <c r="A428">
        <f t="shared" si="29"/>
        <v>34</v>
      </c>
      <c r="B428" t="s">
        <v>3222</v>
      </c>
      <c r="C428" t="s">
        <v>3218</v>
      </c>
      <c r="D428" t="s">
        <v>3223</v>
      </c>
      <c r="E428" t="str">
        <f t="shared" si="25"/>
        <v>Austin</v>
      </c>
      <c r="F428" t="str">
        <f t="shared" si="26"/>
        <v>Matthew</v>
      </c>
      <c r="G428" t="s">
        <v>3219</v>
      </c>
      <c r="H428">
        <v>2013</v>
      </c>
      <c r="I428">
        <v>11</v>
      </c>
      <c r="J428">
        <v>103</v>
      </c>
      <c r="K428">
        <v>67</v>
      </c>
      <c r="L428">
        <v>1</v>
      </c>
      <c r="M428">
        <v>0</v>
      </c>
      <c r="N428">
        <v>0</v>
      </c>
      <c r="O428" t="str">
        <f t="shared" si="27"/>
        <v>W 103-67 vs. Matthew</v>
      </c>
    </row>
    <row r="429" spans="1:15" ht="15" customHeight="1" x14ac:dyDescent="0.25">
      <c r="A429">
        <f t="shared" si="29"/>
        <v>35</v>
      </c>
      <c r="B429" t="s">
        <v>3209</v>
      </c>
      <c r="C429" t="s">
        <v>3218</v>
      </c>
      <c r="D429" t="s">
        <v>3227</v>
      </c>
      <c r="E429" t="str">
        <f t="shared" si="25"/>
        <v>Scott</v>
      </c>
      <c r="F429" t="str">
        <f t="shared" si="26"/>
        <v>Matthew</v>
      </c>
      <c r="G429" t="s">
        <v>3219</v>
      </c>
      <c r="H429">
        <v>2015</v>
      </c>
      <c r="I429">
        <v>7</v>
      </c>
      <c r="J429">
        <v>103</v>
      </c>
      <c r="K429">
        <v>61</v>
      </c>
      <c r="L429">
        <v>1</v>
      </c>
      <c r="M429">
        <v>0</v>
      </c>
      <c r="N429">
        <v>0</v>
      </c>
      <c r="O429" t="str">
        <f t="shared" si="27"/>
        <v>W 103-61 vs. Matthew</v>
      </c>
    </row>
    <row r="430" spans="1:15" ht="15" customHeight="1" x14ac:dyDescent="0.25">
      <c r="A430">
        <f t="shared" si="29"/>
        <v>36</v>
      </c>
      <c r="B430" t="s">
        <v>3222</v>
      </c>
      <c r="C430" t="s">
        <v>3211</v>
      </c>
      <c r="D430" t="s">
        <v>3200</v>
      </c>
      <c r="E430" t="str">
        <f t="shared" si="25"/>
        <v>Taylor</v>
      </c>
      <c r="F430" t="str">
        <f t="shared" si="26"/>
        <v>Anthony</v>
      </c>
      <c r="G430" t="s">
        <v>3201</v>
      </c>
      <c r="H430">
        <v>2014</v>
      </c>
      <c r="I430">
        <v>8</v>
      </c>
      <c r="J430">
        <v>104</v>
      </c>
      <c r="K430">
        <v>133</v>
      </c>
      <c r="L430">
        <v>0</v>
      </c>
      <c r="M430">
        <v>1</v>
      </c>
      <c r="N430">
        <v>0</v>
      </c>
      <c r="O430" t="str">
        <f t="shared" si="27"/>
        <v>L 104-133 vs. Anthony</v>
      </c>
    </row>
    <row r="431" spans="1:15" ht="15" customHeight="1" x14ac:dyDescent="0.25">
      <c r="A431">
        <f t="shared" si="29"/>
        <v>37</v>
      </c>
      <c r="B431" t="s">
        <v>3212</v>
      </c>
      <c r="C431" t="s">
        <v>3220</v>
      </c>
      <c r="D431" t="s">
        <v>3198</v>
      </c>
      <c r="E431" t="str">
        <f t="shared" si="25"/>
        <v>Ty</v>
      </c>
      <c r="F431" t="str">
        <f t="shared" si="26"/>
        <v>Perry</v>
      </c>
      <c r="G431" t="s">
        <v>3226</v>
      </c>
      <c r="H431">
        <v>2016</v>
      </c>
      <c r="I431">
        <v>8</v>
      </c>
      <c r="J431">
        <v>104</v>
      </c>
      <c r="K431">
        <v>130</v>
      </c>
      <c r="L431">
        <v>0</v>
      </c>
      <c r="M431">
        <v>1</v>
      </c>
      <c r="N431">
        <v>0</v>
      </c>
      <c r="O431" t="str">
        <f t="shared" si="27"/>
        <v>L 104-130 vs. Perry</v>
      </c>
    </row>
    <row r="432" spans="1:15" ht="15" customHeight="1" x14ac:dyDescent="0.25">
      <c r="A432">
        <f t="shared" si="29"/>
        <v>38</v>
      </c>
      <c r="B432" t="s">
        <v>3209</v>
      </c>
      <c r="C432" t="s">
        <v>3208</v>
      </c>
      <c r="D432" t="s">
        <v>3227</v>
      </c>
      <c r="E432" t="str">
        <f t="shared" si="25"/>
        <v>Scott</v>
      </c>
      <c r="F432" t="str">
        <f t="shared" si="26"/>
        <v>Chad</v>
      </c>
      <c r="G432" t="s">
        <v>3225</v>
      </c>
      <c r="H432">
        <v>2016</v>
      </c>
      <c r="I432">
        <v>8</v>
      </c>
      <c r="J432">
        <v>104</v>
      </c>
      <c r="K432">
        <v>119</v>
      </c>
      <c r="L432">
        <v>0</v>
      </c>
      <c r="M432">
        <v>1</v>
      </c>
      <c r="N432">
        <v>0</v>
      </c>
      <c r="O432" t="str">
        <f t="shared" si="27"/>
        <v>L 104-119 vs. Chad</v>
      </c>
    </row>
    <row r="433" spans="1:15" ht="15" customHeight="1" x14ac:dyDescent="0.25">
      <c r="A433">
        <f t="shared" si="29"/>
        <v>39</v>
      </c>
      <c r="B433" t="s">
        <v>3216</v>
      </c>
      <c r="C433" t="s">
        <v>3215</v>
      </c>
      <c r="D433" t="s">
        <v>3217</v>
      </c>
      <c r="E433" t="str">
        <f t="shared" si="25"/>
        <v>Seth</v>
      </c>
      <c r="F433" t="str">
        <f t="shared" si="26"/>
        <v>Devon</v>
      </c>
      <c r="G433" t="s">
        <v>3199</v>
      </c>
      <c r="H433">
        <v>2013</v>
      </c>
      <c r="I433">
        <v>13</v>
      </c>
      <c r="J433">
        <v>104</v>
      </c>
      <c r="K433">
        <v>114</v>
      </c>
      <c r="L433">
        <v>0</v>
      </c>
      <c r="M433">
        <v>1</v>
      </c>
      <c r="N433">
        <v>0</v>
      </c>
      <c r="O433" t="str">
        <f t="shared" si="27"/>
        <v>L 104-114 vs. Devon</v>
      </c>
    </row>
    <row r="434" spans="1:15" ht="15" customHeight="1" x14ac:dyDescent="0.25">
      <c r="A434">
        <f t="shared" si="29"/>
        <v>40</v>
      </c>
      <c r="B434" t="s">
        <v>3220</v>
      </c>
      <c r="C434" t="s">
        <v>3211</v>
      </c>
      <c r="D434" t="s">
        <v>3224</v>
      </c>
      <c r="E434" t="str">
        <f t="shared" si="25"/>
        <v>Carter</v>
      </c>
      <c r="F434" t="str">
        <f t="shared" si="26"/>
        <v>Anthony</v>
      </c>
      <c r="G434" t="s">
        <v>3201</v>
      </c>
      <c r="H434">
        <v>2014</v>
      </c>
      <c r="I434">
        <v>9</v>
      </c>
      <c r="J434">
        <v>104</v>
      </c>
      <c r="K434">
        <v>98</v>
      </c>
      <c r="L434">
        <v>1</v>
      </c>
      <c r="M434">
        <v>0</v>
      </c>
      <c r="N434">
        <v>0</v>
      </c>
      <c r="O434" t="str">
        <f t="shared" si="27"/>
        <v>W 104-98 vs. Anthony</v>
      </c>
    </row>
    <row r="435" spans="1:15" ht="15" customHeight="1" x14ac:dyDescent="0.25">
      <c r="A435">
        <f t="shared" si="29"/>
        <v>41</v>
      </c>
      <c r="B435" t="s">
        <v>3220</v>
      </c>
      <c r="C435" t="s">
        <v>3213</v>
      </c>
      <c r="D435" t="s">
        <v>3224</v>
      </c>
      <c r="E435" t="str">
        <f t="shared" si="25"/>
        <v>Carter</v>
      </c>
      <c r="F435" t="str">
        <f t="shared" si="26"/>
        <v>Cory</v>
      </c>
      <c r="G435" t="s">
        <v>3214</v>
      </c>
      <c r="H435">
        <v>2014</v>
      </c>
      <c r="I435">
        <v>1</v>
      </c>
      <c r="J435">
        <v>104</v>
      </c>
      <c r="K435">
        <v>97</v>
      </c>
      <c r="L435">
        <v>1</v>
      </c>
      <c r="M435">
        <v>0</v>
      </c>
      <c r="N435">
        <v>0</v>
      </c>
      <c r="O435" t="str">
        <f t="shared" si="27"/>
        <v>W 104-97 vs. Cory</v>
      </c>
    </row>
    <row r="436" spans="1:15" ht="15" customHeight="1" x14ac:dyDescent="0.25">
      <c r="A436">
        <f t="shared" si="29"/>
        <v>42</v>
      </c>
      <c r="B436" t="s">
        <v>3213</v>
      </c>
      <c r="C436" t="s">
        <v>3209</v>
      </c>
      <c r="D436" t="s">
        <v>3214</v>
      </c>
      <c r="E436" t="str">
        <f t="shared" si="25"/>
        <v>Cory</v>
      </c>
      <c r="F436" t="str">
        <f t="shared" si="26"/>
        <v>Scott</v>
      </c>
      <c r="G436" t="s">
        <v>3227</v>
      </c>
      <c r="H436">
        <v>2017</v>
      </c>
      <c r="I436">
        <v>4</v>
      </c>
      <c r="J436">
        <v>104</v>
      </c>
      <c r="K436">
        <v>88</v>
      </c>
      <c r="L436">
        <v>1</v>
      </c>
      <c r="M436">
        <v>0</v>
      </c>
      <c r="N436">
        <v>0</v>
      </c>
      <c r="O436" t="str">
        <f t="shared" si="27"/>
        <v>W 104-88 vs. Scott</v>
      </c>
    </row>
    <row r="437" spans="1:15" ht="15" customHeight="1" x14ac:dyDescent="0.25">
      <c r="A437">
        <f t="shared" si="29"/>
        <v>43</v>
      </c>
      <c r="B437" t="s">
        <v>3211</v>
      </c>
      <c r="C437" t="s">
        <v>3213</v>
      </c>
      <c r="D437" t="s">
        <v>3201</v>
      </c>
      <c r="E437" t="str">
        <f t="shared" si="25"/>
        <v>Anthony</v>
      </c>
      <c r="F437" t="str">
        <f t="shared" si="26"/>
        <v>Cory</v>
      </c>
      <c r="G437" t="s">
        <v>3214</v>
      </c>
      <c r="H437">
        <v>2017</v>
      </c>
      <c r="I437">
        <v>6</v>
      </c>
      <c r="J437">
        <v>104</v>
      </c>
      <c r="K437">
        <v>85</v>
      </c>
      <c r="L437">
        <v>1</v>
      </c>
      <c r="M437">
        <v>0</v>
      </c>
      <c r="N437">
        <v>0</v>
      </c>
      <c r="O437" t="str">
        <f t="shared" si="27"/>
        <v>W 104-85 vs. Cory</v>
      </c>
    </row>
    <row r="438" spans="1:15" ht="15" customHeight="1" x14ac:dyDescent="0.25">
      <c r="A438">
        <f t="shared" si="29"/>
        <v>44</v>
      </c>
      <c r="B438" t="s">
        <v>3211</v>
      </c>
      <c r="C438" t="s">
        <v>3213</v>
      </c>
      <c r="D438" t="s">
        <v>3201</v>
      </c>
      <c r="E438" t="str">
        <f t="shared" si="25"/>
        <v>Anthony</v>
      </c>
      <c r="F438" t="str">
        <f t="shared" si="26"/>
        <v>Cory</v>
      </c>
      <c r="G438" t="s">
        <v>3214</v>
      </c>
      <c r="H438">
        <v>2015</v>
      </c>
      <c r="I438">
        <v>6</v>
      </c>
      <c r="J438">
        <v>104</v>
      </c>
      <c r="K438">
        <v>83</v>
      </c>
      <c r="L438">
        <v>1</v>
      </c>
      <c r="M438">
        <v>0</v>
      </c>
      <c r="N438">
        <v>0</v>
      </c>
      <c r="O438" t="str">
        <f t="shared" si="27"/>
        <v>W 104-83 vs. Cory</v>
      </c>
    </row>
    <row r="439" spans="1:15" ht="15" customHeight="1" x14ac:dyDescent="0.25">
      <c r="A439">
        <f t="shared" si="29"/>
        <v>45</v>
      </c>
      <c r="B439" t="s">
        <v>3216</v>
      </c>
      <c r="C439" t="s">
        <v>3218</v>
      </c>
      <c r="D439" t="s">
        <v>3217</v>
      </c>
      <c r="E439" t="str">
        <f t="shared" si="25"/>
        <v>Seth</v>
      </c>
      <c r="F439" t="str">
        <f t="shared" si="26"/>
        <v>Matthew</v>
      </c>
      <c r="G439" t="s">
        <v>3219</v>
      </c>
      <c r="H439">
        <v>2014</v>
      </c>
      <c r="I439">
        <v>2</v>
      </c>
      <c r="J439">
        <v>104</v>
      </c>
      <c r="K439">
        <v>83</v>
      </c>
      <c r="L439">
        <v>1</v>
      </c>
      <c r="M439">
        <v>0</v>
      </c>
      <c r="N439">
        <v>0</v>
      </c>
      <c r="O439" t="str">
        <f t="shared" si="27"/>
        <v>W 104-83 vs. Matthew</v>
      </c>
    </row>
    <row r="440" spans="1:15" ht="15" customHeight="1" x14ac:dyDescent="0.25">
      <c r="A440">
        <f t="shared" si="29"/>
        <v>46</v>
      </c>
      <c r="B440" t="s">
        <v>3216</v>
      </c>
      <c r="C440" t="s">
        <v>3211</v>
      </c>
      <c r="D440" t="s">
        <v>3217</v>
      </c>
      <c r="E440" t="str">
        <f t="shared" si="25"/>
        <v>Seth</v>
      </c>
      <c r="F440" t="str">
        <f t="shared" si="26"/>
        <v>Anthony</v>
      </c>
      <c r="G440" t="s">
        <v>3201</v>
      </c>
      <c r="H440">
        <v>2014</v>
      </c>
      <c r="I440">
        <v>3</v>
      </c>
      <c r="J440">
        <v>104</v>
      </c>
      <c r="K440">
        <v>77</v>
      </c>
      <c r="L440">
        <v>1</v>
      </c>
      <c r="M440">
        <v>0</v>
      </c>
      <c r="N440">
        <v>0</v>
      </c>
      <c r="O440" t="str">
        <f t="shared" si="27"/>
        <v>W 104-77 vs. Anthony</v>
      </c>
    </row>
    <row r="441" spans="1:15" ht="15" customHeight="1" x14ac:dyDescent="0.25">
      <c r="A441">
        <f t="shared" si="29"/>
        <v>47</v>
      </c>
      <c r="B441" t="s">
        <v>3222</v>
      </c>
      <c r="C441" t="s">
        <v>3211</v>
      </c>
      <c r="D441" t="s">
        <v>3200</v>
      </c>
      <c r="E441" t="str">
        <f t="shared" si="25"/>
        <v>Taylor</v>
      </c>
      <c r="F441" t="str">
        <f t="shared" si="26"/>
        <v>Anthony</v>
      </c>
      <c r="G441" t="s">
        <v>3201</v>
      </c>
      <c r="H441">
        <v>2015</v>
      </c>
      <c r="I441">
        <v>8</v>
      </c>
      <c r="J441">
        <v>104</v>
      </c>
      <c r="K441">
        <v>74</v>
      </c>
      <c r="L441">
        <v>1</v>
      </c>
      <c r="M441">
        <v>0</v>
      </c>
      <c r="N441">
        <v>0</v>
      </c>
      <c r="O441" t="str">
        <f t="shared" si="27"/>
        <v>W 104-74 vs. Anthony</v>
      </c>
    </row>
    <row r="442" spans="1:15" ht="15" customHeight="1" x14ac:dyDescent="0.25">
      <c r="A442">
        <f t="shared" si="29"/>
        <v>48</v>
      </c>
      <c r="B442" t="s">
        <v>3220</v>
      </c>
      <c r="C442" t="s">
        <v>3222</v>
      </c>
      <c r="D442" t="s">
        <v>3226</v>
      </c>
      <c r="E442" t="str">
        <f t="shared" si="25"/>
        <v>Perry</v>
      </c>
      <c r="F442" t="str">
        <f t="shared" si="26"/>
        <v>Taylor</v>
      </c>
      <c r="G442" t="s">
        <v>3200</v>
      </c>
      <c r="H442">
        <v>2016</v>
      </c>
      <c r="I442">
        <v>11</v>
      </c>
      <c r="J442">
        <v>104</v>
      </c>
      <c r="K442">
        <v>43</v>
      </c>
      <c r="L442">
        <v>1</v>
      </c>
      <c r="M442">
        <v>0</v>
      </c>
      <c r="N442">
        <v>0</v>
      </c>
      <c r="O442" t="str">
        <f t="shared" si="27"/>
        <v>W 104-43 vs. Taylor</v>
      </c>
    </row>
    <row r="443" spans="1:15" ht="15" customHeight="1" x14ac:dyDescent="0.25">
      <c r="A443">
        <f t="shared" si="29"/>
        <v>49</v>
      </c>
      <c r="B443" t="s">
        <v>3216</v>
      </c>
      <c r="C443" t="s">
        <v>3222</v>
      </c>
      <c r="D443" t="s">
        <v>3217</v>
      </c>
      <c r="E443" t="str">
        <f t="shared" si="25"/>
        <v>Seth</v>
      </c>
      <c r="F443" t="str">
        <f t="shared" si="26"/>
        <v>Austin</v>
      </c>
      <c r="G443" t="s">
        <v>3223</v>
      </c>
      <c r="H443">
        <v>2013</v>
      </c>
      <c r="I443">
        <v>1</v>
      </c>
      <c r="J443">
        <v>105</v>
      </c>
      <c r="K443">
        <v>118</v>
      </c>
      <c r="L443">
        <v>0</v>
      </c>
      <c r="M443">
        <v>1</v>
      </c>
      <c r="N443">
        <v>0</v>
      </c>
      <c r="O443" t="str">
        <f t="shared" si="27"/>
        <v>L 105-118 vs. Austin</v>
      </c>
    </row>
    <row r="444" spans="1:15" ht="15" customHeight="1" x14ac:dyDescent="0.25">
      <c r="A444">
        <f t="shared" si="29"/>
        <v>50</v>
      </c>
      <c r="B444" t="s">
        <v>3215</v>
      </c>
      <c r="C444" t="s">
        <v>3213</v>
      </c>
      <c r="D444" t="s">
        <v>3199</v>
      </c>
      <c r="E444" t="str">
        <f t="shared" si="25"/>
        <v>Devon</v>
      </c>
      <c r="F444" t="str">
        <f t="shared" si="26"/>
        <v>Cory</v>
      </c>
      <c r="G444" t="s">
        <v>3214</v>
      </c>
      <c r="H444">
        <v>2017</v>
      </c>
      <c r="I444">
        <v>5</v>
      </c>
      <c r="J444">
        <v>105</v>
      </c>
      <c r="K444">
        <v>100</v>
      </c>
      <c r="L444">
        <v>1</v>
      </c>
      <c r="M444">
        <v>0</v>
      </c>
      <c r="N444">
        <v>0</v>
      </c>
      <c r="O444" t="str">
        <f t="shared" si="27"/>
        <v>W 105-100 vs. Cory</v>
      </c>
    </row>
    <row r="445" spans="1:15" ht="15" customHeight="1" x14ac:dyDescent="0.25">
      <c r="A445">
        <f t="shared" si="29"/>
        <v>51</v>
      </c>
      <c r="B445" t="s">
        <v>3208</v>
      </c>
      <c r="C445" t="s">
        <v>3216</v>
      </c>
      <c r="D445" t="s">
        <v>3210</v>
      </c>
      <c r="E445" t="str">
        <f t="shared" si="25"/>
        <v>Spencer</v>
      </c>
      <c r="F445" t="str">
        <f t="shared" si="26"/>
        <v>Seth</v>
      </c>
      <c r="G445" t="s">
        <v>3217</v>
      </c>
      <c r="H445">
        <v>2013</v>
      </c>
      <c r="I445">
        <v>3</v>
      </c>
      <c r="J445">
        <v>105</v>
      </c>
      <c r="K445">
        <v>94</v>
      </c>
      <c r="L445">
        <v>1</v>
      </c>
      <c r="M445">
        <v>0</v>
      </c>
      <c r="N445">
        <v>0</v>
      </c>
      <c r="O445" t="str">
        <f t="shared" si="27"/>
        <v>W 105-94 vs. Seth</v>
      </c>
    </row>
    <row r="446" spans="1:15" ht="15" customHeight="1" x14ac:dyDescent="0.25">
      <c r="A446">
        <f t="shared" si="29"/>
        <v>52</v>
      </c>
      <c r="B446" t="s">
        <v>3220</v>
      </c>
      <c r="C446" t="s">
        <v>3211</v>
      </c>
      <c r="D446" t="s">
        <v>3226</v>
      </c>
      <c r="E446" t="str">
        <f t="shared" si="25"/>
        <v>Perry</v>
      </c>
      <c r="F446" t="str">
        <f t="shared" si="26"/>
        <v>Anthony</v>
      </c>
      <c r="G446" t="s">
        <v>3201</v>
      </c>
      <c r="H446">
        <v>2017</v>
      </c>
      <c r="I446">
        <v>9</v>
      </c>
      <c r="J446">
        <v>105</v>
      </c>
      <c r="K446">
        <v>86</v>
      </c>
      <c r="L446">
        <v>1</v>
      </c>
      <c r="M446">
        <v>0</v>
      </c>
      <c r="N446">
        <v>0</v>
      </c>
      <c r="O446" t="str">
        <f t="shared" si="27"/>
        <v>W 105-86 vs. Anthony</v>
      </c>
    </row>
    <row r="447" spans="1:15" ht="15" customHeight="1" x14ac:dyDescent="0.25">
      <c r="A447">
        <f t="shared" si="29"/>
        <v>53</v>
      </c>
      <c r="B447" t="s">
        <v>3218</v>
      </c>
      <c r="C447" t="s">
        <v>3212</v>
      </c>
      <c r="D447" t="s">
        <v>3219</v>
      </c>
      <c r="E447" t="str">
        <f t="shared" si="25"/>
        <v>Matthew</v>
      </c>
      <c r="F447" t="str">
        <f t="shared" si="26"/>
        <v>Ty</v>
      </c>
      <c r="G447" t="s">
        <v>3198</v>
      </c>
      <c r="H447">
        <v>2014</v>
      </c>
      <c r="I447">
        <v>3</v>
      </c>
      <c r="J447">
        <v>105</v>
      </c>
      <c r="K447">
        <v>76</v>
      </c>
      <c r="L447">
        <v>1</v>
      </c>
      <c r="M447">
        <v>0</v>
      </c>
      <c r="N447">
        <v>0</v>
      </c>
      <c r="O447" t="str">
        <f t="shared" si="27"/>
        <v>W 105-76 vs. Ty</v>
      </c>
    </row>
    <row r="448" spans="1:15" x14ac:dyDescent="0.25">
      <c r="A448">
        <f t="shared" si="29"/>
        <v>54</v>
      </c>
      <c r="B448" t="s">
        <v>3213</v>
      </c>
      <c r="C448" t="s">
        <v>3222</v>
      </c>
      <c r="D448" t="s">
        <v>3214</v>
      </c>
      <c r="E448" t="str">
        <f t="shared" si="25"/>
        <v>Cory</v>
      </c>
      <c r="F448" t="str">
        <f t="shared" si="26"/>
        <v>Taylor</v>
      </c>
      <c r="G448" t="s">
        <v>3200</v>
      </c>
      <c r="H448">
        <v>2014</v>
      </c>
      <c r="I448">
        <v>3</v>
      </c>
      <c r="J448">
        <v>105</v>
      </c>
      <c r="K448">
        <v>72</v>
      </c>
      <c r="L448">
        <v>1</v>
      </c>
      <c r="M448">
        <v>0</v>
      </c>
      <c r="N448">
        <v>0</v>
      </c>
      <c r="O448" t="str">
        <f t="shared" si="27"/>
        <v>W 105-72 vs. Taylor</v>
      </c>
    </row>
    <row r="449" spans="1:15" x14ac:dyDescent="0.25">
      <c r="A449">
        <f t="shared" si="29"/>
        <v>55</v>
      </c>
      <c r="B449" t="s">
        <v>3220</v>
      </c>
      <c r="C449" t="s">
        <v>3216</v>
      </c>
      <c r="D449" t="s">
        <v>3226</v>
      </c>
      <c r="E449" t="str">
        <f t="shared" si="25"/>
        <v>Perry</v>
      </c>
      <c r="F449" t="str">
        <f t="shared" si="26"/>
        <v>Seth</v>
      </c>
      <c r="G449" t="s">
        <v>3217</v>
      </c>
      <c r="H449">
        <v>2015</v>
      </c>
      <c r="I449">
        <v>5</v>
      </c>
      <c r="J449">
        <v>105</v>
      </c>
      <c r="K449">
        <v>66</v>
      </c>
      <c r="L449">
        <v>1</v>
      </c>
      <c r="M449">
        <v>0</v>
      </c>
      <c r="N449">
        <v>0</v>
      </c>
      <c r="O449" t="str">
        <f t="shared" si="27"/>
        <v>W 105-66 vs. Seth</v>
      </c>
    </row>
    <row r="450" spans="1:15" ht="15" customHeight="1" x14ac:dyDescent="0.25">
      <c r="A450">
        <f t="shared" si="29"/>
        <v>56</v>
      </c>
      <c r="B450" t="s">
        <v>3209</v>
      </c>
      <c r="C450" t="s">
        <v>3215</v>
      </c>
      <c r="D450" t="s">
        <v>3227</v>
      </c>
      <c r="E450" t="str">
        <f t="shared" ref="E450:E513" si="30">LEFT(D450,SEARCH(" ",D450)-1)</f>
        <v>Scott</v>
      </c>
      <c r="F450" t="str">
        <f t="shared" ref="F450:F513" si="31">LEFT(G450,SEARCH(" ",G450)-1)</f>
        <v>Devon</v>
      </c>
      <c r="G450" t="s">
        <v>3199</v>
      </c>
      <c r="H450">
        <v>2017</v>
      </c>
      <c r="I450">
        <v>2</v>
      </c>
      <c r="J450">
        <v>106</v>
      </c>
      <c r="K450">
        <v>140</v>
      </c>
      <c r="L450">
        <v>0</v>
      </c>
      <c r="M450">
        <v>1</v>
      </c>
      <c r="N450">
        <v>0</v>
      </c>
      <c r="O450" t="str">
        <f t="shared" ref="O450:O513" si="32">IF(L450=1,"W",IF(M450=1,"L","T"))&amp;" "&amp;J450&amp;"-"&amp;K450&amp;" vs. "&amp;F450</f>
        <v>L 106-140 vs. Devon</v>
      </c>
    </row>
    <row r="451" spans="1:15" ht="15" customHeight="1" x14ac:dyDescent="0.25">
      <c r="A451">
        <f t="shared" si="29"/>
        <v>57</v>
      </c>
      <c r="B451" t="s">
        <v>3218</v>
      </c>
      <c r="C451" t="s">
        <v>3209</v>
      </c>
      <c r="D451" t="s">
        <v>3219</v>
      </c>
      <c r="E451" t="str">
        <f t="shared" si="30"/>
        <v>Matthew</v>
      </c>
      <c r="F451" t="str">
        <f t="shared" si="31"/>
        <v>Scott</v>
      </c>
      <c r="G451" t="s">
        <v>3227</v>
      </c>
      <c r="H451">
        <v>2016</v>
      </c>
      <c r="I451">
        <v>7</v>
      </c>
      <c r="J451">
        <v>106</v>
      </c>
      <c r="K451">
        <v>130</v>
      </c>
      <c r="L451">
        <v>0</v>
      </c>
      <c r="M451">
        <v>1</v>
      </c>
      <c r="N451">
        <v>0</v>
      </c>
      <c r="O451" t="str">
        <f t="shared" si="32"/>
        <v>L 106-130 vs. Scott</v>
      </c>
    </row>
    <row r="452" spans="1:15" ht="15" customHeight="1" x14ac:dyDescent="0.25">
      <c r="A452">
        <f t="shared" si="29"/>
        <v>58</v>
      </c>
      <c r="B452" t="s">
        <v>3218</v>
      </c>
      <c r="C452" t="s">
        <v>3211</v>
      </c>
      <c r="D452" t="s">
        <v>3219</v>
      </c>
      <c r="E452" t="str">
        <f t="shared" si="30"/>
        <v>Matthew</v>
      </c>
      <c r="F452" t="str">
        <f t="shared" si="31"/>
        <v>Anthony</v>
      </c>
      <c r="G452" t="s">
        <v>3201</v>
      </c>
      <c r="H452">
        <v>2017</v>
      </c>
      <c r="I452">
        <v>5</v>
      </c>
      <c r="J452">
        <v>106</v>
      </c>
      <c r="K452">
        <v>110</v>
      </c>
      <c r="L452">
        <v>0</v>
      </c>
      <c r="M452">
        <v>1</v>
      </c>
      <c r="N452">
        <v>0</v>
      </c>
      <c r="O452" t="str">
        <f t="shared" si="32"/>
        <v>L 106-110 vs. Anthony</v>
      </c>
    </row>
    <row r="453" spans="1:15" ht="15" customHeight="1" x14ac:dyDescent="0.25">
      <c r="A453">
        <f t="shared" si="29"/>
        <v>59</v>
      </c>
      <c r="B453" t="s">
        <v>3213</v>
      </c>
      <c r="C453" t="s">
        <v>3218</v>
      </c>
      <c r="D453" t="s">
        <v>3214</v>
      </c>
      <c r="E453" t="str">
        <f t="shared" si="30"/>
        <v>Cory</v>
      </c>
      <c r="F453" t="str">
        <f t="shared" si="31"/>
        <v>Matthew</v>
      </c>
      <c r="G453" t="s">
        <v>3219</v>
      </c>
      <c r="H453">
        <v>2017</v>
      </c>
      <c r="I453">
        <v>8</v>
      </c>
      <c r="J453">
        <v>106</v>
      </c>
      <c r="K453">
        <v>107</v>
      </c>
      <c r="L453">
        <v>0</v>
      </c>
      <c r="M453">
        <v>1</v>
      </c>
      <c r="N453">
        <v>0</v>
      </c>
      <c r="O453" t="str">
        <f t="shared" si="32"/>
        <v>L 106-107 vs. Matthew</v>
      </c>
    </row>
    <row r="454" spans="1:15" ht="15" customHeight="1" x14ac:dyDescent="0.25">
      <c r="A454">
        <f t="shared" si="29"/>
        <v>60</v>
      </c>
      <c r="B454" t="s">
        <v>3220</v>
      </c>
      <c r="C454" t="s">
        <v>3213</v>
      </c>
      <c r="D454" t="s">
        <v>3226</v>
      </c>
      <c r="E454" t="str">
        <f t="shared" si="30"/>
        <v>Perry</v>
      </c>
      <c r="F454" t="str">
        <f t="shared" si="31"/>
        <v>Cory</v>
      </c>
      <c r="G454" t="s">
        <v>3214</v>
      </c>
      <c r="H454">
        <v>2017</v>
      </c>
      <c r="I454">
        <v>10</v>
      </c>
      <c r="J454">
        <v>106</v>
      </c>
      <c r="K454">
        <v>91</v>
      </c>
      <c r="L454">
        <v>1</v>
      </c>
      <c r="M454">
        <v>0</v>
      </c>
      <c r="N454">
        <v>0</v>
      </c>
      <c r="O454" t="str">
        <f t="shared" si="32"/>
        <v>W 106-91 vs. Cory</v>
      </c>
    </row>
    <row r="455" spans="1:15" ht="15" customHeight="1" x14ac:dyDescent="0.25">
      <c r="A455">
        <f t="shared" si="29"/>
        <v>61</v>
      </c>
      <c r="B455" t="s">
        <v>3208</v>
      </c>
      <c r="C455" t="s">
        <v>3211</v>
      </c>
      <c r="D455" t="s">
        <v>3225</v>
      </c>
      <c r="E455" t="str">
        <f t="shared" si="30"/>
        <v>Chad</v>
      </c>
      <c r="F455" t="str">
        <f t="shared" si="31"/>
        <v>Anthony</v>
      </c>
      <c r="G455" t="s">
        <v>3201</v>
      </c>
      <c r="H455">
        <v>2016</v>
      </c>
      <c r="I455">
        <v>2</v>
      </c>
      <c r="J455">
        <v>106</v>
      </c>
      <c r="K455">
        <v>80</v>
      </c>
      <c r="L455">
        <v>1</v>
      </c>
      <c r="M455">
        <v>0</v>
      </c>
      <c r="N455">
        <v>0</v>
      </c>
      <c r="O455" t="str">
        <f t="shared" si="32"/>
        <v>W 106-80 vs. Anthony</v>
      </c>
    </row>
    <row r="456" spans="1:15" ht="15" customHeight="1" x14ac:dyDescent="0.25">
      <c r="A456">
        <f t="shared" si="29"/>
        <v>62</v>
      </c>
      <c r="B456" t="s">
        <v>3216</v>
      </c>
      <c r="C456" t="s">
        <v>3208</v>
      </c>
      <c r="D456" t="s">
        <v>3217</v>
      </c>
      <c r="E456" t="str">
        <f t="shared" si="30"/>
        <v>Seth</v>
      </c>
      <c r="F456" t="str">
        <f t="shared" si="31"/>
        <v>Chad</v>
      </c>
      <c r="G456" t="s">
        <v>3225</v>
      </c>
      <c r="H456">
        <v>2016</v>
      </c>
      <c r="I456">
        <v>12</v>
      </c>
      <c r="J456">
        <v>106</v>
      </c>
      <c r="K456">
        <v>77</v>
      </c>
      <c r="L456">
        <v>1</v>
      </c>
      <c r="M456">
        <v>0</v>
      </c>
      <c r="N456">
        <v>0</v>
      </c>
      <c r="O456" t="str">
        <f t="shared" si="32"/>
        <v>W 106-77 vs. Chad</v>
      </c>
    </row>
    <row r="457" spans="1:15" ht="15" customHeight="1" x14ac:dyDescent="0.25">
      <c r="A457">
        <f t="shared" si="29"/>
        <v>63</v>
      </c>
      <c r="B457" t="s">
        <v>3216</v>
      </c>
      <c r="C457" t="s">
        <v>3208</v>
      </c>
      <c r="D457" t="s">
        <v>3217</v>
      </c>
      <c r="E457" t="str">
        <f t="shared" si="30"/>
        <v>Seth</v>
      </c>
      <c r="F457" t="str">
        <f t="shared" si="31"/>
        <v>Chad</v>
      </c>
      <c r="G457" t="s">
        <v>3225</v>
      </c>
      <c r="H457">
        <v>2015</v>
      </c>
      <c r="I457">
        <v>4</v>
      </c>
      <c r="J457">
        <v>106</v>
      </c>
      <c r="K457">
        <v>76</v>
      </c>
      <c r="L457">
        <v>1</v>
      </c>
      <c r="M457">
        <v>0</v>
      </c>
      <c r="N457">
        <v>0</v>
      </c>
      <c r="O457" t="str">
        <f t="shared" si="32"/>
        <v>W 106-76 vs. Chad</v>
      </c>
    </row>
    <row r="458" spans="1:15" ht="15" customHeight="1" x14ac:dyDescent="0.25">
      <c r="A458">
        <f t="shared" si="29"/>
        <v>64</v>
      </c>
      <c r="B458" t="s">
        <v>3211</v>
      </c>
      <c r="C458" t="s">
        <v>3215</v>
      </c>
      <c r="D458" t="s">
        <v>3201</v>
      </c>
      <c r="E458" t="str">
        <f t="shared" si="30"/>
        <v>Anthony</v>
      </c>
      <c r="F458" t="str">
        <f t="shared" si="31"/>
        <v>Devon</v>
      </c>
      <c r="G458" t="s">
        <v>3199</v>
      </c>
      <c r="H458">
        <v>2014</v>
      </c>
      <c r="I458">
        <v>7</v>
      </c>
      <c r="J458">
        <v>106</v>
      </c>
      <c r="K458">
        <v>63</v>
      </c>
      <c r="L458">
        <v>1</v>
      </c>
      <c r="M458">
        <v>0</v>
      </c>
      <c r="N458">
        <v>0</v>
      </c>
      <c r="O458" t="str">
        <f t="shared" si="32"/>
        <v>W 106-63 vs. Devon</v>
      </c>
    </row>
    <row r="459" spans="1:15" x14ac:dyDescent="0.25">
      <c r="A459">
        <f t="shared" si="29"/>
        <v>65</v>
      </c>
      <c r="B459" t="s">
        <v>3216</v>
      </c>
      <c r="C459" t="s">
        <v>3213</v>
      </c>
      <c r="D459" t="s">
        <v>3217</v>
      </c>
      <c r="E459" t="str">
        <f t="shared" si="30"/>
        <v>Seth</v>
      </c>
      <c r="F459" t="str">
        <f t="shared" si="31"/>
        <v>Cory</v>
      </c>
      <c r="G459" t="s">
        <v>3214</v>
      </c>
      <c r="H459">
        <v>2014</v>
      </c>
      <c r="I459">
        <v>7</v>
      </c>
      <c r="J459">
        <v>106</v>
      </c>
      <c r="K459">
        <v>46</v>
      </c>
      <c r="L459">
        <v>1</v>
      </c>
      <c r="M459">
        <v>0</v>
      </c>
      <c r="N459">
        <v>0</v>
      </c>
      <c r="O459" t="str">
        <f t="shared" si="32"/>
        <v>W 106-46 vs. Cory</v>
      </c>
    </row>
    <row r="460" spans="1:15" ht="15" customHeight="1" x14ac:dyDescent="0.25">
      <c r="A460">
        <f t="shared" ref="A460:A523" si="33">A459+1</f>
        <v>66</v>
      </c>
      <c r="B460" t="s">
        <v>3215</v>
      </c>
      <c r="C460" t="s">
        <v>3222</v>
      </c>
      <c r="D460" t="s">
        <v>3199</v>
      </c>
      <c r="E460" t="str">
        <f t="shared" si="30"/>
        <v>Devon</v>
      </c>
      <c r="F460" t="str">
        <f t="shared" si="31"/>
        <v>Taylor</v>
      </c>
      <c r="G460" t="s">
        <v>3200</v>
      </c>
      <c r="H460">
        <v>2014</v>
      </c>
      <c r="I460">
        <v>10</v>
      </c>
      <c r="J460">
        <v>107</v>
      </c>
      <c r="K460">
        <v>144</v>
      </c>
      <c r="L460">
        <v>0</v>
      </c>
      <c r="M460">
        <v>1</v>
      </c>
      <c r="N460">
        <v>0</v>
      </c>
      <c r="O460" t="str">
        <f t="shared" si="32"/>
        <v>L 107-144 vs. Taylor</v>
      </c>
    </row>
    <row r="461" spans="1:15" ht="15" customHeight="1" x14ac:dyDescent="0.25">
      <c r="A461">
        <f t="shared" si="33"/>
        <v>67</v>
      </c>
      <c r="B461" t="s">
        <v>3215</v>
      </c>
      <c r="C461" t="s">
        <v>3222</v>
      </c>
      <c r="D461" t="s">
        <v>3199</v>
      </c>
      <c r="E461" t="str">
        <f t="shared" si="30"/>
        <v>Devon</v>
      </c>
      <c r="F461" t="str">
        <f t="shared" si="31"/>
        <v>Taylor</v>
      </c>
      <c r="G461" t="s">
        <v>3200</v>
      </c>
      <c r="H461">
        <v>2015</v>
      </c>
      <c r="I461">
        <v>1</v>
      </c>
      <c r="J461">
        <v>107</v>
      </c>
      <c r="K461">
        <v>138</v>
      </c>
      <c r="L461">
        <v>0</v>
      </c>
      <c r="M461">
        <v>1</v>
      </c>
      <c r="N461">
        <v>0</v>
      </c>
      <c r="O461" t="str">
        <f t="shared" si="32"/>
        <v>L 107-138 vs. Taylor</v>
      </c>
    </row>
    <row r="462" spans="1:15" x14ac:dyDescent="0.25">
      <c r="A462">
        <f t="shared" si="33"/>
        <v>68</v>
      </c>
      <c r="B462" t="s">
        <v>3212</v>
      </c>
      <c r="C462" t="s">
        <v>3208</v>
      </c>
      <c r="D462" t="s">
        <v>3198</v>
      </c>
      <c r="E462" t="str">
        <f t="shared" si="30"/>
        <v>Ty</v>
      </c>
      <c r="F462" t="str">
        <f t="shared" si="31"/>
        <v>Chad</v>
      </c>
      <c r="G462" t="s">
        <v>3225</v>
      </c>
      <c r="H462">
        <v>2015</v>
      </c>
      <c r="I462">
        <v>13</v>
      </c>
      <c r="J462">
        <v>107</v>
      </c>
      <c r="K462">
        <v>134</v>
      </c>
      <c r="L462">
        <v>0</v>
      </c>
      <c r="M462">
        <v>1</v>
      </c>
      <c r="N462">
        <v>0</v>
      </c>
      <c r="O462" t="str">
        <f t="shared" si="32"/>
        <v>L 107-134 vs. Chad</v>
      </c>
    </row>
    <row r="463" spans="1:15" ht="15" customHeight="1" x14ac:dyDescent="0.25">
      <c r="A463">
        <f t="shared" si="33"/>
        <v>69</v>
      </c>
      <c r="B463" t="s">
        <v>3218</v>
      </c>
      <c r="C463" t="s">
        <v>3213</v>
      </c>
      <c r="D463" t="s">
        <v>3219</v>
      </c>
      <c r="E463" t="str">
        <f t="shared" si="30"/>
        <v>Matthew</v>
      </c>
      <c r="F463" t="str">
        <f t="shared" si="31"/>
        <v>Cory</v>
      </c>
      <c r="G463" t="s">
        <v>3214</v>
      </c>
      <c r="H463">
        <v>2017</v>
      </c>
      <c r="I463">
        <v>8</v>
      </c>
      <c r="J463">
        <v>107</v>
      </c>
      <c r="K463">
        <v>106</v>
      </c>
      <c r="L463">
        <v>1</v>
      </c>
      <c r="M463">
        <v>0</v>
      </c>
      <c r="N463">
        <v>0</v>
      </c>
      <c r="O463" t="str">
        <f t="shared" si="32"/>
        <v>W 107-106 vs. Cory</v>
      </c>
    </row>
    <row r="464" spans="1:15" ht="15" customHeight="1" x14ac:dyDescent="0.25">
      <c r="A464">
        <f t="shared" si="33"/>
        <v>70</v>
      </c>
      <c r="B464" t="s">
        <v>3213</v>
      </c>
      <c r="C464" t="s">
        <v>3208</v>
      </c>
      <c r="D464" t="s">
        <v>3214</v>
      </c>
      <c r="E464" t="str">
        <f t="shared" si="30"/>
        <v>Cory</v>
      </c>
      <c r="F464" t="str">
        <f t="shared" si="31"/>
        <v>Chad</v>
      </c>
      <c r="G464" t="s">
        <v>3225</v>
      </c>
      <c r="H464">
        <v>2016</v>
      </c>
      <c r="I464">
        <v>11</v>
      </c>
      <c r="J464">
        <v>107</v>
      </c>
      <c r="K464">
        <v>103</v>
      </c>
      <c r="L464">
        <v>1</v>
      </c>
      <c r="M464">
        <v>0</v>
      </c>
      <c r="N464">
        <v>0</v>
      </c>
      <c r="O464" t="str">
        <f t="shared" si="32"/>
        <v>W 107-103 vs. Chad</v>
      </c>
    </row>
    <row r="465" spans="1:15" ht="15" customHeight="1" x14ac:dyDescent="0.25">
      <c r="A465">
        <f t="shared" si="33"/>
        <v>71</v>
      </c>
      <c r="B465" t="s">
        <v>3211</v>
      </c>
      <c r="C465" t="s">
        <v>3216</v>
      </c>
      <c r="D465" t="s">
        <v>3201</v>
      </c>
      <c r="E465" t="str">
        <f t="shared" si="30"/>
        <v>Anthony</v>
      </c>
      <c r="F465" t="str">
        <f t="shared" si="31"/>
        <v>Seth</v>
      </c>
      <c r="G465" t="s">
        <v>3217</v>
      </c>
      <c r="H465">
        <v>2016</v>
      </c>
      <c r="I465">
        <v>3</v>
      </c>
      <c r="J465">
        <v>107</v>
      </c>
      <c r="K465">
        <v>102</v>
      </c>
      <c r="L465">
        <v>1</v>
      </c>
      <c r="M465">
        <v>0</v>
      </c>
      <c r="N465">
        <v>0</v>
      </c>
      <c r="O465" t="str">
        <f t="shared" si="32"/>
        <v>W 107-102 vs. Seth</v>
      </c>
    </row>
    <row r="466" spans="1:15" ht="15" customHeight="1" x14ac:dyDescent="0.25">
      <c r="A466">
        <f t="shared" si="33"/>
        <v>72</v>
      </c>
      <c r="B466" t="s">
        <v>3212</v>
      </c>
      <c r="C466" t="s">
        <v>3208</v>
      </c>
      <c r="D466" t="s">
        <v>3198</v>
      </c>
      <c r="E466" t="str">
        <f t="shared" si="30"/>
        <v>Ty</v>
      </c>
      <c r="F466" t="str">
        <f t="shared" si="31"/>
        <v>Chad</v>
      </c>
      <c r="G466" t="s">
        <v>3225</v>
      </c>
      <c r="H466">
        <v>2016</v>
      </c>
      <c r="I466">
        <v>5</v>
      </c>
      <c r="J466">
        <v>107</v>
      </c>
      <c r="K466">
        <v>95</v>
      </c>
      <c r="L466">
        <v>1</v>
      </c>
      <c r="M466">
        <v>0</v>
      </c>
      <c r="N466">
        <v>0</v>
      </c>
      <c r="O466" t="str">
        <f t="shared" si="32"/>
        <v>W 107-95 vs. Chad</v>
      </c>
    </row>
    <row r="467" spans="1:15" ht="15" customHeight="1" x14ac:dyDescent="0.25">
      <c r="A467">
        <f t="shared" si="33"/>
        <v>73</v>
      </c>
      <c r="B467" t="s">
        <v>3212</v>
      </c>
      <c r="C467" t="s">
        <v>3208</v>
      </c>
      <c r="D467" t="s">
        <v>3198</v>
      </c>
      <c r="E467" t="str">
        <f t="shared" si="30"/>
        <v>Ty</v>
      </c>
      <c r="F467" t="str">
        <f t="shared" si="31"/>
        <v>Spencer</v>
      </c>
      <c r="G467" t="s">
        <v>3210</v>
      </c>
      <c r="H467">
        <v>2013</v>
      </c>
      <c r="I467">
        <v>9</v>
      </c>
      <c r="J467">
        <v>107</v>
      </c>
      <c r="K467">
        <v>87</v>
      </c>
      <c r="L467">
        <v>1</v>
      </c>
      <c r="M467">
        <v>0</v>
      </c>
      <c r="N467">
        <v>0</v>
      </c>
      <c r="O467" t="str">
        <f t="shared" si="32"/>
        <v>W 107-87 vs. Spencer</v>
      </c>
    </row>
    <row r="468" spans="1:15" ht="15" customHeight="1" x14ac:dyDescent="0.25">
      <c r="A468">
        <f t="shared" si="33"/>
        <v>74</v>
      </c>
      <c r="B468" t="s">
        <v>3209</v>
      </c>
      <c r="C468" t="s">
        <v>3211</v>
      </c>
      <c r="D468" t="s">
        <v>3227</v>
      </c>
      <c r="E468" t="str">
        <f t="shared" si="30"/>
        <v>Scott</v>
      </c>
      <c r="F468" t="str">
        <f t="shared" si="31"/>
        <v>Anthony</v>
      </c>
      <c r="G468" t="s">
        <v>3201</v>
      </c>
      <c r="H468">
        <v>2013</v>
      </c>
      <c r="I468">
        <v>11</v>
      </c>
      <c r="J468">
        <v>108</v>
      </c>
      <c r="K468">
        <v>122</v>
      </c>
      <c r="L468">
        <v>0</v>
      </c>
      <c r="M468">
        <v>1</v>
      </c>
      <c r="N468">
        <v>0</v>
      </c>
      <c r="O468" t="str">
        <f t="shared" si="32"/>
        <v>L 108-122 vs. Anthony</v>
      </c>
    </row>
    <row r="469" spans="1:15" ht="15" customHeight="1" x14ac:dyDescent="0.25">
      <c r="A469">
        <f t="shared" si="33"/>
        <v>75</v>
      </c>
      <c r="B469" t="s">
        <v>3212</v>
      </c>
      <c r="C469" t="s">
        <v>3220</v>
      </c>
      <c r="D469" t="s">
        <v>3198</v>
      </c>
      <c r="E469" t="str">
        <f t="shared" si="30"/>
        <v>Ty</v>
      </c>
      <c r="F469" t="str">
        <f t="shared" si="31"/>
        <v>Perry</v>
      </c>
      <c r="G469" t="s">
        <v>3226</v>
      </c>
      <c r="H469">
        <v>2015</v>
      </c>
      <c r="I469">
        <v>8</v>
      </c>
      <c r="J469">
        <v>108</v>
      </c>
      <c r="K469">
        <v>121</v>
      </c>
      <c r="L469">
        <v>0</v>
      </c>
      <c r="M469">
        <v>1</v>
      </c>
      <c r="N469">
        <v>0</v>
      </c>
      <c r="O469" t="str">
        <f t="shared" si="32"/>
        <v>L 108-121 vs. Perry</v>
      </c>
    </row>
    <row r="470" spans="1:15" ht="15" customHeight="1" x14ac:dyDescent="0.25">
      <c r="A470">
        <f t="shared" si="33"/>
        <v>76</v>
      </c>
      <c r="B470" t="s">
        <v>3211</v>
      </c>
      <c r="C470" t="s">
        <v>3218</v>
      </c>
      <c r="D470" t="s">
        <v>3201</v>
      </c>
      <c r="E470" t="str">
        <f t="shared" si="30"/>
        <v>Anthony</v>
      </c>
      <c r="F470" t="str">
        <f t="shared" si="31"/>
        <v>Matthew</v>
      </c>
      <c r="G470" t="s">
        <v>3219</v>
      </c>
      <c r="H470">
        <v>2017</v>
      </c>
      <c r="I470">
        <v>13</v>
      </c>
      <c r="J470">
        <v>108</v>
      </c>
      <c r="K470">
        <v>117</v>
      </c>
      <c r="L470">
        <v>0</v>
      </c>
      <c r="M470">
        <v>1</v>
      </c>
      <c r="N470">
        <v>0</v>
      </c>
      <c r="O470" t="str">
        <f t="shared" si="32"/>
        <v>L 108-117 vs. Matthew</v>
      </c>
    </row>
    <row r="471" spans="1:15" ht="15" customHeight="1" x14ac:dyDescent="0.25">
      <c r="A471">
        <f t="shared" si="33"/>
        <v>77</v>
      </c>
      <c r="B471" t="s">
        <v>3218</v>
      </c>
      <c r="C471" t="s">
        <v>3220</v>
      </c>
      <c r="D471" t="s">
        <v>3219</v>
      </c>
      <c r="E471" t="str">
        <f t="shared" si="30"/>
        <v>Matthew</v>
      </c>
      <c r="F471" t="str">
        <f t="shared" si="31"/>
        <v>Carter</v>
      </c>
      <c r="G471" t="s">
        <v>3224</v>
      </c>
      <c r="H471">
        <v>2014</v>
      </c>
      <c r="I471">
        <v>6</v>
      </c>
      <c r="J471">
        <v>108</v>
      </c>
      <c r="K471">
        <v>100</v>
      </c>
      <c r="L471">
        <v>1</v>
      </c>
      <c r="M471">
        <v>0</v>
      </c>
      <c r="N471">
        <v>0</v>
      </c>
      <c r="O471" t="str">
        <f t="shared" si="32"/>
        <v>W 108-100 vs. Carter</v>
      </c>
    </row>
    <row r="472" spans="1:15" ht="15" customHeight="1" x14ac:dyDescent="0.25">
      <c r="A472">
        <f t="shared" si="33"/>
        <v>78</v>
      </c>
      <c r="B472" t="s">
        <v>3211</v>
      </c>
      <c r="C472" t="s">
        <v>3218</v>
      </c>
      <c r="D472" t="s">
        <v>3201</v>
      </c>
      <c r="E472" t="str">
        <f t="shared" si="30"/>
        <v>Anthony</v>
      </c>
      <c r="F472" t="str">
        <f t="shared" si="31"/>
        <v>Matthew</v>
      </c>
      <c r="G472" t="s">
        <v>3219</v>
      </c>
      <c r="H472">
        <v>2016</v>
      </c>
      <c r="I472">
        <v>13</v>
      </c>
      <c r="J472">
        <v>108</v>
      </c>
      <c r="K472">
        <v>87</v>
      </c>
      <c r="L472">
        <v>1</v>
      </c>
      <c r="M472">
        <v>0</v>
      </c>
      <c r="N472">
        <v>0</v>
      </c>
      <c r="O472" t="str">
        <f t="shared" si="32"/>
        <v>W 108-87 vs. Matthew</v>
      </c>
    </row>
    <row r="473" spans="1:15" ht="15" customHeight="1" x14ac:dyDescent="0.25">
      <c r="A473">
        <f t="shared" si="33"/>
        <v>79</v>
      </c>
      <c r="B473" t="s">
        <v>3215</v>
      </c>
      <c r="C473" t="s">
        <v>3216</v>
      </c>
      <c r="D473" t="s">
        <v>3199</v>
      </c>
      <c r="E473" t="str">
        <f t="shared" si="30"/>
        <v>Devon</v>
      </c>
      <c r="F473" t="str">
        <f t="shared" si="31"/>
        <v>Seth</v>
      </c>
      <c r="G473" t="s">
        <v>3217</v>
      </c>
      <c r="H473">
        <v>2016</v>
      </c>
      <c r="I473">
        <v>8</v>
      </c>
      <c r="J473">
        <v>108</v>
      </c>
      <c r="K473">
        <v>78</v>
      </c>
      <c r="L473">
        <v>1</v>
      </c>
      <c r="M473">
        <v>0</v>
      </c>
      <c r="N473">
        <v>0</v>
      </c>
      <c r="O473" t="str">
        <f t="shared" si="32"/>
        <v>W 108-78 vs. Seth</v>
      </c>
    </row>
    <row r="474" spans="1:15" ht="15" customHeight="1" x14ac:dyDescent="0.25">
      <c r="A474">
        <f t="shared" si="33"/>
        <v>80</v>
      </c>
      <c r="B474" t="s">
        <v>3211</v>
      </c>
      <c r="C474" t="s">
        <v>3212</v>
      </c>
      <c r="D474" t="s">
        <v>3201</v>
      </c>
      <c r="E474" t="str">
        <f t="shared" si="30"/>
        <v>Anthony</v>
      </c>
      <c r="F474" t="str">
        <f t="shared" si="31"/>
        <v>Ty</v>
      </c>
      <c r="G474" t="s">
        <v>3198</v>
      </c>
      <c r="H474">
        <v>2014</v>
      </c>
      <c r="I474">
        <v>4</v>
      </c>
      <c r="J474">
        <v>108</v>
      </c>
      <c r="K474">
        <v>61</v>
      </c>
      <c r="L474">
        <v>1</v>
      </c>
      <c r="M474">
        <v>0</v>
      </c>
      <c r="N474">
        <v>0</v>
      </c>
      <c r="O474" t="str">
        <f t="shared" si="32"/>
        <v>W 108-61 vs. Ty</v>
      </c>
    </row>
    <row r="475" spans="1:15" ht="15" customHeight="1" x14ac:dyDescent="0.25">
      <c r="A475">
        <f t="shared" si="33"/>
        <v>81</v>
      </c>
      <c r="B475" t="s">
        <v>3211</v>
      </c>
      <c r="C475" t="s">
        <v>3222</v>
      </c>
      <c r="D475" t="s">
        <v>3201</v>
      </c>
      <c r="E475" t="str">
        <f t="shared" si="30"/>
        <v>Anthony</v>
      </c>
      <c r="F475" t="str">
        <f t="shared" si="31"/>
        <v>Austin</v>
      </c>
      <c r="G475" t="s">
        <v>3223</v>
      </c>
      <c r="H475">
        <v>2013</v>
      </c>
      <c r="I475">
        <v>6</v>
      </c>
      <c r="J475">
        <v>108</v>
      </c>
      <c r="K475">
        <v>58</v>
      </c>
      <c r="L475">
        <v>1</v>
      </c>
      <c r="M475">
        <v>0</v>
      </c>
      <c r="N475">
        <v>0</v>
      </c>
      <c r="O475" t="str">
        <f t="shared" si="32"/>
        <v>W 108-58 vs. Austin</v>
      </c>
    </row>
    <row r="476" spans="1:15" ht="15" customHeight="1" x14ac:dyDescent="0.25">
      <c r="A476">
        <f t="shared" si="33"/>
        <v>82</v>
      </c>
      <c r="B476" t="s">
        <v>3218</v>
      </c>
      <c r="C476" t="s">
        <v>3216</v>
      </c>
      <c r="D476" t="s">
        <v>3219</v>
      </c>
      <c r="E476" t="str">
        <f t="shared" si="30"/>
        <v>Matthew</v>
      </c>
      <c r="F476" t="str">
        <f t="shared" si="31"/>
        <v>Seth</v>
      </c>
      <c r="G476" t="s">
        <v>3217</v>
      </c>
      <c r="H476">
        <v>2013</v>
      </c>
      <c r="I476">
        <v>10</v>
      </c>
      <c r="J476">
        <v>108</v>
      </c>
      <c r="K476">
        <v>42</v>
      </c>
      <c r="L476">
        <v>1</v>
      </c>
      <c r="M476">
        <v>0</v>
      </c>
      <c r="N476">
        <v>0</v>
      </c>
      <c r="O476" t="str">
        <f t="shared" si="32"/>
        <v>W 108-42 vs. Seth</v>
      </c>
    </row>
    <row r="477" spans="1:15" ht="15" customHeight="1" x14ac:dyDescent="0.25">
      <c r="A477">
        <f t="shared" si="33"/>
        <v>83</v>
      </c>
      <c r="B477" t="s">
        <v>3222</v>
      </c>
      <c r="C477" t="s">
        <v>3209</v>
      </c>
      <c r="D477" t="s">
        <v>3200</v>
      </c>
      <c r="E477" t="str">
        <f t="shared" si="30"/>
        <v>Taylor</v>
      </c>
      <c r="F477" t="str">
        <f t="shared" si="31"/>
        <v>Scott</v>
      </c>
      <c r="G477" t="s">
        <v>3227</v>
      </c>
      <c r="H477">
        <v>2014</v>
      </c>
      <c r="I477">
        <v>9</v>
      </c>
      <c r="J477">
        <v>109</v>
      </c>
      <c r="K477">
        <v>103</v>
      </c>
      <c r="L477">
        <v>1</v>
      </c>
      <c r="M477">
        <v>0</v>
      </c>
      <c r="N477">
        <v>0</v>
      </c>
      <c r="O477" t="str">
        <f t="shared" si="32"/>
        <v>W 109-103 vs. Scott</v>
      </c>
    </row>
    <row r="478" spans="1:15" ht="15" customHeight="1" x14ac:dyDescent="0.25">
      <c r="A478">
        <f t="shared" si="33"/>
        <v>84</v>
      </c>
      <c r="B478" t="s">
        <v>3215</v>
      </c>
      <c r="C478" t="s">
        <v>3209</v>
      </c>
      <c r="D478" t="s">
        <v>3199</v>
      </c>
      <c r="E478" t="str">
        <f t="shared" si="30"/>
        <v>Devon</v>
      </c>
      <c r="F478" t="str">
        <f t="shared" si="31"/>
        <v>Scott</v>
      </c>
      <c r="G478" t="s">
        <v>3227</v>
      </c>
      <c r="H478">
        <v>2013</v>
      </c>
      <c r="I478">
        <v>5</v>
      </c>
      <c r="J478">
        <v>109</v>
      </c>
      <c r="K478">
        <v>87</v>
      </c>
      <c r="L478">
        <v>1</v>
      </c>
      <c r="M478">
        <v>0</v>
      </c>
      <c r="N478">
        <v>0</v>
      </c>
      <c r="O478" t="str">
        <f t="shared" si="32"/>
        <v>W 109-87 vs. Scott</v>
      </c>
    </row>
    <row r="479" spans="1:15" ht="15" customHeight="1" x14ac:dyDescent="0.25">
      <c r="A479">
        <f t="shared" si="33"/>
        <v>85</v>
      </c>
      <c r="B479" t="s">
        <v>3220</v>
      </c>
      <c r="C479" t="s">
        <v>3215</v>
      </c>
      <c r="D479" t="s">
        <v>3224</v>
      </c>
      <c r="E479" t="str">
        <f t="shared" si="30"/>
        <v>Carter</v>
      </c>
      <c r="F479" t="str">
        <f t="shared" si="31"/>
        <v>Devon</v>
      </c>
      <c r="G479" t="s">
        <v>3199</v>
      </c>
      <c r="H479">
        <v>2014</v>
      </c>
      <c r="I479">
        <v>4</v>
      </c>
      <c r="J479">
        <v>109</v>
      </c>
      <c r="K479">
        <v>76</v>
      </c>
      <c r="L479">
        <v>1</v>
      </c>
      <c r="M479">
        <v>0</v>
      </c>
      <c r="N479">
        <v>0</v>
      </c>
      <c r="O479" t="str">
        <f t="shared" si="32"/>
        <v>W 109-76 vs. Devon</v>
      </c>
    </row>
    <row r="480" spans="1:15" ht="15" customHeight="1" x14ac:dyDescent="0.25">
      <c r="A480">
        <f t="shared" si="33"/>
        <v>86</v>
      </c>
      <c r="B480" t="s">
        <v>3211</v>
      </c>
      <c r="C480" t="s">
        <v>3220</v>
      </c>
      <c r="D480" t="s">
        <v>3201</v>
      </c>
      <c r="E480" t="str">
        <f t="shared" si="30"/>
        <v>Anthony</v>
      </c>
      <c r="F480" t="str">
        <f t="shared" si="31"/>
        <v>Perry</v>
      </c>
      <c r="G480" t="s">
        <v>3226</v>
      </c>
      <c r="H480">
        <v>2016</v>
      </c>
      <c r="I480">
        <v>9</v>
      </c>
      <c r="J480">
        <v>109</v>
      </c>
      <c r="K480">
        <v>54</v>
      </c>
      <c r="L480">
        <v>1</v>
      </c>
      <c r="M480">
        <v>0</v>
      </c>
      <c r="N480">
        <v>0</v>
      </c>
      <c r="O480" t="str">
        <f t="shared" si="32"/>
        <v>W 109-54 vs. Perry</v>
      </c>
    </row>
    <row r="481" spans="1:15" ht="15" customHeight="1" x14ac:dyDescent="0.25">
      <c r="A481">
        <f t="shared" si="33"/>
        <v>87</v>
      </c>
      <c r="B481" t="s">
        <v>3209</v>
      </c>
      <c r="C481" t="s">
        <v>3220</v>
      </c>
      <c r="D481" t="s">
        <v>3227</v>
      </c>
      <c r="E481" t="str">
        <f t="shared" si="30"/>
        <v>Scott</v>
      </c>
      <c r="F481" t="str">
        <f t="shared" si="31"/>
        <v>Perry</v>
      </c>
      <c r="G481" t="s">
        <v>3226</v>
      </c>
      <c r="H481">
        <v>2015</v>
      </c>
      <c r="I481">
        <v>12</v>
      </c>
      <c r="J481">
        <v>110</v>
      </c>
      <c r="K481">
        <v>119</v>
      </c>
      <c r="L481">
        <v>0</v>
      </c>
      <c r="M481">
        <v>1</v>
      </c>
      <c r="N481">
        <v>0</v>
      </c>
      <c r="O481" t="str">
        <f t="shared" si="32"/>
        <v>L 110-119 vs. Perry</v>
      </c>
    </row>
    <row r="482" spans="1:15" ht="15" customHeight="1" x14ac:dyDescent="0.25">
      <c r="A482">
        <f t="shared" si="33"/>
        <v>88</v>
      </c>
      <c r="B482" t="s">
        <v>3211</v>
      </c>
      <c r="C482" t="s">
        <v>3216</v>
      </c>
      <c r="D482" t="s">
        <v>3201</v>
      </c>
      <c r="E482" t="str">
        <f t="shared" si="30"/>
        <v>Anthony</v>
      </c>
      <c r="F482" t="str">
        <f t="shared" si="31"/>
        <v>Seth</v>
      </c>
      <c r="G482" t="s">
        <v>3217</v>
      </c>
      <c r="H482">
        <v>2015</v>
      </c>
      <c r="I482">
        <v>3</v>
      </c>
      <c r="J482">
        <v>110</v>
      </c>
      <c r="K482">
        <v>111</v>
      </c>
      <c r="L482">
        <v>0</v>
      </c>
      <c r="M482">
        <v>1</v>
      </c>
      <c r="N482">
        <v>0</v>
      </c>
      <c r="O482" t="str">
        <f t="shared" si="32"/>
        <v>L 110-111 vs. Seth</v>
      </c>
    </row>
    <row r="483" spans="1:15" x14ac:dyDescent="0.25">
      <c r="A483">
        <f t="shared" si="33"/>
        <v>89</v>
      </c>
      <c r="B483" t="s">
        <v>3211</v>
      </c>
      <c r="C483" t="s">
        <v>3218</v>
      </c>
      <c r="D483" t="s">
        <v>3201</v>
      </c>
      <c r="E483" t="str">
        <f t="shared" si="30"/>
        <v>Anthony</v>
      </c>
      <c r="F483" t="str">
        <f t="shared" si="31"/>
        <v>Matthew</v>
      </c>
      <c r="G483" t="s">
        <v>3219</v>
      </c>
      <c r="H483">
        <v>2017</v>
      </c>
      <c r="I483">
        <v>5</v>
      </c>
      <c r="J483">
        <v>110</v>
      </c>
      <c r="K483">
        <v>106</v>
      </c>
      <c r="L483">
        <v>1</v>
      </c>
      <c r="M483">
        <v>0</v>
      </c>
      <c r="N483">
        <v>0</v>
      </c>
      <c r="O483" t="str">
        <f t="shared" si="32"/>
        <v>W 110-106 vs. Matthew</v>
      </c>
    </row>
    <row r="484" spans="1:15" ht="15" customHeight="1" x14ac:dyDescent="0.25">
      <c r="A484">
        <f t="shared" si="33"/>
        <v>90</v>
      </c>
      <c r="B484" t="s">
        <v>3220</v>
      </c>
      <c r="C484" t="s">
        <v>3213</v>
      </c>
      <c r="D484" t="s">
        <v>3221</v>
      </c>
      <c r="E484" t="str">
        <f t="shared" si="30"/>
        <v>Lucas</v>
      </c>
      <c r="F484" t="str">
        <f t="shared" si="31"/>
        <v>Cory</v>
      </c>
      <c r="G484" t="s">
        <v>3214</v>
      </c>
      <c r="H484">
        <v>2013</v>
      </c>
      <c r="I484">
        <v>11</v>
      </c>
      <c r="J484">
        <v>110</v>
      </c>
      <c r="K484">
        <v>102</v>
      </c>
      <c r="L484">
        <v>1</v>
      </c>
      <c r="M484">
        <v>0</v>
      </c>
      <c r="N484">
        <v>0</v>
      </c>
      <c r="O484" t="str">
        <f t="shared" si="32"/>
        <v>W 110-102 vs. Cory</v>
      </c>
    </row>
    <row r="485" spans="1:15" ht="15" customHeight="1" x14ac:dyDescent="0.25">
      <c r="A485">
        <f t="shared" si="33"/>
        <v>91</v>
      </c>
      <c r="B485" t="s">
        <v>3220</v>
      </c>
      <c r="C485" t="s">
        <v>3209</v>
      </c>
      <c r="D485" t="s">
        <v>3226</v>
      </c>
      <c r="E485" t="str">
        <f t="shared" si="30"/>
        <v>Perry</v>
      </c>
      <c r="F485" t="str">
        <f t="shared" si="31"/>
        <v>Scott</v>
      </c>
      <c r="G485" t="s">
        <v>3227</v>
      </c>
      <c r="H485">
        <v>2016</v>
      </c>
      <c r="I485">
        <v>12</v>
      </c>
      <c r="J485">
        <v>110</v>
      </c>
      <c r="K485">
        <v>99</v>
      </c>
      <c r="L485">
        <v>1</v>
      </c>
      <c r="M485">
        <v>0</v>
      </c>
      <c r="N485">
        <v>0</v>
      </c>
      <c r="O485" t="str">
        <f t="shared" si="32"/>
        <v>W 110-99 vs. Scott</v>
      </c>
    </row>
    <row r="486" spans="1:15" ht="15" customHeight="1" x14ac:dyDescent="0.25">
      <c r="A486">
        <f t="shared" si="33"/>
        <v>92</v>
      </c>
      <c r="B486" t="s">
        <v>3220</v>
      </c>
      <c r="C486" t="s">
        <v>3222</v>
      </c>
      <c r="D486" t="s">
        <v>3226</v>
      </c>
      <c r="E486" t="str">
        <f t="shared" si="30"/>
        <v>Perry</v>
      </c>
      <c r="F486" t="str">
        <f t="shared" si="31"/>
        <v>Taylor</v>
      </c>
      <c r="G486" t="s">
        <v>3200</v>
      </c>
      <c r="H486">
        <v>2015</v>
      </c>
      <c r="I486">
        <v>2</v>
      </c>
      <c r="J486">
        <v>110</v>
      </c>
      <c r="K486">
        <v>89</v>
      </c>
      <c r="L486">
        <v>1</v>
      </c>
      <c r="M486">
        <v>0</v>
      </c>
      <c r="N486">
        <v>0</v>
      </c>
      <c r="O486" t="str">
        <f t="shared" si="32"/>
        <v>W 110-89 vs. Taylor</v>
      </c>
    </row>
    <row r="487" spans="1:15" ht="15" customHeight="1" x14ac:dyDescent="0.25">
      <c r="A487">
        <f t="shared" si="33"/>
        <v>93</v>
      </c>
      <c r="B487" t="s">
        <v>3218</v>
      </c>
      <c r="C487" t="s">
        <v>3220</v>
      </c>
      <c r="D487" t="s">
        <v>3219</v>
      </c>
      <c r="E487" t="str">
        <f t="shared" si="30"/>
        <v>Matthew</v>
      </c>
      <c r="F487" t="str">
        <f t="shared" si="31"/>
        <v>Lucas</v>
      </c>
      <c r="G487" t="s">
        <v>3221</v>
      </c>
      <c r="H487">
        <v>2013</v>
      </c>
      <c r="I487">
        <v>9</v>
      </c>
      <c r="J487">
        <v>110</v>
      </c>
      <c r="K487">
        <v>74</v>
      </c>
      <c r="L487">
        <v>1</v>
      </c>
      <c r="M487">
        <v>0</v>
      </c>
      <c r="N487">
        <v>0</v>
      </c>
      <c r="O487" t="str">
        <f t="shared" si="32"/>
        <v>W 110-74 vs. Lucas</v>
      </c>
    </row>
    <row r="488" spans="1:15" ht="15" customHeight="1" x14ac:dyDescent="0.25">
      <c r="A488">
        <f t="shared" si="33"/>
        <v>94</v>
      </c>
      <c r="B488" t="s">
        <v>3216</v>
      </c>
      <c r="C488" t="s">
        <v>3211</v>
      </c>
      <c r="D488" t="s">
        <v>3217</v>
      </c>
      <c r="E488" t="str">
        <f t="shared" si="30"/>
        <v>Seth</v>
      </c>
      <c r="F488" t="str">
        <f t="shared" si="31"/>
        <v>Anthony</v>
      </c>
      <c r="G488" t="s">
        <v>3201</v>
      </c>
      <c r="H488">
        <v>2017</v>
      </c>
      <c r="I488">
        <v>11</v>
      </c>
      <c r="J488">
        <v>111</v>
      </c>
      <c r="K488">
        <v>131</v>
      </c>
      <c r="L488">
        <v>0</v>
      </c>
      <c r="M488">
        <v>1</v>
      </c>
      <c r="N488">
        <v>0</v>
      </c>
      <c r="O488" t="str">
        <f t="shared" si="32"/>
        <v>L 111-131 vs. Anthony</v>
      </c>
    </row>
    <row r="489" spans="1:15" ht="15" customHeight="1" x14ac:dyDescent="0.25">
      <c r="A489">
        <f t="shared" si="33"/>
        <v>95</v>
      </c>
      <c r="B489" t="s">
        <v>3209</v>
      </c>
      <c r="C489" t="s">
        <v>3208</v>
      </c>
      <c r="D489" t="s">
        <v>3227</v>
      </c>
      <c r="E489" t="str">
        <f t="shared" si="30"/>
        <v>Scott</v>
      </c>
      <c r="F489" t="str">
        <f t="shared" si="31"/>
        <v>Chad</v>
      </c>
      <c r="G489" t="s">
        <v>3225</v>
      </c>
      <c r="H489">
        <v>2015</v>
      </c>
      <c r="I489">
        <v>8</v>
      </c>
      <c r="J489">
        <v>111</v>
      </c>
      <c r="K489">
        <v>125</v>
      </c>
      <c r="L489">
        <v>0</v>
      </c>
      <c r="M489">
        <v>1</v>
      </c>
      <c r="N489">
        <v>0</v>
      </c>
      <c r="O489" t="str">
        <f t="shared" si="32"/>
        <v>L 111-125 vs. Chad</v>
      </c>
    </row>
    <row r="490" spans="1:15" ht="15" customHeight="1" x14ac:dyDescent="0.25">
      <c r="A490">
        <f t="shared" si="33"/>
        <v>96</v>
      </c>
      <c r="B490" t="s">
        <v>3216</v>
      </c>
      <c r="C490" t="s">
        <v>3208</v>
      </c>
      <c r="D490" t="s">
        <v>3217</v>
      </c>
      <c r="E490" t="str">
        <f t="shared" si="30"/>
        <v>Seth</v>
      </c>
      <c r="F490" t="str">
        <f t="shared" si="31"/>
        <v>Chad</v>
      </c>
      <c r="G490" t="s">
        <v>3225</v>
      </c>
      <c r="H490">
        <v>2017</v>
      </c>
      <c r="I490">
        <v>4</v>
      </c>
      <c r="J490">
        <v>111</v>
      </c>
      <c r="K490">
        <v>123</v>
      </c>
      <c r="L490">
        <v>0</v>
      </c>
      <c r="M490">
        <v>1</v>
      </c>
      <c r="N490">
        <v>0</v>
      </c>
      <c r="O490" t="str">
        <f t="shared" si="32"/>
        <v>L 111-123 vs. Chad</v>
      </c>
    </row>
    <row r="491" spans="1:15" ht="15" customHeight="1" x14ac:dyDescent="0.25">
      <c r="A491">
        <f t="shared" si="33"/>
        <v>97</v>
      </c>
      <c r="B491" t="s">
        <v>3222</v>
      </c>
      <c r="C491" t="s">
        <v>3213</v>
      </c>
      <c r="D491" t="s">
        <v>3200</v>
      </c>
      <c r="E491" t="str">
        <f t="shared" si="30"/>
        <v>Taylor</v>
      </c>
      <c r="F491" t="str">
        <f t="shared" si="31"/>
        <v>Cory</v>
      </c>
      <c r="G491" t="s">
        <v>3214</v>
      </c>
      <c r="H491">
        <v>2016</v>
      </c>
      <c r="I491">
        <v>3</v>
      </c>
      <c r="J491">
        <v>111</v>
      </c>
      <c r="K491">
        <v>112</v>
      </c>
      <c r="L491">
        <v>0</v>
      </c>
      <c r="M491">
        <v>1</v>
      </c>
      <c r="N491">
        <v>0</v>
      </c>
      <c r="O491" t="str">
        <f t="shared" si="32"/>
        <v>L 111-112 vs. Cory</v>
      </c>
    </row>
    <row r="492" spans="1:15" ht="15" customHeight="1" x14ac:dyDescent="0.25">
      <c r="A492">
        <f t="shared" si="33"/>
        <v>98</v>
      </c>
      <c r="B492" t="s">
        <v>3216</v>
      </c>
      <c r="C492" t="s">
        <v>3211</v>
      </c>
      <c r="D492" t="s">
        <v>3217</v>
      </c>
      <c r="E492" t="str">
        <f t="shared" si="30"/>
        <v>Seth</v>
      </c>
      <c r="F492" t="str">
        <f t="shared" si="31"/>
        <v>Anthony</v>
      </c>
      <c r="G492" t="s">
        <v>3201</v>
      </c>
      <c r="H492">
        <v>2015</v>
      </c>
      <c r="I492">
        <v>3</v>
      </c>
      <c r="J492">
        <v>111</v>
      </c>
      <c r="K492">
        <v>110</v>
      </c>
      <c r="L492">
        <v>1</v>
      </c>
      <c r="M492">
        <v>0</v>
      </c>
      <c r="N492">
        <v>0</v>
      </c>
      <c r="O492" t="str">
        <f t="shared" si="32"/>
        <v>W 111-110 vs. Anthony</v>
      </c>
    </row>
    <row r="493" spans="1:15" ht="15" customHeight="1" x14ac:dyDescent="0.25">
      <c r="A493">
        <f t="shared" si="33"/>
        <v>99</v>
      </c>
      <c r="B493" t="s">
        <v>3212</v>
      </c>
      <c r="C493" t="s">
        <v>3216</v>
      </c>
      <c r="D493" t="s">
        <v>3198</v>
      </c>
      <c r="E493" t="str">
        <f t="shared" si="30"/>
        <v>Ty</v>
      </c>
      <c r="F493" t="str">
        <f t="shared" si="31"/>
        <v>Seth</v>
      </c>
      <c r="G493" t="s">
        <v>3217</v>
      </c>
      <c r="H493">
        <v>2013</v>
      </c>
      <c r="I493">
        <v>5</v>
      </c>
      <c r="J493">
        <v>111</v>
      </c>
      <c r="K493">
        <v>96</v>
      </c>
      <c r="L493">
        <v>1</v>
      </c>
      <c r="M493">
        <v>0</v>
      </c>
      <c r="N493">
        <v>0</v>
      </c>
      <c r="O493" t="str">
        <f t="shared" si="32"/>
        <v>W 111-96 vs. Seth</v>
      </c>
    </row>
    <row r="494" spans="1:15" ht="15" customHeight="1" x14ac:dyDescent="0.25">
      <c r="A494">
        <f t="shared" si="33"/>
        <v>100</v>
      </c>
      <c r="B494" t="s">
        <v>3220</v>
      </c>
      <c r="C494" t="s">
        <v>3215</v>
      </c>
      <c r="D494" t="s">
        <v>3226</v>
      </c>
      <c r="E494" t="str">
        <f t="shared" si="30"/>
        <v>Perry</v>
      </c>
      <c r="F494" t="str">
        <f t="shared" si="31"/>
        <v>Devon</v>
      </c>
      <c r="G494" t="s">
        <v>3199</v>
      </c>
      <c r="H494">
        <v>2015</v>
      </c>
      <c r="I494">
        <v>13</v>
      </c>
      <c r="J494">
        <v>111</v>
      </c>
      <c r="K494">
        <v>91</v>
      </c>
      <c r="L494">
        <v>1</v>
      </c>
      <c r="M494">
        <v>0</v>
      </c>
      <c r="N494">
        <v>0</v>
      </c>
      <c r="O494" t="str">
        <f t="shared" si="32"/>
        <v>W 111-91 vs. Devon</v>
      </c>
    </row>
    <row r="495" spans="1:15" ht="15" customHeight="1" x14ac:dyDescent="0.25">
      <c r="A495">
        <f t="shared" si="33"/>
        <v>101</v>
      </c>
      <c r="B495" t="s">
        <v>3213</v>
      </c>
      <c r="C495" t="s">
        <v>3212</v>
      </c>
      <c r="D495" t="s">
        <v>3214</v>
      </c>
      <c r="E495" t="str">
        <f t="shared" si="30"/>
        <v>Cory</v>
      </c>
      <c r="F495" t="str">
        <f t="shared" si="31"/>
        <v>Ty</v>
      </c>
      <c r="G495" t="s">
        <v>3198</v>
      </c>
      <c r="H495">
        <v>2013</v>
      </c>
      <c r="I495">
        <v>10</v>
      </c>
      <c r="J495">
        <v>111</v>
      </c>
      <c r="K495">
        <v>86</v>
      </c>
      <c r="L495">
        <v>1</v>
      </c>
      <c r="M495">
        <v>0</v>
      </c>
      <c r="N495">
        <v>0</v>
      </c>
      <c r="O495" t="str">
        <f t="shared" si="32"/>
        <v>W 111-86 vs. Ty</v>
      </c>
    </row>
    <row r="496" spans="1:15" x14ac:dyDescent="0.25">
      <c r="A496">
        <f t="shared" si="33"/>
        <v>102</v>
      </c>
      <c r="B496" t="s">
        <v>3212</v>
      </c>
      <c r="C496" t="s">
        <v>3218</v>
      </c>
      <c r="D496" t="s">
        <v>3198</v>
      </c>
      <c r="E496" t="str">
        <f t="shared" si="30"/>
        <v>Ty</v>
      </c>
      <c r="F496" t="str">
        <f t="shared" si="31"/>
        <v>Matthew</v>
      </c>
      <c r="G496" t="s">
        <v>3219</v>
      </c>
      <c r="H496">
        <v>2017</v>
      </c>
      <c r="I496">
        <v>11</v>
      </c>
      <c r="J496">
        <v>111</v>
      </c>
      <c r="K496">
        <v>84</v>
      </c>
      <c r="L496">
        <v>1</v>
      </c>
      <c r="M496">
        <v>0</v>
      </c>
      <c r="N496">
        <v>0</v>
      </c>
      <c r="O496" t="str">
        <f t="shared" si="32"/>
        <v>W 111-84 vs. Matthew</v>
      </c>
    </row>
    <row r="497" spans="1:15" ht="15" customHeight="1" x14ac:dyDescent="0.25">
      <c r="A497">
        <f t="shared" si="33"/>
        <v>103</v>
      </c>
      <c r="B497" t="s">
        <v>3208</v>
      </c>
      <c r="C497" t="s">
        <v>3215</v>
      </c>
      <c r="D497" t="s">
        <v>3225</v>
      </c>
      <c r="E497" t="str">
        <f t="shared" si="30"/>
        <v>Chad</v>
      </c>
      <c r="F497" t="str">
        <f t="shared" si="31"/>
        <v>Devon</v>
      </c>
      <c r="G497" t="s">
        <v>3199</v>
      </c>
      <c r="H497">
        <v>2016</v>
      </c>
      <c r="I497">
        <v>3</v>
      </c>
      <c r="J497">
        <v>111</v>
      </c>
      <c r="K497">
        <v>80</v>
      </c>
      <c r="L497">
        <v>1</v>
      </c>
      <c r="M497">
        <v>0</v>
      </c>
      <c r="N497">
        <v>0</v>
      </c>
      <c r="O497" t="str">
        <f t="shared" si="32"/>
        <v>W 111-80 vs. Devon</v>
      </c>
    </row>
    <row r="498" spans="1:15" ht="15" customHeight="1" x14ac:dyDescent="0.25">
      <c r="A498">
        <f t="shared" si="33"/>
        <v>104</v>
      </c>
      <c r="B498" t="s">
        <v>3208</v>
      </c>
      <c r="C498" t="s">
        <v>3215</v>
      </c>
      <c r="D498" t="s">
        <v>3225</v>
      </c>
      <c r="E498" t="str">
        <f t="shared" si="30"/>
        <v>Chad</v>
      </c>
      <c r="F498" t="str">
        <f t="shared" si="31"/>
        <v>Devon</v>
      </c>
      <c r="G498" t="s">
        <v>3199</v>
      </c>
      <c r="H498">
        <v>2015</v>
      </c>
      <c r="I498">
        <v>3</v>
      </c>
      <c r="J498">
        <v>111</v>
      </c>
      <c r="K498">
        <v>77</v>
      </c>
      <c r="L498">
        <v>1</v>
      </c>
      <c r="M498">
        <v>0</v>
      </c>
      <c r="N498">
        <v>0</v>
      </c>
      <c r="O498" t="str">
        <f t="shared" si="32"/>
        <v>W 111-77 vs. Devon</v>
      </c>
    </row>
    <row r="499" spans="1:15" ht="15" customHeight="1" x14ac:dyDescent="0.25">
      <c r="A499">
        <f t="shared" si="33"/>
        <v>105</v>
      </c>
      <c r="B499" t="s">
        <v>3209</v>
      </c>
      <c r="C499" t="s">
        <v>3212</v>
      </c>
      <c r="D499" t="s">
        <v>3227</v>
      </c>
      <c r="E499" t="str">
        <f t="shared" si="30"/>
        <v>Scott</v>
      </c>
      <c r="F499" t="str">
        <f t="shared" si="31"/>
        <v>Ty</v>
      </c>
      <c r="G499" t="s">
        <v>3198</v>
      </c>
      <c r="H499">
        <v>2015</v>
      </c>
      <c r="I499">
        <v>10</v>
      </c>
      <c r="J499">
        <v>111</v>
      </c>
      <c r="K499">
        <v>68</v>
      </c>
      <c r="L499">
        <v>1</v>
      </c>
      <c r="M499">
        <v>0</v>
      </c>
      <c r="N499">
        <v>0</v>
      </c>
      <c r="O499" t="str">
        <f t="shared" si="32"/>
        <v>W 111-68 vs. Ty</v>
      </c>
    </row>
    <row r="500" spans="1:15" ht="15" customHeight="1" x14ac:dyDescent="0.25">
      <c r="A500">
        <f t="shared" si="33"/>
        <v>106</v>
      </c>
      <c r="B500" t="s">
        <v>3213</v>
      </c>
      <c r="C500" t="s">
        <v>3208</v>
      </c>
      <c r="D500" t="s">
        <v>3214</v>
      </c>
      <c r="E500" t="str">
        <f t="shared" si="30"/>
        <v>Cory</v>
      </c>
      <c r="F500" t="str">
        <f t="shared" si="31"/>
        <v>Spencer</v>
      </c>
      <c r="G500" t="s">
        <v>3210</v>
      </c>
      <c r="H500">
        <v>2013</v>
      </c>
      <c r="I500">
        <v>6</v>
      </c>
      <c r="J500">
        <v>111</v>
      </c>
      <c r="K500">
        <v>67</v>
      </c>
      <c r="L500">
        <v>1</v>
      </c>
      <c r="M500">
        <v>0</v>
      </c>
      <c r="N500">
        <v>0</v>
      </c>
      <c r="O500" t="str">
        <f t="shared" si="32"/>
        <v>W 111-67 vs. Spencer</v>
      </c>
    </row>
    <row r="501" spans="1:15" ht="15" customHeight="1" x14ac:dyDescent="0.25">
      <c r="A501">
        <f t="shared" si="33"/>
        <v>107</v>
      </c>
      <c r="B501" t="s">
        <v>3212</v>
      </c>
      <c r="C501" t="s">
        <v>3208</v>
      </c>
      <c r="D501" t="s">
        <v>3198</v>
      </c>
      <c r="E501" t="str">
        <f t="shared" si="30"/>
        <v>Ty</v>
      </c>
      <c r="F501" t="str">
        <f t="shared" si="31"/>
        <v>Chad</v>
      </c>
      <c r="G501" t="s">
        <v>3225</v>
      </c>
      <c r="H501">
        <v>2016</v>
      </c>
      <c r="I501">
        <v>13</v>
      </c>
      <c r="J501">
        <v>112</v>
      </c>
      <c r="K501">
        <v>135</v>
      </c>
      <c r="L501">
        <v>0</v>
      </c>
      <c r="M501">
        <v>1</v>
      </c>
      <c r="N501">
        <v>0</v>
      </c>
      <c r="O501" t="str">
        <f t="shared" si="32"/>
        <v>L 112-135 vs. Chad</v>
      </c>
    </row>
    <row r="502" spans="1:15" ht="15" customHeight="1" x14ac:dyDescent="0.25">
      <c r="A502">
        <f t="shared" si="33"/>
        <v>108</v>
      </c>
      <c r="B502" t="s">
        <v>3213</v>
      </c>
      <c r="C502" t="s">
        <v>3222</v>
      </c>
      <c r="D502" t="s">
        <v>3214</v>
      </c>
      <c r="E502" t="str">
        <f t="shared" si="30"/>
        <v>Cory</v>
      </c>
      <c r="F502" t="str">
        <f t="shared" si="31"/>
        <v>Taylor</v>
      </c>
      <c r="G502" t="s">
        <v>3200</v>
      </c>
      <c r="H502">
        <v>2016</v>
      </c>
      <c r="I502">
        <v>3</v>
      </c>
      <c r="J502">
        <v>112</v>
      </c>
      <c r="K502">
        <v>111</v>
      </c>
      <c r="L502">
        <v>1</v>
      </c>
      <c r="M502">
        <v>0</v>
      </c>
      <c r="N502">
        <v>0</v>
      </c>
      <c r="O502" t="str">
        <f t="shared" si="32"/>
        <v>W 112-111 vs. Taylor</v>
      </c>
    </row>
    <row r="503" spans="1:15" x14ac:dyDescent="0.25">
      <c r="A503">
        <f t="shared" si="33"/>
        <v>109</v>
      </c>
      <c r="B503" t="s">
        <v>3209</v>
      </c>
      <c r="C503" t="s">
        <v>3208</v>
      </c>
      <c r="D503" t="s">
        <v>3227</v>
      </c>
      <c r="E503" t="str">
        <f t="shared" si="30"/>
        <v>Scott</v>
      </c>
      <c r="F503" t="str">
        <f t="shared" si="31"/>
        <v>Spencer</v>
      </c>
      <c r="G503" t="s">
        <v>3210</v>
      </c>
      <c r="H503">
        <v>2013</v>
      </c>
      <c r="I503">
        <v>1</v>
      </c>
      <c r="J503">
        <v>112</v>
      </c>
      <c r="K503">
        <v>103</v>
      </c>
      <c r="L503">
        <v>1</v>
      </c>
      <c r="M503">
        <v>0</v>
      </c>
      <c r="N503">
        <v>0</v>
      </c>
      <c r="O503" t="str">
        <f t="shared" si="32"/>
        <v>W 112-103 vs. Spencer</v>
      </c>
    </row>
    <row r="504" spans="1:15" ht="15" customHeight="1" x14ac:dyDescent="0.25">
      <c r="A504">
        <f t="shared" si="33"/>
        <v>110</v>
      </c>
      <c r="B504" t="s">
        <v>3218</v>
      </c>
      <c r="C504" t="s">
        <v>3208</v>
      </c>
      <c r="D504" t="s">
        <v>3219</v>
      </c>
      <c r="E504" t="str">
        <f t="shared" si="30"/>
        <v>Matthew</v>
      </c>
      <c r="F504" t="str">
        <f t="shared" si="31"/>
        <v>Chad</v>
      </c>
      <c r="G504" t="s">
        <v>3225</v>
      </c>
      <c r="H504">
        <v>2016</v>
      </c>
      <c r="I504">
        <v>1</v>
      </c>
      <c r="J504">
        <v>112</v>
      </c>
      <c r="K504">
        <v>103</v>
      </c>
      <c r="L504">
        <v>1</v>
      </c>
      <c r="M504">
        <v>0</v>
      </c>
      <c r="N504">
        <v>0</v>
      </c>
      <c r="O504" t="str">
        <f t="shared" si="32"/>
        <v>W 112-103 vs. Chad</v>
      </c>
    </row>
    <row r="505" spans="1:15" ht="15" customHeight="1" x14ac:dyDescent="0.25">
      <c r="A505">
        <f t="shared" si="33"/>
        <v>111</v>
      </c>
      <c r="B505" t="s">
        <v>3222</v>
      </c>
      <c r="C505" t="s">
        <v>3220</v>
      </c>
      <c r="D505" t="s">
        <v>3200</v>
      </c>
      <c r="E505" t="str">
        <f t="shared" si="30"/>
        <v>Taylor</v>
      </c>
      <c r="F505" t="str">
        <f t="shared" si="31"/>
        <v>Carter</v>
      </c>
      <c r="G505" t="s">
        <v>3224</v>
      </c>
      <c r="H505">
        <v>2014</v>
      </c>
      <c r="I505">
        <v>11</v>
      </c>
      <c r="J505">
        <v>112</v>
      </c>
      <c r="K505">
        <v>100</v>
      </c>
      <c r="L505">
        <v>1</v>
      </c>
      <c r="M505">
        <v>0</v>
      </c>
      <c r="N505">
        <v>0</v>
      </c>
      <c r="O505" t="str">
        <f t="shared" si="32"/>
        <v>W 112-100 vs. Carter</v>
      </c>
    </row>
    <row r="506" spans="1:15" ht="15" customHeight="1" x14ac:dyDescent="0.25">
      <c r="A506">
        <f t="shared" si="33"/>
        <v>112</v>
      </c>
      <c r="B506" t="s">
        <v>3208</v>
      </c>
      <c r="C506" t="s">
        <v>3222</v>
      </c>
      <c r="D506" t="s">
        <v>3210</v>
      </c>
      <c r="E506" t="str">
        <f t="shared" si="30"/>
        <v>Spencer</v>
      </c>
      <c r="F506" t="str">
        <f t="shared" si="31"/>
        <v>Austin</v>
      </c>
      <c r="G506" t="s">
        <v>3223</v>
      </c>
      <c r="H506">
        <v>2013</v>
      </c>
      <c r="I506">
        <v>4</v>
      </c>
      <c r="J506">
        <v>112</v>
      </c>
      <c r="K506">
        <v>90</v>
      </c>
      <c r="L506">
        <v>1</v>
      </c>
      <c r="M506">
        <v>0</v>
      </c>
      <c r="N506">
        <v>0</v>
      </c>
      <c r="O506" t="str">
        <f t="shared" si="32"/>
        <v>W 112-90 vs. Austin</v>
      </c>
    </row>
    <row r="507" spans="1:15" ht="15" customHeight="1" x14ac:dyDescent="0.25">
      <c r="A507">
        <f t="shared" si="33"/>
        <v>113</v>
      </c>
      <c r="B507" t="s">
        <v>3215</v>
      </c>
      <c r="C507" t="s">
        <v>3212</v>
      </c>
      <c r="D507" t="s">
        <v>3199</v>
      </c>
      <c r="E507" t="str">
        <f t="shared" si="30"/>
        <v>Devon</v>
      </c>
      <c r="F507" t="str">
        <f t="shared" si="31"/>
        <v>Ty</v>
      </c>
      <c r="G507" t="s">
        <v>3198</v>
      </c>
      <c r="H507">
        <v>2014</v>
      </c>
      <c r="I507">
        <v>6</v>
      </c>
      <c r="J507">
        <v>112</v>
      </c>
      <c r="K507">
        <v>85</v>
      </c>
      <c r="L507">
        <v>1</v>
      </c>
      <c r="M507">
        <v>0</v>
      </c>
      <c r="N507">
        <v>0</v>
      </c>
      <c r="O507" t="str">
        <f t="shared" si="32"/>
        <v>W 112-85 vs. Ty</v>
      </c>
    </row>
    <row r="508" spans="1:15" ht="15" customHeight="1" x14ac:dyDescent="0.25">
      <c r="A508">
        <f t="shared" si="33"/>
        <v>114</v>
      </c>
      <c r="B508" t="s">
        <v>3220</v>
      </c>
      <c r="C508" t="s">
        <v>3213</v>
      </c>
      <c r="D508" t="s">
        <v>3226</v>
      </c>
      <c r="E508" t="str">
        <f t="shared" si="30"/>
        <v>Perry</v>
      </c>
      <c r="F508" t="str">
        <f t="shared" si="31"/>
        <v>Cory</v>
      </c>
      <c r="G508" t="s">
        <v>3214</v>
      </c>
      <c r="H508">
        <v>2016</v>
      </c>
      <c r="I508">
        <v>1</v>
      </c>
      <c r="J508">
        <v>112</v>
      </c>
      <c r="K508">
        <v>80</v>
      </c>
      <c r="L508">
        <v>1</v>
      </c>
      <c r="M508">
        <v>0</v>
      </c>
      <c r="N508">
        <v>0</v>
      </c>
      <c r="O508" t="str">
        <f t="shared" si="32"/>
        <v>W 112-80 vs. Cory</v>
      </c>
    </row>
    <row r="509" spans="1:15" ht="15" customHeight="1" x14ac:dyDescent="0.25">
      <c r="A509">
        <f t="shared" si="33"/>
        <v>115</v>
      </c>
      <c r="B509" t="s">
        <v>3220</v>
      </c>
      <c r="C509" t="s">
        <v>3212</v>
      </c>
      <c r="D509" t="s">
        <v>3224</v>
      </c>
      <c r="E509" t="str">
        <f t="shared" si="30"/>
        <v>Carter</v>
      </c>
      <c r="F509" t="str">
        <f t="shared" si="31"/>
        <v>Ty</v>
      </c>
      <c r="G509" t="s">
        <v>3198</v>
      </c>
      <c r="H509">
        <v>2014</v>
      </c>
      <c r="I509">
        <v>8</v>
      </c>
      <c r="J509">
        <v>112</v>
      </c>
      <c r="K509">
        <v>47</v>
      </c>
      <c r="L509">
        <v>1</v>
      </c>
      <c r="M509">
        <v>0</v>
      </c>
      <c r="N509">
        <v>0</v>
      </c>
      <c r="O509" t="str">
        <f t="shared" si="32"/>
        <v>W 112-47 vs. Ty</v>
      </c>
    </row>
    <row r="510" spans="1:15" ht="15" customHeight="1" x14ac:dyDescent="0.25">
      <c r="A510">
        <f t="shared" si="33"/>
        <v>116</v>
      </c>
      <c r="B510" t="s">
        <v>3208</v>
      </c>
      <c r="C510" t="s">
        <v>3211</v>
      </c>
      <c r="D510" t="s">
        <v>3225</v>
      </c>
      <c r="E510" t="str">
        <f t="shared" si="30"/>
        <v>Chad</v>
      </c>
      <c r="F510" t="str">
        <f t="shared" si="31"/>
        <v>Anthony</v>
      </c>
      <c r="G510" t="s">
        <v>3201</v>
      </c>
      <c r="H510">
        <v>2015</v>
      </c>
      <c r="I510">
        <v>2</v>
      </c>
      <c r="J510">
        <v>113</v>
      </c>
      <c r="K510">
        <v>149</v>
      </c>
      <c r="L510">
        <v>0</v>
      </c>
      <c r="M510">
        <v>1</v>
      </c>
      <c r="N510">
        <v>0</v>
      </c>
      <c r="O510" t="str">
        <f t="shared" si="32"/>
        <v>L 113-149 vs. Anthony</v>
      </c>
    </row>
    <row r="511" spans="1:15" ht="15" customHeight="1" x14ac:dyDescent="0.25">
      <c r="A511">
        <f t="shared" si="33"/>
        <v>117</v>
      </c>
      <c r="B511" t="s">
        <v>3220</v>
      </c>
      <c r="C511" t="s">
        <v>3213</v>
      </c>
      <c r="D511" t="s">
        <v>3226</v>
      </c>
      <c r="E511" t="str">
        <f t="shared" si="30"/>
        <v>Perry</v>
      </c>
      <c r="F511" t="str">
        <f t="shared" si="31"/>
        <v>Cory</v>
      </c>
      <c r="G511" t="s">
        <v>3214</v>
      </c>
      <c r="H511">
        <v>2015</v>
      </c>
      <c r="I511">
        <v>10</v>
      </c>
      <c r="J511">
        <v>113</v>
      </c>
      <c r="K511">
        <v>126</v>
      </c>
      <c r="L511">
        <v>0</v>
      </c>
      <c r="M511">
        <v>1</v>
      </c>
      <c r="N511">
        <v>0</v>
      </c>
      <c r="O511" t="str">
        <f t="shared" si="32"/>
        <v>L 113-126 vs. Cory</v>
      </c>
    </row>
    <row r="512" spans="1:15" ht="15" customHeight="1" x14ac:dyDescent="0.25">
      <c r="A512">
        <f t="shared" si="33"/>
        <v>118</v>
      </c>
      <c r="B512" t="s">
        <v>3215</v>
      </c>
      <c r="C512" t="s">
        <v>3209</v>
      </c>
      <c r="D512" t="s">
        <v>3199</v>
      </c>
      <c r="E512" t="str">
        <f t="shared" si="30"/>
        <v>Devon</v>
      </c>
      <c r="F512" t="str">
        <f t="shared" si="31"/>
        <v>Scott</v>
      </c>
      <c r="G512" t="s">
        <v>3227</v>
      </c>
      <c r="H512">
        <v>2013</v>
      </c>
      <c r="I512">
        <v>9</v>
      </c>
      <c r="J512">
        <v>113</v>
      </c>
      <c r="K512">
        <v>114</v>
      </c>
      <c r="L512">
        <v>0</v>
      </c>
      <c r="M512">
        <v>1</v>
      </c>
      <c r="N512">
        <v>0</v>
      </c>
      <c r="O512" t="str">
        <f t="shared" si="32"/>
        <v>L 113-114 vs. Scott</v>
      </c>
    </row>
    <row r="513" spans="1:15" ht="15" customHeight="1" x14ac:dyDescent="0.25">
      <c r="A513">
        <f t="shared" si="33"/>
        <v>119</v>
      </c>
      <c r="B513" t="s">
        <v>3212</v>
      </c>
      <c r="C513" t="s">
        <v>3213</v>
      </c>
      <c r="D513" t="s">
        <v>3198</v>
      </c>
      <c r="E513" t="str">
        <f t="shared" si="30"/>
        <v>Ty</v>
      </c>
      <c r="F513" t="str">
        <f t="shared" si="31"/>
        <v>Cory</v>
      </c>
      <c r="G513" t="s">
        <v>3214</v>
      </c>
      <c r="H513">
        <v>2013</v>
      </c>
      <c r="I513">
        <v>1</v>
      </c>
      <c r="J513">
        <v>113</v>
      </c>
      <c r="K513">
        <v>103</v>
      </c>
      <c r="L513">
        <v>1</v>
      </c>
      <c r="M513">
        <v>0</v>
      </c>
      <c r="N513">
        <v>0</v>
      </c>
      <c r="O513" t="str">
        <f t="shared" si="32"/>
        <v>W 113-103 vs. Cory</v>
      </c>
    </row>
    <row r="514" spans="1:15" ht="15" customHeight="1" x14ac:dyDescent="0.25">
      <c r="A514">
        <f t="shared" si="33"/>
        <v>120</v>
      </c>
      <c r="B514" t="s">
        <v>3222</v>
      </c>
      <c r="C514" t="s">
        <v>3218</v>
      </c>
      <c r="D514" t="s">
        <v>3200</v>
      </c>
      <c r="E514" t="str">
        <f t="shared" ref="E514:E577" si="34">LEFT(D514,SEARCH(" ",D514)-1)</f>
        <v>Taylor</v>
      </c>
      <c r="F514" t="str">
        <f t="shared" ref="F514:F577" si="35">LEFT(G514,SEARCH(" ",G514)-1)</f>
        <v>Matthew</v>
      </c>
      <c r="G514" t="s">
        <v>3219</v>
      </c>
      <c r="H514">
        <v>2016</v>
      </c>
      <c r="I514">
        <v>4</v>
      </c>
      <c r="J514">
        <v>113</v>
      </c>
      <c r="K514">
        <v>91</v>
      </c>
      <c r="L514">
        <v>1</v>
      </c>
      <c r="M514">
        <v>0</v>
      </c>
      <c r="N514">
        <v>0</v>
      </c>
      <c r="O514" t="str">
        <f t="shared" ref="O514:O577" si="36">IF(L514=1,"W",IF(M514=1,"L","T"))&amp;" "&amp;J514&amp;"-"&amp;K514&amp;" vs. "&amp;F514</f>
        <v>W 113-91 vs. Matthew</v>
      </c>
    </row>
    <row r="515" spans="1:15" ht="15" customHeight="1" x14ac:dyDescent="0.25">
      <c r="A515">
        <f t="shared" si="33"/>
        <v>121</v>
      </c>
      <c r="B515" t="s">
        <v>3211</v>
      </c>
      <c r="C515" t="s">
        <v>3222</v>
      </c>
      <c r="D515" t="s">
        <v>3201</v>
      </c>
      <c r="E515" t="str">
        <f t="shared" si="34"/>
        <v>Anthony</v>
      </c>
      <c r="F515" t="str">
        <f t="shared" si="35"/>
        <v>Jason</v>
      </c>
      <c r="G515" t="s">
        <v>3228</v>
      </c>
      <c r="H515">
        <v>2017</v>
      </c>
      <c r="I515">
        <v>8</v>
      </c>
      <c r="J515">
        <v>113</v>
      </c>
      <c r="K515">
        <v>75</v>
      </c>
      <c r="L515">
        <v>1</v>
      </c>
      <c r="M515">
        <v>0</v>
      </c>
      <c r="N515">
        <v>0</v>
      </c>
      <c r="O515" t="str">
        <f t="shared" si="36"/>
        <v>W 113-75 vs. Jason</v>
      </c>
    </row>
    <row r="516" spans="1:15" ht="15" customHeight="1" x14ac:dyDescent="0.25">
      <c r="A516">
        <f t="shared" si="33"/>
        <v>122</v>
      </c>
      <c r="B516" t="s">
        <v>3213</v>
      </c>
      <c r="C516" t="s">
        <v>3209</v>
      </c>
      <c r="D516" t="s">
        <v>3214</v>
      </c>
      <c r="E516" t="str">
        <f t="shared" si="34"/>
        <v>Cory</v>
      </c>
      <c r="F516" t="str">
        <f t="shared" si="35"/>
        <v>Scott</v>
      </c>
      <c r="G516" t="s">
        <v>3227</v>
      </c>
      <c r="H516">
        <v>2014</v>
      </c>
      <c r="I516">
        <v>13</v>
      </c>
      <c r="J516">
        <v>113</v>
      </c>
      <c r="K516">
        <v>73</v>
      </c>
      <c r="L516">
        <v>1</v>
      </c>
      <c r="M516">
        <v>0</v>
      </c>
      <c r="N516">
        <v>0</v>
      </c>
      <c r="O516" t="str">
        <f t="shared" si="36"/>
        <v>W 113-73 vs. Scott</v>
      </c>
    </row>
    <row r="517" spans="1:15" ht="15" customHeight="1" x14ac:dyDescent="0.25">
      <c r="A517">
        <f t="shared" si="33"/>
        <v>123</v>
      </c>
      <c r="B517" t="s">
        <v>3211</v>
      </c>
      <c r="C517" t="s">
        <v>3208</v>
      </c>
      <c r="D517" t="s">
        <v>3201</v>
      </c>
      <c r="E517" t="str">
        <f t="shared" si="34"/>
        <v>Anthony</v>
      </c>
      <c r="F517" t="str">
        <f t="shared" si="35"/>
        <v>Spencer</v>
      </c>
      <c r="G517" t="s">
        <v>3210</v>
      </c>
      <c r="H517">
        <v>2013</v>
      </c>
      <c r="I517">
        <v>7</v>
      </c>
      <c r="J517">
        <v>113</v>
      </c>
      <c r="K517">
        <v>60</v>
      </c>
      <c r="L517">
        <v>1</v>
      </c>
      <c r="M517">
        <v>0</v>
      </c>
      <c r="N517">
        <v>0</v>
      </c>
      <c r="O517" t="str">
        <f t="shared" si="36"/>
        <v>W 113-60 vs. Spencer</v>
      </c>
    </row>
    <row r="518" spans="1:15" ht="15" customHeight="1" x14ac:dyDescent="0.25">
      <c r="A518">
        <f t="shared" si="33"/>
        <v>124</v>
      </c>
      <c r="B518" t="s">
        <v>3209</v>
      </c>
      <c r="C518" t="s">
        <v>3215</v>
      </c>
      <c r="D518" t="s">
        <v>3227</v>
      </c>
      <c r="E518" t="str">
        <f t="shared" si="34"/>
        <v>Scott</v>
      </c>
      <c r="F518" t="str">
        <f t="shared" si="35"/>
        <v>Devon</v>
      </c>
      <c r="G518" t="s">
        <v>3199</v>
      </c>
      <c r="H518">
        <v>2013</v>
      </c>
      <c r="I518">
        <v>9</v>
      </c>
      <c r="J518">
        <v>114</v>
      </c>
      <c r="K518">
        <v>113</v>
      </c>
      <c r="L518">
        <v>1</v>
      </c>
      <c r="M518">
        <v>0</v>
      </c>
      <c r="N518">
        <v>0</v>
      </c>
      <c r="O518" t="str">
        <f t="shared" si="36"/>
        <v>W 114-113 vs. Devon</v>
      </c>
    </row>
    <row r="519" spans="1:15" ht="15" customHeight="1" x14ac:dyDescent="0.25">
      <c r="A519">
        <f t="shared" si="33"/>
        <v>125</v>
      </c>
      <c r="B519" t="s">
        <v>3215</v>
      </c>
      <c r="C519" t="s">
        <v>3216</v>
      </c>
      <c r="D519" t="s">
        <v>3199</v>
      </c>
      <c r="E519" t="str">
        <f t="shared" si="34"/>
        <v>Devon</v>
      </c>
      <c r="F519" t="str">
        <f t="shared" si="35"/>
        <v>Seth</v>
      </c>
      <c r="G519" t="s">
        <v>3217</v>
      </c>
      <c r="H519">
        <v>2013</v>
      </c>
      <c r="I519">
        <v>13</v>
      </c>
      <c r="J519">
        <v>114</v>
      </c>
      <c r="K519">
        <v>104</v>
      </c>
      <c r="L519">
        <v>1</v>
      </c>
      <c r="M519">
        <v>0</v>
      </c>
      <c r="N519">
        <v>0</v>
      </c>
      <c r="O519" t="str">
        <f t="shared" si="36"/>
        <v>W 114-104 vs. Seth</v>
      </c>
    </row>
    <row r="520" spans="1:15" ht="15" customHeight="1" x14ac:dyDescent="0.25">
      <c r="A520">
        <f t="shared" si="33"/>
        <v>126</v>
      </c>
      <c r="B520" t="s">
        <v>3218</v>
      </c>
      <c r="C520" t="s">
        <v>3216</v>
      </c>
      <c r="D520" t="s">
        <v>3219</v>
      </c>
      <c r="E520" t="str">
        <f t="shared" si="34"/>
        <v>Matthew</v>
      </c>
      <c r="F520" t="str">
        <f t="shared" si="35"/>
        <v>Seth</v>
      </c>
      <c r="G520" t="s">
        <v>3217</v>
      </c>
      <c r="H520">
        <v>2016</v>
      </c>
      <c r="I520">
        <v>2</v>
      </c>
      <c r="J520">
        <v>114</v>
      </c>
      <c r="K520">
        <v>90</v>
      </c>
      <c r="L520">
        <v>1</v>
      </c>
      <c r="M520">
        <v>0</v>
      </c>
      <c r="N520">
        <v>0</v>
      </c>
      <c r="O520" t="str">
        <f t="shared" si="36"/>
        <v>W 114-90 vs. Seth</v>
      </c>
    </row>
    <row r="521" spans="1:15" ht="15" customHeight="1" x14ac:dyDescent="0.25">
      <c r="A521">
        <f t="shared" si="33"/>
        <v>127</v>
      </c>
      <c r="B521" t="s">
        <v>3211</v>
      </c>
      <c r="C521" t="s">
        <v>3216</v>
      </c>
      <c r="D521" t="s">
        <v>3201</v>
      </c>
      <c r="E521" t="str">
        <f t="shared" si="34"/>
        <v>Anthony</v>
      </c>
      <c r="F521" t="str">
        <f t="shared" si="35"/>
        <v>Seth</v>
      </c>
      <c r="G521" t="s">
        <v>3217</v>
      </c>
      <c r="H521">
        <v>2013</v>
      </c>
      <c r="I521">
        <v>8</v>
      </c>
      <c r="J521">
        <v>114</v>
      </c>
      <c r="K521">
        <v>82</v>
      </c>
      <c r="L521">
        <v>1</v>
      </c>
      <c r="M521">
        <v>0</v>
      </c>
      <c r="N521">
        <v>0</v>
      </c>
      <c r="O521" t="str">
        <f t="shared" si="36"/>
        <v>W 114-82 vs. Seth</v>
      </c>
    </row>
    <row r="522" spans="1:15" x14ac:dyDescent="0.25">
      <c r="A522">
        <f t="shared" si="33"/>
        <v>128</v>
      </c>
      <c r="B522" t="s">
        <v>3216</v>
      </c>
      <c r="C522" t="s">
        <v>3212</v>
      </c>
      <c r="D522" t="s">
        <v>3217</v>
      </c>
      <c r="E522" t="str">
        <f t="shared" si="34"/>
        <v>Seth</v>
      </c>
      <c r="F522" t="str">
        <f t="shared" si="35"/>
        <v>Ty</v>
      </c>
      <c r="G522" t="s">
        <v>3198</v>
      </c>
      <c r="H522">
        <v>2015</v>
      </c>
      <c r="I522">
        <v>1</v>
      </c>
      <c r="J522">
        <v>114</v>
      </c>
      <c r="K522">
        <v>79</v>
      </c>
      <c r="L522">
        <v>1</v>
      </c>
      <c r="M522">
        <v>0</v>
      </c>
      <c r="N522">
        <v>0</v>
      </c>
      <c r="O522" t="str">
        <f t="shared" si="36"/>
        <v>W 114-79 vs. Ty</v>
      </c>
    </row>
    <row r="523" spans="1:15" ht="15" customHeight="1" x14ac:dyDescent="0.25">
      <c r="A523">
        <f t="shared" si="33"/>
        <v>129</v>
      </c>
      <c r="B523" t="s">
        <v>3208</v>
      </c>
      <c r="C523" t="s">
        <v>3220</v>
      </c>
      <c r="D523" t="s">
        <v>3210</v>
      </c>
      <c r="E523" t="str">
        <f t="shared" si="34"/>
        <v>Spencer</v>
      </c>
      <c r="F523" t="str">
        <f t="shared" si="35"/>
        <v>Lucas</v>
      </c>
      <c r="G523" t="s">
        <v>3221</v>
      </c>
      <c r="H523">
        <v>2013</v>
      </c>
      <c r="I523">
        <v>2</v>
      </c>
      <c r="J523">
        <v>114</v>
      </c>
      <c r="K523">
        <v>65</v>
      </c>
      <c r="L523">
        <v>1</v>
      </c>
      <c r="M523">
        <v>0</v>
      </c>
      <c r="N523">
        <v>0</v>
      </c>
      <c r="O523" t="str">
        <f t="shared" si="36"/>
        <v>W 114-65 vs. Lucas</v>
      </c>
    </row>
    <row r="524" spans="1:15" ht="15" customHeight="1" x14ac:dyDescent="0.25">
      <c r="A524">
        <f t="shared" ref="A524:A587" si="37">A523+1</f>
        <v>130</v>
      </c>
      <c r="B524" t="s">
        <v>3222</v>
      </c>
      <c r="C524" t="s">
        <v>3216</v>
      </c>
      <c r="D524" t="s">
        <v>3200</v>
      </c>
      <c r="E524" t="str">
        <f t="shared" si="34"/>
        <v>Taylor</v>
      </c>
      <c r="F524" t="str">
        <f t="shared" si="35"/>
        <v>Seth</v>
      </c>
      <c r="G524" t="s">
        <v>3217</v>
      </c>
      <c r="H524">
        <v>2015</v>
      </c>
      <c r="I524">
        <v>13</v>
      </c>
      <c r="J524">
        <v>115</v>
      </c>
      <c r="K524">
        <v>123</v>
      </c>
      <c r="L524">
        <v>0</v>
      </c>
      <c r="M524">
        <v>1</v>
      </c>
      <c r="N524">
        <v>0</v>
      </c>
      <c r="O524" t="str">
        <f t="shared" si="36"/>
        <v>L 115-123 vs. Seth</v>
      </c>
    </row>
    <row r="525" spans="1:15" ht="15" customHeight="1" x14ac:dyDescent="0.25">
      <c r="A525">
        <f t="shared" si="37"/>
        <v>131</v>
      </c>
      <c r="B525" t="s">
        <v>3213</v>
      </c>
      <c r="C525" t="s">
        <v>3209</v>
      </c>
      <c r="D525" t="s">
        <v>3214</v>
      </c>
      <c r="E525" t="str">
        <f t="shared" si="34"/>
        <v>Cory</v>
      </c>
      <c r="F525" t="str">
        <f t="shared" si="35"/>
        <v>Scott</v>
      </c>
      <c r="G525" t="s">
        <v>3227</v>
      </c>
      <c r="H525">
        <v>2013</v>
      </c>
      <c r="I525">
        <v>4</v>
      </c>
      <c r="J525">
        <v>115</v>
      </c>
      <c r="K525">
        <v>102</v>
      </c>
      <c r="L525">
        <v>1</v>
      </c>
      <c r="M525">
        <v>0</v>
      </c>
      <c r="N525">
        <v>0</v>
      </c>
      <c r="O525" t="str">
        <f t="shared" si="36"/>
        <v>W 115-102 vs. Scott</v>
      </c>
    </row>
    <row r="526" spans="1:15" ht="15" customHeight="1" x14ac:dyDescent="0.25">
      <c r="A526">
        <f t="shared" si="37"/>
        <v>132</v>
      </c>
      <c r="B526" t="s">
        <v>3220</v>
      </c>
      <c r="C526" t="s">
        <v>3208</v>
      </c>
      <c r="D526" t="s">
        <v>3226</v>
      </c>
      <c r="E526" t="str">
        <f t="shared" si="34"/>
        <v>Perry</v>
      </c>
      <c r="F526" t="str">
        <f t="shared" si="35"/>
        <v>Chad</v>
      </c>
      <c r="G526" t="s">
        <v>3225</v>
      </c>
      <c r="H526">
        <v>2017</v>
      </c>
      <c r="I526">
        <v>7</v>
      </c>
      <c r="J526">
        <v>115</v>
      </c>
      <c r="K526">
        <v>102</v>
      </c>
      <c r="L526">
        <v>1</v>
      </c>
      <c r="M526">
        <v>0</v>
      </c>
      <c r="N526">
        <v>0</v>
      </c>
      <c r="O526" t="str">
        <f t="shared" si="36"/>
        <v>W 115-102 vs. Chad</v>
      </c>
    </row>
    <row r="527" spans="1:15" ht="15" customHeight="1" x14ac:dyDescent="0.25">
      <c r="A527">
        <f t="shared" si="37"/>
        <v>133</v>
      </c>
      <c r="B527" t="s">
        <v>3218</v>
      </c>
      <c r="C527" t="s">
        <v>3220</v>
      </c>
      <c r="D527" t="s">
        <v>3219</v>
      </c>
      <c r="E527" t="str">
        <f t="shared" si="34"/>
        <v>Matthew</v>
      </c>
      <c r="F527" t="str">
        <f t="shared" si="35"/>
        <v>Perry</v>
      </c>
      <c r="G527" t="s">
        <v>3226</v>
      </c>
      <c r="H527">
        <v>2015</v>
      </c>
      <c r="I527">
        <v>6</v>
      </c>
      <c r="J527">
        <v>115</v>
      </c>
      <c r="K527">
        <v>95</v>
      </c>
      <c r="L527">
        <v>1</v>
      </c>
      <c r="M527">
        <v>0</v>
      </c>
      <c r="N527">
        <v>0</v>
      </c>
      <c r="O527" t="str">
        <f t="shared" si="36"/>
        <v>W 115-95 vs. Perry</v>
      </c>
    </row>
    <row r="528" spans="1:15" ht="15" customHeight="1" x14ac:dyDescent="0.25">
      <c r="A528">
        <f t="shared" si="37"/>
        <v>134</v>
      </c>
      <c r="B528" t="s">
        <v>3212</v>
      </c>
      <c r="C528" t="s">
        <v>3211</v>
      </c>
      <c r="D528" t="s">
        <v>3198</v>
      </c>
      <c r="E528" t="str">
        <f t="shared" si="34"/>
        <v>Ty</v>
      </c>
      <c r="F528" t="str">
        <f t="shared" si="35"/>
        <v>Anthony</v>
      </c>
      <c r="G528" t="s">
        <v>3201</v>
      </c>
      <c r="H528">
        <v>2016</v>
      </c>
      <c r="I528">
        <v>4</v>
      </c>
      <c r="J528">
        <v>115</v>
      </c>
      <c r="K528">
        <v>87</v>
      </c>
      <c r="L528">
        <v>1</v>
      </c>
      <c r="M528">
        <v>0</v>
      </c>
      <c r="N528">
        <v>0</v>
      </c>
      <c r="O528" t="str">
        <f t="shared" si="36"/>
        <v>W 115-87 vs. Anthony</v>
      </c>
    </row>
    <row r="529" spans="1:15" ht="15" customHeight="1" x14ac:dyDescent="0.25">
      <c r="A529">
        <f t="shared" si="37"/>
        <v>135</v>
      </c>
      <c r="B529" t="s">
        <v>3220</v>
      </c>
      <c r="C529" t="s">
        <v>3209</v>
      </c>
      <c r="D529" t="s">
        <v>3224</v>
      </c>
      <c r="E529" t="str">
        <f t="shared" si="34"/>
        <v>Carter</v>
      </c>
      <c r="F529" t="str">
        <f t="shared" si="35"/>
        <v>Scott</v>
      </c>
      <c r="G529" t="s">
        <v>3227</v>
      </c>
      <c r="H529">
        <v>2014</v>
      </c>
      <c r="I529">
        <v>3</v>
      </c>
      <c r="J529">
        <v>115</v>
      </c>
      <c r="K529">
        <v>80</v>
      </c>
      <c r="L529">
        <v>1</v>
      </c>
      <c r="M529">
        <v>0</v>
      </c>
      <c r="N529">
        <v>0</v>
      </c>
      <c r="O529" t="str">
        <f t="shared" si="36"/>
        <v>W 115-80 vs. Scott</v>
      </c>
    </row>
    <row r="530" spans="1:15" ht="15" customHeight="1" x14ac:dyDescent="0.25">
      <c r="A530">
        <f t="shared" si="37"/>
        <v>136</v>
      </c>
      <c r="B530" t="s">
        <v>3212</v>
      </c>
      <c r="C530" t="s">
        <v>3220</v>
      </c>
      <c r="D530" t="s">
        <v>3198</v>
      </c>
      <c r="E530" t="str">
        <f t="shared" si="34"/>
        <v>Ty</v>
      </c>
      <c r="F530" t="str">
        <f t="shared" si="35"/>
        <v>Perry</v>
      </c>
      <c r="G530" t="s">
        <v>3226</v>
      </c>
      <c r="H530">
        <v>2017</v>
      </c>
      <c r="I530">
        <v>8</v>
      </c>
      <c r="J530">
        <v>115</v>
      </c>
      <c r="K530">
        <v>80</v>
      </c>
      <c r="L530">
        <v>1</v>
      </c>
      <c r="M530">
        <v>0</v>
      </c>
      <c r="N530">
        <v>0</v>
      </c>
      <c r="O530" t="str">
        <f t="shared" si="36"/>
        <v>W 115-80 vs. Perry</v>
      </c>
    </row>
    <row r="531" spans="1:15" ht="15" customHeight="1" x14ac:dyDescent="0.25">
      <c r="A531">
        <f t="shared" si="37"/>
        <v>137</v>
      </c>
      <c r="B531" t="s">
        <v>3209</v>
      </c>
      <c r="C531" t="s">
        <v>3212</v>
      </c>
      <c r="D531" t="s">
        <v>3227</v>
      </c>
      <c r="E531" t="str">
        <f t="shared" si="34"/>
        <v>Scott</v>
      </c>
      <c r="F531" t="str">
        <f t="shared" si="35"/>
        <v>Ty</v>
      </c>
      <c r="G531" t="s">
        <v>3198</v>
      </c>
      <c r="H531">
        <v>2013</v>
      </c>
      <c r="I531">
        <v>12</v>
      </c>
      <c r="J531">
        <v>115</v>
      </c>
      <c r="K531">
        <v>79</v>
      </c>
      <c r="L531">
        <v>1</v>
      </c>
      <c r="M531">
        <v>0</v>
      </c>
      <c r="N531">
        <v>0</v>
      </c>
      <c r="O531" t="str">
        <f t="shared" si="36"/>
        <v>W 115-79 vs. Ty</v>
      </c>
    </row>
    <row r="532" spans="1:15" ht="15" customHeight="1" x14ac:dyDescent="0.25">
      <c r="A532">
        <f t="shared" si="37"/>
        <v>138</v>
      </c>
      <c r="B532" t="s">
        <v>3209</v>
      </c>
      <c r="C532" t="s">
        <v>3215</v>
      </c>
      <c r="D532" t="s">
        <v>3227</v>
      </c>
      <c r="E532" t="str">
        <f t="shared" si="34"/>
        <v>Scott</v>
      </c>
      <c r="F532" t="str">
        <f t="shared" si="35"/>
        <v>Devon</v>
      </c>
      <c r="G532" t="s">
        <v>3199</v>
      </c>
      <c r="H532">
        <v>2014</v>
      </c>
      <c r="I532">
        <v>11</v>
      </c>
      <c r="J532">
        <v>115</v>
      </c>
      <c r="K532">
        <v>74</v>
      </c>
      <c r="L532">
        <v>1</v>
      </c>
      <c r="M532">
        <v>0</v>
      </c>
      <c r="N532">
        <v>0</v>
      </c>
      <c r="O532" t="str">
        <f t="shared" si="36"/>
        <v>W 115-74 vs. Devon</v>
      </c>
    </row>
    <row r="533" spans="1:15" ht="15" customHeight="1" x14ac:dyDescent="0.25">
      <c r="A533">
        <f t="shared" si="37"/>
        <v>139</v>
      </c>
      <c r="B533" t="s">
        <v>3208</v>
      </c>
      <c r="C533" t="s">
        <v>3218</v>
      </c>
      <c r="D533" t="s">
        <v>3225</v>
      </c>
      <c r="E533" t="str">
        <f t="shared" si="34"/>
        <v>Chad</v>
      </c>
      <c r="F533" t="str">
        <f t="shared" si="35"/>
        <v>Matthew</v>
      </c>
      <c r="G533" t="s">
        <v>3219</v>
      </c>
      <c r="H533">
        <v>2014</v>
      </c>
      <c r="I533">
        <v>9</v>
      </c>
      <c r="J533">
        <v>115</v>
      </c>
      <c r="K533">
        <v>70</v>
      </c>
      <c r="L533">
        <v>1</v>
      </c>
      <c r="M533">
        <v>0</v>
      </c>
      <c r="N533">
        <v>0</v>
      </c>
      <c r="O533" t="str">
        <f t="shared" si="36"/>
        <v>W 115-70 vs. Matthew</v>
      </c>
    </row>
    <row r="534" spans="1:15" ht="15" customHeight="1" x14ac:dyDescent="0.25">
      <c r="A534">
        <f t="shared" si="37"/>
        <v>140</v>
      </c>
      <c r="B534" t="s">
        <v>3215</v>
      </c>
      <c r="C534" t="s">
        <v>3209</v>
      </c>
      <c r="D534" t="s">
        <v>3199</v>
      </c>
      <c r="E534" t="str">
        <f t="shared" si="34"/>
        <v>Devon</v>
      </c>
      <c r="F534" t="str">
        <f t="shared" si="35"/>
        <v>Scott</v>
      </c>
      <c r="G534" t="s">
        <v>3227</v>
      </c>
      <c r="H534">
        <v>2016</v>
      </c>
      <c r="I534">
        <v>2</v>
      </c>
      <c r="J534">
        <v>115</v>
      </c>
      <c r="K534">
        <v>69</v>
      </c>
      <c r="L534">
        <v>1</v>
      </c>
      <c r="M534">
        <v>0</v>
      </c>
      <c r="N534">
        <v>0</v>
      </c>
      <c r="O534" t="str">
        <f t="shared" si="36"/>
        <v>W 115-69 vs. Scott</v>
      </c>
    </row>
    <row r="535" spans="1:15" x14ac:dyDescent="0.25">
      <c r="A535">
        <f t="shared" si="37"/>
        <v>141</v>
      </c>
      <c r="B535" t="s">
        <v>3222</v>
      </c>
      <c r="C535" t="s">
        <v>3212</v>
      </c>
      <c r="D535" t="s">
        <v>3200</v>
      </c>
      <c r="E535" t="str">
        <f t="shared" si="34"/>
        <v>Taylor</v>
      </c>
      <c r="F535" t="str">
        <f t="shared" si="35"/>
        <v>Ty</v>
      </c>
      <c r="G535" t="s">
        <v>3198</v>
      </c>
      <c r="H535">
        <v>2014</v>
      </c>
      <c r="I535">
        <v>7</v>
      </c>
      <c r="J535">
        <v>116</v>
      </c>
      <c r="K535">
        <v>94</v>
      </c>
      <c r="L535">
        <v>1</v>
      </c>
      <c r="M535">
        <v>0</v>
      </c>
      <c r="N535">
        <v>0</v>
      </c>
      <c r="O535" t="str">
        <f t="shared" si="36"/>
        <v>W 116-94 vs. Ty</v>
      </c>
    </row>
    <row r="536" spans="1:15" ht="15" customHeight="1" x14ac:dyDescent="0.25">
      <c r="A536">
        <f t="shared" si="37"/>
        <v>142</v>
      </c>
      <c r="B536" t="s">
        <v>3212</v>
      </c>
      <c r="C536" t="s">
        <v>3209</v>
      </c>
      <c r="D536" t="s">
        <v>3198</v>
      </c>
      <c r="E536" t="str">
        <f t="shared" si="34"/>
        <v>Ty</v>
      </c>
      <c r="F536" t="str">
        <f t="shared" si="35"/>
        <v>Scott</v>
      </c>
      <c r="G536" t="s">
        <v>3227</v>
      </c>
      <c r="H536">
        <v>2013</v>
      </c>
      <c r="I536">
        <v>3</v>
      </c>
      <c r="J536">
        <v>116</v>
      </c>
      <c r="K536">
        <v>90</v>
      </c>
      <c r="L536">
        <v>1</v>
      </c>
      <c r="M536">
        <v>0</v>
      </c>
      <c r="N536">
        <v>0</v>
      </c>
      <c r="O536" t="str">
        <f t="shared" si="36"/>
        <v>W 116-90 vs. Scott</v>
      </c>
    </row>
    <row r="537" spans="1:15" ht="15" customHeight="1" x14ac:dyDescent="0.25">
      <c r="A537">
        <f t="shared" si="37"/>
        <v>143</v>
      </c>
      <c r="B537" t="s">
        <v>3215</v>
      </c>
      <c r="C537" t="s">
        <v>3222</v>
      </c>
      <c r="D537" t="s">
        <v>3199</v>
      </c>
      <c r="E537" t="str">
        <f t="shared" si="34"/>
        <v>Devon</v>
      </c>
      <c r="F537" t="str">
        <f t="shared" si="35"/>
        <v>Taylor</v>
      </c>
      <c r="G537" t="s">
        <v>3200</v>
      </c>
      <c r="H537">
        <v>2016</v>
      </c>
      <c r="I537">
        <v>10</v>
      </c>
      <c r="J537">
        <v>116</v>
      </c>
      <c r="K537">
        <v>84</v>
      </c>
      <c r="L537">
        <v>1</v>
      </c>
      <c r="M537">
        <v>0</v>
      </c>
      <c r="N537">
        <v>0</v>
      </c>
      <c r="O537" t="str">
        <f t="shared" si="36"/>
        <v>W 116-84 vs. Taylor</v>
      </c>
    </row>
    <row r="538" spans="1:15" ht="15" customHeight="1" x14ac:dyDescent="0.25">
      <c r="A538">
        <f t="shared" si="37"/>
        <v>144</v>
      </c>
      <c r="B538" t="s">
        <v>3216</v>
      </c>
      <c r="C538" t="s">
        <v>3209</v>
      </c>
      <c r="D538" t="s">
        <v>3217</v>
      </c>
      <c r="E538" t="str">
        <f t="shared" si="34"/>
        <v>Seth</v>
      </c>
      <c r="F538" t="str">
        <f t="shared" si="35"/>
        <v>Scott</v>
      </c>
      <c r="G538" t="s">
        <v>3227</v>
      </c>
      <c r="H538">
        <v>2016</v>
      </c>
      <c r="I538">
        <v>6</v>
      </c>
      <c r="J538">
        <v>116</v>
      </c>
      <c r="K538">
        <v>78</v>
      </c>
      <c r="L538">
        <v>1</v>
      </c>
      <c r="M538">
        <v>0</v>
      </c>
      <c r="N538">
        <v>0</v>
      </c>
      <c r="O538" t="str">
        <f t="shared" si="36"/>
        <v>W 116-78 vs. Scott</v>
      </c>
    </row>
    <row r="539" spans="1:15" ht="15" customHeight="1" x14ac:dyDescent="0.25">
      <c r="A539">
        <f t="shared" si="37"/>
        <v>145</v>
      </c>
      <c r="B539" t="s">
        <v>3212</v>
      </c>
      <c r="C539" t="s">
        <v>3215</v>
      </c>
      <c r="D539" t="s">
        <v>3198</v>
      </c>
      <c r="E539" t="str">
        <f t="shared" si="34"/>
        <v>Ty</v>
      </c>
      <c r="F539" t="str">
        <f t="shared" si="35"/>
        <v>Devon</v>
      </c>
      <c r="G539" t="s">
        <v>3199</v>
      </c>
      <c r="H539">
        <v>2016</v>
      </c>
      <c r="I539">
        <v>6</v>
      </c>
      <c r="J539">
        <v>116</v>
      </c>
      <c r="K539">
        <v>56</v>
      </c>
      <c r="L539">
        <v>1</v>
      </c>
      <c r="M539">
        <v>0</v>
      </c>
      <c r="N539">
        <v>0</v>
      </c>
      <c r="O539" t="str">
        <f t="shared" si="36"/>
        <v>W 116-56 vs. Devon</v>
      </c>
    </row>
    <row r="540" spans="1:15" ht="15" customHeight="1" x14ac:dyDescent="0.25">
      <c r="A540">
        <f t="shared" si="37"/>
        <v>146</v>
      </c>
      <c r="B540" t="s">
        <v>3218</v>
      </c>
      <c r="C540" t="s">
        <v>3211</v>
      </c>
      <c r="D540" t="s">
        <v>3219</v>
      </c>
      <c r="E540" t="str">
        <f t="shared" si="34"/>
        <v>Matthew</v>
      </c>
      <c r="F540" t="str">
        <f t="shared" si="35"/>
        <v>Anthony</v>
      </c>
      <c r="G540" t="s">
        <v>3201</v>
      </c>
      <c r="H540">
        <v>2017</v>
      </c>
      <c r="I540">
        <v>13</v>
      </c>
      <c r="J540">
        <v>117</v>
      </c>
      <c r="K540">
        <v>108</v>
      </c>
      <c r="L540">
        <v>1</v>
      </c>
      <c r="M540">
        <v>0</v>
      </c>
      <c r="N540">
        <v>0</v>
      </c>
      <c r="O540" t="str">
        <f t="shared" si="36"/>
        <v>W 117-108 vs. Anthony</v>
      </c>
    </row>
    <row r="541" spans="1:15" ht="15" customHeight="1" x14ac:dyDescent="0.25">
      <c r="A541">
        <f t="shared" si="37"/>
        <v>147</v>
      </c>
      <c r="B541" t="s">
        <v>3215</v>
      </c>
      <c r="C541" t="s">
        <v>3211</v>
      </c>
      <c r="D541" t="s">
        <v>3199</v>
      </c>
      <c r="E541" t="str">
        <f t="shared" si="34"/>
        <v>Devon</v>
      </c>
      <c r="F541" t="str">
        <f t="shared" si="35"/>
        <v>Anthony</v>
      </c>
      <c r="G541" t="s">
        <v>3201</v>
      </c>
      <c r="H541">
        <v>2017</v>
      </c>
      <c r="I541">
        <v>7</v>
      </c>
      <c r="J541">
        <v>117</v>
      </c>
      <c r="K541">
        <v>93</v>
      </c>
      <c r="L541">
        <v>1</v>
      </c>
      <c r="M541">
        <v>0</v>
      </c>
      <c r="N541">
        <v>0</v>
      </c>
      <c r="O541" t="str">
        <f t="shared" si="36"/>
        <v>W 117-93 vs. Anthony</v>
      </c>
    </row>
    <row r="542" spans="1:15" x14ac:dyDescent="0.25">
      <c r="A542">
        <f t="shared" si="37"/>
        <v>148</v>
      </c>
      <c r="B542" t="s">
        <v>3213</v>
      </c>
      <c r="C542" t="s">
        <v>3216</v>
      </c>
      <c r="D542" t="s">
        <v>3214</v>
      </c>
      <c r="E542" t="str">
        <f t="shared" si="34"/>
        <v>Cory</v>
      </c>
      <c r="F542" t="str">
        <f t="shared" si="35"/>
        <v>Seth</v>
      </c>
      <c r="G542" t="s">
        <v>3217</v>
      </c>
      <c r="H542">
        <v>2015</v>
      </c>
      <c r="I542">
        <v>7</v>
      </c>
      <c r="J542">
        <v>117</v>
      </c>
      <c r="K542">
        <v>79</v>
      </c>
      <c r="L542">
        <v>1</v>
      </c>
      <c r="M542">
        <v>0</v>
      </c>
      <c r="N542">
        <v>0</v>
      </c>
      <c r="O542" t="str">
        <f t="shared" si="36"/>
        <v>W 117-79 vs. Seth</v>
      </c>
    </row>
    <row r="543" spans="1:15" ht="15" customHeight="1" x14ac:dyDescent="0.25">
      <c r="A543">
        <f t="shared" si="37"/>
        <v>149</v>
      </c>
      <c r="B543" t="s">
        <v>3215</v>
      </c>
      <c r="C543" t="s">
        <v>3218</v>
      </c>
      <c r="D543" t="s">
        <v>3199</v>
      </c>
      <c r="E543" t="str">
        <f t="shared" si="34"/>
        <v>Devon</v>
      </c>
      <c r="F543" t="str">
        <f t="shared" si="35"/>
        <v>Matthew</v>
      </c>
      <c r="G543" t="s">
        <v>3219</v>
      </c>
      <c r="H543">
        <v>2013</v>
      </c>
      <c r="I543">
        <v>4</v>
      </c>
      <c r="J543">
        <v>118</v>
      </c>
      <c r="K543">
        <v>124</v>
      </c>
      <c r="L543">
        <v>0</v>
      </c>
      <c r="M543">
        <v>1</v>
      </c>
      <c r="N543">
        <v>0</v>
      </c>
      <c r="O543" t="str">
        <f t="shared" si="36"/>
        <v>L 118-124 vs. Matthew</v>
      </c>
    </row>
    <row r="544" spans="1:15" ht="15" customHeight="1" x14ac:dyDescent="0.25">
      <c r="A544">
        <f t="shared" si="37"/>
        <v>150</v>
      </c>
      <c r="B544" t="s">
        <v>3222</v>
      </c>
      <c r="C544" t="s">
        <v>3216</v>
      </c>
      <c r="D544" t="s">
        <v>3223</v>
      </c>
      <c r="E544" t="str">
        <f t="shared" si="34"/>
        <v>Austin</v>
      </c>
      <c r="F544" t="str">
        <f t="shared" si="35"/>
        <v>Seth</v>
      </c>
      <c r="G544" t="s">
        <v>3217</v>
      </c>
      <c r="H544">
        <v>2013</v>
      </c>
      <c r="I544">
        <v>1</v>
      </c>
      <c r="J544">
        <v>118</v>
      </c>
      <c r="K544">
        <v>105</v>
      </c>
      <c r="L544">
        <v>1</v>
      </c>
      <c r="M544">
        <v>0</v>
      </c>
      <c r="N544">
        <v>0</v>
      </c>
      <c r="O544" t="str">
        <f t="shared" si="36"/>
        <v>W 118-105 vs. Seth</v>
      </c>
    </row>
    <row r="545" spans="1:15" ht="15" customHeight="1" x14ac:dyDescent="0.25">
      <c r="A545">
        <f t="shared" si="37"/>
        <v>151</v>
      </c>
      <c r="B545" t="s">
        <v>3213</v>
      </c>
      <c r="C545" t="s">
        <v>3211</v>
      </c>
      <c r="D545" t="s">
        <v>3214</v>
      </c>
      <c r="E545" t="str">
        <f t="shared" si="34"/>
        <v>Cory</v>
      </c>
      <c r="F545" t="str">
        <f t="shared" si="35"/>
        <v>Anthony</v>
      </c>
      <c r="G545" t="s">
        <v>3201</v>
      </c>
      <c r="H545">
        <v>2013</v>
      </c>
      <c r="I545">
        <v>9</v>
      </c>
      <c r="J545">
        <v>118</v>
      </c>
      <c r="K545">
        <v>94</v>
      </c>
      <c r="L545">
        <v>1</v>
      </c>
      <c r="M545">
        <v>0</v>
      </c>
      <c r="N545">
        <v>0</v>
      </c>
      <c r="O545" t="str">
        <f t="shared" si="36"/>
        <v>W 118-94 vs. Anthony</v>
      </c>
    </row>
    <row r="546" spans="1:15" ht="15" customHeight="1" x14ac:dyDescent="0.25">
      <c r="A546">
        <f t="shared" si="37"/>
        <v>152</v>
      </c>
      <c r="B546" t="s">
        <v>3215</v>
      </c>
      <c r="C546" t="s">
        <v>3212</v>
      </c>
      <c r="D546" t="s">
        <v>3199</v>
      </c>
      <c r="E546" t="str">
        <f t="shared" si="34"/>
        <v>Devon</v>
      </c>
      <c r="F546" t="str">
        <f t="shared" si="35"/>
        <v>Ty</v>
      </c>
      <c r="G546" t="s">
        <v>3198</v>
      </c>
      <c r="H546">
        <v>2013</v>
      </c>
      <c r="I546">
        <v>11</v>
      </c>
      <c r="J546">
        <v>118</v>
      </c>
      <c r="K546">
        <v>93</v>
      </c>
      <c r="L546">
        <v>1</v>
      </c>
      <c r="M546">
        <v>0</v>
      </c>
      <c r="N546">
        <v>0</v>
      </c>
      <c r="O546" t="str">
        <f t="shared" si="36"/>
        <v>W 118-93 vs. Ty</v>
      </c>
    </row>
    <row r="547" spans="1:15" ht="15" customHeight="1" x14ac:dyDescent="0.25">
      <c r="A547">
        <f t="shared" si="37"/>
        <v>153</v>
      </c>
      <c r="B547" t="s">
        <v>3220</v>
      </c>
      <c r="C547" t="s">
        <v>3209</v>
      </c>
      <c r="D547" t="s">
        <v>3226</v>
      </c>
      <c r="E547" t="str">
        <f t="shared" si="34"/>
        <v>Perry</v>
      </c>
      <c r="F547" t="str">
        <f t="shared" si="35"/>
        <v>Scott</v>
      </c>
      <c r="G547" t="s">
        <v>3227</v>
      </c>
      <c r="H547">
        <v>2015</v>
      </c>
      <c r="I547">
        <v>12</v>
      </c>
      <c r="J547">
        <v>119</v>
      </c>
      <c r="K547">
        <v>110</v>
      </c>
      <c r="L547">
        <v>1</v>
      </c>
      <c r="M547">
        <v>0</v>
      </c>
      <c r="N547">
        <v>0</v>
      </c>
      <c r="O547" t="str">
        <f t="shared" si="36"/>
        <v>W 119-110 vs. Scott</v>
      </c>
    </row>
    <row r="548" spans="1:15" ht="15" customHeight="1" x14ac:dyDescent="0.25">
      <c r="A548">
        <f t="shared" si="37"/>
        <v>154</v>
      </c>
      <c r="B548" t="s">
        <v>3208</v>
      </c>
      <c r="C548" t="s">
        <v>3209</v>
      </c>
      <c r="D548" t="s">
        <v>3225</v>
      </c>
      <c r="E548" t="str">
        <f t="shared" si="34"/>
        <v>Chad</v>
      </c>
      <c r="F548" t="str">
        <f t="shared" si="35"/>
        <v>Scott</v>
      </c>
      <c r="G548" t="s">
        <v>3227</v>
      </c>
      <c r="H548">
        <v>2016</v>
      </c>
      <c r="I548">
        <v>8</v>
      </c>
      <c r="J548">
        <v>119</v>
      </c>
      <c r="K548">
        <v>104</v>
      </c>
      <c r="L548">
        <v>1</v>
      </c>
      <c r="M548">
        <v>0</v>
      </c>
      <c r="N548">
        <v>0</v>
      </c>
      <c r="O548" t="str">
        <f t="shared" si="36"/>
        <v>W 119-104 vs. Scott</v>
      </c>
    </row>
    <row r="549" spans="1:15" ht="15" customHeight="1" x14ac:dyDescent="0.25">
      <c r="A549">
        <f t="shared" si="37"/>
        <v>155</v>
      </c>
      <c r="B549" t="s">
        <v>3218</v>
      </c>
      <c r="C549" t="s">
        <v>3220</v>
      </c>
      <c r="D549" t="s">
        <v>3219</v>
      </c>
      <c r="E549" t="str">
        <f t="shared" si="34"/>
        <v>Matthew</v>
      </c>
      <c r="F549" t="str">
        <f t="shared" si="35"/>
        <v>Perry</v>
      </c>
      <c r="G549" t="s">
        <v>3226</v>
      </c>
      <c r="H549">
        <v>2017</v>
      </c>
      <c r="I549">
        <v>6</v>
      </c>
      <c r="J549">
        <v>119</v>
      </c>
      <c r="K549">
        <v>102</v>
      </c>
      <c r="L549">
        <v>1</v>
      </c>
      <c r="M549">
        <v>0</v>
      </c>
      <c r="N549">
        <v>0</v>
      </c>
      <c r="O549" t="str">
        <f t="shared" si="36"/>
        <v>W 119-102 vs. Perry</v>
      </c>
    </row>
    <row r="550" spans="1:15" ht="15" customHeight="1" x14ac:dyDescent="0.25">
      <c r="A550">
        <f t="shared" si="37"/>
        <v>156</v>
      </c>
      <c r="B550" t="s">
        <v>3211</v>
      </c>
      <c r="C550" t="s">
        <v>3213</v>
      </c>
      <c r="D550" t="s">
        <v>3201</v>
      </c>
      <c r="E550" t="str">
        <f t="shared" si="34"/>
        <v>Anthony</v>
      </c>
      <c r="F550" t="str">
        <f t="shared" si="35"/>
        <v>Cory</v>
      </c>
      <c r="G550" t="s">
        <v>3214</v>
      </c>
      <c r="H550">
        <v>2016</v>
      </c>
      <c r="I550">
        <v>6</v>
      </c>
      <c r="J550">
        <v>119</v>
      </c>
      <c r="K550">
        <v>101</v>
      </c>
      <c r="L550">
        <v>1</v>
      </c>
      <c r="M550">
        <v>0</v>
      </c>
      <c r="N550">
        <v>0</v>
      </c>
      <c r="O550" t="str">
        <f t="shared" si="36"/>
        <v>W 119-101 vs. Cory</v>
      </c>
    </row>
    <row r="551" spans="1:15" ht="15" customHeight="1" x14ac:dyDescent="0.25">
      <c r="A551">
        <f t="shared" si="37"/>
        <v>157</v>
      </c>
      <c r="B551" t="s">
        <v>3213</v>
      </c>
      <c r="C551" t="s">
        <v>3216</v>
      </c>
      <c r="D551" t="s">
        <v>3214</v>
      </c>
      <c r="E551" t="str">
        <f t="shared" si="34"/>
        <v>Cory</v>
      </c>
      <c r="F551" t="str">
        <f t="shared" si="35"/>
        <v>Seth</v>
      </c>
      <c r="G551" t="s">
        <v>3217</v>
      </c>
      <c r="H551">
        <v>2016</v>
      </c>
      <c r="I551">
        <v>7</v>
      </c>
      <c r="J551">
        <v>119</v>
      </c>
      <c r="K551">
        <v>99</v>
      </c>
      <c r="L551">
        <v>1</v>
      </c>
      <c r="M551">
        <v>0</v>
      </c>
      <c r="N551">
        <v>0</v>
      </c>
      <c r="O551" t="str">
        <f t="shared" si="36"/>
        <v>W 119-99 vs. Seth</v>
      </c>
    </row>
    <row r="552" spans="1:15" ht="15" customHeight="1" x14ac:dyDescent="0.25">
      <c r="A552">
        <f t="shared" si="37"/>
        <v>158</v>
      </c>
      <c r="B552" t="s">
        <v>3215</v>
      </c>
      <c r="C552" t="s">
        <v>3218</v>
      </c>
      <c r="D552" t="s">
        <v>3199</v>
      </c>
      <c r="E552" t="str">
        <f t="shared" si="34"/>
        <v>Devon</v>
      </c>
      <c r="F552" t="str">
        <f t="shared" si="35"/>
        <v>Matthew</v>
      </c>
      <c r="G552" t="s">
        <v>3219</v>
      </c>
      <c r="H552">
        <v>2016</v>
      </c>
      <c r="I552">
        <v>12</v>
      </c>
      <c r="J552">
        <v>119</v>
      </c>
      <c r="K552">
        <v>87</v>
      </c>
      <c r="L552">
        <v>1</v>
      </c>
      <c r="M552">
        <v>0</v>
      </c>
      <c r="N552">
        <v>0</v>
      </c>
      <c r="O552" t="str">
        <f t="shared" si="36"/>
        <v>W 119-87 vs. Matthew</v>
      </c>
    </row>
    <row r="553" spans="1:15" ht="15" customHeight="1" x14ac:dyDescent="0.25">
      <c r="A553">
        <f t="shared" si="37"/>
        <v>159</v>
      </c>
      <c r="B553" t="s">
        <v>3220</v>
      </c>
      <c r="C553" t="s">
        <v>3215</v>
      </c>
      <c r="D553" t="s">
        <v>3221</v>
      </c>
      <c r="E553" t="str">
        <f t="shared" si="34"/>
        <v>Lucas</v>
      </c>
      <c r="F553" t="str">
        <f t="shared" si="35"/>
        <v>Devon</v>
      </c>
      <c r="G553" t="s">
        <v>3199</v>
      </c>
      <c r="H553">
        <v>2013</v>
      </c>
      <c r="I553">
        <v>6</v>
      </c>
      <c r="J553">
        <v>119</v>
      </c>
      <c r="K553">
        <v>85</v>
      </c>
      <c r="L553">
        <v>1</v>
      </c>
      <c r="M553">
        <v>0</v>
      </c>
      <c r="N553">
        <v>0</v>
      </c>
      <c r="O553" t="str">
        <f t="shared" si="36"/>
        <v>W 119-85 vs. Devon</v>
      </c>
    </row>
    <row r="554" spans="1:15" ht="15" customHeight="1" x14ac:dyDescent="0.25">
      <c r="A554">
        <f t="shared" si="37"/>
        <v>160</v>
      </c>
      <c r="B554" t="s">
        <v>3215</v>
      </c>
      <c r="C554" t="s">
        <v>3209</v>
      </c>
      <c r="D554" t="s">
        <v>3199</v>
      </c>
      <c r="E554" t="str">
        <f t="shared" si="34"/>
        <v>Devon</v>
      </c>
      <c r="F554" t="str">
        <f t="shared" si="35"/>
        <v>Scott</v>
      </c>
      <c r="G554" t="s">
        <v>3227</v>
      </c>
      <c r="H554">
        <v>2015</v>
      </c>
      <c r="I554">
        <v>11</v>
      </c>
      <c r="J554">
        <v>119</v>
      </c>
      <c r="K554">
        <v>79</v>
      </c>
      <c r="L554">
        <v>1</v>
      </c>
      <c r="M554">
        <v>0</v>
      </c>
      <c r="N554">
        <v>0</v>
      </c>
      <c r="O554" t="str">
        <f t="shared" si="36"/>
        <v>W 119-79 vs. Scott</v>
      </c>
    </row>
    <row r="555" spans="1:15" ht="15" customHeight="1" x14ac:dyDescent="0.25">
      <c r="A555">
        <f t="shared" si="37"/>
        <v>161</v>
      </c>
      <c r="B555" t="s">
        <v>3211</v>
      </c>
      <c r="C555" t="s">
        <v>3208</v>
      </c>
      <c r="D555" t="s">
        <v>3201</v>
      </c>
      <c r="E555" t="str">
        <f t="shared" si="34"/>
        <v>Anthony</v>
      </c>
      <c r="F555" t="str">
        <f t="shared" si="35"/>
        <v>Chad</v>
      </c>
      <c r="G555" t="s">
        <v>3225</v>
      </c>
      <c r="H555">
        <v>2015</v>
      </c>
      <c r="I555">
        <v>10</v>
      </c>
      <c r="J555">
        <v>119</v>
      </c>
      <c r="K555">
        <v>77</v>
      </c>
      <c r="L555">
        <v>1</v>
      </c>
      <c r="M555">
        <v>0</v>
      </c>
      <c r="N555">
        <v>0</v>
      </c>
      <c r="O555" t="str">
        <f t="shared" si="36"/>
        <v>W 119-77 vs. Chad</v>
      </c>
    </row>
    <row r="556" spans="1:15" ht="15" customHeight="1" x14ac:dyDescent="0.25">
      <c r="A556">
        <f t="shared" si="37"/>
        <v>162</v>
      </c>
      <c r="B556" t="s">
        <v>3211</v>
      </c>
      <c r="C556" t="s">
        <v>3215</v>
      </c>
      <c r="D556" t="s">
        <v>3201</v>
      </c>
      <c r="E556" t="str">
        <f t="shared" si="34"/>
        <v>Anthony</v>
      </c>
      <c r="F556" t="str">
        <f t="shared" si="35"/>
        <v>Devon</v>
      </c>
      <c r="G556" t="s">
        <v>3199</v>
      </c>
      <c r="H556">
        <v>2013</v>
      </c>
      <c r="I556">
        <v>10</v>
      </c>
      <c r="J556">
        <v>119</v>
      </c>
      <c r="K556">
        <v>73</v>
      </c>
      <c r="L556">
        <v>1</v>
      </c>
      <c r="M556">
        <v>0</v>
      </c>
      <c r="N556">
        <v>0</v>
      </c>
      <c r="O556" t="str">
        <f t="shared" si="36"/>
        <v>W 119-73 vs. Devon</v>
      </c>
    </row>
    <row r="557" spans="1:15" ht="15" customHeight="1" x14ac:dyDescent="0.25">
      <c r="A557">
        <f t="shared" si="37"/>
        <v>163</v>
      </c>
      <c r="B557" t="s">
        <v>3222</v>
      </c>
      <c r="C557" t="s">
        <v>3211</v>
      </c>
      <c r="D557" t="s">
        <v>3200</v>
      </c>
      <c r="E557" t="str">
        <f t="shared" si="34"/>
        <v>Taylor</v>
      </c>
      <c r="F557" t="str">
        <f t="shared" si="35"/>
        <v>Anthony</v>
      </c>
      <c r="G557" t="s">
        <v>3201</v>
      </c>
      <c r="H557">
        <v>2016</v>
      </c>
      <c r="I557">
        <v>8</v>
      </c>
      <c r="J557">
        <v>119</v>
      </c>
      <c r="K557">
        <v>73</v>
      </c>
      <c r="L557">
        <v>1</v>
      </c>
      <c r="M557">
        <v>0</v>
      </c>
      <c r="N557">
        <v>0</v>
      </c>
      <c r="O557" t="str">
        <f t="shared" si="36"/>
        <v>W 119-73 vs. Anthony</v>
      </c>
    </row>
    <row r="558" spans="1:15" ht="15" customHeight="1" x14ac:dyDescent="0.25">
      <c r="A558">
        <f t="shared" si="37"/>
        <v>164</v>
      </c>
      <c r="B558" t="s">
        <v>3222</v>
      </c>
      <c r="C558" t="s">
        <v>3220</v>
      </c>
      <c r="D558" t="s">
        <v>3200</v>
      </c>
      <c r="E558" t="str">
        <f t="shared" si="34"/>
        <v>Taylor</v>
      </c>
      <c r="F558" t="str">
        <f t="shared" si="35"/>
        <v>Perry</v>
      </c>
      <c r="G558" t="s">
        <v>3226</v>
      </c>
      <c r="H558">
        <v>2016</v>
      </c>
      <c r="I558">
        <v>2</v>
      </c>
      <c r="J558">
        <v>119</v>
      </c>
      <c r="K558">
        <v>70</v>
      </c>
      <c r="L558">
        <v>1</v>
      </c>
      <c r="M558">
        <v>0</v>
      </c>
      <c r="N558">
        <v>0</v>
      </c>
      <c r="O558" t="str">
        <f t="shared" si="36"/>
        <v>W 119-70 vs. Perry</v>
      </c>
    </row>
    <row r="559" spans="1:15" ht="15" customHeight="1" x14ac:dyDescent="0.25">
      <c r="A559">
        <f t="shared" si="37"/>
        <v>165</v>
      </c>
      <c r="B559" t="s">
        <v>3218</v>
      </c>
      <c r="C559" t="s">
        <v>3212</v>
      </c>
      <c r="D559" t="s">
        <v>3219</v>
      </c>
      <c r="E559" t="str">
        <f t="shared" si="34"/>
        <v>Matthew</v>
      </c>
      <c r="F559" t="str">
        <f t="shared" si="35"/>
        <v>Ty</v>
      </c>
      <c r="G559" t="s">
        <v>3198</v>
      </c>
      <c r="H559">
        <v>2016</v>
      </c>
      <c r="I559">
        <v>3</v>
      </c>
      <c r="J559">
        <v>120</v>
      </c>
      <c r="K559">
        <v>141</v>
      </c>
      <c r="L559">
        <v>0</v>
      </c>
      <c r="M559">
        <v>1</v>
      </c>
      <c r="N559">
        <v>0</v>
      </c>
      <c r="O559" t="str">
        <f t="shared" si="36"/>
        <v>L 120-141 vs. Ty</v>
      </c>
    </row>
    <row r="560" spans="1:15" ht="15" customHeight="1" x14ac:dyDescent="0.25">
      <c r="A560">
        <f t="shared" si="37"/>
        <v>166</v>
      </c>
      <c r="B560" t="s">
        <v>3208</v>
      </c>
      <c r="C560" t="s">
        <v>3212</v>
      </c>
      <c r="D560" t="s">
        <v>3225</v>
      </c>
      <c r="E560" t="str">
        <f t="shared" si="34"/>
        <v>Chad</v>
      </c>
      <c r="F560" t="str">
        <f t="shared" si="35"/>
        <v>Ty</v>
      </c>
      <c r="G560" t="s">
        <v>3198</v>
      </c>
      <c r="H560">
        <v>2014</v>
      </c>
      <c r="I560">
        <v>13</v>
      </c>
      <c r="J560">
        <v>120</v>
      </c>
      <c r="K560">
        <v>103</v>
      </c>
      <c r="L560">
        <v>1</v>
      </c>
      <c r="M560">
        <v>0</v>
      </c>
      <c r="N560">
        <v>0</v>
      </c>
      <c r="O560" t="str">
        <f t="shared" si="36"/>
        <v>W 120-103 vs. Ty</v>
      </c>
    </row>
    <row r="561" spans="1:15" ht="15" customHeight="1" x14ac:dyDescent="0.25">
      <c r="A561">
        <f t="shared" si="37"/>
        <v>167</v>
      </c>
      <c r="B561" t="s">
        <v>3211</v>
      </c>
      <c r="C561" t="s">
        <v>3209</v>
      </c>
      <c r="D561" t="s">
        <v>3201</v>
      </c>
      <c r="E561" t="str">
        <f t="shared" si="34"/>
        <v>Anthony</v>
      </c>
      <c r="F561" t="str">
        <f t="shared" si="35"/>
        <v>Scott</v>
      </c>
      <c r="G561" t="s">
        <v>3227</v>
      </c>
      <c r="H561">
        <v>2016</v>
      </c>
      <c r="I561">
        <v>1</v>
      </c>
      <c r="J561">
        <v>120</v>
      </c>
      <c r="K561">
        <v>100</v>
      </c>
      <c r="L561">
        <v>1</v>
      </c>
      <c r="M561">
        <v>0</v>
      </c>
      <c r="N561">
        <v>0</v>
      </c>
      <c r="O561" t="str">
        <f t="shared" si="36"/>
        <v>W 120-100 vs. Scott</v>
      </c>
    </row>
    <row r="562" spans="1:15" ht="15" customHeight="1" x14ac:dyDescent="0.25">
      <c r="A562">
        <f t="shared" si="37"/>
        <v>168</v>
      </c>
      <c r="B562" t="s">
        <v>3209</v>
      </c>
      <c r="C562" t="s">
        <v>3218</v>
      </c>
      <c r="D562" t="s">
        <v>3227</v>
      </c>
      <c r="E562" t="str">
        <f t="shared" si="34"/>
        <v>Scott</v>
      </c>
      <c r="F562" t="str">
        <f t="shared" si="35"/>
        <v>Matthew</v>
      </c>
      <c r="G562" t="s">
        <v>3219</v>
      </c>
      <c r="H562">
        <v>2013</v>
      </c>
      <c r="I562">
        <v>7</v>
      </c>
      <c r="J562">
        <v>120</v>
      </c>
      <c r="K562">
        <v>100</v>
      </c>
      <c r="L562">
        <v>1</v>
      </c>
      <c r="M562">
        <v>0</v>
      </c>
      <c r="N562">
        <v>0</v>
      </c>
      <c r="O562" t="str">
        <f t="shared" si="36"/>
        <v>W 120-100 vs. Matthew</v>
      </c>
    </row>
    <row r="563" spans="1:15" ht="15" customHeight="1" x14ac:dyDescent="0.25">
      <c r="A563">
        <f t="shared" si="37"/>
        <v>169</v>
      </c>
      <c r="B563" t="s">
        <v>3213</v>
      </c>
      <c r="C563" t="s">
        <v>3215</v>
      </c>
      <c r="D563" t="s">
        <v>3214</v>
      </c>
      <c r="E563" t="str">
        <f t="shared" si="34"/>
        <v>Cory</v>
      </c>
      <c r="F563" t="str">
        <f t="shared" si="35"/>
        <v>Devon</v>
      </c>
      <c r="G563" t="s">
        <v>3199</v>
      </c>
      <c r="H563">
        <v>2016</v>
      </c>
      <c r="I563">
        <v>5</v>
      </c>
      <c r="J563">
        <v>120</v>
      </c>
      <c r="K563">
        <v>96</v>
      </c>
      <c r="L563">
        <v>1</v>
      </c>
      <c r="M563">
        <v>0</v>
      </c>
      <c r="N563">
        <v>0</v>
      </c>
      <c r="O563" t="str">
        <f t="shared" si="36"/>
        <v>W 120-96 vs. Devon</v>
      </c>
    </row>
    <row r="564" spans="1:15" ht="15" customHeight="1" x14ac:dyDescent="0.25">
      <c r="A564">
        <f t="shared" si="37"/>
        <v>170</v>
      </c>
      <c r="B564" t="s">
        <v>3215</v>
      </c>
      <c r="C564" t="s">
        <v>3212</v>
      </c>
      <c r="D564" t="s">
        <v>3199</v>
      </c>
      <c r="E564" t="str">
        <f t="shared" si="34"/>
        <v>Devon</v>
      </c>
      <c r="F564" t="str">
        <f t="shared" si="35"/>
        <v>Ty</v>
      </c>
      <c r="G564" t="s">
        <v>3198</v>
      </c>
      <c r="H564">
        <v>2013</v>
      </c>
      <c r="I564">
        <v>2</v>
      </c>
      <c r="J564">
        <v>120</v>
      </c>
      <c r="K564">
        <v>87</v>
      </c>
      <c r="L564">
        <v>1</v>
      </c>
      <c r="M564">
        <v>0</v>
      </c>
      <c r="N564">
        <v>0</v>
      </c>
      <c r="O564" t="str">
        <f t="shared" si="36"/>
        <v>W 120-87 vs. Ty</v>
      </c>
    </row>
    <row r="565" spans="1:15" ht="15" customHeight="1" x14ac:dyDescent="0.25">
      <c r="A565">
        <f t="shared" si="37"/>
        <v>171</v>
      </c>
      <c r="B565" t="s">
        <v>3220</v>
      </c>
      <c r="C565" t="s">
        <v>3213</v>
      </c>
      <c r="D565" t="s">
        <v>3226</v>
      </c>
      <c r="E565" t="str">
        <f t="shared" si="34"/>
        <v>Perry</v>
      </c>
      <c r="F565" t="str">
        <f t="shared" si="35"/>
        <v>Cory</v>
      </c>
      <c r="G565" t="s">
        <v>3214</v>
      </c>
      <c r="H565">
        <v>2015</v>
      </c>
      <c r="I565">
        <v>1</v>
      </c>
      <c r="J565">
        <v>120</v>
      </c>
      <c r="K565">
        <v>83</v>
      </c>
      <c r="L565">
        <v>1</v>
      </c>
      <c r="M565">
        <v>0</v>
      </c>
      <c r="N565">
        <v>0</v>
      </c>
      <c r="O565" t="str">
        <f t="shared" si="36"/>
        <v>W 120-83 vs. Cory</v>
      </c>
    </row>
    <row r="566" spans="1:15" ht="15" customHeight="1" x14ac:dyDescent="0.25">
      <c r="A566">
        <f t="shared" si="37"/>
        <v>172</v>
      </c>
      <c r="B566" t="s">
        <v>3208</v>
      </c>
      <c r="C566" t="s">
        <v>3216</v>
      </c>
      <c r="D566" t="s">
        <v>3225</v>
      </c>
      <c r="E566" t="str">
        <f t="shared" si="34"/>
        <v>Chad</v>
      </c>
      <c r="F566" t="str">
        <f t="shared" si="35"/>
        <v>Seth</v>
      </c>
      <c r="G566" t="s">
        <v>3217</v>
      </c>
      <c r="H566">
        <v>2014</v>
      </c>
      <c r="I566">
        <v>12</v>
      </c>
      <c r="J566">
        <v>120</v>
      </c>
      <c r="K566">
        <v>83</v>
      </c>
      <c r="L566">
        <v>1</v>
      </c>
      <c r="M566">
        <v>0</v>
      </c>
      <c r="N566">
        <v>0</v>
      </c>
      <c r="O566" t="str">
        <f t="shared" si="36"/>
        <v>W 120-83 vs. Seth</v>
      </c>
    </row>
    <row r="567" spans="1:15" ht="15" customHeight="1" x14ac:dyDescent="0.25">
      <c r="A567">
        <f t="shared" si="37"/>
        <v>173</v>
      </c>
      <c r="B567" t="s">
        <v>3220</v>
      </c>
      <c r="C567" t="s">
        <v>3216</v>
      </c>
      <c r="D567" t="s">
        <v>3224</v>
      </c>
      <c r="E567" t="str">
        <f t="shared" si="34"/>
        <v>Carter</v>
      </c>
      <c r="F567" t="str">
        <f t="shared" si="35"/>
        <v>Seth</v>
      </c>
      <c r="G567" t="s">
        <v>3217</v>
      </c>
      <c r="H567">
        <v>2014</v>
      </c>
      <c r="I567">
        <v>5</v>
      </c>
      <c r="J567">
        <v>120</v>
      </c>
      <c r="K567">
        <v>81</v>
      </c>
      <c r="L567">
        <v>1</v>
      </c>
      <c r="M567">
        <v>0</v>
      </c>
      <c r="N567">
        <v>0</v>
      </c>
      <c r="O567" t="str">
        <f t="shared" si="36"/>
        <v>W 120-81 vs. Seth</v>
      </c>
    </row>
    <row r="568" spans="1:15" x14ac:dyDescent="0.25">
      <c r="A568">
        <f t="shared" si="37"/>
        <v>174</v>
      </c>
      <c r="B568" t="s">
        <v>3215</v>
      </c>
      <c r="C568" t="s">
        <v>3218</v>
      </c>
      <c r="D568" t="s">
        <v>3199</v>
      </c>
      <c r="E568" t="str">
        <f t="shared" si="34"/>
        <v>Devon</v>
      </c>
      <c r="F568" t="str">
        <f t="shared" si="35"/>
        <v>Matthew</v>
      </c>
      <c r="G568" t="s">
        <v>3219</v>
      </c>
      <c r="H568">
        <v>2014</v>
      </c>
      <c r="I568">
        <v>12</v>
      </c>
      <c r="J568">
        <v>120</v>
      </c>
      <c r="K568">
        <v>76</v>
      </c>
      <c r="L568">
        <v>1</v>
      </c>
      <c r="M568">
        <v>0</v>
      </c>
      <c r="N568">
        <v>0</v>
      </c>
      <c r="O568" t="str">
        <f t="shared" si="36"/>
        <v>W 120-76 vs. Matthew</v>
      </c>
    </row>
    <row r="569" spans="1:15" x14ac:dyDescent="0.25">
      <c r="A569">
        <f t="shared" si="37"/>
        <v>175</v>
      </c>
      <c r="B569" t="s">
        <v>3213</v>
      </c>
      <c r="C569" t="s">
        <v>3218</v>
      </c>
      <c r="D569" t="s">
        <v>3214</v>
      </c>
      <c r="E569" t="str">
        <f t="shared" si="34"/>
        <v>Cory</v>
      </c>
      <c r="F569" t="str">
        <f t="shared" si="35"/>
        <v>Matthew</v>
      </c>
      <c r="G569" t="s">
        <v>3219</v>
      </c>
      <c r="H569">
        <v>2015</v>
      </c>
      <c r="I569">
        <v>8</v>
      </c>
      <c r="J569">
        <v>120</v>
      </c>
      <c r="K569">
        <v>74</v>
      </c>
      <c r="L569">
        <v>1</v>
      </c>
      <c r="M569">
        <v>0</v>
      </c>
      <c r="N569">
        <v>0</v>
      </c>
      <c r="O569" t="str">
        <f t="shared" si="36"/>
        <v>W 120-74 vs. Matthew</v>
      </c>
    </row>
    <row r="570" spans="1:15" x14ac:dyDescent="0.25">
      <c r="A570">
        <f t="shared" si="37"/>
        <v>176</v>
      </c>
      <c r="B570" t="s">
        <v>3209</v>
      </c>
      <c r="C570" t="s">
        <v>3211</v>
      </c>
      <c r="D570" t="s">
        <v>3227</v>
      </c>
      <c r="E570" t="str">
        <f t="shared" si="34"/>
        <v>Scott</v>
      </c>
      <c r="F570" t="str">
        <f t="shared" si="35"/>
        <v>Anthony</v>
      </c>
      <c r="G570" t="s">
        <v>3201</v>
      </c>
      <c r="H570">
        <v>2017</v>
      </c>
      <c r="I570">
        <v>1</v>
      </c>
      <c r="J570">
        <v>120</v>
      </c>
      <c r="K570">
        <v>71</v>
      </c>
      <c r="L570">
        <v>1</v>
      </c>
      <c r="M570">
        <v>0</v>
      </c>
      <c r="N570">
        <v>0</v>
      </c>
      <c r="O570" t="str">
        <f t="shared" si="36"/>
        <v>W 120-71 vs. Anthony</v>
      </c>
    </row>
    <row r="571" spans="1:15" ht="15" customHeight="1" x14ac:dyDescent="0.25">
      <c r="A571">
        <f t="shared" si="37"/>
        <v>177</v>
      </c>
      <c r="B571" t="s">
        <v>3220</v>
      </c>
      <c r="C571" t="s">
        <v>3212</v>
      </c>
      <c r="D571" t="s">
        <v>3226</v>
      </c>
      <c r="E571" t="str">
        <f t="shared" si="34"/>
        <v>Perry</v>
      </c>
      <c r="F571" t="str">
        <f t="shared" si="35"/>
        <v>Ty</v>
      </c>
      <c r="G571" t="s">
        <v>3198</v>
      </c>
      <c r="H571">
        <v>2015</v>
      </c>
      <c r="I571">
        <v>8</v>
      </c>
      <c r="J571">
        <v>121</v>
      </c>
      <c r="K571">
        <v>108</v>
      </c>
      <c r="L571">
        <v>1</v>
      </c>
      <c r="M571">
        <v>0</v>
      </c>
      <c r="N571">
        <v>0</v>
      </c>
      <c r="O571" t="str">
        <f t="shared" si="36"/>
        <v>W 121-108 vs. Ty</v>
      </c>
    </row>
    <row r="572" spans="1:15" ht="15" customHeight="1" x14ac:dyDescent="0.25">
      <c r="A572">
        <f t="shared" si="37"/>
        <v>178</v>
      </c>
      <c r="B572" t="s">
        <v>3215</v>
      </c>
      <c r="C572" t="s">
        <v>3213</v>
      </c>
      <c r="D572" t="s">
        <v>3199</v>
      </c>
      <c r="E572" t="str">
        <f t="shared" si="34"/>
        <v>Devon</v>
      </c>
      <c r="F572" t="str">
        <f t="shared" si="35"/>
        <v>Cory</v>
      </c>
      <c r="G572" t="s">
        <v>3214</v>
      </c>
      <c r="H572">
        <v>2014</v>
      </c>
      <c r="I572">
        <v>9</v>
      </c>
      <c r="J572">
        <v>121</v>
      </c>
      <c r="K572">
        <v>91</v>
      </c>
      <c r="L572">
        <v>1</v>
      </c>
      <c r="M572">
        <v>0</v>
      </c>
      <c r="N572">
        <v>0</v>
      </c>
      <c r="O572" t="str">
        <f t="shared" si="36"/>
        <v>W 121-91 vs. Cory</v>
      </c>
    </row>
    <row r="573" spans="1:15" ht="15" customHeight="1" x14ac:dyDescent="0.25">
      <c r="A573">
        <f t="shared" si="37"/>
        <v>179</v>
      </c>
      <c r="B573" t="s">
        <v>3208</v>
      </c>
      <c r="C573" t="s">
        <v>3209</v>
      </c>
      <c r="D573" t="s">
        <v>3225</v>
      </c>
      <c r="E573" t="str">
        <f t="shared" si="34"/>
        <v>Chad</v>
      </c>
      <c r="F573" t="str">
        <f t="shared" si="35"/>
        <v>Scott</v>
      </c>
      <c r="G573" t="s">
        <v>3227</v>
      </c>
      <c r="H573">
        <v>2014</v>
      </c>
      <c r="I573">
        <v>8</v>
      </c>
      <c r="J573">
        <v>121</v>
      </c>
      <c r="K573">
        <v>84</v>
      </c>
      <c r="L573">
        <v>1</v>
      </c>
      <c r="M573">
        <v>0</v>
      </c>
      <c r="N573">
        <v>0</v>
      </c>
      <c r="O573" t="str">
        <f t="shared" si="36"/>
        <v>W 121-84 vs. Scott</v>
      </c>
    </row>
    <row r="574" spans="1:15" ht="15" customHeight="1" x14ac:dyDescent="0.25">
      <c r="A574">
        <f t="shared" si="37"/>
        <v>180</v>
      </c>
      <c r="B574" t="s">
        <v>3212</v>
      </c>
      <c r="C574" t="s">
        <v>3208</v>
      </c>
      <c r="D574" t="s">
        <v>3198</v>
      </c>
      <c r="E574" t="str">
        <f t="shared" si="34"/>
        <v>Ty</v>
      </c>
      <c r="F574" t="str">
        <f t="shared" si="35"/>
        <v>Chad</v>
      </c>
      <c r="G574" t="s">
        <v>3225</v>
      </c>
      <c r="H574">
        <v>2017</v>
      </c>
      <c r="I574">
        <v>5</v>
      </c>
      <c r="J574">
        <v>121</v>
      </c>
      <c r="K574">
        <v>71</v>
      </c>
      <c r="L574">
        <v>1</v>
      </c>
      <c r="M574">
        <v>0</v>
      </c>
      <c r="N574">
        <v>0</v>
      </c>
      <c r="O574" t="str">
        <f t="shared" si="36"/>
        <v>W 121-71 vs. Chad</v>
      </c>
    </row>
    <row r="575" spans="1:15" ht="15" customHeight="1" x14ac:dyDescent="0.25">
      <c r="A575">
        <f t="shared" si="37"/>
        <v>181</v>
      </c>
      <c r="B575" t="s">
        <v>3211</v>
      </c>
      <c r="C575" t="s">
        <v>3209</v>
      </c>
      <c r="D575" t="s">
        <v>3201</v>
      </c>
      <c r="E575" t="str">
        <f t="shared" si="34"/>
        <v>Anthony</v>
      </c>
      <c r="F575" t="str">
        <f t="shared" si="35"/>
        <v>Scott</v>
      </c>
      <c r="G575" t="s">
        <v>3227</v>
      </c>
      <c r="H575">
        <v>2013</v>
      </c>
      <c r="I575">
        <v>11</v>
      </c>
      <c r="J575">
        <v>122</v>
      </c>
      <c r="K575">
        <v>108</v>
      </c>
      <c r="L575">
        <v>1</v>
      </c>
      <c r="M575">
        <v>0</v>
      </c>
      <c r="N575">
        <v>0</v>
      </c>
      <c r="O575" t="str">
        <f t="shared" si="36"/>
        <v>W 122-108 vs. Scott</v>
      </c>
    </row>
    <row r="576" spans="1:15" ht="15" customHeight="1" x14ac:dyDescent="0.25">
      <c r="A576">
        <f t="shared" si="37"/>
        <v>182</v>
      </c>
      <c r="B576" t="s">
        <v>3213</v>
      </c>
      <c r="C576" t="s">
        <v>3215</v>
      </c>
      <c r="D576" t="s">
        <v>3214</v>
      </c>
      <c r="E576" t="str">
        <f t="shared" si="34"/>
        <v>Cory</v>
      </c>
      <c r="F576" t="str">
        <f t="shared" si="35"/>
        <v>Devon</v>
      </c>
      <c r="G576" t="s">
        <v>3199</v>
      </c>
      <c r="H576">
        <v>2015</v>
      </c>
      <c r="I576">
        <v>5</v>
      </c>
      <c r="J576">
        <v>122</v>
      </c>
      <c r="K576">
        <v>101</v>
      </c>
      <c r="L576">
        <v>1</v>
      </c>
      <c r="M576">
        <v>0</v>
      </c>
      <c r="N576">
        <v>0</v>
      </c>
      <c r="O576" t="str">
        <f t="shared" si="36"/>
        <v>W 122-101 vs. Devon</v>
      </c>
    </row>
    <row r="577" spans="1:15" ht="15" customHeight="1" x14ac:dyDescent="0.25">
      <c r="A577">
        <f t="shared" si="37"/>
        <v>183</v>
      </c>
      <c r="B577" t="s">
        <v>3212</v>
      </c>
      <c r="C577" t="s">
        <v>3213</v>
      </c>
      <c r="D577" t="s">
        <v>3198</v>
      </c>
      <c r="E577" t="str">
        <f t="shared" si="34"/>
        <v>Ty</v>
      </c>
      <c r="F577" t="str">
        <f t="shared" si="35"/>
        <v>Cory</v>
      </c>
      <c r="G577" t="s">
        <v>3214</v>
      </c>
      <c r="H577">
        <v>2014</v>
      </c>
      <c r="I577">
        <v>2</v>
      </c>
      <c r="J577">
        <v>122</v>
      </c>
      <c r="K577">
        <v>86</v>
      </c>
      <c r="L577">
        <v>1</v>
      </c>
      <c r="M577">
        <v>0</v>
      </c>
      <c r="N577">
        <v>0</v>
      </c>
      <c r="O577" t="str">
        <f t="shared" si="36"/>
        <v>W 122-86 vs. Cory</v>
      </c>
    </row>
    <row r="578" spans="1:15" ht="15" customHeight="1" x14ac:dyDescent="0.25">
      <c r="A578">
        <f t="shared" si="37"/>
        <v>184</v>
      </c>
      <c r="B578" t="s">
        <v>3208</v>
      </c>
      <c r="C578" t="s">
        <v>3211</v>
      </c>
      <c r="D578" t="s">
        <v>3225</v>
      </c>
      <c r="E578" t="str">
        <f t="shared" ref="E578:E641" si="38">LEFT(D578,SEARCH(" ",D578)-1)</f>
        <v>Chad</v>
      </c>
      <c r="F578" t="str">
        <f t="shared" ref="F578:F641" si="39">LEFT(G578,SEARCH(" ",G578)-1)</f>
        <v>Anthony</v>
      </c>
      <c r="G578" t="s">
        <v>3201</v>
      </c>
      <c r="H578">
        <v>2016</v>
      </c>
      <c r="I578">
        <v>10</v>
      </c>
      <c r="J578">
        <v>122</v>
      </c>
      <c r="K578">
        <v>85</v>
      </c>
      <c r="L578">
        <v>1</v>
      </c>
      <c r="M578">
        <v>0</v>
      </c>
      <c r="N578">
        <v>0</v>
      </c>
      <c r="O578" t="str">
        <f t="shared" ref="O578:O641" si="40">IF(L578=1,"W",IF(M578=1,"L","T"))&amp;" "&amp;J578&amp;"-"&amp;K578&amp;" vs. "&amp;F578</f>
        <v>W 122-85 vs. Anthony</v>
      </c>
    </row>
    <row r="579" spans="1:15" ht="15" customHeight="1" x14ac:dyDescent="0.25">
      <c r="A579">
        <f t="shared" si="37"/>
        <v>185</v>
      </c>
      <c r="B579" t="s">
        <v>3216</v>
      </c>
      <c r="C579" t="s">
        <v>3222</v>
      </c>
      <c r="D579" t="s">
        <v>3217</v>
      </c>
      <c r="E579" t="str">
        <f t="shared" si="38"/>
        <v>Seth</v>
      </c>
      <c r="F579" t="str">
        <f t="shared" si="39"/>
        <v>Taylor</v>
      </c>
      <c r="G579" t="s">
        <v>3200</v>
      </c>
      <c r="H579">
        <v>2015</v>
      </c>
      <c r="I579">
        <v>13</v>
      </c>
      <c r="J579">
        <v>123</v>
      </c>
      <c r="K579">
        <v>115</v>
      </c>
      <c r="L579">
        <v>1</v>
      </c>
      <c r="M579">
        <v>0</v>
      </c>
      <c r="N579">
        <v>0</v>
      </c>
      <c r="O579" t="str">
        <f t="shared" si="40"/>
        <v>W 123-115 vs. Taylor</v>
      </c>
    </row>
    <row r="580" spans="1:15" ht="15" customHeight="1" x14ac:dyDescent="0.25">
      <c r="A580">
        <f t="shared" si="37"/>
        <v>186</v>
      </c>
      <c r="B580" t="s">
        <v>3208</v>
      </c>
      <c r="C580" t="s">
        <v>3216</v>
      </c>
      <c r="D580" t="s">
        <v>3225</v>
      </c>
      <c r="E580" t="str">
        <f t="shared" si="38"/>
        <v>Chad</v>
      </c>
      <c r="F580" t="str">
        <f t="shared" si="39"/>
        <v>Seth</v>
      </c>
      <c r="G580" t="s">
        <v>3217</v>
      </c>
      <c r="H580">
        <v>2017</v>
      </c>
      <c r="I580">
        <v>4</v>
      </c>
      <c r="J580">
        <v>123</v>
      </c>
      <c r="K580">
        <v>111</v>
      </c>
      <c r="L580">
        <v>1</v>
      </c>
      <c r="M580">
        <v>0</v>
      </c>
      <c r="N580">
        <v>0</v>
      </c>
      <c r="O580" t="str">
        <f t="shared" si="40"/>
        <v>W 123-111 vs. Seth</v>
      </c>
    </row>
    <row r="581" spans="1:15" ht="15" customHeight="1" x14ac:dyDescent="0.25">
      <c r="A581">
        <f t="shared" si="37"/>
        <v>187</v>
      </c>
      <c r="B581" t="s">
        <v>3220</v>
      </c>
      <c r="C581" t="s">
        <v>3208</v>
      </c>
      <c r="D581" t="s">
        <v>3226</v>
      </c>
      <c r="E581" t="str">
        <f t="shared" si="38"/>
        <v>Perry</v>
      </c>
      <c r="F581" t="str">
        <f t="shared" si="39"/>
        <v>Chad</v>
      </c>
      <c r="G581" t="s">
        <v>3225</v>
      </c>
      <c r="H581">
        <v>2016</v>
      </c>
      <c r="I581">
        <v>7</v>
      </c>
      <c r="J581">
        <v>123</v>
      </c>
      <c r="K581">
        <v>89</v>
      </c>
      <c r="L581">
        <v>1</v>
      </c>
      <c r="M581">
        <v>0</v>
      </c>
      <c r="N581">
        <v>0</v>
      </c>
      <c r="O581" t="str">
        <f t="shared" si="40"/>
        <v>W 123-89 vs. Chad</v>
      </c>
    </row>
    <row r="582" spans="1:15" ht="15" customHeight="1" x14ac:dyDescent="0.25">
      <c r="A582">
        <f t="shared" si="37"/>
        <v>188</v>
      </c>
      <c r="B582" t="s">
        <v>3215</v>
      </c>
      <c r="C582" t="s">
        <v>3213</v>
      </c>
      <c r="D582" t="s">
        <v>3199</v>
      </c>
      <c r="E582" t="str">
        <f t="shared" si="38"/>
        <v>Devon</v>
      </c>
      <c r="F582" t="str">
        <f t="shared" si="39"/>
        <v>Cory</v>
      </c>
      <c r="G582" t="s">
        <v>3214</v>
      </c>
      <c r="H582">
        <v>2013</v>
      </c>
      <c r="I582">
        <v>3</v>
      </c>
      <c r="J582">
        <v>123</v>
      </c>
      <c r="K582">
        <v>82</v>
      </c>
      <c r="L582">
        <v>1</v>
      </c>
      <c r="M582">
        <v>0</v>
      </c>
      <c r="N582">
        <v>0</v>
      </c>
      <c r="O582" t="str">
        <f t="shared" si="40"/>
        <v>W 123-82 vs. Cory</v>
      </c>
    </row>
    <row r="583" spans="1:15" ht="15" customHeight="1" x14ac:dyDescent="0.25">
      <c r="A583">
        <f t="shared" si="37"/>
        <v>189</v>
      </c>
      <c r="B583" t="s">
        <v>3208</v>
      </c>
      <c r="C583" t="s">
        <v>3215</v>
      </c>
      <c r="D583" t="s">
        <v>3225</v>
      </c>
      <c r="E583" t="str">
        <f t="shared" si="38"/>
        <v>Chad</v>
      </c>
      <c r="F583" t="str">
        <f t="shared" si="39"/>
        <v>Devon</v>
      </c>
      <c r="G583" t="s">
        <v>3199</v>
      </c>
      <c r="H583">
        <v>2017</v>
      </c>
      <c r="I583">
        <v>3</v>
      </c>
      <c r="J583">
        <v>123</v>
      </c>
      <c r="K583">
        <v>63</v>
      </c>
      <c r="L583">
        <v>1</v>
      </c>
      <c r="M583">
        <v>0</v>
      </c>
      <c r="N583">
        <v>0</v>
      </c>
      <c r="O583" t="str">
        <f t="shared" si="40"/>
        <v>W 123-63 vs. Devon</v>
      </c>
    </row>
    <row r="584" spans="1:15" ht="15" customHeight="1" x14ac:dyDescent="0.25">
      <c r="A584">
        <f t="shared" si="37"/>
        <v>190</v>
      </c>
      <c r="B584" t="s">
        <v>3218</v>
      </c>
      <c r="C584" t="s">
        <v>3211</v>
      </c>
      <c r="D584" t="s">
        <v>3219</v>
      </c>
      <c r="E584" t="str">
        <f t="shared" si="38"/>
        <v>Matthew</v>
      </c>
      <c r="F584" t="str">
        <f t="shared" si="39"/>
        <v>Anthony</v>
      </c>
      <c r="G584" t="s">
        <v>3201</v>
      </c>
      <c r="H584">
        <v>2016</v>
      </c>
      <c r="I584">
        <v>5</v>
      </c>
      <c r="J584">
        <v>124</v>
      </c>
      <c r="K584">
        <v>149</v>
      </c>
      <c r="L584">
        <v>0</v>
      </c>
      <c r="M584">
        <v>1</v>
      </c>
      <c r="N584">
        <v>0</v>
      </c>
      <c r="O584" t="str">
        <f t="shared" si="40"/>
        <v>L 124-149 vs. Anthony</v>
      </c>
    </row>
    <row r="585" spans="1:15" ht="15" customHeight="1" x14ac:dyDescent="0.25">
      <c r="A585">
        <f t="shared" si="37"/>
        <v>191</v>
      </c>
      <c r="B585" t="s">
        <v>3218</v>
      </c>
      <c r="C585" t="s">
        <v>3215</v>
      </c>
      <c r="D585" t="s">
        <v>3219</v>
      </c>
      <c r="E585" t="str">
        <f t="shared" si="38"/>
        <v>Matthew</v>
      </c>
      <c r="F585" t="str">
        <f t="shared" si="39"/>
        <v>Devon</v>
      </c>
      <c r="G585" t="s">
        <v>3199</v>
      </c>
      <c r="H585">
        <v>2013</v>
      </c>
      <c r="I585">
        <v>4</v>
      </c>
      <c r="J585">
        <v>124</v>
      </c>
      <c r="K585">
        <v>118</v>
      </c>
      <c r="L585">
        <v>1</v>
      </c>
      <c r="M585">
        <v>0</v>
      </c>
      <c r="N585">
        <v>0</v>
      </c>
      <c r="O585" t="str">
        <f t="shared" si="40"/>
        <v>W 124-118 vs. Devon</v>
      </c>
    </row>
    <row r="586" spans="1:15" ht="15" customHeight="1" x14ac:dyDescent="0.25">
      <c r="A586">
        <f t="shared" si="37"/>
        <v>192</v>
      </c>
      <c r="B586" t="s">
        <v>3215</v>
      </c>
      <c r="C586" t="s">
        <v>3212</v>
      </c>
      <c r="D586" t="s">
        <v>3199</v>
      </c>
      <c r="E586" t="str">
        <f t="shared" si="38"/>
        <v>Devon</v>
      </c>
      <c r="F586" t="str">
        <f t="shared" si="39"/>
        <v>Ty</v>
      </c>
      <c r="G586" t="s">
        <v>3198</v>
      </c>
      <c r="H586">
        <v>2015</v>
      </c>
      <c r="I586">
        <v>6</v>
      </c>
      <c r="J586">
        <v>124</v>
      </c>
      <c r="K586">
        <v>100</v>
      </c>
      <c r="L586">
        <v>1</v>
      </c>
      <c r="M586">
        <v>0</v>
      </c>
      <c r="N586">
        <v>0</v>
      </c>
      <c r="O586" t="str">
        <f t="shared" si="40"/>
        <v>W 124-100 vs. Ty</v>
      </c>
    </row>
    <row r="587" spans="1:15" ht="15" customHeight="1" x14ac:dyDescent="0.25">
      <c r="A587">
        <f t="shared" si="37"/>
        <v>193</v>
      </c>
      <c r="B587" t="s">
        <v>3215</v>
      </c>
      <c r="C587" t="s">
        <v>3222</v>
      </c>
      <c r="D587" t="s">
        <v>3199</v>
      </c>
      <c r="E587" t="str">
        <f t="shared" si="38"/>
        <v>Devon</v>
      </c>
      <c r="F587" t="str">
        <f t="shared" si="39"/>
        <v>Austin</v>
      </c>
      <c r="G587" t="s">
        <v>3223</v>
      </c>
      <c r="H587">
        <v>2013</v>
      </c>
      <c r="I587">
        <v>7</v>
      </c>
      <c r="J587">
        <v>124</v>
      </c>
      <c r="K587">
        <v>95</v>
      </c>
      <c r="L587">
        <v>1</v>
      </c>
      <c r="M587">
        <v>0</v>
      </c>
      <c r="N587">
        <v>0</v>
      </c>
      <c r="O587" t="str">
        <f t="shared" si="40"/>
        <v>W 124-95 vs. Austin</v>
      </c>
    </row>
    <row r="588" spans="1:15" ht="15" customHeight="1" x14ac:dyDescent="0.25">
      <c r="A588">
        <f t="shared" ref="A588:A650" si="41">A587+1</f>
        <v>194</v>
      </c>
      <c r="B588" t="s">
        <v>3209</v>
      </c>
      <c r="C588" t="s">
        <v>3215</v>
      </c>
      <c r="D588" t="s">
        <v>3227</v>
      </c>
      <c r="E588" t="str">
        <f t="shared" si="38"/>
        <v>Scott</v>
      </c>
      <c r="F588" t="str">
        <f t="shared" si="39"/>
        <v>Devon</v>
      </c>
      <c r="G588" t="s">
        <v>3199</v>
      </c>
      <c r="H588">
        <v>2017</v>
      </c>
      <c r="I588">
        <v>11</v>
      </c>
      <c r="J588">
        <v>124</v>
      </c>
      <c r="K588">
        <v>78</v>
      </c>
      <c r="L588">
        <v>1</v>
      </c>
      <c r="M588">
        <v>0</v>
      </c>
      <c r="N588">
        <v>0</v>
      </c>
      <c r="O588" t="str">
        <f t="shared" si="40"/>
        <v>W 124-78 vs. Devon</v>
      </c>
    </row>
    <row r="589" spans="1:15" ht="15" customHeight="1" x14ac:dyDescent="0.25">
      <c r="A589">
        <f t="shared" si="41"/>
        <v>195</v>
      </c>
      <c r="B589" t="s">
        <v>3222</v>
      </c>
      <c r="C589" t="s">
        <v>3208</v>
      </c>
      <c r="D589" t="s">
        <v>3200</v>
      </c>
      <c r="E589" t="str">
        <f t="shared" si="38"/>
        <v>Taylor</v>
      </c>
      <c r="F589" t="str">
        <f t="shared" si="39"/>
        <v>Chad</v>
      </c>
      <c r="G589" t="s">
        <v>3225</v>
      </c>
      <c r="H589">
        <v>2015</v>
      </c>
      <c r="I589">
        <v>6</v>
      </c>
      <c r="J589">
        <v>125</v>
      </c>
      <c r="K589">
        <v>143</v>
      </c>
      <c r="L589">
        <v>0</v>
      </c>
      <c r="M589">
        <v>1</v>
      </c>
      <c r="N589">
        <v>0</v>
      </c>
      <c r="O589" t="str">
        <f t="shared" si="40"/>
        <v>L 125-143 vs. Chad</v>
      </c>
    </row>
    <row r="590" spans="1:15" ht="15" customHeight="1" x14ac:dyDescent="0.25">
      <c r="A590">
        <f t="shared" si="41"/>
        <v>196</v>
      </c>
      <c r="B590" t="s">
        <v>3208</v>
      </c>
      <c r="C590" t="s">
        <v>3209</v>
      </c>
      <c r="D590" t="s">
        <v>3225</v>
      </c>
      <c r="E590" t="str">
        <f t="shared" si="38"/>
        <v>Chad</v>
      </c>
      <c r="F590" t="str">
        <f t="shared" si="39"/>
        <v>Scott</v>
      </c>
      <c r="G590" t="s">
        <v>3227</v>
      </c>
      <c r="H590">
        <v>2015</v>
      </c>
      <c r="I590">
        <v>8</v>
      </c>
      <c r="J590">
        <v>125</v>
      </c>
      <c r="K590">
        <v>111</v>
      </c>
      <c r="L590">
        <v>1</v>
      </c>
      <c r="M590">
        <v>0</v>
      </c>
      <c r="N590">
        <v>0</v>
      </c>
      <c r="O590" t="str">
        <f t="shared" si="40"/>
        <v>W 125-111 vs. Scott</v>
      </c>
    </row>
    <row r="591" spans="1:15" ht="15" customHeight="1" x14ac:dyDescent="0.25">
      <c r="A591">
        <f t="shared" si="41"/>
        <v>197</v>
      </c>
      <c r="B591" t="s">
        <v>3212</v>
      </c>
      <c r="C591" t="s">
        <v>3211</v>
      </c>
      <c r="D591" t="s">
        <v>3198</v>
      </c>
      <c r="E591" t="str">
        <f t="shared" si="38"/>
        <v>Ty</v>
      </c>
      <c r="F591" t="str">
        <f t="shared" si="39"/>
        <v>Anthony</v>
      </c>
      <c r="G591" t="s">
        <v>3201</v>
      </c>
      <c r="H591">
        <v>2017</v>
      </c>
      <c r="I591">
        <v>12</v>
      </c>
      <c r="J591">
        <v>125</v>
      </c>
      <c r="K591">
        <v>84</v>
      </c>
      <c r="L591">
        <v>1</v>
      </c>
      <c r="M591">
        <v>0</v>
      </c>
      <c r="N591">
        <v>0</v>
      </c>
      <c r="O591" t="str">
        <f t="shared" si="40"/>
        <v>W 125-84 vs. Anthony</v>
      </c>
    </row>
    <row r="592" spans="1:15" ht="15" customHeight="1" x14ac:dyDescent="0.25">
      <c r="A592">
        <f t="shared" si="41"/>
        <v>198</v>
      </c>
      <c r="B592" t="s">
        <v>3215</v>
      </c>
      <c r="C592" t="s">
        <v>3220</v>
      </c>
      <c r="D592" t="s">
        <v>3199</v>
      </c>
      <c r="E592" t="str">
        <f t="shared" si="38"/>
        <v>Devon</v>
      </c>
      <c r="F592" t="str">
        <f t="shared" si="39"/>
        <v>Perry</v>
      </c>
      <c r="G592" t="s">
        <v>3226</v>
      </c>
      <c r="H592">
        <v>2016</v>
      </c>
      <c r="I592">
        <v>13</v>
      </c>
      <c r="J592">
        <v>125</v>
      </c>
      <c r="K592">
        <v>67</v>
      </c>
      <c r="L592">
        <v>1</v>
      </c>
      <c r="M592">
        <v>0</v>
      </c>
      <c r="N592">
        <v>0</v>
      </c>
      <c r="O592" t="str">
        <f t="shared" si="40"/>
        <v>W 125-67 vs. Perry</v>
      </c>
    </row>
    <row r="593" spans="1:15" ht="15" customHeight="1" x14ac:dyDescent="0.25">
      <c r="A593">
        <f t="shared" si="41"/>
        <v>199</v>
      </c>
      <c r="B593" t="s">
        <v>3220</v>
      </c>
      <c r="C593" t="s">
        <v>3211</v>
      </c>
      <c r="D593" t="s">
        <v>3226</v>
      </c>
      <c r="E593" t="str">
        <f t="shared" si="38"/>
        <v>Perry</v>
      </c>
      <c r="F593" t="str">
        <f t="shared" si="39"/>
        <v>Anthony</v>
      </c>
      <c r="G593" t="s">
        <v>3201</v>
      </c>
      <c r="H593">
        <v>2015</v>
      </c>
      <c r="I593">
        <v>9</v>
      </c>
      <c r="J593">
        <v>126</v>
      </c>
      <c r="K593">
        <v>139</v>
      </c>
      <c r="L593">
        <v>0</v>
      </c>
      <c r="M593">
        <v>1</v>
      </c>
      <c r="N593">
        <v>0</v>
      </c>
      <c r="O593" t="str">
        <f t="shared" si="40"/>
        <v>L 126-139 vs. Anthony</v>
      </c>
    </row>
    <row r="594" spans="1:15" ht="15" customHeight="1" x14ac:dyDescent="0.25">
      <c r="A594">
        <f t="shared" si="41"/>
        <v>200</v>
      </c>
      <c r="B594" t="s">
        <v>3213</v>
      </c>
      <c r="C594" t="s">
        <v>3220</v>
      </c>
      <c r="D594" t="s">
        <v>3214</v>
      </c>
      <c r="E594" t="str">
        <f t="shared" si="38"/>
        <v>Cory</v>
      </c>
      <c r="F594" t="str">
        <f t="shared" si="39"/>
        <v>Perry</v>
      </c>
      <c r="G594" t="s">
        <v>3226</v>
      </c>
      <c r="H594">
        <v>2015</v>
      </c>
      <c r="I594">
        <v>10</v>
      </c>
      <c r="J594">
        <v>126</v>
      </c>
      <c r="K594">
        <v>113</v>
      </c>
      <c r="L594">
        <v>1</v>
      </c>
      <c r="M594">
        <v>0</v>
      </c>
      <c r="N594">
        <v>0</v>
      </c>
      <c r="O594" t="str">
        <f t="shared" si="40"/>
        <v>W 126-113 vs. Perry</v>
      </c>
    </row>
    <row r="595" spans="1:15" ht="15" customHeight="1" x14ac:dyDescent="0.25">
      <c r="A595">
        <f t="shared" si="41"/>
        <v>201</v>
      </c>
      <c r="B595" t="s">
        <v>3220</v>
      </c>
      <c r="C595" t="s">
        <v>3215</v>
      </c>
      <c r="D595" t="s">
        <v>3224</v>
      </c>
      <c r="E595" t="str">
        <f t="shared" si="38"/>
        <v>Carter</v>
      </c>
      <c r="F595" t="str">
        <f t="shared" si="39"/>
        <v>Devon</v>
      </c>
      <c r="G595" t="s">
        <v>3199</v>
      </c>
      <c r="H595">
        <v>2014</v>
      </c>
      <c r="I595">
        <v>13</v>
      </c>
      <c r="J595">
        <v>126</v>
      </c>
      <c r="K595">
        <v>73</v>
      </c>
      <c r="L595">
        <v>1</v>
      </c>
      <c r="M595">
        <v>0</v>
      </c>
      <c r="N595">
        <v>0</v>
      </c>
      <c r="O595" t="str">
        <f t="shared" si="40"/>
        <v>W 126-73 vs. Devon</v>
      </c>
    </row>
    <row r="596" spans="1:15" ht="15" customHeight="1" x14ac:dyDescent="0.25">
      <c r="A596">
        <f t="shared" si="41"/>
        <v>202</v>
      </c>
      <c r="B596" t="s">
        <v>3213</v>
      </c>
      <c r="C596" t="s">
        <v>3222</v>
      </c>
      <c r="D596" t="s">
        <v>3214</v>
      </c>
      <c r="E596" t="str">
        <f t="shared" si="38"/>
        <v>Cory</v>
      </c>
      <c r="F596" t="str">
        <f t="shared" si="39"/>
        <v>Taylor</v>
      </c>
      <c r="G596" t="s">
        <v>3200</v>
      </c>
      <c r="H596">
        <v>2014</v>
      </c>
      <c r="I596">
        <v>12</v>
      </c>
      <c r="J596">
        <v>127</v>
      </c>
      <c r="K596">
        <v>130</v>
      </c>
      <c r="L596">
        <v>0</v>
      </c>
      <c r="M596">
        <v>1</v>
      </c>
      <c r="N596">
        <v>0</v>
      </c>
      <c r="O596" t="str">
        <f t="shared" si="40"/>
        <v>L 127-130 vs. Taylor</v>
      </c>
    </row>
    <row r="597" spans="1:15" ht="15" customHeight="1" x14ac:dyDescent="0.25">
      <c r="A597">
        <f t="shared" si="41"/>
        <v>203</v>
      </c>
      <c r="B597" t="s">
        <v>3213</v>
      </c>
      <c r="C597" t="s">
        <v>3218</v>
      </c>
      <c r="D597" t="s">
        <v>3214</v>
      </c>
      <c r="E597" t="str">
        <f t="shared" si="38"/>
        <v>Cory</v>
      </c>
      <c r="F597" t="str">
        <f t="shared" si="39"/>
        <v>Matthew</v>
      </c>
      <c r="G597" t="s">
        <v>3219</v>
      </c>
      <c r="H597">
        <v>2013</v>
      </c>
      <c r="I597">
        <v>8</v>
      </c>
      <c r="J597">
        <v>127</v>
      </c>
      <c r="K597">
        <v>99</v>
      </c>
      <c r="L597">
        <v>1</v>
      </c>
      <c r="M597">
        <v>0</v>
      </c>
      <c r="N597">
        <v>0</v>
      </c>
      <c r="O597" t="str">
        <f t="shared" si="40"/>
        <v>W 127-99 vs. Matthew</v>
      </c>
    </row>
    <row r="598" spans="1:15" ht="15" customHeight="1" x14ac:dyDescent="0.25">
      <c r="A598">
        <f t="shared" si="41"/>
        <v>204</v>
      </c>
      <c r="B598" t="s">
        <v>3211</v>
      </c>
      <c r="C598" t="s">
        <v>3212</v>
      </c>
      <c r="D598" t="s">
        <v>3201</v>
      </c>
      <c r="E598" t="str">
        <f t="shared" si="38"/>
        <v>Anthony</v>
      </c>
      <c r="F598" t="str">
        <f t="shared" si="39"/>
        <v>Ty</v>
      </c>
      <c r="G598" t="s">
        <v>3198</v>
      </c>
      <c r="H598">
        <v>2013</v>
      </c>
      <c r="I598">
        <v>13</v>
      </c>
      <c r="J598">
        <v>127</v>
      </c>
      <c r="K598">
        <v>88</v>
      </c>
      <c r="L598">
        <v>1</v>
      </c>
      <c r="M598">
        <v>0</v>
      </c>
      <c r="N598">
        <v>0</v>
      </c>
      <c r="O598" t="str">
        <f t="shared" si="40"/>
        <v>W 127-88 vs. Ty</v>
      </c>
    </row>
    <row r="599" spans="1:15" ht="15" customHeight="1" x14ac:dyDescent="0.25">
      <c r="A599">
        <f t="shared" si="41"/>
        <v>205</v>
      </c>
      <c r="B599" t="s">
        <v>3213</v>
      </c>
      <c r="C599" t="s">
        <v>3215</v>
      </c>
      <c r="D599" t="s">
        <v>3214</v>
      </c>
      <c r="E599" t="str">
        <f t="shared" si="38"/>
        <v>Cory</v>
      </c>
      <c r="F599" t="str">
        <f t="shared" si="39"/>
        <v>Devon</v>
      </c>
      <c r="G599" t="s">
        <v>3199</v>
      </c>
      <c r="H599">
        <v>2013</v>
      </c>
      <c r="I599">
        <v>12</v>
      </c>
      <c r="J599">
        <v>127</v>
      </c>
      <c r="K599">
        <v>78</v>
      </c>
      <c r="L599">
        <v>1</v>
      </c>
      <c r="M599">
        <v>0</v>
      </c>
      <c r="N599">
        <v>0</v>
      </c>
      <c r="O599" t="str">
        <f t="shared" si="40"/>
        <v>W 127-78 vs. Devon</v>
      </c>
    </row>
    <row r="600" spans="1:15" ht="15" customHeight="1" x14ac:dyDescent="0.25">
      <c r="A600">
        <f t="shared" si="41"/>
        <v>206</v>
      </c>
      <c r="B600" t="s">
        <v>3216</v>
      </c>
      <c r="C600" t="s">
        <v>3220</v>
      </c>
      <c r="D600" t="s">
        <v>3217</v>
      </c>
      <c r="E600" t="str">
        <f t="shared" si="38"/>
        <v>Seth</v>
      </c>
      <c r="F600" t="str">
        <f t="shared" si="39"/>
        <v>Lucas</v>
      </c>
      <c r="G600" t="s">
        <v>3221</v>
      </c>
      <c r="H600">
        <v>2013</v>
      </c>
      <c r="I600">
        <v>4</v>
      </c>
      <c r="J600">
        <v>127</v>
      </c>
      <c r="K600">
        <v>64</v>
      </c>
      <c r="L600">
        <v>1</v>
      </c>
      <c r="M600">
        <v>0</v>
      </c>
      <c r="N600">
        <v>0</v>
      </c>
      <c r="O600" t="str">
        <f t="shared" si="40"/>
        <v>W 127-64 vs. Lucas</v>
      </c>
    </row>
    <row r="601" spans="1:15" ht="15" customHeight="1" x14ac:dyDescent="0.25">
      <c r="A601">
        <f t="shared" si="41"/>
        <v>207</v>
      </c>
      <c r="B601" t="s">
        <v>3213</v>
      </c>
      <c r="C601" t="s">
        <v>3209</v>
      </c>
      <c r="D601" t="s">
        <v>3214</v>
      </c>
      <c r="E601" t="str">
        <f t="shared" si="38"/>
        <v>Cory</v>
      </c>
      <c r="F601" t="str">
        <f t="shared" si="39"/>
        <v>Scott</v>
      </c>
      <c r="G601" t="s">
        <v>3227</v>
      </c>
      <c r="H601">
        <v>2014</v>
      </c>
      <c r="I601">
        <v>4</v>
      </c>
      <c r="J601">
        <v>128</v>
      </c>
      <c r="K601">
        <v>82</v>
      </c>
      <c r="L601">
        <v>1</v>
      </c>
      <c r="M601">
        <v>0</v>
      </c>
      <c r="N601">
        <v>0</v>
      </c>
      <c r="O601" t="str">
        <f t="shared" si="40"/>
        <v>W 128-82 vs. Scott</v>
      </c>
    </row>
    <row r="602" spans="1:15" ht="15" customHeight="1" x14ac:dyDescent="0.25">
      <c r="A602">
        <f t="shared" si="41"/>
        <v>208</v>
      </c>
      <c r="B602" t="s">
        <v>3208</v>
      </c>
      <c r="C602" t="s">
        <v>3222</v>
      </c>
      <c r="D602" t="s">
        <v>3225</v>
      </c>
      <c r="E602" t="str">
        <f t="shared" si="38"/>
        <v>Chad</v>
      </c>
      <c r="F602" t="str">
        <f t="shared" si="39"/>
        <v>Taylor</v>
      </c>
      <c r="G602" t="s">
        <v>3200</v>
      </c>
      <c r="H602">
        <v>2014</v>
      </c>
      <c r="I602">
        <v>6</v>
      </c>
      <c r="J602">
        <v>129</v>
      </c>
      <c r="K602">
        <v>81</v>
      </c>
      <c r="L602">
        <v>1</v>
      </c>
      <c r="M602">
        <v>0</v>
      </c>
      <c r="N602">
        <v>0</v>
      </c>
      <c r="O602" t="str">
        <f t="shared" si="40"/>
        <v>W 129-81 vs. Taylor</v>
      </c>
    </row>
    <row r="603" spans="1:15" ht="15" customHeight="1" x14ac:dyDescent="0.25">
      <c r="A603">
        <f t="shared" si="41"/>
        <v>209</v>
      </c>
      <c r="B603" t="s">
        <v>3208</v>
      </c>
      <c r="C603" t="s">
        <v>3218</v>
      </c>
      <c r="D603" t="s">
        <v>3225</v>
      </c>
      <c r="E603" t="str">
        <f t="shared" si="38"/>
        <v>Chad</v>
      </c>
      <c r="F603" t="str">
        <f t="shared" si="39"/>
        <v>Matthew</v>
      </c>
      <c r="G603" t="s">
        <v>3219</v>
      </c>
      <c r="H603">
        <v>2017</v>
      </c>
      <c r="I603">
        <v>9</v>
      </c>
      <c r="J603">
        <v>129</v>
      </c>
      <c r="K603">
        <v>68</v>
      </c>
      <c r="L603">
        <v>1</v>
      </c>
      <c r="M603">
        <v>0</v>
      </c>
      <c r="N603">
        <v>0</v>
      </c>
      <c r="O603" t="str">
        <f t="shared" si="40"/>
        <v>W 129-68 vs. Matthew</v>
      </c>
    </row>
    <row r="604" spans="1:15" ht="15" customHeight="1" x14ac:dyDescent="0.25">
      <c r="A604">
        <f t="shared" si="41"/>
        <v>210</v>
      </c>
      <c r="B604" t="s">
        <v>3222</v>
      </c>
      <c r="C604" t="s">
        <v>3213</v>
      </c>
      <c r="D604" t="s">
        <v>3200</v>
      </c>
      <c r="E604" t="str">
        <f t="shared" si="38"/>
        <v>Taylor</v>
      </c>
      <c r="F604" t="str">
        <f t="shared" si="39"/>
        <v>Cory</v>
      </c>
      <c r="G604" t="s">
        <v>3214</v>
      </c>
      <c r="H604">
        <v>2014</v>
      </c>
      <c r="I604">
        <v>12</v>
      </c>
      <c r="J604">
        <v>130</v>
      </c>
      <c r="K604">
        <v>127</v>
      </c>
      <c r="L604">
        <v>1</v>
      </c>
      <c r="M604">
        <v>0</v>
      </c>
      <c r="N604">
        <v>0</v>
      </c>
      <c r="O604" t="str">
        <f t="shared" si="40"/>
        <v>W 130-127 vs. Cory</v>
      </c>
    </row>
    <row r="605" spans="1:15" ht="15" customHeight="1" x14ac:dyDescent="0.25">
      <c r="A605">
        <f t="shared" si="41"/>
        <v>211</v>
      </c>
      <c r="B605" t="s">
        <v>3209</v>
      </c>
      <c r="C605" t="s">
        <v>3218</v>
      </c>
      <c r="D605" t="s">
        <v>3227</v>
      </c>
      <c r="E605" t="str">
        <f t="shared" si="38"/>
        <v>Scott</v>
      </c>
      <c r="F605" t="str">
        <f t="shared" si="39"/>
        <v>Matthew</v>
      </c>
      <c r="G605" t="s">
        <v>3219</v>
      </c>
      <c r="H605">
        <v>2016</v>
      </c>
      <c r="I605">
        <v>7</v>
      </c>
      <c r="J605">
        <v>130</v>
      </c>
      <c r="K605">
        <v>106</v>
      </c>
      <c r="L605">
        <v>1</v>
      </c>
      <c r="M605">
        <v>0</v>
      </c>
      <c r="N605">
        <v>0</v>
      </c>
      <c r="O605" t="str">
        <f t="shared" si="40"/>
        <v>W 130-106 vs. Matthew</v>
      </c>
    </row>
    <row r="606" spans="1:15" ht="15" customHeight="1" x14ac:dyDescent="0.25">
      <c r="A606">
        <f t="shared" si="41"/>
        <v>212</v>
      </c>
      <c r="B606" t="s">
        <v>3220</v>
      </c>
      <c r="C606" t="s">
        <v>3212</v>
      </c>
      <c r="D606" t="s">
        <v>3226</v>
      </c>
      <c r="E606" t="str">
        <f t="shared" si="38"/>
        <v>Perry</v>
      </c>
      <c r="F606" t="str">
        <f t="shared" si="39"/>
        <v>Ty</v>
      </c>
      <c r="G606" t="s">
        <v>3198</v>
      </c>
      <c r="H606">
        <v>2016</v>
      </c>
      <c r="I606">
        <v>8</v>
      </c>
      <c r="J606">
        <v>130</v>
      </c>
      <c r="K606">
        <v>104</v>
      </c>
      <c r="L606">
        <v>1</v>
      </c>
      <c r="M606">
        <v>0</v>
      </c>
      <c r="N606">
        <v>0</v>
      </c>
      <c r="O606" t="str">
        <f t="shared" si="40"/>
        <v>W 130-104 vs. Ty</v>
      </c>
    </row>
    <row r="607" spans="1:15" ht="15" customHeight="1" x14ac:dyDescent="0.25">
      <c r="A607">
        <f t="shared" si="41"/>
        <v>213</v>
      </c>
      <c r="B607" t="s">
        <v>3216</v>
      </c>
      <c r="C607" t="s">
        <v>3209</v>
      </c>
      <c r="D607" t="s">
        <v>3217</v>
      </c>
      <c r="E607" t="str">
        <f t="shared" si="38"/>
        <v>Seth</v>
      </c>
      <c r="F607" t="str">
        <f t="shared" si="39"/>
        <v>Scott</v>
      </c>
      <c r="G607" t="s">
        <v>3227</v>
      </c>
      <c r="H607">
        <v>2014</v>
      </c>
      <c r="I607">
        <v>6</v>
      </c>
      <c r="J607">
        <v>130</v>
      </c>
      <c r="K607">
        <v>103</v>
      </c>
      <c r="L607">
        <v>1</v>
      </c>
      <c r="M607">
        <v>0</v>
      </c>
      <c r="N607">
        <v>0</v>
      </c>
      <c r="O607" t="str">
        <f t="shared" si="40"/>
        <v>W 130-103 vs. Scott</v>
      </c>
    </row>
    <row r="608" spans="1:15" ht="15" customHeight="1" x14ac:dyDescent="0.25">
      <c r="A608">
        <f t="shared" si="41"/>
        <v>214</v>
      </c>
      <c r="B608" t="s">
        <v>3213</v>
      </c>
      <c r="C608" t="s">
        <v>3208</v>
      </c>
      <c r="D608" t="s">
        <v>3214</v>
      </c>
      <c r="E608" t="str">
        <f t="shared" si="38"/>
        <v>Cory</v>
      </c>
      <c r="F608" t="str">
        <f t="shared" si="39"/>
        <v>Chad</v>
      </c>
      <c r="G608" t="s">
        <v>3225</v>
      </c>
      <c r="H608">
        <v>2017</v>
      </c>
      <c r="I608">
        <v>11</v>
      </c>
      <c r="J608">
        <v>130</v>
      </c>
      <c r="K608">
        <v>99</v>
      </c>
      <c r="L608">
        <v>1</v>
      </c>
      <c r="M608">
        <v>0</v>
      </c>
      <c r="N608">
        <v>0</v>
      </c>
      <c r="O608" t="str">
        <f t="shared" si="40"/>
        <v>W 130-99 vs. Chad</v>
      </c>
    </row>
    <row r="609" spans="1:15" ht="15" customHeight="1" x14ac:dyDescent="0.25">
      <c r="A609">
        <f t="shared" si="41"/>
        <v>215</v>
      </c>
      <c r="B609" t="s">
        <v>3216</v>
      </c>
      <c r="C609" t="s">
        <v>3209</v>
      </c>
      <c r="D609" t="s">
        <v>3217</v>
      </c>
      <c r="E609" t="str">
        <f t="shared" si="38"/>
        <v>Seth</v>
      </c>
      <c r="F609" t="str">
        <f t="shared" si="39"/>
        <v>Scott</v>
      </c>
      <c r="G609" t="s">
        <v>3227</v>
      </c>
      <c r="H609">
        <v>2017</v>
      </c>
      <c r="I609">
        <v>6</v>
      </c>
      <c r="J609">
        <v>130</v>
      </c>
      <c r="K609">
        <v>96</v>
      </c>
      <c r="L609">
        <v>1</v>
      </c>
      <c r="M609">
        <v>0</v>
      </c>
      <c r="N609">
        <v>0</v>
      </c>
      <c r="O609" t="str">
        <f t="shared" si="40"/>
        <v>W 130-96 vs. Scott</v>
      </c>
    </row>
    <row r="610" spans="1:15" ht="15" customHeight="1" x14ac:dyDescent="0.25">
      <c r="A610">
        <f t="shared" si="41"/>
        <v>216</v>
      </c>
      <c r="B610" t="s">
        <v>3209</v>
      </c>
      <c r="C610" t="s">
        <v>3216</v>
      </c>
      <c r="D610" t="s">
        <v>3227</v>
      </c>
      <c r="E610" t="str">
        <f t="shared" si="38"/>
        <v>Scott</v>
      </c>
      <c r="F610" t="str">
        <f t="shared" si="39"/>
        <v>Seth</v>
      </c>
      <c r="G610" t="s">
        <v>3217</v>
      </c>
      <c r="H610">
        <v>2013</v>
      </c>
      <c r="I610">
        <v>6</v>
      </c>
      <c r="J610">
        <v>130</v>
      </c>
      <c r="K610">
        <v>78</v>
      </c>
      <c r="L610">
        <v>1</v>
      </c>
      <c r="M610">
        <v>0</v>
      </c>
      <c r="N610">
        <v>0</v>
      </c>
      <c r="O610" t="str">
        <f t="shared" si="40"/>
        <v>W 130-78 vs. Seth</v>
      </c>
    </row>
    <row r="611" spans="1:15" ht="15" customHeight="1" x14ac:dyDescent="0.25">
      <c r="A611">
        <f t="shared" si="41"/>
        <v>217</v>
      </c>
      <c r="B611" t="s">
        <v>3212</v>
      </c>
      <c r="C611" t="s">
        <v>3209</v>
      </c>
      <c r="D611" t="s">
        <v>3198</v>
      </c>
      <c r="E611" t="str">
        <f t="shared" si="38"/>
        <v>Ty</v>
      </c>
      <c r="F611" t="str">
        <f t="shared" si="39"/>
        <v>Scott</v>
      </c>
      <c r="G611" t="s">
        <v>3227</v>
      </c>
      <c r="H611">
        <v>2017</v>
      </c>
      <c r="I611">
        <v>10</v>
      </c>
      <c r="J611">
        <v>130</v>
      </c>
      <c r="K611">
        <v>67</v>
      </c>
      <c r="L611">
        <v>1</v>
      </c>
      <c r="M611">
        <v>0</v>
      </c>
      <c r="N611">
        <v>0</v>
      </c>
      <c r="O611" t="str">
        <f t="shared" si="40"/>
        <v>W 130-67 vs. Scott</v>
      </c>
    </row>
    <row r="612" spans="1:15" ht="15" customHeight="1" x14ac:dyDescent="0.25">
      <c r="A612">
        <f t="shared" si="41"/>
        <v>218</v>
      </c>
      <c r="B612" t="s">
        <v>3211</v>
      </c>
      <c r="C612" t="s">
        <v>3216</v>
      </c>
      <c r="D612" t="s">
        <v>3201</v>
      </c>
      <c r="E612" t="str">
        <f t="shared" si="38"/>
        <v>Anthony</v>
      </c>
      <c r="F612" t="str">
        <f t="shared" si="39"/>
        <v>Seth</v>
      </c>
      <c r="G612" t="s">
        <v>3217</v>
      </c>
      <c r="H612">
        <v>2017</v>
      </c>
      <c r="I612">
        <v>11</v>
      </c>
      <c r="J612">
        <v>131</v>
      </c>
      <c r="K612">
        <v>111</v>
      </c>
      <c r="L612">
        <v>1</v>
      </c>
      <c r="M612">
        <v>0</v>
      </c>
      <c r="N612">
        <v>0</v>
      </c>
      <c r="O612" t="str">
        <f t="shared" si="40"/>
        <v>W 131-111 vs. Seth</v>
      </c>
    </row>
    <row r="613" spans="1:15" ht="15" customHeight="1" x14ac:dyDescent="0.25">
      <c r="A613">
        <f t="shared" si="41"/>
        <v>219</v>
      </c>
      <c r="B613" t="s">
        <v>3208</v>
      </c>
      <c r="C613" t="s">
        <v>3212</v>
      </c>
      <c r="D613" t="s">
        <v>3225</v>
      </c>
      <c r="E613" t="str">
        <f t="shared" si="38"/>
        <v>Chad</v>
      </c>
      <c r="F613" t="str">
        <f t="shared" si="39"/>
        <v>Ty</v>
      </c>
      <c r="G613" t="s">
        <v>3198</v>
      </c>
      <c r="H613">
        <v>2015</v>
      </c>
      <c r="I613">
        <v>5</v>
      </c>
      <c r="J613">
        <v>131</v>
      </c>
      <c r="K613">
        <v>95</v>
      </c>
      <c r="L613">
        <v>1</v>
      </c>
      <c r="M613">
        <v>0</v>
      </c>
      <c r="N613">
        <v>0</v>
      </c>
      <c r="O613" t="str">
        <f t="shared" si="40"/>
        <v>W 131-95 vs. Ty</v>
      </c>
    </row>
    <row r="614" spans="1:15" ht="15" customHeight="1" x14ac:dyDescent="0.25">
      <c r="A614">
        <f t="shared" si="41"/>
        <v>220</v>
      </c>
      <c r="B614" t="s">
        <v>3220</v>
      </c>
      <c r="C614" t="s">
        <v>3209</v>
      </c>
      <c r="D614" t="s">
        <v>3226</v>
      </c>
      <c r="E614" t="str">
        <f t="shared" si="38"/>
        <v>Perry</v>
      </c>
      <c r="F614" t="str">
        <f t="shared" si="39"/>
        <v>Scott</v>
      </c>
      <c r="G614" t="s">
        <v>3227</v>
      </c>
      <c r="H614">
        <v>2017</v>
      </c>
      <c r="I614">
        <v>12</v>
      </c>
      <c r="J614">
        <v>131</v>
      </c>
      <c r="K614">
        <v>88</v>
      </c>
      <c r="L614">
        <v>1</v>
      </c>
      <c r="M614">
        <v>0</v>
      </c>
      <c r="N614">
        <v>0</v>
      </c>
      <c r="O614" t="str">
        <f t="shared" si="40"/>
        <v>W 131-88 vs. Scott</v>
      </c>
    </row>
    <row r="615" spans="1:15" ht="15" customHeight="1" x14ac:dyDescent="0.25">
      <c r="A615">
        <f t="shared" si="41"/>
        <v>221</v>
      </c>
      <c r="B615" t="s">
        <v>3209</v>
      </c>
      <c r="C615" t="s">
        <v>3220</v>
      </c>
      <c r="D615" t="s">
        <v>3227</v>
      </c>
      <c r="E615" t="str">
        <f t="shared" si="38"/>
        <v>Scott</v>
      </c>
      <c r="F615" t="str">
        <f t="shared" si="39"/>
        <v>Perry</v>
      </c>
      <c r="G615" t="s">
        <v>3226</v>
      </c>
      <c r="H615">
        <v>2017</v>
      </c>
      <c r="I615">
        <v>3</v>
      </c>
      <c r="J615">
        <v>132</v>
      </c>
      <c r="K615">
        <v>102</v>
      </c>
      <c r="L615">
        <v>1</v>
      </c>
      <c r="M615">
        <v>0</v>
      </c>
      <c r="N615">
        <v>0</v>
      </c>
      <c r="O615" t="str">
        <f t="shared" si="40"/>
        <v>W 132-102 vs. Perry</v>
      </c>
    </row>
    <row r="616" spans="1:15" ht="15" customHeight="1" x14ac:dyDescent="0.25">
      <c r="A616">
        <f t="shared" si="41"/>
        <v>222</v>
      </c>
      <c r="B616" t="s">
        <v>3211</v>
      </c>
      <c r="C616" t="s">
        <v>3222</v>
      </c>
      <c r="D616" t="s">
        <v>3201</v>
      </c>
      <c r="E616" t="str">
        <f t="shared" si="38"/>
        <v>Anthony</v>
      </c>
      <c r="F616" t="str">
        <f t="shared" si="39"/>
        <v>Taylor</v>
      </c>
      <c r="G616" t="s">
        <v>3200</v>
      </c>
      <c r="H616">
        <v>2014</v>
      </c>
      <c r="I616">
        <v>8</v>
      </c>
      <c r="J616">
        <v>133</v>
      </c>
      <c r="K616">
        <v>104</v>
      </c>
      <c r="L616">
        <v>1</v>
      </c>
      <c r="M616">
        <v>0</v>
      </c>
      <c r="N616">
        <v>0</v>
      </c>
      <c r="O616" t="str">
        <f t="shared" si="40"/>
        <v>W 133-104 vs. Taylor</v>
      </c>
    </row>
    <row r="617" spans="1:15" ht="15" customHeight="1" x14ac:dyDescent="0.25">
      <c r="A617">
        <f t="shared" si="41"/>
        <v>223</v>
      </c>
      <c r="B617" t="s">
        <v>3215</v>
      </c>
      <c r="C617" t="s">
        <v>3220</v>
      </c>
      <c r="D617" t="s">
        <v>3199</v>
      </c>
      <c r="E617" t="str">
        <f t="shared" si="38"/>
        <v>Devon</v>
      </c>
      <c r="F617" t="str">
        <f t="shared" si="39"/>
        <v>Perry</v>
      </c>
      <c r="G617" t="s">
        <v>3226</v>
      </c>
      <c r="H617">
        <v>2017</v>
      </c>
      <c r="I617">
        <v>13</v>
      </c>
      <c r="J617">
        <v>133</v>
      </c>
      <c r="K617">
        <v>99</v>
      </c>
      <c r="L617">
        <v>1</v>
      </c>
      <c r="M617">
        <v>0</v>
      </c>
      <c r="N617">
        <v>0</v>
      </c>
      <c r="O617" t="str">
        <f t="shared" si="40"/>
        <v>W 133-99 vs. Perry</v>
      </c>
    </row>
    <row r="618" spans="1:15" ht="15" customHeight="1" x14ac:dyDescent="0.25">
      <c r="A618">
        <f t="shared" si="41"/>
        <v>224</v>
      </c>
      <c r="B618" t="s">
        <v>3208</v>
      </c>
      <c r="C618" t="s">
        <v>3212</v>
      </c>
      <c r="D618" t="s">
        <v>3225</v>
      </c>
      <c r="E618" t="str">
        <f t="shared" si="38"/>
        <v>Chad</v>
      </c>
      <c r="F618" t="str">
        <f t="shared" si="39"/>
        <v>Ty</v>
      </c>
      <c r="G618" t="s">
        <v>3198</v>
      </c>
      <c r="H618">
        <v>2015</v>
      </c>
      <c r="I618">
        <v>13</v>
      </c>
      <c r="J618">
        <v>134</v>
      </c>
      <c r="K618">
        <v>107</v>
      </c>
      <c r="L618">
        <v>1</v>
      </c>
      <c r="M618">
        <v>0</v>
      </c>
      <c r="N618">
        <v>0</v>
      </c>
      <c r="O618" t="str">
        <f t="shared" si="40"/>
        <v>W 134-107 vs. Ty</v>
      </c>
    </row>
    <row r="619" spans="1:15" x14ac:dyDescent="0.25">
      <c r="A619">
        <f t="shared" si="41"/>
        <v>225</v>
      </c>
      <c r="B619" t="s">
        <v>3209</v>
      </c>
      <c r="C619" t="s">
        <v>3220</v>
      </c>
      <c r="D619" t="s">
        <v>3227</v>
      </c>
      <c r="E619" t="str">
        <f t="shared" si="38"/>
        <v>Scott</v>
      </c>
      <c r="F619" t="str">
        <f t="shared" si="39"/>
        <v>Perry</v>
      </c>
      <c r="G619" t="s">
        <v>3226</v>
      </c>
      <c r="H619">
        <v>2015</v>
      </c>
      <c r="I619">
        <v>3</v>
      </c>
      <c r="J619">
        <v>135</v>
      </c>
      <c r="K619">
        <v>144</v>
      </c>
      <c r="L619">
        <v>0</v>
      </c>
      <c r="M619">
        <v>1</v>
      </c>
      <c r="N619">
        <v>0</v>
      </c>
      <c r="O619" t="str">
        <f t="shared" si="40"/>
        <v>L 135-144 vs. Perry</v>
      </c>
    </row>
    <row r="620" spans="1:15" ht="15" customHeight="1" x14ac:dyDescent="0.25">
      <c r="A620">
        <f t="shared" si="41"/>
        <v>226</v>
      </c>
      <c r="B620" t="s">
        <v>3208</v>
      </c>
      <c r="C620" t="s">
        <v>3212</v>
      </c>
      <c r="D620" t="s">
        <v>3225</v>
      </c>
      <c r="E620" t="str">
        <f t="shared" si="38"/>
        <v>Chad</v>
      </c>
      <c r="F620" t="str">
        <f t="shared" si="39"/>
        <v>Ty</v>
      </c>
      <c r="G620" t="s">
        <v>3198</v>
      </c>
      <c r="H620">
        <v>2016</v>
      </c>
      <c r="I620">
        <v>13</v>
      </c>
      <c r="J620">
        <v>135</v>
      </c>
      <c r="K620">
        <v>112</v>
      </c>
      <c r="L620">
        <v>1</v>
      </c>
      <c r="M620">
        <v>0</v>
      </c>
      <c r="N620">
        <v>0</v>
      </c>
      <c r="O620" t="str">
        <f t="shared" si="40"/>
        <v>W 135-112 vs. Ty</v>
      </c>
    </row>
    <row r="621" spans="1:15" ht="15" customHeight="1" x14ac:dyDescent="0.25">
      <c r="A621">
        <f t="shared" si="41"/>
        <v>227</v>
      </c>
      <c r="B621" t="s">
        <v>3212</v>
      </c>
      <c r="C621" t="s">
        <v>3209</v>
      </c>
      <c r="D621" t="s">
        <v>3198</v>
      </c>
      <c r="E621" t="str">
        <f t="shared" si="38"/>
        <v>Ty</v>
      </c>
      <c r="F621" t="str">
        <f t="shared" si="39"/>
        <v>Scott</v>
      </c>
      <c r="G621" t="s">
        <v>3227</v>
      </c>
      <c r="H621">
        <v>2016</v>
      </c>
      <c r="I621">
        <v>10</v>
      </c>
      <c r="J621">
        <v>135</v>
      </c>
      <c r="K621">
        <v>99</v>
      </c>
      <c r="L621">
        <v>1</v>
      </c>
      <c r="M621">
        <v>0</v>
      </c>
      <c r="N621">
        <v>0</v>
      </c>
      <c r="O621" t="str">
        <f t="shared" si="40"/>
        <v>W 135-99 vs. Scott</v>
      </c>
    </row>
    <row r="622" spans="1:15" ht="15" customHeight="1" x14ac:dyDescent="0.25">
      <c r="A622">
        <f t="shared" si="41"/>
        <v>228</v>
      </c>
      <c r="B622" t="s">
        <v>3218</v>
      </c>
      <c r="C622" t="s">
        <v>3216</v>
      </c>
      <c r="D622" t="s">
        <v>3219</v>
      </c>
      <c r="E622" t="str">
        <f t="shared" si="38"/>
        <v>Matthew</v>
      </c>
      <c r="F622" t="str">
        <f t="shared" si="39"/>
        <v>Seth</v>
      </c>
      <c r="G622" t="s">
        <v>3217</v>
      </c>
      <c r="H622">
        <v>2013</v>
      </c>
      <c r="I622">
        <v>2</v>
      </c>
      <c r="J622">
        <v>135</v>
      </c>
      <c r="K622">
        <v>95</v>
      </c>
      <c r="L622">
        <v>1</v>
      </c>
      <c r="M622">
        <v>0</v>
      </c>
      <c r="N622">
        <v>0</v>
      </c>
      <c r="O622" t="str">
        <f t="shared" si="40"/>
        <v>W 135-95 vs. Seth</v>
      </c>
    </row>
    <row r="623" spans="1:15" ht="15" customHeight="1" x14ac:dyDescent="0.25">
      <c r="A623">
        <f t="shared" si="41"/>
        <v>229</v>
      </c>
      <c r="B623" t="s">
        <v>3211</v>
      </c>
      <c r="C623" t="s">
        <v>3212</v>
      </c>
      <c r="D623" t="s">
        <v>3201</v>
      </c>
      <c r="E623" t="str">
        <f t="shared" si="38"/>
        <v>Anthony</v>
      </c>
      <c r="F623" t="str">
        <f t="shared" si="39"/>
        <v>Ty</v>
      </c>
      <c r="G623" t="s">
        <v>3198</v>
      </c>
      <c r="H623">
        <v>2015</v>
      </c>
      <c r="I623">
        <v>12</v>
      </c>
      <c r="J623">
        <v>135</v>
      </c>
      <c r="K623">
        <v>94</v>
      </c>
      <c r="L623">
        <v>1</v>
      </c>
      <c r="M623">
        <v>0</v>
      </c>
      <c r="N623">
        <v>0</v>
      </c>
      <c r="O623" t="str">
        <f t="shared" si="40"/>
        <v>W 135-94 vs. Ty</v>
      </c>
    </row>
    <row r="624" spans="1:15" ht="15" customHeight="1" x14ac:dyDescent="0.25">
      <c r="A624">
        <f t="shared" si="41"/>
        <v>230</v>
      </c>
      <c r="B624" t="s">
        <v>3211</v>
      </c>
      <c r="C624" t="s">
        <v>3215</v>
      </c>
      <c r="D624" t="s">
        <v>3201</v>
      </c>
      <c r="E624" t="str">
        <f t="shared" si="38"/>
        <v>Anthony</v>
      </c>
      <c r="F624" t="str">
        <f t="shared" si="39"/>
        <v>Devon</v>
      </c>
      <c r="G624" t="s">
        <v>3199</v>
      </c>
      <c r="H624">
        <v>2015</v>
      </c>
      <c r="I624">
        <v>7</v>
      </c>
      <c r="J624">
        <v>136</v>
      </c>
      <c r="K624">
        <v>93</v>
      </c>
      <c r="L624">
        <v>1</v>
      </c>
      <c r="M624">
        <v>0</v>
      </c>
      <c r="N624">
        <v>0</v>
      </c>
      <c r="O624" t="str">
        <f t="shared" si="40"/>
        <v>W 136-93 vs. Devon</v>
      </c>
    </row>
    <row r="625" spans="1:15" ht="15" customHeight="1" x14ac:dyDescent="0.25">
      <c r="A625">
        <f t="shared" si="41"/>
        <v>231</v>
      </c>
      <c r="B625" t="s">
        <v>3211</v>
      </c>
      <c r="C625" t="s">
        <v>3215</v>
      </c>
      <c r="D625" t="s">
        <v>3201</v>
      </c>
      <c r="E625" t="str">
        <f t="shared" si="38"/>
        <v>Anthony</v>
      </c>
      <c r="F625" t="str">
        <f t="shared" si="39"/>
        <v>Devon</v>
      </c>
      <c r="G625" t="s">
        <v>3199</v>
      </c>
      <c r="H625">
        <v>2013</v>
      </c>
      <c r="I625">
        <v>1</v>
      </c>
      <c r="J625">
        <v>136</v>
      </c>
      <c r="K625">
        <v>87</v>
      </c>
      <c r="L625">
        <v>1</v>
      </c>
      <c r="M625">
        <v>0</v>
      </c>
      <c r="N625">
        <v>0</v>
      </c>
      <c r="O625" t="str">
        <f t="shared" si="40"/>
        <v>W 136-87 vs. Devon</v>
      </c>
    </row>
    <row r="626" spans="1:15" ht="15" customHeight="1" x14ac:dyDescent="0.25">
      <c r="A626">
        <f t="shared" si="41"/>
        <v>232</v>
      </c>
      <c r="B626" t="s">
        <v>3215</v>
      </c>
      <c r="C626" t="s">
        <v>3208</v>
      </c>
      <c r="D626" t="s">
        <v>3199</v>
      </c>
      <c r="E626" t="str">
        <f t="shared" si="38"/>
        <v>Devon</v>
      </c>
      <c r="F626" t="str">
        <f t="shared" si="39"/>
        <v>Spencer</v>
      </c>
      <c r="G626" t="s">
        <v>3210</v>
      </c>
      <c r="H626">
        <v>2013</v>
      </c>
      <c r="I626">
        <v>8</v>
      </c>
      <c r="J626">
        <v>136</v>
      </c>
      <c r="K626">
        <v>82</v>
      </c>
      <c r="L626">
        <v>1</v>
      </c>
      <c r="M626">
        <v>0</v>
      </c>
      <c r="N626">
        <v>0</v>
      </c>
      <c r="O626" t="str">
        <f t="shared" si="40"/>
        <v>W 136-82 vs. Spencer</v>
      </c>
    </row>
    <row r="627" spans="1:15" ht="15" customHeight="1" x14ac:dyDescent="0.25">
      <c r="A627">
        <f t="shared" si="41"/>
        <v>233</v>
      </c>
      <c r="B627" t="s">
        <v>3213</v>
      </c>
      <c r="C627" t="s">
        <v>3215</v>
      </c>
      <c r="D627" t="s">
        <v>3214</v>
      </c>
      <c r="E627" t="str">
        <f t="shared" si="38"/>
        <v>Cory</v>
      </c>
      <c r="F627" t="str">
        <f t="shared" si="39"/>
        <v>Devon</v>
      </c>
      <c r="G627" t="s">
        <v>3199</v>
      </c>
      <c r="H627">
        <v>2015</v>
      </c>
      <c r="I627">
        <v>9</v>
      </c>
      <c r="J627">
        <v>136</v>
      </c>
      <c r="K627">
        <v>81</v>
      </c>
      <c r="L627">
        <v>1</v>
      </c>
      <c r="M627">
        <v>0</v>
      </c>
      <c r="N627">
        <v>0</v>
      </c>
      <c r="O627" t="str">
        <f t="shared" si="40"/>
        <v>W 136-81 vs. Devon</v>
      </c>
    </row>
    <row r="628" spans="1:15" ht="15" customHeight="1" x14ac:dyDescent="0.25">
      <c r="A628">
        <f t="shared" si="41"/>
        <v>234</v>
      </c>
      <c r="B628" t="s">
        <v>3212</v>
      </c>
      <c r="C628" t="s">
        <v>3218</v>
      </c>
      <c r="D628" t="s">
        <v>3198</v>
      </c>
      <c r="E628" t="str">
        <f t="shared" si="38"/>
        <v>Ty</v>
      </c>
      <c r="F628" t="str">
        <f t="shared" si="39"/>
        <v>Matthew</v>
      </c>
      <c r="G628" t="s">
        <v>3219</v>
      </c>
      <c r="H628">
        <v>2015</v>
      </c>
      <c r="I628">
        <v>3</v>
      </c>
      <c r="J628">
        <v>137</v>
      </c>
      <c r="K628">
        <v>94</v>
      </c>
      <c r="L628">
        <v>1</v>
      </c>
      <c r="M628">
        <v>0</v>
      </c>
      <c r="N628">
        <v>0</v>
      </c>
      <c r="O628" t="str">
        <f t="shared" si="40"/>
        <v>W 137-94 vs. Matthew</v>
      </c>
    </row>
    <row r="629" spans="1:15" ht="15" customHeight="1" x14ac:dyDescent="0.25">
      <c r="A629">
        <f t="shared" si="41"/>
        <v>235</v>
      </c>
      <c r="B629" t="s">
        <v>3222</v>
      </c>
      <c r="C629" t="s">
        <v>3215</v>
      </c>
      <c r="D629" t="s">
        <v>3200</v>
      </c>
      <c r="E629" t="str">
        <f t="shared" si="38"/>
        <v>Taylor</v>
      </c>
      <c r="F629" t="str">
        <f t="shared" si="39"/>
        <v>Devon</v>
      </c>
      <c r="G629" t="s">
        <v>3199</v>
      </c>
      <c r="H629">
        <v>2015</v>
      </c>
      <c r="I629">
        <v>1</v>
      </c>
      <c r="J629">
        <v>138</v>
      </c>
      <c r="K629">
        <v>107</v>
      </c>
      <c r="L629">
        <v>1</v>
      </c>
      <c r="M629">
        <v>0</v>
      </c>
      <c r="N629">
        <v>0</v>
      </c>
      <c r="O629" t="str">
        <f t="shared" si="40"/>
        <v>W 138-107 vs. Devon</v>
      </c>
    </row>
    <row r="630" spans="1:15" ht="15" customHeight="1" x14ac:dyDescent="0.25">
      <c r="A630">
        <f t="shared" si="41"/>
        <v>236</v>
      </c>
      <c r="B630" t="s">
        <v>3216</v>
      </c>
      <c r="C630" t="s">
        <v>3215</v>
      </c>
      <c r="D630" t="s">
        <v>3217</v>
      </c>
      <c r="E630" t="str">
        <f t="shared" si="38"/>
        <v>Seth</v>
      </c>
      <c r="F630" t="str">
        <f t="shared" si="39"/>
        <v>Devon</v>
      </c>
      <c r="G630" t="s">
        <v>3199</v>
      </c>
      <c r="H630">
        <v>2014</v>
      </c>
      <c r="I630">
        <v>8</v>
      </c>
      <c r="J630">
        <v>138</v>
      </c>
      <c r="K630">
        <v>92</v>
      </c>
      <c r="L630">
        <v>1</v>
      </c>
      <c r="M630">
        <v>0</v>
      </c>
      <c r="N630">
        <v>0</v>
      </c>
      <c r="O630" t="str">
        <f t="shared" si="40"/>
        <v>W 138-92 vs. Devon</v>
      </c>
    </row>
    <row r="631" spans="1:15" ht="15" customHeight="1" x14ac:dyDescent="0.25">
      <c r="A631">
        <f t="shared" si="41"/>
        <v>237</v>
      </c>
      <c r="B631" t="s">
        <v>3211</v>
      </c>
      <c r="C631" t="s">
        <v>3220</v>
      </c>
      <c r="D631" t="s">
        <v>3201</v>
      </c>
      <c r="E631" t="str">
        <f t="shared" si="38"/>
        <v>Anthony</v>
      </c>
      <c r="F631" t="str">
        <f t="shared" si="39"/>
        <v>Perry</v>
      </c>
      <c r="G631" t="s">
        <v>3226</v>
      </c>
      <c r="H631">
        <v>2015</v>
      </c>
      <c r="I631">
        <v>9</v>
      </c>
      <c r="J631">
        <v>139</v>
      </c>
      <c r="K631">
        <v>126</v>
      </c>
      <c r="L631">
        <v>1</v>
      </c>
      <c r="M631">
        <v>0</v>
      </c>
      <c r="N631">
        <v>0</v>
      </c>
      <c r="O631" t="str">
        <f t="shared" si="40"/>
        <v>W 139-126 vs. Perry</v>
      </c>
    </row>
    <row r="632" spans="1:15" ht="15" customHeight="1" x14ac:dyDescent="0.25">
      <c r="A632">
        <f t="shared" si="41"/>
        <v>238</v>
      </c>
      <c r="B632" t="s">
        <v>3215</v>
      </c>
      <c r="C632" t="s">
        <v>3209</v>
      </c>
      <c r="D632" t="s">
        <v>3199</v>
      </c>
      <c r="E632" t="str">
        <f t="shared" si="38"/>
        <v>Devon</v>
      </c>
      <c r="F632" t="str">
        <f t="shared" si="39"/>
        <v>Scott</v>
      </c>
      <c r="G632" t="s">
        <v>3227</v>
      </c>
      <c r="H632">
        <v>2017</v>
      </c>
      <c r="I632">
        <v>2</v>
      </c>
      <c r="J632">
        <v>140</v>
      </c>
      <c r="K632">
        <v>106</v>
      </c>
      <c r="L632">
        <v>1</v>
      </c>
      <c r="M632">
        <v>0</v>
      </c>
      <c r="N632">
        <v>0</v>
      </c>
      <c r="O632" t="str">
        <f t="shared" si="40"/>
        <v>W 140-106 vs. Scott</v>
      </c>
    </row>
    <row r="633" spans="1:15" ht="15" customHeight="1" x14ac:dyDescent="0.25">
      <c r="A633">
        <f t="shared" si="41"/>
        <v>239</v>
      </c>
      <c r="B633" t="s">
        <v>3212</v>
      </c>
      <c r="C633" t="s">
        <v>3218</v>
      </c>
      <c r="D633" t="s">
        <v>3198</v>
      </c>
      <c r="E633" t="str">
        <f t="shared" si="38"/>
        <v>Ty</v>
      </c>
      <c r="F633" t="str">
        <f t="shared" si="39"/>
        <v>Matthew</v>
      </c>
      <c r="G633" t="s">
        <v>3219</v>
      </c>
      <c r="H633">
        <v>2016</v>
      </c>
      <c r="I633">
        <v>3</v>
      </c>
      <c r="J633">
        <v>141</v>
      </c>
      <c r="K633">
        <v>120</v>
      </c>
      <c r="L633">
        <v>1</v>
      </c>
      <c r="M633">
        <v>0</v>
      </c>
      <c r="N633">
        <v>0</v>
      </c>
      <c r="O633" t="str">
        <f t="shared" si="40"/>
        <v>W 141-120 vs. Matthew</v>
      </c>
    </row>
    <row r="634" spans="1:15" ht="15" customHeight="1" x14ac:dyDescent="0.25">
      <c r="A634">
        <f t="shared" si="41"/>
        <v>240</v>
      </c>
      <c r="B634" t="s">
        <v>3208</v>
      </c>
      <c r="C634" t="s">
        <v>3218</v>
      </c>
      <c r="D634" t="s">
        <v>3210</v>
      </c>
      <c r="E634" t="str">
        <f t="shared" si="38"/>
        <v>Spencer</v>
      </c>
      <c r="F634" t="str">
        <f t="shared" si="39"/>
        <v>Matthew</v>
      </c>
      <c r="G634" t="s">
        <v>3219</v>
      </c>
      <c r="H634">
        <v>2013</v>
      </c>
      <c r="I634">
        <v>13</v>
      </c>
      <c r="J634">
        <v>142</v>
      </c>
      <c r="K634">
        <v>90</v>
      </c>
      <c r="L634">
        <v>1</v>
      </c>
      <c r="M634">
        <v>0</v>
      </c>
      <c r="N634">
        <v>0</v>
      </c>
      <c r="O634" t="str">
        <f t="shared" si="40"/>
        <v>W 142-90 vs. Matthew</v>
      </c>
    </row>
    <row r="635" spans="1:15" ht="15" customHeight="1" x14ac:dyDescent="0.25">
      <c r="A635">
        <f t="shared" si="41"/>
        <v>241</v>
      </c>
      <c r="B635" t="s">
        <v>3213</v>
      </c>
      <c r="C635" t="s">
        <v>3209</v>
      </c>
      <c r="D635" t="s">
        <v>3214</v>
      </c>
      <c r="E635" t="str">
        <f t="shared" si="38"/>
        <v>Cory</v>
      </c>
      <c r="F635" t="str">
        <f t="shared" si="39"/>
        <v>Scott</v>
      </c>
      <c r="G635" t="s">
        <v>3227</v>
      </c>
      <c r="H635">
        <v>2016</v>
      </c>
      <c r="I635">
        <v>4</v>
      </c>
      <c r="J635">
        <v>142</v>
      </c>
      <c r="K635">
        <v>74</v>
      </c>
      <c r="L635">
        <v>1</v>
      </c>
      <c r="M635">
        <v>0</v>
      </c>
      <c r="N635">
        <v>0</v>
      </c>
      <c r="O635" t="str">
        <f t="shared" si="40"/>
        <v>W 142-74 vs. Scott</v>
      </c>
    </row>
    <row r="636" spans="1:15" ht="15" customHeight="1" x14ac:dyDescent="0.25">
      <c r="A636">
        <f t="shared" si="41"/>
        <v>242</v>
      </c>
      <c r="B636" t="s">
        <v>3208</v>
      </c>
      <c r="C636" t="s">
        <v>3222</v>
      </c>
      <c r="D636" t="s">
        <v>3225</v>
      </c>
      <c r="E636" t="str">
        <f t="shared" si="38"/>
        <v>Chad</v>
      </c>
      <c r="F636" t="str">
        <f t="shared" si="39"/>
        <v>Taylor</v>
      </c>
      <c r="G636" t="s">
        <v>3200</v>
      </c>
      <c r="H636">
        <v>2015</v>
      </c>
      <c r="I636">
        <v>6</v>
      </c>
      <c r="J636">
        <v>143</v>
      </c>
      <c r="K636">
        <v>125</v>
      </c>
      <c r="L636">
        <v>1</v>
      </c>
      <c r="M636">
        <v>0</v>
      </c>
      <c r="N636">
        <v>0</v>
      </c>
      <c r="O636" t="str">
        <f t="shared" si="40"/>
        <v>W 143-125 vs. Taylor</v>
      </c>
    </row>
    <row r="637" spans="1:15" ht="15" customHeight="1" x14ac:dyDescent="0.25">
      <c r="A637">
        <f t="shared" si="41"/>
        <v>243</v>
      </c>
      <c r="B637" t="s">
        <v>3216</v>
      </c>
      <c r="C637" t="s">
        <v>3212</v>
      </c>
      <c r="D637" t="s">
        <v>3217</v>
      </c>
      <c r="E637" t="str">
        <f t="shared" si="38"/>
        <v>Seth</v>
      </c>
      <c r="F637" t="str">
        <f t="shared" si="39"/>
        <v>Ty</v>
      </c>
      <c r="G637" t="s">
        <v>3198</v>
      </c>
      <c r="H637">
        <v>2015</v>
      </c>
      <c r="I637">
        <v>9</v>
      </c>
      <c r="J637">
        <v>143</v>
      </c>
      <c r="K637">
        <v>103</v>
      </c>
      <c r="L637">
        <v>1</v>
      </c>
      <c r="M637">
        <v>0</v>
      </c>
      <c r="N637">
        <v>0</v>
      </c>
      <c r="O637" t="str">
        <f t="shared" si="40"/>
        <v>W 143-103 vs. Ty</v>
      </c>
    </row>
    <row r="638" spans="1:15" ht="15" customHeight="1" x14ac:dyDescent="0.25">
      <c r="A638">
        <f t="shared" si="41"/>
        <v>244</v>
      </c>
      <c r="B638" t="s">
        <v>3220</v>
      </c>
      <c r="C638" t="s">
        <v>3209</v>
      </c>
      <c r="D638" t="s">
        <v>3226</v>
      </c>
      <c r="E638" t="str">
        <f t="shared" si="38"/>
        <v>Perry</v>
      </c>
      <c r="F638" t="str">
        <f t="shared" si="39"/>
        <v>Scott</v>
      </c>
      <c r="G638" t="s">
        <v>3227</v>
      </c>
      <c r="H638">
        <v>2015</v>
      </c>
      <c r="I638">
        <v>3</v>
      </c>
      <c r="J638">
        <v>144</v>
      </c>
      <c r="K638">
        <v>135</v>
      </c>
      <c r="L638">
        <v>1</v>
      </c>
      <c r="M638">
        <v>0</v>
      </c>
      <c r="N638">
        <v>0</v>
      </c>
      <c r="O638" t="str">
        <f t="shared" si="40"/>
        <v>W 144-135 vs. Scott</v>
      </c>
    </row>
    <row r="639" spans="1:15" ht="15" customHeight="1" x14ac:dyDescent="0.25">
      <c r="A639">
        <f t="shared" si="41"/>
        <v>245</v>
      </c>
      <c r="B639" t="s">
        <v>3222</v>
      </c>
      <c r="C639" t="s">
        <v>3215</v>
      </c>
      <c r="D639" t="s">
        <v>3200</v>
      </c>
      <c r="E639" t="str">
        <f t="shared" si="38"/>
        <v>Taylor</v>
      </c>
      <c r="F639" t="str">
        <f t="shared" si="39"/>
        <v>Devon</v>
      </c>
      <c r="G639" t="s">
        <v>3199</v>
      </c>
      <c r="H639">
        <v>2014</v>
      </c>
      <c r="I639">
        <v>10</v>
      </c>
      <c r="J639">
        <v>144</v>
      </c>
      <c r="K639">
        <v>107</v>
      </c>
      <c r="L639">
        <v>1</v>
      </c>
      <c r="M639">
        <v>0</v>
      </c>
      <c r="N639">
        <v>0</v>
      </c>
      <c r="O639" t="str">
        <f t="shared" si="40"/>
        <v>W 144-107 vs. Devon</v>
      </c>
    </row>
    <row r="640" spans="1:15" ht="15" customHeight="1" x14ac:dyDescent="0.25">
      <c r="A640">
        <f t="shared" si="41"/>
        <v>246</v>
      </c>
      <c r="B640" t="s">
        <v>3216</v>
      </c>
      <c r="C640" t="s">
        <v>3208</v>
      </c>
      <c r="D640" t="s">
        <v>3217</v>
      </c>
      <c r="E640" t="str">
        <f t="shared" si="38"/>
        <v>Seth</v>
      </c>
      <c r="F640" t="str">
        <f t="shared" si="39"/>
        <v>Chad</v>
      </c>
      <c r="G640" t="s">
        <v>3225</v>
      </c>
      <c r="H640">
        <v>2014</v>
      </c>
      <c r="I640">
        <v>4</v>
      </c>
      <c r="J640">
        <v>144</v>
      </c>
      <c r="K640">
        <v>72</v>
      </c>
      <c r="L640">
        <v>1</v>
      </c>
      <c r="M640">
        <v>0</v>
      </c>
      <c r="N640">
        <v>0</v>
      </c>
      <c r="O640" t="str">
        <f t="shared" si="40"/>
        <v>W 144-72 vs. Chad</v>
      </c>
    </row>
    <row r="641" spans="1:15" ht="15" customHeight="1" x14ac:dyDescent="0.25">
      <c r="A641">
        <f t="shared" si="41"/>
        <v>247</v>
      </c>
      <c r="B641" t="s">
        <v>3213</v>
      </c>
      <c r="C641" t="s">
        <v>3218</v>
      </c>
      <c r="D641" t="s">
        <v>3214</v>
      </c>
      <c r="E641" t="str">
        <f t="shared" si="38"/>
        <v>Cory</v>
      </c>
      <c r="F641" t="str">
        <f t="shared" si="39"/>
        <v>Matthew</v>
      </c>
      <c r="G641" t="s">
        <v>3219</v>
      </c>
      <c r="H641">
        <v>2014</v>
      </c>
      <c r="I641">
        <v>8</v>
      </c>
      <c r="J641">
        <v>147</v>
      </c>
      <c r="K641">
        <v>99</v>
      </c>
      <c r="L641">
        <v>1</v>
      </c>
      <c r="M641">
        <v>0</v>
      </c>
      <c r="N641">
        <v>0</v>
      </c>
      <c r="O641" t="str">
        <f t="shared" si="40"/>
        <v>W 147-99 vs. Matthew</v>
      </c>
    </row>
    <row r="642" spans="1:15" ht="15" customHeight="1" x14ac:dyDescent="0.25">
      <c r="A642">
        <f t="shared" si="41"/>
        <v>248</v>
      </c>
      <c r="B642" t="s">
        <v>3211</v>
      </c>
      <c r="C642" t="s">
        <v>3212</v>
      </c>
      <c r="D642" t="s">
        <v>3201</v>
      </c>
      <c r="E642" t="str">
        <f t="shared" ref="E642:E651" si="42">LEFT(D642,SEARCH(" ",D642)-1)</f>
        <v>Anthony</v>
      </c>
      <c r="F642" t="str">
        <f t="shared" ref="F642:F651" si="43">LEFT(G642,SEARCH(" ",G642)-1)</f>
        <v>Ty</v>
      </c>
      <c r="G642" t="s">
        <v>3198</v>
      </c>
      <c r="H642">
        <v>2013</v>
      </c>
      <c r="I642">
        <v>4</v>
      </c>
      <c r="J642">
        <v>147</v>
      </c>
      <c r="K642">
        <v>66</v>
      </c>
      <c r="L642">
        <v>1</v>
      </c>
      <c r="M642">
        <v>0</v>
      </c>
      <c r="N642">
        <v>0</v>
      </c>
      <c r="O642" t="str">
        <f t="shared" ref="O642:O651" si="44">IF(L642=1,"W",IF(M642=1,"L","T"))&amp;" "&amp;J642&amp;"-"&amp;K642&amp;" vs. "&amp;F642</f>
        <v>W 147-66 vs. Ty</v>
      </c>
    </row>
    <row r="643" spans="1:15" ht="15" customHeight="1" x14ac:dyDescent="0.25">
      <c r="A643">
        <f t="shared" si="41"/>
        <v>249</v>
      </c>
      <c r="B643" t="s">
        <v>3211</v>
      </c>
      <c r="C643" t="s">
        <v>3218</v>
      </c>
      <c r="D643" t="s">
        <v>3201</v>
      </c>
      <c r="E643" t="str">
        <f t="shared" si="42"/>
        <v>Anthony</v>
      </c>
      <c r="F643" t="str">
        <f t="shared" si="43"/>
        <v>Matthew</v>
      </c>
      <c r="G643" t="s">
        <v>3219</v>
      </c>
      <c r="H643">
        <v>2016</v>
      </c>
      <c r="I643">
        <v>5</v>
      </c>
      <c r="J643">
        <v>149</v>
      </c>
      <c r="K643">
        <v>124</v>
      </c>
      <c r="L643">
        <v>1</v>
      </c>
      <c r="M643">
        <v>0</v>
      </c>
      <c r="N643">
        <v>0</v>
      </c>
      <c r="O643" t="str">
        <f t="shared" si="44"/>
        <v>W 149-124 vs. Matthew</v>
      </c>
    </row>
    <row r="644" spans="1:15" ht="15" customHeight="1" x14ac:dyDescent="0.25">
      <c r="A644">
        <f t="shared" si="41"/>
        <v>250</v>
      </c>
      <c r="B644" t="s">
        <v>3211</v>
      </c>
      <c r="C644" t="s">
        <v>3208</v>
      </c>
      <c r="D644" t="s">
        <v>3201</v>
      </c>
      <c r="E644" t="str">
        <f t="shared" si="42"/>
        <v>Anthony</v>
      </c>
      <c r="F644" t="str">
        <f t="shared" si="43"/>
        <v>Chad</v>
      </c>
      <c r="G644" t="s">
        <v>3225</v>
      </c>
      <c r="H644">
        <v>2015</v>
      </c>
      <c r="I644">
        <v>2</v>
      </c>
      <c r="J644">
        <v>149</v>
      </c>
      <c r="K644">
        <v>113</v>
      </c>
      <c r="L644">
        <v>1</v>
      </c>
      <c r="M644">
        <v>0</v>
      </c>
      <c r="N644">
        <v>0</v>
      </c>
      <c r="O644" t="str">
        <f t="shared" si="44"/>
        <v>W 149-113 vs. Chad</v>
      </c>
    </row>
    <row r="645" spans="1:15" ht="15" customHeight="1" x14ac:dyDescent="0.25">
      <c r="A645">
        <f t="shared" si="41"/>
        <v>251</v>
      </c>
      <c r="B645" t="s">
        <v>3215</v>
      </c>
      <c r="C645" t="s">
        <v>3222</v>
      </c>
      <c r="D645" t="s">
        <v>3199</v>
      </c>
      <c r="E645" t="str">
        <f t="shared" si="42"/>
        <v>Devon</v>
      </c>
      <c r="F645" t="str">
        <f t="shared" si="43"/>
        <v>Taylor</v>
      </c>
      <c r="G645" t="s">
        <v>3200</v>
      </c>
      <c r="H645">
        <v>2014</v>
      </c>
      <c r="I645">
        <v>1</v>
      </c>
      <c r="J645">
        <v>151</v>
      </c>
      <c r="K645">
        <v>86</v>
      </c>
      <c r="L645">
        <v>1</v>
      </c>
      <c r="M645">
        <v>0</v>
      </c>
      <c r="N645">
        <v>0</v>
      </c>
      <c r="O645" t="str">
        <f t="shared" si="44"/>
        <v>W 151-86 vs. Taylor</v>
      </c>
    </row>
    <row r="646" spans="1:15" ht="15" customHeight="1" x14ac:dyDescent="0.25">
      <c r="A646">
        <f t="shared" si="41"/>
        <v>252</v>
      </c>
      <c r="B646" t="s">
        <v>3212</v>
      </c>
      <c r="C646" t="s">
        <v>3211</v>
      </c>
      <c r="D646" t="s">
        <v>3198</v>
      </c>
      <c r="E646" t="str">
        <f t="shared" si="42"/>
        <v>Ty</v>
      </c>
      <c r="F646" t="str">
        <f t="shared" si="43"/>
        <v>Anthony</v>
      </c>
      <c r="G646" t="s">
        <v>3201</v>
      </c>
      <c r="H646">
        <v>2016</v>
      </c>
      <c r="I646">
        <v>12</v>
      </c>
      <c r="J646">
        <v>154</v>
      </c>
      <c r="K646">
        <v>83</v>
      </c>
      <c r="L646">
        <v>1</v>
      </c>
      <c r="M646">
        <v>0</v>
      </c>
      <c r="N646">
        <v>0</v>
      </c>
      <c r="O646" t="str">
        <f t="shared" si="44"/>
        <v>W 154-83 vs. Anthony</v>
      </c>
    </row>
    <row r="647" spans="1:15" ht="15" customHeight="1" x14ac:dyDescent="0.25">
      <c r="A647">
        <f t="shared" si="41"/>
        <v>253</v>
      </c>
      <c r="B647" t="s">
        <v>3212</v>
      </c>
      <c r="C647" t="s">
        <v>3216</v>
      </c>
      <c r="D647" t="s">
        <v>3198</v>
      </c>
      <c r="E647" t="str">
        <f t="shared" si="42"/>
        <v>Ty</v>
      </c>
      <c r="F647" t="str">
        <f t="shared" si="43"/>
        <v>Seth</v>
      </c>
      <c r="G647" t="s">
        <v>3217</v>
      </c>
      <c r="H647">
        <v>2016</v>
      </c>
      <c r="I647">
        <v>1</v>
      </c>
      <c r="J647">
        <v>154</v>
      </c>
      <c r="K647">
        <v>82</v>
      </c>
      <c r="L647">
        <v>1</v>
      </c>
      <c r="M647">
        <v>0</v>
      </c>
      <c r="N647">
        <v>0</v>
      </c>
      <c r="O647" t="str">
        <f t="shared" si="44"/>
        <v>W 154-82 vs. Seth</v>
      </c>
    </row>
    <row r="648" spans="1:15" ht="15" customHeight="1" x14ac:dyDescent="0.25">
      <c r="A648">
        <f t="shared" si="41"/>
        <v>254</v>
      </c>
      <c r="B648" t="s">
        <v>3213</v>
      </c>
      <c r="C648" t="s">
        <v>3222</v>
      </c>
      <c r="D648" t="s">
        <v>3214</v>
      </c>
      <c r="E648" t="str">
        <f t="shared" si="42"/>
        <v>Cory</v>
      </c>
      <c r="F648" t="str">
        <f t="shared" si="43"/>
        <v>Jason</v>
      </c>
      <c r="G648" t="s">
        <v>3228</v>
      </c>
      <c r="H648">
        <v>2017</v>
      </c>
      <c r="I648">
        <v>12</v>
      </c>
      <c r="J648">
        <v>155</v>
      </c>
      <c r="K648">
        <v>73</v>
      </c>
      <c r="L648">
        <v>1</v>
      </c>
      <c r="M648">
        <v>0</v>
      </c>
      <c r="N648">
        <v>0</v>
      </c>
      <c r="O648" t="str">
        <f t="shared" si="44"/>
        <v>W 155-73 vs. Jason</v>
      </c>
    </row>
    <row r="649" spans="1:15" ht="15" customHeight="1" x14ac:dyDescent="0.25">
      <c r="A649">
        <f t="shared" si="41"/>
        <v>255</v>
      </c>
      <c r="B649" t="s">
        <v>3211</v>
      </c>
      <c r="C649" t="s">
        <v>3208</v>
      </c>
      <c r="D649" t="s">
        <v>3201</v>
      </c>
      <c r="E649" t="str">
        <f t="shared" si="42"/>
        <v>Anthony</v>
      </c>
      <c r="F649" t="str">
        <f t="shared" si="43"/>
        <v>Chad</v>
      </c>
      <c r="G649" t="s">
        <v>3225</v>
      </c>
      <c r="H649">
        <v>2014</v>
      </c>
      <c r="I649">
        <v>10</v>
      </c>
      <c r="J649">
        <v>166</v>
      </c>
      <c r="K649">
        <v>99</v>
      </c>
      <c r="L649">
        <v>1</v>
      </c>
      <c r="M649">
        <v>0</v>
      </c>
      <c r="N649">
        <v>0</v>
      </c>
      <c r="O649" t="str">
        <f t="shared" si="44"/>
        <v>W 166-99 vs. Chad</v>
      </c>
    </row>
    <row r="650" spans="1:15" ht="15" customHeight="1" x14ac:dyDescent="0.25">
      <c r="A650">
        <f t="shared" si="41"/>
        <v>256</v>
      </c>
      <c r="B650" t="s">
        <v>3216</v>
      </c>
      <c r="C650" t="s">
        <v>3222</v>
      </c>
      <c r="D650" t="s">
        <v>3217</v>
      </c>
      <c r="E650" t="str">
        <f t="shared" si="42"/>
        <v>Seth</v>
      </c>
      <c r="F650" t="str">
        <f t="shared" si="43"/>
        <v>Taylor</v>
      </c>
      <c r="G650" t="s">
        <v>3200</v>
      </c>
      <c r="H650">
        <v>2014</v>
      </c>
      <c r="I650">
        <v>13</v>
      </c>
      <c r="J650">
        <v>170</v>
      </c>
      <c r="K650">
        <v>65</v>
      </c>
      <c r="L650">
        <v>1</v>
      </c>
      <c r="M650">
        <v>0</v>
      </c>
      <c r="N650">
        <v>0</v>
      </c>
      <c r="O650" t="str">
        <f t="shared" si="44"/>
        <v>W 170-65 vs. Taylor</v>
      </c>
    </row>
    <row r="651" spans="1:15" ht="15" customHeight="1" x14ac:dyDescent="0.25">
      <c r="A651">
        <v>1</v>
      </c>
      <c r="B651" t="s">
        <v>3213</v>
      </c>
      <c r="C651" t="s">
        <v>3215</v>
      </c>
      <c r="D651" t="s">
        <v>3214</v>
      </c>
      <c r="E651" t="str">
        <f t="shared" si="42"/>
        <v>Cory</v>
      </c>
      <c r="F651" t="str">
        <f t="shared" si="43"/>
        <v>Devon</v>
      </c>
      <c r="G651" t="s">
        <v>3199</v>
      </c>
      <c r="H651">
        <v>2016</v>
      </c>
      <c r="I651">
        <v>9</v>
      </c>
      <c r="J651">
        <v>174</v>
      </c>
      <c r="K651">
        <v>101</v>
      </c>
      <c r="L651">
        <v>1</v>
      </c>
      <c r="M651">
        <v>0</v>
      </c>
      <c r="N651">
        <v>0</v>
      </c>
      <c r="O651" t="str">
        <f t="shared" si="44"/>
        <v>W 174-101 vs. Devon</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O87"/>
  <sheetViews>
    <sheetView zoomScaleNormal="100" workbookViewId="0">
      <selection activeCell="B11" sqref="B11"/>
    </sheetView>
  </sheetViews>
  <sheetFormatPr defaultRowHeight="15" x14ac:dyDescent="0.25"/>
  <cols>
    <col min="1" max="1" width="8" bestFit="1" customWidth="1"/>
    <col min="2" max="7" width="10.42578125" customWidth="1"/>
    <col min="8" max="8" width="9.140625" customWidth="1"/>
    <col min="9" max="9" width="10.42578125" customWidth="1"/>
    <col min="10" max="10" width="4.140625" customWidth="1"/>
    <col min="11" max="14" width="13.85546875" bestFit="1" customWidth="1"/>
    <col min="15" max="15" width="19.42578125" bestFit="1" customWidth="1"/>
  </cols>
  <sheetData>
    <row r="1" spans="1:14" x14ac:dyDescent="0.25">
      <c r="A1" t="s">
        <v>1163</v>
      </c>
      <c r="B1" t="s">
        <v>739</v>
      </c>
      <c r="C1" t="s">
        <v>1164</v>
      </c>
      <c r="D1">
        <v>1</v>
      </c>
      <c r="E1">
        <f>D1+1</f>
        <v>2</v>
      </c>
      <c r="F1">
        <f>E1+1</f>
        <v>3</v>
      </c>
      <c r="G1">
        <f>F1+1</f>
        <v>4</v>
      </c>
      <c r="I1" t="s">
        <v>1165</v>
      </c>
      <c r="K1" t="s">
        <v>1166</v>
      </c>
      <c r="L1" t="s">
        <v>1167</v>
      </c>
      <c r="M1" t="s">
        <v>1168</v>
      </c>
      <c r="N1" t="s">
        <v>1169</v>
      </c>
    </row>
    <row r="2" spans="1:14" x14ac:dyDescent="0.25">
      <c r="A2">
        <v>1</v>
      </c>
      <c r="B2" t="s">
        <v>16</v>
      </c>
      <c r="C2">
        <f>MATCH(B2,Scores!$A$2:$A$11,0)</f>
        <v>2</v>
      </c>
      <c r="D2">
        <f>INDEX(Scores!$O$2:$R$11,$C2,D$1)</f>
        <v>116.51999999999998</v>
      </c>
      <c r="E2">
        <f>INDEX(Scores!$O$2:$R$11,$C2,E$1)</f>
        <v>101.05999999999997</v>
      </c>
      <c r="F2">
        <f>INDEX(Scores!$O$2:$R$11,$C2,F$1)</f>
        <v>108.1</v>
      </c>
      <c r="G2">
        <f>INDEX(Scores!$O$2:$R$11,$C2,G$1)</f>
        <v>102.09</v>
      </c>
      <c r="I2" s="3">
        <v>0</v>
      </c>
      <c r="K2" s="3">
        <f>_xlfn.NORM.DIST(0,SUM(F4:G4)-SUM(F2:G2),SQRT(SUM(F13:G13)+SUM(F15:G15)),TRUE)</f>
        <v>0.39180694274291217</v>
      </c>
      <c r="L2" s="3">
        <f>_xlfn.NORM.DIST(0,SUM(F5:G5)-SUM(F2:G2),SQRT(SUM(F13:G13)+SUM(F16:G16)),TRUE)</f>
        <v>0.40167193625731756</v>
      </c>
      <c r="M2" s="9">
        <f t="shared" ref="M2:N5" si="0">K2</f>
        <v>0.39180694274291217</v>
      </c>
      <c r="N2" s="9">
        <f t="shared" si="0"/>
        <v>0.40167193625731756</v>
      </c>
    </row>
    <row r="3" spans="1:14" x14ac:dyDescent="0.25">
      <c r="A3">
        <v>4</v>
      </c>
      <c r="B3" t="s">
        <v>27</v>
      </c>
      <c r="C3">
        <f>MATCH(B3,Scores!$A$2:$A$11,0)</f>
        <v>5</v>
      </c>
      <c r="D3">
        <f>INDEX(Scores!$O$2:$R$11,$C3,D$1)</f>
        <v>112.34</v>
      </c>
      <c r="E3">
        <f>INDEX(Scores!$O$2:$R$11,$C3,E$1)</f>
        <v>100.28</v>
      </c>
      <c r="F3">
        <f>INDEX(Scores!$O$2:$R$11,$C3,F$1)</f>
        <v>107.28999999999999</v>
      </c>
      <c r="G3">
        <f>INDEX(Scores!$O$2:$R$11,$C3,G$1)</f>
        <v>106.7</v>
      </c>
      <c r="I3" s="3">
        <v>1</v>
      </c>
      <c r="K3" s="3">
        <f>_xlfn.NORM.DIST(0,SUM(F4:G4)-SUM(F3:G3),SQRT(SUM(F14:G14)+SUM(F15:G15)),TRUE)</f>
        <v>0.43122390779635933</v>
      </c>
      <c r="L3" s="3">
        <f>_xlfn.NORM.DIST(0,SUM(F5:G5)-SUM(F3:G3),SQRT(SUM(F14:G14)+SUM(F16:G16)),TRUE)</f>
        <v>0.44238810677655332</v>
      </c>
      <c r="M3" s="9">
        <f t="shared" si="0"/>
        <v>0.43122390779635933</v>
      </c>
      <c r="N3" s="9">
        <f t="shared" si="0"/>
        <v>0.44238810677655332</v>
      </c>
    </row>
    <row r="4" spans="1:14" x14ac:dyDescent="0.25">
      <c r="A4">
        <f t="shared" ref="A4:A11" si="1">A3+1</f>
        <v>5</v>
      </c>
      <c r="B4" t="s">
        <v>62</v>
      </c>
      <c r="C4">
        <f>MATCH(B4,Scores!$A$2:$A$11,0)</f>
        <v>6</v>
      </c>
      <c r="D4">
        <f>INDEX(Scores!$O$2:$R$11,$C4,D$1)</f>
        <v>120.25</v>
      </c>
      <c r="E4">
        <f>INDEX(Scores!$O$2:$R$11,$C4,E$1)</f>
        <v>118.66</v>
      </c>
      <c r="F4">
        <f>INDEX(Scores!$O$2:$R$11,$C4,F$1)</f>
        <v>110.01000000000002</v>
      </c>
      <c r="G4">
        <f>INDEX(Scores!$O$2:$R$11,$C4,G$1)</f>
        <v>111.16999999999999</v>
      </c>
      <c r="I4" s="3">
        <v>0</v>
      </c>
      <c r="K4" s="3">
        <f>_xlfn.NORM.DIST(0,SUM(F2:G2)-SUM(F4:G4),SQRT(SUM(F15:G15)+SUM(F13:G13)),TRUE)</f>
        <v>0.60819305725708783</v>
      </c>
      <c r="L4" s="3">
        <f>_xlfn.NORM.DIST(0,SUM(F3:G3)-SUM(F4:G4),SQRT(SUM(F15:G15)+SUM(F14:G14)),TRUE)</f>
        <v>0.56877609220364067</v>
      </c>
      <c r="M4" s="9">
        <f t="shared" si="0"/>
        <v>0.60819305725708783</v>
      </c>
      <c r="N4" s="9">
        <f t="shared" si="0"/>
        <v>0.56877609220364067</v>
      </c>
    </row>
    <row r="5" spans="1:14" x14ac:dyDescent="0.25">
      <c r="A5">
        <v>2</v>
      </c>
      <c r="B5" t="s">
        <v>35</v>
      </c>
      <c r="C5">
        <f>MATCH(B5,Scores!$A$2:$A$11,0)</f>
        <v>4</v>
      </c>
      <c r="D5">
        <f>INDEX(Scores!$O$2:$R$11,$C5,D$1)</f>
        <v>100.35000000000001</v>
      </c>
      <c r="E5">
        <f>INDEX(Scores!$O$2:$R$11,$C5,E$1)</f>
        <v>105.62</v>
      </c>
      <c r="F5">
        <f>INDEX(Scores!$O$2:$R$11,$C5,F$1)</f>
        <v>110.87</v>
      </c>
      <c r="G5">
        <f>INDEX(Scores!$O$2:$R$11,$C5,G$1)</f>
        <v>108.94</v>
      </c>
      <c r="I5" s="3">
        <v>1</v>
      </c>
      <c r="K5" s="3">
        <f>_xlfn.NORM.DIST(0,SUM(F2:G2)-SUM(F5:G5),SQRT(SUM(F16:G16)+SUM(F13:G13)),TRUE)</f>
        <v>0.59832806374268244</v>
      </c>
      <c r="L5" s="3">
        <f>_xlfn.NORM.DIST(0,SUM(F3:G3)-SUM(F5:G5),SQRT(SUM(F16:G16)+SUM(F14:G14)),TRUE)</f>
        <v>0.55761189322344662</v>
      </c>
      <c r="M5" s="9">
        <f t="shared" si="0"/>
        <v>0.59832806374268244</v>
      </c>
      <c r="N5" s="9">
        <f t="shared" si="0"/>
        <v>0.55761189322344662</v>
      </c>
    </row>
    <row r="6" spans="1:14" x14ac:dyDescent="0.25">
      <c r="A6">
        <v>5</v>
      </c>
      <c r="B6" t="s">
        <v>23</v>
      </c>
      <c r="C6">
        <f>MATCH(B6,Scores!$A$2:$A$11,0)</f>
        <v>8</v>
      </c>
      <c r="D6">
        <f>INDEX(Scores!$O$2:$R$11,$C6,D$1)</f>
        <v>112.92999999999999</v>
      </c>
      <c r="E6">
        <f>INDEX(Scores!$O$2:$R$11,$C6,E$1)</f>
        <v>101.57</v>
      </c>
      <c r="F6">
        <f>INDEX(Scores!$O$2:$R$11,$C6,F$1)</f>
        <v>115.27000000000001</v>
      </c>
      <c r="G6">
        <f>INDEX(Scores!$O$2:$R$11,$C6,G$1)</f>
        <v>109.77</v>
      </c>
      <c r="I6" s="3">
        <v>0</v>
      </c>
      <c r="K6" s="3">
        <f>_xlfn.NORM.DIST(0,SUM(F8:G8)-SUM(F6:G6),SQRT(SUM(F17:G17)+SUM(F19:G19)),TRUE)</f>
        <v>0.67386061316411761</v>
      </c>
      <c r="L6" s="3">
        <f>_xlfn.NORM.DIST(0,SUM(F9:G9)-SUM(F6:G6),SQRT(SUM(F17:G17)+SUM(F20:G20)),TRUE)</f>
        <v>0.44822395033510104</v>
      </c>
      <c r="M6" s="3">
        <f>_xlfn.NORM.DIST(0,SUM(F10:G10)-SUM(F6:G6),SQRT(SUM(F17:G17)+SUM(F21:G21)),TRUE)</f>
        <v>0.37762223617903912</v>
      </c>
      <c r="N6" s="3">
        <f>_xlfn.NORM.DIST(0,SUM(F11:G11)-SUM(F6:G6),SQRT(SUM(F17:G17)+SUM(F22:G22)),TRUE)</f>
        <v>0.56386609086431971</v>
      </c>
    </row>
    <row r="7" spans="1:14" x14ac:dyDescent="0.25">
      <c r="A7">
        <f t="shared" si="1"/>
        <v>6</v>
      </c>
      <c r="B7" t="s">
        <v>55</v>
      </c>
      <c r="C7">
        <f>MATCH(B7,Scores!$A$2:$A$11,0)</f>
        <v>3</v>
      </c>
      <c r="D7">
        <f>INDEX(Scores!$O$2:$R$11,$C7,D$1)</f>
        <v>112.93000000000002</v>
      </c>
      <c r="E7">
        <f>INDEX(Scores!$O$2:$R$11,$C7,E$1)</f>
        <v>116.43999999999998</v>
      </c>
      <c r="F7">
        <f>INDEX(Scores!$O$2:$R$11,$C7,F$1)</f>
        <v>107.07999999999998</v>
      </c>
      <c r="G7">
        <f>INDEX(Scores!$O$2:$R$11,$C7,G$1)</f>
        <v>114.55</v>
      </c>
      <c r="I7" s="3">
        <v>1</v>
      </c>
      <c r="K7" s="3">
        <f>_xlfn.NORM.DIST(0,SUM(F8:G8)-SUM(F7:G7),SQRT(SUM(F18:G18)+SUM(F19:G19)),TRUE)</f>
        <v>0.651284410512879</v>
      </c>
      <c r="L7" s="3">
        <f>_xlfn.NORM.DIST(0,SUM(F9:G9)-SUM(F7:G7),SQRT(SUM(F18:G18)+SUM(F20:G20)),TRUE)</f>
        <v>0.41370447848830705</v>
      </c>
      <c r="M7" s="3">
        <f>_xlfn.NORM.DIST(0,SUM(F10:G10)-SUM(F7:G7),SQRT(SUM(F18:G18)+SUM(F21:G21)),TRUE)</f>
        <v>0.3428258266445886</v>
      </c>
      <c r="N7" s="3">
        <f>_xlfn.NORM.DIST(0,SUM(F11:G11)-SUM(F7:G7),SQRT(SUM(F18:G18)+SUM(F22:G22)),TRUE)</f>
        <v>0.53305409911852386</v>
      </c>
    </row>
    <row r="8" spans="1:14" x14ac:dyDescent="0.25">
      <c r="A8">
        <f t="shared" si="1"/>
        <v>7</v>
      </c>
      <c r="B8" t="s">
        <v>44</v>
      </c>
      <c r="C8">
        <f>MATCH(B8,Scores!$A$2:$A$11,0)</f>
        <v>10</v>
      </c>
      <c r="D8">
        <f>INDEX(Scores!$O$2:$R$11,$C8,D$1)</f>
        <v>97.990000000000009</v>
      </c>
      <c r="E8">
        <f>INDEX(Scores!$O$2:$R$11,$C8,E$1)</f>
        <v>103.83</v>
      </c>
      <c r="F8">
        <f>INDEX(Scores!$O$2:$R$11,$C8,F$1)</f>
        <v>105.57000000000001</v>
      </c>
      <c r="G8">
        <f>INDEX(Scores!$O$2:$R$11,$C8,G$1)</f>
        <v>100.58</v>
      </c>
      <c r="I8" s="3">
        <v>0</v>
      </c>
      <c r="K8" s="3">
        <f>_xlfn.NORM.DIST(0,SUM(F6:G6)-SUM(F8:G8),SQRT(SUM(F19:G19)+SUM(F17:G17)),TRUE)</f>
        <v>0.32613938683588245</v>
      </c>
      <c r="L8" s="3">
        <f>_xlfn.NORM.DIST(0,SUM(F7:G7)-SUM(F8:G8),SQRT(SUM(F19:G19)+SUM(F18:G18)),TRUE)</f>
        <v>0.348715589487121</v>
      </c>
      <c r="M8" s="3">
        <f>_xlfn.NORM.DIST(0,SUM(F10:G10)-SUM(F8:G8),SQRT(SUM(F19:G19)+SUM(F21:G21)),TRUE)</f>
        <v>0.22361240993517781</v>
      </c>
      <c r="N8" s="3">
        <f>_xlfn.NORM.DIST(0,SUM(F11:G11)-SUM(F8:G8),SQRT(SUM(F19:G19)+SUM(F22:G22)),TRUE)</f>
        <v>0.37896928464852753</v>
      </c>
    </row>
    <row r="9" spans="1:14" x14ac:dyDescent="0.25">
      <c r="A9">
        <f t="shared" si="1"/>
        <v>8</v>
      </c>
      <c r="B9" t="s">
        <v>20</v>
      </c>
      <c r="C9">
        <f>MATCH(B9,Scores!$A$2:$A$11,0)</f>
        <v>1</v>
      </c>
      <c r="D9">
        <f>INDEX(Scores!$O$2:$R$11,$C9,D$1)</f>
        <v>115.45</v>
      </c>
      <c r="E9">
        <f>INDEX(Scores!$O$2:$R$11,$C9,E$1)</f>
        <v>110.38999999999999</v>
      </c>
      <c r="F9">
        <f>INDEX(Scores!$O$2:$R$11,$C9,F$1)</f>
        <v>113.00999999999999</v>
      </c>
      <c r="G9">
        <f>INDEX(Scores!$O$2:$R$11,$C9,G$1)</f>
        <v>117.72999999999999</v>
      </c>
      <c r="I9" s="3">
        <v>1</v>
      </c>
      <c r="K9" s="3">
        <f>_xlfn.NORM.DIST(0,SUM(F6:G6)-SUM(F9:G9),SQRT(SUM(F20:G20)+SUM(F17:G17)),TRUE)</f>
        <v>0.5517760496648989</v>
      </c>
      <c r="L9" s="3">
        <f>_xlfn.NORM.DIST(0,SUM(F7:G7)-SUM(F9:G9),SQRT(SUM(F20:G20)+SUM(F18:G18)),TRUE)</f>
        <v>0.58629552151169295</v>
      </c>
      <c r="M9" s="3">
        <f>_xlfn.NORM.DIST(0,SUM(F10:G10)-SUM(F9:G9),SQRT(SUM(F20:G20)+SUM(F21:G21)),TRUE)</f>
        <v>0.42651205376034018</v>
      </c>
      <c r="N9" s="3">
        <f>_xlfn.NORM.DIST(0,SUM(F11:G11)-SUM(F9:G9),SQRT(SUM(F20:G20)+SUM(F22:G22)),TRUE)</f>
        <v>0.61700487290599781</v>
      </c>
    </row>
    <row r="10" spans="1:14" x14ac:dyDescent="0.25">
      <c r="A10">
        <f t="shared" si="1"/>
        <v>9</v>
      </c>
      <c r="B10" t="s">
        <v>49</v>
      </c>
      <c r="C10">
        <f>MATCH(B10,Scores!$A$2:$A$11,0)</f>
        <v>9</v>
      </c>
      <c r="D10">
        <f>INDEX(Scores!$O$2:$R$11,$C10,D$1)</f>
        <v>115.36999999999999</v>
      </c>
      <c r="E10">
        <f>INDEX(Scores!$O$2:$R$11,$C10,E$1)</f>
        <v>122.25000000000001</v>
      </c>
      <c r="F10">
        <f>INDEX(Scores!$O$2:$R$11,$C10,F$1)</f>
        <v>120.06</v>
      </c>
      <c r="G10">
        <f>INDEX(Scores!$O$2:$R$11,$C10,G$1)</f>
        <v>119.05000000000001</v>
      </c>
      <c r="I10" s="3">
        <v>1</v>
      </c>
      <c r="K10" s="3">
        <f>_xlfn.NORM.DIST(0,SUM(F8:G8)-SUM(F10:G10),SQRT(SUM(F21:G21)+SUM(F19:G19)),TRUE)</f>
        <v>0.77638759006482216</v>
      </c>
      <c r="L10" s="3">
        <f>_xlfn.NORM.DIST(0,SUM(F9:G9)-SUM(F10:G10),SQRT(SUM(F21:G21)+SUM(F20:G20)),TRUE)</f>
        <v>0.57348794623965982</v>
      </c>
      <c r="M10" s="3">
        <f>_xlfn.NORM.DIST(0,SUM(F6:G6)-SUM(F10:G10),SQRT(SUM(F21:G21)+SUM(F17:G17)),TRUE)</f>
        <v>0.62237776382096088</v>
      </c>
      <c r="N10" s="3">
        <f>_xlfn.NORM.DIST(0,SUM(F7:G7)-SUM(F10:G10),SQRT(SUM(F21:G21)+SUM(F18:G18)),TRUE)</f>
        <v>0.6571741733554114</v>
      </c>
    </row>
    <row r="11" spans="1:14" x14ac:dyDescent="0.25">
      <c r="A11">
        <f t="shared" si="1"/>
        <v>10</v>
      </c>
      <c r="B11" t="s">
        <v>1648</v>
      </c>
      <c r="C11">
        <f>MATCH(B11,Scores!$A$2:$A$11,0)</f>
        <v>7</v>
      </c>
      <c r="D11">
        <f>INDEX(Scores!$O$2:$R$11,$C11,D$1)</f>
        <v>104.02000000000001</v>
      </c>
      <c r="E11">
        <f>INDEX(Scores!$O$2:$R$11,$C11,E$1)</f>
        <v>104.10999999999999</v>
      </c>
      <c r="F11">
        <f>INDEX(Scores!$O$2:$R$11,$C11,F$1)</f>
        <v>104.51999999999998</v>
      </c>
      <c r="G11">
        <f>INDEX(Scores!$O$2:$R$11,$C11,G$1)</f>
        <v>113.84</v>
      </c>
      <c r="I11" s="3">
        <v>0</v>
      </c>
      <c r="K11" s="3">
        <f>_xlfn.NORM.DIST(0,SUM(F8:G8)-SUM(F11:G11),SQRT(SUM(F22:G22)+SUM(F19:G19)),TRUE)</f>
        <v>0.62103071535147247</v>
      </c>
      <c r="L11" s="3">
        <f>_xlfn.NORM.DIST(0,SUM(F9:G9)-SUM(F11:G11),SQRT(SUM(F22:G22)+SUM(F20:G20)),TRUE)</f>
        <v>0.38299512709400219</v>
      </c>
      <c r="M11" s="3">
        <f>_xlfn.NORM.DIST(0,SUM(F6:G6)-SUM(F11:G11),SQRT(SUM(F22:G22)+SUM(F17:G17)),TRUE)</f>
        <v>0.43613390913568029</v>
      </c>
      <c r="N11" s="3">
        <f>_xlfn.NORM.DIST(0,SUM(F7:G7)-SUM(F11:G11),SQRT(SUM(F22:G22)+SUM(F18:G18)),TRUE)</f>
        <v>0.46694590088147614</v>
      </c>
    </row>
    <row r="12" spans="1:14" x14ac:dyDescent="0.25">
      <c r="I12" s="3">
        <f>_xlfn.NORM.DIST(0,SUM(D11:E11)-SUM(D12:E12),SQRT(SUM(D22:E23)),TRUE)</f>
        <v>2.6643414986065073E-14</v>
      </c>
      <c r="K12" t="s">
        <v>1170</v>
      </c>
      <c r="M12" t="s">
        <v>1171</v>
      </c>
    </row>
    <row r="13" spans="1:14" x14ac:dyDescent="0.25">
      <c r="D13">
        <f>INDEX(Scores!$O$13:$R$22,$C2,D$1)</f>
        <v>387.54090000000008</v>
      </c>
      <c r="E13">
        <f>INDEX(Scores!$O$13:$R$22,$C2,E$1)</f>
        <v>353.18029999999999</v>
      </c>
      <c r="F13">
        <f>INDEX(Scores!$O$13:$R$22,$C2,F$1)</f>
        <v>367.58939999999996</v>
      </c>
      <c r="G13">
        <f>INDEX(Scores!$O$13:$R$22,$C2,G$1)</f>
        <v>353.4384</v>
      </c>
      <c r="K13" s="3">
        <f>I2*I4</f>
        <v>0</v>
      </c>
      <c r="L13" s="3">
        <f>I2*I5</f>
        <v>0</v>
      </c>
      <c r="M13" s="3">
        <f>L14</f>
        <v>1</v>
      </c>
      <c r="N13" s="3">
        <f>K14</f>
        <v>0</v>
      </c>
    </row>
    <row r="14" spans="1:14" x14ac:dyDescent="0.25">
      <c r="D14">
        <f>INDEX(Scores!$O$13:$R$22,$C3,D$1)</f>
        <v>399.28480000000002</v>
      </c>
      <c r="E14">
        <f>INDEX(Scores!$O$13:$R$22,$C3,E$1)</f>
        <v>373.3304</v>
      </c>
      <c r="F14">
        <f>INDEX(Scores!$O$13:$R$22,$C3,F$1)</f>
        <v>396.35340000000002</v>
      </c>
      <c r="G14">
        <f>INDEX(Scores!$O$13:$R$22,$C3,G$1)</f>
        <v>445.20300000000003</v>
      </c>
      <c r="K14" s="3">
        <f>I3*I4</f>
        <v>0</v>
      </c>
      <c r="L14" s="3">
        <f>I3*I5</f>
        <v>1</v>
      </c>
      <c r="M14" s="3">
        <f>L13</f>
        <v>0</v>
      </c>
      <c r="N14" s="3">
        <f>K13</f>
        <v>0</v>
      </c>
    </row>
    <row r="15" spans="1:14" x14ac:dyDescent="0.25">
      <c r="D15">
        <f>INDEX(Scores!$O$13:$R$22,$C4,D$1)</f>
        <v>443.19029999999998</v>
      </c>
      <c r="E15">
        <f>INDEX(Scores!$O$13:$R$22,$C4,E$1)</f>
        <v>496.54059999999998</v>
      </c>
      <c r="F15">
        <f>INDEX(Scores!$O$13:$R$22,$C4,F$1)</f>
        <v>431.38</v>
      </c>
      <c r="G15">
        <f>INDEX(Scores!$O$13:$R$22,$C4,G$1)</f>
        <v>449.19370000000004</v>
      </c>
      <c r="K15" s="3">
        <f>I4*I2</f>
        <v>0</v>
      </c>
      <c r="L15" s="3">
        <f>I4*I3</f>
        <v>0</v>
      </c>
      <c r="M15" s="3">
        <f>L16</f>
        <v>1</v>
      </c>
      <c r="N15" s="3">
        <f>K16</f>
        <v>0</v>
      </c>
    </row>
    <row r="16" spans="1:14" x14ac:dyDescent="0.25">
      <c r="D16">
        <f>INDEX(Scores!$O$13:$R$22,$C5,D$1)</f>
        <v>415.34820000000008</v>
      </c>
      <c r="E16">
        <f>INDEX(Scores!$O$13:$R$22,$C5,E$1)</f>
        <v>361.95700000000005</v>
      </c>
      <c r="F16">
        <f>INDEX(Scores!$O$13:$R$22,$C5,F$1)</f>
        <v>371.49580000000003</v>
      </c>
      <c r="G16">
        <f>INDEX(Scores!$O$13:$R$22,$C5,G$1)</f>
        <v>399.84190000000001</v>
      </c>
      <c r="K16" s="3">
        <f>I5*I2</f>
        <v>0</v>
      </c>
      <c r="L16" s="3">
        <f>I5*I3</f>
        <v>1</v>
      </c>
      <c r="M16" s="3">
        <f>L15</f>
        <v>0</v>
      </c>
      <c r="N16" s="3">
        <f>K15</f>
        <v>0</v>
      </c>
    </row>
    <row r="17" spans="2:15" x14ac:dyDescent="0.25">
      <c r="D17">
        <f>INDEX(Scores!$O$13:$R$22,$C6,D$1)</f>
        <v>456.16700000000003</v>
      </c>
      <c r="E17">
        <f>INDEX(Scores!$O$13:$R$22,$C6,E$1)</f>
        <v>418.40690000000012</v>
      </c>
      <c r="F17">
        <f>INDEX(Scores!$O$13:$R$22,$C6,F$1)</f>
        <v>461.27259999999995</v>
      </c>
      <c r="G17">
        <f>INDEX(Scores!$O$13:$R$22,$C6,G$1)</f>
        <v>495.75060000000002</v>
      </c>
      <c r="K17" s="3">
        <f>I6*I8</f>
        <v>0</v>
      </c>
      <c r="L17" s="3">
        <f>I6*I9</f>
        <v>0</v>
      </c>
      <c r="M17" s="3">
        <f>(1-I6)*I10</f>
        <v>1</v>
      </c>
      <c r="N17" s="3">
        <f>(1-I6)*I11</f>
        <v>0</v>
      </c>
    </row>
    <row r="18" spans="2:15" x14ac:dyDescent="0.25">
      <c r="D18">
        <f>INDEX(Scores!$O$13:$R$22,$C7,D$1)</f>
        <v>447.43119999999993</v>
      </c>
      <c r="E18">
        <f>INDEX(Scores!$O$13:$R$22,$C7,E$1)</f>
        <v>446.25159999999994</v>
      </c>
      <c r="F18">
        <f>INDEX(Scores!$O$13:$R$22,$C7,F$1)</f>
        <v>379.69849999999997</v>
      </c>
      <c r="G18">
        <f>INDEX(Scores!$O$13:$R$22,$C7,G$1)</f>
        <v>405.16819999999996</v>
      </c>
      <c r="K18" s="3">
        <f>I7*I8</f>
        <v>0</v>
      </c>
      <c r="L18" s="3">
        <f>I7*I9</f>
        <v>1</v>
      </c>
      <c r="M18" s="3">
        <f>(1-I7)*I10</f>
        <v>0</v>
      </c>
      <c r="N18" s="3">
        <f>(1-I7)*I11</f>
        <v>0</v>
      </c>
    </row>
    <row r="19" spans="2:15" x14ac:dyDescent="0.25">
      <c r="D19">
        <f>INDEX(Scores!$O$13:$R$22,$C8,D$1)</f>
        <v>393.33370000000002</v>
      </c>
      <c r="E19">
        <f>INDEX(Scores!$O$13:$R$22,$C8,E$1)</f>
        <v>358.27289999999999</v>
      </c>
      <c r="F19">
        <f>INDEX(Scores!$O$13:$R$22,$C8,F$1)</f>
        <v>401.52190000000007</v>
      </c>
      <c r="G19">
        <f>INDEX(Scores!$O$13:$R$22,$C8,G$1)</f>
        <v>398.9088999999999</v>
      </c>
      <c r="K19" s="3">
        <f>I8*I6</f>
        <v>0</v>
      </c>
      <c r="L19" s="3">
        <f>I8*I7</f>
        <v>0</v>
      </c>
      <c r="M19" s="3">
        <f>(1-I8)*(1-I10)</f>
        <v>0</v>
      </c>
      <c r="N19" s="3">
        <f>(1-I8)*(1-I11)</f>
        <v>1</v>
      </c>
      <c r="O19" s="68"/>
    </row>
    <row r="20" spans="2:15" x14ac:dyDescent="0.25">
      <c r="D20">
        <f>INDEX(Scores!$O$13:$R$22,$C9,D$1)</f>
        <v>499.87000000000006</v>
      </c>
      <c r="E20">
        <f>INDEX(Scores!$O$13:$R$22,$C9,E$1)</f>
        <v>425.83260000000001</v>
      </c>
      <c r="F20">
        <f>INDEX(Scores!$O$13:$R$22,$C9,F$1)</f>
        <v>491.05480000000011</v>
      </c>
      <c r="G20">
        <f>INDEX(Scores!$O$13:$R$22,$C9,G$1)</f>
        <v>469.98390000000001</v>
      </c>
      <c r="K20" s="3">
        <f>I9*I6</f>
        <v>0</v>
      </c>
      <c r="L20" s="3">
        <f>I9*I7</f>
        <v>1</v>
      </c>
      <c r="M20" s="3">
        <f>(1-I9)*(1-I10)</f>
        <v>0</v>
      </c>
      <c r="N20" s="3">
        <f>(1-I9)*(1-I11)</f>
        <v>0</v>
      </c>
      <c r="O20" s="68"/>
    </row>
    <row r="21" spans="2:15" x14ac:dyDescent="0.25">
      <c r="D21">
        <f>INDEX(Scores!$O$13:$R$22,$C10,D$1)</f>
        <v>588.53</v>
      </c>
      <c r="E21">
        <f>INDEX(Scores!$O$13:$R$22,$C10,E$1)</f>
        <v>604.14569999999992</v>
      </c>
      <c r="F21">
        <f>INDEX(Scores!$O$13:$R$22,$C10,F$1)</f>
        <v>553.81089999999995</v>
      </c>
      <c r="G21">
        <f>INDEX(Scores!$O$13:$R$22,$C10,G$1)</f>
        <v>526.33180000000004</v>
      </c>
      <c r="K21" s="3">
        <f>(1-I10)*(1-I8)</f>
        <v>0</v>
      </c>
      <c r="L21" s="3">
        <f>(1-I10)*(1-I9)</f>
        <v>0</v>
      </c>
      <c r="M21" s="3">
        <f>I10*(1-I6)</f>
        <v>1</v>
      </c>
      <c r="N21" s="3">
        <f>I10*(1-I7)</f>
        <v>0</v>
      </c>
    </row>
    <row r="22" spans="2:15" x14ac:dyDescent="0.25">
      <c r="D22">
        <f>INDEX(Scores!$O$13:$R$22,$C11,D$1)</f>
        <v>408.00139999999993</v>
      </c>
      <c r="E22">
        <f>INDEX(Scores!$O$13:$R$22,$C11,E$1)</f>
        <v>352.27370000000008</v>
      </c>
      <c r="F22">
        <f>INDEX(Scores!$O$13:$R$22,$C11,F$1)</f>
        <v>349.93510000000003</v>
      </c>
      <c r="G22">
        <f>INDEX(Scores!$O$13:$R$22,$C11,G$1)</f>
        <v>419.26390000000004</v>
      </c>
      <c r="K22" s="3">
        <f>(1-I11)*(1-I8)</f>
        <v>1</v>
      </c>
      <c r="L22" s="3">
        <f>(1-I11)*(1-I9)</f>
        <v>0</v>
      </c>
      <c r="M22" s="3">
        <f>I11*(1-I6)</f>
        <v>0</v>
      </c>
      <c r="N22" s="3">
        <f>I11*(1-I7)</f>
        <v>0</v>
      </c>
    </row>
    <row r="23" spans="2:15" x14ac:dyDescent="0.25">
      <c r="B23" t="s">
        <v>1174</v>
      </c>
      <c r="C23">
        <v>1</v>
      </c>
      <c r="D23">
        <v>2</v>
      </c>
      <c r="E23">
        <v>3</v>
      </c>
      <c r="F23">
        <v>4</v>
      </c>
      <c r="K23" t="s">
        <v>1172</v>
      </c>
    </row>
    <row r="24" spans="2:15" x14ac:dyDescent="0.25">
      <c r="B24" t="str">
        <f t="shared" ref="B24:B33" si="2">B2</f>
        <v>cory</v>
      </c>
      <c r="C24" s="9">
        <f>SUM(K24:L24)</f>
        <v>0</v>
      </c>
      <c r="D24" s="9">
        <f>SUM(M24:N24)</f>
        <v>0.39180694274291217</v>
      </c>
      <c r="E24" s="9">
        <f>SUM(K35:L35)</f>
        <v>0</v>
      </c>
      <c r="F24" s="9">
        <f>SUM(M35:N35)</f>
        <v>0.60819305725708783</v>
      </c>
      <c r="K24" s="3">
        <f t="shared" ref="K24:N33" si="3">K2*K13</f>
        <v>0</v>
      </c>
      <c r="L24" s="3">
        <f t="shared" si="3"/>
        <v>0</v>
      </c>
      <c r="M24" s="3">
        <f t="shared" si="3"/>
        <v>0.39180694274291217</v>
      </c>
      <c r="N24" s="3">
        <f t="shared" si="3"/>
        <v>0</v>
      </c>
    </row>
    <row r="25" spans="2:15" x14ac:dyDescent="0.25">
      <c r="B25" t="str">
        <f t="shared" si="2"/>
        <v>comp</v>
      </c>
      <c r="C25" s="9">
        <f>SUM(K25:L25)</f>
        <v>0.44238810677655332</v>
      </c>
      <c r="D25" s="9">
        <f t="shared" ref="D25:D33" si="4">SUM(M25:N25)</f>
        <v>0</v>
      </c>
      <c r="E25" s="9">
        <f t="shared" ref="E25:E33" si="5">SUM(K36:L36)</f>
        <v>0.55761189322344662</v>
      </c>
      <c r="F25" s="9">
        <f t="shared" ref="F25:F33" si="6">SUM(M36:N36)</f>
        <v>0</v>
      </c>
      <c r="K25" s="3">
        <f t="shared" si="3"/>
        <v>0</v>
      </c>
      <c r="L25" s="3">
        <f t="shared" si="3"/>
        <v>0.44238810677655332</v>
      </c>
      <c r="M25" s="3">
        <f t="shared" si="3"/>
        <v>0</v>
      </c>
      <c r="N25" s="3">
        <f t="shared" si="3"/>
        <v>0</v>
      </c>
    </row>
    <row r="26" spans="2:15" x14ac:dyDescent="0.25">
      <c r="B26" t="str">
        <f t="shared" si="2"/>
        <v>chad</v>
      </c>
      <c r="C26" s="9">
        <f>SUM(K26:L26)</f>
        <v>0</v>
      </c>
      <c r="D26" s="9">
        <f t="shared" si="4"/>
        <v>0.60819305725708783</v>
      </c>
      <c r="E26" s="9">
        <f t="shared" si="5"/>
        <v>0</v>
      </c>
      <c r="F26" s="9">
        <f t="shared" si="6"/>
        <v>0.39180694274291217</v>
      </c>
      <c r="K26" s="3">
        <f t="shared" si="3"/>
        <v>0</v>
      </c>
      <c r="L26" s="3">
        <f t="shared" si="3"/>
        <v>0</v>
      </c>
      <c r="M26" s="3">
        <f t="shared" si="3"/>
        <v>0.60819305725708783</v>
      </c>
      <c r="N26" s="3">
        <f t="shared" si="3"/>
        <v>0</v>
      </c>
    </row>
    <row r="27" spans="2:15" x14ac:dyDescent="0.25">
      <c r="B27" t="str">
        <f t="shared" si="2"/>
        <v>devon</v>
      </c>
      <c r="C27" s="9">
        <f>SUM(K27:L27)</f>
        <v>0.55761189322344662</v>
      </c>
      <c r="D27" s="9">
        <f t="shared" si="4"/>
        <v>0</v>
      </c>
      <c r="E27" s="9">
        <f t="shared" si="5"/>
        <v>0.44238810677655338</v>
      </c>
      <c r="F27" s="9">
        <f t="shared" si="6"/>
        <v>0</v>
      </c>
      <c r="K27" s="3">
        <f t="shared" si="3"/>
        <v>0</v>
      </c>
      <c r="L27" s="3">
        <f t="shared" si="3"/>
        <v>0.55761189322344662</v>
      </c>
      <c r="M27" s="3">
        <f t="shared" si="3"/>
        <v>0</v>
      </c>
      <c r="N27" s="3">
        <f t="shared" si="3"/>
        <v>0</v>
      </c>
    </row>
    <row r="28" spans="2:15" x14ac:dyDescent="0.25">
      <c r="B28" t="str">
        <f t="shared" si="2"/>
        <v>perry</v>
      </c>
      <c r="C28" s="9">
        <f t="shared" ref="C28:C33" si="7">SUM(K28:L28)</f>
        <v>0</v>
      </c>
      <c r="D28" s="9">
        <f>SUM(M28:N28)</f>
        <v>0.37762223617903912</v>
      </c>
      <c r="E28" s="9">
        <f t="shared" si="5"/>
        <v>0</v>
      </c>
      <c r="F28" s="9">
        <f>SUM(M39:N39)</f>
        <v>0.62237776382096088</v>
      </c>
      <c r="K28" s="3">
        <f t="shared" si="3"/>
        <v>0</v>
      </c>
      <c r="L28" s="3">
        <f t="shared" si="3"/>
        <v>0</v>
      </c>
      <c r="M28" s="3">
        <f t="shared" si="3"/>
        <v>0.37762223617903912</v>
      </c>
      <c r="N28" s="3">
        <f t="shared" si="3"/>
        <v>0</v>
      </c>
    </row>
    <row r="29" spans="2:15" x14ac:dyDescent="0.25">
      <c r="B29" t="str">
        <f t="shared" si="2"/>
        <v>aj</v>
      </c>
      <c r="C29" s="9">
        <f t="shared" si="7"/>
        <v>0.41370447848830705</v>
      </c>
      <c r="D29" s="9">
        <f t="shared" si="4"/>
        <v>0</v>
      </c>
      <c r="E29" s="9">
        <f t="shared" si="5"/>
        <v>0.58629552151169295</v>
      </c>
      <c r="F29" s="9">
        <f t="shared" si="6"/>
        <v>0</v>
      </c>
      <c r="K29" s="3">
        <f t="shared" si="3"/>
        <v>0</v>
      </c>
      <c r="L29" s="3">
        <f t="shared" si="3"/>
        <v>0.41370447848830705</v>
      </c>
      <c r="M29" s="3">
        <f t="shared" si="3"/>
        <v>0</v>
      </c>
      <c r="N29" s="3">
        <f t="shared" si="3"/>
        <v>0</v>
      </c>
    </row>
    <row r="30" spans="2:15" x14ac:dyDescent="0.25">
      <c r="B30" t="str">
        <f t="shared" si="2"/>
        <v>seth</v>
      </c>
      <c r="C30" s="9">
        <f t="shared" si="7"/>
        <v>0</v>
      </c>
      <c r="D30" s="9">
        <f>SUM(M30:N30)</f>
        <v>0.37896928464852753</v>
      </c>
      <c r="E30" s="9">
        <f t="shared" si="5"/>
        <v>0</v>
      </c>
      <c r="F30" s="9">
        <f t="shared" si="6"/>
        <v>0.62103071535147247</v>
      </c>
      <c r="K30" s="3">
        <f t="shared" si="3"/>
        <v>0</v>
      </c>
      <c r="L30" s="3">
        <f t="shared" si="3"/>
        <v>0</v>
      </c>
      <c r="M30" s="3">
        <f t="shared" si="3"/>
        <v>0</v>
      </c>
      <c r="N30" s="3">
        <f t="shared" si="3"/>
        <v>0.37896928464852753</v>
      </c>
    </row>
    <row r="31" spans="2:15" x14ac:dyDescent="0.25">
      <c r="B31" t="str">
        <f t="shared" si="2"/>
        <v>scott</v>
      </c>
      <c r="C31" s="9">
        <f t="shared" si="7"/>
        <v>0.58629552151169295</v>
      </c>
      <c r="D31" s="9">
        <f t="shared" si="4"/>
        <v>0</v>
      </c>
      <c r="E31" s="9">
        <f t="shared" si="5"/>
        <v>0.41370447848830705</v>
      </c>
      <c r="F31" s="9">
        <f t="shared" si="6"/>
        <v>0</v>
      </c>
      <c r="K31" s="3">
        <f t="shared" si="3"/>
        <v>0</v>
      </c>
      <c r="L31" s="3">
        <f t="shared" si="3"/>
        <v>0.58629552151169295</v>
      </c>
      <c r="M31" s="3">
        <f t="shared" si="3"/>
        <v>0</v>
      </c>
      <c r="N31" s="3">
        <f t="shared" si="3"/>
        <v>0</v>
      </c>
    </row>
    <row r="32" spans="2:15" x14ac:dyDescent="0.25">
      <c r="B32" t="str">
        <f t="shared" si="2"/>
        <v>matty</v>
      </c>
      <c r="C32" s="9">
        <f t="shared" si="7"/>
        <v>0</v>
      </c>
      <c r="D32" s="9">
        <f t="shared" si="4"/>
        <v>0.62237776382096088</v>
      </c>
      <c r="E32" s="9">
        <f t="shared" si="5"/>
        <v>0</v>
      </c>
      <c r="F32" s="9">
        <f t="shared" si="6"/>
        <v>0.37762223617903912</v>
      </c>
      <c r="K32" s="3">
        <f t="shared" si="3"/>
        <v>0</v>
      </c>
      <c r="L32" s="3">
        <f t="shared" si="3"/>
        <v>0</v>
      </c>
      <c r="M32" s="3">
        <f t="shared" si="3"/>
        <v>0.62237776382096088</v>
      </c>
      <c r="N32" s="3">
        <f t="shared" si="3"/>
        <v>0</v>
      </c>
    </row>
    <row r="33" spans="1:14" x14ac:dyDescent="0.25">
      <c r="B33" t="str">
        <f t="shared" si="2"/>
        <v>lucas</v>
      </c>
      <c r="C33" s="9">
        <f t="shared" si="7"/>
        <v>0.62103071535147247</v>
      </c>
      <c r="D33" s="9">
        <f t="shared" si="4"/>
        <v>0</v>
      </c>
      <c r="E33" s="9">
        <f t="shared" si="5"/>
        <v>0.37896928464852753</v>
      </c>
      <c r="F33" s="9">
        <f t="shared" si="6"/>
        <v>0</v>
      </c>
      <c r="K33" s="3">
        <f t="shared" si="3"/>
        <v>0.62103071535147247</v>
      </c>
      <c r="L33" s="3">
        <f t="shared" si="3"/>
        <v>0</v>
      </c>
      <c r="M33" s="3">
        <f t="shared" si="3"/>
        <v>0</v>
      </c>
      <c r="N33" s="3">
        <f t="shared" si="3"/>
        <v>0</v>
      </c>
    </row>
    <row r="34" spans="1:14" x14ac:dyDescent="0.25">
      <c r="K34" t="s">
        <v>1173</v>
      </c>
    </row>
    <row r="35" spans="1:14" x14ac:dyDescent="0.25">
      <c r="K35" s="3">
        <f t="shared" ref="K35:N44" si="8">K13*(1-K2)</f>
        <v>0</v>
      </c>
      <c r="L35" s="3">
        <f t="shared" si="8"/>
        <v>0</v>
      </c>
      <c r="M35" s="3">
        <f t="shared" si="8"/>
        <v>0.60819305725708783</v>
      </c>
      <c r="N35" s="3">
        <f t="shared" si="8"/>
        <v>0</v>
      </c>
    </row>
    <row r="36" spans="1:14" x14ac:dyDescent="0.25">
      <c r="A36" s="71"/>
      <c r="B36" s="49" t="s">
        <v>612</v>
      </c>
      <c r="C36" s="99" t="s">
        <v>1175</v>
      </c>
      <c r="D36" s="49" t="s">
        <v>1176</v>
      </c>
      <c r="E36" s="100" t="s">
        <v>1177</v>
      </c>
      <c r="F36" s="71"/>
      <c r="G36" s="71"/>
      <c r="K36" s="3">
        <f t="shared" si="8"/>
        <v>0</v>
      </c>
      <c r="L36" s="3">
        <f t="shared" si="8"/>
        <v>0.55761189322344662</v>
      </c>
      <c r="M36" s="3">
        <f t="shared" si="8"/>
        <v>0</v>
      </c>
      <c r="N36" s="3">
        <f t="shared" si="8"/>
        <v>0</v>
      </c>
    </row>
    <row r="37" spans="1:14" x14ac:dyDescent="0.25">
      <c r="A37" s="97" t="str">
        <f>B2</f>
        <v>cory</v>
      </c>
      <c r="B37" s="95">
        <f>C24</f>
        <v>0</v>
      </c>
      <c r="C37" s="104">
        <f>E24</f>
        <v>0</v>
      </c>
      <c r="D37" s="95">
        <f>D24</f>
        <v>0.39180694274291217</v>
      </c>
      <c r="E37" s="105">
        <f>F24</f>
        <v>0.60819305725708783</v>
      </c>
      <c r="F37" s="71"/>
      <c r="G37" s="71"/>
      <c r="K37" s="3">
        <f t="shared" si="8"/>
        <v>0</v>
      </c>
      <c r="L37" s="3">
        <f t="shared" si="8"/>
        <v>0</v>
      </c>
      <c r="M37" s="3">
        <f t="shared" si="8"/>
        <v>0.39180694274291217</v>
      </c>
      <c r="N37" s="3">
        <f t="shared" si="8"/>
        <v>0</v>
      </c>
    </row>
    <row r="38" spans="1:14" x14ac:dyDescent="0.25">
      <c r="A38" s="93" t="str">
        <f>B3</f>
        <v>comp</v>
      </c>
      <c r="B38" s="94">
        <f>C25</f>
        <v>0.44238810677655332</v>
      </c>
      <c r="C38" s="101">
        <f>E25</f>
        <v>0.55761189322344662</v>
      </c>
      <c r="D38" s="94">
        <f>D25</f>
        <v>0</v>
      </c>
      <c r="E38" s="92">
        <f>F25</f>
        <v>0</v>
      </c>
      <c r="F38" s="71"/>
      <c r="G38" s="71"/>
      <c r="K38" s="3">
        <f t="shared" si="8"/>
        <v>0</v>
      </c>
      <c r="L38" s="3">
        <f t="shared" si="8"/>
        <v>0.44238810677655338</v>
      </c>
      <c r="M38" s="3">
        <f t="shared" si="8"/>
        <v>0</v>
      </c>
      <c r="N38" s="3">
        <f t="shared" si="8"/>
        <v>0</v>
      </c>
    </row>
    <row r="39" spans="1:14" x14ac:dyDescent="0.25">
      <c r="A39" s="93" t="str">
        <f>B4</f>
        <v>chad</v>
      </c>
      <c r="B39" s="94">
        <f>C26</f>
        <v>0</v>
      </c>
      <c r="C39" s="101">
        <f>E26</f>
        <v>0</v>
      </c>
      <c r="D39" s="94">
        <f>D26</f>
        <v>0.60819305725708783</v>
      </c>
      <c r="E39" s="92">
        <f>F26</f>
        <v>0.39180694274291217</v>
      </c>
      <c r="F39" s="71"/>
      <c r="G39" s="71"/>
      <c r="K39" s="3">
        <f t="shared" si="8"/>
        <v>0</v>
      </c>
      <c r="L39" s="3">
        <f t="shared" si="8"/>
        <v>0</v>
      </c>
      <c r="M39" s="3">
        <f t="shared" si="8"/>
        <v>0.62237776382096088</v>
      </c>
      <c r="N39" s="3">
        <f t="shared" si="8"/>
        <v>0</v>
      </c>
    </row>
    <row r="40" spans="1:14" x14ac:dyDescent="0.25">
      <c r="A40" s="98" t="str">
        <f>B5</f>
        <v>devon</v>
      </c>
      <c r="B40" s="96">
        <f>C27</f>
        <v>0.55761189322344662</v>
      </c>
      <c r="C40" s="102">
        <f>E27</f>
        <v>0.44238810677655338</v>
      </c>
      <c r="D40" s="96">
        <f>D27</f>
        <v>0</v>
      </c>
      <c r="E40" s="103">
        <f>F27</f>
        <v>0</v>
      </c>
      <c r="F40" s="71"/>
      <c r="G40" s="71"/>
      <c r="K40" s="3">
        <f t="shared" si="8"/>
        <v>0</v>
      </c>
      <c r="L40" s="3">
        <f t="shared" si="8"/>
        <v>0.58629552151169295</v>
      </c>
      <c r="M40" s="3">
        <f t="shared" si="8"/>
        <v>0</v>
      </c>
      <c r="N40" s="3">
        <f t="shared" si="8"/>
        <v>0</v>
      </c>
    </row>
    <row r="41" spans="1:14" x14ac:dyDescent="0.25">
      <c r="A41" s="71"/>
      <c r="B41" s="71"/>
      <c r="C41" s="71"/>
      <c r="D41" s="71"/>
      <c r="E41" s="71"/>
      <c r="F41" s="71"/>
      <c r="G41" s="71"/>
      <c r="K41" s="3">
        <f t="shared" si="8"/>
        <v>0</v>
      </c>
      <c r="L41" s="3">
        <f t="shared" si="8"/>
        <v>0</v>
      </c>
      <c r="M41" s="3">
        <f t="shared" si="8"/>
        <v>0</v>
      </c>
      <c r="N41" s="3">
        <f t="shared" si="8"/>
        <v>0.62103071535147247</v>
      </c>
    </row>
    <row r="42" spans="1:14" x14ac:dyDescent="0.25">
      <c r="A42" s="91"/>
      <c r="B42" s="49" t="s">
        <v>1178</v>
      </c>
      <c r="C42" s="49" t="s">
        <v>1179</v>
      </c>
      <c r="D42" s="49" t="s">
        <v>1180</v>
      </c>
      <c r="E42" s="49" t="s">
        <v>1181</v>
      </c>
      <c r="F42" s="49" t="s">
        <v>1182</v>
      </c>
      <c r="G42" s="49" t="s">
        <v>1183</v>
      </c>
      <c r="K42" s="3">
        <f t="shared" si="8"/>
        <v>0</v>
      </c>
      <c r="L42" s="3">
        <f t="shared" si="8"/>
        <v>0.41370447848830705</v>
      </c>
      <c r="M42" s="3">
        <f t="shared" si="8"/>
        <v>0</v>
      </c>
      <c r="N42" s="3">
        <f t="shared" si="8"/>
        <v>0</v>
      </c>
    </row>
    <row r="43" spans="1:14" x14ac:dyDescent="0.25">
      <c r="A43" s="97" t="str">
        <f t="shared" ref="A43:A48" si="9">B6</f>
        <v>perry</v>
      </c>
      <c r="B43" s="95">
        <f>C28</f>
        <v>0</v>
      </c>
      <c r="C43" s="95">
        <f>E28</f>
        <v>0</v>
      </c>
      <c r="D43" s="95">
        <f>D28</f>
        <v>0.37762223617903912</v>
      </c>
      <c r="E43" s="95">
        <f>F28</f>
        <v>0.62237776382096088</v>
      </c>
      <c r="F43" s="106"/>
      <c r="G43" s="106"/>
      <c r="K43" s="3">
        <f t="shared" si="8"/>
        <v>0</v>
      </c>
      <c r="L43" s="3">
        <f t="shared" si="8"/>
        <v>0</v>
      </c>
      <c r="M43" s="3">
        <f t="shared" si="8"/>
        <v>0.37762223617903912</v>
      </c>
      <c r="N43" s="3">
        <f t="shared" si="8"/>
        <v>0</v>
      </c>
    </row>
    <row r="44" spans="1:14" x14ac:dyDescent="0.25">
      <c r="A44" s="93" t="str">
        <f t="shared" si="9"/>
        <v>aj</v>
      </c>
      <c r="B44" s="94">
        <f>C29</f>
        <v>0.41370447848830705</v>
      </c>
      <c r="C44" s="94">
        <f>E29</f>
        <v>0.58629552151169295</v>
      </c>
      <c r="D44" s="94">
        <f>D29</f>
        <v>0</v>
      </c>
      <c r="E44" s="94">
        <f>F29</f>
        <v>0</v>
      </c>
      <c r="F44" s="107"/>
      <c r="G44" s="107"/>
      <c r="K44" s="3">
        <f t="shared" si="8"/>
        <v>0.37896928464852753</v>
      </c>
      <c r="L44" s="3">
        <f t="shared" si="8"/>
        <v>0</v>
      </c>
      <c r="M44" s="3">
        <f t="shared" si="8"/>
        <v>0</v>
      </c>
      <c r="N44" s="3">
        <f t="shared" si="8"/>
        <v>0</v>
      </c>
    </row>
    <row r="45" spans="1:14" x14ac:dyDescent="0.25">
      <c r="A45" s="93" t="str">
        <f t="shared" si="9"/>
        <v>seth</v>
      </c>
      <c r="B45" s="94">
        <f>C30</f>
        <v>0</v>
      </c>
      <c r="C45" s="94">
        <f>E30</f>
        <v>0</v>
      </c>
      <c r="D45" s="107"/>
      <c r="E45" s="107"/>
      <c r="F45" s="94">
        <f>D30</f>
        <v>0.37896928464852753</v>
      </c>
      <c r="G45" s="94">
        <f>F30</f>
        <v>0.62103071535147247</v>
      </c>
    </row>
    <row r="46" spans="1:14" x14ac:dyDescent="0.25">
      <c r="A46" s="93" t="str">
        <f t="shared" si="9"/>
        <v>scott</v>
      </c>
      <c r="B46" s="94">
        <f>C31</f>
        <v>0.58629552151169295</v>
      </c>
      <c r="C46" s="94">
        <f>E31</f>
        <v>0.41370447848830705</v>
      </c>
      <c r="D46" s="107"/>
      <c r="E46" s="107"/>
      <c r="F46" s="94">
        <f>D31</f>
        <v>0</v>
      </c>
      <c r="G46" s="94">
        <f>F31</f>
        <v>0</v>
      </c>
    </row>
    <row r="47" spans="1:14" x14ac:dyDescent="0.25">
      <c r="A47" s="93" t="str">
        <f t="shared" si="9"/>
        <v>matty</v>
      </c>
      <c r="B47" s="107"/>
      <c r="C47" s="108"/>
      <c r="D47" s="94">
        <f>D32</f>
        <v>0.62237776382096088</v>
      </c>
      <c r="E47" s="94">
        <f>F32</f>
        <v>0.37762223617903912</v>
      </c>
      <c r="F47" s="94">
        <f>C32</f>
        <v>0</v>
      </c>
      <c r="G47" s="94">
        <f>E32</f>
        <v>0</v>
      </c>
    </row>
    <row r="48" spans="1:14" x14ac:dyDescent="0.25">
      <c r="A48" s="98" t="str">
        <f t="shared" si="9"/>
        <v>lucas</v>
      </c>
      <c r="B48" s="109"/>
      <c r="C48" s="110"/>
      <c r="D48" s="96">
        <f>D33</f>
        <v>0</v>
      </c>
      <c r="E48" s="96">
        <f>F33</f>
        <v>0</v>
      </c>
      <c r="F48" s="96">
        <f>C33</f>
        <v>0.62103071535147247</v>
      </c>
      <c r="G48" s="96">
        <f>E33</f>
        <v>0.37896928464852753</v>
      </c>
    </row>
    <row r="49" spans="1:9" ht="15.75" thickBot="1" x14ac:dyDescent="0.3">
      <c r="A49" s="71"/>
      <c r="B49" s="71"/>
      <c r="C49" s="71"/>
      <c r="D49" s="71"/>
      <c r="E49" s="71"/>
      <c r="F49" s="71"/>
      <c r="G49" s="71"/>
    </row>
    <row r="50" spans="1:9" x14ac:dyDescent="0.25">
      <c r="A50" s="71"/>
      <c r="B50" s="162">
        <f>I2</f>
        <v>0</v>
      </c>
      <c r="C50" s="163"/>
      <c r="D50" s="163">
        <f>I3</f>
        <v>1</v>
      </c>
      <c r="E50" s="164"/>
      <c r="F50" s="71"/>
      <c r="G50" s="71"/>
    </row>
    <row r="51" spans="1:9" x14ac:dyDescent="0.25">
      <c r="A51" s="71"/>
      <c r="B51" s="76" t="s">
        <v>16</v>
      </c>
      <c r="C51" s="158">
        <f>0.5-B50</f>
        <v>0.5</v>
      </c>
      <c r="D51" s="159"/>
      <c r="E51" s="77" t="s">
        <v>27</v>
      </c>
      <c r="F51" s="71"/>
      <c r="G51" s="71"/>
    </row>
    <row r="52" spans="1:9" x14ac:dyDescent="0.25">
      <c r="A52" s="71"/>
      <c r="B52" s="78">
        <f>D2</f>
        <v>116.51999999999998</v>
      </c>
      <c r="C52" s="160" t="s">
        <v>1186</v>
      </c>
      <c r="D52" s="160"/>
      <c r="E52" s="79">
        <f>D3</f>
        <v>112.34</v>
      </c>
      <c r="F52" s="71"/>
      <c r="G52" s="71"/>
    </row>
    <row r="53" spans="1:9" x14ac:dyDescent="0.25">
      <c r="A53" s="71"/>
      <c r="B53" s="78">
        <f>E2</f>
        <v>101.05999999999997</v>
      </c>
      <c r="C53" s="160" t="s">
        <v>1187</v>
      </c>
      <c r="D53" s="160"/>
      <c r="E53" s="79">
        <f>E3</f>
        <v>100.28</v>
      </c>
      <c r="F53" s="71"/>
      <c r="G53" s="71"/>
    </row>
    <row r="54" spans="1:9" x14ac:dyDescent="0.25">
      <c r="A54" s="71"/>
      <c r="B54" s="78">
        <f>B52+B53</f>
        <v>217.57999999999996</v>
      </c>
      <c r="C54" s="160" t="s">
        <v>1188</v>
      </c>
      <c r="D54" s="160"/>
      <c r="E54" s="79">
        <f>E52+E53</f>
        <v>212.62</v>
      </c>
      <c r="F54" s="71"/>
      <c r="G54" s="71"/>
    </row>
    <row r="55" spans="1:9" x14ac:dyDescent="0.25">
      <c r="A55" s="71"/>
      <c r="B55" s="80">
        <f>K2</f>
        <v>0.39180694274291217</v>
      </c>
      <c r="C55" s="81" t="s">
        <v>1184</v>
      </c>
      <c r="D55" s="82" t="s">
        <v>1184</v>
      </c>
      <c r="E55" s="83">
        <f>K3</f>
        <v>0.43122390779635933</v>
      </c>
      <c r="F55" s="71"/>
      <c r="G55" s="71"/>
      <c r="I55" s="56"/>
    </row>
    <row r="56" spans="1:9" ht="15.75" thickBot="1" x14ac:dyDescent="0.3">
      <c r="A56" s="71"/>
      <c r="B56" s="84">
        <f>L2</f>
        <v>0.40167193625731756</v>
      </c>
      <c r="C56" s="85" t="s">
        <v>1185</v>
      </c>
      <c r="D56" s="86" t="s">
        <v>1185</v>
      </c>
      <c r="E56" s="87">
        <f>L3</f>
        <v>0.44238810677655332</v>
      </c>
      <c r="F56" s="71"/>
      <c r="G56" s="71"/>
    </row>
    <row r="57" spans="1:9" ht="15.75" thickBot="1" x14ac:dyDescent="0.3">
      <c r="A57" s="71"/>
      <c r="B57" s="71"/>
      <c r="C57" s="71"/>
      <c r="D57" s="71"/>
      <c r="E57" s="71"/>
      <c r="F57" s="71"/>
      <c r="G57" s="71"/>
    </row>
    <row r="58" spans="1:9" x14ac:dyDescent="0.25">
      <c r="A58" s="71"/>
      <c r="B58" s="162">
        <f>I4</f>
        <v>0</v>
      </c>
      <c r="C58" s="163"/>
      <c r="D58" s="163">
        <f>I5</f>
        <v>1</v>
      </c>
      <c r="E58" s="164"/>
      <c r="F58" s="71"/>
      <c r="G58" s="71"/>
    </row>
    <row r="59" spans="1:9" x14ac:dyDescent="0.25">
      <c r="A59" s="71"/>
      <c r="B59" s="76" t="s">
        <v>62</v>
      </c>
      <c r="C59" s="158">
        <f>0.5-B58</f>
        <v>0.5</v>
      </c>
      <c r="D59" s="159"/>
      <c r="E59" s="77" t="s">
        <v>35</v>
      </c>
      <c r="F59" s="71"/>
      <c r="G59" s="71"/>
    </row>
    <row r="60" spans="1:9" x14ac:dyDescent="0.25">
      <c r="A60" s="71"/>
      <c r="B60" s="78">
        <f>D4</f>
        <v>120.25</v>
      </c>
      <c r="C60" s="160" t="s">
        <v>1186</v>
      </c>
      <c r="D60" s="160"/>
      <c r="E60" s="79">
        <f>D5</f>
        <v>100.35000000000001</v>
      </c>
      <c r="F60" s="71"/>
      <c r="G60" s="71"/>
    </row>
    <row r="61" spans="1:9" x14ac:dyDescent="0.25">
      <c r="A61" s="71"/>
      <c r="B61" s="78">
        <f>E4</f>
        <v>118.66</v>
      </c>
      <c r="C61" s="160" t="s">
        <v>1187</v>
      </c>
      <c r="D61" s="160"/>
      <c r="E61" s="79">
        <f>E5</f>
        <v>105.62</v>
      </c>
      <c r="F61" s="71"/>
      <c r="G61" s="71"/>
    </row>
    <row r="62" spans="1:9" x14ac:dyDescent="0.25">
      <c r="A62" s="71"/>
      <c r="B62" s="78">
        <f>B60+B61</f>
        <v>238.91</v>
      </c>
      <c r="C62" s="160" t="s">
        <v>1188</v>
      </c>
      <c r="D62" s="160"/>
      <c r="E62" s="79">
        <f>E60+E61</f>
        <v>205.97000000000003</v>
      </c>
      <c r="F62" s="71"/>
      <c r="G62" s="71"/>
    </row>
    <row r="63" spans="1:9" x14ac:dyDescent="0.25">
      <c r="A63" s="71"/>
      <c r="B63" s="80">
        <f>K4</f>
        <v>0.60819305725708783</v>
      </c>
      <c r="C63" s="81" t="s">
        <v>1189</v>
      </c>
      <c r="D63" s="82" t="s">
        <v>1189</v>
      </c>
      <c r="E63" s="83">
        <f>K5</f>
        <v>0.59832806374268244</v>
      </c>
      <c r="F63" s="71"/>
      <c r="G63" s="71"/>
    </row>
    <row r="64" spans="1:9" ht="15.75" thickBot="1" x14ac:dyDescent="0.3">
      <c r="A64" s="71"/>
      <c r="B64" s="84">
        <f>L4</f>
        <v>0.56877609220364067</v>
      </c>
      <c r="C64" s="85" t="s">
        <v>1190</v>
      </c>
      <c r="D64" s="86" t="s">
        <v>1190</v>
      </c>
      <c r="E64" s="87">
        <f>L5</f>
        <v>0.55761189322344662</v>
      </c>
      <c r="F64" s="71"/>
      <c r="G64" s="71"/>
    </row>
    <row r="65" spans="1:11" ht="15.75" thickBot="1" x14ac:dyDescent="0.3">
      <c r="A65" s="71"/>
      <c r="B65" s="72"/>
      <c r="C65" s="73"/>
      <c r="D65" s="74"/>
      <c r="E65" s="75"/>
      <c r="F65" s="71"/>
      <c r="G65" s="71"/>
    </row>
    <row r="66" spans="1:11" x14ac:dyDescent="0.25">
      <c r="A66" s="71"/>
      <c r="B66" s="162">
        <f>I6</f>
        <v>0</v>
      </c>
      <c r="C66" s="163"/>
      <c r="D66" s="163">
        <f>I7</f>
        <v>1</v>
      </c>
      <c r="E66" s="164"/>
      <c r="F66" s="71"/>
      <c r="G66" s="71"/>
    </row>
    <row r="67" spans="1:11" x14ac:dyDescent="0.25">
      <c r="A67" s="71"/>
      <c r="B67" s="76" t="s">
        <v>23</v>
      </c>
      <c r="C67" s="158">
        <f>0.5-B66</f>
        <v>0.5</v>
      </c>
      <c r="D67" s="159"/>
      <c r="E67" s="77" t="s">
        <v>55</v>
      </c>
      <c r="F67" s="71"/>
      <c r="G67" s="71"/>
    </row>
    <row r="68" spans="1:11" x14ac:dyDescent="0.25">
      <c r="A68" s="71"/>
      <c r="B68" s="78">
        <f>D6</f>
        <v>112.92999999999999</v>
      </c>
      <c r="C68" s="160" t="s">
        <v>1186</v>
      </c>
      <c r="D68" s="160"/>
      <c r="E68" s="79">
        <f>D7</f>
        <v>112.93000000000002</v>
      </c>
      <c r="F68" s="71"/>
      <c r="G68" s="71"/>
    </row>
    <row r="69" spans="1:11" x14ac:dyDescent="0.25">
      <c r="A69" s="71"/>
      <c r="B69" s="78">
        <f>E6</f>
        <v>101.57</v>
      </c>
      <c r="C69" s="160" t="s">
        <v>1187</v>
      </c>
      <c r="D69" s="160"/>
      <c r="E69" s="79">
        <f>E7</f>
        <v>116.43999999999998</v>
      </c>
      <c r="F69" s="71"/>
      <c r="G69" s="71"/>
      <c r="J69" s="69"/>
      <c r="K69" s="70"/>
    </row>
    <row r="70" spans="1:11" ht="15.75" thickBot="1" x14ac:dyDescent="0.3">
      <c r="A70" s="71"/>
      <c r="B70" s="88">
        <f>B68+B69</f>
        <v>214.5</v>
      </c>
      <c r="C70" s="161" t="s">
        <v>1188</v>
      </c>
      <c r="D70" s="161"/>
      <c r="E70" s="89">
        <f>E68+E69</f>
        <v>229.37</v>
      </c>
      <c r="F70" s="71"/>
      <c r="G70" s="71"/>
      <c r="J70" s="69"/>
      <c r="K70" s="70"/>
    </row>
    <row r="71" spans="1:11" ht="15.75" thickBot="1" x14ac:dyDescent="0.3">
      <c r="A71" s="71"/>
      <c r="B71" s="72"/>
      <c r="C71" s="73"/>
      <c r="D71" s="74"/>
      <c r="E71" s="75"/>
      <c r="F71" s="71"/>
      <c r="G71" s="71"/>
      <c r="J71" s="69"/>
      <c r="K71" s="70"/>
    </row>
    <row r="72" spans="1:11" x14ac:dyDescent="0.25">
      <c r="A72" s="71"/>
      <c r="B72" s="162">
        <f>I8</f>
        <v>0</v>
      </c>
      <c r="C72" s="163"/>
      <c r="D72" s="163">
        <f>I9</f>
        <v>1</v>
      </c>
      <c r="E72" s="164"/>
      <c r="F72" s="71"/>
      <c r="G72" s="71"/>
    </row>
    <row r="73" spans="1:11" x14ac:dyDescent="0.25">
      <c r="A73" s="71"/>
      <c r="B73" s="76" t="s">
        <v>44</v>
      </c>
      <c r="C73" s="158">
        <f>0.5-B72</f>
        <v>0.5</v>
      </c>
      <c r="D73" s="159"/>
      <c r="E73" s="77" t="s">
        <v>20</v>
      </c>
      <c r="F73" s="71"/>
      <c r="G73" s="71"/>
    </row>
    <row r="74" spans="1:11" x14ac:dyDescent="0.25">
      <c r="A74" s="71"/>
      <c r="B74" s="78">
        <f>D8</f>
        <v>97.990000000000009</v>
      </c>
      <c r="C74" s="160" t="s">
        <v>1186</v>
      </c>
      <c r="D74" s="160"/>
      <c r="E74" s="79">
        <f>D9</f>
        <v>115.45</v>
      </c>
      <c r="F74" s="71"/>
      <c r="G74" s="71"/>
    </row>
    <row r="75" spans="1:11" x14ac:dyDescent="0.25">
      <c r="A75" s="71"/>
      <c r="B75" s="78">
        <f>E8</f>
        <v>103.83</v>
      </c>
      <c r="C75" s="160" t="s">
        <v>1187</v>
      </c>
      <c r="D75" s="160"/>
      <c r="E75" s="79">
        <f>E9</f>
        <v>110.38999999999999</v>
      </c>
      <c r="F75" s="71"/>
      <c r="G75" s="71"/>
    </row>
    <row r="76" spans="1:11" ht="15.75" thickBot="1" x14ac:dyDescent="0.3">
      <c r="A76" s="71"/>
      <c r="B76" s="88">
        <f>B74+B75</f>
        <v>201.82</v>
      </c>
      <c r="C76" s="161" t="s">
        <v>1188</v>
      </c>
      <c r="D76" s="161"/>
      <c r="E76" s="89">
        <f>E74+E75</f>
        <v>225.83999999999997</v>
      </c>
      <c r="F76" s="71"/>
      <c r="G76" s="71"/>
    </row>
    <row r="77" spans="1:11" ht="15.75" thickBot="1" x14ac:dyDescent="0.3">
      <c r="A77" s="71"/>
      <c r="B77" s="90"/>
      <c r="C77" s="71"/>
      <c r="D77" s="71"/>
      <c r="E77" s="71"/>
      <c r="F77" s="71"/>
      <c r="G77" s="71"/>
    </row>
    <row r="78" spans="1:11" x14ac:dyDescent="0.25">
      <c r="A78" s="71"/>
      <c r="B78" s="162">
        <f>I10</f>
        <v>1</v>
      </c>
      <c r="C78" s="163"/>
      <c r="D78" s="163">
        <f>I11</f>
        <v>0</v>
      </c>
      <c r="E78" s="164"/>
      <c r="F78" s="71"/>
      <c r="G78" s="71"/>
    </row>
    <row r="79" spans="1:11" x14ac:dyDescent="0.25">
      <c r="A79" s="71"/>
      <c r="B79" s="76" t="s">
        <v>49</v>
      </c>
      <c r="C79" s="158">
        <f>0.5-B78</f>
        <v>-0.5</v>
      </c>
      <c r="D79" s="159"/>
      <c r="E79" s="77" t="s">
        <v>40</v>
      </c>
      <c r="F79" s="71"/>
      <c r="G79" s="71"/>
    </row>
    <row r="80" spans="1:11" x14ac:dyDescent="0.25">
      <c r="A80" s="71"/>
      <c r="B80" s="78">
        <f>D10</f>
        <v>115.36999999999999</v>
      </c>
      <c r="C80" s="160" t="s">
        <v>1186</v>
      </c>
      <c r="D80" s="160"/>
      <c r="E80" s="79">
        <f>D11</f>
        <v>104.02000000000001</v>
      </c>
      <c r="F80" s="71"/>
      <c r="G80" s="71"/>
    </row>
    <row r="81" spans="1:7" x14ac:dyDescent="0.25">
      <c r="A81" s="71"/>
      <c r="B81" s="78">
        <f>E10</f>
        <v>122.25000000000001</v>
      </c>
      <c r="C81" s="160" t="s">
        <v>1187</v>
      </c>
      <c r="D81" s="160"/>
      <c r="E81" s="79">
        <f>E11</f>
        <v>104.10999999999999</v>
      </c>
      <c r="F81" s="71"/>
      <c r="G81" s="71"/>
    </row>
    <row r="82" spans="1:7" ht="15.75" thickBot="1" x14ac:dyDescent="0.3">
      <c r="A82" s="71"/>
      <c r="B82" s="88">
        <f>B80+B81</f>
        <v>237.62</v>
      </c>
      <c r="C82" s="161" t="s">
        <v>1188</v>
      </c>
      <c r="D82" s="161"/>
      <c r="E82" s="89">
        <f>E80+E81</f>
        <v>208.13</v>
      </c>
      <c r="F82" s="71"/>
      <c r="G82" s="71"/>
    </row>
    <row r="83" spans="1:7" x14ac:dyDescent="0.25">
      <c r="B83" s="9"/>
    </row>
    <row r="85" spans="1:7" x14ac:dyDescent="0.25">
      <c r="B85" s="9"/>
    </row>
    <row r="86" spans="1:7" x14ac:dyDescent="0.25">
      <c r="B86" s="9"/>
    </row>
    <row r="87" spans="1:7" x14ac:dyDescent="0.25">
      <c r="B87" s="9"/>
    </row>
  </sheetData>
  <mergeCells count="30">
    <mergeCell ref="C60:D60"/>
    <mergeCell ref="C61:D61"/>
    <mergeCell ref="C62:D62"/>
    <mergeCell ref="B50:C50"/>
    <mergeCell ref="D50:E50"/>
    <mergeCell ref="B58:C58"/>
    <mergeCell ref="D58:E58"/>
    <mergeCell ref="C51:D51"/>
    <mergeCell ref="C52:D52"/>
    <mergeCell ref="C53:D53"/>
    <mergeCell ref="C54:D54"/>
    <mergeCell ref="C59:D59"/>
    <mergeCell ref="B72:C72"/>
    <mergeCell ref="D72:E72"/>
    <mergeCell ref="B66:C66"/>
    <mergeCell ref="D66:E66"/>
    <mergeCell ref="C67:D67"/>
    <mergeCell ref="C68:D68"/>
    <mergeCell ref="C69:D69"/>
    <mergeCell ref="C70:D70"/>
    <mergeCell ref="C79:D79"/>
    <mergeCell ref="C80:D80"/>
    <mergeCell ref="C81:D81"/>
    <mergeCell ref="C82:D82"/>
    <mergeCell ref="C73:D73"/>
    <mergeCell ref="C74:D74"/>
    <mergeCell ref="C75:D75"/>
    <mergeCell ref="C76:D76"/>
    <mergeCell ref="B78:C78"/>
    <mergeCell ref="D78:E78"/>
  </mergeCells>
  <conditionalFormatting sqref="B37:E40 B43:G48">
    <cfRule type="dataBar" priority="21">
      <dataBar>
        <cfvo type="num" val="0"/>
        <cfvo type="num" val="1"/>
        <color rgb="FF63C384"/>
      </dataBar>
      <extLst>
        <ext xmlns:x14="http://schemas.microsoft.com/office/spreadsheetml/2009/9/main" uri="{B025F937-C7B1-47D3-B67F-A62EFF666E3E}">
          <x14:id>{AFF8C2A4-EC71-4328-8EAA-DF7BAD056638}</x14:id>
        </ext>
      </extLst>
    </cfRule>
  </conditionalFormatting>
  <conditionalFormatting sqref="K69:K71">
    <cfRule type="dataBar" priority="19">
      <dataBar>
        <cfvo type="num" val="0"/>
        <cfvo type="num" val="1"/>
        <color rgb="FFFF555A"/>
      </dataBar>
      <extLst>
        <ext xmlns:x14="http://schemas.microsoft.com/office/spreadsheetml/2009/9/main" uri="{B025F937-C7B1-47D3-B67F-A62EFF666E3E}">
          <x14:id>{680B0542-9CC7-4805-B1F6-9CC83176C155}</x14:id>
        </ext>
      </extLst>
    </cfRule>
  </conditionalFormatting>
  <conditionalFormatting sqref="B55:B56">
    <cfRule type="dataBar" priority="17">
      <dataBar>
        <cfvo type="num" val="0"/>
        <cfvo type="num" val="1"/>
        <color rgb="FFFF555A"/>
      </dataBar>
      <extLst>
        <ext xmlns:x14="http://schemas.microsoft.com/office/spreadsheetml/2009/9/main" uri="{B025F937-C7B1-47D3-B67F-A62EFF666E3E}">
          <x14:id>{6994D7BD-7EF0-456F-B350-AEFD6A7483EB}</x14:id>
        </ext>
      </extLst>
    </cfRule>
  </conditionalFormatting>
  <conditionalFormatting sqref="E55:E56">
    <cfRule type="dataBar" priority="16">
      <dataBar>
        <cfvo type="num" val="0"/>
        <cfvo type="num" val="1"/>
        <color rgb="FFFF555A"/>
      </dataBar>
      <extLst>
        <ext xmlns:x14="http://schemas.microsoft.com/office/spreadsheetml/2009/9/main" uri="{B025F937-C7B1-47D3-B67F-A62EFF666E3E}">
          <x14:id>{F28223BE-465B-403F-B0BC-12C0C3D1D9B1}</x14:id>
        </ext>
      </extLst>
    </cfRule>
  </conditionalFormatting>
  <conditionalFormatting sqref="B63:B65 B71">
    <cfRule type="dataBar" priority="14">
      <dataBar>
        <cfvo type="num" val="0"/>
        <cfvo type="num" val="1"/>
        <color rgb="FFFF555A"/>
      </dataBar>
      <extLst>
        <ext xmlns:x14="http://schemas.microsoft.com/office/spreadsheetml/2009/9/main" uri="{B025F937-C7B1-47D3-B67F-A62EFF666E3E}">
          <x14:id>{58D05D36-C11B-495D-B42D-F1BF7A0AB0B1}</x14:id>
        </ext>
      </extLst>
    </cfRule>
  </conditionalFormatting>
  <conditionalFormatting sqref="E63:E65 E71">
    <cfRule type="dataBar" priority="13">
      <dataBar>
        <cfvo type="num" val="0"/>
        <cfvo type="num" val="1"/>
        <color rgb="FFFF555A"/>
      </dataBar>
      <extLst>
        <ext xmlns:x14="http://schemas.microsoft.com/office/spreadsheetml/2009/9/main" uri="{B025F937-C7B1-47D3-B67F-A62EFF666E3E}">
          <x14:id>{865384A0-AF56-4D56-874E-C87456492B52}</x14:id>
        </ext>
      </extLst>
    </cfRule>
  </conditionalFormatting>
  <conditionalFormatting sqref="C79:D79">
    <cfRule type="dataBar" priority="9">
      <dataBar>
        <cfvo type="num" val="-0.5"/>
        <cfvo type="num" val="0.5"/>
        <color rgb="FF63C384"/>
      </dataBar>
      <extLst>
        <ext xmlns:x14="http://schemas.microsoft.com/office/spreadsheetml/2009/9/main" uri="{B025F937-C7B1-47D3-B67F-A62EFF666E3E}">
          <x14:id>{E9CD9A49-F35E-4961-BD30-0588AB54E1BD}</x14:id>
        </ext>
      </extLst>
    </cfRule>
  </conditionalFormatting>
  <conditionalFormatting sqref="C73:D73">
    <cfRule type="dataBar" priority="4">
      <dataBar>
        <cfvo type="num" val="-0.5"/>
        <cfvo type="num" val="0.5"/>
        <color rgb="FF63C384"/>
      </dataBar>
      <extLst>
        <ext xmlns:x14="http://schemas.microsoft.com/office/spreadsheetml/2009/9/main" uri="{B025F937-C7B1-47D3-B67F-A62EFF666E3E}">
          <x14:id>{2A694A2B-EF8C-4251-BA01-74FFED6A6CCB}</x14:id>
        </ext>
      </extLst>
    </cfRule>
  </conditionalFormatting>
  <conditionalFormatting sqref="C67:D67">
    <cfRule type="dataBar" priority="3">
      <dataBar>
        <cfvo type="num" val="-0.5"/>
        <cfvo type="num" val="0.5"/>
        <color rgb="FF63C384"/>
      </dataBar>
      <extLst>
        <ext xmlns:x14="http://schemas.microsoft.com/office/spreadsheetml/2009/9/main" uri="{B025F937-C7B1-47D3-B67F-A62EFF666E3E}">
          <x14:id>{72E8362B-5797-4CF6-AC40-045EF261B98B}</x14:id>
        </ext>
      </extLst>
    </cfRule>
  </conditionalFormatting>
  <conditionalFormatting sqref="C59:D59">
    <cfRule type="dataBar" priority="2">
      <dataBar>
        <cfvo type="num" val="-0.5"/>
        <cfvo type="num" val="0.5"/>
        <color rgb="FF63C384"/>
      </dataBar>
      <extLst>
        <ext xmlns:x14="http://schemas.microsoft.com/office/spreadsheetml/2009/9/main" uri="{B025F937-C7B1-47D3-B67F-A62EFF666E3E}">
          <x14:id>{157DA5E8-F3C4-41A6-8636-0DD9540A9357}</x14:id>
        </ext>
      </extLst>
    </cfRule>
  </conditionalFormatting>
  <conditionalFormatting sqref="C51:D51">
    <cfRule type="dataBar" priority="1">
      <dataBar>
        <cfvo type="num" val="-0.5"/>
        <cfvo type="num" val="0.5"/>
        <color rgb="FF63C384"/>
      </dataBar>
      <extLst>
        <ext xmlns:x14="http://schemas.microsoft.com/office/spreadsheetml/2009/9/main" uri="{B025F937-C7B1-47D3-B67F-A62EFF666E3E}">
          <x14:id>{769E63DE-9602-470B-85F9-DF550A394AEC}</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AFF8C2A4-EC71-4328-8EAA-DF7BAD056638}">
            <x14:dataBar minLength="0" maxLength="100" border="1" direction="leftToRight" negativeBarBorderColorSameAsPositive="0">
              <x14:cfvo type="num">
                <xm:f>0</xm:f>
              </x14:cfvo>
              <x14:cfvo type="num">
                <xm:f>1</xm:f>
              </x14:cfvo>
              <x14:borderColor rgb="FF63C384"/>
              <x14:negativeFillColor rgb="FFFF0000"/>
              <x14:negativeBorderColor rgb="FFFF0000"/>
              <x14:axisColor rgb="FF000000"/>
            </x14:dataBar>
          </x14:cfRule>
          <xm:sqref>B37:E40 B43:G48</xm:sqref>
        </x14:conditionalFormatting>
        <x14:conditionalFormatting xmlns:xm="http://schemas.microsoft.com/office/excel/2006/main">
          <x14:cfRule type="dataBar" id="{680B0542-9CC7-4805-B1F6-9CC83176C155}">
            <x14:dataBar minLength="0" maxLength="100" border="1" negativeBarBorderColorSameAsPositive="0">
              <x14:cfvo type="num">
                <xm:f>0</xm:f>
              </x14:cfvo>
              <x14:cfvo type="num">
                <xm:f>1</xm:f>
              </x14:cfvo>
              <x14:borderColor rgb="FFFF555A"/>
              <x14:negativeFillColor rgb="FFFF0000"/>
              <x14:negativeBorderColor rgb="FFFF0000"/>
              <x14:axisColor rgb="FF000000"/>
            </x14:dataBar>
          </x14:cfRule>
          <xm:sqref>K69:K71</xm:sqref>
        </x14:conditionalFormatting>
        <x14:conditionalFormatting xmlns:xm="http://schemas.microsoft.com/office/excel/2006/main">
          <x14:cfRule type="dataBar" id="{6994D7BD-7EF0-456F-B350-AEFD6A7483EB}">
            <x14:dataBar minLength="0" maxLength="100" border="1" direction="rightToLeft" negativeBarBorderColorSameAsPositive="0">
              <x14:cfvo type="num">
                <xm:f>0</xm:f>
              </x14:cfvo>
              <x14:cfvo type="num">
                <xm:f>1</xm:f>
              </x14:cfvo>
              <x14:borderColor rgb="FFFF555A"/>
              <x14:negativeFillColor rgb="FFFF0000"/>
              <x14:negativeBorderColor rgb="FFFF0000"/>
              <x14:axisColor rgb="FF000000"/>
            </x14:dataBar>
          </x14:cfRule>
          <xm:sqref>B55:B56</xm:sqref>
        </x14:conditionalFormatting>
        <x14:conditionalFormatting xmlns:xm="http://schemas.microsoft.com/office/excel/2006/main">
          <x14:cfRule type="dataBar" id="{F28223BE-465B-403F-B0BC-12C0C3D1D9B1}">
            <x14:dataBar minLength="0" maxLength="100" border="1" direction="leftToRight" negativeBarBorderColorSameAsPositive="0">
              <x14:cfvo type="num">
                <xm:f>0</xm:f>
              </x14:cfvo>
              <x14:cfvo type="num">
                <xm:f>1</xm:f>
              </x14:cfvo>
              <x14:borderColor rgb="FFFF555A"/>
              <x14:negativeFillColor rgb="FFFF0000"/>
              <x14:negativeBorderColor rgb="FFFF0000"/>
              <x14:axisColor rgb="FF000000"/>
            </x14:dataBar>
          </x14:cfRule>
          <xm:sqref>E55:E56</xm:sqref>
        </x14:conditionalFormatting>
        <x14:conditionalFormatting xmlns:xm="http://schemas.microsoft.com/office/excel/2006/main">
          <x14:cfRule type="dataBar" id="{58D05D36-C11B-495D-B42D-F1BF7A0AB0B1}">
            <x14:dataBar minLength="0" maxLength="100" border="1" direction="rightToLeft" negativeBarBorderColorSameAsPositive="0">
              <x14:cfvo type="num">
                <xm:f>0</xm:f>
              </x14:cfvo>
              <x14:cfvo type="num">
                <xm:f>1</xm:f>
              </x14:cfvo>
              <x14:borderColor rgb="FFFF555A"/>
              <x14:negativeFillColor rgb="FFFF0000"/>
              <x14:negativeBorderColor rgb="FFFF0000"/>
              <x14:axisColor rgb="FF000000"/>
            </x14:dataBar>
          </x14:cfRule>
          <xm:sqref>B63:B65 B71</xm:sqref>
        </x14:conditionalFormatting>
        <x14:conditionalFormatting xmlns:xm="http://schemas.microsoft.com/office/excel/2006/main">
          <x14:cfRule type="dataBar" id="{865384A0-AF56-4D56-874E-C87456492B52}">
            <x14:dataBar minLength="0" maxLength="100" border="1" direction="leftToRight" negativeBarBorderColorSameAsPositive="0">
              <x14:cfvo type="num">
                <xm:f>0</xm:f>
              </x14:cfvo>
              <x14:cfvo type="num">
                <xm:f>1</xm:f>
              </x14:cfvo>
              <x14:borderColor rgb="FFFF555A"/>
              <x14:negativeFillColor rgb="FFFF0000"/>
              <x14:negativeBorderColor rgb="FFFF0000"/>
              <x14:axisColor rgb="FF000000"/>
            </x14:dataBar>
          </x14:cfRule>
          <xm:sqref>E63:E65 E71</xm:sqref>
        </x14:conditionalFormatting>
        <x14:conditionalFormatting xmlns:xm="http://schemas.microsoft.com/office/excel/2006/main">
          <x14:cfRule type="dataBar" id="{E9CD9A49-F35E-4961-BD30-0588AB54E1BD}">
            <x14:dataBar minLength="0" maxLength="100" border="1" negativeBarColorSameAsPositive="1" axisPosition="middle">
              <x14:cfvo type="num">
                <xm:f>-0.5</xm:f>
              </x14:cfvo>
              <x14:cfvo type="num">
                <xm:f>0.5</xm:f>
              </x14:cfvo>
              <x14:borderColor rgb="FF63C384"/>
              <x14:axisColor rgb="FF000000"/>
            </x14:dataBar>
          </x14:cfRule>
          <xm:sqref>C79:D79</xm:sqref>
        </x14:conditionalFormatting>
        <x14:conditionalFormatting xmlns:xm="http://schemas.microsoft.com/office/excel/2006/main">
          <x14:cfRule type="dataBar" id="{2A694A2B-EF8C-4251-BA01-74FFED6A6CCB}">
            <x14:dataBar minLength="0" maxLength="100" border="1" negativeBarColorSameAsPositive="1" axisPosition="middle">
              <x14:cfvo type="num">
                <xm:f>-0.5</xm:f>
              </x14:cfvo>
              <x14:cfvo type="num">
                <xm:f>0.5</xm:f>
              </x14:cfvo>
              <x14:borderColor rgb="FF63C384"/>
              <x14:axisColor rgb="FF000000"/>
            </x14:dataBar>
          </x14:cfRule>
          <xm:sqref>C73:D73</xm:sqref>
        </x14:conditionalFormatting>
        <x14:conditionalFormatting xmlns:xm="http://schemas.microsoft.com/office/excel/2006/main">
          <x14:cfRule type="dataBar" id="{72E8362B-5797-4CF6-AC40-045EF261B98B}">
            <x14:dataBar minLength="0" maxLength="100" border="1" negativeBarColorSameAsPositive="1" axisPosition="middle">
              <x14:cfvo type="num">
                <xm:f>-0.5</xm:f>
              </x14:cfvo>
              <x14:cfvo type="num">
                <xm:f>0.5</xm:f>
              </x14:cfvo>
              <x14:borderColor rgb="FF63C384"/>
              <x14:axisColor rgb="FF000000"/>
            </x14:dataBar>
          </x14:cfRule>
          <xm:sqref>C67:D67</xm:sqref>
        </x14:conditionalFormatting>
        <x14:conditionalFormatting xmlns:xm="http://schemas.microsoft.com/office/excel/2006/main">
          <x14:cfRule type="dataBar" id="{157DA5E8-F3C4-41A6-8636-0DD9540A9357}">
            <x14:dataBar minLength="0" maxLength="100" border="1" negativeBarColorSameAsPositive="1" axisPosition="middle">
              <x14:cfvo type="num">
                <xm:f>-0.5</xm:f>
              </x14:cfvo>
              <x14:cfvo type="num">
                <xm:f>0.5</xm:f>
              </x14:cfvo>
              <x14:borderColor rgb="FF63C384"/>
              <x14:axisColor rgb="FF000000"/>
            </x14:dataBar>
          </x14:cfRule>
          <xm:sqref>C59:D59</xm:sqref>
        </x14:conditionalFormatting>
        <x14:conditionalFormatting xmlns:xm="http://schemas.microsoft.com/office/excel/2006/main">
          <x14:cfRule type="dataBar" id="{769E63DE-9602-470B-85F9-DF550A394AEC}">
            <x14:dataBar minLength="0" maxLength="100" border="1" negativeBarColorSameAsPositive="1" axisPosition="middle">
              <x14:cfvo type="num">
                <xm:f>-0.5</xm:f>
              </x14:cfvo>
              <x14:cfvo type="num">
                <xm:f>0.5</xm:f>
              </x14:cfvo>
              <x14:borderColor rgb="FF63C384"/>
              <x14:axisColor rgb="FF000000"/>
            </x14:dataBar>
          </x14:cfRule>
          <xm:sqref>C51:D51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M66"/>
  <sheetViews>
    <sheetView workbookViewId="0">
      <selection activeCell="M4" sqref="M4"/>
    </sheetView>
  </sheetViews>
  <sheetFormatPr defaultRowHeight="15" x14ac:dyDescent="0.25"/>
  <cols>
    <col min="5" max="6" width="12.140625" bestFit="1" customWidth="1"/>
    <col min="7" max="8" width="10.28515625" bestFit="1" customWidth="1"/>
    <col min="9" max="9" width="10.85546875" bestFit="1" customWidth="1"/>
    <col min="11" max="12" width="10.85546875" bestFit="1" customWidth="1"/>
  </cols>
  <sheetData>
    <row r="1" spans="1:13" x14ac:dyDescent="0.25">
      <c r="A1" t="s">
        <v>987</v>
      </c>
      <c r="B1" t="s">
        <v>1</v>
      </c>
      <c r="C1" t="s">
        <v>988</v>
      </c>
      <c r="D1" t="s">
        <v>989</v>
      </c>
      <c r="E1" t="s">
        <v>990</v>
      </c>
      <c r="F1" t="s">
        <v>991</v>
      </c>
      <c r="G1" t="s">
        <v>992</v>
      </c>
      <c r="H1" t="s">
        <v>993</v>
      </c>
      <c r="I1" t="s">
        <v>994</v>
      </c>
      <c r="J1" t="s">
        <v>995</v>
      </c>
      <c r="K1" t="s">
        <v>996</v>
      </c>
      <c r="L1" t="s">
        <v>997</v>
      </c>
      <c r="M1" t="s">
        <v>900</v>
      </c>
    </row>
    <row r="2" spans="1:13" x14ac:dyDescent="0.25">
      <c r="A2">
        <v>1</v>
      </c>
      <c r="B2">
        <f>INDEX(Scores!$Y$2:$Y$131,MATCH($A2,Scores!$AC$2:$AC$131,0))</f>
        <v>1</v>
      </c>
      <c r="C2">
        <f>INDEX(Scores!$Z$2:$Z$131,MATCH($A2,Scores!$AC$2:$AC$131,0))</f>
        <v>1</v>
      </c>
      <c r="D2">
        <f>INDEX(Scores!$AA$2:$AA$131,MATCH($A2,Scores!$AC$2:$AC$131,0))</f>
        <v>3</v>
      </c>
      <c r="E2">
        <f>INDEX(Scores!$B$2:$T$11,$C2,$B2)</f>
        <v>111.89999999999999</v>
      </c>
      <c r="F2">
        <f>INDEX(Scores!$B$2:$T$11,$D2,$B2)</f>
        <v>145.39999999999998</v>
      </c>
      <c r="G2">
        <f>INDEX(Scores!$B$13:$T$22,$C2,$B2)</f>
        <v>0</v>
      </c>
      <c r="H2">
        <f>INDEX(Scores!$B$13:$T$22,$D2,$B2)</f>
        <v>0</v>
      </c>
      <c r="I2">
        <f>F2-E2</f>
        <v>33.499999999999986</v>
      </c>
      <c r="J2">
        <f>SQRT(G2+H2)</f>
        <v>0</v>
      </c>
      <c r="K2">
        <f>IFERROR(_xlfn.NORM.DIST(-0.25,I2,J2,TRUE),IF(I2&gt;=0,0,1))</f>
        <v>0</v>
      </c>
      <c r="L2">
        <f>IFERROR(_xlfn.NORM.DIST(-0.25,-I2,J2,TRUE),IF(I2&lt;=0,0,1))</f>
        <v>1</v>
      </c>
      <c r="M2">
        <f>IFERROR(_xlfn.NORM.DIST(0.25,I2,J2,TRUE)-_xlfn.NORM.DIST(-0.25,I2,J2,TRUE),IF(I2=0,1,0))</f>
        <v>0</v>
      </c>
    </row>
    <row r="3" spans="1:13" x14ac:dyDescent="0.25">
      <c r="A3">
        <f>A2+1</f>
        <v>2</v>
      </c>
      <c r="B3">
        <f>INDEX(Scores!$Y$2:$Y$131,MATCH($A3,Scores!$AC$2:$AC$131,0))</f>
        <v>2</v>
      </c>
      <c r="C3">
        <f>INDEX(Scores!$Z$2:$Z$131,MATCH($A3,Scores!$AC$2:$AC$131,0))</f>
        <v>1</v>
      </c>
      <c r="D3">
        <f>INDEX(Scores!$AA$2:$AA$131,MATCH($A3,Scores!$AC$2:$AC$131,0))</f>
        <v>4</v>
      </c>
      <c r="E3">
        <f>INDEX(Scores!$B$2:$T$11,$C3,$B3)</f>
        <v>129</v>
      </c>
      <c r="F3">
        <f>INDEX(Scores!$B$2:$T$11,$D3,$B3)</f>
        <v>117.79999999999998</v>
      </c>
      <c r="G3">
        <f>INDEX(Scores!$B$13:$T$22,$C3,$B3)</f>
        <v>0</v>
      </c>
      <c r="H3">
        <f>INDEX(Scores!$B$13:$T$22,$D3,$B3)</f>
        <v>0</v>
      </c>
      <c r="I3">
        <f t="shared" ref="I3:I66" si="0">F3-E3</f>
        <v>-11.200000000000017</v>
      </c>
      <c r="J3">
        <f t="shared" ref="J3:J66" si="1">SQRT(G3+H3)</f>
        <v>0</v>
      </c>
      <c r="K3">
        <f t="shared" ref="K3:K66" si="2">IFERROR(_xlfn.NORM.DIST(-0.25,I3,J3,TRUE),IF(I3&gt;=0,0,1))</f>
        <v>1</v>
      </c>
      <c r="L3">
        <f t="shared" ref="L3:L66" si="3">IFERROR(_xlfn.NORM.DIST(-0.25,-I3,J3,TRUE),IF(I3&lt;=0,0,1))</f>
        <v>0</v>
      </c>
      <c r="M3">
        <f t="shared" ref="M3:M66" si="4">IFERROR(_xlfn.NORM.DIST(0.25,I3,J3,TRUE)-_xlfn.NORM.DIST(-0.25,I3,J3,TRUE),IF(I3=0,1,0))</f>
        <v>0</v>
      </c>
    </row>
    <row r="4" spans="1:13" x14ac:dyDescent="0.25">
      <c r="A4">
        <f t="shared" ref="A4:A66" si="5">A3+1</f>
        <v>3</v>
      </c>
      <c r="B4">
        <f>INDEX(Scores!$Y$2:$Y$131,MATCH($A4,Scores!$AC$2:$AC$131,0))</f>
        <v>3</v>
      </c>
      <c r="C4">
        <f>INDEX(Scores!$Z$2:$Z$131,MATCH($A4,Scores!$AC$2:$AC$131,0))</f>
        <v>1</v>
      </c>
      <c r="D4">
        <f>INDEX(Scores!$AA$2:$AA$131,MATCH($A4,Scores!$AC$2:$AC$131,0))</f>
        <v>8</v>
      </c>
      <c r="E4">
        <f>INDEX(Scores!$B$2:$T$11,$C4,$B4)</f>
        <v>111.80000000000001</v>
      </c>
      <c r="F4">
        <f>INDEX(Scores!$B$2:$T$11,$D4,$B4)</f>
        <v>85.3</v>
      </c>
      <c r="G4">
        <f>INDEX(Scores!$B$13:$T$22,$C4,$B4)</f>
        <v>0</v>
      </c>
      <c r="H4">
        <f>INDEX(Scores!$B$13:$T$22,$D4,$B4)</f>
        <v>0</v>
      </c>
      <c r="I4">
        <f t="shared" si="0"/>
        <v>-26.500000000000014</v>
      </c>
      <c r="J4">
        <f t="shared" si="1"/>
        <v>0</v>
      </c>
      <c r="K4">
        <f t="shared" si="2"/>
        <v>1</v>
      </c>
      <c r="L4">
        <f t="shared" si="3"/>
        <v>0</v>
      </c>
      <c r="M4">
        <f t="shared" si="4"/>
        <v>0</v>
      </c>
    </row>
    <row r="5" spans="1:13" x14ac:dyDescent="0.25">
      <c r="A5">
        <f t="shared" si="5"/>
        <v>4</v>
      </c>
      <c r="B5">
        <f>INDEX(Scores!$Y$2:$Y$131,MATCH($A5,Scores!$AC$2:$AC$131,0))</f>
        <v>4</v>
      </c>
      <c r="C5">
        <f>INDEX(Scores!$Z$2:$Z$131,MATCH($A5,Scores!$AC$2:$AC$131,0))</f>
        <v>1</v>
      </c>
      <c r="D5">
        <f>INDEX(Scores!$AA$2:$AA$131,MATCH($A5,Scores!$AC$2:$AC$131,0))</f>
        <v>2</v>
      </c>
      <c r="E5">
        <f>INDEX(Scores!$B$2:$T$11,$C5,$B5)</f>
        <v>99.899999999999991</v>
      </c>
      <c r="F5">
        <f>INDEX(Scores!$B$2:$T$11,$D5,$B5)</f>
        <v>119.50000000000001</v>
      </c>
      <c r="G5">
        <f>INDEX(Scores!$B$13:$T$22,$C5,$B5)</f>
        <v>0</v>
      </c>
      <c r="H5">
        <f>INDEX(Scores!$B$13:$T$22,$D5,$B5)</f>
        <v>0</v>
      </c>
      <c r="I5">
        <f t="shared" si="0"/>
        <v>19.600000000000023</v>
      </c>
      <c r="J5">
        <f t="shared" si="1"/>
        <v>0</v>
      </c>
      <c r="K5">
        <f t="shared" si="2"/>
        <v>0</v>
      </c>
      <c r="L5">
        <f t="shared" si="3"/>
        <v>1</v>
      </c>
      <c r="M5">
        <f t="shared" si="4"/>
        <v>0</v>
      </c>
    </row>
    <row r="6" spans="1:13" x14ac:dyDescent="0.25">
      <c r="A6">
        <f t="shared" si="5"/>
        <v>5</v>
      </c>
      <c r="B6">
        <f>INDEX(Scores!$Y$2:$Y$131,MATCH($A6,Scores!$AC$2:$AC$131,0))</f>
        <v>5</v>
      </c>
      <c r="C6">
        <f>INDEX(Scores!$Z$2:$Z$131,MATCH($A6,Scores!$AC$2:$AC$131,0))</f>
        <v>1</v>
      </c>
      <c r="D6">
        <f>INDEX(Scores!$AA$2:$AA$131,MATCH($A6,Scores!$AC$2:$AC$131,0))</f>
        <v>7</v>
      </c>
      <c r="E6">
        <f>INDEX(Scores!$B$2:$T$11,$C6,$B6)</f>
        <v>114.56</v>
      </c>
      <c r="F6">
        <f>INDEX(Scores!$B$2:$T$11,$D6,$B6)</f>
        <v>107.14</v>
      </c>
      <c r="G6">
        <f>INDEX(Scores!$B$13:$T$22,$C6,$B6)</f>
        <v>490.17610000000008</v>
      </c>
      <c r="H6">
        <f>INDEX(Scores!$B$13:$T$22,$D6,$B6)</f>
        <v>235.17039999999997</v>
      </c>
      <c r="I6">
        <f t="shared" si="0"/>
        <v>-7.4200000000000017</v>
      </c>
      <c r="J6">
        <f>SQRT(G6+H6)</f>
        <v>26.932257610530911</v>
      </c>
      <c r="K6">
        <f t="shared" si="2"/>
        <v>0.60496645890481404</v>
      </c>
      <c r="L6">
        <f t="shared" si="3"/>
        <v>0.38790305244953832</v>
      </c>
      <c r="M6">
        <f t="shared" si="4"/>
        <v>7.1304886456475813E-3</v>
      </c>
    </row>
    <row r="7" spans="1:13" x14ac:dyDescent="0.25">
      <c r="A7">
        <f t="shared" si="5"/>
        <v>6</v>
      </c>
      <c r="B7">
        <f>INDEX(Scores!$Y$2:$Y$131,MATCH($A7,Scores!$AC$2:$AC$131,0))</f>
        <v>6</v>
      </c>
      <c r="C7">
        <f>INDEX(Scores!$Z$2:$Z$131,MATCH($A7,Scores!$AC$2:$AC$131,0))</f>
        <v>1</v>
      </c>
      <c r="D7">
        <f>INDEX(Scores!$AA$2:$AA$131,MATCH($A7,Scores!$AC$2:$AC$131,0))</f>
        <v>10</v>
      </c>
      <c r="E7">
        <f>INDEX(Scores!$B$2:$T$11,$C7,$B7)</f>
        <v>95.610000000000014</v>
      </c>
      <c r="F7">
        <f>INDEX(Scores!$B$2:$T$11,$D7,$B7)</f>
        <v>100.32</v>
      </c>
      <c r="G7">
        <f>INDEX(Scores!$B$13:$T$22,$C7,$B7)</f>
        <v>379.00150000000008</v>
      </c>
      <c r="H7">
        <f>INDEX(Scores!$B$13:$T$22,$D7,$B7)</f>
        <v>456.78859999999997</v>
      </c>
      <c r="I7">
        <f t="shared" si="0"/>
        <v>4.7099999999999795</v>
      </c>
      <c r="J7">
        <f t="shared" si="1"/>
        <v>28.910034590086536</v>
      </c>
      <c r="K7">
        <f t="shared" si="2"/>
        <v>0.43188908392949105</v>
      </c>
      <c r="L7">
        <f t="shared" si="3"/>
        <v>0.56130224235466142</v>
      </c>
      <c r="M7">
        <f t="shared" si="4"/>
        <v>6.8086737158475352E-3</v>
      </c>
    </row>
    <row r="8" spans="1:13" x14ac:dyDescent="0.25">
      <c r="A8">
        <f t="shared" si="5"/>
        <v>7</v>
      </c>
      <c r="B8">
        <f>INDEX(Scores!$Y$2:$Y$131,MATCH($A8,Scores!$AC$2:$AC$131,0))</f>
        <v>7</v>
      </c>
      <c r="C8">
        <f>INDEX(Scores!$Z$2:$Z$131,MATCH($A8,Scores!$AC$2:$AC$131,0))</f>
        <v>1</v>
      </c>
      <c r="D8">
        <f>INDEX(Scores!$AA$2:$AA$131,MATCH($A8,Scores!$AC$2:$AC$131,0))</f>
        <v>9</v>
      </c>
      <c r="E8">
        <f>INDEX(Scores!$B$2:$T$11,$C8,$B8)</f>
        <v>104.80000000000001</v>
      </c>
      <c r="F8">
        <f>INDEX(Scores!$B$2:$T$11,$D8,$B8)</f>
        <v>118.22</v>
      </c>
      <c r="G8">
        <f>INDEX(Scores!$B$13:$T$22,$C8,$B8)</f>
        <v>440.22199999999998</v>
      </c>
      <c r="H8">
        <f>INDEX(Scores!$B$13:$T$22,$D8,$B8)</f>
        <v>498.19350000000003</v>
      </c>
      <c r="I8">
        <f t="shared" si="0"/>
        <v>13.419999999999987</v>
      </c>
      <c r="J8">
        <f t="shared" si="1"/>
        <v>30.63356818916138</v>
      </c>
      <c r="K8">
        <f t="shared" si="2"/>
        <v>0.32771104372140736</v>
      </c>
      <c r="L8">
        <f t="shared" si="3"/>
        <v>0.66637327611453989</v>
      </c>
      <c r="M8">
        <f t="shared" si="4"/>
        <v>5.9156801640527501E-3</v>
      </c>
    </row>
    <row r="9" spans="1:13" x14ac:dyDescent="0.25">
      <c r="A9">
        <f t="shared" si="5"/>
        <v>8</v>
      </c>
      <c r="B9">
        <f>INDEX(Scores!$Y$2:$Y$131,MATCH($A9,Scores!$AC$2:$AC$131,0))</f>
        <v>8</v>
      </c>
      <c r="C9">
        <f>INDEX(Scores!$Z$2:$Z$131,MATCH($A9,Scores!$AC$2:$AC$131,0))</f>
        <v>1</v>
      </c>
      <c r="D9">
        <f>INDEX(Scores!$AA$2:$AA$131,MATCH($A9,Scores!$AC$2:$AC$131,0))</f>
        <v>6</v>
      </c>
      <c r="E9">
        <f>INDEX(Scores!$B$2:$T$11,$C9,$B9)</f>
        <v>116.25000000000003</v>
      </c>
      <c r="F9">
        <f>INDEX(Scores!$B$2:$T$11,$D9,$B9)</f>
        <v>106.75000000000001</v>
      </c>
      <c r="G9">
        <f>INDEX(Scores!$B$13:$T$22,$C9,$B9)</f>
        <v>449.70740000000001</v>
      </c>
      <c r="H9">
        <f>INDEX(Scores!$B$13:$T$22,$D9,$B9)</f>
        <v>468.12379999999996</v>
      </c>
      <c r="I9">
        <f t="shared" si="0"/>
        <v>-9.5000000000000142</v>
      </c>
      <c r="J9">
        <f t="shared" si="1"/>
        <v>30.295729071933554</v>
      </c>
      <c r="K9">
        <f t="shared" si="2"/>
        <v>0.61994013494287592</v>
      </c>
      <c r="L9">
        <f t="shared" si="3"/>
        <v>0.37379167421928972</v>
      </c>
      <c r="M9">
        <f t="shared" si="4"/>
        <v>6.2681908378343643E-3</v>
      </c>
    </row>
    <row r="10" spans="1:13" x14ac:dyDescent="0.25">
      <c r="A10">
        <f t="shared" si="5"/>
        <v>9</v>
      </c>
      <c r="B10">
        <f>INDEX(Scores!$Y$2:$Y$131,MATCH($A10,Scores!$AC$2:$AC$131,0))</f>
        <v>9</v>
      </c>
      <c r="C10">
        <f>INDEX(Scores!$Z$2:$Z$131,MATCH($A10,Scores!$AC$2:$AC$131,0))</f>
        <v>1</v>
      </c>
      <c r="D10">
        <f>INDEX(Scores!$AA$2:$AA$131,MATCH($A10,Scores!$AC$2:$AC$131,0))</f>
        <v>7</v>
      </c>
      <c r="E10">
        <f>INDEX(Scores!$B$2:$T$11,$C10,$B10)</f>
        <v>112.01999999999998</v>
      </c>
      <c r="F10">
        <f>INDEX(Scores!$B$2:$T$11,$D10,$B10)</f>
        <v>102.27000000000001</v>
      </c>
      <c r="G10">
        <f>INDEX(Scores!$B$13:$T$22,$C10,$B10)</f>
        <v>452.37890000000004</v>
      </c>
      <c r="H10">
        <f>INDEX(Scores!$B$13:$T$22,$D10,$B10)</f>
        <v>335.95609999999999</v>
      </c>
      <c r="I10">
        <f t="shared" si="0"/>
        <v>-9.7499999999999716</v>
      </c>
      <c r="J10">
        <f t="shared" si="1"/>
        <v>28.077304001630928</v>
      </c>
      <c r="K10">
        <f t="shared" si="2"/>
        <v>0.63245086866346589</v>
      </c>
      <c r="L10">
        <f t="shared" si="3"/>
        <v>0.36086054080532287</v>
      </c>
      <c r="M10">
        <f t="shared" si="4"/>
        <v>6.6885905312111804E-3</v>
      </c>
    </row>
    <row r="11" spans="1:13" x14ac:dyDescent="0.25">
      <c r="A11">
        <f t="shared" si="5"/>
        <v>10</v>
      </c>
      <c r="B11">
        <f>INDEX(Scores!$Y$2:$Y$131,MATCH($A11,Scores!$AC$2:$AC$131,0))</f>
        <v>10</v>
      </c>
      <c r="C11">
        <f>INDEX(Scores!$Z$2:$Z$131,MATCH($A11,Scores!$AC$2:$AC$131,0))</f>
        <v>1</v>
      </c>
      <c r="D11">
        <f>INDEX(Scores!$AA$2:$AA$131,MATCH($A11,Scores!$AC$2:$AC$131,0))</f>
        <v>5</v>
      </c>
      <c r="E11">
        <f>INDEX(Scores!$B$2:$T$11,$C11,$B11)</f>
        <v>109.97</v>
      </c>
      <c r="F11">
        <f>INDEX(Scores!$B$2:$T$11,$D11,$B11)</f>
        <v>97.109999999999985</v>
      </c>
      <c r="G11">
        <f>INDEX(Scores!$B$13:$T$22,$C11,$B11)</f>
        <v>456.93399999999997</v>
      </c>
      <c r="H11">
        <f>INDEX(Scores!$B$13:$T$22,$D11,$B11)</f>
        <v>343.40369999999996</v>
      </c>
      <c r="I11">
        <f t="shared" si="0"/>
        <v>-12.860000000000014</v>
      </c>
      <c r="J11">
        <f t="shared" si="1"/>
        <v>28.290240366599924</v>
      </c>
      <c r="K11">
        <f t="shared" si="2"/>
        <v>0.6721062950870671</v>
      </c>
      <c r="L11">
        <f t="shared" si="3"/>
        <v>0.32153500639445959</v>
      </c>
      <c r="M11">
        <f t="shared" si="4"/>
        <v>6.3586985184733713E-3</v>
      </c>
    </row>
    <row r="12" spans="1:13" x14ac:dyDescent="0.25">
      <c r="A12">
        <f t="shared" si="5"/>
        <v>11</v>
      </c>
      <c r="B12">
        <f>INDEX(Scores!$Y$2:$Y$131,MATCH($A12,Scores!$AC$2:$AC$131,0))</f>
        <v>11</v>
      </c>
      <c r="C12">
        <f>INDEX(Scores!$Z$2:$Z$131,MATCH($A12,Scores!$AC$2:$AC$131,0))</f>
        <v>1</v>
      </c>
      <c r="D12">
        <f>INDEX(Scores!$AA$2:$AA$131,MATCH($A12,Scores!$AC$2:$AC$131,0))</f>
        <v>4</v>
      </c>
      <c r="E12">
        <f>INDEX(Scores!$B$2:$T$11,$C12,$B12)</f>
        <v>105.10000000000001</v>
      </c>
      <c r="F12">
        <f>INDEX(Scores!$B$2:$T$11,$D12,$B12)</f>
        <v>104.67999999999999</v>
      </c>
      <c r="G12">
        <f>INDEX(Scores!$B$13:$T$22,$C12,$B12)</f>
        <v>428.5215</v>
      </c>
      <c r="H12">
        <f>INDEX(Scores!$B$13:$T$22,$D12,$B12)</f>
        <v>392.63210000000004</v>
      </c>
      <c r="I12">
        <f t="shared" si="0"/>
        <v>-0.42000000000001592</v>
      </c>
      <c r="J12">
        <f t="shared" si="1"/>
        <v>28.655777776916125</v>
      </c>
      <c r="K12">
        <f t="shared" si="2"/>
        <v>0.50236670560412988</v>
      </c>
      <c r="L12">
        <f t="shared" si="3"/>
        <v>0.49067319063575221</v>
      </c>
      <c r="M12">
        <f t="shared" si="4"/>
        <v>6.9601037601179083E-3</v>
      </c>
    </row>
    <row r="13" spans="1:13" x14ac:dyDescent="0.25">
      <c r="A13">
        <f t="shared" si="5"/>
        <v>12</v>
      </c>
      <c r="B13">
        <f>INDEX(Scores!$Y$2:$Y$131,MATCH($A13,Scores!$AC$2:$AC$131,0))</f>
        <v>12</v>
      </c>
      <c r="C13">
        <f>INDEX(Scores!$Z$2:$Z$131,MATCH($A13,Scores!$AC$2:$AC$131,0))</f>
        <v>1</v>
      </c>
      <c r="D13">
        <f>INDEX(Scores!$AA$2:$AA$131,MATCH($A13,Scores!$AC$2:$AC$131,0))</f>
        <v>8</v>
      </c>
      <c r="E13">
        <f>INDEX(Scores!$B$2:$T$11,$C13,$B13)</f>
        <v>107.46</v>
      </c>
      <c r="F13">
        <f>INDEX(Scores!$B$2:$T$11,$D13,$B13)</f>
        <v>105.50999999999999</v>
      </c>
      <c r="G13">
        <f>INDEX(Scores!$B$13:$T$22,$C13,$B13)</f>
        <v>423.25290000000001</v>
      </c>
      <c r="H13">
        <f>INDEX(Scores!$B$13:$T$22,$D13,$B13)</f>
        <v>384.5727</v>
      </c>
      <c r="I13">
        <f t="shared" si="0"/>
        <v>-1.9500000000000028</v>
      </c>
      <c r="J13">
        <f t="shared" si="1"/>
        <v>28.422272956257387</v>
      </c>
      <c r="K13">
        <f t="shared" si="2"/>
        <v>0.52384741418169289</v>
      </c>
      <c r="L13">
        <f t="shared" si="3"/>
        <v>0.46915104603231916</v>
      </c>
      <c r="M13">
        <f t="shared" si="4"/>
        <v>7.0015397859879425E-3</v>
      </c>
    </row>
    <row r="14" spans="1:13" x14ac:dyDescent="0.25">
      <c r="A14">
        <f t="shared" si="5"/>
        <v>13</v>
      </c>
      <c r="B14">
        <f>INDEX(Scores!$Y$2:$Y$131,MATCH($A14,Scores!$AC$2:$AC$131,0))</f>
        <v>13</v>
      </c>
      <c r="C14">
        <f>INDEX(Scores!$Z$2:$Z$131,MATCH($A14,Scores!$AC$2:$AC$131,0))</f>
        <v>1</v>
      </c>
      <c r="D14">
        <f>INDEX(Scores!$AA$2:$AA$131,MATCH($A14,Scores!$AC$2:$AC$131,0))</f>
        <v>2</v>
      </c>
      <c r="E14">
        <f>INDEX(Scores!$B$2:$T$11,$C14,$B14)</f>
        <v>117.95000000000002</v>
      </c>
      <c r="F14">
        <f>INDEX(Scores!$B$2:$T$11,$D14,$B14)</f>
        <v>106.08</v>
      </c>
      <c r="G14">
        <f>INDEX(Scores!$B$13:$T$22,$C14,$B14)</f>
        <v>462.59000000000003</v>
      </c>
      <c r="H14">
        <f>INDEX(Scores!$B$13:$T$22,$D14,$B14)</f>
        <v>320.21050000000008</v>
      </c>
      <c r="I14">
        <f t="shared" si="0"/>
        <v>-11.870000000000019</v>
      </c>
      <c r="J14">
        <f t="shared" si="1"/>
        <v>27.978572157992623</v>
      </c>
      <c r="K14">
        <f t="shared" si="2"/>
        <v>0.66104537642662142</v>
      </c>
      <c r="L14">
        <f t="shared" si="3"/>
        <v>0.33243886063365413</v>
      </c>
      <c r="M14">
        <f t="shared" si="4"/>
        <v>6.5157629397244454E-3</v>
      </c>
    </row>
    <row r="15" spans="1:13" x14ac:dyDescent="0.25">
      <c r="A15">
        <f t="shared" si="5"/>
        <v>14</v>
      </c>
      <c r="B15">
        <f>INDEX(Scores!$Y$2:$Y$131,MATCH($A15,Scores!$AC$2:$AC$131,0))</f>
        <v>1</v>
      </c>
      <c r="C15">
        <f>INDEX(Scores!$Z$2:$Z$131,MATCH($A15,Scores!$AC$2:$AC$131,0))</f>
        <v>2</v>
      </c>
      <c r="D15">
        <f>INDEX(Scores!$AA$2:$AA$131,MATCH($A15,Scores!$AC$2:$AC$131,0))</f>
        <v>8</v>
      </c>
      <c r="E15">
        <f>INDEX(Scores!$B$2:$T$11,$C15,$B15)</f>
        <v>120.09999999999998</v>
      </c>
      <c r="F15">
        <f>INDEX(Scores!$B$2:$T$11,$D15,$B15)</f>
        <v>52.800000000000011</v>
      </c>
      <c r="G15">
        <f>INDEX(Scores!$B$13:$T$22,$C15,$B15)</f>
        <v>0</v>
      </c>
      <c r="H15">
        <f>INDEX(Scores!$B$13:$T$22,$D15,$B15)</f>
        <v>0</v>
      </c>
      <c r="I15">
        <f t="shared" si="0"/>
        <v>-67.299999999999969</v>
      </c>
      <c r="J15">
        <f t="shared" si="1"/>
        <v>0</v>
      </c>
      <c r="K15">
        <f t="shared" si="2"/>
        <v>1</v>
      </c>
      <c r="L15">
        <f t="shared" si="3"/>
        <v>0</v>
      </c>
      <c r="M15">
        <f t="shared" si="4"/>
        <v>0</v>
      </c>
    </row>
    <row r="16" spans="1:13" x14ac:dyDescent="0.25">
      <c r="A16">
        <f t="shared" si="5"/>
        <v>15</v>
      </c>
      <c r="B16">
        <f>INDEX(Scores!$Y$2:$Y$131,MATCH($A16,Scores!$AC$2:$AC$131,0))</f>
        <v>2</v>
      </c>
      <c r="C16">
        <f>INDEX(Scores!$Z$2:$Z$131,MATCH($A16,Scores!$AC$2:$AC$131,0))</f>
        <v>2</v>
      </c>
      <c r="D16">
        <f>INDEX(Scores!$AA$2:$AA$131,MATCH($A16,Scores!$AC$2:$AC$131,0))</f>
        <v>5</v>
      </c>
      <c r="E16">
        <f>INDEX(Scores!$B$2:$T$11,$C16,$B16)</f>
        <v>91.600000000000009</v>
      </c>
      <c r="F16">
        <f>INDEX(Scores!$B$2:$T$11,$D16,$B16)</f>
        <v>80</v>
      </c>
      <c r="G16">
        <f>INDEX(Scores!$B$13:$T$22,$C16,$B16)</f>
        <v>0</v>
      </c>
      <c r="H16">
        <f>INDEX(Scores!$B$13:$T$22,$D16,$B16)</f>
        <v>0</v>
      </c>
      <c r="I16">
        <f t="shared" si="0"/>
        <v>-11.600000000000009</v>
      </c>
      <c r="J16">
        <f t="shared" si="1"/>
        <v>0</v>
      </c>
      <c r="K16">
        <f t="shared" si="2"/>
        <v>1</v>
      </c>
      <c r="L16">
        <f t="shared" si="3"/>
        <v>0</v>
      </c>
      <c r="M16">
        <f t="shared" si="4"/>
        <v>0</v>
      </c>
    </row>
    <row r="17" spans="1:13" x14ac:dyDescent="0.25">
      <c r="A17">
        <f t="shared" si="5"/>
        <v>16</v>
      </c>
      <c r="B17">
        <f>INDEX(Scores!$Y$2:$Y$131,MATCH($A17,Scores!$AC$2:$AC$131,0))</f>
        <v>3</v>
      </c>
      <c r="C17">
        <f>INDEX(Scores!$Z$2:$Z$131,MATCH($A17,Scores!$AC$2:$AC$131,0))</f>
        <v>2</v>
      </c>
      <c r="D17">
        <f>INDEX(Scores!$AA$2:$AA$131,MATCH($A17,Scores!$AC$2:$AC$131,0))</f>
        <v>7</v>
      </c>
      <c r="E17">
        <f>INDEX(Scores!$B$2:$T$11,$C17,$B17)</f>
        <v>129.19999999999999</v>
      </c>
      <c r="F17">
        <f>INDEX(Scores!$B$2:$T$11,$D17,$B17)</f>
        <v>74.5</v>
      </c>
      <c r="G17">
        <f>INDEX(Scores!$B$13:$T$22,$C17,$B17)</f>
        <v>0</v>
      </c>
      <c r="H17">
        <f>INDEX(Scores!$B$13:$T$22,$D17,$B17)</f>
        <v>0</v>
      </c>
      <c r="I17">
        <f t="shared" si="0"/>
        <v>-54.699999999999989</v>
      </c>
      <c r="J17">
        <f t="shared" si="1"/>
        <v>0</v>
      </c>
      <c r="K17">
        <f t="shared" si="2"/>
        <v>1</v>
      </c>
      <c r="L17">
        <f t="shared" si="3"/>
        <v>0</v>
      </c>
      <c r="M17">
        <f t="shared" si="4"/>
        <v>0</v>
      </c>
    </row>
    <row r="18" spans="1:13" x14ac:dyDescent="0.25">
      <c r="A18">
        <f t="shared" si="5"/>
        <v>17</v>
      </c>
      <c r="B18">
        <f>INDEX(Scores!$Y$2:$Y$131,MATCH($A18,Scores!$AC$2:$AC$131,0))</f>
        <v>5</v>
      </c>
      <c r="C18">
        <f>INDEX(Scores!$Z$2:$Z$131,MATCH($A18,Scores!$AC$2:$AC$131,0))</f>
        <v>2</v>
      </c>
      <c r="D18">
        <f>INDEX(Scores!$AA$2:$AA$131,MATCH($A18,Scores!$AC$2:$AC$131,0))</f>
        <v>4</v>
      </c>
      <c r="E18">
        <f>INDEX(Scores!$B$2:$T$11,$C18,$B18)</f>
        <v>114.38</v>
      </c>
      <c r="F18">
        <f>INDEX(Scores!$B$2:$T$11,$D18,$B18)</f>
        <v>129.46</v>
      </c>
      <c r="G18">
        <f>INDEX(Scores!$B$13:$T$22,$C18,$B18)</f>
        <v>326.55839999999995</v>
      </c>
      <c r="H18">
        <f>INDEX(Scores!$B$13:$T$22,$D18,$B18)</f>
        <v>371.72199999999998</v>
      </c>
      <c r="I18">
        <f t="shared" si="0"/>
        <v>15.080000000000013</v>
      </c>
      <c r="J18">
        <f t="shared" si="1"/>
        <v>26.424995742667583</v>
      </c>
      <c r="K18">
        <f t="shared" si="2"/>
        <v>0.28091261950668583</v>
      </c>
      <c r="L18">
        <f t="shared" si="3"/>
        <v>0.71267316959909133</v>
      </c>
      <c r="M18">
        <f t="shared" si="4"/>
        <v>6.4142108942228382E-3</v>
      </c>
    </row>
    <row r="19" spans="1:13" x14ac:dyDescent="0.25">
      <c r="A19">
        <f t="shared" si="5"/>
        <v>18</v>
      </c>
      <c r="B19">
        <f>INDEX(Scores!$Y$2:$Y$131,MATCH($A19,Scores!$AC$2:$AC$131,0))</f>
        <v>6</v>
      </c>
      <c r="C19">
        <f>INDEX(Scores!$Z$2:$Z$131,MATCH($A19,Scores!$AC$2:$AC$131,0))</f>
        <v>2</v>
      </c>
      <c r="D19">
        <f>INDEX(Scores!$AA$2:$AA$131,MATCH($A19,Scores!$AC$2:$AC$131,0))</f>
        <v>3</v>
      </c>
      <c r="E19">
        <f>INDEX(Scores!$B$2:$T$11,$C19,$B19)</f>
        <v>107.81000000000002</v>
      </c>
      <c r="F19">
        <f>INDEX(Scores!$B$2:$T$11,$D19,$B19)</f>
        <v>116.63</v>
      </c>
      <c r="G19">
        <f>INDEX(Scores!$B$13:$T$22,$C19,$B19)</f>
        <v>373.57219999999995</v>
      </c>
      <c r="H19">
        <f>INDEX(Scores!$B$13:$T$22,$D19,$B19)</f>
        <v>479.99800000000005</v>
      </c>
      <c r="I19">
        <f t="shared" si="0"/>
        <v>8.819999999999979</v>
      </c>
      <c r="J19">
        <f t="shared" si="1"/>
        <v>29.215923740316683</v>
      </c>
      <c r="K19">
        <f t="shared" si="2"/>
        <v>0.37811047513288193</v>
      </c>
      <c r="L19">
        <f t="shared" si="3"/>
        <v>0.6153662551266823</v>
      </c>
      <c r="M19">
        <f t="shared" si="4"/>
        <v>6.5232697404357665E-3</v>
      </c>
    </row>
    <row r="20" spans="1:13" x14ac:dyDescent="0.25">
      <c r="A20">
        <f t="shared" si="5"/>
        <v>19</v>
      </c>
      <c r="B20">
        <f>INDEX(Scores!$Y$2:$Y$131,MATCH($A20,Scores!$AC$2:$AC$131,0))</f>
        <v>7</v>
      </c>
      <c r="C20">
        <f>INDEX(Scores!$Z$2:$Z$131,MATCH($A20,Scores!$AC$2:$AC$131,0))</f>
        <v>2</v>
      </c>
      <c r="D20">
        <f>INDEX(Scores!$AA$2:$AA$131,MATCH($A20,Scores!$AC$2:$AC$131,0))</f>
        <v>10</v>
      </c>
      <c r="E20">
        <f>INDEX(Scores!$B$2:$T$11,$C20,$B20)</f>
        <v>105.52</v>
      </c>
      <c r="F20">
        <f>INDEX(Scores!$B$2:$T$11,$D20,$B20)</f>
        <v>103.34</v>
      </c>
      <c r="G20">
        <f>INDEX(Scores!$B$13:$T$22,$C20,$B20)</f>
        <v>355.65879999999999</v>
      </c>
      <c r="H20">
        <f>INDEX(Scores!$B$13:$T$22,$D20,$B20)</f>
        <v>389.40539999999993</v>
      </c>
      <c r="I20">
        <f t="shared" si="0"/>
        <v>-2.1799999999999926</v>
      </c>
      <c r="J20">
        <f t="shared" si="1"/>
        <v>27.295864155582251</v>
      </c>
      <c r="K20">
        <f t="shared" si="2"/>
        <v>0.52818439885113688</v>
      </c>
      <c r="L20">
        <f t="shared" si="3"/>
        <v>0.46453122920552209</v>
      </c>
      <c r="M20">
        <f t="shared" si="4"/>
        <v>7.2843719433409726E-3</v>
      </c>
    </row>
    <row r="21" spans="1:13" x14ac:dyDescent="0.25">
      <c r="A21">
        <f t="shared" si="5"/>
        <v>20</v>
      </c>
      <c r="B21">
        <f>INDEX(Scores!$Y$2:$Y$131,MATCH($A21,Scores!$AC$2:$AC$131,0))</f>
        <v>8</v>
      </c>
      <c r="C21">
        <f>INDEX(Scores!$Z$2:$Z$131,MATCH($A21,Scores!$AC$2:$AC$131,0))</f>
        <v>2</v>
      </c>
      <c r="D21">
        <f>INDEX(Scores!$AA$2:$AA$131,MATCH($A21,Scores!$AC$2:$AC$131,0))</f>
        <v>9</v>
      </c>
      <c r="E21">
        <f>INDEX(Scores!$B$2:$T$11,$C21,$B21)</f>
        <v>108.12</v>
      </c>
      <c r="F21">
        <f>INDEX(Scores!$B$2:$T$11,$D21,$B21)</f>
        <v>106.64</v>
      </c>
      <c r="G21">
        <f>INDEX(Scores!$B$13:$T$22,$C21,$B21)</f>
        <v>363.43709999999999</v>
      </c>
      <c r="H21">
        <f>INDEX(Scores!$B$13:$T$22,$D21,$B21)</f>
        <v>512.92769999999996</v>
      </c>
      <c r="I21">
        <f t="shared" si="0"/>
        <v>-1.480000000000004</v>
      </c>
      <c r="J21">
        <f t="shared" si="1"/>
        <v>29.603459257323291</v>
      </c>
      <c r="K21">
        <f t="shared" si="2"/>
        <v>0.51657096395274449</v>
      </c>
      <c r="L21">
        <f t="shared" si="3"/>
        <v>0.47669942882607647</v>
      </c>
      <c r="M21">
        <f t="shared" si="4"/>
        <v>6.7296072211791014E-3</v>
      </c>
    </row>
    <row r="22" spans="1:13" x14ac:dyDescent="0.25">
      <c r="A22">
        <f t="shared" si="5"/>
        <v>21</v>
      </c>
      <c r="B22">
        <f>INDEX(Scores!$Y$2:$Y$131,MATCH($A22,Scores!$AC$2:$AC$131,0))</f>
        <v>9</v>
      </c>
      <c r="C22">
        <f>INDEX(Scores!$Z$2:$Z$131,MATCH($A22,Scores!$AC$2:$AC$131,0))</f>
        <v>2</v>
      </c>
      <c r="D22">
        <f>INDEX(Scores!$AA$2:$AA$131,MATCH($A22,Scores!$AC$2:$AC$131,0))</f>
        <v>4</v>
      </c>
      <c r="E22">
        <f>INDEX(Scores!$B$2:$T$11,$C22,$B22)</f>
        <v>116.23</v>
      </c>
      <c r="F22">
        <f>INDEX(Scores!$B$2:$T$11,$D22,$B22)</f>
        <v>109.09</v>
      </c>
      <c r="G22">
        <f>INDEX(Scores!$B$13:$T$22,$C22,$B22)</f>
        <v>402.52690000000013</v>
      </c>
      <c r="H22">
        <f>INDEX(Scores!$B$13:$T$22,$D22,$B22)</f>
        <v>394.76170000000002</v>
      </c>
      <c r="I22">
        <f t="shared" si="0"/>
        <v>-7.1400000000000006</v>
      </c>
      <c r="J22">
        <f t="shared" si="1"/>
        <v>28.236299332596687</v>
      </c>
      <c r="K22">
        <f t="shared" si="2"/>
        <v>0.59638929353541226</v>
      </c>
      <c r="L22">
        <f t="shared" si="3"/>
        <v>0.39676871821876403</v>
      </c>
      <c r="M22">
        <f t="shared" si="4"/>
        <v>6.8419882458237158E-3</v>
      </c>
    </row>
    <row r="23" spans="1:13" x14ac:dyDescent="0.25">
      <c r="A23">
        <f t="shared" si="5"/>
        <v>22</v>
      </c>
      <c r="B23">
        <f>INDEX(Scores!$Y$2:$Y$131,MATCH($A23,Scores!$AC$2:$AC$131,0))</f>
        <v>10</v>
      </c>
      <c r="C23">
        <f>INDEX(Scores!$Z$2:$Z$131,MATCH($A23,Scores!$AC$2:$AC$131,0))</f>
        <v>2</v>
      </c>
      <c r="D23">
        <f>INDEX(Scores!$AA$2:$AA$131,MATCH($A23,Scores!$AC$2:$AC$131,0))</f>
        <v>8</v>
      </c>
      <c r="E23">
        <f>INDEX(Scores!$B$2:$T$11,$C23,$B23)</f>
        <v>112.59</v>
      </c>
      <c r="F23">
        <f>INDEX(Scores!$B$2:$T$11,$D23,$B23)</f>
        <v>111.85</v>
      </c>
      <c r="G23">
        <f>INDEX(Scores!$B$13:$T$22,$C23,$B23)</f>
        <v>404.64429999999993</v>
      </c>
      <c r="H23">
        <f>INDEX(Scores!$B$13:$T$22,$D23,$B23)</f>
        <v>400.35449999999997</v>
      </c>
      <c r="I23">
        <f t="shared" si="0"/>
        <v>-0.74000000000000909</v>
      </c>
      <c r="J23">
        <f t="shared" si="1"/>
        <v>28.372500770993025</v>
      </c>
      <c r="K23">
        <f t="shared" si="2"/>
        <v>0.50688948788723964</v>
      </c>
      <c r="L23">
        <f t="shared" si="3"/>
        <v>0.4860825546623479</v>
      </c>
      <c r="M23">
        <f t="shared" si="4"/>
        <v>7.0279574504124032E-3</v>
      </c>
    </row>
    <row r="24" spans="1:13" x14ac:dyDescent="0.25">
      <c r="A24">
        <f t="shared" si="5"/>
        <v>23</v>
      </c>
      <c r="B24">
        <f>INDEX(Scores!$Y$2:$Y$131,MATCH($A24,Scores!$AC$2:$AC$131,0))</f>
        <v>11</v>
      </c>
      <c r="C24">
        <f>INDEX(Scores!$Z$2:$Z$131,MATCH($A24,Scores!$AC$2:$AC$131,0))</f>
        <v>2</v>
      </c>
      <c r="D24">
        <f>INDEX(Scores!$AA$2:$AA$131,MATCH($A24,Scores!$AC$2:$AC$131,0))</f>
        <v>6</v>
      </c>
      <c r="E24">
        <f>INDEX(Scores!$B$2:$T$11,$C24,$B24)</f>
        <v>100.83</v>
      </c>
      <c r="F24">
        <f>INDEX(Scores!$B$2:$T$11,$D24,$B24)</f>
        <v>115.75</v>
      </c>
      <c r="G24">
        <f>INDEX(Scores!$B$13:$T$22,$C24,$B24)</f>
        <v>355.18600000000004</v>
      </c>
      <c r="H24">
        <f>INDEX(Scores!$B$13:$T$22,$D24,$B24)</f>
        <v>466.6443000000001</v>
      </c>
      <c r="I24">
        <f t="shared" si="0"/>
        <v>14.920000000000002</v>
      </c>
      <c r="J24">
        <f t="shared" si="1"/>
        <v>28.667582737301032</v>
      </c>
      <c r="K24">
        <f t="shared" si="2"/>
        <v>0.29834406237814975</v>
      </c>
      <c r="L24">
        <f t="shared" si="3"/>
        <v>0.69557924818121764</v>
      </c>
      <c r="M24">
        <f t="shared" si="4"/>
        <v>6.07668944063261E-3</v>
      </c>
    </row>
    <row r="25" spans="1:13" x14ac:dyDescent="0.25">
      <c r="A25">
        <f t="shared" si="5"/>
        <v>24</v>
      </c>
      <c r="B25">
        <f>INDEX(Scores!$Y$2:$Y$131,MATCH($A25,Scores!$AC$2:$AC$131,0))</f>
        <v>12</v>
      </c>
      <c r="C25">
        <f>INDEX(Scores!$Z$2:$Z$131,MATCH($A25,Scores!$AC$2:$AC$131,0))</f>
        <v>2</v>
      </c>
      <c r="D25">
        <f>INDEX(Scores!$AA$2:$AA$131,MATCH($A25,Scores!$AC$2:$AC$131,0))</f>
        <v>7</v>
      </c>
      <c r="E25">
        <f>INDEX(Scores!$B$2:$T$11,$C25,$B25)</f>
        <v>114.42999999999999</v>
      </c>
      <c r="F25">
        <f>INDEX(Scores!$B$2:$T$11,$D25,$B25)</f>
        <v>97.27000000000001</v>
      </c>
      <c r="G25">
        <f>INDEX(Scores!$B$13:$T$22,$C25,$B25)</f>
        <v>412.16589999999991</v>
      </c>
      <c r="H25">
        <f>INDEX(Scores!$B$13:$T$22,$D25,$B25)</f>
        <v>338.76970000000006</v>
      </c>
      <c r="I25">
        <f t="shared" si="0"/>
        <v>-17.159999999999982</v>
      </c>
      <c r="J25">
        <f t="shared" si="1"/>
        <v>27.403204192210808</v>
      </c>
      <c r="K25">
        <f t="shared" si="2"/>
        <v>0.73140939025472262</v>
      </c>
      <c r="L25">
        <f t="shared" si="3"/>
        <v>0.26260753043163693</v>
      </c>
      <c r="M25">
        <f t="shared" si="4"/>
        <v>5.9830793136405047E-3</v>
      </c>
    </row>
    <row r="26" spans="1:13" x14ac:dyDescent="0.25">
      <c r="A26">
        <f t="shared" si="5"/>
        <v>25</v>
      </c>
      <c r="B26">
        <f>INDEX(Scores!$Y$2:$Y$131,MATCH($A26,Scores!$AC$2:$AC$131,0))</f>
        <v>2</v>
      </c>
      <c r="C26">
        <f>INDEX(Scores!$Z$2:$Z$131,MATCH($A26,Scores!$AC$2:$AC$131,0))</f>
        <v>3</v>
      </c>
      <c r="D26">
        <f>INDEX(Scores!$AA$2:$AA$131,MATCH($A26,Scores!$AC$2:$AC$131,0))</f>
        <v>6</v>
      </c>
      <c r="E26">
        <f>INDEX(Scores!$B$2:$T$11,$C26,$B26)</f>
        <v>123.39999999999999</v>
      </c>
      <c r="F26">
        <f>INDEX(Scores!$B$2:$T$11,$D26,$B26)</f>
        <v>109.6</v>
      </c>
      <c r="G26">
        <f>INDEX(Scores!$B$13:$T$22,$C26,$B26)</f>
        <v>0</v>
      </c>
      <c r="H26">
        <f>INDEX(Scores!$B$13:$T$22,$D26,$B26)</f>
        <v>0</v>
      </c>
      <c r="I26">
        <f t="shared" si="0"/>
        <v>-13.799999999999997</v>
      </c>
      <c r="J26">
        <f t="shared" si="1"/>
        <v>0</v>
      </c>
      <c r="K26">
        <f t="shared" si="2"/>
        <v>1</v>
      </c>
      <c r="L26">
        <f t="shared" si="3"/>
        <v>0</v>
      </c>
      <c r="M26">
        <f t="shared" si="4"/>
        <v>0</v>
      </c>
    </row>
    <row r="27" spans="1:13" x14ac:dyDescent="0.25">
      <c r="A27">
        <f t="shared" si="5"/>
        <v>26</v>
      </c>
      <c r="B27">
        <f>INDEX(Scores!$Y$2:$Y$131,MATCH($A27,Scores!$AC$2:$AC$131,0))</f>
        <v>3</v>
      </c>
      <c r="C27">
        <f>INDEX(Scores!$Z$2:$Z$131,MATCH($A27,Scores!$AC$2:$AC$131,0))</f>
        <v>3</v>
      </c>
      <c r="D27">
        <f>INDEX(Scores!$AA$2:$AA$131,MATCH($A27,Scores!$AC$2:$AC$131,0))</f>
        <v>10</v>
      </c>
      <c r="E27">
        <f>INDEX(Scores!$B$2:$T$11,$C27,$B27)</f>
        <v>108.00000000000001</v>
      </c>
      <c r="F27">
        <f>INDEX(Scores!$B$2:$T$11,$D27,$B27)</f>
        <v>83.9</v>
      </c>
      <c r="G27">
        <f>INDEX(Scores!$B$13:$T$22,$C27,$B27)</f>
        <v>0</v>
      </c>
      <c r="H27">
        <f>INDEX(Scores!$B$13:$T$22,$D27,$B27)</f>
        <v>0</v>
      </c>
      <c r="I27">
        <f t="shared" si="0"/>
        <v>-24.100000000000009</v>
      </c>
      <c r="J27">
        <f t="shared" si="1"/>
        <v>0</v>
      </c>
      <c r="K27">
        <f t="shared" si="2"/>
        <v>1</v>
      </c>
      <c r="L27">
        <f t="shared" si="3"/>
        <v>0</v>
      </c>
      <c r="M27">
        <f t="shared" si="4"/>
        <v>0</v>
      </c>
    </row>
    <row r="28" spans="1:13" x14ac:dyDescent="0.25">
      <c r="A28">
        <f t="shared" si="5"/>
        <v>27</v>
      </c>
      <c r="B28">
        <f>INDEX(Scores!$Y$2:$Y$131,MATCH($A28,Scores!$AC$2:$AC$131,0))</f>
        <v>4</v>
      </c>
      <c r="C28">
        <f>INDEX(Scores!$Z$2:$Z$131,MATCH($A28,Scores!$AC$2:$AC$131,0))</f>
        <v>3</v>
      </c>
      <c r="D28">
        <f>INDEX(Scores!$AA$2:$AA$131,MATCH($A28,Scores!$AC$2:$AC$131,0))</f>
        <v>5</v>
      </c>
      <c r="E28">
        <f>INDEX(Scores!$B$2:$T$11,$C28,$B28)</f>
        <v>174.5</v>
      </c>
      <c r="F28">
        <f>INDEX(Scores!$B$2:$T$11,$D28,$B28)</f>
        <v>113.39999999999999</v>
      </c>
      <c r="G28">
        <f>INDEX(Scores!$B$13:$T$22,$C28,$B28)</f>
        <v>0</v>
      </c>
      <c r="H28">
        <f>INDEX(Scores!$B$13:$T$22,$D28,$B28)</f>
        <v>0</v>
      </c>
      <c r="I28">
        <f t="shared" si="0"/>
        <v>-61.100000000000009</v>
      </c>
      <c r="J28">
        <f t="shared" si="1"/>
        <v>0</v>
      </c>
      <c r="K28">
        <f t="shared" si="2"/>
        <v>1</v>
      </c>
      <c r="L28">
        <f t="shared" si="3"/>
        <v>0</v>
      </c>
      <c r="M28">
        <f t="shared" si="4"/>
        <v>0</v>
      </c>
    </row>
    <row r="29" spans="1:13" x14ac:dyDescent="0.25">
      <c r="A29">
        <f t="shared" si="5"/>
        <v>28</v>
      </c>
      <c r="B29">
        <f>INDEX(Scores!$Y$2:$Y$131,MATCH($A29,Scores!$AC$2:$AC$131,0))</f>
        <v>5</v>
      </c>
      <c r="C29">
        <f>INDEX(Scores!$Z$2:$Z$131,MATCH($A29,Scores!$AC$2:$AC$131,0))</f>
        <v>3</v>
      </c>
      <c r="D29">
        <f>INDEX(Scores!$AA$2:$AA$131,MATCH($A29,Scores!$AC$2:$AC$131,0))</f>
        <v>9</v>
      </c>
      <c r="E29">
        <f>INDEX(Scores!$B$2:$T$11,$C29,$B29)</f>
        <v>112.65</v>
      </c>
      <c r="F29">
        <f>INDEX(Scores!$B$2:$T$11,$D29,$B29)</f>
        <v>114.22</v>
      </c>
      <c r="G29">
        <f>INDEX(Scores!$B$13:$T$22,$C29,$B29)</f>
        <v>763.71510000000001</v>
      </c>
      <c r="H29">
        <f>INDEX(Scores!$B$13:$T$22,$D29,$B29)</f>
        <v>487.98720000000003</v>
      </c>
      <c r="I29">
        <f t="shared" si="0"/>
        <v>1.5699999999999932</v>
      </c>
      <c r="J29">
        <f t="shared" si="1"/>
        <v>35.379405026088271</v>
      </c>
      <c r="K29">
        <f t="shared" si="2"/>
        <v>0.47948651653235275</v>
      </c>
      <c r="L29">
        <f t="shared" si="3"/>
        <v>0.51488102078122644</v>
      </c>
      <c r="M29">
        <f t="shared" si="4"/>
        <v>5.6324626864208138E-3</v>
      </c>
    </row>
    <row r="30" spans="1:13" x14ac:dyDescent="0.25">
      <c r="A30">
        <f t="shared" si="5"/>
        <v>29</v>
      </c>
      <c r="B30">
        <f>INDEX(Scores!$Y$2:$Y$131,MATCH($A30,Scores!$AC$2:$AC$131,0))</f>
        <v>7</v>
      </c>
      <c r="C30">
        <f>INDEX(Scores!$Z$2:$Z$131,MATCH($A30,Scores!$AC$2:$AC$131,0))</f>
        <v>3</v>
      </c>
      <c r="D30">
        <f>INDEX(Scores!$AA$2:$AA$131,MATCH($A30,Scores!$AC$2:$AC$131,0))</f>
        <v>4</v>
      </c>
      <c r="E30">
        <f>INDEX(Scores!$B$2:$T$11,$C30,$B30)</f>
        <v>107.27000000000001</v>
      </c>
      <c r="F30">
        <f>INDEX(Scores!$B$2:$T$11,$D30,$B30)</f>
        <v>102.97000000000001</v>
      </c>
      <c r="G30">
        <f>INDEX(Scores!$B$13:$T$22,$C30,$B30)</f>
        <v>438.92689999999999</v>
      </c>
      <c r="H30">
        <f>INDEX(Scores!$B$13:$T$22,$D30,$B30)</f>
        <v>367.17090000000002</v>
      </c>
      <c r="I30">
        <f t="shared" si="0"/>
        <v>-4.2999999999999972</v>
      </c>
      <c r="J30">
        <f t="shared" si="1"/>
        <v>28.391861509946825</v>
      </c>
      <c r="K30">
        <f t="shared" si="2"/>
        <v>0.55671531890686465</v>
      </c>
      <c r="L30">
        <f t="shared" si="3"/>
        <v>0.43633923941944563</v>
      </c>
      <c r="M30">
        <f t="shared" si="4"/>
        <v>6.9454416736897118E-3</v>
      </c>
    </row>
    <row r="31" spans="1:13" x14ac:dyDescent="0.25">
      <c r="A31">
        <f t="shared" si="5"/>
        <v>30</v>
      </c>
      <c r="B31">
        <f>INDEX(Scores!$Y$2:$Y$131,MATCH($A31,Scores!$AC$2:$AC$131,0))</f>
        <v>8</v>
      </c>
      <c r="C31">
        <f>INDEX(Scores!$Z$2:$Z$131,MATCH($A31,Scores!$AC$2:$AC$131,0))</f>
        <v>3</v>
      </c>
      <c r="D31">
        <f>INDEX(Scores!$AA$2:$AA$131,MATCH($A31,Scores!$AC$2:$AC$131,0))</f>
        <v>7</v>
      </c>
      <c r="E31">
        <f>INDEX(Scores!$B$2:$T$11,$C31,$B31)</f>
        <v>117.09</v>
      </c>
      <c r="F31">
        <f>INDEX(Scores!$B$2:$T$11,$D31,$B31)</f>
        <v>103.21000000000001</v>
      </c>
      <c r="G31">
        <f>INDEX(Scores!$B$13:$T$22,$C31,$B31)</f>
        <v>460.03000000000009</v>
      </c>
      <c r="H31">
        <f>INDEX(Scores!$B$13:$T$22,$D31,$B31)</f>
        <v>405.06490000000008</v>
      </c>
      <c r="I31">
        <f t="shared" si="0"/>
        <v>-13.879999999999995</v>
      </c>
      <c r="J31">
        <f t="shared" si="1"/>
        <v>29.412495643858584</v>
      </c>
      <c r="K31">
        <f t="shared" si="2"/>
        <v>0.67846420050718936</v>
      </c>
      <c r="L31">
        <f t="shared" si="3"/>
        <v>0.31546863178582901</v>
      </c>
      <c r="M31">
        <f t="shared" si="4"/>
        <v>6.0671677069815688E-3</v>
      </c>
    </row>
    <row r="32" spans="1:13" x14ac:dyDescent="0.25">
      <c r="A32">
        <f t="shared" si="5"/>
        <v>31</v>
      </c>
      <c r="B32">
        <f>INDEX(Scores!$Y$2:$Y$131,MATCH($A32,Scores!$AC$2:$AC$131,0))</f>
        <v>9</v>
      </c>
      <c r="C32">
        <f>INDEX(Scores!$Z$2:$Z$131,MATCH($A32,Scores!$AC$2:$AC$131,0))</f>
        <v>3</v>
      </c>
      <c r="D32">
        <f>INDEX(Scores!$AA$2:$AA$131,MATCH($A32,Scores!$AC$2:$AC$131,0))</f>
        <v>8</v>
      </c>
      <c r="E32">
        <f>INDEX(Scores!$B$2:$T$11,$C32,$B32)</f>
        <v>104.71</v>
      </c>
      <c r="F32">
        <f>INDEX(Scores!$B$2:$T$11,$D32,$B32)</f>
        <v>107.93</v>
      </c>
      <c r="G32">
        <f>INDEX(Scores!$B$13:$T$22,$C32,$B32)</f>
        <v>347.95859999999993</v>
      </c>
      <c r="H32">
        <f>INDEX(Scores!$B$13:$T$22,$D32,$B32)</f>
        <v>467.57480000000004</v>
      </c>
      <c r="I32">
        <f t="shared" si="0"/>
        <v>3.2200000000000131</v>
      </c>
      <c r="J32">
        <f t="shared" si="1"/>
        <v>28.557545412727613</v>
      </c>
      <c r="K32">
        <f t="shared" si="2"/>
        <v>0.45164392643702422</v>
      </c>
      <c r="L32">
        <f t="shared" si="3"/>
        <v>0.54141553798051545</v>
      </c>
      <c r="M32">
        <f t="shared" si="4"/>
        <v>6.9405355824603276E-3</v>
      </c>
    </row>
    <row r="33" spans="1:13" x14ac:dyDescent="0.25">
      <c r="A33">
        <f t="shared" si="5"/>
        <v>32</v>
      </c>
      <c r="B33">
        <f>INDEX(Scores!$Y$2:$Y$131,MATCH($A33,Scores!$AC$2:$AC$131,0))</f>
        <v>10</v>
      </c>
      <c r="C33">
        <f>INDEX(Scores!$Z$2:$Z$131,MATCH($A33,Scores!$AC$2:$AC$131,0))</f>
        <v>3</v>
      </c>
      <c r="D33">
        <f>INDEX(Scores!$AA$2:$AA$131,MATCH($A33,Scores!$AC$2:$AC$131,0))</f>
        <v>6</v>
      </c>
      <c r="E33">
        <f>INDEX(Scores!$B$2:$T$11,$C33,$B33)</f>
        <v>93</v>
      </c>
      <c r="F33">
        <f>INDEX(Scores!$B$2:$T$11,$D33,$B33)</f>
        <v>122.25000000000001</v>
      </c>
      <c r="G33">
        <f>INDEX(Scores!$B$13:$T$22,$C33,$B33)</f>
        <v>363.84479999999996</v>
      </c>
      <c r="H33">
        <f>INDEX(Scores!$B$13:$T$22,$D33,$B33)</f>
        <v>446.33889999999997</v>
      </c>
      <c r="I33">
        <f t="shared" si="0"/>
        <v>29.250000000000014</v>
      </c>
      <c r="J33">
        <f t="shared" si="1"/>
        <v>28.463726038591645</v>
      </c>
      <c r="K33">
        <f t="shared" si="2"/>
        <v>0.15000619326755199</v>
      </c>
      <c r="L33">
        <f t="shared" si="3"/>
        <v>0.84586067864857795</v>
      </c>
      <c r="M33">
        <f t="shared" si="4"/>
        <v>4.1331280838700635E-3</v>
      </c>
    </row>
    <row r="34" spans="1:13" x14ac:dyDescent="0.25">
      <c r="A34">
        <f t="shared" si="5"/>
        <v>33</v>
      </c>
      <c r="B34">
        <f>INDEX(Scores!$Y$2:$Y$131,MATCH($A34,Scores!$AC$2:$AC$131,0))</f>
        <v>11</v>
      </c>
      <c r="C34">
        <f>INDEX(Scores!$Z$2:$Z$131,MATCH($A34,Scores!$AC$2:$AC$131,0))</f>
        <v>3</v>
      </c>
      <c r="D34">
        <f>INDEX(Scores!$AA$2:$AA$131,MATCH($A34,Scores!$AC$2:$AC$131,0))</f>
        <v>10</v>
      </c>
      <c r="E34">
        <f>INDEX(Scores!$B$2:$T$11,$C34,$B34)</f>
        <v>112.91000000000001</v>
      </c>
      <c r="F34">
        <f>INDEX(Scores!$B$2:$T$11,$D34,$B34)</f>
        <v>101.64</v>
      </c>
      <c r="G34">
        <f>INDEX(Scores!$B$13:$T$22,$C34,$B34)</f>
        <v>449.12279999999998</v>
      </c>
      <c r="H34">
        <f>INDEX(Scores!$B$13:$T$22,$D34,$B34)</f>
        <v>406.8202</v>
      </c>
      <c r="I34">
        <f t="shared" si="0"/>
        <v>-11.27000000000001</v>
      </c>
      <c r="J34">
        <f t="shared" si="1"/>
        <v>29.256503550492837</v>
      </c>
      <c r="K34">
        <f t="shared" si="2"/>
        <v>0.64678997053482479</v>
      </c>
      <c r="L34">
        <f t="shared" si="3"/>
        <v>0.34687963475193917</v>
      </c>
      <c r="M34">
        <f t="shared" si="4"/>
        <v>6.3303947132360427E-3</v>
      </c>
    </row>
    <row r="35" spans="1:13" x14ac:dyDescent="0.25">
      <c r="A35">
        <f t="shared" si="5"/>
        <v>34</v>
      </c>
      <c r="B35">
        <f>INDEX(Scores!$Y$2:$Y$131,MATCH($A35,Scores!$AC$2:$AC$131,0))</f>
        <v>12</v>
      </c>
      <c r="C35">
        <f>INDEX(Scores!$Z$2:$Z$131,MATCH($A35,Scores!$AC$2:$AC$131,0))</f>
        <v>3</v>
      </c>
      <c r="D35">
        <f>INDEX(Scores!$AA$2:$AA$131,MATCH($A35,Scores!$AC$2:$AC$131,0))</f>
        <v>5</v>
      </c>
      <c r="E35">
        <f>INDEX(Scores!$B$2:$T$11,$C35,$B35)</f>
        <v>111.5</v>
      </c>
      <c r="F35">
        <f>INDEX(Scores!$B$2:$T$11,$D35,$B35)</f>
        <v>109.74000000000001</v>
      </c>
      <c r="G35">
        <f>INDEX(Scores!$B$13:$T$22,$C35,$B35)</f>
        <v>420.84329999999994</v>
      </c>
      <c r="H35">
        <f>INDEX(Scores!$B$13:$T$22,$D35,$B35)</f>
        <v>426.73990000000009</v>
      </c>
      <c r="I35">
        <f t="shared" si="0"/>
        <v>-1.7599999999999909</v>
      </c>
      <c r="J35">
        <f t="shared" si="1"/>
        <v>29.113282192154152</v>
      </c>
      <c r="K35">
        <f t="shared" si="2"/>
        <v>0.52068241083644962</v>
      </c>
      <c r="L35">
        <f t="shared" si="3"/>
        <v>0.47247863031894938</v>
      </c>
      <c r="M35">
        <f t="shared" si="4"/>
        <v>6.8389588446009508E-3</v>
      </c>
    </row>
    <row r="36" spans="1:13" x14ac:dyDescent="0.25">
      <c r="A36">
        <f t="shared" si="5"/>
        <v>35</v>
      </c>
      <c r="B36">
        <f>INDEX(Scores!$Y$2:$Y$131,MATCH($A36,Scores!$AC$2:$AC$131,0))</f>
        <v>13</v>
      </c>
      <c r="C36">
        <f>INDEX(Scores!$Z$2:$Z$131,MATCH($A36,Scores!$AC$2:$AC$131,0))</f>
        <v>3</v>
      </c>
      <c r="D36">
        <f>INDEX(Scores!$AA$2:$AA$131,MATCH($A36,Scores!$AC$2:$AC$131,0))</f>
        <v>9</v>
      </c>
      <c r="E36">
        <f>INDEX(Scores!$B$2:$T$11,$C36,$B36)</f>
        <v>113.49</v>
      </c>
      <c r="F36">
        <f>INDEX(Scores!$B$2:$T$11,$D36,$B36)</f>
        <v>120.49</v>
      </c>
      <c r="G36">
        <f>INDEX(Scores!$B$13:$T$22,$C36,$B36)</f>
        <v>406.09120000000001</v>
      </c>
      <c r="H36">
        <f>INDEX(Scores!$B$13:$T$22,$D36,$B36)</f>
        <v>580.8596</v>
      </c>
      <c r="I36">
        <f t="shared" si="0"/>
        <v>7</v>
      </c>
      <c r="J36">
        <f t="shared" si="1"/>
        <v>31.415773108424375</v>
      </c>
      <c r="K36">
        <f t="shared" si="2"/>
        <v>0.40874449342524355</v>
      </c>
      <c r="L36">
        <f t="shared" si="3"/>
        <v>0.5850618507919485</v>
      </c>
      <c r="M36">
        <f t="shared" si="4"/>
        <v>6.1936557828078942E-3</v>
      </c>
    </row>
    <row r="37" spans="1:13" x14ac:dyDescent="0.25">
      <c r="A37">
        <f t="shared" si="5"/>
        <v>36</v>
      </c>
      <c r="B37">
        <f>INDEX(Scores!$Y$2:$Y$131,MATCH($A37,Scores!$AC$2:$AC$131,0))</f>
        <v>1</v>
      </c>
      <c r="C37">
        <f>INDEX(Scores!$Z$2:$Z$131,MATCH($A37,Scores!$AC$2:$AC$131,0))</f>
        <v>4</v>
      </c>
      <c r="D37">
        <f>INDEX(Scores!$AA$2:$AA$131,MATCH($A37,Scores!$AC$2:$AC$131,0))</f>
        <v>7</v>
      </c>
      <c r="E37">
        <f>INDEX(Scores!$B$2:$T$11,$C37,$B37)</f>
        <v>97.7</v>
      </c>
      <c r="F37">
        <f>INDEX(Scores!$B$2:$T$11,$D37,$B37)</f>
        <v>111.4</v>
      </c>
      <c r="G37">
        <f>INDEX(Scores!$B$13:$T$22,$C37,$B37)</f>
        <v>0</v>
      </c>
      <c r="H37">
        <f>INDEX(Scores!$B$13:$T$22,$D37,$B37)</f>
        <v>0</v>
      </c>
      <c r="I37">
        <f t="shared" si="0"/>
        <v>13.700000000000003</v>
      </c>
      <c r="J37">
        <f t="shared" si="1"/>
        <v>0</v>
      </c>
      <c r="K37">
        <f t="shared" si="2"/>
        <v>0</v>
      </c>
      <c r="L37">
        <f t="shared" si="3"/>
        <v>1</v>
      </c>
      <c r="M37">
        <f t="shared" si="4"/>
        <v>0</v>
      </c>
    </row>
    <row r="38" spans="1:13" x14ac:dyDescent="0.25">
      <c r="A38">
        <f t="shared" si="5"/>
        <v>37</v>
      </c>
      <c r="B38">
        <f>INDEX(Scores!$Y$2:$Y$131,MATCH($A38,Scores!$AC$2:$AC$131,0))</f>
        <v>3</v>
      </c>
      <c r="C38">
        <f>INDEX(Scores!$Z$2:$Z$131,MATCH($A38,Scores!$AC$2:$AC$131,0))</f>
        <v>4</v>
      </c>
      <c r="D38">
        <f>INDEX(Scores!$AA$2:$AA$131,MATCH($A38,Scores!$AC$2:$AC$131,0))</f>
        <v>6</v>
      </c>
      <c r="E38">
        <f>INDEX(Scores!$B$2:$T$11,$C38,$B38)</f>
        <v>100.10000000000001</v>
      </c>
      <c r="F38">
        <f>INDEX(Scores!$B$2:$T$11,$D38,$B38)</f>
        <v>104.6</v>
      </c>
      <c r="G38">
        <f>INDEX(Scores!$B$13:$T$22,$C38,$B38)</f>
        <v>0</v>
      </c>
      <c r="H38">
        <f>INDEX(Scores!$B$13:$T$22,$D38,$B38)</f>
        <v>0</v>
      </c>
      <c r="I38">
        <f t="shared" si="0"/>
        <v>4.4999999999999858</v>
      </c>
      <c r="J38">
        <f t="shared" si="1"/>
        <v>0</v>
      </c>
      <c r="K38">
        <f t="shared" si="2"/>
        <v>0</v>
      </c>
      <c r="L38">
        <f t="shared" si="3"/>
        <v>1</v>
      </c>
      <c r="M38">
        <f t="shared" si="4"/>
        <v>0</v>
      </c>
    </row>
    <row r="39" spans="1:13" x14ac:dyDescent="0.25">
      <c r="A39">
        <f t="shared" si="5"/>
        <v>38</v>
      </c>
      <c r="B39">
        <f>INDEX(Scores!$Y$2:$Y$131,MATCH($A39,Scores!$AC$2:$AC$131,0))</f>
        <v>4</v>
      </c>
      <c r="C39">
        <f>INDEX(Scores!$Z$2:$Z$131,MATCH($A39,Scores!$AC$2:$AC$131,0))</f>
        <v>4</v>
      </c>
      <c r="D39">
        <f>INDEX(Scores!$AA$2:$AA$131,MATCH($A39,Scores!$AC$2:$AC$131,0))</f>
        <v>8</v>
      </c>
      <c r="E39">
        <f>INDEX(Scores!$B$2:$T$11,$C39,$B39)</f>
        <v>119.9</v>
      </c>
      <c r="F39">
        <f>INDEX(Scores!$B$2:$T$11,$D39,$B39)</f>
        <v>136.89999999999998</v>
      </c>
      <c r="G39">
        <f>INDEX(Scores!$B$13:$T$22,$C39,$B39)</f>
        <v>0</v>
      </c>
      <c r="H39">
        <f>INDEX(Scores!$B$13:$T$22,$D39,$B39)</f>
        <v>0</v>
      </c>
      <c r="I39">
        <f t="shared" si="0"/>
        <v>16.999999999999972</v>
      </c>
      <c r="J39">
        <f t="shared" si="1"/>
        <v>0</v>
      </c>
      <c r="K39">
        <f t="shared" si="2"/>
        <v>0</v>
      </c>
      <c r="L39">
        <f t="shared" si="3"/>
        <v>1</v>
      </c>
      <c r="M39">
        <f t="shared" si="4"/>
        <v>0</v>
      </c>
    </row>
    <row r="40" spans="1:13" x14ac:dyDescent="0.25">
      <c r="A40">
        <f t="shared" si="5"/>
        <v>39</v>
      </c>
      <c r="B40">
        <f>INDEX(Scores!$Y$2:$Y$131,MATCH($A40,Scores!$AC$2:$AC$131,0))</f>
        <v>6</v>
      </c>
      <c r="C40">
        <f>INDEX(Scores!$Z$2:$Z$131,MATCH($A40,Scores!$AC$2:$AC$131,0))</f>
        <v>4</v>
      </c>
      <c r="D40">
        <f>INDEX(Scores!$AA$2:$AA$131,MATCH($A40,Scores!$AC$2:$AC$131,0))</f>
        <v>5</v>
      </c>
      <c r="E40">
        <f>INDEX(Scores!$B$2:$T$11,$C40,$B40)</f>
        <v>106.66000000000003</v>
      </c>
      <c r="F40">
        <f>INDEX(Scores!$B$2:$T$11,$D40,$B40)</f>
        <v>111.06</v>
      </c>
      <c r="G40">
        <f>INDEX(Scores!$B$13:$T$22,$C40,$B40)</f>
        <v>399.24950000000001</v>
      </c>
      <c r="H40">
        <f>INDEX(Scores!$B$13:$T$22,$D40,$B40)</f>
        <v>433.51170000000008</v>
      </c>
      <c r="I40">
        <f t="shared" si="0"/>
        <v>4.3999999999999773</v>
      </c>
      <c r="J40">
        <f t="shared" si="1"/>
        <v>28.857602117986175</v>
      </c>
      <c r="K40">
        <f t="shared" si="2"/>
        <v>0.43599312395901185</v>
      </c>
      <c r="L40">
        <f t="shared" si="3"/>
        <v>0.55717458603526826</v>
      </c>
      <c r="M40">
        <f t="shared" si="4"/>
        <v>6.8322900057198876E-3</v>
      </c>
    </row>
    <row r="41" spans="1:13" x14ac:dyDescent="0.25">
      <c r="A41">
        <f t="shared" si="5"/>
        <v>40</v>
      </c>
      <c r="B41">
        <f>INDEX(Scores!$Y$2:$Y$131,MATCH($A41,Scores!$AC$2:$AC$131,0))</f>
        <v>8</v>
      </c>
      <c r="C41">
        <f>INDEX(Scores!$Z$2:$Z$131,MATCH($A41,Scores!$AC$2:$AC$131,0))</f>
        <v>4</v>
      </c>
      <c r="D41">
        <f>INDEX(Scores!$AA$2:$AA$131,MATCH($A41,Scores!$AC$2:$AC$131,0))</f>
        <v>10</v>
      </c>
      <c r="E41">
        <f>INDEX(Scores!$B$2:$T$11,$C41,$B41)</f>
        <v>100.92000000000003</v>
      </c>
      <c r="F41">
        <f>INDEX(Scores!$B$2:$T$11,$D41,$B41)</f>
        <v>93.6</v>
      </c>
      <c r="G41">
        <f>INDEX(Scores!$B$13:$T$22,$C41,$B41)</f>
        <v>366.57740000000001</v>
      </c>
      <c r="H41">
        <f>INDEX(Scores!$B$13:$T$22,$D41,$B41)</f>
        <v>365.15859999999998</v>
      </c>
      <c r="I41">
        <f t="shared" si="0"/>
        <v>-7.3200000000000358</v>
      </c>
      <c r="J41">
        <f t="shared" si="1"/>
        <v>27.050619216572475</v>
      </c>
      <c r="K41">
        <f t="shared" si="2"/>
        <v>0.60309326463805191</v>
      </c>
      <c r="L41">
        <f t="shared" si="3"/>
        <v>0.38979793665856366</v>
      </c>
      <c r="M41">
        <f t="shared" si="4"/>
        <v>7.1087987033844335E-3</v>
      </c>
    </row>
    <row r="42" spans="1:13" x14ac:dyDescent="0.25">
      <c r="A42">
        <f t="shared" si="5"/>
        <v>41</v>
      </c>
      <c r="B42">
        <f>INDEX(Scores!$Y$2:$Y$131,MATCH($A42,Scores!$AC$2:$AC$131,0))</f>
        <v>10</v>
      </c>
      <c r="C42">
        <f>INDEX(Scores!$Z$2:$Z$131,MATCH($A42,Scores!$AC$2:$AC$131,0))</f>
        <v>4</v>
      </c>
      <c r="D42">
        <f>INDEX(Scores!$AA$2:$AA$131,MATCH($A42,Scores!$AC$2:$AC$131,0))</f>
        <v>7</v>
      </c>
      <c r="E42">
        <f>INDEX(Scores!$B$2:$T$11,$C42,$B42)</f>
        <v>100.16999999999999</v>
      </c>
      <c r="F42">
        <f>INDEX(Scores!$B$2:$T$11,$D42,$B42)</f>
        <v>101.61</v>
      </c>
      <c r="G42">
        <f>INDEX(Scores!$B$13:$T$22,$C42,$B42)</f>
        <v>396.55950000000001</v>
      </c>
      <c r="H42">
        <f>INDEX(Scores!$B$13:$T$22,$D42,$B42)</f>
        <v>357.47739999999999</v>
      </c>
      <c r="I42">
        <f t="shared" si="0"/>
        <v>1.4400000000000119</v>
      </c>
      <c r="J42">
        <f t="shared" si="1"/>
        <v>27.459732336641594</v>
      </c>
      <c r="K42">
        <f t="shared" si="2"/>
        <v>0.47546272253800936</v>
      </c>
      <c r="L42">
        <f t="shared" si="3"/>
        <v>0.51728322598765786</v>
      </c>
      <c r="M42">
        <f t="shared" si="4"/>
        <v>7.2540514743327233E-3</v>
      </c>
    </row>
    <row r="43" spans="1:13" x14ac:dyDescent="0.25">
      <c r="A43">
        <f t="shared" si="5"/>
        <v>42</v>
      </c>
      <c r="B43">
        <f>INDEX(Scores!$Y$2:$Y$131,MATCH($A43,Scores!$AC$2:$AC$131,0))</f>
        <v>12</v>
      </c>
      <c r="C43">
        <f>INDEX(Scores!$Z$2:$Z$131,MATCH($A43,Scores!$AC$2:$AC$131,0))</f>
        <v>4</v>
      </c>
      <c r="D43">
        <f>INDEX(Scores!$AA$2:$AA$131,MATCH($A43,Scores!$AC$2:$AC$131,0))</f>
        <v>9</v>
      </c>
      <c r="E43">
        <f>INDEX(Scores!$B$2:$T$11,$C43,$B43)</f>
        <v>106.62</v>
      </c>
      <c r="F43">
        <f>INDEX(Scores!$B$2:$T$11,$D43,$B43)</f>
        <v>106.11999999999999</v>
      </c>
      <c r="G43">
        <f>INDEX(Scores!$B$13:$T$22,$C43,$B43)</f>
        <v>362.18360000000007</v>
      </c>
      <c r="H43">
        <f>INDEX(Scores!$B$13:$T$22,$D43,$B43)</f>
        <v>476.85540000000003</v>
      </c>
      <c r="I43">
        <f t="shared" si="0"/>
        <v>-0.50000000000001421</v>
      </c>
      <c r="J43">
        <f t="shared" si="1"/>
        <v>28.966169922860015</v>
      </c>
      <c r="K43">
        <f t="shared" si="2"/>
        <v>0.50344313149315212</v>
      </c>
      <c r="L43">
        <f t="shared" si="3"/>
        <v>0.48967163133386965</v>
      </c>
      <c r="M43">
        <f t="shared" si="4"/>
        <v>6.8852371729782869E-3</v>
      </c>
    </row>
    <row r="44" spans="1:13" x14ac:dyDescent="0.25">
      <c r="A44">
        <f t="shared" si="5"/>
        <v>43</v>
      </c>
      <c r="B44">
        <f>INDEX(Scores!$Y$2:$Y$131,MATCH($A44,Scores!$AC$2:$AC$131,0))</f>
        <v>13</v>
      </c>
      <c r="C44">
        <f>INDEX(Scores!$Z$2:$Z$131,MATCH($A44,Scores!$AC$2:$AC$131,0))</f>
        <v>4</v>
      </c>
      <c r="D44">
        <f>INDEX(Scores!$AA$2:$AA$131,MATCH($A44,Scores!$AC$2:$AC$131,0))</f>
        <v>8</v>
      </c>
      <c r="E44">
        <f>INDEX(Scores!$B$2:$T$11,$C44,$B44)</f>
        <v>109.39</v>
      </c>
      <c r="F44">
        <f>INDEX(Scores!$B$2:$T$11,$D44,$B44)</f>
        <v>110.18</v>
      </c>
      <c r="G44">
        <f>INDEX(Scores!$B$13:$T$22,$C44,$B44)</f>
        <v>424.23540000000003</v>
      </c>
      <c r="H44">
        <f>INDEX(Scores!$B$13:$T$22,$D44,$B44)</f>
        <v>469.66329999999999</v>
      </c>
      <c r="I44">
        <f t="shared" si="0"/>
        <v>0.79000000000000625</v>
      </c>
      <c r="J44">
        <f t="shared" si="1"/>
        <v>29.898138738055248</v>
      </c>
      <c r="K44">
        <f t="shared" si="2"/>
        <v>0.48612568092317271</v>
      </c>
      <c r="L44">
        <f t="shared" si="3"/>
        <v>0.50720503444439313</v>
      </c>
      <c r="M44">
        <f t="shared" si="4"/>
        <v>6.6692846324341581E-3</v>
      </c>
    </row>
    <row r="45" spans="1:13" x14ac:dyDescent="0.25">
      <c r="A45">
        <f t="shared" si="5"/>
        <v>44</v>
      </c>
      <c r="B45">
        <f>INDEX(Scores!$Y$2:$Y$131,MATCH($A45,Scores!$AC$2:$AC$131,0))</f>
        <v>1</v>
      </c>
      <c r="C45">
        <f>INDEX(Scores!$Z$2:$Z$131,MATCH($A45,Scores!$AC$2:$AC$131,0))</f>
        <v>5</v>
      </c>
      <c r="D45">
        <f>INDEX(Scores!$AA$2:$AA$131,MATCH($A45,Scores!$AC$2:$AC$131,0))</f>
        <v>10</v>
      </c>
      <c r="E45">
        <f>INDEX(Scores!$B$2:$T$11,$C45,$B45)</f>
        <v>107.10000000000001</v>
      </c>
      <c r="F45">
        <f>INDEX(Scores!$B$2:$T$11,$D45,$B45)</f>
        <v>91.5</v>
      </c>
      <c r="G45">
        <f>INDEX(Scores!$B$13:$T$22,$C45,$B45)</f>
        <v>0</v>
      </c>
      <c r="H45">
        <f>INDEX(Scores!$B$13:$T$22,$D45,$B45)</f>
        <v>0</v>
      </c>
      <c r="I45">
        <f t="shared" si="0"/>
        <v>-15.600000000000009</v>
      </c>
      <c r="J45">
        <f t="shared" si="1"/>
        <v>0</v>
      </c>
      <c r="K45">
        <f t="shared" si="2"/>
        <v>1</v>
      </c>
      <c r="L45">
        <f t="shared" si="3"/>
        <v>0</v>
      </c>
      <c r="M45">
        <f t="shared" si="4"/>
        <v>0</v>
      </c>
    </row>
    <row r="46" spans="1:13" x14ac:dyDescent="0.25">
      <c r="A46">
        <f t="shared" si="5"/>
        <v>45</v>
      </c>
      <c r="B46">
        <f>INDEX(Scores!$Y$2:$Y$131,MATCH($A46,Scores!$AC$2:$AC$131,0))</f>
        <v>3</v>
      </c>
      <c r="C46">
        <f>INDEX(Scores!$Z$2:$Z$131,MATCH($A46,Scores!$AC$2:$AC$131,0))</f>
        <v>5</v>
      </c>
      <c r="D46">
        <f>INDEX(Scores!$AA$2:$AA$131,MATCH($A46,Scores!$AC$2:$AC$131,0))</f>
        <v>9</v>
      </c>
      <c r="E46">
        <f>INDEX(Scores!$B$2:$T$11,$C46,$B46)</f>
        <v>92.5</v>
      </c>
      <c r="F46">
        <f>INDEX(Scores!$B$2:$T$11,$D46,$B46)</f>
        <v>107.8</v>
      </c>
      <c r="G46">
        <f>INDEX(Scores!$B$13:$T$22,$C46,$B46)</f>
        <v>0</v>
      </c>
      <c r="H46">
        <f>INDEX(Scores!$B$13:$T$22,$D46,$B46)</f>
        <v>0</v>
      </c>
      <c r="I46">
        <f t="shared" si="0"/>
        <v>15.299999999999997</v>
      </c>
      <c r="J46">
        <f t="shared" si="1"/>
        <v>0</v>
      </c>
      <c r="K46">
        <f t="shared" si="2"/>
        <v>0</v>
      </c>
      <c r="L46">
        <f t="shared" si="3"/>
        <v>1</v>
      </c>
      <c r="M46">
        <f t="shared" si="4"/>
        <v>0</v>
      </c>
    </row>
    <row r="47" spans="1:13" x14ac:dyDescent="0.25">
      <c r="A47">
        <f t="shared" si="5"/>
        <v>46</v>
      </c>
      <c r="B47">
        <f>INDEX(Scores!$Y$2:$Y$131,MATCH($A47,Scores!$AC$2:$AC$131,0))</f>
        <v>5</v>
      </c>
      <c r="C47">
        <f>INDEX(Scores!$Z$2:$Z$131,MATCH($A47,Scores!$AC$2:$AC$131,0))</f>
        <v>5</v>
      </c>
      <c r="D47">
        <f>INDEX(Scores!$AA$2:$AA$131,MATCH($A47,Scores!$AC$2:$AC$131,0))</f>
        <v>6</v>
      </c>
      <c r="E47">
        <f>INDEX(Scores!$B$2:$T$11,$C47,$B47)</f>
        <v>103.71</v>
      </c>
      <c r="F47">
        <f>INDEX(Scores!$B$2:$T$11,$D47,$B47)</f>
        <v>112.39000000000001</v>
      </c>
      <c r="G47">
        <f>INDEX(Scores!$B$13:$T$22,$C47,$B47)</f>
        <v>393.9452</v>
      </c>
      <c r="H47">
        <f>INDEX(Scores!$B$13:$T$22,$D47,$B47)</f>
        <v>391.17150000000004</v>
      </c>
      <c r="I47">
        <f t="shared" si="0"/>
        <v>8.680000000000021</v>
      </c>
      <c r="J47">
        <f t="shared" si="1"/>
        <v>28.019933975653835</v>
      </c>
      <c r="K47">
        <f t="shared" si="2"/>
        <v>0.37497637071707524</v>
      </c>
      <c r="L47">
        <f t="shared" si="3"/>
        <v>0.61823832099121345</v>
      </c>
      <c r="M47">
        <f t="shared" si="4"/>
        <v>6.7853082917113672E-3</v>
      </c>
    </row>
    <row r="48" spans="1:13" x14ac:dyDescent="0.25">
      <c r="A48">
        <f t="shared" si="5"/>
        <v>47</v>
      </c>
      <c r="B48">
        <f>INDEX(Scores!$Y$2:$Y$131,MATCH($A48,Scores!$AC$2:$AC$131,0))</f>
        <v>7</v>
      </c>
      <c r="C48">
        <f>INDEX(Scores!$Z$2:$Z$131,MATCH($A48,Scores!$AC$2:$AC$131,0))</f>
        <v>5</v>
      </c>
      <c r="D48">
        <f>INDEX(Scores!$AA$2:$AA$131,MATCH($A48,Scores!$AC$2:$AC$131,0))</f>
        <v>7</v>
      </c>
      <c r="E48">
        <f>INDEX(Scores!$B$2:$T$11,$C48,$B48)</f>
        <v>97.619999999999976</v>
      </c>
      <c r="F48">
        <f>INDEX(Scores!$B$2:$T$11,$D48,$B48)</f>
        <v>102.42999999999999</v>
      </c>
      <c r="G48">
        <f>INDEX(Scores!$B$13:$T$22,$C48,$B48)</f>
        <v>342.00120000000004</v>
      </c>
      <c r="H48">
        <f>INDEX(Scores!$B$13:$T$22,$D48,$B48)</f>
        <v>394.70159999999998</v>
      </c>
      <c r="I48">
        <f t="shared" si="0"/>
        <v>4.8100000000000165</v>
      </c>
      <c r="J48">
        <f t="shared" si="1"/>
        <v>27.142269617701466</v>
      </c>
      <c r="K48">
        <f t="shared" si="2"/>
        <v>0.42605570997638997</v>
      </c>
      <c r="L48">
        <f t="shared" si="3"/>
        <v>0.56670979090424467</v>
      </c>
      <c r="M48">
        <f t="shared" si="4"/>
        <v>7.2344991193653563E-3</v>
      </c>
    </row>
    <row r="49" spans="1:13" x14ac:dyDescent="0.25">
      <c r="A49">
        <f t="shared" si="5"/>
        <v>48</v>
      </c>
      <c r="B49">
        <f>INDEX(Scores!$Y$2:$Y$131,MATCH($A49,Scores!$AC$2:$AC$131,0))</f>
        <v>8</v>
      </c>
      <c r="C49">
        <f>INDEX(Scores!$Z$2:$Z$131,MATCH($A49,Scores!$AC$2:$AC$131,0))</f>
        <v>5</v>
      </c>
      <c r="D49">
        <f>INDEX(Scores!$AA$2:$AA$131,MATCH($A49,Scores!$AC$2:$AC$131,0))</f>
        <v>8</v>
      </c>
      <c r="E49">
        <f>INDEX(Scores!$B$2:$T$11,$C49,$B49)</f>
        <v>108.68</v>
      </c>
      <c r="F49">
        <f>INDEX(Scores!$B$2:$T$11,$D49,$B49)</f>
        <v>88.039999999999992</v>
      </c>
      <c r="G49">
        <f>INDEX(Scores!$B$13:$T$22,$C49,$B49)</f>
        <v>391.93540000000002</v>
      </c>
      <c r="H49">
        <f>INDEX(Scores!$B$13:$T$22,$D49,$B49)</f>
        <v>382.75790000000001</v>
      </c>
      <c r="I49">
        <f t="shared" si="0"/>
        <v>-20.640000000000015</v>
      </c>
      <c r="J49">
        <f t="shared" si="1"/>
        <v>27.833312774443506</v>
      </c>
      <c r="K49">
        <f t="shared" si="2"/>
        <v>0.76809127760275842</v>
      </c>
      <c r="L49">
        <f t="shared" si="3"/>
        <v>0.22646492866705265</v>
      </c>
      <c r="M49">
        <f t="shared" si="4"/>
        <v>5.4437937301889949E-3</v>
      </c>
    </row>
    <row r="50" spans="1:13" x14ac:dyDescent="0.25">
      <c r="A50">
        <f t="shared" si="5"/>
        <v>49</v>
      </c>
      <c r="B50">
        <f>INDEX(Scores!$Y$2:$Y$131,MATCH($A50,Scores!$AC$2:$AC$131,0))</f>
        <v>9</v>
      </c>
      <c r="C50">
        <f>INDEX(Scores!$Z$2:$Z$131,MATCH($A50,Scores!$AC$2:$AC$131,0))</f>
        <v>5</v>
      </c>
      <c r="D50">
        <f>INDEX(Scores!$AA$2:$AA$131,MATCH($A50,Scores!$AC$2:$AC$131,0))</f>
        <v>10</v>
      </c>
      <c r="E50">
        <f>INDEX(Scores!$B$2:$T$11,$C50,$B50)</f>
        <v>103.55999999999999</v>
      </c>
      <c r="F50">
        <f>INDEX(Scores!$B$2:$T$11,$D50,$B50)</f>
        <v>91.03</v>
      </c>
      <c r="G50">
        <f>INDEX(Scores!$B$13:$T$22,$C50,$B50)</f>
        <v>398.51049999999998</v>
      </c>
      <c r="H50">
        <f>INDEX(Scores!$B$13:$T$22,$D50,$B50)</f>
        <v>334.6001</v>
      </c>
      <c r="I50">
        <f t="shared" si="0"/>
        <v>-12.529999999999987</v>
      </c>
      <c r="J50">
        <f t="shared" si="1"/>
        <v>27.076015216423556</v>
      </c>
      <c r="K50">
        <f t="shared" si="2"/>
        <v>0.67491928280275137</v>
      </c>
      <c r="L50">
        <f t="shared" si="3"/>
        <v>0.31846180179621297</v>
      </c>
      <c r="M50">
        <f t="shared" si="4"/>
        <v>6.6189154010356521E-3</v>
      </c>
    </row>
    <row r="51" spans="1:13" x14ac:dyDescent="0.25">
      <c r="A51">
        <f t="shared" si="5"/>
        <v>50</v>
      </c>
      <c r="B51">
        <f>INDEX(Scores!$Y$2:$Y$131,MATCH($A51,Scores!$AC$2:$AC$131,0))</f>
        <v>11</v>
      </c>
      <c r="C51">
        <f>INDEX(Scores!$Z$2:$Z$131,MATCH($A51,Scores!$AC$2:$AC$131,0))</f>
        <v>5</v>
      </c>
      <c r="D51">
        <f>INDEX(Scores!$AA$2:$AA$131,MATCH($A51,Scores!$AC$2:$AC$131,0))</f>
        <v>9</v>
      </c>
      <c r="E51">
        <f>INDEX(Scores!$B$2:$T$11,$C51,$B51)</f>
        <v>104.53999999999999</v>
      </c>
      <c r="F51">
        <f>INDEX(Scores!$B$2:$T$11,$D51,$B51)</f>
        <v>121.06</v>
      </c>
      <c r="G51">
        <f>INDEX(Scores!$B$13:$T$22,$C51,$B51)</f>
        <v>409.76599999999996</v>
      </c>
      <c r="H51">
        <f>INDEX(Scores!$B$13:$T$22,$D51,$B51)</f>
        <v>517.40019999999993</v>
      </c>
      <c r="I51">
        <f t="shared" si="0"/>
        <v>16.52000000000001</v>
      </c>
      <c r="J51">
        <f t="shared" si="1"/>
        <v>30.449403935052651</v>
      </c>
      <c r="K51">
        <f t="shared" si="2"/>
        <v>0.29090263573149644</v>
      </c>
      <c r="L51">
        <f t="shared" si="3"/>
        <v>0.70344303925100671</v>
      </c>
      <c r="M51">
        <f t="shared" si="4"/>
        <v>5.6543250174968529E-3</v>
      </c>
    </row>
    <row r="52" spans="1:13" x14ac:dyDescent="0.25">
      <c r="A52">
        <f t="shared" si="5"/>
        <v>51</v>
      </c>
      <c r="B52">
        <f>INDEX(Scores!$Y$2:$Y$131,MATCH($A52,Scores!$AC$2:$AC$131,0))</f>
        <v>13</v>
      </c>
      <c r="C52">
        <f>INDEX(Scores!$Z$2:$Z$131,MATCH($A52,Scores!$AC$2:$AC$131,0))</f>
        <v>5</v>
      </c>
      <c r="D52">
        <f>INDEX(Scores!$AA$2:$AA$131,MATCH($A52,Scores!$AC$2:$AC$131,0))</f>
        <v>6</v>
      </c>
      <c r="E52">
        <f>INDEX(Scores!$B$2:$T$11,$C52,$B52)</f>
        <v>101.06</v>
      </c>
      <c r="F52">
        <f>INDEX(Scores!$B$2:$T$11,$D52,$B52)</f>
        <v>120.11000000000001</v>
      </c>
      <c r="G52">
        <f>INDEX(Scores!$B$13:$T$22,$C52,$B52)</f>
        <v>408.0872</v>
      </c>
      <c r="H52">
        <f>INDEX(Scores!$B$13:$T$22,$D52,$B52)</f>
        <v>495.99799999999993</v>
      </c>
      <c r="I52">
        <f t="shared" si="0"/>
        <v>19.050000000000011</v>
      </c>
      <c r="J52">
        <f t="shared" si="1"/>
        <v>30.068009578287686</v>
      </c>
      <c r="K52">
        <f t="shared" si="2"/>
        <v>0.2604761334542367</v>
      </c>
      <c r="L52">
        <f t="shared" si="3"/>
        <v>0.73409625392362599</v>
      </c>
      <c r="M52">
        <f t="shared" si="4"/>
        <v>5.4276126221373122E-3</v>
      </c>
    </row>
    <row r="53" spans="1:13" x14ac:dyDescent="0.25">
      <c r="A53">
        <f t="shared" si="5"/>
        <v>52</v>
      </c>
      <c r="B53">
        <f>INDEX(Scores!$Y$2:$Y$131,MATCH($A53,Scores!$AC$2:$AC$131,0))</f>
        <v>1</v>
      </c>
      <c r="C53">
        <f>INDEX(Scores!$Z$2:$Z$131,MATCH($A53,Scores!$AC$2:$AC$131,0))</f>
        <v>6</v>
      </c>
      <c r="D53">
        <f>INDEX(Scores!$AA$2:$AA$131,MATCH($A53,Scores!$AC$2:$AC$131,0))</f>
        <v>9</v>
      </c>
      <c r="E53">
        <f>INDEX(Scores!$B$2:$T$11,$C53,$B53)</f>
        <v>106.2</v>
      </c>
      <c r="F53">
        <f>INDEX(Scores!$B$2:$T$11,$D53,$B53)</f>
        <v>144.89999999999998</v>
      </c>
      <c r="G53">
        <f>INDEX(Scores!$B$13:$T$22,$C53,$B53)</f>
        <v>0</v>
      </c>
      <c r="H53">
        <f>INDEX(Scores!$B$13:$T$22,$D53,$B53)</f>
        <v>0</v>
      </c>
      <c r="I53">
        <f t="shared" si="0"/>
        <v>38.699999999999974</v>
      </c>
      <c r="J53">
        <f t="shared" si="1"/>
        <v>0</v>
      </c>
      <c r="K53">
        <f t="shared" si="2"/>
        <v>0</v>
      </c>
      <c r="L53">
        <f t="shared" si="3"/>
        <v>1</v>
      </c>
      <c r="M53">
        <f t="shared" si="4"/>
        <v>0</v>
      </c>
    </row>
    <row r="54" spans="1:13" x14ac:dyDescent="0.25">
      <c r="A54">
        <f t="shared" si="5"/>
        <v>53</v>
      </c>
      <c r="B54">
        <f>INDEX(Scores!$Y$2:$Y$131,MATCH($A54,Scores!$AC$2:$AC$131,0))</f>
        <v>4</v>
      </c>
      <c r="C54">
        <f>INDEX(Scores!$Z$2:$Z$131,MATCH($A54,Scores!$AC$2:$AC$131,0))</f>
        <v>6</v>
      </c>
      <c r="D54">
        <f>INDEX(Scores!$AA$2:$AA$131,MATCH($A54,Scores!$AC$2:$AC$131,0))</f>
        <v>10</v>
      </c>
      <c r="E54">
        <f>INDEX(Scores!$B$2:$T$11,$C54,$B54)</f>
        <v>106</v>
      </c>
      <c r="F54">
        <f>INDEX(Scores!$B$2:$T$11,$D54,$B54)</f>
        <v>71.199999999999989</v>
      </c>
      <c r="G54">
        <f>INDEX(Scores!$B$13:$T$22,$C54,$B54)</f>
        <v>0</v>
      </c>
      <c r="H54">
        <f>INDEX(Scores!$B$13:$T$22,$D54,$B54)</f>
        <v>0</v>
      </c>
      <c r="I54">
        <f t="shared" si="0"/>
        <v>-34.800000000000011</v>
      </c>
      <c r="J54">
        <f t="shared" si="1"/>
        <v>0</v>
      </c>
      <c r="K54">
        <f t="shared" si="2"/>
        <v>1</v>
      </c>
      <c r="L54">
        <f t="shared" si="3"/>
        <v>0</v>
      </c>
      <c r="M54">
        <f t="shared" si="4"/>
        <v>0</v>
      </c>
    </row>
    <row r="55" spans="1:13" x14ac:dyDescent="0.25">
      <c r="A55">
        <f t="shared" si="5"/>
        <v>54</v>
      </c>
      <c r="B55">
        <f>INDEX(Scores!$Y$2:$Y$131,MATCH($A55,Scores!$AC$2:$AC$131,0))</f>
        <v>6</v>
      </c>
      <c r="C55">
        <f>INDEX(Scores!$Z$2:$Z$131,MATCH($A55,Scores!$AC$2:$AC$131,0))</f>
        <v>6</v>
      </c>
      <c r="D55">
        <f>INDEX(Scores!$AA$2:$AA$131,MATCH($A55,Scores!$AC$2:$AC$131,0))</f>
        <v>7</v>
      </c>
      <c r="E55">
        <f>INDEX(Scores!$B$2:$T$11,$C55,$B55)</f>
        <v>110.40000000000002</v>
      </c>
      <c r="F55">
        <f>INDEX(Scores!$B$2:$T$11,$D55,$B55)</f>
        <v>106.97999999999999</v>
      </c>
      <c r="G55">
        <f>INDEX(Scores!$B$13:$T$22,$C55,$B55)</f>
        <v>457.45920000000001</v>
      </c>
      <c r="H55">
        <f>INDEX(Scores!$B$13:$T$22,$D55,$B55)</f>
        <v>333.69279999999998</v>
      </c>
      <c r="I55">
        <f t="shared" si="0"/>
        <v>-3.4200000000000301</v>
      </c>
      <c r="J55">
        <f t="shared" si="1"/>
        <v>28.127424339956903</v>
      </c>
      <c r="K55">
        <f t="shared" si="2"/>
        <v>0.54486635292756713</v>
      </c>
      <c r="L55">
        <f t="shared" si="3"/>
        <v>0.44809427105511479</v>
      </c>
      <c r="M55">
        <f t="shared" si="4"/>
        <v>7.0393760173180775E-3</v>
      </c>
    </row>
    <row r="56" spans="1:13" x14ac:dyDescent="0.25">
      <c r="A56">
        <f t="shared" si="5"/>
        <v>55</v>
      </c>
      <c r="B56">
        <f>INDEX(Scores!$Y$2:$Y$131,MATCH($A56,Scores!$AC$2:$AC$131,0))</f>
        <v>7</v>
      </c>
      <c r="C56">
        <f>INDEX(Scores!$Z$2:$Z$131,MATCH($A56,Scores!$AC$2:$AC$131,0))</f>
        <v>6</v>
      </c>
      <c r="D56">
        <f>INDEX(Scores!$AA$2:$AA$131,MATCH($A56,Scores!$AC$2:$AC$131,0))</f>
        <v>8</v>
      </c>
      <c r="E56">
        <f>INDEX(Scores!$B$2:$T$11,$C56,$B56)</f>
        <v>113.77000000000001</v>
      </c>
      <c r="F56">
        <f>INDEX(Scores!$B$2:$T$11,$D56,$B56)</f>
        <v>102.38999999999999</v>
      </c>
      <c r="G56">
        <f>INDEX(Scores!$B$13:$T$22,$C56,$B56)</f>
        <v>465.69209999999998</v>
      </c>
      <c r="H56">
        <f>INDEX(Scores!$B$13:$T$22,$D56,$B56)</f>
        <v>405.05730000000005</v>
      </c>
      <c r="I56">
        <f t="shared" si="0"/>
        <v>-11.380000000000024</v>
      </c>
      <c r="J56">
        <f t="shared" si="1"/>
        <v>29.508463192785896</v>
      </c>
      <c r="K56">
        <f t="shared" si="2"/>
        <v>0.64698005184092178</v>
      </c>
      <c r="L56">
        <f t="shared" si="3"/>
        <v>0.34674466561586537</v>
      </c>
      <c r="M56">
        <f t="shared" si="4"/>
        <v>6.2752825432128567E-3</v>
      </c>
    </row>
    <row r="57" spans="1:13" x14ac:dyDescent="0.25">
      <c r="A57">
        <f t="shared" si="5"/>
        <v>56</v>
      </c>
      <c r="B57">
        <f>INDEX(Scores!$Y$2:$Y$131,MATCH($A57,Scores!$AC$2:$AC$131,0))</f>
        <v>9</v>
      </c>
      <c r="C57">
        <f>INDEX(Scores!$Z$2:$Z$131,MATCH($A57,Scores!$AC$2:$AC$131,0))</f>
        <v>6</v>
      </c>
      <c r="D57">
        <f>INDEX(Scores!$AA$2:$AA$131,MATCH($A57,Scores!$AC$2:$AC$131,0))</f>
        <v>9</v>
      </c>
      <c r="E57">
        <f>INDEX(Scores!$B$2:$T$11,$C57,$B57)</f>
        <v>114.72000000000001</v>
      </c>
      <c r="F57">
        <f>INDEX(Scores!$B$2:$T$11,$D57,$B57)</f>
        <v>100.63999999999999</v>
      </c>
      <c r="G57">
        <f>INDEX(Scores!$B$13:$T$22,$C57,$B57)</f>
        <v>477.20149999999995</v>
      </c>
      <c r="H57">
        <f>INDEX(Scores!$B$13:$T$22,$D57,$B57)</f>
        <v>402.60670000000005</v>
      </c>
      <c r="I57">
        <f t="shared" si="0"/>
        <v>-14.080000000000027</v>
      </c>
      <c r="J57">
        <f t="shared" si="1"/>
        <v>29.661560983872711</v>
      </c>
      <c r="K57">
        <f t="shared" si="2"/>
        <v>0.67948530364617177</v>
      </c>
      <c r="L57">
        <f t="shared" si="3"/>
        <v>0.31450638417859877</v>
      </c>
      <c r="M57">
        <f t="shared" si="4"/>
        <v>6.0083121752294577E-3</v>
      </c>
    </row>
    <row r="58" spans="1:13" x14ac:dyDescent="0.25">
      <c r="A58">
        <f t="shared" si="5"/>
        <v>57</v>
      </c>
      <c r="B58">
        <f>INDEX(Scores!$Y$2:$Y$131,MATCH($A58,Scores!$AC$2:$AC$131,0))</f>
        <v>12</v>
      </c>
      <c r="C58">
        <f>INDEX(Scores!$Z$2:$Z$131,MATCH($A58,Scores!$AC$2:$AC$131,0))</f>
        <v>6</v>
      </c>
      <c r="D58">
        <f>INDEX(Scores!$AA$2:$AA$131,MATCH($A58,Scores!$AC$2:$AC$131,0))</f>
        <v>10</v>
      </c>
      <c r="E58">
        <f>INDEX(Scores!$B$2:$T$11,$C58,$B58)</f>
        <v>106.38</v>
      </c>
      <c r="F58">
        <f>INDEX(Scores!$B$2:$T$11,$D58,$B58)</f>
        <v>98.310000000000016</v>
      </c>
      <c r="G58">
        <f>INDEX(Scores!$B$13:$T$22,$C58,$B58)</f>
        <v>427.05540000000008</v>
      </c>
      <c r="H58">
        <f>INDEX(Scores!$B$13:$T$22,$D58,$B58)</f>
        <v>332.52330000000001</v>
      </c>
      <c r="I58">
        <f t="shared" si="0"/>
        <v>-8.069999999999979</v>
      </c>
      <c r="J58">
        <f t="shared" si="1"/>
        <v>27.560455366339649</v>
      </c>
      <c r="K58">
        <f t="shared" si="2"/>
        <v>0.61169513067311021</v>
      </c>
      <c r="L58">
        <f t="shared" si="3"/>
        <v>0.3813710834577097</v>
      </c>
      <c r="M58">
        <f t="shared" si="4"/>
        <v>6.9337858691800314E-3</v>
      </c>
    </row>
    <row r="59" spans="1:13" x14ac:dyDescent="0.25">
      <c r="A59">
        <f t="shared" si="5"/>
        <v>58</v>
      </c>
      <c r="B59">
        <f>INDEX(Scores!$Y$2:$Y$131,MATCH($A59,Scores!$AC$2:$AC$131,0))</f>
        <v>2</v>
      </c>
      <c r="C59">
        <f>INDEX(Scores!$Z$2:$Z$131,MATCH($A59,Scores!$AC$2:$AC$131,0))</f>
        <v>7</v>
      </c>
      <c r="D59">
        <f>INDEX(Scores!$AA$2:$AA$131,MATCH($A59,Scores!$AC$2:$AC$131,0))</f>
        <v>8</v>
      </c>
      <c r="E59">
        <f>INDEX(Scores!$B$2:$T$11,$C59,$B59)</f>
        <v>105.1</v>
      </c>
      <c r="F59">
        <f>INDEX(Scores!$B$2:$T$11,$D59,$B59)</f>
        <v>90.300000000000011</v>
      </c>
      <c r="G59">
        <f>INDEX(Scores!$B$13:$T$22,$C59,$B59)</f>
        <v>0</v>
      </c>
      <c r="H59">
        <f>INDEX(Scores!$B$13:$T$22,$D59,$B59)</f>
        <v>0</v>
      </c>
      <c r="I59">
        <f t="shared" si="0"/>
        <v>-14.799999999999983</v>
      </c>
      <c r="J59">
        <f t="shared" si="1"/>
        <v>0</v>
      </c>
      <c r="K59">
        <f t="shared" si="2"/>
        <v>1</v>
      </c>
      <c r="L59">
        <f t="shared" si="3"/>
        <v>0</v>
      </c>
      <c r="M59">
        <f t="shared" si="4"/>
        <v>0</v>
      </c>
    </row>
    <row r="60" spans="1:13" x14ac:dyDescent="0.25">
      <c r="A60">
        <f t="shared" si="5"/>
        <v>59</v>
      </c>
      <c r="B60">
        <f>INDEX(Scores!$Y$2:$Y$131,MATCH($A60,Scores!$AC$2:$AC$131,0))</f>
        <v>4</v>
      </c>
      <c r="C60">
        <f>INDEX(Scores!$Z$2:$Z$131,MATCH($A60,Scores!$AC$2:$AC$131,0))</f>
        <v>7</v>
      </c>
      <c r="D60">
        <f>INDEX(Scores!$AA$2:$AA$131,MATCH($A60,Scores!$AC$2:$AC$131,0))</f>
        <v>9</v>
      </c>
      <c r="E60">
        <f>INDEX(Scores!$B$2:$T$11,$C60,$B60)</f>
        <v>122.10000000000001</v>
      </c>
      <c r="F60">
        <f>INDEX(Scores!$B$2:$T$11,$D60,$B60)</f>
        <v>127.19999999999997</v>
      </c>
      <c r="G60">
        <f>INDEX(Scores!$B$13:$T$22,$C60,$B60)</f>
        <v>0</v>
      </c>
      <c r="H60">
        <f>INDEX(Scores!$B$13:$T$22,$D60,$B60)</f>
        <v>0</v>
      </c>
      <c r="I60">
        <f t="shared" si="0"/>
        <v>5.0999999999999659</v>
      </c>
      <c r="J60">
        <f t="shared" si="1"/>
        <v>0</v>
      </c>
      <c r="K60">
        <f t="shared" si="2"/>
        <v>0</v>
      </c>
      <c r="L60">
        <f t="shared" si="3"/>
        <v>1</v>
      </c>
      <c r="M60">
        <f t="shared" si="4"/>
        <v>0</v>
      </c>
    </row>
    <row r="61" spans="1:13" x14ac:dyDescent="0.25">
      <c r="A61">
        <f t="shared" si="5"/>
        <v>60</v>
      </c>
      <c r="B61">
        <f>INDEX(Scores!$Y$2:$Y$131,MATCH($A61,Scores!$AC$2:$AC$131,0))</f>
        <v>11</v>
      </c>
      <c r="C61">
        <f>INDEX(Scores!$Z$2:$Z$131,MATCH($A61,Scores!$AC$2:$AC$131,0))</f>
        <v>7</v>
      </c>
      <c r="D61">
        <f>INDEX(Scores!$AA$2:$AA$131,MATCH($A61,Scores!$AC$2:$AC$131,0))</f>
        <v>8</v>
      </c>
      <c r="E61">
        <f>INDEX(Scores!$B$2:$T$11,$C61,$B61)</f>
        <v>96.07</v>
      </c>
      <c r="F61">
        <f>INDEX(Scores!$B$2:$T$11,$D61,$B61)</f>
        <v>107.33000000000001</v>
      </c>
      <c r="G61">
        <f>INDEX(Scores!$B$13:$T$22,$C61,$B61)</f>
        <v>381.34530000000001</v>
      </c>
      <c r="H61">
        <f>INDEX(Scores!$B$13:$T$22,$D61,$B61)</f>
        <v>461.61259999999999</v>
      </c>
      <c r="I61">
        <f t="shared" si="0"/>
        <v>11.260000000000019</v>
      </c>
      <c r="J61">
        <f t="shared" si="1"/>
        <v>29.03373727235266</v>
      </c>
      <c r="K61">
        <f t="shared" si="2"/>
        <v>0.34589194353519043</v>
      </c>
      <c r="L61">
        <f t="shared" si="3"/>
        <v>0.6477355264609399</v>
      </c>
      <c r="M61">
        <f t="shared" si="4"/>
        <v>6.3725300038696697E-3</v>
      </c>
    </row>
    <row r="62" spans="1:13" x14ac:dyDescent="0.25">
      <c r="A62">
        <f t="shared" si="5"/>
        <v>61</v>
      </c>
      <c r="B62">
        <f>INDEX(Scores!$Y$2:$Y$131,MATCH($A62,Scores!$AC$2:$AC$131,0))</f>
        <v>13</v>
      </c>
      <c r="C62">
        <f>INDEX(Scores!$Z$2:$Z$131,MATCH($A62,Scores!$AC$2:$AC$131,0))</f>
        <v>7</v>
      </c>
      <c r="D62">
        <f>INDEX(Scores!$AA$2:$AA$131,MATCH($A62,Scores!$AC$2:$AC$131,0))</f>
        <v>10</v>
      </c>
      <c r="E62">
        <f>INDEX(Scores!$B$2:$T$11,$C62,$B62)</f>
        <v>98.63000000000001</v>
      </c>
      <c r="F62">
        <f>INDEX(Scores!$B$2:$T$11,$D62,$B62)</f>
        <v>94.52</v>
      </c>
      <c r="G62">
        <f>INDEX(Scores!$B$13:$T$22,$C62,$B62)</f>
        <v>342.54860000000002</v>
      </c>
      <c r="H62">
        <f>INDEX(Scores!$B$13:$T$22,$D62,$B62)</f>
        <v>334.88169999999997</v>
      </c>
      <c r="I62">
        <f t="shared" si="0"/>
        <v>-4.1100000000000136</v>
      </c>
      <c r="J62">
        <f t="shared" si="1"/>
        <v>26.027491235230489</v>
      </c>
      <c r="K62">
        <f t="shared" si="2"/>
        <v>0.55894885776694259</v>
      </c>
      <c r="L62">
        <f t="shared" si="3"/>
        <v>0.43348235036310345</v>
      </c>
      <c r="M62">
        <f t="shared" si="4"/>
        <v>7.5687918699539614E-3</v>
      </c>
    </row>
    <row r="63" spans="1:13" x14ac:dyDescent="0.25">
      <c r="A63">
        <f t="shared" si="5"/>
        <v>62</v>
      </c>
      <c r="B63">
        <f>INDEX(Scores!$Y$2:$Y$131,MATCH($A63,Scores!$AC$2:$AC$131,0))</f>
        <v>5</v>
      </c>
      <c r="C63">
        <f>INDEX(Scores!$Z$2:$Z$131,MATCH($A63,Scores!$AC$2:$AC$131,0))</f>
        <v>8</v>
      </c>
      <c r="D63">
        <f>INDEX(Scores!$AA$2:$AA$131,MATCH($A63,Scores!$AC$2:$AC$131,0))</f>
        <v>10</v>
      </c>
      <c r="E63">
        <f>INDEX(Scores!$B$2:$T$11,$C63,$B63)</f>
        <v>106.69</v>
      </c>
      <c r="F63">
        <f>INDEX(Scores!$B$2:$T$11,$D63,$B63)</f>
        <v>97.090000000000018</v>
      </c>
      <c r="G63">
        <f>INDEX(Scores!$B$13:$T$22,$C63,$B63)</f>
        <v>478.47889999999995</v>
      </c>
      <c r="H63">
        <f>INDEX(Scores!$B$13:$T$22,$D63,$B63)</f>
        <v>422.40490000000005</v>
      </c>
      <c r="I63">
        <f t="shared" si="0"/>
        <v>-9.5999999999999801</v>
      </c>
      <c r="J63">
        <f t="shared" si="1"/>
        <v>30.014726385559474</v>
      </c>
      <c r="K63">
        <f t="shared" si="2"/>
        <v>0.62229495458148776</v>
      </c>
      <c r="L63">
        <f t="shared" si="3"/>
        <v>0.37139071781695343</v>
      </c>
      <c r="M63">
        <f t="shared" si="4"/>
        <v>6.3143276015588112E-3</v>
      </c>
    </row>
    <row r="64" spans="1:13" x14ac:dyDescent="0.25">
      <c r="A64">
        <f t="shared" si="5"/>
        <v>63</v>
      </c>
      <c r="B64">
        <f>INDEX(Scores!$Y$2:$Y$131,MATCH($A64,Scores!$AC$2:$AC$131,0))</f>
        <v>6</v>
      </c>
      <c r="C64">
        <f>INDEX(Scores!$Z$2:$Z$131,MATCH($A64,Scores!$AC$2:$AC$131,0))</f>
        <v>8</v>
      </c>
      <c r="D64">
        <f>INDEX(Scores!$AA$2:$AA$131,MATCH($A64,Scores!$AC$2:$AC$131,0))</f>
        <v>9</v>
      </c>
      <c r="E64">
        <f>INDEX(Scores!$B$2:$T$11,$C64,$B64)</f>
        <v>110.11</v>
      </c>
      <c r="F64">
        <f>INDEX(Scores!$B$2:$T$11,$D64,$B64)</f>
        <v>109.24</v>
      </c>
      <c r="G64">
        <f>INDEX(Scores!$B$13:$T$22,$C64,$B64)</f>
        <v>432.52990000000005</v>
      </c>
      <c r="H64">
        <f>INDEX(Scores!$B$13:$T$22,$D64,$B64)</f>
        <v>491.31809999999996</v>
      </c>
      <c r="I64">
        <f t="shared" si="0"/>
        <v>-0.87000000000000455</v>
      </c>
      <c r="J64">
        <f t="shared" si="1"/>
        <v>30.394867987869269</v>
      </c>
      <c r="K64">
        <f t="shared" si="2"/>
        <v>0.50813713230416968</v>
      </c>
      <c r="L64">
        <f t="shared" si="3"/>
        <v>0.48530297086437374</v>
      </c>
      <c r="M64">
        <f t="shared" si="4"/>
        <v>6.5598968314566353E-3</v>
      </c>
    </row>
    <row r="65" spans="1:13" x14ac:dyDescent="0.25">
      <c r="A65">
        <f t="shared" si="5"/>
        <v>64</v>
      </c>
      <c r="B65">
        <f>INDEX(Scores!$Y$2:$Y$131,MATCH($A65,Scores!$AC$2:$AC$131,0))</f>
        <v>2</v>
      </c>
      <c r="C65">
        <f>INDEX(Scores!$Z$2:$Z$131,MATCH($A65,Scores!$AC$2:$AC$131,0))</f>
        <v>9</v>
      </c>
      <c r="D65">
        <f>INDEX(Scores!$AA$2:$AA$131,MATCH($A65,Scores!$AC$2:$AC$131,0))</f>
        <v>10</v>
      </c>
      <c r="E65">
        <f>INDEX(Scores!$B$2:$T$11,$C65,$B65)</f>
        <v>98.9</v>
      </c>
      <c r="F65">
        <f>INDEX(Scores!$B$2:$T$11,$D65,$B65)</f>
        <v>79.199999999999989</v>
      </c>
      <c r="G65">
        <f>INDEX(Scores!$B$13:$T$22,$C65,$B65)</f>
        <v>0</v>
      </c>
      <c r="H65">
        <f>INDEX(Scores!$B$13:$T$22,$D65,$B65)</f>
        <v>0</v>
      </c>
      <c r="I65">
        <f t="shared" si="0"/>
        <v>-19.700000000000017</v>
      </c>
      <c r="J65">
        <f t="shared" si="1"/>
        <v>0</v>
      </c>
      <c r="K65">
        <f t="shared" si="2"/>
        <v>1</v>
      </c>
      <c r="L65">
        <f t="shared" si="3"/>
        <v>0</v>
      </c>
      <c r="M65">
        <f t="shared" si="4"/>
        <v>0</v>
      </c>
    </row>
    <row r="66" spans="1:13" x14ac:dyDescent="0.25">
      <c r="A66">
        <f t="shared" si="5"/>
        <v>65</v>
      </c>
      <c r="B66">
        <f>INDEX(Scores!$Y$2:$Y$131,MATCH($A66,Scores!$AC$2:$AC$131,0))</f>
        <v>10</v>
      </c>
      <c r="C66">
        <f>INDEX(Scores!$Z$2:$Z$131,MATCH($A66,Scores!$AC$2:$AC$131,0))</f>
        <v>9</v>
      </c>
      <c r="D66">
        <f>INDEX(Scores!$AA$2:$AA$131,MATCH($A66,Scores!$AC$2:$AC$131,0))</f>
        <v>10</v>
      </c>
      <c r="E66">
        <f>INDEX(Scores!$B$2:$T$11,$C66,$B66)</f>
        <v>113.76</v>
      </c>
      <c r="F66">
        <f>INDEX(Scores!$B$2:$T$11,$D66,$B66)</f>
        <v>96.669999999999987</v>
      </c>
      <c r="G66">
        <f>INDEX(Scores!$B$13:$T$22,$C66,$B66)</f>
        <v>537.76670000000001</v>
      </c>
      <c r="H66">
        <f>INDEX(Scores!$B$13:$T$22,$D66,$B66)</f>
        <v>377.93680000000006</v>
      </c>
      <c r="I66">
        <f t="shared" si="0"/>
        <v>-17.090000000000018</v>
      </c>
      <c r="J66">
        <f t="shared" si="1"/>
        <v>30.260593186518999</v>
      </c>
      <c r="K66">
        <f t="shared" si="2"/>
        <v>0.71106522571000619</v>
      </c>
      <c r="L66">
        <f t="shared" si="3"/>
        <v>0.2833147383058261</v>
      </c>
      <c r="M66">
        <f t="shared" si="4"/>
        <v>5.620035984167715E-3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Z75"/>
  <sheetViews>
    <sheetView workbookViewId="0">
      <selection activeCell="B75" sqref="B75"/>
    </sheetView>
  </sheetViews>
  <sheetFormatPr defaultRowHeight="15" x14ac:dyDescent="0.25"/>
  <cols>
    <col min="1" max="1" width="12.42578125" customWidth="1"/>
    <col min="2" max="2" width="17.7109375" bestFit="1" customWidth="1"/>
  </cols>
  <sheetData>
    <row r="1" spans="1:26" x14ac:dyDescent="0.25">
      <c r="A1">
        <v>1</v>
      </c>
      <c r="B1" t="s">
        <v>115</v>
      </c>
      <c r="C1" t="s">
        <v>1037</v>
      </c>
      <c r="D1">
        <v>22</v>
      </c>
      <c r="E1" t="s">
        <v>47</v>
      </c>
      <c r="F1">
        <v>7</v>
      </c>
      <c r="G1">
        <v>7</v>
      </c>
      <c r="H1">
        <v>124</v>
      </c>
      <c r="I1">
        <v>717</v>
      </c>
      <c r="J1">
        <v>4</v>
      </c>
      <c r="K1">
        <v>69</v>
      </c>
      <c r="L1">
        <v>5.8</v>
      </c>
      <c r="M1">
        <v>102.4</v>
      </c>
      <c r="N1">
        <v>17.7</v>
      </c>
      <c r="O1">
        <v>27</v>
      </c>
      <c r="P1">
        <v>25</v>
      </c>
      <c r="Q1">
        <v>285</v>
      </c>
      <c r="R1">
        <v>11.4</v>
      </c>
      <c r="S1">
        <v>2</v>
      </c>
      <c r="T1">
        <v>78</v>
      </c>
      <c r="U1">
        <v>3.6</v>
      </c>
      <c r="V1">
        <v>40.700000000000003</v>
      </c>
      <c r="W1" s="64">
        <v>0.92600000000000005</v>
      </c>
      <c r="X1">
        <v>1002</v>
      </c>
      <c r="Y1">
        <v>6</v>
      </c>
      <c r="Z1">
        <v>1</v>
      </c>
    </row>
    <row r="2" spans="1:26" x14ac:dyDescent="0.25">
      <c r="A2">
        <v>2</v>
      </c>
      <c r="B2" t="s">
        <v>94</v>
      </c>
      <c r="C2" t="s">
        <v>1038</v>
      </c>
      <c r="D2">
        <v>23</v>
      </c>
      <c r="E2" t="s">
        <v>47</v>
      </c>
      <c r="F2">
        <v>6</v>
      </c>
      <c r="G2">
        <v>6</v>
      </c>
      <c r="H2">
        <v>123</v>
      </c>
      <c r="I2">
        <v>521</v>
      </c>
      <c r="J2">
        <v>4</v>
      </c>
      <c r="K2">
        <v>29</v>
      </c>
      <c r="L2">
        <v>4.2</v>
      </c>
      <c r="M2">
        <v>86.8</v>
      </c>
      <c r="N2">
        <v>20.5</v>
      </c>
      <c r="O2">
        <v>30</v>
      </c>
      <c r="P2">
        <v>23</v>
      </c>
      <c r="Q2">
        <v>245</v>
      </c>
      <c r="R2">
        <v>10.7</v>
      </c>
      <c r="S2">
        <v>3</v>
      </c>
      <c r="T2">
        <v>53</v>
      </c>
      <c r="U2">
        <v>3.8</v>
      </c>
      <c r="V2">
        <v>40.799999999999997</v>
      </c>
      <c r="W2" s="64">
        <v>0.76700000000000002</v>
      </c>
      <c r="X2">
        <v>766</v>
      </c>
      <c r="Y2">
        <v>7</v>
      </c>
      <c r="Z2">
        <v>5</v>
      </c>
    </row>
    <row r="3" spans="1:26" x14ac:dyDescent="0.25">
      <c r="A3">
        <v>3</v>
      </c>
      <c r="B3" t="s">
        <v>111</v>
      </c>
      <c r="C3" t="s">
        <v>1039</v>
      </c>
      <c r="D3">
        <v>22</v>
      </c>
      <c r="E3" t="s">
        <v>47</v>
      </c>
      <c r="F3">
        <v>6</v>
      </c>
      <c r="G3">
        <v>6</v>
      </c>
      <c r="H3">
        <v>130</v>
      </c>
      <c r="I3">
        <v>596</v>
      </c>
      <c r="J3">
        <v>6</v>
      </c>
      <c r="K3">
        <v>90</v>
      </c>
      <c r="L3">
        <v>4.5999999999999996</v>
      </c>
      <c r="M3">
        <v>99.3</v>
      </c>
      <c r="N3">
        <v>21.7</v>
      </c>
      <c r="O3">
        <v>20</v>
      </c>
      <c r="P3">
        <v>15</v>
      </c>
      <c r="Q3">
        <v>136</v>
      </c>
      <c r="R3">
        <v>9.1</v>
      </c>
      <c r="S3">
        <v>1</v>
      </c>
      <c r="T3">
        <v>28</v>
      </c>
      <c r="U3">
        <v>2.5</v>
      </c>
      <c r="V3">
        <v>22.7</v>
      </c>
      <c r="W3" s="64">
        <v>0.75</v>
      </c>
      <c r="X3">
        <v>732</v>
      </c>
      <c r="Y3">
        <v>7</v>
      </c>
      <c r="Z3">
        <v>1</v>
      </c>
    </row>
    <row r="4" spans="1:26" x14ac:dyDescent="0.25">
      <c r="A4">
        <v>4</v>
      </c>
      <c r="B4" t="s">
        <v>48</v>
      </c>
      <c r="C4" t="s">
        <v>1040</v>
      </c>
      <c r="D4">
        <v>25</v>
      </c>
      <c r="E4" t="s">
        <v>47</v>
      </c>
      <c r="F4">
        <v>6</v>
      </c>
      <c r="G4">
        <v>6</v>
      </c>
      <c r="H4">
        <v>134</v>
      </c>
      <c r="I4">
        <v>550</v>
      </c>
      <c r="J4">
        <v>4</v>
      </c>
      <c r="K4">
        <v>27</v>
      </c>
      <c r="L4">
        <v>4.0999999999999996</v>
      </c>
      <c r="M4">
        <v>91.7</v>
      </c>
      <c r="N4">
        <v>22.3</v>
      </c>
      <c r="O4">
        <v>39</v>
      </c>
      <c r="P4">
        <v>30</v>
      </c>
      <c r="Q4">
        <v>156</v>
      </c>
      <c r="R4">
        <v>5.2</v>
      </c>
      <c r="S4">
        <v>0</v>
      </c>
      <c r="T4">
        <v>18</v>
      </c>
      <c r="U4">
        <v>5</v>
      </c>
      <c r="V4">
        <v>26</v>
      </c>
      <c r="W4" s="64">
        <v>0.76900000000000002</v>
      </c>
      <c r="X4">
        <v>706</v>
      </c>
      <c r="Y4">
        <v>4</v>
      </c>
      <c r="Z4">
        <v>1</v>
      </c>
    </row>
    <row r="5" spans="1:26" x14ac:dyDescent="0.25">
      <c r="A5">
        <v>5</v>
      </c>
      <c r="B5" t="s">
        <v>92</v>
      </c>
      <c r="C5" t="s">
        <v>1041</v>
      </c>
      <c r="D5">
        <v>24</v>
      </c>
      <c r="E5" t="s">
        <v>47</v>
      </c>
      <c r="F5">
        <v>6</v>
      </c>
      <c r="G5">
        <v>6</v>
      </c>
      <c r="H5">
        <v>99</v>
      </c>
      <c r="I5">
        <v>356</v>
      </c>
      <c r="J5">
        <v>3</v>
      </c>
      <c r="K5">
        <v>21</v>
      </c>
      <c r="L5">
        <v>3.6</v>
      </c>
      <c r="M5">
        <v>59.3</v>
      </c>
      <c r="N5">
        <v>16.5</v>
      </c>
      <c r="O5">
        <v>39</v>
      </c>
      <c r="P5">
        <v>28</v>
      </c>
      <c r="Q5">
        <v>222</v>
      </c>
      <c r="R5">
        <v>7.9</v>
      </c>
      <c r="S5">
        <v>4</v>
      </c>
      <c r="T5">
        <v>22</v>
      </c>
      <c r="U5">
        <v>4.7</v>
      </c>
      <c r="V5">
        <v>37</v>
      </c>
      <c r="W5" s="64">
        <v>0.71799999999999997</v>
      </c>
      <c r="X5">
        <v>578</v>
      </c>
      <c r="Y5">
        <v>7</v>
      </c>
      <c r="Z5">
        <v>0</v>
      </c>
    </row>
    <row r="6" spans="1:26" x14ac:dyDescent="0.25">
      <c r="A6">
        <v>6</v>
      </c>
      <c r="B6" t="s">
        <v>97</v>
      </c>
      <c r="C6" t="s">
        <v>1042</v>
      </c>
      <c r="D6">
        <v>23</v>
      </c>
      <c r="E6" t="s">
        <v>47</v>
      </c>
      <c r="F6">
        <v>6</v>
      </c>
      <c r="G6">
        <v>6</v>
      </c>
      <c r="H6">
        <v>118</v>
      </c>
      <c r="I6">
        <v>495</v>
      </c>
      <c r="J6">
        <v>4</v>
      </c>
      <c r="K6">
        <v>53</v>
      </c>
      <c r="L6">
        <v>4.2</v>
      </c>
      <c r="M6">
        <v>82.5</v>
      </c>
      <c r="N6">
        <v>19.7</v>
      </c>
      <c r="O6">
        <v>16</v>
      </c>
      <c r="P6">
        <v>11</v>
      </c>
      <c r="Q6">
        <v>59</v>
      </c>
      <c r="R6">
        <v>5.4</v>
      </c>
      <c r="S6">
        <v>0</v>
      </c>
      <c r="T6">
        <v>10</v>
      </c>
      <c r="U6">
        <v>1.8</v>
      </c>
      <c r="V6">
        <v>9.8000000000000007</v>
      </c>
      <c r="W6" s="64">
        <v>0.68799999999999994</v>
      </c>
      <c r="X6">
        <v>554</v>
      </c>
      <c r="Y6">
        <v>4</v>
      </c>
      <c r="Z6">
        <v>1</v>
      </c>
    </row>
    <row r="7" spans="1:26" x14ac:dyDescent="0.25">
      <c r="A7">
        <v>7</v>
      </c>
      <c r="B7" t="s">
        <v>99</v>
      </c>
      <c r="C7" t="s">
        <v>1043</v>
      </c>
      <c r="D7">
        <v>26</v>
      </c>
      <c r="E7" t="s">
        <v>47</v>
      </c>
      <c r="F7">
        <v>6</v>
      </c>
      <c r="G7">
        <v>6</v>
      </c>
      <c r="H7">
        <v>98</v>
      </c>
      <c r="I7">
        <v>372</v>
      </c>
      <c r="J7">
        <v>1</v>
      </c>
      <c r="K7">
        <v>19</v>
      </c>
      <c r="L7">
        <v>3.8</v>
      </c>
      <c r="M7">
        <v>62</v>
      </c>
      <c r="N7">
        <v>16.3</v>
      </c>
      <c r="O7">
        <v>18</v>
      </c>
      <c r="P7">
        <v>15</v>
      </c>
      <c r="Q7">
        <v>175</v>
      </c>
      <c r="R7">
        <v>11.7</v>
      </c>
      <c r="S7">
        <v>1</v>
      </c>
      <c r="T7">
        <v>32</v>
      </c>
      <c r="U7">
        <v>2.5</v>
      </c>
      <c r="V7">
        <v>29.2</v>
      </c>
      <c r="W7" s="64">
        <v>0.83299999999999996</v>
      </c>
      <c r="X7">
        <v>547</v>
      </c>
      <c r="Y7">
        <v>2</v>
      </c>
      <c r="Z7">
        <v>0</v>
      </c>
    </row>
    <row r="8" spans="1:26" x14ac:dyDescent="0.25">
      <c r="A8">
        <v>8</v>
      </c>
      <c r="B8" t="s">
        <v>124</v>
      </c>
      <c r="C8" t="s">
        <v>1037</v>
      </c>
      <c r="D8">
        <v>23</v>
      </c>
      <c r="E8" t="s">
        <v>87</v>
      </c>
      <c r="F8">
        <v>7</v>
      </c>
      <c r="G8">
        <v>5</v>
      </c>
      <c r="H8">
        <v>9</v>
      </c>
      <c r="I8">
        <v>22</v>
      </c>
      <c r="J8">
        <v>0</v>
      </c>
      <c r="K8">
        <v>9</v>
      </c>
      <c r="L8">
        <v>2.4</v>
      </c>
      <c r="M8">
        <v>3.1</v>
      </c>
      <c r="N8">
        <v>1.3</v>
      </c>
      <c r="O8">
        <v>49</v>
      </c>
      <c r="P8">
        <v>36</v>
      </c>
      <c r="Q8">
        <v>515</v>
      </c>
      <c r="R8">
        <v>14.3</v>
      </c>
      <c r="S8">
        <v>3</v>
      </c>
      <c r="T8">
        <v>75</v>
      </c>
      <c r="U8">
        <v>5.0999999999999996</v>
      </c>
      <c r="V8">
        <v>73.599999999999994</v>
      </c>
      <c r="W8" s="64">
        <v>0.73499999999999999</v>
      </c>
      <c r="X8">
        <v>537</v>
      </c>
      <c r="Y8">
        <v>3</v>
      </c>
      <c r="Z8">
        <v>2</v>
      </c>
    </row>
    <row r="9" spans="1:26" x14ac:dyDescent="0.25">
      <c r="A9">
        <v>9</v>
      </c>
      <c r="B9" t="s">
        <v>57</v>
      </c>
      <c r="C9" t="s">
        <v>1044</v>
      </c>
      <c r="D9">
        <v>22</v>
      </c>
      <c r="E9" t="s">
        <v>47</v>
      </c>
      <c r="F9">
        <v>5</v>
      </c>
      <c r="G9">
        <v>5</v>
      </c>
      <c r="H9">
        <v>105</v>
      </c>
      <c r="I9">
        <v>393</v>
      </c>
      <c r="J9">
        <v>2</v>
      </c>
      <c r="K9">
        <v>30</v>
      </c>
      <c r="L9">
        <v>3.7</v>
      </c>
      <c r="M9">
        <v>78.599999999999994</v>
      </c>
      <c r="N9">
        <v>21</v>
      </c>
      <c r="O9">
        <v>21</v>
      </c>
      <c r="P9">
        <v>17</v>
      </c>
      <c r="Q9">
        <v>134</v>
      </c>
      <c r="R9">
        <v>7.9</v>
      </c>
      <c r="S9">
        <v>1</v>
      </c>
      <c r="T9">
        <v>31</v>
      </c>
      <c r="U9">
        <v>3.4</v>
      </c>
      <c r="V9">
        <v>26.8</v>
      </c>
      <c r="W9" s="64">
        <v>0.81</v>
      </c>
      <c r="X9">
        <v>527</v>
      </c>
      <c r="Y9">
        <v>3</v>
      </c>
      <c r="Z9">
        <v>0</v>
      </c>
    </row>
    <row r="10" spans="1:26" x14ac:dyDescent="0.25">
      <c r="A10">
        <v>10</v>
      </c>
      <c r="B10" t="s">
        <v>202</v>
      </c>
      <c r="C10" t="s">
        <v>1045</v>
      </c>
      <c r="D10">
        <v>27</v>
      </c>
      <c r="E10" t="s">
        <v>1046</v>
      </c>
      <c r="F10">
        <v>5</v>
      </c>
      <c r="G10">
        <v>1</v>
      </c>
      <c r="H10">
        <v>36</v>
      </c>
      <c r="I10">
        <v>175</v>
      </c>
      <c r="J10">
        <v>2</v>
      </c>
      <c r="K10">
        <v>61</v>
      </c>
      <c r="L10">
        <v>4.9000000000000004</v>
      </c>
      <c r="M10">
        <v>35</v>
      </c>
      <c r="N10">
        <v>7.2</v>
      </c>
      <c r="O10">
        <v>26</v>
      </c>
      <c r="P10">
        <v>18</v>
      </c>
      <c r="Q10">
        <v>340</v>
      </c>
      <c r="R10">
        <v>18.899999999999999</v>
      </c>
      <c r="S10">
        <v>2</v>
      </c>
      <c r="T10">
        <v>74</v>
      </c>
      <c r="U10">
        <v>3.6</v>
      </c>
      <c r="V10">
        <v>68</v>
      </c>
      <c r="W10" s="64">
        <v>0.69199999999999995</v>
      </c>
      <c r="X10">
        <v>515</v>
      </c>
      <c r="Y10">
        <v>4</v>
      </c>
      <c r="Z10">
        <v>2</v>
      </c>
    </row>
    <row r="11" spans="1:26" x14ac:dyDescent="0.25">
      <c r="A11">
        <v>11</v>
      </c>
      <c r="B11" t="s">
        <v>130</v>
      </c>
      <c r="C11" t="s">
        <v>1047</v>
      </c>
      <c r="D11">
        <v>27</v>
      </c>
      <c r="E11" t="s">
        <v>47</v>
      </c>
      <c r="F11">
        <v>6</v>
      </c>
      <c r="G11">
        <v>6</v>
      </c>
      <c r="H11">
        <v>86</v>
      </c>
      <c r="I11">
        <v>360</v>
      </c>
      <c r="J11">
        <v>4</v>
      </c>
      <c r="K11">
        <v>61</v>
      </c>
      <c r="L11">
        <v>4.2</v>
      </c>
      <c r="M11">
        <v>60</v>
      </c>
      <c r="N11">
        <v>14.3</v>
      </c>
      <c r="O11">
        <v>29</v>
      </c>
      <c r="P11">
        <v>23</v>
      </c>
      <c r="Q11">
        <v>142</v>
      </c>
      <c r="R11">
        <v>6.2</v>
      </c>
      <c r="S11">
        <v>0</v>
      </c>
      <c r="T11">
        <v>12</v>
      </c>
      <c r="U11">
        <v>3.8</v>
      </c>
      <c r="V11">
        <v>23.7</v>
      </c>
      <c r="W11" s="64">
        <v>0.79300000000000004</v>
      </c>
      <c r="X11">
        <v>502</v>
      </c>
      <c r="Y11">
        <v>4</v>
      </c>
      <c r="Z11">
        <v>1</v>
      </c>
    </row>
    <row r="12" spans="1:26" x14ac:dyDescent="0.25">
      <c r="A12">
        <v>12</v>
      </c>
      <c r="B12" t="s">
        <v>191</v>
      </c>
      <c r="C12" t="s">
        <v>1048</v>
      </c>
      <c r="D12">
        <v>27</v>
      </c>
      <c r="E12" t="s">
        <v>87</v>
      </c>
      <c r="F12">
        <v>6</v>
      </c>
      <c r="G12">
        <v>6</v>
      </c>
      <c r="H12">
        <v>1</v>
      </c>
      <c r="I12">
        <v>11</v>
      </c>
      <c r="J12">
        <v>0</v>
      </c>
      <c r="K12">
        <v>11</v>
      </c>
      <c r="L12">
        <v>11</v>
      </c>
      <c r="M12">
        <v>1.8</v>
      </c>
      <c r="N12">
        <v>0.2</v>
      </c>
      <c r="O12">
        <v>53</v>
      </c>
      <c r="P12">
        <v>38</v>
      </c>
      <c r="Q12">
        <v>489</v>
      </c>
      <c r="R12">
        <v>12.9</v>
      </c>
      <c r="S12">
        <v>0</v>
      </c>
      <c r="T12">
        <v>45</v>
      </c>
      <c r="U12">
        <v>6.3</v>
      </c>
      <c r="V12">
        <v>81.5</v>
      </c>
      <c r="W12" s="64">
        <v>0.71699999999999997</v>
      </c>
      <c r="X12">
        <v>500</v>
      </c>
      <c r="Y12">
        <v>0</v>
      </c>
      <c r="Z12">
        <v>3</v>
      </c>
    </row>
    <row r="13" spans="1:26" x14ac:dyDescent="0.25">
      <c r="A13">
        <v>13</v>
      </c>
      <c r="B13" t="s">
        <v>108</v>
      </c>
      <c r="C13" t="s">
        <v>1049</v>
      </c>
      <c r="D13">
        <v>24</v>
      </c>
      <c r="E13" t="s">
        <v>87</v>
      </c>
      <c r="F13">
        <v>6</v>
      </c>
      <c r="G13">
        <v>5</v>
      </c>
      <c r="H13">
        <v>3</v>
      </c>
      <c r="I13">
        <v>10</v>
      </c>
      <c r="J13">
        <v>0</v>
      </c>
      <c r="K13">
        <v>13</v>
      </c>
      <c r="L13">
        <v>3.3</v>
      </c>
      <c r="M13">
        <v>1.7</v>
      </c>
      <c r="N13">
        <v>0.5</v>
      </c>
      <c r="O13">
        <v>41</v>
      </c>
      <c r="P13">
        <v>24</v>
      </c>
      <c r="Q13">
        <v>472</v>
      </c>
      <c r="R13">
        <v>19.7</v>
      </c>
      <c r="S13">
        <v>2</v>
      </c>
      <c r="T13">
        <v>54</v>
      </c>
      <c r="U13">
        <v>4</v>
      </c>
      <c r="V13">
        <v>78.7</v>
      </c>
      <c r="W13" s="64">
        <v>0.58499999999999996</v>
      </c>
      <c r="X13">
        <v>482</v>
      </c>
      <c r="Y13">
        <v>2</v>
      </c>
      <c r="Z13">
        <v>0</v>
      </c>
    </row>
    <row r="14" spans="1:26" x14ac:dyDescent="0.25">
      <c r="A14">
        <v>14</v>
      </c>
      <c r="B14" t="s">
        <v>81</v>
      </c>
      <c r="C14" t="s">
        <v>1050</v>
      </c>
      <c r="D14">
        <v>29</v>
      </c>
      <c r="E14" t="s">
        <v>47</v>
      </c>
      <c r="F14">
        <v>5</v>
      </c>
      <c r="G14">
        <v>5</v>
      </c>
      <c r="H14">
        <v>87</v>
      </c>
      <c r="I14">
        <v>279</v>
      </c>
      <c r="J14">
        <v>0</v>
      </c>
      <c r="K14">
        <v>27</v>
      </c>
      <c r="L14">
        <v>3.2</v>
      </c>
      <c r="M14">
        <v>55.8</v>
      </c>
      <c r="N14">
        <v>17.399999999999999</v>
      </c>
      <c r="O14">
        <v>32</v>
      </c>
      <c r="P14">
        <v>27</v>
      </c>
      <c r="Q14">
        <v>189</v>
      </c>
      <c r="R14">
        <v>7</v>
      </c>
      <c r="S14">
        <v>0</v>
      </c>
      <c r="T14">
        <v>21</v>
      </c>
      <c r="U14">
        <v>5.4</v>
      </c>
      <c r="V14">
        <v>37.799999999999997</v>
      </c>
      <c r="W14" s="64">
        <v>0.84399999999999997</v>
      </c>
      <c r="X14">
        <v>468</v>
      </c>
      <c r="Y14">
        <v>0</v>
      </c>
      <c r="Z14">
        <v>1</v>
      </c>
    </row>
    <row r="15" spans="1:26" x14ac:dyDescent="0.25">
      <c r="A15">
        <v>15</v>
      </c>
      <c r="B15" t="s">
        <v>138</v>
      </c>
      <c r="C15" t="s">
        <v>1051</v>
      </c>
      <c r="D15">
        <v>28</v>
      </c>
      <c r="E15" t="s">
        <v>47</v>
      </c>
      <c r="F15">
        <v>5</v>
      </c>
      <c r="G15">
        <v>3</v>
      </c>
      <c r="H15">
        <v>67</v>
      </c>
      <c r="I15">
        <v>284</v>
      </c>
      <c r="J15">
        <v>2</v>
      </c>
      <c r="K15">
        <v>51</v>
      </c>
      <c r="L15">
        <v>4.2</v>
      </c>
      <c r="M15">
        <v>56.8</v>
      </c>
      <c r="N15">
        <v>13.4</v>
      </c>
      <c r="O15">
        <v>27</v>
      </c>
      <c r="P15">
        <v>20</v>
      </c>
      <c r="Q15">
        <v>161</v>
      </c>
      <c r="R15">
        <v>8.1</v>
      </c>
      <c r="S15">
        <v>0</v>
      </c>
      <c r="T15">
        <v>25</v>
      </c>
      <c r="U15">
        <v>4</v>
      </c>
      <c r="V15">
        <v>32.200000000000003</v>
      </c>
      <c r="W15" s="64">
        <v>0.74099999999999999</v>
      </c>
      <c r="X15">
        <v>445</v>
      </c>
      <c r="Y15">
        <v>2</v>
      </c>
      <c r="Z15">
        <v>1</v>
      </c>
    </row>
    <row r="16" spans="1:26" x14ac:dyDescent="0.25">
      <c r="A16">
        <v>16</v>
      </c>
      <c r="B16" t="s">
        <v>127</v>
      </c>
      <c r="C16" t="s">
        <v>1048</v>
      </c>
      <c r="E16" t="s">
        <v>47</v>
      </c>
      <c r="F16">
        <v>4</v>
      </c>
      <c r="G16">
        <v>4</v>
      </c>
      <c r="H16">
        <v>74</v>
      </c>
      <c r="I16">
        <v>354</v>
      </c>
      <c r="J16">
        <v>2</v>
      </c>
      <c r="K16">
        <v>33</v>
      </c>
      <c r="L16">
        <v>4.8</v>
      </c>
      <c r="M16">
        <v>88.5</v>
      </c>
      <c r="N16">
        <v>18.5</v>
      </c>
      <c r="O16">
        <v>16</v>
      </c>
      <c r="P16">
        <v>11</v>
      </c>
      <c r="Q16">
        <v>90</v>
      </c>
      <c r="R16">
        <v>8.1999999999999993</v>
      </c>
      <c r="S16">
        <v>0</v>
      </c>
      <c r="T16">
        <v>36</v>
      </c>
      <c r="U16">
        <v>2.8</v>
      </c>
      <c r="V16">
        <v>22.5</v>
      </c>
      <c r="W16" s="64">
        <v>0.68799999999999994</v>
      </c>
      <c r="X16">
        <v>444</v>
      </c>
      <c r="Y16">
        <v>2</v>
      </c>
      <c r="Z16">
        <v>1</v>
      </c>
    </row>
    <row r="17" spans="1:26" x14ac:dyDescent="0.25">
      <c r="A17">
        <v>17</v>
      </c>
      <c r="B17" t="s">
        <v>90</v>
      </c>
      <c r="C17" t="s">
        <v>1052</v>
      </c>
      <c r="D17">
        <v>25</v>
      </c>
      <c r="E17" t="s">
        <v>47</v>
      </c>
      <c r="F17">
        <v>5</v>
      </c>
      <c r="G17">
        <v>5</v>
      </c>
      <c r="H17">
        <v>79</v>
      </c>
      <c r="I17">
        <v>353</v>
      </c>
      <c r="J17">
        <v>5</v>
      </c>
      <c r="K17">
        <v>44</v>
      </c>
      <c r="L17">
        <v>4.5</v>
      </c>
      <c r="M17">
        <v>70.599999999999994</v>
      </c>
      <c r="N17">
        <v>15.8</v>
      </c>
      <c r="O17">
        <v>13</v>
      </c>
      <c r="P17">
        <v>11</v>
      </c>
      <c r="Q17">
        <v>81</v>
      </c>
      <c r="R17">
        <v>7.4</v>
      </c>
      <c r="S17">
        <v>0</v>
      </c>
      <c r="T17">
        <v>18</v>
      </c>
      <c r="U17">
        <v>2.2000000000000002</v>
      </c>
      <c r="V17">
        <v>16.2</v>
      </c>
      <c r="W17" s="64">
        <v>0.84599999999999997</v>
      </c>
      <c r="X17">
        <v>434</v>
      </c>
      <c r="Y17">
        <v>5</v>
      </c>
      <c r="Z17">
        <v>0</v>
      </c>
    </row>
    <row r="18" spans="1:26" x14ac:dyDescent="0.25">
      <c r="A18">
        <v>18</v>
      </c>
      <c r="B18" t="s">
        <v>151</v>
      </c>
      <c r="C18" t="s">
        <v>1037</v>
      </c>
      <c r="D18">
        <v>28</v>
      </c>
      <c r="E18" t="s">
        <v>114</v>
      </c>
      <c r="F18">
        <v>7</v>
      </c>
      <c r="G18">
        <v>7</v>
      </c>
      <c r="H18">
        <v>2</v>
      </c>
      <c r="I18">
        <v>7</v>
      </c>
      <c r="J18">
        <v>0</v>
      </c>
      <c r="K18">
        <v>4</v>
      </c>
      <c r="L18">
        <v>3.5</v>
      </c>
      <c r="M18">
        <v>1</v>
      </c>
      <c r="N18">
        <v>0.3</v>
      </c>
      <c r="O18">
        <v>49</v>
      </c>
      <c r="P18">
        <v>37</v>
      </c>
      <c r="Q18">
        <v>423</v>
      </c>
      <c r="R18">
        <v>11.4</v>
      </c>
      <c r="S18">
        <v>3</v>
      </c>
      <c r="T18">
        <v>44</v>
      </c>
      <c r="U18">
        <v>5.3</v>
      </c>
      <c r="V18">
        <v>60.4</v>
      </c>
      <c r="W18" s="64">
        <v>0.755</v>
      </c>
      <c r="X18">
        <v>430</v>
      </c>
      <c r="Y18">
        <v>3</v>
      </c>
      <c r="Z18">
        <v>0</v>
      </c>
    </row>
    <row r="19" spans="1:26" x14ac:dyDescent="0.25">
      <c r="A19">
        <v>19</v>
      </c>
      <c r="B19" t="s">
        <v>89</v>
      </c>
      <c r="C19" t="s">
        <v>1053</v>
      </c>
      <c r="D19">
        <v>24</v>
      </c>
      <c r="E19" t="s">
        <v>47</v>
      </c>
      <c r="F19">
        <v>5</v>
      </c>
      <c r="G19">
        <v>5</v>
      </c>
      <c r="H19">
        <v>102</v>
      </c>
      <c r="I19">
        <v>391</v>
      </c>
      <c r="J19">
        <v>0</v>
      </c>
      <c r="K19">
        <v>20</v>
      </c>
      <c r="L19">
        <v>3.8</v>
      </c>
      <c r="M19">
        <v>78.2</v>
      </c>
      <c r="N19">
        <v>20.399999999999999</v>
      </c>
      <c r="O19">
        <v>12</v>
      </c>
      <c r="P19">
        <v>7</v>
      </c>
      <c r="Q19">
        <v>23</v>
      </c>
      <c r="R19">
        <v>3.3</v>
      </c>
      <c r="S19">
        <v>0</v>
      </c>
      <c r="T19">
        <v>8</v>
      </c>
      <c r="U19">
        <v>1.4</v>
      </c>
      <c r="V19">
        <v>4.5999999999999996</v>
      </c>
      <c r="W19" s="64">
        <v>0.58299999999999996</v>
      </c>
      <c r="X19">
        <v>414</v>
      </c>
      <c r="Y19">
        <v>0</v>
      </c>
      <c r="Z19">
        <v>1</v>
      </c>
    </row>
    <row r="20" spans="1:26" x14ac:dyDescent="0.25">
      <c r="A20">
        <v>20</v>
      </c>
      <c r="B20" t="s">
        <v>131</v>
      </c>
      <c r="C20" t="s">
        <v>1054</v>
      </c>
      <c r="D20">
        <v>26</v>
      </c>
      <c r="E20" t="s">
        <v>47</v>
      </c>
      <c r="F20">
        <v>5</v>
      </c>
      <c r="G20">
        <v>5</v>
      </c>
      <c r="H20">
        <v>82</v>
      </c>
      <c r="I20">
        <v>347</v>
      </c>
      <c r="J20">
        <v>1</v>
      </c>
      <c r="K20">
        <v>40</v>
      </c>
      <c r="L20">
        <v>4.2</v>
      </c>
      <c r="M20">
        <v>69.400000000000006</v>
      </c>
      <c r="N20">
        <v>16.399999999999999</v>
      </c>
      <c r="O20">
        <v>12</v>
      </c>
      <c r="P20">
        <v>10</v>
      </c>
      <c r="Q20">
        <v>67</v>
      </c>
      <c r="R20">
        <v>6.7</v>
      </c>
      <c r="S20">
        <v>1</v>
      </c>
      <c r="T20">
        <v>16</v>
      </c>
      <c r="U20">
        <v>2</v>
      </c>
      <c r="V20">
        <v>13.4</v>
      </c>
      <c r="W20" s="64">
        <v>0.83299999999999996</v>
      </c>
      <c r="X20">
        <v>414</v>
      </c>
      <c r="Y20">
        <v>2</v>
      </c>
      <c r="Z20">
        <v>0</v>
      </c>
    </row>
    <row r="25" spans="1:26" x14ac:dyDescent="0.25">
      <c r="Y25">
        <v>3.7</v>
      </c>
    </row>
    <row r="26" spans="1:26" x14ac:dyDescent="0.25">
      <c r="Y26">
        <f>Y25*6</f>
        <v>22.200000000000003</v>
      </c>
    </row>
    <row r="33" spans="1:24" x14ac:dyDescent="0.25">
      <c r="A33" t="s">
        <v>1055</v>
      </c>
      <c r="C33" t="s">
        <v>1056</v>
      </c>
      <c r="F33" t="s">
        <v>1057</v>
      </c>
      <c r="G33">
        <v>0</v>
      </c>
      <c r="H33">
        <v>0</v>
      </c>
      <c r="I33">
        <v>0</v>
      </c>
      <c r="K33">
        <v>106</v>
      </c>
      <c r="L33">
        <v>630</v>
      </c>
      <c r="M33">
        <v>4</v>
      </c>
      <c r="O33">
        <v>21</v>
      </c>
      <c r="P33">
        <v>255</v>
      </c>
      <c r="Q33">
        <v>2</v>
      </c>
      <c r="R33">
        <v>23</v>
      </c>
      <c r="T33">
        <v>0</v>
      </c>
      <c r="U33">
        <v>1</v>
      </c>
      <c r="V33">
        <v>0</v>
      </c>
      <c r="X33">
        <v>117</v>
      </c>
    </row>
    <row r="34" spans="1:24" x14ac:dyDescent="0.25">
      <c r="A34" t="s">
        <v>1058</v>
      </c>
      <c r="C34" t="s">
        <v>1059</v>
      </c>
      <c r="F34" t="s">
        <v>1057</v>
      </c>
      <c r="G34">
        <v>0</v>
      </c>
      <c r="H34">
        <v>0</v>
      </c>
      <c r="I34">
        <v>0</v>
      </c>
      <c r="K34">
        <v>130</v>
      </c>
      <c r="L34">
        <v>596</v>
      </c>
      <c r="M34">
        <v>6</v>
      </c>
      <c r="O34">
        <v>15</v>
      </c>
      <c r="P34">
        <v>136</v>
      </c>
      <c r="Q34">
        <v>1</v>
      </c>
      <c r="R34">
        <v>20</v>
      </c>
      <c r="T34">
        <v>0</v>
      </c>
      <c r="U34">
        <v>0</v>
      </c>
      <c r="V34">
        <v>0</v>
      </c>
      <c r="X34">
        <v>111</v>
      </c>
    </row>
    <row r="35" spans="1:24" x14ac:dyDescent="0.25">
      <c r="A35" t="s">
        <v>1060</v>
      </c>
      <c r="C35" t="s">
        <v>1061</v>
      </c>
      <c r="F35" t="s">
        <v>1057</v>
      </c>
      <c r="G35">
        <v>0</v>
      </c>
      <c r="H35">
        <v>0</v>
      </c>
      <c r="I35">
        <v>0</v>
      </c>
      <c r="K35">
        <v>123</v>
      </c>
      <c r="L35">
        <v>521</v>
      </c>
      <c r="M35">
        <v>4</v>
      </c>
      <c r="O35">
        <v>23</v>
      </c>
      <c r="P35">
        <v>245</v>
      </c>
      <c r="Q35">
        <v>3</v>
      </c>
      <c r="R35">
        <v>30</v>
      </c>
      <c r="T35">
        <v>0</v>
      </c>
      <c r="U35">
        <v>2</v>
      </c>
      <c r="V35">
        <v>0</v>
      </c>
      <c r="X35">
        <v>109</v>
      </c>
    </row>
    <row r="36" spans="1:24" x14ac:dyDescent="0.25">
      <c r="A36" t="s">
        <v>1062</v>
      </c>
      <c r="C36" t="s">
        <v>1063</v>
      </c>
      <c r="F36" t="s">
        <v>1057</v>
      </c>
      <c r="G36">
        <v>0</v>
      </c>
      <c r="H36">
        <v>0</v>
      </c>
      <c r="I36">
        <v>0</v>
      </c>
      <c r="K36">
        <v>99</v>
      </c>
      <c r="L36">
        <v>356</v>
      </c>
      <c r="M36">
        <v>3</v>
      </c>
      <c r="O36">
        <v>28</v>
      </c>
      <c r="P36">
        <v>222</v>
      </c>
      <c r="Q36">
        <v>4</v>
      </c>
      <c r="R36">
        <v>39</v>
      </c>
      <c r="T36">
        <v>0</v>
      </c>
      <c r="U36">
        <v>0</v>
      </c>
      <c r="V36">
        <v>0</v>
      </c>
      <c r="X36">
        <v>94</v>
      </c>
    </row>
    <row r="37" spans="1:24" x14ac:dyDescent="0.25">
      <c r="A37" t="s">
        <v>1064</v>
      </c>
      <c r="C37" t="s">
        <v>1065</v>
      </c>
      <c r="F37" t="s">
        <v>1057</v>
      </c>
      <c r="G37">
        <v>0</v>
      </c>
      <c r="H37">
        <v>0</v>
      </c>
      <c r="I37">
        <v>0</v>
      </c>
      <c r="K37">
        <v>134</v>
      </c>
      <c r="L37">
        <v>550</v>
      </c>
      <c r="M37">
        <v>4</v>
      </c>
      <c r="O37">
        <v>30</v>
      </c>
      <c r="P37">
        <v>156</v>
      </c>
      <c r="Q37">
        <v>0</v>
      </c>
      <c r="R37">
        <v>39</v>
      </c>
      <c r="T37">
        <v>0</v>
      </c>
      <c r="U37">
        <v>0</v>
      </c>
      <c r="V37">
        <v>0</v>
      </c>
      <c r="X37">
        <v>89</v>
      </c>
    </row>
    <row r="38" spans="1:24" x14ac:dyDescent="0.25">
      <c r="A38" t="s">
        <v>1066</v>
      </c>
      <c r="C38" t="s">
        <v>1056</v>
      </c>
      <c r="F38" t="s">
        <v>1057</v>
      </c>
      <c r="G38">
        <v>0</v>
      </c>
      <c r="H38">
        <v>0</v>
      </c>
      <c r="I38">
        <v>0</v>
      </c>
      <c r="K38">
        <v>118</v>
      </c>
      <c r="L38">
        <v>495</v>
      </c>
      <c r="M38">
        <v>4</v>
      </c>
      <c r="O38">
        <v>11</v>
      </c>
      <c r="P38">
        <v>59</v>
      </c>
      <c r="Q38">
        <v>0</v>
      </c>
      <c r="R38">
        <v>16</v>
      </c>
      <c r="T38">
        <v>0</v>
      </c>
      <c r="U38">
        <v>1</v>
      </c>
      <c r="V38">
        <v>0</v>
      </c>
      <c r="X38">
        <v>73</v>
      </c>
    </row>
    <row r="39" spans="1:24" x14ac:dyDescent="0.25">
      <c r="A39" t="s">
        <v>1067</v>
      </c>
      <c r="C39" t="s">
        <v>1068</v>
      </c>
      <c r="F39" t="s">
        <v>1057</v>
      </c>
      <c r="G39">
        <v>0</v>
      </c>
      <c r="H39">
        <v>0</v>
      </c>
      <c r="I39">
        <v>0</v>
      </c>
      <c r="K39">
        <v>36</v>
      </c>
      <c r="L39">
        <v>175</v>
      </c>
      <c r="M39">
        <v>2</v>
      </c>
      <c r="O39">
        <v>18</v>
      </c>
      <c r="P39">
        <v>340</v>
      </c>
      <c r="Q39">
        <v>2</v>
      </c>
      <c r="R39">
        <v>26</v>
      </c>
      <c r="T39">
        <v>0</v>
      </c>
      <c r="U39">
        <v>1</v>
      </c>
      <c r="V39">
        <v>0</v>
      </c>
      <c r="X39">
        <v>69</v>
      </c>
    </row>
    <row r="40" spans="1:24" x14ac:dyDescent="0.25">
      <c r="A40" t="s">
        <v>1069</v>
      </c>
      <c r="C40" t="s">
        <v>1056</v>
      </c>
      <c r="F40" t="s">
        <v>1057</v>
      </c>
      <c r="G40">
        <v>0</v>
      </c>
      <c r="H40">
        <v>0</v>
      </c>
      <c r="I40">
        <v>0</v>
      </c>
      <c r="K40">
        <v>79</v>
      </c>
      <c r="L40">
        <v>353</v>
      </c>
      <c r="M40">
        <v>5</v>
      </c>
      <c r="O40">
        <v>11</v>
      </c>
      <c r="P40">
        <v>81</v>
      </c>
      <c r="Q40">
        <v>0</v>
      </c>
      <c r="R40">
        <v>13</v>
      </c>
      <c r="T40">
        <v>0</v>
      </c>
      <c r="U40">
        <v>0</v>
      </c>
      <c r="V40">
        <v>0</v>
      </c>
      <c r="X40">
        <v>69</v>
      </c>
    </row>
    <row r="41" spans="1:24" x14ac:dyDescent="0.25">
      <c r="A41" t="s">
        <v>1070</v>
      </c>
      <c r="C41" t="s">
        <v>1065</v>
      </c>
      <c r="F41" t="s">
        <v>1057</v>
      </c>
      <c r="G41">
        <v>0</v>
      </c>
      <c r="H41">
        <v>0</v>
      </c>
      <c r="I41">
        <v>0</v>
      </c>
      <c r="K41">
        <v>86</v>
      </c>
      <c r="L41">
        <v>360</v>
      </c>
      <c r="M41">
        <v>4</v>
      </c>
      <c r="O41">
        <v>23</v>
      </c>
      <c r="P41">
        <v>142</v>
      </c>
      <c r="Q41">
        <v>0</v>
      </c>
      <c r="R41">
        <v>29</v>
      </c>
      <c r="T41">
        <v>0</v>
      </c>
      <c r="U41">
        <v>0</v>
      </c>
      <c r="V41">
        <v>0</v>
      </c>
      <c r="X41">
        <v>68</v>
      </c>
    </row>
    <row r="42" spans="1:24" x14ac:dyDescent="0.25">
      <c r="A42" t="s">
        <v>1071</v>
      </c>
      <c r="C42" t="s">
        <v>1072</v>
      </c>
      <c r="F42" t="s">
        <v>1057</v>
      </c>
      <c r="G42">
        <v>0</v>
      </c>
      <c r="H42">
        <v>0</v>
      </c>
      <c r="I42">
        <v>0</v>
      </c>
      <c r="K42">
        <v>105</v>
      </c>
      <c r="L42">
        <v>393</v>
      </c>
      <c r="M42">
        <v>2</v>
      </c>
      <c r="O42">
        <v>17</v>
      </c>
      <c r="P42">
        <v>134</v>
      </c>
      <c r="Q42">
        <v>1</v>
      </c>
      <c r="R42">
        <v>21</v>
      </c>
      <c r="T42">
        <v>0</v>
      </c>
      <c r="U42">
        <v>0</v>
      </c>
      <c r="V42">
        <v>0</v>
      </c>
      <c r="X42">
        <v>66</v>
      </c>
    </row>
    <row r="43" spans="1:24" x14ac:dyDescent="0.25">
      <c r="A43" t="s">
        <v>1073</v>
      </c>
      <c r="C43" t="s">
        <v>1059</v>
      </c>
      <c r="F43" t="s">
        <v>1057</v>
      </c>
      <c r="G43">
        <v>0</v>
      </c>
      <c r="H43">
        <v>0</v>
      </c>
      <c r="I43">
        <v>0</v>
      </c>
      <c r="K43">
        <v>98</v>
      </c>
      <c r="L43">
        <v>372</v>
      </c>
      <c r="M43">
        <v>1</v>
      </c>
      <c r="O43">
        <v>15</v>
      </c>
      <c r="P43">
        <v>175</v>
      </c>
      <c r="Q43">
        <v>1</v>
      </c>
      <c r="R43">
        <v>18</v>
      </c>
      <c r="T43">
        <v>0</v>
      </c>
      <c r="U43">
        <v>0</v>
      </c>
      <c r="V43">
        <v>0</v>
      </c>
      <c r="X43">
        <v>62</v>
      </c>
    </row>
    <row r="44" spans="1:24" x14ac:dyDescent="0.25">
      <c r="A44" t="s">
        <v>1074</v>
      </c>
      <c r="C44" t="s">
        <v>1075</v>
      </c>
      <c r="F44" t="s">
        <v>1057</v>
      </c>
      <c r="G44">
        <v>0</v>
      </c>
      <c r="H44">
        <v>0</v>
      </c>
      <c r="I44">
        <v>0</v>
      </c>
      <c r="K44">
        <v>21</v>
      </c>
      <c r="L44">
        <v>117</v>
      </c>
      <c r="M44">
        <v>2</v>
      </c>
      <c r="O44">
        <v>26</v>
      </c>
      <c r="P44">
        <v>269</v>
      </c>
      <c r="Q44">
        <v>1</v>
      </c>
      <c r="R44">
        <v>36</v>
      </c>
      <c r="T44">
        <v>0</v>
      </c>
      <c r="U44">
        <v>0</v>
      </c>
      <c r="V44">
        <v>0</v>
      </c>
      <c r="X44">
        <v>54</v>
      </c>
    </row>
    <row r="45" spans="1:24" x14ac:dyDescent="0.25">
      <c r="A45" t="s">
        <v>1076</v>
      </c>
      <c r="C45" t="s">
        <v>1061</v>
      </c>
      <c r="F45" t="s">
        <v>1057</v>
      </c>
      <c r="G45">
        <v>0</v>
      </c>
      <c r="H45">
        <v>0</v>
      </c>
      <c r="I45">
        <v>0</v>
      </c>
      <c r="K45">
        <v>70</v>
      </c>
      <c r="L45">
        <v>390</v>
      </c>
      <c r="M45">
        <v>1</v>
      </c>
      <c r="O45">
        <v>3</v>
      </c>
      <c r="P45">
        <v>21</v>
      </c>
      <c r="Q45">
        <v>1</v>
      </c>
      <c r="R45">
        <v>3</v>
      </c>
      <c r="T45">
        <v>1</v>
      </c>
      <c r="U45">
        <v>0</v>
      </c>
      <c r="V45">
        <v>0</v>
      </c>
      <c r="X45">
        <v>52</v>
      </c>
    </row>
    <row r="46" spans="1:24" x14ac:dyDescent="0.25">
      <c r="A46" t="s">
        <v>1077</v>
      </c>
      <c r="C46" t="s">
        <v>1061</v>
      </c>
      <c r="F46" t="s">
        <v>1057</v>
      </c>
      <c r="G46">
        <v>0</v>
      </c>
      <c r="H46">
        <v>0</v>
      </c>
      <c r="I46">
        <v>0</v>
      </c>
      <c r="K46">
        <v>74</v>
      </c>
      <c r="L46">
        <v>354</v>
      </c>
      <c r="M46">
        <v>2</v>
      </c>
      <c r="O46">
        <v>11</v>
      </c>
      <c r="P46">
        <v>90</v>
      </c>
      <c r="Q46">
        <v>0</v>
      </c>
      <c r="R46">
        <v>16</v>
      </c>
      <c r="T46">
        <v>0</v>
      </c>
      <c r="U46">
        <v>1</v>
      </c>
      <c r="V46">
        <v>0</v>
      </c>
      <c r="X46">
        <v>51</v>
      </c>
    </row>
    <row r="47" spans="1:24" x14ac:dyDescent="0.25">
      <c r="A47" t="s">
        <v>1078</v>
      </c>
      <c r="C47" t="s">
        <v>1075</v>
      </c>
      <c r="F47" t="s">
        <v>1057</v>
      </c>
      <c r="G47">
        <v>0</v>
      </c>
      <c r="H47">
        <v>0</v>
      </c>
      <c r="I47">
        <v>0</v>
      </c>
      <c r="K47">
        <v>67</v>
      </c>
      <c r="L47">
        <v>284</v>
      </c>
      <c r="M47">
        <v>2</v>
      </c>
      <c r="O47">
        <v>20</v>
      </c>
      <c r="P47">
        <v>161</v>
      </c>
      <c r="Q47">
        <v>0</v>
      </c>
      <c r="R47">
        <v>27</v>
      </c>
      <c r="T47">
        <v>0</v>
      </c>
      <c r="U47">
        <v>1</v>
      </c>
      <c r="V47">
        <v>0</v>
      </c>
      <c r="X47">
        <v>50</v>
      </c>
    </row>
    <row r="48" spans="1:24" x14ac:dyDescent="0.25">
      <c r="A48" t="s">
        <v>1079</v>
      </c>
      <c r="C48" t="s">
        <v>1056</v>
      </c>
      <c r="F48" t="s">
        <v>1057</v>
      </c>
      <c r="G48">
        <v>0</v>
      </c>
      <c r="H48">
        <v>0</v>
      </c>
      <c r="I48">
        <v>0</v>
      </c>
      <c r="K48">
        <v>79</v>
      </c>
      <c r="L48">
        <v>290</v>
      </c>
      <c r="M48">
        <v>4</v>
      </c>
      <c r="O48">
        <v>0</v>
      </c>
      <c r="P48">
        <v>0</v>
      </c>
      <c r="Q48">
        <v>0</v>
      </c>
      <c r="R48">
        <v>0</v>
      </c>
      <c r="T48">
        <v>0</v>
      </c>
      <c r="U48">
        <v>1</v>
      </c>
      <c r="V48">
        <v>0</v>
      </c>
      <c r="X48">
        <v>48</v>
      </c>
    </row>
    <row r="49" spans="1:25" x14ac:dyDescent="0.25">
      <c r="A49" t="s">
        <v>1080</v>
      </c>
      <c r="C49" t="s">
        <v>1072</v>
      </c>
      <c r="F49" t="s">
        <v>1057</v>
      </c>
      <c r="G49">
        <v>0</v>
      </c>
      <c r="H49">
        <v>0</v>
      </c>
      <c r="I49">
        <v>0</v>
      </c>
      <c r="K49">
        <v>82</v>
      </c>
      <c r="L49">
        <v>347</v>
      </c>
      <c r="M49">
        <v>1</v>
      </c>
      <c r="O49">
        <v>10</v>
      </c>
      <c r="P49">
        <v>67</v>
      </c>
      <c r="Q49">
        <v>1</v>
      </c>
      <c r="R49">
        <v>12</v>
      </c>
      <c r="T49">
        <v>0</v>
      </c>
      <c r="U49">
        <v>0</v>
      </c>
      <c r="V49">
        <v>0</v>
      </c>
      <c r="X49">
        <v>48</v>
      </c>
    </row>
    <row r="50" spans="1:25" x14ac:dyDescent="0.25">
      <c r="A50" t="s">
        <v>1081</v>
      </c>
      <c r="C50" t="s">
        <v>1061</v>
      </c>
      <c r="F50" t="s">
        <v>1057</v>
      </c>
      <c r="G50">
        <v>0</v>
      </c>
      <c r="H50">
        <v>0</v>
      </c>
      <c r="I50">
        <v>0</v>
      </c>
      <c r="K50">
        <v>76</v>
      </c>
      <c r="L50">
        <v>281</v>
      </c>
      <c r="M50">
        <v>1</v>
      </c>
      <c r="O50">
        <v>23</v>
      </c>
      <c r="P50">
        <v>114</v>
      </c>
      <c r="Q50">
        <v>1</v>
      </c>
      <c r="R50">
        <v>28</v>
      </c>
      <c r="T50">
        <v>0</v>
      </c>
      <c r="U50">
        <v>0</v>
      </c>
      <c r="V50">
        <v>0</v>
      </c>
      <c r="X50">
        <v>46</v>
      </c>
    </row>
    <row r="51" spans="1:25" x14ac:dyDescent="0.25">
      <c r="A51" t="s">
        <v>1082</v>
      </c>
      <c r="C51" t="s">
        <v>1083</v>
      </c>
      <c r="F51" t="s">
        <v>1057</v>
      </c>
      <c r="G51">
        <v>0</v>
      </c>
      <c r="H51">
        <v>0</v>
      </c>
      <c r="I51">
        <v>0</v>
      </c>
      <c r="K51">
        <v>85</v>
      </c>
      <c r="L51">
        <v>288</v>
      </c>
      <c r="M51">
        <v>2</v>
      </c>
      <c r="O51">
        <v>10</v>
      </c>
      <c r="P51">
        <v>100</v>
      </c>
      <c r="Q51">
        <v>0</v>
      </c>
      <c r="R51">
        <v>14</v>
      </c>
      <c r="T51">
        <v>0</v>
      </c>
      <c r="U51">
        <v>0</v>
      </c>
      <c r="V51">
        <v>0</v>
      </c>
      <c r="X51">
        <v>45</v>
      </c>
    </row>
    <row r="52" spans="1:25" x14ac:dyDescent="0.25">
      <c r="A52" t="s">
        <v>1084</v>
      </c>
      <c r="C52" t="s">
        <v>1085</v>
      </c>
      <c r="F52" t="s">
        <v>1057</v>
      </c>
      <c r="G52">
        <v>0</v>
      </c>
      <c r="H52">
        <v>0</v>
      </c>
      <c r="I52">
        <v>0</v>
      </c>
      <c r="K52">
        <v>68</v>
      </c>
      <c r="L52">
        <v>313</v>
      </c>
      <c r="M52">
        <v>2</v>
      </c>
      <c r="O52">
        <v>14</v>
      </c>
      <c r="P52">
        <v>86</v>
      </c>
      <c r="Q52">
        <v>0</v>
      </c>
      <c r="R52">
        <v>17</v>
      </c>
      <c r="T52">
        <v>0</v>
      </c>
      <c r="U52">
        <v>1</v>
      </c>
      <c r="V52">
        <v>0</v>
      </c>
      <c r="X52">
        <v>45</v>
      </c>
    </row>
    <row r="53" spans="1:25" x14ac:dyDescent="0.25">
      <c r="A53" t="s">
        <v>1086</v>
      </c>
      <c r="C53" t="s">
        <v>1083</v>
      </c>
      <c r="F53" t="s">
        <v>1057</v>
      </c>
      <c r="G53">
        <v>0</v>
      </c>
      <c r="H53">
        <v>0</v>
      </c>
      <c r="I53">
        <v>0</v>
      </c>
      <c r="K53">
        <v>38</v>
      </c>
      <c r="L53">
        <v>213</v>
      </c>
      <c r="M53">
        <v>1</v>
      </c>
      <c r="O53">
        <v>14</v>
      </c>
      <c r="P53">
        <v>157</v>
      </c>
      <c r="Q53">
        <v>1</v>
      </c>
      <c r="R53">
        <v>20</v>
      </c>
      <c r="T53">
        <v>0</v>
      </c>
      <c r="U53">
        <v>0</v>
      </c>
      <c r="V53">
        <v>0</v>
      </c>
      <c r="X53">
        <v>45</v>
      </c>
    </row>
    <row r="54" spans="1:25" x14ac:dyDescent="0.25">
      <c r="A54" t="s">
        <v>1087</v>
      </c>
      <c r="C54" t="s">
        <v>1065</v>
      </c>
      <c r="F54" t="s">
        <v>1057</v>
      </c>
      <c r="G54">
        <v>0</v>
      </c>
      <c r="H54">
        <v>0</v>
      </c>
      <c r="I54">
        <v>0</v>
      </c>
      <c r="K54">
        <v>56</v>
      </c>
      <c r="L54">
        <v>180</v>
      </c>
      <c r="M54">
        <v>2</v>
      </c>
      <c r="O54">
        <v>19</v>
      </c>
      <c r="P54">
        <v>132</v>
      </c>
      <c r="Q54">
        <v>1</v>
      </c>
      <c r="R54">
        <v>26</v>
      </c>
      <c r="T54">
        <v>0</v>
      </c>
      <c r="U54">
        <v>0</v>
      </c>
      <c r="V54">
        <v>0</v>
      </c>
      <c r="X54">
        <v>44</v>
      </c>
    </row>
    <row r="55" spans="1:25" x14ac:dyDescent="0.25">
      <c r="A55" t="s">
        <v>1088</v>
      </c>
      <c r="C55" t="s">
        <v>1083</v>
      </c>
      <c r="F55" t="s">
        <v>1057</v>
      </c>
      <c r="G55">
        <v>0</v>
      </c>
      <c r="H55">
        <v>0</v>
      </c>
      <c r="I55">
        <v>0</v>
      </c>
      <c r="K55">
        <v>38</v>
      </c>
      <c r="L55">
        <v>104</v>
      </c>
      <c r="M55">
        <v>0</v>
      </c>
      <c r="O55">
        <v>37</v>
      </c>
      <c r="P55">
        <v>293</v>
      </c>
      <c r="Q55">
        <v>2</v>
      </c>
      <c r="R55">
        <v>50</v>
      </c>
      <c r="T55">
        <v>0</v>
      </c>
      <c r="U55">
        <v>1</v>
      </c>
      <c r="V55">
        <v>0</v>
      </c>
      <c r="X55">
        <v>44</v>
      </c>
    </row>
    <row r="56" spans="1:25" x14ac:dyDescent="0.25">
      <c r="A56" t="s">
        <v>1089</v>
      </c>
      <c r="C56" t="s">
        <v>1063</v>
      </c>
      <c r="F56" t="s">
        <v>1057</v>
      </c>
      <c r="G56">
        <v>0</v>
      </c>
      <c r="H56">
        <v>0</v>
      </c>
      <c r="I56">
        <v>0</v>
      </c>
      <c r="K56">
        <v>90</v>
      </c>
      <c r="L56">
        <v>342</v>
      </c>
      <c r="M56">
        <v>1</v>
      </c>
      <c r="O56">
        <v>10</v>
      </c>
      <c r="P56">
        <v>68</v>
      </c>
      <c r="Q56">
        <v>0</v>
      </c>
      <c r="R56">
        <v>13</v>
      </c>
      <c r="T56">
        <v>0</v>
      </c>
      <c r="U56">
        <v>0</v>
      </c>
      <c r="V56">
        <v>0</v>
      </c>
      <c r="X56">
        <v>43</v>
      </c>
    </row>
    <row r="57" spans="1:25" x14ac:dyDescent="0.25">
      <c r="A57" t="s">
        <v>1090</v>
      </c>
      <c r="C57" t="s">
        <v>1059</v>
      </c>
      <c r="F57" t="s">
        <v>1057</v>
      </c>
      <c r="G57">
        <v>0</v>
      </c>
      <c r="H57">
        <v>0</v>
      </c>
      <c r="I57">
        <v>0</v>
      </c>
      <c r="K57">
        <v>62</v>
      </c>
      <c r="L57">
        <v>318</v>
      </c>
      <c r="M57">
        <v>2</v>
      </c>
      <c r="O57">
        <v>2</v>
      </c>
      <c r="P57">
        <v>24</v>
      </c>
      <c r="Q57">
        <v>0</v>
      </c>
      <c r="R57">
        <v>2</v>
      </c>
      <c r="T57">
        <v>0</v>
      </c>
      <c r="U57">
        <v>0</v>
      </c>
      <c r="V57">
        <v>0</v>
      </c>
      <c r="X57">
        <v>43</v>
      </c>
    </row>
    <row r="58" spans="1:25" x14ac:dyDescent="0.25">
      <c r="A58" t="s">
        <v>1091</v>
      </c>
      <c r="C58" t="s">
        <v>1063</v>
      </c>
      <c r="F58" t="s">
        <v>1057</v>
      </c>
      <c r="G58">
        <v>0</v>
      </c>
      <c r="H58">
        <v>0</v>
      </c>
      <c r="I58">
        <v>0</v>
      </c>
      <c r="K58">
        <v>87</v>
      </c>
      <c r="L58">
        <v>279</v>
      </c>
      <c r="M58">
        <v>0</v>
      </c>
      <c r="O58">
        <v>27</v>
      </c>
      <c r="P58">
        <v>189</v>
      </c>
      <c r="Q58">
        <v>0</v>
      </c>
      <c r="R58">
        <v>32</v>
      </c>
      <c r="T58">
        <v>0</v>
      </c>
      <c r="U58">
        <v>0</v>
      </c>
      <c r="V58">
        <v>0</v>
      </c>
      <c r="X58">
        <v>42</v>
      </c>
      <c r="Y58">
        <f>X58+22</f>
        <v>64</v>
      </c>
    </row>
    <row r="59" spans="1:25" x14ac:dyDescent="0.25">
      <c r="A59" t="s">
        <v>1092</v>
      </c>
      <c r="C59" t="s">
        <v>1083</v>
      </c>
      <c r="F59" t="s">
        <v>1057</v>
      </c>
      <c r="G59">
        <v>0</v>
      </c>
      <c r="H59">
        <v>0</v>
      </c>
      <c r="I59">
        <v>0</v>
      </c>
      <c r="K59">
        <v>41</v>
      </c>
      <c r="L59">
        <v>190</v>
      </c>
      <c r="M59">
        <v>2</v>
      </c>
      <c r="O59">
        <v>19</v>
      </c>
      <c r="P59">
        <v>121</v>
      </c>
      <c r="Q59">
        <v>1</v>
      </c>
      <c r="R59">
        <v>24</v>
      </c>
      <c r="T59">
        <v>0</v>
      </c>
      <c r="U59">
        <v>2</v>
      </c>
      <c r="V59">
        <v>0</v>
      </c>
      <c r="X59">
        <v>41</v>
      </c>
    </row>
    <row r="60" spans="1:25" x14ac:dyDescent="0.25">
      <c r="A60" t="s">
        <v>1093</v>
      </c>
      <c r="C60" t="s">
        <v>1068</v>
      </c>
      <c r="F60" s="65">
        <v>42736</v>
      </c>
      <c r="G60">
        <v>21</v>
      </c>
      <c r="H60">
        <v>1</v>
      </c>
      <c r="I60">
        <v>0</v>
      </c>
      <c r="K60">
        <v>50</v>
      </c>
      <c r="L60">
        <v>226</v>
      </c>
      <c r="M60">
        <v>0</v>
      </c>
      <c r="O60">
        <v>26</v>
      </c>
      <c r="P60">
        <v>158</v>
      </c>
      <c r="Q60">
        <v>1</v>
      </c>
      <c r="R60">
        <v>33</v>
      </c>
      <c r="T60">
        <v>0</v>
      </c>
      <c r="U60">
        <v>2</v>
      </c>
      <c r="V60">
        <v>0</v>
      </c>
      <c r="X60">
        <v>40</v>
      </c>
    </row>
    <row r="61" spans="1:25" x14ac:dyDescent="0.25">
      <c r="A61" t="s">
        <v>1094</v>
      </c>
      <c r="C61" t="s">
        <v>1065</v>
      </c>
      <c r="F61" t="s">
        <v>1057</v>
      </c>
      <c r="G61">
        <v>0</v>
      </c>
      <c r="H61">
        <v>0</v>
      </c>
      <c r="I61">
        <v>0</v>
      </c>
      <c r="K61">
        <v>25</v>
      </c>
      <c r="L61">
        <v>158</v>
      </c>
      <c r="M61">
        <v>1</v>
      </c>
      <c r="O61">
        <v>23</v>
      </c>
      <c r="P61">
        <v>159</v>
      </c>
      <c r="Q61">
        <v>1</v>
      </c>
      <c r="R61">
        <v>31</v>
      </c>
      <c r="T61">
        <v>0</v>
      </c>
      <c r="U61">
        <v>0</v>
      </c>
      <c r="V61">
        <v>0</v>
      </c>
      <c r="X61">
        <v>40</v>
      </c>
    </row>
    <row r="62" spans="1:25" x14ac:dyDescent="0.25">
      <c r="A62" t="s">
        <v>1095</v>
      </c>
      <c r="C62" t="s">
        <v>1075</v>
      </c>
      <c r="F62" t="s">
        <v>1057</v>
      </c>
      <c r="G62">
        <v>0</v>
      </c>
      <c r="H62">
        <v>0</v>
      </c>
      <c r="I62">
        <v>0</v>
      </c>
      <c r="K62">
        <v>51</v>
      </c>
      <c r="L62">
        <v>240</v>
      </c>
      <c r="M62">
        <v>2</v>
      </c>
      <c r="O62">
        <v>13</v>
      </c>
      <c r="P62">
        <v>72</v>
      </c>
      <c r="Q62">
        <v>0</v>
      </c>
      <c r="R62">
        <v>18</v>
      </c>
      <c r="T62">
        <v>0</v>
      </c>
      <c r="U62">
        <v>0</v>
      </c>
      <c r="V62">
        <v>0</v>
      </c>
      <c r="X62">
        <v>39</v>
      </c>
    </row>
    <row r="63" spans="1:25" x14ac:dyDescent="0.25">
      <c r="A63" t="s">
        <v>1096</v>
      </c>
      <c r="C63" t="s">
        <v>1075</v>
      </c>
      <c r="F63" t="s">
        <v>1057</v>
      </c>
      <c r="G63">
        <v>0</v>
      </c>
      <c r="H63">
        <v>0</v>
      </c>
      <c r="I63">
        <v>0</v>
      </c>
      <c r="K63">
        <v>70</v>
      </c>
      <c r="L63">
        <v>257</v>
      </c>
      <c r="M63">
        <v>2</v>
      </c>
      <c r="O63">
        <v>4</v>
      </c>
      <c r="P63">
        <v>38</v>
      </c>
      <c r="Q63">
        <v>0</v>
      </c>
      <c r="R63">
        <v>10</v>
      </c>
      <c r="T63">
        <v>0</v>
      </c>
      <c r="U63">
        <v>0</v>
      </c>
      <c r="V63">
        <v>0</v>
      </c>
      <c r="X63">
        <v>37</v>
      </c>
    </row>
    <row r="64" spans="1:25" x14ac:dyDescent="0.25">
      <c r="A64" t="s">
        <v>1097</v>
      </c>
      <c r="C64" t="s">
        <v>1063</v>
      </c>
      <c r="F64" t="s">
        <v>1057</v>
      </c>
      <c r="G64">
        <v>0</v>
      </c>
      <c r="H64">
        <v>0</v>
      </c>
      <c r="I64">
        <v>0</v>
      </c>
      <c r="K64">
        <v>102</v>
      </c>
      <c r="L64">
        <v>391</v>
      </c>
      <c r="M64">
        <v>0</v>
      </c>
      <c r="O64">
        <v>7</v>
      </c>
      <c r="P64">
        <v>23</v>
      </c>
      <c r="Q64">
        <v>0</v>
      </c>
      <c r="R64">
        <v>12</v>
      </c>
      <c r="T64">
        <v>0</v>
      </c>
      <c r="U64">
        <v>1</v>
      </c>
      <c r="V64">
        <v>0</v>
      </c>
      <c r="X64">
        <v>35</v>
      </c>
      <c r="Y64">
        <f>X64+22</f>
        <v>57</v>
      </c>
    </row>
    <row r="68" spans="1:15" x14ac:dyDescent="0.25">
      <c r="N68">
        <f>9/0.096</f>
        <v>93.75</v>
      </c>
      <c r="O68">
        <f>9/0.214</f>
        <v>42.056074766355138</v>
      </c>
    </row>
    <row r="69" spans="1:15" x14ac:dyDescent="0.25">
      <c r="N69">
        <f>9/94</f>
        <v>9.5744680851063829E-2</v>
      </c>
      <c r="O69">
        <f>21/0.323</f>
        <v>65.015479876160995</v>
      </c>
    </row>
    <row r="70" spans="1:15" x14ac:dyDescent="0.25">
      <c r="O70">
        <f>O68+O69</f>
        <v>107.07155464251613</v>
      </c>
    </row>
    <row r="71" spans="1:15" x14ac:dyDescent="0.25">
      <c r="N71">
        <f>21*4</f>
        <v>84</v>
      </c>
    </row>
    <row r="72" spans="1:15" x14ac:dyDescent="0.25">
      <c r="N72">
        <f>N71+94</f>
        <v>178</v>
      </c>
    </row>
    <row r="75" spans="1:15" x14ac:dyDescent="0.25">
      <c r="A75" t="s">
        <v>1098</v>
      </c>
      <c r="B75" t="s">
        <v>1099</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Q52"/>
  <sheetViews>
    <sheetView workbookViewId="0">
      <selection activeCell="C3" sqref="C3"/>
    </sheetView>
  </sheetViews>
  <sheetFormatPr defaultRowHeight="15" x14ac:dyDescent="0.25"/>
  <cols>
    <col min="1" max="1" width="4.7109375" customWidth="1"/>
    <col min="2" max="2" width="9.140625" hidden="1" customWidth="1"/>
    <col min="3" max="3" width="21.42578125" customWidth="1"/>
    <col min="4" max="4" width="6.28515625" customWidth="1"/>
    <col min="5" max="5" width="5.7109375" customWidth="1"/>
    <col min="6" max="7" width="4.42578125" customWidth="1"/>
    <col min="8" max="8" width="9.140625" hidden="1" customWidth="1"/>
    <col min="9" max="9" width="21.42578125" customWidth="1"/>
    <col min="10" max="10" width="6.85546875" customWidth="1"/>
    <col min="11" max="11" width="5.7109375" customWidth="1"/>
    <col min="12" max="12" width="4.42578125" customWidth="1"/>
    <col min="13" max="13" width="4.7109375" customWidth="1"/>
    <col min="14" max="14" width="0" hidden="1" customWidth="1"/>
    <col min="15" max="15" width="21.42578125" customWidth="1"/>
    <col min="16" max="16" width="6.42578125" customWidth="1"/>
    <col min="17" max="17" width="5.7109375" customWidth="1"/>
  </cols>
  <sheetData>
    <row r="1" spans="1:17" x14ac:dyDescent="0.25">
      <c r="A1">
        <f>Week+Half_Week</f>
        <v>5</v>
      </c>
      <c r="G1">
        <f>A1+1</f>
        <v>6</v>
      </c>
      <c r="M1">
        <f>G1+1</f>
        <v>7</v>
      </c>
    </row>
    <row r="2" spans="1:17" x14ac:dyDescent="0.25">
      <c r="A2" t="s">
        <v>15</v>
      </c>
      <c r="B2" t="s">
        <v>780</v>
      </c>
      <c r="C2" t="s">
        <v>0</v>
      </c>
      <c r="D2" t="s">
        <v>835</v>
      </c>
      <c r="E2" s="150" t="s">
        <v>5001</v>
      </c>
      <c r="G2" t="s">
        <v>15</v>
      </c>
      <c r="H2" t="s">
        <v>780</v>
      </c>
      <c r="I2" t="s">
        <v>0</v>
      </c>
      <c r="J2" t="s">
        <v>835</v>
      </c>
      <c r="K2" s="150" t="s">
        <v>5001</v>
      </c>
      <c r="M2" t="s">
        <v>15</v>
      </c>
      <c r="N2" t="s">
        <v>780</v>
      </c>
      <c r="O2" t="s">
        <v>0</v>
      </c>
      <c r="P2" t="s">
        <v>835</v>
      </c>
      <c r="Q2" s="150" t="s">
        <v>5001</v>
      </c>
    </row>
    <row r="3" spans="1:17" x14ac:dyDescent="0.25">
      <c r="A3">
        <v>1</v>
      </c>
      <c r="B3">
        <f>MATCH("NA"&amp;A$1&amp;A2&amp;"-"&amp;$A3,'F Proj'!$N$2:$N$7669,0)</f>
        <v>154</v>
      </c>
      <c r="C3" t="str">
        <f>INDEX('F Proj'!$B$2:$B$7669,$B3)</f>
        <v>Blake Bortles</v>
      </c>
      <c r="D3" s="2">
        <f>INDEX('F Proj'!$D$2:$D$7669,$B3)</f>
        <v>19.78</v>
      </c>
      <c r="E3" s="154" t="str">
        <f>"#"&amp;INDEX('F Proj'!$O$2:$O$7669,$B3)</f>
        <v>#10</v>
      </c>
      <c r="G3">
        <v>1</v>
      </c>
      <c r="H3">
        <f>MATCH("NA"&amp;G$1&amp;G2&amp;"-"&amp;$A3,'F Proj'!$N$2:$N$7669,0)</f>
        <v>148</v>
      </c>
      <c r="I3" t="str">
        <f>INDEX('F Proj'!$B$2:$B$7669,$H3)</f>
        <v>Jameis Winston</v>
      </c>
      <c r="J3" s="2">
        <f>INDEX('F Proj'!$D$2:$D$7669,$H3)</f>
        <v>19.809999999999999</v>
      </c>
      <c r="K3" s="154" t="str">
        <f>"#"&amp;INDEX('F Proj'!$O$2:$O$7669,$H3)</f>
        <v>#10</v>
      </c>
      <c r="M3">
        <v>1</v>
      </c>
      <c r="N3">
        <f>MATCH("NA"&amp;M$1&amp;M2&amp;"-"&amp;$A3,'F Proj'!$N$2:$N$7669,0)</f>
        <v>36</v>
      </c>
      <c r="O3" t="str">
        <f>INDEX('F Proj'!$B$2:$B$7669,$N3)</f>
        <v>Blake Bortles</v>
      </c>
      <c r="P3" s="2">
        <f>INDEX('F Proj'!$D$2:$D$7669,$N3)</f>
        <v>22.59</v>
      </c>
      <c r="Q3" s="154" t="str">
        <f>"#"&amp;INDEX('F Proj'!$O$2:$O$7669,$N3)</f>
        <v>#2</v>
      </c>
    </row>
    <row r="4" spans="1:17" x14ac:dyDescent="0.25">
      <c r="A4">
        <v>2</v>
      </c>
      <c r="B4">
        <f>MATCH("NA"&amp;A$1&amp;A2&amp;"-"&amp;$A4,'F Proj'!$N$2:$N$7669,0)</f>
        <v>213</v>
      </c>
      <c r="C4" t="str">
        <f>INDEX('F Proj'!$B$2:$B$7669,$B4)</f>
        <v>Kirk Cousins</v>
      </c>
      <c r="D4" s="2">
        <f>INDEX('F Proj'!$D$2:$D$7669,$B4)</f>
        <v>18.86</v>
      </c>
      <c r="E4" s="154" t="str">
        <f>"#"&amp;INDEX('F Proj'!$O$2:$O$7669,$B4)</f>
        <v>#15</v>
      </c>
      <c r="G4">
        <v>2</v>
      </c>
      <c r="H4">
        <f>MATCH("NA"&amp;G$1&amp;G2&amp;"-"&amp;$A4,'F Proj'!$N$2:$N$7669,0)</f>
        <v>173</v>
      </c>
      <c r="I4" t="str">
        <f>INDEX('F Proj'!$B$2:$B$7669,$H4)</f>
        <v>Blake Bortles</v>
      </c>
      <c r="J4" s="2">
        <f>INDEX('F Proj'!$D$2:$D$7669,$H4)</f>
        <v>19.5</v>
      </c>
      <c r="K4" s="154" t="str">
        <f>"#"&amp;INDEX('F Proj'!$O$2:$O$7669,$H4)</f>
        <v>#12</v>
      </c>
      <c r="M4">
        <v>2</v>
      </c>
      <c r="N4">
        <f>MATCH("NA"&amp;M$1&amp;M2&amp;"-"&amp;$A4,'F Proj'!$N$2:$N$7669,0)</f>
        <v>256</v>
      </c>
      <c r="O4" t="str">
        <f>INDEX('F Proj'!$B$2:$B$7669,$N4)</f>
        <v>Jameis Winston</v>
      </c>
      <c r="P4" s="2">
        <f>INDEX('F Proj'!$D$2:$D$7669,$N4)</f>
        <v>18.38</v>
      </c>
      <c r="Q4" s="154" t="str">
        <f>"#"&amp;INDEX('F Proj'!$O$2:$O$7669,$N4)</f>
        <v>#10</v>
      </c>
    </row>
    <row r="5" spans="1:17" x14ac:dyDescent="0.25">
      <c r="A5">
        <v>3</v>
      </c>
      <c r="B5">
        <f>MATCH("NA"&amp;A$1&amp;A2&amp;"-"&amp;$A5,'F Proj'!$N$2:$N$7669,0)</f>
        <v>297</v>
      </c>
      <c r="C5" t="str">
        <f>INDEX('F Proj'!$B$2:$B$7669,$B5)</f>
        <v>Dak Prescott</v>
      </c>
      <c r="D5" s="2">
        <f>INDEX('F Proj'!$D$2:$D$7669,$B5)</f>
        <v>17.57</v>
      </c>
      <c r="E5" s="154" t="str">
        <f>"#"&amp;INDEX('F Proj'!$O$2:$O$7669,$B5)</f>
        <v>#17</v>
      </c>
      <c r="G5">
        <v>3</v>
      </c>
      <c r="H5">
        <f>MATCH("NA"&amp;G$1&amp;G2&amp;"-"&amp;$A5,'F Proj'!$N$2:$N$7669,0)</f>
        <v>175</v>
      </c>
      <c r="I5" t="str">
        <f>INDEX('F Proj'!$B$2:$B$7669,$H5)</f>
        <v>Kirk Cousins</v>
      </c>
      <c r="J5" s="2">
        <f>INDEX('F Proj'!$D$2:$D$7669,$H5)</f>
        <v>19.489999999999998</v>
      </c>
      <c r="K5" s="154" t="str">
        <f>"#"&amp;INDEX('F Proj'!$O$2:$O$7669,$H5)</f>
        <v>#13</v>
      </c>
      <c r="M5">
        <v>3</v>
      </c>
      <c r="N5">
        <f>MATCH("NA"&amp;M$1&amp;M2&amp;"-"&amp;$A5,'F Proj'!$N$2:$N$7669,0)</f>
        <v>261</v>
      </c>
      <c r="O5" t="str">
        <f>INDEX('F Proj'!$B$2:$B$7669,$N5)</f>
        <v>Kirk Cousins</v>
      </c>
      <c r="P5" s="2">
        <f>INDEX('F Proj'!$D$2:$D$7669,$N5)</f>
        <v>18.309999999999999</v>
      </c>
      <c r="Q5" s="154" t="str">
        <f>"#"&amp;INDEX('F Proj'!$O$2:$O$7669,$N5)</f>
        <v>#11</v>
      </c>
    </row>
    <row r="6" spans="1:17" x14ac:dyDescent="0.25">
      <c r="A6">
        <v>4</v>
      </c>
      <c r="B6">
        <f>MATCH("NA"&amp;A$1&amp;A2&amp;"-"&amp;$A6,'F Proj'!$N$2:$N$7669,0)</f>
        <v>423</v>
      </c>
      <c r="C6" t="str">
        <f>INDEX('F Proj'!$B$2:$B$7669,$B6)</f>
        <v>Marcus Mariota</v>
      </c>
      <c r="D6" s="2">
        <f>INDEX('F Proj'!$D$2:$D$7669,$B6)</f>
        <v>15.71</v>
      </c>
      <c r="E6" s="154" t="str">
        <f>"#"&amp;INDEX('F Proj'!$O$2:$O$7669,$B6)</f>
        <v>#20</v>
      </c>
      <c r="G6">
        <v>4</v>
      </c>
      <c r="H6">
        <f>MATCH("NA"&amp;G$1&amp;G2&amp;"-"&amp;$A6,'F Proj'!$N$2:$N$7669,0)</f>
        <v>360</v>
      </c>
      <c r="I6" t="str">
        <f>INDEX('F Proj'!$B$2:$B$7669,$H6)</f>
        <v>Josh Allen</v>
      </c>
      <c r="J6" s="2">
        <f>INDEX('F Proj'!$D$2:$D$7669,$H6)</f>
        <v>16.649999999999999</v>
      </c>
      <c r="K6" s="154" t="str">
        <f>"#"&amp;INDEX('F Proj'!$O$2:$O$7669,$H6)</f>
        <v>#16</v>
      </c>
      <c r="M6">
        <v>4</v>
      </c>
      <c r="N6">
        <f>MATCH("NA"&amp;M$1&amp;M2&amp;"-"&amp;$A6,'F Proj'!$N$2:$N$7669,0)</f>
        <v>332</v>
      </c>
      <c r="O6" t="str">
        <f>INDEX('F Proj'!$B$2:$B$7669,$N6)</f>
        <v>Mitchell Trubisky</v>
      </c>
      <c r="P6" s="2">
        <f>INDEX('F Proj'!$D$2:$D$7669,$N6)</f>
        <v>17.16</v>
      </c>
      <c r="Q6" s="154" t="str">
        <f>"#"&amp;INDEX('F Proj'!$O$2:$O$7669,$N6)</f>
        <v>#15</v>
      </c>
    </row>
    <row r="7" spans="1:17" x14ac:dyDescent="0.25">
      <c r="A7">
        <v>5</v>
      </c>
      <c r="B7">
        <f>MATCH("NA"&amp;A$1&amp;A2&amp;"-"&amp;$A7,'F Proj'!$N$2:$N$7669,0)</f>
        <v>431</v>
      </c>
      <c r="C7" t="str">
        <f>INDEX('F Proj'!$B$2:$B$7669,$B7)</f>
        <v>Case Keenum</v>
      </c>
      <c r="D7" s="2">
        <f>INDEX('F Proj'!$D$2:$D$7669,$B7)</f>
        <v>15.61</v>
      </c>
      <c r="E7" s="154" t="str">
        <f>"#"&amp;INDEX('F Proj'!$O$2:$O$7669,$B7)</f>
        <v>#21</v>
      </c>
      <c r="G7">
        <v>5</v>
      </c>
      <c r="H7">
        <f>MATCH("NA"&amp;G$1&amp;G2&amp;"-"&amp;$A7,'F Proj'!$N$2:$N$7669,0)</f>
        <v>371</v>
      </c>
      <c r="I7" t="str">
        <f>INDEX('F Proj'!$B$2:$B$7669,$H7)</f>
        <v>Joe Flacco</v>
      </c>
      <c r="J7" s="2">
        <f>INDEX('F Proj'!$D$2:$D$7669,$H7)</f>
        <v>16.420000000000002</v>
      </c>
      <c r="K7" s="154" t="str">
        <f>"#"&amp;INDEX('F Proj'!$O$2:$O$7669,$H7)</f>
        <v>#17</v>
      </c>
      <c r="M7">
        <v>5</v>
      </c>
      <c r="N7">
        <f>MATCH("NA"&amp;M$1&amp;M2&amp;"-"&amp;$A7,'F Proj'!$N$2:$N$7669,0)</f>
        <v>346</v>
      </c>
      <c r="O7" t="str">
        <f>INDEX('F Proj'!$B$2:$B$7669,$N7)</f>
        <v>Joe Flacco</v>
      </c>
      <c r="P7" s="2">
        <f>INDEX('F Proj'!$D$2:$D$7669,$N7)</f>
        <v>16.84</v>
      </c>
      <c r="Q7" s="154" t="str">
        <f>"#"&amp;INDEX('F Proj'!$O$2:$O$7669,$N7)</f>
        <v>#17</v>
      </c>
    </row>
    <row r="9" spans="1:17" x14ac:dyDescent="0.25">
      <c r="A9" t="s">
        <v>47</v>
      </c>
      <c r="B9" t="s">
        <v>780</v>
      </c>
      <c r="C9" t="s">
        <v>0</v>
      </c>
      <c r="D9" t="s">
        <v>835</v>
      </c>
      <c r="E9" s="150" t="s">
        <v>5001</v>
      </c>
      <c r="G9" t="s">
        <v>47</v>
      </c>
      <c r="H9" t="s">
        <v>780</v>
      </c>
      <c r="I9" t="s">
        <v>0</v>
      </c>
      <c r="J9" t="s">
        <v>835</v>
      </c>
      <c r="K9" s="150" t="s">
        <v>5001</v>
      </c>
      <c r="M9" t="s">
        <v>47</v>
      </c>
      <c r="N9" t="s">
        <v>780</v>
      </c>
      <c r="O9" t="s">
        <v>0</v>
      </c>
      <c r="P9" t="s">
        <v>835</v>
      </c>
      <c r="Q9" s="150" t="s">
        <v>5001</v>
      </c>
    </row>
    <row r="10" spans="1:17" x14ac:dyDescent="0.25">
      <c r="A10">
        <v>1</v>
      </c>
      <c r="B10">
        <f>MATCH("NA"&amp;A$1&amp;A9&amp;"-"&amp;$A10,'F Proj'!$N$2:$N$7669,0)</f>
        <v>1789</v>
      </c>
      <c r="C10" t="str">
        <f>INDEX('F Proj'!$B$2:$B$7669,$B10)</f>
        <v>Theo Riddick</v>
      </c>
      <c r="D10" s="2">
        <f>INDEX('F Proj'!$D$2:$D$7669,$B10)</f>
        <v>7.14</v>
      </c>
      <c r="E10" s="154" t="str">
        <f>"#"&amp;INDEX('F Proj'!$O$2:$O$7669,$B10)</f>
        <v>#36</v>
      </c>
      <c r="G10">
        <v>1</v>
      </c>
      <c r="H10">
        <f>MATCH("NA"&amp;G$1&amp;G9&amp;"-"&amp;$A10,'F Proj'!$N$2:$N$7669,0)</f>
        <v>1944</v>
      </c>
      <c r="I10" t="str">
        <f>INDEX('F Proj'!$B$2:$B$7669,$H10)</f>
        <v>Giovani Bernard</v>
      </c>
      <c r="J10" s="2">
        <f>INDEX('F Proj'!$D$2:$D$7669,$H10)</f>
        <v>6.65</v>
      </c>
      <c r="K10" s="154" t="str">
        <f>"#"&amp;INDEX('F Proj'!$O$2:$O$7669,$H10)</f>
        <v>#35</v>
      </c>
      <c r="M10">
        <v>1</v>
      </c>
      <c r="N10">
        <f>MATCH("NA"&amp;M$1&amp;M9&amp;"-"&amp;$A10,'F Proj'!$N$2:$N$7669,0)</f>
        <v>1650</v>
      </c>
      <c r="O10" t="str">
        <f>INDEX('F Proj'!$B$2:$B$7669,$N10)</f>
        <v>Giovani Bernard</v>
      </c>
      <c r="P10" s="2">
        <f>INDEX('F Proj'!$D$2:$D$7669,$N10)</f>
        <v>7.57</v>
      </c>
      <c r="Q10" s="154" t="str">
        <f>"#"&amp;INDEX('F Proj'!$O$2:$O$7669,$N10)</f>
        <v>#29</v>
      </c>
    </row>
    <row r="11" spans="1:17" x14ac:dyDescent="0.25">
      <c r="A11">
        <v>2</v>
      </c>
      <c r="B11">
        <f>MATCH("NA"&amp;A$1&amp;A9&amp;"-"&amp;$A11,'F Proj'!$N$2:$N$7669,0)</f>
        <v>1842</v>
      </c>
      <c r="C11" t="str">
        <f>INDEX('F Proj'!$B$2:$B$7669,$B11)</f>
        <v>Jordan Wilkins</v>
      </c>
      <c r="D11" s="2">
        <f>INDEX('F Proj'!$D$2:$D$7669,$B11)</f>
        <v>6.96</v>
      </c>
      <c r="E11" s="154" t="str">
        <f>"#"&amp;INDEX('F Proj'!$O$2:$O$7669,$B11)</f>
        <v>#38</v>
      </c>
      <c r="G11">
        <v>2</v>
      </c>
      <c r="H11">
        <f>MATCH("NA"&amp;G$1&amp;G9&amp;"-"&amp;$A11,'F Proj'!$N$2:$N$7669,0)</f>
        <v>1988</v>
      </c>
      <c r="I11" t="str">
        <f>INDEX('F Proj'!$B$2:$B$7669,$H11)</f>
        <v>Jamaal Williams</v>
      </c>
      <c r="J11" s="2">
        <f>INDEX('F Proj'!$D$2:$D$7669,$H11)</f>
        <v>6.51</v>
      </c>
      <c r="K11" s="154" t="str">
        <f>"#"&amp;INDEX('F Proj'!$O$2:$O$7669,$H11)</f>
        <v>#36</v>
      </c>
      <c r="M11">
        <v>2</v>
      </c>
      <c r="N11">
        <f>MATCH("NA"&amp;M$1&amp;M9&amp;"-"&amp;$A11,'F Proj'!$N$2:$N$7669,0)</f>
        <v>1763</v>
      </c>
      <c r="O11" t="str">
        <f>INDEX('F Proj'!$B$2:$B$7669,$N11)</f>
        <v>Tarik Cohen</v>
      </c>
      <c r="P11" s="2">
        <f>INDEX('F Proj'!$D$2:$D$7669,$N11)</f>
        <v>7.2</v>
      </c>
      <c r="Q11" s="154" t="str">
        <f>"#"&amp;INDEX('F Proj'!$O$2:$O$7669,$N11)</f>
        <v>#33</v>
      </c>
    </row>
    <row r="12" spans="1:17" x14ac:dyDescent="0.25">
      <c r="A12">
        <v>3</v>
      </c>
      <c r="B12">
        <f>MATCH("NA"&amp;A$1&amp;A9&amp;"-"&amp;$A12,'F Proj'!$N$2:$N$7669,0)</f>
        <v>1892</v>
      </c>
      <c r="C12" t="str">
        <f>INDEX('F Proj'!$B$2:$B$7669,$B12)</f>
        <v>Mike Davis</v>
      </c>
      <c r="D12" s="2">
        <f>INDEX('F Proj'!$D$2:$D$7669,$B12)</f>
        <v>6.83</v>
      </c>
      <c r="E12" s="154" t="str">
        <f>"#"&amp;INDEX('F Proj'!$O$2:$O$7669,$B12)</f>
        <v>#39</v>
      </c>
      <c r="G12">
        <v>3</v>
      </c>
      <c r="H12">
        <f>MATCH("NA"&amp;G$1&amp;G9&amp;"-"&amp;$A12,'F Proj'!$N$2:$N$7669,0)</f>
        <v>2080</v>
      </c>
      <c r="I12" t="str">
        <f>INDEX('F Proj'!$B$2:$B$7669,$H12)</f>
        <v>Tarik Cohen</v>
      </c>
      <c r="J12" s="2">
        <f>INDEX('F Proj'!$D$2:$D$7669,$H12)</f>
        <v>6.28</v>
      </c>
      <c r="K12" s="154" t="str">
        <f>"#"&amp;INDEX('F Proj'!$O$2:$O$7669,$H12)</f>
        <v>#39</v>
      </c>
      <c r="M12">
        <v>3</v>
      </c>
      <c r="N12">
        <f>MATCH("NA"&amp;M$1&amp;M9&amp;"-"&amp;$A12,'F Proj'!$N$2:$N$7669,0)</f>
        <v>1901</v>
      </c>
      <c r="O12" t="str">
        <f>INDEX('F Proj'!$B$2:$B$7669,$N12)</f>
        <v>Theo Riddick</v>
      </c>
      <c r="P12" s="2">
        <f>INDEX('F Proj'!$D$2:$D$7669,$N12)</f>
        <v>6.8</v>
      </c>
      <c r="Q12" s="154" t="str">
        <f>"#"&amp;INDEX('F Proj'!$O$2:$O$7669,$N12)</f>
        <v>#37</v>
      </c>
    </row>
    <row r="13" spans="1:17" x14ac:dyDescent="0.25">
      <c r="A13">
        <v>4</v>
      </c>
      <c r="B13">
        <f>MATCH("NA"&amp;A$1&amp;A9&amp;"-"&amp;$A13,'F Proj'!$N$2:$N$7669,0)</f>
        <v>1981</v>
      </c>
      <c r="C13" t="str">
        <f>INDEX('F Proj'!$B$2:$B$7669,$B13)</f>
        <v>Jamaal Williams</v>
      </c>
      <c r="D13" s="2">
        <f>INDEX('F Proj'!$D$2:$D$7669,$B13)</f>
        <v>6.53</v>
      </c>
      <c r="E13" s="154" t="str">
        <f>"#"&amp;INDEX('F Proj'!$O$2:$O$7669,$B13)</f>
        <v>#40</v>
      </c>
      <c r="G13">
        <v>4</v>
      </c>
      <c r="H13">
        <f>MATCH("NA"&amp;G$1&amp;G9&amp;"-"&amp;$A13,'F Proj'!$N$2:$N$7669,0)</f>
        <v>2137</v>
      </c>
      <c r="I13" t="str">
        <f>INDEX('F Proj'!$B$2:$B$7669,$H13)</f>
        <v>Frank Gore</v>
      </c>
      <c r="J13" s="2">
        <f>INDEX('F Proj'!$D$2:$D$7669,$H13)</f>
        <v>6.11</v>
      </c>
      <c r="K13" s="154" t="str">
        <f>"#"&amp;INDEX('F Proj'!$O$2:$O$7669,$H13)</f>
        <v>#41</v>
      </c>
      <c r="M13">
        <v>4</v>
      </c>
      <c r="N13">
        <f>MATCH("NA"&amp;M$1&amp;M9&amp;"-"&amp;$A13,'F Proj'!$N$2:$N$7669,0)</f>
        <v>1957</v>
      </c>
      <c r="O13" t="str">
        <f>INDEX('F Proj'!$B$2:$B$7669,$N13)</f>
        <v>Frank Gore</v>
      </c>
      <c r="P13" s="2">
        <f>INDEX('F Proj'!$D$2:$D$7669,$N13)</f>
        <v>6.62</v>
      </c>
      <c r="Q13" s="154" t="str">
        <f>"#"&amp;INDEX('F Proj'!$O$2:$O$7669,$N13)</f>
        <v>#40</v>
      </c>
    </row>
    <row r="14" spans="1:17" x14ac:dyDescent="0.25">
      <c r="A14">
        <v>5</v>
      </c>
      <c r="B14">
        <f>MATCH("NA"&amp;A$1&amp;A9&amp;"-"&amp;$A14,'F Proj'!$N$2:$N$7669,0)</f>
        <v>2083</v>
      </c>
      <c r="C14" t="str">
        <f>INDEX('F Proj'!$B$2:$B$7669,$B14)</f>
        <v>Frank Gore</v>
      </c>
      <c r="D14" s="2">
        <f>INDEX('F Proj'!$D$2:$D$7669,$B14)</f>
        <v>6.27</v>
      </c>
      <c r="E14" s="154" t="str">
        <f>"#"&amp;INDEX('F Proj'!$O$2:$O$7669,$B14)</f>
        <v>#43</v>
      </c>
      <c r="G14">
        <v>5</v>
      </c>
      <c r="H14">
        <f>MATCH("NA"&amp;G$1&amp;G9&amp;"-"&amp;$A14,'F Proj'!$N$2:$N$7669,0)</f>
        <v>2172</v>
      </c>
      <c r="I14" t="str">
        <f>INDEX('F Proj'!$B$2:$B$7669,$H14)</f>
        <v>Mike Davis</v>
      </c>
      <c r="J14" s="2">
        <f>INDEX('F Proj'!$D$2:$D$7669,$H14)</f>
        <v>6.01</v>
      </c>
      <c r="K14" s="154" t="str">
        <f>"#"&amp;INDEX('F Proj'!$O$2:$O$7669,$H14)</f>
        <v>#43</v>
      </c>
      <c r="M14">
        <v>5</v>
      </c>
      <c r="N14">
        <f>MATCH("NA"&amp;M$1&amp;M9&amp;"-"&amp;$A14,'F Proj'!$N$2:$N$7669,0)</f>
        <v>2050</v>
      </c>
      <c r="O14" t="str">
        <f>INDEX('F Proj'!$B$2:$B$7669,$N14)</f>
        <v>Marlon Mack</v>
      </c>
      <c r="P14" s="2">
        <f>INDEX('F Proj'!$D$2:$D$7669,$N14)</f>
        <v>6.37</v>
      </c>
      <c r="Q14" s="154" t="str">
        <f>"#"&amp;INDEX('F Proj'!$O$2:$O$7669,$N14)</f>
        <v>#41</v>
      </c>
    </row>
    <row r="15" spans="1:17" x14ac:dyDescent="0.25">
      <c r="A15">
        <v>6</v>
      </c>
      <c r="B15">
        <f>MATCH("NA"&amp;A$1&amp;A9&amp;"-"&amp;$A15,'F Proj'!$N$2:$N$7669,0)</f>
        <v>2113</v>
      </c>
      <c r="C15" t="str">
        <f>INDEX('F Proj'!$B$2:$B$7669,$B15)</f>
        <v>C.J. Anderson</v>
      </c>
      <c r="D15" s="2">
        <f>INDEX('F Proj'!$D$2:$D$7669,$B15)</f>
        <v>6.18</v>
      </c>
      <c r="E15" s="154" t="str">
        <f>"#"&amp;INDEX('F Proj'!$O$2:$O$7669,$B15)</f>
        <v>#45</v>
      </c>
      <c r="G15">
        <v>6</v>
      </c>
      <c r="H15">
        <f>MATCH("NA"&amp;G$1&amp;G9&amp;"-"&amp;$A15,'F Proj'!$N$2:$N$7669,0)</f>
        <v>2243</v>
      </c>
      <c r="I15" t="str">
        <f>INDEX('F Proj'!$B$2:$B$7669,$H15)</f>
        <v>C.J. Anderson</v>
      </c>
      <c r="J15" s="2">
        <f>INDEX('F Proj'!$D$2:$D$7669,$H15)</f>
        <v>5.83</v>
      </c>
      <c r="K15" s="154" t="str">
        <f>"#"&amp;INDEX('F Proj'!$O$2:$O$7669,$H15)</f>
        <v>#45</v>
      </c>
      <c r="M15">
        <v>6</v>
      </c>
      <c r="N15">
        <f>MATCH("NA"&amp;M$1&amp;M9&amp;"-"&amp;$A15,'F Proj'!$N$2:$N$7669,0)</f>
        <v>2184</v>
      </c>
      <c r="O15" t="str">
        <f>INDEX('F Proj'!$B$2:$B$7669,$N15)</f>
        <v>Duke Johnson Jr.</v>
      </c>
      <c r="P15" s="2">
        <f>INDEX('F Proj'!$D$2:$D$7669,$N15)</f>
        <v>5.98</v>
      </c>
      <c r="Q15" s="154" t="str">
        <f>"#"&amp;INDEX('F Proj'!$O$2:$O$7669,$N15)</f>
        <v>#44</v>
      </c>
    </row>
    <row r="16" spans="1:17" x14ac:dyDescent="0.25">
      <c r="A16">
        <v>7</v>
      </c>
      <c r="B16">
        <f>MATCH("NA"&amp;A$1&amp;A9&amp;"-"&amp;$A16,'F Proj'!$N$2:$N$7669,0)</f>
        <v>2255</v>
      </c>
      <c r="C16" t="str">
        <f>INDEX('F Proj'!$B$2:$B$7669,$B16)</f>
        <v>Corey Grant</v>
      </c>
      <c r="D16" s="2">
        <f>INDEX('F Proj'!$D$2:$D$7669,$B16)</f>
        <v>5.8</v>
      </c>
      <c r="E16" s="154" t="str">
        <f>"#"&amp;INDEX('F Proj'!$O$2:$O$7669,$B16)</f>
        <v>#46</v>
      </c>
      <c r="G16">
        <v>7</v>
      </c>
      <c r="H16">
        <f>MATCH("NA"&amp;G$1&amp;G9&amp;"-"&amp;$A16,'F Proj'!$N$2:$N$7669,0)</f>
        <v>2374</v>
      </c>
      <c r="I16" t="str">
        <f>INDEX('F Proj'!$B$2:$B$7669,$H16)</f>
        <v>D'Onta Foreman</v>
      </c>
      <c r="J16" s="2">
        <f>INDEX('F Proj'!$D$2:$D$7669,$H16)</f>
        <v>5.5</v>
      </c>
      <c r="K16" s="154" t="str">
        <f>"#"&amp;INDEX('F Proj'!$O$2:$O$7669,$H16)</f>
        <v>#46</v>
      </c>
      <c r="M16">
        <v>7</v>
      </c>
      <c r="N16">
        <f>MATCH("NA"&amp;M$1&amp;M9&amp;"-"&amp;$A16,'F Proj'!$N$2:$N$7669,0)</f>
        <v>2466</v>
      </c>
      <c r="O16" t="str">
        <f>INDEX('F Proj'!$B$2:$B$7669,$N16)</f>
        <v>Jordan Wilkins</v>
      </c>
      <c r="P16" s="2">
        <f>INDEX('F Proj'!$D$2:$D$7669,$N16)</f>
        <v>5.3</v>
      </c>
      <c r="Q16" s="154" t="str">
        <f>"#"&amp;INDEX('F Proj'!$O$2:$O$7669,$N16)</f>
        <v>#46</v>
      </c>
    </row>
    <row r="17" spans="1:17" x14ac:dyDescent="0.25">
      <c r="A17">
        <v>8</v>
      </c>
      <c r="B17">
        <f>MATCH("NA"&amp;A$1&amp;A9&amp;"-"&amp;$A17,'F Proj'!$N$2:$N$7669,0)</f>
        <v>2287</v>
      </c>
      <c r="C17" t="str">
        <f>INDEX('F Proj'!$B$2:$B$7669,$B17)</f>
        <v>LeGarrette Blount</v>
      </c>
      <c r="D17" s="2">
        <f>INDEX('F Proj'!$D$2:$D$7669,$B17)</f>
        <v>5.72</v>
      </c>
      <c r="E17" s="154" t="str">
        <f>"#"&amp;INDEX('F Proj'!$O$2:$O$7669,$B17)</f>
        <v>#48</v>
      </c>
      <c r="G17">
        <v>8</v>
      </c>
      <c r="H17">
        <f>MATCH("NA"&amp;G$1&amp;G9&amp;"-"&amp;$A17,'F Proj'!$N$2:$N$7669,0)</f>
        <v>2434</v>
      </c>
      <c r="I17" t="str">
        <f>INDEX('F Proj'!$B$2:$B$7669,$H17)</f>
        <v>Marlon Mack</v>
      </c>
      <c r="J17" s="2">
        <f>INDEX('F Proj'!$D$2:$D$7669,$H17)</f>
        <v>5.39</v>
      </c>
      <c r="K17" s="154" t="str">
        <f>"#"&amp;INDEX('F Proj'!$O$2:$O$7669,$H17)</f>
        <v>#48</v>
      </c>
      <c r="M17">
        <v>8</v>
      </c>
      <c r="N17">
        <f>MATCH("NA"&amp;M$1&amp;M9&amp;"-"&amp;$A17,'F Proj'!$N$2:$N$7669,0)</f>
        <v>2467</v>
      </c>
      <c r="O17" t="str">
        <f>INDEX('F Proj'!$B$2:$B$7669,$N17)</f>
        <v>LeGarrette Blount</v>
      </c>
      <c r="P17" s="2">
        <f>INDEX('F Proj'!$D$2:$D$7669,$N17)</f>
        <v>5.3</v>
      </c>
      <c r="Q17" s="154" t="str">
        <f>"#"&amp;INDEX('F Proj'!$O$2:$O$7669,$N17)</f>
        <v>#47</v>
      </c>
    </row>
    <row r="18" spans="1:17" x14ac:dyDescent="0.25">
      <c r="A18">
        <v>9</v>
      </c>
      <c r="B18">
        <f>MATCH("NA"&amp;A$1&amp;A9&amp;"-"&amp;$A18,'F Proj'!$N$2:$N$7669,0)</f>
        <v>2337</v>
      </c>
      <c r="C18" t="str">
        <f>INDEX('F Proj'!$B$2:$B$7669,$B18)</f>
        <v>Chris Ivory</v>
      </c>
      <c r="D18" s="2">
        <f>INDEX('F Proj'!$D$2:$D$7669,$B18)</f>
        <v>5.61</v>
      </c>
      <c r="E18" s="154" t="str">
        <f>"#"&amp;INDEX('F Proj'!$O$2:$O$7669,$B18)</f>
        <v>#49</v>
      </c>
      <c r="G18">
        <v>9</v>
      </c>
      <c r="H18">
        <f>MATCH("NA"&amp;G$1&amp;G9&amp;"-"&amp;$A18,'F Proj'!$N$2:$N$7669,0)</f>
        <v>2443</v>
      </c>
      <c r="I18" t="str">
        <f>INDEX('F Proj'!$B$2:$B$7669,$H18)</f>
        <v>Duke Johnson Jr.</v>
      </c>
      <c r="J18" s="2">
        <f>INDEX('F Proj'!$D$2:$D$7669,$H18)</f>
        <v>5.37</v>
      </c>
      <c r="K18" s="154" t="str">
        <f>"#"&amp;INDEX('F Proj'!$O$2:$O$7669,$H18)</f>
        <v>#49</v>
      </c>
      <c r="M18">
        <v>9</v>
      </c>
      <c r="N18">
        <f>MATCH("NA"&amp;M$1&amp;M9&amp;"-"&amp;$A18,'F Proj'!$N$2:$N$7669,0)</f>
        <v>2485</v>
      </c>
      <c r="O18" t="str">
        <f>INDEX('F Proj'!$B$2:$B$7669,$N18)</f>
        <v>Spencer Ware</v>
      </c>
      <c r="P18" s="2">
        <f>INDEX('F Proj'!$D$2:$D$7669,$N18)</f>
        <v>5.26</v>
      </c>
      <c r="Q18" s="154" t="str">
        <f>"#"&amp;INDEX('F Proj'!$O$2:$O$7669,$N18)</f>
        <v>#49</v>
      </c>
    </row>
    <row r="19" spans="1:17" x14ac:dyDescent="0.25">
      <c r="A19">
        <v>10</v>
      </c>
      <c r="B19">
        <f>MATCH("NA"&amp;A$1&amp;A9&amp;"-"&amp;$A19,'F Proj'!$N$2:$N$7669,0)</f>
        <v>2352</v>
      </c>
      <c r="C19" t="str">
        <f>INDEX('F Proj'!$B$2:$B$7669,$B19)</f>
        <v>Jalen Richard</v>
      </c>
      <c r="D19" s="2">
        <f>INDEX('F Proj'!$D$2:$D$7669,$B19)</f>
        <v>5.56</v>
      </c>
      <c r="E19" s="154" t="str">
        <f>"#"&amp;INDEX('F Proj'!$O$2:$O$7669,$B19)</f>
        <v>#50</v>
      </c>
      <c r="G19">
        <v>10</v>
      </c>
      <c r="H19">
        <f>MATCH("NA"&amp;G$1&amp;G9&amp;"-"&amp;$A19,'F Proj'!$N$2:$N$7669,0)</f>
        <v>2477</v>
      </c>
      <c r="I19" t="str">
        <f>INDEX('F Proj'!$B$2:$B$7669,$H19)</f>
        <v>Chris Ivory</v>
      </c>
      <c r="J19" s="2">
        <f>INDEX('F Proj'!$D$2:$D$7669,$H19)</f>
        <v>5.28</v>
      </c>
      <c r="K19" s="154" t="str">
        <f>"#"&amp;INDEX('F Proj'!$O$2:$O$7669,$H19)</f>
        <v>#50</v>
      </c>
      <c r="M19">
        <v>10</v>
      </c>
      <c r="N19">
        <f>MATCH("NA"&amp;M$1&amp;M9&amp;"-"&amp;$A19,'F Proj'!$N$2:$N$7669,0)</f>
        <v>2637</v>
      </c>
      <c r="O19" t="str">
        <f>INDEX('F Proj'!$B$2:$B$7669,$N19)</f>
        <v>Chris Ivory</v>
      </c>
      <c r="P19" s="2">
        <f>INDEX('F Proj'!$D$2:$D$7669,$N19)</f>
        <v>4.8600000000000003</v>
      </c>
      <c r="Q19" s="154" t="str">
        <f>"#"&amp;INDEX('F Proj'!$O$2:$O$7669,$N19)</f>
        <v>#50</v>
      </c>
    </row>
    <row r="21" spans="1:17" x14ac:dyDescent="0.25">
      <c r="A21" t="s">
        <v>87</v>
      </c>
      <c r="B21" t="s">
        <v>780</v>
      </c>
      <c r="C21" t="s">
        <v>0</v>
      </c>
      <c r="D21" t="s">
        <v>835</v>
      </c>
      <c r="E21" s="150" t="s">
        <v>5001</v>
      </c>
      <c r="G21" t="s">
        <v>87</v>
      </c>
      <c r="H21" t="s">
        <v>780</v>
      </c>
      <c r="I21" t="s">
        <v>0</v>
      </c>
      <c r="J21" t="s">
        <v>835</v>
      </c>
      <c r="K21" s="150" t="s">
        <v>5001</v>
      </c>
      <c r="M21" t="s">
        <v>87</v>
      </c>
      <c r="N21" t="s">
        <v>780</v>
      </c>
      <c r="O21" t="s">
        <v>0</v>
      </c>
      <c r="P21" t="s">
        <v>835</v>
      </c>
      <c r="Q21" s="150" t="s">
        <v>5001</v>
      </c>
    </row>
    <row r="22" spans="1:17" x14ac:dyDescent="0.25">
      <c r="A22">
        <v>1</v>
      </c>
      <c r="B22">
        <f>MATCH("NA"&amp;A$1&amp;A21&amp;"-"&amp;$A22,'F Proj'!$N$2:$N$7669,0)</f>
        <v>1813</v>
      </c>
      <c r="C22" t="str">
        <f>INDEX('F Proj'!$B$2:$B$7669,$B22)</f>
        <v>Robby Anderson</v>
      </c>
      <c r="D22" s="2">
        <f>INDEX('F Proj'!$D$2:$D$7669,$B22)</f>
        <v>7.06</v>
      </c>
      <c r="E22" s="154" t="str">
        <f>"#"&amp;INDEX('F Proj'!$O$2:$O$7669,$B22)</f>
        <v>#39</v>
      </c>
      <c r="G22">
        <v>1</v>
      </c>
      <c r="H22">
        <f>MATCH("NA"&amp;G$1&amp;G21&amp;"-"&amp;$A22,'F Proj'!$N$2:$N$7669,0)</f>
        <v>1817</v>
      </c>
      <c r="I22" t="str">
        <f>INDEX('F Proj'!$B$2:$B$7669,$H22)</f>
        <v>Robby Anderson</v>
      </c>
      <c r="J22" s="2">
        <f>INDEX('F Proj'!$D$2:$D$7669,$H22)</f>
        <v>7.05</v>
      </c>
      <c r="K22" s="154" t="str">
        <f>"#"&amp;INDEX('F Proj'!$O$2:$O$7669,$H22)</f>
        <v>#38</v>
      </c>
      <c r="M22">
        <v>1</v>
      </c>
      <c r="N22">
        <f>MATCH("NA"&amp;M$1&amp;M21&amp;"-"&amp;$A22,'F Proj'!$N$2:$N$7669,0)</f>
        <v>2047</v>
      </c>
      <c r="O22" t="str">
        <f>INDEX('F Proj'!$B$2:$B$7669,$N22)</f>
        <v>Robby Anderson</v>
      </c>
      <c r="P22" s="2">
        <f>INDEX('F Proj'!$D$2:$D$7669,$N22)</f>
        <v>6.38</v>
      </c>
      <c r="Q22" s="154" t="str">
        <f>"#"&amp;INDEX('F Proj'!$O$2:$O$7669,$N22)</f>
        <v>#40</v>
      </c>
    </row>
    <row r="23" spans="1:17" x14ac:dyDescent="0.25">
      <c r="A23">
        <v>2</v>
      </c>
      <c r="B23">
        <f>MATCH("NA"&amp;A$1&amp;A21&amp;"-"&amp;$A23,'F Proj'!$N$2:$N$7669,0)</f>
        <v>1840</v>
      </c>
      <c r="C23" t="str">
        <f>INDEX('F Proj'!$B$2:$B$7669,$B23)</f>
        <v>Tyler Lockett</v>
      </c>
      <c r="D23" s="2">
        <f>INDEX('F Proj'!$D$2:$D$7669,$B23)</f>
        <v>6.97</v>
      </c>
      <c r="E23" s="154" t="str">
        <f>"#"&amp;INDEX('F Proj'!$O$2:$O$7669,$B23)</f>
        <v>#40</v>
      </c>
      <c r="G23">
        <v>2</v>
      </c>
      <c r="H23">
        <f>MATCH("NA"&amp;G$1&amp;G21&amp;"-"&amp;$A23,'F Proj'!$N$2:$N$7669,0)</f>
        <v>2002</v>
      </c>
      <c r="I23" t="str">
        <f>INDEX('F Proj'!$B$2:$B$7669,$H23)</f>
        <v>Tyler Lockett</v>
      </c>
      <c r="J23" s="2">
        <f>INDEX('F Proj'!$D$2:$D$7669,$H23)</f>
        <v>6.49</v>
      </c>
      <c r="K23" s="154" t="str">
        <f>"#"&amp;INDEX('F Proj'!$O$2:$O$7669,$H23)</f>
        <v>#43</v>
      </c>
      <c r="M23">
        <v>2</v>
      </c>
      <c r="N23">
        <f>MATCH("NA"&amp;M$1&amp;M21&amp;"-"&amp;$A23,'F Proj'!$N$2:$N$7669,0)</f>
        <v>2124</v>
      </c>
      <c r="O23" t="str">
        <f>INDEX('F Proj'!$B$2:$B$7669,$N23)</f>
        <v>Donte Moncrief</v>
      </c>
      <c r="P23" s="2">
        <f>INDEX('F Proj'!$D$2:$D$7669,$N23)</f>
        <v>6.15</v>
      </c>
      <c r="Q23" s="154" t="str">
        <f>"#"&amp;INDEX('F Proj'!$O$2:$O$7669,$N23)</f>
        <v>#41</v>
      </c>
    </row>
    <row r="24" spans="1:17" x14ac:dyDescent="0.25">
      <c r="A24">
        <v>3</v>
      </c>
      <c r="B24">
        <f>MATCH("NA"&amp;A$1&amp;A21&amp;"-"&amp;$A24,'F Proj'!$N$2:$N$7669,0)</f>
        <v>1920</v>
      </c>
      <c r="C24" t="str">
        <f>INDEX('F Proj'!$B$2:$B$7669,$B24)</f>
        <v>Chester Rogers</v>
      </c>
      <c r="D24" s="2">
        <f>INDEX('F Proj'!$D$2:$D$7669,$B24)</f>
        <v>6.73</v>
      </c>
      <c r="E24" s="154" t="str">
        <f>"#"&amp;INDEX('F Proj'!$O$2:$O$7669,$B24)</f>
        <v>#44</v>
      </c>
      <c r="G24">
        <v>3</v>
      </c>
      <c r="H24">
        <f>MATCH("NA"&amp;G$1&amp;G21&amp;"-"&amp;$A24,'F Proj'!$N$2:$N$7669,0)</f>
        <v>2075</v>
      </c>
      <c r="I24" t="str">
        <f>INDEX('F Proj'!$B$2:$B$7669,$H24)</f>
        <v>Pierre Garcon</v>
      </c>
      <c r="J24" s="2">
        <f>INDEX('F Proj'!$D$2:$D$7669,$H24)</f>
        <v>6.29</v>
      </c>
      <c r="K24" s="154" t="str">
        <f>"#"&amp;INDEX('F Proj'!$O$2:$O$7669,$H24)</f>
        <v>#45</v>
      </c>
      <c r="M24">
        <v>3</v>
      </c>
      <c r="N24">
        <f>MATCH("NA"&amp;M$1&amp;M21&amp;"-"&amp;$A24,'F Proj'!$N$2:$N$7669,0)</f>
        <v>2197</v>
      </c>
      <c r="O24" t="str">
        <f>INDEX('F Proj'!$B$2:$B$7669,$N24)</f>
        <v>Dede Westbrook</v>
      </c>
      <c r="P24" s="2">
        <f>INDEX('F Proj'!$D$2:$D$7669,$N24)</f>
        <v>5.94</v>
      </c>
      <c r="Q24" s="154" t="str">
        <f>"#"&amp;INDEX('F Proj'!$O$2:$O$7669,$N24)</f>
        <v>#43</v>
      </c>
    </row>
    <row r="25" spans="1:17" x14ac:dyDescent="0.25">
      <c r="A25">
        <v>4</v>
      </c>
      <c r="B25">
        <f>MATCH("NA"&amp;A$1&amp;A21&amp;"-"&amp;$A25,'F Proj'!$N$2:$N$7669,0)</f>
        <v>2098</v>
      </c>
      <c r="C25" t="str">
        <f>INDEX('F Proj'!$B$2:$B$7669,$B25)</f>
        <v>Pierre Garcon</v>
      </c>
      <c r="D25" s="2">
        <f>INDEX('F Proj'!$D$2:$D$7669,$B25)</f>
        <v>6.23</v>
      </c>
      <c r="E25" s="154" t="str">
        <f>"#"&amp;INDEX('F Proj'!$O$2:$O$7669,$B25)</f>
        <v>#48</v>
      </c>
      <c r="G25">
        <v>4</v>
      </c>
      <c r="H25">
        <f>MATCH("NA"&amp;G$1&amp;G21&amp;"-"&amp;$A25,'F Proj'!$N$2:$N$7669,0)</f>
        <v>2217</v>
      </c>
      <c r="I25" t="str">
        <f>INDEX('F Proj'!$B$2:$B$7669,$H25)</f>
        <v>Taywan Taylor</v>
      </c>
      <c r="J25" s="2">
        <f>INDEX('F Proj'!$D$2:$D$7669,$H25)</f>
        <v>5.9</v>
      </c>
      <c r="K25" s="154" t="str">
        <f>"#"&amp;INDEX('F Proj'!$O$2:$O$7669,$H25)</f>
        <v>#47</v>
      </c>
      <c r="M25">
        <v>4</v>
      </c>
      <c r="N25">
        <f>MATCH("NA"&amp;M$1&amp;M21&amp;"-"&amp;$A25,'F Proj'!$N$2:$N$7669,0)</f>
        <v>2292</v>
      </c>
      <c r="O25" t="str">
        <f>INDEX('F Proj'!$B$2:$B$7669,$N25)</f>
        <v>Tyrell Williams</v>
      </c>
      <c r="P25" s="2">
        <f>INDEX('F Proj'!$D$2:$D$7669,$N25)</f>
        <v>5.71</v>
      </c>
      <c r="Q25" s="154" t="str">
        <f>"#"&amp;INDEX('F Proj'!$O$2:$O$7669,$N25)</f>
        <v>#44</v>
      </c>
    </row>
    <row r="26" spans="1:17" x14ac:dyDescent="0.25">
      <c r="A26">
        <v>5</v>
      </c>
      <c r="B26">
        <f>MATCH("NA"&amp;A$1&amp;A21&amp;"-"&amp;$A26,'F Proj'!$N$2:$N$7669,0)</f>
        <v>2121</v>
      </c>
      <c r="C26" t="str">
        <f>INDEX('F Proj'!$B$2:$B$7669,$B26)</f>
        <v>Dede Westbrook</v>
      </c>
      <c r="D26" s="2">
        <f>INDEX('F Proj'!$D$2:$D$7669,$B26)</f>
        <v>6.16</v>
      </c>
      <c r="E26" s="154" t="str">
        <f>"#"&amp;INDEX('F Proj'!$O$2:$O$7669,$B26)</f>
        <v>#49</v>
      </c>
      <c r="G26">
        <v>5</v>
      </c>
      <c r="H26">
        <f>MATCH("NA"&amp;G$1&amp;G21&amp;"-"&amp;$A26,'F Proj'!$N$2:$N$7669,0)</f>
        <v>2224</v>
      </c>
      <c r="I26" t="str">
        <f>INDEX('F Proj'!$B$2:$B$7669,$H26)</f>
        <v>Mohamed Sanu</v>
      </c>
      <c r="J26" s="2">
        <f>INDEX('F Proj'!$D$2:$D$7669,$H26)</f>
        <v>5.89</v>
      </c>
      <c r="K26" s="154" t="str">
        <f>"#"&amp;INDEX('F Proj'!$O$2:$O$7669,$H26)</f>
        <v>#48</v>
      </c>
      <c r="M26">
        <v>5</v>
      </c>
      <c r="N26">
        <f>MATCH("NA"&amp;M$1&amp;M21&amp;"-"&amp;$A26,'F Proj'!$N$2:$N$7669,0)</f>
        <v>2404</v>
      </c>
      <c r="O26" t="str">
        <f>INDEX('F Proj'!$B$2:$B$7669,$N26)</f>
        <v>Christian Kirk</v>
      </c>
      <c r="P26" s="2">
        <f>INDEX('F Proj'!$D$2:$D$7669,$N26)</f>
        <v>5.44</v>
      </c>
      <c r="Q26" s="154" t="str">
        <f>"#"&amp;INDEX('F Proj'!$O$2:$O$7669,$N26)</f>
        <v>#46</v>
      </c>
    </row>
    <row r="27" spans="1:17" x14ac:dyDescent="0.25">
      <c r="A27">
        <v>6</v>
      </c>
      <c r="B27">
        <f>MATCH("NA"&amp;A$1&amp;A21&amp;"-"&amp;$A27,'F Proj'!$N$2:$N$7669,0)</f>
        <v>2176</v>
      </c>
      <c r="C27" t="str">
        <f>INDEX('F Proj'!$B$2:$B$7669,$B27)</f>
        <v>Taywan Taylor</v>
      </c>
      <c r="D27" s="2">
        <f>INDEX('F Proj'!$D$2:$D$7669,$B27)</f>
        <v>6</v>
      </c>
      <c r="E27" s="154" t="str">
        <f>"#"&amp;INDEX('F Proj'!$O$2:$O$7669,$B27)</f>
        <v>#50</v>
      </c>
      <c r="G27">
        <v>6</v>
      </c>
      <c r="H27">
        <f>MATCH("NA"&amp;G$1&amp;G21&amp;"-"&amp;$A27,'F Proj'!$N$2:$N$7669,0)</f>
        <v>2270</v>
      </c>
      <c r="I27" t="str">
        <f>INDEX('F Proj'!$B$2:$B$7669,$H27)</f>
        <v>Christian Kirk</v>
      </c>
      <c r="J27" s="2">
        <f>INDEX('F Proj'!$D$2:$D$7669,$H27)</f>
        <v>5.75</v>
      </c>
      <c r="K27" s="154" t="str">
        <f>"#"&amp;INDEX('F Proj'!$O$2:$O$7669,$H27)</f>
        <v>#49</v>
      </c>
      <c r="M27">
        <v>6</v>
      </c>
      <c r="N27">
        <f>MATCH("NA"&amp;M$1&amp;M21&amp;"-"&amp;$A27,'F Proj'!$N$2:$N$7669,0)</f>
        <v>2423</v>
      </c>
      <c r="O27" t="str">
        <f>INDEX('F Proj'!$B$2:$B$7669,$N27)</f>
        <v>Kelvin Benjamin</v>
      </c>
      <c r="P27" s="2">
        <f>INDEX('F Proj'!$D$2:$D$7669,$N27)</f>
        <v>5.41</v>
      </c>
      <c r="Q27" s="154" t="str">
        <f>"#"&amp;INDEX('F Proj'!$O$2:$O$7669,$N27)</f>
        <v>#47</v>
      </c>
    </row>
    <row r="28" spans="1:17" x14ac:dyDescent="0.25">
      <c r="A28">
        <v>7</v>
      </c>
      <c r="B28">
        <f>MATCH("NA"&amp;A$1&amp;A21&amp;"-"&amp;$A28,'F Proj'!$N$2:$N$7669,0)</f>
        <v>2203</v>
      </c>
      <c r="C28" t="str">
        <f>INDEX('F Proj'!$B$2:$B$7669,$B28)</f>
        <v>Marquise Goodwin</v>
      </c>
      <c r="D28" s="2">
        <f>INDEX('F Proj'!$D$2:$D$7669,$B28)</f>
        <v>5.93</v>
      </c>
      <c r="E28" s="154" t="str">
        <f>"#"&amp;INDEX('F Proj'!$O$2:$O$7669,$B28)</f>
        <v>#51</v>
      </c>
      <c r="G28">
        <v>7</v>
      </c>
      <c r="H28">
        <f>MATCH("NA"&amp;G$1&amp;G21&amp;"-"&amp;$A28,'F Proj'!$N$2:$N$7669,0)</f>
        <v>2310</v>
      </c>
      <c r="I28" t="str">
        <f>INDEX('F Proj'!$B$2:$B$7669,$H28)</f>
        <v>Terrelle Pryor Sr.</v>
      </c>
      <c r="J28" s="2">
        <f>INDEX('F Proj'!$D$2:$D$7669,$H28)</f>
        <v>5.67</v>
      </c>
      <c r="K28" s="154" t="str">
        <f>"#"&amp;INDEX('F Proj'!$O$2:$O$7669,$H28)</f>
        <v>#50</v>
      </c>
      <c r="M28">
        <v>7</v>
      </c>
      <c r="N28">
        <f>MATCH("NA"&amp;M$1&amp;M21&amp;"-"&amp;$A28,'F Proj'!$N$2:$N$7669,0)</f>
        <v>2436</v>
      </c>
      <c r="O28" t="str">
        <f>INDEX('F Proj'!$B$2:$B$7669,$N28)</f>
        <v>D.J. Moore</v>
      </c>
      <c r="P28" s="2">
        <f>INDEX('F Proj'!$D$2:$D$7669,$N28)</f>
        <v>5.38</v>
      </c>
      <c r="Q28" s="154" t="str">
        <f>"#"&amp;INDEX('F Proj'!$O$2:$O$7669,$N28)</f>
        <v>#48</v>
      </c>
    </row>
    <row r="29" spans="1:17" x14ac:dyDescent="0.25">
      <c r="A29">
        <v>8</v>
      </c>
      <c r="B29">
        <f>MATCH("NA"&amp;A$1&amp;A21&amp;"-"&amp;$A29,'F Proj'!$N$2:$N$7669,0)</f>
        <v>2205</v>
      </c>
      <c r="C29" t="str">
        <f>INDEX('F Proj'!$B$2:$B$7669,$B29)</f>
        <v>Ted Ginn Jr.</v>
      </c>
      <c r="D29" s="2">
        <f>INDEX('F Proj'!$D$2:$D$7669,$B29)</f>
        <v>5.92</v>
      </c>
      <c r="E29" s="154" t="str">
        <f>"#"&amp;INDEX('F Proj'!$O$2:$O$7669,$B29)</f>
        <v>#52</v>
      </c>
      <c r="G29">
        <v>8</v>
      </c>
      <c r="H29">
        <f>MATCH("NA"&amp;G$1&amp;G21&amp;"-"&amp;$A29,'F Proj'!$N$2:$N$7669,0)</f>
        <v>2402</v>
      </c>
      <c r="I29" t="str">
        <f>INDEX('F Proj'!$B$2:$B$7669,$H29)</f>
        <v>Paul Richardson</v>
      </c>
      <c r="J29" s="2">
        <f>INDEX('F Proj'!$D$2:$D$7669,$H29)</f>
        <v>5.45</v>
      </c>
      <c r="K29" s="154" t="str">
        <f>"#"&amp;INDEX('F Proj'!$O$2:$O$7669,$H29)</f>
        <v>#51</v>
      </c>
      <c r="M29">
        <v>8</v>
      </c>
      <c r="N29">
        <f>MATCH("NA"&amp;M$1&amp;M21&amp;"-"&amp;$A29,'F Proj'!$N$2:$N$7669,0)</f>
        <v>2475</v>
      </c>
      <c r="O29" t="str">
        <f>INDEX('F Proj'!$B$2:$B$7669,$N29)</f>
        <v>Ted Ginn Jr.</v>
      </c>
      <c r="P29" s="2">
        <f>INDEX('F Proj'!$D$2:$D$7669,$N29)</f>
        <v>5.29</v>
      </c>
      <c r="Q29" s="154" t="str">
        <f>"#"&amp;INDEX('F Proj'!$O$2:$O$7669,$N29)</f>
        <v>#49</v>
      </c>
    </row>
    <row r="30" spans="1:17" x14ac:dyDescent="0.25">
      <c r="A30">
        <v>9</v>
      </c>
      <c r="B30">
        <f>MATCH("NA"&amp;A$1&amp;A21&amp;"-"&amp;$A30,'F Proj'!$N$2:$N$7669,0)</f>
        <v>2269</v>
      </c>
      <c r="C30" t="str">
        <f>INDEX('F Proj'!$B$2:$B$7669,$B30)</f>
        <v>Christian Kirk</v>
      </c>
      <c r="D30" s="2">
        <f>INDEX('F Proj'!$D$2:$D$7669,$B30)</f>
        <v>5.75</v>
      </c>
      <c r="E30" s="154" t="str">
        <f>"#"&amp;INDEX('F Proj'!$O$2:$O$7669,$B30)</f>
        <v>#53</v>
      </c>
      <c r="G30">
        <v>9</v>
      </c>
      <c r="H30">
        <f>MATCH("NA"&amp;G$1&amp;G21&amp;"-"&amp;$A30,'F Proj'!$N$2:$N$7669,0)</f>
        <v>2415</v>
      </c>
      <c r="I30" t="str">
        <f>INDEX('F Proj'!$B$2:$B$7669,$H30)</f>
        <v>Kelvin Benjamin</v>
      </c>
      <c r="J30" s="2">
        <f>INDEX('F Proj'!$D$2:$D$7669,$H30)</f>
        <v>5.42</v>
      </c>
      <c r="K30" s="154" t="str">
        <f>"#"&amp;INDEX('F Proj'!$O$2:$O$7669,$H30)</f>
        <v>#52</v>
      </c>
      <c r="M30">
        <v>9</v>
      </c>
      <c r="N30">
        <f>MATCH("NA"&amp;M$1&amp;M21&amp;"-"&amp;$A30,'F Proj'!$N$2:$N$7669,0)</f>
        <v>2546</v>
      </c>
      <c r="O30" t="str">
        <f>INDEX('F Proj'!$B$2:$B$7669,$N30)</f>
        <v>Pierre Garcon</v>
      </c>
      <c r="P30" s="2">
        <f>INDEX('F Proj'!$D$2:$D$7669,$N30)</f>
        <v>5.0999999999999996</v>
      </c>
      <c r="Q30" s="154" t="str">
        <f>"#"&amp;INDEX('F Proj'!$O$2:$O$7669,$N30)</f>
        <v>#50</v>
      </c>
    </row>
    <row r="31" spans="1:17" x14ac:dyDescent="0.25">
      <c r="A31">
        <v>10</v>
      </c>
      <c r="B31">
        <f>MATCH("NA"&amp;A$1&amp;A21&amp;"-"&amp;$A31,'F Proj'!$N$2:$N$7669,0)</f>
        <v>2299</v>
      </c>
      <c r="C31" t="str">
        <f>INDEX('F Proj'!$B$2:$B$7669,$B31)</f>
        <v>Donte Moncrief</v>
      </c>
      <c r="D31" s="2">
        <f>INDEX('F Proj'!$D$2:$D$7669,$B31)</f>
        <v>5.69</v>
      </c>
      <c r="E31" s="154" t="str">
        <f>"#"&amp;INDEX('F Proj'!$O$2:$O$7669,$B31)</f>
        <v>#54</v>
      </c>
      <c r="G31">
        <v>10</v>
      </c>
      <c r="H31">
        <f>MATCH("NA"&amp;G$1&amp;G21&amp;"-"&amp;$A31,'F Proj'!$N$2:$N$7669,0)</f>
        <v>2523</v>
      </c>
      <c r="I31" t="str">
        <f>INDEX('F Proj'!$B$2:$B$7669,$H31)</f>
        <v>Courtland Sutton</v>
      </c>
      <c r="J31" s="2">
        <f>INDEX('F Proj'!$D$2:$D$7669,$H31)</f>
        <v>5.15</v>
      </c>
      <c r="K31" s="154" t="str">
        <f>"#"&amp;INDEX('F Proj'!$O$2:$O$7669,$H31)</f>
        <v>#54</v>
      </c>
      <c r="M31">
        <v>10</v>
      </c>
      <c r="N31">
        <f>MATCH("NA"&amp;M$1&amp;M21&amp;"-"&amp;$A31,'F Proj'!$N$2:$N$7669,0)</f>
        <v>2565</v>
      </c>
      <c r="O31" t="str">
        <f>INDEX('F Proj'!$B$2:$B$7669,$N31)</f>
        <v>Taywan Taylor</v>
      </c>
      <c r="P31" s="2">
        <f>INDEX('F Proj'!$D$2:$D$7669,$N31)</f>
        <v>5.05</v>
      </c>
      <c r="Q31" s="154" t="str">
        <f>"#"&amp;INDEX('F Proj'!$O$2:$O$7669,$N31)</f>
        <v>#51</v>
      </c>
    </row>
    <row r="33" spans="1:17" x14ac:dyDescent="0.25">
      <c r="A33" t="s">
        <v>114</v>
      </c>
      <c r="B33" t="s">
        <v>780</v>
      </c>
      <c r="C33" t="s">
        <v>0</v>
      </c>
      <c r="D33" t="s">
        <v>835</v>
      </c>
      <c r="E33" s="150" t="s">
        <v>5001</v>
      </c>
      <c r="G33" t="s">
        <v>114</v>
      </c>
      <c r="H33" t="s">
        <v>780</v>
      </c>
      <c r="I33" t="s">
        <v>0</v>
      </c>
      <c r="J33" t="s">
        <v>835</v>
      </c>
      <c r="K33" s="150" t="s">
        <v>5001</v>
      </c>
      <c r="M33" t="s">
        <v>114</v>
      </c>
      <c r="N33" t="s">
        <v>780</v>
      </c>
      <c r="O33" t="s">
        <v>0</v>
      </c>
      <c r="P33" t="s">
        <v>835</v>
      </c>
      <c r="Q33" s="150" t="s">
        <v>5001</v>
      </c>
    </row>
    <row r="34" spans="1:17" x14ac:dyDescent="0.25">
      <c r="A34">
        <v>1</v>
      </c>
      <c r="B34">
        <f>MATCH("NA"&amp;A$1&amp;A33&amp;"-"&amp;$A34,'F Proj'!$N$2:$N$7669,0)</f>
        <v>2249</v>
      </c>
      <c r="C34" t="str">
        <f>INDEX('F Proj'!$B$2:$B$7669,$B34)</f>
        <v>David Njoku</v>
      </c>
      <c r="D34" s="2">
        <f>INDEX('F Proj'!$D$2:$D$7669,$B34)</f>
        <v>5.81</v>
      </c>
      <c r="E34" s="154" t="str">
        <f>"#"&amp;INDEX('F Proj'!$O$2:$O$7669,$B34)</f>
        <v>#10</v>
      </c>
      <c r="G34">
        <v>1</v>
      </c>
      <c r="H34">
        <f>MATCH("NA"&amp;G$1&amp;G33&amp;"-"&amp;$A34,'F Proj'!$N$2:$N$7669,0)</f>
        <v>2213</v>
      </c>
      <c r="I34" t="str">
        <f>INDEX('F Proj'!$B$2:$B$7669,$H34)</f>
        <v>David Njoku</v>
      </c>
      <c r="J34" s="2">
        <f>INDEX('F Proj'!$D$2:$D$7669,$H34)</f>
        <v>5.9</v>
      </c>
      <c r="K34" s="154" t="str">
        <f>"#"&amp;INDEX('F Proj'!$O$2:$O$7669,$H34)</f>
        <v>#9</v>
      </c>
      <c r="M34">
        <v>1</v>
      </c>
      <c r="N34">
        <f>MATCH("NA"&amp;M$1&amp;M33&amp;"-"&amp;$A34,'F Proj'!$N$2:$N$7669,0)</f>
        <v>1734</v>
      </c>
      <c r="O34" t="str">
        <f>INDEX('F Proj'!$B$2:$B$7669,$N34)</f>
        <v>David Njoku</v>
      </c>
      <c r="P34" s="2">
        <f>INDEX('F Proj'!$D$2:$D$7669,$N34)</f>
        <v>7.28</v>
      </c>
      <c r="Q34" s="154" t="str">
        <f>"#"&amp;INDEX('F Proj'!$O$2:$O$7669,$N34)</f>
        <v>#4</v>
      </c>
    </row>
    <row r="35" spans="1:17" x14ac:dyDescent="0.25">
      <c r="A35">
        <v>2</v>
      </c>
      <c r="B35">
        <f>MATCH("NA"&amp;A$1&amp;A33&amp;"-"&amp;$A35,'F Proj'!$N$2:$N$7669,0)</f>
        <v>2517</v>
      </c>
      <c r="C35" t="str">
        <f>INDEX('F Proj'!$B$2:$B$7669,$B35)</f>
        <v>Benjamin Watson</v>
      </c>
      <c r="D35" s="2">
        <f>INDEX('F Proj'!$D$2:$D$7669,$B35)</f>
        <v>5.16</v>
      </c>
      <c r="E35" s="154" t="str">
        <f>"#"&amp;INDEX('F Proj'!$O$2:$O$7669,$B35)</f>
        <v>#12</v>
      </c>
      <c r="G35">
        <v>2</v>
      </c>
      <c r="H35">
        <f>MATCH("NA"&amp;G$1&amp;G33&amp;"-"&amp;$A35,'F Proj'!$N$2:$N$7669,0)</f>
        <v>2332</v>
      </c>
      <c r="I35" t="str">
        <f>INDEX('F Proj'!$B$2:$B$7669,$H35)</f>
        <v>Cameron Brate</v>
      </c>
      <c r="J35" s="2">
        <f>INDEX('F Proj'!$D$2:$D$7669,$H35)</f>
        <v>5.62</v>
      </c>
      <c r="K35" s="154" t="str">
        <f>"#"&amp;INDEX('F Proj'!$O$2:$O$7669,$H35)</f>
        <v>#11</v>
      </c>
      <c r="M35">
        <v>2</v>
      </c>
      <c r="N35">
        <f>MATCH("NA"&amp;M$1&amp;M33&amp;"-"&amp;$A35,'F Proj'!$N$2:$N$7669,0)</f>
        <v>2268</v>
      </c>
      <c r="O35" t="str">
        <f>INDEX('F Proj'!$B$2:$B$7669,$N35)</f>
        <v>Cameron Brate</v>
      </c>
      <c r="P35" s="2">
        <f>INDEX('F Proj'!$D$2:$D$7669,$N35)</f>
        <v>5.76</v>
      </c>
      <c r="Q35" s="154" t="str">
        <f>"#"&amp;INDEX('F Proj'!$O$2:$O$7669,$N35)</f>
        <v>#8</v>
      </c>
    </row>
    <row r="36" spans="1:17" x14ac:dyDescent="0.25">
      <c r="A36">
        <v>3</v>
      </c>
      <c r="B36">
        <f>MATCH("NA"&amp;A$1&amp;A33&amp;"-"&amp;$A36,'F Proj'!$N$2:$N$7669,0)</f>
        <v>2720</v>
      </c>
      <c r="C36" t="str">
        <f>INDEX('F Proj'!$B$2:$B$7669,$B36)</f>
        <v>Hayden Hurst</v>
      </c>
      <c r="D36" s="2">
        <f>INDEX('F Proj'!$D$2:$D$7669,$B36)</f>
        <v>4.7</v>
      </c>
      <c r="E36" s="154" t="str">
        <f>"#"&amp;INDEX('F Proj'!$O$2:$O$7669,$B36)</f>
        <v>#13</v>
      </c>
      <c r="G36">
        <v>3</v>
      </c>
      <c r="H36">
        <f>MATCH("NA"&amp;G$1&amp;G33&amp;"-"&amp;$A36,'F Proj'!$N$2:$N$7669,0)</f>
        <v>2708</v>
      </c>
      <c r="I36" t="str">
        <f>INDEX('F Proj'!$B$2:$B$7669,$H36)</f>
        <v>Charles Clay</v>
      </c>
      <c r="J36" s="2">
        <f>INDEX('F Proj'!$D$2:$D$7669,$H36)</f>
        <v>4.72</v>
      </c>
      <c r="K36" s="154" t="str">
        <f>"#"&amp;INDEX('F Proj'!$O$2:$O$7669,$H36)</f>
        <v>#14</v>
      </c>
      <c r="M36">
        <v>3</v>
      </c>
      <c r="N36">
        <f>MATCH("NA"&amp;M$1&amp;M33&amp;"-"&amp;$A36,'F Proj'!$N$2:$N$7669,0)</f>
        <v>2605</v>
      </c>
      <c r="O36" t="str">
        <f>INDEX('F Proj'!$B$2:$B$7669,$N36)</f>
        <v>Jack Doyle</v>
      </c>
      <c r="P36" s="2">
        <f>INDEX('F Proj'!$D$2:$D$7669,$N36)</f>
        <v>4.93</v>
      </c>
      <c r="Q36" s="154" t="str">
        <f>"#"&amp;INDEX('F Proj'!$O$2:$O$7669,$N36)</f>
        <v>#11</v>
      </c>
    </row>
    <row r="37" spans="1:17" x14ac:dyDescent="0.25">
      <c r="A37">
        <v>4</v>
      </c>
      <c r="B37">
        <f>MATCH("NA"&amp;A$1&amp;A33&amp;"-"&amp;$A37,'F Proj'!$N$2:$N$7669,0)</f>
        <v>2813</v>
      </c>
      <c r="C37" t="str">
        <f>INDEX('F Proj'!$B$2:$B$7669,$B37)</f>
        <v>Charles Clay</v>
      </c>
      <c r="D37" s="2">
        <f>INDEX('F Proj'!$D$2:$D$7669,$B37)</f>
        <v>4.51</v>
      </c>
      <c r="E37" s="154" t="str">
        <f>"#"&amp;INDEX('F Proj'!$O$2:$O$7669,$B37)</f>
        <v>#14</v>
      </c>
      <c r="G37">
        <v>4</v>
      </c>
      <c r="H37">
        <f>MATCH("NA"&amp;G$1&amp;G33&amp;"-"&amp;$A37,'F Proj'!$N$2:$N$7669,0)</f>
        <v>2823</v>
      </c>
      <c r="I37" t="str">
        <f>INDEX('F Proj'!$B$2:$B$7669,$H37)</f>
        <v>Hayden Hurst</v>
      </c>
      <c r="J37" s="2">
        <f>INDEX('F Proj'!$D$2:$D$7669,$H37)</f>
        <v>4.49</v>
      </c>
      <c r="K37" s="154" t="str">
        <f>"#"&amp;INDEX('F Proj'!$O$2:$O$7669,$H37)</f>
        <v>#16</v>
      </c>
      <c r="M37">
        <v>4</v>
      </c>
      <c r="N37">
        <f>MATCH("NA"&amp;M$1&amp;M33&amp;"-"&amp;$A37,'F Proj'!$N$2:$N$7669,0)</f>
        <v>2808</v>
      </c>
      <c r="O37" t="str">
        <f>INDEX('F Proj'!$B$2:$B$7669,$N37)</f>
        <v>Rhett Ellison</v>
      </c>
      <c r="P37" s="2">
        <f>INDEX('F Proj'!$D$2:$D$7669,$N37)</f>
        <v>4.5199999999999996</v>
      </c>
      <c r="Q37" s="154" t="str">
        <f>"#"&amp;INDEX('F Proj'!$O$2:$O$7669,$N37)</f>
        <v>#13</v>
      </c>
    </row>
    <row r="38" spans="1:17" x14ac:dyDescent="0.25">
      <c r="A38">
        <v>5</v>
      </c>
      <c r="B38">
        <f>MATCH("NA"&amp;A$1&amp;A33&amp;"-"&amp;$A38,'F Proj'!$N$2:$N$7669,0)</f>
        <v>2977</v>
      </c>
      <c r="C38" t="str">
        <f>INDEX('F Proj'!$B$2:$B$7669,$B38)</f>
        <v>Rhett Ellison</v>
      </c>
      <c r="D38" s="2">
        <f>INDEX('F Proj'!$D$2:$D$7669,$B38)</f>
        <v>4.1500000000000004</v>
      </c>
      <c r="E38" s="154" t="str">
        <f>"#"&amp;INDEX('F Proj'!$O$2:$O$7669,$B38)</f>
        <v>#16</v>
      </c>
      <c r="G38">
        <v>5</v>
      </c>
      <c r="H38">
        <f>MATCH("NA"&amp;G$1&amp;G33&amp;"-"&amp;$A38,'F Proj'!$N$2:$N$7669,0)</f>
        <v>2869</v>
      </c>
      <c r="I38" t="str">
        <f>INDEX('F Proj'!$B$2:$B$7669,$H38)</f>
        <v>Jack Doyle</v>
      </c>
      <c r="J38" s="2">
        <f>INDEX('F Proj'!$D$2:$D$7669,$H38)</f>
        <v>4.37</v>
      </c>
      <c r="K38" s="154" t="str">
        <f>"#"&amp;INDEX('F Proj'!$O$2:$O$7669,$H38)</f>
        <v>#17</v>
      </c>
      <c r="M38">
        <v>5</v>
      </c>
      <c r="N38">
        <f>MATCH("NA"&amp;M$1&amp;M33&amp;"-"&amp;$A38,'F Proj'!$N$2:$N$7669,0)</f>
        <v>2847</v>
      </c>
      <c r="O38" t="str">
        <f>INDEX('F Proj'!$B$2:$B$7669,$N38)</f>
        <v>Hayden Hurst</v>
      </c>
      <c r="P38" s="2">
        <f>INDEX('F Proj'!$D$2:$D$7669,$N38)</f>
        <v>4.41</v>
      </c>
      <c r="Q38" s="154" t="str">
        <f>"#"&amp;INDEX('F Proj'!$O$2:$O$7669,$N38)</f>
        <v>#14</v>
      </c>
    </row>
    <row r="40" spans="1:17" x14ac:dyDescent="0.25">
      <c r="A40" t="s">
        <v>770</v>
      </c>
      <c r="B40" t="s">
        <v>780</v>
      </c>
      <c r="C40" t="s">
        <v>0</v>
      </c>
      <c r="D40" t="s">
        <v>835</v>
      </c>
      <c r="E40" s="150" t="s">
        <v>5001</v>
      </c>
      <c r="G40" t="s">
        <v>770</v>
      </c>
      <c r="H40" t="s">
        <v>780</v>
      </c>
      <c r="I40" t="s">
        <v>0</v>
      </c>
      <c r="J40" t="s">
        <v>835</v>
      </c>
      <c r="K40" s="150" t="s">
        <v>5001</v>
      </c>
      <c r="M40" t="s">
        <v>770</v>
      </c>
      <c r="N40" t="s">
        <v>780</v>
      </c>
      <c r="O40" t="s">
        <v>0</v>
      </c>
      <c r="P40" t="s">
        <v>835</v>
      </c>
      <c r="Q40" s="150" t="s">
        <v>5001</v>
      </c>
    </row>
    <row r="41" spans="1:17" x14ac:dyDescent="0.25">
      <c r="A41">
        <v>1</v>
      </c>
      <c r="B41">
        <f>MATCH("NA"&amp;A$1&amp;"-"&amp;$A41,'D Proj'!$Z$2:$Z$513,0)</f>
        <v>76</v>
      </c>
      <c r="C41" t="str">
        <f>INDEX('D Proj'!$B$2:$B$513,$B41)</f>
        <v>49ers D/ST</v>
      </c>
      <c r="D41" s="2">
        <f>INDEX('D Proj'!$T$2:$T$513,$B41)</f>
        <v>7.82</v>
      </c>
      <c r="E41" s="154" t="str">
        <f>"#"&amp;INDEX('D Proj'!$W$2:$W$513,$B41)</f>
        <v>#2</v>
      </c>
      <c r="G41">
        <v>1</v>
      </c>
      <c r="H41">
        <f>MATCH("NA"&amp;G$1&amp;"-"&amp;$A41,'D Proj'!$Z$2:$Z$513,0)</f>
        <v>46</v>
      </c>
      <c r="I41" t="str">
        <f>INDEX('D Proj'!$B$2:$B$513,$H41)</f>
        <v>Chargers D/ST</v>
      </c>
      <c r="J41" s="2">
        <f>INDEX('D Proj'!$T$2:$T$513,$H41)</f>
        <v>8.2799999999999994</v>
      </c>
      <c r="K41" s="154" t="str">
        <f>"#"&amp;INDEX('D Proj'!$W$2:$W$513,$H41)</f>
        <v>#3</v>
      </c>
      <c r="M41">
        <v>1</v>
      </c>
      <c r="N41">
        <f>MATCH("NA"&amp;M$1&amp;"-"&amp;$A41,'D Proj'!$Z$2:$Z$513,0)</f>
        <v>14</v>
      </c>
      <c r="O41" t="str">
        <f>INDEX('D Proj'!$B$2:$B$513,$N41)</f>
        <v>Falcons D/ST</v>
      </c>
      <c r="P41" s="2">
        <f>INDEX('D Proj'!$T$2:$T$513,$N41)</f>
        <v>9.2799999999999994</v>
      </c>
      <c r="Q41" s="154" t="str">
        <f>"#"&amp;INDEX('D Proj'!$W$2:$W$513,$N41)</f>
        <v>#1</v>
      </c>
    </row>
    <row r="42" spans="1:17" x14ac:dyDescent="0.25">
      <c r="A42">
        <v>2</v>
      </c>
      <c r="B42">
        <f>MATCH("NA"&amp;A$1&amp;"-"&amp;$A42,'D Proj'!$Z$2:$Z$513,0)</f>
        <v>122</v>
      </c>
      <c r="C42" t="str">
        <f>INDEX('D Proj'!$B$2:$B$513,$B42)</f>
        <v>Patriots D/ST</v>
      </c>
      <c r="D42" s="2">
        <f>INDEX('D Proj'!$T$2:$T$513,$B42)</f>
        <v>7.34</v>
      </c>
      <c r="E42" s="154" t="str">
        <f>"#"&amp;INDEX('D Proj'!$W$2:$W$513,$B42)</f>
        <v>#5</v>
      </c>
      <c r="G42">
        <v>2</v>
      </c>
      <c r="H42">
        <f>MATCH("NA"&amp;G$1&amp;"-"&amp;$A42,'D Proj'!$Z$2:$Z$513,0)</f>
        <v>124</v>
      </c>
      <c r="I42" t="str">
        <f>INDEX('D Proj'!$B$2:$B$513,$H42)</f>
        <v>Jets D/ST</v>
      </c>
      <c r="J42" s="2">
        <f>INDEX('D Proj'!$T$2:$T$513,$H42)</f>
        <v>7.32</v>
      </c>
      <c r="K42" s="154" t="str">
        <f>"#"&amp;INDEX('D Proj'!$W$2:$W$513,$H42)</f>
        <v>#8</v>
      </c>
      <c r="M42">
        <v>2</v>
      </c>
      <c r="N42">
        <f>MATCH("NA"&amp;M$1&amp;"-"&amp;$A42,'D Proj'!$Z$2:$Z$513,0)</f>
        <v>39</v>
      </c>
      <c r="O42" t="str">
        <f>INDEX('D Proj'!$B$2:$B$513,$N42)</f>
        <v>Bills D/ST</v>
      </c>
      <c r="P42" s="2">
        <f>INDEX('D Proj'!$T$2:$T$513,$N42)</f>
        <v>8.48</v>
      </c>
      <c r="Q42" s="154" t="str">
        <f>"#"&amp;INDEX('D Proj'!$W$2:$W$513,$N42)</f>
        <v>#2</v>
      </c>
    </row>
    <row r="43" spans="1:17" x14ac:dyDescent="0.25">
      <c r="A43">
        <v>3</v>
      </c>
      <c r="B43">
        <f>MATCH("NA"&amp;A$1&amp;"-"&amp;$A43,'D Proj'!$Z$2:$Z$513,0)</f>
        <v>151</v>
      </c>
      <c r="C43" t="str">
        <f>INDEX('D Proj'!$B$2:$B$513,$B43)</f>
        <v>Bengals D/ST</v>
      </c>
      <c r="D43" s="2">
        <f>INDEX('D Proj'!$T$2:$T$513,$B43)</f>
        <v>7.13</v>
      </c>
      <c r="E43" s="154" t="str">
        <f>"#"&amp;INDEX('D Proj'!$W$2:$W$513,$B43)</f>
        <v>#7</v>
      </c>
      <c r="G43">
        <v>3</v>
      </c>
      <c r="H43">
        <f>MATCH("NA"&amp;G$1&amp;"-"&amp;$A43,'D Proj'!$Z$2:$Z$513,0)</f>
        <v>134</v>
      </c>
      <c r="I43" t="str">
        <f>INDEX('D Proj'!$B$2:$B$513,$H43)</f>
        <v>Seahawks D/ST</v>
      </c>
      <c r="J43" s="2">
        <f>INDEX('D Proj'!$T$2:$T$513,$H43)</f>
        <v>7.26</v>
      </c>
      <c r="K43" s="154" t="str">
        <f>"#"&amp;INDEX('D Proj'!$W$2:$W$513,$H43)</f>
        <v>#9</v>
      </c>
      <c r="M43">
        <v>3</v>
      </c>
      <c r="N43">
        <f>MATCH("NA"&amp;M$1&amp;"-"&amp;$A43,'D Proj'!$Z$2:$Z$513,0)</f>
        <v>40</v>
      </c>
      <c r="O43" t="str">
        <f>INDEX('D Proj'!$B$2:$B$513,$N43)</f>
        <v>Cardinals D/ST</v>
      </c>
      <c r="P43" s="2">
        <f>INDEX('D Proj'!$T$2:$T$513,$N43)</f>
        <v>8.48</v>
      </c>
      <c r="Q43" s="154" t="str">
        <f>"#"&amp;INDEX('D Proj'!$W$2:$W$513,$N43)</f>
        <v>#3</v>
      </c>
    </row>
    <row r="44" spans="1:17" x14ac:dyDescent="0.25">
      <c r="A44">
        <v>4</v>
      </c>
      <c r="B44">
        <f>MATCH("NA"&amp;A$1&amp;"-"&amp;$A44,'D Proj'!$Z$2:$Z$513,0)</f>
        <v>157</v>
      </c>
      <c r="C44" t="str">
        <f>INDEX('D Proj'!$B$2:$B$513,$B44)</f>
        <v>Jets D/ST</v>
      </c>
      <c r="D44" s="2">
        <f>INDEX('D Proj'!$T$2:$T$513,$B44)</f>
        <v>7.06</v>
      </c>
      <c r="E44" s="154" t="str">
        <f>"#"&amp;INDEX('D Proj'!$W$2:$W$513,$B44)</f>
        <v>#8</v>
      </c>
      <c r="G44">
        <v>4</v>
      </c>
      <c r="H44">
        <f>MATCH("NA"&amp;G$1&amp;"-"&amp;$A44,'D Proj'!$Z$2:$Z$513,0)</f>
        <v>136</v>
      </c>
      <c r="I44" t="str">
        <f>INDEX('D Proj'!$B$2:$B$513,$H44)</f>
        <v>Packers D/ST</v>
      </c>
      <c r="J44" s="2">
        <f>INDEX('D Proj'!$T$2:$T$513,$H44)</f>
        <v>7.25</v>
      </c>
      <c r="K44" s="154" t="str">
        <f>"#"&amp;INDEX('D Proj'!$W$2:$W$513,$H44)</f>
        <v>#10</v>
      </c>
      <c r="M44">
        <v>4</v>
      </c>
      <c r="N44">
        <f>MATCH("NA"&amp;M$1&amp;"-"&amp;$A44,'D Proj'!$Z$2:$Z$513,0)</f>
        <v>118</v>
      </c>
      <c r="O44" t="str">
        <f>INDEX('D Proj'!$B$2:$B$513,$N44)</f>
        <v>Buccaneers D/ST</v>
      </c>
      <c r="P44" s="2">
        <f>INDEX('D Proj'!$T$2:$T$513,$N44)</f>
        <v>7.38</v>
      </c>
      <c r="Q44" s="154" t="str">
        <f>"#"&amp;INDEX('D Proj'!$W$2:$W$513,$N44)</f>
        <v>#6</v>
      </c>
    </row>
    <row r="45" spans="1:17" x14ac:dyDescent="0.25">
      <c r="A45">
        <v>5</v>
      </c>
      <c r="B45">
        <f>MATCH("NA"&amp;A$1&amp;"-"&amp;$A45,'D Proj'!$Z$2:$Z$513,0)</f>
        <v>192</v>
      </c>
      <c r="C45" t="str">
        <f>INDEX('D Proj'!$B$2:$B$513,$B45)</f>
        <v>Saints D/ST</v>
      </c>
      <c r="D45" s="2">
        <f>INDEX('D Proj'!$T$2:$T$513,$B45)</f>
        <v>6.8</v>
      </c>
      <c r="E45" s="154" t="str">
        <f>"#"&amp;INDEX('D Proj'!$W$2:$W$513,$B45)</f>
        <v>#10</v>
      </c>
      <c r="G45">
        <v>5</v>
      </c>
      <c r="H45">
        <f>MATCH("NA"&amp;G$1&amp;"-"&amp;$A45,'D Proj'!$Z$2:$Z$513,0)</f>
        <v>196</v>
      </c>
      <c r="I45" t="str">
        <f>INDEX('D Proj'!$B$2:$B$513,$H45)</f>
        <v>Steelers D/ST</v>
      </c>
      <c r="J45" s="2">
        <f>INDEX('D Proj'!$T$2:$T$513,$H45)</f>
        <v>6.74</v>
      </c>
      <c r="K45" s="154" t="str">
        <f>"#"&amp;INDEX('D Proj'!$W$2:$W$513,$H45)</f>
        <v>#13</v>
      </c>
      <c r="M45">
        <v>5</v>
      </c>
      <c r="N45">
        <f>MATCH("NA"&amp;M$1&amp;"-"&amp;$A45,'D Proj'!$Z$2:$Z$513,0)</f>
        <v>119</v>
      </c>
      <c r="O45" t="str">
        <f>INDEX('D Proj'!$B$2:$B$513,$N45)</f>
        <v>Lions D/ST</v>
      </c>
      <c r="P45" s="2">
        <f>INDEX('D Proj'!$T$2:$T$513,$N45)</f>
        <v>7.36</v>
      </c>
      <c r="Q45" s="154" t="str">
        <f>"#"&amp;INDEX('D Proj'!$W$2:$W$513,$N45)</f>
        <v>#7</v>
      </c>
    </row>
    <row r="47" spans="1:17" x14ac:dyDescent="0.25">
      <c r="A47" t="s">
        <v>478</v>
      </c>
      <c r="B47" t="s">
        <v>780</v>
      </c>
      <c r="C47" t="s">
        <v>0</v>
      </c>
      <c r="D47" t="s">
        <v>835</v>
      </c>
      <c r="E47" s="150" t="s">
        <v>5001</v>
      </c>
      <c r="G47" t="s">
        <v>478</v>
      </c>
      <c r="H47" t="s">
        <v>780</v>
      </c>
      <c r="I47" t="s">
        <v>0</v>
      </c>
      <c r="J47" t="s">
        <v>835</v>
      </c>
      <c r="K47" s="150" t="s">
        <v>5001</v>
      </c>
      <c r="M47" t="s">
        <v>478</v>
      </c>
      <c r="N47" t="s">
        <v>780</v>
      </c>
      <c r="O47" t="s">
        <v>0</v>
      </c>
      <c r="P47" t="s">
        <v>835</v>
      </c>
      <c r="Q47" s="150" t="s">
        <v>5001</v>
      </c>
    </row>
    <row r="48" spans="1:17" x14ac:dyDescent="0.25">
      <c r="A48">
        <v>1</v>
      </c>
      <c r="B48">
        <f>MATCH(A$1&amp;"-"&amp;$A48,'K Proj'!$V$2:$V$509,0)</f>
        <v>21</v>
      </c>
      <c r="C48" t="str">
        <f>INDEX('K Proj'!$B$2:$B$509,$B48)</f>
        <v>Graham Gano</v>
      </c>
      <c r="D48" s="2">
        <f>INDEX('D Proj'!$T$2:$T$513,$B48)</f>
        <v>8.9</v>
      </c>
      <c r="E48" s="154" t="str">
        <f>"#"&amp;INDEX('K Proj'!$S$2:$S$509,$B48)</f>
        <v>#2</v>
      </c>
      <c r="G48">
        <v>1</v>
      </c>
      <c r="H48">
        <f>MATCH(G$1&amp;"-"&amp;$A48,'K Proj'!$V$2:$V$509,0)</f>
        <v>88</v>
      </c>
      <c r="I48" t="str">
        <f>INDEX('K Proj'!$B$2:$B$509,$H48)</f>
        <v>Sebastian Janikowski</v>
      </c>
      <c r="J48" s="2">
        <f>INDEX('D Proj'!$T$2:$T$513,$H48)</f>
        <v>7.62</v>
      </c>
      <c r="K48" s="154" t="str">
        <f>"#"&amp;INDEX('K Proj'!$S$2:$S$509,$H48)</f>
        <v>#3</v>
      </c>
      <c r="M48">
        <v>1</v>
      </c>
      <c r="N48">
        <f>MATCH(M$1&amp;"-"&amp;$A48,'K Proj'!$V$2:$V$509,0)</f>
        <v>65</v>
      </c>
      <c r="O48" t="str">
        <f>INDEX('K Proj'!$B$2:$B$509,$N48)</f>
        <v>Caleb Sturgis</v>
      </c>
      <c r="P48" s="2">
        <f>INDEX('D Proj'!$T$2:$T$513,$N48)</f>
        <v>8</v>
      </c>
      <c r="Q48" s="154" t="str">
        <f>"#"&amp;INDEX('K Proj'!$S$2:$S$509,$N48)</f>
        <v>#5</v>
      </c>
    </row>
    <row r="49" spans="1:17" x14ac:dyDescent="0.25">
      <c r="A49">
        <v>2</v>
      </c>
      <c r="B49">
        <f>MATCH(A$1&amp;"-"&amp;$A49,'K Proj'!$V$2:$V$509,0)</f>
        <v>92</v>
      </c>
      <c r="C49" t="str">
        <f>INDEX('K Proj'!$B$2:$B$509,$B49)</f>
        <v>Randy Bullock</v>
      </c>
      <c r="D49" s="2">
        <f>INDEX('D Proj'!$T$2:$T$513,$B49)</f>
        <v>7.6</v>
      </c>
      <c r="E49" s="154" t="str">
        <f>"#"&amp;INDEX('K Proj'!$S$2:$S$509,$B49)</f>
        <v>#8</v>
      </c>
      <c r="G49">
        <v>2</v>
      </c>
      <c r="H49">
        <f>MATCH(G$1&amp;"-"&amp;$A49,'K Proj'!$V$2:$V$509,0)</f>
        <v>127</v>
      </c>
      <c r="I49" t="str">
        <f>INDEX('K Proj'!$B$2:$B$509,$H49)</f>
        <v>Jason Myers</v>
      </c>
      <c r="J49" s="2">
        <f>INDEX('D Proj'!$T$2:$T$513,$H49)</f>
        <v>7.3</v>
      </c>
      <c r="K49" s="154" t="str">
        <f>"#"&amp;INDEX('K Proj'!$S$2:$S$509,$H49)</f>
        <v>#5</v>
      </c>
      <c r="M49">
        <v>2</v>
      </c>
      <c r="N49">
        <f>MATCH(M$1&amp;"-"&amp;$A49,'K Proj'!$V$2:$V$509,0)</f>
        <v>85</v>
      </c>
      <c r="O49" t="str">
        <f>INDEX('K Proj'!$B$2:$B$509,$N49)</f>
        <v>Cody Parkey</v>
      </c>
      <c r="P49" s="2">
        <f>INDEX('D Proj'!$T$2:$T$513,$N49)</f>
        <v>7.66</v>
      </c>
      <c r="Q49" s="154" t="str">
        <f>"#"&amp;INDEX('K Proj'!$S$2:$S$509,$N49)</f>
        <v>#6</v>
      </c>
    </row>
    <row r="50" spans="1:17" x14ac:dyDescent="0.25">
      <c r="A50">
        <v>3</v>
      </c>
      <c r="B50">
        <f>MATCH(A$1&amp;"-"&amp;$A50,'K Proj'!$V$2:$V$509,0)</f>
        <v>101</v>
      </c>
      <c r="C50" t="str">
        <f>INDEX('K Proj'!$B$2:$B$509,$B50)</f>
        <v>Caleb Sturgis</v>
      </c>
      <c r="D50" s="2">
        <f>INDEX('D Proj'!$T$2:$T$513,$B50)</f>
        <v>7.52</v>
      </c>
      <c r="E50" s="154" t="str">
        <f>"#"&amp;INDEX('K Proj'!$S$2:$S$509,$B50)</f>
        <v>#9</v>
      </c>
      <c r="G50">
        <v>3</v>
      </c>
      <c r="H50">
        <f>MATCH(G$1&amp;"-"&amp;$A50,'K Proj'!$V$2:$V$509,0)</f>
        <v>156</v>
      </c>
      <c r="I50" t="str">
        <f>INDEX('K Proj'!$B$2:$B$509,$H50)</f>
        <v>Randy Bullock</v>
      </c>
      <c r="J50" s="2">
        <f>INDEX('D Proj'!$T$2:$T$513,$H50)</f>
        <v>7.09</v>
      </c>
      <c r="K50" s="154" t="str">
        <f>"#"&amp;INDEX('K Proj'!$S$2:$S$509,$H50)</f>
        <v>#8</v>
      </c>
      <c r="M50">
        <v>3</v>
      </c>
      <c r="N50">
        <f>MATCH(M$1&amp;"-"&amp;$A50,'K Proj'!$V$2:$V$509,0)</f>
        <v>167</v>
      </c>
      <c r="O50" t="str">
        <f>INDEX('K Proj'!$B$2:$B$509,$N50)</f>
        <v>Brett Maher</v>
      </c>
      <c r="P50" s="2">
        <f>INDEX('D Proj'!$T$2:$T$513,$N50)</f>
        <v>6.99</v>
      </c>
      <c r="Q50" s="154" t="str">
        <f>"#"&amp;INDEX('K Proj'!$S$2:$S$509,$N50)</f>
        <v>#9</v>
      </c>
    </row>
    <row r="51" spans="1:17" x14ac:dyDescent="0.25">
      <c r="A51">
        <v>4</v>
      </c>
      <c r="B51">
        <f>MATCH(A$1&amp;"-"&amp;$A51,'K Proj'!$V$2:$V$509,0)</f>
        <v>116</v>
      </c>
      <c r="C51" t="str">
        <f>INDEX('K Proj'!$B$2:$B$509,$B51)</f>
        <v>Chris Boswell</v>
      </c>
      <c r="D51" s="2">
        <f>INDEX('D Proj'!$T$2:$T$513,$B51)</f>
        <v>7.42</v>
      </c>
      <c r="E51" s="154" t="str">
        <f>"#"&amp;INDEX('K Proj'!$S$2:$S$509,$B51)</f>
        <v>#10</v>
      </c>
      <c r="G51">
        <v>4</v>
      </c>
      <c r="H51">
        <f>MATCH(G$1&amp;"-"&amp;$A51,'K Proj'!$V$2:$V$509,0)</f>
        <v>159</v>
      </c>
      <c r="I51" t="str">
        <f>INDEX('K Proj'!$B$2:$B$509,$H51)</f>
        <v>Caleb Sturgis</v>
      </c>
      <c r="J51" s="2">
        <f>INDEX('D Proj'!$T$2:$T$513,$H51)</f>
        <v>7.06</v>
      </c>
      <c r="K51" s="154" t="str">
        <f>"#"&amp;INDEX('K Proj'!$S$2:$S$509,$H51)</f>
        <v>#9</v>
      </c>
      <c r="M51">
        <v>4</v>
      </c>
      <c r="N51">
        <f>MATCH(M$1&amp;"-"&amp;$A51,'K Proj'!$V$2:$V$509,0)</f>
        <v>188</v>
      </c>
      <c r="O51" t="str">
        <f>INDEX('K Proj'!$B$2:$B$509,$N51)</f>
        <v>Ryan Succop</v>
      </c>
      <c r="P51" s="2">
        <f>INDEX('D Proj'!$T$2:$T$513,$N51)</f>
        <v>6.84</v>
      </c>
      <c r="Q51" s="154" t="str">
        <f>"#"&amp;INDEX('K Proj'!$S$2:$S$509,$N51)</f>
        <v>#10</v>
      </c>
    </row>
    <row r="52" spans="1:17" x14ac:dyDescent="0.25">
      <c r="A52">
        <v>5</v>
      </c>
      <c r="B52">
        <f>MATCH(A$1&amp;"-"&amp;$A52,'K Proj'!$V$2:$V$509,0)</f>
        <v>193</v>
      </c>
      <c r="C52" t="str">
        <f>INDEX('K Proj'!$B$2:$B$509,$B52)</f>
        <v>Ka'imi Fairbairn</v>
      </c>
      <c r="D52" s="2">
        <f>INDEX('D Proj'!$T$2:$T$513,$B52)</f>
        <v>6.77</v>
      </c>
      <c r="E52" s="154" t="str">
        <f>"#"&amp;INDEX('K Proj'!$S$2:$S$509,$B52)</f>
        <v>#12</v>
      </c>
      <c r="G52">
        <v>5</v>
      </c>
      <c r="H52">
        <f>MATCH(G$1&amp;"-"&amp;$A52,'K Proj'!$V$2:$V$509,0)</f>
        <v>174</v>
      </c>
      <c r="I52" t="str">
        <f>INDEX('K Proj'!$B$2:$B$509,$H52)</f>
        <v>Graham Gano</v>
      </c>
      <c r="J52" s="2">
        <f>INDEX('D Proj'!$T$2:$T$513,$H52)</f>
        <v>6.96</v>
      </c>
      <c r="K52" s="154" t="str">
        <f>"#"&amp;INDEX('K Proj'!$S$2:$S$509,$H52)</f>
        <v>#11</v>
      </c>
      <c r="M52">
        <v>5</v>
      </c>
      <c r="N52">
        <f>MATCH(M$1&amp;"-"&amp;$A52,'K Proj'!$V$2:$V$509,0)</f>
        <v>205</v>
      </c>
      <c r="O52" t="str">
        <f>INDEX('K Proj'!$B$2:$B$509,$N52)</f>
        <v>Dustin Hopkins</v>
      </c>
      <c r="P52" s="2">
        <f>INDEX('D Proj'!$T$2:$T$513,$N52)</f>
        <v>6.66</v>
      </c>
      <c r="Q52" s="154" t="str">
        <f>"#"&amp;INDEX('K Proj'!$S$2:$S$509,$N52)</f>
        <v>#11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T64"/>
  <sheetViews>
    <sheetView zoomScale="70" zoomScaleNormal="70" workbookViewId="0">
      <selection activeCell="A32" sqref="A32"/>
    </sheetView>
  </sheetViews>
  <sheetFormatPr defaultRowHeight="15" x14ac:dyDescent="0.25"/>
  <cols>
    <col min="1" max="1" width="6.140625" customWidth="1"/>
    <col min="2" max="2" width="9.28515625" customWidth="1"/>
    <col min="5" max="6" width="9.140625" customWidth="1"/>
    <col min="7" max="7" width="9.28515625" customWidth="1"/>
    <col min="8" max="11" width="9.140625" customWidth="1"/>
    <col min="12" max="14" width="11.42578125" customWidth="1"/>
    <col min="15" max="15" width="2.5703125" customWidth="1"/>
  </cols>
  <sheetData>
    <row r="1" spans="1:20" x14ac:dyDescent="0.25">
      <c r="B1" t="s">
        <v>722</v>
      </c>
      <c r="C1" t="s">
        <v>723</v>
      </c>
      <c r="D1" t="s">
        <v>724</v>
      </c>
      <c r="E1" t="s">
        <v>725</v>
      </c>
      <c r="F1" t="s">
        <v>726</v>
      </c>
      <c r="G1" t="s">
        <v>727</v>
      </c>
      <c r="H1" t="s">
        <v>728</v>
      </c>
      <c r="I1" t="s">
        <v>729</v>
      </c>
      <c r="J1" t="s">
        <v>730</v>
      </c>
      <c r="K1" t="s">
        <v>731</v>
      </c>
      <c r="L1" t="s">
        <v>732</v>
      </c>
      <c r="M1" t="s">
        <v>733</v>
      </c>
      <c r="N1" t="s">
        <v>734</v>
      </c>
      <c r="P1" t="s">
        <v>497</v>
      </c>
      <c r="Q1" t="s">
        <v>735</v>
      </c>
      <c r="R1" t="s">
        <v>736</v>
      </c>
    </row>
    <row r="2" spans="1:20" x14ac:dyDescent="0.25">
      <c r="A2" t="s">
        <v>750</v>
      </c>
      <c r="B2" t="s">
        <v>20</v>
      </c>
      <c r="C2" t="s">
        <v>62</v>
      </c>
      <c r="D2" t="s">
        <v>44</v>
      </c>
      <c r="E2" t="s">
        <v>27</v>
      </c>
      <c r="F2" t="s">
        <v>49</v>
      </c>
      <c r="G2" t="s">
        <v>16</v>
      </c>
      <c r="H2" t="s">
        <v>35</v>
      </c>
      <c r="I2" t="s">
        <v>1648</v>
      </c>
      <c r="J2" t="s">
        <v>23</v>
      </c>
      <c r="K2" t="s">
        <v>62</v>
      </c>
      <c r="L2" t="s">
        <v>44</v>
      </c>
      <c r="M2" t="s">
        <v>27</v>
      </c>
      <c r="N2" t="s">
        <v>49</v>
      </c>
    </row>
    <row r="3" spans="1:20" x14ac:dyDescent="0.25">
      <c r="A3" t="s">
        <v>737</v>
      </c>
      <c r="B3" s="3">
        <f>Scores!B26</f>
        <v>1</v>
      </c>
      <c r="C3" s="3">
        <f>Scores!C26</f>
        <v>1</v>
      </c>
      <c r="D3" s="3">
        <f>Scores!D26</f>
        <v>1</v>
      </c>
      <c r="E3" s="3">
        <f>Scores!E26</f>
        <v>1</v>
      </c>
      <c r="F3" s="3">
        <f>Scores!F26</f>
        <v>0.48230230633039956</v>
      </c>
      <c r="G3" s="3">
        <f>Scores!G26</f>
        <v>0.61863210280623082</v>
      </c>
      <c r="H3" s="3">
        <f>Scores!H26</f>
        <v>0.56019035531275452</v>
      </c>
      <c r="I3" s="3">
        <f>Scores!I26</f>
        <v>0.6815038683512824</v>
      </c>
      <c r="J3" s="3">
        <f>Scores!J26</f>
        <v>0.4551124815163628</v>
      </c>
      <c r="K3" s="3">
        <f>Scores!K26</f>
        <v>0.15206343130735664</v>
      </c>
      <c r="L3" s="3">
        <f>Scores!L26</f>
        <v>0.64996037728110745</v>
      </c>
      <c r="M3" s="3">
        <f>Scores!M26</f>
        <v>0.52410277781861836</v>
      </c>
      <c r="N3" s="3">
        <f>Scores!N26</f>
        <v>0.41183857578019795</v>
      </c>
      <c r="P3" s="3">
        <f>Scores!I58</f>
        <v>0.76959440243315957</v>
      </c>
      <c r="Q3" s="3">
        <f>Scores!C58</f>
        <v>0.31165946963337099</v>
      </c>
      <c r="R3" s="3">
        <f>Scores!M123</f>
        <v>0.18668730884602278</v>
      </c>
      <c r="T3" s="7"/>
    </row>
    <row r="4" spans="1:20" x14ac:dyDescent="0.25">
      <c r="A4" t="s">
        <v>738</v>
      </c>
      <c r="B4" s="3">
        <v>1</v>
      </c>
      <c r="C4" s="3">
        <v>1</v>
      </c>
      <c r="D4" s="3">
        <v>1</v>
      </c>
      <c r="E4" s="3">
        <v>1</v>
      </c>
      <c r="F4" s="3">
        <v>0.48230230633039956</v>
      </c>
      <c r="G4" s="3">
        <v>0.57830569440759916</v>
      </c>
      <c r="H4" s="3">
        <v>0.47516721052592742</v>
      </c>
      <c r="I4" s="3">
        <v>0.61286848258869264</v>
      </c>
      <c r="J4" s="3">
        <v>0.38176745291526748</v>
      </c>
      <c r="K4" s="3">
        <v>0.12868798034469958</v>
      </c>
      <c r="L4" s="3">
        <v>0.55389019790050964</v>
      </c>
      <c r="M4" s="3">
        <v>0.39191846934916447</v>
      </c>
      <c r="N4" s="3">
        <v>0.36918899670908711</v>
      </c>
      <c r="P4" s="3">
        <v>0.67231240356287225</v>
      </c>
      <c r="Q4" s="3">
        <v>0.24622233381069267</v>
      </c>
      <c r="R4" s="3">
        <v>0.11408408372174772</v>
      </c>
      <c r="T4" s="7"/>
    </row>
    <row r="5" spans="1:20" x14ac:dyDescent="0.25">
      <c r="A5" t="s">
        <v>719</v>
      </c>
      <c r="B5" s="9">
        <f>B3-B4</f>
        <v>0</v>
      </c>
      <c r="C5" s="9">
        <f t="shared" ref="C5:R5" si="0">C3-C4</f>
        <v>0</v>
      </c>
      <c r="D5" s="9">
        <f t="shared" si="0"/>
        <v>0</v>
      </c>
      <c r="E5" s="9">
        <f t="shared" si="0"/>
        <v>0</v>
      </c>
      <c r="F5" s="9">
        <f t="shared" si="0"/>
        <v>0</v>
      </c>
      <c r="G5" s="9">
        <f t="shared" si="0"/>
        <v>4.0326408398631663E-2</v>
      </c>
      <c r="H5" s="9">
        <f t="shared" si="0"/>
        <v>8.5023144786827098E-2</v>
      </c>
      <c r="I5" s="9">
        <f t="shared" si="0"/>
        <v>6.8635385762589762E-2</v>
      </c>
      <c r="J5" s="9">
        <f t="shared" si="0"/>
        <v>7.3345028601095319E-2</v>
      </c>
      <c r="K5" s="9">
        <f t="shared" si="0"/>
        <v>2.3375450962657057E-2</v>
      </c>
      <c r="L5" s="9">
        <f t="shared" si="0"/>
        <v>9.6070179380597809E-2</v>
      </c>
      <c r="M5" s="9">
        <f t="shared" si="0"/>
        <v>0.13218430846945389</v>
      </c>
      <c r="N5" s="9">
        <f t="shared" si="0"/>
        <v>4.2649579071110832E-2</v>
      </c>
      <c r="O5" s="9"/>
      <c r="P5" s="9">
        <f t="shared" si="0"/>
        <v>9.7281998870287323E-2</v>
      </c>
      <c r="Q5" s="9">
        <f t="shared" si="0"/>
        <v>6.5437135822678322E-2</v>
      </c>
      <c r="R5" s="9">
        <f t="shared" si="0"/>
        <v>7.2603225124275056E-2</v>
      </c>
    </row>
    <row r="6" spans="1:20" x14ac:dyDescent="0.25">
      <c r="B6" s="9"/>
      <c r="C6" s="9"/>
      <c r="D6" s="9"/>
    </row>
    <row r="7" spans="1:20" x14ac:dyDescent="0.25">
      <c r="A7" t="s">
        <v>739</v>
      </c>
      <c r="B7" t="s">
        <v>35</v>
      </c>
      <c r="P7" s="7">
        <f>INDEX(Summary!$C$14:$C$23,MATCH(B7,Summary!$A$14:$A$23,0))</f>
        <v>-3.9669906526085125E-2</v>
      </c>
      <c r="R7" s="7">
        <f>INDEX(Summary!$B$14:$B$23,MATCH(B7,Summary!$A$14:$A$23,0))</f>
        <v>-1.1908611923592995E-2</v>
      </c>
    </row>
    <row r="8" spans="1:20" x14ac:dyDescent="0.25">
      <c r="F8" s="157" t="s">
        <v>752</v>
      </c>
      <c r="G8" s="157"/>
      <c r="H8" s="157"/>
      <c r="I8" s="157" t="s">
        <v>747</v>
      </c>
      <c r="J8" s="157"/>
      <c r="K8" s="157"/>
      <c r="P8" s="7"/>
      <c r="R8" s="7"/>
    </row>
    <row r="9" spans="1:20" x14ac:dyDescent="0.25">
      <c r="B9" s="165" t="s">
        <v>0</v>
      </c>
      <c r="C9" s="165"/>
      <c r="D9" t="s">
        <v>740</v>
      </c>
      <c r="E9" s="21" t="s">
        <v>741</v>
      </c>
      <c r="F9" s="37">
        <f>Week+Half_Week</f>
        <v>5</v>
      </c>
      <c r="G9" s="37">
        <f>F9+1</f>
        <v>6</v>
      </c>
      <c r="H9" s="37">
        <f>G9+1</f>
        <v>7</v>
      </c>
      <c r="I9" s="38">
        <f>F9</f>
        <v>5</v>
      </c>
      <c r="J9" s="38">
        <f>G9</f>
        <v>6</v>
      </c>
      <c r="K9" s="38">
        <f>H9</f>
        <v>7</v>
      </c>
      <c r="L9" s="33" t="s">
        <v>777</v>
      </c>
      <c r="M9" s="138" t="str">
        <f>HYPERLINK("https://www.fantasypros.com/nfl/rankings/ros-overall.php?loggedin","FP ROS")</f>
        <v>FP ROS</v>
      </c>
      <c r="N9" s="33" t="s">
        <v>2277</v>
      </c>
      <c r="R9" s="21">
        <f>F9</f>
        <v>5</v>
      </c>
      <c r="S9" s="21">
        <f>G9</f>
        <v>6</v>
      </c>
      <c r="T9" s="21">
        <f>H9</f>
        <v>7</v>
      </c>
    </row>
    <row r="10" spans="1:20" x14ac:dyDescent="0.25">
      <c r="A10">
        <f>MATCH($B$7,Rosters!$A$2:$A$155,0)</f>
        <v>47</v>
      </c>
      <c r="B10" s="165" t="str">
        <f>INDEX(Rosters!$B$2:$B$155,$A10)</f>
        <v>Matt Ryan</v>
      </c>
      <c r="C10" s="165"/>
      <c r="D10" s="19"/>
      <c r="E10" s="21" t="b">
        <v>1</v>
      </c>
      <c r="F10" s="2">
        <f>CHOOSE($Q10,INDEX('F Proj'!$D$1:$D$7669,R10),INDEX('D Proj'!$T$1:$T$513,R10),INDEX('K Proj'!$L$1:$L$508,R10))</f>
        <v>21.48</v>
      </c>
      <c r="G10" s="2">
        <f>CHOOSE($Q10,INDEX('F Proj'!$D$1:$D$7669,S10),INDEX('D Proj'!$T$1:$T$513,S10),INDEX('K Proj'!$L$1:$L$508,S10))</f>
        <v>24.06</v>
      </c>
      <c r="H10" s="2">
        <f>CHOOSE($Q10,INDEX('F Proj'!$D$1:$D$7669,T10),INDEX('D Proj'!$T$1:$T$513,T10),INDEX('K Proj'!$L$1:$L$508,T10))</f>
        <v>21.68</v>
      </c>
      <c r="I10" s="24">
        <f>CHOOSE($Q10,INDEX('F Proj'!$O$1:$O$7669,R10),INDEX('D Proj'!$W$1:$W$513,R10),INDEX('K Proj'!$S$1:$S$508,R10))</f>
        <v>6</v>
      </c>
      <c r="J10" s="24">
        <f>CHOOSE($Q10,INDEX('F Proj'!$O$1:$O$7669,S10),INDEX('D Proj'!$W$1:$W$513,S10),INDEX('K Proj'!$S$1:$S$508,S10))</f>
        <v>1</v>
      </c>
      <c r="K10" s="24">
        <f>CHOOSE($Q10,INDEX('F Proj'!$O$1:$O$7669,T10),INDEX('D Proj'!$W$1:$W$513,T10),INDEX('K Proj'!$S$1:$S$508,T10))</f>
        <v>3</v>
      </c>
      <c r="L10" t="str">
        <f>INDEX('ROS Proj'!$AA$2:$AA$561,MATCH($B10,'ROS Proj'!$A$2:$A$561,0))&amp;"-"&amp;INDEX('ROS Proj'!$AH$2:$AH$561,MATCH($B10,'ROS Proj'!$A$2:$A$561,0))</f>
        <v>QB3-83</v>
      </c>
      <c r="M10" t="str">
        <f>INDEX('top 300 &amp; Draft'!$B$2:$B$301,MATCH(B10,'top 300 &amp; Draft'!$A$2:$A$301,0))&amp;"-"&amp;MATCH(B10,'top 300 &amp; Draft'!$A$2:$A$301,0)</f>
        <v>QB9-36</v>
      </c>
      <c r="N10" t="str">
        <f>IFERROR(INDEX('top 300 &amp; Draft'!$T$2:$T$151,MATCH(B10,'top 300 &amp; Draft'!$P$2:$P$151,0)),"UND")</f>
        <v>UND</v>
      </c>
      <c r="P10" s="21" t="str">
        <f>IF(ISERROR(MATCH($B10,'F Proj'!$B$1:$B$7669,0)),IF(ISERROR(MATCH($B10,'D Proj'!$B$1:$B$513,0)),IF(ISERROR(MATCH($B10,'K Proj'!$B$1:$B$508,0)),"?","K"),"D"),"FLEX")</f>
        <v>FLEX</v>
      </c>
      <c r="Q10" s="21">
        <f>MATCH(P10,Pos,0)</f>
        <v>1</v>
      </c>
      <c r="R10" s="21">
        <f>CHOOSE($Q10,MATCH($B10&amp;R$9,'F Proj'!$P$1:$P$7669,0),MATCH($B10&amp;R$9,'D Proj'!$X$1:$X$513,0),MATCH($B10&amp;R$9,'K Proj'!$T$1:$T$508,0))</f>
        <v>64</v>
      </c>
      <c r="S10" s="21">
        <f>CHOOSE($Q10,MATCH($B10&amp;S$9,'F Proj'!$P$1:$P$7669,0),MATCH($B10&amp;S$9,'D Proj'!$X$1:$X$513,0),MATCH($B10&amp;S$9,'K Proj'!$T$1:$T$508,0))</f>
        <v>10</v>
      </c>
      <c r="T10" s="21">
        <f>CHOOSE($Q10,MATCH($B10&amp;T$9,'F Proj'!$P$1:$P$7669,0),MATCH($B10&amp;T$9,'D Proj'!$X$1:$X$513,0),MATCH($B10&amp;T$9,'K Proj'!$T$1:$T$508,0))</f>
        <v>55</v>
      </c>
    </row>
    <row r="11" spans="1:20" x14ac:dyDescent="0.25">
      <c r="A11">
        <f>IF(INDEX(Rosters!$A$2:$A$155,A10+1)=$B$7,A10+1,"")</f>
        <v>48</v>
      </c>
      <c r="B11" s="165" t="str">
        <f>INDEX(Rosters!$B$2:$B$155,$A11)</f>
        <v>Christian McCaffrey</v>
      </c>
      <c r="C11" s="165"/>
      <c r="D11" s="19"/>
      <c r="E11" s="21" t="b">
        <v>0</v>
      </c>
      <c r="F11" s="2">
        <f>CHOOSE($Q11,INDEX('F Proj'!$D$1:$D$7669,R11),INDEX('D Proj'!$T$1:$T$513,R11),INDEX('K Proj'!$L$1:$L$508,R11))</f>
        <v>15.54</v>
      </c>
      <c r="G11" s="2">
        <f>CHOOSE($Q11,INDEX('F Proj'!$D$1:$D$7669,S11),INDEX('D Proj'!$T$1:$T$513,S11),INDEX('K Proj'!$L$1:$L$508,S11))</f>
        <v>12.93</v>
      </c>
      <c r="H11" s="2">
        <f>CHOOSE($Q11,INDEX('F Proj'!$D$1:$D$7669,T11),INDEX('D Proj'!$T$1:$T$513,T11),INDEX('K Proj'!$L$1:$L$508,T11))</f>
        <v>12.58</v>
      </c>
      <c r="I11" s="24">
        <f>CHOOSE($Q11,INDEX('F Proj'!$O$1:$O$7669,R11),INDEX('D Proj'!$W$1:$W$513,R11),INDEX('K Proj'!$S$1:$S$508,R11))</f>
        <v>5</v>
      </c>
      <c r="J11" s="24">
        <f>CHOOSE($Q11,INDEX('F Proj'!$O$1:$O$7669,S11),INDEX('D Proj'!$W$1:$W$513,S11),INDEX('K Proj'!$S$1:$S$508,S11))</f>
        <v>9</v>
      </c>
      <c r="K11" s="24">
        <f>CHOOSE($Q11,INDEX('F Proj'!$O$1:$O$7669,T11),INDEX('D Proj'!$W$1:$W$513,T11),INDEX('K Proj'!$S$1:$S$508,T11))</f>
        <v>8</v>
      </c>
      <c r="L11" t="str">
        <f>INDEX('ROS Proj'!$AA$2:$AA$561,MATCH($B11,'ROS Proj'!$A$2:$A$561,0))&amp;"-"&amp;INDEX('ROS Proj'!$AH$2:$AH$561,MATCH($B11,'ROS Proj'!$A$2:$A$561,0))</f>
        <v>RB10-13</v>
      </c>
      <c r="M11" t="str">
        <f>INDEX('top 300 &amp; Draft'!$B$2:$B$301,MATCH(B11,'top 300 &amp; Draft'!$A$2:$A$301,0))&amp;"-"&amp;MATCH(B11,'top 300 &amp; Draft'!$A$2:$A$301,0)</f>
        <v>RB6-9</v>
      </c>
      <c r="N11" t="str">
        <f>IFERROR(INDEX('top 300 &amp; Draft'!$T$2:$T$151,MATCH(B11,'top 300 &amp; Draft'!$P$2:$P$151,0)),"UND")</f>
        <v>RB13-22</v>
      </c>
      <c r="P11" s="21" t="str">
        <f>IF(ISERROR(MATCH($B11,'F Proj'!$B$1:$B$7669,0)),IF(ISERROR(MATCH($B11,'D Proj'!$B$1:$B$513,0)),IF(ISERROR(MATCH($B11,'K Proj'!$B$1:$B$508,0)),"?","K"),"D"),"FLEX")</f>
        <v>FLEX</v>
      </c>
      <c r="Q11" s="21">
        <f t="shared" ref="Q11:Q25" si="1">MATCH(P11,Pos,0)</f>
        <v>1</v>
      </c>
      <c r="R11" s="21">
        <f>CHOOSE($Q11,MATCH($B11&amp;R$9,'F Proj'!$P$1:$P$7669,0),MATCH($B11&amp;R$9,'D Proj'!$X$1:$X$513,0),MATCH($B11&amp;R$9,'K Proj'!$T$1:$T$508,0))</f>
        <v>443</v>
      </c>
      <c r="S11" s="21">
        <f>CHOOSE($Q11,MATCH($B11&amp;S$9,'F Proj'!$P$1:$P$7669,0),MATCH($B11&amp;S$9,'D Proj'!$X$1:$X$513,0),MATCH($B11&amp;S$9,'K Proj'!$T$1:$T$508,0))</f>
        <v>700</v>
      </c>
      <c r="T11" s="21">
        <f>CHOOSE($Q11,MATCH($B11&amp;T$9,'F Proj'!$P$1:$P$7669,0),MATCH($B11&amp;T$9,'D Proj'!$X$1:$X$513,0),MATCH($B11&amp;T$9,'K Proj'!$T$1:$T$508,0))</f>
        <v>747</v>
      </c>
    </row>
    <row r="12" spans="1:20" x14ac:dyDescent="0.25">
      <c r="A12">
        <f>IF(INDEX(Rosters!$A$2:$A$155,A11+1)=$B$7,A11+1,"")</f>
        <v>49</v>
      </c>
      <c r="B12" s="165" t="str">
        <f>INDEX(Rosters!$B$2:$B$155,$A12)</f>
        <v>Sony Michel</v>
      </c>
      <c r="C12" s="165"/>
      <c r="D12" s="19"/>
      <c r="E12" s="21" t="b">
        <v>0</v>
      </c>
      <c r="F12" s="2">
        <f>CHOOSE($Q12,INDEX('F Proj'!$D$1:$D$7669,R12),INDEX('D Proj'!$T$1:$T$513,R12),INDEX('K Proj'!$L$1:$L$508,R12))</f>
        <v>12.22</v>
      </c>
      <c r="G12" s="2">
        <f>CHOOSE($Q12,INDEX('F Proj'!$D$1:$D$7669,S12),INDEX('D Proj'!$T$1:$T$513,S12),INDEX('K Proj'!$L$1:$L$508,S12))</f>
        <v>12.95</v>
      </c>
      <c r="H12" s="2">
        <f>CHOOSE($Q12,INDEX('F Proj'!$D$1:$D$7669,T12),INDEX('D Proj'!$T$1:$T$513,T12),INDEX('K Proj'!$L$1:$L$508,T12))</f>
        <v>10.28</v>
      </c>
      <c r="I12" s="24">
        <f>CHOOSE($Q12,INDEX('F Proj'!$O$1:$O$7669,R12),INDEX('D Proj'!$W$1:$W$513,R12),INDEX('K Proj'!$S$1:$S$508,R12))</f>
        <v>10</v>
      </c>
      <c r="J12" s="24">
        <f>CHOOSE($Q12,INDEX('F Proj'!$O$1:$O$7669,S12),INDEX('D Proj'!$W$1:$W$513,S12),INDEX('K Proj'!$S$1:$S$508,S12))</f>
        <v>8</v>
      </c>
      <c r="K12" s="24">
        <f>CHOOSE($Q12,INDEX('F Proj'!$O$1:$O$7669,T12),INDEX('D Proj'!$W$1:$W$513,T12),INDEX('K Proj'!$S$1:$S$508,T12))</f>
        <v>17</v>
      </c>
      <c r="L12" t="str">
        <f>INDEX('ROS Proj'!$AA$2:$AA$561,MATCH($B12,'ROS Proj'!$A$2:$A$561,0))&amp;"-"&amp;INDEX('ROS Proj'!$AH$2:$AH$561,MATCH($B12,'ROS Proj'!$A$2:$A$561,0))</f>
        <v>RB14-27</v>
      </c>
      <c r="M12" t="str">
        <f>INDEX('top 300 &amp; Draft'!$B$2:$B$301,MATCH(B12,'top 300 &amp; Draft'!$A$2:$A$301,0))&amp;"-"&amp;MATCH(B12,'top 300 &amp; Draft'!$A$2:$A$301,0)</f>
        <v>RB17-52</v>
      </c>
      <c r="N12" t="str">
        <f>IFERROR(INDEX('top 300 &amp; Draft'!$T$2:$T$151,MATCH(B12,'top 300 &amp; Draft'!$P$2:$P$151,0)),"UND")</f>
        <v>UND</v>
      </c>
      <c r="P12" s="21" t="str">
        <f>IF(ISERROR(MATCH($B12,'F Proj'!$B$1:$B$7669,0)),IF(ISERROR(MATCH($B12,'D Proj'!$B$1:$B$513,0)),IF(ISERROR(MATCH($B12,'K Proj'!$B$1:$B$508,0)),"?","K"),"D"),"FLEX")</f>
        <v>FLEX</v>
      </c>
      <c r="Q12" s="21">
        <f t="shared" si="1"/>
        <v>1</v>
      </c>
      <c r="R12" s="21">
        <f>CHOOSE($Q12,MATCH($B12&amp;R$9,'F Proj'!$P$1:$P$7669,0),MATCH($B12&amp;R$9,'D Proj'!$X$1:$X$513,0),MATCH($B12&amp;R$9,'K Proj'!$T$1:$T$508,0))</f>
        <v>793</v>
      </c>
      <c r="S12" s="21">
        <f>CHOOSE($Q12,MATCH($B12&amp;S$9,'F Proj'!$P$1:$P$7669,0),MATCH($B12&amp;S$9,'D Proj'!$X$1:$X$513,0),MATCH($B12&amp;S$9,'K Proj'!$T$1:$T$508,0))</f>
        <v>696</v>
      </c>
      <c r="T12" s="21">
        <f>CHOOSE($Q12,MATCH($B12&amp;T$9,'F Proj'!$P$1:$P$7669,0),MATCH($B12&amp;T$9,'D Proj'!$X$1:$X$513,0),MATCH($B12&amp;T$9,'K Proj'!$T$1:$T$508,0))</f>
        <v>1026</v>
      </c>
    </row>
    <row r="13" spans="1:20" x14ac:dyDescent="0.25">
      <c r="A13">
        <f>IF(INDEX(Rosters!$A$2:$A$155,A12+1)=$B$7,A12+1,"")</f>
        <v>50</v>
      </c>
      <c r="B13" s="165" t="str">
        <f>INDEX(Rosters!$B$2:$B$155,$A13)</f>
        <v>Demaryius Thomas</v>
      </c>
      <c r="C13" s="165"/>
      <c r="D13" s="19"/>
      <c r="E13" s="21" t="b">
        <v>0</v>
      </c>
      <c r="F13" s="2">
        <f>CHOOSE($Q13,INDEX('F Proj'!$D$1:$D$7669,R13),INDEX('D Proj'!$T$1:$T$513,R13),INDEX('K Proj'!$L$1:$L$508,R13))</f>
        <v>7.92</v>
      </c>
      <c r="G13" s="2">
        <f>CHOOSE($Q13,INDEX('F Proj'!$D$1:$D$7669,S13),INDEX('D Proj'!$T$1:$T$513,S13),INDEX('K Proj'!$L$1:$L$508,S13))</f>
        <v>8.99</v>
      </c>
      <c r="H13" s="2">
        <f>CHOOSE($Q13,INDEX('F Proj'!$D$1:$D$7669,T13),INDEX('D Proj'!$T$1:$T$513,T13),INDEX('K Proj'!$L$1:$L$508,T13))</f>
        <v>7.93</v>
      </c>
      <c r="I13" s="24">
        <f>CHOOSE($Q13,INDEX('F Proj'!$O$1:$O$7669,R13),INDEX('D Proj'!$W$1:$W$513,R13),INDEX('K Proj'!$S$1:$S$508,R13))</f>
        <v>31</v>
      </c>
      <c r="J13" s="24">
        <f>CHOOSE($Q13,INDEX('F Proj'!$O$1:$O$7669,S13),INDEX('D Proj'!$W$1:$W$513,S13),INDEX('K Proj'!$S$1:$S$508,S13))</f>
        <v>21</v>
      </c>
      <c r="K13" s="24">
        <f>CHOOSE($Q13,INDEX('F Proj'!$O$1:$O$7669,T13),INDEX('D Proj'!$W$1:$W$513,T13),INDEX('K Proj'!$S$1:$S$508,T13))</f>
        <v>30</v>
      </c>
      <c r="L13" t="str">
        <f>INDEX('ROS Proj'!$AA$2:$AA$561,MATCH($B13,'ROS Proj'!$A$2:$A$561,0))&amp;"-"&amp;INDEX('ROS Proj'!$AH$2:$AH$561,MATCH($B13,'ROS Proj'!$A$2:$A$561,0))</f>
        <v>WR25-52</v>
      </c>
      <c r="M13" t="str">
        <f>INDEX('top 300 &amp; Draft'!$B$2:$B$301,MATCH(B13,'top 300 &amp; Draft'!$A$2:$A$301,0))&amp;"-"&amp;MATCH(B13,'top 300 &amp; Draft'!$A$2:$A$301,0)</f>
        <v>WR28-122</v>
      </c>
      <c r="N13" t="str">
        <f>IFERROR(INDEX('top 300 &amp; Draft'!$T$2:$T$151,MATCH(B13,'top 300 &amp; Draft'!$P$2:$P$151,0)),"UND")</f>
        <v>WR18-42</v>
      </c>
      <c r="P13" s="21" t="str">
        <f>IF(ISERROR(MATCH($B13,'F Proj'!$B$1:$B$7669,0)),IF(ISERROR(MATCH($B13,'D Proj'!$B$1:$B$513,0)),IF(ISERROR(MATCH($B13,'K Proj'!$B$1:$B$508,0)),"?","K"),"D"),"FLEX")</f>
        <v>FLEX</v>
      </c>
      <c r="Q13" s="21">
        <f t="shared" si="1"/>
        <v>1</v>
      </c>
      <c r="R13" s="21">
        <f>CHOOSE($Q13,MATCH($B13&amp;R$9,'F Proj'!$P$1:$P$7669,0),MATCH($B13&amp;R$9,'D Proj'!$X$1:$X$513,0),MATCH($B13&amp;R$9,'K Proj'!$T$1:$T$508,0))</f>
        <v>1564</v>
      </c>
      <c r="S13" s="21">
        <f>CHOOSE($Q13,MATCH($B13&amp;S$9,'F Proj'!$P$1:$P$7669,0),MATCH($B13&amp;S$9,'D Proj'!$X$1:$X$513,0),MATCH($B13&amp;S$9,'K Proj'!$T$1:$T$508,0))</f>
        <v>1271</v>
      </c>
      <c r="T13" s="21">
        <f>CHOOSE($Q13,MATCH($B13&amp;T$9,'F Proj'!$P$1:$P$7669,0),MATCH($B13&amp;T$9,'D Proj'!$X$1:$X$513,0),MATCH($B13&amp;T$9,'K Proj'!$T$1:$T$508,0))</f>
        <v>1559</v>
      </c>
    </row>
    <row r="14" spans="1:20" x14ac:dyDescent="0.25">
      <c r="A14">
        <f>IF(INDEX(Rosters!$A$2:$A$155,A13+1)=$B$7,A13+1,"")</f>
        <v>51</v>
      </c>
      <c r="B14" s="165" t="str">
        <f>INDEX(Rosters!$B$2:$B$155,$A14)</f>
        <v>A.J. Green</v>
      </c>
      <c r="C14" s="165"/>
      <c r="D14" s="19"/>
      <c r="E14" s="21" t="b">
        <v>0</v>
      </c>
      <c r="F14" s="2">
        <f>CHOOSE($Q14,INDEX('F Proj'!$D$1:$D$7669,R14),INDEX('D Proj'!$T$1:$T$513,R14),INDEX('K Proj'!$L$1:$L$508,R14))</f>
        <v>11.17</v>
      </c>
      <c r="G14" s="2">
        <f>CHOOSE($Q14,INDEX('F Proj'!$D$1:$D$7669,S14),INDEX('D Proj'!$T$1:$T$513,S14),INDEX('K Proj'!$L$1:$L$508,S14))</f>
        <v>9.6</v>
      </c>
      <c r="H14" s="2">
        <f>CHOOSE($Q14,INDEX('F Proj'!$D$1:$D$7669,T14),INDEX('D Proj'!$T$1:$T$513,T14),INDEX('K Proj'!$L$1:$L$508,T14))</f>
        <v>11.13</v>
      </c>
      <c r="I14" s="24">
        <f>CHOOSE($Q14,INDEX('F Proj'!$O$1:$O$7669,R14),INDEX('D Proj'!$W$1:$W$513,R14),INDEX('K Proj'!$S$1:$S$508,R14))</f>
        <v>12</v>
      </c>
      <c r="J14" s="24">
        <f>CHOOSE($Q14,INDEX('F Proj'!$O$1:$O$7669,S14),INDEX('D Proj'!$W$1:$W$513,S14),INDEX('K Proj'!$S$1:$S$508,S14))</f>
        <v>19</v>
      </c>
      <c r="K14" s="24">
        <f>CHOOSE($Q14,INDEX('F Proj'!$O$1:$O$7669,T14),INDEX('D Proj'!$W$1:$W$513,T14),INDEX('K Proj'!$S$1:$S$508,T14))</f>
        <v>11</v>
      </c>
      <c r="L14" t="str">
        <f>INDEX('ROS Proj'!$AA$2:$AA$561,MATCH($B14,'ROS Proj'!$A$2:$A$561,0))&amp;"-"&amp;INDEX('ROS Proj'!$AH$2:$AH$561,MATCH($B14,'ROS Proj'!$A$2:$A$561,0))</f>
        <v>WR14-32</v>
      </c>
      <c r="M14" t="str">
        <f>INDEX('top 300 &amp; Draft'!$B$2:$B$301,MATCH(B14,'top 300 &amp; Draft'!$A$2:$A$301,0))&amp;"-"&amp;MATCH(B14,'top 300 &amp; Draft'!$A$2:$A$301,0)</f>
        <v>WR9-26</v>
      </c>
      <c r="N14" t="str">
        <f>IFERROR(INDEX('top 300 &amp; Draft'!$T$2:$T$151,MATCH(B14,'top 300 &amp; Draft'!$P$2:$P$151,0)),"UND")</f>
        <v>WR7-19</v>
      </c>
      <c r="P14" s="21" t="str">
        <f>IF(ISERROR(MATCH($B14,'F Proj'!$B$1:$B$7669,0)),IF(ISERROR(MATCH($B14,'D Proj'!$B$1:$B$513,0)),IF(ISERROR(MATCH($B14,'K Proj'!$B$1:$B$508,0)),"?","K"),"D"),"FLEX")</f>
        <v>FLEX</v>
      </c>
      <c r="Q14" s="21">
        <f t="shared" si="1"/>
        <v>1</v>
      </c>
      <c r="R14" s="21">
        <f>CHOOSE($Q14,MATCH($B14&amp;R$9,'F Proj'!$P$1:$P$7669,0),MATCH($B14&amp;R$9,'D Proj'!$X$1:$X$513,0),MATCH($B14&amp;R$9,'K Proj'!$T$1:$T$508,0))</f>
        <v>906</v>
      </c>
      <c r="S14" s="21">
        <f>CHOOSE($Q14,MATCH($B14&amp;S$9,'F Proj'!$P$1:$P$7669,0),MATCH($B14&amp;S$9,'D Proj'!$X$1:$X$513,0),MATCH($B14&amp;S$9,'K Proj'!$T$1:$T$508,0))</f>
        <v>1163</v>
      </c>
      <c r="T14" s="21">
        <f>CHOOSE($Q14,MATCH($B14&amp;T$9,'F Proj'!$P$1:$P$7669,0),MATCH($B14&amp;T$9,'D Proj'!$X$1:$X$513,0),MATCH($B14&amp;T$9,'K Proj'!$T$1:$T$508,0))</f>
        <v>912</v>
      </c>
    </row>
    <row r="15" spans="1:20" x14ac:dyDescent="0.25">
      <c r="A15">
        <f>IF(INDEX(Rosters!$A$2:$A$155,A14+1)=$B$7,A14+1,"")</f>
        <v>52</v>
      </c>
      <c r="B15" s="165" t="str">
        <f>INDEX(Rosters!$B$2:$B$155,$A15)</f>
        <v>Golden Tate</v>
      </c>
      <c r="C15" s="165"/>
      <c r="D15" s="19"/>
      <c r="E15" s="21" t="b">
        <v>0</v>
      </c>
      <c r="F15" s="2">
        <f>CHOOSE($Q15,INDEX('F Proj'!$D$1:$D$7669,R15),INDEX('D Proj'!$T$1:$T$513,R15),INDEX('K Proj'!$L$1:$L$508,R15))</f>
        <v>11.58</v>
      </c>
      <c r="G15" s="2" t="e">
        <f>CHOOSE($Q15,INDEX('F Proj'!$D$1:$D$7669,S15),INDEX('D Proj'!$T$1:$T$513,S15),INDEX('K Proj'!$L$1:$L$508,S15))</f>
        <v>#N/A</v>
      </c>
      <c r="H15" s="2">
        <f>CHOOSE($Q15,INDEX('F Proj'!$D$1:$D$7669,T15),INDEX('D Proj'!$T$1:$T$513,T15),INDEX('K Proj'!$L$1:$L$508,T15))</f>
        <v>12.99</v>
      </c>
      <c r="I15" s="24">
        <f>CHOOSE($Q15,INDEX('F Proj'!$O$1:$O$7669,R15),INDEX('D Proj'!$W$1:$W$513,R15),INDEX('K Proj'!$S$1:$S$508,R15))</f>
        <v>10</v>
      </c>
      <c r="J15" s="24" t="e">
        <f>CHOOSE($Q15,INDEX('F Proj'!$O$1:$O$7669,S15),INDEX('D Proj'!$W$1:$W$513,S15),INDEX('K Proj'!$S$1:$S$508,S15))</f>
        <v>#N/A</v>
      </c>
      <c r="K15" s="24">
        <f>CHOOSE($Q15,INDEX('F Proj'!$O$1:$O$7669,T15),INDEX('D Proj'!$W$1:$W$513,T15),INDEX('K Proj'!$S$1:$S$508,T15))</f>
        <v>5</v>
      </c>
      <c r="L15" t="str">
        <f>INDEX('ROS Proj'!$AA$2:$AA$561,MATCH($B15,'ROS Proj'!$A$2:$A$561,0))&amp;"-"&amp;INDEX('ROS Proj'!$AH$2:$AH$561,MATCH($B15,'ROS Proj'!$A$2:$A$561,0))</f>
        <v>WR17-37</v>
      </c>
      <c r="M15" t="str">
        <f>INDEX('top 300 &amp; Draft'!$B$2:$B$301,MATCH(B15,'top 300 &amp; Draft'!$A$2:$A$301,0))&amp;"-"&amp;MATCH(B15,'top 300 &amp; Draft'!$A$2:$A$301,0)</f>
        <v>WR25-107</v>
      </c>
      <c r="N15" t="str">
        <f>IFERROR(INDEX('top 300 &amp; Draft'!$T$2:$T$151,MATCH(B15,'top 300 &amp; Draft'!$P$2:$P$151,0)),"UND")</f>
        <v>WR16-39</v>
      </c>
      <c r="P15" s="21" t="str">
        <f>IF(ISERROR(MATCH($B15,'F Proj'!$B$1:$B$7669,0)),IF(ISERROR(MATCH($B15,'D Proj'!$B$1:$B$513,0)),IF(ISERROR(MATCH($B15,'K Proj'!$B$1:$B$508,0)),"?","K"),"D"),"FLEX")</f>
        <v>FLEX</v>
      </c>
      <c r="Q15" s="21">
        <f t="shared" si="1"/>
        <v>1</v>
      </c>
      <c r="R15" s="21">
        <f>CHOOSE($Q15,MATCH($B15&amp;R$9,'F Proj'!$P$1:$P$7669,0),MATCH($B15&amp;R$9,'D Proj'!$X$1:$X$513,0),MATCH($B15&amp;R$9,'K Proj'!$T$1:$T$508,0))</f>
        <v>865</v>
      </c>
      <c r="S15" s="21" t="e">
        <f>CHOOSE($Q15,MATCH($B15&amp;S$9,'F Proj'!$P$1:$P$7669,0),MATCH($B15&amp;S$9,'D Proj'!$X$1:$X$513,0),MATCH($B15&amp;S$9,'K Proj'!$T$1:$T$508,0))</f>
        <v>#N/A</v>
      </c>
      <c r="T15" s="21">
        <f>CHOOSE($Q15,MATCH($B15&amp;T$9,'F Proj'!$P$1:$P$7669,0),MATCH($B15&amp;T$9,'D Proj'!$X$1:$X$513,0),MATCH($B15&amp;T$9,'K Proj'!$T$1:$T$508,0))</f>
        <v>688</v>
      </c>
    </row>
    <row r="16" spans="1:20" x14ac:dyDescent="0.25">
      <c r="A16">
        <f>IF(INDEX(Rosters!$A$2:$A$155,A15+1)=$B$7,A15+1,"")</f>
        <v>53</v>
      </c>
      <c r="B16" s="165" t="str">
        <f>INDEX(Rosters!$B$2:$B$155,$A16)</f>
        <v>Alshon Jeffery</v>
      </c>
      <c r="C16" s="165"/>
      <c r="D16" s="19"/>
      <c r="E16" s="21" t="b">
        <v>0</v>
      </c>
      <c r="F16" s="2">
        <f>CHOOSE($Q16,INDEX('F Proj'!$D$1:$D$7669,R16),INDEX('D Proj'!$T$1:$T$513,R16),INDEX('K Proj'!$L$1:$L$508,R16))</f>
        <v>9.19</v>
      </c>
      <c r="G16" s="2">
        <f>CHOOSE($Q16,INDEX('F Proj'!$D$1:$D$7669,S16),INDEX('D Proj'!$T$1:$T$513,S16),INDEX('K Proj'!$L$1:$L$508,S16))</f>
        <v>8.16</v>
      </c>
      <c r="H16" s="2">
        <f>CHOOSE($Q16,INDEX('F Proj'!$D$1:$D$7669,T16),INDEX('D Proj'!$T$1:$T$513,T16),INDEX('K Proj'!$L$1:$L$508,T16))</f>
        <v>8.32</v>
      </c>
      <c r="I16" s="24">
        <f>CHOOSE($Q16,INDEX('F Proj'!$O$1:$O$7669,R16),INDEX('D Proj'!$W$1:$W$513,R16),INDEX('K Proj'!$S$1:$S$508,R16))</f>
        <v>19</v>
      </c>
      <c r="J16" s="24">
        <f>CHOOSE($Q16,INDEX('F Proj'!$O$1:$O$7669,S16),INDEX('D Proj'!$W$1:$W$513,S16),INDEX('K Proj'!$S$1:$S$508,S16))</f>
        <v>27</v>
      </c>
      <c r="K16" s="24">
        <f>CHOOSE($Q16,INDEX('F Proj'!$O$1:$O$7669,T16),INDEX('D Proj'!$W$1:$W$513,T16),INDEX('K Proj'!$S$1:$S$508,T16))</f>
        <v>27</v>
      </c>
      <c r="L16" t="str">
        <f>INDEX('ROS Proj'!$AA$2:$AA$561,MATCH($B16,'ROS Proj'!$A$2:$A$561,0))&amp;"-"&amp;INDEX('ROS Proj'!$AH$2:$AH$561,MATCH($B16,'ROS Proj'!$A$2:$A$561,0))</f>
        <v>WR27-54</v>
      </c>
      <c r="M16" t="str">
        <f>INDEX('top 300 &amp; Draft'!$B$2:$B$301,MATCH(B16,'top 300 &amp; Draft'!$A$2:$A$301,0))&amp;"-"&amp;MATCH(B16,'top 300 &amp; Draft'!$A$2:$A$301,0)</f>
        <v>WR19-59</v>
      </c>
      <c r="N16" t="str">
        <f>IFERROR(INDEX('top 300 &amp; Draft'!$T$2:$T$151,MATCH(B16,'top 300 &amp; Draft'!$P$2:$P$151,0)),"UND")</f>
        <v>WR28-62</v>
      </c>
      <c r="P16" s="21" t="str">
        <f>IF(ISERROR(MATCH($B16,'F Proj'!$B$1:$B$7669,0)),IF(ISERROR(MATCH($B16,'D Proj'!$B$1:$B$513,0)),IF(ISERROR(MATCH($B16,'K Proj'!$B$1:$B$508,0)),"?","K"),"D"),"FLEX")</f>
        <v>FLEX</v>
      </c>
      <c r="Q16" s="21">
        <f t="shared" si="1"/>
        <v>1</v>
      </c>
      <c r="R16" s="21">
        <f>CHOOSE($Q16,MATCH($B16&amp;R$9,'F Proj'!$P$1:$P$7669,0),MATCH($B16&amp;R$9,'D Proj'!$X$1:$X$513,0),MATCH($B16&amp;R$9,'K Proj'!$T$1:$T$508,0))</f>
        <v>1236</v>
      </c>
      <c r="S16" s="21">
        <f>CHOOSE($Q16,MATCH($B16&amp;S$9,'F Proj'!$P$1:$P$7669,0),MATCH($B16&amp;S$9,'D Proj'!$X$1:$X$513,0),MATCH($B16&amp;S$9,'K Proj'!$T$1:$T$508,0))</f>
        <v>1482</v>
      </c>
      <c r="T16" s="21">
        <f>CHOOSE($Q16,MATCH($B16&amp;T$9,'F Proj'!$P$1:$P$7669,0),MATCH($B16&amp;T$9,'D Proj'!$X$1:$X$513,0),MATCH($B16&amp;T$9,'K Proj'!$T$1:$T$508,0))</f>
        <v>1435</v>
      </c>
    </row>
    <row r="17" spans="1:20" x14ac:dyDescent="0.25">
      <c r="A17">
        <f>IF(INDEX(Rosters!$A$2:$A$155,A16+1)=$B$7,A16+1,"")</f>
        <v>54</v>
      </c>
      <c r="B17" s="165" t="str">
        <f>INDEX(Rosters!$B$2:$B$155,$A17)</f>
        <v>Eric Ebron</v>
      </c>
      <c r="C17" s="165"/>
      <c r="D17" s="19"/>
      <c r="E17" s="21" t="b">
        <v>0</v>
      </c>
      <c r="F17" s="2">
        <f>CHOOSE($Q17,INDEX('F Proj'!$D$1:$D$7669,R17),INDEX('D Proj'!$T$1:$T$513,R17),INDEX('K Proj'!$L$1:$L$508,R17))</f>
        <v>6.17</v>
      </c>
      <c r="G17" s="2">
        <f>CHOOSE($Q17,INDEX('F Proj'!$D$1:$D$7669,S17),INDEX('D Proj'!$T$1:$T$513,S17),INDEX('K Proj'!$L$1:$L$508,S17))</f>
        <v>5.62</v>
      </c>
      <c r="H17" s="2">
        <f>CHOOSE($Q17,INDEX('F Proj'!$D$1:$D$7669,T17),INDEX('D Proj'!$T$1:$T$513,T17),INDEX('K Proj'!$L$1:$L$508,T17))</f>
        <v>5.37</v>
      </c>
      <c r="I17" s="24">
        <f>CHOOSE($Q17,INDEX('F Proj'!$O$1:$O$7669,R17),INDEX('D Proj'!$W$1:$W$513,R17),INDEX('K Proj'!$S$1:$S$508,R17))</f>
        <v>8</v>
      </c>
      <c r="J17" s="24">
        <f>CHOOSE($Q17,INDEX('F Proj'!$O$1:$O$7669,S17),INDEX('D Proj'!$W$1:$W$513,S17),INDEX('K Proj'!$S$1:$S$508,S17))</f>
        <v>12</v>
      </c>
      <c r="K17" s="24">
        <f>CHOOSE($Q17,INDEX('F Proj'!$O$1:$O$7669,T17),INDEX('D Proj'!$W$1:$W$513,T17),INDEX('K Proj'!$S$1:$S$508,T17))</f>
        <v>9</v>
      </c>
      <c r="L17" t="str">
        <f>INDEX('ROS Proj'!$AA$2:$AA$561,MATCH($B17,'ROS Proj'!$A$2:$A$561,0))&amp;"-"&amp;INDEX('ROS Proj'!$AH$2:$AH$561,MATCH($B17,'ROS Proj'!$A$2:$A$561,0))</f>
        <v>TE10-137</v>
      </c>
      <c r="M17" t="str">
        <f>INDEX('top 300 &amp; Draft'!$B$2:$B$301,MATCH(B17,'top 300 &amp; Draft'!$A$2:$A$301,0))&amp;"-"&amp;MATCH(B17,'top 300 &amp; Draft'!$A$2:$A$301,0)</f>
        <v>TE14-115</v>
      </c>
      <c r="N17" t="str">
        <f>IFERROR(INDEX('top 300 &amp; Draft'!$T$2:$T$151,MATCH(B17,'top 300 &amp; Draft'!$P$2:$P$151,0)),"UND")</f>
        <v>UND</v>
      </c>
      <c r="P17" s="21" t="str">
        <f>IF(ISERROR(MATCH($B17,'F Proj'!$B$1:$B$7669,0)),IF(ISERROR(MATCH($B17,'D Proj'!$B$1:$B$513,0)),IF(ISERROR(MATCH($B17,'K Proj'!$B$1:$B$508,0)),"?","K"),"D"),"FLEX")</f>
        <v>FLEX</v>
      </c>
      <c r="Q17" s="21">
        <f t="shared" si="1"/>
        <v>1</v>
      </c>
      <c r="R17" s="21">
        <f>CHOOSE($Q17,MATCH($B17&amp;R$9,'F Proj'!$P$1:$P$7669,0),MATCH($B17&amp;R$9,'D Proj'!$X$1:$X$513,0),MATCH($B17&amp;R$9,'K Proj'!$T$1:$T$508,0))</f>
        <v>2116</v>
      </c>
      <c r="S17" s="21">
        <f>CHOOSE($Q17,MATCH($B17&amp;S$9,'F Proj'!$P$1:$P$7669,0),MATCH($B17&amp;S$9,'D Proj'!$X$1:$X$513,0),MATCH($B17&amp;S$9,'K Proj'!$T$1:$T$508,0))</f>
        <v>2334</v>
      </c>
      <c r="T17" s="21">
        <f>CHOOSE($Q17,MATCH($B17&amp;T$9,'F Proj'!$P$1:$P$7669,0),MATCH($B17&amp;T$9,'D Proj'!$X$1:$X$513,0),MATCH($B17&amp;T$9,'K Proj'!$T$1:$T$508,0))</f>
        <v>2445</v>
      </c>
    </row>
    <row r="18" spans="1:20" x14ac:dyDescent="0.25">
      <c r="A18">
        <f>IF(INDEX(Rosters!$A$2:$A$155,A17+1)=$B$7,A17+1,"")</f>
        <v>55</v>
      </c>
      <c r="B18" s="165" t="str">
        <f>INDEX(Rosters!$B$2:$B$155,$A18)</f>
        <v>Jaguars D/ST</v>
      </c>
      <c r="C18" s="165"/>
      <c r="D18" s="19"/>
      <c r="E18" s="21" t="b">
        <v>0</v>
      </c>
      <c r="F18" s="2">
        <f>CHOOSE($Q18,INDEX('F Proj'!$D$1:$D$7669,R18),INDEX('D Proj'!$T$1:$T$513,R18),INDEX('K Proj'!$L$1:$L$508,R18))</f>
        <v>5.5</v>
      </c>
      <c r="G18" s="2">
        <f>CHOOSE($Q18,INDEX('F Proj'!$D$1:$D$7669,S18),INDEX('D Proj'!$T$1:$T$513,S18),INDEX('K Proj'!$L$1:$L$508,S18))</f>
        <v>7.15</v>
      </c>
      <c r="H18" s="2">
        <f>CHOOSE($Q18,INDEX('F Proj'!$D$1:$D$7669,T18),INDEX('D Proj'!$T$1:$T$513,T18),INDEX('K Proj'!$L$1:$L$508,T18))</f>
        <v>7.12</v>
      </c>
      <c r="I18" s="24">
        <f>CHOOSE($Q18,INDEX('F Proj'!$O$1:$O$7669,R18),INDEX('D Proj'!$W$1:$W$513,R18),INDEX('K Proj'!$S$1:$S$508,R18))</f>
        <v>23</v>
      </c>
      <c r="J18" s="24">
        <f>CHOOSE($Q18,INDEX('F Proj'!$O$1:$O$7669,S18),INDEX('D Proj'!$W$1:$W$513,S18),INDEX('K Proj'!$S$1:$S$508,S18))</f>
        <v>12</v>
      </c>
      <c r="K18" s="24">
        <f>CHOOSE($Q18,INDEX('F Proj'!$O$1:$O$7669,T18),INDEX('D Proj'!$W$1:$W$513,T18),INDEX('K Proj'!$S$1:$S$508,T18))</f>
        <v>10</v>
      </c>
      <c r="L18" t="str">
        <f>INDEX('ROS Proj'!$AA$2:$AA$561,MATCH($B18,'ROS Proj'!$A$2:$A$561,0))&amp;"-"&amp;INDEX('ROS Proj'!$AH$2:$AH$561,MATCH($B18,'ROS Proj'!$A$2:$A$561,0))</f>
        <v>D1-66</v>
      </c>
      <c r="M18" t="str">
        <f>INDEX('top 300 &amp; Draft'!$B$2:$B$301,MATCH(B18,'top 300 &amp; Draft'!$A$2:$A$301,0))&amp;"-"&amp;MATCH(B18,'top 300 &amp; Draft'!$A$2:$A$301,0)</f>
        <v>DST1-65</v>
      </c>
      <c r="N18" t="str">
        <f>IFERROR(INDEX('top 300 &amp; Draft'!$T$2:$T$151,MATCH(B18,'top 300 &amp; Draft'!$P$2:$P$151,0)),"UND")</f>
        <v>D1-79</v>
      </c>
      <c r="P18" s="21" t="str">
        <f>IF(ISERROR(MATCH($B18,'F Proj'!$B$1:$B$7669,0)),IF(ISERROR(MATCH($B18,'D Proj'!$B$1:$B$513,0)),IF(ISERROR(MATCH($B18,'K Proj'!$B$1:$B$508,0)),"?","K"),"D"),"FLEX")</f>
        <v>D</v>
      </c>
      <c r="Q18" s="21">
        <f t="shared" si="1"/>
        <v>2</v>
      </c>
      <c r="R18" s="21">
        <f>CHOOSE($Q18,MATCH($B18&amp;R$9,'F Proj'!$P$1:$P$7669,0),MATCH($B18&amp;R$9,'D Proj'!$X$1:$X$513,0),MATCH($B18&amp;R$9,'K Proj'!$T$1:$T$508,0))</f>
        <v>313</v>
      </c>
      <c r="S18" s="21">
        <f>CHOOSE($Q18,MATCH($B18&amp;S$9,'F Proj'!$P$1:$P$7669,0),MATCH($B18&amp;S$9,'D Proj'!$X$1:$X$513,0),MATCH($B18&amp;S$9,'K Proj'!$T$1:$T$508,0))</f>
        <v>150</v>
      </c>
      <c r="T18" s="21">
        <f>CHOOSE($Q18,MATCH($B18&amp;T$9,'F Proj'!$P$1:$P$7669,0),MATCH($B18&amp;T$9,'D Proj'!$X$1:$X$513,0),MATCH($B18&amp;T$9,'K Proj'!$T$1:$T$508,0))</f>
        <v>153</v>
      </c>
    </row>
    <row r="19" spans="1:20" x14ac:dyDescent="0.25">
      <c r="A19">
        <f>IF(INDEX(Rosters!$A$2:$A$155,A18+1)=$B$7,A18+1,"")</f>
        <v>56</v>
      </c>
      <c r="B19" s="165" t="str">
        <f>INDEX(Rosters!$B$2:$B$155,$A19)</f>
        <v>Matt Prater</v>
      </c>
      <c r="C19" s="165"/>
      <c r="D19" s="19"/>
      <c r="E19" s="21" t="b">
        <v>0</v>
      </c>
      <c r="F19" s="2">
        <f>CHOOSE($Q19,INDEX('F Proj'!$D$1:$D$7669,R19),INDEX('D Proj'!$T$1:$T$513,R19),INDEX('K Proj'!$L$1:$L$508,R19))</f>
        <v>6.75</v>
      </c>
      <c r="G19" s="2" t="e">
        <f>CHOOSE($Q19,INDEX('F Proj'!$D$1:$D$7669,S19),INDEX('D Proj'!$T$1:$T$513,S19),INDEX('K Proj'!$L$1:$L$508,S19))</f>
        <v>#N/A</v>
      </c>
      <c r="H19" s="2">
        <f>CHOOSE($Q19,INDEX('F Proj'!$D$1:$D$7669,T19),INDEX('D Proj'!$T$1:$T$513,T19),INDEX('K Proj'!$L$1:$L$508,T19))</f>
        <v>5.98</v>
      </c>
      <c r="I19" s="24">
        <f>CHOOSE($Q19,INDEX('F Proj'!$O$1:$O$7669,R19),INDEX('D Proj'!$W$1:$W$513,R19),INDEX('K Proj'!$S$1:$S$508,R19))</f>
        <v>17</v>
      </c>
      <c r="J19" s="24" t="e">
        <f>CHOOSE($Q19,INDEX('F Proj'!$O$1:$O$7669,S19),INDEX('D Proj'!$W$1:$W$513,S19),INDEX('K Proj'!$S$1:$S$508,S19))</f>
        <v>#N/A</v>
      </c>
      <c r="K19" s="24">
        <f>CHOOSE($Q19,INDEX('F Proj'!$O$1:$O$7669,T19),INDEX('D Proj'!$W$1:$W$513,T19),INDEX('K Proj'!$S$1:$S$508,T19))</f>
        <v>22</v>
      </c>
      <c r="L19" t="str">
        <f>INDEX('ROS Proj'!$AA$2:$AA$561,MATCH($B19,'ROS Proj'!$A$2:$A$561,0))&amp;"-"&amp;INDEX('ROS Proj'!$AH$2:$AH$561,MATCH($B19,'ROS Proj'!$A$2:$A$561,0))</f>
        <v>K28-224</v>
      </c>
      <c r="M19" t="str">
        <f>INDEX('top 300 &amp; Draft'!$B$2:$B$301,MATCH(B19,'top 300 &amp; Draft'!$A$2:$A$301,0))&amp;"-"&amp;MATCH(B19,'top 300 &amp; Draft'!$A$2:$A$301,0)</f>
        <v>K4-113</v>
      </c>
      <c r="N19" t="str">
        <f>IFERROR(INDEX('top 300 &amp; Draft'!$T$2:$T$151,MATCH(B19,'top 300 &amp; Draft'!$P$2:$P$151,0)),"UND")</f>
        <v>K8-142</v>
      </c>
      <c r="P19" s="21" t="str">
        <f>IF(ISERROR(MATCH($B19,'F Proj'!$B$1:$B$7669,0)),IF(ISERROR(MATCH($B19,'D Proj'!$B$1:$B$513,0)),IF(ISERROR(MATCH($B19,'K Proj'!$B$1:$B$508,0)),"?","K"),"D"),"FLEX")</f>
        <v>K</v>
      </c>
      <c r="Q19" s="21">
        <f t="shared" si="1"/>
        <v>3</v>
      </c>
      <c r="R19" s="21">
        <f>CHOOSE($Q19,MATCH($B19&amp;R$9,'F Proj'!$P$1:$P$7669,0),MATCH($B19&amp;R$9,'D Proj'!$X$1:$X$513,0),MATCH($B19&amp;R$9,'K Proj'!$T$1:$T$508,0))</f>
        <v>330</v>
      </c>
      <c r="S19" s="21" t="e">
        <f>CHOOSE($Q19,MATCH($B19&amp;S$9,'F Proj'!$P$1:$P$7669,0),MATCH($B19&amp;S$9,'D Proj'!$X$1:$X$513,0),MATCH($B19&amp;S$9,'K Proj'!$T$1:$T$508,0))</f>
        <v>#N/A</v>
      </c>
      <c r="T19" s="21">
        <f>CHOOSE($Q19,MATCH($B19&amp;T$9,'F Proj'!$P$1:$P$7669,0),MATCH($B19&amp;T$9,'D Proj'!$X$1:$X$513,0),MATCH($B19&amp;T$9,'K Proj'!$T$1:$T$508,0))</f>
        <v>446</v>
      </c>
    </row>
    <row r="20" spans="1:20" x14ac:dyDescent="0.25">
      <c r="A20">
        <f>IF(INDEX(Rosters!$A$2:$A$155,A19+1)=$B$7,A19+1,"")</f>
        <v>57</v>
      </c>
      <c r="B20" s="165" t="str">
        <f>INDEX(Rosters!$B$2:$B$155,$A20)</f>
        <v>Cam Newton</v>
      </c>
      <c r="C20" s="165"/>
      <c r="D20" s="19"/>
      <c r="E20" s="21" t="b">
        <v>0</v>
      </c>
      <c r="F20" s="2">
        <f>CHOOSE($Q20,INDEX('F Proj'!$D$1:$D$7669,R20),INDEX('D Proj'!$T$1:$T$513,R20),INDEX('K Proj'!$L$1:$L$508,R20))</f>
        <v>23.25</v>
      </c>
      <c r="G20" s="2">
        <f>CHOOSE($Q20,INDEX('F Proj'!$D$1:$D$7669,S20),INDEX('D Proj'!$T$1:$T$513,S20),INDEX('K Proj'!$L$1:$L$508,S20))</f>
        <v>20.02</v>
      </c>
      <c r="H20" s="2">
        <f>CHOOSE($Q20,INDEX('F Proj'!$D$1:$D$7669,T20),INDEX('D Proj'!$T$1:$T$513,T20),INDEX('K Proj'!$L$1:$L$508,T20))</f>
        <v>17.97</v>
      </c>
      <c r="I20" s="24">
        <f>CHOOSE($Q20,INDEX('F Proj'!$O$1:$O$7669,R20),INDEX('D Proj'!$W$1:$W$513,R20),INDEX('K Proj'!$S$1:$S$508,R20))</f>
        <v>1</v>
      </c>
      <c r="J20" s="24">
        <f>CHOOSE($Q20,INDEX('F Proj'!$O$1:$O$7669,S20),INDEX('D Proj'!$W$1:$W$513,S20),INDEX('K Proj'!$S$1:$S$508,S20))</f>
        <v>8</v>
      </c>
      <c r="K20" s="24">
        <f>CHOOSE($Q20,INDEX('F Proj'!$O$1:$O$7669,T20),INDEX('D Proj'!$W$1:$W$513,T20),INDEX('K Proj'!$S$1:$S$508,T20))</f>
        <v>12</v>
      </c>
      <c r="L20" t="str">
        <f>INDEX('ROS Proj'!$AA$2:$AA$561,MATCH($B20,'ROS Proj'!$A$2:$A$561,0))&amp;"-"&amp;INDEX('ROS Proj'!$AH$2:$AH$561,MATCH($B20,'ROS Proj'!$A$2:$A$561,0))</f>
        <v>QB6-91</v>
      </c>
      <c r="M20" t="str">
        <f>INDEX('top 300 &amp; Draft'!$B$2:$B$301,MATCH(B20,'top 300 &amp; Draft'!$A$2:$A$301,0))&amp;"-"&amp;MATCH(B20,'top 300 &amp; Draft'!$A$2:$A$301,0)</f>
        <v>QB3-18</v>
      </c>
      <c r="N20" t="str">
        <f>IFERROR(INDEX('top 300 &amp; Draft'!$T$2:$T$151,MATCH(B20,'top 300 &amp; Draft'!$P$2:$P$151,0)),"UND")</f>
        <v>QB3-59</v>
      </c>
      <c r="P20" s="21" t="str">
        <f>IF(ISERROR(MATCH($B20,'F Proj'!$B$1:$B$7669,0)),IF(ISERROR(MATCH($B20,'D Proj'!$B$1:$B$513,0)),IF(ISERROR(MATCH($B20,'K Proj'!$B$1:$B$508,0)),"?","K"),"D"),"FLEX")</f>
        <v>FLEX</v>
      </c>
      <c r="Q20" s="21">
        <f t="shared" si="1"/>
        <v>1</v>
      </c>
      <c r="R20" s="21">
        <f>CHOOSE($Q20,MATCH($B20&amp;R$9,'F Proj'!$P$1:$P$7669,0),MATCH($B20&amp;R$9,'D Proj'!$X$1:$X$513,0),MATCH($B20&amp;R$9,'K Proj'!$T$1:$T$508,0))</f>
        <v>21</v>
      </c>
      <c r="S20" s="21">
        <f>CHOOSE($Q20,MATCH($B20&amp;S$9,'F Proj'!$P$1:$P$7669,0),MATCH($B20&amp;S$9,'D Proj'!$X$1:$X$513,0),MATCH($B20&amp;S$9,'K Proj'!$T$1:$T$508,0))</f>
        <v>134</v>
      </c>
      <c r="T20" s="21">
        <f>CHOOSE($Q20,MATCH($B20&amp;T$9,'F Proj'!$P$1:$P$7669,0),MATCH($B20&amp;T$9,'D Proj'!$X$1:$X$513,0),MATCH($B20&amp;T$9,'K Proj'!$T$1:$T$508,0))</f>
        <v>278</v>
      </c>
    </row>
    <row r="21" spans="1:20" x14ac:dyDescent="0.25">
      <c r="A21">
        <f>IF(INDEX(Rosters!$A$2:$A$155,A20+1)=$B$7,A20+1,"")</f>
        <v>58</v>
      </c>
      <c r="B21" s="165" t="str">
        <f>INDEX(Rosters!$B$2:$B$155,$A21)</f>
        <v>Aaron Jones</v>
      </c>
      <c r="C21" s="165"/>
      <c r="D21" s="19"/>
      <c r="E21" s="21" t="b">
        <v>1</v>
      </c>
      <c r="F21" s="2">
        <f>CHOOSE($Q21,INDEX('F Proj'!$D$1:$D$7669,R21),INDEX('D Proj'!$T$1:$T$513,R21),INDEX('K Proj'!$L$1:$L$508,R21))</f>
        <v>8.76</v>
      </c>
      <c r="G21" s="2">
        <f>CHOOSE($Q21,INDEX('F Proj'!$D$1:$D$7669,S21),INDEX('D Proj'!$T$1:$T$513,S21),INDEX('K Proj'!$L$1:$L$508,S21))</f>
        <v>8.2799999999999994</v>
      </c>
      <c r="H21" s="2" t="e">
        <f>CHOOSE($Q21,INDEX('F Proj'!$D$1:$D$7669,T21),INDEX('D Proj'!$T$1:$T$513,T21),INDEX('K Proj'!$L$1:$L$508,T21))</f>
        <v>#N/A</v>
      </c>
      <c r="I21" s="24">
        <f>CHOOSE($Q21,INDEX('F Proj'!$O$1:$O$7669,R21),INDEX('D Proj'!$W$1:$W$513,R21),INDEX('K Proj'!$S$1:$S$508,R21))</f>
        <v>24</v>
      </c>
      <c r="J21" s="24">
        <f>CHOOSE($Q21,INDEX('F Proj'!$O$1:$O$7669,S21),INDEX('D Proj'!$W$1:$W$513,S21),INDEX('K Proj'!$S$1:$S$508,S21))</f>
        <v>24</v>
      </c>
      <c r="K21" s="24" t="e">
        <f>CHOOSE($Q21,INDEX('F Proj'!$O$1:$O$7669,T21),INDEX('D Proj'!$W$1:$W$513,T21),INDEX('K Proj'!$S$1:$S$508,T21))</f>
        <v>#N/A</v>
      </c>
      <c r="L21" t="str">
        <f>INDEX('ROS Proj'!$AA$2:$AA$561,MATCH($B21,'ROS Proj'!$A$2:$A$561,0))&amp;"-"&amp;INDEX('ROS Proj'!$AH$2:$AH$561,MATCH($B21,'ROS Proj'!$A$2:$A$561,0))</f>
        <v>RB38-104</v>
      </c>
      <c r="M21" t="str">
        <f>INDEX('top 300 &amp; Draft'!$B$2:$B$301,MATCH(B21,'top 300 &amp; Draft'!$A$2:$A$301,0))&amp;"-"&amp;MATCH(B21,'top 300 &amp; Draft'!$A$2:$A$301,0)</f>
        <v>RB24-73</v>
      </c>
      <c r="N21" t="str">
        <f>IFERROR(INDEX('top 300 &amp; Draft'!$T$2:$T$151,MATCH(B21,'top 300 &amp; Draft'!$P$2:$P$151,0)),"UND")</f>
        <v>RB42-122</v>
      </c>
      <c r="P21" s="21" t="str">
        <f>IF(ISERROR(MATCH($B21,'F Proj'!$B$1:$B$7669,0)),IF(ISERROR(MATCH($B21,'D Proj'!$B$1:$B$513,0)),IF(ISERROR(MATCH($B21,'K Proj'!$B$1:$B$508,0)),"?","K"),"D"),"FLEX")</f>
        <v>FLEX</v>
      </c>
      <c r="Q21" s="21">
        <f t="shared" si="1"/>
        <v>1</v>
      </c>
      <c r="R21" s="21">
        <f>CHOOSE($Q21,MATCH($B21&amp;R$9,'F Proj'!$P$1:$P$7669,0),MATCH($B21&amp;R$9,'D Proj'!$X$1:$X$513,0),MATCH($B21&amp;R$9,'K Proj'!$T$1:$T$508,0))</f>
        <v>1321</v>
      </c>
      <c r="S21" s="21">
        <f>CHOOSE($Q21,MATCH($B21&amp;S$9,'F Proj'!$P$1:$P$7669,0),MATCH($B21&amp;S$9,'D Proj'!$X$1:$X$513,0),MATCH($B21&amp;S$9,'K Proj'!$T$1:$T$508,0))</f>
        <v>1445</v>
      </c>
      <c r="T21" s="21" t="e">
        <f>CHOOSE($Q21,MATCH($B21&amp;T$9,'F Proj'!$P$1:$P$7669,0),MATCH($B21&amp;T$9,'D Proj'!$X$1:$X$513,0),MATCH($B21&amp;T$9,'K Proj'!$T$1:$T$508,0))</f>
        <v>#N/A</v>
      </c>
    </row>
    <row r="22" spans="1:20" x14ac:dyDescent="0.25">
      <c r="A22">
        <f>IF(INDEX(Rosters!$A$2:$A$155,A21+1)=$B$7,A21+1,"")</f>
        <v>59</v>
      </c>
      <c r="B22" s="165" t="str">
        <f>INDEX(Rosters!$B$2:$B$155,$A22)</f>
        <v>Peyton Barber</v>
      </c>
      <c r="C22" s="165"/>
      <c r="D22" s="19"/>
      <c r="E22" s="21" t="b">
        <v>0</v>
      </c>
      <c r="F22" s="2" t="e">
        <f>CHOOSE($Q22,INDEX('F Proj'!$D$1:$D$7669,R22),INDEX('D Proj'!$T$1:$T$513,R22),INDEX('K Proj'!$L$1:$L$508,R22))</f>
        <v>#N/A</v>
      </c>
      <c r="G22" s="2">
        <f>CHOOSE($Q22,INDEX('F Proj'!$D$1:$D$7669,S22),INDEX('D Proj'!$T$1:$T$513,S22),INDEX('K Proj'!$L$1:$L$508,S22))</f>
        <v>8.26</v>
      </c>
      <c r="H22" s="2">
        <f>CHOOSE($Q22,INDEX('F Proj'!$D$1:$D$7669,T22),INDEX('D Proj'!$T$1:$T$513,T22),INDEX('K Proj'!$L$1:$L$508,T22))</f>
        <v>7.49</v>
      </c>
      <c r="I22" s="24" t="e">
        <f>CHOOSE($Q22,INDEX('F Proj'!$O$1:$O$7669,R22),INDEX('D Proj'!$W$1:$W$513,R22),INDEX('K Proj'!$S$1:$S$508,R22))</f>
        <v>#N/A</v>
      </c>
      <c r="J22" s="24">
        <f>CHOOSE($Q22,INDEX('F Proj'!$O$1:$O$7669,S22),INDEX('D Proj'!$W$1:$W$513,S22),INDEX('K Proj'!$S$1:$S$508,S22))</f>
        <v>25</v>
      </c>
      <c r="K22" s="24">
        <f>CHOOSE($Q22,INDEX('F Proj'!$O$1:$O$7669,T22),INDEX('D Proj'!$W$1:$W$513,T22),INDEX('K Proj'!$S$1:$S$508,T22))</f>
        <v>30</v>
      </c>
      <c r="L22" t="str">
        <f>INDEX('ROS Proj'!$AA$2:$AA$561,MATCH($B22,'ROS Proj'!$A$2:$A$561,0))&amp;"-"&amp;INDEX('ROS Proj'!$AH$2:$AH$561,MATCH($B22,'ROS Proj'!$A$2:$A$561,0))</f>
        <v>RB31-80</v>
      </c>
      <c r="M22" t="str">
        <f>INDEX('top 300 &amp; Draft'!$B$2:$B$301,MATCH(B22,'top 300 &amp; Draft'!$A$2:$A$301,0))&amp;"-"&amp;MATCH(B22,'top 300 &amp; Draft'!$A$2:$A$301,0)</f>
        <v>RB48-194</v>
      </c>
      <c r="N22" t="str">
        <f>IFERROR(INDEX('top 300 &amp; Draft'!$T$2:$T$151,MATCH(B22,'top 300 &amp; Draft'!$P$2:$P$151,0)),"UND")</f>
        <v>RB41-118</v>
      </c>
      <c r="P22" s="21" t="str">
        <f>IF(ISERROR(MATCH($B22,'F Proj'!$B$1:$B$7669,0)),IF(ISERROR(MATCH($B22,'D Proj'!$B$1:$B$513,0)),IF(ISERROR(MATCH($B22,'K Proj'!$B$1:$B$508,0)),"?","K"),"D"),"FLEX")</f>
        <v>FLEX</v>
      </c>
      <c r="Q22" s="21">
        <f t="shared" si="1"/>
        <v>1</v>
      </c>
      <c r="R22" s="21" t="e">
        <f>CHOOSE($Q22,MATCH($B22&amp;R$9,'F Proj'!$P$1:$P$7669,0),MATCH($B22&amp;R$9,'D Proj'!$X$1:$X$513,0),MATCH($B22&amp;R$9,'K Proj'!$T$1:$T$508,0))</f>
        <v>#N/A</v>
      </c>
      <c r="S22" s="21">
        <f>CHOOSE($Q22,MATCH($B22&amp;S$9,'F Proj'!$P$1:$P$7669,0),MATCH($B22&amp;S$9,'D Proj'!$X$1:$X$513,0),MATCH($B22&amp;S$9,'K Proj'!$T$1:$T$508,0))</f>
        <v>1452</v>
      </c>
      <c r="T22" s="21">
        <f>CHOOSE($Q22,MATCH($B22&amp;T$9,'F Proj'!$P$1:$P$7669,0),MATCH($B22&amp;T$9,'D Proj'!$X$1:$X$513,0),MATCH($B22&amp;T$9,'K Proj'!$T$1:$T$508,0))</f>
        <v>1677</v>
      </c>
    </row>
    <row r="23" spans="1:20" x14ac:dyDescent="0.25">
      <c r="A23">
        <f>IF(INDEX(Rosters!$A$2:$A$155,A22+1)=$B$7,A22+1,"")</f>
        <v>60</v>
      </c>
      <c r="B23" s="165" t="str">
        <f>INDEX(Rosters!$B$2:$B$155,$A23)</f>
        <v>Dalvin Cook</v>
      </c>
      <c r="C23" s="165"/>
      <c r="D23" s="19"/>
      <c r="E23" s="21" t="b">
        <v>1</v>
      </c>
      <c r="F23" s="2">
        <f>CHOOSE($Q23,INDEX('F Proj'!$D$1:$D$7669,R23),INDEX('D Proj'!$T$1:$T$513,R23),INDEX('K Proj'!$L$1:$L$508,R23))</f>
        <v>5.23</v>
      </c>
      <c r="G23" s="2">
        <f>CHOOSE($Q23,INDEX('F Proj'!$D$1:$D$7669,S23),INDEX('D Proj'!$T$1:$T$513,S23),INDEX('K Proj'!$L$1:$L$508,S23))</f>
        <v>12.02</v>
      </c>
      <c r="H23" s="2">
        <f>CHOOSE($Q23,INDEX('F Proj'!$D$1:$D$7669,T23),INDEX('D Proj'!$T$1:$T$513,T23),INDEX('K Proj'!$L$1:$L$508,T23))</f>
        <v>10.91</v>
      </c>
      <c r="I23" s="24">
        <f>CHOOSE($Q23,INDEX('F Proj'!$O$1:$O$7669,R23),INDEX('D Proj'!$W$1:$W$513,R23),INDEX('K Proj'!$S$1:$S$508,R23))</f>
        <v>51</v>
      </c>
      <c r="J23" s="24">
        <f>CHOOSE($Q23,INDEX('F Proj'!$O$1:$O$7669,S23),INDEX('D Proj'!$W$1:$W$513,S23),INDEX('K Proj'!$S$1:$S$508,S23))</f>
        <v>12</v>
      </c>
      <c r="K23" s="24">
        <f>CHOOSE($Q23,INDEX('F Proj'!$O$1:$O$7669,T23),INDEX('D Proj'!$W$1:$W$513,T23),INDEX('K Proj'!$S$1:$S$508,T23))</f>
        <v>14</v>
      </c>
      <c r="L23" t="str">
        <f>INDEX('ROS Proj'!$AA$2:$AA$561,MATCH($B23,'ROS Proj'!$A$2:$A$561,0))&amp;"-"&amp;INDEX('ROS Proj'!$AH$2:$AH$561,MATCH($B23,'ROS Proj'!$A$2:$A$561,0))</f>
        <v>RB12-19</v>
      </c>
      <c r="M23" t="str">
        <f>INDEX('top 300 &amp; Draft'!$B$2:$B$301,MATCH(B23,'top 300 &amp; Draft'!$A$2:$A$301,0))&amp;"-"&amp;MATCH(B23,'top 300 &amp; Draft'!$A$2:$A$301,0)</f>
        <v>RB14-42</v>
      </c>
      <c r="N23" t="str">
        <f>IFERROR(INDEX('top 300 &amp; Draft'!$T$2:$T$151,MATCH(B23,'top 300 &amp; Draft'!$P$2:$P$151,0)),"UND")</f>
        <v>RB10-14</v>
      </c>
      <c r="P23" s="21" t="str">
        <f>IF(ISERROR(MATCH($B23,'F Proj'!$B$1:$B$7669,0)),IF(ISERROR(MATCH($B23,'D Proj'!$B$1:$B$513,0)),IF(ISERROR(MATCH($B23,'K Proj'!$B$1:$B$508,0)),"?","K"),"D"),"FLEX")</f>
        <v>FLEX</v>
      </c>
      <c r="Q23" s="21">
        <f t="shared" si="1"/>
        <v>1</v>
      </c>
      <c r="R23" s="21">
        <f>CHOOSE($Q23,MATCH($B23&amp;R$9,'F Proj'!$P$1:$P$7669,0),MATCH($B23&amp;R$9,'D Proj'!$X$1:$X$513,0),MATCH($B23&amp;R$9,'K Proj'!$T$1:$T$508,0))</f>
        <v>2497</v>
      </c>
      <c r="S23" s="21">
        <f>CHOOSE($Q23,MATCH($B23&amp;S$9,'F Proj'!$P$1:$P$7669,0),MATCH($B23&amp;S$9,'D Proj'!$X$1:$X$513,0),MATCH($B23&amp;S$9,'K Proj'!$T$1:$T$508,0))</f>
        <v>815</v>
      </c>
      <c r="T23" s="21">
        <f>CHOOSE($Q23,MATCH($B23&amp;T$9,'F Proj'!$P$1:$P$7669,0),MATCH($B23&amp;T$9,'D Proj'!$X$1:$X$513,0),MATCH($B23&amp;T$9,'K Proj'!$T$1:$T$508,0))</f>
        <v>931</v>
      </c>
    </row>
    <row r="24" spans="1:20" x14ac:dyDescent="0.25">
      <c r="A24">
        <f>IF(INDEX(Rosters!$A$2:$A$155,A23+1)=$B$7,A23+1,"")</f>
        <v>61</v>
      </c>
      <c r="B24" s="165" t="str">
        <f>INDEX(Rosters!$B$2:$B$155,$A24)</f>
        <v>Evan Engram</v>
      </c>
      <c r="C24" s="165"/>
      <c r="D24" s="19"/>
      <c r="E24" s="21" t="b">
        <v>0</v>
      </c>
      <c r="F24" s="2">
        <f>CHOOSE($Q24,INDEX('F Proj'!$D$1:$D$7669,R24),INDEX('D Proj'!$T$1:$T$513,R24),INDEX('K Proj'!$L$1:$L$508,R24))</f>
        <v>0</v>
      </c>
      <c r="G24" s="2">
        <f>CHOOSE($Q24,INDEX('F Proj'!$D$1:$D$7669,S24),INDEX('D Proj'!$T$1:$T$513,S24),INDEX('K Proj'!$L$1:$L$508,S24))</f>
        <v>0</v>
      </c>
      <c r="H24" s="2">
        <f>CHOOSE($Q24,INDEX('F Proj'!$D$1:$D$7669,T24),INDEX('D Proj'!$T$1:$T$513,T24),INDEX('K Proj'!$L$1:$L$508,T24))</f>
        <v>2.92</v>
      </c>
      <c r="I24" s="24">
        <f>CHOOSE($Q24,INDEX('F Proj'!$O$1:$O$7669,R24),INDEX('D Proj'!$W$1:$W$513,R24),INDEX('K Proj'!$S$1:$S$508,R24))</f>
        <v>89</v>
      </c>
      <c r="J24" s="24">
        <f>CHOOSE($Q24,INDEX('F Proj'!$O$1:$O$7669,S24),INDEX('D Proj'!$W$1:$W$513,S24),INDEX('K Proj'!$S$1:$S$508,S24))</f>
        <v>92</v>
      </c>
      <c r="K24" s="24">
        <f>CHOOSE($Q24,INDEX('F Proj'!$O$1:$O$7669,T24),INDEX('D Proj'!$W$1:$W$513,T24),INDEX('K Proj'!$S$1:$S$508,T24))</f>
        <v>26</v>
      </c>
      <c r="L24" t="str">
        <f>INDEX('ROS Proj'!$AA$2:$AA$561,MATCH($B24,'ROS Proj'!$A$2:$A$561,0))&amp;"-"&amp;INDEX('ROS Proj'!$AH$2:$AH$561,MATCH($B24,'ROS Proj'!$A$2:$A$561,0))</f>
        <v>TE15-166</v>
      </c>
      <c r="M24" t="str">
        <f>INDEX('top 300 &amp; Draft'!$B$2:$B$301,MATCH(B24,'top 300 &amp; Draft'!$A$2:$A$301,0))&amp;"-"&amp;MATCH(B24,'top 300 &amp; Draft'!$A$2:$A$301,0)</f>
        <v>TE11-92</v>
      </c>
      <c r="N24" t="str">
        <f>IFERROR(INDEX('top 300 &amp; Draft'!$T$2:$T$151,MATCH(B24,'top 300 &amp; Draft'!$P$2:$P$151,0)),"UND")</f>
        <v>TE8-74</v>
      </c>
      <c r="P24" s="21" t="str">
        <f>IF(ISERROR(MATCH($B24,'F Proj'!$B$1:$B$7669,0)),IF(ISERROR(MATCH($B24,'D Proj'!$B$1:$B$513,0)),IF(ISERROR(MATCH($B24,'K Proj'!$B$1:$B$508,0)),"?","K"),"D"),"FLEX")</f>
        <v>FLEX</v>
      </c>
      <c r="Q24" s="21">
        <f t="shared" si="1"/>
        <v>1</v>
      </c>
      <c r="R24" s="21">
        <f>CHOOSE($Q24,MATCH($B24&amp;R$9,'F Proj'!$P$1:$P$7669,0),MATCH($B24&amp;R$9,'D Proj'!$X$1:$X$513,0),MATCH($B24&amp;R$9,'K Proj'!$T$1:$T$508,0))</f>
        <v>7370</v>
      </c>
      <c r="S24" s="21">
        <f>CHOOSE($Q24,MATCH($B24&amp;S$9,'F Proj'!$P$1:$P$7669,0),MATCH($B24&amp;S$9,'D Proj'!$X$1:$X$513,0),MATCH($B24&amp;S$9,'K Proj'!$T$1:$T$508,0))</f>
        <v>7371</v>
      </c>
      <c r="T24" s="21">
        <f>CHOOSE($Q24,MATCH($B24&amp;T$9,'F Proj'!$P$1:$P$7669,0),MATCH($B24&amp;T$9,'D Proj'!$X$1:$X$513,0),MATCH($B24&amp;T$9,'K Proj'!$T$1:$T$508,0))</f>
        <v>3587</v>
      </c>
    </row>
    <row r="25" spans="1:20" x14ac:dyDescent="0.25">
      <c r="A25">
        <f>IF(INDEX(Rosters!$A$2:$A$155,A24+1)=$B$7,A24+1,"")</f>
        <v>62</v>
      </c>
      <c r="B25" s="165" t="str">
        <f>INDEX(Rosters!$B$2:$B$155,$A25)</f>
        <v>Le'Veon Bell</v>
      </c>
      <c r="C25" s="165"/>
      <c r="D25" s="19"/>
      <c r="E25" s="21" t="b">
        <v>0</v>
      </c>
      <c r="F25" s="2">
        <f>CHOOSE($Q25,INDEX('F Proj'!$D$1:$D$7669,R25),INDEX('D Proj'!$T$1:$T$513,R25),INDEX('K Proj'!$L$1:$L$508,R25))</f>
        <v>0</v>
      </c>
      <c r="G25" s="2">
        <f>CHOOSE($Q25,INDEX('F Proj'!$D$1:$D$7669,S25),INDEX('D Proj'!$T$1:$T$513,S25),INDEX('K Proj'!$L$1:$L$508,S25))</f>
        <v>0</v>
      </c>
      <c r="H25" s="2" t="e">
        <f>CHOOSE($Q25,INDEX('F Proj'!$D$1:$D$7669,T25),INDEX('D Proj'!$T$1:$T$513,T25),INDEX('K Proj'!$L$1:$L$508,T25))</f>
        <v>#N/A</v>
      </c>
      <c r="I25" s="24">
        <f>CHOOSE($Q25,INDEX('F Proj'!$O$1:$O$7669,R25),INDEX('D Proj'!$W$1:$W$513,R25),INDEX('K Proj'!$S$1:$S$508,R25))</f>
        <v>124</v>
      </c>
      <c r="J25" s="24">
        <f>CHOOSE($Q25,INDEX('F Proj'!$O$1:$O$7669,S25),INDEX('D Proj'!$W$1:$W$513,S25),INDEX('K Proj'!$S$1:$S$508,S25))</f>
        <v>123</v>
      </c>
      <c r="K25" s="24" t="e">
        <f>CHOOSE($Q25,INDEX('F Proj'!$O$1:$O$7669,T25),INDEX('D Proj'!$W$1:$W$513,T25),INDEX('K Proj'!$S$1:$S$508,T25))</f>
        <v>#N/A</v>
      </c>
      <c r="L25" t="str">
        <f>INDEX('ROS Proj'!$AA$2:$AA$561,MATCH($B25,'ROS Proj'!$A$2:$A$561,0))&amp;"-"&amp;INDEX('ROS Proj'!$AH$2:$AH$561,MATCH($B25,'ROS Proj'!$A$2:$A$561,0))</f>
        <v>RB50-155</v>
      </c>
      <c r="M25" t="str">
        <f>INDEX('top 300 &amp; Draft'!$B$2:$B$301,MATCH(B25,'top 300 &amp; Draft'!$A$2:$A$301,0))&amp;"-"&amp;MATCH(B25,'top 300 &amp; Draft'!$A$2:$A$301,0)</f>
        <v>RB10-15</v>
      </c>
      <c r="N25" t="str">
        <f>IFERROR(INDEX('top 300 &amp; Draft'!$T$2:$T$151,MATCH(B25,'top 300 &amp; Draft'!$P$2:$P$151,0)),"UND")</f>
        <v>Keeper</v>
      </c>
      <c r="P25" s="21" t="str">
        <f>IF(ISERROR(MATCH($B25,'F Proj'!$B$1:$B$7669,0)),IF(ISERROR(MATCH($B25,'D Proj'!$B$1:$B$513,0)),IF(ISERROR(MATCH($B25,'K Proj'!$B$1:$B$508,0)),"?","K"),"D"),"FLEX")</f>
        <v>FLEX</v>
      </c>
      <c r="Q25" s="21">
        <f t="shared" si="1"/>
        <v>1</v>
      </c>
      <c r="R25" s="21">
        <f>CHOOSE($Q25,MATCH($B25&amp;R$9,'F Proj'!$P$1:$P$7669,0),MATCH($B25&amp;R$9,'D Proj'!$X$1:$X$513,0),MATCH($B25&amp;R$9,'K Proj'!$T$1:$T$508,0))</f>
        <v>7492</v>
      </c>
      <c r="S25" s="21">
        <f>CHOOSE($Q25,MATCH($B25&amp;S$9,'F Proj'!$P$1:$P$7669,0),MATCH($B25&amp;S$9,'D Proj'!$X$1:$X$513,0),MATCH($B25&amp;S$9,'K Proj'!$T$1:$T$508,0))</f>
        <v>7493</v>
      </c>
      <c r="T25" s="21" t="e">
        <f>CHOOSE($Q25,MATCH($B25&amp;T$9,'F Proj'!$P$1:$P$7669,0),MATCH($B25&amp;T$9,'D Proj'!$X$1:$X$513,0),MATCH($B25&amp;T$9,'K Proj'!$T$1:$T$508,0))</f>
        <v>#N/A</v>
      </c>
    </row>
    <row r="26" spans="1:20" x14ac:dyDescent="0.25">
      <c r="D26" s="19"/>
      <c r="E26" s="21"/>
      <c r="P26" s="21"/>
      <c r="Q26" s="21"/>
      <c r="R26" s="21"/>
      <c r="S26" s="21"/>
      <c r="T26" s="21"/>
    </row>
    <row r="27" spans="1:20" x14ac:dyDescent="0.25">
      <c r="A27" s="63" t="s">
        <v>55</v>
      </c>
      <c r="B27" s="165" t="s">
        <v>0</v>
      </c>
      <c r="C27" s="165"/>
      <c r="D27" s="19"/>
      <c r="E27" s="21" t="s">
        <v>741</v>
      </c>
      <c r="P27" s="21"/>
      <c r="Q27" s="21"/>
      <c r="R27" s="21"/>
      <c r="S27" s="21"/>
      <c r="T27" s="21"/>
    </row>
    <row r="28" spans="1:20" x14ac:dyDescent="0.25">
      <c r="A28">
        <f>MATCH($A$27,Rosters!$A$2:$A$155,0)</f>
        <v>31</v>
      </c>
      <c r="B28" s="165" t="str">
        <f>INDEX(Rosters!$B$2:$B$155,$A28)</f>
        <v>Matthew Stafford</v>
      </c>
      <c r="C28" s="165"/>
      <c r="D28" s="19"/>
      <c r="E28" s="21" t="b">
        <v>0</v>
      </c>
      <c r="F28" s="2">
        <f>CHOOSE($Q28,INDEX('F Proj'!$D$1:$D$7669,R28),INDEX('D Proj'!$T$1:$T$513,R28),INDEX('K Proj'!$L$1:$L$508,R28))</f>
        <v>19.37</v>
      </c>
      <c r="G28" s="2" t="e">
        <f>CHOOSE($Q28,INDEX('F Proj'!$D$1:$D$7669,S28),INDEX('D Proj'!$T$1:$T$513,S28),INDEX('K Proj'!$L$1:$L$508,S28))</f>
        <v>#N/A</v>
      </c>
      <c r="H28" s="2">
        <f>CHOOSE($Q28,INDEX('F Proj'!$D$1:$D$7669,T28),INDEX('D Proj'!$T$1:$T$513,T28),INDEX('K Proj'!$L$1:$L$508,T28))</f>
        <v>18.66</v>
      </c>
      <c r="I28" s="24">
        <f>CHOOSE($Q28,INDEX('F Proj'!$O$1:$O$7669,R28),INDEX('D Proj'!$W$1:$W$513,R28),INDEX('K Proj'!$S$1:$S$508,R28))</f>
        <v>13</v>
      </c>
      <c r="J28" s="24" t="e">
        <f>CHOOSE($Q28,INDEX('F Proj'!$O$1:$O$7669,S28),INDEX('D Proj'!$W$1:$W$513,S28),INDEX('K Proj'!$S$1:$S$508,S28))</f>
        <v>#N/A</v>
      </c>
      <c r="K28" s="24">
        <f>CHOOSE($Q28,INDEX('F Proj'!$O$1:$O$7669,T28),INDEX('D Proj'!$W$1:$W$513,T28),INDEX('K Proj'!$S$1:$S$508,T28))</f>
        <v>9</v>
      </c>
      <c r="L28" t="str">
        <f>INDEX('ROS Proj'!$AA$2:$AA$561,MATCH($B28,'ROS Proj'!$A$2:$A$561,0))&amp;"-"&amp;INDEX('ROS Proj'!$AH$2:$AH$561,MATCH($B28,'ROS Proj'!$A$2:$A$561,0))</f>
        <v>QB19-275</v>
      </c>
      <c r="M28" t="str">
        <f>INDEX('top 300 &amp; Draft'!$B$2:$B$301,MATCH(B28,'top 300 &amp; Draft'!$A$2:$A$301,0))&amp;"-"&amp;MATCH(B28,'top 300 &amp; Draft'!$A$2:$A$301,0)</f>
        <v>QB14-51</v>
      </c>
      <c r="N28" t="str">
        <f>IFERROR(INDEX('top 300 &amp; Draft'!$T$2:$T$151,MATCH(B28,'top 300 &amp; Draft'!$P$2:$P$151,0)),"UND")</f>
        <v>QB14-136</v>
      </c>
      <c r="P28" s="21" t="str">
        <f>IF(ISERROR(MATCH($B28,'F Proj'!$B$1:$B$7669,0)),IF(ISERROR(MATCH($B28,'D Proj'!$B$1:$B$513,0)),IF(ISERROR(MATCH($B28,'K Proj'!$B$1:$B$508,0)),"?","K"),"D"),"FLEX")</f>
        <v>FLEX</v>
      </c>
      <c r="Q28" s="21">
        <f t="shared" ref="Q28:Q43" si="2">MATCH(P28,Pos,0)</f>
        <v>1</v>
      </c>
      <c r="R28" s="21">
        <f>CHOOSE($Q28,MATCH($B28&amp;R$9,'F Proj'!$P$1:$P$7669,0),MATCH($B28&amp;R$9,'D Proj'!$X$1:$X$513,0),MATCH($B28&amp;R$9,'K Proj'!$T$1:$T$508,0))</f>
        <v>187</v>
      </c>
      <c r="S28" s="21" t="e">
        <f>CHOOSE($Q28,MATCH($B28&amp;S$9,'F Proj'!$P$1:$P$7669,0),MATCH($B28&amp;S$9,'D Proj'!$X$1:$X$513,0),MATCH($B28&amp;S$9,'K Proj'!$T$1:$T$508,0))</f>
        <v>#N/A</v>
      </c>
      <c r="T28" s="21">
        <f>CHOOSE($Q28,MATCH($B28&amp;T$9,'F Proj'!$P$1:$P$7669,0),MATCH($B28&amp;T$9,'D Proj'!$X$1:$X$513,0),MATCH($B28&amp;T$9,'K Proj'!$T$1:$T$508,0))</f>
        <v>228</v>
      </c>
    </row>
    <row r="29" spans="1:20" x14ac:dyDescent="0.25">
      <c r="A29">
        <f>IF(INDEX(Rosters!$A$2:$A$155,A28+1)=$A$27,A28+1,"")</f>
        <v>32</v>
      </c>
      <c r="B29" s="165" t="str">
        <f>INDEX(Rosters!$B$2:$B$155,$A29)</f>
        <v>James Conner</v>
      </c>
      <c r="C29" s="165"/>
      <c r="D29" s="19"/>
      <c r="E29" s="21" t="b">
        <v>0</v>
      </c>
      <c r="F29" s="2">
        <f>CHOOSE($Q29,INDEX('F Proj'!$D$1:$D$7669,R29),INDEX('D Proj'!$T$1:$T$513,R29),INDEX('K Proj'!$L$1:$L$508,R29))</f>
        <v>13.33</v>
      </c>
      <c r="G29" s="2">
        <f>CHOOSE($Q29,INDEX('F Proj'!$D$1:$D$7669,S29),INDEX('D Proj'!$T$1:$T$513,S29),INDEX('K Proj'!$L$1:$L$508,S29))</f>
        <v>12.33</v>
      </c>
      <c r="H29" s="2" t="e">
        <f>CHOOSE($Q29,INDEX('F Proj'!$D$1:$D$7669,T29),INDEX('D Proj'!$T$1:$T$513,T29),INDEX('K Proj'!$L$1:$L$508,T29))</f>
        <v>#N/A</v>
      </c>
      <c r="I29" s="24">
        <f>CHOOSE($Q29,INDEX('F Proj'!$O$1:$O$7669,R29),INDEX('D Proj'!$W$1:$W$513,R29),INDEX('K Proj'!$S$1:$S$508,R29))</f>
        <v>9</v>
      </c>
      <c r="J29" s="24">
        <f>CHOOSE($Q29,INDEX('F Proj'!$O$1:$O$7669,S29),INDEX('D Proj'!$W$1:$W$513,S29),INDEX('K Proj'!$S$1:$S$508,S29))</f>
        <v>11</v>
      </c>
      <c r="K29" s="24" t="e">
        <f>CHOOSE($Q29,INDEX('F Proj'!$O$1:$O$7669,T29),INDEX('D Proj'!$W$1:$W$513,T29),INDEX('K Proj'!$S$1:$S$508,T29))</f>
        <v>#N/A</v>
      </c>
      <c r="L29" t="str">
        <f>INDEX('ROS Proj'!$AA$2:$AA$561,MATCH($B29,'ROS Proj'!$A$2:$A$561,0))&amp;"-"&amp;INDEX('ROS Proj'!$AH$2:$AH$561,MATCH($B29,'ROS Proj'!$A$2:$A$561,0))</f>
        <v>RB25-57</v>
      </c>
      <c r="M29" t="str">
        <f>INDEX('top 300 &amp; Draft'!$B$2:$B$301,MATCH(B29,'top 300 &amp; Draft'!$A$2:$A$301,0))&amp;"-"&amp;MATCH(B29,'top 300 &amp; Draft'!$A$2:$A$301,0)</f>
        <v>RB23-70</v>
      </c>
      <c r="N29" t="str">
        <f>IFERROR(INDEX('top 300 &amp; Draft'!$T$2:$T$151,MATCH(B29,'top 300 &amp; Draft'!$P$2:$P$151,0)),"UND")</f>
        <v>UND</v>
      </c>
      <c r="P29" s="21" t="str">
        <f>IF(ISERROR(MATCH($B29,'F Proj'!$B$1:$B$7669,0)),IF(ISERROR(MATCH($B29,'D Proj'!$B$1:$B$513,0)),IF(ISERROR(MATCH($B29,'K Proj'!$B$1:$B$508,0)),"?","K"),"D"),"FLEX")</f>
        <v>FLEX</v>
      </c>
      <c r="Q29" s="21">
        <f t="shared" si="2"/>
        <v>1</v>
      </c>
      <c r="R29" s="21">
        <f>CHOOSE($Q29,MATCH($B29&amp;R$9,'F Proj'!$P$1:$P$7669,0),MATCH($B29&amp;R$9,'D Proj'!$X$1:$X$513,0),MATCH($B29&amp;R$9,'K Proj'!$T$1:$T$508,0))</f>
        <v>647</v>
      </c>
      <c r="S29" s="21">
        <f>CHOOSE($Q29,MATCH($B29&amp;S$9,'F Proj'!$P$1:$P$7669,0),MATCH($B29&amp;S$9,'D Proj'!$X$1:$X$513,0),MATCH($B29&amp;S$9,'K Proj'!$T$1:$T$508,0))</f>
        <v>776</v>
      </c>
      <c r="T29" s="21" t="e">
        <f>CHOOSE($Q29,MATCH($B29&amp;T$9,'F Proj'!$P$1:$P$7669,0),MATCH($B29&amp;T$9,'D Proj'!$X$1:$X$513,0),MATCH($B29&amp;T$9,'K Proj'!$T$1:$T$508,0))</f>
        <v>#N/A</v>
      </c>
    </row>
    <row r="30" spans="1:20" x14ac:dyDescent="0.25">
      <c r="A30">
        <f>IF(INDEX(Rosters!$A$2:$A$155,A29+1)=$A$27,A29+1,"")</f>
        <v>33</v>
      </c>
      <c r="B30" s="165" t="str">
        <f>INDEX(Rosters!$B$2:$B$155,$A30)</f>
        <v>Joe Mixon</v>
      </c>
      <c r="C30" s="165"/>
      <c r="D30" s="19"/>
      <c r="E30" s="21" t="b">
        <v>0</v>
      </c>
      <c r="F30" s="2">
        <f>CHOOSE($Q30,INDEX('F Proj'!$D$1:$D$7669,R30),INDEX('D Proj'!$T$1:$T$513,R30),INDEX('K Proj'!$L$1:$L$508,R30))</f>
        <v>11.78</v>
      </c>
      <c r="G30" s="2">
        <f>CHOOSE($Q30,INDEX('F Proj'!$D$1:$D$7669,S30),INDEX('D Proj'!$T$1:$T$513,S30),INDEX('K Proj'!$L$1:$L$508,S30))</f>
        <v>11.57</v>
      </c>
      <c r="H30" s="2">
        <f>CHOOSE($Q30,INDEX('F Proj'!$D$1:$D$7669,T30),INDEX('D Proj'!$T$1:$T$513,T30),INDEX('K Proj'!$L$1:$L$508,T30))</f>
        <v>12.08</v>
      </c>
      <c r="I30" s="24">
        <f>CHOOSE($Q30,INDEX('F Proj'!$O$1:$O$7669,R30),INDEX('D Proj'!$W$1:$W$513,R30),INDEX('K Proj'!$S$1:$S$508,R30))</f>
        <v>13</v>
      </c>
      <c r="J30" s="24">
        <f>CHOOSE($Q30,INDEX('F Proj'!$O$1:$O$7669,S30),INDEX('D Proj'!$W$1:$W$513,S30),INDEX('K Proj'!$S$1:$S$508,S30))</f>
        <v>14</v>
      </c>
      <c r="K30" s="24">
        <f>CHOOSE($Q30,INDEX('F Proj'!$O$1:$O$7669,T30),INDEX('D Proj'!$W$1:$W$513,T30),INDEX('K Proj'!$S$1:$S$508,T30))</f>
        <v>11</v>
      </c>
      <c r="L30" t="str">
        <f>INDEX('ROS Proj'!$AA$2:$AA$561,MATCH($B30,'ROS Proj'!$A$2:$A$561,0))&amp;"-"&amp;INDEX('ROS Proj'!$AH$2:$AH$561,MATCH($B30,'ROS Proj'!$A$2:$A$561,0))</f>
        <v>RB13-21</v>
      </c>
      <c r="M30" t="str">
        <f>INDEX('top 300 &amp; Draft'!$B$2:$B$301,MATCH(B30,'top 300 &amp; Draft'!$A$2:$A$301,0))&amp;"-"&amp;MATCH(B30,'top 300 &amp; Draft'!$A$2:$A$301,0)</f>
        <v>RB7-11</v>
      </c>
      <c r="N30" t="str">
        <f>IFERROR(INDEX('top 300 &amp; Draft'!$T$2:$T$151,MATCH(B30,'top 300 &amp; Draft'!$P$2:$P$151,0)),"UND")</f>
        <v>RB16-26</v>
      </c>
      <c r="P30" s="21" t="str">
        <f>IF(ISERROR(MATCH($B30,'F Proj'!$B$1:$B$7669,0)),IF(ISERROR(MATCH($B30,'D Proj'!$B$1:$B$513,0)),IF(ISERROR(MATCH($B30,'K Proj'!$B$1:$B$508,0)),"?","K"),"D"),"FLEX")</f>
        <v>FLEX</v>
      </c>
      <c r="Q30" s="21">
        <f t="shared" si="2"/>
        <v>1</v>
      </c>
      <c r="R30" s="21">
        <f>CHOOSE($Q30,MATCH($B30&amp;R$9,'F Proj'!$P$1:$P$7669,0),MATCH($B30&amp;R$9,'D Proj'!$X$1:$X$513,0),MATCH($B30&amp;R$9,'K Proj'!$T$1:$T$508,0))</f>
        <v>838</v>
      </c>
      <c r="S30" s="21">
        <f>CHOOSE($Q30,MATCH($B30&amp;S$9,'F Proj'!$P$1:$P$7669,0),MATCH($B30&amp;S$9,'D Proj'!$X$1:$X$513,0),MATCH($B30&amp;S$9,'K Proj'!$T$1:$T$508,0))</f>
        <v>867</v>
      </c>
      <c r="T30" s="21">
        <f>CHOOSE($Q30,MATCH($B30&amp;T$9,'F Proj'!$P$1:$P$7669,0),MATCH($B30&amp;T$9,'D Proj'!$X$1:$X$513,0),MATCH($B30&amp;T$9,'K Proj'!$T$1:$T$508,0))</f>
        <v>810</v>
      </c>
    </row>
    <row r="31" spans="1:20" x14ac:dyDescent="0.25">
      <c r="A31">
        <f>IF(INDEX(Rosters!$A$2:$A$155,A30+1)=$A$27,A30+1,"")</f>
        <v>34</v>
      </c>
      <c r="B31" s="165" t="str">
        <f>INDEX(Rosters!$B$2:$B$155,$A31)</f>
        <v>Devonta Freeman</v>
      </c>
      <c r="C31" s="165"/>
      <c r="D31" s="19"/>
      <c r="E31" s="21" t="b">
        <v>1</v>
      </c>
      <c r="F31" s="2">
        <f>CHOOSE($Q31,INDEX('F Proj'!$D$1:$D$7669,R31),INDEX('D Proj'!$T$1:$T$513,R31),INDEX('K Proj'!$L$1:$L$508,R31))</f>
        <v>8.9499999999999993</v>
      </c>
      <c r="G31" s="2">
        <f>CHOOSE($Q31,INDEX('F Proj'!$D$1:$D$7669,S31),INDEX('D Proj'!$T$1:$T$513,S31),INDEX('K Proj'!$L$1:$L$508,S31))</f>
        <v>13.15</v>
      </c>
      <c r="H31" s="2">
        <f>CHOOSE($Q31,INDEX('F Proj'!$D$1:$D$7669,T31),INDEX('D Proj'!$T$1:$T$513,T31),INDEX('K Proj'!$L$1:$L$508,T31))</f>
        <v>11.23</v>
      </c>
      <c r="I31" s="24">
        <f>CHOOSE($Q31,INDEX('F Proj'!$O$1:$O$7669,R31),INDEX('D Proj'!$W$1:$W$513,R31),INDEX('K Proj'!$S$1:$S$508,R31))</f>
        <v>22</v>
      </c>
      <c r="J31" s="24">
        <f>CHOOSE($Q31,INDEX('F Proj'!$O$1:$O$7669,S31),INDEX('D Proj'!$W$1:$W$513,S31),INDEX('K Proj'!$S$1:$S$508,S31))</f>
        <v>7</v>
      </c>
      <c r="K31" s="24">
        <f>CHOOSE($Q31,INDEX('F Proj'!$O$1:$O$7669,T31),INDEX('D Proj'!$W$1:$W$513,T31),INDEX('K Proj'!$S$1:$S$508,T31))</f>
        <v>13</v>
      </c>
      <c r="L31" t="str">
        <f>INDEX('ROS Proj'!$AA$2:$AA$561,MATCH($B31,'ROS Proj'!$A$2:$A$561,0))&amp;"-"&amp;INDEX('ROS Proj'!$AH$2:$AH$561,MATCH($B31,'ROS Proj'!$A$2:$A$561,0))</f>
        <v>RB16-31</v>
      </c>
      <c r="M31" t="str">
        <f>INDEX('top 300 &amp; Draft'!$B$2:$B$301,MATCH(B31,'top 300 &amp; Draft'!$A$2:$A$301,0))&amp;"-"&amp;MATCH(B31,'top 300 &amp; Draft'!$A$2:$A$301,0)</f>
        <v>RB21-62</v>
      </c>
      <c r="N31" t="str">
        <f>IFERROR(INDEX('top 300 &amp; Draft'!$T$2:$T$151,MATCH(B31,'top 300 &amp; Draft'!$P$2:$P$151,0)),"UND")</f>
        <v>RB12-20</v>
      </c>
      <c r="P31" s="21" t="str">
        <f>IF(ISERROR(MATCH($B31,'F Proj'!$B$1:$B$7669,0)),IF(ISERROR(MATCH($B31,'D Proj'!$B$1:$B$513,0)),IF(ISERROR(MATCH($B31,'K Proj'!$B$1:$B$508,0)),"?","K"),"D"),"FLEX")</f>
        <v>FLEX</v>
      </c>
      <c r="Q31" s="21">
        <f t="shared" si="2"/>
        <v>1</v>
      </c>
      <c r="R31" s="21">
        <f>CHOOSE($Q31,MATCH($B31&amp;R$9,'F Proj'!$P$1:$P$7669,0),MATCH($B31&amp;R$9,'D Proj'!$X$1:$X$513,0),MATCH($B31&amp;R$9,'K Proj'!$T$1:$T$508,0))</f>
        <v>1282</v>
      </c>
      <c r="S31" s="21">
        <f>CHOOSE($Q31,MATCH($B31&amp;S$9,'F Proj'!$P$1:$P$7669,0),MATCH($B31&amp;S$9,'D Proj'!$X$1:$X$513,0),MATCH($B31&amp;S$9,'K Proj'!$T$1:$T$508,0))</f>
        <v>667</v>
      </c>
      <c r="T31" s="21">
        <f>CHOOSE($Q31,MATCH($B31&amp;T$9,'F Proj'!$P$1:$P$7669,0),MATCH($B31&amp;T$9,'D Proj'!$X$1:$X$513,0),MATCH($B31&amp;T$9,'K Proj'!$T$1:$T$508,0))</f>
        <v>900</v>
      </c>
    </row>
    <row r="32" spans="1:20" x14ac:dyDescent="0.25">
      <c r="A32">
        <f>IF(INDEX(Rosters!$A$2:$A$155,A31+1)=$A$27,A31+1,"")</f>
        <v>35</v>
      </c>
      <c r="B32" s="165" t="str">
        <f>INDEX(Rosters!$B$2:$B$155,$A32)</f>
        <v>DeAndre Hopkins</v>
      </c>
      <c r="C32" s="165"/>
      <c r="D32" s="19"/>
      <c r="E32" s="21" t="b">
        <v>0</v>
      </c>
      <c r="F32" s="2">
        <f>CHOOSE($Q32,INDEX('F Proj'!$D$1:$D$7669,R32),INDEX('D Proj'!$T$1:$T$513,R32),INDEX('K Proj'!$L$1:$L$508,R32))</f>
        <v>15.31</v>
      </c>
      <c r="G32" s="2">
        <f>CHOOSE($Q32,INDEX('F Proj'!$D$1:$D$7669,S32),INDEX('D Proj'!$T$1:$T$513,S32),INDEX('K Proj'!$L$1:$L$508,S32))</f>
        <v>13.24</v>
      </c>
      <c r="H32" s="2">
        <f>CHOOSE($Q32,INDEX('F Proj'!$D$1:$D$7669,T32),INDEX('D Proj'!$T$1:$T$513,T32),INDEX('K Proj'!$L$1:$L$508,T32))</f>
        <v>11.79</v>
      </c>
      <c r="I32" s="24">
        <f>CHOOSE($Q32,INDEX('F Proj'!$O$1:$O$7669,R32),INDEX('D Proj'!$W$1:$W$513,R32),INDEX('K Proj'!$S$1:$S$508,R32))</f>
        <v>2</v>
      </c>
      <c r="J32" s="24">
        <f>CHOOSE($Q32,INDEX('F Proj'!$O$1:$O$7669,S32),INDEX('D Proj'!$W$1:$W$513,S32),INDEX('K Proj'!$S$1:$S$508,S32))</f>
        <v>3</v>
      </c>
      <c r="K32" s="24">
        <f>CHOOSE($Q32,INDEX('F Proj'!$O$1:$O$7669,T32),INDEX('D Proj'!$W$1:$W$513,T32),INDEX('K Proj'!$S$1:$S$508,T32))</f>
        <v>8</v>
      </c>
      <c r="L32" t="str">
        <f>INDEX('ROS Proj'!$AA$2:$AA$561,MATCH($B32,'ROS Proj'!$A$2:$A$561,0))&amp;"-"&amp;INDEX('ROS Proj'!$AH$2:$AH$561,MATCH($B32,'ROS Proj'!$A$2:$A$561,0))</f>
        <v>WR3-12</v>
      </c>
      <c r="M32" t="str">
        <f>INDEX('top 300 &amp; Draft'!$B$2:$B$301,MATCH(B32,'top 300 &amp; Draft'!$A$2:$A$301,0))&amp;"-"&amp;MATCH(B32,'top 300 &amp; Draft'!$A$2:$A$301,0)</f>
        <v>WR5-13</v>
      </c>
      <c r="N32" t="str">
        <f>IFERROR(INDEX('top 300 &amp; Draft'!$T$2:$T$151,MATCH(B32,'top 300 &amp; Draft'!$P$2:$P$151,0)),"UND")</f>
        <v>WR4-16</v>
      </c>
      <c r="P32" s="21" t="str">
        <f>IF(ISERROR(MATCH($B32,'F Proj'!$B$1:$B$7669,0)),IF(ISERROR(MATCH($B32,'D Proj'!$B$1:$B$513,0)),IF(ISERROR(MATCH($B32,'K Proj'!$B$1:$B$508,0)),"?","K"),"D"),"FLEX")</f>
        <v>FLEX</v>
      </c>
      <c r="Q32" s="21">
        <f t="shared" si="2"/>
        <v>1</v>
      </c>
      <c r="R32" s="21">
        <f>CHOOSE($Q32,MATCH($B32&amp;R$9,'F Proj'!$P$1:$P$7669,0),MATCH($B32&amp;R$9,'D Proj'!$X$1:$X$513,0),MATCH($B32&amp;R$9,'K Proj'!$T$1:$T$508,0))</f>
        <v>460</v>
      </c>
      <c r="S32" s="21">
        <f>CHOOSE($Q32,MATCH($B32&amp;S$9,'F Proj'!$P$1:$P$7669,0),MATCH($B32&amp;S$9,'D Proj'!$X$1:$X$513,0),MATCH($B32&amp;S$9,'K Proj'!$T$1:$T$508,0))</f>
        <v>657</v>
      </c>
      <c r="T32" s="21">
        <f>CHOOSE($Q32,MATCH($B32&amp;T$9,'F Proj'!$P$1:$P$7669,0),MATCH($B32&amp;T$9,'D Proj'!$X$1:$X$513,0),MATCH($B32&amp;T$9,'K Proj'!$T$1:$T$508,0))</f>
        <v>837</v>
      </c>
    </row>
    <row r="33" spans="1:20" x14ac:dyDescent="0.25">
      <c r="A33">
        <f>IF(INDEX(Rosters!$A$2:$A$155,A32+1)=$A$27,A32+1,"")</f>
        <v>36</v>
      </c>
      <c r="B33" s="165" t="str">
        <f>INDEX(Rosters!$B$2:$B$155,$A33)</f>
        <v>Stefon Diggs</v>
      </c>
      <c r="C33" s="165"/>
      <c r="D33" s="19"/>
      <c r="E33" s="21" t="b">
        <v>0</v>
      </c>
      <c r="F33" s="2">
        <f>CHOOSE($Q33,INDEX('F Proj'!$D$1:$D$7669,R33),INDEX('D Proj'!$T$1:$T$513,R33),INDEX('K Proj'!$L$1:$L$508,R33))</f>
        <v>10.38</v>
      </c>
      <c r="G33" s="2">
        <f>CHOOSE($Q33,INDEX('F Proj'!$D$1:$D$7669,S33),INDEX('D Proj'!$T$1:$T$513,S33),INDEX('K Proj'!$L$1:$L$508,S33))</f>
        <v>9.86</v>
      </c>
      <c r="H33" s="2">
        <f>CHOOSE($Q33,INDEX('F Proj'!$D$1:$D$7669,T33),INDEX('D Proj'!$T$1:$T$513,T33),INDEX('K Proj'!$L$1:$L$508,T33))</f>
        <v>8.89</v>
      </c>
      <c r="I33" s="24">
        <f>CHOOSE($Q33,INDEX('F Proj'!$O$1:$O$7669,R33),INDEX('D Proj'!$W$1:$W$513,R33),INDEX('K Proj'!$S$1:$S$508,R33))</f>
        <v>13</v>
      </c>
      <c r="J33" s="24">
        <f>CHOOSE($Q33,INDEX('F Proj'!$O$1:$O$7669,S33),INDEX('D Proj'!$W$1:$W$513,S33),INDEX('K Proj'!$S$1:$S$508,S33))</f>
        <v>16</v>
      </c>
      <c r="K33" s="24">
        <f>CHOOSE($Q33,INDEX('F Proj'!$O$1:$O$7669,T33),INDEX('D Proj'!$W$1:$W$513,T33),INDEX('K Proj'!$S$1:$S$508,T33))</f>
        <v>18</v>
      </c>
      <c r="L33" t="str">
        <f>INDEX('ROS Proj'!$AA$2:$AA$561,MATCH($B33,'ROS Proj'!$A$2:$A$561,0))&amp;"-"&amp;INDEX('ROS Proj'!$AH$2:$AH$561,MATCH($B33,'ROS Proj'!$A$2:$A$561,0))</f>
        <v>WR16-36</v>
      </c>
      <c r="M33" t="str">
        <f>INDEX('top 300 &amp; Draft'!$B$2:$B$301,MATCH(B33,'top 300 &amp; Draft'!$A$2:$A$301,0))&amp;"-"&amp;MATCH(B33,'top 300 &amp; Draft'!$A$2:$A$301,0)</f>
        <v>WR11-30</v>
      </c>
      <c r="N33" t="str">
        <f>IFERROR(INDEX('top 300 &amp; Draft'!$T$2:$T$151,MATCH(B33,'top 300 &amp; Draft'!$P$2:$P$151,0)),"UND")</f>
        <v>WR13-36</v>
      </c>
      <c r="P33" s="21" t="str">
        <f>IF(ISERROR(MATCH($B33,'F Proj'!$B$1:$B$7669,0)),IF(ISERROR(MATCH($B33,'D Proj'!$B$1:$B$513,0)),IF(ISERROR(MATCH($B33,'K Proj'!$B$1:$B$508,0)),"?","K"),"D"),"FLEX")</f>
        <v>FLEX</v>
      </c>
      <c r="Q33" s="21">
        <f t="shared" si="2"/>
        <v>1</v>
      </c>
      <c r="R33" s="21">
        <f>CHOOSE($Q33,MATCH($B33&amp;R$9,'F Proj'!$P$1:$P$7669,0),MATCH($B33&amp;R$9,'D Proj'!$X$1:$X$513,0),MATCH($B33&amp;R$9,'K Proj'!$T$1:$T$508,0))</f>
        <v>1007</v>
      </c>
      <c r="S33" s="21">
        <f>CHOOSE($Q33,MATCH($B33&amp;S$9,'F Proj'!$P$1:$P$7669,0),MATCH($B33&amp;S$9,'D Proj'!$X$1:$X$513,0),MATCH($B33&amp;S$9,'K Proj'!$T$1:$T$508,0))</f>
        <v>1107</v>
      </c>
      <c r="T33" s="21">
        <f>CHOOSE($Q33,MATCH($B33&amp;T$9,'F Proj'!$P$1:$P$7669,0),MATCH($B33&amp;T$9,'D Proj'!$X$1:$X$513,0),MATCH($B33&amp;T$9,'K Proj'!$T$1:$T$508,0))</f>
        <v>1298</v>
      </c>
    </row>
    <row r="34" spans="1:20" x14ac:dyDescent="0.25">
      <c r="A34">
        <f>IF(INDEX(Rosters!$A$2:$A$155,A33+1)=$A$27,A33+1,"")</f>
        <v>37</v>
      </c>
      <c r="B34" s="165" t="str">
        <f>INDEX(Rosters!$B$2:$B$155,$A34)</f>
        <v>Marquez Valdes-Scantling</v>
      </c>
      <c r="C34" s="165"/>
      <c r="D34" s="19"/>
      <c r="E34" s="21" t="b">
        <v>0</v>
      </c>
      <c r="F34" s="2">
        <f>CHOOSE($Q34,INDEX('F Proj'!$D$1:$D$7669,R34),INDEX('D Proj'!$T$1:$T$513,R34),INDEX('K Proj'!$L$1:$L$508,R34))</f>
        <v>6.82</v>
      </c>
      <c r="G34" s="2">
        <f>CHOOSE($Q34,INDEX('F Proj'!$D$1:$D$7669,S34),INDEX('D Proj'!$T$1:$T$513,S34),INDEX('K Proj'!$L$1:$L$508,S34))</f>
        <v>2.57</v>
      </c>
      <c r="H34" s="2" t="e">
        <f>CHOOSE($Q34,INDEX('F Proj'!$D$1:$D$7669,T34),INDEX('D Proj'!$T$1:$T$513,T34),INDEX('K Proj'!$L$1:$L$508,T34))</f>
        <v>#N/A</v>
      </c>
      <c r="I34" s="24">
        <f>CHOOSE($Q34,INDEX('F Proj'!$O$1:$O$7669,R34),INDEX('D Proj'!$W$1:$W$513,R34),INDEX('K Proj'!$S$1:$S$508,R34))</f>
        <v>42</v>
      </c>
      <c r="J34" s="24">
        <f>CHOOSE($Q34,INDEX('F Proj'!$O$1:$O$7669,S34),INDEX('D Proj'!$W$1:$W$513,S34),INDEX('K Proj'!$S$1:$S$508,S34))</f>
        <v>95</v>
      </c>
      <c r="K34" s="24" t="e">
        <f>CHOOSE($Q34,INDEX('F Proj'!$O$1:$O$7669,T34),INDEX('D Proj'!$W$1:$W$513,T34),INDEX('K Proj'!$S$1:$S$508,T34))</f>
        <v>#N/A</v>
      </c>
      <c r="L34" t="str">
        <f>INDEX('ROS Proj'!$AA$2:$AA$561,MATCH($B34,'ROS Proj'!$A$2:$A$561,0))&amp;"-"&amp;INDEX('ROS Proj'!$AH$2:$AH$561,MATCH($B34,'ROS Proj'!$A$2:$A$561,0))</f>
        <v>WR104-319</v>
      </c>
      <c r="M34" t="e">
        <f>INDEX('top 300 &amp; Draft'!$B$2:$B$301,MATCH(B34,'top 300 &amp; Draft'!$A$2:$A$301,0))&amp;"-"&amp;MATCH(B34,'top 300 &amp; Draft'!$A$2:$A$301,0)</f>
        <v>#N/A</v>
      </c>
      <c r="N34" t="str">
        <f>IFERROR(INDEX('top 300 &amp; Draft'!$T$2:$T$151,MATCH(B34,'top 300 &amp; Draft'!$P$2:$P$151,0)),"UND")</f>
        <v>UND</v>
      </c>
      <c r="P34" s="21" t="str">
        <f>IF(ISERROR(MATCH($B34,'F Proj'!$B$1:$B$7669,0)),IF(ISERROR(MATCH($B34,'D Proj'!$B$1:$B$513,0)),IF(ISERROR(MATCH($B34,'K Proj'!$B$1:$B$508,0)),"?","K"),"D"),"FLEX")</f>
        <v>FLEX</v>
      </c>
      <c r="Q34" s="21">
        <f t="shared" si="2"/>
        <v>1</v>
      </c>
      <c r="R34" s="21">
        <f>CHOOSE($Q34,MATCH($B34&amp;R$9,'F Proj'!$P$1:$P$7669,0),MATCH($B34&amp;R$9,'D Proj'!$X$1:$X$513,0),MATCH($B34&amp;R$9,'K Proj'!$T$1:$T$508,0))</f>
        <v>1896</v>
      </c>
      <c r="S34" s="21">
        <f>CHOOSE($Q34,MATCH($B34&amp;S$9,'F Proj'!$P$1:$P$7669,0),MATCH($B34&amp;S$9,'D Proj'!$X$1:$X$513,0),MATCH($B34&amp;S$9,'K Proj'!$T$1:$T$508,0))</f>
        <v>3818</v>
      </c>
      <c r="T34" s="21" t="e">
        <f>CHOOSE($Q34,MATCH($B34&amp;T$9,'F Proj'!$P$1:$P$7669,0),MATCH($B34&amp;T$9,'D Proj'!$X$1:$X$513,0),MATCH($B34&amp;T$9,'K Proj'!$T$1:$T$508,0))</f>
        <v>#N/A</v>
      </c>
    </row>
    <row r="35" spans="1:20" x14ac:dyDescent="0.25">
      <c r="A35">
        <f>IF(INDEX(Rosters!$A$2:$A$155,A34+1)=$A$27,A34+1,"")</f>
        <v>38</v>
      </c>
      <c r="B35" s="165" t="str">
        <f>INDEX(Rosters!$B$2:$B$155,$A35)</f>
        <v>Travis Kelce</v>
      </c>
      <c r="C35" s="165"/>
      <c r="D35" s="19"/>
      <c r="E35" s="21" t="b">
        <v>0</v>
      </c>
      <c r="F35" s="2">
        <f>CHOOSE($Q35,INDEX('F Proj'!$D$1:$D$7669,R35),INDEX('D Proj'!$T$1:$T$513,R35),INDEX('K Proj'!$L$1:$L$508,R35))</f>
        <v>10.91</v>
      </c>
      <c r="G35" s="2">
        <f>CHOOSE($Q35,INDEX('F Proj'!$D$1:$D$7669,S35),INDEX('D Proj'!$T$1:$T$513,S35),INDEX('K Proj'!$L$1:$L$508,S35))</f>
        <v>9.42</v>
      </c>
      <c r="H35" s="2">
        <f>CHOOSE($Q35,INDEX('F Proj'!$D$1:$D$7669,T35),INDEX('D Proj'!$T$1:$T$513,T35),INDEX('K Proj'!$L$1:$L$508,T35))</f>
        <v>10.64</v>
      </c>
      <c r="I35" s="24">
        <f>CHOOSE($Q35,INDEX('F Proj'!$O$1:$O$7669,R35),INDEX('D Proj'!$W$1:$W$513,R35),INDEX('K Proj'!$S$1:$S$508,R35))</f>
        <v>1</v>
      </c>
      <c r="J35" s="24">
        <f>CHOOSE($Q35,INDEX('F Proj'!$O$1:$O$7669,S35),INDEX('D Proj'!$W$1:$W$513,S35),INDEX('K Proj'!$S$1:$S$508,S35))</f>
        <v>2</v>
      </c>
      <c r="K35" s="24">
        <f>CHOOSE($Q35,INDEX('F Proj'!$O$1:$O$7669,T35),INDEX('D Proj'!$W$1:$W$513,T35),INDEX('K Proj'!$S$1:$S$508,T35))</f>
        <v>1</v>
      </c>
      <c r="L35" t="str">
        <f>INDEX('ROS Proj'!$AA$2:$AA$561,MATCH($B35,'ROS Proj'!$A$2:$A$561,0))&amp;"-"&amp;INDEX('ROS Proj'!$AH$2:$AH$561,MATCH($B35,'ROS Proj'!$A$2:$A$561,0))</f>
        <v>TE2-28</v>
      </c>
      <c r="M35" t="str">
        <f>INDEX('top 300 &amp; Draft'!$B$2:$B$301,MATCH(B35,'top 300 &amp; Draft'!$A$2:$A$301,0))&amp;"-"&amp;MATCH(B35,'top 300 &amp; Draft'!$A$2:$A$301,0)</f>
        <v>TE1-22</v>
      </c>
      <c r="N35" t="str">
        <f>IFERROR(INDEX('top 300 &amp; Draft'!$T$2:$T$151,MATCH(B35,'top 300 &amp; Draft'!$P$2:$P$151,0)),"UND")</f>
        <v>TE3-35</v>
      </c>
      <c r="P35" s="21" t="str">
        <f>IF(ISERROR(MATCH($B35,'F Proj'!$B$1:$B$7669,0)),IF(ISERROR(MATCH($B35,'D Proj'!$B$1:$B$513,0)),IF(ISERROR(MATCH($B35,'K Proj'!$B$1:$B$508,0)),"?","K"),"D"),"FLEX")</f>
        <v>FLEX</v>
      </c>
      <c r="Q35" s="21">
        <f t="shared" si="2"/>
        <v>1</v>
      </c>
      <c r="R35" s="21">
        <f>CHOOSE($Q35,MATCH($B35&amp;R$9,'F Proj'!$P$1:$P$7669,0),MATCH($B35&amp;R$9,'D Proj'!$X$1:$X$513,0),MATCH($B35&amp;R$9,'K Proj'!$T$1:$T$508,0))</f>
        <v>933</v>
      </c>
      <c r="S35" s="21">
        <f>CHOOSE($Q35,MATCH($B35&amp;S$9,'F Proj'!$P$1:$P$7669,0),MATCH($B35&amp;S$9,'D Proj'!$X$1:$X$513,0),MATCH($B35&amp;S$9,'K Proj'!$T$1:$T$508,0))</f>
        <v>1194</v>
      </c>
      <c r="T35" s="21">
        <f>CHOOSE($Q35,MATCH($B35&amp;T$9,'F Proj'!$P$1:$P$7669,0),MATCH($B35&amp;T$9,'D Proj'!$X$1:$X$513,0),MATCH($B35&amp;T$9,'K Proj'!$T$1:$T$508,0))</f>
        <v>968</v>
      </c>
    </row>
    <row r="36" spans="1:20" x14ac:dyDescent="0.25">
      <c r="A36">
        <f>IF(INDEX(Rosters!$A$2:$A$155,A35+1)=$A$27,A35+1,"")</f>
        <v>39</v>
      </c>
      <c r="B36" s="165" t="str">
        <f>INDEX(Rosters!$B$2:$B$155,$A36)</f>
        <v>Titans D/ST</v>
      </c>
      <c r="C36" s="165"/>
      <c r="D36" s="19"/>
      <c r="E36" s="21" t="b">
        <v>0</v>
      </c>
      <c r="F36" s="2">
        <f>CHOOSE($Q36,INDEX('F Proj'!$D$1:$D$7669,R36),INDEX('D Proj'!$T$1:$T$513,R36),INDEX('K Proj'!$L$1:$L$508,R36))</f>
        <v>7.16</v>
      </c>
      <c r="G36" s="2">
        <f>CHOOSE($Q36,INDEX('F Proj'!$D$1:$D$7669,S36),INDEX('D Proj'!$T$1:$T$513,S36),INDEX('K Proj'!$L$1:$L$508,S36))</f>
        <v>4.45</v>
      </c>
      <c r="H36" s="2">
        <f>CHOOSE($Q36,INDEX('F Proj'!$D$1:$D$7669,T36),INDEX('D Proj'!$T$1:$T$513,T36),INDEX('K Proj'!$L$1:$L$508,T36))</f>
        <v>2.92</v>
      </c>
      <c r="I36" s="24">
        <f>CHOOSE($Q36,INDEX('F Proj'!$O$1:$O$7669,R36),INDEX('D Proj'!$W$1:$W$513,R36),INDEX('K Proj'!$S$1:$S$508,R36))</f>
        <v>6</v>
      </c>
      <c r="J36" s="24">
        <f>CHOOSE($Q36,INDEX('F Proj'!$O$1:$O$7669,S36),INDEX('D Proj'!$W$1:$W$513,S36),INDEX('K Proj'!$S$1:$S$508,S36))</f>
        <v>24</v>
      </c>
      <c r="K36" s="24">
        <f>CHOOSE($Q36,INDEX('F Proj'!$O$1:$O$7669,T36),INDEX('D Proj'!$W$1:$W$513,T36),INDEX('K Proj'!$S$1:$S$508,T36))</f>
        <v>27</v>
      </c>
      <c r="L36" t="str">
        <f>INDEX('ROS Proj'!$AA$2:$AA$561,MATCH($B36,'ROS Proj'!$A$2:$A$561,0))&amp;"-"&amp;INDEX('ROS Proj'!$AH$2:$AH$561,MATCH($B36,'ROS Proj'!$A$2:$A$561,0))</f>
        <v>D27-222</v>
      </c>
      <c r="M36" t="str">
        <f>INDEX('top 300 &amp; Draft'!$B$2:$B$301,MATCH(B36,'top 300 &amp; Draft'!$A$2:$A$301,0))&amp;"-"&amp;MATCH(B36,'top 300 &amp; Draft'!$A$2:$A$301,0)</f>
        <v>DST13-121</v>
      </c>
      <c r="N36" t="str">
        <f>IFERROR(INDEX('top 300 &amp; Draft'!$T$2:$T$151,MATCH(B36,'top 300 &amp; Draft'!$P$2:$P$151,0)),"UND")</f>
        <v>D9-144</v>
      </c>
      <c r="P36" s="21" t="str">
        <f>IF(ISERROR(MATCH($B36,'F Proj'!$B$1:$B$7669,0)),IF(ISERROR(MATCH($B36,'D Proj'!$B$1:$B$513,0)),IF(ISERROR(MATCH($B36,'K Proj'!$B$1:$B$508,0)),"?","K"),"D"),"FLEX")</f>
        <v>D</v>
      </c>
      <c r="Q36" s="21">
        <f t="shared" si="2"/>
        <v>2</v>
      </c>
      <c r="R36" s="21">
        <f>CHOOSE($Q36,MATCH($B36&amp;R$9,'F Proj'!$P$1:$P$7669,0),MATCH($B36&amp;R$9,'D Proj'!$X$1:$X$513,0),MATCH($B36&amp;R$9,'K Proj'!$T$1:$T$508,0))</f>
        <v>148</v>
      </c>
      <c r="S36" s="21">
        <f>CHOOSE($Q36,MATCH($B36&amp;S$9,'F Proj'!$P$1:$P$7669,0),MATCH($B36&amp;S$9,'D Proj'!$X$1:$X$513,0),MATCH($B36&amp;S$9,'K Proj'!$T$1:$T$508,0))</f>
        <v>396</v>
      </c>
      <c r="T36" s="21">
        <f>CHOOSE($Q36,MATCH($B36&amp;T$9,'F Proj'!$P$1:$P$7669,0),MATCH($B36&amp;T$9,'D Proj'!$X$1:$X$513,0),MATCH($B36&amp;T$9,'K Proj'!$T$1:$T$508,0))</f>
        <v>477</v>
      </c>
    </row>
    <row r="37" spans="1:20" x14ac:dyDescent="0.25">
      <c r="A37">
        <f>IF(INDEX(Rosters!$A$2:$A$155,A36+1)=$A$27,A36+1,"")</f>
        <v>40</v>
      </c>
      <c r="B37" s="165" t="str">
        <f>INDEX(Rosters!$B$2:$B$155,$A37)</f>
        <v>Cairo Santos</v>
      </c>
      <c r="C37" s="165"/>
      <c r="D37" s="19"/>
      <c r="E37" s="21" t="b">
        <v>0</v>
      </c>
      <c r="F37" s="2">
        <f>CHOOSE($Q37,INDEX('F Proj'!$D$1:$D$7669,R37),INDEX('D Proj'!$T$1:$T$513,R37),INDEX('K Proj'!$L$1:$L$508,R37))</f>
        <v>7.41</v>
      </c>
      <c r="G37" s="2" t="e">
        <f>CHOOSE($Q37,INDEX('F Proj'!$D$1:$D$7669,S37),INDEX('D Proj'!$T$1:$T$513,S37),INDEX('K Proj'!$L$1:$L$508,S37))</f>
        <v>#N/A</v>
      </c>
      <c r="H37" s="2" t="e">
        <f>CHOOSE($Q37,INDEX('F Proj'!$D$1:$D$7669,T37),INDEX('D Proj'!$T$1:$T$513,T37),INDEX('K Proj'!$L$1:$L$508,T37))</f>
        <v>#N/A</v>
      </c>
      <c r="I37" s="24">
        <f>CHOOSE($Q37,INDEX('F Proj'!$O$1:$O$7669,R37),INDEX('D Proj'!$W$1:$W$513,R37),INDEX('K Proj'!$S$1:$S$508,R37))</f>
        <v>11</v>
      </c>
      <c r="J37" s="24" t="e">
        <f>CHOOSE($Q37,INDEX('F Proj'!$O$1:$O$7669,S37),INDEX('D Proj'!$W$1:$W$513,S37),INDEX('K Proj'!$S$1:$S$508,S37))</f>
        <v>#N/A</v>
      </c>
      <c r="K37" s="24" t="e">
        <f>CHOOSE($Q37,INDEX('F Proj'!$O$1:$O$7669,T37),INDEX('D Proj'!$W$1:$W$513,T37),INDEX('K Proj'!$S$1:$S$508,T37))</f>
        <v>#N/A</v>
      </c>
      <c r="L37" t="str">
        <f>INDEX('ROS Proj'!$AA$2:$AA$561,MATCH($B37,'ROS Proj'!$A$2:$A$561,0))&amp;"-"&amp;INDEX('ROS Proj'!$AH$2:$AH$561,MATCH($B37,'ROS Proj'!$A$2:$A$561,0))</f>
        <v>K33-523</v>
      </c>
      <c r="M37" t="e">
        <f>INDEX('top 300 &amp; Draft'!$B$2:$B$301,MATCH(B37,'top 300 &amp; Draft'!$A$2:$A$301,0))&amp;"-"&amp;MATCH(B37,'top 300 &amp; Draft'!$A$2:$A$301,0)</f>
        <v>#N/A</v>
      </c>
      <c r="N37" t="str">
        <f>IFERROR(INDEX('top 300 &amp; Draft'!$T$2:$T$151,MATCH(B37,'top 300 &amp; Draft'!$P$2:$P$151,0)),"UND")</f>
        <v>UND</v>
      </c>
      <c r="P37" s="21" t="str">
        <f>IF(ISERROR(MATCH($B37,'F Proj'!$B$1:$B$7669,0)),IF(ISERROR(MATCH($B37,'D Proj'!$B$1:$B$513,0)),IF(ISERROR(MATCH($B37,'K Proj'!$B$1:$B$508,0)),"?","K"),"D"),"FLEX")</f>
        <v>K</v>
      </c>
      <c r="Q37" s="21">
        <f t="shared" si="2"/>
        <v>3</v>
      </c>
      <c r="R37" s="21">
        <f>CHOOSE($Q37,MATCH($B37&amp;R$9,'F Proj'!$P$1:$P$7669,0),MATCH($B37&amp;R$9,'D Proj'!$X$1:$X$513,0),MATCH($B37&amp;R$9,'K Proj'!$T$1:$T$508,0))</f>
        <v>183</v>
      </c>
      <c r="S37" s="21" t="e">
        <f>CHOOSE($Q37,MATCH($B37&amp;S$9,'F Proj'!$P$1:$P$7669,0),MATCH($B37&amp;S$9,'D Proj'!$X$1:$X$513,0),MATCH($B37&amp;S$9,'K Proj'!$T$1:$T$508,0))</f>
        <v>#N/A</v>
      </c>
      <c r="T37" s="21" t="e">
        <f>CHOOSE($Q37,MATCH($B37&amp;T$9,'F Proj'!$P$1:$P$7669,0),MATCH($B37&amp;T$9,'D Proj'!$X$1:$X$513,0),MATCH($B37&amp;T$9,'K Proj'!$T$1:$T$508,0))</f>
        <v>#N/A</v>
      </c>
    </row>
    <row r="38" spans="1:20" x14ac:dyDescent="0.25">
      <c r="A38">
        <f>IF(INDEX(Rosters!$A$2:$A$155,A37+1)=$A$27,A37+1,"")</f>
        <v>41</v>
      </c>
      <c r="B38" s="165" t="str">
        <f>INDEX(Rosters!$B$2:$B$155,$A38)</f>
        <v>Mike Evans</v>
      </c>
      <c r="C38" s="165"/>
      <c r="D38" s="19"/>
      <c r="E38" s="21" t="b">
        <v>0</v>
      </c>
      <c r="F38" s="2" t="e">
        <f>CHOOSE($Q38,INDEX('F Proj'!$D$1:$D$7669,R38),INDEX('D Proj'!$T$1:$T$513,R38),INDEX('K Proj'!$L$1:$L$508,R38))</f>
        <v>#N/A</v>
      </c>
      <c r="G38" s="2">
        <f>CHOOSE($Q38,INDEX('F Proj'!$D$1:$D$7669,S38),INDEX('D Proj'!$T$1:$T$513,S38),INDEX('K Proj'!$L$1:$L$508,S38))</f>
        <v>11.59</v>
      </c>
      <c r="H38" s="2">
        <f>CHOOSE($Q38,INDEX('F Proj'!$D$1:$D$7669,T38),INDEX('D Proj'!$T$1:$T$513,T38),INDEX('K Proj'!$L$1:$L$508,T38))</f>
        <v>11.57</v>
      </c>
      <c r="I38" s="24" t="e">
        <f>CHOOSE($Q38,INDEX('F Proj'!$O$1:$O$7669,R38),INDEX('D Proj'!$W$1:$W$513,R38),INDEX('K Proj'!$S$1:$S$508,R38))</f>
        <v>#N/A</v>
      </c>
      <c r="J38" s="24">
        <f>CHOOSE($Q38,INDEX('F Proj'!$O$1:$O$7669,S38),INDEX('D Proj'!$W$1:$W$513,S38),INDEX('K Proj'!$S$1:$S$508,S38))</f>
        <v>9</v>
      </c>
      <c r="K38" s="24">
        <f>CHOOSE($Q38,INDEX('F Proj'!$O$1:$O$7669,T38),INDEX('D Proj'!$W$1:$W$513,T38),INDEX('K Proj'!$S$1:$S$508,T38))</f>
        <v>10</v>
      </c>
      <c r="L38" t="str">
        <f>INDEX('ROS Proj'!$AA$2:$AA$561,MATCH($B38,'ROS Proj'!$A$2:$A$561,0))&amp;"-"&amp;INDEX('ROS Proj'!$AH$2:$AH$561,MATCH($B38,'ROS Proj'!$A$2:$A$561,0))</f>
        <v>WR12-25</v>
      </c>
      <c r="M38" t="str">
        <f>INDEX('top 300 &amp; Draft'!$B$2:$B$301,MATCH(B38,'top 300 &amp; Draft'!$A$2:$A$301,0))&amp;"-"&amp;MATCH(B38,'top 300 &amp; Draft'!$A$2:$A$301,0)</f>
        <v>WR10-27</v>
      </c>
      <c r="N38" t="str">
        <f>IFERROR(INDEX('top 300 &amp; Draft'!$T$2:$T$151,MATCH(B38,'top 300 &amp; Draft'!$P$2:$P$151,0)),"UND")</f>
        <v>WR9-25</v>
      </c>
      <c r="P38" s="21" t="str">
        <f>IF(ISERROR(MATCH($B38,'F Proj'!$B$1:$B$7669,0)),IF(ISERROR(MATCH($B38,'D Proj'!$B$1:$B$513,0)),IF(ISERROR(MATCH($B38,'K Proj'!$B$1:$B$508,0)),"?","K"),"D"),"FLEX")</f>
        <v>FLEX</v>
      </c>
      <c r="Q38" s="21">
        <f t="shared" si="2"/>
        <v>1</v>
      </c>
      <c r="R38" s="21" t="e">
        <f>CHOOSE($Q38,MATCH($B38&amp;R$9,'F Proj'!$P$1:$P$7669,0),MATCH($B38&amp;R$9,'D Proj'!$X$1:$X$513,0),MATCH($B38&amp;R$9,'K Proj'!$T$1:$T$508,0))</f>
        <v>#N/A</v>
      </c>
      <c r="S38" s="21">
        <f>CHOOSE($Q38,MATCH($B38&amp;S$9,'F Proj'!$P$1:$P$7669,0),MATCH($B38&amp;S$9,'D Proj'!$X$1:$X$513,0),MATCH($B38&amp;S$9,'K Proj'!$T$1:$T$508,0))</f>
        <v>864</v>
      </c>
      <c r="T38" s="21">
        <f>CHOOSE($Q38,MATCH($B38&amp;T$9,'F Proj'!$P$1:$P$7669,0),MATCH($B38&amp;T$9,'D Proj'!$X$1:$X$513,0),MATCH($B38&amp;T$9,'K Proj'!$T$1:$T$508,0))</f>
        <v>869</v>
      </c>
    </row>
    <row r="39" spans="1:20" x14ac:dyDescent="0.25">
      <c r="A39">
        <f>IF(INDEX(Rosters!$A$2:$A$155,A38+1)=$A$27,A38+1,"")</f>
        <v>42</v>
      </c>
      <c r="B39" s="165" t="str">
        <f>INDEX(Rosters!$B$2:$B$155,$A39)</f>
        <v>LeSean McCoy</v>
      </c>
      <c r="C39" s="165"/>
      <c r="D39" s="19"/>
      <c r="E39" s="21" t="b">
        <v>0</v>
      </c>
      <c r="F39" s="2">
        <f>CHOOSE($Q39,INDEX('F Proj'!$D$1:$D$7669,R39),INDEX('D Proj'!$T$1:$T$513,R39),INDEX('K Proj'!$L$1:$L$508,R39))</f>
        <v>9.24</v>
      </c>
      <c r="G39" s="2">
        <f>CHOOSE($Q39,INDEX('F Proj'!$D$1:$D$7669,S39),INDEX('D Proj'!$T$1:$T$513,S39),INDEX('K Proj'!$L$1:$L$508,S39))</f>
        <v>8.1300000000000008</v>
      </c>
      <c r="H39" s="2">
        <f>CHOOSE($Q39,INDEX('F Proj'!$D$1:$D$7669,T39),INDEX('D Proj'!$T$1:$T$513,T39),INDEX('K Proj'!$L$1:$L$508,T39))</f>
        <v>8.25</v>
      </c>
      <c r="I39" s="24">
        <f>CHOOSE($Q39,INDEX('F Proj'!$O$1:$O$7669,R39),INDEX('D Proj'!$W$1:$W$513,R39),INDEX('K Proj'!$S$1:$S$508,R39))</f>
        <v>21</v>
      </c>
      <c r="J39" s="24">
        <f>CHOOSE($Q39,INDEX('F Proj'!$O$1:$O$7669,S39),INDEX('D Proj'!$W$1:$W$513,S39),INDEX('K Proj'!$S$1:$S$508,S39))</f>
        <v>26</v>
      </c>
      <c r="K39" s="24">
        <f>CHOOSE($Q39,INDEX('F Proj'!$O$1:$O$7669,T39),INDEX('D Proj'!$W$1:$W$513,T39),INDEX('K Proj'!$S$1:$S$508,T39))</f>
        <v>24</v>
      </c>
      <c r="L39" t="str">
        <f>INDEX('ROS Proj'!$AA$2:$AA$561,MATCH($B39,'ROS Proj'!$A$2:$A$561,0))&amp;"-"&amp;INDEX('ROS Proj'!$AH$2:$AH$561,MATCH($B39,'ROS Proj'!$A$2:$A$561,0))</f>
        <v>RB26-59</v>
      </c>
      <c r="M39" t="str">
        <f>INDEX('top 300 &amp; Draft'!$B$2:$B$301,MATCH(B39,'top 300 &amp; Draft'!$A$2:$A$301,0))&amp;"-"&amp;MATCH(B39,'top 300 &amp; Draft'!$A$2:$A$301,0)</f>
        <v>RB25-78</v>
      </c>
      <c r="N39" t="str">
        <f>IFERROR(INDEX('top 300 &amp; Draft'!$T$2:$T$151,MATCH(B39,'top 300 &amp; Draft'!$P$2:$P$151,0)),"UND")</f>
        <v>RB11-15</v>
      </c>
      <c r="P39" s="21" t="str">
        <f>IF(ISERROR(MATCH($B39,'F Proj'!$B$1:$B$7669,0)),IF(ISERROR(MATCH($B39,'D Proj'!$B$1:$B$513,0)),IF(ISERROR(MATCH($B39,'K Proj'!$B$1:$B$508,0)),"?","K"),"D"),"FLEX")</f>
        <v>FLEX</v>
      </c>
      <c r="Q39" s="21">
        <f t="shared" si="2"/>
        <v>1</v>
      </c>
      <c r="R39" s="21">
        <f>CHOOSE($Q39,MATCH($B39&amp;R$9,'F Proj'!$P$1:$P$7669,0),MATCH($B39&amp;R$9,'D Proj'!$X$1:$X$513,0),MATCH($B39&amp;R$9,'K Proj'!$T$1:$T$508,0))</f>
        <v>1227</v>
      </c>
      <c r="S39" s="21">
        <f>CHOOSE($Q39,MATCH($B39&amp;S$9,'F Proj'!$P$1:$P$7669,0),MATCH($B39&amp;S$9,'D Proj'!$X$1:$X$513,0),MATCH($B39&amp;S$9,'K Proj'!$T$1:$T$508,0))</f>
        <v>1494</v>
      </c>
      <c r="T39" s="21">
        <f>CHOOSE($Q39,MATCH($B39&amp;T$9,'F Proj'!$P$1:$P$7669,0),MATCH($B39&amp;T$9,'D Proj'!$X$1:$X$513,0),MATCH($B39&amp;T$9,'K Proj'!$T$1:$T$508,0))</f>
        <v>1455</v>
      </c>
    </row>
    <row r="40" spans="1:20" x14ac:dyDescent="0.25">
      <c r="A40">
        <f>IF(INDEX(Rosters!$A$2:$A$155,A39+1)=$A$27,A39+1,"")</f>
        <v>43</v>
      </c>
      <c r="B40" s="165" t="str">
        <f>INDEX(Rosters!$B$2:$B$155,$A40)</f>
        <v>Michael Crabtree</v>
      </c>
      <c r="C40" s="165"/>
      <c r="D40" s="19"/>
      <c r="E40" s="21" t="b">
        <v>0</v>
      </c>
      <c r="F40" s="2">
        <f>CHOOSE($Q40,INDEX('F Proj'!$D$1:$D$7669,R40),INDEX('D Proj'!$T$1:$T$513,R40),INDEX('K Proj'!$L$1:$L$508,R40))</f>
        <v>7.81</v>
      </c>
      <c r="G40" s="2">
        <f>CHOOSE($Q40,INDEX('F Proj'!$D$1:$D$7669,S40),INDEX('D Proj'!$T$1:$T$513,S40),INDEX('K Proj'!$L$1:$L$508,S40))</f>
        <v>7.85</v>
      </c>
      <c r="H40" s="2">
        <f>CHOOSE($Q40,INDEX('F Proj'!$D$1:$D$7669,T40),INDEX('D Proj'!$T$1:$T$513,T40),INDEX('K Proj'!$L$1:$L$508,T40))</f>
        <v>8.5</v>
      </c>
      <c r="I40" s="24">
        <f>CHOOSE($Q40,INDEX('F Proj'!$O$1:$O$7669,R40),INDEX('D Proj'!$W$1:$W$513,R40),INDEX('K Proj'!$S$1:$S$508,R40))</f>
        <v>32</v>
      </c>
      <c r="J40" s="24">
        <f>CHOOSE($Q40,INDEX('F Proj'!$O$1:$O$7669,S40),INDEX('D Proj'!$W$1:$W$513,S40),INDEX('K Proj'!$S$1:$S$508,S40))</f>
        <v>32</v>
      </c>
      <c r="K40" s="24">
        <f>CHOOSE($Q40,INDEX('F Proj'!$O$1:$O$7669,T40),INDEX('D Proj'!$W$1:$W$513,T40),INDEX('K Proj'!$S$1:$S$508,T40))</f>
        <v>23</v>
      </c>
      <c r="L40" t="str">
        <f>INDEX('ROS Proj'!$AA$2:$AA$561,MATCH($B40,'ROS Proj'!$A$2:$A$561,0))&amp;"-"&amp;INDEX('ROS Proj'!$AH$2:$AH$561,MATCH($B40,'ROS Proj'!$A$2:$A$561,0))</f>
        <v>WR35-69</v>
      </c>
      <c r="M40" t="str">
        <f>INDEX('top 300 &amp; Draft'!$B$2:$B$301,MATCH(B40,'top 300 &amp; Draft'!$A$2:$A$301,0))&amp;"-"&amp;MATCH(B40,'top 300 &amp; Draft'!$A$2:$A$301,0)</f>
        <v>WR35-135</v>
      </c>
      <c r="N40" t="str">
        <f>IFERROR(INDEX('top 300 &amp; Draft'!$T$2:$T$151,MATCH(B40,'top 300 &amp; Draft'!$P$2:$P$151,0)),"UND")</f>
        <v>WR30-70</v>
      </c>
      <c r="P40" s="21" t="str">
        <f>IF(ISERROR(MATCH($B40,'F Proj'!$B$1:$B$7669,0)),IF(ISERROR(MATCH($B40,'D Proj'!$B$1:$B$513,0)),IF(ISERROR(MATCH($B40,'K Proj'!$B$1:$B$508,0)),"?","K"),"D"),"FLEX")</f>
        <v>FLEX</v>
      </c>
      <c r="Q40" s="21">
        <f t="shared" si="2"/>
        <v>1</v>
      </c>
      <c r="R40" s="21">
        <f>CHOOSE($Q40,MATCH($B40&amp;R$9,'F Proj'!$P$1:$P$7669,0),MATCH($B40&amp;R$9,'D Proj'!$X$1:$X$513,0),MATCH($B40&amp;R$9,'K Proj'!$T$1:$T$508,0))</f>
        <v>1593</v>
      </c>
      <c r="S40" s="21">
        <f>CHOOSE($Q40,MATCH($B40&amp;S$9,'F Proj'!$P$1:$P$7669,0),MATCH($B40&amp;S$9,'D Proj'!$X$1:$X$513,0),MATCH($B40&amp;S$9,'K Proj'!$T$1:$T$508,0))</f>
        <v>1583</v>
      </c>
      <c r="T40" s="21">
        <f>CHOOSE($Q40,MATCH($B40&amp;T$9,'F Proj'!$P$1:$P$7669,0),MATCH($B40&amp;T$9,'D Proj'!$X$1:$X$513,0),MATCH($B40&amp;T$9,'K Proj'!$T$1:$T$508,0))</f>
        <v>1394</v>
      </c>
    </row>
    <row r="41" spans="1:20" x14ac:dyDescent="0.25">
      <c r="A41">
        <f>IF(INDEX(Rosters!$A$2:$A$155,A40+1)=$A$27,A40+1,"")</f>
        <v>44</v>
      </c>
      <c r="B41" s="165" t="str">
        <f>INDEX(Rosters!$B$2:$B$155,$A41)</f>
        <v>Kerryon Johnson</v>
      </c>
      <c r="C41" s="165"/>
      <c r="D41" s="19"/>
      <c r="E41" s="21" t="b">
        <v>1</v>
      </c>
      <c r="F41" s="2">
        <f>CHOOSE($Q41,INDEX('F Proj'!$D$1:$D$7669,R41),INDEX('D Proj'!$T$1:$T$513,R41),INDEX('K Proj'!$L$1:$L$508,R41))</f>
        <v>8.67</v>
      </c>
      <c r="G41" s="2" t="e">
        <f>CHOOSE($Q41,INDEX('F Proj'!$D$1:$D$7669,S41),INDEX('D Proj'!$T$1:$T$513,S41),INDEX('K Proj'!$L$1:$L$508,S41))</f>
        <v>#N/A</v>
      </c>
      <c r="H41" s="2">
        <f>CHOOSE($Q41,INDEX('F Proj'!$D$1:$D$7669,T41),INDEX('D Proj'!$T$1:$T$513,T41),INDEX('K Proj'!$L$1:$L$508,T41))</f>
        <v>7.74</v>
      </c>
      <c r="I41" s="24">
        <f>CHOOSE($Q41,INDEX('F Proj'!$O$1:$O$7669,R41),INDEX('D Proj'!$W$1:$W$513,R41),INDEX('K Proj'!$S$1:$S$508,R41))</f>
        <v>25</v>
      </c>
      <c r="J41" s="24" t="e">
        <f>CHOOSE($Q41,INDEX('F Proj'!$O$1:$O$7669,S41),INDEX('D Proj'!$W$1:$W$513,S41),INDEX('K Proj'!$S$1:$S$508,S41))</f>
        <v>#N/A</v>
      </c>
      <c r="K41" s="24">
        <f>CHOOSE($Q41,INDEX('F Proj'!$O$1:$O$7669,T41),INDEX('D Proj'!$W$1:$W$513,T41),INDEX('K Proj'!$S$1:$S$508,T41))</f>
        <v>27</v>
      </c>
      <c r="L41" t="str">
        <f>INDEX('ROS Proj'!$AA$2:$AA$561,MATCH($B41,'ROS Proj'!$A$2:$A$561,0))&amp;"-"&amp;INDEX('ROS Proj'!$AH$2:$AH$561,MATCH($B41,'ROS Proj'!$A$2:$A$561,0))</f>
        <v>RB32-81</v>
      </c>
      <c r="M41" t="str">
        <f>INDEX('top 300 &amp; Draft'!$B$2:$B$301,MATCH(B41,'top 300 &amp; Draft'!$A$2:$A$301,0))&amp;"-"&amp;MATCH(B41,'top 300 &amp; Draft'!$A$2:$A$301,0)</f>
        <v>RB26-79</v>
      </c>
      <c r="N41" t="str">
        <f>IFERROR(INDEX('top 300 &amp; Draft'!$T$2:$T$151,MATCH(B41,'top 300 &amp; Draft'!$P$2:$P$151,0)),"UND")</f>
        <v>RB34-92</v>
      </c>
      <c r="P41" s="21" t="str">
        <f>IF(ISERROR(MATCH($B41,'F Proj'!$B$1:$B$7669,0)),IF(ISERROR(MATCH($B41,'D Proj'!$B$1:$B$513,0)),IF(ISERROR(MATCH($B41,'K Proj'!$B$1:$B$508,0)),"?","K"),"D"),"FLEX")</f>
        <v>FLEX</v>
      </c>
      <c r="Q41" s="21">
        <f t="shared" si="2"/>
        <v>1</v>
      </c>
      <c r="R41" s="21">
        <f>CHOOSE($Q41,MATCH($B41&amp;R$9,'F Proj'!$P$1:$P$7669,0),MATCH($B41&amp;R$9,'D Proj'!$X$1:$X$513,0),MATCH($B41&amp;R$9,'K Proj'!$T$1:$T$508,0))</f>
        <v>1344</v>
      </c>
      <c r="S41" s="21" t="e">
        <f>CHOOSE($Q41,MATCH($B41&amp;S$9,'F Proj'!$P$1:$P$7669,0),MATCH($B41&amp;S$9,'D Proj'!$X$1:$X$513,0),MATCH($B41&amp;S$9,'K Proj'!$T$1:$T$508,0))</f>
        <v>#N/A</v>
      </c>
      <c r="T41" s="21">
        <f>CHOOSE($Q41,MATCH($B41&amp;T$9,'F Proj'!$P$1:$P$7669,0),MATCH($B41&amp;T$9,'D Proj'!$X$1:$X$513,0),MATCH($B41&amp;T$9,'K Proj'!$T$1:$T$508,0))</f>
        <v>1611</v>
      </c>
    </row>
    <row r="42" spans="1:20" x14ac:dyDescent="0.25">
      <c r="A42">
        <f>IF(INDEX(Rosters!$A$2:$A$155,A41+1)=$A$27,A41+1,"")</f>
        <v>45</v>
      </c>
      <c r="B42" s="165" t="str">
        <f>INDEX(Rosters!$B$2:$B$155,$A42)</f>
        <v>Nelson Agholor</v>
      </c>
      <c r="C42" s="165"/>
      <c r="D42" s="19"/>
      <c r="E42" s="21" t="b">
        <v>0</v>
      </c>
      <c r="F42" s="2">
        <f>CHOOSE($Q42,INDEX('F Proj'!$D$1:$D$7669,R42),INDEX('D Proj'!$T$1:$T$513,R42),INDEX('K Proj'!$L$1:$L$508,R42))</f>
        <v>7.45</v>
      </c>
      <c r="G42" s="2">
        <f>CHOOSE($Q42,INDEX('F Proj'!$D$1:$D$7669,S42),INDEX('D Proj'!$T$1:$T$513,S42),INDEX('K Proj'!$L$1:$L$508,S42))</f>
        <v>8.9499999999999993</v>
      </c>
      <c r="H42" s="2">
        <f>CHOOSE($Q42,INDEX('F Proj'!$D$1:$D$7669,T42),INDEX('D Proj'!$T$1:$T$513,T42),INDEX('K Proj'!$L$1:$L$508,T42))</f>
        <v>6.55</v>
      </c>
      <c r="I42" s="24">
        <f>CHOOSE($Q42,INDEX('F Proj'!$O$1:$O$7669,R42),INDEX('D Proj'!$W$1:$W$513,R42),INDEX('K Proj'!$S$1:$S$508,R42))</f>
        <v>37</v>
      </c>
      <c r="J42" s="24">
        <f>CHOOSE($Q42,INDEX('F Proj'!$O$1:$O$7669,S42),INDEX('D Proj'!$W$1:$W$513,S42),INDEX('K Proj'!$S$1:$S$508,S42))</f>
        <v>22</v>
      </c>
      <c r="K42" s="24">
        <f>CHOOSE($Q42,INDEX('F Proj'!$O$1:$O$7669,T42),INDEX('D Proj'!$W$1:$W$513,T42),INDEX('K Proj'!$S$1:$S$508,T42))</f>
        <v>39</v>
      </c>
      <c r="L42" t="str">
        <f>INDEX('ROS Proj'!$AA$2:$AA$561,MATCH($B42,'ROS Proj'!$A$2:$A$561,0))&amp;"-"&amp;INDEX('ROS Proj'!$AH$2:$AH$561,MATCH($B42,'ROS Proj'!$A$2:$A$561,0))</f>
        <v>WR33-65</v>
      </c>
      <c r="M42" t="str">
        <f>INDEX('top 300 &amp; Draft'!$B$2:$B$301,MATCH(B42,'top 300 &amp; Draft'!$A$2:$A$301,0))&amp;"-"&amp;MATCH(B42,'top 300 &amp; Draft'!$A$2:$A$301,0)</f>
        <v>WR37-142</v>
      </c>
      <c r="N42" t="str">
        <f>IFERROR(INDEX('top 300 &amp; Draft'!$T$2:$T$151,MATCH(B42,'top 300 &amp; Draft'!$P$2:$P$151,0)),"UND")</f>
        <v>WR40-95</v>
      </c>
      <c r="P42" s="21" t="str">
        <f>IF(ISERROR(MATCH($B42,'F Proj'!$B$1:$B$7669,0)),IF(ISERROR(MATCH($B42,'D Proj'!$B$1:$B$513,0)),IF(ISERROR(MATCH($B42,'K Proj'!$B$1:$B$508,0)),"?","K"),"D"),"FLEX")</f>
        <v>FLEX</v>
      </c>
      <c r="Q42" s="21">
        <f t="shared" si="2"/>
        <v>1</v>
      </c>
      <c r="R42" s="21">
        <f>CHOOSE($Q42,MATCH($B42&amp;R$9,'F Proj'!$P$1:$P$7669,0),MATCH($B42&amp;R$9,'D Proj'!$X$1:$X$513,0),MATCH($B42&amp;R$9,'K Proj'!$T$1:$T$508,0))</f>
        <v>1691</v>
      </c>
      <c r="S42" s="21">
        <f>CHOOSE($Q42,MATCH($B42&amp;S$9,'F Proj'!$P$1:$P$7669,0),MATCH($B42&amp;S$9,'D Proj'!$X$1:$X$513,0),MATCH($B42&amp;S$9,'K Proj'!$T$1:$T$508,0))</f>
        <v>1284</v>
      </c>
      <c r="T42" s="21">
        <f>CHOOSE($Q42,MATCH($B42&amp;T$9,'F Proj'!$P$1:$P$7669,0),MATCH($B42&amp;T$9,'D Proj'!$X$1:$X$513,0),MATCH($B42&amp;T$9,'K Proj'!$T$1:$T$508,0))</f>
        <v>1975</v>
      </c>
    </row>
    <row r="43" spans="1:20" x14ac:dyDescent="0.25">
      <c r="A43">
        <f>IF(INDEX(Rosters!$A$2:$A$155,A42+1)=$A$27,A42+1,"")</f>
        <v>46</v>
      </c>
      <c r="B43" s="165" t="str">
        <f>INDEX(Rosters!$B$2:$B$155,$A43)</f>
        <v>Greg Olsen</v>
      </c>
      <c r="C43" s="165"/>
      <c r="D43" s="19"/>
      <c r="E43" s="21" t="b">
        <v>0</v>
      </c>
      <c r="F43" s="2">
        <f>CHOOSE($Q43,INDEX('F Proj'!$D$1:$D$7669,R43),INDEX('D Proj'!$T$1:$T$513,R43),INDEX('K Proj'!$L$1:$L$508,R43))</f>
        <v>0</v>
      </c>
      <c r="G43" s="2">
        <f>CHOOSE($Q43,INDEX('F Proj'!$D$1:$D$7669,S43),INDEX('D Proj'!$T$1:$T$513,S43),INDEX('K Proj'!$L$1:$L$508,S43))</f>
        <v>0</v>
      </c>
      <c r="H43" s="2">
        <f>CHOOSE($Q43,INDEX('F Proj'!$D$1:$D$7669,T43),INDEX('D Proj'!$T$1:$T$513,T43),INDEX('K Proj'!$L$1:$L$508,T43))</f>
        <v>0</v>
      </c>
      <c r="I43" s="24">
        <f>CHOOSE($Q43,INDEX('F Proj'!$O$1:$O$7669,R43),INDEX('D Proj'!$W$1:$W$513,R43),INDEX('K Proj'!$S$1:$S$508,R43))</f>
        <v>90</v>
      </c>
      <c r="J43" s="24">
        <f>CHOOSE($Q43,INDEX('F Proj'!$O$1:$O$7669,S43),INDEX('D Proj'!$W$1:$W$513,S43),INDEX('K Proj'!$S$1:$S$508,S43))</f>
        <v>93</v>
      </c>
      <c r="K43" s="24">
        <f>CHOOSE($Q43,INDEX('F Proj'!$O$1:$O$7669,T43),INDEX('D Proj'!$W$1:$W$513,T43),INDEX('K Proj'!$S$1:$S$508,T43))</f>
        <v>88</v>
      </c>
      <c r="L43" t="str">
        <f>INDEX('ROS Proj'!$AA$2:$AA$561,MATCH($B43,'ROS Proj'!$A$2:$A$561,0))&amp;"-"&amp;INDEX('ROS Proj'!$AH$2:$AH$561,MATCH($B43,'ROS Proj'!$A$2:$A$561,0))</f>
        <v>TE43-284</v>
      </c>
      <c r="M43" t="str">
        <f>INDEX('top 300 &amp; Draft'!$B$2:$B$301,MATCH(B43,'top 300 &amp; Draft'!$A$2:$A$301,0))&amp;"-"&amp;MATCH(B43,'top 300 &amp; Draft'!$A$2:$A$301,0)</f>
        <v>TE21-183</v>
      </c>
      <c r="N43" t="str">
        <f>IFERROR(INDEX('top 300 &amp; Draft'!$T$2:$T$151,MATCH(B43,'top 300 &amp; Draft'!$P$2:$P$151,0)),"UND")</f>
        <v>TE4-56</v>
      </c>
      <c r="P43" s="21" t="str">
        <f>IF(ISERROR(MATCH($B43,'F Proj'!$B$1:$B$7669,0)),IF(ISERROR(MATCH($B43,'D Proj'!$B$1:$B$513,0)),IF(ISERROR(MATCH($B43,'K Proj'!$B$1:$B$508,0)),"?","K"),"D"),"FLEX")</f>
        <v>FLEX</v>
      </c>
      <c r="Q43" s="21">
        <f t="shared" si="2"/>
        <v>1</v>
      </c>
      <c r="R43" s="21">
        <f>CHOOSE($Q43,MATCH($B43&amp;R$9,'F Proj'!$P$1:$P$7669,0),MATCH($B43&amp;R$9,'D Proj'!$X$1:$X$513,0),MATCH($B43&amp;R$9,'K Proj'!$T$1:$T$508,0))</f>
        <v>7375</v>
      </c>
      <c r="S43" s="21">
        <f>CHOOSE($Q43,MATCH($B43&amp;S$9,'F Proj'!$P$1:$P$7669,0),MATCH($B43&amp;S$9,'D Proj'!$X$1:$X$513,0),MATCH($B43&amp;S$9,'K Proj'!$T$1:$T$508,0))</f>
        <v>7376</v>
      </c>
      <c r="T43" s="21">
        <f>CHOOSE($Q43,MATCH($B43&amp;T$9,'F Proj'!$P$1:$P$7669,0),MATCH($B43&amp;T$9,'D Proj'!$X$1:$X$513,0),MATCH($B43&amp;T$9,'K Proj'!$T$1:$T$508,0))</f>
        <v>7377</v>
      </c>
    </row>
    <row r="47" spans="1:20" x14ac:dyDescent="0.25">
      <c r="C47" s="113" t="s">
        <v>5038</v>
      </c>
    </row>
    <row r="48" spans="1:20" x14ac:dyDescent="0.25">
      <c r="B48" s="3"/>
      <c r="C48" s="3">
        <f>PRODUCT(B3:H3)</f>
        <v>0.16714270224888012</v>
      </c>
    </row>
    <row r="62" spans="7:7" x14ac:dyDescent="0.25">
      <c r="G62" s="133"/>
    </row>
    <row r="63" spans="7:7" x14ac:dyDescent="0.25">
      <c r="G63" s="133"/>
    </row>
    <row r="64" spans="7:7" x14ac:dyDescent="0.25">
      <c r="G64" s="133"/>
    </row>
  </sheetData>
  <mergeCells count="36">
    <mergeCell ref="F8:H8"/>
    <mergeCell ref="I8:K8"/>
    <mergeCell ref="B14:C14"/>
    <mergeCell ref="B15:C15"/>
    <mergeCell ref="B41:C41"/>
    <mergeCell ref="B16:C16"/>
    <mergeCell ref="B17:C17"/>
    <mergeCell ref="B18:C18"/>
    <mergeCell ref="B19:C19"/>
    <mergeCell ref="B20:C20"/>
    <mergeCell ref="B21:C21"/>
    <mergeCell ref="B22:C22"/>
    <mergeCell ref="B23:C23"/>
    <mergeCell ref="B24:C24"/>
    <mergeCell ref="B25:C25"/>
    <mergeCell ref="B9:C9"/>
    <mergeCell ref="B43:C43"/>
    <mergeCell ref="B27:C27"/>
    <mergeCell ref="B35:C35"/>
    <mergeCell ref="B36:C36"/>
    <mergeCell ref="B37:C37"/>
    <mergeCell ref="B38:C38"/>
    <mergeCell ref="B39:C39"/>
    <mergeCell ref="B40:C40"/>
    <mergeCell ref="B29:C29"/>
    <mergeCell ref="B30:C30"/>
    <mergeCell ref="B31:C31"/>
    <mergeCell ref="B32:C32"/>
    <mergeCell ref="B28:C28"/>
    <mergeCell ref="B33:C33"/>
    <mergeCell ref="B34:C34"/>
    <mergeCell ref="B10:C10"/>
    <mergeCell ref="B11:C11"/>
    <mergeCell ref="B12:C12"/>
    <mergeCell ref="B13:C13"/>
    <mergeCell ref="B42:C42"/>
  </mergeCells>
  <conditionalFormatting sqref="B5:R5">
    <cfRule type="colorScale" priority="1">
      <colorScale>
        <cfvo type="num" val="-0.15"/>
        <cfvo type="num" val="0"/>
        <cfvo type="num" val="0.15"/>
        <color rgb="FFFF0000"/>
        <color rgb="FFFCFCFF"/>
        <color rgb="FF00B050"/>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3</xdr:col>
                    <xdr:colOff>85725</xdr:colOff>
                    <xdr:row>9</xdr:row>
                    <xdr:rowOff>19050</xdr:rowOff>
                  </from>
                  <to>
                    <xdr:col>3</xdr:col>
                    <xdr:colOff>400050</xdr:colOff>
                    <xdr:row>9</xdr:row>
                    <xdr:rowOff>180975</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3</xdr:col>
                    <xdr:colOff>85725</xdr:colOff>
                    <xdr:row>10</xdr:row>
                    <xdr:rowOff>19050</xdr:rowOff>
                  </from>
                  <to>
                    <xdr:col>3</xdr:col>
                    <xdr:colOff>400050</xdr:colOff>
                    <xdr:row>10</xdr:row>
                    <xdr:rowOff>180975</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3</xdr:col>
                    <xdr:colOff>85725</xdr:colOff>
                    <xdr:row>11</xdr:row>
                    <xdr:rowOff>19050</xdr:rowOff>
                  </from>
                  <to>
                    <xdr:col>3</xdr:col>
                    <xdr:colOff>400050</xdr:colOff>
                    <xdr:row>11</xdr:row>
                    <xdr:rowOff>180975</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3</xdr:col>
                    <xdr:colOff>85725</xdr:colOff>
                    <xdr:row>12</xdr:row>
                    <xdr:rowOff>19050</xdr:rowOff>
                  </from>
                  <to>
                    <xdr:col>3</xdr:col>
                    <xdr:colOff>400050</xdr:colOff>
                    <xdr:row>12</xdr:row>
                    <xdr:rowOff>180975</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3</xdr:col>
                    <xdr:colOff>85725</xdr:colOff>
                    <xdr:row>13</xdr:row>
                    <xdr:rowOff>19050</xdr:rowOff>
                  </from>
                  <to>
                    <xdr:col>3</xdr:col>
                    <xdr:colOff>400050</xdr:colOff>
                    <xdr:row>13</xdr:row>
                    <xdr:rowOff>180975</xdr:rowOff>
                  </to>
                </anchor>
              </controlPr>
            </control>
          </mc:Choice>
        </mc:AlternateContent>
        <mc:AlternateContent xmlns:mc="http://schemas.openxmlformats.org/markup-compatibility/2006">
          <mc:Choice Requires="x14">
            <control shapeId="9222" r:id="rId9" name="Check Box 6">
              <controlPr defaultSize="0" autoFill="0" autoLine="0" autoPict="0">
                <anchor moveWithCells="1">
                  <from>
                    <xdr:col>3</xdr:col>
                    <xdr:colOff>85725</xdr:colOff>
                    <xdr:row>14</xdr:row>
                    <xdr:rowOff>19050</xdr:rowOff>
                  </from>
                  <to>
                    <xdr:col>3</xdr:col>
                    <xdr:colOff>400050</xdr:colOff>
                    <xdr:row>14</xdr:row>
                    <xdr:rowOff>180975</xdr:rowOff>
                  </to>
                </anchor>
              </controlPr>
            </control>
          </mc:Choice>
        </mc:AlternateContent>
        <mc:AlternateContent xmlns:mc="http://schemas.openxmlformats.org/markup-compatibility/2006">
          <mc:Choice Requires="x14">
            <control shapeId="9223" r:id="rId10" name="Check Box 7">
              <controlPr defaultSize="0" autoFill="0" autoLine="0" autoPict="0">
                <anchor moveWithCells="1">
                  <from>
                    <xdr:col>3</xdr:col>
                    <xdr:colOff>85725</xdr:colOff>
                    <xdr:row>15</xdr:row>
                    <xdr:rowOff>19050</xdr:rowOff>
                  </from>
                  <to>
                    <xdr:col>3</xdr:col>
                    <xdr:colOff>400050</xdr:colOff>
                    <xdr:row>15</xdr:row>
                    <xdr:rowOff>180975</xdr:rowOff>
                  </to>
                </anchor>
              </controlPr>
            </control>
          </mc:Choice>
        </mc:AlternateContent>
        <mc:AlternateContent xmlns:mc="http://schemas.openxmlformats.org/markup-compatibility/2006">
          <mc:Choice Requires="x14">
            <control shapeId="9224" r:id="rId11" name="Check Box 8">
              <controlPr defaultSize="0" autoFill="0" autoLine="0" autoPict="0">
                <anchor moveWithCells="1">
                  <from>
                    <xdr:col>3</xdr:col>
                    <xdr:colOff>85725</xdr:colOff>
                    <xdr:row>16</xdr:row>
                    <xdr:rowOff>19050</xdr:rowOff>
                  </from>
                  <to>
                    <xdr:col>3</xdr:col>
                    <xdr:colOff>400050</xdr:colOff>
                    <xdr:row>16</xdr:row>
                    <xdr:rowOff>180975</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3</xdr:col>
                    <xdr:colOff>85725</xdr:colOff>
                    <xdr:row>17</xdr:row>
                    <xdr:rowOff>19050</xdr:rowOff>
                  </from>
                  <to>
                    <xdr:col>3</xdr:col>
                    <xdr:colOff>400050</xdr:colOff>
                    <xdr:row>17</xdr:row>
                    <xdr:rowOff>180975</xdr:rowOff>
                  </to>
                </anchor>
              </controlPr>
            </control>
          </mc:Choice>
        </mc:AlternateContent>
        <mc:AlternateContent xmlns:mc="http://schemas.openxmlformats.org/markup-compatibility/2006">
          <mc:Choice Requires="x14">
            <control shapeId="9226" r:id="rId13" name="Check Box 10">
              <controlPr defaultSize="0" autoFill="0" autoLine="0" autoPict="0">
                <anchor moveWithCells="1">
                  <from>
                    <xdr:col>3</xdr:col>
                    <xdr:colOff>85725</xdr:colOff>
                    <xdr:row>18</xdr:row>
                    <xdr:rowOff>19050</xdr:rowOff>
                  </from>
                  <to>
                    <xdr:col>3</xdr:col>
                    <xdr:colOff>400050</xdr:colOff>
                    <xdr:row>18</xdr:row>
                    <xdr:rowOff>180975</xdr:rowOff>
                  </to>
                </anchor>
              </controlPr>
            </control>
          </mc:Choice>
        </mc:AlternateContent>
        <mc:AlternateContent xmlns:mc="http://schemas.openxmlformats.org/markup-compatibility/2006">
          <mc:Choice Requires="x14">
            <control shapeId="9227" r:id="rId14" name="Check Box 11">
              <controlPr defaultSize="0" autoFill="0" autoLine="0" autoPict="0">
                <anchor moveWithCells="1">
                  <from>
                    <xdr:col>3</xdr:col>
                    <xdr:colOff>85725</xdr:colOff>
                    <xdr:row>19</xdr:row>
                    <xdr:rowOff>19050</xdr:rowOff>
                  </from>
                  <to>
                    <xdr:col>3</xdr:col>
                    <xdr:colOff>400050</xdr:colOff>
                    <xdr:row>19</xdr:row>
                    <xdr:rowOff>180975</xdr:rowOff>
                  </to>
                </anchor>
              </controlPr>
            </control>
          </mc:Choice>
        </mc:AlternateContent>
        <mc:AlternateContent xmlns:mc="http://schemas.openxmlformats.org/markup-compatibility/2006">
          <mc:Choice Requires="x14">
            <control shapeId="9228" r:id="rId15" name="Check Box 12">
              <controlPr defaultSize="0" autoFill="0" autoLine="0" autoPict="0">
                <anchor moveWithCells="1">
                  <from>
                    <xdr:col>3</xdr:col>
                    <xdr:colOff>85725</xdr:colOff>
                    <xdr:row>20</xdr:row>
                    <xdr:rowOff>19050</xdr:rowOff>
                  </from>
                  <to>
                    <xdr:col>3</xdr:col>
                    <xdr:colOff>400050</xdr:colOff>
                    <xdr:row>20</xdr:row>
                    <xdr:rowOff>180975</xdr:rowOff>
                  </to>
                </anchor>
              </controlPr>
            </control>
          </mc:Choice>
        </mc:AlternateContent>
        <mc:AlternateContent xmlns:mc="http://schemas.openxmlformats.org/markup-compatibility/2006">
          <mc:Choice Requires="x14">
            <control shapeId="9229" r:id="rId16" name="Check Box 13">
              <controlPr defaultSize="0" autoFill="0" autoLine="0" autoPict="0">
                <anchor moveWithCells="1">
                  <from>
                    <xdr:col>3</xdr:col>
                    <xdr:colOff>85725</xdr:colOff>
                    <xdr:row>21</xdr:row>
                    <xdr:rowOff>19050</xdr:rowOff>
                  </from>
                  <to>
                    <xdr:col>3</xdr:col>
                    <xdr:colOff>400050</xdr:colOff>
                    <xdr:row>21</xdr:row>
                    <xdr:rowOff>180975</xdr:rowOff>
                  </to>
                </anchor>
              </controlPr>
            </control>
          </mc:Choice>
        </mc:AlternateContent>
        <mc:AlternateContent xmlns:mc="http://schemas.openxmlformats.org/markup-compatibility/2006">
          <mc:Choice Requires="x14">
            <control shapeId="9230" r:id="rId17" name="Check Box 14">
              <controlPr defaultSize="0" autoFill="0" autoLine="0" autoPict="0">
                <anchor moveWithCells="1">
                  <from>
                    <xdr:col>3</xdr:col>
                    <xdr:colOff>85725</xdr:colOff>
                    <xdr:row>22</xdr:row>
                    <xdr:rowOff>19050</xdr:rowOff>
                  </from>
                  <to>
                    <xdr:col>3</xdr:col>
                    <xdr:colOff>400050</xdr:colOff>
                    <xdr:row>22</xdr:row>
                    <xdr:rowOff>180975</xdr:rowOff>
                  </to>
                </anchor>
              </controlPr>
            </control>
          </mc:Choice>
        </mc:AlternateContent>
        <mc:AlternateContent xmlns:mc="http://schemas.openxmlformats.org/markup-compatibility/2006">
          <mc:Choice Requires="x14">
            <control shapeId="9231" r:id="rId18" name="Check Box 15">
              <controlPr defaultSize="0" autoFill="0" autoLine="0" autoPict="0">
                <anchor moveWithCells="1">
                  <from>
                    <xdr:col>3</xdr:col>
                    <xdr:colOff>85725</xdr:colOff>
                    <xdr:row>23</xdr:row>
                    <xdr:rowOff>19050</xdr:rowOff>
                  </from>
                  <to>
                    <xdr:col>3</xdr:col>
                    <xdr:colOff>400050</xdr:colOff>
                    <xdr:row>23</xdr:row>
                    <xdr:rowOff>180975</xdr:rowOff>
                  </to>
                </anchor>
              </controlPr>
            </control>
          </mc:Choice>
        </mc:AlternateContent>
        <mc:AlternateContent xmlns:mc="http://schemas.openxmlformats.org/markup-compatibility/2006">
          <mc:Choice Requires="x14">
            <control shapeId="9232" r:id="rId19" name="Check Box 16">
              <controlPr defaultSize="0" autoFill="0" autoLine="0" autoPict="0">
                <anchor moveWithCells="1">
                  <from>
                    <xdr:col>3</xdr:col>
                    <xdr:colOff>85725</xdr:colOff>
                    <xdr:row>24</xdr:row>
                    <xdr:rowOff>19050</xdr:rowOff>
                  </from>
                  <to>
                    <xdr:col>3</xdr:col>
                    <xdr:colOff>400050</xdr:colOff>
                    <xdr:row>24</xdr:row>
                    <xdr:rowOff>180975</xdr:rowOff>
                  </to>
                </anchor>
              </controlPr>
            </control>
          </mc:Choice>
        </mc:AlternateContent>
        <mc:AlternateContent xmlns:mc="http://schemas.openxmlformats.org/markup-compatibility/2006">
          <mc:Choice Requires="x14">
            <control shapeId="9233" r:id="rId20" name="Check Box 17">
              <controlPr defaultSize="0" autoFill="0" autoLine="0" autoPict="0">
                <anchor moveWithCells="1">
                  <from>
                    <xdr:col>3</xdr:col>
                    <xdr:colOff>85725</xdr:colOff>
                    <xdr:row>27</xdr:row>
                    <xdr:rowOff>19050</xdr:rowOff>
                  </from>
                  <to>
                    <xdr:col>3</xdr:col>
                    <xdr:colOff>400050</xdr:colOff>
                    <xdr:row>27</xdr:row>
                    <xdr:rowOff>180975</xdr:rowOff>
                  </to>
                </anchor>
              </controlPr>
            </control>
          </mc:Choice>
        </mc:AlternateContent>
        <mc:AlternateContent xmlns:mc="http://schemas.openxmlformats.org/markup-compatibility/2006">
          <mc:Choice Requires="x14">
            <control shapeId="9234" r:id="rId21" name="Check Box 18">
              <controlPr defaultSize="0" autoFill="0" autoLine="0" autoPict="0">
                <anchor moveWithCells="1">
                  <from>
                    <xdr:col>3</xdr:col>
                    <xdr:colOff>85725</xdr:colOff>
                    <xdr:row>28</xdr:row>
                    <xdr:rowOff>19050</xdr:rowOff>
                  </from>
                  <to>
                    <xdr:col>3</xdr:col>
                    <xdr:colOff>400050</xdr:colOff>
                    <xdr:row>28</xdr:row>
                    <xdr:rowOff>180975</xdr:rowOff>
                  </to>
                </anchor>
              </controlPr>
            </control>
          </mc:Choice>
        </mc:AlternateContent>
        <mc:AlternateContent xmlns:mc="http://schemas.openxmlformats.org/markup-compatibility/2006">
          <mc:Choice Requires="x14">
            <control shapeId="9235" r:id="rId22" name="Check Box 19">
              <controlPr defaultSize="0" autoFill="0" autoLine="0" autoPict="0">
                <anchor moveWithCells="1">
                  <from>
                    <xdr:col>3</xdr:col>
                    <xdr:colOff>85725</xdr:colOff>
                    <xdr:row>29</xdr:row>
                    <xdr:rowOff>19050</xdr:rowOff>
                  </from>
                  <to>
                    <xdr:col>3</xdr:col>
                    <xdr:colOff>400050</xdr:colOff>
                    <xdr:row>29</xdr:row>
                    <xdr:rowOff>180975</xdr:rowOff>
                  </to>
                </anchor>
              </controlPr>
            </control>
          </mc:Choice>
        </mc:AlternateContent>
        <mc:AlternateContent xmlns:mc="http://schemas.openxmlformats.org/markup-compatibility/2006">
          <mc:Choice Requires="x14">
            <control shapeId="9236" r:id="rId23" name="Check Box 20">
              <controlPr defaultSize="0" autoFill="0" autoLine="0" autoPict="0">
                <anchor moveWithCells="1">
                  <from>
                    <xdr:col>3</xdr:col>
                    <xdr:colOff>85725</xdr:colOff>
                    <xdr:row>30</xdr:row>
                    <xdr:rowOff>19050</xdr:rowOff>
                  </from>
                  <to>
                    <xdr:col>3</xdr:col>
                    <xdr:colOff>400050</xdr:colOff>
                    <xdr:row>30</xdr:row>
                    <xdr:rowOff>180975</xdr:rowOff>
                  </to>
                </anchor>
              </controlPr>
            </control>
          </mc:Choice>
        </mc:AlternateContent>
        <mc:AlternateContent xmlns:mc="http://schemas.openxmlformats.org/markup-compatibility/2006">
          <mc:Choice Requires="x14">
            <control shapeId="9237" r:id="rId24" name="Check Box 21">
              <controlPr defaultSize="0" autoFill="0" autoLine="0" autoPict="0">
                <anchor moveWithCells="1">
                  <from>
                    <xdr:col>3</xdr:col>
                    <xdr:colOff>85725</xdr:colOff>
                    <xdr:row>31</xdr:row>
                    <xdr:rowOff>19050</xdr:rowOff>
                  </from>
                  <to>
                    <xdr:col>3</xdr:col>
                    <xdr:colOff>400050</xdr:colOff>
                    <xdr:row>31</xdr:row>
                    <xdr:rowOff>180975</xdr:rowOff>
                  </to>
                </anchor>
              </controlPr>
            </control>
          </mc:Choice>
        </mc:AlternateContent>
        <mc:AlternateContent xmlns:mc="http://schemas.openxmlformats.org/markup-compatibility/2006">
          <mc:Choice Requires="x14">
            <control shapeId="9238" r:id="rId25" name="Check Box 22">
              <controlPr defaultSize="0" autoFill="0" autoLine="0" autoPict="0">
                <anchor moveWithCells="1">
                  <from>
                    <xdr:col>3</xdr:col>
                    <xdr:colOff>85725</xdr:colOff>
                    <xdr:row>32</xdr:row>
                    <xdr:rowOff>19050</xdr:rowOff>
                  </from>
                  <to>
                    <xdr:col>3</xdr:col>
                    <xdr:colOff>400050</xdr:colOff>
                    <xdr:row>32</xdr:row>
                    <xdr:rowOff>180975</xdr:rowOff>
                  </to>
                </anchor>
              </controlPr>
            </control>
          </mc:Choice>
        </mc:AlternateContent>
        <mc:AlternateContent xmlns:mc="http://schemas.openxmlformats.org/markup-compatibility/2006">
          <mc:Choice Requires="x14">
            <control shapeId="9239" r:id="rId26" name="Check Box 23">
              <controlPr defaultSize="0" autoFill="0" autoLine="0" autoPict="0">
                <anchor moveWithCells="1">
                  <from>
                    <xdr:col>3</xdr:col>
                    <xdr:colOff>85725</xdr:colOff>
                    <xdr:row>33</xdr:row>
                    <xdr:rowOff>19050</xdr:rowOff>
                  </from>
                  <to>
                    <xdr:col>3</xdr:col>
                    <xdr:colOff>400050</xdr:colOff>
                    <xdr:row>33</xdr:row>
                    <xdr:rowOff>180975</xdr:rowOff>
                  </to>
                </anchor>
              </controlPr>
            </control>
          </mc:Choice>
        </mc:AlternateContent>
        <mc:AlternateContent xmlns:mc="http://schemas.openxmlformats.org/markup-compatibility/2006">
          <mc:Choice Requires="x14">
            <control shapeId="9240" r:id="rId27" name="Check Box 24">
              <controlPr defaultSize="0" autoFill="0" autoLine="0" autoPict="0">
                <anchor moveWithCells="1">
                  <from>
                    <xdr:col>3</xdr:col>
                    <xdr:colOff>85725</xdr:colOff>
                    <xdr:row>34</xdr:row>
                    <xdr:rowOff>19050</xdr:rowOff>
                  </from>
                  <to>
                    <xdr:col>3</xdr:col>
                    <xdr:colOff>400050</xdr:colOff>
                    <xdr:row>34</xdr:row>
                    <xdr:rowOff>180975</xdr:rowOff>
                  </to>
                </anchor>
              </controlPr>
            </control>
          </mc:Choice>
        </mc:AlternateContent>
        <mc:AlternateContent xmlns:mc="http://schemas.openxmlformats.org/markup-compatibility/2006">
          <mc:Choice Requires="x14">
            <control shapeId="9241" r:id="rId28" name="Check Box 25">
              <controlPr defaultSize="0" autoFill="0" autoLine="0" autoPict="0">
                <anchor moveWithCells="1">
                  <from>
                    <xdr:col>3</xdr:col>
                    <xdr:colOff>85725</xdr:colOff>
                    <xdr:row>35</xdr:row>
                    <xdr:rowOff>19050</xdr:rowOff>
                  </from>
                  <to>
                    <xdr:col>3</xdr:col>
                    <xdr:colOff>400050</xdr:colOff>
                    <xdr:row>35</xdr:row>
                    <xdr:rowOff>180975</xdr:rowOff>
                  </to>
                </anchor>
              </controlPr>
            </control>
          </mc:Choice>
        </mc:AlternateContent>
        <mc:AlternateContent xmlns:mc="http://schemas.openxmlformats.org/markup-compatibility/2006">
          <mc:Choice Requires="x14">
            <control shapeId="9242" r:id="rId29" name="Check Box 26">
              <controlPr defaultSize="0" autoFill="0" autoLine="0" autoPict="0">
                <anchor moveWithCells="1">
                  <from>
                    <xdr:col>3</xdr:col>
                    <xdr:colOff>85725</xdr:colOff>
                    <xdr:row>36</xdr:row>
                    <xdr:rowOff>19050</xdr:rowOff>
                  </from>
                  <to>
                    <xdr:col>3</xdr:col>
                    <xdr:colOff>400050</xdr:colOff>
                    <xdr:row>36</xdr:row>
                    <xdr:rowOff>180975</xdr:rowOff>
                  </to>
                </anchor>
              </controlPr>
            </control>
          </mc:Choice>
        </mc:AlternateContent>
        <mc:AlternateContent xmlns:mc="http://schemas.openxmlformats.org/markup-compatibility/2006">
          <mc:Choice Requires="x14">
            <control shapeId="9243" r:id="rId30" name="Check Box 27">
              <controlPr defaultSize="0" autoFill="0" autoLine="0" autoPict="0">
                <anchor moveWithCells="1">
                  <from>
                    <xdr:col>3</xdr:col>
                    <xdr:colOff>85725</xdr:colOff>
                    <xdr:row>37</xdr:row>
                    <xdr:rowOff>19050</xdr:rowOff>
                  </from>
                  <to>
                    <xdr:col>3</xdr:col>
                    <xdr:colOff>400050</xdr:colOff>
                    <xdr:row>37</xdr:row>
                    <xdr:rowOff>180975</xdr:rowOff>
                  </to>
                </anchor>
              </controlPr>
            </control>
          </mc:Choice>
        </mc:AlternateContent>
        <mc:AlternateContent xmlns:mc="http://schemas.openxmlformats.org/markup-compatibility/2006">
          <mc:Choice Requires="x14">
            <control shapeId="9244" r:id="rId31" name="Check Box 28">
              <controlPr defaultSize="0" autoFill="0" autoLine="0" autoPict="0">
                <anchor moveWithCells="1">
                  <from>
                    <xdr:col>3</xdr:col>
                    <xdr:colOff>85725</xdr:colOff>
                    <xdr:row>38</xdr:row>
                    <xdr:rowOff>19050</xdr:rowOff>
                  </from>
                  <to>
                    <xdr:col>3</xdr:col>
                    <xdr:colOff>400050</xdr:colOff>
                    <xdr:row>38</xdr:row>
                    <xdr:rowOff>180975</xdr:rowOff>
                  </to>
                </anchor>
              </controlPr>
            </control>
          </mc:Choice>
        </mc:AlternateContent>
        <mc:AlternateContent xmlns:mc="http://schemas.openxmlformats.org/markup-compatibility/2006">
          <mc:Choice Requires="x14">
            <control shapeId="9245" r:id="rId32" name="Check Box 29">
              <controlPr defaultSize="0" autoFill="0" autoLine="0" autoPict="0">
                <anchor moveWithCells="1">
                  <from>
                    <xdr:col>3</xdr:col>
                    <xdr:colOff>85725</xdr:colOff>
                    <xdr:row>39</xdr:row>
                    <xdr:rowOff>19050</xdr:rowOff>
                  </from>
                  <to>
                    <xdr:col>3</xdr:col>
                    <xdr:colOff>400050</xdr:colOff>
                    <xdr:row>39</xdr:row>
                    <xdr:rowOff>180975</xdr:rowOff>
                  </to>
                </anchor>
              </controlPr>
            </control>
          </mc:Choice>
        </mc:AlternateContent>
        <mc:AlternateContent xmlns:mc="http://schemas.openxmlformats.org/markup-compatibility/2006">
          <mc:Choice Requires="x14">
            <control shapeId="9246" r:id="rId33" name="Check Box 30">
              <controlPr defaultSize="0" autoFill="0" autoLine="0" autoPict="0">
                <anchor moveWithCells="1">
                  <from>
                    <xdr:col>3</xdr:col>
                    <xdr:colOff>85725</xdr:colOff>
                    <xdr:row>40</xdr:row>
                    <xdr:rowOff>19050</xdr:rowOff>
                  </from>
                  <to>
                    <xdr:col>3</xdr:col>
                    <xdr:colOff>400050</xdr:colOff>
                    <xdr:row>40</xdr:row>
                    <xdr:rowOff>180975</xdr:rowOff>
                  </to>
                </anchor>
              </controlPr>
            </control>
          </mc:Choice>
        </mc:AlternateContent>
        <mc:AlternateContent xmlns:mc="http://schemas.openxmlformats.org/markup-compatibility/2006">
          <mc:Choice Requires="x14">
            <control shapeId="9247" r:id="rId34" name="Check Box 31">
              <controlPr defaultSize="0" autoFill="0" autoLine="0" autoPict="0">
                <anchor moveWithCells="1">
                  <from>
                    <xdr:col>3</xdr:col>
                    <xdr:colOff>85725</xdr:colOff>
                    <xdr:row>41</xdr:row>
                    <xdr:rowOff>19050</xdr:rowOff>
                  </from>
                  <to>
                    <xdr:col>3</xdr:col>
                    <xdr:colOff>400050</xdr:colOff>
                    <xdr:row>41</xdr:row>
                    <xdr:rowOff>180975</xdr:rowOff>
                  </to>
                </anchor>
              </controlPr>
            </control>
          </mc:Choice>
        </mc:AlternateContent>
        <mc:AlternateContent xmlns:mc="http://schemas.openxmlformats.org/markup-compatibility/2006">
          <mc:Choice Requires="x14">
            <control shapeId="9248" r:id="rId35" name="Check Box 32">
              <controlPr defaultSize="0" autoFill="0" autoLine="0" autoPict="0">
                <anchor moveWithCells="1">
                  <from>
                    <xdr:col>3</xdr:col>
                    <xdr:colOff>85725</xdr:colOff>
                    <xdr:row>42</xdr:row>
                    <xdr:rowOff>19050</xdr:rowOff>
                  </from>
                  <to>
                    <xdr:col>3</xdr:col>
                    <xdr:colOff>400050</xdr:colOff>
                    <xdr:row>42</xdr:row>
                    <xdr:rowOff>180975</xdr:rowOff>
                  </to>
                </anchor>
              </controlPr>
            </control>
          </mc:Choice>
        </mc:AlternateContent>
        <mc:AlternateContent xmlns:mc="http://schemas.openxmlformats.org/markup-compatibility/2006">
          <mc:Choice Requires="x14">
            <control shapeId="9249" r:id="rId36" name="Button 33">
              <controlPr defaultSize="0" print="0" autoFill="0" autoPict="0" macro="[0]!paste_change">
                <anchor moveWithCells="1" sizeWithCells="1">
                  <from>
                    <xdr:col>4</xdr:col>
                    <xdr:colOff>0</xdr:colOff>
                    <xdr:row>45</xdr:row>
                    <xdr:rowOff>142875</xdr:rowOff>
                  </from>
                  <to>
                    <xdr:col>6</xdr:col>
                    <xdr:colOff>266700</xdr:colOff>
                    <xdr:row>49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Scores!A2:A11</xm:f>
          </x14:formula1>
          <xm:sqref>B7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filterMode="1"/>
  <dimension ref="A1:AF574"/>
  <sheetViews>
    <sheetView workbookViewId="0">
      <selection activeCell="A25" sqref="A25"/>
    </sheetView>
  </sheetViews>
  <sheetFormatPr defaultRowHeight="15" x14ac:dyDescent="0.25"/>
  <cols>
    <col min="2" max="2" width="22.7109375" bestFit="1" customWidth="1"/>
    <col min="3" max="3" width="10.85546875" bestFit="1" customWidth="1"/>
  </cols>
  <sheetData>
    <row r="1" spans="1:32" x14ac:dyDescent="0.25">
      <c r="F1" t="s">
        <v>782</v>
      </c>
      <c r="G1" t="s">
        <v>782</v>
      </c>
      <c r="H1" t="s">
        <v>2370</v>
      </c>
      <c r="I1" t="s">
        <v>2370</v>
      </c>
      <c r="J1" t="s">
        <v>2370</v>
      </c>
      <c r="K1" t="s">
        <v>2370</v>
      </c>
      <c r="L1" t="s">
        <v>2370</v>
      </c>
      <c r="M1" t="s">
        <v>2371</v>
      </c>
      <c r="N1" t="s">
        <v>2371</v>
      </c>
      <c r="O1" t="s">
        <v>2371</v>
      </c>
      <c r="P1" t="s">
        <v>2371</v>
      </c>
      <c r="Q1" t="s">
        <v>2372</v>
      </c>
      <c r="R1" t="s">
        <v>2372</v>
      </c>
      <c r="S1" t="s">
        <v>2372</v>
      </c>
      <c r="T1" t="s">
        <v>2372</v>
      </c>
      <c r="U1" t="s">
        <v>2372</v>
      </c>
      <c r="X1" t="s">
        <v>2373</v>
      </c>
      <c r="Y1" t="s">
        <v>2373</v>
      </c>
      <c r="Z1" t="s">
        <v>2373</v>
      </c>
      <c r="AA1" t="s">
        <v>2373</v>
      </c>
      <c r="AB1" t="s">
        <v>2373</v>
      </c>
      <c r="AC1" t="s">
        <v>2373</v>
      </c>
      <c r="AD1" t="s">
        <v>2373</v>
      </c>
    </row>
    <row r="2" spans="1:32" x14ac:dyDescent="0.25">
      <c r="A2" t="s">
        <v>2374</v>
      </c>
      <c r="D2" t="s">
        <v>2375</v>
      </c>
      <c r="E2" t="s">
        <v>2376</v>
      </c>
      <c r="F2" t="s">
        <v>2377</v>
      </c>
      <c r="G2" t="s">
        <v>2378</v>
      </c>
      <c r="H2" t="s">
        <v>2379</v>
      </c>
      <c r="I2" t="s">
        <v>2380</v>
      </c>
      <c r="J2" t="s">
        <v>2381</v>
      </c>
      <c r="K2" t="s">
        <v>2382</v>
      </c>
      <c r="L2" t="s">
        <v>397</v>
      </c>
      <c r="M2" t="s">
        <v>2383</v>
      </c>
      <c r="N2" t="s">
        <v>2381</v>
      </c>
      <c r="O2" t="s">
        <v>2382</v>
      </c>
      <c r="P2" t="s">
        <v>2384</v>
      </c>
      <c r="Q2" t="s">
        <v>397</v>
      </c>
      <c r="R2" t="s">
        <v>2385</v>
      </c>
      <c r="S2" t="s">
        <v>2386</v>
      </c>
      <c r="T2" t="s">
        <v>2382</v>
      </c>
      <c r="U2" t="s">
        <v>2387</v>
      </c>
      <c r="V2" t="s">
        <v>397</v>
      </c>
      <c r="W2" t="s">
        <v>2388</v>
      </c>
      <c r="X2" t="s">
        <v>2389</v>
      </c>
      <c r="Y2" t="s">
        <v>2390</v>
      </c>
      <c r="Z2" t="s">
        <v>2391</v>
      </c>
      <c r="AA2" t="s">
        <v>2392</v>
      </c>
      <c r="AB2" t="s">
        <v>2393</v>
      </c>
      <c r="AC2" t="s">
        <v>2394</v>
      </c>
      <c r="AD2" t="s">
        <v>1803</v>
      </c>
      <c r="AE2" t="s">
        <v>2395</v>
      </c>
      <c r="AF2" t="s">
        <v>492</v>
      </c>
    </row>
    <row r="3" spans="1:32" hidden="1" x14ac:dyDescent="0.25">
      <c r="A3">
        <v>92</v>
      </c>
      <c r="B3" t="s">
        <v>179</v>
      </c>
      <c r="C3" t="s">
        <v>2528</v>
      </c>
      <c r="D3" t="s">
        <v>1043</v>
      </c>
      <c r="E3" t="s">
        <v>15</v>
      </c>
      <c r="F3">
        <v>22</v>
      </c>
      <c r="G3">
        <v>7</v>
      </c>
      <c r="H3">
        <v>6</v>
      </c>
      <c r="I3">
        <v>126</v>
      </c>
      <c r="J3">
        <v>204</v>
      </c>
      <c r="K3">
        <v>1699</v>
      </c>
      <c r="L3">
        <v>19</v>
      </c>
      <c r="M3">
        <v>8</v>
      </c>
      <c r="N3">
        <v>36</v>
      </c>
      <c r="O3">
        <v>269</v>
      </c>
      <c r="P3">
        <v>7.47</v>
      </c>
      <c r="Q3">
        <v>2</v>
      </c>
      <c r="R3">
        <v>0</v>
      </c>
      <c r="S3">
        <v>0</v>
      </c>
      <c r="T3">
        <v>0</v>
      </c>
      <c r="V3">
        <v>0</v>
      </c>
      <c r="W3">
        <v>1</v>
      </c>
      <c r="X3">
        <v>1</v>
      </c>
      <c r="Y3">
        <v>169</v>
      </c>
      <c r="Z3">
        <v>169</v>
      </c>
      <c r="AA3">
        <v>183.9</v>
      </c>
      <c r="AB3">
        <v>176.9</v>
      </c>
      <c r="AD3">
        <v>26</v>
      </c>
      <c r="AF3" s="2">
        <f t="shared" ref="AF3:AF66" si="0">Y3/G3</f>
        <v>24.142857142857142</v>
      </c>
    </row>
    <row r="4" spans="1:32" hidden="1" x14ac:dyDescent="0.25">
      <c r="A4">
        <v>9</v>
      </c>
      <c r="B4" t="s">
        <v>2414</v>
      </c>
      <c r="C4" t="s">
        <v>2415</v>
      </c>
      <c r="D4" t="s">
        <v>1865</v>
      </c>
      <c r="E4" t="s">
        <v>15</v>
      </c>
      <c r="F4">
        <v>29</v>
      </c>
      <c r="G4">
        <v>16</v>
      </c>
      <c r="H4">
        <v>16</v>
      </c>
      <c r="I4">
        <v>339</v>
      </c>
      <c r="J4">
        <v>553</v>
      </c>
      <c r="K4">
        <v>3983</v>
      </c>
      <c r="L4">
        <v>34</v>
      </c>
      <c r="M4">
        <v>11</v>
      </c>
      <c r="N4">
        <v>95</v>
      </c>
      <c r="O4">
        <v>586</v>
      </c>
      <c r="P4">
        <v>6.17</v>
      </c>
      <c r="Q4">
        <v>3</v>
      </c>
      <c r="R4">
        <v>0</v>
      </c>
      <c r="S4">
        <v>0</v>
      </c>
      <c r="T4">
        <v>0</v>
      </c>
      <c r="V4">
        <v>0</v>
      </c>
      <c r="X4">
        <v>2</v>
      </c>
      <c r="Y4">
        <v>348</v>
      </c>
      <c r="Z4">
        <v>348</v>
      </c>
      <c r="AA4">
        <v>367.9</v>
      </c>
      <c r="AB4">
        <v>358.9</v>
      </c>
      <c r="AC4">
        <v>93</v>
      </c>
      <c r="AD4">
        <v>1</v>
      </c>
      <c r="AE4">
        <v>9</v>
      </c>
      <c r="AF4" s="2">
        <f t="shared" si="0"/>
        <v>21.75</v>
      </c>
    </row>
    <row r="5" spans="1:32" hidden="1" x14ac:dyDescent="0.25">
      <c r="A5">
        <v>39</v>
      </c>
      <c r="B5" t="s">
        <v>2463</v>
      </c>
      <c r="C5" t="s">
        <v>2464</v>
      </c>
      <c r="D5" t="s">
        <v>1862</v>
      </c>
      <c r="E5" t="s">
        <v>15</v>
      </c>
      <c r="F5">
        <v>25</v>
      </c>
      <c r="G5">
        <v>13</v>
      </c>
      <c r="H5">
        <v>13</v>
      </c>
      <c r="I5">
        <v>265</v>
      </c>
      <c r="J5">
        <v>440</v>
      </c>
      <c r="K5">
        <v>3296</v>
      </c>
      <c r="L5">
        <v>33</v>
      </c>
      <c r="M5">
        <v>7</v>
      </c>
      <c r="N5">
        <v>64</v>
      </c>
      <c r="O5">
        <v>299</v>
      </c>
      <c r="P5">
        <v>4.67</v>
      </c>
      <c r="Q5">
        <v>0</v>
      </c>
      <c r="R5">
        <v>0</v>
      </c>
      <c r="S5">
        <v>0</v>
      </c>
      <c r="T5">
        <v>0</v>
      </c>
      <c r="V5">
        <v>0</v>
      </c>
      <c r="X5">
        <v>4</v>
      </c>
      <c r="Y5">
        <v>282</v>
      </c>
      <c r="Z5">
        <v>282</v>
      </c>
      <c r="AA5">
        <v>297.7</v>
      </c>
      <c r="AB5">
        <v>288.7</v>
      </c>
      <c r="AC5">
        <v>26</v>
      </c>
      <c r="AD5">
        <v>5</v>
      </c>
      <c r="AE5">
        <v>39</v>
      </c>
      <c r="AF5" s="2">
        <f t="shared" si="0"/>
        <v>21.692307692307693</v>
      </c>
    </row>
    <row r="6" spans="1:32" hidden="1" x14ac:dyDescent="0.25">
      <c r="A6">
        <v>1</v>
      </c>
      <c r="B6" t="s">
        <v>2399</v>
      </c>
      <c r="C6" t="s">
        <v>2400</v>
      </c>
      <c r="D6" t="s">
        <v>1038</v>
      </c>
      <c r="E6" t="s">
        <v>47</v>
      </c>
      <c r="F6">
        <v>23</v>
      </c>
      <c r="G6">
        <v>15</v>
      </c>
      <c r="H6">
        <v>15</v>
      </c>
      <c r="I6">
        <v>0</v>
      </c>
      <c r="J6">
        <v>0</v>
      </c>
      <c r="K6">
        <v>0</v>
      </c>
      <c r="L6">
        <v>0</v>
      </c>
      <c r="M6">
        <v>0</v>
      </c>
      <c r="N6">
        <v>279</v>
      </c>
      <c r="O6">
        <v>1305</v>
      </c>
      <c r="P6">
        <v>4.68</v>
      </c>
      <c r="Q6">
        <v>13</v>
      </c>
      <c r="R6">
        <v>87</v>
      </c>
      <c r="S6">
        <v>64</v>
      </c>
      <c r="T6">
        <v>788</v>
      </c>
      <c r="U6">
        <v>12.31</v>
      </c>
      <c r="V6">
        <v>6</v>
      </c>
      <c r="Y6">
        <v>319</v>
      </c>
      <c r="Z6">
        <v>383</v>
      </c>
      <c r="AA6">
        <v>391.3</v>
      </c>
      <c r="AB6">
        <v>351.3</v>
      </c>
      <c r="AC6">
        <v>192</v>
      </c>
      <c r="AD6">
        <v>1</v>
      </c>
      <c r="AE6">
        <v>1</v>
      </c>
      <c r="AF6" s="2">
        <f t="shared" si="0"/>
        <v>21.266666666666666</v>
      </c>
    </row>
    <row r="7" spans="1:32" hidden="1" x14ac:dyDescent="0.25">
      <c r="A7">
        <v>28</v>
      </c>
      <c r="B7" t="s">
        <v>2446</v>
      </c>
      <c r="C7" t="s">
        <v>2447</v>
      </c>
      <c r="D7" t="s">
        <v>1037</v>
      </c>
      <c r="E7" t="s">
        <v>15</v>
      </c>
      <c r="F7">
        <v>33</v>
      </c>
      <c r="G7">
        <v>15</v>
      </c>
      <c r="H7">
        <v>15</v>
      </c>
      <c r="I7">
        <v>341</v>
      </c>
      <c r="J7">
        <v>505</v>
      </c>
      <c r="K7">
        <v>4042</v>
      </c>
      <c r="L7">
        <v>26</v>
      </c>
      <c r="M7">
        <v>5</v>
      </c>
      <c r="N7">
        <v>60</v>
      </c>
      <c r="O7">
        <v>355</v>
      </c>
      <c r="P7">
        <v>5.92</v>
      </c>
      <c r="Q7">
        <v>1</v>
      </c>
      <c r="R7">
        <v>0</v>
      </c>
      <c r="S7">
        <v>0</v>
      </c>
      <c r="T7">
        <v>0</v>
      </c>
      <c r="V7">
        <v>0</v>
      </c>
      <c r="Y7">
        <v>295</v>
      </c>
      <c r="Z7">
        <v>295</v>
      </c>
      <c r="AA7">
        <v>307.2</v>
      </c>
      <c r="AB7">
        <v>300.2</v>
      </c>
      <c r="AC7">
        <v>40</v>
      </c>
      <c r="AD7">
        <v>4</v>
      </c>
      <c r="AE7">
        <v>28</v>
      </c>
      <c r="AF7" s="2">
        <f t="shared" si="0"/>
        <v>19.666666666666668</v>
      </c>
    </row>
    <row r="8" spans="1:32" hidden="1" x14ac:dyDescent="0.25">
      <c r="A8">
        <v>23</v>
      </c>
      <c r="B8" t="s">
        <v>39</v>
      </c>
      <c r="C8" t="s">
        <v>2437</v>
      </c>
      <c r="D8" t="s">
        <v>1831</v>
      </c>
      <c r="E8" t="s">
        <v>15</v>
      </c>
      <c r="F8">
        <v>28</v>
      </c>
      <c r="G8">
        <v>16</v>
      </c>
      <c r="H8">
        <v>16</v>
      </c>
      <c r="I8">
        <v>291</v>
      </c>
      <c r="J8">
        <v>492</v>
      </c>
      <c r="K8">
        <v>3302</v>
      </c>
      <c r="L8">
        <v>22</v>
      </c>
      <c r="M8">
        <v>16</v>
      </c>
      <c r="N8">
        <v>139</v>
      </c>
      <c r="O8">
        <v>754</v>
      </c>
      <c r="P8">
        <v>5.42</v>
      </c>
      <c r="Q8">
        <v>6</v>
      </c>
      <c r="R8">
        <v>0</v>
      </c>
      <c r="S8">
        <v>0</v>
      </c>
      <c r="T8">
        <v>0</v>
      </c>
      <c r="V8">
        <v>0</v>
      </c>
      <c r="W8">
        <v>1</v>
      </c>
      <c r="Y8">
        <v>299</v>
      </c>
      <c r="Z8">
        <v>299</v>
      </c>
      <c r="AA8">
        <v>322.5</v>
      </c>
      <c r="AB8">
        <v>315.5</v>
      </c>
      <c r="AC8">
        <v>44</v>
      </c>
      <c r="AD8">
        <v>2</v>
      </c>
      <c r="AE8">
        <v>23</v>
      </c>
      <c r="AF8" s="2">
        <f t="shared" si="0"/>
        <v>18.6875</v>
      </c>
    </row>
    <row r="9" spans="1:32" hidden="1" x14ac:dyDescent="0.25">
      <c r="A9">
        <v>95</v>
      </c>
      <c r="B9" t="s">
        <v>13</v>
      </c>
      <c r="C9" t="s">
        <v>2533</v>
      </c>
      <c r="D9" t="s">
        <v>2396</v>
      </c>
      <c r="E9" t="s">
        <v>15</v>
      </c>
      <c r="F9">
        <v>34</v>
      </c>
      <c r="G9">
        <v>7</v>
      </c>
      <c r="H9">
        <v>7</v>
      </c>
      <c r="I9">
        <v>154</v>
      </c>
      <c r="J9">
        <v>238</v>
      </c>
      <c r="K9">
        <v>1675</v>
      </c>
      <c r="L9">
        <v>16</v>
      </c>
      <c r="M9">
        <v>6</v>
      </c>
      <c r="N9">
        <v>24</v>
      </c>
      <c r="O9">
        <v>126</v>
      </c>
      <c r="P9">
        <v>5.25</v>
      </c>
      <c r="Q9">
        <v>0</v>
      </c>
      <c r="R9">
        <v>0</v>
      </c>
      <c r="S9">
        <v>0</v>
      </c>
      <c r="T9">
        <v>0</v>
      </c>
      <c r="V9">
        <v>0</v>
      </c>
      <c r="Y9">
        <v>130</v>
      </c>
      <c r="Z9">
        <v>130</v>
      </c>
      <c r="AA9">
        <v>142.6</v>
      </c>
      <c r="AB9">
        <v>135.6</v>
      </c>
      <c r="AD9">
        <v>29</v>
      </c>
      <c r="AF9" s="2">
        <f t="shared" si="0"/>
        <v>18.571428571428573</v>
      </c>
    </row>
    <row r="10" spans="1:32" hidden="1" x14ac:dyDescent="0.25">
      <c r="A10">
        <v>27</v>
      </c>
      <c r="B10" t="s">
        <v>2444</v>
      </c>
      <c r="C10" t="s">
        <v>2445</v>
      </c>
      <c r="D10" t="s">
        <v>1049</v>
      </c>
      <c r="E10" t="s">
        <v>15</v>
      </c>
      <c r="F10">
        <v>40</v>
      </c>
      <c r="G10">
        <v>16</v>
      </c>
      <c r="H10">
        <v>16</v>
      </c>
      <c r="I10">
        <v>385</v>
      </c>
      <c r="J10">
        <v>581</v>
      </c>
      <c r="K10">
        <v>4577</v>
      </c>
      <c r="L10">
        <v>32</v>
      </c>
      <c r="M10">
        <v>8</v>
      </c>
      <c r="N10">
        <v>25</v>
      </c>
      <c r="O10">
        <v>28</v>
      </c>
      <c r="P10">
        <v>1.1200000000000001</v>
      </c>
      <c r="Q10">
        <v>0</v>
      </c>
      <c r="R10">
        <v>0</v>
      </c>
      <c r="S10">
        <v>0</v>
      </c>
      <c r="T10">
        <v>0</v>
      </c>
      <c r="V10">
        <v>0</v>
      </c>
      <c r="X10">
        <v>2</v>
      </c>
      <c r="Y10">
        <v>296</v>
      </c>
      <c r="Z10">
        <v>296</v>
      </c>
      <c r="AA10">
        <v>309.89999999999998</v>
      </c>
      <c r="AB10">
        <v>303.89999999999998</v>
      </c>
      <c r="AC10">
        <v>41</v>
      </c>
      <c r="AD10">
        <v>3</v>
      </c>
      <c r="AE10">
        <v>27</v>
      </c>
      <c r="AF10" s="2">
        <f t="shared" si="0"/>
        <v>18.5</v>
      </c>
    </row>
    <row r="11" spans="1:32" hidden="1" x14ac:dyDescent="0.25">
      <c r="A11">
        <v>18</v>
      </c>
      <c r="B11" t="s">
        <v>57</v>
      </c>
      <c r="C11" t="s">
        <v>2431</v>
      </c>
      <c r="D11" t="s">
        <v>1044</v>
      </c>
      <c r="E11" t="s">
        <v>47</v>
      </c>
      <c r="F11">
        <v>22</v>
      </c>
      <c r="G11">
        <v>10</v>
      </c>
      <c r="H11">
        <v>10</v>
      </c>
      <c r="I11">
        <v>0</v>
      </c>
      <c r="J11">
        <v>0</v>
      </c>
      <c r="K11">
        <v>0</v>
      </c>
      <c r="L11">
        <v>0</v>
      </c>
      <c r="M11">
        <v>0</v>
      </c>
      <c r="N11">
        <v>242</v>
      </c>
      <c r="O11">
        <v>983</v>
      </c>
      <c r="P11">
        <v>4.0599999999999996</v>
      </c>
      <c r="Q11">
        <v>7</v>
      </c>
      <c r="R11">
        <v>38</v>
      </c>
      <c r="S11">
        <v>26</v>
      </c>
      <c r="T11">
        <v>269</v>
      </c>
      <c r="U11">
        <v>10.35</v>
      </c>
      <c r="V11">
        <v>2</v>
      </c>
      <c r="Y11">
        <v>177</v>
      </c>
      <c r="Z11">
        <v>203</v>
      </c>
      <c r="AA11">
        <v>210.2</v>
      </c>
      <c r="AB11">
        <v>190.2</v>
      </c>
      <c r="AC11">
        <v>50</v>
      </c>
      <c r="AD11">
        <v>9</v>
      </c>
      <c r="AE11">
        <v>18</v>
      </c>
      <c r="AF11" s="2">
        <f t="shared" si="0"/>
        <v>17.7</v>
      </c>
    </row>
    <row r="12" spans="1:32" hidden="1" x14ac:dyDescent="0.25">
      <c r="A12">
        <v>67</v>
      </c>
      <c r="B12" t="s">
        <v>2499</v>
      </c>
      <c r="C12" t="s">
        <v>2500</v>
      </c>
      <c r="D12" t="s">
        <v>1040</v>
      </c>
      <c r="E12" t="s">
        <v>15</v>
      </c>
      <c r="F12">
        <v>35</v>
      </c>
      <c r="G12">
        <v>15</v>
      </c>
      <c r="H12">
        <v>15</v>
      </c>
      <c r="I12">
        <v>360</v>
      </c>
      <c r="J12">
        <v>561</v>
      </c>
      <c r="K12">
        <v>4251</v>
      </c>
      <c r="L12">
        <v>28</v>
      </c>
      <c r="M12">
        <v>14</v>
      </c>
      <c r="N12">
        <v>28</v>
      </c>
      <c r="O12">
        <v>47</v>
      </c>
      <c r="P12">
        <v>1.68</v>
      </c>
      <c r="Q12">
        <v>0</v>
      </c>
      <c r="R12">
        <v>0</v>
      </c>
      <c r="S12">
        <v>0</v>
      </c>
      <c r="T12">
        <v>0</v>
      </c>
      <c r="V12">
        <v>0</v>
      </c>
      <c r="X12">
        <v>2</v>
      </c>
      <c r="Y12">
        <v>261</v>
      </c>
      <c r="Z12">
        <v>261</v>
      </c>
      <c r="AA12">
        <v>278.7</v>
      </c>
      <c r="AB12">
        <v>274.7</v>
      </c>
      <c r="AC12">
        <v>5</v>
      </c>
      <c r="AD12">
        <v>10</v>
      </c>
      <c r="AE12">
        <v>67</v>
      </c>
      <c r="AF12" s="2">
        <f t="shared" si="0"/>
        <v>17.399999999999999</v>
      </c>
    </row>
    <row r="13" spans="1:32" hidden="1" x14ac:dyDescent="0.25">
      <c r="A13">
        <v>43</v>
      </c>
      <c r="B13" t="s">
        <v>43</v>
      </c>
      <c r="C13" t="s">
        <v>2468</v>
      </c>
      <c r="D13" t="s">
        <v>1045</v>
      </c>
      <c r="E13" t="s">
        <v>15</v>
      </c>
      <c r="F13">
        <v>29</v>
      </c>
      <c r="G13">
        <v>16</v>
      </c>
      <c r="H13">
        <v>16</v>
      </c>
      <c r="I13">
        <v>347</v>
      </c>
      <c r="J13">
        <v>540</v>
      </c>
      <c r="K13">
        <v>4093</v>
      </c>
      <c r="L13">
        <v>27</v>
      </c>
      <c r="M13">
        <v>13</v>
      </c>
      <c r="N13">
        <v>49</v>
      </c>
      <c r="O13">
        <v>179</v>
      </c>
      <c r="P13">
        <v>3.65</v>
      </c>
      <c r="Q13">
        <v>4</v>
      </c>
      <c r="R13">
        <v>0</v>
      </c>
      <c r="S13">
        <v>0</v>
      </c>
      <c r="T13">
        <v>0</v>
      </c>
      <c r="V13">
        <v>0</v>
      </c>
      <c r="Y13">
        <v>278</v>
      </c>
      <c r="Z13">
        <v>278</v>
      </c>
      <c r="AA13">
        <v>301.60000000000002</v>
      </c>
      <c r="AB13">
        <v>290.60000000000002</v>
      </c>
      <c r="AC13">
        <v>22</v>
      </c>
      <c r="AD13">
        <v>6</v>
      </c>
      <c r="AE13">
        <v>43</v>
      </c>
      <c r="AF13" s="2">
        <f t="shared" si="0"/>
        <v>17.375</v>
      </c>
    </row>
    <row r="14" spans="1:32" hidden="1" x14ac:dyDescent="0.25">
      <c r="A14">
        <v>2</v>
      </c>
      <c r="B14" t="s">
        <v>2401</v>
      </c>
      <c r="C14" t="s">
        <v>2402</v>
      </c>
      <c r="D14" t="s">
        <v>1040</v>
      </c>
      <c r="E14" t="s">
        <v>47</v>
      </c>
      <c r="F14">
        <v>25</v>
      </c>
      <c r="G14">
        <v>15</v>
      </c>
      <c r="H14">
        <v>15</v>
      </c>
      <c r="I14">
        <v>0</v>
      </c>
      <c r="J14">
        <v>0</v>
      </c>
      <c r="K14">
        <v>0</v>
      </c>
      <c r="L14">
        <v>0</v>
      </c>
      <c r="M14">
        <v>0</v>
      </c>
      <c r="N14">
        <v>321</v>
      </c>
      <c r="O14">
        <v>1291</v>
      </c>
      <c r="P14">
        <v>4.0199999999999996</v>
      </c>
      <c r="Q14">
        <v>9</v>
      </c>
      <c r="R14">
        <v>106</v>
      </c>
      <c r="S14">
        <v>85</v>
      </c>
      <c r="T14">
        <v>655</v>
      </c>
      <c r="U14">
        <v>7.71</v>
      </c>
      <c r="V14">
        <v>2</v>
      </c>
      <c r="Y14">
        <v>257</v>
      </c>
      <c r="Z14">
        <v>342</v>
      </c>
      <c r="AA14">
        <v>349.6</v>
      </c>
      <c r="AB14">
        <v>299.10000000000002</v>
      </c>
      <c r="AC14">
        <v>130</v>
      </c>
      <c r="AD14">
        <v>2</v>
      </c>
      <c r="AE14">
        <v>2</v>
      </c>
      <c r="AF14" s="2">
        <f t="shared" si="0"/>
        <v>17.133333333333333</v>
      </c>
    </row>
    <row r="15" spans="1:32" hidden="1" x14ac:dyDescent="0.25">
      <c r="A15">
        <v>52</v>
      </c>
      <c r="B15" t="s">
        <v>70</v>
      </c>
      <c r="C15" t="s">
        <v>2479</v>
      </c>
      <c r="D15" t="s">
        <v>1882</v>
      </c>
      <c r="E15" t="s">
        <v>15</v>
      </c>
      <c r="F15">
        <v>29</v>
      </c>
      <c r="G15">
        <v>16</v>
      </c>
      <c r="H15">
        <v>16</v>
      </c>
      <c r="I15">
        <v>371</v>
      </c>
      <c r="J15">
        <v>565</v>
      </c>
      <c r="K15">
        <v>4446</v>
      </c>
      <c r="L15">
        <v>29</v>
      </c>
      <c r="M15">
        <v>10</v>
      </c>
      <c r="N15">
        <v>29</v>
      </c>
      <c r="O15">
        <v>98</v>
      </c>
      <c r="P15">
        <v>3.38</v>
      </c>
      <c r="Q15">
        <v>0</v>
      </c>
      <c r="R15">
        <v>0</v>
      </c>
      <c r="S15">
        <v>0</v>
      </c>
      <c r="T15">
        <v>0</v>
      </c>
      <c r="V15">
        <v>0</v>
      </c>
      <c r="W15">
        <v>1</v>
      </c>
      <c r="X15">
        <v>1</v>
      </c>
      <c r="Y15">
        <v>274</v>
      </c>
      <c r="Z15">
        <v>274</v>
      </c>
      <c r="AA15">
        <v>293.60000000000002</v>
      </c>
      <c r="AB15">
        <v>283.60000000000002</v>
      </c>
      <c r="AC15">
        <v>18</v>
      </c>
      <c r="AD15">
        <v>7</v>
      </c>
      <c r="AE15">
        <v>52</v>
      </c>
      <c r="AF15" s="2">
        <f t="shared" si="0"/>
        <v>17.125</v>
      </c>
    </row>
    <row r="16" spans="1:32" hidden="1" x14ac:dyDescent="0.25">
      <c r="A16">
        <v>76</v>
      </c>
      <c r="B16" t="s">
        <v>2510</v>
      </c>
      <c r="C16" t="s">
        <v>2511</v>
      </c>
      <c r="D16" t="s">
        <v>1038</v>
      </c>
      <c r="E16" t="s">
        <v>15</v>
      </c>
      <c r="F16">
        <v>23</v>
      </c>
      <c r="G16">
        <v>15</v>
      </c>
      <c r="H16">
        <v>15</v>
      </c>
      <c r="I16">
        <v>296</v>
      </c>
      <c r="J16">
        <v>477</v>
      </c>
      <c r="K16">
        <v>3804</v>
      </c>
      <c r="L16">
        <v>28</v>
      </c>
      <c r="M16">
        <v>7</v>
      </c>
      <c r="N16">
        <v>28</v>
      </c>
      <c r="O16">
        <v>51</v>
      </c>
      <c r="P16">
        <v>1.82</v>
      </c>
      <c r="Q16">
        <v>1</v>
      </c>
      <c r="R16">
        <v>0</v>
      </c>
      <c r="S16">
        <v>0</v>
      </c>
      <c r="T16">
        <v>0</v>
      </c>
      <c r="V16">
        <v>0</v>
      </c>
      <c r="Y16">
        <v>255</v>
      </c>
      <c r="Z16">
        <v>255</v>
      </c>
      <c r="AA16">
        <v>268.3</v>
      </c>
      <c r="AB16">
        <v>262.3</v>
      </c>
      <c r="AD16">
        <v>12</v>
      </c>
      <c r="AE16">
        <v>76</v>
      </c>
      <c r="AF16" s="2">
        <f t="shared" si="0"/>
        <v>17</v>
      </c>
    </row>
    <row r="17" spans="1:32" hidden="1" x14ac:dyDescent="0.25">
      <c r="A17">
        <v>56</v>
      </c>
      <c r="B17" t="s">
        <v>2483</v>
      </c>
      <c r="C17" t="s">
        <v>2484</v>
      </c>
      <c r="D17" t="s">
        <v>1041</v>
      </c>
      <c r="E17" t="s">
        <v>15</v>
      </c>
      <c r="F17">
        <v>36</v>
      </c>
      <c r="G17">
        <v>16</v>
      </c>
      <c r="H17">
        <v>16</v>
      </c>
      <c r="I17">
        <v>360</v>
      </c>
      <c r="J17">
        <v>575</v>
      </c>
      <c r="K17">
        <v>4515</v>
      </c>
      <c r="L17">
        <v>28</v>
      </c>
      <c r="M17">
        <v>10</v>
      </c>
      <c r="N17">
        <v>18</v>
      </c>
      <c r="O17">
        <v>-2</v>
      </c>
      <c r="P17">
        <v>-0.11</v>
      </c>
      <c r="Q17">
        <v>0</v>
      </c>
      <c r="R17">
        <v>0</v>
      </c>
      <c r="S17">
        <v>0</v>
      </c>
      <c r="T17">
        <v>0</v>
      </c>
      <c r="V17">
        <v>0</v>
      </c>
      <c r="Y17">
        <v>270</v>
      </c>
      <c r="Z17">
        <v>270</v>
      </c>
      <c r="AA17">
        <v>284.39999999999998</v>
      </c>
      <c r="AB17">
        <v>280.39999999999998</v>
      </c>
      <c r="AC17">
        <v>15</v>
      </c>
      <c r="AD17">
        <v>8</v>
      </c>
      <c r="AE17">
        <v>56</v>
      </c>
      <c r="AF17" s="2">
        <f t="shared" si="0"/>
        <v>16.875</v>
      </c>
    </row>
    <row r="18" spans="1:32" hidden="1" x14ac:dyDescent="0.25">
      <c r="A18">
        <v>63</v>
      </c>
      <c r="B18" t="s">
        <v>2493</v>
      </c>
      <c r="C18" t="s">
        <v>2494</v>
      </c>
      <c r="D18" t="s">
        <v>1051</v>
      </c>
      <c r="E18" t="s">
        <v>15</v>
      </c>
      <c r="F18">
        <v>38</v>
      </c>
      <c r="G18">
        <v>16</v>
      </c>
      <c r="H18">
        <v>16</v>
      </c>
      <c r="I18">
        <v>386</v>
      </c>
      <c r="J18">
        <v>536</v>
      </c>
      <c r="K18">
        <v>4334</v>
      </c>
      <c r="L18">
        <v>23</v>
      </c>
      <c r="M18">
        <v>8</v>
      </c>
      <c r="N18">
        <v>33</v>
      </c>
      <c r="O18">
        <v>12</v>
      </c>
      <c r="P18">
        <v>0.36</v>
      </c>
      <c r="Q18">
        <v>2</v>
      </c>
      <c r="R18">
        <v>0</v>
      </c>
      <c r="S18">
        <v>0</v>
      </c>
      <c r="T18">
        <v>0</v>
      </c>
      <c r="V18">
        <v>0</v>
      </c>
      <c r="Y18">
        <v>263</v>
      </c>
      <c r="Z18">
        <v>263</v>
      </c>
      <c r="AA18">
        <v>273.60000000000002</v>
      </c>
      <c r="AB18">
        <v>270.60000000000002</v>
      </c>
      <c r="AC18">
        <v>7</v>
      </c>
      <c r="AD18">
        <v>9</v>
      </c>
      <c r="AE18">
        <v>63</v>
      </c>
      <c r="AF18" s="2">
        <f t="shared" si="0"/>
        <v>16.4375</v>
      </c>
    </row>
    <row r="19" spans="1:32" hidden="1" x14ac:dyDescent="0.25">
      <c r="A19">
        <v>68</v>
      </c>
      <c r="B19" t="s">
        <v>59</v>
      </c>
      <c r="C19" t="s">
        <v>2501</v>
      </c>
      <c r="D19" t="s">
        <v>1044</v>
      </c>
      <c r="E19" t="s">
        <v>15</v>
      </c>
      <c r="F19">
        <v>24</v>
      </c>
      <c r="G19">
        <v>16</v>
      </c>
      <c r="H19">
        <v>16</v>
      </c>
      <c r="I19">
        <v>308</v>
      </c>
      <c r="J19">
        <v>490</v>
      </c>
      <c r="K19">
        <v>3324</v>
      </c>
      <c r="L19">
        <v>22</v>
      </c>
      <c r="M19">
        <v>13</v>
      </c>
      <c r="N19">
        <v>57</v>
      </c>
      <c r="O19">
        <v>357</v>
      </c>
      <c r="P19">
        <v>6.26</v>
      </c>
      <c r="Q19">
        <v>6</v>
      </c>
      <c r="R19">
        <v>0</v>
      </c>
      <c r="S19">
        <v>0</v>
      </c>
      <c r="T19">
        <v>0</v>
      </c>
      <c r="V19">
        <v>0</v>
      </c>
      <c r="Y19">
        <v>261</v>
      </c>
      <c r="Z19">
        <v>261</v>
      </c>
      <c r="AA19">
        <v>282.7</v>
      </c>
      <c r="AB19">
        <v>273.7</v>
      </c>
      <c r="AC19">
        <v>5</v>
      </c>
      <c r="AD19">
        <v>11</v>
      </c>
      <c r="AE19">
        <v>68</v>
      </c>
      <c r="AF19" s="2">
        <f t="shared" si="0"/>
        <v>16.3125</v>
      </c>
    </row>
    <row r="20" spans="1:32" hidden="1" x14ac:dyDescent="0.25">
      <c r="A20">
        <v>80</v>
      </c>
      <c r="B20" t="s">
        <v>1213</v>
      </c>
      <c r="C20" t="s">
        <v>2515</v>
      </c>
      <c r="D20" t="s">
        <v>1048</v>
      </c>
      <c r="E20" t="s">
        <v>15</v>
      </c>
      <c r="F20">
        <v>29</v>
      </c>
      <c r="G20">
        <v>15</v>
      </c>
      <c r="H20">
        <v>14</v>
      </c>
      <c r="I20">
        <v>325</v>
      </c>
      <c r="J20">
        <v>481</v>
      </c>
      <c r="K20">
        <v>3547</v>
      </c>
      <c r="L20">
        <v>22</v>
      </c>
      <c r="M20">
        <v>7</v>
      </c>
      <c r="N20">
        <v>40</v>
      </c>
      <c r="O20">
        <v>160</v>
      </c>
      <c r="P20">
        <v>4</v>
      </c>
      <c r="Q20">
        <v>1</v>
      </c>
      <c r="R20">
        <v>0</v>
      </c>
      <c r="S20">
        <v>0</v>
      </c>
      <c r="T20">
        <v>0</v>
      </c>
      <c r="V20">
        <v>0</v>
      </c>
      <c r="X20">
        <v>1</v>
      </c>
      <c r="Y20">
        <v>238</v>
      </c>
      <c r="Z20">
        <v>238</v>
      </c>
      <c r="AA20">
        <v>251.9</v>
      </c>
      <c r="AB20">
        <v>244.9</v>
      </c>
      <c r="AD20">
        <v>14</v>
      </c>
      <c r="AF20" s="2">
        <f t="shared" si="0"/>
        <v>15.866666666666667</v>
      </c>
    </row>
    <row r="21" spans="1:32" hidden="1" x14ac:dyDescent="0.25">
      <c r="A21">
        <v>87</v>
      </c>
      <c r="B21" t="s">
        <v>88</v>
      </c>
      <c r="C21" t="s">
        <v>2523</v>
      </c>
      <c r="D21" t="s">
        <v>1935</v>
      </c>
      <c r="E21" t="s">
        <v>15</v>
      </c>
      <c r="F21">
        <v>38</v>
      </c>
      <c r="G21">
        <v>13</v>
      </c>
      <c r="H21">
        <v>13</v>
      </c>
      <c r="I21">
        <v>267</v>
      </c>
      <c r="J21">
        <v>397</v>
      </c>
      <c r="K21">
        <v>2926</v>
      </c>
      <c r="L21">
        <v>18</v>
      </c>
      <c r="M21">
        <v>9</v>
      </c>
      <c r="N21">
        <v>37</v>
      </c>
      <c r="O21">
        <v>124</v>
      </c>
      <c r="P21">
        <v>3.35</v>
      </c>
      <c r="Q21">
        <v>5</v>
      </c>
      <c r="R21">
        <v>0</v>
      </c>
      <c r="S21">
        <v>0</v>
      </c>
      <c r="T21">
        <v>0</v>
      </c>
      <c r="V21">
        <v>0</v>
      </c>
      <c r="Y21">
        <v>205</v>
      </c>
      <c r="Z21">
        <v>205</v>
      </c>
      <c r="AA21">
        <v>224.4</v>
      </c>
      <c r="AB21">
        <v>214.4</v>
      </c>
      <c r="AD21">
        <v>21</v>
      </c>
      <c r="AF21" s="2">
        <f t="shared" si="0"/>
        <v>15.76923076923077</v>
      </c>
    </row>
    <row r="22" spans="1:32" hidden="1" x14ac:dyDescent="0.25">
      <c r="A22">
        <v>79</v>
      </c>
      <c r="B22" t="s">
        <v>79</v>
      </c>
      <c r="C22" t="s">
        <v>2514</v>
      </c>
      <c r="D22" t="s">
        <v>1039</v>
      </c>
      <c r="E22" t="s">
        <v>15</v>
      </c>
      <c r="F22">
        <v>25</v>
      </c>
      <c r="G22">
        <v>16</v>
      </c>
      <c r="H22">
        <v>16</v>
      </c>
      <c r="I22">
        <v>315</v>
      </c>
      <c r="J22">
        <v>523</v>
      </c>
      <c r="K22">
        <v>3687</v>
      </c>
      <c r="L22">
        <v>21</v>
      </c>
      <c r="M22">
        <v>13</v>
      </c>
      <c r="N22">
        <v>57</v>
      </c>
      <c r="O22">
        <v>322</v>
      </c>
      <c r="P22">
        <v>5.65</v>
      </c>
      <c r="Q22">
        <v>2</v>
      </c>
      <c r="R22">
        <v>0</v>
      </c>
      <c r="S22">
        <v>0</v>
      </c>
      <c r="T22">
        <v>0</v>
      </c>
      <c r="V22">
        <v>0</v>
      </c>
      <c r="X22">
        <v>3</v>
      </c>
      <c r="Y22">
        <v>250</v>
      </c>
      <c r="Z22">
        <v>250</v>
      </c>
      <c r="AA22">
        <v>271.7</v>
      </c>
      <c r="AB22">
        <v>262.7</v>
      </c>
      <c r="AD22">
        <v>13</v>
      </c>
      <c r="AF22" s="2">
        <f t="shared" si="0"/>
        <v>15.625</v>
      </c>
    </row>
    <row r="23" spans="1:32" hidden="1" x14ac:dyDescent="0.25">
      <c r="A23">
        <v>88</v>
      </c>
      <c r="B23" t="s">
        <v>61</v>
      </c>
      <c r="C23" t="s">
        <v>2524</v>
      </c>
      <c r="D23" t="s">
        <v>2397</v>
      </c>
      <c r="E23" t="s">
        <v>15</v>
      </c>
      <c r="F23">
        <v>23</v>
      </c>
      <c r="G23">
        <v>13</v>
      </c>
      <c r="H23">
        <v>13</v>
      </c>
      <c r="I23">
        <v>282</v>
      </c>
      <c r="J23">
        <v>442</v>
      </c>
      <c r="K23">
        <v>3504</v>
      </c>
      <c r="L23">
        <v>19</v>
      </c>
      <c r="M23">
        <v>11</v>
      </c>
      <c r="N23">
        <v>33</v>
      </c>
      <c r="O23">
        <v>135</v>
      </c>
      <c r="P23">
        <v>4.09</v>
      </c>
      <c r="Q23">
        <v>1</v>
      </c>
      <c r="R23">
        <v>0</v>
      </c>
      <c r="S23">
        <v>0</v>
      </c>
      <c r="T23">
        <v>0</v>
      </c>
      <c r="V23">
        <v>0</v>
      </c>
      <c r="X23">
        <v>1</v>
      </c>
      <c r="Y23">
        <v>202</v>
      </c>
      <c r="Z23">
        <v>202</v>
      </c>
      <c r="AA23">
        <v>225.7</v>
      </c>
      <c r="AB23">
        <v>212.7</v>
      </c>
      <c r="AD23">
        <v>22</v>
      </c>
      <c r="AF23" s="2">
        <f t="shared" si="0"/>
        <v>15.538461538461538</v>
      </c>
    </row>
    <row r="24" spans="1:32" hidden="1" x14ac:dyDescent="0.25">
      <c r="A24">
        <v>3</v>
      </c>
      <c r="B24" t="s">
        <v>2403</v>
      </c>
      <c r="C24" t="s">
        <v>2404</v>
      </c>
      <c r="D24" t="s">
        <v>1037</v>
      </c>
      <c r="E24" t="s">
        <v>47</v>
      </c>
      <c r="F24">
        <v>22</v>
      </c>
      <c r="G24">
        <v>16</v>
      </c>
      <c r="H24">
        <v>16</v>
      </c>
      <c r="I24">
        <v>0</v>
      </c>
      <c r="J24">
        <v>0</v>
      </c>
      <c r="K24">
        <v>0</v>
      </c>
      <c r="L24">
        <v>0</v>
      </c>
      <c r="M24">
        <v>0</v>
      </c>
      <c r="N24">
        <v>272</v>
      </c>
      <c r="O24">
        <v>1327</v>
      </c>
      <c r="P24">
        <v>4.88</v>
      </c>
      <c r="Q24">
        <v>8</v>
      </c>
      <c r="R24">
        <v>63</v>
      </c>
      <c r="S24">
        <v>53</v>
      </c>
      <c r="T24">
        <v>455</v>
      </c>
      <c r="U24">
        <v>8.58</v>
      </c>
      <c r="V24">
        <v>3</v>
      </c>
      <c r="Y24">
        <v>242</v>
      </c>
      <c r="Z24">
        <v>295</v>
      </c>
      <c r="AA24">
        <v>302.2</v>
      </c>
      <c r="AB24">
        <v>268.7</v>
      </c>
      <c r="AC24">
        <v>115</v>
      </c>
      <c r="AD24">
        <v>3</v>
      </c>
      <c r="AE24">
        <v>3</v>
      </c>
      <c r="AF24" s="2">
        <f t="shared" si="0"/>
        <v>15.125</v>
      </c>
    </row>
    <row r="25" spans="1:32" x14ac:dyDescent="0.25">
      <c r="A25">
        <v>7</v>
      </c>
      <c r="B25" t="s">
        <v>2410</v>
      </c>
      <c r="C25" t="s">
        <v>2411</v>
      </c>
      <c r="D25" t="s">
        <v>1040</v>
      </c>
      <c r="E25" t="s">
        <v>87</v>
      </c>
      <c r="F25">
        <v>29</v>
      </c>
      <c r="G25">
        <v>14</v>
      </c>
      <c r="H25">
        <v>14</v>
      </c>
      <c r="I25">
        <v>0</v>
      </c>
      <c r="J25">
        <v>0</v>
      </c>
      <c r="K25">
        <v>0</v>
      </c>
      <c r="L25">
        <v>0</v>
      </c>
      <c r="M25">
        <v>0</v>
      </c>
      <c r="N25">
        <v>0</v>
      </c>
      <c r="O25">
        <v>0</v>
      </c>
      <c r="Q25">
        <v>0</v>
      </c>
      <c r="R25">
        <v>163</v>
      </c>
      <c r="S25">
        <v>101</v>
      </c>
      <c r="T25">
        <v>1533</v>
      </c>
      <c r="U25">
        <v>15.18</v>
      </c>
      <c r="V25">
        <v>9</v>
      </c>
      <c r="W25">
        <v>1</v>
      </c>
      <c r="Y25">
        <v>209</v>
      </c>
      <c r="Z25">
        <v>310</v>
      </c>
      <c r="AA25">
        <v>313.3</v>
      </c>
      <c r="AB25">
        <v>259.8</v>
      </c>
      <c r="AC25">
        <v>98</v>
      </c>
      <c r="AD25">
        <v>2</v>
      </c>
      <c r="AE25">
        <v>7</v>
      </c>
      <c r="AF25" s="2">
        <f t="shared" si="0"/>
        <v>14.928571428571429</v>
      </c>
    </row>
    <row r="26" spans="1:32" hidden="1" x14ac:dyDescent="0.25">
      <c r="A26">
        <v>13</v>
      </c>
      <c r="B26" t="s">
        <v>111</v>
      </c>
      <c r="C26" t="s">
        <v>2422</v>
      </c>
      <c r="D26" t="s">
        <v>1039</v>
      </c>
      <c r="E26" t="s">
        <v>47</v>
      </c>
      <c r="F26">
        <v>22</v>
      </c>
      <c r="G26">
        <v>13</v>
      </c>
      <c r="H26">
        <v>13</v>
      </c>
      <c r="I26">
        <v>0</v>
      </c>
      <c r="J26">
        <v>0</v>
      </c>
      <c r="K26">
        <v>0</v>
      </c>
      <c r="L26">
        <v>0</v>
      </c>
      <c r="M26">
        <v>0</v>
      </c>
      <c r="N26">
        <v>268</v>
      </c>
      <c r="O26">
        <v>1040</v>
      </c>
      <c r="P26">
        <v>3.88</v>
      </c>
      <c r="Q26">
        <v>9</v>
      </c>
      <c r="R26">
        <v>48</v>
      </c>
      <c r="S26">
        <v>36</v>
      </c>
      <c r="T26">
        <v>302</v>
      </c>
      <c r="U26">
        <v>8.39</v>
      </c>
      <c r="V26">
        <v>1</v>
      </c>
      <c r="Y26">
        <v>194</v>
      </c>
      <c r="Z26">
        <v>230</v>
      </c>
      <c r="AA26">
        <v>236.2</v>
      </c>
      <c r="AB26">
        <v>212.2</v>
      </c>
      <c r="AC26">
        <v>67</v>
      </c>
      <c r="AD26">
        <v>8</v>
      </c>
      <c r="AE26">
        <v>13</v>
      </c>
      <c r="AF26" s="2">
        <f t="shared" si="0"/>
        <v>14.923076923076923</v>
      </c>
    </row>
    <row r="27" spans="1:32" hidden="1" x14ac:dyDescent="0.25">
      <c r="A27">
        <v>82</v>
      </c>
      <c r="B27" t="s">
        <v>68</v>
      </c>
      <c r="C27" t="s">
        <v>2517</v>
      </c>
      <c r="D27" t="s">
        <v>1050</v>
      </c>
      <c r="E27" t="s">
        <v>15</v>
      </c>
      <c r="F27">
        <v>28</v>
      </c>
      <c r="G27">
        <v>15</v>
      </c>
      <c r="H27">
        <v>14</v>
      </c>
      <c r="I27">
        <v>263</v>
      </c>
      <c r="J27">
        <v>420</v>
      </c>
      <c r="K27">
        <v>2799</v>
      </c>
      <c r="L27">
        <v>14</v>
      </c>
      <c r="M27">
        <v>4</v>
      </c>
      <c r="N27">
        <v>84</v>
      </c>
      <c r="O27">
        <v>427</v>
      </c>
      <c r="P27">
        <v>5.08</v>
      </c>
      <c r="Q27">
        <v>4</v>
      </c>
      <c r="R27">
        <v>0</v>
      </c>
      <c r="S27">
        <v>0</v>
      </c>
      <c r="T27">
        <v>0</v>
      </c>
      <c r="V27">
        <v>0</v>
      </c>
      <c r="Y27">
        <v>223</v>
      </c>
      <c r="Z27">
        <v>223</v>
      </c>
      <c r="AA27">
        <v>234.7</v>
      </c>
      <c r="AB27">
        <v>226.7</v>
      </c>
      <c r="AD27">
        <v>16</v>
      </c>
      <c r="AF27" s="2">
        <f t="shared" si="0"/>
        <v>14.866666666666667</v>
      </c>
    </row>
    <row r="28" spans="1:32" hidden="1" x14ac:dyDescent="0.25">
      <c r="A28">
        <v>118</v>
      </c>
      <c r="B28" t="s">
        <v>2557</v>
      </c>
      <c r="C28" t="s">
        <v>2558</v>
      </c>
      <c r="D28" t="s">
        <v>1806</v>
      </c>
      <c r="E28" t="s">
        <v>15</v>
      </c>
      <c r="F28">
        <v>38</v>
      </c>
      <c r="G28">
        <v>7</v>
      </c>
      <c r="H28">
        <v>7</v>
      </c>
      <c r="I28">
        <v>164</v>
      </c>
      <c r="J28">
        <v>267</v>
      </c>
      <c r="K28">
        <v>1978</v>
      </c>
      <c r="L28">
        <v>9</v>
      </c>
      <c r="M28">
        <v>7</v>
      </c>
      <c r="N28">
        <v>14</v>
      </c>
      <c r="O28">
        <v>12</v>
      </c>
      <c r="P28">
        <v>0.86</v>
      </c>
      <c r="Q28">
        <v>0</v>
      </c>
      <c r="R28">
        <v>0</v>
      </c>
      <c r="S28">
        <v>0</v>
      </c>
      <c r="T28">
        <v>0</v>
      </c>
      <c r="V28">
        <v>0</v>
      </c>
      <c r="Y28">
        <v>102</v>
      </c>
      <c r="Z28">
        <v>102</v>
      </c>
      <c r="AA28">
        <v>112.3</v>
      </c>
      <c r="AB28">
        <v>109.3</v>
      </c>
      <c r="AD28">
        <v>32</v>
      </c>
      <c r="AF28" s="2">
        <f t="shared" si="0"/>
        <v>14.571428571428571</v>
      </c>
    </row>
    <row r="29" spans="1:32" hidden="1" x14ac:dyDescent="0.25">
      <c r="A29">
        <v>4</v>
      </c>
      <c r="B29" t="s">
        <v>2405</v>
      </c>
      <c r="C29" t="s">
        <v>2406</v>
      </c>
      <c r="D29" t="s">
        <v>1051</v>
      </c>
      <c r="E29" t="s">
        <v>47</v>
      </c>
      <c r="F29">
        <v>22</v>
      </c>
      <c r="G29">
        <v>16</v>
      </c>
      <c r="H29">
        <v>3</v>
      </c>
      <c r="I29">
        <v>0</v>
      </c>
      <c r="J29">
        <v>0</v>
      </c>
      <c r="K29">
        <v>0</v>
      </c>
      <c r="L29">
        <v>0</v>
      </c>
      <c r="M29">
        <v>0</v>
      </c>
      <c r="N29">
        <v>120</v>
      </c>
      <c r="O29">
        <v>728</v>
      </c>
      <c r="P29">
        <v>6.07</v>
      </c>
      <c r="Q29">
        <v>8</v>
      </c>
      <c r="R29">
        <v>100</v>
      </c>
      <c r="S29">
        <v>81</v>
      </c>
      <c r="T29">
        <v>826</v>
      </c>
      <c r="U29">
        <v>10.199999999999999</v>
      </c>
      <c r="V29">
        <v>5</v>
      </c>
      <c r="W29">
        <v>1</v>
      </c>
      <c r="Y29">
        <v>233</v>
      </c>
      <c r="Z29">
        <v>314</v>
      </c>
      <c r="AA29">
        <v>327.39999999999998</v>
      </c>
      <c r="AB29">
        <v>279.89999999999998</v>
      </c>
      <c r="AC29">
        <v>106</v>
      </c>
      <c r="AD29">
        <v>4</v>
      </c>
      <c r="AE29">
        <v>4</v>
      </c>
      <c r="AF29" s="2">
        <f t="shared" si="0"/>
        <v>14.5625</v>
      </c>
    </row>
    <row r="30" spans="1:32" hidden="1" x14ac:dyDescent="0.25">
      <c r="A30">
        <v>134</v>
      </c>
      <c r="B30" t="s">
        <v>333</v>
      </c>
      <c r="C30" t="s">
        <v>2574</v>
      </c>
      <c r="D30" t="s">
        <v>1047</v>
      </c>
      <c r="E30" t="s">
        <v>15</v>
      </c>
      <c r="F30">
        <v>26</v>
      </c>
      <c r="G30">
        <v>6</v>
      </c>
      <c r="H30">
        <v>5</v>
      </c>
      <c r="I30">
        <v>120</v>
      </c>
      <c r="J30">
        <v>178</v>
      </c>
      <c r="K30">
        <v>1560</v>
      </c>
      <c r="L30">
        <v>7</v>
      </c>
      <c r="M30">
        <v>5</v>
      </c>
      <c r="N30">
        <v>15</v>
      </c>
      <c r="O30">
        <v>11</v>
      </c>
      <c r="P30">
        <v>0.73</v>
      </c>
      <c r="Q30">
        <v>1</v>
      </c>
      <c r="R30">
        <v>1</v>
      </c>
      <c r="S30">
        <v>1</v>
      </c>
      <c r="T30">
        <v>-6</v>
      </c>
      <c r="U30">
        <v>-6</v>
      </c>
      <c r="V30">
        <v>0</v>
      </c>
      <c r="Y30">
        <v>87</v>
      </c>
      <c r="Z30">
        <v>88</v>
      </c>
      <c r="AA30">
        <v>95.9</v>
      </c>
      <c r="AB30">
        <v>92.4</v>
      </c>
      <c r="AD30">
        <v>34</v>
      </c>
      <c r="AF30" s="2">
        <f t="shared" si="0"/>
        <v>14.5</v>
      </c>
    </row>
    <row r="31" spans="1:32" hidden="1" x14ac:dyDescent="0.25">
      <c r="A31">
        <v>5</v>
      </c>
      <c r="B31" t="s">
        <v>92</v>
      </c>
      <c r="C31" t="s">
        <v>2407</v>
      </c>
      <c r="D31" t="s">
        <v>1041</v>
      </c>
      <c r="E31" t="s">
        <v>47</v>
      </c>
      <c r="F31">
        <v>24</v>
      </c>
      <c r="G31">
        <v>16</v>
      </c>
      <c r="H31">
        <v>16</v>
      </c>
      <c r="I31">
        <v>0</v>
      </c>
      <c r="J31">
        <v>0</v>
      </c>
      <c r="K31">
        <v>0</v>
      </c>
      <c r="L31">
        <v>0</v>
      </c>
      <c r="M31">
        <v>0</v>
      </c>
      <c r="N31">
        <v>284</v>
      </c>
      <c r="O31">
        <v>1105</v>
      </c>
      <c r="P31">
        <v>3.89</v>
      </c>
      <c r="Q31">
        <v>8</v>
      </c>
      <c r="R31">
        <v>83</v>
      </c>
      <c r="S31">
        <v>58</v>
      </c>
      <c r="T31">
        <v>476</v>
      </c>
      <c r="U31">
        <v>8.2100000000000009</v>
      </c>
      <c r="V31">
        <v>4</v>
      </c>
      <c r="Y31">
        <v>230</v>
      </c>
      <c r="Z31">
        <v>288</v>
      </c>
      <c r="AA31">
        <v>294.10000000000002</v>
      </c>
      <c r="AB31">
        <v>259.10000000000002</v>
      </c>
      <c r="AC31">
        <v>103</v>
      </c>
      <c r="AD31">
        <v>5</v>
      </c>
      <c r="AE31">
        <v>5</v>
      </c>
      <c r="AF31" s="2">
        <f t="shared" si="0"/>
        <v>14.375</v>
      </c>
    </row>
    <row r="32" spans="1:32" x14ac:dyDescent="0.25">
      <c r="A32">
        <v>6</v>
      </c>
      <c r="B32" t="s">
        <v>2408</v>
      </c>
      <c r="C32" t="s">
        <v>2409</v>
      </c>
      <c r="D32" t="s">
        <v>1043</v>
      </c>
      <c r="E32" t="s">
        <v>87</v>
      </c>
      <c r="F32">
        <v>25</v>
      </c>
      <c r="G32">
        <v>15</v>
      </c>
      <c r="H32">
        <v>15</v>
      </c>
      <c r="I32">
        <v>0</v>
      </c>
      <c r="J32">
        <v>0</v>
      </c>
      <c r="K32">
        <v>0</v>
      </c>
      <c r="L32">
        <v>0</v>
      </c>
      <c r="M32">
        <v>0</v>
      </c>
      <c r="N32">
        <v>0</v>
      </c>
      <c r="O32">
        <v>0</v>
      </c>
      <c r="Q32">
        <v>0</v>
      </c>
      <c r="R32">
        <v>174</v>
      </c>
      <c r="S32">
        <v>96</v>
      </c>
      <c r="T32">
        <v>1378</v>
      </c>
      <c r="U32">
        <v>14.35</v>
      </c>
      <c r="V32">
        <v>13</v>
      </c>
      <c r="Y32">
        <v>214</v>
      </c>
      <c r="Z32">
        <v>310</v>
      </c>
      <c r="AA32">
        <v>313.8</v>
      </c>
      <c r="AB32">
        <v>261.8</v>
      </c>
      <c r="AC32">
        <v>103</v>
      </c>
      <c r="AD32">
        <v>1</v>
      </c>
      <c r="AE32">
        <v>6</v>
      </c>
      <c r="AF32" s="2">
        <f t="shared" si="0"/>
        <v>14.266666666666667</v>
      </c>
    </row>
    <row r="33" spans="1:32" hidden="1" x14ac:dyDescent="0.25">
      <c r="A33">
        <v>81</v>
      </c>
      <c r="B33" t="s">
        <v>26</v>
      </c>
      <c r="C33" t="s">
        <v>2516</v>
      </c>
      <c r="D33" t="s">
        <v>1052</v>
      </c>
      <c r="E33" t="s">
        <v>15</v>
      </c>
      <c r="F33">
        <v>32</v>
      </c>
      <c r="G33">
        <v>16</v>
      </c>
      <c r="H33">
        <v>16</v>
      </c>
      <c r="I33">
        <v>342</v>
      </c>
      <c r="J33">
        <v>529</v>
      </c>
      <c r="K33">
        <v>4095</v>
      </c>
      <c r="L33">
        <v>20</v>
      </c>
      <c r="M33">
        <v>12</v>
      </c>
      <c r="N33">
        <v>32</v>
      </c>
      <c r="O33">
        <v>143</v>
      </c>
      <c r="P33">
        <v>4.47</v>
      </c>
      <c r="Q33">
        <v>0</v>
      </c>
      <c r="R33">
        <v>0</v>
      </c>
      <c r="S33">
        <v>0</v>
      </c>
      <c r="T33">
        <v>0</v>
      </c>
      <c r="V33">
        <v>0</v>
      </c>
      <c r="Y33">
        <v>228</v>
      </c>
      <c r="Z33">
        <v>228</v>
      </c>
      <c r="AA33">
        <v>249.1</v>
      </c>
      <c r="AB33">
        <v>240.1</v>
      </c>
      <c r="AD33">
        <v>15</v>
      </c>
      <c r="AF33" s="2">
        <f t="shared" si="0"/>
        <v>14.25</v>
      </c>
    </row>
    <row r="34" spans="1:32" hidden="1" x14ac:dyDescent="0.25">
      <c r="A34">
        <v>84</v>
      </c>
      <c r="B34" t="s">
        <v>69</v>
      </c>
      <c r="C34" t="s">
        <v>2519</v>
      </c>
      <c r="D34" t="s">
        <v>1887</v>
      </c>
      <c r="E34" t="s">
        <v>15</v>
      </c>
      <c r="F34">
        <v>24</v>
      </c>
      <c r="G34">
        <v>15</v>
      </c>
      <c r="H34">
        <v>15</v>
      </c>
      <c r="I34">
        <v>281</v>
      </c>
      <c r="J34">
        <v>453</v>
      </c>
      <c r="K34">
        <v>3232</v>
      </c>
      <c r="L34">
        <v>13</v>
      </c>
      <c r="M34">
        <v>15</v>
      </c>
      <c r="N34">
        <v>60</v>
      </c>
      <c r="O34">
        <v>312</v>
      </c>
      <c r="P34">
        <v>5.2</v>
      </c>
      <c r="Q34">
        <v>5</v>
      </c>
      <c r="R34">
        <v>0</v>
      </c>
      <c r="S34">
        <v>0</v>
      </c>
      <c r="T34">
        <v>0</v>
      </c>
      <c r="V34">
        <v>0</v>
      </c>
      <c r="Y34">
        <v>210</v>
      </c>
      <c r="Z34">
        <v>210</v>
      </c>
      <c r="AA34">
        <v>232.5</v>
      </c>
      <c r="AB34">
        <v>225.5</v>
      </c>
      <c r="AD34">
        <v>18</v>
      </c>
      <c r="AF34" s="2">
        <f t="shared" si="0"/>
        <v>14</v>
      </c>
    </row>
    <row r="35" spans="1:32" hidden="1" x14ac:dyDescent="0.25">
      <c r="A35">
        <v>8</v>
      </c>
      <c r="B35" t="s">
        <v>2412</v>
      </c>
      <c r="C35" t="s">
        <v>2413</v>
      </c>
      <c r="D35" t="s">
        <v>1051</v>
      </c>
      <c r="E35" t="s">
        <v>47</v>
      </c>
      <c r="F35">
        <v>28</v>
      </c>
      <c r="G35">
        <v>16</v>
      </c>
      <c r="H35">
        <v>13</v>
      </c>
      <c r="I35">
        <v>0</v>
      </c>
      <c r="J35">
        <v>0</v>
      </c>
      <c r="K35">
        <v>0</v>
      </c>
      <c r="L35">
        <v>0</v>
      </c>
      <c r="M35">
        <v>0</v>
      </c>
      <c r="N35">
        <v>230</v>
      </c>
      <c r="O35">
        <v>1124</v>
      </c>
      <c r="P35">
        <v>4.8899999999999997</v>
      </c>
      <c r="Q35">
        <v>12</v>
      </c>
      <c r="R35">
        <v>71</v>
      </c>
      <c r="S35">
        <v>58</v>
      </c>
      <c r="T35">
        <v>416</v>
      </c>
      <c r="U35">
        <v>7.17</v>
      </c>
      <c r="V35">
        <v>0</v>
      </c>
      <c r="Y35">
        <v>220</v>
      </c>
      <c r="Z35">
        <v>278</v>
      </c>
      <c r="AA35">
        <v>287</v>
      </c>
      <c r="AB35">
        <v>249</v>
      </c>
      <c r="AC35">
        <v>93</v>
      </c>
      <c r="AD35">
        <v>6</v>
      </c>
      <c r="AE35">
        <v>8</v>
      </c>
      <c r="AF35" s="2">
        <f t="shared" si="0"/>
        <v>13.75</v>
      </c>
    </row>
    <row r="36" spans="1:32" hidden="1" x14ac:dyDescent="0.25">
      <c r="A36">
        <v>86</v>
      </c>
      <c r="B36" t="s">
        <v>2521</v>
      </c>
      <c r="C36" t="s">
        <v>2522</v>
      </c>
      <c r="D36" t="s">
        <v>1870</v>
      </c>
      <c r="E36" t="s">
        <v>15</v>
      </c>
      <c r="F36">
        <v>26</v>
      </c>
      <c r="G36">
        <v>15</v>
      </c>
      <c r="H36">
        <v>15</v>
      </c>
      <c r="I36">
        <v>323</v>
      </c>
      <c r="J36">
        <v>515</v>
      </c>
      <c r="K36">
        <v>3496</v>
      </c>
      <c r="L36">
        <v>22</v>
      </c>
      <c r="M36">
        <v>13</v>
      </c>
      <c r="N36">
        <v>23</v>
      </c>
      <c r="O36">
        <v>66</v>
      </c>
      <c r="P36">
        <v>2.87</v>
      </c>
      <c r="Q36">
        <v>0</v>
      </c>
      <c r="R36">
        <v>0</v>
      </c>
      <c r="S36">
        <v>0</v>
      </c>
      <c r="T36">
        <v>0</v>
      </c>
      <c r="V36">
        <v>0</v>
      </c>
      <c r="X36">
        <v>2</v>
      </c>
      <c r="Y36">
        <v>206</v>
      </c>
      <c r="Z36">
        <v>206</v>
      </c>
      <c r="AA36">
        <v>225.4</v>
      </c>
      <c r="AB36">
        <v>219.4</v>
      </c>
      <c r="AD36">
        <v>19</v>
      </c>
      <c r="AF36" s="2">
        <f t="shared" si="0"/>
        <v>13.733333333333333</v>
      </c>
    </row>
    <row r="37" spans="1:32" hidden="1" x14ac:dyDescent="0.25">
      <c r="A37">
        <v>203</v>
      </c>
      <c r="B37" t="s">
        <v>127</v>
      </c>
      <c r="C37" t="s">
        <v>2650</v>
      </c>
      <c r="D37" t="s">
        <v>1048</v>
      </c>
      <c r="E37" t="s">
        <v>47</v>
      </c>
      <c r="F37">
        <v>22</v>
      </c>
      <c r="G37">
        <v>4</v>
      </c>
      <c r="H37">
        <v>4</v>
      </c>
      <c r="I37">
        <v>0</v>
      </c>
      <c r="J37">
        <v>0</v>
      </c>
      <c r="K37">
        <v>0</v>
      </c>
      <c r="L37">
        <v>0</v>
      </c>
      <c r="M37">
        <v>0</v>
      </c>
      <c r="N37">
        <v>74</v>
      </c>
      <c r="O37">
        <v>354</v>
      </c>
      <c r="P37">
        <v>4.78</v>
      </c>
      <c r="Q37">
        <v>2</v>
      </c>
      <c r="R37">
        <v>16</v>
      </c>
      <c r="S37">
        <v>11</v>
      </c>
      <c r="T37">
        <v>90</v>
      </c>
      <c r="U37">
        <v>8.18</v>
      </c>
      <c r="V37">
        <v>0</v>
      </c>
      <c r="Y37">
        <v>54</v>
      </c>
      <c r="Z37">
        <v>65</v>
      </c>
      <c r="AA37">
        <v>69.400000000000006</v>
      </c>
      <c r="AB37">
        <v>59.9</v>
      </c>
      <c r="AD37">
        <v>64</v>
      </c>
      <c r="AF37" s="2">
        <f t="shared" si="0"/>
        <v>13.5</v>
      </c>
    </row>
    <row r="38" spans="1:32" hidden="1" x14ac:dyDescent="0.25">
      <c r="A38">
        <v>295</v>
      </c>
      <c r="B38" t="s">
        <v>78</v>
      </c>
      <c r="C38" t="s">
        <v>2771</v>
      </c>
      <c r="D38" t="s">
        <v>1048</v>
      </c>
      <c r="E38" t="s">
        <v>15</v>
      </c>
      <c r="F38">
        <v>30</v>
      </c>
      <c r="G38">
        <v>2</v>
      </c>
      <c r="H38">
        <v>2</v>
      </c>
      <c r="I38">
        <v>32</v>
      </c>
      <c r="J38">
        <v>43</v>
      </c>
      <c r="K38">
        <v>382</v>
      </c>
      <c r="L38">
        <v>3</v>
      </c>
      <c r="M38">
        <v>0</v>
      </c>
      <c r="N38">
        <v>2</v>
      </c>
      <c r="O38">
        <v>-3</v>
      </c>
      <c r="P38">
        <v>-1.5</v>
      </c>
      <c r="Q38">
        <v>0</v>
      </c>
      <c r="R38">
        <v>0</v>
      </c>
      <c r="S38">
        <v>0</v>
      </c>
      <c r="T38">
        <v>0</v>
      </c>
      <c r="V38">
        <v>0</v>
      </c>
      <c r="Y38">
        <v>27</v>
      </c>
      <c r="Z38">
        <v>27</v>
      </c>
      <c r="AA38">
        <v>30</v>
      </c>
      <c r="AB38">
        <v>27</v>
      </c>
      <c r="AD38">
        <v>46</v>
      </c>
      <c r="AF38" s="2">
        <f t="shared" si="0"/>
        <v>13.5</v>
      </c>
    </row>
    <row r="39" spans="1:32" hidden="1" x14ac:dyDescent="0.25">
      <c r="A39">
        <v>83</v>
      </c>
      <c r="B39" t="s">
        <v>63</v>
      </c>
      <c r="C39" t="s">
        <v>2518</v>
      </c>
      <c r="D39" t="s">
        <v>1834</v>
      </c>
      <c r="E39" t="s">
        <v>15</v>
      </c>
      <c r="F39">
        <v>30</v>
      </c>
      <c r="G39">
        <v>16</v>
      </c>
      <c r="H39">
        <v>16</v>
      </c>
      <c r="I39">
        <v>297</v>
      </c>
      <c r="J39">
        <v>496</v>
      </c>
      <c r="K39">
        <v>3320</v>
      </c>
      <c r="L39">
        <v>25</v>
      </c>
      <c r="M39">
        <v>12</v>
      </c>
      <c r="N39">
        <v>38</v>
      </c>
      <c r="O39">
        <v>99</v>
      </c>
      <c r="P39">
        <v>2.61</v>
      </c>
      <c r="Q39">
        <v>0</v>
      </c>
      <c r="R39">
        <v>0</v>
      </c>
      <c r="S39">
        <v>0</v>
      </c>
      <c r="T39">
        <v>0</v>
      </c>
      <c r="V39">
        <v>0</v>
      </c>
      <c r="Y39">
        <v>211</v>
      </c>
      <c r="Z39">
        <v>211</v>
      </c>
      <c r="AA39">
        <v>229.7</v>
      </c>
      <c r="AB39">
        <v>222.7</v>
      </c>
      <c r="AD39">
        <v>17</v>
      </c>
      <c r="AF39" s="2">
        <f t="shared" si="0"/>
        <v>13.1875</v>
      </c>
    </row>
    <row r="40" spans="1:32" hidden="1" x14ac:dyDescent="0.25">
      <c r="A40">
        <v>85</v>
      </c>
      <c r="B40" t="s">
        <v>1497</v>
      </c>
      <c r="C40" t="s">
        <v>2520</v>
      </c>
      <c r="D40" t="s">
        <v>815</v>
      </c>
      <c r="E40" t="s">
        <v>15</v>
      </c>
      <c r="F40">
        <v>24</v>
      </c>
      <c r="G40">
        <v>16</v>
      </c>
      <c r="H40">
        <v>15</v>
      </c>
      <c r="I40">
        <v>276</v>
      </c>
      <c r="J40">
        <v>469</v>
      </c>
      <c r="K40">
        <v>3098</v>
      </c>
      <c r="L40">
        <v>13</v>
      </c>
      <c r="M40">
        <v>7</v>
      </c>
      <c r="N40">
        <v>63</v>
      </c>
      <c r="O40">
        <v>260</v>
      </c>
      <c r="P40">
        <v>4.13</v>
      </c>
      <c r="Q40">
        <v>4</v>
      </c>
      <c r="R40">
        <v>0</v>
      </c>
      <c r="S40">
        <v>0</v>
      </c>
      <c r="T40">
        <v>0</v>
      </c>
      <c r="V40">
        <v>0</v>
      </c>
      <c r="Y40">
        <v>206</v>
      </c>
      <c r="Z40">
        <v>206</v>
      </c>
      <c r="AA40">
        <v>221.9</v>
      </c>
      <c r="AB40">
        <v>212.9</v>
      </c>
      <c r="AD40">
        <v>20</v>
      </c>
      <c r="AF40" s="2">
        <f t="shared" si="0"/>
        <v>12.875</v>
      </c>
    </row>
    <row r="41" spans="1:32" hidden="1" x14ac:dyDescent="0.25">
      <c r="A41">
        <v>10</v>
      </c>
      <c r="B41" t="s">
        <v>2416</v>
      </c>
      <c r="C41" t="s">
        <v>2417</v>
      </c>
      <c r="D41" t="s">
        <v>1050</v>
      </c>
      <c r="E41" t="s">
        <v>47</v>
      </c>
      <c r="F41">
        <v>29</v>
      </c>
      <c r="G41">
        <v>16</v>
      </c>
      <c r="H41">
        <v>16</v>
      </c>
      <c r="I41">
        <v>0</v>
      </c>
      <c r="J41">
        <v>0</v>
      </c>
      <c r="K41">
        <v>0</v>
      </c>
      <c r="L41">
        <v>0</v>
      </c>
      <c r="M41">
        <v>0</v>
      </c>
      <c r="N41">
        <v>287</v>
      </c>
      <c r="O41">
        <v>1138</v>
      </c>
      <c r="P41">
        <v>3.97</v>
      </c>
      <c r="Q41">
        <v>6</v>
      </c>
      <c r="R41">
        <v>77</v>
      </c>
      <c r="S41">
        <v>59</v>
      </c>
      <c r="T41">
        <v>448</v>
      </c>
      <c r="U41">
        <v>7.59</v>
      </c>
      <c r="V41">
        <v>2</v>
      </c>
      <c r="Y41">
        <v>205</v>
      </c>
      <c r="Z41">
        <v>264</v>
      </c>
      <c r="AA41">
        <v>270.60000000000002</v>
      </c>
      <c r="AB41">
        <v>234.1</v>
      </c>
      <c r="AC41">
        <v>78</v>
      </c>
      <c r="AD41">
        <v>7</v>
      </c>
      <c r="AE41">
        <v>10</v>
      </c>
      <c r="AF41" s="2">
        <f t="shared" si="0"/>
        <v>12.8125</v>
      </c>
    </row>
    <row r="42" spans="1:32" hidden="1" x14ac:dyDescent="0.25">
      <c r="A42">
        <v>131</v>
      </c>
      <c r="B42" t="s">
        <v>1537</v>
      </c>
      <c r="C42" t="s">
        <v>2571</v>
      </c>
      <c r="D42" t="s">
        <v>1047</v>
      </c>
      <c r="E42" t="s">
        <v>15</v>
      </c>
      <c r="F42">
        <v>24</v>
      </c>
      <c r="G42">
        <v>7</v>
      </c>
      <c r="H42">
        <v>5</v>
      </c>
      <c r="I42">
        <v>123</v>
      </c>
      <c r="J42">
        <v>224</v>
      </c>
      <c r="K42">
        <v>1430</v>
      </c>
      <c r="L42">
        <v>4</v>
      </c>
      <c r="M42">
        <v>6</v>
      </c>
      <c r="N42">
        <v>26</v>
      </c>
      <c r="O42">
        <v>136</v>
      </c>
      <c r="P42">
        <v>5.23</v>
      </c>
      <c r="Q42">
        <v>3</v>
      </c>
      <c r="R42">
        <v>0</v>
      </c>
      <c r="S42">
        <v>0</v>
      </c>
      <c r="T42">
        <v>0</v>
      </c>
      <c r="V42">
        <v>0</v>
      </c>
      <c r="Y42">
        <v>89</v>
      </c>
      <c r="Z42">
        <v>89</v>
      </c>
      <c r="AA42">
        <v>102.8</v>
      </c>
      <c r="AB42">
        <v>94.8</v>
      </c>
      <c r="AD42">
        <v>33</v>
      </c>
      <c r="AF42" s="2">
        <f t="shared" si="0"/>
        <v>12.714285714285714</v>
      </c>
    </row>
    <row r="43" spans="1:32" hidden="1" x14ac:dyDescent="0.25">
      <c r="A43">
        <v>89</v>
      </c>
      <c r="B43" t="s">
        <v>75</v>
      </c>
      <c r="C43" t="s">
        <v>2525</v>
      </c>
      <c r="D43" t="s">
        <v>1811</v>
      </c>
      <c r="E43" t="s">
        <v>15</v>
      </c>
      <c r="F43">
        <v>36</v>
      </c>
      <c r="G43">
        <v>15</v>
      </c>
      <c r="H43">
        <v>15</v>
      </c>
      <c r="I43">
        <v>352</v>
      </c>
      <c r="J43">
        <v>571</v>
      </c>
      <c r="K43">
        <v>3468</v>
      </c>
      <c r="L43">
        <v>19</v>
      </c>
      <c r="M43">
        <v>13</v>
      </c>
      <c r="N43">
        <v>12</v>
      </c>
      <c r="O43">
        <v>26</v>
      </c>
      <c r="P43">
        <v>2.17</v>
      </c>
      <c r="Q43">
        <v>1</v>
      </c>
      <c r="R43">
        <v>0</v>
      </c>
      <c r="S43">
        <v>0</v>
      </c>
      <c r="T43">
        <v>0</v>
      </c>
      <c r="V43">
        <v>0</v>
      </c>
      <c r="Y43">
        <v>187</v>
      </c>
      <c r="Z43">
        <v>187</v>
      </c>
      <c r="AA43">
        <v>208.3</v>
      </c>
      <c r="AB43">
        <v>200.3</v>
      </c>
      <c r="AD43">
        <v>23</v>
      </c>
      <c r="AF43" s="2">
        <f t="shared" si="0"/>
        <v>12.466666666666667</v>
      </c>
    </row>
    <row r="44" spans="1:32" hidden="1" x14ac:dyDescent="0.25">
      <c r="A44">
        <v>186</v>
      </c>
      <c r="B44" t="s">
        <v>1627</v>
      </c>
      <c r="C44" t="s">
        <v>2631</v>
      </c>
      <c r="D44" t="s">
        <v>1806</v>
      </c>
      <c r="E44" t="s">
        <v>15</v>
      </c>
      <c r="F44">
        <v>28</v>
      </c>
      <c r="G44">
        <v>5</v>
      </c>
      <c r="H44">
        <v>5</v>
      </c>
      <c r="I44">
        <v>95</v>
      </c>
      <c r="J44">
        <v>171</v>
      </c>
      <c r="K44">
        <v>1086</v>
      </c>
      <c r="L44">
        <v>6</v>
      </c>
      <c r="M44">
        <v>6</v>
      </c>
      <c r="N44">
        <v>23</v>
      </c>
      <c r="O44">
        <v>82</v>
      </c>
      <c r="P44">
        <v>3.57</v>
      </c>
      <c r="Q44">
        <v>0</v>
      </c>
      <c r="R44">
        <v>0</v>
      </c>
      <c r="S44">
        <v>0</v>
      </c>
      <c r="T44">
        <v>0</v>
      </c>
      <c r="V44">
        <v>0</v>
      </c>
      <c r="X44">
        <v>1</v>
      </c>
      <c r="Y44">
        <v>62</v>
      </c>
      <c r="Z44">
        <v>62</v>
      </c>
      <c r="AA44">
        <v>72.599999999999994</v>
      </c>
      <c r="AB44">
        <v>67.599999999999994</v>
      </c>
      <c r="AD44">
        <v>38</v>
      </c>
      <c r="AF44" s="2">
        <f t="shared" si="0"/>
        <v>12.4</v>
      </c>
    </row>
    <row r="45" spans="1:32" hidden="1" x14ac:dyDescent="0.25">
      <c r="A45">
        <v>155</v>
      </c>
      <c r="B45" t="s">
        <v>314</v>
      </c>
      <c r="C45" t="s">
        <v>2597</v>
      </c>
      <c r="D45" t="s">
        <v>2397</v>
      </c>
      <c r="E45" t="s">
        <v>15</v>
      </c>
      <c r="F45">
        <v>35</v>
      </c>
      <c r="G45">
        <v>6</v>
      </c>
      <c r="H45">
        <v>3</v>
      </c>
      <c r="I45">
        <v>96</v>
      </c>
      <c r="J45">
        <v>163</v>
      </c>
      <c r="K45">
        <v>1103</v>
      </c>
      <c r="L45">
        <v>7</v>
      </c>
      <c r="M45">
        <v>3</v>
      </c>
      <c r="N45">
        <v>16</v>
      </c>
      <c r="O45">
        <v>76</v>
      </c>
      <c r="P45">
        <v>4.75</v>
      </c>
      <c r="Q45">
        <v>0</v>
      </c>
      <c r="R45">
        <v>0</v>
      </c>
      <c r="S45">
        <v>0</v>
      </c>
      <c r="T45">
        <v>0</v>
      </c>
      <c r="V45">
        <v>0</v>
      </c>
      <c r="Y45">
        <v>74</v>
      </c>
      <c r="Z45">
        <v>74</v>
      </c>
      <c r="AA45">
        <v>79.7</v>
      </c>
      <c r="AB45">
        <v>76.7</v>
      </c>
      <c r="AD45">
        <v>35</v>
      </c>
      <c r="AF45" s="2">
        <f t="shared" si="0"/>
        <v>12.333333333333334</v>
      </c>
    </row>
    <row r="46" spans="1:32" x14ac:dyDescent="0.25">
      <c r="A46">
        <v>218</v>
      </c>
      <c r="B46" t="s">
        <v>2670</v>
      </c>
      <c r="C46" t="s">
        <v>2671</v>
      </c>
      <c r="D46" t="s">
        <v>1811</v>
      </c>
      <c r="E46" t="s">
        <v>87</v>
      </c>
      <c r="F46">
        <v>25</v>
      </c>
      <c r="G46">
        <v>4</v>
      </c>
      <c r="H46">
        <v>2</v>
      </c>
      <c r="I46">
        <v>0</v>
      </c>
      <c r="J46">
        <v>0</v>
      </c>
      <c r="K46">
        <v>0</v>
      </c>
      <c r="L46">
        <v>0</v>
      </c>
      <c r="M46">
        <v>0</v>
      </c>
      <c r="N46">
        <v>1</v>
      </c>
      <c r="O46">
        <v>8</v>
      </c>
      <c r="P46">
        <v>8</v>
      </c>
      <c r="Q46">
        <v>0</v>
      </c>
      <c r="R46">
        <v>41</v>
      </c>
      <c r="S46">
        <v>25</v>
      </c>
      <c r="T46">
        <v>302</v>
      </c>
      <c r="U46">
        <v>12.08</v>
      </c>
      <c r="V46">
        <v>3</v>
      </c>
      <c r="Y46">
        <v>49</v>
      </c>
      <c r="Z46">
        <v>74</v>
      </c>
      <c r="AA46">
        <v>77</v>
      </c>
      <c r="AB46">
        <v>61.5</v>
      </c>
      <c r="AD46">
        <v>82</v>
      </c>
      <c r="AF46" s="2">
        <f t="shared" si="0"/>
        <v>12.25</v>
      </c>
    </row>
    <row r="47" spans="1:32" hidden="1" x14ac:dyDescent="0.25">
      <c r="A47">
        <v>91</v>
      </c>
      <c r="B47" t="s">
        <v>91</v>
      </c>
      <c r="C47" t="s">
        <v>2527</v>
      </c>
      <c r="D47" t="s">
        <v>1872</v>
      </c>
      <c r="E47" t="s">
        <v>15</v>
      </c>
      <c r="F47">
        <v>21</v>
      </c>
      <c r="G47">
        <v>15</v>
      </c>
      <c r="H47">
        <v>15</v>
      </c>
      <c r="I47">
        <v>255</v>
      </c>
      <c r="J47">
        <v>476</v>
      </c>
      <c r="K47">
        <v>2894</v>
      </c>
      <c r="L47">
        <v>11</v>
      </c>
      <c r="M47">
        <v>22</v>
      </c>
      <c r="N47">
        <v>77</v>
      </c>
      <c r="O47">
        <v>419</v>
      </c>
      <c r="P47">
        <v>5.44</v>
      </c>
      <c r="Q47">
        <v>5</v>
      </c>
      <c r="R47">
        <v>0</v>
      </c>
      <c r="S47">
        <v>0</v>
      </c>
      <c r="T47">
        <v>0</v>
      </c>
      <c r="V47">
        <v>0</v>
      </c>
      <c r="Y47">
        <v>176</v>
      </c>
      <c r="Z47">
        <v>176</v>
      </c>
      <c r="AA47">
        <v>209.7</v>
      </c>
      <c r="AB47">
        <v>197.7</v>
      </c>
      <c r="AD47">
        <v>25</v>
      </c>
      <c r="AF47" s="2">
        <f t="shared" si="0"/>
        <v>11.733333333333333</v>
      </c>
    </row>
    <row r="48" spans="1:32" hidden="1" x14ac:dyDescent="0.25">
      <c r="A48">
        <v>33</v>
      </c>
      <c r="B48" t="s">
        <v>90</v>
      </c>
      <c r="C48" t="s">
        <v>2455</v>
      </c>
      <c r="D48" t="s">
        <v>1052</v>
      </c>
      <c r="E48" t="s">
        <v>47</v>
      </c>
      <c r="F48">
        <v>25</v>
      </c>
      <c r="G48">
        <v>14</v>
      </c>
      <c r="H48">
        <v>14</v>
      </c>
      <c r="I48">
        <v>0</v>
      </c>
      <c r="J48">
        <v>0</v>
      </c>
      <c r="K48">
        <v>0</v>
      </c>
      <c r="L48">
        <v>0</v>
      </c>
      <c r="M48">
        <v>0</v>
      </c>
      <c r="N48">
        <v>196</v>
      </c>
      <c r="O48">
        <v>865</v>
      </c>
      <c r="P48">
        <v>4.41</v>
      </c>
      <c r="Q48">
        <v>7</v>
      </c>
      <c r="R48">
        <v>47</v>
      </c>
      <c r="S48">
        <v>36</v>
      </c>
      <c r="T48">
        <v>317</v>
      </c>
      <c r="U48">
        <v>8.81</v>
      </c>
      <c r="V48">
        <v>1</v>
      </c>
      <c r="Y48">
        <v>164</v>
      </c>
      <c r="Z48">
        <v>200</v>
      </c>
      <c r="AA48">
        <v>207.2</v>
      </c>
      <c r="AB48">
        <v>182.2</v>
      </c>
      <c r="AC48">
        <v>37</v>
      </c>
      <c r="AD48">
        <v>13</v>
      </c>
      <c r="AE48">
        <v>33</v>
      </c>
      <c r="AF48" s="2">
        <f t="shared" si="0"/>
        <v>11.714285714285714</v>
      </c>
    </row>
    <row r="49" spans="1:32" hidden="1" x14ac:dyDescent="0.25">
      <c r="A49">
        <v>90</v>
      </c>
      <c r="B49" t="s">
        <v>82</v>
      </c>
      <c r="C49" t="s">
        <v>2526</v>
      </c>
      <c r="D49" t="s">
        <v>1890</v>
      </c>
      <c r="E49" t="s">
        <v>15</v>
      </c>
      <c r="F49">
        <v>32</v>
      </c>
      <c r="G49">
        <v>16</v>
      </c>
      <c r="H49">
        <v>16</v>
      </c>
      <c r="I49">
        <v>352</v>
      </c>
      <c r="J49">
        <v>549</v>
      </c>
      <c r="K49">
        <v>3141</v>
      </c>
      <c r="L49">
        <v>18</v>
      </c>
      <c r="M49">
        <v>13</v>
      </c>
      <c r="N49">
        <v>25</v>
      </c>
      <c r="O49">
        <v>54</v>
      </c>
      <c r="P49">
        <v>2.16</v>
      </c>
      <c r="Q49">
        <v>1</v>
      </c>
      <c r="R49">
        <v>0</v>
      </c>
      <c r="S49">
        <v>0</v>
      </c>
      <c r="T49">
        <v>0</v>
      </c>
      <c r="V49">
        <v>0</v>
      </c>
      <c r="X49">
        <v>1</v>
      </c>
      <c r="Y49">
        <v>185</v>
      </c>
      <c r="Z49">
        <v>185</v>
      </c>
      <c r="AA49">
        <v>201</v>
      </c>
      <c r="AB49">
        <v>198</v>
      </c>
      <c r="AD49">
        <v>24</v>
      </c>
      <c r="AF49" s="2">
        <f t="shared" si="0"/>
        <v>11.5625</v>
      </c>
    </row>
    <row r="50" spans="1:32" hidden="1" x14ac:dyDescent="0.25">
      <c r="A50">
        <v>97</v>
      </c>
      <c r="B50" t="s">
        <v>102</v>
      </c>
      <c r="C50" t="s">
        <v>2535</v>
      </c>
      <c r="D50" t="s">
        <v>1054</v>
      </c>
      <c r="E50" t="s">
        <v>15</v>
      </c>
      <c r="F50">
        <v>26</v>
      </c>
      <c r="G50">
        <v>11</v>
      </c>
      <c r="H50">
        <v>10</v>
      </c>
      <c r="I50">
        <v>206</v>
      </c>
      <c r="J50">
        <v>349</v>
      </c>
      <c r="K50">
        <v>2285</v>
      </c>
      <c r="L50">
        <v>12</v>
      </c>
      <c r="M50">
        <v>14</v>
      </c>
      <c r="N50">
        <v>31</v>
      </c>
      <c r="O50">
        <v>127</v>
      </c>
      <c r="P50">
        <v>4.0999999999999996</v>
      </c>
      <c r="Q50">
        <v>1</v>
      </c>
      <c r="R50">
        <v>0</v>
      </c>
      <c r="S50">
        <v>0</v>
      </c>
      <c r="T50">
        <v>0</v>
      </c>
      <c r="V50">
        <v>0</v>
      </c>
      <c r="Y50">
        <v>126</v>
      </c>
      <c r="Z50">
        <v>126</v>
      </c>
      <c r="AA50">
        <v>148.1</v>
      </c>
      <c r="AB50">
        <v>140.1</v>
      </c>
      <c r="AD50">
        <v>30</v>
      </c>
      <c r="AF50" s="2">
        <f t="shared" si="0"/>
        <v>11.454545454545455</v>
      </c>
    </row>
    <row r="51" spans="1:32" hidden="1" x14ac:dyDescent="0.25">
      <c r="A51">
        <v>170</v>
      </c>
      <c r="B51" t="s">
        <v>319</v>
      </c>
      <c r="C51" t="s">
        <v>2613</v>
      </c>
      <c r="D51" t="s">
        <v>1054</v>
      </c>
      <c r="E51" t="s">
        <v>15</v>
      </c>
      <c r="F51">
        <v>27</v>
      </c>
      <c r="G51">
        <v>6</v>
      </c>
      <c r="H51">
        <v>4</v>
      </c>
      <c r="I51">
        <v>96</v>
      </c>
      <c r="J51">
        <v>172</v>
      </c>
      <c r="K51">
        <v>1088</v>
      </c>
      <c r="L51">
        <v>5</v>
      </c>
      <c r="M51">
        <v>5</v>
      </c>
      <c r="N51">
        <v>14</v>
      </c>
      <c r="O51">
        <v>64</v>
      </c>
      <c r="P51">
        <v>4.57</v>
      </c>
      <c r="Q51">
        <v>1</v>
      </c>
      <c r="R51">
        <v>0</v>
      </c>
      <c r="S51">
        <v>0</v>
      </c>
      <c r="T51">
        <v>0</v>
      </c>
      <c r="V51">
        <v>0</v>
      </c>
      <c r="X51">
        <v>2</v>
      </c>
      <c r="Y51">
        <v>68</v>
      </c>
      <c r="Z51">
        <v>68</v>
      </c>
      <c r="AA51">
        <v>76.900000000000006</v>
      </c>
      <c r="AB51">
        <v>72.900000000000006</v>
      </c>
      <c r="AD51">
        <v>36</v>
      </c>
      <c r="AF51" s="2">
        <f t="shared" si="0"/>
        <v>11.333333333333334</v>
      </c>
    </row>
    <row r="52" spans="1:32" hidden="1" x14ac:dyDescent="0.25">
      <c r="A52">
        <v>93</v>
      </c>
      <c r="B52" t="s">
        <v>2529</v>
      </c>
      <c r="C52" t="s">
        <v>2530</v>
      </c>
      <c r="D52" t="s">
        <v>1053</v>
      </c>
      <c r="E52" t="s">
        <v>15</v>
      </c>
      <c r="F52">
        <v>34</v>
      </c>
      <c r="G52">
        <v>14</v>
      </c>
      <c r="H52">
        <v>14</v>
      </c>
      <c r="I52">
        <v>266</v>
      </c>
      <c r="J52">
        <v>429</v>
      </c>
      <c r="K52">
        <v>2666</v>
      </c>
      <c r="L52">
        <v>19</v>
      </c>
      <c r="M52">
        <v>14</v>
      </c>
      <c r="N52">
        <v>19</v>
      </c>
      <c r="O52">
        <v>32</v>
      </c>
      <c r="P52">
        <v>1.68</v>
      </c>
      <c r="Q52">
        <v>0</v>
      </c>
      <c r="R52">
        <v>0</v>
      </c>
      <c r="S52">
        <v>0</v>
      </c>
      <c r="T52">
        <v>0</v>
      </c>
      <c r="V52">
        <v>0</v>
      </c>
      <c r="Y52">
        <v>158</v>
      </c>
      <c r="Z52">
        <v>158</v>
      </c>
      <c r="AA52">
        <v>174.8</v>
      </c>
      <c r="AB52">
        <v>171.8</v>
      </c>
      <c r="AD52">
        <v>27</v>
      </c>
      <c r="AF52" s="2">
        <f t="shared" si="0"/>
        <v>11.285714285714286</v>
      </c>
    </row>
    <row r="53" spans="1:32" hidden="1" x14ac:dyDescent="0.25">
      <c r="A53">
        <v>11</v>
      </c>
      <c r="B53" t="s">
        <v>2418</v>
      </c>
      <c r="C53" t="s">
        <v>2419</v>
      </c>
      <c r="D53" t="s">
        <v>1049</v>
      </c>
      <c r="E53" t="s">
        <v>114</v>
      </c>
      <c r="F53">
        <v>28</v>
      </c>
      <c r="G53">
        <v>14</v>
      </c>
      <c r="H53">
        <v>14</v>
      </c>
      <c r="I53">
        <v>0</v>
      </c>
      <c r="J53">
        <v>0</v>
      </c>
      <c r="K53">
        <v>0</v>
      </c>
      <c r="L53">
        <v>0</v>
      </c>
      <c r="M53">
        <v>0</v>
      </c>
      <c r="N53">
        <v>0</v>
      </c>
      <c r="O53">
        <v>0</v>
      </c>
      <c r="Q53">
        <v>0</v>
      </c>
      <c r="R53">
        <v>105</v>
      </c>
      <c r="S53">
        <v>69</v>
      </c>
      <c r="T53">
        <v>1084</v>
      </c>
      <c r="U53">
        <v>15.71</v>
      </c>
      <c r="V53">
        <v>8</v>
      </c>
      <c r="W53">
        <v>1</v>
      </c>
      <c r="Y53">
        <v>158</v>
      </c>
      <c r="Z53">
        <v>227</v>
      </c>
      <c r="AA53">
        <v>230.4</v>
      </c>
      <c r="AB53">
        <v>192.9</v>
      </c>
      <c r="AC53">
        <v>77</v>
      </c>
      <c r="AD53">
        <v>1</v>
      </c>
      <c r="AE53">
        <v>11</v>
      </c>
      <c r="AF53" s="2">
        <f t="shared" si="0"/>
        <v>11.285714285714286</v>
      </c>
    </row>
    <row r="54" spans="1:32" hidden="1" x14ac:dyDescent="0.25">
      <c r="A54">
        <v>94</v>
      </c>
      <c r="B54" t="s">
        <v>2531</v>
      </c>
      <c r="C54" t="s">
        <v>2532</v>
      </c>
      <c r="D54" t="s">
        <v>1042</v>
      </c>
      <c r="E54" t="s">
        <v>15</v>
      </c>
      <c r="F54">
        <v>23</v>
      </c>
      <c r="G54">
        <v>12</v>
      </c>
      <c r="H54">
        <v>12</v>
      </c>
      <c r="I54">
        <v>196</v>
      </c>
      <c r="J54">
        <v>330</v>
      </c>
      <c r="K54">
        <v>2193</v>
      </c>
      <c r="L54">
        <v>7</v>
      </c>
      <c r="M54">
        <v>7</v>
      </c>
      <c r="N54">
        <v>41</v>
      </c>
      <c r="O54">
        <v>248</v>
      </c>
      <c r="P54">
        <v>6.05</v>
      </c>
      <c r="Q54">
        <v>2</v>
      </c>
      <c r="R54">
        <v>0</v>
      </c>
      <c r="S54">
        <v>0</v>
      </c>
      <c r="T54">
        <v>0</v>
      </c>
      <c r="V54">
        <v>0</v>
      </c>
      <c r="W54">
        <v>1</v>
      </c>
      <c r="Y54">
        <v>135</v>
      </c>
      <c r="Z54">
        <v>135</v>
      </c>
      <c r="AA54">
        <v>150.5</v>
      </c>
      <c r="AB54">
        <v>141.5</v>
      </c>
      <c r="AD54">
        <v>28</v>
      </c>
      <c r="AF54" s="2">
        <f t="shared" si="0"/>
        <v>11.25</v>
      </c>
    </row>
    <row r="55" spans="1:32" hidden="1" x14ac:dyDescent="0.25">
      <c r="A55">
        <v>105</v>
      </c>
      <c r="B55" t="s">
        <v>202</v>
      </c>
      <c r="C55" t="s">
        <v>2543</v>
      </c>
      <c r="D55" t="s">
        <v>1045</v>
      </c>
      <c r="E55" t="s">
        <v>47</v>
      </c>
      <c r="F55">
        <v>27</v>
      </c>
      <c r="G55">
        <v>10</v>
      </c>
      <c r="H55">
        <v>1</v>
      </c>
      <c r="I55">
        <v>0</v>
      </c>
      <c r="J55">
        <v>0</v>
      </c>
      <c r="K55">
        <v>0</v>
      </c>
      <c r="L55">
        <v>0</v>
      </c>
      <c r="M55">
        <v>0</v>
      </c>
      <c r="N55">
        <v>64</v>
      </c>
      <c r="O55">
        <v>294</v>
      </c>
      <c r="P55">
        <v>4.59</v>
      </c>
      <c r="Q55">
        <v>2</v>
      </c>
      <c r="R55">
        <v>54</v>
      </c>
      <c r="S55">
        <v>39</v>
      </c>
      <c r="T55">
        <v>510</v>
      </c>
      <c r="U55">
        <v>13.08</v>
      </c>
      <c r="V55">
        <v>4</v>
      </c>
      <c r="Y55">
        <v>112</v>
      </c>
      <c r="Z55">
        <v>151</v>
      </c>
      <c r="AA55">
        <v>159.4</v>
      </c>
      <c r="AB55">
        <v>131.9</v>
      </c>
      <c r="AD55">
        <v>31</v>
      </c>
      <c r="AF55" s="2">
        <f t="shared" si="0"/>
        <v>11.2</v>
      </c>
    </row>
    <row r="56" spans="1:32" hidden="1" x14ac:dyDescent="0.25">
      <c r="A56">
        <v>99</v>
      </c>
      <c r="B56" t="s">
        <v>365</v>
      </c>
      <c r="C56" t="s">
        <v>2537</v>
      </c>
      <c r="D56" t="s">
        <v>2396</v>
      </c>
      <c r="E56" t="s">
        <v>15</v>
      </c>
      <c r="F56">
        <v>24</v>
      </c>
      <c r="G56">
        <v>11</v>
      </c>
      <c r="H56">
        <v>9</v>
      </c>
      <c r="I56">
        <v>192</v>
      </c>
      <c r="J56">
        <v>316</v>
      </c>
      <c r="K56">
        <v>1836</v>
      </c>
      <c r="L56">
        <v>9</v>
      </c>
      <c r="M56">
        <v>12</v>
      </c>
      <c r="N56">
        <v>36</v>
      </c>
      <c r="O56">
        <v>270</v>
      </c>
      <c r="P56">
        <v>7.5</v>
      </c>
      <c r="Q56">
        <v>2</v>
      </c>
      <c r="R56">
        <v>1</v>
      </c>
      <c r="S56">
        <v>1</v>
      </c>
      <c r="T56">
        <v>10</v>
      </c>
      <c r="U56">
        <v>10</v>
      </c>
      <c r="V56">
        <v>0</v>
      </c>
      <c r="X56">
        <v>1</v>
      </c>
      <c r="Y56">
        <v>123</v>
      </c>
      <c r="Z56">
        <v>124</v>
      </c>
      <c r="AA56">
        <v>144.4</v>
      </c>
      <c r="AB56">
        <v>135.9</v>
      </c>
      <c r="AD56">
        <v>31</v>
      </c>
      <c r="AF56" s="2">
        <f t="shared" si="0"/>
        <v>11.181818181818182</v>
      </c>
    </row>
    <row r="57" spans="1:32" hidden="1" x14ac:dyDescent="0.25">
      <c r="A57">
        <v>19</v>
      </c>
      <c r="B57" t="s">
        <v>97</v>
      </c>
      <c r="C57" t="s">
        <v>2432</v>
      </c>
      <c r="D57" t="s">
        <v>1042</v>
      </c>
      <c r="E57" t="s">
        <v>47</v>
      </c>
      <c r="F57">
        <v>23</v>
      </c>
      <c r="G57">
        <v>16</v>
      </c>
      <c r="H57">
        <v>16</v>
      </c>
      <c r="I57">
        <v>0</v>
      </c>
      <c r="J57">
        <v>0</v>
      </c>
      <c r="K57">
        <v>0</v>
      </c>
      <c r="L57">
        <v>0</v>
      </c>
      <c r="M57">
        <v>0</v>
      </c>
      <c r="N57">
        <v>276</v>
      </c>
      <c r="O57">
        <v>1122</v>
      </c>
      <c r="P57">
        <v>4.07</v>
      </c>
      <c r="Q57">
        <v>9</v>
      </c>
      <c r="R57">
        <v>32</v>
      </c>
      <c r="S57">
        <v>23</v>
      </c>
      <c r="T57">
        <v>125</v>
      </c>
      <c r="U57">
        <v>5.43</v>
      </c>
      <c r="V57">
        <v>0</v>
      </c>
      <c r="Y57">
        <v>177</v>
      </c>
      <c r="Z57">
        <v>200</v>
      </c>
      <c r="AA57">
        <v>206.7</v>
      </c>
      <c r="AB57">
        <v>188.2</v>
      </c>
      <c r="AC57">
        <v>50</v>
      </c>
      <c r="AD57">
        <v>10</v>
      </c>
      <c r="AE57">
        <v>19</v>
      </c>
      <c r="AF57" s="2">
        <f t="shared" si="0"/>
        <v>11.0625</v>
      </c>
    </row>
    <row r="58" spans="1:32" x14ac:dyDescent="0.25">
      <c r="A58">
        <v>14</v>
      </c>
      <c r="B58" t="s">
        <v>2423</v>
      </c>
      <c r="C58" t="s">
        <v>2424</v>
      </c>
      <c r="D58" t="s">
        <v>1041</v>
      </c>
      <c r="E58" t="s">
        <v>87</v>
      </c>
      <c r="F58">
        <v>25</v>
      </c>
      <c r="G58">
        <v>16</v>
      </c>
      <c r="H58">
        <v>15</v>
      </c>
      <c r="I58">
        <v>0</v>
      </c>
      <c r="J58">
        <v>0</v>
      </c>
      <c r="K58">
        <v>0</v>
      </c>
      <c r="L58">
        <v>0</v>
      </c>
      <c r="M58">
        <v>0</v>
      </c>
      <c r="N58">
        <v>2</v>
      </c>
      <c r="O58">
        <v>9</v>
      </c>
      <c r="P58">
        <v>4.5</v>
      </c>
      <c r="Q58">
        <v>0</v>
      </c>
      <c r="R58">
        <v>159</v>
      </c>
      <c r="S58">
        <v>102</v>
      </c>
      <c r="T58">
        <v>1393</v>
      </c>
      <c r="U58">
        <v>13.66</v>
      </c>
      <c r="V58">
        <v>6</v>
      </c>
      <c r="Y58">
        <v>176</v>
      </c>
      <c r="Z58">
        <v>278</v>
      </c>
      <c r="AA58">
        <v>287.2</v>
      </c>
      <c r="AB58">
        <v>233.2</v>
      </c>
      <c r="AC58">
        <v>65</v>
      </c>
      <c r="AD58">
        <v>3</v>
      </c>
      <c r="AE58">
        <v>14</v>
      </c>
      <c r="AF58" s="2">
        <f t="shared" si="0"/>
        <v>11</v>
      </c>
    </row>
    <row r="59" spans="1:32" hidden="1" x14ac:dyDescent="0.25">
      <c r="A59">
        <v>20</v>
      </c>
      <c r="B59" t="s">
        <v>130</v>
      </c>
      <c r="C59" t="s">
        <v>2433</v>
      </c>
      <c r="D59" t="s">
        <v>1047</v>
      </c>
      <c r="E59" t="s">
        <v>47</v>
      </c>
      <c r="F59">
        <v>27</v>
      </c>
      <c r="G59">
        <v>16</v>
      </c>
      <c r="H59">
        <v>16</v>
      </c>
      <c r="I59">
        <v>0</v>
      </c>
      <c r="J59">
        <v>0</v>
      </c>
      <c r="K59">
        <v>0</v>
      </c>
      <c r="L59">
        <v>0</v>
      </c>
      <c r="M59">
        <v>0</v>
      </c>
      <c r="N59">
        <v>240</v>
      </c>
      <c r="O59">
        <v>938</v>
      </c>
      <c r="P59">
        <v>3.91</v>
      </c>
      <c r="Q59">
        <v>8</v>
      </c>
      <c r="R59">
        <v>88</v>
      </c>
      <c r="S59">
        <v>59</v>
      </c>
      <c r="T59">
        <v>350</v>
      </c>
      <c r="U59">
        <v>5.93</v>
      </c>
      <c r="V59">
        <v>0</v>
      </c>
      <c r="Y59">
        <v>175</v>
      </c>
      <c r="Z59">
        <v>234</v>
      </c>
      <c r="AA59">
        <v>240.8</v>
      </c>
      <c r="AB59">
        <v>204.3</v>
      </c>
      <c r="AC59">
        <v>48</v>
      </c>
      <c r="AD59">
        <v>11</v>
      </c>
      <c r="AE59">
        <v>20</v>
      </c>
      <c r="AF59" s="2">
        <f t="shared" si="0"/>
        <v>10.9375</v>
      </c>
    </row>
    <row r="60" spans="1:32" x14ac:dyDescent="0.25">
      <c r="A60">
        <v>15</v>
      </c>
      <c r="B60" t="s">
        <v>2425</v>
      </c>
      <c r="C60" t="s">
        <v>2426</v>
      </c>
      <c r="D60" t="s">
        <v>1037</v>
      </c>
      <c r="E60" t="s">
        <v>87</v>
      </c>
      <c r="F60">
        <v>23</v>
      </c>
      <c r="G60">
        <v>15</v>
      </c>
      <c r="H60">
        <v>13</v>
      </c>
      <c r="I60">
        <v>0</v>
      </c>
      <c r="J60">
        <v>1</v>
      </c>
      <c r="K60">
        <v>0</v>
      </c>
      <c r="L60">
        <v>0</v>
      </c>
      <c r="M60">
        <v>1</v>
      </c>
      <c r="N60">
        <v>17</v>
      </c>
      <c r="O60">
        <v>59</v>
      </c>
      <c r="P60">
        <v>3.47</v>
      </c>
      <c r="Q60">
        <v>0</v>
      </c>
      <c r="R60">
        <v>105</v>
      </c>
      <c r="S60">
        <v>75</v>
      </c>
      <c r="T60">
        <v>1183</v>
      </c>
      <c r="U60">
        <v>15.77</v>
      </c>
      <c r="V60">
        <v>7</v>
      </c>
      <c r="Y60">
        <v>164</v>
      </c>
      <c r="Z60">
        <v>239</v>
      </c>
      <c r="AA60">
        <v>249.2</v>
      </c>
      <c r="AB60">
        <v>208.7</v>
      </c>
      <c r="AC60">
        <v>53</v>
      </c>
      <c r="AD60">
        <v>4</v>
      </c>
      <c r="AE60">
        <v>15</v>
      </c>
      <c r="AF60" s="2">
        <f t="shared" si="0"/>
        <v>10.933333333333334</v>
      </c>
    </row>
    <row r="61" spans="1:32" x14ac:dyDescent="0.25">
      <c r="A61">
        <v>31</v>
      </c>
      <c r="B61" t="s">
        <v>2451</v>
      </c>
      <c r="C61" t="s">
        <v>2452</v>
      </c>
      <c r="D61" t="s">
        <v>2396</v>
      </c>
      <c r="E61" t="s">
        <v>87</v>
      </c>
      <c r="F61">
        <v>25</v>
      </c>
      <c r="G61">
        <v>14</v>
      </c>
      <c r="H61">
        <v>14</v>
      </c>
      <c r="I61">
        <v>0</v>
      </c>
      <c r="J61">
        <v>0</v>
      </c>
      <c r="K61">
        <v>0</v>
      </c>
      <c r="L61">
        <v>0</v>
      </c>
      <c r="M61">
        <v>0</v>
      </c>
      <c r="N61">
        <v>0</v>
      </c>
      <c r="O61">
        <v>0</v>
      </c>
      <c r="Q61">
        <v>0</v>
      </c>
      <c r="R61">
        <v>117</v>
      </c>
      <c r="S61">
        <v>74</v>
      </c>
      <c r="T61">
        <v>885</v>
      </c>
      <c r="U61">
        <v>11.96</v>
      </c>
      <c r="V61">
        <v>10</v>
      </c>
      <c r="Y61">
        <v>149</v>
      </c>
      <c r="Z61">
        <v>223</v>
      </c>
      <c r="AA61">
        <v>225.5</v>
      </c>
      <c r="AB61">
        <v>185.5</v>
      </c>
      <c r="AC61">
        <v>38</v>
      </c>
      <c r="AD61">
        <v>12</v>
      </c>
      <c r="AE61">
        <v>31</v>
      </c>
      <c r="AF61" s="2">
        <f t="shared" si="0"/>
        <v>10.642857142857142</v>
      </c>
    </row>
    <row r="62" spans="1:32" hidden="1" x14ac:dyDescent="0.25">
      <c r="A62">
        <v>29</v>
      </c>
      <c r="B62" t="s">
        <v>207</v>
      </c>
      <c r="C62" t="s">
        <v>2448</v>
      </c>
      <c r="D62" t="s">
        <v>1049</v>
      </c>
      <c r="E62" t="s">
        <v>47</v>
      </c>
      <c r="F62">
        <v>27</v>
      </c>
      <c r="G62">
        <v>16</v>
      </c>
      <c r="H62">
        <v>8</v>
      </c>
      <c r="I62">
        <v>0</v>
      </c>
      <c r="J62">
        <v>0</v>
      </c>
      <c r="K62">
        <v>0</v>
      </c>
      <c r="L62">
        <v>0</v>
      </c>
      <c r="M62">
        <v>0</v>
      </c>
      <c r="N62">
        <v>180</v>
      </c>
      <c r="O62">
        <v>896</v>
      </c>
      <c r="P62">
        <v>4.9800000000000004</v>
      </c>
      <c r="Q62">
        <v>6</v>
      </c>
      <c r="R62">
        <v>35</v>
      </c>
      <c r="S62">
        <v>32</v>
      </c>
      <c r="T62">
        <v>214</v>
      </c>
      <c r="U62">
        <v>6.69</v>
      </c>
      <c r="V62">
        <v>3</v>
      </c>
      <c r="Y62">
        <v>165</v>
      </c>
      <c r="Z62">
        <v>197</v>
      </c>
      <c r="AA62">
        <v>209</v>
      </c>
      <c r="AB62">
        <v>187</v>
      </c>
      <c r="AC62">
        <v>38</v>
      </c>
      <c r="AD62">
        <v>12</v>
      </c>
      <c r="AE62">
        <v>29</v>
      </c>
      <c r="AF62" s="2">
        <f t="shared" si="0"/>
        <v>10.3125</v>
      </c>
    </row>
    <row r="63" spans="1:32" x14ac:dyDescent="0.25">
      <c r="A63">
        <v>17</v>
      </c>
      <c r="B63" t="s">
        <v>2429</v>
      </c>
      <c r="C63" t="s">
        <v>2430</v>
      </c>
      <c r="D63" t="s">
        <v>1052</v>
      </c>
      <c r="E63" t="s">
        <v>87</v>
      </c>
      <c r="F63">
        <v>28</v>
      </c>
      <c r="G63">
        <v>16</v>
      </c>
      <c r="H63">
        <v>16</v>
      </c>
      <c r="I63">
        <v>0</v>
      </c>
      <c r="J63">
        <v>0</v>
      </c>
      <c r="K63">
        <v>0</v>
      </c>
      <c r="L63">
        <v>0</v>
      </c>
      <c r="M63">
        <v>0</v>
      </c>
      <c r="N63">
        <v>1</v>
      </c>
      <c r="O63">
        <v>15</v>
      </c>
      <c r="P63">
        <v>15</v>
      </c>
      <c r="Q63">
        <v>0</v>
      </c>
      <c r="R63">
        <v>148</v>
      </c>
      <c r="S63">
        <v>88</v>
      </c>
      <c r="T63">
        <v>1444</v>
      </c>
      <c r="U63">
        <v>16.41</v>
      </c>
      <c r="V63">
        <v>3</v>
      </c>
      <c r="Y63">
        <v>164</v>
      </c>
      <c r="Z63">
        <v>252</v>
      </c>
      <c r="AA63">
        <v>254.9</v>
      </c>
      <c r="AB63">
        <v>207.9</v>
      </c>
      <c r="AC63">
        <v>53</v>
      </c>
      <c r="AD63">
        <v>6</v>
      </c>
      <c r="AE63">
        <v>17</v>
      </c>
      <c r="AF63" s="2">
        <f t="shared" si="0"/>
        <v>10.25</v>
      </c>
    </row>
    <row r="64" spans="1:32" hidden="1" x14ac:dyDescent="0.25">
      <c r="A64">
        <v>238</v>
      </c>
      <c r="B64" t="s">
        <v>2697</v>
      </c>
      <c r="C64" t="s">
        <v>2698</v>
      </c>
      <c r="D64" t="s">
        <v>1053</v>
      </c>
      <c r="E64" t="s">
        <v>15</v>
      </c>
      <c r="F64">
        <v>33</v>
      </c>
      <c r="G64">
        <v>4</v>
      </c>
      <c r="H64">
        <v>2</v>
      </c>
      <c r="I64">
        <v>78</v>
      </c>
      <c r="J64">
        <v>127</v>
      </c>
      <c r="K64">
        <v>861</v>
      </c>
      <c r="L64">
        <v>4</v>
      </c>
      <c r="M64">
        <v>5</v>
      </c>
      <c r="N64">
        <v>3</v>
      </c>
      <c r="O64">
        <v>9</v>
      </c>
      <c r="P64">
        <v>3</v>
      </c>
      <c r="Q64">
        <v>0</v>
      </c>
      <c r="R64">
        <v>0</v>
      </c>
      <c r="S64">
        <v>0</v>
      </c>
      <c r="T64">
        <v>0</v>
      </c>
      <c r="V64">
        <v>0</v>
      </c>
      <c r="Y64">
        <v>41</v>
      </c>
      <c r="Z64">
        <v>41</v>
      </c>
      <c r="AA64">
        <v>49.3</v>
      </c>
      <c r="AB64">
        <v>46.3</v>
      </c>
      <c r="AD64">
        <v>41</v>
      </c>
      <c r="AF64" s="2">
        <f t="shared" si="0"/>
        <v>10.25</v>
      </c>
    </row>
    <row r="65" spans="1:32" x14ac:dyDescent="0.25">
      <c r="A65">
        <v>16</v>
      </c>
      <c r="B65" t="s">
        <v>2427</v>
      </c>
      <c r="C65" t="s">
        <v>2428</v>
      </c>
      <c r="D65" t="s">
        <v>1882</v>
      </c>
      <c r="E65" t="s">
        <v>87</v>
      </c>
      <c r="F65">
        <v>27</v>
      </c>
      <c r="G65">
        <v>16</v>
      </c>
      <c r="H65">
        <v>16</v>
      </c>
      <c r="I65">
        <v>0</v>
      </c>
      <c r="J65">
        <v>0</v>
      </c>
      <c r="K65">
        <v>0</v>
      </c>
      <c r="L65">
        <v>0</v>
      </c>
      <c r="M65">
        <v>0</v>
      </c>
      <c r="N65">
        <v>0</v>
      </c>
      <c r="O65">
        <v>0</v>
      </c>
      <c r="Q65">
        <v>0</v>
      </c>
      <c r="R65">
        <v>107</v>
      </c>
      <c r="S65">
        <v>61</v>
      </c>
      <c r="T65">
        <v>1101</v>
      </c>
      <c r="U65">
        <v>18.05</v>
      </c>
      <c r="V65">
        <v>9</v>
      </c>
      <c r="Y65">
        <v>164</v>
      </c>
      <c r="Z65">
        <v>225</v>
      </c>
      <c r="AA65">
        <v>228.1</v>
      </c>
      <c r="AB65">
        <v>194.6</v>
      </c>
      <c r="AC65">
        <v>53</v>
      </c>
      <c r="AD65">
        <v>5</v>
      </c>
      <c r="AE65">
        <v>16</v>
      </c>
      <c r="AF65" s="2">
        <f t="shared" si="0"/>
        <v>10.25</v>
      </c>
    </row>
    <row r="66" spans="1:32" hidden="1" x14ac:dyDescent="0.25">
      <c r="A66">
        <v>12</v>
      </c>
      <c r="B66" t="s">
        <v>2420</v>
      </c>
      <c r="C66" t="s">
        <v>2421</v>
      </c>
      <c r="D66" t="s">
        <v>1037</v>
      </c>
      <c r="E66" t="s">
        <v>114</v>
      </c>
      <c r="F66">
        <v>28</v>
      </c>
      <c r="G66">
        <v>15</v>
      </c>
      <c r="H66">
        <v>15</v>
      </c>
      <c r="I66">
        <v>0</v>
      </c>
      <c r="J66">
        <v>1</v>
      </c>
      <c r="K66">
        <v>0</v>
      </c>
      <c r="L66">
        <v>0</v>
      </c>
      <c r="M66">
        <v>1</v>
      </c>
      <c r="N66">
        <v>2</v>
      </c>
      <c r="O66">
        <v>7</v>
      </c>
      <c r="P66">
        <v>3.5</v>
      </c>
      <c r="Q66">
        <v>0</v>
      </c>
      <c r="R66">
        <v>122</v>
      </c>
      <c r="S66">
        <v>83</v>
      </c>
      <c r="T66">
        <v>1038</v>
      </c>
      <c r="U66">
        <v>12.51</v>
      </c>
      <c r="V66">
        <v>8</v>
      </c>
      <c r="Y66">
        <v>151</v>
      </c>
      <c r="Z66">
        <v>234</v>
      </c>
      <c r="AA66">
        <v>237.5</v>
      </c>
      <c r="AB66">
        <v>193</v>
      </c>
      <c r="AC66">
        <v>69</v>
      </c>
      <c r="AD66">
        <v>2</v>
      </c>
      <c r="AE66">
        <v>12</v>
      </c>
      <c r="AF66" s="2">
        <f t="shared" si="0"/>
        <v>10.066666666666666</v>
      </c>
    </row>
    <row r="67" spans="1:32" hidden="1" x14ac:dyDescent="0.25">
      <c r="A67">
        <v>121</v>
      </c>
      <c r="B67" t="s">
        <v>236</v>
      </c>
      <c r="C67" t="s">
        <v>2561</v>
      </c>
      <c r="D67" t="s">
        <v>1049</v>
      </c>
      <c r="E67" t="s">
        <v>47</v>
      </c>
      <c r="F67">
        <v>27</v>
      </c>
      <c r="G67">
        <v>10</v>
      </c>
      <c r="H67">
        <v>3</v>
      </c>
      <c r="I67">
        <v>0</v>
      </c>
      <c r="J67">
        <v>0</v>
      </c>
      <c r="K67">
        <v>0</v>
      </c>
      <c r="L67">
        <v>0</v>
      </c>
      <c r="M67">
        <v>0</v>
      </c>
      <c r="N67">
        <v>64</v>
      </c>
      <c r="O67">
        <v>264</v>
      </c>
      <c r="P67">
        <v>4.13</v>
      </c>
      <c r="Q67">
        <v>5</v>
      </c>
      <c r="R67">
        <v>36</v>
      </c>
      <c r="S67">
        <v>30</v>
      </c>
      <c r="T67">
        <v>254</v>
      </c>
      <c r="U67">
        <v>8.4700000000000006</v>
      </c>
      <c r="V67">
        <v>3</v>
      </c>
      <c r="Y67">
        <v>100</v>
      </c>
      <c r="Z67">
        <v>130</v>
      </c>
      <c r="AA67">
        <v>135.80000000000001</v>
      </c>
      <c r="AB67">
        <v>114.8</v>
      </c>
      <c r="AD67">
        <v>38</v>
      </c>
      <c r="AF67" s="2">
        <f t="shared" ref="AF67:AF130" si="1">Y67/G67</f>
        <v>10</v>
      </c>
    </row>
    <row r="68" spans="1:32" hidden="1" x14ac:dyDescent="0.25">
      <c r="A68">
        <v>385</v>
      </c>
      <c r="B68" t="s">
        <v>302</v>
      </c>
      <c r="C68" t="s">
        <v>2891</v>
      </c>
      <c r="D68" t="s">
        <v>1037</v>
      </c>
      <c r="E68" t="s">
        <v>15</v>
      </c>
      <c r="F68">
        <v>22</v>
      </c>
      <c r="G68">
        <v>1</v>
      </c>
      <c r="H68">
        <v>1</v>
      </c>
      <c r="I68">
        <v>22</v>
      </c>
      <c r="J68">
        <v>35</v>
      </c>
      <c r="K68">
        <v>284</v>
      </c>
      <c r="L68">
        <v>0</v>
      </c>
      <c r="M68">
        <v>1</v>
      </c>
      <c r="N68">
        <v>7</v>
      </c>
      <c r="O68">
        <v>10</v>
      </c>
      <c r="P68">
        <v>1.43</v>
      </c>
      <c r="Q68">
        <v>0</v>
      </c>
      <c r="R68">
        <v>0</v>
      </c>
      <c r="S68">
        <v>0</v>
      </c>
      <c r="T68">
        <v>0</v>
      </c>
      <c r="V68">
        <v>0</v>
      </c>
      <c r="Y68">
        <v>10</v>
      </c>
      <c r="Z68">
        <v>10</v>
      </c>
      <c r="AA68">
        <v>11.4</v>
      </c>
      <c r="AB68">
        <v>11.4</v>
      </c>
      <c r="AD68">
        <v>52</v>
      </c>
      <c r="AF68" s="2">
        <f t="shared" si="1"/>
        <v>10</v>
      </c>
    </row>
    <row r="69" spans="1:32" hidden="1" x14ac:dyDescent="0.25">
      <c r="A69">
        <v>217</v>
      </c>
      <c r="B69" t="s">
        <v>383</v>
      </c>
      <c r="C69" t="s">
        <v>2669</v>
      </c>
      <c r="D69" t="s">
        <v>1806</v>
      </c>
      <c r="E69" t="s">
        <v>15</v>
      </c>
      <c r="F69">
        <v>33</v>
      </c>
      <c r="G69">
        <v>5</v>
      </c>
      <c r="H69">
        <v>4</v>
      </c>
      <c r="I69">
        <v>79</v>
      </c>
      <c r="J69">
        <v>159</v>
      </c>
      <c r="K69">
        <v>894</v>
      </c>
      <c r="L69">
        <v>6</v>
      </c>
      <c r="M69">
        <v>5</v>
      </c>
      <c r="N69">
        <v>9</v>
      </c>
      <c r="O69">
        <v>7</v>
      </c>
      <c r="P69">
        <v>0.78</v>
      </c>
      <c r="Q69">
        <v>0</v>
      </c>
      <c r="R69">
        <v>0</v>
      </c>
      <c r="S69">
        <v>0</v>
      </c>
      <c r="T69">
        <v>0</v>
      </c>
      <c r="V69">
        <v>0</v>
      </c>
      <c r="Y69">
        <v>50</v>
      </c>
      <c r="Z69">
        <v>50</v>
      </c>
      <c r="AA69">
        <v>58.5</v>
      </c>
      <c r="AB69">
        <v>55.5</v>
      </c>
      <c r="AD69">
        <v>40</v>
      </c>
      <c r="AF69" s="2">
        <f t="shared" si="1"/>
        <v>10</v>
      </c>
    </row>
    <row r="70" spans="1:32" hidden="1" x14ac:dyDescent="0.25">
      <c r="A70">
        <v>36</v>
      </c>
      <c r="B70" t="s">
        <v>99</v>
      </c>
      <c r="C70" t="s">
        <v>2460</v>
      </c>
      <c r="D70" t="s">
        <v>1043</v>
      </c>
      <c r="E70" t="s">
        <v>47</v>
      </c>
      <c r="F70">
        <v>26</v>
      </c>
      <c r="G70">
        <v>16</v>
      </c>
      <c r="H70">
        <v>13</v>
      </c>
      <c r="I70">
        <v>0</v>
      </c>
      <c r="J70">
        <v>0</v>
      </c>
      <c r="K70">
        <v>0</v>
      </c>
      <c r="L70">
        <v>0</v>
      </c>
      <c r="M70">
        <v>0</v>
      </c>
      <c r="N70">
        <v>238</v>
      </c>
      <c r="O70">
        <v>888</v>
      </c>
      <c r="P70">
        <v>3.73</v>
      </c>
      <c r="Q70">
        <v>3</v>
      </c>
      <c r="R70">
        <v>45</v>
      </c>
      <c r="S70">
        <v>36</v>
      </c>
      <c r="T70">
        <v>327</v>
      </c>
      <c r="U70">
        <v>9.08</v>
      </c>
      <c r="V70">
        <v>3</v>
      </c>
      <c r="Y70">
        <v>158</v>
      </c>
      <c r="Z70">
        <v>194</v>
      </c>
      <c r="AA70">
        <v>199.5</v>
      </c>
      <c r="AB70">
        <v>175.5</v>
      </c>
      <c r="AC70">
        <v>30</v>
      </c>
      <c r="AD70">
        <v>14</v>
      </c>
      <c r="AE70">
        <v>36</v>
      </c>
      <c r="AF70" s="2">
        <f t="shared" si="1"/>
        <v>9.875</v>
      </c>
    </row>
    <row r="71" spans="1:32" hidden="1" x14ac:dyDescent="0.25">
      <c r="A71">
        <v>48</v>
      </c>
      <c r="B71" t="s">
        <v>796</v>
      </c>
      <c r="C71" t="s">
        <v>2473</v>
      </c>
      <c r="D71" t="s">
        <v>1890</v>
      </c>
      <c r="E71" t="s">
        <v>47</v>
      </c>
      <c r="F71">
        <v>23</v>
      </c>
      <c r="G71">
        <v>15</v>
      </c>
      <c r="H71">
        <v>12</v>
      </c>
      <c r="I71">
        <v>0</v>
      </c>
      <c r="J71">
        <v>0</v>
      </c>
      <c r="K71">
        <v>0</v>
      </c>
      <c r="L71">
        <v>0</v>
      </c>
      <c r="M71">
        <v>0</v>
      </c>
      <c r="N71">
        <v>212</v>
      </c>
      <c r="O71">
        <v>973</v>
      </c>
      <c r="P71">
        <v>4.59</v>
      </c>
      <c r="Q71">
        <v>6</v>
      </c>
      <c r="R71">
        <v>36</v>
      </c>
      <c r="S71">
        <v>23</v>
      </c>
      <c r="T71">
        <v>187</v>
      </c>
      <c r="U71">
        <v>8.1300000000000008</v>
      </c>
      <c r="V71">
        <v>0</v>
      </c>
      <c r="Y71">
        <v>148</v>
      </c>
      <c r="Z71">
        <v>171</v>
      </c>
      <c r="AA71">
        <v>179</v>
      </c>
      <c r="AB71">
        <v>159.5</v>
      </c>
      <c r="AC71">
        <v>21</v>
      </c>
      <c r="AD71">
        <v>16</v>
      </c>
      <c r="AE71">
        <v>48</v>
      </c>
      <c r="AF71" s="2">
        <f t="shared" si="1"/>
        <v>9.8666666666666671</v>
      </c>
    </row>
    <row r="72" spans="1:32" x14ac:dyDescent="0.25">
      <c r="A72">
        <v>22</v>
      </c>
      <c r="B72" t="s">
        <v>108</v>
      </c>
      <c r="C72" t="s">
        <v>2436</v>
      </c>
      <c r="D72" t="s">
        <v>1049</v>
      </c>
      <c r="E72" t="s">
        <v>87</v>
      </c>
      <c r="F72">
        <v>24</v>
      </c>
      <c r="G72">
        <v>16</v>
      </c>
      <c r="H72">
        <v>15</v>
      </c>
      <c r="I72">
        <v>0</v>
      </c>
      <c r="J72">
        <v>0</v>
      </c>
      <c r="K72">
        <v>0</v>
      </c>
      <c r="L72">
        <v>0</v>
      </c>
      <c r="M72">
        <v>0</v>
      </c>
      <c r="N72">
        <v>9</v>
      </c>
      <c r="O72">
        <v>40</v>
      </c>
      <c r="P72">
        <v>4.4400000000000004</v>
      </c>
      <c r="Q72">
        <v>0</v>
      </c>
      <c r="R72">
        <v>114</v>
      </c>
      <c r="S72">
        <v>65</v>
      </c>
      <c r="T72">
        <v>1082</v>
      </c>
      <c r="U72">
        <v>16.649999999999999</v>
      </c>
      <c r="V72">
        <v>7</v>
      </c>
      <c r="W72">
        <v>1</v>
      </c>
      <c r="Y72">
        <v>156</v>
      </c>
      <c r="Z72">
        <v>221</v>
      </c>
      <c r="AA72">
        <v>224.2</v>
      </c>
      <c r="AB72">
        <v>188.7</v>
      </c>
      <c r="AC72">
        <v>45</v>
      </c>
      <c r="AD72">
        <v>7</v>
      </c>
      <c r="AE72">
        <v>22</v>
      </c>
      <c r="AF72" s="2">
        <f t="shared" si="1"/>
        <v>9.75</v>
      </c>
    </row>
    <row r="73" spans="1:32" x14ac:dyDescent="0.25">
      <c r="A73">
        <v>24</v>
      </c>
      <c r="B73" t="s">
        <v>2438</v>
      </c>
      <c r="C73" t="s">
        <v>2439</v>
      </c>
      <c r="D73" t="s">
        <v>1051</v>
      </c>
      <c r="E73" t="s">
        <v>87</v>
      </c>
      <c r="F73">
        <v>24</v>
      </c>
      <c r="G73">
        <v>16</v>
      </c>
      <c r="H73">
        <v>14</v>
      </c>
      <c r="I73">
        <v>0</v>
      </c>
      <c r="J73">
        <v>0</v>
      </c>
      <c r="K73">
        <v>0</v>
      </c>
      <c r="L73">
        <v>0</v>
      </c>
      <c r="M73">
        <v>0</v>
      </c>
      <c r="N73">
        <v>0</v>
      </c>
      <c r="O73">
        <v>0</v>
      </c>
      <c r="Q73">
        <v>0</v>
      </c>
      <c r="R73">
        <v>149</v>
      </c>
      <c r="S73">
        <v>104</v>
      </c>
      <c r="T73">
        <v>1245</v>
      </c>
      <c r="U73">
        <v>11.97</v>
      </c>
      <c r="V73">
        <v>5</v>
      </c>
      <c r="Y73">
        <v>155</v>
      </c>
      <c r="Z73">
        <v>259</v>
      </c>
      <c r="AA73">
        <v>261.5</v>
      </c>
      <c r="AB73">
        <v>206.5</v>
      </c>
      <c r="AC73">
        <v>44</v>
      </c>
      <c r="AD73">
        <v>8</v>
      </c>
      <c r="AE73">
        <v>24</v>
      </c>
      <c r="AF73" s="2">
        <f t="shared" si="1"/>
        <v>9.6875</v>
      </c>
    </row>
    <row r="74" spans="1:32" hidden="1" x14ac:dyDescent="0.25">
      <c r="A74">
        <v>54</v>
      </c>
      <c r="B74" t="s">
        <v>132</v>
      </c>
      <c r="C74" t="s">
        <v>2481</v>
      </c>
      <c r="D74" t="s">
        <v>1870</v>
      </c>
      <c r="E74" t="s">
        <v>47</v>
      </c>
      <c r="F74">
        <v>31</v>
      </c>
      <c r="G74">
        <v>15</v>
      </c>
      <c r="H74">
        <v>15</v>
      </c>
      <c r="I74">
        <v>0</v>
      </c>
      <c r="J74">
        <v>0</v>
      </c>
      <c r="K74">
        <v>0</v>
      </c>
      <c r="L74">
        <v>0</v>
      </c>
      <c r="M74">
        <v>0</v>
      </c>
      <c r="N74">
        <v>207</v>
      </c>
      <c r="O74">
        <v>891</v>
      </c>
      <c r="P74">
        <v>4.3</v>
      </c>
      <c r="Q74">
        <v>7</v>
      </c>
      <c r="R74">
        <v>31</v>
      </c>
      <c r="S74">
        <v>20</v>
      </c>
      <c r="T74">
        <v>151</v>
      </c>
      <c r="U74">
        <v>7.55</v>
      </c>
      <c r="V74">
        <v>0</v>
      </c>
      <c r="Y74">
        <v>144</v>
      </c>
      <c r="Z74">
        <v>164</v>
      </c>
      <c r="AA74">
        <v>171.2</v>
      </c>
      <c r="AB74">
        <v>154.19999999999999</v>
      </c>
      <c r="AC74">
        <v>17</v>
      </c>
      <c r="AD74">
        <v>19</v>
      </c>
      <c r="AE74">
        <v>54</v>
      </c>
      <c r="AF74" s="2">
        <f t="shared" si="1"/>
        <v>9.6</v>
      </c>
    </row>
    <row r="75" spans="1:32" x14ac:dyDescent="0.25">
      <c r="A75">
        <v>41</v>
      </c>
      <c r="B75" t="s">
        <v>133</v>
      </c>
      <c r="C75" t="s">
        <v>2466</v>
      </c>
      <c r="D75" t="s">
        <v>1048</v>
      </c>
      <c r="E75" t="s">
        <v>87</v>
      </c>
      <c r="F75">
        <v>24</v>
      </c>
      <c r="G75">
        <v>14</v>
      </c>
      <c r="H75">
        <v>14</v>
      </c>
      <c r="I75">
        <v>0</v>
      </c>
      <c r="J75">
        <v>0</v>
      </c>
      <c r="K75">
        <v>0</v>
      </c>
      <c r="L75">
        <v>0</v>
      </c>
      <c r="M75">
        <v>0</v>
      </c>
      <c r="N75">
        <v>8</v>
      </c>
      <c r="O75">
        <v>13</v>
      </c>
      <c r="P75">
        <v>1.63</v>
      </c>
      <c r="Q75">
        <v>0</v>
      </c>
      <c r="R75">
        <v>95</v>
      </c>
      <c r="S75">
        <v>64</v>
      </c>
      <c r="T75">
        <v>849</v>
      </c>
      <c r="U75">
        <v>13.27</v>
      </c>
      <c r="V75">
        <v>8</v>
      </c>
      <c r="Y75">
        <v>134</v>
      </c>
      <c r="Z75">
        <v>198</v>
      </c>
      <c r="AA75">
        <v>201.2</v>
      </c>
      <c r="AB75">
        <v>166.2</v>
      </c>
      <c r="AC75">
        <v>23</v>
      </c>
      <c r="AD75">
        <v>17</v>
      </c>
      <c r="AE75">
        <v>41</v>
      </c>
      <c r="AF75" s="2">
        <f t="shared" si="1"/>
        <v>9.5714285714285712</v>
      </c>
    </row>
    <row r="76" spans="1:32" x14ac:dyDescent="0.25">
      <c r="A76">
        <v>42</v>
      </c>
      <c r="B76" t="s">
        <v>1105</v>
      </c>
      <c r="C76" t="s">
        <v>2467</v>
      </c>
      <c r="D76" t="s">
        <v>1040</v>
      </c>
      <c r="E76" t="s">
        <v>87</v>
      </c>
      <c r="F76">
        <v>21</v>
      </c>
      <c r="G76">
        <v>14</v>
      </c>
      <c r="H76">
        <v>7</v>
      </c>
      <c r="I76">
        <v>0</v>
      </c>
      <c r="J76">
        <v>0</v>
      </c>
      <c r="K76">
        <v>0</v>
      </c>
      <c r="L76">
        <v>0</v>
      </c>
      <c r="M76">
        <v>0</v>
      </c>
      <c r="N76">
        <v>0</v>
      </c>
      <c r="O76">
        <v>0</v>
      </c>
      <c r="Q76">
        <v>0</v>
      </c>
      <c r="R76">
        <v>79</v>
      </c>
      <c r="S76">
        <v>58</v>
      </c>
      <c r="T76">
        <v>917</v>
      </c>
      <c r="U76">
        <v>15.81</v>
      </c>
      <c r="V76">
        <v>7</v>
      </c>
      <c r="Y76">
        <v>134</v>
      </c>
      <c r="Z76">
        <v>192</v>
      </c>
      <c r="AA76">
        <v>200.7</v>
      </c>
      <c r="AB76">
        <v>168.7</v>
      </c>
      <c r="AC76">
        <v>23</v>
      </c>
      <c r="AD76">
        <v>18</v>
      </c>
      <c r="AE76">
        <v>42</v>
      </c>
      <c r="AF76" s="2">
        <f t="shared" si="1"/>
        <v>9.5714285714285712</v>
      </c>
    </row>
    <row r="77" spans="1:32" hidden="1" x14ac:dyDescent="0.25">
      <c r="A77">
        <v>324</v>
      </c>
      <c r="B77" t="s">
        <v>1543</v>
      </c>
      <c r="C77" t="s">
        <v>2806</v>
      </c>
      <c r="D77" t="s">
        <v>1053</v>
      </c>
      <c r="E77" t="s">
        <v>15</v>
      </c>
      <c r="F77">
        <v>27</v>
      </c>
      <c r="G77">
        <v>2</v>
      </c>
      <c r="H77">
        <v>0</v>
      </c>
      <c r="I77">
        <v>29</v>
      </c>
      <c r="J77">
        <v>43</v>
      </c>
      <c r="K77">
        <v>265</v>
      </c>
      <c r="L77">
        <v>1</v>
      </c>
      <c r="M77">
        <v>1</v>
      </c>
      <c r="N77">
        <v>4</v>
      </c>
      <c r="O77">
        <v>8</v>
      </c>
      <c r="P77">
        <v>2</v>
      </c>
      <c r="Q77">
        <v>1</v>
      </c>
      <c r="R77">
        <v>0</v>
      </c>
      <c r="S77">
        <v>0</v>
      </c>
      <c r="T77">
        <v>0</v>
      </c>
      <c r="V77">
        <v>0</v>
      </c>
      <c r="Y77">
        <v>19</v>
      </c>
      <c r="Z77">
        <v>19</v>
      </c>
      <c r="AA77">
        <v>20.399999999999999</v>
      </c>
      <c r="AB77">
        <v>20.399999999999999</v>
      </c>
      <c r="AD77">
        <v>48</v>
      </c>
      <c r="AF77" s="2">
        <f t="shared" si="1"/>
        <v>9.5</v>
      </c>
    </row>
    <row r="78" spans="1:32" x14ac:dyDescent="0.25">
      <c r="A78">
        <v>25</v>
      </c>
      <c r="B78" t="s">
        <v>2440</v>
      </c>
      <c r="C78" t="s">
        <v>2441</v>
      </c>
      <c r="D78" t="s">
        <v>1806</v>
      </c>
      <c r="E78" t="s">
        <v>87</v>
      </c>
      <c r="F78">
        <v>34</v>
      </c>
      <c r="G78">
        <v>16</v>
      </c>
      <c r="H78">
        <v>16</v>
      </c>
      <c r="I78">
        <v>1</v>
      </c>
      <c r="J78">
        <v>1</v>
      </c>
      <c r="K78">
        <v>21</v>
      </c>
      <c r="L78">
        <v>0</v>
      </c>
      <c r="M78">
        <v>0</v>
      </c>
      <c r="N78">
        <v>0</v>
      </c>
      <c r="O78">
        <v>0</v>
      </c>
      <c r="Q78">
        <v>0</v>
      </c>
      <c r="R78">
        <v>161</v>
      </c>
      <c r="S78">
        <v>109</v>
      </c>
      <c r="T78">
        <v>1156</v>
      </c>
      <c r="U78">
        <v>10.61</v>
      </c>
      <c r="V78">
        <v>6</v>
      </c>
      <c r="W78">
        <v>1</v>
      </c>
      <c r="Y78">
        <v>152</v>
      </c>
      <c r="Z78">
        <v>261</v>
      </c>
      <c r="AA78">
        <v>265.39999999999998</v>
      </c>
      <c r="AB78">
        <v>206.9</v>
      </c>
      <c r="AC78">
        <v>41</v>
      </c>
      <c r="AD78">
        <v>9</v>
      </c>
      <c r="AE78">
        <v>25</v>
      </c>
      <c r="AF78" s="2">
        <f t="shared" si="1"/>
        <v>9.5</v>
      </c>
    </row>
    <row r="79" spans="1:32" x14ac:dyDescent="0.25">
      <c r="A79">
        <v>26</v>
      </c>
      <c r="B79" t="s">
        <v>2442</v>
      </c>
      <c r="C79" t="s">
        <v>2443</v>
      </c>
      <c r="D79" t="s">
        <v>1834</v>
      </c>
      <c r="E79" t="s">
        <v>87</v>
      </c>
      <c r="F79">
        <v>29</v>
      </c>
      <c r="G79">
        <v>16</v>
      </c>
      <c r="H79">
        <v>16</v>
      </c>
      <c r="I79">
        <v>0</v>
      </c>
      <c r="J79">
        <v>0</v>
      </c>
      <c r="K79">
        <v>0</v>
      </c>
      <c r="L79">
        <v>0</v>
      </c>
      <c r="M79">
        <v>0</v>
      </c>
      <c r="N79">
        <v>0</v>
      </c>
      <c r="O79">
        <v>0</v>
      </c>
      <c r="Q79">
        <v>0</v>
      </c>
      <c r="R79">
        <v>143</v>
      </c>
      <c r="S79">
        <v>75</v>
      </c>
      <c r="T79">
        <v>1078</v>
      </c>
      <c r="U79">
        <v>14.37</v>
      </c>
      <c r="V79">
        <v>8</v>
      </c>
      <c r="Y79">
        <v>152</v>
      </c>
      <c r="Z79">
        <v>227</v>
      </c>
      <c r="AA79">
        <v>231.8</v>
      </c>
      <c r="AB79">
        <v>189.3</v>
      </c>
      <c r="AC79">
        <v>41</v>
      </c>
      <c r="AD79">
        <v>10</v>
      </c>
      <c r="AE79">
        <v>26</v>
      </c>
      <c r="AF79" s="2">
        <f t="shared" si="1"/>
        <v>9.5</v>
      </c>
    </row>
    <row r="80" spans="1:32" hidden="1" x14ac:dyDescent="0.25">
      <c r="A80">
        <v>59</v>
      </c>
      <c r="B80" t="s">
        <v>145</v>
      </c>
      <c r="C80" t="s">
        <v>2488</v>
      </c>
      <c r="D80" t="s">
        <v>1052</v>
      </c>
      <c r="E80" t="s">
        <v>47</v>
      </c>
      <c r="F80">
        <v>24</v>
      </c>
      <c r="G80">
        <v>15</v>
      </c>
      <c r="H80">
        <v>3</v>
      </c>
      <c r="I80">
        <v>0</v>
      </c>
      <c r="J80">
        <v>0</v>
      </c>
      <c r="K80">
        <v>0</v>
      </c>
      <c r="L80">
        <v>0</v>
      </c>
      <c r="M80">
        <v>0</v>
      </c>
      <c r="N80">
        <v>156</v>
      </c>
      <c r="O80">
        <v>628</v>
      </c>
      <c r="P80">
        <v>4.03</v>
      </c>
      <c r="Q80">
        <v>5</v>
      </c>
      <c r="R80">
        <v>39</v>
      </c>
      <c r="S80">
        <v>27</v>
      </c>
      <c r="T80">
        <v>299</v>
      </c>
      <c r="U80">
        <v>11.07</v>
      </c>
      <c r="V80">
        <v>3</v>
      </c>
      <c r="Y80">
        <v>141</v>
      </c>
      <c r="Z80">
        <v>168</v>
      </c>
      <c r="AA80">
        <v>173.7</v>
      </c>
      <c r="AB80">
        <v>154.19999999999999</v>
      </c>
      <c r="AC80">
        <v>14</v>
      </c>
      <c r="AD80">
        <v>22</v>
      </c>
      <c r="AE80">
        <v>59</v>
      </c>
      <c r="AF80" s="2">
        <f t="shared" si="1"/>
        <v>9.4</v>
      </c>
    </row>
    <row r="81" spans="1:32" x14ac:dyDescent="0.25">
      <c r="A81">
        <v>30</v>
      </c>
      <c r="B81" t="s">
        <v>2449</v>
      </c>
      <c r="C81" t="s">
        <v>2450</v>
      </c>
      <c r="D81" t="s">
        <v>1048</v>
      </c>
      <c r="E81" t="s">
        <v>87</v>
      </c>
      <c r="F81">
        <v>27</v>
      </c>
      <c r="G81">
        <v>16</v>
      </c>
      <c r="H81">
        <v>16</v>
      </c>
      <c r="I81">
        <v>0</v>
      </c>
      <c r="J81">
        <v>0</v>
      </c>
      <c r="K81">
        <v>0</v>
      </c>
      <c r="L81">
        <v>0</v>
      </c>
      <c r="M81">
        <v>0</v>
      </c>
      <c r="N81">
        <v>1</v>
      </c>
      <c r="O81">
        <v>11</v>
      </c>
      <c r="P81">
        <v>11</v>
      </c>
      <c r="Q81">
        <v>0</v>
      </c>
      <c r="R81">
        <v>142</v>
      </c>
      <c r="S81">
        <v>91</v>
      </c>
      <c r="T81">
        <v>1276</v>
      </c>
      <c r="U81">
        <v>14.02</v>
      </c>
      <c r="V81">
        <v>4</v>
      </c>
      <c r="Y81">
        <v>149</v>
      </c>
      <c r="Z81">
        <v>240</v>
      </c>
      <c r="AA81">
        <v>244.7</v>
      </c>
      <c r="AB81">
        <v>194.2</v>
      </c>
      <c r="AC81">
        <v>38</v>
      </c>
      <c r="AD81">
        <v>11</v>
      </c>
      <c r="AE81">
        <v>30</v>
      </c>
      <c r="AF81" s="2">
        <f t="shared" si="1"/>
        <v>9.3125</v>
      </c>
    </row>
    <row r="82" spans="1:32" hidden="1" x14ac:dyDescent="0.25">
      <c r="A82">
        <v>44</v>
      </c>
      <c r="B82" t="s">
        <v>112</v>
      </c>
      <c r="C82" t="s">
        <v>2469</v>
      </c>
      <c r="D82" t="s">
        <v>1831</v>
      </c>
      <c r="E82" t="s">
        <v>47</v>
      </c>
      <c r="F82">
        <v>21</v>
      </c>
      <c r="G82">
        <v>16</v>
      </c>
      <c r="H82">
        <v>10</v>
      </c>
      <c r="I82">
        <v>0</v>
      </c>
      <c r="J82">
        <v>0</v>
      </c>
      <c r="K82">
        <v>0</v>
      </c>
      <c r="L82">
        <v>0</v>
      </c>
      <c r="M82">
        <v>0</v>
      </c>
      <c r="N82">
        <v>117</v>
      </c>
      <c r="O82">
        <v>435</v>
      </c>
      <c r="P82">
        <v>3.72</v>
      </c>
      <c r="Q82">
        <v>2</v>
      </c>
      <c r="R82">
        <v>113</v>
      </c>
      <c r="S82">
        <v>80</v>
      </c>
      <c r="T82">
        <v>651</v>
      </c>
      <c r="U82">
        <v>8.14</v>
      </c>
      <c r="V82">
        <v>5</v>
      </c>
      <c r="Y82">
        <v>149</v>
      </c>
      <c r="Z82">
        <v>229</v>
      </c>
      <c r="AA82">
        <v>235.6</v>
      </c>
      <c r="AB82">
        <v>188.6</v>
      </c>
      <c r="AC82">
        <v>22</v>
      </c>
      <c r="AD82">
        <v>15</v>
      </c>
      <c r="AE82">
        <v>44</v>
      </c>
      <c r="AF82" s="2">
        <f t="shared" si="1"/>
        <v>9.3125</v>
      </c>
    </row>
    <row r="83" spans="1:32" x14ac:dyDescent="0.25">
      <c r="A83">
        <v>32</v>
      </c>
      <c r="B83" t="s">
        <v>2453</v>
      </c>
      <c r="C83" t="s">
        <v>2454</v>
      </c>
      <c r="D83" t="s">
        <v>1865</v>
      </c>
      <c r="E83" t="s">
        <v>87</v>
      </c>
      <c r="F83">
        <v>29</v>
      </c>
      <c r="G83">
        <v>16</v>
      </c>
      <c r="H83">
        <v>16</v>
      </c>
      <c r="I83">
        <v>0</v>
      </c>
      <c r="J83">
        <v>0</v>
      </c>
      <c r="K83">
        <v>0</v>
      </c>
      <c r="L83">
        <v>0</v>
      </c>
      <c r="M83">
        <v>0</v>
      </c>
      <c r="N83">
        <v>2</v>
      </c>
      <c r="O83">
        <v>-8</v>
      </c>
      <c r="P83">
        <v>-4</v>
      </c>
      <c r="Q83">
        <v>0</v>
      </c>
      <c r="R83">
        <v>116</v>
      </c>
      <c r="S83">
        <v>75</v>
      </c>
      <c r="T83">
        <v>991</v>
      </c>
      <c r="U83">
        <v>13.21</v>
      </c>
      <c r="V83">
        <v>8</v>
      </c>
      <c r="W83">
        <v>1</v>
      </c>
      <c r="Y83">
        <v>148</v>
      </c>
      <c r="Z83">
        <v>223</v>
      </c>
      <c r="AA83">
        <v>226.3</v>
      </c>
      <c r="AB83">
        <v>185.8</v>
      </c>
      <c r="AC83">
        <v>37</v>
      </c>
      <c r="AD83">
        <v>13</v>
      </c>
      <c r="AE83">
        <v>32</v>
      </c>
      <c r="AF83" s="2">
        <f t="shared" si="1"/>
        <v>9.25</v>
      </c>
    </row>
    <row r="84" spans="1:32" x14ac:dyDescent="0.25">
      <c r="A84">
        <v>34</v>
      </c>
      <c r="B84" t="s">
        <v>2456</v>
      </c>
      <c r="C84" t="s">
        <v>2457</v>
      </c>
      <c r="D84" t="s">
        <v>1053</v>
      </c>
      <c r="E84" t="s">
        <v>87</v>
      </c>
      <c r="F84">
        <v>25</v>
      </c>
      <c r="G84">
        <v>16</v>
      </c>
      <c r="H84">
        <v>16</v>
      </c>
      <c r="I84">
        <v>0</v>
      </c>
      <c r="J84">
        <v>1</v>
      </c>
      <c r="K84">
        <v>0</v>
      </c>
      <c r="L84">
        <v>0</v>
      </c>
      <c r="M84">
        <v>0</v>
      </c>
      <c r="N84">
        <v>1</v>
      </c>
      <c r="O84">
        <v>-7</v>
      </c>
      <c r="P84">
        <v>-7</v>
      </c>
      <c r="Q84">
        <v>0</v>
      </c>
      <c r="R84">
        <v>161</v>
      </c>
      <c r="S84">
        <v>112</v>
      </c>
      <c r="T84">
        <v>987</v>
      </c>
      <c r="U84">
        <v>8.81</v>
      </c>
      <c r="V84">
        <v>9</v>
      </c>
      <c r="Y84">
        <v>148</v>
      </c>
      <c r="Z84">
        <v>260</v>
      </c>
      <c r="AA84">
        <v>265</v>
      </c>
      <c r="AB84">
        <v>204</v>
      </c>
      <c r="AC84">
        <v>37</v>
      </c>
      <c r="AD84">
        <v>14</v>
      </c>
      <c r="AE84">
        <v>34</v>
      </c>
      <c r="AF84" s="2">
        <f t="shared" si="1"/>
        <v>9.25</v>
      </c>
    </row>
    <row r="85" spans="1:32" hidden="1" x14ac:dyDescent="0.25">
      <c r="A85">
        <v>49</v>
      </c>
      <c r="B85" t="s">
        <v>131</v>
      </c>
      <c r="C85" t="s">
        <v>2474</v>
      </c>
      <c r="D85" t="s">
        <v>1054</v>
      </c>
      <c r="E85" t="s">
        <v>47</v>
      </c>
      <c r="F85">
        <v>26</v>
      </c>
      <c r="G85">
        <v>16</v>
      </c>
      <c r="H85">
        <v>16</v>
      </c>
      <c r="I85">
        <v>0</v>
      </c>
      <c r="J85">
        <v>0</v>
      </c>
      <c r="K85">
        <v>0</v>
      </c>
      <c r="L85">
        <v>0</v>
      </c>
      <c r="M85">
        <v>0</v>
      </c>
      <c r="N85">
        <v>245</v>
      </c>
      <c r="O85">
        <v>1007</v>
      </c>
      <c r="P85">
        <v>4.1100000000000003</v>
      </c>
      <c r="Q85">
        <v>3</v>
      </c>
      <c r="R85">
        <v>40</v>
      </c>
      <c r="S85">
        <v>28</v>
      </c>
      <c r="T85">
        <v>224</v>
      </c>
      <c r="U85">
        <v>8</v>
      </c>
      <c r="V85">
        <v>1</v>
      </c>
      <c r="W85">
        <v>1</v>
      </c>
      <c r="Y85">
        <v>147</v>
      </c>
      <c r="Z85">
        <v>175</v>
      </c>
      <c r="AA85">
        <v>182.1</v>
      </c>
      <c r="AB85">
        <v>161.1</v>
      </c>
      <c r="AC85">
        <v>20</v>
      </c>
      <c r="AD85">
        <v>17</v>
      </c>
      <c r="AE85">
        <v>49</v>
      </c>
      <c r="AF85" s="2">
        <f t="shared" si="1"/>
        <v>9.1875</v>
      </c>
    </row>
    <row r="86" spans="1:32" hidden="1" x14ac:dyDescent="0.25">
      <c r="A86">
        <v>21</v>
      </c>
      <c r="B86" t="s">
        <v>2434</v>
      </c>
      <c r="C86" t="s">
        <v>2435</v>
      </c>
      <c r="D86" t="s">
        <v>1862</v>
      </c>
      <c r="E86" t="s">
        <v>114</v>
      </c>
      <c r="F86">
        <v>27</v>
      </c>
      <c r="G86">
        <v>14</v>
      </c>
      <c r="H86">
        <v>13</v>
      </c>
      <c r="I86">
        <v>0</v>
      </c>
      <c r="J86">
        <v>0</v>
      </c>
      <c r="K86">
        <v>0</v>
      </c>
      <c r="L86">
        <v>0</v>
      </c>
      <c r="M86">
        <v>0</v>
      </c>
      <c r="N86">
        <v>0</v>
      </c>
      <c r="O86">
        <v>0</v>
      </c>
      <c r="Q86">
        <v>0</v>
      </c>
      <c r="R86">
        <v>110</v>
      </c>
      <c r="S86">
        <v>74</v>
      </c>
      <c r="T86">
        <v>824</v>
      </c>
      <c r="U86">
        <v>11.14</v>
      </c>
      <c r="V86">
        <v>8</v>
      </c>
      <c r="Y86">
        <v>128</v>
      </c>
      <c r="Z86">
        <v>202</v>
      </c>
      <c r="AA86">
        <v>206.4</v>
      </c>
      <c r="AB86">
        <v>165.4</v>
      </c>
      <c r="AC86">
        <v>47</v>
      </c>
      <c r="AD86">
        <v>3</v>
      </c>
      <c r="AE86">
        <v>21</v>
      </c>
      <c r="AF86" s="2">
        <f t="shared" si="1"/>
        <v>9.1428571428571423</v>
      </c>
    </row>
    <row r="87" spans="1:32" hidden="1" x14ac:dyDescent="0.25">
      <c r="A87">
        <v>53</v>
      </c>
      <c r="B87" t="s">
        <v>128</v>
      </c>
      <c r="C87" t="s">
        <v>2480</v>
      </c>
      <c r="D87" t="s">
        <v>815</v>
      </c>
      <c r="E87" t="s">
        <v>47</v>
      </c>
      <c r="F87">
        <v>34</v>
      </c>
      <c r="G87">
        <v>16</v>
      </c>
      <c r="H87">
        <v>16</v>
      </c>
      <c r="I87">
        <v>0</v>
      </c>
      <c r="J87">
        <v>0</v>
      </c>
      <c r="K87">
        <v>0</v>
      </c>
      <c r="L87">
        <v>0</v>
      </c>
      <c r="M87">
        <v>0</v>
      </c>
      <c r="N87">
        <v>261</v>
      </c>
      <c r="O87">
        <v>961</v>
      </c>
      <c r="P87">
        <v>3.68</v>
      </c>
      <c r="Q87">
        <v>3</v>
      </c>
      <c r="R87">
        <v>38</v>
      </c>
      <c r="S87">
        <v>29</v>
      </c>
      <c r="T87">
        <v>245</v>
      </c>
      <c r="U87">
        <v>8.4499999999999993</v>
      </c>
      <c r="V87">
        <v>1</v>
      </c>
      <c r="Y87">
        <v>145</v>
      </c>
      <c r="Z87">
        <v>174</v>
      </c>
      <c r="AA87">
        <v>179.6</v>
      </c>
      <c r="AB87">
        <v>159.1</v>
      </c>
      <c r="AC87">
        <v>18</v>
      </c>
      <c r="AD87">
        <v>18</v>
      </c>
      <c r="AE87">
        <v>53</v>
      </c>
      <c r="AF87" s="2">
        <f t="shared" si="1"/>
        <v>9.0625</v>
      </c>
    </row>
    <row r="88" spans="1:32" hidden="1" x14ac:dyDescent="0.25">
      <c r="A88">
        <v>294</v>
      </c>
      <c r="B88" t="s">
        <v>2769</v>
      </c>
      <c r="C88" t="s">
        <v>2770</v>
      </c>
      <c r="D88" t="s">
        <v>1045</v>
      </c>
      <c r="E88" t="s">
        <v>47</v>
      </c>
      <c r="F88">
        <v>24</v>
      </c>
      <c r="G88">
        <v>3</v>
      </c>
      <c r="H88">
        <v>0</v>
      </c>
      <c r="I88">
        <v>0</v>
      </c>
      <c r="J88">
        <v>0</v>
      </c>
      <c r="K88">
        <v>0</v>
      </c>
      <c r="L88">
        <v>0</v>
      </c>
      <c r="M88">
        <v>0</v>
      </c>
      <c r="N88">
        <v>21</v>
      </c>
      <c r="O88">
        <v>79</v>
      </c>
      <c r="P88">
        <v>3.76</v>
      </c>
      <c r="Q88">
        <v>0</v>
      </c>
      <c r="R88">
        <v>17</v>
      </c>
      <c r="S88">
        <v>14</v>
      </c>
      <c r="T88">
        <v>128</v>
      </c>
      <c r="U88">
        <v>9.14</v>
      </c>
      <c r="V88">
        <v>1</v>
      </c>
      <c r="Y88">
        <v>27</v>
      </c>
      <c r="Z88">
        <v>41</v>
      </c>
      <c r="AA88">
        <v>43.7</v>
      </c>
      <c r="AB88">
        <v>33.700000000000003</v>
      </c>
      <c r="AD88">
        <v>86</v>
      </c>
      <c r="AF88" s="2">
        <f t="shared" si="1"/>
        <v>9</v>
      </c>
    </row>
    <row r="89" spans="1:32" hidden="1" x14ac:dyDescent="0.25">
      <c r="A89">
        <v>55</v>
      </c>
      <c r="B89" t="s">
        <v>187</v>
      </c>
      <c r="C89" t="s">
        <v>2482</v>
      </c>
      <c r="D89" t="s">
        <v>1048</v>
      </c>
      <c r="E89" t="s">
        <v>47</v>
      </c>
      <c r="F89">
        <v>27</v>
      </c>
      <c r="G89">
        <v>16</v>
      </c>
      <c r="H89">
        <v>11</v>
      </c>
      <c r="I89">
        <v>0</v>
      </c>
      <c r="J89">
        <v>0</v>
      </c>
      <c r="K89">
        <v>0</v>
      </c>
      <c r="L89">
        <v>0</v>
      </c>
      <c r="M89">
        <v>0</v>
      </c>
      <c r="N89">
        <v>216</v>
      </c>
      <c r="O89">
        <v>842</v>
      </c>
      <c r="P89">
        <v>3.9</v>
      </c>
      <c r="Q89">
        <v>8</v>
      </c>
      <c r="R89">
        <v>17</v>
      </c>
      <c r="S89">
        <v>15</v>
      </c>
      <c r="T89">
        <v>103</v>
      </c>
      <c r="U89">
        <v>6.87</v>
      </c>
      <c r="V89">
        <v>0</v>
      </c>
      <c r="Y89">
        <v>143</v>
      </c>
      <c r="Z89">
        <v>158</v>
      </c>
      <c r="AA89">
        <v>163.5</v>
      </c>
      <c r="AB89">
        <v>150</v>
      </c>
      <c r="AC89">
        <v>15</v>
      </c>
      <c r="AD89">
        <v>20</v>
      </c>
      <c r="AE89">
        <v>55</v>
      </c>
      <c r="AF89" s="2">
        <f t="shared" si="1"/>
        <v>8.9375</v>
      </c>
    </row>
    <row r="90" spans="1:32" x14ac:dyDescent="0.25">
      <c r="A90">
        <v>115</v>
      </c>
      <c r="B90" t="s">
        <v>248</v>
      </c>
      <c r="C90" t="s">
        <v>2554</v>
      </c>
      <c r="D90" t="s">
        <v>1038</v>
      </c>
      <c r="E90" t="s">
        <v>87</v>
      </c>
      <c r="F90">
        <v>25</v>
      </c>
      <c r="G90">
        <v>12</v>
      </c>
      <c r="H90">
        <v>11</v>
      </c>
      <c r="I90">
        <v>0</v>
      </c>
      <c r="J90">
        <v>0</v>
      </c>
      <c r="K90">
        <v>0</v>
      </c>
      <c r="L90">
        <v>0</v>
      </c>
      <c r="M90">
        <v>0</v>
      </c>
      <c r="N90">
        <v>2</v>
      </c>
      <c r="O90">
        <v>12</v>
      </c>
      <c r="P90">
        <v>6</v>
      </c>
      <c r="Q90">
        <v>0</v>
      </c>
      <c r="R90">
        <v>85</v>
      </c>
      <c r="S90">
        <v>56</v>
      </c>
      <c r="T90">
        <v>781</v>
      </c>
      <c r="U90">
        <v>13.95</v>
      </c>
      <c r="V90">
        <v>5</v>
      </c>
      <c r="Y90">
        <v>107</v>
      </c>
      <c r="Z90">
        <v>163</v>
      </c>
      <c r="AA90">
        <v>167.3</v>
      </c>
      <c r="AB90">
        <v>135.30000000000001</v>
      </c>
      <c r="AD90">
        <v>34</v>
      </c>
      <c r="AF90" s="2">
        <f t="shared" si="1"/>
        <v>8.9166666666666661</v>
      </c>
    </row>
    <row r="91" spans="1:32" hidden="1" x14ac:dyDescent="0.25">
      <c r="A91">
        <v>57</v>
      </c>
      <c r="B91" t="s">
        <v>2485</v>
      </c>
      <c r="C91" t="s">
        <v>2486</v>
      </c>
      <c r="D91" t="s">
        <v>1872</v>
      </c>
      <c r="E91" t="s">
        <v>47</v>
      </c>
      <c r="F91">
        <v>24</v>
      </c>
      <c r="G91">
        <v>16</v>
      </c>
      <c r="H91">
        <v>0</v>
      </c>
      <c r="I91">
        <v>0</v>
      </c>
      <c r="J91">
        <v>0</v>
      </c>
      <c r="K91">
        <v>0</v>
      </c>
      <c r="L91">
        <v>0</v>
      </c>
      <c r="M91">
        <v>0</v>
      </c>
      <c r="N91">
        <v>82</v>
      </c>
      <c r="O91">
        <v>348</v>
      </c>
      <c r="P91">
        <v>4.24</v>
      </c>
      <c r="Q91">
        <v>4</v>
      </c>
      <c r="R91">
        <v>93</v>
      </c>
      <c r="S91">
        <v>74</v>
      </c>
      <c r="T91">
        <v>693</v>
      </c>
      <c r="U91">
        <v>9.36</v>
      </c>
      <c r="V91">
        <v>3</v>
      </c>
      <c r="Y91">
        <v>142</v>
      </c>
      <c r="Z91">
        <v>216</v>
      </c>
      <c r="AA91">
        <v>224.1</v>
      </c>
      <c r="AB91">
        <v>179.1</v>
      </c>
      <c r="AC91">
        <v>15</v>
      </c>
      <c r="AD91">
        <v>21</v>
      </c>
      <c r="AE91">
        <v>57</v>
      </c>
      <c r="AF91" s="2">
        <f t="shared" si="1"/>
        <v>8.875</v>
      </c>
    </row>
    <row r="92" spans="1:32" hidden="1" x14ac:dyDescent="0.25">
      <c r="A92">
        <v>69</v>
      </c>
      <c r="B92" t="s">
        <v>85</v>
      </c>
      <c r="C92" t="s">
        <v>2502</v>
      </c>
      <c r="D92" t="s">
        <v>1887</v>
      </c>
      <c r="E92" t="s">
        <v>47</v>
      </c>
      <c r="F92">
        <v>29</v>
      </c>
      <c r="G92">
        <v>15</v>
      </c>
      <c r="H92">
        <v>15</v>
      </c>
      <c r="I92">
        <v>0</v>
      </c>
      <c r="J92">
        <v>0</v>
      </c>
      <c r="K92">
        <v>0</v>
      </c>
      <c r="L92">
        <v>0</v>
      </c>
      <c r="M92">
        <v>0</v>
      </c>
      <c r="N92">
        <v>184</v>
      </c>
      <c r="O92">
        <v>659</v>
      </c>
      <c r="P92">
        <v>3.58</v>
      </c>
      <c r="Q92">
        <v>6</v>
      </c>
      <c r="R92">
        <v>47</v>
      </c>
      <c r="S92">
        <v>39</v>
      </c>
      <c r="T92">
        <v>266</v>
      </c>
      <c r="U92">
        <v>6.82</v>
      </c>
      <c r="V92">
        <v>1</v>
      </c>
      <c r="Y92">
        <v>133</v>
      </c>
      <c r="Z92">
        <v>172</v>
      </c>
      <c r="AA92">
        <v>178.5</v>
      </c>
      <c r="AB92">
        <v>152</v>
      </c>
      <c r="AC92">
        <v>5</v>
      </c>
      <c r="AD92">
        <v>23</v>
      </c>
      <c r="AE92">
        <v>69</v>
      </c>
      <c r="AF92" s="2">
        <f t="shared" si="1"/>
        <v>8.8666666666666671</v>
      </c>
    </row>
    <row r="93" spans="1:32" x14ac:dyDescent="0.25">
      <c r="A93">
        <v>46</v>
      </c>
      <c r="B93" t="s">
        <v>100</v>
      </c>
      <c r="C93" t="s">
        <v>2471</v>
      </c>
      <c r="D93" t="s">
        <v>2397</v>
      </c>
      <c r="E93" t="s">
        <v>87</v>
      </c>
      <c r="F93">
        <v>24</v>
      </c>
      <c r="G93">
        <v>15</v>
      </c>
      <c r="H93">
        <v>15</v>
      </c>
      <c r="I93">
        <v>0</v>
      </c>
      <c r="J93">
        <v>0</v>
      </c>
      <c r="K93">
        <v>0</v>
      </c>
      <c r="L93">
        <v>0</v>
      </c>
      <c r="M93">
        <v>0</v>
      </c>
      <c r="N93">
        <v>0</v>
      </c>
      <c r="O93">
        <v>0</v>
      </c>
      <c r="Q93">
        <v>0</v>
      </c>
      <c r="R93">
        <v>136</v>
      </c>
      <c r="S93">
        <v>71</v>
      </c>
      <c r="T93">
        <v>1001</v>
      </c>
      <c r="U93">
        <v>14.1</v>
      </c>
      <c r="V93">
        <v>5</v>
      </c>
      <c r="W93">
        <v>1</v>
      </c>
      <c r="Y93">
        <v>132</v>
      </c>
      <c r="Z93">
        <v>203</v>
      </c>
      <c r="AA93">
        <v>206.1</v>
      </c>
      <c r="AB93">
        <v>167.6</v>
      </c>
      <c r="AC93">
        <v>21</v>
      </c>
      <c r="AD93">
        <v>20</v>
      </c>
      <c r="AE93">
        <v>46</v>
      </c>
      <c r="AF93" s="2">
        <f t="shared" si="1"/>
        <v>8.8000000000000007</v>
      </c>
    </row>
    <row r="94" spans="1:32" x14ac:dyDescent="0.25">
      <c r="A94">
        <v>37</v>
      </c>
      <c r="B94" t="s">
        <v>126</v>
      </c>
      <c r="C94" t="s">
        <v>2461</v>
      </c>
      <c r="D94" t="s">
        <v>1862</v>
      </c>
      <c r="E94" t="s">
        <v>87</v>
      </c>
      <c r="F94">
        <v>27</v>
      </c>
      <c r="G94">
        <v>16</v>
      </c>
      <c r="H94">
        <v>16</v>
      </c>
      <c r="I94">
        <v>0</v>
      </c>
      <c r="J94">
        <v>0</v>
      </c>
      <c r="K94">
        <v>0</v>
      </c>
      <c r="L94">
        <v>0</v>
      </c>
      <c r="M94">
        <v>0</v>
      </c>
      <c r="N94">
        <v>0</v>
      </c>
      <c r="O94">
        <v>0</v>
      </c>
      <c r="Q94">
        <v>0</v>
      </c>
      <c r="R94">
        <v>120</v>
      </c>
      <c r="S94">
        <v>57</v>
      </c>
      <c r="T94">
        <v>789</v>
      </c>
      <c r="U94">
        <v>13.84</v>
      </c>
      <c r="V94">
        <v>9</v>
      </c>
      <c r="W94">
        <v>3</v>
      </c>
      <c r="Y94">
        <v>139</v>
      </c>
      <c r="Z94">
        <v>196</v>
      </c>
      <c r="AA94">
        <v>198.9</v>
      </c>
      <c r="AB94">
        <v>167.4</v>
      </c>
      <c r="AC94">
        <v>28</v>
      </c>
      <c r="AD94">
        <v>15</v>
      </c>
      <c r="AE94">
        <v>37</v>
      </c>
      <c r="AF94" s="2">
        <f t="shared" si="1"/>
        <v>8.6875</v>
      </c>
    </row>
    <row r="95" spans="1:32" hidden="1" x14ac:dyDescent="0.25">
      <c r="A95">
        <v>166</v>
      </c>
      <c r="B95" t="s">
        <v>109</v>
      </c>
      <c r="C95" t="s">
        <v>2609</v>
      </c>
      <c r="D95" t="s">
        <v>2396</v>
      </c>
      <c r="E95" t="s">
        <v>47</v>
      </c>
      <c r="F95">
        <v>24</v>
      </c>
      <c r="G95">
        <v>8</v>
      </c>
      <c r="H95">
        <v>5</v>
      </c>
      <c r="I95">
        <v>0</v>
      </c>
      <c r="J95">
        <v>0</v>
      </c>
      <c r="K95">
        <v>0</v>
      </c>
      <c r="L95">
        <v>0</v>
      </c>
      <c r="M95">
        <v>0</v>
      </c>
      <c r="N95">
        <v>71</v>
      </c>
      <c r="O95">
        <v>273</v>
      </c>
      <c r="P95">
        <v>3.85</v>
      </c>
      <c r="Q95">
        <v>3</v>
      </c>
      <c r="R95">
        <v>31</v>
      </c>
      <c r="S95">
        <v>23</v>
      </c>
      <c r="T95">
        <v>173</v>
      </c>
      <c r="U95">
        <v>7.52</v>
      </c>
      <c r="V95">
        <v>1</v>
      </c>
      <c r="Y95">
        <v>69</v>
      </c>
      <c r="Z95">
        <v>92</v>
      </c>
      <c r="AA95">
        <v>97.6</v>
      </c>
      <c r="AB95">
        <v>80.099999999999994</v>
      </c>
      <c r="AD95">
        <v>52</v>
      </c>
      <c r="AF95" s="2">
        <f t="shared" si="1"/>
        <v>8.625</v>
      </c>
    </row>
    <row r="96" spans="1:32" x14ac:dyDescent="0.25">
      <c r="A96">
        <v>40</v>
      </c>
      <c r="B96" t="s">
        <v>203</v>
      </c>
      <c r="C96" t="s">
        <v>2465</v>
      </c>
      <c r="D96" t="s">
        <v>1935</v>
      </c>
      <c r="E96" t="s">
        <v>87</v>
      </c>
      <c r="F96">
        <v>24</v>
      </c>
      <c r="G96">
        <v>16</v>
      </c>
      <c r="H96">
        <v>15</v>
      </c>
      <c r="I96">
        <v>0</v>
      </c>
      <c r="J96">
        <v>0</v>
      </c>
      <c r="K96">
        <v>0</v>
      </c>
      <c r="L96">
        <v>0</v>
      </c>
      <c r="M96">
        <v>0</v>
      </c>
      <c r="N96">
        <v>3</v>
      </c>
      <c r="O96">
        <v>9</v>
      </c>
      <c r="P96">
        <v>3</v>
      </c>
      <c r="Q96">
        <v>0</v>
      </c>
      <c r="R96">
        <v>114</v>
      </c>
      <c r="S96">
        <v>63</v>
      </c>
      <c r="T96">
        <v>941</v>
      </c>
      <c r="U96">
        <v>14.94</v>
      </c>
      <c r="V96">
        <v>7</v>
      </c>
      <c r="Y96">
        <v>137</v>
      </c>
      <c r="Z96">
        <v>200</v>
      </c>
      <c r="AA96">
        <v>203</v>
      </c>
      <c r="AB96">
        <v>168.5</v>
      </c>
      <c r="AC96">
        <v>26</v>
      </c>
      <c r="AD96">
        <v>16</v>
      </c>
      <c r="AE96">
        <v>40</v>
      </c>
      <c r="AF96" s="2">
        <f t="shared" si="1"/>
        <v>8.5625</v>
      </c>
    </row>
    <row r="97" spans="1:32" hidden="1" x14ac:dyDescent="0.25">
      <c r="A97">
        <v>275</v>
      </c>
      <c r="B97" t="s">
        <v>2744</v>
      </c>
      <c r="C97" t="s">
        <v>2745</v>
      </c>
      <c r="D97" t="s">
        <v>1043</v>
      </c>
      <c r="E97" t="s">
        <v>15</v>
      </c>
      <c r="F97">
        <v>30</v>
      </c>
      <c r="G97">
        <v>4</v>
      </c>
      <c r="H97">
        <v>3</v>
      </c>
      <c r="I97">
        <v>47</v>
      </c>
      <c r="J97">
        <v>97</v>
      </c>
      <c r="K97">
        <v>523</v>
      </c>
      <c r="L97">
        <v>4</v>
      </c>
      <c r="M97">
        <v>3</v>
      </c>
      <c r="N97">
        <v>5</v>
      </c>
      <c r="O97">
        <v>51</v>
      </c>
      <c r="P97">
        <v>10.199999999999999</v>
      </c>
      <c r="Q97">
        <v>0</v>
      </c>
      <c r="R97">
        <v>0</v>
      </c>
      <c r="S97">
        <v>0</v>
      </c>
      <c r="T97">
        <v>0</v>
      </c>
      <c r="V97">
        <v>0</v>
      </c>
      <c r="Y97">
        <v>34</v>
      </c>
      <c r="Z97">
        <v>34</v>
      </c>
      <c r="AA97">
        <v>41</v>
      </c>
      <c r="AB97">
        <v>37</v>
      </c>
      <c r="AD97">
        <v>42</v>
      </c>
      <c r="AF97" s="2">
        <f t="shared" si="1"/>
        <v>8.5</v>
      </c>
    </row>
    <row r="98" spans="1:32" hidden="1" x14ac:dyDescent="0.25">
      <c r="A98">
        <v>273</v>
      </c>
      <c r="B98" t="s">
        <v>322</v>
      </c>
      <c r="C98" t="s">
        <v>2742</v>
      </c>
      <c r="D98" t="s">
        <v>1872</v>
      </c>
      <c r="E98" t="s">
        <v>15</v>
      </c>
      <c r="F98">
        <v>25</v>
      </c>
      <c r="G98">
        <v>4</v>
      </c>
      <c r="H98">
        <v>1</v>
      </c>
      <c r="I98">
        <v>46</v>
      </c>
      <c r="J98">
        <v>75</v>
      </c>
      <c r="K98">
        <v>517</v>
      </c>
      <c r="L98">
        <v>4</v>
      </c>
      <c r="M98">
        <v>5</v>
      </c>
      <c r="N98">
        <v>10</v>
      </c>
      <c r="O98">
        <v>71</v>
      </c>
      <c r="P98">
        <v>7.1</v>
      </c>
      <c r="Q98">
        <v>0</v>
      </c>
      <c r="R98">
        <v>0</v>
      </c>
      <c r="S98">
        <v>0</v>
      </c>
      <c r="T98">
        <v>0</v>
      </c>
      <c r="V98">
        <v>0</v>
      </c>
      <c r="Y98">
        <v>34</v>
      </c>
      <c r="Z98">
        <v>34</v>
      </c>
      <c r="AA98">
        <v>41.8</v>
      </c>
      <c r="AB98">
        <v>38.799999999999997</v>
      </c>
      <c r="AD98">
        <v>43</v>
      </c>
      <c r="AF98" s="2">
        <f t="shared" si="1"/>
        <v>8.5</v>
      </c>
    </row>
    <row r="99" spans="1:32" x14ac:dyDescent="0.25">
      <c r="A99">
        <v>138</v>
      </c>
      <c r="B99" t="s">
        <v>2578</v>
      </c>
      <c r="C99" t="s">
        <v>2579</v>
      </c>
      <c r="D99" t="s">
        <v>1043</v>
      </c>
      <c r="E99" t="s">
        <v>87</v>
      </c>
      <c r="F99">
        <v>23</v>
      </c>
      <c r="G99">
        <v>10</v>
      </c>
      <c r="H99">
        <v>10</v>
      </c>
      <c r="I99">
        <v>0</v>
      </c>
      <c r="J99">
        <v>0</v>
      </c>
      <c r="K99">
        <v>0</v>
      </c>
      <c r="L99">
        <v>0</v>
      </c>
      <c r="M99">
        <v>0</v>
      </c>
      <c r="N99">
        <v>2</v>
      </c>
      <c r="O99">
        <v>9</v>
      </c>
      <c r="P99">
        <v>4.5</v>
      </c>
      <c r="Q99">
        <v>0</v>
      </c>
      <c r="R99">
        <v>50</v>
      </c>
      <c r="S99">
        <v>28</v>
      </c>
      <c r="T99">
        <v>423</v>
      </c>
      <c r="U99">
        <v>15.11</v>
      </c>
      <c r="V99">
        <v>7</v>
      </c>
      <c r="Y99">
        <v>85</v>
      </c>
      <c r="Z99">
        <v>113</v>
      </c>
      <c r="AA99">
        <v>116.2</v>
      </c>
      <c r="AB99">
        <v>99.2</v>
      </c>
      <c r="AD99">
        <v>49</v>
      </c>
      <c r="AF99" s="2">
        <f t="shared" si="1"/>
        <v>8.5</v>
      </c>
    </row>
    <row r="100" spans="1:32" hidden="1" x14ac:dyDescent="0.25">
      <c r="A100">
        <v>336</v>
      </c>
      <c r="B100" t="s">
        <v>1581</v>
      </c>
      <c r="C100" t="s">
        <v>2822</v>
      </c>
      <c r="D100" t="s">
        <v>1040</v>
      </c>
      <c r="E100" t="s">
        <v>47</v>
      </c>
      <c r="F100">
        <v>28</v>
      </c>
      <c r="G100">
        <v>2</v>
      </c>
      <c r="H100">
        <v>1</v>
      </c>
      <c r="I100">
        <v>0</v>
      </c>
      <c r="J100">
        <v>0</v>
      </c>
      <c r="K100">
        <v>0</v>
      </c>
      <c r="L100">
        <v>0</v>
      </c>
      <c r="M100">
        <v>0</v>
      </c>
      <c r="N100">
        <v>26</v>
      </c>
      <c r="O100">
        <v>108</v>
      </c>
      <c r="P100">
        <v>4.1500000000000004</v>
      </c>
      <c r="Q100">
        <v>1</v>
      </c>
      <c r="R100">
        <v>0</v>
      </c>
      <c r="S100">
        <v>0</v>
      </c>
      <c r="T100">
        <v>0</v>
      </c>
      <c r="V100">
        <v>0</v>
      </c>
      <c r="Y100">
        <v>17</v>
      </c>
      <c r="Z100">
        <v>17</v>
      </c>
      <c r="AA100">
        <v>19.8</v>
      </c>
      <c r="AB100">
        <v>16.8</v>
      </c>
      <c r="AD100">
        <v>95</v>
      </c>
      <c r="AF100" s="2">
        <f t="shared" si="1"/>
        <v>8.5</v>
      </c>
    </row>
    <row r="101" spans="1:32" hidden="1" x14ac:dyDescent="0.25">
      <c r="A101">
        <v>272</v>
      </c>
      <c r="B101" t="s">
        <v>84</v>
      </c>
      <c r="C101" t="s">
        <v>2741</v>
      </c>
      <c r="D101" t="s">
        <v>1042</v>
      </c>
      <c r="E101" t="s">
        <v>15</v>
      </c>
      <c r="F101">
        <v>28</v>
      </c>
      <c r="G101">
        <v>4</v>
      </c>
      <c r="H101">
        <v>4</v>
      </c>
      <c r="I101">
        <v>93</v>
      </c>
      <c r="J101">
        <v>140</v>
      </c>
      <c r="K101">
        <v>833</v>
      </c>
      <c r="L101">
        <v>4</v>
      </c>
      <c r="M101">
        <v>5</v>
      </c>
      <c r="N101">
        <v>4</v>
      </c>
      <c r="O101">
        <v>4</v>
      </c>
      <c r="P101">
        <v>1</v>
      </c>
      <c r="Q101">
        <v>0</v>
      </c>
      <c r="R101">
        <v>0</v>
      </c>
      <c r="S101">
        <v>0</v>
      </c>
      <c r="T101">
        <v>0</v>
      </c>
      <c r="V101">
        <v>0</v>
      </c>
      <c r="Y101">
        <v>34</v>
      </c>
      <c r="Z101">
        <v>34</v>
      </c>
      <c r="AA101">
        <v>44.7</v>
      </c>
      <c r="AB101">
        <v>38.700000000000003</v>
      </c>
      <c r="AD101">
        <v>45</v>
      </c>
      <c r="AF101" s="2">
        <f t="shared" si="1"/>
        <v>8.5</v>
      </c>
    </row>
    <row r="102" spans="1:32" x14ac:dyDescent="0.25">
      <c r="A102">
        <v>152</v>
      </c>
      <c r="B102" t="s">
        <v>159</v>
      </c>
      <c r="C102" t="s">
        <v>2593</v>
      </c>
      <c r="D102" t="s">
        <v>1049</v>
      </c>
      <c r="E102" t="s">
        <v>87</v>
      </c>
      <c r="F102">
        <v>29</v>
      </c>
      <c r="G102">
        <v>9</v>
      </c>
      <c r="H102">
        <v>7</v>
      </c>
      <c r="I102">
        <v>0</v>
      </c>
      <c r="J102">
        <v>0</v>
      </c>
      <c r="K102">
        <v>0</v>
      </c>
      <c r="L102">
        <v>0</v>
      </c>
      <c r="M102">
        <v>0</v>
      </c>
      <c r="N102">
        <v>3</v>
      </c>
      <c r="O102">
        <v>17</v>
      </c>
      <c r="P102">
        <v>5.67</v>
      </c>
      <c r="Q102">
        <v>0</v>
      </c>
      <c r="R102">
        <v>59</v>
      </c>
      <c r="S102">
        <v>34</v>
      </c>
      <c r="T102">
        <v>439</v>
      </c>
      <c r="U102">
        <v>12.91</v>
      </c>
      <c r="V102">
        <v>5</v>
      </c>
      <c r="Y102">
        <v>76</v>
      </c>
      <c r="Z102">
        <v>110</v>
      </c>
      <c r="AA102">
        <v>112.6</v>
      </c>
      <c r="AB102">
        <v>92.6</v>
      </c>
      <c r="AD102">
        <v>55</v>
      </c>
      <c r="AF102" s="2">
        <f t="shared" si="1"/>
        <v>8.4444444444444446</v>
      </c>
    </row>
    <row r="103" spans="1:32" x14ac:dyDescent="0.25">
      <c r="A103">
        <v>45</v>
      </c>
      <c r="B103" t="s">
        <v>122</v>
      </c>
      <c r="C103" t="s">
        <v>2470</v>
      </c>
      <c r="D103" t="s">
        <v>1882</v>
      </c>
      <c r="E103" t="s">
        <v>87</v>
      </c>
      <c r="F103">
        <v>29</v>
      </c>
      <c r="G103">
        <v>16</v>
      </c>
      <c r="H103">
        <v>12</v>
      </c>
      <c r="I103">
        <v>0</v>
      </c>
      <c r="J103">
        <v>0</v>
      </c>
      <c r="K103">
        <v>0</v>
      </c>
      <c r="L103">
        <v>0</v>
      </c>
      <c r="M103">
        <v>0</v>
      </c>
      <c r="N103">
        <v>5</v>
      </c>
      <c r="O103">
        <v>22</v>
      </c>
      <c r="P103">
        <v>4.4000000000000004</v>
      </c>
      <c r="Q103">
        <v>0</v>
      </c>
      <c r="R103">
        <v>120</v>
      </c>
      <c r="S103">
        <v>92</v>
      </c>
      <c r="T103">
        <v>1003</v>
      </c>
      <c r="U103">
        <v>10.9</v>
      </c>
      <c r="V103">
        <v>5</v>
      </c>
      <c r="X103">
        <v>1</v>
      </c>
      <c r="Y103">
        <v>133</v>
      </c>
      <c r="Z103">
        <v>225</v>
      </c>
      <c r="AA103">
        <v>228.5</v>
      </c>
      <c r="AB103">
        <v>178.5</v>
      </c>
      <c r="AC103">
        <v>22</v>
      </c>
      <c r="AD103">
        <v>19</v>
      </c>
      <c r="AE103">
        <v>45</v>
      </c>
      <c r="AF103" s="2">
        <f t="shared" si="1"/>
        <v>8.3125</v>
      </c>
    </row>
    <row r="104" spans="1:32" hidden="1" x14ac:dyDescent="0.25">
      <c r="A104">
        <v>276</v>
      </c>
      <c r="B104" t="s">
        <v>834</v>
      </c>
      <c r="C104" t="s">
        <v>2746</v>
      </c>
      <c r="D104" t="s">
        <v>1865</v>
      </c>
      <c r="E104" t="s">
        <v>47</v>
      </c>
      <c r="F104">
        <v>23</v>
      </c>
      <c r="G104">
        <v>4</v>
      </c>
      <c r="H104">
        <v>3</v>
      </c>
      <c r="I104">
        <v>0</v>
      </c>
      <c r="J104">
        <v>0</v>
      </c>
      <c r="K104">
        <v>0</v>
      </c>
      <c r="L104">
        <v>0</v>
      </c>
      <c r="M104">
        <v>0</v>
      </c>
      <c r="N104">
        <v>49</v>
      </c>
      <c r="O104">
        <v>208</v>
      </c>
      <c r="P104">
        <v>4.24</v>
      </c>
      <c r="Q104">
        <v>0</v>
      </c>
      <c r="R104">
        <v>8</v>
      </c>
      <c r="S104">
        <v>7</v>
      </c>
      <c r="T104">
        <v>59</v>
      </c>
      <c r="U104">
        <v>8.43</v>
      </c>
      <c r="V104">
        <v>1</v>
      </c>
      <c r="Y104">
        <v>33</v>
      </c>
      <c r="Z104">
        <v>40</v>
      </c>
      <c r="AA104">
        <v>42.7</v>
      </c>
      <c r="AB104">
        <v>36.200000000000003</v>
      </c>
      <c r="AD104">
        <v>83</v>
      </c>
      <c r="AF104" s="2">
        <f t="shared" si="1"/>
        <v>8.25</v>
      </c>
    </row>
    <row r="105" spans="1:32" x14ac:dyDescent="0.25">
      <c r="A105">
        <v>47</v>
      </c>
      <c r="B105" t="s">
        <v>251</v>
      </c>
      <c r="C105" t="s">
        <v>2472</v>
      </c>
      <c r="D105" t="s">
        <v>1831</v>
      </c>
      <c r="E105" t="s">
        <v>87</v>
      </c>
      <c r="F105">
        <v>23</v>
      </c>
      <c r="G105">
        <v>16</v>
      </c>
      <c r="H105">
        <v>16</v>
      </c>
      <c r="I105">
        <v>0</v>
      </c>
      <c r="J105">
        <v>0</v>
      </c>
      <c r="K105">
        <v>0</v>
      </c>
      <c r="L105">
        <v>0</v>
      </c>
      <c r="M105">
        <v>0</v>
      </c>
      <c r="N105">
        <v>0</v>
      </c>
      <c r="O105">
        <v>0</v>
      </c>
      <c r="Q105">
        <v>0</v>
      </c>
      <c r="R105">
        <v>111</v>
      </c>
      <c r="S105">
        <v>63</v>
      </c>
      <c r="T105">
        <v>840</v>
      </c>
      <c r="U105">
        <v>13.33</v>
      </c>
      <c r="V105">
        <v>8</v>
      </c>
      <c r="Y105">
        <v>132</v>
      </c>
      <c r="Z105">
        <v>195</v>
      </c>
      <c r="AA105">
        <v>198</v>
      </c>
      <c r="AB105">
        <v>163.5</v>
      </c>
      <c r="AC105">
        <v>21</v>
      </c>
      <c r="AD105">
        <v>21</v>
      </c>
      <c r="AE105">
        <v>47</v>
      </c>
      <c r="AF105" s="2">
        <f t="shared" si="1"/>
        <v>8.25</v>
      </c>
    </row>
    <row r="106" spans="1:32" x14ac:dyDescent="0.25">
      <c r="A106">
        <v>71</v>
      </c>
      <c r="B106" t="s">
        <v>116</v>
      </c>
      <c r="C106" t="s">
        <v>2504</v>
      </c>
      <c r="D106" t="s">
        <v>1870</v>
      </c>
      <c r="E106" t="s">
        <v>87</v>
      </c>
      <c r="F106">
        <v>30</v>
      </c>
      <c r="G106">
        <v>14</v>
      </c>
      <c r="H106">
        <v>14</v>
      </c>
      <c r="I106">
        <v>0</v>
      </c>
      <c r="J106">
        <v>0</v>
      </c>
      <c r="K106">
        <v>0</v>
      </c>
      <c r="L106">
        <v>0</v>
      </c>
      <c r="M106">
        <v>0</v>
      </c>
      <c r="N106">
        <v>0</v>
      </c>
      <c r="O106">
        <v>0</v>
      </c>
      <c r="Q106">
        <v>0</v>
      </c>
      <c r="R106">
        <v>101</v>
      </c>
      <c r="S106">
        <v>58</v>
      </c>
      <c r="T106">
        <v>618</v>
      </c>
      <c r="U106">
        <v>10.66</v>
      </c>
      <c r="V106">
        <v>8</v>
      </c>
      <c r="W106">
        <v>2</v>
      </c>
      <c r="Y106">
        <v>114</v>
      </c>
      <c r="Z106">
        <v>172</v>
      </c>
      <c r="AA106">
        <v>174.8</v>
      </c>
      <c r="AB106">
        <v>142.80000000000001</v>
      </c>
      <c r="AC106">
        <v>3</v>
      </c>
      <c r="AD106">
        <v>28</v>
      </c>
      <c r="AE106">
        <v>71</v>
      </c>
      <c r="AF106" s="2">
        <f t="shared" si="1"/>
        <v>8.1428571428571423</v>
      </c>
    </row>
    <row r="107" spans="1:32" hidden="1" x14ac:dyDescent="0.25">
      <c r="A107">
        <v>100</v>
      </c>
      <c r="B107" t="s">
        <v>139</v>
      </c>
      <c r="C107" t="s">
        <v>2538</v>
      </c>
      <c r="D107" t="s">
        <v>1935</v>
      </c>
      <c r="E107" t="s">
        <v>47</v>
      </c>
      <c r="F107">
        <v>29</v>
      </c>
      <c r="G107">
        <v>15</v>
      </c>
      <c r="H107">
        <v>10</v>
      </c>
      <c r="I107">
        <v>0</v>
      </c>
      <c r="J107">
        <v>0</v>
      </c>
      <c r="K107">
        <v>0</v>
      </c>
      <c r="L107">
        <v>0</v>
      </c>
      <c r="M107">
        <v>0</v>
      </c>
      <c r="N107">
        <v>178</v>
      </c>
      <c r="O107">
        <v>772</v>
      </c>
      <c r="P107">
        <v>4.34</v>
      </c>
      <c r="Q107">
        <v>5</v>
      </c>
      <c r="R107">
        <v>33</v>
      </c>
      <c r="S107">
        <v>23</v>
      </c>
      <c r="T107">
        <v>170</v>
      </c>
      <c r="U107">
        <v>7.39</v>
      </c>
      <c r="V107">
        <v>0</v>
      </c>
      <c r="Y107">
        <v>122</v>
      </c>
      <c r="Z107">
        <v>145</v>
      </c>
      <c r="AA107">
        <v>152.19999999999999</v>
      </c>
      <c r="AB107">
        <v>133.69999999999999</v>
      </c>
      <c r="AD107">
        <v>26</v>
      </c>
      <c r="AF107" s="2">
        <f t="shared" si="1"/>
        <v>8.1333333333333329</v>
      </c>
    </row>
    <row r="108" spans="1:32" hidden="1" x14ac:dyDescent="0.25">
      <c r="A108">
        <v>412</v>
      </c>
      <c r="B108" t="s">
        <v>1643</v>
      </c>
      <c r="C108" t="s">
        <v>2930</v>
      </c>
      <c r="D108" t="s">
        <v>1862</v>
      </c>
      <c r="E108" t="s">
        <v>15</v>
      </c>
      <c r="F108">
        <v>24</v>
      </c>
      <c r="G108">
        <v>1</v>
      </c>
      <c r="H108">
        <v>0</v>
      </c>
      <c r="I108">
        <v>19</v>
      </c>
      <c r="J108">
        <v>23</v>
      </c>
      <c r="K108">
        <v>134</v>
      </c>
      <c r="L108">
        <v>0</v>
      </c>
      <c r="M108">
        <v>0</v>
      </c>
      <c r="N108">
        <v>1</v>
      </c>
      <c r="O108">
        <v>22</v>
      </c>
      <c r="P108">
        <v>22</v>
      </c>
      <c r="Q108">
        <v>0</v>
      </c>
      <c r="R108">
        <v>0</v>
      </c>
      <c r="S108">
        <v>0</v>
      </c>
      <c r="T108">
        <v>0</v>
      </c>
      <c r="V108">
        <v>0</v>
      </c>
      <c r="Y108">
        <v>8</v>
      </c>
      <c r="Z108">
        <v>8</v>
      </c>
      <c r="AA108">
        <v>7.6</v>
      </c>
      <c r="AB108">
        <v>7.6</v>
      </c>
      <c r="AD108">
        <v>56</v>
      </c>
      <c r="AF108" s="2">
        <f t="shared" si="1"/>
        <v>8</v>
      </c>
    </row>
    <row r="109" spans="1:32" x14ac:dyDescent="0.25">
      <c r="A109">
        <v>240</v>
      </c>
      <c r="B109" t="s">
        <v>1158</v>
      </c>
      <c r="C109" t="s">
        <v>2701</v>
      </c>
      <c r="D109" t="s">
        <v>1872</v>
      </c>
      <c r="E109" t="s">
        <v>87</v>
      </c>
      <c r="F109">
        <v>26</v>
      </c>
      <c r="G109">
        <v>5</v>
      </c>
      <c r="H109">
        <v>5</v>
      </c>
      <c r="I109">
        <v>0</v>
      </c>
      <c r="J109">
        <v>0</v>
      </c>
      <c r="K109">
        <v>0</v>
      </c>
      <c r="L109">
        <v>0</v>
      </c>
      <c r="M109">
        <v>0</v>
      </c>
      <c r="N109">
        <v>0</v>
      </c>
      <c r="O109">
        <v>0</v>
      </c>
      <c r="Q109">
        <v>0</v>
      </c>
      <c r="R109">
        <v>42</v>
      </c>
      <c r="S109">
        <v>18</v>
      </c>
      <c r="T109">
        <v>335</v>
      </c>
      <c r="U109">
        <v>18.61</v>
      </c>
      <c r="V109">
        <v>1</v>
      </c>
      <c r="Y109">
        <v>40</v>
      </c>
      <c r="Z109">
        <v>58</v>
      </c>
      <c r="AA109">
        <v>60.5</v>
      </c>
      <c r="AB109">
        <v>48.5</v>
      </c>
      <c r="AD109">
        <v>99</v>
      </c>
      <c r="AF109" s="2">
        <f t="shared" si="1"/>
        <v>8</v>
      </c>
    </row>
    <row r="110" spans="1:32" hidden="1" x14ac:dyDescent="0.25">
      <c r="A110">
        <v>96</v>
      </c>
      <c r="B110" t="s">
        <v>258</v>
      </c>
      <c r="C110" t="s">
        <v>2534</v>
      </c>
      <c r="D110" t="s">
        <v>1048</v>
      </c>
      <c r="E110" t="s">
        <v>47</v>
      </c>
      <c r="F110">
        <v>25</v>
      </c>
      <c r="G110">
        <v>16</v>
      </c>
      <c r="H110">
        <v>1</v>
      </c>
      <c r="I110">
        <v>0</v>
      </c>
      <c r="J110">
        <v>0</v>
      </c>
      <c r="K110">
        <v>0</v>
      </c>
      <c r="L110">
        <v>0</v>
      </c>
      <c r="M110">
        <v>0</v>
      </c>
      <c r="N110">
        <v>150</v>
      </c>
      <c r="O110">
        <v>570</v>
      </c>
      <c r="P110">
        <v>3.8</v>
      </c>
      <c r="Q110">
        <v>3</v>
      </c>
      <c r="R110">
        <v>68</v>
      </c>
      <c r="S110">
        <v>51</v>
      </c>
      <c r="T110">
        <v>421</v>
      </c>
      <c r="U110">
        <v>8.25</v>
      </c>
      <c r="V110">
        <v>2</v>
      </c>
      <c r="W110">
        <v>1</v>
      </c>
      <c r="Y110">
        <v>127</v>
      </c>
      <c r="Z110">
        <v>178</v>
      </c>
      <c r="AA110">
        <v>186.1</v>
      </c>
      <c r="AB110">
        <v>152.6</v>
      </c>
      <c r="AD110">
        <v>24</v>
      </c>
      <c r="AF110" s="2">
        <f t="shared" si="1"/>
        <v>7.9375</v>
      </c>
    </row>
    <row r="111" spans="1:32" hidden="1" x14ac:dyDescent="0.25">
      <c r="A111">
        <v>102</v>
      </c>
      <c r="B111" t="s">
        <v>278</v>
      </c>
      <c r="C111" t="s">
        <v>2540</v>
      </c>
      <c r="D111" t="s">
        <v>1811</v>
      </c>
      <c r="E111" t="s">
        <v>47</v>
      </c>
      <c r="F111">
        <v>25</v>
      </c>
      <c r="G111">
        <v>15</v>
      </c>
      <c r="H111">
        <v>11</v>
      </c>
      <c r="I111">
        <v>0</v>
      </c>
      <c r="J111">
        <v>0</v>
      </c>
      <c r="K111">
        <v>0</v>
      </c>
      <c r="L111">
        <v>0</v>
      </c>
      <c r="M111">
        <v>0</v>
      </c>
      <c r="N111">
        <v>171</v>
      </c>
      <c r="O111">
        <v>751</v>
      </c>
      <c r="P111">
        <v>4.3899999999999997</v>
      </c>
      <c r="Q111">
        <v>5</v>
      </c>
      <c r="R111">
        <v>28</v>
      </c>
      <c r="S111">
        <v>19</v>
      </c>
      <c r="T111">
        <v>116</v>
      </c>
      <c r="U111">
        <v>6.11</v>
      </c>
      <c r="V111">
        <v>0</v>
      </c>
      <c r="W111">
        <v>1</v>
      </c>
      <c r="Y111">
        <v>119</v>
      </c>
      <c r="Z111">
        <v>138</v>
      </c>
      <c r="AA111">
        <v>143.69999999999999</v>
      </c>
      <c r="AB111">
        <v>128.19999999999999</v>
      </c>
      <c r="AD111">
        <v>28</v>
      </c>
      <c r="AF111" s="2">
        <f t="shared" si="1"/>
        <v>7.9333333333333336</v>
      </c>
    </row>
    <row r="112" spans="1:32" hidden="1" x14ac:dyDescent="0.25">
      <c r="A112">
        <v>106</v>
      </c>
      <c r="B112" t="s">
        <v>89</v>
      </c>
      <c r="C112" t="s">
        <v>2544</v>
      </c>
      <c r="D112" t="s">
        <v>2398</v>
      </c>
      <c r="E112" t="s">
        <v>47</v>
      </c>
      <c r="F112">
        <v>24</v>
      </c>
      <c r="G112">
        <v>14</v>
      </c>
      <c r="H112">
        <v>8</v>
      </c>
      <c r="I112">
        <v>0</v>
      </c>
      <c r="J112">
        <v>0</v>
      </c>
      <c r="K112">
        <v>0</v>
      </c>
      <c r="L112">
        <v>0</v>
      </c>
      <c r="M112">
        <v>0</v>
      </c>
      <c r="N112">
        <v>208</v>
      </c>
      <c r="O112">
        <v>873</v>
      </c>
      <c r="P112">
        <v>4.2</v>
      </c>
      <c r="Q112">
        <v>1</v>
      </c>
      <c r="R112">
        <v>34</v>
      </c>
      <c r="S112">
        <v>24</v>
      </c>
      <c r="T112">
        <v>158</v>
      </c>
      <c r="U112">
        <v>6.58</v>
      </c>
      <c r="V112">
        <v>1</v>
      </c>
      <c r="Y112">
        <v>111</v>
      </c>
      <c r="Z112">
        <v>135</v>
      </c>
      <c r="AA112">
        <v>143.1</v>
      </c>
      <c r="AB112">
        <v>123.1</v>
      </c>
      <c r="AD112">
        <v>33</v>
      </c>
      <c r="AF112" s="2">
        <f t="shared" si="1"/>
        <v>7.9285714285714288</v>
      </c>
    </row>
    <row r="113" spans="1:32" hidden="1" x14ac:dyDescent="0.25">
      <c r="A113">
        <v>107</v>
      </c>
      <c r="B113" t="s">
        <v>123</v>
      </c>
      <c r="C113" t="s">
        <v>2545</v>
      </c>
      <c r="D113" t="s">
        <v>1834</v>
      </c>
      <c r="E113" t="s">
        <v>47</v>
      </c>
      <c r="F113">
        <v>21</v>
      </c>
      <c r="G113">
        <v>14</v>
      </c>
      <c r="H113">
        <v>7</v>
      </c>
      <c r="I113">
        <v>0</v>
      </c>
      <c r="J113">
        <v>0</v>
      </c>
      <c r="K113">
        <v>0</v>
      </c>
      <c r="L113">
        <v>0</v>
      </c>
      <c r="M113">
        <v>0</v>
      </c>
      <c r="N113">
        <v>178</v>
      </c>
      <c r="O113">
        <v>626</v>
      </c>
      <c r="P113">
        <v>3.52</v>
      </c>
      <c r="Q113">
        <v>4</v>
      </c>
      <c r="R113">
        <v>34</v>
      </c>
      <c r="S113">
        <v>30</v>
      </c>
      <c r="T113">
        <v>287</v>
      </c>
      <c r="U113">
        <v>9.57</v>
      </c>
      <c r="V113">
        <v>0</v>
      </c>
      <c r="Y113">
        <v>111</v>
      </c>
      <c r="Z113">
        <v>141</v>
      </c>
      <c r="AA113">
        <v>149.30000000000001</v>
      </c>
      <c r="AB113">
        <v>126.3</v>
      </c>
      <c r="AD113">
        <v>32</v>
      </c>
      <c r="AF113" s="2">
        <f t="shared" si="1"/>
        <v>7.9285714285714288</v>
      </c>
    </row>
    <row r="114" spans="1:32" x14ac:dyDescent="0.25">
      <c r="A114">
        <v>58</v>
      </c>
      <c r="B114" t="s">
        <v>240</v>
      </c>
      <c r="C114" t="s">
        <v>2487</v>
      </c>
      <c r="D114" t="s">
        <v>1862</v>
      </c>
      <c r="E114" t="s">
        <v>87</v>
      </c>
      <c r="F114">
        <v>24</v>
      </c>
      <c r="G114">
        <v>16</v>
      </c>
      <c r="H114">
        <v>10</v>
      </c>
      <c r="I114">
        <v>0</v>
      </c>
      <c r="J114">
        <v>0</v>
      </c>
      <c r="K114">
        <v>0</v>
      </c>
      <c r="L114">
        <v>0</v>
      </c>
      <c r="M114">
        <v>0</v>
      </c>
      <c r="N114">
        <v>1</v>
      </c>
      <c r="O114">
        <v>7</v>
      </c>
      <c r="P114">
        <v>7</v>
      </c>
      <c r="Q114">
        <v>0</v>
      </c>
      <c r="R114">
        <v>95</v>
      </c>
      <c r="S114">
        <v>62</v>
      </c>
      <c r="T114">
        <v>768</v>
      </c>
      <c r="U114">
        <v>12.39</v>
      </c>
      <c r="V114">
        <v>8</v>
      </c>
      <c r="Y114">
        <v>126</v>
      </c>
      <c r="Z114">
        <v>188</v>
      </c>
      <c r="AA114">
        <v>196.5</v>
      </c>
      <c r="AB114">
        <v>162.5</v>
      </c>
      <c r="AC114">
        <v>15</v>
      </c>
      <c r="AD114">
        <v>22</v>
      </c>
      <c r="AE114">
        <v>58</v>
      </c>
      <c r="AF114" s="2">
        <f t="shared" si="1"/>
        <v>7.875</v>
      </c>
    </row>
    <row r="115" spans="1:32" x14ac:dyDescent="0.25">
      <c r="A115">
        <v>108</v>
      </c>
      <c r="B115" t="s">
        <v>103</v>
      </c>
      <c r="C115" t="s">
        <v>2546</v>
      </c>
      <c r="D115" t="s">
        <v>1870</v>
      </c>
      <c r="E115" t="s">
        <v>87</v>
      </c>
      <c r="F115">
        <v>23</v>
      </c>
      <c r="G115">
        <v>14</v>
      </c>
      <c r="H115">
        <v>12</v>
      </c>
      <c r="I115">
        <v>0</v>
      </c>
      <c r="J115">
        <v>0</v>
      </c>
      <c r="K115">
        <v>0</v>
      </c>
      <c r="L115">
        <v>0</v>
      </c>
      <c r="M115">
        <v>0</v>
      </c>
      <c r="N115">
        <v>1</v>
      </c>
      <c r="O115">
        <v>4</v>
      </c>
      <c r="P115">
        <v>4</v>
      </c>
      <c r="Q115">
        <v>0</v>
      </c>
      <c r="R115">
        <v>96</v>
      </c>
      <c r="S115">
        <v>48</v>
      </c>
      <c r="T115">
        <v>680</v>
      </c>
      <c r="U115">
        <v>14.17</v>
      </c>
      <c r="V115">
        <v>7</v>
      </c>
      <c r="Y115">
        <v>110</v>
      </c>
      <c r="Z115">
        <v>158</v>
      </c>
      <c r="AA115">
        <v>161.4</v>
      </c>
      <c r="AB115">
        <v>134.4</v>
      </c>
      <c r="AD115">
        <v>31</v>
      </c>
      <c r="AF115" s="2">
        <f t="shared" si="1"/>
        <v>7.8571428571428568</v>
      </c>
    </row>
    <row r="116" spans="1:32" x14ac:dyDescent="0.25">
      <c r="A116">
        <v>136</v>
      </c>
      <c r="B116" t="s">
        <v>192</v>
      </c>
      <c r="C116" t="s">
        <v>2576</v>
      </c>
      <c r="D116" t="s">
        <v>1811</v>
      </c>
      <c r="E116" t="s">
        <v>87</v>
      </c>
      <c r="F116">
        <v>24</v>
      </c>
      <c r="G116">
        <v>11</v>
      </c>
      <c r="H116">
        <v>10</v>
      </c>
      <c r="I116">
        <v>0</v>
      </c>
      <c r="J116">
        <v>0</v>
      </c>
      <c r="K116">
        <v>0</v>
      </c>
      <c r="L116">
        <v>0</v>
      </c>
      <c r="M116">
        <v>0</v>
      </c>
      <c r="N116">
        <v>4</v>
      </c>
      <c r="O116">
        <v>4</v>
      </c>
      <c r="P116">
        <v>1</v>
      </c>
      <c r="Q116">
        <v>0</v>
      </c>
      <c r="R116">
        <v>84</v>
      </c>
      <c r="S116">
        <v>59</v>
      </c>
      <c r="T116">
        <v>731</v>
      </c>
      <c r="U116">
        <v>12.39</v>
      </c>
      <c r="V116">
        <v>2</v>
      </c>
      <c r="Y116">
        <v>86</v>
      </c>
      <c r="Z116">
        <v>145</v>
      </c>
      <c r="AA116">
        <v>147.5</v>
      </c>
      <c r="AB116">
        <v>115</v>
      </c>
      <c r="AD116">
        <v>48</v>
      </c>
      <c r="AF116" s="2">
        <f t="shared" si="1"/>
        <v>7.8181818181818183</v>
      </c>
    </row>
    <row r="117" spans="1:32" hidden="1" x14ac:dyDescent="0.25">
      <c r="A117">
        <v>98</v>
      </c>
      <c r="B117" t="s">
        <v>201</v>
      </c>
      <c r="C117" t="s">
        <v>2536</v>
      </c>
      <c r="D117" t="s">
        <v>1887</v>
      </c>
      <c r="E117" t="s">
        <v>47</v>
      </c>
      <c r="F117">
        <v>23</v>
      </c>
      <c r="G117">
        <v>16</v>
      </c>
      <c r="H117">
        <v>2</v>
      </c>
      <c r="I117">
        <v>0</v>
      </c>
      <c r="J117">
        <v>0</v>
      </c>
      <c r="K117">
        <v>0</v>
      </c>
      <c r="L117">
        <v>0</v>
      </c>
      <c r="M117">
        <v>0</v>
      </c>
      <c r="N117">
        <v>176</v>
      </c>
      <c r="O117">
        <v>744</v>
      </c>
      <c r="P117">
        <v>4.2300000000000004</v>
      </c>
      <c r="Q117">
        <v>5</v>
      </c>
      <c r="R117">
        <v>17</v>
      </c>
      <c r="S117">
        <v>11</v>
      </c>
      <c r="T117">
        <v>136</v>
      </c>
      <c r="U117">
        <v>12.36</v>
      </c>
      <c r="V117">
        <v>1</v>
      </c>
      <c r="Y117">
        <v>124</v>
      </c>
      <c r="Z117">
        <v>135</v>
      </c>
      <c r="AA117">
        <v>141</v>
      </c>
      <c r="AB117">
        <v>129.5</v>
      </c>
      <c r="AD117">
        <v>25</v>
      </c>
      <c r="AF117" s="2">
        <f t="shared" si="1"/>
        <v>7.75</v>
      </c>
    </row>
    <row r="118" spans="1:32" x14ac:dyDescent="0.25">
      <c r="A118">
        <v>61</v>
      </c>
      <c r="B118" t="s">
        <v>136</v>
      </c>
      <c r="C118" t="s">
        <v>2490</v>
      </c>
      <c r="D118" t="s">
        <v>1054</v>
      </c>
      <c r="E118" t="s">
        <v>87</v>
      </c>
      <c r="F118">
        <v>30</v>
      </c>
      <c r="G118">
        <v>16</v>
      </c>
      <c r="H118">
        <v>16</v>
      </c>
      <c r="I118">
        <v>0</v>
      </c>
      <c r="J118">
        <v>0</v>
      </c>
      <c r="K118">
        <v>0</v>
      </c>
      <c r="L118">
        <v>0</v>
      </c>
      <c r="M118">
        <v>0</v>
      </c>
      <c r="N118">
        <v>0</v>
      </c>
      <c r="O118">
        <v>0</v>
      </c>
      <c r="Q118">
        <v>0</v>
      </c>
      <c r="R118">
        <v>140</v>
      </c>
      <c r="S118">
        <v>83</v>
      </c>
      <c r="T118">
        <v>949</v>
      </c>
      <c r="U118">
        <v>11.43</v>
      </c>
      <c r="V118">
        <v>5</v>
      </c>
      <c r="Y118">
        <v>123</v>
      </c>
      <c r="Z118">
        <v>206</v>
      </c>
      <c r="AA118">
        <v>209.9</v>
      </c>
      <c r="AB118">
        <v>164.4</v>
      </c>
      <c r="AC118">
        <v>12</v>
      </c>
      <c r="AD118">
        <v>23</v>
      </c>
      <c r="AE118">
        <v>61</v>
      </c>
      <c r="AF118" s="2">
        <f t="shared" si="1"/>
        <v>7.6875</v>
      </c>
    </row>
    <row r="119" spans="1:32" x14ac:dyDescent="0.25">
      <c r="A119">
        <v>70</v>
      </c>
      <c r="B119" t="s">
        <v>256</v>
      </c>
      <c r="C119" t="s">
        <v>2503</v>
      </c>
      <c r="D119" t="s">
        <v>1038</v>
      </c>
      <c r="E119" t="s">
        <v>87</v>
      </c>
      <c r="F119">
        <v>24</v>
      </c>
      <c r="G119">
        <v>15</v>
      </c>
      <c r="H119">
        <v>6</v>
      </c>
      <c r="I119">
        <v>0</v>
      </c>
      <c r="J119">
        <v>1</v>
      </c>
      <c r="K119">
        <v>0</v>
      </c>
      <c r="L119">
        <v>0</v>
      </c>
      <c r="M119">
        <v>0</v>
      </c>
      <c r="N119">
        <v>0</v>
      </c>
      <c r="O119">
        <v>0</v>
      </c>
      <c r="Q119">
        <v>0</v>
      </c>
      <c r="R119">
        <v>94</v>
      </c>
      <c r="S119">
        <v>62</v>
      </c>
      <c r="T119">
        <v>869</v>
      </c>
      <c r="U119">
        <v>14.02</v>
      </c>
      <c r="V119">
        <v>5</v>
      </c>
      <c r="Y119">
        <v>115</v>
      </c>
      <c r="Z119">
        <v>177</v>
      </c>
      <c r="AA119">
        <v>180.9</v>
      </c>
      <c r="AB119">
        <v>145.9</v>
      </c>
      <c r="AC119">
        <v>4</v>
      </c>
      <c r="AD119">
        <v>27</v>
      </c>
      <c r="AE119">
        <v>70</v>
      </c>
      <c r="AF119" s="2">
        <f t="shared" si="1"/>
        <v>7.666666666666667</v>
      </c>
    </row>
    <row r="120" spans="1:32" hidden="1" x14ac:dyDescent="0.25">
      <c r="A120">
        <v>168</v>
      </c>
      <c r="B120" t="s">
        <v>144</v>
      </c>
      <c r="C120" t="s">
        <v>2611</v>
      </c>
      <c r="D120" t="s">
        <v>1049</v>
      </c>
      <c r="E120" t="s">
        <v>47</v>
      </c>
      <c r="F120">
        <v>27</v>
      </c>
      <c r="G120">
        <v>9</v>
      </c>
      <c r="H120">
        <v>2</v>
      </c>
      <c r="I120">
        <v>0</v>
      </c>
      <c r="J120">
        <v>0</v>
      </c>
      <c r="K120">
        <v>0</v>
      </c>
      <c r="L120">
        <v>0</v>
      </c>
      <c r="M120">
        <v>0</v>
      </c>
      <c r="N120">
        <v>104</v>
      </c>
      <c r="O120">
        <v>383</v>
      </c>
      <c r="P120">
        <v>3.68</v>
      </c>
      <c r="Q120">
        <v>5</v>
      </c>
      <c r="R120">
        <v>1</v>
      </c>
      <c r="S120">
        <v>1</v>
      </c>
      <c r="T120">
        <v>15</v>
      </c>
      <c r="U120">
        <v>15</v>
      </c>
      <c r="V120">
        <v>0</v>
      </c>
      <c r="Y120">
        <v>68</v>
      </c>
      <c r="Z120">
        <v>69</v>
      </c>
      <c r="AA120">
        <v>72.8</v>
      </c>
      <c r="AB120">
        <v>68.3</v>
      </c>
      <c r="AD120">
        <v>54</v>
      </c>
      <c r="AF120" s="2">
        <f t="shared" si="1"/>
        <v>7.5555555555555554</v>
      </c>
    </row>
    <row r="121" spans="1:32" hidden="1" x14ac:dyDescent="0.25">
      <c r="A121">
        <v>346</v>
      </c>
      <c r="B121" t="s">
        <v>2835</v>
      </c>
      <c r="C121" t="s">
        <v>2836</v>
      </c>
      <c r="D121" t="s">
        <v>1054</v>
      </c>
      <c r="E121" t="s">
        <v>15</v>
      </c>
      <c r="F121">
        <v>23</v>
      </c>
      <c r="G121">
        <v>2</v>
      </c>
      <c r="H121">
        <v>2</v>
      </c>
      <c r="I121">
        <v>30</v>
      </c>
      <c r="J121">
        <v>45</v>
      </c>
      <c r="K121">
        <v>295</v>
      </c>
      <c r="L121">
        <v>2</v>
      </c>
      <c r="M121">
        <v>3</v>
      </c>
      <c r="N121">
        <v>5</v>
      </c>
      <c r="O121">
        <v>30</v>
      </c>
      <c r="P121">
        <v>6</v>
      </c>
      <c r="Q121">
        <v>0</v>
      </c>
      <c r="R121">
        <v>0</v>
      </c>
      <c r="S121">
        <v>0</v>
      </c>
      <c r="T121">
        <v>0</v>
      </c>
      <c r="V121">
        <v>0</v>
      </c>
      <c r="Y121">
        <v>15</v>
      </c>
      <c r="Z121">
        <v>15</v>
      </c>
      <c r="AA121">
        <v>18.8</v>
      </c>
      <c r="AB121">
        <v>17.8</v>
      </c>
      <c r="AD121">
        <v>49</v>
      </c>
      <c r="AF121" s="2">
        <f t="shared" si="1"/>
        <v>7.5</v>
      </c>
    </row>
    <row r="122" spans="1:32" hidden="1" x14ac:dyDescent="0.25">
      <c r="A122">
        <v>101</v>
      </c>
      <c r="B122" t="s">
        <v>306</v>
      </c>
      <c r="C122" t="s">
        <v>2539</v>
      </c>
      <c r="D122" t="s">
        <v>1890</v>
      </c>
      <c r="E122" t="s">
        <v>47</v>
      </c>
      <c r="F122">
        <v>26</v>
      </c>
      <c r="G122">
        <v>16</v>
      </c>
      <c r="H122">
        <v>0</v>
      </c>
      <c r="I122">
        <v>0</v>
      </c>
      <c r="J122">
        <v>0</v>
      </c>
      <c r="K122">
        <v>0</v>
      </c>
      <c r="L122">
        <v>0</v>
      </c>
      <c r="M122">
        <v>0</v>
      </c>
      <c r="N122">
        <v>153</v>
      </c>
      <c r="O122">
        <v>591</v>
      </c>
      <c r="P122">
        <v>3.86</v>
      </c>
      <c r="Q122">
        <v>4</v>
      </c>
      <c r="R122">
        <v>60</v>
      </c>
      <c r="S122">
        <v>46</v>
      </c>
      <c r="T122">
        <v>250</v>
      </c>
      <c r="U122">
        <v>5.43</v>
      </c>
      <c r="V122">
        <v>2</v>
      </c>
      <c r="Y122">
        <v>120</v>
      </c>
      <c r="Z122">
        <v>166</v>
      </c>
      <c r="AA122">
        <v>172.1</v>
      </c>
      <c r="AB122">
        <v>143.1</v>
      </c>
      <c r="AD122">
        <v>27</v>
      </c>
      <c r="AF122" s="2">
        <f t="shared" si="1"/>
        <v>7.5</v>
      </c>
    </row>
    <row r="123" spans="1:32" x14ac:dyDescent="0.25">
      <c r="A123">
        <v>62</v>
      </c>
      <c r="B123" t="s">
        <v>2491</v>
      </c>
      <c r="C123" t="s">
        <v>2492</v>
      </c>
      <c r="D123" t="s">
        <v>815</v>
      </c>
      <c r="E123" t="s">
        <v>87</v>
      </c>
      <c r="F123">
        <v>28</v>
      </c>
      <c r="G123">
        <v>16</v>
      </c>
      <c r="H123">
        <v>16</v>
      </c>
      <c r="I123">
        <v>0</v>
      </c>
      <c r="J123">
        <v>0</v>
      </c>
      <c r="K123">
        <v>0</v>
      </c>
      <c r="L123">
        <v>0</v>
      </c>
      <c r="M123">
        <v>0</v>
      </c>
      <c r="N123">
        <v>0</v>
      </c>
      <c r="O123">
        <v>0</v>
      </c>
      <c r="Q123">
        <v>0</v>
      </c>
      <c r="R123">
        <v>109</v>
      </c>
      <c r="S123">
        <v>57</v>
      </c>
      <c r="T123">
        <v>966</v>
      </c>
      <c r="U123">
        <v>16.95</v>
      </c>
      <c r="V123">
        <v>4</v>
      </c>
      <c r="Y123">
        <v>119</v>
      </c>
      <c r="Z123">
        <v>176</v>
      </c>
      <c r="AA123">
        <v>179.6</v>
      </c>
      <c r="AB123">
        <v>147.1</v>
      </c>
      <c r="AC123">
        <v>8</v>
      </c>
      <c r="AD123">
        <v>24</v>
      </c>
      <c r="AE123">
        <v>62</v>
      </c>
      <c r="AF123" s="2">
        <f t="shared" si="1"/>
        <v>7.4375</v>
      </c>
    </row>
    <row r="124" spans="1:32" hidden="1" x14ac:dyDescent="0.25">
      <c r="A124">
        <v>103</v>
      </c>
      <c r="B124" t="s">
        <v>205</v>
      </c>
      <c r="C124" t="s">
        <v>2541</v>
      </c>
      <c r="D124" t="s">
        <v>2396</v>
      </c>
      <c r="E124" t="s">
        <v>47</v>
      </c>
      <c r="F124">
        <v>22</v>
      </c>
      <c r="G124">
        <v>16</v>
      </c>
      <c r="H124">
        <v>7</v>
      </c>
      <c r="I124">
        <v>0</v>
      </c>
      <c r="J124">
        <v>0</v>
      </c>
      <c r="K124">
        <v>0</v>
      </c>
      <c r="L124">
        <v>0</v>
      </c>
      <c r="M124">
        <v>0</v>
      </c>
      <c r="N124">
        <v>153</v>
      </c>
      <c r="O124">
        <v>556</v>
      </c>
      <c r="P124">
        <v>3.63</v>
      </c>
      <c r="Q124">
        <v>4</v>
      </c>
      <c r="R124">
        <v>34</v>
      </c>
      <c r="S124">
        <v>25</v>
      </c>
      <c r="T124">
        <v>262</v>
      </c>
      <c r="U124">
        <v>10.48</v>
      </c>
      <c r="V124">
        <v>2</v>
      </c>
      <c r="Y124">
        <v>118</v>
      </c>
      <c r="Z124">
        <v>143</v>
      </c>
      <c r="AA124">
        <v>148.80000000000001</v>
      </c>
      <c r="AB124">
        <v>130.30000000000001</v>
      </c>
      <c r="AD124">
        <v>29</v>
      </c>
      <c r="AF124" s="2">
        <f t="shared" si="1"/>
        <v>7.375</v>
      </c>
    </row>
    <row r="125" spans="1:32" x14ac:dyDescent="0.25">
      <c r="A125">
        <v>117</v>
      </c>
      <c r="B125" t="s">
        <v>173</v>
      </c>
      <c r="C125" t="s">
        <v>2556</v>
      </c>
      <c r="D125" t="s">
        <v>1887</v>
      </c>
      <c r="E125" t="s">
        <v>87</v>
      </c>
      <c r="F125">
        <v>28</v>
      </c>
      <c r="G125">
        <v>14</v>
      </c>
      <c r="H125">
        <v>11</v>
      </c>
      <c r="I125">
        <v>0</v>
      </c>
      <c r="J125">
        <v>0</v>
      </c>
      <c r="K125">
        <v>0</v>
      </c>
      <c r="L125">
        <v>0</v>
      </c>
      <c r="M125">
        <v>0</v>
      </c>
      <c r="N125">
        <v>1</v>
      </c>
      <c r="O125">
        <v>-3</v>
      </c>
      <c r="P125">
        <v>-3</v>
      </c>
      <c r="Q125">
        <v>0</v>
      </c>
      <c r="R125">
        <v>87</v>
      </c>
      <c r="S125">
        <v>53</v>
      </c>
      <c r="T125">
        <v>795</v>
      </c>
      <c r="U125">
        <v>15</v>
      </c>
      <c r="V125">
        <v>4</v>
      </c>
      <c r="Y125">
        <v>103</v>
      </c>
      <c r="Z125">
        <v>156</v>
      </c>
      <c r="AA125">
        <v>159.19999999999999</v>
      </c>
      <c r="AB125">
        <v>129.69999999999999</v>
      </c>
      <c r="AD125">
        <v>37</v>
      </c>
      <c r="AF125" s="2">
        <f t="shared" si="1"/>
        <v>7.3571428571428568</v>
      </c>
    </row>
    <row r="126" spans="1:32" hidden="1" x14ac:dyDescent="0.25">
      <c r="A126">
        <v>38</v>
      </c>
      <c r="B126" t="s">
        <v>235</v>
      </c>
      <c r="C126" t="s">
        <v>2462</v>
      </c>
      <c r="D126" t="s">
        <v>1811</v>
      </c>
      <c r="E126" t="s">
        <v>114</v>
      </c>
      <c r="F126">
        <v>23</v>
      </c>
      <c r="G126">
        <v>15</v>
      </c>
      <c r="H126">
        <v>11</v>
      </c>
      <c r="I126">
        <v>0</v>
      </c>
      <c r="J126">
        <v>0</v>
      </c>
      <c r="K126">
        <v>0</v>
      </c>
      <c r="L126">
        <v>0</v>
      </c>
      <c r="M126">
        <v>0</v>
      </c>
      <c r="N126">
        <v>1</v>
      </c>
      <c r="O126">
        <v>14</v>
      </c>
      <c r="P126">
        <v>14</v>
      </c>
      <c r="Q126">
        <v>0</v>
      </c>
      <c r="R126">
        <v>115</v>
      </c>
      <c r="S126">
        <v>64</v>
      </c>
      <c r="T126">
        <v>722</v>
      </c>
      <c r="U126">
        <v>11.28</v>
      </c>
      <c r="V126">
        <v>6</v>
      </c>
      <c r="Y126">
        <v>110</v>
      </c>
      <c r="Z126">
        <v>174</v>
      </c>
      <c r="AA126">
        <v>176.6</v>
      </c>
      <c r="AB126">
        <v>141.6</v>
      </c>
      <c r="AC126">
        <v>28</v>
      </c>
      <c r="AD126">
        <v>5</v>
      </c>
      <c r="AE126">
        <v>38</v>
      </c>
      <c r="AF126" s="2">
        <f t="shared" si="1"/>
        <v>7.333333333333333</v>
      </c>
    </row>
    <row r="127" spans="1:32" x14ac:dyDescent="0.25">
      <c r="A127">
        <v>65</v>
      </c>
      <c r="B127" t="s">
        <v>106</v>
      </c>
      <c r="C127" t="s">
        <v>2497</v>
      </c>
      <c r="D127" t="s">
        <v>1044</v>
      </c>
      <c r="E127" t="s">
        <v>87</v>
      </c>
      <c r="F127">
        <v>29</v>
      </c>
      <c r="G127">
        <v>16</v>
      </c>
      <c r="H127">
        <v>16</v>
      </c>
      <c r="I127">
        <v>0</v>
      </c>
      <c r="J127">
        <v>0</v>
      </c>
      <c r="K127">
        <v>0</v>
      </c>
      <c r="L127">
        <v>0</v>
      </c>
      <c r="M127">
        <v>0</v>
      </c>
      <c r="N127">
        <v>1</v>
      </c>
      <c r="O127">
        <v>-4</v>
      </c>
      <c r="P127">
        <v>-4</v>
      </c>
      <c r="Q127">
        <v>0</v>
      </c>
      <c r="R127">
        <v>132</v>
      </c>
      <c r="S127">
        <v>69</v>
      </c>
      <c r="T127">
        <v>838</v>
      </c>
      <c r="U127">
        <v>12.14</v>
      </c>
      <c r="V127">
        <v>6</v>
      </c>
      <c r="Y127">
        <v>117</v>
      </c>
      <c r="Z127">
        <v>186</v>
      </c>
      <c r="AA127">
        <v>190.4</v>
      </c>
      <c r="AB127">
        <v>151.9</v>
      </c>
      <c r="AC127">
        <v>6</v>
      </c>
      <c r="AD127">
        <v>25</v>
      </c>
      <c r="AE127">
        <v>65</v>
      </c>
      <c r="AF127" s="2">
        <f t="shared" si="1"/>
        <v>7.3125</v>
      </c>
    </row>
    <row r="128" spans="1:32" x14ac:dyDescent="0.25">
      <c r="A128">
        <v>66</v>
      </c>
      <c r="B128" t="s">
        <v>220</v>
      </c>
      <c r="C128" t="s">
        <v>2498</v>
      </c>
      <c r="D128" t="s">
        <v>1053</v>
      </c>
      <c r="E128" t="s">
        <v>87</v>
      </c>
      <c r="F128">
        <v>25</v>
      </c>
      <c r="G128">
        <v>16</v>
      </c>
      <c r="H128">
        <v>16</v>
      </c>
      <c r="I128">
        <v>0</v>
      </c>
      <c r="J128">
        <v>0</v>
      </c>
      <c r="K128">
        <v>0</v>
      </c>
      <c r="L128">
        <v>0</v>
      </c>
      <c r="M128">
        <v>0</v>
      </c>
      <c r="N128">
        <v>0</v>
      </c>
      <c r="O128">
        <v>0</v>
      </c>
      <c r="Q128">
        <v>0</v>
      </c>
      <c r="R128">
        <v>105</v>
      </c>
      <c r="S128">
        <v>58</v>
      </c>
      <c r="T128">
        <v>847</v>
      </c>
      <c r="U128">
        <v>14.6</v>
      </c>
      <c r="V128">
        <v>6</v>
      </c>
      <c r="Y128">
        <v>117</v>
      </c>
      <c r="Z128">
        <v>175</v>
      </c>
      <c r="AA128">
        <v>179.7</v>
      </c>
      <c r="AB128">
        <v>145.69999999999999</v>
      </c>
      <c r="AC128">
        <v>6</v>
      </c>
      <c r="AD128">
        <v>26</v>
      </c>
      <c r="AE128">
        <v>66</v>
      </c>
      <c r="AF128" s="2">
        <f t="shared" si="1"/>
        <v>7.3125</v>
      </c>
    </row>
    <row r="129" spans="1:32" hidden="1" x14ac:dyDescent="0.25">
      <c r="A129">
        <v>111</v>
      </c>
      <c r="B129" t="s">
        <v>186</v>
      </c>
      <c r="C129" t="s">
        <v>2549</v>
      </c>
      <c r="D129" t="s">
        <v>1831</v>
      </c>
      <c r="E129" t="s">
        <v>47</v>
      </c>
      <c r="F129">
        <v>30</v>
      </c>
      <c r="G129">
        <v>15</v>
      </c>
      <c r="H129">
        <v>10</v>
      </c>
      <c r="I129">
        <v>0</v>
      </c>
      <c r="J129">
        <v>0</v>
      </c>
      <c r="K129">
        <v>0</v>
      </c>
      <c r="L129">
        <v>0</v>
      </c>
      <c r="M129">
        <v>0</v>
      </c>
      <c r="N129">
        <v>198</v>
      </c>
      <c r="O129">
        <v>680</v>
      </c>
      <c r="P129">
        <v>3.43</v>
      </c>
      <c r="Q129">
        <v>6</v>
      </c>
      <c r="R129">
        <v>15</v>
      </c>
      <c r="S129">
        <v>8</v>
      </c>
      <c r="T129">
        <v>52</v>
      </c>
      <c r="U129">
        <v>6.5</v>
      </c>
      <c r="V129">
        <v>1</v>
      </c>
      <c r="Y129">
        <v>109</v>
      </c>
      <c r="Z129">
        <v>117</v>
      </c>
      <c r="AA129">
        <v>123.2</v>
      </c>
      <c r="AB129">
        <v>113.2</v>
      </c>
      <c r="AD129">
        <v>35</v>
      </c>
      <c r="AF129" s="2">
        <f t="shared" si="1"/>
        <v>7.2666666666666666</v>
      </c>
    </row>
    <row r="130" spans="1:32" hidden="1" x14ac:dyDescent="0.25">
      <c r="A130">
        <v>104</v>
      </c>
      <c r="B130" t="s">
        <v>117</v>
      </c>
      <c r="C130" t="s">
        <v>2542</v>
      </c>
      <c r="D130" t="s">
        <v>1872</v>
      </c>
      <c r="E130" t="s">
        <v>47</v>
      </c>
      <c r="F130">
        <v>24</v>
      </c>
      <c r="G130">
        <v>16</v>
      </c>
      <c r="H130">
        <v>16</v>
      </c>
      <c r="I130">
        <v>0</v>
      </c>
      <c r="J130">
        <v>0</v>
      </c>
      <c r="K130">
        <v>0</v>
      </c>
      <c r="L130">
        <v>0</v>
      </c>
      <c r="M130">
        <v>0</v>
      </c>
      <c r="N130">
        <v>206</v>
      </c>
      <c r="O130">
        <v>853</v>
      </c>
      <c r="P130">
        <v>4.1399999999999997</v>
      </c>
      <c r="Q130">
        <v>2</v>
      </c>
      <c r="R130">
        <v>42</v>
      </c>
      <c r="S130">
        <v>28</v>
      </c>
      <c r="T130">
        <v>182</v>
      </c>
      <c r="U130">
        <v>6.5</v>
      </c>
      <c r="V130">
        <v>0</v>
      </c>
      <c r="W130">
        <v>1</v>
      </c>
      <c r="Y130">
        <v>116</v>
      </c>
      <c r="Z130">
        <v>144</v>
      </c>
      <c r="AA130">
        <v>150.5</v>
      </c>
      <c r="AB130">
        <v>129.5</v>
      </c>
      <c r="AD130">
        <v>30</v>
      </c>
      <c r="AF130" s="2">
        <f t="shared" si="1"/>
        <v>7.25</v>
      </c>
    </row>
    <row r="131" spans="1:32" x14ac:dyDescent="0.25">
      <c r="A131">
        <v>112</v>
      </c>
      <c r="B131" t="s">
        <v>2550</v>
      </c>
      <c r="C131" t="s">
        <v>2551</v>
      </c>
      <c r="D131" t="s">
        <v>1051</v>
      </c>
      <c r="E131" t="s">
        <v>87</v>
      </c>
      <c r="F131">
        <v>32</v>
      </c>
      <c r="G131">
        <v>15</v>
      </c>
      <c r="H131">
        <v>10</v>
      </c>
      <c r="I131">
        <v>0</v>
      </c>
      <c r="J131">
        <v>0</v>
      </c>
      <c r="K131">
        <v>0</v>
      </c>
      <c r="L131">
        <v>0</v>
      </c>
      <c r="M131">
        <v>0</v>
      </c>
      <c r="N131">
        <v>10</v>
      </c>
      <c r="O131">
        <v>39</v>
      </c>
      <c r="P131">
        <v>3.9</v>
      </c>
      <c r="Q131">
        <v>0</v>
      </c>
      <c r="R131">
        <v>70</v>
      </c>
      <c r="S131">
        <v>53</v>
      </c>
      <c r="T131">
        <v>787</v>
      </c>
      <c r="U131">
        <v>14.85</v>
      </c>
      <c r="V131">
        <v>4</v>
      </c>
      <c r="Y131">
        <v>107</v>
      </c>
      <c r="Z131">
        <v>160</v>
      </c>
      <c r="AA131">
        <v>162.6</v>
      </c>
      <c r="AB131">
        <v>133.1</v>
      </c>
      <c r="AD131">
        <v>35</v>
      </c>
      <c r="AF131" s="2">
        <f t="shared" ref="AF131:AF194" si="2">Y131/G131</f>
        <v>7.1333333333333337</v>
      </c>
    </row>
    <row r="132" spans="1:32" x14ac:dyDescent="0.25">
      <c r="A132">
        <v>113</v>
      </c>
      <c r="B132" t="s">
        <v>194</v>
      </c>
      <c r="C132" t="s">
        <v>2552</v>
      </c>
      <c r="D132" t="s">
        <v>1052</v>
      </c>
      <c r="E132" t="s">
        <v>87</v>
      </c>
      <c r="F132">
        <v>28</v>
      </c>
      <c r="G132">
        <v>15</v>
      </c>
      <c r="H132">
        <v>15</v>
      </c>
      <c r="I132">
        <v>1</v>
      </c>
      <c r="J132">
        <v>1</v>
      </c>
      <c r="K132">
        <v>51</v>
      </c>
      <c r="L132">
        <v>1</v>
      </c>
      <c r="M132">
        <v>0</v>
      </c>
      <c r="N132">
        <v>4</v>
      </c>
      <c r="O132">
        <v>10</v>
      </c>
      <c r="P132">
        <v>2.5</v>
      </c>
      <c r="Q132">
        <v>0</v>
      </c>
      <c r="R132">
        <v>96</v>
      </c>
      <c r="S132">
        <v>67</v>
      </c>
      <c r="T132">
        <v>703</v>
      </c>
      <c r="U132">
        <v>10.49</v>
      </c>
      <c r="V132">
        <v>5</v>
      </c>
      <c r="Y132">
        <v>107</v>
      </c>
      <c r="Z132">
        <v>174</v>
      </c>
      <c r="AA132">
        <v>177.3</v>
      </c>
      <c r="AB132">
        <v>140.80000000000001</v>
      </c>
      <c r="AD132">
        <v>32</v>
      </c>
      <c r="AF132" s="2">
        <f t="shared" si="2"/>
        <v>7.1333333333333337</v>
      </c>
    </row>
    <row r="133" spans="1:32" x14ac:dyDescent="0.25">
      <c r="A133">
        <v>114</v>
      </c>
      <c r="B133" t="s">
        <v>125</v>
      </c>
      <c r="C133" t="s">
        <v>2553</v>
      </c>
      <c r="D133" t="s">
        <v>1038</v>
      </c>
      <c r="E133" t="s">
        <v>87</v>
      </c>
      <c r="F133">
        <v>24</v>
      </c>
      <c r="G133">
        <v>15</v>
      </c>
      <c r="H133">
        <v>14</v>
      </c>
      <c r="I133">
        <v>0</v>
      </c>
      <c r="J133">
        <v>0</v>
      </c>
      <c r="K133">
        <v>0</v>
      </c>
      <c r="L133">
        <v>0</v>
      </c>
      <c r="M133">
        <v>0</v>
      </c>
      <c r="N133">
        <v>0</v>
      </c>
      <c r="O133">
        <v>0</v>
      </c>
      <c r="Q133">
        <v>0</v>
      </c>
      <c r="R133">
        <v>70</v>
      </c>
      <c r="S133">
        <v>39</v>
      </c>
      <c r="T133">
        <v>593</v>
      </c>
      <c r="U133">
        <v>15.21</v>
      </c>
      <c r="V133">
        <v>8</v>
      </c>
      <c r="Y133">
        <v>107</v>
      </c>
      <c r="Z133">
        <v>146</v>
      </c>
      <c r="AA133">
        <v>149.30000000000001</v>
      </c>
      <c r="AB133">
        <v>126.8</v>
      </c>
      <c r="AD133">
        <v>33</v>
      </c>
      <c r="AF133" s="2">
        <f t="shared" si="2"/>
        <v>7.1333333333333337</v>
      </c>
    </row>
    <row r="134" spans="1:32" hidden="1" x14ac:dyDescent="0.25">
      <c r="A134">
        <v>35</v>
      </c>
      <c r="B134" t="s">
        <v>2458</v>
      </c>
      <c r="C134" t="s">
        <v>2459</v>
      </c>
      <c r="D134" t="s">
        <v>1865</v>
      </c>
      <c r="E134" t="s">
        <v>114</v>
      </c>
      <c r="F134">
        <v>31</v>
      </c>
      <c r="G134">
        <v>16</v>
      </c>
      <c r="H134">
        <v>13</v>
      </c>
      <c r="I134">
        <v>0</v>
      </c>
      <c r="J134">
        <v>0</v>
      </c>
      <c r="K134">
        <v>0</v>
      </c>
      <c r="L134">
        <v>0</v>
      </c>
      <c r="M134">
        <v>0</v>
      </c>
      <c r="N134">
        <v>0</v>
      </c>
      <c r="O134">
        <v>0</v>
      </c>
      <c r="Q134">
        <v>0</v>
      </c>
      <c r="R134">
        <v>96</v>
      </c>
      <c r="S134">
        <v>57</v>
      </c>
      <c r="T134">
        <v>520</v>
      </c>
      <c r="U134">
        <v>9.1199999999999992</v>
      </c>
      <c r="V134">
        <v>10</v>
      </c>
      <c r="W134">
        <v>1</v>
      </c>
      <c r="Y134">
        <v>114</v>
      </c>
      <c r="Z134">
        <v>171</v>
      </c>
      <c r="AA134">
        <v>174</v>
      </c>
      <c r="AB134">
        <v>142.5</v>
      </c>
      <c r="AC134">
        <v>32</v>
      </c>
      <c r="AD134">
        <v>4</v>
      </c>
      <c r="AE134">
        <v>35</v>
      </c>
      <c r="AF134" s="2">
        <f t="shared" si="2"/>
        <v>7.125</v>
      </c>
    </row>
    <row r="135" spans="1:32" hidden="1" x14ac:dyDescent="0.25">
      <c r="A135">
        <v>122</v>
      </c>
      <c r="B135" t="s">
        <v>121</v>
      </c>
      <c r="C135" t="s">
        <v>2562</v>
      </c>
      <c r="D135" t="s">
        <v>1882</v>
      </c>
      <c r="E135" t="s">
        <v>47</v>
      </c>
      <c r="F135">
        <v>24</v>
      </c>
      <c r="G135">
        <v>14</v>
      </c>
      <c r="H135">
        <v>11</v>
      </c>
      <c r="I135">
        <v>0</v>
      </c>
      <c r="J135">
        <v>0</v>
      </c>
      <c r="K135">
        <v>0</v>
      </c>
      <c r="L135">
        <v>0</v>
      </c>
      <c r="M135">
        <v>0</v>
      </c>
      <c r="N135">
        <v>165</v>
      </c>
      <c r="O135">
        <v>552</v>
      </c>
      <c r="P135">
        <v>3.35</v>
      </c>
      <c r="Q135">
        <v>4</v>
      </c>
      <c r="R135">
        <v>35</v>
      </c>
      <c r="S135">
        <v>25</v>
      </c>
      <c r="T135">
        <v>162</v>
      </c>
      <c r="U135">
        <v>6.48</v>
      </c>
      <c r="V135">
        <v>1</v>
      </c>
      <c r="Y135">
        <v>99</v>
      </c>
      <c r="Z135">
        <v>124</v>
      </c>
      <c r="AA135">
        <v>131.4</v>
      </c>
      <c r="AB135">
        <v>111.9</v>
      </c>
      <c r="AD135">
        <v>40</v>
      </c>
      <c r="AF135" s="2">
        <f t="shared" si="2"/>
        <v>7.0714285714285712</v>
      </c>
    </row>
    <row r="136" spans="1:32" x14ac:dyDescent="0.25">
      <c r="A136">
        <v>73</v>
      </c>
      <c r="B136" t="s">
        <v>255</v>
      </c>
      <c r="C136" t="s">
        <v>2507</v>
      </c>
      <c r="D136" t="s">
        <v>1047</v>
      </c>
      <c r="E136" t="s">
        <v>87</v>
      </c>
      <c r="F136">
        <v>27</v>
      </c>
      <c r="G136">
        <v>16</v>
      </c>
      <c r="H136">
        <v>16</v>
      </c>
      <c r="I136">
        <v>0</v>
      </c>
      <c r="J136">
        <v>0</v>
      </c>
      <c r="K136">
        <v>0</v>
      </c>
      <c r="L136">
        <v>0</v>
      </c>
      <c r="M136">
        <v>0</v>
      </c>
      <c r="N136">
        <v>4</v>
      </c>
      <c r="O136">
        <v>44</v>
      </c>
      <c r="P136">
        <v>11</v>
      </c>
      <c r="Q136">
        <v>0</v>
      </c>
      <c r="R136">
        <v>105</v>
      </c>
      <c r="S136">
        <v>56</v>
      </c>
      <c r="T136">
        <v>962</v>
      </c>
      <c r="U136">
        <v>17.18</v>
      </c>
      <c r="V136">
        <v>2</v>
      </c>
      <c r="Y136">
        <v>113</v>
      </c>
      <c r="Z136">
        <v>169</v>
      </c>
      <c r="AA136">
        <v>171.6</v>
      </c>
      <c r="AB136">
        <v>140.6</v>
      </c>
      <c r="AC136">
        <v>2</v>
      </c>
      <c r="AD136">
        <v>29</v>
      </c>
      <c r="AE136">
        <v>73</v>
      </c>
      <c r="AF136" s="2">
        <f t="shared" si="2"/>
        <v>7.0625</v>
      </c>
    </row>
    <row r="137" spans="1:32" hidden="1" x14ac:dyDescent="0.25">
      <c r="A137">
        <v>354</v>
      </c>
      <c r="B137" t="s">
        <v>2844</v>
      </c>
      <c r="C137" t="s">
        <v>2845</v>
      </c>
      <c r="D137" t="s">
        <v>1870</v>
      </c>
      <c r="E137" t="s">
        <v>15</v>
      </c>
      <c r="F137">
        <v>27</v>
      </c>
      <c r="G137">
        <v>2</v>
      </c>
      <c r="H137">
        <v>1</v>
      </c>
      <c r="I137">
        <v>24</v>
      </c>
      <c r="J137">
        <v>43</v>
      </c>
      <c r="K137">
        <v>265</v>
      </c>
      <c r="L137">
        <v>1</v>
      </c>
      <c r="M137">
        <v>1</v>
      </c>
      <c r="N137">
        <v>2</v>
      </c>
      <c r="O137">
        <v>15</v>
      </c>
      <c r="P137">
        <v>7.5</v>
      </c>
      <c r="Q137">
        <v>0</v>
      </c>
      <c r="R137">
        <v>0</v>
      </c>
      <c r="S137">
        <v>0</v>
      </c>
      <c r="T137">
        <v>0</v>
      </c>
      <c r="V137">
        <v>0</v>
      </c>
      <c r="Y137">
        <v>14</v>
      </c>
      <c r="Z137">
        <v>14</v>
      </c>
      <c r="AA137">
        <v>15.1</v>
      </c>
      <c r="AB137">
        <v>15.1</v>
      </c>
      <c r="AD137">
        <v>50</v>
      </c>
      <c r="AF137" s="2">
        <f t="shared" si="2"/>
        <v>7</v>
      </c>
    </row>
    <row r="138" spans="1:32" hidden="1" x14ac:dyDescent="0.25">
      <c r="A138">
        <v>425</v>
      </c>
      <c r="B138" t="s">
        <v>45</v>
      </c>
      <c r="C138" t="s">
        <v>2949</v>
      </c>
      <c r="D138" t="s">
        <v>1806</v>
      </c>
      <c r="E138" t="s">
        <v>47</v>
      </c>
      <c r="F138">
        <v>26</v>
      </c>
      <c r="G138">
        <v>1</v>
      </c>
      <c r="H138">
        <v>1</v>
      </c>
      <c r="I138">
        <v>0</v>
      </c>
      <c r="J138">
        <v>0</v>
      </c>
      <c r="K138">
        <v>0</v>
      </c>
      <c r="L138">
        <v>0</v>
      </c>
      <c r="M138">
        <v>0</v>
      </c>
      <c r="N138">
        <v>11</v>
      </c>
      <c r="O138">
        <v>23</v>
      </c>
      <c r="P138">
        <v>2.09</v>
      </c>
      <c r="Q138">
        <v>0</v>
      </c>
      <c r="R138">
        <v>9</v>
      </c>
      <c r="S138">
        <v>6</v>
      </c>
      <c r="T138">
        <v>67</v>
      </c>
      <c r="U138">
        <v>11.17</v>
      </c>
      <c r="V138">
        <v>0</v>
      </c>
      <c r="Y138">
        <v>7</v>
      </c>
      <c r="Z138">
        <v>13</v>
      </c>
      <c r="AA138">
        <v>14</v>
      </c>
      <c r="AB138">
        <v>10</v>
      </c>
      <c r="AD138">
        <v>119</v>
      </c>
      <c r="AF138" s="2">
        <f t="shared" si="2"/>
        <v>7</v>
      </c>
    </row>
    <row r="139" spans="1:32" x14ac:dyDescent="0.25">
      <c r="A139">
        <v>75</v>
      </c>
      <c r="B139" t="s">
        <v>219</v>
      </c>
      <c r="C139" t="s">
        <v>2509</v>
      </c>
      <c r="D139" t="s">
        <v>1935</v>
      </c>
      <c r="E139" t="s">
        <v>87</v>
      </c>
      <c r="F139">
        <v>27</v>
      </c>
      <c r="G139">
        <v>16</v>
      </c>
      <c r="H139">
        <v>14</v>
      </c>
      <c r="I139">
        <v>0</v>
      </c>
      <c r="J139">
        <v>0</v>
      </c>
      <c r="K139">
        <v>0</v>
      </c>
      <c r="L139">
        <v>0</v>
      </c>
      <c r="M139">
        <v>0</v>
      </c>
      <c r="N139">
        <v>0</v>
      </c>
      <c r="O139">
        <v>0</v>
      </c>
      <c r="Q139">
        <v>0</v>
      </c>
      <c r="R139">
        <v>102</v>
      </c>
      <c r="S139">
        <v>65</v>
      </c>
      <c r="T139">
        <v>810</v>
      </c>
      <c r="U139">
        <v>12.46</v>
      </c>
      <c r="V139">
        <v>5</v>
      </c>
      <c r="Y139">
        <v>111</v>
      </c>
      <c r="Z139">
        <v>176</v>
      </c>
      <c r="AA139">
        <v>179</v>
      </c>
      <c r="AB139">
        <v>143.5</v>
      </c>
      <c r="AD139">
        <v>30</v>
      </c>
      <c r="AE139">
        <v>75</v>
      </c>
      <c r="AF139" s="2">
        <f t="shared" si="2"/>
        <v>6.9375</v>
      </c>
    </row>
    <row r="140" spans="1:32" hidden="1" x14ac:dyDescent="0.25">
      <c r="A140">
        <v>142</v>
      </c>
      <c r="B140" t="s">
        <v>172</v>
      </c>
      <c r="C140" t="s">
        <v>2583</v>
      </c>
      <c r="D140" t="s">
        <v>1935</v>
      </c>
      <c r="E140" t="s">
        <v>47</v>
      </c>
      <c r="F140">
        <v>32</v>
      </c>
      <c r="G140">
        <v>12</v>
      </c>
      <c r="H140">
        <v>4</v>
      </c>
      <c r="I140">
        <v>0</v>
      </c>
      <c r="J140">
        <v>0</v>
      </c>
      <c r="K140">
        <v>0</v>
      </c>
      <c r="L140">
        <v>0</v>
      </c>
      <c r="M140">
        <v>0</v>
      </c>
      <c r="N140">
        <v>103</v>
      </c>
      <c r="O140">
        <v>381</v>
      </c>
      <c r="P140">
        <v>3.7</v>
      </c>
      <c r="Q140">
        <v>2</v>
      </c>
      <c r="R140">
        <v>45</v>
      </c>
      <c r="S140">
        <v>37</v>
      </c>
      <c r="T140">
        <v>293</v>
      </c>
      <c r="U140">
        <v>7.92</v>
      </c>
      <c r="V140">
        <v>1</v>
      </c>
      <c r="Y140">
        <v>83</v>
      </c>
      <c r="Z140">
        <v>120</v>
      </c>
      <c r="AA140">
        <v>127.4</v>
      </c>
      <c r="AB140">
        <v>101.9</v>
      </c>
      <c r="AD140">
        <v>42</v>
      </c>
      <c r="AF140" s="2">
        <f t="shared" si="2"/>
        <v>6.916666666666667</v>
      </c>
    </row>
    <row r="141" spans="1:32" hidden="1" x14ac:dyDescent="0.25">
      <c r="A141">
        <v>109</v>
      </c>
      <c r="B141" t="s">
        <v>290</v>
      </c>
      <c r="C141" t="s">
        <v>2547</v>
      </c>
      <c r="D141" t="s">
        <v>1053</v>
      </c>
      <c r="E141" t="s">
        <v>47</v>
      </c>
      <c r="F141">
        <v>23</v>
      </c>
      <c r="G141">
        <v>16</v>
      </c>
      <c r="H141">
        <v>6</v>
      </c>
      <c r="I141">
        <v>0</v>
      </c>
      <c r="J141">
        <v>0</v>
      </c>
      <c r="K141">
        <v>0</v>
      </c>
      <c r="L141">
        <v>0</v>
      </c>
      <c r="M141">
        <v>0</v>
      </c>
      <c r="N141">
        <v>133</v>
      </c>
      <c r="O141">
        <v>644</v>
      </c>
      <c r="P141">
        <v>4.84</v>
      </c>
      <c r="Q141">
        <v>3</v>
      </c>
      <c r="R141">
        <v>48</v>
      </c>
      <c r="S141">
        <v>32</v>
      </c>
      <c r="T141">
        <v>239</v>
      </c>
      <c r="U141">
        <v>7.47</v>
      </c>
      <c r="V141">
        <v>1</v>
      </c>
      <c r="W141">
        <v>1</v>
      </c>
      <c r="Y141">
        <v>110</v>
      </c>
      <c r="Z141">
        <v>142</v>
      </c>
      <c r="AA141">
        <v>150.30000000000001</v>
      </c>
      <c r="AB141">
        <v>126.3</v>
      </c>
      <c r="AD141">
        <v>34</v>
      </c>
      <c r="AF141" s="2">
        <f t="shared" si="2"/>
        <v>6.875</v>
      </c>
    </row>
    <row r="142" spans="1:32" hidden="1" x14ac:dyDescent="0.25">
      <c r="A142">
        <v>110</v>
      </c>
      <c r="B142" t="s">
        <v>196</v>
      </c>
      <c r="C142" t="s">
        <v>2548</v>
      </c>
      <c r="D142" t="s">
        <v>1834</v>
      </c>
      <c r="E142" t="s">
        <v>47</v>
      </c>
      <c r="F142">
        <v>26</v>
      </c>
      <c r="G142">
        <v>16</v>
      </c>
      <c r="H142">
        <v>2</v>
      </c>
      <c r="I142">
        <v>0</v>
      </c>
      <c r="J142">
        <v>0</v>
      </c>
      <c r="K142">
        <v>0</v>
      </c>
      <c r="L142">
        <v>0</v>
      </c>
      <c r="M142">
        <v>0</v>
      </c>
      <c r="N142">
        <v>105</v>
      </c>
      <c r="O142">
        <v>458</v>
      </c>
      <c r="P142">
        <v>4.3600000000000003</v>
      </c>
      <c r="Q142">
        <v>2</v>
      </c>
      <c r="R142">
        <v>60</v>
      </c>
      <c r="S142">
        <v>43</v>
      </c>
      <c r="T142">
        <v>389</v>
      </c>
      <c r="U142">
        <v>9.0500000000000007</v>
      </c>
      <c r="V142">
        <v>2</v>
      </c>
      <c r="Y142">
        <v>109</v>
      </c>
      <c r="Z142">
        <v>152</v>
      </c>
      <c r="AA142">
        <v>157.69999999999999</v>
      </c>
      <c r="AB142">
        <v>130.19999999999999</v>
      </c>
      <c r="AD142">
        <v>36</v>
      </c>
      <c r="AF142" s="2">
        <f t="shared" si="2"/>
        <v>6.8125</v>
      </c>
    </row>
    <row r="143" spans="1:32" hidden="1" x14ac:dyDescent="0.25">
      <c r="A143">
        <v>171</v>
      </c>
      <c r="B143" t="s">
        <v>158</v>
      </c>
      <c r="C143" t="s">
        <v>2614</v>
      </c>
      <c r="D143" t="s">
        <v>2398</v>
      </c>
      <c r="E143" t="s">
        <v>47</v>
      </c>
      <c r="F143">
        <v>32</v>
      </c>
      <c r="G143">
        <v>10</v>
      </c>
      <c r="H143">
        <v>7</v>
      </c>
      <c r="I143">
        <v>0</v>
      </c>
      <c r="J143">
        <v>0</v>
      </c>
      <c r="K143">
        <v>0</v>
      </c>
      <c r="L143">
        <v>0</v>
      </c>
      <c r="M143">
        <v>0</v>
      </c>
      <c r="N143">
        <v>156</v>
      </c>
      <c r="O143">
        <v>529</v>
      </c>
      <c r="P143">
        <v>3.39</v>
      </c>
      <c r="Q143">
        <v>2</v>
      </c>
      <c r="R143">
        <v>19</v>
      </c>
      <c r="S143">
        <v>11</v>
      </c>
      <c r="T143">
        <v>70</v>
      </c>
      <c r="U143">
        <v>6.36</v>
      </c>
      <c r="V143">
        <v>0</v>
      </c>
      <c r="Y143">
        <v>68</v>
      </c>
      <c r="Z143">
        <v>79</v>
      </c>
      <c r="AA143">
        <v>83.9</v>
      </c>
      <c r="AB143">
        <v>73.400000000000006</v>
      </c>
      <c r="AD143">
        <v>53</v>
      </c>
      <c r="AF143" s="2">
        <f t="shared" si="2"/>
        <v>6.8</v>
      </c>
    </row>
    <row r="144" spans="1:32" x14ac:dyDescent="0.25">
      <c r="A144">
        <v>116</v>
      </c>
      <c r="B144" t="s">
        <v>223</v>
      </c>
      <c r="C144" t="s">
        <v>2555</v>
      </c>
      <c r="D144" t="s">
        <v>1865</v>
      </c>
      <c r="E144" t="s">
        <v>87</v>
      </c>
      <c r="F144">
        <v>25</v>
      </c>
      <c r="G144">
        <v>16</v>
      </c>
      <c r="H144">
        <v>13</v>
      </c>
      <c r="I144">
        <v>0</v>
      </c>
      <c r="J144">
        <v>0</v>
      </c>
      <c r="K144">
        <v>0</v>
      </c>
      <c r="L144">
        <v>0</v>
      </c>
      <c r="M144">
        <v>0</v>
      </c>
      <c r="N144">
        <v>0</v>
      </c>
      <c r="O144">
        <v>0</v>
      </c>
      <c r="Q144">
        <v>0</v>
      </c>
      <c r="R144">
        <v>80</v>
      </c>
      <c r="S144">
        <v>44</v>
      </c>
      <c r="T144">
        <v>703</v>
      </c>
      <c r="U144">
        <v>15.98</v>
      </c>
      <c r="V144">
        <v>6</v>
      </c>
      <c r="Y144">
        <v>106</v>
      </c>
      <c r="Z144">
        <v>150</v>
      </c>
      <c r="AA144">
        <v>153.30000000000001</v>
      </c>
      <c r="AB144">
        <v>128.30000000000001</v>
      </c>
      <c r="AD144">
        <v>36</v>
      </c>
      <c r="AF144" s="2">
        <f t="shared" si="2"/>
        <v>6.625</v>
      </c>
    </row>
    <row r="145" spans="1:32" x14ac:dyDescent="0.25">
      <c r="A145">
        <v>123</v>
      </c>
      <c r="B145" t="s">
        <v>184</v>
      </c>
      <c r="C145" t="s">
        <v>2563</v>
      </c>
      <c r="D145" t="s">
        <v>1890</v>
      </c>
      <c r="E145" t="s">
        <v>87</v>
      </c>
      <c r="F145">
        <v>31</v>
      </c>
      <c r="G145">
        <v>15</v>
      </c>
      <c r="H145">
        <v>14</v>
      </c>
      <c r="I145">
        <v>0</v>
      </c>
      <c r="J145">
        <v>0</v>
      </c>
      <c r="K145">
        <v>0</v>
      </c>
      <c r="L145">
        <v>0</v>
      </c>
      <c r="M145">
        <v>0</v>
      </c>
      <c r="N145">
        <v>1</v>
      </c>
      <c r="O145">
        <v>4</v>
      </c>
      <c r="P145">
        <v>4</v>
      </c>
      <c r="Q145">
        <v>0</v>
      </c>
      <c r="R145">
        <v>92</v>
      </c>
      <c r="S145">
        <v>52</v>
      </c>
      <c r="T145">
        <v>748</v>
      </c>
      <c r="U145">
        <v>14.38</v>
      </c>
      <c r="V145">
        <v>4</v>
      </c>
      <c r="Y145">
        <v>99</v>
      </c>
      <c r="Z145">
        <v>151</v>
      </c>
      <c r="AA145">
        <v>154.19999999999999</v>
      </c>
      <c r="AB145">
        <v>125.2</v>
      </c>
      <c r="AD145">
        <v>38</v>
      </c>
      <c r="AF145" s="2">
        <f t="shared" si="2"/>
        <v>6.6</v>
      </c>
    </row>
    <row r="146" spans="1:32" x14ac:dyDescent="0.25">
      <c r="A146">
        <v>127</v>
      </c>
      <c r="B146" t="s">
        <v>246</v>
      </c>
      <c r="C146" t="s">
        <v>2567</v>
      </c>
      <c r="D146" t="s">
        <v>1039</v>
      </c>
      <c r="E146" t="s">
        <v>87</v>
      </c>
      <c r="F146">
        <v>26</v>
      </c>
      <c r="G146">
        <v>14</v>
      </c>
      <c r="H146">
        <v>14</v>
      </c>
      <c r="I146">
        <v>0</v>
      </c>
      <c r="J146">
        <v>1</v>
      </c>
      <c r="K146">
        <v>0</v>
      </c>
      <c r="L146">
        <v>0</v>
      </c>
      <c r="M146">
        <v>0</v>
      </c>
      <c r="N146">
        <v>1</v>
      </c>
      <c r="O146">
        <v>17</v>
      </c>
      <c r="P146">
        <v>17</v>
      </c>
      <c r="Q146">
        <v>0</v>
      </c>
      <c r="R146">
        <v>96</v>
      </c>
      <c r="S146">
        <v>56</v>
      </c>
      <c r="T146">
        <v>702</v>
      </c>
      <c r="U146">
        <v>12.54</v>
      </c>
      <c r="V146">
        <v>3</v>
      </c>
      <c r="W146">
        <v>1</v>
      </c>
      <c r="Y146">
        <v>92</v>
      </c>
      <c r="Z146">
        <v>148</v>
      </c>
      <c r="AA146">
        <v>150.9</v>
      </c>
      <c r="AB146">
        <v>119.9</v>
      </c>
      <c r="AD146">
        <v>42</v>
      </c>
      <c r="AF146" s="2">
        <f t="shared" si="2"/>
        <v>6.5714285714285712</v>
      </c>
    </row>
    <row r="147" spans="1:32" hidden="1" x14ac:dyDescent="0.25">
      <c r="A147">
        <v>210</v>
      </c>
      <c r="B147" t="s">
        <v>2658</v>
      </c>
      <c r="C147" t="s">
        <v>2659</v>
      </c>
      <c r="D147" t="s">
        <v>1043</v>
      </c>
      <c r="E147" t="s">
        <v>15</v>
      </c>
      <c r="F147">
        <v>27</v>
      </c>
      <c r="G147">
        <v>8</v>
      </c>
      <c r="H147">
        <v>7</v>
      </c>
      <c r="I147">
        <v>125</v>
      </c>
      <c r="J147">
        <v>223</v>
      </c>
      <c r="K147">
        <v>1412</v>
      </c>
      <c r="L147">
        <v>5</v>
      </c>
      <c r="M147">
        <v>6</v>
      </c>
      <c r="N147">
        <v>4</v>
      </c>
      <c r="O147">
        <v>2</v>
      </c>
      <c r="P147">
        <v>0.5</v>
      </c>
      <c r="Q147">
        <v>0</v>
      </c>
      <c r="R147">
        <v>0</v>
      </c>
      <c r="S147">
        <v>0</v>
      </c>
      <c r="T147">
        <v>0</v>
      </c>
      <c r="V147">
        <v>0</v>
      </c>
      <c r="Y147">
        <v>51</v>
      </c>
      <c r="Z147">
        <v>51</v>
      </c>
      <c r="AA147">
        <v>66.7</v>
      </c>
      <c r="AB147">
        <v>56.7</v>
      </c>
      <c r="AD147">
        <v>39</v>
      </c>
      <c r="AF147" s="2">
        <f t="shared" si="2"/>
        <v>6.375</v>
      </c>
    </row>
    <row r="148" spans="1:32" x14ac:dyDescent="0.25">
      <c r="A148">
        <v>132</v>
      </c>
      <c r="B148" t="s">
        <v>163</v>
      </c>
      <c r="C148" t="s">
        <v>2572</v>
      </c>
      <c r="D148" t="s">
        <v>2397</v>
      </c>
      <c r="E148" t="s">
        <v>87</v>
      </c>
      <c r="F148">
        <v>31</v>
      </c>
      <c r="G148">
        <v>14</v>
      </c>
      <c r="H148">
        <v>13</v>
      </c>
      <c r="I148">
        <v>0</v>
      </c>
      <c r="J148">
        <v>0</v>
      </c>
      <c r="K148">
        <v>0</v>
      </c>
      <c r="L148">
        <v>0</v>
      </c>
      <c r="M148">
        <v>0</v>
      </c>
      <c r="N148">
        <v>3</v>
      </c>
      <c r="O148">
        <v>38</v>
      </c>
      <c r="P148">
        <v>12.67</v>
      </c>
      <c r="Q148">
        <v>0</v>
      </c>
      <c r="R148">
        <v>90</v>
      </c>
      <c r="S148">
        <v>50</v>
      </c>
      <c r="T148">
        <v>668</v>
      </c>
      <c r="U148">
        <v>13.36</v>
      </c>
      <c r="V148">
        <v>3</v>
      </c>
      <c r="Y148">
        <v>89</v>
      </c>
      <c r="Z148">
        <v>139</v>
      </c>
      <c r="AA148">
        <v>141.6</v>
      </c>
      <c r="AB148">
        <v>113.6</v>
      </c>
      <c r="AD148">
        <v>46</v>
      </c>
      <c r="AF148" s="2">
        <f t="shared" si="2"/>
        <v>6.3571428571428568</v>
      </c>
    </row>
    <row r="149" spans="1:32" hidden="1" x14ac:dyDescent="0.25">
      <c r="A149">
        <v>119</v>
      </c>
      <c r="B149" t="s">
        <v>155</v>
      </c>
      <c r="C149" t="s">
        <v>2559</v>
      </c>
      <c r="D149" t="s">
        <v>1882</v>
      </c>
      <c r="E149" t="s">
        <v>47</v>
      </c>
      <c r="F149">
        <v>26</v>
      </c>
      <c r="G149">
        <v>16</v>
      </c>
      <c r="H149">
        <v>5</v>
      </c>
      <c r="I149">
        <v>0</v>
      </c>
      <c r="J149">
        <v>0</v>
      </c>
      <c r="K149">
        <v>0</v>
      </c>
      <c r="L149">
        <v>0</v>
      </c>
      <c r="M149">
        <v>0</v>
      </c>
      <c r="N149">
        <v>84</v>
      </c>
      <c r="O149">
        <v>286</v>
      </c>
      <c r="P149">
        <v>3.4</v>
      </c>
      <c r="Q149">
        <v>3</v>
      </c>
      <c r="R149">
        <v>71</v>
      </c>
      <c r="S149">
        <v>53</v>
      </c>
      <c r="T149">
        <v>444</v>
      </c>
      <c r="U149">
        <v>8.3800000000000008</v>
      </c>
      <c r="V149">
        <v>2</v>
      </c>
      <c r="Y149">
        <v>101</v>
      </c>
      <c r="Z149">
        <v>154</v>
      </c>
      <c r="AA149">
        <v>161</v>
      </c>
      <c r="AB149">
        <v>127.5</v>
      </c>
      <c r="AD149">
        <v>37</v>
      </c>
      <c r="AF149" s="2">
        <f t="shared" si="2"/>
        <v>6.3125</v>
      </c>
    </row>
    <row r="150" spans="1:32" hidden="1" x14ac:dyDescent="0.25">
      <c r="A150">
        <v>51</v>
      </c>
      <c r="B150" t="s">
        <v>2477</v>
      </c>
      <c r="C150" t="s">
        <v>2478</v>
      </c>
      <c r="D150" t="s">
        <v>1887</v>
      </c>
      <c r="E150" t="s">
        <v>114</v>
      </c>
      <c r="F150">
        <v>33</v>
      </c>
      <c r="G150">
        <v>16</v>
      </c>
      <c r="H150">
        <v>11</v>
      </c>
      <c r="I150">
        <v>0</v>
      </c>
      <c r="J150">
        <v>0</v>
      </c>
      <c r="K150">
        <v>0</v>
      </c>
      <c r="L150">
        <v>0</v>
      </c>
      <c r="M150">
        <v>0</v>
      </c>
      <c r="N150">
        <v>2</v>
      </c>
      <c r="O150">
        <v>-2</v>
      </c>
      <c r="P150">
        <v>-1</v>
      </c>
      <c r="Q150">
        <v>1</v>
      </c>
      <c r="R150">
        <v>111</v>
      </c>
      <c r="S150">
        <v>74</v>
      </c>
      <c r="T150">
        <v>807</v>
      </c>
      <c r="U150">
        <v>10.91</v>
      </c>
      <c r="V150">
        <v>3</v>
      </c>
      <c r="Y150">
        <v>101</v>
      </c>
      <c r="Z150">
        <v>175</v>
      </c>
      <c r="AA150">
        <v>179.5</v>
      </c>
      <c r="AB150">
        <v>137.5</v>
      </c>
      <c r="AC150">
        <v>19</v>
      </c>
      <c r="AD150">
        <v>7</v>
      </c>
      <c r="AE150">
        <v>51</v>
      </c>
      <c r="AF150" s="2">
        <f t="shared" si="2"/>
        <v>6.3125</v>
      </c>
    </row>
    <row r="151" spans="1:32" hidden="1" x14ac:dyDescent="0.25">
      <c r="A151">
        <v>50</v>
      </c>
      <c r="B151" t="s">
        <v>2475</v>
      </c>
      <c r="C151" t="s">
        <v>2476</v>
      </c>
      <c r="D151" t="s">
        <v>1048</v>
      </c>
      <c r="E151" t="s">
        <v>114</v>
      </c>
      <c r="F151">
        <v>28</v>
      </c>
      <c r="G151">
        <v>16</v>
      </c>
      <c r="H151">
        <v>16</v>
      </c>
      <c r="I151">
        <v>0</v>
      </c>
      <c r="J151">
        <v>0</v>
      </c>
      <c r="K151">
        <v>0</v>
      </c>
      <c r="L151">
        <v>0</v>
      </c>
      <c r="M151">
        <v>0</v>
      </c>
      <c r="N151">
        <v>0</v>
      </c>
      <c r="O151">
        <v>0</v>
      </c>
      <c r="Q151">
        <v>0</v>
      </c>
      <c r="R151">
        <v>81</v>
      </c>
      <c r="S151">
        <v>57</v>
      </c>
      <c r="T151">
        <v>532</v>
      </c>
      <c r="U151">
        <v>9.33</v>
      </c>
      <c r="V151">
        <v>8</v>
      </c>
      <c r="Y151">
        <v>101</v>
      </c>
      <c r="Z151">
        <v>158</v>
      </c>
      <c r="AA151">
        <v>161.19999999999999</v>
      </c>
      <c r="AB151">
        <v>129.69999999999999</v>
      </c>
      <c r="AC151">
        <v>19</v>
      </c>
      <c r="AD151">
        <v>6</v>
      </c>
      <c r="AE151">
        <v>50</v>
      </c>
      <c r="AF151" s="2">
        <f t="shared" si="2"/>
        <v>6.3125</v>
      </c>
    </row>
    <row r="152" spans="1:32" x14ac:dyDescent="0.25">
      <c r="A152">
        <v>125</v>
      </c>
      <c r="B152" t="s">
        <v>137</v>
      </c>
      <c r="C152" t="s">
        <v>2565</v>
      </c>
      <c r="D152" t="s">
        <v>1045</v>
      </c>
      <c r="E152" t="s">
        <v>87</v>
      </c>
      <c r="F152">
        <v>24</v>
      </c>
      <c r="G152">
        <v>15</v>
      </c>
      <c r="H152">
        <v>6</v>
      </c>
      <c r="I152">
        <v>0</v>
      </c>
      <c r="J152">
        <v>0</v>
      </c>
      <c r="K152">
        <v>0</v>
      </c>
      <c r="L152">
        <v>0</v>
      </c>
      <c r="M152">
        <v>0</v>
      </c>
      <c r="N152">
        <v>7</v>
      </c>
      <c r="O152">
        <v>34</v>
      </c>
      <c r="P152">
        <v>4.8600000000000003</v>
      </c>
      <c r="Q152">
        <v>0</v>
      </c>
      <c r="R152">
        <v>103</v>
      </c>
      <c r="S152">
        <v>66</v>
      </c>
      <c r="T152">
        <v>789</v>
      </c>
      <c r="U152">
        <v>11.95</v>
      </c>
      <c r="V152">
        <v>3</v>
      </c>
      <c r="Y152">
        <v>94</v>
      </c>
      <c r="Z152">
        <v>160</v>
      </c>
      <c r="AA152">
        <v>166.3</v>
      </c>
      <c r="AB152">
        <v>127.3</v>
      </c>
      <c r="AD152">
        <v>40</v>
      </c>
      <c r="AF152" s="2">
        <f t="shared" si="2"/>
        <v>6.2666666666666666</v>
      </c>
    </row>
    <row r="153" spans="1:32" hidden="1" x14ac:dyDescent="0.25">
      <c r="A153">
        <v>305</v>
      </c>
      <c r="B153" t="s">
        <v>2782</v>
      </c>
      <c r="C153" t="s">
        <v>2783</v>
      </c>
      <c r="D153" t="s">
        <v>1935</v>
      </c>
      <c r="E153" t="s">
        <v>15</v>
      </c>
      <c r="F153">
        <v>26</v>
      </c>
      <c r="G153">
        <v>4</v>
      </c>
      <c r="H153">
        <v>3</v>
      </c>
      <c r="I153">
        <v>55</v>
      </c>
      <c r="J153">
        <v>112</v>
      </c>
      <c r="K153">
        <v>544</v>
      </c>
      <c r="L153">
        <v>1</v>
      </c>
      <c r="M153">
        <v>3</v>
      </c>
      <c r="N153">
        <v>7</v>
      </c>
      <c r="O153">
        <v>55</v>
      </c>
      <c r="P153">
        <v>7.86</v>
      </c>
      <c r="Q153">
        <v>0</v>
      </c>
      <c r="R153">
        <v>0</v>
      </c>
      <c r="S153">
        <v>0</v>
      </c>
      <c r="T153">
        <v>0</v>
      </c>
      <c r="V153">
        <v>0</v>
      </c>
      <c r="Y153">
        <v>25</v>
      </c>
      <c r="Z153">
        <v>25</v>
      </c>
      <c r="AA153">
        <v>31.3</v>
      </c>
      <c r="AB153">
        <v>28.3</v>
      </c>
      <c r="AD153">
        <v>47</v>
      </c>
      <c r="AF153" s="2">
        <f t="shared" si="2"/>
        <v>6.25</v>
      </c>
    </row>
    <row r="154" spans="1:32" hidden="1" x14ac:dyDescent="0.25">
      <c r="A154">
        <v>120</v>
      </c>
      <c r="B154" t="s">
        <v>170</v>
      </c>
      <c r="C154" t="s">
        <v>2560</v>
      </c>
      <c r="D154" t="s">
        <v>1862</v>
      </c>
      <c r="E154" t="s">
        <v>47</v>
      </c>
      <c r="F154">
        <v>31</v>
      </c>
      <c r="G154">
        <v>16</v>
      </c>
      <c r="H154">
        <v>11</v>
      </c>
      <c r="I154">
        <v>0</v>
      </c>
      <c r="J154">
        <v>0</v>
      </c>
      <c r="K154">
        <v>0</v>
      </c>
      <c r="L154">
        <v>0</v>
      </c>
      <c r="M154">
        <v>0</v>
      </c>
      <c r="N154">
        <v>173</v>
      </c>
      <c r="O154">
        <v>766</v>
      </c>
      <c r="P154">
        <v>4.43</v>
      </c>
      <c r="Q154">
        <v>2</v>
      </c>
      <c r="R154">
        <v>8</v>
      </c>
      <c r="S154">
        <v>8</v>
      </c>
      <c r="T154">
        <v>50</v>
      </c>
      <c r="U154">
        <v>6.25</v>
      </c>
      <c r="V154">
        <v>1</v>
      </c>
      <c r="W154">
        <v>1</v>
      </c>
      <c r="Y154">
        <v>100</v>
      </c>
      <c r="Z154">
        <v>108</v>
      </c>
      <c r="AA154">
        <v>111.6</v>
      </c>
      <c r="AB154">
        <v>103.6</v>
      </c>
      <c r="AD154">
        <v>39</v>
      </c>
      <c r="AF154" s="2">
        <f t="shared" si="2"/>
        <v>6.25</v>
      </c>
    </row>
    <row r="155" spans="1:32" x14ac:dyDescent="0.25">
      <c r="A155">
        <v>215</v>
      </c>
      <c r="B155" t="s">
        <v>160</v>
      </c>
      <c r="C155" t="s">
        <v>2666</v>
      </c>
      <c r="D155" t="s">
        <v>1047</v>
      </c>
      <c r="E155" t="s">
        <v>87</v>
      </c>
      <c r="F155">
        <v>31</v>
      </c>
      <c r="G155">
        <v>8</v>
      </c>
      <c r="H155">
        <v>8</v>
      </c>
      <c r="I155">
        <v>0</v>
      </c>
      <c r="J155">
        <v>0</v>
      </c>
      <c r="K155">
        <v>0</v>
      </c>
      <c r="L155">
        <v>0</v>
      </c>
      <c r="M155">
        <v>0</v>
      </c>
      <c r="N155">
        <v>0</v>
      </c>
      <c r="O155">
        <v>0</v>
      </c>
      <c r="Q155">
        <v>0</v>
      </c>
      <c r="R155">
        <v>67</v>
      </c>
      <c r="S155">
        <v>40</v>
      </c>
      <c r="T155">
        <v>500</v>
      </c>
      <c r="U155">
        <v>12.5</v>
      </c>
      <c r="V155">
        <v>0</v>
      </c>
      <c r="Y155">
        <v>50</v>
      </c>
      <c r="Z155">
        <v>90</v>
      </c>
      <c r="AA155">
        <v>93</v>
      </c>
      <c r="AB155">
        <v>70</v>
      </c>
      <c r="AD155">
        <v>80</v>
      </c>
      <c r="AF155" s="2">
        <f t="shared" si="2"/>
        <v>6.25</v>
      </c>
    </row>
    <row r="156" spans="1:32" x14ac:dyDescent="0.25">
      <c r="A156">
        <v>133</v>
      </c>
      <c r="B156" t="s">
        <v>150</v>
      </c>
      <c r="C156" t="s">
        <v>2573</v>
      </c>
      <c r="D156" t="s">
        <v>2398</v>
      </c>
      <c r="E156" t="s">
        <v>87</v>
      </c>
      <c r="F156">
        <v>26</v>
      </c>
      <c r="G156">
        <v>14</v>
      </c>
      <c r="H156">
        <v>14</v>
      </c>
      <c r="I156">
        <v>0</v>
      </c>
      <c r="J156">
        <v>0</v>
      </c>
      <c r="K156">
        <v>0</v>
      </c>
      <c r="L156">
        <v>0</v>
      </c>
      <c r="M156">
        <v>0</v>
      </c>
      <c r="N156">
        <v>0</v>
      </c>
      <c r="O156">
        <v>0</v>
      </c>
      <c r="Q156">
        <v>0</v>
      </c>
      <c r="R156">
        <v>78</v>
      </c>
      <c r="S156">
        <v>48</v>
      </c>
      <c r="T156">
        <v>692</v>
      </c>
      <c r="U156">
        <v>14.42</v>
      </c>
      <c r="V156">
        <v>3</v>
      </c>
      <c r="Y156">
        <v>87</v>
      </c>
      <c r="Z156">
        <v>135</v>
      </c>
      <c r="AA156">
        <v>138.19999999999999</v>
      </c>
      <c r="AB156">
        <v>111.2</v>
      </c>
      <c r="AD156">
        <v>47</v>
      </c>
      <c r="AF156" s="2">
        <f t="shared" si="2"/>
        <v>6.2142857142857144</v>
      </c>
    </row>
    <row r="157" spans="1:32" x14ac:dyDescent="0.25">
      <c r="A157">
        <v>126</v>
      </c>
      <c r="B157" t="s">
        <v>166</v>
      </c>
      <c r="C157" t="s">
        <v>2566</v>
      </c>
      <c r="D157" t="s">
        <v>2396</v>
      </c>
      <c r="E157" t="s">
        <v>87</v>
      </c>
      <c r="F157">
        <v>27</v>
      </c>
      <c r="G157">
        <v>15</v>
      </c>
      <c r="H157">
        <v>14</v>
      </c>
      <c r="I157">
        <v>1</v>
      </c>
      <c r="J157">
        <v>1</v>
      </c>
      <c r="K157">
        <v>10</v>
      </c>
      <c r="L157">
        <v>0</v>
      </c>
      <c r="M157">
        <v>0</v>
      </c>
      <c r="N157">
        <v>9</v>
      </c>
      <c r="O157">
        <v>17</v>
      </c>
      <c r="P157">
        <v>1.89</v>
      </c>
      <c r="Q157">
        <v>0</v>
      </c>
      <c r="R157">
        <v>92</v>
      </c>
      <c r="S157">
        <v>66</v>
      </c>
      <c r="T157">
        <v>653</v>
      </c>
      <c r="U157">
        <v>9.89</v>
      </c>
      <c r="V157">
        <v>4</v>
      </c>
      <c r="W157">
        <v>1</v>
      </c>
      <c r="Y157">
        <v>93</v>
      </c>
      <c r="Z157">
        <v>159</v>
      </c>
      <c r="AA157">
        <v>162.4</v>
      </c>
      <c r="AB157">
        <v>126.4</v>
      </c>
      <c r="AD157">
        <v>41</v>
      </c>
      <c r="AF157" s="2">
        <f t="shared" si="2"/>
        <v>6.2</v>
      </c>
    </row>
    <row r="158" spans="1:32" hidden="1" x14ac:dyDescent="0.25">
      <c r="A158">
        <v>256</v>
      </c>
      <c r="B158" t="s">
        <v>1148</v>
      </c>
      <c r="C158" t="s">
        <v>2722</v>
      </c>
      <c r="D158" t="s">
        <v>1865</v>
      </c>
      <c r="E158" t="s">
        <v>47</v>
      </c>
      <c r="F158">
        <v>24</v>
      </c>
      <c r="G158">
        <v>6</v>
      </c>
      <c r="H158">
        <v>6</v>
      </c>
      <c r="I158">
        <v>0</v>
      </c>
      <c r="J158">
        <v>0</v>
      </c>
      <c r="K158">
        <v>0</v>
      </c>
      <c r="L158">
        <v>0</v>
      </c>
      <c r="M158">
        <v>0</v>
      </c>
      <c r="N158">
        <v>68</v>
      </c>
      <c r="O158">
        <v>240</v>
      </c>
      <c r="P158">
        <v>3.53</v>
      </c>
      <c r="Q158">
        <v>0</v>
      </c>
      <c r="R158">
        <v>18</v>
      </c>
      <c r="S158">
        <v>15</v>
      </c>
      <c r="T158">
        <v>131</v>
      </c>
      <c r="U158">
        <v>8.73</v>
      </c>
      <c r="V158">
        <v>0</v>
      </c>
      <c r="Y158">
        <v>37</v>
      </c>
      <c r="Z158">
        <v>52</v>
      </c>
      <c r="AA158">
        <v>58.1</v>
      </c>
      <c r="AB158">
        <v>44.6</v>
      </c>
      <c r="AD158">
        <v>77</v>
      </c>
      <c r="AF158" s="2">
        <f t="shared" si="2"/>
        <v>6.166666666666667</v>
      </c>
    </row>
    <row r="159" spans="1:32" x14ac:dyDescent="0.25">
      <c r="A159">
        <v>173</v>
      </c>
      <c r="B159" t="s">
        <v>195</v>
      </c>
      <c r="C159" t="s">
        <v>2616</v>
      </c>
      <c r="D159" t="s">
        <v>1882</v>
      </c>
      <c r="E159" t="s">
        <v>87</v>
      </c>
      <c r="F159">
        <v>24</v>
      </c>
      <c r="G159">
        <v>11</v>
      </c>
      <c r="H159">
        <v>5</v>
      </c>
      <c r="I159">
        <v>0</v>
      </c>
      <c r="J159">
        <v>0</v>
      </c>
      <c r="K159">
        <v>0</v>
      </c>
      <c r="L159">
        <v>0</v>
      </c>
      <c r="M159">
        <v>0</v>
      </c>
      <c r="N159">
        <v>1</v>
      </c>
      <c r="O159">
        <v>9</v>
      </c>
      <c r="P159">
        <v>9</v>
      </c>
      <c r="Q159">
        <v>0</v>
      </c>
      <c r="R159">
        <v>48</v>
      </c>
      <c r="S159">
        <v>28</v>
      </c>
      <c r="T159">
        <v>477</v>
      </c>
      <c r="U159">
        <v>17.04</v>
      </c>
      <c r="V159">
        <v>3</v>
      </c>
      <c r="Y159">
        <v>67</v>
      </c>
      <c r="Z159">
        <v>95</v>
      </c>
      <c r="AA159">
        <v>97.6</v>
      </c>
      <c r="AB159">
        <v>80.599999999999994</v>
      </c>
      <c r="AD159">
        <v>65</v>
      </c>
      <c r="AF159" s="2">
        <f t="shared" si="2"/>
        <v>6.0909090909090908</v>
      </c>
    </row>
    <row r="160" spans="1:32" hidden="1" x14ac:dyDescent="0.25">
      <c r="A160">
        <v>174</v>
      </c>
      <c r="B160" t="s">
        <v>101</v>
      </c>
      <c r="C160" t="s">
        <v>2617</v>
      </c>
      <c r="D160" t="s">
        <v>2397</v>
      </c>
      <c r="E160" t="s">
        <v>47</v>
      </c>
      <c r="F160">
        <v>28</v>
      </c>
      <c r="G160">
        <v>11</v>
      </c>
      <c r="H160">
        <v>8</v>
      </c>
      <c r="I160">
        <v>0</v>
      </c>
      <c r="J160">
        <v>0</v>
      </c>
      <c r="K160">
        <v>0</v>
      </c>
      <c r="L160">
        <v>0</v>
      </c>
      <c r="M160">
        <v>0</v>
      </c>
      <c r="N160">
        <v>138</v>
      </c>
      <c r="O160">
        <v>406</v>
      </c>
      <c r="P160">
        <v>2.94</v>
      </c>
      <c r="Q160">
        <v>3</v>
      </c>
      <c r="R160">
        <v>18</v>
      </c>
      <c r="S160">
        <v>9</v>
      </c>
      <c r="T160">
        <v>84</v>
      </c>
      <c r="U160">
        <v>9.33</v>
      </c>
      <c r="V160">
        <v>0</v>
      </c>
      <c r="W160">
        <v>1</v>
      </c>
      <c r="Y160">
        <v>67</v>
      </c>
      <c r="Z160">
        <v>76</v>
      </c>
      <c r="AA160">
        <v>80</v>
      </c>
      <c r="AB160">
        <v>71.5</v>
      </c>
      <c r="AD160">
        <v>55</v>
      </c>
      <c r="AF160" s="2">
        <f t="shared" si="2"/>
        <v>6.0909090909090908</v>
      </c>
    </row>
    <row r="161" spans="1:32" hidden="1" x14ac:dyDescent="0.25">
      <c r="A161">
        <v>284</v>
      </c>
      <c r="B161" t="s">
        <v>2755</v>
      </c>
      <c r="C161" t="s">
        <v>2756</v>
      </c>
      <c r="D161" t="s">
        <v>1882</v>
      </c>
      <c r="E161" t="s">
        <v>47</v>
      </c>
      <c r="F161">
        <v>24</v>
      </c>
      <c r="G161">
        <v>5</v>
      </c>
      <c r="H161">
        <v>0</v>
      </c>
      <c r="I161">
        <v>0</v>
      </c>
      <c r="J161">
        <v>0</v>
      </c>
      <c r="K161">
        <v>0</v>
      </c>
      <c r="L161">
        <v>0</v>
      </c>
      <c r="M161">
        <v>0</v>
      </c>
      <c r="N161">
        <v>42</v>
      </c>
      <c r="O161">
        <v>165</v>
      </c>
      <c r="P161">
        <v>3.93</v>
      </c>
      <c r="Q161">
        <v>2</v>
      </c>
      <c r="R161">
        <v>2</v>
      </c>
      <c r="S161">
        <v>2</v>
      </c>
      <c r="T161">
        <v>14</v>
      </c>
      <c r="U161">
        <v>7</v>
      </c>
      <c r="V161">
        <v>0</v>
      </c>
      <c r="Y161">
        <v>30</v>
      </c>
      <c r="Z161">
        <v>32</v>
      </c>
      <c r="AA161">
        <v>34.9</v>
      </c>
      <c r="AB161">
        <v>30.9</v>
      </c>
      <c r="AD161">
        <v>84</v>
      </c>
      <c r="AF161" s="2">
        <f t="shared" si="2"/>
        <v>6</v>
      </c>
    </row>
    <row r="162" spans="1:32" x14ac:dyDescent="0.25">
      <c r="A162">
        <v>189</v>
      </c>
      <c r="B162" t="s">
        <v>252</v>
      </c>
      <c r="C162" t="s">
        <v>2634</v>
      </c>
      <c r="D162" t="s">
        <v>1039</v>
      </c>
      <c r="E162" t="s">
        <v>87</v>
      </c>
      <c r="F162">
        <v>26</v>
      </c>
      <c r="G162">
        <v>10</v>
      </c>
      <c r="H162">
        <v>8</v>
      </c>
      <c r="I162">
        <v>0</v>
      </c>
      <c r="J162">
        <v>0</v>
      </c>
      <c r="K162">
        <v>0</v>
      </c>
      <c r="L162">
        <v>0</v>
      </c>
      <c r="M162">
        <v>0</v>
      </c>
      <c r="N162">
        <v>0</v>
      </c>
      <c r="O162">
        <v>0</v>
      </c>
      <c r="Q162">
        <v>0</v>
      </c>
      <c r="R162">
        <v>56</v>
      </c>
      <c r="S162">
        <v>39</v>
      </c>
      <c r="T162">
        <v>484</v>
      </c>
      <c r="U162">
        <v>12.41</v>
      </c>
      <c r="V162">
        <v>2</v>
      </c>
      <c r="Y162">
        <v>60</v>
      </c>
      <c r="Z162">
        <v>99</v>
      </c>
      <c r="AA162">
        <v>102.4</v>
      </c>
      <c r="AB162">
        <v>79.900000000000006</v>
      </c>
      <c r="AD162">
        <v>69</v>
      </c>
      <c r="AF162" s="2">
        <f t="shared" si="2"/>
        <v>6</v>
      </c>
    </row>
    <row r="163" spans="1:32" hidden="1" x14ac:dyDescent="0.25">
      <c r="A163">
        <v>60</v>
      </c>
      <c r="B163" t="s">
        <v>213</v>
      </c>
      <c r="C163" t="s">
        <v>2489</v>
      </c>
      <c r="D163" t="s">
        <v>2397</v>
      </c>
      <c r="E163" t="s">
        <v>114</v>
      </c>
      <c r="F163">
        <v>26</v>
      </c>
      <c r="G163">
        <v>16</v>
      </c>
      <c r="H163">
        <v>6</v>
      </c>
      <c r="I163">
        <v>0</v>
      </c>
      <c r="J163">
        <v>0</v>
      </c>
      <c r="K163">
        <v>0</v>
      </c>
      <c r="L163">
        <v>0</v>
      </c>
      <c r="M163">
        <v>0</v>
      </c>
      <c r="N163">
        <v>0</v>
      </c>
      <c r="O163">
        <v>0</v>
      </c>
      <c r="Q163">
        <v>0</v>
      </c>
      <c r="R163">
        <v>77</v>
      </c>
      <c r="S163">
        <v>48</v>
      </c>
      <c r="T163">
        <v>591</v>
      </c>
      <c r="U163">
        <v>12.31</v>
      </c>
      <c r="V163">
        <v>6</v>
      </c>
      <c r="Y163">
        <v>95</v>
      </c>
      <c r="Z163">
        <v>143</v>
      </c>
      <c r="AA163">
        <v>146.1</v>
      </c>
      <c r="AB163">
        <v>119.1</v>
      </c>
      <c r="AC163">
        <v>13</v>
      </c>
      <c r="AD163">
        <v>8</v>
      </c>
      <c r="AE163">
        <v>60</v>
      </c>
      <c r="AF163" s="2">
        <f t="shared" si="2"/>
        <v>5.9375</v>
      </c>
    </row>
    <row r="164" spans="1:32" x14ac:dyDescent="0.25">
      <c r="A164">
        <v>124</v>
      </c>
      <c r="B164" t="s">
        <v>210</v>
      </c>
      <c r="C164" t="s">
        <v>2564</v>
      </c>
      <c r="D164" t="s">
        <v>1041</v>
      </c>
      <c r="E164" t="s">
        <v>87</v>
      </c>
      <c r="F164">
        <v>25</v>
      </c>
      <c r="G164">
        <v>16</v>
      </c>
      <c r="H164">
        <v>15</v>
      </c>
      <c r="I164">
        <v>0</v>
      </c>
      <c r="J164">
        <v>0</v>
      </c>
      <c r="K164">
        <v>0</v>
      </c>
      <c r="L164">
        <v>0</v>
      </c>
      <c r="M164">
        <v>0</v>
      </c>
      <c r="N164">
        <v>0</v>
      </c>
      <c r="O164">
        <v>0</v>
      </c>
      <c r="Q164">
        <v>0</v>
      </c>
      <c r="R164">
        <v>69</v>
      </c>
      <c r="S164">
        <v>43</v>
      </c>
      <c r="T164">
        <v>728</v>
      </c>
      <c r="U164">
        <v>16.93</v>
      </c>
      <c r="V164">
        <v>4</v>
      </c>
      <c r="Y164">
        <v>95</v>
      </c>
      <c r="Z164">
        <v>138</v>
      </c>
      <c r="AA164">
        <v>141.80000000000001</v>
      </c>
      <c r="AB164">
        <v>116.3</v>
      </c>
      <c r="AD164">
        <v>39</v>
      </c>
      <c r="AF164" s="2">
        <f t="shared" si="2"/>
        <v>5.9375</v>
      </c>
    </row>
    <row r="165" spans="1:32" hidden="1" x14ac:dyDescent="0.25">
      <c r="A165">
        <v>64</v>
      </c>
      <c r="B165" t="s">
        <v>2495</v>
      </c>
      <c r="C165" t="s">
        <v>2496</v>
      </c>
      <c r="D165" t="s">
        <v>815</v>
      </c>
      <c r="E165" t="s">
        <v>114</v>
      </c>
      <c r="F165">
        <v>27</v>
      </c>
      <c r="G165">
        <v>15</v>
      </c>
      <c r="H165">
        <v>15</v>
      </c>
      <c r="I165">
        <v>0</v>
      </c>
      <c r="J165">
        <v>0</v>
      </c>
      <c r="K165">
        <v>0</v>
      </c>
      <c r="L165">
        <v>0</v>
      </c>
      <c r="M165">
        <v>0</v>
      </c>
      <c r="N165">
        <v>0</v>
      </c>
      <c r="O165">
        <v>0</v>
      </c>
      <c r="Q165">
        <v>0</v>
      </c>
      <c r="R165">
        <v>108</v>
      </c>
      <c r="S165">
        <v>80</v>
      </c>
      <c r="T165">
        <v>690</v>
      </c>
      <c r="U165">
        <v>8.6300000000000008</v>
      </c>
      <c r="V165">
        <v>4</v>
      </c>
      <c r="Y165">
        <v>89</v>
      </c>
      <c r="Z165">
        <v>169</v>
      </c>
      <c r="AA165">
        <v>174</v>
      </c>
      <c r="AB165">
        <v>129</v>
      </c>
      <c r="AC165">
        <v>7</v>
      </c>
      <c r="AD165">
        <v>9</v>
      </c>
      <c r="AE165">
        <v>64</v>
      </c>
      <c r="AF165" s="2">
        <f t="shared" si="2"/>
        <v>5.9333333333333336</v>
      </c>
    </row>
    <row r="166" spans="1:32" hidden="1" x14ac:dyDescent="0.25">
      <c r="A166">
        <v>164</v>
      </c>
      <c r="B166" t="s">
        <v>281</v>
      </c>
      <c r="C166" t="s">
        <v>2607</v>
      </c>
      <c r="D166" t="s">
        <v>2396</v>
      </c>
      <c r="E166" t="s">
        <v>47</v>
      </c>
      <c r="F166">
        <v>23</v>
      </c>
      <c r="G166">
        <v>12</v>
      </c>
      <c r="H166">
        <v>4</v>
      </c>
      <c r="I166">
        <v>0</v>
      </c>
      <c r="J166">
        <v>0</v>
      </c>
      <c r="K166">
        <v>0</v>
      </c>
      <c r="L166">
        <v>0</v>
      </c>
      <c r="M166">
        <v>0</v>
      </c>
      <c r="N166">
        <v>81</v>
      </c>
      <c r="O166">
        <v>448</v>
      </c>
      <c r="P166">
        <v>5.53</v>
      </c>
      <c r="Q166">
        <v>4</v>
      </c>
      <c r="R166">
        <v>18</v>
      </c>
      <c r="S166">
        <v>9</v>
      </c>
      <c r="T166">
        <v>22</v>
      </c>
      <c r="U166">
        <v>2.44</v>
      </c>
      <c r="V166">
        <v>0</v>
      </c>
      <c r="Y166">
        <v>71</v>
      </c>
      <c r="Z166">
        <v>80</v>
      </c>
      <c r="AA166">
        <v>83</v>
      </c>
      <c r="AB166">
        <v>75.5</v>
      </c>
      <c r="AD166">
        <v>49</v>
      </c>
      <c r="AF166" s="2">
        <f t="shared" si="2"/>
        <v>5.916666666666667</v>
      </c>
    </row>
    <row r="167" spans="1:32" hidden="1" x14ac:dyDescent="0.25">
      <c r="A167">
        <v>144</v>
      </c>
      <c r="B167" t="s">
        <v>224</v>
      </c>
      <c r="C167" t="s">
        <v>2585</v>
      </c>
      <c r="D167" t="s">
        <v>815</v>
      </c>
      <c r="E167" t="s">
        <v>47</v>
      </c>
      <c r="F167">
        <v>21</v>
      </c>
      <c r="G167">
        <v>14</v>
      </c>
      <c r="H167">
        <v>0</v>
      </c>
      <c r="I167">
        <v>0</v>
      </c>
      <c r="J167">
        <v>0</v>
      </c>
      <c r="K167">
        <v>0</v>
      </c>
      <c r="L167">
        <v>0</v>
      </c>
      <c r="M167">
        <v>0</v>
      </c>
      <c r="N167">
        <v>93</v>
      </c>
      <c r="O167">
        <v>358</v>
      </c>
      <c r="P167">
        <v>3.85</v>
      </c>
      <c r="Q167">
        <v>3</v>
      </c>
      <c r="R167">
        <v>33</v>
      </c>
      <c r="S167">
        <v>21</v>
      </c>
      <c r="T167">
        <v>225</v>
      </c>
      <c r="U167">
        <v>10.71</v>
      </c>
      <c r="V167">
        <v>1</v>
      </c>
      <c r="Y167">
        <v>82</v>
      </c>
      <c r="Z167">
        <v>103</v>
      </c>
      <c r="AA167">
        <v>109.3</v>
      </c>
      <c r="AB167">
        <v>92.8</v>
      </c>
      <c r="AD167">
        <v>45</v>
      </c>
      <c r="AF167" s="2">
        <f t="shared" si="2"/>
        <v>5.8571428571428568</v>
      </c>
    </row>
    <row r="168" spans="1:32" hidden="1" x14ac:dyDescent="0.25">
      <c r="A168">
        <v>77</v>
      </c>
      <c r="B168" t="s">
        <v>199</v>
      </c>
      <c r="C168" t="s">
        <v>2512</v>
      </c>
      <c r="D168" t="s">
        <v>1041</v>
      </c>
      <c r="E168" t="s">
        <v>114</v>
      </c>
      <c r="F168">
        <v>23</v>
      </c>
      <c r="G168">
        <v>14</v>
      </c>
      <c r="H168">
        <v>13</v>
      </c>
      <c r="I168">
        <v>0</v>
      </c>
      <c r="J168">
        <v>0</v>
      </c>
      <c r="K168">
        <v>0</v>
      </c>
      <c r="L168">
        <v>0</v>
      </c>
      <c r="M168">
        <v>0</v>
      </c>
      <c r="N168">
        <v>0</v>
      </c>
      <c r="O168">
        <v>0</v>
      </c>
      <c r="Q168">
        <v>0</v>
      </c>
      <c r="R168">
        <v>62</v>
      </c>
      <c r="S168">
        <v>45</v>
      </c>
      <c r="T168">
        <v>579</v>
      </c>
      <c r="U168">
        <v>12.87</v>
      </c>
      <c r="V168">
        <v>4</v>
      </c>
      <c r="Y168">
        <v>82</v>
      </c>
      <c r="Z168">
        <v>127</v>
      </c>
      <c r="AA168">
        <v>129.9</v>
      </c>
      <c r="AB168">
        <v>104.4</v>
      </c>
      <c r="AD168">
        <v>12</v>
      </c>
      <c r="AE168">
        <v>77</v>
      </c>
      <c r="AF168" s="2">
        <f t="shared" si="2"/>
        <v>5.8571428571428568</v>
      </c>
    </row>
    <row r="169" spans="1:32" hidden="1" x14ac:dyDescent="0.25">
      <c r="A169">
        <v>179</v>
      </c>
      <c r="B169" t="s">
        <v>1118</v>
      </c>
      <c r="C169" t="s">
        <v>2624</v>
      </c>
      <c r="D169" t="s">
        <v>2398</v>
      </c>
      <c r="E169" t="s">
        <v>15</v>
      </c>
      <c r="F169">
        <v>32</v>
      </c>
      <c r="G169">
        <v>11</v>
      </c>
      <c r="H169">
        <v>6</v>
      </c>
      <c r="I169">
        <v>123</v>
      </c>
      <c r="J169">
        <v>211</v>
      </c>
      <c r="K169">
        <v>1287</v>
      </c>
      <c r="L169">
        <v>4</v>
      </c>
      <c r="M169">
        <v>4</v>
      </c>
      <c r="N169">
        <v>9</v>
      </c>
      <c r="O169">
        <v>4</v>
      </c>
      <c r="P169">
        <v>0.44</v>
      </c>
      <c r="Q169">
        <v>1</v>
      </c>
      <c r="R169">
        <v>0</v>
      </c>
      <c r="S169">
        <v>0</v>
      </c>
      <c r="T169">
        <v>0</v>
      </c>
      <c r="V169">
        <v>0</v>
      </c>
      <c r="Y169">
        <v>64</v>
      </c>
      <c r="Z169">
        <v>64</v>
      </c>
      <c r="AA169">
        <v>71.900000000000006</v>
      </c>
      <c r="AB169">
        <v>67.900000000000006</v>
      </c>
      <c r="AD169">
        <v>37</v>
      </c>
      <c r="AF169" s="2">
        <f t="shared" si="2"/>
        <v>5.8181818181818183</v>
      </c>
    </row>
    <row r="170" spans="1:32" hidden="1" x14ac:dyDescent="0.25">
      <c r="A170">
        <v>196</v>
      </c>
      <c r="B170" t="s">
        <v>245</v>
      </c>
      <c r="C170" t="s">
        <v>2642</v>
      </c>
      <c r="D170" t="s">
        <v>1039</v>
      </c>
      <c r="E170" t="s">
        <v>47</v>
      </c>
      <c r="F170">
        <v>24</v>
      </c>
      <c r="G170">
        <v>10</v>
      </c>
      <c r="H170">
        <v>0</v>
      </c>
      <c r="I170">
        <v>0</v>
      </c>
      <c r="J170">
        <v>0</v>
      </c>
      <c r="K170">
        <v>0</v>
      </c>
      <c r="L170">
        <v>0</v>
      </c>
      <c r="M170">
        <v>0</v>
      </c>
      <c r="N170">
        <v>49</v>
      </c>
      <c r="O170">
        <v>253</v>
      </c>
      <c r="P170">
        <v>5.16</v>
      </c>
      <c r="Q170">
        <v>2</v>
      </c>
      <c r="R170">
        <v>41</v>
      </c>
      <c r="S170">
        <v>30</v>
      </c>
      <c r="T170">
        <v>224</v>
      </c>
      <c r="U170">
        <v>7.47</v>
      </c>
      <c r="V170">
        <v>0</v>
      </c>
      <c r="Y170">
        <v>58</v>
      </c>
      <c r="Z170">
        <v>88</v>
      </c>
      <c r="AA170">
        <v>94.7</v>
      </c>
      <c r="AB170">
        <v>72.7</v>
      </c>
      <c r="AD170">
        <v>63</v>
      </c>
      <c r="AF170" s="2">
        <f t="shared" si="2"/>
        <v>5.8</v>
      </c>
    </row>
    <row r="171" spans="1:32" x14ac:dyDescent="0.25">
      <c r="A171">
        <v>244</v>
      </c>
      <c r="B171" t="s">
        <v>1211</v>
      </c>
      <c r="C171" t="s">
        <v>2707</v>
      </c>
      <c r="D171" t="s">
        <v>1039</v>
      </c>
      <c r="E171" t="s">
        <v>87</v>
      </c>
      <c r="F171">
        <v>24</v>
      </c>
      <c r="G171">
        <v>7</v>
      </c>
      <c r="H171">
        <v>5</v>
      </c>
      <c r="I171">
        <v>0</v>
      </c>
      <c r="J171">
        <v>0</v>
      </c>
      <c r="K171">
        <v>0</v>
      </c>
      <c r="L171">
        <v>0</v>
      </c>
      <c r="M171">
        <v>0</v>
      </c>
      <c r="N171">
        <v>0</v>
      </c>
      <c r="O171">
        <v>0</v>
      </c>
      <c r="Q171">
        <v>0</v>
      </c>
      <c r="R171">
        <v>51</v>
      </c>
      <c r="S171">
        <v>27</v>
      </c>
      <c r="T171">
        <v>339</v>
      </c>
      <c r="U171">
        <v>12.56</v>
      </c>
      <c r="V171">
        <v>1</v>
      </c>
      <c r="Y171">
        <v>40</v>
      </c>
      <c r="Z171">
        <v>67</v>
      </c>
      <c r="AA171">
        <v>69.900000000000006</v>
      </c>
      <c r="AB171">
        <v>53.4</v>
      </c>
      <c r="AD171">
        <v>98</v>
      </c>
      <c r="AF171" s="2">
        <f t="shared" si="2"/>
        <v>5.7142857142857144</v>
      </c>
    </row>
    <row r="172" spans="1:32" x14ac:dyDescent="0.25">
      <c r="A172">
        <v>156</v>
      </c>
      <c r="B172" t="s">
        <v>273</v>
      </c>
      <c r="C172" t="s">
        <v>2598</v>
      </c>
      <c r="D172" t="s">
        <v>1037</v>
      </c>
      <c r="E172" t="s">
        <v>87</v>
      </c>
      <c r="F172">
        <v>25</v>
      </c>
      <c r="G172">
        <v>13</v>
      </c>
      <c r="H172">
        <v>7</v>
      </c>
      <c r="I172">
        <v>0</v>
      </c>
      <c r="J172">
        <v>0</v>
      </c>
      <c r="K172">
        <v>0</v>
      </c>
      <c r="L172">
        <v>0</v>
      </c>
      <c r="M172">
        <v>0</v>
      </c>
      <c r="N172">
        <v>3</v>
      </c>
      <c r="O172">
        <v>6</v>
      </c>
      <c r="P172">
        <v>2</v>
      </c>
      <c r="Q172">
        <v>0</v>
      </c>
      <c r="R172">
        <v>62</v>
      </c>
      <c r="S172">
        <v>42</v>
      </c>
      <c r="T172">
        <v>554</v>
      </c>
      <c r="U172">
        <v>13.19</v>
      </c>
      <c r="V172">
        <v>3</v>
      </c>
      <c r="Y172">
        <v>74</v>
      </c>
      <c r="Z172">
        <v>116</v>
      </c>
      <c r="AA172">
        <v>119</v>
      </c>
      <c r="AB172">
        <v>95</v>
      </c>
      <c r="AD172">
        <v>56</v>
      </c>
      <c r="AF172" s="2">
        <f t="shared" si="2"/>
        <v>5.6923076923076925</v>
      </c>
    </row>
    <row r="173" spans="1:32" x14ac:dyDescent="0.25">
      <c r="A173">
        <v>128</v>
      </c>
      <c r="B173" t="s">
        <v>285</v>
      </c>
      <c r="C173" t="s">
        <v>2568</v>
      </c>
      <c r="D173" t="s">
        <v>1042</v>
      </c>
      <c r="E173" t="s">
        <v>87</v>
      </c>
      <c r="F173">
        <v>22</v>
      </c>
      <c r="G173">
        <v>16</v>
      </c>
      <c r="H173">
        <v>4</v>
      </c>
      <c r="I173">
        <v>1</v>
      </c>
      <c r="J173">
        <v>2</v>
      </c>
      <c r="K173">
        <v>21</v>
      </c>
      <c r="L173">
        <v>1</v>
      </c>
      <c r="M173">
        <v>0</v>
      </c>
      <c r="N173">
        <v>87</v>
      </c>
      <c r="O173">
        <v>370</v>
      </c>
      <c r="P173">
        <v>4.25</v>
      </c>
      <c r="Q173">
        <v>2</v>
      </c>
      <c r="R173">
        <v>71</v>
      </c>
      <c r="S173">
        <v>53</v>
      </c>
      <c r="T173">
        <v>353</v>
      </c>
      <c r="U173">
        <v>6.66</v>
      </c>
      <c r="V173">
        <v>1</v>
      </c>
      <c r="Y173">
        <v>91</v>
      </c>
      <c r="Z173">
        <v>144</v>
      </c>
      <c r="AA173">
        <v>158.1</v>
      </c>
      <c r="AB173">
        <v>123.6</v>
      </c>
      <c r="AD173">
        <v>43</v>
      </c>
      <c r="AF173" s="2">
        <f t="shared" si="2"/>
        <v>5.6875</v>
      </c>
    </row>
    <row r="174" spans="1:32" x14ac:dyDescent="0.25">
      <c r="A174">
        <v>129</v>
      </c>
      <c r="B174" t="s">
        <v>1368</v>
      </c>
      <c r="C174" t="s">
        <v>2569</v>
      </c>
      <c r="D174" t="s">
        <v>1039</v>
      </c>
      <c r="E174" t="s">
        <v>87</v>
      </c>
      <c r="F174">
        <v>24</v>
      </c>
      <c r="G174">
        <v>16</v>
      </c>
      <c r="H174">
        <v>6</v>
      </c>
      <c r="I174">
        <v>0</v>
      </c>
      <c r="J174">
        <v>0</v>
      </c>
      <c r="K174">
        <v>0</v>
      </c>
      <c r="L174">
        <v>0</v>
      </c>
      <c r="M174">
        <v>0</v>
      </c>
      <c r="N174">
        <v>0</v>
      </c>
      <c r="O174">
        <v>0</v>
      </c>
      <c r="Q174">
        <v>0</v>
      </c>
      <c r="R174">
        <v>83</v>
      </c>
      <c r="S174">
        <v>42</v>
      </c>
      <c r="T174">
        <v>748</v>
      </c>
      <c r="U174">
        <v>17.809999999999999</v>
      </c>
      <c r="V174">
        <v>3</v>
      </c>
      <c r="Y174">
        <v>91</v>
      </c>
      <c r="Z174">
        <v>133</v>
      </c>
      <c r="AA174">
        <v>136.80000000000001</v>
      </c>
      <c r="AB174">
        <v>111.8</v>
      </c>
      <c r="AD174">
        <v>44</v>
      </c>
      <c r="AF174" s="2">
        <f t="shared" si="2"/>
        <v>5.6875</v>
      </c>
    </row>
    <row r="175" spans="1:32" x14ac:dyDescent="0.25">
      <c r="A175">
        <v>172</v>
      </c>
      <c r="B175" t="s">
        <v>149</v>
      </c>
      <c r="C175" t="s">
        <v>2615</v>
      </c>
      <c r="D175" t="s">
        <v>1054</v>
      </c>
      <c r="E175" t="s">
        <v>87</v>
      </c>
      <c r="F175">
        <v>30</v>
      </c>
      <c r="G175">
        <v>12</v>
      </c>
      <c r="H175">
        <v>11</v>
      </c>
      <c r="I175">
        <v>0</v>
      </c>
      <c r="J175">
        <v>0</v>
      </c>
      <c r="K175">
        <v>0</v>
      </c>
      <c r="L175">
        <v>0</v>
      </c>
      <c r="M175">
        <v>0</v>
      </c>
      <c r="N175">
        <v>0</v>
      </c>
      <c r="O175">
        <v>0</v>
      </c>
      <c r="Q175">
        <v>0</v>
      </c>
      <c r="R175">
        <v>92</v>
      </c>
      <c r="S175">
        <v>47</v>
      </c>
      <c r="T175">
        <v>555</v>
      </c>
      <c r="U175">
        <v>11.81</v>
      </c>
      <c r="V175">
        <v>2</v>
      </c>
      <c r="Y175">
        <v>68</v>
      </c>
      <c r="Z175">
        <v>115</v>
      </c>
      <c r="AA175">
        <v>117.5</v>
      </c>
      <c r="AB175">
        <v>91</v>
      </c>
      <c r="AD175">
        <v>62</v>
      </c>
      <c r="AF175" s="2">
        <f t="shared" si="2"/>
        <v>5.666666666666667</v>
      </c>
    </row>
    <row r="176" spans="1:32" x14ac:dyDescent="0.25">
      <c r="A176">
        <v>130</v>
      </c>
      <c r="B176" t="s">
        <v>249</v>
      </c>
      <c r="C176" t="s">
        <v>2570</v>
      </c>
      <c r="D176" t="s">
        <v>1041</v>
      </c>
      <c r="E176" t="s">
        <v>87</v>
      </c>
      <c r="F176">
        <v>28</v>
      </c>
      <c r="G176">
        <v>16</v>
      </c>
      <c r="H176">
        <v>3</v>
      </c>
      <c r="I176">
        <v>0</v>
      </c>
      <c r="J176">
        <v>0</v>
      </c>
      <c r="K176">
        <v>0</v>
      </c>
      <c r="L176">
        <v>0</v>
      </c>
      <c r="M176">
        <v>0</v>
      </c>
      <c r="N176">
        <v>13</v>
      </c>
      <c r="O176">
        <v>96</v>
      </c>
      <c r="P176">
        <v>7.38</v>
      </c>
      <c r="Q176">
        <v>0</v>
      </c>
      <c r="R176">
        <v>62</v>
      </c>
      <c r="S176">
        <v>34</v>
      </c>
      <c r="T176">
        <v>567</v>
      </c>
      <c r="U176">
        <v>16.68</v>
      </c>
      <c r="V176">
        <v>4</v>
      </c>
      <c r="Y176">
        <v>90</v>
      </c>
      <c r="Z176">
        <v>124</v>
      </c>
      <c r="AA176">
        <v>133.30000000000001</v>
      </c>
      <c r="AB176">
        <v>113.3</v>
      </c>
      <c r="AD176">
        <v>45</v>
      </c>
      <c r="AF176" s="2">
        <f t="shared" si="2"/>
        <v>5.625</v>
      </c>
    </row>
    <row r="177" spans="1:32" x14ac:dyDescent="0.25">
      <c r="A177">
        <v>159</v>
      </c>
      <c r="B177" t="s">
        <v>175</v>
      </c>
      <c r="C177" t="s">
        <v>2602</v>
      </c>
      <c r="D177" t="s">
        <v>1053</v>
      </c>
      <c r="E177" t="s">
        <v>87</v>
      </c>
      <c r="F177">
        <v>24</v>
      </c>
      <c r="G177">
        <v>13</v>
      </c>
      <c r="H177">
        <v>12</v>
      </c>
      <c r="I177">
        <v>0</v>
      </c>
      <c r="J177">
        <v>0</v>
      </c>
      <c r="K177">
        <v>0</v>
      </c>
      <c r="L177">
        <v>0</v>
      </c>
      <c r="M177">
        <v>0</v>
      </c>
      <c r="N177">
        <v>0</v>
      </c>
      <c r="O177">
        <v>0</v>
      </c>
      <c r="Q177">
        <v>0</v>
      </c>
      <c r="R177">
        <v>96</v>
      </c>
      <c r="S177">
        <v>57</v>
      </c>
      <c r="T177">
        <v>670</v>
      </c>
      <c r="U177">
        <v>11.75</v>
      </c>
      <c r="V177">
        <v>1</v>
      </c>
      <c r="Y177">
        <v>73</v>
      </c>
      <c r="Z177">
        <v>130</v>
      </c>
      <c r="AA177">
        <v>133</v>
      </c>
      <c r="AB177">
        <v>101.5</v>
      </c>
      <c r="AD177">
        <v>58</v>
      </c>
      <c r="AF177" s="2">
        <f t="shared" si="2"/>
        <v>5.615384615384615</v>
      </c>
    </row>
    <row r="178" spans="1:32" x14ac:dyDescent="0.25">
      <c r="A178">
        <v>139</v>
      </c>
      <c r="B178" t="s">
        <v>98</v>
      </c>
      <c r="C178" t="s">
        <v>2580</v>
      </c>
      <c r="D178" t="s">
        <v>2396</v>
      </c>
      <c r="E178" t="s">
        <v>87</v>
      </c>
      <c r="F178">
        <v>32</v>
      </c>
      <c r="G178">
        <v>15</v>
      </c>
      <c r="H178">
        <v>15</v>
      </c>
      <c r="I178">
        <v>0</v>
      </c>
      <c r="J178">
        <v>0</v>
      </c>
      <c r="K178">
        <v>0</v>
      </c>
      <c r="L178">
        <v>0</v>
      </c>
      <c r="M178">
        <v>0</v>
      </c>
      <c r="N178">
        <v>0</v>
      </c>
      <c r="O178">
        <v>0</v>
      </c>
      <c r="Q178">
        <v>0</v>
      </c>
      <c r="R178">
        <v>88</v>
      </c>
      <c r="S178">
        <v>53</v>
      </c>
      <c r="T178">
        <v>482</v>
      </c>
      <c r="U178">
        <v>9.09</v>
      </c>
      <c r="V178">
        <v>6</v>
      </c>
      <c r="Y178">
        <v>84</v>
      </c>
      <c r="Z178">
        <v>137</v>
      </c>
      <c r="AA178">
        <v>140.19999999999999</v>
      </c>
      <c r="AB178">
        <v>110.7</v>
      </c>
      <c r="AD178">
        <v>51</v>
      </c>
      <c r="AF178" s="2">
        <f t="shared" si="2"/>
        <v>5.6</v>
      </c>
    </row>
    <row r="179" spans="1:32" hidden="1" x14ac:dyDescent="0.25">
      <c r="A179">
        <v>151</v>
      </c>
      <c r="B179" t="s">
        <v>193</v>
      </c>
      <c r="C179" t="s">
        <v>2592</v>
      </c>
      <c r="D179" t="s">
        <v>1049</v>
      </c>
      <c r="E179" t="s">
        <v>47</v>
      </c>
      <c r="F179">
        <v>25</v>
      </c>
      <c r="G179">
        <v>14</v>
      </c>
      <c r="H179">
        <v>4</v>
      </c>
      <c r="I179">
        <v>0</v>
      </c>
      <c r="J179">
        <v>0</v>
      </c>
      <c r="K179">
        <v>0</v>
      </c>
      <c r="L179">
        <v>0</v>
      </c>
      <c r="M179">
        <v>0</v>
      </c>
      <c r="N179">
        <v>43</v>
      </c>
      <c r="O179">
        <v>171</v>
      </c>
      <c r="P179">
        <v>3.98</v>
      </c>
      <c r="Q179">
        <v>0</v>
      </c>
      <c r="R179">
        <v>72</v>
      </c>
      <c r="S179">
        <v>56</v>
      </c>
      <c r="T179">
        <v>429</v>
      </c>
      <c r="U179">
        <v>7.66</v>
      </c>
      <c r="V179">
        <v>3</v>
      </c>
      <c r="Y179">
        <v>78</v>
      </c>
      <c r="Z179">
        <v>134</v>
      </c>
      <c r="AA179">
        <v>140</v>
      </c>
      <c r="AB179">
        <v>106</v>
      </c>
      <c r="AD179">
        <v>47</v>
      </c>
      <c r="AF179" s="2">
        <f t="shared" si="2"/>
        <v>5.5714285714285712</v>
      </c>
    </row>
    <row r="180" spans="1:32" hidden="1" x14ac:dyDescent="0.25">
      <c r="A180">
        <v>247</v>
      </c>
      <c r="B180" t="s">
        <v>2710</v>
      </c>
      <c r="C180" t="s">
        <v>2711</v>
      </c>
      <c r="D180" t="s">
        <v>1045</v>
      </c>
      <c r="E180" t="s">
        <v>47</v>
      </c>
      <c r="F180">
        <v>25</v>
      </c>
      <c r="G180">
        <v>7</v>
      </c>
      <c r="H180">
        <v>7</v>
      </c>
      <c r="I180">
        <v>0</v>
      </c>
      <c r="J180">
        <v>0</v>
      </c>
      <c r="K180">
        <v>0</v>
      </c>
      <c r="L180">
        <v>0</v>
      </c>
      <c r="M180">
        <v>0</v>
      </c>
      <c r="N180">
        <v>62</v>
      </c>
      <c r="O180">
        <v>194</v>
      </c>
      <c r="P180">
        <v>3.13</v>
      </c>
      <c r="Q180">
        <v>3</v>
      </c>
      <c r="R180">
        <v>7</v>
      </c>
      <c r="S180">
        <v>4</v>
      </c>
      <c r="T180">
        <v>18</v>
      </c>
      <c r="U180">
        <v>4.5</v>
      </c>
      <c r="V180">
        <v>0</v>
      </c>
      <c r="Y180">
        <v>39</v>
      </c>
      <c r="Z180">
        <v>43</v>
      </c>
      <c r="AA180">
        <v>46.2</v>
      </c>
      <c r="AB180">
        <v>41.2</v>
      </c>
      <c r="AD180">
        <v>72</v>
      </c>
      <c r="AF180" s="2">
        <f t="shared" si="2"/>
        <v>5.5714285714285712</v>
      </c>
    </row>
    <row r="181" spans="1:32" x14ac:dyDescent="0.25">
      <c r="A181">
        <v>141</v>
      </c>
      <c r="B181" t="s">
        <v>156</v>
      </c>
      <c r="C181" t="s">
        <v>2582</v>
      </c>
      <c r="D181" t="s">
        <v>1040</v>
      </c>
      <c r="E181" t="s">
        <v>87</v>
      </c>
      <c r="F181">
        <v>26</v>
      </c>
      <c r="G181">
        <v>15</v>
      </c>
      <c r="H181">
        <v>8</v>
      </c>
      <c r="I181">
        <v>0</v>
      </c>
      <c r="J181">
        <v>0</v>
      </c>
      <c r="K181">
        <v>0</v>
      </c>
      <c r="L181">
        <v>0</v>
      </c>
      <c r="M181">
        <v>0</v>
      </c>
      <c r="N181">
        <v>6</v>
      </c>
      <c r="O181">
        <v>22</v>
      </c>
      <c r="P181">
        <v>3.67</v>
      </c>
      <c r="Q181">
        <v>0</v>
      </c>
      <c r="R181">
        <v>84</v>
      </c>
      <c r="S181">
        <v>50</v>
      </c>
      <c r="T181">
        <v>603</v>
      </c>
      <c r="U181">
        <v>12.06</v>
      </c>
      <c r="V181">
        <v>3</v>
      </c>
      <c r="W181">
        <v>1</v>
      </c>
      <c r="Y181">
        <v>83</v>
      </c>
      <c r="Z181">
        <v>133</v>
      </c>
      <c r="AA181">
        <v>135.5</v>
      </c>
      <c r="AB181">
        <v>107.5</v>
      </c>
      <c r="AD181">
        <v>52</v>
      </c>
      <c r="AF181" s="2">
        <f t="shared" si="2"/>
        <v>5.5333333333333332</v>
      </c>
    </row>
    <row r="182" spans="1:32" hidden="1" x14ac:dyDescent="0.25">
      <c r="A182">
        <v>277</v>
      </c>
      <c r="B182" t="s">
        <v>118</v>
      </c>
      <c r="C182" t="s">
        <v>2747</v>
      </c>
      <c r="D182" t="s">
        <v>1045</v>
      </c>
      <c r="E182" t="s">
        <v>114</v>
      </c>
      <c r="F182">
        <v>27</v>
      </c>
      <c r="G182">
        <v>6</v>
      </c>
      <c r="H182">
        <v>5</v>
      </c>
      <c r="I182">
        <v>0</v>
      </c>
      <c r="J182">
        <v>0</v>
      </c>
      <c r="K182">
        <v>0</v>
      </c>
      <c r="L182">
        <v>0</v>
      </c>
      <c r="M182">
        <v>0</v>
      </c>
      <c r="N182">
        <v>0</v>
      </c>
      <c r="O182">
        <v>0</v>
      </c>
      <c r="Q182">
        <v>0</v>
      </c>
      <c r="R182">
        <v>35</v>
      </c>
      <c r="S182">
        <v>27</v>
      </c>
      <c r="T182">
        <v>211</v>
      </c>
      <c r="U182">
        <v>7.81</v>
      </c>
      <c r="V182">
        <v>2</v>
      </c>
      <c r="Y182">
        <v>33</v>
      </c>
      <c r="Z182">
        <v>60</v>
      </c>
      <c r="AA182">
        <v>63.1</v>
      </c>
      <c r="AB182">
        <v>46.6</v>
      </c>
      <c r="AD182">
        <v>42</v>
      </c>
      <c r="AF182" s="2">
        <f t="shared" si="2"/>
        <v>5.5</v>
      </c>
    </row>
    <row r="183" spans="1:32" hidden="1" x14ac:dyDescent="0.25">
      <c r="A183">
        <v>162</v>
      </c>
      <c r="B183" t="s">
        <v>268</v>
      </c>
      <c r="C183" t="s">
        <v>2605</v>
      </c>
      <c r="D183" t="s">
        <v>1811</v>
      </c>
      <c r="E183" t="s">
        <v>47</v>
      </c>
      <c r="F183">
        <v>23</v>
      </c>
      <c r="G183">
        <v>13</v>
      </c>
      <c r="H183">
        <v>1</v>
      </c>
      <c r="I183">
        <v>0</v>
      </c>
      <c r="J183">
        <v>0</v>
      </c>
      <c r="K183">
        <v>0</v>
      </c>
      <c r="L183">
        <v>0</v>
      </c>
      <c r="M183">
        <v>0</v>
      </c>
      <c r="N183">
        <v>111</v>
      </c>
      <c r="O183">
        <v>476</v>
      </c>
      <c r="P183">
        <v>4.29</v>
      </c>
      <c r="Q183">
        <v>0</v>
      </c>
      <c r="R183">
        <v>48</v>
      </c>
      <c r="S183">
        <v>34</v>
      </c>
      <c r="T183">
        <v>193</v>
      </c>
      <c r="U183">
        <v>5.68</v>
      </c>
      <c r="V183">
        <v>1</v>
      </c>
      <c r="Y183">
        <v>71</v>
      </c>
      <c r="Z183">
        <v>105</v>
      </c>
      <c r="AA183">
        <v>111.9</v>
      </c>
      <c r="AB183">
        <v>87.9</v>
      </c>
      <c r="AD183">
        <v>50</v>
      </c>
      <c r="AF183" s="2">
        <f t="shared" si="2"/>
        <v>5.4615384615384617</v>
      </c>
    </row>
    <row r="184" spans="1:32" hidden="1" x14ac:dyDescent="0.25">
      <c r="A184">
        <v>135</v>
      </c>
      <c r="B184" t="s">
        <v>164</v>
      </c>
      <c r="C184" t="s">
        <v>2575</v>
      </c>
      <c r="D184" t="s">
        <v>1045</v>
      </c>
      <c r="E184" t="s">
        <v>47</v>
      </c>
      <c r="F184">
        <v>22</v>
      </c>
      <c r="G184">
        <v>16</v>
      </c>
      <c r="H184">
        <v>8</v>
      </c>
      <c r="I184">
        <v>0</v>
      </c>
      <c r="J184">
        <v>0</v>
      </c>
      <c r="K184">
        <v>0</v>
      </c>
      <c r="L184">
        <v>0</v>
      </c>
      <c r="M184">
        <v>0</v>
      </c>
      <c r="N184">
        <v>175</v>
      </c>
      <c r="O184">
        <v>603</v>
      </c>
      <c r="P184">
        <v>3.45</v>
      </c>
      <c r="Q184">
        <v>1</v>
      </c>
      <c r="R184">
        <v>24</v>
      </c>
      <c r="S184">
        <v>22</v>
      </c>
      <c r="T184">
        <v>182</v>
      </c>
      <c r="U184">
        <v>8.27</v>
      </c>
      <c r="V184">
        <v>1</v>
      </c>
      <c r="Y184">
        <v>87</v>
      </c>
      <c r="Z184">
        <v>109</v>
      </c>
      <c r="AA184">
        <v>116.5</v>
      </c>
      <c r="AB184">
        <v>97.5</v>
      </c>
      <c r="AD184">
        <v>41</v>
      </c>
      <c r="AF184" s="2">
        <f t="shared" si="2"/>
        <v>5.4375</v>
      </c>
    </row>
    <row r="185" spans="1:32" hidden="1" x14ac:dyDescent="0.25">
      <c r="A185">
        <v>154</v>
      </c>
      <c r="B185" t="s">
        <v>229</v>
      </c>
      <c r="C185" t="s">
        <v>2596</v>
      </c>
      <c r="D185" t="s">
        <v>2397</v>
      </c>
      <c r="E185" t="s">
        <v>114</v>
      </c>
      <c r="F185">
        <v>23</v>
      </c>
      <c r="G185">
        <v>14</v>
      </c>
      <c r="H185">
        <v>14</v>
      </c>
      <c r="I185">
        <v>0</v>
      </c>
      <c r="J185">
        <v>0</v>
      </c>
      <c r="K185">
        <v>0</v>
      </c>
      <c r="L185">
        <v>0</v>
      </c>
      <c r="M185">
        <v>0</v>
      </c>
      <c r="N185">
        <v>0</v>
      </c>
      <c r="O185">
        <v>0</v>
      </c>
      <c r="Q185">
        <v>0</v>
      </c>
      <c r="R185">
        <v>39</v>
      </c>
      <c r="S185">
        <v>26</v>
      </c>
      <c r="T185">
        <v>432</v>
      </c>
      <c r="U185">
        <v>16.62</v>
      </c>
      <c r="V185">
        <v>6</v>
      </c>
      <c r="Y185">
        <v>75</v>
      </c>
      <c r="Z185">
        <v>101</v>
      </c>
      <c r="AA185">
        <v>106.2</v>
      </c>
      <c r="AB185">
        <v>88.2</v>
      </c>
      <c r="AD185">
        <v>17</v>
      </c>
      <c r="AF185" s="2">
        <f t="shared" si="2"/>
        <v>5.3571428571428568</v>
      </c>
    </row>
    <row r="186" spans="1:32" x14ac:dyDescent="0.25">
      <c r="A186">
        <v>137</v>
      </c>
      <c r="B186" t="s">
        <v>230</v>
      </c>
      <c r="C186" t="s">
        <v>2577</v>
      </c>
      <c r="D186" t="s">
        <v>1045</v>
      </c>
      <c r="E186" t="s">
        <v>87</v>
      </c>
      <c r="F186">
        <v>25</v>
      </c>
      <c r="G186">
        <v>16</v>
      </c>
      <c r="H186">
        <v>14</v>
      </c>
      <c r="I186">
        <v>0</v>
      </c>
      <c r="J186">
        <v>0</v>
      </c>
      <c r="K186">
        <v>0</v>
      </c>
      <c r="L186">
        <v>0</v>
      </c>
      <c r="M186">
        <v>0</v>
      </c>
      <c r="N186">
        <v>1</v>
      </c>
      <c r="O186">
        <v>-14</v>
      </c>
      <c r="P186">
        <v>-14</v>
      </c>
      <c r="Q186">
        <v>0</v>
      </c>
      <c r="R186">
        <v>78</v>
      </c>
      <c r="S186">
        <v>35</v>
      </c>
      <c r="T186">
        <v>502</v>
      </c>
      <c r="U186">
        <v>14.34</v>
      </c>
      <c r="V186">
        <v>6</v>
      </c>
      <c r="Y186">
        <v>85</v>
      </c>
      <c r="Z186">
        <v>120</v>
      </c>
      <c r="AA186">
        <v>122.8</v>
      </c>
      <c r="AB186">
        <v>102.3</v>
      </c>
      <c r="AD186">
        <v>50</v>
      </c>
      <c r="AF186" s="2">
        <f t="shared" si="2"/>
        <v>5.3125</v>
      </c>
    </row>
    <row r="187" spans="1:32" x14ac:dyDescent="0.25">
      <c r="A187">
        <v>235</v>
      </c>
      <c r="B187" t="s">
        <v>2692</v>
      </c>
      <c r="C187" t="s">
        <v>2693</v>
      </c>
      <c r="D187" t="s">
        <v>1811</v>
      </c>
      <c r="E187" t="s">
        <v>87</v>
      </c>
      <c r="F187">
        <v>27</v>
      </c>
      <c r="G187">
        <v>8</v>
      </c>
      <c r="H187">
        <v>3</v>
      </c>
      <c r="I187">
        <v>0</v>
      </c>
      <c r="J187">
        <v>0</v>
      </c>
      <c r="K187">
        <v>0</v>
      </c>
      <c r="L187">
        <v>0</v>
      </c>
      <c r="M187">
        <v>0</v>
      </c>
      <c r="N187">
        <v>2</v>
      </c>
      <c r="O187">
        <v>3</v>
      </c>
      <c r="P187">
        <v>1.5</v>
      </c>
      <c r="Q187">
        <v>0</v>
      </c>
      <c r="R187">
        <v>37</v>
      </c>
      <c r="S187">
        <v>18</v>
      </c>
      <c r="T187">
        <v>240</v>
      </c>
      <c r="U187">
        <v>13.33</v>
      </c>
      <c r="V187">
        <v>3</v>
      </c>
      <c r="Y187">
        <v>42</v>
      </c>
      <c r="Z187">
        <v>60</v>
      </c>
      <c r="AA187">
        <v>63.3</v>
      </c>
      <c r="AB187">
        <v>51.3</v>
      </c>
      <c r="AD187">
        <v>92</v>
      </c>
      <c r="AF187" s="2">
        <f t="shared" si="2"/>
        <v>5.25</v>
      </c>
    </row>
    <row r="188" spans="1:32" hidden="1" x14ac:dyDescent="0.25">
      <c r="A188">
        <v>72</v>
      </c>
      <c r="B188" t="s">
        <v>2505</v>
      </c>
      <c r="C188" t="s">
        <v>2506</v>
      </c>
      <c r="D188" t="s">
        <v>1044</v>
      </c>
      <c r="E188" t="s">
        <v>114</v>
      </c>
      <c r="F188">
        <v>35</v>
      </c>
      <c r="G188">
        <v>16</v>
      </c>
      <c r="H188">
        <v>16</v>
      </c>
      <c r="I188">
        <v>0</v>
      </c>
      <c r="J188">
        <v>0</v>
      </c>
      <c r="K188">
        <v>0</v>
      </c>
      <c r="L188">
        <v>0</v>
      </c>
      <c r="M188">
        <v>0</v>
      </c>
      <c r="N188">
        <v>0</v>
      </c>
      <c r="O188">
        <v>0</v>
      </c>
      <c r="Q188">
        <v>0</v>
      </c>
      <c r="R188">
        <v>87</v>
      </c>
      <c r="S188">
        <v>63</v>
      </c>
      <c r="T188">
        <v>560</v>
      </c>
      <c r="U188">
        <v>8.89</v>
      </c>
      <c r="V188">
        <v>5</v>
      </c>
      <c r="Y188">
        <v>84</v>
      </c>
      <c r="Z188">
        <v>147</v>
      </c>
      <c r="AA188">
        <v>151</v>
      </c>
      <c r="AB188">
        <v>115.5</v>
      </c>
      <c r="AC188">
        <v>2</v>
      </c>
      <c r="AD188">
        <v>10</v>
      </c>
      <c r="AE188">
        <v>72</v>
      </c>
      <c r="AF188" s="2">
        <f t="shared" si="2"/>
        <v>5.25</v>
      </c>
    </row>
    <row r="189" spans="1:32" hidden="1" x14ac:dyDescent="0.25">
      <c r="A189">
        <v>167</v>
      </c>
      <c r="B189" t="s">
        <v>217</v>
      </c>
      <c r="C189" t="s">
        <v>2610</v>
      </c>
      <c r="D189" t="s">
        <v>1050</v>
      </c>
      <c r="E189" t="s">
        <v>114</v>
      </c>
      <c r="F189">
        <v>28</v>
      </c>
      <c r="G189">
        <v>13</v>
      </c>
      <c r="H189">
        <v>13</v>
      </c>
      <c r="I189">
        <v>0</v>
      </c>
      <c r="J189">
        <v>0</v>
      </c>
      <c r="K189">
        <v>0</v>
      </c>
      <c r="L189">
        <v>0</v>
      </c>
      <c r="M189">
        <v>0</v>
      </c>
      <c r="N189">
        <v>0</v>
      </c>
      <c r="O189">
        <v>0</v>
      </c>
      <c r="Q189">
        <v>0</v>
      </c>
      <c r="R189">
        <v>74</v>
      </c>
      <c r="S189">
        <v>49</v>
      </c>
      <c r="T189">
        <v>558</v>
      </c>
      <c r="U189">
        <v>11.39</v>
      </c>
      <c r="V189">
        <v>2</v>
      </c>
      <c r="Y189">
        <v>68</v>
      </c>
      <c r="Z189">
        <v>117</v>
      </c>
      <c r="AA189">
        <v>119.8</v>
      </c>
      <c r="AB189">
        <v>92.3</v>
      </c>
      <c r="AD189">
        <v>19</v>
      </c>
      <c r="AF189" s="2">
        <f t="shared" si="2"/>
        <v>5.2307692307692308</v>
      </c>
    </row>
    <row r="190" spans="1:32" hidden="1" x14ac:dyDescent="0.25">
      <c r="A190">
        <v>300</v>
      </c>
      <c r="B190" t="s">
        <v>174</v>
      </c>
      <c r="C190" t="s">
        <v>2776</v>
      </c>
      <c r="D190" t="s">
        <v>1890</v>
      </c>
      <c r="E190" t="s">
        <v>47</v>
      </c>
      <c r="F190">
        <v>26</v>
      </c>
      <c r="G190">
        <v>5</v>
      </c>
      <c r="H190">
        <v>4</v>
      </c>
      <c r="I190">
        <v>0</v>
      </c>
      <c r="J190">
        <v>0</v>
      </c>
      <c r="K190">
        <v>0</v>
      </c>
      <c r="L190">
        <v>0</v>
      </c>
      <c r="M190">
        <v>0</v>
      </c>
      <c r="N190">
        <v>39</v>
      </c>
      <c r="O190">
        <v>138</v>
      </c>
      <c r="P190">
        <v>3.54</v>
      </c>
      <c r="Q190">
        <v>2</v>
      </c>
      <c r="R190">
        <v>4</v>
      </c>
      <c r="S190">
        <v>2</v>
      </c>
      <c r="T190">
        <v>23</v>
      </c>
      <c r="U190">
        <v>11.5</v>
      </c>
      <c r="V190">
        <v>0</v>
      </c>
      <c r="Y190">
        <v>26</v>
      </c>
      <c r="Z190">
        <v>28</v>
      </c>
      <c r="AA190">
        <v>32.1</v>
      </c>
      <c r="AB190">
        <v>27.1</v>
      </c>
      <c r="AD190">
        <v>87</v>
      </c>
      <c r="AF190" s="2">
        <f t="shared" si="2"/>
        <v>5.2</v>
      </c>
    </row>
    <row r="191" spans="1:32" x14ac:dyDescent="0.25">
      <c r="A191">
        <v>150</v>
      </c>
      <c r="B191" t="s">
        <v>227</v>
      </c>
      <c r="C191" t="s">
        <v>2591</v>
      </c>
      <c r="D191" t="s">
        <v>1049</v>
      </c>
      <c r="E191" t="s">
        <v>87</v>
      </c>
      <c r="F191">
        <v>32</v>
      </c>
      <c r="G191">
        <v>15</v>
      </c>
      <c r="H191">
        <v>8</v>
      </c>
      <c r="I191">
        <v>0</v>
      </c>
      <c r="J191">
        <v>0</v>
      </c>
      <c r="K191">
        <v>0</v>
      </c>
      <c r="L191">
        <v>0</v>
      </c>
      <c r="M191">
        <v>0</v>
      </c>
      <c r="N191">
        <v>0</v>
      </c>
      <c r="O191">
        <v>0</v>
      </c>
      <c r="Q191">
        <v>0</v>
      </c>
      <c r="R191">
        <v>86</v>
      </c>
      <c r="S191">
        <v>61</v>
      </c>
      <c r="T191">
        <v>659</v>
      </c>
      <c r="U191">
        <v>10.8</v>
      </c>
      <c r="V191">
        <v>2</v>
      </c>
      <c r="Y191">
        <v>78</v>
      </c>
      <c r="Z191">
        <v>139</v>
      </c>
      <c r="AA191">
        <v>141.9</v>
      </c>
      <c r="AB191">
        <v>108.4</v>
      </c>
      <c r="AD191">
        <v>54</v>
      </c>
      <c r="AF191" s="2">
        <f t="shared" si="2"/>
        <v>5.2</v>
      </c>
    </row>
    <row r="192" spans="1:32" hidden="1" x14ac:dyDescent="0.25">
      <c r="A192">
        <v>140</v>
      </c>
      <c r="B192" t="s">
        <v>228</v>
      </c>
      <c r="C192" t="s">
        <v>2581</v>
      </c>
      <c r="D192" t="s">
        <v>1047</v>
      </c>
      <c r="E192" t="s">
        <v>47</v>
      </c>
      <c r="F192">
        <v>22</v>
      </c>
      <c r="G192">
        <v>16</v>
      </c>
      <c r="H192">
        <v>0</v>
      </c>
      <c r="I192">
        <v>0</v>
      </c>
      <c r="J192">
        <v>0</v>
      </c>
      <c r="K192">
        <v>0</v>
      </c>
      <c r="L192">
        <v>0</v>
      </c>
      <c r="M192">
        <v>0</v>
      </c>
      <c r="N192">
        <v>105</v>
      </c>
      <c r="O192">
        <v>465</v>
      </c>
      <c r="P192">
        <v>4.43</v>
      </c>
      <c r="Q192">
        <v>2</v>
      </c>
      <c r="R192">
        <v>36</v>
      </c>
      <c r="S192">
        <v>21</v>
      </c>
      <c r="T192">
        <v>180</v>
      </c>
      <c r="U192">
        <v>8.57</v>
      </c>
      <c r="V192">
        <v>1</v>
      </c>
      <c r="Y192">
        <v>83</v>
      </c>
      <c r="Z192">
        <v>104</v>
      </c>
      <c r="AA192">
        <v>109.5</v>
      </c>
      <c r="AB192">
        <v>93</v>
      </c>
      <c r="AD192">
        <v>43</v>
      </c>
      <c r="AF192" s="2">
        <f t="shared" si="2"/>
        <v>5.1875</v>
      </c>
    </row>
    <row r="193" spans="1:32" x14ac:dyDescent="0.25">
      <c r="A193">
        <v>187</v>
      </c>
      <c r="B193" t="s">
        <v>157</v>
      </c>
      <c r="C193" t="s">
        <v>2632</v>
      </c>
      <c r="D193" t="s">
        <v>1890</v>
      </c>
      <c r="E193" t="s">
        <v>87</v>
      </c>
      <c r="F193">
        <v>29</v>
      </c>
      <c r="G193">
        <v>12</v>
      </c>
      <c r="H193">
        <v>12</v>
      </c>
      <c r="I193">
        <v>0</v>
      </c>
      <c r="J193">
        <v>0</v>
      </c>
      <c r="K193">
        <v>0</v>
      </c>
      <c r="L193">
        <v>0</v>
      </c>
      <c r="M193">
        <v>0</v>
      </c>
      <c r="N193">
        <v>0</v>
      </c>
      <c r="O193">
        <v>0</v>
      </c>
      <c r="Q193">
        <v>0</v>
      </c>
      <c r="R193">
        <v>72</v>
      </c>
      <c r="S193">
        <v>40</v>
      </c>
      <c r="T193">
        <v>440</v>
      </c>
      <c r="U193">
        <v>11</v>
      </c>
      <c r="V193">
        <v>3</v>
      </c>
      <c r="Y193">
        <v>62</v>
      </c>
      <c r="Z193">
        <v>102</v>
      </c>
      <c r="AA193">
        <v>105</v>
      </c>
      <c r="AB193">
        <v>82</v>
      </c>
      <c r="AD193">
        <v>68</v>
      </c>
      <c r="AF193" s="2">
        <f t="shared" si="2"/>
        <v>5.166666666666667</v>
      </c>
    </row>
    <row r="194" spans="1:32" hidden="1" x14ac:dyDescent="0.25">
      <c r="A194">
        <v>143</v>
      </c>
      <c r="B194" t="s">
        <v>1387</v>
      </c>
      <c r="C194" t="s">
        <v>2584</v>
      </c>
      <c r="D194" t="s">
        <v>1862</v>
      </c>
      <c r="E194" t="s">
        <v>47</v>
      </c>
      <c r="F194">
        <v>23</v>
      </c>
      <c r="G194">
        <v>16</v>
      </c>
      <c r="H194">
        <v>0</v>
      </c>
      <c r="I194">
        <v>0</v>
      </c>
      <c r="J194">
        <v>0</v>
      </c>
      <c r="K194">
        <v>0</v>
      </c>
      <c r="L194">
        <v>0</v>
      </c>
      <c r="M194">
        <v>0</v>
      </c>
      <c r="N194">
        <v>74</v>
      </c>
      <c r="O194">
        <v>321</v>
      </c>
      <c r="P194">
        <v>4.34</v>
      </c>
      <c r="Q194">
        <v>4</v>
      </c>
      <c r="R194">
        <v>15</v>
      </c>
      <c r="S194">
        <v>10</v>
      </c>
      <c r="T194">
        <v>123</v>
      </c>
      <c r="U194">
        <v>12.3</v>
      </c>
      <c r="V194">
        <v>2</v>
      </c>
      <c r="W194">
        <v>1</v>
      </c>
      <c r="Y194">
        <v>82</v>
      </c>
      <c r="Z194">
        <v>92</v>
      </c>
      <c r="AA194">
        <v>98.4</v>
      </c>
      <c r="AB194">
        <v>87.4</v>
      </c>
      <c r="AD194">
        <v>44</v>
      </c>
      <c r="AF194" s="2">
        <f t="shared" si="2"/>
        <v>5.125</v>
      </c>
    </row>
    <row r="195" spans="1:32" hidden="1" x14ac:dyDescent="0.25">
      <c r="A195">
        <v>74</v>
      </c>
      <c r="B195" t="s">
        <v>325</v>
      </c>
      <c r="C195" t="s">
        <v>2508</v>
      </c>
      <c r="D195" t="s">
        <v>1834</v>
      </c>
      <c r="E195" t="s">
        <v>114</v>
      </c>
      <c r="F195">
        <v>25</v>
      </c>
      <c r="G195">
        <v>16</v>
      </c>
      <c r="H195">
        <v>16</v>
      </c>
      <c r="I195">
        <v>0</v>
      </c>
      <c r="J195">
        <v>0</v>
      </c>
      <c r="K195">
        <v>0</v>
      </c>
      <c r="L195">
        <v>0</v>
      </c>
      <c r="M195">
        <v>0</v>
      </c>
      <c r="N195">
        <v>0</v>
      </c>
      <c r="O195">
        <v>0</v>
      </c>
      <c r="Q195">
        <v>0</v>
      </c>
      <c r="R195">
        <v>62</v>
      </c>
      <c r="S195">
        <v>42</v>
      </c>
      <c r="T195">
        <v>404</v>
      </c>
      <c r="U195">
        <v>9.6199999999999992</v>
      </c>
      <c r="V195">
        <v>7</v>
      </c>
      <c r="Y195">
        <v>82</v>
      </c>
      <c r="Z195">
        <v>124</v>
      </c>
      <c r="AA195">
        <v>127.4</v>
      </c>
      <c r="AB195">
        <v>103.4</v>
      </c>
      <c r="AC195">
        <v>1</v>
      </c>
      <c r="AD195">
        <v>11</v>
      </c>
      <c r="AE195">
        <v>74</v>
      </c>
      <c r="AF195" s="2">
        <f t="shared" ref="AF195:AF258" si="3">Y195/G195</f>
        <v>5.125</v>
      </c>
    </row>
    <row r="196" spans="1:32" hidden="1" x14ac:dyDescent="0.25">
      <c r="A196">
        <v>208</v>
      </c>
      <c r="B196" t="s">
        <v>260</v>
      </c>
      <c r="C196" t="s">
        <v>2656</v>
      </c>
      <c r="D196" t="s">
        <v>1043</v>
      </c>
      <c r="E196" t="s">
        <v>47</v>
      </c>
      <c r="F196">
        <v>21</v>
      </c>
      <c r="G196">
        <v>10</v>
      </c>
      <c r="H196">
        <v>1</v>
      </c>
      <c r="I196">
        <v>0</v>
      </c>
      <c r="J196">
        <v>0</v>
      </c>
      <c r="K196">
        <v>0</v>
      </c>
      <c r="L196">
        <v>0</v>
      </c>
      <c r="M196">
        <v>0</v>
      </c>
      <c r="N196">
        <v>78</v>
      </c>
      <c r="O196">
        <v>327</v>
      </c>
      <c r="P196">
        <v>4.1900000000000004</v>
      </c>
      <c r="Q196">
        <v>2</v>
      </c>
      <c r="R196">
        <v>8</v>
      </c>
      <c r="S196">
        <v>6</v>
      </c>
      <c r="T196">
        <v>83</v>
      </c>
      <c r="U196">
        <v>13.83</v>
      </c>
      <c r="V196">
        <v>0</v>
      </c>
      <c r="Y196">
        <v>51</v>
      </c>
      <c r="Z196">
        <v>57</v>
      </c>
      <c r="AA196">
        <v>61</v>
      </c>
      <c r="AB196">
        <v>54</v>
      </c>
      <c r="AD196">
        <v>65</v>
      </c>
      <c r="AF196" s="2">
        <f t="shared" si="3"/>
        <v>5.0999999999999996</v>
      </c>
    </row>
    <row r="197" spans="1:32" x14ac:dyDescent="0.25">
      <c r="A197">
        <v>145</v>
      </c>
      <c r="B197" t="s">
        <v>381</v>
      </c>
      <c r="C197" t="s">
        <v>2586</v>
      </c>
      <c r="D197" t="s">
        <v>1045</v>
      </c>
      <c r="E197" t="s">
        <v>87</v>
      </c>
      <c r="F197">
        <v>27</v>
      </c>
      <c r="G197">
        <v>16</v>
      </c>
      <c r="H197">
        <v>7</v>
      </c>
      <c r="I197">
        <v>0</v>
      </c>
      <c r="J197">
        <v>0</v>
      </c>
      <c r="K197">
        <v>0</v>
      </c>
      <c r="L197">
        <v>0</v>
      </c>
      <c r="M197">
        <v>0</v>
      </c>
      <c r="N197">
        <v>0</v>
      </c>
      <c r="O197">
        <v>0</v>
      </c>
      <c r="Q197">
        <v>0</v>
      </c>
      <c r="R197">
        <v>65</v>
      </c>
      <c r="S197">
        <v>45</v>
      </c>
      <c r="T197">
        <v>573</v>
      </c>
      <c r="U197">
        <v>12.73</v>
      </c>
      <c r="V197">
        <v>4</v>
      </c>
      <c r="Y197">
        <v>81</v>
      </c>
      <c r="Z197">
        <v>126</v>
      </c>
      <c r="AA197">
        <v>129.30000000000001</v>
      </c>
      <c r="AB197">
        <v>103.8</v>
      </c>
      <c r="AD197">
        <v>53</v>
      </c>
      <c r="AF197" s="2">
        <f t="shared" si="3"/>
        <v>5.0625</v>
      </c>
    </row>
    <row r="198" spans="1:32" hidden="1" x14ac:dyDescent="0.25">
      <c r="A198">
        <v>447</v>
      </c>
      <c r="B198" t="s">
        <v>1556</v>
      </c>
      <c r="C198" t="s">
        <v>2979</v>
      </c>
      <c r="D198" t="s">
        <v>1050</v>
      </c>
      <c r="E198" t="s">
        <v>47</v>
      </c>
      <c r="F198">
        <v>26</v>
      </c>
      <c r="G198">
        <v>1</v>
      </c>
      <c r="H198">
        <v>0</v>
      </c>
      <c r="I198">
        <v>0</v>
      </c>
      <c r="J198">
        <v>0</v>
      </c>
      <c r="K198">
        <v>0</v>
      </c>
      <c r="L198">
        <v>0</v>
      </c>
      <c r="M198">
        <v>0</v>
      </c>
      <c r="N198">
        <v>7</v>
      </c>
      <c r="O198">
        <v>41</v>
      </c>
      <c r="P198">
        <v>5.86</v>
      </c>
      <c r="Q198">
        <v>0</v>
      </c>
      <c r="R198">
        <v>2</v>
      </c>
      <c r="S198">
        <v>2</v>
      </c>
      <c r="T198">
        <v>7</v>
      </c>
      <c r="U198">
        <v>3.5</v>
      </c>
      <c r="V198">
        <v>0</v>
      </c>
      <c r="Y198">
        <v>5</v>
      </c>
      <c r="Z198">
        <v>7</v>
      </c>
      <c r="AA198">
        <v>6.8</v>
      </c>
      <c r="AB198">
        <v>5.8</v>
      </c>
      <c r="AD198">
        <v>128</v>
      </c>
      <c r="AF198" s="2">
        <f t="shared" si="3"/>
        <v>5</v>
      </c>
    </row>
    <row r="199" spans="1:32" hidden="1" x14ac:dyDescent="0.25">
      <c r="A199">
        <v>146</v>
      </c>
      <c r="B199" t="s">
        <v>1373</v>
      </c>
      <c r="C199" t="s">
        <v>2587</v>
      </c>
      <c r="D199" t="s">
        <v>1041</v>
      </c>
      <c r="E199" t="s">
        <v>47</v>
      </c>
      <c r="F199">
        <v>22</v>
      </c>
      <c r="G199">
        <v>16</v>
      </c>
      <c r="H199">
        <v>0</v>
      </c>
      <c r="I199">
        <v>0</v>
      </c>
      <c r="J199">
        <v>0</v>
      </c>
      <c r="K199">
        <v>0</v>
      </c>
      <c r="L199">
        <v>0</v>
      </c>
      <c r="M199">
        <v>0</v>
      </c>
      <c r="N199">
        <v>47</v>
      </c>
      <c r="O199">
        <v>260</v>
      </c>
      <c r="P199">
        <v>5.53</v>
      </c>
      <c r="Q199">
        <v>2</v>
      </c>
      <c r="R199">
        <v>35</v>
      </c>
      <c r="S199">
        <v>27</v>
      </c>
      <c r="T199">
        <v>279</v>
      </c>
      <c r="U199">
        <v>10.33</v>
      </c>
      <c r="V199">
        <v>3</v>
      </c>
      <c r="Y199">
        <v>80</v>
      </c>
      <c r="Z199">
        <v>107</v>
      </c>
      <c r="AA199">
        <v>114.9</v>
      </c>
      <c r="AB199">
        <v>93.4</v>
      </c>
      <c r="AD199">
        <v>46</v>
      </c>
      <c r="AF199" s="2">
        <f t="shared" si="3"/>
        <v>5</v>
      </c>
    </row>
    <row r="200" spans="1:32" hidden="1" x14ac:dyDescent="0.25">
      <c r="A200">
        <v>391</v>
      </c>
      <c r="B200" t="s">
        <v>1109</v>
      </c>
      <c r="C200" t="s">
        <v>2899</v>
      </c>
      <c r="D200" t="s">
        <v>1811</v>
      </c>
      <c r="E200" t="s">
        <v>15</v>
      </c>
      <c r="F200">
        <v>27</v>
      </c>
      <c r="G200">
        <v>2</v>
      </c>
      <c r="H200">
        <v>1</v>
      </c>
      <c r="I200">
        <v>21</v>
      </c>
      <c r="J200">
        <v>36</v>
      </c>
      <c r="K200">
        <v>212</v>
      </c>
      <c r="L200">
        <v>1</v>
      </c>
      <c r="M200">
        <v>0</v>
      </c>
      <c r="N200">
        <v>4</v>
      </c>
      <c r="O200">
        <v>12</v>
      </c>
      <c r="P200">
        <v>3</v>
      </c>
      <c r="Q200">
        <v>0</v>
      </c>
      <c r="R200">
        <v>0</v>
      </c>
      <c r="S200">
        <v>0</v>
      </c>
      <c r="T200">
        <v>0</v>
      </c>
      <c r="V200">
        <v>0</v>
      </c>
      <c r="Y200">
        <v>10</v>
      </c>
      <c r="Z200">
        <v>10</v>
      </c>
      <c r="AA200">
        <v>11.7</v>
      </c>
      <c r="AB200">
        <v>9.6999999999999993</v>
      </c>
      <c r="AD200">
        <v>54</v>
      </c>
      <c r="AF200" s="2">
        <f t="shared" si="3"/>
        <v>5</v>
      </c>
    </row>
    <row r="201" spans="1:32" hidden="1" x14ac:dyDescent="0.25">
      <c r="A201">
        <v>386</v>
      </c>
      <c r="B201" t="s">
        <v>2892</v>
      </c>
      <c r="C201" t="s">
        <v>2893</v>
      </c>
      <c r="D201" t="s">
        <v>1890</v>
      </c>
      <c r="E201" t="s">
        <v>15</v>
      </c>
      <c r="F201">
        <v>29</v>
      </c>
      <c r="G201">
        <v>2</v>
      </c>
      <c r="H201">
        <v>0</v>
      </c>
      <c r="I201">
        <v>9</v>
      </c>
      <c r="J201">
        <v>16</v>
      </c>
      <c r="K201">
        <v>56</v>
      </c>
      <c r="L201">
        <v>2</v>
      </c>
      <c r="M201">
        <v>0</v>
      </c>
      <c r="N201">
        <v>4</v>
      </c>
      <c r="O201">
        <v>-3</v>
      </c>
      <c r="P201">
        <v>-0.75</v>
      </c>
      <c r="Q201">
        <v>0</v>
      </c>
      <c r="R201">
        <v>0</v>
      </c>
      <c r="S201">
        <v>0</v>
      </c>
      <c r="T201">
        <v>0</v>
      </c>
      <c r="V201">
        <v>0</v>
      </c>
      <c r="Y201">
        <v>10</v>
      </c>
      <c r="Z201">
        <v>10</v>
      </c>
      <c r="AA201">
        <v>9.9</v>
      </c>
      <c r="AB201">
        <v>9.9</v>
      </c>
      <c r="AD201">
        <v>53</v>
      </c>
      <c r="AF201" s="2">
        <f t="shared" si="3"/>
        <v>5</v>
      </c>
    </row>
    <row r="202" spans="1:32" x14ac:dyDescent="0.25">
      <c r="A202">
        <v>392</v>
      </c>
      <c r="B202" t="s">
        <v>2900</v>
      </c>
      <c r="C202" t="s">
        <v>2901</v>
      </c>
      <c r="D202" t="s">
        <v>2398</v>
      </c>
      <c r="E202" t="s">
        <v>87</v>
      </c>
      <c r="F202">
        <v>23</v>
      </c>
      <c r="G202">
        <v>2</v>
      </c>
      <c r="H202">
        <v>0</v>
      </c>
      <c r="I202">
        <v>0</v>
      </c>
      <c r="J202">
        <v>0</v>
      </c>
      <c r="K202">
        <v>0</v>
      </c>
      <c r="L202">
        <v>0</v>
      </c>
      <c r="M202">
        <v>0</v>
      </c>
      <c r="N202">
        <v>0</v>
      </c>
      <c r="O202">
        <v>0</v>
      </c>
      <c r="Q202">
        <v>0</v>
      </c>
      <c r="R202">
        <v>4</v>
      </c>
      <c r="S202">
        <v>3</v>
      </c>
      <c r="T202">
        <v>38</v>
      </c>
      <c r="U202">
        <v>12.67</v>
      </c>
      <c r="V202">
        <v>1</v>
      </c>
      <c r="Y202">
        <v>10</v>
      </c>
      <c r="Z202">
        <v>13</v>
      </c>
      <c r="AA202">
        <v>12.8</v>
      </c>
      <c r="AB202">
        <v>11.3</v>
      </c>
      <c r="AD202">
        <v>150</v>
      </c>
      <c r="AF202" s="2">
        <f t="shared" si="3"/>
        <v>5</v>
      </c>
    </row>
    <row r="203" spans="1:32" hidden="1" x14ac:dyDescent="0.25">
      <c r="A203">
        <v>147</v>
      </c>
      <c r="B203" t="s">
        <v>208</v>
      </c>
      <c r="C203" t="s">
        <v>2588</v>
      </c>
      <c r="D203" t="s">
        <v>1870</v>
      </c>
      <c r="E203" t="s">
        <v>114</v>
      </c>
      <c r="F203">
        <v>30</v>
      </c>
      <c r="G203">
        <v>16</v>
      </c>
      <c r="H203">
        <v>16</v>
      </c>
      <c r="I203">
        <v>0</v>
      </c>
      <c r="J203">
        <v>0</v>
      </c>
      <c r="K203">
        <v>0</v>
      </c>
      <c r="L203">
        <v>0</v>
      </c>
      <c r="M203">
        <v>0</v>
      </c>
      <c r="N203">
        <v>0</v>
      </c>
      <c r="O203">
        <v>0</v>
      </c>
      <c r="Q203">
        <v>0</v>
      </c>
      <c r="R203">
        <v>86</v>
      </c>
      <c r="S203">
        <v>54</v>
      </c>
      <c r="T203">
        <v>688</v>
      </c>
      <c r="U203">
        <v>12.74</v>
      </c>
      <c r="V203">
        <v>2</v>
      </c>
      <c r="Y203">
        <v>79</v>
      </c>
      <c r="Z203">
        <v>133</v>
      </c>
      <c r="AA203">
        <v>136.80000000000001</v>
      </c>
      <c r="AB203">
        <v>105.8</v>
      </c>
      <c r="AD203">
        <v>15</v>
      </c>
      <c r="AF203" s="2">
        <f t="shared" si="3"/>
        <v>4.9375</v>
      </c>
    </row>
    <row r="204" spans="1:32" hidden="1" x14ac:dyDescent="0.25">
      <c r="A204">
        <v>148</v>
      </c>
      <c r="B204" t="s">
        <v>265</v>
      </c>
      <c r="C204" t="s">
        <v>2589</v>
      </c>
      <c r="D204" t="s">
        <v>1045</v>
      </c>
      <c r="E204" t="s">
        <v>114</v>
      </c>
      <c r="F204">
        <v>33</v>
      </c>
      <c r="G204">
        <v>16</v>
      </c>
      <c r="H204">
        <v>16</v>
      </c>
      <c r="I204">
        <v>0</v>
      </c>
      <c r="J204">
        <v>0</v>
      </c>
      <c r="K204">
        <v>0</v>
      </c>
      <c r="L204">
        <v>0</v>
      </c>
      <c r="M204">
        <v>0</v>
      </c>
      <c r="N204">
        <v>0</v>
      </c>
      <c r="O204">
        <v>0</v>
      </c>
      <c r="Q204">
        <v>0</v>
      </c>
      <c r="R204">
        <v>69</v>
      </c>
      <c r="S204">
        <v>43</v>
      </c>
      <c r="T204">
        <v>648</v>
      </c>
      <c r="U204">
        <v>15.07</v>
      </c>
      <c r="V204">
        <v>3</v>
      </c>
      <c r="Y204">
        <v>79</v>
      </c>
      <c r="Z204">
        <v>122</v>
      </c>
      <c r="AA204">
        <v>126.8</v>
      </c>
      <c r="AB204">
        <v>100.3</v>
      </c>
      <c r="AD204">
        <v>14</v>
      </c>
      <c r="AF204" s="2">
        <f t="shared" si="3"/>
        <v>4.9375</v>
      </c>
    </row>
    <row r="205" spans="1:32" hidden="1" x14ac:dyDescent="0.25">
      <c r="A205">
        <v>149</v>
      </c>
      <c r="B205" t="s">
        <v>178</v>
      </c>
      <c r="C205" t="s">
        <v>2590</v>
      </c>
      <c r="D205" t="s">
        <v>1882</v>
      </c>
      <c r="E205" t="s">
        <v>114</v>
      </c>
      <c r="F205">
        <v>24</v>
      </c>
      <c r="G205">
        <v>16</v>
      </c>
      <c r="H205">
        <v>9</v>
      </c>
      <c r="I205">
        <v>0</v>
      </c>
      <c r="J205">
        <v>0</v>
      </c>
      <c r="K205">
        <v>0</v>
      </c>
      <c r="L205">
        <v>0</v>
      </c>
      <c r="M205">
        <v>0</v>
      </c>
      <c r="N205">
        <v>0</v>
      </c>
      <c r="O205">
        <v>0</v>
      </c>
      <c r="Q205">
        <v>0</v>
      </c>
      <c r="R205">
        <v>86</v>
      </c>
      <c r="S205">
        <v>53</v>
      </c>
      <c r="T205">
        <v>574</v>
      </c>
      <c r="U205">
        <v>10.83</v>
      </c>
      <c r="V205">
        <v>4</v>
      </c>
      <c r="Y205">
        <v>79</v>
      </c>
      <c r="Z205">
        <v>132</v>
      </c>
      <c r="AA205">
        <v>136.4</v>
      </c>
      <c r="AB205">
        <v>105.9</v>
      </c>
      <c r="AD205">
        <v>13</v>
      </c>
      <c r="AF205" s="2">
        <f t="shared" si="3"/>
        <v>4.9375</v>
      </c>
    </row>
    <row r="206" spans="1:32" x14ac:dyDescent="0.25">
      <c r="A206">
        <v>219</v>
      </c>
      <c r="B206" t="s">
        <v>185</v>
      </c>
      <c r="C206" t="s">
        <v>2672</v>
      </c>
      <c r="D206" t="s">
        <v>1806</v>
      </c>
      <c r="E206" t="s">
        <v>87</v>
      </c>
      <c r="F206">
        <v>27</v>
      </c>
      <c r="G206">
        <v>10</v>
      </c>
      <c r="H206">
        <v>5</v>
      </c>
      <c r="I206">
        <v>0</v>
      </c>
      <c r="J206">
        <v>0</v>
      </c>
      <c r="K206">
        <v>0</v>
      </c>
      <c r="L206">
        <v>0</v>
      </c>
      <c r="M206">
        <v>0</v>
      </c>
      <c r="N206">
        <v>1</v>
      </c>
      <c r="O206">
        <v>10</v>
      </c>
      <c r="P206">
        <v>10</v>
      </c>
      <c r="Q206">
        <v>0</v>
      </c>
      <c r="R206">
        <v>55</v>
      </c>
      <c r="S206">
        <v>21</v>
      </c>
      <c r="T206">
        <v>299</v>
      </c>
      <c r="U206">
        <v>14.24</v>
      </c>
      <c r="V206">
        <v>3</v>
      </c>
      <c r="Y206">
        <v>49</v>
      </c>
      <c r="Z206">
        <v>70</v>
      </c>
      <c r="AA206">
        <v>72.900000000000006</v>
      </c>
      <c r="AB206">
        <v>59.4</v>
      </c>
      <c r="AD206">
        <v>83</v>
      </c>
      <c r="AF206" s="2">
        <f t="shared" si="3"/>
        <v>4.9000000000000004</v>
      </c>
    </row>
    <row r="207" spans="1:32" hidden="1" x14ac:dyDescent="0.25">
      <c r="A207">
        <v>160</v>
      </c>
      <c r="B207" t="s">
        <v>388</v>
      </c>
      <c r="C207" t="s">
        <v>2603</v>
      </c>
      <c r="D207" t="s">
        <v>1044</v>
      </c>
      <c r="E207" t="s">
        <v>47</v>
      </c>
      <c r="F207">
        <v>25</v>
      </c>
      <c r="G207">
        <v>15</v>
      </c>
      <c r="H207">
        <v>1</v>
      </c>
      <c r="I207">
        <v>0</v>
      </c>
      <c r="J207">
        <v>0</v>
      </c>
      <c r="K207">
        <v>0</v>
      </c>
      <c r="L207">
        <v>0</v>
      </c>
      <c r="M207">
        <v>0</v>
      </c>
      <c r="N207">
        <v>55</v>
      </c>
      <c r="O207">
        <v>232</v>
      </c>
      <c r="P207">
        <v>4.22</v>
      </c>
      <c r="Q207">
        <v>4</v>
      </c>
      <c r="R207">
        <v>23</v>
      </c>
      <c r="S207">
        <v>19</v>
      </c>
      <c r="T207">
        <v>202</v>
      </c>
      <c r="U207">
        <v>10.63</v>
      </c>
      <c r="V207">
        <v>1</v>
      </c>
      <c r="Y207">
        <v>73</v>
      </c>
      <c r="Z207">
        <v>92</v>
      </c>
      <c r="AA207">
        <v>98.4</v>
      </c>
      <c r="AB207">
        <v>82.9</v>
      </c>
      <c r="AD207">
        <v>48</v>
      </c>
      <c r="AF207" s="2">
        <f t="shared" si="3"/>
        <v>4.8666666666666663</v>
      </c>
    </row>
    <row r="208" spans="1:32" hidden="1" x14ac:dyDescent="0.25">
      <c r="A208">
        <v>271</v>
      </c>
      <c r="B208" t="s">
        <v>344</v>
      </c>
      <c r="C208" t="s">
        <v>2740</v>
      </c>
      <c r="D208" t="s">
        <v>1862</v>
      </c>
      <c r="E208" t="s">
        <v>15</v>
      </c>
      <c r="F208">
        <v>28</v>
      </c>
      <c r="G208">
        <v>7</v>
      </c>
      <c r="H208">
        <v>3</v>
      </c>
      <c r="I208">
        <v>57</v>
      </c>
      <c r="J208">
        <v>101</v>
      </c>
      <c r="K208">
        <v>537</v>
      </c>
      <c r="L208">
        <v>5</v>
      </c>
      <c r="M208">
        <v>2</v>
      </c>
      <c r="N208">
        <v>11</v>
      </c>
      <c r="O208">
        <v>3</v>
      </c>
      <c r="P208">
        <v>0.27</v>
      </c>
      <c r="Q208">
        <v>0</v>
      </c>
      <c r="R208">
        <v>0</v>
      </c>
      <c r="S208">
        <v>0</v>
      </c>
      <c r="T208">
        <v>0</v>
      </c>
      <c r="V208">
        <v>0</v>
      </c>
      <c r="Y208">
        <v>34</v>
      </c>
      <c r="Z208">
        <v>34</v>
      </c>
      <c r="AA208">
        <v>40.799999999999997</v>
      </c>
      <c r="AB208">
        <v>35.799999999999997</v>
      </c>
      <c r="AD208">
        <v>44</v>
      </c>
      <c r="AF208" s="2">
        <f t="shared" si="3"/>
        <v>4.8571428571428568</v>
      </c>
    </row>
    <row r="209" spans="1:32" hidden="1" x14ac:dyDescent="0.25">
      <c r="A209">
        <v>183</v>
      </c>
      <c r="B209" t="s">
        <v>1490</v>
      </c>
      <c r="C209" t="s">
        <v>2628</v>
      </c>
      <c r="D209" t="s">
        <v>1865</v>
      </c>
      <c r="E209" t="s">
        <v>47</v>
      </c>
      <c r="F209">
        <v>24</v>
      </c>
      <c r="G209">
        <v>13</v>
      </c>
      <c r="H209">
        <v>1</v>
      </c>
      <c r="I209">
        <v>0</v>
      </c>
      <c r="J209">
        <v>0</v>
      </c>
      <c r="K209">
        <v>0</v>
      </c>
      <c r="L209">
        <v>0</v>
      </c>
      <c r="M209">
        <v>0</v>
      </c>
      <c r="N209">
        <v>46</v>
      </c>
      <c r="O209">
        <v>187</v>
      </c>
      <c r="P209">
        <v>4.07</v>
      </c>
      <c r="Q209">
        <v>1</v>
      </c>
      <c r="R209">
        <v>46</v>
      </c>
      <c r="S209">
        <v>34</v>
      </c>
      <c r="T209">
        <v>266</v>
      </c>
      <c r="U209">
        <v>7.82</v>
      </c>
      <c r="V209">
        <v>2</v>
      </c>
      <c r="Y209">
        <v>63</v>
      </c>
      <c r="Z209">
        <v>97</v>
      </c>
      <c r="AA209">
        <v>103.3</v>
      </c>
      <c r="AB209">
        <v>80.3</v>
      </c>
      <c r="AD209">
        <v>58</v>
      </c>
      <c r="AF209" s="2">
        <f t="shared" si="3"/>
        <v>4.8461538461538458</v>
      </c>
    </row>
    <row r="210" spans="1:32" x14ac:dyDescent="0.25">
      <c r="A210">
        <v>231</v>
      </c>
      <c r="B210" t="s">
        <v>169</v>
      </c>
      <c r="C210" t="s">
        <v>2688</v>
      </c>
      <c r="D210" t="s">
        <v>1872</v>
      </c>
      <c r="E210" t="s">
        <v>87</v>
      </c>
      <c r="F210">
        <v>23</v>
      </c>
      <c r="G210">
        <v>9</v>
      </c>
      <c r="H210">
        <v>8</v>
      </c>
      <c r="I210">
        <v>0</v>
      </c>
      <c r="J210">
        <v>0</v>
      </c>
      <c r="K210">
        <v>0</v>
      </c>
      <c r="L210">
        <v>0</v>
      </c>
      <c r="M210">
        <v>0</v>
      </c>
      <c r="N210">
        <v>0</v>
      </c>
      <c r="O210">
        <v>0</v>
      </c>
      <c r="Q210">
        <v>0</v>
      </c>
      <c r="R210">
        <v>58</v>
      </c>
      <c r="S210">
        <v>23</v>
      </c>
      <c r="T210">
        <v>305</v>
      </c>
      <c r="U210">
        <v>13.26</v>
      </c>
      <c r="V210">
        <v>2</v>
      </c>
      <c r="Y210">
        <v>43</v>
      </c>
      <c r="Z210">
        <v>66</v>
      </c>
      <c r="AA210">
        <v>68.5</v>
      </c>
      <c r="AB210">
        <v>54</v>
      </c>
      <c r="AD210">
        <v>91</v>
      </c>
      <c r="AF210" s="2">
        <f t="shared" si="3"/>
        <v>4.7777777777777777</v>
      </c>
    </row>
    <row r="211" spans="1:32" hidden="1" x14ac:dyDescent="0.25">
      <c r="A211">
        <v>153</v>
      </c>
      <c r="B211" t="s">
        <v>2594</v>
      </c>
      <c r="C211" t="s">
        <v>2595</v>
      </c>
      <c r="D211" t="s">
        <v>1890</v>
      </c>
      <c r="E211" t="s">
        <v>114</v>
      </c>
      <c r="F211">
        <v>37</v>
      </c>
      <c r="G211">
        <v>16</v>
      </c>
      <c r="H211">
        <v>12</v>
      </c>
      <c r="I211">
        <v>0</v>
      </c>
      <c r="J211">
        <v>0</v>
      </c>
      <c r="K211">
        <v>0</v>
      </c>
      <c r="L211">
        <v>0</v>
      </c>
      <c r="M211">
        <v>0</v>
      </c>
      <c r="N211">
        <v>0</v>
      </c>
      <c r="O211">
        <v>0</v>
      </c>
      <c r="Q211">
        <v>0</v>
      </c>
      <c r="R211">
        <v>79</v>
      </c>
      <c r="S211">
        <v>61</v>
      </c>
      <c r="T211">
        <v>522</v>
      </c>
      <c r="U211">
        <v>8.56</v>
      </c>
      <c r="V211">
        <v>4</v>
      </c>
      <c r="Y211">
        <v>76</v>
      </c>
      <c r="Z211">
        <v>137</v>
      </c>
      <c r="AA211">
        <v>140.19999999999999</v>
      </c>
      <c r="AB211">
        <v>106.7</v>
      </c>
      <c r="AD211">
        <v>16</v>
      </c>
      <c r="AF211" s="2">
        <f t="shared" si="3"/>
        <v>4.75</v>
      </c>
    </row>
    <row r="212" spans="1:32" hidden="1" x14ac:dyDescent="0.25">
      <c r="A212">
        <v>188</v>
      </c>
      <c r="B212" t="s">
        <v>275</v>
      </c>
      <c r="C212" t="s">
        <v>2633</v>
      </c>
      <c r="D212" t="s">
        <v>1054</v>
      </c>
      <c r="E212" t="s">
        <v>47</v>
      </c>
      <c r="F212">
        <v>25</v>
      </c>
      <c r="G212">
        <v>13</v>
      </c>
      <c r="H212">
        <v>0</v>
      </c>
      <c r="I212">
        <v>0</v>
      </c>
      <c r="J212">
        <v>0</v>
      </c>
      <c r="K212">
        <v>0</v>
      </c>
      <c r="L212">
        <v>0</v>
      </c>
      <c r="M212">
        <v>0</v>
      </c>
      <c r="N212">
        <v>79</v>
      </c>
      <c r="O212">
        <v>299</v>
      </c>
      <c r="P212">
        <v>3.78</v>
      </c>
      <c r="Q212">
        <v>1</v>
      </c>
      <c r="R212">
        <v>38</v>
      </c>
      <c r="S212">
        <v>30</v>
      </c>
      <c r="T212">
        <v>275</v>
      </c>
      <c r="U212">
        <v>9.17</v>
      </c>
      <c r="V212">
        <v>0</v>
      </c>
      <c r="Y212">
        <v>61</v>
      </c>
      <c r="Z212">
        <v>91</v>
      </c>
      <c r="AA212">
        <v>98.4</v>
      </c>
      <c r="AB212">
        <v>76.400000000000006</v>
      </c>
      <c r="AD212">
        <v>59</v>
      </c>
      <c r="AF212" s="2">
        <f t="shared" si="3"/>
        <v>4.6923076923076925</v>
      </c>
    </row>
    <row r="213" spans="1:32" hidden="1" x14ac:dyDescent="0.25">
      <c r="A213">
        <v>177</v>
      </c>
      <c r="B213" t="s">
        <v>212</v>
      </c>
      <c r="C213" t="s">
        <v>2621</v>
      </c>
      <c r="D213" t="s">
        <v>1044</v>
      </c>
      <c r="E213" t="s">
        <v>47</v>
      </c>
      <c r="F213">
        <v>29</v>
      </c>
      <c r="G213">
        <v>14</v>
      </c>
      <c r="H213">
        <v>5</v>
      </c>
      <c r="I213">
        <v>0</v>
      </c>
      <c r="J213">
        <v>0</v>
      </c>
      <c r="K213">
        <v>0</v>
      </c>
      <c r="L213">
        <v>0</v>
      </c>
      <c r="M213">
        <v>0</v>
      </c>
      <c r="N213">
        <v>115</v>
      </c>
      <c r="O213">
        <v>547</v>
      </c>
      <c r="P213">
        <v>4.76</v>
      </c>
      <c r="Q213">
        <v>1</v>
      </c>
      <c r="R213">
        <v>9</v>
      </c>
      <c r="S213">
        <v>7</v>
      </c>
      <c r="T213">
        <v>45</v>
      </c>
      <c r="U213">
        <v>6.43</v>
      </c>
      <c r="V213">
        <v>0</v>
      </c>
      <c r="Y213">
        <v>65</v>
      </c>
      <c r="Z213">
        <v>72</v>
      </c>
      <c r="AA213">
        <v>75.2</v>
      </c>
      <c r="AB213">
        <v>68.7</v>
      </c>
      <c r="AD213">
        <v>56</v>
      </c>
      <c r="AF213" s="2">
        <f t="shared" si="3"/>
        <v>4.6428571428571432</v>
      </c>
    </row>
    <row r="214" spans="1:32" hidden="1" x14ac:dyDescent="0.25">
      <c r="A214">
        <v>180</v>
      </c>
      <c r="B214" t="s">
        <v>280</v>
      </c>
      <c r="C214" t="s">
        <v>2625</v>
      </c>
      <c r="D214" t="s">
        <v>1039</v>
      </c>
      <c r="E214" t="s">
        <v>47</v>
      </c>
      <c r="F214">
        <v>29</v>
      </c>
      <c r="G214">
        <v>14</v>
      </c>
      <c r="H214">
        <v>3</v>
      </c>
      <c r="I214">
        <v>0</v>
      </c>
      <c r="J214">
        <v>0</v>
      </c>
      <c r="K214">
        <v>0</v>
      </c>
      <c r="L214">
        <v>0</v>
      </c>
      <c r="M214">
        <v>0</v>
      </c>
      <c r="N214">
        <v>112</v>
      </c>
      <c r="O214">
        <v>382</v>
      </c>
      <c r="P214">
        <v>3.41</v>
      </c>
      <c r="Q214">
        <v>1</v>
      </c>
      <c r="R214">
        <v>28</v>
      </c>
      <c r="S214">
        <v>21</v>
      </c>
      <c r="T214">
        <v>175</v>
      </c>
      <c r="U214">
        <v>8.33</v>
      </c>
      <c r="V214">
        <v>1</v>
      </c>
      <c r="Y214">
        <v>64</v>
      </c>
      <c r="Z214">
        <v>85</v>
      </c>
      <c r="AA214">
        <v>92.7</v>
      </c>
      <c r="AB214">
        <v>74.2</v>
      </c>
      <c r="AD214">
        <v>57</v>
      </c>
      <c r="AF214" s="2">
        <f t="shared" si="3"/>
        <v>4.5714285714285712</v>
      </c>
    </row>
    <row r="215" spans="1:32" x14ac:dyDescent="0.25">
      <c r="A215">
        <v>158</v>
      </c>
      <c r="B215" t="s">
        <v>180</v>
      </c>
      <c r="C215" t="s">
        <v>2601</v>
      </c>
      <c r="D215" t="s">
        <v>1865</v>
      </c>
      <c r="E215" t="s">
        <v>87</v>
      </c>
      <c r="F215">
        <v>25</v>
      </c>
      <c r="G215">
        <v>16</v>
      </c>
      <c r="H215">
        <v>8</v>
      </c>
      <c r="I215">
        <v>0</v>
      </c>
      <c r="J215">
        <v>0</v>
      </c>
      <c r="K215">
        <v>0</v>
      </c>
      <c r="L215">
        <v>0</v>
      </c>
      <c r="M215">
        <v>0</v>
      </c>
      <c r="N215">
        <v>10</v>
      </c>
      <c r="O215">
        <v>58</v>
      </c>
      <c r="P215">
        <v>5.8</v>
      </c>
      <c r="Q215">
        <v>0</v>
      </c>
      <c r="R215">
        <v>71</v>
      </c>
      <c r="S215">
        <v>45</v>
      </c>
      <c r="T215">
        <v>555</v>
      </c>
      <c r="U215">
        <v>12.33</v>
      </c>
      <c r="V215">
        <v>2</v>
      </c>
      <c r="Y215">
        <v>73</v>
      </c>
      <c r="Z215">
        <v>118</v>
      </c>
      <c r="AA215">
        <v>127.3</v>
      </c>
      <c r="AB215">
        <v>101.8</v>
      </c>
      <c r="AD215">
        <v>57</v>
      </c>
      <c r="AF215" s="2">
        <f t="shared" si="3"/>
        <v>4.5625</v>
      </c>
    </row>
    <row r="216" spans="1:32" x14ac:dyDescent="0.25">
      <c r="A216">
        <v>157</v>
      </c>
      <c r="B216" t="s">
        <v>2599</v>
      </c>
      <c r="C216" t="s">
        <v>2600</v>
      </c>
      <c r="D216" t="s">
        <v>1834</v>
      </c>
      <c r="E216" t="s">
        <v>87</v>
      </c>
      <c r="F216">
        <v>31</v>
      </c>
      <c r="G216">
        <v>16</v>
      </c>
      <c r="H216">
        <v>15</v>
      </c>
      <c r="I216">
        <v>0</v>
      </c>
      <c r="J216">
        <v>0</v>
      </c>
      <c r="K216">
        <v>0</v>
      </c>
      <c r="L216">
        <v>0</v>
      </c>
      <c r="M216">
        <v>0</v>
      </c>
      <c r="N216">
        <v>0</v>
      </c>
      <c r="O216">
        <v>0</v>
      </c>
      <c r="Q216">
        <v>0</v>
      </c>
      <c r="R216">
        <v>89</v>
      </c>
      <c r="S216">
        <v>52</v>
      </c>
      <c r="T216">
        <v>548</v>
      </c>
      <c r="U216">
        <v>10.54</v>
      </c>
      <c r="V216">
        <v>3</v>
      </c>
      <c r="Y216">
        <v>73</v>
      </c>
      <c r="Z216">
        <v>125</v>
      </c>
      <c r="AA216">
        <v>127.8</v>
      </c>
      <c r="AB216">
        <v>98.8</v>
      </c>
      <c r="AD216">
        <v>59</v>
      </c>
      <c r="AF216" s="2">
        <f t="shared" si="3"/>
        <v>4.5625</v>
      </c>
    </row>
    <row r="217" spans="1:32" x14ac:dyDescent="0.25">
      <c r="A217">
        <v>161</v>
      </c>
      <c r="B217" t="s">
        <v>338</v>
      </c>
      <c r="C217" t="s">
        <v>2604</v>
      </c>
      <c r="D217" t="s">
        <v>1806</v>
      </c>
      <c r="E217" t="s">
        <v>87</v>
      </c>
      <c r="F217">
        <v>27</v>
      </c>
      <c r="G217">
        <v>16</v>
      </c>
      <c r="H217">
        <v>8</v>
      </c>
      <c r="I217">
        <v>0</v>
      </c>
      <c r="J217">
        <v>0</v>
      </c>
      <c r="K217">
        <v>0</v>
      </c>
      <c r="L217">
        <v>0</v>
      </c>
      <c r="M217">
        <v>0</v>
      </c>
      <c r="N217">
        <v>0</v>
      </c>
      <c r="O217">
        <v>0</v>
      </c>
      <c r="Q217">
        <v>0</v>
      </c>
      <c r="R217">
        <v>69</v>
      </c>
      <c r="S217">
        <v>31</v>
      </c>
      <c r="T217">
        <v>477</v>
      </c>
      <c r="U217">
        <v>15.39</v>
      </c>
      <c r="V217">
        <v>4</v>
      </c>
      <c r="Y217">
        <v>72</v>
      </c>
      <c r="Z217">
        <v>103</v>
      </c>
      <c r="AA217">
        <v>105.7</v>
      </c>
      <c r="AB217">
        <v>87.2</v>
      </c>
      <c r="AD217">
        <v>60</v>
      </c>
      <c r="AF217" s="2">
        <f t="shared" si="3"/>
        <v>4.5</v>
      </c>
    </row>
    <row r="218" spans="1:32" hidden="1" x14ac:dyDescent="0.25">
      <c r="A218">
        <v>267</v>
      </c>
      <c r="B218" t="s">
        <v>200</v>
      </c>
      <c r="C218" t="s">
        <v>2736</v>
      </c>
      <c r="D218" t="s">
        <v>1042</v>
      </c>
      <c r="E218" t="s">
        <v>114</v>
      </c>
      <c r="F218">
        <v>33</v>
      </c>
      <c r="G218">
        <v>8</v>
      </c>
      <c r="H218">
        <v>6</v>
      </c>
      <c r="I218">
        <v>0</v>
      </c>
      <c r="J218">
        <v>0</v>
      </c>
      <c r="K218">
        <v>0</v>
      </c>
      <c r="L218">
        <v>0</v>
      </c>
      <c r="M218">
        <v>0</v>
      </c>
      <c r="N218">
        <v>0</v>
      </c>
      <c r="O218">
        <v>0</v>
      </c>
      <c r="Q218">
        <v>0</v>
      </c>
      <c r="R218">
        <v>35</v>
      </c>
      <c r="S218">
        <v>20</v>
      </c>
      <c r="T218">
        <v>236</v>
      </c>
      <c r="U218">
        <v>11.8</v>
      </c>
      <c r="V218">
        <v>2</v>
      </c>
      <c r="Y218">
        <v>36</v>
      </c>
      <c r="Z218">
        <v>56</v>
      </c>
      <c r="AA218">
        <v>58.6</v>
      </c>
      <c r="AB218">
        <v>45.6</v>
      </c>
      <c r="AD218">
        <v>38</v>
      </c>
      <c r="AF218" s="2">
        <f t="shared" si="3"/>
        <v>4.5</v>
      </c>
    </row>
    <row r="219" spans="1:32" hidden="1" x14ac:dyDescent="0.25">
      <c r="A219">
        <v>163</v>
      </c>
      <c r="B219" t="s">
        <v>211</v>
      </c>
      <c r="C219" t="s">
        <v>2606</v>
      </c>
      <c r="D219" t="s">
        <v>1052</v>
      </c>
      <c r="E219" t="s">
        <v>114</v>
      </c>
      <c r="F219">
        <v>23</v>
      </c>
      <c r="G219">
        <v>16</v>
      </c>
      <c r="H219">
        <v>8</v>
      </c>
      <c r="I219">
        <v>0</v>
      </c>
      <c r="J219">
        <v>0</v>
      </c>
      <c r="K219">
        <v>0</v>
      </c>
      <c r="L219">
        <v>0</v>
      </c>
      <c r="M219">
        <v>0</v>
      </c>
      <c r="N219">
        <v>0</v>
      </c>
      <c r="O219">
        <v>0</v>
      </c>
      <c r="Q219">
        <v>0</v>
      </c>
      <c r="R219">
        <v>65</v>
      </c>
      <c r="S219">
        <v>49</v>
      </c>
      <c r="T219">
        <v>526</v>
      </c>
      <c r="U219">
        <v>10.73</v>
      </c>
      <c r="V219">
        <v>3</v>
      </c>
      <c r="Y219">
        <v>71</v>
      </c>
      <c r="Z219">
        <v>120</v>
      </c>
      <c r="AA219">
        <v>122.6</v>
      </c>
      <c r="AB219">
        <v>95.1</v>
      </c>
      <c r="AD219">
        <v>18</v>
      </c>
      <c r="AF219" s="2">
        <f t="shared" si="3"/>
        <v>4.4375</v>
      </c>
    </row>
    <row r="220" spans="1:32" hidden="1" x14ac:dyDescent="0.25">
      <c r="A220">
        <v>165</v>
      </c>
      <c r="B220" t="s">
        <v>355</v>
      </c>
      <c r="C220" t="s">
        <v>2608</v>
      </c>
      <c r="D220" t="s">
        <v>2397</v>
      </c>
      <c r="E220" t="s">
        <v>47</v>
      </c>
      <c r="F220">
        <v>23</v>
      </c>
      <c r="G220">
        <v>16</v>
      </c>
      <c r="H220">
        <v>4</v>
      </c>
      <c r="I220">
        <v>0</v>
      </c>
      <c r="J220">
        <v>0</v>
      </c>
      <c r="K220">
        <v>0</v>
      </c>
      <c r="L220">
        <v>0</v>
      </c>
      <c r="M220">
        <v>0</v>
      </c>
      <c r="N220">
        <v>108</v>
      </c>
      <c r="O220">
        <v>423</v>
      </c>
      <c r="P220">
        <v>3.92</v>
      </c>
      <c r="Q220">
        <v>3</v>
      </c>
      <c r="R220">
        <v>19</v>
      </c>
      <c r="S220">
        <v>16</v>
      </c>
      <c r="T220">
        <v>114</v>
      </c>
      <c r="U220">
        <v>7.13</v>
      </c>
      <c r="V220">
        <v>0</v>
      </c>
      <c r="Y220">
        <v>70</v>
      </c>
      <c r="Z220">
        <v>86</v>
      </c>
      <c r="AA220">
        <v>92.7</v>
      </c>
      <c r="AB220">
        <v>77.7</v>
      </c>
      <c r="AD220">
        <v>51</v>
      </c>
      <c r="AF220" s="2">
        <f t="shared" si="3"/>
        <v>4.375</v>
      </c>
    </row>
    <row r="221" spans="1:32" x14ac:dyDescent="0.25">
      <c r="A221">
        <v>224</v>
      </c>
      <c r="B221" t="s">
        <v>875</v>
      </c>
      <c r="C221" t="s">
        <v>2678</v>
      </c>
      <c r="D221" t="s">
        <v>1043</v>
      </c>
      <c r="E221" t="s">
        <v>87</v>
      </c>
      <c r="F221">
        <v>26</v>
      </c>
      <c r="G221">
        <v>11</v>
      </c>
      <c r="H221">
        <v>6</v>
      </c>
      <c r="I221">
        <v>0</v>
      </c>
      <c r="J221">
        <v>0</v>
      </c>
      <c r="K221">
        <v>0</v>
      </c>
      <c r="L221">
        <v>0</v>
      </c>
      <c r="M221">
        <v>0</v>
      </c>
      <c r="N221">
        <v>3</v>
      </c>
      <c r="O221">
        <v>17</v>
      </c>
      <c r="P221">
        <v>5.67</v>
      </c>
      <c r="Q221">
        <v>0</v>
      </c>
      <c r="R221">
        <v>57</v>
      </c>
      <c r="S221">
        <v>29</v>
      </c>
      <c r="T221">
        <v>330</v>
      </c>
      <c r="U221">
        <v>11.38</v>
      </c>
      <c r="V221">
        <v>2</v>
      </c>
      <c r="Y221">
        <v>47</v>
      </c>
      <c r="Z221">
        <v>76</v>
      </c>
      <c r="AA221">
        <v>78.7</v>
      </c>
      <c r="AB221">
        <v>61.2</v>
      </c>
      <c r="AD221">
        <v>87</v>
      </c>
      <c r="AF221" s="2">
        <f t="shared" si="3"/>
        <v>4.2727272727272725</v>
      </c>
    </row>
    <row r="222" spans="1:32" hidden="1" x14ac:dyDescent="0.25">
      <c r="A222">
        <v>181</v>
      </c>
      <c r="B222" t="s">
        <v>264</v>
      </c>
      <c r="C222" t="s">
        <v>2626</v>
      </c>
      <c r="D222" t="s">
        <v>1047</v>
      </c>
      <c r="E222" t="s">
        <v>114</v>
      </c>
      <c r="F222">
        <v>24</v>
      </c>
      <c r="G222">
        <v>15</v>
      </c>
      <c r="H222">
        <v>7</v>
      </c>
      <c r="I222">
        <v>0</v>
      </c>
      <c r="J222">
        <v>0</v>
      </c>
      <c r="K222">
        <v>0</v>
      </c>
      <c r="L222">
        <v>0</v>
      </c>
      <c r="M222">
        <v>0</v>
      </c>
      <c r="N222">
        <v>0</v>
      </c>
      <c r="O222">
        <v>0</v>
      </c>
      <c r="Q222">
        <v>0</v>
      </c>
      <c r="R222">
        <v>63</v>
      </c>
      <c r="S222">
        <v>43</v>
      </c>
      <c r="T222">
        <v>515</v>
      </c>
      <c r="U222">
        <v>11.98</v>
      </c>
      <c r="V222">
        <v>2</v>
      </c>
      <c r="Y222">
        <v>64</v>
      </c>
      <c r="Z222">
        <v>107</v>
      </c>
      <c r="AA222">
        <v>109.5</v>
      </c>
      <c r="AB222">
        <v>85</v>
      </c>
      <c r="AD222">
        <v>21</v>
      </c>
      <c r="AF222" s="2">
        <f t="shared" si="3"/>
        <v>4.2666666666666666</v>
      </c>
    </row>
    <row r="223" spans="1:32" x14ac:dyDescent="0.25">
      <c r="A223">
        <v>169</v>
      </c>
      <c r="B223" t="s">
        <v>242</v>
      </c>
      <c r="C223" t="s">
        <v>2612</v>
      </c>
      <c r="D223" t="s">
        <v>2397</v>
      </c>
      <c r="E223" t="s">
        <v>87</v>
      </c>
      <c r="F223">
        <v>24</v>
      </c>
      <c r="G223">
        <v>16</v>
      </c>
      <c r="H223">
        <v>3</v>
      </c>
      <c r="I223">
        <v>0</v>
      </c>
      <c r="J223">
        <v>0</v>
      </c>
      <c r="K223">
        <v>0</v>
      </c>
      <c r="L223">
        <v>0</v>
      </c>
      <c r="M223">
        <v>0</v>
      </c>
      <c r="N223">
        <v>1</v>
      </c>
      <c r="O223">
        <v>6</v>
      </c>
      <c r="P223">
        <v>6</v>
      </c>
      <c r="Q223">
        <v>0</v>
      </c>
      <c r="R223">
        <v>83</v>
      </c>
      <c r="S223">
        <v>61</v>
      </c>
      <c r="T223">
        <v>631</v>
      </c>
      <c r="U223">
        <v>10.34</v>
      </c>
      <c r="V223">
        <v>1</v>
      </c>
      <c r="Y223">
        <v>68</v>
      </c>
      <c r="Z223">
        <v>129</v>
      </c>
      <c r="AA223">
        <v>132.69999999999999</v>
      </c>
      <c r="AB223">
        <v>98.2</v>
      </c>
      <c r="AD223">
        <v>61</v>
      </c>
      <c r="AF223" s="2">
        <f t="shared" si="3"/>
        <v>4.25</v>
      </c>
    </row>
    <row r="224" spans="1:32" hidden="1" x14ac:dyDescent="0.25">
      <c r="A224">
        <v>274</v>
      </c>
      <c r="B224" t="s">
        <v>250</v>
      </c>
      <c r="C224" t="s">
        <v>2743</v>
      </c>
      <c r="D224" t="s">
        <v>1862</v>
      </c>
      <c r="E224" t="s">
        <v>47</v>
      </c>
      <c r="F224">
        <v>23</v>
      </c>
      <c r="G224">
        <v>8</v>
      </c>
      <c r="H224">
        <v>3</v>
      </c>
      <c r="I224">
        <v>0</v>
      </c>
      <c r="J224">
        <v>0</v>
      </c>
      <c r="K224">
        <v>0</v>
      </c>
      <c r="L224">
        <v>0</v>
      </c>
      <c r="M224">
        <v>0</v>
      </c>
      <c r="N224">
        <v>47</v>
      </c>
      <c r="O224">
        <v>174</v>
      </c>
      <c r="P224">
        <v>3.7</v>
      </c>
      <c r="Q224">
        <v>1</v>
      </c>
      <c r="R224">
        <v>18</v>
      </c>
      <c r="S224">
        <v>13</v>
      </c>
      <c r="T224">
        <v>103</v>
      </c>
      <c r="U224">
        <v>7.92</v>
      </c>
      <c r="V224">
        <v>0</v>
      </c>
      <c r="Y224">
        <v>34</v>
      </c>
      <c r="Z224">
        <v>47</v>
      </c>
      <c r="AA224">
        <v>52.7</v>
      </c>
      <c r="AB224">
        <v>40.200000000000003</v>
      </c>
      <c r="AD224">
        <v>82</v>
      </c>
      <c r="AF224" s="2">
        <f t="shared" si="3"/>
        <v>4.25</v>
      </c>
    </row>
    <row r="225" spans="1:32" x14ac:dyDescent="0.25">
      <c r="A225">
        <v>209</v>
      </c>
      <c r="B225" t="s">
        <v>147</v>
      </c>
      <c r="C225" t="s">
        <v>2657</v>
      </c>
      <c r="D225" t="s">
        <v>815</v>
      </c>
      <c r="E225" t="s">
        <v>87</v>
      </c>
      <c r="F225">
        <v>24</v>
      </c>
      <c r="G225">
        <v>12</v>
      </c>
      <c r="H225">
        <v>8</v>
      </c>
      <c r="I225">
        <v>0</v>
      </c>
      <c r="J225">
        <v>0</v>
      </c>
      <c r="K225">
        <v>0</v>
      </c>
      <c r="L225">
        <v>0</v>
      </c>
      <c r="M225">
        <v>0</v>
      </c>
      <c r="N225">
        <v>0</v>
      </c>
      <c r="O225">
        <v>0</v>
      </c>
      <c r="Q225">
        <v>0</v>
      </c>
      <c r="R225">
        <v>47</v>
      </c>
      <c r="S225">
        <v>26</v>
      </c>
      <c r="T225">
        <v>391</v>
      </c>
      <c r="U225">
        <v>15.04</v>
      </c>
      <c r="V225">
        <v>2</v>
      </c>
      <c r="Y225">
        <v>51</v>
      </c>
      <c r="Z225">
        <v>77</v>
      </c>
      <c r="AA225">
        <v>80.099999999999994</v>
      </c>
      <c r="AB225">
        <v>64.099999999999994</v>
      </c>
      <c r="AD225">
        <v>78</v>
      </c>
      <c r="AF225" s="2">
        <f t="shared" si="3"/>
        <v>4.25</v>
      </c>
    </row>
    <row r="226" spans="1:32" x14ac:dyDescent="0.25">
      <c r="A226">
        <v>175</v>
      </c>
      <c r="B226" t="s">
        <v>1036</v>
      </c>
      <c r="C226" t="s">
        <v>2618</v>
      </c>
      <c r="D226" t="s">
        <v>2398</v>
      </c>
      <c r="E226" t="s">
        <v>87</v>
      </c>
      <c r="F226">
        <v>28</v>
      </c>
      <c r="G226">
        <v>16</v>
      </c>
      <c r="H226">
        <v>10</v>
      </c>
      <c r="I226">
        <v>0</v>
      </c>
      <c r="J226">
        <v>0</v>
      </c>
      <c r="K226">
        <v>0</v>
      </c>
      <c r="L226">
        <v>0</v>
      </c>
      <c r="M226">
        <v>0</v>
      </c>
      <c r="N226">
        <v>2</v>
      </c>
      <c r="O226">
        <v>-5</v>
      </c>
      <c r="P226">
        <v>-2.5</v>
      </c>
      <c r="Q226">
        <v>0</v>
      </c>
      <c r="R226">
        <v>69</v>
      </c>
      <c r="S226">
        <v>38</v>
      </c>
      <c r="T226">
        <v>555</v>
      </c>
      <c r="U226">
        <v>14.61</v>
      </c>
      <c r="V226">
        <v>2</v>
      </c>
      <c r="Y226">
        <v>67</v>
      </c>
      <c r="Z226">
        <v>105</v>
      </c>
      <c r="AA226">
        <v>108</v>
      </c>
      <c r="AB226">
        <v>86</v>
      </c>
      <c r="AD226">
        <v>64</v>
      </c>
      <c r="AF226" s="2">
        <f t="shared" si="3"/>
        <v>4.1875</v>
      </c>
    </row>
    <row r="227" spans="1:32" x14ac:dyDescent="0.25">
      <c r="A227">
        <v>176</v>
      </c>
      <c r="B227" t="s">
        <v>2619</v>
      </c>
      <c r="C227" t="s">
        <v>2620</v>
      </c>
      <c r="D227" t="s">
        <v>1042</v>
      </c>
      <c r="E227" t="s">
        <v>87</v>
      </c>
      <c r="F227">
        <v>28</v>
      </c>
      <c r="G227">
        <v>16</v>
      </c>
      <c r="H227">
        <v>4</v>
      </c>
      <c r="I227">
        <v>0</v>
      </c>
      <c r="J227">
        <v>0</v>
      </c>
      <c r="K227">
        <v>0</v>
      </c>
      <c r="L227">
        <v>0</v>
      </c>
      <c r="M227">
        <v>0</v>
      </c>
      <c r="N227">
        <v>0</v>
      </c>
      <c r="O227">
        <v>0</v>
      </c>
      <c r="Q227">
        <v>0</v>
      </c>
      <c r="R227">
        <v>91</v>
      </c>
      <c r="S227">
        <v>59</v>
      </c>
      <c r="T227">
        <v>614</v>
      </c>
      <c r="U227">
        <v>10.41</v>
      </c>
      <c r="V227">
        <v>1</v>
      </c>
      <c r="Y227">
        <v>67</v>
      </c>
      <c r="Z227">
        <v>126</v>
      </c>
      <c r="AA227">
        <v>129.4</v>
      </c>
      <c r="AB227">
        <v>96.9</v>
      </c>
      <c r="AD227">
        <v>63</v>
      </c>
      <c r="AF227" s="2">
        <f t="shared" si="3"/>
        <v>4.1875</v>
      </c>
    </row>
    <row r="228" spans="1:32" hidden="1" x14ac:dyDescent="0.25">
      <c r="A228">
        <v>198</v>
      </c>
      <c r="B228" t="s">
        <v>2644</v>
      </c>
      <c r="C228" t="s">
        <v>2645</v>
      </c>
      <c r="D228" t="s">
        <v>1053</v>
      </c>
      <c r="E228" t="s">
        <v>114</v>
      </c>
      <c r="F228">
        <v>29</v>
      </c>
      <c r="G228">
        <v>14</v>
      </c>
      <c r="H228">
        <v>13</v>
      </c>
      <c r="I228">
        <v>0</v>
      </c>
      <c r="J228">
        <v>0</v>
      </c>
      <c r="K228">
        <v>0</v>
      </c>
      <c r="L228">
        <v>0</v>
      </c>
      <c r="M228">
        <v>0</v>
      </c>
      <c r="N228">
        <v>0</v>
      </c>
      <c r="O228">
        <v>0</v>
      </c>
      <c r="Q228">
        <v>0</v>
      </c>
      <c r="R228">
        <v>62</v>
      </c>
      <c r="S228">
        <v>41</v>
      </c>
      <c r="T228">
        <v>388</v>
      </c>
      <c r="U228">
        <v>9.4600000000000009</v>
      </c>
      <c r="V228">
        <v>3</v>
      </c>
      <c r="Y228">
        <v>57</v>
      </c>
      <c r="Z228">
        <v>98</v>
      </c>
      <c r="AA228">
        <v>100.8</v>
      </c>
      <c r="AB228">
        <v>77.3</v>
      </c>
      <c r="AD228">
        <v>24</v>
      </c>
      <c r="AF228" s="2">
        <f t="shared" si="3"/>
        <v>4.0714285714285712</v>
      </c>
    </row>
    <row r="229" spans="1:32" x14ac:dyDescent="0.25">
      <c r="A229">
        <v>178</v>
      </c>
      <c r="B229" t="s">
        <v>2622</v>
      </c>
      <c r="C229" t="s">
        <v>2623</v>
      </c>
      <c r="D229" t="s">
        <v>1806</v>
      </c>
      <c r="E229" t="s">
        <v>87</v>
      </c>
      <c r="F229">
        <v>25</v>
      </c>
      <c r="G229">
        <v>16</v>
      </c>
      <c r="H229">
        <v>5</v>
      </c>
      <c r="I229">
        <v>0</v>
      </c>
      <c r="J229">
        <v>0</v>
      </c>
      <c r="K229">
        <v>0</v>
      </c>
      <c r="L229">
        <v>0</v>
      </c>
      <c r="M229">
        <v>0</v>
      </c>
      <c r="N229">
        <v>3</v>
      </c>
      <c r="O229">
        <v>37</v>
      </c>
      <c r="P229">
        <v>12.33</v>
      </c>
      <c r="Q229">
        <v>0</v>
      </c>
      <c r="R229">
        <v>61</v>
      </c>
      <c r="S229">
        <v>29</v>
      </c>
      <c r="T229">
        <v>508</v>
      </c>
      <c r="U229">
        <v>17.52</v>
      </c>
      <c r="V229">
        <v>2</v>
      </c>
      <c r="Y229">
        <v>65</v>
      </c>
      <c r="Z229">
        <v>94</v>
      </c>
      <c r="AA229">
        <v>97.5</v>
      </c>
      <c r="AB229">
        <v>79</v>
      </c>
      <c r="AD229">
        <v>66</v>
      </c>
      <c r="AF229" s="2">
        <f t="shared" si="3"/>
        <v>4.0625</v>
      </c>
    </row>
    <row r="230" spans="1:32" hidden="1" x14ac:dyDescent="0.25">
      <c r="A230">
        <v>221</v>
      </c>
      <c r="B230" t="s">
        <v>2674</v>
      </c>
      <c r="C230" t="s">
        <v>2675</v>
      </c>
      <c r="D230" t="s">
        <v>2398</v>
      </c>
      <c r="E230" t="s">
        <v>47</v>
      </c>
      <c r="F230">
        <v>28</v>
      </c>
      <c r="G230">
        <v>12</v>
      </c>
      <c r="H230">
        <v>2</v>
      </c>
      <c r="I230">
        <v>0</v>
      </c>
      <c r="J230">
        <v>0</v>
      </c>
      <c r="K230">
        <v>0</v>
      </c>
      <c r="L230">
        <v>0</v>
      </c>
      <c r="M230">
        <v>0</v>
      </c>
      <c r="N230">
        <v>20</v>
      </c>
      <c r="O230">
        <v>55</v>
      </c>
      <c r="P230">
        <v>2.75</v>
      </c>
      <c r="Q230">
        <v>1</v>
      </c>
      <c r="R230">
        <v>59</v>
      </c>
      <c r="S230">
        <v>39</v>
      </c>
      <c r="T230">
        <v>369</v>
      </c>
      <c r="U230">
        <v>9.4600000000000009</v>
      </c>
      <c r="V230">
        <v>0</v>
      </c>
      <c r="Y230">
        <v>48</v>
      </c>
      <c r="Z230">
        <v>87</v>
      </c>
      <c r="AA230">
        <v>90.4</v>
      </c>
      <c r="AB230">
        <v>67.900000000000006</v>
      </c>
      <c r="AD230">
        <v>67</v>
      </c>
      <c r="AF230" s="2">
        <f t="shared" si="3"/>
        <v>4</v>
      </c>
    </row>
    <row r="231" spans="1:32" hidden="1" x14ac:dyDescent="0.25">
      <c r="A231">
        <v>339</v>
      </c>
      <c r="B231" t="s">
        <v>2825</v>
      </c>
      <c r="C231" t="s">
        <v>2826</v>
      </c>
      <c r="D231" t="s">
        <v>1806</v>
      </c>
      <c r="E231" t="s">
        <v>47</v>
      </c>
      <c r="F231">
        <v>32</v>
      </c>
      <c r="G231">
        <v>4</v>
      </c>
      <c r="H231">
        <v>3</v>
      </c>
      <c r="I231">
        <v>0</v>
      </c>
      <c r="J231">
        <v>0</v>
      </c>
      <c r="K231">
        <v>0</v>
      </c>
      <c r="L231">
        <v>0</v>
      </c>
      <c r="M231">
        <v>0</v>
      </c>
      <c r="N231">
        <v>45</v>
      </c>
      <c r="O231">
        <v>114</v>
      </c>
      <c r="P231">
        <v>2.5299999999999998</v>
      </c>
      <c r="Q231">
        <v>0</v>
      </c>
      <c r="R231">
        <v>6</v>
      </c>
      <c r="S231">
        <v>5</v>
      </c>
      <c r="T231">
        <v>43</v>
      </c>
      <c r="U231">
        <v>8.6</v>
      </c>
      <c r="V231">
        <v>0</v>
      </c>
      <c r="Y231">
        <v>16</v>
      </c>
      <c r="Z231">
        <v>21</v>
      </c>
      <c r="AA231">
        <v>23.7</v>
      </c>
      <c r="AB231">
        <v>18.2</v>
      </c>
      <c r="AD231">
        <v>96</v>
      </c>
      <c r="AF231" s="2">
        <f t="shared" si="3"/>
        <v>4</v>
      </c>
    </row>
    <row r="232" spans="1:32" hidden="1" x14ac:dyDescent="0.25">
      <c r="A232">
        <v>182</v>
      </c>
      <c r="B232" t="s">
        <v>288</v>
      </c>
      <c r="C232" t="s">
        <v>2627</v>
      </c>
      <c r="D232" t="s">
        <v>1039</v>
      </c>
      <c r="E232" t="s">
        <v>114</v>
      </c>
      <c r="F232">
        <v>33</v>
      </c>
      <c r="G232">
        <v>16</v>
      </c>
      <c r="H232">
        <v>16</v>
      </c>
      <c r="I232">
        <v>0</v>
      </c>
      <c r="J232">
        <v>0</v>
      </c>
      <c r="K232">
        <v>0</v>
      </c>
      <c r="L232">
        <v>0</v>
      </c>
      <c r="M232">
        <v>0</v>
      </c>
      <c r="N232">
        <v>0</v>
      </c>
      <c r="O232">
        <v>0</v>
      </c>
      <c r="Q232">
        <v>0</v>
      </c>
      <c r="R232">
        <v>48</v>
      </c>
      <c r="S232">
        <v>24</v>
      </c>
      <c r="T232">
        <v>318</v>
      </c>
      <c r="U232">
        <v>13.25</v>
      </c>
      <c r="V232">
        <v>5</v>
      </c>
      <c r="W232">
        <v>1</v>
      </c>
      <c r="Y232">
        <v>64</v>
      </c>
      <c r="Z232">
        <v>88</v>
      </c>
      <c r="AA232">
        <v>90.8</v>
      </c>
      <c r="AB232">
        <v>75.8</v>
      </c>
      <c r="AD232">
        <v>20</v>
      </c>
      <c r="AF232" s="2">
        <f t="shared" si="3"/>
        <v>4</v>
      </c>
    </row>
    <row r="233" spans="1:32" hidden="1" x14ac:dyDescent="0.25">
      <c r="A233">
        <v>207</v>
      </c>
      <c r="B233" t="s">
        <v>247</v>
      </c>
      <c r="C233" t="s">
        <v>2655</v>
      </c>
      <c r="D233" t="s">
        <v>1935</v>
      </c>
      <c r="E233" t="s">
        <v>114</v>
      </c>
      <c r="F233">
        <v>25</v>
      </c>
      <c r="G233">
        <v>13</v>
      </c>
      <c r="H233">
        <v>10</v>
      </c>
      <c r="I233">
        <v>0</v>
      </c>
      <c r="J233">
        <v>0</v>
      </c>
      <c r="K233">
        <v>0</v>
      </c>
      <c r="L233">
        <v>0</v>
      </c>
      <c r="M233">
        <v>0</v>
      </c>
      <c r="N233">
        <v>0</v>
      </c>
      <c r="O233">
        <v>0</v>
      </c>
      <c r="Q233">
        <v>0</v>
      </c>
      <c r="R233">
        <v>74</v>
      </c>
      <c r="S233">
        <v>50</v>
      </c>
      <c r="T233">
        <v>357</v>
      </c>
      <c r="U233">
        <v>7.14</v>
      </c>
      <c r="V233">
        <v>3</v>
      </c>
      <c r="Y233">
        <v>52</v>
      </c>
      <c r="Z233">
        <v>102</v>
      </c>
      <c r="AA233">
        <v>105.7</v>
      </c>
      <c r="AB233">
        <v>76.7</v>
      </c>
      <c r="AD233">
        <v>27</v>
      </c>
      <c r="AF233" s="2">
        <f t="shared" si="3"/>
        <v>4</v>
      </c>
    </row>
    <row r="234" spans="1:32" hidden="1" x14ac:dyDescent="0.25">
      <c r="A234">
        <v>184</v>
      </c>
      <c r="B234" t="s">
        <v>215</v>
      </c>
      <c r="C234" t="s">
        <v>2629</v>
      </c>
      <c r="D234" t="s">
        <v>1872</v>
      </c>
      <c r="E234" t="s">
        <v>114</v>
      </c>
      <c r="F234">
        <v>21</v>
      </c>
      <c r="G234">
        <v>16</v>
      </c>
      <c r="H234">
        <v>5</v>
      </c>
      <c r="I234">
        <v>0</v>
      </c>
      <c r="J234">
        <v>0</v>
      </c>
      <c r="K234">
        <v>0</v>
      </c>
      <c r="L234">
        <v>0</v>
      </c>
      <c r="M234">
        <v>0</v>
      </c>
      <c r="N234">
        <v>1</v>
      </c>
      <c r="O234">
        <v>1</v>
      </c>
      <c r="P234">
        <v>1</v>
      </c>
      <c r="Q234">
        <v>0</v>
      </c>
      <c r="R234">
        <v>60</v>
      </c>
      <c r="S234">
        <v>32</v>
      </c>
      <c r="T234">
        <v>386</v>
      </c>
      <c r="U234">
        <v>12.06</v>
      </c>
      <c r="V234">
        <v>4</v>
      </c>
      <c r="Y234">
        <v>63</v>
      </c>
      <c r="Z234">
        <v>95</v>
      </c>
      <c r="AA234">
        <v>97.7</v>
      </c>
      <c r="AB234">
        <v>78.7</v>
      </c>
      <c r="AD234">
        <v>22</v>
      </c>
      <c r="AF234" s="2">
        <f t="shared" si="3"/>
        <v>3.9375</v>
      </c>
    </row>
    <row r="235" spans="1:32" x14ac:dyDescent="0.25">
      <c r="A235">
        <v>232</v>
      </c>
      <c r="B235" t="s">
        <v>373</v>
      </c>
      <c r="C235" t="s">
        <v>2689</v>
      </c>
      <c r="D235" t="s">
        <v>1054</v>
      </c>
      <c r="E235" t="s">
        <v>87</v>
      </c>
      <c r="F235">
        <v>25</v>
      </c>
      <c r="G235">
        <v>11</v>
      </c>
      <c r="H235">
        <v>1</v>
      </c>
      <c r="I235">
        <v>0</v>
      </c>
      <c r="J235">
        <v>0</v>
      </c>
      <c r="K235">
        <v>0</v>
      </c>
      <c r="L235">
        <v>0</v>
      </c>
      <c r="M235">
        <v>0</v>
      </c>
      <c r="N235">
        <v>0</v>
      </c>
      <c r="O235">
        <v>0</v>
      </c>
      <c r="Q235">
        <v>0</v>
      </c>
      <c r="R235">
        <v>31</v>
      </c>
      <c r="S235">
        <v>19</v>
      </c>
      <c r="T235">
        <v>287</v>
      </c>
      <c r="U235">
        <v>15.11</v>
      </c>
      <c r="V235">
        <v>2</v>
      </c>
      <c r="W235">
        <v>1</v>
      </c>
      <c r="Y235">
        <v>43</v>
      </c>
      <c r="Z235">
        <v>62</v>
      </c>
      <c r="AA235">
        <v>64.7</v>
      </c>
      <c r="AB235">
        <v>52.2</v>
      </c>
      <c r="AD235">
        <v>90</v>
      </c>
      <c r="AF235" s="2">
        <f t="shared" si="3"/>
        <v>3.9090909090909092</v>
      </c>
    </row>
    <row r="236" spans="1:32" x14ac:dyDescent="0.25">
      <c r="A236">
        <v>185</v>
      </c>
      <c r="B236" t="s">
        <v>153</v>
      </c>
      <c r="C236" t="s">
        <v>2630</v>
      </c>
      <c r="D236" t="s">
        <v>1887</v>
      </c>
      <c r="E236" t="s">
        <v>87</v>
      </c>
      <c r="F236">
        <v>30</v>
      </c>
      <c r="G236">
        <v>16</v>
      </c>
      <c r="H236">
        <v>8</v>
      </c>
      <c r="I236">
        <v>0</v>
      </c>
      <c r="J236">
        <v>1</v>
      </c>
      <c r="K236">
        <v>0</v>
      </c>
      <c r="L236">
        <v>0</v>
      </c>
      <c r="M236">
        <v>0</v>
      </c>
      <c r="N236">
        <v>0</v>
      </c>
      <c r="O236">
        <v>0</v>
      </c>
      <c r="Q236">
        <v>0</v>
      </c>
      <c r="R236">
        <v>83</v>
      </c>
      <c r="S236">
        <v>54</v>
      </c>
      <c r="T236">
        <v>563</v>
      </c>
      <c r="U236">
        <v>10.43</v>
      </c>
      <c r="V236">
        <v>1</v>
      </c>
      <c r="Y236">
        <v>62</v>
      </c>
      <c r="Z236">
        <v>116</v>
      </c>
      <c r="AA236">
        <v>119.3</v>
      </c>
      <c r="AB236">
        <v>89.3</v>
      </c>
      <c r="AD236">
        <v>67</v>
      </c>
      <c r="AF236" s="2">
        <f t="shared" si="3"/>
        <v>3.875</v>
      </c>
    </row>
    <row r="237" spans="1:32" x14ac:dyDescent="0.25">
      <c r="A237">
        <v>212</v>
      </c>
      <c r="B237" t="s">
        <v>2661</v>
      </c>
      <c r="C237" t="s">
        <v>2662</v>
      </c>
      <c r="D237" t="s">
        <v>1044</v>
      </c>
      <c r="E237" t="s">
        <v>87</v>
      </c>
      <c r="F237">
        <v>27</v>
      </c>
      <c r="G237">
        <v>13</v>
      </c>
      <c r="H237">
        <v>0</v>
      </c>
      <c r="I237">
        <v>0</v>
      </c>
      <c r="J237">
        <v>0</v>
      </c>
      <c r="K237">
        <v>0</v>
      </c>
      <c r="L237">
        <v>0</v>
      </c>
      <c r="M237">
        <v>0</v>
      </c>
      <c r="N237">
        <v>0</v>
      </c>
      <c r="O237">
        <v>0</v>
      </c>
      <c r="Q237">
        <v>0</v>
      </c>
      <c r="R237">
        <v>23</v>
      </c>
      <c r="S237">
        <v>15</v>
      </c>
      <c r="T237">
        <v>317</v>
      </c>
      <c r="U237">
        <v>21.13</v>
      </c>
      <c r="V237">
        <v>3</v>
      </c>
      <c r="Y237">
        <v>50</v>
      </c>
      <c r="Z237">
        <v>65</v>
      </c>
      <c r="AA237">
        <v>67.7</v>
      </c>
      <c r="AB237">
        <v>57.2</v>
      </c>
      <c r="AD237">
        <v>81</v>
      </c>
      <c r="AF237" s="2">
        <f t="shared" si="3"/>
        <v>3.8461538461538463</v>
      </c>
    </row>
    <row r="238" spans="1:32" x14ac:dyDescent="0.25">
      <c r="A238">
        <v>233</v>
      </c>
      <c r="B238" t="s">
        <v>188</v>
      </c>
      <c r="C238" t="s">
        <v>2690</v>
      </c>
      <c r="D238" t="s">
        <v>1051</v>
      </c>
      <c r="E238" t="s">
        <v>87</v>
      </c>
      <c r="F238">
        <v>29</v>
      </c>
      <c r="G238">
        <v>11</v>
      </c>
      <c r="H238">
        <v>0</v>
      </c>
      <c r="I238">
        <v>0</v>
      </c>
      <c r="J238">
        <v>0</v>
      </c>
      <c r="K238">
        <v>0</v>
      </c>
      <c r="L238">
        <v>0</v>
      </c>
      <c r="M238">
        <v>0</v>
      </c>
      <c r="N238">
        <v>0</v>
      </c>
      <c r="O238">
        <v>0</v>
      </c>
      <c r="Q238">
        <v>0</v>
      </c>
      <c r="R238">
        <v>30</v>
      </c>
      <c r="S238">
        <v>22</v>
      </c>
      <c r="T238">
        <v>295</v>
      </c>
      <c r="U238">
        <v>13.41</v>
      </c>
      <c r="V238">
        <v>2</v>
      </c>
      <c r="Y238">
        <v>42</v>
      </c>
      <c r="Z238">
        <v>64</v>
      </c>
      <c r="AA238">
        <v>66.5</v>
      </c>
      <c r="AB238">
        <v>52.5</v>
      </c>
      <c r="AD238">
        <v>95</v>
      </c>
      <c r="AF238" s="2">
        <f t="shared" si="3"/>
        <v>3.8181818181818183</v>
      </c>
    </row>
    <row r="239" spans="1:32" hidden="1" x14ac:dyDescent="0.25">
      <c r="A239">
        <v>197</v>
      </c>
      <c r="B239" t="s">
        <v>313</v>
      </c>
      <c r="C239" t="s">
        <v>2643</v>
      </c>
      <c r="D239" t="s">
        <v>1862</v>
      </c>
      <c r="E239" t="s">
        <v>114</v>
      </c>
      <c r="F239">
        <v>26</v>
      </c>
      <c r="G239">
        <v>15</v>
      </c>
      <c r="H239">
        <v>1</v>
      </c>
      <c r="I239">
        <v>0</v>
      </c>
      <c r="J239">
        <v>0</v>
      </c>
      <c r="K239">
        <v>0</v>
      </c>
      <c r="L239">
        <v>0</v>
      </c>
      <c r="M239">
        <v>0</v>
      </c>
      <c r="N239">
        <v>0</v>
      </c>
      <c r="O239">
        <v>0</v>
      </c>
      <c r="Q239">
        <v>0</v>
      </c>
      <c r="R239">
        <v>31</v>
      </c>
      <c r="S239">
        <v>23</v>
      </c>
      <c r="T239">
        <v>248</v>
      </c>
      <c r="U239">
        <v>10.78</v>
      </c>
      <c r="V239">
        <v>5</v>
      </c>
      <c r="W239">
        <v>1</v>
      </c>
      <c r="Y239">
        <v>57</v>
      </c>
      <c r="Z239">
        <v>80</v>
      </c>
      <c r="AA239">
        <v>82.8</v>
      </c>
      <c r="AB239">
        <v>68.3</v>
      </c>
      <c r="AD239">
        <v>25</v>
      </c>
      <c r="AF239" s="2">
        <f t="shared" si="3"/>
        <v>3.8</v>
      </c>
    </row>
    <row r="240" spans="1:32" hidden="1" x14ac:dyDescent="0.25">
      <c r="A240">
        <v>253</v>
      </c>
      <c r="B240" t="s">
        <v>1381</v>
      </c>
      <c r="C240" t="s">
        <v>2718</v>
      </c>
      <c r="D240" t="s">
        <v>1806</v>
      </c>
      <c r="E240" t="s">
        <v>114</v>
      </c>
      <c r="F240">
        <v>22</v>
      </c>
      <c r="G240">
        <v>10</v>
      </c>
      <c r="H240">
        <v>1</v>
      </c>
      <c r="I240">
        <v>0</v>
      </c>
      <c r="J240">
        <v>0</v>
      </c>
      <c r="K240">
        <v>0</v>
      </c>
      <c r="L240">
        <v>0</v>
      </c>
      <c r="M240">
        <v>0</v>
      </c>
      <c r="N240">
        <v>0</v>
      </c>
      <c r="O240">
        <v>0</v>
      </c>
      <c r="Q240">
        <v>0</v>
      </c>
      <c r="R240">
        <v>28</v>
      </c>
      <c r="S240">
        <v>12</v>
      </c>
      <c r="T240">
        <v>201</v>
      </c>
      <c r="U240">
        <v>16.75</v>
      </c>
      <c r="V240">
        <v>3</v>
      </c>
      <c r="Y240">
        <v>38</v>
      </c>
      <c r="Z240">
        <v>50</v>
      </c>
      <c r="AA240">
        <v>53.1</v>
      </c>
      <c r="AB240">
        <v>44.1</v>
      </c>
      <c r="AD240">
        <v>35</v>
      </c>
      <c r="AF240" s="2">
        <f t="shared" si="3"/>
        <v>3.8</v>
      </c>
    </row>
    <row r="241" spans="1:32" hidden="1" x14ac:dyDescent="0.25">
      <c r="A241">
        <v>192</v>
      </c>
      <c r="B241" t="s">
        <v>232</v>
      </c>
      <c r="C241" t="s">
        <v>2637</v>
      </c>
      <c r="D241" t="s">
        <v>1870</v>
      </c>
      <c r="E241" t="s">
        <v>47</v>
      </c>
      <c r="F241">
        <v>24</v>
      </c>
      <c r="G241">
        <v>16</v>
      </c>
      <c r="H241">
        <v>1</v>
      </c>
      <c r="I241">
        <v>0</v>
      </c>
      <c r="J241">
        <v>0</v>
      </c>
      <c r="K241">
        <v>0</v>
      </c>
      <c r="L241">
        <v>0</v>
      </c>
      <c r="M241">
        <v>0</v>
      </c>
      <c r="N241">
        <v>56</v>
      </c>
      <c r="O241">
        <v>275</v>
      </c>
      <c r="P241">
        <v>4.91</v>
      </c>
      <c r="Q241">
        <v>1</v>
      </c>
      <c r="R241">
        <v>36</v>
      </c>
      <c r="S241">
        <v>27</v>
      </c>
      <c r="T241">
        <v>256</v>
      </c>
      <c r="U241">
        <v>9.48</v>
      </c>
      <c r="V241">
        <v>1</v>
      </c>
      <c r="Y241">
        <v>59</v>
      </c>
      <c r="Z241">
        <v>86</v>
      </c>
      <c r="AA241">
        <v>95.1</v>
      </c>
      <c r="AB241">
        <v>72.599999999999994</v>
      </c>
      <c r="AD241">
        <v>61</v>
      </c>
      <c r="AF241" s="2">
        <f t="shared" si="3"/>
        <v>3.6875</v>
      </c>
    </row>
    <row r="242" spans="1:32" hidden="1" x14ac:dyDescent="0.25">
      <c r="A242">
        <v>191</v>
      </c>
      <c r="B242" t="s">
        <v>320</v>
      </c>
      <c r="C242" t="s">
        <v>2636</v>
      </c>
      <c r="D242" t="s">
        <v>1935</v>
      </c>
      <c r="E242" t="s">
        <v>47</v>
      </c>
      <c r="F242">
        <v>23</v>
      </c>
      <c r="G242">
        <v>16</v>
      </c>
      <c r="H242">
        <v>2</v>
      </c>
      <c r="I242">
        <v>0</v>
      </c>
      <c r="J242">
        <v>0</v>
      </c>
      <c r="K242">
        <v>0</v>
      </c>
      <c r="L242">
        <v>0</v>
      </c>
      <c r="M242">
        <v>0</v>
      </c>
      <c r="N242">
        <v>88</v>
      </c>
      <c r="O242">
        <v>315</v>
      </c>
      <c r="P242">
        <v>3.58</v>
      </c>
      <c r="Q242">
        <v>1</v>
      </c>
      <c r="R242">
        <v>26</v>
      </c>
      <c r="S242">
        <v>17</v>
      </c>
      <c r="T242">
        <v>177</v>
      </c>
      <c r="U242">
        <v>10.41</v>
      </c>
      <c r="V242">
        <v>1</v>
      </c>
      <c r="W242">
        <v>1</v>
      </c>
      <c r="Y242">
        <v>59</v>
      </c>
      <c r="Z242">
        <v>76</v>
      </c>
      <c r="AA242">
        <v>84.2</v>
      </c>
      <c r="AB242">
        <v>67.7</v>
      </c>
      <c r="AD242">
        <v>60</v>
      </c>
      <c r="AF242" s="2">
        <f t="shared" si="3"/>
        <v>3.6875</v>
      </c>
    </row>
    <row r="243" spans="1:32" x14ac:dyDescent="0.25">
      <c r="A243">
        <v>190</v>
      </c>
      <c r="B243" t="s">
        <v>1396</v>
      </c>
      <c r="C243" t="s">
        <v>2635</v>
      </c>
      <c r="D243" t="s">
        <v>2397</v>
      </c>
      <c r="E243" t="s">
        <v>87</v>
      </c>
      <c r="F243">
        <v>21</v>
      </c>
      <c r="G243">
        <v>16</v>
      </c>
      <c r="H243">
        <v>2</v>
      </c>
      <c r="I243">
        <v>0</v>
      </c>
      <c r="J243">
        <v>0</v>
      </c>
      <c r="K243">
        <v>0</v>
      </c>
      <c r="L243">
        <v>0</v>
      </c>
      <c r="M243">
        <v>0</v>
      </c>
      <c r="N243">
        <v>0</v>
      </c>
      <c r="O243">
        <v>0</v>
      </c>
      <c r="Q243">
        <v>0</v>
      </c>
      <c r="R243">
        <v>55</v>
      </c>
      <c r="S243">
        <v>34</v>
      </c>
      <c r="T243">
        <v>525</v>
      </c>
      <c r="U243">
        <v>15.44</v>
      </c>
      <c r="V243">
        <v>1</v>
      </c>
      <c r="Y243">
        <v>59</v>
      </c>
      <c r="Z243">
        <v>93</v>
      </c>
      <c r="AA243">
        <v>95.5</v>
      </c>
      <c r="AB243">
        <v>75.5</v>
      </c>
      <c r="AD243">
        <v>70</v>
      </c>
      <c r="AF243" s="2">
        <f t="shared" si="3"/>
        <v>3.6875</v>
      </c>
    </row>
    <row r="244" spans="1:32" hidden="1" x14ac:dyDescent="0.25">
      <c r="A244">
        <v>382</v>
      </c>
      <c r="B244" t="s">
        <v>1122</v>
      </c>
      <c r="C244" t="s">
        <v>2887</v>
      </c>
      <c r="D244" t="s">
        <v>1862</v>
      </c>
      <c r="E244" t="s">
        <v>47</v>
      </c>
      <c r="F244">
        <v>34</v>
      </c>
      <c r="G244">
        <v>3</v>
      </c>
      <c r="H244">
        <v>0</v>
      </c>
      <c r="I244">
        <v>0</v>
      </c>
      <c r="J244">
        <v>0</v>
      </c>
      <c r="K244">
        <v>0</v>
      </c>
      <c r="L244">
        <v>0</v>
      </c>
      <c r="M244">
        <v>0</v>
      </c>
      <c r="N244">
        <v>15</v>
      </c>
      <c r="O244">
        <v>61</v>
      </c>
      <c r="P244">
        <v>4.07</v>
      </c>
      <c r="Q244">
        <v>0</v>
      </c>
      <c r="R244">
        <v>12</v>
      </c>
      <c r="S244">
        <v>7</v>
      </c>
      <c r="T244">
        <v>73</v>
      </c>
      <c r="U244">
        <v>10.43</v>
      </c>
      <c r="V244">
        <v>0</v>
      </c>
      <c r="Y244">
        <v>11</v>
      </c>
      <c r="Z244">
        <v>18</v>
      </c>
      <c r="AA244">
        <v>19.399999999999999</v>
      </c>
      <c r="AB244">
        <v>14.9</v>
      </c>
      <c r="AD244">
        <v>108</v>
      </c>
      <c r="AF244" s="2">
        <f t="shared" si="3"/>
        <v>3.6666666666666665</v>
      </c>
    </row>
    <row r="245" spans="1:32" x14ac:dyDescent="0.25">
      <c r="A245">
        <v>199</v>
      </c>
      <c r="B245" t="s">
        <v>197</v>
      </c>
      <c r="C245" t="s">
        <v>2646</v>
      </c>
      <c r="D245" t="s">
        <v>1044</v>
      </c>
      <c r="E245" t="s">
        <v>87</v>
      </c>
      <c r="F245">
        <v>28</v>
      </c>
      <c r="G245">
        <v>15</v>
      </c>
      <c r="H245">
        <v>4</v>
      </c>
      <c r="I245">
        <v>0</v>
      </c>
      <c r="J245">
        <v>0</v>
      </c>
      <c r="K245">
        <v>0</v>
      </c>
      <c r="L245">
        <v>0</v>
      </c>
      <c r="M245">
        <v>0</v>
      </c>
      <c r="N245">
        <v>0</v>
      </c>
      <c r="O245">
        <v>0</v>
      </c>
      <c r="Q245">
        <v>0</v>
      </c>
      <c r="R245">
        <v>63</v>
      </c>
      <c r="S245">
        <v>36</v>
      </c>
      <c r="T245">
        <v>314</v>
      </c>
      <c r="U245">
        <v>8.7200000000000006</v>
      </c>
      <c r="V245">
        <v>4</v>
      </c>
      <c r="Y245">
        <v>55</v>
      </c>
      <c r="Z245">
        <v>91</v>
      </c>
      <c r="AA245">
        <v>94.4</v>
      </c>
      <c r="AB245">
        <v>73.400000000000006</v>
      </c>
      <c r="AD245">
        <v>72</v>
      </c>
      <c r="AF245" s="2">
        <f t="shared" si="3"/>
        <v>3.6666666666666665</v>
      </c>
    </row>
    <row r="246" spans="1:32" x14ac:dyDescent="0.25">
      <c r="A246">
        <v>381</v>
      </c>
      <c r="B246" t="s">
        <v>1616</v>
      </c>
      <c r="C246" t="s">
        <v>2886</v>
      </c>
      <c r="D246" t="s">
        <v>2398</v>
      </c>
      <c r="E246" t="s">
        <v>87</v>
      </c>
      <c r="F246">
        <v>23</v>
      </c>
      <c r="G246">
        <v>3</v>
      </c>
      <c r="H246">
        <v>1</v>
      </c>
      <c r="I246">
        <v>0</v>
      </c>
      <c r="J246">
        <v>0</v>
      </c>
      <c r="K246">
        <v>0</v>
      </c>
      <c r="L246">
        <v>0</v>
      </c>
      <c r="M246">
        <v>0</v>
      </c>
      <c r="N246">
        <v>0</v>
      </c>
      <c r="O246">
        <v>0</v>
      </c>
      <c r="Q246">
        <v>0</v>
      </c>
      <c r="R246">
        <v>9</v>
      </c>
      <c r="S246">
        <v>5</v>
      </c>
      <c r="T246">
        <v>54</v>
      </c>
      <c r="U246">
        <v>10.8</v>
      </c>
      <c r="V246">
        <v>1</v>
      </c>
      <c r="Y246">
        <v>11</v>
      </c>
      <c r="Z246">
        <v>16</v>
      </c>
      <c r="AA246">
        <v>16.399999999999999</v>
      </c>
      <c r="AB246">
        <v>13.9</v>
      </c>
      <c r="AD246">
        <v>146</v>
      </c>
      <c r="AF246" s="2">
        <f t="shared" si="3"/>
        <v>3.6666666666666665</v>
      </c>
    </row>
    <row r="247" spans="1:32" hidden="1" x14ac:dyDescent="0.25">
      <c r="A247">
        <v>245</v>
      </c>
      <c r="B247" t="s">
        <v>272</v>
      </c>
      <c r="C247" t="s">
        <v>2708</v>
      </c>
      <c r="D247" t="s">
        <v>1053</v>
      </c>
      <c r="E247" t="s">
        <v>47</v>
      </c>
      <c r="F247">
        <v>25</v>
      </c>
      <c r="G247">
        <v>11</v>
      </c>
      <c r="H247">
        <v>4</v>
      </c>
      <c r="I247">
        <v>0</v>
      </c>
      <c r="J247">
        <v>0</v>
      </c>
      <c r="K247">
        <v>0</v>
      </c>
      <c r="L247">
        <v>0</v>
      </c>
      <c r="M247">
        <v>0</v>
      </c>
      <c r="N247">
        <v>46</v>
      </c>
      <c r="O247">
        <v>181</v>
      </c>
      <c r="P247">
        <v>3.93</v>
      </c>
      <c r="Q247">
        <v>0</v>
      </c>
      <c r="R247">
        <v>28</v>
      </c>
      <c r="S247">
        <v>20</v>
      </c>
      <c r="T247">
        <v>155</v>
      </c>
      <c r="U247">
        <v>7.75</v>
      </c>
      <c r="V247">
        <v>1</v>
      </c>
      <c r="Y247">
        <v>40</v>
      </c>
      <c r="Z247">
        <v>60</v>
      </c>
      <c r="AA247">
        <v>65.599999999999994</v>
      </c>
      <c r="AB247">
        <v>49.6</v>
      </c>
      <c r="AD247">
        <v>71</v>
      </c>
      <c r="AF247" s="2">
        <f t="shared" si="3"/>
        <v>3.6363636363636362</v>
      </c>
    </row>
    <row r="248" spans="1:32" x14ac:dyDescent="0.25">
      <c r="A248">
        <v>195</v>
      </c>
      <c r="B248" t="s">
        <v>222</v>
      </c>
      <c r="C248" t="s">
        <v>2641</v>
      </c>
      <c r="D248" t="s">
        <v>1044</v>
      </c>
      <c r="E248" t="s">
        <v>87</v>
      </c>
      <c r="F248">
        <v>28</v>
      </c>
      <c r="G248">
        <v>16</v>
      </c>
      <c r="H248">
        <v>14</v>
      </c>
      <c r="I248">
        <v>0</v>
      </c>
      <c r="J248">
        <v>0</v>
      </c>
      <c r="K248">
        <v>0</v>
      </c>
      <c r="L248">
        <v>0</v>
      </c>
      <c r="M248">
        <v>0</v>
      </c>
      <c r="N248">
        <v>2</v>
      </c>
      <c r="O248">
        <v>15</v>
      </c>
      <c r="P248">
        <v>7.5</v>
      </c>
      <c r="Q248">
        <v>0</v>
      </c>
      <c r="R248">
        <v>78</v>
      </c>
      <c r="S248">
        <v>53</v>
      </c>
      <c r="T248">
        <v>568</v>
      </c>
      <c r="U248">
        <v>10.72</v>
      </c>
      <c r="V248">
        <v>0</v>
      </c>
      <c r="Y248">
        <v>58</v>
      </c>
      <c r="Z248">
        <v>111</v>
      </c>
      <c r="AA248">
        <v>114.3</v>
      </c>
      <c r="AB248">
        <v>84.8</v>
      </c>
      <c r="AD248">
        <v>71</v>
      </c>
      <c r="AF248" s="2">
        <f t="shared" si="3"/>
        <v>3.625</v>
      </c>
    </row>
    <row r="249" spans="1:32" hidden="1" x14ac:dyDescent="0.25">
      <c r="A249">
        <v>194</v>
      </c>
      <c r="B249" t="s">
        <v>2639</v>
      </c>
      <c r="C249" t="s">
        <v>2640</v>
      </c>
      <c r="D249" t="s">
        <v>1806</v>
      </c>
      <c r="E249" t="s">
        <v>47</v>
      </c>
      <c r="F249">
        <v>26</v>
      </c>
      <c r="G249">
        <v>16</v>
      </c>
      <c r="H249">
        <v>6</v>
      </c>
      <c r="I249">
        <v>0</v>
      </c>
      <c r="J249">
        <v>0</v>
      </c>
      <c r="K249">
        <v>0</v>
      </c>
      <c r="L249">
        <v>0</v>
      </c>
      <c r="M249">
        <v>0</v>
      </c>
      <c r="N249">
        <v>120</v>
      </c>
      <c r="O249">
        <v>426</v>
      </c>
      <c r="P249">
        <v>3.55</v>
      </c>
      <c r="Q249">
        <v>1</v>
      </c>
      <c r="R249">
        <v>15</v>
      </c>
      <c r="S249">
        <v>10</v>
      </c>
      <c r="T249">
        <v>93</v>
      </c>
      <c r="U249">
        <v>9.3000000000000007</v>
      </c>
      <c r="V249">
        <v>0</v>
      </c>
      <c r="Y249">
        <v>58</v>
      </c>
      <c r="Z249">
        <v>68</v>
      </c>
      <c r="AA249">
        <v>70.900000000000006</v>
      </c>
      <c r="AB249">
        <v>62.9</v>
      </c>
      <c r="AD249">
        <v>62</v>
      </c>
      <c r="AF249" s="2">
        <f t="shared" si="3"/>
        <v>3.625</v>
      </c>
    </row>
    <row r="250" spans="1:32" hidden="1" x14ac:dyDescent="0.25">
      <c r="A250">
        <v>193</v>
      </c>
      <c r="B250" t="s">
        <v>277</v>
      </c>
      <c r="C250" t="s">
        <v>2638</v>
      </c>
      <c r="D250" t="s">
        <v>1047</v>
      </c>
      <c r="E250" t="s">
        <v>114</v>
      </c>
      <c r="F250">
        <v>29</v>
      </c>
      <c r="G250">
        <v>16</v>
      </c>
      <c r="H250">
        <v>13</v>
      </c>
      <c r="I250">
        <v>0</v>
      </c>
      <c r="J250">
        <v>0</v>
      </c>
      <c r="K250">
        <v>0</v>
      </c>
      <c r="L250">
        <v>0</v>
      </c>
      <c r="M250">
        <v>0</v>
      </c>
      <c r="N250">
        <v>0</v>
      </c>
      <c r="O250">
        <v>0</v>
      </c>
      <c r="Q250">
        <v>0</v>
      </c>
      <c r="R250">
        <v>33</v>
      </c>
      <c r="S250">
        <v>21</v>
      </c>
      <c r="T250">
        <v>336</v>
      </c>
      <c r="U250">
        <v>16</v>
      </c>
      <c r="V250">
        <v>4</v>
      </c>
      <c r="Y250">
        <v>58</v>
      </c>
      <c r="Z250">
        <v>79</v>
      </c>
      <c r="AA250">
        <v>81.599999999999994</v>
      </c>
      <c r="AB250">
        <v>68.099999999999994</v>
      </c>
      <c r="AD250">
        <v>23</v>
      </c>
      <c r="AF250" s="2">
        <f t="shared" si="3"/>
        <v>3.625</v>
      </c>
    </row>
    <row r="251" spans="1:32" x14ac:dyDescent="0.25">
      <c r="A251">
        <v>204</v>
      </c>
      <c r="B251" t="s">
        <v>269</v>
      </c>
      <c r="C251" t="s">
        <v>2651</v>
      </c>
      <c r="D251" t="s">
        <v>1811</v>
      </c>
      <c r="E251" t="s">
        <v>87</v>
      </c>
      <c r="F251">
        <v>24</v>
      </c>
      <c r="G251">
        <v>15</v>
      </c>
      <c r="H251">
        <v>8</v>
      </c>
      <c r="I251">
        <v>0</v>
      </c>
      <c r="J251">
        <v>0</v>
      </c>
      <c r="K251">
        <v>0</v>
      </c>
      <c r="L251">
        <v>0</v>
      </c>
      <c r="M251">
        <v>0</v>
      </c>
      <c r="N251">
        <v>0</v>
      </c>
      <c r="O251">
        <v>0</v>
      </c>
      <c r="Q251">
        <v>0</v>
      </c>
      <c r="R251">
        <v>72</v>
      </c>
      <c r="S251">
        <v>36</v>
      </c>
      <c r="T251">
        <v>416</v>
      </c>
      <c r="U251">
        <v>11.56</v>
      </c>
      <c r="V251">
        <v>2</v>
      </c>
      <c r="Y251">
        <v>54</v>
      </c>
      <c r="Z251">
        <v>90</v>
      </c>
      <c r="AA251">
        <v>92.6</v>
      </c>
      <c r="AB251">
        <v>71.599999999999994</v>
      </c>
      <c r="AD251">
        <v>75</v>
      </c>
      <c r="AF251" s="2">
        <f t="shared" si="3"/>
        <v>3.6</v>
      </c>
    </row>
    <row r="252" spans="1:32" x14ac:dyDescent="0.25">
      <c r="A252">
        <v>327</v>
      </c>
      <c r="B252" t="s">
        <v>1124</v>
      </c>
      <c r="C252" t="s">
        <v>2810</v>
      </c>
      <c r="D252" t="s">
        <v>1037</v>
      </c>
      <c r="E252" t="s">
        <v>87</v>
      </c>
      <c r="F252">
        <v>25</v>
      </c>
      <c r="G252">
        <v>5</v>
      </c>
      <c r="H252">
        <v>5</v>
      </c>
      <c r="I252">
        <v>0</v>
      </c>
      <c r="J252">
        <v>0</v>
      </c>
      <c r="K252">
        <v>0</v>
      </c>
      <c r="L252">
        <v>0</v>
      </c>
      <c r="M252">
        <v>0</v>
      </c>
      <c r="N252">
        <v>0</v>
      </c>
      <c r="O252">
        <v>0</v>
      </c>
      <c r="Q252">
        <v>0</v>
      </c>
      <c r="R252">
        <v>16</v>
      </c>
      <c r="S252">
        <v>11</v>
      </c>
      <c r="T252">
        <v>175</v>
      </c>
      <c r="U252">
        <v>15.91</v>
      </c>
      <c r="V252">
        <v>0</v>
      </c>
      <c r="Y252">
        <v>18</v>
      </c>
      <c r="Z252">
        <v>29</v>
      </c>
      <c r="AA252">
        <v>31.5</v>
      </c>
      <c r="AB252">
        <v>23</v>
      </c>
      <c r="AD252">
        <v>130</v>
      </c>
      <c r="AF252" s="2">
        <f t="shared" si="3"/>
        <v>3.6</v>
      </c>
    </row>
    <row r="253" spans="1:32" hidden="1" x14ac:dyDescent="0.25">
      <c r="A253">
        <v>304</v>
      </c>
      <c r="B253" t="s">
        <v>141</v>
      </c>
      <c r="C253" t="s">
        <v>2781</v>
      </c>
      <c r="D253" t="s">
        <v>1831</v>
      </c>
      <c r="E253" t="s">
        <v>114</v>
      </c>
      <c r="F253">
        <v>32</v>
      </c>
      <c r="G253">
        <v>7</v>
      </c>
      <c r="H253">
        <v>7</v>
      </c>
      <c r="I253">
        <v>0</v>
      </c>
      <c r="J253">
        <v>0</v>
      </c>
      <c r="K253">
        <v>0</v>
      </c>
      <c r="L253">
        <v>0</v>
      </c>
      <c r="M253">
        <v>0</v>
      </c>
      <c r="N253">
        <v>0</v>
      </c>
      <c r="O253">
        <v>0</v>
      </c>
      <c r="Q253">
        <v>0</v>
      </c>
      <c r="R253">
        <v>38</v>
      </c>
      <c r="S253">
        <v>17</v>
      </c>
      <c r="T253">
        <v>191</v>
      </c>
      <c r="U253">
        <v>11.24</v>
      </c>
      <c r="V253">
        <v>1</v>
      </c>
      <c r="Y253">
        <v>25</v>
      </c>
      <c r="Z253">
        <v>42</v>
      </c>
      <c r="AA253">
        <v>45.1</v>
      </c>
      <c r="AB253">
        <v>33.6</v>
      </c>
      <c r="AD253">
        <v>49</v>
      </c>
      <c r="AF253" s="2">
        <f t="shared" si="3"/>
        <v>3.5714285714285716</v>
      </c>
    </row>
    <row r="254" spans="1:32" hidden="1" x14ac:dyDescent="0.25">
      <c r="A254">
        <v>225</v>
      </c>
      <c r="B254" t="s">
        <v>2679</v>
      </c>
      <c r="C254" t="s">
        <v>2680</v>
      </c>
      <c r="D254" t="s">
        <v>1037</v>
      </c>
      <c r="E254" t="s">
        <v>47</v>
      </c>
      <c r="F254">
        <v>26</v>
      </c>
      <c r="G254">
        <v>13</v>
      </c>
      <c r="H254">
        <v>0</v>
      </c>
      <c r="I254">
        <v>0</v>
      </c>
      <c r="J254">
        <v>0</v>
      </c>
      <c r="K254">
        <v>0</v>
      </c>
      <c r="L254">
        <v>0</v>
      </c>
      <c r="M254">
        <v>0</v>
      </c>
      <c r="N254">
        <v>18</v>
      </c>
      <c r="O254">
        <v>72</v>
      </c>
      <c r="P254">
        <v>4</v>
      </c>
      <c r="Q254">
        <v>2</v>
      </c>
      <c r="R254">
        <v>34</v>
      </c>
      <c r="S254">
        <v>27</v>
      </c>
      <c r="T254">
        <v>150</v>
      </c>
      <c r="U254">
        <v>5.56</v>
      </c>
      <c r="V254">
        <v>2</v>
      </c>
      <c r="Y254">
        <v>46</v>
      </c>
      <c r="Z254">
        <v>73</v>
      </c>
      <c r="AA254">
        <v>76.2</v>
      </c>
      <c r="AB254">
        <v>59.7</v>
      </c>
      <c r="AD254">
        <v>68</v>
      </c>
      <c r="AF254" s="2">
        <f t="shared" si="3"/>
        <v>3.5384615384615383</v>
      </c>
    </row>
    <row r="255" spans="1:32" x14ac:dyDescent="0.25">
      <c r="A255">
        <v>206</v>
      </c>
      <c r="B255" t="s">
        <v>1457</v>
      </c>
      <c r="C255" t="s">
        <v>2654</v>
      </c>
      <c r="D255" t="s">
        <v>1047</v>
      </c>
      <c r="E255" t="s">
        <v>87</v>
      </c>
      <c r="F255">
        <v>23</v>
      </c>
      <c r="G255">
        <v>15</v>
      </c>
      <c r="H255">
        <v>1</v>
      </c>
      <c r="I255">
        <v>0</v>
      </c>
      <c r="J255">
        <v>0</v>
      </c>
      <c r="K255">
        <v>0</v>
      </c>
      <c r="L255">
        <v>0</v>
      </c>
      <c r="M255">
        <v>0</v>
      </c>
      <c r="N255">
        <v>0</v>
      </c>
      <c r="O255">
        <v>0</v>
      </c>
      <c r="Q255">
        <v>0</v>
      </c>
      <c r="R255">
        <v>60</v>
      </c>
      <c r="S255">
        <v>43</v>
      </c>
      <c r="T255">
        <v>430</v>
      </c>
      <c r="U255">
        <v>10</v>
      </c>
      <c r="V255">
        <v>2</v>
      </c>
      <c r="Y255">
        <v>53</v>
      </c>
      <c r="Z255">
        <v>96</v>
      </c>
      <c r="AA255">
        <v>100</v>
      </c>
      <c r="AB255">
        <v>74.5</v>
      </c>
      <c r="AD255">
        <v>77</v>
      </c>
      <c r="AF255" s="2">
        <f t="shared" si="3"/>
        <v>3.5333333333333332</v>
      </c>
    </row>
    <row r="256" spans="1:32" x14ac:dyDescent="0.25">
      <c r="A256">
        <v>268</v>
      </c>
      <c r="B256" t="s">
        <v>221</v>
      </c>
      <c r="C256" t="s">
        <v>2737</v>
      </c>
      <c r="D256" t="s">
        <v>1834</v>
      </c>
      <c r="E256" t="s">
        <v>87</v>
      </c>
      <c r="F256">
        <v>23</v>
      </c>
      <c r="G256">
        <v>10</v>
      </c>
      <c r="H256">
        <v>1</v>
      </c>
      <c r="I256">
        <v>0</v>
      </c>
      <c r="J256">
        <v>0</v>
      </c>
      <c r="K256">
        <v>0</v>
      </c>
      <c r="L256">
        <v>0</v>
      </c>
      <c r="M256">
        <v>0</v>
      </c>
      <c r="N256">
        <v>0</v>
      </c>
      <c r="O256">
        <v>0</v>
      </c>
      <c r="Q256">
        <v>0</v>
      </c>
      <c r="R256">
        <v>32</v>
      </c>
      <c r="S256">
        <v>22</v>
      </c>
      <c r="T256">
        <v>225</v>
      </c>
      <c r="U256">
        <v>10.23</v>
      </c>
      <c r="V256">
        <v>2</v>
      </c>
      <c r="Y256">
        <v>35</v>
      </c>
      <c r="Z256">
        <v>57</v>
      </c>
      <c r="AA256">
        <v>59.5</v>
      </c>
      <c r="AB256">
        <v>45.5</v>
      </c>
      <c r="AD256">
        <v>106</v>
      </c>
      <c r="AF256" s="2">
        <f t="shared" si="3"/>
        <v>3.5</v>
      </c>
    </row>
    <row r="257" spans="1:32" hidden="1" x14ac:dyDescent="0.25">
      <c r="A257">
        <v>249</v>
      </c>
      <c r="B257" t="s">
        <v>294</v>
      </c>
      <c r="C257" t="s">
        <v>2713</v>
      </c>
      <c r="D257" t="s">
        <v>1043</v>
      </c>
      <c r="E257" t="s">
        <v>47</v>
      </c>
      <c r="F257">
        <v>26</v>
      </c>
      <c r="G257">
        <v>11</v>
      </c>
      <c r="H257">
        <v>0</v>
      </c>
      <c r="I257">
        <v>0</v>
      </c>
      <c r="J257">
        <v>0</v>
      </c>
      <c r="K257">
        <v>0</v>
      </c>
      <c r="L257">
        <v>0</v>
      </c>
      <c r="M257">
        <v>0</v>
      </c>
      <c r="N257">
        <v>71</v>
      </c>
      <c r="O257">
        <v>262</v>
      </c>
      <c r="P257">
        <v>3.69</v>
      </c>
      <c r="Q257">
        <v>1</v>
      </c>
      <c r="R257">
        <v>9</v>
      </c>
      <c r="S257">
        <v>7</v>
      </c>
      <c r="T257">
        <v>54</v>
      </c>
      <c r="U257">
        <v>7.71</v>
      </c>
      <c r="V257">
        <v>0</v>
      </c>
      <c r="Y257">
        <v>38</v>
      </c>
      <c r="Z257">
        <v>45</v>
      </c>
      <c r="AA257">
        <v>47.6</v>
      </c>
      <c r="AB257">
        <v>41.1</v>
      </c>
      <c r="AD257">
        <v>76</v>
      </c>
      <c r="AF257" s="2">
        <f t="shared" si="3"/>
        <v>3.4545454545454546</v>
      </c>
    </row>
    <row r="258" spans="1:32" x14ac:dyDescent="0.25">
      <c r="A258">
        <v>201</v>
      </c>
      <c r="B258" t="s">
        <v>283</v>
      </c>
      <c r="C258" t="s">
        <v>2648</v>
      </c>
      <c r="D258" t="s">
        <v>1870</v>
      </c>
      <c r="E258" t="s">
        <v>87</v>
      </c>
      <c r="F258">
        <v>26</v>
      </c>
      <c r="G258">
        <v>16</v>
      </c>
      <c r="H258">
        <v>2</v>
      </c>
      <c r="I258">
        <v>0</v>
      </c>
      <c r="J258">
        <v>0</v>
      </c>
      <c r="K258">
        <v>0</v>
      </c>
      <c r="L258">
        <v>0</v>
      </c>
      <c r="M258">
        <v>0</v>
      </c>
      <c r="N258">
        <v>13</v>
      </c>
      <c r="O258">
        <v>121</v>
      </c>
      <c r="P258">
        <v>9.31</v>
      </c>
      <c r="Q258">
        <v>2</v>
      </c>
      <c r="R258">
        <v>42</v>
      </c>
      <c r="S258">
        <v>31</v>
      </c>
      <c r="T258">
        <v>309</v>
      </c>
      <c r="U258">
        <v>9.9700000000000006</v>
      </c>
      <c r="V258">
        <v>0</v>
      </c>
      <c r="Y258">
        <v>55</v>
      </c>
      <c r="Z258">
        <v>86</v>
      </c>
      <c r="AA258">
        <v>92</v>
      </c>
      <c r="AB258">
        <v>70.5</v>
      </c>
      <c r="AD258">
        <v>73</v>
      </c>
      <c r="AF258" s="2">
        <f t="shared" si="3"/>
        <v>3.4375</v>
      </c>
    </row>
    <row r="259" spans="1:32" x14ac:dyDescent="0.25">
      <c r="A259">
        <v>202</v>
      </c>
      <c r="B259" t="s">
        <v>209</v>
      </c>
      <c r="C259" t="s">
        <v>2649</v>
      </c>
      <c r="D259" t="s">
        <v>1862</v>
      </c>
      <c r="E259" t="s">
        <v>87</v>
      </c>
      <c r="F259">
        <v>28</v>
      </c>
      <c r="G259">
        <v>16</v>
      </c>
      <c r="H259">
        <v>14</v>
      </c>
      <c r="I259">
        <v>0</v>
      </c>
      <c r="J259">
        <v>0</v>
      </c>
      <c r="K259">
        <v>0</v>
      </c>
      <c r="L259">
        <v>0</v>
      </c>
      <c r="M259">
        <v>0</v>
      </c>
      <c r="N259">
        <v>1</v>
      </c>
      <c r="O259">
        <v>-3</v>
      </c>
      <c r="P259">
        <v>-3</v>
      </c>
      <c r="Q259">
        <v>0</v>
      </c>
      <c r="R259">
        <v>67</v>
      </c>
      <c r="S259">
        <v>36</v>
      </c>
      <c r="T259">
        <v>430</v>
      </c>
      <c r="U259">
        <v>11.94</v>
      </c>
      <c r="V259">
        <v>2</v>
      </c>
      <c r="Y259">
        <v>55</v>
      </c>
      <c r="Z259">
        <v>91</v>
      </c>
      <c r="AA259">
        <v>93.7</v>
      </c>
      <c r="AB259">
        <v>72.7</v>
      </c>
      <c r="AD259">
        <v>74</v>
      </c>
      <c r="AF259" s="2">
        <f t="shared" ref="AF259:AF322" si="4">Y259/G259</f>
        <v>3.4375</v>
      </c>
    </row>
    <row r="260" spans="1:32" hidden="1" x14ac:dyDescent="0.25">
      <c r="A260">
        <v>200</v>
      </c>
      <c r="B260" t="s">
        <v>299</v>
      </c>
      <c r="C260" t="s">
        <v>2647</v>
      </c>
      <c r="D260" t="s">
        <v>1040</v>
      </c>
      <c r="E260" t="s">
        <v>114</v>
      </c>
      <c r="F260">
        <v>23</v>
      </c>
      <c r="G260">
        <v>16</v>
      </c>
      <c r="H260">
        <v>14</v>
      </c>
      <c r="I260">
        <v>0</v>
      </c>
      <c r="J260">
        <v>0</v>
      </c>
      <c r="K260">
        <v>0</v>
      </c>
      <c r="L260">
        <v>0</v>
      </c>
      <c r="M260">
        <v>0</v>
      </c>
      <c r="N260">
        <v>0</v>
      </c>
      <c r="O260">
        <v>0</v>
      </c>
      <c r="Q260">
        <v>0</v>
      </c>
      <c r="R260">
        <v>63</v>
      </c>
      <c r="S260">
        <v>43</v>
      </c>
      <c r="T260">
        <v>372</v>
      </c>
      <c r="U260">
        <v>8.65</v>
      </c>
      <c r="V260">
        <v>3</v>
      </c>
      <c r="Y260">
        <v>55</v>
      </c>
      <c r="Z260">
        <v>98</v>
      </c>
      <c r="AA260">
        <v>101.2</v>
      </c>
      <c r="AB260">
        <v>76.7</v>
      </c>
      <c r="AD260">
        <v>26</v>
      </c>
      <c r="AF260" s="2">
        <f t="shared" si="4"/>
        <v>3.4375</v>
      </c>
    </row>
    <row r="261" spans="1:32" x14ac:dyDescent="0.25">
      <c r="A261">
        <v>222</v>
      </c>
      <c r="B261" t="s">
        <v>263</v>
      </c>
      <c r="C261" t="s">
        <v>2676</v>
      </c>
      <c r="D261" t="s">
        <v>1882</v>
      </c>
      <c r="E261" t="s">
        <v>87</v>
      </c>
      <c r="F261">
        <v>25</v>
      </c>
      <c r="G261">
        <v>14</v>
      </c>
      <c r="H261">
        <v>6</v>
      </c>
      <c r="I261">
        <v>0</v>
      </c>
      <c r="J261">
        <v>0</v>
      </c>
      <c r="K261">
        <v>0</v>
      </c>
      <c r="L261">
        <v>0</v>
      </c>
      <c r="M261">
        <v>0</v>
      </c>
      <c r="N261">
        <v>0</v>
      </c>
      <c r="O261">
        <v>0</v>
      </c>
      <c r="Q261">
        <v>0</v>
      </c>
      <c r="R261">
        <v>49</v>
      </c>
      <c r="S261">
        <v>30</v>
      </c>
      <c r="T261">
        <v>399</v>
      </c>
      <c r="U261">
        <v>13.3</v>
      </c>
      <c r="V261">
        <v>1</v>
      </c>
      <c r="W261">
        <v>1</v>
      </c>
      <c r="Y261">
        <v>48</v>
      </c>
      <c r="Z261">
        <v>78</v>
      </c>
      <c r="AA261">
        <v>80.900000000000006</v>
      </c>
      <c r="AB261">
        <v>62.9</v>
      </c>
      <c r="AD261">
        <v>85</v>
      </c>
      <c r="AF261" s="2">
        <f t="shared" si="4"/>
        <v>3.4285714285714284</v>
      </c>
    </row>
    <row r="262" spans="1:32" hidden="1" x14ac:dyDescent="0.25">
      <c r="A262">
        <v>308</v>
      </c>
      <c r="B262" t="s">
        <v>274</v>
      </c>
      <c r="C262" t="s">
        <v>2786</v>
      </c>
      <c r="D262" t="s">
        <v>1043</v>
      </c>
      <c r="E262" t="s">
        <v>114</v>
      </c>
      <c r="F262">
        <v>27</v>
      </c>
      <c r="G262">
        <v>7</v>
      </c>
      <c r="H262">
        <v>6</v>
      </c>
      <c r="I262">
        <v>0</v>
      </c>
      <c r="J262">
        <v>0</v>
      </c>
      <c r="K262">
        <v>0</v>
      </c>
      <c r="L262">
        <v>0</v>
      </c>
      <c r="M262">
        <v>0</v>
      </c>
      <c r="N262">
        <v>0</v>
      </c>
      <c r="O262">
        <v>0</v>
      </c>
      <c r="Q262">
        <v>0</v>
      </c>
      <c r="R262">
        <v>26</v>
      </c>
      <c r="S262">
        <v>13</v>
      </c>
      <c r="T262">
        <v>158</v>
      </c>
      <c r="U262">
        <v>12.15</v>
      </c>
      <c r="V262">
        <v>1</v>
      </c>
      <c r="W262">
        <v>1</v>
      </c>
      <c r="Y262">
        <v>24</v>
      </c>
      <c r="Z262">
        <v>37</v>
      </c>
      <c r="AA262">
        <v>39.799999999999997</v>
      </c>
      <c r="AB262">
        <v>30.3</v>
      </c>
      <c r="AD262">
        <v>53</v>
      </c>
      <c r="AF262" s="2">
        <f t="shared" si="4"/>
        <v>3.4285714285714284</v>
      </c>
    </row>
    <row r="263" spans="1:32" hidden="1" x14ac:dyDescent="0.25">
      <c r="A263">
        <v>211</v>
      </c>
      <c r="B263" t="s">
        <v>218</v>
      </c>
      <c r="C263" t="s">
        <v>2660</v>
      </c>
      <c r="D263" t="s">
        <v>1870</v>
      </c>
      <c r="E263" t="s">
        <v>47</v>
      </c>
      <c r="F263">
        <v>24</v>
      </c>
      <c r="G263">
        <v>15</v>
      </c>
      <c r="H263">
        <v>0</v>
      </c>
      <c r="I263">
        <v>0</v>
      </c>
      <c r="J263">
        <v>0</v>
      </c>
      <c r="K263">
        <v>0</v>
      </c>
      <c r="L263">
        <v>0</v>
      </c>
      <c r="M263">
        <v>0</v>
      </c>
      <c r="N263">
        <v>57</v>
      </c>
      <c r="O263">
        <v>153</v>
      </c>
      <c r="P263">
        <v>2.68</v>
      </c>
      <c r="Q263">
        <v>2</v>
      </c>
      <c r="R263">
        <v>45</v>
      </c>
      <c r="S263">
        <v>34</v>
      </c>
      <c r="T263">
        <v>197</v>
      </c>
      <c r="U263">
        <v>5.79</v>
      </c>
      <c r="V263">
        <v>1</v>
      </c>
      <c r="Y263">
        <v>51</v>
      </c>
      <c r="Z263">
        <v>85</v>
      </c>
      <c r="AA263">
        <v>92</v>
      </c>
      <c r="AB263">
        <v>68</v>
      </c>
      <c r="AD263">
        <v>66</v>
      </c>
      <c r="AF263" s="2">
        <f t="shared" si="4"/>
        <v>3.4</v>
      </c>
    </row>
    <row r="264" spans="1:32" x14ac:dyDescent="0.25">
      <c r="A264">
        <v>242</v>
      </c>
      <c r="B264" t="s">
        <v>2703</v>
      </c>
      <c r="C264" t="s">
        <v>2704</v>
      </c>
      <c r="D264" t="s">
        <v>2398</v>
      </c>
      <c r="E264" t="s">
        <v>87</v>
      </c>
      <c r="F264">
        <v>28</v>
      </c>
      <c r="G264">
        <v>12</v>
      </c>
      <c r="H264">
        <v>7</v>
      </c>
      <c r="I264">
        <v>0</v>
      </c>
      <c r="J264">
        <v>0</v>
      </c>
      <c r="K264">
        <v>0</v>
      </c>
      <c r="L264">
        <v>0</v>
      </c>
      <c r="M264">
        <v>0</v>
      </c>
      <c r="N264">
        <v>0</v>
      </c>
      <c r="O264">
        <v>0</v>
      </c>
      <c r="Q264">
        <v>0</v>
      </c>
      <c r="R264">
        <v>44</v>
      </c>
      <c r="S264">
        <v>25</v>
      </c>
      <c r="T264">
        <v>343</v>
      </c>
      <c r="U264">
        <v>13.72</v>
      </c>
      <c r="V264">
        <v>1</v>
      </c>
      <c r="Y264">
        <v>40</v>
      </c>
      <c r="Z264">
        <v>65</v>
      </c>
      <c r="AA264">
        <v>68.3</v>
      </c>
      <c r="AB264">
        <v>52.8</v>
      </c>
      <c r="AD264">
        <v>96</v>
      </c>
      <c r="AF264" s="2">
        <f t="shared" si="4"/>
        <v>3.3333333333333335</v>
      </c>
    </row>
    <row r="265" spans="1:32" x14ac:dyDescent="0.25">
      <c r="A265">
        <v>286</v>
      </c>
      <c r="B265" t="s">
        <v>2758</v>
      </c>
      <c r="C265" t="s">
        <v>2759</v>
      </c>
      <c r="D265" t="s">
        <v>1045</v>
      </c>
      <c r="E265" t="s">
        <v>87</v>
      </c>
      <c r="F265">
        <v>28</v>
      </c>
      <c r="G265">
        <v>9</v>
      </c>
      <c r="H265">
        <v>2</v>
      </c>
      <c r="I265">
        <v>0</v>
      </c>
      <c r="J265">
        <v>0</v>
      </c>
      <c r="K265">
        <v>0</v>
      </c>
      <c r="L265">
        <v>0</v>
      </c>
      <c r="M265">
        <v>0</v>
      </c>
      <c r="N265">
        <v>0</v>
      </c>
      <c r="O265">
        <v>0</v>
      </c>
      <c r="Q265">
        <v>0</v>
      </c>
      <c r="R265">
        <v>37</v>
      </c>
      <c r="S265">
        <v>20</v>
      </c>
      <c r="T265">
        <v>240</v>
      </c>
      <c r="U265">
        <v>12</v>
      </c>
      <c r="V265">
        <v>1</v>
      </c>
      <c r="Y265">
        <v>30</v>
      </c>
      <c r="Z265">
        <v>50</v>
      </c>
      <c r="AA265">
        <v>53</v>
      </c>
      <c r="AB265">
        <v>40</v>
      </c>
      <c r="AD265">
        <v>112</v>
      </c>
      <c r="AF265" s="2">
        <f t="shared" si="4"/>
        <v>3.3333333333333335</v>
      </c>
    </row>
    <row r="266" spans="1:32" x14ac:dyDescent="0.25">
      <c r="A266">
        <v>205</v>
      </c>
      <c r="B266" t="s">
        <v>2652</v>
      </c>
      <c r="C266" t="s">
        <v>2653</v>
      </c>
      <c r="D266" t="s">
        <v>1054</v>
      </c>
      <c r="E266" t="s">
        <v>87</v>
      </c>
      <c r="F266">
        <v>26</v>
      </c>
      <c r="G266">
        <v>16</v>
      </c>
      <c r="H266">
        <v>4</v>
      </c>
      <c r="I266">
        <v>0</v>
      </c>
      <c r="J266">
        <v>0</v>
      </c>
      <c r="K266">
        <v>0</v>
      </c>
      <c r="L266">
        <v>0</v>
      </c>
      <c r="M266">
        <v>0</v>
      </c>
      <c r="N266">
        <v>0</v>
      </c>
      <c r="O266">
        <v>0</v>
      </c>
      <c r="Q266">
        <v>0</v>
      </c>
      <c r="R266">
        <v>56</v>
      </c>
      <c r="S266">
        <v>29</v>
      </c>
      <c r="T266">
        <v>350</v>
      </c>
      <c r="U266">
        <v>12.07</v>
      </c>
      <c r="V266">
        <v>3</v>
      </c>
      <c r="Y266">
        <v>53</v>
      </c>
      <c r="Z266">
        <v>82</v>
      </c>
      <c r="AA266">
        <v>85</v>
      </c>
      <c r="AB266">
        <v>67.5</v>
      </c>
      <c r="AD266">
        <v>76</v>
      </c>
      <c r="AF266" s="2">
        <f t="shared" si="4"/>
        <v>3.3125</v>
      </c>
    </row>
    <row r="267" spans="1:32" hidden="1" x14ac:dyDescent="0.25">
      <c r="A267">
        <v>259</v>
      </c>
      <c r="B267" t="s">
        <v>282</v>
      </c>
      <c r="C267" t="s">
        <v>2727</v>
      </c>
      <c r="D267" t="s">
        <v>1038</v>
      </c>
      <c r="E267" t="s">
        <v>47</v>
      </c>
      <c r="F267">
        <v>24</v>
      </c>
      <c r="G267">
        <v>11</v>
      </c>
      <c r="H267">
        <v>1</v>
      </c>
      <c r="I267">
        <v>0</v>
      </c>
      <c r="J267">
        <v>0</v>
      </c>
      <c r="K267">
        <v>0</v>
      </c>
      <c r="L267">
        <v>0</v>
      </c>
      <c r="M267">
        <v>0</v>
      </c>
      <c r="N267">
        <v>63</v>
      </c>
      <c r="O267">
        <v>246</v>
      </c>
      <c r="P267">
        <v>3.9</v>
      </c>
      <c r="Q267">
        <v>1</v>
      </c>
      <c r="R267">
        <v>11</v>
      </c>
      <c r="S267">
        <v>9</v>
      </c>
      <c r="T267">
        <v>53</v>
      </c>
      <c r="U267">
        <v>5.89</v>
      </c>
      <c r="V267">
        <v>0</v>
      </c>
      <c r="Y267">
        <v>36</v>
      </c>
      <c r="Z267">
        <v>45</v>
      </c>
      <c r="AA267">
        <v>47.9</v>
      </c>
      <c r="AB267">
        <v>40.4</v>
      </c>
      <c r="AD267">
        <v>81</v>
      </c>
      <c r="AF267" s="2">
        <f t="shared" si="4"/>
        <v>3.2727272727272729</v>
      </c>
    </row>
    <row r="268" spans="1:32" x14ac:dyDescent="0.25">
      <c r="A268">
        <v>260</v>
      </c>
      <c r="B268" t="s">
        <v>171</v>
      </c>
      <c r="C268" t="s">
        <v>2728</v>
      </c>
      <c r="D268" t="s">
        <v>1887</v>
      </c>
      <c r="E268" t="s">
        <v>87</v>
      </c>
      <c r="F268">
        <v>22</v>
      </c>
      <c r="G268">
        <v>11</v>
      </c>
      <c r="H268">
        <v>9</v>
      </c>
      <c r="I268">
        <v>0</v>
      </c>
      <c r="J268">
        <v>0</v>
      </c>
      <c r="K268">
        <v>0</v>
      </c>
      <c r="L268">
        <v>0</v>
      </c>
      <c r="M268">
        <v>0</v>
      </c>
      <c r="N268">
        <v>0</v>
      </c>
      <c r="O268">
        <v>0</v>
      </c>
      <c r="Q268">
        <v>0</v>
      </c>
      <c r="R268">
        <v>65</v>
      </c>
      <c r="S268">
        <v>34</v>
      </c>
      <c r="T268">
        <v>375</v>
      </c>
      <c r="U268">
        <v>11.03</v>
      </c>
      <c r="V268">
        <v>0</v>
      </c>
      <c r="Y268">
        <v>36</v>
      </c>
      <c r="Z268">
        <v>70</v>
      </c>
      <c r="AA268">
        <v>73.5</v>
      </c>
      <c r="AB268">
        <v>52.5</v>
      </c>
      <c r="AD268">
        <v>104</v>
      </c>
      <c r="AF268" s="2">
        <f t="shared" si="4"/>
        <v>3.2727272727272729</v>
      </c>
    </row>
    <row r="269" spans="1:32" hidden="1" x14ac:dyDescent="0.25">
      <c r="A269">
        <v>301</v>
      </c>
      <c r="B269" t="s">
        <v>2777</v>
      </c>
      <c r="C269" t="s">
        <v>2778</v>
      </c>
      <c r="D269" t="s">
        <v>1890</v>
      </c>
      <c r="E269" t="s">
        <v>47</v>
      </c>
      <c r="F269">
        <v>32</v>
      </c>
      <c r="G269">
        <v>8</v>
      </c>
      <c r="H269">
        <v>0</v>
      </c>
      <c r="I269">
        <v>0</v>
      </c>
      <c r="J269">
        <v>0</v>
      </c>
      <c r="K269">
        <v>0</v>
      </c>
      <c r="L269">
        <v>0</v>
      </c>
      <c r="M269">
        <v>0</v>
      </c>
      <c r="N269">
        <v>14</v>
      </c>
      <c r="O269">
        <v>56</v>
      </c>
      <c r="P269">
        <v>4</v>
      </c>
      <c r="Q269">
        <v>0</v>
      </c>
      <c r="R269">
        <v>39</v>
      </c>
      <c r="S269">
        <v>33</v>
      </c>
      <c r="T269">
        <v>200</v>
      </c>
      <c r="U269">
        <v>6.06</v>
      </c>
      <c r="V269">
        <v>0</v>
      </c>
      <c r="Y269">
        <v>26</v>
      </c>
      <c r="Z269">
        <v>59</v>
      </c>
      <c r="AA269">
        <v>61.6</v>
      </c>
      <c r="AB269">
        <v>42.1</v>
      </c>
      <c r="AD269">
        <v>88</v>
      </c>
      <c r="AF269" s="2">
        <f t="shared" si="4"/>
        <v>3.25</v>
      </c>
    </row>
    <row r="270" spans="1:32" x14ac:dyDescent="0.25">
      <c r="A270">
        <v>236</v>
      </c>
      <c r="B270" t="s">
        <v>357</v>
      </c>
      <c r="C270" t="s">
        <v>2694</v>
      </c>
      <c r="D270" t="s">
        <v>1890</v>
      </c>
      <c r="E270" t="s">
        <v>87</v>
      </c>
      <c r="F270">
        <v>24</v>
      </c>
      <c r="G270">
        <v>13</v>
      </c>
      <c r="H270">
        <v>4</v>
      </c>
      <c r="I270">
        <v>0</v>
      </c>
      <c r="J270">
        <v>0</v>
      </c>
      <c r="K270">
        <v>0</v>
      </c>
      <c r="L270">
        <v>0</v>
      </c>
      <c r="M270">
        <v>0</v>
      </c>
      <c r="N270">
        <v>2</v>
      </c>
      <c r="O270">
        <v>-9</v>
      </c>
      <c r="P270">
        <v>-4.5</v>
      </c>
      <c r="Q270">
        <v>0</v>
      </c>
      <c r="R270">
        <v>38</v>
      </c>
      <c r="S270">
        <v>18</v>
      </c>
      <c r="T270">
        <v>248</v>
      </c>
      <c r="U270">
        <v>13.78</v>
      </c>
      <c r="V270">
        <v>3</v>
      </c>
      <c r="Y270">
        <v>42</v>
      </c>
      <c r="Z270">
        <v>60</v>
      </c>
      <c r="AA270">
        <v>68.900000000000006</v>
      </c>
      <c r="AB270">
        <v>56.9</v>
      </c>
      <c r="AD270">
        <v>93</v>
      </c>
      <c r="AF270" s="2">
        <f t="shared" si="4"/>
        <v>3.2307692307692308</v>
      </c>
    </row>
    <row r="271" spans="1:32" hidden="1" x14ac:dyDescent="0.25">
      <c r="A271">
        <v>287</v>
      </c>
      <c r="B271" t="s">
        <v>176</v>
      </c>
      <c r="C271" t="s">
        <v>2760</v>
      </c>
      <c r="D271" t="s">
        <v>2398</v>
      </c>
      <c r="E271" t="s">
        <v>114</v>
      </c>
      <c r="F271">
        <v>30</v>
      </c>
      <c r="G271">
        <v>9</v>
      </c>
      <c r="H271">
        <v>7</v>
      </c>
      <c r="I271">
        <v>0</v>
      </c>
      <c r="J271">
        <v>0</v>
      </c>
      <c r="K271">
        <v>0</v>
      </c>
      <c r="L271">
        <v>0</v>
      </c>
      <c r="M271">
        <v>0</v>
      </c>
      <c r="N271">
        <v>0</v>
      </c>
      <c r="O271">
        <v>0</v>
      </c>
      <c r="Q271">
        <v>0</v>
      </c>
      <c r="R271">
        <v>44</v>
      </c>
      <c r="S271">
        <v>30</v>
      </c>
      <c r="T271">
        <v>286</v>
      </c>
      <c r="U271">
        <v>9.5299999999999994</v>
      </c>
      <c r="V271">
        <v>0</v>
      </c>
      <c r="Y271">
        <v>29</v>
      </c>
      <c r="Z271">
        <v>59</v>
      </c>
      <c r="AA271">
        <v>61.6</v>
      </c>
      <c r="AB271">
        <v>43.6</v>
      </c>
      <c r="AD271">
        <v>44</v>
      </c>
      <c r="AF271" s="2">
        <f t="shared" si="4"/>
        <v>3.2222222222222223</v>
      </c>
    </row>
    <row r="272" spans="1:32" hidden="1" x14ac:dyDescent="0.25">
      <c r="A272">
        <v>226</v>
      </c>
      <c r="B272" t="s">
        <v>2681</v>
      </c>
      <c r="C272" t="s">
        <v>2682</v>
      </c>
      <c r="D272" t="s">
        <v>1054</v>
      </c>
      <c r="E272" t="s">
        <v>47</v>
      </c>
      <c r="F272">
        <v>31</v>
      </c>
      <c r="G272">
        <v>14</v>
      </c>
      <c r="H272">
        <v>0</v>
      </c>
      <c r="I272">
        <v>0</v>
      </c>
      <c r="J272">
        <v>0</v>
      </c>
      <c r="K272">
        <v>0</v>
      </c>
      <c r="L272">
        <v>0</v>
      </c>
      <c r="M272">
        <v>0</v>
      </c>
      <c r="N272">
        <v>69</v>
      </c>
      <c r="O272">
        <v>296</v>
      </c>
      <c r="P272">
        <v>4.29</v>
      </c>
      <c r="Q272">
        <v>1</v>
      </c>
      <c r="R272">
        <v>28</v>
      </c>
      <c r="S272">
        <v>23</v>
      </c>
      <c r="T272">
        <v>129</v>
      </c>
      <c r="U272">
        <v>5.61</v>
      </c>
      <c r="V272">
        <v>0</v>
      </c>
      <c r="Y272">
        <v>45</v>
      </c>
      <c r="Z272">
        <v>68</v>
      </c>
      <c r="AA272">
        <v>75.5</v>
      </c>
      <c r="AB272">
        <v>56</v>
      </c>
      <c r="AD272">
        <v>69</v>
      </c>
      <c r="AF272" s="2">
        <f t="shared" si="4"/>
        <v>3.2142857142857144</v>
      </c>
    </row>
    <row r="273" spans="1:32" x14ac:dyDescent="0.25">
      <c r="A273">
        <v>223</v>
      </c>
      <c r="B273" t="s">
        <v>238</v>
      </c>
      <c r="C273" t="s">
        <v>2677</v>
      </c>
      <c r="D273" t="s">
        <v>1870</v>
      </c>
      <c r="E273" t="s">
        <v>87</v>
      </c>
      <c r="F273">
        <v>26</v>
      </c>
      <c r="G273">
        <v>15</v>
      </c>
      <c r="H273">
        <v>7</v>
      </c>
      <c r="I273">
        <v>0</v>
      </c>
      <c r="J273">
        <v>0</v>
      </c>
      <c r="K273">
        <v>0</v>
      </c>
      <c r="L273">
        <v>0</v>
      </c>
      <c r="M273">
        <v>0</v>
      </c>
      <c r="N273">
        <v>0</v>
      </c>
      <c r="O273">
        <v>0</v>
      </c>
      <c r="Q273">
        <v>0</v>
      </c>
      <c r="R273">
        <v>65</v>
      </c>
      <c r="S273">
        <v>43</v>
      </c>
      <c r="T273">
        <v>455</v>
      </c>
      <c r="U273">
        <v>10.58</v>
      </c>
      <c r="V273">
        <v>1</v>
      </c>
      <c r="Y273">
        <v>48</v>
      </c>
      <c r="Z273">
        <v>91</v>
      </c>
      <c r="AA273">
        <v>95.5</v>
      </c>
      <c r="AB273">
        <v>69</v>
      </c>
      <c r="AD273">
        <v>86</v>
      </c>
      <c r="AF273" s="2">
        <f t="shared" si="4"/>
        <v>3.2</v>
      </c>
    </row>
    <row r="274" spans="1:32" x14ac:dyDescent="0.25">
      <c r="A274">
        <v>280</v>
      </c>
      <c r="B274" t="s">
        <v>2750</v>
      </c>
      <c r="C274" t="s">
        <v>2751</v>
      </c>
      <c r="D274" t="s">
        <v>1050</v>
      </c>
      <c r="E274" t="s">
        <v>87</v>
      </c>
      <c r="F274">
        <v>25</v>
      </c>
      <c r="G274">
        <v>10</v>
      </c>
      <c r="H274">
        <v>7</v>
      </c>
      <c r="I274">
        <v>0</v>
      </c>
      <c r="J274">
        <v>0</v>
      </c>
      <c r="K274">
        <v>0</v>
      </c>
      <c r="L274">
        <v>0</v>
      </c>
      <c r="M274">
        <v>0</v>
      </c>
      <c r="N274">
        <v>0</v>
      </c>
      <c r="O274">
        <v>0</v>
      </c>
      <c r="Q274">
        <v>0</v>
      </c>
      <c r="R274">
        <v>36</v>
      </c>
      <c r="S274">
        <v>25</v>
      </c>
      <c r="T274">
        <v>282</v>
      </c>
      <c r="U274">
        <v>11.28</v>
      </c>
      <c r="V274">
        <v>1</v>
      </c>
      <c r="Y274">
        <v>32</v>
      </c>
      <c r="Z274">
        <v>57</v>
      </c>
      <c r="AA274">
        <v>61.2</v>
      </c>
      <c r="AB274">
        <v>44.7</v>
      </c>
      <c r="AD274">
        <v>108</v>
      </c>
      <c r="AF274" s="2">
        <f t="shared" si="4"/>
        <v>3.2</v>
      </c>
    </row>
    <row r="275" spans="1:32" x14ac:dyDescent="0.25">
      <c r="A275">
        <v>269</v>
      </c>
      <c r="B275" t="s">
        <v>305</v>
      </c>
      <c r="C275" t="s">
        <v>2738</v>
      </c>
      <c r="D275" t="s">
        <v>815</v>
      </c>
      <c r="E275" t="s">
        <v>87</v>
      </c>
      <c r="F275">
        <v>23</v>
      </c>
      <c r="G275">
        <v>11</v>
      </c>
      <c r="H275">
        <v>4</v>
      </c>
      <c r="I275">
        <v>0</v>
      </c>
      <c r="J275">
        <v>0</v>
      </c>
      <c r="K275">
        <v>0</v>
      </c>
      <c r="L275">
        <v>0</v>
      </c>
      <c r="M275">
        <v>0</v>
      </c>
      <c r="N275">
        <v>3</v>
      </c>
      <c r="O275">
        <v>8</v>
      </c>
      <c r="P275">
        <v>2.67</v>
      </c>
      <c r="Q275">
        <v>0</v>
      </c>
      <c r="R275">
        <v>37</v>
      </c>
      <c r="S275">
        <v>23</v>
      </c>
      <c r="T275">
        <v>284</v>
      </c>
      <c r="U275">
        <v>12.35</v>
      </c>
      <c r="V275">
        <v>1</v>
      </c>
      <c r="Y275">
        <v>35</v>
      </c>
      <c r="Z275">
        <v>58</v>
      </c>
      <c r="AA275">
        <v>61.2</v>
      </c>
      <c r="AB275">
        <v>46.7</v>
      </c>
      <c r="AD275">
        <v>105</v>
      </c>
      <c r="AF275" s="2">
        <f t="shared" si="4"/>
        <v>3.1818181818181817</v>
      </c>
    </row>
    <row r="276" spans="1:32" x14ac:dyDescent="0.25">
      <c r="A276">
        <v>250</v>
      </c>
      <c r="B276" t="s">
        <v>161</v>
      </c>
      <c r="C276" t="s">
        <v>2714</v>
      </c>
      <c r="D276" t="s">
        <v>2398</v>
      </c>
      <c r="E276" t="s">
        <v>87</v>
      </c>
      <c r="F276">
        <v>29</v>
      </c>
      <c r="G276">
        <v>12</v>
      </c>
      <c r="H276">
        <v>4</v>
      </c>
      <c r="I276">
        <v>0</v>
      </c>
      <c r="J276">
        <v>0</v>
      </c>
      <c r="K276">
        <v>0</v>
      </c>
      <c r="L276">
        <v>0</v>
      </c>
      <c r="M276">
        <v>0</v>
      </c>
      <c r="N276">
        <v>0</v>
      </c>
      <c r="O276">
        <v>0</v>
      </c>
      <c r="Q276">
        <v>0</v>
      </c>
      <c r="R276">
        <v>43</v>
      </c>
      <c r="S276">
        <v>20</v>
      </c>
      <c r="T276">
        <v>256</v>
      </c>
      <c r="U276">
        <v>12.8</v>
      </c>
      <c r="V276">
        <v>2</v>
      </c>
      <c r="Y276">
        <v>38</v>
      </c>
      <c r="Z276">
        <v>58</v>
      </c>
      <c r="AA276">
        <v>60.6</v>
      </c>
      <c r="AB276">
        <v>47.6</v>
      </c>
      <c r="AD276">
        <v>101</v>
      </c>
      <c r="AF276" s="2">
        <f t="shared" si="4"/>
        <v>3.1666666666666665</v>
      </c>
    </row>
    <row r="277" spans="1:32" hidden="1" x14ac:dyDescent="0.25">
      <c r="A277">
        <v>229</v>
      </c>
      <c r="B277" t="s">
        <v>231</v>
      </c>
      <c r="C277" t="s">
        <v>2686</v>
      </c>
      <c r="D277" t="s">
        <v>1806</v>
      </c>
      <c r="E277" t="s">
        <v>114</v>
      </c>
      <c r="F277">
        <v>29</v>
      </c>
      <c r="G277">
        <v>14</v>
      </c>
      <c r="H277">
        <v>14</v>
      </c>
      <c r="I277">
        <v>0</v>
      </c>
      <c r="J277">
        <v>0</v>
      </c>
      <c r="K277">
        <v>0</v>
      </c>
      <c r="L277">
        <v>0</v>
      </c>
      <c r="M277">
        <v>0</v>
      </c>
      <c r="N277">
        <v>0</v>
      </c>
      <c r="O277">
        <v>0</v>
      </c>
      <c r="Q277">
        <v>0</v>
      </c>
      <c r="R277">
        <v>46</v>
      </c>
      <c r="S277">
        <v>33</v>
      </c>
      <c r="T277">
        <v>322</v>
      </c>
      <c r="U277">
        <v>9.76</v>
      </c>
      <c r="V277">
        <v>2</v>
      </c>
      <c r="Y277">
        <v>44</v>
      </c>
      <c r="Z277">
        <v>77</v>
      </c>
      <c r="AA277">
        <v>80.2</v>
      </c>
      <c r="AB277">
        <v>60.7</v>
      </c>
      <c r="AD277">
        <v>30</v>
      </c>
      <c r="AF277" s="2">
        <f t="shared" si="4"/>
        <v>3.1428571428571428</v>
      </c>
    </row>
    <row r="278" spans="1:32" x14ac:dyDescent="0.25">
      <c r="A278">
        <v>213</v>
      </c>
      <c r="B278" t="s">
        <v>2663</v>
      </c>
      <c r="C278" t="s">
        <v>2664</v>
      </c>
      <c r="D278" t="s">
        <v>1051</v>
      </c>
      <c r="E278" t="s">
        <v>87</v>
      </c>
      <c r="F278">
        <v>25</v>
      </c>
      <c r="G278">
        <v>16</v>
      </c>
      <c r="H278">
        <v>6</v>
      </c>
      <c r="I278">
        <v>0</v>
      </c>
      <c r="J278">
        <v>0</v>
      </c>
      <c r="K278">
        <v>0</v>
      </c>
      <c r="L278">
        <v>0</v>
      </c>
      <c r="M278">
        <v>0</v>
      </c>
      <c r="N278">
        <v>0</v>
      </c>
      <c r="O278">
        <v>0</v>
      </c>
      <c r="Q278">
        <v>0</v>
      </c>
      <c r="R278">
        <v>37</v>
      </c>
      <c r="S278">
        <v>23</v>
      </c>
      <c r="T278">
        <v>364</v>
      </c>
      <c r="U278">
        <v>15.83</v>
      </c>
      <c r="V278">
        <v>3</v>
      </c>
      <c r="Y278">
        <v>50</v>
      </c>
      <c r="Z278">
        <v>73</v>
      </c>
      <c r="AA278">
        <v>78.400000000000006</v>
      </c>
      <c r="AB278">
        <v>61.9</v>
      </c>
      <c r="AD278">
        <v>79</v>
      </c>
      <c r="AF278" s="2">
        <f t="shared" si="4"/>
        <v>3.125</v>
      </c>
    </row>
    <row r="279" spans="1:32" hidden="1" x14ac:dyDescent="0.25">
      <c r="A279">
        <v>214</v>
      </c>
      <c r="B279" t="s">
        <v>307</v>
      </c>
      <c r="C279" t="s">
        <v>2665</v>
      </c>
      <c r="D279" t="s">
        <v>1831</v>
      </c>
      <c r="E279" t="s">
        <v>114</v>
      </c>
      <c r="F279">
        <v>30</v>
      </c>
      <c r="G279">
        <v>16</v>
      </c>
      <c r="H279">
        <v>12</v>
      </c>
      <c r="I279">
        <v>0</v>
      </c>
      <c r="J279">
        <v>0</v>
      </c>
      <c r="K279">
        <v>0</v>
      </c>
      <c r="L279">
        <v>0</v>
      </c>
      <c r="M279">
        <v>0</v>
      </c>
      <c r="N279">
        <v>0</v>
      </c>
      <c r="O279">
        <v>0</v>
      </c>
      <c r="Q279">
        <v>0</v>
      </c>
      <c r="R279">
        <v>48</v>
      </c>
      <c r="S279">
        <v>30</v>
      </c>
      <c r="T279">
        <v>437</v>
      </c>
      <c r="U279">
        <v>14.57</v>
      </c>
      <c r="V279">
        <v>1</v>
      </c>
      <c r="Y279">
        <v>50</v>
      </c>
      <c r="Z279">
        <v>80</v>
      </c>
      <c r="AA279">
        <v>82.7</v>
      </c>
      <c r="AB279">
        <v>64.7</v>
      </c>
      <c r="AD279">
        <v>28</v>
      </c>
      <c r="AF279" s="2">
        <f t="shared" si="4"/>
        <v>3.125</v>
      </c>
    </row>
    <row r="280" spans="1:32" hidden="1" x14ac:dyDescent="0.25">
      <c r="A280">
        <v>216</v>
      </c>
      <c r="B280" t="s">
        <v>2667</v>
      </c>
      <c r="C280" t="s">
        <v>2668</v>
      </c>
      <c r="D280" t="s">
        <v>1041</v>
      </c>
      <c r="E280" t="s">
        <v>114</v>
      </c>
      <c r="F280">
        <v>37</v>
      </c>
      <c r="G280">
        <v>16</v>
      </c>
      <c r="H280">
        <v>4</v>
      </c>
      <c r="I280">
        <v>0</v>
      </c>
      <c r="J280">
        <v>0</v>
      </c>
      <c r="K280">
        <v>0</v>
      </c>
      <c r="L280">
        <v>0</v>
      </c>
      <c r="M280">
        <v>0</v>
      </c>
      <c r="N280">
        <v>0</v>
      </c>
      <c r="O280">
        <v>0</v>
      </c>
      <c r="Q280">
        <v>0</v>
      </c>
      <c r="R280">
        <v>52</v>
      </c>
      <c r="S280">
        <v>30</v>
      </c>
      <c r="T280">
        <v>316</v>
      </c>
      <c r="U280">
        <v>10.53</v>
      </c>
      <c r="V280">
        <v>3</v>
      </c>
      <c r="Y280">
        <v>50</v>
      </c>
      <c r="Z280">
        <v>80</v>
      </c>
      <c r="AA280">
        <v>82.6</v>
      </c>
      <c r="AB280">
        <v>64.599999999999994</v>
      </c>
      <c r="AD280">
        <v>29</v>
      </c>
      <c r="AF280" s="2">
        <f t="shared" si="4"/>
        <v>3.125</v>
      </c>
    </row>
    <row r="281" spans="1:32" hidden="1" x14ac:dyDescent="0.25">
      <c r="A281">
        <v>270</v>
      </c>
      <c r="B281" t="s">
        <v>286</v>
      </c>
      <c r="C281" t="s">
        <v>2739</v>
      </c>
      <c r="D281" t="s">
        <v>2398</v>
      </c>
      <c r="E281" t="s">
        <v>114</v>
      </c>
      <c r="F281">
        <v>26</v>
      </c>
      <c r="G281">
        <v>11</v>
      </c>
      <c r="H281">
        <v>1</v>
      </c>
      <c r="I281">
        <v>0</v>
      </c>
      <c r="J281">
        <v>0</v>
      </c>
      <c r="K281">
        <v>0</v>
      </c>
      <c r="L281">
        <v>0</v>
      </c>
      <c r="M281">
        <v>0</v>
      </c>
      <c r="N281">
        <v>0</v>
      </c>
      <c r="O281">
        <v>0</v>
      </c>
      <c r="Q281">
        <v>0</v>
      </c>
      <c r="R281">
        <v>40</v>
      </c>
      <c r="S281">
        <v>21</v>
      </c>
      <c r="T281">
        <v>244</v>
      </c>
      <c r="U281">
        <v>11.62</v>
      </c>
      <c r="V281">
        <v>2</v>
      </c>
      <c r="Y281">
        <v>34</v>
      </c>
      <c r="Z281">
        <v>55</v>
      </c>
      <c r="AA281">
        <v>59.4</v>
      </c>
      <c r="AB281">
        <v>44.9</v>
      </c>
      <c r="AD281">
        <v>41</v>
      </c>
      <c r="AF281" s="2">
        <f t="shared" si="4"/>
        <v>3.0909090909090908</v>
      </c>
    </row>
    <row r="282" spans="1:32" hidden="1" x14ac:dyDescent="0.25">
      <c r="A282">
        <v>258</v>
      </c>
      <c r="B282" t="s">
        <v>2725</v>
      </c>
      <c r="C282" t="s">
        <v>2726</v>
      </c>
      <c r="D282" t="s">
        <v>1050</v>
      </c>
      <c r="E282" t="s">
        <v>47</v>
      </c>
      <c r="F282">
        <v>32</v>
      </c>
      <c r="G282">
        <v>12</v>
      </c>
      <c r="H282">
        <v>0</v>
      </c>
      <c r="I282">
        <v>0</v>
      </c>
      <c r="J282">
        <v>0</v>
      </c>
      <c r="K282">
        <v>0</v>
      </c>
      <c r="L282">
        <v>0</v>
      </c>
      <c r="M282">
        <v>0</v>
      </c>
      <c r="N282">
        <v>66</v>
      </c>
      <c r="O282">
        <v>247</v>
      </c>
      <c r="P282">
        <v>3.74</v>
      </c>
      <c r="Q282">
        <v>1</v>
      </c>
      <c r="R282">
        <v>17</v>
      </c>
      <c r="S282">
        <v>14</v>
      </c>
      <c r="T282">
        <v>78</v>
      </c>
      <c r="U282">
        <v>5.57</v>
      </c>
      <c r="V282">
        <v>0</v>
      </c>
      <c r="Y282">
        <v>37</v>
      </c>
      <c r="Z282">
        <v>51</v>
      </c>
      <c r="AA282">
        <v>54.5</v>
      </c>
      <c r="AB282">
        <v>43.5</v>
      </c>
      <c r="AD282">
        <v>80</v>
      </c>
      <c r="AF282" s="2">
        <f t="shared" si="4"/>
        <v>3.0833333333333335</v>
      </c>
    </row>
    <row r="283" spans="1:32" x14ac:dyDescent="0.25">
      <c r="A283">
        <v>220</v>
      </c>
      <c r="B283" t="s">
        <v>237</v>
      </c>
      <c r="C283" t="s">
        <v>2673</v>
      </c>
      <c r="D283" t="s">
        <v>1052</v>
      </c>
      <c r="E283" t="s">
        <v>87</v>
      </c>
      <c r="F283">
        <v>26</v>
      </c>
      <c r="G283">
        <v>16</v>
      </c>
      <c r="H283">
        <v>4</v>
      </c>
      <c r="I283">
        <v>0</v>
      </c>
      <c r="J283">
        <v>0</v>
      </c>
      <c r="K283">
        <v>0</v>
      </c>
      <c r="L283">
        <v>0</v>
      </c>
      <c r="M283">
        <v>0</v>
      </c>
      <c r="N283">
        <v>8</v>
      </c>
      <c r="O283">
        <v>49</v>
      </c>
      <c r="P283">
        <v>6.13</v>
      </c>
      <c r="Q283">
        <v>0</v>
      </c>
      <c r="R283">
        <v>51</v>
      </c>
      <c r="S283">
        <v>33</v>
      </c>
      <c r="T283">
        <v>378</v>
      </c>
      <c r="U283">
        <v>11.45</v>
      </c>
      <c r="V283">
        <v>1</v>
      </c>
      <c r="Y283">
        <v>49</v>
      </c>
      <c r="Z283">
        <v>82</v>
      </c>
      <c r="AA283">
        <v>84.7</v>
      </c>
      <c r="AB283">
        <v>65.2</v>
      </c>
      <c r="AD283">
        <v>84</v>
      </c>
      <c r="AF283" s="2">
        <f t="shared" si="4"/>
        <v>3.0625</v>
      </c>
    </row>
    <row r="284" spans="1:32" x14ac:dyDescent="0.25">
      <c r="A284">
        <v>306</v>
      </c>
      <c r="B284" t="s">
        <v>1128</v>
      </c>
      <c r="C284" t="s">
        <v>2784</v>
      </c>
      <c r="D284" t="s">
        <v>1831</v>
      </c>
      <c r="E284" t="s">
        <v>87</v>
      </c>
      <c r="F284">
        <v>24</v>
      </c>
      <c r="G284">
        <v>8</v>
      </c>
      <c r="H284">
        <v>3</v>
      </c>
      <c r="I284">
        <v>0</v>
      </c>
      <c r="J284">
        <v>0</v>
      </c>
      <c r="K284">
        <v>0</v>
      </c>
      <c r="L284">
        <v>0</v>
      </c>
      <c r="M284">
        <v>0</v>
      </c>
      <c r="N284">
        <v>1</v>
      </c>
      <c r="O284">
        <v>12</v>
      </c>
      <c r="P284">
        <v>12</v>
      </c>
      <c r="Q284">
        <v>0</v>
      </c>
      <c r="R284">
        <v>17</v>
      </c>
      <c r="S284">
        <v>10</v>
      </c>
      <c r="T284">
        <v>105</v>
      </c>
      <c r="U284">
        <v>10.5</v>
      </c>
      <c r="V284">
        <v>2</v>
      </c>
      <c r="Y284">
        <v>24</v>
      </c>
      <c r="Z284">
        <v>34</v>
      </c>
      <c r="AA284">
        <v>42.7</v>
      </c>
      <c r="AB284">
        <v>34.700000000000003</v>
      </c>
      <c r="AD284">
        <v>120</v>
      </c>
      <c r="AF284" s="2">
        <f t="shared" si="4"/>
        <v>3</v>
      </c>
    </row>
    <row r="285" spans="1:32" x14ac:dyDescent="0.25">
      <c r="A285">
        <v>403</v>
      </c>
      <c r="B285" t="s">
        <v>2916</v>
      </c>
      <c r="C285" t="s">
        <v>2917</v>
      </c>
      <c r="D285" t="s">
        <v>2397</v>
      </c>
      <c r="E285" t="s">
        <v>87</v>
      </c>
      <c r="F285">
        <v>22</v>
      </c>
      <c r="G285">
        <v>3</v>
      </c>
      <c r="H285">
        <v>1</v>
      </c>
      <c r="I285">
        <v>0</v>
      </c>
      <c r="J285">
        <v>0</v>
      </c>
      <c r="K285">
        <v>0</v>
      </c>
      <c r="L285">
        <v>0</v>
      </c>
      <c r="M285">
        <v>0</v>
      </c>
      <c r="N285">
        <v>3</v>
      </c>
      <c r="O285">
        <v>8</v>
      </c>
      <c r="P285">
        <v>2.67</v>
      </c>
      <c r="Q285">
        <v>0</v>
      </c>
      <c r="R285">
        <v>1</v>
      </c>
      <c r="S285">
        <v>1</v>
      </c>
      <c r="T285">
        <v>18</v>
      </c>
      <c r="U285">
        <v>18</v>
      </c>
      <c r="V285">
        <v>1</v>
      </c>
      <c r="Y285">
        <v>9</v>
      </c>
      <c r="Z285">
        <v>10</v>
      </c>
      <c r="AA285">
        <v>9.6</v>
      </c>
      <c r="AB285">
        <v>9.1</v>
      </c>
      <c r="AD285">
        <v>158</v>
      </c>
      <c r="AF285" s="2">
        <f t="shared" si="4"/>
        <v>3</v>
      </c>
    </row>
    <row r="286" spans="1:32" hidden="1" x14ac:dyDescent="0.25">
      <c r="A286">
        <v>400</v>
      </c>
      <c r="B286" t="s">
        <v>2912</v>
      </c>
      <c r="C286" t="s">
        <v>2913</v>
      </c>
      <c r="D286" t="s">
        <v>1040</v>
      </c>
      <c r="E286" t="s">
        <v>15</v>
      </c>
      <c r="F286">
        <v>28</v>
      </c>
      <c r="G286">
        <v>3</v>
      </c>
      <c r="H286">
        <v>1</v>
      </c>
      <c r="I286">
        <v>23</v>
      </c>
      <c r="J286">
        <v>28</v>
      </c>
      <c r="K286">
        <v>239</v>
      </c>
      <c r="L286">
        <v>1</v>
      </c>
      <c r="M286">
        <v>1</v>
      </c>
      <c r="N286">
        <v>8</v>
      </c>
      <c r="O286">
        <v>-10</v>
      </c>
      <c r="P286">
        <v>-1.25</v>
      </c>
      <c r="Q286">
        <v>0</v>
      </c>
      <c r="R286">
        <v>0</v>
      </c>
      <c r="S286">
        <v>0</v>
      </c>
      <c r="T286">
        <v>0</v>
      </c>
      <c r="V286">
        <v>0</v>
      </c>
      <c r="Y286">
        <v>9</v>
      </c>
      <c r="Z286">
        <v>9</v>
      </c>
      <c r="AA286">
        <v>10.6</v>
      </c>
      <c r="AB286">
        <v>9.6</v>
      </c>
      <c r="AD286">
        <v>55</v>
      </c>
      <c r="AF286" s="2">
        <f t="shared" si="4"/>
        <v>3</v>
      </c>
    </row>
    <row r="287" spans="1:32" x14ac:dyDescent="0.25">
      <c r="A287">
        <v>309</v>
      </c>
      <c r="B287" t="s">
        <v>225</v>
      </c>
      <c r="C287" t="s">
        <v>2787</v>
      </c>
      <c r="D287" t="s">
        <v>1935</v>
      </c>
      <c r="E287" t="s">
        <v>87</v>
      </c>
      <c r="F287">
        <v>29</v>
      </c>
      <c r="G287">
        <v>8</v>
      </c>
      <c r="H287">
        <v>2</v>
      </c>
      <c r="I287">
        <v>0</v>
      </c>
      <c r="J287">
        <v>0</v>
      </c>
      <c r="K287">
        <v>0</v>
      </c>
      <c r="L287">
        <v>0</v>
      </c>
      <c r="M287">
        <v>0</v>
      </c>
      <c r="N287">
        <v>0</v>
      </c>
      <c r="O287">
        <v>0</v>
      </c>
      <c r="Q287">
        <v>0</v>
      </c>
      <c r="R287">
        <v>27</v>
      </c>
      <c r="S287">
        <v>22</v>
      </c>
      <c r="T287">
        <v>217</v>
      </c>
      <c r="U287">
        <v>9.86</v>
      </c>
      <c r="V287">
        <v>1</v>
      </c>
      <c r="Y287">
        <v>24</v>
      </c>
      <c r="Z287">
        <v>46</v>
      </c>
      <c r="AA287">
        <v>50.7</v>
      </c>
      <c r="AB287">
        <v>34.700000000000003</v>
      </c>
      <c r="AD287">
        <v>119</v>
      </c>
      <c r="AF287" s="2">
        <f t="shared" si="4"/>
        <v>3</v>
      </c>
    </row>
    <row r="288" spans="1:32" x14ac:dyDescent="0.25">
      <c r="A288">
        <v>347</v>
      </c>
      <c r="B288" t="s">
        <v>167</v>
      </c>
      <c r="C288" t="s">
        <v>2837</v>
      </c>
      <c r="D288" t="s">
        <v>1811</v>
      </c>
      <c r="E288" t="s">
        <v>87</v>
      </c>
      <c r="F288">
        <v>33</v>
      </c>
      <c r="G288">
        <v>5</v>
      </c>
      <c r="H288">
        <v>5</v>
      </c>
      <c r="I288">
        <v>0</v>
      </c>
      <c r="J288">
        <v>0</v>
      </c>
      <c r="K288">
        <v>0</v>
      </c>
      <c r="L288">
        <v>0</v>
      </c>
      <c r="M288">
        <v>0</v>
      </c>
      <c r="N288">
        <v>0</v>
      </c>
      <c r="O288">
        <v>0</v>
      </c>
      <c r="Q288">
        <v>0</v>
      </c>
      <c r="R288">
        <v>33</v>
      </c>
      <c r="S288">
        <v>18</v>
      </c>
      <c r="T288">
        <v>154</v>
      </c>
      <c r="U288">
        <v>8.56</v>
      </c>
      <c r="V288">
        <v>0</v>
      </c>
      <c r="Y288">
        <v>15</v>
      </c>
      <c r="Z288">
        <v>33</v>
      </c>
      <c r="AA288">
        <v>36.4</v>
      </c>
      <c r="AB288">
        <v>24.4</v>
      </c>
      <c r="AD288">
        <v>134</v>
      </c>
      <c r="AF288" s="2">
        <f t="shared" si="4"/>
        <v>3</v>
      </c>
    </row>
    <row r="289" spans="1:32" hidden="1" x14ac:dyDescent="0.25">
      <c r="A289">
        <v>466</v>
      </c>
      <c r="B289" t="s">
        <v>1576</v>
      </c>
      <c r="C289" t="s">
        <v>3011</v>
      </c>
      <c r="D289" t="s">
        <v>2396</v>
      </c>
      <c r="E289" t="s">
        <v>114</v>
      </c>
      <c r="F289">
        <v>23</v>
      </c>
      <c r="G289">
        <v>1</v>
      </c>
      <c r="H289">
        <v>0</v>
      </c>
      <c r="I289">
        <v>0</v>
      </c>
      <c r="J289">
        <v>0</v>
      </c>
      <c r="K289">
        <v>0</v>
      </c>
      <c r="L289">
        <v>0</v>
      </c>
      <c r="M289">
        <v>0</v>
      </c>
      <c r="N289">
        <v>0</v>
      </c>
      <c r="O289">
        <v>0</v>
      </c>
      <c r="Q289">
        <v>0</v>
      </c>
      <c r="R289">
        <v>2</v>
      </c>
      <c r="S289">
        <v>2</v>
      </c>
      <c r="T289">
        <v>31</v>
      </c>
      <c r="U289">
        <v>15.5</v>
      </c>
      <c r="V289">
        <v>0</v>
      </c>
      <c r="Y289">
        <v>3</v>
      </c>
      <c r="Z289">
        <v>5</v>
      </c>
      <c r="AA289">
        <v>5.0999999999999996</v>
      </c>
      <c r="AB289">
        <v>4.0999999999999996</v>
      </c>
      <c r="AD289">
        <v>90</v>
      </c>
      <c r="AF289" s="2">
        <f t="shared" si="4"/>
        <v>3</v>
      </c>
    </row>
    <row r="290" spans="1:32" x14ac:dyDescent="0.25">
      <c r="A290">
        <v>484</v>
      </c>
      <c r="B290" t="s">
        <v>3036</v>
      </c>
      <c r="C290" t="s">
        <v>3037</v>
      </c>
      <c r="D290" t="s">
        <v>1052</v>
      </c>
      <c r="E290" t="s">
        <v>87</v>
      </c>
      <c r="F290">
        <v>27</v>
      </c>
      <c r="G290">
        <v>1</v>
      </c>
      <c r="H290">
        <v>0</v>
      </c>
      <c r="I290">
        <v>0</v>
      </c>
      <c r="J290">
        <v>0</v>
      </c>
      <c r="K290">
        <v>0</v>
      </c>
      <c r="L290">
        <v>0</v>
      </c>
      <c r="M290">
        <v>0</v>
      </c>
      <c r="N290">
        <v>0</v>
      </c>
      <c r="O290">
        <v>0</v>
      </c>
      <c r="Q290">
        <v>0</v>
      </c>
      <c r="R290">
        <v>4</v>
      </c>
      <c r="S290">
        <v>3</v>
      </c>
      <c r="T290">
        <v>30</v>
      </c>
      <c r="U290">
        <v>10</v>
      </c>
      <c r="V290">
        <v>0</v>
      </c>
      <c r="Y290">
        <v>3</v>
      </c>
      <c r="Z290">
        <v>6</v>
      </c>
      <c r="AA290">
        <v>6</v>
      </c>
      <c r="AB290">
        <v>4.5</v>
      </c>
      <c r="AD290">
        <v>187</v>
      </c>
      <c r="AF290" s="2">
        <f t="shared" si="4"/>
        <v>3</v>
      </c>
    </row>
    <row r="291" spans="1:32" x14ac:dyDescent="0.25">
      <c r="A291">
        <v>227</v>
      </c>
      <c r="B291" t="s">
        <v>359</v>
      </c>
      <c r="C291" t="s">
        <v>2683</v>
      </c>
      <c r="D291" t="s">
        <v>1042</v>
      </c>
      <c r="E291" t="s">
        <v>87</v>
      </c>
      <c r="F291">
        <v>28</v>
      </c>
      <c r="G291">
        <v>15</v>
      </c>
      <c r="H291">
        <v>7</v>
      </c>
      <c r="I291">
        <v>0</v>
      </c>
      <c r="J291">
        <v>0</v>
      </c>
      <c r="K291">
        <v>0</v>
      </c>
      <c r="L291">
        <v>0</v>
      </c>
      <c r="M291">
        <v>0</v>
      </c>
      <c r="N291">
        <v>1</v>
      </c>
      <c r="O291">
        <v>6</v>
      </c>
      <c r="P291">
        <v>6</v>
      </c>
      <c r="Q291">
        <v>0</v>
      </c>
      <c r="R291">
        <v>46</v>
      </c>
      <c r="S291">
        <v>24</v>
      </c>
      <c r="T291">
        <v>376</v>
      </c>
      <c r="U291">
        <v>15.67</v>
      </c>
      <c r="V291">
        <v>1</v>
      </c>
      <c r="Y291">
        <v>44</v>
      </c>
      <c r="Z291">
        <v>68</v>
      </c>
      <c r="AA291">
        <v>71.2</v>
      </c>
      <c r="AB291">
        <v>56.2</v>
      </c>
      <c r="AD291">
        <v>88</v>
      </c>
      <c r="AF291" s="2">
        <f t="shared" si="4"/>
        <v>2.9333333333333331</v>
      </c>
    </row>
    <row r="292" spans="1:32" x14ac:dyDescent="0.25">
      <c r="A292">
        <v>230</v>
      </c>
      <c r="B292" t="s">
        <v>182</v>
      </c>
      <c r="C292" t="s">
        <v>2687</v>
      </c>
      <c r="D292" t="s">
        <v>1050</v>
      </c>
      <c r="E292" t="s">
        <v>87</v>
      </c>
      <c r="F292">
        <v>22</v>
      </c>
      <c r="G292">
        <v>15</v>
      </c>
      <c r="H292">
        <v>10</v>
      </c>
      <c r="I292">
        <v>0</v>
      </c>
      <c r="J292">
        <v>0</v>
      </c>
      <c r="K292">
        <v>0</v>
      </c>
      <c r="L292">
        <v>0</v>
      </c>
      <c r="M292">
        <v>0</v>
      </c>
      <c r="N292">
        <v>0</v>
      </c>
      <c r="O292">
        <v>0</v>
      </c>
      <c r="Q292">
        <v>0</v>
      </c>
      <c r="R292">
        <v>74</v>
      </c>
      <c r="S292">
        <v>27</v>
      </c>
      <c r="T292">
        <v>316</v>
      </c>
      <c r="U292">
        <v>11.7</v>
      </c>
      <c r="V292">
        <v>2</v>
      </c>
      <c r="Y292">
        <v>44</v>
      </c>
      <c r="Z292">
        <v>71</v>
      </c>
      <c r="AA292">
        <v>73.599999999999994</v>
      </c>
      <c r="AB292">
        <v>57.1</v>
      </c>
      <c r="AD292">
        <v>89</v>
      </c>
      <c r="AF292" s="2">
        <f t="shared" si="4"/>
        <v>2.9333333333333331</v>
      </c>
    </row>
    <row r="293" spans="1:32" hidden="1" x14ac:dyDescent="0.25">
      <c r="A293">
        <v>337</v>
      </c>
      <c r="B293" t="s">
        <v>1123</v>
      </c>
      <c r="C293" t="s">
        <v>2823</v>
      </c>
      <c r="D293" t="s">
        <v>815</v>
      </c>
      <c r="E293" t="s">
        <v>47</v>
      </c>
      <c r="F293">
        <v>28</v>
      </c>
      <c r="G293">
        <v>6</v>
      </c>
      <c r="H293">
        <v>1</v>
      </c>
      <c r="I293">
        <v>0</v>
      </c>
      <c r="J293">
        <v>0</v>
      </c>
      <c r="K293">
        <v>0</v>
      </c>
      <c r="L293">
        <v>0</v>
      </c>
      <c r="M293">
        <v>0</v>
      </c>
      <c r="N293">
        <v>23</v>
      </c>
      <c r="O293">
        <v>53</v>
      </c>
      <c r="P293">
        <v>2.2999999999999998</v>
      </c>
      <c r="Q293">
        <v>1</v>
      </c>
      <c r="R293">
        <v>11</v>
      </c>
      <c r="S293">
        <v>9</v>
      </c>
      <c r="T293">
        <v>56</v>
      </c>
      <c r="U293">
        <v>6.22</v>
      </c>
      <c r="V293">
        <v>0</v>
      </c>
      <c r="Y293">
        <v>17</v>
      </c>
      <c r="Z293">
        <v>26</v>
      </c>
      <c r="AA293">
        <v>25.9</v>
      </c>
      <c r="AB293">
        <v>21.4</v>
      </c>
      <c r="AD293">
        <v>94</v>
      </c>
      <c r="AF293" s="2">
        <f t="shared" si="4"/>
        <v>2.8333333333333335</v>
      </c>
    </row>
    <row r="294" spans="1:32" x14ac:dyDescent="0.25">
      <c r="A294">
        <v>234</v>
      </c>
      <c r="B294" t="s">
        <v>798</v>
      </c>
      <c r="C294" t="s">
        <v>2691</v>
      </c>
      <c r="D294" t="s">
        <v>1872</v>
      </c>
      <c r="E294" t="s">
        <v>87</v>
      </c>
      <c r="F294">
        <v>23</v>
      </c>
      <c r="G294">
        <v>15</v>
      </c>
      <c r="H294">
        <v>4</v>
      </c>
      <c r="I294">
        <v>0</v>
      </c>
      <c r="J294">
        <v>0</v>
      </c>
      <c r="K294">
        <v>0</v>
      </c>
      <c r="L294">
        <v>0</v>
      </c>
      <c r="M294">
        <v>0</v>
      </c>
      <c r="N294">
        <v>1</v>
      </c>
      <c r="O294">
        <v>4</v>
      </c>
      <c r="P294">
        <v>4</v>
      </c>
      <c r="Q294">
        <v>0</v>
      </c>
      <c r="R294">
        <v>50</v>
      </c>
      <c r="S294">
        <v>27</v>
      </c>
      <c r="T294">
        <v>312</v>
      </c>
      <c r="U294">
        <v>11.56</v>
      </c>
      <c r="V294">
        <v>2</v>
      </c>
      <c r="Y294">
        <v>42</v>
      </c>
      <c r="Z294">
        <v>69</v>
      </c>
      <c r="AA294">
        <v>72.599999999999994</v>
      </c>
      <c r="AB294">
        <v>55.1</v>
      </c>
      <c r="AD294">
        <v>94</v>
      </c>
      <c r="AF294" s="2">
        <f t="shared" si="4"/>
        <v>2.8</v>
      </c>
    </row>
    <row r="295" spans="1:32" hidden="1" x14ac:dyDescent="0.25">
      <c r="A295">
        <v>237</v>
      </c>
      <c r="B295" t="s">
        <v>2695</v>
      </c>
      <c r="C295" t="s">
        <v>2696</v>
      </c>
      <c r="D295" t="s">
        <v>1050</v>
      </c>
      <c r="E295" t="s">
        <v>114</v>
      </c>
      <c r="F295">
        <v>25</v>
      </c>
      <c r="G295">
        <v>15</v>
      </c>
      <c r="H295">
        <v>5</v>
      </c>
      <c r="I295">
        <v>0</v>
      </c>
      <c r="J295">
        <v>0</v>
      </c>
      <c r="K295">
        <v>0</v>
      </c>
      <c r="L295">
        <v>0</v>
      </c>
      <c r="M295">
        <v>0</v>
      </c>
      <c r="N295">
        <v>0</v>
      </c>
      <c r="O295">
        <v>0</v>
      </c>
      <c r="Q295">
        <v>0</v>
      </c>
      <c r="R295">
        <v>32</v>
      </c>
      <c r="S295">
        <v>22</v>
      </c>
      <c r="T295">
        <v>322</v>
      </c>
      <c r="U295">
        <v>14.64</v>
      </c>
      <c r="V295">
        <v>2</v>
      </c>
      <c r="Y295">
        <v>42</v>
      </c>
      <c r="Z295">
        <v>64</v>
      </c>
      <c r="AA295">
        <v>68.2</v>
      </c>
      <c r="AB295">
        <v>53.2</v>
      </c>
      <c r="AD295">
        <v>32</v>
      </c>
      <c r="AF295" s="2">
        <f t="shared" si="4"/>
        <v>2.8</v>
      </c>
    </row>
    <row r="296" spans="1:32" hidden="1" x14ac:dyDescent="0.25">
      <c r="A296">
        <v>374</v>
      </c>
      <c r="B296" t="s">
        <v>2875</v>
      </c>
      <c r="C296" t="s">
        <v>2876</v>
      </c>
      <c r="D296" t="s">
        <v>1038</v>
      </c>
      <c r="E296" t="s">
        <v>47</v>
      </c>
      <c r="F296">
        <v>27</v>
      </c>
      <c r="G296">
        <v>4</v>
      </c>
      <c r="H296">
        <v>0</v>
      </c>
      <c r="I296">
        <v>0</v>
      </c>
      <c r="J296">
        <v>0</v>
      </c>
      <c r="K296">
        <v>0</v>
      </c>
      <c r="L296">
        <v>0</v>
      </c>
      <c r="M296">
        <v>0</v>
      </c>
      <c r="N296">
        <v>11</v>
      </c>
      <c r="O296">
        <v>51</v>
      </c>
      <c r="P296">
        <v>4.6399999999999997</v>
      </c>
      <c r="Q296">
        <v>1</v>
      </c>
      <c r="R296">
        <v>3</v>
      </c>
      <c r="S296">
        <v>1</v>
      </c>
      <c r="T296">
        <v>1</v>
      </c>
      <c r="U296">
        <v>1</v>
      </c>
      <c r="V296">
        <v>0</v>
      </c>
      <c r="Y296">
        <v>11</v>
      </c>
      <c r="Z296">
        <v>12</v>
      </c>
      <c r="AA296">
        <v>12.2</v>
      </c>
      <c r="AB296">
        <v>11.7</v>
      </c>
      <c r="AD296">
        <v>109</v>
      </c>
      <c r="AF296" s="2">
        <f t="shared" si="4"/>
        <v>2.75</v>
      </c>
    </row>
    <row r="297" spans="1:32" hidden="1" x14ac:dyDescent="0.25">
      <c r="A297">
        <v>228</v>
      </c>
      <c r="B297" t="s">
        <v>2684</v>
      </c>
      <c r="C297" t="s">
        <v>2685</v>
      </c>
      <c r="D297" t="s">
        <v>1872</v>
      </c>
      <c r="E297" t="s">
        <v>114</v>
      </c>
      <c r="F297">
        <v>24</v>
      </c>
      <c r="G297">
        <v>16</v>
      </c>
      <c r="H297">
        <v>4</v>
      </c>
      <c r="I297">
        <v>0</v>
      </c>
      <c r="J297">
        <v>0</v>
      </c>
      <c r="K297">
        <v>0</v>
      </c>
      <c r="L297">
        <v>0</v>
      </c>
      <c r="M297">
        <v>0</v>
      </c>
      <c r="N297">
        <v>0</v>
      </c>
      <c r="O297">
        <v>0</v>
      </c>
      <c r="Q297">
        <v>0</v>
      </c>
      <c r="R297">
        <v>58</v>
      </c>
      <c r="S297">
        <v>33</v>
      </c>
      <c r="T297">
        <v>395</v>
      </c>
      <c r="U297">
        <v>11.97</v>
      </c>
      <c r="V297">
        <v>1</v>
      </c>
      <c r="Y297">
        <v>44</v>
      </c>
      <c r="Z297">
        <v>77</v>
      </c>
      <c r="AA297">
        <v>80.5</v>
      </c>
      <c r="AB297">
        <v>60</v>
      </c>
      <c r="AD297">
        <v>31</v>
      </c>
      <c r="AF297" s="2">
        <f t="shared" si="4"/>
        <v>2.75</v>
      </c>
    </row>
    <row r="298" spans="1:32" hidden="1" x14ac:dyDescent="0.25">
      <c r="A298">
        <v>239</v>
      </c>
      <c r="B298" t="s">
        <v>2699</v>
      </c>
      <c r="C298" t="s">
        <v>2700</v>
      </c>
      <c r="D298" t="s">
        <v>1043</v>
      </c>
      <c r="E298" t="s">
        <v>114</v>
      </c>
      <c r="F298">
        <v>24</v>
      </c>
      <c r="G298">
        <v>15</v>
      </c>
      <c r="H298">
        <v>5</v>
      </c>
      <c r="I298">
        <v>0</v>
      </c>
      <c r="J298">
        <v>0</v>
      </c>
      <c r="K298">
        <v>0</v>
      </c>
      <c r="L298">
        <v>0</v>
      </c>
      <c r="M298">
        <v>0</v>
      </c>
      <c r="N298">
        <v>0</v>
      </c>
      <c r="O298">
        <v>0</v>
      </c>
      <c r="Q298">
        <v>0</v>
      </c>
      <c r="R298">
        <v>52</v>
      </c>
      <c r="S298">
        <v>25</v>
      </c>
      <c r="T298">
        <v>342</v>
      </c>
      <c r="U298">
        <v>13.68</v>
      </c>
      <c r="V298">
        <v>1</v>
      </c>
      <c r="Y298">
        <v>40</v>
      </c>
      <c r="Z298">
        <v>65</v>
      </c>
      <c r="AA298">
        <v>68.2</v>
      </c>
      <c r="AB298">
        <v>52.7</v>
      </c>
      <c r="AD298">
        <v>33</v>
      </c>
      <c r="AF298" s="2">
        <f t="shared" si="4"/>
        <v>2.6666666666666665</v>
      </c>
    </row>
    <row r="299" spans="1:32" hidden="1" x14ac:dyDescent="0.25">
      <c r="A299">
        <v>257</v>
      </c>
      <c r="B299" t="s">
        <v>2723</v>
      </c>
      <c r="C299" t="s">
        <v>2724</v>
      </c>
      <c r="D299" t="s">
        <v>1047</v>
      </c>
      <c r="E299" t="s">
        <v>47</v>
      </c>
      <c r="F299">
        <v>26</v>
      </c>
      <c r="G299">
        <v>14</v>
      </c>
      <c r="H299">
        <v>10</v>
      </c>
      <c r="I299">
        <v>0</v>
      </c>
      <c r="J299">
        <v>0</v>
      </c>
      <c r="K299">
        <v>0</v>
      </c>
      <c r="L299">
        <v>0</v>
      </c>
      <c r="M299">
        <v>0</v>
      </c>
      <c r="N299">
        <v>7</v>
      </c>
      <c r="O299">
        <v>31</v>
      </c>
      <c r="P299">
        <v>4.43</v>
      </c>
      <c r="Q299">
        <v>0</v>
      </c>
      <c r="R299">
        <v>42</v>
      </c>
      <c r="S299">
        <v>33</v>
      </c>
      <c r="T299">
        <v>315</v>
      </c>
      <c r="U299">
        <v>9.5500000000000007</v>
      </c>
      <c r="V299">
        <v>1</v>
      </c>
      <c r="Y299">
        <v>37</v>
      </c>
      <c r="Z299">
        <v>70</v>
      </c>
      <c r="AA299">
        <v>74.599999999999994</v>
      </c>
      <c r="AB299">
        <v>53.1</v>
      </c>
      <c r="AD299">
        <v>79</v>
      </c>
      <c r="AF299" s="2">
        <f t="shared" si="4"/>
        <v>2.6428571428571428</v>
      </c>
    </row>
    <row r="300" spans="1:32" hidden="1" x14ac:dyDescent="0.25">
      <c r="A300">
        <v>255</v>
      </c>
      <c r="B300" t="s">
        <v>293</v>
      </c>
      <c r="C300" t="s">
        <v>2721</v>
      </c>
      <c r="D300" t="s">
        <v>1042</v>
      </c>
      <c r="E300" t="s">
        <v>47</v>
      </c>
      <c r="F300">
        <v>27</v>
      </c>
      <c r="G300">
        <v>14</v>
      </c>
      <c r="H300">
        <v>0</v>
      </c>
      <c r="I300">
        <v>0</v>
      </c>
      <c r="J300">
        <v>0</v>
      </c>
      <c r="K300">
        <v>0</v>
      </c>
      <c r="L300">
        <v>0</v>
      </c>
      <c r="M300">
        <v>0</v>
      </c>
      <c r="N300">
        <v>9</v>
      </c>
      <c r="O300">
        <v>29</v>
      </c>
      <c r="P300">
        <v>3.22</v>
      </c>
      <c r="Q300">
        <v>0</v>
      </c>
      <c r="R300">
        <v>26</v>
      </c>
      <c r="S300">
        <v>20</v>
      </c>
      <c r="T300">
        <v>240</v>
      </c>
      <c r="U300">
        <v>12</v>
      </c>
      <c r="V300">
        <v>2</v>
      </c>
      <c r="Y300">
        <v>37</v>
      </c>
      <c r="Z300">
        <v>57</v>
      </c>
      <c r="AA300">
        <v>60.9</v>
      </c>
      <c r="AB300">
        <v>46.9</v>
      </c>
      <c r="AD300">
        <v>78</v>
      </c>
      <c r="AF300" s="2">
        <f t="shared" si="4"/>
        <v>2.6428571428571428</v>
      </c>
    </row>
    <row r="301" spans="1:32" hidden="1" x14ac:dyDescent="0.25">
      <c r="A301">
        <v>363</v>
      </c>
      <c r="B301" t="s">
        <v>2859</v>
      </c>
      <c r="C301" t="s">
        <v>2860</v>
      </c>
      <c r="D301" t="s">
        <v>1043</v>
      </c>
      <c r="E301" t="s">
        <v>114</v>
      </c>
      <c r="F301">
        <v>26</v>
      </c>
      <c r="G301">
        <v>5</v>
      </c>
      <c r="H301">
        <v>5</v>
      </c>
      <c r="I301">
        <v>0</v>
      </c>
      <c r="J301">
        <v>0</v>
      </c>
      <c r="K301">
        <v>0</v>
      </c>
      <c r="L301">
        <v>0</v>
      </c>
      <c r="M301">
        <v>0</v>
      </c>
      <c r="N301">
        <v>0</v>
      </c>
      <c r="O301">
        <v>0</v>
      </c>
      <c r="Q301">
        <v>0</v>
      </c>
      <c r="R301">
        <v>22</v>
      </c>
      <c r="S301">
        <v>14</v>
      </c>
      <c r="T301">
        <v>127</v>
      </c>
      <c r="U301">
        <v>9.07</v>
      </c>
      <c r="V301">
        <v>0</v>
      </c>
      <c r="Y301">
        <v>13</v>
      </c>
      <c r="Z301">
        <v>27</v>
      </c>
      <c r="AA301">
        <v>29.7</v>
      </c>
      <c r="AB301">
        <v>19.7</v>
      </c>
      <c r="AD301">
        <v>69</v>
      </c>
      <c r="AF301" s="2">
        <f t="shared" si="4"/>
        <v>2.6</v>
      </c>
    </row>
    <row r="302" spans="1:32" x14ac:dyDescent="0.25">
      <c r="A302">
        <v>328</v>
      </c>
      <c r="B302" t="s">
        <v>2811</v>
      </c>
      <c r="C302" t="s">
        <v>2812</v>
      </c>
      <c r="D302" t="s">
        <v>1047</v>
      </c>
      <c r="E302" t="s">
        <v>87</v>
      </c>
      <c r="F302">
        <v>30</v>
      </c>
      <c r="G302">
        <v>7</v>
      </c>
      <c r="H302">
        <v>7</v>
      </c>
      <c r="I302">
        <v>0</v>
      </c>
      <c r="J302">
        <v>0</v>
      </c>
      <c r="K302">
        <v>0</v>
      </c>
      <c r="L302">
        <v>0</v>
      </c>
      <c r="M302">
        <v>0</v>
      </c>
      <c r="N302">
        <v>0</v>
      </c>
      <c r="O302">
        <v>0</v>
      </c>
      <c r="Q302">
        <v>0</v>
      </c>
      <c r="R302">
        <v>17</v>
      </c>
      <c r="S302">
        <v>8</v>
      </c>
      <c r="T302">
        <v>121</v>
      </c>
      <c r="U302">
        <v>15.13</v>
      </c>
      <c r="V302">
        <v>1</v>
      </c>
      <c r="Y302">
        <v>18</v>
      </c>
      <c r="Z302">
        <v>26</v>
      </c>
      <c r="AA302">
        <v>29.1</v>
      </c>
      <c r="AB302">
        <v>22.1</v>
      </c>
      <c r="AD302">
        <v>128</v>
      </c>
      <c r="AF302" s="2">
        <f t="shared" si="4"/>
        <v>2.5714285714285716</v>
      </c>
    </row>
    <row r="303" spans="1:32" hidden="1" x14ac:dyDescent="0.25">
      <c r="A303">
        <v>313</v>
      </c>
      <c r="B303" t="s">
        <v>148</v>
      </c>
      <c r="C303" t="s">
        <v>2791</v>
      </c>
      <c r="D303" t="s">
        <v>1865</v>
      </c>
      <c r="E303" t="s">
        <v>47</v>
      </c>
      <c r="F303">
        <v>27</v>
      </c>
      <c r="G303">
        <v>9</v>
      </c>
      <c r="H303">
        <v>3</v>
      </c>
      <c r="I303">
        <v>0</v>
      </c>
      <c r="J303">
        <v>0</v>
      </c>
      <c r="K303">
        <v>0</v>
      </c>
      <c r="L303">
        <v>0</v>
      </c>
      <c r="M303">
        <v>0</v>
      </c>
      <c r="N303">
        <v>69</v>
      </c>
      <c r="O303">
        <v>179</v>
      </c>
      <c r="P303">
        <v>2.59</v>
      </c>
      <c r="Q303">
        <v>0</v>
      </c>
      <c r="R303">
        <v>6</v>
      </c>
      <c r="S303">
        <v>6</v>
      </c>
      <c r="T303">
        <v>47</v>
      </c>
      <c r="U303">
        <v>7.83</v>
      </c>
      <c r="V303">
        <v>0</v>
      </c>
      <c r="Y303">
        <v>23</v>
      </c>
      <c r="Z303">
        <v>29</v>
      </c>
      <c r="AA303">
        <v>31.6</v>
      </c>
      <c r="AB303">
        <v>25.6</v>
      </c>
      <c r="AD303">
        <v>91</v>
      </c>
      <c r="AF303" s="2">
        <f t="shared" si="4"/>
        <v>2.5555555555555554</v>
      </c>
    </row>
    <row r="304" spans="1:32" hidden="1" x14ac:dyDescent="0.25">
      <c r="A304">
        <v>243</v>
      </c>
      <c r="B304" t="s">
        <v>2705</v>
      </c>
      <c r="C304" t="s">
        <v>2706</v>
      </c>
      <c r="D304" t="s">
        <v>1811</v>
      </c>
      <c r="E304" t="s">
        <v>47</v>
      </c>
      <c r="F304">
        <v>28</v>
      </c>
      <c r="G304">
        <v>16</v>
      </c>
      <c r="H304">
        <v>0</v>
      </c>
      <c r="I304">
        <v>0</v>
      </c>
      <c r="J304">
        <v>1</v>
      </c>
      <c r="K304">
        <v>0</v>
      </c>
      <c r="L304">
        <v>0</v>
      </c>
      <c r="M304">
        <v>1</v>
      </c>
      <c r="N304">
        <v>45</v>
      </c>
      <c r="O304">
        <v>164</v>
      </c>
      <c r="P304">
        <v>3.64</v>
      </c>
      <c r="Q304">
        <v>0</v>
      </c>
      <c r="R304">
        <v>53</v>
      </c>
      <c r="S304">
        <v>44</v>
      </c>
      <c r="T304">
        <v>253</v>
      </c>
      <c r="U304">
        <v>5.75</v>
      </c>
      <c r="V304">
        <v>0</v>
      </c>
      <c r="Y304">
        <v>40</v>
      </c>
      <c r="Z304">
        <v>84</v>
      </c>
      <c r="AA304">
        <v>90.7</v>
      </c>
      <c r="AB304">
        <v>62.7</v>
      </c>
      <c r="AD304">
        <v>70</v>
      </c>
      <c r="AF304" s="2">
        <f t="shared" si="4"/>
        <v>2.5</v>
      </c>
    </row>
    <row r="305" spans="1:32" hidden="1" x14ac:dyDescent="0.25">
      <c r="A305">
        <v>389</v>
      </c>
      <c r="B305" t="s">
        <v>1570</v>
      </c>
      <c r="C305" t="s">
        <v>2896</v>
      </c>
      <c r="D305" t="s">
        <v>1050</v>
      </c>
      <c r="E305" t="s">
        <v>15</v>
      </c>
      <c r="F305">
        <v>23</v>
      </c>
      <c r="G305">
        <v>4</v>
      </c>
      <c r="H305">
        <v>2</v>
      </c>
      <c r="I305">
        <v>24</v>
      </c>
      <c r="J305">
        <v>49</v>
      </c>
      <c r="K305">
        <v>252</v>
      </c>
      <c r="L305">
        <v>2</v>
      </c>
      <c r="M305">
        <v>5</v>
      </c>
      <c r="N305">
        <v>7</v>
      </c>
      <c r="O305">
        <v>23</v>
      </c>
      <c r="P305">
        <v>3.29</v>
      </c>
      <c r="Q305">
        <v>0</v>
      </c>
      <c r="R305">
        <v>0</v>
      </c>
      <c r="S305">
        <v>0</v>
      </c>
      <c r="T305">
        <v>0</v>
      </c>
      <c r="V305">
        <v>0</v>
      </c>
      <c r="Y305">
        <v>10</v>
      </c>
      <c r="Z305">
        <v>10</v>
      </c>
      <c r="AA305">
        <v>15.4</v>
      </c>
      <c r="AB305">
        <v>15.4</v>
      </c>
      <c r="AD305">
        <v>51</v>
      </c>
      <c r="AF305" s="2">
        <f t="shared" si="4"/>
        <v>2.5</v>
      </c>
    </row>
    <row r="306" spans="1:32" x14ac:dyDescent="0.25">
      <c r="A306">
        <v>241</v>
      </c>
      <c r="B306" t="s">
        <v>253</v>
      </c>
      <c r="C306" t="s">
        <v>2702</v>
      </c>
      <c r="D306" t="s">
        <v>1052</v>
      </c>
      <c r="E306" t="s">
        <v>87</v>
      </c>
      <c r="F306">
        <v>26</v>
      </c>
      <c r="G306">
        <v>16</v>
      </c>
      <c r="H306">
        <v>1</v>
      </c>
      <c r="I306">
        <v>0</v>
      </c>
      <c r="J306">
        <v>0</v>
      </c>
      <c r="K306">
        <v>0</v>
      </c>
      <c r="L306">
        <v>0</v>
      </c>
      <c r="M306">
        <v>0</v>
      </c>
      <c r="N306">
        <v>0</v>
      </c>
      <c r="O306">
        <v>0</v>
      </c>
      <c r="Q306">
        <v>0</v>
      </c>
      <c r="R306">
        <v>29</v>
      </c>
      <c r="S306">
        <v>20</v>
      </c>
      <c r="T306">
        <v>221</v>
      </c>
      <c r="U306">
        <v>11.05</v>
      </c>
      <c r="V306">
        <v>3</v>
      </c>
      <c r="Y306">
        <v>40</v>
      </c>
      <c r="Z306">
        <v>60</v>
      </c>
      <c r="AA306">
        <v>63.1</v>
      </c>
      <c r="AB306">
        <v>50.1</v>
      </c>
      <c r="AD306">
        <v>97</v>
      </c>
      <c r="AF306" s="2">
        <f t="shared" si="4"/>
        <v>2.5</v>
      </c>
    </row>
    <row r="307" spans="1:32" hidden="1" x14ac:dyDescent="0.25">
      <c r="A307">
        <v>303</v>
      </c>
      <c r="B307" t="s">
        <v>214</v>
      </c>
      <c r="C307" t="s">
        <v>2780</v>
      </c>
      <c r="D307" t="s">
        <v>1040</v>
      </c>
      <c r="E307" t="s">
        <v>114</v>
      </c>
      <c r="F307">
        <v>27</v>
      </c>
      <c r="G307">
        <v>10</v>
      </c>
      <c r="H307">
        <v>7</v>
      </c>
      <c r="I307">
        <v>0</v>
      </c>
      <c r="J307">
        <v>0</v>
      </c>
      <c r="K307">
        <v>0</v>
      </c>
      <c r="L307">
        <v>0</v>
      </c>
      <c r="M307">
        <v>0</v>
      </c>
      <c r="N307">
        <v>0</v>
      </c>
      <c r="O307">
        <v>0</v>
      </c>
      <c r="Q307">
        <v>0</v>
      </c>
      <c r="R307">
        <v>24</v>
      </c>
      <c r="S307">
        <v>14</v>
      </c>
      <c r="T307">
        <v>188</v>
      </c>
      <c r="U307">
        <v>13.43</v>
      </c>
      <c r="V307">
        <v>1</v>
      </c>
      <c r="Y307">
        <v>25</v>
      </c>
      <c r="Z307">
        <v>39</v>
      </c>
      <c r="AA307">
        <v>41.8</v>
      </c>
      <c r="AB307">
        <v>31.8</v>
      </c>
      <c r="AD307">
        <v>51</v>
      </c>
      <c r="AF307" s="2">
        <f t="shared" si="4"/>
        <v>2.5</v>
      </c>
    </row>
    <row r="308" spans="1:32" hidden="1" x14ac:dyDescent="0.25">
      <c r="A308">
        <v>440</v>
      </c>
      <c r="B308" t="s">
        <v>129</v>
      </c>
      <c r="C308" t="s">
        <v>2970</v>
      </c>
      <c r="D308" t="s">
        <v>1834</v>
      </c>
      <c r="E308" t="s">
        <v>114</v>
      </c>
      <c r="F308">
        <v>27</v>
      </c>
      <c r="G308">
        <v>2</v>
      </c>
      <c r="H308">
        <v>0</v>
      </c>
      <c r="I308">
        <v>0</v>
      </c>
      <c r="J308">
        <v>0</v>
      </c>
      <c r="K308">
        <v>0</v>
      </c>
      <c r="L308">
        <v>0</v>
      </c>
      <c r="M308">
        <v>0</v>
      </c>
      <c r="N308">
        <v>0</v>
      </c>
      <c r="O308">
        <v>0</v>
      </c>
      <c r="Q308">
        <v>0</v>
      </c>
      <c r="R308">
        <v>5</v>
      </c>
      <c r="S308">
        <v>4</v>
      </c>
      <c r="T308">
        <v>46</v>
      </c>
      <c r="U308">
        <v>11.5</v>
      </c>
      <c r="V308">
        <v>0</v>
      </c>
      <c r="Y308">
        <v>5</v>
      </c>
      <c r="Z308">
        <v>9</v>
      </c>
      <c r="AA308">
        <v>8.6</v>
      </c>
      <c r="AB308">
        <v>6.6</v>
      </c>
      <c r="AD308">
        <v>85</v>
      </c>
      <c r="AF308" s="2">
        <f t="shared" si="4"/>
        <v>2.5</v>
      </c>
    </row>
    <row r="309" spans="1:32" hidden="1" x14ac:dyDescent="0.25">
      <c r="A309">
        <v>316</v>
      </c>
      <c r="B309" t="s">
        <v>2795</v>
      </c>
      <c r="C309" t="s">
        <v>2796</v>
      </c>
      <c r="D309" t="s">
        <v>2398</v>
      </c>
      <c r="E309" t="s">
        <v>47</v>
      </c>
      <c r="F309">
        <v>28</v>
      </c>
      <c r="G309">
        <v>9</v>
      </c>
      <c r="H309">
        <v>0</v>
      </c>
      <c r="I309">
        <v>0</v>
      </c>
      <c r="J309">
        <v>0</v>
      </c>
      <c r="K309">
        <v>0</v>
      </c>
      <c r="L309">
        <v>0</v>
      </c>
      <c r="M309">
        <v>0</v>
      </c>
      <c r="N309">
        <v>23</v>
      </c>
      <c r="O309">
        <v>96</v>
      </c>
      <c r="P309">
        <v>4.17</v>
      </c>
      <c r="Q309">
        <v>0</v>
      </c>
      <c r="R309">
        <v>19</v>
      </c>
      <c r="S309">
        <v>16</v>
      </c>
      <c r="T309">
        <v>119</v>
      </c>
      <c r="U309">
        <v>7.44</v>
      </c>
      <c r="V309">
        <v>0</v>
      </c>
      <c r="Y309">
        <v>22</v>
      </c>
      <c r="Z309">
        <v>38</v>
      </c>
      <c r="AA309">
        <v>40.5</v>
      </c>
      <c r="AB309">
        <v>29.5</v>
      </c>
      <c r="AD309">
        <v>92</v>
      </c>
      <c r="AF309" s="2">
        <f t="shared" si="4"/>
        <v>2.4444444444444446</v>
      </c>
    </row>
    <row r="310" spans="1:32" hidden="1" x14ac:dyDescent="0.25">
      <c r="A310">
        <v>246</v>
      </c>
      <c r="B310" t="s">
        <v>316</v>
      </c>
      <c r="C310" t="s">
        <v>2709</v>
      </c>
      <c r="D310" t="s">
        <v>1039</v>
      </c>
      <c r="E310" t="s">
        <v>47</v>
      </c>
      <c r="F310">
        <v>26</v>
      </c>
      <c r="G310">
        <v>16</v>
      </c>
      <c r="H310">
        <v>0</v>
      </c>
      <c r="I310">
        <v>0</v>
      </c>
      <c r="J310">
        <v>0</v>
      </c>
      <c r="K310">
        <v>0</v>
      </c>
      <c r="L310">
        <v>0</v>
      </c>
      <c r="M310">
        <v>0</v>
      </c>
      <c r="N310">
        <v>30</v>
      </c>
      <c r="O310">
        <v>248</v>
      </c>
      <c r="P310">
        <v>8.27</v>
      </c>
      <c r="Q310">
        <v>2</v>
      </c>
      <c r="R310">
        <v>4</v>
      </c>
      <c r="S310">
        <v>3</v>
      </c>
      <c r="T310">
        <v>41</v>
      </c>
      <c r="U310">
        <v>13.67</v>
      </c>
      <c r="V310">
        <v>0</v>
      </c>
      <c r="Y310">
        <v>39</v>
      </c>
      <c r="Z310">
        <v>42</v>
      </c>
      <c r="AA310">
        <v>45.9</v>
      </c>
      <c r="AB310">
        <v>40.4</v>
      </c>
      <c r="AD310">
        <v>73</v>
      </c>
      <c r="AF310" s="2">
        <f t="shared" si="4"/>
        <v>2.4375</v>
      </c>
    </row>
    <row r="311" spans="1:32" hidden="1" x14ac:dyDescent="0.25">
      <c r="A311">
        <v>248</v>
      </c>
      <c r="B311" t="s">
        <v>292</v>
      </c>
      <c r="C311" t="s">
        <v>2712</v>
      </c>
      <c r="D311" t="s">
        <v>1865</v>
      </c>
      <c r="E311" t="s">
        <v>114</v>
      </c>
      <c r="F311">
        <v>27</v>
      </c>
      <c r="G311">
        <v>16</v>
      </c>
      <c r="H311">
        <v>7</v>
      </c>
      <c r="I311">
        <v>0</v>
      </c>
      <c r="J311">
        <v>0</v>
      </c>
      <c r="K311">
        <v>0</v>
      </c>
      <c r="L311">
        <v>0</v>
      </c>
      <c r="M311">
        <v>0</v>
      </c>
      <c r="N311">
        <v>0</v>
      </c>
      <c r="O311">
        <v>0</v>
      </c>
      <c r="Q311">
        <v>0</v>
      </c>
      <c r="R311">
        <v>22</v>
      </c>
      <c r="S311">
        <v>15</v>
      </c>
      <c r="T311">
        <v>153</v>
      </c>
      <c r="U311">
        <v>10.199999999999999</v>
      </c>
      <c r="V311">
        <v>4</v>
      </c>
      <c r="Y311">
        <v>39</v>
      </c>
      <c r="Z311">
        <v>54</v>
      </c>
      <c r="AA311">
        <v>57.3</v>
      </c>
      <c r="AB311">
        <v>46.8</v>
      </c>
      <c r="AD311">
        <v>34</v>
      </c>
      <c r="AF311" s="2">
        <f t="shared" si="4"/>
        <v>2.4375</v>
      </c>
    </row>
    <row r="312" spans="1:32" hidden="1" x14ac:dyDescent="0.25">
      <c r="A312">
        <v>282</v>
      </c>
      <c r="B312" t="s">
        <v>1488</v>
      </c>
      <c r="C312" t="s">
        <v>2753</v>
      </c>
      <c r="D312" t="s">
        <v>1042</v>
      </c>
      <c r="E312" t="s">
        <v>114</v>
      </c>
      <c r="F312">
        <v>24</v>
      </c>
      <c r="G312">
        <v>13</v>
      </c>
      <c r="H312">
        <v>7</v>
      </c>
      <c r="I312">
        <v>0</v>
      </c>
      <c r="J312">
        <v>0</v>
      </c>
      <c r="K312">
        <v>0</v>
      </c>
      <c r="L312">
        <v>0</v>
      </c>
      <c r="M312">
        <v>0</v>
      </c>
      <c r="N312">
        <v>0</v>
      </c>
      <c r="O312">
        <v>0</v>
      </c>
      <c r="Q312">
        <v>0</v>
      </c>
      <c r="R312">
        <v>14</v>
      </c>
      <c r="S312">
        <v>12</v>
      </c>
      <c r="T312">
        <v>127</v>
      </c>
      <c r="U312">
        <v>10.58</v>
      </c>
      <c r="V312">
        <v>3</v>
      </c>
      <c r="Y312">
        <v>31</v>
      </c>
      <c r="Z312">
        <v>43</v>
      </c>
      <c r="AA312">
        <v>45.7</v>
      </c>
      <c r="AB312">
        <v>36.700000000000003</v>
      </c>
      <c r="AD312">
        <v>43</v>
      </c>
      <c r="AF312" s="2">
        <f t="shared" si="4"/>
        <v>2.3846153846153846</v>
      </c>
    </row>
    <row r="313" spans="1:32" hidden="1" x14ac:dyDescent="0.25">
      <c r="A313">
        <v>254</v>
      </c>
      <c r="B313" t="s">
        <v>2719</v>
      </c>
      <c r="C313" t="s">
        <v>2720</v>
      </c>
      <c r="D313" t="s">
        <v>2397</v>
      </c>
      <c r="E313" t="s">
        <v>47</v>
      </c>
      <c r="F313">
        <v>27</v>
      </c>
      <c r="G313">
        <v>16</v>
      </c>
      <c r="H313">
        <v>0</v>
      </c>
      <c r="I313">
        <v>0</v>
      </c>
      <c r="J313">
        <v>0</v>
      </c>
      <c r="K313">
        <v>0</v>
      </c>
      <c r="L313">
        <v>0</v>
      </c>
      <c r="M313">
        <v>0</v>
      </c>
      <c r="N313">
        <v>21</v>
      </c>
      <c r="O313">
        <v>95</v>
      </c>
      <c r="P313">
        <v>4.5199999999999996</v>
      </c>
      <c r="Q313">
        <v>0</v>
      </c>
      <c r="R313">
        <v>47</v>
      </c>
      <c r="S313">
        <v>35</v>
      </c>
      <c r="T313">
        <v>249</v>
      </c>
      <c r="U313">
        <v>7.11</v>
      </c>
      <c r="V313">
        <v>1</v>
      </c>
      <c r="Y313">
        <v>38</v>
      </c>
      <c r="Z313">
        <v>73</v>
      </c>
      <c r="AA313">
        <v>77.400000000000006</v>
      </c>
      <c r="AB313">
        <v>55.9</v>
      </c>
      <c r="AD313">
        <v>74</v>
      </c>
      <c r="AF313" s="2">
        <f t="shared" si="4"/>
        <v>2.375</v>
      </c>
    </row>
    <row r="314" spans="1:32" hidden="1" x14ac:dyDescent="0.25">
      <c r="A314">
        <v>252</v>
      </c>
      <c r="B314" t="s">
        <v>142</v>
      </c>
      <c r="C314" t="s">
        <v>2717</v>
      </c>
      <c r="D314" t="s">
        <v>2397</v>
      </c>
      <c r="E314" t="s">
        <v>47</v>
      </c>
      <c r="F314">
        <v>27</v>
      </c>
      <c r="G314">
        <v>16</v>
      </c>
      <c r="H314">
        <v>4</v>
      </c>
      <c r="I314">
        <v>0</v>
      </c>
      <c r="J314">
        <v>0</v>
      </c>
      <c r="K314">
        <v>0</v>
      </c>
      <c r="L314">
        <v>0</v>
      </c>
      <c r="M314">
        <v>0</v>
      </c>
      <c r="N314">
        <v>64</v>
      </c>
      <c r="O314">
        <v>244</v>
      </c>
      <c r="P314">
        <v>3.81</v>
      </c>
      <c r="Q314">
        <v>1</v>
      </c>
      <c r="R314">
        <v>11</v>
      </c>
      <c r="S314">
        <v>9</v>
      </c>
      <c r="T314">
        <v>74</v>
      </c>
      <c r="U314">
        <v>8.2200000000000006</v>
      </c>
      <c r="V314">
        <v>0</v>
      </c>
      <c r="Y314">
        <v>38</v>
      </c>
      <c r="Z314">
        <v>47</v>
      </c>
      <c r="AA314">
        <v>49.8</v>
      </c>
      <c r="AB314">
        <v>42.3</v>
      </c>
      <c r="AD314">
        <v>75</v>
      </c>
      <c r="AF314" s="2">
        <f t="shared" si="4"/>
        <v>2.375</v>
      </c>
    </row>
    <row r="315" spans="1:32" x14ac:dyDescent="0.25">
      <c r="A315">
        <v>251</v>
      </c>
      <c r="B315" t="s">
        <v>2715</v>
      </c>
      <c r="C315" t="s">
        <v>2716</v>
      </c>
      <c r="D315" t="s">
        <v>1047</v>
      </c>
      <c r="E315" t="s">
        <v>87</v>
      </c>
      <c r="F315">
        <v>29</v>
      </c>
      <c r="G315">
        <v>16</v>
      </c>
      <c r="H315">
        <v>1</v>
      </c>
      <c r="I315">
        <v>0</v>
      </c>
      <c r="J315">
        <v>0</v>
      </c>
      <c r="K315">
        <v>0</v>
      </c>
      <c r="L315">
        <v>0</v>
      </c>
      <c r="M315">
        <v>0</v>
      </c>
      <c r="N315">
        <v>0</v>
      </c>
      <c r="O315">
        <v>0</v>
      </c>
      <c r="Q315">
        <v>0</v>
      </c>
      <c r="R315">
        <v>48</v>
      </c>
      <c r="S315">
        <v>19</v>
      </c>
      <c r="T315">
        <v>260</v>
      </c>
      <c r="U315">
        <v>13.68</v>
      </c>
      <c r="V315">
        <v>2</v>
      </c>
      <c r="Y315">
        <v>38</v>
      </c>
      <c r="Z315">
        <v>57</v>
      </c>
      <c r="AA315">
        <v>60</v>
      </c>
      <c r="AB315">
        <v>47.5</v>
      </c>
      <c r="AD315">
        <v>100</v>
      </c>
      <c r="AF315" s="2">
        <f t="shared" si="4"/>
        <v>2.375</v>
      </c>
    </row>
    <row r="316" spans="1:32" x14ac:dyDescent="0.25">
      <c r="A316">
        <v>297</v>
      </c>
      <c r="B316" t="s">
        <v>1622</v>
      </c>
      <c r="C316" t="s">
        <v>2773</v>
      </c>
      <c r="D316" t="s">
        <v>1047</v>
      </c>
      <c r="E316" t="s">
        <v>87</v>
      </c>
      <c r="F316">
        <v>22</v>
      </c>
      <c r="G316">
        <v>11</v>
      </c>
      <c r="H316">
        <v>0</v>
      </c>
      <c r="I316">
        <v>0</v>
      </c>
      <c r="J316">
        <v>0</v>
      </c>
      <c r="K316">
        <v>0</v>
      </c>
      <c r="L316">
        <v>0</v>
      </c>
      <c r="M316">
        <v>0</v>
      </c>
      <c r="N316">
        <v>0</v>
      </c>
      <c r="O316">
        <v>0</v>
      </c>
      <c r="Q316">
        <v>0</v>
      </c>
      <c r="R316">
        <v>34</v>
      </c>
      <c r="S316">
        <v>16</v>
      </c>
      <c r="T316">
        <v>257</v>
      </c>
      <c r="U316">
        <v>16.059999999999999</v>
      </c>
      <c r="V316">
        <v>0</v>
      </c>
      <c r="Y316">
        <v>26</v>
      </c>
      <c r="Z316">
        <v>42</v>
      </c>
      <c r="AA316">
        <v>44.7</v>
      </c>
      <c r="AB316">
        <v>33.700000000000003</v>
      </c>
      <c r="AD316">
        <v>118</v>
      </c>
      <c r="AF316" s="2">
        <f t="shared" si="4"/>
        <v>2.3636363636363638</v>
      </c>
    </row>
    <row r="317" spans="1:32" hidden="1" x14ac:dyDescent="0.25">
      <c r="A317">
        <v>262</v>
      </c>
      <c r="B317" t="s">
        <v>1469</v>
      </c>
      <c r="C317" t="s">
        <v>2730</v>
      </c>
      <c r="D317" t="s">
        <v>1038</v>
      </c>
      <c r="E317" t="s">
        <v>114</v>
      </c>
      <c r="F317">
        <v>23</v>
      </c>
      <c r="G317">
        <v>16</v>
      </c>
      <c r="H317">
        <v>2</v>
      </c>
      <c r="I317">
        <v>0</v>
      </c>
      <c r="J317">
        <v>0</v>
      </c>
      <c r="K317">
        <v>0</v>
      </c>
      <c r="L317">
        <v>0</v>
      </c>
      <c r="M317">
        <v>0</v>
      </c>
      <c r="N317">
        <v>1</v>
      </c>
      <c r="O317">
        <v>13</v>
      </c>
      <c r="P317">
        <v>13</v>
      </c>
      <c r="Q317">
        <v>0</v>
      </c>
      <c r="R317">
        <v>32</v>
      </c>
      <c r="S317">
        <v>16</v>
      </c>
      <c r="T317">
        <v>244</v>
      </c>
      <c r="U317">
        <v>15.25</v>
      </c>
      <c r="V317">
        <v>2</v>
      </c>
      <c r="Y317">
        <v>36</v>
      </c>
      <c r="Z317">
        <v>52</v>
      </c>
      <c r="AA317">
        <v>55.7</v>
      </c>
      <c r="AB317">
        <v>43.7</v>
      </c>
      <c r="AD317">
        <v>36</v>
      </c>
      <c r="AF317" s="2">
        <f t="shared" si="4"/>
        <v>2.25</v>
      </c>
    </row>
    <row r="318" spans="1:32" hidden="1" x14ac:dyDescent="0.25">
      <c r="A318">
        <v>261</v>
      </c>
      <c r="B318" t="s">
        <v>387</v>
      </c>
      <c r="C318" t="s">
        <v>2729</v>
      </c>
      <c r="D318" t="s">
        <v>1811</v>
      </c>
      <c r="E318" t="s">
        <v>114</v>
      </c>
      <c r="F318">
        <v>29</v>
      </c>
      <c r="G318">
        <v>16</v>
      </c>
      <c r="H318">
        <v>14</v>
      </c>
      <c r="I318">
        <v>0</v>
      </c>
      <c r="J318">
        <v>0</v>
      </c>
      <c r="K318">
        <v>0</v>
      </c>
      <c r="L318">
        <v>0</v>
      </c>
      <c r="M318">
        <v>0</v>
      </c>
      <c r="N318">
        <v>0</v>
      </c>
      <c r="O318">
        <v>0</v>
      </c>
      <c r="Q318">
        <v>0</v>
      </c>
      <c r="R318">
        <v>32</v>
      </c>
      <c r="S318">
        <v>24</v>
      </c>
      <c r="T318">
        <v>235</v>
      </c>
      <c r="U318">
        <v>9.7899999999999991</v>
      </c>
      <c r="V318">
        <v>2</v>
      </c>
      <c r="Y318">
        <v>36</v>
      </c>
      <c r="Z318">
        <v>60</v>
      </c>
      <c r="AA318">
        <v>62.5</v>
      </c>
      <c r="AB318">
        <v>47.5</v>
      </c>
      <c r="AD318">
        <v>39</v>
      </c>
      <c r="AF318" s="2">
        <f t="shared" si="4"/>
        <v>2.25</v>
      </c>
    </row>
    <row r="319" spans="1:32" hidden="1" x14ac:dyDescent="0.25">
      <c r="A319">
        <v>263</v>
      </c>
      <c r="B319" t="s">
        <v>312</v>
      </c>
      <c r="C319" t="s">
        <v>2731</v>
      </c>
      <c r="D319" t="s">
        <v>1882</v>
      </c>
      <c r="E319" t="s">
        <v>114</v>
      </c>
      <c r="F319">
        <v>31</v>
      </c>
      <c r="G319">
        <v>16</v>
      </c>
      <c r="H319">
        <v>13</v>
      </c>
      <c r="I319">
        <v>0</v>
      </c>
      <c r="J319">
        <v>0</v>
      </c>
      <c r="K319">
        <v>0</v>
      </c>
      <c r="L319">
        <v>0</v>
      </c>
      <c r="M319">
        <v>0</v>
      </c>
      <c r="N319">
        <v>0</v>
      </c>
      <c r="O319">
        <v>0</v>
      </c>
      <c r="Q319">
        <v>0</v>
      </c>
      <c r="R319">
        <v>26</v>
      </c>
      <c r="S319">
        <v>17</v>
      </c>
      <c r="T319">
        <v>177</v>
      </c>
      <c r="U319">
        <v>10.41</v>
      </c>
      <c r="V319">
        <v>3</v>
      </c>
      <c r="Y319">
        <v>36</v>
      </c>
      <c r="Z319">
        <v>53</v>
      </c>
      <c r="AA319">
        <v>55.7</v>
      </c>
      <c r="AB319">
        <v>44.2</v>
      </c>
      <c r="AD319">
        <v>37</v>
      </c>
      <c r="AF319" s="2">
        <f t="shared" si="4"/>
        <v>2.25</v>
      </c>
    </row>
    <row r="320" spans="1:32" hidden="1" x14ac:dyDescent="0.25">
      <c r="A320">
        <v>264</v>
      </c>
      <c r="B320" t="s">
        <v>244</v>
      </c>
      <c r="C320" t="s">
        <v>2732</v>
      </c>
      <c r="D320" t="s">
        <v>1038</v>
      </c>
      <c r="E320" t="s">
        <v>114</v>
      </c>
      <c r="F320">
        <v>24</v>
      </c>
      <c r="G320">
        <v>16</v>
      </c>
      <c r="H320">
        <v>16</v>
      </c>
      <c r="I320">
        <v>0</v>
      </c>
      <c r="J320">
        <v>0</v>
      </c>
      <c r="K320">
        <v>0</v>
      </c>
      <c r="L320">
        <v>0</v>
      </c>
      <c r="M320">
        <v>0</v>
      </c>
      <c r="N320">
        <v>0</v>
      </c>
      <c r="O320">
        <v>0</v>
      </c>
      <c r="Q320">
        <v>0</v>
      </c>
      <c r="R320">
        <v>45</v>
      </c>
      <c r="S320">
        <v>25</v>
      </c>
      <c r="T320">
        <v>295</v>
      </c>
      <c r="U320">
        <v>11.8</v>
      </c>
      <c r="V320">
        <v>1</v>
      </c>
      <c r="Y320">
        <v>36</v>
      </c>
      <c r="Z320">
        <v>61</v>
      </c>
      <c r="AA320">
        <v>63.5</v>
      </c>
      <c r="AB320">
        <v>48</v>
      </c>
      <c r="AD320">
        <v>40</v>
      </c>
      <c r="AF320" s="2">
        <f t="shared" si="4"/>
        <v>2.25</v>
      </c>
    </row>
    <row r="321" spans="1:32" x14ac:dyDescent="0.25">
      <c r="A321">
        <v>265</v>
      </c>
      <c r="B321" t="s">
        <v>321</v>
      </c>
      <c r="C321" t="s">
        <v>2733</v>
      </c>
      <c r="D321" t="s">
        <v>1870</v>
      </c>
      <c r="E321" t="s">
        <v>87</v>
      </c>
      <c r="F321">
        <v>26</v>
      </c>
      <c r="G321">
        <v>16</v>
      </c>
      <c r="H321">
        <v>1</v>
      </c>
      <c r="I321">
        <v>0</v>
      </c>
      <c r="J321">
        <v>0</v>
      </c>
      <c r="K321">
        <v>0</v>
      </c>
      <c r="L321">
        <v>0</v>
      </c>
      <c r="M321">
        <v>0</v>
      </c>
      <c r="N321">
        <v>0</v>
      </c>
      <c r="O321">
        <v>0</v>
      </c>
      <c r="Q321">
        <v>0</v>
      </c>
      <c r="R321">
        <v>18</v>
      </c>
      <c r="S321">
        <v>9</v>
      </c>
      <c r="T321">
        <v>218</v>
      </c>
      <c r="U321">
        <v>24.22</v>
      </c>
      <c r="V321">
        <v>3</v>
      </c>
      <c r="Y321">
        <v>36</v>
      </c>
      <c r="Z321">
        <v>45</v>
      </c>
      <c r="AA321">
        <v>49.8</v>
      </c>
      <c r="AB321">
        <v>40.299999999999997</v>
      </c>
      <c r="AD321">
        <v>102</v>
      </c>
      <c r="AF321" s="2">
        <f t="shared" si="4"/>
        <v>2.25</v>
      </c>
    </row>
    <row r="322" spans="1:32" x14ac:dyDescent="0.25">
      <c r="A322">
        <v>266</v>
      </c>
      <c r="B322" t="s">
        <v>2734</v>
      </c>
      <c r="C322" t="s">
        <v>2735</v>
      </c>
      <c r="D322" t="s">
        <v>1872</v>
      </c>
      <c r="E322" t="s">
        <v>87</v>
      </c>
      <c r="F322">
        <v>23</v>
      </c>
      <c r="G322">
        <v>16</v>
      </c>
      <c r="H322">
        <v>9</v>
      </c>
      <c r="I322">
        <v>0</v>
      </c>
      <c r="J322">
        <v>0</v>
      </c>
      <c r="K322">
        <v>0</v>
      </c>
      <c r="L322">
        <v>0</v>
      </c>
      <c r="M322">
        <v>0</v>
      </c>
      <c r="N322">
        <v>0</v>
      </c>
      <c r="O322">
        <v>0</v>
      </c>
      <c r="Q322">
        <v>0</v>
      </c>
      <c r="R322">
        <v>61</v>
      </c>
      <c r="S322">
        <v>27</v>
      </c>
      <c r="T322">
        <v>357</v>
      </c>
      <c r="U322">
        <v>13.22</v>
      </c>
      <c r="V322">
        <v>0</v>
      </c>
      <c r="Y322">
        <v>36</v>
      </c>
      <c r="Z322">
        <v>63</v>
      </c>
      <c r="AA322">
        <v>65.7</v>
      </c>
      <c r="AB322">
        <v>49.2</v>
      </c>
      <c r="AD322">
        <v>103</v>
      </c>
      <c r="AF322" s="2">
        <f t="shared" si="4"/>
        <v>2.25</v>
      </c>
    </row>
    <row r="323" spans="1:32" hidden="1" x14ac:dyDescent="0.25">
      <c r="A323">
        <v>380</v>
      </c>
      <c r="B323" t="s">
        <v>216</v>
      </c>
      <c r="C323" t="s">
        <v>2885</v>
      </c>
      <c r="D323" t="s">
        <v>1865</v>
      </c>
      <c r="E323" t="s">
        <v>47</v>
      </c>
      <c r="F323">
        <v>23</v>
      </c>
      <c r="G323">
        <v>5</v>
      </c>
      <c r="H323">
        <v>0</v>
      </c>
      <c r="I323">
        <v>0</v>
      </c>
      <c r="J323">
        <v>0</v>
      </c>
      <c r="K323">
        <v>0</v>
      </c>
      <c r="L323">
        <v>0</v>
      </c>
      <c r="M323">
        <v>0</v>
      </c>
      <c r="N323">
        <v>11</v>
      </c>
      <c r="O323">
        <v>23</v>
      </c>
      <c r="P323">
        <v>2.09</v>
      </c>
      <c r="Q323">
        <v>0</v>
      </c>
      <c r="R323">
        <v>11</v>
      </c>
      <c r="S323">
        <v>6</v>
      </c>
      <c r="T323">
        <v>87</v>
      </c>
      <c r="U323">
        <v>14.5</v>
      </c>
      <c r="V323">
        <v>0</v>
      </c>
      <c r="Y323">
        <v>11</v>
      </c>
      <c r="Z323">
        <v>17</v>
      </c>
      <c r="AA323">
        <v>17</v>
      </c>
      <c r="AB323">
        <v>14</v>
      </c>
      <c r="AD323">
        <v>110</v>
      </c>
      <c r="AF323" s="2">
        <f t="shared" ref="AF323:AF386" si="5">Y323/G323</f>
        <v>2.2000000000000002</v>
      </c>
    </row>
    <row r="324" spans="1:32" hidden="1" x14ac:dyDescent="0.25">
      <c r="A324">
        <v>376</v>
      </c>
      <c r="B324" t="s">
        <v>2878</v>
      </c>
      <c r="C324" t="s">
        <v>2879</v>
      </c>
      <c r="D324" t="s">
        <v>1054</v>
      </c>
      <c r="E324" t="s">
        <v>47</v>
      </c>
      <c r="F324">
        <v>25</v>
      </c>
      <c r="G324">
        <v>5</v>
      </c>
      <c r="H324">
        <v>0</v>
      </c>
      <c r="I324">
        <v>0</v>
      </c>
      <c r="J324">
        <v>0</v>
      </c>
      <c r="K324">
        <v>0</v>
      </c>
      <c r="L324">
        <v>0</v>
      </c>
      <c r="M324">
        <v>0</v>
      </c>
      <c r="N324">
        <v>7</v>
      </c>
      <c r="O324">
        <v>13</v>
      </c>
      <c r="P324">
        <v>1.86</v>
      </c>
      <c r="Q324">
        <v>0</v>
      </c>
      <c r="R324">
        <v>2</v>
      </c>
      <c r="S324">
        <v>2</v>
      </c>
      <c r="T324">
        <v>36</v>
      </c>
      <c r="U324">
        <v>18</v>
      </c>
      <c r="V324">
        <v>1</v>
      </c>
      <c r="Y324">
        <v>11</v>
      </c>
      <c r="Z324">
        <v>13</v>
      </c>
      <c r="AA324">
        <v>12.9</v>
      </c>
      <c r="AB324">
        <v>11.9</v>
      </c>
      <c r="AD324">
        <v>111</v>
      </c>
      <c r="AF324" s="2">
        <f t="shared" si="5"/>
        <v>2.2000000000000002</v>
      </c>
    </row>
    <row r="325" spans="1:32" x14ac:dyDescent="0.25">
      <c r="A325">
        <v>289</v>
      </c>
      <c r="B325" t="s">
        <v>2762</v>
      </c>
      <c r="C325" t="s">
        <v>2763</v>
      </c>
      <c r="D325" t="s">
        <v>1890</v>
      </c>
      <c r="E325" t="s">
        <v>87</v>
      </c>
      <c r="F325">
        <v>26</v>
      </c>
      <c r="G325">
        <v>13</v>
      </c>
      <c r="H325">
        <v>0</v>
      </c>
      <c r="I325">
        <v>0</v>
      </c>
      <c r="J325">
        <v>0</v>
      </c>
      <c r="K325">
        <v>0</v>
      </c>
      <c r="L325">
        <v>0</v>
      </c>
      <c r="M325">
        <v>0</v>
      </c>
      <c r="N325">
        <v>5</v>
      </c>
      <c r="O325">
        <v>42</v>
      </c>
      <c r="P325">
        <v>8.4</v>
      </c>
      <c r="Q325">
        <v>0</v>
      </c>
      <c r="R325">
        <v>27</v>
      </c>
      <c r="S325">
        <v>19</v>
      </c>
      <c r="T325">
        <v>173</v>
      </c>
      <c r="U325">
        <v>9.11</v>
      </c>
      <c r="V325">
        <v>1</v>
      </c>
      <c r="Y325">
        <v>28</v>
      </c>
      <c r="Z325">
        <v>47</v>
      </c>
      <c r="AA325">
        <v>55.5</v>
      </c>
      <c r="AB325">
        <v>43</v>
      </c>
      <c r="AD325">
        <v>116</v>
      </c>
      <c r="AF325" s="2">
        <f t="shared" si="5"/>
        <v>2.1538461538461537</v>
      </c>
    </row>
    <row r="326" spans="1:32" hidden="1" x14ac:dyDescent="0.25">
      <c r="A326">
        <v>344</v>
      </c>
      <c r="B326" t="s">
        <v>2831</v>
      </c>
      <c r="C326" t="s">
        <v>2832</v>
      </c>
      <c r="D326" t="s">
        <v>1806</v>
      </c>
      <c r="E326" t="s">
        <v>47</v>
      </c>
      <c r="F326">
        <v>24</v>
      </c>
      <c r="G326">
        <v>7</v>
      </c>
      <c r="H326">
        <v>0</v>
      </c>
      <c r="I326">
        <v>0</v>
      </c>
      <c r="J326">
        <v>0</v>
      </c>
      <c r="K326">
        <v>0</v>
      </c>
      <c r="L326">
        <v>0</v>
      </c>
      <c r="M326">
        <v>0</v>
      </c>
      <c r="N326">
        <v>6</v>
      </c>
      <c r="O326">
        <v>19</v>
      </c>
      <c r="P326">
        <v>3.17</v>
      </c>
      <c r="Q326">
        <v>0</v>
      </c>
      <c r="R326">
        <v>28</v>
      </c>
      <c r="S326">
        <v>17</v>
      </c>
      <c r="T326">
        <v>133</v>
      </c>
      <c r="U326">
        <v>7.82</v>
      </c>
      <c r="V326">
        <v>0</v>
      </c>
      <c r="Y326">
        <v>15</v>
      </c>
      <c r="Z326">
        <v>32</v>
      </c>
      <c r="AA326">
        <v>35.200000000000003</v>
      </c>
      <c r="AB326">
        <v>23.7</v>
      </c>
      <c r="AD326">
        <v>98</v>
      </c>
      <c r="AF326" s="2">
        <f t="shared" si="5"/>
        <v>2.1428571428571428</v>
      </c>
    </row>
    <row r="327" spans="1:32" x14ac:dyDescent="0.25">
      <c r="A327">
        <v>285</v>
      </c>
      <c r="B327" t="s">
        <v>276</v>
      </c>
      <c r="C327" t="s">
        <v>2757</v>
      </c>
      <c r="D327" t="s">
        <v>1050</v>
      </c>
      <c r="E327" t="s">
        <v>87</v>
      </c>
      <c r="F327">
        <v>29</v>
      </c>
      <c r="G327">
        <v>14</v>
      </c>
      <c r="H327">
        <v>2</v>
      </c>
      <c r="I327">
        <v>0</v>
      </c>
      <c r="J327">
        <v>0</v>
      </c>
      <c r="K327">
        <v>0</v>
      </c>
      <c r="L327">
        <v>0</v>
      </c>
      <c r="M327">
        <v>0</v>
      </c>
      <c r="N327">
        <v>0</v>
      </c>
      <c r="O327">
        <v>0</v>
      </c>
      <c r="Q327">
        <v>0</v>
      </c>
      <c r="R327">
        <v>22</v>
      </c>
      <c r="S327">
        <v>13</v>
      </c>
      <c r="T327">
        <v>120</v>
      </c>
      <c r="U327">
        <v>9.23</v>
      </c>
      <c r="V327">
        <v>3</v>
      </c>
      <c r="Y327">
        <v>30</v>
      </c>
      <c r="Z327">
        <v>43</v>
      </c>
      <c r="AA327">
        <v>46</v>
      </c>
      <c r="AB327">
        <v>36.5</v>
      </c>
      <c r="AD327">
        <v>111</v>
      </c>
      <c r="AF327" s="2">
        <f t="shared" si="5"/>
        <v>2.1428571428571428</v>
      </c>
    </row>
    <row r="328" spans="1:32" x14ac:dyDescent="0.25">
      <c r="A328">
        <v>278</v>
      </c>
      <c r="B328" t="s">
        <v>303</v>
      </c>
      <c r="C328" t="s">
        <v>2748</v>
      </c>
      <c r="D328" t="s">
        <v>1887</v>
      </c>
      <c r="E328" t="s">
        <v>87</v>
      </c>
      <c r="F328">
        <v>22</v>
      </c>
      <c r="G328">
        <v>16</v>
      </c>
      <c r="H328">
        <v>4</v>
      </c>
      <c r="I328">
        <v>0</v>
      </c>
      <c r="J328">
        <v>0</v>
      </c>
      <c r="K328">
        <v>0</v>
      </c>
      <c r="L328">
        <v>0</v>
      </c>
      <c r="M328">
        <v>0</v>
      </c>
      <c r="N328">
        <v>8</v>
      </c>
      <c r="O328">
        <v>43</v>
      </c>
      <c r="P328">
        <v>5.38</v>
      </c>
      <c r="Q328">
        <v>0</v>
      </c>
      <c r="R328">
        <v>28</v>
      </c>
      <c r="S328">
        <v>16</v>
      </c>
      <c r="T328">
        <v>231</v>
      </c>
      <c r="U328">
        <v>14.44</v>
      </c>
      <c r="V328">
        <v>1</v>
      </c>
      <c r="Y328">
        <v>33</v>
      </c>
      <c r="Z328">
        <v>49</v>
      </c>
      <c r="AA328">
        <v>52.4</v>
      </c>
      <c r="AB328">
        <v>41.4</v>
      </c>
      <c r="AD328">
        <v>107</v>
      </c>
      <c r="AF328" s="2">
        <f t="shared" si="5"/>
        <v>2.0625</v>
      </c>
    </row>
    <row r="329" spans="1:32" x14ac:dyDescent="0.25">
      <c r="A329">
        <v>329</v>
      </c>
      <c r="B329" t="s">
        <v>233</v>
      </c>
      <c r="C329" t="s">
        <v>2813</v>
      </c>
      <c r="D329" t="s">
        <v>1831</v>
      </c>
      <c r="E329" t="s">
        <v>87</v>
      </c>
      <c r="F329">
        <v>21</v>
      </c>
      <c r="G329">
        <v>9</v>
      </c>
      <c r="H329">
        <v>4</v>
      </c>
      <c r="I329">
        <v>0</v>
      </c>
      <c r="J329">
        <v>0</v>
      </c>
      <c r="K329">
        <v>0</v>
      </c>
      <c r="L329">
        <v>0</v>
      </c>
      <c r="M329">
        <v>0</v>
      </c>
      <c r="N329">
        <v>4</v>
      </c>
      <c r="O329">
        <v>64</v>
      </c>
      <c r="P329">
        <v>16</v>
      </c>
      <c r="Q329">
        <v>0</v>
      </c>
      <c r="R329">
        <v>26</v>
      </c>
      <c r="S329">
        <v>15</v>
      </c>
      <c r="T329">
        <v>115</v>
      </c>
      <c r="U329">
        <v>7.67</v>
      </c>
      <c r="V329">
        <v>0</v>
      </c>
      <c r="Y329">
        <v>18</v>
      </c>
      <c r="Z329">
        <v>33</v>
      </c>
      <c r="AA329">
        <v>35.9</v>
      </c>
      <c r="AB329">
        <v>25.4</v>
      </c>
      <c r="AD329">
        <v>129</v>
      </c>
      <c r="AF329" s="2">
        <f t="shared" si="5"/>
        <v>2</v>
      </c>
    </row>
    <row r="330" spans="1:32" x14ac:dyDescent="0.25">
      <c r="A330">
        <v>279</v>
      </c>
      <c r="B330" t="s">
        <v>378</v>
      </c>
      <c r="C330" t="s">
        <v>2749</v>
      </c>
      <c r="D330" t="s">
        <v>1053</v>
      </c>
      <c r="E330" t="s">
        <v>87</v>
      </c>
      <c r="F330">
        <v>25</v>
      </c>
      <c r="G330">
        <v>16</v>
      </c>
      <c r="H330">
        <v>0</v>
      </c>
      <c r="I330">
        <v>0</v>
      </c>
      <c r="J330">
        <v>0</v>
      </c>
      <c r="K330">
        <v>0</v>
      </c>
      <c r="L330">
        <v>0</v>
      </c>
      <c r="M330">
        <v>0</v>
      </c>
      <c r="N330">
        <v>3</v>
      </c>
      <c r="O330">
        <v>12</v>
      </c>
      <c r="P330">
        <v>4</v>
      </c>
      <c r="Q330">
        <v>0</v>
      </c>
      <c r="R330">
        <v>22</v>
      </c>
      <c r="S330">
        <v>13</v>
      </c>
      <c r="T330">
        <v>203</v>
      </c>
      <c r="U330">
        <v>15.62</v>
      </c>
      <c r="V330">
        <v>2</v>
      </c>
      <c r="Y330">
        <v>32</v>
      </c>
      <c r="Z330">
        <v>45</v>
      </c>
      <c r="AA330">
        <v>48.5</v>
      </c>
      <c r="AB330">
        <v>38</v>
      </c>
      <c r="AD330">
        <v>110</v>
      </c>
      <c r="AF330" s="2">
        <f t="shared" si="5"/>
        <v>2</v>
      </c>
    </row>
    <row r="331" spans="1:32" x14ac:dyDescent="0.25">
      <c r="A331">
        <v>317</v>
      </c>
      <c r="B331" t="s">
        <v>2797</v>
      </c>
      <c r="C331" t="s">
        <v>2798</v>
      </c>
      <c r="D331" t="s">
        <v>1043</v>
      </c>
      <c r="E331" t="s">
        <v>87</v>
      </c>
      <c r="F331">
        <v>25</v>
      </c>
      <c r="G331">
        <v>11</v>
      </c>
      <c r="H331">
        <v>3</v>
      </c>
      <c r="I331">
        <v>0</v>
      </c>
      <c r="J331">
        <v>0</v>
      </c>
      <c r="K331">
        <v>0</v>
      </c>
      <c r="L331">
        <v>0</v>
      </c>
      <c r="M331">
        <v>0</v>
      </c>
      <c r="N331">
        <v>1</v>
      </c>
      <c r="O331">
        <v>1</v>
      </c>
      <c r="P331">
        <v>1</v>
      </c>
      <c r="Q331">
        <v>0</v>
      </c>
      <c r="R331">
        <v>29</v>
      </c>
      <c r="S331">
        <v>19</v>
      </c>
      <c r="T331">
        <v>162</v>
      </c>
      <c r="U331">
        <v>8.5299999999999994</v>
      </c>
      <c r="V331">
        <v>1</v>
      </c>
      <c r="Y331">
        <v>22</v>
      </c>
      <c r="Z331">
        <v>41</v>
      </c>
      <c r="AA331">
        <v>44.3</v>
      </c>
      <c r="AB331">
        <v>31.8</v>
      </c>
      <c r="AD331">
        <v>123</v>
      </c>
      <c r="AF331" s="2">
        <f t="shared" si="5"/>
        <v>2</v>
      </c>
    </row>
    <row r="332" spans="1:32" x14ac:dyDescent="0.25">
      <c r="A332">
        <v>281</v>
      </c>
      <c r="B332" t="s">
        <v>296</v>
      </c>
      <c r="C332" t="s">
        <v>2752</v>
      </c>
      <c r="D332" t="s">
        <v>1048</v>
      </c>
      <c r="E332" t="s">
        <v>87</v>
      </c>
      <c r="F332">
        <v>28</v>
      </c>
      <c r="G332">
        <v>16</v>
      </c>
      <c r="H332">
        <v>0</v>
      </c>
      <c r="I332">
        <v>0</v>
      </c>
      <c r="J332">
        <v>0</v>
      </c>
      <c r="K332">
        <v>0</v>
      </c>
      <c r="L332">
        <v>0</v>
      </c>
      <c r="M332">
        <v>0</v>
      </c>
      <c r="N332">
        <v>0</v>
      </c>
      <c r="O332">
        <v>0</v>
      </c>
      <c r="Q332">
        <v>0</v>
      </c>
      <c r="R332">
        <v>25</v>
      </c>
      <c r="S332">
        <v>18</v>
      </c>
      <c r="T332">
        <v>198</v>
      </c>
      <c r="U332">
        <v>11</v>
      </c>
      <c r="V332">
        <v>2</v>
      </c>
      <c r="Y332">
        <v>32</v>
      </c>
      <c r="Z332">
        <v>50</v>
      </c>
      <c r="AA332">
        <v>52.8</v>
      </c>
      <c r="AB332">
        <v>40.799999999999997</v>
      </c>
      <c r="AD332">
        <v>109</v>
      </c>
      <c r="AF332" s="2">
        <f t="shared" si="5"/>
        <v>2</v>
      </c>
    </row>
    <row r="333" spans="1:32" x14ac:dyDescent="0.25">
      <c r="A333">
        <v>371</v>
      </c>
      <c r="B333" t="s">
        <v>1146</v>
      </c>
      <c r="C333" t="s">
        <v>2870</v>
      </c>
      <c r="D333" t="s">
        <v>1045</v>
      </c>
      <c r="E333" t="s">
        <v>87</v>
      </c>
      <c r="F333">
        <v>25</v>
      </c>
      <c r="G333">
        <v>6</v>
      </c>
      <c r="H333">
        <v>0</v>
      </c>
      <c r="I333">
        <v>0</v>
      </c>
      <c r="J333">
        <v>0</v>
      </c>
      <c r="K333">
        <v>0</v>
      </c>
      <c r="L333">
        <v>0</v>
      </c>
      <c r="M333">
        <v>0</v>
      </c>
      <c r="N333">
        <v>0</v>
      </c>
      <c r="O333">
        <v>0</v>
      </c>
      <c r="Q333">
        <v>0</v>
      </c>
      <c r="R333">
        <v>6</v>
      </c>
      <c r="S333">
        <v>4</v>
      </c>
      <c r="T333">
        <v>62</v>
      </c>
      <c r="U333">
        <v>15.5</v>
      </c>
      <c r="V333">
        <v>1</v>
      </c>
      <c r="Y333">
        <v>12</v>
      </c>
      <c r="Z333">
        <v>16</v>
      </c>
      <c r="AA333">
        <v>16.2</v>
      </c>
      <c r="AB333">
        <v>14.2</v>
      </c>
      <c r="AD333">
        <v>144</v>
      </c>
      <c r="AF333" s="2">
        <f t="shared" si="5"/>
        <v>2</v>
      </c>
    </row>
    <row r="334" spans="1:32" x14ac:dyDescent="0.25">
      <c r="A334">
        <v>456</v>
      </c>
      <c r="B334" t="s">
        <v>2993</v>
      </c>
      <c r="C334" t="s">
        <v>2994</v>
      </c>
      <c r="D334" t="s">
        <v>2396</v>
      </c>
      <c r="E334" t="s">
        <v>87</v>
      </c>
      <c r="F334">
        <v>22</v>
      </c>
      <c r="G334">
        <v>2</v>
      </c>
      <c r="H334">
        <v>0</v>
      </c>
      <c r="I334">
        <v>0</v>
      </c>
      <c r="J334">
        <v>0</v>
      </c>
      <c r="K334">
        <v>0</v>
      </c>
      <c r="L334">
        <v>0</v>
      </c>
      <c r="M334">
        <v>0</v>
      </c>
      <c r="N334">
        <v>0</v>
      </c>
      <c r="O334">
        <v>0</v>
      </c>
      <c r="Q334">
        <v>0</v>
      </c>
      <c r="R334">
        <v>14</v>
      </c>
      <c r="S334">
        <v>4</v>
      </c>
      <c r="T334">
        <v>41</v>
      </c>
      <c r="U334">
        <v>10.25</v>
      </c>
      <c r="V334">
        <v>0</v>
      </c>
      <c r="Y334">
        <v>4</v>
      </c>
      <c r="Z334">
        <v>8</v>
      </c>
      <c r="AA334">
        <v>8.1</v>
      </c>
      <c r="AB334">
        <v>6.1</v>
      </c>
      <c r="AD334">
        <v>181</v>
      </c>
      <c r="AF334" s="2">
        <f t="shared" si="5"/>
        <v>2</v>
      </c>
    </row>
    <row r="335" spans="1:32" x14ac:dyDescent="0.25">
      <c r="A335">
        <v>495</v>
      </c>
      <c r="B335" t="s">
        <v>119</v>
      </c>
      <c r="C335" t="s">
        <v>3053</v>
      </c>
      <c r="D335" t="s">
        <v>1039</v>
      </c>
      <c r="E335" t="s">
        <v>87</v>
      </c>
      <c r="F335">
        <v>24</v>
      </c>
      <c r="G335">
        <v>1</v>
      </c>
      <c r="H335">
        <v>1</v>
      </c>
      <c r="I335">
        <v>0</v>
      </c>
      <c r="J335">
        <v>0</v>
      </c>
      <c r="K335">
        <v>0</v>
      </c>
      <c r="L335">
        <v>0</v>
      </c>
      <c r="M335">
        <v>0</v>
      </c>
      <c r="N335">
        <v>0</v>
      </c>
      <c r="O335">
        <v>0</v>
      </c>
      <c r="Q335">
        <v>0</v>
      </c>
      <c r="R335">
        <v>1</v>
      </c>
      <c r="S335">
        <v>1</v>
      </c>
      <c r="T335">
        <v>17</v>
      </c>
      <c r="U335">
        <v>17</v>
      </c>
      <c r="V335">
        <v>0</v>
      </c>
      <c r="Y335">
        <v>2</v>
      </c>
      <c r="Z335">
        <v>3</v>
      </c>
      <c r="AA335">
        <v>2.7</v>
      </c>
      <c r="AB335">
        <v>2.2000000000000002</v>
      </c>
      <c r="AD335">
        <v>196</v>
      </c>
      <c r="AF335" s="2">
        <f t="shared" si="5"/>
        <v>2</v>
      </c>
    </row>
    <row r="336" spans="1:32" hidden="1" x14ac:dyDescent="0.25">
      <c r="A336">
        <v>314</v>
      </c>
      <c r="B336" t="s">
        <v>2792</v>
      </c>
      <c r="C336" t="s">
        <v>2793</v>
      </c>
      <c r="D336" t="s">
        <v>1865</v>
      </c>
      <c r="E336" t="s">
        <v>47</v>
      </c>
      <c r="F336">
        <v>24</v>
      </c>
      <c r="G336">
        <v>12</v>
      </c>
      <c r="H336">
        <v>3</v>
      </c>
      <c r="I336">
        <v>0</v>
      </c>
      <c r="J336">
        <v>0</v>
      </c>
      <c r="K336">
        <v>0</v>
      </c>
      <c r="L336">
        <v>0</v>
      </c>
      <c r="M336">
        <v>0</v>
      </c>
      <c r="N336">
        <v>58</v>
      </c>
      <c r="O336">
        <v>157</v>
      </c>
      <c r="P336">
        <v>2.71</v>
      </c>
      <c r="Q336">
        <v>0</v>
      </c>
      <c r="R336">
        <v>13</v>
      </c>
      <c r="S336">
        <v>9</v>
      </c>
      <c r="T336">
        <v>94</v>
      </c>
      <c r="U336">
        <v>10.44</v>
      </c>
      <c r="V336">
        <v>0</v>
      </c>
      <c r="Y336">
        <v>23</v>
      </c>
      <c r="Z336">
        <v>32</v>
      </c>
      <c r="AA336">
        <v>36.1</v>
      </c>
      <c r="AB336">
        <v>27.6</v>
      </c>
      <c r="AD336">
        <v>89</v>
      </c>
      <c r="AF336" s="2">
        <f t="shared" si="5"/>
        <v>1.9166666666666667</v>
      </c>
    </row>
    <row r="337" spans="1:32" x14ac:dyDescent="0.25">
      <c r="A337">
        <v>283</v>
      </c>
      <c r="B337" t="s">
        <v>190</v>
      </c>
      <c r="C337" t="s">
        <v>2754</v>
      </c>
      <c r="D337" t="s">
        <v>1038</v>
      </c>
      <c r="E337" t="s">
        <v>87</v>
      </c>
      <c r="F337">
        <v>27</v>
      </c>
      <c r="G337">
        <v>16</v>
      </c>
      <c r="H337">
        <v>9</v>
      </c>
      <c r="I337">
        <v>0</v>
      </c>
      <c r="J337">
        <v>0</v>
      </c>
      <c r="K337">
        <v>0</v>
      </c>
      <c r="L337">
        <v>0</v>
      </c>
      <c r="M337">
        <v>0</v>
      </c>
      <c r="N337">
        <v>59</v>
      </c>
      <c r="O337">
        <v>270</v>
      </c>
      <c r="P337">
        <v>4.58</v>
      </c>
      <c r="Q337">
        <v>1</v>
      </c>
      <c r="R337">
        <v>22</v>
      </c>
      <c r="S337">
        <v>13</v>
      </c>
      <c r="T337">
        <v>47</v>
      </c>
      <c r="U337">
        <v>3.62</v>
      </c>
      <c r="V337">
        <v>0</v>
      </c>
      <c r="Y337">
        <v>30</v>
      </c>
      <c r="Z337">
        <v>43</v>
      </c>
      <c r="AA337">
        <v>49.7</v>
      </c>
      <c r="AB337">
        <v>36.200000000000003</v>
      </c>
      <c r="AD337">
        <v>113</v>
      </c>
      <c r="AF337" s="2">
        <f t="shared" si="5"/>
        <v>1.875</v>
      </c>
    </row>
    <row r="338" spans="1:32" x14ac:dyDescent="0.25">
      <c r="A338">
        <v>292</v>
      </c>
      <c r="B338" t="s">
        <v>259</v>
      </c>
      <c r="C338" t="s">
        <v>2767</v>
      </c>
      <c r="D338" t="s">
        <v>1831</v>
      </c>
      <c r="E338" t="s">
        <v>87</v>
      </c>
      <c r="F338">
        <v>27</v>
      </c>
      <c r="G338">
        <v>15</v>
      </c>
      <c r="H338">
        <v>3</v>
      </c>
      <c r="I338">
        <v>0</v>
      </c>
      <c r="J338">
        <v>0</v>
      </c>
      <c r="K338">
        <v>0</v>
      </c>
      <c r="L338">
        <v>0</v>
      </c>
      <c r="M338">
        <v>0</v>
      </c>
      <c r="N338">
        <v>2</v>
      </c>
      <c r="O338">
        <v>19</v>
      </c>
      <c r="P338">
        <v>9.5</v>
      </c>
      <c r="Q338">
        <v>0</v>
      </c>
      <c r="R338">
        <v>32</v>
      </c>
      <c r="S338">
        <v>17</v>
      </c>
      <c r="T338">
        <v>202</v>
      </c>
      <c r="U338">
        <v>11.88</v>
      </c>
      <c r="V338">
        <v>1</v>
      </c>
      <c r="Y338">
        <v>28</v>
      </c>
      <c r="Z338">
        <v>45</v>
      </c>
      <c r="AA338">
        <v>48.1</v>
      </c>
      <c r="AB338">
        <v>36.6</v>
      </c>
      <c r="AD338">
        <v>115</v>
      </c>
      <c r="AF338" s="2">
        <f t="shared" si="5"/>
        <v>1.8666666666666667</v>
      </c>
    </row>
    <row r="339" spans="1:32" hidden="1" x14ac:dyDescent="0.25">
      <c r="A339">
        <v>364</v>
      </c>
      <c r="B339" t="s">
        <v>204</v>
      </c>
      <c r="C339" t="s">
        <v>2861</v>
      </c>
      <c r="D339" t="s">
        <v>1834</v>
      </c>
      <c r="E339" t="s">
        <v>47</v>
      </c>
      <c r="F339">
        <v>25</v>
      </c>
      <c r="G339">
        <v>7</v>
      </c>
      <c r="H339">
        <v>7</v>
      </c>
      <c r="I339">
        <v>0</v>
      </c>
      <c r="J339">
        <v>0</v>
      </c>
      <c r="K339">
        <v>0</v>
      </c>
      <c r="L339">
        <v>0</v>
      </c>
      <c r="M339">
        <v>0</v>
      </c>
      <c r="N339">
        <v>37</v>
      </c>
      <c r="O339">
        <v>116</v>
      </c>
      <c r="P339">
        <v>3.14</v>
      </c>
      <c r="Q339">
        <v>0</v>
      </c>
      <c r="R339">
        <v>4</v>
      </c>
      <c r="S339">
        <v>4</v>
      </c>
      <c r="T339">
        <v>16</v>
      </c>
      <c r="U339">
        <v>4</v>
      </c>
      <c r="V339">
        <v>0</v>
      </c>
      <c r="Y339">
        <v>13</v>
      </c>
      <c r="Z339">
        <v>17</v>
      </c>
      <c r="AA339">
        <v>20.2</v>
      </c>
      <c r="AB339">
        <v>15.2</v>
      </c>
      <c r="AD339">
        <v>104</v>
      </c>
      <c r="AF339" s="2">
        <f t="shared" si="5"/>
        <v>1.8571428571428572</v>
      </c>
    </row>
    <row r="340" spans="1:32" hidden="1" x14ac:dyDescent="0.25">
      <c r="A340">
        <v>298</v>
      </c>
      <c r="B340" t="s">
        <v>308</v>
      </c>
      <c r="C340" t="s">
        <v>2774</v>
      </c>
      <c r="D340" t="s">
        <v>1054</v>
      </c>
      <c r="E340" t="s">
        <v>114</v>
      </c>
      <c r="F340">
        <v>25</v>
      </c>
      <c r="G340">
        <v>14</v>
      </c>
      <c r="H340">
        <v>6</v>
      </c>
      <c r="I340">
        <v>0</v>
      </c>
      <c r="J340">
        <v>0</v>
      </c>
      <c r="K340">
        <v>0</v>
      </c>
      <c r="L340">
        <v>0</v>
      </c>
      <c r="M340">
        <v>0</v>
      </c>
      <c r="N340">
        <v>0</v>
      </c>
      <c r="O340">
        <v>0</v>
      </c>
      <c r="Q340">
        <v>0</v>
      </c>
      <c r="R340">
        <v>21</v>
      </c>
      <c r="S340">
        <v>9</v>
      </c>
      <c r="T340">
        <v>142</v>
      </c>
      <c r="U340">
        <v>15.78</v>
      </c>
      <c r="V340">
        <v>2</v>
      </c>
      <c r="Y340">
        <v>26</v>
      </c>
      <c r="Z340">
        <v>35</v>
      </c>
      <c r="AA340">
        <v>38.200000000000003</v>
      </c>
      <c r="AB340">
        <v>30.7</v>
      </c>
      <c r="AD340">
        <v>48</v>
      </c>
      <c r="AF340" s="2">
        <f t="shared" si="5"/>
        <v>1.8571428571428572</v>
      </c>
    </row>
    <row r="341" spans="1:32" x14ac:dyDescent="0.25">
      <c r="A341">
        <v>288</v>
      </c>
      <c r="B341" t="s">
        <v>1472</v>
      </c>
      <c r="C341" t="s">
        <v>2761</v>
      </c>
      <c r="D341" t="s">
        <v>1862</v>
      </c>
      <c r="E341" t="s">
        <v>87</v>
      </c>
      <c r="F341">
        <v>24</v>
      </c>
      <c r="G341">
        <v>16</v>
      </c>
      <c r="H341">
        <v>0</v>
      </c>
      <c r="I341">
        <v>0</v>
      </c>
      <c r="J341">
        <v>0</v>
      </c>
      <c r="K341">
        <v>0</v>
      </c>
      <c r="L341">
        <v>0</v>
      </c>
      <c r="M341">
        <v>0</v>
      </c>
      <c r="N341">
        <v>0</v>
      </c>
      <c r="O341">
        <v>0</v>
      </c>
      <c r="Q341">
        <v>0</v>
      </c>
      <c r="R341">
        <v>22</v>
      </c>
      <c r="S341">
        <v>16</v>
      </c>
      <c r="T341">
        <v>226</v>
      </c>
      <c r="U341">
        <v>14.13</v>
      </c>
      <c r="V341">
        <v>1</v>
      </c>
      <c r="Y341">
        <v>29</v>
      </c>
      <c r="Z341">
        <v>45</v>
      </c>
      <c r="AA341">
        <v>47.6</v>
      </c>
      <c r="AB341">
        <v>36.6</v>
      </c>
      <c r="AD341">
        <v>114</v>
      </c>
      <c r="AF341" s="2">
        <f t="shared" si="5"/>
        <v>1.8125</v>
      </c>
    </row>
    <row r="342" spans="1:32" hidden="1" x14ac:dyDescent="0.25">
      <c r="A342">
        <v>291</v>
      </c>
      <c r="B342" t="s">
        <v>2765</v>
      </c>
      <c r="C342" t="s">
        <v>2766</v>
      </c>
      <c r="D342" t="s">
        <v>1806</v>
      </c>
      <c r="E342" t="s">
        <v>47</v>
      </c>
      <c r="F342">
        <v>24</v>
      </c>
      <c r="G342">
        <v>16</v>
      </c>
      <c r="H342">
        <v>0</v>
      </c>
      <c r="I342">
        <v>0</v>
      </c>
      <c r="J342">
        <v>0</v>
      </c>
      <c r="K342">
        <v>0</v>
      </c>
      <c r="L342">
        <v>0</v>
      </c>
      <c r="M342">
        <v>0</v>
      </c>
      <c r="N342">
        <v>31</v>
      </c>
      <c r="O342">
        <v>124</v>
      </c>
      <c r="P342">
        <v>4</v>
      </c>
      <c r="Q342">
        <v>2</v>
      </c>
      <c r="R342">
        <v>6</v>
      </c>
      <c r="S342">
        <v>4</v>
      </c>
      <c r="T342">
        <v>38</v>
      </c>
      <c r="U342">
        <v>9.5</v>
      </c>
      <c r="V342">
        <v>0</v>
      </c>
      <c r="Y342">
        <v>28</v>
      </c>
      <c r="Z342">
        <v>32</v>
      </c>
      <c r="AA342">
        <v>35.200000000000003</v>
      </c>
      <c r="AB342">
        <v>30.2</v>
      </c>
      <c r="AD342">
        <v>85</v>
      </c>
      <c r="AF342" s="2">
        <f t="shared" si="5"/>
        <v>1.75</v>
      </c>
    </row>
    <row r="343" spans="1:32" hidden="1" x14ac:dyDescent="0.25">
      <c r="A343">
        <v>427</v>
      </c>
      <c r="B343" t="s">
        <v>1147</v>
      </c>
      <c r="C343" t="s">
        <v>2951</v>
      </c>
      <c r="D343" t="s">
        <v>1045</v>
      </c>
      <c r="E343" t="s">
        <v>47</v>
      </c>
      <c r="F343">
        <v>23</v>
      </c>
      <c r="G343">
        <v>4</v>
      </c>
      <c r="H343">
        <v>0</v>
      </c>
      <c r="I343">
        <v>0</v>
      </c>
      <c r="J343">
        <v>0</v>
      </c>
      <c r="K343">
        <v>0</v>
      </c>
      <c r="L343">
        <v>0</v>
      </c>
      <c r="M343">
        <v>0</v>
      </c>
      <c r="N343">
        <v>9</v>
      </c>
      <c r="O343">
        <v>32</v>
      </c>
      <c r="P343">
        <v>3.56</v>
      </c>
      <c r="Q343">
        <v>0</v>
      </c>
      <c r="R343">
        <v>8</v>
      </c>
      <c r="S343">
        <v>6</v>
      </c>
      <c r="T343">
        <v>36</v>
      </c>
      <c r="U343">
        <v>6</v>
      </c>
      <c r="V343">
        <v>0</v>
      </c>
      <c r="Y343">
        <v>7</v>
      </c>
      <c r="Z343">
        <v>13</v>
      </c>
      <c r="AA343">
        <v>12.8</v>
      </c>
      <c r="AB343">
        <v>9.8000000000000007</v>
      </c>
      <c r="AD343">
        <v>120</v>
      </c>
      <c r="AF343" s="2">
        <f t="shared" si="5"/>
        <v>1.75</v>
      </c>
    </row>
    <row r="344" spans="1:32" hidden="1" x14ac:dyDescent="0.25">
      <c r="A344">
        <v>290</v>
      </c>
      <c r="B344" t="s">
        <v>310</v>
      </c>
      <c r="C344" t="s">
        <v>2764</v>
      </c>
      <c r="D344" t="s">
        <v>1037</v>
      </c>
      <c r="E344" t="s">
        <v>114</v>
      </c>
      <c r="F344">
        <v>26</v>
      </c>
      <c r="G344">
        <v>16</v>
      </c>
      <c r="H344">
        <v>7</v>
      </c>
      <c r="I344">
        <v>0</v>
      </c>
      <c r="J344">
        <v>0</v>
      </c>
      <c r="K344">
        <v>0</v>
      </c>
      <c r="L344">
        <v>0</v>
      </c>
      <c r="M344">
        <v>0</v>
      </c>
      <c r="N344">
        <v>0</v>
      </c>
      <c r="O344">
        <v>0</v>
      </c>
      <c r="Q344">
        <v>0</v>
      </c>
      <c r="R344">
        <v>35</v>
      </c>
      <c r="S344">
        <v>18</v>
      </c>
      <c r="T344">
        <v>224</v>
      </c>
      <c r="U344">
        <v>12.44</v>
      </c>
      <c r="V344">
        <v>1</v>
      </c>
      <c r="Y344">
        <v>28</v>
      </c>
      <c r="Z344">
        <v>46</v>
      </c>
      <c r="AA344">
        <v>49.4</v>
      </c>
      <c r="AB344">
        <v>37.4</v>
      </c>
      <c r="AD344">
        <v>45</v>
      </c>
      <c r="AF344" s="2">
        <f t="shared" si="5"/>
        <v>1.75</v>
      </c>
    </row>
    <row r="345" spans="1:32" hidden="1" x14ac:dyDescent="0.25">
      <c r="A345">
        <v>293</v>
      </c>
      <c r="B345" t="s">
        <v>1495</v>
      </c>
      <c r="C345" t="s">
        <v>2768</v>
      </c>
      <c r="D345" t="s">
        <v>1887</v>
      </c>
      <c r="E345" t="s">
        <v>114</v>
      </c>
      <c r="F345">
        <v>22</v>
      </c>
      <c r="G345">
        <v>16</v>
      </c>
      <c r="H345">
        <v>13</v>
      </c>
      <c r="I345">
        <v>0</v>
      </c>
      <c r="J345">
        <v>0</v>
      </c>
      <c r="K345">
        <v>0</v>
      </c>
      <c r="L345">
        <v>0</v>
      </c>
      <c r="M345">
        <v>0</v>
      </c>
      <c r="N345">
        <v>0</v>
      </c>
      <c r="O345">
        <v>0</v>
      </c>
      <c r="Q345">
        <v>0</v>
      </c>
      <c r="R345">
        <v>30</v>
      </c>
      <c r="S345">
        <v>18</v>
      </c>
      <c r="T345">
        <v>157</v>
      </c>
      <c r="U345">
        <v>8.7200000000000006</v>
      </c>
      <c r="V345">
        <v>2</v>
      </c>
      <c r="Y345">
        <v>28</v>
      </c>
      <c r="Z345">
        <v>46</v>
      </c>
      <c r="AA345">
        <v>48.7</v>
      </c>
      <c r="AB345">
        <v>36.700000000000003</v>
      </c>
      <c r="AD345">
        <v>46</v>
      </c>
      <c r="AF345" s="2">
        <f t="shared" si="5"/>
        <v>1.75</v>
      </c>
    </row>
    <row r="346" spans="1:32" x14ac:dyDescent="0.25">
      <c r="A346">
        <v>355</v>
      </c>
      <c r="B346" t="s">
        <v>2846</v>
      </c>
      <c r="C346" t="s">
        <v>2847</v>
      </c>
      <c r="D346" t="s">
        <v>1042</v>
      </c>
      <c r="E346" t="s">
        <v>87</v>
      </c>
      <c r="F346">
        <v>25</v>
      </c>
      <c r="G346">
        <v>8</v>
      </c>
      <c r="H346">
        <v>3</v>
      </c>
      <c r="I346">
        <v>0</v>
      </c>
      <c r="J346">
        <v>0</v>
      </c>
      <c r="K346">
        <v>0</v>
      </c>
      <c r="L346">
        <v>0</v>
      </c>
      <c r="M346">
        <v>0</v>
      </c>
      <c r="N346">
        <v>0</v>
      </c>
      <c r="O346">
        <v>0</v>
      </c>
      <c r="Q346">
        <v>0</v>
      </c>
      <c r="R346">
        <v>15</v>
      </c>
      <c r="S346">
        <v>8</v>
      </c>
      <c r="T346">
        <v>144</v>
      </c>
      <c r="U346">
        <v>18</v>
      </c>
      <c r="V346">
        <v>0</v>
      </c>
      <c r="Y346">
        <v>14</v>
      </c>
      <c r="Z346">
        <v>22</v>
      </c>
      <c r="AA346">
        <v>25.4</v>
      </c>
      <c r="AB346">
        <v>18.399999999999999</v>
      </c>
      <c r="AD346">
        <v>135</v>
      </c>
      <c r="AF346" s="2">
        <f t="shared" si="5"/>
        <v>1.75</v>
      </c>
    </row>
    <row r="347" spans="1:32" hidden="1" x14ac:dyDescent="0.25">
      <c r="A347">
        <v>310</v>
      </c>
      <c r="B347" t="s">
        <v>284</v>
      </c>
      <c r="C347" t="s">
        <v>2788</v>
      </c>
      <c r="D347" t="s">
        <v>1042</v>
      </c>
      <c r="E347" t="s">
        <v>114</v>
      </c>
      <c r="F347">
        <v>26</v>
      </c>
      <c r="G347">
        <v>14</v>
      </c>
      <c r="H347">
        <v>14</v>
      </c>
      <c r="I347">
        <v>0</v>
      </c>
      <c r="J347">
        <v>0</v>
      </c>
      <c r="K347">
        <v>0</v>
      </c>
      <c r="L347">
        <v>0</v>
      </c>
      <c r="M347">
        <v>0</v>
      </c>
      <c r="N347">
        <v>0</v>
      </c>
      <c r="O347">
        <v>0</v>
      </c>
      <c r="Q347">
        <v>0</v>
      </c>
      <c r="R347">
        <v>29</v>
      </c>
      <c r="S347">
        <v>15</v>
      </c>
      <c r="T347">
        <v>180</v>
      </c>
      <c r="U347">
        <v>12</v>
      </c>
      <c r="V347">
        <v>1</v>
      </c>
      <c r="Y347">
        <v>24</v>
      </c>
      <c r="Z347">
        <v>39</v>
      </c>
      <c r="AA347">
        <v>42</v>
      </c>
      <c r="AB347">
        <v>31.5</v>
      </c>
      <c r="AD347">
        <v>52</v>
      </c>
      <c r="AF347" s="2">
        <f t="shared" si="5"/>
        <v>1.7142857142857142</v>
      </c>
    </row>
    <row r="348" spans="1:32" x14ac:dyDescent="0.25">
      <c r="A348">
        <v>296</v>
      </c>
      <c r="B348" t="s">
        <v>361</v>
      </c>
      <c r="C348" t="s">
        <v>2772</v>
      </c>
      <c r="D348" t="s">
        <v>1037</v>
      </c>
      <c r="E348" t="s">
        <v>87</v>
      </c>
      <c r="F348">
        <v>24</v>
      </c>
      <c r="G348">
        <v>16</v>
      </c>
      <c r="H348">
        <v>2</v>
      </c>
      <c r="I348">
        <v>0</v>
      </c>
      <c r="J348">
        <v>0</v>
      </c>
      <c r="K348">
        <v>0</v>
      </c>
      <c r="L348">
        <v>0</v>
      </c>
      <c r="M348">
        <v>0</v>
      </c>
      <c r="N348">
        <v>1</v>
      </c>
      <c r="O348">
        <v>4</v>
      </c>
      <c r="P348">
        <v>4</v>
      </c>
      <c r="Q348">
        <v>0</v>
      </c>
      <c r="R348">
        <v>16</v>
      </c>
      <c r="S348">
        <v>14</v>
      </c>
      <c r="T348">
        <v>143</v>
      </c>
      <c r="U348">
        <v>10.210000000000001</v>
      </c>
      <c r="V348">
        <v>2</v>
      </c>
      <c r="Y348">
        <v>27</v>
      </c>
      <c r="Z348">
        <v>41</v>
      </c>
      <c r="AA348">
        <v>43.7</v>
      </c>
      <c r="AB348">
        <v>33.700000000000003</v>
      </c>
      <c r="AD348">
        <v>117</v>
      </c>
      <c r="AF348" s="2">
        <f t="shared" si="5"/>
        <v>1.6875</v>
      </c>
    </row>
    <row r="349" spans="1:32" hidden="1" x14ac:dyDescent="0.25">
      <c r="A349">
        <v>299</v>
      </c>
      <c r="B349" t="s">
        <v>300</v>
      </c>
      <c r="C349" t="s">
        <v>2775</v>
      </c>
      <c r="D349" t="s">
        <v>2396</v>
      </c>
      <c r="E349" t="s">
        <v>114</v>
      </c>
      <c r="F349">
        <v>29</v>
      </c>
      <c r="G349">
        <v>16</v>
      </c>
      <c r="H349">
        <v>9</v>
      </c>
      <c r="I349">
        <v>0</v>
      </c>
      <c r="J349">
        <v>0</v>
      </c>
      <c r="K349">
        <v>0</v>
      </c>
      <c r="L349">
        <v>0</v>
      </c>
      <c r="M349">
        <v>0</v>
      </c>
      <c r="N349">
        <v>0</v>
      </c>
      <c r="O349">
        <v>0</v>
      </c>
      <c r="Q349">
        <v>0</v>
      </c>
      <c r="R349">
        <v>35</v>
      </c>
      <c r="S349">
        <v>18</v>
      </c>
      <c r="T349">
        <v>203</v>
      </c>
      <c r="U349">
        <v>11.28</v>
      </c>
      <c r="V349">
        <v>1</v>
      </c>
      <c r="Y349">
        <v>26</v>
      </c>
      <c r="Z349">
        <v>44</v>
      </c>
      <c r="AA349">
        <v>47.3</v>
      </c>
      <c r="AB349">
        <v>35.299999999999997</v>
      </c>
      <c r="AD349">
        <v>47</v>
      </c>
      <c r="AF349" s="2">
        <f t="shared" si="5"/>
        <v>1.625</v>
      </c>
    </row>
    <row r="350" spans="1:32" x14ac:dyDescent="0.25">
      <c r="A350">
        <v>361</v>
      </c>
      <c r="B350" t="s">
        <v>2856</v>
      </c>
      <c r="C350" t="s">
        <v>2857</v>
      </c>
      <c r="D350" t="s">
        <v>1831</v>
      </c>
      <c r="E350" t="s">
        <v>87</v>
      </c>
      <c r="F350">
        <v>27</v>
      </c>
      <c r="G350">
        <v>8</v>
      </c>
      <c r="H350">
        <v>1</v>
      </c>
      <c r="I350">
        <v>0</v>
      </c>
      <c r="J350">
        <v>0</v>
      </c>
      <c r="K350">
        <v>0</v>
      </c>
      <c r="L350">
        <v>0</v>
      </c>
      <c r="M350">
        <v>0</v>
      </c>
      <c r="N350">
        <v>0</v>
      </c>
      <c r="O350">
        <v>0</v>
      </c>
      <c r="Q350">
        <v>0</v>
      </c>
      <c r="R350">
        <v>14</v>
      </c>
      <c r="S350">
        <v>8</v>
      </c>
      <c r="T350">
        <v>128</v>
      </c>
      <c r="U350">
        <v>16</v>
      </c>
      <c r="V350">
        <v>0</v>
      </c>
      <c r="Y350">
        <v>13</v>
      </c>
      <c r="Z350">
        <v>21</v>
      </c>
      <c r="AA350">
        <v>23.8</v>
      </c>
      <c r="AB350">
        <v>16.8</v>
      </c>
      <c r="AD350">
        <v>142</v>
      </c>
      <c r="AF350" s="2">
        <f t="shared" si="5"/>
        <v>1.625</v>
      </c>
    </row>
    <row r="351" spans="1:32" x14ac:dyDescent="0.25">
      <c r="A351">
        <v>340</v>
      </c>
      <c r="B351" t="s">
        <v>1560</v>
      </c>
      <c r="C351" t="s">
        <v>2827</v>
      </c>
      <c r="D351" t="s">
        <v>1039</v>
      </c>
      <c r="E351" t="s">
        <v>87</v>
      </c>
      <c r="F351">
        <v>23</v>
      </c>
      <c r="G351">
        <v>10</v>
      </c>
      <c r="H351">
        <v>0</v>
      </c>
      <c r="I351">
        <v>0</v>
      </c>
      <c r="J351">
        <v>0</v>
      </c>
      <c r="K351">
        <v>0</v>
      </c>
      <c r="L351">
        <v>0</v>
      </c>
      <c r="M351">
        <v>0</v>
      </c>
      <c r="N351">
        <v>0</v>
      </c>
      <c r="O351">
        <v>0</v>
      </c>
      <c r="Q351">
        <v>0</v>
      </c>
      <c r="R351">
        <v>11</v>
      </c>
      <c r="S351">
        <v>6</v>
      </c>
      <c r="T351">
        <v>77</v>
      </c>
      <c r="U351">
        <v>12.83</v>
      </c>
      <c r="V351">
        <v>2</v>
      </c>
      <c r="Y351">
        <v>16</v>
      </c>
      <c r="Z351">
        <v>22</v>
      </c>
      <c r="AA351">
        <v>29.7</v>
      </c>
      <c r="AB351">
        <v>24.7</v>
      </c>
      <c r="AD351">
        <v>133</v>
      </c>
      <c r="AF351" s="2">
        <f t="shared" si="5"/>
        <v>1.6</v>
      </c>
    </row>
    <row r="352" spans="1:32" hidden="1" x14ac:dyDescent="0.25">
      <c r="A352">
        <v>302</v>
      </c>
      <c r="B352" t="s">
        <v>267</v>
      </c>
      <c r="C352" t="s">
        <v>2779</v>
      </c>
      <c r="D352" t="s">
        <v>1054</v>
      </c>
      <c r="E352" t="s">
        <v>114</v>
      </c>
      <c r="F352">
        <v>29</v>
      </c>
      <c r="G352">
        <v>16</v>
      </c>
      <c r="H352">
        <v>16</v>
      </c>
      <c r="I352">
        <v>0</v>
      </c>
      <c r="J352">
        <v>0</v>
      </c>
      <c r="K352">
        <v>0</v>
      </c>
      <c r="L352">
        <v>0</v>
      </c>
      <c r="M352">
        <v>0</v>
      </c>
      <c r="N352">
        <v>0</v>
      </c>
      <c r="O352">
        <v>0</v>
      </c>
      <c r="Q352">
        <v>0</v>
      </c>
      <c r="R352">
        <v>22</v>
      </c>
      <c r="S352">
        <v>14</v>
      </c>
      <c r="T352">
        <v>191</v>
      </c>
      <c r="U352">
        <v>13.64</v>
      </c>
      <c r="V352">
        <v>1</v>
      </c>
      <c r="Y352">
        <v>25</v>
      </c>
      <c r="Z352">
        <v>39</v>
      </c>
      <c r="AA352">
        <v>42.1</v>
      </c>
      <c r="AB352">
        <v>32.1</v>
      </c>
      <c r="AD352">
        <v>50</v>
      </c>
      <c r="AF352" s="2">
        <f t="shared" si="5"/>
        <v>1.5625</v>
      </c>
    </row>
    <row r="353" spans="1:32" x14ac:dyDescent="0.25">
      <c r="A353">
        <v>311</v>
      </c>
      <c r="B353" t="s">
        <v>271</v>
      </c>
      <c r="C353" t="s">
        <v>2789</v>
      </c>
      <c r="D353" t="s">
        <v>2396</v>
      </c>
      <c r="E353" t="s">
        <v>87</v>
      </c>
      <c r="F353">
        <v>23</v>
      </c>
      <c r="G353">
        <v>15</v>
      </c>
      <c r="H353">
        <v>2</v>
      </c>
      <c r="I353">
        <v>0</v>
      </c>
      <c r="J353">
        <v>0</v>
      </c>
      <c r="K353">
        <v>0</v>
      </c>
      <c r="L353">
        <v>0</v>
      </c>
      <c r="M353">
        <v>0</v>
      </c>
      <c r="N353">
        <v>0</v>
      </c>
      <c r="O353">
        <v>0</v>
      </c>
      <c r="Q353">
        <v>0</v>
      </c>
      <c r="R353">
        <v>39</v>
      </c>
      <c r="S353">
        <v>23</v>
      </c>
      <c r="T353">
        <v>253</v>
      </c>
      <c r="U353">
        <v>11</v>
      </c>
      <c r="V353">
        <v>0</v>
      </c>
      <c r="Y353">
        <v>23</v>
      </c>
      <c r="Z353">
        <v>46</v>
      </c>
      <c r="AA353">
        <v>50.3</v>
      </c>
      <c r="AB353">
        <v>34.799999999999997</v>
      </c>
      <c r="AD353">
        <v>122</v>
      </c>
      <c r="AF353" s="2">
        <f t="shared" si="5"/>
        <v>1.5333333333333334</v>
      </c>
    </row>
    <row r="354" spans="1:32" x14ac:dyDescent="0.25">
      <c r="A354">
        <v>307</v>
      </c>
      <c r="B354" t="s">
        <v>346</v>
      </c>
      <c r="C354" t="s">
        <v>2785</v>
      </c>
      <c r="D354" t="s">
        <v>1834</v>
      </c>
      <c r="E354" t="s">
        <v>87</v>
      </c>
      <c r="F354">
        <v>25</v>
      </c>
      <c r="G354">
        <v>16</v>
      </c>
      <c r="H354">
        <v>0</v>
      </c>
      <c r="I354">
        <v>0</v>
      </c>
      <c r="J354">
        <v>0</v>
      </c>
      <c r="K354">
        <v>0</v>
      </c>
      <c r="L354">
        <v>0</v>
      </c>
      <c r="M354">
        <v>0</v>
      </c>
      <c r="N354">
        <v>5</v>
      </c>
      <c r="O354">
        <v>16</v>
      </c>
      <c r="P354">
        <v>3.2</v>
      </c>
      <c r="Q354">
        <v>0</v>
      </c>
      <c r="R354">
        <v>16</v>
      </c>
      <c r="S354">
        <v>12</v>
      </c>
      <c r="T354">
        <v>180</v>
      </c>
      <c r="U354">
        <v>15</v>
      </c>
      <c r="V354">
        <v>1</v>
      </c>
      <c r="Y354">
        <v>24</v>
      </c>
      <c r="Z354">
        <v>36</v>
      </c>
      <c r="AA354">
        <v>39.6</v>
      </c>
      <c r="AB354">
        <v>29.6</v>
      </c>
      <c r="AD354">
        <v>121</v>
      </c>
      <c r="AF354" s="2">
        <f t="shared" si="5"/>
        <v>1.5</v>
      </c>
    </row>
    <row r="355" spans="1:32" x14ac:dyDescent="0.25">
      <c r="A355">
        <v>370</v>
      </c>
      <c r="B355" t="s">
        <v>1594</v>
      </c>
      <c r="C355" t="s">
        <v>2869</v>
      </c>
      <c r="D355" t="s">
        <v>1052</v>
      </c>
      <c r="E355" t="s">
        <v>87</v>
      </c>
      <c r="F355">
        <v>24</v>
      </c>
      <c r="G355">
        <v>8</v>
      </c>
      <c r="H355">
        <v>0</v>
      </c>
      <c r="I355">
        <v>0</v>
      </c>
      <c r="J355">
        <v>0</v>
      </c>
      <c r="K355">
        <v>0</v>
      </c>
      <c r="L355">
        <v>0</v>
      </c>
      <c r="M355">
        <v>0</v>
      </c>
      <c r="N355">
        <v>0</v>
      </c>
      <c r="O355">
        <v>0</v>
      </c>
      <c r="Q355">
        <v>0</v>
      </c>
      <c r="R355">
        <v>9</v>
      </c>
      <c r="S355">
        <v>2</v>
      </c>
      <c r="T355">
        <v>60</v>
      </c>
      <c r="U355">
        <v>30</v>
      </c>
      <c r="V355">
        <v>1</v>
      </c>
      <c r="Y355">
        <v>12</v>
      </c>
      <c r="Z355">
        <v>14</v>
      </c>
      <c r="AA355">
        <v>14</v>
      </c>
      <c r="AB355">
        <v>13</v>
      </c>
      <c r="AD355">
        <v>145</v>
      </c>
      <c r="AF355" s="2">
        <f t="shared" si="5"/>
        <v>1.5</v>
      </c>
    </row>
    <row r="356" spans="1:32" x14ac:dyDescent="0.25">
      <c r="A356">
        <v>472</v>
      </c>
      <c r="B356" t="s">
        <v>3018</v>
      </c>
      <c r="C356" t="s">
        <v>3019</v>
      </c>
      <c r="D356" t="s">
        <v>1872</v>
      </c>
      <c r="E356" t="s">
        <v>87</v>
      </c>
      <c r="F356">
        <v>26</v>
      </c>
      <c r="G356">
        <v>2</v>
      </c>
      <c r="H356">
        <v>0</v>
      </c>
      <c r="I356">
        <v>0</v>
      </c>
      <c r="J356">
        <v>0</v>
      </c>
      <c r="K356">
        <v>0</v>
      </c>
      <c r="L356">
        <v>0</v>
      </c>
      <c r="M356">
        <v>0</v>
      </c>
      <c r="N356">
        <v>0</v>
      </c>
      <c r="O356">
        <v>0</v>
      </c>
      <c r="Q356">
        <v>0</v>
      </c>
      <c r="R356">
        <v>1</v>
      </c>
      <c r="S356">
        <v>1</v>
      </c>
      <c r="T356">
        <v>26</v>
      </c>
      <c r="U356">
        <v>26</v>
      </c>
      <c r="V356">
        <v>0</v>
      </c>
      <c r="Y356">
        <v>3</v>
      </c>
      <c r="Z356">
        <v>4</v>
      </c>
      <c r="AA356">
        <v>3.6</v>
      </c>
      <c r="AB356">
        <v>3.1</v>
      </c>
      <c r="AD356">
        <v>189</v>
      </c>
      <c r="AF356" s="2">
        <f t="shared" si="5"/>
        <v>1.5</v>
      </c>
    </row>
    <row r="357" spans="1:32" hidden="1" x14ac:dyDescent="0.25">
      <c r="A357">
        <v>315</v>
      </c>
      <c r="B357" t="s">
        <v>386</v>
      </c>
      <c r="C357" t="s">
        <v>2794</v>
      </c>
      <c r="D357" t="s">
        <v>1890</v>
      </c>
      <c r="E357" t="s">
        <v>114</v>
      </c>
      <c r="F357">
        <v>24</v>
      </c>
      <c r="G357">
        <v>15</v>
      </c>
      <c r="H357">
        <v>11</v>
      </c>
      <c r="I357">
        <v>0</v>
      </c>
      <c r="J357">
        <v>0</v>
      </c>
      <c r="K357">
        <v>0</v>
      </c>
      <c r="L357">
        <v>0</v>
      </c>
      <c r="M357">
        <v>0</v>
      </c>
      <c r="N357">
        <v>0</v>
      </c>
      <c r="O357">
        <v>0</v>
      </c>
      <c r="Q357">
        <v>0</v>
      </c>
      <c r="R357">
        <v>37</v>
      </c>
      <c r="S357">
        <v>28</v>
      </c>
      <c r="T357">
        <v>203</v>
      </c>
      <c r="U357">
        <v>7.25</v>
      </c>
      <c r="V357">
        <v>0</v>
      </c>
      <c r="W357">
        <v>1</v>
      </c>
      <c r="Y357">
        <v>22</v>
      </c>
      <c r="Z357">
        <v>50</v>
      </c>
      <c r="AA357">
        <v>53.3</v>
      </c>
      <c r="AB357">
        <v>36.299999999999997</v>
      </c>
      <c r="AD357">
        <v>54</v>
      </c>
      <c r="AF357" s="2">
        <f t="shared" si="5"/>
        <v>1.4666666666666666</v>
      </c>
    </row>
    <row r="358" spans="1:32" hidden="1" x14ac:dyDescent="0.25">
      <c r="A358">
        <v>318</v>
      </c>
      <c r="B358" t="s">
        <v>295</v>
      </c>
      <c r="C358" t="s">
        <v>2799</v>
      </c>
      <c r="D358" t="s">
        <v>2396</v>
      </c>
      <c r="E358" t="s">
        <v>114</v>
      </c>
      <c r="F358">
        <v>25</v>
      </c>
      <c r="G358">
        <v>15</v>
      </c>
      <c r="H358">
        <v>1</v>
      </c>
      <c r="I358">
        <v>0</v>
      </c>
      <c r="J358">
        <v>0</v>
      </c>
      <c r="K358">
        <v>0</v>
      </c>
      <c r="L358">
        <v>0</v>
      </c>
      <c r="M358">
        <v>0</v>
      </c>
      <c r="N358">
        <v>0</v>
      </c>
      <c r="O358">
        <v>0</v>
      </c>
      <c r="Q358">
        <v>0</v>
      </c>
      <c r="R358">
        <v>19</v>
      </c>
      <c r="S358">
        <v>12</v>
      </c>
      <c r="T358">
        <v>160</v>
      </c>
      <c r="U358">
        <v>13.33</v>
      </c>
      <c r="V358">
        <v>1</v>
      </c>
      <c r="Y358">
        <v>22</v>
      </c>
      <c r="Z358">
        <v>34</v>
      </c>
      <c r="AA358">
        <v>37</v>
      </c>
      <c r="AB358">
        <v>28</v>
      </c>
      <c r="AD358">
        <v>55</v>
      </c>
      <c r="AF358" s="2">
        <f t="shared" si="5"/>
        <v>1.4666666666666666</v>
      </c>
    </row>
    <row r="359" spans="1:32" hidden="1" x14ac:dyDescent="0.25">
      <c r="A359">
        <v>312</v>
      </c>
      <c r="B359" t="s">
        <v>1600</v>
      </c>
      <c r="C359" t="s">
        <v>2790</v>
      </c>
      <c r="D359" t="s">
        <v>1039</v>
      </c>
      <c r="E359" t="s">
        <v>47</v>
      </c>
      <c r="F359">
        <v>27</v>
      </c>
      <c r="G359">
        <v>16</v>
      </c>
      <c r="H359">
        <v>10</v>
      </c>
      <c r="I359">
        <v>0</v>
      </c>
      <c r="J359">
        <v>0</v>
      </c>
      <c r="K359">
        <v>0</v>
      </c>
      <c r="L359">
        <v>0</v>
      </c>
      <c r="M359">
        <v>0</v>
      </c>
      <c r="N359">
        <v>5</v>
      </c>
      <c r="O359">
        <v>5</v>
      </c>
      <c r="P359">
        <v>1</v>
      </c>
      <c r="Q359">
        <v>2</v>
      </c>
      <c r="R359">
        <v>11</v>
      </c>
      <c r="S359">
        <v>6</v>
      </c>
      <c r="T359">
        <v>43</v>
      </c>
      <c r="U359">
        <v>7.17</v>
      </c>
      <c r="V359">
        <v>1</v>
      </c>
      <c r="Y359">
        <v>23</v>
      </c>
      <c r="Z359">
        <v>29</v>
      </c>
      <c r="AA359">
        <v>28.8</v>
      </c>
      <c r="AB359">
        <v>25.8</v>
      </c>
      <c r="AD359">
        <v>90</v>
      </c>
      <c r="AF359" s="2">
        <f t="shared" si="5"/>
        <v>1.4375</v>
      </c>
    </row>
    <row r="360" spans="1:32" x14ac:dyDescent="0.25">
      <c r="A360">
        <v>390</v>
      </c>
      <c r="B360" t="s">
        <v>2897</v>
      </c>
      <c r="C360" t="s">
        <v>2898</v>
      </c>
      <c r="D360" t="s">
        <v>1811</v>
      </c>
      <c r="E360" t="s">
        <v>87</v>
      </c>
      <c r="F360">
        <v>22</v>
      </c>
      <c r="G360">
        <v>7</v>
      </c>
      <c r="H360">
        <v>1</v>
      </c>
      <c r="I360">
        <v>0</v>
      </c>
      <c r="J360">
        <v>0</v>
      </c>
      <c r="K360">
        <v>0</v>
      </c>
      <c r="L360">
        <v>0</v>
      </c>
      <c r="M360">
        <v>0</v>
      </c>
      <c r="N360">
        <v>0</v>
      </c>
      <c r="O360">
        <v>0</v>
      </c>
      <c r="Q360">
        <v>0</v>
      </c>
      <c r="R360">
        <v>21</v>
      </c>
      <c r="S360">
        <v>8</v>
      </c>
      <c r="T360">
        <v>101</v>
      </c>
      <c r="U360">
        <v>12.63</v>
      </c>
      <c r="V360">
        <v>0</v>
      </c>
      <c r="Y360">
        <v>10</v>
      </c>
      <c r="Z360">
        <v>18</v>
      </c>
      <c r="AA360">
        <v>21.1</v>
      </c>
      <c r="AB360">
        <v>14.1</v>
      </c>
      <c r="AD360">
        <v>148</v>
      </c>
      <c r="AF360" s="2">
        <f t="shared" si="5"/>
        <v>1.4285714285714286</v>
      </c>
    </row>
    <row r="361" spans="1:32" hidden="1" x14ac:dyDescent="0.25">
      <c r="A361">
        <v>394</v>
      </c>
      <c r="B361" t="s">
        <v>2904</v>
      </c>
      <c r="C361" t="s">
        <v>2905</v>
      </c>
      <c r="D361" t="s">
        <v>1054</v>
      </c>
      <c r="E361" t="s">
        <v>114</v>
      </c>
      <c r="F361">
        <v>24</v>
      </c>
      <c r="G361">
        <v>7</v>
      </c>
      <c r="H361">
        <v>3</v>
      </c>
      <c r="I361">
        <v>0</v>
      </c>
      <c r="J361">
        <v>0</v>
      </c>
      <c r="K361">
        <v>0</v>
      </c>
      <c r="L361">
        <v>0</v>
      </c>
      <c r="M361">
        <v>0</v>
      </c>
      <c r="N361">
        <v>0</v>
      </c>
      <c r="O361">
        <v>0</v>
      </c>
      <c r="Q361">
        <v>0</v>
      </c>
      <c r="R361">
        <v>13</v>
      </c>
      <c r="S361">
        <v>8</v>
      </c>
      <c r="T361">
        <v>100</v>
      </c>
      <c r="U361">
        <v>12.5</v>
      </c>
      <c r="V361">
        <v>0</v>
      </c>
      <c r="Y361">
        <v>10</v>
      </c>
      <c r="Z361">
        <v>18</v>
      </c>
      <c r="AA361">
        <v>21</v>
      </c>
      <c r="AB361">
        <v>14</v>
      </c>
      <c r="AD361">
        <v>72</v>
      </c>
      <c r="AF361" s="2">
        <f t="shared" si="5"/>
        <v>1.4285714285714286</v>
      </c>
    </row>
    <row r="362" spans="1:32" x14ac:dyDescent="0.25">
      <c r="A362">
        <v>359</v>
      </c>
      <c r="B362" t="s">
        <v>335</v>
      </c>
      <c r="C362" t="s">
        <v>2853</v>
      </c>
      <c r="D362" t="s">
        <v>1054</v>
      </c>
      <c r="E362" t="s">
        <v>87</v>
      </c>
      <c r="F362">
        <v>25</v>
      </c>
      <c r="G362">
        <v>10</v>
      </c>
      <c r="H362">
        <v>2</v>
      </c>
      <c r="I362">
        <v>0</v>
      </c>
      <c r="J362">
        <v>0</v>
      </c>
      <c r="K362">
        <v>0</v>
      </c>
      <c r="L362">
        <v>0</v>
      </c>
      <c r="M362">
        <v>0</v>
      </c>
      <c r="N362">
        <v>0</v>
      </c>
      <c r="O362">
        <v>0</v>
      </c>
      <c r="Q362">
        <v>0</v>
      </c>
      <c r="R362">
        <v>20</v>
      </c>
      <c r="S362">
        <v>13</v>
      </c>
      <c r="T362">
        <v>142</v>
      </c>
      <c r="U362">
        <v>10.92</v>
      </c>
      <c r="V362">
        <v>0</v>
      </c>
      <c r="Y362">
        <v>14</v>
      </c>
      <c r="Z362">
        <v>27</v>
      </c>
      <c r="AA362">
        <v>30.2</v>
      </c>
      <c r="AB362">
        <v>20.7</v>
      </c>
      <c r="AD362">
        <v>136</v>
      </c>
      <c r="AF362" s="2">
        <f t="shared" si="5"/>
        <v>1.4</v>
      </c>
    </row>
    <row r="363" spans="1:32" hidden="1" x14ac:dyDescent="0.25">
      <c r="A363">
        <v>379</v>
      </c>
      <c r="B363" t="s">
        <v>2883</v>
      </c>
      <c r="C363" t="s">
        <v>2884</v>
      </c>
      <c r="D363" t="s">
        <v>1041</v>
      </c>
      <c r="E363" t="s">
        <v>47</v>
      </c>
      <c r="F363">
        <v>26</v>
      </c>
      <c r="G363">
        <v>8</v>
      </c>
      <c r="H363">
        <v>0</v>
      </c>
      <c r="I363">
        <v>0</v>
      </c>
      <c r="J363">
        <v>0</v>
      </c>
      <c r="K363">
        <v>0</v>
      </c>
      <c r="L363">
        <v>0</v>
      </c>
      <c r="M363">
        <v>0</v>
      </c>
      <c r="N363">
        <v>35</v>
      </c>
      <c r="O363">
        <v>83</v>
      </c>
      <c r="P363">
        <v>2.37</v>
      </c>
      <c r="Q363">
        <v>0</v>
      </c>
      <c r="R363">
        <v>11</v>
      </c>
      <c r="S363">
        <v>6</v>
      </c>
      <c r="T363">
        <v>26</v>
      </c>
      <c r="U363">
        <v>4.33</v>
      </c>
      <c r="V363">
        <v>0</v>
      </c>
      <c r="Y363">
        <v>11</v>
      </c>
      <c r="Z363">
        <v>17</v>
      </c>
      <c r="AA363">
        <v>16.899999999999999</v>
      </c>
      <c r="AB363">
        <v>13.9</v>
      </c>
      <c r="AD363">
        <v>112</v>
      </c>
      <c r="AF363" s="2">
        <f t="shared" si="5"/>
        <v>1.375</v>
      </c>
    </row>
    <row r="364" spans="1:32" x14ac:dyDescent="0.25">
      <c r="A364">
        <v>326</v>
      </c>
      <c r="B364" t="s">
        <v>2808</v>
      </c>
      <c r="C364" t="s">
        <v>2809</v>
      </c>
      <c r="D364" t="s">
        <v>1040</v>
      </c>
      <c r="E364" t="s">
        <v>87</v>
      </c>
      <c r="F364">
        <v>25</v>
      </c>
      <c r="G364">
        <v>14</v>
      </c>
      <c r="H364">
        <v>4</v>
      </c>
      <c r="I364">
        <v>0</v>
      </c>
      <c r="J364">
        <v>0</v>
      </c>
      <c r="K364">
        <v>0</v>
      </c>
      <c r="L364">
        <v>0</v>
      </c>
      <c r="M364">
        <v>0</v>
      </c>
      <c r="N364">
        <v>0</v>
      </c>
      <c r="O364">
        <v>0</v>
      </c>
      <c r="Q364">
        <v>0</v>
      </c>
      <c r="R364">
        <v>36</v>
      </c>
      <c r="S364">
        <v>18</v>
      </c>
      <c r="T364">
        <v>149</v>
      </c>
      <c r="U364">
        <v>8.2799999999999994</v>
      </c>
      <c r="V364">
        <v>1</v>
      </c>
      <c r="Y364">
        <v>19</v>
      </c>
      <c r="Z364">
        <v>37</v>
      </c>
      <c r="AA364">
        <v>40.9</v>
      </c>
      <c r="AB364">
        <v>27.9</v>
      </c>
      <c r="AD364">
        <v>127</v>
      </c>
      <c r="AF364" s="2">
        <f t="shared" si="5"/>
        <v>1.3571428571428572</v>
      </c>
    </row>
    <row r="365" spans="1:32" x14ac:dyDescent="0.25">
      <c r="A365">
        <v>321</v>
      </c>
      <c r="B365" t="s">
        <v>243</v>
      </c>
      <c r="C365" t="s">
        <v>2802</v>
      </c>
      <c r="D365" t="s">
        <v>1049</v>
      </c>
      <c r="E365" t="s">
        <v>87</v>
      </c>
      <c r="F365">
        <v>24</v>
      </c>
      <c r="G365">
        <v>15</v>
      </c>
      <c r="H365">
        <v>2</v>
      </c>
      <c r="I365">
        <v>0</v>
      </c>
      <c r="J365">
        <v>0</v>
      </c>
      <c r="K365">
        <v>0</v>
      </c>
      <c r="L365">
        <v>0</v>
      </c>
      <c r="M365">
        <v>0</v>
      </c>
      <c r="N365">
        <v>1</v>
      </c>
      <c r="O365">
        <v>7</v>
      </c>
      <c r="P365">
        <v>7</v>
      </c>
      <c r="Q365">
        <v>0</v>
      </c>
      <c r="R365">
        <v>18</v>
      </c>
      <c r="S365">
        <v>12</v>
      </c>
      <c r="T365">
        <v>194</v>
      </c>
      <c r="U365">
        <v>16.170000000000002</v>
      </c>
      <c r="V365">
        <v>0</v>
      </c>
      <c r="Y365">
        <v>20</v>
      </c>
      <c r="Z365">
        <v>32</v>
      </c>
      <c r="AA365">
        <v>35.1</v>
      </c>
      <c r="AB365">
        <v>26.1</v>
      </c>
      <c r="AD365">
        <v>125</v>
      </c>
      <c r="AF365" s="2">
        <f t="shared" si="5"/>
        <v>1.3333333333333333</v>
      </c>
    </row>
    <row r="366" spans="1:32" hidden="1" x14ac:dyDescent="0.25">
      <c r="A366">
        <v>463</v>
      </c>
      <c r="B366" t="s">
        <v>3007</v>
      </c>
      <c r="C366" t="s">
        <v>3008</v>
      </c>
      <c r="D366" t="s">
        <v>1935</v>
      </c>
      <c r="E366" t="s">
        <v>114</v>
      </c>
      <c r="F366">
        <v>26</v>
      </c>
      <c r="G366">
        <v>3</v>
      </c>
      <c r="H366">
        <v>1</v>
      </c>
      <c r="I366">
        <v>0</v>
      </c>
      <c r="J366">
        <v>0</v>
      </c>
      <c r="K366">
        <v>0</v>
      </c>
      <c r="L366">
        <v>0</v>
      </c>
      <c r="M366">
        <v>0</v>
      </c>
      <c r="N366">
        <v>0</v>
      </c>
      <c r="O366">
        <v>0</v>
      </c>
      <c r="Q366">
        <v>0</v>
      </c>
      <c r="R366">
        <v>6</v>
      </c>
      <c r="S366">
        <v>4</v>
      </c>
      <c r="T366">
        <v>38</v>
      </c>
      <c r="U366">
        <v>9.5</v>
      </c>
      <c r="V366">
        <v>0</v>
      </c>
      <c r="Y366">
        <v>4</v>
      </c>
      <c r="Z366">
        <v>8</v>
      </c>
      <c r="AA366">
        <v>7.8</v>
      </c>
      <c r="AB366">
        <v>5.8</v>
      </c>
      <c r="AD366">
        <v>88</v>
      </c>
      <c r="AF366" s="2">
        <f t="shared" si="5"/>
        <v>1.3333333333333333</v>
      </c>
    </row>
    <row r="367" spans="1:32" hidden="1" x14ac:dyDescent="0.25">
      <c r="A367">
        <v>319</v>
      </c>
      <c r="B367" t="s">
        <v>358</v>
      </c>
      <c r="C367" t="s">
        <v>2800</v>
      </c>
      <c r="D367" t="s">
        <v>1039</v>
      </c>
      <c r="E367" t="s">
        <v>114</v>
      </c>
      <c r="F367">
        <v>25</v>
      </c>
      <c r="G367">
        <v>16</v>
      </c>
      <c r="H367">
        <v>1</v>
      </c>
      <c r="I367">
        <v>0</v>
      </c>
      <c r="J367">
        <v>0</v>
      </c>
      <c r="K367">
        <v>0</v>
      </c>
      <c r="L367">
        <v>0</v>
      </c>
      <c r="M367">
        <v>0</v>
      </c>
      <c r="N367">
        <v>0</v>
      </c>
      <c r="O367">
        <v>0</v>
      </c>
      <c r="Q367">
        <v>0</v>
      </c>
      <c r="R367">
        <v>24</v>
      </c>
      <c r="S367">
        <v>14</v>
      </c>
      <c r="T367">
        <v>149</v>
      </c>
      <c r="U367">
        <v>10.64</v>
      </c>
      <c r="V367">
        <v>1</v>
      </c>
      <c r="Y367">
        <v>21</v>
      </c>
      <c r="Z367">
        <v>35</v>
      </c>
      <c r="AA367">
        <v>37.9</v>
      </c>
      <c r="AB367">
        <v>27.9</v>
      </c>
      <c r="AD367">
        <v>56</v>
      </c>
      <c r="AF367" s="2">
        <f t="shared" si="5"/>
        <v>1.3125</v>
      </c>
    </row>
    <row r="368" spans="1:32" x14ac:dyDescent="0.25">
      <c r="A368">
        <v>320</v>
      </c>
      <c r="B368" t="s">
        <v>341</v>
      </c>
      <c r="C368" t="s">
        <v>2801</v>
      </c>
      <c r="D368" t="s">
        <v>1037</v>
      </c>
      <c r="E368" t="s">
        <v>87</v>
      </c>
      <c r="F368">
        <v>23</v>
      </c>
      <c r="G368">
        <v>16</v>
      </c>
      <c r="H368">
        <v>8</v>
      </c>
      <c r="I368">
        <v>0</v>
      </c>
      <c r="J368">
        <v>0</v>
      </c>
      <c r="K368">
        <v>0</v>
      </c>
      <c r="L368">
        <v>0</v>
      </c>
      <c r="M368">
        <v>0</v>
      </c>
      <c r="N368">
        <v>0</v>
      </c>
      <c r="O368">
        <v>0</v>
      </c>
      <c r="Q368">
        <v>0</v>
      </c>
      <c r="R368">
        <v>39</v>
      </c>
      <c r="S368">
        <v>21</v>
      </c>
      <c r="T368">
        <v>212</v>
      </c>
      <c r="U368">
        <v>10.1</v>
      </c>
      <c r="V368">
        <v>0</v>
      </c>
      <c r="Y368">
        <v>21</v>
      </c>
      <c r="Z368">
        <v>42</v>
      </c>
      <c r="AA368">
        <v>45.2</v>
      </c>
      <c r="AB368">
        <v>31.7</v>
      </c>
      <c r="AD368">
        <v>124</v>
      </c>
      <c r="AF368" s="2">
        <f t="shared" si="5"/>
        <v>1.3125</v>
      </c>
    </row>
    <row r="369" spans="1:32" hidden="1" x14ac:dyDescent="0.25">
      <c r="A369">
        <v>333</v>
      </c>
      <c r="B369" t="s">
        <v>2817</v>
      </c>
      <c r="C369" t="s">
        <v>2818</v>
      </c>
      <c r="D369" t="s">
        <v>1862</v>
      </c>
      <c r="E369" t="s">
        <v>47</v>
      </c>
      <c r="F369">
        <v>27</v>
      </c>
      <c r="G369">
        <v>13</v>
      </c>
      <c r="H369">
        <v>1</v>
      </c>
      <c r="I369">
        <v>0</v>
      </c>
      <c r="J369">
        <v>0</v>
      </c>
      <c r="K369">
        <v>0</v>
      </c>
      <c r="L369">
        <v>0</v>
      </c>
      <c r="M369">
        <v>0</v>
      </c>
      <c r="N369">
        <v>16</v>
      </c>
      <c r="O369">
        <v>57</v>
      </c>
      <c r="P369">
        <v>3.56</v>
      </c>
      <c r="Q369">
        <v>1</v>
      </c>
      <c r="R369">
        <v>8</v>
      </c>
      <c r="S369">
        <v>5</v>
      </c>
      <c r="T369">
        <v>56</v>
      </c>
      <c r="U369">
        <v>11.2</v>
      </c>
      <c r="V369">
        <v>0</v>
      </c>
      <c r="Y369">
        <v>17</v>
      </c>
      <c r="Z369">
        <v>22</v>
      </c>
      <c r="AA369">
        <v>22.3</v>
      </c>
      <c r="AB369">
        <v>19.8</v>
      </c>
      <c r="AD369">
        <v>93</v>
      </c>
      <c r="AF369" s="2">
        <f t="shared" si="5"/>
        <v>1.3076923076923077</v>
      </c>
    </row>
    <row r="370" spans="1:32" hidden="1" x14ac:dyDescent="0.25">
      <c r="A370">
        <v>331</v>
      </c>
      <c r="B370" t="s">
        <v>1586</v>
      </c>
      <c r="C370" t="s">
        <v>2815</v>
      </c>
      <c r="D370" t="s">
        <v>1935</v>
      </c>
      <c r="E370" t="s">
        <v>114</v>
      </c>
      <c r="F370">
        <v>25</v>
      </c>
      <c r="G370">
        <v>14</v>
      </c>
      <c r="H370">
        <v>12</v>
      </c>
      <c r="I370">
        <v>0</v>
      </c>
      <c r="J370">
        <v>0</v>
      </c>
      <c r="K370">
        <v>0</v>
      </c>
      <c r="L370">
        <v>0</v>
      </c>
      <c r="M370">
        <v>0</v>
      </c>
      <c r="N370">
        <v>0</v>
      </c>
      <c r="O370">
        <v>0</v>
      </c>
      <c r="Q370">
        <v>0</v>
      </c>
      <c r="R370">
        <v>11</v>
      </c>
      <c r="S370">
        <v>8</v>
      </c>
      <c r="T370">
        <v>121</v>
      </c>
      <c r="U370">
        <v>15.13</v>
      </c>
      <c r="V370">
        <v>1</v>
      </c>
      <c r="Y370">
        <v>18</v>
      </c>
      <c r="Z370">
        <v>26</v>
      </c>
      <c r="AA370">
        <v>29.1</v>
      </c>
      <c r="AB370">
        <v>22.1</v>
      </c>
      <c r="AD370">
        <v>61</v>
      </c>
      <c r="AF370" s="2">
        <f t="shared" si="5"/>
        <v>1.2857142857142858</v>
      </c>
    </row>
    <row r="371" spans="1:32" hidden="1" x14ac:dyDescent="0.25">
      <c r="A371">
        <v>357</v>
      </c>
      <c r="B371" t="s">
        <v>146</v>
      </c>
      <c r="C371" t="s">
        <v>2850</v>
      </c>
      <c r="D371" t="s">
        <v>1811</v>
      </c>
      <c r="E371" t="s">
        <v>47</v>
      </c>
      <c r="F371">
        <v>23</v>
      </c>
      <c r="G371">
        <v>11</v>
      </c>
      <c r="H371">
        <v>4</v>
      </c>
      <c r="I371">
        <v>0</v>
      </c>
      <c r="J371">
        <v>0</v>
      </c>
      <c r="K371">
        <v>0</v>
      </c>
      <c r="L371">
        <v>0</v>
      </c>
      <c r="M371">
        <v>0</v>
      </c>
      <c r="N371">
        <v>41</v>
      </c>
      <c r="O371">
        <v>90</v>
      </c>
      <c r="P371">
        <v>2.2000000000000002</v>
      </c>
      <c r="Q371">
        <v>0</v>
      </c>
      <c r="R371">
        <v>10</v>
      </c>
      <c r="S371">
        <v>8</v>
      </c>
      <c r="T371">
        <v>46</v>
      </c>
      <c r="U371">
        <v>5.75</v>
      </c>
      <c r="V371">
        <v>0</v>
      </c>
      <c r="Y371">
        <v>14</v>
      </c>
      <c r="Z371">
        <v>22</v>
      </c>
      <c r="AA371">
        <v>21.6</v>
      </c>
      <c r="AB371">
        <v>17.600000000000001</v>
      </c>
      <c r="AD371">
        <v>103</v>
      </c>
      <c r="AF371" s="2">
        <f t="shared" si="5"/>
        <v>1.2727272727272727</v>
      </c>
    </row>
    <row r="372" spans="1:32" hidden="1" x14ac:dyDescent="0.25">
      <c r="A372">
        <v>325</v>
      </c>
      <c r="B372" t="s">
        <v>289</v>
      </c>
      <c r="C372" t="s">
        <v>2807</v>
      </c>
      <c r="D372" t="s">
        <v>1806</v>
      </c>
      <c r="E372" t="s">
        <v>114</v>
      </c>
      <c r="F372">
        <v>25</v>
      </c>
      <c r="G372">
        <v>15</v>
      </c>
      <c r="H372">
        <v>11</v>
      </c>
      <c r="I372">
        <v>0</v>
      </c>
      <c r="J372">
        <v>0</v>
      </c>
      <c r="K372">
        <v>0</v>
      </c>
      <c r="L372">
        <v>0</v>
      </c>
      <c r="M372">
        <v>0</v>
      </c>
      <c r="N372">
        <v>0</v>
      </c>
      <c r="O372">
        <v>0</v>
      </c>
      <c r="Q372">
        <v>0</v>
      </c>
      <c r="R372">
        <v>23</v>
      </c>
      <c r="S372">
        <v>11</v>
      </c>
      <c r="T372">
        <v>132</v>
      </c>
      <c r="U372">
        <v>12</v>
      </c>
      <c r="V372">
        <v>1</v>
      </c>
      <c r="Y372">
        <v>19</v>
      </c>
      <c r="Z372">
        <v>30</v>
      </c>
      <c r="AA372">
        <v>33.200000000000003</v>
      </c>
      <c r="AB372">
        <v>24.7</v>
      </c>
      <c r="AD372">
        <v>57</v>
      </c>
      <c r="AF372" s="2">
        <f t="shared" si="5"/>
        <v>1.2666666666666666</v>
      </c>
    </row>
    <row r="373" spans="1:32" hidden="1" x14ac:dyDescent="0.25">
      <c r="A373">
        <v>441</v>
      </c>
      <c r="B373" t="s">
        <v>1131</v>
      </c>
      <c r="C373" t="s">
        <v>2971</v>
      </c>
      <c r="D373" t="s">
        <v>1043</v>
      </c>
      <c r="E373" t="s">
        <v>47</v>
      </c>
      <c r="F373">
        <v>24</v>
      </c>
      <c r="G373">
        <v>4</v>
      </c>
      <c r="H373">
        <v>0</v>
      </c>
      <c r="I373">
        <v>0</v>
      </c>
      <c r="J373">
        <v>0</v>
      </c>
      <c r="K373">
        <v>0</v>
      </c>
      <c r="L373">
        <v>0</v>
      </c>
      <c r="M373">
        <v>0</v>
      </c>
      <c r="N373">
        <v>4</v>
      </c>
      <c r="O373">
        <v>12</v>
      </c>
      <c r="P373">
        <v>3</v>
      </c>
      <c r="Q373">
        <v>0</v>
      </c>
      <c r="R373">
        <v>11</v>
      </c>
      <c r="S373">
        <v>8</v>
      </c>
      <c r="T373">
        <v>38</v>
      </c>
      <c r="U373">
        <v>4.75</v>
      </c>
      <c r="V373">
        <v>0</v>
      </c>
      <c r="Y373">
        <v>5</v>
      </c>
      <c r="Z373">
        <v>13</v>
      </c>
      <c r="AA373">
        <v>13</v>
      </c>
      <c r="AB373">
        <v>9</v>
      </c>
      <c r="AD373">
        <v>127</v>
      </c>
      <c r="AF373" s="2">
        <f t="shared" si="5"/>
        <v>1.25</v>
      </c>
    </row>
    <row r="374" spans="1:32" x14ac:dyDescent="0.25">
      <c r="A374">
        <v>322</v>
      </c>
      <c r="B374" t="s">
        <v>262</v>
      </c>
      <c r="C374" t="s">
        <v>2803</v>
      </c>
      <c r="D374" t="s">
        <v>1048</v>
      </c>
      <c r="E374" t="s">
        <v>87</v>
      </c>
      <c r="F374">
        <v>22</v>
      </c>
      <c r="G374">
        <v>16</v>
      </c>
      <c r="H374">
        <v>7</v>
      </c>
      <c r="I374">
        <v>0</v>
      </c>
      <c r="J374">
        <v>0</v>
      </c>
      <c r="K374">
        <v>0</v>
      </c>
      <c r="L374">
        <v>0</v>
      </c>
      <c r="M374">
        <v>0</v>
      </c>
      <c r="N374">
        <v>0</v>
      </c>
      <c r="O374">
        <v>0</v>
      </c>
      <c r="Q374">
        <v>0</v>
      </c>
      <c r="R374">
        <v>35</v>
      </c>
      <c r="S374">
        <v>20</v>
      </c>
      <c r="T374">
        <v>200</v>
      </c>
      <c r="U374">
        <v>10</v>
      </c>
      <c r="V374">
        <v>0</v>
      </c>
      <c r="Y374">
        <v>20</v>
      </c>
      <c r="Z374">
        <v>40</v>
      </c>
      <c r="AA374">
        <v>43</v>
      </c>
      <c r="AB374">
        <v>30</v>
      </c>
      <c r="AD374">
        <v>126</v>
      </c>
      <c r="AF374" s="2">
        <f t="shared" si="5"/>
        <v>1.25</v>
      </c>
    </row>
    <row r="375" spans="1:32" x14ac:dyDescent="0.25">
      <c r="A375">
        <v>387</v>
      </c>
      <c r="B375" t="s">
        <v>1133</v>
      </c>
      <c r="C375" t="s">
        <v>2894</v>
      </c>
      <c r="D375" t="s">
        <v>2397</v>
      </c>
      <c r="E375" t="s">
        <v>87</v>
      </c>
      <c r="F375">
        <v>26</v>
      </c>
      <c r="G375">
        <v>8</v>
      </c>
      <c r="H375">
        <v>0</v>
      </c>
      <c r="I375">
        <v>0</v>
      </c>
      <c r="J375">
        <v>0</v>
      </c>
      <c r="K375">
        <v>0</v>
      </c>
      <c r="L375">
        <v>0</v>
      </c>
      <c r="M375">
        <v>0</v>
      </c>
      <c r="N375">
        <v>0</v>
      </c>
      <c r="O375">
        <v>0</v>
      </c>
      <c r="Q375">
        <v>0</v>
      </c>
      <c r="R375">
        <v>6</v>
      </c>
      <c r="S375">
        <v>5</v>
      </c>
      <c r="T375">
        <v>96</v>
      </c>
      <c r="U375">
        <v>19.2</v>
      </c>
      <c r="V375">
        <v>0</v>
      </c>
      <c r="Y375">
        <v>10</v>
      </c>
      <c r="Z375">
        <v>15</v>
      </c>
      <c r="AA375">
        <v>14.6</v>
      </c>
      <c r="AB375">
        <v>12.1</v>
      </c>
      <c r="AD375">
        <v>151</v>
      </c>
      <c r="AF375" s="2">
        <f t="shared" si="5"/>
        <v>1.25</v>
      </c>
    </row>
    <row r="376" spans="1:32" hidden="1" x14ac:dyDescent="0.25">
      <c r="A376">
        <v>338</v>
      </c>
      <c r="B376" t="s">
        <v>351</v>
      </c>
      <c r="C376" t="s">
        <v>2824</v>
      </c>
      <c r="D376" t="s">
        <v>1831</v>
      </c>
      <c r="E376" t="s">
        <v>47</v>
      </c>
      <c r="F376">
        <v>27</v>
      </c>
      <c r="G376">
        <v>13</v>
      </c>
      <c r="H376">
        <v>0</v>
      </c>
      <c r="I376">
        <v>0</v>
      </c>
      <c r="J376">
        <v>0</v>
      </c>
      <c r="K376">
        <v>0</v>
      </c>
      <c r="L376">
        <v>0</v>
      </c>
      <c r="M376">
        <v>0</v>
      </c>
      <c r="N376">
        <v>18</v>
      </c>
      <c r="O376">
        <v>95</v>
      </c>
      <c r="P376">
        <v>5.28</v>
      </c>
      <c r="Q376">
        <v>1</v>
      </c>
      <c r="R376">
        <v>1</v>
      </c>
      <c r="S376">
        <v>1</v>
      </c>
      <c r="T376">
        <v>2</v>
      </c>
      <c r="U376">
        <v>2</v>
      </c>
      <c r="V376">
        <v>0</v>
      </c>
      <c r="Y376">
        <v>16</v>
      </c>
      <c r="Z376">
        <v>17</v>
      </c>
      <c r="AA376">
        <v>16.7</v>
      </c>
      <c r="AB376">
        <v>16.2</v>
      </c>
      <c r="AD376">
        <v>97</v>
      </c>
      <c r="AF376" s="2">
        <f t="shared" si="5"/>
        <v>1.2307692307692308</v>
      </c>
    </row>
    <row r="377" spans="1:32" hidden="1" x14ac:dyDescent="0.25">
      <c r="A377">
        <v>436</v>
      </c>
      <c r="B377" t="s">
        <v>2964</v>
      </c>
      <c r="C377" t="s">
        <v>2965</v>
      </c>
      <c r="D377" t="s">
        <v>1882</v>
      </c>
      <c r="E377" t="s">
        <v>47</v>
      </c>
      <c r="F377">
        <v>23</v>
      </c>
      <c r="G377">
        <v>5</v>
      </c>
      <c r="H377">
        <v>0</v>
      </c>
      <c r="I377">
        <v>0</v>
      </c>
      <c r="J377">
        <v>0</v>
      </c>
      <c r="K377">
        <v>0</v>
      </c>
      <c r="L377">
        <v>0</v>
      </c>
      <c r="M377">
        <v>0</v>
      </c>
      <c r="N377">
        <v>20</v>
      </c>
      <c r="O377">
        <v>44</v>
      </c>
      <c r="P377">
        <v>2.2000000000000002</v>
      </c>
      <c r="Q377">
        <v>0</v>
      </c>
      <c r="R377">
        <v>2</v>
      </c>
      <c r="S377">
        <v>2</v>
      </c>
      <c r="T377">
        <v>14</v>
      </c>
      <c r="U377">
        <v>7</v>
      </c>
      <c r="V377">
        <v>0</v>
      </c>
      <c r="Y377">
        <v>6</v>
      </c>
      <c r="Z377">
        <v>8</v>
      </c>
      <c r="AA377">
        <v>7.8</v>
      </c>
      <c r="AB377">
        <v>6.8</v>
      </c>
      <c r="AD377">
        <v>124</v>
      </c>
      <c r="AF377" s="2">
        <f t="shared" si="5"/>
        <v>1.2</v>
      </c>
    </row>
    <row r="378" spans="1:32" hidden="1" x14ac:dyDescent="0.25">
      <c r="A378">
        <v>330</v>
      </c>
      <c r="B378" t="s">
        <v>279</v>
      </c>
      <c r="C378" t="s">
        <v>2814</v>
      </c>
      <c r="D378" t="s">
        <v>1052</v>
      </c>
      <c r="E378" t="s">
        <v>114</v>
      </c>
      <c r="F378">
        <v>26</v>
      </c>
      <c r="G378">
        <v>15</v>
      </c>
      <c r="H378">
        <v>12</v>
      </c>
      <c r="I378">
        <v>0</v>
      </c>
      <c r="J378">
        <v>0</v>
      </c>
      <c r="K378">
        <v>0</v>
      </c>
      <c r="L378">
        <v>0</v>
      </c>
      <c r="M378">
        <v>0</v>
      </c>
      <c r="N378">
        <v>0</v>
      </c>
      <c r="O378">
        <v>0</v>
      </c>
      <c r="Q378">
        <v>0</v>
      </c>
      <c r="R378">
        <v>14</v>
      </c>
      <c r="S378">
        <v>12</v>
      </c>
      <c r="T378">
        <v>122</v>
      </c>
      <c r="U378">
        <v>10.17</v>
      </c>
      <c r="V378">
        <v>1</v>
      </c>
      <c r="Y378">
        <v>18</v>
      </c>
      <c r="Z378">
        <v>30</v>
      </c>
      <c r="AA378">
        <v>39.200000000000003</v>
      </c>
      <c r="AB378">
        <v>30.2</v>
      </c>
      <c r="AD378">
        <v>60</v>
      </c>
      <c r="AF378" s="2">
        <f t="shared" si="5"/>
        <v>1.2</v>
      </c>
    </row>
    <row r="379" spans="1:32" hidden="1" x14ac:dyDescent="0.25">
      <c r="A379">
        <v>332</v>
      </c>
      <c r="B379" t="s">
        <v>362</v>
      </c>
      <c r="C379" t="s">
        <v>2816</v>
      </c>
      <c r="D379" t="s">
        <v>1865</v>
      </c>
      <c r="E379" t="s">
        <v>114</v>
      </c>
      <c r="F379">
        <v>24</v>
      </c>
      <c r="G379">
        <v>15</v>
      </c>
      <c r="H379">
        <v>4</v>
      </c>
      <c r="I379">
        <v>0</v>
      </c>
      <c r="J379">
        <v>0</v>
      </c>
      <c r="K379">
        <v>0</v>
      </c>
      <c r="L379">
        <v>0</v>
      </c>
      <c r="M379">
        <v>0</v>
      </c>
      <c r="N379">
        <v>0</v>
      </c>
      <c r="O379">
        <v>0</v>
      </c>
      <c r="Q379">
        <v>0</v>
      </c>
      <c r="R379">
        <v>15</v>
      </c>
      <c r="S379">
        <v>12</v>
      </c>
      <c r="T379">
        <v>124</v>
      </c>
      <c r="U379">
        <v>10.33</v>
      </c>
      <c r="V379">
        <v>1</v>
      </c>
      <c r="Y379">
        <v>18</v>
      </c>
      <c r="Z379">
        <v>30</v>
      </c>
      <c r="AA379">
        <v>33.4</v>
      </c>
      <c r="AB379">
        <v>24.4</v>
      </c>
      <c r="AD379">
        <v>59</v>
      </c>
      <c r="AF379" s="2">
        <f t="shared" si="5"/>
        <v>1.2</v>
      </c>
    </row>
    <row r="380" spans="1:32" hidden="1" x14ac:dyDescent="0.25">
      <c r="A380">
        <v>323</v>
      </c>
      <c r="B380" t="s">
        <v>2804</v>
      </c>
      <c r="C380" t="s">
        <v>2805</v>
      </c>
      <c r="D380" t="s">
        <v>1862</v>
      </c>
      <c r="E380" t="s">
        <v>114</v>
      </c>
      <c r="F380">
        <v>32</v>
      </c>
      <c r="G380">
        <v>16</v>
      </c>
      <c r="H380">
        <v>10</v>
      </c>
      <c r="I380">
        <v>0</v>
      </c>
      <c r="J380">
        <v>0</v>
      </c>
      <c r="K380">
        <v>0</v>
      </c>
      <c r="L380">
        <v>0</v>
      </c>
      <c r="M380">
        <v>0</v>
      </c>
      <c r="N380">
        <v>0</v>
      </c>
      <c r="O380">
        <v>0</v>
      </c>
      <c r="Q380">
        <v>0</v>
      </c>
      <c r="R380">
        <v>24</v>
      </c>
      <c r="S380">
        <v>13</v>
      </c>
      <c r="T380">
        <v>130</v>
      </c>
      <c r="U380">
        <v>10</v>
      </c>
      <c r="V380">
        <v>1</v>
      </c>
      <c r="Y380">
        <v>19</v>
      </c>
      <c r="Z380">
        <v>32</v>
      </c>
      <c r="AA380">
        <v>35</v>
      </c>
      <c r="AB380">
        <v>25.5</v>
      </c>
      <c r="AD380">
        <v>58</v>
      </c>
      <c r="AF380" s="2">
        <f t="shared" si="5"/>
        <v>1.1875</v>
      </c>
    </row>
    <row r="381" spans="1:32" x14ac:dyDescent="0.25">
      <c r="A381">
        <v>369</v>
      </c>
      <c r="B381" t="s">
        <v>270</v>
      </c>
      <c r="C381" t="s">
        <v>2868</v>
      </c>
      <c r="D381" t="s">
        <v>1890</v>
      </c>
      <c r="E381" t="s">
        <v>87</v>
      </c>
      <c r="F381">
        <v>23</v>
      </c>
      <c r="G381">
        <v>11</v>
      </c>
      <c r="H381">
        <v>8</v>
      </c>
      <c r="I381">
        <v>0</v>
      </c>
      <c r="J381">
        <v>0</v>
      </c>
      <c r="K381">
        <v>0</v>
      </c>
      <c r="L381">
        <v>0</v>
      </c>
      <c r="M381">
        <v>0</v>
      </c>
      <c r="N381">
        <v>2</v>
      </c>
      <c r="O381">
        <v>6</v>
      </c>
      <c r="P381">
        <v>3</v>
      </c>
      <c r="Q381">
        <v>0</v>
      </c>
      <c r="R381">
        <v>18</v>
      </c>
      <c r="S381">
        <v>15</v>
      </c>
      <c r="T381">
        <v>86</v>
      </c>
      <c r="U381">
        <v>5.73</v>
      </c>
      <c r="V381">
        <v>1</v>
      </c>
      <c r="Y381">
        <v>13</v>
      </c>
      <c r="Z381">
        <v>28</v>
      </c>
      <c r="AA381">
        <v>29.2</v>
      </c>
      <c r="AB381">
        <v>20.7</v>
      </c>
      <c r="AD381">
        <v>140</v>
      </c>
      <c r="AF381" s="2">
        <f t="shared" si="5"/>
        <v>1.1818181818181819</v>
      </c>
    </row>
    <row r="382" spans="1:32" x14ac:dyDescent="0.25">
      <c r="A382">
        <v>365</v>
      </c>
      <c r="B382" t="s">
        <v>1631</v>
      </c>
      <c r="C382" t="s">
        <v>2862</v>
      </c>
      <c r="D382" t="s">
        <v>1834</v>
      </c>
      <c r="E382" t="s">
        <v>87</v>
      </c>
      <c r="F382">
        <v>21</v>
      </c>
      <c r="G382">
        <v>11</v>
      </c>
      <c r="H382">
        <v>7</v>
      </c>
      <c r="I382">
        <v>0</v>
      </c>
      <c r="J382">
        <v>0</v>
      </c>
      <c r="K382">
        <v>0</v>
      </c>
      <c r="L382">
        <v>0</v>
      </c>
      <c r="M382">
        <v>0</v>
      </c>
      <c r="N382">
        <v>2</v>
      </c>
      <c r="O382">
        <v>2</v>
      </c>
      <c r="P382">
        <v>1</v>
      </c>
      <c r="Q382">
        <v>0</v>
      </c>
      <c r="R382">
        <v>17</v>
      </c>
      <c r="S382">
        <v>6</v>
      </c>
      <c r="T382">
        <v>63</v>
      </c>
      <c r="U382">
        <v>10.5</v>
      </c>
      <c r="V382">
        <v>1</v>
      </c>
      <c r="Y382">
        <v>13</v>
      </c>
      <c r="Z382">
        <v>19</v>
      </c>
      <c r="AA382">
        <v>18.5</v>
      </c>
      <c r="AB382">
        <v>15.5</v>
      </c>
      <c r="AD382">
        <v>143</v>
      </c>
      <c r="AF382" s="2">
        <f t="shared" si="5"/>
        <v>1.1818181818181819</v>
      </c>
    </row>
    <row r="383" spans="1:32" x14ac:dyDescent="0.25">
      <c r="A383">
        <v>431</v>
      </c>
      <c r="B383" t="s">
        <v>2955</v>
      </c>
      <c r="C383" t="s">
        <v>2956</v>
      </c>
      <c r="D383" t="s">
        <v>1872</v>
      </c>
      <c r="E383" t="s">
        <v>87</v>
      </c>
      <c r="F383">
        <v>23</v>
      </c>
      <c r="G383">
        <v>6</v>
      </c>
      <c r="H383">
        <v>1</v>
      </c>
      <c r="I383">
        <v>0</v>
      </c>
      <c r="J383">
        <v>0</v>
      </c>
      <c r="K383">
        <v>0</v>
      </c>
      <c r="L383">
        <v>0</v>
      </c>
      <c r="M383">
        <v>0</v>
      </c>
      <c r="N383">
        <v>1</v>
      </c>
      <c r="O383">
        <v>6</v>
      </c>
      <c r="P383">
        <v>6</v>
      </c>
      <c r="Q383">
        <v>0</v>
      </c>
      <c r="R383">
        <v>18</v>
      </c>
      <c r="S383">
        <v>5</v>
      </c>
      <c r="T383">
        <v>79</v>
      </c>
      <c r="U383">
        <v>15.8</v>
      </c>
      <c r="V383">
        <v>0</v>
      </c>
      <c r="Y383">
        <v>7</v>
      </c>
      <c r="Z383">
        <v>12</v>
      </c>
      <c r="AA383">
        <v>12.5</v>
      </c>
      <c r="AB383">
        <v>9</v>
      </c>
      <c r="AD383">
        <v>176</v>
      </c>
      <c r="AF383" s="2">
        <f t="shared" si="5"/>
        <v>1.1666666666666667</v>
      </c>
    </row>
    <row r="384" spans="1:32" hidden="1" x14ac:dyDescent="0.25">
      <c r="A384">
        <v>356</v>
      </c>
      <c r="B384" t="s">
        <v>2848</v>
      </c>
      <c r="C384" t="s">
        <v>2849</v>
      </c>
      <c r="D384" t="s">
        <v>1870</v>
      </c>
      <c r="E384" t="s">
        <v>47</v>
      </c>
      <c r="F384">
        <v>28</v>
      </c>
      <c r="G384">
        <v>12</v>
      </c>
      <c r="H384">
        <v>0</v>
      </c>
      <c r="I384">
        <v>0</v>
      </c>
      <c r="J384">
        <v>0</v>
      </c>
      <c r="K384">
        <v>0</v>
      </c>
      <c r="L384">
        <v>0</v>
      </c>
      <c r="M384">
        <v>0</v>
      </c>
      <c r="N384">
        <v>9</v>
      </c>
      <c r="O384">
        <v>43</v>
      </c>
      <c r="P384">
        <v>4.78</v>
      </c>
      <c r="Q384">
        <v>1</v>
      </c>
      <c r="R384">
        <v>7</v>
      </c>
      <c r="S384">
        <v>6</v>
      </c>
      <c r="T384">
        <v>33</v>
      </c>
      <c r="U384">
        <v>5.5</v>
      </c>
      <c r="V384">
        <v>0</v>
      </c>
      <c r="Y384">
        <v>14</v>
      </c>
      <c r="Z384">
        <v>20</v>
      </c>
      <c r="AA384">
        <v>19.600000000000001</v>
      </c>
      <c r="AB384">
        <v>16.600000000000001</v>
      </c>
      <c r="AD384">
        <v>102</v>
      </c>
      <c r="AF384" s="2">
        <f t="shared" si="5"/>
        <v>1.1666666666666667</v>
      </c>
    </row>
    <row r="385" spans="1:32" x14ac:dyDescent="0.25">
      <c r="A385">
        <v>407</v>
      </c>
      <c r="B385" t="s">
        <v>327</v>
      </c>
      <c r="C385" t="s">
        <v>2923</v>
      </c>
      <c r="D385" t="s">
        <v>1040</v>
      </c>
      <c r="E385" t="s">
        <v>87</v>
      </c>
      <c r="F385">
        <v>26</v>
      </c>
      <c r="G385">
        <v>7</v>
      </c>
      <c r="H385">
        <v>1</v>
      </c>
      <c r="I385">
        <v>0</v>
      </c>
      <c r="J385">
        <v>0</v>
      </c>
      <c r="K385">
        <v>0</v>
      </c>
      <c r="L385">
        <v>0</v>
      </c>
      <c r="M385">
        <v>0</v>
      </c>
      <c r="N385">
        <v>0</v>
      </c>
      <c r="O385">
        <v>0</v>
      </c>
      <c r="Q385">
        <v>0</v>
      </c>
      <c r="R385">
        <v>10</v>
      </c>
      <c r="S385">
        <v>4</v>
      </c>
      <c r="T385">
        <v>23</v>
      </c>
      <c r="U385">
        <v>5.75</v>
      </c>
      <c r="V385">
        <v>1</v>
      </c>
      <c r="Y385">
        <v>8</v>
      </c>
      <c r="Z385">
        <v>12</v>
      </c>
      <c r="AA385">
        <v>12.3</v>
      </c>
      <c r="AB385">
        <v>10.3</v>
      </c>
      <c r="AD385">
        <v>161</v>
      </c>
      <c r="AF385" s="2">
        <f t="shared" si="5"/>
        <v>1.1428571428571428</v>
      </c>
    </row>
    <row r="386" spans="1:32" x14ac:dyDescent="0.25">
      <c r="A386">
        <v>416</v>
      </c>
      <c r="B386" t="s">
        <v>2935</v>
      </c>
      <c r="C386" t="s">
        <v>2936</v>
      </c>
      <c r="D386" t="s">
        <v>1872</v>
      </c>
      <c r="E386" t="s">
        <v>87</v>
      </c>
      <c r="F386">
        <v>25</v>
      </c>
      <c r="G386">
        <v>7</v>
      </c>
      <c r="H386">
        <v>2</v>
      </c>
      <c r="I386">
        <v>0</v>
      </c>
      <c r="J386">
        <v>0</v>
      </c>
      <c r="K386">
        <v>0</v>
      </c>
      <c r="L386">
        <v>0</v>
      </c>
      <c r="M386">
        <v>0</v>
      </c>
      <c r="N386">
        <v>0</v>
      </c>
      <c r="O386">
        <v>0</v>
      </c>
      <c r="Q386">
        <v>0</v>
      </c>
      <c r="R386">
        <v>18</v>
      </c>
      <c r="S386">
        <v>9</v>
      </c>
      <c r="T386">
        <v>84</v>
      </c>
      <c r="U386">
        <v>9.33</v>
      </c>
      <c r="V386">
        <v>0</v>
      </c>
      <c r="Y386">
        <v>8</v>
      </c>
      <c r="Z386">
        <v>17</v>
      </c>
      <c r="AA386">
        <v>17.399999999999999</v>
      </c>
      <c r="AB386">
        <v>12.9</v>
      </c>
      <c r="AD386">
        <v>159</v>
      </c>
      <c r="AF386" s="2">
        <f t="shared" si="5"/>
        <v>1.1428571428571428</v>
      </c>
    </row>
    <row r="387" spans="1:32" x14ac:dyDescent="0.25">
      <c r="A387">
        <v>335</v>
      </c>
      <c r="B387" t="s">
        <v>364</v>
      </c>
      <c r="C387" t="s">
        <v>2821</v>
      </c>
      <c r="D387" t="s">
        <v>1051</v>
      </c>
      <c r="E387" t="s">
        <v>87</v>
      </c>
      <c r="F387">
        <v>25</v>
      </c>
      <c r="G387">
        <v>15</v>
      </c>
      <c r="H387">
        <v>0</v>
      </c>
      <c r="I387">
        <v>0</v>
      </c>
      <c r="J387">
        <v>0</v>
      </c>
      <c r="K387">
        <v>0</v>
      </c>
      <c r="L387">
        <v>0</v>
      </c>
      <c r="M387">
        <v>0</v>
      </c>
      <c r="N387">
        <v>2</v>
      </c>
      <c r="O387">
        <v>14</v>
      </c>
      <c r="P387">
        <v>7</v>
      </c>
      <c r="Q387">
        <v>0</v>
      </c>
      <c r="R387">
        <v>14</v>
      </c>
      <c r="S387">
        <v>10</v>
      </c>
      <c r="T387">
        <v>116</v>
      </c>
      <c r="U387">
        <v>11.6</v>
      </c>
      <c r="V387">
        <v>1</v>
      </c>
      <c r="Y387">
        <v>17</v>
      </c>
      <c r="Z387">
        <v>27</v>
      </c>
      <c r="AA387">
        <v>31</v>
      </c>
      <c r="AB387">
        <v>22</v>
      </c>
      <c r="AD387">
        <v>131</v>
      </c>
      <c r="AF387" s="2">
        <f t="shared" ref="AF387:AF450" si="6">Y387/G387</f>
        <v>1.1333333333333333</v>
      </c>
    </row>
    <row r="388" spans="1:32" hidden="1" x14ac:dyDescent="0.25">
      <c r="A388">
        <v>404</v>
      </c>
      <c r="B388" t="s">
        <v>2918</v>
      </c>
      <c r="C388" t="s">
        <v>2919</v>
      </c>
      <c r="D388" t="s">
        <v>1882</v>
      </c>
      <c r="E388" t="s">
        <v>47</v>
      </c>
      <c r="F388">
        <v>26</v>
      </c>
      <c r="G388">
        <v>8</v>
      </c>
      <c r="H388">
        <v>0</v>
      </c>
      <c r="I388">
        <v>0</v>
      </c>
      <c r="J388">
        <v>0</v>
      </c>
      <c r="K388">
        <v>0</v>
      </c>
      <c r="L388">
        <v>0</v>
      </c>
      <c r="M388">
        <v>0</v>
      </c>
      <c r="N388">
        <v>14</v>
      </c>
      <c r="O388">
        <v>26</v>
      </c>
      <c r="P388">
        <v>1.86</v>
      </c>
      <c r="Q388">
        <v>1</v>
      </c>
      <c r="R388">
        <v>1</v>
      </c>
      <c r="S388">
        <v>0</v>
      </c>
      <c r="T388">
        <v>0</v>
      </c>
      <c r="V388">
        <v>0</v>
      </c>
      <c r="Y388">
        <v>9</v>
      </c>
      <c r="Z388">
        <v>9</v>
      </c>
      <c r="AA388">
        <v>8.6</v>
      </c>
      <c r="AB388">
        <v>8.6</v>
      </c>
      <c r="AD388">
        <v>116</v>
      </c>
      <c r="AF388" s="2">
        <f t="shared" si="6"/>
        <v>1.125</v>
      </c>
    </row>
    <row r="389" spans="1:32" x14ac:dyDescent="0.25">
      <c r="A389">
        <v>402</v>
      </c>
      <c r="B389" t="s">
        <v>1112</v>
      </c>
      <c r="C389" t="s">
        <v>2915</v>
      </c>
      <c r="D389" t="s">
        <v>1038</v>
      </c>
      <c r="E389" t="s">
        <v>87</v>
      </c>
      <c r="F389">
        <v>23</v>
      </c>
      <c r="G389">
        <v>8</v>
      </c>
      <c r="H389">
        <v>1</v>
      </c>
      <c r="I389">
        <v>0</v>
      </c>
      <c r="J389">
        <v>0</v>
      </c>
      <c r="K389">
        <v>0</v>
      </c>
      <c r="L389">
        <v>0</v>
      </c>
      <c r="M389">
        <v>0</v>
      </c>
      <c r="N389">
        <v>0</v>
      </c>
      <c r="O389">
        <v>0</v>
      </c>
      <c r="Q389">
        <v>0</v>
      </c>
      <c r="R389">
        <v>7</v>
      </c>
      <c r="S389">
        <v>5</v>
      </c>
      <c r="T389">
        <v>93</v>
      </c>
      <c r="U389">
        <v>18.600000000000001</v>
      </c>
      <c r="V389">
        <v>0</v>
      </c>
      <c r="Y389">
        <v>9</v>
      </c>
      <c r="Z389">
        <v>14</v>
      </c>
      <c r="AA389">
        <v>14.3</v>
      </c>
      <c r="AB389">
        <v>11.8</v>
      </c>
      <c r="AD389">
        <v>154</v>
      </c>
      <c r="AF389" s="2">
        <f t="shared" si="6"/>
        <v>1.125</v>
      </c>
    </row>
    <row r="390" spans="1:32" hidden="1" x14ac:dyDescent="0.25">
      <c r="A390">
        <v>368</v>
      </c>
      <c r="B390" t="s">
        <v>2866</v>
      </c>
      <c r="C390" t="s">
        <v>2867</v>
      </c>
      <c r="D390" t="s">
        <v>1831</v>
      </c>
      <c r="E390" t="s">
        <v>47</v>
      </c>
      <c r="F390">
        <v>28</v>
      </c>
      <c r="G390">
        <v>12</v>
      </c>
      <c r="H390">
        <v>0</v>
      </c>
      <c r="I390">
        <v>0</v>
      </c>
      <c r="J390">
        <v>0</v>
      </c>
      <c r="K390">
        <v>0</v>
      </c>
      <c r="L390">
        <v>0</v>
      </c>
      <c r="M390">
        <v>0</v>
      </c>
      <c r="N390">
        <v>7</v>
      </c>
      <c r="O390">
        <v>18</v>
      </c>
      <c r="P390">
        <v>2.57</v>
      </c>
      <c r="Q390">
        <v>0</v>
      </c>
      <c r="R390">
        <v>6</v>
      </c>
      <c r="S390">
        <v>5</v>
      </c>
      <c r="T390">
        <v>47</v>
      </c>
      <c r="U390">
        <v>9.4</v>
      </c>
      <c r="V390">
        <v>1</v>
      </c>
      <c r="Y390">
        <v>13</v>
      </c>
      <c r="Z390">
        <v>18</v>
      </c>
      <c r="AA390">
        <v>17.5</v>
      </c>
      <c r="AB390">
        <v>15</v>
      </c>
      <c r="AD390">
        <v>106</v>
      </c>
      <c r="AF390" s="2">
        <f t="shared" si="6"/>
        <v>1.0833333333333333</v>
      </c>
    </row>
    <row r="391" spans="1:32" hidden="1" x14ac:dyDescent="0.25">
      <c r="A391">
        <v>367</v>
      </c>
      <c r="B391" t="s">
        <v>1583</v>
      </c>
      <c r="C391" t="s">
        <v>2865</v>
      </c>
      <c r="D391" t="s">
        <v>1050</v>
      </c>
      <c r="E391" t="s">
        <v>114</v>
      </c>
      <c r="F391">
        <v>26</v>
      </c>
      <c r="G391">
        <v>12</v>
      </c>
      <c r="H391">
        <v>2</v>
      </c>
      <c r="I391">
        <v>0</v>
      </c>
      <c r="J391">
        <v>0</v>
      </c>
      <c r="K391">
        <v>0</v>
      </c>
      <c r="L391">
        <v>0</v>
      </c>
      <c r="M391">
        <v>0</v>
      </c>
      <c r="N391">
        <v>0</v>
      </c>
      <c r="O391">
        <v>0</v>
      </c>
      <c r="Q391">
        <v>0</v>
      </c>
      <c r="R391">
        <v>9</v>
      </c>
      <c r="S391">
        <v>7</v>
      </c>
      <c r="T391">
        <v>67</v>
      </c>
      <c r="U391">
        <v>9.57</v>
      </c>
      <c r="V391">
        <v>1</v>
      </c>
      <c r="Y391">
        <v>13</v>
      </c>
      <c r="Z391">
        <v>20</v>
      </c>
      <c r="AA391">
        <v>19.7</v>
      </c>
      <c r="AB391">
        <v>16.2</v>
      </c>
      <c r="AD391">
        <v>68</v>
      </c>
      <c r="AF391" s="2">
        <f t="shared" si="6"/>
        <v>1.0833333333333333</v>
      </c>
    </row>
    <row r="392" spans="1:32" x14ac:dyDescent="0.25">
      <c r="A392">
        <v>358</v>
      </c>
      <c r="B392" t="s">
        <v>2851</v>
      </c>
      <c r="C392" t="s">
        <v>2852</v>
      </c>
      <c r="D392" t="s">
        <v>1050</v>
      </c>
      <c r="E392" t="s">
        <v>87</v>
      </c>
      <c r="F392">
        <v>30</v>
      </c>
      <c r="G392">
        <v>13</v>
      </c>
      <c r="H392">
        <v>1</v>
      </c>
      <c r="I392">
        <v>0</v>
      </c>
      <c r="J392">
        <v>0</v>
      </c>
      <c r="K392">
        <v>0</v>
      </c>
      <c r="L392">
        <v>0</v>
      </c>
      <c r="M392">
        <v>0</v>
      </c>
      <c r="N392">
        <v>0</v>
      </c>
      <c r="O392">
        <v>0</v>
      </c>
      <c r="Q392">
        <v>0</v>
      </c>
      <c r="R392">
        <v>14</v>
      </c>
      <c r="S392">
        <v>6</v>
      </c>
      <c r="T392">
        <v>81</v>
      </c>
      <c r="U392">
        <v>13.5</v>
      </c>
      <c r="V392">
        <v>1</v>
      </c>
      <c r="Y392">
        <v>14</v>
      </c>
      <c r="Z392">
        <v>20</v>
      </c>
      <c r="AA392">
        <v>20.100000000000001</v>
      </c>
      <c r="AB392">
        <v>17.100000000000001</v>
      </c>
      <c r="AD392">
        <v>137</v>
      </c>
      <c r="AF392" s="2">
        <f t="shared" si="6"/>
        <v>1.0769230769230769</v>
      </c>
    </row>
    <row r="393" spans="1:32" hidden="1" x14ac:dyDescent="0.25">
      <c r="A393">
        <v>349</v>
      </c>
      <c r="B393" t="s">
        <v>301</v>
      </c>
      <c r="C393" t="s">
        <v>2839</v>
      </c>
      <c r="D393" t="s">
        <v>1834</v>
      </c>
      <c r="E393" t="s">
        <v>114</v>
      </c>
      <c r="F393">
        <v>24</v>
      </c>
      <c r="G393">
        <v>14</v>
      </c>
      <c r="H393">
        <v>4</v>
      </c>
      <c r="I393">
        <v>0</v>
      </c>
      <c r="J393">
        <v>0</v>
      </c>
      <c r="K393">
        <v>0</v>
      </c>
      <c r="L393">
        <v>0</v>
      </c>
      <c r="M393">
        <v>0</v>
      </c>
      <c r="N393">
        <v>0</v>
      </c>
      <c r="O393">
        <v>0</v>
      </c>
      <c r="Q393">
        <v>0</v>
      </c>
      <c r="R393">
        <v>15</v>
      </c>
      <c r="S393">
        <v>10</v>
      </c>
      <c r="T393">
        <v>92</v>
      </c>
      <c r="U393">
        <v>9.1999999999999993</v>
      </c>
      <c r="V393">
        <v>1</v>
      </c>
      <c r="Y393">
        <v>15</v>
      </c>
      <c r="Z393">
        <v>25</v>
      </c>
      <c r="AA393">
        <v>25.2</v>
      </c>
      <c r="AB393">
        <v>20.2</v>
      </c>
      <c r="AD393">
        <v>64</v>
      </c>
      <c r="AF393" s="2">
        <f t="shared" si="6"/>
        <v>1.0714285714285714</v>
      </c>
    </row>
    <row r="394" spans="1:32" hidden="1" x14ac:dyDescent="0.25">
      <c r="A394">
        <v>341</v>
      </c>
      <c r="B394" t="s">
        <v>318</v>
      </c>
      <c r="C394" t="s">
        <v>2828</v>
      </c>
      <c r="D394" t="s">
        <v>1048</v>
      </c>
      <c r="E394" t="s">
        <v>114</v>
      </c>
      <c r="F394">
        <v>24</v>
      </c>
      <c r="G394">
        <v>15</v>
      </c>
      <c r="H394">
        <v>6</v>
      </c>
      <c r="I394">
        <v>0</v>
      </c>
      <c r="J394">
        <v>0</v>
      </c>
      <c r="K394">
        <v>0</v>
      </c>
      <c r="L394">
        <v>0</v>
      </c>
      <c r="M394">
        <v>0</v>
      </c>
      <c r="N394">
        <v>0</v>
      </c>
      <c r="O394">
        <v>0</v>
      </c>
      <c r="Q394">
        <v>0</v>
      </c>
      <c r="R394">
        <v>12</v>
      </c>
      <c r="S394">
        <v>10</v>
      </c>
      <c r="T394">
        <v>95</v>
      </c>
      <c r="U394">
        <v>9.5</v>
      </c>
      <c r="V394">
        <v>1</v>
      </c>
      <c r="Y394">
        <v>16</v>
      </c>
      <c r="Z394">
        <v>26</v>
      </c>
      <c r="AA394">
        <v>25.5</v>
      </c>
      <c r="AB394">
        <v>20.5</v>
      </c>
      <c r="AD394">
        <v>63</v>
      </c>
      <c r="AF394" s="2">
        <f t="shared" si="6"/>
        <v>1.0666666666666667</v>
      </c>
    </row>
    <row r="395" spans="1:32" hidden="1" x14ac:dyDescent="0.25">
      <c r="A395">
        <v>334</v>
      </c>
      <c r="B395" t="s">
        <v>2819</v>
      </c>
      <c r="C395" t="s">
        <v>2820</v>
      </c>
      <c r="D395" t="s">
        <v>1053</v>
      </c>
      <c r="E395" t="s">
        <v>114</v>
      </c>
      <c r="F395">
        <v>33</v>
      </c>
      <c r="G395">
        <v>16</v>
      </c>
      <c r="H395">
        <v>6</v>
      </c>
      <c r="I395">
        <v>0</v>
      </c>
      <c r="J395">
        <v>0</v>
      </c>
      <c r="K395">
        <v>0</v>
      </c>
      <c r="L395">
        <v>0</v>
      </c>
      <c r="M395">
        <v>0</v>
      </c>
      <c r="N395">
        <v>0</v>
      </c>
      <c r="O395">
        <v>0</v>
      </c>
      <c r="Q395">
        <v>0</v>
      </c>
      <c r="R395">
        <v>16</v>
      </c>
      <c r="S395">
        <v>12</v>
      </c>
      <c r="T395">
        <v>107</v>
      </c>
      <c r="U395">
        <v>8.92</v>
      </c>
      <c r="V395">
        <v>1</v>
      </c>
      <c r="Y395">
        <v>17</v>
      </c>
      <c r="Z395">
        <v>29</v>
      </c>
      <c r="AA395">
        <v>31.7</v>
      </c>
      <c r="AB395">
        <v>22.7</v>
      </c>
      <c r="AD395">
        <v>62</v>
      </c>
      <c r="AF395" s="2">
        <f t="shared" si="6"/>
        <v>1.0625</v>
      </c>
    </row>
    <row r="396" spans="1:32" x14ac:dyDescent="0.25">
      <c r="A396">
        <v>438</v>
      </c>
      <c r="B396" t="s">
        <v>1489</v>
      </c>
      <c r="C396" t="s">
        <v>2967</v>
      </c>
      <c r="D396" t="s">
        <v>1806</v>
      </c>
      <c r="E396" t="s">
        <v>87</v>
      </c>
      <c r="F396">
        <v>23</v>
      </c>
      <c r="G396">
        <v>6</v>
      </c>
      <c r="H396">
        <v>1</v>
      </c>
      <c r="I396">
        <v>0</v>
      </c>
      <c r="J396">
        <v>0</v>
      </c>
      <c r="K396">
        <v>0</v>
      </c>
      <c r="L396">
        <v>0</v>
      </c>
      <c r="M396">
        <v>0</v>
      </c>
      <c r="N396">
        <v>2</v>
      </c>
      <c r="O396">
        <v>33</v>
      </c>
      <c r="P396">
        <v>16.5</v>
      </c>
      <c r="Q396">
        <v>0</v>
      </c>
      <c r="R396">
        <v>7</v>
      </c>
      <c r="S396">
        <v>3</v>
      </c>
      <c r="T396">
        <v>31</v>
      </c>
      <c r="U396">
        <v>10.33</v>
      </c>
      <c r="V396">
        <v>0</v>
      </c>
      <c r="Y396">
        <v>6</v>
      </c>
      <c r="Z396">
        <v>9</v>
      </c>
      <c r="AA396">
        <v>9.4</v>
      </c>
      <c r="AB396">
        <v>7.9</v>
      </c>
      <c r="AD396">
        <v>177</v>
      </c>
      <c r="AF396" s="2">
        <f t="shared" si="6"/>
        <v>1</v>
      </c>
    </row>
    <row r="397" spans="1:32" hidden="1" x14ac:dyDescent="0.25">
      <c r="A397">
        <v>350</v>
      </c>
      <c r="B397" t="s">
        <v>298</v>
      </c>
      <c r="C397" t="s">
        <v>2840</v>
      </c>
      <c r="D397" t="s">
        <v>1040</v>
      </c>
      <c r="E397" t="s">
        <v>47</v>
      </c>
      <c r="F397">
        <v>22</v>
      </c>
      <c r="G397">
        <v>14</v>
      </c>
      <c r="H397">
        <v>0</v>
      </c>
      <c r="I397">
        <v>0</v>
      </c>
      <c r="J397">
        <v>0</v>
      </c>
      <c r="K397">
        <v>0</v>
      </c>
      <c r="L397">
        <v>0</v>
      </c>
      <c r="M397">
        <v>0</v>
      </c>
      <c r="N397">
        <v>32</v>
      </c>
      <c r="O397">
        <v>144</v>
      </c>
      <c r="P397">
        <v>4.5</v>
      </c>
      <c r="Q397">
        <v>0</v>
      </c>
      <c r="R397">
        <v>1</v>
      </c>
      <c r="S397">
        <v>0</v>
      </c>
      <c r="T397">
        <v>0</v>
      </c>
      <c r="V397">
        <v>0</v>
      </c>
      <c r="Y397">
        <v>14</v>
      </c>
      <c r="Z397">
        <v>14</v>
      </c>
      <c r="AA397">
        <v>17.399999999999999</v>
      </c>
      <c r="AB397">
        <v>14.4</v>
      </c>
      <c r="AD397">
        <v>100</v>
      </c>
      <c r="AF397" s="2">
        <f t="shared" si="6"/>
        <v>1</v>
      </c>
    </row>
    <row r="398" spans="1:32" hidden="1" x14ac:dyDescent="0.25">
      <c r="A398">
        <v>455</v>
      </c>
      <c r="B398" t="s">
        <v>2991</v>
      </c>
      <c r="C398" t="s">
        <v>2992</v>
      </c>
      <c r="D398" t="s">
        <v>2398</v>
      </c>
      <c r="E398" t="s">
        <v>47</v>
      </c>
      <c r="F398">
        <v>26</v>
      </c>
      <c r="G398">
        <v>4</v>
      </c>
      <c r="H398">
        <v>0</v>
      </c>
      <c r="I398">
        <v>0</v>
      </c>
      <c r="J398">
        <v>0</v>
      </c>
      <c r="K398">
        <v>0</v>
      </c>
      <c r="L398">
        <v>0</v>
      </c>
      <c r="M398">
        <v>0</v>
      </c>
      <c r="N398">
        <v>8</v>
      </c>
      <c r="O398">
        <v>29</v>
      </c>
      <c r="P398">
        <v>3.63</v>
      </c>
      <c r="Q398">
        <v>0</v>
      </c>
      <c r="R398">
        <v>1</v>
      </c>
      <c r="S398">
        <v>1</v>
      </c>
      <c r="T398">
        <v>11</v>
      </c>
      <c r="U398">
        <v>11</v>
      </c>
      <c r="V398">
        <v>0</v>
      </c>
      <c r="Y398">
        <v>4</v>
      </c>
      <c r="Z398">
        <v>5</v>
      </c>
      <c r="AA398">
        <v>5</v>
      </c>
      <c r="AB398">
        <v>4.5</v>
      </c>
      <c r="AD398">
        <v>131</v>
      </c>
      <c r="AF398" s="2">
        <f t="shared" si="6"/>
        <v>1</v>
      </c>
    </row>
    <row r="399" spans="1:32" hidden="1" x14ac:dyDescent="0.25">
      <c r="A399">
        <v>424</v>
      </c>
      <c r="B399" t="s">
        <v>2947</v>
      </c>
      <c r="C399" t="s">
        <v>2948</v>
      </c>
      <c r="D399" t="s">
        <v>2398</v>
      </c>
      <c r="E399" t="s">
        <v>47</v>
      </c>
      <c r="F399">
        <v>22</v>
      </c>
      <c r="G399">
        <v>7</v>
      </c>
      <c r="H399">
        <v>0</v>
      </c>
      <c r="I399">
        <v>0</v>
      </c>
      <c r="J399">
        <v>0</v>
      </c>
      <c r="K399">
        <v>0</v>
      </c>
      <c r="L399">
        <v>0</v>
      </c>
      <c r="M399">
        <v>0</v>
      </c>
      <c r="N399">
        <v>11</v>
      </c>
      <c r="O399">
        <v>37</v>
      </c>
      <c r="P399">
        <v>3.36</v>
      </c>
      <c r="Q399">
        <v>0</v>
      </c>
      <c r="R399">
        <v>2</v>
      </c>
      <c r="S399">
        <v>2</v>
      </c>
      <c r="T399">
        <v>36</v>
      </c>
      <c r="U399">
        <v>18</v>
      </c>
      <c r="V399">
        <v>0</v>
      </c>
      <c r="Y399">
        <v>7</v>
      </c>
      <c r="Z399">
        <v>9</v>
      </c>
      <c r="AA399">
        <v>9.3000000000000007</v>
      </c>
      <c r="AB399">
        <v>8.3000000000000007</v>
      </c>
      <c r="AD399">
        <v>118</v>
      </c>
      <c r="AF399" s="2">
        <f t="shared" si="6"/>
        <v>1</v>
      </c>
    </row>
    <row r="400" spans="1:32" hidden="1" x14ac:dyDescent="0.25">
      <c r="A400">
        <v>504</v>
      </c>
      <c r="B400" t="s">
        <v>1645</v>
      </c>
      <c r="C400" t="s">
        <v>3068</v>
      </c>
      <c r="D400" t="s">
        <v>1043</v>
      </c>
      <c r="E400" t="s">
        <v>15</v>
      </c>
      <c r="F400">
        <v>24</v>
      </c>
      <c r="G400">
        <v>1</v>
      </c>
      <c r="H400">
        <v>0</v>
      </c>
      <c r="I400">
        <v>1</v>
      </c>
      <c r="J400">
        <v>1</v>
      </c>
      <c r="K400">
        <v>10</v>
      </c>
      <c r="L400">
        <v>0</v>
      </c>
      <c r="M400">
        <v>0</v>
      </c>
      <c r="N400">
        <v>1</v>
      </c>
      <c r="O400">
        <v>2</v>
      </c>
      <c r="P400">
        <v>2</v>
      </c>
      <c r="Q400">
        <v>0</v>
      </c>
      <c r="R400">
        <v>0</v>
      </c>
      <c r="S400">
        <v>0</v>
      </c>
      <c r="T400">
        <v>0</v>
      </c>
      <c r="V400">
        <v>0</v>
      </c>
      <c r="Y400">
        <v>1</v>
      </c>
      <c r="Z400">
        <v>1</v>
      </c>
      <c r="AA400">
        <v>0.6</v>
      </c>
      <c r="AB400">
        <v>0.6</v>
      </c>
      <c r="AD400">
        <v>64</v>
      </c>
      <c r="AF400" s="2">
        <f t="shared" si="6"/>
        <v>1</v>
      </c>
    </row>
    <row r="401" spans="1:32" hidden="1" x14ac:dyDescent="0.25">
      <c r="A401">
        <v>512</v>
      </c>
      <c r="B401" t="s">
        <v>3080</v>
      </c>
      <c r="C401" t="s">
        <v>3081</v>
      </c>
      <c r="D401" t="s">
        <v>815</v>
      </c>
      <c r="E401" t="s">
        <v>15</v>
      </c>
      <c r="F401">
        <v>30</v>
      </c>
      <c r="G401">
        <v>1</v>
      </c>
      <c r="H401">
        <v>1</v>
      </c>
      <c r="I401">
        <v>9</v>
      </c>
      <c r="J401">
        <v>18</v>
      </c>
      <c r="K401">
        <v>128</v>
      </c>
      <c r="L401">
        <v>0</v>
      </c>
      <c r="M401">
        <v>2</v>
      </c>
      <c r="N401">
        <v>2</v>
      </c>
      <c r="O401">
        <v>2</v>
      </c>
      <c r="P401">
        <v>1</v>
      </c>
      <c r="Q401">
        <v>0</v>
      </c>
      <c r="R401">
        <v>0</v>
      </c>
      <c r="S401">
        <v>0</v>
      </c>
      <c r="T401">
        <v>0</v>
      </c>
      <c r="V401">
        <v>0</v>
      </c>
      <c r="Y401">
        <v>1</v>
      </c>
      <c r="Z401">
        <v>1</v>
      </c>
      <c r="AA401">
        <v>3.3</v>
      </c>
      <c r="AB401">
        <v>3.3</v>
      </c>
      <c r="AD401">
        <v>63</v>
      </c>
      <c r="AF401" s="2">
        <f t="shared" si="6"/>
        <v>1</v>
      </c>
    </row>
    <row r="402" spans="1:32" hidden="1" x14ac:dyDescent="0.25">
      <c r="A402">
        <v>444</v>
      </c>
      <c r="B402" t="s">
        <v>347</v>
      </c>
      <c r="C402" t="s">
        <v>2975</v>
      </c>
      <c r="D402" t="s">
        <v>1038</v>
      </c>
      <c r="E402" t="s">
        <v>15</v>
      </c>
      <c r="F402">
        <v>25</v>
      </c>
      <c r="G402">
        <v>5</v>
      </c>
      <c r="H402">
        <v>1</v>
      </c>
      <c r="I402">
        <v>22</v>
      </c>
      <c r="J402">
        <v>37</v>
      </c>
      <c r="K402">
        <v>185</v>
      </c>
      <c r="L402">
        <v>0</v>
      </c>
      <c r="M402">
        <v>0</v>
      </c>
      <c r="N402">
        <v>9</v>
      </c>
      <c r="O402">
        <v>-2</v>
      </c>
      <c r="P402">
        <v>-0.22</v>
      </c>
      <c r="Q402">
        <v>0</v>
      </c>
      <c r="R402">
        <v>0</v>
      </c>
      <c r="S402">
        <v>0</v>
      </c>
      <c r="T402">
        <v>0</v>
      </c>
      <c r="V402">
        <v>0</v>
      </c>
      <c r="Y402">
        <v>5</v>
      </c>
      <c r="Z402">
        <v>5</v>
      </c>
      <c r="AA402">
        <v>6.2</v>
      </c>
      <c r="AB402">
        <v>5.2</v>
      </c>
      <c r="AD402">
        <v>57</v>
      </c>
      <c r="AF402" s="2">
        <f t="shared" si="6"/>
        <v>1</v>
      </c>
    </row>
    <row r="403" spans="1:32" hidden="1" x14ac:dyDescent="0.25">
      <c r="A403">
        <v>471</v>
      </c>
      <c r="B403" t="s">
        <v>744</v>
      </c>
      <c r="C403" t="s">
        <v>3017</v>
      </c>
      <c r="D403" t="s">
        <v>1872</v>
      </c>
      <c r="E403" t="s">
        <v>15</v>
      </c>
      <c r="F403">
        <v>24</v>
      </c>
      <c r="G403">
        <v>3</v>
      </c>
      <c r="H403">
        <v>0</v>
      </c>
      <c r="I403">
        <v>11</v>
      </c>
      <c r="J403">
        <v>23</v>
      </c>
      <c r="K403">
        <v>126</v>
      </c>
      <c r="L403">
        <v>0</v>
      </c>
      <c r="M403">
        <v>1</v>
      </c>
      <c r="N403">
        <v>1</v>
      </c>
      <c r="O403">
        <v>-1</v>
      </c>
      <c r="P403">
        <v>-1</v>
      </c>
      <c r="Q403">
        <v>0</v>
      </c>
      <c r="R403">
        <v>0</v>
      </c>
      <c r="S403">
        <v>0</v>
      </c>
      <c r="T403">
        <v>0</v>
      </c>
      <c r="V403">
        <v>0</v>
      </c>
      <c r="Y403">
        <v>3</v>
      </c>
      <c r="Z403">
        <v>3</v>
      </c>
      <c r="AA403">
        <v>3.9</v>
      </c>
      <c r="AB403">
        <v>3.9</v>
      </c>
      <c r="AD403">
        <v>59</v>
      </c>
      <c r="AF403" s="2">
        <f t="shared" si="6"/>
        <v>1</v>
      </c>
    </row>
    <row r="404" spans="1:32" x14ac:dyDescent="0.25">
      <c r="A404">
        <v>342</v>
      </c>
      <c r="B404" t="s">
        <v>1593</v>
      </c>
      <c r="C404" t="s">
        <v>2829</v>
      </c>
      <c r="D404" t="s">
        <v>1038</v>
      </c>
      <c r="E404" t="s">
        <v>87</v>
      </c>
      <c r="F404">
        <v>22</v>
      </c>
      <c r="G404">
        <v>16</v>
      </c>
      <c r="H404">
        <v>1</v>
      </c>
      <c r="I404">
        <v>0</v>
      </c>
      <c r="J404">
        <v>0</v>
      </c>
      <c r="K404">
        <v>0</v>
      </c>
      <c r="L404">
        <v>0</v>
      </c>
      <c r="M404">
        <v>0</v>
      </c>
      <c r="N404">
        <v>0</v>
      </c>
      <c r="O404">
        <v>0</v>
      </c>
      <c r="Q404">
        <v>0</v>
      </c>
      <c r="R404">
        <v>24</v>
      </c>
      <c r="S404">
        <v>11</v>
      </c>
      <c r="T404">
        <v>104</v>
      </c>
      <c r="U404">
        <v>9.4499999999999993</v>
      </c>
      <c r="V404">
        <v>1</v>
      </c>
      <c r="Y404">
        <v>16</v>
      </c>
      <c r="Z404">
        <v>27</v>
      </c>
      <c r="AA404">
        <v>30.4</v>
      </c>
      <c r="AB404">
        <v>21.9</v>
      </c>
      <c r="AD404">
        <v>132</v>
      </c>
      <c r="AF404" s="2">
        <f t="shared" si="6"/>
        <v>1</v>
      </c>
    </row>
    <row r="405" spans="1:32" x14ac:dyDescent="0.25">
      <c r="A405">
        <v>395</v>
      </c>
      <c r="B405" t="s">
        <v>226</v>
      </c>
      <c r="C405" t="s">
        <v>2906</v>
      </c>
      <c r="D405" t="s">
        <v>1041</v>
      </c>
      <c r="E405" t="s">
        <v>87</v>
      </c>
      <c r="F405">
        <v>23</v>
      </c>
      <c r="G405">
        <v>10</v>
      </c>
      <c r="H405">
        <v>1</v>
      </c>
      <c r="I405">
        <v>0</v>
      </c>
      <c r="J405">
        <v>0</v>
      </c>
      <c r="K405">
        <v>0</v>
      </c>
      <c r="L405">
        <v>0</v>
      </c>
      <c r="M405">
        <v>0</v>
      </c>
      <c r="N405">
        <v>0</v>
      </c>
      <c r="O405">
        <v>0</v>
      </c>
      <c r="Q405">
        <v>0</v>
      </c>
      <c r="R405">
        <v>23</v>
      </c>
      <c r="S405">
        <v>11</v>
      </c>
      <c r="T405">
        <v>95</v>
      </c>
      <c r="U405">
        <v>8.64</v>
      </c>
      <c r="V405">
        <v>0</v>
      </c>
      <c r="Y405">
        <v>10</v>
      </c>
      <c r="Z405">
        <v>21</v>
      </c>
      <c r="AA405">
        <v>20.5</v>
      </c>
      <c r="AB405">
        <v>15</v>
      </c>
      <c r="AD405">
        <v>152</v>
      </c>
      <c r="AF405" s="2">
        <f t="shared" si="6"/>
        <v>1</v>
      </c>
    </row>
    <row r="406" spans="1:32" hidden="1" x14ac:dyDescent="0.25">
      <c r="A406">
        <v>439</v>
      </c>
      <c r="B406" t="s">
        <v>2968</v>
      </c>
      <c r="C406" t="s">
        <v>2969</v>
      </c>
      <c r="D406" t="s">
        <v>1037</v>
      </c>
      <c r="E406" t="s">
        <v>114</v>
      </c>
      <c r="F406">
        <v>26</v>
      </c>
      <c r="G406">
        <v>5</v>
      </c>
      <c r="H406">
        <v>0</v>
      </c>
      <c r="I406">
        <v>0</v>
      </c>
      <c r="J406">
        <v>0</v>
      </c>
      <c r="K406">
        <v>0</v>
      </c>
      <c r="L406">
        <v>0</v>
      </c>
      <c r="M406">
        <v>0</v>
      </c>
      <c r="N406">
        <v>0</v>
      </c>
      <c r="O406">
        <v>0</v>
      </c>
      <c r="Q406">
        <v>0</v>
      </c>
      <c r="R406">
        <v>2</v>
      </c>
      <c r="S406">
        <v>2</v>
      </c>
      <c r="T406">
        <v>53</v>
      </c>
      <c r="U406">
        <v>26.5</v>
      </c>
      <c r="V406">
        <v>0</v>
      </c>
      <c r="Y406">
        <v>5</v>
      </c>
      <c r="Z406">
        <v>7</v>
      </c>
      <c r="AA406">
        <v>7.3</v>
      </c>
      <c r="AB406">
        <v>6.3</v>
      </c>
      <c r="AD406">
        <v>80</v>
      </c>
      <c r="AF406" s="2">
        <f t="shared" si="6"/>
        <v>1</v>
      </c>
    </row>
    <row r="407" spans="1:32" x14ac:dyDescent="0.25">
      <c r="A407">
        <v>459</v>
      </c>
      <c r="B407" t="s">
        <v>2999</v>
      </c>
      <c r="C407" t="s">
        <v>3000</v>
      </c>
      <c r="D407" t="s">
        <v>1042</v>
      </c>
      <c r="E407" t="s">
        <v>87</v>
      </c>
      <c r="F407">
        <v>23</v>
      </c>
      <c r="G407">
        <v>4</v>
      </c>
      <c r="H407">
        <v>3</v>
      </c>
      <c r="I407">
        <v>0</v>
      </c>
      <c r="J407">
        <v>0</v>
      </c>
      <c r="K407">
        <v>0</v>
      </c>
      <c r="L407">
        <v>0</v>
      </c>
      <c r="M407">
        <v>0</v>
      </c>
      <c r="N407">
        <v>0</v>
      </c>
      <c r="O407">
        <v>0</v>
      </c>
      <c r="Q407">
        <v>0</v>
      </c>
      <c r="R407">
        <v>6</v>
      </c>
      <c r="S407">
        <v>3</v>
      </c>
      <c r="T407">
        <v>35</v>
      </c>
      <c r="U407">
        <v>11.67</v>
      </c>
      <c r="V407">
        <v>0</v>
      </c>
      <c r="Y407">
        <v>4</v>
      </c>
      <c r="Z407">
        <v>7</v>
      </c>
      <c r="AA407">
        <v>6.5</v>
      </c>
      <c r="AB407">
        <v>5</v>
      </c>
      <c r="AD407">
        <v>184</v>
      </c>
      <c r="AF407" s="2">
        <f t="shared" si="6"/>
        <v>1</v>
      </c>
    </row>
    <row r="408" spans="1:32" hidden="1" x14ac:dyDescent="0.25">
      <c r="A408">
        <v>474</v>
      </c>
      <c r="B408" t="s">
        <v>324</v>
      </c>
      <c r="C408" t="s">
        <v>3022</v>
      </c>
      <c r="D408" t="s">
        <v>1834</v>
      </c>
      <c r="E408" t="s">
        <v>15</v>
      </c>
      <c r="F408">
        <v>27</v>
      </c>
      <c r="G408">
        <v>3</v>
      </c>
      <c r="H408">
        <v>0</v>
      </c>
      <c r="I408">
        <v>7</v>
      </c>
      <c r="J408">
        <v>14</v>
      </c>
      <c r="K408">
        <v>66</v>
      </c>
      <c r="L408">
        <v>0</v>
      </c>
      <c r="M408">
        <v>0</v>
      </c>
      <c r="N408">
        <v>0</v>
      </c>
      <c r="O408">
        <v>0</v>
      </c>
      <c r="Q408">
        <v>0</v>
      </c>
      <c r="R408">
        <v>0</v>
      </c>
      <c r="S408">
        <v>0</v>
      </c>
      <c r="T408">
        <v>0</v>
      </c>
      <c r="V408">
        <v>0</v>
      </c>
      <c r="Y408">
        <v>3</v>
      </c>
      <c r="Z408">
        <v>3</v>
      </c>
      <c r="AA408">
        <v>2.6</v>
      </c>
      <c r="AB408">
        <v>2.6</v>
      </c>
      <c r="AD408">
        <v>60</v>
      </c>
      <c r="AF408" s="2">
        <f t="shared" si="6"/>
        <v>1</v>
      </c>
    </row>
    <row r="409" spans="1:32" hidden="1" x14ac:dyDescent="0.25">
      <c r="A409">
        <v>486</v>
      </c>
      <c r="B409" t="s">
        <v>369</v>
      </c>
      <c r="C409" t="s">
        <v>3039</v>
      </c>
      <c r="D409" t="s">
        <v>1887</v>
      </c>
      <c r="E409" t="s">
        <v>15</v>
      </c>
      <c r="F409">
        <v>35</v>
      </c>
      <c r="G409">
        <v>2</v>
      </c>
      <c r="H409">
        <v>1</v>
      </c>
      <c r="I409">
        <v>25</v>
      </c>
      <c r="J409">
        <v>42</v>
      </c>
      <c r="K409">
        <v>162</v>
      </c>
      <c r="L409">
        <v>1</v>
      </c>
      <c r="M409">
        <v>2</v>
      </c>
      <c r="N409">
        <v>0</v>
      </c>
      <c r="O409">
        <v>0</v>
      </c>
      <c r="Q409">
        <v>0</v>
      </c>
      <c r="R409">
        <v>0</v>
      </c>
      <c r="S409">
        <v>0</v>
      </c>
      <c r="T409">
        <v>0</v>
      </c>
      <c r="V409">
        <v>0</v>
      </c>
      <c r="Y409">
        <v>2</v>
      </c>
      <c r="Z409">
        <v>2</v>
      </c>
      <c r="AA409">
        <v>6.5</v>
      </c>
      <c r="AB409">
        <v>4.5</v>
      </c>
      <c r="AD409">
        <v>61</v>
      </c>
      <c r="AF409" s="2">
        <f t="shared" si="6"/>
        <v>1</v>
      </c>
    </row>
    <row r="410" spans="1:32" x14ac:dyDescent="0.25">
      <c r="A410">
        <v>497</v>
      </c>
      <c r="B410" t="s">
        <v>3055</v>
      </c>
      <c r="C410" t="s">
        <v>3056</v>
      </c>
      <c r="D410" t="s">
        <v>1890</v>
      </c>
      <c r="E410" t="s">
        <v>87</v>
      </c>
      <c r="F410">
        <v>27</v>
      </c>
      <c r="G410">
        <v>2</v>
      </c>
      <c r="H410">
        <v>0</v>
      </c>
      <c r="I410">
        <v>0</v>
      </c>
      <c r="J410">
        <v>0</v>
      </c>
      <c r="K410">
        <v>0</v>
      </c>
      <c r="L410">
        <v>0</v>
      </c>
      <c r="M410">
        <v>0</v>
      </c>
      <c r="N410">
        <v>0</v>
      </c>
      <c r="O410">
        <v>0</v>
      </c>
      <c r="Q410">
        <v>0</v>
      </c>
      <c r="R410">
        <v>6</v>
      </c>
      <c r="S410">
        <v>4</v>
      </c>
      <c r="T410">
        <v>23</v>
      </c>
      <c r="U410">
        <v>5.75</v>
      </c>
      <c r="V410">
        <v>0</v>
      </c>
      <c r="Y410">
        <v>2</v>
      </c>
      <c r="Z410">
        <v>6</v>
      </c>
      <c r="AA410">
        <v>6.3</v>
      </c>
      <c r="AB410">
        <v>4.3</v>
      </c>
      <c r="AD410">
        <v>194</v>
      </c>
      <c r="AF410" s="2">
        <f t="shared" si="6"/>
        <v>1</v>
      </c>
    </row>
    <row r="411" spans="1:32" x14ac:dyDescent="0.25">
      <c r="A411">
        <v>498</v>
      </c>
      <c r="B411" t="s">
        <v>3057</v>
      </c>
      <c r="C411" t="s">
        <v>3058</v>
      </c>
      <c r="D411" t="s">
        <v>1043</v>
      </c>
      <c r="E411" t="s">
        <v>87</v>
      </c>
      <c r="F411">
        <v>26</v>
      </c>
      <c r="G411">
        <v>2</v>
      </c>
      <c r="H411">
        <v>1</v>
      </c>
      <c r="I411">
        <v>0</v>
      </c>
      <c r="J411">
        <v>0</v>
      </c>
      <c r="K411">
        <v>0</v>
      </c>
      <c r="L411">
        <v>0</v>
      </c>
      <c r="M411">
        <v>0</v>
      </c>
      <c r="N411">
        <v>0</v>
      </c>
      <c r="O411">
        <v>0</v>
      </c>
      <c r="Q411">
        <v>0</v>
      </c>
      <c r="R411">
        <v>7</v>
      </c>
      <c r="S411">
        <v>1</v>
      </c>
      <c r="T411">
        <v>24</v>
      </c>
      <c r="U411">
        <v>24</v>
      </c>
      <c r="V411">
        <v>0</v>
      </c>
      <c r="Y411">
        <v>2</v>
      </c>
      <c r="Z411">
        <v>3</v>
      </c>
      <c r="AA411">
        <v>3.4</v>
      </c>
      <c r="AB411">
        <v>2.9</v>
      </c>
      <c r="AD411">
        <v>193</v>
      </c>
      <c r="AF411" s="2">
        <f t="shared" si="6"/>
        <v>1</v>
      </c>
    </row>
    <row r="412" spans="1:32" x14ac:dyDescent="0.25">
      <c r="A412">
        <v>510</v>
      </c>
      <c r="B412" t="s">
        <v>3077</v>
      </c>
      <c r="C412" t="s">
        <v>3078</v>
      </c>
      <c r="D412" t="s">
        <v>1811</v>
      </c>
      <c r="E412" t="s">
        <v>87</v>
      </c>
      <c r="F412">
        <v>23</v>
      </c>
      <c r="G412">
        <v>1</v>
      </c>
      <c r="H412">
        <v>1</v>
      </c>
      <c r="I412">
        <v>0</v>
      </c>
      <c r="J412">
        <v>0</v>
      </c>
      <c r="K412">
        <v>0</v>
      </c>
      <c r="L412">
        <v>0</v>
      </c>
      <c r="M412">
        <v>0</v>
      </c>
      <c r="N412">
        <v>0</v>
      </c>
      <c r="O412">
        <v>0</v>
      </c>
      <c r="Q412">
        <v>0</v>
      </c>
      <c r="R412">
        <v>4</v>
      </c>
      <c r="S412">
        <v>2</v>
      </c>
      <c r="T412">
        <v>13</v>
      </c>
      <c r="U412">
        <v>6.5</v>
      </c>
      <c r="V412">
        <v>0</v>
      </c>
      <c r="Y412">
        <v>1</v>
      </c>
      <c r="Z412">
        <v>3</v>
      </c>
      <c r="AA412">
        <v>3.3</v>
      </c>
      <c r="AB412">
        <v>2.2999999999999998</v>
      </c>
      <c r="AD412">
        <v>197</v>
      </c>
      <c r="AF412" s="2">
        <f t="shared" si="6"/>
        <v>1</v>
      </c>
    </row>
    <row r="413" spans="1:32" x14ac:dyDescent="0.25">
      <c r="A413">
        <v>515</v>
      </c>
      <c r="B413" t="s">
        <v>198</v>
      </c>
      <c r="C413" t="s">
        <v>3086</v>
      </c>
      <c r="D413" t="s">
        <v>1042</v>
      </c>
      <c r="E413" t="s">
        <v>87</v>
      </c>
      <c r="F413">
        <v>25</v>
      </c>
      <c r="G413">
        <v>1</v>
      </c>
      <c r="H413">
        <v>1</v>
      </c>
      <c r="I413">
        <v>0</v>
      </c>
      <c r="J413">
        <v>0</v>
      </c>
      <c r="K413">
        <v>0</v>
      </c>
      <c r="L413">
        <v>0</v>
      </c>
      <c r="M413">
        <v>0</v>
      </c>
      <c r="N413">
        <v>0</v>
      </c>
      <c r="O413">
        <v>0</v>
      </c>
      <c r="Q413">
        <v>0</v>
      </c>
      <c r="R413">
        <v>4</v>
      </c>
      <c r="S413">
        <v>2</v>
      </c>
      <c r="T413">
        <v>6</v>
      </c>
      <c r="U413">
        <v>3</v>
      </c>
      <c r="V413">
        <v>0</v>
      </c>
      <c r="Y413">
        <v>1</v>
      </c>
      <c r="Z413">
        <v>3</v>
      </c>
      <c r="AA413">
        <v>2.6</v>
      </c>
      <c r="AB413">
        <v>1.6</v>
      </c>
      <c r="AD413">
        <v>203</v>
      </c>
      <c r="AF413" s="2">
        <f t="shared" si="6"/>
        <v>1</v>
      </c>
    </row>
    <row r="414" spans="1:32" hidden="1" x14ac:dyDescent="0.25">
      <c r="A414">
        <v>348</v>
      </c>
      <c r="B414" t="s">
        <v>385</v>
      </c>
      <c r="C414" t="s">
        <v>2838</v>
      </c>
      <c r="D414" t="s">
        <v>1037</v>
      </c>
      <c r="E414" t="s">
        <v>47</v>
      </c>
      <c r="F414">
        <v>29</v>
      </c>
      <c r="G414">
        <v>16</v>
      </c>
      <c r="H414">
        <v>3</v>
      </c>
      <c r="I414">
        <v>0</v>
      </c>
      <c r="J414">
        <v>0</v>
      </c>
      <c r="K414">
        <v>0</v>
      </c>
      <c r="L414">
        <v>0</v>
      </c>
      <c r="M414">
        <v>0</v>
      </c>
      <c r="N414">
        <v>14</v>
      </c>
      <c r="O414">
        <v>40</v>
      </c>
      <c r="P414">
        <v>2.86</v>
      </c>
      <c r="Q414">
        <v>1</v>
      </c>
      <c r="R414">
        <v>8</v>
      </c>
      <c r="S414">
        <v>6</v>
      </c>
      <c r="T414">
        <v>47</v>
      </c>
      <c r="U414">
        <v>7.83</v>
      </c>
      <c r="V414">
        <v>0</v>
      </c>
      <c r="Y414">
        <v>15</v>
      </c>
      <c r="Z414">
        <v>21</v>
      </c>
      <c r="AA414">
        <v>20.7</v>
      </c>
      <c r="AB414">
        <v>17.7</v>
      </c>
      <c r="AD414">
        <v>99</v>
      </c>
      <c r="AF414" s="2">
        <f t="shared" si="6"/>
        <v>0.9375</v>
      </c>
    </row>
    <row r="415" spans="1:32" hidden="1" x14ac:dyDescent="0.25">
      <c r="A415">
        <v>343</v>
      </c>
      <c r="B415" t="s">
        <v>254</v>
      </c>
      <c r="C415" t="s">
        <v>2830</v>
      </c>
      <c r="D415" t="s">
        <v>1049</v>
      </c>
      <c r="E415" t="s">
        <v>114</v>
      </c>
      <c r="F415">
        <v>27</v>
      </c>
      <c r="G415">
        <v>16</v>
      </c>
      <c r="H415">
        <v>8</v>
      </c>
      <c r="I415">
        <v>0</v>
      </c>
      <c r="J415">
        <v>0</v>
      </c>
      <c r="K415">
        <v>0</v>
      </c>
      <c r="L415">
        <v>0</v>
      </c>
      <c r="M415">
        <v>0</v>
      </c>
      <c r="N415">
        <v>0</v>
      </c>
      <c r="O415">
        <v>0</v>
      </c>
      <c r="Q415">
        <v>0</v>
      </c>
      <c r="R415">
        <v>22</v>
      </c>
      <c r="S415">
        <v>10</v>
      </c>
      <c r="T415">
        <v>86</v>
      </c>
      <c r="U415">
        <v>8.6</v>
      </c>
      <c r="V415">
        <v>1</v>
      </c>
      <c r="Y415">
        <v>15</v>
      </c>
      <c r="Z415">
        <v>25</v>
      </c>
      <c r="AA415">
        <v>24.6</v>
      </c>
      <c r="AB415">
        <v>19.600000000000001</v>
      </c>
      <c r="AD415">
        <v>66</v>
      </c>
      <c r="AF415" s="2">
        <f t="shared" si="6"/>
        <v>0.9375</v>
      </c>
    </row>
    <row r="416" spans="1:32" hidden="1" x14ac:dyDescent="0.25">
      <c r="A416">
        <v>345</v>
      </c>
      <c r="B416" t="s">
        <v>2833</v>
      </c>
      <c r="C416" t="s">
        <v>2834</v>
      </c>
      <c r="D416" t="s">
        <v>1044</v>
      </c>
      <c r="E416" t="s">
        <v>114</v>
      </c>
      <c r="F416">
        <v>28</v>
      </c>
      <c r="G416">
        <v>16</v>
      </c>
      <c r="H416">
        <v>8</v>
      </c>
      <c r="I416">
        <v>0</v>
      </c>
      <c r="J416">
        <v>0</v>
      </c>
      <c r="K416">
        <v>0</v>
      </c>
      <c r="L416">
        <v>0</v>
      </c>
      <c r="M416">
        <v>0</v>
      </c>
      <c r="N416">
        <v>0</v>
      </c>
      <c r="O416">
        <v>0</v>
      </c>
      <c r="Q416">
        <v>0</v>
      </c>
      <c r="R416">
        <v>9</v>
      </c>
      <c r="S416">
        <v>4</v>
      </c>
      <c r="T416">
        <v>88</v>
      </c>
      <c r="U416">
        <v>22</v>
      </c>
      <c r="V416">
        <v>1</v>
      </c>
      <c r="Y416">
        <v>15</v>
      </c>
      <c r="Z416">
        <v>19</v>
      </c>
      <c r="AA416">
        <v>18.8</v>
      </c>
      <c r="AB416">
        <v>16.8</v>
      </c>
      <c r="AD416">
        <v>65</v>
      </c>
      <c r="AF416" s="2">
        <f t="shared" si="6"/>
        <v>0.9375</v>
      </c>
    </row>
    <row r="417" spans="1:32" x14ac:dyDescent="0.25">
      <c r="A417">
        <v>362</v>
      </c>
      <c r="B417" t="s">
        <v>1559</v>
      </c>
      <c r="C417" t="s">
        <v>2858</v>
      </c>
      <c r="D417" t="s">
        <v>1042</v>
      </c>
      <c r="E417" t="s">
        <v>87</v>
      </c>
      <c r="F417">
        <v>25</v>
      </c>
      <c r="G417">
        <v>14</v>
      </c>
      <c r="H417">
        <v>2</v>
      </c>
      <c r="I417">
        <v>0</v>
      </c>
      <c r="J417">
        <v>0</v>
      </c>
      <c r="K417">
        <v>0</v>
      </c>
      <c r="L417">
        <v>0</v>
      </c>
      <c r="M417">
        <v>0</v>
      </c>
      <c r="N417">
        <v>0</v>
      </c>
      <c r="O417">
        <v>0</v>
      </c>
      <c r="Q417">
        <v>0</v>
      </c>
      <c r="R417">
        <v>20</v>
      </c>
      <c r="S417">
        <v>13</v>
      </c>
      <c r="T417">
        <v>129</v>
      </c>
      <c r="U417">
        <v>9.92</v>
      </c>
      <c r="V417">
        <v>0</v>
      </c>
      <c r="Y417">
        <v>13</v>
      </c>
      <c r="Z417">
        <v>26</v>
      </c>
      <c r="AA417">
        <v>28.9</v>
      </c>
      <c r="AB417">
        <v>19.399999999999999</v>
      </c>
      <c r="AD417">
        <v>141</v>
      </c>
      <c r="AF417" s="2">
        <f t="shared" si="6"/>
        <v>0.9285714285714286</v>
      </c>
    </row>
    <row r="418" spans="1:32" x14ac:dyDescent="0.25">
      <c r="A418">
        <v>352</v>
      </c>
      <c r="B418" t="s">
        <v>304</v>
      </c>
      <c r="C418" t="s">
        <v>2842</v>
      </c>
      <c r="D418" t="s">
        <v>1040</v>
      </c>
      <c r="E418" t="s">
        <v>87</v>
      </c>
      <c r="F418">
        <v>30</v>
      </c>
      <c r="G418">
        <v>16</v>
      </c>
      <c r="H418">
        <v>0</v>
      </c>
      <c r="I418">
        <v>0</v>
      </c>
      <c r="J418">
        <v>0</v>
      </c>
      <c r="K418">
        <v>0</v>
      </c>
      <c r="L418">
        <v>0</v>
      </c>
      <c r="M418">
        <v>0</v>
      </c>
      <c r="N418">
        <v>2</v>
      </c>
      <c r="O418">
        <v>32</v>
      </c>
      <c r="P418">
        <v>16</v>
      </c>
      <c r="Q418">
        <v>1</v>
      </c>
      <c r="R418">
        <v>3</v>
      </c>
      <c r="S418">
        <v>2</v>
      </c>
      <c r="T418">
        <v>47</v>
      </c>
      <c r="U418">
        <v>23.5</v>
      </c>
      <c r="V418">
        <v>0</v>
      </c>
      <c r="Y418">
        <v>14</v>
      </c>
      <c r="Z418">
        <v>16</v>
      </c>
      <c r="AA418">
        <v>15.9</v>
      </c>
      <c r="AB418">
        <v>14.9</v>
      </c>
      <c r="AD418">
        <v>138</v>
      </c>
      <c r="AF418" s="2">
        <f t="shared" si="6"/>
        <v>0.875</v>
      </c>
    </row>
    <row r="419" spans="1:32" hidden="1" x14ac:dyDescent="0.25">
      <c r="A419">
        <v>351</v>
      </c>
      <c r="B419" t="s">
        <v>1549</v>
      </c>
      <c r="C419" t="s">
        <v>2841</v>
      </c>
      <c r="D419" t="s">
        <v>1048</v>
      </c>
      <c r="E419" t="s">
        <v>47</v>
      </c>
      <c r="F419">
        <v>24</v>
      </c>
      <c r="G419">
        <v>16</v>
      </c>
      <c r="H419">
        <v>1</v>
      </c>
      <c r="I419">
        <v>0</v>
      </c>
      <c r="J419">
        <v>0</v>
      </c>
      <c r="K419">
        <v>0</v>
      </c>
      <c r="L419">
        <v>0</v>
      </c>
      <c r="M419">
        <v>0</v>
      </c>
      <c r="N419">
        <v>7</v>
      </c>
      <c r="O419">
        <v>13</v>
      </c>
      <c r="P419">
        <v>1.86</v>
      </c>
      <c r="Q419">
        <v>1</v>
      </c>
      <c r="R419">
        <v>8</v>
      </c>
      <c r="S419">
        <v>7</v>
      </c>
      <c r="T419">
        <v>68</v>
      </c>
      <c r="U419">
        <v>9.7100000000000009</v>
      </c>
      <c r="V419">
        <v>0</v>
      </c>
      <c r="Y419">
        <v>14</v>
      </c>
      <c r="Z419">
        <v>21</v>
      </c>
      <c r="AA419">
        <v>21.1</v>
      </c>
      <c r="AB419">
        <v>17.600000000000001</v>
      </c>
      <c r="AD419">
        <v>101</v>
      </c>
      <c r="AF419" s="2">
        <f t="shared" si="6"/>
        <v>0.875</v>
      </c>
    </row>
    <row r="420" spans="1:32" hidden="1" x14ac:dyDescent="0.25">
      <c r="A420">
        <v>353</v>
      </c>
      <c r="B420" t="s">
        <v>287</v>
      </c>
      <c r="C420" t="s">
        <v>2843</v>
      </c>
      <c r="D420" t="s">
        <v>1051</v>
      </c>
      <c r="E420" t="s">
        <v>114</v>
      </c>
      <c r="F420">
        <v>27</v>
      </c>
      <c r="G420">
        <v>16</v>
      </c>
      <c r="H420">
        <v>11</v>
      </c>
      <c r="I420">
        <v>0</v>
      </c>
      <c r="J420">
        <v>0</v>
      </c>
      <c r="K420">
        <v>0</v>
      </c>
      <c r="L420">
        <v>0</v>
      </c>
      <c r="M420">
        <v>0</v>
      </c>
      <c r="N420">
        <v>1</v>
      </c>
      <c r="O420">
        <v>-8</v>
      </c>
      <c r="P420">
        <v>-8</v>
      </c>
      <c r="Q420">
        <v>0</v>
      </c>
      <c r="R420">
        <v>22</v>
      </c>
      <c r="S420">
        <v>16</v>
      </c>
      <c r="T420">
        <v>125</v>
      </c>
      <c r="U420">
        <v>7.81</v>
      </c>
      <c r="V420">
        <v>1</v>
      </c>
      <c r="Y420">
        <v>14</v>
      </c>
      <c r="Z420">
        <v>30</v>
      </c>
      <c r="AA420">
        <v>34.700000000000003</v>
      </c>
      <c r="AB420">
        <v>21.7</v>
      </c>
      <c r="AD420">
        <v>67</v>
      </c>
      <c r="AF420" s="2">
        <f t="shared" si="6"/>
        <v>0.875</v>
      </c>
    </row>
    <row r="421" spans="1:32" hidden="1" x14ac:dyDescent="0.25">
      <c r="A421">
        <v>426</v>
      </c>
      <c r="B421" t="s">
        <v>1618</v>
      </c>
      <c r="C421" t="s">
        <v>2950</v>
      </c>
      <c r="D421" t="s">
        <v>1865</v>
      </c>
      <c r="E421" t="s">
        <v>47</v>
      </c>
      <c r="F421">
        <v>24</v>
      </c>
      <c r="G421">
        <v>8</v>
      </c>
      <c r="H421">
        <v>3</v>
      </c>
      <c r="I421">
        <v>0</v>
      </c>
      <c r="J421">
        <v>0</v>
      </c>
      <c r="K421">
        <v>0</v>
      </c>
      <c r="L421">
        <v>0</v>
      </c>
      <c r="M421">
        <v>0</v>
      </c>
      <c r="N421">
        <v>0</v>
      </c>
      <c r="O421">
        <v>0</v>
      </c>
      <c r="Q421">
        <v>0</v>
      </c>
      <c r="R421">
        <v>2</v>
      </c>
      <c r="S421">
        <v>2</v>
      </c>
      <c r="T421">
        <v>65</v>
      </c>
      <c r="U421">
        <v>32.5</v>
      </c>
      <c r="V421">
        <v>0</v>
      </c>
      <c r="Y421">
        <v>7</v>
      </c>
      <c r="Z421">
        <v>9</v>
      </c>
      <c r="AA421">
        <v>8.5</v>
      </c>
      <c r="AB421">
        <v>7.5</v>
      </c>
      <c r="AD421">
        <v>121</v>
      </c>
      <c r="AF421" s="2">
        <f t="shared" si="6"/>
        <v>0.875</v>
      </c>
    </row>
    <row r="422" spans="1:32" x14ac:dyDescent="0.25">
      <c r="A422">
        <v>360</v>
      </c>
      <c r="B422" t="s">
        <v>2854</v>
      </c>
      <c r="C422" t="s">
        <v>2855</v>
      </c>
      <c r="D422" t="s">
        <v>815</v>
      </c>
      <c r="E422" t="s">
        <v>87</v>
      </c>
      <c r="F422">
        <v>28</v>
      </c>
      <c r="G422">
        <v>15</v>
      </c>
      <c r="H422">
        <v>7</v>
      </c>
      <c r="I422">
        <v>0</v>
      </c>
      <c r="J422">
        <v>0</v>
      </c>
      <c r="K422">
        <v>0</v>
      </c>
      <c r="L422">
        <v>0</v>
      </c>
      <c r="M422">
        <v>0</v>
      </c>
      <c r="N422">
        <v>0</v>
      </c>
      <c r="O422">
        <v>0</v>
      </c>
      <c r="Q422">
        <v>0</v>
      </c>
      <c r="R422">
        <v>44</v>
      </c>
      <c r="S422">
        <v>15</v>
      </c>
      <c r="T422">
        <v>133</v>
      </c>
      <c r="U422">
        <v>8.8699999999999992</v>
      </c>
      <c r="V422">
        <v>0</v>
      </c>
      <c r="Y422">
        <v>13</v>
      </c>
      <c r="Z422">
        <v>28</v>
      </c>
      <c r="AA422">
        <v>31.3</v>
      </c>
      <c r="AB422">
        <v>20.8</v>
      </c>
      <c r="AD422">
        <v>139</v>
      </c>
      <c r="AF422" s="2">
        <f t="shared" si="6"/>
        <v>0.8666666666666667</v>
      </c>
    </row>
    <row r="423" spans="1:32" hidden="1" x14ac:dyDescent="0.25">
      <c r="A423">
        <v>372</v>
      </c>
      <c r="B423" t="s">
        <v>2871</v>
      </c>
      <c r="C423" t="s">
        <v>2872</v>
      </c>
      <c r="D423" t="s">
        <v>1052</v>
      </c>
      <c r="E423" t="s">
        <v>47</v>
      </c>
      <c r="F423">
        <v>25</v>
      </c>
      <c r="G423">
        <v>14</v>
      </c>
      <c r="H423">
        <v>0</v>
      </c>
      <c r="I423">
        <v>0</v>
      </c>
      <c r="J423">
        <v>0</v>
      </c>
      <c r="K423">
        <v>0</v>
      </c>
      <c r="L423">
        <v>0</v>
      </c>
      <c r="M423">
        <v>0</v>
      </c>
      <c r="N423">
        <v>30</v>
      </c>
      <c r="O423">
        <v>129</v>
      </c>
      <c r="P423">
        <v>4.3</v>
      </c>
      <c r="Q423">
        <v>0</v>
      </c>
      <c r="R423">
        <v>3</v>
      </c>
      <c r="S423">
        <v>3</v>
      </c>
      <c r="T423">
        <v>14</v>
      </c>
      <c r="U423">
        <v>4.67</v>
      </c>
      <c r="V423">
        <v>0</v>
      </c>
      <c r="Y423">
        <v>12</v>
      </c>
      <c r="Z423">
        <v>15</v>
      </c>
      <c r="AA423">
        <v>19.3</v>
      </c>
      <c r="AB423">
        <v>13.8</v>
      </c>
      <c r="AD423">
        <v>107</v>
      </c>
      <c r="AF423" s="2">
        <f t="shared" si="6"/>
        <v>0.8571428571428571</v>
      </c>
    </row>
    <row r="424" spans="1:32" hidden="1" x14ac:dyDescent="0.25">
      <c r="A424">
        <v>373</v>
      </c>
      <c r="B424" t="s">
        <v>2873</v>
      </c>
      <c r="C424" t="s">
        <v>2874</v>
      </c>
      <c r="D424" t="s">
        <v>815</v>
      </c>
      <c r="E424" t="s">
        <v>114</v>
      </c>
      <c r="F424">
        <v>30</v>
      </c>
      <c r="G424">
        <v>14</v>
      </c>
      <c r="H424">
        <v>10</v>
      </c>
      <c r="I424">
        <v>0</v>
      </c>
      <c r="J424">
        <v>0</v>
      </c>
      <c r="K424">
        <v>0</v>
      </c>
      <c r="L424">
        <v>0</v>
      </c>
      <c r="M424">
        <v>0</v>
      </c>
      <c r="N424">
        <v>0</v>
      </c>
      <c r="O424">
        <v>0</v>
      </c>
      <c r="Q424">
        <v>0</v>
      </c>
      <c r="R424">
        <v>17</v>
      </c>
      <c r="S424">
        <v>13</v>
      </c>
      <c r="T424">
        <v>121</v>
      </c>
      <c r="U424">
        <v>9.31</v>
      </c>
      <c r="V424">
        <v>0</v>
      </c>
      <c r="Y424">
        <v>12</v>
      </c>
      <c r="Z424">
        <v>25</v>
      </c>
      <c r="AA424">
        <v>28.1</v>
      </c>
      <c r="AB424">
        <v>18.600000000000001</v>
      </c>
      <c r="AD424">
        <v>70</v>
      </c>
      <c r="AF424" s="2">
        <f t="shared" si="6"/>
        <v>0.8571428571428571</v>
      </c>
    </row>
    <row r="425" spans="1:32" hidden="1" x14ac:dyDescent="0.25">
      <c r="A425">
        <v>384</v>
      </c>
      <c r="B425" t="s">
        <v>2889</v>
      </c>
      <c r="C425" t="s">
        <v>2890</v>
      </c>
      <c r="D425" t="s">
        <v>1051</v>
      </c>
      <c r="E425" t="s">
        <v>47</v>
      </c>
      <c r="F425">
        <v>27</v>
      </c>
      <c r="G425">
        <v>12</v>
      </c>
      <c r="H425">
        <v>4</v>
      </c>
      <c r="I425">
        <v>0</v>
      </c>
      <c r="J425">
        <v>0</v>
      </c>
      <c r="K425">
        <v>0</v>
      </c>
      <c r="L425">
        <v>0</v>
      </c>
      <c r="M425">
        <v>0</v>
      </c>
      <c r="N425">
        <v>7</v>
      </c>
      <c r="O425">
        <v>28</v>
      </c>
      <c r="P425">
        <v>4</v>
      </c>
      <c r="Q425">
        <v>0</v>
      </c>
      <c r="R425">
        <v>5</v>
      </c>
      <c r="S425">
        <v>2</v>
      </c>
      <c r="T425">
        <v>8</v>
      </c>
      <c r="U425">
        <v>4</v>
      </c>
      <c r="V425">
        <v>1</v>
      </c>
      <c r="Y425">
        <v>10</v>
      </c>
      <c r="Z425">
        <v>12</v>
      </c>
      <c r="AA425">
        <v>11.6</v>
      </c>
      <c r="AB425">
        <v>10.6</v>
      </c>
      <c r="AD425">
        <v>115</v>
      </c>
      <c r="AF425" s="2">
        <f t="shared" si="6"/>
        <v>0.83333333333333337</v>
      </c>
    </row>
    <row r="426" spans="1:32" hidden="1" x14ac:dyDescent="0.25">
      <c r="A426">
        <v>366</v>
      </c>
      <c r="B426" t="s">
        <v>2863</v>
      </c>
      <c r="C426" t="s">
        <v>2864</v>
      </c>
      <c r="D426" t="s">
        <v>1040</v>
      </c>
      <c r="E426" t="s">
        <v>47</v>
      </c>
      <c r="F426">
        <v>25</v>
      </c>
      <c r="G426">
        <v>16</v>
      </c>
      <c r="H426">
        <v>4</v>
      </c>
      <c r="I426">
        <v>0</v>
      </c>
      <c r="J426">
        <v>0</v>
      </c>
      <c r="K426">
        <v>0</v>
      </c>
      <c r="L426">
        <v>0</v>
      </c>
      <c r="M426">
        <v>0</v>
      </c>
      <c r="N426">
        <v>3</v>
      </c>
      <c r="O426">
        <v>0</v>
      </c>
      <c r="P426">
        <v>0</v>
      </c>
      <c r="Q426">
        <v>1</v>
      </c>
      <c r="R426">
        <v>3</v>
      </c>
      <c r="S426">
        <v>2</v>
      </c>
      <c r="T426">
        <v>6</v>
      </c>
      <c r="U426">
        <v>3</v>
      </c>
      <c r="V426">
        <v>1</v>
      </c>
      <c r="Y426">
        <v>13</v>
      </c>
      <c r="Z426">
        <v>15</v>
      </c>
      <c r="AA426">
        <v>14.6</v>
      </c>
      <c r="AB426">
        <v>13.6</v>
      </c>
      <c r="AD426">
        <v>105</v>
      </c>
      <c r="AF426" s="2">
        <f t="shared" si="6"/>
        <v>0.8125</v>
      </c>
    </row>
    <row r="427" spans="1:32" hidden="1" x14ac:dyDescent="0.25">
      <c r="A427">
        <v>377</v>
      </c>
      <c r="B427" t="s">
        <v>2880</v>
      </c>
      <c r="C427" t="s">
        <v>2881</v>
      </c>
      <c r="D427" t="s">
        <v>1051</v>
      </c>
      <c r="E427" t="s">
        <v>114</v>
      </c>
      <c r="F427">
        <v>29</v>
      </c>
      <c r="G427">
        <v>14</v>
      </c>
      <c r="H427">
        <v>10</v>
      </c>
      <c r="I427">
        <v>0</v>
      </c>
      <c r="J427">
        <v>0</v>
      </c>
      <c r="K427">
        <v>0</v>
      </c>
      <c r="L427">
        <v>0</v>
      </c>
      <c r="M427">
        <v>0</v>
      </c>
      <c r="N427">
        <v>0</v>
      </c>
      <c r="O427">
        <v>0</v>
      </c>
      <c r="Q427">
        <v>0</v>
      </c>
      <c r="R427">
        <v>10</v>
      </c>
      <c r="S427">
        <v>6</v>
      </c>
      <c r="T427">
        <v>52</v>
      </c>
      <c r="U427">
        <v>8.67</v>
      </c>
      <c r="V427">
        <v>1</v>
      </c>
      <c r="Y427">
        <v>11</v>
      </c>
      <c r="Z427">
        <v>17</v>
      </c>
      <c r="AA427">
        <v>17.2</v>
      </c>
      <c r="AB427">
        <v>14.2</v>
      </c>
      <c r="AD427">
        <v>71</v>
      </c>
      <c r="AF427" s="2">
        <f t="shared" si="6"/>
        <v>0.7857142857142857</v>
      </c>
    </row>
    <row r="428" spans="1:32" hidden="1" x14ac:dyDescent="0.25">
      <c r="A428">
        <v>401</v>
      </c>
      <c r="B428" t="s">
        <v>315</v>
      </c>
      <c r="C428" t="s">
        <v>2914</v>
      </c>
      <c r="D428" t="s">
        <v>2398</v>
      </c>
      <c r="E428" t="s">
        <v>114</v>
      </c>
      <c r="F428">
        <v>29</v>
      </c>
      <c r="G428">
        <v>12</v>
      </c>
      <c r="H428">
        <v>5</v>
      </c>
      <c r="I428">
        <v>0</v>
      </c>
      <c r="J428">
        <v>0</v>
      </c>
      <c r="K428">
        <v>0</v>
      </c>
      <c r="L428">
        <v>0</v>
      </c>
      <c r="M428">
        <v>0</v>
      </c>
      <c r="N428">
        <v>0</v>
      </c>
      <c r="O428">
        <v>0</v>
      </c>
      <c r="Q428">
        <v>0</v>
      </c>
      <c r="R428">
        <v>5</v>
      </c>
      <c r="S428">
        <v>4</v>
      </c>
      <c r="T428">
        <v>30</v>
      </c>
      <c r="U428">
        <v>7.5</v>
      </c>
      <c r="V428">
        <v>1</v>
      </c>
      <c r="Y428">
        <v>9</v>
      </c>
      <c r="Z428">
        <v>13</v>
      </c>
      <c r="AA428">
        <v>13</v>
      </c>
      <c r="AB428">
        <v>11</v>
      </c>
      <c r="AD428">
        <v>74</v>
      </c>
      <c r="AF428" s="2">
        <f t="shared" si="6"/>
        <v>0.75</v>
      </c>
    </row>
    <row r="429" spans="1:32" hidden="1" x14ac:dyDescent="0.25">
      <c r="A429">
        <v>432</v>
      </c>
      <c r="B429" t="s">
        <v>1129</v>
      </c>
      <c r="C429" t="s">
        <v>2957</v>
      </c>
      <c r="D429" t="s">
        <v>2397</v>
      </c>
      <c r="E429" t="s">
        <v>114</v>
      </c>
      <c r="F429">
        <v>24</v>
      </c>
      <c r="G429">
        <v>8</v>
      </c>
      <c r="H429">
        <v>4</v>
      </c>
      <c r="I429">
        <v>0</v>
      </c>
      <c r="J429">
        <v>0</v>
      </c>
      <c r="K429">
        <v>0</v>
      </c>
      <c r="L429">
        <v>0</v>
      </c>
      <c r="M429">
        <v>0</v>
      </c>
      <c r="N429">
        <v>0</v>
      </c>
      <c r="O429">
        <v>0</v>
      </c>
      <c r="Q429">
        <v>0</v>
      </c>
      <c r="R429">
        <v>6</v>
      </c>
      <c r="S429">
        <v>5</v>
      </c>
      <c r="T429">
        <v>58</v>
      </c>
      <c r="U429">
        <v>11.6</v>
      </c>
      <c r="V429">
        <v>0</v>
      </c>
      <c r="Y429">
        <v>6</v>
      </c>
      <c r="Z429">
        <v>11</v>
      </c>
      <c r="AA429">
        <v>10.8</v>
      </c>
      <c r="AB429">
        <v>8.3000000000000007</v>
      </c>
      <c r="AD429">
        <v>78</v>
      </c>
      <c r="AF429" s="2">
        <f t="shared" si="6"/>
        <v>0.75</v>
      </c>
    </row>
    <row r="430" spans="1:32" x14ac:dyDescent="0.25">
      <c r="A430">
        <v>383</v>
      </c>
      <c r="B430" t="s">
        <v>234</v>
      </c>
      <c r="C430" t="s">
        <v>2888</v>
      </c>
      <c r="D430" t="s">
        <v>1935</v>
      </c>
      <c r="E430" t="s">
        <v>87</v>
      </c>
      <c r="F430">
        <v>24</v>
      </c>
      <c r="G430">
        <v>15</v>
      </c>
      <c r="H430">
        <v>2</v>
      </c>
      <c r="I430">
        <v>0</v>
      </c>
      <c r="J430">
        <v>0</v>
      </c>
      <c r="K430">
        <v>0</v>
      </c>
      <c r="L430">
        <v>0</v>
      </c>
      <c r="M430">
        <v>0</v>
      </c>
      <c r="N430">
        <v>7</v>
      </c>
      <c r="O430">
        <v>27</v>
      </c>
      <c r="P430">
        <v>3.86</v>
      </c>
      <c r="Q430">
        <v>0</v>
      </c>
      <c r="R430">
        <v>13</v>
      </c>
      <c r="S430">
        <v>6</v>
      </c>
      <c r="T430">
        <v>82</v>
      </c>
      <c r="U430">
        <v>13.67</v>
      </c>
      <c r="V430">
        <v>0</v>
      </c>
      <c r="Y430">
        <v>11</v>
      </c>
      <c r="Z430">
        <v>17</v>
      </c>
      <c r="AA430">
        <v>16.899999999999999</v>
      </c>
      <c r="AB430">
        <v>13.9</v>
      </c>
      <c r="AD430">
        <v>147</v>
      </c>
      <c r="AF430" s="2">
        <f t="shared" si="6"/>
        <v>0.73333333333333328</v>
      </c>
    </row>
    <row r="431" spans="1:32" x14ac:dyDescent="0.25">
      <c r="A431">
        <v>406</v>
      </c>
      <c r="B431" t="s">
        <v>2921</v>
      </c>
      <c r="C431" t="s">
        <v>2922</v>
      </c>
      <c r="D431" t="s">
        <v>1048</v>
      </c>
      <c r="E431" t="s">
        <v>87</v>
      </c>
      <c r="F431">
        <v>28</v>
      </c>
      <c r="G431">
        <v>11</v>
      </c>
      <c r="H431">
        <v>1</v>
      </c>
      <c r="I431">
        <v>0</v>
      </c>
      <c r="J431">
        <v>0</v>
      </c>
      <c r="K431">
        <v>0</v>
      </c>
      <c r="L431">
        <v>0</v>
      </c>
      <c r="M431">
        <v>0</v>
      </c>
      <c r="N431">
        <v>0</v>
      </c>
      <c r="O431">
        <v>0</v>
      </c>
      <c r="Q431">
        <v>0</v>
      </c>
      <c r="R431">
        <v>17</v>
      </c>
      <c r="S431">
        <v>10</v>
      </c>
      <c r="T431">
        <v>78</v>
      </c>
      <c r="U431">
        <v>7.8</v>
      </c>
      <c r="V431">
        <v>0</v>
      </c>
      <c r="Y431">
        <v>8</v>
      </c>
      <c r="Z431">
        <v>18</v>
      </c>
      <c r="AA431">
        <v>17.8</v>
      </c>
      <c r="AB431">
        <v>12.8</v>
      </c>
      <c r="AD431">
        <v>164</v>
      </c>
      <c r="AF431" s="2">
        <f t="shared" si="6"/>
        <v>0.72727272727272729</v>
      </c>
    </row>
    <row r="432" spans="1:32" x14ac:dyDescent="0.25">
      <c r="A432">
        <v>408</v>
      </c>
      <c r="B432" t="s">
        <v>2924</v>
      </c>
      <c r="C432" t="s">
        <v>2925</v>
      </c>
      <c r="D432" t="s">
        <v>1890</v>
      </c>
      <c r="E432" t="s">
        <v>87</v>
      </c>
      <c r="F432">
        <v>24</v>
      </c>
      <c r="G432">
        <v>11</v>
      </c>
      <c r="H432">
        <v>3</v>
      </c>
      <c r="I432">
        <v>0</v>
      </c>
      <c r="J432">
        <v>0</v>
      </c>
      <c r="K432">
        <v>0</v>
      </c>
      <c r="L432">
        <v>0</v>
      </c>
      <c r="M432">
        <v>0</v>
      </c>
      <c r="N432">
        <v>0</v>
      </c>
      <c r="O432">
        <v>0</v>
      </c>
      <c r="Q432">
        <v>0</v>
      </c>
      <c r="R432">
        <v>35</v>
      </c>
      <c r="S432">
        <v>10</v>
      </c>
      <c r="T432">
        <v>77</v>
      </c>
      <c r="U432">
        <v>7.7</v>
      </c>
      <c r="V432">
        <v>0</v>
      </c>
      <c r="Y432">
        <v>8</v>
      </c>
      <c r="Z432">
        <v>18</v>
      </c>
      <c r="AA432">
        <v>17.7</v>
      </c>
      <c r="AB432">
        <v>12.7</v>
      </c>
      <c r="AD432">
        <v>165</v>
      </c>
      <c r="AF432" s="2">
        <f t="shared" si="6"/>
        <v>0.72727272727272729</v>
      </c>
    </row>
    <row r="433" spans="1:32" x14ac:dyDescent="0.25">
      <c r="A433">
        <v>409</v>
      </c>
      <c r="B433" t="s">
        <v>2926</v>
      </c>
      <c r="C433" t="s">
        <v>2927</v>
      </c>
      <c r="D433" t="s">
        <v>1045</v>
      </c>
      <c r="E433" t="s">
        <v>87</v>
      </c>
      <c r="F433">
        <v>28</v>
      </c>
      <c r="G433">
        <v>11</v>
      </c>
      <c r="H433">
        <v>1</v>
      </c>
      <c r="I433">
        <v>0</v>
      </c>
      <c r="J433">
        <v>0</v>
      </c>
      <c r="K433">
        <v>0</v>
      </c>
      <c r="L433">
        <v>0</v>
      </c>
      <c r="M433">
        <v>0</v>
      </c>
      <c r="N433">
        <v>0</v>
      </c>
      <c r="O433">
        <v>0</v>
      </c>
      <c r="Q433">
        <v>0</v>
      </c>
      <c r="R433">
        <v>8</v>
      </c>
      <c r="S433">
        <v>6</v>
      </c>
      <c r="T433">
        <v>76</v>
      </c>
      <c r="U433">
        <v>12.67</v>
      </c>
      <c r="V433">
        <v>0</v>
      </c>
      <c r="Y433">
        <v>8</v>
      </c>
      <c r="Z433">
        <v>14</v>
      </c>
      <c r="AA433">
        <v>13.6</v>
      </c>
      <c r="AB433">
        <v>10.6</v>
      </c>
      <c r="AD433">
        <v>166</v>
      </c>
      <c r="AF433" s="2">
        <f t="shared" si="6"/>
        <v>0.72727272727272729</v>
      </c>
    </row>
    <row r="434" spans="1:32" x14ac:dyDescent="0.25">
      <c r="A434">
        <v>411</v>
      </c>
      <c r="B434" t="s">
        <v>1130</v>
      </c>
      <c r="C434" t="s">
        <v>2929</v>
      </c>
      <c r="D434" t="s">
        <v>1935</v>
      </c>
      <c r="E434" t="s">
        <v>87</v>
      </c>
      <c r="F434">
        <v>25</v>
      </c>
      <c r="G434">
        <v>11</v>
      </c>
      <c r="H434">
        <v>1</v>
      </c>
      <c r="I434">
        <v>0</v>
      </c>
      <c r="J434">
        <v>0</v>
      </c>
      <c r="K434">
        <v>0</v>
      </c>
      <c r="L434">
        <v>0</v>
      </c>
      <c r="M434">
        <v>0</v>
      </c>
      <c r="N434">
        <v>0</v>
      </c>
      <c r="O434">
        <v>0</v>
      </c>
      <c r="Q434">
        <v>0</v>
      </c>
      <c r="R434">
        <v>10</v>
      </c>
      <c r="S434">
        <v>6</v>
      </c>
      <c r="T434">
        <v>82</v>
      </c>
      <c r="U434">
        <v>13.67</v>
      </c>
      <c r="V434">
        <v>0</v>
      </c>
      <c r="Y434">
        <v>8</v>
      </c>
      <c r="Z434">
        <v>14</v>
      </c>
      <c r="AA434">
        <v>14.2</v>
      </c>
      <c r="AB434">
        <v>11.2</v>
      </c>
      <c r="AD434">
        <v>163</v>
      </c>
      <c r="AF434" s="2">
        <f t="shared" si="6"/>
        <v>0.72727272727272729</v>
      </c>
    </row>
    <row r="435" spans="1:32" x14ac:dyDescent="0.25">
      <c r="A435">
        <v>388</v>
      </c>
      <c r="B435" t="s">
        <v>323</v>
      </c>
      <c r="C435" t="s">
        <v>2895</v>
      </c>
      <c r="D435" t="s">
        <v>1045</v>
      </c>
      <c r="E435" t="s">
        <v>87</v>
      </c>
      <c r="F435">
        <v>28</v>
      </c>
      <c r="G435">
        <v>14</v>
      </c>
      <c r="H435">
        <v>8</v>
      </c>
      <c r="I435">
        <v>0</v>
      </c>
      <c r="J435">
        <v>0</v>
      </c>
      <c r="K435">
        <v>0</v>
      </c>
      <c r="L435">
        <v>0</v>
      </c>
      <c r="M435">
        <v>0</v>
      </c>
      <c r="N435">
        <v>2</v>
      </c>
      <c r="O435">
        <v>4</v>
      </c>
      <c r="P435">
        <v>2</v>
      </c>
      <c r="Q435">
        <v>0</v>
      </c>
      <c r="R435">
        <v>19</v>
      </c>
      <c r="S435">
        <v>13</v>
      </c>
      <c r="T435">
        <v>94</v>
      </c>
      <c r="U435">
        <v>7.23</v>
      </c>
      <c r="V435">
        <v>0</v>
      </c>
      <c r="Y435">
        <v>10</v>
      </c>
      <c r="Z435">
        <v>23</v>
      </c>
      <c r="AA435">
        <v>22.8</v>
      </c>
      <c r="AB435">
        <v>16.3</v>
      </c>
      <c r="AD435">
        <v>149</v>
      </c>
      <c r="AF435" s="2">
        <f t="shared" si="6"/>
        <v>0.7142857142857143</v>
      </c>
    </row>
    <row r="436" spans="1:32" x14ac:dyDescent="0.25">
      <c r="A436">
        <v>397</v>
      </c>
      <c r="B436" t="s">
        <v>2908</v>
      </c>
      <c r="C436" t="s">
        <v>2909</v>
      </c>
      <c r="D436" t="s">
        <v>2398</v>
      </c>
      <c r="E436" t="s">
        <v>87</v>
      </c>
      <c r="F436">
        <v>25</v>
      </c>
      <c r="G436">
        <v>13</v>
      </c>
      <c r="H436">
        <v>2</v>
      </c>
      <c r="I436">
        <v>0</v>
      </c>
      <c r="J436">
        <v>0</v>
      </c>
      <c r="K436">
        <v>0</v>
      </c>
      <c r="L436">
        <v>0</v>
      </c>
      <c r="M436">
        <v>0</v>
      </c>
      <c r="N436">
        <v>3</v>
      </c>
      <c r="O436">
        <v>27</v>
      </c>
      <c r="P436">
        <v>9</v>
      </c>
      <c r="Q436">
        <v>0</v>
      </c>
      <c r="R436">
        <v>19</v>
      </c>
      <c r="S436">
        <v>6</v>
      </c>
      <c r="T436">
        <v>85</v>
      </c>
      <c r="U436">
        <v>14.17</v>
      </c>
      <c r="V436">
        <v>0</v>
      </c>
      <c r="Y436">
        <v>9</v>
      </c>
      <c r="Z436">
        <v>15</v>
      </c>
      <c r="AA436">
        <v>22.2</v>
      </c>
      <c r="AB436">
        <v>18.2</v>
      </c>
      <c r="AD436">
        <v>155</v>
      </c>
      <c r="AF436" s="2">
        <f t="shared" si="6"/>
        <v>0.69230769230769229</v>
      </c>
    </row>
    <row r="437" spans="1:32" hidden="1" x14ac:dyDescent="0.25">
      <c r="A437">
        <v>375</v>
      </c>
      <c r="B437" t="s">
        <v>1527</v>
      </c>
      <c r="C437" t="s">
        <v>2877</v>
      </c>
      <c r="D437" t="s">
        <v>1051</v>
      </c>
      <c r="E437" t="s">
        <v>47</v>
      </c>
      <c r="F437">
        <v>23</v>
      </c>
      <c r="G437">
        <v>16</v>
      </c>
      <c r="H437">
        <v>0</v>
      </c>
      <c r="I437">
        <v>0</v>
      </c>
      <c r="J437">
        <v>0</v>
      </c>
      <c r="K437">
        <v>0</v>
      </c>
      <c r="L437">
        <v>0</v>
      </c>
      <c r="M437">
        <v>0</v>
      </c>
      <c r="N437">
        <v>9</v>
      </c>
      <c r="O437">
        <v>48</v>
      </c>
      <c r="P437">
        <v>5.33</v>
      </c>
      <c r="Q437">
        <v>1</v>
      </c>
      <c r="R437">
        <v>0</v>
      </c>
      <c r="S437">
        <v>0</v>
      </c>
      <c r="T437">
        <v>0</v>
      </c>
      <c r="V437">
        <v>0</v>
      </c>
      <c r="Y437">
        <v>11</v>
      </c>
      <c r="Z437">
        <v>11</v>
      </c>
      <c r="AA437">
        <v>10.8</v>
      </c>
      <c r="AB437">
        <v>10.8</v>
      </c>
      <c r="AD437">
        <v>113</v>
      </c>
      <c r="AF437" s="2">
        <f t="shared" si="6"/>
        <v>0.6875</v>
      </c>
    </row>
    <row r="438" spans="1:32" hidden="1" x14ac:dyDescent="0.25">
      <c r="A438">
        <v>378</v>
      </c>
      <c r="B438" t="s">
        <v>336</v>
      </c>
      <c r="C438" t="s">
        <v>2882</v>
      </c>
      <c r="D438" t="s">
        <v>1054</v>
      </c>
      <c r="E438" t="s">
        <v>47</v>
      </c>
      <c r="F438">
        <v>24</v>
      </c>
      <c r="G438">
        <v>16</v>
      </c>
      <c r="H438">
        <v>4</v>
      </c>
      <c r="I438">
        <v>0</v>
      </c>
      <c r="J438">
        <v>0</v>
      </c>
      <c r="K438">
        <v>0</v>
      </c>
      <c r="L438">
        <v>0</v>
      </c>
      <c r="M438">
        <v>0</v>
      </c>
      <c r="N438">
        <v>6</v>
      </c>
      <c r="O438">
        <v>12</v>
      </c>
      <c r="P438">
        <v>2</v>
      </c>
      <c r="Q438">
        <v>1</v>
      </c>
      <c r="R438">
        <v>6</v>
      </c>
      <c r="S438">
        <v>4</v>
      </c>
      <c r="T438">
        <v>35</v>
      </c>
      <c r="U438">
        <v>8.75</v>
      </c>
      <c r="V438">
        <v>0</v>
      </c>
      <c r="Y438">
        <v>11</v>
      </c>
      <c r="Z438">
        <v>15</v>
      </c>
      <c r="AA438">
        <v>14.7</v>
      </c>
      <c r="AB438">
        <v>12.7</v>
      </c>
      <c r="AD438">
        <v>114</v>
      </c>
      <c r="AF438" s="2">
        <f t="shared" si="6"/>
        <v>0.6875</v>
      </c>
    </row>
    <row r="439" spans="1:32" x14ac:dyDescent="0.25">
      <c r="A439">
        <v>429</v>
      </c>
      <c r="B439" t="s">
        <v>152</v>
      </c>
      <c r="C439" t="s">
        <v>2953</v>
      </c>
      <c r="D439" t="s">
        <v>1051</v>
      </c>
      <c r="E439" t="s">
        <v>87</v>
      </c>
      <c r="F439">
        <v>25</v>
      </c>
      <c r="G439">
        <v>11</v>
      </c>
      <c r="H439">
        <v>7</v>
      </c>
      <c r="I439">
        <v>0</v>
      </c>
      <c r="J439">
        <v>0</v>
      </c>
      <c r="K439">
        <v>0</v>
      </c>
      <c r="L439">
        <v>0</v>
      </c>
      <c r="M439">
        <v>0</v>
      </c>
      <c r="N439">
        <v>0</v>
      </c>
      <c r="O439">
        <v>0</v>
      </c>
      <c r="Q439">
        <v>0</v>
      </c>
      <c r="R439">
        <v>16</v>
      </c>
      <c r="S439">
        <v>8</v>
      </c>
      <c r="T439">
        <v>92</v>
      </c>
      <c r="U439">
        <v>11.5</v>
      </c>
      <c r="V439">
        <v>0</v>
      </c>
      <c r="Y439">
        <v>7</v>
      </c>
      <c r="Z439">
        <v>15</v>
      </c>
      <c r="AA439">
        <v>16.2</v>
      </c>
      <c r="AB439">
        <v>11.2</v>
      </c>
      <c r="AD439">
        <v>169</v>
      </c>
      <c r="AF439" s="2">
        <f t="shared" si="6"/>
        <v>0.63636363636363635</v>
      </c>
    </row>
    <row r="440" spans="1:32" x14ac:dyDescent="0.25">
      <c r="A440">
        <v>430</v>
      </c>
      <c r="B440" t="s">
        <v>1548</v>
      </c>
      <c r="C440" t="s">
        <v>2954</v>
      </c>
      <c r="D440" t="s">
        <v>1045</v>
      </c>
      <c r="E440" t="s">
        <v>87</v>
      </c>
      <c r="F440">
        <v>23</v>
      </c>
      <c r="G440">
        <v>11</v>
      </c>
      <c r="H440">
        <v>5</v>
      </c>
      <c r="I440">
        <v>0</v>
      </c>
      <c r="J440">
        <v>0</v>
      </c>
      <c r="K440">
        <v>0</v>
      </c>
      <c r="L440">
        <v>0</v>
      </c>
      <c r="M440">
        <v>0</v>
      </c>
      <c r="N440">
        <v>0</v>
      </c>
      <c r="O440">
        <v>0</v>
      </c>
      <c r="Q440">
        <v>0</v>
      </c>
      <c r="R440">
        <v>3</v>
      </c>
      <c r="S440">
        <v>2</v>
      </c>
      <c r="T440">
        <v>13</v>
      </c>
      <c r="U440">
        <v>6.5</v>
      </c>
      <c r="V440">
        <v>1</v>
      </c>
      <c r="Y440">
        <v>7</v>
      </c>
      <c r="Z440">
        <v>9</v>
      </c>
      <c r="AA440">
        <v>9.3000000000000007</v>
      </c>
      <c r="AB440">
        <v>8.3000000000000007</v>
      </c>
      <c r="AD440">
        <v>167</v>
      </c>
      <c r="AF440" s="2">
        <f t="shared" si="6"/>
        <v>0.63636363636363635</v>
      </c>
    </row>
    <row r="441" spans="1:32" hidden="1" x14ac:dyDescent="0.25">
      <c r="A441">
        <v>393</v>
      </c>
      <c r="B441" t="s">
        <v>2902</v>
      </c>
      <c r="C441" t="s">
        <v>2903</v>
      </c>
      <c r="D441" t="s">
        <v>1887</v>
      </c>
      <c r="E441" t="s">
        <v>114</v>
      </c>
      <c r="F441">
        <v>27</v>
      </c>
      <c r="G441">
        <v>16</v>
      </c>
      <c r="H441">
        <v>3</v>
      </c>
      <c r="I441">
        <v>0</v>
      </c>
      <c r="J441">
        <v>0</v>
      </c>
      <c r="K441">
        <v>0</v>
      </c>
      <c r="L441">
        <v>0</v>
      </c>
      <c r="M441">
        <v>0</v>
      </c>
      <c r="N441">
        <v>0</v>
      </c>
      <c r="O441">
        <v>0</v>
      </c>
      <c r="Q441">
        <v>0</v>
      </c>
      <c r="R441">
        <v>6</v>
      </c>
      <c r="S441">
        <v>4</v>
      </c>
      <c r="T441">
        <v>39</v>
      </c>
      <c r="U441">
        <v>9.75</v>
      </c>
      <c r="V441">
        <v>1</v>
      </c>
      <c r="Y441">
        <v>10</v>
      </c>
      <c r="Z441">
        <v>14</v>
      </c>
      <c r="AA441">
        <v>13.9</v>
      </c>
      <c r="AB441">
        <v>11.9</v>
      </c>
      <c r="AD441">
        <v>73</v>
      </c>
      <c r="AF441" s="2">
        <f t="shared" si="6"/>
        <v>0.625</v>
      </c>
    </row>
    <row r="442" spans="1:32" x14ac:dyDescent="0.25">
      <c r="A442">
        <v>413</v>
      </c>
      <c r="B442" t="s">
        <v>202</v>
      </c>
      <c r="C442" t="s">
        <v>2931</v>
      </c>
      <c r="D442" t="s">
        <v>1043</v>
      </c>
      <c r="E442" t="s">
        <v>87</v>
      </c>
      <c r="F442">
        <v>23</v>
      </c>
      <c r="G442">
        <v>13</v>
      </c>
      <c r="H442">
        <v>0</v>
      </c>
      <c r="I442">
        <v>0</v>
      </c>
      <c r="J442">
        <v>0</v>
      </c>
      <c r="K442">
        <v>0</v>
      </c>
      <c r="L442">
        <v>0</v>
      </c>
      <c r="M442">
        <v>0</v>
      </c>
      <c r="N442">
        <v>0</v>
      </c>
      <c r="O442">
        <v>0</v>
      </c>
      <c r="Q442">
        <v>0</v>
      </c>
      <c r="R442">
        <v>6</v>
      </c>
      <c r="S442">
        <v>5</v>
      </c>
      <c r="T442">
        <v>84</v>
      </c>
      <c r="U442">
        <v>16.8</v>
      </c>
      <c r="V442">
        <v>0</v>
      </c>
      <c r="Y442">
        <v>8</v>
      </c>
      <c r="Z442">
        <v>13</v>
      </c>
      <c r="AA442">
        <v>13.4</v>
      </c>
      <c r="AB442">
        <v>10.9</v>
      </c>
      <c r="AD442">
        <v>160</v>
      </c>
      <c r="AF442" s="2">
        <f t="shared" si="6"/>
        <v>0.61538461538461542</v>
      </c>
    </row>
    <row r="443" spans="1:32" hidden="1" x14ac:dyDescent="0.25">
      <c r="A443">
        <v>415</v>
      </c>
      <c r="B443" t="s">
        <v>2933</v>
      </c>
      <c r="C443" t="s">
        <v>2934</v>
      </c>
      <c r="D443" t="s">
        <v>1870</v>
      </c>
      <c r="E443" t="s">
        <v>114</v>
      </c>
      <c r="F443">
        <v>26</v>
      </c>
      <c r="G443">
        <v>13</v>
      </c>
      <c r="H443">
        <v>0</v>
      </c>
      <c r="I443">
        <v>0</v>
      </c>
      <c r="J443">
        <v>0</v>
      </c>
      <c r="K443">
        <v>0</v>
      </c>
      <c r="L443">
        <v>0</v>
      </c>
      <c r="M443">
        <v>0</v>
      </c>
      <c r="N443">
        <v>0</v>
      </c>
      <c r="O443">
        <v>0</v>
      </c>
      <c r="Q443">
        <v>0</v>
      </c>
      <c r="R443">
        <v>13</v>
      </c>
      <c r="S443">
        <v>9</v>
      </c>
      <c r="T443">
        <v>80</v>
      </c>
      <c r="U443">
        <v>8.89</v>
      </c>
      <c r="V443">
        <v>0</v>
      </c>
      <c r="Y443">
        <v>8</v>
      </c>
      <c r="Z443">
        <v>17</v>
      </c>
      <c r="AA443">
        <v>17</v>
      </c>
      <c r="AB443">
        <v>12.5</v>
      </c>
      <c r="AD443">
        <v>75</v>
      </c>
      <c r="AF443" s="2">
        <f t="shared" si="6"/>
        <v>0.61538461538461542</v>
      </c>
    </row>
    <row r="444" spans="1:32" hidden="1" x14ac:dyDescent="0.25">
      <c r="A444">
        <v>433</v>
      </c>
      <c r="B444" t="s">
        <v>2958</v>
      </c>
      <c r="C444" t="s">
        <v>2959</v>
      </c>
      <c r="D444" t="s">
        <v>1887</v>
      </c>
      <c r="E444" t="s">
        <v>47</v>
      </c>
      <c r="F444">
        <v>27</v>
      </c>
      <c r="G444">
        <v>10</v>
      </c>
      <c r="H444">
        <v>1</v>
      </c>
      <c r="I444">
        <v>0</v>
      </c>
      <c r="J444">
        <v>0</v>
      </c>
      <c r="K444">
        <v>0</v>
      </c>
      <c r="L444">
        <v>0</v>
      </c>
      <c r="M444">
        <v>0</v>
      </c>
      <c r="N444">
        <v>2</v>
      </c>
      <c r="O444">
        <v>4</v>
      </c>
      <c r="P444">
        <v>2</v>
      </c>
      <c r="Q444">
        <v>1</v>
      </c>
      <c r="R444">
        <v>1</v>
      </c>
      <c r="S444">
        <v>0</v>
      </c>
      <c r="T444">
        <v>0</v>
      </c>
      <c r="V444">
        <v>0</v>
      </c>
      <c r="Y444">
        <v>6</v>
      </c>
      <c r="Z444">
        <v>6</v>
      </c>
      <c r="AA444">
        <v>6.4</v>
      </c>
      <c r="AB444">
        <v>6.4</v>
      </c>
      <c r="AD444">
        <v>122</v>
      </c>
      <c r="AF444" s="2">
        <f t="shared" si="6"/>
        <v>0.6</v>
      </c>
    </row>
    <row r="445" spans="1:32" x14ac:dyDescent="0.25">
      <c r="A445">
        <v>398</v>
      </c>
      <c r="B445" t="s">
        <v>372</v>
      </c>
      <c r="C445" t="s">
        <v>2910</v>
      </c>
      <c r="D445" t="s">
        <v>1040</v>
      </c>
      <c r="E445" t="s">
        <v>87</v>
      </c>
      <c r="F445">
        <v>25</v>
      </c>
      <c r="G445">
        <v>15</v>
      </c>
      <c r="H445">
        <v>2</v>
      </c>
      <c r="I445">
        <v>0</v>
      </c>
      <c r="J445">
        <v>0</v>
      </c>
      <c r="K445">
        <v>0</v>
      </c>
      <c r="L445">
        <v>0</v>
      </c>
      <c r="M445">
        <v>0</v>
      </c>
      <c r="N445">
        <v>0</v>
      </c>
      <c r="O445">
        <v>0</v>
      </c>
      <c r="Q445">
        <v>0</v>
      </c>
      <c r="R445">
        <v>9</v>
      </c>
      <c r="S445">
        <v>5</v>
      </c>
      <c r="T445">
        <v>32</v>
      </c>
      <c r="U445">
        <v>6.4</v>
      </c>
      <c r="V445">
        <v>1</v>
      </c>
      <c r="Y445">
        <v>9</v>
      </c>
      <c r="Z445">
        <v>14</v>
      </c>
      <c r="AA445">
        <v>14.2</v>
      </c>
      <c r="AB445">
        <v>11.7</v>
      </c>
      <c r="AD445">
        <v>156</v>
      </c>
      <c r="AF445" s="2">
        <f t="shared" si="6"/>
        <v>0.6</v>
      </c>
    </row>
    <row r="446" spans="1:32" x14ac:dyDescent="0.25">
      <c r="A446">
        <v>399</v>
      </c>
      <c r="B446" t="s">
        <v>1605</v>
      </c>
      <c r="C446" t="s">
        <v>2911</v>
      </c>
      <c r="D446" t="s">
        <v>1935</v>
      </c>
      <c r="E446" t="s">
        <v>87</v>
      </c>
      <c r="F446">
        <v>22</v>
      </c>
      <c r="G446">
        <v>15</v>
      </c>
      <c r="H446">
        <v>1</v>
      </c>
      <c r="I446">
        <v>0</v>
      </c>
      <c r="J446">
        <v>0</v>
      </c>
      <c r="K446">
        <v>0</v>
      </c>
      <c r="L446">
        <v>0</v>
      </c>
      <c r="M446">
        <v>0</v>
      </c>
      <c r="N446">
        <v>0</v>
      </c>
      <c r="O446">
        <v>0</v>
      </c>
      <c r="Q446">
        <v>0</v>
      </c>
      <c r="R446">
        <v>17</v>
      </c>
      <c r="S446">
        <v>9</v>
      </c>
      <c r="T446">
        <v>94</v>
      </c>
      <c r="U446">
        <v>10.44</v>
      </c>
      <c r="V446">
        <v>0</v>
      </c>
      <c r="Y446">
        <v>9</v>
      </c>
      <c r="Z446">
        <v>18</v>
      </c>
      <c r="AA446">
        <v>18.399999999999999</v>
      </c>
      <c r="AB446">
        <v>13.9</v>
      </c>
      <c r="AD446">
        <v>153</v>
      </c>
      <c r="AF446" s="2">
        <f t="shared" si="6"/>
        <v>0.6</v>
      </c>
    </row>
    <row r="447" spans="1:32" hidden="1" x14ac:dyDescent="0.25">
      <c r="A447">
        <v>478</v>
      </c>
      <c r="B447" t="s">
        <v>3028</v>
      </c>
      <c r="C447" t="s">
        <v>3029</v>
      </c>
      <c r="D447" t="s">
        <v>1053</v>
      </c>
      <c r="E447" t="s">
        <v>47</v>
      </c>
      <c r="F447">
        <v>23</v>
      </c>
      <c r="G447">
        <v>5</v>
      </c>
      <c r="H447">
        <v>0</v>
      </c>
      <c r="I447">
        <v>0</v>
      </c>
      <c r="J447">
        <v>0</v>
      </c>
      <c r="K447">
        <v>0</v>
      </c>
      <c r="L447">
        <v>0</v>
      </c>
      <c r="M447">
        <v>0</v>
      </c>
      <c r="N447">
        <v>0</v>
      </c>
      <c r="O447">
        <v>0</v>
      </c>
      <c r="Q447">
        <v>0</v>
      </c>
      <c r="R447">
        <v>3</v>
      </c>
      <c r="S447">
        <v>3</v>
      </c>
      <c r="T447">
        <v>27</v>
      </c>
      <c r="U447">
        <v>9</v>
      </c>
      <c r="V447">
        <v>0</v>
      </c>
      <c r="Y447">
        <v>3</v>
      </c>
      <c r="Z447">
        <v>6</v>
      </c>
      <c r="AA447">
        <v>5.7</v>
      </c>
      <c r="AB447">
        <v>4.2</v>
      </c>
      <c r="AD447">
        <v>136</v>
      </c>
      <c r="AF447" s="2">
        <f t="shared" si="6"/>
        <v>0.6</v>
      </c>
    </row>
    <row r="448" spans="1:32" x14ac:dyDescent="0.25">
      <c r="A448">
        <v>420</v>
      </c>
      <c r="B448" t="s">
        <v>337</v>
      </c>
      <c r="C448" t="s">
        <v>2941</v>
      </c>
      <c r="D448" t="s">
        <v>1872</v>
      </c>
      <c r="E448" t="s">
        <v>87</v>
      </c>
      <c r="F448">
        <v>24</v>
      </c>
      <c r="G448">
        <v>12</v>
      </c>
      <c r="H448">
        <v>1</v>
      </c>
      <c r="I448">
        <v>0</v>
      </c>
      <c r="J448">
        <v>0</v>
      </c>
      <c r="K448">
        <v>0</v>
      </c>
      <c r="L448">
        <v>0</v>
      </c>
      <c r="M448">
        <v>0</v>
      </c>
      <c r="N448">
        <v>0</v>
      </c>
      <c r="O448">
        <v>0</v>
      </c>
      <c r="Q448">
        <v>0</v>
      </c>
      <c r="R448">
        <v>11</v>
      </c>
      <c r="S448">
        <v>6</v>
      </c>
      <c r="T448">
        <v>70</v>
      </c>
      <c r="U448">
        <v>11.67</v>
      </c>
      <c r="V448">
        <v>0</v>
      </c>
      <c r="Y448">
        <v>7</v>
      </c>
      <c r="Z448">
        <v>13</v>
      </c>
      <c r="AA448">
        <v>13</v>
      </c>
      <c r="AB448">
        <v>10</v>
      </c>
      <c r="AD448">
        <v>172</v>
      </c>
      <c r="AF448" s="2">
        <f t="shared" si="6"/>
        <v>0.58333333333333337</v>
      </c>
    </row>
    <row r="449" spans="1:32" x14ac:dyDescent="0.25">
      <c r="A449">
        <v>452</v>
      </c>
      <c r="B449" t="s">
        <v>2985</v>
      </c>
      <c r="C449" t="s">
        <v>2986</v>
      </c>
      <c r="D449" t="s">
        <v>1882</v>
      </c>
      <c r="E449" t="s">
        <v>87</v>
      </c>
      <c r="F449">
        <v>27</v>
      </c>
      <c r="G449">
        <v>7</v>
      </c>
      <c r="H449">
        <v>0</v>
      </c>
      <c r="I449">
        <v>0</v>
      </c>
      <c r="J449">
        <v>0</v>
      </c>
      <c r="K449">
        <v>0</v>
      </c>
      <c r="L449">
        <v>0</v>
      </c>
      <c r="M449">
        <v>0</v>
      </c>
      <c r="N449">
        <v>0</v>
      </c>
      <c r="O449">
        <v>0</v>
      </c>
      <c r="Q449">
        <v>0</v>
      </c>
      <c r="R449">
        <v>7</v>
      </c>
      <c r="S449">
        <v>3</v>
      </c>
      <c r="T449">
        <v>44</v>
      </c>
      <c r="U449">
        <v>14.67</v>
      </c>
      <c r="V449">
        <v>0</v>
      </c>
      <c r="Y449">
        <v>4</v>
      </c>
      <c r="Z449">
        <v>7</v>
      </c>
      <c r="AA449">
        <v>7.4</v>
      </c>
      <c r="AB449">
        <v>5.9</v>
      </c>
      <c r="AD449">
        <v>180</v>
      </c>
      <c r="AF449" s="2">
        <f t="shared" si="6"/>
        <v>0.5714285714285714</v>
      </c>
    </row>
    <row r="450" spans="1:32" x14ac:dyDescent="0.25">
      <c r="A450">
        <v>396</v>
      </c>
      <c r="B450" t="s">
        <v>348</v>
      </c>
      <c r="C450" t="s">
        <v>2907</v>
      </c>
      <c r="D450" t="s">
        <v>1811</v>
      </c>
      <c r="E450" t="s">
        <v>87</v>
      </c>
      <c r="F450">
        <v>25</v>
      </c>
      <c r="G450">
        <v>16</v>
      </c>
      <c r="H450">
        <v>1</v>
      </c>
      <c r="I450">
        <v>0</v>
      </c>
      <c r="J450">
        <v>0</v>
      </c>
      <c r="K450">
        <v>0</v>
      </c>
      <c r="L450">
        <v>0</v>
      </c>
      <c r="M450">
        <v>0</v>
      </c>
      <c r="N450">
        <v>0</v>
      </c>
      <c r="O450">
        <v>0</v>
      </c>
      <c r="Q450">
        <v>0</v>
      </c>
      <c r="R450">
        <v>11</v>
      </c>
      <c r="S450">
        <v>8</v>
      </c>
      <c r="T450">
        <v>92</v>
      </c>
      <c r="U450">
        <v>11.5</v>
      </c>
      <c r="V450">
        <v>0</v>
      </c>
      <c r="Y450">
        <v>9</v>
      </c>
      <c r="Z450">
        <v>17</v>
      </c>
      <c r="AA450">
        <v>17.2</v>
      </c>
      <c r="AB450">
        <v>13.2</v>
      </c>
      <c r="AD450">
        <v>157</v>
      </c>
      <c r="AF450" s="2">
        <f t="shared" si="6"/>
        <v>0.5625</v>
      </c>
    </row>
    <row r="451" spans="1:32" hidden="1" x14ac:dyDescent="0.25">
      <c r="A451">
        <v>446</v>
      </c>
      <c r="B451" t="s">
        <v>2977</v>
      </c>
      <c r="C451" t="s">
        <v>2978</v>
      </c>
      <c r="D451" t="s">
        <v>1806</v>
      </c>
      <c r="E451" t="s">
        <v>114</v>
      </c>
      <c r="F451">
        <v>28</v>
      </c>
      <c r="G451">
        <v>9</v>
      </c>
      <c r="H451">
        <v>2</v>
      </c>
      <c r="I451">
        <v>0</v>
      </c>
      <c r="J451">
        <v>0</v>
      </c>
      <c r="K451">
        <v>0</v>
      </c>
      <c r="L451">
        <v>0</v>
      </c>
      <c r="M451">
        <v>0</v>
      </c>
      <c r="N451">
        <v>0</v>
      </c>
      <c r="O451">
        <v>0</v>
      </c>
      <c r="Q451">
        <v>0</v>
      </c>
      <c r="R451">
        <v>2</v>
      </c>
      <c r="S451">
        <v>1</v>
      </c>
      <c r="T451">
        <v>46</v>
      </c>
      <c r="U451">
        <v>46</v>
      </c>
      <c r="V451">
        <v>0</v>
      </c>
      <c r="Y451">
        <v>5</v>
      </c>
      <c r="Z451">
        <v>6</v>
      </c>
      <c r="AA451">
        <v>5.6</v>
      </c>
      <c r="AB451">
        <v>5.0999999999999996</v>
      </c>
      <c r="AD451">
        <v>84</v>
      </c>
      <c r="AF451" s="2">
        <f t="shared" ref="AF451:AF514" si="7">Y451/G451</f>
        <v>0.55555555555555558</v>
      </c>
    </row>
    <row r="452" spans="1:32" x14ac:dyDescent="0.25">
      <c r="A452">
        <v>423</v>
      </c>
      <c r="B452" t="s">
        <v>2945</v>
      </c>
      <c r="C452" t="s">
        <v>2946</v>
      </c>
      <c r="D452" t="s">
        <v>1806</v>
      </c>
      <c r="E452" t="s">
        <v>87</v>
      </c>
      <c r="F452">
        <v>29</v>
      </c>
      <c r="G452">
        <v>13</v>
      </c>
      <c r="H452">
        <v>0</v>
      </c>
      <c r="I452">
        <v>0</v>
      </c>
      <c r="J452">
        <v>0</v>
      </c>
      <c r="K452">
        <v>0</v>
      </c>
      <c r="L452">
        <v>0</v>
      </c>
      <c r="M452">
        <v>0</v>
      </c>
      <c r="N452">
        <v>0</v>
      </c>
      <c r="O452">
        <v>0</v>
      </c>
      <c r="Q452">
        <v>0</v>
      </c>
      <c r="R452">
        <v>9</v>
      </c>
      <c r="S452">
        <v>5</v>
      </c>
      <c r="T452">
        <v>70</v>
      </c>
      <c r="U452">
        <v>14</v>
      </c>
      <c r="V452">
        <v>0</v>
      </c>
      <c r="Y452">
        <v>7</v>
      </c>
      <c r="Z452">
        <v>12</v>
      </c>
      <c r="AA452">
        <v>12</v>
      </c>
      <c r="AB452">
        <v>9.5</v>
      </c>
      <c r="AD452">
        <v>173</v>
      </c>
      <c r="AF452" s="2">
        <f t="shared" si="7"/>
        <v>0.53846153846153844</v>
      </c>
    </row>
    <row r="453" spans="1:32" hidden="1" x14ac:dyDescent="0.25">
      <c r="A453">
        <v>414</v>
      </c>
      <c r="B453" t="s">
        <v>376</v>
      </c>
      <c r="C453" t="s">
        <v>2932</v>
      </c>
      <c r="D453" t="s">
        <v>2398</v>
      </c>
      <c r="E453" t="s">
        <v>114</v>
      </c>
      <c r="F453">
        <v>24</v>
      </c>
      <c r="G453">
        <v>15</v>
      </c>
      <c r="H453">
        <v>3</v>
      </c>
      <c r="I453">
        <v>0</v>
      </c>
      <c r="J453">
        <v>0</v>
      </c>
      <c r="K453">
        <v>0</v>
      </c>
      <c r="L453">
        <v>0</v>
      </c>
      <c r="M453">
        <v>0</v>
      </c>
      <c r="N453">
        <v>0</v>
      </c>
      <c r="O453">
        <v>0</v>
      </c>
      <c r="Q453">
        <v>0</v>
      </c>
      <c r="R453">
        <v>17</v>
      </c>
      <c r="S453">
        <v>7</v>
      </c>
      <c r="T453">
        <v>76</v>
      </c>
      <c r="U453">
        <v>10.86</v>
      </c>
      <c r="V453">
        <v>0</v>
      </c>
      <c r="Y453">
        <v>8</v>
      </c>
      <c r="Z453">
        <v>15</v>
      </c>
      <c r="AA453">
        <v>14.6</v>
      </c>
      <c r="AB453">
        <v>11.1</v>
      </c>
      <c r="AD453">
        <v>76</v>
      </c>
      <c r="AF453" s="2">
        <f t="shared" si="7"/>
        <v>0.53333333333333333</v>
      </c>
    </row>
    <row r="454" spans="1:32" x14ac:dyDescent="0.25">
      <c r="A454">
        <v>405</v>
      </c>
      <c r="B454" t="s">
        <v>329</v>
      </c>
      <c r="C454" t="s">
        <v>2920</v>
      </c>
      <c r="D454" t="s">
        <v>2396</v>
      </c>
      <c r="E454" t="s">
        <v>87</v>
      </c>
      <c r="F454">
        <v>24</v>
      </c>
      <c r="G454">
        <v>16</v>
      </c>
      <c r="H454">
        <v>0</v>
      </c>
      <c r="I454">
        <v>0</v>
      </c>
      <c r="J454">
        <v>0</v>
      </c>
      <c r="K454">
        <v>0</v>
      </c>
      <c r="L454">
        <v>0</v>
      </c>
      <c r="M454">
        <v>0</v>
      </c>
      <c r="N454">
        <v>2</v>
      </c>
      <c r="O454">
        <v>13</v>
      </c>
      <c r="P454">
        <v>6.5</v>
      </c>
      <c r="Q454">
        <v>0</v>
      </c>
      <c r="R454">
        <v>7</v>
      </c>
      <c r="S454">
        <v>5</v>
      </c>
      <c r="T454">
        <v>70</v>
      </c>
      <c r="U454">
        <v>14</v>
      </c>
      <c r="V454">
        <v>0</v>
      </c>
      <c r="Y454">
        <v>8</v>
      </c>
      <c r="Z454">
        <v>13</v>
      </c>
      <c r="AA454">
        <v>13.3</v>
      </c>
      <c r="AB454">
        <v>10.8</v>
      </c>
      <c r="AD454">
        <v>162</v>
      </c>
      <c r="AF454" s="2">
        <f t="shared" si="7"/>
        <v>0.5</v>
      </c>
    </row>
    <row r="455" spans="1:32" hidden="1" x14ac:dyDescent="0.25">
      <c r="A455">
        <v>511</v>
      </c>
      <c r="B455" t="s">
        <v>1550</v>
      </c>
      <c r="C455" t="s">
        <v>3079</v>
      </c>
      <c r="D455" t="s">
        <v>1044</v>
      </c>
      <c r="E455" t="s">
        <v>15</v>
      </c>
      <c r="F455">
        <v>24</v>
      </c>
      <c r="G455">
        <v>2</v>
      </c>
      <c r="H455">
        <v>0</v>
      </c>
      <c r="I455">
        <v>1</v>
      </c>
      <c r="J455">
        <v>3</v>
      </c>
      <c r="K455">
        <v>2</v>
      </c>
      <c r="L455">
        <v>0</v>
      </c>
      <c r="M455">
        <v>0</v>
      </c>
      <c r="N455">
        <v>2</v>
      </c>
      <c r="O455">
        <v>13</v>
      </c>
      <c r="P455">
        <v>6.5</v>
      </c>
      <c r="Q455">
        <v>0</v>
      </c>
      <c r="R455">
        <v>0</v>
      </c>
      <c r="S455">
        <v>0</v>
      </c>
      <c r="T455">
        <v>0</v>
      </c>
      <c r="V455">
        <v>0</v>
      </c>
      <c r="Y455">
        <v>1</v>
      </c>
      <c r="Z455">
        <v>1</v>
      </c>
      <c r="AA455">
        <v>1.4</v>
      </c>
      <c r="AB455">
        <v>1.4</v>
      </c>
      <c r="AD455">
        <v>62</v>
      </c>
      <c r="AF455" s="2">
        <f t="shared" si="7"/>
        <v>0.5</v>
      </c>
    </row>
    <row r="456" spans="1:32" hidden="1" x14ac:dyDescent="0.25">
      <c r="A456">
        <v>482</v>
      </c>
      <c r="B456" t="s">
        <v>3033</v>
      </c>
      <c r="C456" t="s">
        <v>3034</v>
      </c>
      <c r="D456" t="s">
        <v>1040</v>
      </c>
      <c r="E456" t="s">
        <v>47</v>
      </c>
      <c r="F456">
        <v>27</v>
      </c>
      <c r="G456">
        <v>6</v>
      </c>
      <c r="H456">
        <v>0</v>
      </c>
      <c r="I456">
        <v>0</v>
      </c>
      <c r="J456">
        <v>0</v>
      </c>
      <c r="K456">
        <v>0</v>
      </c>
      <c r="L456">
        <v>0</v>
      </c>
      <c r="M456">
        <v>0</v>
      </c>
      <c r="N456">
        <v>6</v>
      </c>
      <c r="O456">
        <v>25</v>
      </c>
      <c r="P456">
        <v>4.17</v>
      </c>
      <c r="Q456">
        <v>0</v>
      </c>
      <c r="R456">
        <v>3</v>
      </c>
      <c r="S456">
        <v>2</v>
      </c>
      <c r="T456">
        <v>9</v>
      </c>
      <c r="U456">
        <v>4.5</v>
      </c>
      <c r="V456">
        <v>0</v>
      </c>
      <c r="Y456">
        <v>3</v>
      </c>
      <c r="Z456">
        <v>5</v>
      </c>
      <c r="AA456">
        <v>5.4</v>
      </c>
      <c r="AB456">
        <v>4.4000000000000004</v>
      </c>
      <c r="AD456">
        <v>132</v>
      </c>
      <c r="AF456" s="2">
        <f t="shared" si="7"/>
        <v>0.5</v>
      </c>
    </row>
    <row r="457" spans="1:32" hidden="1" x14ac:dyDescent="0.25">
      <c r="A457">
        <v>494</v>
      </c>
      <c r="B457" t="s">
        <v>3051</v>
      </c>
      <c r="C457" t="s">
        <v>3052</v>
      </c>
      <c r="D457" t="s">
        <v>1890</v>
      </c>
      <c r="E457" t="s">
        <v>47</v>
      </c>
      <c r="F457">
        <v>30</v>
      </c>
      <c r="G457">
        <v>4</v>
      </c>
      <c r="H457">
        <v>0</v>
      </c>
      <c r="I457">
        <v>0</v>
      </c>
      <c r="J457">
        <v>0</v>
      </c>
      <c r="K457">
        <v>0</v>
      </c>
      <c r="L457">
        <v>0</v>
      </c>
      <c r="M457">
        <v>0</v>
      </c>
      <c r="N457">
        <v>1</v>
      </c>
      <c r="O457">
        <v>2</v>
      </c>
      <c r="P457">
        <v>2</v>
      </c>
      <c r="Q457">
        <v>0</v>
      </c>
      <c r="R457">
        <v>7</v>
      </c>
      <c r="S457">
        <v>5</v>
      </c>
      <c r="T457">
        <v>18</v>
      </c>
      <c r="U457">
        <v>3.6</v>
      </c>
      <c r="V457">
        <v>0</v>
      </c>
      <c r="Y457">
        <v>2</v>
      </c>
      <c r="Z457">
        <v>7</v>
      </c>
      <c r="AA457">
        <v>13</v>
      </c>
      <c r="AB457">
        <v>10.5</v>
      </c>
      <c r="AD457">
        <v>143</v>
      </c>
      <c r="AF457" s="2">
        <f t="shared" si="7"/>
        <v>0.5</v>
      </c>
    </row>
    <row r="458" spans="1:32" hidden="1" x14ac:dyDescent="0.25">
      <c r="A458">
        <v>410</v>
      </c>
      <c r="B458" t="s">
        <v>389</v>
      </c>
      <c r="C458" t="s">
        <v>2928</v>
      </c>
      <c r="D458" t="s">
        <v>1870</v>
      </c>
      <c r="E458" t="s">
        <v>114</v>
      </c>
      <c r="F458">
        <v>30</v>
      </c>
      <c r="G458">
        <v>16</v>
      </c>
      <c r="H458">
        <v>9</v>
      </c>
      <c r="I458">
        <v>0</v>
      </c>
      <c r="J458">
        <v>0</v>
      </c>
      <c r="K458">
        <v>0</v>
      </c>
      <c r="L458">
        <v>0</v>
      </c>
      <c r="M458">
        <v>0</v>
      </c>
      <c r="N458">
        <v>0</v>
      </c>
      <c r="O458">
        <v>0</v>
      </c>
      <c r="Q458">
        <v>0</v>
      </c>
      <c r="R458">
        <v>11</v>
      </c>
      <c r="S458">
        <v>8</v>
      </c>
      <c r="T458">
        <v>76</v>
      </c>
      <c r="U458">
        <v>9.5</v>
      </c>
      <c r="V458">
        <v>0</v>
      </c>
      <c r="Y458">
        <v>8</v>
      </c>
      <c r="Z458">
        <v>16</v>
      </c>
      <c r="AA458">
        <v>15.6</v>
      </c>
      <c r="AB458">
        <v>11.6</v>
      </c>
      <c r="AD458">
        <v>77</v>
      </c>
      <c r="AF458" s="2">
        <f t="shared" si="7"/>
        <v>0.5</v>
      </c>
    </row>
    <row r="459" spans="1:32" x14ac:dyDescent="0.25">
      <c r="A459">
        <v>418</v>
      </c>
      <c r="B459" t="s">
        <v>380</v>
      </c>
      <c r="C459" t="s">
        <v>2938</v>
      </c>
      <c r="D459" t="s">
        <v>1038</v>
      </c>
      <c r="E459" t="s">
        <v>87</v>
      </c>
      <c r="F459">
        <v>27</v>
      </c>
      <c r="G459">
        <v>14</v>
      </c>
      <c r="H459">
        <v>3</v>
      </c>
      <c r="I459">
        <v>0</v>
      </c>
      <c r="J459">
        <v>0</v>
      </c>
      <c r="K459">
        <v>0</v>
      </c>
      <c r="L459">
        <v>0</v>
      </c>
      <c r="M459">
        <v>0</v>
      </c>
      <c r="N459">
        <v>0</v>
      </c>
      <c r="O459">
        <v>0</v>
      </c>
      <c r="Q459">
        <v>0</v>
      </c>
      <c r="R459">
        <v>11</v>
      </c>
      <c r="S459">
        <v>8</v>
      </c>
      <c r="T459">
        <v>71</v>
      </c>
      <c r="U459">
        <v>8.8800000000000008</v>
      </c>
      <c r="V459">
        <v>0</v>
      </c>
      <c r="Y459">
        <v>7</v>
      </c>
      <c r="Z459">
        <v>15</v>
      </c>
      <c r="AA459">
        <v>15.1</v>
      </c>
      <c r="AB459">
        <v>11.1</v>
      </c>
      <c r="AD459">
        <v>171</v>
      </c>
      <c r="AF459" s="2">
        <f t="shared" si="7"/>
        <v>0.5</v>
      </c>
    </row>
    <row r="460" spans="1:32" x14ac:dyDescent="0.25">
      <c r="A460">
        <v>419</v>
      </c>
      <c r="B460" t="s">
        <v>2939</v>
      </c>
      <c r="C460" t="s">
        <v>2940</v>
      </c>
      <c r="D460" t="s">
        <v>1053</v>
      </c>
      <c r="E460" t="s">
        <v>87</v>
      </c>
      <c r="F460">
        <v>23</v>
      </c>
      <c r="G460">
        <v>14</v>
      </c>
      <c r="H460">
        <v>0</v>
      </c>
      <c r="I460">
        <v>0</v>
      </c>
      <c r="J460">
        <v>0</v>
      </c>
      <c r="K460">
        <v>0</v>
      </c>
      <c r="L460">
        <v>0</v>
      </c>
      <c r="M460">
        <v>0</v>
      </c>
      <c r="N460">
        <v>0</v>
      </c>
      <c r="O460">
        <v>0</v>
      </c>
      <c r="Q460">
        <v>0</v>
      </c>
      <c r="R460">
        <v>12</v>
      </c>
      <c r="S460">
        <v>7</v>
      </c>
      <c r="T460">
        <v>69</v>
      </c>
      <c r="U460">
        <v>9.86</v>
      </c>
      <c r="V460">
        <v>0</v>
      </c>
      <c r="Y460">
        <v>7</v>
      </c>
      <c r="Z460">
        <v>14</v>
      </c>
      <c r="AA460">
        <v>13.9</v>
      </c>
      <c r="AB460">
        <v>10.4</v>
      </c>
      <c r="AD460">
        <v>175</v>
      </c>
      <c r="AF460" s="2">
        <f t="shared" si="7"/>
        <v>0.5</v>
      </c>
    </row>
    <row r="461" spans="1:32" x14ac:dyDescent="0.25">
      <c r="A461">
        <v>473</v>
      </c>
      <c r="B461" t="s">
        <v>3020</v>
      </c>
      <c r="C461" t="s">
        <v>3021</v>
      </c>
      <c r="D461" t="s">
        <v>1890</v>
      </c>
      <c r="E461" t="s">
        <v>87</v>
      </c>
      <c r="F461">
        <v>28</v>
      </c>
      <c r="G461">
        <v>6</v>
      </c>
      <c r="H461">
        <v>0</v>
      </c>
      <c r="I461">
        <v>0</v>
      </c>
      <c r="J461">
        <v>0</v>
      </c>
      <c r="K461">
        <v>0</v>
      </c>
      <c r="L461">
        <v>0</v>
      </c>
      <c r="M461">
        <v>0</v>
      </c>
      <c r="N461">
        <v>0</v>
      </c>
      <c r="O461">
        <v>0</v>
      </c>
      <c r="Q461">
        <v>0</v>
      </c>
      <c r="R461">
        <v>6</v>
      </c>
      <c r="S461">
        <v>3</v>
      </c>
      <c r="T461">
        <v>25</v>
      </c>
      <c r="U461">
        <v>8.33</v>
      </c>
      <c r="V461">
        <v>0</v>
      </c>
      <c r="Y461">
        <v>3</v>
      </c>
      <c r="Z461">
        <v>6</v>
      </c>
      <c r="AA461">
        <v>5.5</v>
      </c>
      <c r="AB461">
        <v>4</v>
      </c>
      <c r="AD461">
        <v>190</v>
      </c>
      <c r="AF461" s="2">
        <f t="shared" si="7"/>
        <v>0.5</v>
      </c>
    </row>
    <row r="462" spans="1:32" hidden="1" x14ac:dyDescent="0.25">
      <c r="A462">
        <v>492</v>
      </c>
      <c r="B462" t="s">
        <v>3048</v>
      </c>
      <c r="C462" t="s">
        <v>3049</v>
      </c>
      <c r="D462" t="s">
        <v>1047</v>
      </c>
      <c r="E462" t="s">
        <v>114</v>
      </c>
      <c r="F462">
        <v>23</v>
      </c>
      <c r="G462">
        <v>4</v>
      </c>
      <c r="H462">
        <v>0</v>
      </c>
      <c r="I462">
        <v>0</v>
      </c>
      <c r="J462">
        <v>0</v>
      </c>
      <c r="K462">
        <v>0</v>
      </c>
      <c r="L462">
        <v>0</v>
      </c>
      <c r="M462">
        <v>0</v>
      </c>
      <c r="N462">
        <v>0</v>
      </c>
      <c r="O462">
        <v>0</v>
      </c>
      <c r="Q462">
        <v>0</v>
      </c>
      <c r="R462">
        <v>3</v>
      </c>
      <c r="S462">
        <v>2</v>
      </c>
      <c r="T462">
        <v>15</v>
      </c>
      <c r="U462">
        <v>7.5</v>
      </c>
      <c r="V462">
        <v>0</v>
      </c>
      <c r="Y462">
        <v>2</v>
      </c>
      <c r="Z462">
        <v>4</v>
      </c>
      <c r="AA462">
        <v>3.5</v>
      </c>
      <c r="AB462">
        <v>2.5</v>
      </c>
      <c r="AD462">
        <v>95</v>
      </c>
      <c r="AF462" s="2">
        <f t="shared" si="7"/>
        <v>0.5</v>
      </c>
    </row>
    <row r="463" spans="1:32" x14ac:dyDescent="0.25">
      <c r="A463">
        <v>501</v>
      </c>
      <c r="B463" t="s">
        <v>3063</v>
      </c>
      <c r="C463" t="s">
        <v>3064</v>
      </c>
      <c r="D463" t="s">
        <v>1887</v>
      </c>
      <c r="E463" t="s">
        <v>87</v>
      </c>
      <c r="F463">
        <v>33</v>
      </c>
      <c r="G463">
        <v>2</v>
      </c>
      <c r="H463">
        <v>0</v>
      </c>
      <c r="I463">
        <v>0</v>
      </c>
      <c r="J463">
        <v>0</v>
      </c>
      <c r="K463">
        <v>0</v>
      </c>
      <c r="L463">
        <v>0</v>
      </c>
      <c r="M463">
        <v>0</v>
      </c>
      <c r="N463">
        <v>0</v>
      </c>
      <c r="O463">
        <v>0</v>
      </c>
      <c r="Q463">
        <v>0</v>
      </c>
      <c r="R463">
        <v>3</v>
      </c>
      <c r="S463">
        <v>1</v>
      </c>
      <c r="T463">
        <v>8</v>
      </c>
      <c r="U463">
        <v>8</v>
      </c>
      <c r="V463">
        <v>0</v>
      </c>
      <c r="Y463">
        <v>1</v>
      </c>
      <c r="Z463">
        <v>2</v>
      </c>
      <c r="AA463">
        <v>1.8</v>
      </c>
      <c r="AB463">
        <v>1.3</v>
      </c>
      <c r="AD463">
        <v>202</v>
      </c>
      <c r="AF463" s="2">
        <f t="shared" si="7"/>
        <v>0.5</v>
      </c>
    </row>
    <row r="464" spans="1:32" x14ac:dyDescent="0.25">
      <c r="A464">
        <v>428</v>
      </c>
      <c r="B464" t="s">
        <v>334</v>
      </c>
      <c r="C464" t="s">
        <v>2952</v>
      </c>
      <c r="D464" t="s">
        <v>1865</v>
      </c>
      <c r="E464" t="s">
        <v>87</v>
      </c>
      <c r="F464">
        <v>24</v>
      </c>
      <c r="G464">
        <v>15</v>
      </c>
      <c r="H464">
        <v>0</v>
      </c>
      <c r="I464">
        <v>0</v>
      </c>
      <c r="J464">
        <v>1</v>
      </c>
      <c r="K464">
        <v>0</v>
      </c>
      <c r="L464">
        <v>0</v>
      </c>
      <c r="M464">
        <v>1</v>
      </c>
      <c r="N464">
        <v>0</v>
      </c>
      <c r="O464">
        <v>0</v>
      </c>
      <c r="Q464">
        <v>0</v>
      </c>
      <c r="R464">
        <v>9</v>
      </c>
      <c r="S464">
        <v>5</v>
      </c>
      <c r="T464">
        <v>113</v>
      </c>
      <c r="U464">
        <v>22.6</v>
      </c>
      <c r="V464">
        <v>0</v>
      </c>
      <c r="Y464">
        <v>7</v>
      </c>
      <c r="Z464">
        <v>12</v>
      </c>
      <c r="AA464">
        <v>17.3</v>
      </c>
      <c r="AB464">
        <v>10.8</v>
      </c>
      <c r="AD464">
        <v>168</v>
      </c>
      <c r="AF464" s="2">
        <f t="shared" si="7"/>
        <v>0.46666666666666667</v>
      </c>
    </row>
    <row r="465" spans="1:32" x14ac:dyDescent="0.25">
      <c r="A465">
        <v>451</v>
      </c>
      <c r="B465" t="s">
        <v>2275</v>
      </c>
      <c r="C465" t="s">
        <v>2984</v>
      </c>
      <c r="D465" t="s">
        <v>1042</v>
      </c>
      <c r="E465" t="s">
        <v>87</v>
      </c>
      <c r="F465">
        <v>26</v>
      </c>
      <c r="G465">
        <v>11</v>
      </c>
      <c r="H465">
        <v>0</v>
      </c>
      <c r="I465">
        <v>0</v>
      </c>
      <c r="J465">
        <v>0</v>
      </c>
      <c r="K465">
        <v>0</v>
      </c>
      <c r="L465">
        <v>0</v>
      </c>
      <c r="M465">
        <v>0</v>
      </c>
      <c r="N465">
        <v>0</v>
      </c>
      <c r="O465">
        <v>0</v>
      </c>
      <c r="Q465">
        <v>0</v>
      </c>
      <c r="R465">
        <v>17</v>
      </c>
      <c r="S465">
        <v>3</v>
      </c>
      <c r="T465">
        <v>51</v>
      </c>
      <c r="U465">
        <v>17</v>
      </c>
      <c r="V465">
        <v>0</v>
      </c>
      <c r="Y465">
        <v>5</v>
      </c>
      <c r="Z465">
        <v>8</v>
      </c>
      <c r="AA465">
        <v>8.1</v>
      </c>
      <c r="AB465">
        <v>6.6</v>
      </c>
      <c r="AD465">
        <v>179</v>
      </c>
      <c r="AF465" s="2">
        <f t="shared" si="7"/>
        <v>0.45454545454545453</v>
      </c>
    </row>
    <row r="466" spans="1:32" x14ac:dyDescent="0.25">
      <c r="A466">
        <v>454</v>
      </c>
      <c r="B466" t="s">
        <v>2989</v>
      </c>
      <c r="C466" t="s">
        <v>2990</v>
      </c>
      <c r="D466" t="s">
        <v>815</v>
      </c>
      <c r="E466" t="s">
        <v>87</v>
      </c>
      <c r="F466">
        <v>24</v>
      </c>
      <c r="G466">
        <v>9</v>
      </c>
      <c r="H466">
        <v>0</v>
      </c>
      <c r="I466">
        <v>0</v>
      </c>
      <c r="J466">
        <v>0</v>
      </c>
      <c r="K466">
        <v>0</v>
      </c>
      <c r="L466">
        <v>0</v>
      </c>
      <c r="M466">
        <v>0</v>
      </c>
      <c r="N466">
        <v>0</v>
      </c>
      <c r="O466">
        <v>0</v>
      </c>
      <c r="Q466">
        <v>0</v>
      </c>
      <c r="R466">
        <v>4</v>
      </c>
      <c r="S466">
        <v>3</v>
      </c>
      <c r="T466">
        <v>39</v>
      </c>
      <c r="U466">
        <v>13</v>
      </c>
      <c r="V466">
        <v>0</v>
      </c>
      <c r="Y466">
        <v>4</v>
      </c>
      <c r="Z466">
        <v>7</v>
      </c>
      <c r="AA466">
        <v>6.9</v>
      </c>
      <c r="AB466">
        <v>5.4</v>
      </c>
      <c r="AD466">
        <v>182</v>
      </c>
      <c r="AF466" s="2">
        <f t="shared" si="7"/>
        <v>0.44444444444444442</v>
      </c>
    </row>
    <row r="467" spans="1:32" x14ac:dyDescent="0.25">
      <c r="A467">
        <v>421</v>
      </c>
      <c r="B467" t="s">
        <v>2942</v>
      </c>
      <c r="C467" t="s">
        <v>2943</v>
      </c>
      <c r="D467" t="s">
        <v>1038</v>
      </c>
      <c r="E467" t="s">
        <v>87</v>
      </c>
      <c r="F467">
        <v>22</v>
      </c>
      <c r="G467">
        <v>16</v>
      </c>
      <c r="H467">
        <v>1</v>
      </c>
      <c r="I467">
        <v>0</v>
      </c>
      <c r="J467">
        <v>0</v>
      </c>
      <c r="K467">
        <v>0</v>
      </c>
      <c r="L467">
        <v>0</v>
      </c>
      <c r="M467">
        <v>0</v>
      </c>
      <c r="N467">
        <v>1</v>
      </c>
      <c r="O467">
        <v>6</v>
      </c>
      <c r="P467">
        <v>6</v>
      </c>
      <c r="Q467">
        <v>0</v>
      </c>
      <c r="R467">
        <v>19</v>
      </c>
      <c r="S467">
        <v>11</v>
      </c>
      <c r="T467">
        <v>84</v>
      </c>
      <c r="U467">
        <v>7.64</v>
      </c>
      <c r="V467">
        <v>0</v>
      </c>
      <c r="Y467">
        <v>7</v>
      </c>
      <c r="Z467">
        <v>18</v>
      </c>
      <c r="AA467">
        <v>25</v>
      </c>
      <c r="AB467">
        <v>18.5</v>
      </c>
      <c r="AD467">
        <v>174</v>
      </c>
      <c r="AF467" s="2">
        <f t="shared" si="7"/>
        <v>0.4375</v>
      </c>
    </row>
    <row r="468" spans="1:32" hidden="1" x14ac:dyDescent="0.25">
      <c r="A468">
        <v>417</v>
      </c>
      <c r="B468" t="s">
        <v>2274</v>
      </c>
      <c r="C468" t="s">
        <v>2937</v>
      </c>
      <c r="D468" t="s">
        <v>1049</v>
      </c>
      <c r="E468" t="s">
        <v>47</v>
      </c>
      <c r="F468">
        <v>27</v>
      </c>
      <c r="G468">
        <v>16</v>
      </c>
      <c r="H468">
        <v>0</v>
      </c>
      <c r="I468">
        <v>0</v>
      </c>
      <c r="J468">
        <v>0</v>
      </c>
      <c r="K468">
        <v>0</v>
      </c>
      <c r="L468">
        <v>0</v>
      </c>
      <c r="M468">
        <v>0</v>
      </c>
      <c r="N468">
        <v>13</v>
      </c>
      <c r="O468">
        <v>67</v>
      </c>
      <c r="P468">
        <v>5.15</v>
      </c>
      <c r="Q468">
        <v>0</v>
      </c>
      <c r="R468">
        <v>4</v>
      </c>
      <c r="S468">
        <v>1</v>
      </c>
      <c r="T468">
        <v>7</v>
      </c>
      <c r="U468">
        <v>7</v>
      </c>
      <c r="V468">
        <v>0</v>
      </c>
      <c r="Y468">
        <v>7</v>
      </c>
      <c r="Z468">
        <v>8</v>
      </c>
      <c r="AA468">
        <v>8.4</v>
      </c>
      <c r="AB468">
        <v>7.9</v>
      </c>
      <c r="AD468">
        <v>117</v>
      </c>
      <c r="AF468" s="2">
        <f t="shared" si="7"/>
        <v>0.4375</v>
      </c>
    </row>
    <row r="469" spans="1:32" x14ac:dyDescent="0.25">
      <c r="A469">
        <v>422</v>
      </c>
      <c r="B469" t="s">
        <v>1629</v>
      </c>
      <c r="C469" t="s">
        <v>2944</v>
      </c>
      <c r="D469" t="s">
        <v>1865</v>
      </c>
      <c r="E469" t="s">
        <v>87</v>
      </c>
      <c r="F469">
        <v>23</v>
      </c>
      <c r="G469">
        <v>16</v>
      </c>
      <c r="H469">
        <v>0</v>
      </c>
      <c r="I469">
        <v>0</v>
      </c>
      <c r="J469">
        <v>0</v>
      </c>
      <c r="K469">
        <v>0</v>
      </c>
      <c r="L469">
        <v>0</v>
      </c>
      <c r="M469">
        <v>0</v>
      </c>
      <c r="N469">
        <v>0</v>
      </c>
      <c r="O469">
        <v>0</v>
      </c>
      <c r="Q469">
        <v>0</v>
      </c>
      <c r="R469">
        <v>13</v>
      </c>
      <c r="S469">
        <v>8</v>
      </c>
      <c r="T469">
        <v>71</v>
      </c>
      <c r="U469">
        <v>8.8800000000000008</v>
      </c>
      <c r="V469">
        <v>0</v>
      </c>
      <c r="Y469">
        <v>7</v>
      </c>
      <c r="Z469">
        <v>15</v>
      </c>
      <c r="AA469">
        <v>15.1</v>
      </c>
      <c r="AB469">
        <v>11.1</v>
      </c>
      <c r="AD469">
        <v>170</v>
      </c>
      <c r="AF469" s="2">
        <f t="shared" si="7"/>
        <v>0.4375</v>
      </c>
    </row>
    <row r="470" spans="1:32" x14ac:dyDescent="0.25">
      <c r="A470">
        <v>475</v>
      </c>
      <c r="B470" t="s">
        <v>3023</v>
      </c>
      <c r="C470" t="s">
        <v>3024</v>
      </c>
      <c r="D470" t="s">
        <v>1935</v>
      </c>
      <c r="E470" t="s">
        <v>87</v>
      </c>
      <c r="F470">
        <v>23</v>
      </c>
      <c r="G470">
        <v>7</v>
      </c>
      <c r="H470">
        <v>0</v>
      </c>
      <c r="I470">
        <v>0</v>
      </c>
      <c r="J470">
        <v>0</v>
      </c>
      <c r="K470">
        <v>0</v>
      </c>
      <c r="L470">
        <v>0</v>
      </c>
      <c r="M470">
        <v>0</v>
      </c>
      <c r="N470">
        <v>1</v>
      </c>
      <c r="O470">
        <v>15</v>
      </c>
      <c r="P470">
        <v>15</v>
      </c>
      <c r="Q470">
        <v>0</v>
      </c>
      <c r="R470">
        <v>5</v>
      </c>
      <c r="S470">
        <v>2</v>
      </c>
      <c r="T470">
        <v>18</v>
      </c>
      <c r="U470">
        <v>9</v>
      </c>
      <c r="V470">
        <v>0</v>
      </c>
      <c r="Y470">
        <v>3</v>
      </c>
      <c r="Z470">
        <v>5</v>
      </c>
      <c r="AA470">
        <v>5.3</v>
      </c>
      <c r="AB470">
        <v>4.3</v>
      </c>
      <c r="AD470">
        <v>186</v>
      </c>
      <c r="AF470" s="2">
        <f t="shared" si="7"/>
        <v>0.42857142857142855</v>
      </c>
    </row>
    <row r="471" spans="1:32" hidden="1" x14ac:dyDescent="0.25">
      <c r="A471">
        <v>437</v>
      </c>
      <c r="B471" t="s">
        <v>317</v>
      </c>
      <c r="C471" t="s">
        <v>2966</v>
      </c>
      <c r="D471" t="s">
        <v>1041</v>
      </c>
      <c r="E471" t="s">
        <v>47</v>
      </c>
      <c r="F471">
        <v>25</v>
      </c>
      <c r="G471">
        <v>16</v>
      </c>
      <c r="H471">
        <v>4</v>
      </c>
      <c r="I471">
        <v>0</v>
      </c>
      <c r="J471">
        <v>0</v>
      </c>
      <c r="K471">
        <v>0</v>
      </c>
      <c r="L471">
        <v>0</v>
      </c>
      <c r="M471">
        <v>0</v>
      </c>
      <c r="N471">
        <v>6</v>
      </c>
      <c r="O471">
        <v>24</v>
      </c>
      <c r="P471">
        <v>4</v>
      </c>
      <c r="Q471">
        <v>0</v>
      </c>
      <c r="R471">
        <v>3</v>
      </c>
      <c r="S471">
        <v>2</v>
      </c>
      <c r="T471">
        <v>35</v>
      </c>
      <c r="U471">
        <v>17.5</v>
      </c>
      <c r="V471">
        <v>0</v>
      </c>
      <c r="Y471">
        <v>6</v>
      </c>
      <c r="Z471">
        <v>8</v>
      </c>
      <c r="AA471">
        <v>7.9</v>
      </c>
      <c r="AB471">
        <v>6.9</v>
      </c>
      <c r="AD471">
        <v>123</v>
      </c>
      <c r="AF471" s="2">
        <f t="shared" si="7"/>
        <v>0.375</v>
      </c>
    </row>
    <row r="472" spans="1:32" hidden="1" x14ac:dyDescent="0.25">
      <c r="A472">
        <v>483</v>
      </c>
      <c r="B472" t="s">
        <v>1599</v>
      </c>
      <c r="C472" t="s">
        <v>3035</v>
      </c>
      <c r="D472" t="s">
        <v>1041</v>
      </c>
      <c r="E472" t="s">
        <v>47</v>
      </c>
      <c r="F472">
        <v>25</v>
      </c>
      <c r="G472">
        <v>8</v>
      </c>
      <c r="H472">
        <v>0</v>
      </c>
      <c r="I472">
        <v>0</v>
      </c>
      <c r="J472">
        <v>0</v>
      </c>
      <c r="K472">
        <v>0</v>
      </c>
      <c r="L472">
        <v>0</v>
      </c>
      <c r="M472">
        <v>0</v>
      </c>
      <c r="N472">
        <v>9</v>
      </c>
      <c r="O472">
        <v>25</v>
      </c>
      <c r="P472">
        <v>2.78</v>
      </c>
      <c r="Q472">
        <v>0</v>
      </c>
      <c r="R472">
        <v>0</v>
      </c>
      <c r="S472">
        <v>0</v>
      </c>
      <c r="T472">
        <v>0</v>
      </c>
      <c r="V472">
        <v>0</v>
      </c>
      <c r="Y472">
        <v>3</v>
      </c>
      <c r="Z472">
        <v>3</v>
      </c>
      <c r="AA472">
        <v>2.5</v>
      </c>
      <c r="AB472">
        <v>2.5</v>
      </c>
      <c r="AD472">
        <v>139</v>
      </c>
      <c r="AF472" s="2">
        <f t="shared" si="7"/>
        <v>0.375</v>
      </c>
    </row>
    <row r="473" spans="1:32" x14ac:dyDescent="0.25">
      <c r="A473">
        <v>435</v>
      </c>
      <c r="B473" t="s">
        <v>2962</v>
      </c>
      <c r="C473" t="s">
        <v>2963</v>
      </c>
      <c r="D473" t="s">
        <v>1890</v>
      </c>
      <c r="E473" t="s">
        <v>87</v>
      </c>
      <c r="F473">
        <v>26</v>
      </c>
      <c r="G473">
        <v>16</v>
      </c>
      <c r="H473">
        <v>0</v>
      </c>
      <c r="I473">
        <v>0</v>
      </c>
      <c r="J473">
        <v>0</v>
      </c>
      <c r="K473">
        <v>0</v>
      </c>
      <c r="L473">
        <v>0</v>
      </c>
      <c r="M473">
        <v>0</v>
      </c>
      <c r="N473">
        <v>2</v>
      </c>
      <c r="O473">
        <v>2</v>
      </c>
      <c r="P473">
        <v>1</v>
      </c>
      <c r="Q473">
        <v>1</v>
      </c>
      <c r="R473">
        <v>1</v>
      </c>
      <c r="S473">
        <v>0</v>
      </c>
      <c r="T473">
        <v>0</v>
      </c>
      <c r="V473">
        <v>0</v>
      </c>
      <c r="Y473">
        <v>6</v>
      </c>
      <c r="Z473">
        <v>6</v>
      </c>
      <c r="AA473">
        <v>6.2</v>
      </c>
      <c r="AB473">
        <v>6.2</v>
      </c>
      <c r="AD473">
        <v>178</v>
      </c>
      <c r="AF473" s="2">
        <f t="shared" si="7"/>
        <v>0.375</v>
      </c>
    </row>
    <row r="474" spans="1:32" hidden="1" x14ac:dyDescent="0.25">
      <c r="A474">
        <v>434</v>
      </c>
      <c r="B474" t="s">
        <v>2960</v>
      </c>
      <c r="C474" t="s">
        <v>2961</v>
      </c>
      <c r="D474" t="s">
        <v>1039</v>
      </c>
      <c r="E474" t="s">
        <v>114</v>
      </c>
      <c r="F474">
        <v>24</v>
      </c>
      <c r="G474">
        <v>16</v>
      </c>
      <c r="H474">
        <v>3</v>
      </c>
      <c r="I474">
        <v>0</v>
      </c>
      <c r="J474">
        <v>0</v>
      </c>
      <c r="K474">
        <v>0</v>
      </c>
      <c r="L474">
        <v>0</v>
      </c>
      <c r="M474">
        <v>0</v>
      </c>
      <c r="N474">
        <v>0</v>
      </c>
      <c r="O474">
        <v>0</v>
      </c>
      <c r="Q474">
        <v>0</v>
      </c>
      <c r="R474">
        <v>7</v>
      </c>
      <c r="S474">
        <v>5</v>
      </c>
      <c r="T474">
        <v>38</v>
      </c>
      <c r="U474">
        <v>7.6</v>
      </c>
      <c r="V474">
        <v>0</v>
      </c>
      <c r="W474">
        <v>1</v>
      </c>
      <c r="Y474">
        <v>6</v>
      </c>
      <c r="Z474">
        <v>11</v>
      </c>
      <c r="AA474">
        <v>10.8</v>
      </c>
      <c r="AB474">
        <v>8.3000000000000007</v>
      </c>
      <c r="AD474">
        <v>79</v>
      </c>
      <c r="AF474" s="2">
        <f t="shared" si="7"/>
        <v>0.375</v>
      </c>
    </row>
    <row r="475" spans="1:32" x14ac:dyDescent="0.25">
      <c r="A475">
        <v>464</v>
      </c>
      <c r="B475" t="s">
        <v>1542</v>
      </c>
      <c r="C475" t="s">
        <v>3009</v>
      </c>
      <c r="D475" t="s">
        <v>2397</v>
      </c>
      <c r="E475" t="s">
        <v>87</v>
      </c>
      <c r="F475">
        <v>24</v>
      </c>
      <c r="G475">
        <v>8</v>
      </c>
      <c r="H475">
        <v>3</v>
      </c>
      <c r="I475">
        <v>0</v>
      </c>
      <c r="J475">
        <v>0</v>
      </c>
      <c r="K475">
        <v>0</v>
      </c>
      <c r="L475">
        <v>0</v>
      </c>
      <c r="M475">
        <v>0</v>
      </c>
      <c r="N475">
        <v>0</v>
      </c>
      <c r="O475">
        <v>0</v>
      </c>
      <c r="Q475">
        <v>0</v>
      </c>
      <c r="R475">
        <v>2</v>
      </c>
      <c r="S475">
        <v>2</v>
      </c>
      <c r="T475">
        <v>25</v>
      </c>
      <c r="U475">
        <v>12.5</v>
      </c>
      <c r="V475">
        <v>0</v>
      </c>
      <c r="Y475">
        <v>3</v>
      </c>
      <c r="Z475">
        <v>5</v>
      </c>
      <c r="AA475">
        <v>4.5</v>
      </c>
      <c r="AB475">
        <v>3.5</v>
      </c>
      <c r="AD475">
        <v>192</v>
      </c>
      <c r="AF475" s="2">
        <f t="shared" si="7"/>
        <v>0.375</v>
      </c>
    </row>
    <row r="476" spans="1:32" x14ac:dyDescent="0.25">
      <c r="A476">
        <v>460</v>
      </c>
      <c r="B476" t="s">
        <v>3001</v>
      </c>
      <c r="C476" t="s">
        <v>3002</v>
      </c>
      <c r="D476" t="s">
        <v>2398</v>
      </c>
      <c r="E476" t="s">
        <v>87</v>
      </c>
      <c r="F476">
        <v>26</v>
      </c>
      <c r="G476">
        <v>11</v>
      </c>
      <c r="H476">
        <v>0</v>
      </c>
      <c r="I476">
        <v>0</v>
      </c>
      <c r="J476">
        <v>0</v>
      </c>
      <c r="K476">
        <v>0</v>
      </c>
      <c r="L476">
        <v>0</v>
      </c>
      <c r="M476">
        <v>0</v>
      </c>
      <c r="N476">
        <v>3</v>
      </c>
      <c r="O476">
        <v>17</v>
      </c>
      <c r="P476">
        <v>5.67</v>
      </c>
      <c r="Q476">
        <v>0</v>
      </c>
      <c r="R476">
        <v>2</v>
      </c>
      <c r="S476">
        <v>2</v>
      </c>
      <c r="T476">
        <v>21</v>
      </c>
      <c r="U476">
        <v>10.5</v>
      </c>
      <c r="V476">
        <v>0</v>
      </c>
      <c r="Y476">
        <v>4</v>
      </c>
      <c r="Z476">
        <v>6</v>
      </c>
      <c r="AA476">
        <v>5.8</v>
      </c>
      <c r="AB476">
        <v>4.8</v>
      </c>
      <c r="AD476">
        <v>183</v>
      </c>
      <c r="AF476" s="2">
        <f t="shared" si="7"/>
        <v>0.36363636363636365</v>
      </c>
    </row>
    <row r="477" spans="1:32" hidden="1" x14ac:dyDescent="0.25">
      <c r="A477">
        <v>442</v>
      </c>
      <c r="B477" t="s">
        <v>1625</v>
      </c>
      <c r="C477" t="s">
        <v>2972</v>
      </c>
      <c r="D477" t="s">
        <v>1049</v>
      </c>
      <c r="E477" t="s">
        <v>114</v>
      </c>
      <c r="F477">
        <v>24</v>
      </c>
      <c r="G477">
        <v>15</v>
      </c>
      <c r="H477">
        <v>1</v>
      </c>
      <c r="I477">
        <v>0</v>
      </c>
      <c r="J477">
        <v>0</v>
      </c>
      <c r="K477">
        <v>0</v>
      </c>
      <c r="L477">
        <v>0</v>
      </c>
      <c r="M477">
        <v>0</v>
      </c>
      <c r="N477">
        <v>1</v>
      </c>
      <c r="O477">
        <v>5</v>
      </c>
      <c r="P477">
        <v>5</v>
      </c>
      <c r="Q477">
        <v>0</v>
      </c>
      <c r="R477">
        <v>11</v>
      </c>
      <c r="S477">
        <v>4</v>
      </c>
      <c r="T477">
        <v>42</v>
      </c>
      <c r="U477">
        <v>10.5</v>
      </c>
      <c r="V477">
        <v>0</v>
      </c>
      <c r="Y477">
        <v>5</v>
      </c>
      <c r="Z477">
        <v>9</v>
      </c>
      <c r="AA477">
        <v>8.6999999999999993</v>
      </c>
      <c r="AB477">
        <v>6.7</v>
      </c>
      <c r="AD477">
        <v>81</v>
      </c>
      <c r="AF477" s="2">
        <f t="shared" si="7"/>
        <v>0.33333333333333331</v>
      </c>
    </row>
    <row r="478" spans="1:32" hidden="1" x14ac:dyDescent="0.25">
      <c r="A478">
        <v>443</v>
      </c>
      <c r="B478" t="s">
        <v>2973</v>
      </c>
      <c r="C478" t="s">
        <v>2974</v>
      </c>
      <c r="D478" t="s">
        <v>1037</v>
      </c>
      <c r="E478" t="s">
        <v>47</v>
      </c>
      <c r="F478">
        <v>24</v>
      </c>
      <c r="G478">
        <v>15</v>
      </c>
      <c r="H478">
        <v>0</v>
      </c>
      <c r="I478">
        <v>0</v>
      </c>
      <c r="J478">
        <v>0</v>
      </c>
      <c r="K478">
        <v>0</v>
      </c>
      <c r="L478">
        <v>0</v>
      </c>
      <c r="M478">
        <v>0</v>
      </c>
      <c r="N478">
        <v>8</v>
      </c>
      <c r="O478">
        <v>23</v>
      </c>
      <c r="P478">
        <v>2.88</v>
      </c>
      <c r="Q478">
        <v>0</v>
      </c>
      <c r="R478">
        <v>7</v>
      </c>
      <c r="S478">
        <v>4</v>
      </c>
      <c r="T478">
        <v>31</v>
      </c>
      <c r="U478">
        <v>7.75</v>
      </c>
      <c r="V478">
        <v>0</v>
      </c>
      <c r="Y478">
        <v>5</v>
      </c>
      <c r="Z478">
        <v>9</v>
      </c>
      <c r="AA478">
        <v>9.4</v>
      </c>
      <c r="AB478">
        <v>7.4</v>
      </c>
      <c r="AD478">
        <v>125</v>
      </c>
      <c r="AF478" s="2">
        <f t="shared" si="7"/>
        <v>0.33333333333333331</v>
      </c>
    </row>
    <row r="479" spans="1:32" hidden="1" x14ac:dyDescent="0.25">
      <c r="A479">
        <v>445</v>
      </c>
      <c r="B479" t="s">
        <v>326</v>
      </c>
      <c r="C479" t="s">
        <v>2976</v>
      </c>
      <c r="D479" t="s">
        <v>1041</v>
      </c>
      <c r="E479" t="s">
        <v>114</v>
      </c>
      <c r="F479">
        <v>30</v>
      </c>
      <c r="G479">
        <v>15</v>
      </c>
      <c r="H479">
        <v>6</v>
      </c>
      <c r="I479">
        <v>0</v>
      </c>
      <c r="J479">
        <v>0</v>
      </c>
      <c r="K479">
        <v>0</v>
      </c>
      <c r="L479">
        <v>0</v>
      </c>
      <c r="M479">
        <v>0</v>
      </c>
      <c r="N479">
        <v>0</v>
      </c>
      <c r="O479">
        <v>0</v>
      </c>
      <c r="Q479">
        <v>0</v>
      </c>
      <c r="R479">
        <v>4</v>
      </c>
      <c r="S479">
        <v>4</v>
      </c>
      <c r="T479">
        <v>46</v>
      </c>
      <c r="U479">
        <v>11.5</v>
      </c>
      <c r="V479">
        <v>0</v>
      </c>
      <c r="Y479">
        <v>5</v>
      </c>
      <c r="Z479">
        <v>9</v>
      </c>
      <c r="AA479">
        <v>8.6</v>
      </c>
      <c r="AB479">
        <v>6.6</v>
      </c>
      <c r="AD479">
        <v>82</v>
      </c>
      <c r="AF479" s="2">
        <f t="shared" si="7"/>
        <v>0.33333333333333331</v>
      </c>
    </row>
    <row r="480" spans="1:32" hidden="1" x14ac:dyDescent="0.25">
      <c r="A480">
        <v>449</v>
      </c>
      <c r="B480" t="s">
        <v>1526</v>
      </c>
      <c r="C480" t="s">
        <v>2982</v>
      </c>
      <c r="D480" t="s">
        <v>1882</v>
      </c>
      <c r="E480" t="s">
        <v>114</v>
      </c>
      <c r="F480">
        <v>23</v>
      </c>
      <c r="G480">
        <v>15</v>
      </c>
      <c r="H480">
        <v>3</v>
      </c>
      <c r="I480">
        <v>0</v>
      </c>
      <c r="J480">
        <v>0</v>
      </c>
      <c r="K480">
        <v>0</v>
      </c>
      <c r="L480">
        <v>0</v>
      </c>
      <c r="M480">
        <v>0</v>
      </c>
      <c r="N480">
        <v>0</v>
      </c>
      <c r="O480">
        <v>0</v>
      </c>
      <c r="Q480">
        <v>0</v>
      </c>
      <c r="R480">
        <v>7</v>
      </c>
      <c r="S480">
        <v>4</v>
      </c>
      <c r="T480">
        <v>46</v>
      </c>
      <c r="U480">
        <v>11.5</v>
      </c>
      <c r="V480">
        <v>0</v>
      </c>
      <c r="Y480">
        <v>5</v>
      </c>
      <c r="Z480">
        <v>9</v>
      </c>
      <c r="AA480">
        <v>8.6</v>
      </c>
      <c r="AB480">
        <v>6.6</v>
      </c>
      <c r="AD480">
        <v>83</v>
      </c>
      <c r="AF480" s="2">
        <f t="shared" si="7"/>
        <v>0.33333333333333331</v>
      </c>
    </row>
    <row r="481" spans="1:32" x14ac:dyDescent="0.25">
      <c r="A481">
        <v>503</v>
      </c>
      <c r="B481" t="s">
        <v>3066</v>
      </c>
      <c r="C481" t="s">
        <v>3067</v>
      </c>
      <c r="D481" t="s">
        <v>1043</v>
      </c>
      <c r="E481" t="s">
        <v>87</v>
      </c>
      <c r="F481">
        <v>27</v>
      </c>
      <c r="G481">
        <v>3</v>
      </c>
      <c r="H481">
        <v>1</v>
      </c>
      <c r="I481">
        <v>0</v>
      </c>
      <c r="J481">
        <v>0</v>
      </c>
      <c r="K481">
        <v>0</v>
      </c>
      <c r="L481">
        <v>0</v>
      </c>
      <c r="M481">
        <v>0</v>
      </c>
      <c r="N481">
        <v>0</v>
      </c>
      <c r="O481">
        <v>0</v>
      </c>
      <c r="Q481">
        <v>0</v>
      </c>
      <c r="R481">
        <v>6</v>
      </c>
      <c r="S481">
        <v>1</v>
      </c>
      <c r="T481">
        <v>8</v>
      </c>
      <c r="U481">
        <v>8</v>
      </c>
      <c r="V481">
        <v>0</v>
      </c>
      <c r="Y481">
        <v>1</v>
      </c>
      <c r="Z481">
        <v>2</v>
      </c>
      <c r="AA481">
        <v>1.8</v>
      </c>
      <c r="AB481">
        <v>1.3</v>
      </c>
      <c r="AD481">
        <v>201</v>
      </c>
      <c r="AF481" s="2">
        <f t="shared" si="7"/>
        <v>0.33333333333333331</v>
      </c>
    </row>
    <row r="482" spans="1:32" hidden="1" x14ac:dyDescent="0.25">
      <c r="A482">
        <v>450</v>
      </c>
      <c r="B482" t="s">
        <v>1792</v>
      </c>
      <c r="C482" t="s">
        <v>2983</v>
      </c>
      <c r="D482" t="s">
        <v>1050</v>
      </c>
      <c r="E482" t="s">
        <v>15</v>
      </c>
      <c r="F482">
        <v>31</v>
      </c>
      <c r="G482">
        <v>16</v>
      </c>
      <c r="H482">
        <v>0</v>
      </c>
      <c r="I482">
        <v>2</v>
      </c>
      <c r="J482">
        <v>7</v>
      </c>
      <c r="K482">
        <v>35</v>
      </c>
      <c r="L482">
        <v>0</v>
      </c>
      <c r="M482">
        <v>1</v>
      </c>
      <c r="N482">
        <v>8</v>
      </c>
      <c r="O482">
        <v>54</v>
      </c>
      <c r="P482">
        <v>6.75</v>
      </c>
      <c r="Q482">
        <v>0</v>
      </c>
      <c r="R482">
        <v>0</v>
      </c>
      <c r="S482">
        <v>0</v>
      </c>
      <c r="T482">
        <v>0</v>
      </c>
      <c r="V482">
        <v>0</v>
      </c>
      <c r="Y482">
        <v>5</v>
      </c>
      <c r="Z482">
        <v>5</v>
      </c>
      <c r="AA482">
        <v>5.8</v>
      </c>
      <c r="AB482">
        <v>5.8</v>
      </c>
      <c r="AD482">
        <v>58</v>
      </c>
      <c r="AF482" s="2">
        <f t="shared" si="7"/>
        <v>0.3125</v>
      </c>
    </row>
    <row r="483" spans="1:32" hidden="1" x14ac:dyDescent="0.25">
      <c r="A483">
        <v>448</v>
      </c>
      <c r="B483" t="s">
        <v>2980</v>
      </c>
      <c r="C483" t="s">
        <v>2981</v>
      </c>
      <c r="D483" t="s">
        <v>2396</v>
      </c>
      <c r="E483" t="s">
        <v>47</v>
      </c>
      <c r="F483">
        <v>25</v>
      </c>
      <c r="G483">
        <v>16</v>
      </c>
      <c r="H483">
        <v>2</v>
      </c>
      <c r="I483">
        <v>0</v>
      </c>
      <c r="J483">
        <v>0</v>
      </c>
      <c r="K483">
        <v>0</v>
      </c>
      <c r="L483">
        <v>0</v>
      </c>
      <c r="M483">
        <v>0</v>
      </c>
      <c r="N483">
        <v>5</v>
      </c>
      <c r="O483">
        <v>13</v>
      </c>
      <c r="P483">
        <v>2.6</v>
      </c>
      <c r="Q483">
        <v>0</v>
      </c>
      <c r="R483">
        <v>10</v>
      </c>
      <c r="S483">
        <v>7</v>
      </c>
      <c r="T483">
        <v>39</v>
      </c>
      <c r="U483">
        <v>5.57</v>
      </c>
      <c r="V483">
        <v>0</v>
      </c>
      <c r="Y483">
        <v>5</v>
      </c>
      <c r="Z483">
        <v>12</v>
      </c>
      <c r="AA483">
        <v>12.2</v>
      </c>
      <c r="AB483">
        <v>8.6999999999999993</v>
      </c>
      <c r="AD483">
        <v>126</v>
      </c>
      <c r="AF483" s="2">
        <f t="shared" si="7"/>
        <v>0.3125</v>
      </c>
    </row>
    <row r="484" spans="1:32" hidden="1" x14ac:dyDescent="0.25">
      <c r="A484">
        <v>453</v>
      </c>
      <c r="B484" t="s">
        <v>2987</v>
      </c>
      <c r="C484" t="s">
        <v>2988</v>
      </c>
      <c r="D484" t="s">
        <v>1048</v>
      </c>
      <c r="E484" t="s">
        <v>114</v>
      </c>
      <c r="F484">
        <v>26</v>
      </c>
      <c r="G484">
        <v>13</v>
      </c>
      <c r="H484">
        <v>3</v>
      </c>
      <c r="I484">
        <v>0</v>
      </c>
      <c r="J484">
        <v>0</v>
      </c>
      <c r="K484">
        <v>0</v>
      </c>
      <c r="L484">
        <v>0</v>
      </c>
      <c r="M484">
        <v>0</v>
      </c>
      <c r="N484">
        <v>0</v>
      </c>
      <c r="O484">
        <v>0</v>
      </c>
      <c r="Q484">
        <v>0</v>
      </c>
      <c r="R484">
        <v>4</v>
      </c>
      <c r="S484">
        <v>3</v>
      </c>
      <c r="T484">
        <v>19</v>
      </c>
      <c r="U484">
        <v>6.33</v>
      </c>
      <c r="V484">
        <v>0</v>
      </c>
      <c r="W484">
        <v>1</v>
      </c>
      <c r="Y484">
        <v>4</v>
      </c>
      <c r="Z484">
        <v>7</v>
      </c>
      <c r="AA484">
        <v>6.9</v>
      </c>
      <c r="AB484">
        <v>5.4</v>
      </c>
      <c r="AD484">
        <v>86</v>
      </c>
      <c r="AF484" s="2">
        <f t="shared" si="7"/>
        <v>0.30769230769230771</v>
      </c>
    </row>
    <row r="485" spans="1:32" x14ac:dyDescent="0.25">
      <c r="A485">
        <v>470</v>
      </c>
      <c r="B485" t="s">
        <v>1633</v>
      </c>
      <c r="C485" t="s">
        <v>3016</v>
      </c>
      <c r="D485" t="s">
        <v>1862</v>
      </c>
      <c r="E485" t="s">
        <v>87</v>
      </c>
      <c r="F485">
        <v>23</v>
      </c>
      <c r="G485">
        <v>10</v>
      </c>
      <c r="H485">
        <v>0</v>
      </c>
      <c r="I485">
        <v>0</v>
      </c>
      <c r="J485">
        <v>0</v>
      </c>
      <c r="K485">
        <v>0</v>
      </c>
      <c r="L485">
        <v>0</v>
      </c>
      <c r="M485">
        <v>0</v>
      </c>
      <c r="N485">
        <v>0</v>
      </c>
      <c r="O485">
        <v>0</v>
      </c>
      <c r="Q485">
        <v>0</v>
      </c>
      <c r="R485">
        <v>8</v>
      </c>
      <c r="S485">
        <v>5</v>
      </c>
      <c r="T485">
        <v>45</v>
      </c>
      <c r="U485">
        <v>9</v>
      </c>
      <c r="V485">
        <v>0</v>
      </c>
      <c r="Y485">
        <v>3</v>
      </c>
      <c r="Z485">
        <v>8</v>
      </c>
      <c r="AA485">
        <v>8.5</v>
      </c>
      <c r="AB485">
        <v>5</v>
      </c>
      <c r="AD485">
        <v>191</v>
      </c>
      <c r="AF485" s="2">
        <f t="shared" si="7"/>
        <v>0.3</v>
      </c>
    </row>
    <row r="486" spans="1:32" hidden="1" x14ac:dyDescent="0.25">
      <c r="A486">
        <v>462</v>
      </c>
      <c r="B486" t="s">
        <v>3005</v>
      </c>
      <c r="C486" t="s">
        <v>3006</v>
      </c>
      <c r="D486" t="s">
        <v>1935</v>
      </c>
      <c r="E486" t="s">
        <v>47</v>
      </c>
      <c r="F486">
        <v>24</v>
      </c>
      <c r="G486">
        <v>14</v>
      </c>
      <c r="H486">
        <v>4</v>
      </c>
      <c r="I486">
        <v>0</v>
      </c>
      <c r="J486">
        <v>0</v>
      </c>
      <c r="K486">
        <v>0</v>
      </c>
      <c r="L486">
        <v>0</v>
      </c>
      <c r="M486">
        <v>0</v>
      </c>
      <c r="N486">
        <v>2</v>
      </c>
      <c r="O486">
        <v>1</v>
      </c>
      <c r="P486">
        <v>0.5</v>
      </c>
      <c r="Q486">
        <v>0</v>
      </c>
      <c r="R486">
        <v>7</v>
      </c>
      <c r="S486">
        <v>6</v>
      </c>
      <c r="T486">
        <v>43</v>
      </c>
      <c r="U486">
        <v>7.17</v>
      </c>
      <c r="V486">
        <v>0</v>
      </c>
      <c r="Y486">
        <v>4</v>
      </c>
      <c r="Z486">
        <v>10</v>
      </c>
      <c r="AA486">
        <v>10.4</v>
      </c>
      <c r="AB486">
        <v>7.4</v>
      </c>
      <c r="AD486">
        <v>129</v>
      </c>
      <c r="AF486" s="2">
        <f t="shared" si="7"/>
        <v>0.2857142857142857</v>
      </c>
    </row>
    <row r="487" spans="1:32" hidden="1" x14ac:dyDescent="0.25">
      <c r="A487">
        <v>500</v>
      </c>
      <c r="B487" t="s">
        <v>3061</v>
      </c>
      <c r="C487" t="s">
        <v>3062</v>
      </c>
      <c r="D487" t="s">
        <v>1045</v>
      </c>
      <c r="E487" t="s">
        <v>47</v>
      </c>
      <c r="F487">
        <v>22</v>
      </c>
      <c r="G487">
        <v>4</v>
      </c>
      <c r="H487">
        <v>0</v>
      </c>
      <c r="I487">
        <v>0</v>
      </c>
      <c r="J487">
        <v>0</v>
      </c>
      <c r="K487">
        <v>0</v>
      </c>
      <c r="L487">
        <v>0</v>
      </c>
      <c r="M487">
        <v>0</v>
      </c>
      <c r="N487">
        <v>3</v>
      </c>
      <c r="O487">
        <v>14</v>
      </c>
      <c r="P487">
        <v>4.67</v>
      </c>
      <c r="Q487">
        <v>0</v>
      </c>
      <c r="R487">
        <v>0</v>
      </c>
      <c r="S487">
        <v>0</v>
      </c>
      <c r="T487">
        <v>0</v>
      </c>
      <c r="V487">
        <v>0</v>
      </c>
      <c r="Y487">
        <v>1</v>
      </c>
      <c r="Z487">
        <v>1</v>
      </c>
      <c r="AA487">
        <v>1.4</v>
      </c>
      <c r="AB487">
        <v>1.4</v>
      </c>
      <c r="AD487">
        <v>147</v>
      </c>
      <c r="AF487" s="2">
        <f t="shared" si="7"/>
        <v>0.25</v>
      </c>
    </row>
    <row r="488" spans="1:32" hidden="1" x14ac:dyDescent="0.25">
      <c r="A488">
        <v>457</v>
      </c>
      <c r="B488" t="s">
        <v>2995</v>
      </c>
      <c r="C488" t="s">
        <v>2996</v>
      </c>
      <c r="D488" t="s">
        <v>1872</v>
      </c>
      <c r="E488" t="s">
        <v>47</v>
      </c>
      <c r="F488">
        <v>23</v>
      </c>
      <c r="G488">
        <v>16</v>
      </c>
      <c r="H488">
        <v>0</v>
      </c>
      <c r="I488">
        <v>0</v>
      </c>
      <c r="J488">
        <v>0</v>
      </c>
      <c r="K488">
        <v>0</v>
      </c>
      <c r="L488">
        <v>0</v>
      </c>
      <c r="M488">
        <v>0</v>
      </c>
      <c r="N488">
        <v>5</v>
      </c>
      <c r="O488">
        <v>13</v>
      </c>
      <c r="P488">
        <v>2.6</v>
      </c>
      <c r="Q488">
        <v>0</v>
      </c>
      <c r="R488">
        <v>5</v>
      </c>
      <c r="S488">
        <v>4</v>
      </c>
      <c r="T488">
        <v>29</v>
      </c>
      <c r="U488">
        <v>7.25</v>
      </c>
      <c r="V488">
        <v>0</v>
      </c>
      <c r="Y488">
        <v>4</v>
      </c>
      <c r="Z488">
        <v>8</v>
      </c>
      <c r="AA488">
        <v>8.1999999999999993</v>
      </c>
      <c r="AB488">
        <v>6.2</v>
      </c>
      <c r="AD488">
        <v>130</v>
      </c>
      <c r="AF488" s="2">
        <f t="shared" si="7"/>
        <v>0.25</v>
      </c>
    </row>
    <row r="489" spans="1:32" hidden="1" x14ac:dyDescent="0.25">
      <c r="A489">
        <v>458</v>
      </c>
      <c r="B489" t="s">
        <v>2997</v>
      </c>
      <c r="C489" t="s">
        <v>2998</v>
      </c>
      <c r="D489" t="s">
        <v>1049</v>
      </c>
      <c r="E489" t="s">
        <v>114</v>
      </c>
      <c r="F489">
        <v>29</v>
      </c>
      <c r="G489">
        <v>16</v>
      </c>
      <c r="H489">
        <v>7</v>
      </c>
      <c r="I489">
        <v>0</v>
      </c>
      <c r="J489">
        <v>0</v>
      </c>
      <c r="K489">
        <v>0</v>
      </c>
      <c r="L489">
        <v>0</v>
      </c>
      <c r="M489">
        <v>0</v>
      </c>
      <c r="N489">
        <v>0</v>
      </c>
      <c r="O489">
        <v>0</v>
      </c>
      <c r="Q489">
        <v>0</v>
      </c>
      <c r="R489">
        <v>10</v>
      </c>
      <c r="S489">
        <v>6</v>
      </c>
      <c r="T489">
        <v>38</v>
      </c>
      <c r="U489">
        <v>6.33</v>
      </c>
      <c r="V489">
        <v>0</v>
      </c>
      <c r="Y489">
        <v>4</v>
      </c>
      <c r="Z489">
        <v>10</v>
      </c>
      <c r="AA489">
        <v>9.8000000000000007</v>
      </c>
      <c r="AB489">
        <v>6.8</v>
      </c>
      <c r="AD489">
        <v>87</v>
      </c>
      <c r="AF489" s="2">
        <f t="shared" si="7"/>
        <v>0.25</v>
      </c>
    </row>
    <row r="490" spans="1:32" hidden="1" x14ac:dyDescent="0.25">
      <c r="A490">
        <v>461</v>
      </c>
      <c r="B490" t="s">
        <v>3003</v>
      </c>
      <c r="C490" t="s">
        <v>3004</v>
      </c>
      <c r="D490" t="s">
        <v>1872</v>
      </c>
      <c r="E490" t="s">
        <v>114</v>
      </c>
      <c r="F490">
        <v>25</v>
      </c>
      <c r="G490">
        <v>16</v>
      </c>
      <c r="H490">
        <v>14</v>
      </c>
      <c r="I490">
        <v>0</v>
      </c>
      <c r="J490">
        <v>0</v>
      </c>
      <c r="K490">
        <v>0</v>
      </c>
      <c r="L490">
        <v>0</v>
      </c>
      <c r="M490">
        <v>0</v>
      </c>
      <c r="N490">
        <v>0</v>
      </c>
      <c r="O490">
        <v>0</v>
      </c>
      <c r="Q490">
        <v>0</v>
      </c>
      <c r="R490">
        <v>4</v>
      </c>
      <c r="S490">
        <v>3</v>
      </c>
      <c r="T490">
        <v>36</v>
      </c>
      <c r="U490">
        <v>12</v>
      </c>
      <c r="V490">
        <v>0</v>
      </c>
      <c r="Y490">
        <v>4</v>
      </c>
      <c r="Z490">
        <v>7</v>
      </c>
      <c r="AA490">
        <v>6.6</v>
      </c>
      <c r="AB490">
        <v>5.0999999999999996</v>
      </c>
      <c r="AD490">
        <v>89</v>
      </c>
      <c r="AF490" s="2">
        <f t="shared" si="7"/>
        <v>0.25</v>
      </c>
    </row>
    <row r="491" spans="1:32" hidden="1" x14ac:dyDescent="0.25">
      <c r="A491">
        <v>468</v>
      </c>
      <c r="B491" t="s">
        <v>1637</v>
      </c>
      <c r="C491" t="s">
        <v>3014</v>
      </c>
      <c r="D491" t="s">
        <v>815</v>
      </c>
      <c r="E491" t="s">
        <v>114</v>
      </c>
      <c r="F491">
        <v>23</v>
      </c>
      <c r="G491">
        <v>12</v>
      </c>
      <c r="H491">
        <v>3</v>
      </c>
      <c r="I491">
        <v>0</v>
      </c>
      <c r="J491">
        <v>0</v>
      </c>
      <c r="K491">
        <v>0</v>
      </c>
      <c r="L491">
        <v>0</v>
      </c>
      <c r="M491">
        <v>0</v>
      </c>
      <c r="N491">
        <v>0</v>
      </c>
      <c r="O491">
        <v>0</v>
      </c>
      <c r="Q491">
        <v>0</v>
      </c>
      <c r="R491">
        <v>13</v>
      </c>
      <c r="S491">
        <v>3</v>
      </c>
      <c r="T491">
        <v>26</v>
      </c>
      <c r="U491">
        <v>8.67</v>
      </c>
      <c r="V491">
        <v>0</v>
      </c>
      <c r="Y491">
        <v>3</v>
      </c>
      <c r="Z491">
        <v>6</v>
      </c>
      <c r="AA491">
        <v>5.6</v>
      </c>
      <c r="AB491">
        <v>4.0999999999999996</v>
      </c>
      <c r="AD491">
        <v>91</v>
      </c>
      <c r="AF491" s="2">
        <f t="shared" si="7"/>
        <v>0.25</v>
      </c>
    </row>
    <row r="492" spans="1:32" x14ac:dyDescent="0.25">
      <c r="A492">
        <v>509</v>
      </c>
      <c r="B492" t="s">
        <v>3075</v>
      </c>
      <c r="C492" t="s">
        <v>3076</v>
      </c>
      <c r="D492" t="s">
        <v>1039</v>
      </c>
      <c r="E492" t="s">
        <v>87</v>
      </c>
      <c r="F492">
        <v>25</v>
      </c>
      <c r="G492">
        <v>4</v>
      </c>
      <c r="H492">
        <v>0</v>
      </c>
      <c r="I492">
        <v>0</v>
      </c>
      <c r="J492">
        <v>0</v>
      </c>
      <c r="K492">
        <v>0</v>
      </c>
      <c r="L492">
        <v>0</v>
      </c>
      <c r="M492">
        <v>0</v>
      </c>
      <c r="N492">
        <v>0</v>
      </c>
      <c r="O492">
        <v>0</v>
      </c>
      <c r="Q492">
        <v>0</v>
      </c>
      <c r="R492">
        <v>1</v>
      </c>
      <c r="S492">
        <v>1</v>
      </c>
      <c r="T492">
        <v>5</v>
      </c>
      <c r="U492">
        <v>5</v>
      </c>
      <c r="V492">
        <v>0</v>
      </c>
      <c r="Y492">
        <v>1</v>
      </c>
      <c r="Z492">
        <v>2</v>
      </c>
      <c r="AA492">
        <v>1.5</v>
      </c>
      <c r="AB492">
        <v>1</v>
      </c>
      <c r="AD492">
        <v>204</v>
      </c>
      <c r="AF492" s="2">
        <f t="shared" si="7"/>
        <v>0.25</v>
      </c>
    </row>
    <row r="493" spans="1:32" x14ac:dyDescent="0.25">
      <c r="A493">
        <v>465</v>
      </c>
      <c r="B493" t="s">
        <v>1623</v>
      </c>
      <c r="C493" t="s">
        <v>3010</v>
      </c>
      <c r="D493" t="s">
        <v>1044</v>
      </c>
      <c r="E493" t="s">
        <v>87</v>
      </c>
      <c r="F493">
        <v>21</v>
      </c>
      <c r="G493">
        <v>13</v>
      </c>
      <c r="H493">
        <v>1</v>
      </c>
      <c r="I493">
        <v>0</v>
      </c>
      <c r="J493">
        <v>0</v>
      </c>
      <c r="K493">
        <v>0</v>
      </c>
      <c r="L493">
        <v>0</v>
      </c>
      <c r="M493">
        <v>0</v>
      </c>
      <c r="N493">
        <v>0</v>
      </c>
      <c r="O493">
        <v>0</v>
      </c>
      <c r="Q493">
        <v>0</v>
      </c>
      <c r="R493">
        <v>9</v>
      </c>
      <c r="S493">
        <v>4</v>
      </c>
      <c r="T493">
        <v>33</v>
      </c>
      <c r="U493">
        <v>8.25</v>
      </c>
      <c r="V493">
        <v>0</v>
      </c>
      <c r="Y493">
        <v>3</v>
      </c>
      <c r="Z493">
        <v>7</v>
      </c>
      <c r="AA493">
        <v>7.3</v>
      </c>
      <c r="AB493">
        <v>5.3</v>
      </c>
      <c r="AD493">
        <v>185</v>
      </c>
      <c r="AF493" s="2">
        <f t="shared" si="7"/>
        <v>0.23076923076923078</v>
      </c>
    </row>
    <row r="494" spans="1:32" hidden="1" x14ac:dyDescent="0.25">
      <c r="A494">
        <v>488</v>
      </c>
      <c r="B494" t="s">
        <v>3042</v>
      </c>
      <c r="C494" t="s">
        <v>3043</v>
      </c>
      <c r="D494" t="s">
        <v>815</v>
      </c>
      <c r="E494" t="s">
        <v>47</v>
      </c>
      <c r="F494">
        <v>24</v>
      </c>
      <c r="G494">
        <v>10</v>
      </c>
      <c r="H494">
        <v>0</v>
      </c>
      <c r="I494">
        <v>0</v>
      </c>
      <c r="J494">
        <v>0</v>
      </c>
      <c r="K494">
        <v>0</v>
      </c>
      <c r="L494">
        <v>0</v>
      </c>
      <c r="M494">
        <v>0</v>
      </c>
      <c r="N494">
        <v>1</v>
      </c>
      <c r="O494">
        <v>5</v>
      </c>
      <c r="P494">
        <v>5</v>
      </c>
      <c r="Q494">
        <v>0</v>
      </c>
      <c r="R494">
        <v>4</v>
      </c>
      <c r="S494">
        <v>3</v>
      </c>
      <c r="T494">
        <v>16</v>
      </c>
      <c r="U494">
        <v>5.33</v>
      </c>
      <c r="V494">
        <v>0</v>
      </c>
      <c r="Y494">
        <v>2</v>
      </c>
      <c r="Z494">
        <v>5</v>
      </c>
      <c r="AA494">
        <v>5.0999999999999996</v>
      </c>
      <c r="AB494">
        <v>3.6</v>
      </c>
      <c r="AD494">
        <v>141</v>
      </c>
      <c r="AF494" s="2">
        <f t="shared" si="7"/>
        <v>0.2</v>
      </c>
    </row>
    <row r="495" spans="1:32" hidden="1" x14ac:dyDescent="0.25">
      <c r="A495">
        <v>506</v>
      </c>
      <c r="B495" t="s">
        <v>3071</v>
      </c>
      <c r="C495" t="s">
        <v>3072</v>
      </c>
      <c r="D495" t="s">
        <v>815</v>
      </c>
      <c r="E495" t="s">
        <v>47</v>
      </c>
      <c r="F495">
        <v>24</v>
      </c>
      <c r="G495">
        <v>5</v>
      </c>
      <c r="H495">
        <v>0</v>
      </c>
      <c r="I495">
        <v>0</v>
      </c>
      <c r="J495">
        <v>0</v>
      </c>
      <c r="K495">
        <v>0</v>
      </c>
      <c r="L495">
        <v>0</v>
      </c>
      <c r="M495">
        <v>0</v>
      </c>
      <c r="N495">
        <v>5</v>
      </c>
      <c r="O495">
        <v>14</v>
      </c>
      <c r="P495">
        <v>2.8</v>
      </c>
      <c r="Q495">
        <v>0</v>
      </c>
      <c r="R495">
        <v>0</v>
      </c>
      <c r="S495">
        <v>0</v>
      </c>
      <c r="T495">
        <v>0</v>
      </c>
      <c r="V495">
        <v>0</v>
      </c>
      <c r="Y495">
        <v>1</v>
      </c>
      <c r="Z495">
        <v>1</v>
      </c>
      <c r="AA495">
        <v>1.4</v>
      </c>
      <c r="AB495">
        <v>1.4</v>
      </c>
      <c r="AD495">
        <v>146</v>
      </c>
      <c r="AF495" s="2">
        <f t="shared" si="7"/>
        <v>0.2</v>
      </c>
    </row>
    <row r="496" spans="1:32" hidden="1" x14ac:dyDescent="0.25">
      <c r="A496">
        <v>480</v>
      </c>
      <c r="B496" t="s">
        <v>309</v>
      </c>
      <c r="C496" t="s">
        <v>3031</v>
      </c>
      <c r="D496" t="s">
        <v>1044</v>
      </c>
      <c r="E496" t="s">
        <v>114</v>
      </c>
      <c r="F496">
        <v>24</v>
      </c>
      <c r="G496">
        <v>15</v>
      </c>
      <c r="H496">
        <v>2</v>
      </c>
      <c r="I496">
        <v>0</v>
      </c>
      <c r="J496">
        <v>0</v>
      </c>
      <c r="K496">
        <v>0</v>
      </c>
      <c r="L496">
        <v>0</v>
      </c>
      <c r="M496">
        <v>0</v>
      </c>
      <c r="N496">
        <v>0</v>
      </c>
      <c r="O496">
        <v>0</v>
      </c>
      <c r="Q496">
        <v>0</v>
      </c>
      <c r="R496">
        <v>2</v>
      </c>
      <c r="S496">
        <v>2</v>
      </c>
      <c r="T496">
        <v>25</v>
      </c>
      <c r="U496">
        <v>12.5</v>
      </c>
      <c r="V496">
        <v>0</v>
      </c>
      <c r="Y496">
        <v>3</v>
      </c>
      <c r="Z496">
        <v>5</v>
      </c>
      <c r="AA496">
        <v>4.5</v>
      </c>
      <c r="AB496">
        <v>3.5</v>
      </c>
      <c r="AD496">
        <v>92</v>
      </c>
      <c r="AF496" s="2">
        <f t="shared" si="7"/>
        <v>0.2</v>
      </c>
    </row>
    <row r="497" spans="1:32" x14ac:dyDescent="0.25">
      <c r="A497">
        <v>502</v>
      </c>
      <c r="B497" t="s">
        <v>1634</v>
      </c>
      <c r="C497" t="s">
        <v>3065</v>
      </c>
      <c r="D497" t="s">
        <v>1862</v>
      </c>
      <c r="E497" t="s">
        <v>87</v>
      </c>
      <c r="F497">
        <v>22</v>
      </c>
      <c r="G497">
        <v>5</v>
      </c>
      <c r="H497">
        <v>0</v>
      </c>
      <c r="I497">
        <v>0</v>
      </c>
      <c r="J497">
        <v>0</v>
      </c>
      <c r="K497">
        <v>0</v>
      </c>
      <c r="L497">
        <v>0</v>
      </c>
      <c r="M497">
        <v>0</v>
      </c>
      <c r="N497">
        <v>0</v>
      </c>
      <c r="O497">
        <v>0</v>
      </c>
      <c r="Q497">
        <v>0</v>
      </c>
      <c r="R497">
        <v>3</v>
      </c>
      <c r="S497">
        <v>2</v>
      </c>
      <c r="T497">
        <v>11</v>
      </c>
      <c r="U497">
        <v>5.5</v>
      </c>
      <c r="V497">
        <v>0</v>
      </c>
      <c r="Y497">
        <v>1</v>
      </c>
      <c r="Z497">
        <v>3</v>
      </c>
      <c r="AA497">
        <v>3.1</v>
      </c>
      <c r="AB497">
        <v>2.1</v>
      </c>
      <c r="AD497">
        <v>200</v>
      </c>
      <c r="AF497" s="2">
        <f t="shared" si="7"/>
        <v>0.2</v>
      </c>
    </row>
    <row r="498" spans="1:32" hidden="1" x14ac:dyDescent="0.25">
      <c r="A498">
        <v>467</v>
      </c>
      <c r="B498" t="s">
        <v>3012</v>
      </c>
      <c r="C498" t="s">
        <v>3013</v>
      </c>
      <c r="D498" t="s">
        <v>1052</v>
      </c>
      <c r="E498" t="s">
        <v>47</v>
      </c>
      <c r="F498">
        <v>27</v>
      </c>
      <c r="G498">
        <v>16</v>
      </c>
      <c r="H498">
        <v>7</v>
      </c>
      <c r="I498">
        <v>0</v>
      </c>
      <c r="J498">
        <v>0</v>
      </c>
      <c r="K498">
        <v>0</v>
      </c>
      <c r="L498">
        <v>0</v>
      </c>
      <c r="M498">
        <v>0</v>
      </c>
      <c r="N498">
        <v>2</v>
      </c>
      <c r="O498">
        <v>8</v>
      </c>
      <c r="P498">
        <v>4</v>
      </c>
      <c r="Q498">
        <v>0</v>
      </c>
      <c r="R498">
        <v>7</v>
      </c>
      <c r="S498">
        <v>2</v>
      </c>
      <c r="T498">
        <v>20</v>
      </c>
      <c r="U498">
        <v>10</v>
      </c>
      <c r="V498">
        <v>0</v>
      </c>
      <c r="Y498">
        <v>3</v>
      </c>
      <c r="Z498">
        <v>5</v>
      </c>
      <c r="AA498">
        <v>4.8</v>
      </c>
      <c r="AB498">
        <v>3.8</v>
      </c>
      <c r="AD498">
        <v>135</v>
      </c>
      <c r="AF498" s="2">
        <f t="shared" si="7"/>
        <v>0.1875</v>
      </c>
    </row>
    <row r="499" spans="1:32" hidden="1" x14ac:dyDescent="0.25">
      <c r="A499">
        <v>476</v>
      </c>
      <c r="B499" t="s">
        <v>332</v>
      </c>
      <c r="C499" t="s">
        <v>3025</v>
      </c>
      <c r="D499" t="s">
        <v>1053</v>
      </c>
      <c r="E499" t="s">
        <v>47</v>
      </c>
      <c r="F499">
        <v>26</v>
      </c>
      <c r="G499">
        <v>16</v>
      </c>
      <c r="H499">
        <v>0</v>
      </c>
      <c r="I499">
        <v>0</v>
      </c>
      <c r="J499">
        <v>0</v>
      </c>
      <c r="K499">
        <v>0</v>
      </c>
      <c r="L499">
        <v>0</v>
      </c>
      <c r="M499">
        <v>0</v>
      </c>
      <c r="N499">
        <v>8</v>
      </c>
      <c r="O499">
        <v>30</v>
      </c>
      <c r="P499">
        <v>3.75</v>
      </c>
      <c r="Q499">
        <v>0</v>
      </c>
      <c r="R499">
        <v>1</v>
      </c>
      <c r="S499">
        <v>1</v>
      </c>
      <c r="T499">
        <v>3</v>
      </c>
      <c r="U499">
        <v>3</v>
      </c>
      <c r="V499">
        <v>0</v>
      </c>
      <c r="Y499">
        <v>3</v>
      </c>
      <c r="Z499">
        <v>4</v>
      </c>
      <c r="AA499">
        <v>4.3</v>
      </c>
      <c r="AB499">
        <v>3.8</v>
      </c>
      <c r="AD499">
        <v>133</v>
      </c>
      <c r="AF499" s="2">
        <f t="shared" si="7"/>
        <v>0.1875</v>
      </c>
    </row>
    <row r="500" spans="1:32" x14ac:dyDescent="0.25">
      <c r="A500">
        <v>481</v>
      </c>
      <c r="B500" t="s">
        <v>1540</v>
      </c>
      <c r="C500" t="s">
        <v>3032</v>
      </c>
      <c r="D500" t="s">
        <v>1044</v>
      </c>
      <c r="E500" t="s">
        <v>87</v>
      </c>
      <c r="F500">
        <v>23</v>
      </c>
      <c r="G500">
        <v>16</v>
      </c>
      <c r="H500">
        <v>0</v>
      </c>
      <c r="I500">
        <v>0</v>
      </c>
      <c r="J500">
        <v>0</v>
      </c>
      <c r="K500">
        <v>0</v>
      </c>
      <c r="L500">
        <v>0</v>
      </c>
      <c r="M500">
        <v>0</v>
      </c>
      <c r="N500">
        <v>4</v>
      </c>
      <c r="O500">
        <v>5</v>
      </c>
      <c r="P500">
        <v>1.25</v>
      </c>
      <c r="Q500">
        <v>0</v>
      </c>
      <c r="R500">
        <v>7</v>
      </c>
      <c r="S500">
        <v>6</v>
      </c>
      <c r="T500">
        <v>41</v>
      </c>
      <c r="U500">
        <v>6.83</v>
      </c>
      <c r="V500">
        <v>0</v>
      </c>
      <c r="Y500">
        <v>3</v>
      </c>
      <c r="Z500">
        <v>9</v>
      </c>
      <c r="AA500">
        <v>15.6</v>
      </c>
      <c r="AB500">
        <v>11.6</v>
      </c>
      <c r="AD500">
        <v>188</v>
      </c>
      <c r="AF500" s="2">
        <f t="shared" si="7"/>
        <v>0.1875</v>
      </c>
    </row>
    <row r="501" spans="1:32" hidden="1" x14ac:dyDescent="0.25">
      <c r="A501">
        <v>469</v>
      </c>
      <c r="B501" t="s">
        <v>328</v>
      </c>
      <c r="C501" t="s">
        <v>3015</v>
      </c>
      <c r="D501" t="s">
        <v>1050</v>
      </c>
      <c r="E501" t="s">
        <v>47</v>
      </c>
      <c r="F501">
        <v>28</v>
      </c>
      <c r="G501">
        <v>16</v>
      </c>
      <c r="H501">
        <v>9</v>
      </c>
      <c r="I501">
        <v>0</v>
      </c>
      <c r="J501">
        <v>0</v>
      </c>
      <c r="K501">
        <v>0</v>
      </c>
      <c r="L501">
        <v>0</v>
      </c>
      <c r="M501">
        <v>0</v>
      </c>
      <c r="N501">
        <v>2</v>
      </c>
      <c r="O501">
        <v>-2</v>
      </c>
      <c r="P501">
        <v>-1</v>
      </c>
      <c r="Q501">
        <v>0</v>
      </c>
      <c r="R501">
        <v>10</v>
      </c>
      <c r="S501">
        <v>7</v>
      </c>
      <c r="T501">
        <v>28</v>
      </c>
      <c r="U501">
        <v>4</v>
      </c>
      <c r="V501">
        <v>0</v>
      </c>
      <c r="Y501">
        <v>3</v>
      </c>
      <c r="Z501">
        <v>10</v>
      </c>
      <c r="AA501">
        <v>9.6</v>
      </c>
      <c r="AB501">
        <v>6.1</v>
      </c>
      <c r="AD501">
        <v>137</v>
      </c>
      <c r="AF501" s="2">
        <f t="shared" si="7"/>
        <v>0.1875</v>
      </c>
    </row>
    <row r="502" spans="1:32" hidden="1" x14ac:dyDescent="0.25">
      <c r="A502">
        <v>477</v>
      </c>
      <c r="B502" t="s">
        <v>3026</v>
      </c>
      <c r="C502" t="s">
        <v>3027</v>
      </c>
      <c r="D502" t="s">
        <v>1043</v>
      </c>
      <c r="E502" t="s">
        <v>47</v>
      </c>
      <c r="F502">
        <v>25</v>
      </c>
      <c r="G502">
        <v>16</v>
      </c>
      <c r="H502">
        <v>5</v>
      </c>
      <c r="I502">
        <v>0</v>
      </c>
      <c r="J502">
        <v>0</v>
      </c>
      <c r="K502">
        <v>0</v>
      </c>
      <c r="L502">
        <v>0</v>
      </c>
      <c r="M502">
        <v>0</v>
      </c>
      <c r="N502">
        <v>0</v>
      </c>
      <c r="O502">
        <v>0</v>
      </c>
      <c r="Q502">
        <v>0</v>
      </c>
      <c r="R502">
        <v>4</v>
      </c>
      <c r="S502">
        <v>4</v>
      </c>
      <c r="T502">
        <v>31</v>
      </c>
      <c r="U502">
        <v>7.75</v>
      </c>
      <c r="V502">
        <v>0</v>
      </c>
      <c r="Y502">
        <v>3</v>
      </c>
      <c r="Z502">
        <v>7</v>
      </c>
      <c r="AA502">
        <v>7.1</v>
      </c>
      <c r="AB502">
        <v>5.0999999999999996</v>
      </c>
      <c r="AD502">
        <v>134</v>
      </c>
      <c r="AF502" s="2">
        <f t="shared" si="7"/>
        <v>0.1875</v>
      </c>
    </row>
    <row r="503" spans="1:32" hidden="1" x14ac:dyDescent="0.25">
      <c r="A503">
        <v>479</v>
      </c>
      <c r="B503" t="s">
        <v>368</v>
      </c>
      <c r="C503" t="s">
        <v>3030</v>
      </c>
      <c r="D503" t="s">
        <v>1044</v>
      </c>
      <c r="E503" t="s">
        <v>47</v>
      </c>
      <c r="F503">
        <v>25</v>
      </c>
      <c r="G503">
        <v>16</v>
      </c>
      <c r="H503">
        <v>3</v>
      </c>
      <c r="I503">
        <v>0</v>
      </c>
      <c r="J503">
        <v>0</v>
      </c>
      <c r="K503">
        <v>0</v>
      </c>
      <c r="L503">
        <v>0</v>
      </c>
      <c r="M503">
        <v>0</v>
      </c>
      <c r="N503">
        <v>0</v>
      </c>
      <c r="O503">
        <v>0</v>
      </c>
      <c r="Q503">
        <v>0</v>
      </c>
      <c r="R503">
        <v>5</v>
      </c>
      <c r="S503">
        <v>5</v>
      </c>
      <c r="T503">
        <v>26</v>
      </c>
      <c r="U503">
        <v>5.2</v>
      </c>
      <c r="V503">
        <v>0</v>
      </c>
      <c r="Y503">
        <v>3</v>
      </c>
      <c r="Z503">
        <v>8</v>
      </c>
      <c r="AA503">
        <v>7.6</v>
      </c>
      <c r="AB503">
        <v>5.0999999999999996</v>
      </c>
      <c r="AD503">
        <v>138</v>
      </c>
      <c r="AF503" s="2">
        <f t="shared" si="7"/>
        <v>0.1875</v>
      </c>
    </row>
    <row r="504" spans="1:32" x14ac:dyDescent="0.25">
      <c r="A504">
        <v>487</v>
      </c>
      <c r="B504" t="s">
        <v>3040</v>
      </c>
      <c r="C504" t="s">
        <v>3041</v>
      </c>
      <c r="D504" t="s">
        <v>1037</v>
      </c>
      <c r="E504" t="s">
        <v>87</v>
      </c>
      <c r="F504">
        <v>24</v>
      </c>
      <c r="G504">
        <v>12</v>
      </c>
      <c r="H504">
        <v>1</v>
      </c>
      <c r="I504">
        <v>0</v>
      </c>
      <c r="J504">
        <v>0</v>
      </c>
      <c r="K504">
        <v>0</v>
      </c>
      <c r="L504">
        <v>0</v>
      </c>
      <c r="M504">
        <v>0</v>
      </c>
      <c r="N504">
        <v>0</v>
      </c>
      <c r="O504">
        <v>0</v>
      </c>
      <c r="Q504">
        <v>0</v>
      </c>
      <c r="R504">
        <v>4</v>
      </c>
      <c r="S504">
        <v>2</v>
      </c>
      <c r="T504">
        <v>18</v>
      </c>
      <c r="U504">
        <v>9</v>
      </c>
      <c r="V504">
        <v>0</v>
      </c>
      <c r="Y504">
        <v>2</v>
      </c>
      <c r="Z504">
        <v>4</v>
      </c>
      <c r="AA504">
        <v>3.8</v>
      </c>
      <c r="AB504">
        <v>2.8</v>
      </c>
      <c r="AD504">
        <v>195</v>
      </c>
      <c r="AF504" s="2">
        <f t="shared" si="7"/>
        <v>0.16666666666666666</v>
      </c>
    </row>
    <row r="505" spans="1:32" hidden="1" x14ac:dyDescent="0.25">
      <c r="A505">
        <v>491</v>
      </c>
      <c r="B505" t="s">
        <v>3046</v>
      </c>
      <c r="C505" t="s">
        <v>3047</v>
      </c>
      <c r="D505" t="s">
        <v>1834</v>
      </c>
      <c r="E505" t="s">
        <v>47</v>
      </c>
      <c r="F505">
        <v>26</v>
      </c>
      <c r="G505">
        <v>13</v>
      </c>
      <c r="H505">
        <v>4</v>
      </c>
      <c r="I505">
        <v>0</v>
      </c>
      <c r="J505">
        <v>0</v>
      </c>
      <c r="K505">
        <v>0</v>
      </c>
      <c r="L505">
        <v>0</v>
      </c>
      <c r="M505">
        <v>0</v>
      </c>
      <c r="N505">
        <v>0</v>
      </c>
      <c r="O505">
        <v>0</v>
      </c>
      <c r="Q505">
        <v>0</v>
      </c>
      <c r="R505">
        <v>2</v>
      </c>
      <c r="S505">
        <v>2</v>
      </c>
      <c r="T505">
        <v>22</v>
      </c>
      <c r="U505">
        <v>11</v>
      </c>
      <c r="V505">
        <v>0</v>
      </c>
      <c r="Y505">
        <v>2</v>
      </c>
      <c r="Z505">
        <v>4</v>
      </c>
      <c r="AA505">
        <v>4.2</v>
      </c>
      <c r="AB505">
        <v>3.2</v>
      </c>
      <c r="AD505">
        <v>140</v>
      </c>
      <c r="AF505" s="2">
        <f t="shared" si="7"/>
        <v>0.15384615384615385</v>
      </c>
    </row>
    <row r="506" spans="1:32" hidden="1" x14ac:dyDescent="0.25">
      <c r="A506">
        <v>496</v>
      </c>
      <c r="B506" t="s">
        <v>382</v>
      </c>
      <c r="C506" t="s">
        <v>3054</v>
      </c>
      <c r="D506" t="s">
        <v>1872</v>
      </c>
      <c r="E506" t="s">
        <v>47</v>
      </c>
      <c r="F506">
        <v>24</v>
      </c>
      <c r="G506">
        <v>15</v>
      </c>
      <c r="H506">
        <v>6</v>
      </c>
      <c r="I506">
        <v>0</v>
      </c>
      <c r="J506">
        <v>0</v>
      </c>
      <c r="K506">
        <v>0</v>
      </c>
      <c r="L506">
        <v>0</v>
      </c>
      <c r="M506">
        <v>0</v>
      </c>
      <c r="N506">
        <v>0</v>
      </c>
      <c r="O506">
        <v>0</v>
      </c>
      <c r="Q506">
        <v>0</v>
      </c>
      <c r="R506">
        <v>5</v>
      </c>
      <c r="S506">
        <v>3</v>
      </c>
      <c r="T506">
        <v>19</v>
      </c>
      <c r="U506">
        <v>6.33</v>
      </c>
      <c r="V506">
        <v>0</v>
      </c>
      <c r="Y506">
        <v>2</v>
      </c>
      <c r="Z506">
        <v>5</v>
      </c>
      <c r="AA506">
        <v>4.9000000000000004</v>
      </c>
      <c r="AB506">
        <v>3.4</v>
      </c>
      <c r="AD506">
        <v>144</v>
      </c>
      <c r="AF506" s="2">
        <f t="shared" si="7"/>
        <v>0.13333333333333333</v>
      </c>
    </row>
    <row r="507" spans="1:32" hidden="1" x14ac:dyDescent="0.25">
      <c r="A507">
        <v>489</v>
      </c>
      <c r="B507" t="s">
        <v>1524</v>
      </c>
      <c r="C507" t="s">
        <v>3044</v>
      </c>
      <c r="D507" t="s">
        <v>1887</v>
      </c>
      <c r="E507" t="s">
        <v>47</v>
      </c>
      <c r="F507">
        <v>25</v>
      </c>
      <c r="G507">
        <v>16</v>
      </c>
      <c r="H507">
        <v>0</v>
      </c>
      <c r="I507">
        <v>0</v>
      </c>
      <c r="J507">
        <v>0</v>
      </c>
      <c r="K507">
        <v>0</v>
      </c>
      <c r="L507">
        <v>0</v>
      </c>
      <c r="M507">
        <v>0</v>
      </c>
      <c r="N507">
        <v>4</v>
      </c>
      <c r="O507">
        <v>21</v>
      </c>
      <c r="P507">
        <v>5.25</v>
      </c>
      <c r="Q507">
        <v>0</v>
      </c>
      <c r="R507">
        <v>1</v>
      </c>
      <c r="S507">
        <v>0</v>
      </c>
      <c r="T507">
        <v>0</v>
      </c>
      <c r="V507">
        <v>0</v>
      </c>
      <c r="Y507">
        <v>2</v>
      </c>
      <c r="Z507">
        <v>2</v>
      </c>
      <c r="AA507">
        <v>2.1</v>
      </c>
      <c r="AB507">
        <v>2.1</v>
      </c>
      <c r="AD507">
        <v>142</v>
      </c>
      <c r="AF507" s="2">
        <f t="shared" si="7"/>
        <v>0.125</v>
      </c>
    </row>
    <row r="508" spans="1:32" hidden="1" x14ac:dyDescent="0.25">
      <c r="A508">
        <v>490</v>
      </c>
      <c r="B508" t="s">
        <v>360</v>
      </c>
      <c r="C508" t="s">
        <v>3045</v>
      </c>
      <c r="D508" t="s">
        <v>1053</v>
      </c>
      <c r="E508" t="s">
        <v>114</v>
      </c>
      <c r="F508">
        <v>28</v>
      </c>
      <c r="G508">
        <v>16</v>
      </c>
      <c r="H508">
        <v>0</v>
      </c>
      <c r="I508">
        <v>0</v>
      </c>
      <c r="J508">
        <v>1</v>
      </c>
      <c r="K508">
        <v>0</v>
      </c>
      <c r="L508">
        <v>0</v>
      </c>
      <c r="M508">
        <v>0</v>
      </c>
      <c r="N508">
        <v>5</v>
      </c>
      <c r="O508">
        <v>14</v>
      </c>
      <c r="P508">
        <v>2.8</v>
      </c>
      <c r="Q508">
        <v>0</v>
      </c>
      <c r="R508">
        <v>3</v>
      </c>
      <c r="S508">
        <v>1</v>
      </c>
      <c r="T508">
        <v>10</v>
      </c>
      <c r="U508">
        <v>10</v>
      </c>
      <c r="V508">
        <v>0</v>
      </c>
      <c r="Y508">
        <v>2</v>
      </c>
      <c r="Z508">
        <v>3</v>
      </c>
      <c r="AA508">
        <v>3.4</v>
      </c>
      <c r="AB508">
        <v>2.9</v>
      </c>
      <c r="AD508">
        <v>93</v>
      </c>
      <c r="AF508" s="2">
        <f t="shared" si="7"/>
        <v>0.125</v>
      </c>
    </row>
    <row r="509" spans="1:32" hidden="1" x14ac:dyDescent="0.25">
      <c r="A509">
        <v>485</v>
      </c>
      <c r="B509" t="s">
        <v>1636</v>
      </c>
      <c r="C509" t="s">
        <v>3038</v>
      </c>
      <c r="D509" t="s">
        <v>1042</v>
      </c>
      <c r="E509" t="s">
        <v>47</v>
      </c>
      <c r="F509">
        <v>25</v>
      </c>
      <c r="G509">
        <v>16</v>
      </c>
      <c r="H509">
        <v>3</v>
      </c>
      <c r="I509">
        <v>0</v>
      </c>
      <c r="J509">
        <v>0</v>
      </c>
      <c r="K509">
        <v>0</v>
      </c>
      <c r="L509">
        <v>0</v>
      </c>
      <c r="M509">
        <v>0</v>
      </c>
      <c r="N509">
        <v>4</v>
      </c>
      <c r="O509">
        <v>9</v>
      </c>
      <c r="P509">
        <v>2.25</v>
      </c>
      <c r="Q509">
        <v>0</v>
      </c>
      <c r="R509">
        <v>4</v>
      </c>
      <c r="S509">
        <v>2</v>
      </c>
      <c r="T509">
        <v>8</v>
      </c>
      <c r="U509">
        <v>4</v>
      </c>
      <c r="V509">
        <v>0</v>
      </c>
      <c r="Y509">
        <v>2</v>
      </c>
      <c r="Z509">
        <v>4</v>
      </c>
      <c r="AA509">
        <v>3.7</v>
      </c>
      <c r="AB509">
        <v>2.7</v>
      </c>
      <c r="AD509">
        <v>145</v>
      </c>
      <c r="AF509" s="2">
        <f t="shared" si="7"/>
        <v>0.125</v>
      </c>
    </row>
    <row r="510" spans="1:32" hidden="1" x14ac:dyDescent="0.25">
      <c r="A510">
        <v>493</v>
      </c>
      <c r="B510" t="s">
        <v>330</v>
      </c>
      <c r="C510" t="s">
        <v>3050</v>
      </c>
      <c r="D510" t="s">
        <v>1831</v>
      </c>
      <c r="E510" t="s">
        <v>114</v>
      </c>
      <c r="F510">
        <v>25</v>
      </c>
      <c r="G510">
        <v>16</v>
      </c>
      <c r="H510">
        <v>4</v>
      </c>
      <c r="I510">
        <v>0</v>
      </c>
      <c r="J510">
        <v>0</v>
      </c>
      <c r="K510">
        <v>0</v>
      </c>
      <c r="L510">
        <v>0</v>
      </c>
      <c r="M510">
        <v>0</v>
      </c>
      <c r="N510">
        <v>0</v>
      </c>
      <c r="O510">
        <v>0</v>
      </c>
      <c r="Q510">
        <v>0</v>
      </c>
      <c r="R510">
        <v>4</v>
      </c>
      <c r="S510">
        <v>2</v>
      </c>
      <c r="T510">
        <v>17</v>
      </c>
      <c r="U510">
        <v>8.5</v>
      </c>
      <c r="V510">
        <v>0</v>
      </c>
      <c r="Y510">
        <v>2</v>
      </c>
      <c r="Z510">
        <v>4</v>
      </c>
      <c r="AA510">
        <v>3.7</v>
      </c>
      <c r="AB510">
        <v>2.7</v>
      </c>
      <c r="AD510">
        <v>94</v>
      </c>
      <c r="AF510" s="2">
        <f t="shared" si="7"/>
        <v>0.125</v>
      </c>
    </row>
    <row r="511" spans="1:32" hidden="1" x14ac:dyDescent="0.25">
      <c r="A511">
        <v>507</v>
      </c>
      <c r="B511" t="s">
        <v>1640</v>
      </c>
      <c r="C511" t="s">
        <v>3073</v>
      </c>
      <c r="D511" t="s">
        <v>1050</v>
      </c>
      <c r="E511" t="s">
        <v>47</v>
      </c>
      <c r="F511">
        <v>29</v>
      </c>
      <c r="G511">
        <v>8</v>
      </c>
      <c r="H511">
        <v>0</v>
      </c>
      <c r="I511">
        <v>0</v>
      </c>
      <c r="J511">
        <v>0</v>
      </c>
      <c r="K511">
        <v>0</v>
      </c>
      <c r="L511">
        <v>0</v>
      </c>
      <c r="M511">
        <v>0</v>
      </c>
      <c r="N511">
        <v>0</v>
      </c>
      <c r="O511">
        <v>0</v>
      </c>
      <c r="Q511">
        <v>0</v>
      </c>
      <c r="R511">
        <v>2</v>
      </c>
      <c r="S511">
        <v>1</v>
      </c>
      <c r="T511">
        <v>11</v>
      </c>
      <c r="U511">
        <v>11</v>
      </c>
      <c r="V511">
        <v>0</v>
      </c>
      <c r="Y511">
        <v>1</v>
      </c>
      <c r="Z511">
        <v>2</v>
      </c>
      <c r="AA511">
        <v>2.1</v>
      </c>
      <c r="AB511">
        <v>1.6</v>
      </c>
      <c r="AD511">
        <v>148</v>
      </c>
      <c r="AF511" s="2">
        <f t="shared" si="7"/>
        <v>0.125</v>
      </c>
    </row>
    <row r="512" spans="1:32" x14ac:dyDescent="0.25">
      <c r="A512">
        <v>499</v>
      </c>
      <c r="B512" t="s">
        <v>3059</v>
      </c>
      <c r="C512" t="s">
        <v>3060</v>
      </c>
      <c r="D512" t="s">
        <v>1039</v>
      </c>
      <c r="E512" t="s">
        <v>87</v>
      </c>
      <c r="F512">
        <v>29</v>
      </c>
      <c r="G512">
        <v>9</v>
      </c>
      <c r="H512">
        <v>0</v>
      </c>
      <c r="I512">
        <v>0</v>
      </c>
      <c r="J512">
        <v>0</v>
      </c>
      <c r="K512">
        <v>0</v>
      </c>
      <c r="L512">
        <v>0</v>
      </c>
      <c r="M512">
        <v>0</v>
      </c>
      <c r="N512">
        <v>0</v>
      </c>
      <c r="O512">
        <v>0</v>
      </c>
      <c r="Q512">
        <v>0</v>
      </c>
      <c r="R512">
        <v>2</v>
      </c>
      <c r="S512">
        <v>1</v>
      </c>
      <c r="T512">
        <v>12</v>
      </c>
      <c r="U512">
        <v>12</v>
      </c>
      <c r="V512">
        <v>0</v>
      </c>
      <c r="Y512">
        <v>1</v>
      </c>
      <c r="Z512">
        <v>2</v>
      </c>
      <c r="AA512">
        <v>2.2000000000000002</v>
      </c>
      <c r="AB512">
        <v>1.7</v>
      </c>
      <c r="AD512">
        <v>199</v>
      </c>
      <c r="AF512" s="2">
        <f t="shared" si="7"/>
        <v>0.1111111111111111</v>
      </c>
    </row>
    <row r="513" spans="1:32" hidden="1" x14ac:dyDescent="0.25">
      <c r="A513">
        <v>513</v>
      </c>
      <c r="B513" t="s">
        <v>3082</v>
      </c>
      <c r="C513" t="s">
        <v>3083</v>
      </c>
      <c r="D513" t="s">
        <v>1040</v>
      </c>
      <c r="E513" t="s">
        <v>47</v>
      </c>
      <c r="F513">
        <v>24</v>
      </c>
      <c r="G513">
        <v>10</v>
      </c>
      <c r="H513">
        <v>0</v>
      </c>
      <c r="I513">
        <v>0</v>
      </c>
      <c r="J513">
        <v>0</v>
      </c>
      <c r="K513">
        <v>0</v>
      </c>
      <c r="L513">
        <v>0</v>
      </c>
      <c r="M513">
        <v>0</v>
      </c>
      <c r="N513">
        <v>5</v>
      </c>
      <c r="O513">
        <v>8</v>
      </c>
      <c r="P513">
        <v>1.6</v>
      </c>
      <c r="Q513">
        <v>0</v>
      </c>
      <c r="R513">
        <v>0</v>
      </c>
      <c r="S513">
        <v>0</v>
      </c>
      <c r="T513">
        <v>0</v>
      </c>
      <c r="V513">
        <v>0</v>
      </c>
      <c r="Y513">
        <v>1</v>
      </c>
      <c r="Z513">
        <v>1</v>
      </c>
      <c r="AA513">
        <v>0.8</v>
      </c>
      <c r="AB513">
        <v>0.8</v>
      </c>
      <c r="AD513">
        <v>150</v>
      </c>
      <c r="AF513" s="2">
        <f t="shared" si="7"/>
        <v>0.1</v>
      </c>
    </row>
    <row r="514" spans="1:32" hidden="1" x14ac:dyDescent="0.25">
      <c r="A514">
        <v>508</v>
      </c>
      <c r="B514" t="s">
        <v>379</v>
      </c>
      <c r="C514" t="s">
        <v>3074</v>
      </c>
      <c r="D514" t="s">
        <v>1047</v>
      </c>
      <c r="E514" t="s">
        <v>47</v>
      </c>
      <c r="F514">
        <v>25</v>
      </c>
      <c r="G514">
        <v>11</v>
      </c>
      <c r="H514">
        <v>0</v>
      </c>
      <c r="I514">
        <v>0</v>
      </c>
      <c r="J514">
        <v>0</v>
      </c>
      <c r="K514">
        <v>0</v>
      </c>
      <c r="L514">
        <v>0</v>
      </c>
      <c r="M514">
        <v>0</v>
      </c>
      <c r="N514">
        <v>6</v>
      </c>
      <c r="O514">
        <v>30</v>
      </c>
      <c r="P514">
        <v>5</v>
      </c>
      <c r="Q514">
        <v>0</v>
      </c>
      <c r="R514">
        <v>0</v>
      </c>
      <c r="S514">
        <v>0</v>
      </c>
      <c r="T514">
        <v>0</v>
      </c>
      <c r="V514">
        <v>0</v>
      </c>
      <c r="Y514">
        <v>1</v>
      </c>
      <c r="Z514">
        <v>1</v>
      </c>
      <c r="AA514">
        <v>2</v>
      </c>
      <c r="AB514">
        <v>1</v>
      </c>
      <c r="AD514">
        <v>149</v>
      </c>
      <c r="AF514" s="2">
        <f t="shared" si="7"/>
        <v>9.0909090909090912E-2</v>
      </c>
    </row>
    <row r="515" spans="1:32" x14ac:dyDescent="0.25">
      <c r="A515">
        <v>514</v>
      </c>
      <c r="B515" t="s">
        <v>3084</v>
      </c>
      <c r="C515" t="s">
        <v>3085</v>
      </c>
      <c r="D515" t="s">
        <v>1887</v>
      </c>
      <c r="E515" t="s">
        <v>87</v>
      </c>
      <c r="F515">
        <v>32</v>
      </c>
      <c r="G515">
        <v>16</v>
      </c>
      <c r="H515">
        <v>0</v>
      </c>
      <c r="I515">
        <v>0</v>
      </c>
      <c r="J515">
        <v>0</v>
      </c>
      <c r="K515">
        <v>0</v>
      </c>
      <c r="L515">
        <v>0</v>
      </c>
      <c r="M515">
        <v>0</v>
      </c>
      <c r="N515">
        <v>1</v>
      </c>
      <c r="O515">
        <v>0</v>
      </c>
      <c r="P515">
        <v>0</v>
      </c>
      <c r="Q515">
        <v>0</v>
      </c>
      <c r="R515">
        <v>2</v>
      </c>
      <c r="S515">
        <v>1</v>
      </c>
      <c r="T515">
        <v>5</v>
      </c>
      <c r="U515">
        <v>5</v>
      </c>
      <c r="V515">
        <v>0</v>
      </c>
      <c r="Y515">
        <v>1</v>
      </c>
      <c r="Z515">
        <v>2</v>
      </c>
      <c r="AA515">
        <v>1.5</v>
      </c>
      <c r="AB515">
        <v>1</v>
      </c>
      <c r="AD515">
        <v>205</v>
      </c>
      <c r="AF515" s="2">
        <f t="shared" ref="AF515:AF574" si="8">Y515/G515</f>
        <v>6.25E-2</v>
      </c>
    </row>
    <row r="516" spans="1:32" x14ac:dyDescent="0.25">
      <c r="A516">
        <v>505</v>
      </c>
      <c r="B516" t="s">
        <v>3069</v>
      </c>
      <c r="C516" t="s">
        <v>3070</v>
      </c>
      <c r="D516" t="s">
        <v>2396</v>
      </c>
      <c r="E516" t="s">
        <v>87</v>
      </c>
      <c r="F516">
        <v>26</v>
      </c>
      <c r="G516">
        <v>16</v>
      </c>
      <c r="H516">
        <v>0</v>
      </c>
      <c r="I516">
        <v>0</v>
      </c>
      <c r="J516">
        <v>0</v>
      </c>
      <c r="K516">
        <v>0</v>
      </c>
      <c r="L516">
        <v>0</v>
      </c>
      <c r="M516">
        <v>0</v>
      </c>
      <c r="N516">
        <v>0</v>
      </c>
      <c r="O516">
        <v>0</v>
      </c>
      <c r="Q516">
        <v>0</v>
      </c>
      <c r="R516">
        <v>5</v>
      </c>
      <c r="S516">
        <v>2</v>
      </c>
      <c r="T516">
        <v>12</v>
      </c>
      <c r="U516">
        <v>6</v>
      </c>
      <c r="V516">
        <v>0</v>
      </c>
      <c r="Y516">
        <v>1</v>
      </c>
      <c r="Z516">
        <v>3</v>
      </c>
      <c r="AA516">
        <v>3.2</v>
      </c>
      <c r="AB516">
        <v>2.2000000000000002</v>
      </c>
      <c r="AD516">
        <v>198</v>
      </c>
      <c r="AF516" s="2">
        <f t="shared" si="8"/>
        <v>6.25E-2</v>
      </c>
    </row>
    <row r="517" spans="1:32" hidden="1" x14ac:dyDescent="0.25">
      <c r="A517">
        <v>540</v>
      </c>
      <c r="B517" t="s">
        <v>3124</v>
      </c>
      <c r="C517" t="s">
        <v>3125</v>
      </c>
      <c r="D517" t="s">
        <v>1051</v>
      </c>
      <c r="E517" t="s">
        <v>47</v>
      </c>
      <c r="F517">
        <v>35</v>
      </c>
      <c r="G517">
        <v>2</v>
      </c>
      <c r="H517">
        <v>1</v>
      </c>
      <c r="I517">
        <v>0</v>
      </c>
      <c r="J517">
        <v>0</v>
      </c>
      <c r="K517">
        <v>0</v>
      </c>
      <c r="L517">
        <v>0</v>
      </c>
      <c r="M517">
        <v>0</v>
      </c>
      <c r="N517">
        <v>1</v>
      </c>
      <c r="O517">
        <v>2</v>
      </c>
      <c r="P517">
        <v>2</v>
      </c>
      <c r="Q517">
        <v>0</v>
      </c>
      <c r="R517">
        <v>0</v>
      </c>
      <c r="S517">
        <v>0</v>
      </c>
      <c r="T517">
        <v>0</v>
      </c>
      <c r="V517">
        <v>0</v>
      </c>
      <c r="AA517">
        <v>0.2</v>
      </c>
      <c r="AB517">
        <v>0.2</v>
      </c>
      <c r="AD517">
        <v>152</v>
      </c>
      <c r="AF517" s="2">
        <f t="shared" si="8"/>
        <v>0</v>
      </c>
    </row>
    <row r="518" spans="1:32" hidden="1" x14ac:dyDescent="0.25">
      <c r="A518">
        <v>530</v>
      </c>
      <c r="B518" t="s">
        <v>1565</v>
      </c>
      <c r="C518" t="s">
        <v>3108</v>
      </c>
      <c r="D518" t="s">
        <v>1038</v>
      </c>
      <c r="E518" t="s">
        <v>47</v>
      </c>
      <c r="F518">
        <v>22</v>
      </c>
      <c r="G518">
        <v>4</v>
      </c>
      <c r="H518">
        <v>0</v>
      </c>
      <c r="I518">
        <v>0</v>
      </c>
      <c r="J518">
        <v>0</v>
      </c>
      <c r="K518">
        <v>0</v>
      </c>
      <c r="L518">
        <v>0</v>
      </c>
      <c r="M518">
        <v>0</v>
      </c>
      <c r="N518">
        <v>1</v>
      </c>
      <c r="O518">
        <v>1</v>
      </c>
      <c r="P518">
        <v>1</v>
      </c>
      <c r="Q518">
        <v>0</v>
      </c>
      <c r="R518">
        <v>0</v>
      </c>
      <c r="S518">
        <v>0</v>
      </c>
      <c r="T518">
        <v>0</v>
      </c>
      <c r="V518">
        <v>0</v>
      </c>
      <c r="AA518">
        <v>0.1</v>
      </c>
      <c r="AB518">
        <v>0.1</v>
      </c>
      <c r="AD518">
        <v>153</v>
      </c>
      <c r="AF518" s="2">
        <f t="shared" si="8"/>
        <v>0</v>
      </c>
    </row>
    <row r="519" spans="1:32" hidden="1" x14ac:dyDescent="0.25">
      <c r="A519">
        <v>559</v>
      </c>
      <c r="B519" t="s">
        <v>3155</v>
      </c>
      <c r="C519" t="s">
        <v>3156</v>
      </c>
      <c r="D519" t="s">
        <v>1037</v>
      </c>
      <c r="E519" t="s">
        <v>47</v>
      </c>
      <c r="F519">
        <v>30</v>
      </c>
      <c r="G519">
        <v>1</v>
      </c>
      <c r="H519">
        <v>0</v>
      </c>
      <c r="I519">
        <v>0</v>
      </c>
      <c r="J519">
        <v>0</v>
      </c>
      <c r="K519">
        <v>0</v>
      </c>
      <c r="L519">
        <v>0</v>
      </c>
      <c r="M519">
        <v>0</v>
      </c>
      <c r="N519">
        <v>2</v>
      </c>
      <c r="O519">
        <v>0</v>
      </c>
      <c r="P519">
        <v>0</v>
      </c>
      <c r="Q519">
        <v>0</v>
      </c>
      <c r="R519">
        <v>2</v>
      </c>
      <c r="S519">
        <v>0</v>
      </c>
      <c r="T519">
        <v>0</v>
      </c>
      <c r="V519">
        <v>0</v>
      </c>
      <c r="AD519">
        <v>154</v>
      </c>
      <c r="AF519" s="2">
        <f t="shared" si="8"/>
        <v>0</v>
      </c>
    </row>
    <row r="520" spans="1:32" hidden="1" x14ac:dyDescent="0.25">
      <c r="A520">
        <v>527</v>
      </c>
      <c r="B520" t="s">
        <v>384</v>
      </c>
      <c r="C520" t="s">
        <v>3104</v>
      </c>
      <c r="D520" t="s">
        <v>1051</v>
      </c>
      <c r="E520" t="s">
        <v>15</v>
      </c>
      <c r="F520">
        <v>31</v>
      </c>
      <c r="G520">
        <v>1</v>
      </c>
      <c r="H520">
        <v>0</v>
      </c>
      <c r="I520">
        <v>0</v>
      </c>
      <c r="J520">
        <v>0</v>
      </c>
      <c r="K520">
        <v>0</v>
      </c>
      <c r="L520">
        <v>0</v>
      </c>
      <c r="M520">
        <v>0</v>
      </c>
      <c r="N520">
        <v>3</v>
      </c>
      <c r="O520">
        <v>-2</v>
      </c>
      <c r="P520">
        <v>-0.67</v>
      </c>
      <c r="Q520">
        <v>0</v>
      </c>
      <c r="R520">
        <v>0</v>
      </c>
      <c r="S520">
        <v>0</v>
      </c>
      <c r="T520">
        <v>0</v>
      </c>
      <c r="V520">
        <v>0</v>
      </c>
      <c r="AA520">
        <v>-0.2</v>
      </c>
      <c r="AB520">
        <v>-0.2</v>
      </c>
      <c r="AD520">
        <v>69</v>
      </c>
      <c r="AF520" s="2">
        <f t="shared" si="8"/>
        <v>0</v>
      </c>
    </row>
    <row r="521" spans="1:32" hidden="1" x14ac:dyDescent="0.25">
      <c r="A521">
        <v>516</v>
      </c>
      <c r="B521" t="s">
        <v>3087</v>
      </c>
      <c r="C521" t="s">
        <v>3088</v>
      </c>
      <c r="D521" t="s">
        <v>1831</v>
      </c>
      <c r="E521" t="s">
        <v>15</v>
      </c>
      <c r="F521">
        <v>34</v>
      </c>
      <c r="G521">
        <v>3</v>
      </c>
      <c r="H521">
        <v>0</v>
      </c>
      <c r="I521">
        <v>2</v>
      </c>
      <c r="J521">
        <v>8</v>
      </c>
      <c r="K521">
        <v>17</v>
      </c>
      <c r="L521">
        <v>0</v>
      </c>
      <c r="M521">
        <v>0</v>
      </c>
      <c r="N521">
        <v>2</v>
      </c>
      <c r="O521">
        <v>-2</v>
      </c>
      <c r="P521">
        <v>-1</v>
      </c>
      <c r="Q521">
        <v>0</v>
      </c>
      <c r="R521">
        <v>0</v>
      </c>
      <c r="S521">
        <v>0</v>
      </c>
      <c r="T521">
        <v>0</v>
      </c>
      <c r="V521">
        <v>0</v>
      </c>
      <c r="AA521">
        <v>0.5</v>
      </c>
      <c r="AB521">
        <v>0.5</v>
      </c>
      <c r="AD521">
        <v>65</v>
      </c>
      <c r="AF521" s="2">
        <f t="shared" si="8"/>
        <v>0</v>
      </c>
    </row>
    <row r="522" spans="1:32" hidden="1" x14ac:dyDescent="0.25">
      <c r="A522">
        <v>528</v>
      </c>
      <c r="B522" t="s">
        <v>3105</v>
      </c>
      <c r="C522" t="s">
        <v>3106</v>
      </c>
      <c r="D522" t="s">
        <v>1865</v>
      </c>
      <c r="E522" t="s">
        <v>15</v>
      </c>
      <c r="F522">
        <v>28</v>
      </c>
      <c r="G522">
        <v>3</v>
      </c>
      <c r="H522">
        <v>0</v>
      </c>
      <c r="I522">
        <v>0</v>
      </c>
      <c r="J522">
        <v>0</v>
      </c>
      <c r="K522">
        <v>0</v>
      </c>
      <c r="L522">
        <v>0</v>
      </c>
      <c r="M522">
        <v>0</v>
      </c>
      <c r="N522">
        <v>1</v>
      </c>
      <c r="O522">
        <v>-1</v>
      </c>
      <c r="P522">
        <v>-1</v>
      </c>
      <c r="Q522">
        <v>0</v>
      </c>
      <c r="R522">
        <v>0</v>
      </c>
      <c r="S522">
        <v>0</v>
      </c>
      <c r="T522">
        <v>0</v>
      </c>
      <c r="V522">
        <v>0</v>
      </c>
      <c r="AA522">
        <v>-0.1</v>
      </c>
      <c r="AB522">
        <v>-0.1</v>
      </c>
      <c r="AD522">
        <v>68</v>
      </c>
      <c r="AF522" s="2">
        <f t="shared" si="8"/>
        <v>0</v>
      </c>
    </row>
    <row r="523" spans="1:32" hidden="1" x14ac:dyDescent="0.25">
      <c r="A523">
        <v>537</v>
      </c>
      <c r="B523" t="s">
        <v>1620</v>
      </c>
      <c r="C523" t="s">
        <v>3121</v>
      </c>
      <c r="D523" t="s">
        <v>1806</v>
      </c>
      <c r="E523" t="s">
        <v>47</v>
      </c>
      <c r="F523">
        <v>24</v>
      </c>
      <c r="G523">
        <v>2</v>
      </c>
      <c r="H523">
        <v>0</v>
      </c>
      <c r="I523">
        <v>0</v>
      </c>
      <c r="J523">
        <v>0</v>
      </c>
      <c r="K523">
        <v>0</v>
      </c>
      <c r="L523">
        <v>0</v>
      </c>
      <c r="M523">
        <v>0</v>
      </c>
      <c r="N523">
        <v>1</v>
      </c>
      <c r="O523">
        <v>-2</v>
      </c>
      <c r="P523">
        <v>-2</v>
      </c>
      <c r="Q523">
        <v>0</v>
      </c>
      <c r="R523">
        <v>0</v>
      </c>
      <c r="S523">
        <v>0</v>
      </c>
      <c r="T523">
        <v>0</v>
      </c>
      <c r="V523">
        <v>0</v>
      </c>
      <c r="AA523">
        <v>-0.2</v>
      </c>
      <c r="AB523">
        <v>-0.2</v>
      </c>
      <c r="AD523">
        <v>159</v>
      </c>
      <c r="AF523" s="2">
        <f t="shared" si="8"/>
        <v>0</v>
      </c>
    </row>
    <row r="524" spans="1:32" hidden="1" x14ac:dyDescent="0.25">
      <c r="A524">
        <v>549</v>
      </c>
      <c r="B524" t="s">
        <v>3139</v>
      </c>
      <c r="C524" t="s">
        <v>3140</v>
      </c>
      <c r="D524" t="s">
        <v>1044</v>
      </c>
      <c r="E524" t="s">
        <v>47</v>
      </c>
      <c r="F524">
        <v>30</v>
      </c>
      <c r="G524">
        <v>1</v>
      </c>
      <c r="H524">
        <v>0</v>
      </c>
      <c r="I524">
        <v>0</v>
      </c>
      <c r="J524">
        <v>0</v>
      </c>
      <c r="K524">
        <v>0</v>
      </c>
      <c r="L524">
        <v>0</v>
      </c>
      <c r="M524">
        <v>0</v>
      </c>
      <c r="N524">
        <v>1</v>
      </c>
      <c r="O524">
        <v>-2</v>
      </c>
      <c r="P524">
        <v>-2</v>
      </c>
      <c r="Q524">
        <v>0</v>
      </c>
      <c r="R524">
        <v>0</v>
      </c>
      <c r="S524">
        <v>0</v>
      </c>
      <c r="T524">
        <v>0</v>
      </c>
      <c r="V524">
        <v>0</v>
      </c>
      <c r="AA524">
        <v>-0.2</v>
      </c>
      <c r="AB524">
        <v>-0.2</v>
      </c>
      <c r="AD524">
        <v>160</v>
      </c>
      <c r="AF524" s="2">
        <f t="shared" si="8"/>
        <v>0</v>
      </c>
    </row>
    <row r="525" spans="1:32" hidden="1" x14ac:dyDescent="0.25">
      <c r="A525">
        <v>78</v>
      </c>
      <c r="B525" t="s">
        <v>1555</v>
      </c>
      <c r="C525" t="s">
        <v>2513</v>
      </c>
      <c r="D525" t="s">
        <v>1831</v>
      </c>
      <c r="F525">
        <v>23</v>
      </c>
      <c r="G525">
        <v>9</v>
      </c>
      <c r="H525">
        <v>0</v>
      </c>
      <c r="I525">
        <v>0</v>
      </c>
      <c r="J525">
        <v>0</v>
      </c>
      <c r="K525">
        <v>0</v>
      </c>
      <c r="L525">
        <v>0</v>
      </c>
      <c r="M525">
        <v>0</v>
      </c>
      <c r="N525">
        <v>0</v>
      </c>
      <c r="O525">
        <v>0</v>
      </c>
      <c r="Q525">
        <v>0</v>
      </c>
      <c r="R525">
        <v>0</v>
      </c>
      <c r="S525">
        <v>0</v>
      </c>
      <c r="T525">
        <v>0</v>
      </c>
      <c r="V525">
        <v>0</v>
      </c>
      <c r="AD525">
        <v>1</v>
      </c>
      <c r="AE525">
        <v>78</v>
      </c>
      <c r="AF525" s="2">
        <f t="shared" si="8"/>
        <v>0</v>
      </c>
    </row>
    <row r="526" spans="1:32" hidden="1" x14ac:dyDescent="0.25">
      <c r="A526">
        <v>517</v>
      </c>
      <c r="B526" t="s">
        <v>3089</v>
      </c>
      <c r="C526" t="s">
        <v>3090</v>
      </c>
      <c r="D526" t="s">
        <v>1050</v>
      </c>
      <c r="F526">
        <v>29</v>
      </c>
      <c r="G526">
        <v>3</v>
      </c>
      <c r="H526">
        <v>0</v>
      </c>
      <c r="I526">
        <v>0</v>
      </c>
      <c r="J526">
        <v>0</v>
      </c>
      <c r="K526">
        <v>0</v>
      </c>
      <c r="L526">
        <v>0</v>
      </c>
      <c r="M526">
        <v>0</v>
      </c>
      <c r="N526">
        <v>0</v>
      </c>
      <c r="O526">
        <v>0</v>
      </c>
      <c r="Q526">
        <v>0</v>
      </c>
      <c r="R526">
        <v>0</v>
      </c>
      <c r="S526">
        <v>0</v>
      </c>
      <c r="T526">
        <v>0</v>
      </c>
      <c r="V526">
        <v>0</v>
      </c>
      <c r="AD526">
        <v>155</v>
      </c>
      <c r="AF526" s="2">
        <f t="shared" si="8"/>
        <v>0</v>
      </c>
    </row>
    <row r="527" spans="1:32" hidden="1" x14ac:dyDescent="0.25">
      <c r="A527">
        <v>518</v>
      </c>
      <c r="B527" t="s">
        <v>1603</v>
      </c>
      <c r="C527" t="s">
        <v>3091</v>
      </c>
      <c r="D527" t="s">
        <v>1043</v>
      </c>
      <c r="F527">
        <v>24</v>
      </c>
      <c r="G527">
        <v>1</v>
      </c>
      <c r="H527">
        <v>0</v>
      </c>
      <c r="I527">
        <v>0</v>
      </c>
      <c r="J527">
        <v>0</v>
      </c>
      <c r="K527">
        <v>0</v>
      </c>
      <c r="L527">
        <v>0</v>
      </c>
      <c r="M527">
        <v>0</v>
      </c>
      <c r="N527">
        <v>0</v>
      </c>
      <c r="O527">
        <v>0</v>
      </c>
      <c r="Q527">
        <v>0</v>
      </c>
      <c r="R527">
        <v>0</v>
      </c>
      <c r="S527">
        <v>0</v>
      </c>
      <c r="T527">
        <v>0</v>
      </c>
      <c r="V527">
        <v>0</v>
      </c>
      <c r="AD527">
        <v>109</v>
      </c>
      <c r="AF527" s="2">
        <f t="shared" si="8"/>
        <v>0</v>
      </c>
    </row>
    <row r="528" spans="1:32" hidden="1" x14ac:dyDescent="0.25">
      <c r="A528">
        <v>519</v>
      </c>
      <c r="B528" t="s">
        <v>3092</v>
      </c>
      <c r="C528" t="s">
        <v>3093</v>
      </c>
      <c r="D528" t="s">
        <v>1047</v>
      </c>
      <c r="F528">
        <v>22</v>
      </c>
      <c r="G528">
        <v>9</v>
      </c>
      <c r="H528">
        <v>0</v>
      </c>
      <c r="I528">
        <v>0</v>
      </c>
      <c r="J528">
        <v>0</v>
      </c>
      <c r="K528">
        <v>0</v>
      </c>
      <c r="L528">
        <v>0</v>
      </c>
      <c r="M528">
        <v>0</v>
      </c>
      <c r="N528">
        <v>0</v>
      </c>
      <c r="O528">
        <v>0</v>
      </c>
      <c r="Q528">
        <v>0</v>
      </c>
      <c r="R528">
        <v>0</v>
      </c>
      <c r="S528">
        <v>0</v>
      </c>
      <c r="T528">
        <v>0</v>
      </c>
      <c r="V528">
        <v>0</v>
      </c>
      <c r="AD528">
        <v>214</v>
      </c>
      <c r="AF528" s="2">
        <f t="shared" si="8"/>
        <v>0</v>
      </c>
    </row>
    <row r="529" spans="1:32" hidden="1" x14ac:dyDescent="0.25">
      <c r="A529">
        <v>520</v>
      </c>
      <c r="B529" t="s">
        <v>1145</v>
      </c>
      <c r="C529" t="s">
        <v>3094</v>
      </c>
      <c r="D529" t="s">
        <v>1042</v>
      </c>
      <c r="F529">
        <v>23</v>
      </c>
      <c r="G529">
        <v>8</v>
      </c>
      <c r="H529">
        <v>0</v>
      </c>
      <c r="I529">
        <v>0</v>
      </c>
      <c r="J529">
        <v>0</v>
      </c>
      <c r="K529">
        <v>0</v>
      </c>
      <c r="L529">
        <v>0</v>
      </c>
      <c r="M529">
        <v>0</v>
      </c>
      <c r="N529">
        <v>0</v>
      </c>
      <c r="O529">
        <v>0</v>
      </c>
      <c r="Q529">
        <v>0</v>
      </c>
      <c r="R529">
        <v>0</v>
      </c>
      <c r="S529">
        <v>0</v>
      </c>
      <c r="T529">
        <v>0</v>
      </c>
      <c r="V529">
        <v>0</v>
      </c>
      <c r="AD529">
        <v>112</v>
      </c>
      <c r="AF529" s="2">
        <f t="shared" si="8"/>
        <v>0</v>
      </c>
    </row>
    <row r="530" spans="1:32" hidden="1" x14ac:dyDescent="0.25">
      <c r="A530">
        <v>521</v>
      </c>
      <c r="B530" t="s">
        <v>3095</v>
      </c>
      <c r="C530" t="s">
        <v>3096</v>
      </c>
      <c r="D530" t="s">
        <v>2396</v>
      </c>
      <c r="E530" t="s">
        <v>15</v>
      </c>
      <c r="F530">
        <v>24</v>
      </c>
      <c r="G530">
        <v>1</v>
      </c>
      <c r="H530">
        <v>0</v>
      </c>
      <c r="I530">
        <v>5</v>
      </c>
      <c r="J530">
        <v>7</v>
      </c>
      <c r="K530">
        <v>11</v>
      </c>
      <c r="L530">
        <v>0</v>
      </c>
      <c r="M530">
        <v>0</v>
      </c>
      <c r="N530">
        <v>0</v>
      </c>
      <c r="O530">
        <v>0</v>
      </c>
      <c r="Q530">
        <v>0</v>
      </c>
      <c r="R530">
        <v>0</v>
      </c>
      <c r="S530">
        <v>0</v>
      </c>
      <c r="T530">
        <v>0</v>
      </c>
      <c r="V530">
        <v>0</v>
      </c>
      <c r="AA530">
        <v>0.4</v>
      </c>
      <c r="AB530">
        <v>0.4</v>
      </c>
      <c r="AD530">
        <v>66</v>
      </c>
      <c r="AF530" s="2">
        <f t="shared" si="8"/>
        <v>0</v>
      </c>
    </row>
    <row r="531" spans="1:32" hidden="1" x14ac:dyDescent="0.25">
      <c r="A531">
        <v>522</v>
      </c>
      <c r="B531" t="s">
        <v>1621</v>
      </c>
      <c r="C531" t="s">
        <v>3097</v>
      </c>
      <c r="D531" t="s">
        <v>1834</v>
      </c>
      <c r="F531">
        <v>24</v>
      </c>
      <c r="G531">
        <v>16</v>
      </c>
      <c r="H531">
        <v>0</v>
      </c>
      <c r="I531">
        <v>0</v>
      </c>
      <c r="J531">
        <v>0</v>
      </c>
      <c r="K531">
        <v>0</v>
      </c>
      <c r="L531">
        <v>0</v>
      </c>
      <c r="M531">
        <v>0</v>
      </c>
      <c r="N531">
        <v>0</v>
      </c>
      <c r="O531">
        <v>0</v>
      </c>
      <c r="Q531">
        <v>0</v>
      </c>
      <c r="R531">
        <v>0</v>
      </c>
      <c r="S531">
        <v>0</v>
      </c>
      <c r="T531">
        <v>0</v>
      </c>
      <c r="V531">
        <v>0</v>
      </c>
      <c r="AD531">
        <v>114</v>
      </c>
      <c r="AF531" s="2">
        <f t="shared" si="8"/>
        <v>0</v>
      </c>
    </row>
    <row r="532" spans="1:32" hidden="1" x14ac:dyDescent="0.25">
      <c r="A532">
        <v>523</v>
      </c>
      <c r="B532" t="s">
        <v>1628</v>
      </c>
      <c r="C532" t="s">
        <v>3098</v>
      </c>
      <c r="D532" t="s">
        <v>1048</v>
      </c>
      <c r="F532">
        <v>23</v>
      </c>
      <c r="G532">
        <v>4</v>
      </c>
      <c r="H532">
        <v>0</v>
      </c>
      <c r="I532">
        <v>0</v>
      </c>
      <c r="J532">
        <v>0</v>
      </c>
      <c r="K532">
        <v>0</v>
      </c>
      <c r="L532">
        <v>0</v>
      </c>
      <c r="M532">
        <v>0</v>
      </c>
      <c r="N532">
        <v>0</v>
      </c>
      <c r="O532">
        <v>0</v>
      </c>
      <c r="Q532">
        <v>0</v>
      </c>
      <c r="R532">
        <v>0</v>
      </c>
      <c r="S532">
        <v>0</v>
      </c>
      <c r="T532">
        <v>0</v>
      </c>
      <c r="V532">
        <v>0</v>
      </c>
      <c r="AD532">
        <v>215</v>
      </c>
      <c r="AF532" s="2">
        <f t="shared" si="8"/>
        <v>0</v>
      </c>
    </row>
    <row r="533" spans="1:32" hidden="1" x14ac:dyDescent="0.25">
      <c r="A533">
        <v>524</v>
      </c>
      <c r="B533" t="s">
        <v>342</v>
      </c>
      <c r="C533" t="s">
        <v>3099</v>
      </c>
      <c r="D533" t="s">
        <v>1834</v>
      </c>
      <c r="F533">
        <v>23</v>
      </c>
      <c r="G533">
        <v>13</v>
      </c>
      <c r="H533">
        <v>0</v>
      </c>
      <c r="I533">
        <v>0</v>
      </c>
      <c r="J533">
        <v>0</v>
      </c>
      <c r="K533">
        <v>0</v>
      </c>
      <c r="L533">
        <v>0</v>
      </c>
      <c r="M533">
        <v>0</v>
      </c>
      <c r="N533">
        <v>0</v>
      </c>
      <c r="O533">
        <v>0</v>
      </c>
      <c r="Q533">
        <v>0</v>
      </c>
      <c r="R533">
        <v>4</v>
      </c>
      <c r="S533">
        <v>0</v>
      </c>
      <c r="T533">
        <v>0</v>
      </c>
      <c r="V533">
        <v>0</v>
      </c>
      <c r="AD533">
        <v>210</v>
      </c>
      <c r="AF533" s="2">
        <f t="shared" si="8"/>
        <v>0</v>
      </c>
    </row>
    <row r="534" spans="1:32" hidden="1" x14ac:dyDescent="0.25">
      <c r="A534">
        <v>525</v>
      </c>
      <c r="B534" t="s">
        <v>3100</v>
      </c>
      <c r="C534" t="s">
        <v>3101</v>
      </c>
      <c r="D534" t="s">
        <v>1041</v>
      </c>
      <c r="F534">
        <v>24</v>
      </c>
      <c r="G534">
        <v>1</v>
      </c>
      <c r="H534">
        <v>0</v>
      </c>
      <c r="I534">
        <v>0</v>
      </c>
      <c r="J534">
        <v>0</v>
      </c>
      <c r="K534">
        <v>0</v>
      </c>
      <c r="L534">
        <v>0</v>
      </c>
      <c r="M534">
        <v>0</v>
      </c>
      <c r="N534">
        <v>0</v>
      </c>
      <c r="O534">
        <v>0</v>
      </c>
      <c r="Q534">
        <v>0</v>
      </c>
      <c r="R534">
        <v>0</v>
      </c>
      <c r="S534">
        <v>0</v>
      </c>
      <c r="T534">
        <v>0</v>
      </c>
      <c r="V534">
        <v>0</v>
      </c>
      <c r="AD534">
        <v>102</v>
      </c>
      <c r="AF534" s="2">
        <f t="shared" si="8"/>
        <v>0</v>
      </c>
    </row>
    <row r="535" spans="1:32" hidden="1" x14ac:dyDescent="0.25">
      <c r="A535">
        <v>526</v>
      </c>
      <c r="B535" t="s">
        <v>3102</v>
      </c>
      <c r="C535" t="s">
        <v>3103</v>
      </c>
      <c r="D535" t="s">
        <v>1041</v>
      </c>
      <c r="E535" t="s">
        <v>114</v>
      </c>
      <c r="F535">
        <v>30</v>
      </c>
      <c r="G535">
        <v>7</v>
      </c>
      <c r="H535">
        <v>3</v>
      </c>
      <c r="I535">
        <v>0</v>
      </c>
      <c r="J535">
        <v>0</v>
      </c>
      <c r="K535">
        <v>0</v>
      </c>
      <c r="L535">
        <v>0</v>
      </c>
      <c r="M535">
        <v>0</v>
      </c>
      <c r="N535">
        <v>0</v>
      </c>
      <c r="O535">
        <v>0</v>
      </c>
      <c r="Q535">
        <v>0</v>
      </c>
      <c r="R535">
        <v>3</v>
      </c>
      <c r="S535">
        <v>2</v>
      </c>
      <c r="T535">
        <v>2</v>
      </c>
      <c r="U535">
        <v>1</v>
      </c>
      <c r="V535">
        <v>0</v>
      </c>
      <c r="Z535">
        <v>2</v>
      </c>
      <c r="AA535">
        <v>2.2000000000000002</v>
      </c>
      <c r="AB535">
        <v>1.2</v>
      </c>
      <c r="AD535">
        <v>98</v>
      </c>
      <c r="AF535" s="2">
        <f t="shared" si="8"/>
        <v>0</v>
      </c>
    </row>
    <row r="536" spans="1:32" hidden="1" x14ac:dyDescent="0.25">
      <c r="A536">
        <v>529</v>
      </c>
      <c r="B536" t="s">
        <v>1132</v>
      </c>
      <c r="C536" t="s">
        <v>3107</v>
      </c>
      <c r="D536" t="s">
        <v>1041</v>
      </c>
      <c r="F536">
        <v>25</v>
      </c>
      <c r="G536">
        <v>2</v>
      </c>
      <c r="H536">
        <v>0</v>
      </c>
      <c r="I536">
        <v>0</v>
      </c>
      <c r="J536">
        <v>0</v>
      </c>
      <c r="K536">
        <v>0</v>
      </c>
      <c r="L536">
        <v>0</v>
      </c>
      <c r="M536">
        <v>0</v>
      </c>
      <c r="N536">
        <v>0</v>
      </c>
      <c r="O536">
        <v>0</v>
      </c>
      <c r="Q536">
        <v>0</v>
      </c>
      <c r="R536">
        <v>0</v>
      </c>
      <c r="S536">
        <v>0</v>
      </c>
      <c r="T536">
        <v>0</v>
      </c>
      <c r="V536">
        <v>0</v>
      </c>
      <c r="AD536">
        <v>211</v>
      </c>
      <c r="AF536" s="2">
        <f t="shared" si="8"/>
        <v>0</v>
      </c>
    </row>
    <row r="537" spans="1:32" hidden="1" x14ac:dyDescent="0.25">
      <c r="A537">
        <v>531</v>
      </c>
      <c r="B537" t="s">
        <v>3109</v>
      </c>
      <c r="C537" t="s">
        <v>3110</v>
      </c>
      <c r="D537" t="s">
        <v>1806</v>
      </c>
      <c r="F537">
        <v>31</v>
      </c>
      <c r="G537">
        <v>1</v>
      </c>
      <c r="H537">
        <v>0</v>
      </c>
      <c r="I537">
        <v>0</v>
      </c>
      <c r="J537">
        <v>0</v>
      </c>
      <c r="K537">
        <v>0</v>
      </c>
      <c r="L537">
        <v>0</v>
      </c>
      <c r="M537">
        <v>0</v>
      </c>
      <c r="N537">
        <v>0</v>
      </c>
      <c r="O537">
        <v>0</v>
      </c>
      <c r="Q537">
        <v>0</v>
      </c>
      <c r="R537">
        <v>0</v>
      </c>
      <c r="S537">
        <v>0</v>
      </c>
      <c r="T537">
        <v>0</v>
      </c>
      <c r="V537">
        <v>0</v>
      </c>
      <c r="AD537">
        <v>101</v>
      </c>
      <c r="AF537" s="2">
        <f t="shared" si="8"/>
        <v>0</v>
      </c>
    </row>
    <row r="538" spans="1:32" hidden="1" x14ac:dyDescent="0.25">
      <c r="A538">
        <v>532</v>
      </c>
      <c r="B538" t="s">
        <v>3111</v>
      </c>
      <c r="C538" t="s">
        <v>3112</v>
      </c>
      <c r="D538" t="s">
        <v>1890</v>
      </c>
      <c r="F538">
        <v>26</v>
      </c>
      <c r="G538">
        <v>2</v>
      </c>
      <c r="H538">
        <v>0</v>
      </c>
      <c r="I538">
        <v>0</v>
      </c>
      <c r="J538">
        <v>0</v>
      </c>
      <c r="K538">
        <v>0</v>
      </c>
      <c r="L538">
        <v>0</v>
      </c>
      <c r="M538">
        <v>0</v>
      </c>
      <c r="N538">
        <v>0</v>
      </c>
      <c r="O538">
        <v>0</v>
      </c>
      <c r="Q538">
        <v>0</v>
      </c>
      <c r="R538">
        <v>0</v>
      </c>
      <c r="S538">
        <v>0</v>
      </c>
      <c r="T538">
        <v>0</v>
      </c>
      <c r="V538">
        <v>0</v>
      </c>
      <c r="AD538">
        <v>111</v>
      </c>
      <c r="AF538" s="2">
        <f t="shared" si="8"/>
        <v>0</v>
      </c>
    </row>
    <row r="539" spans="1:32" hidden="1" x14ac:dyDescent="0.25">
      <c r="A539">
        <v>533</v>
      </c>
      <c r="B539" t="s">
        <v>3113</v>
      </c>
      <c r="C539" t="s">
        <v>3114</v>
      </c>
      <c r="D539" t="s">
        <v>1051</v>
      </c>
      <c r="E539" t="s">
        <v>114</v>
      </c>
      <c r="F539">
        <v>23</v>
      </c>
      <c r="G539">
        <v>3</v>
      </c>
      <c r="H539">
        <v>0</v>
      </c>
      <c r="I539">
        <v>0</v>
      </c>
      <c r="J539">
        <v>0</v>
      </c>
      <c r="K539">
        <v>0</v>
      </c>
      <c r="L539">
        <v>0</v>
      </c>
      <c r="M539">
        <v>0</v>
      </c>
      <c r="N539">
        <v>0</v>
      </c>
      <c r="O539">
        <v>0</v>
      </c>
      <c r="Q539">
        <v>0</v>
      </c>
      <c r="R539">
        <v>1</v>
      </c>
      <c r="S539">
        <v>1</v>
      </c>
      <c r="T539">
        <v>4</v>
      </c>
      <c r="U539">
        <v>4</v>
      </c>
      <c r="V539">
        <v>0</v>
      </c>
      <c r="Z539">
        <v>1</v>
      </c>
      <c r="AA539">
        <v>1.4</v>
      </c>
      <c r="AB539">
        <v>0.9</v>
      </c>
      <c r="AD539">
        <v>96</v>
      </c>
      <c r="AF539" s="2">
        <f t="shared" si="8"/>
        <v>0</v>
      </c>
    </row>
    <row r="540" spans="1:32" hidden="1" x14ac:dyDescent="0.25">
      <c r="A540">
        <v>534</v>
      </c>
      <c r="B540" t="s">
        <v>3115</v>
      </c>
      <c r="C540" t="s">
        <v>3116</v>
      </c>
      <c r="D540" t="s">
        <v>1051</v>
      </c>
      <c r="F540">
        <v>23</v>
      </c>
      <c r="G540">
        <v>14</v>
      </c>
      <c r="H540">
        <v>0</v>
      </c>
      <c r="I540">
        <v>0</v>
      </c>
      <c r="J540">
        <v>0</v>
      </c>
      <c r="K540">
        <v>0</v>
      </c>
      <c r="L540">
        <v>0</v>
      </c>
      <c r="M540">
        <v>0</v>
      </c>
      <c r="N540">
        <v>0</v>
      </c>
      <c r="O540">
        <v>0</v>
      </c>
      <c r="Q540">
        <v>0</v>
      </c>
      <c r="R540">
        <v>0</v>
      </c>
      <c r="S540">
        <v>0</v>
      </c>
      <c r="T540">
        <v>0</v>
      </c>
      <c r="V540">
        <v>0</v>
      </c>
      <c r="AD540">
        <v>216</v>
      </c>
      <c r="AF540" s="2">
        <f t="shared" si="8"/>
        <v>0</v>
      </c>
    </row>
    <row r="541" spans="1:32" hidden="1" x14ac:dyDescent="0.25">
      <c r="A541">
        <v>535</v>
      </c>
      <c r="B541" t="s">
        <v>3117</v>
      </c>
      <c r="C541" t="s">
        <v>3118</v>
      </c>
      <c r="D541" t="s">
        <v>1834</v>
      </c>
      <c r="F541">
        <v>33</v>
      </c>
      <c r="G541">
        <v>16</v>
      </c>
      <c r="H541">
        <v>0</v>
      </c>
      <c r="I541">
        <v>0</v>
      </c>
      <c r="J541">
        <v>0</v>
      </c>
      <c r="K541">
        <v>0</v>
      </c>
      <c r="L541">
        <v>0</v>
      </c>
      <c r="M541">
        <v>0</v>
      </c>
      <c r="N541">
        <v>0</v>
      </c>
      <c r="O541">
        <v>0</v>
      </c>
      <c r="Q541">
        <v>0</v>
      </c>
      <c r="R541">
        <v>0</v>
      </c>
      <c r="S541">
        <v>0</v>
      </c>
      <c r="T541">
        <v>0</v>
      </c>
      <c r="V541">
        <v>0</v>
      </c>
      <c r="AD541">
        <v>103</v>
      </c>
      <c r="AF541" s="2">
        <f t="shared" si="8"/>
        <v>0</v>
      </c>
    </row>
    <row r="542" spans="1:32" x14ac:dyDescent="0.25">
      <c r="A542">
        <v>536</v>
      </c>
      <c r="B542" t="s">
        <v>3119</v>
      </c>
      <c r="C542" t="s">
        <v>3120</v>
      </c>
      <c r="D542" t="s">
        <v>815</v>
      </c>
      <c r="E542" t="s">
        <v>87</v>
      </c>
      <c r="F542">
        <v>25</v>
      </c>
      <c r="G542">
        <v>4</v>
      </c>
      <c r="H542">
        <v>0</v>
      </c>
      <c r="I542">
        <v>0</v>
      </c>
      <c r="J542">
        <v>0</v>
      </c>
      <c r="K542">
        <v>0</v>
      </c>
      <c r="L542">
        <v>0</v>
      </c>
      <c r="M542">
        <v>0</v>
      </c>
      <c r="N542">
        <v>0</v>
      </c>
      <c r="O542">
        <v>0</v>
      </c>
      <c r="Q542">
        <v>0</v>
      </c>
      <c r="R542">
        <v>1</v>
      </c>
      <c r="S542">
        <v>1</v>
      </c>
      <c r="T542">
        <v>1</v>
      </c>
      <c r="U542">
        <v>1</v>
      </c>
      <c r="V542">
        <v>0</v>
      </c>
      <c r="Z542">
        <v>1</v>
      </c>
      <c r="AA542">
        <v>1.1000000000000001</v>
      </c>
      <c r="AB542">
        <v>0.6</v>
      </c>
      <c r="AD542">
        <v>208</v>
      </c>
      <c r="AF542" s="2">
        <f t="shared" si="8"/>
        <v>0</v>
      </c>
    </row>
    <row r="543" spans="1:32" hidden="1" x14ac:dyDescent="0.25">
      <c r="A543">
        <v>538</v>
      </c>
      <c r="B543" t="s">
        <v>1572</v>
      </c>
      <c r="C543" t="s">
        <v>3122</v>
      </c>
      <c r="D543" t="s">
        <v>2398</v>
      </c>
      <c r="F543">
        <v>23</v>
      </c>
      <c r="G543">
        <v>3</v>
      </c>
      <c r="H543">
        <v>0</v>
      </c>
      <c r="I543">
        <v>0</v>
      </c>
      <c r="J543">
        <v>0</v>
      </c>
      <c r="K543">
        <v>0</v>
      </c>
      <c r="L543">
        <v>0</v>
      </c>
      <c r="M543">
        <v>0</v>
      </c>
      <c r="N543">
        <v>0</v>
      </c>
      <c r="O543">
        <v>0</v>
      </c>
      <c r="Q543">
        <v>0</v>
      </c>
      <c r="R543">
        <v>0</v>
      </c>
      <c r="S543">
        <v>0</v>
      </c>
      <c r="T543">
        <v>0</v>
      </c>
      <c r="V543">
        <v>0</v>
      </c>
      <c r="AD543">
        <v>212</v>
      </c>
      <c r="AF543" s="2">
        <f t="shared" si="8"/>
        <v>0</v>
      </c>
    </row>
    <row r="544" spans="1:32" hidden="1" x14ac:dyDescent="0.25">
      <c r="A544">
        <v>539</v>
      </c>
      <c r="B544" t="s">
        <v>1134</v>
      </c>
      <c r="C544" t="s">
        <v>3123</v>
      </c>
      <c r="D544" t="s">
        <v>2396</v>
      </c>
      <c r="E544" t="s">
        <v>47</v>
      </c>
      <c r="F544">
        <v>25</v>
      </c>
      <c r="G544">
        <v>4</v>
      </c>
      <c r="H544">
        <v>0</v>
      </c>
      <c r="I544">
        <v>0</v>
      </c>
      <c r="J544">
        <v>0</v>
      </c>
      <c r="K544">
        <v>0</v>
      </c>
      <c r="L544">
        <v>0</v>
      </c>
      <c r="M544">
        <v>0</v>
      </c>
      <c r="N544">
        <v>0</v>
      </c>
      <c r="O544">
        <v>0</v>
      </c>
      <c r="Q544">
        <v>0</v>
      </c>
      <c r="R544">
        <v>1</v>
      </c>
      <c r="S544">
        <v>1</v>
      </c>
      <c r="T544">
        <v>3</v>
      </c>
      <c r="U544">
        <v>3</v>
      </c>
      <c r="V544">
        <v>0</v>
      </c>
      <c r="Z544">
        <v>1</v>
      </c>
      <c r="AA544">
        <v>1.3</v>
      </c>
      <c r="AB544">
        <v>0.8</v>
      </c>
      <c r="AD544">
        <v>151</v>
      </c>
      <c r="AF544" s="2">
        <f t="shared" si="8"/>
        <v>0</v>
      </c>
    </row>
    <row r="545" spans="1:32" hidden="1" x14ac:dyDescent="0.25">
      <c r="A545">
        <v>541</v>
      </c>
      <c r="B545" t="s">
        <v>3126</v>
      </c>
      <c r="C545" t="s">
        <v>3127</v>
      </c>
      <c r="D545" t="s">
        <v>2398</v>
      </c>
      <c r="F545">
        <v>25</v>
      </c>
      <c r="G545">
        <v>5</v>
      </c>
      <c r="H545">
        <v>1</v>
      </c>
      <c r="I545">
        <v>0</v>
      </c>
      <c r="J545">
        <v>0</v>
      </c>
      <c r="K545">
        <v>0</v>
      </c>
      <c r="L545">
        <v>0</v>
      </c>
      <c r="M545">
        <v>0</v>
      </c>
      <c r="N545">
        <v>0</v>
      </c>
      <c r="O545">
        <v>0</v>
      </c>
      <c r="Q545">
        <v>0</v>
      </c>
      <c r="R545">
        <v>1</v>
      </c>
      <c r="S545">
        <v>0</v>
      </c>
      <c r="T545">
        <v>0</v>
      </c>
      <c r="V545">
        <v>0</v>
      </c>
      <c r="AD545">
        <v>110</v>
      </c>
      <c r="AF545" s="2">
        <f t="shared" si="8"/>
        <v>0</v>
      </c>
    </row>
    <row r="546" spans="1:32" hidden="1" x14ac:dyDescent="0.25">
      <c r="A546">
        <v>542</v>
      </c>
      <c r="B546" t="s">
        <v>3128</v>
      </c>
      <c r="C546" t="s">
        <v>3129</v>
      </c>
      <c r="D546" t="s">
        <v>1051</v>
      </c>
      <c r="F546">
        <v>25</v>
      </c>
      <c r="G546">
        <v>3</v>
      </c>
      <c r="H546">
        <v>0</v>
      </c>
      <c r="I546">
        <v>0</v>
      </c>
      <c r="J546">
        <v>0</v>
      </c>
      <c r="K546">
        <v>0</v>
      </c>
      <c r="L546">
        <v>0</v>
      </c>
      <c r="M546">
        <v>0</v>
      </c>
      <c r="N546">
        <v>0</v>
      </c>
      <c r="O546">
        <v>0</v>
      </c>
      <c r="Q546">
        <v>0</v>
      </c>
      <c r="R546">
        <v>0</v>
      </c>
      <c r="S546">
        <v>0</v>
      </c>
      <c r="T546">
        <v>0</v>
      </c>
      <c r="V546">
        <v>0</v>
      </c>
      <c r="AD546">
        <v>158</v>
      </c>
      <c r="AF546" s="2">
        <f t="shared" si="8"/>
        <v>0</v>
      </c>
    </row>
    <row r="547" spans="1:32" hidden="1" x14ac:dyDescent="0.25">
      <c r="A547">
        <v>543</v>
      </c>
      <c r="B547" t="s">
        <v>1597</v>
      </c>
      <c r="C547" t="s">
        <v>3130</v>
      </c>
      <c r="D547" t="s">
        <v>1050</v>
      </c>
      <c r="F547">
        <v>25</v>
      </c>
      <c r="G547">
        <v>8</v>
      </c>
      <c r="H547">
        <v>0</v>
      </c>
      <c r="I547">
        <v>0</v>
      </c>
      <c r="J547">
        <v>0</v>
      </c>
      <c r="K547">
        <v>0</v>
      </c>
      <c r="L547">
        <v>0</v>
      </c>
      <c r="M547">
        <v>0</v>
      </c>
      <c r="N547">
        <v>0</v>
      </c>
      <c r="O547">
        <v>0</v>
      </c>
      <c r="Q547">
        <v>0</v>
      </c>
      <c r="R547">
        <v>0</v>
      </c>
      <c r="S547">
        <v>0</v>
      </c>
      <c r="T547">
        <v>0</v>
      </c>
      <c r="V547">
        <v>0</v>
      </c>
      <c r="AD547">
        <v>99</v>
      </c>
      <c r="AF547" s="2">
        <f t="shared" si="8"/>
        <v>0</v>
      </c>
    </row>
    <row r="548" spans="1:32" hidden="1" x14ac:dyDescent="0.25">
      <c r="A548">
        <v>544</v>
      </c>
      <c r="B548" t="s">
        <v>3131</v>
      </c>
      <c r="C548" t="s">
        <v>3132</v>
      </c>
      <c r="D548" t="s">
        <v>1052</v>
      </c>
      <c r="F548">
        <v>24</v>
      </c>
      <c r="G548">
        <v>2</v>
      </c>
      <c r="H548">
        <v>0</v>
      </c>
      <c r="I548">
        <v>0</v>
      </c>
      <c r="J548">
        <v>0</v>
      </c>
      <c r="K548">
        <v>0</v>
      </c>
      <c r="L548">
        <v>0</v>
      </c>
      <c r="M548">
        <v>0</v>
      </c>
      <c r="N548">
        <v>0</v>
      </c>
      <c r="O548">
        <v>0</v>
      </c>
      <c r="Q548">
        <v>0</v>
      </c>
      <c r="R548">
        <v>0</v>
      </c>
      <c r="S548">
        <v>0</v>
      </c>
      <c r="T548">
        <v>0</v>
      </c>
      <c r="V548">
        <v>0</v>
      </c>
      <c r="AD548">
        <v>156</v>
      </c>
      <c r="AF548" s="2">
        <f t="shared" si="8"/>
        <v>0</v>
      </c>
    </row>
    <row r="549" spans="1:32" hidden="1" x14ac:dyDescent="0.25">
      <c r="A549">
        <v>545</v>
      </c>
      <c r="B549" t="s">
        <v>3133</v>
      </c>
      <c r="C549" t="s">
        <v>3134</v>
      </c>
      <c r="D549" t="s">
        <v>1043</v>
      </c>
      <c r="E549" t="s">
        <v>114</v>
      </c>
      <c r="F549">
        <v>24</v>
      </c>
      <c r="G549">
        <v>2</v>
      </c>
      <c r="H549">
        <v>0</v>
      </c>
      <c r="I549">
        <v>0</v>
      </c>
      <c r="J549">
        <v>0</v>
      </c>
      <c r="K549">
        <v>0</v>
      </c>
      <c r="L549">
        <v>0</v>
      </c>
      <c r="M549">
        <v>0</v>
      </c>
      <c r="N549">
        <v>0</v>
      </c>
      <c r="O549">
        <v>0</v>
      </c>
      <c r="Q549">
        <v>0</v>
      </c>
      <c r="R549">
        <v>1</v>
      </c>
      <c r="S549">
        <v>1</v>
      </c>
      <c r="T549">
        <v>3</v>
      </c>
      <c r="U549">
        <v>3</v>
      </c>
      <c r="V549">
        <v>0</v>
      </c>
      <c r="Z549">
        <v>1</v>
      </c>
      <c r="AA549">
        <v>1.3</v>
      </c>
      <c r="AB549">
        <v>0.8</v>
      </c>
      <c r="AD549">
        <v>97</v>
      </c>
      <c r="AF549" s="2">
        <f t="shared" si="8"/>
        <v>0</v>
      </c>
    </row>
    <row r="550" spans="1:32" hidden="1" x14ac:dyDescent="0.25">
      <c r="A550">
        <v>546</v>
      </c>
      <c r="B550" t="s">
        <v>1608</v>
      </c>
      <c r="C550" t="s">
        <v>3135</v>
      </c>
      <c r="D550" t="s">
        <v>1882</v>
      </c>
      <c r="F550">
        <v>25</v>
      </c>
      <c r="G550">
        <v>1</v>
      </c>
      <c r="H550">
        <v>0</v>
      </c>
      <c r="I550">
        <v>0</v>
      </c>
      <c r="J550">
        <v>0</v>
      </c>
      <c r="K550">
        <v>0</v>
      </c>
      <c r="L550">
        <v>0</v>
      </c>
      <c r="M550">
        <v>0</v>
      </c>
      <c r="N550">
        <v>0</v>
      </c>
      <c r="O550">
        <v>0</v>
      </c>
      <c r="Q550">
        <v>0</v>
      </c>
      <c r="R550">
        <v>0</v>
      </c>
      <c r="S550">
        <v>0</v>
      </c>
      <c r="T550">
        <v>0</v>
      </c>
      <c r="V550">
        <v>0</v>
      </c>
      <c r="AD550">
        <v>213</v>
      </c>
      <c r="AF550" s="2">
        <f t="shared" si="8"/>
        <v>0</v>
      </c>
    </row>
    <row r="551" spans="1:32" x14ac:dyDescent="0.25">
      <c r="A551">
        <v>547</v>
      </c>
      <c r="B551" t="s">
        <v>3136</v>
      </c>
      <c r="C551" t="s">
        <v>3137</v>
      </c>
      <c r="D551" t="s">
        <v>1039</v>
      </c>
      <c r="E551" t="s">
        <v>87</v>
      </c>
      <c r="F551">
        <v>23</v>
      </c>
      <c r="G551">
        <v>5</v>
      </c>
      <c r="H551">
        <v>0</v>
      </c>
      <c r="I551">
        <v>0</v>
      </c>
      <c r="J551">
        <v>0</v>
      </c>
      <c r="K551">
        <v>0</v>
      </c>
      <c r="L551">
        <v>0</v>
      </c>
      <c r="M551">
        <v>0</v>
      </c>
      <c r="N551">
        <v>0</v>
      </c>
      <c r="O551">
        <v>0</v>
      </c>
      <c r="Q551">
        <v>0</v>
      </c>
      <c r="R551">
        <v>1</v>
      </c>
      <c r="S551">
        <v>1</v>
      </c>
      <c r="T551">
        <v>4</v>
      </c>
      <c r="U551">
        <v>4</v>
      </c>
      <c r="V551">
        <v>0</v>
      </c>
      <c r="Z551">
        <v>1</v>
      </c>
      <c r="AA551">
        <v>1.4</v>
      </c>
      <c r="AB551">
        <v>0.9</v>
      </c>
      <c r="AD551">
        <v>206</v>
      </c>
      <c r="AF551" s="2">
        <f t="shared" si="8"/>
        <v>0</v>
      </c>
    </row>
    <row r="552" spans="1:32" hidden="1" x14ac:dyDescent="0.25">
      <c r="A552">
        <v>548</v>
      </c>
      <c r="B552" t="s">
        <v>331</v>
      </c>
      <c r="C552" t="s">
        <v>3138</v>
      </c>
      <c r="D552" t="s">
        <v>1045</v>
      </c>
      <c r="F552">
        <v>31</v>
      </c>
      <c r="G552">
        <v>1</v>
      </c>
      <c r="H552">
        <v>0</v>
      </c>
      <c r="I552">
        <v>0</v>
      </c>
      <c r="J552">
        <v>0</v>
      </c>
      <c r="K552">
        <v>0</v>
      </c>
      <c r="L552">
        <v>0</v>
      </c>
      <c r="M552">
        <v>0</v>
      </c>
      <c r="N552">
        <v>0</v>
      </c>
      <c r="O552">
        <v>0</v>
      </c>
      <c r="Q552">
        <v>0</v>
      </c>
      <c r="R552">
        <v>0</v>
      </c>
      <c r="S552">
        <v>0</v>
      </c>
      <c r="T552">
        <v>0</v>
      </c>
      <c r="V552">
        <v>0</v>
      </c>
      <c r="AD552">
        <v>67</v>
      </c>
      <c r="AF552" s="2">
        <f t="shared" si="8"/>
        <v>0</v>
      </c>
    </row>
    <row r="553" spans="1:32" hidden="1" x14ac:dyDescent="0.25">
      <c r="A553">
        <v>550</v>
      </c>
      <c r="B553" t="s">
        <v>3141</v>
      </c>
      <c r="C553" t="s">
        <v>3142</v>
      </c>
      <c r="D553" t="s">
        <v>1811</v>
      </c>
      <c r="F553">
        <v>24</v>
      </c>
      <c r="G553">
        <v>1</v>
      </c>
      <c r="H553">
        <v>0</v>
      </c>
      <c r="I553">
        <v>0</v>
      </c>
      <c r="J553">
        <v>0</v>
      </c>
      <c r="K553">
        <v>0</v>
      </c>
      <c r="L553">
        <v>0</v>
      </c>
      <c r="M553">
        <v>0</v>
      </c>
      <c r="N553">
        <v>0</v>
      </c>
      <c r="O553">
        <v>0</v>
      </c>
      <c r="Q553">
        <v>0</v>
      </c>
      <c r="R553">
        <v>0</v>
      </c>
      <c r="S553">
        <v>0</v>
      </c>
      <c r="T553">
        <v>0</v>
      </c>
      <c r="V553">
        <v>0</v>
      </c>
      <c r="AD553">
        <v>105</v>
      </c>
      <c r="AF553" s="2">
        <f t="shared" si="8"/>
        <v>0</v>
      </c>
    </row>
    <row r="554" spans="1:32" hidden="1" x14ac:dyDescent="0.25">
      <c r="A554">
        <v>551</v>
      </c>
      <c r="B554" t="s">
        <v>1125</v>
      </c>
      <c r="C554" t="s">
        <v>3143</v>
      </c>
      <c r="D554" t="s">
        <v>1047</v>
      </c>
      <c r="F554">
        <v>30</v>
      </c>
      <c r="G554">
        <v>14</v>
      </c>
      <c r="H554">
        <v>1</v>
      </c>
      <c r="I554">
        <v>0</v>
      </c>
      <c r="J554">
        <v>0</v>
      </c>
      <c r="K554">
        <v>0</v>
      </c>
      <c r="L554">
        <v>0</v>
      </c>
      <c r="M554">
        <v>0</v>
      </c>
      <c r="N554">
        <v>0</v>
      </c>
      <c r="O554">
        <v>0</v>
      </c>
      <c r="Q554">
        <v>0</v>
      </c>
      <c r="R554">
        <v>2</v>
      </c>
      <c r="S554">
        <v>0</v>
      </c>
      <c r="T554">
        <v>0</v>
      </c>
      <c r="V554">
        <v>0</v>
      </c>
      <c r="AD554">
        <v>106</v>
      </c>
      <c r="AF554" s="2">
        <f t="shared" si="8"/>
        <v>0</v>
      </c>
    </row>
    <row r="555" spans="1:32" x14ac:dyDescent="0.25">
      <c r="A555">
        <v>552</v>
      </c>
      <c r="B555" t="s">
        <v>1126</v>
      </c>
      <c r="C555" t="s">
        <v>3144</v>
      </c>
      <c r="D555" t="s">
        <v>1935</v>
      </c>
      <c r="E555" t="s">
        <v>87</v>
      </c>
      <c r="F555">
        <v>25</v>
      </c>
      <c r="G555">
        <v>3</v>
      </c>
      <c r="H555">
        <v>0</v>
      </c>
      <c r="I555">
        <v>0</v>
      </c>
      <c r="J555">
        <v>0</v>
      </c>
      <c r="K555">
        <v>0</v>
      </c>
      <c r="L555">
        <v>0</v>
      </c>
      <c r="M555">
        <v>0</v>
      </c>
      <c r="N555">
        <v>0</v>
      </c>
      <c r="O555">
        <v>0</v>
      </c>
      <c r="Q555">
        <v>0</v>
      </c>
      <c r="R555">
        <v>1</v>
      </c>
      <c r="S555">
        <v>1</v>
      </c>
      <c r="T555">
        <v>3</v>
      </c>
      <c r="U555">
        <v>3</v>
      </c>
      <c r="V555">
        <v>0</v>
      </c>
      <c r="Z555">
        <v>1</v>
      </c>
      <c r="AA555">
        <v>1.3</v>
      </c>
      <c r="AB555">
        <v>0.8</v>
      </c>
      <c r="AD555">
        <v>207</v>
      </c>
      <c r="AF555" s="2">
        <f t="shared" si="8"/>
        <v>0</v>
      </c>
    </row>
    <row r="556" spans="1:32" hidden="1" x14ac:dyDescent="0.25">
      <c r="A556">
        <v>553</v>
      </c>
      <c r="B556" t="s">
        <v>3145</v>
      </c>
      <c r="C556" t="s">
        <v>3146</v>
      </c>
      <c r="D556" t="s">
        <v>1051</v>
      </c>
      <c r="F556">
        <v>30</v>
      </c>
      <c r="G556">
        <v>1</v>
      </c>
      <c r="H556">
        <v>0</v>
      </c>
      <c r="I556">
        <v>0</v>
      </c>
      <c r="J556">
        <v>0</v>
      </c>
      <c r="K556">
        <v>0</v>
      </c>
      <c r="L556">
        <v>0</v>
      </c>
      <c r="M556">
        <v>0</v>
      </c>
      <c r="N556">
        <v>0</v>
      </c>
      <c r="O556">
        <v>0</v>
      </c>
      <c r="Q556">
        <v>0</v>
      </c>
      <c r="R556">
        <v>0</v>
      </c>
      <c r="S556">
        <v>0</v>
      </c>
      <c r="T556">
        <v>0</v>
      </c>
      <c r="V556">
        <v>0</v>
      </c>
      <c r="AD556">
        <v>104</v>
      </c>
      <c r="AF556" s="2">
        <f t="shared" si="8"/>
        <v>0</v>
      </c>
    </row>
    <row r="557" spans="1:32" hidden="1" x14ac:dyDescent="0.25">
      <c r="A557">
        <v>554</v>
      </c>
      <c r="B557" t="s">
        <v>1584</v>
      </c>
      <c r="C557" t="s">
        <v>3147</v>
      </c>
      <c r="D557" t="s">
        <v>1043</v>
      </c>
      <c r="F557">
        <v>25</v>
      </c>
      <c r="G557">
        <v>1</v>
      </c>
      <c r="H557">
        <v>0</v>
      </c>
      <c r="I557">
        <v>0</v>
      </c>
      <c r="J557">
        <v>0</v>
      </c>
      <c r="K557">
        <v>0</v>
      </c>
      <c r="L557">
        <v>0</v>
      </c>
      <c r="M557">
        <v>0</v>
      </c>
      <c r="N557">
        <v>0</v>
      </c>
      <c r="O557">
        <v>0</v>
      </c>
      <c r="Q557">
        <v>0</v>
      </c>
      <c r="R557">
        <v>0</v>
      </c>
      <c r="S557">
        <v>0</v>
      </c>
      <c r="T557">
        <v>0</v>
      </c>
      <c r="V557">
        <v>0</v>
      </c>
      <c r="AD557">
        <v>113</v>
      </c>
      <c r="AF557" s="2">
        <f t="shared" si="8"/>
        <v>0</v>
      </c>
    </row>
    <row r="558" spans="1:32" hidden="1" x14ac:dyDescent="0.25">
      <c r="A558">
        <v>555</v>
      </c>
      <c r="B558" t="s">
        <v>1517</v>
      </c>
      <c r="C558" t="s">
        <v>3148</v>
      </c>
      <c r="D558" t="s">
        <v>1052</v>
      </c>
      <c r="F558">
        <v>23</v>
      </c>
      <c r="G558">
        <v>14</v>
      </c>
      <c r="H558">
        <v>0</v>
      </c>
      <c r="I558">
        <v>0</v>
      </c>
      <c r="J558">
        <v>0</v>
      </c>
      <c r="K558">
        <v>0</v>
      </c>
      <c r="L558">
        <v>0</v>
      </c>
      <c r="M558">
        <v>0</v>
      </c>
      <c r="N558">
        <v>0</v>
      </c>
      <c r="O558">
        <v>0</v>
      </c>
      <c r="Q558">
        <v>0</v>
      </c>
      <c r="R558">
        <v>0</v>
      </c>
      <c r="S558">
        <v>0</v>
      </c>
      <c r="T558">
        <v>0</v>
      </c>
      <c r="V558">
        <v>0</v>
      </c>
      <c r="AD558">
        <v>100</v>
      </c>
      <c r="AF558" s="2">
        <f t="shared" si="8"/>
        <v>0</v>
      </c>
    </row>
    <row r="559" spans="1:32" hidden="1" x14ac:dyDescent="0.25">
      <c r="A559">
        <v>556</v>
      </c>
      <c r="B559" t="s">
        <v>3149</v>
      </c>
      <c r="C559" t="s">
        <v>3150</v>
      </c>
      <c r="D559" t="s">
        <v>1049</v>
      </c>
      <c r="F559">
        <v>32</v>
      </c>
      <c r="G559">
        <v>9</v>
      </c>
      <c r="H559">
        <v>0</v>
      </c>
      <c r="I559">
        <v>0</v>
      </c>
      <c r="J559">
        <v>0</v>
      </c>
      <c r="K559">
        <v>0</v>
      </c>
      <c r="L559">
        <v>0</v>
      </c>
      <c r="M559">
        <v>0</v>
      </c>
      <c r="N559">
        <v>0</v>
      </c>
      <c r="O559">
        <v>0</v>
      </c>
      <c r="Q559">
        <v>0</v>
      </c>
      <c r="R559">
        <v>0</v>
      </c>
      <c r="S559">
        <v>0</v>
      </c>
      <c r="T559">
        <v>0</v>
      </c>
      <c r="V559">
        <v>0</v>
      </c>
      <c r="AD559">
        <v>209</v>
      </c>
      <c r="AF559" s="2">
        <f t="shared" si="8"/>
        <v>0</v>
      </c>
    </row>
    <row r="560" spans="1:32" hidden="1" x14ac:dyDescent="0.25">
      <c r="A560">
        <v>557</v>
      </c>
      <c r="B560" t="s">
        <v>3151</v>
      </c>
      <c r="C560" t="s">
        <v>3152</v>
      </c>
      <c r="D560" t="s">
        <v>1811</v>
      </c>
      <c r="F560">
        <v>24</v>
      </c>
      <c r="G560">
        <v>11</v>
      </c>
      <c r="H560">
        <v>4</v>
      </c>
      <c r="I560">
        <v>0</v>
      </c>
      <c r="J560">
        <v>0</v>
      </c>
      <c r="K560">
        <v>0</v>
      </c>
      <c r="L560">
        <v>0</v>
      </c>
      <c r="M560">
        <v>0</v>
      </c>
      <c r="N560">
        <v>0</v>
      </c>
      <c r="O560">
        <v>0</v>
      </c>
      <c r="Q560">
        <v>0</v>
      </c>
      <c r="R560">
        <v>0</v>
      </c>
      <c r="S560">
        <v>0</v>
      </c>
      <c r="T560">
        <v>0</v>
      </c>
      <c r="V560">
        <v>0</v>
      </c>
      <c r="AD560">
        <v>2</v>
      </c>
      <c r="AF560" s="2">
        <f t="shared" si="8"/>
        <v>0</v>
      </c>
    </row>
    <row r="561" spans="1:32" hidden="1" x14ac:dyDescent="0.25">
      <c r="A561">
        <v>558</v>
      </c>
      <c r="B561" t="s">
        <v>3153</v>
      </c>
      <c r="C561" t="s">
        <v>3154</v>
      </c>
      <c r="D561" t="s">
        <v>1049</v>
      </c>
      <c r="F561">
        <v>29</v>
      </c>
      <c r="G561">
        <v>16</v>
      </c>
      <c r="H561">
        <v>16</v>
      </c>
      <c r="I561">
        <v>0</v>
      </c>
      <c r="J561">
        <v>0</v>
      </c>
      <c r="K561">
        <v>0</v>
      </c>
      <c r="L561">
        <v>0</v>
      </c>
      <c r="M561">
        <v>0</v>
      </c>
      <c r="N561">
        <v>0</v>
      </c>
      <c r="O561">
        <v>0</v>
      </c>
      <c r="Q561">
        <v>0</v>
      </c>
      <c r="R561">
        <v>0</v>
      </c>
      <c r="S561">
        <v>0</v>
      </c>
      <c r="T561">
        <v>0</v>
      </c>
      <c r="V561">
        <v>0</v>
      </c>
      <c r="AD561">
        <v>107</v>
      </c>
      <c r="AF561" s="2">
        <f t="shared" si="8"/>
        <v>0</v>
      </c>
    </row>
    <row r="562" spans="1:32" hidden="1" x14ac:dyDescent="0.25">
      <c r="A562">
        <v>560</v>
      </c>
      <c r="B562" t="s">
        <v>3157</v>
      </c>
      <c r="C562" t="s">
        <v>3158</v>
      </c>
      <c r="D562" t="s">
        <v>1043</v>
      </c>
      <c r="F562">
        <v>27</v>
      </c>
      <c r="G562">
        <v>14</v>
      </c>
      <c r="H562">
        <v>0</v>
      </c>
      <c r="I562">
        <v>0</v>
      </c>
      <c r="J562">
        <v>0</v>
      </c>
      <c r="K562">
        <v>0</v>
      </c>
      <c r="L562">
        <v>0</v>
      </c>
      <c r="M562">
        <v>0</v>
      </c>
      <c r="N562">
        <v>0</v>
      </c>
      <c r="O562">
        <v>0</v>
      </c>
      <c r="Q562">
        <v>0</v>
      </c>
      <c r="R562">
        <v>0</v>
      </c>
      <c r="S562">
        <v>0</v>
      </c>
      <c r="T562">
        <v>0</v>
      </c>
      <c r="V562">
        <v>0</v>
      </c>
      <c r="AD562">
        <v>157</v>
      </c>
      <c r="AF562" s="2">
        <f t="shared" si="8"/>
        <v>0</v>
      </c>
    </row>
    <row r="563" spans="1:32" hidden="1" x14ac:dyDescent="0.25">
      <c r="A563">
        <v>561</v>
      </c>
      <c r="B563" t="s">
        <v>1607</v>
      </c>
      <c r="C563" t="s">
        <v>3159</v>
      </c>
      <c r="D563" t="s">
        <v>1882</v>
      </c>
      <c r="F563">
        <v>25</v>
      </c>
      <c r="G563">
        <v>1</v>
      </c>
      <c r="H563">
        <v>0</v>
      </c>
      <c r="I563">
        <v>0</v>
      </c>
      <c r="J563">
        <v>0</v>
      </c>
      <c r="K563">
        <v>0</v>
      </c>
      <c r="L563">
        <v>0</v>
      </c>
      <c r="M563">
        <v>0</v>
      </c>
      <c r="N563">
        <v>0</v>
      </c>
      <c r="O563">
        <v>0</v>
      </c>
      <c r="Q563">
        <v>0</v>
      </c>
      <c r="R563">
        <v>0</v>
      </c>
      <c r="S563">
        <v>0</v>
      </c>
      <c r="T563">
        <v>0</v>
      </c>
      <c r="V563">
        <v>0</v>
      </c>
      <c r="AD563">
        <v>108</v>
      </c>
      <c r="AF563" s="2">
        <f t="shared" si="8"/>
        <v>0</v>
      </c>
    </row>
    <row r="564" spans="1:32" x14ac:dyDescent="0.25">
      <c r="A564">
        <v>566</v>
      </c>
      <c r="B564" t="s">
        <v>3167</v>
      </c>
      <c r="C564" t="s">
        <v>3168</v>
      </c>
      <c r="D564" t="s">
        <v>1052</v>
      </c>
      <c r="E564" t="s">
        <v>87</v>
      </c>
      <c r="F564">
        <v>29</v>
      </c>
      <c r="G564">
        <v>16</v>
      </c>
      <c r="H564">
        <v>0</v>
      </c>
      <c r="I564">
        <v>0</v>
      </c>
      <c r="J564">
        <v>0</v>
      </c>
      <c r="K564">
        <v>0</v>
      </c>
      <c r="L564">
        <v>0</v>
      </c>
      <c r="M564">
        <v>0</v>
      </c>
      <c r="N564">
        <v>0</v>
      </c>
      <c r="O564">
        <v>0</v>
      </c>
      <c r="Q564">
        <v>0</v>
      </c>
      <c r="R564">
        <v>4</v>
      </c>
      <c r="S564">
        <v>1</v>
      </c>
      <c r="T564">
        <v>12</v>
      </c>
      <c r="U564">
        <v>12</v>
      </c>
      <c r="V564">
        <v>0</v>
      </c>
      <c r="Y564">
        <v>-1</v>
      </c>
      <c r="AA564">
        <v>1.2</v>
      </c>
      <c r="AB564">
        <v>-0.3</v>
      </c>
      <c r="AD564">
        <v>219</v>
      </c>
      <c r="AF564" s="2">
        <f t="shared" si="8"/>
        <v>-6.25E-2</v>
      </c>
    </row>
    <row r="565" spans="1:32" x14ac:dyDescent="0.25">
      <c r="A565">
        <v>564</v>
      </c>
      <c r="B565" t="s">
        <v>3163</v>
      </c>
      <c r="C565" t="s">
        <v>3164</v>
      </c>
      <c r="D565" t="s">
        <v>1054</v>
      </c>
      <c r="E565" t="s">
        <v>87</v>
      </c>
      <c r="F565">
        <v>22</v>
      </c>
      <c r="G565">
        <v>11</v>
      </c>
      <c r="H565">
        <v>0</v>
      </c>
      <c r="I565">
        <v>0</v>
      </c>
      <c r="J565">
        <v>0</v>
      </c>
      <c r="K565">
        <v>0</v>
      </c>
      <c r="L565">
        <v>0</v>
      </c>
      <c r="M565">
        <v>0</v>
      </c>
      <c r="N565">
        <v>1</v>
      </c>
      <c r="O565">
        <v>4</v>
      </c>
      <c r="P565">
        <v>4</v>
      </c>
      <c r="Q565">
        <v>0</v>
      </c>
      <c r="R565">
        <v>13</v>
      </c>
      <c r="S565">
        <v>4</v>
      </c>
      <c r="T565">
        <v>29</v>
      </c>
      <c r="U565">
        <v>7.25</v>
      </c>
      <c r="V565">
        <v>0</v>
      </c>
      <c r="Y565">
        <v>-1</v>
      </c>
      <c r="Z565">
        <v>3</v>
      </c>
      <c r="AA565">
        <v>5.3</v>
      </c>
      <c r="AB565">
        <v>1.3</v>
      </c>
      <c r="AD565">
        <v>217</v>
      </c>
      <c r="AF565" s="2">
        <f t="shared" si="8"/>
        <v>-9.0909090909090912E-2</v>
      </c>
    </row>
    <row r="566" spans="1:32" hidden="1" x14ac:dyDescent="0.25">
      <c r="A566">
        <v>562</v>
      </c>
      <c r="B566" t="s">
        <v>3160</v>
      </c>
      <c r="C566" t="s">
        <v>3161</v>
      </c>
      <c r="D566" t="s">
        <v>1041</v>
      </c>
      <c r="E566" t="s">
        <v>15</v>
      </c>
      <c r="F566">
        <v>34</v>
      </c>
      <c r="G566">
        <v>8</v>
      </c>
      <c r="H566">
        <v>0</v>
      </c>
      <c r="I566">
        <v>6</v>
      </c>
      <c r="J566">
        <v>8</v>
      </c>
      <c r="K566">
        <v>36</v>
      </c>
      <c r="L566">
        <v>0</v>
      </c>
      <c r="M566">
        <v>1</v>
      </c>
      <c r="N566">
        <v>5</v>
      </c>
      <c r="O566">
        <v>-5</v>
      </c>
      <c r="P566">
        <v>-1</v>
      </c>
      <c r="Q566">
        <v>0</v>
      </c>
      <c r="R566">
        <v>0</v>
      </c>
      <c r="S566">
        <v>0</v>
      </c>
      <c r="T566">
        <v>0</v>
      </c>
      <c r="V566">
        <v>0</v>
      </c>
      <c r="Y566">
        <v>-1</v>
      </c>
      <c r="Z566">
        <v>-1</v>
      </c>
      <c r="AA566">
        <v>-0.1</v>
      </c>
      <c r="AB566">
        <v>-0.1</v>
      </c>
      <c r="AD566">
        <v>72</v>
      </c>
      <c r="AF566" s="2">
        <f t="shared" si="8"/>
        <v>-0.125</v>
      </c>
    </row>
    <row r="567" spans="1:32" x14ac:dyDescent="0.25">
      <c r="A567">
        <v>565</v>
      </c>
      <c r="B567" t="s">
        <v>3165</v>
      </c>
      <c r="C567" t="s">
        <v>3166</v>
      </c>
      <c r="D567" t="s">
        <v>2398</v>
      </c>
      <c r="E567" t="s">
        <v>87</v>
      </c>
      <c r="F567">
        <v>23</v>
      </c>
      <c r="G567">
        <v>8</v>
      </c>
      <c r="H567">
        <v>0</v>
      </c>
      <c r="I567">
        <v>0</v>
      </c>
      <c r="J567">
        <v>0</v>
      </c>
      <c r="K567">
        <v>0</v>
      </c>
      <c r="L567">
        <v>0</v>
      </c>
      <c r="M567">
        <v>0</v>
      </c>
      <c r="N567">
        <v>1</v>
      </c>
      <c r="O567">
        <v>-1</v>
      </c>
      <c r="P567">
        <v>-1</v>
      </c>
      <c r="Q567">
        <v>0</v>
      </c>
      <c r="R567">
        <v>1</v>
      </c>
      <c r="S567">
        <v>1</v>
      </c>
      <c r="T567">
        <v>12</v>
      </c>
      <c r="U567">
        <v>12</v>
      </c>
      <c r="V567">
        <v>0</v>
      </c>
      <c r="Y567">
        <v>-1</v>
      </c>
      <c r="AA567">
        <v>1.1000000000000001</v>
      </c>
      <c r="AB567">
        <v>-0.4</v>
      </c>
      <c r="AD567">
        <v>220</v>
      </c>
      <c r="AF567" s="2">
        <f t="shared" si="8"/>
        <v>-0.125</v>
      </c>
    </row>
    <row r="568" spans="1:32" x14ac:dyDescent="0.25">
      <c r="A568">
        <v>571</v>
      </c>
      <c r="B568" t="s">
        <v>3175</v>
      </c>
      <c r="C568" t="s">
        <v>3176</v>
      </c>
      <c r="D568" t="s">
        <v>1053</v>
      </c>
      <c r="E568" t="s">
        <v>87</v>
      </c>
      <c r="F568">
        <v>23</v>
      </c>
      <c r="G568">
        <v>16</v>
      </c>
      <c r="H568">
        <v>0</v>
      </c>
      <c r="I568">
        <v>0</v>
      </c>
      <c r="J568">
        <v>1</v>
      </c>
      <c r="K568">
        <v>0</v>
      </c>
      <c r="L568">
        <v>0</v>
      </c>
      <c r="M568">
        <v>1</v>
      </c>
      <c r="N568">
        <v>0</v>
      </c>
      <c r="O568">
        <v>0</v>
      </c>
      <c r="Q568">
        <v>0</v>
      </c>
      <c r="R568">
        <v>0</v>
      </c>
      <c r="S568">
        <v>0</v>
      </c>
      <c r="T568">
        <v>0</v>
      </c>
      <c r="V568">
        <v>0</v>
      </c>
      <c r="Y568">
        <v>-2</v>
      </c>
      <c r="Z568">
        <v>-2</v>
      </c>
      <c r="AA568">
        <v>-1</v>
      </c>
      <c r="AB568">
        <v>-1</v>
      </c>
      <c r="AD568">
        <v>221</v>
      </c>
      <c r="AF568" s="2">
        <f t="shared" si="8"/>
        <v>-0.125</v>
      </c>
    </row>
    <row r="569" spans="1:32" hidden="1" x14ac:dyDescent="0.25">
      <c r="A569">
        <v>572</v>
      </c>
      <c r="B569" t="s">
        <v>3177</v>
      </c>
      <c r="C569" t="s">
        <v>3178</v>
      </c>
      <c r="D569" t="s">
        <v>2396</v>
      </c>
      <c r="E569" t="s">
        <v>47</v>
      </c>
      <c r="F569">
        <v>23</v>
      </c>
      <c r="G569">
        <v>8</v>
      </c>
      <c r="H569">
        <v>0</v>
      </c>
      <c r="I569">
        <v>0</v>
      </c>
      <c r="J569">
        <v>0</v>
      </c>
      <c r="K569">
        <v>0</v>
      </c>
      <c r="L569">
        <v>0</v>
      </c>
      <c r="M569">
        <v>0</v>
      </c>
      <c r="N569">
        <v>4</v>
      </c>
      <c r="O569">
        <v>1</v>
      </c>
      <c r="P569">
        <v>0.25</v>
      </c>
      <c r="Q569">
        <v>0</v>
      </c>
      <c r="R569">
        <v>3</v>
      </c>
      <c r="S569">
        <v>3</v>
      </c>
      <c r="T569">
        <v>0</v>
      </c>
      <c r="U569">
        <v>0</v>
      </c>
      <c r="V569">
        <v>0</v>
      </c>
      <c r="Y569">
        <v>-2</v>
      </c>
      <c r="Z569">
        <v>1</v>
      </c>
      <c r="AA569">
        <v>2.1</v>
      </c>
      <c r="AB569">
        <v>-0.4</v>
      </c>
      <c r="AD569">
        <v>161</v>
      </c>
      <c r="AF569" s="2">
        <f t="shared" si="8"/>
        <v>-0.25</v>
      </c>
    </row>
    <row r="570" spans="1:32" x14ac:dyDescent="0.25">
      <c r="A570">
        <v>567</v>
      </c>
      <c r="B570" t="s">
        <v>239</v>
      </c>
      <c r="C570" t="s">
        <v>3169</v>
      </c>
      <c r="D570" t="s">
        <v>1834</v>
      </c>
      <c r="E570" t="s">
        <v>87</v>
      </c>
      <c r="F570">
        <v>23</v>
      </c>
      <c r="G570">
        <v>3</v>
      </c>
      <c r="H570">
        <v>1</v>
      </c>
      <c r="I570">
        <v>0</v>
      </c>
      <c r="J570">
        <v>0</v>
      </c>
      <c r="K570">
        <v>0</v>
      </c>
      <c r="L570">
        <v>0</v>
      </c>
      <c r="M570">
        <v>0</v>
      </c>
      <c r="N570">
        <v>1</v>
      </c>
      <c r="O570">
        <v>12</v>
      </c>
      <c r="P570">
        <v>12</v>
      </c>
      <c r="Q570">
        <v>0</v>
      </c>
      <c r="R570">
        <v>2</v>
      </c>
      <c r="S570">
        <v>0</v>
      </c>
      <c r="T570">
        <v>0</v>
      </c>
      <c r="V570">
        <v>0</v>
      </c>
      <c r="Y570">
        <v>-1</v>
      </c>
      <c r="Z570">
        <v>-1</v>
      </c>
      <c r="AA570">
        <v>0.2</v>
      </c>
      <c r="AB570">
        <v>-0.8</v>
      </c>
      <c r="AD570">
        <v>218</v>
      </c>
      <c r="AF570" s="2">
        <f t="shared" si="8"/>
        <v>-0.33333333333333331</v>
      </c>
    </row>
    <row r="571" spans="1:32" hidden="1" x14ac:dyDescent="0.25">
      <c r="A571">
        <v>568</v>
      </c>
      <c r="B571" t="s">
        <v>3170</v>
      </c>
      <c r="C571" t="s">
        <v>3171</v>
      </c>
      <c r="D571" t="s">
        <v>1882</v>
      </c>
      <c r="E571" t="s">
        <v>15</v>
      </c>
      <c r="F571">
        <v>24</v>
      </c>
      <c r="G571">
        <v>3</v>
      </c>
      <c r="H571">
        <v>0</v>
      </c>
      <c r="I571">
        <v>3</v>
      </c>
      <c r="J571">
        <v>5</v>
      </c>
      <c r="K571">
        <v>24</v>
      </c>
      <c r="L571">
        <v>0</v>
      </c>
      <c r="M571">
        <v>1</v>
      </c>
      <c r="N571">
        <v>0</v>
      </c>
      <c r="O571">
        <v>0</v>
      </c>
      <c r="Q571">
        <v>0</v>
      </c>
      <c r="R571">
        <v>0</v>
      </c>
      <c r="S571">
        <v>0</v>
      </c>
      <c r="T571">
        <v>0</v>
      </c>
      <c r="V571">
        <v>0</v>
      </c>
      <c r="Y571">
        <v>-1</v>
      </c>
      <c r="Z571">
        <v>-1</v>
      </c>
      <c r="AD571">
        <v>71</v>
      </c>
      <c r="AF571" s="2">
        <f t="shared" si="8"/>
        <v>-0.33333333333333331</v>
      </c>
    </row>
    <row r="572" spans="1:32" hidden="1" x14ac:dyDescent="0.25">
      <c r="A572">
        <v>563</v>
      </c>
      <c r="B572" t="s">
        <v>311</v>
      </c>
      <c r="C572" t="s">
        <v>3162</v>
      </c>
      <c r="D572" t="s">
        <v>1039</v>
      </c>
      <c r="E572" t="s">
        <v>15</v>
      </c>
      <c r="F572">
        <v>32</v>
      </c>
      <c r="G572">
        <v>2</v>
      </c>
      <c r="H572">
        <v>0</v>
      </c>
      <c r="I572">
        <v>0</v>
      </c>
      <c r="J572">
        <v>2</v>
      </c>
      <c r="K572">
        <v>0</v>
      </c>
      <c r="L572">
        <v>0</v>
      </c>
      <c r="M572">
        <v>0</v>
      </c>
      <c r="N572">
        <v>5</v>
      </c>
      <c r="O572">
        <v>-5</v>
      </c>
      <c r="P572">
        <v>-1</v>
      </c>
      <c r="Q572">
        <v>0</v>
      </c>
      <c r="R572">
        <v>0</v>
      </c>
      <c r="S572">
        <v>0</v>
      </c>
      <c r="T572">
        <v>0</v>
      </c>
      <c r="V572">
        <v>0</v>
      </c>
      <c r="Y572">
        <v>-1</v>
      </c>
      <c r="Z572">
        <v>-1</v>
      </c>
      <c r="AA572">
        <v>-0.5</v>
      </c>
      <c r="AB572">
        <v>-0.5</v>
      </c>
      <c r="AD572">
        <v>70</v>
      </c>
      <c r="AF572" s="2">
        <f t="shared" si="8"/>
        <v>-0.5</v>
      </c>
    </row>
    <row r="573" spans="1:32" hidden="1" x14ac:dyDescent="0.25">
      <c r="A573">
        <v>569</v>
      </c>
      <c r="B573" t="s">
        <v>3172</v>
      </c>
      <c r="C573" t="s">
        <v>3173</v>
      </c>
      <c r="D573" t="s">
        <v>1037</v>
      </c>
      <c r="E573" t="s">
        <v>15</v>
      </c>
      <c r="F573">
        <v>26</v>
      </c>
      <c r="G573">
        <v>1</v>
      </c>
      <c r="H573">
        <v>0</v>
      </c>
      <c r="I573">
        <v>0</v>
      </c>
      <c r="J573">
        <v>1</v>
      </c>
      <c r="K573">
        <v>0</v>
      </c>
      <c r="L573">
        <v>0</v>
      </c>
      <c r="M573">
        <v>0</v>
      </c>
      <c r="N573">
        <v>1</v>
      </c>
      <c r="O573">
        <v>0</v>
      </c>
      <c r="P573">
        <v>0</v>
      </c>
      <c r="Q573">
        <v>0</v>
      </c>
      <c r="R573">
        <v>0</v>
      </c>
      <c r="S573">
        <v>0</v>
      </c>
      <c r="T573">
        <v>0</v>
      </c>
      <c r="V573">
        <v>0</v>
      </c>
      <c r="Y573">
        <v>-2</v>
      </c>
      <c r="Z573">
        <v>-2</v>
      </c>
      <c r="AA573">
        <v>-1</v>
      </c>
      <c r="AB573">
        <v>-2</v>
      </c>
      <c r="AD573">
        <v>73</v>
      </c>
      <c r="AF573" s="2">
        <f t="shared" si="8"/>
        <v>-2</v>
      </c>
    </row>
    <row r="574" spans="1:32" hidden="1" x14ac:dyDescent="0.25">
      <c r="A574">
        <v>570</v>
      </c>
      <c r="B574" t="s">
        <v>745</v>
      </c>
      <c r="C574" t="s">
        <v>3174</v>
      </c>
      <c r="D574" t="s">
        <v>1048</v>
      </c>
      <c r="E574" t="s">
        <v>15</v>
      </c>
      <c r="F574">
        <v>25</v>
      </c>
      <c r="G574">
        <v>1</v>
      </c>
      <c r="H574">
        <v>0</v>
      </c>
      <c r="I574">
        <v>0</v>
      </c>
      <c r="J574">
        <v>2</v>
      </c>
      <c r="K574">
        <v>0</v>
      </c>
      <c r="L574">
        <v>0</v>
      </c>
      <c r="M574">
        <v>1</v>
      </c>
      <c r="N574">
        <v>3</v>
      </c>
      <c r="O574">
        <v>-3</v>
      </c>
      <c r="P574">
        <v>-1</v>
      </c>
      <c r="Q574">
        <v>0</v>
      </c>
      <c r="R574">
        <v>0</v>
      </c>
      <c r="S574">
        <v>0</v>
      </c>
      <c r="T574">
        <v>0</v>
      </c>
      <c r="V574">
        <v>0</v>
      </c>
      <c r="Y574">
        <v>-2</v>
      </c>
      <c r="Z574">
        <v>-2</v>
      </c>
      <c r="AA574">
        <v>-1.3</v>
      </c>
      <c r="AB574">
        <v>-1.3</v>
      </c>
      <c r="AD574">
        <v>74</v>
      </c>
      <c r="AF574" s="2">
        <f t="shared" si="8"/>
        <v>-2</v>
      </c>
    </row>
  </sheetData>
  <autoFilter ref="A2:AF574">
    <filterColumn colId="4">
      <filters>
        <filter val="WR"/>
      </filters>
    </filterColumn>
  </autoFilter>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X153"/>
  <sheetViews>
    <sheetView workbookViewId="0">
      <selection activeCell="N2" sqref="N2:N11"/>
    </sheetView>
  </sheetViews>
  <sheetFormatPr defaultRowHeight="15" x14ac:dyDescent="0.25"/>
  <cols>
    <col min="13" max="13" width="17.42578125" bestFit="1" customWidth="1"/>
  </cols>
  <sheetData>
    <row r="1" spans="1:24" x14ac:dyDescent="0.25">
      <c r="A1" t="s">
        <v>2281</v>
      </c>
    </row>
    <row r="2" spans="1:24" x14ac:dyDescent="0.25">
      <c r="A2" t="s">
        <v>2282</v>
      </c>
      <c r="B2" t="s">
        <v>2283</v>
      </c>
      <c r="D2" t="s">
        <v>2284</v>
      </c>
      <c r="E2" t="s">
        <v>2283</v>
      </c>
      <c r="F2" t="s">
        <v>2285</v>
      </c>
      <c r="G2">
        <v>1</v>
      </c>
      <c r="M2" t="s">
        <v>2303</v>
      </c>
      <c r="N2" t="str">
        <f>LOWER(LEFT(M2,SEARCH(" ",M2)-1))</f>
        <v>andrew</v>
      </c>
      <c r="P2">
        <v>1</v>
      </c>
      <c r="Q2">
        <v>1</v>
      </c>
      <c r="R2" t="s">
        <v>2360</v>
      </c>
      <c r="S2" t="str">
        <f>P2&amp;";"&amp;Q2&amp;";"&amp;R2</f>
        <v>1;1;5</v>
      </c>
      <c r="U2">
        <v>1</v>
      </c>
      <c r="V2">
        <v>1</v>
      </c>
      <c r="W2">
        <v>3</v>
      </c>
      <c r="X2" t="str">
        <f>U2&amp;";"&amp;V2&amp;";"&amp;W2</f>
        <v>1;1;3</v>
      </c>
    </row>
    <row r="3" spans="1:24" x14ac:dyDescent="0.25">
      <c r="A3" t="s">
        <v>2286</v>
      </c>
      <c r="B3" t="s">
        <v>2287</v>
      </c>
      <c r="C3" t="s">
        <v>2288</v>
      </c>
      <c r="D3" t="s">
        <v>2289</v>
      </c>
      <c r="E3" t="s">
        <v>2290</v>
      </c>
      <c r="F3" t="s">
        <v>2291</v>
      </c>
      <c r="G3">
        <v>1</v>
      </c>
      <c r="H3" t="str">
        <f>G3&amp;"-"&amp;MATCH($B3,$M$2:$M$11,0)</f>
        <v>1-8</v>
      </c>
      <c r="I3" t="str">
        <f>G3&amp;"-"&amp;MATCH($E3,$M$2:$M$11,0)</f>
        <v>1-4</v>
      </c>
      <c r="M3" t="s">
        <v>2295</v>
      </c>
      <c r="N3" t="str">
        <f t="shared" ref="N3:N11" si="0">LOWER(LEFT(M3,SEARCH(" ",M3)-1))</f>
        <v>jake</v>
      </c>
      <c r="P3">
        <f>P2+1</f>
        <v>2</v>
      </c>
      <c r="Q3">
        <f>Q2</f>
        <v>1</v>
      </c>
      <c r="R3" t="s">
        <v>2361</v>
      </c>
      <c r="S3" t="str">
        <f t="shared" ref="S3:S66" si="1">P3&amp;";"&amp;Q3&amp;";"&amp;R3</f>
        <v>2;1;2</v>
      </c>
      <c r="U3">
        <v>2</v>
      </c>
      <c r="V3">
        <v>1</v>
      </c>
      <c r="W3">
        <v>4</v>
      </c>
      <c r="X3" t="str">
        <f t="shared" ref="X3:X66" si="2">U3&amp;";"&amp;V3&amp;";"&amp;W3</f>
        <v>2;1;4</v>
      </c>
    </row>
    <row r="4" spans="1:24" x14ac:dyDescent="0.25">
      <c r="A4" t="s">
        <v>2292</v>
      </c>
      <c r="B4" t="s">
        <v>2293</v>
      </c>
      <c r="C4" t="s">
        <v>2288</v>
      </c>
      <c r="D4" t="s">
        <v>2294</v>
      </c>
      <c r="E4" t="s">
        <v>2295</v>
      </c>
      <c r="F4" t="s">
        <v>2291</v>
      </c>
      <c r="G4">
        <v>1</v>
      </c>
      <c r="H4" t="str">
        <f t="shared" ref="H4:H67" si="3">G4&amp;"-"&amp;MATCH($B4,$M$2:$M$11,0)</f>
        <v>1-3</v>
      </c>
      <c r="I4" t="str">
        <f t="shared" ref="I4:I67" si="4">G4&amp;"-"&amp;MATCH($E4,$M$2:$M$11,0)</f>
        <v>1-2</v>
      </c>
      <c r="M4" t="s">
        <v>2293</v>
      </c>
      <c r="N4" t="str">
        <f t="shared" si="0"/>
        <v>breanna</v>
      </c>
      <c r="P4">
        <f t="shared" ref="P4:P14" si="5">P3+1</f>
        <v>3</v>
      </c>
      <c r="Q4">
        <f t="shared" ref="Q4:Q14" si="6">Q3</f>
        <v>1</v>
      </c>
      <c r="R4" t="s">
        <v>2362</v>
      </c>
      <c r="S4" t="str">
        <f t="shared" si="1"/>
        <v>3;1;3</v>
      </c>
      <c r="U4">
        <v>3</v>
      </c>
      <c r="V4">
        <v>1</v>
      </c>
      <c r="W4">
        <v>8</v>
      </c>
      <c r="X4" t="str">
        <f t="shared" si="2"/>
        <v>3;1;8</v>
      </c>
    </row>
    <row r="5" spans="1:24" x14ac:dyDescent="0.25">
      <c r="A5" t="s">
        <v>2296</v>
      </c>
      <c r="B5" t="s">
        <v>2297</v>
      </c>
      <c r="C5" t="s">
        <v>2288</v>
      </c>
      <c r="D5" t="s">
        <v>2298</v>
      </c>
      <c r="E5" t="s">
        <v>2299</v>
      </c>
      <c r="F5" t="s">
        <v>2291</v>
      </c>
      <c r="G5">
        <v>1</v>
      </c>
      <c r="H5" t="str">
        <f t="shared" si="3"/>
        <v>1-7</v>
      </c>
      <c r="I5" t="str">
        <f t="shared" si="4"/>
        <v>1-6</v>
      </c>
      <c r="M5" t="s">
        <v>2290</v>
      </c>
      <c r="N5" t="str">
        <f t="shared" si="0"/>
        <v>joseph</v>
      </c>
      <c r="P5">
        <f t="shared" si="5"/>
        <v>4</v>
      </c>
      <c r="Q5">
        <f t="shared" si="6"/>
        <v>1</v>
      </c>
      <c r="R5" t="s">
        <v>2363</v>
      </c>
      <c r="S5" t="str">
        <f t="shared" si="1"/>
        <v>4;1;10</v>
      </c>
      <c r="U5">
        <v>4</v>
      </c>
      <c r="V5">
        <v>1</v>
      </c>
      <c r="W5">
        <v>2</v>
      </c>
      <c r="X5" t="str">
        <f t="shared" si="2"/>
        <v>4;1;2</v>
      </c>
    </row>
    <row r="6" spans="1:24" x14ac:dyDescent="0.25">
      <c r="A6" t="s">
        <v>2300</v>
      </c>
      <c r="B6" t="s">
        <v>2301</v>
      </c>
      <c r="C6" t="s">
        <v>2288</v>
      </c>
      <c r="D6" t="s">
        <v>2302</v>
      </c>
      <c r="E6" t="s">
        <v>2303</v>
      </c>
      <c r="F6" t="s">
        <v>2291</v>
      </c>
      <c r="G6">
        <v>1</v>
      </c>
      <c r="H6" t="str">
        <f t="shared" si="3"/>
        <v>1-5</v>
      </c>
      <c r="I6" t="str">
        <f t="shared" si="4"/>
        <v>1-1</v>
      </c>
      <c r="M6" t="s">
        <v>2301</v>
      </c>
      <c r="N6" t="str">
        <f t="shared" si="0"/>
        <v>alyssa</v>
      </c>
      <c r="P6">
        <f t="shared" si="5"/>
        <v>5</v>
      </c>
      <c r="Q6">
        <f t="shared" si="6"/>
        <v>1</v>
      </c>
      <c r="R6" t="s">
        <v>2364</v>
      </c>
      <c r="S6" t="str">
        <f t="shared" si="1"/>
        <v>5;1;4</v>
      </c>
      <c r="U6">
        <v>5</v>
      </c>
      <c r="V6">
        <v>1</v>
      </c>
      <c r="W6">
        <v>7</v>
      </c>
      <c r="X6" t="str">
        <f t="shared" si="2"/>
        <v>5;1;7</v>
      </c>
    </row>
    <row r="7" spans="1:24" x14ac:dyDescent="0.25">
      <c r="A7" t="s">
        <v>2304</v>
      </c>
      <c r="B7" t="s">
        <v>2305</v>
      </c>
      <c r="C7" t="s">
        <v>2288</v>
      </c>
      <c r="D7" t="s">
        <v>2306</v>
      </c>
      <c r="E7" t="s">
        <v>2307</v>
      </c>
      <c r="F7" t="s">
        <v>2291</v>
      </c>
      <c r="G7">
        <v>1</v>
      </c>
      <c r="H7" t="str">
        <f t="shared" si="3"/>
        <v>1-9</v>
      </c>
      <c r="I7" t="str">
        <f t="shared" si="4"/>
        <v>1-10</v>
      </c>
      <c r="M7" t="s">
        <v>2299</v>
      </c>
      <c r="N7" t="str">
        <f t="shared" si="0"/>
        <v>chris</v>
      </c>
      <c r="P7">
        <f t="shared" si="5"/>
        <v>6</v>
      </c>
      <c r="Q7">
        <f t="shared" si="6"/>
        <v>1</v>
      </c>
      <c r="R7" t="s">
        <v>2365</v>
      </c>
      <c r="S7" t="str">
        <f t="shared" si="1"/>
        <v>6;1;9</v>
      </c>
      <c r="U7">
        <v>6</v>
      </c>
      <c r="V7">
        <v>1</v>
      </c>
      <c r="W7">
        <v>10</v>
      </c>
      <c r="X7" t="str">
        <f t="shared" si="2"/>
        <v>6;1;10</v>
      </c>
    </row>
    <row r="8" spans="1:24" x14ac:dyDescent="0.25">
      <c r="G8">
        <v>1</v>
      </c>
      <c r="H8" t="e">
        <f t="shared" si="3"/>
        <v>#N/A</v>
      </c>
      <c r="I8" t="e">
        <f t="shared" si="4"/>
        <v>#N/A</v>
      </c>
      <c r="M8" t="s">
        <v>2297</v>
      </c>
      <c r="N8" t="str">
        <f t="shared" si="0"/>
        <v>jordan</v>
      </c>
      <c r="P8">
        <f t="shared" si="5"/>
        <v>7</v>
      </c>
      <c r="Q8">
        <f t="shared" si="6"/>
        <v>1</v>
      </c>
      <c r="R8" t="s">
        <v>2366</v>
      </c>
      <c r="S8" t="str">
        <f t="shared" si="1"/>
        <v>7;1;7</v>
      </c>
      <c r="U8">
        <v>7</v>
      </c>
      <c r="V8">
        <v>1</v>
      </c>
      <c r="W8">
        <v>9</v>
      </c>
      <c r="X8" t="str">
        <f t="shared" si="2"/>
        <v>7;1;9</v>
      </c>
    </row>
    <row r="9" spans="1:24" x14ac:dyDescent="0.25">
      <c r="A9" t="s">
        <v>2308</v>
      </c>
      <c r="G9">
        <v>1</v>
      </c>
      <c r="H9" t="e">
        <f t="shared" si="3"/>
        <v>#N/A</v>
      </c>
      <c r="I9" t="e">
        <f t="shared" si="4"/>
        <v>#N/A</v>
      </c>
      <c r="M9" t="s">
        <v>2287</v>
      </c>
      <c r="N9" t="str">
        <f t="shared" si="0"/>
        <v>alex</v>
      </c>
      <c r="P9">
        <f t="shared" si="5"/>
        <v>8</v>
      </c>
      <c r="Q9">
        <f t="shared" si="6"/>
        <v>1</v>
      </c>
      <c r="R9" t="s">
        <v>2367</v>
      </c>
      <c r="S9" t="str">
        <f t="shared" si="1"/>
        <v>8;1;8</v>
      </c>
      <c r="U9">
        <v>8</v>
      </c>
      <c r="V9">
        <v>1</v>
      </c>
      <c r="W9">
        <v>6</v>
      </c>
      <c r="X9" t="str">
        <f t="shared" si="2"/>
        <v>8;1;6</v>
      </c>
    </row>
    <row r="10" spans="1:24" x14ac:dyDescent="0.25">
      <c r="A10" t="s">
        <v>2282</v>
      </c>
      <c r="B10" t="s">
        <v>2283</v>
      </c>
      <c r="D10" t="s">
        <v>2284</v>
      </c>
      <c r="E10" t="s">
        <v>2283</v>
      </c>
      <c r="F10" t="s">
        <v>2285</v>
      </c>
      <c r="G10">
        <f>G2+1</f>
        <v>2</v>
      </c>
      <c r="H10" t="e">
        <f t="shared" si="3"/>
        <v>#N/A</v>
      </c>
      <c r="I10" t="e">
        <f t="shared" si="4"/>
        <v>#N/A</v>
      </c>
      <c r="M10" t="s">
        <v>2305</v>
      </c>
      <c r="N10" t="str">
        <f t="shared" si="0"/>
        <v>colin</v>
      </c>
      <c r="P10">
        <f t="shared" si="5"/>
        <v>9</v>
      </c>
      <c r="Q10">
        <f t="shared" si="6"/>
        <v>1</v>
      </c>
      <c r="R10" t="s">
        <v>2364</v>
      </c>
      <c r="S10" t="str">
        <f t="shared" si="1"/>
        <v>9;1;4</v>
      </c>
      <c r="U10">
        <v>9</v>
      </c>
      <c r="V10">
        <v>1</v>
      </c>
      <c r="W10">
        <v>7</v>
      </c>
      <c r="X10" t="str">
        <f t="shared" si="2"/>
        <v>9;1;7</v>
      </c>
    </row>
    <row r="11" spans="1:24" x14ac:dyDescent="0.25">
      <c r="A11" t="s">
        <v>2296</v>
      </c>
      <c r="B11" t="s">
        <v>2297</v>
      </c>
      <c r="C11" t="s">
        <v>2288</v>
      </c>
      <c r="D11" t="s">
        <v>2292</v>
      </c>
      <c r="E11" t="s">
        <v>2293</v>
      </c>
      <c r="F11" t="s">
        <v>2291</v>
      </c>
      <c r="G11">
        <f t="shared" ref="G11:G74" si="7">G3+1</f>
        <v>2</v>
      </c>
      <c r="H11" t="str">
        <f t="shared" si="3"/>
        <v>2-7</v>
      </c>
      <c r="I11" t="str">
        <f t="shared" si="4"/>
        <v>2-3</v>
      </c>
      <c r="M11" t="s">
        <v>2307</v>
      </c>
      <c r="N11" t="str">
        <f t="shared" si="0"/>
        <v>paul</v>
      </c>
      <c r="P11">
        <f t="shared" si="5"/>
        <v>10</v>
      </c>
      <c r="Q11">
        <f t="shared" si="6"/>
        <v>1</v>
      </c>
      <c r="R11" t="s">
        <v>2360</v>
      </c>
      <c r="S11" t="str">
        <f t="shared" si="1"/>
        <v>10;1;5</v>
      </c>
      <c r="U11">
        <v>10</v>
      </c>
      <c r="V11">
        <v>1</v>
      </c>
      <c r="W11">
        <v>5</v>
      </c>
      <c r="X11" t="str">
        <f t="shared" si="2"/>
        <v>10;1;5</v>
      </c>
    </row>
    <row r="12" spans="1:24" x14ac:dyDescent="0.25">
      <c r="A12" t="s">
        <v>2289</v>
      </c>
      <c r="B12" t="s">
        <v>2290</v>
      </c>
      <c r="C12" t="s">
        <v>2288</v>
      </c>
      <c r="D12" t="s">
        <v>2300</v>
      </c>
      <c r="E12" t="s">
        <v>2301</v>
      </c>
      <c r="F12" t="s">
        <v>2291</v>
      </c>
      <c r="G12">
        <f t="shared" si="7"/>
        <v>2</v>
      </c>
      <c r="H12" t="str">
        <f t="shared" si="3"/>
        <v>2-4</v>
      </c>
      <c r="I12" t="str">
        <f t="shared" si="4"/>
        <v>2-5</v>
      </c>
      <c r="P12">
        <f t="shared" si="5"/>
        <v>11</v>
      </c>
      <c r="Q12">
        <f t="shared" si="6"/>
        <v>1</v>
      </c>
      <c r="R12" t="s">
        <v>2361</v>
      </c>
      <c r="S12" t="str">
        <f t="shared" si="1"/>
        <v>11;1;2</v>
      </c>
      <c r="U12">
        <v>11</v>
      </c>
      <c r="V12">
        <v>1</v>
      </c>
      <c r="W12">
        <v>4</v>
      </c>
      <c r="X12" t="str">
        <f t="shared" si="2"/>
        <v>11;1;4</v>
      </c>
    </row>
    <row r="13" spans="1:24" x14ac:dyDescent="0.25">
      <c r="A13" t="s">
        <v>2286</v>
      </c>
      <c r="B13" t="s">
        <v>2287</v>
      </c>
      <c r="C13" t="s">
        <v>2288</v>
      </c>
      <c r="D13" t="s">
        <v>2304</v>
      </c>
      <c r="E13" t="s">
        <v>2305</v>
      </c>
      <c r="F13" t="s">
        <v>2291</v>
      </c>
      <c r="G13">
        <f t="shared" si="7"/>
        <v>2</v>
      </c>
      <c r="H13" t="str">
        <f t="shared" si="3"/>
        <v>2-8</v>
      </c>
      <c r="I13" t="str">
        <f t="shared" si="4"/>
        <v>2-9</v>
      </c>
      <c r="P13">
        <f t="shared" si="5"/>
        <v>12</v>
      </c>
      <c r="Q13">
        <f t="shared" si="6"/>
        <v>1</v>
      </c>
      <c r="R13" t="s">
        <v>2362</v>
      </c>
      <c r="S13" t="str">
        <f t="shared" si="1"/>
        <v>12;1;3</v>
      </c>
      <c r="U13">
        <v>12</v>
      </c>
      <c r="V13">
        <v>1</v>
      </c>
      <c r="W13">
        <v>8</v>
      </c>
      <c r="X13" t="str">
        <f t="shared" si="2"/>
        <v>12;1;8</v>
      </c>
    </row>
    <row r="14" spans="1:24" x14ac:dyDescent="0.25">
      <c r="A14" t="s">
        <v>2294</v>
      </c>
      <c r="B14" t="s">
        <v>2295</v>
      </c>
      <c r="C14" t="s">
        <v>2288</v>
      </c>
      <c r="D14" t="s">
        <v>2302</v>
      </c>
      <c r="E14" t="s">
        <v>2303</v>
      </c>
      <c r="F14" t="s">
        <v>2291</v>
      </c>
      <c r="G14">
        <f t="shared" si="7"/>
        <v>2</v>
      </c>
      <c r="H14" t="str">
        <f t="shared" si="3"/>
        <v>2-2</v>
      </c>
      <c r="I14" t="str">
        <f t="shared" si="4"/>
        <v>2-1</v>
      </c>
      <c r="P14">
        <f t="shared" si="5"/>
        <v>13</v>
      </c>
      <c r="Q14">
        <f t="shared" si="6"/>
        <v>1</v>
      </c>
      <c r="R14" t="s">
        <v>2368</v>
      </c>
      <c r="S14" t="str">
        <f t="shared" si="1"/>
        <v>13;1;6</v>
      </c>
      <c r="U14">
        <v>13</v>
      </c>
      <c r="V14">
        <v>1</v>
      </c>
      <c r="W14">
        <v>2</v>
      </c>
      <c r="X14" t="str">
        <f t="shared" si="2"/>
        <v>13;1;2</v>
      </c>
    </row>
    <row r="15" spans="1:24" x14ac:dyDescent="0.25">
      <c r="A15" t="s">
        <v>2298</v>
      </c>
      <c r="B15" t="s">
        <v>2299</v>
      </c>
      <c r="C15" t="s">
        <v>2288</v>
      </c>
      <c r="D15" t="s">
        <v>2306</v>
      </c>
      <c r="E15" t="s">
        <v>2307</v>
      </c>
      <c r="F15" t="s">
        <v>2291</v>
      </c>
      <c r="G15">
        <f t="shared" si="7"/>
        <v>2</v>
      </c>
      <c r="H15" t="str">
        <f t="shared" si="3"/>
        <v>2-6</v>
      </c>
      <c r="I15" t="str">
        <f t="shared" si="4"/>
        <v>2-10</v>
      </c>
      <c r="P15">
        <f>P2</f>
        <v>1</v>
      </c>
      <c r="Q15">
        <f>Q2+1</f>
        <v>2</v>
      </c>
      <c r="R15" t="s">
        <v>2362</v>
      </c>
      <c r="S15" t="str">
        <f t="shared" si="1"/>
        <v>1;2;3</v>
      </c>
      <c r="U15">
        <v>1</v>
      </c>
      <c r="V15">
        <v>2</v>
      </c>
      <c r="W15">
        <v>8</v>
      </c>
      <c r="X15" t="str">
        <f t="shared" si="2"/>
        <v>1;2;8</v>
      </c>
    </row>
    <row r="16" spans="1:24" x14ac:dyDescent="0.25">
      <c r="G16">
        <f t="shared" si="7"/>
        <v>2</v>
      </c>
      <c r="H16" t="e">
        <f t="shared" si="3"/>
        <v>#N/A</v>
      </c>
      <c r="I16" t="e">
        <f t="shared" si="4"/>
        <v>#N/A</v>
      </c>
      <c r="P16">
        <f t="shared" ref="P16:P79" si="8">P3</f>
        <v>2</v>
      </c>
      <c r="Q16">
        <f t="shared" ref="Q16:Q79" si="9">Q3+1</f>
        <v>2</v>
      </c>
      <c r="R16" t="s">
        <v>2369</v>
      </c>
      <c r="S16" t="str">
        <f t="shared" si="1"/>
        <v>2;2;1</v>
      </c>
      <c r="U16">
        <v>2</v>
      </c>
      <c r="V16">
        <v>2</v>
      </c>
      <c r="W16">
        <v>5</v>
      </c>
      <c r="X16" t="str">
        <f t="shared" si="2"/>
        <v>2;2;5</v>
      </c>
    </row>
    <row r="17" spans="1:24" x14ac:dyDescent="0.25">
      <c r="A17" t="s">
        <v>2309</v>
      </c>
      <c r="G17">
        <f t="shared" si="7"/>
        <v>2</v>
      </c>
      <c r="H17" t="e">
        <f t="shared" si="3"/>
        <v>#N/A</v>
      </c>
      <c r="I17" t="e">
        <f t="shared" si="4"/>
        <v>#N/A</v>
      </c>
      <c r="P17">
        <f t="shared" si="8"/>
        <v>3</v>
      </c>
      <c r="Q17">
        <f t="shared" si="9"/>
        <v>2</v>
      </c>
      <c r="R17" t="s">
        <v>2364</v>
      </c>
      <c r="S17" t="str">
        <f t="shared" si="1"/>
        <v>3;2;4</v>
      </c>
      <c r="U17">
        <v>3</v>
      </c>
      <c r="V17">
        <v>2</v>
      </c>
      <c r="W17">
        <v>7</v>
      </c>
      <c r="X17" t="str">
        <f t="shared" si="2"/>
        <v>3;2;7</v>
      </c>
    </row>
    <row r="18" spans="1:24" x14ac:dyDescent="0.25">
      <c r="A18" t="s">
        <v>2282</v>
      </c>
      <c r="B18" t="s">
        <v>2283</v>
      </c>
      <c r="D18" t="s">
        <v>2284</v>
      </c>
      <c r="E18" t="s">
        <v>2283</v>
      </c>
      <c r="F18" t="s">
        <v>2285</v>
      </c>
      <c r="G18">
        <f t="shared" si="7"/>
        <v>3</v>
      </c>
      <c r="H18" t="e">
        <f t="shared" si="3"/>
        <v>#N/A</v>
      </c>
      <c r="I18" t="e">
        <f t="shared" si="4"/>
        <v>#N/A</v>
      </c>
      <c r="P18">
        <f t="shared" si="8"/>
        <v>4</v>
      </c>
      <c r="Q18">
        <f t="shared" si="9"/>
        <v>2</v>
      </c>
      <c r="R18" t="s">
        <v>2360</v>
      </c>
      <c r="S18" t="str">
        <f t="shared" si="1"/>
        <v>4;2;5</v>
      </c>
      <c r="U18">
        <v>4</v>
      </c>
      <c r="V18">
        <v>2</v>
      </c>
      <c r="W18">
        <v>1</v>
      </c>
      <c r="X18" t="str">
        <f t="shared" si="2"/>
        <v>4;2;1</v>
      </c>
    </row>
    <row r="19" spans="1:24" x14ac:dyDescent="0.25">
      <c r="A19" t="s">
        <v>2304</v>
      </c>
      <c r="B19" t="s">
        <v>2305</v>
      </c>
      <c r="C19" t="s">
        <v>2288</v>
      </c>
      <c r="D19" t="s">
        <v>2300</v>
      </c>
      <c r="E19" t="s">
        <v>2301</v>
      </c>
      <c r="F19" t="s">
        <v>2291</v>
      </c>
      <c r="G19">
        <f t="shared" si="7"/>
        <v>3</v>
      </c>
      <c r="H19" t="str">
        <f t="shared" si="3"/>
        <v>3-9</v>
      </c>
      <c r="I19" t="str">
        <f t="shared" si="4"/>
        <v>3-5</v>
      </c>
      <c r="P19">
        <f t="shared" si="8"/>
        <v>5</v>
      </c>
      <c r="Q19">
        <f t="shared" si="9"/>
        <v>2</v>
      </c>
      <c r="R19" t="s">
        <v>2368</v>
      </c>
      <c r="S19" t="str">
        <f t="shared" si="1"/>
        <v>5;2;6</v>
      </c>
      <c r="U19">
        <v>5</v>
      </c>
      <c r="V19">
        <v>2</v>
      </c>
      <c r="W19">
        <v>4</v>
      </c>
      <c r="X19" t="str">
        <f t="shared" si="2"/>
        <v>5;2;4</v>
      </c>
    </row>
    <row r="20" spans="1:24" x14ac:dyDescent="0.25">
      <c r="A20" t="s">
        <v>2302</v>
      </c>
      <c r="B20" t="s">
        <v>2303</v>
      </c>
      <c r="C20" t="s">
        <v>2288</v>
      </c>
      <c r="D20" t="s">
        <v>2292</v>
      </c>
      <c r="E20" t="s">
        <v>2293</v>
      </c>
      <c r="F20" t="s">
        <v>2291</v>
      </c>
      <c r="G20">
        <f t="shared" si="7"/>
        <v>3</v>
      </c>
      <c r="H20" t="str">
        <f t="shared" si="3"/>
        <v>3-1</v>
      </c>
      <c r="I20" t="str">
        <f t="shared" si="4"/>
        <v>3-3</v>
      </c>
      <c r="P20">
        <f t="shared" si="8"/>
        <v>6</v>
      </c>
      <c r="Q20">
        <f t="shared" si="9"/>
        <v>2</v>
      </c>
      <c r="R20" t="s">
        <v>2363</v>
      </c>
      <c r="S20" t="str">
        <f t="shared" si="1"/>
        <v>6;2;10</v>
      </c>
      <c r="U20">
        <v>6</v>
      </c>
      <c r="V20">
        <v>2</v>
      </c>
      <c r="W20">
        <v>3</v>
      </c>
      <c r="X20" t="str">
        <f t="shared" si="2"/>
        <v>6;2;3</v>
      </c>
    </row>
    <row r="21" spans="1:24" x14ac:dyDescent="0.25">
      <c r="A21" t="s">
        <v>2306</v>
      </c>
      <c r="B21" t="s">
        <v>2307</v>
      </c>
      <c r="C21" t="s">
        <v>2288</v>
      </c>
      <c r="D21" t="s">
        <v>2296</v>
      </c>
      <c r="E21" t="s">
        <v>2297</v>
      </c>
      <c r="F21" t="s">
        <v>2291</v>
      </c>
      <c r="G21">
        <f t="shared" si="7"/>
        <v>3</v>
      </c>
      <c r="H21" t="str">
        <f t="shared" si="3"/>
        <v>3-10</v>
      </c>
      <c r="I21" t="str">
        <f t="shared" si="4"/>
        <v>3-7</v>
      </c>
      <c r="P21">
        <f t="shared" si="8"/>
        <v>7</v>
      </c>
      <c r="Q21">
        <f t="shared" si="9"/>
        <v>2</v>
      </c>
      <c r="R21" t="s">
        <v>2365</v>
      </c>
      <c r="S21" t="str">
        <f t="shared" si="1"/>
        <v>7;2;9</v>
      </c>
      <c r="U21">
        <v>7</v>
      </c>
      <c r="V21">
        <v>2</v>
      </c>
      <c r="W21">
        <v>10</v>
      </c>
      <c r="X21" t="str">
        <f t="shared" si="2"/>
        <v>7;2;10</v>
      </c>
    </row>
    <row r="22" spans="1:24" x14ac:dyDescent="0.25">
      <c r="A22" t="s">
        <v>2294</v>
      </c>
      <c r="B22" t="s">
        <v>2295</v>
      </c>
      <c r="C22" t="s">
        <v>2288</v>
      </c>
      <c r="D22" t="s">
        <v>2289</v>
      </c>
      <c r="E22" t="s">
        <v>2290</v>
      </c>
      <c r="F22" t="s">
        <v>2291</v>
      </c>
      <c r="G22">
        <f t="shared" si="7"/>
        <v>3</v>
      </c>
      <c r="H22" t="str">
        <f t="shared" si="3"/>
        <v>3-2</v>
      </c>
      <c r="I22" t="str">
        <f t="shared" si="4"/>
        <v>3-4</v>
      </c>
      <c r="P22">
        <f t="shared" si="8"/>
        <v>8</v>
      </c>
      <c r="Q22">
        <f t="shared" si="9"/>
        <v>2</v>
      </c>
      <c r="R22" t="s">
        <v>2366</v>
      </c>
      <c r="S22" t="str">
        <f t="shared" si="1"/>
        <v>8;2;7</v>
      </c>
      <c r="U22">
        <v>8</v>
      </c>
      <c r="V22">
        <v>2</v>
      </c>
      <c r="W22">
        <v>9</v>
      </c>
      <c r="X22" t="str">
        <f t="shared" si="2"/>
        <v>8;2;9</v>
      </c>
    </row>
    <row r="23" spans="1:24" x14ac:dyDescent="0.25">
      <c r="A23" t="s">
        <v>2298</v>
      </c>
      <c r="B23" t="s">
        <v>2299</v>
      </c>
      <c r="C23" t="s">
        <v>2288</v>
      </c>
      <c r="D23" t="s">
        <v>2286</v>
      </c>
      <c r="E23" t="s">
        <v>2287</v>
      </c>
      <c r="F23" t="s">
        <v>2291</v>
      </c>
      <c r="G23">
        <f t="shared" si="7"/>
        <v>3</v>
      </c>
      <c r="H23" t="str">
        <f t="shared" si="3"/>
        <v>3-6</v>
      </c>
      <c r="I23" t="str">
        <f t="shared" si="4"/>
        <v>3-8</v>
      </c>
      <c r="P23">
        <f t="shared" si="8"/>
        <v>9</v>
      </c>
      <c r="Q23">
        <f t="shared" si="9"/>
        <v>2</v>
      </c>
      <c r="R23" t="s">
        <v>2367</v>
      </c>
      <c r="S23" t="str">
        <f t="shared" si="1"/>
        <v>9;2;8</v>
      </c>
      <c r="U23">
        <v>9</v>
      </c>
      <c r="V23">
        <v>2</v>
      </c>
      <c r="W23">
        <v>4</v>
      </c>
      <c r="X23" t="str">
        <f t="shared" si="2"/>
        <v>9;2;4</v>
      </c>
    </row>
    <row r="24" spans="1:24" x14ac:dyDescent="0.25">
      <c r="G24">
        <f t="shared" si="7"/>
        <v>3</v>
      </c>
      <c r="H24" t="e">
        <f t="shared" si="3"/>
        <v>#N/A</v>
      </c>
      <c r="I24" t="e">
        <f t="shared" si="4"/>
        <v>#N/A</v>
      </c>
      <c r="P24">
        <f t="shared" si="8"/>
        <v>10</v>
      </c>
      <c r="Q24">
        <f t="shared" si="9"/>
        <v>2</v>
      </c>
      <c r="R24" t="s">
        <v>2362</v>
      </c>
      <c r="S24" t="str">
        <f t="shared" si="1"/>
        <v>10;2;3</v>
      </c>
      <c r="U24">
        <v>10</v>
      </c>
      <c r="V24">
        <v>2</v>
      </c>
      <c r="W24">
        <v>8</v>
      </c>
      <c r="X24" t="str">
        <f t="shared" si="2"/>
        <v>10;2;8</v>
      </c>
    </row>
    <row r="25" spans="1:24" x14ac:dyDescent="0.25">
      <c r="A25" t="s">
        <v>2310</v>
      </c>
      <c r="G25">
        <f t="shared" si="7"/>
        <v>3</v>
      </c>
      <c r="H25" t="e">
        <f t="shared" si="3"/>
        <v>#N/A</v>
      </c>
      <c r="I25" t="e">
        <f t="shared" si="4"/>
        <v>#N/A</v>
      </c>
      <c r="P25">
        <f t="shared" si="8"/>
        <v>11</v>
      </c>
      <c r="Q25">
        <f t="shared" si="9"/>
        <v>2</v>
      </c>
      <c r="R25" t="s">
        <v>2369</v>
      </c>
      <c r="S25" t="str">
        <f t="shared" si="1"/>
        <v>11;2;1</v>
      </c>
      <c r="U25">
        <v>11</v>
      </c>
      <c r="V25">
        <v>2</v>
      </c>
      <c r="W25">
        <v>6</v>
      </c>
      <c r="X25" t="str">
        <f t="shared" si="2"/>
        <v>11;2;6</v>
      </c>
    </row>
    <row r="26" spans="1:24" x14ac:dyDescent="0.25">
      <c r="A26" t="s">
        <v>2282</v>
      </c>
      <c r="B26" t="s">
        <v>2283</v>
      </c>
      <c r="D26" t="s">
        <v>2284</v>
      </c>
      <c r="E26" t="s">
        <v>2283</v>
      </c>
      <c r="F26" t="s">
        <v>2285</v>
      </c>
      <c r="G26">
        <f t="shared" si="7"/>
        <v>4</v>
      </c>
      <c r="H26" t="e">
        <f t="shared" si="3"/>
        <v>#N/A</v>
      </c>
      <c r="I26" t="e">
        <f t="shared" si="4"/>
        <v>#N/A</v>
      </c>
      <c r="P26">
        <f t="shared" si="8"/>
        <v>12</v>
      </c>
      <c r="Q26">
        <f t="shared" si="9"/>
        <v>2</v>
      </c>
      <c r="R26" t="s">
        <v>2364</v>
      </c>
      <c r="S26" t="str">
        <f t="shared" si="1"/>
        <v>12;2;4</v>
      </c>
      <c r="U26">
        <v>12</v>
      </c>
      <c r="V26">
        <v>2</v>
      </c>
      <c r="W26">
        <v>7</v>
      </c>
      <c r="X26" t="str">
        <f t="shared" si="2"/>
        <v>12;2;7</v>
      </c>
    </row>
    <row r="27" spans="1:24" x14ac:dyDescent="0.25">
      <c r="A27" t="s">
        <v>2306</v>
      </c>
      <c r="B27" t="s">
        <v>2307</v>
      </c>
      <c r="C27" t="s">
        <v>2288</v>
      </c>
      <c r="D27" t="s">
        <v>2302</v>
      </c>
      <c r="E27" t="s">
        <v>2303</v>
      </c>
      <c r="F27" t="s">
        <v>2291</v>
      </c>
      <c r="G27">
        <f t="shared" si="7"/>
        <v>4</v>
      </c>
      <c r="H27" t="str">
        <f t="shared" si="3"/>
        <v>4-10</v>
      </c>
      <c r="I27" t="str">
        <f t="shared" si="4"/>
        <v>4-1</v>
      </c>
      <c r="P27">
        <f t="shared" si="8"/>
        <v>13</v>
      </c>
      <c r="Q27">
        <f t="shared" si="9"/>
        <v>2</v>
      </c>
      <c r="R27" t="s">
        <v>2360</v>
      </c>
      <c r="S27" t="str">
        <f t="shared" si="1"/>
        <v>13;2;5</v>
      </c>
      <c r="U27">
        <v>13</v>
      </c>
      <c r="V27">
        <v>2</v>
      </c>
      <c r="W27">
        <v>1</v>
      </c>
      <c r="X27" t="str">
        <f t="shared" si="2"/>
        <v>13;2;1</v>
      </c>
    </row>
    <row r="28" spans="1:24" x14ac:dyDescent="0.25">
      <c r="A28" t="s">
        <v>2300</v>
      </c>
      <c r="B28" t="s">
        <v>2301</v>
      </c>
      <c r="C28" t="s">
        <v>2288</v>
      </c>
      <c r="D28" t="s">
        <v>2294</v>
      </c>
      <c r="E28" t="s">
        <v>2295</v>
      </c>
      <c r="F28" t="s">
        <v>2291</v>
      </c>
      <c r="G28">
        <f t="shared" si="7"/>
        <v>4</v>
      </c>
      <c r="H28" t="str">
        <f t="shared" si="3"/>
        <v>4-5</v>
      </c>
      <c r="I28" t="str">
        <f t="shared" si="4"/>
        <v>4-2</v>
      </c>
      <c r="P28">
        <f t="shared" si="8"/>
        <v>1</v>
      </c>
      <c r="Q28">
        <f t="shared" si="9"/>
        <v>3</v>
      </c>
      <c r="R28" t="s">
        <v>2361</v>
      </c>
      <c r="S28" t="str">
        <f t="shared" si="1"/>
        <v>1;3;2</v>
      </c>
      <c r="U28">
        <v>1</v>
      </c>
      <c r="V28">
        <v>3</v>
      </c>
      <c r="W28">
        <v>1</v>
      </c>
      <c r="X28" t="str">
        <f t="shared" si="2"/>
        <v>1;3;1</v>
      </c>
    </row>
    <row r="29" spans="1:24" x14ac:dyDescent="0.25">
      <c r="A29" t="s">
        <v>2304</v>
      </c>
      <c r="B29" t="s">
        <v>2305</v>
      </c>
      <c r="C29" t="s">
        <v>2288</v>
      </c>
      <c r="D29" t="s">
        <v>2298</v>
      </c>
      <c r="E29" t="s">
        <v>2299</v>
      </c>
      <c r="F29" t="s">
        <v>2291</v>
      </c>
      <c r="G29">
        <f t="shared" si="7"/>
        <v>4</v>
      </c>
      <c r="H29" t="str">
        <f t="shared" si="3"/>
        <v>4-9</v>
      </c>
      <c r="I29" t="str">
        <f t="shared" si="4"/>
        <v>4-6</v>
      </c>
      <c r="P29">
        <f t="shared" si="8"/>
        <v>2</v>
      </c>
      <c r="Q29">
        <f t="shared" si="9"/>
        <v>3</v>
      </c>
      <c r="R29" t="s">
        <v>2366</v>
      </c>
      <c r="S29" t="str">
        <f t="shared" si="1"/>
        <v>2;3;7</v>
      </c>
      <c r="U29">
        <v>2</v>
      </c>
      <c r="V29">
        <v>3</v>
      </c>
      <c r="W29">
        <v>6</v>
      </c>
      <c r="X29" t="str">
        <f t="shared" si="2"/>
        <v>2;3;6</v>
      </c>
    </row>
    <row r="30" spans="1:24" x14ac:dyDescent="0.25">
      <c r="A30" t="s">
        <v>2292</v>
      </c>
      <c r="B30" t="s">
        <v>2293</v>
      </c>
      <c r="C30" t="s">
        <v>2288</v>
      </c>
      <c r="D30" t="s">
        <v>2289</v>
      </c>
      <c r="E30" t="s">
        <v>2290</v>
      </c>
      <c r="F30" t="s">
        <v>2291</v>
      </c>
      <c r="G30">
        <f t="shared" si="7"/>
        <v>4</v>
      </c>
      <c r="H30" t="str">
        <f t="shared" si="3"/>
        <v>4-3</v>
      </c>
      <c r="I30" t="str">
        <f t="shared" si="4"/>
        <v>4-4</v>
      </c>
      <c r="P30">
        <f t="shared" si="8"/>
        <v>3</v>
      </c>
      <c r="Q30">
        <f t="shared" si="9"/>
        <v>3</v>
      </c>
      <c r="R30" t="s">
        <v>2369</v>
      </c>
      <c r="S30" t="str">
        <f t="shared" si="1"/>
        <v>3;3;1</v>
      </c>
      <c r="U30">
        <v>3</v>
      </c>
      <c r="V30">
        <v>3</v>
      </c>
      <c r="W30">
        <v>10</v>
      </c>
      <c r="X30" t="str">
        <f t="shared" si="2"/>
        <v>3;3;10</v>
      </c>
    </row>
    <row r="31" spans="1:24" x14ac:dyDescent="0.25">
      <c r="A31" t="s">
        <v>2296</v>
      </c>
      <c r="B31" t="s">
        <v>2297</v>
      </c>
      <c r="C31" t="s">
        <v>2288</v>
      </c>
      <c r="D31" t="s">
        <v>2286</v>
      </c>
      <c r="E31" t="s">
        <v>2287</v>
      </c>
      <c r="F31" t="s">
        <v>2291</v>
      </c>
      <c r="G31">
        <f t="shared" si="7"/>
        <v>4</v>
      </c>
      <c r="H31" t="str">
        <f t="shared" si="3"/>
        <v>4-7</v>
      </c>
      <c r="I31" t="str">
        <f t="shared" si="4"/>
        <v>4-8</v>
      </c>
      <c r="P31">
        <f t="shared" si="8"/>
        <v>4</v>
      </c>
      <c r="Q31">
        <f t="shared" si="9"/>
        <v>3</v>
      </c>
      <c r="R31" t="s">
        <v>2364</v>
      </c>
      <c r="S31" t="str">
        <f t="shared" si="1"/>
        <v>4;3;4</v>
      </c>
      <c r="U31">
        <v>4</v>
      </c>
      <c r="V31">
        <v>3</v>
      </c>
      <c r="W31">
        <v>5</v>
      </c>
      <c r="X31" t="str">
        <f t="shared" si="2"/>
        <v>4;3;5</v>
      </c>
    </row>
    <row r="32" spans="1:24" x14ac:dyDescent="0.25">
      <c r="G32">
        <f t="shared" si="7"/>
        <v>4</v>
      </c>
      <c r="H32" t="e">
        <f t="shared" si="3"/>
        <v>#N/A</v>
      </c>
      <c r="I32" t="e">
        <f t="shared" si="4"/>
        <v>#N/A</v>
      </c>
      <c r="P32">
        <f t="shared" si="8"/>
        <v>5</v>
      </c>
      <c r="Q32">
        <f t="shared" si="9"/>
        <v>3</v>
      </c>
      <c r="R32" t="s">
        <v>2360</v>
      </c>
      <c r="S32" t="str">
        <f t="shared" si="1"/>
        <v>5;3;5</v>
      </c>
      <c r="U32">
        <v>5</v>
      </c>
      <c r="V32">
        <v>3</v>
      </c>
      <c r="W32">
        <v>9</v>
      </c>
      <c r="X32" t="str">
        <f t="shared" si="2"/>
        <v>5;3;9</v>
      </c>
    </row>
    <row r="33" spans="1:24" x14ac:dyDescent="0.25">
      <c r="A33" t="s">
        <v>2311</v>
      </c>
      <c r="G33">
        <f t="shared" si="7"/>
        <v>4</v>
      </c>
      <c r="H33" t="e">
        <f t="shared" si="3"/>
        <v>#N/A</v>
      </c>
      <c r="I33" t="e">
        <f t="shared" si="4"/>
        <v>#N/A</v>
      </c>
      <c r="P33">
        <f t="shared" si="8"/>
        <v>6</v>
      </c>
      <c r="Q33">
        <f t="shared" si="9"/>
        <v>3</v>
      </c>
      <c r="R33" t="s">
        <v>2367</v>
      </c>
      <c r="S33" t="str">
        <f t="shared" si="1"/>
        <v>6;3;8</v>
      </c>
      <c r="U33">
        <v>6</v>
      </c>
      <c r="V33">
        <v>3</v>
      </c>
      <c r="W33">
        <v>2</v>
      </c>
      <c r="X33" t="str">
        <f t="shared" si="2"/>
        <v>6;3;2</v>
      </c>
    </row>
    <row r="34" spans="1:24" x14ac:dyDescent="0.25">
      <c r="A34" t="s">
        <v>2282</v>
      </c>
      <c r="B34" t="s">
        <v>2283</v>
      </c>
      <c r="D34" t="s">
        <v>2284</v>
      </c>
      <c r="E34" t="s">
        <v>2283</v>
      </c>
      <c r="F34" t="s">
        <v>2285</v>
      </c>
      <c r="G34">
        <f t="shared" si="7"/>
        <v>5</v>
      </c>
      <c r="H34" t="e">
        <f t="shared" si="3"/>
        <v>#N/A</v>
      </c>
      <c r="I34" t="e">
        <f t="shared" si="4"/>
        <v>#N/A</v>
      </c>
      <c r="P34">
        <f t="shared" si="8"/>
        <v>7</v>
      </c>
      <c r="Q34">
        <f t="shared" si="9"/>
        <v>3</v>
      </c>
      <c r="R34" t="s">
        <v>2368</v>
      </c>
      <c r="S34" t="str">
        <f t="shared" si="1"/>
        <v>7;3;6</v>
      </c>
      <c r="U34">
        <v>7</v>
      </c>
      <c r="V34">
        <v>3</v>
      </c>
      <c r="W34">
        <v>4</v>
      </c>
      <c r="X34" t="str">
        <f t="shared" si="2"/>
        <v>7;3;4</v>
      </c>
    </row>
    <row r="35" spans="1:24" x14ac:dyDescent="0.25">
      <c r="A35" t="s">
        <v>2298</v>
      </c>
      <c r="B35" t="s">
        <v>2299</v>
      </c>
      <c r="C35" t="s">
        <v>2288</v>
      </c>
      <c r="D35" t="s">
        <v>2294</v>
      </c>
      <c r="E35" t="s">
        <v>2295</v>
      </c>
      <c r="F35" t="s">
        <v>2291</v>
      </c>
      <c r="G35">
        <f t="shared" si="7"/>
        <v>5</v>
      </c>
      <c r="H35" t="str">
        <f t="shared" si="3"/>
        <v>5-6</v>
      </c>
      <c r="I35" t="str">
        <f t="shared" si="4"/>
        <v>5-2</v>
      </c>
      <c r="P35">
        <f t="shared" si="8"/>
        <v>8</v>
      </c>
      <c r="Q35">
        <f t="shared" si="9"/>
        <v>3</v>
      </c>
      <c r="R35" t="s">
        <v>2363</v>
      </c>
      <c r="S35" t="str">
        <f t="shared" si="1"/>
        <v>8;3;10</v>
      </c>
      <c r="U35">
        <v>8</v>
      </c>
      <c r="V35">
        <v>3</v>
      </c>
      <c r="W35">
        <v>7</v>
      </c>
      <c r="X35" t="str">
        <f t="shared" si="2"/>
        <v>8;3;7</v>
      </c>
    </row>
    <row r="36" spans="1:24" x14ac:dyDescent="0.25">
      <c r="A36" t="s">
        <v>2289</v>
      </c>
      <c r="B36" t="s">
        <v>2290</v>
      </c>
      <c r="C36" t="s">
        <v>2288</v>
      </c>
      <c r="D36" t="s">
        <v>2302</v>
      </c>
      <c r="E36" t="s">
        <v>2303</v>
      </c>
      <c r="F36" t="s">
        <v>2291</v>
      </c>
      <c r="G36">
        <f t="shared" si="7"/>
        <v>5</v>
      </c>
      <c r="H36" t="str">
        <f t="shared" si="3"/>
        <v>5-4</v>
      </c>
      <c r="I36" t="str">
        <f t="shared" si="4"/>
        <v>5-1</v>
      </c>
      <c r="P36">
        <f t="shared" si="8"/>
        <v>9</v>
      </c>
      <c r="Q36">
        <f t="shared" si="9"/>
        <v>3</v>
      </c>
      <c r="R36" t="s">
        <v>2360</v>
      </c>
      <c r="S36" t="str">
        <f t="shared" si="1"/>
        <v>9;3;5</v>
      </c>
      <c r="U36">
        <v>9</v>
      </c>
      <c r="V36">
        <v>3</v>
      </c>
      <c r="W36">
        <v>8</v>
      </c>
      <c r="X36" t="str">
        <f t="shared" si="2"/>
        <v>9;3;8</v>
      </c>
    </row>
    <row r="37" spans="1:24" x14ac:dyDescent="0.25">
      <c r="A37" t="s">
        <v>2286</v>
      </c>
      <c r="B37" t="s">
        <v>2287</v>
      </c>
      <c r="C37" t="s">
        <v>2288</v>
      </c>
      <c r="D37" t="s">
        <v>2306</v>
      </c>
      <c r="E37" t="s">
        <v>2307</v>
      </c>
      <c r="F37" t="s">
        <v>2291</v>
      </c>
      <c r="G37">
        <f t="shared" si="7"/>
        <v>5</v>
      </c>
      <c r="H37" t="str">
        <f t="shared" si="3"/>
        <v>5-8</v>
      </c>
      <c r="I37" t="str">
        <f t="shared" si="4"/>
        <v>5-10</v>
      </c>
      <c r="P37">
        <f t="shared" si="8"/>
        <v>10</v>
      </c>
      <c r="Q37">
        <f t="shared" si="9"/>
        <v>3</v>
      </c>
      <c r="R37" t="s">
        <v>2361</v>
      </c>
      <c r="S37" t="str">
        <f t="shared" si="1"/>
        <v>10;3;2</v>
      </c>
      <c r="U37">
        <v>10</v>
      </c>
      <c r="V37">
        <v>3</v>
      </c>
      <c r="W37">
        <v>6</v>
      </c>
      <c r="X37" t="str">
        <f t="shared" si="2"/>
        <v>10;3;6</v>
      </c>
    </row>
    <row r="38" spans="1:24" x14ac:dyDescent="0.25">
      <c r="A38" t="s">
        <v>2292</v>
      </c>
      <c r="B38" t="s">
        <v>2293</v>
      </c>
      <c r="C38" t="s">
        <v>2288</v>
      </c>
      <c r="D38" t="s">
        <v>2300</v>
      </c>
      <c r="E38" t="s">
        <v>2301</v>
      </c>
      <c r="F38" t="s">
        <v>2291</v>
      </c>
      <c r="G38">
        <f t="shared" si="7"/>
        <v>5</v>
      </c>
      <c r="H38" t="str">
        <f t="shared" si="3"/>
        <v>5-3</v>
      </c>
      <c r="I38" t="str">
        <f t="shared" si="4"/>
        <v>5-5</v>
      </c>
      <c r="P38">
        <f t="shared" si="8"/>
        <v>11</v>
      </c>
      <c r="Q38">
        <f t="shared" si="9"/>
        <v>3</v>
      </c>
      <c r="R38" t="s">
        <v>2365</v>
      </c>
      <c r="S38" t="str">
        <f t="shared" si="1"/>
        <v>11;3;9</v>
      </c>
      <c r="U38">
        <v>11</v>
      </c>
      <c r="V38">
        <v>3</v>
      </c>
      <c r="W38">
        <v>10</v>
      </c>
      <c r="X38" t="str">
        <f t="shared" si="2"/>
        <v>11;3;10</v>
      </c>
    </row>
    <row r="39" spans="1:24" x14ac:dyDescent="0.25">
      <c r="A39" t="s">
        <v>2296</v>
      </c>
      <c r="B39" t="s">
        <v>2297</v>
      </c>
      <c r="C39" t="s">
        <v>2288</v>
      </c>
      <c r="D39" t="s">
        <v>2304</v>
      </c>
      <c r="E39" t="s">
        <v>2305</v>
      </c>
      <c r="F39" t="s">
        <v>2291</v>
      </c>
      <c r="G39">
        <f t="shared" si="7"/>
        <v>5</v>
      </c>
      <c r="H39" t="str">
        <f t="shared" si="3"/>
        <v>5-7</v>
      </c>
      <c r="I39" t="str">
        <f t="shared" si="4"/>
        <v>5-9</v>
      </c>
      <c r="P39">
        <f t="shared" si="8"/>
        <v>12</v>
      </c>
      <c r="Q39">
        <f t="shared" si="9"/>
        <v>3</v>
      </c>
      <c r="R39" t="s">
        <v>2369</v>
      </c>
      <c r="S39" t="str">
        <f t="shared" si="1"/>
        <v>12;3;1</v>
      </c>
      <c r="U39">
        <v>12</v>
      </c>
      <c r="V39">
        <v>3</v>
      </c>
      <c r="W39">
        <v>5</v>
      </c>
      <c r="X39" t="str">
        <f t="shared" si="2"/>
        <v>12;3;5</v>
      </c>
    </row>
    <row r="40" spans="1:24" x14ac:dyDescent="0.25">
      <c r="G40">
        <f t="shared" si="7"/>
        <v>5</v>
      </c>
      <c r="H40" t="e">
        <f t="shared" si="3"/>
        <v>#N/A</v>
      </c>
      <c r="I40" t="e">
        <f t="shared" si="4"/>
        <v>#N/A</v>
      </c>
      <c r="P40">
        <f t="shared" si="8"/>
        <v>13</v>
      </c>
      <c r="Q40">
        <f t="shared" si="9"/>
        <v>3</v>
      </c>
      <c r="R40" t="s">
        <v>2364</v>
      </c>
      <c r="S40" t="str">
        <f t="shared" si="1"/>
        <v>13;3;4</v>
      </c>
      <c r="U40">
        <v>13</v>
      </c>
      <c r="V40">
        <v>3</v>
      </c>
      <c r="W40">
        <v>9</v>
      </c>
      <c r="X40" t="str">
        <f t="shared" si="2"/>
        <v>13;3;9</v>
      </c>
    </row>
    <row r="41" spans="1:24" x14ac:dyDescent="0.25">
      <c r="A41" t="s">
        <v>2312</v>
      </c>
      <c r="G41">
        <f t="shared" si="7"/>
        <v>5</v>
      </c>
      <c r="H41" t="e">
        <f t="shared" si="3"/>
        <v>#N/A</v>
      </c>
      <c r="I41" t="e">
        <f t="shared" si="4"/>
        <v>#N/A</v>
      </c>
      <c r="P41">
        <f t="shared" si="8"/>
        <v>1</v>
      </c>
      <c r="Q41">
        <f t="shared" si="9"/>
        <v>4</v>
      </c>
      <c r="R41" t="s">
        <v>2367</v>
      </c>
      <c r="S41" t="str">
        <f t="shared" si="1"/>
        <v>1;4;8</v>
      </c>
      <c r="U41">
        <v>1</v>
      </c>
      <c r="V41">
        <v>4</v>
      </c>
      <c r="W41">
        <v>7</v>
      </c>
      <c r="X41" t="str">
        <f t="shared" si="2"/>
        <v>1;4;7</v>
      </c>
    </row>
    <row r="42" spans="1:24" x14ac:dyDescent="0.25">
      <c r="A42" t="s">
        <v>2282</v>
      </c>
      <c r="B42" t="s">
        <v>2283</v>
      </c>
      <c r="D42" t="s">
        <v>2284</v>
      </c>
      <c r="E42" t="s">
        <v>2283</v>
      </c>
      <c r="F42" t="s">
        <v>2285</v>
      </c>
      <c r="G42">
        <f t="shared" si="7"/>
        <v>6</v>
      </c>
      <c r="H42" t="e">
        <f t="shared" si="3"/>
        <v>#N/A</v>
      </c>
      <c r="I42" t="e">
        <f t="shared" si="4"/>
        <v>#N/A</v>
      </c>
      <c r="P42">
        <f t="shared" si="8"/>
        <v>2</v>
      </c>
      <c r="Q42">
        <f t="shared" si="9"/>
        <v>4</v>
      </c>
      <c r="R42" t="s">
        <v>2360</v>
      </c>
      <c r="S42" t="str">
        <f t="shared" si="1"/>
        <v>2;4;5</v>
      </c>
      <c r="U42">
        <v>2</v>
      </c>
      <c r="V42">
        <v>4</v>
      </c>
      <c r="W42">
        <v>1</v>
      </c>
      <c r="X42" t="str">
        <f t="shared" si="2"/>
        <v>2;4;1</v>
      </c>
    </row>
    <row r="43" spans="1:24" x14ac:dyDescent="0.25">
      <c r="A43" t="s">
        <v>2292</v>
      </c>
      <c r="B43" t="s">
        <v>2293</v>
      </c>
      <c r="C43" t="s">
        <v>2288</v>
      </c>
      <c r="D43" t="s">
        <v>2286</v>
      </c>
      <c r="E43" t="s">
        <v>2287</v>
      </c>
      <c r="F43" t="s">
        <v>2291</v>
      </c>
      <c r="G43">
        <f t="shared" si="7"/>
        <v>6</v>
      </c>
      <c r="H43" t="str">
        <f t="shared" si="3"/>
        <v>6-3</v>
      </c>
      <c r="I43" t="str">
        <f t="shared" si="4"/>
        <v>6-8</v>
      </c>
      <c r="P43">
        <f t="shared" si="8"/>
        <v>3</v>
      </c>
      <c r="Q43">
        <f t="shared" si="9"/>
        <v>4</v>
      </c>
      <c r="R43" t="s">
        <v>2361</v>
      </c>
      <c r="S43" t="str">
        <f t="shared" si="1"/>
        <v>3;4;2</v>
      </c>
      <c r="U43">
        <v>3</v>
      </c>
      <c r="V43">
        <v>4</v>
      </c>
      <c r="W43">
        <v>6</v>
      </c>
      <c r="X43" t="str">
        <f t="shared" si="2"/>
        <v>3;4;6</v>
      </c>
    </row>
    <row r="44" spans="1:24" x14ac:dyDescent="0.25">
      <c r="A44" t="s">
        <v>2300</v>
      </c>
      <c r="B44" t="s">
        <v>2301</v>
      </c>
      <c r="C44" t="s">
        <v>2288</v>
      </c>
      <c r="D44" t="s">
        <v>2296</v>
      </c>
      <c r="E44" t="s">
        <v>2297</v>
      </c>
      <c r="F44" t="s">
        <v>2291</v>
      </c>
      <c r="G44">
        <f t="shared" si="7"/>
        <v>6</v>
      </c>
      <c r="H44" t="str">
        <f t="shared" si="3"/>
        <v>6-5</v>
      </c>
      <c r="I44" t="str">
        <f t="shared" si="4"/>
        <v>6-7</v>
      </c>
      <c r="P44">
        <f t="shared" si="8"/>
        <v>4</v>
      </c>
      <c r="Q44">
        <f t="shared" si="9"/>
        <v>4</v>
      </c>
      <c r="R44" t="s">
        <v>2362</v>
      </c>
      <c r="S44" t="str">
        <f t="shared" si="1"/>
        <v>4;4;3</v>
      </c>
      <c r="U44">
        <v>4</v>
      </c>
      <c r="V44">
        <v>4</v>
      </c>
      <c r="W44">
        <v>8</v>
      </c>
      <c r="X44" t="str">
        <f t="shared" si="2"/>
        <v>4;4;8</v>
      </c>
    </row>
    <row r="45" spans="1:24" x14ac:dyDescent="0.25">
      <c r="A45" t="s">
        <v>2302</v>
      </c>
      <c r="B45" t="s">
        <v>2303</v>
      </c>
      <c r="C45" t="s">
        <v>2288</v>
      </c>
      <c r="D45" t="s">
        <v>2304</v>
      </c>
      <c r="E45" t="s">
        <v>2305</v>
      </c>
      <c r="F45" t="s">
        <v>2291</v>
      </c>
      <c r="G45">
        <f t="shared" si="7"/>
        <v>6</v>
      </c>
      <c r="H45" t="str">
        <f t="shared" si="3"/>
        <v>6-1</v>
      </c>
      <c r="I45" t="str">
        <f t="shared" si="4"/>
        <v>6-9</v>
      </c>
      <c r="P45">
        <f t="shared" si="8"/>
        <v>5</v>
      </c>
      <c r="Q45">
        <f t="shared" si="9"/>
        <v>4</v>
      </c>
      <c r="R45" t="s">
        <v>2369</v>
      </c>
      <c r="S45" t="str">
        <f t="shared" si="1"/>
        <v>5;4;1</v>
      </c>
      <c r="U45">
        <v>5</v>
      </c>
      <c r="V45">
        <v>4</v>
      </c>
      <c r="W45">
        <v>2</v>
      </c>
      <c r="X45" t="str">
        <f t="shared" si="2"/>
        <v>5;4;2</v>
      </c>
    </row>
    <row r="46" spans="1:24" x14ac:dyDescent="0.25">
      <c r="A46" t="s">
        <v>2294</v>
      </c>
      <c r="B46" t="s">
        <v>2295</v>
      </c>
      <c r="C46" t="s">
        <v>2288</v>
      </c>
      <c r="D46" t="s">
        <v>2306</v>
      </c>
      <c r="E46" t="s">
        <v>2307</v>
      </c>
      <c r="F46" t="s">
        <v>2291</v>
      </c>
      <c r="G46">
        <f t="shared" si="7"/>
        <v>6</v>
      </c>
      <c r="H46" t="str">
        <f t="shared" si="3"/>
        <v>6-2</v>
      </c>
      <c r="I46" t="str">
        <f t="shared" si="4"/>
        <v>6-10</v>
      </c>
      <c r="P46">
        <f t="shared" si="8"/>
        <v>6</v>
      </c>
      <c r="Q46">
        <f t="shared" si="9"/>
        <v>4</v>
      </c>
      <c r="R46" t="s">
        <v>2368</v>
      </c>
      <c r="S46" t="str">
        <f t="shared" si="1"/>
        <v>6;4;6</v>
      </c>
      <c r="U46">
        <v>6</v>
      </c>
      <c r="V46">
        <v>4</v>
      </c>
      <c r="W46">
        <v>5</v>
      </c>
      <c r="X46" t="str">
        <f t="shared" si="2"/>
        <v>6;4;5</v>
      </c>
    </row>
    <row r="47" spans="1:24" x14ac:dyDescent="0.25">
      <c r="A47" t="s">
        <v>2289</v>
      </c>
      <c r="B47" t="s">
        <v>2290</v>
      </c>
      <c r="C47" t="s">
        <v>2288</v>
      </c>
      <c r="D47" t="s">
        <v>2298</v>
      </c>
      <c r="E47" t="s">
        <v>2299</v>
      </c>
      <c r="F47" t="s">
        <v>2291</v>
      </c>
      <c r="G47">
        <f t="shared" si="7"/>
        <v>6</v>
      </c>
      <c r="H47" t="str">
        <f t="shared" si="3"/>
        <v>6-4</v>
      </c>
      <c r="I47" t="str">
        <f t="shared" si="4"/>
        <v>6-6</v>
      </c>
      <c r="P47">
        <f t="shared" si="8"/>
        <v>7</v>
      </c>
      <c r="Q47">
        <f t="shared" si="9"/>
        <v>4</v>
      </c>
      <c r="R47" t="s">
        <v>2363</v>
      </c>
      <c r="S47" t="str">
        <f t="shared" si="1"/>
        <v>7;4;10</v>
      </c>
      <c r="U47">
        <v>7</v>
      </c>
      <c r="V47">
        <v>4</v>
      </c>
      <c r="W47">
        <v>3</v>
      </c>
      <c r="X47" t="str">
        <f t="shared" si="2"/>
        <v>7;4;3</v>
      </c>
    </row>
    <row r="48" spans="1:24" x14ac:dyDescent="0.25">
      <c r="G48">
        <f t="shared" si="7"/>
        <v>6</v>
      </c>
      <c r="H48" t="e">
        <f t="shared" si="3"/>
        <v>#N/A</v>
      </c>
      <c r="I48" t="e">
        <f t="shared" si="4"/>
        <v>#N/A</v>
      </c>
      <c r="P48">
        <f t="shared" si="8"/>
        <v>8</v>
      </c>
      <c r="Q48">
        <f t="shared" si="9"/>
        <v>4</v>
      </c>
      <c r="R48" t="s">
        <v>2365</v>
      </c>
      <c r="S48" t="str">
        <f t="shared" si="1"/>
        <v>8;4;9</v>
      </c>
      <c r="U48">
        <v>8</v>
      </c>
      <c r="V48">
        <v>4</v>
      </c>
      <c r="W48">
        <v>10</v>
      </c>
      <c r="X48" t="str">
        <f t="shared" si="2"/>
        <v>8;4;10</v>
      </c>
    </row>
    <row r="49" spans="1:24" x14ac:dyDescent="0.25">
      <c r="A49" t="s">
        <v>2313</v>
      </c>
      <c r="G49">
        <f t="shared" si="7"/>
        <v>6</v>
      </c>
      <c r="H49" t="e">
        <f t="shared" si="3"/>
        <v>#N/A</v>
      </c>
      <c r="I49" t="e">
        <f t="shared" si="4"/>
        <v>#N/A</v>
      </c>
      <c r="P49">
        <f t="shared" si="8"/>
        <v>9</v>
      </c>
      <c r="Q49">
        <f t="shared" si="9"/>
        <v>4</v>
      </c>
      <c r="R49" t="s">
        <v>2369</v>
      </c>
      <c r="S49" t="str">
        <f t="shared" si="1"/>
        <v>9;4;1</v>
      </c>
      <c r="U49">
        <v>9</v>
      </c>
      <c r="V49">
        <v>4</v>
      </c>
      <c r="W49">
        <v>2</v>
      </c>
      <c r="X49" t="str">
        <f t="shared" si="2"/>
        <v>9;4;2</v>
      </c>
    </row>
    <row r="50" spans="1:24" x14ac:dyDescent="0.25">
      <c r="A50" t="s">
        <v>2282</v>
      </c>
      <c r="B50" t="s">
        <v>2283</v>
      </c>
      <c r="D50" t="s">
        <v>2284</v>
      </c>
      <c r="E50" t="s">
        <v>2283</v>
      </c>
      <c r="F50" t="s">
        <v>2285</v>
      </c>
      <c r="G50">
        <f t="shared" si="7"/>
        <v>7</v>
      </c>
      <c r="H50" t="e">
        <f t="shared" si="3"/>
        <v>#N/A</v>
      </c>
      <c r="I50" t="e">
        <f t="shared" si="4"/>
        <v>#N/A</v>
      </c>
      <c r="P50">
        <f t="shared" si="8"/>
        <v>10</v>
      </c>
      <c r="Q50">
        <f t="shared" si="9"/>
        <v>4</v>
      </c>
      <c r="R50" t="s">
        <v>2366</v>
      </c>
      <c r="S50" t="str">
        <f t="shared" si="1"/>
        <v>10;4;7</v>
      </c>
      <c r="U50">
        <v>10</v>
      </c>
      <c r="V50">
        <v>4</v>
      </c>
      <c r="W50">
        <v>7</v>
      </c>
      <c r="X50" t="str">
        <f t="shared" si="2"/>
        <v>10;4;7</v>
      </c>
    </row>
    <row r="51" spans="1:24" x14ac:dyDescent="0.25">
      <c r="A51" t="s">
        <v>2286</v>
      </c>
      <c r="B51" t="s">
        <v>2287</v>
      </c>
      <c r="C51" t="s">
        <v>2288</v>
      </c>
      <c r="D51" t="s">
        <v>2300</v>
      </c>
      <c r="E51" t="s">
        <v>2301</v>
      </c>
      <c r="F51" t="s">
        <v>2291</v>
      </c>
      <c r="G51">
        <f t="shared" si="7"/>
        <v>7</v>
      </c>
      <c r="H51" t="str">
        <f t="shared" si="3"/>
        <v>7-8</v>
      </c>
      <c r="I51" t="str">
        <f t="shared" si="4"/>
        <v>7-5</v>
      </c>
      <c r="P51">
        <f t="shared" si="8"/>
        <v>11</v>
      </c>
      <c r="Q51">
        <f t="shared" si="9"/>
        <v>4</v>
      </c>
      <c r="R51" t="s">
        <v>2360</v>
      </c>
      <c r="S51" t="str">
        <f t="shared" si="1"/>
        <v>11;4;5</v>
      </c>
      <c r="U51">
        <v>11</v>
      </c>
      <c r="V51">
        <v>4</v>
      </c>
      <c r="W51">
        <v>1</v>
      </c>
      <c r="X51" t="str">
        <f t="shared" si="2"/>
        <v>11;4;1</v>
      </c>
    </row>
    <row r="52" spans="1:24" x14ac:dyDescent="0.25">
      <c r="A52" t="s">
        <v>2296</v>
      </c>
      <c r="B52" t="s">
        <v>2297</v>
      </c>
      <c r="C52" t="s">
        <v>2288</v>
      </c>
      <c r="D52" t="s">
        <v>2302</v>
      </c>
      <c r="E52" t="s">
        <v>2303</v>
      </c>
      <c r="F52" t="s">
        <v>2291</v>
      </c>
      <c r="G52">
        <f t="shared" si="7"/>
        <v>7</v>
      </c>
      <c r="H52" t="str">
        <f t="shared" si="3"/>
        <v>7-7</v>
      </c>
      <c r="I52" t="str">
        <f t="shared" si="4"/>
        <v>7-1</v>
      </c>
      <c r="P52">
        <f t="shared" si="8"/>
        <v>12</v>
      </c>
      <c r="Q52">
        <f t="shared" si="9"/>
        <v>4</v>
      </c>
      <c r="R52" t="s">
        <v>2361</v>
      </c>
      <c r="S52" t="str">
        <f t="shared" si="1"/>
        <v>12;4;2</v>
      </c>
      <c r="U52">
        <v>12</v>
      </c>
      <c r="V52">
        <v>4</v>
      </c>
      <c r="W52">
        <v>9</v>
      </c>
      <c r="X52" t="str">
        <f t="shared" si="2"/>
        <v>12;4;9</v>
      </c>
    </row>
    <row r="53" spans="1:24" x14ac:dyDescent="0.25">
      <c r="A53" t="s">
        <v>2304</v>
      </c>
      <c r="B53" t="s">
        <v>2305</v>
      </c>
      <c r="C53" t="s">
        <v>2288</v>
      </c>
      <c r="D53" t="s">
        <v>2294</v>
      </c>
      <c r="E53" t="s">
        <v>2295</v>
      </c>
      <c r="F53" t="s">
        <v>2291</v>
      </c>
      <c r="G53">
        <f t="shared" si="7"/>
        <v>7</v>
      </c>
      <c r="H53" t="str">
        <f t="shared" si="3"/>
        <v>7-9</v>
      </c>
      <c r="I53" t="str">
        <f t="shared" si="4"/>
        <v>7-2</v>
      </c>
      <c r="P53">
        <f t="shared" si="8"/>
        <v>13</v>
      </c>
      <c r="Q53">
        <f t="shared" si="9"/>
        <v>4</v>
      </c>
      <c r="R53" t="s">
        <v>2362</v>
      </c>
      <c r="S53" t="str">
        <f t="shared" si="1"/>
        <v>13;4;3</v>
      </c>
      <c r="U53">
        <v>13</v>
      </c>
      <c r="V53">
        <v>4</v>
      </c>
      <c r="W53">
        <v>8</v>
      </c>
      <c r="X53" t="str">
        <f t="shared" si="2"/>
        <v>13;4;8</v>
      </c>
    </row>
    <row r="54" spans="1:24" x14ac:dyDescent="0.25">
      <c r="A54" t="s">
        <v>2306</v>
      </c>
      <c r="B54" t="s">
        <v>2307</v>
      </c>
      <c r="C54" t="s">
        <v>2288</v>
      </c>
      <c r="D54" t="s">
        <v>2289</v>
      </c>
      <c r="E54" t="s">
        <v>2290</v>
      </c>
      <c r="F54" t="s">
        <v>2291</v>
      </c>
      <c r="G54">
        <f t="shared" si="7"/>
        <v>7</v>
      </c>
      <c r="H54" t="str">
        <f t="shared" si="3"/>
        <v>7-10</v>
      </c>
      <c r="I54" t="str">
        <f t="shared" si="4"/>
        <v>7-4</v>
      </c>
      <c r="P54">
        <f t="shared" si="8"/>
        <v>1</v>
      </c>
      <c r="Q54">
        <f t="shared" si="9"/>
        <v>5</v>
      </c>
      <c r="R54" t="s">
        <v>2369</v>
      </c>
      <c r="S54" t="str">
        <f t="shared" si="1"/>
        <v>1;5;1</v>
      </c>
      <c r="U54">
        <v>1</v>
      </c>
      <c r="V54">
        <v>5</v>
      </c>
      <c r="W54">
        <v>10</v>
      </c>
      <c r="X54" t="str">
        <f t="shared" si="2"/>
        <v>1;5;10</v>
      </c>
    </row>
    <row r="55" spans="1:24" x14ac:dyDescent="0.25">
      <c r="A55" t="s">
        <v>2298</v>
      </c>
      <c r="B55" t="s">
        <v>2299</v>
      </c>
      <c r="C55" t="s">
        <v>2288</v>
      </c>
      <c r="D55" t="s">
        <v>2292</v>
      </c>
      <c r="E55" t="s">
        <v>2293</v>
      </c>
      <c r="F55" t="s">
        <v>2291</v>
      </c>
      <c r="G55">
        <f t="shared" si="7"/>
        <v>7</v>
      </c>
      <c r="H55" t="str">
        <f t="shared" si="3"/>
        <v>7-6</v>
      </c>
      <c r="I55" t="str">
        <f t="shared" si="4"/>
        <v>7-3</v>
      </c>
      <c r="P55">
        <f t="shared" si="8"/>
        <v>2</v>
      </c>
      <c r="Q55">
        <f t="shared" si="9"/>
        <v>5</v>
      </c>
      <c r="R55" t="s">
        <v>2364</v>
      </c>
      <c r="S55" t="str">
        <f t="shared" si="1"/>
        <v>2;5;4</v>
      </c>
      <c r="U55">
        <v>2</v>
      </c>
      <c r="V55">
        <v>5</v>
      </c>
      <c r="W55">
        <v>2</v>
      </c>
      <c r="X55" t="str">
        <f t="shared" si="2"/>
        <v>2;5;2</v>
      </c>
    </row>
    <row r="56" spans="1:24" x14ac:dyDescent="0.25">
      <c r="G56">
        <f t="shared" si="7"/>
        <v>7</v>
      </c>
      <c r="H56" t="e">
        <f t="shared" si="3"/>
        <v>#N/A</v>
      </c>
      <c r="I56" t="e">
        <f t="shared" si="4"/>
        <v>#N/A</v>
      </c>
      <c r="P56">
        <f t="shared" si="8"/>
        <v>3</v>
      </c>
      <c r="Q56">
        <f t="shared" si="9"/>
        <v>5</v>
      </c>
      <c r="R56" t="s">
        <v>2365</v>
      </c>
      <c r="S56" t="str">
        <f t="shared" si="1"/>
        <v>3;5;9</v>
      </c>
      <c r="U56">
        <v>3</v>
      </c>
      <c r="V56">
        <v>5</v>
      </c>
      <c r="W56">
        <v>9</v>
      </c>
      <c r="X56" t="str">
        <f t="shared" si="2"/>
        <v>3;5;9</v>
      </c>
    </row>
    <row r="57" spans="1:24" x14ac:dyDescent="0.25">
      <c r="A57" t="s">
        <v>2314</v>
      </c>
      <c r="G57">
        <f t="shared" si="7"/>
        <v>7</v>
      </c>
      <c r="H57" t="e">
        <f t="shared" si="3"/>
        <v>#N/A</v>
      </c>
      <c r="I57" t="e">
        <f t="shared" si="4"/>
        <v>#N/A</v>
      </c>
      <c r="P57">
        <f t="shared" si="8"/>
        <v>4</v>
      </c>
      <c r="Q57">
        <f t="shared" si="9"/>
        <v>5</v>
      </c>
      <c r="R57" t="s">
        <v>2361</v>
      </c>
      <c r="S57" t="str">
        <f t="shared" si="1"/>
        <v>4;5;2</v>
      </c>
      <c r="U57">
        <v>4</v>
      </c>
      <c r="V57">
        <v>5</v>
      </c>
      <c r="W57">
        <v>3</v>
      </c>
      <c r="X57" t="str">
        <f t="shared" si="2"/>
        <v>4;5;3</v>
      </c>
    </row>
    <row r="58" spans="1:24" x14ac:dyDescent="0.25">
      <c r="A58" t="s">
        <v>2282</v>
      </c>
      <c r="B58" t="s">
        <v>2283</v>
      </c>
      <c r="D58" t="s">
        <v>2284</v>
      </c>
      <c r="E58" t="s">
        <v>2283</v>
      </c>
      <c r="F58" t="s">
        <v>2285</v>
      </c>
      <c r="G58">
        <f t="shared" si="7"/>
        <v>8</v>
      </c>
      <c r="H58" t="e">
        <f t="shared" si="3"/>
        <v>#N/A</v>
      </c>
      <c r="I58" t="e">
        <f t="shared" si="4"/>
        <v>#N/A</v>
      </c>
      <c r="P58">
        <f t="shared" si="8"/>
        <v>5</v>
      </c>
      <c r="Q58">
        <f t="shared" si="9"/>
        <v>5</v>
      </c>
      <c r="R58" t="s">
        <v>2362</v>
      </c>
      <c r="S58" t="str">
        <f t="shared" si="1"/>
        <v>5;5;3</v>
      </c>
      <c r="U58">
        <v>5</v>
      </c>
      <c r="V58">
        <v>5</v>
      </c>
      <c r="W58">
        <v>6</v>
      </c>
      <c r="X58" t="str">
        <f t="shared" si="2"/>
        <v>5;5;6</v>
      </c>
    </row>
    <row r="59" spans="1:24" x14ac:dyDescent="0.25">
      <c r="A59" t="s">
        <v>2302</v>
      </c>
      <c r="B59" t="s">
        <v>2303</v>
      </c>
      <c r="C59" t="s">
        <v>2288</v>
      </c>
      <c r="D59" t="s">
        <v>2286</v>
      </c>
      <c r="E59" t="s">
        <v>2287</v>
      </c>
      <c r="F59" t="s">
        <v>2291</v>
      </c>
      <c r="G59">
        <f t="shared" si="7"/>
        <v>8</v>
      </c>
      <c r="H59" t="str">
        <f t="shared" si="3"/>
        <v>8-1</v>
      </c>
      <c r="I59" t="str">
        <f t="shared" si="4"/>
        <v>8-8</v>
      </c>
      <c r="P59">
        <f t="shared" si="8"/>
        <v>6</v>
      </c>
      <c r="Q59">
        <f t="shared" si="9"/>
        <v>5</v>
      </c>
      <c r="R59" t="s">
        <v>2366</v>
      </c>
      <c r="S59" t="str">
        <f t="shared" si="1"/>
        <v>6;5;7</v>
      </c>
      <c r="U59">
        <v>6</v>
      </c>
      <c r="V59">
        <v>5</v>
      </c>
      <c r="W59">
        <v>4</v>
      </c>
      <c r="X59" t="str">
        <f t="shared" si="2"/>
        <v>6;5;4</v>
      </c>
    </row>
    <row r="60" spans="1:24" x14ac:dyDescent="0.25">
      <c r="A60" t="s">
        <v>2294</v>
      </c>
      <c r="B60" t="s">
        <v>2295</v>
      </c>
      <c r="C60" t="s">
        <v>2288</v>
      </c>
      <c r="D60" t="s">
        <v>2296</v>
      </c>
      <c r="E60" t="s">
        <v>2297</v>
      </c>
      <c r="F60" t="s">
        <v>2291</v>
      </c>
      <c r="G60">
        <f t="shared" si="7"/>
        <v>8</v>
      </c>
      <c r="H60" t="str">
        <f t="shared" si="3"/>
        <v>8-2</v>
      </c>
      <c r="I60" t="str">
        <f t="shared" si="4"/>
        <v>8-7</v>
      </c>
      <c r="P60">
        <f t="shared" si="8"/>
        <v>7</v>
      </c>
      <c r="Q60">
        <f t="shared" si="9"/>
        <v>5</v>
      </c>
      <c r="R60" t="s">
        <v>2367</v>
      </c>
      <c r="S60" t="str">
        <f t="shared" si="1"/>
        <v>7;5;8</v>
      </c>
      <c r="U60">
        <v>7</v>
      </c>
      <c r="V60">
        <v>5</v>
      </c>
      <c r="W60">
        <v>7</v>
      </c>
      <c r="X60" t="str">
        <f t="shared" si="2"/>
        <v>7;5;7</v>
      </c>
    </row>
    <row r="61" spans="1:24" x14ac:dyDescent="0.25">
      <c r="A61" t="s">
        <v>2289</v>
      </c>
      <c r="B61" t="s">
        <v>2290</v>
      </c>
      <c r="C61" t="s">
        <v>2288</v>
      </c>
      <c r="D61" t="s">
        <v>2304</v>
      </c>
      <c r="E61" t="s">
        <v>2305</v>
      </c>
      <c r="F61" t="s">
        <v>2291</v>
      </c>
      <c r="G61">
        <f t="shared" si="7"/>
        <v>8</v>
      </c>
      <c r="H61" t="str">
        <f t="shared" si="3"/>
        <v>8-4</v>
      </c>
      <c r="I61" t="str">
        <f t="shared" si="4"/>
        <v>8-9</v>
      </c>
      <c r="P61">
        <f t="shared" si="8"/>
        <v>8</v>
      </c>
      <c r="Q61">
        <f t="shared" si="9"/>
        <v>5</v>
      </c>
      <c r="R61" t="s">
        <v>2368</v>
      </c>
      <c r="S61" t="str">
        <f t="shared" si="1"/>
        <v>8;5;6</v>
      </c>
      <c r="U61">
        <v>8</v>
      </c>
      <c r="V61">
        <v>5</v>
      </c>
      <c r="W61">
        <v>8</v>
      </c>
      <c r="X61" t="str">
        <f t="shared" si="2"/>
        <v>8;5;8</v>
      </c>
    </row>
    <row r="62" spans="1:24" x14ac:dyDescent="0.25">
      <c r="A62" t="s">
        <v>2292</v>
      </c>
      <c r="B62" t="s">
        <v>2293</v>
      </c>
      <c r="C62" t="s">
        <v>2288</v>
      </c>
      <c r="D62" t="s">
        <v>2306</v>
      </c>
      <c r="E62" t="s">
        <v>2307</v>
      </c>
      <c r="F62" t="s">
        <v>2291</v>
      </c>
      <c r="G62">
        <f t="shared" si="7"/>
        <v>8</v>
      </c>
      <c r="H62" t="str">
        <f t="shared" si="3"/>
        <v>8-3</v>
      </c>
      <c r="I62" t="str">
        <f t="shared" si="4"/>
        <v>8-10</v>
      </c>
      <c r="P62">
        <f t="shared" si="8"/>
        <v>9</v>
      </c>
      <c r="Q62">
        <f t="shared" si="9"/>
        <v>5</v>
      </c>
      <c r="R62" t="s">
        <v>2362</v>
      </c>
      <c r="S62" t="str">
        <f t="shared" si="1"/>
        <v>9;5;3</v>
      </c>
      <c r="U62">
        <v>9</v>
      </c>
      <c r="V62">
        <v>5</v>
      </c>
      <c r="W62">
        <v>10</v>
      </c>
      <c r="X62" t="str">
        <f t="shared" si="2"/>
        <v>9;5;10</v>
      </c>
    </row>
    <row r="63" spans="1:24" x14ac:dyDescent="0.25">
      <c r="A63" t="s">
        <v>2300</v>
      </c>
      <c r="B63" t="s">
        <v>2301</v>
      </c>
      <c r="C63" t="s">
        <v>2288</v>
      </c>
      <c r="D63" t="s">
        <v>2298</v>
      </c>
      <c r="E63" t="s">
        <v>2299</v>
      </c>
      <c r="F63" t="s">
        <v>2291</v>
      </c>
      <c r="G63">
        <f t="shared" si="7"/>
        <v>8</v>
      </c>
      <c r="H63" t="str">
        <f t="shared" si="3"/>
        <v>8-5</v>
      </c>
      <c r="I63" t="str">
        <f t="shared" si="4"/>
        <v>8-6</v>
      </c>
      <c r="P63">
        <f t="shared" si="8"/>
        <v>10</v>
      </c>
      <c r="Q63">
        <f t="shared" si="9"/>
        <v>5</v>
      </c>
      <c r="R63" t="s">
        <v>2369</v>
      </c>
      <c r="S63" t="str">
        <f t="shared" si="1"/>
        <v>10;5;1</v>
      </c>
      <c r="U63">
        <v>10</v>
      </c>
      <c r="V63">
        <v>5</v>
      </c>
      <c r="W63">
        <v>1</v>
      </c>
      <c r="X63" t="str">
        <f t="shared" si="2"/>
        <v>10;5;1</v>
      </c>
    </row>
    <row r="64" spans="1:24" x14ac:dyDescent="0.25">
      <c r="G64">
        <f t="shared" si="7"/>
        <v>8</v>
      </c>
      <c r="H64" t="e">
        <f t="shared" si="3"/>
        <v>#N/A</v>
      </c>
      <c r="I64" t="e">
        <f t="shared" si="4"/>
        <v>#N/A</v>
      </c>
      <c r="P64">
        <f t="shared" si="8"/>
        <v>11</v>
      </c>
      <c r="Q64">
        <f t="shared" si="9"/>
        <v>5</v>
      </c>
      <c r="R64" t="s">
        <v>2364</v>
      </c>
      <c r="S64" t="str">
        <f t="shared" si="1"/>
        <v>11;5;4</v>
      </c>
      <c r="U64">
        <v>11</v>
      </c>
      <c r="V64">
        <v>5</v>
      </c>
      <c r="W64">
        <v>9</v>
      </c>
      <c r="X64" t="str">
        <f t="shared" si="2"/>
        <v>11;5;9</v>
      </c>
    </row>
    <row r="65" spans="1:24" x14ac:dyDescent="0.25">
      <c r="A65" t="s">
        <v>2315</v>
      </c>
      <c r="G65">
        <f t="shared" si="7"/>
        <v>8</v>
      </c>
      <c r="H65" t="e">
        <f t="shared" si="3"/>
        <v>#N/A</v>
      </c>
      <c r="I65" t="e">
        <f t="shared" si="4"/>
        <v>#N/A</v>
      </c>
      <c r="P65">
        <f t="shared" si="8"/>
        <v>12</v>
      </c>
      <c r="Q65">
        <f t="shared" si="9"/>
        <v>5</v>
      </c>
      <c r="R65" t="s">
        <v>2363</v>
      </c>
      <c r="S65" t="str">
        <f t="shared" si="1"/>
        <v>12;5;10</v>
      </c>
      <c r="U65">
        <v>12</v>
      </c>
      <c r="V65">
        <v>5</v>
      </c>
      <c r="W65">
        <v>3</v>
      </c>
      <c r="X65" t="str">
        <f t="shared" si="2"/>
        <v>12;5;3</v>
      </c>
    </row>
    <row r="66" spans="1:24" x14ac:dyDescent="0.25">
      <c r="A66" t="s">
        <v>2282</v>
      </c>
      <c r="B66" t="s">
        <v>2283</v>
      </c>
      <c r="D66" t="s">
        <v>2284</v>
      </c>
      <c r="E66" t="s">
        <v>2283</v>
      </c>
      <c r="F66" t="s">
        <v>2285</v>
      </c>
      <c r="G66">
        <f t="shared" si="7"/>
        <v>9</v>
      </c>
      <c r="H66" t="e">
        <f t="shared" si="3"/>
        <v>#N/A</v>
      </c>
      <c r="I66" t="e">
        <f t="shared" si="4"/>
        <v>#N/A</v>
      </c>
      <c r="P66">
        <f t="shared" si="8"/>
        <v>13</v>
      </c>
      <c r="Q66">
        <f t="shared" si="9"/>
        <v>5</v>
      </c>
      <c r="R66" t="s">
        <v>2361</v>
      </c>
      <c r="S66" t="str">
        <f t="shared" si="1"/>
        <v>13;5;2</v>
      </c>
      <c r="U66">
        <v>13</v>
      </c>
      <c r="V66">
        <v>5</v>
      </c>
      <c r="W66">
        <v>6</v>
      </c>
      <c r="X66" t="str">
        <f t="shared" si="2"/>
        <v>13;5;6</v>
      </c>
    </row>
    <row r="67" spans="1:24" x14ac:dyDescent="0.25">
      <c r="A67" t="s">
        <v>2286</v>
      </c>
      <c r="B67" t="s">
        <v>2287</v>
      </c>
      <c r="C67" t="s">
        <v>2288</v>
      </c>
      <c r="D67" t="s">
        <v>2294</v>
      </c>
      <c r="E67" t="s">
        <v>2295</v>
      </c>
      <c r="F67" t="s">
        <v>2291</v>
      </c>
      <c r="G67">
        <f t="shared" si="7"/>
        <v>9</v>
      </c>
      <c r="H67" t="str">
        <f t="shared" si="3"/>
        <v>9-8</v>
      </c>
      <c r="I67" t="str">
        <f t="shared" si="4"/>
        <v>9-2</v>
      </c>
      <c r="P67">
        <f t="shared" si="8"/>
        <v>1</v>
      </c>
      <c r="Q67">
        <f t="shared" si="9"/>
        <v>6</v>
      </c>
      <c r="R67" t="s">
        <v>2366</v>
      </c>
      <c r="S67" t="str">
        <f t="shared" ref="S67:S130" si="10">P67&amp;";"&amp;Q67&amp;";"&amp;R67</f>
        <v>1;6;7</v>
      </c>
      <c r="U67">
        <v>1</v>
      </c>
      <c r="V67">
        <v>6</v>
      </c>
      <c r="W67">
        <v>9</v>
      </c>
      <c r="X67" t="str">
        <f t="shared" ref="X67:X130" si="11">U67&amp;";"&amp;V67&amp;";"&amp;W67</f>
        <v>1;6;9</v>
      </c>
    </row>
    <row r="68" spans="1:24" x14ac:dyDescent="0.25">
      <c r="A68" t="s">
        <v>2302</v>
      </c>
      <c r="B68" t="s">
        <v>2303</v>
      </c>
      <c r="C68" t="s">
        <v>2288</v>
      </c>
      <c r="D68" t="s">
        <v>2289</v>
      </c>
      <c r="E68" t="s">
        <v>2290</v>
      </c>
      <c r="F68" t="s">
        <v>2291</v>
      </c>
      <c r="G68">
        <f t="shared" si="7"/>
        <v>9</v>
      </c>
      <c r="H68" t="str">
        <f t="shared" ref="H68:H103" si="12">G68&amp;"-"&amp;MATCH($B68,$M$2:$M$11,0)</f>
        <v>9-1</v>
      </c>
      <c r="I68" t="str">
        <f t="shared" ref="I68:I103" si="13">G68&amp;"-"&amp;MATCH($E68,$M$2:$M$11,0)</f>
        <v>9-4</v>
      </c>
      <c r="P68">
        <f t="shared" si="8"/>
        <v>2</v>
      </c>
      <c r="Q68">
        <f t="shared" si="9"/>
        <v>6</v>
      </c>
      <c r="R68" t="s">
        <v>2363</v>
      </c>
      <c r="S68" t="str">
        <f t="shared" si="10"/>
        <v>2;6;10</v>
      </c>
      <c r="U68">
        <v>2</v>
      </c>
      <c r="V68">
        <v>6</v>
      </c>
      <c r="W68">
        <v>3</v>
      </c>
      <c r="X68" t="str">
        <f t="shared" si="11"/>
        <v>2;6;3</v>
      </c>
    </row>
    <row r="69" spans="1:24" x14ac:dyDescent="0.25">
      <c r="A69" t="s">
        <v>2298</v>
      </c>
      <c r="B69" t="s">
        <v>2299</v>
      </c>
      <c r="C69" t="s">
        <v>2288</v>
      </c>
      <c r="D69" t="s">
        <v>2296</v>
      </c>
      <c r="E69" t="s">
        <v>2297</v>
      </c>
      <c r="F69" t="s">
        <v>2291</v>
      </c>
      <c r="G69">
        <f t="shared" si="7"/>
        <v>9</v>
      </c>
      <c r="H69" t="str">
        <f t="shared" si="12"/>
        <v>9-6</v>
      </c>
      <c r="I69" t="str">
        <f t="shared" si="13"/>
        <v>9-7</v>
      </c>
      <c r="P69">
        <f t="shared" si="8"/>
        <v>3</v>
      </c>
      <c r="Q69">
        <f t="shared" si="9"/>
        <v>6</v>
      </c>
      <c r="R69" t="s">
        <v>2367</v>
      </c>
      <c r="S69" t="str">
        <f t="shared" si="10"/>
        <v>3;6;8</v>
      </c>
      <c r="U69">
        <v>3</v>
      </c>
      <c r="V69">
        <v>6</v>
      </c>
      <c r="W69">
        <v>4</v>
      </c>
      <c r="X69" t="str">
        <f t="shared" si="11"/>
        <v>3;6;4</v>
      </c>
    </row>
    <row r="70" spans="1:24" x14ac:dyDescent="0.25">
      <c r="A70" t="s">
        <v>2300</v>
      </c>
      <c r="B70" t="s">
        <v>2301</v>
      </c>
      <c r="C70" t="s">
        <v>2288</v>
      </c>
      <c r="D70" t="s">
        <v>2292</v>
      </c>
      <c r="E70" t="s">
        <v>2293</v>
      </c>
      <c r="F70" t="s">
        <v>2291</v>
      </c>
      <c r="G70">
        <f t="shared" si="7"/>
        <v>9</v>
      </c>
      <c r="H70" t="str">
        <f t="shared" si="12"/>
        <v>9-5</v>
      </c>
      <c r="I70" t="str">
        <f t="shared" si="13"/>
        <v>9-3</v>
      </c>
      <c r="P70">
        <f t="shared" si="8"/>
        <v>4</v>
      </c>
      <c r="Q70">
        <f t="shared" si="9"/>
        <v>6</v>
      </c>
      <c r="R70" t="s">
        <v>2365</v>
      </c>
      <c r="S70" t="str">
        <f t="shared" si="10"/>
        <v>4;6;9</v>
      </c>
      <c r="U70">
        <v>4</v>
      </c>
      <c r="V70">
        <v>6</v>
      </c>
      <c r="W70">
        <v>10</v>
      </c>
      <c r="X70" t="str">
        <f t="shared" si="11"/>
        <v>4;6;10</v>
      </c>
    </row>
    <row r="71" spans="1:24" x14ac:dyDescent="0.25">
      <c r="A71" t="s">
        <v>2306</v>
      </c>
      <c r="B71" t="s">
        <v>2307</v>
      </c>
      <c r="C71" t="s">
        <v>2288</v>
      </c>
      <c r="D71" t="s">
        <v>2304</v>
      </c>
      <c r="E71" t="s">
        <v>2305</v>
      </c>
      <c r="F71" t="s">
        <v>2291</v>
      </c>
      <c r="G71">
        <f t="shared" si="7"/>
        <v>9</v>
      </c>
      <c r="H71" t="str">
        <f t="shared" si="12"/>
        <v>9-10</v>
      </c>
      <c r="I71" t="str">
        <f t="shared" si="13"/>
        <v>9-9</v>
      </c>
      <c r="P71">
        <f t="shared" si="8"/>
        <v>5</v>
      </c>
      <c r="Q71">
        <f t="shared" si="9"/>
        <v>6</v>
      </c>
      <c r="R71" t="s">
        <v>2361</v>
      </c>
      <c r="S71" t="str">
        <f t="shared" si="10"/>
        <v>5;6;2</v>
      </c>
      <c r="U71">
        <v>5</v>
      </c>
      <c r="V71">
        <v>6</v>
      </c>
      <c r="W71">
        <v>5</v>
      </c>
      <c r="X71" t="str">
        <f t="shared" si="11"/>
        <v>5;6;5</v>
      </c>
    </row>
    <row r="72" spans="1:24" x14ac:dyDescent="0.25">
      <c r="G72">
        <f t="shared" si="7"/>
        <v>9</v>
      </c>
      <c r="H72" t="e">
        <f t="shared" si="12"/>
        <v>#N/A</v>
      </c>
      <c r="I72" t="e">
        <f t="shared" si="13"/>
        <v>#N/A</v>
      </c>
      <c r="P72">
        <f t="shared" si="8"/>
        <v>6</v>
      </c>
      <c r="Q72">
        <f t="shared" si="9"/>
        <v>6</v>
      </c>
      <c r="R72" t="s">
        <v>2364</v>
      </c>
      <c r="S72" t="str">
        <f t="shared" si="10"/>
        <v>6;6;4</v>
      </c>
      <c r="U72">
        <v>6</v>
      </c>
      <c r="V72">
        <v>6</v>
      </c>
      <c r="W72">
        <v>7</v>
      </c>
      <c r="X72" t="str">
        <f t="shared" si="11"/>
        <v>6;6;7</v>
      </c>
    </row>
    <row r="73" spans="1:24" x14ac:dyDescent="0.25">
      <c r="A73" t="s">
        <v>2316</v>
      </c>
      <c r="G73">
        <f t="shared" si="7"/>
        <v>9</v>
      </c>
      <c r="H73" t="e">
        <f t="shared" si="12"/>
        <v>#N/A</v>
      </c>
      <c r="I73" t="e">
        <f t="shared" si="13"/>
        <v>#N/A</v>
      </c>
      <c r="P73">
        <f t="shared" si="8"/>
        <v>7</v>
      </c>
      <c r="Q73">
        <f t="shared" si="9"/>
        <v>6</v>
      </c>
      <c r="R73" t="s">
        <v>2362</v>
      </c>
      <c r="S73" t="str">
        <f t="shared" si="10"/>
        <v>7;6;3</v>
      </c>
      <c r="U73">
        <v>7</v>
      </c>
      <c r="V73">
        <v>6</v>
      </c>
      <c r="W73">
        <v>8</v>
      </c>
      <c r="X73" t="str">
        <f t="shared" si="11"/>
        <v>7;6;8</v>
      </c>
    </row>
    <row r="74" spans="1:24" x14ac:dyDescent="0.25">
      <c r="A74" t="s">
        <v>2282</v>
      </c>
      <c r="B74" t="s">
        <v>2283</v>
      </c>
      <c r="D74" t="s">
        <v>2284</v>
      </c>
      <c r="E74" t="s">
        <v>2283</v>
      </c>
      <c r="F74" t="s">
        <v>2285</v>
      </c>
      <c r="G74">
        <f t="shared" si="7"/>
        <v>10</v>
      </c>
      <c r="H74" t="e">
        <f t="shared" si="12"/>
        <v>#N/A</v>
      </c>
      <c r="I74" t="e">
        <f t="shared" si="13"/>
        <v>#N/A</v>
      </c>
      <c r="P74">
        <f t="shared" si="8"/>
        <v>8</v>
      </c>
      <c r="Q74">
        <f t="shared" si="9"/>
        <v>6</v>
      </c>
      <c r="R74" t="s">
        <v>2360</v>
      </c>
      <c r="S74" t="str">
        <f t="shared" si="10"/>
        <v>8;6;5</v>
      </c>
      <c r="U74">
        <v>8</v>
      </c>
      <c r="V74">
        <v>6</v>
      </c>
      <c r="W74">
        <v>1</v>
      </c>
      <c r="X74" t="str">
        <f t="shared" si="11"/>
        <v>8;6;1</v>
      </c>
    </row>
    <row r="75" spans="1:24" x14ac:dyDescent="0.25">
      <c r="A75" t="s">
        <v>2296</v>
      </c>
      <c r="B75" t="s">
        <v>2297</v>
      </c>
      <c r="C75" t="s">
        <v>2288</v>
      </c>
      <c r="D75" t="s">
        <v>2289</v>
      </c>
      <c r="E75" t="s">
        <v>2290</v>
      </c>
      <c r="F75" t="s">
        <v>2291</v>
      </c>
      <c r="G75">
        <f t="shared" ref="G75:G103" si="14">G67+1</f>
        <v>10</v>
      </c>
      <c r="H75" t="str">
        <f t="shared" si="12"/>
        <v>10-7</v>
      </c>
      <c r="I75" t="str">
        <f t="shared" si="13"/>
        <v>10-4</v>
      </c>
      <c r="P75">
        <f t="shared" si="8"/>
        <v>9</v>
      </c>
      <c r="Q75">
        <f t="shared" si="9"/>
        <v>6</v>
      </c>
      <c r="R75" t="s">
        <v>2366</v>
      </c>
      <c r="S75" t="str">
        <f t="shared" si="10"/>
        <v>9;6;7</v>
      </c>
      <c r="U75">
        <v>9</v>
      </c>
      <c r="V75">
        <v>6</v>
      </c>
      <c r="W75">
        <v>9</v>
      </c>
      <c r="X75" t="str">
        <f t="shared" si="11"/>
        <v>9;6;9</v>
      </c>
    </row>
    <row r="76" spans="1:24" x14ac:dyDescent="0.25">
      <c r="A76" t="s">
        <v>2294</v>
      </c>
      <c r="B76" t="s">
        <v>2295</v>
      </c>
      <c r="C76" t="s">
        <v>2288</v>
      </c>
      <c r="D76" t="s">
        <v>2292</v>
      </c>
      <c r="E76" t="s">
        <v>2293</v>
      </c>
      <c r="F76" t="s">
        <v>2291</v>
      </c>
      <c r="G76">
        <f t="shared" si="14"/>
        <v>10</v>
      </c>
      <c r="H76" t="str">
        <f t="shared" si="12"/>
        <v>10-2</v>
      </c>
      <c r="I76" t="str">
        <f t="shared" si="13"/>
        <v>10-3</v>
      </c>
      <c r="P76">
        <f t="shared" si="8"/>
        <v>10</v>
      </c>
      <c r="Q76">
        <f t="shared" si="9"/>
        <v>6</v>
      </c>
      <c r="R76" t="s">
        <v>2363</v>
      </c>
      <c r="S76" t="str">
        <f t="shared" si="10"/>
        <v>10;6;10</v>
      </c>
      <c r="U76">
        <v>10</v>
      </c>
      <c r="V76">
        <v>6</v>
      </c>
      <c r="W76">
        <v>3</v>
      </c>
      <c r="X76" t="str">
        <f t="shared" si="11"/>
        <v>10;6;3</v>
      </c>
    </row>
    <row r="77" spans="1:24" x14ac:dyDescent="0.25">
      <c r="A77" t="s">
        <v>2304</v>
      </c>
      <c r="B77" t="s">
        <v>2305</v>
      </c>
      <c r="C77" t="s">
        <v>2288</v>
      </c>
      <c r="D77" t="s">
        <v>2286</v>
      </c>
      <c r="E77" t="s">
        <v>2287</v>
      </c>
      <c r="F77" t="s">
        <v>2291</v>
      </c>
      <c r="G77">
        <f t="shared" si="14"/>
        <v>10</v>
      </c>
      <c r="H77" t="str">
        <f t="shared" si="12"/>
        <v>10-9</v>
      </c>
      <c r="I77" t="str">
        <f t="shared" si="13"/>
        <v>10-8</v>
      </c>
      <c r="P77">
        <f t="shared" si="8"/>
        <v>11</v>
      </c>
      <c r="Q77">
        <f t="shared" si="9"/>
        <v>6</v>
      </c>
      <c r="R77" t="s">
        <v>2367</v>
      </c>
      <c r="S77" t="str">
        <f t="shared" si="10"/>
        <v>11;6;8</v>
      </c>
      <c r="U77">
        <v>11</v>
      </c>
      <c r="V77">
        <v>6</v>
      </c>
      <c r="W77">
        <v>2</v>
      </c>
      <c r="X77" t="str">
        <f t="shared" si="11"/>
        <v>11;6;2</v>
      </c>
    </row>
    <row r="78" spans="1:24" x14ac:dyDescent="0.25">
      <c r="A78" t="s">
        <v>2302</v>
      </c>
      <c r="B78" t="s">
        <v>2303</v>
      </c>
      <c r="C78" t="s">
        <v>2288</v>
      </c>
      <c r="D78" t="s">
        <v>2300</v>
      </c>
      <c r="E78" t="s">
        <v>2301</v>
      </c>
      <c r="F78" t="s">
        <v>2291</v>
      </c>
      <c r="G78">
        <f t="shared" si="14"/>
        <v>10</v>
      </c>
      <c r="H78" t="str">
        <f t="shared" si="12"/>
        <v>10-1</v>
      </c>
      <c r="I78" t="str">
        <f t="shared" si="13"/>
        <v>10-5</v>
      </c>
      <c r="P78">
        <f t="shared" si="8"/>
        <v>12</v>
      </c>
      <c r="Q78">
        <f t="shared" si="9"/>
        <v>6</v>
      </c>
      <c r="R78" t="s">
        <v>2365</v>
      </c>
      <c r="S78" t="str">
        <f t="shared" si="10"/>
        <v>12;6;9</v>
      </c>
      <c r="U78">
        <v>12</v>
      </c>
      <c r="V78">
        <v>6</v>
      </c>
      <c r="W78">
        <v>10</v>
      </c>
      <c r="X78" t="str">
        <f t="shared" si="11"/>
        <v>12;6;10</v>
      </c>
    </row>
    <row r="79" spans="1:24" x14ac:dyDescent="0.25">
      <c r="A79" t="s">
        <v>2306</v>
      </c>
      <c r="B79" t="s">
        <v>2307</v>
      </c>
      <c r="C79" t="s">
        <v>2288</v>
      </c>
      <c r="D79" t="s">
        <v>2298</v>
      </c>
      <c r="E79" t="s">
        <v>2299</v>
      </c>
      <c r="F79" t="s">
        <v>2291</v>
      </c>
      <c r="G79">
        <f t="shared" si="14"/>
        <v>10</v>
      </c>
      <c r="H79" t="str">
        <f t="shared" si="12"/>
        <v>10-10</v>
      </c>
      <c r="I79" t="str">
        <f t="shared" si="13"/>
        <v>10-6</v>
      </c>
      <c r="P79">
        <f t="shared" si="8"/>
        <v>13</v>
      </c>
      <c r="Q79">
        <f t="shared" si="9"/>
        <v>6</v>
      </c>
      <c r="R79" t="s">
        <v>2369</v>
      </c>
      <c r="S79" t="str">
        <f t="shared" si="10"/>
        <v>13;6;1</v>
      </c>
      <c r="U79">
        <v>13</v>
      </c>
      <c r="V79">
        <v>6</v>
      </c>
      <c r="W79">
        <v>5</v>
      </c>
      <c r="X79" t="str">
        <f t="shared" si="11"/>
        <v>13;6;5</v>
      </c>
    </row>
    <row r="80" spans="1:24" x14ac:dyDescent="0.25">
      <c r="G80">
        <f t="shared" si="14"/>
        <v>10</v>
      </c>
      <c r="H80" t="e">
        <f t="shared" si="12"/>
        <v>#N/A</v>
      </c>
      <c r="I80" t="e">
        <f t="shared" si="13"/>
        <v>#N/A</v>
      </c>
      <c r="P80">
        <f t="shared" ref="P80:P131" si="15">P67</f>
        <v>1</v>
      </c>
      <c r="Q80">
        <f t="shared" ref="Q80:Q131" si="16">Q67+1</f>
        <v>7</v>
      </c>
      <c r="R80" t="s">
        <v>2368</v>
      </c>
      <c r="S80" t="str">
        <f t="shared" si="10"/>
        <v>1;7;6</v>
      </c>
      <c r="U80">
        <v>1</v>
      </c>
      <c r="V80">
        <v>7</v>
      </c>
      <c r="W80">
        <v>4</v>
      </c>
      <c r="X80" t="str">
        <f t="shared" si="11"/>
        <v>1;7;4</v>
      </c>
    </row>
    <row r="81" spans="1:24" x14ac:dyDescent="0.25">
      <c r="A81" t="s">
        <v>2317</v>
      </c>
      <c r="G81">
        <f t="shared" si="14"/>
        <v>10</v>
      </c>
      <c r="H81" t="e">
        <f t="shared" si="12"/>
        <v>#N/A</v>
      </c>
      <c r="I81" t="e">
        <f t="shared" si="13"/>
        <v>#N/A</v>
      </c>
      <c r="P81">
        <f t="shared" si="15"/>
        <v>2</v>
      </c>
      <c r="Q81">
        <f t="shared" si="16"/>
        <v>7</v>
      </c>
      <c r="R81" t="s">
        <v>2362</v>
      </c>
      <c r="S81" t="str">
        <f t="shared" si="10"/>
        <v>2;7;3</v>
      </c>
      <c r="U81">
        <v>2</v>
      </c>
      <c r="V81">
        <v>7</v>
      </c>
      <c r="W81">
        <v>8</v>
      </c>
      <c r="X81" t="str">
        <f t="shared" si="11"/>
        <v>2;7;8</v>
      </c>
    </row>
    <row r="82" spans="1:24" x14ac:dyDescent="0.25">
      <c r="A82" t="s">
        <v>2282</v>
      </c>
      <c r="B82" t="s">
        <v>2283</v>
      </c>
      <c r="D82" t="s">
        <v>2284</v>
      </c>
      <c r="E82" t="s">
        <v>2283</v>
      </c>
      <c r="F82" t="s">
        <v>2285</v>
      </c>
      <c r="G82">
        <f t="shared" si="14"/>
        <v>11</v>
      </c>
      <c r="H82" t="e">
        <f t="shared" si="12"/>
        <v>#N/A</v>
      </c>
      <c r="I82" t="e">
        <f t="shared" si="13"/>
        <v>#N/A</v>
      </c>
      <c r="P82">
        <f t="shared" si="15"/>
        <v>3</v>
      </c>
      <c r="Q82">
        <f t="shared" si="16"/>
        <v>7</v>
      </c>
      <c r="R82" t="s">
        <v>2363</v>
      </c>
      <c r="S82" t="str">
        <f t="shared" si="10"/>
        <v>3;7;10</v>
      </c>
      <c r="U82">
        <v>3</v>
      </c>
      <c r="V82">
        <v>7</v>
      </c>
      <c r="W82">
        <v>2</v>
      </c>
      <c r="X82" t="str">
        <f t="shared" si="11"/>
        <v>3;7;2</v>
      </c>
    </row>
    <row r="83" spans="1:24" x14ac:dyDescent="0.25">
      <c r="A83" t="s">
        <v>2304</v>
      </c>
      <c r="B83" t="s">
        <v>2305</v>
      </c>
      <c r="C83" t="s">
        <v>2288</v>
      </c>
      <c r="D83" t="s">
        <v>2292</v>
      </c>
      <c r="E83" t="s">
        <v>2293</v>
      </c>
      <c r="F83" t="s">
        <v>2291</v>
      </c>
      <c r="G83">
        <f t="shared" si="14"/>
        <v>11</v>
      </c>
      <c r="H83" t="str">
        <f t="shared" si="12"/>
        <v>11-9</v>
      </c>
      <c r="I83" t="str">
        <f t="shared" si="13"/>
        <v>11-3</v>
      </c>
      <c r="P83">
        <f t="shared" si="15"/>
        <v>4</v>
      </c>
      <c r="Q83">
        <f t="shared" si="16"/>
        <v>7</v>
      </c>
      <c r="R83" t="s">
        <v>2367</v>
      </c>
      <c r="S83" t="str">
        <f t="shared" si="10"/>
        <v>4;7;8</v>
      </c>
      <c r="U83">
        <v>4</v>
      </c>
      <c r="V83">
        <v>7</v>
      </c>
      <c r="W83">
        <v>9</v>
      </c>
      <c r="X83" t="str">
        <f t="shared" si="11"/>
        <v>4;7;9</v>
      </c>
    </row>
    <row r="84" spans="1:24" x14ac:dyDescent="0.25">
      <c r="A84" t="s">
        <v>2300</v>
      </c>
      <c r="B84" t="s">
        <v>2301</v>
      </c>
      <c r="C84" t="s">
        <v>2288</v>
      </c>
      <c r="D84" t="s">
        <v>2289</v>
      </c>
      <c r="E84" t="s">
        <v>2290</v>
      </c>
      <c r="F84" t="s">
        <v>2291</v>
      </c>
      <c r="G84">
        <f t="shared" si="14"/>
        <v>11</v>
      </c>
      <c r="H84" t="str">
        <f t="shared" si="12"/>
        <v>11-5</v>
      </c>
      <c r="I84" t="str">
        <f t="shared" si="13"/>
        <v>11-4</v>
      </c>
      <c r="P84">
        <f t="shared" si="15"/>
        <v>5</v>
      </c>
      <c r="Q84">
        <f t="shared" si="16"/>
        <v>7</v>
      </c>
      <c r="R84" t="s">
        <v>2365</v>
      </c>
      <c r="S84" t="str">
        <f t="shared" si="10"/>
        <v>5;7;9</v>
      </c>
      <c r="U84">
        <v>5</v>
      </c>
      <c r="V84">
        <v>7</v>
      </c>
      <c r="W84">
        <v>1</v>
      </c>
      <c r="X84" t="str">
        <f t="shared" si="11"/>
        <v>5;7;1</v>
      </c>
    </row>
    <row r="85" spans="1:24" x14ac:dyDescent="0.25">
      <c r="A85" t="s">
        <v>2296</v>
      </c>
      <c r="B85" t="s">
        <v>2297</v>
      </c>
      <c r="C85" t="s">
        <v>2288</v>
      </c>
      <c r="D85" t="s">
        <v>2306</v>
      </c>
      <c r="E85" t="s">
        <v>2307</v>
      </c>
      <c r="F85" t="s">
        <v>2291</v>
      </c>
      <c r="G85">
        <f t="shared" si="14"/>
        <v>11</v>
      </c>
      <c r="H85" t="str">
        <f t="shared" si="12"/>
        <v>11-7</v>
      </c>
      <c r="I85" t="str">
        <f t="shared" si="13"/>
        <v>11-10</v>
      </c>
      <c r="P85">
        <f t="shared" si="15"/>
        <v>6</v>
      </c>
      <c r="Q85">
        <f t="shared" si="16"/>
        <v>7</v>
      </c>
      <c r="R85" t="s">
        <v>2360</v>
      </c>
      <c r="S85" t="str">
        <f t="shared" si="10"/>
        <v>6;7;5</v>
      </c>
      <c r="U85">
        <v>6</v>
      </c>
      <c r="V85">
        <v>7</v>
      </c>
      <c r="W85">
        <v>6</v>
      </c>
      <c r="X85" t="str">
        <f t="shared" si="11"/>
        <v>6;7;6</v>
      </c>
    </row>
    <row r="86" spans="1:24" x14ac:dyDescent="0.25">
      <c r="A86" t="s">
        <v>2302</v>
      </c>
      <c r="B86" t="s">
        <v>2303</v>
      </c>
      <c r="C86" t="s">
        <v>2288</v>
      </c>
      <c r="D86" t="s">
        <v>2294</v>
      </c>
      <c r="E86" t="s">
        <v>2295</v>
      </c>
      <c r="F86" t="s">
        <v>2291</v>
      </c>
      <c r="G86">
        <f t="shared" si="14"/>
        <v>11</v>
      </c>
      <c r="H86" t="str">
        <f t="shared" si="12"/>
        <v>11-1</v>
      </c>
      <c r="I86" t="str">
        <f t="shared" si="13"/>
        <v>11-2</v>
      </c>
      <c r="P86">
        <f t="shared" si="15"/>
        <v>7</v>
      </c>
      <c r="Q86">
        <f t="shared" si="16"/>
        <v>7</v>
      </c>
      <c r="R86" t="s">
        <v>2369</v>
      </c>
      <c r="S86" t="str">
        <f t="shared" si="10"/>
        <v>7;7;1</v>
      </c>
      <c r="U86">
        <v>7</v>
      </c>
      <c r="V86">
        <v>7</v>
      </c>
      <c r="W86">
        <v>5</v>
      </c>
      <c r="X86" t="str">
        <f t="shared" si="11"/>
        <v>7;7;5</v>
      </c>
    </row>
    <row r="87" spans="1:24" x14ac:dyDescent="0.25">
      <c r="A87" t="s">
        <v>2286</v>
      </c>
      <c r="B87" t="s">
        <v>2287</v>
      </c>
      <c r="C87" t="s">
        <v>2288</v>
      </c>
      <c r="D87" t="s">
        <v>2298</v>
      </c>
      <c r="E87" t="s">
        <v>2299</v>
      </c>
      <c r="F87" t="s">
        <v>2291</v>
      </c>
      <c r="G87">
        <f t="shared" si="14"/>
        <v>11</v>
      </c>
      <c r="H87" t="str">
        <f t="shared" si="12"/>
        <v>11-8</v>
      </c>
      <c r="I87" t="str">
        <f t="shared" si="13"/>
        <v>11-6</v>
      </c>
      <c r="P87">
        <f t="shared" si="15"/>
        <v>8</v>
      </c>
      <c r="Q87">
        <f t="shared" si="16"/>
        <v>7</v>
      </c>
      <c r="R87" t="s">
        <v>2361</v>
      </c>
      <c r="S87" t="str">
        <f t="shared" si="10"/>
        <v>8;7;2</v>
      </c>
      <c r="U87">
        <v>8</v>
      </c>
      <c r="V87">
        <v>7</v>
      </c>
      <c r="W87">
        <v>3</v>
      </c>
      <c r="X87" t="str">
        <f t="shared" si="11"/>
        <v>8;7;3</v>
      </c>
    </row>
    <row r="88" spans="1:24" x14ac:dyDescent="0.25">
      <c r="G88">
        <f t="shared" si="14"/>
        <v>11</v>
      </c>
      <c r="H88" t="e">
        <f t="shared" si="12"/>
        <v>#N/A</v>
      </c>
      <c r="I88" t="e">
        <f t="shared" si="13"/>
        <v>#N/A</v>
      </c>
      <c r="P88">
        <f t="shared" si="15"/>
        <v>9</v>
      </c>
      <c r="Q88">
        <f t="shared" si="16"/>
        <v>7</v>
      </c>
      <c r="R88" t="s">
        <v>2368</v>
      </c>
      <c r="S88" t="str">
        <f t="shared" si="10"/>
        <v>9;7;6</v>
      </c>
      <c r="U88">
        <v>9</v>
      </c>
      <c r="V88">
        <v>7</v>
      </c>
      <c r="W88">
        <v>1</v>
      </c>
      <c r="X88" t="str">
        <f t="shared" si="11"/>
        <v>9;7;1</v>
      </c>
    </row>
    <row r="89" spans="1:24" x14ac:dyDescent="0.25">
      <c r="A89" t="s">
        <v>2318</v>
      </c>
      <c r="G89">
        <f t="shared" si="14"/>
        <v>11</v>
      </c>
      <c r="H89" t="e">
        <f t="shared" si="12"/>
        <v>#N/A</v>
      </c>
      <c r="I89" t="e">
        <f t="shared" si="13"/>
        <v>#N/A</v>
      </c>
      <c r="P89">
        <f t="shared" si="15"/>
        <v>10</v>
      </c>
      <c r="Q89">
        <f t="shared" si="16"/>
        <v>7</v>
      </c>
      <c r="R89" t="s">
        <v>2364</v>
      </c>
      <c r="S89" t="str">
        <f t="shared" si="10"/>
        <v>10;7;4</v>
      </c>
      <c r="U89">
        <v>10</v>
      </c>
      <c r="V89">
        <v>7</v>
      </c>
      <c r="W89">
        <v>4</v>
      </c>
      <c r="X89" t="str">
        <f t="shared" si="11"/>
        <v>10;7;4</v>
      </c>
    </row>
    <row r="90" spans="1:24" x14ac:dyDescent="0.25">
      <c r="A90" t="s">
        <v>2282</v>
      </c>
      <c r="B90" t="s">
        <v>2283</v>
      </c>
      <c r="D90" t="s">
        <v>2284</v>
      </c>
      <c r="E90" t="s">
        <v>2283</v>
      </c>
      <c r="F90" t="s">
        <v>2285</v>
      </c>
      <c r="G90">
        <f t="shared" si="14"/>
        <v>12</v>
      </c>
      <c r="H90" t="e">
        <f t="shared" si="12"/>
        <v>#N/A</v>
      </c>
      <c r="I90" t="e">
        <f t="shared" si="13"/>
        <v>#N/A</v>
      </c>
      <c r="P90">
        <f t="shared" si="15"/>
        <v>11</v>
      </c>
      <c r="Q90">
        <f t="shared" si="16"/>
        <v>7</v>
      </c>
      <c r="R90" t="s">
        <v>2363</v>
      </c>
      <c r="S90" t="str">
        <f t="shared" si="10"/>
        <v>11;7;10</v>
      </c>
      <c r="U90">
        <v>11</v>
      </c>
      <c r="V90">
        <v>7</v>
      </c>
      <c r="W90">
        <v>8</v>
      </c>
      <c r="X90" t="str">
        <f t="shared" si="11"/>
        <v>11;7;8</v>
      </c>
    </row>
    <row r="91" spans="1:24" x14ac:dyDescent="0.25">
      <c r="A91" t="s">
        <v>2306</v>
      </c>
      <c r="B91" t="s">
        <v>2307</v>
      </c>
      <c r="C91" t="s">
        <v>2288</v>
      </c>
      <c r="D91" t="s">
        <v>2300</v>
      </c>
      <c r="E91" t="s">
        <v>2301</v>
      </c>
      <c r="F91" t="s">
        <v>2291</v>
      </c>
      <c r="G91">
        <f t="shared" si="14"/>
        <v>12</v>
      </c>
      <c r="H91" t="str">
        <f t="shared" si="12"/>
        <v>12-10</v>
      </c>
      <c r="I91" t="str">
        <f t="shared" si="13"/>
        <v>12-5</v>
      </c>
      <c r="P91">
        <f t="shared" si="15"/>
        <v>12</v>
      </c>
      <c r="Q91">
        <f t="shared" si="16"/>
        <v>7</v>
      </c>
      <c r="R91" t="s">
        <v>2367</v>
      </c>
      <c r="S91" t="str">
        <f t="shared" si="10"/>
        <v>12;7;8</v>
      </c>
      <c r="U91">
        <v>12</v>
      </c>
      <c r="V91">
        <v>7</v>
      </c>
      <c r="W91">
        <v>2</v>
      </c>
      <c r="X91" t="str">
        <f t="shared" si="11"/>
        <v>12;7;2</v>
      </c>
    </row>
    <row r="92" spans="1:24" x14ac:dyDescent="0.25">
      <c r="A92" t="s">
        <v>2292</v>
      </c>
      <c r="B92" t="s">
        <v>2293</v>
      </c>
      <c r="C92" t="s">
        <v>2288</v>
      </c>
      <c r="D92" t="s">
        <v>2302</v>
      </c>
      <c r="E92" t="s">
        <v>2303</v>
      </c>
      <c r="F92" t="s">
        <v>2291</v>
      </c>
      <c r="G92">
        <f t="shared" si="14"/>
        <v>12</v>
      </c>
      <c r="H92" t="str">
        <f t="shared" si="12"/>
        <v>12-3</v>
      </c>
      <c r="I92" t="str">
        <f t="shared" si="13"/>
        <v>12-1</v>
      </c>
      <c r="P92">
        <f t="shared" si="15"/>
        <v>13</v>
      </c>
      <c r="Q92">
        <f t="shared" si="16"/>
        <v>7</v>
      </c>
      <c r="R92" t="s">
        <v>2365</v>
      </c>
      <c r="S92" t="str">
        <f t="shared" si="10"/>
        <v>13;7;9</v>
      </c>
      <c r="U92">
        <v>13</v>
      </c>
      <c r="V92">
        <v>7</v>
      </c>
      <c r="W92">
        <v>10</v>
      </c>
      <c r="X92" t="str">
        <f t="shared" si="11"/>
        <v>13;7;10</v>
      </c>
    </row>
    <row r="93" spans="1:24" x14ac:dyDescent="0.25">
      <c r="A93" t="s">
        <v>2298</v>
      </c>
      <c r="B93" t="s">
        <v>2299</v>
      </c>
      <c r="C93" t="s">
        <v>2288</v>
      </c>
      <c r="D93" t="s">
        <v>2304</v>
      </c>
      <c r="E93" t="s">
        <v>2305</v>
      </c>
      <c r="F93" t="s">
        <v>2291</v>
      </c>
      <c r="G93">
        <f t="shared" si="14"/>
        <v>12</v>
      </c>
      <c r="H93" t="str">
        <f t="shared" si="12"/>
        <v>12-6</v>
      </c>
      <c r="I93" t="str">
        <f t="shared" si="13"/>
        <v>12-9</v>
      </c>
      <c r="P93">
        <f t="shared" si="15"/>
        <v>1</v>
      </c>
      <c r="Q93">
        <f t="shared" si="16"/>
        <v>8</v>
      </c>
      <c r="R93" t="s">
        <v>2364</v>
      </c>
      <c r="S93" t="str">
        <f t="shared" si="10"/>
        <v>1;8;4</v>
      </c>
      <c r="U93">
        <v>1</v>
      </c>
      <c r="V93">
        <v>8</v>
      </c>
      <c r="W93">
        <v>2</v>
      </c>
      <c r="X93" t="str">
        <f t="shared" si="11"/>
        <v>1;8;2</v>
      </c>
    </row>
    <row r="94" spans="1:24" x14ac:dyDescent="0.25">
      <c r="A94" t="s">
        <v>2289</v>
      </c>
      <c r="B94" t="s">
        <v>2290</v>
      </c>
      <c r="C94" t="s">
        <v>2288</v>
      </c>
      <c r="D94" t="s">
        <v>2294</v>
      </c>
      <c r="E94" t="s">
        <v>2295</v>
      </c>
      <c r="F94" t="s">
        <v>2291</v>
      </c>
      <c r="G94">
        <f t="shared" si="14"/>
        <v>12</v>
      </c>
      <c r="H94" t="str">
        <f t="shared" si="12"/>
        <v>12-4</v>
      </c>
      <c r="I94" t="str">
        <f t="shared" si="13"/>
        <v>12-2</v>
      </c>
      <c r="P94">
        <f t="shared" si="15"/>
        <v>2</v>
      </c>
      <c r="Q94">
        <f t="shared" si="16"/>
        <v>8</v>
      </c>
      <c r="R94" t="s">
        <v>2365</v>
      </c>
      <c r="S94" t="str">
        <f t="shared" si="10"/>
        <v>2;8;9</v>
      </c>
      <c r="U94">
        <v>2</v>
      </c>
      <c r="V94">
        <v>8</v>
      </c>
      <c r="W94">
        <v>7</v>
      </c>
      <c r="X94" t="str">
        <f t="shared" si="11"/>
        <v>2;8;7</v>
      </c>
    </row>
    <row r="95" spans="1:24" x14ac:dyDescent="0.25">
      <c r="A95" t="s">
        <v>2286</v>
      </c>
      <c r="B95" t="s">
        <v>2287</v>
      </c>
      <c r="C95" t="s">
        <v>2288</v>
      </c>
      <c r="D95" t="s">
        <v>2296</v>
      </c>
      <c r="E95" t="s">
        <v>2297</v>
      </c>
      <c r="F95" t="s">
        <v>2291</v>
      </c>
      <c r="G95">
        <f t="shared" si="14"/>
        <v>12</v>
      </c>
      <c r="H95" t="str">
        <f t="shared" si="12"/>
        <v>12-8</v>
      </c>
      <c r="I95" t="str">
        <f t="shared" si="13"/>
        <v>12-7</v>
      </c>
      <c r="P95">
        <f t="shared" si="15"/>
        <v>3</v>
      </c>
      <c r="Q95">
        <f t="shared" si="16"/>
        <v>8</v>
      </c>
      <c r="R95" t="s">
        <v>2368</v>
      </c>
      <c r="S95" t="str">
        <f t="shared" si="10"/>
        <v>3;8;6</v>
      </c>
      <c r="U95">
        <v>3</v>
      </c>
      <c r="V95">
        <v>8</v>
      </c>
      <c r="W95">
        <v>1</v>
      </c>
      <c r="X95" t="str">
        <f t="shared" si="11"/>
        <v>3;8;1</v>
      </c>
    </row>
    <row r="96" spans="1:24" x14ac:dyDescent="0.25">
      <c r="G96">
        <f t="shared" si="14"/>
        <v>12</v>
      </c>
      <c r="H96" t="e">
        <f t="shared" si="12"/>
        <v>#N/A</v>
      </c>
      <c r="I96" t="e">
        <f t="shared" si="13"/>
        <v>#N/A</v>
      </c>
      <c r="P96">
        <f t="shared" si="15"/>
        <v>4</v>
      </c>
      <c r="Q96">
        <f t="shared" si="16"/>
        <v>8</v>
      </c>
      <c r="R96" t="s">
        <v>2366</v>
      </c>
      <c r="S96" t="str">
        <f t="shared" si="10"/>
        <v>4;8;7</v>
      </c>
      <c r="U96">
        <v>4</v>
      </c>
      <c r="V96">
        <v>8</v>
      </c>
      <c r="W96">
        <v>4</v>
      </c>
      <c r="X96" t="str">
        <f t="shared" si="11"/>
        <v>4;8;4</v>
      </c>
    </row>
    <row r="97" spans="1:24" x14ac:dyDescent="0.25">
      <c r="A97" t="s">
        <v>2319</v>
      </c>
      <c r="G97">
        <f t="shared" si="14"/>
        <v>12</v>
      </c>
      <c r="H97" t="e">
        <f t="shared" si="12"/>
        <v>#N/A</v>
      </c>
      <c r="I97" t="e">
        <f t="shared" si="13"/>
        <v>#N/A</v>
      </c>
      <c r="P97">
        <f t="shared" si="15"/>
        <v>5</v>
      </c>
      <c r="Q97">
        <f t="shared" si="16"/>
        <v>8</v>
      </c>
      <c r="R97" t="s">
        <v>2363</v>
      </c>
      <c r="S97" t="str">
        <f t="shared" si="10"/>
        <v>5;8;10</v>
      </c>
      <c r="U97">
        <v>5</v>
      </c>
      <c r="V97">
        <v>8</v>
      </c>
      <c r="W97">
        <v>10</v>
      </c>
      <c r="X97" t="str">
        <f t="shared" si="11"/>
        <v>5;8;10</v>
      </c>
    </row>
    <row r="98" spans="1:24" x14ac:dyDescent="0.25">
      <c r="A98" t="s">
        <v>2282</v>
      </c>
      <c r="B98" t="s">
        <v>2283</v>
      </c>
      <c r="D98" t="s">
        <v>2284</v>
      </c>
      <c r="E98" t="s">
        <v>2283</v>
      </c>
      <c r="F98" t="s">
        <v>2285</v>
      </c>
      <c r="G98">
        <f t="shared" si="14"/>
        <v>13</v>
      </c>
      <c r="H98" t="e">
        <f t="shared" si="12"/>
        <v>#N/A</v>
      </c>
      <c r="I98" t="e">
        <f t="shared" si="13"/>
        <v>#N/A</v>
      </c>
      <c r="P98">
        <f t="shared" si="15"/>
        <v>6</v>
      </c>
      <c r="Q98">
        <f t="shared" si="16"/>
        <v>8</v>
      </c>
      <c r="R98" t="s">
        <v>2362</v>
      </c>
      <c r="S98" t="str">
        <f t="shared" si="10"/>
        <v>6;8;3</v>
      </c>
      <c r="U98">
        <v>6</v>
      </c>
      <c r="V98">
        <v>8</v>
      </c>
      <c r="W98">
        <v>9</v>
      </c>
      <c r="X98" t="str">
        <f t="shared" si="11"/>
        <v>6;8;9</v>
      </c>
    </row>
    <row r="99" spans="1:24" x14ac:dyDescent="0.25">
      <c r="A99" t="s">
        <v>2298</v>
      </c>
      <c r="B99" t="s">
        <v>2299</v>
      </c>
      <c r="C99" t="s">
        <v>2288</v>
      </c>
      <c r="D99" t="s">
        <v>2302</v>
      </c>
      <c r="E99" t="s">
        <v>2303</v>
      </c>
      <c r="F99" t="s">
        <v>2291</v>
      </c>
      <c r="G99">
        <f t="shared" si="14"/>
        <v>13</v>
      </c>
      <c r="H99" t="str">
        <f t="shared" si="12"/>
        <v>13-6</v>
      </c>
      <c r="I99" t="str">
        <f t="shared" si="13"/>
        <v>13-1</v>
      </c>
      <c r="P99">
        <f t="shared" si="15"/>
        <v>7</v>
      </c>
      <c r="Q99">
        <f t="shared" si="16"/>
        <v>8</v>
      </c>
      <c r="R99" t="s">
        <v>2360</v>
      </c>
      <c r="S99" t="str">
        <f t="shared" si="10"/>
        <v>7;8;5</v>
      </c>
      <c r="U99">
        <v>7</v>
      </c>
      <c r="V99">
        <v>8</v>
      </c>
      <c r="W99">
        <v>6</v>
      </c>
      <c r="X99" t="str">
        <f t="shared" si="11"/>
        <v>7;8;6</v>
      </c>
    </row>
    <row r="100" spans="1:24" x14ac:dyDescent="0.25">
      <c r="A100" t="s">
        <v>2294</v>
      </c>
      <c r="B100" t="s">
        <v>2295</v>
      </c>
      <c r="C100" t="s">
        <v>2288</v>
      </c>
      <c r="D100" t="s">
        <v>2300</v>
      </c>
      <c r="E100" t="s">
        <v>2301</v>
      </c>
      <c r="F100" t="s">
        <v>2291</v>
      </c>
      <c r="G100">
        <f t="shared" si="14"/>
        <v>13</v>
      </c>
      <c r="H100" t="str">
        <f t="shared" si="12"/>
        <v>13-2</v>
      </c>
      <c r="I100" t="str">
        <f t="shared" si="13"/>
        <v>13-5</v>
      </c>
      <c r="P100">
        <f t="shared" si="15"/>
        <v>8</v>
      </c>
      <c r="Q100">
        <f t="shared" si="16"/>
        <v>8</v>
      </c>
      <c r="R100" t="s">
        <v>2369</v>
      </c>
      <c r="S100" t="str">
        <f t="shared" si="10"/>
        <v>8;8;1</v>
      </c>
      <c r="U100">
        <v>8</v>
      </c>
      <c r="V100">
        <v>8</v>
      </c>
      <c r="W100">
        <v>5</v>
      </c>
      <c r="X100" t="str">
        <f t="shared" si="11"/>
        <v>8;8;5</v>
      </c>
    </row>
    <row r="101" spans="1:24" x14ac:dyDescent="0.25">
      <c r="A101" t="s">
        <v>2306</v>
      </c>
      <c r="B101" t="s">
        <v>2307</v>
      </c>
      <c r="C101" t="s">
        <v>2288</v>
      </c>
      <c r="D101" t="s">
        <v>2286</v>
      </c>
      <c r="E101" t="s">
        <v>2287</v>
      </c>
      <c r="F101" t="s">
        <v>2291</v>
      </c>
      <c r="G101">
        <f t="shared" si="14"/>
        <v>13</v>
      </c>
      <c r="H101" t="str">
        <f t="shared" si="12"/>
        <v>13-10</v>
      </c>
      <c r="I101" t="str">
        <f t="shared" si="13"/>
        <v>13-8</v>
      </c>
      <c r="P101">
        <f t="shared" si="15"/>
        <v>9</v>
      </c>
      <c r="Q101">
        <f t="shared" si="16"/>
        <v>8</v>
      </c>
      <c r="R101" t="s">
        <v>2361</v>
      </c>
      <c r="S101" t="str">
        <f t="shared" si="10"/>
        <v>9;8;2</v>
      </c>
      <c r="U101">
        <v>9</v>
      </c>
      <c r="V101">
        <v>8</v>
      </c>
      <c r="W101">
        <v>3</v>
      </c>
      <c r="X101" t="str">
        <f t="shared" si="11"/>
        <v>9;8;3</v>
      </c>
    </row>
    <row r="102" spans="1:24" x14ac:dyDescent="0.25">
      <c r="A102" t="s">
        <v>2289</v>
      </c>
      <c r="B102" t="s">
        <v>2290</v>
      </c>
      <c r="C102" t="s">
        <v>2288</v>
      </c>
      <c r="D102" t="s">
        <v>2292</v>
      </c>
      <c r="E102" t="s">
        <v>2293</v>
      </c>
      <c r="F102" t="s">
        <v>2291</v>
      </c>
      <c r="G102">
        <f t="shared" si="14"/>
        <v>13</v>
      </c>
      <c r="H102" t="str">
        <f t="shared" si="12"/>
        <v>13-4</v>
      </c>
      <c r="I102" t="str">
        <f t="shared" si="13"/>
        <v>13-3</v>
      </c>
      <c r="P102">
        <f t="shared" si="15"/>
        <v>10</v>
      </c>
      <c r="Q102">
        <f t="shared" si="16"/>
        <v>8</v>
      </c>
      <c r="R102" t="s">
        <v>2365</v>
      </c>
      <c r="S102" t="str">
        <f t="shared" si="10"/>
        <v>10;8;9</v>
      </c>
      <c r="U102">
        <v>10</v>
      </c>
      <c r="V102">
        <v>8</v>
      </c>
      <c r="W102">
        <v>2</v>
      </c>
      <c r="X102" t="str">
        <f t="shared" si="11"/>
        <v>10;8;2</v>
      </c>
    </row>
    <row r="103" spans="1:24" x14ac:dyDescent="0.25">
      <c r="A103" t="s">
        <v>2304</v>
      </c>
      <c r="B103" t="s">
        <v>2305</v>
      </c>
      <c r="C103" t="s">
        <v>2288</v>
      </c>
      <c r="D103" t="s">
        <v>2296</v>
      </c>
      <c r="E103" t="s">
        <v>2297</v>
      </c>
      <c r="F103" t="s">
        <v>2291</v>
      </c>
      <c r="G103">
        <f t="shared" si="14"/>
        <v>13</v>
      </c>
      <c r="H103" t="str">
        <f t="shared" si="12"/>
        <v>13-9</v>
      </c>
      <c r="I103" t="str">
        <f t="shared" si="13"/>
        <v>13-7</v>
      </c>
      <c r="P103">
        <f t="shared" si="15"/>
        <v>11</v>
      </c>
      <c r="Q103">
        <f t="shared" si="16"/>
        <v>8</v>
      </c>
      <c r="R103" t="s">
        <v>2368</v>
      </c>
      <c r="S103" t="str">
        <f t="shared" si="10"/>
        <v>11;8;6</v>
      </c>
      <c r="U103">
        <v>11</v>
      </c>
      <c r="V103">
        <v>8</v>
      </c>
      <c r="W103">
        <v>7</v>
      </c>
      <c r="X103" t="str">
        <f t="shared" si="11"/>
        <v>11;8;7</v>
      </c>
    </row>
    <row r="104" spans="1:24" x14ac:dyDescent="0.25">
      <c r="P104">
        <f t="shared" si="15"/>
        <v>12</v>
      </c>
      <c r="Q104">
        <f t="shared" si="16"/>
        <v>8</v>
      </c>
      <c r="R104" t="s">
        <v>2366</v>
      </c>
      <c r="S104" t="str">
        <f t="shared" si="10"/>
        <v>12;8;7</v>
      </c>
      <c r="U104">
        <v>12</v>
      </c>
      <c r="V104">
        <v>8</v>
      </c>
      <c r="W104">
        <v>1</v>
      </c>
      <c r="X104" t="str">
        <f t="shared" si="11"/>
        <v>12;8;1</v>
      </c>
    </row>
    <row r="105" spans="1:24" x14ac:dyDescent="0.25">
      <c r="A105" t="s">
        <v>2320</v>
      </c>
      <c r="P105">
        <f t="shared" si="15"/>
        <v>13</v>
      </c>
      <c r="Q105">
        <f t="shared" si="16"/>
        <v>8</v>
      </c>
      <c r="R105" t="s">
        <v>2363</v>
      </c>
      <c r="S105" t="str">
        <f t="shared" si="10"/>
        <v>13;8;10</v>
      </c>
      <c r="U105">
        <v>13</v>
      </c>
      <c r="V105">
        <v>8</v>
      </c>
      <c r="W105">
        <v>4</v>
      </c>
      <c r="X105" t="str">
        <f t="shared" si="11"/>
        <v>13;8;4</v>
      </c>
    </row>
    <row r="106" spans="1:24" x14ac:dyDescent="0.25">
      <c r="A106" t="s">
        <v>2321</v>
      </c>
      <c r="P106">
        <f t="shared" si="15"/>
        <v>1</v>
      </c>
      <c r="Q106">
        <f t="shared" si="16"/>
        <v>9</v>
      </c>
      <c r="R106" t="s">
        <v>2363</v>
      </c>
      <c r="S106" t="str">
        <f t="shared" si="10"/>
        <v>1;9;10</v>
      </c>
      <c r="U106">
        <v>1</v>
      </c>
      <c r="V106">
        <v>9</v>
      </c>
      <c r="W106">
        <v>6</v>
      </c>
      <c r="X106" t="str">
        <f t="shared" si="11"/>
        <v>1;9;6</v>
      </c>
    </row>
    <row r="107" spans="1:24" x14ac:dyDescent="0.25">
      <c r="P107">
        <f t="shared" si="15"/>
        <v>2</v>
      </c>
      <c r="Q107">
        <f t="shared" si="16"/>
        <v>9</v>
      </c>
      <c r="R107" t="s">
        <v>2367</v>
      </c>
      <c r="S107" t="str">
        <f t="shared" si="10"/>
        <v>2;9;8</v>
      </c>
      <c r="U107">
        <v>2</v>
      </c>
      <c r="V107">
        <v>9</v>
      </c>
      <c r="W107">
        <v>10</v>
      </c>
      <c r="X107" t="str">
        <f t="shared" si="11"/>
        <v>2;9;10</v>
      </c>
    </row>
    <row r="108" spans="1:24" x14ac:dyDescent="0.25">
      <c r="A108" t="s">
        <v>2322</v>
      </c>
      <c r="P108">
        <f t="shared" si="15"/>
        <v>3</v>
      </c>
      <c r="Q108">
        <f t="shared" si="16"/>
        <v>9</v>
      </c>
      <c r="R108" t="s">
        <v>2360</v>
      </c>
      <c r="S108" t="str">
        <f t="shared" si="10"/>
        <v>3;9;5</v>
      </c>
      <c r="U108">
        <v>3</v>
      </c>
      <c r="V108">
        <v>9</v>
      </c>
      <c r="W108">
        <v>5</v>
      </c>
      <c r="X108" t="str">
        <f t="shared" si="11"/>
        <v>3;9;5</v>
      </c>
    </row>
    <row r="109" spans="1:24" x14ac:dyDescent="0.25">
      <c r="A109" t="s">
        <v>2321</v>
      </c>
      <c r="P109">
        <f t="shared" si="15"/>
        <v>4</v>
      </c>
      <c r="Q109">
        <f t="shared" si="16"/>
        <v>9</v>
      </c>
      <c r="R109" t="s">
        <v>2368</v>
      </c>
      <c r="S109" t="str">
        <f t="shared" si="10"/>
        <v>4;9;6</v>
      </c>
      <c r="U109">
        <v>4</v>
      </c>
      <c r="V109">
        <v>9</v>
      </c>
      <c r="W109">
        <v>7</v>
      </c>
      <c r="X109" t="str">
        <f t="shared" si="11"/>
        <v>4;9;7</v>
      </c>
    </row>
    <row r="110" spans="1:24" x14ac:dyDescent="0.25">
      <c r="P110">
        <f t="shared" si="15"/>
        <v>5</v>
      </c>
      <c r="Q110">
        <f t="shared" si="16"/>
        <v>9</v>
      </c>
      <c r="R110" t="s">
        <v>2366</v>
      </c>
      <c r="S110" t="str">
        <f t="shared" si="10"/>
        <v>5;9;7</v>
      </c>
      <c r="U110">
        <v>5</v>
      </c>
      <c r="V110">
        <v>9</v>
      </c>
      <c r="W110">
        <v>3</v>
      </c>
      <c r="X110" t="str">
        <f t="shared" si="11"/>
        <v>5;9;3</v>
      </c>
    </row>
    <row r="111" spans="1:24" x14ac:dyDescent="0.25">
      <c r="P111">
        <f t="shared" si="15"/>
        <v>6</v>
      </c>
      <c r="Q111">
        <f t="shared" si="16"/>
        <v>9</v>
      </c>
      <c r="R111" t="s">
        <v>2369</v>
      </c>
      <c r="S111" t="str">
        <f t="shared" si="10"/>
        <v>6;9;1</v>
      </c>
      <c r="U111">
        <v>6</v>
      </c>
      <c r="V111">
        <v>9</v>
      </c>
      <c r="W111">
        <v>8</v>
      </c>
      <c r="X111" t="str">
        <f t="shared" si="11"/>
        <v>6;9;8</v>
      </c>
    </row>
    <row r="112" spans="1:24" x14ac:dyDescent="0.25">
      <c r="A112" t="s">
        <v>2323</v>
      </c>
      <c r="P112">
        <f t="shared" si="15"/>
        <v>7</v>
      </c>
      <c r="Q112">
        <f t="shared" si="16"/>
        <v>9</v>
      </c>
      <c r="R112" t="s">
        <v>2361</v>
      </c>
      <c r="S112" t="str">
        <f t="shared" si="10"/>
        <v>7;9;2</v>
      </c>
      <c r="U112">
        <v>7</v>
      </c>
      <c r="V112">
        <v>9</v>
      </c>
      <c r="W112">
        <v>1</v>
      </c>
      <c r="X112" t="str">
        <f t="shared" si="11"/>
        <v>7;9;1</v>
      </c>
    </row>
    <row r="113" spans="1:24" x14ac:dyDescent="0.25">
      <c r="A113" t="s">
        <v>2324</v>
      </c>
      <c r="B113" t="s">
        <v>2325</v>
      </c>
      <c r="P113">
        <f t="shared" si="15"/>
        <v>8</v>
      </c>
      <c r="Q113">
        <f t="shared" si="16"/>
        <v>9</v>
      </c>
      <c r="R113" t="s">
        <v>2364</v>
      </c>
      <c r="S113" t="str">
        <f t="shared" si="10"/>
        <v>8;9;4</v>
      </c>
      <c r="U113">
        <v>8</v>
      </c>
      <c r="V113">
        <v>9</v>
      </c>
      <c r="W113">
        <v>2</v>
      </c>
      <c r="X113" t="str">
        <f t="shared" si="11"/>
        <v>8;9;2</v>
      </c>
    </row>
    <row r="114" spans="1:24" x14ac:dyDescent="0.25">
      <c r="A114" t="s">
        <v>2326</v>
      </c>
      <c r="B114">
        <v>1</v>
      </c>
      <c r="P114">
        <f t="shared" si="15"/>
        <v>9</v>
      </c>
      <c r="Q114">
        <f t="shared" si="16"/>
        <v>9</v>
      </c>
      <c r="R114" t="s">
        <v>2363</v>
      </c>
      <c r="S114" t="str">
        <f t="shared" si="10"/>
        <v>9;9;10</v>
      </c>
      <c r="U114">
        <v>9</v>
      </c>
      <c r="V114">
        <v>9</v>
      </c>
      <c r="W114">
        <v>6</v>
      </c>
      <c r="X114" t="str">
        <f t="shared" si="11"/>
        <v>9;9;6</v>
      </c>
    </row>
    <row r="115" spans="1:24" x14ac:dyDescent="0.25">
      <c r="A115" t="s">
        <v>2327</v>
      </c>
      <c r="B115" t="s">
        <v>2328</v>
      </c>
      <c r="P115">
        <f t="shared" si="15"/>
        <v>10</v>
      </c>
      <c r="Q115">
        <f t="shared" si="16"/>
        <v>9</v>
      </c>
      <c r="R115" t="s">
        <v>2367</v>
      </c>
      <c r="S115" t="str">
        <f t="shared" si="10"/>
        <v>10;9;8</v>
      </c>
      <c r="U115">
        <v>10</v>
      </c>
      <c r="V115">
        <v>9</v>
      </c>
      <c r="W115">
        <v>10</v>
      </c>
      <c r="X115" t="str">
        <f t="shared" si="11"/>
        <v>10;9;10</v>
      </c>
    </row>
    <row r="116" spans="1:24" x14ac:dyDescent="0.25">
      <c r="A116" t="s">
        <v>2329</v>
      </c>
      <c r="B116" t="s">
        <v>2330</v>
      </c>
      <c r="P116">
        <f t="shared" si="15"/>
        <v>11</v>
      </c>
      <c r="Q116">
        <f t="shared" si="16"/>
        <v>9</v>
      </c>
      <c r="R116" t="s">
        <v>2362</v>
      </c>
      <c r="S116" t="str">
        <f t="shared" si="10"/>
        <v>11;9;3</v>
      </c>
      <c r="U116">
        <v>11</v>
      </c>
      <c r="V116">
        <v>9</v>
      </c>
      <c r="W116">
        <v>5</v>
      </c>
      <c r="X116" t="str">
        <f t="shared" si="11"/>
        <v>11;9;5</v>
      </c>
    </row>
    <row r="117" spans="1:24" x14ac:dyDescent="0.25">
      <c r="A117" t="s">
        <v>2331</v>
      </c>
      <c r="B117" t="s">
        <v>2330</v>
      </c>
      <c r="P117">
        <f t="shared" si="15"/>
        <v>12</v>
      </c>
      <c r="Q117">
        <f t="shared" si="16"/>
        <v>9</v>
      </c>
      <c r="R117" t="s">
        <v>2368</v>
      </c>
      <c r="S117" t="str">
        <f t="shared" si="10"/>
        <v>12;9;6</v>
      </c>
      <c r="U117">
        <v>12</v>
      </c>
      <c r="V117">
        <v>9</v>
      </c>
      <c r="W117">
        <v>4</v>
      </c>
      <c r="X117" t="str">
        <f t="shared" si="11"/>
        <v>12;9;4</v>
      </c>
    </row>
    <row r="118" spans="1:24" x14ac:dyDescent="0.25">
      <c r="A118" t="s">
        <v>2332</v>
      </c>
      <c r="P118">
        <f t="shared" si="15"/>
        <v>13</v>
      </c>
      <c r="Q118">
        <f t="shared" si="16"/>
        <v>9</v>
      </c>
      <c r="R118" t="s">
        <v>2366</v>
      </c>
      <c r="S118" t="str">
        <f t="shared" si="10"/>
        <v>13;9;7</v>
      </c>
      <c r="U118">
        <v>13</v>
      </c>
      <c r="V118">
        <v>9</v>
      </c>
      <c r="W118">
        <v>3</v>
      </c>
      <c r="X118" t="str">
        <f t="shared" si="11"/>
        <v>13;9;3</v>
      </c>
    </row>
    <row r="119" spans="1:24" x14ac:dyDescent="0.25">
      <c r="A119" t="s">
        <v>2333</v>
      </c>
      <c r="P119">
        <f t="shared" si="15"/>
        <v>1</v>
      </c>
      <c r="Q119">
        <f t="shared" si="16"/>
        <v>10</v>
      </c>
      <c r="R119" t="s">
        <v>2365</v>
      </c>
      <c r="S119" t="str">
        <f t="shared" si="10"/>
        <v>1;10;9</v>
      </c>
      <c r="U119">
        <v>1</v>
      </c>
      <c r="V119">
        <v>10</v>
      </c>
      <c r="W119">
        <v>5</v>
      </c>
      <c r="X119" t="str">
        <f t="shared" si="11"/>
        <v>1;10;5</v>
      </c>
    </row>
    <row r="120" spans="1:24" x14ac:dyDescent="0.25">
      <c r="A120" t="s">
        <v>2334</v>
      </c>
      <c r="P120">
        <f t="shared" si="15"/>
        <v>2</v>
      </c>
      <c r="Q120">
        <f t="shared" si="16"/>
        <v>10</v>
      </c>
      <c r="R120" t="s">
        <v>2368</v>
      </c>
      <c r="S120" t="str">
        <f t="shared" si="10"/>
        <v>2;10;6</v>
      </c>
      <c r="U120">
        <v>2</v>
      </c>
      <c r="V120">
        <v>10</v>
      </c>
      <c r="W120">
        <v>9</v>
      </c>
      <c r="X120" t="str">
        <f t="shared" si="11"/>
        <v>2;10;9</v>
      </c>
    </row>
    <row r="121" spans="1:24" x14ac:dyDescent="0.25">
      <c r="A121" t="s">
        <v>2335</v>
      </c>
      <c r="B121" t="s">
        <v>2336</v>
      </c>
      <c r="P121">
        <f t="shared" si="15"/>
        <v>3</v>
      </c>
      <c r="Q121">
        <f t="shared" si="16"/>
        <v>10</v>
      </c>
      <c r="R121" t="s">
        <v>2366</v>
      </c>
      <c r="S121" t="str">
        <f t="shared" si="10"/>
        <v>3;10;7</v>
      </c>
      <c r="U121">
        <v>3</v>
      </c>
      <c r="V121">
        <v>10</v>
      </c>
      <c r="W121">
        <v>3</v>
      </c>
      <c r="X121" t="str">
        <f t="shared" si="11"/>
        <v>3;10;3</v>
      </c>
    </row>
    <row r="122" spans="1:24" x14ac:dyDescent="0.25">
      <c r="A122" t="s">
        <v>2337</v>
      </c>
      <c r="B122" t="s">
        <v>2338</v>
      </c>
      <c r="P122">
        <f t="shared" si="15"/>
        <v>4</v>
      </c>
      <c r="Q122">
        <f t="shared" si="16"/>
        <v>10</v>
      </c>
      <c r="R122" t="s">
        <v>2369</v>
      </c>
      <c r="S122" t="str">
        <f t="shared" si="10"/>
        <v>4;10;1</v>
      </c>
      <c r="U122">
        <v>4</v>
      </c>
      <c r="V122">
        <v>10</v>
      </c>
      <c r="W122">
        <v>6</v>
      </c>
      <c r="X122" t="str">
        <f t="shared" si="11"/>
        <v>4;10;6</v>
      </c>
    </row>
    <row r="123" spans="1:24" x14ac:dyDescent="0.25">
      <c r="A123" t="s">
        <v>2339</v>
      </c>
      <c r="B123" t="s">
        <v>2340</v>
      </c>
      <c r="P123">
        <f t="shared" si="15"/>
        <v>5</v>
      </c>
      <c r="Q123">
        <f t="shared" si="16"/>
        <v>10</v>
      </c>
      <c r="R123" t="s">
        <v>2367</v>
      </c>
      <c r="S123" t="str">
        <f t="shared" si="10"/>
        <v>5;10;8</v>
      </c>
      <c r="U123">
        <v>5</v>
      </c>
      <c r="V123">
        <v>10</v>
      </c>
      <c r="W123">
        <v>8</v>
      </c>
      <c r="X123" t="str">
        <f t="shared" si="11"/>
        <v>5;10;8</v>
      </c>
    </row>
    <row r="124" spans="1:24" x14ac:dyDescent="0.25">
      <c r="A124" t="s">
        <v>2341</v>
      </c>
      <c r="B124" t="s">
        <v>2330</v>
      </c>
      <c r="P124">
        <f t="shared" si="15"/>
        <v>6</v>
      </c>
      <c r="Q124">
        <f t="shared" si="16"/>
        <v>10</v>
      </c>
      <c r="R124" t="s">
        <v>2361</v>
      </c>
      <c r="S124" t="str">
        <f t="shared" si="10"/>
        <v>6;10;2</v>
      </c>
      <c r="U124">
        <v>6</v>
      </c>
      <c r="V124">
        <v>10</v>
      </c>
      <c r="W124">
        <v>1</v>
      </c>
      <c r="X124" t="str">
        <f t="shared" si="11"/>
        <v>6;10;1</v>
      </c>
    </row>
    <row r="125" spans="1:24" x14ac:dyDescent="0.25">
      <c r="A125" t="s">
        <v>2342</v>
      </c>
      <c r="P125">
        <f t="shared" si="15"/>
        <v>7</v>
      </c>
      <c r="Q125">
        <f t="shared" si="16"/>
        <v>10</v>
      </c>
      <c r="R125" t="s">
        <v>2364</v>
      </c>
      <c r="S125" t="str">
        <f t="shared" si="10"/>
        <v>7;10;4</v>
      </c>
      <c r="U125">
        <v>7</v>
      </c>
      <c r="V125">
        <v>10</v>
      </c>
      <c r="W125">
        <v>2</v>
      </c>
      <c r="X125" t="str">
        <f t="shared" si="11"/>
        <v>7;10;2</v>
      </c>
    </row>
    <row r="126" spans="1:24" x14ac:dyDescent="0.25">
      <c r="P126">
        <f t="shared" si="15"/>
        <v>8</v>
      </c>
      <c r="Q126">
        <f t="shared" si="16"/>
        <v>10</v>
      </c>
      <c r="R126" t="s">
        <v>2362</v>
      </c>
      <c r="S126" t="str">
        <f t="shared" si="10"/>
        <v>8;10;3</v>
      </c>
      <c r="U126">
        <v>8</v>
      </c>
      <c r="V126">
        <v>10</v>
      </c>
      <c r="W126">
        <v>4</v>
      </c>
      <c r="X126" t="str">
        <f t="shared" si="11"/>
        <v>8;10;4</v>
      </c>
    </row>
    <row r="127" spans="1:24" x14ac:dyDescent="0.25">
      <c r="P127">
        <f t="shared" si="15"/>
        <v>9</v>
      </c>
      <c r="Q127">
        <f t="shared" si="16"/>
        <v>10</v>
      </c>
      <c r="R127" t="s">
        <v>2365</v>
      </c>
      <c r="S127" t="str">
        <f t="shared" si="10"/>
        <v>9;10;9</v>
      </c>
      <c r="U127">
        <v>9</v>
      </c>
      <c r="V127">
        <v>10</v>
      </c>
      <c r="W127">
        <v>5</v>
      </c>
      <c r="X127" t="str">
        <f t="shared" si="11"/>
        <v>9;10;5</v>
      </c>
    </row>
    <row r="128" spans="1:24" x14ac:dyDescent="0.25">
      <c r="A128" t="s">
        <v>2343</v>
      </c>
      <c r="P128">
        <f t="shared" si="15"/>
        <v>10</v>
      </c>
      <c r="Q128">
        <f t="shared" si="16"/>
        <v>10</v>
      </c>
      <c r="R128" t="s">
        <v>2368</v>
      </c>
      <c r="S128" t="str">
        <f t="shared" si="10"/>
        <v>10;10;6</v>
      </c>
      <c r="U128">
        <v>10</v>
      </c>
      <c r="V128">
        <v>10</v>
      </c>
      <c r="W128">
        <v>9</v>
      </c>
      <c r="X128" t="str">
        <f t="shared" si="11"/>
        <v>10;10;9</v>
      </c>
    </row>
    <row r="129" spans="1:24" x14ac:dyDescent="0.25">
      <c r="P129">
        <f t="shared" si="15"/>
        <v>11</v>
      </c>
      <c r="Q129">
        <f t="shared" si="16"/>
        <v>10</v>
      </c>
      <c r="R129" t="s">
        <v>2366</v>
      </c>
      <c r="S129" t="str">
        <f t="shared" si="10"/>
        <v>11;10;7</v>
      </c>
      <c r="U129">
        <v>11</v>
      </c>
      <c r="V129">
        <v>10</v>
      </c>
      <c r="W129">
        <v>3</v>
      </c>
      <c r="X129" t="str">
        <f t="shared" si="11"/>
        <v>11;10;3</v>
      </c>
    </row>
    <row r="130" spans="1:24" x14ac:dyDescent="0.25">
      <c r="A130" t="s">
        <v>2344</v>
      </c>
      <c r="P130">
        <f t="shared" si="15"/>
        <v>12</v>
      </c>
      <c r="Q130">
        <f t="shared" si="16"/>
        <v>10</v>
      </c>
      <c r="R130" t="s">
        <v>2360</v>
      </c>
      <c r="S130" t="str">
        <f t="shared" si="10"/>
        <v>12;10;5</v>
      </c>
      <c r="U130">
        <v>12</v>
      </c>
      <c r="V130">
        <v>10</v>
      </c>
      <c r="W130">
        <v>6</v>
      </c>
      <c r="X130" t="str">
        <f t="shared" si="11"/>
        <v>12;10;6</v>
      </c>
    </row>
    <row r="131" spans="1:24" x14ac:dyDescent="0.25">
      <c r="A131" t="s">
        <v>2345</v>
      </c>
      <c r="P131">
        <f t="shared" si="15"/>
        <v>13</v>
      </c>
      <c r="Q131">
        <f t="shared" si="16"/>
        <v>10</v>
      </c>
      <c r="R131" t="s">
        <v>2367</v>
      </c>
      <c r="S131" t="str">
        <f>P131&amp;";"&amp;Q131&amp;";"&amp;R131</f>
        <v>13;10;8</v>
      </c>
      <c r="U131">
        <v>13</v>
      </c>
      <c r="V131">
        <v>10</v>
      </c>
      <c r="W131">
        <v>7</v>
      </c>
      <c r="X131" t="str">
        <f>U131&amp;";"&amp;V131&amp;";"&amp;W131</f>
        <v>13;10;7</v>
      </c>
    </row>
    <row r="132" spans="1:24" x14ac:dyDescent="0.25">
      <c r="A132" t="s">
        <v>2346</v>
      </c>
    </row>
    <row r="134" spans="1:24" x14ac:dyDescent="0.25">
      <c r="A134" t="s">
        <v>2347</v>
      </c>
    </row>
    <row r="135" spans="1:24" x14ac:dyDescent="0.25">
      <c r="A135" t="s">
        <v>2348</v>
      </c>
    </row>
    <row r="136" spans="1:24" x14ac:dyDescent="0.25">
      <c r="A136" t="s">
        <v>2349</v>
      </c>
    </row>
    <row r="138" spans="1:24" x14ac:dyDescent="0.25">
      <c r="A138" t="s">
        <v>2350</v>
      </c>
    </row>
    <row r="140" spans="1:24" x14ac:dyDescent="0.25">
      <c r="A140" t="s">
        <v>2351</v>
      </c>
    </row>
    <row r="142" spans="1:24" x14ac:dyDescent="0.25">
      <c r="A142" t="s">
        <v>2352</v>
      </c>
    </row>
    <row r="143" spans="1:24" x14ac:dyDescent="0.25">
      <c r="A143" t="s">
        <v>2353</v>
      </c>
    </row>
    <row r="144" spans="1:24" x14ac:dyDescent="0.25">
      <c r="A144" t="s">
        <v>2354</v>
      </c>
    </row>
    <row r="145" spans="1:1" x14ac:dyDescent="0.25">
      <c r="A145" t="s">
        <v>2355</v>
      </c>
    </row>
    <row r="147" spans="1:1" x14ac:dyDescent="0.25">
      <c r="A147" t="s">
        <v>2356</v>
      </c>
    </row>
    <row r="149" spans="1:1" x14ac:dyDescent="0.25">
      <c r="A149" t="s">
        <v>2357</v>
      </c>
    </row>
    <row r="151" spans="1:1" x14ac:dyDescent="0.25">
      <c r="A151" t="s">
        <v>2358</v>
      </c>
    </row>
    <row r="153" spans="1:1" x14ac:dyDescent="0.25">
      <c r="A153" t="s">
        <v>2359</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301"/>
  <sheetViews>
    <sheetView workbookViewId="0">
      <selection activeCell="A8" sqref="A8"/>
    </sheetView>
  </sheetViews>
  <sheetFormatPr defaultRowHeight="15" x14ac:dyDescent="0.25"/>
  <cols>
    <col min="1" max="1" width="25.28515625" bestFit="1" customWidth="1"/>
    <col min="2" max="2" width="7" bestFit="1" customWidth="1"/>
    <col min="3" max="3" width="6.5703125" customWidth="1"/>
    <col min="4" max="4" width="28.42578125" bestFit="1" customWidth="1"/>
    <col min="8" max="8" width="25.28515625" bestFit="1" customWidth="1"/>
    <col min="9" max="9" width="4.28515625" customWidth="1"/>
    <col min="10" max="10" width="28.42578125" bestFit="1" customWidth="1"/>
    <col min="14" max="14" width="25.28515625" bestFit="1" customWidth="1"/>
    <col min="16" max="16" width="19.28515625" bestFit="1" customWidth="1"/>
    <col min="23" max="23" width="22.28515625" bestFit="1" customWidth="1"/>
    <col min="25" max="25" width="15.42578125" bestFit="1" customWidth="1"/>
    <col min="29" max="29" width="13.42578125" bestFit="1" customWidth="1"/>
    <col min="31" max="31" width="21.140625" bestFit="1" customWidth="1"/>
    <col min="32" max="32" width="12.5703125" bestFit="1" customWidth="1"/>
    <col min="33" max="33" width="15.7109375" bestFit="1" customWidth="1"/>
    <col min="36" max="36" width="19.85546875" bestFit="1" customWidth="1"/>
  </cols>
  <sheetData>
    <row r="1" spans="1:36" ht="15.75" thickBot="1" x14ac:dyDescent="0.3">
      <c r="A1" s="138" t="str">
        <f>HYPERLINK("http://www.espn.com/fantasy/football/story/_/page/18RanksPreseason300nonPPR/2018-fantasy-football-non-ppr-rankings-top-300","ESPN Rankings")</f>
        <v>ESPN Rankings</v>
      </c>
      <c r="B1" s="138"/>
      <c r="C1" s="138"/>
      <c r="D1" s="137" t="s">
        <v>1802</v>
      </c>
      <c r="E1" s="137" t="s">
        <v>498</v>
      </c>
      <c r="F1" s="137" t="s">
        <v>739</v>
      </c>
      <c r="G1" s="137" t="s">
        <v>1803</v>
      </c>
      <c r="H1" s="151" t="s">
        <v>4931</v>
      </c>
      <c r="J1" s="149" t="s">
        <v>1802</v>
      </c>
      <c r="K1" s="149" t="s">
        <v>498</v>
      </c>
      <c r="L1" s="149" t="s">
        <v>739</v>
      </c>
      <c r="M1" s="149" t="s">
        <v>1803</v>
      </c>
      <c r="N1" s="151" t="s">
        <v>2391</v>
      </c>
      <c r="P1" s="151" t="s">
        <v>2276</v>
      </c>
      <c r="Q1" s="136" t="s">
        <v>2279</v>
      </c>
      <c r="R1" s="136" t="s">
        <v>498</v>
      </c>
      <c r="S1" s="136" t="s">
        <v>771</v>
      </c>
      <c r="T1" t="s">
        <v>2280</v>
      </c>
      <c r="W1" s="136" t="s">
        <v>4861</v>
      </c>
      <c r="X1" t="s">
        <v>498</v>
      </c>
      <c r="Y1" t="s">
        <v>4932</v>
      </c>
      <c r="Z1" t="s">
        <v>4935</v>
      </c>
      <c r="AB1" t="s">
        <v>4933</v>
      </c>
      <c r="AC1" t="s">
        <v>4934</v>
      </c>
      <c r="AF1" t="s">
        <v>4997</v>
      </c>
      <c r="AG1" t="s">
        <v>4998</v>
      </c>
      <c r="AJ1" t="s">
        <v>5000</v>
      </c>
    </row>
    <row r="2" spans="1:36" ht="15.75" thickBot="1" x14ac:dyDescent="0.3">
      <c r="A2" t="str">
        <f>Y2</f>
        <v>Todd Gurley II</v>
      </c>
      <c r="B2" t="str">
        <f>X2</f>
        <v>RB1</v>
      </c>
      <c r="D2" s="135" t="s">
        <v>3377</v>
      </c>
      <c r="E2" s="134" t="s">
        <v>47</v>
      </c>
      <c r="F2" s="134" t="s">
        <v>1038</v>
      </c>
      <c r="G2" s="134" t="s">
        <v>1804</v>
      </c>
      <c r="H2" t="str">
        <f>RIGHT(D2,LEN(D2)-3)</f>
        <v>Todd Gurley II</v>
      </c>
      <c r="J2" s="135" t="s">
        <v>3377</v>
      </c>
      <c r="K2" s="134" t="s">
        <v>47</v>
      </c>
      <c r="L2" s="134" t="s">
        <v>1038</v>
      </c>
      <c r="M2" s="134" t="s">
        <v>1804</v>
      </c>
      <c r="N2" t="str">
        <f>RIGHT(J2,LEN(J2)-3)</f>
        <v>Todd Gurley II</v>
      </c>
      <c r="P2" t="s">
        <v>113</v>
      </c>
      <c r="Q2" t="s">
        <v>2278</v>
      </c>
      <c r="R2" t="s">
        <v>114</v>
      </c>
      <c r="S2" t="str">
        <f>R2&amp;COUNTIF(R$2:R2,R2)</f>
        <v>TE1</v>
      </c>
      <c r="T2" t="s">
        <v>2278</v>
      </c>
      <c r="W2" t="s">
        <v>94</v>
      </c>
      <c r="X2" t="s">
        <v>1804</v>
      </c>
      <c r="Y2" t="str">
        <f>IFERROR(VLOOKUP(W2,$AB$2:$AC$22,2,FALSE),IFERROR(VLOOKUP(LEFT(W2,SEARCH("(",W2)-2),$AF$2:$AG$33,2,FALSE),W2))</f>
        <v>Todd Gurley II</v>
      </c>
      <c r="Z2">
        <v>0</v>
      </c>
      <c r="AB2" s="141" t="s">
        <v>94</v>
      </c>
      <c r="AC2" s="152" t="s">
        <v>1100</v>
      </c>
      <c r="AE2" t="s">
        <v>4936</v>
      </c>
      <c r="AF2" t="s">
        <v>4968</v>
      </c>
      <c r="AG2" t="str">
        <f>SUBSTITUTE(AE2,AF2&amp;" ","")&amp; " D/ST"</f>
        <v>Cardinals D/ST</v>
      </c>
      <c r="AI2">
        <v>1</v>
      </c>
      <c r="AJ2" t="str">
        <f>INDEX($Y$2:$Y$300,MATCH(AI2,$Z$2:$Z$300,0))</f>
        <v>Steven Hauschka</v>
      </c>
    </row>
    <row r="3" spans="1:36" ht="15.75" thickBot="1" x14ac:dyDescent="0.3">
      <c r="A3" t="str">
        <f t="shared" ref="A3:A66" si="0">Y3</f>
        <v>Melvin Gordon</v>
      </c>
      <c r="B3" t="str">
        <f t="shared" ref="B3:B66" si="1">X3</f>
        <v>RB2</v>
      </c>
      <c r="D3" s="135" t="s">
        <v>3378</v>
      </c>
      <c r="E3" s="134" t="s">
        <v>47</v>
      </c>
      <c r="F3" s="134" t="s">
        <v>1806</v>
      </c>
      <c r="G3" s="134" t="s">
        <v>1805</v>
      </c>
      <c r="H3" t="str">
        <f t="shared" ref="H3:H10" si="2">RIGHT(D3,LEN(D3)-3)</f>
        <v>David Johnson</v>
      </c>
      <c r="J3" s="135" t="s">
        <v>3378</v>
      </c>
      <c r="K3" s="134" t="s">
        <v>47</v>
      </c>
      <c r="L3" s="134" t="s">
        <v>1806</v>
      </c>
      <c r="M3" s="134" t="s">
        <v>1805</v>
      </c>
      <c r="N3" t="str">
        <f t="shared" ref="N3:N10" si="3">RIGHT(J3,LEN(J3)-3)</f>
        <v>David Johnson</v>
      </c>
      <c r="P3" t="s">
        <v>86</v>
      </c>
      <c r="Q3" t="s">
        <v>2278</v>
      </c>
      <c r="R3" t="s">
        <v>87</v>
      </c>
      <c r="S3" t="str">
        <f>R3&amp;COUNTIF(R$2:R3,R3)</f>
        <v>WR1</v>
      </c>
      <c r="T3" t="s">
        <v>2278</v>
      </c>
      <c r="W3" t="s">
        <v>92</v>
      </c>
      <c r="X3" t="s">
        <v>1805</v>
      </c>
      <c r="Y3" t="str">
        <f t="shared" ref="Y3:Y66" si="4">IFERROR(VLOOKUP(W3,$AB$2:$AC$22,2,FALSE),IFERROR(VLOOKUP(LEFT(W3,SEARCH("(",W3)-2),$AF$2:$AG$33,2,FALSE),W3))</f>
        <v>Melvin Gordon</v>
      </c>
      <c r="Z3">
        <f>IF(AND(ISERROR(MATCH(Y3,'ROS Proj'!$A$2:$A$561,0)),LEFT(X3)&lt;&gt;"D"),Z2+1,Z2)</f>
        <v>0</v>
      </c>
      <c r="AB3" s="143" t="s">
        <v>138</v>
      </c>
      <c r="AC3" s="145" t="s">
        <v>1647</v>
      </c>
      <c r="AE3" t="s">
        <v>4937</v>
      </c>
      <c r="AF3" t="s">
        <v>4969</v>
      </c>
      <c r="AG3" t="str">
        <f t="shared" ref="AG3:AG33" si="5">SUBSTITUTE(AE3,AF3&amp;" ","")&amp; " D/ST"</f>
        <v>Falcons D/ST</v>
      </c>
      <c r="AI3">
        <f>AI2+1</f>
        <v>2</v>
      </c>
      <c r="AJ3" t="str">
        <f t="shared" ref="AJ3:AJ66" si="6">INDEX($Y$2:$Y$300,MATCH(AI3,$Z$2:$Z$300,0))</f>
        <v>Chad Kelly</v>
      </c>
    </row>
    <row r="4" spans="1:36" ht="15.75" thickBot="1" x14ac:dyDescent="0.3">
      <c r="A4" t="str">
        <f t="shared" si="0"/>
        <v>Saquon Barkley</v>
      </c>
      <c r="B4" t="str">
        <f t="shared" si="1"/>
        <v>RB3</v>
      </c>
      <c r="D4" s="135" t="s">
        <v>3379</v>
      </c>
      <c r="E4" s="134" t="s">
        <v>47</v>
      </c>
      <c r="F4" s="134" t="s">
        <v>1044</v>
      </c>
      <c r="G4" s="134" t="s">
        <v>1807</v>
      </c>
      <c r="H4" t="str">
        <f t="shared" si="2"/>
        <v>Ezekiel Elliott</v>
      </c>
      <c r="J4" s="135" t="s">
        <v>3379</v>
      </c>
      <c r="K4" s="134" t="s">
        <v>47</v>
      </c>
      <c r="L4" s="134" t="s">
        <v>1044</v>
      </c>
      <c r="M4" s="134" t="s">
        <v>1807</v>
      </c>
      <c r="N4" t="str">
        <f t="shared" si="3"/>
        <v>Ezekiel Elliott</v>
      </c>
      <c r="P4" t="s">
        <v>45</v>
      </c>
      <c r="Q4" t="s">
        <v>2278</v>
      </c>
      <c r="R4" t="s">
        <v>47</v>
      </c>
      <c r="S4" t="str">
        <f>R4&amp;COUNTIF(R$2:R4,R4)</f>
        <v>RB1</v>
      </c>
      <c r="T4" t="s">
        <v>2278</v>
      </c>
      <c r="W4" t="s">
        <v>1288</v>
      </c>
      <c r="X4" t="s">
        <v>1807</v>
      </c>
      <c r="Y4" t="str">
        <f t="shared" si="4"/>
        <v>Saquon Barkley</v>
      </c>
      <c r="Z4">
        <f>IF(AND(ISERROR(MATCH(Y4,'ROS Proj'!$A$2:$A$561,0)),LEFT(X4)&lt;&gt;"D"),Z3+1,Z3)</f>
        <v>0</v>
      </c>
      <c r="AB4" s="143" t="s">
        <v>2427</v>
      </c>
      <c r="AC4" s="145" t="s">
        <v>613</v>
      </c>
      <c r="AE4" t="s">
        <v>4938</v>
      </c>
      <c r="AF4" t="s">
        <v>4970</v>
      </c>
      <c r="AG4" t="str">
        <f t="shared" si="5"/>
        <v>Ravens D/ST</v>
      </c>
      <c r="AI4">
        <f t="shared" ref="AI4:AI67" si="7">AI3+1</f>
        <v>3</v>
      </c>
      <c r="AJ4" t="str">
        <f t="shared" si="6"/>
        <v>Sam Ficken</v>
      </c>
    </row>
    <row r="5" spans="1:36" ht="15.75" thickBot="1" x14ac:dyDescent="0.3">
      <c r="A5" t="str">
        <f t="shared" si="0"/>
        <v>Michael Thomas</v>
      </c>
      <c r="B5" t="str">
        <f t="shared" si="1"/>
        <v>WR1</v>
      </c>
      <c r="D5" s="135" t="s">
        <v>3380</v>
      </c>
      <c r="E5" s="134" t="s">
        <v>47</v>
      </c>
      <c r="F5" s="134" t="s">
        <v>1811</v>
      </c>
      <c r="G5" s="134" t="s">
        <v>1808</v>
      </c>
      <c r="H5" t="str">
        <f t="shared" si="2"/>
        <v>Saquon Barkley</v>
      </c>
      <c r="J5" s="135" t="s">
        <v>3925</v>
      </c>
      <c r="K5" s="134" t="s">
        <v>47</v>
      </c>
      <c r="L5" s="134" t="s">
        <v>1813</v>
      </c>
      <c r="M5" s="134" t="s">
        <v>1808</v>
      </c>
      <c r="N5" t="str">
        <f t="shared" si="3"/>
        <v>Alvin Kamara</v>
      </c>
      <c r="P5" t="s">
        <v>48</v>
      </c>
      <c r="Q5" t="s">
        <v>2278</v>
      </c>
      <c r="R5" t="s">
        <v>47</v>
      </c>
      <c r="S5" t="str">
        <f>R5&amp;COUNTIF(R$2:R5,R5)</f>
        <v>RB2</v>
      </c>
      <c r="T5" t="s">
        <v>2278</v>
      </c>
      <c r="W5" t="s">
        <v>110</v>
      </c>
      <c r="X5" t="s">
        <v>1810</v>
      </c>
      <c r="Y5" t="str">
        <f t="shared" si="4"/>
        <v>Michael Thomas</v>
      </c>
      <c r="Z5">
        <f>IF(AND(ISERROR(MATCH(Y5,'ROS Proj'!$A$2:$A$561,0)),LEFT(X5)&lt;&gt;"D"),Z4+1,Z4)</f>
        <v>0</v>
      </c>
      <c r="AB5" s="143" t="s">
        <v>2485</v>
      </c>
      <c r="AC5" s="145" t="s">
        <v>183</v>
      </c>
      <c r="AE5" t="s">
        <v>4939</v>
      </c>
      <c r="AF5" t="s">
        <v>4971</v>
      </c>
      <c r="AG5" t="str">
        <f t="shared" si="5"/>
        <v>Bills D/ST</v>
      </c>
      <c r="AI5">
        <f t="shared" si="7"/>
        <v>4</v>
      </c>
      <c r="AJ5" t="str">
        <f t="shared" si="6"/>
        <v>Mike Gesicki</v>
      </c>
    </row>
    <row r="6" spans="1:36" ht="15.75" thickBot="1" x14ac:dyDescent="0.3">
      <c r="A6" t="str">
        <f t="shared" si="0"/>
        <v>Ezekiel Elliott</v>
      </c>
      <c r="B6" t="str">
        <f t="shared" si="1"/>
        <v>RB4</v>
      </c>
      <c r="D6" s="135" t="s">
        <v>1809</v>
      </c>
      <c r="E6" s="134" t="s">
        <v>87</v>
      </c>
      <c r="F6" s="134" t="s">
        <v>1040</v>
      </c>
      <c r="G6" s="134" t="s">
        <v>1810</v>
      </c>
      <c r="H6" t="str">
        <f t="shared" si="2"/>
        <v>Antonio Brown</v>
      </c>
      <c r="J6" s="135" t="s">
        <v>1809</v>
      </c>
      <c r="K6" s="134" t="s">
        <v>87</v>
      </c>
      <c r="L6" s="134" t="s">
        <v>1040</v>
      </c>
      <c r="M6" s="134" t="s">
        <v>1810</v>
      </c>
      <c r="N6" t="str">
        <f t="shared" si="3"/>
        <v>Antonio Brown</v>
      </c>
      <c r="P6" t="s">
        <v>115</v>
      </c>
      <c r="Q6" t="s">
        <v>2278</v>
      </c>
      <c r="R6" t="s">
        <v>47</v>
      </c>
      <c r="S6" t="str">
        <f>R6&amp;COUNTIF(R$2:R6,R6)</f>
        <v>RB3</v>
      </c>
      <c r="T6" t="s">
        <v>2278</v>
      </c>
      <c r="W6" t="s">
        <v>57</v>
      </c>
      <c r="X6" t="s">
        <v>1808</v>
      </c>
      <c r="Y6" t="str">
        <f t="shared" si="4"/>
        <v>Ezekiel Elliott</v>
      </c>
      <c r="Z6">
        <f>IF(AND(ISERROR(MATCH(Y6,'ROS Proj'!$A$2:$A$561,0)),LEFT(X6)&lt;&gt;"D"),Z5+1,Z5)</f>
        <v>0</v>
      </c>
      <c r="AB6" s="143" t="s">
        <v>2531</v>
      </c>
      <c r="AC6" s="145" t="s">
        <v>291</v>
      </c>
      <c r="AE6" t="s">
        <v>4940</v>
      </c>
      <c r="AF6" t="s">
        <v>4972</v>
      </c>
      <c r="AG6" t="str">
        <f t="shared" si="5"/>
        <v>Panthers D/ST</v>
      </c>
      <c r="AI6">
        <f t="shared" si="7"/>
        <v>5</v>
      </c>
      <c r="AJ6" t="str">
        <f t="shared" si="6"/>
        <v>Jay Cutler</v>
      </c>
    </row>
    <row r="7" spans="1:36" ht="15.75" thickBot="1" x14ac:dyDescent="0.3">
      <c r="A7" t="str">
        <f t="shared" si="0"/>
        <v>Alvin Kamara</v>
      </c>
      <c r="B7" t="str">
        <f t="shared" si="1"/>
        <v>RB5</v>
      </c>
      <c r="D7" s="135" t="s">
        <v>3381</v>
      </c>
      <c r="E7" s="134" t="s">
        <v>47</v>
      </c>
      <c r="F7" s="134" t="s">
        <v>1813</v>
      </c>
      <c r="G7" s="134" t="s">
        <v>1812</v>
      </c>
      <c r="H7" t="str">
        <f t="shared" si="2"/>
        <v>Alvin Kamara</v>
      </c>
      <c r="J7" s="135" t="s">
        <v>3926</v>
      </c>
      <c r="K7" s="134" t="s">
        <v>47</v>
      </c>
      <c r="L7" s="134" t="s">
        <v>1811</v>
      </c>
      <c r="M7" s="134" t="s">
        <v>1812</v>
      </c>
      <c r="N7" t="str">
        <f t="shared" si="3"/>
        <v>Saquon Barkley</v>
      </c>
      <c r="P7" t="s">
        <v>257</v>
      </c>
      <c r="Q7" t="s">
        <v>2278</v>
      </c>
      <c r="R7" t="s">
        <v>47</v>
      </c>
      <c r="S7" t="str">
        <f>R7&amp;COUNTIF(R$2:R7,R7)</f>
        <v>RB4</v>
      </c>
      <c r="T7" t="s">
        <v>2278</v>
      </c>
      <c r="W7" t="s">
        <v>257</v>
      </c>
      <c r="X7" t="s">
        <v>1812</v>
      </c>
      <c r="Y7" t="str">
        <f t="shared" si="4"/>
        <v>Alvin Kamara</v>
      </c>
      <c r="Z7">
        <f>IF(AND(ISERROR(MATCH(Y7,'ROS Proj'!$A$2:$A$561,0)),LEFT(X7)&lt;&gt;"D"),Z6+1,Z6)</f>
        <v>0</v>
      </c>
      <c r="AB7" s="143" t="s">
        <v>2578</v>
      </c>
      <c r="AC7" s="145" t="s">
        <v>266</v>
      </c>
      <c r="AE7" t="s">
        <v>4941</v>
      </c>
      <c r="AF7" t="s">
        <v>4973</v>
      </c>
      <c r="AG7" t="str">
        <f t="shared" si="5"/>
        <v>Bears D/ST</v>
      </c>
      <c r="AI7">
        <f t="shared" si="7"/>
        <v>6</v>
      </c>
      <c r="AJ7" t="str">
        <f t="shared" si="6"/>
        <v>Rishard Matthews</v>
      </c>
    </row>
    <row r="8" spans="1:36" ht="15.75" thickBot="1" x14ac:dyDescent="0.3">
      <c r="A8" t="str">
        <f t="shared" si="0"/>
        <v>Antonio Brown</v>
      </c>
      <c r="B8" t="str">
        <f t="shared" si="1"/>
        <v>WR2</v>
      </c>
      <c r="D8" s="135" t="s">
        <v>3382</v>
      </c>
      <c r="E8" s="134" t="s">
        <v>47</v>
      </c>
      <c r="F8" s="134" t="s">
        <v>1821</v>
      </c>
      <c r="G8" s="134" t="s">
        <v>1814</v>
      </c>
      <c r="H8" t="str">
        <f t="shared" si="2"/>
        <v>Kareem Hunt</v>
      </c>
      <c r="J8" s="135" t="s">
        <v>3927</v>
      </c>
      <c r="K8" s="134" t="s">
        <v>47</v>
      </c>
      <c r="L8" s="134" t="s">
        <v>1048</v>
      </c>
      <c r="M8" s="134" t="s">
        <v>1814</v>
      </c>
      <c r="N8" t="str">
        <f t="shared" si="3"/>
        <v>Dalvin Cook</v>
      </c>
      <c r="P8" t="s">
        <v>93</v>
      </c>
      <c r="Q8" t="s">
        <v>2278</v>
      </c>
      <c r="R8" t="s">
        <v>87</v>
      </c>
      <c r="S8" t="str">
        <f>R8&amp;COUNTIF(R$2:R8,R8)</f>
        <v>WR2</v>
      </c>
      <c r="T8" t="s">
        <v>2278</v>
      </c>
      <c r="W8" t="s">
        <v>96</v>
      </c>
      <c r="X8" t="s">
        <v>1816</v>
      </c>
      <c r="Y8" t="str">
        <f t="shared" si="4"/>
        <v>Antonio Brown</v>
      </c>
      <c r="Z8">
        <f>IF(AND(ISERROR(MATCH(Y8,'ROS Proj'!$A$2:$A$561,0)),LEFT(X8)&lt;&gt;"D"),Z7+1,Z7)</f>
        <v>0</v>
      </c>
      <c r="AB8" s="143" t="s">
        <v>2550</v>
      </c>
      <c r="AC8" s="145" t="s">
        <v>168</v>
      </c>
      <c r="AE8" t="s">
        <v>4942</v>
      </c>
      <c r="AF8" t="s">
        <v>4974</v>
      </c>
      <c r="AG8" t="str">
        <f t="shared" si="5"/>
        <v>Bengals D/ST</v>
      </c>
      <c r="AI8">
        <f t="shared" si="7"/>
        <v>7</v>
      </c>
      <c r="AJ8" t="str">
        <f t="shared" si="6"/>
        <v>Terrelle Pryor</v>
      </c>
    </row>
    <row r="9" spans="1:36" ht="15.75" thickBot="1" x14ac:dyDescent="0.3">
      <c r="A9" t="str">
        <f t="shared" si="0"/>
        <v>Julio Jones</v>
      </c>
      <c r="B9" t="str">
        <f t="shared" si="1"/>
        <v>WR3</v>
      </c>
      <c r="D9" s="135" t="s">
        <v>1815</v>
      </c>
      <c r="E9" s="134" t="s">
        <v>87</v>
      </c>
      <c r="F9" s="134" t="s">
        <v>1052</v>
      </c>
      <c r="G9" s="134" t="s">
        <v>1816</v>
      </c>
      <c r="H9" t="str">
        <f t="shared" si="2"/>
        <v>Julio Jones</v>
      </c>
      <c r="J9" s="135" t="s">
        <v>3928</v>
      </c>
      <c r="K9" s="134" t="s">
        <v>47</v>
      </c>
      <c r="L9" s="134" t="s">
        <v>1041</v>
      </c>
      <c r="M9" s="134" t="s">
        <v>1822</v>
      </c>
      <c r="N9" t="str">
        <f t="shared" si="3"/>
        <v>Melvin Gordon</v>
      </c>
      <c r="P9" t="s">
        <v>1100</v>
      </c>
      <c r="Q9" t="s">
        <v>2278</v>
      </c>
      <c r="R9" t="s">
        <v>47</v>
      </c>
      <c r="S9" t="str">
        <f>R9&amp;COUNTIF(R$2:R9,R9)</f>
        <v>RB5</v>
      </c>
      <c r="T9" t="s">
        <v>2278</v>
      </c>
      <c r="W9" t="s">
        <v>93</v>
      </c>
      <c r="X9" t="s">
        <v>1818</v>
      </c>
      <c r="Y9" t="str">
        <f t="shared" si="4"/>
        <v>Julio Jones</v>
      </c>
      <c r="Z9">
        <f>IF(AND(ISERROR(MATCH(Y9,'ROS Proj'!$A$2:$A$561,0)),LEFT(X9)&lt;&gt;"D"),Z8+1,Z8)</f>
        <v>0</v>
      </c>
      <c r="AB9" s="143" t="s">
        <v>4879</v>
      </c>
      <c r="AC9" s="145" t="s">
        <v>1319</v>
      </c>
      <c r="AE9" t="s">
        <v>4943</v>
      </c>
      <c r="AF9" t="s">
        <v>4975</v>
      </c>
      <c r="AG9" t="str">
        <f t="shared" si="5"/>
        <v>Browns D/ST</v>
      </c>
      <c r="AI9">
        <f t="shared" si="7"/>
        <v>8</v>
      </c>
      <c r="AJ9">
        <f t="shared" si="6"/>
        <v>0</v>
      </c>
    </row>
    <row r="10" spans="1:36" ht="15.75" thickBot="1" x14ac:dyDescent="0.3">
      <c r="A10" t="str">
        <f t="shared" si="0"/>
        <v>Christian McCaffrey</v>
      </c>
      <c r="B10" t="str">
        <f t="shared" si="1"/>
        <v>RB6</v>
      </c>
      <c r="D10" s="135" t="s">
        <v>1817</v>
      </c>
      <c r="E10" s="134" t="s">
        <v>87</v>
      </c>
      <c r="F10" s="134" t="s">
        <v>1811</v>
      </c>
      <c r="G10" s="134" t="s">
        <v>1818</v>
      </c>
      <c r="H10" t="str">
        <f t="shared" si="2"/>
        <v>Odell Beckham Jr.</v>
      </c>
      <c r="J10" s="135" t="s">
        <v>3929</v>
      </c>
      <c r="K10" s="134" t="s">
        <v>87</v>
      </c>
      <c r="L10" s="134" t="s">
        <v>1052</v>
      </c>
      <c r="M10" s="134" t="s">
        <v>1816</v>
      </c>
      <c r="N10" t="str">
        <f t="shared" si="3"/>
        <v>Julio Jones</v>
      </c>
      <c r="P10" t="s">
        <v>57</v>
      </c>
      <c r="Q10" t="s">
        <v>2278</v>
      </c>
      <c r="R10" t="s">
        <v>47</v>
      </c>
      <c r="S10" t="str">
        <f>R10&amp;COUNTIF(R$2:R10,R10)</f>
        <v>RB6</v>
      </c>
      <c r="T10" t="s">
        <v>2278</v>
      </c>
      <c r="W10" t="s">
        <v>112</v>
      </c>
      <c r="X10" t="s">
        <v>1814</v>
      </c>
      <c r="Y10" t="str">
        <f t="shared" si="4"/>
        <v>Christian McCaffrey</v>
      </c>
      <c r="Z10">
        <f>IF(AND(ISERROR(MATCH(Y10,'ROS Proj'!$A$2:$A$561,0)),LEFT(X10)&lt;&gt;"D"),Z9+1,Z9)</f>
        <v>0</v>
      </c>
      <c r="AB10" s="143"/>
      <c r="AC10" s="145"/>
      <c r="AE10" t="s">
        <v>4944</v>
      </c>
      <c r="AF10" t="s">
        <v>4976</v>
      </c>
      <c r="AG10" t="str">
        <f t="shared" si="5"/>
        <v>Cowboys D/ST</v>
      </c>
      <c r="AI10">
        <f t="shared" si="7"/>
        <v>9</v>
      </c>
      <c r="AJ10" t="e">
        <f t="shared" si="6"/>
        <v>#N/A</v>
      </c>
    </row>
    <row r="11" spans="1:36" ht="15.75" thickBot="1" x14ac:dyDescent="0.3">
      <c r="A11" t="str">
        <f t="shared" si="0"/>
        <v>Odell Beckham Jr.</v>
      </c>
      <c r="B11" t="str">
        <f t="shared" si="1"/>
        <v>WR4</v>
      </c>
      <c r="D11" s="135" t="s">
        <v>1819</v>
      </c>
      <c r="E11" s="134" t="s">
        <v>87</v>
      </c>
      <c r="F11" s="134" t="s">
        <v>1043</v>
      </c>
      <c r="G11" s="134" t="s">
        <v>1820</v>
      </c>
      <c r="H11" t="str">
        <f>RIGHT(D11,LEN(D11)-4)</f>
        <v>DeAndre Hopkins</v>
      </c>
      <c r="J11" s="135" t="s">
        <v>1819</v>
      </c>
      <c r="K11" s="134" t="s">
        <v>87</v>
      </c>
      <c r="L11" s="134" t="s">
        <v>1043</v>
      </c>
      <c r="M11" s="134" t="s">
        <v>1818</v>
      </c>
      <c r="N11" t="str">
        <f>RIGHT(J11,LEN(J11)-4)</f>
        <v>DeAndre Hopkins</v>
      </c>
      <c r="P11" t="s">
        <v>96</v>
      </c>
      <c r="Q11" t="s">
        <v>2278</v>
      </c>
      <c r="R11" t="s">
        <v>87</v>
      </c>
      <c r="S11" t="str">
        <f>R11&amp;COUNTIF(R$2:R11,R11)</f>
        <v>WR3</v>
      </c>
      <c r="T11" t="s">
        <v>2278</v>
      </c>
      <c r="W11" t="s">
        <v>86</v>
      </c>
      <c r="X11" t="s">
        <v>1820</v>
      </c>
      <c r="Y11" t="str">
        <f t="shared" si="4"/>
        <v>Odell Beckham Jr.</v>
      </c>
      <c r="Z11">
        <f>IF(AND(ISERROR(MATCH(Y11,'ROS Proj'!$A$2:$A$561,0)),LEFT(X11)&lt;&gt;"D"),Z10+1,Z10)</f>
        <v>0</v>
      </c>
      <c r="AB11" s="143"/>
      <c r="AC11" s="145"/>
      <c r="AE11" t="s">
        <v>4945</v>
      </c>
      <c r="AF11" t="s">
        <v>4977</v>
      </c>
      <c r="AG11" t="str">
        <f t="shared" si="5"/>
        <v>Broncos D/ST</v>
      </c>
      <c r="AI11">
        <f t="shared" si="7"/>
        <v>10</v>
      </c>
      <c r="AJ11" t="e">
        <f t="shared" si="6"/>
        <v>#N/A</v>
      </c>
    </row>
    <row r="12" spans="1:36" ht="15.75" thickBot="1" x14ac:dyDescent="0.3">
      <c r="A12" t="str">
        <f t="shared" si="0"/>
        <v>Joe Mixon</v>
      </c>
      <c r="B12" t="str">
        <f t="shared" si="1"/>
        <v>RB7</v>
      </c>
      <c r="D12" s="135" t="s">
        <v>3383</v>
      </c>
      <c r="E12" s="134" t="s">
        <v>47</v>
      </c>
      <c r="F12" s="134" t="s">
        <v>1823</v>
      </c>
      <c r="G12" s="134" t="s">
        <v>1822</v>
      </c>
      <c r="H12" t="str">
        <f t="shared" ref="H12:H75" si="8">RIGHT(D12,LEN(D12)-4)</f>
        <v>Leonard Fournette</v>
      </c>
      <c r="J12" s="135" t="s">
        <v>3930</v>
      </c>
      <c r="K12" s="134" t="s">
        <v>87</v>
      </c>
      <c r="L12" s="134" t="s">
        <v>1811</v>
      </c>
      <c r="M12" s="134" t="s">
        <v>1820</v>
      </c>
      <c r="N12" t="str">
        <f t="shared" ref="N12:N75" si="9">RIGHT(J12,LEN(J12)-4)</f>
        <v>Odell Beckham Jr.</v>
      </c>
      <c r="P12" t="s">
        <v>1288</v>
      </c>
      <c r="Q12">
        <v>11</v>
      </c>
      <c r="R12" t="s">
        <v>47</v>
      </c>
      <c r="S12" t="str">
        <f>R12&amp;COUNTIF(R$2:R12,R12)</f>
        <v>RB7</v>
      </c>
      <c r="T12" t="str">
        <f>S12&amp;"-"&amp;Q12</f>
        <v>RB7-11</v>
      </c>
      <c r="W12" t="s">
        <v>123</v>
      </c>
      <c r="X12" t="s">
        <v>1822</v>
      </c>
      <c r="Y12" t="str">
        <f t="shared" si="4"/>
        <v>Joe Mixon</v>
      </c>
      <c r="Z12">
        <f>IF(AND(ISERROR(MATCH(Y12,'ROS Proj'!$A$2:$A$561,0)),LEFT(X12)&lt;&gt;"D"),Z11+1,Z11)</f>
        <v>0</v>
      </c>
      <c r="AB12" s="143"/>
      <c r="AC12" s="145"/>
      <c r="AE12" t="s">
        <v>4946</v>
      </c>
      <c r="AF12" t="s">
        <v>4978</v>
      </c>
      <c r="AG12" t="str">
        <f t="shared" si="5"/>
        <v>Lions D/ST</v>
      </c>
      <c r="AI12">
        <f t="shared" si="7"/>
        <v>11</v>
      </c>
      <c r="AJ12" t="e">
        <f t="shared" si="6"/>
        <v>#N/A</v>
      </c>
    </row>
    <row r="13" spans="1:36" ht="15.75" thickBot="1" x14ac:dyDescent="0.3">
      <c r="A13" t="str">
        <f t="shared" si="0"/>
        <v>Kareem Hunt</v>
      </c>
      <c r="B13" t="str">
        <f t="shared" si="1"/>
        <v>RB8</v>
      </c>
      <c r="D13" s="135" t="s">
        <v>3384</v>
      </c>
      <c r="E13" s="134" t="s">
        <v>47</v>
      </c>
      <c r="F13" s="134" t="s">
        <v>1048</v>
      </c>
      <c r="G13" s="134" t="s">
        <v>1824</v>
      </c>
      <c r="H13" t="str">
        <f t="shared" si="8"/>
        <v>Dalvin Cook</v>
      </c>
      <c r="J13" s="135" t="s">
        <v>3931</v>
      </c>
      <c r="K13" s="134" t="s">
        <v>87</v>
      </c>
      <c r="L13" s="134" t="s">
        <v>1041</v>
      </c>
      <c r="M13" s="134" t="s">
        <v>1828</v>
      </c>
      <c r="N13" t="str">
        <f t="shared" si="9"/>
        <v>Keenan Allen</v>
      </c>
      <c r="P13" t="s">
        <v>111</v>
      </c>
      <c r="Q13">
        <f>Q12+1</f>
        <v>12</v>
      </c>
      <c r="R13" t="s">
        <v>47</v>
      </c>
      <c r="S13" t="str">
        <f>R13&amp;COUNTIF(R$2:R13,R13)</f>
        <v>RB8</v>
      </c>
      <c r="T13" t="str">
        <f t="shared" ref="T13:T76" si="10">S13&amp;"-"&amp;Q13</f>
        <v>RB8-12</v>
      </c>
      <c r="W13" t="s">
        <v>115</v>
      </c>
      <c r="X13" t="s">
        <v>1824</v>
      </c>
      <c r="Y13" t="str">
        <f t="shared" si="4"/>
        <v>Kareem Hunt</v>
      </c>
      <c r="Z13">
        <f>IF(AND(ISERROR(MATCH(Y13,'ROS Proj'!$A$2:$A$561,0)),LEFT(X13)&lt;&gt;"D"),Z12+1,Z12)</f>
        <v>0</v>
      </c>
      <c r="AB13" s="143"/>
      <c r="AC13" s="145"/>
      <c r="AE13" t="s">
        <v>4947</v>
      </c>
      <c r="AF13" t="s">
        <v>4979</v>
      </c>
      <c r="AG13" t="str">
        <f t="shared" si="5"/>
        <v>Packers D/ST</v>
      </c>
      <c r="AI13">
        <f t="shared" si="7"/>
        <v>12</v>
      </c>
      <c r="AJ13" t="e">
        <f t="shared" si="6"/>
        <v>#N/A</v>
      </c>
    </row>
    <row r="14" spans="1:36" ht="15.75" thickBot="1" x14ac:dyDescent="0.3">
      <c r="A14" t="str">
        <f t="shared" si="0"/>
        <v>DeAndre Hopkins</v>
      </c>
      <c r="B14" t="str">
        <f t="shared" si="1"/>
        <v>WR5</v>
      </c>
      <c r="D14" s="135" t="s">
        <v>3385</v>
      </c>
      <c r="E14" s="134" t="s">
        <v>47</v>
      </c>
      <c r="F14" s="134" t="s">
        <v>1041</v>
      </c>
      <c r="G14" s="134" t="s">
        <v>1825</v>
      </c>
      <c r="H14" t="str">
        <f t="shared" si="8"/>
        <v>Melvin Gordon</v>
      </c>
      <c r="J14" s="135" t="s">
        <v>3932</v>
      </c>
      <c r="K14" s="134" t="s">
        <v>87</v>
      </c>
      <c r="L14" s="134" t="s">
        <v>1813</v>
      </c>
      <c r="M14" s="134" t="s">
        <v>1830</v>
      </c>
      <c r="N14" t="str">
        <f t="shared" si="9"/>
        <v>Michael Thomas</v>
      </c>
      <c r="P14" t="s">
        <v>92</v>
      </c>
      <c r="Q14">
        <f t="shared" ref="Q14:Q77" si="11">Q13+1</f>
        <v>13</v>
      </c>
      <c r="R14" t="s">
        <v>47</v>
      </c>
      <c r="S14" t="str">
        <f>R14&amp;COUNTIF(R$2:R14,R14)</f>
        <v>RB9</v>
      </c>
      <c r="T14" t="str">
        <f t="shared" si="10"/>
        <v>RB9-13</v>
      </c>
      <c r="W14" t="s">
        <v>120</v>
      </c>
      <c r="X14" t="s">
        <v>1828</v>
      </c>
      <c r="Y14" t="str">
        <f t="shared" si="4"/>
        <v>DeAndre Hopkins</v>
      </c>
      <c r="Z14">
        <f>IF(AND(ISERROR(MATCH(Y14,'ROS Proj'!$A$2:$A$561,0)),LEFT(X14)&lt;&gt;"D"),Z13+1,Z13)</f>
        <v>0</v>
      </c>
      <c r="AB14" s="143"/>
      <c r="AC14" s="145"/>
      <c r="AE14" t="s">
        <v>4948</v>
      </c>
      <c r="AF14" t="s">
        <v>4980</v>
      </c>
      <c r="AG14" t="str">
        <f t="shared" si="5"/>
        <v>Texans D/ST</v>
      </c>
      <c r="AI14">
        <f t="shared" si="7"/>
        <v>13</v>
      </c>
      <c r="AJ14" t="e">
        <f t="shared" si="6"/>
        <v>#N/A</v>
      </c>
    </row>
    <row r="15" spans="1:36" ht="15.75" thickBot="1" x14ac:dyDescent="0.3">
      <c r="A15" t="str">
        <f t="shared" si="0"/>
        <v>David Johnson</v>
      </c>
      <c r="B15" t="str">
        <f t="shared" si="1"/>
        <v>RB9</v>
      </c>
      <c r="D15" s="135" t="s">
        <v>3386</v>
      </c>
      <c r="E15" s="134" t="s">
        <v>47</v>
      </c>
      <c r="F15" s="134" t="s">
        <v>1831</v>
      </c>
      <c r="G15" s="134" t="s">
        <v>1826</v>
      </c>
      <c r="H15" t="str">
        <f t="shared" si="8"/>
        <v>Christian McCaffrey</v>
      </c>
      <c r="J15" s="135" t="s">
        <v>3386</v>
      </c>
      <c r="K15" s="134" t="s">
        <v>47</v>
      </c>
      <c r="L15" s="134" t="s">
        <v>1831</v>
      </c>
      <c r="M15" s="134" t="s">
        <v>1824</v>
      </c>
      <c r="N15" t="str">
        <f t="shared" si="9"/>
        <v>Christian McCaffrey</v>
      </c>
      <c r="P15" t="s">
        <v>127</v>
      </c>
      <c r="Q15">
        <f t="shared" si="11"/>
        <v>14</v>
      </c>
      <c r="R15" t="s">
        <v>47</v>
      </c>
      <c r="S15" t="str">
        <f>R15&amp;COUNTIF(R$2:R15,R15)</f>
        <v>RB10</v>
      </c>
      <c r="T15" t="str">
        <f t="shared" si="10"/>
        <v>RB10-14</v>
      </c>
      <c r="W15" t="s">
        <v>45</v>
      </c>
      <c r="X15" t="s">
        <v>1825</v>
      </c>
      <c r="Y15" t="str">
        <f t="shared" si="4"/>
        <v>David Johnson</v>
      </c>
      <c r="Z15">
        <f>IF(AND(ISERROR(MATCH(Y15,'ROS Proj'!$A$2:$A$561,0)),LEFT(X15)&lt;&gt;"D"),Z14+1,Z14)</f>
        <v>0</v>
      </c>
      <c r="AB15" s="143"/>
      <c r="AC15" s="145"/>
      <c r="AE15" t="s">
        <v>4949</v>
      </c>
      <c r="AF15" t="s">
        <v>4981</v>
      </c>
      <c r="AG15" t="str">
        <f t="shared" si="5"/>
        <v>Colts D/ST</v>
      </c>
      <c r="AI15">
        <f t="shared" si="7"/>
        <v>14</v>
      </c>
      <c r="AJ15" t="e">
        <f t="shared" si="6"/>
        <v>#N/A</v>
      </c>
    </row>
    <row r="16" spans="1:36" ht="15.75" thickBot="1" x14ac:dyDescent="0.3">
      <c r="A16" t="str">
        <f t="shared" si="0"/>
        <v>Le'Veon Bell</v>
      </c>
      <c r="B16" t="str">
        <f t="shared" si="1"/>
        <v>RB10</v>
      </c>
      <c r="D16" s="135" t="s">
        <v>1827</v>
      </c>
      <c r="E16" s="134" t="s">
        <v>87</v>
      </c>
      <c r="F16" s="134" t="s">
        <v>1041</v>
      </c>
      <c r="G16" s="134" t="s">
        <v>1828</v>
      </c>
      <c r="H16" t="str">
        <f t="shared" si="8"/>
        <v>Keenan Allen</v>
      </c>
      <c r="J16" s="135" t="s">
        <v>3933</v>
      </c>
      <c r="K16" s="134" t="s">
        <v>47</v>
      </c>
      <c r="L16" s="134" t="s">
        <v>1821</v>
      </c>
      <c r="M16" s="134" t="s">
        <v>1825</v>
      </c>
      <c r="N16" t="str">
        <f t="shared" si="9"/>
        <v>Kareem Hunt</v>
      </c>
      <c r="P16" t="s">
        <v>81</v>
      </c>
      <c r="Q16">
        <f t="shared" si="11"/>
        <v>15</v>
      </c>
      <c r="R16" t="s">
        <v>47</v>
      </c>
      <c r="S16" t="str">
        <f>R16&amp;COUNTIF(R$2:R16,R16)</f>
        <v>RB11</v>
      </c>
      <c r="T16" t="str">
        <f t="shared" si="10"/>
        <v>RB11-15</v>
      </c>
      <c r="W16" t="s">
        <v>48</v>
      </c>
      <c r="X16" t="s">
        <v>1826</v>
      </c>
      <c r="Y16" t="str">
        <f t="shared" si="4"/>
        <v>Le'Veon Bell</v>
      </c>
      <c r="Z16">
        <f>IF(AND(ISERROR(MATCH(Y16,'ROS Proj'!$A$2:$A$561,0)),LEFT(X16)&lt;&gt;"D"),Z15+1,Z15)</f>
        <v>0</v>
      </c>
      <c r="AB16" s="143"/>
      <c r="AC16" s="145"/>
      <c r="AE16" t="s">
        <v>4950</v>
      </c>
      <c r="AF16" t="s">
        <v>4982</v>
      </c>
      <c r="AG16" t="str">
        <f t="shared" si="5"/>
        <v>Jaguars D/ST</v>
      </c>
      <c r="AI16">
        <f t="shared" si="7"/>
        <v>15</v>
      </c>
      <c r="AJ16" t="e">
        <f t="shared" si="6"/>
        <v>#N/A</v>
      </c>
    </row>
    <row r="17" spans="1:36" ht="15.75" thickBot="1" x14ac:dyDescent="0.3">
      <c r="A17" t="str">
        <f t="shared" si="0"/>
        <v>Drew Brees</v>
      </c>
      <c r="B17" t="str">
        <f t="shared" si="1"/>
        <v>QB1</v>
      </c>
      <c r="D17" s="135" t="s">
        <v>1829</v>
      </c>
      <c r="E17" s="134" t="s">
        <v>87</v>
      </c>
      <c r="F17" s="134" t="s">
        <v>1813</v>
      </c>
      <c r="G17" s="134" t="s">
        <v>1830</v>
      </c>
      <c r="H17" t="str">
        <f t="shared" si="8"/>
        <v>Michael Thomas</v>
      </c>
      <c r="J17" s="135" t="s">
        <v>3934</v>
      </c>
      <c r="K17" s="134" t="s">
        <v>47</v>
      </c>
      <c r="L17" s="134" t="s">
        <v>1823</v>
      </c>
      <c r="M17" s="134" t="s">
        <v>1826</v>
      </c>
      <c r="N17" t="str">
        <f t="shared" si="9"/>
        <v>Leonard Fournette</v>
      </c>
      <c r="P17" t="s">
        <v>120</v>
      </c>
      <c r="Q17">
        <f t="shared" si="11"/>
        <v>16</v>
      </c>
      <c r="R17" t="s">
        <v>87</v>
      </c>
      <c r="S17" t="str">
        <f>R17&amp;COUNTIF(R$2:R17,R17)</f>
        <v>WR4</v>
      </c>
      <c r="T17" t="str">
        <f t="shared" si="10"/>
        <v>WR4-16</v>
      </c>
      <c r="W17" t="s">
        <v>21</v>
      </c>
      <c r="X17" t="s">
        <v>1912</v>
      </c>
      <c r="Y17" t="str">
        <f t="shared" si="4"/>
        <v>Drew Brees</v>
      </c>
      <c r="Z17">
        <f>IF(AND(ISERROR(MATCH(Y17,'ROS Proj'!$A$2:$A$561,0)),LEFT(X17)&lt;&gt;"D"),Z16+1,Z16)</f>
        <v>0</v>
      </c>
      <c r="AB17" s="143"/>
      <c r="AC17" s="145"/>
      <c r="AE17" t="s">
        <v>4951</v>
      </c>
      <c r="AF17" t="s">
        <v>4999</v>
      </c>
      <c r="AG17" t="str">
        <f t="shared" si="5"/>
        <v>Chiefs D/ST</v>
      </c>
      <c r="AI17">
        <f t="shared" si="7"/>
        <v>16</v>
      </c>
      <c r="AJ17" t="e">
        <f t="shared" si="6"/>
        <v>#N/A</v>
      </c>
    </row>
    <row r="18" spans="1:36" ht="15.75" thickBot="1" x14ac:dyDescent="0.3">
      <c r="A18" t="str">
        <f t="shared" si="0"/>
        <v>Aaron Rodgers</v>
      </c>
      <c r="B18" t="str">
        <f t="shared" si="1"/>
        <v>QB2</v>
      </c>
      <c r="D18" s="135" t="s">
        <v>3387</v>
      </c>
      <c r="E18" s="134" t="s">
        <v>47</v>
      </c>
      <c r="F18" s="134" t="s">
        <v>1040</v>
      </c>
      <c r="G18" s="134" t="s">
        <v>1832</v>
      </c>
      <c r="H18" t="str">
        <f t="shared" si="8"/>
        <v>Le'Veon Bell</v>
      </c>
      <c r="J18" s="135" t="s">
        <v>3935</v>
      </c>
      <c r="K18" s="134" t="s">
        <v>47</v>
      </c>
      <c r="L18" s="134" t="s">
        <v>1834</v>
      </c>
      <c r="M18" s="134" t="s">
        <v>1832</v>
      </c>
      <c r="N18" t="str">
        <f t="shared" si="9"/>
        <v>Joe Mixon</v>
      </c>
      <c r="P18" t="s">
        <v>110</v>
      </c>
      <c r="Q18">
        <f t="shared" si="11"/>
        <v>17</v>
      </c>
      <c r="R18" t="s">
        <v>87</v>
      </c>
      <c r="S18" t="str">
        <f>R18&amp;COUNTIF(R$2:R18,R18)</f>
        <v>WR5</v>
      </c>
      <c r="T18" t="str">
        <f t="shared" si="10"/>
        <v>WR5-17</v>
      </c>
      <c r="W18" t="s">
        <v>13</v>
      </c>
      <c r="X18" t="s">
        <v>1914</v>
      </c>
      <c r="Y18" t="str">
        <f t="shared" si="4"/>
        <v>Aaron Rodgers</v>
      </c>
      <c r="Z18">
        <f>IF(AND(ISERROR(MATCH(Y18,'ROS Proj'!$A$2:$A$561,0)),LEFT(X18)&lt;&gt;"D"),Z17+1,Z17)</f>
        <v>0</v>
      </c>
      <c r="AB18" s="143"/>
      <c r="AC18" s="145"/>
      <c r="AE18" t="s">
        <v>4952</v>
      </c>
      <c r="AF18" t="s">
        <v>4983</v>
      </c>
      <c r="AG18" t="str">
        <f t="shared" si="5"/>
        <v>Dolphins D/ST</v>
      </c>
      <c r="AI18">
        <f t="shared" si="7"/>
        <v>17</v>
      </c>
      <c r="AJ18" t="e">
        <f t="shared" si="6"/>
        <v>#N/A</v>
      </c>
    </row>
    <row r="19" spans="1:36" ht="15.75" thickBot="1" x14ac:dyDescent="0.3">
      <c r="A19" t="str">
        <f t="shared" si="0"/>
        <v>Cam Newton</v>
      </c>
      <c r="B19" t="str">
        <f t="shared" si="1"/>
        <v>QB3</v>
      </c>
      <c r="D19" s="135" t="s">
        <v>1833</v>
      </c>
      <c r="E19" s="134" t="s">
        <v>87</v>
      </c>
      <c r="F19" s="134" t="s">
        <v>1834</v>
      </c>
      <c r="G19" s="134" t="s">
        <v>1835</v>
      </c>
      <c r="H19" t="str">
        <f t="shared" si="8"/>
        <v>A.J. Green</v>
      </c>
      <c r="J19" s="135" t="s">
        <v>3936</v>
      </c>
      <c r="K19" s="134" t="s">
        <v>47</v>
      </c>
      <c r="L19" s="134" t="s">
        <v>1042</v>
      </c>
      <c r="M19" s="134" t="s">
        <v>1837</v>
      </c>
      <c r="N19" t="str">
        <f t="shared" si="9"/>
        <v>Jordan Howard</v>
      </c>
      <c r="P19" t="s">
        <v>154</v>
      </c>
      <c r="Q19">
        <f t="shared" si="11"/>
        <v>18</v>
      </c>
      <c r="R19" t="s">
        <v>87</v>
      </c>
      <c r="S19" t="str">
        <f>R19&amp;COUNTIF(R$2:R19,R19)</f>
        <v>WR6</v>
      </c>
      <c r="T19" t="str">
        <f t="shared" si="10"/>
        <v>WR6-18</v>
      </c>
      <c r="W19" t="s">
        <v>39</v>
      </c>
      <c r="X19" t="s">
        <v>1924</v>
      </c>
      <c r="Y19" t="str">
        <f t="shared" si="4"/>
        <v>Cam Newton</v>
      </c>
      <c r="Z19">
        <f>IF(AND(ISERROR(MATCH(Y19,'ROS Proj'!$A$2:$A$561,0)),LEFT(X19)&lt;&gt;"D"),Z18+1,Z18)</f>
        <v>0</v>
      </c>
      <c r="AB19" s="143"/>
      <c r="AC19" s="145"/>
      <c r="AE19" t="s">
        <v>4953</v>
      </c>
      <c r="AF19" t="s">
        <v>4984</v>
      </c>
      <c r="AG19" t="str">
        <f t="shared" si="5"/>
        <v>Vikings D/ST</v>
      </c>
      <c r="AI19">
        <f t="shared" si="7"/>
        <v>18</v>
      </c>
      <c r="AJ19" t="e">
        <f t="shared" si="6"/>
        <v>#N/A</v>
      </c>
    </row>
    <row r="20" spans="1:36" ht="15.75" thickBot="1" x14ac:dyDescent="0.3">
      <c r="A20" t="str">
        <f t="shared" si="0"/>
        <v>Patrick Mahomes</v>
      </c>
      <c r="B20" t="str">
        <f t="shared" si="1"/>
        <v>QB4</v>
      </c>
      <c r="D20" s="135" t="s">
        <v>1836</v>
      </c>
      <c r="E20" s="134" t="s">
        <v>47</v>
      </c>
      <c r="F20" s="134" t="s">
        <v>1052</v>
      </c>
      <c r="G20" s="134" t="s">
        <v>1837</v>
      </c>
      <c r="H20" t="str">
        <f t="shared" si="8"/>
        <v>Devonta Freeman</v>
      </c>
      <c r="J20" s="135" t="s">
        <v>3937</v>
      </c>
      <c r="K20" s="134" t="s">
        <v>87</v>
      </c>
      <c r="L20" s="134" t="s">
        <v>1834</v>
      </c>
      <c r="M20" s="134" t="s">
        <v>1835</v>
      </c>
      <c r="N20" t="str">
        <f t="shared" si="9"/>
        <v>A.J. Green</v>
      </c>
      <c r="P20" t="s">
        <v>104</v>
      </c>
      <c r="Q20">
        <f t="shared" si="11"/>
        <v>19</v>
      </c>
      <c r="R20" t="s">
        <v>87</v>
      </c>
      <c r="S20" t="str">
        <f>R20&amp;COUNTIF(R$2:R20,R20)</f>
        <v>WR7</v>
      </c>
      <c r="T20" t="str">
        <f t="shared" si="10"/>
        <v>WR7-19</v>
      </c>
      <c r="W20" t="s">
        <v>302</v>
      </c>
      <c r="X20" t="s">
        <v>1926</v>
      </c>
      <c r="Y20" t="str">
        <f t="shared" si="4"/>
        <v>Patrick Mahomes</v>
      </c>
      <c r="Z20">
        <f>IF(AND(ISERROR(MATCH(Y20,'ROS Proj'!$A$2:$A$561,0)),LEFT(X20)&lt;&gt;"D"),Z19+1,Z19)</f>
        <v>0</v>
      </c>
      <c r="AB20" s="143"/>
      <c r="AC20" s="145"/>
      <c r="AE20" t="s">
        <v>4954</v>
      </c>
      <c r="AF20" t="s">
        <v>4985</v>
      </c>
      <c r="AG20" t="str">
        <f t="shared" si="5"/>
        <v>Patriots D/ST</v>
      </c>
      <c r="AI20">
        <f t="shared" si="7"/>
        <v>19</v>
      </c>
      <c r="AJ20" t="e">
        <f t="shared" si="6"/>
        <v>#N/A</v>
      </c>
    </row>
    <row r="21" spans="1:36" ht="15.75" thickBot="1" x14ac:dyDescent="0.3">
      <c r="A21" t="str">
        <f t="shared" si="0"/>
        <v>Davante Adams</v>
      </c>
      <c r="B21" t="str">
        <f t="shared" si="1"/>
        <v>WR6</v>
      </c>
      <c r="D21" s="135" t="s">
        <v>1838</v>
      </c>
      <c r="E21" s="134" t="s">
        <v>114</v>
      </c>
      <c r="F21" s="134" t="s">
        <v>1839</v>
      </c>
      <c r="G21" s="134" t="s">
        <v>1840</v>
      </c>
      <c r="H21" t="str">
        <f t="shared" si="8"/>
        <v>Rob Gronkowski</v>
      </c>
      <c r="J21" s="135" t="s">
        <v>1838</v>
      </c>
      <c r="K21" s="134" t="s">
        <v>114</v>
      </c>
      <c r="L21" s="134" t="s">
        <v>1839</v>
      </c>
      <c r="M21" s="134" t="s">
        <v>1840</v>
      </c>
      <c r="N21" t="str">
        <f t="shared" si="9"/>
        <v>Rob Gronkowski</v>
      </c>
      <c r="P21" t="s">
        <v>90</v>
      </c>
      <c r="Q21">
        <f t="shared" si="11"/>
        <v>20</v>
      </c>
      <c r="R21" t="s">
        <v>47</v>
      </c>
      <c r="S21" t="str">
        <f>R21&amp;COUNTIF(R$2:R21,R21)</f>
        <v>RB12</v>
      </c>
      <c r="T21" t="str">
        <f t="shared" si="10"/>
        <v>RB12-20</v>
      </c>
      <c r="W21" t="s">
        <v>135</v>
      </c>
      <c r="X21" t="s">
        <v>1830</v>
      </c>
      <c r="Y21" t="str">
        <f t="shared" si="4"/>
        <v>Davante Adams</v>
      </c>
      <c r="Z21">
        <f>IF(AND(ISERROR(MATCH(Y21,'ROS Proj'!$A$2:$A$561,0)),LEFT(X21)&lt;&gt;"D"),Z20+1,Z20)</f>
        <v>0</v>
      </c>
      <c r="AB21" s="143"/>
      <c r="AC21" s="145"/>
      <c r="AE21" t="s">
        <v>4955</v>
      </c>
      <c r="AF21" t="s">
        <v>4986</v>
      </c>
      <c r="AG21" t="str">
        <f t="shared" si="5"/>
        <v>Saints D/ST</v>
      </c>
      <c r="AI21">
        <f t="shared" si="7"/>
        <v>20</v>
      </c>
      <c r="AJ21" t="e">
        <f t="shared" si="6"/>
        <v>#N/A</v>
      </c>
    </row>
    <row r="22" spans="1:36" ht="15.75" thickBot="1" x14ac:dyDescent="0.3">
      <c r="A22" t="str">
        <f t="shared" si="0"/>
        <v>Keenan Allen</v>
      </c>
      <c r="B22" t="str">
        <f t="shared" si="1"/>
        <v>WR7</v>
      </c>
      <c r="D22" s="135" t="s">
        <v>1841</v>
      </c>
      <c r="E22" s="134" t="s">
        <v>87</v>
      </c>
      <c r="F22" s="134" t="s">
        <v>1842</v>
      </c>
      <c r="G22" s="134" t="s">
        <v>1843</v>
      </c>
      <c r="H22" t="str">
        <f t="shared" si="8"/>
        <v>Davante Adams</v>
      </c>
      <c r="J22" s="135" t="s">
        <v>1841</v>
      </c>
      <c r="K22" s="134" t="s">
        <v>87</v>
      </c>
      <c r="L22" s="134" t="s">
        <v>1842</v>
      </c>
      <c r="M22" s="134" t="s">
        <v>1843</v>
      </c>
      <c r="N22" t="str">
        <f t="shared" si="9"/>
        <v>Davante Adams</v>
      </c>
      <c r="P22" t="s">
        <v>107</v>
      </c>
      <c r="Q22">
        <f t="shared" si="11"/>
        <v>21</v>
      </c>
      <c r="R22" t="s">
        <v>87</v>
      </c>
      <c r="S22" t="str">
        <f>R22&amp;COUNTIF(R$2:R22,R22)</f>
        <v>WR8</v>
      </c>
      <c r="T22" t="str">
        <f t="shared" si="10"/>
        <v>WR8-21</v>
      </c>
      <c r="W22" t="s">
        <v>154</v>
      </c>
      <c r="X22" t="s">
        <v>1835</v>
      </c>
      <c r="Y22" t="str">
        <f t="shared" si="4"/>
        <v>Keenan Allen</v>
      </c>
      <c r="Z22">
        <f>IF(AND(ISERROR(MATCH(Y22,'ROS Proj'!$A$2:$A$561,0)),LEFT(X22)&lt;&gt;"D"),Z21+1,Z21)</f>
        <v>0</v>
      </c>
      <c r="AB22" s="147"/>
      <c r="AC22" s="153"/>
      <c r="AE22" t="s">
        <v>4956</v>
      </c>
      <c r="AF22" t="s">
        <v>4987</v>
      </c>
      <c r="AG22" t="str">
        <f t="shared" si="5"/>
        <v>Giants D/ST</v>
      </c>
      <c r="AI22">
        <f t="shared" si="7"/>
        <v>21</v>
      </c>
      <c r="AJ22" t="e">
        <f t="shared" si="6"/>
        <v>#N/A</v>
      </c>
    </row>
    <row r="23" spans="1:36" ht="15.75" thickBot="1" x14ac:dyDescent="0.3">
      <c r="A23" t="str">
        <f t="shared" si="0"/>
        <v>Travis Kelce</v>
      </c>
      <c r="B23" t="str">
        <f t="shared" si="1"/>
        <v>TE1</v>
      </c>
      <c r="D23" s="135" t="s">
        <v>1844</v>
      </c>
      <c r="E23" s="134" t="s">
        <v>87</v>
      </c>
      <c r="F23" s="134" t="s">
        <v>1845</v>
      </c>
      <c r="G23" s="134" t="s">
        <v>1846</v>
      </c>
      <c r="H23" t="str">
        <f t="shared" si="8"/>
        <v>Mike Evans</v>
      </c>
      <c r="J23" s="135" t="s">
        <v>3938</v>
      </c>
      <c r="K23" s="134" t="s">
        <v>87</v>
      </c>
      <c r="L23" s="134" t="s">
        <v>1821</v>
      </c>
      <c r="M23" s="134" t="s">
        <v>1846</v>
      </c>
      <c r="N23" t="str">
        <f t="shared" si="9"/>
        <v>Tyreek Hill</v>
      </c>
      <c r="P23" t="s">
        <v>112</v>
      </c>
      <c r="Q23">
        <f t="shared" si="11"/>
        <v>22</v>
      </c>
      <c r="R23" t="s">
        <v>47</v>
      </c>
      <c r="S23" t="str">
        <f>R23&amp;COUNTIF(R$2:R23,R23)</f>
        <v>RB13</v>
      </c>
      <c r="T23" t="str">
        <f t="shared" si="10"/>
        <v>RB13-22</v>
      </c>
      <c r="W23" t="s">
        <v>151</v>
      </c>
      <c r="X23" t="s">
        <v>1840</v>
      </c>
      <c r="Y23" t="str">
        <f t="shared" si="4"/>
        <v>Travis Kelce</v>
      </c>
      <c r="Z23">
        <f>IF(AND(ISERROR(MATCH(Y23,'ROS Proj'!$A$2:$A$561,0)),LEFT(X23)&lt;&gt;"D"),Z22+1,Z22)</f>
        <v>0</v>
      </c>
      <c r="AE23" t="s">
        <v>4957</v>
      </c>
      <c r="AF23" t="s">
        <v>4987</v>
      </c>
      <c r="AG23" t="str">
        <f t="shared" si="5"/>
        <v>Jets D/ST</v>
      </c>
      <c r="AI23">
        <f t="shared" si="7"/>
        <v>22</v>
      </c>
      <c r="AJ23" t="e">
        <f t="shared" si="6"/>
        <v>#N/A</v>
      </c>
    </row>
    <row r="24" spans="1:36" ht="15.75" thickBot="1" x14ac:dyDescent="0.3">
      <c r="A24" t="str">
        <f t="shared" si="0"/>
        <v>Tom Brady</v>
      </c>
      <c r="B24" t="str">
        <f t="shared" si="1"/>
        <v>QB5</v>
      </c>
      <c r="D24" s="135" t="s">
        <v>1847</v>
      </c>
      <c r="E24" s="134" t="s">
        <v>47</v>
      </c>
      <c r="F24" s="134" t="s">
        <v>1050</v>
      </c>
      <c r="G24" s="134" t="s">
        <v>1848</v>
      </c>
      <c r="H24" t="str">
        <f t="shared" si="8"/>
        <v>LeSean McCoy</v>
      </c>
      <c r="J24" s="135" t="s">
        <v>3939</v>
      </c>
      <c r="K24" s="134" t="s">
        <v>114</v>
      </c>
      <c r="L24" s="134" t="s">
        <v>1821</v>
      </c>
      <c r="M24" s="134" t="s">
        <v>1860</v>
      </c>
      <c r="N24" t="str">
        <f t="shared" si="9"/>
        <v>Travis Kelce</v>
      </c>
      <c r="P24" t="s">
        <v>97</v>
      </c>
      <c r="Q24">
        <f t="shared" si="11"/>
        <v>23</v>
      </c>
      <c r="R24" t="s">
        <v>47</v>
      </c>
      <c r="S24" t="str">
        <f>R24&amp;COUNTIF(R$2:R24,R24)</f>
        <v>RB14</v>
      </c>
      <c r="T24" t="str">
        <f t="shared" si="10"/>
        <v>RB14-23</v>
      </c>
      <c r="W24" t="s">
        <v>18</v>
      </c>
      <c r="X24" t="s">
        <v>1928</v>
      </c>
      <c r="Y24" t="str">
        <f t="shared" si="4"/>
        <v>Tom Brady</v>
      </c>
      <c r="Z24">
        <f>IF(AND(ISERROR(MATCH(Y24,'ROS Proj'!$A$2:$A$561,0)),LEFT(X24)&lt;&gt;"D"),Z23+1,Z23)</f>
        <v>0</v>
      </c>
      <c r="AE24" t="s">
        <v>4958</v>
      </c>
      <c r="AF24" t="s">
        <v>4988</v>
      </c>
      <c r="AG24" t="str">
        <f t="shared" si="5"/>
        <v>Raiders D/ST</v>
      </c>
      <c r="AI24">
        <f t="shared" si="7"/>
        <v>23</v>
      </c>
      <c r="AJ24" t="e">
        <f t="shared" si="6"/>
        <v>#N/A</v>
      </c>
    </row>
    <row r="25" spans="1:36" ht="15.75" thickBot="1" x14ac:dyDescent="0.3">
      <c r="A25" t="str">
        <f t="shared" si="0"/>
        <v>Tyreek Hill</v>
      </c>
      <c r="B25" t="str">
        <f t="shared" si="1"/>
        <v>WR8</v>
      </c>
      <c r="D25" s="135" t="s">
        <v>1849</v>
      </c>
      <c r="E25" s="134" t="s">
        <v>87</v>
      </c>
      <c r="F25" s="134" t="s">
        <v>815</v>
      </c>
      <c r="G25" s="134" t="s">
        <v>1850</v>
      </c>
      <c r="H25" t="str">
        <f t="shared" si="8"/>
        <v>T.Y. Hilton</v>
      </c>
      <c r="J25" s="135" t="s">
        <v>3940</v>
      </c>
      <c r="K25" s="134" t="s">
        <v>47</v>
      </c>
      <c r="L25" s="134" t="s">
        <v>1052</v>
      </c>
      <c r="M25" s="134" t="s">
        <v>1848</v>
      </c>
      <c r="N25" t="str">
        <f t="shared" si="9"/>
        <v>Devonta Freeman</v>
      </c>
      <c r="P25" t="s">
        <v>258</v>
      </c>
      <c r="Q25">
        <f t="shared" si="11"/>
        <v>24</v>
      </c>
      <c r="R25" t="s">
        <v>47</v>
      </c>
      <c r="S25" t="str">
        <f>R25&amp;COUNTIF(R$2:R25,R25)</f>
        <v>RB15</v>
      </c>
      <c r="T25" t="str">
        <f t="shared" si="10"/>
        <v>RB15-24</v>
      </c>
      <c r="W25" t="s">
        <v>124</v>
      </c>
      <c r="X25" t="s">
        <v>1843</v>
      </c>
      <c r="Y25" t="str">
        <f t="shared" si="4"/>
        <v>Tyreek Hill</v>
      </c>
      <c r="Z25">
        <f>IF(AND(ISERROR(MATCH(Y25,'ROS Proj'!$A$2:$A$561,0)),LEFT(X25)&lt;&gt;"D"),Z24+1,Z24)</f>
        <v>0</v>
      </c>
      <c r="AE25" t="s">
        <v>4959</v>
      </c>
      <c r="AF25" t="s">
        <v>4989</v>
      </c>
      <c r="AG25" t="str">
        <f t="shared" si="5"/>
        <v>Eagles D/ST</v>
      </c>
      <c r="AI25">
        <f t="shared" si="7"/>
        <v>24</v>
      </c>
      <c r="AJ25" t="e">
        <f t="shared" si="6"/>
        <v>#N/A</v>
      </c>
    </row>
    <row r="26" spans="1:36" ht="15.75" thickBot="1" x14ac:dyDescent="0.3">
      <c r="A26" t="str">
        <f t="shared" si="0"/>
        <v>Russell Wilson</v>
      </c>
      <c r="B26" t="str">
        <f t="shared" si="1"/>
        <v>QB6</v>
      </c>
      <c r="D26" s="135" t="s">
        <v>1851</v>
      </c>
      <c r="E26" s="134" t="s">
        <v>87</v>
      </c>
      <c r="F26" s="134" t="s">
        <v>1048</v>
      </c>
      <c r="G26" s="134" t="s">
        <v>1852</v>
      </c>
      <c r="H26" t="str">
        <f t="shared" si="8"/>
        <v>Adam Thielen</v>
      </c>
      <c r="J26" s="135" t="s">
        <v>3941</v>
      </c>
      <c r="K26" s="134" t="s">
        <v>47</v>
      </c>
      <c r="L26" s="134" t="s">
        <v>1050</v>
      </c>
      <c r="M26" s="134" t="s">
        <v>1876</v>
      </c>
      <c r="N26" t="str">
        <f t="shared" si="9"/>
        <v>LeSean McCoy</v>
      </c>
      <c r="P26" t="s">
        <v>100</v>
      </c>
      <c r="Q26">
        <f t="shared" si="11"/>
        <v>25</v>
      </c>
      <c r="R26" t="s">
        <v>87</v>
      </c>
      <c r="S26" t="str">
        <f>R26&amp;COUNTIF(R$2:R26,R26)</f>
        <v>WR9</v>
      </c>
      <c r="T26" t="str">
        <f t="shared" si="10"/>
        <v>WR9-25</v>
      </c>
      <c r="W26" t="s">
        <v>53</v>
      </c>
      <c r="X26" t="s">
        <v>1930</v>
      </c>
      <c r="Y26" t="str">
        <f t="shared" si="4"/>
        <v>Russell Wilson</v>
      </c>
      <c r="Z26">
        <f>IF(AND(ISERROR(MATCH(Y26,'ROS Proj'!$A$2:$A$561,0)),LEFT(X26)&lt;&gt;"D"),Z25+1,Z25)</f>
        <v>0</v>
      </c>
      <c r="AE26" t="s">
        <v>4960</v>
      </c>
      <c r="AF26" t="s">
        <v>4990</v>
      </c>
      <c r="AG26" t="str">
        <f t="shared" si="5"/>
        <v>Steelers D/ST</v>
      </c>
      <c r="AI26">
        <f t="shared" si="7"/>
        <v>25</v>
      </c>
      <c r="AJ26" t="e">
        <f t="shared" si="6"/>
        <v>#N/A</v>
      </c>
    </row>
    <row r="27" spans="1:36" ht="15.75" thickBot="1" x14ac:dyDescent="0.3">
      <c r="A27" t="str">
        <f t="shared" si="0"/>
        <v>A.J. Green</v>
      </c>
      <c r="B27" t="str">
        <f t="shared" si="1"/>
        <v>WR9</v>
      </c>
      <c r="D27" s="135" t="s">
        <v>1853</v>
      </c>
      <c r="E27" s="134" t="s">
        <v>87</v>
      </c>
      <c r="F27" s="134" t="s">
        <v>1048</v>
      </c>
      <c r="G27" s="134" t="s">
        <v>1854</v>
      </c>
      <c r="H27" t="str">
        <f t="shared" si="8"/>
        <v>Stefon Diggs</v>
      </c>
      <c r="J27" s="135" t="s">
        <v>3942</v>
      </c>
      <c r="K27" s="134" t="s">
        <v>87</v>
      </c>
      <c r="L27" s="134" t="s">
        <v>1845</v>
      </c>
      <c r="M27" s="134" t="s">
        <v>1850</v>
      </c>
      <c r="N27" t="str">
        <f t="shared" si="9"/>
        <v>Mike Evans</v>
      </c>
      <c r="P27" t="s">
        <v>123</v>
      </c>
      <c r="Q27">
        <f t="shared" si="11"/>
        <v>26</v>
      </c>
      <c r="R27" t="s">
        <v>47</v>
      </c>
      <c r="S27" t="str">
        <f>R27&amp;COUNTIF(R$2:R27,R27)</f>
        <v>RB16</v>
      </c>
      <c r="T27" t="str">
        <f t="shared" si="10"/>
        <v>RB16-26</v>
      </c>
      <c r="W27" t="s">
        <v>104</v>
      </c>
      <c r="X27" t="s">
        <v>1846</v>
      </c>
      <c r="Y27" t="str">
        <f t="shared" si="4"/>
        <v>A.J. Green</v>
      </c>
      <c r="Z27">
        <f>IF(AND(ISERROR(MATCH(Y27,'ROS Proj'!$A$2:$A$561,0)),LEFT(X27)&lt;&gt;"D"),Z26+1,Z26)</f>
        <v>0</v>
      </c>
      <c r="AE27" t="s">
        <v>4966</v>
      </c>
      <c r="AF27" t="s">
        <v>4991</v>
      </c>
      <c r="AG27" t="str">
        <f t="shared" si="5"/>
        <v>Rams D/ST</v>
      </c>
      <c r="AI27">
        <f t="shared" si="7"/>
        <v>26</v>
      </c>
      <c r="AJ27" t="e">
        <f t="shared" si="6"/>
        <v>#N/A</v>
      </c>
    </row>
    <row r="28" spans="1:36" ht="15.75" thickBot="1" x14ac:dyDescent="0.3">
      <c r="A28" t="str">
        <f t="shared" si="0"/>
        <v>Mike Evans</v>
      </c>
      <c r="B28" t="str">
        <f t="shared" si="1"/>
        <v>WR10</v>
      </c>
      <c r="D28" s="135" t="s">
        <v>1855</v>
      </c>
      <c r="E28" s="134" t="s">
        <v>87</v>
      </c>
      <c r="F28" s="134" t="s">
        <v>1821</v>
      </c>
      <c r="G28" s="134" t="s">
        <v>1856</v>
      </c>
      <c r="H28" t="str">
        <f t="shared" si="8"/>
        <v>Tyreek Hill</v>
      </c>
      <c r="J28" s="135" t="s">
        <v>3943</v>
      </c>
      <c r="K28" s="134" t="s">
        <v>47</v>
      </c>
      <c r="L28" s="134" t="s">
        <v>1053</v>
      </c>
      <c r="M28" s="134" t="s">
        <v>1878</v>
      </c>
      <c r="N28" t="str">
        <f t="shared" si="9"/>
        <v>Kenyan Drake</v>
      </c>
      <c r="P28" t="s">
        <v>135</v>
      </c>
      <c r="Q28">
        <f t="shared" si="11"/>
        <v>27</v>
      </c>
      <c r="R28" t="s">
        <v>87</v>
      </c>
      <c r="S28" t="str">
        <f>R28&amp;COUNTIF(R$2:R28,R28)</f>
        <v>WR10</v>
      </c>
      <c r="T28" t="str">
        <f t="shared" si="10"/>
        <v>WR10-27</v>
      </c>
      <c r="W28" t="s">
        <v>100</v>
      </c>
      <c r="X28" t="s">
        <v>1850</v>
      </c>
      <c r="Y28" t="str">
        <f t="shared" si="4"/>
        <v>Mike Evans</v>
      </c>
      <c r="Z28">
        <f>IF(AND(ISERROR(MATCH(Y28,'ROS Proj'!$A$2:$A$561,0)),LEFT(X28)&lt;&gt;"D"),Z27+1,Z27)</f>
        <v>0</v>
      </c>
      <c r="AE28" t="s">
        <v>4967</v>
      </c>
      <c r="AF28" t="s">
        <v>4991</v>
      </c>
      <c r="AG28" t="str">
        <f t="shared" si="5"/>
        <v>Chargers D/ST</v>
      </c>
      <c r="AI28">
        <f t="shared" si="7"/>
        <v>27</v>
      </c>
      <c r="AJ28" t="e">
        <f t="shared" si="6"/>
        <v>#N/A</v>
      </c>
    </row>
    <row r="29" spans="1:36" ht="15.75" thickBot="1" x14ac:dyDescent="0.3">
      <c r="A29" t="str">
        <f t="shared" si="0"/>
        <v>Mark Ingram II</v>
      </c>
      <c r="B29" t="str">
        <f t="shared" si="1"/>
        <v>RB11</v>
      </c>
      <c r="D29" s="135" t="s">
        <v>1857</v>
      </c>
      <c r="E29" s="134" t="s">
        <v>87</v>
      </c>
      <c r="F29" s="134" t="s">
        <v>1806</v>
      </c>
      <c r="G29" s="134" t="s">
        <v>1858</v>
      </c>
      <c r="H29" t="str">
        <f t="shared" si="8"/>
        <v>Larry Fitzgerald</v>
      </c>
      <c r="J29" s="135" t="s">
        <v>1857</v>
      </c>
      <c r="K29" s="134" t="s">
        <v>87</v>
      </c>
      <c r="L29" s="134" t="s">
        <v>1806</v>
      </c>
      <c r="M29" s="134" t="s">
        <v>1852</v>
      </c>
      <c r="N29" t="str">
        <f t="shared" si="9"/>
        <v>Larry Fitzgerald</v>
      </c>
      <c r="P29" t="s">
        <v>124</v>
      </c>
      <c r="Q29">
        <f t="shared" si="11"/>
        <v>28</v>
      </c>
      <c r="R29" t="s">
        <v>87</v>
      </c>
      <c r="S29" t="str">
        <f>R29&amp;COUNTIF(R$2:R29,R29)</f>
        <v>WR11</v>
      </c>
      <c r="T29" t="str">
        <f t="shared" si="10"/>
        <v>WR11-28</v>
      </c>
      <c r="W29" t="s">
        <v>138</v>
      </c>
      <c r="X29" t="s">
        <v>1832</v>
      </c>
      <c r="Y29" t="str">
        <f t="shared" si="4"/>
        <v>Mark Ingram II</v>
      </c>
      <c r="Z29">
        <f>IF(AND(ISERROR(MATCH(Y29,'ROS Proj'!$A$2:$A$561,0)),LEFT(X29)&lt;&gt;"D"),Z28+1,Z28)</f>
        <v>0</v>
      </c>
      <c r="AE29" t="s">
        <v>4961</v>
      </c>
      <c r="AF29" t="s">
        <v>4992</v>
      </c>
      <c r="AG29" t="str">
        <f t="shared" si="5"/>
        <v>49ers D/ST</v>
      </c>
      <c r="AI29">
        <f t="shared" si="7"/>
        <v>28</v>
      </c>
      <c r="AJ29" t="e">
        <f t="shared" si="6"/>
        <v>#N/A</v>
      </c>
    </row>
    <row r="30" spans="1:36" ht="15.75" thickBot="1" x14ac:dyDescent="0.3">
      <c r="A30" t="str">
        <f t="shared" si="0"/>
        <v>Deshaun Watson</v>
      </c>
      <c r="B30" t="str">
        <f t="shared" si="1"/>
        <v>QB7</v>
      </c>
      <c r="D30" s="135" t="s">
        <v>1859</v>
      </c>
      <c r="E30" s="134" t="s">
        <v>114</v>
      </c>
      <c r="F30" s="134" t="s">
        <v>1821</v>
      </c>
      <c r="G30" s="134" t="s">
        <v>1860</v>
      </c>
      <c r="H30" t="str">
        <f t="shared" si="8"/>
        <v>Travis Kelce</v>
      </c>
      <c r="J30" s="135" t="s">
        <v>3944</v>
      </c>
      <c r="K30" s="134" t="s">
        <v>87</v>
      </c>
      <c r="L30" s="134" t="s">
        <v>815</v>
      </c>
      <c r="M30" s="134" t="s">
        <v>1854</v>
      </c>
      <c r="N30" t="str">
        <f t="shared" si="9"/>
        <v>T.Y. Hilton</v>
      </c>
      <c r="P30" t="s">
        <v>201</v>
      </c>
      <c r="Q30">
        <f t="shared" si="11"/>
        <v>29</v>
      </c>
      <c r="R30" t="s">
        <v>47</v>
      </c>
      <c r="S30" t="str">
        <f>R30&amp;COUNTIF(R$2:R30,R30)</f>
        <v>RB17</v>
      </c>
      <c r="T30" t="str">
        <f t="shared" si="10"/>
        <v>RB17-29</v>
      </c>
      <c r="W30" t="s">
        <v>179</v>
      </c>
      <c r="X30" t="s">
        <v>1996</v>
      </c>
      <c r="Y30" t="str">
        <f t="shared" si="4"/>
        <v>Deshaun Watson</v>
      </c>
      <c r="Z30">
        <f>IF(AND(ISERROR(MATCH(Y30,'ROS Proj'!$A$2:$A$561,0)),LEFT(X30)&lt;&gt;"D"),Z29+1,Z29)</f>
        <v>0</v>
      </c>
      <c r="AE30" t="s">
        <v>4962</v>
      </c>
      <c r="AF30" t="s">
        <v>4993</v>
      </c>
      <c r="AG30" t="str">
        <f t="shared" si="5"/>
        <v>Seahawks D/ST</v>
      </c>
      <c r="AI30">
        <f t="shared" si="7"/>
        <v>29</v>
      </c>
      <c r="AJ30" t="e">
        <f t="shared" si="6"/>
        <v>#N/A</v>
      </c>
    </row>
    <row r="31" spans="1:36" ht="15.75" thickBot="1" x14ac:dyDescent="0.3">
      <c r="A31" t="str">
        <f t="shared" si="0"/>
        <v>Stefon Diggs</v>
      </c>
      <c r="B31" t="str">
        <f t="shared" si="1"/>
        <v>WR11</v>
      </c>
      <c r="D31" s="135" t="s">
        <v>1861</v>
      </c>
      <c r="E31" s="134" t="s">
        <v>114</v>
      </c>
      <c r="F31" s="134" t="s">
        <v>1862</v>
      </c>
      <c r="G31" s="134" t="s">
        <v>1863</v>
      </c>
      <c r="H31" t="str">
        <f t="shared" si="8"/>
        <v>Zach Ertz</v>
      </c>
      <c r="J31" s="135" t="s">
        <v>3945</v>
      </c>
      <c r="K31" s="134" t="s">
        <v>87</v>
      </c>
      <c r="L31" s="134" t="s">
        <v>1048</v>
      </c>
      <c r="M31" s="134" t="s">
        <v>1856</v>
      </c>
      <c r="N31" t="str">
        <f t="shared" si="9"/>
        <v>Adam Thielen</v>
      </c>
      <c r="P31" t="s">
        <v>290</v>
      </c>
      <c r="Q31">
        <f t="shared" si="11"/>
        <v>30</v>
      </c>
      <c r="R31" t="s">
        <v>47</v>
      </c>
      <c r="S31" t="str">
        <f>R31&amp;COUNTIF(R$2:R31,R31)</f>
        <v>RB18</v>
      </c>
      <c r="T31" t="str">
        <f t="shared" si="10"/>
        <v>RB18-30</v>
      </c>
      <c r="W31" t="s">
        <v>133</v>
      </c>
      <c r="X31" t="s">
        <v>1852</v>
      </c>
      <c r="Y31" t="str">
        <f t="shared" si="4"/>
        <v>Stefon Diggs</v>
      </c>
      <c r="Z31">
        <f>IF(AND(ISERROR(MATCH(Y31,'ROS Proj'!$A$2:$A$561,0)),LEFT(X31)&lt;&gt;"D"),Z30+1,Z30)</f>
        <v>0</v>
      </c>
      <c r="AE31" t="s">
        <v>4963</v>
      </c>
      <c r="AF31" t="s">
        <v>4994</v>
      </c>
      <c r="AG31" t="str">
        <f t="shared" si="5"/>
        <v>Buccaneers D/ST</v>
      </c>
      <c r="AI31">
        <f t="shared" si="7"/>
        <v>30</v>
      </c>
      <c r="AJ31" t="e">
        <f t="shared" si="6"/>
        <v>#N/A</v>
      </c>
    </row>
    <row r="32" spans="1:36" ht="15.75" thickBot="1" x14ac:dyDescent="0.3">
      <c r="A32" t="str">
        <f t="shared" si="0"/>
        <v>Jordan Howard</v>
      </c>
      <c r="B32" t="str">
        <f t="shared" si="1"/>
        <v>RB12</v>
      </c>
      <c r="D32" s="135" t="s">
        <v>1864</v>
      </c>
      <c r="E32" s="134" t="s">
        <v>87</v>
      </c>
      <c r="F32" s="134" t="s">
        <v>1865</v>
      </c>
      <c r="G32" s="134" t="s">
        <v>1866</v>
      </c>
      <c r="H32" t="str">
        <f t="shared" si="8"/>
        <v>Doug Baldwin</v>
      </c>
      <c r="J32" s="135" t="s">
        <v>3946</v>
      </c>
      <c r="K32" s="134" t="s">
        <v>47</v>
      </c>
      <c r="L32" s="134" t="s">
        <v>1890</v>
      </c>
      <c r="M32" s="134" t="s">
        <v>1880</v>
      </c>
      <c r="N32" t="str">
        <f t="shared" si="9"/>
        <v>Alex Collins</v>
      </c>
      <c r="P32" t="s">
        <v>18</v>
      </c>
      <c r="Q32">
        <f t="shared" si="11"/>
        <v>31</v>
      </c>
      <c r="R32" t="s">
        <v>15</v>
      </c>
      <c r="S32" t="str">
        <f>R32&amp;COUNTIF(R$2:R32,R32)</f>
        <v>QB1</v>
      </c>
      <c r="T32" t="str">
        <f t="shared" si="10"/>
        <v>QB1-31</v>
      </c>
      <c r="W32" t="s">
        <v>97</v>
      </c>
      <c r="X32" t="s">
        <v>1837</v>
      </c>
      <c r="Y32" t="str">
        <f t="shared" si="4"/>
        <v>Jordan Howard</v>
      </c>
      <c r="Z32">
        <f>IF(AND(ISERROR(MATCH(Y32,'ROS Proj'!$A$2:$A$561,0)),LEFT(X32)&lt;&gt;"D"),Z31+1,Z31)</f>
        <v>0</v>
      </c>
      <c r="AE32" t="s">
        <v>4964</v>
      </c>
      <c r="AF32" t="s">
        <v>4995</v>
      </c>
      <c r="AG32" t="str">
        <f t="shared" si="5"/>
        <v>Titans D/ST</v>
      </c>
      <c r="AI32">
        <f t="shared" si="7"/>
        <v>31</v>
      </c>
      <c r="AJ32" t="e">
        <f t="shared" si="6"/>
        <v>#N/A</v>
      </c>
    </row>
    <row r="33" spans="1:36" ht="15.75" thickBot="1" x14ac:dyDescent="0.3">
      <c r="A33" t="str">
        <f t="shared" si="0"/>
        <v>JuJu Smith-Schuster</v>
      </c>
      <c r="B33" t="str">
        <f t="shared" si="1"/>
        <v>WR12</v>
      </c>
      <c r="D33" s="135" t="s">
        <v>1867</v>
      </c>
      <c r="E33" s="134" t="s">
        <v>87</v>
      </c>
      <c r="F33" s="134" t="s">
        <v>1042</v>
      </c>
      <c r="G33" s="134" t="s">
        <v>1868</v>
      </c>
      <c r="H33" t="str">
        <f t="shared" si="8"/>
        <v>Allen Robinson</v>
      </c>
      <c r="J33" s="135" t="s">
        <v>3947</v>
      </c>
      <c r="K33" s="134" t="s">
        <v>114</v>
      </c>
      <c r="L33" s="134" t="s">
        <v>1862</v>
      </c>
      <c r="M33" s="134" t="s">
        <v>1863</v>
      </c>
      <c r="N33" t="str">
        <f t="shared" si="9"/>
        <v>Zach Ertz</v>
      </c>
      <c r="P33" t="s">
        <v>191</v>
      </c>
      <c r="Q33">
        <f t="shared" si="11"/>
        <v>32</v>
      </c>
      <c r="R33" t="s">
        <v>87</v>
      </c>
      <c r="S33" t="str">
        <f>R33&amp;COUNTIF(R$2:R33,R33)</f>
        <v>WR12</v>
      </c>
      <c r="T33" t="str">
        <f t="shared" si="10"/>
        <v>WR12-32</v>
      </c>
      <c r="W33" t="s">
        <v>1105</v>
      </c>
      <c r="X33" t="s">
        <v>1854</v>
      </c>
      <c r="Y33" t="str">
        <f t="shared" si="4"/>
        <v>JuJu Smith-Schuster</v>
      </c>
      <c r="Z33">
        <f>IF(AND(ISERROR(MATCH(Y33,'ROS Proj'!$A$2:$A$561,0)),LEFT(X33)&lt;&gt;"D"),Z32+1,Z32)</f>
        <v>0</v>
      </c>
      <c r="AE33" t="s">
        <v>4965</v>
      </c>
      <c r="AF33" t="s">
        <v>4996</v>
      </c>
      <c r="AG33" t="str">
        <f t="shared" si="5"/>
        <v>Redskins D/ST</v>
      </c>
      <c r="AI33">
        <f t="shared" si="7"/>
        <v>32</v>
      </c>
      <c r="AJ33" t="e">
        <f t="shared" si="6"/>
        <v>#N/A</v>
      </c>
    </row>
    <row r="34" spans="1:36" ht="15.75" thickBot="1" x14ac:dyDescent="0.3">
      <c r="A34" t="str">
        <f t="shared" si="0"/>
        <v>Rob Gronkowski</v>
      </c>
      <c r="B34" t="str">
        <f t="shared" si="1"/>
        <v>TE2</v>
      </c>
      <c r="D34" s="135" t="s">
        <v>1869</v>
      </c>
      <c r="E34" s="134" t="s">
        <v>87</v>
      </c>
      <c r="F34" s="134" t="s">
        <v>1870</v>
      </c>
      <c r="G34" s="134" t="s">
        <v>1871</v>
      </c>
      <c r="H34" t="str">
        <f t="shared" si="8"/>
        <v>Amari Cooper</v>
      </c>
      <c r="J34" s="135" t="s">
        <v>3948</v>
      </c>
      <c r="K34" s="134" t="s">
        <v>87</v>
      </c>
      <c r="L34" s="134" t="s">
        <v>1048</v>
      </c>
      <c r="M34" s="134" t="s">
        <v>1858</v>
      </c>
      <c r="N34" t="str">
        <f t="shared" si="9"/>
        <v>Stefon Diggs</v>
      </c>
      <c r="P34" t="s">
        <v>89</v>
      </c>
      <c r="Q34">
        <f t="shared" si="11"/>
        <v>33</v>
      </c>
      <c r="R34" t="s">
        <v>47</v>
      </c>
      <c r="S34" t="str">
        <f>R34&amp;COUNTIF(R$2:R34,R34)</f>
        <v>RB19</v>
      </c>
      <c r="T34" t="str">
        <f t="shared" si="10"/>
        <v>RB19-33</v>
      </c>
      <c r="W34" t="s">
        <v>113</v>
      </c>
      <c r="X34" t="s">
        <v>1860</v>
      </c>
      <c r="Y34" t="str">
        <f t="shared" si="4"/>
        <v>Rob Gronkowski</v>
      </c>
      <c r="Z34">
        <f>IF(AND(ISERROR(MATCH(Y34,'ROS Proj'!$A$2:$A$561,0)),LEFT(X34)&lt;&gt;"D"),Z33+1,Z33)</f>
        <v>0</v>
      </c>
      <c r="AI34">
        <f t="shared" si="7"/>
        <v>33</v>
      </c>
      <c r="AJ34" t="e">
        <f t="shared" si="6"/>
        <v>#N/A</v>
      </c>
    </row>
    <row r="35" spans="1:36" ht="15.75" thickBot="1" x14ac:dyDescent="0.3">
      <c r="A35" t="str">
        <f t="shared" si="0"/>
        <v>Adam Thielen</v>
      </c>
      <c r="B35" t="str">
        <f t="shared" si="1"/>
        <v>WR13</v>
      </c>
      <c r="D35" s="135" t="s">
        <v>3388</v>
      </c>
      <c r="E35" s="134" t="s">
        <v>87</v>
      </c>
      <c r="F35" s="134" t="s">
        <v>1054</v>
      </c>
      <c r="G35" s="134" t="s">
        <v>1873</v>
      </c>
      <c r="H35" t="str">
        <f t="shared" si="8"/>
        <v>Demaryius Thomas</v>
      </c>
      <c r="J35" s="135" t="s">
        <v>3388</v>
      </c>
      <c r="K35" s="134" t="s">
        <v>87</v>
      </c>
      <c r="L35" s="134" t="s">
        <v>1054</v>
      </c>
      <c r="M35" s="134" t="s">
        <v>1866</v>
      </c>
      <c r="N35" t="str">
        <f t="shared" si="9"/>
        <v>Demaryius Thomas</v>
      </c>
      <c r="P35" t="s">
        <v>177</v>
      </c>
      <c r="Q35">
        <f t="shared" si="11"/>
        <v>34</v>
      </c>
      <c r="R35" t="s">
        <v>114</v>
      </c>
      <c r="S35" t="str">
        <f>R35&amp;COUNTIF(R$2:R35,R35)</f>
        <v>TE2</v>
      </c>
      <c r="T35" t="str">
        <f t="shared" si="10"/>
        <v>TE2-34</v>
      </c>
      <c r="W35" t="s">
        <v>191</v>
      </c>
      <c r="X35" t="s">
        <v>1856</v>
      </c>
      <c r="Y35" t="str">
        <f t="shared" si="4"/>
        <v>Adam Thielen</v>
      </c>
      <c r="Z35">
        <f>IF(AND(ISERROR(MATCH(Y35,'ROS Proj'!$A$2:$A$561,0)),LEFT(X35)&lt;&gt;"D"),Z34+1,Z34)</f>
        <v>0</v>
      </c>
      <c r="AI35">
        <f t="shared" si="7"/>
        <v>34</v>
      </c>
      <c r="AJ35" t="e">
        <f t="shared" si="6"/>
        <v>#N/A</v>
      </c>
    </row>
    <row r="36" spans="1:36" ht="15.75" thickBot="1" x14ac:dyDescent="0.3">
      <c r="A36" t="str">
        <f t="shared" si="0"/>
        <v>Kirk Cousins</v>
      </c>
      <c r="B36" t="str">
        <f t="shared" si="1"/>
        <v>QB8</v>
      </c>
      <c r="D36" s="135" t="s">
        <v>3389</v>
      </c>
      <c r="E36" s="134" t="s">
        <v>87</v>
      </c>
      <c r="F36" s="134" t="s">
        <v>1872</v>
      </c>
      <c r="G36" s="134" t="s">
        <v>1874</v>
      </c>
      <c r="H36" t="str">
        <f t="shared" si="8"/>
        <v>Josh Gordon</v>
      </c>
      <c r="J36" s="135" t="s">
        <v>3949</v>
      </c>
      <c r="K36" s="134" t="s">
        <v>87</v>
      </c>
      <c r="L36" s="134" t="s">
        <v>1054</v>
      </c>
      <c r="M36" s="134" t="s">
        <v>1868</v>
      </c>
      <c r="N36" t="str">
        <f t="shared" si="9"/>
        <v>Emmanuel Sanders</v>
      </c>
      <c r="P36" t="s">
        <v>151</v>
      </c>
      <c r="Q36">
        <f t="shared" si="11"/>
        <v>35</v>
      </c>
      <c r="R36" t="s">
        <v>114</v>
      </c>
      <c r="S36" t="str">
        <f>R36&amp;COUNTIF(R$2:R36,R36)</f>
        <v>TE3</v>
      </c>
      <c r="T36" t="str">
        <f t="shared" si="10"/>
        <v>TE3-35</v>
      </c>
      <c r="W36" t="s">
        <v>43</v>
      </c>
      <c r="X36" t="s">
        <v>1998</v>
      </c>
      <c r="Y36" t="str">
        <f t="shared" si="4"/>
        <v>Kirk Cousins</v>
      </c>
      <c r="Z36">
        <f>IF(AND(ISERROR(MATCH(Y36,'ROS Proj'!$A$2:$A$561,0)),LEFT(X36)&lt;&gt;"D"),Z35+1,Z35)</f>
        <v>0</v>
      </c>
      <c r="AI36">
        <f t="shared" si="7"/>
        <v>35</v>
      </c>
      <c r="AJ36" t="e">
        <f t="shared" si="6"/>
        <v>#N/A</v>
      </c>
    </row>
    <row r="37" spans="1:36" ht="15.75" thickBot="1" x14ac:dyDescent="0.3">
      <c r="A37" t="str">
        <f t="shared" si="0"/>
        <v>Matt Ryan</v>
      </c>
      <c r="B37" t="str">
        <f t="shared" si="1"/>
        <v>QB9</v>
      </c>
      <c r="D37" s="135" t="s">
        <v>1875</v>
      </c>
      <c r="E37" s="134" t="s">
        <v>47</v>
      </c>
      <c r="F37" s="134" t="s">
        <v>1042</v>
      </c>
      <c r="G37" s="134" t="s">
        <v>1876</v>
      </c>
      <c r="H37" t="str">
        <f t="shared" si="8"/>
        <v>Jordan Howard</v>
      </c>
      <c r="J37" s="135" t="s">
        <v>3950</v>
      </c>
      <c r="K37" s="134" t="s">
        <v>87</v>
      </c>
      <c r="L37" s="134" t="s">
        <v>1042</v>
      </c>
      <c r="M37" s="134" t="s">
        <v>1871</v>
      </c>
      <c r="N37" t="str">
        <f t="shared" si="9"/>
        <v>Allen Robinson</v>
      </c>
      <c r="P37" t="s">
        <v>133</v>
      </c>
      <c r="Q37">
        <f t="shared" si="11"/>
        <v>36</v>
      </c>
      <c r="R37" t="s">
        <v>87</v>
      </c>
      <c r="S37" t="str">
        <f>R37&amp;COUNTIF(R$2:R37,R37)</f>
        <v>WR13</v>
      </c>
      <c r="T37" t="str">
        <f t="shared" si="10"/>
        <v>WR13-36</v>
      </c>
      <c r="W37" t="s">
        <v>26</v>
      </c>
      <c r="X37" t="s">
        <v>2000</v>
      </c>
      <c r="Y37" t="str">
        <f t="shared" si="4"/>
        <v>Matt Ryan</v>
      </c>
      <c r="Z37">
        <f>IF(AND(ISERROR(MATCH(Y37,'ROS Proj'!$A$2:$A$561,0)),LEFT(X37)&lt;&gt;"D"),Z36+1,Z36)</f>
        <v>0</v>
      </c>
      <c r="AI37">
        <f t="shared" si="7"/>
        <v>36</v>
      </c>
      <c r="AJ37" t="e">
        <f t="shared" si="6"/>
        <v>#N/A</v>
      </c>
    </row>
    <row r="38" spans="1:36" ht="15.75" thickBot="1" x14ac:dyDescent="0.3">
      <c r="A38" t="str">
        <f t="shared" si="0"/>
        <v>Brandin Cooks</v>
      </c>
      <c r="B38" t="str">
        <f t="shared" si="1"/>
        <v>WR14</v>
      </c>
      <c r="D38" s="135" t="s">
        <v>1877</v>
      </c>
      <c r="E38" s="134" t="s">
        <v>47</v>
      </c>
      <c r="F38" s="134" t="s">
        <v>1834</v>
      </c>
      <c r="G38" s="134" t="s">
        <v>1878</v>
      </c>
      <c r="H38" t="str">
        <f t="shared" si="8"/>
        <v>Joe Mixon</v>
      </c>
      <c r="J38" s="135" t="s">
        <v>3951</v>
      </c>
      <c r="K38" s="134" t="s">
        <v>87</v>
      </c>
      <c r="L38" s="134" t="s">
        <v>1870</v>
      </c>
      <c r="M38" s="134" t="s">
        <v>1873</v>
      </c>
      <c r="N38" t="str">
        <f t="shared" si="9"/>
        <v>Amari Cooper</v>
      </c>
      <c r="P38" t="s">
        <v>134</v>
      </c>
      <c r="Q38">
        <f t="shared" si="11"/>
        <v>37</v>
      </c>
      <c r="R38" t="s">
        <v>87</v>
      </c>
      <c r="S38" t="str">
        <f>R38&amp;COUNTIF(R$2:R38,R38)</f>
        <v>WR14</v>
      </c>
      <c r="T38" t="str">
        <f t="shared" si="10"/>
        <v>WR14-37</v>
      </c>
      <c r="W38" t="s">
        <v>108</v>
      </c>
      <c r="X38" t="s">
        <v>1858</v>
      </c>
      <c r="Y38" t="str">
        <f t="shared" si="4"/>
        <v>Brandin Cooks</v>
      </c>
      <c r="Z38">
        <f>IF(AND(ISERROR(MATCH(Y38,'ROS Proj'!$A$2:$A$561,0)),LEFT(X38)&lt;&gt;"D"),Z37+1,Z37)</f>
        <v>0</v>
      </c>
      <c r="AI38">
        <f t="shared" si="7"/>
        <v>37</v>
      </c>
      <c r="AJ38" t="e">
        <f t="shared" si="6"/>
        <v>#N/A</v>
      </c>
    </row>
    <row r="39" spans="1:36" ht="15.75" thickBot="1" x14ac:dyDescent="0.3">
      <c r="A39" t="str">
        <f t="shared" si="0"/>
        <v>Leonard Fournette</v>
      </c>
      <c r="B39" t="str">
        <f t="shared" si="1"/>
        <v>RB13</v>
      </c>
      <c r="D39" s="135" t="s">
        <v>1879</v>
      </c>
      <c r="E39" s="134" t="s">
        <v>47</v>
      </c>
      <c r="F39" s="134" t="s">
        <v>1053</v>
      </c>
      <c r="G39" s="134" t="s">
        <v>1880</v>
      </c>
      <c r="H39" t="str">
        <f t="shared" si="8"/>
        <v>Kenyan Drake</v>
      </c>
      <c r="J39" s="135" t="s">
        <v>3952</v>
      </c>
      <c r="K39" s="134" t="s">
        <v>87</v>
      </c>
      <c r="L39" s="134" t="s">
        <v>1872</v>
      </c>
      <c r="M39" s="134" t="s">
        <v>1874</v>
      </c>
      <c r="N39" t="str">
        <f t="shared" si="9"/>
        <v>Jarvis Landry</v>
      </c>
      <c r="P39" t="s">
        <v>105</v>
      </c>
      <c r="Q39">
        <f t="shared" si="11"/>
        <v>38</v>
      </c>
      <c r="R39" t="s">
        <v>87</v>
      </c>
      <c r="S39" t="str">
        <f>R39&amp;COUNTIF(R$2:R39,R39)</f>
        <v>WR15</v>
      </c>
      <c r="T39" t="str">
        <f t="shared" si="10"/>
        <v>WR15-38</v>
      </c>
      <c r="W39" t="s">
        <v>111</v>
      </c>
      <c r="X39" t="s">
        <v>1848</v>
      </c>
      <c r="Y39" t="str">
        <f t="shared" si="4"/>
        <v>Leonard Fournette</v>
      </c>
      <c r="Z39">
        <f>IF(AND(ISERROR(MATCH(Y39,'ROS Proj'!$A$2:$A$561,0)),LEFT(X39)&lt;&gt;"D"),Z38+1,Z38)</f>
        <v>0</v>
      </c>
      <c r="AI39">
        <f t="shared" si="7"/>
        <v>38</v>
      </c>
      <c r="AJ39" t="e">
        <f t="shared" si="6"/>
        <v>#N/A</v>
      </c>
    </row>
    <row r="40" spans="1:36" ht="15.75" thickBot="1" x14ac:dyDescent="0.3">
      <c r="A40" t="str">
        <f t="shared" si="0"/>
        <v>Doug Baldwin</v>
      </c>
      <c r="B40" t="str">
        <f t="shared" si="1"/>
        <v>WR15</v>
      </c>
      <c r="D40" s="135" t="s">
        <v>3390</v>
      </c>
      <c r="E40" s="134" t="s">
        <v>87</v>
      </c>
      <c r="F40" s="134" t="s">
        <v>1882</v>
      </c>
      <c r="G40" s="134" t="s">
        <v>1881</v>
      </c>
      <c r="H40" t="str">
        <f t="shared" si="8"/>
        <v>Marvin Jones Jr.</v>
      </c>
      <c r="J40" s="135" t="s">
        <v>3953</v>
      </c>
      <c r="K40" s="134" t="s">
        <v>87</v>
      </c>
      <c r="L40" s="134" t="s">
        <v>1882</v>
      </c>
      <c r="M40" s="134" t="s">
        <v>1881</v>
      </c>
      <c r="N40" t="str">
        <f t="shared" si="9"/>
        <v>Golden Tate</v>
      </c>
      <c r="P40" t="s">
        <v>122</v>
      </c>
      <c r="Q40">
        <f t="shared" si="11"/>
        <v>39</v>
      </c>
      <c r="R40" t="s">
        <v>87</v>
      </c>
      <c r="S40" t="str">
        <f>R40&amp;COUNTIF(R$2:R40,R40)</f>
        <v>WR16</v>
      </c>
      <c r="T40" t="str">
        <f t="shared" si="10"/>
        <v>WR16-39</v>
      </c>
      <c r="W40" t="s">
        <v>105</v>
      </c>
      <c r="X40" t="s">
        <v>1866</v>
      </c>
      <c r="Y40" t="str">
        <f t="shared" si="4"/>
        <v>Doug Baldwin</v>
      </c>
      <c r="Z40">
        <f>IF(AND(ISERROR(MATCH(Y40,'ROS Proj'!$A$2:$A$561,0)),LEFT(X40)&lt;&gt;"D"),Z39+1,Z39)</f>
        <v>0</v>
      </c>
      <c r="AI40">
        <f t="shared" si="7"/>
        <v>39</v>
      </c>
      <c r="AJ40" t="e">
        <f t="shared" si="6"/>
        <v>#N/A</v>
      </c>
    </row>
    <row r="41" spans="1:36" ht="15.75" thickBot="1" x14ac:dyDescent="0.3">
      <c r="A41" t="str">
        <f t="shared" si="0"/>
        <v>Zach Ertz</v>
      </c>
      <c r="B41" t="str">
        <f t="shared" si="1"/>
        <v>TE3</v>
      </c>
      <c r="D41" s="135" t="s">
        <v>3391</v>
      </c>
      <c r="E41" s="134" t="s">
        <v>87</v>
      </c>
      <c r="F41" s="134" t="s">
        <v>1038</v>
      </c>
      <c r="G41" s="134" t="s">
        <v>1883</v>
      </c>
      <c r="H41" t="str">
        <f t="shared" si="8"/>
        <v>Brandin Cooks</v>
      </c>
      <c r="J41" s="135" t="s">
        <v>3954</v>
      </c>
      <c r="K41" s="134" t="s">
        <v>87</v>
      </c>
      <c r="L41" s="134" t="s">
        <v>1882</v>
      </c>
      <c r="M41" s="134" t="s">
        <v>1883</v>
      </c>
      <c r="N41" t="str">
        <f t="shared" si="9"/>
        <v>Marvin Jones Jr.</v>
      </c>
      <c r="P41" t="s">
        <v>103</v>
      </c>
      <c r="Q41">
        <f t="shared" si="11"/>
        <v>40</v>
      </c>
      <c r="R41" t="s">
        <v>87</v>
      </c>
      <c r="S41" t="str">
        <f>R41&amp;COUNTIF(R$2:R41,R41)</f>
        <v>WR17</v>
      </c>
      <c r="T41" t="str">
        <f t="shared" si="10"/>
        <v>WR17-40</v>
      </c>
      <c r="W41" t="s">
        <v>177</v>
      </c>
      <c r="X41" t="s">
        <v>1863</v>
      </c>
      <c r="Y41" t="str">
        <f t="shared" si="4"/>
        <v>Zach Ertz</v>
      </c>
      <c r="Z41">
        <f>IF(AND(ISERROR(MATCH(Y41,'ROS Proj'!$A$2:$A$561,0)),LEFT(X41)&lt;&gt;"D"),Z40+1,Z40)</f>
        <v>0</v>
      </c>
      <c r="AI41">
        <f t="shared" si="7"/>
        <v>40</v>
      </c>
      <c r="AJ41" t="e">
        <f t="shared" si="6"/>
        <v>#N/A</v>
      </c>
    </row>
    <row r="42" spans="1:36" ht="15.75" thickBot="1" x14ac:dyDescent="0.3">
      <c r="A42" t="str">
        <f t="shared" si="0"/>
        <v>Jared Goff</v>
      </c>
      <c r="B42" t="str">
        <f t="shared" si="1"/>
        <v>QB10</v>
      </c>
      <c r="D42" s="135" t="s">
        <v>3392</v>
      </c>
      <c r="E42" s="134" t="s">
        <v>87</v>
      </c>
      <c r="F42" s="134" t="s">
        <v>1839</v>
      </c>
      <c r="G42" s="134" t="s">
        <v>1884</v>
      </c>
      <c r="H42" t="str">
        <f t="shared" si="8"/>
        <v>Chris Hogan</v>
      </c>
      <c r="J42" s="135" t="s">
        <v>3955</v>
      </c>
      <c r="K42" s="134" t="s">
        <v>87</v>
      </c>
      <c r="L42" s="134" t="s">
        <v>1038</v>
      </c>
      <c r="M42" s="134" t="s">
        <v>1884</v>
      </c>
      <c r="N42" t="str">
        <f t="shared" si="9"/>
        <v>Brandin Cooks</v>
      </c>
      <c r="P42" t="s">
        <v>1346</v>
      </c>
      <c r="Q42">
        <f t="shared" si="11"/>
        <v>41</v>
      </c>
      <c r="R42" t="s">
        <v>47</v>
      </c>
      <c r="S42" t="str">
        <f>R42&amp;COUNTIF(R$2:R42,R42)</f>
        <v>RB20</v>
      </c>
      <c r="T42" t="str">
        <f t="shared" si="10"/>
        <v>RB20-41</v>
      </c>
      <c r="W42" t="s">
        <v>83</v>
      </c>
      <c r="X42" t="s">
        <v>2010</v>
      </c>
      <c r="Y42" t="str">
        <f t="shared" si="4"/>
        <v>Jared Goff</v>
      </c>
      <c r="Z42">
        <f>IF(AND(ISERROR(MATCH(Y42,'ROS Proj'!$A$2:$A$561,0)),LEFT(X42)&lt;&gt;"D"),Z41+1,Z41)</f>
        <v>0</v>
      </c>
      <c r="AI42">
        <f t="shared" si="7"/>
        <v>41</v>
      </c>
      <c r="AJ42" t="e">
        <f t="shared" si="6"/>
        <v>#N/A</v>
      </c>
    </row>
    <row r="43" spans="1:36" ht="15.75" thickBot="1" x14ac:dyDescent="0.3">
      <c r="A43" t="str">
        <f t="shared" si="0"/>
        <v>Dalvin Cook</v>
      </c>
      <c r="B43" t="str">
        <f t="shared" si="1"/>
        <v>RB14</v>
      </c>
      <c r="D43" s="135" t="s">
        <v>3393</v>
      </c>
      <c r="E43" s="134" t="s">
        <v>87</v>
      </c>
      <c r="F43" s="134" t="s">
        <v>1872</v>
      </c>
      <c r="G43" s="134" t="s">
        <v>1885</v>
      </c>
      <c r="H43" t="str">
        <f t="shared" si="8"/>
        <v>Jarvis Landry</v>
      </c>
      <c r="J43" s="135" t="s">
        <v>3956</v>
      </c>
      <c r="K43" s="134" t="s">
        <v>47</v>
      </c>
      <c r="L43" s="134" t="s">
        <v>1887</v>
      </c>
      <c r="M43" s="134" t="s">
        <v>1886</v>
      </c>
      <c r="N43" t="str">
        <f t="shared" si="9"/>
        <v>Dion Lewis</v>
      </c>
      <c r="P43" t="s">
        <v>136</v>
      </c>
      <c r="Q43">
        <f t="shared" si="11"/>
        <v>42</v>
      </c>
      <c r="R43" t="s">
        <v>87</v>
      </c>
      <c r="S43" t="str">
        <f>R43&amp;COUNTIF(R$2:R43,R43)</f>
        <v>WR18</v>
      </c>
      <c r="T43" t="str">
        <f t="shared" si="10"/>
        <v>WR18-42</v>
      </c>
      <c r="W43" t="s">
        <v>127</v>
      </c>
      <c r="X43" t="s">
        <v>1876</v>
      </c>
      <c r="Y43" t="str">
        <f t="shared" si="4"/>
        <v>Dalvin Cook</v>
      </c>
      <c r="Z43">
        <f>IF(AND(ISERROR(MATCH(Y43,'ROS Proj'!$A$2:$A$561,0)),LEFT(X43)&lt;&gt;"D"),Z42+1,Z42)</f>
        <v>0</v>
      </c>
      <c r="AI43">
        <f t="shared" si="7"/>
        <v>42</v>
      </c>
      <c r="AJ43" t="e">
        <f t="shared" si="6"/>
        <v>#N/A</v>
      </c>
    </row>
    <row r="44" spans="1:36" ht="15.75" thickBot="1" x14ac:dyDescent="0.3">
      <c r="A44" t="str">
        <f t="shared" si="0"/>
        <v>Ben Roethlisberger</v>
      </c>
      <c r="B44" t="str">
        <f t="shared" si="1"/>
        <v>QB11</v>
      </c>
      <c r="D44" s="135" t="s">
        <v>3394</v>
      </c>
      <c r="E44" s="134" t="s">
        <v>47</v>
      </c>
      <c r="F44" s="134" t="s">
        <v>1887</v>
      </c>
      <c r="G44" s="134" t="s">
        <v>1886</v>
      </c>
      <c r="H44" t="str">
        <f t="shared" si="8"/>
        <v>Derrick Henry</v>
      </c>
      <c r="J44" s="135" t="s">
        <v>3957</v>
      </c>
      <c r="K44" s="134" t="s">
        <v>87</v>
      </c>
      <c r="L44" s="134" t="s">
        <v>1040</v>
      </c>
      <c r="M44" s="134" t="s">
        <v>1885</v>
      </c>
      <c r="N44" t="str">
        <f t="shared" si="9"/>
        <v>JuJu Smith-Schuster</v>
      </c>
      <c r="P44" t="s">
        <v>1158</v>
      </c>
      <c r="Q44">
        <f t="shared" si="11"/>
        <v>43</v>
      </c>
      <c r="R44" t="s">
        <v>87</v>
      </c>
      <c r="S44" t="str">
        <f>R44&amp;COUNTIF(R$2:R44,R44)</f>
        <v>WR19</v>
      </c>
      <c r="T44" t="str">
        <f t="shared" si="10"/>
        <v>WR19-43</v>
      </c>
      <c r="W44" t="s">
        <v>65</v>
      </c>
      <c r="X44" t="s">
        <v>2012</v>
      </c>
      <c r="Y44" t="str">
        <f t="shared" si="4"/>
        <v>Ben Roethlisberger</v>
      </c>
      <c r="Z44">
        <f>IF(AND(ISERROR(MATCH(Y44,'ROS Proj'!$A$2:$A$561,0)),LEFT(X44)&lt;&gt;"D"),Z43+1,Z43)</f>
        <v>0</v>
      </c>
      <c r="AI44">
        <f t="shared" si="7"/>
        <v>43</v>
      </c>
      <c r="AJ44" t="e">
        <f t="shared" si="6"/>
        <v>#N/A</v>
      </c>
    </row>
    <row r="45" spans="1:36" ht="15.75" thickBot="1" x14ac:dyDescent="0.3">
      <c r="A45" t="str">
        <f t="shared" si="0"/>
        <v>Philip Rivers</v>
      </c>
      <c r="B45" t="str">
        <f t="shared" si="1"/>
        <v>QB12</v>
      </c>
      <c r="D45" s="135" t="s">
        <v>3395</v>
      </c>
      <c r="E45" s="134" t="s">
        <v>47</v>
      </c>
      <c r="F45" s="134" t="s">
        <v>1054</v>
      </c>
      <c r="G45" s="134" t="s">
        <v>1888</v>
      </c>
      <c r="H45" t="str">
        <f t="shared" si="8"/>
        <v>Royce Freeman</v>
      </c>
      <c r="J45" s="135" t="s">
        <v>3958</v>
      </c>
      <c r="K45" s="134" t="s">
        <v>87</v>
      </c>
      <c r="L45" s="134" t="s">
        <v>1872</v>
      </c>
      <c r="M45" s="134" t="s">
        <v>1902</v>
      </c>
      <c r="N45" t="str">
        <f t="shared" si="9"/>
        <v>Josh Gordon</v>
      </c>
      <c r="P45" t="s">
        <v>13</v>
      </c>
      <c r="Q45">
        <f t="shared" si="11"/>
        <v>44</v>
      </c>
      <c r="R45" t="s">
        <v>15</v>
      </c>
      <c r="S45" t="str">
        <f>R45&amp;COUNTIF(R$2:R45,R45)</f>
        <v>QB2</v>
      </c>
      <c r="T45" t="str">
        <f t="shared" si="10"/>
        <v>QB2-44</v>
      </c>
      <c r="W45" t="s">
        <v>67</v>
      </c>
      <c r="X45" t="s">
        <v>2021</v>
      </c>
      <c r="Y45" t="str">
        <f t="shared" si="4"/>
        <v>Philip Rivers</v>
      </c>
      <c r="Z45">
        <f>IF(AND(ISERROR(MATCH(Y45,'ROS Proj'!$A$2:$A$561,0)),LEFT(X45)&lt;&gt;"D"),Z44+1,Z44)</f>
        <v>0</v>
      </c>
      <c r="AI45">
        <f t="shared" si="7"/>
        <v>44</v>
      </c>
      <c r="AJ45" t="e">
        <f t="shared" si="6"/>
        <v>#N/A</v>
      </c>
    </row>
    <row r="46" spans="1:36" ht="15.75" thickBot="1" x14ac:dyDescent="0.3">
      <c r="A46" t="str">
        <f t="shared" si="0"/>
        <v>Jarvis Landry</v>
      </c>
      <c r="B46" t="str">
        <f t="shared" si="1"/>
        <v>WR16</v>
      </c>
      <c r="D46" s="135" t="s">
        <v>1889</v>
      </c>
      <c r="E46" s="134" t="s">
        <v>47</v>
      </c>
      <c r="F46" s="134" t="s">
        <v>1890</v>
      </c>
      <c r="G46" s="134" t="s">
        <v>1891</v>
      </c>
      <c r="H46" t="str">
        <f t="shared" si="8"/>
        <v>Alex Collins</v>
      </c>
      <c r="J46" s="135" t="s">
        <v>3959</v>
      </c>
      <c r="K46" s="134" t="s">
        <v>47</v>
      </c>
      <c r="L46" s="134" t="s">
        <v>1862</v>
      </c>
      <c r="M46" s="134" t="s">
        <v>1888</v>
      </c>
      <c r="N46" t="str">
        <f t="shared" si="9"/>
        <v>Jay Ajayi</v>
      </c>
      <c r="P46" t="s">
        <v>99</v>
      </c>
      <c r="Q46">
        <f t="shared" si="11"/>
        <v>45</v>
      </c>
      <c r="R46" t="s">
        <v>47</v>
      </c>
      <c r="S46" t="str">
        <f>R46&amp;COUNTIF(R$2:R46,R46)</f>
        <v>RB21</v>
      </c>
      <c r="T46" t="str">
        <f t="shared" si="10"/>
        <v>RB21-45</v>
      </c>
      <c r="W46" t="s">
        <v>134</v>
      </c>
      <c r="X46" t="s">
        <v>1868</v>
      </c>
      <c r="Y46" t="str">
        <f t="shared" si="4"/>
        <v>Jarvis Landry</v>
      </c>
      <c r="Z46">
        <f>IF(AND(ISERROR(MATCH(Y46,'ROS Proj'!$A$2:$A$561,0)),LEFT(X46)&lt;&gt;"D"),Z45+1,Z45)</f>
        <v>0</v>
      </c>
      <c r="AI46">
        <f t="shared" si="7"/>
        <v>45</v>
      </c>
      <c r="AJ46" t="e">
        <f t="shared" si="6"/>
        <v>#N/A</v>
      </c>
    </row>
    <row r="47" spans="1:36" ht="15.75" thickBot="1" x14ac:dyDescent="0.3">
      <c r="A47" t="str">
        <f t="shared" si="0"/>
        <v>Carlos Hyde</v>
      </c>
      <c r="B47" t="str">
        <f t="shared" si="1"/>
        <v>RB15</v>
      </c>
      <c r="D47" s="135" t="s">
        <v>1892</v>
      </c>
      <c r="E47" s="134" t="s">
        <v>47</v>
      </c>
      <c r="F47" s="134" t="s">
        <v>1862</v>
      </c>
      <c r="G47" s="134" t="s">
        <v>1893</v>
      </c>
      <c r="H47" t="str">
        <f t="shared" si="8"/>
        <v>Jay Ajayi</v>
      </c>
      <c r="J47" s="135" t="s">
        <v>3960</v>
      </c>
      <c r="K47" s="134" t="s">
        <v>47</v>
      </c>
      <c r="L47" s="134" t="s">
        <v>1043</v>
      </c>
      <c r="M47" s="134" t="s">
        <v>1891</v>
      </c>
      <c r="N47" t="str">
        <f t="shared" si="9"/>
        <v>Lamar Miller</v>
      </c>
      <c r="P47" t="s">
        <v>1105</v>
      </c>
      <c r="Q47">
        <f t="shared" si="11"/>
        <v>46</v>
      </c>
      <c r="R47" t="s">
        <v>87</v>
      </c>
      <c r="S47" t="str">
        <f>R47&amp;COUNTIF(R$2:R47,R47)</f>
        <v>WR20</v>
      </c>
      <c r="T47" t="str">
        <f t="shared" si="10"/>
        <v>WR20-46</v>
      </c>
      <c r="W47" t="s">
        <v>130</v>
      </c>
      <c r="X47" t="s">
        <v>1878</v>
      </c>
      <c r="Y47" t="str">
        <f t="shared" si="4"/>
        <v>Carlos Hyde</v>
      </c>
      <c r="Z47">
        <f>IF(AND(ISERROR(MATCH(Y47,'ROS Proj'!$A$2:$A$561,0)),LEFT(X47)&lt;&gt;"D"),Z46+1,Z46)</f>
        <v>0</v>
      </c>
      <c r="AI47">
        <f t="shared" si="7"/>
        <v>46</v>
      </c>
      <c r="AJ47" t="e">
        <f t="shared" si="6"/>
        <v>#N/A</v>
      </c>
    </row>
    <row r="48" spans="1:36" ht="15.75" thickBot="1" x14ac:dyDescent="0.3">
      <c r="A48" t="str">
        <f t="shared" si="0"/>
        <v>T.Y. Hilton</v>
      </c>
      <c r="B48" t="str">
        <f t="shared" si="1"/>
        <v>WR17</v>
      </c>
      <c r="D48" s="135" t="s">
        <v>1894</v>
      </c>
      <c r="E48" s="134" t="s">
        <v>47</v>
      </c>
      <c r="F48" s="134" t="s">
        <v>1870</v>
      </c>
      <c r="G48" s="134" t="s">
        <v>1895</v>
      </c>
      <c r="H48" t="str">
        <f t="shared" si="8"/>
        <v>Marshawn Lynch</v>
      </c>
      <c r="J48" s="135" t="s">
        <v>3961</v>
      </c>
      <c r="K48" s="134" t="s">
        <v>47</v>
      </c>
      <c r="L48" s="134" t="s">
        <v>1054</v>
      </c>
      <c r="M48" s="134" t="s">
        <v>1893</v>
      </c>
      <c r="N48" t="str">
        <f t="shared" si="9"/>
        <v>Royce Freeman</v>
      </c>
      <c r="P48" t="s">
        <v>159</v>
      </c>
      <c r="Q48">
        <f t="shared" si="11"/>
        <v>47</v>
      </c>
      <c r="R48" t="s">
        <v>87</v>
      </c>
      <c r="S48" t="str">
        <f>R48&amp;COUNTIF(R$2:R48,R48)</f>
        <v>WR21</v>
      </c>
      <c r="T48" t="str">
        <f t="shared" si="10"/>
        <v>WR21-47</v>
      </c>
      <c r="W48" t="s">
        <v>107</v>
      </c>
      <c r="X48" t="s">
        <v>1871</v>
      </c>
      <c r="Y48" t="str">
        <f t="shared" si="4"/>
        <v>T.Y. Hilton</v>
      </c>
      <c r="Z48">
        <f>IF(AND(ISERROR(MATCH(Y48,'ROS Proj'!$A$2:$A$561,0)),LEFT(X48)&lt;&gt;"D"),Z47+1,Z47)</f>
        <v>0</v>
      </c>
      <c r="AI48">
        <f t="shared" si="7"/>
        <v>47</v>
      </c>
      <c r="AJ48" t="e">
        <f t="shared" si="6"/>
        <v>#N/A</v>
      </c>
    </row>
    <row r="49" spans="1:36" ht="15.75" thickBot="1" x14ac:dyDescent="0.3">
      <c r="A49" t="str">
        <f t="shared" si="0"/>
        <v>Marshawn Lynch</v>
      </c>
      <c r="B49" t="str">
        <f t="shared" si="1"/>
        <v>RB16</v>
      </c>
      <c r="D49" s="135" t="s">
        <v>1896</v>
      </c>
      <c r="E49" s="134" t="s">
        <v>47</v>
      </c>
      <c r="F49" s="134" t="s">
        <v>1043</v>
      </c>
      <c r="G49" s="134" t="s">
        <v>1897</v>
      </c>
      <c r="H49" t="str">
        <f t="shared" si="8"/>
        <v>Lamar Miller</v>
      </c>
      <c r="J49" s="135" t="s">
        <v>3962</v>
      </c>
      <c r="K49" s="134" t="s">
        <v>47</v>
      </c>
      <c r="L49" s="134" t="s">
        <v>1870</v>
      </c>
      <c r="M49" s="134" t="s">
        <v>1895</v>
      </c>
      <c r="N49" t="str">
        <f t="shared" si="9"/>
        <v>Marshawn Lynch</v>
      </c>
      <c r="P49" t="s">
        <v>248</v>
      </c>
      <c r="Q49">
        <f t="shared" si="11"/>
        <v>48</v>
      </c>
      <c r="R49" t="s">
        <v>87</v>
      </c>
      <c r="S49" t="str">
        <f>R49&amp;COUNTIF(R$2:R49,R49)</f>
        <v>WR22</v>
      </c>
      <c r="T49" t="str">
        <f t="shared" si="10"/>
        <v>WR22-48</v>
      </c>
      <c r="W49" t="s">
        <v>132</v>
      </c>
      <c r="X49" t="s">
        <v>1880</v>
      </c>
      <c r="Y49" t="str">
        <f t="shared" si="4"/>
        <v>Marshawn Lynch</v>
      </c>
      <c r="Z49">
        <f>IF(AND(ISERROR(MATCH(Y49,'ROS Proj'!$A$2:$A$561,0)),LEFT(X49)&lt;&gt;"D"),Z48+1,Z48)</f>
        <v>0</v>
      </c>
      <c r="AI49">
        <f t="shared" si="7"/>
        <v>48</v>
      </c>
      <c r="AJ49" t="e">
        <f t="shared" si="6"/>
        <v>#N/A</v>
      </c>
    </row>
    <row r="50" spans="1:36" ht="15.75" thickBot="1" x14ac:dyDescent="0.3">
      <c r="A50" t="str">
        <f t="shared" si="0"/>
        <v>Allen Robinson</v>
      </c>
      <c r="B50" t="str">
        <f t="shared" si="1"/>
        <v>WR18</v>
      </c>
      <c r="D50" s="135" t="s">
        <v>1898</v>
      </c>
      <c r="E50" s="134" t="s">
        <v>47</v>
      </c>
      <c r="F50" s="134" t="s">
        <v>1813</v>
      </c>
      <c r="G50" s="134" t="s">
        <v>1899</v>
      </c>
      <c r="H50" t="str">
        <f t="shared" si="8"/>
        <v>Mark Ingram II</v>
      </c>
      <c r="J50" s="135" t="s">
        <v>1898</v>
      </c>
      <c r="K50" s="134" t="s">
        <v>47</v>
      </c>
      <c r="L50" s="134" t="s">
        <v>1813</v>
      </c>
      <c r="M50" s="134" t="s">
        <v>1897</v>
      </c>
      <c r="N50" t="str">
        <f t="shared" si="9"/>
        <v>Mark Ingram II</v>
      </c>
      <c r="P50" t="s">
        <v>796</v>
      </c>
      <c r="Q50">
        <f t="shared" si="11"/>
        <v>49</v>
      </c>
      <c r="R50" t="s">
        <v>47</v>
      </c>
      <c r="S50" t="str">
        <f>R50&amp;COUNTIF(R$2:R50,R50)</f>
        <v>RB22</v>
      </c>
      <c r="T50" t="str">
        <f t="shared" si="10"/>
        <v>RB22-49</v>
      </c>
      <c r="W50" t="s">
        <v>119</v>
      </c>
      <c r="X50" t="s">
        <v>1873</v>
      </c>
      <c r="Y50" t="str">
        <f t="shared" si="4"/>
        <v>Allen Robinson</v>
      </c>
      <c r="Z50">
        <f>IF(AND(ISERROR(MATCH(Y50,'ROS Proj'!$A$2:$A$561,0)),LEFT(X50)&lt;&gt;"D"),Z49+1,Z49)</f>
        <v>0</v>
      </c>
      <c r="AI50">
        <f t="shared" si="7"/>
        <v>49</v>
      </c>
      <c r="AJ50" t="e">
        <f t="shared" si="6"/>
        <v>#N/A</v>
      </c>
    </row>
    <row r="51" spans="1:36" ht="15.75" thickBot="1" x14ac:dyDescent="0.3">
      <c r="A51" t="str">
        <f t="shared" si="0"/>
        <v>Jameis Winston</v>
      </c>
      <c r="B51" t="str">
        <f t="shared" si="1"/>
        <v>QB13</v>
      </c>
      <c r="D51" s="135" t="s">
        <v>3396</v>
      </c>
      <c r="E51" s="134" t="s">
        <v>47</v>
      </c>
      <c r="F51" s="134" t="s">
        <v>1839</v>
      </c>
      <c r="G51" s="134" t="s">
        <v>1900</v>
      </c>
      <c r="H51" t="str">
        <f t="shared" si="8"/>
        <v>Rex Burkhead</v>
      </c>
      <c r="J51" s="135" t="s">
        <v>3396</v>
      </c>
      <c r="K51" s="134" t="s">
        <v>47</v>
      </c>
      <c r="L51" s="134" t="s">
        <v>1839</v>
      </c>
      <c r="M51" s="134" t="s">
        <v>1899</v>
      </c>
      <c r="N51" t="str">
        <f t="shared" si="9"/>
        <v>Rex Burkhead</v>
      </c>
      <c r="P51" t="s">
        <v>145</v>
      </c>
      <c r="Q51">
        <f t="shared" si="11"/>
        <v>50</v>
      </c>
      <c r="R51" t="s">
        <v>47</v>
      </c>
      <c r="S51" t="str">
        <f>R51&amp;COUNTIF(R$2:R51,R51)</f>
        <v>RB23</v>
      </c>
      <c r="T51" t="str">
        <f t="shared" si="10"/>
        <v>RB23-50</v>
      </c>
      <c r="W51" t="s">
        <v>61</v>
      </c>
      <c r="X51" t="s">
        <v>2023</v>
      </c>
      <c r="Y51" t="str">
        <f t="shared" si="4"/>
        <v>Jameis Winston</v>
      </c>
      <c r="Z51">
        <f>IF(AND(ISERROR(MATCH(Y51,'ROS Proj'!$A$2:$A$561,0)),LEFT(X51)&lt;&gt;"D"),Z50+1,Z50)</f>
        <v>0</v>
      </c>
      <c r="AI51">
        <f t="shared" si="7"/>
        <v>50</v>
      </c>
      <c r="AJ51" t="e">
        <f t="shared" si="6"/>
        <v>#N/A</v>
      </c>
    </row>
    <row r="52" spans="1:36" ht="15.75" thickBot="1" x14ac:dyDescent="0.3">
      <c r="A52" t="str">
        <f t="shared" si="0"/>
        <v>Matthew Stafford</v>
      </c>
      <c r="B52" t="str">
        <f t="shared" si="1"/>
        <v>QB14</v>
      </c>
      <c r="D52" s="135" t="s">
        <v>1901</v>
      </c>
      <c r="E52" s="134" t="s">
        <v>87</v>
      </c>
      <c r="F52" s="134" t="s">
        <v>1882</v>
      </c>
      <c r="G52" s="134" t="s">
        <v>1902</v>
      </c>
      <c r="H52" t="str">
        <f t="shared" si="8"/>
        <v>Golden Tate</v>
      </c>
      <c r="J52" s="134" t="s">
        <v>3963</v>
      </c>
      <c r="K52" s="134" t="s">
        <v>47</v>
      </c>
      <c r="L52" s="134" t="s">
        <v>1040</v>
      </c>
      <c r="M52" s="134" t="s">
        <v>1900</v>
      </c>
      <c r="N52" t="str">
        <f t="shared" si="9"/>
        <v>Le'Veon Bell</v>
      </c>
      <c r="P52" t="s">
        <v>119</v>
      </c>
      <c r="Q52">
        <f t="shared" si="11"/>
        <v>51</v>
      </c>
      <c r="R52" t="s">
        <v>87</v>
      </c>
      <c r="S52" t="str">
        <f>R52&amp;COUNTIF(R$2:R52,R52)</f>
        <v>WR23</v>
      </c>
      <c r="T52" t="str">
        <f t="shared" si="10"/>
        <v>WR23-51</v>
      </c>
      <c r="W52" t="s">
        <v>70</v>
      </c>
      <c r="X52" t="s">
        <v>2027</v>
      </c>
      <c r="Y52" t="str">
        <f t="shared" si="4"/>
        <v>Matthew Stafford</v>
      </c>
      <c r="Z52">
        <f>IF(AND(ISERROR(MATCH(Y52,'ROS Proj'!$A$2:$A$561,0)),LEFT(X52)&lt;&gt;"D"),Z51+1,Z51)</f>
        <v>0</v>
      </c>
      <c r="AI52">
        <f t="shared" si="7"/>
        <v>51</v>
      </c>
      <c r="AJ52" t="e">
        <f t="shared" si="6"/>
        <v>#N/A</v>
      </c>
    </row>
    <row r="53" spans="1:36" ht="15.75" thickBot="1" x14ac:dyDescent="0.3">
      <c r="A53" t="str">
        <f t="shared" si="0"/>
        <v>Sony Michel</v>
      </c>
      <c r="B53" t="str">
        <f t="shared" si="1"/>
        <v>RB17</v>
      </c>
      <c r="D53" s="135" t="s">
        <v>1903</v>
      </c>
      <c r="E53" s="134" t="s">
        <v>87</v>
      </c>
      <c r="F53" s="134" t="s">
        <v>1040</v>
      </c>
      <c r="G53" s="134" t="s">
        <v>1904</v>
      </c>
      <c r="H53" t="str">
        <f t="shared" si="8"/>
        <v>JuJu Smith-Schuster</v>
      </c>
      <c r="J53" s="135" t="s">
        <v>3964</v>
      </c>
      <c r="K53" s="134" t="s">
        <v>47</v>
      </c>
      <c r="L53" s="134" t="s">
        <v>1872</v>
      </c>
      <c r="M53" s="134" t="s">
        <v>1910</v>
      </c>
      <c r="N53" t="str">
        <f t="shared" si="9"/>
        <v>Carlos Hyde</v>
      </c>
      <c r="P53" t="s">
        <v>140</v>
      </c>
      <c r="Q53">
        <f t="shared" si="11"/>
        <v>52</v>
      </c>
      <c r="R53" t="s">
        <v>87</v>
      </c>
      <c r="S53" t="str">
        <f>R53&amp;COUNTIF(R$2:R53,R53)</f>
        <v>WR24</v>
      </c>
      <c r="T53" t="str">
        <f t="shared" si="10"/>
        <v>WR24-52</v>
      </c>
      <c r="W53" t="s">
        <v>1352</v>
      </c>
      <c r="X53" t="s">
        <v>1886</v>
      </c>
      <c r="Y53" t="str">
        <f t="shared" si="4"/>
        <v>Sony Michel</v>
      </c>
      <c r="Z53">
        <f>IF(AND(ISERROR(MATCH(Y53,'ROS Proj'!$A$2:$A$561,0)),LEFT(X53)&lt;&gt;"D"),Z52+1,Z52)</f>
        <v>0</v>
      </c>
      <c r="AI53">
        <f t="shared" si="7"/>
        <v>52</v>
      </c>
      <c r="AJ53" t="e">
        <f t="shared" si="6"/>
        <v>#N/A</v>
      </c>
    </row>
    <row r="54" spans="1:36" ht="15.75" thickBot="1" x14ac:dyDescent="0.3">
      <c r="A54" t="str">
        <f t="shared" si="0"/>
        <v>Andrew Luck</v>
      </c>
      <c r="B54" t="str">
        <f t="shared" si="1"/>
        <v>QB15</v>
      </c>
      <c r="D54" s="135" t="s">
        <v>1905</v>
      </c>
      <c r="E54" s="134" t="s">
        <v>87</v>
      </c>
      <c r="F54" s="134" t="s">
        <v>1054</v>
      </c>
      <c r="G54" s="134" t="s">
        <v>1906</v>
      </c>
      <c r="H54" t="str">
        <f t="shared" si="8"/>
        <v>Emmanuel Sanders</v>
      </c>
      <c r="J54" s="135" t="s">
        <v>3965</v>
      </c>
      <c r="K54" s="134" t="s">
        <v>87</v>
      </c>
      <c r="L54" s="134" t="s">
        <v>1038</v>
      </c>
      <c r="M54" s="134" t="s">
        <v>1904</v>
      </c>
      <c r="N54" t="str">
        <f t="shared" si="9"/>
        <v>Robert Woods</v>
      </c>
      <c r="P54" t="s">
        <v>613</v>
      </c>
      <c r="Q54">
        <f t="shared" si="11"/>
        <v>53</v>
      </c>
      <c r="R54" t="s">
        <v>87</v>
      </c>
      <c r="S54" t="str">
        <f>R54&amp;COUNTIF(R$2:R54,R54)</f>
        <v>WR25</v>
      </c>
      <c r="T54" t="str">
        <f t="shared" si="10"/>
        <v>WR25-53</v>
      </c>
      <c r="W54" t="s">
        <v>33</v>
      </c>
      <c r="X54" t="s">
        <v>2029</v>
      </c>
      <c r="Y54" t="str">
        <f t="shared" si="4"/>
        <v>Andrew Luck</v>
      </c>
      <c r="Z54">
        <f>IF(AND(ISERROR(MATCH(Y54,'ROS Proj'!$A$2:$A$561,0)),LEFT(X54)&lt;&gt;"D"),Z53+1,Z53)</f>
        <v>0</v>
      </c>
      <c r="AI54">
        <f t="shared" si="7"/>
        <v>53</v>
      </c>
      <c r="AJ54" t="e">
        <f t="shared" si="6"/>
        <v>#N/A</v>
      </c>
    </row>
    <row r="55" spans="1:36" ht="15.75" thickBot="1" x14ac:dyDescent="0.3">
      <c r="A55" t="str">
        <f t="shared" si="0"/>
        <v>Lamar Miller</v>
      </c>
      <c r="B55" t="str">
        <f t="shared" si="1"/>
        <v>RB18</v>
      </c>
      <c r="D55" s="135" t="s">
        <v>1907</v>
      </c>
      <c r="E55" s="134" t="s">
        <v>87</v>
      </c>
      <c r="F55" s="134" t="s">
        <v>1887</v>
      </c>
      <c r="G55" s="134" t="s">
        <v>1908</v>
      </c>
      <c r="H55" t="str">
        <f t="shared" si="8"/>
        <v>Corey Davis</v>
      </c>
      <c r="J55" s="135" t="s">
        <v>3966</v>
      </c>
      <c r="K55" s="134" t="s">
        <v>87</v>
      </c>
      <c r="L55" s="134" t="s">
        <v>1839</v>
      </c>
      <c r="M55" s="134" t="s">
        <v>1906</v>
      </c>
      <c r="N55" t="str">
        <f t="shared" si="9"/>
        <v>Chris Hogan</v>
      </c>
      <c r="P55" t="s">
        <v>108</v>
      </c>
      <c r="Q55">
        <f t="shared" si="11"/>
        <v>54</v>
      </c>
      <c r="R55" t="s">
        <v>87</v>
      </c>
      <c r="S55" t="str">
        <f>R55&amp;COUNTIF(R$2:R55,R55)</f>
        <v>WR26</v>
      </c>
      <c r="T55" t="str">
        <f t="shared" si="10"/>
        <v>WR26-54</v>
      </c>
      <c r="W55" t="s">
        <v>99</v>
      </c>
      <c r="X55" t="s">
        <v>1888</v>
      </c>
      <c r="Y55" t="str">
        <f t="shared" si="4"/>
        <v>Lamar Miller</v>
      </c>
      <c r="Z55">
        <f>IF(AND(ISERROR(MATCH(Y55,'ROS Proj'!$A$2:$A$561,0)),LEFT(X55)&lt;&gt;"D"),Z54+1,Z54)</f>
        <v>0</v>
      </c>
      <c r="AI55">
        <f t="shared" si="7"/>
        <v>54</v>
      </c>
      <c r="AJ55" t="e">
        <f t="shared" si="6"/>
        <v>#N/A</v>
      </c>
    </row>
    <row r="56" spans="1:36" ht="15.75" thickBot="1" x14ac:dyDescent="0.3">
      <c r="A56" t="str">
        <f t="shared" si="0"/>
        <v>Carson Wentz</v>
      </c>
      <c r="B56" t="str">
        <f t="shared" si="1"/>
        <v>QB16</v>
      </c>
      <c r="D56" s="135" t="s">
        <v>3397</v>
      </c>
      <c r="E56" s="134" t="s">
        <v>47</v>
      </c>
      <c r="F56" s="134" t="s">
        <v>1872</v>
      </c>
      <c r="G56" s="134" t="s">
        <v>1910</v>
      </c>
      <c r="H56" t="str">
        <f t="shared" si="8"/>
        <v>Carlos Hyde</v>
      </c>
      <c r="J56" s="135" t="s">
        <v>3967</v>
      </c>
      <c r="K56" s="134" t="s">
        <v>87</v>
      </c>
      <c r="L56" s="134" t="s">
        <v>1890</v>
      </c>
      <c r="M56" s="134" t="s">
        <v>1908</v>
      </c>
      <c r="N56" t="str">
        <f t="shared" si="9"/>
        <v>Michael Crabtree</v>
      </c>
      <c r="P56" t="s">
        <v>132</v>
      </c>
      <c r="Q56">
        <f t="shared" si="11"/>
        <v>55</v>
      </c>
      <c r="R56" t="s">
        <v>47</v>
      </c>
      <c r="S56" t="str">
        <f>R56&amp;COUNTIF(R$2:R56,R56)</f>
        <v>RB24</v>
      </c>
      <c r="T56" t="str">
        <f t="shared" si="10"/>
        <v>RB24-55</v>
      </c>
      <c r="W56" t="s">
        <v>80</v>
      </c>
      <c r="X56" t="s">
        <v>2031</v>
      </c>
      <c r="Y56" t="str">
        <f t="shared" si="4"/>
        <v>Carson Wentz</v>
      </c>
      <c r="Z56">
        <f>IF(AND(ISERROR(MATCH(Y56,'ROS Proj'!$A$2:$A$561,0)),LEFT(X56)&lt;&gt;"D"),Z55+1,Z55)</f>
        <v>0</v>
      </c>
      <c r="AI56">
        <f t="shared" si="7"/>
        <v>55</v>
      </c>
      <c r="AJ56" t="e">
        <f t="shared" si="6"/>
        <v>#N/A</v>
      </c>
    </row>
    <row r="57" spans="1:36" ht="15.75" thickBot="1" x14ac:dyDescent="0.3">
      <c r="A57" t="str">
        <f t="shared" si="0"/>
        <v>Adrian Peterson</v>
      </c>
      <c r="B57" t="str">
        <f t="shared" si="1"/>
        <v>RB19</v>
      </c>
      <c r="D57" s="135" t="s">
        <v>1911</v>
      </c>
      <c r="E57" s="134" t="s">
        <v>15</v>
      </c>
      <c r="F57" s="134" t="s">
        <v>1842</v>
      </c>
      <c r="G57" s="134" t="s">
        <v>1912</v>
      </c>
      <c r="H57" t="str">
        <f t="shared" si="8"/>
        <v>Aaron Rodgers</v>
      </c>
      <c r="J57" s="135" t="s">
        <v>3968</v>
      </c>
      <c r="K57" s="134" t="s">
        <v>87</v>
      </c>
      <c r="L57" s="134" t="s">
        <v>1887</v>
      </c>
      <c r="M57" s="134" t="s">
        <v>1919</v>
      </c>
      <c r="N57" t="str">
        <f t="shared" si="9"/>
        <v>Corey Davis</v>
      </c>
      <c r="P57" t="s">
        <v>141</v>
      </c>
      <c r="Q57">
        <f t="shared" si="11"/>
        <v>56</v>
      </c>
      <c r="R57" t="s">
        <v>114</v>
      </c>
      <c r="S57" t="str">
        <f>R57&amp;COUNTIF(R$2:R57,R57)</f>
        <v>TE4</v>
      </c>
      <c r="T57" t="str">
        <f t="shared" si="10"/>
        <v>TE4-56</v>
      </c>
      <c r="W57" t="s">
        <v>158</v>
      </c>
      <c r="X57" t="s">
        <v>1891</v>
      </c>
      <c r="Y57" t="str">
        <f t="shared" si="4"/>
        <v>Adrian Peterson</v>
      </c>
      <c r="Z57">
        <f>IF(AND(ISERROR(MATCH(Y57,'ROS Proj'!$A$2:$A$561,0)),LEFT(X57)&lt;&gt;"D"),Z56+1,Z56)</f>
        <v>0</v>
      </c>
      <c r="AI57">
        <f t="shared" si="7"/>
        <v>56</v>
      </c>
      <c r="AJ57" t="e">
        <f t="shared" si="6"/>
        <v>#N/A</v>
      </c>
    </row>
    <row r="58" spans="1:36" ht="15.75" thickBot="1" x14ac:dyDescent="0.3">
      <c r="A58" t="str">
        <f t="shared" si="0"/>
        <v>Baker Mayfield</v>
      </c>
      <c r="B58" t="str">
        <f t="shared" si="1"/>
        <v>QB17</v>
      </c>
      <c r="D58" s="135" t="s">
        <v>1913</v>
      </c>
      <c r="E58" s="134" t="s">
        <v>15</v>
      </c>
      <c r="F58" s="134" t="s">
        <v>1839</v>
      </c>
      <c r="G58" s="134" t="s">
        <v>1914</v>
      </c>
      <c r="H58" t="str">
        <f t="shared" si="8"/>
        <v>Tom Brady</v>
      </c>
      <c r="J58" s="135" t="s">
        <v>3969</v>
      </c>
      <c r="K58" s="134" t="s">
        <v>87</v>
      </c>
      <c r="L58" s="134" t="s">
        <v>1831</v>
      </c>
      <c r="M58" s="134" t="s">
        <v>1920</v>
      </c>
      <c r="N58" t="str">
        <f t="shared" si="9"/>
        <v>Devin Funchess</v>
      </c>
      <c r="P58" t="s">
        <v>130</v>
      </c>
      <c r="Q58">
        <f t="shared" si="11"/>
        <v>57</v>
      </c>
      <c r="R58" t="s">
        <v>47</v>
      </c>
      <c r="S58" t="str">
        <f>R58&amp;COUNTIF(R$2:R58,R58)</f>
        <v>RB25</v>
      </c>
      <c r="T58" t="str">
        <f t="shared" si="10"/>
        <v>RB25-57</v>
      </c>
      <c r="W58" t="s">
        <v>1492</v>
      </c>
      <c r="X58" t="s">
        <v>2032</v>
      </c>
      <c r="Y58" t="str">
        <f t="shared" si="4"/>
        <v>Baker Mayfield</v>
      </c>
      <c r="Z58">
        <f>IF(AND(ISERROR(MATCH(Y58,'ROS Proj'!$A$2:$A$561,0)),LEFT(X58)&lt;&gt;"D"),Z57+1,Z57)</f>
        <v>0</v>
      </c>
      <c r="AI58">
        <f t="shared" si="7"/>
        <v>57</v>
      </c>
      <c r="AJ58" t="e">
        <f t="shared" si="6"/>
        <v>#N/A</v>
      </c>
    </row>
    <row r="59" spans="1:36" ht="15.75" thickBot="1" x14ac:dyDescent="0.3">
      <c r="A59" t="str">
        <f t="shared" si="0"/>
        <v>Alex Smith</v>
      </c>
      <c r="B59" t="str">
        <f t="shared" si="1"/>
        <v>QB18</v>
      </c>
      <c r="D59" s="135" t="s">
        <v>3398</v>
      </c>
      <c r="E59" s="134" t="s">
        <v>47</v>
      </c>
      <c r="F59" s="134" t="s">
        <v>1887</v>
      </c>
      <c r="G59" s="134" t="s">
        <v>1915</v>
      </c>
      <c r="H59" t="str">
        <f t="shared" si="8"/>
        <v>Dion Lewis</v>
      </c>
      <c r="J59" s="135" t="s">
        <v>3970</v>
      </c>
      <c r="K59" s="134" t="s">
        <v>15</v>
      </c>
      <c r="L59" s="134" t="s">
        <v>1842</v>
      </c>
      <c r="M59" s="134" t="s">
        <v>1912</v>
      </c>
      <c r="N59" t="str">
        <f t="shared" si="9"/>
        <v>Aaron Rodgers</v>
      </c>
      <c r="P59" t="s">
        <v>207</v>
      </c>
      <c r="Q59">
        <f t="shared" si="11"/>
        <v>58</v>
      </c>
      <c r="R59" t="s">
        <v>47</v>
      </c>
      <c r="S59" t="str">
        <f>R59&amp;COUNTIF(R$2:R59,R59)</f>
        <v>RB26</v>
      </c>
      <c r="T59" t="str">
        <f t="shared" si="10"/>
        <v>RB26-58</v>
      </c>
      <c r="W59" t="s">
        <v>95</v>
      </c>
      <c r="X59" t="s">
        <v>2063</v>
      </c>
      <c r="Y59" t="str">
        <f t="shared" si="4"/>
        <v>Alex Smith</v>
      </c>
      <c r="Z59">
        <f>IF(AND(ISERROR(MATCH(Y59,'ROS Proj'!$A$2:$A$561,0)),LEFT(X59)&lt;&gt;"D"),Z58+1,Z58)</f>
        <v>0</v>
      </c>
      <c r="AI59">
        <f t="shared" si="7"/>
        <v>58</v>
      </c>
      <c r="AJ59" t="e">
        <f t="shared" si="6"/>
        <v>#N/A</v>
      </c>
    </row>
    <row r="60" spans="1:36" ht="15.75" thickBot="1" x14ac:dyDescent="0.3">
      <c r="A60" t="str">
        <f t="shared" si="0"/>
        <v>Alshon Jeffery</v>
      </c>
      <c r="B60" t="str">
        <f t="shared" si="1"/>
        <v>WR19</v>
      </c>
      <c r="D60" s="135" t="s">
        <v>3399</v>
      </c>
      <c r="E60" s="134" t="s">
        <v>47</v>
      </c>
      <c r="F60" s="134" t="s">
        <v>1052</v>
      </c>
      <c r="G60" s="134" t="s">
        <v>1916</v>
      </c>
      <c r="H60" t="str">
        <f t="shared" si="8"/>
        <v>Tevin Coleman</v>
      </c>
      <c r="J60" s="135" t="s">
        <v>3971</v>
      </c>
      <c r="K60" s="134" t="s">
        <v>15</v>
      </c>
      <c r="L60" s="134" t="s">
        <v>1839</v>
      </c>
      <c r="M60" s="134" t="s">
        <v>1914</v>
      </c>
      <c r="N60" t="str">
        <f t="shared" si="9"/>
        <v>Tom Brady</v>
      </c>
      <c r="P60" t="s">
        <v>39</v>
      </c>
      <c r="Q60">
        <f t="shared" si="11"/>
        <v>59</v>
      </c>
      <c r="R60" t="s">
        <v>15</v>
      </c>
      <c r="S60" t="str">
        <f>R60&amp;COUNTIF(R$2:R60,R60)</f>
        <v>QB3</v>
      </c>
      <c r="T60" t="str">
        <f t="shared" si="10"/>
        <v>QB3-59</v>
      </c>
      <c r="W60" t="s">
        <v>126</v>
      </c>
      <c r="X60" t="s">
        <v>1874</v>
      </c>
      <c r="Y60" t="str">
        <f t="shared" si="4"/>
        <v>Alshon Jeffery</v>
      </c>
      <c r="Z60">
        <f>IF(AND(ISERROR(MATCH(Y60,'ROS Proj'!$A$2:$A$561,0)),LEFT(X60)&lt;&gt;"D"),Z59+1,Z59)</f>
        <v>0</v>
      </c>
      <c r="AI60">
        <f t="shared" si="7"/>
        <v>59</v>
      </c>
      <c r="AJ60" t="e">
        <f t="shared" si="6"/>
        <v>#N/A</v>
      </c>
    </row>
    <row r="61" spans="1:36" ht="15.75" thickBot="1" x14ac:dyDescent="0.3">
      <c r="A61" t="str">
        <f t="shared" si="0"/>
        <v>Jordan Reed</v>
      </c>
      <c r="B61" t="str">
        <f t="shared" si="1"/>
        <v>TE4</v>
      </c>
      <c r="D61" s="135" t="s">
        <v>3400</v>
      </c>
      <c r="E61" s="134" t="s">
        <v>47</v>
      </c>
      <c r="F61" s="134" t="s">
        <v>1909</v>
      </c>
      <c r="G61" s="134" t="s">
        <v>1917</v>
      </c>
      <c r="H61" t="str">
        <f t="shared" si="8"/>
        <v>Alfred Morris</v>
      </c>
      <c r="J61" s="135" t="s">
        <v>3972</v>
      </c>
      <c r="K61" s="134" t="s">
        <v>47</v>
      </c>
      <c r="L61" s="134" t="s">
        <v>1045</v>
      </c>
      <c r="M61" s="134" t="s">
        <v>1915</v>
      </c>
      <c r="N61" t="str">
        <f t="shared" si="9"/>
        <v>Chris Thompson</v>
      </c>
      <c r="P61" t="s">
        <v>165</v>
      </c>
      <c r="Q61">
        <f t="shared" si="11"/>
        <v>60</v>
      </c>
      <c r="R61" t="s">
        <v>114</v>
      </c>
      <c r="S61" t="str">
        <f>R61&amp;COUNTIF(R$2:R61,R61)</f>
        <v>TE5</v>
      </c>
      <c r="T61" t="str">
        <f t="shared" si="10"/>
        <v>TE5-60</v>
      </c>
      <c r="W61" t="s">
        <v>118</v>
      </c>
      <c r="X61" t="s">
        <v>1941</v>
      </c>
      <c r="Y61" t="str">
        <f t="shared" si="4"/>
        <v>Jordan Reed</v>
      </c>
      <c r="Z61">
        <f>IF(AND(ISERROR(MATCH(Y61,'ROS Proj'!$A$2:$A$561,0)),LEFT(X61)&lt;&gt;"D"),Z60+1,Z60)</f>
        <v>0</v>
      </c>
      <c r="AI61">
        <f t="shared" si="7"/>
        <v>60</v>
      </c>
      <c r="AJ61" t="e">
        <f t="shared" si="6"/>
        <v>#N/A</v>
      </c>
    </row>
    <row r="62" spans="1:36" ht="15.75" thickBot="1" x14ac:dyDescent="0.3">
      <c r="A62" t="str">
        <f t="shared" si="0"/>
        <v>Alex Collins</v>
      </c>
      <c r="B62" t="str">
        <f t="shared" si="1"/>
        <v>RB20</v>
      </c>
      <c r="D62" s="135" t="s">
        <v>3401</v>
      </c>
      <c r="E62" s="134" t="s">
        <v>47</v>
      </c>
      <c r="F62" s="134" t="s">
        <v>1865</v>
      </c>
      <c r="G62" s="134" t="s">
        <v>1918</v>
      </c>
      <c r="H62" t="str">
        <f t="shared" si="8"/>
        <v>Chris Carson</v>
      </c>
      <c r="J62" s="135" t="s">
        <v>3973</v>
      </c>
      <c r="K62" s="134" t="s">
        <v>47</v>
      </c>
      <c r="L62" s="134" t="s">
        <v>1887</v>
      </c>
      <c r="M62" s="134" t="s">
        <v>1916</v>
      </c>
      <c r="N62" t="str">
        <f t="shared" si="9"/>
        <v>Derrick Henry</v>
      </c>
      <c r="P62" t="s">
        <v>149</v>
      </c>
      <c r="Q62">
        <f t="shared" si="11"/>
        <v>61</v>
      </c>
      <c r="R62" t="s">
        <v>87</v>
      </c>
      <c r="S62" t="str">
        <f>R62&amp;COUNTIF(R$2:R62,R62)</f>
        <v>WR27</v>
      </c>
      <c r="T62" t="str">
        <f t="shared" si="10"/>
        <v>WR27-61</v>
      </c>
      <c r="W62" t="s">
        <v>796</v>
      </c>
      <c r="X62" t="s">
        <v>1893</v>
      </c>
      <c r="Y62" t="str">
        <f t="shared" si="4"/>
        <v>Alex Collins</v>
      </c>
      <c r="Z62">
        <f>IF(AND(ISERROR(MATCH(Y62,'ROS Proj'!$A$2:$A$561,0)),LEFT(X62)&lt;&gt;"D"),Z61+1,Z61)</f>
        <v>0</v>
      </c>
      <c r="AI62">
        <f t="shared" si="7"/>
        <v>61</v>
      </c>
      <c r="AJ62" t="e">
        <f t="shared" si="6"/>
        <v>#N/A</v>
      </c>
    </row>
    <row r="63" spans="1:36" ht="15.75" thickBot="1" x14ac:dyDescent="0.3">
      <c r="A63" t="str">
        <f t="shared" si="0"/>
        <v>Devonta Freeman</v>
      </c>
      <c r="B63" t="str">
        <f t="shared" si="1"/>
        <v>RB21</v>
      </c>
      <c r="D63" s="135" t="s">
        <v>3402</v>
      </c>
      <c r="E63" s="134" t="s">
        <v>87</v>
      </c>
      <c r="F63" s="134" t="s">
        <v>1909</v>
      </c>
      <c r="G63" s="134" t="s">
        <v>1919</v>
      </c>
      <c r="H63" t="str">
        <f t="shared" si="8"/>
        <v>Marquise Goodwin</v>
      </c>
      <c r="J63" s="135" t="s">
        <v>3974</v>
      </c>
      <c r="K63" s="134" t="s">
        <v>47</v>
      </c>
      <c r="L63" s="134" t="s">
        <v>1865</v>
      </c>
      <c r="M63" s="134" t="s">
        <v>1917</v>
      </c>
      <c r="N63" t="str">
        <f t="shared" si="9"/>
        <v>Chris Carson</v>
      </c>
      <c r="P63" t="s">
        <v>126</v>
      </c>
      <c r="Q63">
        <f t="shared" si="11"/>
        <v>62</v>
      </c>
      <c r="R63" t="s">
        <v>87</v>
      </c>
      <c r="S63" t="str">
        <f>R63&amp;COUNTIF(R$2:R63,R63)</f>
        <v>WR28</v>
      </c>
      <c r="T63" t="str">
        <f t="shared" si="10"/>
        <v>WR28-62</v>
      </c>
      <c r="W63" t="s">
        <v>90</v>
      </c>
      <c r="X63" t="s">
        <v>1895</v>
      </c>
      <c r="Y63" t="str">
        <f t="shared" si="4"/>
        <v>Devonta Freeman</v>
      </c>
      <c r="Z63">
        <f>IF(AND(ISERROR(MATCH(Y63,'ROS Proj'!$A$2:$A$561,0)),LEFT(X63)&lt;&gt;"D"),Z62+1,Z62)</f>
        <v>0</v>
      </c>
      <c r="AI63">
        <f t="shared" si="7"/>
        <v>62</v>
      </c>
      <c r="AJ63" t="e">
        <f t="shared" si="6"/>
        <v>#N/A</v>
      </c>
    </row>
    <row r="64" spans="1:36" ht="15.75" thickBot="1" x14ac:dyDescent="0.3">
      <c r="A64" t="str">
        <f t="shared" si="0"/>
        <v>Jay Ajayi</v>
      </c>
      <c r="B64" t="str">
        <f t="shared" si="1"/>
        <v>RB22</v>
      </c>
      <c r="D64" s="135" t="s">
        <v>3403</v>
      </c>
      <c r="E64" s="134" t="s">
        <v>87</v>
      </c>
      <c r="F64" s="134" t="s">
        <v>1831</v>
      </c>
      <c r="G64" s="134" t="s">
        <v>1920</v>
      </c>
      <c r="H64" t="str">
        <f t="shared" si="8"/>
        <v>Devin Funchess</v>
      </c>
      <c r="J64" s="135" t="s">
        <v>3975</v>
      </c>
      <c r="K64" s="134" t="s">
        <v>47</v>
      </c>
      <c r="L64" s="134" t="s">
        <v>1845</v>
      </c>
      <c r="M64" s="134" t="s">
        <v>1918</v>
      </c>
      <c r="N64" t="str">
        <f t="shared" si="9"/>
        <v>Peyton Barber</v>
      </c>
      <c r="P64" t="s">
        <v>179</v>
      </c>
      <c r="Q64">
        <f t="shared" si="11"/>
        <v>63</v>
      </c>
      <c r="R64" t="s">
        <v>15</v>
      </c>
      <c r="S64" t="str">
        <f>R64&amp;COUNTIF(R$2:R64,R64)</f>
        <v>QB4</v>
      </c>
      <c r="T64" t="str">
        <f t="shared" si="10"/>
        <v>QB4-63</v>
      </c>
      <c r="W64" t="s">
        <v>89</v>
      </c>
      <c r="X64" t="s">
        <v>1897</v>
      </c>
      <c r="Y64" t="str">
        <f t="shared" si="4"/>
        <v>Jay Ajayi</v>
      </c>
      <c r="Z64">
        <f>IF(AND(ISERROR(MATCH(Y64,'ROS Proj'!$A$2:$A$561,0)),LEFT(X64)&lt;&gt;"D"),Z63+1,Z63)</f>
        <v>0</v>
      </c>
      <c r="AI64">
        <f t="shared" si="7"/>
        <v>63</v>
      </c>
      <c r="AJ64" t="e">
        <f t="shared" si="6"/>
        <v>#N/A</v>
      </c>
    </row>
    <row r="65" spans="1:36" ht="15.75" thickBot="1" x14ac:dyDescent="0.3">
      <c r="A65" t="str">
        <f t="shared" si="0"/>
        <v>Trey Burton</v>
      </c>
      <c r="B65" t="str">
        <f t="shared" si="1"/>
        <v>TE5</v>
      </c>
      <c r="D65" s="135" t="s">
        <v>3404</v>
      </c>
      <c r="E65" s="134" t="s">
        <v>87</v>
      </c>
      <c r="F65" s="134" t="s">
        <v>1890</v>
      </c>
      <c r="G65" s="134" t="s">
        <v>1921</v>
      </c>
      <c r="H65" t="str">
        <f t="shared" si="8"/>
        <v>Michael Crabtree</v>
      </c>
      <c r="J65" s="135" t="s">
        <v>3976</v>
      </c>
      <c r="K65" s="134" t="s">
        <v>114</v>
      </c>
      <c r="L65" s="134" t="s">
        <v>1045</v>
      </c>
      <c r="M65" s="134" t="s">
        <v>1941</v>
      </c>
      <c r="N65" t="str">
        <f t="shared" si="9"/>
        <v>Jordan Reed</v>
      </c>
      <c r="P65" t="s">
        <v>1647</v>
      </c>
      <c r="Q65">
        <f t="shared" si="11"/>
        <v>64</v>
      </c>
      <c r="R65" t="s">
        <v>47</v>
      </c>
      <c r="S65" t="str">
        <f>R65&amp;COUNTIF(R$2:R65,R65)</f>
        <v>RB27</v>
      </c>
      <c r="T65" t="str">
        <f t="shared" si="10"/>
        <v>RB27-64</v>
      </c>
      <c r="W65" t="s">
        <v>313</v>
      </c>
      <c r="X65" t="s">
        <v>1943</v>
      </c>
      <c r="Y65" t="str">
        <f t="shared" si="4"/>
        <v>Trey Burton</v>
      </c>
      <c r="Z65">
        <f>IF(AND(ISERROR(MATCH(Y65,'ROS Proj'!$A$2:$A$561,0)),LEFT(X65)&lt;&gt;"D"),Z64+1,Z64)</f>
        <v>0</v>
      </c>
      <c r="AI65">
        <f t="shared" si="7"/>
        <v>64</v>
      </c>
      <c r="AJ65" t="e">
        <f t="shared" si="6"/>
        <v>#N/A</v>
      </c>
    </row>
    <row r="66" spans="1:36" ht="15.75" thickBot="1" x14ac:dyDescent="0.3">
      <c r="A66" t="str">
        <f t="shared" si="0"/>
        <v>Jaguars D/ST</v>
      </c>
      <c r="B66" t="str">
        <f t="shared" si="1"/>
        <v>DST1</v>
      </c>
      <c r="D66" s="135" t="s">
        <v>3405</v>
      </c>
      <c r="E66" s="134" t="s">
        <v>87</v>
      </c>
      <c r="F66" s="134" t="s">
        <v>1038</v>
      </c>
      <c r="G66" s="134" t="s">
        <v>1922</v>
      </c>
      <c r="H66" t="str">
        <f t="shared" si="8"/>
        <v>Robert Woods</v>
      </c>
      <c r="J66" s="135" t="s">
        <v>3977</v>
      </c>
      <c r="K66" s="134" t="s">
        <v>114</v>
      </c>
      <c r="L66" s="134" t="s">
        <v>1842</v>
      </c>
      <c r="M66" s="134" t="s">
        <v>1943</v>
      </c>
      <c r="N66" t="str">
        <f t="shared" si="9"/>
        <v>Jimmy Graham</v>
      </c>
      <c r="P66" t="s">
        <v>834</v>
      </c>
      <c r="Q66">
        <f t="shared" si="11"/>
        <v>65</v>
      </c>
      <c r="R66" t="s">
        <v>47</v>
      </c>
      <c r="S66" t="str">
        <f>R66&amp;COUNTIF(R$2:R66,R66)</f>
        <v>RB28</v>
      </c>
      <c r="T66" t="str">
        <f t="shared" si="10"/>
        <v>RB28-65</v>
      </c>
      <c r="W66" t="s">
        <v>4862</v>
      </c>
      <c r="X66" t="s">
        <v>2055</v>
      </c>
      <c r="Y66" t="str">
        <f t="shared" si="4"/>
        <v>Jaguars D/ST</v>
      </c>
      <c r="Z66">
        <f>IF(AND(ISERROR(MATCH(Y66,'ROS Proj'!$A$2:$A$561,0)),LEFT(X66)&lt;&gt;"D"),Z65+1,Z65)</f>
        <v>0</v>
      </c>
      <c r="AI66">
        <f t="shared" si="7"/>
        <v>65</v>
      </c>
      <c r="AJ66" t="e">
        <f t="shared" si="6"/>
        <v>#N/A</v>
      </c>
    </row>
    <row r="67" spans="1:36" ht="15.75" thickBot="1" x14ac:dyDescent="0.3">
      <c r="A67" t="str">
        <f t="shared" ref="A67:A130" si="12">Y67</f>
        <v>Andy Dalton</v>
      </c>
      <c r="B67" t="str">
        <f t="shared" ref="B67:B130" si="13">X67</f>
        <v>QB19</v>
      </c>
      <c r="D67" s="135" t="s">
        <v>1923</v>
      </c>
      <c r="E67" s="134" t="s">
        <v>15</v>
      </c>
      <c r="F67" s="134" t="s">
        <v>1831</v>
      </c>
      <c r="G67" s="134" t="s">
        <v>1924</v>
      </c>
      <c r="H67" t="str">
        <f t="shared" si="8"/>
        <v>Cam Newton</v>
      </c>
      <c r="J67" s="135" t="s">
        <v>3978</v>
      </c>
      <c r="K67" s="134" t="s">
        <v>114</v>
      </c>
      <c r="L67" s="134" t="s">
        <v>1811</v>
      </c>
      <c r="M67" s="134" t="s">
        <v>1945</v>
      </c>
      <c r="N67" t="str">
        <f t="shared" si="9"/>
        <v>Evan Engram</v>
      </c>
      <c r="P67" t="s">
        <v>21</v>
      </c>
      <c r="Q67">
        <f t="shared" si="11"/>
        <v>66</v>
      </c>
      <c r="R67" t="s">
        <v>15</v>
      </c>
      <c r="S67" t="str">
        <f>R67&amp;COUNTIF(R$2:R67,R67)</f>
        <v>QB5</v>
      </c>
      <c r="T67" t="str">
        <f t="shared" si="10"/>
        <v>QB5-66</v>
      </c>
      <c r="W67" t="s">
        <v>63</v>
      </c>
      <c r="X67" t="s">
        <v>2064</v>
      </c>
      <c r="Y67" t="str">
        <f t="shared" ref="Y67:Y130" si="14">IFERROR(VLOOKUP(W67,$AB$2:$AC$22,2,FALSE),IFERROR(VLOOKUP(LEFT(W67,SEARCH("(",W67)-2),$AF$2:$AG$33,2,FALSE),W67))</f>
        <v>Andy Dalton</v>
      </c>
      <c r="Z67">
        <f>IF(AND(ISERROR(MATCH(Y67,'ROS Proj'!$A$2:$A$561,0)),LEFT(X67)&lt;&gt;"D"),Z66+1,Z66)</f>
        <v>0</v>
      </c>
      <c r="AI67">
        <f t="shared" si="7"/>
        <v>66</v>
      </c>
      <c r="AJ67" t="e">
        <f t="shared" ref="AJ67:AJ101" si="15">INDEX($Y$2:$Y$300,MATCH(AI67,$Z$2:$Z$300,0))</f>
        <v>#N/A</v>
      </c>
    </row>
    <row r="68" spans="1:36" ht="15.75" thickBot="1" x14ac:dyDescent="0.3">
      <c r="A68" t="str">
        <f t="shared" si="12"/>
        <v>Jimmy Graham</v>
      </c>
      <c r="B68" t="str">
        <f t="shared" si="13"/>
        <v>TE6</v>
      </c>
      <c r="D68" s="135" t="s">
        <v>1925</v>
      </c>
      <c r="E68" s="134" t="s">
        <v>15</v>
      </c>
      <c r="F68" s="134" t="s">
        <v>1865</v>
      </c>
      <c r="G68" s="134" t="s">
        <v>1926</v>
      </c>
      <c r="H68" t="str">
        <f t="shared" si="8"/>
        <v>Russell Wilson</v>
      </c>
      <c r="J68" s="135" t="s">
        <v>3979</v>
      </c>
      <c r="K68" s="134" t="s">
        <v>87</v>
      </c>
      <c r="L68" s="134" t="s">
        <v>1038</v>
      </c>
      <c r="M68" s="134" t="s">
        <v>1921</v>
      </c>
      <c r="N68" t="str">
        <f t="shared" si="9"/>
        <v>Cooper Kupp</v>
      </c>
      <c r="P68" t="s">
        <v>266</v>
      </c>
      <c r="Q68">
        <f t="shared" si="11"/>
        <v>67</v>
      </c>
      <c r="R68" t="s">
        <v>87</v>
      </c>
      <c r="S68" t="str">
        <f>R68&amp;COUNTIF(R$2:R68,R68)</f>
        <v>WR29</v>
      </c>
      <c r="T68" t="str">
        <f t="shared" si="10"/>
        <v>WR29-67</v>
      </c>
      <c r="W68" t="s">
        <v>162</v>
      </c>
      <c r="X68" t="s">
        <v>1945</v>
      </c>
      <c r="Y68" t="str">
        <f t="shared" si="14"/>
        <v>Jimmy Graham</v>
      </c>
      <c r="Z68">
        <f>IF(AND(ISERROR(MATCH(Y68,'ROS Proj'!$A$2:$A$561,0)),LEFT(X68)&lt;&gt;"D"),Z67+1,Z67)</f>
        <v>0</v>
      </c>
      <c r="AI68">
        <f t="shared" ref="AI68:AI98" si="16">AI67+1</f>
        <v>67</v>
      </c>
      <c r="AJ68" t="e">
        <f t="shared" si="15"/>
        <v>#N/A</v>
      </c>
    </row>
    <row r="69" spans="1:36" ht="15.75" thickBot="1" x14ac:dyDescent="0.3">
      <c r="A69" t="str">
        <f t="shared" si="12"/>
        <v>Dak Prescott</v>
      </c>
      <c r="B69" t="str">
        <f t="shared" si="13"/>
        <v>QB20</v>
      </c>
      <c r="D69" s="135" t="s">
        <v>1927</v>
      </c>
      <c r="E69" s="134" t="s">
        <v>15</v>
      </c>
      <c r="F69" s="134" t="s">
        <v>1043</v>
      </c>
      <c r="G69" s="134" t="s">
        <v>1928</v>
      </c>
      <c r="H69" t="str">
        <f t="shared" si="8"/>
        <v>Deshaun Watson</v>
      </c>
      <c r="J69" s="135" t="s">
        <v>3980</v>
      </c>
      <c r="K69" s="134" t="s">
        <v>87</v>
      </c>
      <c r="L69" s="134" t="s">
        <v>1842</v>
      </c>
      <c r="M69" s="134" t="s">
        <v>1922</v>
      </c>
      <c r="N69" t="str">
        <f t="shared" si="9"/>
        <v>Randall Cobb</v>
      </c>
      <c r="P69" t="s">
        <v>118</v>
      </c>
      <c r="Q69">
        <f t="shared" si="11"/>
        <v>68</v>
      </c>
      <c r="R69" t="s">
        <v>114</v>
      </c>
      <c r="S69" t="str">
        <f>R69&amp;COUNTIF(R$2:R69,R69)</f>
        <v>TE6</v>
      </c>
      <c r="T69" t="str">
        <f t="shared" si="10"/>
        <v>TE6-68</v>
      </c>
      <c r="W69" t="s">
        <v>59</v>
      </c>
      <c r="X69" t="s">
        <v>2071</v>
      </c>
      <c r="Y69" t="str">
        <f t="shared" si="14"/>
        <v>Dak Prescott</v>
      </c>
      <c r="Z69">
        <f>IF(AND(ISERROR(MATCH(Y69,'ROS Proj'!$A$2:$A$561,0)),LEFT(X69)&lt;&gt;"D"),Z68+1,Z68)</f>
        <v>0</v>
      </c>
      <c r="AI69">
        <f t="shared" si="16"/>
        <v>68</v>
      </c>
      <c r="AJ69" t="e">
        <f t="shared" si="15"/>
        <v>#N/A</v>
      </c>
    </row>
    <row r="70" spans="1:36" ht="15.75" thickBot="1" x14ac:dyDescent="0.3">
      <c r="A70" t="str">
        <f t="shared" si="12"/>
        <v>Mitchell Trubisky</v>
      </c>
      <c r="B70" t="str">
        <f t="shared" si="13"/>
        <v>QB21</v>
      </c>
      <c r="D70" s="135" t="s">
        <v>1929</v>
      </c>
      <c r="E70" s="134" t="s">
        <v>15</v>
      </c>
      <c r="F70" s="134" t="s">
        <v>1862</v>
      </c>
      <c r="G70" s="134" t="s">
        <v>1930</v>
      </c>
      <c r="H70" t="str">
        <f t="shared" si="8"/>
        <v>Carson Wentz</v>
      </c>
      <c r="J70" s="135" t="s">
        <v>3981</v>
      </c>
      <c r="K70" s="134" t="s">
        <v>87</v>
      </c>
      <c r="L70" s="134" t="s">
        <v>1865</v>
      </c>
      <c r="M70" s="134" t="s">
        <v>1931</v>
      </c>
      <c r="N70" t="str">
        <f t="shared" si="9"/>
        <v>Doug Baldwin</v>
      </c>
      <c r="P70" t="s">
        <v>162</v>
      </c>
      <c r="Q70">
        <f t="shared" si="11"/>
        <v>69</v>
      </c>
      <c r="R70" t="s">
        <v>114</v>
      </c>
      <c r="S70" t="str">
        <f>R70&amp;COUNTIF(R$2:R70,R70)</f>
        <v>TE7</v>
      </c>
      <c r="T70" t="str">
        <f t="shared" si="10"/>
        <v>TE7-69</v>
      </c>
      <c r="W70" t="s">
        <v>2531</v>
      </c>
      <c r="X70" t="s">
        <v>2138</v>
      </c>
      <c r="Y70" t="str">
        <f t="shared" si="14"/>
        <v>Mitchell Trubisky</v>
      </c>
      <c r="Z70">
        <f>IF(AND(ISERROR(MATCH(Y70,'ROS Proj'!$A$2:$A$561,0)),LEFT(X70)&lt;&gt;"D"),Z69+1,Z69)</f>
        <v>0</v>
      </c>
      <c r="AI70">
        <f t="shared" si="16"/>
        <v>69</v>
      </c>
      <c r="AJ70" t="e">
        <f t="shared" si="15"/>
        <v>#N/A</v>
      </c>
    </row>
    <row r="71" spans="1:36" ht="15.75" thickBot="1" x14ac:dyDescent="0.3">
      <c r="A71" t="str">
        <f t="shared" si="12"/>
        <v>James Conner</v>
      </c>
      <c r="B71" t="str">
        <f t="shared" si="13"/>
        <v>RB23</v>
      </c>
      <c r="D71" s="135" t="s">
        <v>3406</v>
      </c>
      <c r="E71" s="134" t="s">
        <v>87</v>
      </c>
      <c r="F71" s="134" t="s">
        <v>1935</v>
      </c>
      <c r="G71" s="134" t="s">
        <v>1931</v>
      </c>
      <c r="H71" t="str">
        <f t="shared" si="8"/>
        <v>Robby Anderson</v>
      </c>
      <c r="J71" s="135" t="s">
        <v>3982</v>
      </c>
      <c r="K71" s="134" t="s">
        <v>87</v>
      </c>
      <c r="L71" s="134" t="s">
        <v>1909</v>
      </c>
      <c r="M71" s="134" t="s">
        <v>1933</v>
      </c>
      <c r="N71" t="str">
        <f t="shared" si="9"/>
        <v>Marquise Goodwin</v>
      </c>
      <c r="P71" t="s">
        <v>116</v>
      </c>
      <c r="Q71">
        <f t="shared" si="11"/>
        <v>70</v>
      </c>
      <c r="R71" t="s">
        <v>87</v>
      </c>
      <c r="S71" t="str">
        <f>R71&amp;COUNTIF(R$2:R71,R71)</f>
        <v>WR30</v>
      </c>
      <c r="T71" t="str">
        <f t="shared" si="10"/>
        <v>WR30-70</v>
      </c>
      <c r="W71" t="s">
        <v>298</v>
      </c>
      <c r="X71" t="s">
        <v>1899</v>
      </c>
      <c r="Y71" t="str">
        <f t="shared" si="14"/>
        <v>James Conner</v>
      </c>
      <c r="Z71">
        <f>IF(AND(ISERROR(MATCH(Y71,'ROS Proj'!$A$2:$A$561,0)),LEFT(X71)&lt;&gt;"D"),Z70+1,Z70)</f>
        <v>0</v>
      </c>
      <c r="AI71">
        <f t="shared" si="16"/>
        <v>70</v>
      </c>
      <c r="AJ71" t="e">
        <f t="shared" si="15"/>
        <v>#N/A</v>
      </c>
    </row>
    <row r="72" spans="1:36" ht="15.75" thickBot="1" x14ac:dyDescent="0.3">
      <c r="A72" t="str">
        <f t="shared" si="12"/>
        <v>Case Keenum</v>
      </c>
      <c r="B72" t="str">
        <f t="shared" si="13"/>
        <v>QB22</v>
      </c>
      <c r="D72" s="135" t="s">
        <v>1932</v>
      </c>
      <c r="E72" s="134" t="s">
        <v>87</v>
      </c>
      <c r="F72" s="134" t="s">
        <v>1821</v>
      </c>
      <c r="G72" s="134" t="s">
        <v>1933</v>
      </c>
      <c r="H72" t="str">
        <f t="shared" si="8"/>
        <v>Sammy Watkins</v>
      </c>
      <c r="J72" s="135" t="s">
        <v>1932</v>
      </c>
      <c r="K72" s="134" t="s">
        <v>87</v>
      </c>
      <c r="L72" s="134" t="s">
        <v>1821</v>
      </c>
      <c r="M72" s="134" t="s">
        <v>1934</v>
      </c>
      <c r="N72" t="str">
        <f t="shared" si="9"/>
        <v>Sammy Watkins</v>
      </c>
      <c r="P72" t="s">
        <v>255</v>
      </c>
      <c r="Q72">
        <f t="shared" si="11"/>
        <v>71</v>
      </c>
      <c r="R72" t="s">
        <v>87</v>
      </c>
      <c r="S72" t="str">
        <f>R72&amp;COUNTIF(R$2:R72,R72)</f>
        <v>WR31</v>
      </c>
      <c r="T72" t="str">
        <f t="shared" si="10"/>
        <v>WR31-71</v>
      </c>
      <c r="W72" t="s">
        <v>1213</v>
      </c>
      <c r="X72" t="s">
        <v>2146</v>
      </c>
      <c r="Y72" t="str">
        <f t="shared" si="14"/>
        <v>Case Keenum</v>
      </c>
      <c r="Z72">
        <f>IF(AND(ISERROR(MATCH(Y72,'ROS Proj'!$A$2:$A$561,0)),LEFT(X72)&lt;&gt;"D"),Z71+1,Z71)</f>
        <v>0</v>
      </c>
      <c r="AI72">
        <f t="shared" si="16"/>
        <v>71</v>
      </c>
      <c r="AJ72" t="e">
        <f t="shared" si="15"/>
        <v>#N/A</v>
      </c>
    </row>
    <row r="73" spans="1:36" ht="15.75" thickBot="1" x14ac:dyDescent="0.3">
      <c r="A73" t="str">
        <f t="shared" si="12"/>
        <v>Kyle Rudolph</v>
      </c>
      <c r="B73" t="str">
        <f t="shared" si="13"/>
        <v>TE7</v>
      </c>
      <c r="D73" s="135" t="s">
        <v>3407</v>
      </c>
      <c r="E73" s="134" t="s">
        <v>87</v>
      </c>
      <c r="F73" s="134" t="s">
        <v>1043</v>
      </c>
      <c r="G73" s="134" t="s">
        <v>1934</v>
      </c>
      <c r="H73" t="str">
        <f t="shared" si="8"/>
        <v>Will Fuller V</v>
      </c>
      <c r="J73" s="135" t="s">
        <v>3983</v>
      </c>
      <c r="K73" s="134" t="s">
        <v>87</v>
      </c>
      <c r="L73" s="134" t="s">
        <v>1862</v>
      </c>
      <c r="M73" s="134" t="s">
        <v>1936</v>
      </c>
      <c r="N73" t="str">
        <f t="shared" si="9"/>
        <v>Nelson Agholor</v>
      </c>
      <c r="P73" t="s">
        <v>166</v>
      </c>
      <c r="Q73">
        <f t="shared" si="11"/>
        <v>72</v>
      </c>
      <c r="R73" t="s">
        <v>87</v>
      </c>
      <c r="S73" t="str">
        <f>R73&amp;COUNTIF(R$2:R73,R73)</f>
        <v>WR32</v>
      </c>
      <c r="T73" t="str">
        <f t="shared" si="10"/>
        <v>WR32-72</v>
      </c>
      <c r="W73" t="s">
        <v>181</v>
      </c>
      <c r="X73" t="s">
        <v>1951</v>
      </c>
      <c r="Y73" t="str">
        <f t="shared" si="14"/>
        <v>Kyle Rudolph</v>
      </c>
      <c r="Z73">
        <f>IF(AND(ISERROR(MATCH(Y73,'ROS Proj'!$A$2:$A$561,0)),LEFT(X73)&lt;&gt;"D"),Z72+1,Z72)</f>
        <v>0</v>
      </c>
      <c r="AI73">
        <f t="shared" si="16"/>
        <v>72</v>
      </c>
      <c r="AJ73" t="e">
        <f t="shared" si="15"/>
        <v>#N/A</v>
      </c>
    </row>
    <row r="74" spans="1:36" ht="15.75" thickBot="1" x14ac:dyDescent="0.3">
      <c r="A74" t="str">
        <f t="shared" si="12"/>
        <v>Aaron Jones</v>
      </c>
      <c r="B74" t="str">
        <f t="shared" si="13"/>
        <v>RB24</v>
      </c>
      <c r="D74" s="135" t="s">
        <v>3408</v>
      </c>
      <c r="E74" s="134" t="s">
        <v>87</v>
      </c>
      <c r="F74" s="134" t="s">
        <v>1862</v>
      </c>
      <c r="G74" s="134" t="s">
        <v>1936</v>
      </c>
      <c r="H74" t="str">
        <f t="shared" si="8"/>
        <v>Alshon Jeffery</v>
      </c>
      <c r="J74" s="135" t="s">
        <v>3984</v>
      </c>
      <c r="K74" s="134" t="s">
        <v>47</v>
      </c>
      <c r="L74" s="134" t="s">
        <v>1040</v>
      </c>
      <c r="M74" s="134" t="s">
        <v>1946</v>
      </c>
      <c r="N74" t="str">
        <f t="shared" si="9"/>
        <v>James Conner</v>
      </c>
      <c r="P74" t="s">
        <v>285</v>
      </c>
      <c r="Q74">
        <f t="shared" si="11"/>
        <v>73</v>
      </c>
      <c r="R74" t="s">
        <v>47</v>
      </c>
      <c r="S74" t="str">
        <f>R74&amp;COUNTIF(R$2:R74,R74)</f>
        <v>RB29</v>
      </c>
      <c r="T74" t="str">
        <f t="shared" si="10"/>
        <v>RB29-73</v>
      </c>
      <c r="W74" t="s">
        <v>281</v>
      </c>
      <c r="X74" t="s">
        <v>1900</v>
      </c>
      <c r="Y74" t="str">
        <f t="shared" si="14"/>
        <v>Aaron Jones</v>
      </c>
      <c r="Z74">
        <f>IF(AND(ISERROR(MATCH(Y74,'ROS Proj'!$A$2:$A$561,0)),LEFT(X74)&lt;&gt;"D"),Z73+1,Z73)</f>
        <v>0</v>
      </c>
      <c r="AI74">
        <f t="shared" si="16"/>
        <v>73</v>
      </c>
      <c r="AJ74" t="e">
        <f t="shared" si="15"/>
        <v>#N/A</v>
      </c>
    </row>
    <row r="75" spans="1:36" ht="15.75" thickBot="1" x14ac:dyDescent="0.3">
      <c r="A75" t="str">
        <f t="shared" si="12"/>
        <v>Rams D/ST</v>
      </c>
      <c r="B75" t="str">
        <f t="shared" si="13"/>
        <v>DST2</v>
      </c>
      <c r="D75" s="135" t="s">
        <v>3409</v>
      </c>
      <c r="E75" s="134" t="s">
        <v>87</v>
      </c>
      <c r="F75" s="134" t="s">
        <v>1038</v>
      </c>
      <c r="G75" s="134" t="s">
        <v>1937</v>
      </c>
      <c r="H75" t="str">
        <f t="shared" si="8"/>
        <v>Cooper Kupp</v>
      </c>
      <c r="J75" s="135" t="s">
        <v>3985</v>
      </c>
      <c r="K75" s="134" t="s">
        <v>47</v>
      </c>
      <c r="L75" s="134" t="s">
        <v>1872</v>
      </c>
      <c r="M75" s="134" t="s">
        <v>1949</v>
      </c>
      <c r="N75" t="str">
        <f t="shared" si="9"/>
        <v>Duke Johnson Jr.</v>
      </c>
      <c r="P75" t="s">
        <v>235</v>
      </c>
      <c r="Q75">
        <f t="shared" si="11"/>
        <v>74</v>
      </c>
      <c r="R75" t="s">
        <v>114</v>
      </c>
      <c r="S75" t="str">
        <f>R75&amp;COUNTIF(R$2:R75,R75)</f>
        <v>TE8</v>
      </c>
      <c r="T75" t="str">
        <f t="shared" si="10"/>
        <v>TE8-74</v>
      </c>
      <c r="W75" t="s">
        <v>4864</v>
      </c>
      <c r="X75" t="s">
        <v>2074</v>
      </c>
      <c r="Y75" t="str">
        <f t="shared" si="14"/>
        <v>Rams D/ST</v>
      </c>
      <c r="Z75">
        <f>IF(AND(ISERROR(MATCH(Y75,'ROS Proj'!$A$2:$A$561,0)),LEFT(X75)&lt;&gt;"D"),Z74+1,Z74)</f>
        <v>0</v>
      </c>
      <c r="AI75">
        <f t="shared" si="16"/>
        <v>74</v>
      </c>
      <c r="AJ75" t="e">
        <f t="shared" si="15"/>
        <v>#N/A</v>
      </c>
    </row>
    <row r="76" spans="1:36" ht="15.75" thickBot="1" x14ac:dyDescent="0.3">
      <c r="A76" t="str">
        <f t="shared" si="12"/>
        <v>David Njoku</v>
      </c>
      <c r="B76" t="str">
        <f t="shared" si="13"/>
        <v>TE8</v>
      </c>
      <c r="D76" s="135" t="s">
        <v>3410</v>
      </c>
      <c r="E76" s="134" t="s">
        <v>87</v>
      </c>
      <c r="F76" s="134" t="s">
        <v>1045</v>
      </c>
      <c r="G76" s="134" t="s">
        <v>1938</v>
      </c>
      <c r="H76" t="str">
        <f t="shared" ref="H76:H100" si="17">RIGHT(D76,LEN(D76)-4)</f>
        <v>Josh Doctson</v>
      </c>
      <c r="J76" s="135" t="s">
        <v>3986</v>
      </c>
      <c r="K76" s="134" t="s">
        <v>114</v>
      </c>
      <c r="L76" s="134" t="s">
        <v>1048</v>
      </c>
      <c r="M76" s="134" t="s">
        <v>1951</v>
      </c>
      <c r="N76" t="str">
        <f t="shared" ref="N76:N100" si="18">RIGHT(J76,LEN(J76)-4)</f>
        <v>Kyle Rudolph</v>
      </c>
      <c r="P76" t="s">
        <v>160</v>
      </c>
      <c r="Q76">
        <f t="shared" si="11"/>
        <v>75</v>
      </c>
      <c r="R76" t="s">
        <v>87</v>
      </c>
      <c r="S76" t="str">
        <f>R76&amp;COUNTIF(R$2:R76,R76)</f>
        <v>WR33</v>
      </c>
      <c r="T76" t="str">
        <f t="shared" si="10"/>
        <v>WR33-75</v>
      </c>
      <c r="W76" t="s">
        <v>215</v>
      </c>
      <c r="X76" t="s">
        <v>1960</v>
      </c>
      <c r="Y76" t="str">
        <f t="shared" si="14"/>
        <v>David Njoku</v>
      </c>
      <c r="Z76">
        <f>IF(AND(ISERROR(MATCH(Y76,'ROS Proj'!$A$2:$A$561,0)),LEFT(X76)&lt;&gt;"D"),Z75+1,Z75)</f>
        <v>0</v>
      </c>
      <c r="AI76">
        <f t="shared" si="16"/>
        <v>75</v>
      </c>
      <c r="AJ76" t="e">
        <f t="shared" si="15"/>
        <v>#N/A</v>
      </c>
    </row>
    <row r="77" spans="1:36" ht="15.75" thickBot="1" x14ac:dyDescent="0.3">
      <c r="A77" t="str">
        <f t="shared" si="12"/>
        <v>Blake Bortles</v>
      </c>
      <c r="B77" t="str">
        <f t="shared" si="13"/>
        <v>QB23</v>
      </c>
      <c r="D77" s="135" t="s">
        <v>3411</v>
      </c>
      <c r="E77" s="134" t="s">
        <v>87</v>
      </c>
      <c r="F77" s="134" t="s">
        <v>1909</v>
      </c>
      <c r="G77" s="134" t="s">
        <v>1939</v>
      </c>
      <c r="H77" t="str">
        <f t="shared" si="17"/>
        <v>Pierre Garcon</v>
      </c>
      <c r="J77" s="135" t="s">
        <v>3987</v>
      </c>
      <c r="K77" s="134" t="s">
        <v>87</v>
      </c>
      <c r="L77" s="134" t="s">
        <v>1045</v>
      </c>
      <c r="M77" s="134" t="s">
        <v>1937</v>
      </c>
      <c r="N77" t="str">
        <f t="shared" si="18"/>
        <v>Jamison Crowder</v>
      </c>
      <c r="P77" t="s">
        <v>125</v>
      </c>
      <c r="Q77">
        <f t="shared" si="11"/>
        <v>76</v>
      </c>
      <c r="R77" t="s">
        <v>87</v>
      </c>
      <c r="S77" t="str">
        <f>R77&amp;COUNTIF(R$2:R77,R77)</f>
        <v>WR34</v>
      </c>
      <c r="T77" t="str">
        <f t="shared" ref="T77:T140" si="19">S77&amp;"-"&amp;Q77</f>
        <v>WR34-76</v>
      </c>
      <c r="W77" t="s">
        <v>79</v>
      </c>
      <c r="X77" t="s">
        <v>2148</v>
      </c>
      <c r="Y77" t="str">
        <f t="shared" si="14"/>
        <v>Blake Bortles</v>
      </c>
      <c r="Z77">
        <f>IF(AND(ISERROR(MATCH(Y77,'ROS Proj'!$A$2:$A$561,0)),LEFT(X77)&lt;&gt;"D"),Z76+1,Z76)</f>
        <v>0</v>
      </c>
      <c r="AI77">
        <f t="shared" si="16"/>
        <v>76</v>
      </c>
      <c r="AJ77" t="e">
        <f t="shared" si="15"/>
        <v>#N/A</v>
      </c>
    </row>
    <row r="78" spans="1:36" ht="15.75" thickBot="1" x14ac:dyDescent="0.3">
      <c r="A78" t="str">
        <f t="shared" si="12"/>
        <v>Vikings D/ST</v>
      </c>
      <c r="B78" t="str">
        <f t="shared" si="13"/>
        <v>DST3</v>
      </c>
      <c r="D78" s="135" t="s">
        <v>1940</v>
      </c>
      <c r="E78" s="134" t="s">
        <v>114</v>
      </c>
      <c r="F78" s="134" t="s">
        <v>1831</v>
      </c>
      <c r="G78" s="134" t="s">
        <v>1941</v>
      </c>
      <c r="H78" t="str">
        <f t="shared" si="17"/>
        <v>Greg Olsen</v>
      </c>
      <c r="J78" s="135" t="s">
        <v>3988</v>
      </c>
      <c r="K78" s="134" t="s">
        <v>87</v>
      </c>
      <c r="L78" s="134" t="s">
        <v>1839</v>
      </c>
      <c r="M78" s="134" t="s">
        <v>1938</v>
      </c>
      <c r="N78" t="str">
        <f t="shared" si="18"/>
        <v>Julian Edelman</v>
      </c>
      <c r="P78" t="s">
        <v>181</v>
      </c>
      <c r="Q78">
        <f t="shared" ref="Q78:Q141" si="20">Q77+1</f>
        <v>77</v>
      </c>
      <c r="R78" t="s">
        <v>114</v>
      </c>
      <c r="S78" t="str">
        <f>R78&amp;COUNTIF(R$2:R78,R78)</f>
        <v>TE9</v>
      </c>
      <c r="T78" t="str">
        <f t="shared" si="19"/>
        <v>TE9-77</v>
      </c>
      <c r="W78" t="s">
        <v>4863</v>
      </c>
      <c r="X78" t="s">
        <v>2076</v>
      </c>
      <c r="Y78" t="str">
        <f t="shared" si="14"/>
        <v>Vikings D/ST</v>
      </c>
      <c r="Z78">
        <f>IF(AND(ISERROR(MATCH(Y78,'ROS Proj'!$A$2:$A$561,0)),LEFT(X78)&lt;&gt;"D"),Z77+1,Z77)</f>
        <v>0</v>
      </c>
      <c r="AI78">
        <f t="shared" si="16"/>
        <v>77</v>
      </c>
      <c r="AJ78" t="e">
        <f t="shared" si="15"/>
        <v>#N/A</v>
      </c>
    </row>
    <row r="79" spans="1:36" ht="15.75" thickBot="1" x14ac:dyDescent="0.3">
      <c r="A79" t="str">
        <f t="shared" si="12"/>
        <v>LeSean McCoy</v>
      </c>
      <c r="B79" t="str">
        <f t="shared" si="13"/>
        <v>RB25</v>
      </c>
      <c r="D79" s="135" t="s">
        <v>1942</v>
      </c>
      <c r="E79" s="134" t="s">
        <v>114</v>
      </c>
      <c r="F79" s="134" t="s">
        <v>1887</v>
      </c>
      <c r="G79" s="134" t="s">
        <v>1943</v>
      </c>
      <c r="H79" t="str">
        <f t="shared" si="17"/>
        <v>Delanie Walker</v>
      </c>
      <c r="J79" s="135" t="s">
        <v>3989</v>
      </c>
      <c r="K79" s="134" t="s">
        <v>15</v>
      </c>
      <c r="L79" s="134" t="s">
        <v>1831</v>
      </c>
      <c r="M79" s="134" t="s">
        <v>1924</v>
      </c>
      <c r="N79" t="str">
        <f t="shared" si="18"/>
        <v>Cam Newton</v>
      </c>
      <c r="P79" t="s">
        <v>117</v>
      </c>
      <c r="Q79">
        <f t="shared" si="20"/>
        <v>78</v>
      </c>
      <c r="R79" t="s">
        <v>47</v>
      </c>
      <c r="S79" t="str">
        <f>R79&amp;COUNTIF(R$2:R79,R79)</f>
        <v>RB30</v>
      </c>
      <c r="T79" t="str">
        <f t="shared" si="19"/>
        <v>RB30-78</v>
      </c>
      <c r="W79" t="s">
        <v>81</v>
      </c>
      <c r="X79" t="s">
        <v>1910</v>
      </c>
      <c r="Y79" t="str">
        <f t="shared" si="14"/>
        <v>LeSean McCoy</v>
      </c>
      <c r="Z79">
        <f>IF(AND(ISERROR(MATCH(Y79,'ROS Proj'!$A$2:$A$561,0)),LEFT(X79)&lt;&gt;"D"),Z78+1,Z78)</f>
        <v>0</v>
      </c>
      <c r="AI79">
        <f t="shared" si="16"/>
        <v>78</v>
      </c>
      <c r="AJ79" t="e">
        <f t="shared" si="15"/>
        <v>#N/A</v>
      </c>
    </row>
    <row r="80" spans="1:36" ht="15.75" thickBot="1" x14ac:dyDescent="0.3">
      <c r="A80" t="str">
        <f t="shared" si="12"/>
        <v>Kerryon Johnson</v>
      </c>
      <c r="B80" t="str">
        <f t="shared" si="13"/>
        <v>RB26</v>
      </c>
      <c r="D80" s="135" t="s">
        <v>1944</v>
      </c>
      <c r="E80" s="134" t="s">
        <v>114</v>
      </c>
      <c r="F80" s="134" t="s">
        <v>1811</v>
      </c>
      <c r="G80" s="134" t="s">
        <v>1945</v>
      </c>
      <c r="H80" t="str">
        <f t="shared" si="17"/>
        <v>Evan Engram</v>
      </c>
      <c r="J80" s="135" t="s">
        <v>3990</v>
      </c>
      <c r="K80" s="134" t="s">
        <v>15</v>
      </c>
      <c r="L80" s="134" t="s">
        <v>1865</v>
      </c>
      <c r="M80" s="134" t="s">
        <v>1926</v>
      </c>
      <c r="N80" t="str">
        <f t="shared" si="18"/>
        <v>Russell Wilson</v>
      </c>
      <c r="P80" t="s">
        <v>419</v>
      </c>
      <c r="Q80">
        <f t="shared" si="20"/>
        <v>79</v>
      </c>
      <c r="R80" t="s">
        <v>770</v>
      </c>
      <c r="S80" t="str">
        <f>R80&amp;COUNTIF(R$2:R80,R80)</f>
        <v>D1</v>
      </c>
      <c r="T80" t="str">
        <f t="shared" si="19"/>
        <v>D1-79</v>
      </c>
      <c r="W80" t="s">
        <v>1326</v>
      </c>
      <c r="X80" t="s">
        <v>1915</v>
      </c>
      <c r="Y80" t="str">
        <f t="shared" si="14"/>
        <v>Kerryon Johnson</v>
      </c>
      <c r="Z80">
        <f>IF(AND(ISERROR(MATCH(Y80,'ROS Proj'!$A$2:$A$561,0)),LEFT(X80)&lt;&gt;"D"),Z79+1,Z79)</f>
        <v>0</v>
      </c>
      <c r="AI80">
        <f t="shared" si="16"/>
        <v>79</v>
      </c>
      <c r="AJ80" t="e">
        <f t="shared" si="15"/>
        <v>#N/A</v>
      </c>
    </row>
    <row r="81" spans="1:36" ht="15.75" thickBot="1" x14ac:dyDescent="0.3">
      <c r="A81" t="str">
        <f t="shared" si="12"/>
        <v>Larry Fitzgerald</v>
      </c>
      <c r="B81" t="str">
        <f t="shared" si="13"/>
        <v>WR20</v>
      </c>
      <c r="D81" s="135" t="s">
        <v>3412</v>
      </c>
      <c r="E81" s="134" t="s">
        <v>47</v>
      </c>
      <c r="F81" s="134" t="s">
        <v>1845</v>
      </c>
      <c r="G81" s="134" t="s">
        <v>1946</v>
      </c>
      <c r="H81" t="str">
        <f t="shared" si="17"/>
        <v>Peyton Barber</v>
      </c>
      <c r="J81" s="135" t="s">
        <v>3991</v>
      </c>
      <c r="K81" s="134" t="s">
        <v>15</v>
      </c>
      <c r="L81" s="134" t="s">
        <v>815</v>
      </c>
      <c r="M81" s="134" t="s">
        <v>1928</v>
      </c>
      <c r="N81" t="str">
        <f t="shared" si="18"/>
        <v>Andrew Luck</v>
      </c>
      <c r="P81" t="s">
        <v>183</v>
      </c>
      <c r="Q81">
        <f t="shared" si="20"/>
        <v>80</v>
      </c>
      <c r="R81" t="s">
        <v>47</v>
      </c>
      <c r="S81" t="str">
        <f>R81&amp;COUNTIF(R$2:R81,R81)</f>
        <v>RB31</v>
      </c>
      <c r="T81" t="str">
        <f t="shared" si="19"/>
        <v>RB31-80</v>
      </c>
      <c r="W81" t="s">
        <v>140</v>
      </c>
      <c r="X81" t="s">
        <v>1881</v>
      </c>
      <c r="Y81" t="str">
        <f t="shared" si="14"/>
        <v>Larry Fitzgerald</v>
      </c>
      <c r="Z81">
        <f>IF(AND(ISERROR(MATCH(Y81,'ROS Proj'!$A$2:$A$561,0)),LEFT(X81)&lt;&gt;"D"),Z80+1,Z80)</f>
        <v>0</v>
      </c>
      <c r="AI81">
        <f t="shared" si="16"/>
        <v>80</v>
      </c>
      <c r="AJ81" t="e">
        <f t="shared" si="15"/>
        <v>#N/A</v>
      </c>
    </row>
    <row r="82" spans="1:36" ht="15.75" thickBot="1" x14ac:dyDescent="0.3">
      <c r="A82" t="str">
        <f t="shared" si="12"/>
        <v>Dion Lewis</v>
      </c>
      <c r="B82" t="str">
        <f t="shared" si="13"/>
        <v>RB27</v>
      </c>
      <c r="D82" s="135" t="s">
        <v>3413</v>
      </c>
      <c r="E82" s="134" t="s">
        <v>87</v>
      </c>
      <c r="F82" s="134" t="s">
        <v>1050</v>
      </c>
      <c r="G82" s="134" t="s">
        <v>1947</v>
      </c>
      <c r="H82" t="str">
        <f t="shared" si="17"/>
        <v>Kelvin Benjamin</v>
      </c>
      <c r="J82" s="135" t="s">
        <v>3992</v>
      </c>
      <c r="K82" s="134" t="s">
        <v>15</v>
      </c>
      <c r="L82" s="134" t="s">
        <v>1043</v>
      </c>
      <c r="M82" s="134" t="s">
        <v>1930</v>
      </c>
      <c r="N82" t="str">
        <f t="shared" si="18"/>
        <v>Deshaun Watson</v>
      </c>
      <c r="P82" t="s">
        <v>33</v>
      </c>
      <c r="Q82">
        <f t="shared" si="20"/>
        <v>81</v>
      </c>
      <c r="R82" t="s">
        <v>15</v>
      </c>
      <c r="S82" t="str">
        <f>R82&amp;COUNTIF(R$2:R82,R82)</f>
        <v>QB6</v>
      </c>
      <c r="T82" t="str">
        <f t="shared" si="19"/>
        <v>QB6-81</v>
      </c>
      <c r="W82" t="s">
        <v>207</v>
      </c>
      <c r="X82" t="s">
        <v>1916</v>
      </c>
      <c r="Y82" t="str">
        <f t="shared" si="14"/>
        <v>Dion Lewis</v>
      </c>
      <c r="Z82">
        <f>IF(AND(ISERROR(MATCH(Y82,'ROS Proj'!$A$2:$A$561,0)),LEFT(X82)&lt;&gt;"D"),Z81+1,Z81)</f>
        <v>0</v>
      </c>
      <c r="AI82">
        <f t="shared" si="16"/>
        <v>81</v>
      </c>
      <c r="AJ82" t="e">
        <f t="shared" si="15"/>
        <v>#N/A</v>
      </c>
    </row>
    <row r="83" spans="1:36" ht="15.75" thickBot="1" x14ac:dyDescent="0.3">
      <c r="A83" t="str">
        <f t="shared" si="12"/>
        <v>Bears D/ST</v>
      </c>
      <c r="B83" t="str">
        <f t="shared" si="13"/>
        <v>DST4</v>
      </c>
      <c r="D83" s="135" t="s">
        <v>3414</v>
      </c>
      <c r="E83" s="134" t="s">
        <v>87</v>
      </c>
      <c r="F83" s="134" t="s">
        <v>1053</v>
      </c>
      <c r="G83" s="134" t="s">
        <v>1948</v>
      </c>
      <c r="H83" t="str">
        <f t="shared" si="17"/>
        <v>Kenny Stills</v>
      </c>
      <c r="J83" s="135" t="s">
        <v>3993</v>
      </c>
      <c r="K83" s="134" t="s">
        <v>87</v>
      </c>
      <c r="L83" s="134" t="s">
        <v>1811</v>
      </c>
      <c r="M83" s="134" t="s">
        <v>1939</v>
      </c>
      <c r="N83" t="str">
        <f t="shared" si="18"/>
        <v>Sterling Shepard</v>
      </c>
      <c r="P83" t="s">
        <v>1336</v>
      </c>
      <c r="Q83">
        <f t="shared" si="20"/>
        <v>82</v>
      </c>
      <c r="R83" t="s">
        <v>47</v>
      </c>
      <c r="S83" t="str">
        <f>R83&amp;COUNTIF(R$2:R83,R83)</f>
        <v>RB32</v>
      </c>
      <c r="T83" t="str">
        <f t="shared" si="19"/>
        <v>RB32-82</v>
      </c>
      <c r="W83" t="s">
        <v>4865</v>
      </c>
      <c r="X83" t="s">
        <v>2078</v>
      </c>
      <c r="Y83" t="str">
        <f t="shared" si="14"/>
        <v>Bears D/ST</v>
      </c>
      <c r="Z83">
        <f>IF(AND(ISERROR(MATCH(Y83,'ROS Proj'!$A$2:$A$561,0)),LEFT(X83)&lt;&gt;"D"),Z82+1,Z82)</f>
        <v>0</v>
      </c>
      <c r="AI83">
        <f t="shared" si="16"/>
        <v>82</v>
      </c>
      <c r="AJ83" t="e">
        <f t="shared" si="15"/>
        <v>#N/A</v>
      </c>
    </row>
    <row r="84" spans="1:36" ht="15.75" thickBot="1" x14ac:dyDescent="0.3">
      <c r="A84" t="str">
        <f t="shared" si="12"/>
        <v>Chris Thompson</v>
      </c>
      <c r="B84" t="str">
        <f t="shared" si="13"/>
        <v>RB28</v>
      </c>
      <c r="D84" s="135" t="s">
        <v>3415</v>
      </c>
      <c r="E84" s="134" t="s">
        <v>47</v>
      </c>
      <c r="F84" s="134" t="s">
        <v>1935</v>
      </c>
      <c r="G84" s="134" t="s">
        <v>1949</v>
      </c>
      <c r="H84" t="str">
        <f t="shared" si="17"/>
        <v>Isaiah Crowell</v>
      </c>
      <c r="J84" s="135" t="s">
        <v>3994</v>
      </c>
      <c r="K84" s="134" t="s">
        <v>87</v>
      </c>
      <c r="L84" s="134" t="s">
        <v>1909</v>
      </c>
      <c r="M84" s="134" t="s">
        <v>1947</v>
      </c>
      <c r="N84" t="str">
        <f t="shared" si="18"/>
        <v>Pierre Garcon</v>
      </c>
      <c r="P84" t="s">
        <v>251</v>
      </c>
      <c r="Q84">
        <f t="shared" si="20"/>
        <v>83</v>
      </c>
      <c r="R84" t="s">
        <v>87</v>
      </c>
      <c r="S84" t="str">
        <f>R84&amp;COUNTIF(R$2:R84,R84)</f>
        <v>WR35</v>
      </c>
      <c r="T84" t="str">
        <f t="shared" si="19"/>
        <v>WR35-83</v>
      </c>
      <c r="W84" t="s">
        <v>202</v>
      </c>
      <c r="X84" t="s">
        <v>1917</v>
      </c>
      <c r="Y84" t="str">
        <f t="shared" si="14"/>
        <v>Chris Thompson</v>
      </c>
      <c r="Z84">
        <f>IF(AND(ISERROR(MATCH(Y84,'ROS Proj'!$A$2:$A$561,0)),LEFT(X84)&lt;&gt;"D"),Z83+1,Z83)</f>
        <v>0</v>
      </c>
      <c r="AI84">
        <f t="shared" si="16"/>
        <v>83</v>
      </c>
      <c r="AJ84" t="e">
        <f t="shared" si="15"/>
        <v>#N/A</v>
      </c>
    </row>
    <row r="85" spans="1:36" ht="15.75" thickBot="1" x14ac:dyDescent="0.3">
      <c r="A85" t="str">
        <f t="shared" si="12"/>
        <v>Jack Doyle</v>
      </c>
      <c r="B85" t="str">
        <f t="shared" si="13"/>
        <v>TE9</v>
      </c>
      <c r="D85" s="135" t="s">
        <v>1950</v>
      </c>
      <c r="E85" s="134" t="s">
        <v>114</v>
      </c>
      <c r="F85" s="134" t="s">
        <v>1842</v>
      </c>
      <c r="G85" s="134" t="s">
        <v>1951</v>
      </c>
      <c r="H85" t="str">
        <f t="shared" si="17"/>
        <v>Jimmy Graham</v>
      </c>
      <c r="J85" s="135" t="s">
        <v>3995</v>
      </c>
      <c r="K85" s="134" t="s">
        <v>87</v>
      </c>
      <c r="L85" s="134" t="s">
        <v>1043</v>
      </c>
      <c r="M85" s="134" t="s">
        <v>1948</v>
      </c>
      <c r="N85" t="str">
        <f t="shared" si="18"/>
        <v>Will Fuller V</v>
      </c>
      <c r="P85" t="s">
        <v>236</v>
      </c>
      <c r="Q85">
        <f t="shared" si="20"/>
        <v>84</v>
      </c>
      <c r="R85" t="s">
        <v>47</v>
      </c>
      <c r="S85" t="str">
        <f>R85&amp;COUNTIF(R$2:R85,R85)</f>
        <v>RB33</v>
      </c>
      <c r="T85" t="str">
        <f t="shared" si="19"/>
        <v>RB33-84</v>
      </c>
      <c r="W85" t="s">
        <v>189</v>
      </c>
      <c r="X85" t="s">
        <v>1970</v>
      </c>
      <c r="Y85" t="str">
        <f t="shared" si="14"/>
        <v>Jack Doyle</v>
      </c>
      <c r="Z85">
        <f>IF(AND(ISERROR(MATCH(Y85,'ROS Proj'!$A$2:$A$561,0)),LEFT(X85)&lt;&gt;"D"),Z84+1,Z84)</f>
        <v>0</v>
      </c>
      <c r="AI85">
        <f t="shared" si="16"/>
        <v>84</v>
      </c>
      <c r="AJ85" t="e">
        <f t="shared" si="15"/>
        <v>#N/A</v>
      </c>
    </row>
    <row r="86" spans="1:36" ht="15.75" thickBot="1" x14ac:dyDescent="0.3">
      <c r="A86" t="str">
        <f t="shared" si="12"/>
        <v>Joe Flacco</v>
      </c>
      <c r="B86" t="str">
        <f t="shared" si="13"/>
        <v>QB24</v>
      </c>
      <c r="D86" s="135" t="s">
        <v>3416</v>
      </c>
      <c r="E86" s="134" t="s">
        <v>47</v>
      </c>
      <c r="F86" s="134" t="s">
        <v>1872</v>
      </c>
      <c r="G86" s="134" t="s">
        <v>1952</v>
      </c>
      <c r="H86" t="str">
        <f t="shared" si="17"/>
        <v>Duke Johnson Jr.</v>
      </c>
      <c r="J86" s="135" t="s">
        <v>3996</v>
      </c>
      <c r="K86" s="134" t="s">
        <v>47</v>
      </c>
      <c r="L86" s="134" t="s">
        <v>1052</v>
      </c>
      <c r="M86" s="134" t="s">
        <v>1952</v>
      </c>
      <c r="N86" t="str">
        <f t="shared" si="18"/>
        <v>Tevin Coleman</v>
      </c>
      <c r="P86" t="s">
        <v>150</v>
      </c>
      <c r="Q86">
        <f t="shared" si="20"/>
        <v>85</v>
      </c>
      <c r="R86" t="s">
        <v>87</v>
      </c>
      <c r="S86" t="str">
        <f>R86&amp;COUNTIF(R$2:R86,R86)</f>
        <v>WR36</v>
      </c>
      <c r="T86" t="str">
        <f t="shared" si="19"/>
        <v>WR36-85</v>
      </c>
      <c r="W86" t="s">
        <v>82</v>
      </c>
      <c r="X86" t="s">
        <v>2184</v>
      </c>
      <c r="Y86" t="str">
        <f t="shared" si="14"/>
        <v>Joe Flacco</v>
      </c>
      <c r="Z86">
        <f>IF(AND(ISERROR(MATCH(Y86,'ROS Proj'!$A$2:$A$561,0)),LEFT(X86)&lt;&gt;"D"),Z85+1,Z85)</f>
        <v>0</v>
      </c>
      <c r="AI86">
        <f t="shared" si="16"/>
        <v>85</v>
      </c>
      <c r="AJ86" t="e">
        <f t="shared" si="15"/>
        <v>#N/A</v>
      </c>
    </row>
    <row r="87" spans="1:36" ht="15.75" thickBot="1" x14ac:dyDescent="0.3">
      <c r="A87" t="str">
        <f t="shared" si="12"/>
        <v>George Kittle</v>
      </c>
      <c r="B87" t="str">
        <f t="shared" si="13"/>
        <v>TE10</v>
      </c>
      <c r="D87" s="135" t="s">
        <v>1953</v>
      </c>
      <c r="E87" s="134" t="s">
        <v>47</v>
      </c>
      <c r="F87" s="134" t="s">
        <v>1865</v>
      </c>
      <c r="G87" s="134" t="s">
        <v>1954</v>
      </c>
      <c r="H87" t="str">
        <f t="shared" si="17"/>
        <v>Rashaad Penny</v>
      </c>
      <c r="J87" s="135" t="s">
        <v>3997</v>
      </c>
      <c r="K87" s="134" t="s">
        <v>47</v>
      </c>
      <c r="L87" s="134" t="s">
        <v>1935</v>
      </c>
      <c r="M87" s="134" t="s">
        <v>1954</v>
      </c>
      <c r="N87" t="str">
        <f t="shared" si="18"/>
        <v>Isaiah Crowell</v>
      </c>
      <c r="P87" t="s">
        <v>420</v>
      </c>
      <c r="Q87">
        <f t="shared" si="20"/>
        <v>86</v>
      </c>
      <c r="R87" t="s">
        <v>770</v>
      </c>
      <c r="S87" t="str">
        <f>R87&amp;COUNTIF(R$2:R87,R87)</f>
        <v>D2</v>
      </c>
      <c r="T87" t="str">
        <f t="shared" si="19"/>
        <v>D2-86</v>
      </c>
      <c r="W87" t="s">
        <v>264</v>
      </c>
      <c r="X87" t="s">
        <v>1985</v>
      </c>
      <c r="Y87" t="str">
        <f t="shared" si="14"/>
        <v>George Kittle</v>
      </c>
      <c r="Z87">
        <f>IF(AND(ISERROR(MATCH(Y87,'ROS Proj'!$A$2:$A$561,0)),LEFT(X87)&lt;&gt;"D"),Z86+1,Z86)</f>
        <v>0</v>
      </c>
      <c r="AI87">
        <f t="shared" si="16"/>
        <v>86</v>
      </c>
      <c r="AJ87" t="e">
        <f t="shared" si="15"/>
        <v>#N/A</v>
      </c>
    </row>
    <row r="88" spans="1:36" ht="15.75" thickBot="1" x14ac:dyDescent="0.3">
      <c r="A88" t="str">
        <f t="shared" si="12"/>
        <v>Phillip Lindsay</v>
      </c>
      <c r="B88" t="str">
        <f t="shared" si="13"/>
        <v>RB29</v>
      </c>
      <c r="D88" s="135" t="s">
        <v>3417</v>
      </c>
      <c r="E88" s="134" t="s">
        <v>47</v>
      </c>
      <c r="F88" s="134" t="s">
        <v>1045</v>
      </c>
      <c r="G88" s="134" t="s">
        <v>1955</v>
      </c>
      <c r="H88" t="str">
        <f t="shared" si="17"/>
        <v>Chris Thompson</v>
      </c>
      <c r="J88" s="135" t="s">
        <v>3998</v>
      </c>
      <c r="K88" s="134" t="s">
        <v>47</v>
      </c>
      <c r="L88" s="134" t="s">
        <v>1042</v>
      </c>
      <c r="M88" s="134" t="s">
        <v>1955</v>
      </c>
      <c r="N88" t="str">
        <f t="shared" si="18"/>
        <v>Tarik Cohen</v>
      </c>
      <c r="P88" t="s">
        <v>80</v>
      </c>
      <c r="Q88">
        <f t="shared" si="20"/>
        <v>87</v>
      </c>
      <c r="R88" t="s">
        <v>15</v>
      </c>
      <c r="S88" t="str">
        <f>R88&amp;COUNTIF(R$2:R88,R88)</f>
        <v>QB7</v>
      </c>
      <c r="T88" t="str">
        <f t="shared" si="19"/>
        <v>QB7-87</v>
      </c>
      <c r="W88" t="s">
        <v>3533</v>
      </c>
      <c r="X88" t="s">
        <v>1918</v>
      </c>
      <c r="Y88" t="str">
        <f t="shared" si="14"/>
        <v>Phillip Lindsay</v>
      </c>
      <c r="Z88">
        <f>IF(AND(ISERROR(MATCH(Y88,'ROS Proj'!$A$2:$A$561,0)),LEFT(X88)&lt;&gt;"D"),Z87+1,Z87)</f>
        <v>0</v>
      </c>
      <c r="AI88">
        <f t="shared" si="16"/>
        <v>87</v>
      </c>
      <c r="AJ88" t="e">
        <f t="shared" si="15"/>
        <v>#N/A</v>
      </c>
    </row>
    <row r="89" spans="1:36" ht="15.75" thickBot="1" x14ac:dyDescent="0.3">
      <c r="A89" t="str">
        <f t="shared" si="12"/>
        <v>Eagles D/ST</v>
      </c>
      <c r="B89" t="str">
        <f t="shared" si="13"/>
        <v>DST5</v>
      </c>
      <c r="D89" s="135" t="s">
        <v>1956</v>
      </c>
      <c r="E89" s="134" t="s">
        <v>87</v>
      </c>
      <c r="F89" s="134" t="s">
        <v>1862</v>
      </c>
      <c r="G89" s="134" t="s">
        <v>1957</v>
      </c>
      <c r="H89" t="str">
        <f t="shared" si="17"/>
        <v>Nelson Agholor</v>
      </c>
      <c r="J89" s="135" t="s">
        <v>3999</v>
      </c>
      <c r="K89" s="134" t="s">
        <v>47</v>
      </c>
      <c r="L89" s="134" t="s">
        <v>1045</v>
      </c>
      <c r="M89" s="134" t="s">
        <v>1964</v>
      </c>
      <c r="N89" t="str">
        <f t="shared" si="18"/>
        <v>Adrian Peterson</v>
      </c>
      <c r="P89" t="s">
        <v>171</v>
      </c>
      <c r="Q89">
        <f t="shared" si="20"/>
        <v>88</v>
      </c>
      <c r="R89" t="s">
        <v>87</v>
      </c>
      <c r="S89" t="str">
        <f>R89&amp;COUNTIF(R$2:R89,R89)</f>
        <v>WR37</v>
      </c>
      <c r="T89" t="str">
        <f t="shared" si="19"/>
        <v>WR37-88</v>
      </c>
      <c r="W89" t="s">
        <v>4866</v>
      </c>
      <c r="X89" t="s">
        <v>2079</v>
      </c>
      <c r="Y89" t="str">
        <f t="shared" si="14"/>
        <v>Eagles D/ST</v>
      </c>
      <c r="Z89">
        <f>IF(AND(ISERROR(MATCH(Y89,'ROS Proj'!$A$2:$A$561,0)),LEFT(X89)&lt;&gt;"D"),Z88+1,Z88)</f>
        <v>0</v>
      </c>
      <c r="AI89">
        <f t="shared" si="16"/>
        <v>88</v>
      </c>
      <c r="AJ89" t="e">
        <f t="shared" si="15"/>
        <v>#N/A</v>
      </c>
    </row>
    <row r="90" spans="1:36" ht="15.75" thickBot="1" x14ac:dyDescent="0.3">
      <c r="A90" t="str">
        <f t="shared" si="12"/>
        <v>Tevin Coleman</v>
      </c>
      <c r="B90" t="str">
        <f t="shared" si="13"/>
        <v>RB30</v>
      </c>
      <c r="D90" s="135" t="s">
        <v>3418</v>
      </c>
      <c r="E90" s="134" t="s">
        <v>87</v>
      </c>
      <c r="F90" s="134" t="s">
        <v>1045</v>
      </c>
      <c r="G90" s="134" t="s">
        <v>1958</v>
      </c>
      <c r="H90" t="str">
        <f t="shared" si="17"/>
        <v>Jamison Crowder</v>
      </c>
      <c r="J90" s="135" t="s">
        <v>4000</v>
      </c>
      <c r="K90" s="134" t="s">
        <v>47</v>
      </c>
      <c r="L90" s="134" t="s">
        <v>1909</v>
      </c>
      <c r="M90" s="134" t="s">
        <v>1965</v>
      </c>
      <c r="N90" t="str">
        <f t="shared" si="18"/>
        <v>Matt Breida</v>
      </c>
      <c r="P90" t="s">
        <v>53</v>
      </c>
      <c r="Q90">
        <f t="shared" si="20"/>
        <v>89</v>
      </c>
      <c r="R90" t="s">
        <v>15</v>
      </c>
      <c r="S90" t="str">
        <f>R90&amp;COUNTIF(R$2:R90,R90)</f>
        <v>QB8</v>
      </c>
      <c r="T90" t="str">
        <f t="shared" si="19"/>
        <v>QB8-89</v>
      </c>
      <c r="W90" t="s">
        <v>145</v>
      </c>
      <c r="X90" t="s">
        <v>1946</v>
      </c>
      <c r="Y90" t="str">
        <f t="shared" si="14"/>
        <v>Tevin Coleman</v>
      </c>
      <c r="Z90">
        <f>IF(AND(ISERROR(MATCH(Y90,'ROS Proj'!$A$2:$A$561,0)),LEFT(X90)&lt;&gt;"D"),Z89+1,Z89)</f>
        <v>0</v>
      </c>
      <c r="AI90">
        <f t="shared" si="16"/>
        <v>89</v>
      </c>
      <c r="AJ90" t="e">
        <f t="shared" si="15"/>
        <v>#N/A</v>
      </c>
    </row>
    <row r="91" spans="1:36" ht="15.75" thickBot="1" x14ac:dyDescent="0.3">
      <c r="A91" t="str">
        <f t="shared" si="12"/>
        <v>Rams D/ST</v>
      </c>
      <c r="B91" t="str">
        <f t="shared" si="13"/>
        <v>DST6</v>
      </c>
      <c r="D91" s="135" t="s">
        <v>1959</v>
      </c>
      <c r="E91" s="134" t="s">
        <v>114</v>
      </c>
      <c r="F91" s="134" t="s">
        <v>1045</v>
      </c>
      <c r="G91" s="134" t="s">
        <v>1960</v>
      </c>
      <c r="H91" t="str">
        <f t="shared" si="17"/>
        <v>Jordan Reed</v>
      </c>
      <c r="J91" s="135" t="s">
        <v>4001</v>
      </c>
      <c r="K91" s="134" t="s">
        <v>114</v>
      </c>
      <c r="L91" s="134" t="s">
        <v>815</v>
      </c>
      <c r="M91" s="134" t="s">
        <v>1960</v>
      </c>
      <c r="N91" t="str">
        <f t="shared" si="18"/>
        <v>Jack Doyle</v>
      </c>
      <c r="P91" t="s">
        <v>256</v>
      </c>
      <c r="Q91">
        <f t="shared" si="20"/>
        <v>90</v>
      </c>
      <c r="R91" t="s">
        <v>87</v>
      </c>
      <c r="S91" t="str">
        <f>R91&amp;COUNTIF(R$2:R91,R91)</f>
        <v>WR38</v>
      </c>
      <c r="T91" t="str">
        <f t="shared" si="19"/>
        <v>WR38-90</v>
      </c>
      <c r="W91" t="s">
        <v>4867</v>
      </c>
      <c r="X91" t="s">
        <v>2080</v>
      </c>
      <c r="Y91" t="str">
        <f t="shared" si="14"/>
        <v>Rams D/ST</v>
      </c>
      <c r="Z91">
        <f>IF(AND(ISERROR(MATCH(Y91,'ROS Proj'!$A$2:$A$561,0)),LEFT(X91)&lt;&gt;"D"),Z90+1,Z90)</f>
        <v>0</v>
      </c>
      <c r="AI91">
        <f t="shared" si="16"/>
        <v>90</v>
      </c>
      <c r="AJ91" t="e">
        <f t="shared" si="15"/>
        <v>#N/A</v>
      </c>
    </row>
    <row r="92" spans="1:36" ht="15.75" thickBot="1" x14ac:dyDescent="0.3">
      <c r="A92" t="str">
        <f t="shared" si="12"/>
        <v>Chris Carson</v>
      </c>
      <c r="B92" t="str">
        <f t="shared" si="13"/>
        <v>RB31</v>
      </c>
      <c r="D92" s="135" t="s">
        <v>3419</v>
      </c>
      <c r="E92" s="134" t="s">
        <v>87</v>
      </c>
      <c r="F92" s="134" t="s">
        <v>1870</v>
      </c>
      <c r="G92" s="134" t="s">
        <v>1961</v>
      </c>
      <c r="H92" t="str">
        <f t="shared" si="17"/>
        <v>Jordy Nelson</v>
      </c>
      <c r="J92" s="135" t="s">
        <v>4002</v>
      </c>
      <c r="K92" s="134" t="s">
        <v>15</v>
      </c>
      <c r="L92" s="134" t="s">
        <v>1862</v>
      </c>
      <c r="M92" s="134" t="s">
        <v>1996</v>
      </c>
      <c r="N92" t="str">
        <f t="shared" si="18"/>
        <v>Carson Wentz</v>
      </c>
      <c r="P92" t="s">
        <v>65</v>
      </c>
      <c r="Q92">
        <f t="shared" si="20"/>
        <v>91</v>
      </c>
      <c r="R92" t="s">
        <v>15</v>
      </c>
      <c r="S92" t="str">
        <f>R92&amp;COUNTIF(R$2:R92,R92)</f>
        <v>QB9</v>
      </c>
      <c r="T92" t="str">
        <f t="shared" si="19"/>
        <v>QB9-91</v>
      </c>
      <c r="W92" t="s">
        <v>834</v>
      </c>
      <c r="X92" t="s">
        <v>1949</v>
      </c>
      <c r="Y92" t="str">
        <f t="shared" si="14"/>
        <v>Chris Carson</v>
      </c>
      <c r="Z92">
        <f>IF(AND(ISERROR(MATCH(Y92,'ROS Proj'!$A$2:$A$561,0)),LEFT(X92)&lt;&gt;"D"),Z91+1,Z91)</f>
        <v>0</v>
      </c>
      <c r="AI92">
        <f t="shared" si="16"/>
        <v>91</v>
      </c>
      <c r="AJ92" t="e">
        <f t="shared" si="15"/>
        <v>#N/A</v>
      </c>
    </row>
    <row r="93" spans="1:36" ht="15.75" thickBot="1" x14ac:dyDescent="0.3">
      <c r="A93" t="str">
        <f t="shared" si="12"/>
        <v>Evan Engram</v>
      </c>
      <c r="B93" t="str">
        <f t="shared" si="13"/>
        <v>TE11</v>
      </c>
      <c r="D93" s="135" t="s">
        <v>3420</v>
      </c>
      <c r="E93" s="134" t="s">
        <v>87</v>
      </c>
      <c r="F93" s="134" t="s">
        <v>1823</v>
      </c>
      <c r="G93" s="134" t="s">
        <v>1962</v>
      </c>
      <c r="H93" t="str">
        <f t="shared" si="17"/>
        <v>Keelan Cole</v>
      </c>
      <c r="J93" s="135" t="s">
        <v>4003</v>
      </c>
      <c r="K93" s="134" t="s">
        <v>87</v>
      </c>
      <c r="L93" s="134" t="s">
        <v>1053</v>
      </c>
      <c r="M93" s="134" t="s">
        <v>1957</v>
      </c>
      <c r="N93" t="str">
        <f t="shared" si="18"/>
        <v>Kenny Stills</v>
      </c>
      <c r="P93" t="s">
        <v>1326</v>
      </c>
      <c r="Q93">
        <f t="shared" si="20"/>
        <v>92</v>
      </c>
      <c r="R93" t="s">
        <v>47</v>
      </c>
      <c r="S93" t="str">
        <f>R93&amp;COUNTIF(R$2:R93,R93)</f>
        <v>RB34</v>
      </c>
      <c r="T93" t="str">
        <f t="shared" si="19"/>
        <v>RB34-92</v>
      </c>
      <c r="W93" t="s">
        <v>235</v>
      </c>
      <c r="X93" t="s">
        <v>1987</v>
      </c>
      <c r="Y93" t="str">
        <f t="shared" si="14"/>
        <v>Evan Engram</v>
      </c>
      <c r="Z93">
        <f>IF(AND(ISERROR(MATCH(Y93,'ROS Proj'!$A$2:$A$561,0)),LEFT(X93)&lt;&gt;"D"),Z92+1,Z92)</f>
        <v>0</v>
      </c>
      <c r="AI93">
        <f t="shared" si="16"/>
        <v>92</v>
      </c>
      <c r="AJ93" t="e">
        <f t="shared" si="15"/>
        <v>#N/A</v>
      </c>
    </row>
    <row r="94" spans="1:36" ht="15.75" thickBot="1" x14ac:dyDescent="0.3">
      <c r="A94" t="str">
        <f t="shared" si="12"/>
        <v>Texans D/ST</v>
      </c>
      <c r="B94" t="str">
        <f t="shared" si="13"/>
        <v>DST7</v>
      </c>
      <c r="D94" s="135" t="s">
        <v>3421</v>
      </c>
      <c r="E94" s="134" t="s">
        <v>87</v>
      </c>
      <c r="F94" s="134" t="s">
        <v>1839</v>
      </c>
      <c r="G94" s="134" t="s">
        <v>1963</v>
      </c>
      <c r="H94" t="str">
        <f t="shared" si="17"/>
        <v>Julian Edelman</v>
      </c>
      <c r="J94" s="135" t="s">
        <v>4004</v>
      </c>
      <c r="K94" s="134" t="s">
        <v>87</v>
      </c>
      <c r="L94" s="134" t="s">
        <v>1870</v>
      </c>
      <c r="M94" s="134" t="s">
        <v>1958</v>
      </c>
      <c r="N94" t="str">
        <f t="shared" si="18"/>
        <v>Jordy Nelson</v>
      </c>
      <c r="P94" t="s">
        <v>95</v>
      </c>
      <c r="Q94">
        <f t="shared" si="20"/>
        <v>93</v>
      </c>
      <c r="R94" t="s">
        <v>15</v>
      </c>
      <c r="S94" t="str">
        <f>R94&amp;COUNTIF(R$2:R94,R94)</f>
        <v>QB10</v>
      </c>
      <c r="T94" t="str">
        <f t="shared" si="19"/>
        <v>QB10-93</v>
      </c>
      <c r="W94" t="s">
        <v>4869</v>
      </c>
      <c r="X94" t="s">
        <v>2088</v>
      </c>
      <c r="Y94" t="str">
        <f t="shared" si="14"/>
        <v>Texans D/ST</v>
      </c>
      <c r="Z94">
        <f>IF(AND(ISERROR(MATCH(Y94,'ROS Proj'!$A$2:$A$561,0)),LEFT(X94)&lt;&gt;"D"),Z93+1,Z93)</f>
        <v>0</v>
      </c>
      <c r="AI94">
        <f t="shared" si="16"/>
        <v>93</v>
      </c>
      <c r="AJ94" t="e">
        <f t="shared" si="15"/>
        <v>#N/A</v>
      </c>
    </row>
    <row r="95" spans="1:36" ht="15.75" thickBot="1" x14ac:dyDescent="0.3">
      <c r="A95" t="str">
        <f t="shared" si="12"/>
        <v>O.J. Howard</v>
      </c>
      <c r="B95" t="str">
        <f t="shared" si="13"/>
        <v>TE12</v>
      </c>
      <c r="D95" s="135" t="s">
        <v>3422</v>
      </c>
      <c r="E95" s="134" t="s">
        <v>47</v>
      </c>
      <c r="F95" s="134" t="s">
        <v>1842</v>
      </c>
      <c r="G95" s="134" t="s">
        <v>1964</v>
      </c>
      <c r="H95" t="str">
        <f t="shared" si="17"/>
        <v>Jamaal Williams</v>
      </c>
      <c r="J95" s="135" t="s">
        <v>4005</v>
      </c>
      <c r="K95" s="134" t="s">
        <v>87</v>
      </c>
      <c r="L95" s="134" t="s">
        <v>1882</v>
      </c>
      <c r="M95" s="134" t="s">
        <v>1961</v>
      </c>
      <c r="N95" t="str">
        <f t="shared" si="18"/>
        <v>Kenny Golladay</v>
      </c>
      <c r="P95" t="s">
        <v>203</v>
      </c>
      <c r="Q95">
        <f t="shared" si="20"/>
        <v>94</v>
      </c>
      <c r="R95" t="s">
        <v>87</v>
      </c>
      <c r="S95" t="str">
        <f>R95&amp;COUNTIF(R$2:R95,R95)</f>
        <v>WR39</v>
      </c>
      <c r="T95" t="str">
        <f t="shared" si="19"/>
        <v>WR39-94</v>
      </c>
      <c r="W95" t="s">
        <v>229</v>
      </c>
      <c r="X95" t="s">
        <v>2002</v>
      </c>
      <c r="Y95" t="str">
        <f t="shared" si="14"/>
        <v>O.J. Howard</v>
      </c>
      <c r="Z95">
        <f>IF(AND(ISERROR(MATCH(Y95,'ROS Proj'!$A$2:$A$561,0)),LEFT(X95)&lt;&gt;"D"),Z94+1,Z94)</f>
        <v>0</v>
      </c>
      <c r="AI95">
        <f t="shared" si="16"/>
        <v>94</v>
      </c>
      <c r="AJ95" t="e">
        <f t="shared" si="15"/>
        <v>#N/A</v>
      </c>
    </row>
    <row r="96" spans="1:36" ht="15.75" thickBot="1" x14ac:dyDescent="0.3">
      <c r="A96" t="str">
        <f t="shared" si="12"/>
        <v>Derek Carr</v>
      </c>
      <c r="B96" t="str">
        <f t="shared" si="13"/>
        <v>QB25</v>
      </c>
      <c r="D96" s="135" t="s">
        <v>3423</v>
      </c>
      <c r="E96" s="134" t="s">
        <v>47</v>
      </c>
      <c r="F96" s="134" t="s">
        <v>1045</v>
      </c>
      <c r="G96" s="134" t="s">
        <v>1965</v>
      </c>
      <c r="H96" t="str">
        <f t="shared" si="17"/>
        <v>Adrian Peterson</v>
      </c>
      <c r="J96" s="135" t="s">
        <v>4006</v>
      </c>
      <c r="K96" s="134" t="s">
        <v>87</v>
      </c>
      <c r="L96" s="134" t="s">
        <v>1935</v>
      </c>
      <c r="M96" s="134" t="s">
        <v>1962</v>
      </c>
      <c r="N96" t="str">
        <f t="shared" si="18"/>
        <v>Robby Anderson</v>
      </c>
      <c r="P96" t="s">
        <v>240</v>
      </c>
      <c r="Q96">
        <f t="shared" si="20"/>
        <v>95</v>
      </c>
      <c r="R96" t="s">
        <v>87</v>
      </c>
      <c r="S96" t="str">
        <f>R96&amp;COUNTIF(R$2:R96,R96)</f>
        <v>WR40</v>
      </c>
      <c r="T96" t="str">
        <f t="shared" si="19"/>
        <v>WR40-95</v>
      </c>
      <c r="W96" t="s">
        <v>71</v>
      </c>
      <c r="X96" t="s">
        <v>2186</v>
      </c>
      <c r="Y96" t="str">
        <f t="shared" si="14"/>
        <v>Derek Carr</v>
      </c>
      <c r="Z96">
        <f>IF(AND(ISERROR(MATCH(Y96,'ROS Proj'!$A$2:$A$561,0)),LEFT(X96)&lt;&gt;"D"),Z95+1,Z95)</f>
        <v>0</v>
      </c>
      <c r="AI96">
        <f t="shared" si="16"/>
        <v>95</v>
      </c>
      <c r="AJ96" t="e">
        <f t="shared" si="15"/>
        <v>#N/A</v>
      </c>
    </row>
    <row r="97" spans="1:36" ht="15.75" thickBot="1" x14ac:dyDescent="0.3">
      <c r="A97" t="str">
        <f t="shared" si="12"/>
        <v>Emmanuel Sanders</v>
      </c>
      <c r="B97" t="str">
        <f t="shared" si="13"/>
        <v>WR21</v>
      </c>
      <c r="D97" s="135" t="s">
        <v>3424</v>
      </c>
      <c r="E97" s="134" t="s">
        <v>47</v>
      </c>
      <c r="F97" s="134" t="s">
        <v>1882</v>
      </c>
      <c r="G97" s="134" t="s">
        <v>1966</v>
      </c>
      <c r="H97" t="str">
        <f t="shared" si="17"/>
        <v>Kerryon Johnson</v>
      </c>
      <c r="J97" s="135" t="s">
        <v>4007</v>
      </c>
      <c r="K97" s="134" t="s">
        <v>47</v>
      </c>
      <c r="L97" s="134" t="s">
        <v>1909</v>
      </c>
      <c r="M97" s="134" t="s">
        <v>1966</v>
      </c>
      <c r="N97" t="str">
        <f t="shared" si="18"/>
        <v>Alfred Morris</v>
      </c>
      <c r="P97" t="s">
        <v>158</v>
      </c>
      <c r="Q97">
        <f t="shared" si="20"/>
        <v>96</v>
      </c>
      <c r="R97" t="s">
        <v>47</v>
      </c>
      <c r="S97" t="str">
        <f>R97&amp;COUNTIF(R$2:R97,R97)</f>
        <v>RB35</v>
      </c>
      <c r="T97" t="str">
        <f t="shared" si="19"/>
        <v>RB35-96</v>
      </c>
      <c r="W97" t="s">
        <v>149</v>
      </c>
      <c r="X97" t="s">
        <v>1883</v>
      </c>
      <c r="Y97" t="str">
        <f t="shared" si="14"/>
        <v>Emmanuel Sanders</v>
      </c>
      <c r="Z97">
        <f>IF(AND(ISERROR(MATCH(Y97,'ROS Proj'!$A$2:$A$561,0)),LEFT(X97)&lt;&gt;"D"),Z96+1,Z96)</f>
        <v>0</v>
      </c>
      <c r="AI97">
        <f t="shared" si="16"/>
        <v>96</v>
      </c>
      <c r="AJ97" t="e">
        <f t="shared" si="15"/>
        <v>#N/A</v>
      </c>
    </row>
    <row r="98" spans="1:36" ht="15.75" thickBot="1" x14ac:dyDescent="0.3">
      <c r="A98" t="str">
        <f t="shared" si="12"/>
        <v>Stephen Gostkowski</v>
      </c>
      <c r="B98" t="str">
        <f t="shared" si="13"/>
        <v>K1</v>
      </c>
      <c r="D98" s="135" t="s">
        <v>3425</v>
      </c>
      <c r="E98" s="134" t="s">
        <v>47</v>
      </c>
      <c r="F98" s="134" t="s">
        <v>1042</v>
      </c>
      <c r="G98" s="134" t="s">
        <v>1967</v>
      </c>
      <c r="H98" t="str">
        <f t="shared" si="17"/>
        <v>Tarik Cohen</v>
      </c>
      <c r="J98" s="135" t="s">
        <v>4008</v>
      </c>
      <c r="K98" s="134" t="s">
        <v>47</v>
      </c>
      <c r="L98" s="134" t="s">
        <v>1842</v>
      </c>
      <c r="M98" s="134" t="s">
        <v>1967</v>
      </c>
      <c r="N98" t="str">
        <f t="shared" si="18"/>
        <v>Jamaal Williams</v>
      </c>
      <c r="P98" t="s">
        <v>192</v>
      </c>
      <c r="Q98">
        <f t="shared" si="20"/>
        <v>97</v>
      </c>
      <c r="R98" t="s">
        <v>87</v>
      </c>
      <c r="S98" t="str">
        <f>R98&amp;COUNTIF(R$2:R98,R98)</f>
        <v>WR41</v>
      </c>
      <c r="T98" t="str">
        <f t="shared" si="19"/>
        <v>WR41-97</v>
      </c>
      <c r="W98" t="s">
        <v>446</v>
      </c>
      <c r="X98" t="s">
        <v>2082</v>
      </c>
      <c r="Y98" t="str">
        <f t="shared" si="14"/>
        <v>Stephen Gostkowski</v>
      </c>
      <c r="Z98">
        <f>IF(AND(ISERROR(MATCH(Y98,'ROS Proj'!$A$2:$A$561,0)),LEFT(X98)&lt;&gt;"D"),Z97+1,Z97)</f>
        <v>0</v>
      </c>
      <c r="AI98">
        <f t="shared" si="16"/>
        <v>97</v>
      </c>
      <c r="AJ98" t="e">
        <f t="shared" si="15"/>
        <v>#N/A</v>
      </c>
    </row>
    <row r="99" spans="1:36" ht="15.75" thickBot="1" x14ac:dyDescent="0.3">
      <c r="A99" t="str">
        <f t="shared" si="12"/>
        <v>Marcus Mariota</v>
      </c>
      <c r="B99" t="str">
        <f t="shared" si="13"/>
        <v>QB26</v>
      </c>
      <c r="D99" s="135" t="s">
        <v>3426</v>
      </c>
      <c r="E99" s="134" t="s">
        <v>47</v>
      </c>
      <c r="F99" s="134" t="s">
        <v>1839</v>
      </c>
      <c r="G99" s="134" t="s">
        <v>1968</v>
      </c>
      <c r="H99" t="str">
        <f t="shared" si="17"/>
        <v>Sony Michel</v>
      </c>
      <c r="J99" s="135" t="s">
        <v>4009</v>
      </c>
      <c r="K99" s="134" t="s">
        <v>47</v>
      </c>
      <c r="L99" s="134" t="s">
        <v>1882</v>
      </c>
      <c r="M99" s="134" t="s">
        <v>1968</v>
      </c>
      <c r="N99" t="str">
        <f t="shared" si="18"/>
        <v>Kerryon Johnson</v>
      </c>
      <c r="P99" t="s">
        <v>1330</v>
      </c>
      <c r="Q99">
        <f t="shared" si="20"/>
        <v>98</v>
      </c>
      <c r="R99" t="s">
        <v>87</v>
      </c>
      <c r="S99" t="str">
        <f>R99&amp;COUNTIF(R$2:R99,R99)</f>
        <v>WR42</v>
      </c>
      <c r="T99" t="str">
        <f t="shared" si="19"/>
        <v>WR42-98</v>
      </c>
      <c r="W99" t="s">
        <v>69</v>
      </c>
      <c r="X99" t="s">
        <v>2188</v>
      </c>
      <c r="Y99" t="str">
        <f t="shared" si="14"/>
        <v>Marcus Mariota</v>
      </c>
      <c r="Z99">
        <f>IF(AND(ISERROR(MATCH(Y99,'ROS Proj'!$A$2:$A$561,0)),LEFT(X99)&lt;&gt;"D"),Z98+1,Z98)</f>
        <v>0</v>
      </c>
      <c r="AI99">
        <f>AI98+1</f>
        <v>98</v>
      </c>
      <c r="AJ99" t="e">
        <f t="shared" si="15"/>
        <v>#N/A</v>
      </c>
    </row>
    <row r="100" spans="1:36" ht="15.75" thickBot="1" x14ac:dyDescent="0.3">
      <c r="A100" t="str">
        <f t="shared" si="12"/>
        <v>Browns D/ST</v>
      </c>
      <c r="B100" t="str">
        <f t="shared" si="13"/>
        <v>DST8</v>
      </c>
      <c r="D100" s="135" t="s">
        <v>1969</v>
      </c>
      <c r="E100" s="134" t="s">
        <v>114</v>
      </c>
      <c r="F100" s="134" t="s">
        <v>1048</v>
      </c>
      <c r="G100" s="134" t="s">
        <v>1970</v>
      </c>
      <c r="H100" t="str">
        <f t="shared" si="17"/>
        <v>Kyle Rudolph</v>
      </c>
      <c r="J100" s="135" t="s">
        <v>4010</v>
      </c>
      <c r="K100" s="134" t="s">
        <v>47</v>
      </c>
      <c r="L100" s="134" t="s">
        <v>1839</v>
      </c>
      <c r="M100" s="134" t="s">
        <v>1971</v>
      </c>
      <c r="N100" t="str">
        <f t="shared" si="18"/>
        <v>James White</v>
      </c>
      <c r="P100" t="s">
        <v>189</v>
      </c>
      <c r="Q100">
        <f t="shared" si="20"/>
        <v>99</v>
      </c>
      <c r="R100" t="s">
        <v>114</v>
      </c>
      <c r="S100" t="str">
        <f>R100&amp;COUNTIF(R$2:R100,R100)</f>
        <v>TE10</v>
      </c>
      <c r="T100" t="str">
        <f t="shared" si="19"/>
        <v>TE10-99</v>
      </c>
      <c r="W100" t="s">
        <v>4870</v>
      </c>
      <c r="X100" t="s">
        <v>2090</v>
      </c>
      <c r="Y100" t="str">
        <f t="shared" si="14"/>
        <v>Browns D/ST</v>
      </c>
      <c r="Z100">
        <f>IF(AND(ISERROR(MATCH(Y100,'ROS Proj'!$A$2:$A$561,0)),LEFT(X100)&lt;&gt;"D"),Z99+1,Z99)</f>
        <v>0</v>
      </c>
      <c r="AI100">
        <f>AI99+1</f>
        <v>99</v>
      </c>
      <c r="AJ100" t="e">
        <f t="shared" si="15"/>
        <v>#N/A</v>
      </c>
    </row>
    <row r="101" spans="1:36" ht="15.75" thickBot="1" x14ac:dyDescent="0.3">
      <c r="A101" t="str">
        <f t="shared" si="12"/>
        <v>Amari Cooper</v>
      </c>
      <c r="B101" t="str">
        <f t="shared" si="13"/>
        <v>WR22</v>
      </c>
      <c r="D101" s="135" t="s">
        <v>3427</v>
      </c>
      <c r="E101" s="134" t="s">
        <v>47</v>
      </c>
      <c r="F101" s="134" t="s">
        <v>1040</v>
      </c>
      <c r="G101" s="134" t="s">
        <v>1971</v>
      </c>
      <c r="H101" t="str">
        <f>RIGHT(D101,LEN(D101)-5)</f>
        <v>James Conner</v>
      </c>
      <c r="J101" s="135" t="s">
        <v>4011</v>
      </c>
      <c r="K101" s="134" t="s">
        <v>114</v>
      </c>
      <c r="L101" s="134" t="s">
        <v>1042</v>
      </c>
      <c r="M101" s="134" t="s">
        <v>1970</v>
      </c>
      <c r="N101" t="str">
        <f>RIGHT(J101,LEN(J101)-5)</f>
        <v>Trey Burton</v>
      </c>
      <c r="P101" t="s">
        <v>414</v>
      </c>
      <c r="Q101">
        <f t="shared" si="20"/>
        <v>100</v>
      </c>
      <c r="R101" t="s">
        <v>770</v>
      </c>
      <c r="S101" t="str">
        <f>R101&amp;COUNTIF(R$2:R101,R101)</f>
        <v>D3</v>
      </c>
      <c r="T101" t="str">
        <f t="shared" si="19"/>
        <v>D3-100</v>
      </c>
      <c r="W101" t="s">
        <v>103</v>
      </c>
      <c r="X101" t="s">
        <v>1884</v>
      </c>
      <c r="Y101" t="str">
        <f t="shared" si="14"/>
        <v>Amari Cooper</v>
      </c>
      <c r="Z101">
        <f>IF(AND(ISERROR(MATCH(Y101,'ROS Proj'!$A$2:$A$561,0)),LEFT(X101)&lt;&gt;"D"),Z100+1,Z100)</f>
        <v>0</v>
      </c>
      <c r="AI101">
        <f>AI100+1</f>
        <v>100</v>
      </c>
      <c r="AJ101" t="e">
        <f t="shared" si="15"/>
        <v>#N/A</v>
      </c>
    </row>
    <row r="102" spans="1:36" ht="15.75" thickBot="1" x14ac:dyDescent="0.3">
      <c r="A102" t="str">
        <f t="shared" si="12"/>
        <v>Matt Breida</v>
      </c>
      <c r="B102" t="str">
        <f t="shared" si="13"/>
        <v>RB32</v>
      </c>
      <c r="D102" s="135" t="s">
        <v>3428</v>
      </c>
      <c r="E102" s="134" t="s">
        <v>87</v>
      </c>
      <c r="F102" s="134" t="s">
        <v>1811</v>
      </c>
      <c r="G102" s="134" t="s">
        <v>1972</v>
      </c>
      <c r="H102" t="str">
        <f t="shared" ref="H102:H165" si="21">RIGHT(D102,LEN(D102)-5)</f>
        <v>Sterling Shepard</v>
      </c>
      <c r="J102" s="135" t="s">
        <v>4012</v>
      </c>
      <c r="K102" s="134" t="s">
        <v>87</v>
      </c>
      <c r="L102" s="134" t="s">
        <v>1935</v>
      </c>
      <c r="M102" s="134" t="s">
        <v>1963</v>
      </c>
      <c r="N102" t="str">
        <f t="shared" ref="N102:N165" si="22">RIGHT(J102,LEN(J102)-5)</f>
        <v>Quincy Enunwa</v>
      </c>
      <c r="P102" t="s">
        <v>446</v>
      </c>
      <c r="Q102">
        <f t="shared" si="20"/>
        <v>101</v>
      </c>
      <c r="R102" t="s">
        <v>478</v>
      </c>
      <c r="S102" t="str">
        <f>R102&amp;COUNTIF(R$2:R102,R102)</f>
        <v>K1</v>
      </c>
      <c r="T102" t="str">
        <f t="shared" si="19"/>
        <v>K1-101</v>
      </c>
      <c r="W102" t="s">
        <v>228</v>
      </c>
      <c r="X102" t="s">
        <v>1952</v>
      </c>
      <c r="Y102" t="str">
        <f t="shared" si="14"/>
        <v>Matt Breida</v>
      </c>
      <c r="Z102">
        <f>IF(AND(ISERROR(MATCH(Y102,'ROS Proj'!$A$2:$A$561,0)),LEFT(X102)&lt;&gt;"D"),Z101+1,Z101)</f>
        <v>0</v>
      </c>
    </row>
    <row r="103" spans="1:36" ht="15.75" thickBot="1" x14ac:dyDescent="0.3">
      <c r="A103" t="str">
        <f t="shared" si="12"/>
        <v>Broncos D/ST</v>
      </c>
      <c r="B103" t="str">
        <f t="shared" si="13"/>
        <v>DST9</v>
      </c>
      <c r="D103" s="135" t="s">
        <v>3429</v>
      </c>
      <c r="E103" s="134" t="s">
        <v>87</v>
      </c>
      <c r="F103" s="134" t="s">
        <v>1865</v>
      </c>
      <c r="G103" s="134" t="s">
        <v>1973</v>
      </c>
      <c r="H103" t="str">
        <f t="shared" si="21"/>
        <v>Tyler Lockett</v>
      </c>
      <c r="J103" s="135" t="s">
        <v>4013</v>
      </c>
      <c r="K103" s="134" t="s">
        <v>87</v>
      </c>
      <c r="L103" s="134" t="s">
        <v>1862</v>
      </c>
      <c r="M103" s="134" t="s">
        <v>1972</v>
      </c>
      <c r="N103" t="str">
        <f t="shared" si="22"/>
        <v>Alshon Jeffery</v>
      </c>
      <c r="P103" t="s">
        <v>175</v>
      </c>
      <c r="Q103">
        <f t="shared" si="20"/>
        <v>102</v>
      </c>
      <c r="R103" t="s">
        <v>87</v>
      </c>
      <c r="S103" t="str">
        <f>R103&amp;COUNTIF(R$2:R103,R103)</f>
        <v>WR43</v>
      </c>
      <c r="T103" t="str">
        <f t="shared" si="19"/>
        <v>WR43-102</v>
      </c>
      <c r="W103" t="s">
        <v>4868</v>
      </c>
      <c r="X103" t="s">
        <v>2092</v>
      </c>
      <c r="Y103" t="str">
        <f t="shared" si="14"/>
        <v>Broncos D/ST</v>
      </c>
      <c r="Z103">
        <f>IF(AND(ISERROR(MATCH(Y103,'ROS Proj'!$A$2:$A$561,0)),LEFT(X103)&lt;&gt;"D"),Z102+1,Z102)</f>
        <v>0</v>
      </c>
    </row>
    <row r="104" spans="1:36" ht="15.75" thickBot="1" x14ac:dyDescent="0.3">
      <c r="A104" t="str">
        <f t="shared" si="12"/>
        <v>Cooper Kupp</v>
      </c>
      <c r="B104" t="str">
        <f t="shared" si="13"/>
        <v>WR23</v>
      </c>
      <c r="D104" s="135" t="s">
        <v>3430</v>
      </c>
      <c r="E104" s="134" t="s">
        <v>87</v>
      </c>
      <c r="F104" s="134" t="s">
        <v>1044</v>
      </c>
      <c r="G104" s="134" t="s">
        <v>1974</v>
      </c>
      <c r="H104" t="str">
        <f t="shared" si="21"/>
        <v>Allen Hurns</v>
      </c>
      <c r="J104" s="135" t="s">
        <v>4014</v>
      </c>
      <c r="K104" s="134" t="s">
        <v>87</v>
      </c>
      <c r="L104" s="134" t="s">
        <v>1050</v>
      </c>
      <c r="M104" s="134" t="s">
        <v>1973</v>
      </c>
      <c r="N104" t="str">
        <f t="shared" si="22"/>
        <v>Kelvin Benjamin</v>
      </c>
      <c r="P104" t="s">
        <v>215</v>
      </c>
      <c r="Q104">
        <f t="shared" si="20"/>
        <v>103</v>
      </c>
      <c r="R104" t="s">
        <v>114</v>
      </c>
      <c r="S104" t="str">
        <f>R104&amp;COUNTIF(R$2:R104,R104)</f>
        <v>TE11</v>
      </c>
      <c r="T104" t="str">
        <f t="shared" si="19"/>
        <v>TE11-103</v>
      </c>
      <c r="W104" t="s">
        <v>256</v>
      </c>
      <c r="X104" t="s">
        <v>1885</v>
      </c>
      <c r="Y104" t="str">
        <f t="shared" si="14"/>
        <v>Cooper Kupp</v>
      </c>
      <c r="Z104">
        <f>IF(AND(ISERROR(MATCH(Y104,'ROS Proj'!$A$2:$A$561,0)),LEFT(X104)&lt;&gt;"D"),Z103+1,Z103)</f>
        <v>0</v>
      </c>
    </row>
    <row r="105" spans="1:36" ht="15.75" thickBot="1" x14ac:dyDescent="0.3">
      <c r="A105" t="str">
        <f t="shared" si="12"/>
        <v>Ryan Tannehill</v>
      </c>
      <c r="B105" t="str">
        <f t="shared" si="13"/>
        <v>QB27</v>
      </c>
      <c r="D105" s="135" t="s">
        <v>3431</v>
      </c>
      <c r="E105" s="134" t="s">
        <v>87</v>
      </c>
      <c r="F105" s="134" t="s">
        <v>1882</v>
      </c>
      <c r="G105" s="134" t="s">
        <v>1975</v>
      </c>
      <c r="H105" t="str">
        <f t="shared" si="21"/>
        <v>Kenny Golladay</v>
      </c>
      <c r="J105" s="135" t="s">
        <v>4015</v>
      </c>
      <c r="K105" s="134" t="s">
        <v>87</v>
      </c>
      <c r="L105" s="134" t="s">
        <v>1865</v>
      </c>
      <c r="M105" s="134" t="s">
        <v>1974</v>
      </c>
      <c r="N105" t="str">
        <f t="shared" si="22"/>
        <v>Tyler Lockett</v>
      </c>
      <c r="P105" t="s">
        <v>194</v>
      </c>
      <c r="Q105">
        <f t="shared" si="20"/>
        <v>104</v>
      </c>
      <c r="R105" t="s">
        <v>87</v>
      </c>
      <c r="S105" t="str">
        <f>R105&amp;COUNTIF(R$2:R105,R105)</f>
        <v>WR44</v>
      </c>
      <c r="T105" t="str">
        <f t="shared" si="19"/>
        <v>WR44-104</v>
      </c>
      <c r="W105" t="s">
        <v>1278</v>
      </c>
      <c r="X105" t="s">
        <v>2221</v>
      </c>
      <c r="Y105" t="str">
        <f t="shared" si="14"/>
        <v>Ryan Tannehill</v>
      </c>
      <c r="Z105">
        <f>IF(AND(ISERROR(MATCH(Y105,'ROS Proj'!$A$2:$A$561,0)),LEFT(X105)&lt;&gt;"D"),Z104+1,Z104)</f>
        <v>0</v>
      </c>
    </row>
    <row r="106" spans="1:36" ht="15.75" thickBot="1" x14ac:dyDescent="0.3">
      <c r="A106" t="str">
        <f t="shared" si="12"/>
        <v>Will Fuller V</v>
      </c>
      <c r="B106" t="str">
        <f t="shared" si="13"/>
        <v>WR24</v>
      </c>
      <c r="D106" s="135" t="s">
        <v>3432</v>
      </c>
      <c r="E106" s="134" t="s">
        <v>87</v>
      </c>
      <c r="F106" s="134" t="s">
        <v>1842</v>
      </c>
      <c r="G106" s="134" t="s">
        <v>1976</v>
      </c>
      <c r="H106" t="str">
        <f t="shared" si="21"/>
        <v>Randall Cobb</v>
      </c>
      <c r="J106" s="135" t="s">
        <v>4016</v>
      </c>
      <c r="K106" s="134" t="s">
        <v>87</v>
      </c>
      <c r="L106" s="134" t="s">
        <v>1052</v>
      </c>
      <c r="M106" s="134" t="s">
        <v>1975</v>
      </c>
      <c r="N106" t="str">
        <f t="shared" si="22"/>
        <v>Mohamed Sanu</v>
      </c>
      <c r="P106" t="s">
        <v>411</v>
      </c>
      <c r="Q106">
        <f t="shared" si="20"/>
        <v>105</v>
      </c>
      <c r="R106" t="s">
        <v>770</v>
      </c>
      <c r="S106" t="str">
        <f>R106&amp;COUNTIF(R$2:R106,R106)</f>
        <v>D4</v>
      </c>
      <c r="T106" t="str">
        <f t="shared" si="19"/>
        <v>D4-105</v>
      </c>
      <c r="W106" t="s">
        <v>2578</v>
      </c>
      <c r="X106" t="s">
        <v>1902</v>
      </c>
      <c r="Y106" t="str">
        <f t="shared" si="14"/>
        <v>Will Fuller V</v>
      </c>
      <c r="Z106">
        <f>IF(AND(ISERROR(MATCH(Y106,'ROS Proj'!$A$2:$A$561,0)),LEFT(X106)&lt;&gt;"D"),Z105+1,Z105)</f>
        <v>0</v>
      </c>
    </row>
    <row r="107" spans="1:36" ht="15.75" thickBot="1" x14ac:dyDescent="0.3">
      <c r="A107" t="str">
        <f t="shared" si="12"/>
        <v>Ravens D/ST</v>
      </c>
      <c r="B107" t="str">
        <f t="shared" si="13"/>
        <v>DST10</v>
      </c>
      <c r="D107" s="135" t="s">
        <v>1977</v>
      </c>
      <c r="E107" s="134" t="s">
        <v>87</v>
      </c>
      <c r="F107" s="134" t="s">
        <v>1045</v>
      </c>
      <c r="G107" s="134" t="s">
        <v>1978</v>
      </c>
      <c r="H107" t="str">
        <f t="shared" si="21"/>
        <v>Paul Richardson</v>
      </c>
      <c r="J107" s="135" t="s">
        <v>4017</v>
      </c>
      <c r="K107" s="134" t="s">
        <v>87</v>
      </c>
      <c r="L107" s="134" t="s">
        <v>1053</v>
      </c>
      <c r="M107" s="134" t="s">
        <v>1976</v>
      </c>
      <c r="N107" t="str">
        <f t="shared" si="22"/>
        <v>Danny Amendola</v>
      </c>
      <c r="P107" t="s">
        <v>464</v>
      </c>
      <c r="Q107">
        <f t="shared" si="20"/>
        <v>106</v>
      </c>
      <c r="R107" t="s">
        <v>478</v>
      </c>
      <c r="S107" t="str">
        <f>R107&amp;COUNTIF(R$2:R107,R107)</f>
        <v>K2</v>
      </c>
      <c r="T107" t="str">
        <f t="shared" si="19"/>
        <v>K2-106</v>
      </c>
      <c r="W107" t="s">
        <v>4871</v>
      </c>
      <c r="X107" t="s">
        <v>2094</v>
      </c>
      <c r="Y107" t="str">
        <f t="shared" si="14"/>
        <v>Ravens D/ST</v>
      </c>
      <c r="Z107">
        <f>IF(AND(ISERROR(MATCH(Y107,'ROS Proj'!$A$2:$A$561,0)),LEFT(X107)&lt;&gt;"D"),Z106+1,Z106)</f>
        <v>0</v>
      </c>
    </row>
    <row r="108" spans="1:36" ht="15.75" thickBot="1" x14ac:dyDescent="0.3">
      <c r="A108" t="str">
        <f t="shared" si="12"/>
        <v>Golden Tate</v>
      </c>
      <c r="B108" t="str">
        <f t="shared" si="13"/>
        <v>WR25</v>
      </c>
      <c r="D108" s="135" t="s">
        <v>3433</v>
      </c>
      <c r="E108" s="134" t="s">
        <v>47</v>
      </c>
      <c r="F108" s="134" t="s">
        <v>815</v>
      </c>
      <c r="G108" s="134" t="s">
        <v>1979</v>
      </c>
      <c r="H108" t="str">
        <f t="shared" si="21"/>
        <v>Jordan Wilkins</v>
      </c>
      <c r="J108" s="135" t="s">
        <v>4018</v>
      </c>
      <c r="K108" s="134" t="s">
        <v>87</v>
      </c>
      <c r="L108" s="134" t="s">
        <v>1845</v>
      </c>
      <c r="M108" s="134" t="s">
        <v>1978</v>
      </c>
      <c r="N108" t="str">
        <f t="shared" si="22"/>
        <v>Chris Godwin</v>
      </c>
      <c r="P108" t="s">
        <v>333</v>
      </c>
      <c r="Q108">
        <f t="shared" si="20"/>
        <v>107</v>
      </c>
      <c r="R108" t="s">
        <v>15</v>
      </c>
      <c r="S108" t="str">
        <f>R108&amp;COUNTIF(R$2:R108,R108)</f>
        <v>QB11</v>
      </c>
      <c r="T108" t="str">
        <f t="shared" si="19"/>
        <v>QB11-107</v>
      </c>
      <c r="W108" t="s">
        <v>122</v>
      </c>
      <c r="X108" t="s">
        <v>1904</v>
      </c>
      <c r="Y108" t="str">
        <f t="shared" si="14"/>
        <v>Golden Tate</v>
      </c>
      <c r="Z108">
        <f>IF(AND(ISERROR(MATCH(Y108,'ROS Proj'!$A$2:$A$561,0)),LEFT(X108)&lt;&gt;"D"),Z107+1,Z107)</f>
        <v>0</v>
      </c>
    </row>
    <row r="109" spans="1:36" ht="15.75" thickBot="1" x14ac:dyDescent="0.3">
      <c r="A109" t="str">
        <f t="shared" si="12"/>
        <v>Royce Freeman</v>
      </c>
      <c r="B109" t="str">
        <f t="shared" si="13"/>
        <v>RB33</v>
      </c>
      <c r="D109" s="135" t="s">
        <v>1980</v>
      </c>
      <c r="E109" s="134" t="s">
        <v>47</v>
      </c>
      <c r="F109" s="134" t="s">
        <v>1909</v>
      </c>
      <c r="G109" s="134" t="s">
        <v>1981</v>
      </c>
      <c r="H109" t="str">
        <f t="shared" si="21"/>
        <v>Matt Breida</v>
      </c>
      <c r="J109" s="135" t="s">
        <v>4019</v>
      </c>
      <c r="K109" s="134" t="s">
        <v>87</v>
      </c>
      <c r="L109" s="134" t="s">
        <v>1842</v>
      </c>
      <c r="M109" s="134" t="s">
        <v>1993</v>
      </c>
      <c r="N109" t="str">
        <f t="shared" si="22"/>
        <v>Geronimo Allison</v>
      </c>
      <c r="P109" t="s">
        <v>1408</v>
      </c>
      <c r="Q109">
        <f t="shared" si="20"/>
        <v>108</v>
      </c>
      <c r="R109" t="s">
        <v>87</v>
      </c>
      <c r="S109" t="str">
        <f>R109&amp;COUNTIF(R$2:R109,R109)</f>
        <v>WR45</v>
      </c>
      <c r="T109" t="str">
        <f t="shared" si="19"/>
        <v>WR45-108</v>
      </c>
      <c r="W109" t="s">
        <v>1346</v>
      </c>
      <c r="X109" t="s">
        <v>1954</v>
      </c>
      <c r="Y109" t="str">
        <f t="shared" si="14"/>
        <v>Royce Freeman</v>
      </c>
      <c r="Z109">
        <f>IF(AND(ISERROR(MATCH(Y109,'ROS Proj'!$A$2:$A$561,0)),LEFT(X109)&lt;&gt;"D"),Z108+1,Z108)</f>
        <v>0</v>
      </c>
    </row>
    <row r="110" spans="1:36" ht="15.75" thickBot="1" x14ac:dyDescent="0.3">
      <c r="A110" t="str">
        <f t="shared" si="12"/>
        <v>Robert Woods</v>
      </c>
      <c r="B110" t="str">
        <f t="shared" si="13"/>
        <v>WR26</v>
      </c>
      <c r="D110" s="135" t="s">
        <v>1982</v>
      </c>
      <c r="E110" s="134" t="s">
        <v>47</v>
      </c>
      <c r="F110" s="134" t="s">
        <v>1845</v>
      </c>
      <c r="G110" s="134" t="s">
        <v>1983</v>
      </c>
      <c r="H110" t="str">
        <f t="shared" si="21"/>
        <v>Ronald Jones II</v>
      </c>
      <c r="J110" s="135" t="s">
        <v>4020</v>
      </c>
      <c r="K110" s="134" t="s">
        <v>87</v>
      </c>
      <c r="L110" s="134" t="s">
        <v>1813</v>
      </c>
      <c r="M110" s="134" t="s">
        <v>1994</v>
      </c>
      <c r="N110" t="str">
        <f t="shared" si="22"/>
        <v>Ted Ginn Jr.</v>
      </c>
      <c r="P110" t="s">
        <v>98</v>
      </c>
      <c r="Q110">
        <f t="shared" si="20"/>
        <v>109</v>
      </c>
      <c r="R110" t="s">
        <v>87</v>
      </c>
      <c r="S110" t="str">
        <f>R110&amp;COUNTIF(R$2:R110,R110)</f>
        <v>WR46</v>
      </c>
      <c r="T110" t="str">
        <f t="shared" si="19"/>
        <v>WR46-109</v>
      </c>
      <c r="W110" t="s">
        <v>248</v>
      </c>
      <c r="X110" t="s">
        <v>1906</v>
      </c>
      <c r="Y110" t="str">
        <f t="shared" si="14"/>
        <v>Robert Woods</v>
      </c>
      <c r="Z110">
        <f>IF(AND(ISERROR(MATCH(Y110,'ROS Proj'!$A$2:$A$561,0)),LEFT(X110)&lt;&gt;"D"),Z109+1,Z109)</f>
        <v>0</v>
      </c>
    </row>
    <row r="111" spans="1:36" ht="15.75" thickBot="1" x14ac:dyDescent="0.3">
      <c r="A111" t="str">
        <f t="shared" si="12"/>
        <v>Kenyan Drake</v>
      </c>
      <c r="B111" t="str">
        <f t="shared" si="13"/>
        <v>RB34</v>
      </c>
      <c r="D111" s="135" t="s">
        <v>1984</v>
      </c>
      <c r="E111" s="134" t="s">
        <v>114</v>
      </c>
      <c r="F111" s="134" t="s">
        <v>1042</v>
      </c>
      <c r="G111" s="134" t="s">
        <v>1985</v>
      </c>
      <c r="H111" t="str">
        <f t="shared" si="21"/>
        <v>Trey Burton</v>
      </c>
      <c r="J111" s="135" t="s">
        <v>4021</v>
      </c>
      <c r="K111" s="134" t="s">
        <v>87</v>
      </c>
      <c r="L111" s="134" t="s">
        <v>1045</v>
      </c>
      <c r="M111" s="134" t="s">
        <v>2003</v>
      </c>
      <c r="N111" t="str">
        <f t="shared" si="22"/>
        <v>Josh Doctson</v>
      </c>
      <c r="P111" t="s">
        <v>202</v>
      </c>
      <c r="Q111">
        <f t="shared" si="20"/>
        <v>110</v>
      </c>
      <c r="R111" t="s">
        <v>47</v>
      </c>
      <c r="S111" t="str">
        <f>R111&amp;COUNTIF(R$2:R111,R111)</f>
        <v>RB36</v>
      </c>
      <c r="T111" t="str">
        <f t="shared" si="19"/>
        <v>RB36-110</v>
      </c>
      <c r="W111" t="s">
        <v>290</v>
      </c>
      <c r="X111" t="s">
        <v>1955</v>
      </c>
      <c r="Y111" t="str">
        <f t="shared" si="14"/>
        <v>Kenyan Drake</v>
      </c>
      <c r="Z111">
        <f>IF(AND(ISERROR(MATCH(Y111,'ROS Proj'!$A$2:$A$561,0)),LEFT(X111)&lt;&gt;"D"),Z110+1,Z110)</f>
        <v>0</v>
      </c>
    </row>
    <row r="112" spans="1:36" ht="15.75" thickBot="1" x14ac:dyDescent="0.3">
      <c r="A112" t="str">
        <f t="shared" si="12"/>
        <v>Justin Tucker</v>
      </c>
      <c r="B112" t="str">
        <f t="shared" si="13"/>
        <v>K2</v>
      </c>
      <c r="D112" s="135" t="s">
        <v>1986</v>
      </c>
      <c r="E112" s="134" t="s">
        <v>114</v>
      </c>
      <c r="F112" s="134" t="s">
        <v>1872</v>
      </c>
      <c r="G112" s="134" t="s">
        <v>1987</v>
      </c>
      <c r="H112" t="str">
        <f t="shared" si="21"/>
        <v>David Njoku</v>
      </c>
      <c r="J112" s="135" t="s">
        <v>4022</v>
      </c>
      <c r="K112" s="134" t="s">
        <v>87</v>
      </c>
      <c r="L112" s="134" t="s">
        <v>1044</v>
      </c>
      <c r="M112" s="134" t="s">
        <v>2004</v>
      </c>
      <c r="N112" t="str">
        <f t="shared" si="22"/>
        <v>Allen Hurns</v>
      </c>
      <c r="P112" t="s">
        <v>137</v>
      </c>
      <c r="Q112">
        <f t="shared" si="20"/>
        <v>111</v>
      </c>
      <c r="R112" t="s">
        <v>87</v>
      </c>
      <c r="S112" t="str">
        <f>R112&amp;COUNTIF(R$2:R112,R112)</f>
        <v>WR47</v>
      </c>
      <c r="T112" t="str">
        <f t="shared" si="19"/>
        <v>WR47-111</v>
      </c>
      <c r="W112" t="s">
        <v>447</v>
      </c>
      <c r="X112" t="s">
        <v>2084</v>
      </c>
      <c r="Y112" t="str">
        <f t="shared" si="14"/>
        <v>Justin Tucker</v>
      </c>
      <c r="Z112">
        <f>IF(AND(ISERROR(MATCH(Y112,'ROS Proj'!$A$2:$A$561,0)),LEFT(X112)&lt;&gt;"D"),Z111+1,Z111)</f>
        <v>0</v>
      </c>
    </row>
    <row r="113" spans="1:26" ht="15.75" thickBot="1" x14ac:dyDescent="0.3">
      <c r="A113" t="str">
        <f t="shared" si="12"/>
        <v>Matt Bryant</v>
      </c>
      <c r="B113" t="str">
        <f t="shared" si="13"/>
        <v>K3</v>
      </c>
      <c r="D113" s="135" t="s">
        <v>3434</v>
      </c>
      <c r="E113" s="134" t="s">
        <v>47</v>
      </c>
      <c r="F113" s="134" t="s">
        <v>1834</v>
      </c>
      <c r="G113" s="134" t="s">
        <v>1988</v>
      </c>
      <c r="H113" t="str">
        <f t="shared" si="21"/>
        <v>Giovani Bernard</v>
      </c>
      <c r="J113" s="135" t="s">
        <v>4023</v>
      </c>
      <c r="K113" s="134" t="s">
        <v>87</v>
      </c>
      <c r="L113" s="134" t="s">
        <v>1823</v>
      </c>
      <c r="M113" s="134" t="s">
        <v>2005</v>
      </c>
      <c r="N113" t="str">
        <f t="shared" si="22"/>
        <v>Keelan Cole</v>
      </c>
      <c r="P113" t="s">
        <v>406</v>
      </c>
      <c r="Q113">
        <f t="shared" si="20"/>
        <v>112</v>
      </c>
      <c r="R113" t="s">
        <v>770</v>
      </c>
      <c r="S113" t="str">
        <f>R113&amp;COUNTIF(R$2:R113,R113)</f>
        <v>D5</v>
      </c>
      <c r="T113" t="str">
        <f t="shared" si="19"/>
        <v>D5-112</v>
      </c>
      <c r="W113" t="s">
        <v>449</v>
      </c>
      <c r="X113" t="s">
        <v>2086</v>
      </c>
      <c r="Y113" t="str">
        <f t="shared" si="14"/>
        <v>Matt Bryant</v>
      </c>
      <c r="Z113">
        <f>IF(AND(ISERROR(MATCH(Y113,'ROS Proj'!$A$2:$A$561,0)),LEFT(X113)&lt;&gt;"D"),Z112+1,Z112)</f>
        <v>0</v>
      </c>
    </row>
    <row r="114" spans="1:26" ht="15.75" thickBot="1" x14ac:dyDescent="0.3">
      <c r="A114" t="str">
        <f t="shared" si="12"/>
        <v>Matt Prater</v>
      </c>
      <c r="B114" t="str">
        <f t="shared" si="13"/>
        <v>K4</v>
      </c>
      <c r="D114" s="135" t="s">
        <v>3435</v>
      </c>
      <c r="E114" s="134" t="s">
        <v>47</v>
      </c>
      <c r="F114" s="134" t="s">
        <v>1935</v>
      </c>
      <c r="G114" s="134" t="s">
        <v>1989</v>
      </c>
      <c r="H114" t="str">
        <f t="shared" si="21"/>
        <v>Bilal Powell</v>
      </c>
      <c r="J114" s="135" t="s">
        <v>4024</v>
      </c>
      <c r="K114" s="134" t="s">
        <v>87</v>
      </c>
      <c r="L114" s="134" t="s">
        <v>1045</v>
      </c>
      <c r="M114" s="134" t="s">
        <v>2006</v>
      </c>
      <c r="N114" t="str">
        <f t="shared" si="22"/>
        <v>Paul Richardson</v>
      </c>
      <c r="P114" t="s">
        <v>1319</v>
      </c>
      <c r="Q114">
        <f t="shared" si="20"/>
        <v>113</v>
      </c>
      <c r="R114" t="s">
        <v>47</v>
      </c>
      <c r="S114" t="str">
        <f>R114&amp;COUNTIF(R$2:R114,R114)</f>
        <v>RB37</v>
      </c>
      <c r="T114" t="str">
        <f t="shared" si="19"/>
        <v>RB37-113</v>
      </c>
      <c r="W114" t="s">
        <v>450</v>
      </c>
      <c r="X114" t="s">
        <v>2100</v>
      </c>
      <c r="Y114" t="str">
        <f t="shared" si="14"/>
        <v>Matt Prater</v>
      </c>
      <c r="Z114">
        <f>IF(AND(ISERROR(MATCH(Y114,'ROS Proj'!$A$2:$A$561,0)),LEFT(X114)&lt;&gt;"D"),Z113+1,Z113)</f>
        <v>0</v>
      </c>
    </row>
    <row r="115" spans="1:26" ht="15.75" thickBot="1" x14ac:dyDescent="0.3">
      <c r="A115" t="str">
        <f t="shared" si="12"/>
        <v>Jared Cook</v>
      </c>
      <c r="B115" t="str">
        <f t="shared" si="13"/>
        <v>TE13</v>
      </c>
      <c r="D115" s="135" t="s">
        <v>1990</v>
      </c>
      <c r="E115" s="134" t="s">
        <v>47</v>
      </c>
      <c r="F115" s="134" t="s">
        <v>1839</v>
      </c>
      <c r="G115" s="134" t="s">
        <v>1991</v>
      </c>
      <c r="H115" t="str">
        <f t="shared" si="21"/>
        <v>James White</v>
      </c>
      <c r="J115" s="135" t="s">
        <v>4025</v>
      </c>
      <c r="K115" s="134" t="s">
        <v>87</v>
      </c>
      <c r="L115" s="134" t="s">
        <v>815</v>
      </c>
      <c r="M115" s="134" t="s">
        <v>2007</v>
      </c>
      <c r="N115" t="str">
        <f t="shared" si="22"/>
        <v>Ryan Grant</v>
      </c>
      <c r="P115" t="s">
        <v>193</v>
      </c>
      <c r="Q115">
        <f t="shared" si="20"/>
        <v>114</v>
      </c>
      <c r="R115" t="s">
        <v>47</v>
      </c>
      <c r="S115" t="str">
        <f>R115&amp;COUNTIF(R$2:R115,R115)</f>
        <v>RB38</v>
      </c>
      <c r="T115" t="str">
        <f t="shared" si="19"/>
        <v>RB38-114</v>
      </c>
      <c r="W115" t="s">
        <v>208</v>
      </c>
      <c r="X115" t="s">
        <v>2019</v>
      </c>
      <c r="Y115" t="str">
        <f t="shared" si="14"/>
        <v>Jared Cook</v>
      </c>
      <c r="Z115">
        <f>IF(AND(ISERROR(MATCH(Y115,'ROS Proj'!$A$2:$A$561,0)),LEFT(X115)&lt;&gt;"D"),Z114+1,Z114)</f>
        <v>0</v>
      </c>
    </row>
    <row r="116" spans="1:26" ht="15.75" thickBot="1" x14ac:dyDescent="0.3">
      <c r="A116" t="str">
        <f t="shared" si="12"/>
        <v>Eric Ebron</v>
      </c>
      <c r="B116" t="str">
        <f t="shared" si="13"/>
        <v>TE14</v>
      </c>
      <c r="D116" s="135" t="s">
        <v>1992</v>
      </c>
      <c r="E116" s="134" t="s">
        <v>87</v>
      </c>
      <c r="F116" s="134" t="s">
        <v>1834</v>
      </c>
      <c r="G116" s="134" t="s">
        <v>1993</v>
      </c>
      <c r="H116" t="str">
        <f t="shared" si="21"/>
        <v>John Ross</v>
      </c>
      <c r="J116" s="135" t="s">
        <v>4026</v>
      </c>
      <c r="K116" s="134" t="s">
        <v>87</v>
      </c>
      <c r="L116" s="134" t="s">
        <v>1053</v>
      </c>
      <c r="M116" s="134" t="s">
        <v>2008</v>
      </c>
      <c r="N116" t="str">
        <f t="shared" si="22"/>
        <v>DeVante Parker</v>
      </c>
      <c r="P116" t="s">
        <v>1377</v>
      </c>
      <c r="Q116">
        <f t="shared" si="20"/>
        <v>115</v>
      </c>
      <c r="R116" t="s">
        <v>87</v>
      </c>
      <c r="S116" t="str">
        <f>R116&amp;COUNTIF(R$2:R116,R116)</f>
        <v>WR48</v>
      </c>
      <c r="T116" t="str">
        <f t="shared" si="19"/>
        <v>WR48-115</v>
      </c>
      <c r="W116" t="s">
        <v>178</v>
      </c>
      <c r="X116" t="s">
        <v>2025</v>
      </c>
      <c r="Y116" t="str">
        <f t="shared" si="14"/>
        <v>Eric Ebron</v>
      </c>
      <c r="Z116">
        <f>IF(AND(ISERROR(MATCH(Y116,'ROS Proj'!$A$2:$A$561,0)),LEFT(X116)&lt;&gt;"D"),Z115+1,Z115)</f>
        <v>0</v>
      </c>
    </row>
    <row r="117" spans="1:26" ht="15.75" thickBot="1" x14ac:dyDescent="0.3">
      <c r="A117" t="str">
        <f t="shared" si="12"/>
        <v>Seahawks D/ST</v>
      </c>
      <c r="B117" t="str">
        <f t="shared" si="13"/>
        <v>DST11</v>
      </c>
      <c r="D117" s="135" t="s">
        <v>3436</v>
      </c>
      <c r="E117" s="134" t="s">
        <v>87</v>
      </c>
      <c r="F117" s="134" t="s">
        <v>1052</v>
      </c>
      <c r="G117" s="134" t="s">
        <v>1994</v>
      </c>
      <c r="H117" t="str">
        <f t="shared" si="21"/>
        <v>Mohamed Sanu</v>
      </c>
      <c r="J117" s="135" t="s">
        <v>4027</v>
      </c>
      <c r="K117" s="134" t="s">
        <v>15</v>
      </c>
      <c r="L117" s="134" t="s">
        <v>1040</v>
      </c>
      <c r="M117" s="134" t="s">
        <v>1998</v>
      </c>
      <c r="N117" t="str">
        <f t="shared" si="22"/>
        <v>Ben Roethlisberger</v>
      </c>
      <c r="P117" t="s">
        <v>205</v>
      </c>
      <c r="Q117">
        <f t="shared" si="20"/>
        <v>116</v>
      </c>
      <c r="R117" t="s">
        <v>47</v>
      </c>
      <c r="S117" t="str">
        <f>R117&amp;COUNTIF(R$2:R117,R117)</f>
        <v>RB39</v>
      </c>
      <c r="T117" t="str">
        <f t="shared" si="19"/>
        <v>RB39-116</v>
      </c>
      <c r="W117" t="s">
        <v>4873</v>
      </c>
      <c r="X117" t="s">
        <v>2096</v>
      </c>
      <c r="Y117" t="str">
        <f t="shared" si="14"/>
        <v>Seahawks D/ST</v>
      </c>
      <c r="Z117">
        <f>IF(AND(ISERROR(MATCH(Y117,'ROS Proj'!$A$2:$A$561,0)),LEFT(X117)&lt;&gt;"D"),Z116+1,Z116)</f>
        <v>0</v>
      </c>
    </row>
    <row r="118" spans="1:26" ht="15.75" thickBot="1" x14ac:dyDescent="0.3">
      <c r="A118" t="str">
        <f t="shared" si="12"/>
        <v>James White</v>
      </c>
      <c r="B118" t="str">
        <f t="shared" si="13"/>
        <v>RB35</v>
      </c>
      <c r="D118" s="135" t="s">
        <v>1995</v>
      </c>
      <c r="E118" s="134" t="s">
        <v>15</v>
      </c>
      <c r="F118" s="134" t="s">
        <v>815</v>
      </c>
      <c r="G118" s="134" t="s">
        <v>1996</v>
      </c>
      <c r="H118" t="str">
        <f t="shared" si="21"/>
        <v>Andrew Luck</v>
      </c>
      <c r="J118" s="135" t="s">
        <v>4028</v>
      </c>
      <c r="K118" s="134" t="s">
        <v>15</v>
      </c>
      <c r="L118" s="134" t="s">
        <v>1048</v>
      </c>
      <c r="M118" s="134" t="s">
        <v>2000</v>
      </c>
      <c r="N118" t="str">
        <f t="shared" si="22"/>
        <v>Kirk Cousins</v>
      </c>
      <c r="P118" t="s">
        <v>155</v>
      </c>
      <c r="Q118">
        <f t="shared" si="20"/>
        <v>117</v>
      </c>
      <c r="R118" t="s">
        <v>47</v>
      </c>
      <c r="S118" t="str">
        <f>R118&amp;COUNTIF(R$2:R118,R118)</f>
        <v>RB40</v>
      </c>
      <c r="T118" t="str">
        <f t="shared" si="19"/>
        <v>RB40-117</v>
      </c>
      <c r="W118" t="s">
        <v>193</v>
      </c>
      <c r="X118" t="s">
        <v>1964</v>
      </c>
      <c r="Y118" t="str">
        <f t="shared" si="14"/>
        <v>James White</v>
      </c>
      <c r="Z118">
        <f>IF(AND(ISERROR(MATCH(Y118,'ROS Proj'!$A$2:$A$561,0)),LEFT(X118)&lt;&gt;"D"),Z117+1,Z117)</f>
        <v>0</v>
      </c>
    </row>
    <row r="119" spans="1:26" ht="15.75" thickBot="1" x14ac:dyDescent="0.3">
      <c r="A119" t="str">
        <f t="shared" si="12"/>
        <v>Derrick Henry</v>
      </c>
      <c r="B119" t="str">
        <f t="shared" si="13"/>
        <v>RB36</v>
      </c>
      <c r="D119" s="135" t="s">
        <v>1997</v>
      </c>
      <c r="E119" s="134" t="s">
        <v>15</v>
      </c>
      <c r="F119" s="134" t="s">
        <v>1040</v>
      </c>
      <c r="G119" s="134" t="s">
        <v>1998</v>
      </c>
      <c r="H119" t="str">
        <f t="shared" si="21"/>
        <v>Ben Roethlisberger</v>
      </c>
      <c r="J119" s="135" t="s">
        <v>4029</v>
      </c>
      <c r="K119" s="134" t="s">
        <v>114</v>
      </c>
      <c r="L119" s="134" t="s">
        <v>1909</v>
      </c>
      <c r="M119" s="134" t="s">
        <v>1985</v>
      </c>
      <c r="N119" t="str">
        <f t="shared" si="22"/>
        <v>George Kittle</v>
      </c>
      <c r="P119" t="s">
        <v>355</v>
      </c>
      <c r="Q119">
        <f t="shared" si="20"/>
        <v>118</v>
      </c>
      <c r="R119" t="s">
        <v>47</v>
      </c>
      <c r="S119" t="str">
        <f>R119&amp;COUNTIF(R$2:R119,R119)</f>
        <v>RB41</v>
      </c>
      <c r="T119" t="str">
        <f t="shared" si="19"/>
        <v>RB41-118</v>
      </c>
      <c r="W119" t="s">
        <v>201</v>
      </c>
      <c r="X119" t="s">
        <v>1965</v>
      </c>
      <c r="Y119" t="str">
        <f t="shared" si="14"/>
        <v>Derrick Henry</v>
      </c>
      <c r="Z119">
        <f>IF(AND(ISERROR(MATCH(Y119,'ROS Proj'!$A$2:$A$561,0)),LEFT(X119)&lt;&gt;"D"),Z118+1,Z118)</f>
        <v>0</v>
      </c>
    </row>
    <row r="120" spans="1:26" ht="15.75" thickBot="1" x14ac:dyDescent="0.3">
      <c r="A120" t="str">
        <f t="shared" si="12"/>
        <v>Corey Davis</v>
      </c>
      <c r="B120" t="str">
        <f t="shared" si="13"/>
        <v>WR27</v>
      </c>
      <c r="D120" s="135" t="s">
        <v>1999</v>
      </c>
      <c r="E120" s="134" t="s">
        <v>15</v>
      </c>
      <c r="F120" s="134" t="s">
        <v>1048</v>
      </c>
      <c r="G120" s="134" t="s">
        <v>2000</v>
      </c>
      <c r="H120" t="str">
        <f t="shared" si="21"/>
        <v>Kirk Cousins</v>
      </c>
      <c r="J120" s="135" t="s">
        <v>4030</v>
      </c>
      <c r="K120" s="134" t="s">
        <v>114</v>
      </c>
      <c r="L120" s="134" t="s">
        <v>1872</v>
      </c>
      <c r="M120" s="134" t="s">
        <v>1987</v>
      </c>
      <c r="N120" t="str">
        <f t="shared" si="22"/>
        <v>David Njoku</v>
      </c>
      <c r="P120" t="s">
        <v>252</v>
      </c>
      <c r="Q120">
        <f t="shared" si="20"/>
        <v>119</v>
      </c>
      <c r="R120" t="s">
        <v>87</v>
      </c>
      <c r="S120" t="str">
        <f>R120&amp;COUNTIF(R$2:R120,R120)</f>
        <v>WR49</v>
      </c>
      <c r="T120" t="str">
        <f t="shared" si="19"/>
        <v>WR49-119</v>
      </c>
      <c r="W120" t="s">
        <v>171</v>
      </c>
      <c r="X120" t="s">
        <v>1908</v>
      </c>
      <c r="Y120" t="str">
        <f t="shared" si="14"/>
        <v>Corey Davis</v>
      </c>
      <c r="Z120">
        <f>IF(AND(ISERROR(MATCH(Y120,'ROS Proj'!$A$2:$A$561,0)),LEFT(X120)&lt;&gt;"D"),Z119+1,Z119)</f>
        <v>0</v>
      </c>
    </row>
    <row r="121" spans="1:26" ht="15.75" thickBot="1" x14ac:dyDescent="0.3">
      <c r="A121" t="str">
        <f t="shared" si="12"/>
        <v>Panthers D/ST</v>
      </c>
      <c r="B121" t="str">
        <f t="shared" si="13"/>
        <v>DST12</v>
      </c>
      <c r="D121" s="135" t="s">
        <v>2001</v>
      </c>
      <c r="E121" s="134" t="s">
        <v>114</v>
      </c>
      <c r="F121" s="134" t="s">
        <v>815</v>
      </c>
      <c r="G121" s="134" t="s">
        <v>2002</v>
      </c>
      <c r="H121" t="str">
        <f t="shared" si="21"/>
        <v>Jack Doyle</v>
      </c>
      <c r="J121" s="135" t="s">
        <v>4031</v>
      </c>
      <c r="K121" s="134" t="s">
        <v>114</v>
      </c>
      <c r="L121" s="134" t="s">
        <v>1813</v>
      </c>
      <c r="M121" s="134" t="s">
        <v>2002</v>
      </c>
      <c r="N121" t="str">
        <f t="shared" si="22"/>
        <v>Benjamin Watson</v>
      </c>
      <c r="P121" t="s">
        <v>220</v>
      </c>
      <c r="Q121">
        <f t="shared" si="20"/>
        <v>120</v>
      </c>
      <c r="R121" t="s">
        <v>87</v>
      </c>
      <c r="S121" t="str">
        <f>R121&amp;COUNTIF(R$2:R121,R121)</f>
        <v>WR50</v>
      </c>
      <c r="T121" t="str">
        <f t="shared" si="19"/>
        <v>WR50-120</v>
      </c>
      <c r="W121" t="s">
        <v>4875</v>
      </c>
      <c r="X121" t="s">
        <v>2098</v>
      </c>
      <c r="Y121" t="str">
        <f t="shared" si="14"/>
        <v>Panthers D/ST</v>
      </c>
      <c r="Z121">
        <f>IF(AND(ISERROR(MATCH(Y121,'ROS Proj'!$A$2:$A$561,0)),LEFT(X121)&lt;&gt;"D"),Z120+1,Z120)</f>
        <v>0</v>
      </c>
    </row>
    <row r="122" spans="1:26" ht="15.75" thickBot="1" x14ac:dyDescent="0.3">
      <c r="A122" t="str">
        <f t="shared" si="12"/>
        <v>Titans D/ST</v>
      </c>
      <c r="B122" t="str">
        <f t="shared" si="13"/>
        <v>DST13</v>
      </c>
      <c r="D122" s="135" t="s">
        <v>3437</v>
      </c>
      <c r="E122" s="134" t="s">
        <v>87</v>
      </c>
      <c r="F122" s="134" t="s">
        <v>1845</v>
      </c>
      <c r="G122" s="134" t="s">
        <v>2003</v>
      </c>
      <c r="H122" t="str">
        <f t="shared" si="21"/>
        <v>Chris Godwin</v>
      </c>
      <c r="J122" s="135" t="s">
        <v>4032</v>
      </c>
      <c r="K122" s="134" t="s">
        <v>47</v>
      </c>
      <c r="L122" s="134" t="s">
        <v>1935</v>
      </c>
      <c r="M122" s="134" t="s">
        <v>1979</v>
      </c>
      <c r="N122" t="str">
        <f t="shared" si="22"/>
        <v>Bilal Powell</v>
      </c>
      <c r="P122" t="s">
        <v>67</v>
      </c>
      <c r="Q122">
        <f t="shared" si="20"/>
        <v>121</v>
      </c>
      <c r="R122" t="s">
        <v>15</v>
      </c>
      <c r="S122" t="str">
        <f>R122&amp;COUNTIF(R$2:R122,R122)</f>
        <v>QB12</v>
      </c>
      <c r="T122" t="str">
        <f t="shared" si="19"/>
        <v>QB12-121</v>
      </c>
      <c r="W122" t="s">
        <v>4876</v>
      </c>
      <c r="X122" t="s">
        <v>2150</v>
      </c>
      <c r="Y122" t="str">
        <f t="shared" si="14"/>
        <v>Titans D/ST</v>
      </c>
      <c r="Z122">
        <f>IF(AND(ISERROR(MATCH(Y122,'ROS Proj'!$A$2:$A$561,0)),LEFT(X122)&lt;&gt;"D"),Z121+1,Z121)</f>
        <v>0</v>
      </c>
    </row>
    <row r="123" spans="1:26" ht="15.75" thickBot="1" x14ac:dyDescent="0.3">
      <c r="A123" t="str">
        <f t="shared" si="12"/>
        <v>Demaryius Thomas</v>
      </c>
      <c r="B123" t="str">
        <f t="shared" si="13"/>
        <v>WR28</v>
      </c>
      <c r="D123" s="135" t="s">
        <v>3438</v>
      </c>
      <c r="E123" s="134" t="s">
        <v>87</v>
      </c>
      <c r="F123" s="134" t="s">
        <v>1044</v>
      </c>
      <c r="G123" s="134" t="s">
        <v>2004</v>
      </c>
      <c r="H123" t="str">
        <f t="shared" si="21"/>
        <v>Michael Gallup</v>
      </c>
      <c r="J123" s="135" t="s">
        <v>4033</v>
      </c>
      <c r="K123" s="134" t="s">
        <v>47</v>
      </c>
      <c r="L123" s="134" t="s">
        <v>1054</v>
      </c>
      <c r="M123" s="134" t="s">
        <v>1981</v>
      </c>
      <c r="N123" t="str">
        <f t="shared" si="22"/>
        <v>Phillip Lindsay</v>
      </c>
      <c r="P123" t="s">
        <v>281</v>
      </c>
      <c r="Q123">
        <f t="shared" si="20"/>
        <v>122</v>
      </c>
      <c r="R123" t="s">
        <v>47</v>
      </c>
      <c r="S123" t="str">
        <f>R123&amp;COUNTIF(R$2:R123,R123)</f>
        <v>RB42</v>
      </c>
      <c r="T123" t="str">
        <f t="shared" si="19"/>
        <v>RB42-122</v>
      </c>
      <c r="W123" t="s">
        <v>136</v>
      </c>
      <c r="X123" t="s">
        <v>1919</v>
      </c>
      <c r="Y123" t="str">
        <f t="shared" si="14"/>
        <v>Demaryius Thomas</v>
      </c>
      <c r="Z123">
        <f>IF(AND(ISERROR(MATCH(Y123,'ROS Proj'!$A$2:$A$561,0)),LEFT(X123)&lt;&gt;"D"),Z122+1,Z122)</f>
        <v>0</v>
      </c>
    </row>
    <row r="124" spans="1:26" ht="15.75" thickBot="1" x14ac:dyDescent="0.3">
      <c r="A124" t="str">
        <f t="shared" si="12"/>
        <v>Wil Lutz</v>
      </c>
      <c r="B124" t="str">
        <f t="shared" si="13"/>
        <v>K5</v>
      </c>
      <c r="D124" s="135" t="s">
        <v>3439</v>
      </c>
      <c r="E124" s="134" t="s">
        <v>87</v>
      </c>
      <c r="F124" s="134" t="s">
        <v>1831</v>
      </c>
      <c r="G124" s="134" t="s">
        <v>2005</v>
      </c>
      <c r="H124" t="str">
        <f t="shared" si="21"/>
        <v>DJ Moore</v>
      </c>
      <c r="J124" s="135" t="s">
        <v>4034</v>
      </c>
      <c r="K124" s="134" t="s">
        <v>47</v>
      </c>
      <c r="L124" s="134" t="s">
        <v>815</v>
      </c>
      <c r="M124" s="134" t="s">
        <v>1983</v>
      </c>
      <c r="N124" t="str">
        <f t="shared" si="22"/>
        <v>Marlon Mack</v>
      </c>
      <c r="P124" t="s">
        <v>447</v>
      </c>
      <c r="Q124">
        <f t="shared" si="20"/>
        <v>123</v>
      </c>
      <c r="R124" t="s">
        <v>478</v>
      </c>
      <c r="S124" t="str">
        <f>R124&amp;COUNTIF(R$2:R124,R124)</f>
        <v>K3</v>
      </c>
      <c r="T124" t="str">
        <f t="shared" si="19"/>
        <v>K3-123</v>
      </c>
      <c r="W124" t="s">
        <v>462</v>
      </c>
      <c r="X124" t="s">
        <v>2102</v>
      </c>
      <c r="Y124" t="str">
        <f t="shared" si="14"/>
        <v>Wil Lutz</v>
      </c>
      <c r="Z124">
        <f>IF(AND(ISERROR(MATCH(Y124,'ROS Proj'!$A$2:$A$561,0)),LEFT(X124)&lt;&gt;"D"),Z123+1,Z123)</f>
        <v>0</v>
      </c>
    </row>
    <row r="125" spans="1:26" ht="15.75" thickBot="1" x14ac:dyDescent="0.3">
      <c r="A125" t="str">
        <f t="shared" si="12"/>
        <v>Patriots D/ST</v>
      </c>
      <c r="B125" t="str">
        <f t="shared" si="13"/>
        <v>DST14</v>
      </c>
      <c r="D125" s="135" t="s">
        <v>3440</v>
      </c>
      <c r="E125" s="134" t="s">
        <v>87</v>
      </c>
      <c r="F125" s="134" t="s">
        <v>1053</v>
      </c>
      <c r="G125" s="134" t="s">
        <v>2006</v>
      </c>
      <c r="H125" t="str">
        <f t="shared" si="21"/>
        <v>DeVante Parker</v>
      </c>
      <c r="J125" s="135" t="s">
        <v>4035</v>
      </c>
      <c r="K125" s="134" t="s">
        <v>47</v>
      </c>
      <c r="L125" s="134" t="s">
        <v>1865</v>
      </c>
      <c r="M125" s="134" t="s">
        <v>1988</v>
      </c>
      <c r="N125" t="str">
        <f t="shared" si="22"/>
        <v>Rashaad Penny</v>
      </c>
      <c r="P125" t="s">
        <v>230</v>
      </c>
      <c r="Q125">
        <f t="shared" si="20"/>
        <v>124</v>
      </c>
      <c r="R125" t="s">
        <v>87</v>
      </c>
      <c r="S125" t="str">
        <f>R125&amp;COUNTIF(R$2:R125,R125)</f>
        <v>WR51</v>
      </c>
      <c r="T125" t="str">
        <f t="shared" si="19"/>
        <v>WR51-124</v>
      </c>
      <c r="W125" t="s">
        <v>4878</v>
      </c>
      <c r="X125" t="s">
        <v>2152</v>
      </c>
      <c r="Y125" t="str">
        <f t="shared" si="14"/>
        <v>Patriots D/ST</v>
      </c>
      <c r="Z125">
        <f>IF(AND(ISERROR(MATCH(Y125,'ROS Proj'!$A$2:$A$561,0)),LEFT(X125)&lt;&gt;"D"),Z124+1,Z124)</f>
        <v>0</v>
      </c>
    </row>
    <row r="126" spans="1:26" ht="15.75" thickBot="1" x14ac:dyDescent="0.3">
      <c r="A126" t="str">
        <f t="shared" si="12"/>
        <v>Kenny Golladay</v>
      </c>
      <c r="B126" t="str">
        <f t="shared" si="13"/>
        <v>WR29</v>
      </c>
      <c r="D126" s="135" t="s">
        <v>3441</v>
      </c>
      <c r="E126" s="134" t="s">
        <v>87</v>
      </c>
      <c r="F126" s="134" t="s">
        <v>1862</v>
      </c>
      <c r="G126" s="134" t="s">
        <v>2007</v>
      </c>
      <c r="H126" t="str">
        <f t="shared" si="21"/>
        <v>Mike Wallace</v>
      </c>
      <c r="J126" s="135" t="s">
        <v>4036</v>
      </c>
      <c r="K126" s="134" t="s">
        <v>47</v>
      </c>
      <c r="L126" s="134" t="s">
        <v>1839</v>
      </c>
      <c r="M126" s="134" t="s">
        <v>1989</v>
      </c>
      <c r="N126" t="str">
        <f t="shared" si="22"/>
        <v>Sony Michel</v>
      </c>
      <c r="P126" t="s">
        <v>106</v>
      </c>
      <c r="Q126">
        <f t="shared" si="20"/>
        <v>125</v>
      </c>
      <c r="R126" t="s">
        <v>87</v>
      </c>
      <c r="S126" t="str">
        <f>R126&amp;COUNTIF(R$2:R126,R126)</f>
        <v>WR52</v>
      </c>
      <c r="T126" t="str">
        <f t="shared" si="19"/>
        <v>WR52-125</v>
      </c>
      <c r="W126" t="s">
        <v>195</v>
      </c>
      <c r="X126" t="s">
        <v>1920</v>
      </c>
      <c r="Y126" t="str">
        <f t="shared" si="14"/>
        <v>Kenny Golladay</v>
      </c>
      <c r="Z126">
        <f>IF(AND(ISERROR(MATCH(Y126,'ROS Proj'!$A$2:$A$561,0)),LEFT(X126)&lt;&gt;"D"),Z125+1,Z125)</f>
        <v>0</v>
      </c>
    </row>
    <row r="127" spans="1:26" ht="15.75" thickBot="1" x14ac:dyDescent="0.3">
      <c r="A127" t="str">
        <f t="shared" si="12"/>
        <v>John Brown</v>
      </c>
      <c r="B127" t="str">
        <f t="shared" si="13"/>
        <v>WR30</v>
      </c>
      <c r="D127" s="135" t="s">
        <v>3442</v>
      </c>
      <c r="E127" s="134" t="s">
        <v>87</v>
      </c>
      <c r="F127" s="134" t="s">
        <v>1845</v>
      </c>
      <c r="G127" s="134" t="s">
        <v>2008</v>
      </c>
      <c r="H127" t="str">
        <f t="shared" si="21"/>
        <v>DeSean Jackson</v>
      </c>
      <c r="J127" s="135" t="s">
        <v>4037</v>
      </c>
      <c r="K127" s="134" t="s">
        <v>15</v>
      </c>
      <c r="L127" s="134" t="s">
        <v>1821</v>
      </c>
      <c r="M127" s="134" t="s">
        <v>2010</v>
      </c>
      <c r="N127" t="str">
        <f t="shared" si="22"/>
        <v>Patrick Mahomes</v>
      </c>
      <c r="P127" t="s">
        <v>1422</v>
      </c>
      <c r="Q127">
        <f t="shared" si="20"/>
        <v>126</v>
      </c>
      <c r="R127" t="s">
        <v>87</v>
      </c>
      <c r="S127" t="str">
        <f>R127&amp;COUNTIF(R$2:R127,R127)</f>
        <v>WR53</v>
      </c>
      <c r="T127" t="str">
        <f t="shared" si="19"/>
        <v>WR53-126</v>
      </c>
      <c r="W127" t="s">
        <v>185</v>
      </c>
      <c r="X127" t="s">
        <v>1921</v>
      </c>
      <c r="Y127" t="str">
        <f t="shared" si="14"/>
        <v>John Brown</v>
      </c>
      <c r="Z127">
        <f>IF(AND(ISERROR(MATCH(Y127,'ROS Proj'!$A$2:$A$561,0)),LEFT(X127)&lt;&gt;"D"),Z126+1,Z126)</f>
        <v>0</v>
      </c>
    </row>
    <row r="128" spans="1:26" ht="15.75" thickBot="1" x14ac:dyDescent="0.3">
      <c r="A128" t="str">
        <f t="shared" si="12"/>
        <v>Dan Bailey</v>
      </c>
      <c r="B128" t="str">
        <f t="shared" si="13"/>
        <v>K6</v>
      </c>
      <c r="D128" s="135" t="s">
        <v>2009</v>
      </c>
      <c r="E128" s="134" t="s">
        <v>15</v>
      </c>
      <c r="F128" s="134" t="s">
        <v>1882</v>
      </c>
      <c r="G128" s="134" t="s">
        <v>2010</v>
      </c>
      <c r="H128" t="str">
        <f t="shared" si="21"/>
        <v>Matthew Stafford</v>
      </c>
      <c r="J128" s="135" t="s">
        <v>2009</v>
      </c>
      <c r="K128" s="134" t="s">
        <v>15</v>
      </c>
      <c r="L128" s="134" t="s">
        <v>1882</v>
      </c>
      <c r="M128" s="134" t="s">
        <v>2012</v>
      </c>
      <c r="N128" t="str">
        <f t="shared" si="22"/>
        <v>Matthew Stafford</v>
      </c>
      <c r="P128" t="s">
        <v>455</v>
      </c>
      <c r="Q128">
        <f t="shared" si="20"/>
        <v>127</v>
      </c>
      <c r="R128" t="s">
        <v>478</v>
      </c>
      <c r="S128" t="str">
        <f>R128&amp;COUNTIF(R$2:R128,R128)</f>
        <v>K4</v>
      </c>
      <c r="T128" t="str">
        <f t="shared" si="19"/>
        <v>K4-127</v>
      </c>
      <c r="W128" t="s">
        <v>445</v>
      </c>
      <c r="X128" t="s">
        <v>2104</v>
      </c>
      <c r="Y128" t="str">
        <f t="shared" si="14"/>
        <v>Dan Bailey</v>
      </c>
      <c r="Z128">
        <f>IF(AND(ISERROR(MATCH(Y128,'ROS Proj'!$A$2:$A$561,0)),LEFT(X128)&lt;&gt;"D"),Z127+1,Z127)</f>
        <v>0</v>
      </c>
    </row>
    <row r="129" spans="1:26" ht="15.75" thickBot="1" x14ac:dyDescent="0.3">
      <c r="A129" t="str">
        <f t="shared" si="12"/>
        <v>Jake Elliott</v>
      </c>
      <c r="B129" t="str">
        <f t="shared" si="13"/>
        <v>K7</v>
      </c>
      <c r="D129" s="135" t="s">
        <v>2011</v>
      </c>
      <c r="E129" s="134" t="s">
        <v>15</v>
      </c>
      <c r="F129" s="134" t="s">
        <v>1813</v>
      </c>
      <c r="G129" s="134" t="s">
        <v>2012</v>
      </c>
      <c r="H129" t="str">
        <f t="shared" si="21"/>
        <v>Drew Brees</v>
      </c>
      <c r="J129" s="135" t="s">
        <v>2011</v>
      </c>
      <c r="K129" s="134" t="s">
        <v>15</v>
      </c>
      <c r="L129" s="134" t="s">
        <v>1813</v>
      </c>
      <c r="M129" s="134" t="s">
        <v>2021</v>
      </c>
      <c r="N129" t="str">
        <f t="shared" si="22"/>
        <v>Drew Brees</v>
      </c>
      <c r="P129" t="s">
        <v>302</v>
      </c>
      <c r="Q129">
        <f t="shared" si="20"/>
        <v>128</v>
      </c>
      <c r="R129" t="s">
        <v>15</v>
      </c>
      <c r="S129" t="str">
        <f>R129&amp;COUNTIF(R$2:R129,R129)</f>
        <v>QB13</v>
      </c>
      <c r="T129" t="str">
        <f t="shared" si="19"/>
        <v>QB13-128</v>
      </c>
      <c r="W129" t="s">
        <v>998</v>
      </c>
      <c r="X129" t="s">
        <v>2106</v>
      </c>
      <c r="Y129" t="str">
        <f t="shared" si="14"/>
        <v>Jake Elliott</v>
      </c>
      <c r="Z129">
        <f>IF(AND(ISERROR(MATCH(Y129,'ROS Proj'!$A$2:$A$561,0)),LEFT(X129)&lt;&gt;"D"),Z128+1,Z128)</f>
        <v>0</v>
      </c>
    </row>
    <row r="130" spans="1:26" ht="15.75" thickBot="1" x14ac:dyDescent="0.3">
      <c r="A130" t="str">
        <f t="shared" si="12"/>
        <v>Mason Crosby</v>
      </c>
      <c r="B130" t="str">
        <f t="shared" si="13"/>
        <v>K8</v>
      </c>
      <c r="D130" s="135" t="s">
        <v>2013</v>
      </c>
      <c r="E130" s="134" t="s">
        <v>87</v>
      </c>
      <c r="F130" s="134" t="s">
        <v>1053</v>
      </c>
      <c r="G130" s="134" t="s">
        <v>2014</v>
      </c>
      <c r="H130" t="str">
        <f t="shared" si="21"/>
        <v>Danny Amendola</v>
      </c>
      <c r="J130" s="135" t="s">
        <v>4038</v>
      </c>
      <c r="K130" s="134" t="s">
        <v>87</v>
      </c>
      <c r="L130" s="134" t="s">
        <v>1834</v>
      </c>
      <c r="M130" s="134" t="s">
        <v>2014</v>
      </c>
      <c r="N130" t="str">
        <f t="shared" si="22"/>
        <v>John Ross</v>
      </c>
      <c r="P130" t="s">
        <v>224</v>
      </c>
      <c r="Q130">
        <f t="shared" si="20"/>
        <v>129</v>
      </c>
      <c r="R130" t="s">
        <v>47</v>
      </c>
      <c r="S130" t="str">
        <f>R130&amp;COUNTIF(R$2:R130,R130)</f>
        <v>RB43</v>
      </c>
      <c r="T130" t="str">
        <f t="shared" si="19"/>
        <v>RB43-129</v>
      </c>
      <c r="W130" t="s">
        <v>444</v>
      </c>
      <c r="X130" t="s">
        <v>2108</v>
      </c>
      <c r="Y130" t="str">
        <f t="shared" si="14"/>
        <v>Mason Crosby</v>
      </c>
      <c r="Z130">
        <f>IF(AND(ISERROR(MATCH(Y130,'ROS Proj'!$A$2:$A$561,0)),LEFT(X130)&lt;&gt;"D"),Z129+1,Z129)</f>
        <v>0</v>
      </c>
    </row>
    <row r="131" spans="1:26" ht="15.75" thickBot="1" x14ac:dyDescent="0.3">
      <c r="A131" t="str">
        <f t="shared" ref="A131:A194" si="23">Y131</f>
        <v>Calvin Ridley</v>
      </c>
      <c r="B131" t="str">
        <f t="shared" ref="B131:B194" si="24">X131</f>
        <v>WR31</v>
      </c>
      <c r="D131" s="135" t="s">
        <v>3443</v>
      </c>
      <c r="E131" s="134" t="s">
        <v>87</v>
      </c>
      <c r="F131" s="134" t="s">
        <v>1887</v>
      </c>
      <c r="G131" s="134" t="s">
        <v>2015</v>
      </c>
      <c r="H131" t="str">
        <f t="shared" si="21"/>
        <v>Rishard Matthews</v>
      </c>
      <c r="J131" s="135" t="s">
        <v>4039</v>
      </c>
      <c r="K131" s="134" t="s">
        <v>87</v>
      </c>
      <c r="L131" s="134" t="s">
        <v>1845</v>
      </c>
      <c r="M131" s="134" t="s">
        <v>2015</v>
      </c>
      <c r="N131" t="str">
        <f t="shared" si="22"/>
        <v>DeSean Jackson</v>
      </c>
      <c r="P131" t="s">
        <v>449</v>
      </c>
      <c r="Q131">
        <f t="shared" si="20"/>
        <v>130</v>
      </c>
      <c r="R131" t="s">
        <v>478</v>
      </c>
      <c r="S131" t="str">
        <f>R131&amp;COUNTIF(R$2:R131,R131)</f>
        <v>K5</v>
      </c>
      <c r="T131" t="str">
        <f t="shared" si="19"/>
        <v>K5-130</v>
      </c>
      <c r="W131" t="s">
        <v>1422</v>
      </c>
      <c r="X131" t="s">
        <v>1922</v>
      </c>
      <c r="Y131" t="str">
        <f t="shared" ref="Y131:Y194" si="25">IFERROR(VLOOKUP(W131,$AB$2:$AC$22,2,FALSE),IFERROR(VLOOKUP(LEFT(W131,SEARCH("(",W131)-2),$AF$2:$AG$33,2,FALSE),W131))</f>
        <v>Calvin Ridley</v>
      </c>
      <c r="Z131">
        <f>IF(AND(ISERROR(MATCH(Y131,'ROS Proj'!$A$2:$A$561,0)),LEFT(X131)&lt;&gt;"D"),Z130+1,Z130)</f>
        <v>0</v>
      </c>
    </row>
    <row r="132" spans="1:26" ht="15.75" thickBot="1" x14ac:dyDescent="0.3">
      <c r="A132" t="str">
        <f t="shared" si="23"/>
        <v>Marvin Jones Jr.</v>
      </c>
      <c r="B132" t="str">
        <f t="shared" si="24"/>
        <v>WR32</v>
      </c>
      <c r="D132" s="135" t="s">
        <v>3444</v>
      </c>
      <c r="E132" s="134" t="s">
        <v>87</v>
      </c>
      <c r="F132" s="134" t="s">
        <v>1813</v>
      </c>
      <c r="G132" s="134" t="s">
        <v>2016</v>
      </c>
      <c r="H132" t="str">
        <f t="shared" si="21"/>
        <v>Cameron Meredith</v>
      </c>
      <c r="J132" s="135" t="s">
        <v>4040</v>
      </c>
      <c r="K132" s="134" t="s">
        <v>87</v>
      </c>
      <c r="L132" s="134" t="s">
        <v>1890</v>
      </c>
      <c r="M132" s="134" t="s">
        <v>2016</v>
      </c>
      <c r="N132" t="str">
        <f t="shared" si="22"/>
        <v>John Brown</v>
      </c>
      <c r="P132" t="s">
        <v>412</v>
      </c>
      <c r="Q132">
        <f t="shared" si="20"/>
        <v>131</v>
      </c>
      <c r="R132" t="s">
        <v>770</v>
      </c>
      <c r="S132" t="str">
        <f>R132&amp;COUNTIF(R$2:R132,R132)</f>
        <v>D6</v>
      </c>
      <c r="T132" t="str">
        <f t="shared" si="19"/>
        <v>D6-131</v>
      </c>
      <c r="W132" t="s">
        <v>2427</v>
      </c>
      <c r="X132" t="s">
        <v>1931</v>
      </c>
      <c r="Y132" t="str">
        <f t="shared" si="25"/>
        <v>Marvin Jones Jr.</v>
      </c>
      <c r="Z132">
        <f>IF(AND(ISERROR(MATCH(Y132,'ROS Proj'!$A$2:$A$561,0)),LEFT(X132)&lt;&gt;"D"),Z131+1,Z131)</f>
        <v>0</v>
      </c>
    </row>
    <row r="133" spans="1:26" ht="15.75" thickBot="1" x14ac:dyDescent="0.3">
      <c r="A133" t="str">
        <f t="shared" si="23"/>
        <v>Julian Edelman</v>
      </c>
      <c r="B133" t="str">
        <f t="shared" si="24"/>
        <v>WR33</v>
      </c>
      <c r="D133" s="135" t="s">
        <v>3445</v>
      </c>
      <c r="E133" s="134" t="s">
        <v>87</v>
      </c>
      <c r="F133" s="134" t="s">
        <v>1040</v>
      </c>
      <c r="G133" s="134" t="s">
        <v>2017</v>
      </c>
      <c r="H133" t="str">
        <f t="shared" si="21"/>
        <v>James Washington</v>
      </c>
      <c r="J133" s="135" t="s">
        <v>4041</v>
      </c>
      <c r="K133" s="134" t="s">
        <v>87</v>
      </c>
      <c r="L133" s="134" t="s">
        <v>1054</v>
      </c>
      <c r="M133" s="134" t="s">
        <v>2017</v>
      </c>
      <c r="N133" t="str">
        <f t="shared" si="22"/>
        <v>Courtland Sutton</v>
      </c>
      <c r="P133" t="s">
        <v>187</v>
      </c>
      <c r="Q133">
        <f t="shared" si="20"/>
        <v>132</v>
      </c>
      <c r="R133" t="s">
        <v>47</v>
      </c>
      <c r="S133" t="str">
        <f>R133&amp;COUNTIF(R$2:R133,R133)</f>
        <v>RB44</v>
      </c>
      <c r="T133" t="str">
        <f t="shared" si="19"/>
        <v>RB44-132</v>
      </c>
      <c r="W133" t="s">
        <v>1330</v>
      </c>
      <c r="X133" t="s">
        <v>1933</v>
      </c>
      <c r="Y133" t="str">
        <f t="shared" si="25"/>
        <v>Julian Edelman</v>
      </c>
      <c r="Z133">
        <f>IF(AND(ISERROR(MATCH(Y133,'ROS Proj'!$A$2:$A$561,0)),LEFT(X133)&lt;&gt;"D"),Z132+1,Z132)</f>
        <v>0</v>
      </c>
    </row>
    <row r="134" spans="1:26" ht="15.75" thickBot="1" x14ac:dyDescent="0.3">
      <c r="A134" t="str">
        <f t="shared" si="23"/>
        <v>Sammy Watkins</v>
      </c>
      <c r="B134" t="str">
        <f t="shared" si="24"/>
        <v>WR34</v>
      </c>
      <c r="D134" s="135" t="s">
        <v>2018</v>
      </c>
      <c r="E134" s="134" t="s">
        <v>114</v>
      </c>
      <c r="F134" s="134" t="s">
        <v>1050</v>
      </c>
      <c r="G134" s="134" t="s">
        <v>2019</v>
      </c>
      <c r="H134" t="str">
        <f t="shared" si="21"/>
        <v>Charles Clay</v>
      </c>
      <c r="J134" s="135" t="s">
        <v>4042</v>
      </c>
      <c r="K134" s="134" t="s">
        <v>15</v>
      </c>
      <c r="L134" s="134" t="s">
        <v>1041</v>
      </c>
      <c r="M134" s="134" t="s">
        <v>2023</v>
      </c>
      <c r="N134" t="str">
        <f t="shared" si="22"/>
        <v>Philip Rivers</v>
      </c>
      <c r="P134" t="s">
        <v>452</v>
      </c>
      <c r="Q134">
        <f t="shared" si="20"/>
        <v>133</v>
      </c>
      <c r="R134" t="s">
        <v>478</v>
      </c>
      <c r="S134" t="str">
        <f>R134&amp;COUNTIF(R$2:R134,R134)</f>
        <v>K6</v>
      </c>
      <c r="T134" t="str">
        <f t="shared" si="19"/>
        <v>K6-133</v>
      </c>
      <c r="W134" t="s">
        <v>125</v>
      </c>
      <c r="X134" t="s">
        <v>1934</v>
      </c>
      <c r="Y134" t="str">
        <f t="shared" si="25"/>
        <v>Sammy Watkins</v>
      </c>
      <c r="Z134">
        <f>IF(AND(ISERROR(MATCH(Y134,'ROS Proj'!$A$2:$A$561,0)),LEFT(X134)&lt;&gt;"D"),Z133+1,Z133)</f>
        <v>0</v>
      </c>
    </row>
    <row r="135" spans="1:26" ht="15.75" thickBot="1" x14ac:dyDescent="0.3">
      <c r="A135" t="str">
        <f t="shared" si="23"/>
        <v>Greg Zuerlein</v>
      </c>
      <c r="B135" t="str">
        <f t="shared" si="24"/>
        <v>K9</v>
      </c>
      <c r="D135" s="135" t="s">
        <v>2020</v>
      </c>
      <c r="E135" s="134" t="s">
        <v>15</v>
      </c>
      <c r="F135" s="134" t="s">
        <v>1052</v>
      </c>
      <c r="G135" s="134" t="s">
        <v>2021</v>
      </c>
      <c r="H135" t="str">
        <f t="shared" si="21"/>
        <v>Matt Ryan</v>
      </c>
      <c r="J135" s="135" t="s">
        <v>4043</v>
      </c>
      <c r="K135" s="134" t="s">
        <v>15</v>
      </c>
      <c r="L135" s="134" t="s">
        <v>1045</v>
      </c>
      <c r="M135" s="134" t="s">
        <v>2027</v>
      </c>
      <c r="N135" t="str">
        <f t="shared" si="22"/>
        <v>Alex Smith</v>
      </c>
      <c r="P135" t="s">
        <v>405</v>
      </c>
      <c r="Q135">
        <f t="shared" si="20"/>
        <v>134</v>
      </c>
      <c r="R135" t="s">
        <v>770</v>
      </c>
      <c r="S135" t="str">
        <f>R135&amp;COUNTIF(R$2:R135,R135)</f>
        <v>D7</v>
      </c>
      <c r="T135" t="str">
        <f t="shared" si="19"/>
        <v>D7-134</v>
      </c>
      <c r="W135" t="s">
        <v>464</v>
      </c>
      <c r="X135" t="s">
        <v>2110</v>
      </c>
      <c r="Y135" t="str">
        <f t="shared" si="25"/>
        <v>Greg Zuerlein</v>
      </c>
      <c r="Z135">
        <f>IF(AND(ISERROR(MATCH(Y135,'ROS Proj'!$A$2:$A$561,0)),LEFT(X135)&lt;&gt;"D"),Z134+1,Z134)</f>
        <v>0</v>
      </c>
    </row>
    <row r="136" spans="1:26" ht="15.75" thickBot="1" x14ac:dyDescent="0.3">
      <c r="A136" t="str">
        <f t="shared" si="23"/>
        <v>Michael Crabtree</v>
      </c>
      <c r="B136" t="str">
        <f t="shared" si="24"/>
        <v>WR35</v>
      </c>
      <c r="D136" s="135" t="s">
        <v>2022</v>
      </c>
      <c r="E136" s="134" t="s">
        <v>15</v>
      </c>
      <c r="F136" s="134" t="s">
        <v>1821</v>
      </c>
      <c r="G136" s="134" t="s">
        <v>2023</v>
      </c>
      <c r="H136" t="str">
        <f t="shared" si="21"/>
        <v>Patrick Mahomes</v>
      </c>
      <c r="J136" s="135" t="s">
        <v>4044</v>
      </c>
      <c r="K136" s="134" t="s">
        <v>15</v>
      </c>
      <c r="L136" s="134" t="s">
        <v>1052</v>
      </c>
      <c r="M136" s="134" t="s">
        <v>2029</v>
      </c>
      <c r="N136" t="str">
        <f t="shared" si="22"/>
        <v>Matt Ryan</v>
      </c>
      <c r="P136" t="s">
        <v>195</v>
      </c>
      <c r="Q136">
        <f t="shared" si="20"/>
        <v>135</v>
      </c>
      <c r="R136" t="s">
        <v>87</v>
      </c>
      <c r="S136" t="str">
        <f>R136&amp;COUNTIF(R$2:R136,R136)</f>
        <v>WR54</v>
      </c>
      <c r="T136" t="str">
        <f t="shared" si="19"/>
        <v>WR54-135</v>
      </c>
      <c r="W136" t="s">
        <v>116</v>
      </c>
      <c r="X136" t="s">
        <v>1936</v>
      </c>
      <c r="Y136" t="str">
        <f t="shared" si="25"/>
        <v>Michael Crabtree</v>
      </c>
      <c r="Z136">
        <f>IF(AND(ISERROR(MATCH(Y136,'ROS Proj'!$A$2:$A$561,0)),LEFT(X136)&lt;&gt;"D"),Z135+1,Z135)</f>
        <v>0</v>
      </c>
    </row>
    <row r="137" spans="1:26" ht="15.75" thickBot="1" x14ac:dyDescent="0.3">
      <c r="A137" t="str">
        <f t="shared" si="23"/>
        <v>Cardinals D/ST</v>
      </c>
      <c r="B137" t="str">
        <f t="shared" si="24"/>
        <v>DST15</v>
      </c>
      <c r="D137" s="135" t="s">
        <v>2024</v>
      </c>
      <c r="E137" s="134" t="s">
        <v>114</v>
      </c>
      <c r="F137" s="134" t="s">
        <v>1834</v>
      </c>
      <c r="G137" s="134" t="s">
        <v>2025</v>
      </c>
      <c r="H137" t="str">
        <f t="shared" si="21"/>
        <v>Tyler Eifert</v>
      </c>
      <c r="J137" s="135" t="s">
        <v>4045</v>
      </c>
      <c r="K137" s="134" t="s">
        <v>15</v>
      </c>
      <c r="L137" s="134" t="s">
        <v>1909</v>
      </c>
      <c r="M137" s="134" t="s">
        <v>2031</v>
      </c>
      <c r="N137" t="str">
        <f t="shared" si="22"/>
        <v>Jimmy Garoppolo</v>
      </c>
      <c r="P137" t="s">
        <v>70</v>
      </c>
      <c r="Q137">
        <f t="shared" si="20"/>
        <v>136</v>
      </c>
      <c r="R137" t="s">
        <v>15</v>
      </c>
      <c r="S137" t="str">
        <f>R137&amp;COUNTIF(R$2:R137,R137)</f>
        <v>QB14</v>
      </c>
      <c r="T137" t="str">
        <f t="shared" si="19"/>
        <v>QB14-136</v>
      </c>
      <c r="W137" t="s">
        <v>4874</v>
      </c>
      <c r="X137" t="s">
        <v>2199</v>
      </c>
      <c r="Y137" t="str">
        <f t="shared" si="25"/>
        <v>Cardinals D/ST</v>
      </c>
      <c r="Z137">
        <f>IF(AND(ISERROR(MATCH(Y137,'ROS Proj'!$A$2:$A$561,0)),LEFT(X137)&lt;&gt;"D"),Z136+1,Z136)</f>
        <v>0</v>
      </c>
    </row>
    <row r="138" spans="1:26" ht="15.75" thickBot="1" x14ac:dyDescent="0.3">
      <c r="A138" t="str">
        <f t="shared" si="23"/>
        <v>Eli Manning</v>
      </c>
      <c r="B138" t="str">
        <f t="shared" si="24"/>
        <v>QB28</v>
      </c>
      <c r="D138" s="135" t="s">
        <v>2026</v>
      </c>
      <c r="E138" s="134" t="s">
        <v>15</v>
      </c>
      <c r="F138" s="134" t="s">
        <v>1041</v>
      </c>
      <c r="G138" s="134" t="s">
        <v>2027</v>
      </c>
      <c r="H138" t="str">
        <f t="shared" si="21"/>
        <v>Philip Rivers</v>
      </c>
      <c r="J138" s="135" t="s">
        <v>4046</v>
      </c>
      <c r="K138" s="134" t="s">
        <v>87</v>
      </c>
      <c r="L138" s="134" t="s">
        <v>1823</v>
      </c>
      <c r="M138" s="134" t="s">
        <v>2034</v>
      </c>
      <c r="N138" t="str">
        <f t="shared" si="22"/>
        <v>Donte Moncrief</v>
      </c>
      <c r="P138" t="s">
        <v>462</v>
      </c>
      <c r="Q138">
        <f t="shared" si="20"/>
        <v>137</v>
      </c>
      <c r="R138" t="s">
        <v>478</v>
      </c>
      <c r="S138" t="str">
        <f>R138&amp;COUNTIF(R$2:R138,R138)</f>
        <v>K7</v>
      </c>
      <c r="T138" t="str">
        <f t="shared" si="19"/>
        <v>K7-137</v>
      </c>
      <c r="W138" t="s">
        <v>75</v>
      </c>
      <c r="X138" t="s">
        <v>2223</v>
      </c>
      <c r="Y138" t="str">
        <f t="shared" si="25"/>
        <v>Eli Manning</v>
      </c>
      <c r="Z138">
        <f>IF(AND(ISERROR(MATCH(Y138,'ROS Proj'!$A$2:$A$561,0)),LEFT(X138)&lt;&gt;"D"),Z137+1,Z137)</f>
        <v>0</v>
      </c>
    </row>
    <row r="139" spans="1:26" ht="15.75" thickBot="1" x14ac:dyDescent="0.3">
      <c r="A139" t="str">
        <f t="shared" si="23"/>
        <v>Josh Lambo</v>
      </c>
      <c r="B139" t="str">
        <f t="shared" si="24"/>
        <v>K10</v>
      </c>
      <c r="D139" s="135" t="s">
        <v>2028</v>
      </c>
      <c r="E139" s="134" t="s">
        <v>15</v>
      </c>
      <c r="F139" s="134" t="s">
        <v>1909</v>
      </c>
      <c r="G139" s="134" t="s">
        <v>2029</v>
      </c>
      <c r="H139" t="str">
        <f t="shared" si="21"/>
        <v>Jimmy Garoppolo</v>
      </c>
      <c r="J139" s="135" t="s">
        <v>4047</v>
      </c>
      <c r="K139" s="134" t="s">
        <v>87</v>
      </c>
      <c r="L139" s="134" t="s">
        <v>1041</v>
      </c>
      <c r="M139" s="134" t="s">
        <v>2036</v>
      </c>
      <c r="N139" t="str">
        <f t="shared" si="22"/>
        <v>Mike Williams</v>
      </c>
      <c r="P139" t="s">
        <v>421</v>
      </c>
      <c r="Q139">
        <f t="shared" si="20"/>
        <v>138</v>
      </c>
      <c r="R139" t="s">
        <v>770</v>
      </c>
      <c r="S139" t="str">
        <f>R139&amp;COUNTIF(R$2:R139,R139)</f>
        <v>D8</v>
      </c>
      <c r="T139" t="str">
        <f t="shared" si="19"/>
        <v>D8-138</v>
      </c>
      <c r="W139" t="s">
        <v>1119</v>
      </c>
      <c r="X139" t="s">
        <v>2112</v>
      </c>
      <c r="Y139" t="str">
        <f t="shared" si="25"/>
        <v>Josh Lambo</v>
      </c>
      <c r="Z139">
        <f>IF(AND(ISERROR(MATCH(Y139,'ROS Proj'!$A$2:$A$561,0)),LEFT(X139)&lt;&gt;"D"),Z138+1,Z138)</f>
        <v>0</v>
      </c>
    </row>
    <row r="140" spans="1:26" ht="15.75" thickBot="1" x14ac:dyDescent="0.3">
      <c r="A140" t="str">
        <f t="shared" si="23"/>
        <v>Josh Gordon</v>
      </c>
      <c r="B140" t="str">
        <f t="shared" si="24"/>
        <v>WR36</v>
      </c>
      <c r="D140" s="135" t="s">
        <v>2030</v>
      </c>
      <c r="E140" s="134" t="s">
        <v>15</v>
      </c>
      <c r="F140" s="134" t="s">
        <v>1045</v>
      </c>
      <c r="G140" s="134" t="s">
        <v>2031</v>
      </c>
      <c r="H140" t="str">
        <f t="shared" si="21"/>
        <v>Alex Smith</v>
      </c>
      <c r="J140" s="135" t="s">
        <v>4048</v>
      </c>
      <c r="K140" s="134" t="s">
        <v>87</v>
      </c>
      <c r="L140" s="134" t="s">
        <v>1044</v>
      </c>
      <c r="M140" s="134" t="s">
        <v>2037</v>
      </c>
      <c r="N140" t="str">
        <f t="shared" si="22"/>
        <v>Michael Gallup</v>
      </c>
      <c r="P140" t="s">
        <v>227</v>
      </c>
      <c r="Q140">
        <f t="shared" si="20"/>
        <v>139</v>
      </c>
      <c r="R140" t="s">
        <v>87</v>
      </c>
      <c r="S140" t="str">
        <f>R140&amp;COUNTIF(R$2:R140,R140)</f>
        <v>WR55</v>
      </c>
      <c r="T140" t="str">
        <f t="shared" si="19"/>
        <v>WR55-139</v>
      </c>
      <c r="W140" t="s">
        <v>1158</v>
      </c>
      <c r="X140" t="s">
        <v>1937</v>
      </c>
      <c r="Y140" t="str">
        <f t="shared" si="25"/>
        <v>Josh Gordon</v>
      </c>
      <c r="Z140">
        <f>IF(AND(ISERROR(MATCH(Y140,'ROS Proj'!$A$2:$A$561,0)),LEFT(X140)&lt;&gt;"D"),Z139+1,Z139)</f>
        <v>0</v>
      </c>
    </row>
    <row r="141" spans="1:26" ht="15.75" thickBot="1" x14ac:dyDescent="0.3">
      <c r="A141" t="str">
        <f t="shared" si="23"/>
        <v>Chris Boswell</v>
      </c>
      <c r="B141" t="str">
        <f t="shared" si="24"/>
        <v>K11</v>
      </c>
      <c r="D141" s="135" t="s">
        <v>3446</v>
      </c>
      <c r="E141" s="134" t="s">
        <v>15</v>
      </c>
      <c r="F141" s="134" t="s">
        <v>1872</v>
      </c>
      <c r="G141" s="134" t="s">
        <v>2032</v>
      </c>
      <c r="H141" t="str">
        <f t="shared" si="21"/>
        <v>Tyrod Taylor</v>
      </c>
      <c r="J141" s="135" t="s">
        <v>4049</v>
      </c>
      <c r="K141" s="134" t="s">
        <v>87</v>
      </c>
      <c r="L141" s="134" t="s">
        <v>1887</v>
      </c>
      <c r="M141" s="134" t="s">
        <v>2039</v>
      </c>
      <c r="N141" t="str">
        <f t="shared" si="22"/>
        <v>Rishard Matthews</v>
      </c>
      <c r="P141" t="s">
        <v>313</v>
      </c>
      <c r="Q141">
        <f t="shared" si="20"/>
        <v>140</v>
      </c>
      <c r="R141" t="s">
        <v>114</v>
      </c>
      <c r="S141" t="str">
        <f>R141&amp;COUNTIF(R$2:R141,R141)</f>
        <v>TE12</v>
      </c>
      <c r="T141" t="str">
        <f t="shared" ref="T141:T151" si="26">S141&amp;"-"&amp;Q141</f>
        <v>TE12-140</v>
      </c>
      <c r="W141" t="s">
        <v>455</v>
      </c>
      <c r="X141" t="s">
        <v>2114</v>
      </c>
      <c r="Y141" t="str">
        <f t="shared" si="25"/>
        <v>Chris Boswell</v>
      </c>
      <c r="Z141">
        <f>IF(AND(ISERROR(MATCH(Y141,'ROS Proj'!$A$2:$A$561,0)),LEFT(X141)&lt;&gt;"D"),Z140+1,Z140)</f>
        <v>0</v>
      </c>
    </row>
    <row r="142" spans="1:26" ht="15.75" thickBot="1" x14ac:dyDescent="0.3">
      <c r="A142" t="str">
        <f t="shared" si="23"/>
        <v>Lions D/ST</v>
      </c>
      <c r="B142" t="str">
        <f t="shared" si="24"/>
        <v>DST16</v>
      </c>
      <c r="D142" s="135" t="s">
        <v>2033</v>
      </c>
      <c r="E142" s="134" t="s">
        <v>87</v>
      </c>
      <c r="F142" s="134" t="s">
        <v>1890</v>
      </c>
      <c r="G142" s="134" t="s">
        <v>2034</v>
      </c>
      <c r="H142" t="str">
        <f t="shared" si="21"/>
        <v>John Brown</v>
      </c>
      <c r="J142" s="135" t="s">
        <v>4050</v>
      </c>
      <c r="K142" s="134" t="s">
        <v>87</v>
      </c>
      <c r="L142" s="134" t="s">
        <v>1862</v>
      </c>
      <c r="M142" s="134" t="s">
        <v>2041</v>
      </c>
      <c r="N142" t="str">
        <f t="shared" si="22"/>
        <v>Mike Wallace</v>
      </c>
      <c r="P142" t="s">
        <v>1366</v>
      </c>
      <c r="Q142">
        <f t="shared" ref="Q142:Q151" si="27">Q141+1</f>
        <v>141</v>
      </c>
      <c r="R142" t="s">
        <v>47</v>
      </c>
      <c r="S142" t="str">
        <f>R142&amp;COUNTIF(R$2:R142,R142)</f>
        <v>RB45</v>
      </c>
      <c r="T142" t="str">
        <f t="shared" si="26"/>
        <v>RB45-141</v>
      </c>
      <c r="W142" t="s">
        <v>4880</v>
      </c>
      <c r="X142" t="s">
        <v>2201</v>
      </c>
      <c r="Y142" t="str">
        <f t="shared" si="25"/>
        <v>Lions D/ST</v>
      </c>
      <c r="Z142">
        <f>IF(AND(ISERROR(MATCH(Y142,'ROS Proj'!$A$2:$A$561,0)),LEFT(X142)&lt;&gt;"D"),Z141+1,Z141)</f>
        <v>0</v>
      </c>
    </row>
    <row r="143" spans="1:26" ht="15.75" thickBot="1" x14ac:dyDescent="0.3">
      <c r="A143" t="str">
        <f t="shared" si="23"/>
        <v>Nelson Agholor</v>
      </c>
      <c r="B143" t="str">
        <f t="shared" si="24"/>
        <v>WR37</v>
      </c>
      <c r="D143" s="135" t="s">
        <v>2035</v>
      </c>
      <c r="E143" s="134" t="s">
        <v>87</v>
      </c>
      <c r="F143" s="134" t="s">
        <v>1042</v>
      </c>
      <c r="G143" s="134" t="s">
        <v>2036</v>
      </c>
      <c r="H143" t="str">
        <f t="shared" si="21"/>
        <v>Anthony Miller</v>
      </c>
      <c r="J143" s="135" t="s">
        <v>4051</v>
      </c>
      <c r="K143" s="134" t="s">
        <v>47</v>
      </c>
      <c r="L143" s="134" t="s">
        <v>1882</v>
      </c>
      <c r="M143" s="134" t="s">
        <v>1991</v>
      </c>
      <c r="N143" t="str">
        <f t="shared" si="22"/>
        <v>Theo Riddick</v>
      </c>
      <c r="P143" t="s">
        <v>450</v>
      </c>
      <c r="Q143">
        <f t="shared" si="27"/>
        <v>142</v>
      </c>
      <c r="R143" t="s">
        <v>478</v>
      </c>
      <c r="S143" t="str">
        <f>R143&amp;COUNTIF(R$2:R143,R143)</f>
        <v>K8</v>
      </c>
      <c r="T143" t="str">
        <f t="shared" si="26"/>
        <v>K8-142</v>
      </c>
      <c r="W143" t="s">
        <v>240</v>
      </c>
      <c r="X143" t="s">
        <v>1938</v>
      </c>
      <c r="Y143" t="str">
        <f t="shared" si="25"/>
        <v>Nelson Agholor</v>
      </c>
      <c r="Z143">
        <f>IF(AND(ISERROR(MATCH(Y143,'ROS Proj'!$A$2:$A$561,0)),LEFT(X143)&lt;&gt;"D"),Z142+1,Z142)</f>
        <v>0</v>
      </c>
    </row>
    <row r="144" spans="1:26" ht="15.75" thickBot="1" x14ac:dyDescent="0.3">
      <c r="A144" t="str">
        <f t="shared" si="23"/>
        <v>Benjamin Watson</v>
      </c>
      <c r="B144" t="str">
        <f t="shared" si="24"/>
        <v>TE15</v>
      </c>
      <c r="D144" s="135" t="s">
        <v>3447</v>
      </c>
      <c r="E144" s="134" t="s">
        <v>87</v>
      </c>
      <c r="F144" s="134" t="s">
        <v>1052</v>
      </c>
      <c r="G144" s="134" t="s">
        <v>2037</v>
      </c>
      <c r="H144" t="str">
        <f t="shared" si="21"/>
        <v>Calvin Ridley</v>
      </c>
      <c r="J144" s="135" t="s">
        <v>4052</v>
      </c>
      <c r="K144" s="134" t="s">
        <v>47</v>
      </c>
      <c r="L144" s="134" t="s">
        <v>1842</v>
      </c>
      <c r="M144" s="134" t="s">
        <v>2044</v>
      </c>
      <c r="N144" t="str">
        <f t="shared" si="22"/>
        <v>Ty Montgomery</v>
      </c>
      <c r="P144" t="s">
        <v>129</v>
      </c>
      <c r="Q144">
        <f t="shared" si="27"/>
        <v>143</v>
      </c>
      <c r="R144" t="s">
        <v>114</v>
      </c>
      <c r="S144" t="str">
        <f>R144&amp;COUNTIF(R$2:R144,R144)</f>
        <v>TE13</v>
      </c>
      <c r="T144" t="str">
        <f t="shared" si="26"/>
        <v>TE13-143</v>
      </c>
      <c r="W144" t="s">
        <v>261</v>
      </c>
      <c r="X144" t="s">
        <v>2057</v>
      </c>
      <c r="Y144" t="str">
        <f t="shared" si="25"/>
        <v>Benjamin Watson</v>
      </c>
      <c r="Z144">
        <f>IF(AND(ISERROR(MATCH(Y144,'ROS Proj'!$A$2:$A$561,0)),LEFT(X144)&lt;&gt;"D"),Z143+1,Z143)</f>
        <v>0</v>
      </c>
    </row>
    <row r="145" spans="1:26" ht="15.75" thickBot="1" x14ac:dyDescent="0.3">
      <c r="A145" t="str">
        <f t="shared" si="23"/>
        <v>Dolphins D/ST</v>
      </c>
      <c r="B145" t="str">
        <f t="shared" si="24"/>
        <v>DST17</v>
      </c>
      <c r="D145" s="135" t="s">
        <v>2038</v>
      </c>
      <c r="E145" s="134" t="s">
        <v>87</v>
      </c>
      <c r="F145" s="134" t="s">
        <v>1054</v>
      </c>
      <c r="G145" s="134" t="s">
        <v>2039</v>
      </c>
      <c r="H145" t="str">
        <f t="shared" si="21"/>
        <v>Courtland Sutton</v>
      </c>
      <c r="J145" s="135" t="s">
        <v>4053</v>
      </c>
      <c r="K145" s="134" t="s">
        <v>47</v>
      </c>
      <c r="L145" s="134" t="s">
        <v>1890</v>
      </c>
      <c r="M145" s="134" t="s">
        <v>2045</v>
      </c>
      <c r="N145" t="str">
        <f t="shared" si="22"/>
        <v>Javorius Allen</v>
      </c>
      <c r="P145" t="s">
        <v>427</v>
      </c>
      <c r="Q145">
        <f t="shared" si="27"/>
        <v>144</v>
      </c>
      <c r="R145" t="s">
        <v>770</v>
      </c>
      <c r="S145" t="str">
        <f>R145&amp;COUNTIF(R$2:R145,R145)</f>
        <v>D9</v>
      </c>
      <c r="T145" t="str">
        <f t="shared" si="26"/>
        <v>D9-144</v>
      </c>
      <c r="W145" t="s">
        <v>4882</v>
      </c>
      <c r="X145" t="s">
        <v>2246</v>
      </c>
      <c r="Y145" t="str">
        <f t="shared" si="25"/>
        <v>Dolphins D/ST</v>
      </c>
      <c r="Z145">
        <f>IF(AND(ISERROR(MATCH(Y145,'ROS Proj'!$A$2:$A$561,0)),LEFT(X145)&lt;&gt;"D"),Z144+1,Z144)</f>
        <v>0</v>
      </c>
    </row>
    <row r="146" spans="1:26" ht="15.75" thickBot="1" x14ac:dyDescent="0.3">
      <c r="A146" t="str">
        <f t="shared" si="23"/>
        <v>Quincy Enunwa</v>
      </c>
      <c r="B146" t="str">
        <f t="shared" si="24"/>
        <v>WR38</v>
      </c>
      <c r="D146" s="135" t="s">
        <v>2040</v>
      </c>
      <c r="E146" s="134" t="s">
        <v>87</v>
      </c>
      <c r="F146" s="134" t="s">
        <v>1823</v>
      </c>
      <c r="G146" s="134" t="s">
        <v>2041</v>
      </c>
      <c r="H146" t="str">
        <f t="shared" si="21"/>
        <v>Donte Moncrief</v>
      </c>
      <c r="J146" s="135" t="s">
        <v>4054</v>
      </c>
      <c r="K146" s="134" t="s">
        <v>114</v>
      </c>
      <c r="L146" s="134" t="s">
        <v>1823</v>
      </c>
      <c r="M146" s="134" t="s">
        <v>2019</v>
      </c>
      <c r="N146" t="str">
        <f t="shared" si="22"/>
        <v>Austin Seferian-Jenkins</v>
      </c>
      <c r="P146" t="s">
        <v>998</v>
      </c>
      <c r="Q146">
        <f t="shared" si="27"/>
        <v>145</v>
      </c>
      <c r="R146" t="s">
        <v>478</v>
      </c>
      <c r="S146" t="str">
        <f>R146&amp;COUNTIF(R$2:R146,R146)</f>
        <v>K9</v>
      </c>
      <c r="T146" t="str">
        <f t="shared" si="26"/>
        <v>K9-145</v>
      </c>
      <c r="W146" t="s">
        <v>1372</v>
      </c>
      <c r="X146" t="s">
        <v>1939</v>
      </c>
      <c r="Y146" t="str">
        <f t="shared" si="25"/>
        <v>Quincy Enunwa</v>
      </c>
      <c r="Z146">
        <f>IF(AND(ISERROR(MATCH(Y146,'ROS Proj'!$A$2:$A$561,0)),LEFT(X146)&lt;&gt;"D"),Z145+1,Z145)</f>
        <v>0</v>
      </c>
    </row>
    <row r="147" spans="1:26" ht="15.75" thickBot="1" x14ac:dyDescent="0.3">
      <c r="A147" t="str">
        <f t="shared" si="23"/>
        <v>Jamaal Williams</v>
      </c>
      <c r="B147" t="str">
        <f t="shared" si="24"/>
        <v>RB37</v>
      </c>
      <c r="D147" s="135" t="s">
        <v>2042</v>
      </c>
      <c r="E147" s="134" t="s">
        <v>87</v>
      </c>
      <c r="F147" s="134" t="s">
        <v>1041</v>
      </c>
      <c r="G147" s="134" t="s">
        <v>2043</v>
      </c>
      <c r="H147" t="str">
        <f t="shared" si="21"/>
        <v>Mike Williams</v>
      </c>
      <c r="J147" s="135" t="s">
        <v>4055</v>
      </c>
      <c r="K147" s="134" t="s">
        <v>114</v>
      </c>
      <c r="L147" s="134" t="s">
        <v>1834</v>
      </c>
      <c r="M147" s="134" t="s">
        <v>2025</v>
      </c>
      <c r="N147" t="str">
        <f t="shared" si="22"/>
        <v>Tyler Eifert</v>
      </c>
      <c r="P147" t="s">
        <v>246</v>
      </c>
      <c r="Q147">
        <f t="shared" si="27"/>
        <v>146</v>
      </c>
      <c r="R147" t="s">
        <v>87</v>
      </c>
      <c r="S147" t="str">
        <f>R147&amp;COUNTIF(R$2:R147,R147)</f>
        <v>WR56</v>
      </c>
      <c r="T147" t="str">
        <f t="shared" si="26"/>
        <v>WR56-146</v>
      </c>
      <c r="W147" t="s">
        <v>205</v>
      </c>
      <c r="X147" t="s">
        <v>1966</v>
      </c>
      <c r="Y147" t="str">
        <f t="shared" si="25"/>
        <v>Jamaal Williams</v>
      </c>
      <c r="Z147">
        <f>IF(AND(ISERROR(MATCH(Y147,'ROS Proj'!$A$2:$A$561,0)),LEFT(X147)&lt;&gt;"D"),Z146+1,Z146)</f>
        <v>0</v>
      </c>
    </row>
    <row r="148" spans="1:26" ht="15.75" thickBot="1" x14ac:dyDescent="0.3">
      <c r="A148" t="str">
        <f t="shared" si="23"/>
        <v>Mike Williams</v>
      </c>
      <c r="B148" t="str">
        <f t="shared" si="24"/>
        <v>WR39</v>
      </c>
      <c r="D148" s="135" t="s">
        <v>3448</v>
      </c>
      <c r="E148" s="134" t="s">
        <v>47</v>
      </c>
      <c r="F148" s="134" t="s">
        <v>1842</v>
      </c>
      <c r="G148" s="134" t="s">
        <v>2044</v>
      </c>
      <c r="H148" t="str">
        <f t="shared" si="21"/>
        <v>Ty Montgomery</v>
      </c>
      <c r="J148" s="135" t="s">
        <v>4056</v>
      </c>
      <c r="K148" s="134" t="s">
        <v>47</v>
      </c>
      <c r="L148" s="134" t="s">
        <v>1842</v>
      </c>
      <c r="M148" s="134" t="s">
        <v>2046</v>
      </c>
      <c r="N148" t="str">
        <f t="shared" si="22"/>
        <v>Aaron Jones</v>
      </c>
      <c r="P148" t="s">
        <v>156</v>
      </c>
      <c r="Q148">
        <f t="shared" si="27"/>
        <v>147</v>
      </c>
      <c r="R148" t="s">
        <v>87</v>
      </c>
      <c r="S148" t="str">
        <f>R148&amp;COUNTIF(R$2:R148,R148)</f>
        <v>WR57</v>
      </c>
      <c r="T148" t="str">
        <f t="shared" si="26"/>
        <v>WR57-147</v>
      </c>
      <c r="W148" t="s">
        <v>226</v>
      </c>
      <c r="X148" t="s">
        <v>1947</v>
      </c>
      <c r="Y148" t="str">
        <f t="shared" si="25"/>
        <v>Mike Williams</v>
      </c>
      <c r="Z148">
        <f>IF(AND(ISERROR(MATCH(Y148,'ROS Proj'!$A$2:$A$561,0)),LEFT(X148)&lt;&gt;"D"),Z147+1,Z147)</f>
        <v>0</v>
      </c>
    </row>
    <row r="149" spans="1:26" ht="15.75" thickBot="1" x14ac:dyDescent="0.3">
      <c r="A149" t="str">
        <f t="shared" si="23"/>
        <v>Vance McDonald</v>
      </c>
      <c r="B149" t="str">
        <f t="shared" si="24"/>
        <v>TE16</v>
      </c>
      <c r="D149" s="135" t="s">
        <v>3449</v>
      </c>
      <c r="E149" s="134" t="s">
        <v>47</v>
      </c>
      <c r="F149" s="134" t="s">
        <v>1882</v>
      </c>
      <c r="G149" s="134" t="s">
        <v>2045</v>
      </c>
      <c r="H149" t="str">
        <f t="shared" si="21"/>
        <v>Theo Riddick</v>
      </c>
      <c r="J149" s="135" t="s">
        <v>4057</v>
      </c>
      <c r="K149" s="134" t="s">
        <v>47</v>
      </c>
      <c r="L149" s="134" t="s">
        <v>1862</v>
      </c>
      <c r="M149" s="134" t="s">
        <v>2047</v>
      </c>
      <c r="N149" t="str">
        <f t="shared" si="22"/>
        <v>Darren Sproles</v>
      </c>
      <c r="P149" t="s">
        <v>415</v>
      </c>
      <c r="Q149">
        <f t="shared" si="27"/>
        <v>148</v>
      </c>
      <c r="R149" t="s">
        <v>770</v>
      </c>
      <c r="S149" t="str">
        <f>R149&amp;COUNTIF(R$2:R149,R149)</f>
        <v>D10</v>
      </c>
      <c r="T149" t="str">
        <f t="shared" si="26"/>
        <v>D10-148</v>
      </c>
      <c r="W149" t="s">
        <v>214</v>
      </c>
      <c r="X149" t="s">
        <v>2066</v>
      </c>
      <c r="Y149" t="str">
        <f t="shared" si="25"/>
        <v>Vance McDonald</v>
      </c>
      <c r="Z149">
        <f>IF(AND(ISERROR(MATCH(Y149,'ROS Proj'!$A$2:$A$561,0)),LEFT(X149)&lt;&gt;"D"),Z148+1,Z148)</f>
        <v>0</v>
      </c>
    </row>
    <row r="150" spans="1:26" ht="15.75" thickBot="1" x14ac:dyDescent="0.3">
      <c r="A150" t="str">
        <f t="shared" si="23"/>
        <v>Sam Darnold</v>
      </c>
      <c r="B150" t="str">
        <f t="shared" si="24"/>
        <v>QB29</v>
      </c>
      <c r="D150" s="135" t="s">
        <v>3450</v>
      </c>
      <c r="E150" s="134" t="s">
        <v>47</v>
      </c>
      <c r="F150" s="134" t="s">
        <v>1839</v>
      </c>
      <c r="G150" s="134" t="s">
        <v>2046</v>
      </c>
      <c r="H150" t="str">
        <f t="shared" si="21"/>
        <v>Jeremy Hill</v>
      </c>
      <c r="J150" s="135" t="s">
        <v>4058</v>
      </c>
      <c r="K150" s="134" t="s">
        <v>47</v>
      </c>
      <c r="L150" s="134" t="s">
        <v>1041</v>
      </c>
      <c r="M150" s="134" t="s">
        <v>2048</v>
      </c>
      <c r="N150" t="str">
        <f t="shared" si="22"/>
        <v>Austin Ekeler</v>
      </c>
      <c r="P150" t="s">
        <v>1108</v>
      </c>
      <c r="Q150">
        <f t="shared" si="27"/>
        <v>149</v>
      </c>
      <c r="R150" t="s">
        <v>478</v>
      </c>
      <c r="S150" t="str">
        <f>R150&amp;COUNTIF(R$2:R150,R150)</f>
        <v>K10</v>
      </c>
      <c r="T150" t="str">
        <f t="shared" si="26"/>
        <v>K10-149</v>
      </c>
      <c r="W150" t="s">
        <v>1275</v>
      </c>
      <c r="X150" t="s">
        <v>2225</v>
      </c>
      <c r="Y150" t="str">
        <f t="shared" si="25"/>
        <v>Sam Darnold</v>
      </c>
      <c r="Z150">
        <f>IF(AND(ISERROR(MATCH(Y150,'ROS Proj'!$A$2:$A$561,0)),LEFT(X150)&lt;&gt;"D"),Z149+1,Z149)</f>
        <v>0</v>
      </c>
    </row>
    <row r="151" spans="1:26" ht="15.75" thickBot="1" x14ac:dyDescent="0.3">
      <c r="A151" t="str">
        <f t="shared" si="23"/>
        <v>Chris Hogan</v>
      </c>
      <c r="B151" t="str">
        <f t="shared" si="24"/>
        <v>WR40</v>
      </c>
      <c r="D151" s="135" t="s">
        <v>3451</v>
      </c>
      <c r="E151" s="134" t="s">
        <v>47</v>
      </c>
      <c r="F151" s="134" t="s">
        <v>1842</v>
      </c>
      <c r="G151" s="134" t="s">
        <v>2047</v>
      </c>
      <c r="H151" t="str">
        <f t="shared" si="21"/>
        <v>Aaron Jones</v>
      </c>
      <c r="J151" s="135" t="s">
        <v>4059</v>
      </c>
      <c r="K151" s="134" t="s">
        <v>15</v>
      </c>
      <c r="L151" s="134" t="s">
        <v>1872</v>
      </c>
      <c r="M151" s="134" t="s">
        <v>2032</v>
      </c>
      <c r="N151" t="str">
        <f t="shared" si="22"/>
        <v>Tyrod Taylor</v>
      </c>
      <c r="P151" t="s">
        <v>196</v>
      </c>
      <c r="Q151">
        <f t="shared" si="27"/>
        <v>150</v>
      </c>
      <c r="R151" t="s">
        <v>47</v>
      </c>
      <c r="S151" t="str">
        <f>R151&amp;COUNTIF(R$2:R151,R151)</f>
        <v>RB46</v>
      </c>
      <c r="T151" t="str">
        <f t="shared" si="26"/>
        <v>RB46-150</v>
      </c>
      <c r="W151" t="s">
        <v>159</v>
      </c>
      <c r="X151" t="s">
        <v>1948</v>
      </c>
      <c r="Y151" t="str">
        <f t="shared" si="25"/>
        <v>Chris Hogan</v>
      </c>
      <c r="Z151">
        <f>IF(AND(ISERROR(MATCH(Y151,'ROS Proj'!$A$2:$A$561,0)),LEFT(X151)&lt;&gt;"D"),Z150+1,Z150)</f>
        <v>0</v>
      </c>
    </row>
    <row r="152" spans="1:26" ht="15.75" thickBot="1" x14ac:dyDescent="0.3">
      <c r="A152" t="str">
        <f t="shared" si="23"/>
        <v>T.J. Yeldon</v>
      </c>
      <c r="B152" t="str">
        <f t="shared" si="24"/>
        <v>RB38</v>
      </c>
      <c r="D152" s="135" t="s">
        <v>3452</v>
      </c>
      <c r="E152" s="134" t="s">
        <v>47</v>
      </c>
      <c r="F152" s="134" t="s">
        <v>815</v>
      </c>
      <c r="G152" s="134" t="s">
        <v>2048</v>
      </c>
      <c r="H152" t="str">
        <f t="shared" si="21"/>
        <v>Marlon Mack</v>
      </c>
      <c r="J152" s="135" t="s">
        <v>4060</v>
      </c>
      <c r="K152" s="134" t="s">
        <v>15</v>
      </c>
      <c r="L152" s="134" t="s">
        <v>1038</v>
      </c>
      <c r="M152" s="134" t="s">
        <v>2063</v>
      </c>
      <c r="N152" t="str">
        <f t="shared" si="22"/>
        <v>Jared Goff</v>
      </c>
      <c r="W152" t="s">
        <v>245</v>
      </c>
      <c r="X152" t="s">
        <v>1967</v>
      </c>
      <c r="Y152" t="str">
        <f t="shared" si="25"/>
        <v>T.J. Yeldon</v>
      </c>
      <c r="Z152">
        <f>IF(AND(ISERROR(MATCH(Y152,'ROS Proj'!$A$2:$A$561,0)),LEFT(X152)&lt;&gt;"D"),Z151+1,Z151)</f>
        <v>0</v>
      </c>
    </row>
    <row r="153" spans="1:26" ht="15.75" thickBot="1" x14ac:dyDescent="0.3">
      <c r="A153" t="str">
        <f t="shared" si="23"/>
        <v>Sterling Shepard</v>
      </c>
      <c r="B153" t="str">
        <f t="shared" si="24"/>
        <v>WR41</v>
      </c>
      <c r="D153" s="135" t="s">
        <v>3453</v>
      </c>
      <c r="E153" s="134" t="s">
        <v>47</v>
      </c>
      <c r="F153" s="134" t="s">
        <v>1870</v>
      </c>
      <c r="G153" s="134" t="s">
        <v>2049</v>
      </c>
      <c r="H153" t="str">
        <f t="shared" si="21"/>
        <v>Doug Martin</v>
      </c>
      <c r="J153" s="135" t="s">
        <v>4061</v>
      </c>
      <c r="K153" s="134" t="s">
        <v>15</v>
      </c>
      <c r="L153" s="134" t="s">
        <v>1042</v>
      </c>
      <c r="M153" s="134" t="s">
        <v>2064</v>
      </c>
      <c r="N153" t="str">
        <f t="shared" si="22"/>
        <v>Mitchell Trubisky</v>
      </c>
      <c r="W153" t="s">
        <v>192</v>
      </c>
      <c r="X153" t="s">
        <v>1957</v>
      </c>
      <c r="Y153" t="str">
        <f t="shared" si="25"/>
        <v>Sterling Shepard</v>
      </c>
      <c r="Z153">
        <f>IF(AND(ISERROR(MATCH(Y153,'ROS Proj'!$A$2:$A$561,0)),LEFT(X153)&lt;&gt;"D"),Z152+1,Z152)</f>
        <v>0</v>
      </c>
    </row>
    <row r="154" spans="1:26" ht="15.75" thickBot="1" x14ac:dyDescent="0.3">
      <c r="A154" t="str">
        <f t="shared" si="23"/>
        <v>Graham Gano</v>
      </c>
      <c r="B154" t="str">
        <f t="shared" si="24"/>
        <v>K12</v>
      </c>
      <c r="D154" s="135" t="s">
        <v>3454</v>
      </c>
      <c r="E154" s="134" t="s">
        <v>47</v>
      </c>
      <c r="F154" s="134" t="s">
        <v>1048</v>
      </c>
      <c r="G154" s="134" t="s">
        <v>2050</v>
      </c>
      <c r="H154" t="str">
        <f t="shared" si="21"/>
        <v>Latavius Murray</v>
      </c>
      <c r="J154" s="134" t="s">
        <v>4062</v>
      </c>
      <c r="K154" s="134" t="s">
        <v>2054</v>
      </c>
      <c r="L154" s="134" t="s">
        <v>1823</v>
      </c>
      <c r="M154" s="134" t="s">
        <v>2055</v>
      </c>
      <c r="N154" t="str">
        <f t="shared" si="22"/>
        <v>Jaguars D/ST</v>
      </c>
      <c r="W154" t="s">
        <v>456</v>
      </c>
      <c r="X154" t="s">
        <v>2116</v>
      </c>
      <c r="Y154" t="str">
        <f t="shared" si="25"/>
        <v>Graham Gano</v>
      </c>
      <c r="Z154">
        <f>IF(AND(ISERROR(MATCH(Y154,'ROS Proj'!$A$2:$A$561,0)),LEFT(X154)&lt;&gt;"D"),Z153+1,Z153)</f>
        <v>0</v>
      </c>
    </row>
    <row r="155" spans="1:26" ht="15.75" thickBot="1" x14ac:dyDescent="0.3">
      <c r="A155" t="str">
        <f t="shared" si="23"/>
        <v>Geronimo Allison</v>
      </c>
      <c r="B155" t="str">
        <f t="shared" si="24"/>
        <v>WR42</v>
      </c>
      <c r="D155" s="135" t="s">
        <v>3455</v>
      </c>
      <c r="E155" s="134" t="s">
        <v>47</v>
      </c>
      <c r="F155" s="134" t="s">
        <v>1862</v>
      </c>
      <c r="G155" s="134" t="s">
        <v>2051</v>
      </c>
      <c r="H155" t="str">
        <f t="shared" si="21"/>
        <v>Corey Clement</v>
      </c>
      <c r="J155" s="135" t="s">
        <v>4063</v>
      </c>
      <c r="K155" s="134" t="s">
        <v>47</v>
      </c>
      <c r="L155" s="134" t="s">
        <v>1870</v>
      </c>
      <c r="M155" s="134" t="s">
        <v>2049</v>
      </c>
      <c r="N155" t="str">
        <f t="shared" si="22"/>
        <v>Jalen Richard</v>
      </c>
      <c r="W155" t="s">
        <v>271</v>
      </c>
      <c r="X155" t="s">
        <v>1958</v>
      </c>
      <c r="Y155" t="str">
        <f t="shared" si="25"/>
        <v>Geronimo Allison</v>
      </c>
      <c r="Z155">
        <f>IF(AND(ISERROR(MATCH(Y155,'ROS Proj'!$A$2:$A$561,0)),LEFT(X155)&lt;&gt;"D"),Z154+1,Z154)</f>
        <v>0</v>
      </c>
    </row>
    <row r="156" spans="1:26" ht="15.75" thickBot="1" x14ac:dyDescent="0.3">
      <c r="A156" t="str">
        <f t="shared" si="23"/>
        <v>Saints D/ST</v>
      </c>
      <c r="B156" t="str">
        <f t="shared" si="24"/>
        <v>DST18</v>
      </c>
      <c r="D156" s="135" t="s">
        <v>3456</v>
      </c>
      <c r="E156" s="134" t="s">
        <v>47</v>
      </c>
      <c r="F156" s="134" t="s">
        <v>1890</v>
      </c>
      <c r="G156" s="134" t="s">
        <v>2052</v>
      </c>
      <c r="H156" t="str">
        <f t="shared" si="21"/>
        <v>Javorius Allen</v>
      </c>
      <c r="J156" s="135" t="s">
        <v>4064</v>
      </c>
      <c r="K156" s="134" t="s">
        <v>47</v>
      </c>
      <c r="L156" s="134" t="s">
        <v>815</v>
      </c>
      <c r="M156" s="134" t="s">
        <v>2050</v>
      </c>
      <c r="N156" t="str">
        <f t="shared" si="22"/>
        <v>Nyheim Hines</v>
      </c>
      <c r="W156" t="s">
        <v>4877</v>
      </c>
      <c r="X156" t="s">
        <v>2248</v>
      </c>
      <c r="Y156" t="str">
        <f t="shared" si="25"/>
        <v>Saints D/ST</v>
      </c>
      <c r="Z156">
        <f>IF(AND(ISERROR(MATCH(Y156,'ROS Proj'!$A$2:$A$561,0)),LEFT(X156)&lt;&gt;"D"),Z155+1,Z155)</f>
        <v>0</v>
      </c>
    </row>
    <row r="157" spans="1:26" ht="15.75" thickBot="1" x14ac:dyDescent="0.3">
      <c r="A157" t="str">
        <f t="shared" si="23"/>
        <v>Tyler Boyd</v>
      </c>
      <c r="B157" t="str">
        <f t="shared" si="24"/>
        <v>WR43</v>
      </c>
      <c r="D157" s="134" t="s">
        <v>2053</v>
      </c>
      <c r="E157" s="134" t="s">
        <v>2054</v>
      </c>
      <c r="F157" s="134" t="s">
        <v>1823</v>
      </c>
      <c r="G157" s="134" t="s">
        <v>2055</v>
      </c>
      <c r="H157" t="str">
        <f t="shared" si="21"/>
        <v>Jaguars D/ST</v>
      </c>
      <c r="J157" s="135" t="s">
        <v>4065</v>
      </c>
      <c r="K157" s="134" t="s">
        <v>47</v>
      </c>
      <c r="L157" s="134" t="s">
        <v>815</v>
      </c>
      <c r="M157" s="134" t="s">
        <v>2051</v>
      </c>
      <c r="N157" t="str">
        <f t="shared" si="22"/>
        <v>Jordan Wilkins</v>
      </c>
      <c r="W157" t="s">
        <v>221</v>
      </c>
      <c r="X157" t="s">
        <v>1961</v>
      </c>
      <c r="Y157" t="str">
        <f t="shared" si="25"/>
        <v>Tyler Boyd</v>
      </c>
      <c r="Z157">
        <f>IF(AND(ISERROR(MATCH(Y157,'ROS Proj'!$A$2:$A$561,0)),LEFT(X157)&lt;&gt;"D"),Z156+1,Z156)</f>
        <v>0</v>
      </c>
    </row>
    <row r="158" spans="1:26" ht="15.75" thickBot="1" x14ac:dyDescent="0.3">
      <c r="A158" t="str">
        <f t="shared" si="23"/>
        <v>Harrison Butker</v>
      </c>
      <c r="B158" t="str">
        <f t="shared" si="24"/>
        <v>K13</v>
      </c>
      <c r="D158" s="135" t="s">
        <v>2056</v>
      </c>
      <c r="E158" s="134" t="s">
        <v>114</v>
      </c>
      <c r="F158" s="134" t="s">
        <v>1909</v>
      </c>
      <c r="G158" s="134" t="s">
        <v>2057</v>
      </c>
      <c r="H158" t="str">
        <f t="shared" si="21"/>
        <v>George Kittle</v>
      </c>
      <c r="J158" s="135" t="s">
        <v>4066</v>
      </c>
      <c r="K158" s="134" t="s">
        <v>47</v>
      </c>
      <c r="L158" s="134" t="s">
        <v>1823</v>
      </c>
      <c r="M158" s="134" t="s">
        <v>2052</v>
      </c>
      <c r="N158" t="str">
        <f t="shared" si="22"/>
        <v>T.J. Yeldon</v>
      </c>
      <c r="W158" t="s">
        <v>1108</v>
      </c>
      <c r="X158" t="s">
        <v>2154</v>
      </c>
      <c r="Y158" t="str">
        <f t="shared" si="25"/>
        <v>Harrison Butker</v>
      </c>
      <c r="Z158">
        <f>IF(AND(ISERROR(MATCH(Y158,'ROS Proj'!$A$2:$A$561,0)),LEFT(X158)&lt;&gt;"D"),Z157+1,Z157)</f>
        <v>0</v>
      </c>
    </row>
    <row r="159" spans="1:26" ht="15.75" thickBot="1" x14ac:dyDescent="0.3">
      <c r="A159" t="str">
        <f t="shared" si="23"/>
        <v>Bills D/ST</v>
      </c>
      <c r="B159" t="str">
        <f t="shared" si="24"/>
        <v>DST19</v>
      </c>
      <c r="D159" s="135" t="s">
        <v>2058</v>
      </c>
      <c r="E159" s="134" t="s">
        <v>87</v>
      </c>
      <c r="F159" s="134" t="s">
        <v>815</v>
      </c>
      <c r="G159" s="134" t="s">
        <v>2059</v>
      </c>
      <c r="H159" t="str">
        <f t="shared" si="21"/>
        <v>Ryan Grant</v>
      </c>
      <c r="J159" s="135" t="s">
        <v>4067</v>
      </c>
      <c r="K159" s="134" t="s">
        <v>87</v>
      </c>
      <c r="L159" s="134" t="s">
        <v>1823</v>
      </c>
      <c r="M159" s="134" t="s">
        <v>2043</v>
      </c>
      <c r="N159" t="str">
        <f t="shared" si="22"/>
        <v>Dede Westbrook</v>
      </c>
      <c r="W159" t="s">
        <v>4883</v>
      </c>
      <c r="X159" t="s">
        <v>2263</v>
      </c>
      <c r="Y159" t="str">
        <f t="shared" si="25"/>
        <v>Bills D/ST</v>
      </c>
      <c r="Z159">
        <f>IF(AND(ISERROR(MATCH(Y159,'ROS Proj'!$A$2:$A$561,0)),LEFT(X159)&lt;&gt;"D"),Z158+1,Z158)</f>
        <v>0</v>
      </c>
    </row>
    <row r="160" spans="1:26" ht="15.75" thickBot="1" x14ac:dyDescent="0.3">
      <c r="A160" t="str">
        <f t="shared" si="23"/>
        <v>Tarik Cohen</v>
      </c>
      <c r="B160" t="str">
        <f t="shared" si="24"/>
        <v>RB39</v>
      </c>
      <c r="D160" s="135" t="s">
        <v>3457</v>
      </c>
      <c r="E160" s="134" t="s">
        <v>87</v>
      </c>
      <c r="F160" s="134" t="s">
        <v>1823</v>
      </c>
      <c r="G160" s="134" t="s">
        <v>2060</v>
      </c>
      <c r="H160" t="str">
        <f t="shared" si="21"/>
        <v>Dede Westbrook</v>
      </c>
      <c r="J160" s="135" t="s">
        <v>4068</v>
      </c>
      <c r="K160" s="134" t="s">
        <v>87</v>
      </c>
      <c r="L160" s="134" t="s">
        <v>1044</v>
      </c>
      <c r="M160" s="134" t="s">
        <v>2059</v>
      </c>
      <c r="N160" t="str">
        <f t="shared" si="22"/>
        <v>Cole Beasley</v>
      </c>
      <c r="W160" t="s">
        <v>285</v>
      </c>
      <c r="X160" t="s">
        <v>1968</v>
      </c>
      <c r="Y160" t="str">
        <f t="shared" si="25"/>
        <v>Tarik Cohen</v>
      </c>
      <c r="Z160">
        <f>IF(AND(ISERROR(MATCH(Y160,'ROS Proj'!$A$2:$A$561,0)),LEFT(X160)&lt;&gt;"D"),Z159+1,Z159)</f>
        <v>0</v>
      </c>
    </row>
    <row r="161" spans="1:26" ht="15.75" thickBot="1" x14ac:dyDescent="0.3">
      <c r="A161" t="str">
        <f t="shared" si="23"/>
        <v>Jamison Crowder</v>
      </c>
      <c r="B161" t="str">
        <f t="shared" si="24"/>
        <v>WR44</v>
      </c>
      <c r="D161" s="135" t="s">
        <v>3458</v>
      </c>
      <c r="E161" s="134" t="s">
        <v>87</v>
      </c>
      <c r="F161" s="134" t="s">
        <v>1935</v>
      </c>
      <c r="G161" s="134" t="s">
        <v>2061</v>
      </c>
      <c r="H161" t="str">
        <f t="shared" si="21"/>
        <v>Quincy Enunwa</v>
      </c>
      <c r="J161" s="135" t="s">
        <v>4069</v>
      </c>
      <c r="K161" s="134" t="s">
        <v>87</v>
      </c>
      <c r="L161" s="134" t="s">
        <v>1834</v>
      </c>
      <c r="M161" s="134" t="s">
        <v>2060</v>
      </c>
      <c r="N161" t="str">
        <f t="shared" si="22"/>
        <v>Tyler Boyd</v>
      </c>
      <c r="W161" t="s">
        <v>137</v>
      </c>
      <c r="X161" t="s">
        <v>1962</v>
      </c>
      <c r="Y161" t="str">
        <f t="shared" si="25"/>
        <v>Jamison Crowder</v>
      </c>
      <c r="Z161">
        <f>IF(AND(ISERROR(MATCH(Y161,'ROS Proj'!$A$2:$A$561,0)),LEFT(X161)&lt;&gt;"D"),Z160+1,Z160)</f>
        <v>0</v>
      </c>
    </row>
    <row r="162" spans="1:26" ht="15.75" thickBot="1" x14ac:dyDescent="0.3">
      <c r="A162" t="str">
        <f t="shared" si="23"/>
        <v>Austin Hooper</v>
      </c>
      <c r="B162" t="str">
        <f t="shared" si="24"/>
        <v>TE17</v>
      </c>
      <c r="D162" s="135" t="s">
        <v>3459</v>
      </c>
      <c r="E162" s="134" t="s">
        <v>47</v>
      </c>
      <c r="F162" s="134" t="s">
        <v>1054</v>
      </c>
      <c r="G162" s="134" t="s">
        <v>2062</v>
      </c>
      <c r="H162" t="str">
        <f t="shared" si="21"/>
        <v>Devontae Booker</v>
      </c>
      <c r="J162" s="135" t="s">
        <v>4070</v>
      </c>
      <c r="K162" s="134" t="s">
        <v>114</v>
      </c>
      <c r="L162" s="134" t="s">
        <v>1870</v>
      </c>
      <c r="M162" s="134" t="s">
        <v>2057</v>
      </c>
      <c r="N162" t="str">
        <f t="shared" si="22"/>
        <v>Jared Cook</v>
      </c>
      <c r="W162" t="s">
        <v>211</v>
      </c>
      <c r="X162" t="s">
        <v>2069</v>
      </c>
      <c r="Y162" t="str">
        <f t="shared" si="25"/>
        <v>Austin Hooper</v>
      </c>
      <c r="Z162">
        <f>IF(AND(ISERROR(MATCH(Y162,'ROS Proj'!$A$2:$A$561,0)),LEFT(X162)&lt;&gt;"D"),Z161+1,Z161)</f>
        <v>0</v>
      </c>
    </row>
    <row r="163" spans="1:26" ht="15.75" thickBot="1" x14ac:dyDescent="0.3">
      <c r="A163" t="str">
        <f t="shared" si="23"/>
        <v>Austin Seferian-Jenkins</v>
      </c>
      <c r="B163" t="str">
        <f t="shared" si="24"/>
        <v>TE18</v>
      </c>
      <c r="D163" s="135" t="s">
        <v>3460</v>
      </c>
      <c r="E163" s="134" t="s">
        <v>15</v>
      </c>
      <c r="F163" s="134" t="s">
        <v>1887</v>
      </c>
      <c r="G163" s="134" t="s">
        <v>2063</v>
      </c>
      <c r="H163" t="str">
        <f t="shared" si="21"/>
        <v>Marcus Mariota</v>
      </c>
      <c r="J163" s="135" t="s">
        <v>4071</v>
      </c>
      <c r="K163" s="134" t="s">
        <v>87</v>
      </c>
      <c r="L163" s="134" t="s">
        <v>1042</v>
      </c>
      <c r="M163" s="134" t="s">
        <v>2061</v>
      </c>
      <c r="N163" t="str">
        <f t="shared" si="22"/>
        <v>Anthony Miller</v>
      </c>
      <c r="W163" t="s">
        <v>247</v>
      </c>
      <c r="X163" t="s">
        <v>2120</v>
      </c>
      <c r="Y163" t="str">
        <f t="shared" si="25"/>
        <v>Austin Seferian-Jenkins</v>
      </c>
      <c r="Z163">
        <f>IF(AND(ISERROR(MATCH(Y163,'ROS Proj'!$A$2:$A$561,0)),LEFT(X163)&lt;&gt;"D"),Z162+1,Z162)</f>
        <v>0</v>
      </c>
    </row>
    <row r="164" spans="1:26" ht="15.75" thickBot="1" x14ac:dyDescent="0.3">
      <c r="A164" t="str">
        <f t="shared" si="23"/>
        <v>Keelan Cole</v>
      </c>
      <c r="B164" t="str">
        <f t="shared" si="24"/>
        <v>WR45</v>
      </c>
      <c r="D164" s="135" t="s">
        <v>3461</v>
      </c>
      <c r="E164" s="134" t="s">
        <v>15</v>
      </c>
      <c r="F164" s="134" t="s">
        <v>1044</v>
      </c>
      <c r="G164" s="134" t="s">
        <v>2064</v>
      </c>
      <c r="H164" t="str">
        <f t="shared" si="21"/>
        <v>Dak Prescott</v>
      </c>
      <c r="J164" s="135" t="s">
        <v>3461</v>
      </c>
      <c r="K164" s="134" t="s">
        <v>15</v>
      </c>
      <c r="L164" s="134" t="s">
        <v>1044</v>
      </c>
      <c r="M164" s="134" t="s">
        <v>2071</v>
      </c>
      <c r="N164" t="str">
        <f t="shared" si="22"/>
        <v>Dak Prescott</v>
      </c>
      <c r="W164" t="s">
        <v>1368</v>
      </c>
      <c r="X164" t="s">
        <v>1963</v>
      </c>
      <c r="Y164" t="str">
        <f t="shared" si="25"/>
        <v>Keelan Cole</v>
      </c>
      <c r="Z164">
        <f>IF(AND(ISERROR(MATCH(Y164,'ROS Proj'!$A$2:$A$561,0)),LEFT(X164)&lt;&gt;"D"),Z163+1,Z163)</f>
        <v>0</v>
      </c>
    </row>
    <row r="165" spans="1:26" ht="15.75" thickBot="1" x14ac:dyDescent="0.3">
      <c r="A165" t="str">
        <f t="shared" si="23"/>
        <v>Devin Funchess</v>
      </c>
      <c r="B165" t="str">
        <f t="shared" si="24"/>
        <v>WR46</v>
      </c>
      <c r="D165" s="135" t="s">
        <v>2065</v>
      </c>
      <c r="E165" s="134" t="s">
        <v>114</v>
      </c>
      <c r="F165" s="134" t="s">
        <v>1813</v>
      </c>
      <c r="G165" s="134" t="s">
        <v>2066</v>
      </c>
      <c r="H165" t="str">
        <f t="shared" si="21"/>
        <v>Benjamin Watson</v>
      </c>
      <c r="J165" s="135" t="s">
        <v>4072</v>
      </c>
      <c r="K165" s="134" t="s">
        <v>47</v>
      </c>
      <c r="L165" s="134" t="s">
        <v>1834</v>
      </c>
      <c r="M165" s="134" t="s">
        <v>2062</v>
      </c>
      <c r="N165" t="str">
        <f t="shared" si="22"/>
        <v>Giovani Bernard</v>
      </c>
      <c r="W165" t="s">
        <v>251</v>
      </c>
      <c r="X165" t="s">
        <v>1972</v>
      </c>
      <c r="Y165" t="str">
        <f t="shared" si="25"/>
        <v>Devin Funchess</v>
      </c>
      <c r="Z165">
        <f>IF(AND(ISERROR(MATCH(Y165,'ROS Proj'!$A$2:$A$561,0)),LEFT(X165)&lt;&gt;"D"),Z164+1,Z164)</f>
        <v>0</v>
      </c>
    </row>
    <row r="166" spans="1:26" ht="15.75" thickBot="1" x14ac:dyDescent="0.3">
      <c r="A166" t="str">
        <f t="shared" si="23"/>
        <v>C.J. Beathard</v>
      </c>
      <c r="B166" t="str">
        <f t="shared" si="24"/>
        <v>QB30</v>
      </c>
      <c r="D166" s="135" t="s">
        <v>3462</v>
      </c>
      <c r="E166" s="134" t="s">
        <v>87</v>
      </c>
      <c r="F166" s="134" t="s">
        <v>1806</v>
      </c>
      <c r="G166" s="134" t="s">
        <v>2067</v>
      </c>
      <c r="H166" t="str">
        <f t="shared" ref="H166:H229" si="28">RIGHT(D166,LEN(D166)-5)</f>
        <v>Christian Kirk</v>
      </c>
      <c r="J166" s="135" t="s">
        <v>4073</v>
      </c>
      <c r="K166" s="134" t="s">
        <v>47</v>
      </c>
      <c r="L166" s="134" t="s">
        <v>1048</v>
      </c>
      <c r="M166" s="134" t="s">
        <v>2070</v>
      </c>
      <c r="N166" t="str">
        <f t="shared" ref="N166:N229" si="29">RIGHT(J166,LEN(J166)-5)</f>
        <v>Latavius Murray</v>
      </c>
      <c r="W166" t="s">
        <v>1537</v>
      </c>
      <c r="X166" t="s">
        <v>2227</v>
      </c>
      <c r="Y166" t="str">
        <f t="shared" si="25"/>
        <v>C.J. Beathard</v>
      </c>
      <c r="Z166">
        <f>IF(AND(ISERROR(MATCH(Y166,'ROS Proj'!$A$2:$A$561,0)),LEFT(X166)&lt;&gt;"D"),Z165+1,Z165)</f>
        <v>0</v>
      </c>
    </row>
    <row r="167" spans="1:26" ht="15.75" thickBot="1" x14ac:dyDescent="0.3">
      <c r="A167" t="str">
        <f t="shared" si="23"/>
        <v>Randall Cobb</v>
      </c>
      <c r="B167" t="str">
        <f t="shared" si="24"/>
        <v>WR47</v>
      </c>
      <c r="D167" s="135" t="s">
        <v>2068</v>
      </c>
      <c r="E167" s="134" t="s">
        <v>114</v>
      </c>
      <c r="F167" s="134" t="s">
        <v>1041</v>
      </c>
      <c r="G167" s="134" t="s">
        <v>2069</v>
      </c>
      <c r="H167" t="str">
        <f t="shared" si="28"/>
        <v>Antonio Gates</v>
      </c>
      <c r="J167" s="135" t="s">
        <v>4074</v>
      </c>
      <c r="K167" s="134" t="s">
        <v>87</v>
      </c>
      <c r="L167" s="134" t="s">
        <v>1042</v>
      </c>
      <c r="M167" s="134" t="s">
        <v>2067</v>
      </c>
      <c r="N167" t="str">
        <f t="shared" si="29"/>
        <v>Taylor Gabriel</v>
      </c>
      <c r="W167" t="s">
        <v>166</v>
      </c>
      <c r="X167" t="s">
        <v>1973</v>
      </c>
      <c r="Y167" t="str">
        <f t="shared" si="25"/>
        <v>Randall Cobb</v>
      </c>
      <c r="Z167">
        <f>IF(AND(ISERROR(MATCH(Y167,'ROS Proj'!$A$2:$A$561,0)),LEFT(X167)&lt;&gt;"D"),Z166+1,Z166)</f>
        <v>0</v>
      </c>
    </row>
    <row r="168" spans="1:26" ht="15.75" thickBot="1" x14ac:dyDescent="0.3">
      <c r="A168" t="str">
        <f t="shared" si="23"/>
        <v>Austin Ekeler</v>
      </c>
      <c r="B168" t="str">
        <f t="shared" si="24"/>
        <v>RB40</v>
      </c>
      <c r="D168" s="135" t="s">
        <v>3463</v>
      </c>
      <c r="E168" s="134" t="s">
        <v>47</v>
      </c>
      <c r="F168" s="134" t="s">
        <v>1831</v>
      </c>
      <c r="G168" s="134" t="s">
        <v>2070</v>
      </c>
      <c r="H168" t="str">
        <f t="shared" si="28"/>
        <v>C.J. Anderson</v>
      </c>
      <c r="J168" s="135" t="s">
        <v>4075</v>
      </c>
      <c r="K168" s="134" t="s">
        <v>87</v>
      </c>
      <c r="L168" s="134" t="s">
        <v>1052</v>
      </c>
      <c r="M168" s="134" t="s">
        <v>2072</v>
      </c>
      <c r="N168" t="str">
        <f t="shared" si="29"/>
        <v>Calvin Ridley</v>
      </c>
      <c r="W168" t="s">
        <v>1373</v>
      </c>
      <c r="X168" t="s">
        <v>1971</v>
      </c>
      <c r="Y168" t="str">
        <f t="shared" si="25"/>
        <v>Austin Ekeler</v>
      </c>
      <c r="Z168">
        <f>IF(AND(ISERROR(MATCH(Y168,'ROS Proj'!$A$2:$A$561,0)),LEFT(X168)&lt;&gt;"D"),Z167+1,Z167)</f>
        <v>0</v>
      </c>
    </row>
    <row r="169" spans="1:26" ht="15.75" thickBot="1" x14ac:dyDescent="0.3">
      <c r="A169" t="str">
        <f t="shared" si="23"/>
        <v>Kenny Stills</v>
      </c>
      <c r="B169" t="str">
        <f t="shared" si="24"/>
        <v>WR48</v>
      </c>
      <c r="D169" s="135" t="s">
        <v>3464</v>
      </c>
      <c r="E169" s="134" t="s">
        <v>15</v>
      </c>
      <c r="F169" s="134" t="s">
        <v>1038</v>
      </c>
      <c r="G169" s="134" t="s">
        <v>2071</v>
      </c>
      <c r="H169" t="str">
        <f t="shared" si="28"/>
        <v>Jared Goff</v>
      </c>
      <c r="J169" s="135" t="s">
        <v>4076</v>
      </c>
      <c r="K169" s="134" t="s">
        <v>114</v>
      </c>
      <c r="L169" s="134" t="s">
        <v>1845</v>
      </c>
      <c r="M169" s="134" t="s">
        <v>2066</v>
      </c>
      <c r="N169" t="str">
        <f t="shared" si="29"/>
        <v>O.J. Howard</v>
      </c>
      <c r="W169" t="s">
        <v>220</v>
      </c>
      <c r="X169" t="s">
        <v>1974</v>
      </c>
      <c r="Y169" t="str">
        <f t="shared" si="25"/>
        <v>Kenny Stills</v>
      </c>
      <c r="Z169">
        <f>IF(AND(ISERROR(MATCH(Y169,'ROS Proj'!$A$2:$A$561,0)),LEFT(X169)&lt;&gt;"D"),Z168+1,Z168)</f>
        <v>0</v>
      </c>
    </row>
    <row r="170" spans="1:26" ht="15.75" thickBot="1" x14ac:dyDescent="0.3">
      <c r="A170" t="str">
        <f t="shared" si="23"/>
        <v>DeSean Jackson</v>
      </c>
      <c r="B170" t="str">
        <f t="shared" si="24"/>
        <v>WR49</v>
      </c>
      <c r="D170" s="135" t="s">
        <v>3465</v>
      </c>
      <c r="E170" s="134" t="s">
        <v>87</v>
      </c>
      <c r="F170" s="134" t="s">
        <v>1887</v>
      </c>
      <c r="G170" s="134" t="s">
        <v>2072</v>
      </c>
      <c r="H170" t="str">
        <f t="shared" si="28"/>
        <v>Taywan Taylor</v>
      </c>
      <c r="J170" s="135" t="s">
        <v>4077</v>
      </c>
      <c r="K170" s="134" t="s">
        <v>114</v>
      </c>
      <c r="L170" s="134" t="s">
        <v>1806</v>
      </c>
      <c r="M170" s="134" t="s">
        <v>2069</v>
      </c>
      <c r="N170" t="str">
        <f t="shared" si="29"/>
        <v>Ricky Seals-Jones</v>
      </c>
      <c r="W170" t="s">
        <v>163</v>
      </c>
      <c r="X170" t="s">
        <v>1975</v>
      </c>
      <c r="Y170" t="str">
        <f t="shared" si="25"/>
        <v>DeSean Jackson</v>
      </c>
      <c r="Z170">
        <f>IF(AND(ISERROR(MATCH(Y170,'ROS Proj'!$A$2:$A$561,0)),LEFT(X170)&lt;&gt;"D"),Z169+1,Z169)</f>
        <v>0</v>
      </c>
    </row>
    <row r="171" spans="1:26" ht="15.75" thickBot="1" x14ac:dyDescent="0.3">
      <c r="A171" t="str">
        <f t="shared" si="23"/>
        <v>Marlon Mack</v>
      </c>
      <c r="B171" t="str">
        <f t="shared" si="24"/>
        <v>RB41</v>
      </c>
      <c r="D171" s="134" t="s">
        <v>2073</v>
      </c>
      <c r="E171" s="134" t="s">
        <v>2054</v>
      </c>
      <c r="F171" s="134" t="s">
        <v>1862</v>
      </c>
      <c r="G171" s="134" t="s">
        <v>2074</v>
      </c>
      <c r="H171" t="str">
        <f t="shared" si="28"/>
        <v>Eagles D/ST</v>
      </c>
      <c r="J171" s="134" t="s">
        <v>2073</v>
      </c>
      <c r="K171" s="134" t="s">
        <v>2054</v>
      </c>
      <c r="L171" s="134" t="s">
        <v>1862</v>
      </c>
      <c r="M171" s="134" t="s">
        <v>2074</v>
      </c>
      <c r="N171" t="str">
        <f t="shared" si="29"/>
        <v>Eagles D/ST</v>
      </c>
      <c r="W171" t="s">
        <v>224</v>
      </c>
      <c r="X171" t="s">
        <v>1979</v>
      </c>
      <c r="Y171" t="str">
        <f t="shared" si="25"/>
        <v>Marlon Mack</v>
      </c>
      <c r="Z171">
        <f>IF(AND(ISERROR(MATCH(Y171,'ROS Proj'!$A$2:$A$561,0)),LEFT(X171)&lt;&gt;"D"),Z170+1,Z170)</f>
        <v>0</v>
      </c>
    </row>
    <row r="172" spans="1:26" ht="15.75" thickBot="1" x14ac:dyDescent="0.3">
      <c r="A172" t="str">
        <f t="shared" si="23"/>
        <v>Ryan Succop</v>
      </c>
      <c r="B172" t="str">
        <f t="shared" si="24"/>
        <v>K14</v>
      </c>
      <c r="D172" s="134" t="s">
        <v>2075</v>
      </c>
      <c r="E172" s="134" t="s">
        <v>2054</v>
      </c>
      <c r="F172" s="134" t="s">
        <v>1038</v>
      </c>
      <c r="G172" s="134" t="s">
        <v>2076</v>
      </c>
      <c r="H172" t="str">
        <f t="shared" si="28"/>
        <v>Rams D/ST</v>
      </c>
      <c r="J172" s="134" t="s">
        <v>2075</v>
      </c>
      <c r="K172" s="134" t="s">
        <v>2054</v>
      </c>
      <c r="L172" s="134" t="s">
        <v>1038</v>
      </c>
      <c r="M172" s="134" t="s">
        <v>2076</v>
      </c>
      <c r="N172" t="str">
        <f t="shared" si="29"/>
        <v>Rams D/ST</v>
      </c>
      <c r="W172" t="s">
        <v>453</v>
      </c>
      <c r="X172" t="s">
        <v>2156</v>
      </c>
      <c r="Y172" t="str">
        <f t="shared" si="25"/>
        <v>Ryan Succop</v>
      </c>
      <c r="Z172">
        <f>IF(AND(ISERROR(MATCH(Y172,'ROS Proj'!$A$2:$A$561,0)),LEFT(X172)&lt;&gt;"D"),Z171+1,Z171)</f>
        <v>0</v>
      </c>
    </row>
    <row r="173" spans="1:26" ht="15.75" thickBot="1" x14ac:dyDescent="0.3">
      <c r="A173" t="str">
        <f t="shared" si="23"/>
        <v>Brandon McManus</v>
      </c>
      <c r="B173" t="str">
        <f t="shared" si="24"/>
        <v>K15</v>
      </c>
      <c r="D173" s="134" t="s">
        <v>2077</v>
      </c>
      <c r="E173" s="134" t="s">
        <v>2054</v>
      </c>
      <c r="F173" s="134" t="s">
        <v>1048</v>
      </c>
      <c r="G173" s="134" t="s">
        <v>2078</v>
      </c>
      <c r="H173" t="str">
        <f t="shared" si="28"/>
        <v>Vikings D/ST</v>
      </c>
      <c r="J173" s="134" t="s">
        <v>2077</v>
      </c>
      <c r="K173" s="134" t="s">
        <v>2054</v>
      </c>
      <c r="L173" s="134" t="s">
        <v>1048</v>
      </c>
      <c r="M173" s="134" t="s">
        <v>2078</v>
      </c>
      <c r="N173" t="str">
        <f t="shared" si="29"/>
        <v>Vikings D/ST</v>
      </c>
      <c r="W173" t="s">
        <v>465</v>
      </c>
      <c r="X173" t="s">
        <v>2203</v>
      </c>
      <c r="Y173" t="str">
        <f t="shared" si="25"/>
        <v>Brandon McManus</v>
      </c>
      <c r="Z173">
        <f>IF(AND(ISERROR(MATCH(Y173,'ROS Proj'!$A$2:$A$561,0)),LEFT(X173)&lt;&gt;"D"),Z172+1,Z172)</f>
        <v>0</v>
      </c>
    </row>
    <row r="174" spans="1:26" ht="15.75" thickBot="1" x14ac:dyDescent="0.3">
      <c r="A174" t="str">
        <f t="shared" si="23"/>
        <v>Adam Vinatieri</v>
      </c>
      <c r="B174" t="str">
        <f t="shared" si="24"/>
        <v>K16</v>
      </c>
      <c r="D174" s="134" t="s">
        <v>3466</v>
      </c>
      <c r="E174" s="134" t="s">
        <v>2054</v>
      </c>
      <c r="F174" s="134" t="s">
        <v>1890</v>
      </c>
      <c r="G174" s="134" t="s">
        <v>2079</v>
      </c>
      <c r="H174" t="str">
        <f t="shared" si="28"/>
        <v>Ravens D/ST</v>
      </c>
      <c r="J174" s="134" t="s">
        <v>3466</v>
      </c>
      <c r="K174" s="134" t="s">
        <v>2054</v>
      </c>
      <c r="L174" s="134" t="s">
        <v>1890</v>
      </c>
      <c r="M174" s="134" t="s">
        <v>2079</v>
      </c>
      <c r="N174" t="str">
        <f t="shared" si="29"/>
        <v>Ravens D/ST</v>
      </c>
      <c r="W174" t="s">
        <v>448</v>
      </c>
      <c r="X174" t="s">
        <v>2205</v>
      </c>
      <c r="Y174" t="str">
        <f t="shared" si="25"/>
        <v>Adam Vinatieri</v>
      </c>
      <c r="Z174">
        <f>IF(AND(ISERROR(MATCH(Y174,'ROS Proj'!$A$2:$A$561,0)),LEFT(X174)&lt;&gt;"D"),Z173+1,Z173)</f>
        <v>0</v>
      </c>
    </row>
    <row r="175" spans="1:26" ht="15.75" thickBot="1" x14ac:dyDescent="0.3">
      <c r="A175" t="str">
        <f t="shared" si="23"/>
        <v>Duke Johnson Jr.</v>
      </c>
      <c r="B175" t="str">
        <f t="shared" si="24"/>
        <v>RB42</v>
      </c>
      <c r="D175" s="134" t="s">
        <v>3467</v>
      </c>
      <c r="E175" s="134" t="s">
        <v>2054</v>
      </c>
      <c r="F175" s="134" t="s">
        <v>1043</v>
      </c>
      <c r="G175" s="134" t="s">
        <v>2080</v>
      </c>
      <c r="H175" t="str">
        <f t="shared" si="28"/>
        <v>Texans D/ST</v>
      </c>
      <c r="J175" s="134" t="s">
        <v>3467</v>
      </c>
      <c r="K175" s="134" t="s">
        <v>2054</v>
      </c>
      <c r="L175" s="134" t="s">
        <v>1043</v>
      </c>
      <c r="M175" s="134" t="s">
        <v>2080</v>
      </c>
      <c r="N175" t="str">
        <f t="shared" si="29"/>
        <v>Texans D/ST</v>
      </c>
      <c r="W175" t="s">
        <v>2485</v>
      </c>
      <c r="X175" t="s">
        <v>1981</v>
      </c>
      <c r="Y175" t="str">
        <f t="shared" si="25"/>
        <v>Duke Johnson Jr.</v>
      </c>
      <c r="Z175">
        <f>IF(AND(ISERROR(MATCH(Y175,'ROS Proj'!$A$2:$A$561,0)),LEFT(X175)&lt;&gt;"D"),Z174+1,Z174)</f>
        <v>0</v>
      </c>
    </row>
    <row r="176" spans="1:26" ht="15.75" thickBot="1" x14ac:dyDescent="0.3">
      <c r="A176" t="str">
        <f t="shared" si="23"/>
        <v>Nyheim Hines</v>
      </c>
      <c r="B176" t="str">
        <f t="shared" si="24"/>
        <v>RB43</v>
      </c>
      <c r="D176" s="135" t="s">
        <v>2081</v>
      </c>
      <c r="E176" s="134" t="s">
        <v>478</v>
      </c>
      <c r="F176" s="134" t="s">
        <v>1038</v>
      </c>
      <c r="G176" s="134" t="s">
        <v>2082</v>
      </c>
      <c r="H176" t="str">
        <f t="shared" si="28"/>
        <v>Greg Zuerlein</v>
      </c>
      <c r="J176" s="135" t="s">
        <v>2081</v>
      </c>
      <c r="K176" s="134" t="s">
        <v>478</v>
      </c>
      <c r="L176" s="134" t="s">
        <v>1038</v>
      </c>
      <c r="M176" s="134" t="s">
        <v>2082</v>
      </c>
      <c r="N176" t="str">
        <f t="shared" si="29"/>
        <v>Greg Zuerlein</v>
      </c>
      <c r="W176" t="s">
        <v>1395</v>
      </c>
      <c r="X176" t="s">
        <v>1983</v>
      </c>
      <c r="Y176" t="str">
        <f t="shared" si="25"/>
        <v>Nyheim Hines</v>
      </c>
      <c r="Z176">
        <f>IF(AND(ISERROR(MATCH(Y176,'ROS Proj'!$A$2:$A$561,0)),LEFT(X176)&lt;&gt;"D"),Z175+1,Z175)</f>
        <v>0</v>
      </c>
    </row>
    <row r="177" spans="1:26" ht="15.75" thickBot="1" x14ac:dyDescent="0.3">
      <c r="A177" t="str">
        <f t="shared" si="23"/>
        <v>Ricky Seals-Jones</v>
      </c>
      <c r="B177" t="str">
        <f t="shared" si="24"/>
        <v>TE19</v>
      </c>
      <c r="D177" s="135" t="s">
        <v>2083</v>
      </c>
      <c r="E177" s="134" t="s">
        <v>478</v>
      </c>
      <c r="F177" s="134" t="s">
        <v>1839</v>
      </c>
      <c r="G177" s="134" t="s">
        <v>2084</v>
      </c>
      <c r="H177" t="str">
        <f t="shared" si="28"/>
        <v>Stephen Gostkowski</v>
      </c>
      <c r="J177" s="135" t="s">
        <v>2083</v>
      </c>
      <c r="K177" s="134" t="s">
        <v>478</v>
      </c>
      <c r="L177" s="134" t="s">
        <v>1839</v>
      </c>
      <c r="M177" s="134" t="s">
        <v>2084</v>
      </c>
      <c r="N177" t="str">
        <f t="shared" si="29"/>
        <v>Stephen Gostkowski</v>
      </c>
      <c r="W177" t="s">
        <v>1381</v>
      </c>
      <c r="X177" t="s">
        <v>2121</v>
      </c>
      <c r="Y177" t="str">
        <f t="shared" si="25"/>
        <v>Ricky Seals-Jones</v>
      </c>
      <c r="Z177">
        <f>IF(AND(ISERROR(MATCH(Y177,'ROS Proj'!$A$2:$A$561,0)),LEFT(X177)&lt;&gt;"D"),Z176+1,Z176)</f>
        <v>0</v>
      </c>
    </row>
    <row r="178" spans="1:26" ht="15.75" thickBot="1" x14ac:dyDescent="0.3">
      <c r="A178" t="str">
        <f t="shared" si="23"/>
        <v>Cameron Brate</v>
      </c>
      <c r="B178" t="str">
        <f t="shared" si="24"/>
        <v>TE20</v>
      </c>
      <c r="D178" s="135" t="s">
        <v>2085</v>
      </c>
      <c r="E178" s="134" t="s">
        <v>478</v>
      </c>
      <c r="F178" s="134" t="s">
        <v>1890</v>
      </c>
      <c r="G178" s="134" t="s">
        <v>2086</v>
      </c>
      <c r="H178" t="str">
        <f t="shared" si="28"/>
        <v>Justin Tucker</v>
      </c>
      <c r="J178" s="135" t="s">
        <v>2085</v>
      </c>
      <c r="K178" s="134" t="s">
        <v>478</v>
      </c>
      <c r="L178" s="134" t="s">
        <v>1890</v>
      </c>
      <c r="M178" s="134" t="s">
        <v>2086</v>
      </c>
      <c r="N178" t="str">
        <f t="shared" si="29"/>
        <v>Justin Tucker</v>
      </c>
      <c r="W178" t="s">
        <v>213</v>
      </c>
      <c r="X178" t="s">
        <v>2122</v>
      </c>
      <c r="Y178" t="str">
        <f t="shared" si="25"/>
        <v>Cameron Brate</v>
      </c>
      <c r="Z178">
        <f>IF(AND(ISERROR(MATCH(Y178,'ROS Proj'!$A$2:$A$561,0)),LEFT(X178)&lt;&gt;"D"),Z177+1,Z177)</f>
        <v>0</v>
      </c>
    </row>
    <row r="179" spans="1:26" ht="15.75" thickBot="1" x14ac:dyDescent="0.3">
      <c r="A179" t="str">
        <f t="shared" si="23"/>
        <v>Giants D/ST</v>
      </c>
      <c r="B179" t="str">
        <f t="shared" si="24"/>
        <v>DST20</v>
      </c>
      <c r="D179" s="134" t="s">
        <v>2087</v>
      </c>
      <c r="E179" s="134" t="s">
        <v>2054</v>
      </c>
      <c r="F179" s="134" t="s">
        <v>1839</v>
      </c>
      <c r="G179" s="134" t="s">
        <v>2088</v>
      </c>
      <c r="H179" t="str">
        <f t="shared" si="28"/>
        <v>Patriots D/ST</v>
      </c>
      <c r="J179" s="134" t="s">
        <v>2087</v>
      </c>
      <c r="K179" s="134" t="s">
        <v>2054</v>
      </c>
      <c r="L179" s="134" t="s">
        <v>1839</v>
      </c>
      <c r="M179" s="134" t="s">
        <v>2088</v>
      </c>
      <c r="N179" t="str">
        <f t="shared" si="29"/>
        <v>Patriots D/ST</v>
      </c>
      <c r="W179" t="s">
        <v>4881</v>
      </c>
      <c r="X179" t="s">
        <v>2265</v>
      </c>
      <c r="Y179" t="str">
        <f t="shared" si="25"/>
        <v>Giants D/ST</v>
      </c>
      <c r="Z179">
        <f>IF(AND(ISERROR(MATCH(Y179,'ROS Proj'!$A$2:$A$561,0)),LEFT(X179)&lt;&gt;"D"),Z178+1,Z178)</f>
        <v>0</v>
      </c>
    </row>
    <row r="180" spans="1:26" ht="15.75" thickBot="1" x14ac:dyDescent="0.3">
      <c r="A180" t="str">
        <f t="shared" si="23"/>
        <v>Tyler Lockett</v>
      </c>
      <c r="B180" t="str">
        <f t="shared" si="24"/>
        <v>WR50</v>
      </c>
      <c r="D180" s="134" t="s">
        <v>2089</v>
      </c>
      <c r="E180" s="134" t="s">
        <v>2054</v>
      </c>
      <c r="F180" s="134" t="s">
        <v>1041</v>
      </c>
      <c r="G180" s="134" t="s">
        <v>2090</v>
      </c>
      <c r="H180" t="str">
        <f t="shared" si="28"/>
        <v>Chargers D/ST</v>
      </c>
      <c r="J180" s="134" t="s">
        <v>2089</v>
      </c>
      <c r="K180" s="134" t="s">
        <v>2054</v>
      </c>
      <c r="L180" s="134" t="s">
        <v>1041</v>
      </c>
      <c r="M180" s="134" t="s">
        <v>2090</v>
      </c>
      <c r="N180" t="str">
        <f t="shared" si="29"/>
        <v>Chargers D/ST</v>
      </c>
      <c r="W180" t="s">
        <v>180</v>
      </c>
      <c r="X180" t="s">
        <v>1976</v>
      </c>
      <c r="Y180" t="str">
        <f t="shared" si="25"/>
        <v>Tyler Lockett</v>
      </c>
      <c r="Z180">
        <f>IF(AND(ISERROR(MATCH(Y180,'ROS Proj'!$A$2:$A$561,0)),LEFT(X180)&lt;&gt;"D"),Z179+1,Z179)</f>
        <v>0</v>
      </c>
    </row>
    <row r="181" spans="1:26" ht="15.75" thickBot="1" x14ac:dyDescent="0.3">
      <c r="A181" t="str">
        <f t="shared" si="23"/>
        <v>Robbie Gould</v>
      </c>
      <c r="B181" t="str">
        <f t="shared" si="24"/>
        <v>K17</v>
      </c>
      <c r="D181" s="134" t="s">
        <v>2091</v>
      </c>
      <c r="E181" s="134" t="s">
        <v>2054</v>
      </c>
      <c r="F181" s="134" t="s">
        <v>1054</v>
      </c>
      <c r="G181" s="134" t="s">
        <v>2092</v>
      </c>
      <c r="H181" t="str">
        <f t="shared" si="28"/>
        <v>Broncos D/ST</v>
      </c>
      <c r="J181" s="134" t="s">
        <v>2091</v>
      </c>
      <c r="K181" s="134" t="s">
        <v>2054</v>
      </c>
      <c r="L181" s="134" t="s">
        <v>1054</v>
      </c>
      <c r="M181" s="134" t="s">
        <v>2092</v>
      </c>
      <c r="N181" t="str">
        <f t="shared" si="29"/>
        <v>Broncos D/ST</v>
      </c>
      <c r="W181" t="s">
        <v>452</v>
      </c>
      <c r="X181" t="s">
        <v>2250</v>
      </c>
      <c r="Y181" t="str">
        <f t="shared" si="25"/>
        <v>Robbie Gould</v>
      </c>
      <c r="Z181">
        <f>IF(AND(ISERROR(MATCH(Y181,'ROS Proj'!$A$2:$A$561,0)),LEFT(X181)&lt;&gt;"D"),Z180+1,Z180)</f>
        <v>0</v>
      </c>
    </row>
    <row r="182" spans="1:26" ht="15.75" thickBot="1" x14ac:dyDescent="0.3">
      <c r="A182" t="str">
        <f t="shared" si="23"/>
        <v>Isaiah Crowell</v>
      </c>
      <c r="B182" t="str">
        <f t="shared" si="24"/>
        <v>RB44</v>
      </c>
      <c r="D182" s="134" t="s">
        <v>2093</v>
      </c>
      <c r="E182" s="134" t="s">
        <v>2054</v>
      </c>
      <c r="F182" s="134" t="s">
        <v>1813</v>
      </c>
      <c r="G182" s="134" t="s">
        <v>2094</v>
      </c>
      <c r="H182" t="str">
        <f t="shared" si="28"/>
        <v>Saints D/ST</v>
      </c>
      <c r="J182" s="134" t="s">
        <v>2093</v>
      </c>
      <c r="K182" s="134" t="s">
        <v>2054</v>
      </c>
      <c r="L182" s="134" t="s">
        <v>1813</v>
      </c>
      <c r="M182" s="134" t="s">
        <v>2094</v>
      </c>
      <c r="N182" t="str">
        <f t="shared" si="29"/>
        <v>Saints D/ST</v>
      </c>
      <c r="W182" t="s">
        <v>117</v>
      </c>
      <c r="X182" t="s">
        <v>1988</v>
      </c>
      <c r="Y182" t="str">
        <f t="shared" si="25"/>
        <v>Isaiah Crowell</v>
      </c>
      <c r="Z182">
        <f>IF(AND(ISERROR(MATCH(Y182,'ROS Proj'!$A$2:$A$561,0)),LEFT(X182)&lt;&gt;"D"),Z181+1,Z181)</f>
        <v>0</v>
      </c>
    </row>
    <row r="183" spans="1:26" ht="15.75" thickBot="1" x14ac:dyDescent="0.3">
      <c r="A183" t="str">
        <f t="shared" si="23"/>
        <v>Marquise Goodwin</v>
      </c>
      <c r="B183" t="str">
        <f t="shared" si="24"/>
        <v>WR51</v>
      </c>
      <c r="D183" s="134" t="s">
        <v>2095</v>
      </c>
      <c r="E183" s="134" t="s">
        <v>2054</v>
      </c>
      <c r="F183" s="134" t="s">
        <v>1887</v>
      </c>
      <c r="G183" s="134" t="s">
        <v>2096</v>
      </c>
      <c r="H183" t="str">
        <f t="shared" si="28"/>
        <v>Titans D/ST</v>
      </c>
      <c r="J183" s="134" t="s">
        <v>2095</v>
      </c>
      <c r="K183" s="134" t="s">
        <v>2054</v>
      </c>
      <c r="L183" s="134" t="s">
        <v>1887</v>
      </c>
      <c r="M183" s="134" t="s">
        <v>2096</v>
      </c>
      <c r="N183" t="str">
        <f t="shared" si="29"/>
        <v>Titans D/ST</v>
      </c>
      <c r="W183" t="s">
        <v>255</v>
      </c>
      <c r="X183" t="s">
        <v>1978</v>
      </c>
      <c r="Y183" t="str">
        <f t="shared" si="25"/>
        <v>Marquise Goodwin</v>
      </c>
      <c r="Z183">
        <f>IF(AND(ISERROR(MATCH(Y183,'ROS Proj'!$A$2:$A$561,0)),LEFT(X183)&lt;&gt;"D"),Z182+1,Z182)</f>
        <v>0</v>
      </c>
    </row>
    <row r="184" spans="1:26" ht="15.75" thickBot="1" x14ac:dyDescent="0.3">
      <c r="A184" t="str">
        <f t="shared" si="23"/>
        <v>Greg Olsen</v>
      </c>
      <c r="B184" t="str">
        <f t="shared" si="24"/>
        <v>TE21</v>
      </c>
      <c r="D184" s="134" t="s">
        <v>2097</v>
      </c>
      <c r="E184" s="134" t="s">
        <v>2054</v>
      </c>
      <c r="F184" s="134" t="s">
        <v>1042</v>
      </c>
      <c r="G184" s="134" t="s">
        <v>2098</v>
      </c>
      <c r="H184" t="str">
        <f t="shared" si="28"/>
        <v>Bears D/ST</v>
      </c>
      <c r="J184" s="134" t="s">
        <v>2097</v>
      </c>
      <c r="K184" s="134" t="s">
        <v>2054</v>
      </c>
      <c r="L184" s="134" t="s">
        <v>1042</v>
      </c>
      <c r="M184" s="134" t="s">
        <v>2098</v>
      </c>
      <c r="N184" t="str">
        <f t="shared" si="29"/>
        <v>Bears D/ST</v>
      </c>
      <c r="W184" t="s">
        <v>141</v>
      </c>
      <c r="X184" t="s">
        <v>2135</v>
      </c>
      <c r="Y184" t="str">
        <f t="shared" si="25"/>
        <v>Greg Olsen</v>
      </c>
      <c r="Z184">
        <f>IF(AND(ISERROR(MATCH(Y184,'ROS Proj'!$A$2:$A$561,0)),LEFT(X184)&lt;&gt;"D"),Z183+1,Z183)</f>
        <v>0</v>
      </c>
    </row>
    <row r="185" spans="1:26" ht="15.75" thickBot="1" x14ac:dyDescent="0.3">
      <c r="A185" t="str">
        <f t="shared" si="23"/>
        <v>Josh Rosen</v>
      </c>
      <c r="B185" t="str">
        <f t="shared" si="24"/>
        <v>QB31</v>
      </c>
      <c r="D185" s="135" t="s">
        <v>2099</v>
      </c>
      <c r="E185" s="134" t="s">
        <v>478</v>
      </c>
      <c r="F185" s="134" t="s">
        <v>1052</v>
      </c>
      <c r="G185" s="134" t="s">
        <v>2100</v>
      </c>
      <c r="H185" t="str">
        <f t="shared" si="28"/>
        <v>Matt Bryant</v>
      </c>
      <c r="J185" s="135" t="s">
        <v>2099</v>
      </c>
      <c r="K185" s="134" t="s">
        <v>478</v>
      </c>
      <c r="L185" s="134" t="s">
        <v>1052</v>
      </c>
      <c r="M185" s="134" t="s">
        <v>2100</v>
      </c>
      <c r="N185" t="str">
        <f t="shared" si="29"/>
        <v>Matt Bryant</v>
      </c>
      <c r="W185" t="s">
        <v>1506</v>
      </c>
      <c r="X185" t="s">
        <v>2229</v>
      </c>
      <c r="Y185" t="str">
        <f t="shared" si="25"/>
        <v>Josh Rosen</v>
      </c>
      <c r="Z185">
        <f>IF(AND(ISERROR(MATCH(Y185,'ROS Proj'!$A$2:$A$561,0)),LEFT(X185)&lt;&gt;"D"),Z184+1,Z184)</f>
        <v>0</v>
      </c>
    </row>
    <row r="186" spans="1:26" ht="15.75" thickBot="1" x14ac:dyDescent="0.3">
      <c r="A186" t="str">
        <f t="shared" si="23"/>
        <v>Ronald Jones</v>
      </c>
      <c r="B186" t="str">
        <f t="shared" si="24"/>
        <v>RB45</v>
      </c>
      <c r="D186" s="135" t="s">
        <v>2101</v>
      </c>
      <c r="E186" s="134" t="s">
        <v>478</v>
      </c>
      <c r="F186" s="134" t="s">
        <v>1813</v>
      </c>
      <c r="G186" s="134" t="s">
        <v>2102</v>
      </c>
      <c r="H186" t="str">
        <f t="shared" si="28"/>
        <v>Wil Lutz</v>
      </c>
      <c r="J186" s="135" t="s">
        <v>2101</v>
      </c>
      <c r="K186" s="134" t="s">
        <v>478</v>
      </c>
      <c r="L186" s="134" t="s">
        <v>1813</v>
      </c>
      <c r="M186" s="134" t="s">
        <v>2102</v>
      </c>
      <c r="N186" t="str">
        <f t="shared" si="29"/>
        <v>Wil Lutz</v>
      </c>
      <c r="W186" t="s">
        <v>4879</v>
      </c>
      <c r="X186" t="s">
        <v>1989</v>
      </c>
      <c r="Y186" t="str">
        <f t="shared" si="25"/>
        <v>Ronald Jones</v>
      </c>
      <c r="Z186">
        <f>IF(AND(ISERROR(MATCH(Y186,'ROS Proj'!$A$2:$A$561,0)),LEFT(X186)&lt;&gt;"D"),Z185+1,Z185)</f>
        <v>0</v>
      </c>
    </row>
    <row r="187" spans="1:26" ht="15.75" thickBot="1" x14ac:dyDescent="0.3">
      <c r="A187" t="str">
        <f t="shared" si="23"/>
        <v>Devante Parker</v>
      </c>
      <c r="B187" t="str">
        <f t="shared" si="24"/>
        <v>WR52</v>
      </c>
      <c r="D187" s="135" t="s">
        <v>2103</v>
      </c>
      <c r="E187" s="134" t="s">
        <v>478</v>
      </c>
      <c r="F187" s="134" t="s">
        <v>1040</v>
      </c>
      <c r="G187" s="134" t="s">
        <v>2104</v>
      </c>
      <c r="H187" t="str">
        <f t="shared" si="28"/>
        <v>Chris Boswell</v>
      </c>
      <c r="J187" s="135" t="s">
        <v>2103</v>
      </c>
      <c r="K187" s="134" t="s">
        <v>478</v>
      </c>
      <c r="L187" s="134" t="s">
        <v>1040</v>
      </c>
      <c r="M187" s="134" t="s">
        <v>2104</v>
      </c>
      <c r="N187" t="str">
        <f t="shared" si="29"/>
        <v>Chris Boswell</v>
      </c>
      <c r="W187" t="s">
        <v>4872</v>
      </c>
      <c r="X187" t="s">
        <v>1993</v>
      </c>
      <c r="Y187" t="str">
        <f t="shared" si="25"/>
        <v>Devante Parker</v>
      </c>
      <c r="Z187">
        <f>IF(AND(ISERROR(MATCH(Y187,'ROS Proj'!$A$2:$A$561,0)),LEFT(X187)&lt;&gt;"D"),Z186+1,Z186)</f>
        <v>0</v>
      </c>
    </row>
    <row r="188" spans="1:26" ht="15.75" thickBot="1" x14ac:dyDescent="0.3">
      <c r="A188" t="str">
        <f t="shared" si="23"/>
        <v>Rashaad Penny</v>
      </c>
      <c r="B188" t="str">
        <f t="shared" si="24"/>
        <v>RB46</v>
      </c>
      <c r="D188" s="135" t="s">
        <v>2105</v>
      </c>
      <c r="E188" s="134" t="s">
        <v>478</v>
      </c>
      <c r="F188" s="134" t="s">
        <v>1909</v>
      </c>
      <c r="G188" s="134" t="s">
        <v>2106</v>
      </c>
      <c r="H188" t="str">
        <f t="shared" si="28"/>
        <v>Robbie Gould</v>
      </c>
      <c r="J188" s="135" t="s">
        <v>2105</v>
      </c>
      <c r="K188" s="134" t="s">
        <v>478</v>
      </c>
      <c r="L188" s="134" t="s">
        <v>1909</v>
      </c>
      <c r="M188" s="134" t="s">
        <v>2106</v>
      </c>
      <c r="N188" t="str">
        <f t="shared" si="29"/>
        <v>Robbie Gould</v>
      </c>
      <c r="W188" t="s">
        <v>1336</v>
      </c>
      <c r="X188" t="s">
        <v>1991</v>
      </c>
      <c r="Y188" t="str">
        <f t="shared" si="25"/>
        <v>Rashaad Penny</v>
      </c>
      <c r="Z188">
        <f>IF(AND(ISERROR(MATCH(Y188,'ROS Proj'!$A$2:$A$561,0)),LEFT(X188)&lt;&gt;"D"),Z187+1,Z187)</f>
        <v>0</v>
      </c>
    </row>
    <row r="189" spans="1:26" ht="15.75" thickBot="1" x14ac:dyDescent="0.3">
      <c r="A189" t="str">
        <f t="shared" si="23"/>
        <v>Chris Godwin</v>
      </c>
      <c r="B189" t="str">
        <f t="shared" si="24"/>
        <v>WR53</v>
      </c>
      <c r="D189" s="135" t="s">
        <v>2107</v>
      </c>
      <c r="E189" s="134" t="s">
        <v>478</v>
      </c>
      <c r="F189" s="134" t="s">
        <v>1862</v>
      </c>
      <c r="G189" s="134" t="s">
        <v>2108</v>
      </c>
      <c r="H189" t="str">
        <f t="shared" si="28"/>
        <v>Jake Elliott</v>
      </c>
      <c r="J189" s="135" t="s">
        <v>2107</v>
      </c>
      <c r="K189" s="134" t="s">
        <v>478</v>
      </c>
      <c r="L189" s="134" t="s">
        <v>1862</v>
      </c>
      <c r="M189" s="134" t="s">
        <v>2108</v>
      </c>
      <c r="N189" t="str">
        <f t="shared" si="29"/>
        <v>Jake Elliott</v>
      </c>
      <c r="W189" t="s">
        <v>1396</v>
      </c>
      <c r="X189" t="s">
        <v>1994</v>
      </c>
      <c r="Y189" t="str">
        <f t="shared" si="25"/>
        <v>Chris Godwin</v>
      </c>
      <c r="Z189">
        <f>IF(AND(ISERROR(MATCH(Y189,'ROS Proj'!$A$2:$A$561,0)),LEFT(X189)&lt;&gt;"D"),Z188+1,Z188)</f>
        <v>0</v>
      </c>
    </row>
    <row r="190" spans="1:26" ht="15.75" thickBot="1" x14ac:dyDescent="0.3">
      <c r="A190" t="str">
        <f t="shared" si="23"/>
        <v>Mohamed Sanu</v>
      </c>
      <c r="B190" t="str">
        <f t="shared" si="24"/>
        <v>WR54</v>
      </c>
      <c r="D190" s="135" t="s">
        <v>2109</v>
      </c>
      <c r="E190" s="134" t="s">
        <v>478</v>
      </c>
      <c r="F190" s="134" t="s">
        <v>1882</v>
      </c>
      <c r="G190" s="134" t="s">
        <v>2110</v>
      </c>
      <c r="H190" t="str">
        <f t="shared" si="28"/>
        <v>Matt Prater</v>
      </c>
      <c r="J190" s="135" t="s">
        <v>2109</v>
      </c>
      <c r="K190" s="134" t="s">
        <v>478</v>
      </c>
      <c r="L190" s="134" t="s">
        <v>1882</v>
      </c>
      <c r="M190" s="134" t="s">
        <v>2110</v>
      </c>
      <c r="N190" t="str">
        <f t="shared" si="29"/>
        <v>Matt Prater</v>
      </c>
      <c r="W190" t="s">
        <v>194</v>
      </c>
      <c r="X190" t="s">
        <v>2003</v>
      </c>
      <c r="Y190" t="str">
        <f t="shared" si="25"/>
        <v>Mohamed Sanu</v>
      </c>
      <c r="Z190">
        <f>IF(AND(ISERROR(MATCH(Y190,'ROS Proj'!$A$2:$A$561,0)),LEFT(X190)&lt;&gt;"D"),Z189+1,Z189)</f>
        <v>0</v>
      </c>
    </row>
    <row r="191" spans="1:26" ht="15.75" thickBot="1" x14ac:dyDescent="0.3">
      <c r="A191" t="str">
        <f t="shared" si="23"/>
        <v>Cowboys D/ST</v>
      </c>
      <c r="B191" t="str">
        <f t="shared" si="24"/>
        <v>DST21</v>
      </c>
      <c r="D191" s="135" t="s">
        <v>2111</v>
      </c>
      <c r="E191" s="134" t="s">
        <v>478</v>
      </c>
      <c r="F191" s="134" t="s">
        <v>1821</v>
      </c>
      <c r="G191" s="134" t="s">
        <v>2112</v>
      </c>
      <c r="H191" t="str">
        <f t="shared" si="28"/>
        <v>Harrison Butker</v>
      </c>
      <c r="J191" s="135" t="s">
        <v>2111</v>
      </c>
      <c r="K191" s="134" t="s">
        <v>478</v>
      </c>
      <c r="L191" s="134" t="s">
        <v>1821</v>
      </c>
      <c r="M191" s="134" t="s">
        <v>2112</v>
      </c>
      <c r="N191" t="str">
        <f t="shared" si="29"/>
        <v>Harrison Butker</v>
      </c>
      <c r="W191" t="s">
        <v>4894</v>
      </c>
      <c r="X191" t="s">
        <v>2267</v>
      </c>
      <c r="Y191" t="str">
        <f t="shared" si="25"/>
        <v>Cowboys D/ST</v>
      </c>
      <c r="Z191">
        <f>IF(AND(ISERROR(MATCH(Y191,'ROS Proj'!$A$2:$A$561,0)),LEFT(X191)&lt;&gt;"D"),Z190+1,Z190)</f>
        <v>0</v>
      </c>
    </row>
    <row r="192" spans="1:26" ht="15.75" thickBot="1" x14ac:dyDescent="0.3">
      <c r="A192" t="str">
        <f t="shared" si="23"/>
        <v>Brett Maher</v>
      </c>
      <c r="B192" t="str">
        <f t="shared" si="24"/>
        <v>K18</v>
      </c>
      <c r="D192" s="135" t="s">
        <v>2113</v>
      </c>
      <c r="E192" s="134" t="s">
        <v>478</v>
      </c>
      <c r="F192" s="134" t="s">
        <v>815</v>
      </c>
      <c r="G192" s="134" t="s">
        <v>2114</v>
      </c>
      <c r="H192" t="str">
        <f t="shared" si="28"/>
        <v>Adam Vinatieri</v>
      </c>
      <c r="J192" s="135" t="s">
        <v>2113</v>
      </c>
      <c r="K192" s="134" t="s">
        <v>478</v>
      </c>
      <c r="L192" s="134" t="s">
        <v>815</v>
      </c>
      <c r="M192" s="134" t="s">
        <v>2114</v>
      </c>
      <c r="N192" t="str">
        <f t="shared" si="29"/>
        <v>Adam Vinatieri</v>
      </c>
      <c r="W192" t="s">
        <v>4164</v>
      </c>
      <c r="X192" t="s">
        <v>2252</v>
      </c>
      <c r="Y192" t="str">
        <f t="shared" si="25"/>
        <v>Brett Maher</v>
      </c>
      <c r="Z192">
        <f>IF(AND(ISERROR(MATCH(Y192,'ROS Proj'!$A$2:$A$561,0)),LEFT(X192)&lt;&gt;"D"),Z191+1,Z191)</f>
        <v>0</v>
      </c>
    </row>
    <row r="193" spans="1:26" ht="15.75" thickBot="1" x14ac:dyDescent="0.3">
      <c r="A193" t="str">
        <f t="shared" si="23"/>
        <v>Robby Anderson</v>
      </c>
      <c r="B193" t="str">
        <f t="shared" si="24"/>
        <v>WR55</v>
      </c>
      <c r="D193" s="135" t="s">
        <v>2115</v>
      </c>
      <c r="E193" s="134" t="s">
        <v>478</v>
      </c>
      <c r="F193" s="134" t="s">
        <v>1831</v>
      </c>
      <c r="G193" s="134" t="s">
        <v>2116</v>
      </c>
      <c r="H193" t="str">
        <f t="shared" si="28"/>
        <v>Graham Gano</v>
      </c>
      <c r="J193" s="135" t="s">
        <v>2115</v>
      </c>
      <c r="K193" s="134" t="s">
        <v>478</v>
      </c>
      <c r="L193" s="134" t="s">
        <v>1831</v>
      </c>
      <c r="M193" s="134" t="s">
        <v>2116</v>
      </c>
      <c r="N193" t="str">
        <f t="shared" si="29"/>
        <v>Graham Gano</v>
      </c>
      <c r="W193" t="s">
        <v>203</v>
      </c>
      <c r="X193" t="s">
        <v>2004</v>
      </c>
      <c r="Y193" t="str">
        <f t="shared" si="25"/>
        <v>Robby Anderson</v>
      </c>
      <c r="Z193">
        <f>IF(AND(ISERROR(MATCH(Y193,'ROS Proj'!$A$2:$A$561,0)),LEFT(X193)&lt;&gt;"D"),Z192+1,Z192)</f>
        <v>0</v>
      </c>
    </row>
    <row r="194" spans="1:26" ht="15.75" thickBot="1" x14ac:dyDescent="0.3">
      <c r="A194" t="str">
        <f t="shared" si="23"/>
        <v>Javorius Allen</v>
      </c>
      <c r="B194" t="str">
        <f t="shared" si="24"/>
        <v>RB47</v>
      </c>
      <c r="D194" s="135" t="s">
        <v>3468</v>
      </c>
      <c r="E194" s="134" t="s">
        <v>47</v>
      </c>
      <c r="F194" s="134" t="s">
        <v>815</v>
      </c>
      <c r="G194" s="134" t="s">
        <v>2117</v>
      </c>
      <c r="H194" t="str">
        <f t="shared" si="28"/>
        <v>Nyheim Hines</v>
      </c>
      <c r="J194" s="135" t="s">
        <v>4078</v>
      </c>
      <c r="K194" s="134" t="s">
        <v>47</v>
      </c>
      <c r="L194" s="134" t="s">
        <v>1845</v>
      </c>
      <c r="M194" s="134" t="s">
        <v>2117</v>
      </c>
      <c r="N194" t="str">
        <f t="shared" si="29"/>
        <v>Ronald Jones II</v>
      </c>
      <c r="W194" t="s">
        <v>306</v>
      </c>
      <c r="X194" t="s">
        <v>2044</v>
      </c>
      <c r="Y194" t="str">
        <f t="shared" si="25"/>
        <v>Javorius Allen</v>
      </c>
      <c r="Z194">
        <f>IF(AND(ISERROR(MATCH(Y194,'ROS Proj'!$A$2:$A$561,0)),LEFT(X194)&lt;&gt;"D"),Z193+1,Z193)</f>
        <v>0</v>
      </c>
    </row>
    <row r="195" spans="1:26" ht="15.75" thickBot="1" x14ac:dyDescent="0.3">
      <c r="A195" t="str">
        <f t="shared" ref="A195:A258" si="30">Y195</f>
        <v>Peyton Barber</v>
      </c>
      <c r="B195" t="str">
        <f t="shared" ref="B195:B258" si="31">X195</f>
        <v>RB48</v>
      </c>
      <c r="D195" s="135" t="s">
        <v>3469</v>
      </c>
      <c r="E195" s="134" t="s">
        <v>47</v>
      </c>
      <c r="F195" s="134" t="s">
        <v>1862</v>
      </c>
      <c r="G195" s="134" t="s">
        <v>2118</v>
      </c>
      <c r="H195" t="str">
        <f t="shared" si="28"/>
        <v>Darren Sproles</v>
      </c>
      <c r="J195" s="135" t="s">
        <v>4079</v>
      </c>
      <c r="K195" s="134" t="s">
        <v>47</v>
      </c>
      <c r="L195" s="134" t="s">
        <v>1870</v>
      </c>
      <c r="M195" s="134" t="s">
        <v>2118</v>
      </c>
      <c r="N195" t="str">
        <f t="shared" si="29"/>
        <v>Doug Martin</v>
      </c>
      <c r="W195" t="s">
        <v>355</v>
      </c>
      <c r="X195" t="s">
        <v>2045</v>
      </c>
      <c r="Y195" t="str">
        <f t="shared" ref="Y195:Y258" si="32">IFERROR(VLOOKUP(W195,$AB$2:$AC$22,2,FALSE),IFERROR(VLOOKUP(LEFT(W195,SEARCH("(",W195)-2),$AF$2:$AG$33,2,FALSE),W195))</f>
        <v>Peyton Barber</v>
      </c>
      <c r="Z195">
        <f>IF(AND(ISERROR(MATCH(Y195,'ROS Proj'!$A$2:$A$561,0)),LEFT(X195)&lt;&gt;"D"),Z194+1,Z194)</f>
        <v>0</v>
      </c>
    </row>
    <row r="196" spans="1:26" ht="15.75" thickBot="1" x14ac:dyDescent="0.3">
      <c r="A196" t="str">
        <f t="shared" si="30"/>
        <v>Phil Dawson</v>
      </c>
      <c r="B196" t="str">
        <f t="shared" si="31"/>
        <v>K19</v>
      </c>
      <c r="D196" s="135" t="s">
        <v>3470</v>
      </c>
      <c r="E196" s="134" t="s">
        <v>47</v>
      </c>
      <c r="F196" s="134" t="s">
        <v>1041</v>
      </c>
      <c r="G196" s="134" t="s">
        <v>2119</v>
      </c>
      <c r="H196" t="str">
        <f t="shared" si="28"/>
        <v>Austin Ekeler</v>
      </c>
      <c r="J196" s="135" t="s">
        <v>4080</v>
      </c>
      <c r="K196" s="134" t="s">
        <v>47</v>
      </c>
      <c r="L196" s="134" t="s">
        <v>1862</v>
      </c>
      <c r="M196" s="134" t="s">
        <v>2119</v>
      </c>
      <c r="N196" t="str">
        <f t="shared" si="29"/>
        <v>Corey Clement</v>
      </c>
      <c r="W196" t="s">
        <v>463</v>
      </c>
      <c r="X196" t="s">
        <v>4900</v>
      </c>
      <c r="Y196" t="str">
        <f t="shared" si="32"/>
        <v>Phil Dawson</v>
      </c>
      <c r="Z196">
        <f>IF(AND(ISERROR(MATCH(Y196,'ROS Proj'!$A$2:$A$561,0)),LEFT(X196)&lt;&gt;"D"),Z195+1,Z195)</f>
        <v>0</v>
      </c>
    </row>
    <row r="197" spans="1:26" ht="15.75" thickBot="1" x14ac:dyDescent="0.3">
      <c r="A197" t="str">
        <f t="shared" si="30"/>
        <v>Cody Parkey</v>
      </c>
      <c r="B197" t="str">
        <f t="shared" si="31"/>
        <v>K20</v>
      </c>
      <c r="D197" s="135" t="s">
        <v>3471</v>
      </c>
      <c r="E197" s="134" t="s">
        <v>114</v>
      </c>
      <c r="F197" s="134" t="s">
        <v>1823</v>
      </c>
      <c r="G197" s="134" t="s">
        <v>2120</v>
      </c>
      <c r="H197" t="str">
        <f t="shared" si="28"/>
        <v>Austin Seferian-Jenkins</v>
      </c>
      <c r="J197" s="135" t="s">
        <v>4081</v>
      </c>
      <c r="K197" s="134" t="s">
        <v>114</v>
      </c>
      <c r="L197" s="134" t="s">
        <v>1040</v>
      </c>
      <c r="M197" s="134" t="s">
        <v>2120</v>
      </c>
      <c r="N197" t="str">
        <f t="shared" si="29"/>
        <v>Vance McDonald</v>
      </c>
      <c r="W197" t="s">
        <v>459</v>
      </c>
      <c r="X197" t="s">
        <v>4903</v>
      </c>
      <c r="Y197" t="str">
        <f t="shared" si="32"/>
        <v>Cody Parkey</v>
      </c>
      <c r="Z197">
        <f>IF(AND(ISERROR(MATCH(Y197,'ROS Proj'!$A$2:$A$561,0)),LEFT(X197)&lt;&gt;"D"),Z196+1,Z196)</f>
        <v>0</v>
      </c>
    </row>
    <row r="198" spans="1:26" ht="15.75" thickBot="1" x14ac:dyDescent="0.3">
      <c r="A198" t="str">
        <f t="shared" si="30"/>
        <v>Caleb Sturgis</v>
      </c>
      <c r="B198" t="str">
        <f t="shared" si="31"/>
        <v>K21</v>
      </c>
      <c r="D198" s="135" t="s">
        <v>3472</v>
      </c>
      <c r="E198" s="134" t="s">
        <v>114</v>
      </c>
      <c r="F198" s="134" t="s">
        <v>1040</v>
      </c>
      <c r="G198" s="134" t="s">
        <v>2121</v>
      </c>
      <c r="H198" t="str">
        <f t="shared" si="28"/>
        <v>Vance McDonald</v>
      </c>
      <c r="J198" s="135" t="s">
        <v>4082</v>
      </c>
      <c r="K198" s="134" t="s">
        <v>114</v>
      </c>
      <c r="L198" s="134" t="s">
        <v>1052</v>
      </c>
      <c r="M198" s="134" t="s">
        <v>2121</v>
      </c>
      <c r="N198" t="str">
        <f t="shared" si="29"/>
        <v>Austin Hooper</v>
      </c>
      <c r="W198" t="s">
        <v>1121</v>
      </c>
      <c r="X198" t="s">
        <v>4904</v>
      </c>
      <c r="Y198" t="str">
        <f t="shared" si="32"/>
        <v>Caleb Sturgis</v>
      </c>
      <c r="Z198">
        <f>IF(AND(ISERROR(MATCH(Y198,'ROS Proj'!$A$2:$A$561,0)),LEFT(X198)&lt;&gt;"D"),Z197+1,Z197)</f>
        <v>0</v>
      </c>
    </row>
    <row r="199" spans="1:26" ht="15.75" thickBot="1" x14ac:dyDescent="0.3">
      <c r="A199" t="str">
        <f t="shared" si="30"/>
        <v>Josh Allen</v>
      </c>
      <c r="B199" t="str">
        <f t="shared" si="31"/>
        <v>QB32</v>
      </c>
      <c r="D199" s="135" t="s">
        <v>3473</v>
      </c>
      <c r="E199" s="134" t="s">
        <v>114</v>
      </c>
      <c r="F199" s="134" t="s">
        <v>1845</v>
      </c>
      <c r="G199" s="134" t="s">
        <v>2122</v>
      </c>
      <c r="H199" t="str">
        <f t="shared" si="28"/>
        <v>Cameron Brate</v>
      </c>
      <c r="J199" s="135" t="s">
        <v>4083</v>
      </c>
      <c r="K199" s="134" t="s">
        <v>114</v>
      </c>
      <c r="L199" s="134" t="s">
        <v>1041</v>
      </c>
      <c r="M199" s="134" t="s">
        <v>2122</v>
      </c>
      <c r="N199" t="str">
        <f t="shared" si="29"/>
        <v>Antonio Gates</v>
      </c>
      <c r="W199" t="s">
        <v>1277</v>
      </c>
      <c r="X199" t="s">
        <v>2261</v>
      </c>
      <c r="Y199" t="str">
        <f t="shared" si="32"/>
        <v>Josh Allen</v>
      </c>
      <c r="Z199">
        <f>IF(AND(ISERROR(MATCH(Y199,'ROS Proj'!$A$2:$A$561,0)),LEFT(X199)&lt;&gt;"D"),Z198+1,Z198)</f>
        <v>0</v>
      </c>
    </row>
    <row r="200" spans="1:26" ht="15.75" thickBot="1" x14ac:dyDescent="0.3">
      <c r="A200" t="str">
        <f t="shared" si="30"/>
        <v>Hayden Hurst</v>
      </c>
      <c r="B200" t="str">
        <f t="shared" si="31"/>
        <v>TE22</v>
      </c>
      <c r="D200" s="135" t="s">
        <v>3474</v>
      </c>
      <c r="E200" s="134" t="s">
        <v>47</v>
      </c>
      <c r="F200" s="134" t="s">
        <v>1872</v>
      </c>
      <c r="G200" s="134" t="s">
        <v>2123</v>
      </c>
      <c r="H200" t="str">
        <f t="shared" si="28"/>
        <v>Nick Chubb</v>
      </c>
      <c r="J200" s="135" t="s">
        <v>4084</v>
      </c>
      <c r="K200" s="134" t="s">
        <v>47</v>
      </c>
      <c r="L200" s="134" t="s">
        <v>1054</v>
      </c>
      <c r="M200" s="134" t="s">
        <v>2123</v>
      </c>
      <c r="N200" t="str">
        <f t="shared" si="29"/>
        <v>Devontae Booker</v>
      </c>
      <c r="W200" t="s">
        <v>1449</v>
      </c>
      <c r="X200" t="s">
        <v>2136</v>
      </c>
      <c r="Y200" t="str">
        <f t="shared" si="32"/>
        <v>Hayden Hurst</v>
      </c>
      <c r="Z200">
        <f>IF(AND(ISERROR(MATCH(Y200,'ROS Proj'!$A$2:$A$561,0)),LEFT(X200)&lt;&gt;"D"),Z199+1,Z199)</f>
        <v>0</v>
      </c>
    </row>
    <row r="201" spans="1:26" ht="15.75" thickBot="1" x14ac:dyDescent="0.3">
      <c r="A201" t="str">
        <f t="shared" si="30"/>
        <v>Giovani Bernard</v>
      </c>
      <c r="B201" t="str">
        <f t="shared" si="31"/>
        <v>RB49</v>
      </c>
      <c r="D201" s="135" t="s">
        <v>3475</v>
      </c>
      <c r="E201" s="134" t="s">
        <v>47</v>
      </c>
      <c r="F201" s="134" t="s">
        <v>1882</v>
      </c>
      <c r="G201" s="134" t="s">
        <v>2124</v>
      </c>
      <c r="H201" t="str">
        <f t="shared" si="28"/>
        <v>LeGarrette Blount</v>
      </c>
      <c r="J201" s="135" t="s">
        <v>4085</v>
      </c>
      <c r="K201" s="134" t="s">
        <v>47</v>
      </c>
      <c r="L201" s="134" t="s">
        <v>1831</v>
      </c>
      <c r="M201" s="134" t="s">
        <v>2124</v>
      </c>
      <c r="N201" t="str">
        <f t="shared" si="29"/>
        <v>C.J. Anderson</v>
      </c>
      <c r="W201" t="s">
        <v>196</v>
      </c>
      <c r="X201" t="s">
        <v>2046</v>
      </c>
      <c r="Y201" t="str">
        <f t="shared" si="32"/>
        <v>Giovani Bernard</v>
      </c>
      <c r="Z201">
        <f>IF(AND(ISERROR(MATCH(Y201,'ROS Proj'!$A$2:$A$561,0)),LEFT(X201)&lt;&gt;"D"),Z200+1,Z200)</f>
        <v>0</v>
      </c>
    </row>
    <row r="202" spans="1:26" ht="15.75" thickBot="1" x14ac:dyDescent="0.3">
      <c r="A202" t="str">
        <f t="shared" si="30"/>
        <v>Ryan Fitzpatrick</v>
      </c>
      <c r="B202" t="str">
        <f t="shared" si="31"/>
        <v>QB33</v>
      </c>
      <c r="D202" s="135" t="s">
        <v>3476</v>
      </c>
      <c r="E202" s="134" t="s">
        <v>47</v>
      </c>
      <c r="F202" s="134" t="s">
        <v>1806</v>
      </c>
      <c r="G202" s="134" t="s">
        <v>2125</v>
      </c>
      <c r="H202" t="str">
        <f t="shared" si="28"/>
        <v>Chase Edmonds</v>
      </c>
      <c r="J202" s="135" t="s">
        <v>3476</v>
      </c>
      <c r="K202" s="134" t="s">
        <v>47</v>
      </c>
      <c r="L202" s="134" t="s">
        <v>1806</v>
      </c>
      <c r="M202" s="134" t="s">
        <v>2125</v>
      </c>
      <c r="N202" t="str">
        <f t="shared" si="29"/>
        <v>Chase Edmonds</v>
      </c>
      <c r="W202" t="s">
        <v>314</v>
      </c>
      <c r="X202" t="s">
        <v>4901</v>
      </c>
      <c r="Y202" t="str">
        <f t="shared" si="32"/>
        <v>Ryan Fitzpatrick</v>
      </c>
      <c r="Z202">
        <f>IF(AND(ISERROR(MATCH(Y202,'ROS Proj'!$A$2:$A$561,0)),LEFT(X202)&lt;&gt;"D"),Z201+1,Z201)</f>
        <v>0</v>
      </c>
    </row>
    <row r="203" spans="1:26" ht="15.75" thickBot="1" x14ac:dyDescent="0.3">
      <c r="A203" t="str">
        <f t="shared" si="30"/>
        <v>Jordy Nelson</v>
      </c>
      <c r="B203" t="str">
        <f t="shared" si="31"/>
        <v>WR56</v>
      </c>
      <c r="D203" s="135" t="s">
        <v>3477</v>
      </c>
      <c r="E203" s="134" t="s">
        <v>47</v>
      </c>
      <c r="F203" s="134" t="s">
        <v>1050</v>
      </c>
      <c r="G203" s="134" t="s">
        <v>2126</v>
      </c>
      <c r="H203" t="str">
        <f t="shared" si="28"/>
        <v>Chris Ivory</v>
      </c>
      <c r="J203" s="135" t="s">
        <v>4086</v>
      </c>
      <c r="K203" s="134" t="s">
        <v>47</v>
      </c>
      <c r="L203" s="134" t="s">
        <v>1882</v>
      </c>
      <c r="M203" s="134" t="s">
        <v>2126</v>
      </c>
      <c r="N203" t="str">
        <f t="shared" si="29"/>
        <v>LeGarrette Blount</v>
      </c>
      <c r="W203" t="s">
        <v>98</v>
      </c>
      <c r="X203" t="s">
        <v>2005</v>
      </c>
      <c r="Y203" t="str">
        <f t="shared" si="32"/>
        <v>Jordy Nelson</v>
      </c>
      <c r="Z203">
        <f>IF(AND(ISERROR(MATCH(Y203,'ROS Proj'!$A$2:$A$561,0)),LEFT(X203)&lt;&gt;"D"),Z202+1,Z202)</f>
        <v>0</v>
      </c>
    </row>
    <row r="204" spans="1:26" ht="15.75" thickBot="1" x14ac:dyDescent="0.3">
      <c r="A204" t="str">
        <f t="shared" si="30"/>
        <v>Lamar Jackson</v>
      </c>
      <c r="B204" t="str">
        <f t="shared" si="31"/>
        <v>QB34</v>
      </c>
      <c r="D204" s="135" t="s">
        <v>3478</v>
      </c>
      <c r="E204" s="134" t="s">
        <v>47</v>
      </c>
      <c r="F204" s="134" t="s">
        <v>1054</v>
      </c>
      <c r="G204" s="134" t="s">
        <v>2127</v>
      </c>
      <c r="H204" t="str">
        <f t="shared" si="28"/>
        <v>Phillip Lindsay</v>
      </c>
      <c r="J204" s="135" t="s">
        <v>4087</v>
      </c>
      <c r="K204" s="134" t="s">
        <v>47</v>
      </c>
      <c r="L204" s="134" t="s">
        <v>1872</v>
      </c>
      <c r="M204" s="134" t="s">
        <v>2127</v>
      </c>
      <c r="N204" t="str">
        <f t="shared" si="29"/>
        <v>Nick Chubb</v>
      </c>
      <c r="W204" t="s">
        <v>1483</v>
      </c>
      <c r="X204" t="s">
        <v>4902</v>
      </c>
      <c r="Y204" t="str">
        <f t="shared" si="32"/>
        <v>Lamar Jackson</v>
      </c>
      <c r="Z204">
        <f>IF(AND(ISERROR(MATCH(Y204,'ROS Proj'!$A$2:$A$561,0)),LEFT(X204)&lt;&gt;"D"),Z203+1,Z203)</f>
        <v>0</v>
      </c>
    </row>
    <row r="205" spans="1:26" ht="15.75" thickBot="1" x14ac:dyDescent="0.3">
      <c r="A205" t="str">
        <f t="shared" si="30"/>
        <v>Antonio Callaway</v>
      </c>
      <c r="B205" t="str">
        <f t="shared" si="31"/>
        <v>WR57</v>
      </c>
      <c r="D205" s="135" t="s">
        <v>3479</v>
      </c>
      <c r="E205" s="134" t="s">
        <v>47</v>
      </c>
      <c r="F205" s="134" t="s">
        <v>1823</v>
      </c>
      <c r="G205" s="134" t="s">
        <v>2128</v>
      </c>
      <c r="H205" t="str">
        <f t="shared" si="28"/>
        <v>T.J. Yeldon</v>
      </c>
      <c r="J205" s="135" t="s">
        <v>4088</v>
      </c>
      <c r="K205" s="134" t="s">
        <v>47</v>
      </c>
      <c r="L205" s="134" t="s">
        <v>1050</v>
      </c>
      <c r="M205" s="134" t="s">
        <v>2128</v>
      </c>
      <c r="N205" t="str">
        <f t="shared" si="29"/>
        <v>Chris Ivory</v>
      </c>
      <c r="W205" t="s">
        <v>1419</v>
      </c>
      <c r="X205" t="s">
        <v>2006</v>
      </c>
      <c r="Y205" t="str">
        <f t="shared" si="32"/>
        <v>Antonio Callaway</v>
      </c>
      <c r="Z205">
        <f>IF(AND(ISERROR(MATCH(Y205,'ROS Proj'!$A$2:$A$561,0)),LEFT(X205)&lt;&gt;"D"),Z204+1,Z204)</f>
        <v>0</v>
      </c>
    </row>
    <row r="206" spans="1:26" ht="15.75" thickBot="1" x14ac:dyDescent="0.3">
      <c r="A206" t="str">
        <f t="shared" si="30"/>
        <v>Giants D/ST</v>
      </c>
      <c r="B206" t="str">
        <f t="shared" si="31"/>
        <v>DST22</v>
      </c>
      <c r="D206" s="135" t="s">
        <v>3480</v>
      </c>
      <c r="E206" s="134" t="s">
        <v>47</v>
      </c>
      <c r="F206" s="134" t="s">
        <v>1813</v>
      </c>
      <c r="G206" s="134" t="s">
        <v>2129</v>
      </c>
      <c r="H206" t="str">
        <f t="shared" si="28"/>
        <v>Mike Gillislee</v>
      </c>
      <c r="J206" s="135" t="s">
        <v>4089</v>
      </c>
      <c r="K206" s="134" t="s">
        <v>47</v>
      </c>
      <c r="L206" s="134" t="s">
        <v>1050</v>
      </c>
      <c r="M206" s="134" t="s">
        <v>2129</v>
      </c>
      <c r="N206" t="str">
        <f t="shared" si="29"/>
        <v>Marcus Murphy</v>
      </c>
      <c r="W206" t="s">
        <v>4885</v>
      </c>
      <c r="X206" t="s">
        <v>2269</v>
      </c>
      <c r="Y206" t="str">
        <f t="shared" si="32"/>
        <v>Giants D/ST</v>
      </c>
      <c r="Z206">
        <f>IF(AND(ISERROR(MATCH(Y206,'ROS Proj'!$A$2:$A$561,0)),LEFT(X206)&lt;&gt;"D"),Z205+1,Z205)</f>
        <v>0</v>
      </c>
    </row>
    <row r="207" spans="1:26" ht="15.75" thickBot="1" x14ac:dyDescent="0.3">
      <c r="A207" t="str">
        <f t="shared" si="30"/>
        <v>Bilal Powell</v>
      </c>
      <c r="B207" t="str">
        <f t="shared" si="31"/>
        <v>RB50</v>
      </c>
      <c r="D207" s="135" t="s">
        <v>3481</v>
      </c>
      <c r="E207" s="134" t="s">
        <v>47</v>
      </c>
      <c r="F207" s="134" t="s">
        <v>1890</v>
      </c>
      <c r="G207" s="134" t="s">
        <v>2130</v>
      </c>
      <c r="H207" t="str">
        <f t="shared" si="28"/>
        <v>Kenneth Dixon</v>
      </c>
      <c r="J207" s="135" t="s">
        <v>4090</v>
      </c>
      <c r="K207" s="134" t="s">
        <v>47</v>
      </c>
      <c r="L207" s="134" t="s">
        <v>1053</v>
      </c>
      <c r="M207" s="134" t="s">
        <v>2130</v>
      </c>
      <c r="N207" t="str">
        <f t="shared" si="29"/>
        <v>Frank Gore</v>
      </c>
      <c r="W207" t="s">
        <v>139</v>
      </c>
      <c r="X207" t="s">
        <v>2047</v>
      </c>
      <c r="Y207" t="str">
        <f t="shared" si="32"/>
        <v>Bilal Powell</v>
      </c>
      <c r="Z207">
        <f>IF(AND(ISERROR(MATCH(Y207,'ROS Proj'!$A$2:$A$561,0)),LEFT(X207)&lt;&gt;"D"),Z206+1,Z206)</f>
        <v>0</v>
      </c>
    </row>
    <row r="208" spans="1:26" ht="15.75" thickBot="1" x14ac:dyDescent="0.3">
      <c r="A208" t="str">
        <f t="shared" si="30"/>
        <v>Ryan Grant</v>
      </c>
      <c r="B208" t="str">
        <f t="shared" si="31"/>
        <v>WR58</v>
      </c>
      <c r="D208" s="135" t="s">
        <v>3482</v>
      </c>
      <c r="E208" s="134" t="s">
        <v>47</v>
      </c>
      <c r="F208" s="134" t="s">
        <v>1053</v>
      </c>
      <c r="G208" s="134" t="s">
        <v>2131</v>
      </c>
      <c r="H208" t="str">
        <f t="shared" si="28"/>
        <v>Frank Gore</v>
      </c>
      <c r="J208" s="135" t="s">
        <v>4091</v>
      </c>
      <c r="K208" s="134" t="s">
        <v>47</v>
      </c>
      <c r="L208" s="134" t="s">
        <v>1043</v>
      </c>
      <c r="M208" s="134" t="s">
        <v>2131</v>
      </c>
      <c r="N208" t="str">
        <f t="shared" si="29"/>
        <v>Alfred Blue</v>
      </c>
      <c r="W208" t="s">
        <v>381</v>
      </c>
      <c r="X208" t="s">
        <v>2007</v>
      </c>
      <c r="Y208" t="str">
        <f t="shared" si="32"/>
        <v>Ryan Grant</v>
      </c>
      <c r="Z208">
        <f>IF(AND(ISERROR(MATCH(Y208,'ROS Proj'!$A$2:$A$561,0)),LEFT(X208)&lt;&gt;"D"),Z207+1,Z207)</f>
        <v>0</v>
      </c>
    </row>
    <row r="209" spans="1:26" ht="15.75" thickBot="1" x14ac:dyDescent="0.3">
      <c r="A209" t="str">
        <f t="shared" si="30"/>
        <v>Charles Clay</v>
      </c>
      <c r="B209" t="str">
        <f t="shared" si="31"/>
        <v>TE23</v>
      </c>
      <c r="D209" s="135" t="s">
        <v>3483</v>
      </c>
      <c r="E209" s="134" t="s">
        <v>47</v>
      </c>
      <c r="F209" s="134" t="s">
        <v>815</v>
      </c>
      <c r="G209" s="134" t="s">
        <v>2132</v>
      </c>
      <c r="H209" t="str">
        <f t="shared" si="28"/>
        <v>Christine Michael</v>
      </c>
      <c r="J209" s="135" t="s">
        <v>4092</v>
      </c>
      <c r="K209" s="134" t="s">
        <v>47</v>
      </c>
      <c r="L209" s="134" t="s">
        <v>1043</v>
      </c>
      <c r="M209" s="134" t="s">
        <v>2132</v>
      </c>
      <c r="N209" t="str">
        <f t="shared" si="29"/>
        <v>D'Onta Foreman</v>
      </c>
      <c r="W209" t="s">
        <v>217</v>
      </c>
      <c r="X209" t="s">
        <v>2189</v>
      </c>
      <c r="Y209" t="str">
        <f t="shared" si="32"/>
        <v>Charles Clay</v>
      </c>
      <c r="Z209">
        <f>IF(AND(ISERROR(MATCH(Y209,'ROS Proj'!$A$2:$A$561,0)),LEFT(X209)&lt;&gt;"D"),Z208+1,Z208)</f>
        <v>0</v>
      </c>
    </row>
    <row r="210" spans="1:26" ht="15.75" thickBot="1" x14ac:dyDescent="0.3">
      <c r="A210" t="str">
        <f t="shared" si="30"/>
        <v>Jesse James</v>
      </c>
      <c r="B210" t="str">
        <f t="shared" si="31"/>
        <v>TE24</v>
      </c>
      <c r="D210" s="135" t="s">
        <v>3484</v>
      </c>
      <c r="E210" s="134" t="s">
        <v>47</v>
      </c>
      <c r="F210" s="134" t="s">
        <v>1043</v>
      </c>
      <c r="G210" s="134" t="s">
        <v>2133</v>
      </c>
      <c r="H210" t="str">
        <f t="shared" si="28"/>
        <v>Alfred Blue</v>
      </c>
      <c r="J210" s="135" t="s">
        <v>4093</v>
      </c>
      <c r="K210" s="134" t="s">
        <v>47</v>
      </c>
      <c r="L210" s="134" t="s">
        <v>1821</v>
      </c>
      <c r="M210" s="134" t="s">
        <v>2133</v>
      </c>
      <c r="N210" t="str">
        <f t="shared" si="29"/>
        <v>Spencer Ware</v>
      </c>
      <c r="W210" t="s">
        <v>299</v>
      </c>
      <c r="X210" t="s">
        <v>2191</v>
      </c>
      <c r="Y210" t="str">
        <f t="shared" si="32"/>
        <v>Jesse James</v>
      </c>
      <c r="Z210">
        <f>IF(AND(ISERROR(MATCH(Y210,'ROS Proj'!$A$2:$A$561,0)),LEFT(X210)&lt;&gt;"D"),Z209+1,Z209)</f>
        <v>0</v>
      </c>
    </row>
    <row r="211" spans="1:26" ht="15.75" thickBot="1" x14ac:dyDescent="0.3">
      <c r="A211" t="str">
        <f t="shared" si="30"/>
        <v>Sebastian Janikowski</v>
      </c>
      <c r="B211" t="str">
        <f t="shared" si="31"/>
        <v>K22</v>
      </c>
      <c r="D211" s="135" t="s">
        <v>2134</v>
      </c>
      <c r="E211" s="134" t="s">
        <v>114</v>
      </c>
      <c r="F211" s="134" t="s">
        <v>1052</v>
      </c>
      <c r="G211" s="134" t="s">
        <v>2135</v>
      </c>
      <c r="H211" t="str">
        <f t="shared" si="28"/>
        <v>Austin Hooper</v>
      </c>
      <c r="J211" s="135" t="s">
        <v>4094</v>
      </c>
      <c r="K211" s="134" t="s">
        <v>114</v>
      </c>
      <c r="L211" s="134" t="s">
        <v>1050</v>
      </c>
      <c r="M211" s="134" t="s">
        <v>2135</v>
      </c>
      <c r="N211" t="str">
        <f t="shared" si="29"/>
        <v>Charles Clay</v>
      </c>
      <c r="W211" t="s">
        <v>1216</v>
      </c>
      <c r="X211" t="s">
        <v>4906</v>
      </c>
      <c r="Y211" t="str">
        <f t="shared" si="32"/>
        <v>Sebastian Janikowski</v>
      </c>
      <c r="Z211">
        <f>IF(AND(ISERROR(MATCH(Y211,'ROS Proj'!$A$2:$A$561,0)),LEFT(X211)&lt;&gt;"D"),Z210+1,Z210)</f>
        <v>0</v>
      </c>
    </row>
    <row r="212" spans="1:26" ht="15.75" thickBot="1" x14ac:dyDescent="0.3">
      <c r="A212" t="str">
        <f t="shared" si="30"/>
        <v>Kelvin Benjamin</v>
      </c>
      <c r="B212" t="str">
        <f t="shared" si="31"/>
        <v>WR59</v>
      </c>
      <c r="D212" s="135" t="s">
        <v>3485</v>
      </c>
      <c r="E212" s="134" t="s">
        <v>114</v>
      </c>
      <c r="F212" s="134" t="s">
        <v>1870</v>
      </c>
      <c r="G212" s="134" t="s">
        <v>2136</v>
      </c>
      <c r="H212" t="str">
        <f t="shared" si="28"/>
        <v>Jared Cook</v>
      </c>
      <c r="J212" s="135" t="s">
        <v>4095</v>
      </c>
      <c r="K212" s="134" t="s">
        <v>114</v>
      </c>
      <c r="L212" s="134" t="s">
        <v>1845</v>
      </c>
      <c r="M212" s="134" t="s">
        <v>2136</v>
      </c>
      <c r="N212" t="str">
        <f t="shared" si="29"/>
        <v>Cameron Brate</v>
      </c>
      <c r="W212" t="s">
        <v>150</v>
      </c>
      <c r="X212" t="s">
        <v>2008</v>
      </c>
      <c r="Y212" t="str">
        <f t="shared" si="32"/>
        <v>Kelvin Benjamin</v>
      </c>
      <c r="Z212">
        <f>IF(AND(ISERROR(MATCH(Y212,'ROS Proj'!$A$2:$A$561,0)),LEFT(X212)&lt;&gt;"D"),Z211+1,Z211)</f>
        <v>0</v>
      </c>
    </row>
    <row r="213" spans="1:26" ht="15.75" thickBot="1" x14ac:dyDescent="0.3">
      <c r="A213" t="str">
        <f t="shared" si="30"/>
        <v>Alfred Morris</v>
      </c>
      <c r="B213" t="str">
        <f t="shared" si="31"/>
        <v>RB51</v>
      </c>
      <c r="D213" s="135" t="s">
        <v>2137</v>
      </c>
      <c r="E213" s="134" t="s">
        <v>15</v>
      </c>
      <c r="F213" s="134" t="s">
        <v>1042</v>
      </c>
      <c r="G213" s="134" t="s">
        <v>2138</v>
      </c>
      <c r="H213" t="str">
        <f t="shared" si="28"/>
        <v>Mitchell Trubisky</v>
      </c>
      <c r="J213" s="135" t="s">
        <v>4096</v>
      </c>
      <c r="K213" s="134" t="s">
        <v>15</v>
      </c>
      <c r="L213" s="134" t="s">
        <v>1887</v>
      </c>
      <c r="M213" s="134" t="s">
        <v>2138</v>
      </c>
      <c r="N213" t="str">
        <f t="shared" si="29"/>
        <v>Marcus Mariota</v>
      </c>
      <c r="W213" t="s">
        <v>212</v>
      </c>
      <c r="X213" t="s">
        <v>2048</v>
      </c>
      <c r="Y213" t="str">
        <f t="shared" si="32"/>
        <v>Alfred Morris</v>
      </c>
      <c r="Z213">
        <f>IF(AND(ISERROR(MATCH(Y213,'ROS Proj'!$A$2:$A$561,0)),LEFT(X213)&lt;&gt;"D"),Z212+1,Z212)</f>
        <v>0</v>
      </c>
    </row>
    <row r="214" spans="1:26" ht="15.75" thickBot="1" x14ac:dyDescent="0.3">
      <c r="A214" t="str">
        <f t="shared" si="30"/>
        <v>Cameron Meredith</v>
      </c>
      <c r="B214" t="str">
        <f t="shared" si="31"/>
        <v>WR60</v>
      </c>
      <c r="D214" s="135" t="s">
        <v>3486</v>
      </c>
      <c r="E214" s="134" t="s">
        <v>87</v>
      </c>
      <c r="F214" s="134" t="s">
        <v>1053</v>
      </c>
      <c r="G214" s="134" t="s">
        <v>2139</v>
      </c>
      <c r="H214" t="str">
        <f t="shared" si="28"/>
        <v>Albert Wilson</v>
      </c>
      <c r="J214" s="134" t="s">
        <v>4097</v>
      </c>
      <c r="K214" s="134" t="s">
        <v>87</v>
      </c>
      <c r="L214" s="134" t="s">
        <v>1890</v>
      </c>
      <c r="M214" s="134" t="s">
        <v>2139</v>
      </c>
      <c r="N214" t="str">
        <f t="shared" si="29"/>
        <v>Willie Snead</v>
      </c>
      <c r="W214" t="s">
        <v>1367</v>
      </c>
      <c r="X214" t="s">
        <v>2014</v>
      </c>
      <c r="Y214" t="str">
        <f t="shared" si="32"/>
        <v>Cameron Meredith</v>
      </c>
      <c r="Z214">
        <f>IF(AND(ISERROR(MATCH(Y214,'ROS Proj'!$A$2:$A$561,0)),LEFT(X214)&lt;&gt;"D"),Z213+1,Z213)</f>
        <v>0</v>
      </c>
    </row>
    <row r="215" spans="1:26" ht="15.75" thickBot="1" x14ac:dyDescent="0.3">
      <c r="A215" t="str">
        <f t="shared" si="30"/>
        <v>Steelers D/ST</v>
      </c>
      <c r="B215" t="str">
        <f t="shared" si="31"/>
        <v>DST23</v>
      </c>
      <c r="D215" s="135" t="s">
        <v>3487</v>
      </c>
      <c r="E215" s="134" t="s">
        <v>87</v>
      </c>
      <c r="F215" s="134" t="s">
        <v>1842</v>
      </c>
      <c r="G215" s="134" t="s">
        <v>2140</v>
      </c>
      <c r="H215" t="str">
        <f t="shared" si="28"/>
        <v>Geronimo Allison</v>
      </c>
      <c r="J215" s="135" t="s">
        <v>4098</v>
      </c>
      <c r="K215" s="134" t="s">
        <v>87</v>
      </c>
      <c r="L215" s="134" t="s">
        <v>1041</v>
      </c>
      <c r="M215" s="134" t="s">
        <v>2140</v>
      </c>
      <c r="N215" t="str">
        <f t="shared" si="29"/>
        <v>Tyrell Williams</v>
      </c>
      <c r="W215" t="s">
        <v>4886</v>
      </c>
      <c r="X215" t="s">
        <v>4907</v>
      </c>
      <c r="Y215" t="str">
        <f t="shared" si="32"/>
        <v>Steelers D/ST</v>
      </c>
      <c r="Z215">
        <f>IF(AND(ISERROR(MATCH(Y215,'ROS Proj'!$A$2:$A$561,0)),LEFT(X215)&lt;&gt;"D"),Z214+1,Z214)</f>
        <v>0</v>
      </c>
    </row>
    <row r="216" spans="1:26" ht="15.75" thickBot="1" x14ac:dyDescent="0.3">
      <c r="A216" t="str">
        <f t="shared" si="30"/>
        <v>Steven Hauschka</v>
      </c>
      <c r="B216" t="str">
        <f t="shared" si="31"/>
        <v>K23</v>
      </c>
      <c r="D216" s="135" t="s">
        <v>3488</v>
      </c>
      <c r="E216" s="134" t="s">
        <v>87</v>
      </c>
      <c r="F216" s="134" t="s">
        <v>1044</v>
      </c>
      <c r="G216" s="134" t="s">
        <v>2141</v>
      </c>
      <c r="H216" t="str">
        <f t="shared" si="28"/>
        <v>Cole Beasley</v>
      </c>
      <c r="J216" s="135" t="s">
        <v>4099</v>
      </c>
      <c r="K216" s="134" t="s">
        <v>87</v>
      </c>
      <c r="L216" s="134" t="s">
        <v>1865</v>
      </c>
      <c r="M216" s="134" t="s">
        <v>2141</v>
      </c>
      <c r="N216" t="str">
        <f t="shared" si="29"/>
        <v>Brandon Marshall</v>
      </c>
      <c r="W216" t="s">
        <v>4890</v>
      </c>
      <c r="X216" t="s">
        <v>4908</v>
      </c>
      <c r="Y216" t="str">
        <f t="shared" si="32"/>
        <v>Steven Hauschka</v>
      </c>
      <c r="Z216">
        <f>IF(AND(ISERROR(MATCH(Y216,'ROS Proj'!$A$2:$A$561,0)),LEFT(X216)&lt;&gt;"D"),Z215+1,Z215)</f>
        <v>1</v>
      </c>
    </row>
    <row r="217" spans="1:26" ht="15.75" thickBot="1" x14ac:dyDescent="0.3">
      <c r="A217" t="str">
        <f t="shared" si="30"/>
        <v>Latavius Murray</v>
      </c>
      <c r="B217" t="str">
        <f t="shared" si="31"/>
        <v>RB52</v>
      </c>
      <c r="D217" s="135" t="s">
        <v>3489</v>
      </c>
      <c r="E217" s="134" t="s">
        <v>87</v>
      </c>
      <c r="F217" s="134" t="s">
        <v>1813</v>
      </c>
      <c r="G217" s="134" t="s">
        <v>2142</v>
      </c>
      <c r="H217" t="str">
        <f t="shared" si="28"/>
        <v>Ted Ginn Jr.</v>
      </c>
      <c r="J217" s="135" t="s">
        <v>4100</v>
      </c>
      <c r="K217" s="134" t="s">
        <v>87</v>
      </c>
      <c r="L217" s="134" t="s">
        <v>1839</v>
      </c>
      <c r="M217" s="134" t="s">
        <v>2142</v>
      </c>
      <c r="N217" t="str">
        <f t="shared" si="29"/>
        <v>Phillip Dorsett</v>
      </c>
      <c r="W217" t="s">
        <v>187</v>
      </c>
      <c r="X217" t="s">
        <v>2049</v>
      </c>
      <c r="Y217" t="str">
        <f t="shared" si="32"/>
        <v>Latavius Murray</v>
      </c>
      <c r="Z217">
        <f>IF(AND(ISERROR(MATCH(Y217,'ROS Proj'!$A$2:$A$561,0)),LEFT(X217)&lt;&gt;"D"),Z216+1,Z216)</f>
        <v>1</v>
      </c>
    </row>
    <row r="218" spans="1:26" ht="15.75" thickBot="1" x14ac:dyDescent="0.3">
      <c r="A218" t="str">
        <f t="shared" si="30"/>
        <v>Darren Sproles</v>
      </c>
      <c r="B218" t="str">
        <f t="shared" si="31"/>
        <v>RB53</v>
      </c>
      <c r="D218" s="135" t="s">
        <v>3490</v>
      </c>
      <c r="E218" s="134" t="s">
        <v>87</v>
      </c>
      <c r="F218" s="134" t="s">
        <v>1834</v>
      </c>
      <c r="G218" s="134" t="s">
        <v>2143</v>
      </c>
      <c r="H218" t="str">
        <f t="shared" si="28"/>
        <v>Tyler Boyd</v>
      </c>
      <c r="J218" s="135" t="s">
        <v>4101</v>
      </c>
      <c r="K218" s="134" t="s">
        <v>87</v>
      </c>
      <c r="L218" s="134" t="s">
        <v>1887</v>
      </c>
      <c r="M218" s="134" t="s">
        <v>2143</v>
      </c>
      <c r="N218" t="str">
        <f t="shared" si="29"/>
        <v>Tajae Sharpe</v>
      </c>
      <c r="W218" t="s">
        <v>1122</v>
      </c>
      <c r="X218" t="s">
        <v>2050</v>
      </c>
      <c r="Y218" t="str">
        <f t="shared" si="32"/>
        <v>Darren Sproles</v>
      </c>
      <c r="Z218">
        <f>IF(AND(ISERROR(MATCH(Y218,'ROS Proj'!$A$2:$A$561,0)),LEFT(X218)&lt;&gt;"D"),Z217+1,Z217)</f>
        <v>1</v>
      </c>
    </row>
    <row r="219" spans="1:26" ht="15.75" thickBot="1" x14ac:dyDescent="0.3">
      <c r="A219" t="str">
        <f t="shared" si="30"/>
        <v>Tyrod Taylor</v>
      </c>
      <c r="B219" t="str">
        <f t="shared" si="31"/>
        <v>QB35</v>
      </c>
      <c r="D219" s="135" t="s">
        <v>3491</v>
      </c>
      <c r="E219" s="134" t="s">
        <v>87</v>
      </c>
      <c r="F219" s="134" t="s">
        <v>1806</v>
      </c>
      <c r="G219" s="134" t="s">
        <v>2144</v>
      </c>
      <c r="H219" t="str">
        <f t="shared" si="28"/>
        <v>Chad Williams</v>
      </c>
      <c r="J219" s="135" t="s">
        <v>4102</v>
      </c>
      <c r="K219" s="134" t="s">
        <v>87</v>
      </c>
      <c r="L219" s="134" t="s">
        <v>1831</v>
      </c>
      <c r="M219" s="134" t="s">
        <v>2144</v>
      </c>
      <c r="N219" t="str">
        <f t="shared" si="29"/>
        <v>DJ Moore</v>
      </c>
      <c r="W219" t="s">
        <v>68</v>
      </c>
      <c r="X219" t="s">
        <v>4905</v>
      </c>
      <c r="Y219" t="str">
        <f t="shared" si="32"/>
        <v>Tyrod Taylor</v>
      </c>
      <c r="Z219">
        <f>IF(AND(ISERROR(MATCH(Y219,'ROS Proj'!$A$2:$A$561,0)),LEFT(X219)&lt;&gt;"D"),Z218+1,Z218)</f>
        <v>1</v>
      </c>
    </row>
    <row r="220" spans="1:26" ht="15.75" thickBot="1" x14ac:dyDescent="0.3">
      <c r="A220" t="str">
        <f t="shared" si="30"/>
        <v>Dede Westbrook</v>
      </c>
      <c r="B220" t="str">
        <f t="shared" si="31"/>
        <v>WR61</v>
      </c>
      <c r="D220" s="135" t="s">
        <v>2145</v>
      </c>
      <c r="E220" s="134" t="s">
        <v>15</v>
      </c>
      <c r="F220" s="134" t="s">
        <v>1834</v>
      </c>
      <c r="G220" s="134" t="s">
        <v>2146</v>
      </c>
      <c r="H220" t="str">
        <f t="shared" si="28"/>
        <v>Andy Dalton</v>
      </c>
      <c r="J220" s="135" t="s">
        <v>2145</v>
      </c>
      <c r="K220" s="134" t="s">
        <v>15</v>
      </c>
      <c r="L220" s="134" t="s">
        <v>1834</v>
      </c>
      <c r="M220" s="134" t="s">
        <v>2146</v>
      </c>
      <c r="N220" t="str">
        <f t="shared" si="29"/>
        <v>Andy Dalton</v>
      </c>
      <c r="W220" t="s">
        <v>1211</v>
      </c>
      <c r="X220" t="s">
        <v>2015</v>
      </c>
      <c r="Y220" t="str">
        <f t="shared" si="32"/>
        <v>Dede Westbrook</v>
      </c>
      <c r="Z220">
        <f>IF(AND(ISERROR(MATCH(Y220,'ROS Proj'!$A$2:$A$561,0)),LEFT(X220)&lt;&gt;"D"),Z219+1,Z219)</f>
        <v>1</v>
      </c>
    </row>
    <row r="221" spans="1:26" ht="15.75" thickBot="1" x14ac:dyDescent="0.3">
      <c r="A221" t="str">
        <f t="shared" si="30"/>
        <v>Theo Riddick</v>
      </c>
      <c r="B221" t="str">
        <f t="shared" si="31"/>
        <v>RB54</v>
      </c>
      <c r="D221" s="135" t="s">
        <v>2147</v>
      </c>
      <c r="E221" s="134" t="s">
        <v>15</v>
      </c>
      <c r="F221" s="134" t="s">
        <v>1053</v>
      </c>
      <c r="G221" s="134" t="s">
        <v>2148</v>
      </c>
      <c r="H221" t="str">
        <f t="shared" si="28"/>
        <v>Ryan Tannehill</v>
      </c>
      <c r="J221" s="135" t="s">
        <v>2147</v>
      </c>
      <c r="K221" s="134" t="s">
        <v>15</v>
      </c>
      <c r="L221" s="134" t="s">
        <v>1053</v>
      </c>
      <c r="M221" s="134" t="s">
        <v>2148</v>
      </c>
      <c r="N221" t="str">
        <f t="shared" si="29"/>
        <v>Ryan Tannehill</v>
      </c>
      <c r="W221" t="s">
        <v>155</v>
      </c>
      <c r="X221" t="s">
        <v>2051</v>
      </c>
      <c r="Y221" t="str">
        <f t="shared" si="32"/>
        <v>Theo Riddick</v>
      </c>
      <c r="Z221">
        <f>IF(AND(ISERROR(MATCH(Y221,'ROS Proj'!$A$2:$A$561,0)),LEFT(X221)&lt;&gt;"D"),Z220+1,Z220)</f>
        <v>1</v>
      </c>
    </row>
    <row r="222" spans="1:26" ht="15.75" thickBot="1" x14ac:dyDescent="0.3">
      <c r="A222" t="str">
        <f t="shared" si="30"/>
        <v>Ted Ginn Jr.</v>
      </c>
      <c r="B222" t="str">
        <f t="shared" si="31"/>
        <v>WR62</v>
      </c>
      <c r="D222" s="134" t="s">
        <v>2149</v>
      </c>
      <c r="E222" s="134" t="s">
        <v>2054</v>
      </c>
      <c r="F222" s="134" t="s">
        <v>1831</v>
      </c>
      <c r="G222" s="134" t="s">
        <v>2150</v>
      </c>
      <c r="H222" t="str">
        <f t="shared" si="28"/>
        <v>Panthers D/ST</v>
      </c>
      <c r="J222" s="134" t="s">
        <v>2149</v>
      </c>
      <c r="K222" s="134" t="s">
        <v>2054</v>
      </c>
      <c r="L222" s="134" t="s">
        <v>1831</v>
      </c>
      <c r="M222" s="134" t="s">
        <v>2150</v>
      </c>
      <c r="N222" t="str">
        <f t="shared" si="29"/>
        <v>Panthers D/ST</v>
      </c>
      <c r="W222" t="s">
        <v>2550</v>
      </c>
      <c r="X222" t="s">
        <v>2016</v>
      </c>
      <c r="Y222" t="str">
        <f t="shared" si="32"/>
        <v>Ted Ginn Jr.</v>
      </c>
      <c r="Z222">
        <f>IF(AND(ISERROR(MATCH(Y222,'ROS Proj'!$A$2:$A$561,0)),LEFT(X222)&lt;&gt;"D"),Z221+1,Z221)</f>
        <v>1</v>
      </c>
    </row>
    <row r="223" spans="1:26" ht="15.75" thickBot="1" x14ac:dyDescent="0.3">
      <c r="A223" t="str">
        <f t="shared" si="30"/>
        <v>Keke Coutee</v>
      </c>
      <c r="B223" t="str">
        <f t="shared" si="31"/>
        <v>WR63</v>
      </c>
      <c r="D223" s="134" t="s">
        <v>2151</v>
      </c>
      <c r="E223" s="134" t="s">
        <v>2054</v>
      </c>
      <c r="F223" s="134" t="s">
        <v>1045</v>
      </c>
      <c r="G223" s="134" t="s">
        <v>2152</v>
      </c>
      <c r="H223" t="str">
        <f t="shared" si="28"/>
        <v>Redskins D/ST</v>
      </c>
      <c r="J223" s="134" t="s">
        <v>2151</v>
      </c>
      <c r="K223" s="134" t="s">
        <v>2054</v>
      </c>
      <c r="L223" s="134" t="s">
        <v>1045</v>
      </c>
      <c r="M223" s="134" t="s">
        <v>2152</v>
      </c>
      <c r="N223" t="str">
        <f t="shared" si="29"/>
        <v>Redskins D/ST</v>
      </c>
      <c r="W223" t="s">
        <v>4899</v>
      </c>
      <c r="X223" t="s">
        <v>2017</v>
      </c>
      <c r="Y223" t="str">
        <f t="shared" si="32"/>
        <v>Keke Coutee</v>
      </c>
      <c r="Z223">
        <f>IF(AND(ISERROR(MATCH(Y223,'ROS Proj'!$A$2:$A$561,0)),LEFT(X223)&lt;&gt;"D"),Z222+1,Z222)</f>
        <v>1</v>
      </c>
    </row>
    <row r="224" spans="1:26" ht="15.75" thickBot="1" x14ac:dyDescent="0.3">
      <c r="A224" t="str">
        <f t="shared" si="30"/>
        <v>Ka'imi Fairbairn</v>
      </c>
      <c r="B224" t="str">
        <f t="shared" si="31"/>
        <v>K24</v>
      </c>
      <c r="D224" s="135" t="s">
        <v>2153</v>
      </c>
      <c r="E224" s="134" t="s">
        <v>478</v>
      </c>
      <c r="F224" s="134" t="s">
        <v>1887</v>
      </c>
      <c r="G224" s="134" t="s">
        <v>2154</v>
      </c>
      <c r="H224" t="str">
        <f t="shared" si="28"/>
        <v>Ryan Succop</v>
      </c>
      <c r="J224" s="135" t="s">
        <v>2153</v>
      </c>
      <c r="K224" s="134" t="s">
        <v>478</v>
      </c>
      <c r="L224" s="134" t="s">
        <v>1887</v>
      </c>
      <c r="M224" s="134" t="s">
        <v>2154</v>
      </c>
      <c r="N224" t="str">
        <f t="shared" si="29"/>
        <v>Ryan Succop</v>
      </c>
      <c r="W224" t="s">
        <v>999</v>
      </c>
      <c r="X224" t="s">
        <v>4910</v>
      </c>
      <c r="Y224" t="str">
        <f t="shared" si="32"/>
        <v>Ka'imi Fairbairn</v>
      </c>
      <c r="Z224">
        <f>IF(AND(ISERROR(MATCH(Y224,'ROS Proj'!$A$2:$A$561,0)),LEFT(X224)&lt;&gt;"D"),Z223+1,Z223)</f>
        <v>1</v>
      </c>
    </row>
    <row r="225" spans="1:26" ht="15.75" thickBot="1" x14ac:dyDescent="0.3">
      <c r="A225" t="str">
        <f t="shared" si="30"/>
        <v>C.J. Anderson</v>
      </c>
      <c r="B225" t="str">
        <f t="shared" si="31"/>
        <v>RB55</v>
      </c>
      <c r="D225" s="135" t="s">
        <v>2155</v>
      </c>
      <c r="E225" s="134" t="s">
        <v>478</v>
      </c>
      <c r="F225" s="134" t="s">
        <v>1048</v>
      </c>
      <c r="G225" s="134" t="s">
        <v>2156</v>
      </c>
      <c r="H225" t="str">
        <f t="shared" si="28"/>
        <v>Daniel Carlson</v>
      </c>
      <c r="J225" s="135" t="s">
        <v>2155</v>
      </c>
      <c r="K225" s="134" t="s">
        <v>478</v>
      </c>
      <c r="L225" s="134" t="s">
        <v>1048</v>
      </c>
      <c r="M225" s="134" t="s">
        <v>2156</v>
      </c>
      <c r="N225" t="str">
        <f t="shared" si="29"/>
        <v>Daniel Carlson</v>
      </c>
      <c r="W225" t="s">
        <v>131</v>
      </c>
      <c r="X225" t="s">
        <v>2052</v>
      </c>
      <c r="Y225" t="str">
        <f t="shared" si="32"/>
        <v>C.J. Anderson</v>
      </c>
      <c r="Z225">
        <f>IF(AND(ISERROR(MATCH(Y225,'ROS Proj'!$A$2:$A$561,0)),LEFT(X225)&lt;&gt;"D"),Z224+1,Z224)</f>
        <v>1</v>
      </c>
    </row>
    <row r="226" spans="1:26" ht="15.75" thickBot="1" x14ac:dyDescent="0.3">
      <c r="A226" t="str">
        <f t="shared" si="30"/>
        <v>Chad Kelly</v>
      </c>
      <c r="B226" t="str">
        <f t="shared" si="31"/>
        <v>QB36</v>
      </c>
      <c r="D226" s="134" t="s">
        <v>3492</v>
      </c>
      <c r="E226" s="134" t="s">
        <v>87</v>
      </c>
      <c r="F226" s="134" t="s">
        <v>1890</v>
      </c>
      <c r="G226" s="134" t="s">
        <v>2157</v>
      </c>
      <c r="H226" t="str">
        <f t="shared" si="28"/>
        <v>Willie Snead</v>
      </c>
      <c r="J226" s="135" t="s">
        <v>4103</v>
      </c>
      <c r="K226" s="134" t="s">
        <v>87</v>
      </c>
      <c r="L226" s="134" t="s">
        <v>1909</v>
      </c>
      <c r="M226" s="134" t="s">
        <v>2157</v>
      </c>
      <c r="N226" t="str">
        <f t="shared" si="29"/>
        <v>Dante Pettis</v>
      </c>
      <c r="W226" t="s">
        <v>4893</v>
      </c>
      <c r="X226" t="s">
        <v>4909</v>
      </c>
      <c r="Y226" t="str">
        <f t="shared" si="32"/>
        <v>Chad Kelly</v>
      </c>
      <c r="Z226">
        <f>IF(AND(ISERROR(MATCH(Y226,'ROS Proj'!$A$2:$A$561,0)),LEFT(X226)&lt;&gt;"D"),Z225+1,Z225)</f>
        <v>2</v>
      </c>
    </row>
    <row r="227" spans="1:26" ht="15.75" thickBot="1" x14ac:dyDescent="0.3">
      <c r="A227" t="str">
        <f t="shared" si="30"/>
        <v>Dustin Hopkins</v>
      </c>
      <c r="B227" t="str">
        <f t="shared" si="31"/>
        <v>K25</v>
      </c>
      <c r="D227" s="135" t="s">
        <v>3493</v>
      </c>
      <c r="E227" s="134" t="s">
        <v>87</v>
      </c>
      <c r="F227" s="134" t="s">
        <v>1041</v>
      </c>
      <c r="G227" s="134" t="s">
        <v>2158</v>
      </c>
      <c r="H227" t="str">
        <f t="shared" si="28"/>
        <v>Tyrell Williams</v>
      </c>
      <c r="J227" s="135" t="s">
        <v>4104</v>
      </c>
      <c r="K227" s="134" t="s">
        <v>87</v>
      </c>
      <c r="L227" s="134" t="s">
        <v>1040</v>
      </c>
      <c r="M227" s="134" t="s">
        <v>2158</v>
      </c>
      <c r="N227" t="str">
        <f t="shared" si="29"/>
        <v>James Washington</v>
      </c>
      <c r="W227" t="s">
        <v>1120</v>
      </c>
      <c r="X227" t="s">
        <v>4911</v>
      </c>
      <c r="Y227" t="str">
        <f t="shared" si="32"/>
        <v>Dustin Hopkins</v>
      </c>
      <c r="Z227">
        <f>IF(AND(ISERROR(MATCH(Y227,'ROS Proj'!$A$2:$A$561,0)),LEFT(X227)&lt;&gt;"D"),Z226+1,Z226)</f>
        <v>2</v>
      </c>
    </row>
    <row r="228" spans="1:26" ht="15.75" thickBot="1" x14ac:dyDescent="0.3">
      <c r="A228" t="str">
        <f t="shared" si="30"/>
        <v>Nick Foles</v>
      </c>
      <c r="B228" t="str">
        <f t="shared" si="31"/>
        <v>QB37</v>
      </c>
      <c r="D228" s="135" t="s">
        <v>3494</v>
      </c>
      <c r="E228" s="134" t="s">
        <v>87</v>
      </c>
      <c r="F228" s="134" t="s">
        <v>1044</v>
      </c>
      <c r="G228" s="134" t="s">
        <v>2160</v>
      </c>
      <c r="H228" t="str">
        <f t="shared" si="28"/>
        <v>Terrance Williams</v>
      </c>
      <c r="J228" s="135" t="s">
        <v>4105</v>
      </c>
      <c r="K228" s="134" t="s">
        <v>87</v>
      </c>
      <c r="L228" s="134" t="s">
        <v>1806</v>
      </c>
      <c r="M228" s="134" t="s">
        <v>2160</v>
      </c>
      <c r="N228" t="str">
        <f t="shared" si="29"/>
        <v>Christian Kirk</v>
      </c>
      <c r="W228" t="s">
        <v>344</v>
      </c>
      <c r="X228" t="s">
        <v>4913</v>
      </c>
      <c r="Y228" t="str">
        <f t="shared" si="32"/>
        <v>Nick Foles</v>
      </c>
      <c r="Z228">
        <f>IF(AND(ISERROR(MATCH(Y228,'ROS Proj'!$A$2:$A$561,0)),LEFT(X228)&lt;&gt;"D"),Z227+1,Z227)</f>
        <v>2</v>
      </c>
    </row>
    <row r="229" spans="1:26" ht="15.75" thickBot="1" x14ac:dyDescent="0.3">
      <c r="A229" t="str">
        <f t="shared" si="30"/>
        <v>Pierre Garcon</v>
      </c>
      <c r="B229" t="str">
        <f t="shared" si="31"/>
        <v>WR64</v>
      </c>
      <c r="D229" s="135" t="s">
        <v>2161</v>
      </c>
      <c r="E229" s="134" t="s">
        <v>87</v>
      </c>
      <c r="F229" s="134" t="s">
        <v>1865</v>
      </c>
      <c r="G229" s="134" t="s">
        <v>2162</v>
      </c>
      <c r="H229" t="str">
        <f t="shared" si="28"/>
        <v>Brandon Marshall</v>
      </c>
      <c r="J229" s="135" t="s">
        <v>4106</v>
      </c>
      <c r="K229" s="134" t="s">
        <v>87</v>
      </c>
      <c r="L229" s="134" t="s">
        <v>1053</v>
      </c>
      <c r="M229" s="134" t="s">
        <v>2162</v>
      </c>
      <c r="N229" t="str">
        <f t="shared" si="29"/>
        <v>Albert Wilson</v>
      </c>
      <c r="W229" t="s">
        <v>160</v>
      </c>
      <c r="X229" t="s">
        <v>2034</v>
      </c>
      <c r="Y229" t="str">
        <f t="shared" si="32"/>
        <v>Pierre Garcon</v>
      </c>
      <c r="Z229">
        <f>IF(AND(ISERROR(MATCH(Y229,'ROS Proj'!$A$2:$A$561,0)),LEFT(X229)&lt;&gt;"D"),Z228+1,Z228)</f>
        <v>2</v>
      </c>
    </row>
    <row r="230" spans="1:26" ht="15.75" thickBot="1" x14ac:dyDescent="0.3">
      <c r="A230" t="str">
        <f t="shared" si="30"/>
        <v>Rod Smith</v>
      </c>
      <c r="B230" t="str">
        <f t="shared" si="31"/>
        <v>RB56</v>
      </c>
      <c r="D230" s="135" t="s">
        <v>2163</v>
      </c>
      <c r="E230" s="134" t="s">
        <v>87</v>
      </c>
      <c r="F230" s="134" t="s">
        <v>1041</v>
      </c>
      <c r="G230" s="134" t="s">
        <v>2164</v>
      </c>
      <c r="H230" t="str">
        <f t="shared" ref="H230:H293" si="33">RIGHT(D230,LEN(D230)-5)</f>
        <v>Travis Benjamin</v>
      </c>
      <c r="J230" s="135" t="s">
        <v>4107</v>
      </c>
      <c r="K230" s="134" t="s">
        <v>87</v>
      </c>
      <c r="L230" s="134" t="s">
        <v>1806</v>
      </c>
      <c r="M230" s="134" t="s">
        <v>2164</v>
      </c>
      <c r="N230" t="str">
        <f t="shared" ref="N230:N293" si="34">RIGHT(J230,LEN(J230)-5)</f>
        <v>Chad Williams</v>
      </c>
      <c r="W230" t="s">
        <v>388</v>
      </c>
      <c r="X230" t="s">
        <v>2062</v>
      </c>
      <c r="Y230" t="str">
        <f t="shared" si="32"/>
        <v>Rod Smith</v>
      </c>
      <c r="Z230">
        <f>IF(AND(ISERROR(MATCH(Y230,'ROS Proj'!$A$2:$A$561,0)),LEFT(X230)&lt;&gt;"D"),Z229+1,Z229)</f>
        <v>2</v>
      </c>
    </row>
    <row r="231" spans="1:26" ht="15.75" thickBot="1" x14ac:dyDescent="0.3">
      <c r="A231" t="str">
        <f t="shared" si="30"/>
        <v>Sam Ficken</v>
      </c>
      <c r="B231" t="str">
        <f t="shared" si="31"/>
        <v>K26</v>
      </c>
      <c r="D231" s="135" t="s">
        <v>2165</v>
      </c>
      <c r="E231" s="134" t="s">
        <v>87</v>
      </c>
      <c r="F231" s="134" t="s">
        <v>1813</v>
      </c>
      <c r="G231" s="134" t="s">
        <v>2166</v>
      </c>
      <c r="H231" t="str">
        <f t="shared" si="33"/>
        <v>Tre'Quan Smith</v>
      </c>
      <c r="J231" s="135" t="s">
        <v>4108</v>
      </c>
      <c r="K231" s="134" t="s">
        <v>87</v>
      </c>
      <c r="L231" s="134" t="s">
        <v>1813</v>
      </c>
      <c r="M231" s="134" t="s">
        <v>2166</v>
      </c>
      <c r="N231" t="str">
        <f t="shared" si="34"/>
        <v>Austin Carr</v>
      </c>
      <c r="W231" t="s">
        <v>3892</v>
      </c>
      <c r="X231" t="s">
        <v>4915</v>
      </c>
      <c r="Y231" t="str">
        <f t="shared" si="32"/>
        <v>Sam Ficken</v>
      </c>
      <c r="Z231">
        <f>IF(AND(ISERROR(MATCH(Y231,'ROS Proj'!$A$2:$A$561,0)),LEFT(X231)&lt;&gt;"D"),Z230+1,Z230)</f>
        <v>3</v>
      </c>
    </row>
    <row r="232" spans="1:26" ht="15.75" thickBot="1" x14ac:dyDescent="0.3">
      <c r="A232" t="str">
        <f t="shared" si="30"/>
        <v>Jonnu Smith</v>
      </c>
      <c r="B232" t="str">
        <f t="shared" si="31"/>
        <v>TE25</v>
      </c>
      <c r="D232" s="135" t="s">
        <v>2167</v>
      </c>
      <c r="E232" s="134" t="s">
        <v>87</v>
      </c>
      <c r="F232" s="134" t="s">
        <v>1823</v>
      </c>
      <c r="G232" s="134" t="s">
        <v>2168</v>
      </c>
      <c r="H232" t="str">
        <f t="shared" si="33"/>
        <v>D.J. Chark</v>
      </c>
      <c r="J232" s="135" t="s">
        <v>4109</v>
      </c>
      <c r="K232" s="134" t="s">
        <v>87</v>
      </c>
      <c r="L232" s="134" t="s">
        <v>1041</v>
      </c>
      <c r="M232" s="134" t="s">
        <v>2168</v>
      </c>
      <c r="N232" t="str">
        <f t="shared" si="34"/>
        <v>Travis Benjamin</v>
      </c>
      <c r="W232" t="s">
        <v>1495</v>
      </c>
      <c r="X232" t="s">
        <v>2192</v>
      </c>
      <c r="Y232" t="str">
        <f t="shared" si="32"/>
        <v>Jonnu Smith</v>
      </c>
      <c r="Z232">
        <f>IF(AND(ISERROR(MATCH(Y232,'ROS Proj'!$A$2:$A$561,0)),LEFT(X232)&lt;&gt;"D"),Z231+1,Z231)</f>
        <v>3</v>
      </c>
    </row>
    <row r="233" spans="1:26" ht="15.75" thickBot="1" x14ac:dyDescent="0.3">
      <c r="A233" t="str">
        <f t="shared" si="30"/>
        <v>Nick Chubb</v>
      </c>
      <c r="B233" t="str">
        <f t="shared" si="31"/>
        <v>RB57</v>
      </c>
      <c r="D233" s="135" t="s">
        <v>3495</v>
      </c>
      <c r="E233" s="134" t="s">
        <v>87</v>
      </c>
      <c r="F233" s="134" t="s">
        <v>1839</v>
      </c>
      <c r="G233" s="134" t="s">
        <v>2169</v>
      </c>
      <c r="H233" t="str">
        <f t="shared" si="33"/>
        <v>Phillip Dorsett</v>
      </c>
      <c r="J233" s="134" t="s">
        <v>4110</v>
      </c>
      <c r="K233" s="134" t="s">
        <v>87</v>
      </c>
      <c r="L233" s="134" t="s">
        <v>1823</v>
      </c>
      <c r="M233" s="134" t="s">
        <v>2169</v>
      </c>
      <c r="N233" t="str">
        <f t="shared" si="34"/>
        <v>D.J. Chark</v>
      </c>
      <c r="W233" t="s">
        <v>1366</v>
      </c>
      <c r="X233" t="s">
        <v>2070</v>
      </c>
      <c r="Y233" t="str">
        <f t="shared" si="32"/>
        <v>Nick Chubb</v>
      </c>
      <c r="Z233">
        <f>IF(AND(ISERROR(MATCH(Y233,'ROS Proj'!$A$2:$A$561,0)),LEFT(X233)&lt;&gt;"D"),Z232+1,Z232)</f>
        <v>3</v>
      </c>
    </row>
    <row r="234" spans="1:26" ht="15.75" thickBot="1" x14ac:dyDescent="0.3">
      <c r="A234" t="str">
        <f t="shared" si="30"/>
        <v>Christian Kirk</v>
      </c>
      <c r="B234" t="str">
        <f t="shared" si="31"/>
        <v>WR65</v>
      </c>
      <c r="D234" s="135" t="s">
        <v>3496</v>
      </c>
      <c r="E234" s="134" t="s">
        <v>87</v>
      </c>
      <c r="F234" s="134" t="s">
        <v>1839</v>
      </c>
      <c r="G234" s="134" t="s">
        <v>2170</v>
      </c>
      <c r="H234" t="str">
        <f t="shared" si="33"/>
        <v>Cordarrelle Patterson</v>
      </c>
      <c r="J234" s="135" t="s">
        <v>4111</v>
      </c>
      <c r="K234" s="134" t="s">
        <v>87</v>
      </c>
      <c r="L234" s="134" t="s">
        <v>1813</v>
      </c>
      <c r="M234" s="134" t="s">
        <v>2170</v>
      </c>
      <c r="N234" t="str">
        <f t="shared" si="34"/>
        <v>Tre'Quan Smith</v>
      </c>
      <c r="W234" t="s">
        <v>1397</v>
      </c>
      <c r="X234" t="s">
        <v>2036</v>
      </c>
      <c r="Y234" t="str">
        <f t="shared" si="32"/>
        <v>Christian Kirk</v>
      </c>
      <c r="Z234">
        <f>IF(AND(ISERROR(MATCH(Y234,'ROS Proj'!$A$2:$A$561,0)),LEFT(X234)&lt;&gt;"D"),Z233+1,Z233)</f>
        <v>3</v>
      </c>
    </row>
    <row r="235" spans="1:26" ht="15.75" thickBot="1" x14ac:dyDescent="0.3">
      <c r="A235" t="str">
        <f t="shared" si="30"/>
        <v>Dallas Goedert</v>
      </c>
      <c r="B235" t="str">
        <f t="shared" si="31"/>
        <v>TE26</v>
      </c>
      <c r="D235" s="135" t="s">
        <v>3497</v>
      </c>
      <c r="E235" s="134" t="s">
        <v>87</v>
      </c>
      <c r="F235" s="134" t="s">
        <v>1935</v>
      </c>
      <c r="G235" s="134" t="s">
        <v>2171</v>
      </c>
      <c r="H235" t="str">
        <f t="shared" si="33"/>
        <v>Terrelle Pryor Sr.</v>
      </c>
      <c r="J235" s="135" t="s">
        <v>4112</v>
      </c>
      <c r="K235" s="134" t="s">
        <v>87</v>
      </c>
      <c r="L235" s="134" t="s">
        <v>1839</v>
      </c>
      <c r="M235" s="134" t="s">
        <v>2171</v>
      </c>
      <c r="N235" t="str">
        <f t="shared" si="34"/>
        <v>Cordarrelle Patterson</v>
      </c>
      <c r="W235" t="s">
        <v>1478</v>
      </c>
      <c r="X235" t="s">
        <v>2193</v>
      </c>
      <c r="Y235" t="str">
        <f t="shared" si="32"/>
        <v>Dallas Goedert</v>
      </c>
      <c r="Z235">
        <f>IF(AND(ISERROR(MATCH(Y235,'ROS Proj'!$A$2:$A$561,0)),LEFT(X235)&lt;&gt;"D"),Z234+1,Z234)</f>
        <v>3</v>
      </c>
    </row>
    <row r="236" spans="1:26" ht="15.75" thickBot="1" x14ac:dyDescent="0.3">
      <c r="A236" t="str">
        <f t="shared" si="30"/>
        <v>D.J. Moore</v>
      </c>
      <c r="B236" t="str">
        <f t="shared" si="31"/>
        <v>WR66</v>
      </c>
      <c r="D236" s="135" t="s">
        <v>3498</v>
      </c>
      <c r="E236" s="134" t="s">
        <v>47</v>
      </c>
      <c r="F236" s="134" t="s">
        <v>1043</v>
      </c>
      <c r="G236" s="134" t="s">
        <v>2172</v>
      </c>
      <c r="H236" t="str">
        <f t="shared" si="33"/>
        <v>D'Onta Foreman</v>
      </c>
      <c r="J236" s="135" t="s">
        <v>4113</v>
      </c>
      <c r="K236" s="134" t="s">
        <v>47</v>
      </c>
      <c r="L236" s="134" t="s">
        <v>1845</v>
      </c>
      <c r="M236" s="134" t="s">
        <v>2172</v>
      </c>
      <c r="N236" t="str">
        <f t="shared" si="34"/>
        <v>Jacquizz Rodgers</v>
      </c>
      <c r="W236" t="s">
        <v>1391</v>
      </c>
      <c r="X236" t="s">
        <v>2037</v>
      </c>
      <c r="Y236" t="str">
        <f t="shared" si="32"/>
        <v>D.J. Moore</v>
      </c>
      <c r="Z236">
        <f>IF(AND(ISERROR(MATCH(Y236,'ROS Proj'!$A$2:$A$561,0)),LEFT(X236)&lt;&gt;"D"),Z235+1,Z235)</f>
        <v>3</v>
      </c>
    </row>
    <row r="237" spans="1:26" ht="15.75" thickBot="1" x14ac:dyDescent="0.3">
      <c r="A237" t="str">
        <f t="shared" si="30"/>
        <v>Chandler Catanzaro</v>
      </c>
      <c r="B237" t="str">
        <f t="shared" si="31"/>
        <v>K27</v>
      </c>
      <c r="D237" s="135" t="s">
        <v>3499</v>
      </c>
      <c r="E237" s="134" t="s">
        <v>47</v>
      </c>
      <c r="F237" s="134" t="s">
        <v>1045</v>
      </c>
      <c r="G237" s="134" t="s">
        <v>2173</v>
      </c>
      <c r="H237" t="str">
        <f t="shared" si="33"/>
        <v>Rob Kelley</v>
      </c>
      <c r="J237" s="135" t="s">
        <v>4114</v>
      </c>
      <c r="K237" s="134" t="s">
        <v>47</v>
      </c>
      <c r="L237" s="134" t="s">
        <v>1909</v>
      </c>
      <c r="M237" s="134" t="s">
        <v>2173</v>
      </c>
      <c r="N237" t="str">
        <f t="shared" si="34"/>
        <v>Kyle Juszczyk</v>
      </c>
      <c r="W237" t="s">
        <v>457</v>
      </c>
      <c r="X237" t="s">
        <v>4916</v>
      </c>
      <c r="Y237" t="str">
        <f t="shared" si="32"/>
        <v>Chandler Catanzaro</v>
      </c>
      <c r="Z237">
        <f>IF(AND(ISERROR(MATCH(Y237,'ROS Proj'!$A$2:$A$561,0)),LEFT(X237)&lt;&gt;"D"),Z236+1,Z236)</f>
        <v>3</v>
      </c>
    </row>
    <row r="238" spans="1:26" ht="15.75" thickBot="1" x14ac:dyDescent="0.3">
      <c r="A238" t="str">
        <f t="shared" si="30"/>
        <v>Aldrick Rosas</v>
      </c>
      <c r="B238" t="str">
        <f t="shared" si="31"/>
        <v>K28</v>
      </c>
      <c r="D238" s="135" t="s">
        <v>3500</v>
      </c>
      <c r="E238" s="134" t="s">
        <v>47</v>
      </c>
      <c r="F238" s="134" t="s">
        <v>1045</v>
      </c>
      <c r="G238" s="134" t="s">
        <v>2174</v>
      </c>
      <c r="H238" t="str">
        <f t="shared" si="33"/>
        <v>Samaje Perine</v>
      </c>
      <c r="J238" s="135" t="s">
        <v>4115</v>
      </c>
      <c r="K238" s="134" t="s">
        <v>47</v>
      </c>
      <c r="L238" s="134" t="s">
        <v>1811</v>
      </c>
      <c r="M238" s="134" t="s">
        <v>2174</v>
      </c>
      <c r="N238" t="str">
        <f t="shared" si="34"/>
        <v>Wayne Gallman</v>
      </c>
      <c r="W238" t="s">
        <v>461</v>
      </c>
      <c r="X238" t="s">
        <v>4918</v>
      </c>
      <c r="Y238" t="str">
        <f t="shared" si="32"/>
        <v>Aldrick Rosas</v>
      </c>
      <c r="Z238">
        <f>IF(AND(ISERROR(MATCH(Y238,'ROS Proj'!$A$2:$A$561,0)),LEFT(X238)&lt;&gt;"D"),Z237+1,Z237)</f>
        <v>3</v>
      </c>
    </row>
    <row r="239" spans="1:26" ht="15.75" thickBot="1" x14ac:dyDescent="0.3">
      <c r="A239" t="str">
        <f t="shared" si="30"/>
        <v>Antonio Gates</v>
      </c>
      <c r="B239" t="str">
        <f t="shared" si="31"/>
        <v>TE27</v>
      </c>
      <c r="D239" s="135" t="s">
        <v>3501</v>
      </c>
      <c r="E239" s="134" t="s">
        <v>47</v>
      </c>
      <c r="F239" s="134" t="s">
        <v>1821</v>
      </c>
      <c r="G239" s="134" t="s">
        <v>2175</v>
      </c>
      <c r="H239" t="str">
        <f t="shared" si="33"/>
        <v>Spencer Ware</v>
      </c>
      <c r="J239" s="135" t="s">
        <v>4116</v>
      </c>
      <c r="K239" s="134" t="s">
        <v>47</v>
      </c>
      <c r="L239" s="134" t="s">
        <v>1935</v>
      </c>
      <c r="M239" s="134" t="s">
        <v>2175</v>
      </c>
      <c r="N239" t="str">
        <f t="shared" si="34"/>
        <v>Elijah McGuire</v>
      </c>
      <c r="W239" t="s">
        <v>2667</v>
      </c>
      <c r="X239" t="s">
        <v>2206</v>
      </c>
      <c r="Y239" t="str">
        <f t="shared" si="32"/>
        <v>Antonio Gates</v>
      </c>
      <c r="Z239">
        <f>IF(AND(ISERROR(MATCH(Y239,'ROS Proj'!$A$2:$A$561,0)),LEFT(X239)&lt;&gt;"D"),Z238+1,Z238)</f>
        <v>3</v>
      </c>
    </row>
    <row r="240" spans="1:26" ht="15.75" thickBot="1" x14ac:dyDescent="0.3">
      <c r="A240" t="str">
        <f t="shared" si="30"/>
        <v>Vernon Davis</v>
      </c>
      <c r="B240" t="str">
        <f t="shared" si="31"/>
        <v>TE28</v>
      </c>
      <c r="D240" s="135" t="s">
        <v>3502</v>
      </c>
      <c r="E240" s="134" t="s">
        <v>47</v>
      </c>
      <c r="F240" s="134" t="s">
        <v>1935</v>
      </c>
      <c r="G240" s="134" t="s">
        <v>2176</v>
      </c>
      <c r="H240" t="str">
        <f t="shared" si="33"/>
        <v>Elijah McGuire</v>
      </c>
      <c r="J240" s="135" t="s">
        <v>4117</v>
      </c>
      <c r="K240" s="134" t="s">
        <v>47</v>
      </c>
      <c r="L240" s="134" t="s">
        <v>1811</v>
      </c>
      <c r="M240" s="134" t="s">
        <v>2176</v>
      </c>
      <c r="N240" t="str">
        <f t="shared" si="34"/>
        <v>Jonathan Stewart</v>
      </c>
      <c r="W240" t="s">
        <v>265</v>
      </c>
      <c r="X240" t="s">
        <v>2208</v>
      </c>
      <c r="Y240" t="str">
        <f t="shared" si="32"/>
        <v>Vernon Davis</v>
      </c>
      <c r="Z240">
        <f>IF(AND(ISERROR(MATCH(Y240,'ROS Proj'!$A$2:$A$561,0)),LEFT(X240)&lt;&gt;"D"),Z239+1,Z239)</f>
        <v>3</v>
      </c>
    </row>
    <row r="241" spans="1:26" ht="15.75" thickBot="1" x14ac:dyDescent="0.3">
      <c r="A241" t="str">
        <f t="shared" si="30"/>
        <v>Taylor Gabriel</v>
      </c>
      <c r="B241" t="str">
        <f t="shared" si="31"/>
        <v>WR67</v>
      </c>
      <c r="D241" s="135" t="s">
        <v>2177</v>
      </c>
      <c r="E241" s="134" t="s">
        <v>47</v>
      </c>
      <c r="F241" s="134" t="s">
        <v>1811</v>
      </c>
      <c r="G241" s="134" t="s">
        <v>2178</v>
      </c>
      <c r="H241" t="str">
        <f t="shared" si="33"/>
        <v>Jonathan Stewart</v>
      </c>
      <c r="J241" s="135" t="s">
        <v>4118</v>
      </c>
      <c r="K241" s="134" t="s">
        <v>47</v>
      </c>
      <c r="L241" s="134" t="s">
        <v>1044</v>
      </c>
      <c r="M241" s="134" t="s">
        <v>2178</v>
      </c>
      <c r="N241" t="str">
        <f t="shared" si="34"/>
        <v>Rod Smith</v>
      </c>
      <c r="W241" t="s">
        <v>237</v>
      </c>
      <c r="X241" t="s">
        <v>2039</v>
      </c>
      <c r="Y241" t="str">
        <f t="shared" si="32"/>
        <v>Taylor Gabriel</v>
      </c>
      <c r="Z241">
        <f>IF(AND(ISERROR(MATCH(Y241,'ROS Proj'!$A$2:$A$561,0)),LEFT(X241)&lt;&gt;"D"),Z240+1,Z240)</f>
        <v>3</v>
      </c>
    </row>
    <row r="242" spans="1:26" ht="15.75" thickBot="1" x14ac:dyDescent="0.3">
      <c r="A242" t="str">
        <f t="shared" si="30"/>
        <v>Mike Gesicki</v>
      </c>
      <c r="B242" t="str">
        <f t="shared" si="31"/>
        <v>TE29</v>
      </c>
      <c r="D242" s="135" t="s">
        <v>2179</v>
      </c>
      <c r="E242" s="134" t="s">
        <v>47</v>
      </c>
      <c r="F242" s="134" t="s">
        <v>1811</v>
      </c>
      <c r="G242" s="134" t="s">
        <v>2180</v>
      </c>
      <c r="H242" t="str">
        <f t="shared" si="33"/>
        <v>Wayne Gallman</v>
      </c>
      <c r="J242" s="135" t="s">
        <v>4119</v>
      </c>
      <c r="K242" s="134" t="s">
        <v>47</v>
      </c>
      <c r="L242" s="134" t="s">
        <v>1821</v>
      </c>
      <c r="M242" s="134" t="s">
        <v>2180</v>
      </c>
      <c r="N242" t="str">
        <f t="shared" si="34"/>
        <v>Damien Williams</v>
      </c>
      <c r="W242" t="s">
        <v>4884</v>
      </c>
      <c r="X242" t="s">
        <v>2209</v>
      </c>
      <c r="Y242" t="str">
        <f t="shared" si="32"/>
        <v>Mike Gesicki</v>
      </c>
      <c r="Z242">
        <f>IF(AND(ISERROR(MATCH(Y242,'ROS Proj'!$A$2:$A$561,0)),LEFT(X242)&lt;&gt;"D"),Z241+1,Z241)</f>
        <v>4</v>
      </c>
    </row>
    <row r="243" spans="1:26" ht="15.75" thickBot="1" x14ac:dyDescent="0.3">
      <c r="A243" t="str">
        <f t="shared" si="30"/>
        <v>Packers D/ST</v>
      </c>
      <c r="B243" t="str">
        <f t="shared" si="31"/>
        <v>DST24</v>
      </c>
      <c r="D243" s="135" t="s">
        <v>2181</v>
      </c>
      <c r="E243" s="134" t="s">
        <v>47</v>
      </c>
      <c r="F243" s="134" t="s">
        <v>1044</v>
      </c>
      <c r="G243" s="134" t="s">
        <v>2182</v>
      </c>
      <c r="H243" t="str">
        <f t="shared" si="33"/>
        <v>Rod Smith</v>
      </c>
      <c r="J243" s="135" t="s">
        <v>4120</v>
      </c>
      <c r="K243" s="134" t="s">
        <v>47</v>
      </c>
      <c r="L243" s="134" t="s">
        <v>1038</v>
      </c>
      <c r="M243" s="134" t="s">
        <v>2182</v>
      </c>
      <c r="N243" t="str">
        <f t="shared" si="34"/>
        <v>John Kelly</v>
      </c>
      <c r="W243" t="s">
        <v>4889</v>
      </c>
      <c r="X243" t="s">
        <v>4912</v>
      </c>
      <c r="Y243" t="str">
        <f t="shared" si="32"/>
        <v>Packers D/ST</v>
      </c>
      <c r="Z243">
        <f>IF(AND(ISERROR(MATCH(Y243,'ROS Proj'!$A$2:$A$561,0)),LEFT(X243)&lt;&gt;"D"),Z242+1,Z242)</f>
        <v>4</v>
      </c>
    </row>
    <row r="244" spans="1:26" ht="15.75" thickBot="1" x14ac:dyDescent="0.3">
      <c r="A244" t="str">
        <f t="shared" si="30"/>
        <v>Jay Cutler</v>
      </c>
      <c r="B244" t="str">
        <f t="shared" si="31"/>
        <v>QB38</v>
      </c>
      <c r="D244" s="135" t="s">
        <v>2183</v>
      </c>
      <c r="E244" s="134" t="s">
        <v>15</v>
      </c>
      <c r="F244" s="134" t="s">
        <v>1811</v>
      </c>
      <c r="G244" s="134" t="s">
        <v>2184</v>
      </c>
      <c r="H244" t="str">
        <f t="shared" si="33"/>
        <v>Eli Manning</v>
      </c>
      <c r="J244" s="135" t="s">
        <v>4121</v>
      </c>
      <c r="K244" s="134" t="s">
        <v>15</v>
      </c>
      <c r="L244" s="134" t="s">
        <v>1054</v>
      </c>
      <c r="M244" s="134" t="s">
        <v>2184</v>
      </c>
      <c r="N244" t="str">
        <f t="shared" si="34"/>
        <v>Case Keenum</v>
      </c>
      <c r="W244" t="s">
        <v>2529</v>
      </c>
      <c r="X244" t="s">
        <v>4920</v>
      </c>
      <c r="Y244" t="str">
        <f t="shared" si="32"/>
        <v>Jay Cutler</v>
      </c>
      <c r="Z244">
        <f>IF(AND(ISERROR(MATCH(Y244,'ROS Proj'!$A$2:$A$561,0)),LEFT(X244)&lt;&gt;"D"),Z243+1,Z243)</f>
        <v>5</v>
      </c>
    </row>
    <row r="245" spans="1:26" ht="15.75" thickBot="1" x14ac:dyDescent="0.3">
      <c r="A245" t="str">
        <f t="shared" si="30"/>
        <v>Jordan Wilkins</v>
      </c>
      <c r="B245" t="str">
        <f t="shared" si="31"/>
        <v>RB58</v>
      </c>
      <c r="D245" s="135" t="s">
        <v>2185</v>
      </c>
      <c r="E245" s="134" t="s">
        <v>15</v>
      </c>
      <c r="F245" s="134" t="s">
        <v>1870</v>
      </c>
      <c r="G245" s="134" t="s">
        <v>2186</v>
      </c>
      <c r="H245" t="str">
        <f t="shared" si="33"/>
        <v>Derek Carr</v>
      </c>
      <c r="J245" s="135" t="s">
        <v>4122</v>
      </c>
      <c r="K245" s="134" t="s">
        <v>15</v>
      </c>
      <c r="L245" s="134" t="s">
        <v>1811</v>
      </c>
      <c r="M245" s="134" t="s">
        <v>2186</v>
      </c>
      <c r="N245" t="str">
        <f t="shared" si="34"/>
        <v>Eli Manning</v>
      </c>
      <c r="W245" t="s">
        <v>1388</v>
      </c>
      <c r="X245" t="s">
        <v>2117</v>
      </c>
      <c r="Y245" t="str">
        <f t="shared" si="32"/>
        <v>Jordan Wilkins</v>
      </c>
      <c r="Z245">
        <f>IF(AND(ISERROR(MATCH(Y245,'ROS Proj'!$A$2:$A$561,0)),LEFT(X245)&lt;&gt;"D"),Z244+1,Z244)</f>
        <v>5</v>
      </c>
    </row>
    <row r="246" spans="1:26" ht="15.75" thickBot="1" x14ac:dyDescent="0.3">
      <c r="A246" t="str">
        <f t="shared" si="30"/>
        <v>Ian Thomas</v>
      </c>
      <c r="B246" t="str">
        <f t="shared" si="31"/>
        <v>TE30</v>
      </c>
      <c r="D246" s="135" t="s">
        <v>2187</v>
      </c>
      <c r="E246" s="134" t="s">
        <v>15</v>
      </c>
      <c r="F246" s="134" t="s">
        <v>1845</v>
      </c>
      <c r="G246" s="134" t="s">
        <v>2188</v>
      </c>
      <c r="H246" t="str">
        <f t="shared" si="33"/>
        <v>Jameis Winston</v>
      </c>
      <c r="J246" s="135" t="s">
        <v>4123</v>
      </c>
      <c r="K246" s="134" t="s">
        <v>15</v>
      </c>
      <c r="L246" s="134" t="s">
        <v>1870</v>
      </c>
      <c r="M246" s="134" t="s">
        <v>2188</v>
      </c>
      <c r="N246" t="str">
        <f t="shared" si="34"/>
        <v>Derek Carr</v>
      </c>
      <c r="W246" t="s">
        <v>4212</v>
      </c>
      <c r="X246" t="s">
        <v>2253</v>
      </c>
      <c r="Y246" t="str">
        <f t="shared" si="32"/>
        <v>Ian Thomas</v>
      </c>
      <c r="Z246">
        <f>IF(AND(ISERROR(MATCH(Y246,'ROS Proj'!$A$2:$A$561,0)),LEFT(X246)&lt;&gt;"D"),Z245+1,Z245)</f>
        <v>5</v>
      </c>
    </row>
    <row r="247" spans="1:26" ht="15.75" thickBot="1" x14ac:dyDescent="0.3">
      <c r="A247" t="str">
        <f t="shared" si="30"/>
        <v>Bengals D/ST</v>
      </c>
      <c r="B247" t="str">
        <f t="shared" si="31"/>
        <v>DST25</v>
      </c>
      <c r="D247" s="135" t="s">
        <v>3503</v>
      </c>
      <c r="E247" s="134" t="s">
        <v>114</v>
      </c>
      <c r="F247" s="134" t="s">
        <v>1845</v>
      </c>
      <c r="G247" s="134" t="s">
        <v>2189</v>
      </c>
      <c r="H247" t="str">
        <f t="shared" si="33"/>
        <v>O.J. Howard</v>
      </c>
      <c r="J247" s="135" t="s">
        <v>4124</v>
      </c>
      <c r="K247" s="134" t="s">
        <v>114</v>
      </c>
      <c r="L247" s="134" t="s">
        <v>815</v>
      </c>
      <c r="M247" s="134" t="s">
        <v>2189</v>
      </c>
      <c r="N247" t="str">
        <f t="shared" si="34"/>
        <v>Eric Ebron</v>
      </c>
      <c r="W247" t="s">
        <v>4891</v>
      </c>
      <c r="X247" t="s">
        <v>4914</v>
      </c>
      <c r="Y247" t="str">
        <f t="shared" si="32"/>
        <v>Bengals D/ST</v>
      </c>
      <c r="Z247">
        <f>IF(AND(ISERROR(MATCH(Y247,'ROS Proj'!$A$2:$A$561,0)),LEFT(X247)&lt;&gt;"D"),Z246+1,Z246)</f>
        <v>5</v>
      </c>
    </row>
    <row r="248" spans="1:26" ht="15.75" thickBot="1" x14ac:dyDescent="0.3">
      <c r="A248" t="str">
        <f t="shared" si="30"/>
        <v>Donte Moncrief</v>
      </c>
      <c r="B248" t="str">
        <f t="shared" si="31"/>
        <v>WR68</v>
      </c>
      <c r="D248" s="135" t="s">
        <v>2190</v>
      </c>
      <c r="E248" s="134" t="s">
        <v>114</v>
      </c>
      <c r="F248" s="134" t="s">
        <v>815</v>
      </c>
      <c r="G248" s="134" t="s">
        <v>2191</v>
      </c>
      <c r="H248" t="str">
        <f t="shared" si="33"/>
        <v>Eric Ebron</v>
      </c>
      <c r="J248" s="135" t="s">
        <v>4125</v>
      </c>
      <c r="K248" s="134" t="s">
        <v>114</v>
      </c>
      <c r="L248" s="134" t="s">
        <v>1043</v>
      </c>
      <c r="M248" s="134" t="s">
        <v>2191</v>
      </c>
      <c r="N248" t="str">
        <f t="shared" si="34"/>
        <v>Ryan Griffin</v>
      </c>
      <c r="W248" t="s">
        <v>147</v>
      </c>
      <c r="X248" t="s">
        <v>2041</v>
      </c>
      <c r="Y248" t="str">
        <f t="shared" si="32"/>
        <v>Donte Moncrief</v>
      </c>
      <c r="Z248">
        <f>IF(AND(ISERROR(MATCH(Y248,'ROS Proj'!$A$2:$A$561,0)),LEFT(X248)&lt;&gt;"D"),Z247+1,Z247)</f>
        <v>5</v>
      </c>
    </row>
    <row r="249" spans="1:26" ht="15.75" thickBot="1" x14ac:dyDescent="0.3">
      <c r="A249" t="str">
        <f t="shared" si="30"/>
        <v>Nathan Peterman</v>
      </c>
      <c r="B249" t="str">
        <f t="shared" si="31"/>
        <v>QB39</v>
      </c>
      <c r="D249" s="135" t="s">
        <v>3504</v>
      </c>
      <c r="E249" s="134" t="s">
        <v>114</v>
      </c>
      <c r="F249" s="134" t="s">
        <v>1806</v>
      </c>
      <c r="G249" s="134" t="s">
        <v>2192</v>
      </c>
      <c r="H249" t="str">
        <f t="shared" si="33"/>
        <v>Ricky Seals-Jones</v>
      </c>
      <c r="J249" s="135" t="s">
        <v>4126</v>
      </c>
      <c r="K249" s="134" t="s">
        <v>114</v>
      </c>
      <c r="L249" s="134" t="s">
        <v>1887</v>
      </c>
      <c r="M249" s="134" t="s">
        <v>2192</v>
      </c>
      <c r="N249" t="str">
        <f t="shared" si="34"/>
        <v>Jonnu Smith</v>
      </c>
      <c r="W249" t="s">
        <v>1570</v>
      </c>
      <c r="X249" t="s">
        <v>4921</v>
      </c>
      <c r="Y249" t="str">
        <f t="shared" si="32"/>
        <v>Nathan Peterman</v>
      </c>
      <c r="Z249">
        <f>IF(AND(ISERROR(MATCH(Y249,'ROS Proj'!$A$2:$A$561,0)),LEFT(X249)&lt;&gt;"D"),Z248+1,Z248)</f>
        <v>5</v>
      </c>
    </row>
    <row r="250" spans="1:26" ht="15.75" thickBot="1" x14ac:dyDescent="0.3">
      <c r="A250" t="str">
        <f t="shared" si="30"/>
        <v>Jacoby Brissett</v>
      </c>
      <c r="B250" t="str">
        <f t="shared" si="31"/>
        <v>QB40</v>
      </c>
      <c r="D250" s="135" t="s">
        <v>3505</v>
      </c>
      <c r="E250" s="134" t="s">
        <v>114</v>
      </c>
      <c r="F250" s="134" t="s">
        <v>1043</v>
      </c>
      <c r="G250" s="134" t="s">
        <v>2193</v>
      </c>
      <c r="H250" t="str">
        <f t="shared" si="33"/>
        <v>Ryan Griffin</v>
      </c>
      <c r="J250" s="135" t="s">
        <v>4127</v>
      </c>
      <c r="K250" s="134" t="s">
        <v>114</v>
      </c>
      <c r="L250" s="134" t="s">
        <v>1831</v>
      </c>
      <c r="M250" s="134" t="s">
        <v>2193</v>
      </c>
      <c r="N250" t="str">
        <f t="shared" si="34"/>
        <v>Ian Thomas</v>
      </c>
      <c r="W250" t="s">
        <v>1497</v>
      </c>
      <c r="X250" t="s">
        <v>4922</v>
      </c>
      <c r="Y250" t="str">
        <f t="shared" si="32"/>
        <v>Jacoby Brissett</v>
      </c>
      <c r="Z250">
        <f>IF(AND(ISERROR(MATCH(Y250,'ROS Proj'!$A$2:$A$561,0)),LEFT(X250)&lt;&gt;"D"),Z249+1,Z249)</f>
        <v>5</v>
      </c>
    </row>
    <row r="251" spans="1:26" ht="15.75" thickBot="1" x14ac:dyDescent="0.3">
      <c r="A251" t="str">
        <f t="shared" si="30"/>
        <v>Anthony Miller</v>
      </c>
      <c r="B251" t="str">
        <f t="shared" si="31"/>
        <v>WR69</v>
      </c>
      <c r="D251" s="135" t="s">
        <v>3506</v>
      </c>
      <c r="E251" s="134" t="s">
        <v>47</v>
      </c>
      <c r="F251" s="134" t="s">
        <v>1845</v>
      </c>
      <c r="G251" s="134" t="s">
        <v>2194</v>
      </c>
      <c r="H251" t="str">
        <f t="shared" si="33"/>
        <v>Jacquizz Rodgers</v>
      </c>
      <c r="J251" s="135" t="s">
        <v>4128</v>
      </c>
      <c r="K251" s="134" t="s">
        <v>47</v>
      </c>
      <c r="L251" s="134" t="s">
        <v>1823</v>
      </c>
      <c r="M251" s="134" t="s">
        <v>2194</v>
      </c>
      <c r="N251" t="str">
        <f t="shared" si="34"/>
        <v>Corey Grant</v>
      </c>
      <c r="W251" t="s">
        <v>1377</v>
      </c>
      <c r="X251" t="s">
        <v>2043</v>
      </c>
      <c r="Y251" t="str">
        <f t="shared" si="32"/>
        <v>Anthony Miller</v>
      </c>
      <c r="Z251">
        <f>IF(AND(ISERROR(MATCH(Y251,'ROS Proj'!$A$2:$A$561,0)),LEFT(X251)&lt;&gt;"D"),Z250+1,Z250)</f>
        <v>5</v>
      </c>
    </row>
    <row r="252" spans="1:26" ht="15.75" thickBot="1" x14ac:dyDescent="0.3">
      <c r="A252" t="str">
        <f t="shared" si="30"/>
        <v>Raiders D/ST</v>
      </c>
      <c r="B252" t="str">
        <f t="shared" si="31"/>
        <v>DST26</v>
      </c>
      <c r="D252" s="134" t="s">
        <v>3507</v>
      </c>
      <c r="E252" s="134" t="s">
        <v>87</v>
      </c>
      <c r="F252" s="134" t="s">
        <v>2159</v>
      </c>
      <c r="G252" s="134" t="s">
        <v>2195</v>
      </c>
      <c r="H252" t="str">
        <f t="shared" si="33"/>
        <v>Dez Bryant</v>
      </c>
      <c r="J252" s="134" t="s">
        <v>3507</v>
      </c>
      <c r="K252" s="134" t="s">
        <v>87</v>
      </c>
      <c r="L252" s="134" t="s">
        <v>2159</v>
      </c>
      <c r="M252" s="134" t="s">
        <v>2195</v>
      </c>
      <c r="N252" t="str">
        <f t="shared" si="34"/>
        <v>Dez Bryant</v>
      </c>
      <c r="W252" t="s">
        <v>4895</v>
      </c>
      <c r="X252" t="s">
        <v>4917</v>
      </c>
      <c r="Y252" t="str">
        <f t="shared" si="32"/>
        <v>Raiders D/ST</v>
      </c>
      <c r="Z252">
        <f>IF(AND(ISERROR(MATCH(Y252,'ROS Proj'!$A$2:$A$561,0)),LEFT(X252)&lt;&gt;"D"),Z251+1,Z251)</f>
        <v>5</v>
      </c>
    </row>
    <row r="253" spans="1:26" ht="15.75" thickBot="1" x14ac:dyDescent="0.3">
      <c r="A253" t="str">
        <f t="shared" si="30"/>
        <v>Corey Clement</v>
      </c>
      <c r="B253" t="str">
        <f t="shared" si="31"/>
        <v>RB59</v>
      </c>
      <c r="D253" s="135" t="s">
        <v>2196</v>
      </c>
      <c r="E253" s="134" t="s">
        <v>87</v>
      </c>
      <c r="F253" s="134" t="s">
        <v>1872</v>
      </c>
      <c r="G253" s="134" t="s">
        <v>2197</v>
      </c>
      <c r="H253" t="str">
        <f t="shared" si="33"/>
        <v>Antonio Callaway</v>
      </c>
      <c r="J253" s="135" t="s">
        <v>4129</v>
      </c>
      <c r="K253" s="134" t="s">
        <v>87</v>
      </c>
      <c r="L253" s="134" t="s">
        <v>1842</v>
      </c>
      <c r="M253" s="134" t="s">
        <v>2197</v>
      </c>
      <c r="N253" t="str">
        <f t="shared" si="34"/>
        <v>Marquez Valdes-Scantling</v>
      </c>
      <c r="W253" t="s">
        <v>1387</v>
      </c>
      <c r="X253" t="s">
        <v>2118</v>
      </c>
      <c r="Y253" t="str">
        <f t="shared" si="32"/>
        <v>Corey Clement</v>
      </c>
      <c r="Z253">
        <f>IF(AND(ISERROR(MATCH(Y253,'ROS Proj'!$A$2:$A$561,0)),LEFT(X253)&lt;&gt;"D"),Z252+1,Z252)</f>
        <v>5</v>
      </c>
    </row>
    <row r="254" spans="1:26" ht="15.75" thickBot="1" x14ac:dyDescent="0.3">
      <c r="A254" t="str">
        <f t="shared" si="30"/>
        <v>Greg Joseph</v>
      </c>
      <c r="B254" t="str">
        <f t="shared" si="31"/>
        <v>K29</v>
      </c>
      <c r="D254" s="134" t="s">
        <v>2198</v>
      </c>
      <c r="E254" s="134" t="s">
        <v>2054</v>
      </c>
      <c r="F254" s="134" t="s">
        <v>1806</v>
      </c>
      <c r="G254" s="134" t="s">
        <v>2199</v>
      </c>
      <c r="H254" t="str">
        <f t="shared" si="33"/>
        <v>Cardinals D/ST</v>
      </c>
      <c r="J254" s="134" t="s">
        <v>2198</v>
      </c>
      <c r="K254" s="134" t="s">
        <v>2054</v>
      </c>
      <c r="L254" s="134" t="s">
        <v>1806</v>
      </c>
      <c r="M254" s="134" t="s">
        <v>2199</v>
      </c>
      <c r="N254" t="str">
        <f t="shared" si="34"/>
        <v>Cardinals D/ST</v>
      </c>
      <c r="W254" t="s">
        <v>4169</v>
      </c>
      <c r="X254" t="s">
        <v>4927</v>
      </c>
      <c r="Y254" t="str">
        <f t="shared" si="32"/>
        <v>Greg Joseph</v>
      </c>
      <c r="Z254">
        <f>IF(AND(ISERROR(MATCH(Y254,'ROS Proj'!$A$2:$A$561,0)),LEFT(X254)&lt;&gt;"D"),Z253+1,Z253)</f>
        <v>5</v>
      </c>
    </row>
    <row r="255" spans="1:26" ht="15.75" thickBot="1" x14ac:dyDescent="0.3">
      <c r="A255" t="str">
        <f t="shared" si="30"/>
        <v>Falcons D/ST</v>
      </c>
      <c r="B255" t="str">
        <f t="shared" si="31"/>
        <v>DST27</v>
      </c>
      <c r="D255" s="134" t="s">
        <v>2200</v>
      </c>
      <c r="E255" s="134" t="s">
        <v>2054</v>
      </c>
      <c r="F255" s="134" t="s">
        <v>1052</v>
      </c>
      <c r="G255" s="134" t="s">
        <v>2201</v>
      </c>
      <c r="H255" t="str">
        <f t="shared" si="33"/>
        <v>Falcons D/ST</v>
      </c>
      <c r="J255" s="134" t="s">
        <v>2200</v>
      </c>
      <c r="K255" s="134" t="s">
        <v>2054</v>
      </c>
      <c r="L255" s="134" t="s">
        <v>1052</v>
      </c>
      <c r="M255" s="134" t="s">
        <v>2201</v>
      </c>
      <c r="N255" t="str">
        <f t="shared" si="34"/>
        <v>Falcons D/ST</v>
      </c>
      <c r="W255" t="s">
        <v>4887</v>
      </c>
      <c r="X255" t="s">
        <v>4919</v>
      </c>
      <c r="Y255" t="str">
        <f t="shared" si="32"/>
        <v>Falcons D/ST</v>
      </c>
      <c r="Z255">
        <f>IF(AND(ISERROR(MATCH(Y255,'ROS Proj'!$A$2:$A$561,0)),LEFT(X255)&lt;&gt;"D"),Z254+1,Z254)</f>
        <v>5</v>
      </c>
    </row>
    <row r="256" spans="1:26" ht="15.75" thickBot="1" x14ac:dyDescent="0.3">
      <c r="A256" t="str">
        <f t="shared" si="30"/>
        <v>49ers D/ST</v>
      </c>
      <c r="B256" t="str">
        <f t="shared" si="31"/>
        <v>DST28</v>
      </c>
      <c r="D256" s="135" t="s">
        <v>2202</v>
      </c>
      <c r="E256" s="134" t="s">
        <v>478</v>
      </c>
      <c r="F256" s="134" t="s">
        <v>1842</v>
      </c>
      <c r="G256" s="134" t="s">
        <v>2203</v>
      </c>
      <c r="H256" t="str">
        <f t="shared" si="33"/>
        <v>Mason Crosby</v>
      </c>
      <c r="J256" s="135" t="s">
        <v>2202</v>
      </c>
      <c r="K256" s="134" t="s">
        <v>478</v>
      </c>
      <c r="L256" s="134" t="s">
        <v>1842</v>
      </c>
      <c r="M256" s="134" t="s">
        <v>2203</v>
      </c>
      <c r="N256" t="str">
        <f t="shared" si="34"/>
        <v>Mason Crosby</v>
      </c>
      <c r="W256" t="s">
        <v>4897</v>
      </c>
      <c r="X256" t="s">
        <v>4923</v>
      </c>
      <c r="Y256" t="str">
        <f t="shared" si="32"/>
        <v>49ers D/ST</v>
      </c>
      <c r="Z256">
        <f>IF(AND(ISERROR(MATCH(Y256,'ROS Proj'!$A$2:$A$561,0)),LEFT(X256)&lt;&gt;"D"),Z255+1,Z255)</f>
        <v>5</v>
      </c>
    </row>
    <row r="257" spans="1:26" ht="15.75" thickBot="1" x14ac:dyDescent="0.3">
      <c r="A257" t="str">
        <f t="shared" si="30"/>
        <v>D'Onta Foreman</v>
      </c>
      <c r="B257" t="str">
        <f t="shared" si="31"/>
        <v>RB60</v>
      </c>
      <c r="D257" s="135" t="s">
        <v>2204</v>
      </c>
      <c r="E257" s="134" t="s">
        <v>478</v>
      </c>
      <c r="F257" s="134" t="s">
        <v>1823</v>
      </c>
      <c r="G257" s="134" t="s">
        <v>2205</v>
      </c>
      <c r="H257" t="str">
        <f t="shared" si="33"/>
        <v>Josh Lambo</v>
      </c>
      <c r="J257" s="135" t="s">
        <v>2204</v>
      </c>
      <c r="K257" s="134" t="s">
        <v>478</v>
      </c>
      <c r="L257" s="134" t="s">
        <v>1823</v>
      </c>
      <c r="M257" s="134" t="s">
        <v>2205</v>
      </c>
      <c r="N257" t="str">
        <f t="shared" si="34"/>
        <v>Josh Lambo</v>
      </c>
      <c r="W257" t="s">
        <v>260</v>
      </c>
      <c r="X257" t="s">
        <v>2119</v>
      </c>
      <c r="Y257" t="str">
        <f t="shared" si="32"/>
        <v>D'Onta Foreman</v>
      </c>
      <c r="Z257">
        <f>IF(AND(ISERROR(MATCH(Y257,'ROS Proj'!$A$2:$A$561,0)),LEFT(X257)&lt;&gt;"D"),Z256+1,Z256)</f>
        <v>5</v>
      </c>
    </row>
    <row r="258" spans="1:26" ht="15.75" thickBot="1" x14ac:dyDescent="0.3">
      <c r="A258" t="str">
        <f t="shared" si="30"/>
        <v>Redskins D/ST</v>
      </c>
      <c r="B258" t="str">
        <f t="shared" si="31"/>
        <v>DST29</v>
      </c>
      <c r="D258" s="135" t="s">
        <v>3508</v>
      </c>
      <c r="E258" s="134" t="s">
        <v>114</v>
      </c>
      <c r="F258" s="134" t="s">
        <v>1053</v>
      </c>
      <c r="G258" s="134" t="s">
        <v>2206</v>
      </c>
      <c r="H258" t="str">
        <f t="shared" si="33"/>
        <v>Mike Gesicki</v>
      </c>
      <c r="J258" s="135" t="s">
        <v>4130</v>
      </c>
      <c r="K258" s="134" t="s">
        <v>114</v>
      </c>
      <c r="L258" s="134" t="s">
        <v>1865</v>
      </c>
      <c r="M258" s="134" t="s">
        <v>2206</v>
      </c>
      <c r="N258" t="str">
        <f t="shared" si="34"/>
        <v>Will Dissly</v>
      </c>
      <c r="W258" t="s">
        <v>4888</v>
      </c>
      <c r="X258" t="s">
        <v>4925</v>
      </c>
      <c r="Y258" t="str">
        <f t="shared" si="32"/>
        <v>Redskins D/ST</v>
      </c>
      <c r="Z258">
        <f>IF(AND(ISERROR(MATCH(Y258,'ROS Proj'!$A$2:$A$561,0)),LEFT(X258)&lt;&gt;"D"),Z257+1,Z257)</f>
        <v>5</v>
      </c>
    </row>
    <row r="259" spans="1:26" ht="15.75" thickBot="1" x14ac:dyDescent="0.3">
      <c r="A259" t="str">
        <f t="shared" ref="A259:A301" si="35">Y259</f>
        <v>Taywan Taylor</v>
      </c>
      <c r="B259" t="str">
        <f t="shared" ref="B259:B301" si="36">X259</f>
        <v>WR70</v>
      </c>
      <c r="D259" s="135" t="s">
        <v>2207</v>
      </c>
      <c r="E259" s="134" t="s">
        <v>114</v>
      </c>
      <c r="F259" s="134" t="s">
        <v>1890</v>
      </c>
      <c r="G259" s="134" t="s">
        <v>2208</v>
      </c>
      <c r="H259" t="str">
        <f t="shared" si="33"/>
        <v>Hayden Hurst</v>
      </c>
      <c r="J259" s="135" t="s">
        <v>2207</v>
      </c>
      <c r="K259" s="134" t="s">
        <v>114</v>
      </c>
      <c r="L259" s="134" t="s">
        <v>1890</v>
      </c>
      <c r="M259" s="134" t="s">
        <v>2208</v>
      </c>
      <c r="N259" t="str">
        <f t="shared" si="34"/>
        <v>Hayden Hurst</v>
      </c>
      <c r="W259" t="s">
        <v>303</v>
      </c>
      <c r="X259" t="s">
        <v>2059</v>
      </c>
      <c r="Y259" t="str">
        <f t="shared" ref="Y259:Y301" si="37">IFERROR(VLOOKUP(W259,$AB$2:$AC$22,2,FALSE),IFERROR(VLOOKUP(LEFT(W259,SEARCH("(",W259)-2),$AF$2:$AG$33,2,FALSE),W259))</f>
        <v>Taywan Taylor</v>
      </c>
      <c r="Z259">
        <f>IF(AND(ISERROR(MATCH(Y259,'ROS Proj'!$A$2:$A$561,0)),LEFT(X259)&lt;&gt;"D"),Z258+1,Z258)</f>
        <v>5</v>
      </c>
    </row>
    <row r="260" spans="1:26" ht="15.75" thickBot="1" x14ac:dyDescent="0.3">
      <c r="A260" t="str">
        <f t="shared" si="35"/>
        <v>Colts D/ST</v>
      </c>
      <c r="B260" t="str">
        <f t="shared" si="36"/>
        <v>DST30</v>
      </c>
      <c r="D260" s="135" t="s">
        <v>3509</v>
      </c>
      <c r="E260" s="134" t="s">
        <v>114</v>
      </c>
      <c r="F260" s="134" t="s">
        <v>1054</v>
      </c>
      <c r="G260" s="134" t="s">
        <v>2209</v>
      </c>
      <c r="H260" t="str">
        <f t="shared" si="33"/>
        <v>Jake Butt</v>
      </c>
      <c r="J260" s="135" t="s">
        <v>4131</v>
      </c>
      <c r="K260" s="134" t="s">
        <v>114</v>
      </c>
      <c r="L260" s="134" t="s">
        <v>1831</v>
      </c>
      <c r="M260" s="134" t="s">
        <v>2209</v>
      </c>
      <c r="N260" t="str">
        <f t="shared" si="34"/>
        <v>Greg Olsen</v>
      </c>
      <c r="W260" t="s">
        <v>4898</v>
      </c>
      <c r="X260" t="s">
        <v>4928</v>
      </c>
      <c r="Y260" t="str">
        <f t="shared" si="37"/>
        <v>Colts D/ST</v>
      </c>
      <c r="Z260">
        <f>IF(AND(ISERROR(MATCH(Y260,'ROS Proj'!$A$2:$A$561,0)),LEFT(X260)&lt;&gt;"D"),Z259+1,Z259)</f>
        <v>5</v>
      </c>
    </row>
    <row r="261" spans="1:26" ht="15.75" thickBot="1" x14ac:dyDescent="0.3">
      <c r="A261" t="str">
        <f t="shared" si="35"/>
        <v>Brandon Marshall</v>
      </c>
      <c r="B261" t="str">
        <f t="shared" si="36"/>
        <v>WR71</v>
      </c>
      <c r="D261" s="135" t="s">
        <v>2210</v>
      </c>
      <c r="E261" s="134" t="s">
        <v>87</v>
      </c>
      <c r="F261" s="134" t="s">
        <v>1842</v>
      </c>
      <c r="G261" s="134" t="s">
        <v>2211</v>
      </c>
      <c r="H261" t="str">
        <f t="shared" si="33"/>
        <v>J'Mon Moore</v>
      </c>
      <c r="J261" s="135" t="s">
        <v>4132</v>
      </c>
      <c r="K261" s="134" t="s">
        <v>87</v>
      </c>
      <c r="L261" s="134" t="s">
        <v>1040</v>
      </c>
      <c r="M261" s="134" t="s">
        <v>2211</v>
      </c>
      <c r="N261" t="str">
        <f t="shared" si="34"/>
        <v>Justin Hunter</v>
      </c>
      <c r="W261" t="s">
        <v>167</v>
      </c>
      <c r="X261" t="s">
        <v>2060</v>
      </c>
      <c r="Y261" t="str">
        <f t="shared" si="37"/>
        <v>Brandon Marshall</v>
      </c>
      <c r="Z261">
        <f>IF(AND(ISERROR(MATCH(Y261,'ROS Proj'!$A$2:$A$561,0)),LEFT(X261)&lt;&gt;"D"),Z260+1,Z260)</f>
        <v>5</v>
      </c>
    </row>
    <row r="262" spans="1:26" ht="15.75" thickBot="1" x14ac:dyDescent="0.3">
      <c r="A262" t="str">
        <f t="shared" si="35"/>
        <v>Buccaneers D/ST</v>
      </c>
      <c r="B262" t="str">
        <f t="shared" si="36"/>
        <v>DST31</v>
      </c>
      <c r="D262" s="135" t="s">
        <v>2212</v>
      </c>
      <c r="E262" s="134" t="s">
        <v>87</v>
      </c>
      <c r="F262" s="134" t="s">
        <v>1842</v>
      </c>
      <c r="G262" s="134" t="s">
        <v>2213</v>
      </c>
      <c r="H262" t="str">
        <f t="shared" si="33"/>
        <v>Marquez Valdes-Scantling</v>
      </c>
      <c r="J262" s="135" t="s">
        <v>4133</v>
      </c>
      <c r="K262" s="134" t="s">
        <v>87</v>
      </c>
      <c r="L262" s="134" t="s">
        <v>1044</v>
      </c>
      <c r="M262" s="134" t="s">
        <v>2213</v>
      </c>
      <c r="N262" t="str">
        <f t="shared" si="34"/>
        <v>Deonte Thompson</v>
      </c>
      <c r="W262" t="s">
        <v>4892</v>
      </c>
      <c r="X262" t="s">
        <v>4929</v>
      </c>
      <c r="Y262" t="str">
        <f t="shared" si="37"/>
        <v>Buccaneers D/ST</v>
      </c>
      <c r="Z262">
        <f>IF(AND(ISERROR(MATCH(Y262,'ROS Proj'!$A$2:$A$561,0)),LEFT(X262)&lt;&gt;"D"),Z261+1,Z261)</f>
        <v>5</v>
      </c>
    </row>
    <row r="263" spans="1:26" ht="15.75" thickBot="1" x14ac:dyDescent="0.3">
      <c r="A263" t="str">
        <f t="shared" si="35"/>
        <v>Chiefs D/ST</v>
      </c>
      <c r="B263" t="str">
        <f t="shared" si="36"/>
        <v>DST32</v>
      </c>
      <c r="D263" s="135" t="s">
        <v>2214</v>
      </c>
      <c r="E263" s="134" t="s">
        <v>87</v>
      </c>
      <c r="F263" s="134" t="s">
        <v>1842</v>
      </c>
      <c r="G263" s="134" t="s">
        <v>2215</v>
      </c>
      <c r="H263" t="str">
        <f t="shared" si="33"/>
        <v>Equanimeous St. Brown</v>
      </c>
      <c r="J263" s="135" t="s">
        <v>4134</v>
      </c>
      <c r="K263" s="134" t="s">
        <v>87</v>
      </c>
      <c r="L263" s="134" t="s">
        <v>1845</v>
      </c>
      <c r="M263" s="134" t="s">
        <v>2215</v>
      </c>
      <c r="N263" t="str">
        <f t="shared" si="34"/>
        <v>Adam Humphries</v>
      </c>
      <c r="W263" t="s">
        <v>4896</v>
      </c>
      <c r="X263" t="s">
        <v>4930</v>
      </c>
      <c r="Y263" t="str">
        <f t="shared" si="37"/>
        <v>Chiefs D/ST</v>
      </c>
      <c r="Z263">
        <f>IF(AND(ISERROR(MATCH(Y263,'ROS Proj'!$A$2:$A$561,0)),LEFT(X263)&lt;&gt;"D"),Z262+1,Z262)</f>
        <v>5</v>
      </c>
    </row>
    <row r="264" spans="1:26" ht="15.75" thickBot="1" x14ac:dyDescent="0.3">
      <c r="A264" t="str">
        <f t="shared" si="35"/>
        <v>Kyle Juszczyk</v>
      </c>
      <c r="B264" t="str">
        <f t="shared" si="36"/>
        <v>RB61</v>
      </c>
      <c r="D264" s="135" t="s">
        <v>2216</v>
      </c>
      <c r="E264" s="134" t="s">
        <v>87</v>
      </c>
      <c r="F264" s="134" t="s">
        <v>1845</v>
      </c>
      <c r="G264" s="134" t="s">
        <v>2217</v>
      </c>
      <c r="H264" t="str">
        <f t="shared" si="33"/>
        <v>Adam Humphries</v>
      </c>
      <c r="J264" s="135" t="s">
        <v>4135</v>
      </c>
      <c r="K264" s="134" t="s">
        <v>87</v>
      </c>
      <c r="L264" s="134" t="s">
        <v>1050</v>
      </c>
      <c r="M264" s="134" t="s">
        <v>2217</v>
      </c>
      <c r="N264" t="str">
        <f t="shared" si="34"/>
        <v>Zay Jones</v>
      </c>
      <c r="W264" t="s">
        <v>339</v>
      </c>
      <c r="X264" t="s">
        <v>2123</v>
      </c>
      <c r="Y264" t="str">
        <f t="shared" si="37"/>
        <v>Kyle Juszczyk</v>
      </c>
      <c r="Z264">
        <f>IF(AND(ISERROR(MATCH(Y264,'ROS Proj'!$A$2:$A$561,0)),LEFT(X264)&lt;&gt;"D"),Z263+1,Z263)</f>
        <v>5</v>
      </c>
    </row>
    <row r="265" spans="1:26" ht="15.75" thickBot="1" x14ac:dyDescent="0.3">
      <c r="A265" t="str">
        <f t="shared" si="35"/>
        <v>Allen Hurns</v>
      </c>
      <c r="B265" t="str">
        <f t="shared" si="36"/>
        <v>WR72</v>
      </c>
      <c r="D265" s="135" t="s">
        <v>3510</v>
      </c>
      <c r="E265" s="134" t="s">
        <v>47</v>
      </c>
      <c r="F265" s="134" t="s">
        <v>1821</v>
      </c>
      <c r="G265" s="134" t="s">
        <v>2218</v>
      </c>
      <c r="H265" t="str">
        <f t="shared" si="33"/>
        <v>Damien Williams</v>
      </c>
      <c r="J265" s="135" t="s">
        <v>4136</v>
      </c>
      <c r="K265" s="134" t="s">
        <v>47</v>
      </c>
      <c r="L265" s="134" t="s">
        <v>1806</v>
      </c>
      <c r="M265" s="134" t="s">
        <v>2218</v>
      </c>
      <c r="N265" t="str">
        <f t="shared" si="34"/>
        <v>T.J. Logan</v>
      </c>
      <c r="W265" t="s">
        <v>252</v>
      </c>
      <c r="X265" t="s">
        <v>2061</v>
      </c>
      <c r="Y265" t="str">
        <f t="shared" si="37"/>
        <v>Allen Hurns</v>
      </c>
      <c r="Z265">
        <f>IF(AND(ISERROR(MATCH(Y265,'ROS Proj'!$A$2:$A$561,0)),LEFT(X265)&lt;&gt;"D"),Z264+1,Z264)</f>
        <v>5</v>
      </c>
    </row>
    <row r="266" spans="1:26" ht="15.75" thickBot="1" x14ac:dyDescent="0.3">
      <c r="A266" t="str">
        <f t="shared" si="35"/>
        <v>Dante Pettis</v>
      </c>
      <c r="B266" t="str">
        <f t="shared" si="36"/>
        <v>WR73</v>
      </c>
      <c r="D266" s="135" t="s">
        <v>3511</v>
      </c>
      <c r="E266" s="134" t="s">
        <v>47</v>
      </c>
      <c r="F266" s="134" t="s">
        <v>1040</v>
      </c>
      <c r="G266" s="134" t="s">
        <v>2219</v>
      </c>
      <c r="H266" t="str">
        <f t="shared" si="33"/>
        <v>Jaylen Samuels</v>
      </c>
      <c r="J266" s="135" t="s">
        <v>4137</v>
      </c>
      <c r="K266" s="134" t="s">
        <v>47</v>
      </c>
      <c r="L266" s="134" t="s">
        <v>1865</v>
      </c>
      <c r="M266" s="134" t="s">
        <v>2219</v>
      </c>
      <c r="N266" t="str">
        <f t="shared" si="34"/>
        <v>C.J. Prosise</v>
      </c>
      <c r="W266" t="s">
        <v>4204</v>
      </c>
      <c r="X266" t="s">
        <v>2067</v>
      </c>
      <c r="Y266" t="str">
        <f t="shared" si="37"/>
        <v>Dante Pettis</v>
      </c>
      <c r="Z266">
        <f>IF(AND(ISERROR(MATCH(Y266,'ROS Proj'!$A$2:$A$561,0)),LEFT(X266)&lt;&gt;"D"),Z265+1,Z265)</f>
        <v>5</v>
      </c>
    </row>
    <row r="267" spans="1:26" ht="15.75" thickBot="1" x14ac:dyDescent="0.3">
      <c r="A267" t="str">
        <f t="shared" si="35"/>
        <v>James Washington</v>
      </c>
      <c r="B267" t="str">
        <f t="shared" si="36"/>
        <v>WR74</v>
      </c>
      <c r="D267" s="135" t="s">
        <v>2220</v>
      </c>
      <c r="E267" s="134" t="s">
        <v>15</v>
      </c>
      <c r="F267" s="134" t="s">
        <v>1054</v>
      </c>
      <c r="G267" s="134" t="s">
        <v>2221</v>
      </c>
      <c r="H267" t="str">
        <f t="shared" si="33"/>
        <v>Case Keenum</v>
      </c>
      <c r="J267" s="135" t="s">
        <v>4138</v>
      </c>
      <c r="K267" s="134" t="s">
        <v>15</v>
      </c>
      <c r="L267" s="134" t="s">
        <v>1823</v>
      </c>
      <c r="M267" s="134" t="s">
        <v>2221</v>
      </c>
      <c r="N267" t="str">
        <f t="shared" si="34"/>
        <v>Blake Bortles</v>
      </c>
      <c r="W267" t="s">
        <v>1439</v>
      </c>
      <c r="X267" t="s">
        <v>2072</v>
      </c>
      <c r="Y267" t="str">
        <f t="shared" si="37"/>
        <v>James Washington</v>
      </c>
      <c r="Z267">
        <f>IF(AND(ISERROR(MATCH(Y267,'ROS Proj'!$A$2:$A$561,0)),LEFT(X267)&lt;&gt;"D"),Z266+1,Z266)</f>
        <v>5</v>
      </c>
    </row>
    <row r="268" spans="1:26" ht="15.75" thickBot="1" x14ac:dyDescent="0.3">
      <c r="A268" t="str">
        <f t="shared" si="35"/>
        <v>Ty Montgomery</v>
      </c>
      <c r="B268" t="str">
        <f t="shared" si="36"/>
        <v>RB62</v>
      </c>
      <c r="D268" s="135" t="s">
        <v>2222</v>
      </c>
      <c r="E268" s="134" t="s">
        <v>15</v>
      </c>
      <c r="F268" s="134" t="s">
        <v>1823</v>
      </c>
      <c r="G268" s="134" t="s">
        <v>2223</v>
      </c>
      <c r="H268" t="str">
        <f t="shared" si="33"/>
        <v>Blake Bortles</v>
      </c>
      <c r="J268" s="135" t="s">
        <v>4139</v>
      </c>
      <c r="K268" s="134" t="s">
        <v>15</v>
      </c>
      <c r="L268" s="134" t="s">
        <v>1890</v>
      </c>
      <c r="M268" s="134" t="s">
        <v>2223</v>
      </c>
      <c r="N268" t="str">
        <f t="shared" si="34"/>
        <v>Joe Flacco</v>
      </c>
      <c r="W268" t="s">
        <v>109</v>
      </c>
      <c r="X268" t="s">
        <v>2124</v>
      </c>
      <c r="Y268" t="str">
        <f t="shared" si="37"/>
        <v>Ty Montgomery</v>
      </c>
      <c r="Z268">
        <f>IF(AND(ISERROR(MATCH(Y268,'ROS Proj'!$A$2:$A$561,0)),LEFT(X268)&lt;&gt;"D"),Z267+1,Z267)</f>
        <v>5</v>
      </c>
    </row>
    <row r="269" spans="1:26" ht="15.75" thickBot="1" x14ac:dyDescent="0.3">
      <c r="A269" t="str">
        <f t="shared" si="35"/>
        <v>John Ross</v>
      </c>
      <c r="B269" t="str">
        <f t="shared" si="36"/>
        <v>WR75</v>
      </c>
      <c r="D269" s="135" t="s">
        <v>2224</v>
      </c>
      <c r="E269" s="134" t="s">
        <v>15</v>
      </c>
      <c r="F269" s="134" t="s">
        <v>1890</v>
      </c>
      <c r="G269" s="134" t="s">
        <v>2225</v>
      </c>
      <c r="H269" t="str">
        <f t="shared" si="33"/>
        <v>Joe Flacco</v>
      </c>
      <c r="J269" s="135" t="s">
        <v>4140</v>
      </c>
      <c r="K269" s="134" t="s">
        <v>15</v>
      </c>
      <c r="L269" s="134" t="s">
        <v>1935</v>
      </c>
      <c r="M269" s="134" t="s">
        <v>2225</v>
      </c>
      <c r="N269" t="str">
        <f t="shared" si="34"/>
        <v>Sam Darnold</v>
      </c>
      <c r="W269" t="s">
        <v>239</v>
      </c>
      <c r="X269" t="s">
        <v>2139</v>
      </c>
      <c r="Y269" t="str">
        <f t="shared" si="37"/>
        <v>John Ross</v>
      </c>
      <c r="Z269">
        <f>IF(AND(ISERROR(MATCH(Y269,'ROS Proj'!$A$2:$A$561,0)),LEFT(X269)&lt;&gt;"D"),Z268+1,Z268)</f>
        <v>5</v>
      </c>
    </row>
    <row r="270" spans="1:26" ht="15.75" thickBot="1" x14ac:dyDescent="0.3">
      <c r="A270" t="str">
        <f t="shared" si="35"/>
        <v>Courtland Sutton</v>
      </c>
      <c r="B270" t="str">
        <f t="shared" si="36"/>
        <v>WR76</v>
      </c>
      <c r="D270" s="135" t="s">
        <v>2226</v>
      </c>
      <c r="E270" s="134" t="s">
        <v>15</v>
      </c>
      <c r="F270" s="134" t="s">
        <v>1935</v>
      </c>
      <c r="G270" s="134" t="s">
        <v>2227</v>
      </c>
      <c r="H270" t="str">
        <f t="shared" si="33"/>
        <v>Sam Darnold</v>
      </c>
      <c r="J270" s="135" t="s">
        <v>4141</v>
      </c>
      <c r="K270" s="134" t="s">
        <v>15</v>
      </c>
      <c r="L270" s="134" t="s">
        <v>1845</v>
      </c>
      <c r="M270" s="134" t="s">
        <v>2227</v>
      </c>
      <c r="N270" t="str">
        <f t="shared" si="34"/>
        <v>Jameis Winston</v>
      </c>
      <c r="W270" t="s">
        <v>1425</v>
      </c>
      <c r="X270" t="s">
        <v>2140</v>
      </c>
      <c r="Y270" t="str">
        <f t="shared" si="37"/>
        <v>Courtland Sutton</v>
      </c>
      <c r="Z270">
        <f>IF(AND(ISERROR(MATCH(Y270,'ROS Proj'!$A$2:$A$561,0)),LEFT(X270)&lt;&gt;"D"),Z269+1,Z269)</f>
        <v>5</v>
      </c>
    </row>
    <row r="271" spans="1:26" ht="15.75" thickBot="1" x14ac:dyDescent="0.3">
      <c r="A271" t="str">
        <f t="shared" si="35"/>
        <v>Josh Doctson</v>
      </c>
      <c r="B271" t="str">
        <f t="shared" si="36"/>
        <v>WR77</v>
      </c>
      <c r="D271" s="135" t="s">
        <v>2228</v>
      </c>
      <c r="E271" s="134" t="s">
        <v>15</v>
      </c>
      <c r="F271" s="134" t="s">
        <v>1806</v>
      </c>
      <c r="G271" s="134" t="s">
        <v>2229</v>
      </c>
      <c r="H271" t="str">
        <f t="shared" si="33"/>
        <v>Sam Bradford</v>
      </c>
      <c r="J271" s="135" t="s">
        <v>2228</v>
      </c>
      <c r="K271" s="134" t="s">
        <v>15</v>
      </c>
      <c r="L271" s="134" t="s">
        <v>1806</v>
      </c>
      <c r="M271" s="134" t="s">
        <v>2229</v>
      </c>
      <c r="N271" t="str">
        <f t="shared" si="34"/>
        <v>Sam Bradford</v>
      </c>
      <c r="W271" t="s">
        <v>230</v>
      </c>
      <c r="X271" t="s">
        <v>2141</v>
      </c>
      <c r="Y271" t="str">
        <f t="shared" si="37"/>
        <v>Josh Doctson</v>
      </c>
      <c r="Z271">
        <f>IF(AND(ISERROR(MATCH(Y271,'ROS Proj'!$A$2:$A$561,0)),LEFT(X271)&lt;&gt;"D"),Z270+1,Z270)</f>
        <v>5</v>
      </c>
    </row>
    <row r="272" spans="1:26" ht="15.75" thickBot="1" x14ac:dyDescent="0.3">
      <c r="A272" t="str">
        <f t="shared" si="35"/>
        <v>Willie Snead</v>
      </c>
      <c r="B272" t="str">
        <f t="shared" si="36"/>
        <v>WR78</v>
      </c>
      <c r="D272" s="135" t="s">
        <v>2230</v>
      </c>
      <c r="E272" s="134" t="s">
        <v>87</v>
      </c>
      <c r="F272" s="134" t="s">
        <v>1050</v>
      </c>
      <c r="G272" s="134" t="s">
        <v>2231</v>
      </c>
      <c r="H272" t="str">
        <f t="shared" si="33"/>
        <v>Zay Jones</v>
      </c>
      <c r="J272" s="135" t="s">
        <v>4142</v>
      </c>
      <c r="K272" s="134" t="s">
        <v>87</v>
      </c>
      <c r="L272" s="134" t="s">
        <v>1935</v>
      </c>
      <c r="M272" s="134" t="s">
        <v>2231</v>
      </c>
      <c r="N272" t="str">
        <f t="shared" si="34"/>
        <v>Jermaine Kearse</v>
      </c>
      <c r="W272" t="s">
        <v>152</v>
      </c>
      <c r="X272" t="s">
        <v>2142</v>
      </c>
      <c r="Y272" t="str">
        <f t="shared" si="37"/>
        <v>Willie Snead</v>
      </c>
      <c r="Z272">
        <f>IF(AND(ISERROR(MATCH(Y272,'ROS Proj'!$A$2:$A$561,0)),LEFT(X272)&lt;&gt;"D"),Z271+1,Z271)</f>
        <v>5</v>
      </c>
    </row>
    <row r="273" spans="1:26" ht="15.75" thickBot="1" x14ac:dyDescent="0.3">
      <c r="A273" t="str">
        <f t="shared" si="35"/>
        <v>Frank Gore</v>
      </c>
      <c r="B273" t="str">
        <f t="shared" si="36"/>
        <v>RB63</v>
      </c>
      <c r="D273" s="135" t="s">
        <v>3512</v>
      </c>
      <c r="E273" s="134" t="s">
        <v>87</v>
      </c>
      <c r="F273" s="134" t="s">
        <v>1862</v>
      </c>
      <c r="G273" s="134" t="s">
        <v>2232</v>
      </c>
      <c r="H273" t="str">
        <f t="shared" si="33"/>
        <v>Mack Hollins</v>
      </c>
      <c r="J273" s="135" t="s">
        <v>4143</v>
      </c>
      <c r="K273" s="134" t="s">
        <v>87</v>
      </c>
      <c r="L273" s="134" t="s">
        <v>1050</v>
      </c>
      <c r="M273" s="134" t="s">
        <v>2232</v>
      </c>
      <c r="N273" t="str">
        <f t="shared" si="34"/>
        <v>Jeremy Kerley</v>
      </c>
      <c r="W273" t="s">
        <v>128</v>
      </c>
      <c r="X273" t="s">
        <v>2125</v>
      </c>
      <c r="Y273" t="str">
        <f t="shared" si="37"/>
        <v>Frank Gore</v>
      </c>
      <c r="Z273">
        <f>IF(AND(ISERROR(MATCH(Y273,'ROS Proj'!$A$2:$A$561,0)),LEFT(X273)&lt;&gt;"D"),Z272+1,Z272)</f>
        <v>5</v>
      </c>
    </row>
    <row r="274" spans="1:26" ht="15.75" thickBot="1" x14ac:dyDescent="0.3">
      <c r="A274" t="str">
        <f t="shared" si="35"/>
        <v>Rishard Matthews</v>
      </c>
      <c r="B274" t="str">
        <f t="shared" si="36"/>
        <v>WR79</v>
      </c>
      <c r="D274" s="135" t="s">
        <v>3513</v>
      </c>
      <c r="E274" s="134" t="s">
        <v>87</v>
      </c>
      <c r="F274" s="134" t="s">
        <v>1935</v>
      </c>
      <c r="G274" s="134" t="s">
        <v>2233</v>
      </c>
      <c r="H274" t="str">
        <f t="shared" si="33"/>
        <v>Jermaine Kearse</v>
      </c>
      <c r="J274" s="135" t="s">
        <v>4144</v>
      </c>
      <c r="K274" s="134" t="s">
        <v>87</v>
      </c>
      <c r="L274" s="134" t="s">
        <v>1048</v>
      </c>
      <c r="M274" s="134" t="s">
        <v>2233</v>
      </c>
      <c r="N274" t="str">
        <f t="shared" si="34"/>
        <v>Laquon Treadwell</v>
      </c>
      <c r="W274" t="s">
        <v>173</v>
      </c>
      <c r="X274" t="s">
        <v>2143</v>
      </c>
      <c r="Y274" t="str">
        <f t="shared" si="37"/>
        <v>Rishard Matthews</v>
      </c>
      <c r="Z274">
        <f>IF(AND(ISERROR(MATCH(Y274,'ROS Proj'!$A$2:$A$561,0)),LEFT(X274)&lt;&gt;"D"),Z273+1,Z273)</f>
        <v>6</v>
      </c>
    </row>
    <row r="275" spans="1:26" ht="15.75" thickBot="1" x14ac:dyDescent="0.3">
      <c r="A275" t="str">
        <f t="shared" si="35"/>
        <v>Michael Gallup</v>
      </c>
      <c r="B275" t="str">
        <f t="shared" si="36"/>
        <v>WR80</v>
      </c>
      <c r="D275" s="135" t="s">
        <v>3514</v>
      </c>
      <c r="E275" s="134" t="s">
        <v>87</v>
      </c>
      <c r="F275" s="134" t="s">
        <v>1050</v>
      </c>
      <c r="G275" s="134" t="s">
        <v>2234</v>
      </c>
      <c r="H275" t="str">
        <f t="shared" si="33"/>
        <v>Jeremy Kerley</v>
      </c>
      <c r="J275" s="135" t="s">
        <v>4145</v>
      </c>
      <c r="K275" s="134" t="s">
        <v>87</v>
      </c>
      <c r="L275" s="134" t="s">
        <v>1909</v>
      </c>
      <c r="M275" s="134" t="s">
        <v>2234</v>
      </c>
      <c r="N275" t="str">
        <f t="shared" si="34"/>
        <v>Trent Taylor</v>
      </c>
      <c r="W275" t="s">
        <v>1408</v>
      </c>
      <c r="X275" t="s">
        <v>2144</v>
      </c>
      <c r="Y275" t="str">
        <f t="shared" si="37"/>
        <v>Michael Gallup</v>
      </c>
      <c r="Z275">
        <f>IF(AND(ISERROR(MATCH(Y275,'ROS Proj'!$A$2:$A$561,0)),LEFT(X275)&lt;&gt;"D"),Z274+1,Z274)</f>
        <v>6</v>
      </c>
    </row>
    <row r="276" spans="1:26" ht="15.75" thickBot="1" x14ac:dyDescent="0.3">
      <c r="A276" t="str">
        <f t="shared" si="35"/>
        <v>Paul Richardson</v>
      </c>
      <c r="B276" t="str">
        <f t="shared" si="36"/>
        <v>WR81</v>
      </c>
      <c r="D276" s="135" t="s">
        <v>3515</v>
      </c>
      <c r="E276" s="134" t="s">
        <v>87</v>
      </c>
      <c r="F276" s="134" t="s">
        <v>1042</v>
      </c>
      <c r="G276" s="134" t="s">
        <v>2235</v>
      </c>
      <c r="H276" t="str">
        <f t="shared" si="33"/>
        <v>Taylor Gabriel</v>
      </c>
      <c r="J276" s="135" t="s">
        <v>4146</v>
      </c>
      <c r="K276" s="134" t="s">
        <v>87</v>
      </c>
      <c r="L276" s="134" t="s">
        <v>1831</v>
      </c>
      <c r="M276" s="134" t="s">
        <v>2235</v>
      </c>
      <c r="N276" t="str">
        <f t="shared" si="34"/>
        <v>Torrey Smith</v>
      </c>
      <c r="W276" t="s">
        <v>223</v>
      </c>
      <c r="X276" t="s">
        <v>2157</v>
      </c>
      <c r="Y276" t="str">
        <f t="shared" si="37"/>
        <v>Paul Richardson</v>
      </c>
      <c r="Z276">
        <f>IF(AND(ISERROR(MATCH(Y276,'ROS Proj'!$A$2:$A$561,0)),LEFT(X276)&lt;&gt;"D"),Z275+1,Z275)</f>
        <v>6</v>
      </c>
    </row>
    <row r="277" spans="1:26" ht="15.75" thickBot="1" x14ac:dyDescent="0.3">
      <c r="A277" t="str">
        <f t="shared" si="35"/>
        <v>Chris Ivory</v>
      </c>
      <c r="B277" t="str">
        <f t="shared" si="36"/>
        <v>RB64</v>
      </c>
      <c r="D277" s="135" t="s">
        <v>3516</v>
      </c>
      <c r="E277" s="134" t="s">
        <v>47</v>
      </c>
      <c r="F277" s="134" t="s">
        <v>1909</v>
      </c>
      <c r="G277" s="134" t="s">
        <v>2236</v>
      </c>
      <c r="H277" t="str">
        <f t="shared" si="33"/>
        <v>Kyle Juszczyk</v>
      </c>
      <c r="J277" s="135" t="s">
        <v>4147</v>
      </c>
      <c r="K277" s="134" t="s">
        <v>47</v>
      </c>
      <c r="L277" s="134" t="s">
        <v>815</v>
      </c>
      <c r="M277" s="134" t="s">
        <v>2236</v>
      </c>
      <c r="N277" t="str">
        <f t="shared" si="34"/>
        <v>Robert Turbin</v>
      </c>
      <c r="W277" t="s">
        <v>280</v>
      </c>
      <c r="X277" t="s">
        <v>2126</v>
      </c>
      <c r="Y277" t="str">
        <f t="shared" si="37"/>
        <v>Chris Ivory</v>
      </c>
      <c r="Z277">
        <f>IF(AND(ISERROR(MATCH(Y277,'ROS Proj'!$A$2:$A$561,0)),LEFT(X277)&lt;&gt;"D"),Z276+1,Z276)</f>
        <v>6</v>
      </c>
    </row>
    <row r="278" spans="1:26" ht="15.75" thickBot="1" x14ac:dyDescent="0.3">
      <c r="A278" t="str">
        <f t="shared" si="35"/>
        <v>Tyrell Williams</v>
      </c>
      <c r="B278" t="str">
        <f t="shared" si="36"/>
        <v>WR82</v>
      </c>
      <c r="D278" s="135" t="s">
        <v>3517</v>
      </c>
      <c r="E278" s="134" t="s">
        <v>47</v>
      </c>
      <c r="F278" s="134" t="s">
        <v>1038</v>
      </c>
      <c r="G278" s="134" t="s">
        <v>2237</v>
      </c>
      <c r="H278" t="str">
        <f t="shared" si="33"/>
        <v>John Kelly</v>
      </c>
      <c r="J278" s="135" t="s">
        <v>4148</v>
      </c>
      <c r="K278" s="134" t="s">
        <v>47</v>
      </c>
      <c r="L278" s="134" t="s">
        <v>1052</v>
      </c>
      <c r="M278" s="134" t="s">
        <v>2237</v>
      </c>
      <c r="N278" t="str">
        <f t="shared" si="34"/>
        <v>Ito Smith</v>
      </c>
      <c r="W278" t="s">
        <v>210</v>
      </c>
      <c r="X278" t="s">
        <v>2158</v>
      </c>
      <c r="Y278" t="str">
        <f t="shared" si="37"/>
        <v>Tyrell Williams</v>
      </c>
      <c r="Z278">
        <f>IF(AND(ISERROR(MATCH(Y278,'ROS Proj'!$A$2:$A$561,0)),LEFT(X278)&lt;&gt;"D"),Z277+1,Z277)</f>
        <v>6</v>
      </c>
    </row>
    <row r="279" spans="1:26" ht="15.75" thickBot="1" x14ac:dyDescent="0.3">
      <c r="A279" t="str">
        <f t="shared" si="35"/>
        <v>Spencer Ware</v>
      </c>
      <c r="B279" t="str">
        <f t="shared" si="36"/>
        <v>RB65</v>
      </c>
      <c r="D279" s="135" t="s">
        <v>3518</v>
      </c>
      <c r="E279" s="134" t="s">
        <v>47</v>
      </c>
      <c r="F279" s="134" t="s">
        <v>1823</v>
      </c>
      <c r="G279" s="134" t="s">
        <v>2238</v>
      </c>
      <c r="H279" t="str">
        <f t="shared" si="33"/>
        <v>Corey Grant</v>
      </c>
      <c r="J279" s="135" t="s">
        <v>4149</v>
      </c>
      <c r="K279" s="134" t="s">
        <v>47</v>
      </c>
      <c r="L279" s="134" t="s">
        <v>1890</v>
      </c>
      <c r="M279" s="134" t="s">
        <v>2238</v>
      </c>
      <c r="N279" t="str">
        <f t="shared" si="34"/>
        <v>Kenneth Dixon</v>
      </c>
      <c r="W279" t="s">
        <v>1404</v>
      </c>
      <c r="X279" t="s">
        <v>2127</v>
      </c>
      <c r="Y279" t="str">
        <f t="shared" si="37"/>
        <v>Spencer Ware</v>
      </c>
      <c r="Z279">
        <f>IF(AND(ISERROR(MATCH(Y279,'ROS Proj'!$A$2:$A$561,0)),LEFT(X279)&lt;&gt;"D"),Z278+1,Z278)</f>
        <v>6</v>
      </c>
    </row>
    <row r="280" spans="1:26" ht="15.75" thickBot="1" x14ac:dyDescent="0.3">
      <c r="A280" t="str">
        <f t="shared" si="35"/>
        <v>Rashard Higgins</v>
      </c>
      <c r="B280" t="str">
        <f t="shared" si="36"/>
        <v>WR83</v>
      </c>
      <c r="D280" s="135" t="s">
        <v>3519</v>
      </c>
      <c r="E280" s="134" t="s">
        <v>47</v>
      </c>
      <c r="F280" s="134" t="s">
        <v>1865</v>
      </c>
      <c r="G280" s="134" t="s">
        <v>2239</v>
      </c>
      <c r="H280" t="str">
        <f t="shared" si="33"/>
        <v>C.J. Prosise</v>
      </c>
      <c r="J280" s="135" t="s">
        <v>4150</v>
      </c>
      <c r="K280" s="134" t="s">
        <v>47</v>
      </c>
      <c r="L280" s="134" t="s">
        <v>815</v>
      </c>
      <c r="M280" s="134" t="s">
        <v>2239</v>
      </c>
      <c r="N280" t="str">
        <f t="shared" si="34"/>
        <v>Christine Michael</v>
      </c>
      <c r="W280" t="s">
        <v>798</v>
      </c>
      <c r="X280" t="s">
        <v>2160</v>
      </c>
      <c r="Y280" t="str">
        <f t="shared" si="37"/>
        <v>Rashard Higgins</v>
      </c>
      <c r="Z280">
        <f>IF(AND(ISERROR(MATCH(Y280,'ROS Proj'!$A$2:$A$561,0)),LEFT(X280)&lt;&gt;"D"),Z279+1,Z279)</f>
        <v>6</v>
      </c>
    </row>
    <row r="281" spans="1:26" ht="15.75" thickBot="1" x14ac:dyDescent="0.3">
      <c r="A281" t="str">
        <f t="shared" si="35"/>
        <v>Kenneth Dixon</v>
      </c>
      <c r="B281" t="str">
        <f t="shared" si="36"/>
        <v>RB66</v>
      </c>
      <c r="D281" s="135" t="s">
        <v>3520</v>
      </c>
      <c r="E281" s="134" t="s">
        <v>47</v>
      </c>
      <c r="F281" s="134" t="s">
        <v>1834</v>
      </c>
      <c r="G281" s="134" t="s">
        <v>2240</v>
      </c>
      <c r="H281" t="str">
        <f t="shared" si="33"/>
        <v>Mark Walton</v>
      </c>
      <c r="J281" s="135" t="s">
        <v>4151</v>
      </c>
      <c r="K281" s="134" t="s">
        <v>47</v>
      </c>
      <c r="L281" s="134" t="s">
        <v>1045</v>
      </c>
      <c r="M281" s="134" t="s">
        <v>2240</v>
      </c>
      <c r="N281" t="str">
        <f t="shared" si="34"/>
        <v>Rob Kelley</v>
      </c>
      <c r="W281" t="s">
        <v>1406</v>
      </c>
      <c r="X281" t="s">
        <v>2128</v>
      </c>
      <c r="Y281" t="str">
        <f t="shared" si="37"/>
        <v>Kenneth Dixon</v>
      </c>
      <c r="Z281">
        <f>IF(AND(ISERROR(MATCH(Y281,'ROS Proj'!$A$2:$A$561,0)),LEFT(X281)&lt;&gt;"D"),Z280+1,Z280)</f>
        <v>6</v>
      </c>
    </row>
    <row r="282" spans="1:26" ht="15.75" thickBot="1" x14ac:dyDescent="0.3">
      <c r="A282" t="str">
        <f t="shared" si="35"/>
        <v>Jakeem Grant</v>
      </c>
      <c r="B282" t="str">
        <f t="shared" si="36"/>
        <v>WR84</v>
      </c>
      <c r="D282" s="135" t="s">
        <v>3521</v>
      </c>
      <c r="E282" s="134" t="s">
        <v>47</v>
      </c>
      <c r="F282" s="134" t="s">
        <v>1870</v>
      </c>
      <c r="G282" s="134" t="s">
        <v>2241</v>
      </c>
      <c r="H282" t="str">
        <f t="shared" si="33"/>
        <v>Jalen Richard</v>
      </c>
      <c r="J282" s="135" t="s">
        <v>4152</v>
      </c>
      <c r="K282" s="134" t="s">
        <v>47</v>
      </c>
      <c r="L282" s="134" t="s">
        <v>1040</v>
      </c>
      <c r="M282" s="134" t="s">
        <v>2241</v>
      </c>
      <c r="N282" t="str">
        <f t="shared" si="34"/>
        <v>Jaylen Samuels</v>
      </c>
      <c r="W282" t="s">
        <v>378</v>
      </c>
      <c r="X282" t="s">
        <v>2162</v>
      </c>
      <c r="Y282" t="str">
        <f t="shared" si="37"/>
        <v>Jakeem Grant</v>
      </c>
      <c r="Z282">
        <f>IF(AND(ISERROR(MATCH(Y282,'ROS Proj'!$A$2:$A$561,0)),LEFT(X282)&lt;&gt;"D"),Z281+1,Z281)</f>
        <v>6</v>
      </c>
    </row>
    <row r="283" spans="1:26" ht="15.75" thickBot="1" x14ac:dyDescent="0.3">
      <c r="A283" t="str">
        <f t="shared" si="35"/>
        <v>Phillip Dorsett</v>
      </c>
      <c r="B283" t="str">
        <f t="shared" si="36"/>
        <v>WR85</v>
      </c>
      <c r="D283" s="135" t="s">
        <v>3522</v>
      </c>
      <c r="E283" s="134" t="s">
        <v>47</v>
      </c>
      <c r="F283" s="134" t="s">
        <v>1806</v>
      </c>
      <c r="G283" s="134" t="s">
        <v>2242</v>
      </c>
      <c r="H283" t="str">
        <f t="shared" si="33"/>
        <v>T.J. Logan</v>
      </c>
      <c r="J283" s="135" t="s">
        <v>4153</v>
      </c>
      <c r="K283" s="134" t="s">
        <v>47</v>
      </c>
      <c r="L283" s="134" t="s">
        <v>1038</v>
      </c>
      <c r="M283" s="134" t="s">
        <v>2242</v>
      </c>
      <c r="N283" t="str">
        <f t="shared" si="34"/>
        <v>Malcolm Brown</v>
      </c>
      <c r="W283" t="s">
        <v>243</v>
      </c>
      <c r="X283" t="s">
        <v>2164</v>
      </c>
      <c r="Y283" t="str">
        <f t="shared" si="37"/>
        <v>Phillip Dorsett</v>
      </c>
      <c r="Z283">
        <f>IF(AND(ISERROR(MATCH(Y283,'ROS Proj'!$A$2:$A$561,0)),LEFT(X283)&lt;&gt;"D"),Z282+1,Z282)</f>
        <v>6</v>
      </c>
    </row>
    <row r="284" spans="1:26" ht="15.75" thickBot="1" x14ac:dyDescent="0.3">
      <c r="A284" t="str">
        <f t="shared" si="35"/>
        <v>Doug Martin</v>
      </c>
      <c r="B284" t="str">
        <f t="shared" si="36"/>
        <v>RB67</v>
      </c>
      <c r="D284" s="135" t="s">
        <v>3523</v>
      </c>
      <c r="E284" s="134" t="s">
        <v>47</v>
      </c>
      <c r="F284" s="134" t="s">
        <v>1053</v>
      </c>
      <c r="G284" s="134" t="s">
        <v>2243</v>
      </c>
      <c r="H284" t="str">
        <f t="shared" si="33"/>
        <v>Kalen Ballage</v>
      </c>
      <c r="J284" s="135" t="s">
        <v>4154</v>
      </c>
      <c r="K284" s="134" t="s">
        <v>47</v>
      </c>
      <c r="L284" s="134" t="s">
        <v>1935</v>
      </c>
      <c r="M284" s="134" t="s">
        <v>2243</v>
      </c>
      <c r="N284" t="str">
        <f t="shared" si="34"/>
        <v>Trenton Cannon</v>
      </c>
      <c r="W284" t="s">
        <v>101</v>
      </c>
      <c r="X284" t="s">
        <v>2129</v>
      </c>
      <c r="Y284" t="str">
        <f t="shared" si="37"/>
        <v>Doug Martin</v>
      </c>
      <c r="Z284">
        <f>IF(AND(ISERROR(MATCH(Y284,'ROS Proj'!$A$2:$A$561,0)),LEFT(X284)&lt;&gt;"D"),Z283+1,Z283)</f>
        <v>6</v>
      </c>
    </row>
    <row r="285" spans="1:26" ht="15.75" thickBot="1" x14ac:dyDescent="0.3">
      <c r="A285" t="str">
        <f t="shared" si="35"/>
        <v>Cole Beasley</v>
      </c>
      <c r="B285" t="str">
        <f t="shared" si="36"/>
        <v>WR86</v>
      </c>
      <c r="D285" s="135" t="s">
        <v>3524</v>
      </c>
      <c r="E285" s="134" t="s">
        <v>87</v>
      </c>
      <c r="F285" s="134" t="s">
        <v>1831</v>
      </c>
      <c r="G285" s="134" t="s">
        <v>2244</v>
      </c>
      <c r="H285" t="str">
        <f t="shared" si="33"/>
        <v>Curtis Samuel</v>
      </c>
      <c r="J285" s="135" t="s">
        <v>4155</v>
      </c>
      <c r="K285" s="134" t="s">
        <v>87</v>
      </c>
      <c r="L285" s="134" t="s">
        <v>815</v>
      </c>
      <c r="M285" s="134" t="s">
        <v>2244</v>
      </c>
      <c r="N285" t="str">
        <f t="shared" si="34"/>
        <v>Chester Rogers</v>
      </c>
      <c r="W285" t="s">
        <v>197</v>
      </c>
      <c r="X285" t="s">
        <v>2166</v>
      </c>
      <c r="Y285" t="str">
        <f t="shared" si="37"/>
        <v>Cole Beasley</v>
      </c>
      <c r="Z285">
        <f>IF(AND(ISERROR(MATCH(Y285,'ROS Proj'!$A$2:$A$561,0)),LEFT(X285)&lt;&gt;"D"),Z284+1,Z284)</f>
        <v>6</v>
      </c>
    </row>
    <row r="286" spans="1:26" ht="15.75" thickBot="1" x14ac:dyDescent="0.3">
      <c r="A286" t="str">
        <f t="shared" si="35"/>
        <v>Albert Wilson</v>
      </c>
      <c r="B286" t="str">
        <f t="shared" si="36"/>
        <v>WR87</v>
      </c>
      <c r="D286" s="134" t="s">
        <v>2245</v>
      </c>
      <c r="E286" s="134" t="s">
        <v>2054</v>
      </c>
      <c r="F286" s="134" t="s">
        <v>1044</v>
      </c>
      <c r="G286" s="134" t="s">
        <v>2246</v>
      </c>
      <c r="H286" t="str">
        <f t="shared" si="33"/>
        <v>Cowboys D/ST</v>
      </c>
      <c r="J286" s="134" t="s">
        <v>2245</v>
      </c>
      <c r="K286" s="134" t="s">
        <v>2054</v>
      </c>
      <c r="L286" s="134" t="s">
        <v>1044</v>
      </c>
      <c r="M286" s="134" t="s">
        <v>2246</v>
      </c>
      <c r="N286" t="str">
        <f t="shared" si="34"/>
        <v>Cowboys D/ST</v>
      </c>
      <c r="W286" t="s">
        <v>273</v>
      </c>
      <c r="X286" t="s">
        <v>2168</v>
      </c>
      <c r="Y286" t="str">
        <f t="shared" si="37"/>
        <v>Albert Wilson</v>
      </c>
      <c r="Z286">
        <f>IF(AND(ISERROR(MATCH(Y286,'ROS Proj'!$A$2:$A$561,0)),LEFT(X286)&lt;&gt;"D"),Z285+1,Z285)</f>
        <v>6</v>
      </c>
    </row>
    <row r="287" spans="1:26" ht="15.75" thickBot="1" x14ac:dyDescent="0.3">
      <c r="A287" t="str">
        <f t="shared" si="35"/>
        <v>Chris Conley</v>
      </c>
      <c r="B287" t="str">
        <f t="shared" si="36"/>
        <v>WR88</v>
      </c>
      <c r="D287" s="134" t="s">
        <v>2247</v>
      </c>
      <c r="E287" s="134" t="s">
        <v>2054</v>
      </c>
      <c r="F287" s="134" t="s">
        <v>1842</v>
      </c>
      <c r="G287" s="134" t="s">
        <v>2248</v>
      </c>
      <c r="H287" t="str">
        <f t="shared" si="33"/>
        <v>Packers D/ST</v>
      </c>
      <c r="J287" s="134" t="s">
        <v>2247</v>
      </c>
      <c r="K287" s="134" t="s">
        <v>2054</v>
      </c>
      <c r="L287" s="134" t="s">
        <v>1842</v>
      </c>
      <c r="M287" s="134" t="s">
        <v>2248</v>
      </c>
      <c r="N287" t="str">
        <f t="shared" si="34"/>
        <v>Packers D/ST</v>
      </c>
      <c r="W287" t="s">
        <v>1124</v>
      </c>
      <c r="X287" t="s">
        <v>2169</v>
      </c>
      <c r="Y287" t="str">
        <f t="shared" si="37"/>
        <v>Chris Conley</v>
      </c>
      <c r="Z287">
        <f>IF(AND(ISERROR(MATCH(Y287,'ROS Proj'!$A$2:$A$561,0)),LEFT(X287)&lt;&gt;"D"),Z286+1,Z286)</f>
        <v>6</v>
      </c>
    </row>
    <row r="288" spans="1:26" ht="15.75" thickBot="1" x14ac:dyDescent="0.3">
      <c r="A288" t="str">
        <f t="shared" si="35"/>
        <v>Alfred Blue</v>
      </c>
      <c r="B288" t="str">
        <f t="shared" si="36"/>
        <v>RB68</v>
      </c>
      <c r="D288" s="135" t="s">
        <v>2249</v>
      </c>
      <c r="E288" s="134" t="s">
        <v>478</v>
      </c>
      <c r="F288" s="134" t="s">
        <v>1045</v>
      </c>
      <c r="G288" s="134" t="s">
        <v>2250</v>
      </c>
      <c r="H288" t="str">
        <f t="shared" si="33"/>
        <v>Dustin Hopkins</v>
      </c>
      <c r="J288" s="135" t="s">
        <v>2249</v>
      </c>
      <c r="K288" s="134" t="s">
        <v>478</v>
      </c>
      <c r="L288" s="134" t="s">
        <v>1045</v>
      </c>
      <c r="M288" s="134" t="s">
        <v>2250</v>
      </c>
      <c r="N288" t="str">
        <f t="shared" si="34"/>
        <v>Dustin Hopkins</v>
      </c>
      <c r="W288" t="s">
        <v>294</v>
      </c>
      <c r="X288" t="s">
        <v>2130</v>
      </c>
      <c r="Y288" t="str">
        <f t="shared" si="37"/>
        <v>Alfred Blue</v>
      </c>
      <c r="Z288">
        <f>IF(AND(ISERROR(MATCH(Y288,'ROS Proj'!$A$2:$A$561,0)),LEFT(X288)&lt;&gt;"D"),Z287+1,Z287)</f>
        <v>6</v>
      </c>
    </row>
    <row r="289" spans="1:26" ht="15.75" thickBot="1" x14ac:dyDescent="0.3">
      <c r="A289" t="str">
        <f t="shared" si="35"/>
        <v>Tavon Austin</v>
      </c>
      <c r="B289" t="str">
        <f t="shared" si="36"/>
        <v>WR89</v>
      </c>
      <c r="D289" s="135" t="s">
        <v>2251</v>
      </c>
      <c r="E289" s="134" t="s">
        <v>478</v>
      </c>
      <c r="F289" s="134" t="s">
        <v>1845</v>
      </c>
      <c r="G289" s="134" t="s">
        <v>2252</v>
      </c>
      <c r="H289" t="str">
        <f t="shared" si="33"/>
        <v>Chandler Catanzaro</v>
      </c>
      <c r="J289" s="135" t="s">
        <v>2251</v>
      </c>
      <c r="K289" s="134" t="s">
        <v>478</v>
      </c>
      <c r="L289" s="134" t="s">
        <v>1845</v>
      </c>
      <c r="M289" s="134" t="s">
        <v>2252</v>
      </c>
      <c r="N289" t="str">
        <f t="shared" si="34"/>
        <v>Chandler Catanzaro</v>
      </c>
      <c r="W289" t="s">
        <v>190</v>
      </c>
      <c r="X289" t="s">
        <v>2170</v>
      </c>
      <c r="Y289" t="str">
        <f t="shared" si="37"/>
        <v>Tavon Austin</v>
      </c>
      <c r="Z289">
        <f>IF(AND(ISERROR(MATCH(Y289,'ROS Proj'!$A$2:$A$561,0)),LEFT(X289)&lt;&gt;"D"),Z288+1,Z288)</f>
        <v>6</v>
      </c>
    </row>
    <row r="290" spans="1:26" ht="15.75" thickBot="1" x14ac:dyDescent="0.3">
      <c r="A290" t="str">
        <f t="shared" si="35"/>
        <v>Jalen Richard</v>
      </c>
      <c r="B290" t="str">
        <f t="shared" si="36"/>
        <v>RB69</v>
      </c>
      <c r="D290" s="135" t="s">
        <v>3525</v>
      </c>
      <c r="E290" s="134" t="s">
        <v>114</v>
      </c>
      <c r="F290" s="134" t="s">
        <v>1044</v>
      </c>
      <c r="G290" s="134" t="s">
        <v>2253</v>
      </c>
      <c r="H290" t="str">
        <f t="shared" si="33"/>
        <v>Blake Jarwin</v>
      </c>
      <c r="J290" s="135" t="s">
        <v>4156</v>
      </c>
      <c r="K290" s="134" t="s">
        <v>114</v>
      </c>
      <c r="L290" s="134" t="s">
        <v>1044</v>
      </c>
      <c r="M290" s="134" t="s">
        <v>2253</v>
      </c>
      <c r="N290" t="str">
        <f t="shared" si="34"/>
        <v>Geoff Swaim</v>
      </c>
      <c r="W290" t="s">
        <v>232</v>
      </c>
      <c r="X290" t="s">
        <v>2131</v>
      </c>
      <c r="Y290" t="str">
        <f t="shared" si="37"/>
        <v>Jalen Richard</v>
      </c>
      <c r="Z290">
        <f>IF(AND(ISERROR(MATCH(Y290,'ROS Proj'!$A$2:$A$561,0)),LEFT(X290)&lt;&gt;"D"),Z289+1,Z289)</f>
        <v>6</v>
      </c>
    </row>
    <row r="291" spans="1:26" ht="15.75" thickBot="1" x14ac:dyDescent="0.3">
      <c r="A291" t="str">
        <f t="shared" si="35"/>
        <v>Devontae Booker</v>
      </c>
      <c r="B291" t="str">
        <f t="shared" si="36"/>
        <v>RB70</v>
      </c>
      <c r="D291" s="135" t="s">
        <v>3526</v>
      </c>
      <c r="E291" s="134" t="s">
        <v>114</v>
      </c>
      <c r="F291" s="134" t="s">
        <v>1834</v>
      </c>
      <c r="G291" s="134" t="s">
        <v>2254</v>
      </c>
      <c r="H291" t="str">
        <f t="shared" si="33"/>
        <v>Tyler Kroft</v>
      </c>
      <c r="J291" s="135" t="s">
        <v>4157</v>
      </c>
      <c r="K291" s="134" t="s">
        <v>114</v>
      </c>
      <c r="L291" s="134" t="s">
        <v>1053</v>
      </c>
      <c r="M291" s="134" t="s">
        <v>2254</v>
      </c>
      <c r="N291" t="str">
        <f t="shared" si="34"/>
        <v>Mike Gesicki</v>
      </c>
      <c r="W291" t="s">
        <v>275</v>
      </c>
      <c r="X291" t="s">
        <v>2132</v>
      </c>
      <c r="Y291" t="str">
        <f t="shared" si="37"/>
        <v>Devontae Booker</v>
      </c>
      <c r="Z291">
        <f>IF(AND(ISERROR(MATCH(Y291,'ROS Proj'!$A$2:$A$561,0)),LEFT(X291)&lt;&gt;"D"),Z290+1,Z290)</f>
        <v>6</v>
      </c>
    </row>
    <row r="292" spans="1:26" ht="15.75" thickBot="1" x14ac:dyDescent="0.3">
      <c r="A292" t="str">
        <f t="shared" si="35"/>
        <v>Corey Grant</v>
      </c>
      <c r="B292" t="str">
        <f t="shared" si="36"/>
        <v>RB71</v>
      </c>
      <c r="D292" s="135" t="s">
        <v>2255</v>
      </c>
      <c r="E292" s="134" t="s">
        <v>114</v>
      </c>
      <c r="F292" s="134" t="s">
        <v>1045</v>
      </c>
      <c r="G292" s="134" t="s">
        <v>2256</v>
      </c>
      <c r="H292" t="str">
        <f t="shared" si="33"/>
        <v>Vernon Davis</v>
      </c>
      <c r="J292" s="135" t="s">
        <v>2255</v>
      </c>
      <c r="K292" s="134" t="s">
        <v>114</v>
      </c>
      <c r="L292" s="134" t="s">
        <v>1045</v>
      </c>
      <c r="M292" s="134" t="s">
        <v>2256</v>
      </c>
      <c r="N292" t="str">
        <f t="shared" si="34"/>
        <v>Vernon Davis</v>
      </c>
      <c r="W292" t="s">
        <v>316</v>
      </c>
      <c r="X292" t="s">
        <v>2133</v>
      </c>
      <c r="Y292" t="str">
        <f t="shared" si="37"/>
        <v>Corey Grant</v>
      </c>
      <c r="Z292">
        <f>IF(AND(ISERROR(MATCH(Y292,'ROS Proj'!$A$2:$A$561,0)),LEFT(X292)&lt;&gt;"D"),Z291+1,Z291)</f>
        <v>6</v>
      </c>
    </row>
    <row r="293" spans="1:26" ht="15.75" thickBot="1" x14ac:dyDescent="0.3">
      <c r="A293" t="str">
        <f t="shared" si="35"/>
        <v>Terrelle Pryor</v>
      </c>
      <c r="B293" t="str">
        <f t="shared" si="36"/>
        <v>WR90</v>
      </c>
      <c r="D293" s="135" t="s">
        <v>3527</v>
      </c>
      <c r="E293" s="134" t="s">
        <v>114</v>
      </c>
      <c r="F293" s="134" t="s">
        <v>1038</v>
      </c>
      <c r="G293" s="134" t="s">
        <v>2257</v>
      </c>
      <c r="H293" t="str">
        <f t="shared" si="33"/>
        <v>Gerald Everett</v>
      </c>
      <c r="J293" s="135" t="s">
        <v>4158</v>
      </c>
      <c r="K293" s="134" t="s">
        <v>114</v>
      </c>
      <c r="L293" s="134" t="s">
        <v>1882</v>
      </c>
      <c r="M293" s="134" t="s">
        <v>2257</v>
      </c>
      <c r="N293" t="str">
        <f t="shared" si="34"/>
        <v>Luke Willson</v>
      </c>
      <c r="W293" t="s">
        <v>2758</v>
      </c>
      <c r="X293" t="s">
        <v>2171</v>
      </c>
      <c r="Y293" t="str">
        <f t="shared" si="37"/>
        <v>Terrelle Pryor</v>
      </c>
      <c r="Z293">
        <f>IF(AND(ISERROR(MATCH(Y293,'ROS Proj'!$A$2:$A$561,0)),LEFT(X293)&lt;&gt;"D"),Z292+1,Z292)</f>
        <v>7</v>
      </c>
    </row>
    <row r="294" spans="1:26" ht="15.75" thickBot="1" x14ac:dyDescent="0.3">
      <c r="A294" t="str">
        <f t="shared" si="35"/>
        <v>Tre'Quan Smith</v>
      </c>
      <c r="B294" t="str">
        <f t="shared" si="36"/>
        <v>WR91</v>
      </c>
      <c r="D294" s="135" t="s">
        <v>3528</v>
      </c>
      <c r="E294" s="134" t="s">
        <v>114</v>
      </c>
      <c r="F294" s="134" t="s">
        <v>1038</v>
      </c>
      <c r="G294" s="134" t="s">
        <v>2258</v>
      </c>
      <c r="H294" t="str">
        <f t="shared" ref="H294:H301" si="38">RIGHT(D294,LEN(D294)-5)</f>
        <v>Tyler Higbee</v>
      </c>
      <c r="J294" s="135" t="s">
        <v>4159</v>
      </c>
      <c r="K294" s="134" t="s">
        <v>114</v>
      </c>
      <c r="L294" s="134" t="s">
        <v>1862</v>
      </c>
      <c r="M294" s="134" t="s">
        <v>2258</v>
      </c>
      <c r="N294" t="str">
        <f t="shared" ref="N294:N301" si="39">RIGHT(J294,LEN(J294)-5)</f>
        <v>Dallas Goedert</v>
      </c>
      <c r="W294" t="s">
        <v>4217</v>
      </c>
      <c r="X294" t="s">
        <v>2195</v>
      </c>
      <c r="Y294" t="str">
        <f t="shared" si="37"/>
        <v>Tre'Quan Smith</v>
      </c>
      <c r="Z294">
        <f>IF(AND(ISERROR(MATCH(Y294,'ROS Proj'!$A$2:$A$561,0)),LEFT(X294)&lt;&gt;"D"),Z293+1,Z293)</f>
        <v>7</v>
      </c>
    </row>
    <row r="295" spans="1:26" ht="15.75" thickBot="1" x14ac:dyDescent="0.3">
      <c r="A295" t="str">
        <f t="shared" si="35"/>
        <v>Nick Vannett</v>
      </c>
      <c r="B295" t="str">
        <f t="shared" si="36"/>
        <v>TE31</v>
      </c>
      <c r="D295" s="135" t="s">
        <v>3529</v>
      </c>
      <c r="E295" s="134" t="s">
        <v>87</v>
      </c>
      <c r="F295" s="134" t="s">
        <v>1909</v>
      </c>
      <c r="G295" s="134" t="s">
        <v>2259</v>
      </c>
      <c r="H295" t="str">
        <f t="shared" si="38"/>
        <v>Trent Taylor</v>
      </c>
      <c r="J295" s="135" t="s">
        <v>4160</v>
      </c>
      <c r="K295" s="134" t="s">
        <v>87</v>
      </c>
      <c r="L295" s="134" t="s">
        <v>1870</v>
      </c>
      <c r="M295" s="134" t="s">
        <v>2259</v>
      </c>
      <c r="N295" t="str">
        <f t="shared" si="39"/>
        <v>Seth Roberts</v>
      </c>
      <c r="W295" t="s">
        <v>362</v>
      </c>
      <c r="X295" t="s">
        <v>2254</v>
      </c>
      <c r="Y295" t="str">
        <f t="shared" si="37"/>
        <v>Nick Vannett</v>
      </c>
      <c r="Z295">
        <f>IF(AND(ISERROR(MATCH(Y295,'ROS Proj'!$A$2:$A$561,0)),LEFT(X295)&lt;&gt;"D"),Z294+1,Z294)</f>
        <v>7</v>
      </c>
    </row>
    <row r="296" spans="1:26" ht="15.75" thickBot="1" x14ac:dyDescent="0.3">
      <c r="A296" t="str">
        <f t="shared" si="35"/>
        <v>Danny Amendola</v>
      </c>
      <c r="B296" t="str">
        <f t="shared" si="36"/>
        <v>WR92</v>
      </c>
      <c r="D296" s="135" t="s">
        <v>3530</v>
      </c>
      <c r="E296" s="134" t="s">
        <v>87</v>
      </c>
      <c r="F296" s="134" t="s">
        <v>1048</v>
      </c>
      <c r="G296" s="134" t="s">
        <v>2260</v>
      </c>
      <c r="H296" t="str">
        <f t="shared" si="38"/>
        <v>Laquon Treadwell</v>
      </c>
      <c r="J296" s="135" t="s">
        <v>4161</v>
      </c>
      <c r="K296" s="134" t="s">
        <v>87</v>
      </c>
      <c r="L296" s="134" t="s">
        <v>1831</v>
      </c>
      <c r="M296" s="134" t="s">
        <v>2260</v>
      </c>
      <c r="N296" t="str">
        <f t="shared" si="39"/>
        <v>Jarius Wright</v>
      </c>
      <c r="W296" t="s">
        <v>227</v>
      </c>
      <c r="X296" t="s">
        <v>2197</v>
      </c>
      <c r="Y296" t="str">
        <f t="shared" si="37"/>
        <v>Danny Amendola</v>
      </c>
      <c r="Z296">
        <f>IF(AND(ISERROR(MATCH(Y296,'ROS Proj'!$A$2:$A$561,0)),LEFT(X296)&lt;&gt;"D"),Z295+1,Z295)</f>
        <v>7</v>
      </c>
    </row>
    <row r="297" spans="1:26" ht="15.75" thickBot="1" x14ac:dyDescent="0.3">
      <c r="A297" t="str">
        <f t="shared" si="35"/>
        <v>Jaron Brown</v>
      </c>
      <c r="B297" t="str">
        <f t="shared" si="36"/>
        <v>WR93</v>
      </c>
      <c r="D297" s="135" t="s">
        <v>3531</v>
      </c>
      <c r="E297" s="134" t="s">
        <v>15</v>
      </c>
      <c r="F297" s="134" t="s">
        <v>1050</v>
      </c>
      <c r="G297" s="134" t="s">
        <v>2261</v>
      </c>
      <c r="H297" t="str">
        <f t="shared" si="38"/>
        <v>Nathan Peterman</v>
      </c>
      <c r="J297" s="135" t="s">
        <v>4162</v>
      </c>
      <c r="K297" s="134" t="s">
        <v>15</v>
      </c>
      <c r="L297" s="134" t="s">
        <v>1050</v>
      </c>
      <c r="M297" s="134" t="s">
        <v>2261</v>
      </c>
      <c r="N297" t="str">
        <f t="shared" si="39"/>
        <v>Josh Allen</v>
      </c>
      <c r="W297" t="s">
        <v>338</v>
      </c>
      <c r="X297" t="s">
        <v>2211</v>
      </c>
      <c r="Y297" t="str">
        <f t="shared" si="37"/>
        <v>Jaron Brown</v>
      </c>
      <c r="Z297">
        <f>IF(AND(ISERROR(MATCH(Y297,'ROS Proj'!$A$2:$A$561,0)),LEFT(X297)&lt;&gt;"D"),Z296+1,Z296)</f>
        <v>7</v>
      </c>
    </row>
    <row r="298" spans="1:26" ht="15.75" thickBot="1" x14ac:dyDescent="0.3">
      <c r="A298" t="str">
        <f t="shared" si="35"/>
        <v>Josh McCown</v>
      </c>
      <c r="B298" t="str">
        <f t="shared" si="36"/>
        <v>QB41</v>
      </c>
      <c r="D298" s="134" t="s">
        <v>2262</v>
      </c>
      <c r="E298" s="134" t="s">
        <v>2054</v>
      </c>
      <c r="F298" s="134" t="s">
        <v>1882</v>
      </c>
      <c r="G298" s="134" t="s">
        <v>2263</v>
      </c>
      <c r="H298" t="str">
        <f t="shared" si="38"/>
        <v>Lions D/ST</v>
      </c>
      <c r="J298" s="134" t="s">
        <v>2262</v>
      </c>
      <c r="K298" s="134" t="s">
        <v>2054</v>
      </c>
      <c r="L298" s="134" t="s">
        <v>1882</v>
      </c>
      <c r="M298" s="134" t="s">
        <v>2263</v>
      </c>
      <c r="N298" t="str">
        <f t="shared" si="39"/>
        <v>Lions D/ST</v>
      </c>
      <c r="W298" t="s">
        <v>88</v>
      </c>
      <c r="X298" t="s">
        <v>4924</v>
      </c>
      <c r="Y298" t="str">
        <f t="shared" si="37"/>
        <v>Josh McCown</v>
      </c>
      <c r="Z298">
        <f>IF(AND(ISERROR(MATCH(Y298,'ROS Proj'!$A$2:$A$561,0)),LEFT(X298)&lt;&gt;"D"),Z297+1,Z297)</f>
        <v>7</v>
      </c>
    </row>
    <row r="299" spans="1:26" ht="15.75" thickBot="1" x14ac:dyDescent="0.3">
      <c r="A299" t="str">
        <f t="shared" si="35"/>
        <v>Sam Bradford</v>
      </c>
      <c r="B299" t="str">
        <f t="shared" si="36"/>
        <v>QB42</v>
      </c>
      <c r="D299" s="134" t="s">
        <v>2264</v>
      </c>
      <c r="E299" s="134" t="s">
        <v>2054</v>
      </c>
      <c r="F299" s="134" t="s">
        <v>1834</v>
      </c>
      <c r="G299" s="134" t="s">
        <v>2265</v>
      </c>
      <c r="H299" t="str">
        <f t="shared" si="38"/>
        <v>Bengals D/ST</v>
      </c>
      <c r="J299" s="134" t="s">
        <v>2264</v>
      </c>
      <c r="K299" s="134" t="s">
        <v>2054</v>
      </c>
      <c r="L299" s="134" t="s">
        <v>1834</v>
      </c>
      <c r="M299" s="134" t="s">
        <v>2265</v>
      </c>
      <c r="N299" t="str">
        <f t="shared" si="39"/>
        <v>Bengals D/ST</v>
      </c>
      <c r="W299" t="s">
        <v>78</v>
      </c>
      <c r="X299" t="s">
        <v>4926</v>
      </c>
      <c r="Y299" t="str">
        <f t="shared" si="37"/>
        <v>Sam Bradford</v>
      </c>
      <c r="Z299">
        <f>IF(AND(ISERROR(MATCH(Y299,'ROS Proj'!$A$2:$A$561,0)),LEFT(X299)&lt;&gt;"D"),Z298+1,Z298)</f>
        <v>7</v>
      </c>
    </row>
    <row r="300" spans="1:26" ht="15.75" thickBot="1" x14ac:dyDescent="0.3">
      <c r="A300">
        <f t="shared" si="35"/>
        <v>0</v>
      </c>
      <c r="B300">
        <f t="shared" si="36"/>
        <v>0</v>
      </c>
      <c r="D300" s="134" t="s">
        <v>2266</v>
      </c>
      <c r="E300" s="134" t="s">
        <v>2054</v>
      </c>
      <c r="F300" s="134" t="s">
        <v>1821</v>
      </c>
      <c r="G300" s="134" t="s">
        <v>2267</v>
      </c>
      <c r="H300" t="str">
        <f t="shared" si="38"/>
        <v>Chiefs D/ST</v>
      </c>
      <c r="J300" s="134" t="s">
        <v>2266</v>
      </c>
      <c r="K300" s="134" t="s">
        <v>2054</v>
      </c>
      <c r="L300" s="134" t="s">
        <v>1821</v>
      </c>
      <c r="M300" s="134" t="s">
        <v>2267</v>
      </c>
      <c r="N300" t="str">
        <f t="shared" si="39"/>
        <v>Chiefs D/ST</v>
      </c>
      <c r="Y300">
        <f t="shared" si="37"/>
        <v>0</v>
      </c>
      <c r="Z300">
        <f>IF(AND(ISERROR(MATCH(Y300,'ROS Proj'!$A$2:$A$561,0)),LEFT(X300)&lt;&gt;"D"),Z299+1,Z299)</f>
        <v>8</v>
      </c>
    </row>
    <row r="301" spans="1:26" x14ac:dyDescent="0.25">
      <c r="A301">
        <f t="shared" si="35"/>
        <v>0</v>
      </c>
      <c r="B301">
        <f t="shared" si="36"/>
        <v>0</v>
      </c>
      <c r="D301" s="134" t="s">
        <v>2268</v>
      </c>
      <c r="E301" s="134" t="s">
        <v>2054</v>
      </c>
      <c r="F301" s="134" t="s">
        <v>1865</v>
      </c>
      <c r="G301" s="134" t="s">
        <v>2269</v>
      </c>
      <c r="H301" t="str">
        <f t="shared" si="38"/>
        <v>Seahawks D/ST</v>
      </c>
      <c r="J301" s="134" t="s">
        <v>2268</v>
      </c>
      <c r="K301" s="134" t="s">
        <v>2054</v>
      </c>
      <c r="L301" s="134" t="s">
        <v>1865</v>
      </c>
      <c r="M301" s="134" t="s">
        <v>2269</v>
      </c>
      <c r="N301" t="str">
        <f t="shared" si="39"/>
        <v>Seahawks D/ST</v>
      </c>
      <c r="Y301">
        <f t="shared" si="37"/>
        <v>0</v>
      </c>
      <c r="Z301">
        <f>IF(AND(ISERROR(MATCH(Y301,'ROS Proj'!$A$2:$A$561,0)),LEFT(X301)&lt;&gt;"D"),Z300+1,Z300)</f>
        <v>9</v>
      </c>
    </row>
  </sheetData>
  <hyperlinks>
    <hyperlink ref="D2" r:id="rId1" display="http://www.espn.com/nfl/player/_/id/2977644/todd-gurley-ii"/>
    <hyperlink ref="D3" r:id="rId2" display="http://www.espn.com/nfl/player/_/id/2508176/david-johnson"/>
    <hyperlink ref="D4" r:id="rId3" display="http://www.espn.com/nfl/player/_/id/3051392/ezekiel-elliott"/>
    <hyperlink ref="D5" r:id="rId4" display="http://www.espn.com/nfl/player/_/id/3929630/saquon-barkley"/>
    <hyperlink ref="D6" r:id="rId5" display="http://www.espn.com/nfl/player/_/id/13934/antonio-brown"/>
    <hyperlink ref="D7" r:id="rId6" display="http://www.espn.com/nfl/player/_/id/3054850/alvin-kamara"/>
    <hyperlink ref="D8" r:id="rId7" display="http://www.espn.com/nfl/player/_/id/3059915/kareem-hunt"/>
    <hyperlink ref="D9" r:id="rId8" display="http://www.espn.com/nfl/player/_/id/13982/julio-jones"/>
    <hyperlink ref="D10" r:id="rId9" display="http://www.espn.com/nfl/player/_/id/16733/odell-beckham-jr"/>
    <hyperlink ref="D11" r:id="rId10" display="http://www.espn.com/nfl/player/_/id/15795/deandre-hopkins"/>
    <hyperlink ref="D12" r:id="rId11" display="http://www.espn.com/nfl/player/_/id/3115364/leonard-fournette"/>
    <hyperlink ref="D13" r:id="rId12" display="http://www.espn.com/nfl/player/_/id/3116593/dalvin-cook"/>
    <hyperlink ref="D14" r:id="rId13" display="http://www.espn.com/nfl/player/_/id/2576434/melvin-gordon"/>
    <hyperlink ref="D15" r:id="rId14" display="http://www.espn.com/nfl/player/_/id/3117251/christian-mccaffrey"/>
    <hyperlink ref="D16" r:id="rId15" display="http://www.espn.com/nfl/player/_/id/15818/keenan-allen"/>
    <hyperlink ref="D17" r:id="rId16" display="http://www.espn.com/nfl/player/_/id/2976316/michael-thomas"/>
    <hyperlink ref="D18" r:id="rId17" display="http://www.espn.com/nfl/player/_/id/15825/le'veon-bell"/>
    <hyperlink ref="D19" r:id="rId18" display="http://www.espn.com/nfl/player/_/id/13983/aj-green"/>
    <hyperlink ref="D20" r:id="rId19" display="http://www.espn.com/nfl/player/_/id/16944/devonta-freeman"/>
    <hyperlink ref="D21" r:id="rId20" display="http://www.espn.com/nfl/player/_/id/13229/rob-gronkowski"/>
    <hyperlink ref="D22" r:id="rId21" display="http://www.espn.com/nfl/player/_/id/16800/davante-adams"/>
    <hyperlink ref="D23" r:id="rId22" display="http://www.espn.com/nfl/player/_/id/16737/mike-evans"/>
    <hyperlink ref="D24" r:id="rId23" display="http://www.espn.com/nfl/player/_/id/12514/lesean-mccoy"/>
    <hyperlink ref="D25" r:id="rId24" display="http://www.espn.com/nfl/player/_/id/14924/ty-hilton"/>
    <hyperlink ref="D26" r:id="rId25" display="http://www.espn.com/nfl/player/_/id/16460/adam-thielen"/>
    <hyperlink ref="D27" r:id="rId26" display="http://www.espn.com/nfl/player/_/id/2976212/stefon-diggs"/>
    <hyperlink ref="D28" r:id="rId27" display="http://www.espn.com/nfl/player/_/id/3116406/tyreek-hill"/>
    <hyperlink ref="D29" r:id="rId28" display="http://www.espn.com/nfl/player/_/id/5528/larry-fitzgerald"/>
    <hyperlink ref="D30" r:id="rId29" display="http://www.espn.com/nfl/player/_/id/15847/travis-kelce"/>
    <hyperlink ref="D31" r:id="rId30" display="http://www.espn.com/nfl/player/_/id/15835/zach-ertz"/>
    <hyperlink ref="D32" r:id="rId31" display="http://www.espn.com/nfl/player/_/id/14221/doug-baldwin"/>
    <hyperlink ref="D33" r:id="rId32" display="http://www.espn.com/nfl/player/_/id/16799/allen-robinson"/>
    <hyperlink ref="D34" r:id="rId33" display="http://www.espn.com/nfl/player/_/id/2976499/amari-cooper"/>
    <hyperlink ref="D35" r:id="rId34" display="http://www.espn.com/nfl/player/_/id/13216/demaryius-thomas"/>
    <hyperlink ref="D36" r:id="rId35" display="http://www.espn.com/nfl/player/_/id/15705/josh-gordon"/>
    <hyperlink ref="D37" r:id="rId36" display="http://www.espn.com/nfl/player/_/id/3060022/jordan-howard"/>
    <hyperlink ref="D38" r:id="rId37" display="http://www.espn.com/nfl/player/_/id/3116385/joe-mixon"/>
    <hyperlink ref="D39" r:id="rId38" display="http://www.espn.com/nfl/player/_/id/2979843/kenyan-drake"/>
    <hyperlink ref="D40" r:id="rId39" display="http://www.espn.com/nfl/player/_/id/15072/marvin-jones-jr"/>
    <hyperlink ref="D41" r:id="rId40" display="http://www.espn.com/nfl/player/_/id/16731/brandin-cooks"/>
    <hyperlink ref="D42" r:id="rId41" display="http://www.espn.com/nfl/player/_/id/14402/chris-hogan"/>
    <hyperlink ref="D43" r:id="rId42" display="http://www.espn.com/nfl/player/_/id/16790/jarvis-landry"/>
    <hyperlink ref="D44" r:id="rId43" display="http://www.espn.com/nfl/player/_/id/3043078/derrick-henry"/>
    <hyperlink ref="D45" r:id="rId44" display="http://www.espn.com/nfl/player/_/id/3122672/royce-freeman"/>
    <hyperlink ref="D46" r:id="rId45" display="http://www.espn.com/nfl/player/_/id/3046409/alex-collins"/>
    <hyperlink ref="D47" r:id="rId46" display="http://www.espn.com/nfl/player/_/id/2573300/jay-ajayi"/>
    <hyperlink ref="D48" r:id="rId47" display="http://www.espn.com/nfl/player/_/id/10456/marshawn-lynch"/>
    <hyperlink ref="D49" r:id="rId48" display="http://www.espn.com/nfl/player/_/id/14886/lamar-miller"/>
    <hyperlink ref="D50" r:id="rId49" display="http://www.espn.com/nfl/player/_/id/13981/mark-ingram-ii"/>
    <hyperlink ref="D51" r:id="rId50" display="http://www.espn.com/nfl/player/_/id/15971/rex-burkhead"/>
    <hyperlink ref="D52" r:id="rId51" display="http://www.espn.com/nfl/player/_/id/13217/golden-tate"/>
    <hyperlink ref="D53" r:id="rId52" display="http://www.espn.com/nfl/player/_/id/3120348/juju-smith-schuster"/>
    <hyperlink ref="D54" r:id="rId53" display="http://www.espn.com/nfl/player/_/id/13295/emmanuel-sanders"/>
    <hyperlink ref="D55" r:id="rId54" display="http://www.espn.com/nfl/player/_/id/3042778/corey-davis"/>
    <hyperlink ref="D56" r:id="rId55" display="http://www.espn.com/nfl/player/_/id/16777/carlos-hyde"/>
    <hyperlink ref="D57" r:id="rId56" display="http://www.espn.com/nfl/player/_/id/8439/aaron-rodgers"/>
    <hyperlink ref="D58" r:id="rId57" display="http://www.espn.com/nfl/player/_/id/2330/tom-brady"/>
    <hyperlink ref="D59" r:id="rId58" display="http://www.espn.com/nfl/player/_/id/14198/dion-lewis"/>
    <hyperlink ref="D60" r:id="rId59" display="http://www.espn.com/nfl/player/_/id/2979477/tevin-coleman"/>
    <hyperlink ref="D61" r:id="rId60" display="http://www.espn.com/nfl/player/_/id/15009/alfred-morris"/>
    <hyperlink ref="D62" r:id="rId61" display="http://www.espn.com/nfl/player/_/id/3919596/chris-carson"/>
    <hyperlink ref="D63" r:id="rId62" display="http://www.espn.com/nfl/player/_/id/15839/marquise-goodwin"/>
    <hyperlink ref="D64" r:id="rId63" display="http://www.espn.com/nfl/player/_/id/2977609/devin-funchess"/>
    <hyperlink ref="D65" r:id="rId64" display="http://www.espn.com/nfl/player/_/id/12563/michael-crabtree"/>
    <hyperlink ref="D66" r:id="rId65" display="http://www.espn.com/nfl/player/_/id/15880/robert-woods"/>
    <hyperlink ref="D67" r:id="rId66" display="http://www.espn.com/nfl/player/_/id/13994/cam-newton"/>
    <hyperlink ref="D68" r:id="rId67" display="http://www.espn.com/nfl/player/_/id/14881/russell-wilson"/>
    <hyperlink ref="D69" r:id="rId68" display="http://www.espn.com/nfl/player/_/id/3122840/deshaun-watson"/>
    <hyperlink ref="D70" r:id="rId69" display="http://www.espn.com/nfl/player/_/id/2573079/carson-wentz"/>
    <hyperlink ref="D71" r:id="rId70" display="http://www.espn.com/nfl/player/_/id/2574808/robby-anderson"/>
    <hyperlink ref="D72" r:id="rId71" display="http://www.espn.com/nfl/player/_/id/16725/sammy-watkins"/>
    <hyperlink ref="D73" r:id="rId72" display="http://www.espn.com/nfl/player/_/id/3052876/will-fuller-v"/>
    <hyperlink ref="D74" r:id="rId73" display="http://www.espn.com/nfl/player/_/id/14912/alshon-jeffery"/>
    <hyperlink ref="D75" r:id="rId74" display="http://www.espn.com/nfl/player/_/id/2977187/cooper-kupp"/>
    <hyperlink ref="D76" r:id="rId75" display="http://www.espn.com/nfl/player/_/id/2576019/josh-doctson"/>
    <hyperlink ref="D77" r:id="rId76" display="http://www.espn.com/nfl/player/_/id/11439/pierre-garcon"/>
    <hyperlink ref="D78" r:id="rId77" display="http://www.espn.com/nfl/player/_/id/10475/greg-olsen"/>
    <hyperlink ref="D79" r:id="rId78" display="http://www.espn.com/nfl/player/_/id/9761/delanie-walker"/>
    <hyperlink ref="D80" r:id="rId79" display="http://www.espn.com/nfl/player/_/id/3051876/evan-engram"/>
    <hyperlink ref="D81" r:id="rId80" display="http://www.espn.com/nfl/player/_/id/3051902/peyton-barber"/>
    <hyperlink ref="D82" r:id="rId81" display="http://www.espn.com/nfl/player/_/id/16730/kelvin-benjamin"/>
    <hyperlink ref="D83" r:id="rId82" display="http://www.espn.com/nfl/player/_/id/16016/kenny-stills"/>
    <hyperlink ref="D84" r:id="rId83" display="http://www.espn.com/nfl/player/_/id/17133/isaiah-crowell"/>
    <hyperlink ref="D85" r:id="rId84" display="http://www.espn.com/nfl/player/_/id/13232/jimmy-graham"/>
    <hyperlink ref="D86" r:id="rId85" display="http://www.espn.com/nfl/player/_/id/2969962/duke-johnson-jr"/>
    <hyperlink ref="D87" r:id="rId86" display="http://www.espn.com/nfl/player/_/id/3139925/rashaad-penny"/>
    <hyperlink ref="D88" r:id="rId87" display="http://www.espn.com/nfl/player/_/id/15966/chris-thompson"/>
    <hyperlink ref="D89" r:id="rId88" display="http://www.espn.com/nfl/player/_/id/2971618/nelson-agholor"/>
    <hyperlink ref="D90" r:id="rId89" display="http://www.espn.com/nfl/player/_/id/2576716/jamison-crowder"/>
    <hyperlink ref="D91" r:id="rId90" display="http://www.espn.com/nfl/player/_/id/15860/jordan-reed"/>
    <hyperlink ref="D92" r:id="rId91" display="http://www.espn.com/nfl/player/_/id/11270/jordy-nelson"/>
    <hyperlink ref="D93" r:id="rId92" display="http://www.espn.com/nfl/player/_/id/3071572/keelan-cole"/>
    <hyperlink ref="D94" r:id="rId93" display="http://www.espn.com/nfl/player/_/id/12649/julian-edelman"/>
    <hyperlink ref="D95" r:id="rId94" display="http://www.espn.com/nfl/player/_/id/2980453/jamaal-williams"/>
    <hyperlink ref="D96" r:id="rId95" display="http://www.espn.com/nfl/player/_/id/10452/adrian-peterson"/>
    <hyperlink ref="D97" r:id="rId96" display="http://www.espn.com/nfl/player/_/id/3916925/kerryon-johnson"/>
    <hyperlink ref="D98" r:id="rId97" display="http://www.espn.com/nfl/player/_/id/3066158/tarik-cohen"/>
    <hyperlink ref="D99" r:id="rId98" display="http://www.espn.com/nfl/player/_/id/3128721/sony-michel"/>
    <hyperlink ref="D100" r:id="rId99" display="http://www.espn.com/nfl/player/_/id/14054/kyle-rudolph"/>
    <hyperlink ref="D101" r:id="rId100" display="http://www.espn.com/nfl/player/_/id/3045147/james-conner"/>
    <hyperlink ref="D102" r:id="rId101" display="http://www.espn.com/nfl/player/_/id/2976592/sterling-shepard"/>
    <hyperlink ref="D103" r:id="rId102" display="http://www.espn.com/nfl/player/_/id/2577327/tyler-lockett"/>
    <hyperlink ref="D104" r:id="rId103" display="http://www.espn.com/nfl/player/_/id/17177/allen-hurns"/>
    <hyperlink ref="D105" r:id="rId104" display="http://www.espn.com/nfl/player/_/id/2974858/kenny-golladay"/>
    <hyperlink ref="D106" r:id="rId105" display="http://www.espn.com/nfl/player/_/id/14053/randall-cobb"/>
    <hyperlink ref="D107" r:id="rId106" display="http://www.espn.com/nfl/player/_/id/16781/paul-richardson"/>
    <hyperlink ref="D108" r:id="rId107" display="http://www.espn.com/nfl/player/_/id/3051891/jordan-wilkins"/>
    <hyperlink ref="D109" r:id="rId108" display="http://www.espn.com/nfl/player/_/id/3049916/matt-breida"/>
    <hyperlink ref="D110" r:id="rId109" display="http://www.espn.com/nfl/player/_/id/3912550/ronald-jones"/>
    <hyperlink ref="D111" r:id="rId110" display="http://www.espn.com/nfl/player/_/id/16974/trey-burton"/>
    <hyperlink ref="D112" r:id="rId111" display="http://www.espn.com/nfl/player/_/id/3123076/david-njoku"/>
    <hyperlink ref="D113" r:id="rId112" display="http://www.espn.com/nfl/player/_/id/15826/giovani-bernard"/>
    <hyperlink ref="D114" r:id="rId113" display="http://www.espn.com/nfl/player/_/id/14129/bilal-powell"/>
    <hyperlink ref="D115" r:id="rId114" display="http://www.espn.com/nfl/player/_/id/16913/james-white"/>
    <hyperlink ref="D116" r:id="rId115" display="http://www.espn.com/nfl/player/_/id/3052177/john-ross"/>
    <hyperlink ref="D117" r:id="rId116" display="http://www.espn.com/nfl/player/_/id/14922/mohamed-sanu"/>
    <hyperlink ref="D118" r:id="rId117" display="http://www.espn.com/nfl/player/_/id/14874/andrew-luck"/>
    <hyperlink ref="D119" r:id="rId118" display="http://www.espn.com/nfl/player/_/id/5536/ben-roethlisberger"/>
    <hyperlink ref="D120" r:id="rId119" display="http://www.espn.com/nfl/player/_/id/14880/kirk-cousins"/>
    <hyperlink ref="D121" r:id="rId120" display="http://www.espn.com/nfl/player/_/id/16504/jack-doyle"/>
    <hyperlink ref="D122" r:id="rId121" display="http://www.espn.com/nfl/player/_/id/3116165/chris-godwin"/>
    <hyperlink ref="D123" r:id="rId122" display="http://www.espn.com/nfl/player/_/id/4036348/michael-gallup"/>
    <hyperlink ref="D124" r:id="rId123" display="http://www.espn.com/nfl/player/_/id/3915416/dj-moore"/>
    <hyperlink ref="D125" r:id="rId124" display="http://www.espn.com/nfl/player/_/id/2576623/devante-parker"/>
    <hyperlink ref="D126" r:id="rId125" display="http://www.espn.com/nfl/player/_/id/12601/mike-wallace"/>
    <hyperlink ref="D127" r:id="rId126" display="http://www.espn.com/nfl/player/_/id/11283/desean-jackson"/>
    <hyperlink ref="D128" r:id="rId127" display="http://www.espn.com/nfl/player/_/id/12483/matthew-stafford"/>
    <hyperlink ref="D129" r:id="rId128" display="http://www.espn.com/nfl/player/_/id/2580/drew-brees"/>
    <hyperlink ref="D130" r:id="rId129" display="http://www.espn.com/nfl/player/_/id/11674/danny-amendola"/>
    <hyperlink ref="D131" r:id="rId130" display="http://www.espn.com/nfl/player/_/id/15102/rishard-matthews"/>
    <hyperlink ref="D132" r:id="rId131" display="http://www.espn.com/nfl/player/_/id/2520698/cameron-meredith"/>
    <hyperlink ref="D133" r:id="rId132" display="http://www.espn.com/nfl/player/_/id/3122449/james-washington"/>
    <hyperlink ref="D134" r:id="rId133" display="http://www.espn.com/nfl/player/_/id/14145/charles-clay"/>
    <hyperlink ref="D135" r:id="rId134" display="http://www.espn.com/nfl/player/_/id/11237/matt-ryan"/>
    <hyperlink ref="D136" r:id="rId135" display="http://www.espn.com/nfl/player/_/id/3139477/patrick-mahomes"/>
    <hyperlink ref="D137" r:id="rId136" display="http://www.espn.com/nfl/player/_/id/15788/tyler-eifert"/>
    <hyperlink ref="D138" r:id="rId137" display="http://www.espn.com/nfl/player/_/id/5529/philip-rivers"/>
    <hyperlink ref="D139" r:id="rId138" display="http://www.espn.com/nfl/player/_/id/16760/jimmy-garoppolo"/>
    <hyperlink ref="D140" r:id="rId139" display="http://www.espn.com/nfl/player/_/id/8416/alex-smith"/>
    <hyperlink ref="D141" r:id="rId140" display="http://www.espn.com/nfl/player/_/id/14163/tyrod-taylor"/>
    <hyperlink ref="D142" r:id="rId141" display="http://www.espn.com/nfl/player/_/id/16804/john-brown"/>
    <hyperlink ref="D143" r:id="rId142" display="http://www.espn.com/nfl/player/_/id/3050487/anthony-miller"/>
    <hyperlink ref="D144" r:id="rId143" display="http://www.espn.com/nfl/player/_/id/3925357/calvin-ridley"/>
    <hyperlink ref="D145" r:id="rId144" display="http://www.espn.com/nfl/player/_/id/3128429/courtland-sutton"/>
    <hyperlink ref="D146" r:id="rId145" display="http://www.espn.com/nfl/player/_/id/16791/donte-moncrief"/>
    <hyperlink ref="D147" r:id="rId146" display="http://www.espn.com/nfl/player/_/id/3045138/mike-williams"/>
    <hyperlink ref="D148" r:id="rId147" display="http://www.espn.com/nfl/player/_/id/2577134/ty-montgomery"/>
    <hyperlink ref="D149" r:id="rId148" display="http://www.espn.com/nfl/player/_/id/15994/theo-riddick"/>
    <hyperlink ref="D150" r:id="rId149" display="http://www.espn.com/nfl/player/_/id/16803/jeremy-hill"/>
    <hyperlink ref="D151" r:id="rId150" display="http://www.espn.com/nfl/player/_/id/3042519/aaron-jones"/>
    <hyperlink ref="D152" r:id="rId151" display="http://www.espn.com/nfl/player/_/id/3139605/marlon-mack"/>
    <hyperlink ref="D153" r:id="rId152" display="http://www.espn.com/nfl/player/_/id/14885/doug-martin"/>
    <hyperlink ref="D154" r:id="rId153" display="http://www.espn.com/nfl/player/_/id/15920/latavius-murray"/>
    <hyperlink ref="D155" r:id="rId154" display="http://www.espn.com/nfl/player/_/id/3045260/corey-clement"/>
    <hyperlink ref="D156" r:id="rId155" display="http://www.espn.com/nfl/player/_/id/2577253/javorius-allen"/>
    <hyperlink ref="D158" r:id="rId156" display="http://www.espn.com/nfl/player/_/id/3040151/george-kittle"/>
    <hyperlink ref="D159" r:id="rId157" display="http://www.espn.com/nfl/player/_/id/16845/ryan-grant"/>
    <hyperlink ref="D160" r:id="rId158" display="http://www.espn.com/nfl/player/_/id/3892889/dede-westbrook"/>
    <hyperlink ref="D161" r:id="rId159" display="http://www.espn.com/nfl/player/_/id/16899/quincy-enunwa"/>
    <hyperlink ref="D162" r:id="rId160" display="http://www.espn.com/nfl/player/_/id/3122866/devontae-booker"/>
    <hyperlink ref="D163" r:id="rId161" display="http://www.espn.com/nfl/player/_/id/2576980/marcus-mariota"/>
    <hyperlink ref="D164" r:id="rId162" display="http://www.espn.com/nfl/player/_/id/2577417/dak-prescott"/>
    <hyperlink ref="D165" r:id="rId163" display="http://www.espn.com/nfl/player/_/id/5557/benjamin-watson"/>
    <hyperlink ref="D166" r:id="rId164" display="http://www.espn.com/nfl/player/_/id/3895856/christian-kirk"/>
    <hyperlink ref="D167" r:id="rId165" display="http://www.espn.com/nfl/player/_/id/5362/antonio-gates"/>
    <hyperlink ref="D168" r:id="rId166" display="http://www.espn.com/nfl/player/_/id/16040/cj-anderson"/>
    <hyperlink ref="D169" r:id="rId167" display="http://www.espn.com/nfl/player/_/id/3046779/jared-goff"/>
    <hyperlink ref="D170" r:id="rId168" display="http://www.espn.com/nfl/player/_/id/3059760/taywan-taylor"/>
    <hyperlink ref="D176" r:id="rId169" display="http://www.espn.com/nfl/player/_/id/14993/greg-zuerlein"/>
    <hyperlink ref="D177" r:id="rId170" display="http://www.espn.com/nfl/player/_/id/9704/stephen-gostkowski"/>
    <hyperlink ref="D178" r:id="rId171" display="http://www.espn.com/nfl/player/_/id/15683/justin-tucker"/>
    <hyperlink ref="D185" r:id="rId172" display="http://www.espn.com/nfl/player/_/id/4333/matt-bryant"/>
    <hyperlink ref="D186" r:id="rId173" display="http://www.espn.com/nfl/player/_/id/2985659/wil-lutz"/>
    <hyperlink ref="D187" r:id="rId174" display="http://www.espn.com/nfl/player/_/id/17372/chris-boswell"/>
    <hyperlink ref="D188" r:id="rId175" display="http://www.espn.com/nfl/player/_/id/9354/robbie-gould"/>
    <hyperlink ref="D189" r:id="rId176" display="http://www.espn.com/nfl/player/_/id/3050478/jake-elliott"/>
    <hyperlink ref="D190" r:id="rId177" display="http://www.espn.com/nfl/player/_/id/11122/matt-prater"/>
    <hyperlink ref="D191" r:id="rId178" display="http://www.espn.com/nfl/player/_/id/3055899/harrison-butker"/>
    <hyperlink ref="D192" r:id="rId179" display="http://www.espn.com/nfl/player/_/id/1097/adam-vinatieri"/>
    <hyperlink ref="D193" r:id="rId180" display="http://www.espn.com/nfl/player/_/id/12460/graham-gano"/>
    <hyperlink ref="D194" r:id="rId181" display="http://www.espn.com/nfl/player/_/id/3916430/nyheim-hines"/>
    <hyperlink ref="D195" r:id="rId182" display="http://www.espn.com/nfl/player/_/id/8544/darren-sproles"/>
    <hyperlink ref="D196" r:id="rId183" display="http://www.espn.com/nfl/player/_/id/3068267/austin-ekeler"/>
    <hyperlink ref="D197" r:id="rId184" display="http://www.espn.com/nfl/player/_/id/16795/austin-seferian-jenkins"/>
    <hyperlink ref="D198" r:id="rId185" display="http://www.espn.com/nfl/player/_/id/15853/vance-mcdonald"/>
    <hyperlink ref="D199" r:id="rId186" display="http://www.espn.com/nfl/player/_/id/17453/cameron-brate"/>
    <hyperlink ref="D200" r:id="rId187" display="http://www.espn.com/nfl/player/_/id/3128720/nick-chubb"/>
    <hyperlink ref="D201" r:id="rId188" display="http://www.espn.com/nfl/player/_/id/13213/legarrette-blount"/>
    <hyperlink ref="D202" r:id="rId189" display="http://www.espn.com/nfl/player/_/id/3119195/chase-edmonds"/>
    <hyperlink ref="D203" r:id="rId190" display="http://www.espn.com/nfl/player/_/id/13587/chris-ivory"/>
    <hyperlink ref="D204" r:id="rId191" display="http://www.espn.com/nfl/player/_/id/3052117/phillip-lindsay"/>
    <hyperlink ref="D205" r:id="rId192" display="http://www.espn.com/nfl/player/_/id/2976516/tj-yeldon"/>
    <hyperlink ref="D206" r:id="rId193" display="http://www.espn.com/nfl/player/_/id/15952/mike-gillislee"/>
    <hyperlink ref="D207" r:id="rId194" display="http://www.espn.com/nfl/player/_/id/2971888/kenneth-dixon"/>
    <hyperlink ref="D208" r:id="rId195" display="http://www.espn.com/nfl/player/_/id/8479/frank-gore"/>
    <hyperlink ref="D209" r:id="rId196" display="http://www.espn.com/nfl/player/_/id/15855/christine-michael"/>
    <hyperlink ref="D210" r:id="rId197" display="http://www.espn.com/nfl/player/_/id/16921/alfred-blue"/>
    <hyperlink ref="D211" r:id="rId198" display="http://www.espn.com/nfl/player/_/id/3043275/austin-hooper"/>
    <hyperlink ref="D212" r:id="rId199" display="http://www.espn.com/nfl/player/_/id/12537/jared-cook"/>
    <hyperlink ref="D213" r:id="rId200" display="http://www.espn.com/nfl/player/_/id/3039707/mitchell-trubisky"/>
    <hyperlink ref="D214" r:id="rId201" display="http://www.espn.com/nfl/player/_/id/17051/albert-wilson"/>
    <hyperlink ref="D215" r:id="rId202" display="http://www.espn.com/nfl/player/_/id/3115913/geronimo-allison"/>
    <hyperlink ref="D216" r:id="rId203" display="http://www.espn.com/nfl/player/_/id/15349/cole-beasley"/>
    <hyperlink ref="D217" r:id="rId204" display="http://www.espn.com/nfl/player/_/id/10453/ted-ginn-jr"/>
    <hyperlink ref="D218" r:id="rId205" display="http://www.espn.com/nfl/player/_/id/3045144/tyler-boyd"/>
    <hyperlink ref="D219" r:id="rId206" display="http://www.espn.com/nfl/player/_/id/3066052/chad-williams"/>
    <hyperlink ref="D220" r:id="rId207" display="http://www.espn.com/nfl/player/_/id/14012/andy-dalton"/>
    <hyperlink ref="D221" r:id="rId208" display="http://www.espn.com/nfl/player/_/id/14876/ryan-tannehill"/>
    <hyperlink ref="D224" r:id="rId209" display="http://www.espn.com/nfl/player/_/id/12731/ryan-succop"/>
    <hyperlink ref="D225" r:id="rId210" display="http://www.espn.com/nfl/player/_/id/3051909/daniel-carlson"/>
    <hyperlink ref="D227" r:id="rId211" display="http://www.espn.com/nfl/player/_/id/2587819/tyrell-williams"/>
    <hyperlink ref="D228" r:id="rId212" display="http://www.espn.com/nfl/player/_/id/15878/terrance-williams"/>
    <hyperlink ref="D229" r:id="rId213" display="http://www.espn.com/nfl/player/_/id/9705/brandon-marshall"/>
    <hyperlink ref="D230" r:id="rId214" display="http://www.espn.com/nfl/player/_/id/15062/travis-benjamin"/>
    <hyperlink ref="D231" r:id="rId215" display="http://www.espn.com/nfl/player/_/id/3128451/tre'quan-smith"/>
    <hyperlink ref="D232" r:id="rId216" display="http://www.espn.com/nfl/player/_/id/3115394/dj-chark"/>
    <hyperlink ref="D233" r:id="rId217" display="http://www.espn.com/nfl/player/_/id/2579604/phillip-dorsett"/>
    <hyperlink ref="D234" r:id="rId218" display="http://www.espn.com/nfl/player/_/id/15807/cordarrelle-patterson"/>
    <hyperlink ref="D235" r:id="rId219" display="http://www.espn.com/nfl/player/_/id/14851/terrelle-pryor"/>
    <hyperlink ref="D236" r:id="rId220" display="http://www.espn.com/nfl/player/_/id/3125116/d'onta-foreman"/>
    <hyperlink ref="D237" r:id="rId221" display="http://www.espn.com/nfl/player/_/id/2575408/rob-kelley"/>
    <hyperlink ref="D238" r:id="rId222" display="http://www.espn.com/nfl/player/_/id/3116389/samaje-perine"/>
    <hyperlink ref="D239" r:id="rId223" display="http://www.espn.com/nfl/player/_/id/16020/spencer-ware"/>
    <hyperlink ref="D240" r:id="rId224" display="http://www.espn.com/nfl/player/_/id/3042494/elijah-mcguire"/>
    <hyperlink ref="D241" r:id="rId225" display="http://www.espn.com/nfl/player/_/id/11247/jonathan-stewart"/>
    <hyperlink ref="D242" r:id="rId226" display="http://www.espn.com/nfl/player/_/id/3045127/wayne-gallman"/>
    <hyperlink ref="D243" r:id="rId227" display="http://www.espn.com/nfl/player/_/id/2512197/rod-smith"/>
    <hyperlink ref="D244" r:id="rId228" display="http://www.espn.com/nfl/player/_/id/5526/eli-manning"/>
    <hyperlink ref="D245" r:id="rId229" display="http://www.espn.com/nfl/player/_/id/16757/derek-carr"/>
    <hyperlink ref="D246" r:id="rId230" display="http://www.espn.com/nfl/player/_/id/2969939/jameis-winston"/>
    <hyperlink ref="D247" r:id="rId231" display="http://www.espn.com/nfl/player/_/id/3043080/oj-howard"/>
    <hyperlink ref="D248" r:id="rId232" display="http://www.espn.com/nfl/player/_/id/16732/eric-ebron"/>
    <hyperlink ref="D249" r:id="rId233" display="http://www.espn.com/nfl/player/_/id/3051806/ricky-seals-jones"/>
    <hyperlink ref="D250" r:id="rId234" display="http://www.espn.com/nfl/player/_/id/15887/ryan-griffin"/>
    <hyperlink ref="D251" r:id="rId235" display="http://www.espn.com/nfl/player/_/id/14193/jacquizz-rodgers"/>
    <hyperlink ref="D253" r:id="rId236" display="http://www.espn.com/nfl/player/_/id/3915097/antonio-callaway"/>
    <hyperlink ref="D256" r:id="rId237" display="http://www.espn.com/nfl/player/_/id/10636/mason-crosby"/>
    <hyperlink ref="D257" r:id="rId238" display="http://www.espn.com/nfl/player/_/id/2998120/josh-lambo"/>
    <hyperlink ref="D258" r:id="rId239" display="http://www.espn.com/nfl/player/_/id/3116164/mike-gesicki"/>
    <hyperlink ref="D259" r:id="rId240" display="http://www.espn.com/nfl/player/_/id/3924365/hayden-hurst"/>
    <hyperlink ref="D260" r:id="rId241" display="http://www.espn.com/nfl/player/_/id/3045225/jake-butt"/>
    <hyperlink ref="D261" r:id="rId242" display="http://www.espn.com/nfl/player/_/id/3051857/j'mon-moore"/>
    <hyperlink ref="D262" r:id="rId243" display="http://www.espn.com/nfl/player/_/id/3051738/marquez-valdes-scantling"/>
    <hyperlink ref="D263" r:id="rId244" display="http://www.espn.com/nfl/player/_/id/3932442/equanimeous-st-brown"/>
    <hyperlink ref="D264" r:id="rId245" display="http://www.espn.com/nfl/player/_/id/2576491/adam-humphries"/>
    <hyperlink ref="D265" r:id="rId246" display="http://www.espn.com/nfl/player/_/id/17359/damien-williams"/>
    <hyperlink ref="D266" r:id="rId247" display="http://www.espn.com/nfl/player/_/id/3116721/jaylen-samuels"/>
    <hyperlink ref="D267" r:id="rId248" display="http://www.espn.com/nfl/player/_/id/15168/case-keenum"/>
    <hyperlink ref="D268" r:id="rId249" display="http://www.espn.com/nfl/player/_/id/16724/blake-bortles"/>
    <hyperlink ref="D269" r:id="rId250" display="http://www.espn.com/nfl/player/_/id/11252/joe-flacco"/>
    <hyperlink ref="D270" r:id="rId251" display="http://www.espn.com/nfl/player/_/id/3912547/sam-darnold"/>
    <hyperlink ref="D271" r:id="rId252" display="http://www.espn.com/nfl/player/_/id/13197/sam-bradford"/>
    <hyperlink ref="D272" r:id="rId253" display="http://www.espn.com/nfl/player/_/id/3059722/zay-jones"/>
    <hyperlink ref="D273" r:id="rId254" display="http://www.espn.com/nfl/player/_/id/2991662/mack-hollins"/>
    <hyperlink ref="D274" r:id="rId255" display="http://www.espn.com/nfl/player/_/id/15428/jermaine-kearse"/>
    <hyperlink ref="D275" r:id="rId256" display="http://www.espn.com/nfl/player/_/id/14151/jeremy-kerley"/>
    <hyperlink ref="D276" r:id="rId257" display="http://www.espn.com/nfl/player/_/id/17437/taylor-gabriel"/>
    <hyperlink ref="D277" r:id="rId258" display="http://www.espn.com/nfl/player/_/id/16002/kyle-juszczyk"/>
    <hyperlink ref="D278" r:id="rId259" display="http://www.espn.com/nfl/player/_/id/3915381/john-kelly"/>
    <hyperlink ref="D279" r:id="rId260" display="http://www.espn.com/nfl/player/_/id/2515934/corey-grant"/>
    <hyperlink ref="D280" r:id="rId261" display="http://www.espn.com/nfl/player/_/id/2980148/cj-prosise"/>
    <hyperlink ref="D281" r:id="rId262" display="http://www.espn.com/nfl/player/_/id/3917846/mark-walton"/>
    <hyperlink ref="D282" r:id="rId263" display="http://www.espn.com/nfl/player/_/id/2972091/jalen-richard"/>
    <hyperlink ref="D283" r:id="rId264" display="http://www.espn.com/nfl/player/_/id/3039723/tj-logan"/>
    <hyperlink ref="D284" r:id="rId265" display="http://www.espn.com/nfl/player/_/id/3128774/kalen-ballage"/>
    <hyperlink ref="D285" r:id="rId266" display="http://www.espn.com/nfl/player/_/id/3121427/curtis-samuel"/>
    <hyperlink ref="D288" r:id="rId267" display="http://www.espn.com/nfl/player/_/id/15965/dustin-hopkins"/>
    <hyperlink ref="D289" r:id="rId268" display="http://www.espn.com/nfl/player/_/id/16976/chandler-catanzaro"/>
    <hyperlink ref="D290" r:id="rId269" display="http://www.espn.com/nfl/player/_/id/2991767/blake-jarwin"/>
    <hyperlink ref="D291" r:id="rId270" display="http://www.espn.com/nfl/player/_/id/2582410/tyler-kroft"/>
    <hyperlink ref="D292" r:id="rId271" display="http://www.espn.com/nfl/player/_/id/9592/vernon-davis"/>
    <hyperlink ref="D293" r:id="rId272" display="http://www.espn.com/nfl/player/_/id/3918639/gerald-everett"/>
    <hyperlink ref="D294" r:id="rId273" display="http://www.espn.com/nfl/player/_/id/2573401/tyler-higbee"/>
    <hyperlink ref="D295" r:id="rId274" display="http://www.espn.com/nfl/player/_/id/3040569/trent-taylor"/>
    <hyperlink ref="D296" r:id="rId275" display="http://www.espn.com/nfl/player/_/id/3051889/laquon-treadwell"/>
    <hyperlink ref="D297" r:id="rId276" display="http://www.espn.com/nfl/player/_/id/2972236/nathan-peterman"/>
    <hyperlink ref="J2" r:id="rId277" display="http://www.espn.com/nfl/player/_/id/2977644/todd-gurley-ii"/>
    <hyperlink ref="J3" r:id="rId278" display="http://www.espn.com/nfl/player/_/id/2508176/david-johnson"/>
    <hyperlink ref="J4" r:id="rId279" display="http://www.espn.com/nfl/player/_/id/3051392/ezekiel-elliott"/>
    <hyperlink ref="J5" r:id="rId280" display="http://www.espn.com/nfl/player/_/id/3054850/alvin-kamara"/>
    <hyperlink ref="J6" r:id="rId281" display="http://www.espn.com/nfl/player/_/id/13934/antonio-brown"/>
    <hyperlink ref="J7" r:id="rId282" display="http://www.espn.com/nfl/player/_/id/3929630/saquon-barkley"/>
    <hyperlink ref="J8" r:id="rId283" display="http://www.espn.com/nfl/player/_/id/3116593/dalvin-cook"/>
    <hyperlink ref="J9" r:id="rId284" display="http://www.espn.com/nfl/player/_/id/2576434/melvin-gordon"/>
    <hyperlink ref="J10" r:id="rId285" display="http://www.espn.com/nfl/player/_/id/13982/julio-jones"/>
    <hyperlink ref="J11" r:id="rId286" display="http://www.espn.com/nfl/player/_/id/15795/deandre-hopkins"/>
    <hyperlink ref="J12" r:id="rId287" display="http://www.espn.com/nfl/player/_/id/16733/odell-beckham-jr"/>
    <hyperlink ref="J13" r:id="rId288" display="http://www.espn.com/nfl/player/_/id/15818/keenan-allen"/>
    <hyperlink ref="J14" r:id="rId289" display="http://www.espn.com/nfl/player/_/id/2976316/michael-thomas"/>
    <hyperlink ref="J15" r:id="rId290" display="http://www.espn.com/nfl/player/_/id/3117251/christian-mccaffrey"/>
    <hyperlink ref="J16" r:id="rId291" display="http://www.espn.com/nfl/player/_/id/3059915/kareem-hunt"/>
    <hyperlink ref="J17" r:id="rId292" display="http://www.espn.com/nfl/player/_/id/3115364/leonard-fournette"/>
    <hyperlink ref="J18" r:id="rId293" display="http://www.espn.com/nfl/player/_/id/3116385/joe-mixon"/>
    <hyperlink ref="J19" r:id="rId294" display="http://www.espn.com/nfl/player/_/id/3060022/jordan-howard"/>
    <hyperlink ref="J20" r:id="rId295" display="http://www.espn.com/nfl/player/_/id/13983/aj-green"/>
    <hyperlink ref="J21" r:id="rId296" display="http://www.espn.com/nfl/player/_/id/13229/rob-gronkowski"/>
    <hyperlink ref="J22" r:id="rId297" display="http://www.espn.com/nfl/player/_/id/16800/davante-adams"/>
    <hyperlink ref="J23" r:id="rId298" display="http://www.espn.com/nfl/player/_/id/3116406/tyreek-hill"/>
    <hyperlink ref="J24" r:id="rId299" display="http://www.espn.com/nfl/player/_/id/15847/travis-kelce"/>
    <hyperlink ref="J25" r:id="rId300" display="http://www.espn.com/nfl/player/_/id/16944/devonta-freeman"/>
    <hyperlink ref="J26" r:id="rId301" display="http://www.espn.com/nfl/player/_/id/12514/lesean-mccoy"/>
    <hyperlink ref="J27" r:id="rId302" display="http://www.espn.com/nfl/player/_/id/16737/mike-evans"/>
    <hyperlink ref="J28" r:id="rId303" display="http://www.espn.com/nfl/player/_/id/2979843/kenyan-drake"/>
    <hyperlink ref="J29" r:id="rId304" display="http://www.espn.com/nfl/player/_/id/5528/larry-fitzgerald"/>
    <hyperlink ref="J30" r:id="rId305" display="http://www.espn.com/nfl/player/_/id/14924/ty-hilton"/>
    <hyperlink ref="J31" r:id="rId306" display="http://www.espn.com/nfl/player/_/id/16460/adam-thielen"/>
    <hyperlink ref="J32" r:id="rId307" display="http://www.espn.com/nfl/player/_/id/3046409/alex-collins"/>
    <hyperlink ref="J33" r:id="rId308" display="http://www.espn.com/nfl/player/_/id/15835/zach-ertz"/>
    <hyperlink ref="J34" r:id="rId309" display="http://www.espn.com/nfl/player/_/id/2976212/stefon-diggs"/>
    <hyperlink ref="J35" r:id="rId310" display="http://www.espn.com/nfl/player/_/id/13216/demaryius-thomas"/>
    <hyperlink ref="J36" r:id="rId311" display="http://www.espn.com/nfl/player/_/id/13295/emmanuel-sanders"/>
    <hyperlink ref="J37" r:id="rId312" display="http://www.espn.com/nfl/player/_/id/16799/allen-robinson"/>
    <hyperlink ref="J38" r:id="rId313" display="http://www.espn.com/nfl/player/_/id/2976499/amari-cooper"/>
    <hyperlink ref="J39" r:id="rId314" display="http://www.espn.com/nfl/player/_/id/16790/jarvis-landry"/>
    <hyperlink ref="J40" r:id="rId315" display="http://www.espn.com/nfl/player/_/id/13217/golden-tate"/>
    <hyperlink ref="J41" r:id="rId316" display="http://www.espn.com/nfl/player/_/id/15072/marvin-jones-jr"/>
    <hyperlink ref="J42" r:id="rId317" display="http://www.espn.com/nfl/player/_/id/16731/brandin-cooks"/>
    <hyperlink ref="J43" r:id="rId318" display="http://www.espn.com/nfl/player/_/id/14198/dion-lewis"/>
    <hyperlink ref="J44" r:id="rId319" display="http://www.espn.com/nfl/player/_/id/3120348/juju-smith-schuster"/>
    <hyperlink ref="J45" r:id="rId320" display="http://www.espn.com/nfl/player/_/id/15705/josh-gordon"/>
    <hyperlink ref="J46" r:id="rId321" display="http://www.espn.com/nfl/player/_/id/2573300/jay-ajayi"/>
    <hyperlink ref="J47" r:id="rId322" display="http://www.espn.com/nfl/player/_/id/14886/lamar-miller"/>
    <hyperlink ref="J48" r:id="rId323" display="http://www.espn.com/nfl/player/_/id/3122672/royce-freeman"/>
    <hyperlink ref="J49" r:id="rId324" display="http://www.espn.com/nfl/player/_/id/10456/marshawn-lynch"/>
    <hyperlink ref="J50" r:id="rId325" display="http://www.espn.com/nfl/player/_/id/13981/mark-ingram-ii"/>
    <hyperlink ref="J51" r:id="rId326" display="http://www.espn.com/nfl/player/_/id/15971/rex-burkhead"/>
    <hyperlink ref="J53" r:id="rId327" display="http://www.espn.com/nfl/player/_/id/16777/carlos-hyde"/>
    <hyperlink ref="J54" r:id="rId328" display="http://www.espn.com/nfl/player/_/id/15880/robert-woods"/>
    <hyperlink ref="J55" r:id="rId329" display="http://www.espn.com/nfl/player/_/id/14402/chris-hogan"/>
    <hyperlink ref="J56" r:id="rId330" display="http://www.espn.com/nfl/player/_/id/12563/michael-crabtree"/>
    <hyperlink ref="J57" r:id="rId331" display="http://www.espn.com/nfl/player/_/id/3042778/corey-davis"/>
    <hyperlink ref="J58" r:id="rId332" display="http://www.espn.com/nfl/player/_/id/2977609/devin-funchess"/>
    <hyperlink ref="J59" r:id="rId333" display="http://www.espn.com/nfl/player/_/id/8439/aaron-rodgers"/>
    <hyperlink ref="J60" r:id="rId334" display="http://www.espn.com/nfl/player/_/id/2330/tom-brady"/>
    <hyperlink ref="J61" r:id="rId335" display="http://www.espn.com/nfl/player/_/id/15966/chris-thompson"/>
    <hyperlink ref="J62" r:id="rId336" display="http://www.espn.com/nfl/player/_/id/3043078/derrick-henry"/>
    <hyperlink ref="J63" r:id="rId337" display="http://www.espn.com/nfl/player/_/id/3919596/chris-carson"/>
    <hyperlink ref="J64" r:id="rId338" display="http://www.espn.com/nfl/player/_/id/3051902/peyton-barber"/>
    <hyperlink ref="J65" r:id="rId339" display="http://www.espn.com/nfl/player/_/id/15860/jordan-reed"/>
    <hyperlink ref="J66" r:id="rId340" display="http://www.espn.com/nfl/player/_/id/13232/jimmy-graham"/>
    <hyperlink ref="J67" r:id="rId341" display="http://www.espn.com/nfl/player/_/id/3051876/evan-engram"/>
    <hyperlink ref="J68" r:id="rId342" display="http://www.espn.com/nfl/player/_/id/2977187/cooper-kupp"/>
    <hyperlink ref="J69" r:id="rId343" display="http://www.espn.com/nfl/player/_/id/14053/randall-cobb"/>
    <hyperlink ref="J70" r:id="rId344" display="http://www.espn.com/nfl/player/_/id/14221/doug-baldwin"/>
    <hyperlink ref="J71" r:id="rId345" display="http://www.espn.com/nfl/player/_/id/15839/marquise-goodwin"/>
    <hyperlink ref="J72" r:id="rId346" display="http://www.espn.com/nfl/player/_/id/16725/sammy-watkins"/>
    <hyperlink ref="J73" r:id="rId347" display="http://www.espn.com/nfl/player/_/id/2971618/nelson-agholor"/>
    <hyperlink ref="J74" r:id="rId348" display="http://www.espn.com/nfl/player/_/id/3045147/james-conner"/>
    <hyperlink ref="J75" r:id="rId349" display="http://www.espn.com/nfl/player/_/id/2969962/duke-johnson-jr"/>
    <hyperlink ref="J76" r:id="rId350" display="http://www.espn.com/nfl/player/_/id/14054/kyle-rudolph"/>
    <hyperlink ref="J77" r:id="rId351" display="http://www.espn.com/nfl/player/_/id/2576716/jamison-crowder"/>
    <hyperlink ref="J78" r:id="rId352" display="http://www.espn.com/nfl/player/_/id/12649/julian-edelman"/>
    <hyperlink ref="J79" r:id="rId353" display="http://www.espn.com/nfl/player/_/id/13994/cam-newton"/>
    <hyperlink ref="J80" r:id="rId354" display="http://www.espn.com/nfl/player/_/id/14881/russell-wilson"/>
    <hyperlink ref="J81" r:id="rId355" display="http://www.espn.com/nfl/player/_/id/14874/andrew-luck"/>
    <hyperlink ref="J82" r:id="rId356" display="http://www.espn.com/nfl/player/_/id/3122840/deshaun-watson"/>
    <hyperlink ref="J83" r:id="rId357" display="http://www.espn.com/nfl/player/_/id/2976592/sterling-shepard"/>
    <hyperlink ref="J84" r:id="rId358" display="http://www.espn.com/nfl/player/_/id/11439/pierre-garcon"/>
    <hyperlink ref="J85" r:id="rId359" display="http://www.espn.com/nfl/player/_/id/3052876/will-fuller-v"/>
    <hyperlink ref="J86" r:id="rId360" display="http://www.espn.com/nfl/player/_/id/2979477/tevin-coleman"/>
    <hyperlink ref="J87" r:id="rId361" display="http://www.espn.com/nfl/player/_/id/17133/isaiah-crowell"/>
    <hyperlink ref="J88" r:id="rId362" display="http://www.espn.com/nfl/player/_/id/3066158/tarik-cohen"/>
    <hyperlink ref="J89" r:id="rId363" display="http://www.espn.com/nfl/player/_/id/10452/adrian-peterson"/>
    <hyperlink ref="J90" r:id="rId364" display="http://www.espn.com/nfl/player/_/id/3049916/matt-breida"/>
    <hyperlink ref="J91" r:id="rId365" display="http://www.espn.com/nfl/player/_/id/16504/jack-doyle"/>
    <hyperlink ref="J92" r:id="rId366" display="http://www.espn.com/nfl/player/_/id/2573079/carson-wentz"/>
    <hyperlink ref="J93" r:id="rId367" display="http://www.espn.com/nfl/player/_/id/16016/kenny-stills"/>
    <hyperlink ref="J94" r:id="rId368" display="http://www.espn.com/nfl/player/_/id/11270/jordy-nelson"/>
    <hyperlink ref="J95" r:id="rId369" display="http://www.espn.com/nfl/player/_/id/2974858/kenny-golladay"/>
    <hyperlink ref="J96" r:id="rId370" display="http://www.espn.com/nfl/player/_/id/2574808/robby-anderson"/>
    <hyperlink ref="J97" r:id="rId371" display="http://www.espn.com/nfl/player/_/id/15009/alfred-morris"/>
    <hyperlink ref="J98" r:id="rId372" display="http://www.espn.com/nfl/player/_/id/2980453/jamaal-williams"/>
    <hyperlink ref="J99" r:id="rId373" display="http://www.espn.com/nfl/player/_/id/3916925/kerryon-johnson"/>
    <hyperlink ref="J100" r:id="rId374" display="http://www.espn.com/nfl/player/_/id/16913/james-white"/>
    <hyperlink ref="J101" r:id="rId375" display="http://www.espn.com/nfl/player/_/id/16974/trey-burton"/>
    <hyperlink ref="J102" r:id="rId376" display="http://www.espn.com/nfl/player/_/id/16899/quincy-enunwa"/>
    <hyperlink ref="J103" r:id="rId377" display="http://www.espn.com/nfl/player/_/id/14912/alshon-jeffery"/>
    <hyperlink ref="J104" r:id="rId378" display="http://www.espn.com/nfl/player/_/id/16730/kelvin-benjamin"/>
    <hyperlink ref="J105" r:id="rId379" display="http://www.espn.com/nfl/player/_/id/2577327/tyler-lockett"/>
    <hyperlink ref="J106" r:id="rId380" display="http://www.espn.com/nfl/player/_/id/14922/mohamed-sanu"/>
    <hyperlink ref="J107" r:id="rId381" display="http://www.espn.com/nfl/player/_/id/11674/danny-amendola"/>
    <hyperlink ref="J108" r:id="rId382" display="http://www.espn.com/nfl/player/_/id/3116165/chris-godwin"/>
    <hyperlink ref="J109" r:id="rId383" display="http://www.espn.com/nfl/player/_/id/3115913/geronimo-allison"/>
    <hyperlink ref="J110" r:id="rId384" display="http://www.espn.com/nfl/player/_/id/10453/ted-ginn-jr"/>
    <hyperlink ref="J111" r:id="rId385" display="http://www.espn.com/nfl/player/_/id/2576019/josh-doctson"/>
    <hyperlink ref="J112" r:id="rId386" display="http://www.espn.com/nfl/player/_/id/17177/allen-hurns"/>
    <hyperlink ref="J113" r:id="rId387" display="http://www.espn.com/nfl/player/_/id/3071572/keelan-cole"/>
    <hyperlink ref="J114" r:id="rId388" display="http://www.espn.com/nfl/player/_/id/16781/paul-richardson"/>
    <hyperlink ref="J115" r:id="rId389" display="http://www.espn.com/nfl/player/_/id/16845/ryan-grant"/>
    <hyperlink ref="J116" r:id="rId390" display="http://www.espn.com/nfl/player/_/id/2576623/devante-parker"/>
    <hyperlink ref="J117" r:id="rId391" display="http://www.espn.com/nfl/player/_/id/5536/ben-roethlisberger"/>
    <hyperlink ref="J118" r:id="rId392" display="http://www.espn.com/nfl/player/_/id/14880/kirk-cousins"/>
    <hyperlink ref="J119" r:id="rId393" display="http://www.espn.com/nfl/player/_/id/3040151/george-kittle"/>
    <hyperlink ref="J120" r:id="rId394" display="http://www.espn.com/nfl/player/_/id/3123076/david-njoku"/>
    <hyperlink ref="J121" r:id="rId395" display="http://www.espn.com/nfl/player/_/id/5557/benjamin-watson"/>
    <hyperlink ref="J122" r:id="rId396" display="http://www.espn.com/nfl/player/_/id/14129/bilal-powell"/>
    <hyperlink ref="J123" r:id="rId397" display="http://www.espn.com/nfl/player/_/id/3052117/phillip-lindsay"/>
    <hyperlink ref="J124" r:id="rId398" display="http://www.espn.com/nfl/player/_/id/3139605/marlon-mack"/>
    <hyperlink ref="J125" r:id="rId399" display="http://www.espn.com/nfl/player/_/id/3139925/rashaad-penny"/>
    <hyperlink ref="J126" r:id="rId400" display="http://www.espn.com/nfl/player/_/id/3128721/sony-michel"/>
    <hyperlink ref="J127" r:id="rId401" display="http://www.espn.com/nfl/player/_/id/3139477/patrick-mahomes"/>
    <hyperlink ref="J128" r:id="rId402" display="http://www.espn.com/nfl/player/_/id/12483/matthew-stafford"/>
    <hyperlink ref="J129" r:id="rId403" display="http://www.espn.com/nfl/player/_/id/2580/drew-brees"/>
    <hyperlink ref="J130" r:id="rId404" display="http://www.espn.com/nfl/player/_/id/3052177/john-ross"/>
    <hyperlink ref="J131" r:id="rId405" display="http://www.espn.com/nfl/player/_/id/11283/desean-jackson"/>
    <hyperlink ref="J132" r:id="rId406" display="http://www.espn.com/nfl/player/_/id/16804/john-brown"/>
    <hyperlink ref="J133" r:id="rId407" display="http://www.espn.com/nfl/player/_/id/3128429/courtland-sutton"/>
    <hyperlink ref="J134" r:id="rId408" display="http://www.espn.com/nfl/player/_/id/5529/philip-rivers"/>
    <hyperlink ref="J135" r:id="rId409" display="http://www.espn.com/nfl/player/_/id/8416/alex-smith"/>
    <hyperlink ref="J136" r:id="rId410" display="http://www.espn.com/nfl/player/_/id/11237/matt-ryan"/>
    <hyperlink ref="J137" r:id="rId411" display="http://www.espn.com/nfl/player/_/id/16760/jimmy-garoppolo"/>
    <hyperlink ref="J138" r:id="rId412" display="http://www.espn.com/nfl/player/_/id/16791/donte-moncrief"/>
    <hyperlink ref="J139" r:id="rId413" display="http://www.espn.com/nfl/player/_/id/3045138/mike-williams"/>
    <hyperlink ref="J140" r:id="rId414" display="http://www.espn.com/nfl/player/_/id/4036348/michael-gallup"/>
    <hyperlink ref="J141" r:id="rId415" display="http://www.espn.com/nfl/player/_/id/15102/rishard-matthews"/>
    <hyperlink ref="J142" r:id="rId416" display="http://www.espn.com/nfl/player/_/id/12601/mike-wallace"/>
    <hyperlink ref="J143" r:id="rId417" display="http://www.espn.com/nfl/player/_/id/15994/theo-riddick"/>
    <hyperlink ref="J144" r:id="rId418" display="http://www.espn.com/nfl/player/_/id/2577134/ty-montgomery"/>
    <hyperlink ref="J145" r:id="rId419" display="http://www.espn.com/nfl/player/_/id/2577253/javorius-allen"/>
    <hyperlink ref="J146" r:id="rId420" display="http://www.espn.com/nfl/player/_/id/16795/austin-seferian-jenkins"/>
    <hyperlink ref="J147" r:id="rId421" display="http://www.espn.com/nfl/player/_/id/15788/tyler-eifert"/>
    <hyperlink ref="J148" r:id="rId422" display="http://www.espn.com/nfl/player/_/id/3042519/aaron-jones"/>
    <hyperlink ref="J149" r:id="rId423" display="http://www.espn.com/nfl/player/_/id/8544/darren-sproles"/>
    <hyperlink ref="J150" r:id="rId424" display="http://www.espn.com/nfl/player/_/id/3068267/austin-ekeler"/>
    <hyperlink ref="J151" r:id="rId425" display="http://www.espn.com/nfl/player/_/id/14163/tyrod-taylor"/>
    <hyperlink ref="J152" r:id="rId426" display="http://www.espn.com/nfl/player/_/id/3046779/jared-goff"/>
    <hyperlink ref="J153" r:id="rId427" display="http://www.espn.com/nfl/player/_/id/3039707/mitchell-trubisky"/>
    <hyperlink ref="J155" r:id="rId428" display="http://www.espn.com/nfl/player/_/id/2972091/jalen-richard"/>
    <hyperlink ref="J156" r:id="rId429" display="http://www.espn.com/nfl/player/_/id/3916430/nyheim-hines"/>
    <hyperlink ref="J157" r:id="rId430" display="http://www.espn.com/nfl/player/_/id/3051891/jordan-wilkins"/>
    <hyperlink ref="J158" r:id="rId431" display="http://www.espn.com/nfl/player/_/id/2976516/tj-yeldon"/>
    <hyperlink ref="J159" r:id="rId432" display="http://www.espn.com/nfl/player/_/id/3892889/dede-westbrook"/>
    <hyperlink ref="J160" r:id="rId433" display="http://www.espn.com/nfl/player/_/id/15349/cole-beasley"/>
    <hyperlink ref="J161" r:id="rId434" display="http://www.espn.com/nfl/player/_/id/3045144/tyler-boyd"/>
    <hyperlink ref="J162" r:id="rId435" display="http://www.espn.com/nfl/player/_/id/12537/jared-cook"/>
    <hyperlink ref="J163" r:id="rId436" display="http://www.espn.com/nfl/player/_/id/3050487/anthony-miller"/>
    <hyperlink ref="J164" r:id="rId437" display="http://www.espn.com/nfl/player/_/id/2577417/dak-prescott"/>
    <hyperlink ref="J165" r:id="rId438" display="http://www.espn.com/nfl/player/_/id/15826/giovani-bernard"/>
    <hyperlink ref="J166" r:id="rId439" display="http://www.espn.com/nfl/player/_/id/15920/latavius-murray"/>
    <hyperlink ref="J167" r:id="rId440" display="http://www.espn.com/nfl/player/_/id/17437/taylor-gabriel"/>
    <hyperlink ref="J168" r:id="rId441" display="http://www.espn.com/nfl/player/_/id/3925357/calvin-ridley"/>
    <hyperlink ref="J169" r:id="rId442" display="http://www.espn.com/nfl/player/_/id/3043080/oj-howard"/>
    <hyperlink ref="J170" r:id="rId443" display="http://www.espn.com/nfl/player/_/id/3051806/ricky-seals-jones"/>
    <hyperlink ref="J176" r:id="rId444" display="http://www.espn.com/nfl/player/_/id/14993/greg-zuerlein"/>
    <hyperlink ref="J177" r:id="rId445" display="http://www.espn.com/nfl/player/_/id/9704/stephen-gostkowski"/>
    <hyperlink ref="J178" r:id="rId446" display="http://www.espn.com/nfl/player/_/id/15683/justin-tucker"/>
    <hyperlink ref="J185" r:id="rId447" display="http://www.espn.com/nfl/player/_/id/4333/matt-bryant"/>
    <hyperlink ref="J186" r:id="rId448" display="http://www.espn.com/nfl/player/_/id/2985659/wil-lutz"/>
    <hyperlink ref="J187" r:id="rId449" display="http://www.espn.com/nfl/player/_/id/17372/chris-boswell"/>
    <hyperlink ref="J188" r:id="rId450" display="http://www.espn.com/nfl/player/_/id/9354/robbie-gould"/>
    <hyperlink ref="J189" r:id="rId451" display="http://www.espn.com/nfl/player/_/id/3050478/jake-elliott"/>
    <hyperlink ref="J190" r:id="rId452" display="http://www.espn.com/nfl/player/_/id/11122/matt-prater"/>
    <hyperlink ref="J191" r:id="rId453" display="http://www.espn.com/nfl/player/_/id/3055899/harrison-butker"/>
    <hyperlink ref="J192" r:id="rId454" display="http://www.espn.com/nfl/player/_/id/1097/adam-vinatieri"/>
    <hyperlink ref="J193" r:id="rId455" display="http://www.espn.com/nfl/player/_/id/12460/graham-gano"/>
    <hyperlink ref="J194" r:id="rId456" display="http://www.espn.com/nfl/player/_/id/3912550/ronald-jones"/>
    <hyperlink ref="J195" r:id="rId457" display="http://www.espn.com/nfl/player/_/id/14885/doug-martin"/>
    <hyperlink ref="J196" r:id="rId458" display="http://www.espn.com/nfl/player/_/id/3045260/corey-clement"/>
    <hyperlink ref="J197" r:id="rId459" display="http://www.espn.com/nfl/player/_/id/15853/vance-mcdonald"/>
    <hyperlink ref="J198" r:id="rId460" display="http://www.espn.com/nfl/player/_/id/3043275/austin-hooper"/>
    <hyperlink ref="J199" r:id="rId461" display="http://www.espn.com/nfl/player/_/id/5362/antonio-gates"/>
    <hyperlink ref="J200" r:id="rId462" display="http://www.espn.com/nfl/player/_/id/3122866/devontae-booker"/>
    <hyperlink ref="J201" r:id="rId463" display="http://www.espn.com/nfl/player/_/id/16040/cj-anderson"/>
    <hyperlink ref="J202" r:id="rId464" display="http://www.espn.com/nfl/player/_/id/3119195/chase-edmonds"/>
    <hyperlink ref="J203" r:id="rId465" display="http://www.espn.com/nfl/player/_/id/13213/legarrette-blount"/>
    <hyperlink ref="J204" r:id="rId466" display="http://www.espn.com/nfl/player/_/id/3128720/nick-chubb"/>
    <hyperlink ref="J205" r:id="rId467" display="http://www.espn.com/nfl/player/_/id/13587/chris-ivory"/>
    <hyperlink ref="J206" r:id="rId468" display="http://www.espn.com/nfl/player/_/id/2514123/marcus-murphy"/>
    <hyperlink ref="J207" r:id="rId469" display="http://www.espn.com/nfl/player/_/id/8479/frank-gore"/>
    <hyperlink ref="J208" r:id="rId470" display="http://www.espn.com/nfl/player/_/id/16921/alfred-blue"/>
    <hyperlink ref="J209" r:id="rId471" display="http://www.espn.com/nfl/player/_/id/3125116/d'onta-foreman"/>
    <hyperlink ref="J210" r:id="rId472" display="http://www.espn.com/nfl/player/_/id/16020/spencer-ware"/>
    <hyperlink ref="J211" r:id="rId473" display="http://www.espn.com/nfl/player/_/id/14145/charles-clay"/>
    <hyperlink ref="J212" r:id="rId474" display="http://www.espn.com/nfl/player/_/id/17453/cameron-brate"/>
    <hyperlink ref="J213" r:id="rId475" display="http://www.espn.com/nfl/player/_/id/2576980/marcus-mariota"/>
    <hyperlink ref="J215" r:id="rId476" display="http://www.espn.com/nfl/player/_/id/2587819/tyrell-williams"/>
    <hyperlink ref="J216" r:id="rId477" display="http://www.espn.com/nfl/player/_/id/9705/brandon-marshall"/>
    <hyperlink ref="J217" r:id="rId478" display="http://www.espn.com/nfl/player/_/id/2579604/phillip-dorsett"/>
    <hyperlink ref="J218" r:id="rId479" display="http://www.espn.com/nfl/player/_/id/2982828/tajae-sharpe"/>
    <hyperlink ref="J219" r:id="rId480" display="http://www.espn.com/nfl/player/_/id/3915416/dj-moore"/>
    <hyperlink ref="J220" r:id="rId481" display="http://www.espn.com/nfl/player/_/id/14012/andy-dalton"/>
    <hyperlink ref="J221" r:id="rId482" display="http://www.espn.com/nfl/player/_/id/14876/ryan-tannehill"/>
    <hyperlink ref="J224" r:id="rId483" display="http://www.espn.com/nfl/player/_/id/12731/ryan-succop"/>
    <hyperlink ref="J225" r:id="rId484" display="http://www.espn.com/nfl/player/_/id/3051909/daniel-carlson"/>
    <hyperlink ref="J226" r:id="rId485" display="http://www.espn.com/nfl/player/_/id/3127306/dante-pettis"/>
    <hyperlink ref="J227" r:id="rId486" display="http://www.espn.com/nfl/player/_/id/3122449/james-washington"/>
    <hyperlink ref="J228" r:id="rId487" display="http://www.espn.com/nfl/player/_/id/3895856/christian-kirk"/>
    <hyperlink ref="J229" r:id="rId488" display="http://www.espn.com/nfl/player/_/id/17051/albert-wilson"/>
    <hyperlink ref="J230" r:id="rId489" display="http://www.espn.com/nfl/player/_/id/3066052/chad-williams"/>
    <hyperlink ref="J231" r:id="rId490" display="http://www.espn.com/nfl/player/_/id/2974339/austin-carr"/>
    <hyperlink ref="J232" r:id="rId491" display="http://www.espn.com/nfl/player/_/id/15062/travis-benjamin"/>
    <hyperlink ref="J234" r:id="rId492" display="http://www.espn.com/nfl/player/_/id/3128451/tre'quan-smith"/>
    <hyperlink ref="J235" r:id="rId493" display="http://www.espn.com/nfl/player/_/id/15807/cordarrelle-patterson"/>
    <hyperlink ref="J236" r:id="rId494" display="http://www.espn.com/nfl/player/_/id/14193/jacquizz-rodgers"/>
    <hyperlink ref="J237" r:id="rId495" display="http://www.espn.com/nfl/player/_/id/16002/kyle-juszczyk"/>
    <hyperlink ref="J238" r:id="rId496" display="http://www.espn.com/nfl/player/_/id/3045127/wayne-gallman"/>
    <hyperlink ref="J239" r:id="rId497" display="http://www.espn.com/nfl/player/_/id/3042494/elijah-mcguire"/>
    <hyperlink ref="J240" r:id="rId498" display="http://www.espn.com/nfl/player/_/id/11247/jonathan-stewart"/>
    <hyperlink ref="J241" r:id="rId499" display="http://www.espn.com/nfl/player/_/id/2512197/rod-smith"/>
    <hyperlink ref="J242" r:id="rId500" display="http://www.espn.com/nfl/player/_/id/17359/damien-williams"/>
    <hyperlink ref="J243" r:id="rId501" display="http://www.espn.com/nfl/player/_/id/3915381/john-kelly"/>
    <hyperlink ref="J244" r:id="rId502" display="http://www.espn.com/nfl/player/_/id/15168/case-keenum"/>
    <hyperlink ref="J245" r:id="rId503" display="http://www.espn.com/nfl/player/_/id/5526/eli-manning"/>
    <hyperlink ref="J246" r:id="rId504" display="http://www.espn.com/nfl/player/_/id/16757/derek-carr"/>
    <hyperlink ref="J247" r:id="rId505" display="http://www.espn.com/nfl/player/_/id/16732/eric-ebron"/>
    <hyperlink ref="J248" r:id="rId506" display="http://www.espn.com/nfl/player/_/id/15887/ryan-griffin"/>
    <hyperlink ref="J249" r:id="rId507" display="http://www.espn.com/nfl/player/_/id/3054212/jonnu-smith"/>
    <hyperlink ref="J250" r:id="rId508" display="http://www.espn.com/nfl/player/_/id/4045305/ian-thomas"/>
    <hyperlink ref="J251" r:id="rId509" display="http://www.espn.com/nfl/player/_/id/2515934/corey-grant"/>
    <hyperlink ref="J253" r:id="rId510" display="http://www.espn.com/nfl/player/_/id/3051738/marquez-valdes-scantling"/>
    <hyperlink ref="J256" r:id="rId511" display="http://www.espn.com/nfl/player/_/id/10636/mason-crosby"/>
    <hyperlink ref="J257" r:id="rId512" display="http://www.espn.com/nfl/player/_/id/2998120/josh-lambo"/>
    <hyperlink ref="J258" r:id="rId513" display="http://www.espn.com/nfl/player/_/id/3127292/will-dissly"/>
    <hyperlink ref="J259" r:id="rId514" display="http://www.espn.com/nfl/player/_/id/3924365/hayden-hurst"/>
    <hyperlink ref="J260" r:id="rId515" display="http://www.espn.com/nfl/player/_/id/10475/greg-olsen"/>
    <hyperlink ref="J261" r:id="rId516" display="http://www.espn.com/nfl/player/_/id/15845/justin-hunter"/>
    <hyperlink ref="J262" r:id="rId517" display="http://www.espn.com/nfl/player/_/id/15503/deonte-thompson"/>
    <hyperlink ref="J263" r:id="rId518" display="http://www.espn.com/nfl/player/_/id/2576491/adam-humphries"/>
    <hyperlink ref="J264" r:id="rId519" display="http://www.espn.com/nfl/player/_/id/3059722/zay-jones"/>
    <hyperlink ref="J265" r:id="rId520" display="http://www.espn.com/nfl/player/_/id/3039723/tj-logan"/>
    <hyperlink ref="J266" r:id="rId521" display="http://www.espn.com/nfl/player/_/id/2980148/cj-prosise"/>
    <hyperlink ref="J267" r:id="rId522" display="http://www.espn.com/nfl/player/_/id/16724/blake-bortles"/>
    <hyperlink ref="J268" r:id="rId523" display="http://www.espn.com/nfl/player/_/id/11252/joe-flacco"/>
    <hyperlink ref="J269" r:id="rId524" display="http://www.espn.com/nfl/player/_/id/3912547/sam-darnold"/>
    <hyperlink ref="J270" r:id="rId525" display="http://www.espn.com/nfl/player/_/id/2969939/jameis-winston"/>
    <hyperlink ref="J271" r:id="rId526" display="http://www.espn.com/nfl/player/_/id/13197/sam-bradford"/>
    <hyperlink ref="J272" r:id="rId527" display="http://www.espn.com/nfl/player/_/id/15428/jermaine-kearse"/>
    <hyperlink ref="J273" r:id="rId528" display="http://www.espn.com/nfl/player/_/id/14151/jeremy-kerley"/>
    <hyperlink ref="J274" r:id="rId529" display="http://www.espn.com/nfl/player/_/id/3051889/laquon-treadwell"/>
    <hyperlink ref="J275" r:id="rId530" display="http://www.espn.com/nfl/player/_/id/3040569/trent-taylor"/>
    <hyperlink ref="J276" r:id="rId531" display="http://www.espn.com/nfl/player/_/id/14032/torrey-smith"/>
    <hyperlink ref="J277" r:id="rId532" display="http://www.espn.com/nfl/player/_/id/14894/robert-turbin"/>
    <hyperlink ref="J278" r:id="rId533" display="http://www.espn.com/nfl/player/_/id/3123969/ito-smith"/>
    <hyperlink ref="J279" r:id="rId534" display="http://www.espn.com/nfl/player/_/id/2971888/kenneth-dixon"/>
    <hyperlink ref="J280" r:id="rId535" display="http://www.espn.com/nfl/player/_/id/15855/christine-michael"/>
    <hyperlink ref="J281" r:id="rId536" display="http://www.espn.com/nfl/player/_/id/2575408/rob-kelley"/>
    <hyperlink ref="J282" r:id="rId537" display="http://www.espn.com/nfl/player/_/id/3116721/jaylen-samuels"/>
    <hyperlink ref="J283" r:id="rId538" display="http://www.espn.com/nfl/player/_/id/2570986/malcolm-brown"/>
    <hyperlink ref="J284" r:id="rId539" display="http://www.espn.com/nfl/player/_/id/4261020/trenton-cannon"/>
    <hyperlink ref="J285" r:id="rId540" display="http://www.espn.com/nfl/player/_/id/2983209/chester-rogers"/>
    <hyperlink ref="J288" r:id="rId541" display="http://www.espn.com/nfl/player/_/id/15965/dustin-hopkins"/>
    <hyperlink ref="J289" r:id="rId542" display="http://www.espn.com/nfl/player/_/id/16976/chandler-catanzaro"/>
    <hyperlink ref="J290" r:id="rId543" display="http://www.espn.com/nfl/player/_/id/3046704/geoff-swaim"/>
    <hyperlink ref="J291" r:id="rId544" display="http://www.espn.com/nfl/player/_/id/3116164/mike-gesicki"/>
    <hyperlink ref="J292" r:id="rId545" display="http://www.espn.com/nfl/player/_/id/9592/vernon-davis"/>
    <hyperlink ref="J293" r:id="rId546" display="http://www.espn.com/nfl/player/_/id/16121/luke-willson"/>
    <hyperlink ref="J294" r:id="rId547" display="http://www.espn.com/nfl/player/_/id/3121023/dallas-goedert"/>
    <hyperlink ref="J295" r:id="rId548" display="http://www.espn.com/nfl/player/_/id/17402/seth-roberts"/>
    <hyperlink ref="J296" r:id="rId549" display="http://www.espn.com/nfl/player/_/id/14918/jarius-wright"/>
    <hyperlink ref="J297" r:id="rId550" display="http://www.espn.com/nfl/player/_/id/3918298/josh-allen"/>
  </hyperlinks>
  <pageMargins left="0.7" right="0.7" top="0.75" bottom="0.75" header="0.3" footer="0.3"/>
  <pageSetup orientation="portrait" r:id="rId55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Z23"/>
  <sheetViews>
    <sheetView workbookViewId="0">
      <selection activeCell="O1" sqref="O1:Z11"/>
    </sheetView>
  </sheetViews>
  <sheetFormatPr defaultRowHeight="15" x14ac:dyDescent="0.25"/>
  <cols>
    <col min="7" max="7" width="9.140625" customWidth="1"/>
  </cols>
  <sheetData>
    <row r="1" spans="1:26" x14ac:dyDescent="0.25">
      <c r="B1" t="s">
        <v>736</v>
      </c>
      <c r="C1" t="s">
        <v>497</v>
      </c>
      <c r="D1">
        <f>Week+Half_Week</f>
        <v>5</v>
      </c>
      <c r="E1">
        <f>D1+1</f>
        <v>6</v>
      </c>
      <c r="F1">
        <f>E1+1</f>
        <v>7</v>
      </c>
      <c r="G1">
        <f>D1</f>
        <v>5</v>
      </c>
      <c r="H1">
        <f>E1</f>
        <v>6</v>
      </c>
      <c r="I1">
        <f>F1</f>
        <v>7</v>
      </c>
      <c r="J1" t="s">
        <v>747</v>
      </c>
      <c r="K1" t="s">
        <v>751</v>
      </c>
      <c r="L1" t="s">
        <v>747</v>
      </c>
      <c r="P1" t="s">
        <v>736</v>
      </c>
      <c r="Q1" t="s">
        <v>497</v>
      </c>
      <c r="R1">
        <v>5</v>
      </c>
      <c r="S1">
        <v>6</v>
      </c>
      <c r="T1">
        <v>7</v>
      </c>
      <c r="U1">
        <v>5</v>
      </c>
      <c r="V1">
        <v>6</v>
      </c>
      <c r="W1">
        <v>7</v>
      </c>
      <c r="X1" t="s">
        <v>747</v>
      </c>
      <c r="Y1" t="s">
        <v>751</v>
      </c>
      <c r="Z1" t="s">
        <v>747</v>
      </c>
    </row>
    <row r="2" spans="1:26" x14ac:dyDescent="0.25">
      <c r="A2" t="s">
        <v>20</v>
      </c>
      <c r="B2" s="35">
        <f>Scores!M121</f>
        <v>0.12327931641325317</v>
      </c>
      <c r="C2" s="3">
        <f>Scores!I56</f>
        <v>0.4608216997141425</v>
      </c>
      <c r="D2" s="3">
        <f>INDEX(Scores!$B$24:$N$33,ROW(A1),D$1)</f>
        <v>0.60853626206753453</v>
      </c>
      <c r="E2" s="3">
        <f>INDEX(Scores!$B$24:$N$33,ROW(B1),E$1)</f>
        <v>0.43529102270863457</v>
      </c>
      <c r="F2" s="3">
        <f>INDEX(Scores!$B$24:$N$33,ROW(C1),F$1)</f>
        <v>0.33066359643987875</v>
      </c>
      <c r="G2" s="2">
        <f>INDEX(Scores!$B$2:$N$11,ROW(A1),G$1)</f>
        <v>114.56</v>
      </c>
      <c r="H2" s="2">
        <f>INDEX(Scores!$B$2:$N$11,ROW(B1),H$1)</f>
        <v>95.610000000000014</v>
      </c>
      <c r="I2" s="2">
        <f>INDEX(Scores!$B$2:$N$11,ROW(C1),I$1)</f>
        <v>104.80000000000001</v>
      </c>
      <c r="J2">
        <f t="shared" ref="J2:J11" si="0">_xlfn.RANK.AVG(B2,$B$2:$B$11,0)</f>
        <v>4</v>
      </c>
      <c r="K2" s="22">
        <f>Scores!P36</f>
        <v>7.0061671840035391</v>
      </c>
      <c r="L2">
        <f t="shared" ref="L2:L11" si="1">_xlfn.RANK.AVG(K2,$K$2:$K$11,0)</f>
        <v>5</v>
      </c>
      <c r="O2" t="s">
        <v>20</v>
      </c>
      <c r="P2" s="3">
        <v>0.13180196568340768</v>
      </c>
      <c r="Q2" s="3">
        <v>0.46230113964220865</v>
      </c>
      <c r="R2" s="3">
        <v>0.60853626206753453</v>
      </c>
      <c r="S2" s="3">
        <v>0.43529102270863457</v>
      </c>
      <c r="T2" s="3">
        <v>0.33066359643987875</v>
      </c>
      <c r="U2" s="2">
        <v>114.56</v>
      </c>
      <c r="V2" s="2">
        <v>95.610000000000014</v>
      </c>
      <c r="W2" s="2">
        <v>104.80000000000001</v>
      </c>
      <c r="X2">
        <v>3</v>
      </c>
      <c r="Y2">
        <v>6.990240387091224</v>
      </c>
      <c r="Z2">
        <v>5</v>
      </c>
    </row>
    <row r="3" spans="1:26" ht="15.75" thickBot="1" x14ac:dyDescent="0.3">
      <c r="A3" t="s">
        <v>16</v>
      </c>
      <c r="B3" s="35">
        <f>Scores!M122</f>
        <v>0.10520568995963943</v>
      </c>
      <c r="C3" s="3">
        <f>Scores!I57</f>
        <v>0.70874126513599434</v>
      </c>
      <c r="D3" s="3">
        <f>INDEX(Scores!$B$24:$N$33,ROW(A2),D$1)</f>
        <v>0.28411106749471321</v>
      </c>
      <c r="E3" s="3">
        <f>INDEX(Scores!$B$24:$N$33,ROW(B2),E$1)</f>
        <v>0.38136789719376918</v>
      </c>
      <c r="F3" s="3">
        <f>INDEX(Scores!$B$24:$N$33,ROW(C2),F$1)</f>
        <v>0.53182791690760634</v>
      </c>
      <c r="G3" s="2">
        <f>INDEX(Scores!$B$2:$N$11,ROW(A2),G$1)</f>
        <v>114.38</v>
      </c>
      <c r="H3" s="2">
        <f>INDEX(Scores!$B$2:$N$11,ROW(B2),H$1)</f>
        <v>107.81000000000002</v>
      </c>
      <c r="I3" s="2">
        <f>INDEX(Scores!$B$2:$N$11,ROW(C2),I$1)</f>
        <v>105.52</v>
      </c>
      <c r="J3">
        <f>_xlfn.RANK.AVG(B3,$B$2:$B$11,0)</f>
        <v>5</v>
      </c>
      <c r="K3" s="22">
        <f>Scores!P37</f>
        <v>8.1989369011850837</v>
      </c>
      <c r="L3">
        <f t="shared" si="1"/>
        <v>3</v>
      </c>
      <c r="O3" t="s">
        <v>16</v>
      </c>
      <c r="P3" s="3">
        <v>0.11501044630946085</v>
      </c>
      <c r="Q3" s="3">
        <v>0.71432722307929963</v>
      </c>
      <c r="R3" s="3">
        <v>0.28411106749471321</v>
      </c>
      <c r="S3" s="3">
        <v>0.42169430559240084</v>
      </c>
      <c r="T3" s="3">
        <v>0.53182791690760634</v>
      </c>
      <c r="U3" s="2">
        <v>114.38</v>
      </c>
      <c r="V3" s="2">
        <v>107.81000000000002</v>
      </c>
      <c r="W3" s="2">
        <v>105.52</v>
      </c>
      <c r="X3">
        <v>4</v>
      </c>
      <c r="Y3">
        <v>8.1862385956122825</v>
      </c>
      <c r="Z3">
        <v>2</v>
      </c>
    </row>
    <row r="4" spans="1:26" ht="15.75" thickBot="1" x14ac:dyDescent="0.3">
      <c r="A4" s="26" t="s">
        <v>55</v>
      </c>
      <c r="B4" s="36">
        <f>Scores!M123</f>
        <v>0.18668730884602278</v>
      </c>
      <c r="C4" s="27">
        <f>Scores!I58</f>
        <v>0.76959440243315957</v>
      </c>
      <c r="D4" s="27">
        <f>INDEX(Scores!$B$24:$N$33,ROW(A3),D$1)</f>
        <v>0.48230230633039956</v>
      </c>
      <c r="E4" s="27">
        <f>INDEX(Scores!$B$24:$N$33,ROW(B3),E$1)</f>
        <v>0.61863210280623082</v>
      </c>
      <c r="F4" s="27">
        <f>INDEX(Scores!$B$24:$N$33,ROW(C3),F$1)</f>
        <v>0.56019035531275452</v>
      </c>
      <c r="G4" s="32">
        <f>INDEX(Scores!$B$2:$N$11,ROW(A3),G$1)</f>
        <v>112.65</v>
      </c>
      <c r="H4" s="32">
        <f>INDEX(Scores!$B$2:$N$11,ROW(B3),H$1)</f>
        <v>116.63</v>
      </c>
      <c r="I4" s="32">
        <f>INDEX(Scores!$B$2:$N$11,ROW(C3),I$1)</f>
        <v>107.27000000000001</v>
      </c>
      <c r="J4" s="29">
        <f>_xlfn.RANK.AVG(B4,$B$2:$B$11,0)</f>
        <v>3</v>
      </c>
      <c r="K4" s="30">
        <f>Scores!P38</f>
        <v>8.5357062765043121</v>
      </c>
      <c r="L4" s="31">
        <f>_xlfn.RANK.AVG(K4,$K$2:$K$11,0)</f>
        <v>2</v>
      </c>
      <c r="O4" t="s">
        <v>55</v>
      </c>
      <c r="P4" s="3">
        <v>0.11408408372174772</v>
      </c>
      <c r="Q4" s="3">
        <v>0.67231240356287225</v>
      </c>
      <c r="R4" s="3">
        <v>0.48230230633039956</v>
      </c>
      <c r="S4" s="3">
        <v>0.57830569440759916</v>
      </c>
      <c r="T4" s="3">
        <v>0.47516721052592742</v>
      </c>
      <c r="U4" s="2">
        <v>112.65</v>
      </c>
      <c r="V4" s="2">
        <v>113.51000000000002</v>
      </c>
      <c r="W4" s="2">
        <v>104.57</v>
      </c>
      <c r="X4">
        <v>5</v>
      </c>
      <c r="Y4">
        <v>7.9740967910713456</v>
      </c>
      <c r="Z4">
        <v>3</v>
      </c>
    </row>
    <row r="5" spans="1:26" x14ac:dyDescent="0.25">
      <c r="A5" t="s">
        <v>35</v>
      </c>
      <c r="B5" s="35">
        <f>Scores!M124</f>
        <v>8.3631834589814515E-3</v>
      </c>
      <c r="C5" s="3">
        <f>Scores!I59</f>
        <v>6.8004242270583465E-2</v>
      </c>
      <c r="D5" s="3">
        <f>INDEX(Scores!$B$24:$N$33,ROW(A4),D$1)</f>
        <v>0.71588893250528685</v>
      </c>
      <c r="E5" s="3">
        <f>INDEX(Scores!$B$24:$N$33,ROW(B4),E$1)</f>
        <v>0.43940701277158895</v>
      </c>
      <c r="F5" s="3">
        <f>INDEX(Scores!$B$24:$N$33,ROW(C4),F$1)</f>
        <v>0.43980964468724554</v>
      </c>
      <c r="G5" s="2">
        <f>INDEX(Scores!$B$2:$N$11,ROW(A4),G$1)</f>
        <v>129.46</v>
      </c>
      <c r="H5" s="2">
        <f>INDEX(Scores!$B$2:$N$11,ROW(B4),H$1)</f>
        <v>106.66000000000003</v>
      </c>
      <c r="I5" s="2">
        <f>INDEX(Scores!$B$2:$N$11,ROW(C4),I$1)</f>
        <v>102.97000000000001</v>
      </c>
      <c r="J5">
        <f t="shared" si="0"/>
        <v>9</v>
      </c>
      <c r="K5" s="22">
        <f>Scores!P39</f>
        <v>4.5715314452204243</v>
      </c>
      <c r="L5">
        <f t="shared" si="1"/>
        <v>9</v>
      </c>
      <c r="O5" t="s">
        <v>35</v>
      </c>
      <c r="P5" s="3">
        <v>2.0271795382574447E-2</v>
      </c>
      <c r="Q5" s="3">
        <v>0.10767414879666859</v>
      </c>
      <c r="R5" s="3">
        <v>0.71588893250528685</v>
      </c>
      <c r="S5" s="3">
        <v>0.47945721683510678</v>
      </c>
      <c r="T5" s="3">
        <v>0.52483278947407253</v>
      </c>
      <c r="U5" s="2">
        <v>129.46</v>
      </c>
      <c r="V5" s="2">
        <v>109.57000000000001</v>
      </c>
      <c r="W5" s="2">
        <v>106.36000000000003</v>
      </c>
      <c r="X5">
        <v>9</v>
      </c>
      <c r="Y5">
        <v>4.9632787866667645</v>
      </c>
      <c r="Z5">
        <v>9</v>
      </c>
    </row>
    <row r="6" spans="1:26" x14ac:dyDescent="0.25">
      <c r="A6" t="s">
        <v>27</v>
      </c>
      <c r="B6" s="35">
        <f>Scores!M125</f>
        <v>2.0845785899294408E-2</v>
      </c>
      <c r="C6" s="3">
        <f>Scores!I60</f>
        <v>0.13213555867234358</v>
      </c>
      <c r="D6" s="3">
        <f>INDEX(Scores!$B$24:$N$33,ROW(A5),D$1)</f>
        <v>0.37836433638415362</v>
      </c>
      <c r="E6" s="3">
        <f>INDEX(Scores!$B$24:$N$33,ROW(B5),E$1)</f>
        <v>0.560592987228411</v>
      </c>
      <c r="F6" s="3">
        <f>INDEX(Scores!$B$24:$N$33,ROW(C5),F$1)</f>
        <v>0.42967000738842365</v>
      </c>
      <c r="G6" s="2">
        <f>INDEX(Scores!$B$2:$N$11,ROW(A5),G$1)</f>
        <v>103.71</v>
      </c>
      <c r="H6" s="2">
        <f>INDEX(Scores!$B$2:$N$11,ROW(B5),H$1)</f>
        <v>111.06</v>
      </c>
      <c r="I6" s="2">
        <f>INDEX(Scores!$B$2:$N$11,ROW(C5),I$1)</f>
        <v>97.619999999999976</v>
      </c>
      <c r="J6">
        <f t="shared" si="0"/>
        <v>8</v>
      </c>
      <c r="K6" s="22">
        <f>Scores!P40</f>
        <v>5.1751968668058419</v>
      </c>
      <c r="L6">
        <f t="shared" si="1"/>
        <v>8</v>
      </c>
      <c r="O6" t="s">
        <v>27</v>
      </c>
      <c r="P6" s="3">
        <v>2.4900461144682837E-2</v>
      </c>
      <c r="Q6" s="3">
        <v>0.14551533785946724</v>
      </c>
      <c r="R6" s="3">
        <v>0.37836433638415362</v>
      </c>
      <c r="S6" s="3">
        <v>0.52054278316489322</v>
      </c>
      <c r="T6" s="3">
        <v>0.42967000738842365</v>
      </c>
      <c r="U6" s="2">
        <v>103.71</v>
      </c>
      <c r="V6" s="2">
        <v>111.06</v>
      </c>
      <c r="W6" s="2">
        <v>97.619999999999976</v>
      </c>
      <c r="X6">
        <v>8</v>
      </c>
      <c r="Y6">
        <v>5.2673309712117762</v>
      </c>
      <c r="Z6">
        <v>8</v>
      </c>
    </row>
    <row r="7" spans="1:26" x14ac:dyDescent="0.25">
      <c r="A7" t="s">
        <v>62</v>
      </c>
      <c r="B7" s="35">
        <f>Scores!M126</f>
        <v>0.23992537040209638</v>
      </c>
      <c r="C7" s="3">
        <f>Scores!I61</f>
        <v>0.62496584455265847</v>
      </c>
      <c r="D7" s="3">
        <f>INDEX(Scores!$B$24:$N$33,ROW(A6),D$1)</f>
        <v>0.62163566361584643</v>
      </c>
      <c r="E7" s="3">
        <f>INDEX(Scores!$B$24:$N$33,ROW(B6),E$1)</f>
        <v>0.54838794279145975</v>
      </c>
      <c r="F7" s="3">
        <f>INDEX(Scores!$B$24:$N$33,ROW(C6),F$1)</f>
        <v>0.65012281888584655</v>
      </c>
      <c r="G7" s="2">
        <f>INDEX(Scores!$B$2:$N$11,ROW(A6),G$1)</f>
        <v>112.39000000000001</v>
      </c>
      <c r="H7" s="2">
        <f>INDEX(Scores!$B$2:$N$11,ROW(B6),H$1)</f>
        <v>110.40000000000002</v>
      </c>
      <c r="I7" s="2">
        <f>INDEX(Scores!$B$2:$N$11,ROW(C6),I$1)</f>
        <v>113.77000000000001</v>
      </c>
      <c r="J7">
        <f t="shared" si="0"/>
        <v>2</v>
      </c>
      <c r="K7" s="22">
        <f>Scores!P41</f>
        <v>7.7781085016253524</v>
      </c>
      <c r="L7">
        <f t="shared" si="1"/>
        <v>4</v>
      </c>
      <c r="O7" t="s">
        <v>62</v>
      </c>
      <c r="P7" s="3">
        <v>0.25517236172321039</v>
      </c>
      <c r="Q7" s="3">
        <v>0.63679947446026131</v>
      </c>
      <c r="R7" s="3">
        <v>0.62163566361584643</v>
      </c>
      <c r="S7" s="3">
        <v>0.54838794279145975</v>
      </c>
      <c r="T7" s="3">
        <v>0.65012281888584655</v>
      </c>
      <c r="U7" s="2">
        <v>112.39000000000001</v>
      </c>
      <c r="V7" s="2">
        <v>110.40000000000002</v>
      </c>
      <c r="W7" s="2">
        <v>113.77000000000001</v>
      </c>
      <c r="X7">
        <v>2</v>
      </c>
      <c r="Y7">
        <v>7.8014839525880095</v>
      </c>
      <c r="Z7">
        <v>4</v>
      </c>
    </row>
    <row r="8" spans="1:26" x14ac:dyDescent="0.25">
      <c r="A8" t="s">
        <v>1648</v>
      </c>
      <c r="B8" s="35">
        <f>Scores!M127</f>
        <v>2.6667917766326169E-2</v>
      </c>
      <c r="C8" s="3">
        <f>Scores!I62</f>
        <v>0.22389023887073786</v>
      </c>
      <c r="D8" s="3">
        <f>INDEX(Scores!$B$24:$N$33,ROW(A7),D$1)</f>
        <v>0.39146373793246547</v>
      </c>
      <c r="E8" s="3">
        <f>INDEX(Scores!$B$24:$N$33,ROW(B7),E$1)</f>
        <v>0.45161205720854025</v>
      </c>
      <c r="F8" s="3">
        <f>INDEX(Scores!$B$24:$N$33,ROW(C7),F$1)</f>
        <v>0.57032999261157635</v>
      </c>
      <c r="G8" s="2">
        <f>INDEX(Scores!$B$2:$N$11,ROW(A7),G$1)</f>
        <v>107.14</v>
      </c>
      <c r="H8" s="2">
        <f>INDEX(Scores!$B$2:$N$11,ROW(B7),H$1)</f>
        <v>106.97999999999999</v>
      </c>
      <c r="I8" s="2">
        <f>INDEX(Scores!$B$2:$N$11,ROW(C7),I$1)</f>
        <v>102.42999999999999</v>
      </c>
      <c r="J8">
        <f t="shared" si="0"/>
        <v>7</v>
      </c>
      <c r="K8" s="22">
        <f>Scores!P42</f>
        <v>5.7944122399796854</v>
      </c>
      <c r="L8">
        <f t="shared" si="1"/>
        <v>6</v>
      </c>
      <c r="O8" t="s">
        <v>1648</v>
      </c>
      <c r="P8" s="3">
        <v>3.1103177817781703E-2</v>
      </c>
      <c r="Q8" s="3">
        <v>0.23971786330580661</v>
      </c>
      <c r="R8" s="3">
        <v>0.39146373793246547</v>
      </c>
      <c r="S8" s="3">
        <v>0.45161205720854025</v>
      </c>
      <c r="T8" s="3">
        <v>0.57032999261157635</v>
      </c>
      <c r="U8" s="2">
        <v>107.14</v>
      </c>
      <c r="V8" s="2">
        <v>106.97999999999999</v>
      </c>
      <c r="W8" s="2">
        <v>102.42999999999999</v>
      </c>
      <c r="X8">
        <v>7</v>
      </c>
      <c r="Y8">
        <v>5.8736422598344458</v>
      </c>
      <c r="Z8">
        <v>6</v>
      </c>
    </row>
    <row r="9" spans="1:26" x14ac:dyDescent="0.25">
      <c r="A9" t="s">
        <v>23</v>
      </c>
      <c r="B9" s="35">
        <f>Scores!M128</f>
        <v>3.008701497397499E-2</v>
      </c>
      <c r="C9" s="3">
        <f>Scores!I63</f>
        <v>0.16031689516384071</v>
      </c>
      <c r="D9" s="3">
        <f>INDEX(Scores!$B$24:$N$33,ROW(A8),D$1)</f>
        <v>0.62545632377747684</v>
      </c>
      <c r="E9" s="3">
        <f>INDEX(Scores!$B$24:$N$33,ROW(B8),E$1)</f>
        <v>0.51141746681412303</v>
      </c>
      <c r="F9" s="3">
        <f>INDEX(Scores!$B$24:$N$33,ROW(C8),F$1)</f>
        <v>0.34987718111415345</v>
      </c>
      <c r="G9" s="2">
        <f>INDEX(Scores!$B$2:$N$11,ROW(A8),G$1)</f>
        <v>106.69</v>
      </c>
      <c r="H9" s="2">
        <f>INDEX(Scores!$B$2:$N$11,ROW(B8),H$1)</f>
        <v>110.11</v>
      </c>
      <c r="I9" s="2">
        <f>INDEX(Scores!$B$2:$N$11,ROW(C8),I$1)</f>
        <v>102.38999999999999</v>
      </c>
      <c r="J9">
        <f t="shared" si="0"/>
        <v>6</v>
      </c>
      <c r="K9" s="22">
        <f>Scores!P43</f>
        <v>5.384530296901489</v>
      </c>
      <c r="L9">
        <f t="shared" si="1"/>
        <v>7</v>
      </c>
      <c r="O9" t="s">
        <v>23</v>
      </c>
      <c r="P9" s="3">
        <v>3.401589710173851E-2</v>
      </c>
      <c r="Q9" s="3">
        <v>0.16627630333355808</v>
      </c>
      <c r="R9" s="3">
        <v>0.62545632377747684</v>
      </c>
      <c r="S9" s="3">
        <v>0.51141746681412303</v>
      </c>
      <c r="T9" s="3">
        <v>0.34987718111415345</v>
      </c>
      <c r="U9" s="2">
        <v>106.69</v>
      </c>
      <c r="V9" s="2">
        <v>110.11</v>
      </c>
      <c r="W9" s="2">
        <v>102.38999999999999</v>
      </c>
      <c r="X9">
        <v>6</v>
      </c>
      <c r="Y9">
        <v>5.4153242654466469</v>
      </c>
      <c r="Z9">
        <v>7</v>
      </c>
    </row>
    <row r="10" spans="1:26" x14ac:dyDescent="0.25">
      <c r="A10" t="s">
        <v>49</v>
      </c>
      <c r="B10" s="35">
        <f>Scores!M129</f>
        <v>0.25759720826723959</v>
      </c>
      <c r="C10" s="3">
        <f>Scores!I64</f>
        <v>0.83771644611016705</v>
      </c>
      <c r="D10" s="3">
        <f>INDEX(Scores!$B$24:$N$33,ROW(A9),D$1)</f>
        <v>0.5176976936696005</v>
      </c>
      <c r="E10" s="3">
        <f>INDEX(Scores!$B$24:$N$33,ROW(B9),E$1)</f>
        <v>0.48858253318587697</v>
      </c>
      <c r="F10" s="3">
        <f>INDEX(Scores!$B$24:$N$33,ROW(C9),F$1)</f>
        <v>0.66933640356012125</v>
      </c>
      <c r="G10" s="2">
        <f>INDEX(Scores!$B$2:$N$11,ROW(A9),G$1)</f>
        <v>114.22</v>
      </c>
      <c r="H10" s="2">
        <f>INDEX(Scores!$B$2:$N$11,ROW(B9),H$1)</f>
        <v>109.24</v>
      </c>
      <c r="I10" s="2">
        <f>INDEX(Scores!$B$2:$N$11,ROW(C9),I$1)</f>
        <v>118.22</v>
      </c>
      <c r="J10">
        <f t="shared" si="0"/>
        <v>1</v>
      </c>
      <c r="K10" s="22">
        <f>Scores!P44</f>
        <v>8.974618398515311</v>
      </c>
      <c r="L10">
        <f t="shared" si="1"/>
        <v>1</v>
      </c>
      <c r="O10" t="s">
        <v>49</v>
      </c>
      <c r="P10" s="3">
        <v>0.27203796567055993</v>
      </c>
      <c r="Q10" s="3">
        <v>0.84052766085178587</v>
      </c>
      <c r="R10" s="3">
        <v>0.5176976936696005</v>
      </c>
      <c r="S10" s="3">
        <v>0.48858253318587697</v>
      </c>
      <c r="T10" s="3">
        <v>0.66933640356012125</v>
      </c>
      <c r="U10" s="2">
        <v>114.22</v>
      </c>
      <c r="V10" s="2">
        <v>109.24</v>
      </c>
      <c r="W10" s="2">
        <v>118.22</v>
      </c>
      <c r="X10">
        <v>1</v>
      </c>
      <c r="Y10">
        <v>8.9257210579731403</v>
      </c>
      <c r="Z10">
        <v>1</v>
      </c>
    </row>
    <row r="11" spans="1:26" x14ac:dyDescent="0.25">
      <c r="A11" t="s">
        <v>44</v>
      </c>
      <c r="B11" s="35">
        <f>Scores!M130</f>
        <v>1.3412040131708413E-3</v>
      </c>
      <c r="C11" s="3">
        <f>Scores!I65</f>
        <v>1.3813407076371966E-2</v>
      </c>
      <c r="D11" s="3">
        <f>INDEX(Scores!$B$24:$N$33,ROW(A10),D$1)</f>
        <v>0.3745436762225231</v>
      </c>
      <c r="E11" s="3">
        <f>INDEX(Scores!$B$24:$N$33,ROW(B10),E$1)</f>
        <v>0.56470897729136538</v>
      </c>
      <c r="F11" s="3">
        <f>INDEX(Scores!$B$24:$N$33,ROW(C10),F$1)</f>
        <v>0.46817208309239366</v>
      </c>
      <c r="G11" s="2">
        <f>INDEX(Scores!$B$2:$N$11,ROW(A10),G$1)</f>
        <v>97.090000000000018</v>
      </c>
      <c r="H11" s="2">
        <f>INDEX(Scores!$B$2:$N$11,ROW(B10),H$1)</f>
        <v>100.32</v>
      </c>
      <c r="I11" s="2">
        <f>INDEX(Scores!$B$2:$N$11,ROW(C10),I$1)</f>
        <v>103.34</v>
      </c>
      <c r="J11">
        <f t="shared" si="0"/>
        <v>10</v>
      </c>
      <c r="K11" s="22">
        <f>Scores!P45</f>
        <v>3.580791889258967</v>
      </c>
      <c r="L11">
        <f t="shared" si="1"/>
        <v>10</v>
      </c>
      <c r="O11" t="s">
        <v>44</v>
      </c>
      <c r="P11" s="3">
        <v>1.6018454448356002E-3</v>
      </c>
      <c r="Q11" s="3">
        <v>1.4548445108071639E-2</v>
      </c>
      <c r="R11" s="3">
        <v>0.3745436762225231</v>
      </c>
      <c r="S11" s="3">
        <v>0.56470897729136538</v>
      </c>
      <c r="T11" s="3">
        <v>0.46817208309239366</v>
      </c>
      <c r="U11" s="2">
        <v>97.090000000000018</v>
      </c>
      <c r="V11" s="2">
        <v>100.32</v>
      </c>
      <c r="W11" s="2">
        <v>103.34</v>
      </c>
      <c r="X11">
        <v>10</v>
      </c>
      <c r="Y11">
        <v>3.6026429325043643</v>
      </c>
      <c r="Z11">
        <v>10</v>
      </c>
    </row>
    <row r="13" spans="1:26" x14ac:dyDescent="0.25">
      <c r="B13" t="s">
        <v>736</v>
      </c>
      <c r="C13" t="s">
        <v>497</v>
      </c>
      <c r="D13">
        <f t="shared" ref="D13:I13" si="2">D1</f>
        <v>5</v>
      </c>
      <c r="E13">
        <f t="shared" si="2"/>
        <v>6</v>
      </c>
      <c r="F13">
        <f t="shared" si="2"/>
        <v>7</v>
      </c>
      <c r="G13">
        <f t="shared" si="2"/>
        <v>5</v>
      </c>
      <c r="H13">
        <f t="shared" si="2"/>
        <v>6</v>
      </c>
      <c r="I13">
        <f t="shared" si="2"/>
        <v>7</v>
      </c>
      <c r="J13" t="s">
        <v>747</v>
      </c>
      <c r="K13" t="s">
        <v>751</v>
      </c>
      <c r="L13" t="s">
        <v>747</v>
      </c>
    </row>
    <row r="14" spans="1:26" x14ac:dyDescent="0.25">
      <c r="A14" t="s">
        <v>20</v>
      </c>
      <c r="B14" s="35">
        <f t="shared" ref="B14:B23" si="3">B2-P2</f>
        <v>-8.522649270154517E-3</v>
      </c>
      <c r="C14" s="3">
        <f t="shared" ref="C14:C23" si="4">C2-Q2</f>
        <v>-1.4794399280661508E-3</v>
      </c>
      <c r="D14" s="3">
        <f>IF(D$1&gt;R$1,D2-S2,D2-R2)</f>
        <v>0</v>
      </c>
      <c r="E14" s="3">
        <f t="shared" ref="E14:E23" si="5">IF(E$1&gt;S$1,E2-T2,E2-S2)</f>
        <v>0</v>
      </c>
      <c r="F14" s="3">
        <f>IF(F$1&gt;T$1,NA(),F2-T2)</f>
        <v>0</v>
      </c>
      <c r="G14" s="25">
        <f>IF(G$1&gt;U$1,G2-V2,G2-U2)</f>
        <v>0</v>
      </c>
      <c r="H14" s="25">
        <f t="shared" ref="H14:H23" si="6">IF(H$1&gt;V$1,H2-W2,H2-V2)</f>
        <v>0</v>
      </c>
      <c r="I14" s="25">
        <f>IF(I$1&gt;W$1,NA(),I2-W2)</f>
        <v>0</v>
      </c>
      <c r="J14">
        <f t="shared" ref="J14:J23" si="7">X2-J2</f>
        <v>-1</v>
      </c>
      <c r="K14" s="22">
        <f t="shared" ref="K14:K23" si="8">K2-Y2</f>
        <v>1.5926796912315133E-2</v>
      </c>
      <c r="L14">
        <f t="shared" ref="L14:L23" si="9">Z2-L2</f>
        <v>0</v>
      </c>
    </row>
    <row r="15" spans="1:26" ht="15.75" thickBot="1" x14ac:dyDescent="0.3">
      <c r="A15" t="s">
        <v>16</v>
      </c>
      <c r="B15" s="35">
        <f t="shared" si="3"/>
        <v>-9.8047563498214196E-3</v>
      </c>
      <c r="C15" s="3">
        <f t="shared" si="4"/>
        <v>-5.5859579433052975E-3</v>
      </c>
      <c r="D15" s="3">
        <f t="shared" ref="D15:D23" si="10">IF(D$1&gt;R$1,D3-S3,D3-R3)</f>
        <v>0</v>
      </c>
      <c r="E15" s="3">
        <f t="shared" si="5"/>
        <v>-4.0326408398631663E-2</v>
      </c>
      <c r="F15" s="3">
        <f t="shared" ref="F15:F23" si="11">IF(F$1&gt;T$1,NA(),F3-T3)</f>
        <v>0</v>
      </c>
      <c r="G15" s="25">
        <f t="shared" ref="G15:G23" si="12">IF(G$1&gt;U$1,G3-V3,G3-U3)</f>
        <v>0</v>
      </c>
      <c r="H15" s="25">
        <f t="shared" si="6"/>
        <v>0</v>
      </c>
      <c r="I15" s="25">
        <f t="shared" ref="I15:I23" si="13">IF(I$1&gt;W$1,NA(),I3-W3)</f>
        <v>0</v>
      </c>
      <c r="J15">
        <f t="shared" si="7"/>
        <v>-1</v>
      </c>
      <c r="K15" s="22">
        <f t="shared" si="8"/>
        <v>1.2698305572801161E-2</v>
      </c>
      <c r="L15">
        <f t="shared" si="9"/>
        <v>-1</v>
      </c>
    </row>
    <row r="16" spans="1:26" ht="15.75" thickBot="1" x14ac:dyDescent="0.3">
      <c r="A16" s="26" t="s">
        <v>55</v>
      </c>
      <c r="B16" s="36">
        <f t="shared" si="3"/>
        <v>7.2603225124275056E-2</v>
      </c>
      <c r="C16" s="27">
        <f t="shared" si="4"/>
        <v>9.7281998870287323E-2</v>
      </c>
      <c r="D16" s="27">
        <f t="shared" si="10"/>
        <v>0</v>
      </c>
      <c r="E16" s="27">
        <f t="shared" si="5"/>
        <v>4.0326408398631663E-2</v>
      </c>
      <c r="F16" s="27">
        <f t="shared" si="11"/>
        <v>8.5023144786827098E-2</v>
      </c>
      <c r="G16" s="28">
        <f t="shared" si="12"/>
        <v>0</v>
      </c>
      <c r="H16" s="28">
        <f t="shared" si="6"/>
        <v>3.1199999999999761</v>
      </c>
      <c r="I16" s="28">
        <f t="shared" si="13"/>
        <v>2.7000000000000171</v>
      </c>
      <c r="J16" s="29">
        <f t="shared" si="7"/>
        <v>2</v>
      </c>
      <c r="K16" s="30">
        <f t="shared" si="8"/>
        <v>0.56160948543296652</v>
      </c>
      <c r="L16" s="31">
        <f t="shared" si="9"/>
        <v>1</v>
      </c>
      <c r="M16" s="34"/>
      <c r="P16" s="9"/>
    </row>
    <row r="17" spans="1:17" x14ac:dyDescent="0.25">
      <c r="A17" t="s">
        <v>35</v>
      </c>
      <c r="B17" s="35">
        <f t="shared" si="3"/>
        <v>-1.1908611923592995E-2</v>
      </c>
      <c r="C17" s="3">
        <f t="shared" si="4"/>
        <v>-3.9669906526085125E-2</v>
      </c>
      <c r="D17" s="3">
        <f t="shared" si="10"/>
        <v>0</v>
      </c>
      <c r="E17" s="3">
        <f t="shared" si="5"/>
        <v>-4.0050204063517836E-2</v>
      </c>
      <c r="F17" s="3">
        <f t="shared" si="11"/>
        <v>-8.5023144786826987E-2</v>
      </c>
      <c r="G17" s="25">
        <f t="shared" si="12"/>
        <v>0</v>
      </c>
      <c r="H17" s="25">
        <f t="shared" si="6"/>
        <v>-2.9099999999999824</v>
      </c>
      <c r="I17" s="25">
        <f t="shared" si="13"/>
        <v>-3.3900000000000148</v>
      </c>
      <c r="J17">
        <f t="shared" si="7"/>
        <v>0</v>
      </c>
      <c r="K17" s="22">
        <f t="shared" si="8"/>
        <v>-0.39174734144634016</v>
      </c>
      <c r="L17">
        <f t="shared" si="9"/>
        <v>0</v>
      </c>
      <c r="P17" s="56"/>
      <c r="Q17" s="62"/>
    </row>
    <row r="18" spans="1:17" x14ac:dyDescent="0.25">
      <c r="A18" t="s">
        <v>27</v>
      </c>
      <c r="B18" s="35">
        <f t="shared" si="3"/>
        <v>-4.054675245388429E-3</v>
      </c>
      <c r="C18" s="3">
        <f t="shared" si="4"/>
        <v>-1.3379779187123658E-2</v>
      </c>
      <c r="D18" s="3">
        <f t="shared" si="10"/>
        <v>0</v>
      </c>
      <c r="E18" s="3">
        <f t="shared" si="5"/>
        <v>4.005020406351778E-2</v>
      </c>
      <c r="F18" s="3">
        <f t="shared" si="11"/>
        <v>0</v>
      </c>
      <c r="G18" s="25">
        <f t="shared" si="12"/>
        <v>0</v>
      </c>
      <c r="H18" s="25">
        <f t="shared" si="6"/>
        <v>0</v>
      </c>
      <c r="I18" s="25">
        <f t="shared" si="13"/>
        <v>0</v>
      </c>
      <c r="J18">
        <f t="shared" si="7"/>
        <v>0</v>
      </c>
      <c r="K18" s="22">
        <f t="shared" si="8"/>
        <v>-9.2134104405934281E-2</v>
      </c>
      <c r="L18">
        <f t="shared" si="9"/>
        <v>0</v>
      </c>
      <c r="P18" s="9"/>
    </row>
    <row r="19" spans="1:17" x14ac:dyDescent="0.25">
      <c r="A19" t="s">
        <v>62</v>
      </c>
      <c r="B19" s="35">
        <f t="shared" si="3"/>
        <v>-1.5246991321114012E-2</v>
      </c>
      <c r="C19" s="3">
        <f t="shared" si="4"/>
        <v>-1.1833629907602838E-2</v>
      </c>
      <c r="D19" s="3">
        <f t="shared" si="10"/>
        <v>0</v>
      </c>
      <c r="E19" s="3">
        <f t="shared" si="5"/>
        <v>0</v>
      </c>
      <c r="F19" s="3">
        <f t="shared" si="11"/>
        <v>0</v>
      </c>
      <c r="G19" s="25">
        <f t="shared" si="12"/>
        <v>0</v>
      </c>
      <c r="H19" s="25">
        <f t="shared" si="6"/>
        <v>0</v>
      </c>
      <c r="I19" s="25">
        <f t="shared" si="13"/>
        <v>0</v>
      </c>
      <c r="J19">
        <f t="shared" si="7"/>
        <v>0</v>
      </c>
      <c r="K19" s="22">
        <f t="shared" si="8"/>
        <v>-2.3375450962657141E-2</v>
      </c>
      <c r="L19">
        <f t="shared" si="9"/>
        <v>0</v>
      </c>
    </row>
    <row r="20" spans="1:17" x14ac:dyDescent="0.25">
      <c r="A20" t="s">
        <v>1648</v>
      </c>
      <c r="B20" s="35">
        <f t="shared" si="3"/>
        <v>-4.4352600514555342E-3</v>
      </c>
      <c r="C20" s="3">
        <f t="shared" si="4"/>
        <v>-1.5827624435068743E-2</v>
      </c>
      <c r="D20" s="3">
        <f t="shared" si="10"/>
        <v>0</v>
      </c>
      <c r="E20" s="3">
        <f t="shared" si="5"/>
        <v>0</v>
      </c>
      <c r="F20" s="3">
        <f t="shared" si="11"/>
        <v>0</v>
      </c>
      <c r="G20" s="25">
        <f t="shared" si="12"/>
        <v>0</v>
      </c>
      <c r="H20" s="25">
        <f t="shared" si="6"/>
        <v>0</v>
      </c>
      <c r="I20" s="25">
        <f t="shared" si="13"/>
        <v>0</v>
      </c>
      <c r="J20">
        <f t="shared" si="7"/>
        <v>0</v>
      </c>
      <c r="K20" s="22">
        <f t="shared" si="8"/>
        <v>-7.9230019854760414E-2</v>
      </c>
      <c r="L20">
        <f t="shared" si="9"/>
        <v>0</v>
      </c>
    </row>
    <row r="21" spans="1:17" x14ac:dyDescent="0.25">
      <c r="A21" t="s">
        <v>23</v>
      </c>
      <c r="B21" s="35">
        <f t="shared" si="3"/>
        <v>-3.9288821277635201E-3</v>
      </c>
      <c r="C21" s="3">
        <f t="shared" si="4"/>
        <v>-5.9594081697173784E-3</v>
      </c>
      <c r="D21" s="3">
        <f t="shared" si="10"/>
        <v>0</v>
      </c>
      <c r="E21" s="3">
        <f t="shared" si="5"/>
        <v>0</v>
      </c>
      <c r="F21" s="3">
        <f t="shared" si="11"/>
        <v>0</v>
      </c>
      <c r="G21" s="25">
        <f t="shared" si="12"/>
        <v>0</v>
      </c>
      <c r="H21" s="25">
        <f t="shared" si="6"/>
        <v>0</v>
      </c>
      <c r="I21" s="25">
        <f t="shared" si="13"/>
        <v>0</v>
      </c>
      <c r="J21">
        <f t="shared" si="7"/>
        <v>0</v>
      </c>
      <c r="K21" s="22">
        <f t="shared" si="8"/>
        <v>-3.0793968545157924E-2</v>
      </c>
      <c r="L21">
        <f t="shared" si="9"/>
        <v>0</v>
      </c>
    </row>
    <row r="22" spans="1:17" x14ac:dyDescent="0.25">
      <c r="A22" t="s">
        <v>49</v>
      </c>
      <c r="B22" s="35">
        <f t="shared" si="3"/>
        <v>-1.4440757403320348E-2</v>
      </c>
      <c r="C22" s="3">
        <f t="shared" si="4"/>
        <v>-2.8112147416188282E-3</v>
      </c>
      <c r="D22" s="3">
        <f t="shared" si="10"/>
        <v>0</v>
      </c>
      <c r="E22" s="3">
        <f t="shared" si="5"/>
        <v>0</v>
      </c>
      <c r="F22" s="3">
        <f t="shared" si="11"/>
        <v>0</v>
      </c>
      <c r="G22" s="25">
        <f t="shared" si="12"/>
        <v>0</v>
      </c>
      <c r="H22" s="25">
        <f t="shared" si="6"/>
        <v>0</v>
      </c>
      <c r="I22" s="25">
        <f t="shared" si="13"/>
        <v>0</v>
      </c>
      <c r="J22">
        <f t="shared" si="7"/>
        <v>0</v>
      </c>
      <c r="K22" s="22">
        <f t="shared" si="8"/>
        <v>4.8897340542170653E-2</v>
      </c>
      <c r="L22">
        <f t="shared" si="9"/>
        <v>0</v>
      </c>
    </row>
    <row r="23" spans="1:17" x14ac:dyDescent="0.25">
      <c r="A23" t="s">
        <v>44</v>
      </c>
      <c r="B23" s="35">
        <f t="shared" si="3"/>
        <v>-2.6064143166475888E-4</v>
      </c>
      <c r="C23" s="3">
        <f t="shared" si="4"/>
        <v>-7.3503803169967276E-4</v>
      </c>
      <c r="D23" s="3">
        <f t="shared" si="10"/>
        <v>0</v>
      </c>
      <c r="E23" s="3">
        <f t="shared" si="5"/>
        <v>0</v>
      </c>
      <c r="F23" s="3">
        <f t="shared" si="11"/>
        <v>0</v>
      </c>
      <c r="G23" s="25">
        <f t="shared" si="12"/>
        <v>0</v>
      </c>
      <c r="H23" s="25">
        <f t="shared" si="6"/>
        <v>0</v>
      </c>
      <c r="I23" s="25">
        <f t="shared" si="13"/>
        <v>0</v>
      </c>
      <c r="J23">
        <f t="shared" si="7"/>
        <v>0</v>
      </c>
      <c r="K23" s="22">
        <f t="shared" si="8"/>
        <v>-2.1851043245397328E-2</v>
      </c>
      <c r="L23">
        <f t="shared" si="9"/>
        <v>0</v>
      </c>
    </row>
  </sheetData>
  <conditionalFormatting sqref="B14:F23">
    <cfRule type="colorScale" priority="4">
      <colorScale>
        <cfvo type="num" val="-0.15"/>
        <cfvo type="num" val="0"/>
        <cfvo type="num" val="0.15"/>
        <color rgb="FFF8696B"/>
        <color rgb="FFFCFCFF"/>
        <color rgb="FF63BE7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paste_change">
                <anchor moveWithCells="1" sizeWithCells="1">
                  <from>
                    <xdr:col>1</xdr:col>
                    <xdr:colOff>66675</xdr:colOff>
                    <xdr:row>25</xdr:row>
                    <xdr:rowOff>38100</xdr:rowOff>
                  </from>
                  <to>
                    <xdr:col>3</xdr:col>
                    <xdr:colOff>333375</xdr:colOff>
                    <xdr:row>28</xdr:row>
                    <xdr:rowOff>85725</xdr:rowOff>
                  </to>
                </anchor>
              </controlPr>
            </control>
          </mc:Choice>
        </mc:AlternateContent>
        <mc:AlternateContent xmlns:mc="http://schemas.openxmlformats.org/markup-compatibility/2006">
          <mc:Choice Requires="x14">
            <control shapeId="22530" r:id="rId5" name="Button 2">
              <controlPr defaultSize="0" print="0" autoFill="0" autoPict="0" macro="[0]!PasteAll">
                <anchor moveWithCells="1" sizeWithCells="1">
                  <from>
                    <xdr:col>3</xdr:col>
                    <xdr:colOff>552450</xdr:colOff>
                    <xdr:row>25</xdr:row>
                    <xdr:rowOff>9525</xdr:rowOff>
                  </from>
                  <to>
                    <xdr:col>6</xdr:col>
                    <xdr:colOff>209550</xdr:colOff>
                    <xdr:row>28</xdr:row>
                    <xdr:rowOff>57150</xdr:rowOff>
                  </to>
                </anchor>
              </controlPr>
            </control>
          </mc:Choice>
        </mc:AlternateContent>
        <mc:AlternateContent xmlns:mc="http://schemas.openxmlformats.org/markup-compatibility/2006">
          <mc:Choice Requires="x14">
            <control shapeId="22531" r:id="rId6" name="Button 3">
              <controlPr defaultSize="0" print="0" autoFill="0" autoPict="0" macro="[0]!prev_wk_only_paste">
                <anchor moveWithCells="1" sizeWithCells="1">
                  <from>
                    <xdr:col>6</xdr:col>
                    <xdr:colOff>352425</xdr:colOff>
                    <xdr:row>25</xdr:row>
                    <xdr:rowOff>0</xdr:rowOff>
                  </from>
                  <to>
                    <xdr:col>9</xdr:col>
                    <xdr:colOff>9525</xdr:colOff>
                    <xdr:row>28</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 id="{B5A8424E-5281-4B29-B663-3F7D3C8FF764}">
            <x14:iconSet iconSet="3Arrows" custom="1">
              <x14:cfvo type="percent">
                <xm:f>0</xm:f>
              </x14:cfvo>
              <x14:cfvo type="num">
                <xm:f>0</xm:f>
              </x14:cfvo>
              <x14:cfvo type="num" gte="0">
                <xm:f>0</xm:f>
              </x14:cfvo>
              <x14:cfIcon iconSet="3Arrows" iconId="0"/>
              <x14:cfIcon iconSet="NoIcons" iconId="0"/>
              <x14:cfIcon iconSet="3Arrows" iconId="2"/>
            </x14:iconSet>
          </x14:cfRule>
          <xm:sqref>L14:M23</xm:sqref>
        </x14:conditionalFormatting>
        <x14:conditionalFormatting xmlns:xm="http://schemas.microsoft.com/office/excel/2006/main">
          <x14:cfRule type="iconSet" priority="1" id="{5E0D9926-818D-4531-8184-876BFA502291}">
            <x14:iconSet iconSet="3Arrows" custom="1">
              <x14:cfvo type="percent">
                <xm:f>0</xm:f>
              </x14:cfvo>
              <x14:cfvo type="num">
                <xm:f>0</xm:f>
              </x14:cfvo>
              <x14:cfvo type="num" gte="0">
                <xm:f>0</xm:f>
              </x14:cfvo>
              <x14:cfIcon iconSet="3Arrows" iconId="0"/>
              <x14:cfIcon iconSet="NoIcons" iconId="0"/>
              <x14:cfIcon iconSet="3Arrows" iconId="2"/>
            </x14:iconSet>
          </x14:cfRule>
          <xm:sqref>J14:J23</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L201"/>
  <sheetViews>
    <sheetView workbookViewId="0">
      <selection activeCell="C5" sqref="C5"/>
    </sheetView>
  </sheetViews>
  <sheetFormatPr defaultRowHeight="15" x14ac:dyDescent="0.25"/>
  <cols>
    <col min="1" max="1" width="5.28515625" bestFit="1" customWidth="1"/>
    <col min="2" max="2" width="9.140625" hidden="1" customWidth="1"/>
    <col min="3" max="3" width="19.28515625" bestFit="1" customWidth="1"/>
    <col min="4" max="4" width="7" bestFit="1" customWidth="1"/>
    <col min="5" max="5" width="4.140625" bestFit="1" customWidth="1"/>
    <col min="6" max="6" width="7.42578125" bestFit="1" customWidth="1"/>
    <col min="7" max="8" width="7" bestFit="1" customWidth="1"/>
    <col min="9" max="10" width="9.7109375" bestFit="1" customWidth="1"/>
    <col min="11" max="11" width="8.28515625" bestFit="1" customWidth="1"/>
    <col min="12" max="12" width="7" bestFit="1" customWidth="1"/>
    <col min="13" max="13" width="11" bestFit="1" customWidth="1"/>
    <col min="14" max="14" width="5.85546875" bestFit="1" customWidth="1"/>
    <col min="17" max="17" width="11" bestFit="1" customWidth="1"/>
    <col min="24" max="24" width="9.7109375" bestFit="1" customWidth="1"/>
    <col min="25" max="25" width="12.85546875" bestFit="1" customWidth="1"/>
    <col min="26" max="27" width="19.28515625" bestFit="1" customWidth="1"/>
    <col min="32" max="32" width="19" customWidth="1"/>
    <col min="33" max="33" width="4.85546875" bestFit="1" customWidth="1"/>
    <col min="34" max="34" width="7.140625" customWidth="1"/>
    <col min="36" max="36" width="10.5703125" bestFit="1" customWidth="1"/>
    <col min="37" max="37" width="10.28515625" bestFit="1" customWidth="1"/>
    <col min="38" max="38" width="9.5703125" bestFit="1" customWidth="1"/>
  </cols>
  <sheetData>
    <row r="1" spans="1:38" x14ac:dyDescent="0.25">
      <c r="A1" t="s">
        <v>747</v>
      </c>
      <c r="B1" t="s">
        <v>780</v>
      </c>
      <c r="C1" t="s">
        <v>0</v>
      </c>
      <c r="D1" t="s">
        <v>10</v>
      </c>
      <c r="E1" t="s">
        <v>498</v>
      </c>
      <c r="F1" t="s">
        <v>476</v>
      </c>
      <c r="G1" t="s">
        <v>1104</v>
      </c>
      <c r="H1" t="s">
        <v>899</v>
      </c>
      <c r="I1" t="s">
        <v>792</v>
      </c>
      <c r="J1" t="s">
        <v>791</v>
      </c>
      <c r="K1" t="s">
        <v>781</v>
      </c>
      <c r="L1" t="s">
        <v>782</v>
      </c>
      <c r="M1" t="s">
        <v>783</v>
      </c>
      <c r="N1" t="s">
        <v>793</v>
      </c>
      <c r="O1" t="s">
        <v>787</v>
      </c>
      <c r="P1" t="s">
        <v>788</v>
      </c>
      <c r="Q1" t="s">
        <v>784</v>
      </c>
      <c r="R1" t="s">
        <v>787</v>
      </c>
      <c r="S1" t="s">
        <v>788</v>
      </c>
      <c r="T1" t="s">
        <v>785</v>
      </c>
      <c r="U1" t="s">
        <v>786</v>
      </c>
      <c r="V1" t="s">
        <v>789</v>
      </c>
      <c r="W1" t="s">
        <v>790</v>
      </c>
      <c r="X1" t="s">
        <v>794</v>
      </c>
      <c r="Y1" t="s">
        <v>795</v>
      </c>
      <c r="Z1" t="s">
        <v>867</v>
      </c>
      <c r="AA1" t="s">
        <v>868</v>
      </c>
      <c r="AC1" s="20">
        <v>1</v>
      </c>
      <c r="AD1" t="b">
        <v>0</v>
      </c>
      <c r="AF1" t="s">
        <v>901</v>
      </c>
      <c r="AG1" t="s">
        <v>780</v>
      </c>
      <c r="AH1" t="s">
        <v>492</v>
      </c>
      <c r="AI1" t="s">
        <v>782</v>
      </c>
      <c r="AJ1" t="s">
        <v>902</v>
      </c>
      <c r="AK1" t="s">
        <v>903</v>
      </c>
    </row>
    <row r="2" spans="1:38" x14ac:dyDescent="0.25">
      <c r="A2">
        <v>1</v>
      </c>
      <c r="B2">
        <f>MATCH(A2,'ROS Proj'!$AI$2:$AI$561,0)</f>
        <v>458</v>
      </c>
      <c r="C2" t="str">
        <f>INDEX('ROS Proj'!$A$2:$A$561,$B2)</f>
        <v>Todd Gurley II</v>
      </c>
      <c r="D2" t="str">
        <f>IFERROR(INDEX(Rosters!$C$2:$C$155,MATCH($C2,Rosters!$B$2:$B$155,0)),"FA")</f>
        <v>chad</v>
      </c>
      <c r="E2" t="str">
        <f>INDEX('ROS Proj'!$B$2:$B$561,$B2)</f>
        <v>RB</v>
      </c>
      <c r="F2" t="str">
        <f>E2&amp;COUNTIF(E$1:E2,E2)</f>
        <v>RB1</v>
      </c>
      <c r="G2">
        <f>IFERROR(MATCH(C2,$AA$2:$AA$201,0)-A2,201-A2)</f>
        <v>0</v>
      </c>
      <c r="H2">
        <f>IFERROR(MATCH(C2,$Z$2:$Z$201,0)-A2,201-A2)</f>
        <v>0</v>
      </c>
      <c r="I2" t="str">
        <f>E2&amp;V2&amp;"-"&amp;T2</f>
        <v>RB2-2</v>
      </c>
      <c r="J2" t="str">
        <f>E2&amp;W2&amp;"-"&amp;U2</f>
        <v>RB1-1</v>
      </c>
      <c r="K2" s="2">
        <f>INDEX('ROS Proj'!$T$2:$T$561,$B2)</f>
        <v>20.237142857142857</v>
      </c>
      <c r="L2" s="23">
        <f>INDEX('ROS Proj'!$AL$2:$AL$561,$B2)</f>
        <v>7</v>
      </c>
      <c r="M2" s="2">
        <f>SQRT(IF(E2="K",SUMIFS('K Proj'!$P$2:$P$508,'K Proj'!$B$2:$B$508,$C2,'K Proj'!$A$2:$A$508,"&gt;"&amp;Week,'K Proj'!$A$2:$A$508,"&lt;=13"),IF(E2="D",SUMIFS('D Proj'!$N$2:$N$513,'D Proj'!$B$2:$B$513,$C2,'D Proj'!$A$2:$A$513,"&gt;"&amp;Week,'D Proj'!$A$2:$A$513,"&lt;=13"),SUMIFS('F Proj'!$J$2:$J$7669,'F Proj'!$B$2:$B$7669,$C2,'F Proj'!$A$2:$A$7669,"&gt;"&amp;Week,'F Proj'!$A$2:$A$7669,"&lt;=13"))))</f>
        <v>26.224459956307964</v>
      </c>
      <c r="N2" s="2">
        <f>M2/K2</f>
        <v>1.2958578264446967</v>
      </c>
      <c r="O2" s="2">
        <f>(($K2*$L2)-($M2*Zscore_int))/$L2</f>
        <v>16.490791434813147</v>
      </c>
      <c r="P2" s="2">
        <f>(($K2*$L2)+($M2*Zscore_int))/$L2</f>
        <v>23.983494279472563</v>
      </c>
      <c r="Q2" s="2">
        <f>K2-VLOOKUP($E2,Scores!$AG$1:$AM$7,7,FALSE)</f>
        <v>14.368571428571428</v>
      </c>
      <c r="R2" s="2">
        <f>O2-VLOOKUP($E2,Scores!$AG$1:$AM$7,7,FALSE)</f>
        <v>10.622220006241719</v>
      </c>
      <c r="S2" s="2">
        <f>P2-VLOOKUP($E2,Scores!$AG$1:$AM$7,7,FALSE)</f>
        <v>18.114922850901134</v>
      </c>
      <c r="T2">
        <f>MATCH(R2,$Q$2:$Q$201,-1)</f>
        <v>2</v>
      </c>
      <c r="U2" s="23">
        <f>IFERROR(MATCH(S2,$Q$2:$Q$201,-1)+1,1)</f>
        <v>1</v>
      </c>
      <c r="V2">
        <f t="shared" ref="V2:V33" si="0">COUNTIFS($E$2:$E$201,$E2,$Q$2:$Q$201,"&gt;"&amp;R2)</f>
        <v>2</v>
      </c>
      <c r="W2">
        <f>COUNTIFS($E$2:$E$201,$E2,$Q$2:$Q$201,"&gt;"&amp;S2)+1</f>
        <v>1</v>
      </c>
      <c r="X2" t="str">
        <f>D2&amp;COUNTIF(D$1:D2,D2)</f>
        <v>chad1</v>
      </c>
      <c r="Y2" t="str">
        <f>D2&amp;E2&amp;COUNTIFS(D$1:D2,D2,E$1:E2,E2)</f>
        <v>chadRB1</v>
      </c>
      <c r="Z2" t="s">
        <v>1100</v>
      </c>
      <c r="AA2" t="s">
        <v>1100</v>
      </c>
      <c r="AD2" t="s">
        <v>1103</v>
      </c>
      <c r="AF2" t="s">
        <v>143</v>
      </c>
      <c r="AG2">
        <f>MATCH(AF2,$C$2:$C$201,0)</f>
        <v>185</v>
      </c>
      <c r="AH2" s="2">
        <f>INDEX(Q$2:Q$201,$AG2)</f>
        <v>-1.2957142857142854</v>
      </c>
      <c r="AI2" s="58">
        <f>INDEX(L$2:L$201,$AG2)</f>
        <v>7</v>
      </c>
      <c r="AJ2" s="2">
        <f>INDEX(M$2:M$201,$AG2)</f>
        <v>13.671166738797387</v>
      </c>
      <c r="AK2" s="2">
        <f>SQRT((AJ2^2/AI2^2))</f>
        <v>1.9530238198281982</v>
      </c>
    </row>
    <row r="3" spans="1:38" x14ac:dyDescent="0.25">
      <c r="A3">
        <f>A2+1</f>
        <v>2</v>
      </c>
      <c r="B3">
        <f>MATCH(A3,'ROS Proj'!$AI$2:$AI$561,0)</f>
        <v>184</v>
      </c>
      <c r="C3" t="str">
        <f>INDEX('ROS Proj'!$A$2:$A$561,$B3)</f>
        <v>Ezekiel Elliott</v>
      </c>
      <c r="D3" t="str">
        <f>IFERROR(INDEX(Rosters!$C$2:$C$155,MATCH($C3,Rosters!$B$2:$B$155,0)),"FA")</f>
        <v>perry</v>
      </c>
      <c r="E3" t="str">
        <f>INDEX('ROS Proj'!$B$2:$B$561,$B3)</f>
        <v>RB</v>
      </c>
      <c r="F3" t="str">
        <f>E3&amp;COUNTIF(E$1:E3,E3)</f>
        <v>RB2</v>
      </c>
      <c r="G3">
        <f t="shared" ref="G3:G66" si="1">IFERROR(MATCH(C3,$AA$2:$AA$201,0)-A3,201-A3)</f>
        <v>0</v>
      </c>
      <c r="H3">
        <f t="shared" ref="H3:H66" si="2">IFERROR(MATCH(C3,$Z$2:$Z$201,0)-A3,201-A3)</f>
        <v>0</v>
      </c>
      <c r="I3" t="str">
        <f t="shared" ref="I3:I66" si="3">E3&amp;V3&amp;"-"&amp;T3</f>
        <v>RB5-5</v>
      </c>
      <c r="J3" t="str">
        <f t="shared" ref="J3:J66" si="4">E3&amp;W3&amp;"-"&amp;U3</f>
        <v>RB1-1</v>
      </c>
      <c r="K3" s="2">
        <f>INDEX('ROS Proj'!$T$2:$T$561,$B3)</f>
        <v>19.427142857142858</v>
      </c>
      <c r="L3" s="23">
        <f>INDEX('ROS Proj'!$AL$2:$AL$561,$B3)</f>
        <v>7</v>
      </c>
      <c r="M3" s="2">
        <f>SQRT(IF(E3="K",SUMIFS('K Proj'!$P$2:$P$508,'K Proj'!$B$2:$B$508,$C3,'K Proj'!$A$2:$A$508,"&gt;"&amp;Week,'K Proj'!$A$2:$A$508,"&lt;=13"),IF(E3="D",SUMIFS('D Proj'!$N$2:$N$513,'D Proj'!$B$2:$B$513,$C3,'D Proj'!$A$2:$A$513,"&gt;"&amp;Week,'D Proj'!$A$2:$A$513,"&lt;=13"),SUMIFS('F Proj'!$J$2:$J$7669,'F Proj'!$B$2:$B$7669,$C3,'F Proj'!$A$2:$A$7669,"&gt;"&amp;Week,'F Proj'!$A$2:$A$7669,"&lt;=13"))))</f>
        <v>26.919392638022128</v>
      </c>
      <c r="N3" s="2">
        <f t="shared" ref="N3:N66" si="5">M3/K3</f>
        <v>1.3856588606967783</v>
      </c>
      <c r="O3" s="2">
        <f>(($K3*$L3)-($M3*Zscore_int))/$L3</f>
        <v>15.581515337425412</v>
      </c>
      <c r="P3" s="2">
        <f>(($K3*$L3)+($M3*Zscore_int))/$L3</f>
        <v>23.272770376860304</v>
      </c>
      <c r="Q3" s="2">
        <f>K3-VLOOKUP($E3,Scores!$AG$1:$AM$7,7,FALSE)</f>
        <v>13.55857142857143</v>
      </c>
      <c r="R3" s="2">
        <f>O3-VLOOKUP($E3,Scores!$AG$1:$AM$7,7,FALSE)</f>
        <v>9.7129439088539833</v>
      </c>
      <c r="S3" s="2">
        <f>P3-VLOOKUP($E3,Scores!$AG$1:$AM$7,7,FALSE)</f>
        <v>17.404198948288876</v>
      </c>
      <c r="T3">
        <f t="shared" ref="T3:T66" si="6">MATCH(R3,$Q$2:$Q$201,-1)</f>
        <v>5</v>
      </c>
      <c r="U3" s="23">
        <f t="shared" ref="U3:U66" si="7">IFERROR(MATCH(S3,$Q$2:$Q$201,-1)+1,1)</f>
        <v>1</v>
      </c>
      <c r="V3">
        <f t="shared" si="0"/>
        <v>5</v>
      </c>
      <c r="W3">
        <f t="shared" ref="W3:W33" si="8">COUNTIFS($E$2:$E$201,$E3,$Q$2:$Q$201,"&gt;"&amp;S3)+1</f>
        <v>1</v>
      </c>
      <c r="X3" t="str">
        <f>D3&amp;COUNTIF(D$1:D3,D3)</f>
        <v>perry1</v>
      </c>
      <c r="Y3" t="str">
        <f>D3&amp;E3&amp;COUNTIFS(D$1:D3,D3,E$1:E3,E3)</f>
        <v>perryRB1</v>
      </c>
      <c r="Z3" t="s">
        <v>57</v>
      </c>
      <c r="AA3" t="s">
        <v>57</v>
      </c>
      <c r="AF3" t="s">
        <v>140</v>
      </c>
      <c r="AG3">
        <f>MATCH(AF3,$C$2:$C$201,0)</f>
        <v>60</v>
      </c>
      <c r="AH3" s="2">
        <f>INDEX(Q$2:Q$201,$AG3)</f>
        <v>2.3885714285714297</v>
      </c>
      <c r="AI3" s="58">
        <f>INDEX(L$2:L$201,$AG3)</f>
        <v>7</v>
      </c>
      <c r="AJ3" s="2">
        <f>INDEX(M$2:M$201,$AG3)</f>
        <v>15.511440938868319</v>
      </c>
      <c r="AK3" s="2">
        <f>SQRT((AJ3^2/AI3^2))</f>
        <v>2.2159201341240453</v>
      </c>
      <c r="AL3" s="59">
        <f>_xlfn.NORM.DIST(0,AH4,AK4,TRUE)</f>
        <v>0.8938612497978361</v>
      </c>
    </row>
    <row r="4" spans="1:38" x14ac:dyDescent="0.25">
      <c r="A4">
        <f t="shared" ref="A4:A67" si="9">A3+1</f>
        <v>3</v>
      </c>
      <c r="B4">
        <f>MATCH(A4,'ROS Proj'!$AI$2:$AI$561,0)</f>
        <v>24</v>
      </c>
      <c r="C4" t="str">
        <f>INDEX('ROS Proj'!$A$2:$A$561,$B4)</f>
        <v>Alvin Kamara</v>
      </c>
      <c r="D4" t="str">
        <f>IFERROR(INDEX(Rosters!$C$2:$C$155,MATCH($C4,Rosters!$B$2:$B$155,0)),"FA")</f>
        <v>scott</v>
      </c>
      <c r="E4" t="str">
        <f>INDEX('ROS Proj'!$B$2:$B$561,$B4)</f>
        <v>RB</v>
      </c>
      <c r="F4" t="str">
        <f>E4&amp;COUNTIF(E$1:E4,E4)</f>
        <v>RB3</v>
      </c>
      <c r="G4">
        <f t="shared" si="1"/>
        <v>0</v>
      </c>
      <c r="H4">
        <f t="shared" si="2"/>
        <v>2</v>
      </c>
      <c r="I4" t="str">
        <f t="shared" si="3"/>
        <v>RB12-17</v>
      </c>
      <c r="J4" t="str">
        <f t="shared" si="4"/>
        <v>RB1-1</v>
      </c>
      <c r="K4" s="2">
        <f>INDEX('ROS Proj'!$T$2:$T$561,$B4)</f>
        <v>16.419999999999998</v>
      </c>
      <c r="L4" s="23">
        <f>INDEX('ROS Proj'!$AL$2:$AL$561,$B4)</f>
        <v>7</v>
      </c>
      <c r="M4" s="2">
        <f>SQRT(IF(E4="K",SUMIFS('K Proj'!$P$2:$P$508,'K Proj'!$B$2:$B$508,$C4,'K Proj'!$A$2:$A$508,"&gt;"&amp;Week,'K Proj'!$A$2:$A$508,"&lt;=13"),IF(E4="D",SUMIFS('D Proj'!$N$2:$N$513,'D Proj'!$B$2:$B$513,$C4,'D Proj'!$A$2:$A$513,"&gt;"&amp;Week,'D Proj'!$A$2:$A$513,"&lt;=13"),SUMIFS('F Proj'!$J$2:$J$7669,'F Proj'!$B$2:$B$7669,$C4,'F Proj'!$A$2:$A$7669,"&gt;"&amp;Week,'F Proj'!$A$2:$A$7669,"&lt;=13"))))</f>
        <v>29.133657511544961</v>
      </c>
      <c r="N4" s="2">
        <f t="shared" si="5"/>
        <v>1.7742787765861732</v>
      </c>
      <c r="O4" s="2">
        <f t="shared" ref="O4:O67" si="10">(($K4*$L4)-($M4*Zscore_int))/$L4</f>
        <v>12.258048926922145</v>
      </c>
      <c r="P4" s="2">
        <f t="shared" ref="P4:P67" si="11">(($K4*$L4)+($M4*Zscore_int))/$L4</f>
        <v>20.58195107307785</v>
      </c>
      <c r="Q4" s="2">
        <f>K4-VLOOKUP($E4,Scores!$AG$1:$AM$7,7,FALSE)</f>
        <v>10.55142857142857</v>
      </c>
      <c r="R4" s="2">
        <f>O4-VLOOKUP($E4,Scores!$AG$1:$AM$7,7,FALSE)</f>
        <v>6.3894774983507157</v>
      </c>
      <c r="S4" s="2">
        <f>P4-VLOOKUP($E4,Scores!$AG$1:$AM$7,7,FALSE)</f>
        <v>14.713379644506421</v>
      </c>
      <c r="T4">
        <f t="shared" si="6"/>
        <v>17</v>
      </c>
      <c r="U4" s="23">
        <f t="shared" si="7"/>
        <v>1</v>
      </c>
      <c r="V4">
        <f t="shared" si="0"/>
        <v>12</v>
      </c>
      <c r="W4">
        <f t="shared" si="8"/>
        <v>1</v>
      </c>
      <c r="X4" t="str">
        <f>D4&amp;COUNTIF(D$1:D4,D4)</f>
        <v>scott1</v>
      </c>
      <c r="Y4" t="str">
        <f>D4&amp;E4&amp;COUNTIFS(D$1:D4,D4,E$1:E4,E4)</f>
        <v>scottRB1</v>
      </c>
      <c r="Z4" t="s">
        <v>92</v>
      </c>
      <c r="AA4" t="s">
        <v>257</v>
      </c>
      <c r="AH4" s="2">
        <f>AH2-AH3</f>
        <v>-3.6842857142857151</v>
      </c>
      <c r="AK4" s="2">
        <f>SQRT(SUMSQ(AK2:AK3))</f>
        <v>2.9537440785607432</v>
      </c>
    </row>
    <row r="5" spans="1:38" x14ac:dyDescent="0.25">
      <c r="A5">
        <f t="shared" si="9"/>
        <v>4</v>
      </c>
      <c r="B5">
        <f>MATCH(A5,'ROS Proj'!$AI$2:$AI$561,0)</f>
        <v>281</v>
      </c>
      <c r="C5" t="str">
        <f>INDEX('ROS Proj'!$A$2:$A$561,$B5)</f>
        <v>Kareem Hunt</v>
      </c>
      <c r="D5" t="str">
        <f>IFERROR(INDEX(Rosters!$C$2:$C$155,MATCH($C5,Rosters!$B$2:$B$155,0)),"FA")</f>
        <v>scott</v>
      </c>
      <c r="E5" t="str">
        <f>INDEX('ROS Proj'!$B$2:$B$561,$B5)</f>
        <v>RB</v>
      </c>
      <c r="F5" t="str">
        <f>E5&amp;COUNTIF(E$1:E5,E5)</f>
        <v>RB4</v>
      </c>
      <c r="G5">
        <f t="shared" si="1"/>
        <v>0</v>
      </c>
      <c r="H5">
        <f t="shared" si="2"/>
        <v>3</v>
      </c>
      <c r="I5" t="str">
        <f t="shared" si="3"/>
        <v>RB8-6</v>
      </c>
      <c r="J5" t="str">
        <f t="shared" si="4"/>
        <v>RB3-3</v>
      </c>
      <c r="K5" s="2">
        <f>INDEX('ROS Proj'!$T$2:$T$561,$B5)</f>
        <v>16.23142857142857</v>
      </c>
      <c r="L5" s="23">
        <f>INDEX('ROS Proj'!$AL$2:$AL$561,$B5)</f>
        <v>7</v>
      </c>
      <c r="M5" s="2">
        <f>SQRT(IF(E5="K",SUMIFS('K Proj'!$P$2:$P$508,'K Proj'!$B$2:$B$508,$C5,'K Proj'!$A$2:$A$508,"&gt;"&amp;Week,'K Proj'!$A$2:$A$508,"&lt;=13"),IF(E5="D",SUMIFS('D Proj'!$N$2:$N$513,'D Proj'!$B$2:$B$513,$C5,'D Proj'!$A$2:$A$513,"&gt;"&amp;Week,'D Proj'!$A$2:$A$513,"&lt;=13"),SUMIFS('F Proj'!$J$2:$J$7669,'F Proj'!$B$2:$B$7669,$C5,'F Proj'!$A$2:$A$7669,"&gt;"&amp;Week,'F Proj'!$A$2:$A$7669,"&lt;=13"))))</f>
        <v>21.288264372653774</v>
      </c>
      <c r="N5" s="2">
        <f t="shared" si="5"/>
        <v>1.3115459479719807</v>
      </c>
      <c r="O5" s="2">
        <f t="shared" si="10"/>
        <v>13.190247946763746</v>
      </c>
      <c r="P5" s="2">
        <f t="shared" si="11"/>
        <v>19.272609196093395</v>
      </c>
      <c r="Q5" s="2">
        <f>K5-VLOOKUP($E5,Scores!$AG$1:$AM$7,7,FALSE)</f>
        <v>10.362857142857141</v>
      </c>
      <c r="R5" s="2">
        <f>O5-VLOOKUP($E5,Scores!$AG$1:$AM$7,7,FALSE)</f>
        <v>7.3216765181923167</v>
      </c>
      <c r="S5" s="2">
        <f>P5-VLOOKUP($E5,Scores!$AG$1:$AM$7,7,FALSE)</f>
        <v>13.404037767521967</v>
      </c>
      <c r="T5">
        <f t="shared" si="6"/>
        <v>6</v>
      </c>
      <c r="U5" s="23">
        <f t="shared" si="7"/>
        <v>3</v>
      </c>
      <c r="V5">
        <f t="shared" si="0"/>
        <v>8</v>
      </c>
      <c r="W5">
        <f t="shared" si="8"/>
        <v>3</v>
      </c>
      <c r="X5" t="str">
        <f>D5&amp;COUNTIF(D$1:D5,D5)</f>
        <v>scott2</v>
      </c>
      <c r="Y5" t="str">
        <f>D5&amp;E5&amp;COUNTIFS(D$1:D5,D5,E$1:E5,E5)</f>
        <v>scottRB2</v>
      </c>
      <c r="Z5" t="s">
        <v>112</v>
      </c>
      <c r="AA5" t="s">
        <v>115</v>
      </c>
    </row>
    <row r="6" spans="1:38" x14ac:dyDescent="0.25">
      <c r="A6">
        <f t="shared" si="9"/>
        <v>5</v>
      </c>
      <c r="B6">
        <f>MATCH(A6,'ROS Proj'!$AI$2:$AI$561,0)</f>
        <v>343</v>
      </c>
      <c r="C6" t="str">
        <f>INDEX('ROS Proj'!$A$2:$A$561,$B6)</f>
        <v>Melvin Gordon</v>
      </c>
      <c r="D6" t="str">
        <f>IFERROR(INDEX(Rosters!$C$2:$C$155,MATCH($C6,Rosters!$B$2:$B$155,0)),"FA")</f>
        <v>matty</v>
      </c>
      <c r="E6" t="str">
        <f>INDEX('ROS Proj'!$B$2:$B$561,$B6)</f>
        <v>RB</v>
      </c>
      <c r="F6" t="str">
        <f>E6&amp;COUNTIF(E$1:E6,E6)</f>
        <v>RB5</v>
      </c>
      <c r="G6">
        <f t="shared" si="1"/>
        <v>0</v>
      </c>
      <c r="H6">
        <f t="shared" si="2"/>
        <v>-2</v>
      </c>
      <c r="I6" t="str">
        <f t="shared" si="3"/>
        <v>RB10-13</v>
      </c>
      <c r="J6" t="str">
        <f t="shared" si="4"/>
        <v>RB3-3</v>
      </c>
      <c r="K6" s="2">
        <f>INDEX('ROS Proj'!$T$2:$T$561,$B6)</f>
        <v>15.984285714285713</v>
      </c>
      <c r="L6" s="23">
        <f>INDEX('ROS Proj'!$AL$2:$AL$561,$B6)</f>
        <v>7</v>
      </c>
      <c r="M6" s="2">
        <f>SQRT(IF(E6="K",SUMIFS('K Proj'!$P$2:$P$508,'K Proj'!$B$2:$B$508,$C6,'K Proj'!$A$2:$A$508,"&gt;"&amp;Week,'K Proj'!$A$2:$A$508,"&lt;=13"),IF(E6="D",SUMIFS('D Proj'!$N$2:$N$513,'D Proj'!$B$2:$B$513,$C6,'D Proj'!$A$2:$A$513,"&gt;"&amp;Week,'D Proj'!$A$2:$A$513,"&lt;=13"),SUMIFS('F Proj'!$J$2:$J$7669,'F Proj'!$B$2:$B$7669,$C6,'F Proj'!$A$2:$A$7669,"&gt;"&amp;Week,'F Proj'!$A$2:$A$7669,"&lt;=13"))))</f>
        <v>21.772034815331342</v>
      </c>
      <c r="N6" s="2">
        <f t="shared" si="5"/>
        <v>1.3620899428663813</v>
      </c>
      <c r="O6" s="2">
        <f t="shared" si="10"/>
        <v>12.873995026381236</v>
      </c>
      <c r="P6" s="2">
        <f t="shared" si="11"/>
        <v>19.094576402190192</v>
      </c>
      <c r="Q6" s="2">
        <f>K6-VLOOKUP($E6,Scores!$AG$1:$AM$7,7,FALSE)</f>
        <v>10.115714285714283</v>
      </c>
      <c r="R6" s="2">
        <f>O6-VLOOKUP($E6,Scores!$AG$1:$AM$7,7,FALSE)</f>
        <v>7.0054235978098065</v>
      </c>
      <c r="S6" s="2">
        <f>P6-VLOOKUP($E6,Scores!$AG$1:$AM$7,7,FALSE)</f>
        <v>13.226004973618764</v>
      </c>
      <c r="T6">
        <f t="shared" si="6"/>
        <v>13</v>
      </c>
      <c r="U6" s="23">
        <f t="shared" si="7"/>
        <v>3</v>
      </c>
      <c r="V6">
        <f t="shared" si="0"/>
        <v>10</v>
      </c>
      <c r="W6">
        <f t="shared" si="8"/>
        <v>3</v>
      </c>
      <c r="X6" t="str">
        <f>D6&amp;COUNTIF(D$1:D6,D6)</f>
        <v>matty1</v>
      </c>
      <c r="Y6" t="str">
        <f>D6&amp;E6&amp;COUNTIFS(D$1:D6,D6,E$1:E6,E6)</f>
        <v>mattyRB1</v>
      </c>
      <c r="Z6" t="s">
        <v>257</v>
      </c>
      <c r="AA6" t="s">
        <v>92</v>
      </c>
    </row>
    <row r="7" spans="1:38" x14ac:dyDescent="0.25">
      <c r="A7">
        <f t="shared" si="9"/>
        <v>6</v>
      </c>
      <c r="B7">
        <f>MATCH(A7,'ROS Proj'!$AI$2:$AI$561,0)</f>
        <v>251</v>
      </c>
      <c r="C7" t="str">
        <f>INDEX('ROS Proj'!$A$2:$A$561,$B7)</f>
        <v>Jordan Howard</v>
      </c>
      <c r="D7" t="str">
        <f>IFERROR(INDEX(Rosters!$C$2:$C$155,MATCH($C7,Rosters!$B$2:$B$155,0)),"FA")</f>
        <v>chad</v>
      </c>
      <c r="E7" t="str">
        <f>INDEX('ROS Proj'!$B$2:$B$561,$B7)</f>
        <v>RB</v>
      </c>
      <c r="F7" t="str">
        <f>E7&amp;COUNTIF(E$1:E7,E7)</f>
        <v>RB6</v>
      </c>
      <c r="G7">
        <f t="shared" si="1"/>
        <v>0</v>
      </c>
      <c r="H7">
        <f t="shared" si="2"/>
        <v>11</v>
      </c>
      <c r="I7" t="str">
        <f t="shared" si="3"/>
        <v>RB15-22</v>
      </c>
      <c r="J7" t="str">
        <f t="shared" si="4"/>
        <v>RB6-6</v>
      </c>
      <c r="K7" s="2">
        <f>INDEX('ROS Proj'!$T$2:$T$561,$B7)</f>
        <v>13.295</v>
      </c>
      <c r="L7" s="23">
        <f>INDEX('ROS Proj'!$AL$2:$AL$561,$B7)</f>
        <v>8</v>
      </c>
      <c r="M7" s="2">
        <f>SQRT(IF(E7="K",SUMIFS('K Proj'!$P$2:$P$508,'K Proj'!$B$2:$B$508,$C7,'K Proj'!$A$2:$A$508,"&gt;"&amp;Week,'K Proj'!$A$2:$A$508,"&lt;=13"),IF(E7="D",SUMIFS('D Proj'!$N$2:$N$513,'D Proj'!$B$2:$B$513,$C7,'D Proj'!$A$2:$A$513,"&gt;"&amp;Week,'D Proj'!$A$2:$A$513,"&lt;=13"),SUMIFS('F Proj'!$J$2:$J$7669,'F Proj'!$B$2:$B$7669,$C7,'F Proj'!$A$2:$A$7669,"&gt;"&amp;Week,'F Proj'!$A$2:$A$7669,"&lt;=13"))))</f>
        <v>21.226700167477752</v>
      </c>
      <c r="N7" s="2">
        <f t="shared" si="5"/>
        <v>1.5965927166211171</v>
      </c>
      <c r="O7" s="2">
        <f t="shared" si="10"/>
        <v>10.641662479065282</v>
      </c>
      <c r="P7" s="2">
        <f t="shared" si="11"/>
        <v>15.948337520934718</v>
      </c>
      <c r="Q7" s="2">
        <f>K7-VLOOKUP($E7,Scores!$AG$1:$AM$7,7,FALSE)</f>
        <v>7.4264285714285707</v>
      </c>
      <c r="R7" s="2">
        <f>O7-VLOOKUP($E7,Scores!$AG$1:$AM$7,7,FALSE)</f>
        <v>4.7730910504938526</v>
      </c>
      <c r="S7" s="2">
        <f>P7-VLOOKUP($E7,Scores!$AG$1:$AM$7,7,FALSE)</f>
        <v>10.07976609236329</v>
      </c>
      <c r="T7">
        <f t="shared" si="6"/>
        <v>22</v>
      </c>
      <c r="U7" s="23">
        <f t="shared" si="7"/>
        <v>6</v>
      </c>
      <c r="V7">
        <f t="shared" si="0"/>
        <v>15</v>
      </c>
      <c r="W7">
        <f t="shared" si="8"/>
        <v>6</v>
      </c>
      <c r="X7" t="str">
        <f>D7&amp;COUNTIF(D$1:D7,D7)</f>
        <v>chad2</v>
      </c>
      <c r="Y7" t="str">
        <f>D7&amp;E7&amp;COUNTIFS(D$1:D7,D7,E$1:E7,E7)</f>
        <v>chadRB2</v>
      </c>
      <c r="Z7" t="s">
        <v>96</v>
      </c>
      <c r="AA7" t="s">
        <v>97</v>
      </c>
    </row>
    <row r="8" spans="1:38" x14ac:dyDescent="0.25">
      <c r="A8">
        <f t="shared" si="9"/>
        <v>7</v>
      </c>
      <c r="B8">
        <f>MATCH(A8,'ROS Proj'!$AI$2:$AI$561,0)</f>
        <v>101</v>
      </c>
      <c r="C8" t="str">
        <f>INDEX('ROS Proj'!$A$2:$A$561,$B8)</f>
        <v>Christian McCaffrey</v>
      </c>
      <c r="D8" t="str">
        <f>IFERROR(INDEX(Rosters!$C$2:$C$155,MATCH($C8,Rosters!$B$2:$B$155,0)),"FA")</f>
        <v>devon</v>
      </c>
      <c r="E8" t="str">
        <f>INDEX('ROS Proj'!$B$2:$B$561,$B8)</f>
        <v>RB</v>
      </c>
      <c r="F8" t="str">
        <f>E8&amp;COUNTIF(E$1:E8,E8)</f>
        <v>RB7</v>
      </c>
      <c r="G8">
        <f t="shared" si="1"/>
        <v>0</v>
      </c>
      <c r="H8">
        <f t="shared" si="2"/>
        <v>-3</v>
      </c>
      <c r="I8" t="str">
        <f t="shared" si="3"/>
        <v>RB15-22</v>
      </c>
      <c r="J8" t="str">
        <f t="shared" si="4"/>
        <v>RB6-6</v>
      </c>
      <c r="K8" s="2">
        <f>INDEX('ROS Proj'!$T$2:$T$561,$B8)</f>
        <v>12.977500000000001</v>
      </c>
      <c r="L8" s="23">
        <f>INDEX('ROS Proj'!$AL$2:$AL$561,$B8)</f>
        <v>8</v>
      </c>
      <c r="M8" s="2">
        <f>SQRT(IF(E8="K",SUMIFS('K Proj'!$P$2:$P$508,'K Proj'!$B$2:$B$508,$C8,'K Proj'!$A$2:$A$508,"&gt;"&amp;Week,'K Proj'!$A$2:$A$508,"&lt;=13"),IF(E8="D",SUMIFS('D Proj'!$N$2:$N$513,'D Proj'!$B$2:$B$513,$C8,'D Proj'!$A$2:$A$513,"&gt;"&amp;Week,'D Proj'!$A$2:$A$513,"&lt;=13"),SUMIFS('F Proj'!$J$2:$J$7669,'F Proj'!$B$2:$B$7669,$C8,'F Proj'!$A$2:$A$7669,"&gt;"&amp;Week,'F Proj'!$A$2:$A$7669,"&lt;=13"))))</f>
        <v>18.278211072202883</v>
      </c>
      <c r="N8" s="2">
        <f t="shared" si="5"/>
        <v>1.4084539450743889</v>
      </c>
      <c r="O8" s="2">
        <f t="shared" si="10"/>
        <v>10.692723615974641</v>
      </c>
      <c r="P8" s="2">
        <f t="shared" si="11"/>
        <v>15.262276384025361</v>
      </c>
      <c r="Q8" s="2">
        <f>K8-VLOOKUP($E8,Scores!$AG$1:$AM$7,7,FALSE)</f>
        <v>7.1089285714285717</v>
      </c>
      <c r="R8" s="2">
        <f>O8-VLOOKUP($E8,Scores!$AG$1:$AM$7,7,FALSE)</f>
        <v>4.8241521874032118</v>
      </c>
      <c r="S8" s="2">
        <f>P8-VLOOKUP($E8,Scores!$AG$1:$AM$7,7,FALSE)</f>
        <v>9.3937049554539307</v>
      </c>
      <c r="T8">
        <f t="shared" si="6"/>
        <v>22</v>
      </c>
      <c r="U8" s="23">
        <f t="shared" si="7"/>
        <v>6</v>
      </c>
      <c r="V8">
        <f t="shared" si="0"/>
        <v>15</v>
      </c>
      <c r="W8">
        <f t="shared" si="8"/>
        <v>6</v>
      </c>
      <c r="X8" t="str">
        <f>D8&amp;COUNTIF(D$1:D8,D8)</f>
        <v>devon1</v>
      </c>
      <c r="Y8" t="str">
        <f>D8&amp;E8&amp;COUNTIFS(D$1:D8,D8,E$1:E8,E8)</f>
        <v>devonRB1</v>
      </c>
      <c r="Z8" t="s">
        <v>115</v>
      </c>
      <c r="AA8" t="s">
        <v>112</v>
      </c>
    </row>
    <row r="9" spans="1:38" x14ac:dyDescent="0.25">
      <c r="A9">
        <f t="shared" si="9"/>
        <v>8</v>
      </c>
      <c r="B9">
        <f>MATCH(A9,'ROS Proj'!$AI$2:$AI$561,0)</f>
        <v>272</v>
      </c>
      <c r="C9" t="str">
        <f>INDEX('ROS Proj'!$A$2:$A$561,$B9)</f>
        <v>Julio Jones</v>
      </c>
      <c r="D9" t="str">
        <f>IFERROR(INDEX(Rosters!$C$2:$C$155,MATCH($C9,Rosters!$B$2:$B$155,0)),"FA")</f>
        <v>cory</v>
      </c>
      <c r="E9" t="str">
        <f>INDEX('ROS Proj'!$B$2:$B$561,$B9)</f>
        <v>WR</v>
      </c>
      <c r="F9" t="str">
        <f>E9&amp;COUNTIF(E$1:E9,E9)</f>
        <v>WR1</v>
      </c>
      <c r="G9">
        <f t="shared" si="1"/>
        <v>0</v>
      </c>
      <c r="H9">
        <f t="shared" si="2"/>
        <v>5</v>
      </c>
      <c r="I9" t="str">
        <f t="shared" si="3"/>
        <v>WR14-22</v>
      </c>
      <c r="J9" t="str">
        <f t="shared" si="4"/>
        <v>WR1-3</v>
      </c>
      <c r="K9" s="2">
        <f>INDEX('ROS Proj'!$T$2:$T$561,$B9)</f>
        <v>13.854285714285712</v>
      </c>
      <c r="L9" s="23">
        <f>INDEX('ROS Proj'!$AL$2:$AL$561,$B9)</f>
        <v>7</v>
      </c>
      <c r="M9" s="2">
        <f>SQRT(IF(E9="K",SUMIFS('K Proj'!$P$2:$P$508,'K Proj'!$B$2:$B$508,$C9,'K Proj'!$A$2:$A$508,"&gt;"&amp;Week,'K Proj'!$A$2:$A$508,"&lt;=13"),IF(E9="D",SUMIFS('D Proj'!$N$2:$N$513,'D Proj'!$B$2:$B$513,$C9,'D Proj'!$A$2:$A$513,"&gt;"&amp;Week,'D Proj'!$A$2:$A$513,"&lt;=13"),SUMIFS('F Proj'!$J$2:$J$7669,'F Proj'!$B$2:$B$7669,$C9,'F Proj'!$A$2:$A$7669,"&gt;"&amp;Week,'F Proj'!$A$2:$A$7669,"&lt;=13"))))</f>
        <v>21.750696540570832</v>
      </c>
      <c r="N9" s="2">
        <f t="shared" si="5"/>
        <v>1.5699615981026587</v>
      </c>
      <c r="O9" s="2">
        <f t="shared" si="10"/>
        <v>10.747043351347022</v>
      </c>
      <c r="P9" s="2">
        <f t="shared" si="11"/>
        <v>16.961528077224404</v>
      </c>
      <c r="Q9" s="2">
        <f>K9-VLOOKUP($E9,Scores!$AG$1:$AM$7,7,FALSE)</f>
        <v>7.8014285714285698</v>
      </c>
      <c r="R9" s="2">
        <f>O9-VLOOKUP($E9,Scores!$AG$1:$AM$7,7,FALSE)</f>
        <v>4.6941862084898798</v>
      </c>
      <c r="S9" s="2">
        <f>P9-VLOOKUP($E9,Scores!$AG$1:$AM$7,7,FALSE)</f>
        <v>10.908670934367262</v>
      </c>
      <c r="T9">
        <f t="shared" si="6"/>
        <v>22</v>
      </c>
      <c r="U9" s="23">
        <f t="shared" si="7"/>
        <v>3</v>
      </c>
      <c r="V9">
        <f t="shared" si="0"/>
        <v>14</v>
      </c>
      <c r="W9">
        <f t="shared" si="8"/>
        <v>1</v>
      </c>
      <c r="X9" t="str">
        <f>D9&amp;COUNTIF(D$1:D9,D9)</f>
        <v>cory1</v>
      </c>
      <c r="Y9" t="str">
        <f>D9&amp;E9&amp;COUNTIFS(D$1:D9,D9,E$1:E9,E9)</f>
        <v>coryWR1</v>
      </c>
      <c r="Z9" t="s">
        <v>110</v>
      </c>
      <c r="AA9" t="s">
        <v>93</v>
      </c>
    </row>
    <row r="10" spans="1:38" x14ac:dyDescent="0.25">
      <c r="A10">
        <f t="shared" si="9"/>
        <v>9</v>
      </c>
      <c r="B10">
        <f>MATCH(A10,'ROS Proj'!$AI$2:$AI$561,0)</f>
        <v>35</v>
      </c>
      <c r="C10" t="str">
        <f>INDEX('ROS Proj'!$A$2:$A$561,$B10)</f>
        <v>Antonio Brown</v>
      </c>
      <c r="D10" t="str">
        <f>IFERROR(INDEX(Rosters!$C$2:$C$155,MATCH($C10,Rosters!$B$2:$B$155,0)),"FA")</f>
        <v>comp</v>
      </c>
      <c r="E10" t="str">
        <f>INDEX('ROS Proj'!$B$2:$B$561,$B10)</f>
        <v>WR</v>
      </c>
      <c r="F10" t="str">
        <f>E10&amp;COUNTIF(E$1:E10,E10)</f>
        <v>WR2</v>
      </c>
      <c r="G10">
        <f t="shared" si="1"/>
        <v>0</v>
      </c>
      <c r="H10">
        <f t="shared" si="2"/>
        <v>-3</v>
      </c>
      <c r="I10" t="str">
        <f t="shared" si="3"/>
        <v>WR15-22</v>
      </c>
      <c r="J10" t="str">
        <f t="shared" si="4"/>
        <v>WR1-5</v>
      </c>
      <c r="K10" s="2">
        <f>INDEX('ROS Proj'!$T$2:$T$561,$B10)</f>
        <v>13.465714285714286</v>
      </c>
      <c r="L10" s="23">
        <f>INDEX('ROS Proj'!$AL$2:$AL$561,$B10)</f>
        <v>7</v>
      </c>
      <c r="M10" s="2">
        <f>SQRT(IF(E10="K",SUMIFS('K Proj'!$P$2:$P$508,'K Proj'!$B$2:$B$508,$C10,'K Proj'!$A$2:$A$508,"&gt;"&amp;Week,'K Proj'!$A$2:$A$508,"&lt;=13"),IF(E10="D",SUMIFS('D Proj'!$N$2:$N$513,'D Proj'!$B$2:$B$513,$C10,'D Proj'!$A$2:$A$513,"&gt;"&amp;Week,'D Proj'!$A$2:$A$513,"&lt;=13"),SUMIFS('F Proj'!$J$2:$J$7669,'F Proj'!$B$2:$B$7669,$C10,'F Proj'!$A$2:$A$7669,"&gt;"&amp;Week,'F Proj'!$A$2:$A$7669,"&lt;=13"))))</f>
        <v>20.200522270476078</v>
      </c>
      <c r="N10" s="2">
        <f t="shared" si="5"/>
        <v>1.5001448747436086</v>
      </c>
      <c r="O10" s="2">
        <f t="shared" si="10"/>
        <v>10.57992538993199</v>
      </c>
      <c r="P10" s="2">
        <f t="shared" si="11"/>
        <v>16.351503181496582</v>
      </c>
      <c r="Q10" s="2">
        <f>K10-VLOOKUP($E10,Scores!$AG$1:$AM$7,7,FALSE)</f>
        <v>7.4128571428571437</v>
      </c>
      <c r="R10" s="2">
        <f>O10-VLOOKUP($E10,Scores!$AG$1:$AM$7,7,FALSE)</f>
        <v>4.5270682470748476</v>
      </c>
      <c r="S10" s="2">
        <f>P10-VLOOKUP($E10,Scores!$AG$1:$AM$7,7,FALSE)</f>
        <v>10.29864603863944</v>
      </c>
      <c r="T10">
        <f t="shared" si="6"/>
        <v>22</v>
      </c>
      <c r="U10" s="23">
        <f t="shared" si="7"/>
        <v>5</v>
      </c>
      <c r="V10">
        <f t="shared" si="0"/>
        <v>15</v>
      </c>
      <c r="W10">
        <f t="shared" si="8"/>
        <v>1</v>
      </c>
      <c r="X10" t="str">
        <f>D10&amp;COUNTIF(D$1:D10,D10)</f>
        <v>comp1</v>
      </c>
      <c r="Y10" t="str">
        <f>D10&amp;E10&amp;COUNTIFS(D$1:D10,D10,E$1:E10,E10)</f>
        <v>compWR1</v>
      </c>
      <c r="Z10" t="s">
        <v>111</v>
      </c>
      <c r="AA10" t="s">
        <v>96</v>
      </c>
    </row>
    <row r="11" spans="1:38" x14ac:dyDescent="0.25">
      <c r="A11">
        <f t="shared" si="9"/>
        <v>10</v>
      </c>
      <c r="B11">
        <f>MATCH(A11,'ROS Proj'!$AI$2:$AI$561,0)</f>
        <v>135</v>
      </c>
      <c r="C11" t="str">
        <f>INDEX('ROS Proj'!$A$2:$A$561,$B11)</f>
        <v>David Johnson</v>
      </c>
      <c r="D11" t="str">
        <f>IFERROR(INDEX(Rosters!$C$2:$C$155,MATCH($C11,Rosters!$B$2:$B$155,0)),"FA")</f>
        <v>matty</v>
      </c>
      <c r="E11" t="str">
        <f>INDEX('ROS Proj'!$B$2:$B$561,$B11)</f>
        <v>RB</v>
      </c>
      <c r="F11" t="str">
        <f>E11&amp;COUNTIF(E$1:E11,E11)</f>
        <v>RB8</v>
      </c>
      <c r="G11">
        <f t="shared" si="1"/>
        <v>0</v>
      </c>
      <c r="H11">
        <f t="shared" si="2"/>
        <v>15</v>
      </c>
      <c r="I11" t="str">
        <f t="shared" si="3"/>
        <v>RB18-39</v>
      </c>
      <c r="J11" t="str">
        <f t="shared" si="4"/>
        <v>RB3-3</v>
      </c>
      <c r="K11" s="2">
        <f>INDEX('ROS Proj'!$T$2:$T$561,$B11)</f>
        <v>13.448571428571427</v>
      </c>
      <c r="L11" s="23">
        <f>INDEX('ROS Proj'!$AL$2:$AL$561,$B11)</f>
        <v>7</v>
      </c>
      <c r="M11" s="2">
        <f>SQRT(IF(E11="K",SUMIFS('K Proj'!$P$2:$P$508,'K Proj'!$B$2:$B$508,$C11,'K Proj'!$A$2:$A$508,"&gt;"&amp;Week,'K Proj'!$A$2:$A$508,"&lt;=13"),IF(E11="D",SUMIFS('D Proj'!$N$2:$N$513,'D Proj'!$B$2:$B$513,$C11,'D Proj'!$A$2:$A$513,"&gt;"&amp;Week,'D Proj'!$A$2:$A$513,"&lt;=13"),SUMIFS('F Proj'!$J$2:$J$7669,'F Proj'!$B$2:$B$7669,$C11,'F Proj'!$A$2:$A$7669,"&gt;"&amp;Week,'F Proj'!$A$2:$A$7669,"&lt;=13"))))</f>
        <v>26.769058631188358</v>
      </c>
      <c r="N11" s="2">
        <f t="shared" si="5"/>
        <v>1.9904759976451936</v>
      </c>
      <c r="O11" s="2">
        <f t="shared" si="10"/>
        <v>9.6244201955445181</v>
      </c>
      <c r="P11" s="2">
        <f t="shared" si="11"/>
        <v>17.272722661598333</v>
      </c>
      <c r="Q11" s="2">
        <f>K11-VLOOKUP($E11,Scores!$AG$1:$AM$7,7,FALSE)</f>
        <v>7.5799999999999974</v>
      </c>
      <c r="R11" s="2">
        <f>O11-VLOOKUP($E11,Scores!$AG$1:$AM$7,7,FALSE)</f>
        <v>3.7558487669730889</v>
      </c>
      <c r="S11" s="2">
        <f>P11-VLOOKUP($E11,Scores!$AG$1:$AM$7,7,FALSE)</f>
        <v>11.404151233026905</v>
      </c>
      <c r="T11">
        <f t="shared" si="6"/>
        <v>39</v>
      </c>
      <c r="U11" s="23">
        <f t="shared" si="7"/>
        <v>3</v>
      </c>
      <c r="V11">
        <f t="shared" si="0"/>
        <v>18</v>
      </c>
      <c r="W11">
        <f t="shared" si="8"/>
        <v>3</v>
      </c>
      <c r="X11" t="str">
        <f>D11&amp;COUNTIF(D$1:D11,D11)</f>
        <v>matty2</v>
      </c>
      <c r="Y11" t="str">
        <f>D11&amp;E11&amp;COUNTIFS(D$1:D11,D11,E$1:E11,E11)</f>
        <v>mattyRB2</v>
      </c>
      <c r="Z11" t="s">
        <v>154</v>
      </c>
      <c r="AA11" t="s">
        <v>45</v>
      </c>
    </row>
    <row r="12" spans="1:38" x14ac:dyDescent="0.25">
      <c r="A12">
        <f t="shared" si="9"/>
        <v>11</v>
      </c>
      <c r="B12">
        <f>MATCH(A12,'ROS Proj'!$AI$2:$AI$561,0)</f>
        <v>80</v>
      </c>
      <c r="C12" t="str">
        <f>INDEX('ROS Proj'!$A$2:$A$561,$B12)</f>
        <v>Carlos Hyde</v>
      </c>
      <c r="D12" t="str">
        <f>IFERROR(INDEX(Rosters!$C$2:$C$155,MATCH($C12,Rosters!$B$2:$B$155,0)),"FA")</f>
        <v>cory</v>
      </c>
      <c r="E12" t="str">
        <f>INDEX('ROS Proj'!$B$2:$B$561,$B12)</f>
        <v>RB</v>
      </c>
      <c r="F12" t="str">
        <f>E12&amp;COUNTIF(E$1:E12,E12)</f>
        <v>RB9</v>
      </c>
      <c r="G12">
        <f t="shared" si="1"/>
        <v>0</v>
      </c>
      <c r="H12">
        <f t="shared" si="2"/>
        <v>4</v>
      </c>
      <c r="I12" t="str">
        <f t="shared" si="3"/>
        <v>RB13-17</v>
      </c>
      <c r="J12" t="str">
        <f t="shared" si="4"/>
        <v>RB6-6</v>
      </c>
      <c r="K12" s="2">
        <f>INDEX('ROS Proj'!$T$2:$T$561,$B12)</f>
        <v>13.37571428571429</v>
      </c>
      <c r="L12" s="23">
        <f>INDEX('ROS Proj'!$AL$2:$AL$561,$B12)</f>
        <v>7</v>
      </c>
      <c r="M12" s="2">
        <f>SQRT(IF(E12="K",SUMIFS('K Proj'!$P$2:$P$508,'K Proj'!$B$2:$B$508,$C12,'K Proj'!$A$2:$A$508,"&gt;"&amp;Week,'K Proj'!$A$2:$A$508,"&lt;=13"),IF(E12="D",SUMIFS('D Proj'!$N$2:$N$513,'D Proj'!$B$2:$B$513,$C12,'D Proj'!$A$2:$A$513,"&gt;"&amp;Week,'D Proj'!$A$2:$A$513,"&lt;=13"),SUMIFS('F Proj'!$J$2:$J$7669,'F Proj'!$B$2:$B$7669,$C12,'F Proj'!$A$2:$A$7669,"&gt;"&amp;Week,'F Proj'!$A$2:$A$7669,"&lt;=13"))))</f>
        <v>16.528880784856547</v>
      </c>
      <c r="N12" s="2">
        <f t="shared" si="5"/>
        <v>1.2357381768022619</v>
      </c>
      <c r="O12" s="2">
        <f t="shared" si="10"/>
        <v>11.014445602163354</v>
      </c>
      <c r="P12" s="2">
        <f t="shared" si="11"/>
        <v>15.736982969265224</v>
      </c>
      <c r="Q12" s="2">
        <f>K12-VLOOKUP($E12,Scores!$AG$1:$AM$7,7,FALSE)</f>
        <v>7.5071428571428607</v>
      </c>
      <c r="R12" s="2">
        <f>O12-VLOOKUP($E12,Scores!$AG$1:$AM$7,7,FALSE)</f>
        <v>5.1458741735919249</v>
      </c>
      <c r="S12" s="2">
        <f>P12-VLOOKUP($E12,Scores!$AG$1:$AM$7,7,FALSE)</f>
        <v>9.8684115406937956</v>
      </c>
      <c r="T12">
        <f t="shared" si="6"/>
        <v>17</v>
      </c>
      <c r="U12" s="23">
        <f t="shared" si="7"/>
        <v>6</v>
      </c>
      <c r="V12">
        <f t="shared" si="0"/>
        <v>13</v>
      </c>
      <c r="W12">
        <f t="shared" si="8"/>
        <v>6</v>
      </c>
      <c r="X12" t="str">
        <f>D12&amp;COUNTIF(D$1:D12,D12)</f>
        <v>cory2</v>
      </c>
      <c r="Y12" t="str">
        <f>D12&amp;E12&amp;COUNTIFS(D$1:D12,D12,E$1:E12,E12)</f>
        <v>coryRB1</v>
      </c>
      <c r="Z12" t="s">
        <v>120</v>
      </c>
      <c r="AA12" t="s">
        <v>130</v>
      </c>
    </row>
    <row r="13" spans="1:38" x14ac:dyDescent="0.25">
      <c r="A13">
        <f t="shared" si="9"/>
        <v>12</v>
      </c>
      <c r="B13">
        <f>MATCH(A13,'ROS Proj'!$AI$2:$AI$561,0)</f>
        <v>142</v>
      </c>
      <c r="C13" t="str">
        <f>INDEX('ROS Proj'!$A$2:$A$561,$B13)</f>
        <v>DeAndre Hopkins</v>
      </c>
      <c r="D13" t="str">
        <f>IFERROR(INDEX(Rosters!$C$2:$C$155,MATCH($C13,Rosters!$B$2:$B$155,0)),"FA")</f>
        <v>aj</v>
      </c>
      <c r="E13" t="str">
        <f>INDEX('ROS Proj'!$B$2:$B$561,$B13)</f>
        <v>WR</v>
      </c>
      <c r="F13" t="str">
        <f>E13&amp;COUNTIF(E$1:E13,E13)</f>
        <v>WR3</v>
      </c>
      <c r="G13">
        <f t="shared" si="1"/>
        <v>0</v>
      </c>
      <c r="H13">
        <f t="shared" si="2"/>
        <v>-1</v>
      </c>
      <c r="I13" t="str">
        <f t="shared" si="3"/>
        <v>WR15-22</v>
      </c>
      <c r="J13" t="str">
        <f t="shared" si="4"/>
        <v>WR1-6</v>
      </c>
      <c r="K13" s="2">
        <f>INDEX('ROS Proj'!$T$2:$T$561,$B13)</f>
        <v>13.31142857142857</v>
      </c>
      <c r="L13" s="23">
        <f>INDEX('ROS Proj'!$AL$2:$AL$561,$B13)</f>
        <v>7</v>
      </c>
      <c r="M13" s="2">
        <f>SQRT(IF(E13="K",SUMIFS('K Proj'!$P$2:$P$508,'K Proj'!$B$2:$B$508,$C13,'K Proj'!$A$2:$A$508,"&gt;"&amp;Week,'K Proj'!$A$2:$A$508,"&lt;=13"),IF(E13="D",SUMIFS('D Proj'!$N$2:$N$513,'D Proj'!$B$2:$B$513,$C13,'D Proj'!$A$2:$A$513,"&gt;"&amp;Week,'D Proj'!$A$2:$A$513,"&lt;=13"),SUMIFS('F Proj'!$J$2:$J$7669,'F Proj'!$B$2:$B$7669,$C13,'F Proj'!$A$2:$A$7669,"&gt;"&amp;Week,'F Proj'!$A$2:$A$7669,"&lt;=13"))))</f>
        <v>19.343153827646617</v>
      </c>
      <c r="N13" s="2">
        <f t="shared" si="5"/>
        <v>1.4531238119073442</v>
      </c>
      <c r="O13" s="2">
        <f t="shared" si="10"/>
        <v>10.548120881764769</v>
      </c>
      <c r="P13" s="2">
        <f t="shared" si="11"/>
        <v>16.074736261092372</v>
      </c>
      <c r="Q13" s="2">
        <f>K13-VLOOKUP($E13,Scores!$AG$1:$AM$7,7,FALSE)</f>
        <v>7.2585714285714271</v>
      </c>
      <c r="R13" s="2">
        <f>O13-VLOOKUP($E13,Scores!$AG$1:$AM$7,7,FALSE)</f>
        <v>4.4952637389076262</v>
      </c>
      <c r="S13" s="2">
        <f>P13-VLOOKUP($E13,Scores!$AG$1:$AM$7,7,FALSE)</f>
        <v>10.02187911823523</v>
      </c>
      <c r="T13">
        <f t="shared" si="6"/>
        <v>22</v>
      </c>
      <c r="U13" s="23">
        <f t="shared" si="7"/>
        <v>6</v>
      </c>
      <c r="V13">
        <f t="shared" si="0"/>
        <v>15</v>
      </c>
      <c r="W13">
        <f t="shared" si="8"/>
        <v>1</v>
      </c>
      <c r="X13" t="str">
        <f>D13&amp;COUNTIF(D$1:D13,D13)</f>
        <v>aj1</v>
      </c>
      <c r="Y13" t="str">
        <f>D13&amp;E13&amp;COUNTIFS(D$1:D13,D13,E$1:E13,E13)</f>
        <v>ajWR1</v>
      </c>
      <c r="Z13" t="s">
        <v>1288</v>
      </c>
      <c r="AA13" t="s">
        <v>120</v>
      </c>
    </row>
    <row r="14" spans="1:38" x14ac:dyDescent="0.25">
      <c r="A14">
        <f t="shared" si="9"/>
        <v>13</v>
      </c>
      <c r="B14">
        <f>MATCH(A14,'ROS Proj'!$AI$2:$AI$561,0)</f>
        <v>423</v>
      </c>
      <c r="C14" t="str">
        <f>INDEX('ROS Proj'!$A$2:$A$561,$B14)</f>
        <v>Saquon Barkley</v>
      </c>
      <c r="D14" t="str">
        <f>IFERROR(INDEX(Rosters!$C$2:$C$155,MATCH($C14,Rosters!$B$2:$B$155,0)),"FA")</f>
        <v>lucas</v>
      </c>
      <c r="E14" t="str">
        <f>INDEX('ROS Proj'!$B$2:$B$561,$B14)</f>
        <v>RB</v>
      </c>
      <c r="F14" t="str">
        <f>E14&amp;COUNTIF(E$1:E14,E14)</f>
        <v>RB10</v>
      </c>
      <c r="G14">
        <f t="shared" si="1"/>
        <v>0</v>
      </c>
      <c r="H14">
        <f t="shared" si="2"/>
        <v>-1</v>
      </c>
      <c r="I14" t="str">
        <f t="shared" si="3"/>
        <v>RB18-37</v>
      </c>
      <c r="J14" t="str">
        <f t="shared" si="4"/>
        <v>RB4-4</v>
      </c>
      <c r="K14" s="2">
        <f>INDEX('ROS Proj'!$T$2:$T$561,$B14)</f>
        <v>13.147142857142857</v>
      </c>
      <c r="L14" s="23">
        <f>INDEX('ROS Proj'!$AL$2:$AL$561,$B14)</f>
        <v>7</v>
      </c>
      <c r="M14" s="2">
        <f>SQRT(IF(E14="K",SUMIFS('K Proj'!$P$2:$P$508,'K Proj'!$B$2:$B$508,$C14,'K Proj'!$A$2:$A$508,"&gt;"&amp;Week,'K Proj'!$A$2:$A$508,"&lt;=13"),IF(E14="D",SUMIFS('D Proj'!$N$2:$N$513,'D Proj'!$B$2:$B$513,$C14,'D Proj'!$A$2:$A$513,"&gt;"&amp;Week,'D Proj'!$A$2:$A$513,"&lt;=13"),SUMIFS('F Proj'!$J$2:$J$7669,'F Proj'!$B$2:$B$7669,$C14,'F Proj'!$A$2:$A$7669,"&gt;"&amp;Week,'F Proj'!$A$2:$A$7669,"&lt;=13"))))</f>
        <v>21.740917643926625</v>
      </c>
      <c r="N14" s="2">
        <f t="shared" si="5"/>
        <v>1.6536610182276039</v>
      </c>
      <c r="O14" s="2">
        <f t="shared" si="10"/>
        <v>10.041297479439054</v>
      </c>
      <c r="P14" s="2">
        <f t="shared" si="11"/>
        <v>16.252988234846661</v>
      </c>
      <c r="Q14" s="2">
        <f>K14-VLOOKUP($E14,Scores!$AG$1:$AM$7,7,FALSE)</f>
        <v>7.2785714285714276</v>
      </c>
      <c r="R14" s="2">
        <f>O14-VLOOKUP($E14,Scores!$AG$1:$AM$7,7,FALSE)</f>
        <v>4.1727260508676247</v>
      </c>
      <c r="S14" s="2">
        <f>P14-VLOOKUP($E14,Scores!$AG$1:$AM$7,7,FALSE)</f>
        <v>10.384416806275233</v>
      </c>
      <c r="T14">
        <f t="shared" si="6"/>
        <v>37</v>
      </c>
      <c r="U14" s="23">
        <f t="shared" si="7"/>
        <v>4</v>
      </c>
      <c r="V14">
        <f t="shared" si="0"/>
        <v>18</v>
      </c>
      <c r="W14">
        <f t="shared" si="8"/>
        <v>4</v>
      </c>
      <c r="X14" t="str">
        <f>D14&amp;COUNTIF(D$1:D14,D14)</f>
        <v>lucas1</v>
      </c>
      <c r="Y14" t="str">
        <f>D14&amp;E14&amp;COUNTIFS(D$1:D14,D14,E$1:E14,E14)</f>
        <v>lucasRB1</v>
      </c>
      <c r="Z14" t="s">
        <v>93</v>
      </c>
      <c r="AA14" t="s">
        <v>1288</v>
      </c>
    </row>
    <row r="15" spans="1:38" x14ac:dyDescent="0.25">
      <c r="A15">
        <f t="shared" si="9"/>
        <v>14</v>
      </c>
      <c r="B15">
        <f>MATCH(A15,'ROS Proj'!$AI$2:$AI$561,0)</f>
        <v>283</v>
      </c>
      <c r="C15" t="str">
        <f>INDEX('ROS Proj'!$A$2:$A$561,$B15)</f>
        <v>Keenan Allen</v>
      </c>
      <c r="D15" t="str">
        <f>IFERROR(INDEX(Rosters!$C$2:$C$155,MATCH($C15,Rosters!$B$2:$B$155,0)),"FA")</f>
        <v>chad</v>
      </c>
      <c r="E15" t="str">
        <f>INDEX('ROS Proj'!$B$2:$B$561,$B15)</f>
        <v>WR</v>
      </c>
      <c r="F15" t="str">
        <f>E15&amp;COUNTIF(E$1:E15,E15)</f>
        <v>WR4</v>
      </c>
      <c r="G15">
        <f t="shared" si="1"/>
        <v>0</v>
      </c>
      <c r="H15">
        <f t="shared" si="2"/>
        <v>-4</v>
      </c>
      <c r="I15" t="str">
        <f t="shared" si="3"/>
        <v>WR17-37</v>
      </c>
      <c r="J15" t="str">
        <f t="shared" si="4"/>
        <v>WR1-6</v>
      </c>
      <c r="K15" s="2">
        <f>INDEX('ROS Proj'!$T$2:$T$561,$B15)</f>
        <v>13.055714285714286</v>
      </c>
      <c r="L15" s="23">
        <f>INDEX('ROS Proj'!$AL$2:$AL$561,$B15)</f>
        <v>7</v>
      </c>
      <c r="M15" s="2">
        <f>SQRT(IF(E15="K",SUMIFS('K Proj'!$P$2:$P$508,'K Proj'!$B$2:$B$508,$C15,'K Proj'!$A$2:$A$508,"&gt;"&amp;Week,'K Proj'!$A$2:$A$508,"&lt;=13"),IF(E15="D",SUMIFS('D Proj'!$N$2:$N$513,'D Proj'!$B$2:$B$513,$C15,'D Proj'!$A$2:$A$513,"&gt;"&amp;Week,'D Proj'!$A$2:$A$513,"&lt;=13"),SUMIFS('F Proj'!$J$2:$J$7669,'F Proj'!$B$2:$B$7669,$C15,'F Proj'!$A$2:$A$7669,"&gt;"&amp;Week,'F Proj'!$A$2:$A$7669,"&lt;=13"))))</f>
        <v>18.941858409353607</v>
      </c>
      <c r="N15" s="2">
        <f t="shared" si="5"/>
        <v>1.4508481110129692</v>
      </c>
      <c r="O15" s="2">
        <f t="shared" si="10"/>
        <v>10.349734512949485</v>
      </c>
      <c r="P15" s="2">
        <f t="shared" si="11"/>
        <v>15.761694058479085</v>
      </c>
      <c r="Q15" s="2">
        <f>K15-VLOOKUP($E15,Scores!$AG$1:$AM$7,7,FALSE)</f>
        <v>7.0028571428571436</v>
      </c>
      <c r="R15" s="2">
        <f>O15-VLOOKUP($E15,Scores!$AG$1:$AM$7,7,FALSE)</f>
        <v>4.2968773700923428</v>
      </c>
      <c r="S15" s="2">
        <f>P15-VLOOKUP($E15,Scores!$AG$1:$AM$7,7,FALSE)</f>
        <v>9.7088369156219425</v>
      </c>
      <c r="T15">
        <f t="shared" si="6"/>
        <v>37</v>
      </c>
      <c r="U15" s="23">
        <f t="shared" si="7"/>
        <v>6</v>
      </c>
      <c r="V15">
        <f t="shared" si="0"/>
        <v>17</v>
      </c>
      <c r="W15">
        <f t="shared" si="8"/>
        <v>1</v>
      </c>
      <c r="X15" t="str">
        <f>D15&amp;COUNTIF(D$1:D15,D15)</f>
        <v>chad3</v>
      </c>
      <c r="Y15" t="str">
        <f>D15&amp;E15&amp;COUNTIFS(D$1:D15,D15,E$1:E15,E15)</f>
        <v>chadWR1</v>
      </c>
      <c r="Z15" t="s">
        <v>127</v>
      </c>
      <c r="AA15" t="s">
        <v>154</v>
      </c>
    </row>
    <row r="16" spans="1:38" x14ac:dyDescent="0.25">
      <c r="A16">
        <f t="shared" si="9"/>
        <v>15</v>
      </c>
      <c r="B16">
        <f>MATCH(A16,'ROS Proj'!$AI$2:$AI$561,0)</f>
        <v>478</v>
      </c>
      <c r="C16" t="str">
        <f>INDEX('ROS Proj'!$A$2:$A$561,$B16)</f>
        <v>Tyreek Hill</v>
      </c>
      <c r="D16" t="str">
        <f>IFERROR(INDEX(Rosters!$C$2:$C$155,MATCH($C16,Rosters!$B$2:$B$155,0)),"FA")</f>
        <v>matty</v>
      </c>
      <c r="E16" t="str">
        <f>INDEX('ROS Proj'!$B$2:$B$561,$B16)</f>
        <v>WR</v>
      </c>
      <c r="F16" t="str">
        <f>E16&amp;COUNTIF(E$1:E16,E16)</f>
        <v>WR5</v>
      </c>
      <c r="G16">
        <f t="shared" si="1"/>
        <v>0</v>
      </c>
      <c r="H16">
        <f t="shared" si="2"/>
        <v>8</v>
      </c>
      <c r="I16" t="str">
        <f t="shared" si="3"/>
        <v>WR18-38</v>
      </c>
      <c r="J16" t="str">
        <f t="shared" si="4"/>
        <v>WR1-6</v>
      </c>
      <c r="K16" s="2">
        <f>INDEX('ROS Proj'!$T$2:$T$561,$B16)</f>
        <v>13.037142857142857</v>
      </c>
      <c r="L16" s="23">
        <f>INDEX('ROS Proj'!$AL$2:$AL$561,$B16)</f>
        <v>7</v>
      </c>
      <c r="M16" s="2">
        <f>SQRT(IF(E16="K",SUMIFS('K Proj'!$P$2:$P$508,'K Proj'!$B$2:$B$508,$C16,'K Proj'!$A$2:$A$508,"&gt;"&amp;Week,'K Proj'!$A$2:$A$508,"&lt;=13"),IF(E16="D",SUMIFS('D Proj'!$N$2:$N$513,'D Proj'!$B$2:$B$513,$C16,'D Proj'!$A$2:$A$513,"&gt;"&amp;Week,'D Proj'!$A$2:$A$513,"&lt;=13"),SUMIFS('F Proj'!$J$2:$J$7669,'F Proj'!$B$2:$B$7669,$C16,'F Proj'!$A$2:$A$7669,"&gt;"&amp;Week,'F Proj'!$A$2:$A$7669,"&lt;=13"))))</f>
        <v>20.56878946365099</v>
      </c>
      <c r="N16" s="2">
        <f t="shared" si="5"/>
        <v>1.5777068402975776</v>
      </c>
      <c r="O16" s="2">
        <f t="shared" si="10"/>
        <v>10.098744362335575</v>
      </c>
      <c r="P16" s="2">
        <f t="shared" si="11"/>
        <v>15.975541351950142</v>
      </c>
      <c r="Q16" s="2">
        <f>K16-VLOOKUP($E16,Scores!$AG$1:$AM$7,7,FALSE)</f>
        <v>6.9842857142857149</v>
      </c>
      <c r="R16" s="2">
        <f>O16-VLOOKUP($E16,Scores!$AG$1:$AM$7,7,FALSE)</f>
        <v>4.0458872194784323</v>
      </c>
      <c r="S16" s="2">
        <f>P16-VLOOKUP($E16,Scores!$AG$1:$AM$7,7,FALSE)</f>
        <v>9.9226842090929992</v>
      </c>
      <c r="T16">
        <f t="shared" si="6"/>
        <v>38</v>
      </c>
      <c r="U16" s="23">
        <f t="shared" si="7"/>
        <v>6</v>
      </c>
      <c r="V16">
        <f t="shared" si="0"/>
        <v>18</v>
      </c>
      <c r="W16">
        <f t="shared" si="8"/>
        <v>1</v>
      </c>
      <c r="X16" t="str">
        <f>D16&amp;COUNTIF(D$1:D16,D16)</f>
        <v>matty3</v>
      </c>
      <c r="Y16" t="str">
        <f>D16&amp;E16&amp;COUNTIFS(D$1:D16,D16,E$1:E16,E16)</f>
        <v>mattyWR1</v>
      </c>
      <c r="Z16" t="s">
        <v>130</v>
      </c>
      <c r="AA16" t="s">
        <v>124</v>
      </c>
    </row>
    <row r="17" spans="1:27" x14ac:dyDescent="0.25">
      <c r="A17">
        <f t="shared" si="9"/>
        <v>16</v>
      </c>
      <c r="B17">
        <f>MATCH(A17,'ROS Proj'!$AI$2:$AI$561,0)</f>
        <v>350</v>
      </c>
      <c r="C17" t="str">
        <f>INDEX('ROS Proj'!$A$2:$A$561,$B17)</f>
        <v>Michael Thomas</v>
      </c>
      <c r="D17" t="str">
        <f>IFERROR(INDEX(Rosters!$C$2:$C$155,MATCH($C17,Rosters!$B$2:$B$155,0)),"FA")</f>
        <v>cory</v>
      </c>
      <c r="E17" t="str">
        <f>INDEX('ROS Proj'!$B$2:$B$561,$B17)</f>
        <v>WR</v>
      </c>
      <c r="F17" t="str">
        <f>E17&amp;COUNTIF(E$1:E17,E17)</f>
        <v>WR6</v>
      </c>
      <c r="G17">
        <f t="shared" si="1"/>
        <v>0</v>
      </c>
      <c r="H17">
        <f t="shared" si="2"/>
        <v>-8</v>
      </c>
      <c r="I17" t="str">
        <f t="shared" si="3"/>
        <v>WR17-37</v>
      </c>
      <c r="J17" t="str">
        <f t="shared" si="4"/>
        <v>WR1-6</v>
      </c>
      <c r="K17" s="2">
        <f>INDEX('ROS Proj'!$T$2:$T$561,$B17)</f>
        <v>12.81</v>
      </c>
      <c r="L17" s="23">
        <f>INDEX('ROS Proj'!$AL$2:$AL$561,$B17)</f>
        <v>7</v>
      </c>
      <c r="M17" s="2">
        <f>SQRT(IF(E17="K",SUMIFS('K Proj'!$P$2:$P$508,'K Proj'!$B$2:$B$508,$C17,'K Proj'!$A$2:$A$508,"&gt;"&amp;Week,'K Proj'!$A$2:$A$508,"&lt;=13"),IF(E17="D",SUMIFS('D Proj'!$N$2:$N$513,'D Proj'!$B$2:$B$513,$C17,'D Proj'!$A$2:$A$513,"&gt;"&amp;Week,'D Proj'!$A$2:$A$513,"&lt;=13"),SUMIFS('F Proj'!$J$2:$J$7669,'F Proj'!$B$2:$B$7669,$C17,'F Proj'!$A$2:$A$7669,"&gt;"&amp;Week,'F Proj'!$A$2:$A$7669,"&lt;=13"))))</f>
        <v>18.250136985787258</v>
      </c>
      <c r="N17" s="2">
        <f t="shared" si="5"/>
        <v>1.4246789216071238</v>
      </c>
      <c r="O17" s="2">
        <f t="shared" si="10"/>
        <v>10.202837573458964</v>
      </c>
      <c r="P17" s="2">
        <f t="shared" si="11"/>
        <v>15.417162426541037</v>
      </c>
      <c r="Q17" s="2">
        <f>K17-VLOOKUP($E17,Scores!$AG$1:$AM$7,7,FALSE)</f>
        <v>6.757142857142858</v>
      </c>
      <c r="R17" s="2">
        <f>O17-VLOOKUP($E17,Scores!$AG$1:$AM$7,7,FALSE)</f>
        <v>4.149980430601822</v>
      </c>
      <c r="S17" s="2">
        <f>P17-VLOOKUP($E17,Scores!$AG$1:$AM$7,7,FALSE)</f>
        <v>9.364305283683894</v>
      </c>
      <c r="T17">
        <f t="shared" si="6"/>
        <v>37</v>
      </c>
      <c r="U17" s="23">
        <f t="shared" si="7"/>
        <v>6</v>
      </c>
      <c r="V17">
        <f t="shared" si="0"/>
        <v>17</v>
      </c>
      <c r="W17">
        <f t="shared" si="8"/>
        <v>1</v>
      </c>
      <c r="X17" t="str">
        <f>D17&amp;COUNTIF(D$1:D17,D17)</f>
        <v>cory3</v>
      </c>
      <c r="Y17" t="str">
        <f>D17&amp;E17&amp;COUNTIFS(D$1:D17,D17,E$1:E17,E17)</f>
        <v>coryWR2</v>
      </c>
      <c r="Z17" t="s">
        <v>86</v>
      </c>
      <c r="AA17" t="s">
        <v>110</v>
      </c>
    </row>
    <row r="18" spans="1:27" x14ac:dyDescent="0.25">
      <c r="A18">
        <f t="shared" si="9"/>
        <v>17</v>
      </c>
      <c r="B18">
        <f>MATCH(A18,'ROS Proj'!$AI$2:$AI$561,0)</f>
        <v>53</v>
      </c>
      <c r="C18" t="str">
        <f>INDEX('ROS Proj'!$A$2:$A$561,$B18)</f>
        <v>Brandin Cooks</v>
      </c>
      <c r="D18" t="str">
        <f>IFERROR(INDEX(Rosters!$C$2:$C$155,MATCH($C18,Rosters!$B$2:$B$155,0)),"FA")</f>
        <v>perry</v>
      </c>
      <c r="E18" t="str">
        <f>INDEX('ROS Proj'!$B$2:$B$561,$B18)</f>
        <v>WR</v>
      </c>
      <c r="F18" t="str">
        <f>E18&amp;COUNTIF(E$1:E18,E18)</f>
        <v>WR7</v>
      </c>
      <c r="G18">
        <f t="shared" si="1"/>
        <v>0</v>
      </c>
      <c r="H18">
        <f t="shared" si="2"/>
        <v>15</v>
      </c>
      <c r="I18" t="str">
        <f t="shared" si="3"/>
        <v>WR17-37</v>
      </c>
      <c r="J18" t="str">
        <f t="shared" si="4"/>
        <v>WR1-6</v>
      </c>
      <c r="K18" s="2">
        <f>INDEX('ROS Proj'!$T$2:$T$561,$B18)</f>
        <v>12.792857142857143</v>
      </c>
      <c r="L18" s="23">
        <f>INDEX('ROS Proj'!$AL$2:$AL$561,$B18)</f>
        <v>7</v>
      </c>
      <c r="M18" s="2">
        <f>SQRT(IF(E18="K",SUMIFS('K Proj'!$P$2:$P$508,'K Proj'!$B$2:$B$508,$C18,'K Proj'!$A$2:$A$508,"&gt;"&amp;Week,'K Proj'!$A$2:$A$508,"&lt;=13"),IF(E18="D",SUMIFS('D Proj'!$N$2:$N$513,'D Proj'!$B$2:$B$513,$C18,'D Proj'!$A$2:$A$513,"&gt;"&amp;Week,'D Proj'!$A$2:$A$513,"&lt;=13"),SUMIFS('F Proj'!$J$2:$J$7669,'F Proj'!$B$2:$B$7669,$C18,'F Proj'!$A$2:$A$7669,"&gt;"&amp;Week,'F Proj'!$A$2:$A$7669,"&lt;=13"))))</f>
        <v>18.19810429687664</v>
      </c>
      <c r="N18" s="2">
        <f t="shared" si="5"/>
        <v>1.4225207155570796</v>
      </c>
      <c r="O18" s="2">
        <f t="shared" si="10"/>
        <v>10.193127957589052</v>
      </c>
      <c r="P18" s="2">
        <f t="shared" si="11"/>
        <v>15.392586328125233</v>
      </c>
      <c r="Q18" s="2">
        <f>K18-VLOOKUP($E18,Scores!$AG$1:$AM$7,7,FALSE)</f>
        <v>6.74</v>
      </c>
      <c r="R18" s="2">
        <f>O18-VLOOKUP($E18,Scores!$AG$1:$AM$7,7,FALSE)</f>
        <v>4.1402708147319096</v>
      </c>
      <c r="S18" s="2">
        <f>P18-VLOOKUP($E18,Scores!$AG$1:$AM$7,7,FALSE)</f>
        <v>9.3397291852680908</v>
      </c>
      <c r="T18">
        <f t="shared" si="6"/>
        <v>37</v>
      </c>
      <c r="U18" s="23">
        <f t="shared" si="7"/>
        <v>6</v>
      </c>
      <c r="V18">
        <f t="shared" si="0"/>
        <v>17</v>
      </c>
      <c r="W18">
        <f t="shared" si="8"/>
        <v>1</v>
      </c>
      <c r="X18" t="str">
        <f>D18&amp;COUNTIF(D$1:D18,D18)</f>
        <v>perry2</v>
      </c>
      <c r="Y18" t="str">
        <f>D18&amp;E18&amp;COUNTIFS(D$1:D18,D18,E$1:E18,E18)</f>
        <v>perryWR1</v>
      </c>
      <c r="Z18" t="s">
        <v>97</v>
      </c>
      <c r="AA18" t="s">
        <v>108</v>
      </c>
    </row>
    <row r="19" spans="1:27" x14ac:dyDescent="0.25">
      <c r="A19">
        <f t="shared" si="9"/>
        <v>18</v>
      </c>
      <c r="B19">
        <f>MATCH(A19,'ROS Proj'!$AI$2:$AI$561,0)</f>
        <v>353</v>
      </c>
      <c r="C19" t="str">
        <f>INDEX('ROS Proj'!$A$2:$A$561,$B19)</f>
        <v>Mike Evans</v>
      </c>
      <c r="D19" t="str">
        <f>IFERROR(INDEX(Rosters!$C$2:$C$155,MATCH($C19,Rosters!$B$2:$B$155,0)),"FA")</f>
        <v>aj</v>
      </c>
      <c r="E19" t="str">
        <f>INDEX('ROS Proj'!$B$2:$B$561,$B19)</f>
        <v>WR</v>
      </c>
      <c r="F19" t="str">
        <f>E19&amp;COUNTIF(E$1:E19,E19)</f>
        <v>WR8</v>
      </c>
      <c r="G19">
        <f t="shared" si="1"/>
        <v>0</v>
      </c>
      <c r="H19">
        <f t="shared" si="2"/>
        <v>2</v>
      </c>
      <c r="I19" t="str">
        <f t="shared" si="3"/>
        <v>WR25-39</v>
      </c>
      <c r="J19" t="str">
        <f t="shared" si="4"/>
        <v>WR3-7</v>
      </c>
      <c r="K19" s="2">
        <f>INDEX('ROS Proj'!$T$2:$T$561,$B19)</f>
        <v>11.08625</v>
      </c>
      <c r="L19" s="23">
        <f>INDEX('ROS Proj'!$AL$2:$AL$561,$B19)</f>
        <v>8</v>
      </c>
      <c r="M19" s="2">
        <f>SQRT(IF(E19="K",SUMIFS('K Proj'!$P$2:$P$508,'K Proj'!$B$2:$B$508,$C19,'K Proj'!$A$2:$A$508,"&gt;"&amp;Week,'K Proj'!$A$2:$A$508,"&lt;=13"),IF(E19="D",SUMIFS('D Proj'!$N$2:$N$513,'D Proj'!$B$2:$B$513,$C19,'D Proj'!$A$2:$A$513,"&gt;"&amp;Week,'D Proj'!$A$2:$A$513,"&lt;=13"),SUMIFS('F Proj'!$J$2:$J$7669,'F Proj'!$B$2:$B$7669,$C19,'F Proj'!$A$2:$A$7669,"&gt;"&amp;Week,'F Proj'!$A$2:$A$7669,"&lt;=13"))))</f>
        <v>18.611896733003867</v>
      </c>
      <c r="N19" s="2">
        <f t="shared" si="5"/>
        <v>1.6788270815653505</v>
      </c>
      <c r="O19" s="2">
        <f t="shared" si="10"/>
        <v>8.7597629083745154</v>
      </c>
      <c r="P19" s="2">
        <f t="shared" si="11"/>
        <v>13.412737091625484</v>
      </c>
      <c r="Q19" s="2">
        <f>K19-VLOOKUP($E19,Scores!$AG$1:$AM$7,7,FALSE)</f>
        <v>5.0333928571428572</v>
      </c>
      <c r="R19" s="2">
        <f>O19-VLOOKUP($E19,Scores!$AG$1:$AM$7,7,FALSE)</f>
        <v>2.7069057655173729</v>
      </c>
      <c r="S19" s="2">
        <f>P19-VLOOKUP($E19,Scores!$AG$1:$AM$7,7,FALSE)</f>
        <v>7.3598799487683415</v>
      </c>
      <c r="T19">
        <f t="shared" si="6"/>
        <v>39</v>
      </c>
      <c r="U19" s="23">
        <f t="shared" si="7"/>
        <v>7</v>
      </c>
      <c r="V19">
        <f t="shared" si="0"/>
        <v>25</v>
      </c>
      <c r="W19">
        <f t="shared" si="8"/>
        <v>3</v>
      </c>
      <c r="X19" t="str">
        <f>D19&amp;COUNTIF(D$1:D19,D19)</f>
        <v>aj2</v>
      </c>
      <c r="Y19" t="str">
        <f>D19&amp;E19&amp;COUNTIFS(D$1:D19,D19,E$1:E19,E19)</f>
        <v>ajWR2</v>
      </c>
      <c r="Z19" t="s">
        <v>191</v>
      </c>
      <c r="AA19" t="s">
        <v>100</v>
      </c>
    </row>
    <row r="20" spans="1:27" x14ac:dyDescent="0.25">
      <c r="A20">
        <f t="shared" si="9"/>
        <v>19</v>
      </c>
      <c r="B20">
        <f>MATCH(A20,'ROS Proj'!$AI$2:$AI$561,0)</f>
        <v>302</v>
      </c>
      <c r="C20" t="str">
        <f>INDEX('ROS Proj'!$A$2:$A$561,$B20)</f>
        <v>Lamar Miller</v>
      </c>
      <c r="D20" t="str">
        <f>IFERROR(INDEX(Rosters!$C$2:$C$155,MATCH($C20,Rosters!$B$2:$B$155,0)),"FA")</f>
        <v>comp</v>
      </c>
      <c r="E20" t="str">
        <f>INDEX('ROS Proj'!$B$2:$B$561,$B20)</f>
        <v>RB</v>
      </c>
      <c r="F20" t="str">
        <f>E20&amp;COUNTIF(E$1:E20,E20)</f>
        <v>RB11</v>
      </c>
      <c r="G20">
        <f t="shared" si="1"/>
        <v>0</v>
      </c>
      <c r="H20">
        <f t="shared" si="2"/>
        <v>2</v>
      </c>
      <c r="I20" t="str">
        <f t="shared" si="3"/>
        <v>RB18-38</v>
      </c>
      <c r="J20" t="str">
        <f t="shared" si="4"/>
        <v>RB6-6</v>
      </c>
      <c r="K20" s="2">
        <f>INDEX('ROS Proj'!$T$2:$T$561,$B20)</f>
        <v>12.65</v>
      </c>
      <c r="L20" s="23">
        <f>INDEX('ROS Proj'!$AL$2:$AL$561,$B20)</f>
        <v>7</v>
      </c>
      <c r="M20" s="2">
        <f>SQRT(IF(E20="K",SUMIFS('K Proj'!$P$2:$P$508,'K Proj'!$B$2:$B$508,$C20,'K Proj'!$A$2:$A$508,"&gt;"&amp;Week,'K Proj'!$A$2:$A$508,"&lt;=13"),IF(E20="D",SUMIFS('D Proj'!$N$2:$N$513,'D Proj'!$B$2:$B$513,$C20,'D Proj'!$A$2:$A$513,"&gt;"&amp;Week,'D Proj'!$A$2:$A$513,"&lt;=13"),SUMIFS('F Proj'!$J$2:$J$7669,'F Proj'!$B$2:$B$7669,$C20,'F Proj'!$A$2:$A$7669,"&gt;"&amp;Week,'F Proj'!$A$2:$A$7669,"&lt;=13"))))</f>
        <v>19.315421300090765</v>
      </c>
      <c r="N20" s="2">
        <f t="shared" si="5"/>
        <v>1.5269107747107324</v>
      </c>
      <c r="O20" s="2">
        <f t="shared" si="10"/>
        <v>9.8906540999870334</v>
      </c>
      <c r="P20" s="2">
        <f t="shared" si="11"/>
        <v>15.409345900012966</v>
      </c>
      <c r="Q20" s="2">
        <f>K20-VLOOKUP($E20,Scores!$AG$1:$AM$7,7,FALSE)</f>
        <v>6.7814285714285711</v>
      </c>
      <c r="R20" s="2">
        <f>O20-VLOOKUP($E20,Scores!$AG$1:$AM$7,7,FALSE)</f>
        <v>4.0220826714156042</v>
      </c>
      <c r="S20" s="2">
        <f>P20-VLOOKUP($E20,Scores!$AG$1:$AM$7,7,FALSE)</f>
        <v>9.5407744714415372</v>
      </c>
      <c r="T20">
        <f t="shared" si="6"/>
        <v>38</v>
      </c>
      <c r="U20" s="23">
        <f t="shared" si="7"/>
        <v>6</v>
      </c>
      <c r="V20">
        <f t="shared" si="0"/>
        <v>18</v>
      </c>
      <c r="W20">
        <f t="shared" si="8"/>
        <v>6</v>
      </c>
      <c r="X20" t="str">
        <f>D20&amp;COUNTIF(D$1:D20,D20)</f>
        <v>comp2</v>
      </c>
      <c r="Y20" t="str">
        <f>D20&amp;E20&amp;COUNTIFS(D$1:D20,D20,E$1:E20,E20)</f>
        <v>compRB1</v>
      </c>
      <c r="Z20" t="s">
        <v>1647</v>
      </c>
      <c r="AA20" t="s">
        <v>99</v>
      </c>
    </row>
    <row r="21" spans="1:27" x14ac:dyDescent="0.25">
      <c r="A21">
        <f t="shared" si="9"/>
        <v>20</v>
      </c>
      <c r="B21">
        <f>MATCH(A21,'ROS Proj'!$AI$2:$AI$561,0)</f>
        <v>122</v>
      </c>
      <c r="C21" t="str">
        <f>INDEX('ROS Proj'!$A$2:$A$561,$B21)</f>
        <v>Dalvin Cook</v>
      </c>
      <c r="D21" t="str">
        <f>IFERROR(INDEX(Rosters!$C$2:$C$155,MATCH($C21,Rosters!$B$2:$B$155,0)),"FA")</f>
        <v>aj</v>
      </c>
      <c r="E21" t="str">
        <f>INDEX('ROS Proj'!$B$2:$B$561,$B21)</f>
        <v>RB</v>
      </c>
      <c r="F21" t="str">
        <f>E21&amp;COUNTIF(E$1:E21,E21)</f>
        <v>RB12</v>
      </c>
      <c r="G21">
        <f t="shared" si="1"/>
        <v>0</v>
      </c>
      <c r="H21">
        <f t="shared" si="2"/>
        <v>-6</v>
      </c>
      <c r="I21" t="str">
        <f t="shared" si="3"/>
        <v>RB18-38</v>
      </c>
      <c r="J21" t="str">
        <f t="shared" si="4"/>
        <v>RB6-6</v>
      </c>
      <c r="K21" s="2">
        <f>INDEX('ROS Proj'!$T$2:$T$561,$B21)</f>
        <v>12.559999999999999</v>
      </c>
      <c r="L21" s="23">
        <f>INDEX('ROS Proj'!$AL$2:$AL$561,$B21)</f>
        <v>7</v>
      </c>
      <c r="M21" s="2">
        <f>SQRT(IF(E21="K",SUMIFS('K Proj'!$P$2:$P$508,'K Proj'!$B$2:$B$508,$C21,'K Proj'!$A$2:$A$508,"&gt;"&amp;Week,'K Proj'!$A$2:$A$508,"&lt;=13"),IF(E21="D",SUMIFS('D Proj'!$N$2:$N$513,'D Proj'!$B$2:$B$513,$C21,'D Proj'!$A$2:$A$513,"&gt;"&amp;Week,'D Proj'!$A$2:$A$513,"&lt;=13"),SUMIFS('F Proj'!$J$2:$J$7669,'F Proj'!$B$2:$B$7669,$C21,'F Proj'!$A$2:$A$7669,"&gt;"&amp;Week,'F Proj'!$A$2:$A$7669,"&lt;=13"))))</f>
        <v>19.77154015245145</v>
      </c>
      <c r="N21" s="2">
        <f t="shared" si="5"/>
        <v>1.5741672095900838</v>
      </c>
      <c r="O21" s="2">
        <f t="shared" si="10"/>
        <v>9.7354942639355055</v>
      </c>
      <c r="P21" s="2">
        <f t="shared" si="11"/>
        <v>15.384505736064492</v>
      </c>
      <c r="Q21" s="2">
        <f>K21-VLOOKUP($E21,Scores!$AG$1:$AM$7,7,FALSE)</f>
        <v>6.6914285714285695</v>
      </c>
      <c r="R21" s="2">
        <f>O21-VLOOKUP($E21,Scores!$AG$1:$AM$7,7,FALSE)</f>
        <v>3.8669228353640763</v>
      </c>
      <c r="S21" s="2">
        <f>P21-VLOOKUP($E21,Scores!$AG$1:$AM$7,7,FALSE)</f>
        <v>9.5159343074930618</v>
      </c>
      <c r="T21">
        <f t="shared" si="6"/>
        <v>38</v>
      </c>
      <c r="U21" s="23">
        <f t="shared" si="7"/>
        <v>6</v>
      </c>
      <c r="V21">
        <f t="shared" si="0"/>
        <v>18</v>
      </c>
      <c r="W21">
        <f t="shared" si="8"/>
        <v>6</v>
      </c>
      <c r="X21" t="str">
        <f>D21&amp;COUNTIF(D$1:D21,D21)</f>
        <v>aj3</v>
      </c>
      <c r="Y21" t="str">
        <f>D21&amp;E21&amp;COUNTIFS(D$1:D21,D21,E$1:E21,E21)</f>
        <v>ajRB1</v>
      </c>
      <c r="Z21" t="s">
        <v>100</v>
      </c>
      <c r="AA21" t="s">
        <v>127</v>
      </c>
    </row>
    <row r="22" spans="1:27" x14ac:dyDescent="0.25">
      <c r="A22">
        <f t="shared" si="9"/>
        <v>21</v>
      </c>
      <c r="B22">
        <f>MATCH(A22,'ROS Proj'!$AI$2:$AI$561,0)</f>
        <v>8</v>
      </c>
      <c r="C22" t="str">
        <f>INDEX('ROS Proj'!$A$2:$A$561,$B22)</f>
        <v>Adam Thielen</v>
      </c>
      <c r="D22" t="str">
        <f>IFERROR(INDEX(Rosters!$C$2:$C$155,MATCH($C22,Rosters!$B$2:$B$155,0)),"FA")</f>
        <v>seth</v>
      </c>
      <c r="E22" t="str">
        <f>INDEX('ROS Proj'!$B$2:$B$561,$B22)</f>
        <v>WR</v>
      </c>
      <c r="F22" t="str">
        <f>E22&amp;COUNTIF(E$1:E22,E22)</f>
        <v>WR9</v>
      </c>
      <c r="G22">
        <f t="shared" si="1"/>
        <v>0</v>
      </c>
      <c r="H22">
        <f t="shared" si="2"/>
        <v>-3</v>
      </c>
      <c r="I22" t="str">
        <f t="shared" si="3"/>
        <v>WR18-38</v>
      </c>
      <c r="J22" t="str">
        <f t="shared" si="4"/>
        <v>WR1-6</v>
      </c>
      <c r="K22" s="2">
        <f>INDEX('ROS Proj'!$T$2:$T$561,$B22)</f>
        <v>12.284285714285714</v>
      </c>
      <c r="L22" s="23">
        <f>INDEX('ROS Proj'!$AL$2:$AL$561,$B22)</f>
        <v>7</v>
      </c>
      <c r="M22" s="2">
        <f>SQRT(IF(E22="K",SUMIFS('K Proj'!$P$2:$P$508,'K Proj'!$B$2:$B$508,$C22,'K Proj'!$A$2:$A$508,"&gt;"&amp;Week,'K Proj'!$A$2:$A$508,"&lt;=13"),IF(E22="D",SUMIFS('D Proj'!$N$2:$N$513,'D Proj'!$B$2:$B$513,$C22,'D Proj'!$A$2:$A$513,"&gt;"&amp;Week,'D Proj'!$A$2:$A$513,"&lt;=13"),SUMIFS('F Proj'!$J$2:$J$7669,'F Proj'!$B$2:$B$7669,$C22,'F Proj'!$A$2:$A$7669,"&gt;"&amp;Week,'F Proj'!$A$2:$A$7669,"&lt;=13"))))</f>
        <v>15.641189213100136</v>
      </c>
      <c r="N22" s="2">
        <f t="shared" si="5"/>
        <v>1.2732681066600879</v>
      </c>
      <c r="O22" s="2">
        <f t="shared" si="10"/>
        <v>10.049830112414266</v>
      </c>
      <c r="P22" s="2">
        <f t="shared" si="11"/>
        <v>14.518741316157161</v>
      </c>
      <c r="Q22" s="2">
        <f>K22-VLOOKUP($E22,Scores!$AG$1:$AM$7,7,FALSE)</f>
        <v>6.2314285714285713</v>
      </c>
      <c r="R22" s="2">
        <f>O22-VLOOKUP($E22,Scores!$AG$1:$AM$7,7,FALSE)</f>
        <v>3.9969729695571239</v>
      </c>
      <c r="S22" s="2">
        <f>P22-VLOOKUP($E22,Scores!$AG$1:$AM$7,7,FALSE)</f>
        <v>8.4658841733000187</v>
      </c>
      <c r="T22">
        <f t="shared" si="6"/>
        <v>38</v>
      </c>
      <c r="U22" s="23">
        <f t="shared" si="7"/>
        <v>6</v>
      </c>
      <c r="V22">
        <f t="shared" si="0"/>
        <v>18</v>
      </c>
      <c r="W22">
        <f t="shared" si="8"/>
        <v>1</v>
      </c>
      <c r="X22" t="str">
        <f>D22&amp;COUNTIF(D$1:D22,D22)</f>
        <v>seth1</v>
      </c>
      <c r="Y22" t="str">
        <f>D22&amp;E22&amp;COUNTIFS(D$1:D22,D22,E$1:E22,E22)</f>
        <v>sethWR1</v>
      </c>
      <c r="Z22" t="s">
        <v>99</v>
      </c>
      <c r="AA22" t="s">
        <v>191</v>
      </c>
    </row>
    <row r="23" spans="1:27" x14ac:dyDescent="0.25">
      <c r="A23">
        <f t="shared" si="9"/>
        <v>22</v>
      </c>
      <c r="B23">
        <f>MATCH(A23,'ROS Proj'!$AI$2:$AI$561,0)</f>
        <v>270</v>
      </c>
      <c r="C23" t="str">
        <f>INDEX('ROS Proj'!$A$2:$A$561,$B23)</f>
        <v>JuJu Smith-Schuster</v>
      </c>
      <c r="D23" t="str">
        <f>IFERROR(INDEX(Rosters!$C$2:$C$155,MATCH($C23,Rosters!$B$2:$B$155,0)),"FA")</f>
        <v>scott</v>
      </c>
      <c r="E23" t="str">
        <f>INDEX('ROS Proj'!$B$2:$B$561,$B23)</f>
        <v>WR</v>
      </c>
      <c r="F23" t="str">
        <f>E23&amp;COUNTIF(E$1:E23,E23)</f>
        <v>WR10</v>
      </c>
      <c r="G23">
        <f t="shared" si="1"/>
        <v>0</v>
      </c>
      <c r="H23">
        <f t="shared" si="2"/>
        <v>11</v>
      </c>
      <c r="I23" t="str">
        <f t="shared" si="3"/>
        <v>WR20-39</v>
      </c>
      <c r="J23" t="str">
        <f t="shared" si="4"/>
        <v>WR1-6</v>
      </c>
      <c r="K23" s="2">
        <f>INDEX('ROS Proj'!$T$2:$T$561,$B23)</f>
        <v>11.812857142857144</v>
      </c>
      <c r="L23" s="23">
        <f>INDEX('ROS Proj'!$AL$2:$AL$561,$B23)</f>
        <v>7</v>
      </c>
      <c r="M23" s="2">
        <f>SQRT(IF(E23="K",SUMIFS('K Proj'!$P$2:$P$508,'K Proj'!$B$2:$B$508,$C23,'K Proj'!$A$2:$A$508,"&gt;"&amp;Week,'K Proj'!$A$2:$A$508,"&lt;=13"),IF(E23="D",SUMIFS('D Proj'!$N$2:$N$513,'D Proj'!$B$2:$B$513,$C23,'D Proj'!$A$2:$A$513,"&gt;"&amp;Week,'D Proj'!$A$2:$A$513,"&lt;=13"),SUMIFS('F Proj'!$J$2:$J$7669,'F Proj'!$B$2:$B$7669,$C23,'F Proj'!$A$2:$A$7669,"&gt;"&amp;Week,'F Proj'!$A$2:$A$7669,"&lt;=13"))))</f>
        <v>16.099680121045886</v>
      </c>
      <c r="N23" s="2">
        <f t="shared" si="5"/>
        <v>1.3628946770748722</v>
      </c>
      <c r="O23" s="2">
        <f t="shared" si="10"/>
        <v>9.5129028398505877</v>
      </c>
      <c r="P23" s="2">
        <f t="shared" si="11"/>
        <v>14.1128114458637</v>
      </c>
      <c r="Q23" s="2">
        <f>K23-VLOOKUP($E23,Scores!$AG$1:$AM$7,7,FALSE)</f>
        <v>5.7600000000000016</v>
      </c>
      <c r="R23" s="2">
        <f>O23-VLOOKUP($E23,Scores!$AG$1:$AM$7,7,FALSE)</f>
        <v>3.4600456969934452</v>
      </c>
      <c r="S23" s="2">
        <f>P23-VLOOKUP($E23,Scores!$AG$1:$AM$7,7,FALSE)</f>
        <v>8.0599543030065579</v>
      </c>
      <c r="T23">
        <f t="shared" si="6"/>
        <v>39</v>
      </c>
      <c r="U23" s="23">
        <f t="shared" si="7"/>
        <v>6</v>
      </c>
      <c r="V23">
        <f t="shared" si="0"/>
        <v>20</v>
      </c>
      <c r="W23">
        <f t="shared" si="8"/>
        <v>1</v>
      </c>
      <c r="X23" t="str">
        <f>D23&amp;COUNTIF(D$1:D23,D23)</f>
        <v>scott3</v>
      </c>
      <c r="Y23" t="str">
        <f>D23&amp;E23&amp;COUNTIFS(D$1:D23,D23,E$1:E23,E23)</f>
        <v>scottWR1</v>
      </c>
      <c r="Z23" t="s">
        <v>298</v>
      </c>
      <c r="AA23" t="s">
        <v>1105</v>
      </c>
    </row>
    <row r="24" spans="1:27" x14ac:dyDescent="0.25">
      <c r="A24">
        <f t="shared" si="9"/>
        <v>23</v>
      </c>
      <c r="B24">
        <f>MATCH(A24,'ROS Proj'!$AI$2:$AI$561,0)</f>
        <v>9</v>
      </c>
      <c r="C24" t="str">
        <f>INDEX('ROS Proj'!$A$2:$A$561,$B24)</f>
        <v>Adrian Peterson</v>
      </c>
      <c r="D24" t="str">
        <f>IFERROR(INDEX(Rosters!$C$2:$C$155,MATCH($C24,Rosters!$B$2:$B$155,0)),"FA")</f>
        <v>comp</v>
      </c>
      <c r="E24" t="str">
        <f>INDEX('ROS Proj'!$B$2:$B$561,$B24)</f>
        <v>RB</v>
      </c>
      <c r="F24" t="str">
        <f>E24&amp;COUNTIF(E$1:E24,E24)</f>
        <v>RB13</v>
      </c>
      <c r="G24">
        <f t="shared" si="1"/>
        <v>0</v>
      </c>
      <c r="H24">
        <f t="shared" si="2"/>
        <v>1</v>
      </c>
      <c r="I24" t="str">
        <f t="shared" si="3"/>
        <v>RB24-41</v>
      </c>
      <c r="J24" t="str">
        <f t="shared" si="4"/>
        <v>RB13-18</v>
      </c>
      <c r="K24" s="2">
        <f>INDEX('ROS Proj'!$T$2:$T$561,$B24)</f>
        <v>10.338750000000001</v>
      </c>
      <c r="L24" s="23">
        <f>INDEX('ROS Proj'!$AL$2:$AL$561,$B24)</f>
        <v>8</v>
      </c>
      <c r="M24" s="2">
        <f>SQRT(IF(E24="K",SUMIFS('K Proj'!$P$2:$P$508,'K Proj'!$B$2:$B$508,$C24,'K Proj'!$A$2:$A$508,"&gt;"&amp;Week,'K Proj'!$A$2:$A$508,"&lt;=13"),IF(E24="D",SUMIFS('D Proj'!$N$2:$N$513,'D Proj'!$B$2:$B$513,$C24,'D Proj'!$A$2:$A$513,"&gt;"&amp;Week,'D Proj'!$A$2:$A$513,"&lt;=13"),SUMIFS('F Proj'!$J$2:$J$7669,'F Proj'!$B$2:$B$7669,$C24,'F Proj'!$A$2:$A$7669,"&gt;"&amp;Week,'F Proj'!$A$2:$A$7669,"&lt;=13"))))</f>
        <v>15.62531919673963</v>
      </c>
      <c r="N24" s="2">
        <f t="shared" si="5"/>
        <v>1.5113354319177492</v>
      </c>
      <c r="O24" s="2">
        <f t="shared" si="10"/>
        <v>8.3855851004075479</v>
      </c>
      <c r="P24" s="2">
        <f t="shared" si="11"/>
        <v>12.291914899592454</v>
      </c>
      <c r="Q24" s="2">
        <f>K24-VLOOKUP($E24,Scores!$AG$1:$AM$7,7,FALSE)</f>
        <v>4.4701785714285718</v>
      </c>
      <c r="R24" s="2">
        <f>O24-VLOOKUP($E24,Scores!$AG$1:$AM$7,7,FALSE)</f>
        <v>2.5170136718361187</v>
      </c>
      <c r="S24" s="2">
        <f>P24-VLOOKUP($E24,Scores!$AG$1:$AM$7,7,FALSE)</f>
        <v>6.4233434710210249</v>
      </c>
      <c r="T24">
        <f t="shared" si="6"/>
        <v>41</v>
      </c>
      <c r="U24" s="23">
        <f t="shared" si="7"/>
        <v>18</v>
      </c>
      <c r="V24">
        <f t="shared" si="0"/>
        <v>24</v>
      </c>
      <c r="W24">
        <f t="shared" si="8"/>
        <v>13</v>
      </c>
      <c r="X24" t="str">
        <f>D24&amp;COUNTIF(D$1:D24,D24)</f>
        <v>comp3</v>
      </c>
      <c r="Y24" t="str">
        <f>D24&amp;E24&amp;COUNTIFS(D$1:D24,D24,E$1:E24,E24)</f>
        <v>compRB2</v>
      </c>
      <c r="Z24" t="s">
        <v>124</v>
      </c>
      <c r="AA24" t="s">
        <v>158</v>
      </c>
    </row>
    <row r="25" spans="1:27" x14ac:dyDescent="0.25">
      <c r="A25">
        <f t="shared" si="9"/>
        <v>24</v>
      </c>
      <c r="B25">
        <f>MATCH(A25,'ROS Proj'!$AI$2:$AI$561,0)</f>
        <v>244</v>
      </c>
      <c r="C25" t="str">
        <f>INDEX('ROS Proj'!$A$2:$A$561,$B25)</f>
        <v>Joe Mixon</v>
      </c>
      <c r="D25" t="str">
        <f>IFERROR(INDEX(Rosters!$C$2:$C$155,MATCH($C25,Rosters!$B$2:$B$155,0)),"FA")</f>
        <v>aj</v>
      </c>
      <c r="E25" t="str">
        <f>INDEX('ROS Proj'!$B$2:$B$561,$B25)</f>
        <v>RB</v>
      </c>
      <c r="F25" t="str">
        <f>E25&amp;COUNTIF(E$1:E25,E25)</f>
        <v>RB14</v>
      </c>
      <c r="G25">
        <f t="shared" si="1"/>
        <v>0</v>
      </c>
      <c r="H25">
        <f t="shared" si="2"/>
        <v>7</v>
      </c>
      <c r="I25" t="str">
        <f t="shared" si="3"/>
        <v>RB24-39</v>
      </c>
      <c r="J25" t="str">
        <f t="shared" si="4"/>
        <v>RB6-6</v>
      </c>
      <c r="K25" s="2">
        <f>INDEX('ROS Proj'!$T$2:$T$561,$B25)</f>
        <v>11.758571428571429</v>
      </c>
      <c r="L25" s="23">
        <f>INDEX('ROS Proj'!$AL$2:$AL$561,$B25)</f>
        <v>7</v>
      </c>
      <c r="M25" s="2">
        <f>SQRT(IF(E25="K",SUMIFS('K Proj'!$P$2:$P$508,'K Proj'!$B$2:$B$508,$C25,'K Proj'!$A$2:$A$508,"&gt;"&amp;Week,'K Proj'!$A$2:$A$508,"&lt;=13"),IF(E25="D",SUMIFS('D Proj'!$N$2:$N$513,'D Proj'!$B$2:$B$513,$C25,'D Proj'!$A$2:$A$513,"&gt;"&amp;Week,'D Proj'!$A$2:$A$513,"&lt;=13"),SUMIFS('F Proj'!$J$2:$J$7669,'F Proj'!$B$2:$B$7669,$C25,'F Proj'!$A$2:$A$7669,"&gt;"&amp;Week,'F Proj'!$A$2:$A$7669,"&lt;=13"))))</f>
        <v>22.926109569658781</v>
      </c>
      <c r="N25" s="2">
        <f t="shared" si="5"/>
        <v>1.9497359614580423</v>
      </c>
      <c r="O25" s="2">
        <f t="shared" si="10"/>
        <v>8.483412918620175</v>
      </c>
      <c r="P25" s="2">
        <f t="shared" si="11"/>
        <v>15.033729938522683</v>
      </c>
      <c r="Q25" s="2">
        <f>K25-VLOOKUP($E25,Scores!$AG$1:$AM$7,7,FALSE)</f>
        <v>5.89</v>
      </c>
      <c r="R25" s="2">
        <f>O25-VLOOKUP($E25,Scores!$AG$1:$AM$7,7,FALSE)</f>
        <v>2.6148414900487458</v>
      </c>
      <c r="S25" s="2">
        <f>P25-VLOOKUP($E25,Scores!$AG$1:$AM$7,7,FALSE)</f>
        <v>9.1651585099512545</v>
      </c>
      <c r="T25">
        <f t="shared" si="6"/>
        <v>39</v>
      </c>
      <c r="U25" s="23">
        <f t="shared" si="7"/>
        <v>6</v>
      </c>
      <c r="V25">
        <f t="shared" si="0"/>
        <v>24</v>
      </c>
      <c r="W25">
        <f t="shared" si="8"/>
        <v>6</v>
      </c>
      <c r="X25" t="str">
        <f>D25&amp;COUNTIF(D$1:D25,D25)</f>
        <v>aj4</v>
      </c>
      <c r="Y25" t="str">
        <f>D25&amp;E25&amp;COUNTIFS(D$1:D25,D25,E$1:E25,E25)</f>
        <v>ajRB2</v>
      </c>
      <c r="Z25" t="s">
        <v>158</v>
      </c>
      <c r="AA25" t="s">
        <v>123</v>
      </c>
    </row>
    <row r="26" spans="1:27" x14ac:dyDescent="0.25">
      <c r="A26">
        <f t="shared" si="9"/>
        <v>25</v>
      </c>
      <c r="B26">
        <f>MATCH(A26,'ROS Proj'!$AI$2:$AI$561,0)</f>
        <v>376</v>
      </c>
      <c r="C26" t="str">
        <f>INDEX('ROS Proj'!$A$2:$A$561,$B26)</f>
        <v>Odell Beckham Jr.</v>
      </c>
      <c r="D26" t="str">
        <f>IFERROR(INDEX(Rosters!$C$2:$C$155,MATCH($C26,Rosters!$B$2:$B$155,0)),"FA")</f>
        <v>seth</v>
      </c>
      <c r="E26" t="str">
        <f>INDEX('ROS Proj'!$B$2:$B$561,$B26)</f>
        <v>WR</v>
      </c>
      <c r="F26" t="str">
        <f>E26&amp;COUNTIF(E$1:E26,E26)</f>
        <v>WR11</v>
      </c>
      <c r="G26">
        <f t="shared" si="1"/>
        <v>0</v>
      </c>
      <c r="H26">
        <f t="shared" si="2"/>
        <v>-9</v>
      </c>
      <c r="I26" t="str">
        <f t="shared" si="3"/>
        <v>WR23-39</v>
      </c>
      <c r="J26" t="str">
        <f t="shared" si="4"/>
        <v>WR1-6</v>
      </c>
      <c r="K26" s="2">
        <f>INDEX('ROS Proj'!$T$2:$T$561,$B26)</f>
        <v>11.734285714285715</v>
      </c>
      <c r="L26" s="23">
        <f>INDEX('ROS Proj'!$AL$2:$AL$561,$B26)</f>
        <v>7</v>
      </c>
      <c r="M26" s="2">
        <f>SQRT(IF(E26="K",SUMIFS('K Proj'!$P$2:$P$508,'K Proj'!$B$2:$B$508,$C26,'K Proj'!$A$2:$A$508,"&gt;"&amp;Week,'K Proj'!$A$2:$A$508,"&lt;=13"),IF(E26="D",SUMIFS('D Proj'!$N$2:$N$513,'D Proj'!$B$2:$B$513,$C26,'D Proj'!$A$2:$A$513,"&gt;"&amp;Week,'D Proj'!$A$2:$A$513,"&lt;=13"),SUMIFS('F Proj'!$J$2:$J$7669,'F Proj'!$B$2:$B$7669,$C26,'F Proj'!$A$2:$A$7669,"&gt;"&amp;Week,'F Proj'!$A$2:$A$7669,"&lt;=13"))))</f>
        <v>18.383538832335848</v>
      </c>
      <c r="N26" s="2">
        <f t="shared" si="5"/>
        <v>1.5666517144673842</v>
      </c>
      <c r="O26" s="2">
        <f t="shared" si="10"/>
        <v>9.1080658810948787</v>
      </c>
      <c r="P26" s="2">
        <f t="shared" si="11"/>
        <v>14.360505547476549</v>
      </c>
      <c r="Q26" s="2">
        <f>K26-VLOOKUP($E26,Scores!$AG$1:$AM$7,7,FALSE)</f>
        <v>5.6814285714285724</v>
      </c>
      <c r="R26" s="2">
        <f>O26-VLOOKUP($E26,Scores!$AG$1:$AM$7,7,FALSE)</f>
        <v>3.0552087382377362</v>
      </c>
      <c r="S26" s="2">
        <f>P26-VLOOKUP($E26,Scores!$AG$1:$AM$7,7,FALSE)</f>
        <v>8.3076484046194068</v>
      </c>
      <c r="T26">
        <f t="shared" si="6"/>
        <v>39</v>
      </c>
      <c r="U26" s="23">
        <f t="shared" si="7"/>
        <v>6</v>
      </c>
      <c r="V26">
        <f t="shared" si="0"/>
        <v>23</v>
      </c>
      <c r="W26">
        <f t="shared" si="8"/>
        <v>1</v>
      </c>
      <c r="X26" t="str">
        <f>D26&amp;COUNTIF(D$1:D26,D26)</f>
        <v>seth2</v>
      </c>
      <c r="Y26" t="str">
        <f>D26&amp;E26&amp;COUNTIFS(D$1:D26,D26,E$1:E26,E26)</f>
        <v>sethWR2</v>
      </c>
      <c r="Z26" t="s">
        <v>45</v>
      </c>
      <c r="AA26" t="s">
        <v>86</v>
      </c>
    </row>
    <row r="27" spans="1:27" x14ac:dyDescent="0.25">
      <c r="A27">
        <f t="shared" si="9"/>
        <v>26</v>
      </c>
      <c r="B27">
        <f>MATCH(A27,'ROS Proj'!$AI$2:$AI$561,0)</f>
        <v>440</v>
      </c>
      <c r="C27" t="str">
        <f>INDEX('ROS Proj'!$A$2:$A$561,$B27)</f>
        <v>T.Y. Hilton</v>
      </c>
      <c r="D27" t="str">
        <f>IFERROR(INDEX(Rosters!$C$2:$C$155,MATCH($C27,Rosters!$B$2:$B$155,0)),"FA")</f>
        <v>comp</v>
      </c>
      <c r="E27" t="str">
        <f>INDEX('ROS Proj'!$B$2:$B$561,$B27)</f>
        <v>WR</v>
      </c>
      <c r="F27" t="str">
        <f>E27&amp;COUNTIF(E$1:E27,E27)</f>
        <v>WR12</v>
      </c>
      <c r="G27">
        <f t="shared" si="1"/>
        <v>0</v>
      </c>
      <c r="H27">
        <f t="shared" si="2"/>
        <v>14</v>
      </c>
      <c r="I27" t="str">
        <f t="shared" si="3"/>
        <v>WR25-39</v>
      </c>
      <c r="J27" t="str">
        <f t="shared" si="4"/>
        <v>WR1-6</v>
      </c>
      <c r="K27" s="2">
        <f>INDEX('ROS Proj'!$T$2:$T$561,$B27)</f>
        <v>11.284285714285714</v>
      </c>
      <c r="L27" s="23">
        <f>INDEX('ROS Proj'!$AL$2:$AL$561,$B27)</f>
        <v>7</v>
      </c>
      <c r="M27" s="2">
        <f>SQRT(IF(E27="K",SUMIFS('K Proj'!$P$2:$P$508,'K Proj'!$B$2:$B$508,$C27,'K Proj'!$A$2:$A$508,"&gt;"&amp;Week,'K Proj'!$A$2:$A$508,"&lt;=13"),IF(E27="D",SUMIFS('D Proj'!$N$2:$N$513,'D Proj'!$B$2:$B$513,$C27,'D Proj'!$A$2:$A$513,"&gt;"&amp;Week,'D Proj'!$A$2:$A$513,"&lt;=13"),SUMIFS('F Proj'!$J$2:$J$7669,'F Proj'!$B$2:$B$7669,$C27,'F Proj'!$A$2:$A$7669,"&gt;"&amp;Week,'F Proj'!$A$2:$A$7669,"&lt;=13"))))</f>
        <v>18.115658972281413</v>
      </c>
      <c r="N27" s="2">
        <f t="shared" si="5"/>
        <v>1.6053881859218875</v>
      </c>
      <c r="O27" s="2">
        <f t="shared" si="10"/>
        <v>8.6963344325312271</v>
      </c>
      <c r="P27" s="2">
        <f t="shared" si="11"/>
        <v>13.872236996040201</v>
      </c>
      <c r="Q27" s="2">
        <f>K27-VLOOKUP($E27,Scores!$AG$1:$AM$7,7,FALSE)</f>
        <v>5.2314285714285713</v>
      </c>
      <c r="R27" s="2">
        <f>O27-VLOOKUP($E27,Scores!$AG$1:$AM$7,7,FALSE)</f>
        <v>2.6434772896740846</v>
      </c>
      <c r="S27" s="2">
        <f>P27-VLOOKUP($E27,Scores!$AG$1:$AM$7,7,FALSE)</f>
        <v>7.8193798531830581</v>
      </c>
      <c r="T27">
        <f t="shared" si="6"/>
        <v>39</v>
      </c>
      <c r="U27" s="23">
        <f t="shared" si="7"/>
        <v>6</v>
      </c>
      <c r="V27">
        <f t="shared" si="0"/>
        <v>25</v>
      </c>
      <c r="W27">
        <f t="shared" si="8"/>
        <v>1</v>
      </c>
      <c r="X27" t="str">
        <f>D27&amp;COUNTIF(D$1:D27,D27)</f>
        <v>comp4</v>
      </c>
      <c r="Y27" t="str">
        <f>D27&amp;E27&amp;COUNTIFS(D$1:D27,D27,E$1:E27,E27)</f>
        <v>compWR2</v>
      </c>
      <c r="Z27" t="s">
        <v>132</v>
      </c>
      <c r="AA27" t="s">
        <v>107</v>
      </c>
    </row>
    <row r="28" spans="1:27" x14ac:dyDescent="0.25">
      <c r="A28">
        <f t="shared" si="9"/>
        <v>27</v>
      </c>
      <c r="B28">
        <f>MATCH(A28,'ROS Proj'!$AI$2:$AI$561,0)</f>
        <v>132</v>
      </c>
      <c r="C28" t="str">
        <f>INDEX('ROS Proj'!$A$2:$A$561,$B28)</f>
        <v>Davante Adams</v>
      </c>
      <c r="D28" t="str">
        <f>IFERROR(INDEX(Rosters!$C$2:$C$155,MATCH($C28,Rosters!$B$2:$B$155,0)),"FA")</f>
        <v>perry</v>
      </c>
      <c r="E28" t="str">
        <f>INDEX('ROS Proj'!$B$2:$B$561,$B28)</f>
        <v>WR</v>
      </c>
      <c r="F28" t="str">
        <f>E28&amp;COUNTIF(E$1:E28,E28)</f>
        <v>WR13</v>
      </c>
      <c r="G28">
        <f t="shared" si="1"/>
        <v>0</v>
      </c>
      <c r="H28">
        <f t="shared" si="2"/>
        <v>0</v>
      </c>
      <c r="I28" t="str">
        <f t="shared" si="3"/>
        <v>WR28-41</v>
      </c>
      <c r="J28" t="str">
        <f t="shared" si="4"/>
        <v>WR4-7</v>
      </c>
      <c r="K28" s="2">
        <f>INDEX('ROS Proj'!$T$2:$T$561,$B28)</f>
        <v>10.898571428571429</v>
      </c>
      <c r="L28" s="23">
        <f>INDEX('ROS Proj'!$AL$2:$AL$561,$B28)</f>
        <v>7</v>
      </c>
      <c r="M28" s="2">
        <f>SQRT(IF(E28="K",SUMIFS('K Proj'!$P$2:$P$508,'K Proj'!$B$2:$B$508,$C28,'K Proj'!$A$2:$A$508,"&gt;"&amp;Week,'K Proj'!$A$2:$A$508,"&lt;=13"),IF(E28="D",SUMIFS('D Proj'!$N$2:$N$513,'D Proj'!$B$2:$B$513,$C28,'D Proj'!$A$2:$A$513,"&gt;"&amp;Week,'D Proj'!$A$2:$A$513,"&lt;=13"),SUMIFS('F Proj'!$J$2:$J$7669,'F Proj'!$B$2:$B$7669,$C28,'F Proj'!$A$2:$A$7669,"&gt;"&amp;Week,'F Proj'!$A$2:$A$7669,"&lt;=13"))))</f>
        <v>16.820306180328586</v>
      </c>
      <c r="N28" s="2">
        <f t="shared" si="5"/>
        <v>1.5433496298636793</v>
      </c>
      <c r="O28" s="2">
        <f t="shared" si="10"/>
        <v>8.4956705456673465</v>
      </c>
      <c r="P28" s="2">
        <f t="shared" si="11"/>
        <v>13.301472311475512</v>
      </c>
      <c r="Q28" s="2">
        <f>K28-VLOOKUP($E28,Scores!$AG$1:$AM$7,7,FALSE)</f>
        <v>4.845714285714287</v>
      </c>
      <c r="R28" s="2">
        <f>O28-VLOOKUP($E28,Scores!$AG$1:$AM$7,7,FALSE)</f>
        <v>2.442813402810204</v>
      </c>
      <c r="S28" s="2">
        <f>P28-VLOOKUP($E28,Scores!$AG$1:$AM$7,7,FALSE)</f>
        <v>7.24861516861837</v>
      </c>
      <c r="T28">
        <f t="shared" si="6"/>
        <v>41</v>
      </c>
      <c r="U28" s="23">
        <f t="shared" si="7"/>
        <v>7</v>
      </c>
      <c r="V28">
        <f t="shared" si="0"/>
        <v>28</v>
      </c>
      <c r="W28">
        <f t="shared" si="8"/>
        <v>4</v>
      </c>
      <c r="X28" t="str">
        <f>D28&amp;COUNTIF(D$1:D28,D28)</f>
        <v>perry3</v>
      </c>
      <c r="Y28" t="str">
        <f>D28&amp;E28&amp;COUNTIFS(D$1:D28,D28,E$1:E28,E28)</f>
        <v>perryWR2</v>
      </c>
      <c r="Z28" t="s">
        <v>135</v>
      </c>
      <c r="AA28" t="s">
        <v>135</v>
      </c>
    </row>
    <row r="29" spans="1:27" x14ac:dyDescent="0.25">
      <c r="A29">
        <f t="shared" si="9"/>
        <v>28</v>
      </c>
      <c r="B29">
        <f>MATCH(A29,'ROS Proj'!$AI$2:$AI$561,0)</f>
        <v>431</v>
      </c>
      <c r="C29" t="str">
        <f>INDEX('ROS Proj'!$A$2:$A$561,$B29)</f>
        <v>Sony Michel</v>
      </c>
      <c r="D29" t="str">
        <f>IFERROR(INDEX(Rosters!$C$2:$C$155,MATCH($C29,Rosters!$B$2:$B$155,0)),"FA")</f>
        <v>devon</v>
      </c>
      <c r="E29" t="str">
        <f>INDEX('ROS Proj'!$B$2:$B$561,$B29)</f>
        <v>RB</v>
      </c>
      <c r="F29" t="str">
        <f>E29&amp;COUNTIF(E$1:E29,E29)</f>
        <v>RB15</v>
      </c>
      <c r="G29">
        <f t="shared" si="1"/>
        <v>0</v>
      </c>
      <c r="H29">
        <f t="shared" si="2"/>
        <v>50</v>
      </c>
      <c r="I29" t="str">
        <f t="shared" si="3"/>
        <v>RB27-41</v>
      </c>
      <c r="J29" t="str">
        <f t="shared" si="4"/>
        <v>RB6-6</v>
      </c>
      <c r="K29" s="2">
        <f>INDEX('ROS Proj'!$T$2:$T$561,$B29)</f>
        <v>10.885714285714286</v>
      </c>
      <c r="L29" s="23">
        <f>INDEX('ROS Proj'!$AL$2:$AL$561,$B29)</f>
        <v>7</v>
      </c>
      <c r="M29" s="2">
        <f>SQRT(IF(E29="K",SUMIFS('K Proj'!$P$2:$P$508,'K Proj'!$B$2:$B$508,$C29,'K Proj'!$A$2:$A$508,"&gt;"&amp;Week,'K Proj'!$A$2:$A$508,"&lt;=13"),IF(E29="D",SUMIFS('D Proj'!$N$2:$N$513,'D Proj'!$B$2:$B$513,$C29,'D Proj'!$A$2:$A$513,"&gt;"&amp;Week,'D Proj'!$A$2:$A$513,"&lt;=13"),SUMIFS('F Proj'!$J$2:$J$7669,'F Proj'!$B$2:$B$7669,$C29,'F Proj'!$A$2:$A$7669,"&gt;"&amp;Week,'F Proj'!$A$2:$A$7669,"&lt;=13"))))</f>
        <v>18.990376510222223</v>
      </c>
      <c r="N29" s="2">
        <f t="shared" si="5"/>
        <v>1.7445227765296005</v>
      </c>
      <c r="O29" s="2">
        <f t="shared" si="10"/>
        <v>8.1728033556825412</v>
      </c>
      <c r="P29" s="2">
        <f t="shared" si="11"/>
        <v>13.598625215746031</v>
      </c>
      <c r="Q29" s="2">
        <f>K29-VLOOKUP($E29,Scores!$AG$1:$AM$7,7,FALSE)</f>
        <v>5.0171428571428569</v>
      </c>
      <c r="R29" s="2">
        <f>O29-VLOOKUP($E29,Scores!$AG$1:$AM$7,7,FALSE)</f>
        <v>2.304231927111112</v>
      </c>
      <c r="S29" s="2">
        <f>P29-VLOOKUP($E29,Scores!$AG$1:$AM$7,7,FALSE)</f>
        <v>7.7300537871746018</v>
      </c>
      <c r="T29">
        <f t="shared" si="6"/>
        <v>41</v>
      </c>
      <c r="U29" s="23">
        <f t="shared" si="7"/>
        <v>6</v>
      </c>
      <c r="V29">
        <f t="shared" si="0"/>
        <v>27</v>
      </c>
      <c r="W29">
        <f t="shared" si="8"/>
        <v>6</v>
      </c>
      <c r="X29" t="str">
        <f>D29&amp;COUNTIF(D$1:D29,D29)</f>
        <v>devon2</v>
      </c>
      <c r="Y29" t="str">
        <f>D29&amp;E29&amp;COUNTIFS(D$1:D29,D29,E$1:E29,E29)</f>
        <v>devonRB2</v>
      </c>
      <c r="Z29" t="s">
        <v>89</v>
      </c>
      <c r="AA29" t="s">
        <v>1352</v>
      </c>
    </row>
    <row r="30" spans="1:27" x14ac:dyDescent="0.25">
      <c r="A30">
        <f t="shared" si="9"/>
        <v>29</v>
      </c>
      <c r="B30">
        <f>MATCH(A30,'ROS Proj'!$AI$2:$AI$561,0)</f>
        <v>330</v>
      </c>
      <c r="C30" t="str">
        <f>INDEX('ROS Proj'!$A$2:$A$561,$B30)</f>
        <v>Marshawn Lynch</v>
      </c>
      <c r="D30" t="str">
        <f>IFERROR(INDEX(Rosters!$C$2:$C$155,MATCH($C30,Rosters!$B$2:$B$155,0)),"FA")</f>
        <v>scott</v>
      </c>
      <c r="E30" t="str">
        <f>INDEX('ROS Proj'!$B$2:$B$561,$B30)</f>
        <v>RB</v>
      </c>
      <c r="F30" t="str">
        <f>E30&amp;COUNTIF(E$1:E30,E30)</f>
        <v>RB16</v>
      </c>
      <c r="G30">
        <f t="shared" si="1"/>
        <v>0</v>
      </c>
      <c r="H30">
        <f t="shared" si="2"/>
        <v>-3</v>
      </c>
      <c r="I30" t="str">
        <f t="shared" si="3"/>
        <v>RB25-41</v>
      </c>
      <c r="J30" t="str">
        <f t="shared" si="4"/>
        <v>RB7-6</v>
      </c>
      <c r="K30" s="2">
        <f>INDEX('ROS Proj'!$T$2:$T$561,$B30)</f>
        <v>10.827142857142857</v>
      </c>
      <c r="L30" s="23">
        <f>INDEX('ROS Proj'!$AL$2:$AL$561,$B30)</f>
        <v>7</v>
      </c>
      <c r="M30" s="2">
        <f>SQRT(IF(E30="K",SUMIFS('K Proj'!$P$2:$P$508,'K Proj'!$B$2:$B$508,$C30,'K Proj'!$A$2:$A$508,"&gt;"&amp;Week,'K Proj'!$A$2:$A$508,"&lt;=13"),IF(E30="D",SUMIFS('D Proj'!$N$2:$N$513,'D Proj'!$B$2:$B$513,$C30,'D Proj'!$A$2:$A$513,"&gt;"&amp;Week,'D Proj'!$A$2:$A$513,"&lt;=13"),SUMIFS('F Proj'!$J$2:$J$7669,'F Proj'!$B$2:$B$7669,$C30,'F Proj'!$A$2:$A$7669,"&gt;"&amp;Week,'F Proj'!$A$2:$A$7669,"&lt;=13"))))</f>
        <v>18.163433045545109</v>
      </c>
      <c r="N30" s="2">
        <f t="shared" si="5"/>
        <v>1.6775832077954316</v>
      </c>
      <c r="O30" s="2">
        <f t="shared" si="10"/>
        <v>8.2323667077792688</v>
      </c>
      <c r="P30" s="2">
        <f t="shared" si="11"/>
        <v>13.421919006506442</v>
      </c>
      <c r="Q30" s="2">
        <f>K30-VLOOKUP($E30,Scores!$AG$1:$AM$7,7,FALSE)</f>
        <v>4.9585714285714273</v>
      </c>
      <c r="R30" s="2">
        <f>O30-VLOOKUP($E30,Scores!$AG$1:$AM$7,7,FALSE)</f>
        <v>2.3637952792078396</v>
      </c>
      <c r="S30" s="2">
        <f>P30-VLOOKUP($E30,Scores!$AG$1:$AM$7,7,FALSE)</f>
        <v>7.5533475779350132</v>
      </c>
      <c r="T30">
        <f t="shared" si="6"/>
        <v>41</v>
      </c>
      <c r="U30" s="23">
        <f t="shared" si="7"/>
        <v>6</v>
      </c>
      <c r="V30">
        <f t="shared" si="0"/>
        <v>25</v>
      </c>
      <c r="W30">
        <f t="shared" si="8"/>
        <v>7</v>
      </c>
      <c r="X30" t="str">
        <f>D30&amp;COUNTIF(D$1:D30,D30)</f>
        <v>scott4</v>
      </c>
      <c r="Y30" t="str">
        <f>D30&amp;E30&amp;COUNTIFS(D$1:D30,D30,E$1:E30,E30)</f>
        <v>scottRB3</v>
      </c>
      <c r="Z30" t="s">
        <v>104</v>
      </c>
      <c r="AA30" t="s">
        <v>132</v>
      </c>
    </row>
    <row r="31" spans="1:27" x14ac:dyDescent="0.25">
      <c r="A31">
        <f t="shared" si="9"/>
        <v>30</v>
      </c>
      <c r="B31">
        <f>MATCH(A31,'ROS Proj'!$AI$2:$AI$561,0)</f>
        <v>2</v>
      </c>
      <c r="C31" t="str">
        <f>INDEX('ROS Proj'!$A$2:$A$561,$B31)</f>
        <v>A.J. Green</v>
      </c>
      <c r="D31" t="str">
        <f>IFERROR(INDEX(Rosters!$C$2:$C$155,MATCH($C31,Rosters!$B$2:$B$155,0)),"FA")</f>
        <v>devon</v>
      </c>
      <c r="E31" t="str">
        <f>INDEX('ROS Proj'!$B$2:$B$561,$B31)</f>
        <v>WR</v>
      </c>
      <c r="F31" t="str">
        <f>E31&amp;COUNTIF(E$1:E31,E31)</f>
        <v>WR14</v>
      </c>
      <c r="G31">
        <f t="shared" si="1"/>
        <v>0</v>
      </c>
      <c r="H31">
        <f t="shared" si="2"/>
        <v>-1</v>
      </c>
      <c r="I31" t="str">
        <f t="shared" si="3"/>
        <v>WR27-39</v>
      </c>
      <c r="J31" t="str">
        <f t="shared" si="4"/>
        <v>WR6-16</v>
      </c>
      <c r="K31" s="2">
        <f>INDEX('ROS Proj'!$T$2:$T$561,$B31)</f>
        <v>10.801428571428572</v>
      </c>
      <c r="L31" s="23">
        <f>INDEX('ROS Proj'!$AL$2:$AL$561,$B31)</f>
        <v>7</v>
      </c>
      <c r="M31" s="2">
        <f>SQRT(IF(E31="K",SUMIFS('K Proj'!$P$2:$P$508,'K Proj'!$B$2:$B$508,$C31,'K Proj'!$A$2:$A$508,"&gt;"&amp;Week,'K Proj'!$A$2:$A$508,"&lt;=13"),IF(E31="D",SUMIFS('D Proj'!$N$2:$N$513,'D Proj'!$B$2:$B$513,$C31,'D Proj'!$A$2:$A$513,"&gt;"&amp;Week,'D Proj'!$A$2:$A$513,"&lt;=13"),SUMIFS('F Proj'!$J$2:$J$7669,'F Proj'!$B$2:$B$7669,$C31,'F Proj'!$A$2:$A$7669,"&gt;"&amp;Week,'F Proj'!$A$2:$A$7669,"&lt;=13"))))</f>
        <v>15.496283425389457</v>
      </c>
      <c r="N31" s="2">
        <f t="shared" si="5"/>
        <v>1.4346512892173813</v>
      </c>
      <c r="O31" s="2">
        <f t="shared" si="10"/>
        <v>8.5876737963729344</v>
      </c>
      <c r="P31" s="2">
        <f t="shared" si="11"/>
        <v>13.015183346484207</v>
      </c>
      <c r="Q31" s="2">
        <f>K31-VLOOKUP($E31,Scores!$AG$1:$AM$7,7,FALSE)</f>
        <v>4.7485714285714291</v>
      </c>
      <c r="R31" s="2">
        <f>O31-VLOOKUP($E31,Scores!$AG$1:$AM$7,7,FALSE)</f>
        <v>2.5348166535157919</v>
      </c>
      <c r="S31" s="2">
        <f>P31-VLOOKUP($E31,Scores!$AG$1:$AM$7,7,FALSE)</f>
        <v>6.9623262036270646</v>
      </c>
      <c r="T31">
        <f t="shared" si="6"/>
        <v>39</v>
      </c>
      <c r="U31" s="23">
        <f t="shared" si="7"/>
        <v>16</v>
      </c>
      <c r="V31">
        <f t="shared" si="0"/>
        <v>27</v>
      </c>
      <c r="W31">
        <f t="shared" si="8"/>
        <v>6</v>
      </c>
      <c r="X31" t="str">
        <f>D31&amp;COUNTIF(D$1:D31,D31)</f>
        <v>devon3</v>
      </c>
      <c r="Y31" t="str">
        <f>D31&amp;E31&amp;COUNTIFS(D$1:D31,D31,E$1:E31,E31)</f>
        <v>devonWR1</v>
      </c>
      <c r="Z31" t="s">
        <v>113</v>
      </c>
      <c r="AA31" t="s">
        <v>104</v>
      </c>
    </row>
    <row r="32" spans="1:27" x14ac:dyDescent="0.25">
      <c r="A32">
        <f t="shared" si="9"/>
        <v>31</v>
      </c>
      <c r="B32">
        <f>MATCH(A32,'ROS Proj'!$AI$2:$AI$561,0)</f>
        <v>159</v>
      </c>
      <c r="C32" t="str">
        <f>INDEX('ROS Proj'!$A$2:$A$561,$B32)</f>
        <v>Devonta Freeman</v>
      </c>
      <c r="D32" t="str">
        <f>IFERROR(INDEX(Rosters!$C$2:$C$155,MATCH($C32,Rosters!$B$2:$B$155,0)),"FA")</f>
        <v>devon</v>
      </c>
      <c r="E32" t="str">
        <f>INDEX('ROS Proj'!$B$2:$B$561,$B32)</f>
        <v>RB</v>
      </c>
      <c r="F32" t="str">
        <f>E32&amp;COUNTIF(E$1:E32,E32)</f>
        <v>RB17</v>
      </c>
      <c r="G32">
        <f t="shared" si="1"/>
        <v>0</v>
      </c>
      <c r="H32">
        <f t="shared" si="2"/>
        <v>3</v>
      </c>
      <c r="I32" t="str">
        <f t="shared" si="3"/>
        <v>RB27-48</v>
      </c>
      <c r="J32" t="str">
        <f t="shared" si="4"/>
        <v>RB9-7</v>
      </c>
      <c r="K32" s="2">
        <f>INDEX('ROS Proj'!$T$2:$T$561,$B32)</f>
        <v>10.63857142857143</v>
      </c>
      <c r="L32" s="23">
        <f>INDEX('ROS Proj'!$AL$2:$AL$561,$B32)</f>
        <v>7</v>
      </c>
      <c r="M32" s="2">
        <f>SQRT(IF(E32="K",SUMIFS('K Proj'!$P$2:$P$508,'K Proj'!$B$2:$B$508,$C32,'K Proj'!$A$2:$A$508,"&gt;"&amp;Week,'K Proj'!$A$2:$A$508,"&lt;=13"),IF(E32="D",SUMIFS('D Proj'!$N$2:$N$513,'D Proj'!$B$2:$B$513,$C32,'D Proj'!$A$2:$A$513,"&gt;"&amp;Week,'D Proj'!$A$2:$A$513,"&lt;=13"),SUMIFS('F Proj'!$J$2:$J$7669,'F Proj'!$B$2:$B$7669,$C32,'F Proj'!$A$2:$A$7669,"&gt;"&amp;Week,'F Proj'!$A$2:$A$7669,"&lt;=13"))))</f>
        <v>18.075973002856582</v>
      </c>
      <c r="N32" s="2">
        <f t="shared" si="5"/>
        <v>1.6990977711829738</v>
      </c>
      <c r="O32" s="2">
        <f t="shared" si="10"/>
        <v>8.0562895710204891</v>
      </c>
      <c r="P32" s="2">
        <f t="shared" si="11"/>
        <v>13.220853286122372</v>
      </c>
      <c r="Q32" s="2">
        <f>K32-VLOOKUP($E32,Scores!$AG$1:$AM$7,7,FALSE)</f>
        <v>4.7700000000000005</v>
      </c>
      <c r="R32" s="2">
        <f>O32-VLOOKUP($E32,Scores!$AG$1:$AM$7,7,FALSE)</f>
        <v>2.1877181424490599</v>
      </c>
      <c r="S32" s="2">
        <f>P32-VLOOKUP($E32,Scores!$AG$1:$AM$7,7,FALSE)</f>
        <v>7.3522818575509428</v>
      </c>
      <c r="T32">
        <f t="shared" si="6"/>
        <v>48</v>
      </c>
      <c r="U32" s="23">
        <f t="shared" si="7"/>
        <v>7</v>
      </c>
      <c r="V32">
        <f t="shared" si="0"/>
        <v>27</v>
      </c>
      <c r="W32">
        <f t="shared" si="8"/>
        <v>9</v>
      </c>
      <c r="X32" t="str">
        <f>D32&amp;COUNTIF(D$1:D32,D32)</f>
        <v>devon4</v>
      </c>
      <c r="Y32" t="str">
        <f>D32&amp;E32&amp;COUNTIFS(D$1:D32,D32,E$1:E32,E32)</f>
        <v>devonRB3</v>
      </c>
      <c r="Z32" t="s">
        <v>123</v>
      </c>
      <c r="AA32" t="s">
        <v>90</v>
      </c>
    </row>
    <row r="33" spans="1:27" x14ac:dyDescent="0.25">
      <c r="A33">
        <f t="shared" si="9"/>
        <v>32</v>
      </c>
      <c r="B33">
        <f>MATCH(A33,'ROS Proj'!$AI$2:$AI$561,0)</f>
        <v>404</v>
      </c>
      <c r="C33" t="str">
        <f>INDEX('ROS Proj'!$A$2:$A$561,$B33)</f>
        <v>Robert Woods</v>
      </c>
      <c r="D33" t="str">
        <f>IFERROR(INDEX(Rosters!$C$2:$C$155,MATCH($C33,Rosters!$B$2:$B$155,0)),"FA")</f>
        <v>matty</v>
      </c>
      <c r="E33" t="str">
        <f>INDEX('ROS Proj'!$B$2:$B$561,$B33)</f>
        <v>WR</v>
      </c>
      <c r="F33" t="str">
        <f>E33&amp;COUNTIF(E$1:E33,E33)</f>
        <v>WR15</v>
      </c>
      <c r="G33">
        <f t="shared" si="1"/>
        <v>0</v>
      </c>
      <c r="H33">
        <f t="shared" si="2"/>
        <v>15</v>
      </c>
      <c r="I33" t="str">
        <f t="shared" si="3"/>
        <v>WR33-48</v>
      </c>
      <c r="J33" t="str">
        <f t="shared" si="4"/>
        <v>WR4-14</v>
      </c>
      <c r="K33" s="2">
        <f>INDEX('ROS Proj'!$T$2:$T$561,$B33)</f>
        <v>10.621428571428572</v>
      </c>
      <c r="L33" s="23">
        <f>INDEX('ROS Proj'!$AL$2:$AL$561,$B33)</f>
        <v>7</v>
      </c>
      <c r="M33" s="2">
        <f>SQRT(IF(E33="K",SUMIFS('K Proj'!$P$2:$P$508,'K Proj'!$B$2:$B$508,$C33,'K Proj'!$A$2:$A$508,"&gt;"&amp;Week,'K Proj'!$A$2:$A$508,"&lt;=13"),IF(E33="D",SUMIFS('D Proj'!$N$2:$N$513,'D Proj'!$B$2:$B$513,$C33,'D Proj'!$A$2:$A$513,"&gt;"&amp;Week,'D Proj'!$A$2:$A$513,"&lt;=13"),SUMIFS('F Proj'!$J$2:$J$7669,'F Proj'!$B$2:$B$7669,$C33,'F Proj'!$A$2:$A$7669,"&gt;"&amp;Week,'F Proj'!$A$2:$A$7669,"&lt;=13"))))</f>
        <v>17.058264859006027</v>
      </c>
      <c r="N33" s="2">
        <f t="shared" si="5"/>
        <v>1.6060235912984826</v>
      </c>
      <c r="O33" s="2">
        <f t="shared" si="10"/>
        <v>8.1845335915705686</v>
      </c>
      <c r="P33" s="2">
        <f t="shared" si="11"/>
        <v>13.058323551286577</v>
      </c>
      <c r="Q33" s="2">
        <f>K33-VLOOKUP($E33,Scores!$AG$1:$AM$7,7,FALSE)</f>
        <v>4.5685714285714294</v>
      </c>
      <c r="R33" s="2">
        <f>O33-VLOOKUP($E33,Scores!$AG$1:$AM$7,7,FALSE)</f>
        <v>2.1316764487134261</v>
      </c>
      <c r="S33" s="2">
        <f>P33-VLOOKUP($E33,Scores!$AG$1:$AM$7,7,FALSE)</f>
        <v>7.0054664084294345</v>
      </c>
      <c r="T33">
        <f t="shared" si="6"/>
        <v>48</v>
      </c>
      <c r="U33" s="23">
        <f t="shared" si="7"/>
        <v>14</v>
      </c>
      <c r="V33">
        <f t="shared" si="0"/>
        <v>33</v>
      </c>
      <c r="W33">
        <f t="shared" si="8"/>
        <v>4</v>
      </c>
      <c r="X33" t="str">
        <f>D33&amp;COUNTIF(D$1:D33,D33)</f>
        <v>matty4</v>
      </c>
      <c r="Y33" t="str">
        <f>D33&amp;E33&amp;COUNTIFS(D$1:D33,D33,E$1:E33,E33)</f>
        <v>mattyWR2</v>
      </c>
      <c r="Z33" t="s">
        <v>108</v>
      </c>
      <c r="AA33" t="s">
        <v>248</v>
      </c>
    </row>
    <row r="34" spans="1:27" x14ac:dyDescent="0.25">
      <c r="A34">
        <f t="shared" si="9"/>
        <v>33</v>
      </c>
      <c r="B34">
        <f>MATCH(A34,'ROS Proj'!$AI$2:$AI$561,0)</f>
        <v>399</v>
      </c>
      <c r="C34" t="str">
        <f>INDEX('ROS Proj'!$A$2:$A$561,$B34)</f>
        <v>Rob Gronkowski</v>
      </c>
      <c r="D34" t="str">
        <f>IFERROR(INDEX(Rosters!$C$2:$C$155,MATCH($C34,Rosters!$B$2:$B$155,0)),"FA")</f>
        <v>lucas</v>
      </c>
      <c r="E34" t="str">
        <f>INDEX('ROS Proj'!$B$2:$B$561,$B34)</f>
        <v>TE</v>
      </c>
      <c r="F34" t="str">
        <f>E34&amp;COUNTIF(E$1:E34,E34)</f>
        <v>TE1</v>
      </c>
      <c r="G34">
        <f t="shared" si="1"/>
        <v>0</v>
      </c>
      <c r="H34">
        <f t="shared" si="2"/>
        <v>-3</v>
      </c>
      <c r="I34" t="str">
        <f t="shared" si="3"/>
        <v>TE3-39</v>
      </c>
      <c r="J34" t="str">
        <f t="shared" si="4"/>
        <v>TE1-7</v>
      </c>
      <c r="K34" s="2">
        <f>INDEX('ROS Proj'!$T$2:$T$561,$B34)</f>
        <v>10.212857142857144</v>
      </c>
      <c r="L34" s="23">
        <f>INDEX('ROS Proj'!$AL$2:$AL$561,$B34)</f>
        <v>7</v>
      </c>
      <c r="M34" s="2">
        <f>SQRT(IF(E34="K",SUMIFS('K Proj'!$P$2:$P$508,'K Proj'!$B$2:$B$508,$C34,'K Proj'!$A$2:$A$508,"&gt;"&amp;Week,'K Proj'!$A$2:$A$508,"&lt;=13"),IF(E34="D",SUMIFS('D Proj'!$N$2:$N$513,'D Proj'!$B$2:$B$513,$C34,'D Proj'!$A$2:$A$513,"&gt;"&amp;Week,'D Proj'!$A$2:$A$513,"&lt;=13"),SUMIFS('F Proj'!$J$2:$J$7669,'F Proj'!$B$2:$B$7669,$C34,'F Proj'!$A$2:$A$7669,"&gt;"&amp;Week,'F Proj'!$A$2:$A$7669,"&lt;=13"))))</f>
        <v>16.408884788430932</v>
      </c>
      <c r="N34" s="2">
        <f t="shared" si="5"/>
        <v>1.6066889567634146</v>
      </c>
      <c r="O34" s="2">
        <f t="shared" si="10"/>
        <v>7.8687307445098682</v>
      </c>
      <c r="P34" s="2">
        <f t="shared" si="11"/>
        <v>12.556983541204419</v>
      </c>
      <c r="Q34" s="2">
        <f>K34-VLOOKUP($E34,Scores!$AG$1:$AM$7,7,FALSE)</f>
        <v>5.0328571428571447</v>
      </c>
      <c r="R34" s="2">
        <f>O34-VLOOKUP($E34,Scores!$AG$1:$AM$7,7,FALSE)</f>
        <v>2.6887307445098685</v>
      </c>
      <c r="S34" s="2">
        <f>P34-VLOOKUP($E34,Scores!$AG$1:$AM$7,7,FALSE)</f>
        <v>7.3769835412044191</v>
      </c>
      <c r="T34">
        <f t="shared" si="6"/>
        <v>39</v>
      </c>
      <c r="U34" s="23">
        <f t="shared" si="7"/>
        <v>7</v>
      </c>
      <c r="V34">
        <f t="shared" ref="V34:V65" si="12">COUNTIFS($E$2:$E$201,$E34,$Q$2:$Q$201,"&gt;"&amp;R34)</f>
        <v>3</v>
      </c>
      <c r="W34">
        <f t="shared" ref="W34:W65" si="13">COUNTIFS($E$2:$E$201,$E34,$Q$2:$Q$201,"&gt;"&amp;S34)+1</f>
        <v>1</v>
      </c>
      <c r="X34" t="str">
        <f>D34&amp;COUNTIF(D$1:D34,D34)</f>
        <v>lucas2</v>
      </c>
      <c r="Y34" t="str">
        <f>D34&amp;E34&amp;COUNTIFS(D$1:D34,D34,E$1:E34,E34)</f>
        <v>lucasTE1</v>
      </c>
      <c r="Z34" t="s">
        <v>1105</v>
      </c>
      <c r="AA34" t="s">
        <v>113</v>
      </c>
    </row>
    <row r="35" spans="1:27" x14ac:dyDescent="0.25">
      <c r="A35">
        <f t="shared" si="9"/>
        <v>34</v>
      </c>
      <c r="B35">
        <f>MATCH(A35,'ROS Proj'!$AI$2:$AI$561,0)</f>
        <v>463</v>
      </c>
      <c r="C35" t="str">
        <f>INDEX('ROS Proj'!$A$2:$A$561,$B35)</f>
        <v>Travis Kelce</v>
      </c>
      <c r="D35" t="str">
        <f>IFERROR(INDEX(Rosters!$C$2:$C$155,MATCH($C35,Rosters!$B$2:$B$155,0)),"FA")</f>
        <v>aj</v>
      </c>
      <c r="E35" t="str">
        <f>INDEX('ROS Proj'!$B$2:$B$561,$B35)</f>
        <v>TE</v>
      </c>
      <c r="F35" t="str">
        <f>E35&amp;COUNTIF(E$1:E35,E35)</f>
        <v>TE2</v>
      </c>
      <c r="G35">
        <f t="shared" si="1"/>
        <v>0</v>
      </c>
      <c r="H35">
        <f t="shared" si="2"/>
        <v>1</v>
      </c>
      <c r="I35" t="str">
        <f t="shared" si="3"/>
        <v>TE3-39</v>
      </c>
      <c r="J35" t="str">
        <f t="shared" si="4"/>
        <v>TE1-14</v>
      </c>
      <c r="K35" s="2">
        <f>INDEX('ROS Proj'!$T$2:$T$561,$B35)</f>
        <v>10.151428571428571</v>
      </c>
      <c r="L35" s="23">
        <f>INDEX('ROS Proj'!$AL$2:$AL$561,$B35)</f>
        <v>7</v>
      </c>
      <c r="M35" s="2">
        <f>SQRT(IF(E35="K",SUMIFS('K Proj'!$P$2:$P$508,'K Proj'!$B$2:$B$508,$C35,'K Proj'!$A$2:$A$508,"&gt;"&amp;Week,'K Proj'!$A$2:$A$508,"&lt;=13"),IF(E35="D",SUMIFS('D Proj'!$N$2:$N$513,'D Proj'!$B$2:$B$513,$C35,'D Proj'!$A$2:$A$513,"&gt;"&amp;Week,'D Proj'!$A$2:$A$513,"&lt;=13"),SUMIFS('F Proj'!$J$2:$J$7669,'F Proj'!$B$2:$B$7669,$C35,'F Proj'!$A$2:$A$7669,"&gt;"&amp;Week,'F Proj'!$A$2:$A$7669,"&lt;=13"))))</f>
        <v>14.830461894357843</v>
      </c>
      <c r="N35" s="2">
        <f t="shared" si="5"/>
        <v>1.4609236315860525</v>
      </c>
      <c r="O35" s="2">
        <f t="shared" si="10"/>
        <v>8.0327911579488802</v>
      </c>
      <c r="P35" s="2">
        <f t="shared" si="11"/>
        <v>12.270065984908262</v>
      </c>
      <c r="Q35" s="2">
        <f>K35-VLOOKUP($E35,Scores!$AG$1:$AM$7,7,FALSE)</f>
        <v>4.9714285714285715</v>
      </c>
      <c r="R35" s="2">
        <f>O35-VLOOKUP($E35,Scores!$AG$1:$AM$7,7,FALSE)</f>
        <v>2.8527911579488805</v>
      </c>
      <c r="S35" s="2">
        <f>P35-VLOOKUP($E35,Scores!$AG$1:$AM$7,7,FALSE)</f>
        <v>7.0900659849082626</v>
      </c>
      <c r="T35">
        <f t="shared" si="6"/>
        <v>39</v>
      </c>
      <c r="U35" s="23">
        <f t="shared" si="7"/>
        <v>14</v>
      </c>
      <c r="V35">
        <f t="shared" si="12"/>
        <v>3</v>
      </c>
      <c r="W35">
        <f t="shared" si="13"/>
        <v>1</v>
      </c>
      <c r="X35" t="str">
        <f>D35&amp;COUNTIF(D$1:D35,D35)</f>
        <v>aj5</v>
      </c>
      <c r="Y35" t="str">
        <f>D35&amp;E35&amp;COUNTIFS(D$1:D35,D35,E$1:E35,E35)</f>
        <v>ajTE1</v>
      </c>
      <c r="Z35" t="s">
        <v>90</v>
      </c>
      <c r="AA35" t="s">
        <v>151</v>
      </c>
    </row>
    <row r="36" spans="1:27" x14ac:dyDescent="0.25">
      <c r="A36">
        <f t="shared" si="9"/>
        <v>35</v>
      </c>
      <c r="B36">
        <f>MATCH(A36,'ROS Proj'!$AI$2:$AI$561,0)</f>
        <v>434</v>
      </c>
      <c r="C36" t="str">
        <f>INDEX('ROS Proj'!$A$2:$A$561,$B36)</f>
        <v>Stefon Diggs</v>
      </c>
      <c r="D36" t="str">
        <f>IFERROR(INDEX(Rosters!$C$2:$C$155,MATCH($C36,Rosters!$B$2:$B$155,0)),"FA")</f>
        <v>aj</v>
      </c>
      <c r="E36" t="str">
        <f>INDEX('ROS Proj'!$B$2:$B$561,$B36)</f>
        <v>WR</v>
      </c>
      <c r="F36" t="str">
        <f>E36&amp;COUNTIF(E$1:E36,E36)</f>
        <v>WR16</v>
      </c>
      <c r="G36">
        <f t="shared" si="1"/>
        <v>0</v>
      </c>
      <c r="H36">
        <f t="shared" si="2"/>
        <v>9</v>
      </c>
      <c r="I36" t="str">
        <f t="shared" si="3"/>
        <v>WR37-53</v>
      </c>
      <c r="J36" t="str">
        <f t="shared" si="4"/>
        <v>WR6-16</v>
      </c>
      <c r="K36" s="2">
        <f>INDEX('ROS Proj'!$T$2:$T$561,$B36)</f>
        <v>10.42</v>
      </c>
      <c r="L36" s="23">
        <f>INDEX('ROS Proj'!$AL$2:$AL$561,$B36)</f>
        <v>7</v>
      </c>
      <c r="M36" s="2">
        <f>SQRT(IF(E36="K",SUMIFS('K Proj'!$P$2:$P$508,'K Proj'!$B$2:$B$508,$C36,'K Proj'!$A$2:$A$508,"&gt;"&amp;Week,'K Proj'!$A$2:$A$508,"&lt;=13"),IF(E36="D",SUMIFS('D Proj'!$N$2:$N$513,'D Proj'!$B$2:$B$513,$C36,'D Proj'!$A$2:$A$513,"&gt;"&amp;Week,'D Proj'!$A$2:$A$513,"&lt;=13"),SUMIFS('F Proj'!$J$2:$J$7669,'F Proj'!$B$2:$B$7669,$C36,'F Proj'!$A$2:$A$7669,"&gt;"&amp;Week,'F Proj'!$A$2:$A$7669,"&lt;=13"))))</f>
        <v>16.92287800582395</v>
      </c>
      <c r="N36" s="2">
        <f t="shared" si="5"/>
        <v>1.6240765840522025</v>
      </c>
      <c r="O36" s="2">
        <f t="shared" si="10"/>
        <v>8.0024459991680068</v>
      </c>
      <c r="P36" s="2">
        <f t="shared" si="11"/>
        <v>12.837554000831991</v>
      </c>
      <c r="Q36" s="2">
        <f>K36-VLOOKUP($E36,Scores!$AG$1:$AM$7,7,FALSE)</f>
        <v>4.3671428571428574</v>
      </c>
      <c r="R36" s="2">
        <f>O36-VLOOKUP($E36,Scores!$AG$1:$AM$7,7,FALSE)</f>
        <v>1.9495888563108643</v>
      </c>
      <c r="S36" s="2">
        <f>P36-VLOOKUP($E36,Scores!$AG$1:$AM$7,7,FALSE)</f>
        <v>6.7846968579748488</v>
      </c>
      <c r="T36">
        <f t="shared" si="6"/>
        <v>53</v>
      </c>
      <c r="U36" s="23">
        <f t="shared" si="7"/>
        <v>16</v>
      </c>
      <c r="V36">
        <f t="shared" si="12"/>
        <v>37</v>
      </c>
      <c r="W36">
        <f t="shared" si="13"/>
        <v>6</v>
      </c>
      <c r="X36" t="str">
        <f>D36&amp;COUNTIF(D$1:D36,D36)</f>
        <v>aj6</v>
      </c>
      <c r="Y36" t="str">
        <f>D36&amp;E36&amp;COUNTIFS(D$1:D36,D36,E$1:E36,E36)</f>
        <v>ajWR3</v>
      </c>
      <c r="Z36" t="s">
        <v>151</v>
      </c>
      <c r="AA36" t="s">
        <v>133</v>
      </c>
    </row>
    <row r="37" spans="1:27" x14ac:dyDescent="0.25">
      <c r="A37">
        <f t="shared" si="9"/>
        <v>36</v>
      </c>
      <c r="B37">
        <f>MATCH(A37,'ROS Proj'!$AI$2:$AI$561,0)</f>
        <v>233</v>
      </c>
      <c r="C37" t="str">
        <f>INDEX('ROS Proj'!$A$2:$A$561,$B37)</f>
        <v>Jay Ajayi</v>
      </c>
      <c r="D37" t="str">
        <f>IFERROR(INDEX(Rosters!$C$2:$C$155,MATCH($C37,Rosters!$B$2:$B$155,0)),"FA")</f>
        <v>matty</v>
      </c>
      <c r="E37" t="str">
        <f>INDEX('ROS Proj'!$B$2:$B$561,$B37)</f>
        <v>RB</v>
      </c>
      <c r="F37" t="str">
        <f>E37&amp;COUNTIF(E$1:E37,E37)</f>
        <v>RB18</v>
      </c>
      <c r="G37">
        <f t="shared" si="1"/>
        <v>0</v>
      </c>
      <c r="H37">
        <f t="shared" si="2"/>
        <v>-8</v>
      </c>
      <c r="I37" t="str">
        <f t="shared" si="3"/>
        <v>RB30-53</v>
      </c>
      <c r="J37" t="str">
        <f t="shared" si="4"/>
        <v>RB9-7</v>
      </c>
      <c r="K37" s="2">
        <f>INDEX('ROS Proj'!$T$2:$T$561,$B37)</f>
        <v>10.42</v>
      </c>
      <c r="L37" s="23">
        <f>INDEX('ROS Proj'!$AL$2:$AL$561,$B37)</f>
        <v>7</v>
      </c>
      <c r="M37" s="2">
        <f>SQRT(IF(E37="K",SUMIFS('K Proj'!$P$2:$P$508,'K Proj'!$B$2:$B$508,$C37,'K Proj'!$A$2:$A$508,"&gt;"&amp;Week,'K Proj'!$A$2:$A$508,"&lt;=13"),IF(E37="D",SUMIFS('D Proj'!$N$2:$N$513,'D Proj'!$B$2:$B$513,$C37,'D Proj'!$A$2:$A$513,"&gt;"&amp;Week,'D Proj'!$A$2:$A$513,"&lt;=13"),SUMIFS('F Proj'!$J$2:$J$7669,'F Proj'!$B$2:$B$7669,$C37,'F Proj'!$A$2:$A$7669,"&gt;"&amp;Week,'F Proj'!$A$2:$A$7669,"&lt;=13"))))</f>
        <v>19.614803083385773</v>
      </c>
      <c r="N37" s="2">
        <f t="shared" si="5"/>
        <v>1.8824187220139899</v>
      </c>
      <c r="O37" s="2">
        <f t="shared" si="10"/>
        <v>7.617885273802032</v>
      </c>
      <c r="P37" s="2">
        <f t="shared" si="11"/>
        <v>13.222114726197967</v>
      </c>
      <c r="Q37" s="2">
        <f>K37-VLOOKUP($E37,Scores!$AG$1:$AM$7,7,FALSE)</f>
        <v>4.5514285714285707</v>
      </c>
      <c r="R37" s="2">
        <f>O37-VLOOKUP($E37,Scores!$AG$1:$AM$7,7,FALSE)</f>
        <v>1.7493138452306027</v>
      </c>
      <c r="S37" s="2">
        <f>P37-VLOOKUP($E37,Scores!$AG$1:$AM$7,7,FALSE)</f>
        <v>7.3535432976265378</v>
      </c>
      <c r="T37">
        <f t="shared" si="6"/>
        <v>53</v>
      </c>
      <c r="U37" s="23">
        <f t="shared" si="7"/>
        <v>7</v>
      </c>
      <c r="V37">
        <f t="shared" si="12"/>
        <v>30</v>
      </c>
      <c r="W37">
        <f t="shared" si="13"/>
        <v>9</v>
      </c>
      <c r="X37" t="str">
        <f>D37&amp;COUNTIF(D$1:D37,D37)</f>
        <v>matty5</v>
      </c>
      <c r="Y37" t="str">
        <f>D37&amp;E37&amp;COUNTIFS(D$1:D37,D37,E$1:E37,E37)</f>
        <v>mattyRB3</v>
      </c>
      <c r="Z37" t="s">
        <v>796</v>
      </c>
      <c r="AA37" t="s">
        <v>89</v>
      </c>
    </row>
    <row r="38" spans="1:27" x14ac:dyDescent="0.25">
      <c r="A38">
        <f t="shared" si="9"/>
        <v>37</v>
      </c>
      <c r="B38">
        <f>MATCH(A38,'ROS Proj'!$AI$2:$AI$561,0)</f>
        <v>195</v>
      </c>
      <c r="C38" t="str">
        <f>INDEX('ROS Proj'!$A$2:$A$561,$B38)</f>
        <v>Golden Tate</v>
      </c>
      <c r="D38" t="str">
        <f>IFERROR(INDEX(Rosters!$C$2:$C$155,MATCH($C38,Rosters!$B$2:$B$155,0)),"FA")</f>
        <v>devon</v>
      </c>
      <c r="E38" t="str">
        <f>INDEX('ROS Proj'!$B$2:$B$561,$B38)</f>
        <v>WR</v>
      </c>
      <c r="F38" t="str">
        <f>E38&amp;COUNTIF(E$1:E38,E38)</f>
        <v>WR17</v>
      </c>
      <c r="G38">
        <f t="shared" si="1"/>
        <v>0</v>
      </c>
      <c r="H38">
        <f t="shared" si="2"/>
        <v>9</v>
      </c>
      <c r="I38" t="str">
        <f t="shared" si="3"/>
        <v>WR33-48</v>
      </c>
      <c r="J38" t="str">
        <f t="shared" si="4"/>
        <v>WR8-18</v>
      </c>
      <c r="K38" s="2">
        <f>INDEX('ROS Proj'!$T$2:$T$561,$B38)</f>
        <v>10.37142857142857</v>
      </c>
      <c r="L38" s="23">
        <f>INDEX('ROS Proj'!$AL$2:$AL$561,$B38)</f>
        <v>7</v>
      </c>
      <c r="M38" s="2">
        <f>SQRT(IF(E38="K",SUMIFS('K Proj'!$P$2:$P$508,'K Proj'!$B$2:$B$508,$C38,'K Proj'!$A$2:$A$508,"&gt;"&amp;Week,'K Proj'!$A$2:$A$508,"&lt;=13"),IF(E38="D",SUMIFS('D Proj'!$N$2:$N$513,'D Proj'!$B$2:$B$513,$C38,'D Proj'!$A$2:$A$513,"&gt;"&amp;Week,'D Proj'!$A$2:$A$513,"&lt;=13"),SUMIFS('F Proj'!$J$2:$J$7669,'F Proj'!$B$2:$B$7669,$C38,'F Proj'!$A$2:$A$7669,"&gt;"&amp;Week,'F Proj'!$A$2:$A$7669,"&lt;=13"))))</f>
        <v>15.48195401104137</v>
      </c>
      <c r="N38" s="2">
        <f t="shared" si="5"/>
        <v>1.4927503867395262</v>
      </c>
      <c r="O38" s="2">
        <f t="shared" si="10"/>
        <v>8.159720855565519</v>
      </c>
      <c r="P38" s="2">
        <f t="shared" si="11"/>
        <v>12.583136287291623</v>
      </c>
      <c r="Q38" s="2">
        <f>K38-VLOOKUP($E38,Scores!$AG$1:$AM$7,7,FALSE)</f>
        <v>4.3185714285714276</v>
      </c>
      <c r="R38" s="2">
        <f>O38-VLOOKUP($E38,Scores!$AG$1:$AM$7,7,FALSE)</f>
        <v>2.1068637127083765</v>
      </c>
      <c r="S38" s="2">
        <f>P38-VLOOKUP($E38,Scores!$AG$1:$AM$7,7,FALSE)</f>
        <v>6.5302791444344805</v>
      </c>
      <c r="T38">
        <f t="shared" si="6"/>
        <v>48</v>
      </c>
      <c r="U38" s="23">
        <f t="shared" si="7"/>
        <v>18</v>
      </c>
      <c r="V38">
        <f t="shared" si="12"/>
        <v>33</v>
      </c>
      <c r="W38">
        <f t="shared" si="13"/>
        <v>8</v>
      </c>
      <c r="X38" t="str">
        <f>D38&amp;COUNTIF(D$1:D38,D38)</f>
        <v>devon5</v>
      </c>
      <c r="Y38" t="str">
        <f>D38&amp;E38&amp;COUNTIFS(D$1:D38,D38,E$1:E38,E38)</f>
        <v>devonWR2</v>
      </c>
      <c r="Z38" t="s">
        <v>251</v>
      </c>
      <c r="AA38" t="s">
        <v>122</v>
      </c>
    </row>
    <row r="39" spans="1:27" x14ac:dyDescent="0.25">
      <c r="A39">
        <f t="shared" si="9"/>
        <v>38</v>
      </c>
      <c r="B39">
        <f>MATCH(A39,'ROS Proj'!$AI$2:$AI$561,0)</f>
        <v>228</v>
      </c>
      <c r="C39" t="str">
        <f>INDEX('ROS Proj'!$A$2:$A$561,$B39)</f>
        <v>Jarvis Landry</v>
      </c>
      <c r="D39" t="str">
        <f>IFERROR(INDEX(Rosters!$C$2:$C$155,MATCH($C39,Rosters!$B$2:$B$155,0)),"FA")</f>
        <v>cory</v>
      </c>
      <c r="E39" t="str">
        <f>INDEX('ROS Proj'!$B$2:$B$561,$B39)</f>
        <v>WR</v>
      </c>
      <c r="F39" t="str">
        <f>E39&amp;COUNTIF(E$1:E39,E39)</f>
        <v>WR18</v>
      </c>
      <c r="G39">
        <f t="shared" si="1"/>
        <v>0</v>
      </c>
      <c r="H39">
        <f t="shared" si="2"/>
        <v>3</v>
      </c>
      <c r="I39" t="str">
        <f t="shared" si="3"/>
        <v>WR41-53</v>
      </c>
      <c r="J39" t="str">
        <f t="shared" si="4"/>
        <v>WR8-18</v>
      </c>
      <c r="K39" s="2">
        <f>INDEX('ROS Proj'!$T$2:$T$561,$B39)</f>
        <v>10.145714285714288</v>
      </c>
      <c r="L39" s="23">
        <f>INDEX('ROS Proj'!$AL$2:$AL$561,$B39)</f>
        <v>7</v>
      </c>
      <c r="M39" s="2">
        <f>SQRT(IF(E39="K",SUMIFS('K Proj'!$P$2:$P$508,'K Proj'!$B$2:$B$508,$C39,'K Proj'!$A$2:$A$508,"&gt;"&amp;Week,'K Proj'!$A$2:$A$508,"&lt;=13"),IF(E39="D",SUMIFS('D Proj'!$N$2:$N$513,'D Proj'!$B$2:$B$513,$C39,'D Proj'!$A$2:$A$513,"&gt;"&amp;Week,'D Proj'!$A$2:$A$513,"&lt;=13"),SUMIFS('F Proj'!$J$2:$J$7669,'F Proj'!$B$2:$B$7669,$C39,'F Proj'!$A$2:$A$7669,"&gt;"&amp;Week,'F Proj'!$A$2:$A$7669,"&lt;=13"))))</f>
        <v>17.234952857492821</v>
      </c>
      <c r="N39" s="2">
        <f t="shared" si="5"/>
        <v>1.6987421853344089</v>
      </c>
      <c r="O39" s="2">
        <f t="shared" si="10"/>
        <v>7.6835781632153131</v>
      </c>
      <c r="P39" s="2">
        <f t="shared" si="11"/>
        <v>12.607850408213263</v>
      </c>
      <c r="Q39" s="2">
        <f>K39-VLOOKUP($E39,Scores!$AG$1:$AM$7,7,FALSE)</f>
        <v>4.0928571428571452</v>
      </c>
      <c r="R39" s="2">
        <f>O39-VLOOKUP($E39,Scores!$AG$1:$AM$7,7,FALSE)</f>
        <v>1.6307210203581706</v>
      </c>
      <c r="S39" s="2">
        <f>P39-VLOOKUP($E39,Scores!$AG$1:$AM$7,7,FALSE)</f>
        <v>6.5549932653561207</v>
      </c>
      <c r="T39">
        <f t="shared" si="6"/>
        <v>53</v>
      </c>
      <c r="U39" s="23">
        <f t="shared" si="7"/>
        <v>18</v>
      </c>
      <c r="V39">
        <f t="shared" si="12"/>
        <v>41</v>
      </c>
      <c r="W39">
        <f t="shared" si="13"/>
        <v>8</v>
      </c>
      <c r="X39" t="str">
        <f>D39&amp;COUNTIF(D$1:D39,D39)</f>
        <v>cory4</v>
      </c>
      <c r="Y39" t="str">
        <f>D39&amp;E39&amp;COUNTIFS(D$1:D39,D39,E$1:E39,E39)</f>
        <v>coryWR3</v>
      </c>
      <c r="Z39" t="s">
        <v>39</v>
      </c>
      <c r="AA39" t="s">
        <v>134</v>
      </c>
    </row>
    <row r="40" spans="1:27" x14ac:dyDescent="0.25">
      <c r="A40">
        <f t="shared" si="9"/>
        <v>39</v>
      </c>
      <c r="B40">
        <f>MATCH(A40,'ROS Proj'!$AI$2:$AI$561,0)</f>
        <v>108</v>
      </c>
      <c r="C40" t="str">
        <f>INDEX('ROS Proj'!$A$2:$A$561,$B40)</f>
        <v>Cooper Kupp</v>
      </c>
      <c r="D40" t="str">
        <f>IFERROR(INDEX(Rosters!$C$2:$C$155,MATCH($C40,Rosters!$B$2:$B$155,0)),"FA")</f>
        <v>lucas</v>
      </c>
      <c r="E40" t="str">
        <f>INDEX('ROS Proj'!$B$2:$B$561,$B40)</f>
        <v>WR</v>
      </c>
      <c r="F40" t="str">
        <f>E40&amp;COUNTIF(E$1:E40,E40)</f>
        <v>WR19</v>
      </c>
      <c r="G40">
        <f t="shared" si="1"/>
        <v>0</v>
      </c>
      <c r="H40">
        <f t="shared" si="2"/>
        <v>22</v>
      </c>
      <c r="I40" t="str">
        <f t="shared" si="3"/>
        <v>WR42-53</v>
      </c>
      <c r="J40" t="str">
        <f t="shared" si="4"/>
        <v>WR9-18</v>
      </c>
      <c r="K40" s="2">
        <f>INDEX('ROS Proj'!$T$2:$T$561,$B40)</f>
        <v>9.8442857142857143</v>
      </c>
      <c r="L40" s="23">
        <f>INDEX('ROS Proj'!$AL$2:$AL$561,$B40)</f>
        <v>7</v>
      </c>
      <c r="M40" s="2">
        <f>SQRT(IF(E40="K",SUMIFS('K Proj'!$P$2:$P$508,'K Proj'!$B$2:$B$508,$C40,'K Proj'!$A$2:$A$508,"&gt;"&amp;Week,'K Proj'!$A$2:$A$508,"&lt;=13"),IF(E40="D",SUMIFS('D Proj'!$N$2:$N$513,'D Proj'!$B$2:$B$513,$C40,'D Proj'!$A$2:$A$513,"&gt;"&amp;Week,'D Proj'!$A$2:$A$513,"&lt;=13"),SUMIFS('F Proj'!$J$2:$J$7669,'F Proj'!$B$2:$B$7669,$C40,'F Proj'!$A$2:$A$7669,"&gt;"&amp;Week,'F Proj'!$A$2:$A$7669,"&lt;=13"))))</f>
        <v>16.157970169547905</v>
      </c>
      <c r="N40" s="2">
        <f t="shared" si="5"/>
        <v>1.6413552631959851</v>
      </c>
      <c r="O40" s="2">
        <f t="shared" si="10"/>
        <v>7.5360042614931553</v>
      </c>
      <c r="P40" s="2">
        <f t="shared" si="11"/>
        <v>12.152567167078272</v>
      </c>
      <c r="Q40" s="2">
        <f>K40-VLOOKUP($E40,Scores!$AG$1:$AM$7,7,FALSE)</f>
        <v>3.7914285714285718</v>
      </c>
      <c r="R40" s="2">
        <f>O40-VLOOKUP($E40,Scores!$AG$1:$AM$7,7,FALSE)</f>
        <v>1.4831471186360128</v>
      </c>
      <c r="S40" s="2">
        <f>P40-VLOOKUP($E40,Scores!$AG$1:$AM$7,7,FALSE)</f>
        <v>6.09971002422113</v>
      </c>
      <c r="T40">
        <f t="shared" si="6"/>
        <v>53</v>
      </c>
      <c r="U40" s="23">
        <f t="shared" si="7"/>
        <v>18</v>
      </c>
      <c r="V40">
        <f t="shared" si="12"/>
        <v>42</v>
      </c>
      <c r="W40">
        <f t="shared" si="13"/>
        <v>9</v>
      </c>
      <c r="X40" t="str">
        <f>D40&amp;COUNTIF(D$1:D40,D40)</f>
        <v>lucas3</v>
      </c>
      <c r="Y40" t="str">
        <f>D40&amp;E40&amp;COUNTIFS(D$1:D40,D40,E$1:E40,E40)</f>
        <v>lucasWR1</v>
      </c>
      <c r="Z40" t="s">
        <v>834</v>
      </c>
      <c r="AA40" t="s">
        <v>256</v>
      </c>
    </row>
    <row r="41" spans="1:27" x14ac:dyDescent="0.25">
      <c r="A41">
        <f t="shared" si="9"/>
        <v>40</v>
      </c>
      <c r="B41">
        <f>MATCH(A41,'ROS Proj'!$AI$2:$AI$561,0)</f>
        <v>158</v>
      </c>
      <c r="C41" t="str">
        <f>INDEX('ROS Proj'!$A$2:$A$561,$B41)</f>
        <v>Devin Funchess</v>
      </c>
      <c r="D41" t="str">
        <f>IFERROR(INDEX(Rosters!$C$2:$C$155,MATCH($C41,Rosters!$B$2:$B$155,0)),"FA")</f>
        <v>chad</v>
      </c>
      <c r="E41" t="str">
        <f>INDEX('ROS Proj'!$B$2:$B$561,$B41)</f>
        <v>WR</v>
      </c>
      <c r="F41" t="str">
        <f>E41&amp;COUNTIF(E$1:E41,E41)</f>
        <v>WR20</v>
      </c>
      <c r="G41">
        <f t="shared" si="1"/>
        <v>0</v>
      </c>
      <c r="H41">
        <f t="shared" si="2"/>
        <v>-3</v>
      </c>
      <c r="I41" t="str">
        <f t="shared" si="3"/>
        <v>WR50-93</v>
      </c>
      <c r="J41" t="str">
        <f t="shared" si="4"/>
        <v>WR15-23</v>
      </c>
      <c r="K41" s="2">
        <f>INDEX('ROS Proj'!$T$2:$T$561,$B41)</f>
        <v>8.5875000000000004</v>
      </c>
      <c r="L41" s="23">
        <f>INDEX('ROS Proj'!$AL$2:$AL$561,$B41)</f>
        <v>8</v>
      </c>
      <c r="M41" s="2">
        <f>SQRT(IF(E41="K",SUMIFS('K Proj'!$P$2:$P$508,'K Proj'!$B$2:$B$508,$C41,'K Proj'!$A$2:$A$508,"&gt;"&amp;Week,'K Proj'!$A$2:$A$508,"&lt;=13"),IF(E41="D",SUMIFS('D Proj'!$N$2:$N$513,'D Proj'!$B$2:$B$513,$C41,'D Proj'!$A$2:$A$513,"&gt;"&amp;Week,'D Proj'!$A$2:$A$513,"&lt;=13"),SUMIFS('F Proj'!$J$2:$J$7669,'F Proj'!$B$2:$B$7669,$C41,'F Proj'!$A$2:$A$7669,"&gt;"&amp;Week,'F Proj'!$A$2:$A$7669,"&lt;=13"))))</f>
        <v>17.343260939050648</v>
      </c>
      <c r="N41" s="2">
        <f t="shared" si="5"/>
        <v>2.0195937046929431</v>
      </c>
      <c r="O41" s="2">
        <f t="shared" si="10"/>
        <v>6.4195923826186689</v>
      </c>
      <c r="P41" s="2">
        <f t="shared" si="11"/>
        <v>10.755407617381332</v>
      </c>
      <c r="Q41" s="2">
        <f>K41-VLOOKUP($E41,Scores!$AG$1:$AM$7,7,FALSE)</f>
        <v>2.5346428571428579</v>
      </c>
      <c r="R41" s="2">
        <f>O41-VLOOKUP($E41,Scores!$AG$1:$AM$7,7,FALSE)</f>
        <v>0.36673523976152644</v>
      </c>
      <c r="S41" s="2">
        <f>P41-VLOOKUP($E41,Scores!$AG$1:$AM$7,7,FALSE)</f>
        <v>4.7025504745241893</v>
      </c>
      <c r="T41">
        <f t="shared" si="6"/>
        <v>93</v>
      </c>
      <c r="U41" s="23">
        <f t="shared" si="7"/>
        <v>23</v>
      </c>
      <c r="V41">
        <f t="shared" si="12"/>
        <v>50</v>
      </c>
      <c r="W41">
        <f t="shared" si="13"/>
        <v>15</v>
      </c>
      <c r="X41" t="str">
        <f>D41&amp;COUNTIF(D$1:D41,D41)</f>
        <v>chad4</v>
      </c>
      <c r="Y41" t="str">
        <f>D41&amp;E41&amp;COUNTIFS(D$1:D41,D41,E$1:E41,E41)</f>
        <v>chadWR2</v>
      </c>
      <c r="Z41" t="s">
        <v>107</v>
      </c>
      <c r="AA41" t="s">
        <v>251</v>
      </c>
    </row>
    <row r="42" spans="1:27" x14ac:dyDescent="0.25">
      <c r="A42">
        <f t="shared" si="9"/>
        <v>41</v>
      </c>
      <c r="B42">
        <f>MATCH(A42,'ROS Proj'!$AI$2:$AI$561,0)</f>
        <v>333</v>
      </c>
      <c r="C42" t="str">
        <f>INDEX('ROS Proj'!$A$2:$A$561,$B42)</f>
        <v>Marvin Jones Jr.</v>
      </c>
      <c r="D42" t="str">
        <f>IFERROR(INDEX(Rosters!$C$2:$C$155,MATCH($C42,Rosters!$B$2:$B$155,0)),"FA")</f>
        <v>matty</v>
      </c>
      <c r="E42" t="str">
        <f>INDEX('ROS Proj'!$B$2:$B$561,$B42)</f>
        <v>WR</v>
      </c>
      <c r="F42" t="str">
        <f>E42&amp;COUNTIF(E$1:E42,E42)</f>
        <v>WR21</v>
      </c>
      <c r="G42">
        <f t="shared" si="1"/>
        <v>0</v>
      </c>
      <c r="H42">
        <f t="shared" si="2"/>
        <v>11</v>
      </c>
      <c r="I42" t="str">
        <f t="shared" si="3"/>
        <v>WR43-77</v>
      </c>
      <c r="J42" t="str">
        <f t="shared" si="4"/>
        <v>WR9-18</v>
      </c>
      <c r="K42" s="2">
        <f>INDEX('ROS Proj'!$T$2:$T$561,$B42)</f>
        <v>9.7485714285714291</v>
      </c>
      <c r="L42" s="23">
        <f>INDEX('ROS Proj'!$AL$2:$AL$561,$B42)</f>
        <v>7</v>
      </c>
      <c r="M42" s="2">
        <f>SQRT(IF(E42="K",SUMIFS('K Proj'!$P$2:$P$508,'K Proj'!$B$2:$B$508,$C42,'K Proj'!$A$2:$A$508,"&gt;"&amp;Week,'K Proj'!$A$2:$A$508,"&lt;=13"),IF(E42="D",SUMIFS('D Proj'!$N$2:$N$513,'D Proj'!$B$2:$B$513,$C42,'D Proj'!$A$2:$A$513,"&gt;"&amp;Week,'D Proj'!$A$2:$A$513,"&lt;=13"),SUMIFS('F Proj'!$J$2:$J$7669,'F Proj'!$B$2:$B$7669,$C42,'F Proj'!$A$2:$A$7669,"&gt;"&amp;Week,'F Proj'!$A$2:$A$7669,"&lt;=13"))))</f>
        <v>16.555736166054352</v>
      </c>
      <c r="N42" s="2">
        <f t="shared" si="5"/>
        <v>1.6982730533760324</v>
      </c>
      <c r="O42" s="2">
        <f t="shared" si="10"/>
        <v>7.3834662619922371</v>
      </c>
      <c r="P42" s="2">
        <f t="shared" si="11"/>
        <v>12.113676595150622</v>
      </c>
      <c r="Q42" s="2">
        <f>K42-VLOOKUP($E42,Scores!$AG$1:$AM$7,7,FALSE)</f>
        <v>3.6957142857142866</v>
      </c>
      <c r="R42" s="2">
        <f>O42-VLOOKUP($E42,Scores!$AG$1:$AM$7,7,FALSE)</f>
        <v>1.3306091191350946</v>
      </c>
      <c r="S42" s="2">
        <f>P42-VLOOKUP($E42,Scores!$AG$1:$AM$7,7,FALSE)</f>
        <v>6.0608194522934795</v>
      </c>
      <c r="T42">
        <f t="shared" si="6"/>
        <v>77</v>
      </c>
      <c r="U42" s="23">
        <f t="shared" si="7"/>
        <v>18</v>
      </c>
      <c r="V42">
        <f t="shared" si="12"/>
        <v>43</v>
      </c>
      <c r="W42">
        <f t="shared" si="13"/>
        <v>9</v>
      </c>
      <c r="X42" t="str">
        <f>D42&amp;COUNTIF(D$1:D42,D42)</f>
        <v>matty6</v>
      </c>
      <c r="Y42" t="str">
        <f>D42&amp;E42&amp;COUNTIFS(D$1:D42,D42,E$1:E42,E42)</f>
        <v>mattyWR3</v>
      </c>
      <c r="Z42" t="s">
        <v>134</v>
      </c>
      <c r="AA42" t="s">
        <v>613</v>
      </c>
    </row>
    <row r="43" spans="1:27" x14ac:dyDescent="0.25">
      <c r="A43">
        <f t="shared" si="9"/>
        <v>42</v>
      </c>
      <c r="B43">
        <f>MATCH(A43,'ROS Proj'!$AI$2:$AI$561,0)</f>
        <v>22</v>
      </c>
      <c r="C43" t="str">
        <f>INDEX('ROS Proj'!$A$2:$A$561,$B43)</f>
        <v>Allen Robinson</v>
      </c>
      <c r="D43" t="str">
        <f>IFERROR(INDEX(Rosters!$C$2:$C$155,MATCH($C43,Rosters!$B$2:$B$155,0)),"FA")</f>
        <v>lucas</v>
      </c>
      <c r="E43" t="str">
        <f>INDEX('ROS Proj'!$B$2:$B$561,$B43)</f>
        <v>WR</v>
      </c>
      <c r="F43" t="str">
        <f>E43&amp;COUNTIF(E$1:E43,E43)</f>
        <v>WR22</v>
      </c>
      <c r="G43">
        <f t="shared" si="1"/>
        <v>0</v>
      </c>
      <c r="H43">
        <f t="shared" si="2"/>
        <v>30</v>
      </c>
      <c r="I43" t="str">
        <f t="shared" si="3"/>
        <v>WR50-93</v>
      </c>
      <c r="J43" t="str">
        <f t="shared" si="4"/>
        <v>WR17-37</v>
      </c>
      <c r="K43" s="2">
        <f>INDEX('ROS Proj'!$T$2:$T$561,$B43)</f>
        <v>8.3312500000000007</v>
      </c>
      <c r="L43" s="23">
        <f>INDEX('ROS Proj'!$AL$2:$AL$561,$B43)</f>
        <v>8</v>
      </c>
      <c r="M43" s="2">
        <f>SQRT(IF(E43="K",SUMIFS('K Proj'!$P$2:$P$508,'K Proj'!$B$2:$B$508,$C43,'K Proj'!$A$2:$A$508,"&gt;"&amp;Week,'K Proj'!$A$2:$A$508,"&lt;=13"),IF(E43="D",SUMIFS('D Proj'!$N$2:$N$513,'D Proj'!$B$2:$B$513,$C43,'D Proj'!$A$2:$A$513,"&gt;"&amp;Week,'D Proj'!$A$2:$A$513,"&lt;=13"),SUMIFS('F Proj'!$J$2:$J$7669,'F Proj'!$B$2:$B$7669,$C43,'F Proj'!$A$2:$A$7669,"&gt;"&amp;Week,'F Proj'!$A$2:$A$7669,"&lt;=13"))))</f>
        <v>16.602349231358794</v>
      </c>
      <c r="N43" s="2">
        <f t="shared" si="5"/>
        <v>1.9927801027887522</v>
      </c>
      <c r="O43" s="2">
        <f t="shared" si="10"/>
        <v>6.2559563460801515</v>
      </c>
      <c r="P43" s="2">
        <f t="shared" si="11"/>
        <v>10.406543653919851</v>
      </c>
      <c r="Q43" s="2">
        <f>K43-VLOOKUP($E43,Scores!$AG$1:$AM$7,7,FALSE)</f>
        <v>2.2783928571428582</v>
      </c>
      <c r="R43" s="2">
        <f>O43-VLOOKUP($E43,Scores!$AG$1:$AM$7,7,FALSE)</f>
        <v>0.20309920322300901</v>
      </c>
      <c r="S43" s="2">
        <f>P43-VLOOKUP($E43,Scores!$AG$1:$AM$7,7,FALSE)</f>
        <v>4.3536865110627083</v>
      </c>
      <c r="T43">
        <f t="shared" si="6"/>
        <v>93</v>
      </c>
      <c r="U43" s="23">
        <f t="shared" si="7"/>
        <v>37</v>
      </c>
      <c r="V43">
        <f t="shared" si="12"/>
        <v>50</v>
      </c>
      <c r="W43">
        <f t="shared" si="13"/>
        <v>17</v>
      </c>
      <c r="X43" t="str">
        <f>D43&amp;COUNTIF(D$1:D43,D43)</f>
        <v>lucas4</v>
      </c>
      <c r="Y43" t="str">
        <f>D43&amp;E43&amp;COUNTIFS(D$1:D43,D43,E$1:E43,E43)</f>
        <v>lucasWR2</v>
      </c>
      <c r="Z43" t="s">
        <v>290</v>
      </c>
      <c r="AA43" t="s">
        <v>119</v>
      </c>
    </row>
    <row r="44" spans="1:27" x14ac:dyDescent="0.25">
      <c r="A44">
        <f t="shared" si="9"/>
        <v>43</v>
      </c>
      <c r="B44">
        <f>MATCH(A44,'ROS Proj'!$AI$2:$AI$561,0)</f>
        <v>324</v>
      </c>
      <c r="C44" t="str">
        <f>INDEX('ROS Proj'!$A$2:$A$561,$B44)</f>
        <v>Mark Ingram II</v>
      </c>
      <c r="D44" t="str">
        <f>IFERROR(INDEX(Rosters!$C$2:$C$155,MATCH($C44,Rosters!$B$2:$B$155,0)),"FA")</f>
        <v>cory</v>
      </c>
      <c r="E44" t="str">
        <f>INDEX('ROS Proj'!$B$2:$B$561,$B44)</f>
        <v>RB</v>
      </c>
      <c r="F44" t="str">
        <f>E44&amp;COUNTIF(E$1:E44,E44)</f>
        <v>RB19</v>
      </c>
      <c r="G44">
        <f t="shared" si="1"/>
        <v>0</v>
      </c>
      <c r="H44">
        <f t="shared" si="2"/>
        <v>-24</v>
      </c>
      <c r="I44" t="str">
        <f t="shared" si="3"/>
        <v>RB36-77</v>
      </c>
      <c r="J44" t="str">
        <f t="shared" si="4"/>
        <v>RB13-18</v>
      </c>
      <c r="K44" s="2">
        <f>INDEX('ROS Proj'!$T$2:$T$561,$B44)</f>
        <v>9.4728571428571424</v>
      </c>
      <c r="L44" s="23">
        <f>INDEX('ROS Proj'!$AL$2:$AL$561,$B44)</f>
        <v>7</v>
      </c>
      <c r="M44" s="2">
        <f>SQRT(IF(E44="K",SUMIFS('K Proj'!$P$2:$P$508,'K Proj'!$B$2:$B$508,$C44,'K Proj'!$A$2:$A$508,"&gt;"&amp;Week,'K Proj'!$A$2:$A$508,"&lt;=13"),IF(E44="D",SUMIFS('D Proj'!$N$2:$N$513,'D Proj'!$B$2:$B$513,$C44,'D Proj'!$A$2:$A$513,"&gt;"&amp;Week,'D Proj'!$A$2:$A$513,"&lt;=13"),SUMIFS('F Proj'!$J$2:$J$7669,'F Proj'!$B$2:$B$7669,$C44,'F Proj'!$A$2:$A$7669,"&gt;"&amp;Week,'F Proj'!$A$2:$A$7669,"&lt;=13"))))</f>
        <v>16.007485748861374</v>
      </c>
      <c r="N44" s="2">
        <f t="shared" si="5"/>
        <v>1.6898265758110333</v>
      </c>
      <c r="O44" s="2">
        <f t="shared" si="10"/>
        <v>7.1860734644483761</v>
      </c>
      <c r="P44" s="2">
        <f t="shared" si="11"/>
        <v>11.75964082126591</v>
      </c>
      <c r="Q44" s="2">
        <f>K44-VLOOKUP($E44,Scores!$AG$1:$AM$7,7,FALSE)</f>
        <v>3.6042857142857132</v>
      </c>
      <c r="R44" s="2">
        <f>O44-VLOOKUP($E44,Scores!$AG$1:$AM$7,7,FALSE)</f>
        <v>1.3175020358769469</v>
      </c>
      <c r="S44" s="2">
        <f>P44-VLOOKUP($E44,Scores!$AG$1:$AM$7,7,FALSE)</f>
        <v>5.8910693926944804</v>
      </c>
      <c r="T44">
        <f t="shared" si="6"/>
        <v>77</v>
      </c>
      <c r="U44" s="23">
        <f t="shared" si="7"/>
        <v>18</v>
      </c>
      <c r="V44">
        <f t="shared" si="12"/>
        <v>36</v>
      </c>
      <c r="W44">
        <f t="shared" si="13"/>
        <v>13</v>
      </c>
      <c r="X44" t="str">
        <f>D44&amp;COUNTIF(D$1:D44,D44)</f>
        <v>cory5</v>
      </c>
      <c r="Y44" t="str">
        <f>D44&amp;E44&amp;COUNTIFS(D$1:D44,D44,E$1:E44,E44)</f>
        <v>coryRB2</v>
      </c>
      <c r="Z44" t="s">
        <v>81</v>
      </c>
      <c r="AA44" t="s">
        <v>1647</v>
      </c>
    </row>
    <row r="45" spans="1:27" x14ac:dyDescent="0.25">
      <c r="A45">
        <f t="shared" si="9"/>
        <v>44</v>
      </c>
      <c r="B45">
        <f>MATCH(A45,'ROS Proj'!$AI$2:$AI$561,0)</f>
        <v>271</v>
      </c>
      <c r="C45" t="str">
        <f>INDEX('ROS Proj'!$A$2:$A$561,$B45)</f>
        <v>Julian Edelman</v>
      </c>
      <c r="D45" t="str">
        <f>IFERROR(INDEX(Rosters!$C$2:$C$155,MATCH($C45,Rosters!$B$2:$B$155,0)),"FA")</f>
        <v>chad</v>
      </c>
      <c r="E45" t="str">
        <f>INDEX('ROS Proj'!$B$2:$B$561,$B45)</f>
        <v>WR</v>
      </c>
      <c r="F45" t="str">
        <f>E45&amp;COUNTIF(E$1:E45,E45)</f>
        <v>WR23</v>
      </c>
      <c r="G45">
        <f t="shared" si="1"/>
        <v>0</v>
      </c>
      <c r="H45">
        <f t="shared" si="2"/>
        <v>4</v>
      </c>
      <c r="I45" t="str">
        <f t="shared" si="3"/>
        <v>WR45-77</v>
      </c>
      <c r="J45" t="str">
        <f t="shared" si="4"/>
        <v>WR11-18</v>
      </c>
      <c r="K45" s="2">
        <f>INDEX('ROS Proj'!$T$2:$T$561,$B45)</f>
        <v>9.418571428571429</v>
      </c>
      <c r="L45" s="23">
        <f>INDEX('ROS Proj'!$AL$2:$AL$561,$B45)</f>
        <v>7</v>
      </c>
      <c r="M45" s="2">
        <f>SQRT(IF(E45="K",SUMIFS('K Proj'!$P$2:$P$508,'K Proj'!$B$2:$B$508,$C45,'K Proj'!$A$2:$A$508,"&gt;"&amp;Week,'K Proj'!$A$2:$A$508,"&lt;=13"),IF(E45="D",SUMIFS('D Proj'!$N$2:$N$513,'D Proj'!$B$2:$B$513,$C45,'D Proj'!$A$2:$A$513,"&gt;"&amp;Week,'D Proj'!$A$2:$A$513,"&lt;=13"),SUMIFS('F Proj'!$J$2:$J$7669,'F Proj'!$B$2:$B$7669,$C45,'F Proj'!$A$2:$A$7669,"&gt;"&amp;Week,'F Proj'!$A$2:$A$7669,"&lt;=13"))))</f>
        <v>15.787387370936331</v>
      </c>
      <c r="N45" s="2">
        <f t="shared" si="5"/>
        <v>1.676197658069988</v>
      </c>
      <c r="O45" s="2">
        <f t="shared" si="10"/>
        <v>7.1632303755805253</v>
      </c>
      <c r="P45" s="2">
        <f t="shared" si="11"/>
        <v>11.673912481562335</v>
      </c>
      <c r="Q45" s="2">
        <f>K45-VLOOKUP($E45,Scores!$AG$1:$AM$7,7,FALSE)</f>
        <v>3.3657142857142865</v>
      </c>
      <c r="R45" s="2">
        <f>O45-VLOOKUP($E45,Scores!$AG$1:$AM$7,7,FALSE)</f>
        <v>1.1103732327233828</v>
      </c>
      <c r="S45" s="2">
        <f>P45-VLOOKUP($E45,Scores!$AG$1:$AM$7,7,FALSE)</f>
        <v>5.621055338705192</v>
      </c>
      <c r="T45">
        <f t="shared" si="6"/>
        <v>77</v>
      </c>
      <c r="U45" s="23">
        <f t="shared" si="7"/>
        <v>18</v>
      </c>
      <c r="V45">
        <f t="shared" si="12"/>
        <v>45</v>
      </c>
      <c r="W45">
        <f t="shared" si="13"/>
        <v>11</v>
      </c>
      <c r="X45" t="str">
        <f>D45&amp;COUNTIF(D$1:D45,D45)</f>
        <v>chad5</v>
      </c>
      <c r="Y45" t="str">
        <f>D45&amp;E45&amp;COUNTIFS(D$1:D45,D45,E$1:E45,E45)</f>
        <v>chadWR3</v>
      </c>
      <c r="Z45" t="s">
        <v>133</v>
      </c>
      <c r="AA45" t="s">
        <v>1330</v>
      </c>
    </row>
    <row r="46" spans="1:27" x14ac:dyDescent="0.25">
      <c r="A46">
        <f t="shared" si="9"/>
        <v>45</v>
      </c>
      <c r="B46">
        <f>MATCH(A46,'ROS Proj'!$AI$2:$AI$561,0)</f>
        <v>25</v>
      </c>
      <c r="C46" t="str">
        <f>INDEX('ROS Proj'!$A$2:$A$561,$B46)</f>
        <v>Amari Cooper</v>
      </c>
      <c r="D46" t="str">
        <f>IFERROR(INDEX(Rosters!$C$2:$C$155,MATCH($C46,Rosters!$B$2:$B$155,0)),"FA")</f>
        <v>comp</v>
      </c>
      <c r="E46" t="str">
        <f>INDEX('ROS Proj'!$B$2:$B$561,$B46)</f>
        <v>WR</v>
      </c>
      <c r="F46" t="str">
        <f>E46&amp;COUNTIF(E$1:E46,E46)</f>
        <v>WR24</v>
      </c>
      <c r="G46">
        <f t="shared" si="1"/>
        <v>0</v>
      </c>
      <c r="H46">
        <f t="shared" si="2"/>
        <v>37</v>
      </c>
      <c r="I46" t="str">
        <f t="shared" si="3"/>
        <v>WR47-77</v>
      </c>
      <c r="J46" t="str">
        <f t="shared" si="4"/>
        <v>WR11-18</v>
      </c>
      <c r="K46" s="2">
        <f>INDEX('ROS Proj'!$T$2:$T$561,$B46)</f>
        <v>9.2642857142857142</v>
      </c>
      <c r="L46" s="23">
        <f>INDEX('ROS Proj'!$AL$2:$AL$561,$B46)</f>
        <v>7</v>
      </c>
      <c r="M46" s="2">
        <f>SQRT(IF(E46="K",SUMIFS('K Proj'!$P$2:$P$508,'K Proj'!$B$2:$B$508,$C46,'K Proj'!$A$2:$A$508,"&gt;"&amp;Week,'K Proj'!$A$2:$A$508,"&lt;=13"),IF(E46="D",SUMIFS('D Proj'!$N$2:$N$513,'D Proj'!$B$2:$B$513,$C46,'D Proj'!$A$2:$A$513,"&gt;"&amp;Week,'D Proj'!$A$2:$A$513,"&lt;=13"),SUMIFS('F Proj'!$J$2:$J$7669,'F Proj'!$B$2:$B$7669,$C46,'F Proj'!$A$2:$A$7669,"&gt;"&amp;Week,'F Proj'!$A$2:$A$7669,"&lt;=13"))))</f>
        <v>17.151323564086827</v>
      </c>
      <c r="N46" s="2">
        <f t="shared" si="5"/>
        <v>1.8513379329006598</v>
      </c>
      <c r="O46" s="2">
        <f t="shared" si="10"/>
        <v>6.8140966337018813</v>
      </c>
      <c r="P46" s="2">
        <f t="shared" si="11"/>
        <v>11.714474794869545</v>
      </c>
      <c r="Q46" s="2">
        <f>K46-VLOOKUP($E46,Scores!$AG$1:$AM$7,7,FALSE)</f>
        <v>3.2114285714285717</v>
      </c>
      <c r="R46" s="2">
        <f>O46-VLOOKUP($E46,Scores!$AG$1:$AM$7,7,FALSE)</f>
        <v>0.76123949084473885</v>
      </c>
      <c r="S46" s="2">
        <f>P46-VLOOKUP($E46,Scores!$AG$1:$AM$7,7,FALSE)</f>
        <v>5.6616176520124029</v>
      </c>
      <c r="T46">
        <f t="shared" si="6"/>
        <v>77</v>
      </c>
      <c r="U46" s="23">
        <f t="shared" si="7"/>
        <v>18</v>
      </c>
      <c r="V46">
        <f t="shared" si="12"/>
        <v>47</v>
      </c>
      <c r="W46">
        <f t="shared" si="13"/>
        <v>11</v>
      </c>
      <c r="X46" t="str">
        <f>D46&amp;COUNTIF(D$1:D46,D46)</f>
        <v>comp5</v>
      </c>
      <c r="Y46" t="str">
        <f>D46&amp;E46&amp;COUNTIFS(D$1:D46,D46,E$1:E46,E46)</f>
        <v>compWR3</v>
      </c>
      <c r="Z46" t="s">
        <v>105</v>
      </c>
      <c r="AA46" t="s">
        <v>103</v>
      </c>
    </row>
    <row r="47" spans="1:27" x14ac:dyDescent="0.25">
      <c r="A47">
        <f t="shared" si="9"/>
        <v>46</v>
      </c>
      <c r="B47">
        <f>MATCH(A47,'ROS Proj'!$AI$2:$AI$561,0)</f>
        <v>388</v>
      </c>
      <c r="C47" t="str">
        <f>INDEX('ROS Proj'!$A$2:$A$561,$B47)</f>
        <v>Quincy Enunwa</v>
      </c>
      <c r="D47" t="str">
        <f>IFERROR(INDEX(Rosters!$C$2:$C$155,MATCH($C47,Rosters!$B$2:$B$155,0)),"FA")</f>
        <v>lucas</v>
      </c>
      <c r="E47" t="str">
        <f>INDEX('ROS Proj'!$B$2:$B$561,$B47)</f>
        <v>WR</v>
      </c>
      <c r="F47" t="str">
        <f>E47&amp;COUNTIF(E$1:E47,E47)</f>
        <v>WR25</v>
      </c>
      <c r="G47">
        <f t="shared" si="1"/>
        <v>0</v>
      </c>
      <c r="H47">
        <f t="shared" si="2"/>
        <v>10</v>
      </c>
      <c r="I47" t="str">
        <f t="shared" si="3"/>
        <v>WR45-77</v>
      </c>
      <c r="J47" t="str">
        <f t="shared" si="4"/>
        <v>WR12-18</v>
      </c>
      <c r="K47" s="2">
        <f>INDEX('ROS Proj'!$T$2:$T$561,$B47)</f>
        <v>9.1171428571428574</v>
      </c>
      <c r="L47" s="23">
        <f>INDEX('ROS Proj'!$AL$2:$AL$561,$B47)</f>
        <v>7</v>
      </c>
      <c r="M47" s="2">
        <f>SQRT(IF(E47="K",SUMIFS('K Proj'!$P$2:$P$508,'K Proj'!$B$2:$B$508,$C47,'K Proj'!$A$2:$A$508,"&gt;"&amp;Week,'K Proj'!$A$2:$A$508,"&lt;=13"),IF(E47="D",SUMIFS('D Proj'!$N$2:$N$513,'D Proj'!$B$2:$B$513,$C47,'D Proj'!$A$2:$A$513,"&gt;"&amp;Week,'D Proj'!$A$2:$A$513,"&lt;=13"),SUMIFS('F Proj'!$J$2:$J$7669,'F Proj'!$B$2:$B$7669,$C47,'F Proj'!$A$2:$A$7669,"&gt;"&amp;Week,'F Proj'!$A$2:$A$7669,"&lt;=13"))))</f>
        <v>14.211224437042715</v>
      </c>
      <c r="N47" s="2">
        <f t="shared" si="5"/>
        <v>1.5587366195440144</v>
      </c>
      <c r="O47" s="2">
        <f t="shared" si="10"/>
        <v>7.0869679375653263</v>
      </c>
      <c r="P47" s="2">
        <f t="shared" si="11"/>
        <v>11.147317776720387</v>
      </c>
      <c r="Q47" s="2">
        <f>K47-VLOOKUP($E47,Scores!$AG$1:$AM$7,7,FALSE)</f>
        <v>3.0642857142857149</v>
      </c>
      <c r="R47" s="2">
        <f>O47-VLOOKUP($E47,Scores!$AG$1:$AM$7,7,FALSE)</f>
        <v>1.0341107947081838</v>
      </c>
      <c r="S47" s="2">
        <f>P47-VLOOKUP($E47,Scores!$AG$1:$AM$7,7,FALSE)</f>
        <v>5.0944606338632443</v>
      </c>
      <c r="T47">
        <f t="shared" si="6"/>
        <v>77</v>
      </c>
      <c r="U47" s="23">
        <f t="shared" si="7"/>
        <v>18</v>
      </c>
      <c r="V47">
        <f t="shared" si="12"/>
        <v>45</v>
      </c>
      <c r="W47">
        <f t="shared" si="13"/>
        <v>12</v>
      </c>
      <c r="X47" t="str">
        <f>D47&amp;COUNTIF(D$1:D47,D47)</f>
        <v>lucas5</v>
      </c>
      <c r="Y47" t="str">
        <f>D47&amp;E47&amp;COUNTIFS(D$1:D47,D47,E$1:E47,E47)</f>
        <v>lucasWR3</v>
      </c>
      <c r="Z47" t="s">
        <v>122</v>
      </c>
      <c r="AA47" t="s">
        <v>1372</v>
      </c>
    </row>
    <row r="48" spans="1:27" x14ac:dyDescent="0.25">
      <c r="A48">
        <f t="shared" si="9"/>
        <v>47</v>
      </c>
      <c r="B48">
        <f>MATCH(A48,'ROS Proj'!$AI$2:$AI$561,0)</f>
        <v>491</v>
      </c>
      <c r="C48" t="str">
        <f>INDEX('ROS Proj'!$A$2:$A$561,$B48)</f>
        <v>Zach Ertz</v>
      </c>
      <c r="D48" t="str">
        <f>IFERROR(INDEX(Rosters!$C$2:$C$155,MATCH($C48,Rosters!$B$2:$B$155,0)),"FA")</f>
        <v>perry</v>
      </c>
      <c r="E48" t="str">
        <f>INDEX('ROS Proj'!$B$2:$B$561,$B48)</f>
        <v>TE</v>
      </c>
      <c r="F48" t="str">
        <f>E48&amp;COUNTIF(E$1:E48,E48)</f>
        <v>TE3</v>
      </c>
      <c r="G48">
        <f t="shared" si="1"/>
        <v>0</v>
      </c>
      <c r="H48">
        <f t="shared" si="2"/>
        <v>16</v>
      </c>
      <c r="I48" t="str">
        <f t="shared" si="3"/>
        <v>TE5-53</v>
      </c>
      <c r="J48" t="str">
        <f t="shared" si="4"/>
        <v>TE1-18</v>
      </c>
      <c r="K48" s="2">
        <f>INDEX('ROS Proj'!$T$2:$T$561,$B48)</f>
        <v>8.7042857142857137</v>
      </c>
      <c r="L48" s="23">
        <f>INDEX('ROS Proj'!$AL$2:$AL$561,$B48)</f>
        <v>7</v>
      </c>
      <c r="M48" s="2">
        <f>SQRT(IF(E48="K",SUMIFS('K Proj'!$P$2:$P$508,'K Proj'!$B$2:$B$508,$C48,'K Proj'!$A$2:$A$508,"&gt;"&amp;Week,'K Proj'!$A$2:$A$508,"&lt;=13"),IF(E48="D",SUMIFS('D Proj'!$N$2:$N$513,'D Proj'!$B$2:$B$513,$C48,'D Proj'!$A$2:$A$513,"&gt;"&amp;Week,'D Proj'!$A$2:$A$513,"&lt;=13"),SUMIFS('F Proj'!$J$2:$J$7669,'F Proj'!$B$2:$B$7669,$C48,'F Proj'!$A$2:$A$7669,"&gt;"&amp;Week,'F Proj'!$A$2:$A$7669,"&lt;=13"))))</f>
        <v>13.431976771867944</v>
      </c>
      <c r="N48" s="2">
        <f t="shared" si="5"/>
        <v>1.5431452060245465</v>
      </c>
      <c r="O48" s="2">
        <f t="shared" si="10"/>
        <v>6.7854318897331494</v>
      </c>
      <c r="P48" s="2">
        <f t="shared" si="11"/>
        <v>10.623139538838277</v>
      </c>
      <c r="Q48" s="2">
        <f>K48-VLOOKUP($E48,Scores!$AG$1:$AM$7,7,FALSE)</f>
        <v>3.524285714285714</v>
      </c>
      <c r="R48" s="2">
        <f>O48-VLOOKUP($E48,Scores!$AG$1:$AM$7,7,FALSE)</f>
        <v>1.6054318897331497</v>
      </c>
      <c r="S48" s="2">
        <f>P48-VLOOKUP($E48,Scores!$AG$1:$AM$7,7,FALSE)</f>
        <v>5.4431395388382775</v>
      </c>
      <c r="T48">
        <f t="shared" si="6"/>
        <v>53</v>
      </c>
      <c r="U48" s="23">
        <f t="shared" si="7"/>
        <v>18</v>
      </c>
      <c r="V48">
        <f t="shared" si="12"/>
        <v>5</v>
      </c>
      <c r="W48">
        <f t="shared" si="13"/>
        <v>1</v>
      </c>
      <c r="X48" t="str">
        <f>D48&amp;COUNTIF(D$1:D48,D48)</f>
        <v>perry4</v>
      </c>
      <c r="Y48" t="str">
        <f>D48&amp;E48&amp;COUNTIFS(D$1:D48,D48,E$1:E48,E48)</f>
        <v>perryTE1</v>
      </c>
      <c r="Z48" t="s">
        <v>248</v>
      </c>
      <c r="AA48" t="s">
        <v>177</v>
      </c>
    </row>
    <row r="49" spans="1:27" x14ac:dyDescent="0.25">
      <c r="A49">
        <f t="shared" si="9"/>
        <v>48</v>
      </c>
      <c r="B49">
        <f>MATCH(A49,'ROS Proj'!$AI$2:$AI$561,0)</f>
        <v>164</v>
      </c>
      <c r="C49" t="str">
        <f>INDEX('ROS Proj'!$A$2:$A$561,$B49)</f>
        <v>Doug Baldwin</v>
      </c>
      <c r="D49" t="str">
        <f>IFERROR(INDEX(Rosters!$C$2:$C$155,MATCH($C49,Rosters!$B$2:$B$155,0)),"FA")</f>
        <v>chad</v>
      </c>
      <c r="E49" t="str">
        <f>INDEX('ROS Proj'!$B$2:$B$561,$B49)</f>
        <v>WR</v>
      </c>
      <c r="F49" t="str">
        <f>E49&amp;COUNTIF(E$1:E49,E49)</f>
        <v>WR26</v>
      </c>
      <c r="G49">
        <f t="shared" si="1"/>
        <v>0</v>
      </c>
      <c r="H49">
        <f t="shared" si="2"/>
        <v>-3</v>
      </c>
      <c r="I49" t="str">
        <f t="shared" si="3"/>
        <v>WR50-77</v>
      </c>
      <c r="J49" t="str">
        <f t="shared" si="4"/>
        <v>WR11-18</v>
      </c>
      <c r="K49" s="2">
        <f>INDEX('ROS Proj'!$T$2:$T$561,$B49)</f>
        <v>8.9971428571428582</v>
      </c>
      <c r="L49" s="23">
        <f>INDEX('ROS Proj'!$AL$2:$AL$561,$B49)</f>
        <v>7</v>
      </c>
      <c r="M49" s="2">
        <f>SQRT(IF(E49="K",SUMIFS('K Proj'!$P$2:$P$508,'K Proj'!$B$2:$B$508,$C49,'K Proj'!$A$2:$A$508,"&gt;"&amp;Week,'K Proj'!$A$2:$A$508,"&lt;=13"),IF(E49="D",SUMIFS('D Proj'!$N$2:$N$513,'D Proj'!$B$2:$B$513,$C49,'D Proj'!$A$2:$A$513,"&gt;"&amp;Week,'D Proj'!$A$2:$A$513,"&lt;=13"),SUMIFS('F Proj'!$J$2:$J$7669,'F Proj'!$B$2:$B$7669,$C49,'F Proj'!$A$2:$A$7669,"&gt;"&amp;Week,'F Proj'!$A$2:$A$7669,"&lt;=13"))))</f>
        <v>17.630224048491275</v>
      </c>
      <c r="N49" s="2">
        <f t="shared" si="5"/>
        <v>1.9595358580412656</v>
      </c>
      <c r="O49" s="2">
        <f t="shared" si="10"/>
        <v>6.478539421644105</v>
      </c>
      <c r="P49" s="2">
        <f t="shared" si="11"/>
        <v>11.515746292641611</v>
      </c>
      <c r="Q49" s="2">
        <f>K49-VLOOKUP($E49,Scores!$AG$1:$AM$7,7,FALSE)</f>
        <v>2.9442857142857157</v>
      </c>
      <c r="R49" s="2">
        <f>O49-VLOOKUP($E49,Scores!$AG$1:$AM$7,7,FALSE)</f>
        <v>0.42568227878696252</v>
      </c>
      <c r="S49" s="2">
        <f>P49-VLOOKUP($E49,Scores!$AG$1:$AM$7,7,FALSE)</f>
        <v>5.462889149784468</v>
      </c>
      <c r="T49">
        <f t="shared" si="6"/>
        <v>77</v>
      </c>
      <c r="U49" s="23">
        <f t="shared" si="7"/>
        <v>18</v>
      </c>
      <c r="V49">
        <f t="shared" si="12"/>
        <v>50</v>
      </c>
      <c r="W49">
        <f t="shared" si="13"/>
        <v>11</v>
      </c>
      <c r="X49" t="str">
        <f>D49&amp;COUNTIF(D$1:D49,D49)</f>
        <v>chad6</v>
      </c>
      <c r="Y49" t="str">
        <f>D49&amp;E49&amp;COUNTIFS(D$1:D49,D49,E$1:E49,E49)</f>
        <v>chadWR4</v>
      </c>
      <c r="Z49" t="s">
        <v>1330</v>
      </c>
      <c r="AA49" t="s">
        <v>105</v>
      </c>
    </row>
    <row r="50" spans="1:27" x14ac:dyDescent="0.25">
      <c r="A50">
        <f t="shared" si="9"/>
        <v>49</v>
      </c>
      <c r="B50">
        <f>MATCH(A50,'ROS Proj'!$AI$2:$AI$561,0)</f>
        <v>99</v>
      </c>
      <c r="C50" t="str">
        <f>INDEX('ROS Proj'!$A$2:$A$561,$B50)</f>
        <v>Chris Thompson</v>
      </c>
      <c r="D50" t="str">
        <f>IFERROR(INDEX(Rosters!$C$2:$C$155,MATCH($C50,Rosters!$B$2:$B$155,0)),"FA")</f>
        <v>lucas</v>
      </c>
      <c r="E50" t="str">
        <f>INDEX('ROS Proj'!$B$2:$B$561,$B50)</f>
        <v>RB</v>
      </c>
      <c r="F50" t="str">
        <f>E50&amp;COUNTIF(E$1:E50,E50)</f>
        <v>RB20</v>
      </c>
      <c r="G50">
        <f t="shared" si="1"/>
        <v>0</v>
      </c>
      <c r="H50">
        <f t="shared" si="2"/>
        <v>0</v>
      </c>
      <c r="I50" t="str">
        <f t="shared" si="3"/>
        <v>RB47-93</v>
      </c>
      <c r="J50" t="str">
        <f t="shared" si="4"/>
        <v>RB19-39</v>
      </c>
      <c r="K50" s="2">
        <f>INDEX('ROS Proj'!$T$2:$T$561,$B50)</f>
        <v>7.8737500000000002</v>
      </c>
      <c r="L50" s="23">
        <f>INDEX('ROS Proj'!$AL$2:$AL$561,$B50)</f>
        <v>8</v>
      </c>
      <c r="M50" s="2">
        <f>SQRT(IF(E50="K",SUMIFS('K Proj'!$P$2:$P$508,'K Proj'!$B$2:$B$508,$C50,'K Proj'!$A$2:$A$508,"&gt;"&amp;Week,'K Proj'!$A$2:$A$508,"&lt;=13"),IF(E50="D",SUMIFS('D Proj'!$N$2:$N$513,'D Proj'!$B$2:$B$513,$C50,'D Proj'!$A$2:$A$513,"&gt;"&amp;Week,'D Proj'!$A$2:$A$513,"&lt;=13"),SUMIFS('F Proj'!$J$2:$J$7669,'F Proj'!$B$2:$B$7669,$C50,'F Proj'!$A$2:$A$7669,"&gt;"&amp;Week,'F Proj'!$A$2:$A$7669,"&lt;=13"))))</f>
        <v>14.885022673815447</v>
      </c>
      <c r="N50" s="2">
        <f t="shared" si="5"/>
        <v>1.8904616826563514</v>
      </c>
      <c r="O50" s="2">
        <f t="shared" si="10"/>
        <v>6.0131221657730691</v>
      </c>
      <c r="P50" s="2">
        <f t="shared" si="11"/>
        <v>9.7343778342269314</v>
      </c>
      <c r="Q50" s="2">
        <f>K50-VLOOKUP($E50,Scores!$AG$1:$AM$7,7,FALSE)</f>
        <v>2.005178571428571</v>
      </c>
      <c r="R50" s="2">
        <f>O50-VLOOKUP($E50,Scores!$AG$1:$AM$7,7,FALSE)</f>
        <v>0.14455073720163991</v>
      </c>
      <c r="S50" s="2">
        <f>P50-VLOOKUP($E50,Scores!$AG$1:$AM$7,7,FALSE)</f>
        <v>3.8658064056555022</v>
      </c>
      <c r="T50">
        <f t="shared" si="6"/>
        <v>93</v>
      </c>
      <c r="U50" s="23">
        <f t="shared" si="7"/>
        <v>39</v>
      </c>
      <c r="V50">
        <f t="shared" si="12"/>
        <v>47</v>
      </c>
      <c r="W50">
        <f t="shared" si="13"/>
        <v>19</v>
      </c>
      <c r="X50" t="str">
        <f>D50&amp;COUNTIF(D$1:D50,D50)</f>
        <v>lucas6</v>
      </c>
      <c r="Y50" t="str">
        <f>D50&amp;E50&amp;COUNTIFS(D$1:D50,D50,E$1:E50,E50)</f>
        <v>lucasRB2</v>
      </c>
      <c r="Z50" t="s">
        <v>202</v>
      </c>
      <c r="AA50" t="s">
        <v>202</v>
      </c>
    </row>
    <row r="51" spans="1:27" x14ac:dyDescent="0.25">
      <c r="A51">
        <f t="shared" si="9"/>
        <v>50</v>
      </c>
      <c r="B51">
        <f>MATCH(A51,'ROS Proj'!$AI$2:$AI$561,0)</f>
        <v>153</v>
      </c>
      <c r="C51" t="str">
        <f>INDEX('ROS Proj'!$A$2:$A$561,$B51)</f>
        <v>Derrick Henry</v>
      </c>
      <c r="D51" t="str">
        <f>IFERROR(INDEX(Rosters!$C$2:$C$155,MATCH($C51,Rosters!$B$2:$B$155,0)),"FA")</f>
        <v>seth</v>
      </c>
      <c r="E51" t="str">
        <f>INDEX('ROS Proj'!$B$2:$B$561,$B51)</f>
        <v>RB</v>
      </c>
      <c r="F51" t="str">
        <f>E51&amp;COUNTIF(E$1:E51,E51)</f>
        <v>RB21</v>
      </c>
      <c r="G51">
        <f t="shared" si="1"/>
        <v>0</v>
      </c>
      <c r="H51">
        <f t="shared" si="2"/>
        <v>10</v>
      </c>
      <c r="I51" t="str">
        <f t="shared" si="3"/>
        <v>RB41-77</v>
      </c>
      <c r="J51" t="str">
        <f t="shared" si="4"/>
        <v>RB14-18</v>
      </c>
      <c r="K51" s="2">
        <f>INDEX('ROS Proj'!$T$2:$T$561,$B51)</f>
        <v>8.99</v>
      </c>
      <c r="L51" s="23">
        <f>INDEX('ROS Proj'!$AL$2:$AL$561,$B51)</f>
        <v>7</v>
      </c>
      <c r="M51" s="2">
        <f>SQRT(IF(E51="K",SUMIFS('K Proj'!$P$2:$P$508,'K Proj'!$B$2:$B$508,$C51,'K Proj'!$A$2:$A$508,"&gt;"&amp;Week,'K Proj'!$A$2:$A$508,"&lt;=13"),IF(E51="D",SUMIFS('D Proj'!$N$2:$N$513,'D Proj'!$B$2:$B$513,$C51,'D Proj'!$A$2:$A$513,"&gt;"&amp;Week,'D Proj'!$A$2:$A$513,"&lt;=13"),SUMIFS('F Proj'!$J$2:$J$7669,'F Proj'!$B$2:$B$7669,$C51,'F Proj'!$A$2:$A$7669,"&gt;"&amp;Week,'F Proj'!$A$2:$A$7669,"&lt;=13"))))</f>
        <v>17.26662966534002</v>
      </c>
      <c r="N51" s="2">
        <f t="shared" si="5"/>
        <v>1.9206484611056751</v>
      </c>
      <c r="O51" s="2">
        <f t="shared" si="10"/>
        <v>6.5233386192371396</v>
      </c>
      <c r="P51" s="2">
        <f t="shared" si="11"/>
        <v>11.456661380762862</v>
      </c>
      <c r="Q51" s="2">
        <f>K51-VLOOKUP($E51,Scores!$AG$1:$AM$7,7,FALSE)</f>
        <v>3.121428571428571</v>
      </c>
      <c r="R51" s="2">
        <f>O51-VLOOKUP($E51,Scores!$AG$1:$AM$7,7,FALSE)</f>
        <v>0.65476719066571043</v>
      </c>
      <c r="S51" s="2">
        <f>P51-VLOOKUP($E51,Scores!$AG$1:$AM$7,7,FALSE)</f>
        <v>5.5880899521914325</v>
      </c>
      <c r="T51">
        <f t="shared" si="6"/>
        <v>77</v>
      </c>
      <c r="U51" s="23">
        <f t="shared" si="7"/>
        <v>18</v>
      </c>
      <c r="V51">
        <f t="shared" si="12"/>
        <v>41</v>
      </c>
      <c r="W51">
        <f t="shared" si="13"/>
        <v>14</v>
      </c>
      <c r="X51" t="str">
        <f>D51&amp;COUNTIF(D$1:D51,D51)</f>
        <v>seth3</v>
      </c>
      <c r="Y51" t="str">
        <f>D51&amp;E51&amp;COUNTIFS(D$1:D51,D51,E$1:E51,E51)</f>
        <v>sethRB1</v>
      </c>
      <c r="Z51" t="s">
        <v>266</v>
      </c>
      <c r="AA51" t="s">
        <v>201</v>
      </c>
    </row>
    <row r="52" spans="1:27" x14ac:dyDescent="0.25">
      <c r="A52">
        <f t="shared" si="9"/>
        <v>51</v>
      </c>
      <c r="B52">
        <f>MATCH(A52,'ROS Proj'!$AI$2:$AI$561,0)</f>
        <v>146</v>
      </c>
      <c r="C52" t="str">
        <f>INDEX('ROS Proj'!$A$2:$A$561,$B52)</f>
        <v>Demaryius Thomas</v>
      </c>
      <c r="D52" t="str">
        <f>IFERROR(INDEX(Rosters!$C$2:$C$155,MATCH($C52,Rosters!$B$2:$B$155,0)),"FA")</f>
        <v>devon</v>
      </c>
      <c r="E52" t="str">
        <f>INDEX('ROS Proj'!$B$2:$B$561,$B52)</f>
        <v>WR</v>
      </c>
      <c r="F52" t="str">
        <f>E52&amp;COUNTIF(E$1:E52,E52)</f>
        <v>WR27</v>
      </c>
      <c r="G52">
        <f t="shared" si="1"/>
        <v>0</v>
      </c>
      <c r="H52">
        <f t="shared" si="2"/>
        <v>2</v>
      </c>
      <c r="I52" t="str">
        <f t="shared" si="3"/>
        <v>WR45-77</v>
      </c>
      <c r="J52" t="str">
        <f t="shared" si="4"/>
        <v>WR13-23</v>
      </c>
      <c r="K52" s="2">
        <f>INDEX('ROS Proj'!$T$2:$T$561,$B52)</f>
        <v>8.9128571428571437</v>
      </c>
      <c r="L52" s="23">
        <f>INDEX('ROS Proj'!$AL$2:$AL$561,$B52)</f>
        <v>7</v>
      </c>
      <c r="M52" s="2">
        <f>SQRT(IF(E52="K",SUMIFS('K Proj'!$P$2:$P$508,'K Proj'!$B$2:$B$508,$C52,'K Proj'!$A$2:$A$508,"&gt;"&amp;Week,'K Proj'!$A$2:$A$508,"&lt;=13"),IF(E52="D",SUMIFS('D Proj'!$N$2:$N$513,'D Proj'!$B$2:$B$513,$C52,'D Proj'!$A$2:$A$513,"&gt;"&amp;Week,'D Proj'!$A$2:$A$513,"&lt;=13"),SUMIFS('F Proj'!$J$2:$J$7669,'F Proj'!$B$2:$B$7669,$C52,'F Proj'!$A$2:$A$7669,"&gt;"&amp;Week,'F Proj'!$A$2:$A$7669,"&lt;=13"))))</f>
        <v>13.923598672756983</v>
      </c>
      <c r="N52" s="2">
        <f t="shared" si="5"/>
        <v>1.5621925101666754</v>
      </c>
      <c r="O52" s="2">
        <f t="shared" si="10"/>
        <v>6.9237716181775752</v>
      </c>
      <c r="P52" s="2">
        <f t="shared" si="11"/>
        <v>10.901942667536714</v>
      </c>
      <c r="Q52" s="2">
        <f>K52-VLOOKUP($E52,Scores!$AG$1:$AM$7,7,FALSE)</f>
        <v>2.8600000000000012</v>
      </c>
      <c r="R52" s="2">
        <f>O52-VLOOKUP($E52,Scores!$AG$1:$AM$7,7,FALSE)</f>
        <v>0.87091447532043276</v>
      </c>
      <c r="S52" s="2">
        <f>P52-VLOOKUP($E52,Scores!$AG$1:$AM$7,7,FALSE)</f>
        <v>4.8490855246795714</v>
      </c>
      <c r="T52">
        <f t="shared" si="6"/>
        <v>77</v>
      </c>
      <c r="U52" s="23">
        <f t="shared" si="7"/>
        <v>23</v>
      </c>
      <c r="V52">
        <f t="shared" si="12"/>
        <v>45</v>
      </c>
      <c r="W52">
        <f t="shared" si="13"/>
        <v>13</v>
      </c>
      <c r="X52" t="str">
        <f>D52&amp;COUNTIF(D$1:D52,D52)</f>
        <v>devon6</v>
      </c>
      <c r="Y52" t="str">
        <f>D52&amp;E52&amp;COUNTIFS(D$1:D52,D52,E$1:E52,E52)</f>
        <v>devonWR3</v>
      </c>
      <c r="Z52" t="s">
        <v>355</v>
      </c>
      <c r="AA52" t="s">
        <v>136</v>
      </c>
    </row>
    <row r="53" spans="1:27" x14ac:dyDescent="0.25">
      <c r="A53">
        <f t="shared" si="9"/>
        <v>52</v>
      </c>
      <c r="B53">
        <f>MATCH(A53,'ROS Proj'!$AI$2:$AI$561,0)</f>
        <v>386</v>
      </c>
      <c r="C53" t="str">
        <f>INDEX('ROS Proj'!$A$2:$A$561,$B53)</f>
        <v>Phillip Lindsay</v>
      </c>
      <c r="D53" t="str">
        <f>IFERROR(INDEX(Rosters!$C$2:$C$155,MATCH($C53,Rosters!$B$2:$B$155,0)),"FA")</f>
        <v>perry</v>
      </c>
      <c r="E53" t="str">
        <f>INDEX('ROS Proj'!$B$2:$B$561,$B53)</f>
        <v>RB</v>
      </c>
      <c r="F53" t="str">
        <f>E53&amp;COUNTIF(E$1:E53,E53)</f>
        <v>RB22</v>
      </c>
      <c r="G53">
        <f t="shared" si="1"/>
        <v>0</v>
      </c>
      <c r="H53">
        <f t="shared" si="2"/>
        <v>17</v>
      </c>
      <c r="I53" t="str">
        <f t="shared" si="3"/>
        <v>RB46-93</v>
      </c>
      <c r="J53" t="str">
        <f t="shared" si="4"/>
        <v>RB14-18</v>
      </c>
      <c r="K53" s="2">
        <f>INDEX('ROS Proj'!$T$2:$T$561,$B53)</f>
        <v>8.9142857142857146</v>
      </c>
      <c r="L53" s="23">
        <f>INDEX('ROS Proj'!$AL$2:$AL$561,$B53)</f>
        <v>7</v>
      </c>
      <c r="M53" s="2">
        <f>SQRT(IF(E53="K",SUMIFS('K Proj'!$P$2:$P$508,'K Proj'!$B$2:$B$508,$C53,'K Proj'!$A$2:$A$508,"&gt;"&amp;Week,'K Proj'!$A$2:$A$508,"&lt;=13"),IF(E53="D",SUMIFS('D Proj'!$N$2:$N$513,'D Proj'!$B$2:$B$513,$C53,'D Proj'!$A$2:$A$513,"&gt;"&amp;Week,'D Proj'!$A$2:$A$513,"&lt;=13"),SUMIFS('F Proj'!$J$2:$J$7669,'F Proj'!$B$2:$B$7669,$C53,'F Proj'!$A$2:$A$7669,"&gt;"&amp;Week,'F Proj'!$A$2:$A$7669,"&lt;=13"))))</f>
        <v>19.625982777940067</v>
      </c>
      <c r="N53" s="2">
        <f t="shared" si="5"/>
        <v>2.2016326834227637</v>
      </c>
      <c r="O53" s="2">
        <f t="shared" si="10"/>
        <v>6.110573888865706</v>
      </c>
      <c r="P53" s="2">
        <f t="shared" si="11"/>
        <v>11.717997539705724</v>
      </c>
      <c r="Q53" s="2">
        <f>K53-VLOOKUP($E53,Scores!$AG$1:$AM$7,7,FALSE)</f>
        <v>3.0457142857142854</v>
      </c>
      <c r="R53" s="2">
        <f>O53-VLOOKUP($E53,Scores!$AG$1:$AM$7,7,FALSE)</f>
        <v>0.24200246029427674</v>
      </c>
      <c r="S53" s="2">
        <f>P53-VLOOKUP($E53,Scores!$AG$1:$AM$7,7,FALSE)</f>
        <v>5.8494261111342949</v>
      </c>
      <c r="T53">
        <f t="shared" si="6"/>
        <v>93</v>
      </c>
      <c r="U53" s="23">
        <f t="shared" si="7"/>
        <v>18</v>
      </c>
      <c r="V53">
        <f t="shared" si="12"/>
        <v>46</v>
      </c>
      <c r="W53">
        <f t="shared" si="13"/>
        <v>14</v>
      </c>
      <c r="X53" t="str">
        <f>D53&amp;COUNTIF(D$1:D53,D53)</f>
        <v>perry5</v>
      </c>
      <c r="Y53" t="str">
        <f>D53&amp;E53&amp;COUNTIFS(D$1:D53,D53,E$1:E53,E53)</f>
        <v>perryRB2</v>
      </c>
      <c r="Z53" t="s">
        <v>613</v>
      </c>
      <c r="AA53" t="s">
        <v>3533</v>
      </c>
    </row>
    <row r="54" spans="1:27" x14ac:dyDescent="0.25">
      <c r="A54">
        <f t="shared" si="9"/>
        <v>53</v>
      </c>
      <c r="B54">
        <f>MATCH(A54,'ROS Proj'!$AI$2:$AI$561,0)</f>
        <v>221</v>
      </c>
      <c r="C54" t="str">
        <f>INDEX('ROS Proj'!$A$2:$A$561,$B54)</f>
        <v>James White</v>
      </c>
      <c r="D54" t="str">
        <f>IFERROR(INDEX(Rosters!$C$2:$C$155,MATCH($C54,Rosters!$B$2:$B$155,0)),"FA")</f>
        <v>cory</v>
      </c>
      <c r="E54" t="str">
        <f>INDEX('ROS Proj'!$B$2:$B$561,$B54)</f>
        <v>RB</v>
      </c>
      <c r="F54" t="str">
        <f>E54&amp;COUNTIF(E$1:E54,E54)</f>
        <v>RB23</v>
      </c>
      <c r="G54">
        <f t="shared" si="1"/>
        <v>0</v>
      </c>
      <c r="H54">
        <f t="shared" si="2"/>
        <v>34</v>
      </c>
      <c r="I54" t="str">
        <f t="shared" si="3"/>
        <v>RB36-77</v>
      </c>
      <c r="J54" t="str">
        <f t="shared" si="4"/>
        <v>RB16-23</v>
      </c>
      <c r="K54" s="2">
        <f>INDEX('ROS Proj'!$T$2:$T$561,$B54)</f>
        <v>8.9014285714285712</v>
      </c>
      <c r="L54" s="23">
        <f>INDEX('ROS Proj'!$AL$2:$AL$561,$B54)</f>
        <v>7</v>
      </c>
      <c r="M54" s="2">
        <f>SQRT(IF(E54="K",SUMIFS('K Proj'!$P$2:$P$508,'K Proj'!$B$2:$B$508,$C54,'K Proj'!$A$2:$A$508,"&gt;"&amp;Week,'K Proj'!$A$2:$A$508,"&lt;=13"),IF(E54="D",SUMIFS('D Proj'!$N$2:$N$513,'D Proj'!$B$2:$B$513,$C54,'D Proj'!$A$2:$A$513,"&gt;"&amp;Week,'D Proj'!$A$2:$A$513,"&lt;=13"),SUMIFS('F Proj'!$J$2:$J$7669,'F Proj'!$B$2:$B$7669,$C54,'F Proj'!$A$2:$A$7669,"&gt;"&amp;Week,'F Proj'!$A$2:$A$7669,"&lt;=13"))))</f>
        <v>12.497319712642389</v>
      </c>
      <c r="N54" s="2">
        <f t="shared" si="5"/>
        <v>1.4039678701411766</v>
      </c>
      <c r="O54" s="2">
        <f t="shared" si="10"/>
        <v>7.1160971839082308</v>
      </c>
      <c r="P54" s="2">
        <f t="shared" si="11"/>
        <v>10.686759958948914</v>
      </c>
      <c r="Q54" s="2">
        <f>K54-VLOOKUP($E54,Scores!$AG$1:$AM$7,7,FALSE)</f>
        <v>3.032857142857142</v>
      </c>
      <c r="R54" s="2">
        <f>O54-VLOOKUP($E54,Scores!$AG$1:$AM$7,7,FALSE)</f>
        <v>1.2475257553368015</v>
      </c>
      <c r="S54" s="2">
        <f>P54-VLOOKUP($E54,Scores!$AG$1:$AM$7,7,FALSE)</f>
        <v>4.8181885303774843</v>
      </c>
      <c r="T54">
        <f t="shared" si="6"/>
        <v>77</v>
      </c>
      <c r="U54" s="23">
        <f t="shared" si="7"/>
        <v>23</v>
      </c>
      <c r="V54">
        <f t="shared" si="12"/>
        <v>36</v>
      </c>
      <c r="W54">
        <f t="shared" si="13"/>
        <v>16</v>
      </c>
      <c r="X54" t="str">
        <f>D54&amp;COUNTIF(D$1:D54,D54)</f>
        <v>cory6</v>
      </c>
      <c r="Y54" t="str">
        <f>D54&amp;E54&amp;COUNTIFS(D$1:D54,D54,E$1:E54,E54)</f>
        <v>coryRB3</v>
      </c>
      <c r="Z54" t="s">
        <v>136</v>
      </c>
      <c r="AA54" t="s">
        <v>193</v>
      </c>
    </row>
    <row r="55" spans="1:27" x14ac:dyDescent="0.25">
      <c r="A55">
        <f t="shared" si="9"/>
        <v>54</v>
      </c>
      <c r="B55">
        <f>MATCH(A55,'ROS Proj'!$AI$2:$AI$561,0)</f>
        <v>76</v>
      </c>
      <c r="C55" t="str">
        <f>INDEX('ROS Proj'!$A$2:$A$561,$B55)</f>
        <v>Cam Newton</v>
      </c>
      <c r="D55" t="str">
        <f>IFERROR(INDEX(Rosters!$C$2:$C$155,MATCH($C55,Rosters!$B$2:$B$155,0)),"FA")</f>
        <v>devon</v>
      </c>
      <c r="E55" t="str">
        <f>INDEX('ROS Proj'!$B$2:$B$561,$B55)</f>
        <v>QB</v>
      </c>
      <c r="F55" t="str">
        <f>E55&amp;COUNTIF(E$1:E55,E55)</f>
        <v>QB1</v>
      </c>
      <c r="G55">
        <f t="shared" si="1"/>
        <v>0</v>
      </c>
      <c r="H55">
        <f t="shared" si="2"/>
        <v>-16</v>
      </c>
      <c r="I55" t="str">
        <f t="shared" si="3"/>
        <v>QB13-167</v>
      </c>
      <c r="J55" t="str">
        <f t="shared" si="4"/>
        <v>QB1-38</v>
      </c>
      <c r="K55" s="2">
        <f>INDEX('ROS Proj'!$T$2:$T$561,$B55)</f>
        <v>20.865000000000002</v>
      </c>
      <c r="L55" s="23">
        <f>INDEX('ROS Proj'!$AL$2:$AL$561,$B55)</f>
        <v>8</v>
      </c>
      <c r="M55" s="2">
        <f>SQRT(IF(E55="K",SUMIFS('K Proj'!$P$2:$P$508,'K Proj'!$B$2:$B$508,$C55,'K Proj'!$A$2:$A$508,"&gt;"&amp;Week,'K Proj'!$A$2:$A$508,"&lt;=13"),IF(E55="D",SUMIFS('D Proj'!$N$2:$N$513,'D Proj'!$B$2:$B$513,$C55,'D Proj'!$A$2:$A$513,"&gt;"&amp;Week,'D Proj'!$A$2:$A$513,"&lt;=13"),SUMIFS('F Proj'!$J$2:$J$7669,'F Proj'!$B$2:$B$7669,$C55,'F Proj'!$A$2:$A$7669,"&gt;"&amp;Week,'F Proj'!$A$2:$A$7669,"&lt;=13"))))</f>
        <v>23.229644853075133</v>
      </c>
      <c r="N55" s="2">
        <f t="shared" si="5"/>
        <v>1.1133306902983529</v>
      </c>
      <c r="O55" s="2">
        <f t="shared" si="10"/>
        <v>17.961294393365609</v>
      </c>
      <c r="P55" s="2">
        <f t="shared" si="11"/>
        <v>23.768705606634395</v>
      </c>
      <c r="Q55" s="2">
        <f>K55-VLOOKUP($E55,Scores!$AG$1:$AM$7,7,FALSE)</f>
        <v>1.3650000000000055</v>
      </c>
      <c r="R55" s="2">
        <f>O55-VLOOKUP($E55,Scores!$AG$1:$AM$7,7,FALSE)</f>
        <v>-1.5387056066343874</v>
      </c>
      <c r="S55" s="2">
        <f>P55-VLOOKUP($E55,Scores!$AG$1:$AM$7,7,FALSE)</f>
        <v>4.2687056066343985</v>
      </c>
      <c r="T55">
        <f t="shared" si="6"/>
        <v>167</v>
      </c>
      <c r="U55" s="23">
        <f t="shared" si="7"/>
        <v>38</v>
      </c>
      <c r="V55">
        <f t="shared" si="12"/>
        <v>13</v>
      </c>
      <c r="W55">
        <f t="shared" si="13"/>
        <v>1</v>
      </c>
      <c r="X55" t="str">
        <f>D55&amp;COUNTIF(D$1:D55,D55)</f>
        <v>devon7</v>
      </c>
      <c r="Y55" t="str">
        <f>D55&amp;E55&amp;COUNTIFS(D$1:D55,D55,E$1:E55,E55)</f>
        <v>devonQB1</v>
      </c>
      <c r="Z55" t="s">
        <v>125</v>
      </c>
      <c r="AA55" t="s">
        <v>39</v>
      </c>
    </row>
    <row r="56" spans="1:27" x14ac:dyDescent="0.25">
      <c r="A56">
        <f t="shared" si="9"/>
        <v>55</v>
      </c>
      <c r="B56">
        <f>MATCH(A56,'ROS Proj'!$AI$2:$AI$561,0)</f>
        <v>334</v>
      </c>
      <c r="C56" t="str">
        <f>INDEX('ROS Proj'!$A$2:$A$561,$B56)</f>
        <v>Matt Breida</v>
      </c>
      <c r="D56" t="str">
        <f>IFERROR(INDEX(Rosters!$C$2:$C$155,MATCH($C56,Rosters!$B$2:$B$155,0)),"FA")</f>
        <v>perry</v>
      </c>
      <c r="E56" t="str">
        <f>INDEX('ROS Proj'!$B$2:$B$561,$B56)</f>
        <v>RB</v>
      </c>
      <c r="F56" t="str">
        <f>E56&amp;COUNTIF(E$1:E56,E56)</f>
        <v>RB24</v>
      </c>
      <c r="G56">
        <f t="shared" si="1"/>
        <v>0</v>
      </c>
      <c r="H56">
        <f t="shared" si="2"/>
        <v>2</v>
      </c>
      <c r="I56" t="str">
        <f t="shared" si="3"/>
        <v>RB38-77</v>
      </c>
      <c r="J56" t="str">
        <f t="shared" si="4"/>
        <v>RB15-23</v>
      </c>
      <c r="K56" s="2">
        <f>INDEX('ROS Proj'!$T$2:$T$561,$B56)</f>
        <v>8.7628571428571433</v>
      </c>
      <c r="L56" s="23">
        <f>INDEX('ROS Proj'!$AL$2:$AL$561,$B56)</f>
        <v>7</v>
      </c>
      <c r="M56" s="2">
        <f>SQRT(IF(E56="K",SUMIFS('K Proj'!$P$2:$P$508,'K Proj'!$B$2:$B$508,$C56,'K Proj'!$A$2:$A$508,"&gt;"&amp;Week,'K Proj'!$A$2:$A$508,"&lt;=13"),IF(E56="D",SUMIFS('D Proj'!$N$2:$N$513,'D Proj'!$B$2:$B$513,$C56,'D Proj'!$A$2:$A$513,"&gt;"&amp;Week,'D Proj'!$A$2:$A$513,"&lt;=13"),SUMIFS('F Proj'!$J$2:$J$7669,'F Proj'!$B$2:$B$7669,$C56,'F Proj'!$A$2:$A$7669,"&gt;"&amp;Week,'F Proj'!$A$2:$A$7669,"&lt;=13"))))</f>
        <v>14.596496154899642</v>
      </c>
      <c r="N56" s="2">
        <f t="shared" si="5"/>
        <v>1.6657233955705493</v>
      </c>
      <c r="O56" s="2">
        <f t="shared" si="10"/>
        <v>6.6776434064429093</v>
      </c>
      <c r="P56" s="2">
        <f t="shared" si="11"/>
        <v>10.848070879271377</v>
      </c>
      <c r="Q56" s="2">
        <f>K56-VLOOKUP($E56,Scores!$AG$1:$AM$7,7,FALSE)</f>
        <v>2.8942857142857141</v>
      </c>
      <c r="R56" s="2">
        <f>O56-VLOOKUP($E56,Scores!$AG$1:$AM$7,7,FALSE)</f>
        <v>0.80907197787148011</v>
      </c>
      <c r="S56" s="2">
        <f>P56-VLOOKUP($E56,Scores!$AG$1:$AM$7,7,FALSE)</f>
        <v>4.9794994506999481</v>
      </c>
      <c r="T56">
        <f t="shared" si="6"/>
        <v>77</v>
      </c>
      <c r="U56" s="23">
        <f t="shared" si="7"/>
        <v>23</v>
      </c>
      <c r="V56">
        <f t="shared" si="12"/>
        <v>38</v>
      </c>
      <c r="W56">
        <f t="shared" si="13"/>
        <v>15</v>
      </c>
      <c r="X56" t="str">
        <f>D56&amp;COUNTIF(D$1:D56,D56)</f>
        <v>perry6</v>
      </c>
      <c r="Y56" t="str">
        <f>D56&amp;E56&amp;COUNTIFS(D$1:D56,D56,E$1:E56,E56)</f>
        <v>perryRB3</v>
      </c>
      <c r="Z56" t="s">
        <v>240</v>
      </c>
      <c r="AA56" t="s">
        <v>228</v>
      </c>
    </row>
    <row r="57" spans="1:27" x14ac:dyDescent="0.25">
      <c r="A57">
        <f t="shared" si="9"/>
        <v>56</v>
      </c>
      <c r="B57">
        <f>MATCH(A57,'ROS Proj'!$AI$2:$AI$561,0)</f>
        <v>310</v>
      </c>
      <c r="C57" t="str">
        <f>INDEX('ROS Proj'!$A$2:$A$561,$B57)</f>
        <v>Leonard Fournette</v>
      </c>
      <c r="D57" t="str">
        <f>IFERROR(INDEX(Rosters!$C$2:$C$155,MATCH($C57,Rosters!$B$2:$B$155,0)),"FA")</f>
        <v>seth</v>
      </c>
      <c r="E57" t="str">
        <f>INDEX('ROS Proj'!$B$2:$B$561,$B57)</f>
        <v>RB</v>
      </c>
      <c r="F57" t="str">
        <f>E57&amp;COUNTIF(E$1:E57,E57)</f>
        <v>RB25</v>
      </c>
      <c r="G57">
        <f t="shared" si="1"/>
        <v>0</v>
      </c>
      <c r="H57">
        <f t="shared" si="2"/>
        <v>-47</v>
      </c>
      <c r="I57" t="str">
        <f t="shared" si="3"/>
        <v>RB45-77</v>
      </c>
      <c r="J57" t="str">
        <f t="shared" si="4"/>
        <v>RB14-18</v>
      </c>
      <c r="K57" s="2">
        <f>INDEX('ROS Proj'!$T$2:$T$561,$B57)</f>
        <v>8.735714285714284</v>
      </c>
      <c r="L57" s="23">
        <f>INDEX('ROS Proj'!$AL$2:$AL$561,$B57)</f>
        <v>6</v>
      </c>
      <c r="M57" s="2">
        <f>SQRT(IF(E57="K",SUMIFS('K Proj'!$P$2:$P$508,'K Proj'!$B$2:$B$508,$C57,'K Proj'!$A$2:$A$508,"&gt;"&amp;Week,'K Proj'!$A$2:$A$508,"&lt;=13"),IF(E57="D",SUMIFS('D Proj'!$N$2:$N$513,'D Proj'!$B$2:$B$513,$C57,'D Proj'!$A$2:$A$513,"&gt;"&amp;Week,'D Proj'!$A$2:$A$513,"&lt;=13"),SUMIFS('F Proj'!$J$2:$J$7669,'F Proj'!$B$2:$B$7669,$C57,'F Proj'!$A$2:$A$7669,"&gt;"&amp;Week,'F Proj'!$A$2:$A$7669,"&lt;=13"))))</f>
        <v>14.660392218491291</v>
      </c>
      <c r="N57" s="2">
        <f t="shared" si="5"/>
        <v>1.6782133365402954</v>
      </c>
      <c r="O57" s="2">
        <f t="shared" si="10"/>
        <v>6.2923155826324022</v>
      </c>
      <c r="P57" s="2">
        <f t="shared" si="11"/>
        <v>11.179112988796165</v>
      </c>
      <c r="Q57" s="2">
        <f>K57-VLOOKUP($E57,Scores!$AG$1:$AM$7,7,FALSE)</f>
        <v>2.8671428571428548</v>
      </c>
      <c r="R57" s="2">
        <f>O57-VLOOKUP($E57,Scores!$AG$1:$AM$7,7,FALSE)</f>
        <v>0.42374415406097299</v>
      </c>
      <c r="S57" s="2">
        <f>P57-VLOOKUP($E57,Scores!$AG$1:$AM$7,7,FALSE)</f>
        <v>5.3105415602247357</v>
      </c>
      <c r="T57">
        <f t="shared" si="6"/>
        <v>77</v>
      </c>
      <c r="U57" s="23">
        <f t="shared" si="7"/>
        <v>18</v>
      </c>
      <c r="V57">
        <f t="shared" si="12"/>
        <v>45</v>
      </c>
      <c r="W57">
        <f t="shared" si="13"/>
        <v>14</v>
      </c>
      <c r="X57" t="str">
        <f>D57&amp;COUNTIF(D$1:D57,D57)</f>
        <v>seth4</v>
      </c>
      <c r="Y57" t="str">
        <f>D57&amp;E57&amp;COUNTIFS(D$1:D57,D57,E$1:E57,E57)</f>
        <v>sethRB2</v>
      </c>
      <c r="Z57" t="s">
        <v>1372</v>
      </c>
      <c r="AA57" t="s">
        <v>111</v>
      </c>
    </row>
    <row r="58" spans="1:27" x14ac:dyDescent="0.25">
      <c r="A58">
        <f t="shared" si="9"/>
        <v>57</v>
      </c>
      <c r="B58">
        <f>MATCH(A58,'ROS Proj'!$AI$2:$AI$561,0)</f>
        <v>112</v>
      </c>
      <c r="C58" t="str">
        <f>INDEX('ROS Proj'!$A$2:$A$561,$B58)</f>
        <v>Corey Davis</v>
      </c>
      <c r="D58" t="str">
        <f>IFERROR(INDEX(Rosters!$C$2:$C$155,MATCH($C58,Rosters!$B$2:$B$155,0)),"FA")</f>
        <v>matty</v>
      </c>
      <c r="E58" t="str">
        <f>INDEX('ROS Proj'!$B$2:$B$561,$B58)</f>
        <v>WR</v>
      </c>
      <c r="F58" t="str">
        <f>E58&amp;COUNTIF(E$1:E58,E58)</f>
        <v>WR28</v>
      </c>
      <c r="G58">
        <f t="shared" si="1"/>
        <v>0</v>
      </c>
      <c r="H58">
        <f t="shared" si="2"/>
        <v>17</v>
      </c>
      <c r="I58" t="str">
        <f t="shared" si="3"/>
        <v>WR54-93</v>
      </c>
      <c r="J58" t="str">
        <f t="shared" si="4"/>
        <v>WR11-18</v>
      </c>
      <c r="K58" s="2">
        <f>INDEX('ROS Proj'!$T$2:$T$561,$B58)</f>
        <v>8.6771428571428562</v>
      </c>
      <c r="L58" s="23">
        <f>INDEX('ROS Proj'!$AL$2:$AL$561,$B58)</f>
        <v>7</v>
      </c>
      <c r="M58" s="2">
        <f>SQRT(IF(E58="K",SUMIFS('K Proj'!$P$2:$P$508,'K Proj'!$B$2:$B$508,$C58,'K Proj'!$A$2:$A$508,"&gt;"&amp;Week,'K Proj'!$A$2:$A$508,"&lt;=13"),IF(E58="D",SUMIFS('D Proj'!$N$2:$N$513,'D Proj'!$B$2:$B$513,$C58,'D Proj'!$A$2:$A$513,"&gt;"&amp;Week,'D Proj'!$A$2:$A$513,"&lt;=13"),SUMIFS('F Proj'!$J$2:$J$7669,'F Proj'!$B$2:$B$7669,$C58,'F Proj'!$A$2:$A$7669,"&gt;"&amp;Week,'F Proj'!$A$2:$A$7669,"&lt;=13"))))</f>
        <v>18.878305008660075</v>
      </c>
      <c r="N58" s="2">
        <f t="shared" si="5"/>
        <v>2.1756360727793962</v>
      </c>
      <c r="O58" s="2">
        <f t="shared" si="10"/>
        <v>5.9802421416199882</v>
      </c>
      <c r="P58" s="2">
        <f t="shared" si="11"/>
        <v>11.374043572665725</v>
      </c>
      <c r="Q58" s="2">
        <f>K58-VLOOKUP($E58,Scores!$AG$1:$AM$7,7,FALSE)</f>
        <v>2.6242857142857137</v>
      </c>
      <c r="R58" s="2">
        <f>O58-VLOOKUP($E58,Scores!$AG$1:$AM$7,7,FALSE)</f>
        <v>-7.2615001237154253E-2</v>
      </c>
      <c r="S58" s="2">
        <f>P58-VLOOKUP($E58,Scores!$AG$1:$AM$7,7,FALSE)</f>
        <v>5.3211864298085825</v>
      </c>
      <c r="T58">
        <f t="shared" si="6"/>
        <v>93</v>
      </c>
      <c r="U58" s="23">
        <f t="shared" si="7"/>
        <v>18</v>
      </c>
      <c r="V58">
        <f t="shared" si="12"/>
        <v>54</v>
      </c>
      <c r="W58">
        <f t="shared" si="13"/>
        <v>11</v>
      </c>
      <c r="X58" t="str">
        <f>D58&amp;COUNTIF(D$1:D58,D58)</f>
        <v>matty7</v>
      </c>
      <c r="Y58" t="str">
        <f>D58&amp;E58&amp;COUNTIFS(D$1:D58,D58,E$1:E58,E58)</f>
        <v>mattyWR4</v>
      </c>
      <c r="Z58" t="s">
        <v>228</v>
      </c>
      <c r="AA58" t="s">
        <v>171</v>
      </c>
    </row>
    <row r="59" spans="1:27" x14ac:dyDescent="0.25">
      <c r="A59">
        <f t="shared" si="9"/>
        <v>58</v>
      </c>
      <c r="B59">
        <f>MATCH(A59,'ROS Proj'!$AI$2:$AI$561,0)</f>
        <v>382</v>
      </c>
      <c r="C59" t="str">
        <f>INDEX('ROS Proj'!$A$2:$A$561,$B59)</f>
        <v>Peyton Barber</v>
      </c>
      <c r="D59" t="str">
        <f>IFERROR(INDEX(Rosters!$C$2:$C$155,MATCH($C59,Rosters!$B$2:$B$155,0)),"FA")</f>
        <v>devon</v>
      </c>
      <c r="E59" t="str">
        <f>INDEX('ROS Proj'!$B$2:$B$561,$B59)</f>
        <v>RB</v>
      </c>
      <c r="F59" t="str">
        <f>E59&amp;COUNTIF(E$1:E59,E59)</f>
        <v>RB26</v>
      </c>
      <c r="G59">
        <f t="shared" si="1"/>
        <v>0</v>
      </c>
      <c r="H59">
        <f t="shared" si="2"/>
        <v>-7</v>
      </c>
      <c r="I59" t="str">
        <f t="shared" si="3"/>
        <v>RB52-101</v>
      </c>
      <c r="J59" t="str">
        <f t="shared" si="4"/>
        <v>RB19-40</v>
      </c>
      <c r="K59" s="2">
        <f>INDEX('ROS Proj'!$T$2:$T$561,$B59)</f>
        <v>7.5912499999999996</v>
      </c>
      <c r="L59" s="23">
        <f>INDEX('ROS Proj'!$AL$2:$AL$561,$B59)</f>
        <v>8</v>
      </c>
      <c r="M59" s="2">
        <f>SQRT(IF(E59="K",SUMIFS('K Proj'!$P$2:$P$508,'K Proj'!$B$2:$B$508,$C59,'K Proj'!$A$2:$A$508,"&gt;"&amp;Week,'K Proj'!$A$2:$A$508,"&lt;=13"),IF(E59="D",SUMIFS('D Proj'!$N$2:$N$513,'D Proj'!$B$2:$B$513,$C59,'D Proj'!$A$2:$A$513,"&gt;"&amp;Week,'D Proj'!$A$2:$A$513,"&lt;=13"),SUMIFS('F Proj'!$J$2:$J$7669,'F Proj'!$B$2:$B$7669,$C59,'F Proj'!$A$2:$A$7669,"&gt;"&amp;Week,'F Proj'!$A$2:$A$7669,"&lt;=13"))))</f>
        <v>15.635466094747544</v>
      </c>
      <c r="N59" s="2">
        <f t="shared" si="5"/>
        <v>2.0596695003784022</v>
      </c>
      <c r="O59" s="2">
        <f t="shared" si="10"/>
        <v>5.6368167381565568</v>
      </c>
      <c r="P59" s="2">
        <f t="shared" si="11"/>
        <v>9.5456832618434433</v>
      </c>
      <c r="Q59" s="2">
        <f>K59-VLOOKUP($E59,Scores!$AG$1:$AM$7,7,FALSE)</f>
        <v>1.7226785714285704</v>
      </c>
      <c r="R59" s="2">
        <f>O59-VLOOKUP($E59,Scores!$AG$1:$AM$7,7,FALSE)</f>
        <v>-0.2317546904148724</v>
      </c>
      <c r="S59" s="2">
        <f>P59-VLOOKUP($E59,Scores!$AG$1:$AM$7,7,FALSE)</f>
        <v>3.6771118332720141</v>
      </c>
      <c r="T59">
        <f t="shared" si="6"/>
        <v>101</v>
      </c>
      <c r="U59" s="23">
        <f t="shared" si="7"/>
        <v>40</v>
      </c>
      <c r="V59">
        <f t="shared" si="12"/>
        <v>52</v>
      </c>
      <c r="W59">
        <f t="shared" si="13"/>
        <v>19</v>
      </c>
      <c r="X59" t="str">
        <f>D59&amp;COUNTIF(D$1:D59,D59)</f>
        <v>devon8</v>
      </c>
      <c r="Y59" t="str">
        <f>D59&amp;E59&amp;COUNTIFS(D$1:D59,D59,E$1:E59,E59)</f>
        <v>devonRB4</v>
      </c>
      <c r="Z59" t="s">
        <v>195</v>
      </c>
      <c r="AA59" t="s">
        <v>355</v>
      </c>
    </row>
    <row r="60" spans="1:27" x14ac:dyDescent="0.25">
      <c r="A60">
        <f t="shared" si="9"/>
        <v>59</v>
      </c>
      <c r="B60">
        <f>MATCH(A60,'ROS Proj'!$AI$2:$AI$561,0)</f>
        <v>23</v>
      </c>
      <c r="C60" t="str">
        <f>INDEX('ROS Proj'!$A$2:$A$561,$B60)</f>
        <v>Alshon Jeffery</v>
      </c>
      <c r="D60" t="str">
        <f>IFERROR(INDEX(Rosters!$C$2:$C$155,MATCH($C60,Rosters!$B$2:$B$155,0)),"FA")</f>
        <v>devon</v>
      </c>
      <c r="E60" t="str">
        <f>INDEX('ROS Proj'!$B$2:$B$561,$B60)</f>
        <v>WR</v>
      </c>
      <c r="F60" t="str">
        <f>E60&amp;COUNTIF(E$1:E60,E60)</f>
        <v>WR29</v>
      </c>
      <c r="G60">
        <f t="shared" si="1"/>
        <v>0</v>
      </c>
      <c r="H60">
        <f t="shared" si="2"/>
        <v>8</v>
      </c>
      <c r="I60" t="str">
        <f t="shared" si="3"/>
        <v>WR52-93</v>
      </c>
      <c r="J60" t="str">
        <f t="shared" si="4"/>
        <v>WR12-18</v>
      </c>
      <c r="K60" s="2">
        <f>INDEX('ROS Proj'!$T$2:$T$561,$B60)</f>
        <v>8.637142857142857</v>
      </c>
      <c r="L60" s="23">
        <f>INDEX('ROS Proj'!$AL$2:$AL$561,$B60)</f>
        <v>7</v>
      </c>
      <c r="M60" s="2">
        <f>SQRT(IF(E60="K",SUMIFS('K Proj'!$P$2:$P$508,'K Proj'!$B$2:$B$508,$C60,'K Proj'!$A$2:$A$508,"&gt;"&amp;Week,'K Proj'!$A$2:$A$508,"&lt;=13"),IF(E60="D",SUMIFS('D Proj'!$N$2:$N$513,'D Proj'!$B$2:$B$513,$C60,'D Proj'!$A$2:$A$513,"&gt;"&amp;Week,'D Proj'!$A$2:$A$513,"&lt;=13"),SUMIFS('F Proj'!$J$2:$J$7669,'F Proj'!$B$2:$B$7669,$C60,'F Proj'!$A$2:$A$7669,"&gt;"&amp;Week,'F Proj'!$A$2:$A$7669,"&lt;=13"))))</f>
        <v>18.079137147552146</v>
      </c>
      <c r="N60" s="2">
        <f t="shared" si="5"/>
        <v>2.0931849161902916</v>
      </c>
      <c r="O60" s="2">
        <f t="shared" si="10"/>
        <v>6.0544089789211224</v>
      </c>
      <c r="P60" s="2">
        <f t="shared" si="11"/>
        <v>11.219876735364592</v>
      </c>
      <c r="Q60" s="2">
        <f>K60-VLOOKUP($E60,Scores!$AG$1:$AM$7,7,FALSE)</f>
        <v>2.5842857142857145</v>
      </c>
      <c r="R60" s="2">
        <f>O60-VLOOKUP($E60,Scores!$AG$1:$AM$7,7,FALSE)</f>
        <v>1.5518360639799056E-3</v>
      </c>
      <c r="S60" s="2">
        <f>P60-VLOOKUP($E60,Scores!$AG$1:$AM$7,7,FALSE)</f>
        <v>5.1670195925074491</v>
      </c>
      <c r="T60">
        <f t="shared" si="6"/>
        <v>93</v>
      </c>
      <c r="U60" s="23">
        <f t="shared" si="7"/>
        <v>18</v>
      </c>
      <c r="V60">
        <f t="shared" si="12"/>
        <v>52</v>
      </c>
      <c r="W60">
        <f t="shared" si="13"/>
        <v>12</v>
      </c>
      <c r="X60" t="str">
        <f>D60&amp;COUNTIF(D$1:D60,D60)</f>
        <v>devon9</v>
      </c>
      <c r="Y60" t="str">
        <f>D60&amp;E60&amp;COUNTIFS(D$1:D60,D60,E$1:E60,E60)</f>
        <v>devonWR4</v>
      </c>
      <c r="Z60" t="s">
        <v>140</v>
      </c>
      <c r="AA60" t="s">
        <v>126</v>
      </c>
    </row>
    <row r="61" spans="1:27" x14ac:dyDescent="0.25">
      <c r="A61">
        <f t="shared" si="9"/>
        <v>60</v>
      </c>
      <c r="B61">
        <f>MATCH(A61,'ROS Proj'!$AI$2:$AI$561,0)</f>
        <v>305</v>
      </c>
      <c r="C61" t="str">
        <f>INDEX('ROS Proj'!$A$2:$A$561,$B61)</f>
        <v>Larry Fitzgerald</v>
      </c>
      <c r="D61" t="str">
        <f>IFERROR(INDEX(Rosters!$C$2:$C$155,MATCH($C61,Rosters!$B$2:$B$155,0)),"FA")</f>
        <v>seth</v>
      </c>
      <c r="E61" t="str">
        <f>INDEX('ROS Proj'!$B$2:$B$561,$B61)</f>
        <v>WR</v>
      </c>
      <c r="F61" t="str">
        <f>E61&amp;COUNTIF(E$1:E61,E61)</f>
        <v>WR30</v>
      </c>
      <c r="G61">
        <f t="shared" si="1"/>
        <v>0</v>
      </c>
      <c r="H61">
        <f t="shared" si="2"/>
        <v>-1</v>
      </c>
      <c r="I61" t="str">
        <f t="shared" si="3"/>
        <v>WR51-93</v>
      </c>
      <c r="J61" t="str">
        <f t="shared" si="4"/>
        <v>WR15-23</v>
      </c>
      <c r="K61" s="2">
        <f>INDEX('ROS Proj'!$T$2:$T$561,$B61)</f>
        <v>8.4414285714285722</v>
      </c>
      <c r="L61" s="23">
        <f>INDEX('ROS Proj'!$AL$2:$AL$561,$B61)</f>
        <v>7</v>
      </c>
      <c r="M61" s="2">
        <f>SQRT(IF(E61="K",SUMIFS('K Proj'!$P$2:$P$508,'K Proj'!$B$2:$B$508,$C61,'K Proj'!$A$2:$A$508,"&gt;"&amp;Week,'K Proj'!$A$2:$A$508,"&lt;=13"),IF(E61="D",SUMIFS('D Proj'!$N$2:$N$513,'D Proj'!$B$2:$B$513,$C61,'D Proj'!$A$2:$A$513,"&gt;"&amp;Week,'D Proj'!$A$2:$A$513,"&lt;=13"),SUMIFS('F Proj'!$J$2:$J$7669,'F Proj'!$B$2:$B$7669,$C61,'F Proj'!$A$2:$A$7669,"&gt;"&amp;Week,'F Proj'!$A$2:$A$7669,"&lt;=13"))))</f>
        <v>15.511440938868319</v>
      </c>
      <c r="N61" s="2">
        <f t="shared" si="5"/>
        <v>1.8375374271802034</v>
      </c>
      <c r="O61" s="2">
        <f t="shared" si="10"/>
        <v>6.2255084373045264</v>
      </c>
      <c r="P61" s="2">
        <f t="shared" si="11"/>
        <v>10.657348705552618</v>
      </c>
      <c r="Q61" s="2">
        <f>K61-VLOOKUP($E61,Scores!$AG$1:$AM$7,7,FALSE)</f>
        <v>2.3885714285714297</v>
      </c>
      <c r="R61" s="2">
        <f>O61-VLOOKUP($E61,Scores!$AG$1:$AM$7,7,FALSE)</f>
        <v>0.17265129444738392</v>
      </c>
      <c r="S61" s="2">
        <f>P61-VLOOKUP($E61,Scores!$AG$1:$AM$7,7,FALSE)</f>
        <v>4.6044915626954754</v>
      </c>
      <c r="T61">
        <f t="shared" si="6"/>
        <v>93</v>
      </c>
      <c r="U61" s="23">
        <f t="shared" si="7"/>
        <v>23</v>
      </c>
      <c r="V61">
        <f t="shared" si="12"/>
        <v>51</v>
      </c>
      <c r="W61">
        <f t="shared" si="13"/>
        <v>15</v>
      </c>
      <c r="X61" t="str">
        <f>D61&amp;COUNTIF(D$1:D61,D61)</f>
        <v>seth5</v>
      </c>
      <c r="Y61" t="str">
        <f>D61&amp;E61&amp;COUNTIFS(D$1:D61,D61,E$1:E61,E61)</f>
        <v>sethWR3</v>
      </c>
      <c r="Z61" t="s">
        <v>201</v>
      </c>
      <c r="AA61" t="s">
        <v>140</v>
      </c>
    </row>
    <row r="62" spans="1:27" x14ac:dyDescent="0.25">
      <c r="A62">
        <f t="shared" si="9"/>
        <v>61</v>
      </c>
      <c r="B62">
        <f>MATCH(A62,'ROS Proj'!$AI$2:$AI$561,0)</f>
        <v>488</v>
      </c>
      <c r="C62" t="str">
        <f>INDEX('ROS Proj'!$A$2:$A$561,$B62)</f>
        <v>Will Fuller V</v>
      </c>
      <c r="D62" t="str">
        <f>IFERROR(INDEX(Rosters!$C$2:$C$155,MATCH($C62,Rosters!$B$2:$B$155,0)),"FA")</f>
        <v>perry</v>
      </c>
      <c r="E62" t="str">
        <f>INDEX('ROS Proj'!$B$2:$B$561,$B62)</f>
        <v>WR</v>
      </c>
      <c r="F62" t="str">
        <f>E62&amp;COUNTIF(E$1:E62,E62)</f>
        <v>WR31</v>
      </c>
      <c r="G62">
        <f t="shared" si="1"/>
        <v>0</v>
      </c>
      <c r="H62">
        <f t="shared" si="2"/>
        <v>-11</v>
      </c>
      <c r="I62" t="str">
        <f t="shared" si="3"/>
        <v>WR54-93</v>
      </c>
      <c r="J62" t="str">
        <f t="shared" si="4"/>
        <v>WR14-23</v>
      </c>
      <c r="K62" s="2">
        <f>INDEX('ROS Proj'!$T$2:$T$561,$B62)</f>
        <v>8.3642857142857157</v>
      </c>
      <c r="L62" s="23">
        <f>INDEX('ROS Proj'!$AL$2:$AL$561,$B62)</f>
        <v>7</v>
      </c>
      <c r="M62" s="2">
        <f>SQRT(IF(E62="K",SUMIFS('K Proj'!$P$2:$P$508,'K Proj'!$B$2:$B$508,$C62,'K Proj'!$A$2:$A$508,"&gt;"&amp;Week,'K Proj'!$A$2:$A$508,"&lt;=13"),IF(E62="D",SUMIFS('D Proj'!$N$2:$N$513,'D Proj'!$B$2:$B$513,$C62,'D Proj'!$A$2:$A$513,"&gt;"&amp;Week,'D Proj'!$A$2:$A$513,"&lt;=13"),SUMIFS('F Proj'!$J$2:$J$7669,'F Proj'!$B$2:$B$7669,$C62,'F Proj'!$A$2:$A$7669,"&gt;"&amp;Week,'F Proj'!$A$2:$A$7669,"&lt;=13"))))</f>
        <v>17.109196357514868</v>
      </c>
      <c r="N62" s="2">
        <f t="shared" si="5"/>
        <v>2.0455059693015212</v>
      </c>
      <c r="O62" s="2">
        <f t="shared" si="10"/>
        <v>5.9201148060693063</v>
      </c>
      <c r="P62" s="2">
        <f t="shared" si="11"/>
        <v>10.808456622502124</v>
      </c>
      <c r="Q62" s="2">
        <f>K62-VLOOKUP($E62,Scores!$AG$1:$AM$7,7,FALSE)</f>
        <v>2.3114285714285732</v>
      </c>
      <c r="R62" s="2">
        <f>O62-VLOOKUP($E62,Scores!$AG$1:$AM$7,7,FALSE)</f>
        <v>-0.1327423367878362</v>
      </c>
      <c r="S62" s="2">
        <f>P62-VLOOKUP($E62,Scores!$AG$1:$AM$7,7,FALSE)</f>
        <v>4.7555994796449816</v>
      </c>
      <c r="T62">
        <f t="shared" si="6"/>
        <v>93</v>
      </c>
      <c r="U62" s="23">
        <f t="shared" si="7"/>
        <v>23</v>
      </c>
      <c r="V62">
        <f t="shared" si="12"/>
        <v>54</v>
      </c>
      <c r="W62">
        <f t="shared" si="13"/>
        <v>14</v>
      </c>
      <c r="X62" t="str">
        <f>D62&amp;COUNTIF(D$1:D62,D62)</f>
        <v>perry7</v>
      </c>
      <c r="Y62" t="str">
        <f>D62&amp;E62&amp;COUNTIFS(D$1:D62,D62,E$1:E62,E62)</f>
        <v>perryWR3</v>
      </c>
      <c r="Z62" t="s">
        <v>256</v>
      </c>
      <c r="AA62" t="s">
        <v>266</v>
      </c>
    </row>
    <row r="63" spans="1:27" x14ac:dyDescent="0.25">
      <c r="A63">
        <f t="shared" si="9"/>
        <v>62</v>
      </c>
      <c r="B63">
        <f>MATCH(A63,'ROS Proj'!$AI$2:$AI$561,0)</f>
        <v>36</v>
      </c>
      <c r="C63" t="str">
        <f>INDEX('ROS Proj'!$A$2:$A$561,$B63)</f>
        <v>Antonio Callaway</v>
      </c>
      <c r="D63" t="str">
        <f>IFERROR(INDEX(Rosters!$C$2:$C$155,MATCH($C63,Rosters!$B$2:$B$155,0)),"FA")</f>
        <v>chad</v>
      </c>
      <c r="E63" t="str">
        <f>INDEX('ROS Proj'!$B$2:$B$561,$B63)</f>
        <v>WR</v>
      </c>
      <c r="F63" t="str">
        <f>E63&amp;COUNTIF(E$1:E63,E63)</f>
        <v>WR32</v>
      </c>
      <c r="G63">
        <f t="shared" si="1"/>
        <v>0</v>
      </c>
      <c r="H63">
        <f t="shared" si="2"/>
        <v>91</v>
      </c>
      <c r="I63" t="str">
        <f t="shared" si="3"/>
        <v>WR54-101</v>
      </c>
      <c r="J63" t="str">
        <f t="shared" si="4"/>
        <v>WR14-23</v>
      </c>
      <c r="K63" s="2">
        <f>INDEX('ROS Proj'!$T$2:$T$561,$B63)</f>
        <v>8.3442857142857143</v>
      </c>
      <c r="L63" s="23">
        <f>INDEX('ROS Proj'!$AL$2:$AL$561,$B63)</f>
        <v>7</v>
      </c>
      <c r="M63" s="2">
        <f>SQRT(IF(E63="K",SUMIFS('K Proj'!$P$2:$P$508,'K Proj'!$B$2:$B$508,$C63,'K Proj'!$A$2:$A$508,"&gt;"&amp;Week,'K Proj'!$A$2:$A$508,"&lt;=13"),IF(E63="D",SUMIFS('D Proj'!$N$2:$N$513,'D Proj'!$B$2:$B$513,$C63,'D Proj'!$A$2:$A$513,"&gt;"&amp;Week,'D Proj'!$A$2:$A$513,"&lt;=13"),SUMIFS('F Proj'!$J$2:$J$7669,'F Proj'!$B$2:$B$7669,$C63,'F Proj'!$A$2:$A$7669,"&gt;"&amp;Week,'F Proj'!$A$2:$A$7669,"&lt;=13"))))</f>
        <v>17.631426487950431</v>
      </c>
      <c r="N63" s="2">
        <f t="shared" si="5"/>
        <v>2.112994100593272</v>
      </c>
      <c r="O63" s="2">
        <f t="shared" si="10"/>
        <v>5.8255105017213662</v>
      </c>
      <c r="P63" s="2">
        <f t="shared" si="11"/>
        <v>10.863060926850062</v>
      </c>
      <c r="Q63" s="2">
        <f>K63-VLOOKUP($E63,Scores!$AG$1:$AM$7,7,FALSE)</f>
        <v>2.2914285714285718</v>
      </c>
      <c r="R63" s="2">
        <f>O63-VLOOKUP($E63,Scores!$AG$1:$AM$7,7,FALSE)</f>
        <v>-0.2273466411357763</v>
      </c>
      <c r="S63" s="2">
        <f>P63-VLOOKUP($E63,Scores!$AG$1:$AM$7,7,FALSE)</f>
        <v>4.8102037839929199</v>
      </c>
      <c r="T63">
        <f t="shared" si="6"/>
        <v>101</v>
      </c>
      <c r="U63" s="23">
        <f t="shared" si="7"/>
        <v>23</v>
      </c>
      <c r="V63">
        <f t="shared" si="12"/>
        <v>54</v>
      </c>
      <c r="W63">
        <f t="shared" si="13"/>
        <v>14</v>
      </c>
      <c r="X63" t="str">
        <f>D63&amp;COUNTIF(D$1:D63,D63)</f>
        <v>chad7</v>
      </c>
      <c r="Y63" t="str">
        <f>D63&amp;E63&amp;COUNTIFS(D$1:D63,D63,E$1:E63,E63)</f>
        <v>chadWR5</v>
      </c>
      <c r="Z63" t="s">
        <v>149</v>
      </c>
      <c r="AA63" t="s">
        <v>1419</v>
      </c>
    </row>
    <row r="64" spans="1:27" x14ac:dyDescent="0.25">
      <c r="A64">
        <f t="shared" si="9"/>
        <v>63</v>
      </c>
      <c r="B64">
        <f>MATCH(A64,'ROS Proj'!$AI$2:$AI$561,0)</f>
        <v>254</v>
      </c>
      <c r="C64" t="str">
        <f>INDEX('ROS Proj'!$A$2:$A$561,$B64)</f>
        <v>Jordan Reed</v>
      </c>
      <c r="D64" t="str">
        <f>IFERROR(INDEX(Rosters!$C$2:$C$155,MATCH($C64,Rosters!$B$2:$B$155,0)),"FA")</f>
        <v>matty</v>
      </c>
      <c r="E64" t="str">
        <f>INDEX('ROS Proj'!$B$2:$B$561,$B64)</f>
        <v>TE</v>
      </c>
      <c r="F64" t="str">
        <f>E64&amp;COUNTIF(E$1:E64,E64)</f>
        <v>TE4</v>
      </c>
      <c r="G64">
        <f t="shared" si="1"/>
        <v>0</v>
      </c>
      <c r="H64">
        <f t="shared" si="2"/>
        <v>7</v>
      </c>
      <c r="I64" t="str">
        <f t="shared" si="3"/>
        <v>TE16-115</v>
      </c>
      <c r="J64" t="str">
        <f t="shared" si="4"/>
        <v>TE3-38</v>
      </c>
      <c r="K64" s="2">
        <f>INDEX('ROS Proj'!$T$2:$T$561,$B64)</f>
        <v>6.9987499999999994</v>
      </c>
      <c r="L64" s="23">
        <f>INDEX('ROS Proj'!$AL$2:$AL$561,$B64)</f>
        <v>8</v>
      </c>
      <c r="M64" s="2">
        <f>SQRT(IF(E64="K",SUMIFS('K Proj'!$P$2:$P$508,'K Proj'!$B$2:$B$508,$C64,'K Proj'!$A$2:$A$508,"&gt;"&amp;Week,'K Proj'!$A$2:$A$508,"&lt;=13"),IF(E64="D",SUMIFS('D Proj'!$N$2:$N$513,'D Proj'!$B$2:$B$513,$C64,'D Proj'!$A$2:$A$513,"&gt;"&amp;Week,'D Proj'!$A$2:$A$513,"&lt;=13"),SUMIFS('F Proj'!$J$2:$J$7669,'F Proj'!$B$2:$B$7669,$C64,'F Proj'!$A$2:$A$7669,"&gt;"&amp;Week,'F Proj'!$A$2:$A$7669,"&lt;=13"))))</f>
        <v>18.375755766770521</v>
      </c>
      <c r="N64" s="2">
        <f t="shared" si="5"/>
        <v>2.6255768196850182</v>
      </c>
      <c r="O64" s="2">
        <f t="shared" si="10"/>
        <v>4.7017805291536838</v>
      </c>
      <c r="P64" s="2">
        <f t="shared" si="11"/>
        <v>9.2957194708463149</v>
      </c>
      <c r="Q64" s="2">
        <f>K64-VLOOKUP($E64,Scores!$AG$1:$AM$7,7,FALSE)</f>
        <v>1.8187499999999996</v>
      </c>
      <c r="R64" s="2">
        <f>O64-VLOOKUP($E64,Scores!$AG$1:$AM$7,7,FALSE)</f>
        <v>-0.47821947084631589</v>
      </c>
      <c r="S64" s="2">
        <f>P64-VLOOKUP($E64,Scores!$AG$1:$AM$7,7,FALSE)</f>
        <v>4.1157194708463152</v>
      </c>
      <c r="T64">
        <f t="shared" si="6"/>
        <v>115</v>
      </c>
      <c r="U64" s="23">
        <f t="shared" si="7"/>
        <v>38</v>
      </c>
      <c r="V64">
        <f t="shared" si="12"/>
        <v>16</v>
      </c>
      <c r="W64">
        <f t="shared" si="13"/>
        <v>3</v>
      </c>
      <c r="X64" t="str">
        <f>D64&amp;COUNTIF(D$1:D64,D64)</f>
        <v>matty8</v>
      </c>
      <c r="Y64" t="str">
        <f>D64&amp;E64&amp;COUNTIFS(D$1:D64,D64,E$1:E64,E64)</f>
        <v>mattyTE1</v>
      </c>
      <c r="Z64" t="s">
        <v>177</v>
      </c>
      <c r="AA64" t="s">
        <v>118</v>
      </c>
    </row>
    <row r="65" spans="1:27" x14ac:dyDescent="0.25">
      <c r="A65">
        <f t="shared" si="9"/>
        <v>64</v>
      </c>
      <c r="B65">
        <f>MATCH(A65,'ROS Proj'!$AI$2:$AI$561,0)</f>
        <v>365</v>
      </c>
      <c r="C65" t="str">
        <f>INDEX('ROS Proj'!$A$2:$A$561,$B65)</f>
        <v>Nelson Agholor</v>
      </c>
      <c r="D65" t="str">
        <f>IFERROR(INDEX(Rosters!$C$2:$C$155,MATCH($C65,Rosters!$B$2:$B$155,0)),"FA")</f>
        <v>aj</v>
      </c>
      <c r="E65" t="str">
        <f>INDEX('ROS Proj'!$B$2:$B$561,$B65)</f>
        <v>WR</v>
      </c>
      <c r="F65" t="str">
        <f>E65&amp;COUNTIF(E$1:E65,E65)</f>
        <v>WR33</v>
      </c>
      <c r="G65">
        <f t="shared" si="1"/>
        <v>0</v>
      </c>
      <c r="H65">
        <f t="shared" si="2"/>
        <v>-9</v>
      </c>
      <c r="I65" t="str">
        <f t="shared" si="3"/>
        <v>WR53-93</v>
      </c>
      <c r="J65" t="str">
        <f t="shared" si="4"/>
        <v>WR16-35</v>
      </c>
      <c r="K65" s="2">
        <f>INDEX('ROS Proj'!$T$2:$T$561,$B65)</f>
        <v>8.267142857142856</v>
      </c>
      <c r="L65" s="23">
        <f>INDEX('ROS Proj'!$AL$2:$AL$561,$B65)</f>
        <v>7</v>
      </c>
      <c r="M65" s="2">
        <f>SQRT(IF(E65="K",SUMIFS('K Proj'!$P$2:$P$508,'K Proj'!$B$2:$B$508,$C65,'K Proj'!$A$2:$A$508,"&gt;"&amp;Week,'K Proj'!$A$2:$A$508,"&lt;=13"),IF(E65="D",SUMIFS('D Proj'!$N$2:$N$513,'D Proj'!$B$2:$B$513,$C65,'D Proj'!$A$2:$A$513,"&gt;"&amp;Week,'D Proj'!$A$2:$A$513,"&lt;=13"),SUMIFS('F Proj'!$J$2:$J$7669,'F Proj'!$B$2:$B$7669,$C65,'F Proj'!$A$2:$A$7669,"&gt;"&amp;Week,'F Proj'!$A$2:$A$7669,"&lt;=13"))))</f>
        <v>15.563707784458048</v>
      </c>
      <c r="N65" s="2">
        <f t="shared" si="5"/>
        <v>1.882598142236156</v>
      </c>
      <c r="O65" s="2">
        <f t="shared" si="10"/>
        <v>6.0437560307917062</v>
      </c>
      <c r="P65" s="2">
        <f t="shared" si="11"/>
        <v>10.490529683494005</v>
      </c>
      <c r="Q65" s="2">
        <f>K65-VLOOKUP($E65,Scores!$AG$1:$AM$7,7,FALSE)</f>
        <v>2.2142857142857135</v>
      </c>
      <c r="R65" s="2">
        <f>O65-VLOOKUP($E65,Scores!$AG$1:$AM$7,7,FALSE)</f>
        <v>-9.1011120654362898E-3</v>
      </c>
      <c r="S65" s="2">
        <f>P65-VLOOKUP($E65,Scores!$AG$1:$AM$7,7,FALSE)</f>
        <v>4.4376725406368625</v>
      </c>
      <c r="T65">
        <f t="shared" si="6"/>
        <v>93</v>
      </c>
      <c r="U65" s="23">
        <f t="shared" si="7"/>
        <v>35</v>
      </c>
      <c r="V65">
        <f t="shared" si="12"/>
        <v>53</v>
      </c>
      <c r="W65">
        <f t="shared" si="13"/>
        <v>16</v>
      </c>
      <c r="X65" t="str">
        <f>D65&amp;COUNTIF(D$1:D65,D65)</f>
        <v>aj7</v>
      </c>
      <c r="Y65" t="str">
        <f>D65&amp;E65&amp;COUNTIFS(D$1:D65,D65,E$1:E65,E65)</f>
        <v>ajWR4</v>
      </c>
      <c r="Z65" t="s">
        <v>95</v>
      </c>
      <c r="AA65" t="s">
        <v>240</v>
      </c>
    </row>
    <row r="66" spans="1:27" x14ac:dyDescent="0.25">
      <c r="A66">
        <f t="shared" si="9"/>
        <v>65</v>
      </c>
      <c r="B66">
        <f>MATCH(A66,'ROS Proj'!$AI$2:$AI$561,0)</f>
        <v>217</v>
      </c>
      <c r="C66" t="str">
        <f>INDEX('ROS Proj'!$A$2:$A$561,$B66)</f>
        <v>James Conner</v>
      </c>
      <c r="D66" t="str">
        <f>IFERROR(INDEX(Rosters!$C$2:$C$155,MATCH($C66,Rosters!$B$2:$B$155,0)),"FA")</f>
        <v>aj</v>
      </c>
      <c r="E66" t="str">
        <f>INDEX('ROS Proj'!$B$2:$B$561,$B66)</f>
        <v>RB</v>
      </c>
      <c r="F66" t="str">
        <f>E66&amp;COUNTIF(E$1:E66,E66)</f>
        <v>RB27</v>
      </c>
      <c r="G66">
        <f t="shared" si="1"/>
        <v>0</v>
      </c>
      <c r="H66">
        <f t="shared" si="2"/>
        <v>-43</v>
      </c>
      <c r="I66" t="str">
        <f t="shared" si="3"/>
        <v>RB46-93</v>
      </c>
      <c r="J66" t="str">
        <f t="shared" si="4"/>
        <v>RB17-23</v>
      </c>
      <c r="K66" s="2">
        <f>INDEX('ROS Proj'!$T$2:$T$561,$B66)</f>
        <v>8.2700000000000014</v>
      </c>
      <c r="L66" s="23">
        <f>INDEX('ROS Proj'!$AL$2:$AL$561,$B66)</f>
        <v>7</v>
      </c>
      <c r="M66" s="2">
        <f>SQRT(IF(E66="K",SUMIFS('K Proj'!$P$2:$P$508,'K Proj'!$B$2:$B$508,$C66,'K Proj'!$A$2:$A$508,"&gt;"&amp;Week,'K Proj'!$A$2:$A$508,"&lt;=13"),IF(E66="D",SUMIFS('D Proj'!$N$2:$N$513,'D Proj'!$B$2:$B$513,$C66,'D Proj'!$A$2:$A$513,"&gt;"&amp;Week,'D Proj'!$A$2:$A$513,"&lt;=13"),SUMIFS('F Proj'!$J$2:$J$7669,'F Proj'!$B$2:$B$7669,$C66,'F Proj'!$A$2:$A$7669,"&gt;"&amp;Week,'F Proj'!$A$2:$A$7669,"&lt;=13"))))</f>
        <v>15.075712255147351</v>
      </c>
      <c r="N66" s="2">
        <f t="shared" si="5"/>
        <v>1.8229398131979866</v>
      </c>
      <c r="O66" s="2">
        <f t="shared" si="10"/>
        <v>6.1163268206932369</v>
      </c>
      <c r="P66" s="2">
        <f t="shared" si="11"/>
        <v>10.423673179306766</v>
      </c>
      <c r="Q66" s="2">
        <f>K66-VLOOKUP($E66,Scores!$AG$1:$AM$7,7,FALSE)</f>
        <v>2.4014285714285721</v>
      </c>
      <c r="R66" s="2">
        <f>O66-VLOOKUP($E66,Scores!$AG$1:$AM$7,7,FALSE)</f>
        <v>0.24775539212180764</v>
      </c>
      <c r="S66" s="2">
        <f>P66-VLOOKUP($E66,Scores!$AG$1:$AM$7,7,FALSE)</f>
        <v>4.5551017507353366</v>
      </c>
      <c r="T66">
        <f t="shared" si="6"/>
        <v>93</v>
      </c>
      <c r="U66" s="23">
        <f t="shared" si="7"/>
        <v>23</v>
      </c>
      <c r="V66">
        <f t="shared" ref="V66:V97" si="14">COUNTIFS($E$2:$E$201,$E66,$Q$2:$Q$201,"&gt;"&amp;R66)</f>
        <v>46</v>
      </c>
      <c r="W66">
        <f t="shared" ref="W66:W97" si="15">COUNTIFS($E$2:$E$201,$E66,$Q$2:$Q$201,"&gt;"&amp;S66)+1</f>
        <v>17</v>
      </c>
      <c r="X66" t="str">
        <f>D66&amp;COUNTIF(D$1:D66,D66)</f>
        <v>aj8</v>
      </c>
      <c r="Y66" t="str">
        <f>D66&amp;E66&amp;COUNTIFS(D$1:D66,D66,E$1:E66,E66)</f>
        <v>ajRB3</v>
      </c>
      <c r="Z66" t="s">
        <v>207</v>
      </c>
      <c r="AA66" t="s">
        <v>298</v>
      </c>
    </row>
    <row r="67" spans="1:27" x14ac:dyDescent="0.25">
      <c r="A67">
        <f t="shared" si="9"/>
        <v>66</v>
      </c>
      <c r="B67">
        <f>MATCH(A67,'ROS Proj'!$AI$2:$AI$561,0)</f>
        <v>311</v>
      </c>
      <c r="C67" t="str">
        <f>INDEX('ROS Proj'!$A$2:$A$561,$B67)</f>
        <v>LeSean McCoy</v>
      </c>
      <c r="D67" t="str">
        <f>IFERROR(INDEX(Rosters!$C$2:$C$155,MATCH($C67,Rosters!$B$2:$B$155,0)),"FA")</f>
        <v>aj</v>
      </c>
      <c r="E67" t="str">
        <f>INDEX('ROS Proj'!$B$2:$B$561,$B67)</f>
        <v>RB</v>
      </c>
      <c r="F67" t="str">
        <f>E67&amp;COUNTIF(E$1:E67,E67)</f>
        <v>RB28</v>
      </c>
      <c r="G67">
        <f t="shared" ref="G67:G130" si="16">IFERROR(MATCH(C67,$AA$2:$AA$201,0)-A67,201-A67)</f>
        <v>0</v>
      </c>
      <c r="H67">
        <f t="shared" ref="H67:H130" si="17">IFERROR(MATCH(C67,$Z$2:$Z$201,0)-A67,201-A67)</f>
        <v>-23</v>
      </c>
      <c r="I67" t="str">
        <f t="shared" ref="I67:I130" si="18">E67&amp;V67&amp;"-"&amp;T67</f>
        <v>RB47-93</v>
      </c>
      <c r="J67" t="str">
        <f t="shared" ref="J67:J130" si="19">E67&amp;W67&amp;"-"&amp;U67</f>
        <v>RB18-23</v>
      </c>
      <c r="K67" s="2">
        <f>INDEX('ROS Proj'!$T$2:$T$561,$B67)</f>
        <v>8.194285714285714</v>
      </c>
      <c r="L67" s="23">
        <f>INDEX('ROS Proj'!$AL$2:$AL$561,$B67)</f>
        <v>7</v>
      </c>
      <c r="M67" s="2">
        <f>SQRT(IF(E67="K",SUMIFS('K Proj'!$P$2:$P$508,'K Proj'!$B$2:$B$508,$C67,'K Proj'!$A$2:$A$508,"&gt;"&amp;Week,'K Proj'!$A$2:$A$508,"&lt;=13"),IF(E67="D",SUMIFS('D Proj'!$N$2:$N$513,'D Proj'!$B$2:$B$513,$C67,'D Proj'!$A$2:$A$513,"&gt;"&amp;Week,'D Proj'!$A$2:$A$513,"&lt;=13"),SUMIFS('F Proj'!$J$2:$J$7669,'F Proj'!$B$2:$B$7669,$C67,'F Proj'!$A$2:$A$7669,"&gt;"&amp;Week,'F Proj'!$A$2:$A$7669,"&lt;=13"))))</f>
        <v>15.161441224369138</v>
      </c>
      <c r="N67" s="2">
        <f t="shared" ref="N67:N130" si="20">M67/K67</f>
        <v>1.8502456166419801</v>
      </c>
      <c r="O67" s="2">
        <f t="shared" si="10"/>
        <v>6.0283655393758364</v>
      </c>
      <c r="P67" s="2">
        <f t="shared" si="11"/>
        <v>10.360205889195592</v>
      </c>
      <c r="Q67" s="2">
        <f>K67-VLOOKUP($E67,Scores!$AG$1:$AM$7,7,FALSE)</f>
        <v>2.3257142857142847</v>
      </c>
      <c r="R67" s="2">
        <f>O67-VLOOKUP($E67,Scores!$AG$1:$AM$7,7,FALSE)</f>
        <v>0.1597941108044072</v>
      </c>
      <c r="S67" s="2">
        <f>P67-VLOOKUP($E67,Scores!$AG$1:$AM$7,7,FALSE)</f>
        <v>4.4916344606241632</v>
      </c>
      <c r="T67">
        <f t="shared" ref="T67:T130" si="21">MATCH(R67,$Q$2:$Q$201,-1)</f>
        <v>93</v>
      </c>
      <c r="U67" s="23">
        <f t="shared" ref="U67:U130" si="22">IFERROR(MATCH(S67,$Q$2:$Q$201,-1)+1,1)</f>
        <v>23</v>
      </c>
      <c r="V67">
        <f t="shared" si="14"/>
        <v>47</v>
      </c>
      <c r="W67">
        <f t="shared" si="15"/>
        <v>18</v>
      </c>
      <c r="X67" t="str">
        <f>D67&amp;COUNTIF(D$1:D67,D67)</f>
        <v>aj9</v>
      </c>
      <c r="Y67" t="str">
        <f>D67&amp;E67&amp;COUNTIFS(D$1:D67,D67,E$1:E67,E67)</f>
        <v>ajRB4</v>
      </c>
      <c r="Z67" t="s">
        <v>220</v>
      </c>
      <c r="AA67" t="s">
        <v>81</v>
      </c>
    </row>
    <row r="68" spans="1:27" x14ac:dyDescent="0.25">
      <c r="A68">
        <f t="shared" ref="A68:A131" si="23">A67+1</f>
        <v>67</v>
      </c>
      <c r="B68">
        <f>MATCH(A68,'ROS Proj'!$AI$2:$AI$561,0)</f>
        <v>161</v>
      </c>
      <c r="C68" t="str">
        <f>INDEX('ROS Proj'!$A$2:$A$561,$B68)</f>
        <v>Dion Lewis</v>
      </c>
      <c r="D68" t="str">
        <f>IFERROR(INDEX(Rosters!$C$2:$C$155,MATCH($C68,Rosters!$B$2:$B$155,0)),"FA")</f>
        <v>chad</v>
      </c>
      <c r="E68" t="str">
        <f>INDEX('ROS Proj'!$B$2:$B$561,$B68)</f>
        <v>RB</v>
      </c>
      <c r="F68" t="str">
        <f>E68&amp;COUNTIF(E$1:E68,E68)</f>
        <v>RB29</v>
      </c>
      <c r="G68">
        <f t="shared" si="16"/>
        <v>0</v>
      </c>
      <c r="H68">
        <f t="shared" si="17"/>
        <v>-2</v>
      </c>
      <c r="I68" t="str">
        <f t="shared" si="18"/>
        <v>RB46-93</v>
      </c>
      <c r="J68" t="str">
        <f t="shared" si="19"/>
        <v>RB19-35</v>
      </c>
      <c r="K68" s="2">
        <f>INDEX('ROS Proj'!$T$2:$T$561,$B68)</f>
        <v>8.1814285714285724</v>
      </c>
      <c r="L68" s="23">
        <f>INDEX('ROS Proj'!$AL$2:$AL$561,$B68)</f>
        <v>7</v>
      </c>
      <c r="M68" s="2">
        <f>SQRT(IF(E68="K",SUMIFS('K Proj'!$P$2:$P$508,'K Proj'!$B$2:$B$508,$C68,'K Proj'!$A$2:$A$508,"&gt;"&amp;Week,'K Proj'!$A$2:$A$508,"&lt;=13"),IF(E68="D",SUMIFS('D Proj'!$N$2:$N$513,'D Proj'!$B$2:$B$513,$C68,'D Proj'!$A$2:$A$513,"&gt;"&amp;Week,'D Proj'!$A$2:$A$513,"&lt;=13"),SUMIFS('F Proj'!$J$2:$J$7669,'F Proj'!$B$2:$B$7669,$C68,'F Proj'!$A$2:$A$7669,"&gt;"&amp;Week,'F Proj'!$A$2:$A$7669,"&lt;=13"))))</f>
        <v>14.588447484225318</v>
      </c>
      <c r="N68" s="2">
        <f t="shared" si="20"/>
        <v>1.7831173806456646</v>
      </c>
      <c r="O68" s="2">
        <f t="shared" ref="O68:O131" si="24">(($K68*$L68)-($M68*Zscore_int))/$L68</f>
        <v>6.0973646451106704</v>
      </c>
      <c r="P68" s="2">
        <f t="shared" ref="P68:P131" si="25">(($K68*$L68)+($M68*Zscore_int))/$L68</f>
        <v>10.265492497746475</v>
      </c>
      <c r="Q68" s="2">
        <f>K68-VLOOKUP($E68,Scores!$AG$1:$AM$7,7,FALSE)</f>
        <v>2.3128571428571432</v>
      </c>
      <c r="R68" s="2">
        <f>O68-VLOOKUP($E68,Scores!$AG$1:$AM$7,7,FALSE)</f>
        <v>0.22879321653924123</v>
      </c>
      <c r="S68" s="2">
        <f>P68-VLOOKUP($E68,Scores!$AG$1:$AM$7,7,FALSE)</f>
        <v>4.396921069175046</v>
      </c>
      <c r="T68">
        <f t="shared" si="21"/>
        <v>93</v>
      </c>
      <c r="U68" s="23">
        <f t="shared" si="22"/>
        <v>35</v>
      </c>
      <c r="V68">
        <f t="shared" si="14"/>
        <v>46</v>
      </c>
      <c r="W68">
        <f t="shared" si="15"/>
        <v>19</v>
      </c>
      <c r="X68" t="str">
        <f>D68&amp;COUNTIF(D$1:D68,D68)</f>
        <v>chad8</v>
      </c>
      <c r="Y68" t="str">
        <f>D68&amp;E68&amp;COUNTIFS(D$1:D68,D68,E$1:E68,E68)</f>
        <v>chadRB3</v>
      </c>
      <c r="Z68" t="s">
        <v>126</v>
      </c>
      <c r="AA68" t="s">
        <v>207</v>
      </c>
    </row>
    <row r="69" spans="1:27" x14ac:dyDescent="0.25">
      <c r="A69">
        <f t="shared" si="23"/>
        <v>68</v>
      </c>
      <c r="B69">
        <f>MATCH(A69,'ROS Proj'!$AI$2:$AI$561,0)</f>
        <v>179</v>
      </c>
      <c r="C69" t="str">
        <f>INDEX('ROS Proj'!$A$2:$A$561,$B69)</f>
        <v>Emmanuel Sanders</v>
      </c>
      <c r="D69" t="str">
        <f>IFERROR(INDEX(Rosters!$C$2:$C$155,MATCH($C69,Rosters!$B$2:$B$155,0)),"FA")</f>
        <v>comp</v>
      </c>
      <c r="E69" t="str">
        <f>INDEX('ROS Proj'!$B$2:$B$561,$B69)</f>
        <v>WR</v>
      </c>
      <c r="F69" t="str">
        <f>E69&amp;COUNTIF(E$1:E69,E69)</f>
        <v>WR34</v>
      </c>
      <c r="G69">
        <f t="shared" si="16"/>
        <v>0</v>
      </c>
      <c r="H69">
        <f t="shared" si="17"/>
        <v>-6</v>
      </c>
      <c r="I69" t="str">
        <f t="shared" si="18"/>
        <v>WR52-93</v>
      </c>
      <c r="J69" t="str">
        <f t="shared" si="19"/>
        <v>WR19-39</v>
      </c>
      <c r="K69" s="2">
        <f>INDEX('ROS Proj'!$T$2:$T$561,$B69)</f>
        <v>8.1042857142857141</v>
      </c>
      <c r="L69" s="23">
        <f>INDEX('ROS Proj'!$AL$2:$AL$561,$B69)</f>
        <v>7</v>
      </c>
      <c r="M69" s="2">
        <f>SQRT(IF(E69="K",SUMIFS('K Proj'!$P$2:$P$508,'K Proj'!$B$2:$B$508,$C69,'K Proj'!$A$2:$A$508,"&gt;"&amp;Week,'K Proj'!$A$2:$A$508,"&lt;=13"),IF(E69="D",SUMIFS('D Proj'!$N$2:$N$513,'D Proj'!$B$2:$B$513,$C69,'D Proj'!$A$2:$A$513,"&gt;"&amp;Week,'D Proj'!$A$2:$A$513,"&lt;=13"),SUMIFS('F Proj'!$J$2:$J$7669,'F Proj'!$B$2:$B$7669,$C69,'F Proj'!$A$2:$A$7669,"&gt;"&amp;Week,'F Proj'!$A$2:$A$7669,"&lt;=13"))))</f>
        <v>13.945336137935149</v>
      </c>
      <c r="N69" s="2">
        <f t="shared" si="20"/>
        <v>1.7207359944570078</v>
      </c>
      <c r="O69" s="2">
        <f t="shared" si="24"/>
        <v>6.1120948374378354</v>
      </c>
      <c r="P69" s="2">
        <f t="shared" si="25"/>
        <v>10.096476591133593</v>
      </c>
      <c r="Q69" s="2">
        <f>K69-VLOOKUP($E69,Scores!$AG$1:$AM$7,7,FALSE)</f>
        <v>2.0514285714285716</v>
      </c>
      <c r="R69" s="2">
        <f>O69-VLOOKUP($E69,Scores!$AG$1:$AM$7,7,FALSE)</f>
        <v>5.9237694580692946E-2</v>
      </c>
      <c r="S69" s="2">
        <f>P69-VLOOKUP($E69,Scores!$AG$1:$AM$7,7,FALSE)</f>
        <v>4.0436194482764503</v>
      </c>
      <c r="T69">
        <f t="shared" si="21"/>
        <v>93</v>
      </c>
      <c r="U69" s="23">
        <f t="shared" si="22"/>
        <v>39</v>
      </c>
      <c r="V69">
        <f t="shared" si="14"/>
        <v>52</v>
      </c>
      <c r="W69">
        <f t="shared" si="15"/>
        <v>19</v>
      </c>
      <c r="X69" t="str">
        <f>D69&amp;COUNTIF(D$1:D69,D69)</f>
        <v>comp6</v>
      </c>
      <c r="Y69" t="str">
        <f>D69&amp;E69&amp;COUNTIFS(D$1:D69,D69,E$1:E69,E69)</f>
        <v>compWR4</v>
      </c>
      <c r="Z69" t="s">
        <v>117</v>
      </c>
      <c r="AA69" t="s">
        <v>149</v>
      </c>
    </row>
    <row r="70" spans="1:27" x14ac:dyDescent="0.25">
      <c r="A70">
        <f t="shared" si="23"/>
        <v>69</v>
      </c>
      <c r="B70">
        <f>MATCH(A70,'ROS Proj'!$AI$2:$AI$561,0)</f>
        <v>345</v>
      </c>
      <c r="C70" t="str">
        <f>INDEX('ROS Proj'!$A$2:$A$561,$B70)</f>
        <v>Michael Crabtree</v>
      </c>
      <c r="D70" t="str">
        <f>IFERROR(INDEX(Rosters!$C$2:$C$155,MATCH($C70,Rosters!$B$2:$B$155,0)),"FA")</f>
        <v>aj</v>
      </c>
      <c r="E70" t="str">
        <f>INDEX('ROS Proj'!$B$2:$B$561,$B70)</f>
        <v>WR</v>
      </c>
      <c r="F70" t="str">
        <f>E70&amp;COUNTIF(E$1:E70,E70)</f>
        <v>WR35</v>
      </c>
      <c r="G70">
        <f t="shared" si="16"/>
        <v>0</v>
      </c>
      <c r="H70">
        <f t="shared" si="17"/>
        <v>4</v>
      </c>
      <c r="I70" t="str">
        <f t="shared" si="18"/>
        <v>WR54-101</v>
      </c>
      <c r="J70" t="str">
        <f t="shared" si="19"/>
        <v>WR18-38</v>
      </c>
      <c r="K70" s="2">
        <f>INDEX('ROS Proj'!$T$2:$T$561,$B70)</f>
        <v>8.031428571428572</v>
      </c>
      <c r="L70" s="23">
        <f>INDEX('ROS Proj'!$AL$2:$AL$561,$B70)</f>
        <v>7</v>
      </c>
      <c r="M70" s="2">
        <f>SQRT(IF(E70="K",SUMIFS('K Proj'!$P$2:$P$508,'K Proj'!$B$2:$B$508,$C70,'K Proj'!$A$2:$A$508,"&gt;"&amp;Week,'K Proj'!$A$2:$A$508,"&lt;=13"),IF(E70="D",SUMIFS('D Proj'!$N$2:$N$513,'D Proj'!$B$2:$B$513,$C70,'D Proj'!$A$2:$A$513,"&gt;"&amp;Week,'D Proj'!$A$2:$A$513,"&lt;=13"),SUMIFS('F Proj'!$J$2:$J$7669,'F Proj'!$B$2:$B$7669,$C70,'F Proj'!$A$2:$A$7669,"&gt;"&amp;Week,'F Proj'!$A$2:$A$7669,"&lt;=13"))))</f>
        <v>15.432909641412405</v>
      </c>
      <c r="N70" s="2">
        <f t="shared" si="20"/>
        <v>1.9215647009940737</v>
      </c>
      <c r="O70" s="2">
        <f t="shared" si="24"/>
        <v>5.8267271940839436</v>
      </c>
      <c r="P70" s="2">
        <f t="shared" si="25"/>
        <v>10.2361299487732</v>
      </c>
      <c r="Q70" s="2">
        <f>K70-VLOOKUP($E70,Scores!$AG$1:$AM$7,7,FALSE)</f>
        <v>1.9785714285714295</v>
      </c>
      <c r="R70" s="2">
        <f>O70-VLOOKUP($E70,Scores!$AG$1:$AM$7,7,FALSE)</f>
        <v>-0.22612994877319892</v>
      </c>
      <c r="S70" s="2">
        <f>P70-VLOOKUP($E70,Scores!$AG$1:$AM$7,7,FALSE)</f>
        <v>4.183272805916058</v>
      </c>
      <c r="T70">
        <f t="shared" si="21"/>
        <v>101</v>
      </c>
      <c r="U70" s="23">
        <f t="shared" si="22"/>
        <v>38</v>
      </c>
      <c r="V70">
        <f t="shared" si="14"/>
        <v>54</v>
      </c>
      <c r="W70">
        <f t="shared" si="15"/>
        <v>18</v>
      </c>
      <c r="X70" t="str">
        <f>D70&amp;COUNTIF(D$1:D70,D70)</f>
        <v>aj10</v>
      </c>
      <c r="Y70" t="str">
        <f>D70&amp;E70&amp;COUNTIFS(D$1:D70,D70,E$1:E70,E70)</f>
        <v>ajWR5</v>
      </c>
      <c r="Z70" t="s">
        <v>3533</v>
      </c>
      <c r="AA70" t="s">
        <v>116</v>
      </c>
    </row>
    <row r="71" spans="1:27" x14ac:dyDescent="0.25">
      <c r="A71">
        <f t="shared" si="23"/>
        <v>70</v>
      </c>
      <c r="B71">
        <f>MATCH(A71,'ROS Proj'!$AI$2:$AI$561,0)</f>
        <v>246</v>
      </c>
      <c r="C71" t="str">
        <f>INDEX('ROS Proj'!$A$2:$A$561,$B71)</f>
        <v>John Brown</v>
      </c>
      <c r="D71" t="str">
        <f>IFERROR(INDEX(Rosters!$C$2:$C$155,MATCH($C71,Rosters!$B$2:$B$155,0)),"FA")</f>
        <v>scott</v>
      </c>
      <c r="E71" t="str">
        <f>INDEX('ROS Proj'!$B$2:$B$561,$B71)</f>
        <v>WR</v>
      </c>
      <c r="F71" t="str">
        <f>E71&amp;COUNTIF(E$1:E71,E71)</f>
        <v>WR36</v>
      </c>
      <c r="G71">
        <f t="shared" si="16"/>
        <v>0</v>
      </c>
      <c r="H71">
        <f t="shared" si="17"/>
        <v>33</v>
      </c>
      <c r="I71" t="str">
        <f t="shared" si="18"/>
        <v>WR55-115</v>
      </c>
      <c r="J71" t="str">
        <f t="shared" si="19"/>
        <v>WR16-35</v>
      </c>
      <c r="K71" s="2">
        <f>INDEX('ROS Proj'!$T$2:$T$561,$B71)</f>
        <v>8.031428571428572</v>
      </c>
      <c r="L71" s="23">
        <f>INDEX('ROS Proj'!$AL$2:$AL$561,$B71)</f>
        <v>7</v>
      </c>
      <c r="M71" s="2">
        <f>SQRT(IF(E71="K",SUMIFS('K Proj'!$P$2:$P$508,'K Proj'!$B$2:$B$508,$C71,'K Proj'!$A$2:$A$508,"&gt;"&amp;Week,'K Proj'!$A$2:$A$508,"&lt;=13"),IF(E71="D",SUMIFS('D Proj'!$N$2:$N$513,'D Proj'!$B$2:$B$513,$C71,'D Proj'!$A$2:$A$513,"&gt;"&amp;Week,'D Proj'!$A$2:$A$513,"&lt;=13"),SUMIFS('F Proj'!$J$2:$J$7669,'F Proj'!$B$2:$B$7669,$C71,'F Proj'!$A$2:$A$7669,"&gt;"&amp;Week,'F Proj'!$A$2:$A$7669,"&lt;=13"))))</f>
        <v>17.037761003136534</v>
      </c>
      <c r="N71" s="2">
        <f t="shared" si="20"/>
        <v>2.1213861085370995</v>
      </c>
      <c r="O71" s="2">
        <f t="shared" si="24"/>
        <v>5.5974627138376389</v>
      </c>
      <c r="P71" s="2">
        <f t="shared" si="25"/>
        <v>10.465394429019506</v>
      </c>
      <c r="Q71" s="2">
        <f>K71-VLOOKUP($E71,Scores!$AG$1:$AM$7,7,FALSE)</f>
        <v>1.9785714285714295</v>
      </c>
      <c r="R71" s="2">
        <f>O71-VLOOKUP($E71,Scores!$AG$1:$AM$7,7,FALSE)</f>
        <v>-0.45539442901950355</v>
      </c>
      <c r="S71" s="2">
        <f>P71-VLOOKUP($E71,Scores!$AG$1:$AM$7,7,FALSE)</f>
        <v>4.4125372861623635</v>
      </c>
      <c r="T71">
        <f t="shared" si="21"/>
        <v>115</v>
      </c>
      <c r="U71" s="23">
        <f t="shared" si="22"/>
        <v>35</v>
      </c>
      <c r="V71">
        <f t="shared" si="14"/>
        <v>55</v>
      </c>
      <c r="W71">
        <f t="shared" si="15"/>
        <v>16</v>
      </c>
      <c r="X71" t="str">
        <f>D71&amp;COUNTIF(D$1:D71,D71)</f>
        <v>scott5</v>
      </c>
      <c r="Y71" t="str">
        <f>D71&amp;E71&amp;COUNTIFS(D$1:D71,D71,E$1:E71,E71)</f>
        <v>scottWR2</v>
      </c>
      <c r="Z71" t="s">
        <v>118</v>
      </c>
      <c r="AA71" t="s">
        <v>185</v>
      </c>
    </row>
    <row r="72" spans="1:27" x14ac:dyDescent="0.25">
      <c r="A72">
        <f t="shared" si="23"/>
        <v>71</v>
      </c>
      <c r="B72">
        <f>MATCH(A72,'ROS Proj'!$AI$2:$AI$561,0)</f>
        <v>472</v>
      </c>
      <c r="C72" t="str">
        <f>INDEX('ROS Proj'!$A$2:$A$561,$B72)</f>
        <v>Tyler Boyd</v>
      </c>
      <c r="D72" t="str">
        <f>IFERROR(INDEX(Rosters!$C$2:$C$155,MATCH($C72,Rosters!$B$2:$B$155,0)),"FA")</f>
        <v>cory</v>
      </c>
      <c r="E72" t="str">
        <f>INDEX('ROS Proj'!$B$2:$B$561,$B72)</f>
        <v>WR</v>
      </c>
      <c r="F72" t="str">
        <f>E72&amp;COUNTIF(E$1:E72,E72)</f>
        <v>WR37</v>
      </c>
      <c r="G72">
        <f t="shared" si="16"/>
        <v>0</v>
      </c>
      <c r="H72">
        <f t="shared" si="17"/>
        <v>21</v>
      </c>
      <c r="I72" t="str">
        <f t="shared" si="18"/>
        <v>WR51-93</v>
      </c>
      <c r="J72" t="str">
        <f t="shared" si="19"/>
        <v>WR20-40</v>
      </c>
      <c r="K72" s="2">
        <f>INDEX('ROS Proj'!$T$2:$T$561,$B72)</f>
        <v>8.0028571428571436</v>
      </c>
      <c r="L72" s="23">
        <f>INDEX('ROS Proj'!$AL$2:$AL$561,$B72)</f>
        <v>7</v>
      </c>
      <c r="M72" s="2">
        <f>SQRT(IF(E72="K",SUMIFS('K Proj'!$P$2:$P$508,'K Proj'!$B$2:$B$508,$C72,'K Proj'!$A$2:$A$508,"&gt;"&amp;Week,'K Proj'!$A$2:$A$508,"&lt;=13"),IF(E72="D",SUMIFS('D Proj'!$N$2:$N$513,'D Proj'!$B$2:$B$513,$C72,'D Proj'!$A$2:$A$513,"&gt;"&amp;Week,'D Proj'!$A$2:$A$513,"&lt;=13"),SUMIFS('F Proj'!$J$2:$J$7669,'F Proj'!$B$2:$B$7669,$C72,'F Proj'!$A$2:$A$7669,"&gt;"&amp;Week,'F Proj'!$A$2:$A$7669,"&lt;=13"))))</f>
        <v>12.454083667616819</v>
      </c>
      <c r="N72" s="2">
        <f t="shared" si="20"/>
        <v>1.5562046710695774</v>
      </c>
      <c r="O72" s="2">
        <f t="shared" si="24"/>
        <v>6.2237023331975978</v>
      </c>
      <c r="P72" s="2">
        <f t="shared" si="25"/>
        <v>9.7820119525166884</v>
      </c>
      <c r="Q72" s="2">
        <f>K72-VLOOKUP($E72,Scores!$AG$1:$AM$7,7,FALSE)</f>
        <v>1.9500000000000011</v>
      </c>
      <c r="R72" s="2">
        <f>O72-VLOOKUP($E72,Scores!$AG$1:$AM$7,7,FALSE)</f>
        <v>0.17084519034045531</v>
      </c>
      <c r="S72" s="2">
        <f>P72-VLOOKUP($E72,Scores!$AG$1:$AM$7,7,FALSE)</f>
        <v>3.7291548096595459</v>
      </c>
      <c r="T72">
        <f t="shared" si="21"/>
        <v>93</v>
      </c>
      <c r="U72" s="23">
        <f t="shared" si="22"/>
        <v>40</v>
      </c>
      <c r="V72">
        <f t="shared" si="14"/>
        <v>51</v>
      </c>
      <c r="W72">
        <f t="shared" si="15"/>
        <v>20</v>
      </c>
      <c r="X72" t="str">
        <f>D72&amp;COUNTIF(D$1:D72,D72)</f>
        <v>cory7</v>
      </c>
      <c r="Y72" t="str">
        <f>D72&amp;E72&amp;COUNTIFS(D$1:D72,D72,E$1:E72,E72)</f>
        <v>coryWR4</v>
      </c>
      <c r="Z72" t="s">
        <v>1158</v>
      </c>
      <c r="AA72" t="s">
        <v>221</v>
      </c>
    </row>
    <row r="73" spans="1:27" x14ac:dyDescent="0.25">
      <c r="A73">
        <f t="shared" si="23"/>
        <v>72</v>
      </c>
      <c r="B73">
        <f>MATCH(A73,'ROS Proj'!$AI$2:$AI$561,0)</f>
        <v>291</v>
      </c>
      <c r="C73" t="str">
        <f>INDEX('ROS Proj'!$A$2:$A$561,$B73)</f>
        <v>Kenny Stills</v>
      </c>
      <c r="D73" t="str">
        <f>IFERROR(INDEX(Rosters!$C$2:$C$155,MATCH($C73,Rosters!$B$2:$B$155,0)),"FA")</f>
        <v>comp</v>
      </c>
      <c r="E73" t="str">
        <f>INDEX('ROS Proj'!$B$2:$B$561,$B73)</f>
        <v>WR</v>
      </c>
      <c r="F73" t="str">
        <f>E73&amp;COUNTIF(E$1:E73,E73)</f>
        <v>WR38</v>
      </c>
      <c r="G73">
        <f t="shared" si="16"/>
        <v>0</v>
      </c>
      <c r="H73">
        <f t="shared" si="17"/>
        <v>-6</v>
      </c>
      <c r="I73" t="str">
        <f t="shared" si="18"/>
        <v>WR55-115</v>
      </c>
      <c r="J73" t="str">
        <f t="shared" si="19"/>
        <v>WR18-38</v>
      </c>
      <c r="K73" s="2">
        <f>INDEX('ROS Proj'!$T$2:$T$561,$B73)</f>
        <v>7.9857142857142858</v>
      </c>
      <c r="L73" s="23">
        <f>INDEX('ROS Proj'!$AL$2:$AL$561,$B73)</f>
        <v>7</v>
      </c>
      <c r="M73" s="2">
        <f>SQRT(IF(E73="K",SUMIFS('K Proj'!$P$2:$P$508,'K Proj'!$B$2:$B$508,$C73,'K Proj'!$A$2:$A$508,"&gt;"&amp;Week,'K Proj'!$A$2:$A$508,"&lt;=13"),IF(E73="D",SUMIFS('D Proj'!$N$2:$N$513,'D Proj'!$B$2:$B$513,$C73,'D Proj'!$A$2:$A$513,"&gt;"&amp;Week,'D Proj'!$A$2:$A$513,"&lt;=13"),SUMIFS('F Proj'!$J$2:$J$7669,'F Proj'!$B$2:$B$7669,$C73,'F Proj'!$A$2:$A$7669,"&gt;"&amp;Week,'F Proj'!$A$2:$A$7669,"&lt;=13"))))</f>
        <v>16.555977772393874</v>
      </c>
      <c r="N73" s="2">
        <f t="shared" si="20"/>
        <v>2.0731993632693579</v>
      </c>
      <c r="O73" s="2">
        <f t="shared" si="24"/>
        <v>5.6205746039437319</v>
      </c>
      <c r="P73" s="2">
        <f t="shared" si="25"/>
        <v>10.35085396748484</v>
      </c>
      <c r="Q73" s="2">
        <f>K73-VLOOKUP($E73,Scores!$AG$1:$AM$7,7,FALSE)</f>
        <v>1.9328571428571433</v>
      </c>
      <c r="R73" s="2">
        <f>O73-VLOOKUP($E73,Scores!$AG$1:$AM$7,7,FALSE)</f>
        <v>-0.43228253891341062</v>
      </c>
      <c r="S73" s="2">
        <f>P73-VLOOKUP($E73,Scores!$AG$1:$AM$7,7,FALSE)</f>
        <v>4.2979968246276972</v>
      </c>
      <c r="T73">
        <f t="shared" si="21"/>
        <v>115</v>
      </c>
      <c r="U73" s="23">
        <f t="shared" si="22"/>
        <v>38</v>
      </c>
      <c r="V73">
        <f t="shared" si="14"/>
        <v>55</v>
      </c>
      <c r="W73">
        <f t="shared" si="15"/>
        <v>18</v>
      </c>
      <c r="X73" t="str">
        <f>D73&amp;COUNTIF(D$1:D73,D73)</f>
        <v>comp7</v>
      </c>
      <c r="Y73" t="str">
        <f>D73&amp;E73&amp;COUNTIFS(D$1:D73,D73,E$1:E73,E73)</f>
        <v>compWR5</v>
      </c>
      <c r="Z73" t="s">
        <v>119</v>
      </c>
      <c r="AA73" t="s">
        <v>220</v>
      </c>
    </row>
    <row r="74" spans="1:27" x14ac:dyDescent="0.25">
      <c r="A74">
        <f t="shared" si="23"/>
        <v>73</v>
      </c>
      <c r="B74">
        <f>MATCH(A74,'ROS Proj'!$AI$2:$AI$561,0)</f>
        <v>224</v>
      </c>
      <c r="C74" t="str">
        <f>INDEX('ROS Proj'!$A$2:$A$561,$B74)</f>
        <v>Jared Cook</v>
      </c>
      <c r="D74" t="str">
        <f>IFERROR(INDEX(Rosters!$C$2:$C$155,MATCH($C74,Rosters!$B$2:$B$155,0)),"FA")</f>
        <v>chad</v>
      </c>
      <c r="E74" t="str">
        <f>INDEX('ROS Proj'!$B$2:$B$561,$B74)</f>
        <v>TE</v>
      </c>
      <c r="F74" t="str">
        <f>E74&amp;COUNTIF(E$1:E74,E74)</f>
        <v>TE5</v>
      </c>
      <c r="G74">
        <f t="shared" si="16"/>
        <v>0</v>
      </c>
      <c r="H74">
        <f t="shared" si="17"/>
        <v>16</v>
      </c>
      <c r="I74" t="str">
        <f t="shared" si="18"/>
        <v>TE9-77</v>
      </c>
      <c r="J74" t="str">
        <f t="shared" si="19"/>
        <v>TE3-35</v>
      </c>
      <c r="K74" s="2">
        <f>INDEX('ROS Proj'!$T$2:$T$561,$B74)</f>
        <v>7.6257142857142863</v>
      </c>
      <c r="L74" s="23">
        <f>INDEX('ROS Proj'!$AL$2:$AL$561,$B74)</f>
        <v>7</v>
      </c>
      <c r="M74" s="2">
        <f>SQRT(IF(E74="K",SUMIFS('K Proj'!$P$2:$P$508,'K Proj'!$B$2:$B$508,$C74,'K Proj'!$A$2:$A$508,"&gt;"&amp;Week,'K Proj'!$A$2:$A$508,"&lt;=13"),IF(E74="D",SUMIFS('D Proj'!$N$2:$N$513,'D Proj'!$B$2:$B$513,$C74,'D Proj'!$A$2:$A$513,"&gt;"&amp;Week,'D Proj'!$A$2:$A$513,"&lt;=13"),SUMIFS('F Proj'!$J$2:$J$7669,'F Proj'!$B$2:$B$7669,$C74,'F Proj'!$A$2:$A$7669,"&gt;"&amp;Week,'F Proj'!$A$2:$A$7669,"&lt;=13"))))</f>
        <v>13.568231277509977</v>
      </c>
      <c r="N74" s="2">
        <f t="shared" si="20"/>
        <v>1.7792734908686743</v>
      </c>
      <c r="O74" s="2">
        <f t="shared" si="24"/>
        <v>5.6873955317842899</v>
      </c>
      <c r="P74" s="2">
        <f t="shared" si="25"/>
        <v>9.5640330396442828</v>
      </c>
      <c r="Q74" s="2">
        <f>K74-VLOOKUP($E74,Scores!$AG$1:$AM$7,7,FALSE)</f>
        <v>2.4457142857142866</v>
      </c>
      <c r="R74" s="2">
        <f>O74-VLOOKUP($E74,Scores!$AG$1:$AM$7,7,FALSE)</f>
        <v>0.5073955317842902</v>
      </c>
      <c r="S74" s="2">
        <f>P74-VLOOKUP($E74,Scores!$AG$1:$AM$7,7,FALSE)</f>
        <v>4.384033039644283</v>
      </c>
      <c r="T74">
        <f t="shared" si="21"/>
        <v>77</v>
      </c>
      <c r="U74" s="23">
        <f t="shared" si="22"/>
        <v>35</v>
      </c>
      <c r="V74">
        <f t="shared" si="14"/>
        <v>9</v>
      </c>
      <c r="W74">
        <f t="shared" si="15"/>
        <v>3</v>
      </c>
      <c r="X74" t="str">
        <f>D74&amp;COUNTIF(D$1:D74,D74)</f>
        <v>chad9</v>
      </c>
      <c r="Y74" t="str">
        <f>D74&amp;E74&amp;COUNTIFS(D$1:D74,D74,E$1:E74,E74)</f>
        <v>chadTE1</v>
      </c>
      <c r="Z74" t="s">
        <v>116</v>
      </c>
      <c r="AA74" t="s">
        <v>208</v>
      </c>
    </row>
    <row r="75" spans="1:27" x14ac:dyDescent="0.25">
      <c r="A75">
        <f t="shared" si="23"/>
        <v>74</v>
      </c>
      <c r="B75">
        <f>MATCH(A75,'ROS Proj'!$AI$2:$AI$561,0)</f>
        <v>258</v>
      </c>
      <c r="C75" t="str">
        <f>INDEX('ROS Proj'!$A$2:$A$561,$B75)</f>
        <v>Jordy Nelson</v>
      </c>
      <c r="D75" t="str">
        <f>IFERROR(INDEX(Rosters!$C$2:$C$155,MATCH($C75,Rosters!$B$2:$B$155,0)),"FA")</f>
        <v>seth</v>
      </c>
      <c r="E75" t="str">
        <f>INDEX('ROS Proj'!$B$2:$B$561,$B75)</f>
        <v>WR</v>
      </c>
      <c r="F75" t="str">
        <f>E75&amp;COUNTIF(E$1:E75,E75)</f>
        <v>WR39</v>
      </c>
      <c r="G75">
        <f t="shared" si="16"/>
        <v>0</v>
      </c>
      <c r="H75">
        <f t="shared" si="17"/>
        <v>57</v>
      </c>
      <c r="I75" t="str">
        <f t="shared" si="18"/>
        <v>WR55-115</v>
      </c>
      <c r="J75" t="str">
        <f t="shared" si="19"/>
        <v>WR19-39</v>
      </c>
      <c r="K75" s="2">
        <f>INDEX('ROS Proj'!$T$2:$T$561,$B75)</f>
        <v>7.911428571428571</v>
      </c>
      <c r="L75" s="23">
        <f>INDEX('ROS Proj'!$AL$2:$AL$561,$B75)</f>
        <v>7</v>
      </c>
      <c r="M75" s="2">
        <f>SQRT(IF(E75="K",SUMIFS('K Proj'!$P$2:$P$508,'K Proj'!$B$2:$B$508,$C75,'K Proj'!$A$2:$A$508,"&gt;"&amp;Week,'K Proj'!$A$2:$A$508,"&lt;=13"),IF(E75="D",SUMIFS('D Proj'!$N$2:$N$513,'D Proj'!$B$2:$B$513,$C75,'D Proj'!$A$2:$A$513,"&gt;"&amp;Week,'D Proj'!$A$2:$A$513,"&lt;=13"),SUMIFS('F Proj'!$J$2:$J$7669,'F Proj'!$B$2:$B$7669,$C75,'F Proj'!$A$2:$A$7669,"&gt;"&amp;Week,'F Proj'!$A$2:$A$7669,"&lt;=13"))))</f>
        <v>15.371756568460221</v>
      </c>
      <c r="N75" s="2">
        <f t="shared" si="20"/>
        <v>1.9429811480538379</v>
      </c>
      <c r="O75" s="2">
        <f t="shared" si="24"/>
        <v>5.7154633473628254</v>
      </c>
      <c r="P75" s="2">
        <f t="shared" si="25"/>
        <v>10.107393795494318</v>
      </c>
      <c r="Q75" s="2">
        <f>K75-VLOOKUP($E75,Scores!$AG$1:$AM$7,7,FALSE)</f>
        <v>1.8585714285714285</v>
      </c>
      <c r="R75" s="2">
        <f>O75-VLOOKUP($E75,Scores!$AG$1:$AM$7,7,FALSE)</f>
        <v>-0.33739379549431714</v>
      </c>
      <c r="S75" s="2">
        <f>P75-VLOOKUP($E75,Scores!$AG$1:$AM$7,7,FALSE)</f>
        <v>4.0545366526371751</v>
      </c>
      <c r="T75">
        <f t="shared" si="21"/>
        <v>115</v>
      </c>
      <c r="U75" s="23">
        <f t="shared" si="22"/>
        <v>39</v>
      </c>
      <c r="V75">
        <f t="shared" si="14"/>
        <v>55</v>
      </c>
      <c r="W75">
        <f t="shared" si="15"/>
        <v>19</v>
      </c>
      <c r="X75" t="str">
        <f>D75&amp;COUNTIF(D$1:D75,D75)</f>
        <v>seth6</v>
      </c>
      <c r="Y75" t="str">
        <f>D75&amp;E75&amp;COUNTIFS(D$1:D75,D75,E$1:E75,E75)</f>
        <v>sethWR4</v>
      </c>
      <c r="Z75" t="s">
        <v>171</v>
      </c>
      <c r="AA75" t="s">
        <v>98</v>
      </c>
    </row>
    <row r="76" spans="1:27" x14ac:dyDescent="0.25">
      <c r="A76">
        <f t="shared" si="23"/>
        <v>75</v>
      </c>
      <c r="B76">
        <f>MATCH(A76,'ROS Proj'!$AI$2:$AI$561,0)</f>
        <v>263</v>
      </c>
      <c r="C76" t="str">
        <f>INDEX('ROS Proj'!$A$2:$A$561,$B76)</f>
        <v>Josh Gordon</v>
      </c>
      <c r="D76" t="str">
        <f>IFERROR(INDEX(Rosters!$C$2:$C$155,MATCH($C76,Rosters!$B$2:$B$155,0)),"FA")</f>
        <v>chad</v>
      </c>
      <c r="E76" t="str">
        <f>INDEX('ROS Proj'!$B$2:$B$561,$B76)</f>
        <v>WR</v>
      </c>
      <c r="F76" t="str">
        <f>E76&amp;COUNTIF(E$1:E76,E76)</f>
        <v>WR40</v>
      </c>
      <c r="G76">
        <f t="shared" si="16"/>
        <v>0</v>
      </c>
      <c r="H76">
        <f t="shared" si="17"/>
        <v>-4</v>
      </c>
      <c r="I76" t="str">
        <f t="shared" si="18"/>
        <v>WR61-136</v>
      </c>
      <c r="J76" t="str">
        <f t="shared" si="19"/>
        <v>WR16-23</v>
      </c>
      <c r="K76" s="2">
        <f>INDEX('ROS Proj'!$T$2:$T$561,$B76)</f>
        <v>7.8785714285714281</v>
      </c>
      <c r="L76" s="23">
        <f>INDEX('ROS Proj'!$AL$2:$AL$561,$B76)</f>
        <v>7</v>
      </c>
      <c r="M76" s="2">
        <f>SQRT(IF(E76="K",SUMIFS('K Proj'!$P$2:$P$508,'K Proj'!$B$2:$B$508,$C76,'K Proj'!$A$2:$A$508,"&gt;"&amp;Week,'K Proj'!$A$2:$A$508,"&lt;=13"),IF(E76="D",SUMIFS('D Proj'!$N$2:$N$513,'D Proj'!$B$2:$B$513,$C76,'D Proj'!$A$2:$A$513,"&gt;"&amp;Week,'D Proj'!$A$2:$A$513,"&lt;=13"),SUMIFS('F Proj'!$J$2:$J$7669,'F Proj'!$B$2:$B$7669,$C76,'F Proj'!$A$2:$A$7669,"&gt;"&amp;Week,'F Proj'!$A$2:$A$7669,"&lt;=13"))))</f>
        <v>18.650522780876678</v>
      </c>
      <c r="N76" s="2">
        <f t="shared" si="20"/>
        <v>2.3672467718247825</v>
      </c>
      <c r="O76" s="2">
        <f t="shared" si="24"/>
        <v>5.2142110313033312</v>
      </c>
      <c r="P76" s="2">
        <f t="shared" si="25"/>
        <v>10.542931825839526</v>
      </c>
      <c r="Q76" s="2">
        <f>K76-VLOOKUP($E76,Scores!$AG$1:$AM$7,7,FALSE)</f>
        <v>1.8257142857142856</v>
      </c>
      <c r="R76" s="2">
        <f>O76-VLOOKUP($E76,Scores!$AG$1:$AM$7,7,FALSE)</f>
        <v>-0.8386461115538113</v>
      </c>
      <c r="S76" s="2">
        <f>P76-VLOOKUP($E76,Scores!$AG$1:$AM$7,7,FALSE)</f>
        <v>4.4900746829823834</v>
      </c>
      <c r="T76">
        <f t="shared" si="21"/>
        <v>136</v>
      </c>
      <c r="U76" s="23">
        <f t="shared" si="22"/>
        <v>23</v>
      </c>
      <c r="V76">
        <f t="shared" si="14"/>
        <v>61</v>
      </c>
      <c r="W76">
        <f t="shared" si="15"/>
        <v>16</v>
      </c>
      <c r="X76" t="str">
        <f>D76&amp;COUNTIF(D$1:D76,D76)</f>
        <v>chad10</v>
      </c>
      <c r="Y76" t="str">
        <f>D76&amp;E76&amp;COUNTIFS(D$1:D76,D76,E$1:E76,E76)</f>
        <v>chadWR6</v>
      </c>
      <c r="Z76" t="s">
        <v>1326</v>
      </c>
      <c r="AA76" t="s">
        <v>1158</v>
      </c>
    </row>
    <row r="77" spans="1:27" x14ac:dyDescent="0.25">
      <c r="A77">
        <f t="shared" si="23"/>
        <v>76</v>
      </c>
      <c r="B77">
        <f>MATCH(A77,'ROS Proj'!$AI$2:$AI$561,0)</f>
        <v>290</v>
      </c>
      <c r="C77" t="str">
        <f>INDEX('ROS Proj'!$A$2:$A$561,$B77)</f>
        <v>Kenny Golladay</v>
      </c>
      <c r="D77" t="str">
        <f>IFERROR(INDEX(Rosters!$C$2:$C$155,MATCH($C77,Rosters!$B$2:$B$155,0)),"FA")</f>
        <v>scott</v>
      </c>
      <c r="E77" t="str">
        <f>INDEX('ROS Proj'!$B$2:$B$561,$B77)</f>
        <v>WR</v>
      </c>
      <c r="F77" t="str">
        <f>E77&amp;COUNTIF(E$1:E77,E77)</f>
        <v>WR41</v>
      </c>
      <c r="G77">
        <f t="shared" si="16"/>
        <v>0</v>
      </c>
      <c r="H77">
        <f t="shared" si="17"/>
        <v>-18</v>
      </c>
      <c r="I77" t="str">
        <f t="shared" si="18"/>
        <v>WR55-115</v>
      </c>
      <c r="J77" t="str">
        <f t="shared" si="19"/>
        <v>WR18-38</v>
      </c>
      <c r="K77" s="2">
        <f>INDEX('ROS Proj'!$T$2:$T$561,$B77)</f>
        <v>7.8157142857142849</v>
      </c>
      <c r="L77" s="23">
        <f>INDEX('ROS Proj'!$AL$2:$AL$561,$B77)</f>
        <v>7</v>
      </c>
      <c r="M77" s="2">
        <f>SQRT(IF(E77="K",SUMIFS('K Proj'!$P$2:$P$508,'K Proj'!$B$2:$B$508,$C77,'K Proj'!$A$2:$A$508,"&gt;"&amp;Week,'K Proj'!$A$2:$A$508,"&lt;=13"),IF(E77="D",SUMIFS('D Proj'!$N$2:$N$513,'D Proj'!$B$2:$B$513,$C77,'D Proj'!$A$2:$A$513,"&gt;"&amp;Week,'D Proj'!$A$2:$A$513,"&lt;=13"),SUMIFS('F Proj'!$J$2:$J$7669,'F Proj'!$B$2:$B$7669,$C77,'F Proj'!$A$2:$A$7669,"&gt;"&amp;Week,'F Proj'!$A$2:$A$7669,"&lt;=13"))))</f>
        <v>16.570872034989588</v>
      </c>
      <c r="N77" s="2">
        <f t="shared" si="20"/>
        <v>2.1201993099054492</v>
      </c>
      <c r="O77" s="2">
        <f t="shared" si="24"/>
        <v>5.4484468521443432</v>
      </c>
      <c r="P77" s="2">
        <f t="shared" si="25"/>
        <v>10.182981719284227</v>
      </c>
      <c r="Q77" s="2">
        <f>K77-VLOOKUP($E77,Scores!$AG$1:$AM$7,7,FALSE)</f>
        <v>1.7628571428571425</v>
      </c>
      <c r="R77" s="2">
        <f>O77-VLOOKUP($E77,Scores!$AG$1:$AM$7,7,FALSE)</f>
        <v>-0.60441029071279928</v>
      </c>
      <c r="S77" s="2">
        <f>P77-VLOOKUP($E77,Scores!$AG$1:$AM$7,7,FALSE)</f>
        <v>4.1301245764270842</v>
      </c>
      <c r="T77">
        <f t="shared" si="21"/>
        <v>115</v>
      </c>
      <c r="U77" s="23">
        <f t="shared" si="22"/>
        <v>38</v>
      </c>
      <c r="V77">
        <f t="shared" si="14"/>
        <v>55</v>
      </c>
      <c r="W77">
        <f t="shared" si="15"/>
        <v>18</v>
      </c>
      <c r="X77" t="str">
        <f>D77&amp;COUNTIF(D$1:D77,D77)</f>
        <v>scott6</v>
      </c>
      <c r="Y77" t="str">
        <f>D77&amp;E77&amp;COUNTIFS(D$1:D77,D77,E$1:E77,E77)</f>
        <v>scottWR3</v>
      </c>
      <c r="Z77" t="s">
        <v>162</v>
      </c>
      <c r="AA77" t="s">
        <v>195</v>
      </c>
    </row>
    <row r="78" spans="1:27" x14ac:dyDescent="0.25">
      <c r="A78">
        <f t="shared" si="23"/>
        <v>77</v>
      </c>
      <c r="B78">
        <f>MATCH(A78,'ROS Proj'!$AI$2:$AI$561,0)</f>
        <v>453</v>
      </c>
      <c r="C78" t="str">
        <f>INDEX('ROS Proj'!$A$2:$A$561,$B78)</f>
        <v>Tevin Coleman</v>
      </c>
      <c r="D78" t="str">
        <f>IFERROR(INDEX(Rosters!$C$2:$C$155,MATCH($C78,Rosters!$B$2:$B$155,0)),"FA")</f>
        <v>lucas</v>
      </c>
      <c r="E78" t="str">
        <f>INDEX('ROS Proj'!$B$2:$B$561,$B78)</f>
        <v>RB</v>
      </c>
      <c r="F78" t="str">
        <f>E78&amp;COUNTIF(E$1:E78,E78)</f>
        <v>RB30</v>
      </c>
      <c r="G78">
        <f t="shared" si="16"/>
        <v>0</v>
      </c>
      <c r="H78">
        <f t="shared" si="17"/>
        <v>2</v>
      </c>
      <c r="I78" t="str">
        <f t="shared" si="18"/>
        <v>RB52-115</v>
      </c>
      <c r="J78" t="str">
        <f t="shared" si="19"/>
        <v>RB19-39</v>
      </c>
      <c r="K78" s="2">
        <f>INDEX('ROS Proj'!$T$2:$T$561,$B78)</f>
        <v>7.7885714285714291</v>
      </c>
      <c r="L78" s="23">
        <f>INDEX('ROS Proj'!$AL$2:$AL$561,$B78)</f>
        <v>7</v>
      </c>
      <c r="M78" s="2">
        <f>SQRT(IF(E78="K",SUMIFS('K Proj'!$P$2:$P$508,'K Proj'!$B$2:$B$508,$C78,'K Proj'!$A$2:$A$508,"&gt;"&amp;Week,'K Proj'!$A$2:$A$508,"&lt;=13"),IF(E78="D",SUMIFS('D Proj'!$N$2:$N$513,'D Proj'!$B$2:$B$513,$C78,'D Proj'!$A$2:$A$513,"&gt;"&amp;Week,'D Proj'!$A$2:$A$513,"&lt;=13"),SUMIFS('F Proj'!$J$2:$J$7669,'F Proj'!$B$2:$B$7669,$C78,'F Proj'!$A$2:$A$7669,"&gt;"&amp;Week,'F Proj'!$A$2:$A$7669,"&lt;=13"))))</f>
        <v>15.178718654748167</v>
      </c>
      <c r="N78" s="2">
        <f t="shared" si="20"/>
        <v>1.9488450217028093</v>
      </c>
      <c r="O78" s="2">
        <f t="shared" si="24"/>
        <v>5.6201830493216907</v>
      </c>
      <c r="P78" s="2">
        <f t="shared" si="25"/>
        <v>9.9569598078211676</v>
      </c>
      <c r="Q78" s="2">
        <f>K78-VLOOKUP($E78,Scores!$AG$1:$AM$7,7,FALSE)</f>
        <v>1.92</v>
      </c>
      <c r="R78" s="2">
        <f>O78-VLOOKUP($E78,Scores!$AG$1:$AM$7,7,FALSE)</f>
        <v>-0.24838837924973856</v>
      </c>
      <c r="S78" s="2">
        <f>P78-VLOOKUP($E78,Scores!$AG$1:$AM$7,7,FALSE)</f>
        <v>4.0883883792497384</v>
      </c>
      <c r="T78">
        <f t="shared" si="21"/>
        <v>115</v>
      </c>
      <c r="U78" s="23">
        <f t="shared" si="22"/>
        <v>39</v>
      </c>
      <c r="V78">
        <f t="shared" si="14"/>
        <v>52</v>
      </c>
      <c r="W78">
        <f t="shared" si="15"/>
        <v>19</v>
      </c>
      <c r="X78" t="str">
        <f>D78&amp;COUNTIF(D$1:D78,D78)</f>
        <v>lucas7</v>
      </c>
      <c r="Y78" t="str">
        <f>D78&amp;E78&amp;COUNTIFS(D$1:D78,D78,E$1:E78,E78)</f>
        <v>lucasRB3</v>
      </c>
      <c r="Z78" t="s">
        <v>21</v>
      </c>
      <c r="AA78" t="s">
        <v>145</v>
      </c>
    </row>
    <row r="79" spans="1:27" x14ac:dyDescent="0.25">
      <c r="A79">
        <f t="shared" si="23"/>
        <v>78</v>
      </c>
      <c r="B79">
        <f>MATCH(A79,'ROS Proj'!$AI$2:$AI$561,0)</f>
        <v>17</v>
      </c>
      <c r="C79" t="str">
        <f>INDEX('ROS Proj'!$A$2:$A$561,$B79)</f>
        <v>Alex Smith</v>
      </c>
      <c r="D79" t="str">
        <f>IFERROR(INDEX(Rosters!$C$2:$C$155,MATCH($C79,Rosters!$B$2:$B$155,0)),"FA")</f>
        <v>matty</v>
      </c>
      <c r="E79" t="str">
        <f>INDEX('ROS Proj'!$B$2:$B$561,$B79)</f>
        <v>QB</v>
      </c>
      <c r="F79" t="str">
        <f>E79&amp;COUNTIF(E$1:E79,E79)</f>
        <v>QB2</v>
      </c>
      <c r="G79">
        <f t="shared" si="16"/>
        <v>0</v>
      </c>
      <c r="H79">
        <f t="shared" si="17"/>
        <v>-14</v>
      </c>
      <c r="I79" t="str">
        <f t="shared" si="18"/>
        <v>QB13-200</v>
      </c>
      <c r="J79" t="str">
        <f t="shared" si="19"/>
        <v>QB1-40</v>
      </c>
      <c r="K79" s="2">
        <f>INDEX('ROS Proj'!$T$2:$T$561,$B79)</f>
        <v>19.903749999999999</v>
      </c>
      <c r="L79" s="23">
        <f>INDEX('ROS Proj'!$AL$2:$AL$561,$B79)</f>
        <v>8</v>
      </c>
      <c r="M79" s="2">
        <f>SQRT(IF(E79="K",SUMIFS('K Proj'!$P$2:$P$508,'K Proj'!$B$2:$B$508,$C79,'K Proj'!$A$2:$A$508,"&gt;"&amp;Week,'K Proj'!$A$2:$A$508,"&lt;=13"),IF(E79="D",SUMIFS('D Proj'!$N$2:$N$513,'D Proj'!$B$2:$B$513,$C79,'D Proj'!$A$2:$A$513,"&gt;"&amp;Week,'D Proj'!$A$2:$A$513,"&lt;=13"),SUMIFS('F Proj'!$J$2:$J$7669,'F Proj'!$B$2:$B$7669,$C79,'F Proj'!$A$2:$A$7669,"&gt;"&amp;Week,'F Proj'!$A$2:$A$7669,"&lt;=13"))))</f>
        <v>21.716212837417117</v>
      </c>
      <c r="N79" s="2">
        <f t="shared" si="20"/>
        <v>1.0910613747367768</v>
      </c>
      <c r="O79" s="2">
        <f t="shared" si="24"/>
        <v>17.189223395322859</v>
      </c>
      <c r="P79" s="2">
        <f t="shared" si="25"/>
        <v>22.618276604677138</v>
      </c>
      <c r="Q79" s="2">
        <f>K79-VLOOKUP($E79,Scores!$AG$1:$AM$7,7,FALSE)</f>
        <v>0.40375000000000227</v>
      </c>
      <c r="R79" s="2">
        <f>O79-VLOOKUP($E79,Scores!$AG$1:$AM$7,7,FALSE)</f>
        <v>-2.3107766046771374</v>
      </c>
      <c r="S79" s="2">
        <f>P79-VLOOKUP($E79,Scores!$AG$1:$AM$7,7,FALSE)</f>
        <v>3.118276604677142</v>
      </c>
      <c r="T79">
        <f t="shared" si="21"/>
        <v>200</v>
      </c>
      <c r="U79" s="23">
        <f t="shared" si="22"/>
        <v>40</v>
      </c>
      <c r="V79">
        <f t="shared" si="14"/>
        <v>13</v>
      </c>
      <c r="W79">
        <f t="shared" si="15"/>
        <v>1</v>
      </c>
      <c r="X79" t="str">
        <f>D79&amp;COUNTIF(D$1:D79,D79)</f>
        <v>matty9</v>
      </c>
      <c r="Y79" t="str">
        <f>D79&amp;E79&amp;COUNTIFS(D$1:D79,D79,E$1:E79,E79)</f>
        <v>mattyQB1</v>
      </c>
      <c r="Z79" t="s">
        <v>1352</v>
      </c>
      <c r="AA79" t="s">
        <v>95</v>
      </c>
    </row>
    <row r="80" spans="1:27" x14ac:dyDescent="0.25">
      <c r="A80">
        <f t="shared" si="23"/>
        <v>79</v>
      </c>
      <c r="B80">
        <f>MATCH(A80,'ROS Proj'!$AI$2:$AI$561,0)</f>
        <v>14</v>
      </c>
      <c r="C80" t="str">
        <f>INDEX('ROS Proj'!$A$2:$A$561,$B80)</f>
        <v>Alex Collins</v>
      </c>
      <c r="D80" t="str">
        <f>IFERROR(INDEX(Rosters!$C$2:$C$155,MATCH($C80,Rosters!$B$2:$B$155,0)),"FA")</f>
        <v>seth</v>
      </c>
      <c r="E80" t="str">
        <f>INDEX('ROS Proj'!$B$2:$B$561,$B80)</f>
        <v>RB</v>
      </c>
      <c r="F80" t="str">
        <f>E80&amp;COUNTIF(E$1:E80,E80)</f>
        <v>RB31</v>
      </c>
      <c r="G80">
        <f t="shared" si="16"/>
        <v>0</v>
      </c>
      <c r="H80">
        <f t="shared" si="17"/>
        <v>-43</v>
      </c>
      <c r="I80" t="str">
        <f t="shared" si="18"/>
        <v>RB52-115</v>
      </c>
      <c r="J80" t="str">
        <f t="shared" si="19"/>
        <v>RB19-38</v>
      </c>
      <c r="K80" s="2">
        <f>INDEX('ROS Proj'!$T$2:$T$561,$B80)</f>
        <v>7.7028571428571428</v>
      </c>
      <c r="L80" s="23">
        <f>INDEX('ROS Proj'!$AL$2:$AL$561,$B80)</f>
        <v>7</v>
      </c>
      <c r="M80" s="2">
        <f>SQRT(IF(E80="K",SUMIFS('K Proj'!$P$2:$P$508,'K Proj'!$B$2:$B$508,$C80,'K Proj'!$A$2:$A$508,"&gt;"&amp;Week,'K Proj'!$A$2:$A$508,"&lt;=13"),IF(E80="D",SUMIFS('D Proj'!$N$2:$N$513,'D Proj'!$B$2:$B$513,$C80,'D Proj'!$A$2:$A$513,"&gt;"&amp;Week,'D Proj'!$A$2:$A$513,"&lt;=13"),SUMIFS('F Proj'!$J$2:$J$7669,'F Proj'!$B$2:$B$7669,$C80,'F Proj'!$A$2:$A$7669,"&gt;"&amp;Week,'F Proj'!$A$2:$A$7669,"&lt;=13"))))</f>
        <v>16.201336364633629</v>
      </c>
      <c r="N80" s="2">
        <f t="shared" si="20"/>
        <v>2.1032892164769179</v>
      </c>
      <c r="O80" s="2">
        <f t="shared" si="24"/>
        <v>5.3883805193380523</v>
      </c>
      <c r="P80" s="2">
        <f t="shared" si="25"/>
        <v>10.017333766376234</v>
      </c>
      <c r="Q80" s="2">
        <f>K80-VLOOKUP($E80,Scores!$AG$1:$AM$7,7,FALSE)</f>
        <v>1.8342857142857136</v>
      </c>
      <c r="R80" s="2">
        <f>O80-VLOOKUP($E80,Scores!$AG$1:$AM$7,7,FALSE)</f>
        <v>-0.48019090923337693</v>
      </c>
      <c r="S80" s="2">
        <f>P80-VLOOKUP($E80,Scores!$AG$1:$AM$7,7,FALSE)</f>
        <v>4.1487623378048051</v>
      </c>
      <c r="T80">
        <f t="shared" si="21"/>
        <v>115</v>
      </c>
      <c r="U80" s="23">
        <f t="shared" si="22"/>
        <v>38</v>
      </c>
      <c r="V80">
        <f t="shared" si="14"/>
        <v>52</v>
      </c>
      <c r="W80">
        <f t="shared" si="15"/>
        <v>19</v>
      </c>
      <c r="X80" t="str">
        <f>D80&amp;COUNTIF(D$1:D80,D80)</f>
        <v>seth7</v>
      </c>
      <c r="Y80" t="str">
        <f>D80&amp;E80&amp;COUNTIFS(D$1:D80,D80,E$1:E80,E80)</f>
        <v>sethRB3</v>
      </c>
      <c r="Z80" t="s">
        <v>145</v>
      </c>
      <c r="AA80" t="s">
        <v>796</v>
      </c>
    </row>
    <row r="81" spans="1:27" x14ac:dyDescent="0.25">
      <c r="A81">
        <f t="shared" si="23"/>
        <v>80</v>
      </c>
      <c r="B81">
        <f>MATCH(A81,'ROS Proj'!$AI$2:$AI$561,0)</f>
        <v>75</v>
      </c>
      <c r="C81" t="str">
        <f>INDEX('ROS Proj'!$A$2:$A$561,$B81)</f>
        <v>Calvin Ridley</v>
      </c>
      <c r="D81" t="str">
        <f>IFERROR(INDEX(Rosters!$C$2:$C$155,MATCH($C81,Rosters!$B$2:$B$155,0)),"FA")</f>
        <v>comp</v>
      </c>
      <c r="E81" t="str">
        <f>INDEX('ROS Proj'!$B$2:$B$561,$B81)</f>
        <v>WR</v>
      </c>
      <c r="F81" t="str">
        <f>E81&amp;COUNTIF(E$1:E81,E81)</f>
        <v>WR42</v>
      </c>
      <c r="G81">
        <f t="shared" si="16"/>
        <v>0</v>
      </c>
      <c r="H81">
        <f t="shared" si="17"/>
        <v>15</v>
      </c>
      <c r="I81" t="str">
        <f t="shared" si="18"/>
        <v>WR55-115</v>
      </c>
      <c r="J81" t="str">
        <f t="shared" si="19"/>
        <v>WR20-40</v>
      </c>
      <c r="K81" s="2">
        <f>INDEX('ROS Proj'!$T$2:$T$561,$B81)</f>
        <v>7.67</v>
      </c>
      <c r="L81" s="23">
        <f>INDEX('ROS Proj'!$AL$2:$AL$561,$B81)</f>
        <v>7</v>
      </c>
      <c r="M81" s="2">
        <f>SQRT(IF(E81="K",SUMIFS('K Proj'!$P$2:$P$508,'K Proj'!$B$2:$B$508,$C81,'K Proj'!$A$2:$A$508,"&gt;"&amp;Week,'K Proj'!$A$2:$A$508,"&lt;=13"),IF(E81="D",SUMIFS('D Proj'!$N$2:$N$513,'D Proj'!$B$2:$B$513,$C81,'D Proj'!$A$2:$A$513,"&gt;"&amp;Week,'D Proj'!$A$2:$A$513,"&lt;=13"),SUMIFS('F Proj'!$J$2:$J$7669,'F Proj'!$B$2:$B$7669,$C81,'F Proj'!$A$2:$A$7669,"&gt;"&amp;Week,'F Proj'!$A$2:$A$7669,"&lt;=13"))))</f>
        <v>14.56110916104951</v>
      </c>
      <c r="N81" s="2">
        <f t="shared" si="20"/>
        <v>1.8984496950520873</v>
      </c>
      <c r="O81" s="2">
        <f t="shared" si="24"/>
        <v>5.5898415484214983</v>
      </c>
      <c r="P81" s="2">
        <f t="shared" si="25"/>
        <v>9.7501584515785016</v>
      </c>
      <c r="Q81" s="2">
        <f>K81-VLOOKUP($E81,Scores!$AG$1:$AM$7,7,FALSE)</f>
        <v>1.6171428571428574</v>
      </c>
      <c r="R81" s="2">
        <f>O81-VLOOKUP($E81,Scores!$AG$1:$AM$7,7,FALSE)</f>
        <v>-0.46301559443564422</v>
      </c>
      <c r="S81" s="2">
        <f>P81-VLOOKUP($E81,Scores!$AG$1:$AM$7,7,FALSE)</f>
        <v>3.6973013087213591</v>
      </c>
      <c r="T81">
        <f t="shared" si="21"/>
        <v>115</v>
      </c>
      <c r="U81" s="23">
        <f t="shared" si="22"/>
        <v>40</v>
      </c>
      <c r="V81">
        <f t="shared" si="14"/>
        <v>55</v>
      </c>
      <c r="W81">
        <f t="shared" si="15"/>
        <v>20</v>
      </c>
      <c r="X81" t="str">
        <f>D81&amp;COUNTIF(D$1:D81,D81)</f>
        <v>comp8</v>
      </c>
      <c r="Y81" t="str">
        <f>D81&amp;E81&amp;COUNTIFS(D$1:D81,D81,E$1:E81,E81)</f>
        <v>compWR6</v>
      </c>
      <c r="Z81" t="s">
        <v>128</v>
      </c>
      <c r="AA81" t="s">
        <v>1422</v>
      </c>
    </row>
    <row r="82" spans="1:27" x14ac:dyDescent="0.25">
      <c r="A82">
        <f t="shared" si="23"/>
        <v>81</v>
      </c>
      <c r="B82">
        <f>MATCH(A82,'ROS Proj'!$AI$2:$AI$561,0)</f>
        <v>222</v>
      </c>
      <c r="C82" t="str">
        <f>INDEX('ROS Proj'!$A$2:$A$561,$B82)</f>
        <v>Jamison Crowder</v>
      </c>
      <c r="D82" t="str">
        <f>IFERROR(INDEX(Rosters!$C$2:$C$155,MATCH($C82,Rosters!$B$2:$B$155,0)),"FA")</f>
        <v>lucas</v>
      </c>
      <c r="E82" t="str">
        <f>INDEX('ROS Proj'!$B$2:$B$561,$B82)</f>
        <v>WR</v>
      </c>
      <c r="F82" t="str">
        <f>E82&amp;COUNTIF(E$1:E82,E82)</f>
        <v>WR43</v>
      </c>
      <c r="G82">
        <f t="shared" si="16"/>
        <v>0</v>
      </c>
      <c r="H82">
        <f t="shared" si="17"/>
        <v>7</v>
      </c>
      <c r="I82" t="str">
        <f t="shared" si="18"/>
        <v>WR62-167</v>
      </c>
      <c r="J82" t="str">
        <f t="shared" si="19"/>
        <v>WR34-49</v>
      </c>
      <c r="K82" s="2">
        <f>INDEX('ROS Proj'!$T$2:$T$561,$B82)</f>
        <v>6.625</v>
      </c>
      <c r="L82" s="23">
        <f>INDEX('ROS Proj'!$AL$2:$AL$561,$B82)</f>
        <v>8</v>
      </c>
      <c r="M82" s="2">
        <f>SQRT(IF(E82="K",SUMIFS('K Proj'!$P$2:$P$508,'K Proj'!$B$2:$B$508,$C82,'K Proj'!$A$2:$A$508,"&gt;"&amp;Week,'K Proj'!$A$2:$A$508,"&lt;=13"),IF(E82="D",SUMIFS('D Proj'!$N$2:$N$513,'D Proj'!$B$2:$B$513,$C82,'D Proj'!$A$2:$A$513,"&gt;"&amp;Week,'D Proj'!$A$2:$A$513,"&lt;=13"),SUMIFS('F Proj'!$J$2:$J$7669,'F Proj'!$B$2:$B$7669,$C82,'F Proj'!$A$2:$A$7669,"&gt;"&amp;Week,'F Proj'!$A$2:$A$7669,"&lt;=13"))))</f>
        <v>13.004849095625831</v>
      </c>
      <c r="N82" s="2">
        <f t="shared" si="20"/>
        <v>1.9629960899057859</v>
      </c>
      <c r="O82" s="2">
        <f t="shared" si="24"/>
        <v>4.9993938630467714</v>
      </c>
      <c r="P82" s="2">
        <f t="shared" si="25"/>
        <v>8.2506061369532286</v>
      </c>
      <c r="Q82" s="2">
        <f>K82-VLOOKUP($E82,Scores!$AG$1:$AM$7,7,FALSE)</f>
        <v>0.57214285714285751</v>
      </c>
      <c r="R82" s="2">
        <f>O82-VLOOKUP($E82,Scores!$AG$1:$AM$7,7,FALSE)</f>
        <v>-1.0534632798103711</v>
      </c>
      <c r="S82" s="2">
        <f>P82-VLOOKUP($E82,Scores!$AG$1:$AM$7,7,FALSE)</f>
        <v>2.1977489940960862</v>
      </c>
      <c r="T82">
        <f t="shared" si="21"/>
        <v>167</v>
      </c>
      <c r="U82" s="23">
        <f t="shared" si="22"/>
        <v>49</v>
      </c>
      <c r="V82">
        <f t="shared" si="14"/>
        <v>62</v>
      </c>
      <c r="W82">
        <f t="shared" si="15"/>
        <v>34</v>
      </c>
      <c r="X82" t="str">
        <f>D82&amp;COUNTIF(D$1:D82,D82)</f>
        <v>lucas8</v>
      </c>
      <c r="Y82" t="str">
        <f>D82&amp;E82&amp;COUNTIFS(D$1:D82,D82,E$1:E82,E82)</f>
        <v>lucasWR4</v>
      </c>
      <c r="Z82" t="s">
        <v>205</v>
      </c>
      <c r="AA82" t="s">
        <v>137</v>
      </c>
    </row>
    <row r="83" spans="1:27" x14ac:dyDescent="0.25">
      <c r="A83">
        <f t="shared" si="23"/>
        <v>82</v>
      </c>
      <c r="B83">
        <f>MATCH(A83,'ROS Proj'!$AI$2:$AI$561,0)</f>
        <v>293</v>
      </c>
      <c r="C83" t="str">
        <f>INDEX('ROS Proj'!$A$2:$A$561,$B83)</f>
        <v>Kerryon Johnson</v>
      </c>
      <c r="D83" t="str">
        <f>IFERROR(INDEX(Rosters!$C$2:$C$155,MATCH($C83,Rosters!$B$2:$B$155,0)),"FA")</f>
        <v>devon</v>
      </c>
      <c r="E83" t="str">
        <f>INDEX('ROS Proj'!$B$2:$B$561,$B83)</f>
        <v>RB</v>
      </c>
      <c r="F83" t="str">
        <f>E83&amp;COUNTIF(E$1:E83,E83)</f>
        <v>RB32</v>
      </c>
      <c r="G83">
        <f t="shared" si="16"/>
        <v>0</v>
      </c>
      <c r="H83">
        <f t="shared" si="17"/>
        <v>-7</v>
      </c>
      <c r="I83" t="str">
        <f t="shared" si="18"/>
        <v>RB56-115</v>
      </c>
      <c r="J83" t="str">
        <f t="shared" si="19"/>
        <v>RB19-39</v>
      </c>
      <c r="K83" s="2">
        <f>INDEX('ROS Proj'!$T$2:$T$561,$B83)</f>
        <v>7.5542857142857143</v>
      </c>
      <c r="L83" s="23">
        <f>INDEX('ROS Proj'!$AL$2:$AL$561,$B83)</f>
        <v>7</v>
      </c>
      <c r="M83" s="2">
        <f>SQRT(IF(E83="K",SUMIFS('K Proj'!$P$2:$P$508,'K Proj'!$B$2:$B$508,$C83,'K Proj'!$A$2:$A$508,"&gt;"&amp;Week,'K Proj'!$A$2:$A$508,"&lt;=13"),IF(E83="D",SUMIFS('D Proj'!$N$2:$N$513,'D Proj'!$B$2:$B$513,$C83,'D Proj'!$A$2:$A$513,"&gt;"&amp;Week,'D Proj'!$A$2:$A$513,"&lt;=13"),SUMIFS('F Proj'!$J$2:$J$7669,'F Proj'!$B$2:$B$7669,$C83,'F Proj'!$A$2:$A$7669,"&gt;"&amp;Week,'F Proj'!$A$2:$A$7669,"&lt;=13"))))</f>
        <v>16.076283774554369</v>
      </c>
      <c r="N83" s="2">
        <f t="shared" si="20"/>
        <v>2.1281011048010701</v>
      </c>
      <c r="O83" s="2">
        <f t="shared" si="24"/>
        <v>5.257673746492233</v>
      </c>
      <c r="P83" s="2">
        <f t="shared" si="25"/>
        <v>9.8508976820791965</v>
      </c>
      <c r="Q83" s="2">
        <f>K83-VLOOKUP($E83,Scores!$AG$1:$AM$7,7,FALSE)</f>
        <v>1.6857142857142851</v>
      </c>
      <c r="R83" s="2">
        <f>O83-VLOOKUP($E83,Scores!$AG$1:$AM$7,7,FALSE)</f>
        <v>-0.61089768207919626</v>
      </c>
      <c r="S83" s="2">
        <f>P83-VLOOKUP($E83,Scores!$AG$1:$AM$7,7,FALSE)</f>
        <v>3.9823262535077673</v>
      </c>
      <c r="T83">
        <f t="shared" si="21"/>
        <v>115</v>
      </c>
      <c r="U83" s="23">
        <f t="shared" si="22"/>
        <v>39</v>
      </c>
      <c r="V83">
        <f t="shared" si="14"/>
        <v>56</v>
      </c>
      <c r="W83">
        <f t="shared" si="15"/>
        <v>19</v>
      </c>
      <c r="X83" t="str">
        <f>D83&amp;COUNTIF(D$1:D83,D83)</f>
        <v>devon10</v>
      </c>
      <c r="Y83" t="str">
        <f>D83&amp;E83&amp;COUNTIFS(D$1:D83,D83,E$1:E83,E83)</f>
        <v>devonRB5</v>
      </c>
      <c r="Z83" t="s">
        <v>103</v>
      </c>
      <c r="AA83" t="s">
        <v>1326</v>
      </c>
    </row>
    <row r="84" spans="1:27" x14ac:dyDescent="0.25">
      <c r="A84">
        <f t="shared" si="23"/>
        <v>83</v>
      </c>
      <c r="B84">
        <f>MATCH(A84,'ROS Proj'!$AI$2:$AI$561,0)</f>
        <v>439</v>
      </c>
      <c r="C84" t="str">
        <f>INDEX('ROS Proj'!$A$2:$A$561,$B84)</f>
        <v>T.J. Yeldon</v>
      </c>
      <c r="D84" t="str">
        <f>IFERROR(INDEX(Rosters!$C$2:$C$155,MATCH($C84,Rosters!$B$2:$B$155,0)),"FA")</f>
        <v>seth</v>
      </c>
      <c r="E84" t="str">
        <f>INDEX('ROS Proj'!$B$2:$B$561,$B84)</f>
        <v>RB</v>
      </c>
      <c r="F84" t="str">
        <f>E84&amp;COUNTIF(E$1:E84,E84)</f>
        <v>RB33</v>
      </c>
      <c r="G84">
        <f t="shared" si="16"/>
        <v>0</v>
      </c>
      <c r="H84">
        <f t="shared" si="17"/>
        <v>56</v>
      </c>
      <c r="I84" t="str">
        <f t="shared" si="18"/>
        <v>RB57-136</v>
      </c>
      <c r="J84" t="str">
        <f t="shared" si="19"/>
        <v>RB19-38</v>
      </c>
      <c r="K84" s="2">
        <f>INDEX('ROS Proj'!$T$2:$T$561,$B84)</f>
        <v>7.4928571428571411</v>
      </c>
      <c r="L84" s="23">
        <f>INDEX('ROS Proj'!$AL$2:$AL$561,$B84)</f>
        <v>7</v>
      </c>
      <c r="M84" s="2">
        <f>SQRT(IF(E84="K",SUMIFS('K Proj'!$P$2:$P$508,'K Proj'!$B$2:$B$508,$C84,'K Proj'!$A$2:$A$508,"&gt;"&amp;Week,'K Proj'!$A$2:$A$508,"&lt;=13"),IF(E84="D",SUMIFS('D Proj'!$N$2:$N$513,'D Proj'!$B$2:$B$513,$C84,'D Proj'!$A$2:$A$513,"&gt;"&amp;Week,'D Proj'!$A$2:$A$513,"&lt;=13"),SUMIFS('F Proj'!$J$2:$J$7669,'F Proj'!$B$2:$B$7669,$C84,'F Proj'!$A$2:$A$7669,"&gt;"&amp;Week,'F Proj'!$A$2:$A$7669,"&lt;=13"))))</f>
        <v>17.911571678666281</v>
      </c>
      <c r="N84" s="2">
        <f t="shared" si="20"/>
        <v>2.3904862106894949</v>
      </c>
      <c r="O84" s="2">
        <f t="shared" si="24"/>
        <v>4.9340611887619588</v>
      </c>
      <c r="P84" s="2">
        <f t="shared" si="25"/>
        <v>10.051653096952323</v>
      </c>
      <c r="Q84" s="2">
        <f>K84-VLOOKUP($E84,Scores!$AG$1:$AM$7,7,FALSE)</f>
        <v>1.6242857142857119</v>
      </c>
      <c r="R84" s="2">
        <f>O84-VLOOKUP($E84,Scores!$AG$1:$AM$7,7,FALSE)</f>
        <v>-0.93451023980947046</v>
      </c>
      <c r="S84" s="2">
        <f>P84-VLOOKUP($E84,Scores!$AG$1:$AM$7,7,FALSE)</f>
        <v>4.1830816683808942</v>
      </c>
      <c r="T84">
        <f t="shared" si="21"/>
        <v>136</v>
      </c>
      <c r="U84" s="23">
        <f t="shared" si="22"/>
        <v>38</v>
      </c>
      <c r="V84">
        <f t="shared" si="14"/>
        <v>57</v>
      </c>
      <c r="W84">
        <f t="shared" si="15"/>
        <v>19</v>
      </c>
      <c r="X84" t="str">
        <f>D84&amp;COUNTIF(D$1:D84,D84)</f>
        <v>seth8</v>
      </c>
      <c r="Y84" t="str">
        <f>D84&amp;E84&amp;COUNTIFS(D$1:D84,D84,E$1:E84,E84)</f>
        <v>sethRB4</v>
      </c>
      <c r="Z84" t="s">
        <v>166</v>
      </c>
      <c r="AA84" t="s">
        <v>245</v>
      </c>
    </row>
    <row r="85" spans="1:27" x14ac:dyDescent="0.25">
      <c r="A85">
        <f t="shared" si="23"/>
        <v>84</v>
      </c>
      <c r="B85">
        <f>MATCH(A85,'ROS Proj'!$AI$2:$AI$561,0)</f>
        <v>49</v>
      </c>
      <c r="C85" t="str">
        <f>INDEX('ROS Proj'!$A$2:$A$561,$B85)</f>
        <v>Bilal Powell</v>
      </c>
      <c r="D85" t="str">
        <f>IFERROR(INDEX(Rosters!$C$2:$C$155,MATCH($C85,Rosters!$B$2:$B$155,0)),"FA")</f>
        <v>cory</v>
      </c>
      <c r="E85" t="str">
        <f>INDEX('ROS Proj'!$B$2:$B$561,$B85)</f>
        <v>RB</v>
      </c>
      <c r="F85" t="str">
        <f>E85&amp;COUNTIF(E$1:E85,E85)</f>
        <v>RB34</v>
      </c>
      <c r="G85">
        <f t="shared" si="16"/>
        <v>0</v>
      </c>
      <c r="H85">
        <f t="shared" si="17"/>
        <v>17</v>
      </c>
      <c r="I85" t="str">
        <f t="shared" si="18"/>
        <v>RB52-115</v>
      </c>
      <c r="J85" t="str">
        <f t="shared" si="19"/>
        <v>RB20-40</v>
      </c>
      <c r="K85" s="2">
        <f>INDEX('ROS Proj'!$T$2:$T$561,$B85)</f>
        <v>7.4885714285714284</v>
      </c>
      <c r="L85" s="23">
        <f>INDEX('ROS Proj'!$AL$2:$AL$561,$B85)</f>
        <v>7</v>
      </c>
      <c r="M85" s="2">
        <f>SQRT(IF(E85="K",SUMIFS('K Proj'!$P$2:$P$508,'K Proj'!$B$2:$B$508,$C85,'K Proj'!$A$2:$A$508,"&gt;"&amp;Week,'K Proj'!$A$2:$A$508,"&lt;=13"),IF(E85="D",SUMIFS('D Proj'!$N$2:$N$513,'D Proj'!$B$2:$B$513,$C85,'D Proj'!$A$2:$A$513,"&gt;"&amp;Week,'D Proj'!$A$2:$A$513,"&lt;=13"),SUMIFS('F Proj'!$J$2:$J$7669,'F Proj'!$B$2:$B$7669,$C85,'F Proj'!$A$2:$A$7669,"&gt;"&amp;Week,'F Proj'!$A$2:$A$7669,"&lt;=13"))))</f>
        <v>13.450327133568164</v>
      </c>
      <c r="N85" s="2">
        <f t="shared" si="20"/>
        <v>1.7961138865886523</v>
      </c>
      <c r="O85" s="2">
        <f t="shared" si="24"/>
        <v>5.5670961237759764</v>
      </c>
      <c r="P85" s="2">
        <f t="shared" si="25"/>
        <v>9.4100467333668814</v>
      </c>
      <c r="Q85" s="2">
        <f>K85-VLOOKUP($E85,Scores!$AG$1:$AM$7,7,FALSE)</f>
        <v>1.6199999999999992</v>
      </c>
      <c r="R85" s="2">
        <f>O85-VLOOKUP($E85,Scores!$AG$1:$AM$7,7,FALSE)</f>
        <v>-0.30147530479545281</v>
      </c>
      <c r="S85" s="2">
        <f>P85-VLOOKUP($E85,Scores!$AG$1:$AM$7,7,FALSE)</f>
        <v>3.5414753047954521</v>
      </c>
      <c r="T85">
        <f t="shared" si="21"/>
        <v>115</v>
      </c>
      <c r="U85" s="23">
        <f t="shared" si="22"/>
        <v>40</v>
      </c>
      <c r="V85">
        <f t="shared" si="14"/>
        <v>52</v>
      </c>
      <c r="W85">
        <f t="shared" si="15"/>
        <v>20</v>
      </c>
      <c r="X85" t="str">
        <f>D85&amp;COUNTIF(D$1:D85,D85)</f>
        <v>cory8</v>
      </c>
      <c r="Y85" t="str">
        <f>D85&amp;E85&amp;COUNTIFS(D$1:D85,D85,E$1:E85,E85)</f>
        <v>coryRB4</v>
      </c>
      <c r="Z85" t="s">
        <v>181</v>
      </c>
      <c r="AA85" t="s">
        <v>139</v>
      </c>
    </row>
    <row r="86" spans="1:27" x14ac:dyDescent="0.25">
      <c r="A86">
        <f t="shared" si="23"/>
        <v>85</v>
      </c>
      <c r="B86">
        <f>MATCH(A86,'ROS Proj'!$AI$2:$AI$561,0)</f>
        <v>410</v>
      </c>
      <c r="C86" t="str">
        <f>INDEX('ROS Proj'!$A$2:$A$561,$B86)</f>
        <v>Royce Freeman</v>
      </c>
      <c r="D86" t="str">
        <f>IFERROR(INDEX(Rosters!$C$2:$C$155,MATCH($C86,Rosters!$B$2:$B$155,0)),"FA")</f>
        <v>comp</v>
      </c>
      <c r="E86" t="str">
        <f>INDEX('ROS Proj'!$B$2:$B$561,$B86)</f>
        <v>RB</v>
      </c>
      <c r="F86" t="str">
        <f>E86&amp;COUNTIF(E$1:E86,E86)</f>
        <v>RB35</v>
      </c>
      <c r="G86">
        <f t="shared" si="16"/>
        <v>0</v>
      </c>
      <c r="H86">
        <f t="shared" si="17"/>
        <v>20</v>
      </c>
      <c r="I86" t="str">
        <f t="shared" si="18"/>
        <v>RB56-136</v>
      </c>
      <c r="J86" t="str">
        <f t="shared" si="19"/>
        <v>RB19-39</v>
      </c>
      <c r="K86" s="2">
        <f>INDEX('ROS Proj'!$T$2:$T$561,$B86)</f>
        <v>7.4571428571428573</v>
      </c>
      <c r="L86" s="23">
        <f>INDEX('ROS Proj'!$AL$2:$AL$561,$B86)</f>
        <v>7</v>
      </c>
      <c r="M86" s="2">
        <f>SQRT(IF(E86="K",SUMIFS('K Proj'!$P$2:$P$508,'K Proj'!$B$2:$B$508,$C86,'K Proj'!$A$2:$A$508,"&gt;"&amp;Week,'K Proj'!$A$2:$A$508,"&lt;=13"),IF(E86="D",SUMIFS('D Proj'!$N$2:$N$513,'D Proj'!$B$2:$B$513,$C86,'D Proj'!$A$2:$A$513,"&gt;"&amp;Week,'D Proj'!$A$2:$A$513,"&lt;=13"),SUMIFS('F Proj'!$J$2:$J$7669,'F Proj'!$B$2:$B$7669,$C86,'F Proj'!$A$2:$A$7669,"&gt;"&amp;Week,'F Proj'!$A$2:$A$7669,"&lt;=13"))))</f>
        <v>15.750241267993326</v>
      </c>
      <c r="N86" s="2">
        <f t="shared" si="20"/>
        <v>2.1121013194627065</v>
      </c>
      <c r="O86" s="2">
        <f t="shared" si="24"/>
        <v>5.2071083902866686</v>
      </c>
      <c r="P86" s="2">
        <f t="shared" si="25"/>
        <v>9.7071773239990478</v>
      </c>
      <c r="Q86" s="2">
        <f>K86-VLOOKUP($E86,Scores!$AG$1:$AM$7,7,FALSE)</f>
        <v>1.5885714285714281</v>
      </c>
      <c r="R86" s="2">
        <f>O86-VLOOKUP($E86,Scores!$AG$1:$AM$7,7,FALSE)</f>
        <v>-0.66146303828476061</v>
      </c>
      <c r="S86" s="2">
        <f>P86-VLOOKUP($E86,Scores!$AG$1:$AM$7,7,FALSE)</f>
        <v>3.8386058954276185</v>
      </c>
      <c r="T86">
        <f t="shared" si="21"/>
        <v>136</v>
      </c>
      <c r="U86" s="23">
        <f t="shared" si="22"/>
        <v>39</v>
      </c>
      <c r="V86">
        <f t="shared" si="14"/>
        <v>56</v>
      </c>
      <c r="W86">
        <f t="shared" si="15"/>
        <v>19</v>
      </c>
      <c r="X86" t="str">
        <f>D86&amp;COUNTIF(D$1:D86,D86)</f>
        <v>comp9</v>
      </c>
      <c r="Y86" t="str">
        <f>D86&amp;E86&amp;COUNTIFS(D$1:D86,D86,E$1:E86,E86)</f>
        <v>compRB3</v>
      </c>
      <c r="Z86" t="s">
        <v>302</v>
      </c>
      <c r="AA86" t="s">
        <v>1346</v>
      </c>
    </row>
    <row r="87" spans="1:27" x14ac:dyDescent="0.25">
      <c r="A87">
        <f t="shared" si="23"/>
        <v>86</v>
      </c>
      <c r="B87">
        <f>MATCH(A87,'ROS Proj'!$AI$2:$AI$561,0)</f>
        <v>443</v>
      </c>
      <c r="C87" t="str">
        <f>INDEX('ROS Proj'!$A$2:$A$561,$B87)</f>
        <v>Tarik Cohen</v>
      </c>
      <c r="D87" t="str">
        <f>IFERROR(INDEX(Rosters!$C$2:$C$155,MATCH($C87,Rosters!$B$2:$B$155,0)),"FA")</f>
        <v>FA</v>
      </c>
      <c r="E87" t="str">
        <f>INDEX('ROS Proj'!$B$2:$B$561,$B87)</f>
        <v>RB</v>
      </c>
      <c r="F87" t="str">
        <f>E87&amp;COUNTIF(E$1:E87,E87)</f>
        <v>RB36</v>
      </c>
      <c r="G87">
        <f t="shared" si="16"/>
        <v>0</v>
      </c>
      <c r="H87">
        <f t="shared" si="17"/>
        <v>115</v>
      </c>
      <c r="I87" t="str">
        <f t="shared" si="18"/>
        <v>RB57-136</v>
      </c>
      <c r="J87" t="str">
        <f t="shared" si="19"/>
        <v>RB28-42</v>
      </c>
      <c r="K87" s="2">
        <f>INDEX('ROS Proj'!$T$2:$T$561,$B87)</f>
        <v>6.5112499999999995</v>
      </c>
      <c r="L87" s="23">
        <f>INDEX('ROS Proj'!$AL$2:$AL$561,$B87)</f>
        <v>8</v>
      </c>
      <c r="M87" s="2">
        <f>SQRT(IF(E87="K",SUMIFS('K Proj'!$P$2:$P$508,'K Proj'!$B$2:$B$508,$C87,'K Proj'!$A$2:$A$508,"&gt;"&amp;Week,'K Proj'!$A$2:$A$508,"&lt;=13"),IF(E87="D",SUMIFS('D Proj'!$N$2:$N$513,'D Proj'!$B$2:$B$513,$C87,'D Proj'!$A$2:$A$513,"&gt;"&amp;Week,'D Proj'!$A$2:$A$513,"&lt;=13"),SUMIFS('F Proj'!$J$2:$J$7669,'F Proj'!$B$2:$B$7669,$C87,'F Proj'!$A$2:$A$7669,"&gt;"&amp;Week,'F Proj'!$A$2:$A$7669,"&lt;=13"))))</f>
        <v>13.276381284069842</v>
      </c>
      <c r="N87" s="2">
        <f t="shared" si="20"/>
        <v>2.0389911743628093</v>
      </c>
      <c r="O87" s="2">
        <f t="shared" si="24"/>
        <v>4.8517023394912693</v>
      </c>
      <c r="P87" s="2">
        <f t="shared" si="25"/>
        <v>8.1707976605087289</v>
      </c>
      <c r="Q87" s="2">
        <f>K87-VLOOKUP($E87,Scores!$AG$1:$AM$7,7,FALSE)</f>
        <v>0.64267857142857032</v>
      </c>
      <c r="R87" s="2">
        <f>O87-VLOOKUP($E87,Scores!$AG$1:$AM$7,7,FALSE)</f>
        <v>-1.0168690890801599</v>
      </c>
      <c r="S87" s="2">
        <f>P87-VLOOKUP($E87,Scores!$AG$1:$AM$7,7,FALSE)</f>
        <v>2.3022262319372997</v>
      </c>
      <c r="T87">
        <f t="shared" si="21"/>
        <v>136</v>
      </c>
      <c r="U87" s="23">
        <f t="shared" si="22"/>
        <v>42</v>
      </c>
      <c r="V87">
        <f t="shared" si="14"/>
        <v>57</v>
      </c>
      <c r="W87">
        <f t="shared" si="15"/>
        <v>28</v>
      </c>
      <c r="X87" t="str">
        <f>D87&amp;COUNTIF(D$1:D87,D87)</f>
        <v>FA1</v>
      </c>
      <c r="Y87" t="str">
        <f>D87&amp;E87&amp;COUNTIFS(D$1:D87,D87,E$1:E87,E87)</f>
        <v>FARB1</v>
      </c>
      <c r="Z87" t="s">
        <v>306</v>
      </c>
      <c r="AA87" t="s">
        <v>285</v>
      </c>
    </row>
    <row r="88" spans="1:27" x14ac:dyDescent="0.25">
      <c r="A88">
        <f t="shared" si="23"/>
        <v>87</v>
      </c>
      <c r="B88">
        <f>MATCH(A88,'ROS Proj'!$AI$2:$AI$561,0)</f>
        <v>422</v>
      </c>
      <c r="C88" t="str">
        <f>INDEX('ROS Proj'!$A$2:$A$561,$B88)</f>
        <v>Sammy Watkins</v>
      </c>
      <c r="D88" t="str">
        <f>IFERROR(INDEX(Rosters!$C$2:$C$155,MATCH($C88,Rosters!$B$2:$B$155,0)),"FA")</f>
        <v>scott</v>
      </c>
      <c r="E88" t="str">
        <f>INDEX('ROS Proj'!$B$2:$B$561,$B88)</f>
        <v>WR</v>
      </c>
      <c r="F88" t="str">
        <f>E88&amp;COUNTIF(E$1:E88,E88)</f>
        <v>WR44</v>
      </c>
      <c r="G88">
        <f t="shared" si="16"/>
        <v>0</v>
      </c>
      <c r="H88">
        <f t="shared" si="17"/>
        <v>-33</v>
      </c>
      <c r="I88" t="str">
        <f t="shared" si="18"/>
        <v>WR55-115</v>
      </c>
      <c r="J88" t="str">
        <f t="shared" si="19"/>
        <v>WR22-40</v>
      </c>
      <c r="K88" s="2">
        <f>INDEX('ROS Proj'!$T$2:$T$561,$B88)</f>
        <v>7.4328571428571433</v>
      </c>
      <c r="L88" s="23">
        <f>INDEX('ROS Proj'!$AL$2:$AL$561,$B88)</f>
        <v>7</v>
      </c>
      <c r="M88" s="2">
        <f>SQRT(IF(E88="K",SUMIFS('K Proj'!$P$2:$P$508,'K Proj'!$B$2:$B$508,$C88,'K Proj'!$A$2:$A$508,"&gt;"&amp;Week,'K Proj'!$A$2:$A$508,"&lt;=13"),IF(E88="D",SUMIFS('D Proj'!$N$2:$N$513,'D Proj'!$B$2:$B$513,$C88,'D Proj'!$A$2:$A$513,"&gt;"&amp;Week,'D Proj'!$A$2:$A$513,"&lt;=13"),SUMIFS('F Proj'!$J$2:$J$7669,'F Proj'!$B$2:$B$7669,$C88,'F Proj'!$A$2:$A$7669,"&gt;"&amp;Week,'F Proj'!$A$2:$A$7669,"&lt;=13"))))</f>
        <v>12.977326381038585</v>
      </c>
      <c r="N88" s="2">
        <f t="shared" si="20"/>
        <v>1.7459405086924868</v>
      </c>
      <c r="O88" s="2">
        <f t="shared" si="24"/>
        <v>5.5789533741373445</v>
      </c>
      <c r="P88" s="2">
        <f t="shared" si="25"/>
        <v>9.2867609115769394</v>
      </c>
      <c r="Q88" s="2">
        <f>K88-VLOOKUP($E88,Scores!$AG$1:$AM$7,7,FALSE)</f>
        <v>1.3800000000000008</v>
      </c>
      <c r="R88" s="2">
        <f>O88-VLOOKUP($E88,Scores!$AG$1:$AM$7,7,FALSE)</f>
        <v>-0.473903768719798</v>
      </c>
      <c r="S88" s="2">
        <f>P88-VLOOKUP($E88,Scores!$AG$1:$AM$7,7,FALSE)</f>
        <v>3.2339037687197969</v>
      </c>
      <c r="T88">
        <f t="shared" si="21"/>
        <v>115</v>
      </c>
      <c r="U88" s="23">
        <f t="shared" si="22"/>
        <v>40</v>
      </c>
      <c r="V88">
        <f t="shared" si="14"/>
        <v>55</v>
      </c>
      <c r="W88">
        <f t="shared" si="15"/>
        <v>22</v>
      </c>
      <c r="X88" t="str">
        <f>D88&amp;COUNTIF(D$1:D88,D88)</f>
        <v>scott7</v>
      </c>
      <c r="Y88" t="str">
        <f>D88&amp;E88&amp;COUNTIFS(D$1:D88,D88,E$1:E88,E88)</f>
        <v>scottWR4</v>
      </c>
      <c r="Z88" t="s">
        <v>193</v>
      </c>
      <c r="AA88" t="s">
        <v>125</v>
      </c>
    </row>
    <row r="89" spans="1:27" x14ac:dyDescent="0.25">
      <c r="A89">
        <f t="shared" si="23"/>
        <v>88</v>
      </c>
      <c r="B89">
        <f>MATCH(A89,'ROS Proj'!$AI$2:$AI$561,0)</f>
        <v>390</v>
      </c>
      <c r="C89" t="str">
        <f>INDEX('ROS Proj'!$A$2:$A$561,$B89)</f>
        <v>Randall Cobb</v>
      </c>
      <c r="D89" t="str">
        <f>IFERROR(INDEX(Rosters!$C$2:$C$155,MATCH($C89,Rosters!$B$2:$B$155,0)),"FA")</f>
        <v>seth</v>
      </c>
      <c r="E89" t="str">
        <f>INDEX('ROS Proj'!$B$2:$B$561,$B89)</f>
        <v>WR</v>
      </c>
      <c r="F89" t="str">
        <f>E89&amp;COUNTIF(E$1:E89,E89)</f>
        <v>WR45</v>
      </c>
      <c r="G89">
        <f t="shared" si="16"/>
        <v>0</v>
      </c>
      <c r="H89">
        <f t="shared" si="17"/>
        <v>-5</v>
      </c>
      <c r="I89" t="str">
        <f t="shared" si="18"/>
        <v>WR59-136</v>
      </c>
      <c r="J89" t="str">
        <f t="shared" si="19"/>
        <v>WR22-40</v>
      </c>
      <c r="K89" s="2">
        <f>INDEX('ROS Proj'!$T$2:$T$561,$B89)</f>
        <v>7.2699999999999987</v>
      </c>
      <c r="L89" s="23">
        <f>INDEX('ROS Proj'!$AL$2:$AL$561,$B89)</f>
        <v>7</v>
      </c>
      <c r="M89" s="2">
        <f>SQRT(IF(E89="K",SUMIFS('K Proj'!$P$2:$P$508,'K Proj'!$B$2:$B$508,$C89,'K Proj'!$A$2:$A$508,"&gt;"&amp;Week,'K Proj'!$A$2:$A$508,"&lt;=13"),IF(E89="D",SUMIFS('D Proj'!$N$2:$N$513,'D Proj'!$B$2:$B$513,$C89,'D Proj'!$A$2:$A$513,"&gt;"&amp;Week,'D Proj'!$A$2:$A$513,"&lt;=13"),SUMIFS('F Proj'!$J$2:$J$7669,'F Proj'!$B$2:$B$7669,$C89,'F Proj'!$A$2:$A$7669,"&gt;"&amp;Week,'F Proj'!$A$2:$A$7669,"&lt;=13"))))</f>
        <v>14.260606578964305</v>
      </c>
      <c r="N89" s="2">
        <f t="shared" si="20"/>
        <v>1.9615689929799598</v>
      </c>
      <c r="O89" s="2">
        <f t="shared" si="24"/>
        <v>5.2327704887193836</v>
      </c>
      <c r="P89" s="2">
        <f t="shared" si="25"/>
        <v>9.3072295112806138</v>
      </c>
      <c r="Q89" s="2">
        <f>K89-VLOOKUP($E89,Scores!$AG$1:$AM$7,7,FALSE)</f>
        <v>1.2171428571428562</v>
      </c>
      <c r="R89" s="2">
        <f>O89-VLOOKUP($E89,Scores!$AG$1:$AM$7,7,FALSE)</f>
        <v>-0.82008665413775894</v>
      </c>
      <c r="S89" s="2">
        <f>P89-VLOOKUP($E89,Scores!$AG$1:$AM$7,7,FALSE)</f>
        <v>3.2543723684234713</v>
      </c>
      <c r="T89">
        <f t="shared" si="21"/>
        <v>136</v>
      </c>
      <c r="U89" s="23">
        <f t="shared" si="22"/>
        <v>40</v>
      </c>
      <c r="V89">
        <f t="shared" si="14"/>
        <v>59</v>
      </c>
      <c r="W89">
        <f t="shared" si="15"/>
        <v>22</v>
      </c>
      <c r="X89" t="str">
        <f>D89&amp;COUNTIF(D$1:D89,D89)</f>
        <v>seth9</v>
      </c>
      <c r="Y89" t="str">
        <f>D89&amp;E89&amp;COUNTIFS(D$1:D89,D89,E$1:E89,E89)</f>
        <v>sethWR5</v>
      </c>
      <c r="Z89" t="s">
        <v>137</v>
      </c>
      <c r="AA89" t="s">
        <v>166</v>
      </c>
    </row>
    <row r="90" spans="1:27" x14ac:dyDescent="0.25">
      <c r="A90">
        <f t="shared" si="23"/>
        <v>89</v>
      </c>
      <c r="B90">
        <f>MATCH(A90,'ROS Proj'!$AI$2:$AI$561,0)</f>
        <v>91</v>
      </c>
      <c r="C90" t="str">
        <f>INDEX('ROS Proj'!$A$2:$A$561,$B90)</f>
        <v>Chris Carson</v>
      </c>
      <c r="D90" t="str">
        <f>IFERROR(INDEX(Rosters!$C$2:$C$155,MATCH($C90,Rosters!$B$2:$B$155,0)),"FA")</f>
        <v>lucas</v>
      </c>
      <c r="E90" t="str">
        <f>INDEX('ROS Proj'!$B$2:$B$561,$B90)</f>
        <v>RB</v>
      </c>
      <c r="F90" t="str">
        <f>E90&amp;COUNTIF(E$1:E90,E90)</f>
        <v>RB37</v>
      </c>
      <c r="G90">
        <f t="shared" si="16"/>
        <v>0</v>
      </c>
      <c r="H90">
        <f t="shared" si="17"/>
        <v>-50</v>
      </c>
      <c r="I90" t="str">
        <f t="shared" si="18"/>
        <v>RB57-136</v>
      </c>
      <c r="J90" t="str">
        <f t="shared" si="19"/>
        <v>RB20-40</v>
      </c>
      <c r="K90" s="2">
        <f>INDEX('ROS Proj'!$T$2:$T$561,$B90)</f>
        <v>7.2171428571428562</v>
      </c>
      <c r="L90" s="23">
        <f>INDEX('ROS Proj'!$AL$2:$AL$561,$B90)</f>
        <v>7</v>
      </c>
      <c r="M90" s="2">
        <f>SQRT(IF(E90="K",SUMIFS('K Proj'!$P$2:$P$508,'K Proj'!$B$2:$B$508,$C90,'K Proj'!$A$2:$A$508,"&gt;"&amp;Week,'K Proj'!$A$2:$A$508,"&lt;=13"),IF(E90="D",SUMIFS('D Proj'!$N$2:$N$513,'D Proj'!$B$2:$B$513,$C90,'D Proj'!$A$2:$A$513,"&gt;"&amp;Week,'D Proj'!$A$2:$A$513,"&lt;=13"),SUMIFS('F Proj'!$J$2:$J$7669,'F Proj'!$B$2:$B$7669,$C90,'F Proj'!$A$2:$A$7669,"&gt;"&amp;Week,'F Proj'!$A$2:$A$7669,"&lt;=13"))))</f>
        <v>15.374387792689502</v>
      </c>
      <c r="N90" s="2">
        <f t="shared" si="20"/>
        <v>2.130259591227762</v>
      </c>
      <c r="O90" s="2">
        <f t="shared" si="24"/>
        <v>5.0208017439014991</v>
      </c>
      <c r="P90" s="2">
        <f t="shared" si="25"/>
        <v>9.413483970384215</v>
      </c>
      <c r="Q90" s="2">
        <f>K90-VLOOKUP($E90,Scores!$AG$1:$AM$7,7,FALSE)</f>
        <v>1.348571428571427</v>
      </c>
      <c r="R90" s="2">
        <f>O90-VLOOKUP($E90,Scores!$AG$1:$AM$7,7,FALSE)</f>
        <v>-0.84776968466993008</v>
      </c>
      <c r="S90" s="2">
        <f>P90-VLOOKUP($E90,Scores!$AG$1:$AM$7,7,FALSE)</f>
        <v>3.5449125418127858</v>
      </c>
      <c r="T90">
        <f t="shared" si="21"/>
        <v>136</v>
      </c>
      <c r="U90" s="23">
        <f t="shared" si="22"/>
        <v>40</v>
      </c>
      <c r="V90">
        <f t="shared" si="14"/>
        <v>57</v>
      </c>
      <c r="W90">
        <f t="shared" si="15"/>
        <v>20</v>
      </c>
      <c r="X90" t="str">
        <f>D90&amp;COUNTIF(D$1:D90,D90)</f>
        <v>lucas9</v>
      </c>
      <c r="Y90" t="str">
        <f>D90&amp;E90&amp;COUNTIFS(D$1:D90,D90,E$1:E90,E90)</f>
        <v>lucasRB4</v>
      </c>
      <c r="Z90" t="s">
        <v>208</v>
      </c>
      <c r="AA90" t="s">
        <v>834</v>
      </c>
    </row>
    <row r="91" spans="1:27" x14ac:dyDescent="0.25">
      <c r="A91">
        <f t="shared" si="23"/>
        <v>90</v>
      </c>
      <c r="B91">
        <f>MATCH(A91,'ROS Proj'!$AI$2:$AI$561,0)</f>
        <v>550</v>
      </c>
      <c r="C91" t="str">
        <f>INDEX('ROS Proj'!$A$2:$A$561,$B91)</f>
        <v>Panthers D/ST</v>
      </c>
      <c r="D91" t="str">
        <f>IFERROR(INDEX(Rosters!$C$2:$C$155,MATCH($C91,Rosters!$B$2:$B$155,0)),"FA")</f>
        <v>cory</v>
      </c>
      <c r="E91" t="str">
        <f>INDEX('ROS Proj'!$B$2:$B$561,$B91)</f>
        <v>D</v>
      </c>
      <c r="F91" t="str">
        <f>E91&amp;COUNTIF(E$1:E91,E91)</f>
        <v>D1</v>
      </c>
      <c r="G91">
        <f t="shared" si="16"/>
        <v>0</v>
      </c>
      <c r="H91">
        <f t="shared" si="17"/>
        <v>52</v>
      </c>
      <c r="I91" t="str">
        <f t="shared" si="18"/>
        <v>D16-136</v>
      </c>
      <c r="J91" t="str">
        <f t="shared" si="19"/>
        <v>D1-40</v>
      </c>
      <c r="K91" s="2">
        <f>INDEX('ROS Proj'!$T$2:$T$561,$B91)</f>
        <v>7.44625</v>
      </c>
      <c r="L91" s="23">
        <f>INDEX('ROS Proj'!$AL$2:$AL$561,$B91)</f>
        <v>8</v>
      </c>
      <c r="M91" s="2">
        <f>SQRT(IF(E91="K",SUMIFS('K Proj'!$P$2:$P$508,'K Proj'!$B$2:$B$508,$C91,'K Proj'!$A$2:$A$508,"&gt;"&amp;Week,'K Proj'!$A$2:$A$508,"&lt;=13"),IF(E91="D",SUMIFS('D Proj'!$N$2:$N$513,'D Proj'!$B$2:$B$513,$C91,'D Proj'!$A$2:$A$513,"&gt;"&amp;Week,'D Proj'!$A$2:$A$513,"&lt;=13"),SUMIFS('F Proj'!$J$2:$J$7669,'F Proj'!$B$2:$B$7669,$C91,'F Proj'!$A$2:$A$7669,"&gt;"&amp;Week,'F Proj'!$A$2:$A$7669,"&lt;=13"))))</f>
        <v>17.884979731607189</v>
      </c>
      <c r="N91" s="2">
        <f t="shared" si="20"/>
        <v>2.4018774190508227</v>
      </c>
      <c r="O91" s="2">
        <f t="shared" si="24"/>
        <v>5.2106275335491015</v>
      </c>
      <c r="P91" s="2">
        <f t="shared" si="25"/>
        <v>9.6818724664508977</v>
      </c>
      <c r="Q91" s="2">
        <f>K91-VLOOKUP($E91,Scores!$AG$1:$AM$7,7,FALSE)</f>
        <v>1.2719642857142857</v>
      </c>
      <c r="R91" s="2">
        <f>O91-VLOOKUP($E91,Scores!$AG$1:$AM$7,7,FALSE)</f>
        <v>-0.96365818073661291</v>
      </c>
      <c r="S91" s="2">
        <f>P91-VLOOKUP($E91,Scores!$AG$1:$AM$7,7,FALSE)</f>
        <v>3.5075867521651833</v>
      </c>
      <c r="T91">
        <f t="shared" si="21"/>
        <v>136</v>
      </c>
      <c r="U91" s="23">
        <f t="shared" si="22"/>
        <v>40</v>
      </c>
      <c r="V91">
        <f t="shared" si="14"/>
        <v>16</v>
      </c>
      <c r="W91">
        <f t="shared" si="15"/>
        <v>1</v>
      </c>
      <c r="X91" t="str">
        <f>D91&amp;COUNTIF(D$1:D91,D91)</f>
        <v>cory9</v>
      </c>
      <c r="Y91" t="str">
        <f>D91&amp;E91&amp;COUNTIFS(D$1:D91,D91,E$1:E91,E91)</f>
        <v>coryD1</v>
      </c>
      <c r="Z91" t="s">
        <v>212</v>
      </c>
      <c r="AA91" t="s">
        <v>413</v>
      </c>
    </row>
    <row r="92" spans="1:27" x14ac:dyDescent="0.25">
      <c r="A92">
        <f t="shared" si="23"/>
        <v>91</v>
      </c>
      <c r="B92">
        <f>MATCH(A92,'ROS Proj'!$AI$2:$AI$561,0)</f>
        <v>193</v>
      </c>
      <c r="C92" t="str">
        <f>INDEX('ROS Proj'!$A$2:$A$561,$B92)</f>
        <v>Geronimo Allison</v>
      </c>
      <c r="D92" t="str">
        <f>IFERROR(INDEX(Rosters!$C$2:$C$155,MATCH($C92,Rosters!$B$2:$B$155,0)),"FA")</f>
        <v>matty</v>
      </c>
      <c r="E92" t="str">
        <f>INDEX('ROS Proj'!$B$2:$B$561,$B92)</f>
        <v>WR</v>
      </c>
      <c r="F92" t="str">
        <f>E92&amp;COUNTIF(E$1:E92,E92)</f>
        <v>WR46</v>
      </c>
      <c r="G92">
        <f t="shared" si="16"/>
        <v>0</v>
      </c>
      <c r="H92">
        <f t="shared" si="17"/>
        <v>63</v>
      </c>
      <c r="I92" t="str">
        <f t="shared" si="18"/>
        <v>WR62-167</v>
      </c>
      <c r="J92" t="str">
        <f t="shared" si="19"/>
        <v>WR21-40</v>
      </c>
      <c r="K92" s="2">
        <f>INDEX('ROS Proj'!$T$2:$T$561,$B92)</f>
        <v>7.1657142857142864</v>
      </c>
      <c r="L92" s="23">
        <f>INDEX('ROS Proj'!$AL$2:$AL$561,$B92)</f>
        <v>7</v>
      </c>
      <c r="M92" s="2">
        <f>SQRT(IF(E92="K",SUMIFS('K Proj'!$P$2:$P$508,'K Proj'!$B$2:$B$508,$C92,'K Proj'!$A$2:$A$508,"&gt;"&amp;Week,'K Proj'!$A$2:$A$508,"&lt;=13"),IF(E92="D",SUMIFS('D Proj'!$N$2:$N$513,'D Proj'!$B$2:$B$513,$C92,'D Proj'!$A$2:$A$513,"&gt;"&amp;Week,'D Proj'!$A$2:$A$513,"&lt;=13"),SUMIFS('F Proj'!$J$2:$J$7669,'F Proj'!$B$2:$B$7669,$C92,'F Proj'!$A$2:$A$7669,"&gt;"&amp;Week,'F Proj'!$A$2:$A$7669,"&lt;=13"))))</f>
        <v>15.909519163067122</v>
      </c>
      <c r="N92" s="2">
        <f t="shared" si="20"/>
        <v>2.2202279533785854</v>
      </c>
      <c r="O92" s="2">
        <f t="shared" si="24"/>
        <v>4.8929258338475545</v>
      </c>
      <c r="P92" s="2">
        <f t="shared" si="25"/>
        <v>9.4385027375810182</v>
      </c>
      <c r="Q92" s="2">
        <f>K92-VLOOKUP($E92,Scores!$AG$1:$AM$7,7,FALSE)</f>
        <v>1.1128571428571439</v>
      </c>
      <c r="R92" s="2">
        <f>O92-VLOOKUP($E92,Scores!$AG$1:$AM$7,7,FALSE)</f>
        <v>-1.159931309009588</v>
      </c>
      <c r="S92" s="2">
        <f>P92-VLOOKUP($E92,Scores!$AG$1:$AM$7,7,FALSE)</f>
        <v>3.3856455947238757</v>
      </c>
      <c r="T92">
        <f t="shared" si="21"/>
        <v>167</v>
      </c>
      <c r="U92" s="23">
        <f t="shared" si="22"/>
        <v>40</v>
      </c>
      <c r="V92">
        <f t="shared" si="14"/>
        <v>62</v>
      </c>
      <c r="W92">
        <f t="shared" si="15"/>
        <v>21</v>
      </c>
      <c r="X92" t="str">
        <f>D92&amp;COUNTIF(D$1:D92,D92)</f>
        <v>matty10</v>
      </c>
      <c r="Y92" t="str">
        <f>D92&amp;E92&amp;COUNTIFS(D$1:D92,D92,E$1:E92,E92)</f>
        <v>mattyWR5</v>
      </c>
      <c r="Z92" t="s">
        <v>406</v>
      </c>
      <c r="AA92" t="s">
        <v>271</v>
      </c>
    </row>
    <row r="93" spans="1:27" x14ac:dyDescent="0.25">
      <c r="A93">
        <f t="shared" si="23"/>
        <v>92</v>
      </c>
      <c r="B93">
        <f>MATCH(A93,'ROS Proj'!$AI$2:$AI$561,0)</f>
        <v>530</v>
      </c>
      <c r="C93" t="str">
        <f>INDEX('ROS Proj'!$A$2:$A$561,$B93)</f>
        <v>Jaguars D/ST</v>
      </c>
      <c r="D93" t="str">
        <f>IFERROR(INDEX(Rosters!$C$2:$C$155,MATCH($C93,Rosters!$B$2:$B$155,0)),"FA")</f>
        <v>devon</v>
      </c>
      <c r="E93" t="str">
        <f>INDEX('ROS Proj'!$B$2:$B$561,$B93)</f>
        <v>D</v>
      </c>
      <c r="F93" t="str">
        <f>E93&amp;COUNTIF(E$1:E93,E93)</f>
        <v>D2</v>
      </c>
      <c r="G93">
        <f t="shared" si="16"/>
        <v>0</v>
      </c>
      <c r="H93">
        <f t="shared" si="17"/>
        <v>23</v>
      </c>
      <c r="I93" t="str">
        <f t="shared" si="18"/>
        <v>D14-93</v>
      </c>
      <c r="J93" t="str">
        <f t="shared" si="19"/>
        <v>D1-23</v>
      </c>
      <c r="K93" s="2">
        <f>INDEX('ROS Proj'!$T$2:$T$561,$B93)</f>
        <v>8.3557142857142868</v>
      </c>
      <c r="L93" s="23">
        <f>INDEX('ROS Proj'!$AL$2:$AL$561,$B93)</f>
        <v>7</v>
      </c>
      <c r="M93" s="2">
        <f>SQRT(IF(E93="K",SUMIFS('K Proj'!$P$2:$P$508,'K Proj'!$B$2:$B$508,$C93,'K Proj'!$A$2:$A$508,"&gt;"&amp;Week,'K Proj'!$A$2:$A$508,"&lt;=13"),IF(E93="D",SUMIFS('D Proj'!$N$2:$N$513,'D Proj'!$B$2:$B$513,$C93,'D Proj'!$A$2:$A$513,"&gt;"&amp;Week,'D Proj'!$A$2:$A$513,"&lt;=13"),SUMIFS('F Proj'!$J$2:$J$7669,'F Proj'!$B$2:$B$7669,$C93,'F Proj'!$A$2:$A$7669,"&gt;"&amp;Week,'F Proj'!$A$2:$A$7669,"&lt;=13"))))</f>
        <v>16.470248935580784</v>
      </c>
      <c r="N93" s="2">
        <f t="shared" si="20"/>
        <v>1.9711359642514186</v>
      </c>
      <c r="O93" s="2">
        <f t="shared" si="24"/>
        <v>6.0028215806313181</v>
      </c>
      <c r="P93" s="2">
        <f t="shared" si="25"/>
        <v>10.708606990797255</v>
      </c>
      <c r="Q93" s="2">
        <f>K93-VLOOKUP($E93,Scores!$AG$1:$AM$7,7,FALSE)</f>
        <v>2.1814285714285724</v>
      </c>
      <c r="R93" s="2">
        <f>O93-VLOOKUP($E93,Scores!$AG$1:$AM$7,7,FALSE)</f>
        <v>-0.17146413365439628</v>
      </c>
      <c r="S93" s="2">
        <f>P93-VLOOKUP($E93,Scores!$AG$1:$AM$7,7,FALSE)</f>
        <v>4.534321276511541</v>
      </c>
      <c r="T93">
        <f t="shared" si="21"/>
        <v>93</v>
      </c>
      <c r="U93" s="23">
        <f t="shared" si="22"/>
        <v>23</v>
      </c>
      <c r="V93">
        <f t="shared" si="14"/>
        <v>14</v>
      </c>
      <c r="W93">
        <f t="shared" si="15"/>
        <v>1</v>
      </c>
      <c r="X93" t="str">
        <f>D93&amp;COUNTIF(D$1:D93,D93)</f>
        <v>devon11</v>
      </c>
      <c r="Y93" t="str">
        <f>D93&amp;E93&amp;COUNTIFS(D$1:D93,D93,E$1:E93,E93)</f>
        <v>devonD1</v>
      </c>
      <c r="Z93" t="s">
        <v>221</v>
      </c>
      <c r="AA93" t="s">
        <v>419</v>
      </c>
    </row>
    <row r="94" spans="1:27" x14ac:dyDescent="0.25">
      <c r="A94">
        <f t="shared" si="23"/>
        <v>93</v>
      </c>
      <c r="B94">
        <f>MATCH(A94,'ROS Proj'!$AI$2:$AI$561,0)</f>
        <v>231</v>
      </c>
      <c r="C94" t="str">
        <f>INDEX('ROS Proj'!$A$2:$A$561,$B94)</f>
        <v>Javorius Allen</v>
      </c>
      <c r="D94" t="str">
        <f>IFERROR(INDEX(Rosters!$C$2:$C$155,MATCH($C94,Rosters!$B$2:$B$155,0)),"FA")</f>
        <v>chad</v>
      </c>
      <c r="E94" t="str">
        <f>INDEX('ROS Proj'!$B$2:$B$561,$B94)</f>
        <v>RB</v>
      </c>
      <c r="F94" t="str">
        <f>E94&amp;COUNTIF(E$1:E94,E94)</f>
        <v>RB38</v>
      </c>
      <c r="G94">
        <f t="shared" si="16"/>
        <v>0</v>
      </c>
      <c r="H94">
        <f t="shared" si="17"/>
        <v>-7</v>
      </c>
      <c r="I94" t="str">
        <f t="shared" si="18"/>
        <v>RB56-115</v>
      </c>
      <c r="J94" t="str">
        <f t="shared" si="19"/>
        <v>RB23-40</v>
      </c>
      <c r="K94" s="2">
        <f>INDEX('ROS Proj'!$T$2:$T$561,$B94)</f>
        <v>7.0228571428571431</v>
      </c>
      <c r="L94" s="23">
        <f>INDEX('ROS Proj'!$AL$2:$AL$561,$B94)</f>
        <v>7</v>
      </c>
      <c r="M94" s="2">
        <f>SQRT(IF(E94="K",SUMIFS('K Proj'!$P$2:$P$508,'K Proj'!$B$2:$B$508,$C94,'K Proj'!$A$2:$A$508,"&gt;"&amp;Week,'K Proj'!$A$2:$A$508,"&lt;=13"),IF(E94="D",SUMIFS('D Proj'!$N$2:$N$513,'D Proj'!$B$2:$B$513,$C94,'D Proj'!$A$2:$A$513,"&gt;"&amp;Week,'D Proj'!$A$2:$A$513,"&lt;=13"),SUMIFS('F Proj'!$J$2:$J$7669,'F Proj'!$B$2:$B$7669,$C94,'F Proj'!$A$2:$A$7669,"&gt;"&amp;Week,'F Proj'!$A$2:$A$7669,"&lt;=13"))))</f>
        <v>12.357855801068403</v>
      </c>
      <c r="N94" s="2">
        <f t="shared" si="20"/>
        <v>1.7596621360349638</v>
      </c>
      <c r="O94" s="2">
        <f t="shared" si="24"/>
        <v>5.257449171275943</v>
      </c>
      <c r="P94" s="2">
        <f t="shared" si="25"/>
        <v>8.7882651144383441</v>
      </c>
      <c r="Q94" s="2">
        <f>K94-VLOOKUP($E94,Scores!$AG$1:$AM$7,7,FALSE)</f>
        <v>1.1542857142857139</v>
      </c>
      <c r="R94" s="2">
        <f>O94-VLOOKUP($E94,Scores!$AG$1:$AM$7,7,FALSE)</f>
        <v>-0.61112225729548619</v>
      </c>
      <c r="S94" s="2">
        <f>P94-VLOOKUP($E94,Scores!$AG$1:$AM$7,7,FALSE)</f>
        <v>2.9196936858669149</v>
      </c>
      <c r="T94">
        <f t="shared" si="21"/>
        <v>115</v>
      </c>
      <c r="U94" s="23">
        <f t="shared" si="22"/>
        <v>40</v>
      </c>
      <c r="V94">
        <f t="shared" si="14"/>
        <v>56</v>
      </c>
      <c r="W94">
        <f t="shared" si="15"/>
        <v>23</v>
      </c>
      <c r="X94" t="str">
        <f>D94&amp;COUNTIF(D$1:D94,D94)</f>
        <v>chad11</v>
      </c>
      <c r="Y94" t="str">
        <f>D94&amp;E94&amp;COUNTIFS(D$1:D94,D94,E$1:E94,E94)</f>
        <v>chadRB4</v>
      </c>
      <c r="Z94" t="s">
        <v>192</v>
      </c>
      <c r="AA94" t="s">
        <v>306</v>
      </c>
    </row>
    <row r="95" spans="1:27" x14ac:dyDescent="0.25">
      <c r="A95">
        <f t="shared" si="23"/>
        <v>94</v>
      </c>
      <c r="B95">
        <f>MATCH(A95,'ROS Proj'!$AI$2:$AI$561,0)</f>
        <v>216</v>
      </c>
      <c r="C95" t="str">
        <f>INDEX('ROS Proj'!$A$2:$A$561,$B95)</f>
        <v>Jameis Winston</v>
      </c>
      <c r="D95" t="str">
        <f>IFERROR(INDEX(Rosters!$C$2:$C$155,MATCH($C95,Rosters!$B$2:$B$155,0)),"FA")</f>
        <v>FA</v>
      </c>
      <c r="E95" t="str">
        <f>INDEX('ROS Proj'!$B$2:$B$561,$B95)</f>
        <v>QB</v>
      </c>
      <c r="F95" t="str">
        <f>E95&amp;COUNTIF(E$1:E95,E95)</f>
        <v>QB3</v>
      </c>
      <c r="G95">
        <f t="shared" si="16"/>
        <v>0</v>
      </c>
      <c r="H95">
        <f t="shared" si="17"/>
        <v>107</v>
      </c>
      <c r="I95" t="str">
        <f t="shared" si="18"/>
        <v>QB13-200</v>
      </c>
      <c r="J95" t="str">
        <f t="shared" si="19"/>
        <v>QB1-42</v>
      </c>
      <c r="K95" s="2">
        <f>INDEX('ROS Proj'!$T$2:$T$561,$B95)</f>
        <v>19.276250000000001</v>
      </c>
      <c r="L95" s="23">
        <f>INDEX('ROS Proj'!$AL$2:$AL$561,$B95)</f>
        <v>8</v>
      </c>
      <c r="M95" s="2">
        <f>SQRT(IF(E95="K",SUMIFS('K Proj'!$P$2:$P$508,'K Proj'!$B$2:$B$508,$C95,'K Proj'!$A$2:$A$508,"&gt;"&amp;Week,'K Proj'!$A$2:$A$508,"&lt;=13"),IF(E95="D",SUMIFS('D Proj'!$N$2:$N$513,'D Proj'!$B$2:$B$513,$C95,'D Proj'!$A$2:$A$513,"&gt;"&amp;Week,'D Proj'!$A$2:$A$513,"&lt;=13"),SUMIFS('F Proj'!$J$2:$J$7669,'F Proj'!$B$2:$B$7669,$C95,'F Proj'!$A$2:$A$7669,"&gt;"&amp;Week,'F Proj'!$A$2:$A$7669,"&lt;=13"))))</f>
        <v>20.348162079165775</v>
      </c>
      <c r="N95" s="2">
        <f t="shared" si="20"/>
        <v>1.0556079153967071</v>
      </c>
      <c r="O95" s="2">
        <f t="shared" si="24"/>
        <v>16.732729740104279</v>
      </c>
      <c r="P95" s="2">
        <f t="shared" si="25"/>
        <v>21.819770259895723</v>
      </c>
      <c r="Q95" s="2">
        <f>K95-VLOOKUP($E95,Scores!$AG$1:$AM$7,7,FALSE)</f>
        <v>-0.22374999999999545</v>
      </c>
      <c r="R95" s="2">
        <f>O95-VLOOKUP($E95,Scores!$AG$1:$AM$7,7,FALSE)</f>
        <v>-2.7672702598957173</v>
      </c>
      <c r="S95" s="2">
        <f>P95-VLOOKUP($E95,Scores!$AG$1:$AM$7,7,FALSE)</f>
        <v>2.3197702598957264</v>
      </c>
      <c r="T95">
        <f t="shared" si="21"/>
        <v>200</v>
      </c>
      <c r="U95" s="23">
        <f t="shared" si="22"/>
        <v>42</v>
      </c>
      <c r="V95">
        <f t="shared" si="14"/>
        <v>13</v>
      </c>
      <c r="W95">
        <f t="shared" si="15"/>
        <v>1</v>
      </c>
      <c r="X95" t="str">
        <f>D95&amp;COUNTIF(D$1:D95,D95)</f>
        <v>FA2</v>
      </c>
      <c r="Y95" t="str">
        <f>D95&amp;E95&amp;COUNTIFS(D$1:D95,D95,E$1:E95,E95)</f>
        <v>FAQB1</v>
      </c>
      <c r="Z95" t="s">
        <v>223</v>
      </c>
      <c r="AA95" t="s">
        <v>61</v>
      </c>
    </row>
    <row r="96" spans="1:27" x14ac:dyDescent="0.25">
      <c r="A96">
        <f t="shared" si="23"/>
        <v>95</v>
      </c>
      <c r="B96">
        <f>MATCH(A96,'ROS Proj'!$AI$2:$AI$561,0)</f>
        <v>435</v>
      </c>
      <c r="C96" t="str">
        <f>INDEX('ROS Proj'!$A$2:$A$561,$B96)</f>
        <v>Sterling Shepard</v>
      </c>
      <c r="D96" t="str">
        <f>IFERROR(INDEX(Rosters!$C$2:$C$155,MATCH($C96,Rosters!$B$2:$B$155,0)),"FA")</f>
        <v>cory</v>
      </c>
      <c r="E96" t="str">
        <f>INDEX('ROS Proj'!$B$2:$B$561,$B96)</f>
        <v>WR</v>
      </c>
      <c r="F96" t="str">
        <f>E96&amp;COUNTIF(E$1:E96,E96)</f>
        <v>WR47</v>
      </c>
      <c r="G96">
        <f t="shared" si="16"/>
        <v>0</v>
      </c>
      <c r="H96">
        <f t="shared" si="17"/>
        <v>-2</v>
      </c>
      <c r="I96" t="str">
        <f t="shared" si="18"/>
        <v>WR62-167</v>
      </c>
      <c r="J96" t="str">
        <f t="shared" si="19"/>
        <v>WR26-40</v>
      </c>
      <c r="K96" s="2">
        <f>INDEX('ROS Proj'!$T$2:$T$561,$B96)</f>
        <v>6.9099999999999993</v>
      </c>
      <c r="L96" s="23">
        <f>INDEX('ROS Proj'!$AL$2:$AL$561,$B96)</f>
        <v>7</v>
      </c>
      <c r="M96" s="2">
        <f>SQRT(IF(E96="K",SUMIFS('K Proj'!$P$2:$P$508,'K Proj'!$B$2:$B$508,$C96,'K Proj'!$A$2:$A$508,"&gt;"&amp;Week,'K Proj'!$A$2:$A$508,"&lt;=13"),IF(E96="D",SUMIFS('D Proj'!$N$2:$N$513,'D Proj'!$B$2:$B$513,$C96,'D Proj'!$A$2:$A$513,"&gt;"&amp;Week,'D Proj'!$A$2:$A$513,"&lt;=13"),SUMIFS('F Proj'!$J$2:$J$7669,'F Proj'!$B$2:$B$7669,$C96,'F Proj'!$A$2:$A$7669,"&gt;"&amp;Week,'F Proj'!$A$2:$A$7669,"&lt;=13"))))</f>
        <v>13.351172233178628</v>
      </c>
      <c r="N96" s="2">
        <f t="shared" si="20"/>
        <v>1.9321522768710029</v>
      </c>
      <c r="O96" s="2">
        <f t="shared" si="24"/>
        <v>5.0026896809744814</v>
      </c>
      <c r="P96" s="2">
        <f t="shared" si="25"/>
        <v>8.817310319025518</v>
      </c>
      <c r="Q96" s="2">
        <f>K96-VLOOKUP($E96,Scores!$AG$1:$AM$7,7,FALSE)</f>
        <v>0.85714285714285676</v>
      </c>
      <c r="R96" s="2">
        <f>O96-VLOOKUP($E96,Scores!$AG$1:$AM$7,7,FALSE)</f>
        <v>-1.0501674618826611</v>
      </c>
      <c r="S96" s="2">
        <f>P96-VLOOKUP($E96,Scores!$AG$1:$AM$7,7,FALSE)</f>
        <v>2.7644531761683755</v>
      </c>
      <c r="T96">
        <f t="shared" si="21"/>
        <v>167</v>
      </c>
      <c r="U96" s="23">
        <f t="shared" si="22"/>
        <v>40</v>
      </c>
      <c r="V96">
        <f t="shared" si="14"/>
        <v>62</v>
      </c>
      <c r="W96">
        <f t="shared" si="15"/>
        <v>26</v>
      </c>
      <c r="X96" t="str">
        <f>D96&amp;COUNTIF(D$1:D96,D96)</f>
        <v>cory10</v>
      </c>
      <c r="Y96" t="str">
        <f>D96&amp;E96&amp;COUNTIFS(D$1:D96,D96,E$1:E96,E96)</f>
        <v>coryWR5</v>
      </c>
      <c r="Z96" t="s">
        <v>1422</v>
      </c>
      <c r="AA96" t="s">
        <v>192</v>
      </c>
    </row>
    <row r="97" spans="1:27" x14ac:dyDescent="0.25">
      <c r="A97">
        <f t="shared" si="23"/>
        <v>96</v>
      </c>
      <c r="B97">
        <f>MATCH(A97,'ROS Proj'!$AI$2:$AI$561,0)</f>
        <v>400</v>
      </c>
      <c r="C97" t="str">
        <f>INDEX('ROS Proj'!$A$2:$A$561,$B97)</f>
        <v>Robby Anderson</v>
      </c>
      <c r="D97" t="str">
        <f>IFERROR(INDEX(Rosters!$C$2:$C$155,MATCH($C97,Rosters!$B$2:$B$155,0)),"FA")</f>
        <v>FA</v>
      </c>
      <c r="E97" t="str">
        <f>INDEX('ROS Proj'!$B$2:$B$561,$B97)</f>
        <v>WR</v>
      </c>
      <c r="F97" t="str">
        <f>E97&amp;COUNTIF(E$1:E97,E97)</f>
        <v>WR48</v>
      </c>
      <c r="G97">
        <f t="shared" si="16"/>
        <v>0</v>
      </c>
      <c r="H97">
        <f t="shared" si="17"/>
        <v>18</v>
      </c>
      <c r="I97" t="str">
        <f t="shared" si="18"/>
        <v>WR61-136</v>
      </c>
      <c r="J97" t="str">
        <f t="shared" si="19"/>
        <v>WR26-40</v>
      </c>
      <c r="K97" s="2">
        <f>INDEX('ROS Proj'!$T$2:$T$561,$B97)</f>
        <v>6.8885714285714288</v>
      </c>
      <c r="L97" s="23">
        <f>INDEX('ROS Proj'!$AL$2:$AL$561,$B97)</f>
        <v>7</v>
      </c>
      <c r="M97" s="2">
        <f>SQRT(IF(E97="K",SUMIFS('K Proj'!$P$2:$P$508,'K Proj'!$B$2:$B$508,$C97,'K Proj'!$A$2:$A$508,"&gt;"&amp;Week,'K Proj'!$A$2:$A$508,"&lt;=13"),IF(E97="D",SUMIFS('D Proj'!$N$2:$N$513,'D Proj'!$B$2:$B$513,$C97,'D Proj'!$A$2:$A$513,"&gt;"&amp;Week,'D Proj'!$A$2:$A$513,"&lt;=13"),SUMIFS('F Proj'!$J$2:$J$7669,'F Proj'!$B$2:$B$7669,$C97,'F Proj'!$A$2:$A$7669,"&gt;"&amp;Week,'F Proj'!$A$2:$A$7669,"&lt;=13"))))</f>
        <v>12.902158734103375</v>
      </c>
      <c r="N97" s="2">
        <f t="shared" si="20"/>
        <v>1.8729803222464461</v>
      </c>
      <c r="O97" s="2">
        <f t="shared" si="24"/>
        <v>5.0454058951280896</v>
      </c>
      <c r="P97" s="2">
        <f t="shared" si="25"/>
        <v>8.731736962014768</v>
      </c>
      <c r="Q97" s="2">
        <f>K97-VLOOKUP($E97,Scores!$AG$1:$AM$7,7,FALSE)</f>
        <v>0.8357142857142863</v>
      </c>
      <c r="R97" s="2">
        <f>O97-VLOOKUP($E97,Scores!$AG$1:$AM$7,7,FALSE)</f>
        <v>-1.0074512477290529</v>
      </c>
      <c r="S97" s="2">
        <f>P97-VLOOKUP($E97,Scores!$AG$1:$AM$7,7,FALSE)</f>
        <v>2.6788798191576255</v>
      </c>
      <c r="T97">
        <f t="shared" si="21"/>
        <v>136</v>
      </c>
      <c r="U97" s="23">
        <f t="shared" si="22"/>
        <v>40</v>
      </c>
      <c r="V97">
        <f t="shared" si="14"/>
        <v>61</v>
      </c>
      <c r="W97">
        <f t="shared" si="15"/>
        <v>26</v>
      </c>
      <c r="X97" t="str">
        <f>D97&amp;COUNTIF(D$1:D97,D97)</f>
        <v>FA3</v>
      </c>
      <c r="Y97" t="str">
        <f>D97&amp;E97&amp;COUNTIFS(D$1:D97,D97,E$1:E97,E97)</f>
        <v>FAWR1</v>
      </c>
      <c r="Z97" t="s">
        <v>13</v>
      </c>
      <c r="AA97" t="s">
        <v>203</v>
      </c>
    </row>
    <row r="98" spans="1:27" x14ac:dyDescent="0.25">
      <c r="A98">
        <f t="shared" si="23"/>
        <v>97</v>
      </c>
      <c r="B98">
        <f>MATCH(A98,'ROS Proj'!$AI$2:$AI$561,0)</f>
        <v>242</v>
      </c>
      <c r="C98" t="str">
        <f>INDEX('ROS Proj'!$A$2:$A$561,$B98)</f>
        <v>Jimmy Graham</v>
      </c>
      <c r="D98" t="str">
        <f>IFERROR(INDEX(Rosters!$C$2:$C$155,MATCH($C98,Rosters!$B$2:$B$155,0)),"FA")</f>
        <v>seth</v>
      </c>
      <c r="E98" t="str">
        <f>INDEX('ROS Proj'!$B$2:$B$561,$B98)</f>
        <v>TE</v>
      </c>
      <c r="F98" t="str">
        <f>E98&amp;COUNTIF(E$1:E98,E98)</f>
        <v>TE6</v>
      </c>
      <c r="G98">
        <f t="shared" si="16"/>
        <v>0</v>
      </c>
      <c r="H98">
        <f t="shared" si="17"/>
        <v>-21</v>
      </c>
      <c r="I98" t="str">
        <f t="shared" si="18"/>
        <v>TE17-115</v>
      </c>
      <c r="J98" t="str">
        <f t="shared" si="19"/>
        <v>TE4-40</v>
      </c>
      <c r="K98" s="2">
        <f>INDEX('ROS Proj'!$T$2:$T$561,$B98)</f>
        <v>6.5271428571428567</v>
      </c>
      <c r="L98" s="23">
        <f>INDEX('ROS Proj'!$AL$2:$AL$561,$B98)</f>
        <v>7</v>
      </c>
      <c r="M98" s="2">
        <f>SQRT(IF(E98="K",SUMIFS('K Proj'!$P$2:$P$508,'K Proj'!$B$2:$B$508,$C98,'K Proj'!$A$2:$A$508,"&gt;"&amp;Week,'K Proj'!$A$2:$A$508,"&lt;=13"),IF(E98="D",SUMIFS('D Proj'!$N$2:$N$513,'D Proj'!$B$2:$B$513,$C98,'D Proj'!$A$2:$A$513,"&gt;"&amp;Week,'D Proj'!$A$2:$A$513,"&lt;=13"),SUMIFS('F Proj'!$J$2:$J$7669,'F Proj'!$B$2:$B$7669,$C98,'F Proj'!$A$2:$A$7669,"&gt;"&amp;Week,'F Proj'!$A$2:$A$7669,"&lt;=13"))))</f>
        <v>13.574151907209526</v>
      </c>
      <c r="N98" s="2">
        <f t="shared" si="20"/>
        <v>2.0796468231662657</v>
      </c>
      <c r="O98" s="2">
        <f t="shared" si="24"/>
        <v>4.587978298970067</v>
      </c>
      <c r="P98" s="2">
        <f t="shared" si="25"/>
        <v>8.4663074153156455</v>
      </c>
      <c r="Q98" s="2">
        <f>K98-VLOOKUP($E98,Scores!$AG$1:$AM$7,7,FALSE)</f>
        <v>1.347142857142857</v>
      </c>
      <c r="R98" s="2">
        <f>O98-VLOOKUP($E98,Scores!$AG$1:$AM$7,7,FALSE)</f>
        <v>-0.59202170102993268</v>
      </c>
      <c r="S98" s="2">
        <f>P98-VLOOKUP($E98,Scores!$AG$1:$AM$7,7,FALSE)</f>
        <v>3.2863074153156457</v>
      </c>
      <c r="T98">
        <f t="shared" si="21"/>
        <v>115</v>
      </c>
      <c r="U98" s="23">
        <f t="shared" si="22"/>
        <v>40</v>
      </c>
      <c r="V98">
        <f t="shared" ref="V98:V129" si="26">COUNTIFS($E$2:$E$201,$E98,$Q$2:$Q$201,"&gt;"&amp;R98)</f>
        <v>17</v>
      </c>
      <c r="W98">
        <f t="shared" ref="W98:W129" si="27">COUNTIFS($E$2:$E$201,$E98,$Q$2:$Q$201,"&gt;"&amp;S98)+1</f>
        <v>4</v>
      </c>
      <c r="X98" t="str">
        <f>D98&amp;COUNTIF(D$1:D98,D98)</f>
        <v>seth10</v>
      </c>
      <c r="Y98" t="str">
        <f>D98&amp;E98&amp;COUNTIFS(D$1:D98,D98,E$1:E98,E98)</f>
        <v>sethTE1</v>
      </c>
      <c r="Z98" t="s">
        <v>18</v>
      </c>
      <c r="AA98" t="s">
        <v>162</v>
      </c>
    </row>
    <row r="99" spans="1:27" x14ac:dyDescent="0.25">
      <c r="A99">
        <f t="shared" si="23"/>
        <v>98</v>
      </c>
      <c r="B99">
        <f>MATCH(A99,'ROS Proj'!$AI$2:$AI$561,0)</f>
        <v>138</v>
      </c>
      <c r="C99" t="str">
        <f>INDEX('ROS Proj'!$A$2:$A$561,$B99)</f>
        <v>David Njoku</v>
      </c>
      <c r="D99" t="str">
        <f>IFERROR(INDEX(Rosters!$C$2:$C$155,MATCH($C99,Rosters!$B$2:$B$155,0)),"FA")</f>
        <v>FA</v>
      </c>
      <c r="E99" t="str">
        <f>INDEX('ROS Proj'!$B$2:$B$561,$B99)</f>
        <v>TE</v>
      </c>
      <c r="F99" t="str">
        <f>E99&amp;COUNTIF(E$1:E99,E99)</f>
        <v>TE7</v>
      </c>
      <c r="G99">
        <f t="shared" si="16"/>
        <v>0</v>
      </c>
      <c r="H99">
        <f t="shared" si="17"/>
        <v>47</v>
      </c>
      <c r="I99" t="str">
        <f t="shared" si="18"/>
        <v>TE17-136</v>
      </c>
      <c r="J99" t="str">
        <f t="shared" si="19"/>
        <v>TE4-40</v>
      </c>
      <c r="K99" s="2">
        <f>INDEX('ROS Proj'!$T$2:$T$561,$B99)</f>
        <v>6.4942857142857138</v>
      </c>
      <c r="L99" s="23">
        <f>INDEX('ROS Proj'!$AL$2:$AL$561,$B99)</f>
        <v>7</v>
      </c>
      <c r="M99" s="2">
        <f>SQRT(IF(E99="K",SUMIFS('K Proj'!$P$2:$P$508,'K Proj'!$B$2:$B$508,$C99,'K Proj'!$A$2:$A$508,"&gt;"&amp;Week,'K Proj'!$A$2:$A$508,"&lt;=13"),IF(E99="D",SUMIFS('D Proj'!$N$2:$N$513,'D Proj'!$B$2:$B$513,$C99,'D Proj'!$A$2:$A$513,"&gt;"&amp;Week,'D Proj'!$A$2:$A$513,"&lt;=13"),SUMIFS('F Proj'!$J$2:$J$7669,'F Proj'!$B$2:$B$7669,$C99,'F Proj'!$A$2:$A$7669,"&gt;"&amp;Week,'F Proj'!$A$2:$A$7669,"&lt;=13"))))</f>
        <v>14.515770733929356</v>
      </c>
      <c r="N99" s="2">
        <f t="shared" si="20"/>
        <v>2.2351604737682687</v>
      </c>
      <c r="O99" s="2">
        <f t="shared" si="24"/>
        <v>4.4206041808672341</v>
      </c>
      <c r="P99" s="2">
        <f t="shared" si="25"/>
        <v>8.5679672477041926</v>
      </c>
      <c r="Q99" s="2">
        <f>K99-VLOOKUP($E99,Scores!$AG$1:$AM$7,7,FALSE)</f>
        <v>1.3142857142857141</v>
      </c>
      <c r="R99" s="2">
        <f>O99-VLOOKUP($E99,Scores!$AG$1:$AM$7,7,FALSE)</f>
        <v>-0.75939581913276566</v>
      </c>
      <c r="S99" s="2">
        <f>P99-VLOOKUP($E99,Scores!$AG$1:$AM$7,7,FALSE)</f>
        <v>3.3879672477041929</v>
      </c>
      <c r="T99">
        <f t="shared" si="21"/>
        <v>136</v>
      </c>
      <c r="U99" s="23">
        <f t="shared" si="22"/>
        <v>40</v>
      </c>
      <c r="V99">
        <f t="shared" si="26"/>
        <v>17</v>
      </c>
      <c r="W99">
        <f t="shared" si="27"/>
        <v>4</v>
      </c>
      <c r="X99" t="str">
        <f>D99&amp;COUNTIF(D$1:D99,D99)</f>
        <v>FA4</v>
      </c>
      <c r="Y99" t="str">
        <f>D99&amp;E99&amp;COUNTIFS(D$1:D99,D99,E$1:E99,E99)</f>
        <v>FATE1</v>
      </c>
      <c r="Z99" t="s">
        <v>48</v>
      </c>
      <c r="AA99" t="s">
        <v>215</v>
      </c>
    </row>
    <row r="100" spans="1:27" x14ac:dyDescent="0.25">
      <c r="A100">
        <f t="shared" si="23"/>
        <v>99</v>
      </c>
      <c r="B100">
        <f>MATCH(A100,'ROS Proj'!$AI$2:$AI$561,0)</f>
        <v>300</v>
      </c>
      <c r="C100" t="str">
        <f>INDEX('ROS Proj'!$A$2:$A$561,$B100)</f>
        <v>Kyle Rudolph</v>
      </c>
      <c r="D100" t="str">
        <f>IFERROR(INDEX(Rosters!$C$2:$C$155,MATCH($C100,Rosters!$B$2:$B$155,0)),"FA")</f>
        <v>cory</v>
      </c>
      <c r="E100" t="str">
        <f>INDEX('ROS Proj'!$B$2:$B$561,$B100)</f>
        <v>TE</v>
      </c>
      <c r="F100" t="str">
        <f>E100&amp;COUNTIF(E$1:E100,E100)</f>
        <v>TE8</v>
      </c>
      <c r="G100">
        <f t="shared" si="16"/>
        <v>0</v>
      </c>
      <c r="H100">
        <f t="shared" si="17"/>
        <v>-15</v>
      </c>
      <c r="I100" t="str">
        <f t="shared" si="18"/>
        <v>TE13-93</v>
      </c>
      <c r="J100" t="str">
        <f t="shared" si="19"/>
        <v>TE4-40</v>
      </c>
      <c r="K100" s="2">
        <f>INDEX('ROS Proj'!$T$2:$T$561,$B100)</f>
        <v>6.4771428571428578</v>
      </c>
      <c r="L100" s="23">
        <f>INDEX('ROS Proj'!$AL$2:$AL$561,$B100)</f>
        <v>7</v>
      </c>
      <c r="M100" s="2">
        <f>SQRT(IF(E100="K",SUMIFS('K Proj'!$P$2:$P$508,'K Proj'!$B$2:$B$508,$C100,'K Proj'!$A$2:$A$508,"&gt;"&amp;Week,'K Proj'!$A$2:$A$508,"&lt;=13"),IF(E100="D",SUMIFS('D Proj'!$N$2:$N$513,'D Proj'!$B$2:$B$513,$C100,'D Proj'!$A$2:$A$513,"&gt;"&amp;Week,'D Proj'!$A$2:$A$513,"&lt;=13"),SUMIFS('F Proj'!$J$2:$J$7669,'F Proj'!$B$2:$B$7669,$C100,'F Proj'!$A$2:$A$7669,"&gt;"&amp;Week,'F Proj'!$A$2:$A$7669,"&lt;=13"))))</f>
        <v>9.5172317403749283</v>
      </c>
      <c r="N100" s="2">
        <f t="shared" si="20"/>
        <v>1.4693564663128471</v>
      </c>
      <c r="O100" s="2">
        <f t="shared" si="24"/>
        <v>5.1175383228035827</v>
      </c>
      <c r="P100" s="2">
        <f t="shared" si="25"/>
        <v>7.8367473914821328</v>
      </c>
      <c r="Q100" s="2">
        <f>K100-VLOOKUP($E100,Scores!$AG$1:$AM$7,7,FALSE)</f>
        <v>1.297142857142858</v>
      </c>
      <c r="R100" s="2">
        <f>O100-VLOOKUP($E100,Scores!$AG$1:$AM$7,7,FALSE)</f>
        <v>-6.2461677196417043E-2</v>
      </c>
      <c r="S100" s="2">
        <f>P100-VLOOKUP($E100,Scores!$AG$1:$AM$7,7,FALSE)</f>
        <v>2.6567473914821331</v>
      </c>
      <c r="T100">
        <f t="shared" si="21"/>
        <v>93</v>
      </c>
      <c r="U100" s="23">
        <f t="shared" si="22"/>
        <v>40</v>
      </c>
      <c r="V100">
        <f t="shared" si="26"/>
        <v>13</v>
      </c>
      <c r="W100">
        <f t="shared" si="27"/>
        <v>4</v>
      </c>
      <c r="X100" t="str">
        <f>D100&amp;COUNTIF(D$1:D100,D100)</f>
        <v>cory11</v>
      </c>
      <c r="Y100" t="str">
        <f>D100&amp;E100&amp;COUNTIFS(D$1:D100,D100,E$1:E100,E100)</f>
        <v>coryTE1</v>
      </c>
      <c r="Z100" t="s">
        <v>196</v>
      </c>
      <c r="AA100" t="s">
        <v>181</v>
      </c>
    </row>
    <row r="101" spans="1:27" x14ac:dyDescent="0.25">
      <c r="A101">
        <f t="shared" si="23"/>
        <v>100</v>
      </c>
      <c r="B101">
        <f>MATCH(A101,'ROS Proj'!$AI$2:$AI$561,0)</f>
        <v>379</v>
      </c>
      <c r="C101" t="str">
        <f>INDEX('ROS Proj'!$A$2:$A$561,$B101)</f>
        <v>Patrick Mahomes</v>
      </c>
      <c r="D101" t="str">
        <f>IFERROR(INDEX(Rosters!$C$2:$C$155,MATCH($C101,Rosters!$B$2:$B$155,0)),"FA")</f>
        <v>matty</v>
      </c>
      <c r="E101" t="str">
        <f>INDEX('ROS Proj'!$B$2:$B$561,$B101)</f>
        <v>QB</v>
      </c>
      <c r="F101" t="str">
        <f>E101&amp;COUNTIF(E$1:E101,E101)</f>
        <v>QB4</v>
      </c>
      <c r="G101">
        <f t="shared" si="16"/>
        <v>0</v>
      </c>
      <c r="H101">
        <f t="shared" si="17"/>
        <v>-15</v>
      </c>
      <c r="I101" t="str">
        <f t="shared" si="18"/>
        <v>QB13-136</v>
      </c>
      <c r="J101" t="str">
        <f t="shared" si="19"/>
        <v>QB1-18</v>
      </c>
      <c r="K101" s="2">
        <f>INDEX('ROS Proj'!$T$2:$T$561,$B101)</f>
        <v>21.754285714285714</v>
      </c>
      <c r="L101" s="23">
        <f>INDEX('ROS Proj'!$AL$2:$AL$561,$B101)</f>
        <v>7</v>
      </c>
      <c r="M101" s="2">
        <f>SQRT(IF(E101="K",SUMIFS('K Proj'!$P$2:$P$508,'K Proj'!$B$2:$B$508,$C101,'K Proj'!$A$2:$A$508,"&gt;"&amp;Week,'K Proj'!$A$2:$A$508,"&lt;=13"),IF(E101="D",SUMIFS('D Proj'!$N$2:$N$513,'D Proj'!$B$2:$B$513,$C101,'D Proj'!$A$2:$A$513,"&gt;"&amp;Week,'D Proj'!$A$2:$A$513,"&lt;=13"),SUMIFS('F Proj'!$J$2:$J$7669,'F Proj'!$B$2:$B$7669,$C101,'F Proj'!$A$2:$A$7669,"&gt;"&amp;Week,'F Proj'!$A$2:$A$7669,"&lt;=13"))))</f>
        <v>21.349203732223831</v>
      </c>
      <c r="N101" s="2">
        <f t="shared" si="20"/>
        <v>0.98137921017577368</v>
      </c>
      <c r="O101" s="2">
        <f t="shared" si="24"/>
        <v>18.704399466825169</v>
      </c>
      <c r="P101" s="2">
        <f t="shared" si="25"/>
        <v>24.80417196174626</v>
      </c>
      <c r="Q101" s="2">
        <f>K101-VLOOKUP($E101,Scores!$AG$1:$AM$7,7,FALSE)</f>
        <v>2.254285714285718</v>
      </c>
      <c r="R101" s="2">
        <f>O101-VLOOKUP($E101,Scores!$AG$1:$AM$7,7,FALSE)</f>
        <v>-0.79560053317482726</v>
      </c>
      <c r="S101" s="2">
        <f>P101-VLOOKUP($E101,Scores!$AG$1:$AM$7,7,FALSE)</f>
        <v>5.3041719617462633</v>
      </c>
      <c r="T101">
        <f t="shared" si="21"/>
        <v>136</v>
      </c>
      <c r="U101" s="23">
        <f t="shared" si="22"/>
        <v>18</v>
      </c>
      <c r="V101">
        <f t="shared" si="26"/>
        <v>13</v>
      </c>
      <c r="W101">
        <f t="shared" si="27"/>
        <v>1</v>
      </c>
      <c r="X101" t="str">
        <f>D101&amp;COUNTIF(D$1:D101,D101)</f>
        <v>matty11</v>
      </c>
      <c r="Y101" t="str">
        <f>D101&amp;E101&amp;COUNTIFS(D$1:D101,D101,E$1:E101,E101)</f>
        <v>mattyQB2</v>
      </c>
      <c r="Z101" t="s">
        <v>65</v>
      </c>
      <c r="AA101" t="s">
        <v>302</v>
      </c>
    </row>
    <row r="102" spans="1:27" x14ac:dyDescent="0.25">
      <c r="A102">
        <f t="shared" si="23"/>
        <v>101</v>
      </c>
      <c r="B102">
        <f>MATCH(A102,'ROS Proj'!$AI$2:$AI$561,0)</f>
        <v>4</v>
      </c>
      <c r="C102" t="str">
        <f>INDEX('ROS Proj'!$A$2:$A$561,$B102)</f>
        <v>Aaron Jones</v>
      </c>
      <c r="D102" t="str">
        <f>IFERROR(INDEX(Rosters!$C$2:$C$155,MATCH($C102,Rosters!$B$2:$B$155,0)),"FA")</f>
        <v>aj</v>
      </c>
      <c r="E102" t="str">
        <f>INDEX('ROS Proj'!$B$2:$B$561,$B102)</f>
        <v>RB</v>
      </c>
      <c r="F102" t="str">
        <f>E102&amp;COUNTIF(E$1:E102,E102)</f>
        <v>RB39</v>
      </c>
      <c r="G102">
        <f t="shared" si="16"/>
        <v>0</v>
      </c>
      <c r="H102">
        <f t="shared" si="17"/>
        <v>50</v>
      </c>
      <c r="I102" t="str">
        <f t="shared" si="18"/>
        <v>RB62-167</v>
      </c>
      <c r="J102" t="str">
        <f t="shared" si="19"/>
        <v>RB21-40</v>
      </c>
      <c r="K102" s="2">
        <f>INDEX('ROS Proj'!$T$2:$T$561,$B102)</f>
        <v>6.7285714285714286</v>
      </c>
      <c r="L102" s="23">
        <f>INDEX('ROS Proj'!$AL$2:$AL$561,$B102)</f>
        <v>7</v>
      </c>
      <c r="M102" s="2">
        <f>SQRT(IF(E102="K",SUMIFS('K Proj'!$P$2:$P$508,'K Proj'!$B$2:$B$508,$C102,'K Proj'!$A$2:$A$508,"&gt;"&amp;Week,'K Proj'!$A$2:$A$508,"&lt;=13"),IF(E102="D",SUMIFS('D Proj'!$N$2:$N$513,'D Proj'!$B$2:$B$513,$C102,'D Proj'!$A$2:$A$513,"&gt;"&amp;Week,'D Proj'!$A$2:$A$513,"&lt;=13"),SUMIFS('F Proj'!$J$2:$J$7669,'F Proj'!$B$2:$B$7669,$C102,'F Proj'!$A$2:$A$7669,"&gt;"&amp;Week,'F Proj'!$A$2:$A$7669,"&lt;=13"))))</f>
        <v>15.805799568512819</v>
      </c>
      <c r="N102" s="2">
        <f t="shared" si="20"/>
        <v>2.3490572607131579</v>
      </c>
      <c r="O102" s="2">
        <f t="shared" si="24"/>
        <v>4.4706000616410266</v>
      </c>
      <c r="P102" s="2">
        <f t="shared" si="25"/>
        <v>8.9865427955018315</v>
      </c>
      <c r="Q102" s="2">
        <f>K102-VLOOKUP($E102,Scores!$AG$1:$AM$7,7,FALSE)</f>
        <v>0.85999999999999943</v>
      </c>
      <c r="R102" s="2">
        <f>O102-VLOOKUP($E102,Scores!$AG$1:$AM$7,7,FALSE)</f>
        <v>-1.3979713669304026</v>
      </c>
      <c r="S102" s="2">
        <f>P102-VLOOKUP($E102,Scores!$AG$1:$AM$7,7,FALSE)</f>
        <v>3.1179713669304023</v>
      </c>
      <c r="T102">
        <f t="shared" si="21"/>
        <v>167</v>
      </c>
      <c r="U102" s="23">
        <f t="shared" si="22"/>
        <v>40</v>
      </c>
      <c r="V102">
        <f t="shared" si="26"/>
        <v>62</v>
      </c>
      <c r="W102">
        <f t="shared" si="27"/>
        <v>21</v>
      </c>
      <c r="X102" t="str">
        <f>D102&amp;COUNTIF(D$1:D102,D102)</f>
        <v>aj11</v>
      </c>
      <c r="Y102" t="str">
        <f>D102&amp;E102&amp;COUNTIFS(D$1:D102,D102,E$1:E102,E102)</f>
        <v>ajRB5</v>
      </c>
      <c r="Z102" t="s">
        <v>139</v>
      </c>
      <c r="AA102" t="s">
        <v>281</v>
      </c>
    </row>
    <row r="103" spans="1:27" x14ac:dyDescent="0.25">
      <c r="A103">
        <f t="shared" si="23"/>
        <v>102</v>
      </c>
      <c r="B103">
        <f>MATCH(A103,'ROS Proj'!$AI$2:$AI$561,0)</f>
        <v>154</v>
      </c>
      <c r="C103" t="str">
        <f>INDEX('ROS Proj'!$A$2:$A$561,$B103)</f>
        <v>DeSean Jackson</v>
      </c>
      <c r="D103" t="str">
        <f>IFERROR(INDEX(Rosters!$C$2:$C$155,MATCH($C103,Rosters!$B$2:$B$155,0)),"FA")</f>
        <v>scott</v>
      </c>
      <c r="E103" t="str">
        <f>INDEX('ROS Proj'!$B$2:$B$561,$B103)</f>
        <v>WR</v>
      </c>
      <c r="F103" t="str">
        <f>E103&amp;COUNTIF(E$1:E103,E103)</f>
        <v>WR49</v>
      </c>
      <c r="G103">
        <f t="shared" si="16"/>
        <v>0</v>
      </c>
      <c r="H103">
        <f t="shared" si="17"/>
        <v>4</v>
      </c>
      <c r="I103" t="str">
        <f t="shared" si="18"/>
        <v>WR70-180</v>
      </c>
      <c r="J103" t="str">
        <f t="shared" si="19"/>
        <v>WR44-78</v>
      </c>
      <c r="K103" s="2">
        <f>INDEX('ROS Proj'!$T$2:$T$561,$B103)</f>
        <v>5.82</v>
      </c>
      <c r="L103" s="23">
        <f>INDEX('ROS Proj'!$AL$2:$AL$561,$B103)</f>
        <v>8</v>
      </c>
      <c r="M103" s="2">
        <f>SQRT(IF(E103="K",SUMIFS('K Proj'!$P$2:$P$508,'K Proj'!$B$2:$B$508,$C103,'K Proj'!$A$2:$A$508,"&gt;"&amp;Week,'K Proj'!$A$2:$A$508,"&lt;=13"),IF(E103="D",SUMIFS('D Proj'!$N$2:$N$513,'D Proj'!$B$2:$B$513,$C103,'D Proj'!$A$2:$A$513,"&gt;"&amp;Week,'D Proj'!$A$2:$A$513,"&lt;=13"),SUMIFS('F Proj'!$J$2:$J$7669,'F Proj'!$B$2:$B$7669,$C103,'F Proj'!$A$2:$A$7669,"&gt;"&amp;Week,'F Proj'!$A$2:$A$7669,"&lt;=13"))))</f>
        <v>11.88564259937173</v>
      </c>
      <c r="N103" s="2">
        <f t="shared" si="20"/>
        <v>2.0422066321944552</v>
      </c>
      <c r="O103" s="2">
        <f t="shared" si="24"/>
        <v>4.3342946750785343</v>
      </c>
      <c r="P103" s="2">
        <f t="shared" si="25"/>
        <v>7.3057053249214663</v>
      </c>
      <c r="Q103" s="2">
        <f>K103-VLOOKUP($E103,Scores!$AG$1:$AM$7,7,FALSE)</f>
        <v>-0.23285714285714221</v>
      </c>
      <c r="R103" s="2">
        <f>O103-VLOOKUP($E103,Scores!$AG$1:$AM$7,7,FALSE)</f>
        <v>-1.7185624677786082</v>
      </c>
      <c r="S103" s="2">
        <f>P103-VLOOKUP($E103,Scores!$AG$1:$AM$7,7,FALSE)</f>
        <v>1.2528481820643238</v>
      </c>
      <c r="T103">
        <f t="shared" si="21"/>
        <v>180</v>
      </c>
      <c r="U103" s="23">
        <f t="shared" si="22"/>
        <v>78</v>
      </c>
      <c r="V103">
        <f t="shared" si="26"/>
        <v>70</v>
      </c>
      <c r="W103">
        <f t="shared" si="27"/>
        <v>44</v>
      </c>
      <c r="X103" t="str">
        <f>D103&amp;COUNTIF(D$1:D103,D103)</f>
        <v>scott8</v>
      </c>
      <c r="Y103" t="str">
        <f>D103&amp;E103&amp;COUNTIFS(D$1:D103,D103,E$1:E103,E103)</f>
        <v>scottWR5</v>
      </c>
      <c r="Z103" t="s">
        <v>229</v>
      </c>
      <c r="AA103" t="s">
        <v>163</v>
      </c>
    </row>
    <row r="104" spans="1:27" x14ac:dyDescent="0.25">
      <c r="A104">
        <f t="shared" si="23"/>
        <v>103</v>
      </c>
      <c r="B104">
        <f>MATCH(A104,'ROS Proj'!$AI$2:$AI$561,0)</f>
        <v>292</v>
      </c>
      <c r="C104" t="str">
        <f>INDEX('ROS Proj'!$A$2:$A$561,$B104)</f>
        <v>Kenyan Drake</v>
      </c>
      <c r="D104" t="str">
        <f>IFERROR(INDEX(Rosters!$C$2:$C$155,MATCH($C104,Rosters!$B$2:$B$155,0)),"FA")</f>
        <v>lucas</v>
      </c>
      <c r="E104" t="str">
        <f>INDEX('ROS Proj'!$B$2:$B$561,$B104)</f>
        <v>RB</v>
      </c>
      <c r="F104" t="str">
        <f>E104&amp;COUNTIF(E$1:E104,E104)</f>
        <v>RB40</v>
      </c>
      <c r="G104">
        <f t="shared" si="16"/>
        <v>0</v>
      </c>
      <c r="H104">
        <f t="shared" si="17"/>
        <v>-61</v>
      </c>
      <c r="I104" t="str">
        <f t="shared" si="18"/>
        <v>RB59-167</v>
      </c>
      <c r="J104" t="str">
        <f t="shared" si="19"/>
        <v>RB25-40</v>
      </c>
      <c r="K104" s="2">
        <f>INDEX('ROS Proj'!$T$2:$T$561,$B104)</f>
        <v>6.651428571428573</v>
      </c>
      <c r="L104" s="23">
        <f>INDEX('ROS Proj'!$AL$2:$AL$561,$B104)</f>
        <v>7</v>
      </c>
      <c r="M104" s="2">
        <f>SQRT(IF(E104="K",SUMIFS('K Proj'!$P$2:$P$508,'K Proj'!$B$2:$B$508,$C104,'K Proj'!$A$2:$A$508,"&gt;"&amp;Week,'K Proj'!$A$2:$A$508,"&lt;=13"),IF(E104="D",SUMIFS('D Proj'!$N$2:$N$513,'D Proj'!$B$2:$B$513,$C104,'D Proj'!$A$2:$A$513,"&gt;"&amp;Week,'D Proj'!$A$2:$A$513,"&lt;=13"),SUMIFS('F Proj'!$J$2:$J$7669,'F Proj'!$B$2:$B$7669,$C104,'F Proj'!$A$2:$A$7669,"&gt;"&amp;Week,'F Proj'!$A$2:$A$7669,"&lt;=13"))))</f>
        <v>13.069234866663006</v>
      </c>
      <c r="N104" s="2">
        <f t="shared" si="20"/>
        <v>1.96487637600174</v>
      </c>
      <c r="O104" s="2">
        <f t="shared" si="24"/>
        <v>4.7843950190481435</v>
      </c>
      <c r="P104" s="2">
        <f t="shared" si="25"/>
        <v>8.5184621238090017</v>
      </c>
      <c r="Q104" s="2">
        <f>K104-VLOOKUP($E104,Scores!$AG$1:$AM$7,7,FALSE)</f>
        <v>0.78285714285714381</v>
      </c>
      <c r="R104" s="2">
        <f>O104-VLOOKUP($E104,Scores!$AG$1:$AM$7,7,FALSE)</f>
        <v>-1.0841764095232858</v>
      </c>
      <c r="S104" s="2">
        <f>P104-VLOOKUP($E104,Scores!$AG$1:$AM$7,7,FALSE)</f>
        <v>2.6498906952375725</v>
      </c>
      <c r="T104">
        <f t="shared" si="21"/>
        <v>167</v>
      </c>
      <c r="U104" s="23">
        <f t="shared" si="22"/>
        <v>40</v>
      </c>
      <c r="V104">
        <f t="shared" si="26"/>
        <v>59</v>
      </c>
      <c r="W104">
        <f t="shared" si="27"/>
        <v>25</v>
      </c>
      <c r="X104" t="str">
        <f>D104&amp;COUNTIF(D$1:D104,D104)</f>
        <v>lucas10</v>
      </c>
      <c r="Y104" t="str">
        <f>D104&amp;E104&amp;COUNTIFS(D$1:D104,D104,E$1:E104,E104)</f>
        <v>lucasRB5</v>
      </c>
      <c r="Z104" t="s">
        <v>185</v>
      </c>
      <c r="AA104" t="s">
        <v>290</v>
      </c>
    </row>
    <row r="105" spans="1:27" x14ac:dyDescent="0.25">
      <c r="A105">
        <f t="shared" si="23"/>
        <v>104</v>
      </c>
      <c r="B105">
        <f>MATCH(A105,'ROS Proj'!$AI$2:$AI$561,0)</f>
        <v>215</v>
      </c>
      <c r="C105" t="str">
        <f>INDEX('ROS Proj'!$A$2:$A$561,$B105)</f>
        <v>Jamaal Williams</v>
      </c>
      <c r="D105" t="str">
        <f>IFERROR(INDEX(Rosters!$C$2:$C$155,MATCH($C105,Rosters!$B$2:$B$155,0)),"FA")</f>
        <v>FA</v>
      </c>
      <c r="E105" t="str">
        <f>INDEX('ROS Proj'!$B$2:$B$561,$B105)</f>
        <v>RB</v>
      </c>
      <c r="F105" t="str">
        <f>E105&amp;COUNTIF(E$1:E105,E105)</f>
        <v>RB41</v>
      </c>
      <c r="G105">
        <f t="shared" si="16"/>
        <v>0</v>
      </c>
      <c r="H105">
        <f t="shared" si="17"/>
        <v>-23</v>
      </c>
      <c r="I105" t="str">
        <f t="shared" si="18"/>
        <v>RB58-167</v>
      </c>
      <c r="J105" t="str">
        <f t="shared" si="19"/>
        <v>RB25-40</v>
      </c>
      <c r="K105" s="2">
        <f>INDEX('ROS Proj'!$T$2:$T$561,$B105)</f>
        <v>6.6199999999999992</v>
      </c>
      <c r="L105" s="23">
        <f>INDEX('ROS Proj'!$AL$2:$AL$561,$B105)</f>
        <v>7</v>
      </c>
      <c r="M105" s="2">
        <f>SQRT(IF(E105="K",SUMIFS('K Proj'!$P$2:$P$508,'K Proj'!$B$2:$B$508,$C105,'K Proj'!$A$2:$A$508,"&gt;"&amp;Week,'K Proj'!$A$2:$A$508,"&lt;=13"),IF(E105="D",SUMIFS('D Proj'!$N$2:$N$513,'D Proj'!$B$2:$B$513,$C105,'D Proj'!$A$2:$A$513,"&gt;"&amp;Week,'D Proj'!$A$2:$A$513,"&lt;=13"),SUMIFS('F Proj'!$J$2:$J$7669,'F Proj'!$B$2:$B$7669,$C105,'F Proj'!$A$2:$A$7669,"&gt;"&amp;Week,'F Proj'!$A$2:$A$7669,"&lt;=13"))))</f>
        <v>12.521761058253746</v>
      </c>
      <c r="N105" s="2">
        <f t="shared" si="20"/>
        <v>1.891504691579116</v>
      </c>
      <c r="O105" s="2">
        <f t="shared" si="24"/>
        <v>4.8311769916780358</v>
      </c>
      <c r="P105" s="2">
        <f t="shared" si="25"/>
        <v>8.4088230083219635</v>
      </c>
      <c r="Q105" s="2">
        <f>K105-VLOOKUP($E105,Scores!$AG$1:$AM$7,7,FALSE)</f>
        <v>0.75142857142857</v>
      </c>
      <c r="R105" s="2">
        <f>O105-VLOOKUP($E105,Scores!$AG$1:$AM$7,7,FALSE)</f>
        <v>-1.0373944368933934</v>
      </c>
      <c r="S105" s="2">
        <f>P105-VLOOKUP($E105,Scores!$AG$1:$AM$7,7,FALSE)</f>
        <v>2.5402515797505343</v>
      </c>
      <c r="T105">
        <f t="shared" si="21"/>
        <v>167</v>
      </c>
      <c r="U105" s="23">
        <f t="shared" si="22"/>
        <v>40</v>
      </c>
      <c r="V105">
        <f t="shared" si="26"/>
        <v>58</v>
      </c>
      <c r="W105">
        <f t="shared" si="27"/>
        <v>25</v>
      </c>
      <c r="X105" t="str">
        <f>D105&amp;COUNTIF(D$1:D105,D105)</f>
        <v>FA5</v>
      </c>
      <c r="Y105" t="str">
        <f>D105&amp;E105&amp;COUNTIFS(D$1:D105,D105,E$1:E105,E105)</f>
        <v>FARB2</v>
      </c>
      <c r="Z105" t="s">
        <v>224</v>
      </c>
      <c r="AA105" t="s">
        <v>205</v>
      </c>
    </row>
    <row r="106" spans="1:27" x14ac:dyDescent="0.25">
      <c r="A106">
        <f t="shared" si="23"/>
        <v>105</v>
      </c>
      <c r="B106">
        <f>MATCH(A106,'ROS Proj'!$AI$2:$AI$561,0)</f>
        <v>201</v>
      </c>
      <c r="C106" t="str">
        <f>INDEX('ROS Proj'!$A$2:$A$561,$B106)</f>
        <v>Isaiah Crowell</v>
      </c>
      <c r="D106" t="str">
        <f>IFERROR(INDEX(Rosters!$C$2:$C$155,MATCH($C106,Rosters!$B$2:$B$155,0)),"FA")</f>
        <v>chad</v>
      </c>
      <c r="E106" t="str">
        <f>INDEX('ROS Proj'!$B$2:$B$561,$B106)</f>
        <v>RB</v>
      </c>
      <c r="F106" t="str">
        <f>E106&amp;COUNTIF(E$1:E106,E106)</f>
        <v>RB42</v>
      </c>
      <c r="G106">
        <f t="shared" si="16"/>
        <v>0</v>
      </c>
      <c r="H106">
        <f t="shared" si="17"/>
        <v>-37</v>
      </c>
      <c r="I106" t="str">
        <f t="shared" si="18"/>
        <v>RB59-167</v>
      </c>
      <c r="J106" t="str">
        <f t="shared" si="19"/>
        <v>RB25-40</v>
      </c>
      <c r="K106" s="2">
        <f>INDEX('ROS Proj'!$T$2:$T$561,$B106)</f>
        <v>6.5842857142857136</v>
      </c>
      <c r="L106" s="23">
        <f>INDEX('ROS Proj'!$AL$2:$AL$561,$B106)</f>
        <v>7</v>
      </c>
      <c r="M106" s="2">
        <f>SQRT(IF(E106="K",SUMIFS('K Proj'!$P$2:$P$508,'K Proj'!$B$2:$B$508,$C106,'K Proj'!$A$2:$A$508,"&gt;"&amp;Week,'K Proj'!$A$2:$A$508,"&lt;=13"),IF(E106="D",SUMIFS('D Proj'!$N$2:$N$513,'D Proj'!$B$2:$B$513,$C106,'D Proj'!$A$2:$A$513,"&gt;"&amp;Week,'D Proj'!$A$2:$A$513,"&lt;=13"),SUMIFS('F Proj'!$J$2:$J$7669,'F Proj'!$B$2:$B$7669,$C106,'F Proj'!$A$2:$A$7669,"&gt;"&amp;Week,'F Proj'!$A$2:$A$7669,"&lt;=13"))))</f>
        <v>13.198041521377331</v>
      </c>
      <c r="N106" s="2">
        <f t="shared" si="20"/>
        <v>2.0044758222964054</v>
      </c>
      <c r="O106" s="2">
        <f t="shared" si="24"/>
        <v>4.6988512112318102</v>
      </c>
      <c r="P106" s="2">
        <f t="shared" si="25"/>
        <v>8.4697202173396171</v>
      </c>
      <c r="Q106" s="2">
        <f>K106-VLOOKUP($E106,Scores!$AG$1:$AM$7,7,FALSE)</f>
        <v>0.71571428571428442</v>
      </c>
      <c r="R106" s="2">
        <f>O106-VLOOKUP($E106,Scores!$AG$1:$AM$7,7,FALSE)</f>
        <v>-1.1697202173396191</v>
      </c>
      <c r="S106" s="2">
        <f>P106-VLOOKUP($E106,Scores!$AG$1:$AM$7,7,FALSE)</f>
        <v>2.6011487887681879</v>
      </c>
      <c r="T106">
        <f t="shared" si="21"/>
        <v>167</v>
      </c>
      <c r="U106" s="23">
        <f t="shared" si="22"/>
        <v>40</v>
      </c>
      <c r="V106">
        <f t="shared" si="26"/>
        <v>59</v>
      </c>
      <c r="W106">
        <f t="shared" si="27"/>
        <v>25</v>
      </c>
      <c r="X106" t="str">
        <f>D106&amp;COUNTIF(D$1:D106,D106)</f>
        <v>chad12</v>
      </c>
      <c r="Y106" t="str">
        <f>D106&amp;E106&amp;COUNTIFS(D$1:D106,D106,E$1:E106,E106)</f>
        <v>chadRB5</v>
      </c>
      <c r="Z106" t="s">
        <v>1346</v>
      </c>
      <c r="AA106" t="s">
        <v>117</v>
      </c>
    </row>
    <row r="107" spans="1:27" x14ac:dyDescent="0.25">
      <c r="A107">
        <f t="shared" si="23"/>
        <v>106</v>
      </c>
      <c r="B107">
        <f>MATCH(A107,'ROS Proj'!$AI$2:$AI$561,0)</f>
        <v>477</v>
      </c>
      <c r="C107" t="str">
        <f>INDEX('ROS Proj'!$A$2:$A$561,$B107)</f>
        <v>Tyler Lockett</v>
      </c>
      <c r="D107" t="str">
        <f>IFERROR(INDEX(Rosters!$C$2:$C$155,MATCH($C107,Rosters!$B$2:$B$155,0)),"FA")</f>
        <v>FA</v>
      </c>
      <c r="E107" t="str">
        <f>INDEX('ROS Proj'!$B$2:$B$561,$B107)</f>
        <v>WR</v>
      </c>
      <c r="F107" t="str">
        <f>E107&amp;COUNTIF(E$1:E107,E107)</f>
        <v>WR50</v>
      </c>
      <c r="G107">
        <f t="shared" si="16"/>
        <v>0</v>
      </c>
      <c r="H107">
        <f t="shared" si="17"/>
        <v>1</v>
      </c>
      <c r="I107" t="str">
        <f t="shared" si="18"/>
        <v>WR69-167</v>
      </c>
      <c r="J107" t="str">
        <f t="shared" si="19"/>
        <v>WR29-42</v>
      </c>
      <c r="K107" s="2">
        <f>INDEX('ROS Proj'!$T$2:$T$561,$B107)</f>
        <v>6.5585714285714278</v>
      </c>
      <c r="L107" s="23">
        <f>INDEX('ROS Proj'!$AL$2:$AL$561,$B107)</f>
        <v>7</v>
      </c>
      <c r="M107" s="2">
        <f>SQRT(IF(E107="K",SUMIFS('K Proj'!$P$2:$P$508,'K Proj'!$B$2:$B$508,$C107,'K Proj'!$A$2:$A$508,"&gt;"&amp;Week,'K Proj'!$A$2:$A$508,"&lt;=13"),IF(E107="D",SUMIFS('D Proj'!$N$2:$N$513,'D Proj'!$B$2:$B$513,$C107,'D Proj'!$A$2:$A$513,"&gt;"&amp;Week,'D Proj'!$A$2:$A$513,"&lt;=13"),SUMIFS('F Proj'!$J$2:$J$7669,'F Proj'!$B$2:$B$7669,$C107,'F Proj'!$A$2:$A$7669,"&gt;"&amp;Week,'F Proj'!$A$2:$A$7669,"&lt;=13"))))</f>
        <v>13.381774919643508</v>
      </c>
      <c r="N107" s="2">
        <f t="shared" si="20"/>
        <v>2.0403490402418769</v>
      </c>
      <c r="O107" s="2">
        <f t="shared" si="24"/>
        <v>4.646889297193785</v>
      </c>
      <c r="P107" s="2">
        <f t="shared" si="25"/>
        <v>8.4702535599490716</v>
      </c>
      <c r="Q107" s="2">
        <f>K107-VLOOKUP($E107,Scores!$AG$1:$AM$7,7,FALSE)</f>
        <v>0.50571428571428534</v>
      </c>
      <c r="R107" s="2">
        <f>O107-VLOOKUP($E107,Scores!$AG$1:$AM$7,7,FALSE)</f>
        <v>-1.4059678456633575</v>
      </c>
      <c r="S107" s="2">
        <f>P107-VLOOKUP($E107,Scores!$AG$1:$AM$7,7,FALSE)</f>
        <v>2.4173964170919291</v>
      </c>
      <c r="T107">
        <f t="shared" si="21"/>
        <v>167</v>
      </c>
      <c r="U107" s="23">
        <f t="shared" si="22"/>
        <v>42</v>
      </c>
      <c r="V107">
        <f t="shared" si="26"/>
        <v>69</v>
      </c>
      <c r="W107">
        <f t="shared" si="27"/>
        <v>29</v>
      </c>
      <c r="X107" t="str">
        <f>D107&amp;COUNTIF(D$1:D107,D107)</f>
        <v>FA6</v>
      </c>
      <c r="Y107" t="str">
        <f>D107&amp;E107&amp;COUNTIFS(D$1:D107,D107,E$1:E107,E107)</f>
        <v>FAWR2</v>
      </c>
      <c r="Z107" t="s">
        <v>163</v>
      </c>
      <c r="AA107" t="s">
        <v>180</v>
      </c>
    </row>
    <row r="108" spans="1:27" x14ac:dyDescent="0.25">
      <c r="A108">
        <f t="shared" si="23"/>
        <v>107</v>
      </c>
      <c r="B108">
        <f>MATCH(A108,'ROS Proj'!$AI$2:$AI$561,0)</f>
        <v>448</v>
      </c>
      <c r="C108" t="str">
        <f>INDEX('ROS Proj'!$A$2:$A$561,$B108)</f>
        <v>Taywan Taylor</v>
      </c>
      <c r="D108" t="str">
        <f>IFERROR(INDEX(Rosters!$C$2:$C$155,MATCH($C108,Rosters!$B$2:$B$155,0)),"FA")</f>
        <v>FA</v>
      </c>
      <c r="E108" t="str">
        <f>INDEX('ROS Proj'!$B$2:$B$561,$B108)</f>
        <v>WR</v>
      </c>
      <c r="F108" t="str">
        <f>E108&amp;COUNTIF(E$1:E108,E108)</f>
        <v>WR51</v>
      </c>
      <c r="G108">
        <f t="shared" si="16"/>
        <v>0</v>
      </c>
      <c r="H108">
        <f t="shared" si="17"/>
        <v>71</v>
      </c>
      <c r="I108" t="str">
        <f t="shared" si="18"/>
        <v>WR68-167</v>
      </c>
      <c r="J108" t="str">
        <f t="shared" si="19"/>
        <v>WR33-49</v>
      </c>
      <c r="K108" s="2">
        <f>INDEX('ROS Proj'!$T$2:$T$561,$B108)</f>
        <v>6.5028571428571427</v>
      </c>
      <c r="L108" s="23">
        <f>INDEX('ROS Proj'!$AL$2:$AL$561,$B108)</f>
        <v>7</v>
      </c>
      <c r="M108" s="2">
        <f>SQRT(IF(E108="K",SUMIFS('K Proj'!$P$2:$P$508,'K Proj'!$B$2:$B$508,$C108,'K Proj'!$A$2:$A$508,"&gt;"&amp;Week,'K Proj'!$A$2:$A$508,"&lt;=13"),IF(E108="D",SUMIFS('D Proj'!$N$2:$N$513,'D Proj'!$B$2:$B$513,$C108,'D Proj'!$A$2:$A$513,"&gt;"&amp;Week,'D Proj'!$A$2:$A$513,"&lt;=13"),SUMIFS('F Proj'!$J$2:$J$7669,'F Proj'!$B$2:$B$7669,$C108,'F Proj'!$A$2:$A$7669,"&gt;"&amp;Week,'F Proj'!$A$2:$A$7669,"&lt;=13"))))</f>
        <v>12.466687611390604</v>
      </c>
      <c r="N108" s="2">
        <f t="shared" si="20"/>
        <v>1.917109254827202</v>
      </c>
      <c r="O108" s="2">
        <f t="shared" si="24"/>
        <v>4.7219017698013417</v>
      </c>
      <c r="P108" s="2">
        <f t="shared" si="25"/>
        <v>8.2838125159129437</v>
      </c>
      <c r="Q108" s="2">
        <f>K108-VLOOKUP($E108,Scores!$AG$1:$AM$7,7,FALSE)</f>
        <v>0.45000000000000018</v>
      </c>
      <c r="R108" s="2">
        <f>O108-VLOOKUP($E108,Scores!$AG$1:$AM$7,7,FALSE)</f>
        <v>-1.3309553730558008</v>
      </c>
      <c r="S108" s="2">
        <f>P108-VLOOKUP($E108,Scores!$AG$1:$AM$7,7,FALSE)</f>
        <v>2.2309553730558012</v>
      </c>
      <c r="T108">
        <f t="shared" si="21"/>
        <v>167</v>
      </c>
      <c r="U108" s="23">
        <f t="shared" si="22"/>
        <v>49</v>
      </c>
      <c r="V108">
        <f t="shared" si="26"/>
        <v>68</v>
      </c>
      <c r="W108">
        <f t="shared" si="27"/>
        <v>33</v>
      </c>
      <c r="X108" t="str">
        <f>D108&amp;COUNTIF(D$1:D108,D108)</f>
        <v>FA7</v>
      </c>
      <c r="Y108" t="str">
        <f>D108&amp;E108&amp;COUNTIFS(D$1:D108,D108,E$1:E108,E108)</f>
        <v>FAWR3</v>
      </c>
      <c r="Z108" t="s">
        <v>180</v>
      </c>
      <c r="AA108" t="s">
        <v>303</v>
      </c>
    </row>
    <row r="109" spans="1:27" x14ac:dyDescent="0.25">
      <c r="A109">
        <f t="shared" si="23"/>
        <v>108</v>
      </c>
      <c r="B109">
        <f>MATCH(A109,'ROS Proj'!$AI$2:$AI$561,0)</f>
        <v>70</v>
      </c>
      <c r="C109" t="str">
        <f>INDEX('ROS Proj'!$A$2:$A$561,$B109)</f>
        <v>C.J. Anderson</v>
      </c>
      <c r="D109" t="str">
        <f>IFERROR(INDEX(Rosters!$C$2:$C$155,MATCH($C109,Rosters!$B$2:$B$155,0)),"FA")</f>
        <v>FA</v>
      </c>
      <c r="E109" t="str">
        <f>INDEX('ROS Proj'!$B$2:$B$561,$B109)</f>
        <v>RB</v>
      </c>
      <c r="F109" t="str">
        <f>E109&amp;COUNTIF(E$1:E109,E109)</f>
        <v>RB43</v>
      </c>
      <c r="G109">
        <f t="shared" si="16"/>
        <v>0</v>
      </c>
      <c r="H109">
        <f t="shared" si="17"/>
        <v>15</v>
      </c>
      <c r="I109" t="str">
        <f t="shared" si="18"/>
        <v>RB62-180</v>
      </c>
      <c r="J109" t="str">
        <f t="shared" si="19"/>
        <v>RB36-54</v>
      </c>
      <c r="K109" s="2">
        <f>INDEX('ROS Proj'!$T$2:$T$561,$B109)</f>
        <v>5.6812499999999986</v>
      </c>
      <c r="L109" s="23">
        <f>INDEX('ROS Proj'!$AL$2:$AL$561,$B109)</f>
        <v>8</v>
      </c>
      <c r="M109" s="2">
        <f>SQRT(IF(E109="K",SUMIFS('K Proj'!$P$2:$P$508,'K Proj'!$B$2:$B$508,$C109,'K Proj'!$A$2:$A$508,"&gt;"&amp;Week,'K Proj'!$A$2:$A$508,"&lt;=13"),IF(E109="D",SUMIFS('D Proj'!$N$2:$N$513,'D Proj'!$B$2:$B$513,$C109,'D Proj'!$A$2:$A$513,"&gt;"&amp;Week,'D Proj'!$A$2:$A$513,"&lt;=13"),SUMIFS('F Proj'!$J$2:$J$7669,'F Proj'!$B$2:$B$7669,$C109,'F Proj'!$A$2:$A$7669,"&gt;"&amp;Week,'F Proj'!$A$2:$A$7669,"&lt;=13"))))</f>
        <v>12.817367124335638</v>
      </c>
      <c r="N109" s="2">
        <f t="shared" si="20"/>
        <v>2.2560822221052832</v>
      </c>
      <c r="O109" s="2">
        <f t="shared" si="24"/>
        <v>4.0790791094580436</v>
      </c>
      <c r="P109" s="2">
        <f t="shared" si="25"/>
        <v>7.2834208905419535</v>
      </c>
      <c r="Q109" s="2">
        <f>K109-VLOOKUP($E109,Scores!$AG$1:$AM$7,7,FALSE)</f>
        <v>-0.18732142857143064</v>
      </c>
      <c r="R109" s="2">
        <f>O109-VLOOKUP($E109,Scores!$AG$1:$AM$7,7,FALSE)</f>
        <v>-1.7894923191133856</v>
      </c>
      <c r="S109" s="2">
        <f>P109-VLOOKUP($E109,Scores!$AG$1:$AM$7,7,FALSE)</f>
        <v>1.4148494619705243</v>
      </c>
      <c r="T109">
        <f t="shared" si="21"/>
        <v>180</v>
      </c>
      <c r="U109" s="23">
        <f t="shared" si="22"/>
        <v>54</v>
      </c>
      <c r="V109">
        <f t="shared" si="26"/>
        <v>62</v>
      </c>
      <c r="W109">
        <f t="shared" si="27"/>
        <v>36</v>
      </c>
      <c r="X109" t="str">
        <f>D109&amp;COUNTIF(D$1:D109,D109)</f>
        <v>FA8</v>
      </c>
      <c r="Y109" t="str">
        <f>D109&amp;E109&amp;COUNTIFS(D$1:D109,D109,E$1:E109,E109)</f>
        <v>FARB3</v>
      </c>
      <c r="Z109" t="s">
        <v>168</v>
      </c>
      <c r="AA109" t="s">
        <v>131</v>
      </c>
    </row>
    <row r="110" spans="1:27" x14ac:dyDescent="0.25">
      <c r="A110">
        <f t="shared" si="23"/>
        <v>109</v>
      </c>
      <c r="B110">
        <f>MATCH(A110,'ROS Proj'!$AI$2:$AI$561,0)</f>
        <v>539</v>
      </c>
      <c r="C110" t="str">
        <f>INDEX('ROS Proj'!$A$2:$A$561,$B110)</f>
        <v>Chargers D/ST</v>
      </c>
      <c r="D110" t="str">
        <f>IFERROR(INDEX(Rosters!$C$2:$C$155,MATCH($C110,Rosters!$B$2:$B$155,0)),"FA")</f>
        <v>FA</v>
      </c>
      <c r="E110" t="str">
        <f>INDEX('ROS Proj'!$B$2:$B$561,$B110)</f>
        <v>D</v>
      </c>
      <c r="F110" t="str">
        <f>E110&amp;COUNTIF(E$1:E110,E110)</f>
        <v>D3</v>
      </c>
      <c r="G110">
        <f t="shared" si="16"/>
        <v>0</v>
      </c>
      <c r="H110">
        <f t="shared" si="17"/>
        <v>67</v>
      </c>
      <c r="I110" t="str">
        <f t="shared" si="18"/>
        <v>D16-115</v>
      </c>
      <c r="J110" t="str">
        <f t="shared" si="19"/>
        <v>D1-40</v>
      </c>
      <c r="K110" s="2">
        <f>INDEX('ROS Proj'!$T$2:$T$561,$B110)</f>
        <v>7.7771428571428567</v>
      </c>
      <c r="L110" s="23">
        <f>INDEX('ROS Proj'!$AL$2:$AL$561,$B110)</f>
        <v>7</v>
      </c>
      <c r="M110" s="2">
        <f>SQRT(IF(E110="K",SUMIFS('K Proj'!$P$2:$P$508,'K Proj'!$B$2:$B$508,$C110,'K Proj'!$A$2:$A$508,"&gt;"&amp;Week,'K Proj'!$A$2:$A$508,"&lt;=13"),IF(E110="D",SUMIFS('D Proj'!$N$2:$N$513,'D Proj'!$B$2:$B$513,$C110,'D Proj'!$A$2:$A$513,"&gt;"&amp;Week,'D Proj'!$A$2:$A$513,"&lt;=13"),SUMIFS('F Proj'!$J$2:$J$7669,'F Proj'!$B$2:$B$7669,$C110,'F Proj'!$A$2:$A$7669,"&gt;"&amp;Week,'F Proj'!$A$2:$A$7669,"&lt;=13"))))</f>
        <v>15.021621084290471</v>
      </c>
      <c r="N110" s="2">
        <f t="shared" si="20"/>
        <v>1.9315089564664456</v>
      </c>
      <c r="O110" s="2">
        <f t="shared" si="24"/>
        <v>5.6311969879585035</v>
      </c>
      <c r="P110" s="2">
        <f t="shared" si="25"/>
        <v>9.9230887263272098</v>
      </c>
      <c r="Q110" s="2">
        <f>K110-VLOOKUP($E110,Scores!$AG$1:$AM$7,7,FALSE)</f>
        <v>1.6028571428571423</v>
      </c>
      <c r="R110" s="2">
        <f>O110-VLOOKUP($E110,Scores!$AG$1:$AM$7,7,FALSE)</f>
        <v>-0.54308872632721084</v>
      </c>
      <c r="S110" s="2">
        <f>P110-VLOOKUP($E110,Scores!$AG$1:$AM$7,7,FALSE)</f>
        <v>3.7488030120414955</v>
      </c>
      <c r="T110">
        <f t="shared" si="21"/>
        <v>115</v>
      </c>
      <c r="U110" s="23">
        <f t="shared" si="22"/>
        <v>40</v>
      </c>
      <c r="V110">
        <f t="shared" si="26"/>
        <v>16</v>
      </c>
      <c r="W110">
        <f t="shared" si="27"/>
        <v>1</v>
      </c>
      <c r="X110" t="str">
        <f>D110&amp;COUNTIF(D$1:D110,D110)</f>
        <v>FA9</v>
      </c>
      <c r="Y110" t="str">
        <f>D110&amp;E110&amp;COUNTIFS(D$1:D110,D110,E$1:E110,E110)</f>
        <v>FAD1</v>
      </c>
      <c r="Z110" t="s">
        <v>1373</v>
      </c>
      <c r="AA110" t="s">
        <v>421</v>
      </c>
    </row>
    <row r="111" spans="1:27" x14ac:dyDescent="0.25">
      <c r="A111">
        <f t="shared" si="23"/>
        <v>110</v>
      </c>
      <c r="B111">
        <f>MATCH(A111,'ROS Proj'!$AI$2:$AI$561,0)</f>
        <v>194</v>
      </c>
      <c r="C111" t="str">
        <f>INDEX('ROS Proj'!$A$2:$A$561,$B111)</f>
        <v>Giovani Bernard</v>
      </c>
      <c r="D111" t="str">
        <f>IFERROR(INDEX(Rosters!$C$2:$C$155,MATCH($C111,Rosters!$B$2:$B$155,0)),"FA")</f>
        <v>FA</v>
      </c>
      <c r="E111" t="str">
        <f>INDEX('ROS Proj'!$B$2:$B$561,$B111)</f>
        <v>RB</v>
      </c>
      <c r="F111" t="str">
        <f>E111&amp;COUNTIF(E$1:E111,E111)</f>
        <v>RB44</v>
      </c>
      <c r="G111">
        <f t="shared" si="16"/>
        <v>0</v>
      </c>
      <c r="H111">
        <f t="shared" si="17"/>
        <v>-11</v>
      </c>
      <c r="I111" t="str">
        <f t="shared" si="18"/>
        <v>RB59-167</v>
      </c>
      <c r="J111" t="str">
        <f t="shared" si="19"/>
        <v>RB28-49</v>
      </c>
      <c r="K111" s="2">
        <f>INDEX('ROS Proj'!$T$2:$T$561,$B111)</f>
        <v>6.4142857142857137</v>
      </c>
      <c r="L111" s="23">
        <f>INDEX('ROS Proj'!$AL$2:$AL$561,$B111)</f>
        <v>7</v>
      </c>
      <c r="M111" s="2">
        <f>SQRT(IF(E111="K",SUMIFS('K Proj'!$P$2:$P$508,'K Proj'!$B$2:$B$508,$C111,'K Proj'!$A$2:$A$508,"&gt;"&amp;Week,'K Proj'!$A$2:$A$508,"&lt;=13"),IF(E111="D",SUMIFS('D Proj'!$N$2:$N$513,'D Proj'!$B$2:$B$513,$C111,'D Proj'!$A$2:$A$513,"&gt;"&amp;Week,'D Proj'!$A$2:$A$513,"&lt;=13"),SUMIFS('F Proj'!$J$2:$J$7669,'F Proj'!$B$2:$B$7669,$C111,'F Proj'!$A$2:$A$7669,"&gt;"&amp;Week,'F Proj'!$A$2:$A$7669,"&lt;=13"))))</f>
        <v>12.026666204730219</v>
      </c>
      <c r="N111" s="2">
        <f t="shared" si="20"/>
        <v>1.874981368220747</v>
      </c>
      <c r="O111" s="2">
        <f t="shared" si="24"/>
        <v>4.6961905421813972</v>
      </c>
      <c r="P111" s="2">
        <f t="shared" si="25"/>
        <v>8.1323808863900311</v>
      </c>
      <c r="Q111" s="2">
        <f>K111-VLOOKUP($E111,Scores!$AG$1:$AM$7,7,FALSE)</f>
        <v>0.54571428571428449</v>
      </c>
      <c r="R111" s="2">
        <f>O111-VLOOKUP($E111,Scores!$AG$1:$AM$7,7,FALSE)</f>
        <v>-1.172380886390032</v>
      </c>
      <c r="S111" s="2">
        <f>P111-VLOOKUP($E111,Scores!$AG$1:$AM$7,7,FALSE)</f>
        <v>2.2638094578186019</v>
      </c>
      <c r="T111">
        <f t="shared" si="21"/>
        <v>167</v>
      </c>
      <c r="U111" s="23">
        <f t="shared" si="22"/>
        <v>49</v>
      </c>
      <c r="V111">
        <f t="shared" si="26"/>
        <v>59</v>
      </c>
      <c r="W111">
        <f t="shared" si="27"/>
        <v>28</v>
      </c>
      <c r="X111" t="str">
        <f>D111&amp;COUNTIF(D$1:D111,D111)</f>
        <v>FA10</v>
      </c>
      <c r="Y111" t="str">
        <f>D111&amp;E111&amp;COUNTIFS(D$1:D111,D111,E$1:E111,E111)</f>
        <v>FARB4</v>
      </c>
      <c r="Z111" t="s">
        <v>411</v>
      </c>
      <c r="AA111" t="s">
        <v>196</v>
      </c>
    </row>
    <row r="112" spans="1:27" x14ac:dyDescent="0.25">
      <c r="A112">
        <f t="shared" si="23"/>
        <v>111</v>
      </c>
      <c r="B112">
        <f>MATCH(A112,'ROS Proj'!$AI$2:$AI$561,0)</f>
        <v>306</v>
      </c>
      <c r="C112" t="str">
        <f>INDEX('ROS Proj'!$A$2:$A$561,$B112)</f>
        <v>Latavius Murray</v>
      </c>
      <c r="D112" t="str">
        <f>IFERROR(INDEX(Rosters!$C$2:$C$155,MATCH($C112,Rosters!$B$2:$B$155,0)),"FA")</f>
        <v>seth</v>
      </c>
      <c r="E112" t="str">
        <f>INDEX('ROS Proj'!$B$2:$B$561,$B112)</f>
        <v>RB</v>
      </c>
      <c r="F112" t="str">
        <f>E112&amp;COUNTIF(E$1:E112,E112)</f>
        <v>RB45</v>
      </c>
      <c r="G112">
        <f t="shared" si="16"/>
        <v>0</v>
      </c>
      <c r="H112">
        <f t="shared" si="17"/>
        <v>8</v>
      </c>
      <c r="I112" t="str">
        <f t="shared" si="18"/>
        <v>RB59-167</v>
      </c>
      <c r="J112" t="str">
        <f t="shared" si="19"/>
        <v>RB28-49</v>
      </c>
      <c r="K112" s="2">
        <f>INDEX('ROS Proj'!$T$2:$T$561,$B112)</f>
        <v>6.3942857142857141</v>
      </c>
      <c r="L112" s="23">
        <f>INDEX('ROS Proj'!$AL$2:$AL$561,$B112)</f>
        <v>7</v>
      </c>
      <c r="M112" s="2">
        <f>SQRT(IF(E112="K",SUMIFS('K Proj'!$P$2:$P$508,'K Proj'!$B$2:$B$508,$C112,'K Proj'!$A$2:$A$508,"&gt;"&amp;Week,'K Proj'!$A$2:$A$508,"&lt;=13"),IF(E112="D",SUMIFS('D Proj'!$N$2:$N$513,'D Proj'!$B$2:$B$513,$C112,'D Proj'!$A$2:$A$513,"&gt;"&amp;Week,'D Proj'!$A$2:$A$513,"&lt;=13"),SUMIFS('F Proj'!$J$2:$J$7669,'F Proj'!$B$2:$B$7669,$C112,'F Proj'!$A$2:$A$7669,"&gt;"&amp;Week,'F Proj'!$A$2:$A$7669,"&lt;=13"))))</f>
        <v>11.397411986938089</v>
      </c>
      <c r="N112" s="2">
        <f t="shared" si="20"/>
        <v>1.7824370846417923</v>
      </c>
      <c r="O112" s="2">
        <f t="shared" si="24"/>
        <v>4.7660840018659867</v>
      </c>
      <c r="P112" s="2">
        <f t="shared" si="25"/>
        <v>8.0224874267054407</v>
      </c>
      <c r="Q112" s="2">
        <f>K112-VLOOKUP($E112,Scores!$AG$1:$AM$7,7,FALSE)</f>
        <v>0.52571428571428491</v>
      </c>
      <c r="R112" s="2">
        <f>O112-VLOOKUP($E112,Scores!$AG$1:$AM$7,7,FALSE)</f>
        <v>-1.1024874267054425</v>
      </c>
      <c r="S112" s="2">
        <f>P112-VLOOKUP($E112,Scores!$AG$1:$AM$7,7,FALSE)</f>
        <v>2.1539159981340115</v>
      </c>
      <c r="T112">
        <f t="shared" si="21"/>
        <v>167</v>
      </c>
      <c r="U112" s="23">
        <f t="shared" si="22"/>
        <v>49</v>
      </c>
      <c r="V112">
        <f t="shared" si="26"/>
        <v>59</v>
      </c>
      <c r="W112">
        <f t="shared" si="27"/>
        <v>28</v>
      </c>
      <c r="X112" t="str">
        <f>D112&amp;COUNTIF(D$1:D112,D112)</f>
        <v>seth11</v>
      </c>
      <c r="Y112" t="str">
        <f>D112&amp;E112&amp;COUNTIFS(D$1:D112,D112,E$1:E112,E112)</f>
        <v>sethRB5</v>
      </c>
      <c r="Z112" t="s">
        <v>83</v>
      </c>
      <c r="AA112" t="s">
        <v>187</v>
      </c>
    </row>
    <row r="113" spans="1:27" x14ac:dyDescent="0.25">
      <c r="A113">
        <f t="shared" si="23"/>
        <v>112</v>
      </c>
      <c r="B113">
        <f>MATCH(A113,'ROS Proj'!$AI$2:$AI$561,0)</f>
        <v>185</v>
      </c>
      <c r="C113" t="str">
        <f>INDEX('ROS Proj'!$A$2:$A$561,$B113)</f>
        <v>Frank Gore</v>
      </c>
      <c r="D113" t="str">
        <f>IFERROR(INDEX(Rosters!$C$2:$C$155,MATCH($C113,Rosters!$B$2:$B$155,0)),"FA")</f>
        <v>FA</v>
      </c>
      <c r="E113" t="str">
        <f>INDEX('ROS Proj'!$B$2:$B$561,$B113)</f>
        <v>RB</v>
      </c>
      <c r="F113" t="str">
        <f>E113&amp;COUNTIF(E$1:E113,E113)</f>
        <v>RB46</v>
      </c>
      <c r="G113">
        <f t="shared" si="16"/>
        <v>0</v>
      </c>
      <c r="H113">
        <f t="shared" si="17"/>
        <v>-32</v>
      </c>
      <c r="I113" t="str">
        <f t="shared" si="18"/>
        <v>RB60-167</v>
      </c>
      <c r="J113" t="str">
        <f t="shared" si="19"/>
        <v>RB28-49</v>
      </c>
      <c r="K113" s="2">
        <f>INDEX('ROS Proj'!$T$2:$T$561,$B113)</f>
        <v>6.3671428571428574</v>
      </c>
      <c r="L113" s="23">
        <f>INDEX('ROS Proj'!$AL$2:$AL$561,$B113)</f>
        <v>7</v>
      </c>
      <c r="M113" s="2">
        <f>SQRT(IF(E113="K",SUMIFS('K Proj'!$P$2:$P$508,'K Proj'!$B$2:$B$508,$C113,'K Proj'!$A$2:$A$508,"&gt;"&amp;Week,'K Proj'!$A$2:$A$508,"&lt;=13"),IF(E113="D",SUMIFS('D Proj'!$N$2:$N$513,'D Proj'!$B$2:$B$513,$C113,'D Proj'!$A$2:$A$513,"&gt;"&amp;Week,'D Proj'!$A$2:$A$513,"&lt;=13"),SUMIFS('F Proj'!$J$2:$J$7669,'F Proj'!$B$2:$B$7669,$C113,'F Proj'!$A$2:$A$7669,"&gt;"&amp;Week,'F Proj'!$A$2:$A$7669,"&lt;=13"))))</f>
        <v>11.795694129639001</v>
      </c>
      <c r="N113" s="2">
        <f t="shared" si="20"/>
        <v>1.8525882635735473</v>
      </c>
      <c r="O113" s="2">
        <f t="shared" si="24"/>
        <v>4.6820436957658567</v>
      </c>
      <c r="P113" s="2">
        <f t="shared" si="25"/>
        <v>8.0522420185198573</v>
      </c>
      <c r="Q113" s="2">
        <f>K113-VLOOKUP($E113,Scores!$AG$1:$AM$7,7,FALSE)</f>
        <v>0.49857142857142822</v>
      </c>
      <c r="R113" s="2">
        <f>O113-VLOOKUP($E113,Scores!$AG$1:$AM$7,7,FALSE)</f>
        <v>-1.1865277328055726</v>
      </c>
      <c r="S113" s="2">
        <f>P113-VLOOKUP($E113,Scores!$AG$1:$AM$7,7,FALSE)</f>
        <v>2.1836705899484281</v>
      </c>
      <c r="T113">
        <f t="shared" si="21"/>
        <v>167</v>
      </c>
      <c r="U113" s="23">
        <f t="shared" si="22"/>
        <v>49</v>
      </c>
      <c r="V113">
        <f t="shared" si="26"/>
        <v>60</v>
      </c>
      <c r="W113">
        <f t="shared" si="27"/>
        <v>28</v>
      </c>
      <c r="X113" t="str">
        <f>D113&amp;COUNTIF(D$1:D113,D113)</f>
        <v>FA11</v>
      </c>
      <c r="Y113" t="str">
        <f>D113&amp;E113&amp;COUNTIFS(D$1:D113,D113,E$1:E113,E113)</f>
        <v>FARB5</v>
      </c>
      <c r="Z113" t="s">
        <v>1368</v>
      </c>
      <c r="AA113" t="s">
        <v>128</v>
      </c>
    </row>
    <row r="114" spans="1:27" x14ac:dyDescent="0.25">
      <c r="A114">
        <f t="shared" si="23"/>
        <v>113</v>
      </c>
      <c r="B114">
        <f>MATCH(A114,'ROS Proj'!$AI$2:$AI$561,0)</f>
        <v>166</v>
      </c>
      <c r="C114" t="str">
        <f>INDEX('ROS Proj'!$A$2:$A$561,$B114)</f>
        <v>Drew Brees</v>
      </c>
      <c r="D114" t="str">
        <f>IFERROR(INDEX(Rosters!$C$2:$C$155,MATCH($C114,Rosters!$B$2:$B$155,0)),"FA")</f>
        <v>scott</v>
      </c>
      <c r="E114" t="str">
        <f>INDEX('ROS Proj'!$B$2:$B$561,$B114)</f>
        <v>QB</v>
      </c>
      <c r="F114" t="str">
        <f>E114&amp;COUNTIF(E$1:E114,E114)</f>
        <v>QB5</v>
      </c>
      <c r="G114">
        <f t="shared" si="16"/>
        <v>0</v>
      </c>
      <c r="H114">
        <f t="shared" si="17"/>
        <v>-36</v>
      </c>
      <c r="I114" t="str">
        <f t="shared" si="18"/>
        <v>QB13-167</v>
      </c>
      <c r="J114" t="str">
        <f t="shared" si="19"/>
        <v>QB1-23</v>
      </c>
      <c r="K114" s="2">
        <f>INDEX('ROS Proj'!$T$2:$T$561,$B114)</f>
        <v>21.368571428571425</v>
      </c>
      <c r="L114" s="23">
        <f>INDEX('ROS Proj'!$AL$2:$AL$561,$B114)</f>
        <v>7</v>
      </c>
      <c r="M114" s="2">
        <f>SQRT(IF(E114="K",SUMIFS('K Proj'!$P$2:$P$508,'K Proj'!$B$2:$B$508,$C114,'K Proj'!$A$2:$A$508,"&gt;"&amp;Week,'K Proj'!$A$2:$A$508,"&lt;=13"),IF(E114="D",SUMIFS('D Proj'!$N$2:$N$513,'D Proj'!$B$2:$B$513,$C114,'D Proj'!$A$2:$A$513,"&gt;"&amp;Week,'D Proj'!$A$2:$A$513,"&lt;=13"),SUMIFS('F Proj'!$J$2:$J$7669,'F Proj'!$B$2:$B$7669,$C114,'F Proj'!$A$2:$A$7669,"&gt;"&amp;Week,'F Proj'!$A$2:$A$7669,"&lt;=13"))))</f>
        <v>21.136056869719102</v>
      </c>
      <c r="N114" s="2">
        <f t="shared" si="20"/>
        <v>0.98911885337634542</v>
      </c>
      <c r="O114" s="2">
        <f t="shared" si="24"/>
        <v>18.349134732897266</v>
      </c>
      <c r="P114" s="2">
        <f t="shared" si="25"/>
        <v>24.388008124245584</v>
      </c>
      <c r="Q114" s="2">
        <f>K114-VLOOKUP($E114,Scores!$AG$1:$AM$7,7,FALSE)</f>
        <v>1.8685714285714283</v>
      </c>
      <c r="R114" s="2">
        <f>O114-VLOOKUP($E114,Scores!$AG$1:$AM$7,7,FALSE)</f>
        <v>-1.1508652671027306</v>
      </c>
      <c r="S114" s="2">
        <f>P114-VLOOKUP($E114,Scores!$AG$1:$AM$7,7,FALSE)</f>
        <v>4.8880081242455873</v>
      </c>
      <c r="T114">
        <f t="shared" si="21"/>
        <v>167</v>
      </c>
      <c r="U114" s="23">
        <f t="shared" si="22"/>
        <v>23</v>
      </c>
      <c r="V114">
        <f t="shared" si="26"/>
        <v>13</v>
      </c>
      <c r="W114">
        <f t="shared" si="27"/>
        <v>1</v>
      </c>
      <c r="X114" t="str">
        <f>D114&amp;COUNTIF(D$1:D114,D114)</f>
        <v>scott9</v>
      </c>
      <c r="Y114" t="str">
        <f>D114&amp;E114&amp;COUNTIFS(D$1:D114,D114,E$1:E114,E114)</f>
        <v>scottQB1</v>
      </c>
      <c r="Z114" t="s">
        <v>101</v>
      </c>
      <c r="AA114" t="s">
        <v>21</v>
      </c>
    </row>
    <row r="115" spans="1:27" x14ac:dyDescent="0.25">
      <c r="A115">
        <f t="shared" si="23"/>
        <v>114</v>
      </c>
      <c r="B115">
        <f>MATCH(A115,'ROS Proj'!$AI$2:$AI$561,0)</f>
        <v>469</v>
      </c>
      <c r="C115" t="str">
        <f>INDEX('ROS Proj'!$A$2:$A$561,$B115)</f>
        <v>Trey Burton</v>
      </c>
      <c r="D115" t="str">
        <f>IFERROR(INDEX(Rosters!$C$2:$C$155,MATCH($C115,Rosters!$B$2:$B$155,0)),"FA")</f>
        <v>comp</v>
      </c>
      <c r="E115" t="str">
        <f>INDEX('ROS Proj'!$B$2:$B$561,$B115)</f>
        <v>TE</v>
      </c>
      <c r="F115" t="str">
        <f>E115&amp;COUNTIF(E$1:E115,E115)</f>
        <v>TE9</v>
      </c>
      <c r="G115">
        <f t="shared" si="16"/>
        <v>0</v>
      </c>
      <c r="H115">
        <f t="shared" si="17"/>
        <v>61</v>
      </c>
      <c r="I115" t="str">
        <f t="shared" si="18"/>
        <v>TE18-167</v>
      </c>
      <c r="J115" t="str">
        <f t="shared" si="19"/>
        <v>TE6-54</v>
      </c>
      <c r="K115" s="2">
        <f>INDEX('ROS Proj'!$T$2:$T$561,$B115)</f>
        <v>5.2237500000000008</v>
      </c>
      <c r="L115" s="23">
        <f>INDEX('ROS Proj'!$AL$2:$AL$561,$B115)</f>
        <v>8</v>
      </c>
      <c r="M115" s="2">
        <f>SQRT(IF(E115="K",SUMIFS('K Proj'!$P$2:$P$508,'K Proj'!$B$2:$B$508,$C115,'K Proj'!$A$2:$A$508,"&gt;"&amp;Week,'K Proj'!$A$2:$A$508,"&lt;=13"),IF(E115="D",SUMIFS('D Proj'!$N$2:$N$513,'D Proj'!$B$2:$B$513,$C115,'D Proj'!$A$2:$A$513,"&gt;"&amp;Week,'D Proj'!$A$2:$A$513,"&lt;=13"),SUMIFS('F Proj'!$J$2:$J$7669,'F Proj'!$B$2:$B$7669,$C115,'F Proj'!$A$2:$A$7669,"&gt;"&amp;Week,'F Proj'!$A$2:$A$7669,"&lt;=13"))))</f>
        <v>11.60905250225013</v>
      </c>
      <c r="N115" s="2">
        <f t="shared" si="20"/>
        <v>2.2223598951424028</v>
      </c>
      <c r="O115" s="2">
        <f t="shared" si="24"/>
        <v>3.7726184372187346</v>
      </c>
      <c r="P115" s="2">
        <f t="shared" si="25"/>
        <v>6.674881562781267</v>
      </c>
      <c r="Q115" s="2">
        <f>K115-VLOOKUP($E115,Scores!$AG$1:$AM$7,7,FALSE)</f>
        <v>4.3750000000001066E-2</v>
      </c>
      <c r="R115" s="2">
        <f>O115-VLOOKUP($E115,Scores!$AG$1:$AM$7,7,FALSE)</f>
        <v>-1.4073815627812651</v>
      </c>
      <c r="S115" s="2">
        <f>P115-VLOOKUP($E115,Scores!$AG$1:$AM$7,7,FALSE)</f>
        <v>1.4948815627812673</v>
      </c>
      <c r="T115">
        <f t="shared" si="21"/>
        <v>167</v>
      </c>
      <c r="U115" s="23">
        <f t="shared" si="22"/>
        <v>54</v>
      </c>
      <c r="V115">
        <f t="shared" si="26"/>
        <v>18</v>
      </c>
      <c r="W115">
        <f t="shared" si="27"/>
        <v>6</v>
      </c>
      <c r="X115" t="str">
        <f>D115&amp;COUNTIF(D$1:D115,D115)</f>
        <v>comp10</v>
      </c>
      <c r="Y115" t="str">
        <f>D115&amp;E115&amp;COUNTIFS(D$1:D115,D115,E$1:E115,E115)</f>
        <v>compTE1</v>
      </c>
      <c r="Z115" t="s">
        <v>203</v>
      </c>
      <c r="AA115" t="s">
        <v>313</v>
      </c>
    </row>
    <row r="116" spans="1:27" x14ac:dyDescent="0.25">
      <c r="A116">
        <f t="shared" si="23"/>
        <v>115</v>
      </c>
      <c r="B116">
        <f>MATCH(A116,'ROS Proj'!$AI$2:$AI$561,0)</f>
        <v>449</v>
      </c>
      <c r="C116" t="str">
        <f>INDEX('ROS Proj'!$A$2:$A$561,$B116)</f>
        <v>Ted Ginn Jr.</v>
      </c>
      <c r="D116" t="str">
        <f>IFERROR(INDEX(Rosters!$C$2:$C$155,MATCH($C116,Rosters!$B$2:$B$155,0)),"FA")</f>
        <v>FA</v>
      </c>
      <c r="E116" t="str">
        <f>INDEX('ROS Proj'!$B$2:$B$561,$B116)</f>
        <v>WR</v>
      </c>
      <c r="F116" t="str">
        <f>E116&amp;COUNTIF(E$1:E116,E116)</f>
        <v>WR52</v>
      </c>
      <c r="G116">
        <f t="shared" si="16"/>
        <v>0</v>
      </c>
      <c r="H116">
        <f t="shared" si="17"/>
        <v>-7</v>
      </c>
      <c r="I116" t="str">
        <f t="shared" si="18"/>
        <v>WR69-167</v>
      </c>
      <c r="J116" t="str">
        <f t="shared" si="19"/>
        <v>WR40-54</v>
      </c>
      <c r="K116" s="2">
        <f>INDEX('ROS Proj'!$T$2:$T$561,$B116)</f>
        <v>6.2257142857142851</v>
      </c>
      <c r="L116" s="23">
        <f>INDEX('ROS Proj'!$AL$2:$AL$561,$B116)</f>
        <v>7</v>
      </c>
      <c r="M116" s="2">
        <f>SQRT(IF(E116="K",SUMIFS('K Proj'!$P$2:$P$508,'K Proj'!$B$2:$B$508,$C116,'K Proj'!$A$2:$A$508,"&gt;"&amp;Week,'K Proj'!$A$2:$A$508,"&lt;=13"),IF(E116="D",SUMIFS('D Proj'!$N$2:$N$513,'D Proj'!$B$2:$B$513,$C116,'D Proj'!$A$2:$A$513,"&gt;"&amp;Week,'D Proj'!$A$2:$A$513,"&lt;=13"),SUMIFS('F Proj'!$J$2:$J$7669,'F Proj'!$B$2:$B$7669,$C116,'F Proj'!$A$2:$A$7669,"&gt;"&amp;Week,'F Proj'!$A$2:$A$7669,"&lt;=13"))))</f>
        <v>11.730724615299772</v>
      </c>
      <c r="N116" s="2">
        <f t="shared" si="20"/>
        <v>1.884237547202809</v>
      </c>
      <c r="O116" s="2">
        <f t="shared" si="24"/>
        <v>4.5498964835286042</v>
      </c>
      <c r="P116" s="2">
        <f t="shared" si="25"/>
        <v>7.9015320878999669</v>
      </c>
      <c r="Q116" s="2">
        <f>K116-VLOOKUP($E116,Scores!$AG$1:$AM$7,7,FALSE)</f>
        <v>0.1728571428571426</v>
      </c>
      <c r="R116" s="2">
        <f>O116-VLOOKUP($E116,Scores!$AG$1:$AM$7,7,FALSE)</f>
        <v>-1.5029606593285383</v>
      </c>
      <c r="S116" s="2">
        <f>P116-VLOOKUP($E116,Scores!$AG$1:$AM$7,7,FALSE)</f>
        <v>1.8486749450428244</v>
      </c>
      <c r="T116">
        <f t="shared" si="21"/>
        <v>167</v>
      </c>
      <c r="U116" s="23">
        <f t="shared" si="22"/>
        <v>54</v>
      </c>
      <c r="V116">
        <f t="shared" si="26"/>
        <v>69</v>
      </c>
      <c r="W116">
        <f t="shared" si="27"/>
        <v>40</v>
      </c>
      <c r="X116" t="str">
        <f>D116&amp;COUNTIF(D$1:D116,D116)</f>
        <v>FA12</v>
      </c>
      <c r="Y116" t="str">
        <f>D116&amp;E116&amp;COUNTIFS(D$1:D116,D116,E$1:E116,E116)</f>
        <v>FAWR4</v>
      </c>
      <c r="Z116" t="s">
        <v>419</v>
      </c>
      <c r="AA116" t="s">
        <v>168</v>
      </c>
    </row>
    <row r="117" spans="1:27" x14ac:dyDescent="0.25">
      <c r="A117">
        <f t="shared" si="23"/>
        <v>116</v>
      </c>
      <c r="B117">
        <f>MATCH(A117,'ROS Proj'!$AI$2:$AI$561,0)</f>
        <v>381</v>
      </c>
      <c r="C117" t="str">
        <f>INDEX('ROS Proj'!$A$2:$A$561,$B117)</f>
        <v>Paul Richardson</v>
      </c>
      <c r="D117" t="str">
        <f>IFERROR(INDEX(Rosters!$C$2:$C$155,MATCH($C117,Rosters!$B$2:$B$155,0)),"FA")</f>
        <v>FA</v>
      </c>
      <c r="E117" t="str">
        <f>INDEX('ROS Proj'!$B$2:$B$561,$B117)</f>
        <v>WR</v>
      </c>
      <c r="F117" t="str">
        <f>E117&amp;COUNTIF(E$1:E117,E117)</f>
        <v>WR53</v>
      </c>
      <c r="G117">
        <f t="shared" si="16"/>
        <v>0</v>
      </c>
      <c r="H117">
        <f t="shared" si="17"/>
        <v>-22</v>
      </c>
      <c r="I117" t="str">
        <f t="shared" si="18"/>
        <v>WR72-200</v>
      </c>
      <c r="J117" t="str">
        <f t="shared" si="19"/>
        <v>WR46-78</v>
      </c>
      <c r="K117" s="2">
        <f>INDEX('ROS Proj'!$T$2:$T$561,$B117)</f>
        <v>5.4362500000000002</v>
      </c>
      <c r="L117" s="23">
        <f>INDEX('ROS Proj'!$AL$2:$AL$561,$B117)</f>
        <v>8</v>
      </c>
      <c r="M117" s="2">
        <f>SQRT(IF(E117="K",SUMIFS('K Proj'!$P$2:$P$508,'K Proj'!$B$2:$B$508,$C117,'K Proj'!$A$2:$A$508,"&gt;"&amp;Week,'K Proj'!$A$2:$A$508,"&lt;=13"),IF(E117="D",SUMIFS('D Proj'!$N$2:$N$513,'D Proj'!$B$2:$B$513,$C117,'D Proj'!$A$2:$A$513,"&gt;"&amp;Week,'D Proj'!$A$2:$A$513,"&lt;=13"),SUMIFS('F Proj'!$J$2:$J$7669,'F Proj'!$B$2:$B$7669,$C117,'F Proj'!$A$2:$A$7669,"&gt;"&amp;Week,'F Proj'!$A$2:$A$7669,"&lt;=13"))))</f>
        <v>12.733550172673763</v>
      </c>
      <c r="N117" s="2">
        <f t="shared" si="20"/>
        <v>2.3423407997560379</v>
      </c>
      <c r="O117" s="2">
        <f t="shared" si="24"/>
        <v>3.8445562284157799</v>
      </c>
      <c r="P117" s="2">
        <f t="shared" si="25"/>
        <v>7.027943771584221</v>
      </c>
      <c r="Q117" s="2">
        <f>K117-VLOOKUP($E117,Scores!$AG$1:$AM$7,7,FALSE)</f>
        <v>-0.61660714285714224</v>
      </c>
      <c r="R117" s="2">
        <f>O117-VLOOKUP($E117,Scores!$AG$1:$AM$7,7,FALSE)</f>
        <v>-2.2083009144413626</v>
      </c>
      <c r="S117" s="2">
        <f>P117-VLOOKUP($E117,Scores!$AG$1:$AM$7,7,FALSE)</f>
        <v>0.97508662872707852</v>
      </c>
      <c r="T117">
        <f t="shared" si="21"/>
        <v>200</v>
      </c>
      <c r="U117" s="23">
        <f t="shared" si="22"/>
        <v>78</v>
      </c>
      <c r="V117">
        <f t="shared" si="26"/>
        <v>72</v>
      </c>
      <c r="W117">
        <f t="shared" si="27"/>
        <v>46</v>
      </c>
      <c r="X117" t="str">
        <f>D117&amp;COUNTIF(D$1:D117,D117)</f>
        <v>FA13</v>
      </c>
      <c r="Y117" t="str">
        <f>D117&amp;E117&amp;COUNTIFS(D$1:D117,D117,E$1:E117,E117)</f>
        <v>FAWR5</v>
      </c>
      <c r="Z117" t="s">
        <v>449</v>
      </c>
      <c r="AA117" t="s">
        <v>223</v>
      </c>
    </row>
    <row r="118" spans="1:27" x14ac:dyDescent="0.25">
      <c r="A118">
        <f t="shared" si="23"/>
        <v>117</v>
      </c>
      <c r="B118">
        <f>MATCH(A118,'ROS Proj'!$AI$2:$AI$561,0)</f>
        <v>540</v>
      </c>
      <c r="C118" t="str">
        <f>INDEX('ROS Proj'!$A$2:$A$561,$B118)</f>
        <v>Bears D/ST</v>
      </c>
      <c r="D118" t="str">
        <f>IFERROR(INDEX(Rosters!$C$2:$C$155,MATCH($C118,Rosters!$B$2:$B$155,0)),"FA")</f>
        <v>lucas</v>
      </c>
      <c r="E118" t="str">
        <f>INDEX('ROS Proj'!$B$2:$B$561,$B118)</f>
        <v>D</v>
      </c>
      <c r="F118" t="str">
        <f>E118&amp;COUNTIF(E$1:E118,E118)</f>
        <v>D4</v>
      </c>
      <c r="G118">
        <f t="shared" si="16"/>
        <v>0</v>
      </c>
      <c r="H118">
        <f t="shared" si="17"/>
        <v>5</v>
      </c>
      <c r="I118" t="str">
        <f t="shared" si="18"/>
        <v>D16-167</v>
      </c>
      <c r="J118" t="str">
        <f t="shared" si="19"/>
        <v>D1-42</v>
      </c>
      <c r="K118" s="2">
        <f>INDEX('ROS Proj'!$T$2:$T$561,$B118)</f>
        <v>6.5887499999999992</v>
      </c>
      <c r="L118" s="23">
        <f>INDEX('ROS Proj'!$AL$2:$AL$561,$B118)</f>
        <v>8</v>
      </c>
      <c r="M118" s="2">
        <f>SQRT(IF(E118="K",SUMIFS('K Proj'!$P$2:$P$508,'K Proj'!$B$2:$B$508,$C118,'K Proj'!$A$2:$A$508,"&gt;"&amp;Week,'K Proj'!$A$2:$A$508,"&lt;=13"),IF(E118="D",SUMIFS('D Proj'!$N$2:$N$513,'D Proj'!$B$2:$B$513,$C118,'D Proj'!$A$2:$A$513,"&gt;"&amp;Week,'D Proj'!$A$2:$A$513,"&lt;=13"),SUMIFS('F Proj'!$J$2:$J$7669,'F Proj'!$B$2:$B$7669,$C118,'F Proj'!$A$2:$A$7669,"&gt;"&amp;Week,'F Proj'!$A$2:$A$7669,"&lt;=13"))))</f>
        <v>16.017059655255082</v>
      </c>
      <c r="N118" s="2">
        <f t="shared" si="20"/>
        <v>2.4309709209265922</v>
      </c>
      <c r="O118" s="2">
        <f t="shared" si="24"/>
        <v>4.586617543093114</v>
      </c>
      <c r="P118" s="2">
        <f t="shared" si="25"/>
        <v>8.5908824569068845</v>
      </c>
      <c r="Q118" s="2">
        <f>K118-VLOOKUP($E118,Scores!$AG$1:$AM$7,7,FALSE)</f>
        <v>0.41446428571428484</v>
      </c>
      <c r="R118" s="2">
        <f>O118-VLOOKUP($E118,Scores!$AG$1:$AM$7,7,FALSE)</f>
        <v>-1.5876681711926004</v>
      </c>
      <c r="S118" s="2">
        <f>P118-VLOOKUP($E118,Scores!$AG$1:$AM$7,7,FALSE)</f>
        <v>2.4165967426211701</v>
      </c>
      <c r="T118">
        <f t="shared" si="21"/>
        <v>167</v>
      </c>
      <c r="U118" s="23">
        <f t="shared" si="22"/>
        <v>42</v>
      </c>
      <c r="V118">
        <f t="shared" si="26"/>
        <v>16</v>
      </c>
      <c r="W118">
        <f t="shared" si="27"/>
        <v>1</v>
      </c>
      <c r="X118" t="str">
        <f>D118&amp;COUNTIF(D$1:D118,D118)</f>
        <v>lucas11</v>
      </c>
      <c r="Y118" t="str">
        <f>D118&amp;E118&amp;COUNTIFS(D$1:D118,D118,E$1:E118,E118)</f>
        <v>lucasD1</v>
      </c>
      <c r="Z118" t="s">
        <v>456</v>
      </c>
      <c r="AA118" t="s">
        <v>416</v>
      </c>
    </row>
    <row r="119" spans="1:27" x14ac:dyDescent="0.25">
      <c r="A119">
        <f t="shared" si="23"/>
        <v>118</v>
      </c>
      <c r="B119">
        <f>MATCH(A119,'ROS Proj'!$AI$2:$AI$561,0)</f>
        <v>190</v>
      </c>
      <c r="C119" t="str">
        <f>INDEX('ROS Proj'!$A$2:$A$561,$B119)</f>
        <v>George Kittle</v>
      </c>
      <c r="D119" t="str">
        <f>IFERROR(INDEX(Rosters!$C$2:$C$155,MATCH($C119,Rosters!$B$2:$B$155,0)),"FA")</f>
        <v>scott</v>
      </c>
      <c r="E119" t="str">
        <f>INDEX('ROS Proj'!$B$2:$B$561,$B119)</f>
        <v>TE</v>
      </c>
      <c r="F119" t="str">
        <f>E119&amp;COUNTIF(E$1:E119,E119)</f>
        <v>TE10</v>
      </c>
      <c r="G119">
        <f t="shared" si="16"/>
        <v>0</v>
      </c>
      <c r="H119">
        <f t="shared" si="17"/>
        <v>14</v>
      </c>
      <c r="I119" t="str">
        <f t="shared" si="18"/>
        <v>TE17-136</v>
      </c>
      <c r="J119" t="str">
        <f t="shared" si="19"/>
        <v>TE5-49</v>
      </c>
      <c r="K119" s="2">
        <f>INDEX('ROS Proj'!$T$2:$T$561,$B119)</f>
        <v>5.8771428571428572</v>
      </c>
      <c r="L119" s="23">
        <f>INDEX('ROS Proj'!$AL$2:$AL$561,$B119)</f>
        <v>7</v>
      </c>
      <c r="M119" s="2">
        <f>SQRT(IF(E119="K",SUMIFS('K Proj'!$P$2:$P$508,'K Proj'!$B$2:$B$508,$C119,'K Proj'!$A$2:$A$508,"&gt;"&amp;Week,'K Proj'!$A$2:$A$508,"&lt;=13"),IF(E119="D",SUMIFS('D Proj'!$N$2:$N$513,'D Proj'!$B$2:$B$513,$C119,'D Proj'!$A$2:$A$513,"&gt;"&amp;Week,'D Proj'!$A$2:$A$513,"&lt;=13"),SUMIFS('F Proj'!$J$2:$J$7669,'F Proj'!$B$2:$B$7669,$C119,'F Proj'!$A$2:$A$7669,"&gt;"&amp;Week,'F Proj'!$A$2:$A$7669,"&lt;=13"))))</f>
        <v>10.445812558149797</v>
      </c>
      <c r="N119" s="2">
        <f t="shared" si="20"/>
        <v>1.7773623701275785</v>
      </c>
      <c r="O119" s="2">
        <f t="shared" si="24"/>
        <v>4.3848839202643148</v>
      </c>
      <c r="P119" s="2">
        <f t="shared" si="25"/>
        <v>7.3694017940213996</v>
      </c>
      <c r="Q119" s="2">
        <f>K119-VLOOKUP($E119,Scores!$AG$1:$AM$7,7,FALSE)</f>
        <v>0.69714285714285751</v>
      </c>
      <c r="R119" s="2">
        <f>O119-VLOOKUP($E119,Scores!$AG$1:$AM$7,7,FALSE)</f>
        <v>-0.79511607973568488</v>
      </c>
      <c r="S119" s="2">
        <f>P119-VLOOKUP($E119,Scores!$AG$1:$AM$7,7,FALSE)</f>
        <v>2.1894017940213999</v>
      </c>
      <c r="T119">
        <f t="shared" si="21"/>
        <v>136</v>
      </c>
      <c r="U119" s="23">
        <f t="shared" si="22"/>
        <v>49</v>
      </c>
      <c r="V119">
        <f t="shared" si="26"/>
        <v>17</v>
      </c>
      <c r="W119">
        <f t="shared" si="27"/>
        <v>5</v>
      </c>
      <c r="X119" t="str">
        <f>D119&amp;COUNTIF(D$1:D119,D119)</f>
        <v>scott10</v>
      </c>
      <c r="Y119" t="str">
        <f>D119&amp;E119&amp;COUNTIFS(D$1:D119,D119,E$1:E119,E119)</f>
        <v>scottTE1</v>
      </c>
      <c r="Z119" t="s">
        <v>159</v>
      </c>
      <c r="AA119" t="s">
        <v>264</v>
      </c>
    </row>
    <row r="120" spans="1:27" x14ac:dyDescent="0.25">
      <c r="A120">
        <f t="shared" si="23"/>
        <v>119</v>
      </c>
      <c r="B120">
        <f>MATCH(A120,'ROS Proj'!$AI$2:$AI$561,0)</f>
        <v>497</v>
      </c>
      <c r="C120" t="str">
        <f>INDEX('ROS Proj'!$A$2:$A$561,$B120)</f>
        <v>Matt Bryant</v>
      </c>
      <c r="D120" t="str">
        <f>IFERROR(INDEX(Rosters!$C$2:$C$155,MATCH($C120,Rosters!$B$2:$B$155,0)),"FA")</f>
        <v>lucas</v>
      </c>
      <c r="E120" t="str">
        <f>INDEX('ROS Proj'!$B$2:$B$561,$B120)</f>
        <v>K</v>
      </c>
      <c r="F120" t="str">
        <f>E120&amp;COUNTIF(E$1:E120,E120)</f>
        <v>K1</v>
      </c>
      <c r="G120">
        <f t="shared" si="16"/>
        <v>0</v>
      </c>
      <c r="H120">
        <f t="shared" si="17"/>
        <v>-3</v>
      </c>
      <c r="I120" t="str">
        <f t="shared" si="18"/>
        <v>K13-115</v>
      </c>
      <c r="J120" t="str">
        <f t="shared" si="19"/>
        <v>K1-42</v>
      </c>
      <c r="K120" s="2">
        <f>INDEX('ROS Proj'!$T$2:$T$561,$B120)</f>
        <v>8.4971428571428564</v>
      </c>
      <c r="L120" s="23">
        <f>INDEX('ROS Proj'!$AL$2:$AL$561,$B120)</f>
        <v>7</v>
      </c>
      <c r="M120" s="2">
        <f>SQRT(IF(E120="K",SUMIFS('K Proj'!$P$2:$P$508,'K Proj'!$B$2:$B$508,$C120,'K Proj'!$A$2:$A$508,"&gt;"&amp;Week,'K Proj'!$A$2:$A$508,"&lt;=13"),IF(E120="D",SUMIFS('D Proj'!$N$2:$N$513,'D Proj'!$B$2:$B$513,$C120,'D Proj'!$A$2:$A$513,"&gt;"&amp;Week,'D Proj'!$A$2:$A$513,"&lt;=13"),SUMIFS('F Proj'!$J$2:$J$7669,'F Proj'!$B$2:$B$7669,$C120,'F Proj'!$A$2:$A$7669,"&gt;"&amp;Week,'F Proj'!$A$2:$A$7669,"&lt;=13"))))</f>
        <v>9.7597643414172648</v>
      </c>
      <c r="N120" s="2">
        <f t="shared" si="20"/>
        <v>1.1485936514781583</v>
      </c>
      <c r="O120" s="2">
        <f t="shared" si="24"/>
        <v>7.1028908083689615</v>
      </c>
      <c r="P120" s="2">
        <f t="shared" si="25"/>
        <v>9.8913949059167514</v>
      </c>
      <c r="Q120" s="2">
        <f>K120-VLOOKUP($E120,Scores!$AG$1:$AM$7,7,FALSE)</f>
        <v>1.0757142857142847</v>
      </c>
      <c r="R120" s="2">
        <f>O120-VLOOKUP($E120,Scores!$AG$1:$AM$7,7,FALSE)</f>
        <v>-0.31853776305961023</v>
      </c>
      <c r="S120" s="2">
        <f>P120-VLOOKUP($E120,Scores!$AG$1:$AM$7,7,FALSE)</f>
        <v>2.4699663344881797</v>
      </c>
      <c r="T120">
        <f t="shared" si="21"/>
        <v>115</v>
      </c>
      <c r="U120" s="23">
        <f t="shared" si="22"/>
        <v>42</v>
      </c>
      <c r="V120">
        <f t="shared" si="26"/>
        <v>13</v>
      </c>
      <c r="W120">
        <f t="shared" si="27"/>
        <v>1</v>
      </c>
      <c r="X120" t="str">
        <f>D120&amp;COUNTIF(D$1:D120,D120)</f>
        <v>lucas12</v>
      </c>
      <c r="Y120" t="str">
        <f>D120&amp;E120&amp;COUNTIFS(D$1:D120,D120,E$1:E120,E120)</f>
        <v>lucasK1</v>
      </c>
      <c r="Z120" t="s">
        <v>187</v>
      </c>
      <c r="AA120" t="s">
        <v>449</v>
      </c>
    </row>
    <row r="121" spans="1:27" x14ac:dyDescent="0.25">
      <c r="A121">
        <f t="shared" si="23"/>
        <v>120</v>
      </c>
      <c r="B121">
        <f>MATCH(A121,'ROS Proj'!$AI$2:$AI$561,0)</f>
        <v>509</v>
      </c>
      <c r="C121" t="str">
        <f>INDEX('ROS Proj'!$A$2:$A$561,$B121)</f>
        <v>Cody Parkey</v>
      </c>
      <c r="D121" t="str">
        <f>IFERROR(INDEX(Rosters!$C$2:$C$155,MATCH($C121,Rosters!$B$2:$B$155,0)),"FA")</f>
        <v>FA</v>
      </c>
      <c r="E121" t="str">
        <f>INDEX('ROS Proj'!$B$2:$B$561,$B121)</f>
        <v>K</v>
      </c>
      <c r="F121" t="str">
        <f>E121&amp;COUNTIF(E$1:E121,E121)</f>
        <v>K2</v>
      </c>
      <c r="G121">
        <f t="shared" si="16"/>
        <v>0</v>
      </c>
      <c r="H121">
        <f t="shared" si="17"/>
        <v>81</v>
      </c>
      <c r="I121" t="str">
        <f t="shared" si="18"/>
        <v>K18-167</v>
      </c>
      <c r="J121" t="str">
        <f t="shared" si="19"/>
        <v>K1-54</v>
      </c>
      <c r="K121" s="2">
        <f>INDEX('ROS Proj'!$T$2:$T$561,$B121)</f>
        <v>7.43</v>
      </c>
      <c r="L121" s="23">
        <f>INDEX('ROS Proj'!$AL$2:$AL$561,$B121)</f>
        <v>8</v>
      </c>
      <c r="M121" s="2">
        <f>SQRT(IF(E121="K",SUMIFS('K Proj'!$P$2:$P$508,'K Proj'!$B$2:$B$508,$C121,'K Proj'!$A$2:$A$508,"&gt;"&amp;Week,'K Proj'!$A$2:$A$508,"&lt;=13"),IF(E121="D",SUMIFS('D Proj'!$N$2:$N$513,'D Proj'!$B$2:$B$513,$C121,'D Proj'!$A$2:$A$513,"&gt;"&amp;Week,'D Proj'!$A$2:$A$513,"&lt;=13"),SUMIFS('F Proj'!$J$2:$J$7669,'F Proj'!$B$2:$B$7669,$C121,'F Proj'!$A$2:$A$7669,"&gt;"&amp;Week,'F Proj'!$A$2:$A$7669,"&lt;=13"))))</f>
        <v>11.191259982682915</v>
      </c>
      <c r="N121" s="2">
        <f t="shared" si="20"/>
        <v>1.506226108032694</v>
      </c>
      <c r="O121" s="2">
        <f t="shared" si="24"/>
        <v>6.0310925021646353</v>
      </c>
      <c r="P121" s="2">
        <f t="shared" si="25"/>
        <v>8.8289074978353632</v>
      </c>
      <c r="Q121" s="2">
        <f>K121-VLOOKUP($E121,Scores!$AG$1:$AM$7,7,FALSE)</f>
        <v>8.5714285714280081E-3</v>
      </c>
      <c r="R121" s="2">
        <f>O121-VLOOKUP($E121,Scores!$AG$1:$AM$7,7,FALSE)</f>
        <v>-1.3903360692639364</v>
      </c>
      <c r="S121" s="2">
        <f>P121-VLOOKUP($E121,Scores!$AG$1:$AM$7,7,FALSE)</f>
        <v>1.4074789264067915</v>
      </c>
      <c r="T121">
        <f t="shared" si="21"/>
        <v>167</v>
      </c>
      <c r="U121" s="23">
        <f t="shared" si="22"/>
        <v>54</v>
      </c>
      <c r="V121">
        <f t="shared" si="26"/>
        <v>18</v>
      </c>
      <c r="W121">
        <f t="shared" si="27"/>
        <v>1</v>
      </c>
      <c r="X121" t="str">
        <f>D121&amp;COUNTIF(D$1:D121,D121)</f>
        <v>FA14</v>
      </c>
      <c r="Y121" t="str">
        <f>D121&amp;E121&amp;COUNTIFS(D$1:D121,D121,E$1:E121,E121)</f>
        <v>FAK1</v>
      </c>
      <c r="Z121" t="s">
        <v>183</v>
      </c>
      <c r="AA121" t="s">
        <v>459</v>
      </c>
    </row>
    <row r="122" spans="1:27" x14ac:dyDescent="0.25">
      <c r="A122">
        <f t="shared" si="23"/>
        <v>121</v>
      </c>
      <c r="B122">
        <f>MATCH(A122,'ROS Proj'!$AI$2:$AI$561,0)</f>
        <v>387</v>
      </c>
      <c r="C122" t="str">
        <f>INDEX('ROS Proj'!$A$2:$A$561,$B122)</f>
        <v>Pierre Garcon</v>
      </c>
      <c r="D122" t="str">
        <f>IFERROR(INDEX(Rosters!$C$2:$C$155,MATCH($C122,Rosters!$B$2:$B$155,0)),"FA")</f>
        <v>FA</v>
      </c>
      <c r="E122" t="str">
        <f>INDEX('ROS Proj'!$B$2:$B$561,$B122)</f>
        <v>WR</v>
      </c>
      <c r="F122" t="str">
        <f>E122&amp;COUNTIF(E$1:E122,E122)</f>
        <v>WR54</v>
      </c>
      <c r="G122">
        <f t="shared" si="16"/>
        <v>0</v>
      </c>
      <c r="H122">
        <f t="shared" si="17"/>
        <v>35</v>
      </c>
      <c r="I122" t="str">
        <f t="shared" si="18"/>
        <v>WR70-180</v>
      </c>
      <c r="J122" t="str">
        <f t="shared" si="19"/>
        <v>WR35-49</v>
      </c>
      <c r="K122" s="2">
        <f>INDEX('ROS Proj'!$T$2:$T$561,$B122)</f>
        <v>6.1414285714285715</v>
      </c>
      <c r="L122" s="23">
        <f>INDEX('ROS Proj'!$AL$2:$AL$561,$B122)</f>
        <v>7</v>
      </c>
      <c r="M122" s="2">
        <f>SQRT(IF(E122="K",SUMIFS('K Proj'!$P$2:$P$508,'K Proj'!$B$2:$B$508,$C122,'K Proj'!$A$2:$A$508,"&gt;"&amp;Week,'K Proj'!$A$2:$A$508,"&lt;=13"),IF(E122="D",SUMIFS('D Proj'!$N$2:$N$513,'D Proj'!$B$2:$B$513,$C122,'D Proj'!$A$2:$A$513,"&gt;"&amp;Week,'D Proj'!$A$2:$A$513,"&lt;=13"),SUMIFS('F Proj'!$J$2:$J$7669,'F Proj'!$B$2:$B$7669,$C122,'F Proj'!$A$2:$A$7669,"&gt;"&amp;Week,'F Proj'!$A$2:$A$7669,"&lt;=13"))))</f>
        <v>13.564527267840926</v>
      </c>
      <c r="N122" s="2">
        <f t="shared" si="20"/>
        <v>2.2086925069757264</v>
      </c>
      <c r="O122" s="2">
        <f t="shared" si="24"/>
        <v>4.2036389617370107</v>
      </c>
      <c r="P122" s="2">
        <f t="shared" si="25"/>
        <v>8.0792181811201313</v>
      </c>
      <c r="Q122" s="2">
        <f>K122-VLOOKUP($E122,Scores!$AG$1:$AM$7,7,FALSE)</f>
        <v>8.8571428571428967E-2</v>
      </c>
      <c r="R122" s="2">
        <f>O122-VLOOKUP($E122,Scores!$AG$1:$AM$7,7,FALSE)</f>
        <v>-1.8492181811201318</v>
      </c>
      <c r="S122" s="2">
        <f>P122-VLOOKUP($E122,Scores!$AG$1:$AM$7,7,FALSE)</f>
        <v>2.0263610382629889</v>
      </c>
      <c r="T122">
        <f t="shared" si="21"/>
        <v>180</v>
      </c>
      <c r="U122" s="23">
        <f t="shared" si="22"/>
        <v>49</v>
      </c>
      <c r="V122">
        <f t="shared" si="26"/>
        <v>70</v>
      </c>
      <c r="W122">
        <f t="shared" si="27"/>
        <v>35</v>
      </c>
      <c r="X122" t="str">
        <f>D122&amp;COUNTIF(D$1:D122,D122)</f>
        <v>FA15</v>
      </c>
      <c r="Y122" t="str">
        <f>D122&amp;E122&amp;COUNTIFS(D$1:D122,D122,E$1:E122,E122)</f>
        <v>FAWR6</v>
      </c>
      <c r="Z122" t="s">
        <v>179</v>
      </c>
      <c r="AA122" t="s">
        <v>160</v>
      </c>
    </row>
    <row r="123" spans="1:27" x14ac:dyDescent="0.25">
      <c r="A123">
        <f t="shared" si="23"/>
        <v>122</v>
      </c>
      <c r="B123">
        <f>MATCH(A123,'ROS Proj'!$AI$2:$AI$561,0)</f>
        <v>504</v>
      </c>
      <c r="C123" t="str">
        <f>INDEX('ROS Proj'!$A$2:$A$561,$B123)</f>
        <v>Graham Gano</v>
      </c>
      <c r="D123" t="str">
        <f>IFERROR(INDEX(Rosters!$C$2:$C$155,MATCH($C123,Rosters!$B$2:$B$155,0)),"FA")</f>
        <v>FA</v>
      </c>
      <c r="E123" t="str">
        <f>INDEX('ROS Proj'!$B$2:$B$561,$B123)</f>
        <v>K</v>
      </c>
      <c r="F123" t="str">
        <f>E123&amp;COUNTIF(E$1:E123,E123)</f>
        <v>K3</v>
      </c>
      <c r="G123">
        <f t="shared" si="16"/>
        <v>0</v>
      </c>
      <c r="H123">
        <f t="shared" si="17"/>
        <v>-5</v>
      </c>
      <c r="I123" t="str">
        <f t="shared" si="18"/>
        <v>K18-167</v>
      </c>
      <c r="J123" t="str">
        <f t="shared" si="19"/>
        <v>K1-54</v>
      </c>
      <c r="K123" s="2">
        <f>INDEX('ROS Proj'!$T$2:$T$561,$B123)</f>
        <v>7.3925000000000001</v>
      </c>
      <c r="L123" s="23">
        <f>INDEX('ROS Proj'!$AL$2:$AL$561,$B123)</f>
        <v>8</v>
      </c>
      <c r="M123" s="2">
        <f>SQRT(IF(E123="K",SUMIFS('K Proj'!$P$2:$P$508,'K Proj'!$B$2:$B$508,$C123,'K Proj'!$A$2:$A$508,"&gt;"&amp;Week,'K Proj'!$A$2:$A$508,"&lt;=13"),IF(E123="D",SUMIFS('D Proj'!$N$2:$N$513,'D Proj'!$B$2:$B$513,$C123,'D Proj'!$A$2:$A$513,"&gt;"&amp;Week,'D Proj'!$A$2:$A$513,"&lt;=13"),SUMIFS('F Proj'!$J$2:$J$7669,'F Proj'!$B$2:$B$7669,$C123,'F Proj'!$A$2:$A$7669,"&gt;"&amp;Week,'F Proj'!$A$2:$A$7669,"&lt;=13"))))</f>
        <v>11.463873690860346</v>
      </c>
      <c r="N123" s="2">
        <f t="shared" si="20"/>
        <v>1.5507438202043078</v>
      </c>
      <c r="O123" s="2">
        <f t="shared" si="24"/>
        <v>5.9595157886424568</v>
      </c>
      <c r="P123" s="2">
        <f t="shared" si="25"/>
        <v>8.8254842113575442</v>
      </c>
      <c r="Q123" s="2">
        <f>K123-VLOOKUP($E123,Scores!$AG$1:$AM$7,7,FALSE)</f>
        <v>-2.8928571428571637E-2</v>
      </c>
      <c r="R123" s="2">
        <f>O123-VLOOKUP($E123,Scores!$AG$1:$AM$7,7,FALSE)</f>
        <v>-1.4619127827861149</v>
      </c>
      <c r="S123" s="2">
        <f>P123-VLOOKUP($E123,Scores!$AG$1:$AM$7,7,FALSE)</f>
        <v>1.4040556399289725</v>
      </c>
      <c r="T123">
        <f t="shared" si="21"/>
        <v>167</v>
      </c>
      <c r="U123" s="23">
        <f t="shared" si="22"/>
        <v>54</v>
      </c>
      <c r="V123">
        <f t="shared" si="26"/>
        <v>18</v>
      </c>
      <c r="W123">
        <f t="shared" si="27"/>
        <v>1</v>
      </c>
      <c r="X123" t="str">
        <f>D123&amp;COUNTIF(D$1:D123,D123)</f>
        <v>FA16</v>
      </c>
      <c r="Y123" t="str">
        <f>D123&amp;E123&amp;COUNTIFS(D$1:D123,D123,E$1:E123,E123)</f>
        <v>FAK2</v>
      </c>
      <c r="Z123" t="s">
        <v>416</v>
      </c>
      <c r="AA123" t="s">
        <v>456</v>
      </c>
    </row>
    <row r="124" spans="1:27" x14ac:dyDescent="0.25">
      <c r="A124">
        <f t="shared" si="23"/>
        <v>123</v>
      </c>
      <c r="B124">
        <f>MATCH(A124,'ROS Proj'!$AI$2:$AI$561,0)</f>
        <v>20</v>
      </c>
      <c r="C124" t="str">
        <f>INDEX('ROS Proj'!$A$2:$A$561,$B124)</f>
        <v>Alfred Morris</v>
      </c>
      <c r="D124" t="str">
        <f>IFERROR(INDEX(Rosters!$C$2:$C$155,MATCH($C124,Rosters!$B$2:$B$155,0)),"FA")</f>
        <v>seth</v>
      </c>
      <c r="E124" t="str">
        <f>INDEX('ROS Proj'!$B$2:$B$561,$B124)</f>
        <v>RB</v>
      </c>
      <c r="F124" t="str">
        <f>E124&amp;COUNTIF(E$1:E124,E124)</f>
        <v>RB47</v>
      </c>
      <c r="G124">
        <f t="shared" si="16"/>
        <v>0</v>
      </c>
      <c r="H124">
        <f t="shared" si="17"/>
        <v>-33</v>
      </c>
      <c r="I124" t="str">
        <f t="shared" si="18"/>
        <v>RB62-167</v>
      </c>
      <c r="J124" t="str">
        <f t="shared" si="19"/>
        <v>RB28-49</v>
      </c>
      <c r="K124" s="2">
        <f>INDEX('ROS Proj'!$T$2:$T$561,$B124)</f>
        <v>6.1171428571428574</v>
      </c>
      <c r="L124" s="23">
        <f>INDEX('ROS Proj'!$AL$2:$AL$561,$B124)</f>
        <v>7</v>
      </c>
      <c r="M124" s="2">
        <f>SQRT(IF(E124="K",SUMIFS('K Proj'!$P$2:$P$508,'K Proj'!$B$2:$B$508,$C124,'K Proj'!$A$2:$A$508,"&gt;"&amp;Week,'K Proj'!$A$2:$A$508,"&lt;=13"),IF(E124="D",SUMIFS('D Proj'!$N$2:$N$513,'D Proj'!$B$2:$B$513,$C124,'D Proj'!$A$2:$A$513,"&gt;"&amp;Week,'D Proj'!$A$2:$A$513,"&lt;=13"),SUMIFS('F Proj'!$J$2:$J$7669,'F Proj'!$B$2:$B$7669,$C124,'F Proj'!$A$2:$A$7669,"&gt;"&amp;Week,'F Proj'!$A$2:$A$7669,"&lt;=13"))))</f>
        <v>12.519644563644768</v>
      </c>
      <c r="N124" s="2">
        <f t="shared" si="20"/>
        <v>2.0466490412310456</v>
      </c>
      <c r="O124" s="2">
        <f t="shared" si="24"/>
        <v>4.3286222051936045</v>
      </c>
      <c r="P124" s="2">
        <f t="shared" si="25"/>
        <v>7.9056635090921095</v>
      </c>
      <c r="Q124" s="2">
        <f>K124-VLOOKUP($E124,Scores!$AG$1:$AM$7,7,FALSE)</f>
        <v>0.24857142857142822</v>
      </c>
      <c r="R124" s="2">
        <f>O124-VLOOKUP($E124,Scores!$AG$1:$AM$7,7,FALSE)</f>
        <v>-1.5399492233778247</v>
      </c>
      <c r="S124" s="2">
        <f>P124-VLOOKUP($E124,Scores!$AG$1:$AM$7,7,FALSE)</f>
        <v>2.0370920805206802</v>
      </c>
      <c r="T124">
        <f t="shared" si="21"/>
        <v>167</v>
      </c>
      <c r="U124" s="23">
        <f t="shared" si="22"/>
        <v>49</v>
      </c>
      <c r="V124">
        <f t="shared" si="26"/>
        <v>62</v>
      </c>
      <c r="W124">
        <f t="shared" si="27"/>
        <v>28</v>
      </c>
      <c r="X124" t="str">
        <f>D124&amp;COUNTIF(D$1:D124,D124)</f>
        <v>seth12</v>
      </c>
      <c r="Y124" t="str">
        <f>D124&amp;E124&amp;COUNTIFS(D$1:D124,D124,E$1:E124,E124)</f>
        <v>sethRB6</v>
      </c>
      <c r="Z124" t="s">
        <v>131</v>
      </c>
      <c r="AA124" t="s">
        <v>212</v>
      </c>
    </row>
    <row r="125" spans="1:27" x14ac:dyDescent="0.25">
      <c r="A125">
        <f t="shared" si="23"/>
        <v>124</v>
      </c>
      <c r="B125">
        <f>MATCH(A125,'ROS Proj'!$AI$2:$AI$561,0)</f>
        <v>337</v>
      </c>
      <c r="C125" t="str">
        <f>INDEX('ROS Proj'!$A$2:$A$561,$B125)</f>
        <v>Matt Ryan</v>
      </c>
      <c r="D125" t="str">
        <f>IFERROR(INDEX(Rosters!$C$2:$C$155,MATCH($C125,Rosters!$B$2:$B$155,0)),"FA")</f>
        <v>aj</v>
      </c>
      <c r="E125" t="str">
        <f>INDEX('ROS Proj'!$B$2:$B$561,$B125)</f>
        <v>QB</v>
      </c>
      <c r="F125" t="str">
        <f>E125&amp;COUNTIF(E$1:E125,E125)</f>
        <v>QB6</v>
      </c>
      <c r="G125">
        <f t="shared" si="16"/>
        <v>0</v>
      </c>
      <c r="H125">
        <f t="shared" si="17"/>
        <v>5</v>
      </c>
      <c r="I125" t="str">
        <f t="shared" si="18"/>
        <v>QB13-167</v>
      </c>
      <c r="J125" t="str">
        <f t="shared" si="19"/>
        <v>QB1-35</v>
      </c>
      <c r="K125" s="2">
        <f>INDEX('ROS Proj'!$T$2:$T$561,$B125)</f>
        <v>21.12</v>
      </c>
      <c r="L125" s="23">
        <f>INDEX('ROS Proj'!$AL$2:$AL$561,$B125)</f>
        <v>7</v>
      </c>
      <c r="M125" s="2">
        <f>SQRT(IF(E125="K",SUMIFS('K Proj'!$P$2:$P$508,'K Proj'!$B$2:$B$508,$C125,'K Proj'!$A$2:$A$508,"&gt;"&amp;Week,'K Proj'!$A$2:$A$508,"&lt;=13"),IF(E125="D",SUMIFS('D Proj'!$N$2:$N$513,'D Proj'!$B$2:$B$513,$C125,'D Proj'!$A$2:$A$513,"&gt;"&amp;Week,'D Proj'!$A$2:$A$513,"&lt;=13"),SUMIFS('F Proj'!$J$2:$J$7669,'F Proj'!$B$2:$B$7669,$C125,'F Proj'!$A$2:$A$7669,"&gt;"&amp;Week,'F Proj'!$A$2:$A$7669,"&lt;=13"))))</f>
        <v>19.570521198987009</v>
      </c>
      <c r="N125" s="2">
        <f t="shared" si="20"/>
        <v>0.92663452646718791</v>
      </c>
      <c r="O125" s="2">
        <f t="shared" si="24"/>
        <v>18.324211257287573</v>
      </c>
      <c r="P125" s="2">
        <f t="shared" si="25"/>
        <v>23.915788742712429</v>
      </c>
      <c r="Q125" s="2">
        <f>K125-VLOOKUP($E125,Scores!$AG$1:$AM$7,7,FALSE)</f>
        <v>1.6200000000000045</v>
      </c>
      <c r="R125" s="2">
        <f>O125-VLOOKUP($E125,Scores!$AG$1:$AM$7,7,FALSE)</f>
        <v>-1.1757887427124238</v>
      </c>
      <c r="S125" s="2">
        <f>P125-VLOOKUP($E125,Scores!$AG$1:$AM$7,7,FALSE)</f>
        <v>4.4157887427124329</v>
      </c>
      <c r="T125">
        <f t="shared" si="21"/>
        <v>167</v>
      </c>
      <c r="U125" s="23">
        <f t="shared" si="22"/>
        <v>35</v>
      </c>
      <c r="V125">
        <f t="shared" si="26"/>
        <v>13</v>
      </c>
      <c r="W125">
        <f t="shared" si="27"/>
        <v>1</v>
      </c>
      <c r="X125" t="str">
        <f>D125&amp;COUNTIF(D$1:D125,D125)</f>
        <v>aj12</v>
      </c>
      <c r="Y125" t="str">
        <f>D125&amp;E125&amp;COUNTIFS(D$1:D125,D125,E$1:E125,E125)</f>
        <v>ajQB1</v>
      </c>
      <c r="Z125" t="s">
        <v>67</v>
      </c>
      <c r="AA125" t="s">
        <v>26</v>
      </c>
    </row>
    <row r="126" spans="1:27" x14ac:dyDescent="0.25">
      <c r="A126">
        <f t="shared" si="23"/>
        <v>125</v>
      </c>
      <c r="B126">
        <f>MATCH(A126,'ROS Proj'!$AI$2:$AI$561,0)</f>
        <v>41</v>
      </c>
      <c r="C126" t="str">
        <f>INDEX('ROS Proj'!$A$2:$A$561,$B126)</f>
        <v>Austin Ekeler</v>
      </c>
      <c r="D126" t="str">
        <f>IFERROR(INDEX(Rosters!$C$2:$C$155,MATCH($C126,Rosters!$B$2:$B$155,0)),"FA")</f>
        <v>matty</v>
      </c>
      <c r="E126" t="str">
        <f>INDEX('ROS Proj'!$B$2:$B$561,$B126)</f>
        <v>RB</v>
      </c>
      <c r="F126" t="str">
        <f>E126&amp;COUNTIF(E$1:E126,E126)</f>
        <v>RB48</v>
      </c>
      <c r="G126">
        <f t="shared" si="16"/>
        <v>0</v>
      </c>
      <c r="H126">
        <f t="shared" si="17"/>
        <v>-16</v>
      </c>
      <c r="I126" t="str">
        <f t="shared" si="18"/>
        <v>RB62-180</v>
      </c>
      <c r="J126" t="str">
        <f t="shared" si="19"/>
        <v>RB28-49</v>
      </c>
      <c r="K126" s="2">
        <f>INDEX('ROS Proj'!$T$2:$T$561,$B126)</f>
        <v>6.072857142857143</v>
      </c>
      <c r="L126" s="23">
        <f>INDEX('ROS Proj'!$AL$2:$AL$561,$B126)</f>
        <v>7</v>
      </c>
      <c r="M126" s="2">
        <f>SQRT(IF(E126="K",SUMIFS('K Proj'!$P$2:$P$508,'K Proj'!$B$2:$B$508,$C126,'K Proj'!$A$2:$A$508,"&gt;"&amp;Week,'K Proj'!$A$2:$A$508,"&lt;=13"),IF(E126="D",SUMIFS('D Proj'!$N$2:$N$513,'D Proj'!$B$2:$B$513,$C126,'D Proj'!$A$2:$A$513,"&gt;"&amp;Week,'D Proj'!$A$2:$A$513,"&lt;=13"),SUMIFS('F Proj'!$J$2:$J$7669,'F Proj'!$B$2:$B$7669,$C126,'F Proj'!$A$2:$A$7669,"&gt;"&amp;Week,'F Proj'!$A$2:$A$7669,"&lt;=13"))))</f>
        <v>12.987278390794586</v>
      </c>
      <c r="N126" s="2">
        <f t="shared" si="20"/>
        <v>2.1385779519068948</v>
      </c>
      <c r="O126" s="2">
        <f t="shared" si="24"/>
        <v>4.2175316584579159</v>
      </c>
      <c r="P126" s="2">
        <f t="shared" si="25"/>
        <v>7.9281826272563691</v>
      </c>
      <c r="Q126" s="2">
        <f>K126-VLOOKUP($E126,Scores!$AG$1:$AM$7,7,FALSE)</f>
        <v>0.20428571428571374</v>
      </c>
      <c r="R126" s="2">
        <f>O126-VLOOKUP($E126,Scores!$AG$1:$AM$7,7,FALSE)</f>
        <v>-1.6510397701135133</v>
      </c>
      <c r="S126" s="2">
        <f>P126-VLOOKUP($E126,Scores!$AG$1:$AM$7,7,FALSE)</f>
        <v>2.0596111986849399</v>
      </c>
      <c r="T126">
        <f t="shared" si="21"/>
        <v>180</v>
      </c>
      <c r="U126" s="23">
        <f t="shared" si="22"/>
        <v>49</v>
      </c>
      <c r="V126">
        <f t="shared" si="26"/>
        <v>62</v>
      </c>
      <c r="W126">
        <f t="shared" si="27"/>
        <v>28</v>
      </c>
      <c r="X126" t="str">
        <f>D126&amp;COUNTIF(D$1:D126,D126)</f>
        <v>matty12</v>
      </c>
      <c r="Y126" t="str">
        <f>D126&amp;E126&amp;COUNTIFS(D$1:D126,D126,E$1:E126,E126)</f>
        <v>mattyRB4</v>
      </c>
      <c r="Z126" t="s">
        <v>294</v>
      </c>
      <c r="AA126" t="s">
        <v>1373</v>
      </c>
    </row>
    <row r="127" spans="1:27" x14ac:dyDescent="0.25">
      <c r="A127">
        <f t="shared" si="23"/>
        <v>126</v>
      </c>
      <c r="B127">
        <f>MATCH(A127,'ROS Proj'!$AI$2:$AI$561,0)</f>
        <v>533</v>
      </c>
      <c r="C127" t="str">
        <f>INDEX('ROS Proj'!$A$2:$A$561,$B127)</f>
        <v>Eagles D/ST</v>
      </c>
      <c r="D127" t="str">
        <f>IFERROR(INDEX(Rosters!$C$2:$C$155,MATCH($C127,Rosters!$B$2:$B$155,0)),"FA")</f>
        <v>comp</v>
      </c>
      <c r="E127" t="str">
        <f>INDEX('ROS Proj'!$B$2:$B$561,$B127)</f>
        <v>D</v>
      </c>
      <c r="F127" t="str">
        <f>E127&amp;COUNTIF(E$1:E127,E127)</f>
        <v>D5</v>
      </c>
      <c r="G127">
        <f t="shared" si="16"/>
        <v>0</v>
      </c>
      <c r="H127">
        <f t="shared" si="17"/>
        <v>38</v>
      </c>
      <c r="I127" t="str">
        <f t="shared" si="18"/>
        <v>D16-167</v>
      </c>
      <c r="J127" t="str">
        <f t="shared" si="19"/>
        <v>D1-40</v>
      </c>
      <c r="K127" s="2">
        <f>INDEX('ROS Proj'!$T$2:$T$561,$B127)</f>
        <v>7.3828571428571417</v>
      </c>
      <c r="L127" s="23">
        <f>INDEX('ROS Proj'!$AL$2:$AL$561,$B127)</f>
        <v>7</v>
      </c>
      <c r="M127" s="2">
        <f>SQRT(IF(E127="K",SUMIFS('K Proj'!$P$2:$P$508,'K Proj'!$B$2:$B$508,$C127,'K Proj'!$A$2:$A$508,"&gt;"&amp;Week,'K Proj'!$A$2:$A$508,"&lt;=13"),IF(E127="D",SUMIFS('D Proj'!$N$2:$N$513,'D Proj'!$B$2:$B$513,$C127,'D Proj'!$A$2:$A$513,"&gt;"&amp;Week,'D Proj'!$A$2:$A$513,"&lt;=13"),SUMIFS('F Proj'!$J$2:$J$7669,'F Proj'!$B$2:$B$7669,$C127,'F Proj'!$A$2:$A$7669,"&gt;"&amp;Week,'F Proj'!$A$2:$A$7669,"&lt;=13"))))</f>
        <v>15.800933516726156</v>
      </c>
      <c r="N127" s="2">
        <f t="shared" si="20"/>
        <v>2.1402193230859736</v>
      </c>
      <c r="O127" s="2">
        <f t="shared" si="24"/>
        <v>5.1255809261819767</v>
      </c>
      <c r="P127" s="2">
        <f t="shared" si="25"/>
        <v>9.6401333595323084</v>
      </c>
      <c r="Q127" s="2">
        <f>K127-VLOOKUP($E127,Scores!$AG$1:$AM$7,7,FALSE)</f>
        <v>1.2085714285714273</v>
      </c>
      <c r="R127" s="2">
        <f>O127-VLOOKUP($E127,Scores!$AG$1:$AM$7,7,FALSE)</f>
        <v>-1.0487047881037377</v>
      </c>
      <c r="S127" s="2">
        <f>P127-VLOOKUP($E127,Scores!$AG$1:$AM$7,7,FALSE)</f>
        <v>3.4658476452465941</v>
      </c>
      <c r="T127">
        <f t="shared" si="21"/>
        <v>167</v>
      </c>
      <c r="U127" s="23">
        <f t="shared" si="22"/>
        <v>40</v>
      </c>
      <c r="V127">
        <f t="shared" si="26"/>
        <v>16</v>
      </c>
      <c r="W127">
        <f t="shared" si="27"/>
        <v>1</v>
      </c>
      <c r="X127" t="str">
        <f>D127&amp;COUNTIF(D$1:D127,D127)</f>
        <v>comp11</v>
      </c>
      <c r="Y127" t="str">
        <f>D127&amp;E127&amp;COUNTIFS(D$1:D127,D127,E$1:E127,E127)</f>
        <v>compD1</v>
      </c>
      <c r="Z127" t="s">
        <v>255</v>
      </c>
      <c r="AA127" t="s">
        <v>414</v>
      </c>
    </row>
    <row r="128" spans="1:27" x14ac:dyDescent="0.25">
      <c r="A128">
        <f t="shared" si="23"/>
        <v>127</v>
      </c>
      <c r="B128">
        <f>MATCH(A128,'ROS Proj'!$AI$2:$AI$561,0)</f>
        <v>282</v>
      </c>
      <c r="C128" t="str">
        <f>INDEX('ROS Proj'!$A$2:$A$561,$B128)</f>
        <v>Keelan Cole</v>
      </c>
      <c r="D128" t="str">
        <f>IFERROR(INDEX(Rosters!$C$2:$C$155,MATCH($C128,Rosters!$B$2:$B$155,0)),"FA")</f>
        <v>scott</v>
      </c>
      <c r="E128" t="str">
        <f>INDEX('ROS Proj'!$B$2:$B$561,$B128)</f>
        <v>WR</v>
      </c>
      <c r="F128" t="str">
        <f>E128&amp;COUNTIF(E$1:E128,E128)</f>
        <v>WR55</v>
      </c>
      <c r="G128">
        <f t="shared" si="16"/>
        <v>0</v>
      </c>
      <c r="H128">
        <f t="shared" si="17"/>
        <v>-15</v>
      </c>
      <c r="I128" t="str">
        <f t="shared" si="18"/>
        <v>WR69-167</v>
      </c>
      <c r="J128" t="str">
        <f t="shared" si="19"/>
        <v>WR43-54</v>
      </c>
      <c r="K128" s="2">
        <f>INDEX('ROS Proj'!$T$2:$T$561,$B128)</f>
        <v>6.0528571428571425</v>
      </c>
      <c r="L128" s="23">
        <f>INDEX('ROS Proj'!$AL$2:$AL$561,$B128)</f>
        <v>7</v>
      </c>
      <c r="M128" s="2">
        <f>SQRT(IF(E128="K",SUMIFS('K Proj'!$P$2:$P$508,'K Proj'!$B$2:$B$508,$C128,'K Proj'!$A$2:$A$508,"&gt;"&amp;Week,'K Proj'!$A$2:$A$508,"&lt;=13"),IF(E128="D",SUMIFS('D Proj'!$N$2:$N$513,'D Proj'!$B$2:$B$513,$C128,'D Proj'!$A$2:$A$513,"&gt;"&amp;Week,'D Proj'!$A$2:$A$513,"&lt;=13"),SUMIFS('F Proj'!$J$2:$J$7669,'F Proj'!$B$2:$B$7669,$C128,'F Proj'!$A$2:$A$7669,"&gt;"&amp;Week,'F Proj'!$A$2:$A$7669,"&lt;=13"))))</f>
        <v>11.101026979518606</v>
      </c>
      <c r="N128" s="2">
        <f t="shared" si="20"/>
        <v>1.8340143699936333</v>
      </c>
      <c r="O128" s="2">
        <f t="shared" si="24"/>
        <v>4.4669961457830558</v>
      </c>
      <c r="P128" s="2">
        <f t="shared" si="25"/>
        <v>7.6387181399312292</v>
      </c>
      <c r="Q128" s="2">
        <f>K128-VLOOKUP($E128,Scores!$AG$1:$AM$7,7,FALSE)</f>
        <v>0</v>
      </c>
      <c r="R128" s="2">
        <f>O128-VLOOKUP($E128,Scores!$AG$1:$AM$7,7,FALSE)</f>
        <v>-1.5858609970740867</v>
      </c>
      <c r="S128" s="2">
        <f>P128-VLOOKUP($E128,Scores!$AG$1:$AM$7,7,FALSE)</f>
        <v>1.5858609970740867</v>
      </c>
      <c r="T128">
        <f t="shared" si="21"/>
        <v>167</v>
      </c>
      <c r="U128" s="23">
        <f t="shared" si="22"/>
        <v>54</v>
      </c>
      <c r="V128">
        <f t="shared" si="26"/>
        <v>69</v>
      </c>
      <c r="W128">
        <f t="shared" si="27"/>
        <v>43</v>
      </c>
      <c r="X128" t="str">
        <f>D128&amp;COUNTIF(D$1:D128,D128)</f>
        <v>scott11</v>
      </c>
      <c r="Y128" t="str">
        <f>D128&amp;E128&amp;COUNTIFS(D$1:D128,D128,E$1:E128,E128)</f>
        <v>scottWR6</v>
      </c>
      <c r="Z128" t="s">
        <v>462</v>
      </c>
      <c r="AA128" t="s">
        <v>1368</v>
      </c>
    </row>
    <row r="129" spans="1:27" x14ac:dyDescent="0.25">
      <c r="A129">
        <f t="shared" si="23"/>
        <v>128</v>
      </c>
      <c r="B129">
        <f>MATCH(A129,'ROS Proj'!$AI$2:$AI$561,0)</f>
        <v>100</v>
      </c>
      <c r="C129" t="str">
        <f>INDEX('ROS Proj'!$A$2:$A$561,$B129)</f>
        <v>Christian Kirk</v>
      </c>
      <c r="D129" t="str">
        <f>IFERROR(INDEX(Rosters!$C$2:$C$155,MATCH($C129,Rosters!$B$2:$B$155,0)),"FA")</f>
        <v>FA</v>
      </c>
      <c r="E129" t="str">
        <f>INDEX('ROS Proj'!$B$2:$B$561,$B129)</f>
        <v>WR</v>
      </c>
      <c r="F129" t="str">
        <f>E129&amp;COUNTIF(E$1:E129,E129)</f>
        <v>WR56</v>
      </c>
      <c r="G129">
        <f t="shared" si="16"/>
        <v>0</v>
      </c>
      <c r="H129">
        <f t="shared" si="17"/>
        <v>18</v>
      </c>
      <c r="I129" t="str">
        <f t="shared" si="18"/>
        <v>WR70-180</v>
      </c>
      <c r="J129" t="str">
        <f t="shared" si="19"/>
        <v>WR41-54</v>
      </c>
      <c r="K129" s="2">
        <f>INDEX('ROS Proj'!$T$2:$T$561,$B129)</f>
        <v>6.0371428571428565</v>
      </c>
      <c r="L129" s="23">
        <f>INDEX('ROS Proj'!$AL$2:$AL$561,$B129)</f>
        <v>7</v>
      </c>
      <c r="M129" s="2">
        <f>SQRT(IF(E129="K",SUMIFS('K Proj'!$P$2:$P$508,'K Proj'!$B$2:$B$508,$C129,'K Proj'!$A$2:$A$508,"&gt;"&amp;Week,'K Proj'!$A$2:$A$508,"&lt;=13"),IF(E129="D",SUMIFS('D Proj'!$N$2:$N$513,'D Proj'!$B$2:$B$513,$C129,'D Proj'!$A$2:$A$513,"&gt;"&amp;Week,'D Proj'!$A$2:$A$513,"&lt;=13"),SUMIFS('F Proj'!$J$2:$J$7669,'F Proj'!$B$2:$B$7669,$C129,'F Proj'!$A$2:$A$7669,"&gt;"&amp;Week,'F Proj'!$A$2:$A$7669,"&lt;=13"))))</f>
        <v>12.49140104231707</v>
      </c>
      <c r="N129" s="2">
        <f t="shared" si="20"/>
        <v>2.0690915119786917</v>
      </c>
      <c r="O129" s="2">
        <f t="shared" si="24"/>
        <v>4.2526569939547034</v>
      </c>
      <c r="P129" s="2">
        <f t="shared" si="25"/>
        <v>7.8216287203310104</v>
      </c>
      <c r="Q129" s="2">
        <f>K129-VLOOKUP($E129,Scores!$AG$1:$AM$7,7,FALSE)</f>
        <v>-1.5714285714286014E-2</v>
      </c>
      <c r="R129" s="2">
        <f>O129-VLOOKUP($E129,Scores!$AG$1:$AM$7,7,FALSE)</f>
        <v>-1.8002001489024391</v>
      </c>
      <c r="S129" s="2">
        <f>P129-VLOOKUP($E129,Scores!$AG$1:$AM$7,7,FALSE)</f>
        <v>1.7687715774738679</v>
      </c>
      <c r="T129">
        <f t="shared" si="21"/>
        <v>180</v>
      </c>
      <c r="U129" s="23">
        <f t="shared" si="22"/>
        <v>54</v>
      </c>
      <c r="V129">
        <f t="shared" si="26"/>
        <v>70</v>
      </c>
      <c r="W129">
        <f t="shared" si="27"/>
        <v>41</v>
      </c>
      <c r="X129" t="str">
        <f>D129&amp;COUNTIF(D$1:D129,D129)</f>
        <v>FA17</v>
      </c>
      <c r="Y129" t="str">
        <f>D129&amp;E129&amp;COUNTIFS(D$1:D129,D129,E$1:E129,E129)</f>
        <v>FAWR7</v>
      </c>
      <c r="Z129" t="s">
        <v>422</v>
      </c>
      <c r="AA129" t="s">
        <v>1397</v>
      </c>
    </row>
    <row r="130" spans="1:27" x14ac:dyDescent="0.25">
      <c r="A130">
        <f t="shared" si="23"/>
        <v>129</v>
      </c>
      <c r="B130">
        <f>MATCH(A130,'ROS Proj'!$AI$2:$AI$561,0)</f>
        <v>459</v>
      </c>
      <c r="C130" t="str">
        <f>INDEX('ROS Proj'!$A$2:$A$561,$B130)</f>
        <v>Tom Brady</v>
      </c>
      <c r="D130" t="str">
        <f>IFERROR(INDEX(Rosters!$C$2:$C$155,MATCH($C130,Rosters!$B$2:$B$155,0)),"FA")</f>
        <v>lucas</v>
      </c>
      <c r="E130" t="str">
        <f>INDEX('ROS Proj'!$B$2:$B$561,$B130)</f>
        <v>QB</v>
      </c>
      <c r="F130" t="str">
        <f>E130&amp;COUNTIF(E$1:E130,E130)</f>
        <v>QB7</v>
      </c>
      <c r="G130">
        <f t="shared" si="16"/>
        <v>0</v>
      </c>
      <c r="H130">
        <f t="shared" si="17"/>
        <v>-32</v>
      </c>
      <c r="I130" t="str">
        <f t="shared" si="18"/>
        <v>QB13-136</v>
      </c>
      <c r="J130" t="str">
        <f t="shared" si="19"/>
        <v>QB1-39</v>
      </c>
      <c r="K130" s="2">
        <f>INDEX('ROS Proj'!$T$2:$T$561,$B130)</f>
        <v>21.038571428571434</v>
      </c>
      <c r="L130" s="23">
        <f>INDEX('ROS Proj'!$AL$2:$AL$561,$B130)</f>
        <v>7</v>
      </c>
      <c r="M130" s="2">
        <f>SQRT(IF(E130="K",SUMIFS('K Proj'!$P$2:$P$508,'K Proj'!$B$2:$B$508,$C130,'K Proj'!$A$2:$A$508,"&gt;"&amp;Week,'K Proj'!$A$2:$A$508,"&lt;=13"),IF(E130="D",SUMIFS('D Proj'!$N$2:$N$513,'D Proj'!$B$2:$B$513,$C130,'D Proj'!$A$2:$A$513,"&gt;"&amp;Week,'D Proj'!$A$2:$A$513,"&lt;=13"),SUMIFS('F Proj'!$J$2:$J$7669,'F Proj'!$B$2:$B$7669,$C130,'F Proj'!$A$2:$A$7669,"&gt;"&amp;Week,'F Proj'!$A$2:$A$7669,"&lt;=13"))))</f>
        <v>17.817278131072658</v>
      </c>
      <c r="N130" s="2">
        <f t="shared" si="20"/>
        <v>0.84688631029747119</v>
      </c>
      <c r="O130" s="2">
        <f t="shared" si="24"/>
        <v>18.49324598127534</v>
      </c>
      <c r="P130" s="2">
        <f t="shared" si="25"/>
        <v>23.583896875867531</v>
      </c>
      <c r="Q130" s="2">
        <f>K130-VLOOKUP($E130,Scores!$AG$1:$AM$7,7,FALSE)</f>
        <v>1.5385714285714371</v>
      </c>
      <c r="R130" s="2">
        <f>O130-VLOOKUP($E130,Scores!$AG$1:$AM$7,7,FALSE)</f>
        <v>-1.0067540187246564</v>
      </c>
      <c r="S130" s="2">
        <f>P130-VLOOKUP($E130,Scores!$AG$1:$AM$7,7,FALSE)</f>
        <v>4.0838968758675342</v>
      </c>
      <c r="T130">
        <f t="shared" si="21"/>
        <v>136</v>
      </c>
      <c r="U130" s="23">
        <f t="shared" si="22"/>
        <v>39</v>
      </c>
      <c r="V130">
        <f t="shared" ref="V130:V161" si="28">COUNTIFS($E$2:$E$201,$E130,$Q$2:$Q$201,"&gt;"&amp;R130)</f>
        <v>13</v>
      </c>
      <c r="W130">
        <f t="shared" ref="W130:W161" si="29">COUNTIFS($E$2:$E$201,$E130,$Q$2:$Q$201,"&gt;"&amp;S130)+1</f>
        <v>1</v>
      </c>
      <c r="X130" t="str">
        <f>D130&amp;COUNTIF(D$1:D130,D130)</f>
        <v>lucas13</v>
      </c>
      <c r="Y130" t="str">
        <f>D130&amp;E130&amp;COUNTIFS(D$1:D130,D130,E$1:E130,E130)</f>
        <v>lucasQB1</v>
      </c>
      <c r="Z130" t="s">
        <v>26</v>
      </c>
      <c r="AA130" t="s">
        <v>18</v>
      </c>
    </row>
    <row r="131" spans="1:27" x14ac:dyDescent="0.25">
      <c r="A131">
        <f t="shared" si="23"/>
        <v>130</v>
      </c>
      <c r="B131">
        <f>MATCH(A131,'ROS Proj'!$AI$2:$AI$561,0)</f>
        <v>516</v>
      </c>
      <c r="C131" t="str">
        <f>INDEX('ROS Proj'!$A$2:$A$561,$B131)</f>
        <v>Chandler Catanzaro</v>
      </c>
      <c r="D131" t="str">
        <f>IFERROR(INDEX(Rosters!$C$2:$C$155,MATCH($C131,Rosters!$B$2:$B$155,0)),"FA")</f>
        <v>FA</v>
      </c>
      <c r="E131" t="str">
        <f>INDEX('ROS Proj'!$B$2:$B$561,$B131)</f>
        <v>K</v>
      </c>
      <c r="F131" t="str">
        <f>E131&amp;COUNTIF(E$1:E131,E131)</f>
        <v>K4</v>
      </c>
      <c r="G131">
        <f t="shared" ref="G131:G194" si="30">IFERROR(MATCH(C131,$AA$2:$AA$201,0)-A131,201-A131)</f>
        <v>0</v>
      </c>
      <c r="H131">
        <f t="shared" ref="H131:H194" si="31">IFERROR(MATCH(C131,$Z$2:$Z$201,0)-A131,201-A131)</f>
        <v>55</v>
      </c>
      <c r="I131" t="str">
        <f t="shared" ref="I131:I194" si="32">E131&amp;V131&amp;"-"&amp;T131</f>
        <v>K18-167</v>
      </c>
      <c r="J131" t="str">
        <f t="shared" ref="J131:J194" si="33">E131&amp;W131&amp;"-"&amp;U131</f>
        <v>K1-78</v>
      </c>
      <c r="K131" s="2">
        <f>INDEX('ROS Proj'!$T$2:$T$561,$B131)</f>
        <v>7.2412500000000009</v>
      </c>
      <c r="L131" s="23">
        <f>INDEX('ROS Proj'!$AL$2:$AL$561,$B131)</f>
        <v>8</v>
      </c>
      <c r="M131" s="2">
        <f>SQRT(IF(E131="K",SUMIFS('K Proj'!$P$2:$P$508,'K Proj'!$B$2:$B$508,$C131,'K Proj'!$A$2:$A$508,"&gt;"&amp;Week,'K Proj'!$A$2:$A$508,"&lt;=13"),IF(E131="D",SUMIFS('D Proj'!$N$2:$N$513,'D Proj'!$B$2:$B$513,$C131,'D Proj'!$A$2:$A$513,"&gt;"&amp;Week,'D Proj'!$A$2:$A$513,"&lt;=13"),SUMIFS('F Proj'!$J$2:$J$7669,'F Proj'!$B$2:$B$7669,$C131,'F Proj'!$A$2:$A$7669,"&gt;"&amp;Week,'F Proj'!$A$2:$A$7669,"&lt;=13"))))</f>
        <v>10.812719361936663</v>
      </c>
      <c r="N131" s="2">
        <f t="shared" ref="N131:N194" si="34">M131/K131</f>
        <v>1.4932117192386207</v>
      </c>
      <c r="O131" s="2">
        <f t="shared" si="24"/>
        <v>5.8896600797579177</v>
      </c>
      <c r="P131" s="2">
        <f t="shared" si="25"/>
        <v>8.5928399202420831</v>
      </c>
      <c r="Q131" s="2">
        <f>K131-VLOOKUP($E131,Scores!$AG$1:$AM$7,7,FALSE)</f>
        <v>-0.18017857142857086</v>
      </c>
      <c r="R131" s="2">
        <f>O131-VLOOKUP($E131,Scores!$AG$1:$AM$7,7,FALSE)</f>
        <v>-1.531768491670654</v>
      </c>
      <c r="S131" s="2">
        <f>P131-VLOOKUP($E131,Scores!$AG$1:$AM$7,7,FALSE)</f>
        <v>1.1714113488135114</v>
      </c>
      <c r="T131">
        <f t="shared" ref="T131:T194" si="35">MATCH(R131,$Q$2:$Q$201,-1)</f>
        <v>167</v>
      </c>
      <c r="U131" s="23">
        <f t="shared" ref="U131:U194" si="36">IFERROR(MATCH(S131,$Q$2:$Q$201,-1)+1,1)</f>
        <v>78</v>
      </c>
      <c r="V131">
        <f t="shared" si="28"/>
        <v>18</v>
      </c>
      <c r="W131">
        <f t="shared" si="29"/>
        <v>1</v>
      </c>
      <c r="X131" t="str">
        <f>D131&amp;COUNTIF(D$1:D131,D131)</f>
        <v>FA18</v>
      </c>
      <c r="Y131" t="str">
        <f>D131&amp;E131&amp;COUNTIFS(D$1:D131,D131,E$1:E131,E131)</f>
        <v>FAK3</v>
      </c>
      <c r="Z131" t="s">
        <v>447</v>
      </c>
      <c r="AA131" t="s">
        <v>457</v>
      </c>
    </row>
    <row r="132" spans="1:27" x14ac:dyDescent="0.25">
      <c r="A132">
        <f t="shared" ref="A132:A195" si="37">A131+1</f>
        <v>131</v>
      </c>
      <c r="B132">
        <f>MATCH(A132,'ROS Proj'!$AI$2:$AI$561,0)</f>
        <v>535</v>
      </c>
      <c r="C132" t="str">
        <f>INDEX('ROS Proj'!$A$2:$A$561,$B132)</f>
        <v>Redskins D/ST</v>
      </c>
      <c r="D132" t="str">
        <f>IFERROR(INDEX(Rosters!$C$2:$C$155,MATCH($C132,Rosters!$B$2:$B$155,0)),"FA")</f>
        <v>FA</v>
      </c>
      <c r="E132" t="str">
        <f>INDEX('ROS Proj'!$B$2:$B$561,$B132)</f>
        <v>D</v>
      </c>
      <c r="F132" t="str">
        <f>E132&amp;COUNTIF(E$1:E132,E132)</f>
        <v>D6</v>
      </c>
      <c r="G132">
        <f t="shared" si="30"/>
        <v>0</v>
      </c>
      <c r="H132">
        <f t="shared" si="31"/>
        <v>17</v>
      </c>
      <c r="I132" t="str">
        <f t="shared" si="32"/>
        <v>D16-190</v>
      </c>
      <c r="J132" t="str">
        <f t="shared" si="33"/>
        <v>D2-49</v>
      </c>
      <c r="K132" s="2">
        <f>INDEX('ROS Proj'!$T$2:$T$561,$B132)</f>
        <v>6.2925000000000004</v>
      </c>
      <c r="L132" s="23">
        <f>INDEX('ROS Proj'!$AL$2:$AL$561,$B132)</f>
        <v>8</v>
      </c>
      <c r="M132" s="2">
        <f>SQRT(IF(E132="K",SUMIFS('K Proj'!$P$2:$P$508,'K Proj'!$B$2:$B$508,$C132,'K Proj'!$A$2:$A$508,"&gt;"&amp;Week,'K Proj'!$A$2:$A$508,"&lt;=13"),IF(E132="D",SUMIFS('D Proj'!$N$2:$N$513,'D Proj'!$B$2:$B$513,$C132,'D Proj'!$A$2:$A$513,"&gt;"&amp;Week,'D Proj'!$A$2:$A$513,"&lt;=13"),SUMIFS('F Proj'!$J$2:$J$7669,'F Proj'!$B$2:$B$7669,$C132,'F Proj'!$A$2:$A$7669,"&gt;"&amp;Week,'F Proj'!$A$2:$A$7669,"&lt;=13"))))</f>
        <v>15.908513444065099</v>
      </c>
      <c r="N132" s="2">
        <f t="shared" si="34"/>
        <v>2.5281705910314018</v>
      </c>
      <c r="O132" s="2">
        <f t="shared" ref="O132:O195" si="38">(($K132*$L132)-($M132*Zscore_int))/$L132</f>
        <v>4.3039358194918629</v>
      </c>
      <c r="P132" s="2">
        <f t="shared" ref="P132:P195" si="39">(($K132*$L132)+($M132*Zscore_int))/$L132</f>
        <v>8.2810641805081371</v>
      </c>
      <c r="Q132" s="2">
        <f>K132-VLOOKUP($E132,Scores!$AG$1:$AM$7,7,FALSE)</f>
        <v>0.11821428571428605</v>
      </c>
      <c r="R132" s="2">
        <f>O132-VLOOKUP($E132,Scores!$AG$1:$AM$7,7,FALSE)</f>
        <v>-1.8703498947938515</v>
      </c>
      <c r="S132" s="2">
        <f>P132-VLOOKUP($E132,Scores!$AG$1:$AM$7,7,FALSE)</f>
        <v>2.1067784662224227</v>
      </c>
      <c r="T132">
        <f t="shared" si="35"/>
        <v>190</v>
      </c>
      <c r="U132" s="23">
        <f t="shared" si="36"/>
        <v>49</v>
      </c>
      <c r="V132">
        <f t="shared" si="28"/>
        <v>16</v>
      </c>
      <c r="W132">
        <f t="shared" si="29"/>
        <v>2</v>
      </c>
      <c r="X132" t="str">
        <f>D132&amp;COUNTIF(D$1:D132,D132)</f>
        <v>FA19</v>
      </c>
      <c r="Y132" t="str">
        <f>D132&amp;E132&amp;COUNTIFS(D$1:D132,D132,E$1:E132,E132)</f>
        <v>FAD2</v>
      </c>
      <c r="Z132" t="s">
        <v>98</v>
      </c>
      <c r="AA132" t="s">
        <v>429</v>
      </c>
    </row>
    <row r="133" spans="1:27" x14ac:dyDescent="0.25">
      <c r="A133">
        <f t="shared" si="37"/>
        <v>132</v>
      </c>
      <c r="B133">
        <f>MATCH(A133,'ROS Proj'!$AI$2:$AI$561,0)</f>
        <v>309</v>
      </c>
      <c r="C133" t="str">
        <f>INDEX('ROS Proj'!$A$2:$A$561,$B133)</f>
        <v>LeGarrette Blount</v>
      </c>
      <c r="D133" t="str">
        <f>IFERROR(INDEX(Rosters!$C$2:$C$155,MATCH($C133,Rosters!$B$2:$B$155,0)),"FA")</f>
        <v>FA</v>
      </c>
      <c r="E133" t="str">
        <f>INDEX('ROS Proj'!$B$2:$B$561,$B133)</f>
        <v>RB</v>
      </c>
      <c r="F133" t="str">
        <f>E133&amp;COUNTIF(E$1:E133,E133)</f>
        <v>RB49</v>
      </c>
      <c r="G133">
        <f t="shared" si="30"/>
        <v>0</v>
      </c>
      <c r="H133">
        <f t="shared" si="31"/>
        <v>5</v>
      </c>
      <c r="I133" t="str">
        <f t="shared" si="32"/>
        <v>RB62-180</v>
      </c>
      <c r="J133" t="str">
        <f t="shared" si="33"/>
        <v>RB33-54</v>
      </c>
      <c r="K133" s="2">
        <f>INDEX('ROS Proj'!$T$2:$T$561,$B133)</f>
        <v>5.8685714285714292</v>
      </c>
      <c r="L133" s="23">
        <f>INDEX('ROS Proj'!$AL$2:$AL$561,$B133)</f>
        <v>7</v>
      </c>
      <c r="M133" s="2">
        <f>SQRT(IF(E133="K",SUMIFS('K Proj'!$P$2:$P$508,'K Proj'!$B$2:$B$508,$C133,'K Proj'!$A$2:$A$508,"&gt;"&amp;Week,'K Proj'!$A$2:$A$508,"&lt;=13"),IF(E133="D",SUMIFS('D Proj'!$N$2:$N$513,'D Proj'!$B$2:$B$513,$C133,'D Proj'!$A$2:$A$513,"&gt;"&amp;Week,'D Proj'!$A$2:$A$513,"&lt;=13"),SUMIFS('F Proj'!$J$2:$J$7669,'F Proj'!$B$2:$B$7669,$C133,'F Proj'!$A$2:$A$7669,"&gt;"&amp;Week,'F Proj'!$A$2:$A$7669,"&lt;=13"))))</f>
        <v>11.56142292280669</v>
      </c>
      <c r="N133" s="2">
        <f t="shared" si="34"/>
        <v>1.9700574600692995</v>
      </c>
      <c r="O133" s="2">
        <f t="shared" si="38"/>
        <v>4.2169395824561873</v>
      </c>
      <c r="P133" s="2">
        <f t="shared" si="39"/>
        <v>7.5202032746866712</v>
      </c>
      <c r="Q133" s="2">
        <f>K133-VLOOKUP($E133,Scores!$AG$1:$AM$7,7,FALSE)</f>
        <v>0</v>
      </c>
      <c r="R133" s="2">
        <f>O133-VLOOKUP($E133,Scores!$AG$1:$AM$7,7,FALSE)</f>
        <v>-1.6516318461152419</v>
      </c>
      <c r="S133" s="2">
        <f>P133-VLOOKUP($E133,Scores!$AG$1:$AM$7,7,FALSE)</f>
        <v>1.6516318461152419</v>
      </c>
      <c r="T133">
        <f t="shared" si="35"/>
        <v>180</v>
      </c>
      <c r="U133" s="23">
        <f t="shared" si="36"/>
        <v>54</v>
      </c>
      <c r="V133">
        <f t="shared" si="28"/>
        <v>62</v>
      </c>
      <c r="W133">
        <f t="shared" si="29"/>
        <v>33</v>
      </c>
      <c r="X133" t="str">
        <f>D133&amp;COUNTIF(D$1:D133,D133)</f>
        <v>FA20</v>
      </c>
      <c r="Y133" t="str">
        <f>D133&amp;E133&amp;COUNTIFS(D$1:D133,D133,E$1:E133,E133)</f>
        <v>FARB6</v>
      </c>
      <c r="Z133" t="s">
        <v>264</v>
      </c>
      <c r="AA133" t="s">
        <v>170</v>
      </c>
    </row>
    <row r="134" spans="1:27" x14ac:dyDescent="0.25">
      <c r="A134">
        <f t="shared" si="37"/>
        <v>133</v>
      </c>
      <c r="B134">
        <f>MATCH(A134,'ROS Proj'!$AI$2:$AI$561,0)</f>
        <v>225</v>
      </c>
      <c r="C134" t="str">
        <f>INDEX('ROS Proj'!$A$2:$A$561,$B134)</f>
        <v>Jared Goff</v>
      </c>
      <c r="D134" t="str">
        <f>IFERROR(INDEX(Rosters!$C$2:$C$155,MATCH($C134,Rosters!$B$2:$B$155,0)),"FA")</f>
        <v>cory</v>
      </c>
      <c r="E134" t="str">
        <f>INDEX('ROS Proj'!$B$2:$B$561,$B134)</f>
        <v>QB</v>
      </c>
      <c r="F134" t="str">
        <f>E134&amp;COUNTIF(E$1:E134,E134)</f>
        <v>QB8</v>
      </c>
      <c r="G134">
        <f t="shared" si="30"/>
        <v>0</v>
      </c>
      <c r="H134">
        <f t="shared" si="31"/>
        <v>-22</v>
      </c>
      <c r="I134" t="str">
        <f t="shared" si="32"/>
        <v>QB13-167</v>
      </c>
      <c r="J134" t="str">
        <f t="shared" si="33"/>
        <v>QB1-38</v>
      </c>
      <c r="K134" s="2">
        <f>INDEX('ROS Proj'!$T$2:$T$561,$B134)</f>
        <v>20.884285714285713</v>
      </c>
      <c r="L134" s="23">
        <f>INDEX('ROS Proj'!$AL$2:$AL$561,$B134)</f>
        <v>7</v>
      </c>
      <c r="M134" s="2">
        <f>SQRT(IF(E134="K",SUMIFS('K Proj'!$P$2:$P$508,'K Proj'!$B$2:$B$508,$C134,'K Proj'!$A$2:$A$508,"&gt;"&amp;Week,'K Proj'!$A$2:$A$508,"&lt;=13"),IF(E134="D",SUMIFS('D Proj'!$N$2:$N$513,'D Proj'!$B$2:$B$513,$C134,'D Proj'!$A$2:$A$513,"&gt;"&amp;Week,'D Proj'!$A$2:$A$513,"&lt;=13"),SUMIFS('F Proj'!$J$2:$J$7669,'F Proj'!$B$2:$B$7669,$C134,'F Proj'!$A$2:$A$7669,"&gt;"&amp;Week,'F Proj'!$A$2:$A$7669,"&lt;=13"))))</f>
        <v>19.999544994824259</v>
      </c>
      <c r="N134" s="2">
        <f t="shared" si="34"/>
        <v>0.95763605556994202</v>
      </c>
      <c r="O134" s="2">
        <f t="shared" si="38"/>
        <v>18.027207857882249</v>
      </c>
      <c r="P134" s="2">
        <f t="shared" si="39"/>
        <v>23.741363570689177</v>
      </c>
      <c r="Q134" s="2">
        <f>K134-VLOOKUP($E134,Scores!$AG$1:$AM$7,7,FALSE)</f>
        <v>1.384285714285717</v>
      </c>
      <c r="R134" s="2">
        <f>O134-VLOOKUP($E134,Scores!$AG$1:$AM$7,7,FALSE)</f>
        <v>-1.472792142117747</v>
      </c>
      <c r="S134" s="2">
        <f>P134-VLOOKUP($E134,Scores!$AG$1:$AM$7,7,FALSE)</f>
        <v>4.241363570689181</v>
      </c>
      <c r="T134">
        <f t="shared" si="35"/>
        <v>167</v>
      </c>
      <c r="U134" s="23">
        <f t="shared" si="36"/>
        <v>38</v>
      </c>
      <c r="V134">
        <f t="shared" si="28"/>
        <v>13</v>
      </c>
      <c r="W134">
        <f t="shared" si="29"/>
        <v>1</v>
      </c>
      <c r="X134" t="str">
        <f>D134&amp;COUNTIF(D$1:D134,D134)</f>
        <v>cory12</v>
      </c>
      <c r="Y134" t="str">
        <f>D134&amp;E134&amp;COUNTIFS(D$1:D134,D134,E$1:E134,E134)</f>
        <v>coryQB1</v>
      </c>
      <c r="Z134" t="s">
        <v>261</v>
      </c>
      <c r="AA134" t="s">
        <v>83</v>
      </c>
    </row>
    <row r="135" spans="1:27" x14ac:dyDescent="0.25">
      <c r="A135">
        <f t="shared" si="37"/>
        <v>134</v>
      </c>
      <c r="B135">
        <f>MATCH(A135,'ROS Proj'!$AI$2:$AI$561,0)</f>
        <v>326</v>
      </c>
      <c r="C135" t="str">
        <f>INDEX('ROS Proj'!$A$2:$A$561,$B135)</f>
        <v>Marlon Mack</v>
      </c>
      <c r="D135" t="str">
        <f>IFERROR(INDEX(Rosters!$C$2:$C$155,MATCH($C135,Rosters!$B$2:$B$155,0)),"FA")</f>
        <v>FA</v>
      </c>
      <c r="E135" t="str">
        <f>INDEX('ROS Proj'!$B$2:$B$561,$B135)</f>
        <v>RB</v>
      </c>
      <c r="F135" t="str">
        <f>E135&amp;COUNTIF(E$1:E135,E135)</f>
        <v>RB50</v>
      </c>
      <c r="G135">
        <f t="shared" si="30"/>
        <v>0</v>
      </c>
      <c r="H135">
        <f t="shared" si="31"/>
        <v>-30</v>
      </c>
      <c r="I135" t="str">
        <f t="shared" si="32"/>
        <v>RB62-200</v>
      </c>
      <c r="J135" t="str">
        <f t="shared" si="33"/>
        <v>RB29-54</v>
      </c>
      <c r="K135" s="2">
        <f>INDEX('ROS Proj'!$T$2:$T$561,$B135)</f>
        <v>5.8428571428571425</v>
      </c>
      <c r="L135" s="23">
        <f>INDEX('ROS Proj'!$AL$2:$AL$561,$B135)</f>
        <v>7</v>
      </c>
      <c r="M135" s="2">
        <f>SQRT(IF(E135="K",SUMIFS('K Proj'!$P$2:$P$508,'K Proj'!$B$2:$B$508,$C135,'K Proj'!$A$2:$A$508,"&gt;"&amp;Week,'K Proj'!$A$2:$A$508,"&lt;=13"),IF(E135="D",SUMIFS('D Proj'!$N$2:$N$513,'D Proj'!$B$2:$B$513,$C135,'D Proj'!$A$2:$A$513,"&gt;"&amp;Week,'D Proj'!$A$2:$A$513,"&lt;=13"),SUMIFS('F Proj'!$J$2:$J$7669,'F Proj'!$B$2:$B$7669,$C135,'F Proj'!$A$2:$A$7669,"&gt;"&amp;Week,'F Proj'!$A$2:$A$7669,"&lt;=13"))))</f>
        <v>13.762114663088663</v>
      </c>
      <c r="N135" s="2">
        <f t="shared" si="34"/>
        <v>2.3553741477168861</v>
      </c>
      <c r="O135" s="2">
        <f t="shared" si="38"/>
        <v>3.8768407624159051</v>
      </c>
      <c r="P135" s="2">
        <f t="shared" si="39"/>
        <v>7.8088735232983799</v>
      </c>
      <c r="Q135" s="2">
        <f>K135-VLOOKUP($E135,Scores!$AG$1:$AM$7,7,FALSE)</f>
        <v>-2.5714285714286689E-2</v>
      </c>
      <c r="R135" s="2">
        <f>O135-VLOOKUP($E135,Scores!$AG$1:$AM$7,7,FALSE)</f>
        <v>-1.9917306661555241</v>
      </c>
      <c r="S135" s="2">
        <f>P135-VLOOKUP($E135,Scores!$AG$1:$AM$7,7,FALSE)</f>
        <v>1.9403020947269507</v>
      </c>
      <c r="T135">
        <f t="shared" si="35"/>
        <v>200</v>
      </c>
      <c r="U135" s="23">
        <f t="shared" si="36"/>
        <v>54</v>
      </c>
      <c r="V135">
        <f t="shared" si="28"/>
        <v>62</v>
      </c>
      <c r="W135">
        <f t="shared" si="29"/>
        <v>29</v>
      </c>
      <c r="X135" t="str">
        <f>D135&amp;COUNTIF(D$1:D135,D135)</f>
        <v>FA21</v>
      </c>
      <c r="Y135" t="str">
        <f>D135&amp;E135&amp;COUNTIFS(D$1:D135,D135,E$1:E135,E135)</f>
        <v>FARB7</v>
      </c>
      <c r="Z135" t="s">
        <v>1388</v>
      </c>
      <c r="AA135" t="s">
        <v>224</v>
      </c>
    </row>
    <row r="136" spans="1:27" x14ac:dyDescent="0.25">
      <c r="A136">
        <f t="shared" si="37"/>
        <v>135</v>
      </c>
      <c r="B136">
        <f>MATCH(A136,'ROS Proj'!$AI$2:$AI$561,0)</f>
        <v>501</v>
      </c>
      <c r="C136" t="str">
        <f>INDEX('ROS Proj'!$A$2:$A$561,$B136)</f>
        <v>Justin Tucker</v>
      </c>
      <c r="D136" t="str">
        <f>IFERROR(INDEX(Rosters!$C$2:$C$155,MATCH($C136,Rosters!$B$2:$B$155,0)),"FA")</f>
        <v>chad</v>
      </c>
      <c r="E136" t="str">
        <f>INDEX('ROS Proj'!$B$2:$B$561,$B136)</f>
        <v>K</v>
      </c>
      <c r="F136" t="str">
        <f>E136&amp;COUNTIF(E$1:E136,E136)</f>
        <v>K5</v>
      </c>
      <c r="G136">
        <f t="shared" si="30"/>
        <v>0</v>
      </c>
      <c r="H136">
        <f t="shared" si="31"/>
        <v>-5</v>
      </c>
      <c r="I136" t="str">
        <f t="shared" si="32"/>
        <v>K18-136</v>
      </c>
      <c r="J136" t="str">
        <f t="shared" si="33"/>
        <v>K1-42</v>
      </c>
      <c r="K136" s="2">
        <f>INDEX('ROS Proj'!$T$2:$T$561,$B136)</f>
        <v>8.1571428571428566</v>
      </c>
      <c r="L136" s="23">
        <f>INDEX('ROS Proj'!$AL$2:$AL$561,$B136)</f>
        <v>7</v>
      </c>
      <c r="M136" s="2">
        <f>SQRT(IF(E136="K",SUMIFS('K Proj'!$P$2:$P$508,'K Proj'!$B$2:$B$508,$C136,'K Proj'!$A$2:$A$508,"&gt;"&amp;Week,'K Proj'!$A$2:$A$508,"&lt;=13"),IF(E136="D",SUMIFS('D Proj'!$N$2:$N$513,'D Proj'!$B$2:$B$513,$C136,'D Proj'!$A$2:$A$513,"&gt;"&amp;Week,'D Proj'!$A$2:$A$513,"&lt;=13"),SUMIFS('F Proj'!$J$2:$J$7669,'F Proj'!$B$2:$B$7669,$C136,'F Proj'!$A$2:$A$7669,"&gt;"&amp;Week,'F Proj'!$A$2:$A$7669,"&lt;=13"))))</f>
        <v>11.575443835983137</v>
      </c>
      <c r="N136" s="2">
        <f t="shared" si="34"/>
        <v>1.4190561620294564</v>
      </c>
      <c r="O136" s="2">
        <f t="shared" si="38"/>
        <v>6.5035080234309799</v>
      </c>
      <c r="P136" s="2">
        <f t="shared" si="39"/>
        <v>9.8107776908547333</v>
      </c>
      <c r="Q136" s="2">
        <f>K136-VLOOKUP($E136,Scores!$AG$1:$AM$7,7,FALSE)</f>
        <v>0.73571428571428488</v>
      </c>
      <c r="R136" s="2">
        <f>O136-VLOOKUP($E136,Scores!$AG$1:$AM$7,7,FALSE)</f>
        <v>-0.91792054799759182</v>
      </c>
      <c r="S136" s="2">
        <f>P136-VLOOKUP($E136,Scores!$AG$1:$AM$7,7,FALSE)</f>
        <v>2.3893491194261616</v>
      </c>
      <c r="T136">
        <f t="shared" si="35"/>
        <v>136</v>
      </c>
      <c r="U136" s="23">
        <f t="shared" si="36"/>
        <v>42</v>
      </c>
      <c r="V136">
        <f t="shared" si="28"/>
        <v>18</v>
      </c>
      <c r="W136">
        <f t="shared" si="29"/>
        <v>1</v>
      </c>
      <c r="X136" t="str">
        <f>D136&amp;COUNTIF(D$1:D136,D136)</f>
        <v>chad13</v>
      </c>
      <c r="Y136" t="str">
        <f>D136&amp;E136&amp;COUNTIFS(D$1:D136,D136,E$1:E136,E136)</f>
        <v>chadK1</v>
      </c>
      <c r="Z136" t="s">
        <v>446</v>
      </c>
      <c r="AA136" t="s">
        <v>447</v>
      </c>
    </row>
    <row r="137" spans="1:27" x14ac:dyDescent="0.25">
      <c r="A137">
        <f t="shared" si="37"/>
        <v>136</v>
      </c>
      <c r="B137">
        <f>MATCH(A137,'ROS Proj'!$AI$2:$AI$561,0)</f>
        <v>307</v>
      </c>
      <c r="C137" t="str">
        <f>INDEX('ROS Proj'!$A$2:$A$561,$B137)</f>
        <v>Le'Veon Bell</v>
      </c>
      <c r="D137" t="str">
        <f>IFERROR(INDEX(Rosters!$C$2:$C$155,MATCH($C137,Rosters!$B$2:$B$155,0)),"FA")</f>
        <v>devon</v>
      </c>
      <c r="E137" t="str">
        <f>INDEX('ROS Proj'!$B$2:$B$561,$B137)</f>
        <v>RB</v>
      </c>
      <c r="F137" t="str">
        <f>E137&amp;COUNTIF(E$1:E137,E137)</f>
        <v>RB51</v>
      </c>
      <c r="G137">
        <f t="shared" si="30"/>
        <v>0</v>
      </c>
      <c r="H137">
        <f t="shared" si="31"/>
        <v>-38</v>
      </c>
      <c r="I137" t="str">
        <f t="shared" si="32"/>
        <v>RB62-190</v>
      </c>
      <c r="J137" t="str">
        <f t="shared" si="33"/>
        <v>RB35-54</v>
      </c>
      <c r="K137" s="2">
        <f>INDEX('ROS Proj'!$T$2:$T$561,$B137)</f>
        <v>5.7485714285714291</v>
      </c>
      <c r="L137" s="23">
        <f>INDEX('ROS Proj'!$AL$2:$AL$561,$B137)</f>
        <v>6</v>
      </c>
      <c r="M137" s="2">
        <f>SQRT(IF(E137="K",SUMIFS('K Proj'!$P$2:$P$508,'K Proj'!$B$2:$B$508,$C137,'K Proj'!$A$2:$A$508,"&gt;"&amp;Week,'K Proj'!$A$2:$A$508,"&lt;=13"),IF(E137="D",SUMIFS('D Proj'!$N$2:$N$513,'D Proj'!$B$2:$B$513,$C137,'D Proj'!$A$2:$A$513,"&gt;"&amp;Week,'D Proj'!$A$2:$A$513,"&lt;=13"),SUMIFS('F Proj'!$J$2:$J$7669,'F Proj'!$B$2:$B$7669,$C137,'F Proj'!$A$2:$A$7669,"&gt;"&amp;Week,'F Proj'!$A$2:$A$7669,"&lt;=13"))))</f>
        <v>10.420839697452408</v>
      </c>
      <c r="N137" s="2">
        <f t="shared" si="34"/>
        <v>1.8127703251035499</v>
      </c>
      <c r="O137" s="2">
        <f t="shared" si="38"/>
        <v>4.0117648123293606</v>
      </c>
      <c r="P137" s="2">
        <f t="shared" si="39"/>
        <v>7.4853780448134968</v>
      </c>
      <c r="Q137" s="2">
        <f>K137-VLOOKUP($E137,Scores!$AG$1:$AM$7,7,FALSE)</f>
        <v>-0.12000000000000011</v>
      </c>
      <c r="R137" s="2">
        <f>O137-VLOOKUP($E137,Scores!$AG$1:$AM$7,7,FALSE)</f>
        <v>-1.8568066162420687</v>
      </c>
      <c r="S137" s="2">
        <f>P137-VLOOKUP($E137,Scores!$AG$1:$AM$7,7,FALSE)</f>
        <v>1.6168066162420676</v>
      </c>
      <c r="T137">
        <f t="shared" si="35"/>
        <v>190</v>
      </c>
      <c r="U137" s="23">
        <f t="shared" si="36"/>
        <v>54</v>
      </c>
      <c r="V137">
        <f t="shared" si="28"/>
        <v>62</v>
      </c>
      <c r="W137">
        <f t="shared" si="29"/>
        <v>35</v>
      </c>
      <c r="X137" t="str">
        <f>D137&amp;COUNTIF(D$1:D137,D137)</f>
        <v>devon12</v>
      </c>
      <c r="Y137" t="str">
        <f>D137&amp;E137&amp;COUNTIFS(D$1:D137,D137,E$1:E137,E137)</f>
        <v>devonRB6</v>
      </c>
      <c r="Z137" t="s">
        <v>155</v>
      </c>
      <c r="AA137" t="s">
        <v>48</v>
      </c>
    </row>
    <row r="138" spans="1:27" x14ac:dyDescent="0.25">
      <c r="A138">
        <f t="shared" si="37"/>
        <v>137</v>
      </c>
      <c r="B138">
        <f>MATCH(A138,'ROS Proj'!$AI$2:$AI$561,0)</f>
        <v>445</v>
      </c>
      <c r="C138" t="str">
        <f>INDEX('ROS Proj'!$A$2:$A$561,$B138)</f>
        <v>Taylor Gabriel</v>
      </c>
      <c r="D138" t="str">
        <f>IFERROR(INDEX(Rosters!$C$2:$C$155,MATCH($C138,Rosters!$B$2:$B$155,0)),"FA")</f>
        <v>FA</v>
      </c>
      <c r="E138" t="str">
        <f>INDEX('ROS Proj'!$B$2:$B$561,$B138)</f>
        <v>WR</v>
      </c>
      <c r="F138" t="str">
        <f>E138&amp;COUNTIF(E$1:E138,E138)</f>
        <v>WR57</v>
      </c>
      <c r="G138">
        <f t="shared" si="30"/>
        <v>0</v>
      </c>
      <c r="H138">
        <f t="shared" si="31"/>
        <v>64</v>
      </c>
      <c r="I138" t="str">
        <f t="shared" si="32"/>
        <v>WR72-200</v>
      </c>
      <c r="J138" t="str">
        <f t="shared" si="33"/>
        <v>WR51-94</v>
      </c>
      <c r="K138" s="2">
        <f>INDEX('ROS Proj'!$T$2:$T$561,$B138)</f>
        <v>5.0162500000000003</v>
      </c>
      <c r="L138" s="23">
        <f>INDEX('ROS Proj'!$AL$2:$AL$561,$B138)</f>
        <v>8</v>
      </c>
      <c r="M138" s="2">
        <f>SQRT(IF(E138="K",SUMIFS('K Proj'!$P$2:$P$508,'K Proj'!$B$2:$B$508,$C138,'K Proj'!$A$2:$A$508,"&gt;"&amp;Week,'K Proj'!$A$2:$A$508,"&lt;=13"),IF(E138="D",SUMIFS('D Proj'!$N$2:$N$513,'D Proj'!$B$2:$B$513,$C138,'D Proj'!$A$2:$A$513,"&gt;"&amp;Week,'D Proj'!$A$2:$A$513,"&lt;=13"),SUMIFS('F Proj'!$J$2:$J$7669,'F Proj'!$B$2:$B$7669,$C138,'F Proj'!$A$2:$A$7669,"&gt;"&amp;Week,'F Proj'!$A$2:$A$7669,"&lt;=13"))))</f>
        <v>10.521325962063909</v>
      </c>
      <c r="N138" s="2">
        <f t="shared" si="34"/>
        <v>2.0974484848370611</v>
      </c>
      <c r="O138" s="2">
        <f t="shared" si="38"/>
        <v>3.7010842547420117</v>
      </c>
      <c r="P138" s="2">
        <f t="shared" si="39"/>
        <v>6.3314157452579884</v>
      </c>
      <c r="Q138" s="2">
        <f>K138-VLOOKUP($E138,Scores!$AG$1:$AM$7,7,FALSE)</f>
        <v>-1.0366071428571422</v>
      </c>
      <c r="R138" s="2">
        <f>O138-VLOOKUP($E138,Scores!$AG$1:$AM$7,7,FALSE)</f>
        <v>-2.3517728881151307</v>
      </c>
      <c r="S138" s="2">
        <f>P138-VLOOKUP($E138,Scores!$AG$1:$AM$7,7,FALSE)</f>
        <v>0.27855860240084596</v>
      </c>
      <c r="T138">
        <f t="shared" si="35"/>
        <v>200</v>
      </c>
      <c r="U138" s="23">
        <f t="shared" si="36"/>
        <v>94</v>
      </c>
      <c r="V138">
        <f t="shared" si="28"/>
        <v>72</v>
      </c>
      <c r="W138">
        <f t="shared" si="29"/>
        <v>51</v>
      </c>
      <c r="X138" t="str">
        <f>D138&amp;COUNTIF(D$1:D138,D138)</f>
        <v>FA22</v>
      </c>
      <c r="Y138" t="str">
        <f>D138&amp;E138&amp;COUNTIFS(D$1:D138,D138,E$1:E138,E138)</f>
        <v>FAWR8</v>
      </c>
      <c r="Z138" t="s">
        <v>170</v>
      </c>
      <c r="AA138" t="s">
        <v>237</v>
      </c>
    </row>
    <row r="139" spans="1:27" x14ac:dyDescent="0.25">
      <c r="A139">
        <f t="shared" si="37"/>
        <v>138</v>
      </c>
      <c r="B139">
        <f>MATCH(A139,'ROS Proj'!$AI$2:$AI$561,0)</f>
        <v>168</v>
      </c>
      <c r="C139" t="str">
        <f>INDEX('ROS Proj'!$A$2:$A$561,$B139)</f>
        <v>Duke Johnson Jr.</v>
      </c>
      <c r="D139" t="str">
        <f>IFERROR(INDEX(Rosters!$C$2:$C$155,MATCH($C139,Rosters!$B$2:$B$155,0)),"FA")</f>
        <v>FA</v>
      </c>
      <c r="E139" t="str">
        <f>INDEX('ROS Proj'!$B$2:$B$561,$B139)</f>
        <v>RB</v>
      </c>
      <c r="F139" t="str">
        <f>E139&amp;COUNTIF(E$1:E139,E139)</f>
        <v>RB52</v>
      </c>
      <c r="G139">
        <f t="shared" si="30"/>
        <v>0</v>
      </c>
      <c r="H139">
        <f t="shared" si="31"/>
        <v>-18</v>
      </c>
      <c r="I139" t="str">
        <f t="shared" si="32"/>
        <v>RB62-167</v>
      </c>
      <c r="J139" t="str">
        <f t="shared" si="33"/>
        <v>RB37-78</v>
      </c>
      <c r="K139" s="2">
        <f>INDEX('ROS Proj'!$T$2:$T$561,$B139)</f>
        <v>5.7257142857142851</v>
      </c>
      <c r="L139" s="23">
        <f>INDEX('ROS Proj'!$AL$2:$AL$561,$B139)</f>
        <v>7</v>
      </c>
      <c r="M139" s="2">
        <f>SQRT(IF(E139="K",SUMIFS('K Proj'!$P$2:$P$508,'K Proj'!$B$2:$B$508,$C139,'K Proj'!$A$2:$A$508,"&gt;"&amp;Week,'K Proj'!$A$2:$A$508,"&lt;=13"),IF(E139="D",SUMIFS('D Proj'!$N$2:$N$513,'D Proj'!$B$2:$B$513,$C139,'D Proj'!$A$2:$A$513,"&gt;"&amp;Week,'D Proj'!$A$2:$A$513,"&lt;=13"),SUMIFS('F Proj'!$J$2:$J$7669,'F Proj'!$B$2:$B$7669,$C139,'F Proj'!$A$2:$A$7669,"&gt;"&amp;Week,'F Proj'!$A$2:$A$7669,"&lt;=13"))))</f>
        <v>10.25133162081883</v>
      </c>
      <c r="N139" s="2">
        <f t="shared" si="34"/>
        <v>1.7904022291849255</v>
      </c>
      <c r="O139" s="2">
        <f t="shared" si="38"/>
        <v>4.2612383398830236</v>
      </c>
      <c r="P139" s="2">
        <f t="shared" si="39"/>
        <v>7.1901902315455475</v>
      </c>
      <c r="Q139" s="2">
        <f>K139-VLOOKUP($E139,Scores!$AG$1:$AM$7,7,FALSE)</f>
        <v>-0.14285714285714413</v>
      </c>
      <c r="R139" s="2">
        <f>O139-VLOOKUP($E139,Scores!$AG$1:$AM$7,7,FALSE)</f>
        <v>-1.6073330886884056</v>
      </c>
      <c r="S139" s="2">
        <f>P139-VLOOKUP($E139,Scores!$AG$1:$AM$7,7,FALSE)</f>
        <v>1.3216188029741183</v>
      </c>
      <c r="T139">
        <f t="shared" si="35"/>
        <v>167</v>
      </c>
      <c r="U139" s="23">
        <f t="shared" si="36"/>
        <v>78</v>
      </c>
      <c r="V139">
        <f t="shared" si="28"/>
        <v>62</v>
      </c>
      <c r="W139">
        <f t="shared" si="29"/>
        <v>37</v>
      </c>
      <c r="X139" t="str">
        <f>D139&amp;COUNTIF(D$1:D139,D139)</f>
        <v>FA23</v>
      </c>
      <c r="Y139" t="str">
        <f>D139&amp;E139&amp;COUNTIFS(D$1:D139,D139,E$1:E139,E139)</f>
        <v>FARB8</v>
      </c>
      <c r="Z139" t="s">
        <v>1387</v>
      </c>
      <c r="AA139" t="s">
        <v>183</v>
      </c>
    </row>
    <row r="140" spans="1:27" x14ac:dyDescent="0.25">
      <c r="A140">
        <f t="shared" si="37"/>
        <v>139</v>
      </c>
      <c r="B140">
        <f>MATCH(A140,'ROS Proj'!$AI$2:$AI$561,0)</f>
        <v>5</v>
      </c>
      <c r="C140" t="str">
        <f>INDEX('ROS Proj'!$A$2:$A$561,$B140)</f>
        <v>Aaron Rodgers</v>
      </c>
      <c r="D140" t="str">
        <f>IFERROR(INDEX(Rosters!$C$2:$C$155,MATCH($C140,Rosters!$B$2:$B$155,0)),"FA")</f>
        <v>cory</v>
      </c>
      <c r="E140" t="str">
        <f>INDEX('ROS Proj'!$B$2:$B$561,$B140)</f>
        <v>QB</v>
      </c>
      <c r="F140" t="str">
        <f>E140&amp;COUNTIF(E$1:E140,E140)</f>
        <v>QB9</v>
      </c>
      <c r="G140">
        <f t="shared" si="30"/>
        <v>0</v>
      </c>
      <c r="H140">
        <f t="shared" si="31"/>
        <v>-43</v>
      </c>
      <c r="I140" t="str">
        <f t="shared" si="32"/>
        <v>QB13-180</v>
      </c>
      <c r="J140" t="str">
        <f t="shared" si="33"/>
        <v>QB1-38</v>
      </c>
      <c r="K140" s="2">
        <f>INDEX('ROS Proj'!$T$2:$T$561,$B140)</f>
        <v>20.682857142857141</v>
      </c>
      <c r="L140" s="23">
        <f>INDEX('ROS Proj'!$AL$2:$AL$561,$B140)</f>
        <v>7</v>
      </c>
      <c r="M140" s="2">
        <f>SQRT(IF(E140="K",SUMIFS('K Proj'!$P$2:$P$508,'K Proj'!$B$2:$B$508,$C140,'K Proj'!$A$2:$A$508,"&gt;"&amp;Week,'K Proj'!$A$2:$A$508,"&lt;=13"),IF(E140="D",SUMIFS('D Proj'!$N$2:$N$513,'D Proj'!$B$2:$B$513,$C140,'D Proj'!$A$2:$A$513,"&gt;"&amp;Week,'D Proj'!$A$2:$A$513,"&lt;=13"),SUMIFS('F Proj'!$J$2:$J$7669,'F Proj'!$B$2:$B$7669,$C140,'F Proj'!$A$2:$A$7669,"&gt;"&amp;Week,'F Proj'!$A$2:$A$7669,"&lt;=13"))))</f>
        <v>20.970720063936763</v>
      </c>
      <c r="N140" s="2">
        <f t="shared" si="34"/>
        <v>1.0139179475587605</v>
      </c>
      <c r="O140" s="2">
        <f t="shared" si="38"/>
        <v>17.687039990866175</v>
      </c>
      <c r="P140" s="2">
        <f t="shared" si="39"/>
        <v>23.678674294848111</v>
      </c>
      <c r="Q140" s="2">
        <f>K140-VLOOKUP($E140,Scores!$AG$1:$AM$7,7,FALSE)</f>
        <v>1.182857142857145</v>
      </c>
      <c r="R140" s="2">
        <f>O140-VLOOKUP($E140,Scores!$AG$1:$AM$7,7,FALSE)</f>
        <v>-1.8129600091338212</v>
      </c>
      <c r="S140" s="2">
        <f>P140-VLOOKUP($E140,Scores!$AG$1:$AM$7,7,FALSE)</f>
        <v>4.1786742948481148</v>
      </c>
      <c r="T140">
        <f t="shared" si="35"/>
        <v>180</v>
      </c>
      <c r="U140" s="23">
        <f t="shared" si="36"/>
        <v>38</v>
      </c>
      <c r="V140">
        <f t="shared" si="28"/>
        <v>13</v>
      </c>
      <c r="W140">
        <f t="shared" si="29"/>
        <v>1</v>
      </c>
      <c r="X140" t="str">
        <f>D140&amp;COUNTIF(D$1:D140,D140)</f>
        <v>cory13</v>
      </c>
      <c r="Y140" t="str">
        <f>D140&amp;E140&amp;COUNTIFS(D$1:D140,D140,E$1:E140,E140)</f>
        <v>coryQB2</v>
      </c>
      <c r="Z140" t="s">
        <v>245</v>
      </c>
      <c r="AA140" t="s">
        <v>13</v>
      </c>
    </row>
    <row r="141" spans="1:27" x14ac:dyDescent="0.25">
      <c r="A141">
        <f t="shared" si="37"/>
        <v>140</v>
      </c>
      <c r="B141">
        <f>MATCH(A141,'ROS Proj'!$AI$2:$AI$561,0)</f>
        <v>503</v>
      </c>
      <c r="C141" t="str">
        <f>INDEX('ROS Proj'!$A$2:$A$561,$B141)</f>
        <v>Stephen Gostkowski</v>
      </c>
      <c r="D141" t="str">
        <f>IFERROR(INDEX(Rosters!$C$2:$C$155,MATCH($C141,Rosters!$B$2:$B$155,0)),"FA")</f>
        <v>comp</v>
      </c>
      <c r="E141" t="str">
        <f>INDEX('ROS Proj'!$B$2:$B$561,$B141)</f>
        <v>K</v>
      </c>
      <c r="F141" t="str">
        <f>E141&amp;COUNTIF(E$1:E141,E141)</f>
        <v>K6</v>
      </c>
      <c r="G141">
        <f t="shared" si="30"/>
        <v>0</v>
      </c>
      <c r="H141">
        <f t="shared" si="31"/>
        <v>-5</v>
      </c>
      <c r="I141" t="str">
        <f t="shared" si="32"/>
        <v>K18-167</v>
      </c>
      <c r="J141" t="str">
        <f t="shared" si="33"/>
        <v>K1-49</v>
      </c>
      <c r="K141" s="2">
        <f>INDEX('ROS Proj'!$T$2:$T$561,$B141)</f>
        <v>7.9814285714285722</v>
      </c>
      <c r="L141" s="23">
        <f>INDEX('ROS Proj'!$AL$2:$AL$561,$B141)</f>
        <v>7</v>
      </c>
      <c r="M141" s="2">
        <f>SQRT(IF(E141="K",SUMIFS('K Proj'!$P$2:$P$508,'K Proj'!$B$2:$B$508,$C141,'K Proj'!$A$2:$A$508,"&gt;"&amp;Week,'K Proj'!$A$2:$A$508,"&lt;=13"),IF(E141="D",SUMIFS('D Proj'!$N$2:$N$513,'D Proj'!$B$2:$B$513,$C141,'D Proj'!$A$2:$A$513,"&gt;"&amp;Week,'D Proj'!$A$2:$A$513,"&lt;=13"),SUMIFS('F Proj'!$J$2:$J$7669,'F Proj'!$B$2:$B$7669,$C141,'F Proj'!$A$2:$A$7669,"&gt;"&amp;Week,'F Proj'!$A$2:$A$7669,"&lt;=13"))))</f>
        <v>11.411266362678596</v>
      </c>
      <c r="N141" s="2">
        <f t="shared" si="34"/>
        <v>1.4297273051503521</v>
      </c>
      <c r="O141" s="2">
        <f t="shared" si="38"/>
        <v>6.3512476624744867</v>
      </c>
      <c r="P141" s="2">
        <f t="shared" si="39"/>
        <v>9.6116094803826559</v>
      </c>
      <c r="Q141" s="2">
        <f>K141-VLOOKUP($E141,Scores!$AG$1:$AM$7,7,FALSE)</f>
        <v>0.5600000000000005</v>
      </c>
      <c r="R141" s="2">
        <f>O141-VLOOKUP($E141,Scores!$AG$1:$AM$7,7,FALSE)</f>
        <v>-1.070180908954085</v>
      </c>
      <c r="S141" s="2">
        <f>P141-VLOOKUP($E141,Scores!$AG$1:$AM$7,7,FALSE)</f>
        <v>2.1901809089540842</v>
      </c>
      <c r="T141">
        <f t="shared" si="35"/>
        <v>167</v>
      </c>
      <c r="U141" s="23">
        <f t="shared" si="36"/>
        <v>49</v>
      </c>
      <c r="V141">
        <f t="shared" si="28"/>
        <v>18</v>
      </c>
      <c r="W141">
        <f t="shared" si="29"/>
        <v>1</v>
      </c>
      <c r="X141" t="str">
        <f>D141&amp;COUNTIF(D$1:D141,D141)</f>
        <v>comp12</v>
      </c>
      <c r="Y141" t="str">
        <f>D141&amp;E141&amp;COUNTIFS(D$1:D141,D141,E$1:E141,E141)</f>
        <v>compK1</v>
      </c>
      <c r="Z141" t="s">
        <v>1211</v>
      </c>
      <c r="AA141" t="s">
        <v>446</v>
      </c>
    </row>
    <row r="142" spans="1:27" x14ac:dyDescent="0.25">
      <c r="A142">
        <f t="shared" si="37"/>
        <v>141</v>
      </c>
      <c r="B142">
        <f>MATCH(A142,'ROS Proj'!$AI$2:$AI$561,0)</f>
        <v>78</v>
      </c>
      <c r="C142" t="str">
        <f>INDEX('ROS Proj'!$A$2:$A$561,$B142)</f>
        <v>Cameron Brate</v>
      </c>
      <c r="D142" t="str">
        <f>IFERROR(INDEX(Rosters!$C$2:$C$155,MATCH($C142,Rosters!$B$2:$B$155,0)),"FA")</f>
        <v>FA</v>
      </c>
      <c r="E142" t="str">
        <f>INDEX('ROS Proj'!$B$2:$B$561,$B142)</f>
        <v>TE</v>
      </c>
      <c r="F142" t="str">
        <f>E142&amp;COUNTIF(E$1:E142,E142)</f>
        <v>TE11</v>
      </c>
      <c r="G142">
        <f t="shared" si="30"/>
        <v>0</v>
      </c>
      <c r="H142">
        <f t="shared" si="31"/>
        <v>60</v>
      </c>
      <c r="I142" t="str">
        <f t="shared" si="32"/>
        <v>TE19-190</v>
      </c>
      <c r="J142" t="str">
        <f t="shared" si="33"/>
        <v>TE9-78</v>
      </c>
      <c r="K142" s="2">
        <f>INDEX('ROS Proj'!$T$2:$T$561,$B142)</f>
        <v>4.6100000000000003</v>
      </c>
      <c r="L142" s="23">
        <f>INDEX('ROS Proj'!$AL$2:$AL$561,$B142)</f>
        <v>8</v>
      </c>
      <c r="M142" s="2">
        <f>SQRT(IF(E142="K",SUMIFS('K Proj'!$P$2:$P$508,'K Proj'!$B$2:$B$508,$C142,'K Proj'!$A$2:$A$508,"&gt;"&amp;Week,'K Proj'!$A$2:$A$508,"&lt;=13"),IF(E142="D",SUMIFS('D Proj'!$N$2:$N$513,'D Proj'!$B$2:$B$513,$C142,'D Proj'!$A$2:$A$513,"&gt;"&amp;Week,'D Proj'!$A$2:$A$513,"&lt;=13"),SUMIFS('F Proj'!$J$2:$J$7669,'F Proj'!$B$2:$B$7669,$C142,'F Proj'!$A$2:$A$7669,"&gt;"&amp;Week,'F Proj'!$A$2:$A$7669,"&lt;=13"))))</f>
        <v>10.339337502954432</v>
      </c>
      <c r="N142" s="2">
        <f t="shared" si="34"/>
        <v>2.2428063997731957</v>
      </c>
      <c r="O142" s="2">
        <f t="shared" si="38"/>
        <v>3.3175828121306963</v>
      </c>
      <c r="P142" s="2">
        <f t="shared" si="39"/>
        <v>5.9024171878693039</v>
      </c>
      <c r="Q142" s="2">
        <f>K142-VLOOKUP($E142,Scores!$AG$1:$AM$7,7,FALSE)</f>
        <v>-0.5699999999999994</v>
      </c>
      <c r="R142" s="2">
        <f>O142-VLOOKUP($E142,Scores!$AG$1:$AM$7,7,FALSE)</f>
        <v>-1.8624171878693034</v>
      </c>
      <c r="S142" s="2">
        <f>P142-VLOOKUP($E142,Scores!$AG$1:$AM$7,7,FALSE)</f>
        <v>0.7224171878693042</v>
      </c>
      <c r="T142">
        <f t="shared" si="35"/>
        <v>190</v>
      </c>
      <c r="U142" s="23">
        <f t="shared" si="36"/>
        <v>78</v>
      </c>
      <c r="V142">
        <f t="shared" si="28"/>
        <v>19</v>
      </c>
      <c r="W142">
        <f t="shared" si="29"/>
        <v>9</v>
      </c>
      <c r="X142" t="str">
        <f>D142&amp;COUNTIF(D$1:D142,D142)</f>
        <v>FA24</v>
      </c>
      <c r="Y142" t="str">
        <f>D142&amp;E142&amp;COUNTIFS(D$1:D142,D142,E$1:E142,E142)</f>
        <v>FATE2</v>
      </c>
      <c r="Z142" t="s">
        <v>280</v>
      </c>
      <c r="AA142" t="s">
        <v>213</v>
      </c>
    </row>
    <row r="143" spans="1:27" x14ac:dyDescent="0.25">
      <c r="A143">
        <f t="shared" si="37"/>
        <v>142</v>
      </c>
      <c r="B143">
        <f>MATCH(A143,'ROS Proj'!$AI$2:$AI$561,0)</f>
        <v>180</v>
      </c>
      <c r="C143" t="str">
        <f>INDEX('ROS Proj'!$A$2:$A$561,$B143)</f>
        <v>Eric Ebron</v>
      </c>
      <c r="D143" t="str">
        <f>IFERROR(INDEX(Rosters!$C$2:$C$155,MATCH($C143,Rosters!$B$2:$B$155,0)),"FA")</f>
        <v>devon</v>
      </c>
      <c r="E143" t="str">
        <f>INDEX('ROS Proj'!$B$2:$B$561,$B143)</f>
        <v>TE</v>
      </c>
      <c r="F143" t="str">
        <f>E143&amp;COUNTIF(E$1:E143,E143)</f>
        <v>TE12</v>
      </c>
      <c r="G143">
        <f t="shared" si="30"/>
        <v>0</v>
      </c>
      <c r="H143">
        <f t="shared" si="31"/>
        <v>20</v>
      </c>
      <c r="I143" t="str">
        <f t="shared" si="32"/>
        <v>TE18-167</v>
      </c>
      <c r="J143" t="str">
        <f t="shared" si="33"/>
        <v>TE6-54</v>
      </c>
      <c r="K143" s="2">
        <f>INDEX('ROS Proj'!$T$2:$T$561,$B143)</f>
        <v>5.25</v>
      </c>
      <c r="L143" s="23">
        <f>INDEX('ROS Proj'!$AL$2:$AL$561,$B143)</f>
        <v>7</v>
      </c>
      <c r="M143" s="2">
        <f>SQRT(IF(E143="K",SUMIFS('K Proj'!$P$2:$P$508,'K Proj'!$B$2:$B$508,$C143,'K Proj'!$A$2:$A$508,"&gt;"&amp;Week,'K Proj'!$A$2:$A$508,"&lt;=13"),IF(E143="D",SUMIFS('D Proj'!$N$2:$N$513,'D Proj'!$B$2:$B$513,$C143,'D Proj'!$A$2:$A$513,"&gt;"&amp;Week,'D Proj'!$A$2:$A$513,"&lt;=13"),SUMIFS('F Proj'!$J$2:$J$7669,'F Proj'!$B$2:$B$7669,$C143,'F Proj'!$A$2:$A$7669,"&gt;"&amp;Week,'F Proj'!$A$2:$A$7669,"&lt;=13"))))</f>
        <v>10.11489495743777</v>
      </c>
      <c r="N143" s="2">
        <f t="shared" si="34"/>
        <v>1.9266466585595752</v>
      </c>
      <c r="O143" s="2">
        <f t="shared" si="38"/>
        <v>3.8050150060803185</v>
      </c>
      <c r="P143" s="2">
        <f t="shared" si="39"/>
        <v>6.6949849939196815</v>
      </c>
      <c r="Q143" s="2">
        <f>K143-VLOOKUP($E143,Scores!$AG$1:$AM$7,7,FALSE)</f>
        <v>7.0000000000000284E-2</v>
      </c>
      <c r="R143" s="2">
        <f>O143-VLOOKUP($E143,Scores!$AG$1:$AM$7,7,FALSE)</f>
        <v>-1.3749849939196812</v>
      </c>
      <c r="S143" s="2">
        <f>P143-VLOOKUP($E143,Scores!$AG$1:$AM$7,7,FALSE)</f>
        <v>1.5149849939196818</v>
      </c>
      <c r="T143">
        <f t="shared" si="35"/>
        <v>167</v>
      </c>
      <c r="U143" s="23">
        <f t="shared" si="36"/>
        <v>54</v>
      </c>
      <c r="V143">
        <f t="shared" si="28"/>
        <v>18</v>
      </c>
      <c r="W143">
        <f t="shared" si="29"/>
        <v>6</v>
      </c>
      <c r="X143" t="str">
        <f>D143&amp;COUNTIF(D$1:D143,D143)</f>
        <v>devon13</v>
      </c>
      <c r="Y143" t="str">
        <f>D143&amp;E143&amp;COUNTIFS(D$1:D143,D143,E$1:E143,E143)</f>
        <v>devonTE1</v>
      </c>
      <c r="Z143" t="s">
        <v>413</v>
      </c>
      <c r="AA143" t="s">
        <v>178</v>
      </c>
    </row>
    <row r="144" spans="1:27" x14ac:dyDescent="0.25">
      <c r="A144">
        <f t="shared" si="37"/>
        <v>143</v>
      </c>
      <c r="B144">
        <f>MATCH(A144,'ROS Proj'!$AI$2:$AI$561,0)</f>
        <v>42</v>
      </c>
      <c r="C144" t="str">
        <f>INDEX('ROS Proj'!$A$2:$A$561,$B144)</f>
        <v>Austin Hooper</v>
      </c>
      <c r="D144" t="str">
        <f>IFERROR(INDEX(Rosters!$C$2:$C$155,MATCH($C144,Rosters!$B$2:$B$155,0)),"FA")</f>
        <v>comp</v>
      </c>
      <c r="E144" t="str">
        <f>INDEX('ROS Proj'!$B$2:$B$561,$B144)</f>
        <v>TE</v>
      </c>
      <c r="F144" t="str">
        <f>E144&amp;COUNTIF(E$1:E144,E144)</f>
        <v>TE13</v>
      </c>
      <c r="G144">
        <f t="shared" si="30"/>
        <v>0</v>
      </c>
      <c r="H144">
        <f t="shared" si="31"/>
        <v>27</v>
      </c>
      <c r="I144" t="str">
        <f t="shared" si="32"/>
        <v>TE19-180</v>
      </c>
      <c r="J144" t="str">
        <f t="shared" si="33"/>
        <v>TE5-54</v>
      </c>
      <c r="K144" s="2">
        <f>INDEX('ROS Proj'!$T$2:$T$561,$B144)</f>
        <v>5.2457142857142856</v>
      </c>
      <c r="L144" s="23">
        <f>INDEX('ROS Proj'!$AL$2:$AL$561,$B144)</f>
        <v>7</v>
      </c>
      <c r="M144" s="2">
        <f>SQRT(IF(E144="K",SUMIFS('K Proj'!$P$2:$P$508,'K Proj'!$B$2:$B$508,$C144,'K Proj'!$A$2:$A$508,"&gt;"&amp;Week,'K Proj'!$A$2:$A$508,"&lt;=13"),IF(E144="D",SUMIFS('D Proj'!$N$2:$N$513,'D Proj'!$B$2:$B$513,$C144,'D Proj'!$A$2:$A$513,"&gt;"&amp;Week,'D Proj'!$A$2:$A$513,"&lt;=13"),SUMIFS('F Proj'!$J$2:$J$7669,'F Proj'!$B$2:$B$7669,$C144,'F Proj'!$A$2:$A$7669,"&gt;"&amp;Week,'F Proj'!$A$2:$A$7669,"&lt;=13"))))</f>
        <v>12.897895177120954</v>
      </c>
      <c r="N144" s="2">
        <f t="shared" si="34"/>
        <v>2.4587490806058465</v>
      </c>
      <c r="O144" s="2">
        <f t="shared" si="38"/>
        <v>3.4031578318398634</v>
      </c>
      <c r="P144" s="2">
        <f t="shared" si="39"/>
        <v>7.0882707395887081</v>
      </c>
      <c r="Q144" s="2">
        <f>K144-VLOOKUP($E144,Scores!$AG$1:$AM$7,7,FALSE)</f>
        <v>6.5714285714285836E-2</v>
      </c>
      <c r="R144" s="2">
        <f>O144-VLOOKUP($E144,Scores!$AG$1:$AM$7,7,FALSE)</f>
        <v>-1.7768421681601363</v>
      </c>
      <c r="S144" s="2">
        <f>P144-VLOOKUP($E144,Scores!$AG$1:$AM$7,7,FALSE)</f>
        <v>1.9082707395887084</v>
      </c>
      <c r="T144">
        <f t="shared" si="35"/>
        <v>180</v>
      </c>
      <c r="U144" s="23">
        <f t="shared" si="36"/>
        <v>54</v>
      </c>
      <c r="V144">
        <f t="shared" si="28"/>
        <v>19</v>
      </c>
      <c r="W144">
        <f t="shared" si="29"/>
        <v>5</v>
      </c>
      <c r="X144" t="str">
        <f>D144&amp;COUNTIF(D$1:D144,D144)</f>
        <v>comp13</v>
      </c>
      <c r="Y144" t="str">
        <f>D144&amp;E144&amp;COUNTIFS(D$1:D144,D144,E$1:E144,E144)</f>
        <v>compTE2</v>
      </c>
      <c r="Z144" t="s">
        <v>1121</v>
      </c>
      <c r="AA144" t="s">
        <v>211</v>
      </c>
    </row>
    <row r="145" spans="1:27" x14ac:dyDescent="0.25">
      <c r="A145">
        <f t="shared" si="37"/>
        <v>144</v>
      </c>
      <c r="B145">
        <f>MATCH(A145,'ROS Proj'!$AI$2:$AI$561,0)</f>
        <v>517</v>
      </c>
      <c r="C145" t="str">
        <f>INDEX('ROS Proj'!$A$2:$A$561,$B145)</f>
        <v>Dustin Hopkins</v>
      </c>
      <c r="D145" t="str">
        <f>IFERROR(INDEX(Rosters!$C$2:$C$155,MATCH($C145,Rosters!$B$2:$B$155,0)),"FA")</f>
        <v>FA</v>
      </c>
      <c r="E145" t="str">
        <f>INDEX('ROS Proj'!$B$2:$B$561,$B145)</f>
        <v>K</v>
      </c>
      <c r="F145" t="str">
        <f>E145&amp;COUNTIF(E$1:E145,E145)</f>
        <v>K7</v>
      </c>
      <c r="G145">
        <f t="shared" si="30"/>
        <v>0</v>
      </c>
      <c r="H145">
        <f t="shared" si="31"/>
        <v>43</v>
      </c>
      <c r="I145" t="str">
        <f t="shared" si="32"/>
        <v>K18-200</v>
      </c>
      <c r="J145" t="str">
        <f t="shared" si="33"/>
        <v>K2-78</v>
      </c>
      <c r="K145" s="2">
        <f>INDEX('ROS Proj'!$T$2:$T$561,$B145)</f>
        <v>6.8762500000000006</v>
      </c>
      <c r="L145" s="23">
        <f>INDEX('ROS Proj'!$AL$2:$AL$561,$B145)</f>
        <v>8</v>
      </c>
      <c r="M145" s="2">
        <f>SQRT(IF(E145="K",SUMIFS('K Proj'!$P$2:$P$508,'K Proj'!$B$2:$B$508,$C145,'K Proj'!$A$2:$A$508,"&gt;"&amp;Week,'K Proj'!$A$2:$A$508,"&lt;=13"),IF(E145="D",SUMIFS('D Proj'!$N$2:$N$513,'D Proj'!$B$2:$B$513,$C145,'D Proj'!$A$2:$A$513,"&gt;"&amp;Week,'D Proj'!$A$2:$A$513,"&lt;=13"),SUMIFS('F Proj'!$J$2:$J$7669,'F Proj'!$B$2:$B$7669,$C145,'F Proj'!$A$2:$A$7669,"&gt;"&amp;Week,'F Proj'!$A$2:$A$7669,"&lt;=13"))))</f>
        <v>11.723071269936048</v>
      </c>
      <c r="N145" s="2">
        <f t="shared" si="34"/>
        <v>1.704864027622039</v>
      </c>
      <c r="O145" s="2">
        <f t="shared" si="38"/>
        <v>5.4108660912579944</v>
      </c>
      <c r="P145" s="2">
        <f t="shared" si="39"/>
        <v>8.3416339087420059</v>
      </c>
      <c r="Q145" s="2">
        <f>K145-VLOOKUP($E145,Scores!$AG$1:$AM$7,7,FALSE)</f>
        <v>-0.54517857142857107</v>
      </c>
      <c r="R145" s="2">
        <f>O145-VLOOKUP($E145,Scores!$AG$1:$AM$7,7,FALSE)</f>
        <v>-2.0105624801705773</v>
      </c>
      <c r="S145" s="2">
        <f>P145-VLOOKUP($E145,Scores!$AG$1:$AM$7,7,FALSE)</f>
        <v>0.92020533731343424</v>
      </c>
      <c r="T145">
        <f t="shared" si="35"/>
        <v>200</v>
      </c>
      <c r="U145" s="23">
        <f t="shared" si="36"/>
        <v>78</v>
      </c>
      <c r="V145">
        <f t="shared" si="28"/>
        <v>18</v>
      </c>
      <c r="W145">
        <f t="shared" si="29"/>
        <v>2</v>
      </c>
      <c r="X145" t="str">
        <f>D145&amp;COUNTIF(D$1:D145,D145)</f>
        <v>FA25</v>
      </c>
      <c r="Y145" t="str">
        <f>D145&amp;E145&amp;COUNTIFS(D$1:D145,D145,E$1:E145,E145)</f>
        <v>FAK4</v>
      </c>
      <c r="Z145" t="s">
        <v>4205</v>
      </c>
      <c r="AA145" t="s">
        <v>1120</v>
      </c>
    </row>
    <row r="146" spans="1:27" x14ac:dyDescent="0.25">
      <c r="A146">
        <f t="shared" si="37"/>
        <v>145</v>
      </c>
      <c r="B146">
        <f>MATCH(A146,'ROS Proj'!$AI$2:$AI$561,0)</f>
        <v>532</v>
      </c>
      <c r="C146" t="str">
        <f>INDEX('ROS Proj'!$A$2:$A$561,$B146)</f>
        <v>Rams D/ST</v>
      </c>
      <c r="D146" t="str">
        <f>IFERROR(INDEX(Rosters!$C$2:$C$155,MATCH($C146,Rosters!$B$2:$B$155,0)),"FA")</f>
        <v>scott</v>
      </c>
      <c r="E146" t="str">
        <f>INDEX('ROS Proj'!$B$2:$B$561,$B146)</f>
        <v>D</v>
      </c>
      <c r="F146" t="str">
        <f>E146&amp;COUNTIF(E$1:E146,E146)</f>
        <v>D7</v>
      </c>
      <c r="G146">
        <f t="shared" si="30"/>
        <v>0</v>
      </c>
      <c r="H146">
        <f t="shared" si="31"/>
        <v>12</v>
      </c>
      <c r="I146" t="str">
        <f t="shared" si="32"/>
        <v>D16-167</v>
      </c>
      <c r="J146" t="str">
        <f t="shared" si="33"/>
        <v>D1-40</v>
      </c>
      <c r="K146" s="2">
        <f>INDEX('ROS Proj'!$T$2:$T$561,$B146)</f>
        <v>6.82</v>
      </c>
      <c r="L146" s="23">
        <f>INDEX('ROS Proj'!$AL$2:$AL$561,$B146)</f>
        <v>7</v>
      </c>
      <c r="M146" s="2">
        <f>SQRT(IF(E146="K",SUMIFS('K Proj'!$P$2:$P$508,'K Proj'!$B$2:$B$508,$C146,'K Proj'!$A$2:$A$508,"&gt;"&amp;Week,'K Proj'!$A$2:$A$508,"&lt;=13"),IF(E146="D",SUMIFS('D Proj'!$N$2:$N$513,'D Proj'!$B$2:$B$513,$C146,'D Proj'!$A$2:$A$513,"&gt;"&amp;Week,'D Proj'!$A$2:$A$513,"&lt;=13"),SUMIFS('F Proj'!$J$2:$J$7669,'F Proj'!$B$2:$B$7669,$C146,'F Proj'!$A$2:$A$7669,"&gt;"&amp;Week,'F Proj'!$A$2:$A$7669,"&lt;=13"))))</f>
        <v>13.687793832462557</v>
      </c>
      <c r="N146" s="2">
        <f t="shared" si="34"/>
        <v>2.0070078933229554</v>
      </c>
      <c r="O146" s="2">
        <f t="shared" si="38"/>
        <v>4.864600881076778</v>
      </c>
      <c r="P146" s="2">
        <f t="shared" si="39"/>
        <v>8.7753991189232217</v>
      </c>
      <c r="Q146" s="2">
        <f>K146-VLOOKUP($E146,Scores!$AG$1:$AM$7,7,FALSE)</f>
        <v>0.64571428571428591</v>
      </c>
      <c r="R146" s="2">
        <f>O146-VLOOKUP($E146,Scores!$AG$1:$AM$7,7,FALSE)</f>
        <v>-1.3096848332089364</v>
      </c>
      <c r="S146" s="2">
        <f>P146-VLOOKUP($E146,Scores!$AG$1:$AM$7,7,FALSE)</f>
        <v>2.6011134046375073</v>
      </c>
      <c r="T146">
        <f t="shared" si="35"/>
        <v>167</v>
      </c>
      <c r="U146" s="23">
        <f t="shared" si="36"/>
        <v>40</v>
      </c>
      <c r="V146">
        <f t="shared" si="28"/>
        <v>16</v>
      </c>
      <c r="W146">
        <f t="shared" si="29"/>
        <v>1</v>
      </c>
      <c r="X146" t="str">
        <f>D146&amp;COUNTIF(D$1:D146,D146)</f>
        <v>scott12</v>
      </c>
      <c r="Y146" t="str">
        <f>D146&amp;E146&amp;COUNTIFS(D$1:D146,D146,E$1:E146,E146)</f>
        <v>scottD1</v>
      </c>
      <c r="Z146" t="s">
        <v>215</v>
      </c>
      <c r="AA146" t="s">
        <v>420</v>
      </c>
    </row>
    <row r="147" spans="1:27" x14ac:dyDescent="0.25">
      <c r="A147">
        <f t="shared" si="37"/>
        <v>146</v>
      </c>
      <c r="B147">
        <f>MATCH(A147,'ROS Proj'!$AI$2:$AI$561,0)</f>
        <v>498</v>
      </c>
      <c r="C147" t="str">
        <f>INDEX('ROS Proj'!$A$2:$A$561,$B147)</f>
        <v>Wil Lutz</v>
      </c>
      <c r="D147" t="str">
        <f>IFERROR(INDEX(Rosters!$C$2:$C$155,MATCH($C147,Rosters!$B$2:$B$155,0)),"FA")</f>
        <v>cory</v>
      </c>
      <c r="E147" t="str">
        <f>INDEX('ROS Proj'!$B$2:$B$561,$B147)</f>
        <v>K</v>
      </c>
      <c r="F147" t="str">
        <f>E147&amp;COUNTIF(E$1:E147,E147)</f>
        <v>K8</v>
      </c>
      <c r="G147">
        <f t="shared" si="30"/>
        <v>0</v>
      </c>
      <c r="H147">
        <f t="shared" si="31"/>
        <v>-19</v>
      </c>
      <c r="I147" t="str">
        <f t="shared" si="32"/>
        <v>K18-167</v>
      </c>
      <c r="J147" t="str">
        <f t="shared" si="33"/>
        <v>K1-54</v>
      </c>
      <c r="K147" s="2">
        <f>INDEX('ROS Proj'!$T$2:$T$561,$B147)</f>
        <v>7.8128571428571423</v>
      </c>
      <c r="L147" s="23">
        <f>INDEX('ROS Proj'!$AL$2:$AL$561,$B147)</f>
        <v>7</v>
      </c>
      <c r="M147" s="2">
        <f>SQRT(IF(E147="K",SUMIFS('K Proj'!$P$2:$P$508,'K Proj'!$B$2:$B$508,$C147,'K Proj'!$A$2:$A$508,"&gt;"&amp;Week,'K Proj'!$A$2:$A$508,"&lt;=13"),IF(E147="D",SUMIFS('D Proj'!$N$2:$N$513,'D Proj'!$B$2:$B$513,$C147,'D Proj'!$A$2:$A$513,"&gt;"&amp;Week,'D Proj'!$A$2:$A$513,"&lt;=13"),SUMIFS('F Proj'!$J$2:$J$7669,'F Proj'!$B$2:$B$7669,$C147,'F Proj'!$A$2:$A$7669,"&gt;"&amp;Week,'F Proj'!$A$2:$A$7669,"&lt;=13"))))</f>
        <v>10.620207154288471</v>
      </c>
      <c r="N147" s="2">
        <f t="shared" si="34"/>
        <v>1.3593243752060578</v>
      </c>
      <c r="O147" s="2">
        <f t="shared" si="38"/>
        <v>6.295684692244504</v>
      </c>
      <c r="P147" s="2">
        <f t="shared" si="39"/>
        <v>9.3300295934697797</v>
      </c>
      <c r="Q147" s="2">
        <f>K147-VLOOKUP($E147,Scores!$AG$1:$AM$7,7,FALSE)</f>
        <v>0.39142857142857057</v>
      </c>
      <c r="R147" s="2">
        <f>O147-VLOOKUP($E147,Scores!$AG$1:$AM$7,7,FALSE)</f>
        <v>-1.1257438791840677</v>
      </c>
      <c r="S147" s="2">
        <f>P147-VLOOKUP($E147,Scores!$AG$1:$AM$7,7,FALSE)</f>
        <v>1.908601022041208</v>
      </c>
      <c r="T147">
        <f t="shared" si="35"/>
        <v>167</v>
      </c>
      <c r="U147" s="23">
        <f t="shared" si="36"/>
        <v>54</v>
      </c>
      <c r="V147">
        <f t="shared" si="28"/>
        <v>18</v>
      </c>
      <c r="W147">
        <f t="shared" si="29"/>
        <v>1</v>
      </c>
      <c r="X147" t="str">
        <f>D147&amp;COUNTIF(D$1:D147,D147)</f>
        <v>cory14</v>
      </c>
      <c r="Y147" t="str">
        <f>D147&amp;E147&amp;COUNTIFS(D$1:D147,D147,E$1:E147,E147)</f>
        <v>coryK1</v>
      </c>
      <c r="Z147" t="s">
        <v>1397</v>
      </c>
      <c r="AA147" t="s">
        <v>462</v>
      </c>
    </row>
    <row r="148" spans="1:27" x14ac:dyDescent="0.25">
      <c r="A148">
        <f t="shared" si="37"/>
        <v>147</v>
      </c>
      <c r="B148">
        <f>MATCH(A148,'ROS Proj'!$AI$2:$AI$561,0)</f>
        <v>155</v>
      </c>
      <c r="C148" t="str">
        <f>INDEX('ROS Proj'!$A$2:$A$561,$B148)</f>
        <v>Deshaun Watson</v>
      </c>
      <c r="D148" t="str">
        <f>IFERROR(INDEX(Rosters!$C$2:$C$155,MATCH($C148,Rosters!$B$2:$B$155,0)),"FA")</f>
        <v>chad</v>
      </c>
      <c r="E148" t="str">
        <f>INDEX('ROS Proj'!$B$2:$B$561,$B148)</f>
        <v>QB</v>
      </c>
      <c r="F148" t="str">
        <f>E148&amp;COUNTIF(E$1:E148,E148)</f>
        <v>QB10</v>
      </c>
      <c r="G148">
        <f t="shared" si="30"/>
        <v>0</v>
      </c>
      <c r="H148">
        <f t="shared" si="31"/>
        <v>-26</v>
      </c>
      <c r="I148" t="str">
        <f t="shared" si="32"/>
        <v>QB13-200</v>
      </c>
      <c r="J148" t="str">
        <f t="shared" si="33"/>
        <v>QB1-39</v>
      </c>
      <c r="K148" s="2">
        <f>INDEX('ROS Proj'!$T$2:$T$561,$B148)</f>
        <v>20.501428571428569</v>
      </c>
      <c r="L148" s="23">
        <f>INDEX('ROS Proj'!$AL$2:$AL$561,$B148)</f>
        <v>7</v>
      </c>
      <c r="M148" s="2">
        <f>SQRT(IF(E148="K",SUMIFS('K Proj'!$P$2:$P$508,'K Proj'!$B$2:$B$508,$C148,'K Proj'!$A$2:$A$508,"&gt;"&amp;Week,'K Proj'!$A$2:$A$508,"&lt;=13"),IF(E148="D",SUMIFS('D Proj'!$N$2:$N$513,'D Proj'!$B$2:$B$513,$C148,'D Proj'!$A$2:$A$513,"&gt;"&amp;Week,'D Proj'!$A$2:$A$513,"&lt;=13"),SUMIFS('F Proj'!$J$2:$J$7669,'F Proj'!$B$2:$B$7669,$C148,'F Proj'!$A$2:$A$7669,"&gt;"&amp;Week,'F Proj'!$A$2:$A$7669,"&lt;=13"))))</f>
        <v>21.048256459859093</v>
      </c>
      <c r="N148" s="2">
        <f t="shared" si="34"/>
        <v>1.0266726724201356</v>
      </c>
      <c r="O148" s="2">
        <f t="shared" si="38"/>
        <v>17.4945347914487</v>
      </c>
      <c r="P148" s="2">
        <f t="shared" si="39"/>
        <v>23.508322351408442</v>
      </c>
      <c r="Q148" s="2">
        <f>K148-VLOOKUP($E148,Scores!$AG$1:$AM$7,7,FALSE)</f>
        <v>1.0014285714285727</v>
      </c>
      <c r="R148" s="2">
        <f>O148-VLOOKUP($E148,Scores!$AG$1:$AM$7,7,FALSE)</f>
        <v>-2.0054652085512963</v>
      </c>
      <c r="S148" s="2">
        <f>P148-VLOOKUP($E148,Scores!$AG$1:$AM$7,7,FALSE)</f>
        <v>4.0083223514084452</v>
      </c>
      <c r="T148">
        <f t="shared" si="35"/>
        <v>200</v>
      </c>
      <c r="U148" s="23">
        <f t="shared" si="36"/>
        <v>39</v>
      </c>
      <c r="V148">
        <f t="shared" si="28"/>
        <v>13</v>
      </c>
      <c r="W148">
        <f t="shared" si="29"/>
        <v>1</v>
      </c>
      <c r="X148" t="str">
        <f>D148&amp;COUNTIF(D$1:D148,D148)</f>
        <v>chad14</v>
      </c>
      <c r="Y148" t="str">
        <f>D148&amp;E148&amp;COUNTIFS(D$1:D148,D148,E$1:E148,E148)</f>
        <v>chadQB1</v>
      </c>
      <c r="Z148" t="s">
        <v>226</v>
      </c>
      <c r="AA148" t="s">
        <v>179</v>
      </c>
    </row>
    <row r="149" spans="1:27" x14ac:dyDescent="0.25">
      <c r="A149">
        <f t="shared" si="37"/>
        <v>148</v>
      </c>
      <c r="B149">
        <f>MATCH(A149,'ROS Proj'!$AI$2:$AI$561,0)</f>
        <v>47</v>
      </c>
      <c r="C149" t="str">
        <f>INDEX('ROS Proj'!$A$2:$A$561,$B149)</f>
        <v>Benjamin Watson</v>
      </c>
      <c r="D149" t="str">
        <f>IFERROR(INDEX(Rosters!$C$2:$C$155,MATCH($C149,Rosters!$B$2:$B$155,0)),"FA")</f>
        <v>FA</v>
      </c>
      <c r="E149" t="str">
        <f>INDEX('ROS Proj'!$B$2:$B$561,$B149)</f>
        <v>TE</v>
      </c>
      <c r="F149" t="str">
        <f>E149&amp;COUNTIF(E$1:E149,E149)</f>
        <v>TE14</v>
      </c>
      <c r="G149">
        <f t="shared" si="30"/>
        <v>0</v>
      </c>
      <c r="H149">
        <f t="shared" si="31"/>
        <v>-15</v>
      </c>
      <c r="I149" t="str">
        <f t="shared" si="32"/>
        <v>TE19-167</v>
      </c>
      <c r="J149" t="str">
        <f t="shared" si="33"/>
        <v>TE6-54</v>
      </c>
      <c r="K149" s="2">
        <f>INDEX('ROS Proj'!$T$2:$T$561,$B149)</f>
        <v>5.18</v>
      </c>
      <c r="L149" s="23">
        <f>INDEX('ROS Proj'!$AL$2:$AL$561,$B149)</f>
        <v>7</v>
      </c>
      <c r="M149" s="2">
        <f>SQRT(IF(E149="K",SUMIFS('K Proj'!$P$2:$P$508,'K Proj'!$B$2:$B$508,$C149,'K Proj'!$A$2:$A$508,"&gt;"&amp;Week,'K Proj'!$A$2:$A$508,"&lt;=13"),IF(E149="D",SUMIFS('D Proj'!$N$2:$N$513,'D Proj'!$B$2:$B$513,$C149,'D Proj'!$A$2:$A$513,"&gt;"&amp;Week,'D Proj'!$A$2:$A$513,"&lt;=13"),SUMIFS('F Proj'!$J$2:$J$7669,'F Proj'!$B$2:$B$7669,$C149,'F Proj'!$A$2:$A$7669,"&gt;"&amp;Week,'F Proj'!$A$2:$A$7669,"&lt;=13"))))</f>
        <v>10.840922469974592</v>
      </c>
      <c r="N149" s="2">
        <f t="shared" si="34"/>
        <v>2.0928421756707709</v>
      </c>
      <c r="O149" s="2">
        <f t="shared" si="38"/>
        <v>3.631296790003629</v>
      </c>
      <c r="P149" s="2">
        <f t="shared" si="39"/>
        <v>6.7287032099963699</v>
      </c>
      <c r="Q149" s="2">
        <f>K149-VLOOKUP($E149,Scores!$AG$1:$AM$7,7,FALSE)</f>
        <v>0</v>
      </c>
      <c r="R149" s="2">
        <f>O149-VLOOKUP($E149,Scores!$AG$1:$AM$7,7,FALSE)</f>
        <v>-1.5487032099963707</v>
      </c>
      <c r="S149" s="2">
        <f>P149-VLOOKUP($E149,Scores!$AG$1:$AM$7,7,FALSE)</f>
        <v>1.5487032099963702</v>
      </c>
      <c r="T149">
        <f t="shared" si="35"/>
        <v>167</v>
      </c>
      <c r="U149" s="23">
        <f t="shared" si="36"/>
        <v>54</v>
      </c>
      <c r="V149">
        <f t="shared" si="28"/>
        <v>19</v>
      </c>
      <c r="W149">
        <f t="shared" si="29"/>
        <v>6</v>
      </c>
      <c r="X149" t="str">
        <f>D149&amp;COUNTIF(D$1:D149,D149)</f>
        <v>FA26</v>
      </c>
      <c r="Y149" t="str">
        <f>D149&amp;E149&amp;COUNTIFS(D$1:D149,D149,E$1:E149,E149)</f>
        <v>FATE3</v>
      </c>
      <c r="Z149" t="s">
        <v>429</v>
      </c>
      <c r="AA149" t="s">
        <v>261</v>
      </c>
    </row>
    <row r="150" spans="1:27" x14ac:dyDescent="0.25">
      <c r="A150">
        <f t="shared" si="37"/>
        <v>149</v>
      </c>
      <c r="B150">
        <f>MATCH(A150,'ROS Proj'!$AI$2:$AI$561,0)</f>
        <v>500</v>
      </c>
      <c r="C150" t="str">
        <f>INDEX('ROS Proj'!$A$2:$A$561,$B150)</f>
        <v>Robbie Gould</v>
      </c>
      <c r="D150" t="str">
        <f>IFERROR(INDEX(Rosters!$C$2:$C$155,MATCH($C150,Rosters!$B$2:$B$155,0)),"FA")</f>
        <v>matty</v>
      </c>
      <c r="E150" t="str">
        <f>INDEX('ROS Proj'!$B$2:$B$561,$B150)</f>
        <v>K</v>
      </c>
      <c r="F150" t="str">
        <f>E150&amp;COUNTIF(E$1:E150,E150)</f>
        <v>K9</v>
      </c>
      <c r="G150">
        <f t="shared" si="30"/>
        <v>0</v>
      </c>
      <c r="H150">
        <f t="shared" si="31"/>
        <v>3</v>
      </c>
      <c r="I150" t="str">
        <f t="shared" si="32"/>
        <v>K18-167</v>
      </c>
      <c r="J150" t="str">
        <f t="shared" si="33"/>
        <v>K1-49</v>
      </c>
      <c r="K150" s="2">
        <f>INDEX('ROS Proj'!$T$2:$T$561,$B150)</f>
        <v>7.7857142857142856</v>
      </c>
      <c r="L150" s="23">
        <f>INDEX('ROS Proj'!$AL$2:$AL$561,$B150)</f>
        <v>7</v>
      </c>
      <c r="M150" s="2">
        <f>SQRT(IF(E150="K",SUMIFS('K Proj'!$P$2:$P$508,'K Proj'!$B$2:$B$508,$C150,'K Proj'!$A$2:$A$508,"&gt;"&amp;Week,'K Proj'!$A$2:$A$508,"&lt;=13"),IF(E150="D",SUMIFS('D Proj'!$N$2:$N$513,'D Proj'!$B$2:$B$513,$C150,'D Proj'!$A$2:$A$513,"&gt;"&amp;Week,'D Proj'!$A$2:$A$513,"&lt;=13"),SUMIFS('F Proj'!$J$2:$J$7669,'F Proj'!$B$2:$B$7669,$C150,'F Proj'!$A$2:$A$7669,"&gt;"&amp;Week,'F Proj'!$A$2:$A$7669,"&lt;=13"))))</f>
        <v>12.138097050196954</v>
      </c>
      <c r="N150" s="2">
        <f t="shared" si="34"/>
        <v>1.5590216394748382</v>
      </c>
      <c r="O150" s="2">
        <f t="shared" si="38"/>
        <v>6.0517004214004348</v>
      </c>
      <c r="P150" s="2">
        <f t="shared" si="39"/>
        <v>9.5197281500281381</v>
      </c>
      <c r="Q150" s="2">
        <f>K150-VLOOKUP($E150,Scores!$AG$1:$AM$7,7,FALSE)</f>
        <v>0.36428571428571388</v>
      </c>
      <c r="R150" s="2">
        <f>O150-VLOOKUP($E150,Scores!$AG$1:$AM$7,7,FALSE)</f>
        <v>-1.3697281500281369</v>
      </c>
      <c r="S150" s="2">
        <f>P150-VLOOKUP($E150,Scores!$AG$1:$AM$7,7,FALSE)</f>
        <v>2.0982995785995664</v>
      </c>
      <c r="T150">
        <f t="shared" si="35"/>
        <v>167</v>
      </c>
      <c r="U150" s="23">
        <f t="shared" si="36"/>
        <v>49</v>
      </c>
      <c r="V150">
        <f t="shared" si="28"/>
        <v>18</v>
      </c>
      <c r="W150">
        <f t="shared" si="29"/>
        <v>1</v>
      </c>
      <c r="X150" t="str">
        <f>D150&amp;COUNTIF(D$1:D150,D150)</f>
        <v>matty13</v>
      </c>
      <c r="Y150" t="str">
        <f>D150&amp;E150&amp;COUNTIFS(D$1:D150,D150,E$1:E150,E150)</f>
        <v>mattyK1</v>
      </c>
      <c r="Z150" t="s">
        <v>430</v>
      </c>
      <c r="AA150" t="s">
        <v>452</v>
      </c>
    </row>
    <row r="151" spans="1:27" x14ac:dyDescent="0.25">
      <c r="A151">
        <f t="shared" si="37"/>
        <v>150</v>
      </c>
      <c r="B151">
        <f>MATCH(A151,'ROS Proj'!$AI$2:$AI$561,0)</f>
        <v>144</v>
      </c>
      <c r="C151" t="str">
        <f>INDEX('ROS Proj'!$A$2:$A$561,$B151)</f>
        <v>Dede Westbrook</v>
      </c>
      <c r="D151" t="str">
        <f>IFERROR(INDEX(Rosters!$C$2:$C$155,MATCH($C151,Rosters!$B$2:$B$155,0)),"FA")</f>
        <v>FA</v>
      </c>
      <c r="E151" t="str">
        <f>INDEX('ROS Proj'!$B$2:$B$561,$B151)</f>
        <v>WR</v>
      </c>
      <c r="F151" t="str">
        <f>E151&amp;COUNTIF(E$1:E151,E151)</f>
        <v>WR58</v>
      </c>
      <c r="G151">
        <f t="shared" si="30"/>
        <v>0</v>
      </c>
      <c r="H151">
        <f t="shared" si="31"/>
        <v>-10</v>
      </c>
      <c r="I151" t="str">
        <f t="shared" si="32"/>
        <v>WR72-200</v>
      </c>
      <c r="J151" t="str">
        <f t="shared" si="33"/>
        <v>WR45-78</v>
      </c>
      <c r="K151" s="2">
        <f>INDEX('ROS Proj'!$T$2:$T$561,$B151)</f>
        <v>5.4328571428571433</v>
      </c>
      <c r="L151" s="23">
        <f>INDEX('ROS Proj'!$AL$2:$AL$561,$B151)</f>
        <v>7</v>
      </c>
      <c r="M151" s="2">
        <f>SQRT(IF(E151="K",SUMIFS('K Proj'!$P$2:$P$508,'K Proj'!$B$2:$B$508,$C151,'K Proj'!$A$2:$A$508,"&gt;"&amp;Week,'K Proj'!$A$2:$A$508,"&lt;=13"),IF(E151="D",SUMIFS('D Proj'!$N$2:$N$513,'D Proj'!$B$2:$B$513,$C151,'D Proj'!$A$2:$A$513,"&gt;"&amp;Week,'D Proj'!$A$2:$A$513,"&lt;=13"),SUMIFS('F Proj'!$J$2:$J$7669,'F Proj'!$B$2:$B$7669,$C151,'F Proj'!$A$2:$A$7669,"&gt;"&amp;Week,'F Proj'!$A$2:$A$7669,"&lt;=13"))))</f>
        <v>12.231426736076212</v>
      </c>
      <c r="N151" s="2">
        <f t="shared" si="34"/>
        <v>2.2513801512630418</v>
      </c>
      <c r="O151" s="2">
        <f t="shared" si="38"/>
        <v>3.685510466274827</v>
      </c>
      <c r="P151" s="2">
        <f t="shared" si="39"/>
        <v>7.18020381943946</v>
      </c>
      <c r="Q151" s="2">
        <f>K151-VLOOKUP($E151,Scores!$AG$1:$AM$7,7,FALSE)</f>
        <v>-0.61999999999999922</v>
      </c>
      <c r="R151" s="2">
        <f>O151-VLOOKUP($E151,Scores!$AG$1:$AM$7,7,FALSE)</f>
        <v>-2.3673466765823155</v>
      </c>
      <c r="S151" s="2">
        <f>P151-VLOOKUP($E151,Scores!$AG$1:$AM$7,7,FALSE)</f>
        <v>1.1273466765823175</v>
      </c>
      <c r="T151">
        <f t="shared" si="35"/>
        <v>200</v>
      </c>
      <c r="U151" s="23">
        <f t="shared" si="36"/>
        <v>78</v>
      </c>
      <c r="V151">
        <f t="shared" si="28"/>
        <v>72</v>
      </c>
      <c r="W151">
        <f t="shared" si="29"/>
        <v>45</v>
      </c>
      <c r="X151" t="str">
        <f>D151&amp;COUNTIF(D$1:D151,D151)</f>
        <v>FA27</v>
      </c>
      <c r="Y151" t="str">
        <f>D151&amp;E151&amp;COUNTIFS(D$1:D151,D151,E$1:E151,E151)</f>
        <v>FAWR9</v>
      </c>
      <c r="Z151" t="s">
        <v>189</v>
      </c>
      <c r="AA151" t="s">
        <v>1211</v>
      </c>
    </row>
    <row r="152" spans="1:27" x14ac:dyDescent="0.25">
      <c r="A152">
        <f t="shared" si="37"/>
        <v>151</v>
      </c>
      <c r="B152">
        <f>MATCH(A152,'ROS Proj'!$AI$2:$AI$561,0)</f>
        <v>163</v>
      </c>
      <c r="C152" t="str">
        <f>INDEX('ROS Proj'!$A$2:$A$561,$B152)</f>
        <v>Donte Moncrief</v>
      </c>
      <c r="D152" t="str">
        <f>IFERROR(INDEX(Rosters!$C$2:$C$155,MATCH($C152,Rosters!$B$2:$B$155,0)),"FA")</f>
        <v>FA</v>
      </c>
      <c r="E152" t="str">
        <f>INDEX('ROS Proj'!$B$2:$B$561,$B152)</f>
        <v>WR</v>
      </c>
      <c r="F152" t="str">
        <f>E152&amp;COUNTIF(E$1:E152,E152)</f>
        <v>WR59</v>
      </c>
      <c r="G152">
        <f t="shared" si="30"/>
        <v>0</v>
      </c>
      <c r="H152">
        <f t="shared" si="31"/>
        <v>31</v>
      </c>
      <c r="I152" t="str">
        <f t="shared" si="32"/>
        <v>WR72-200</v>
      </c>
      <c r="J152" t="str">
        <f t="shared" si="33"/>
        <v>WR45-78</v>
      </c>
      <c r="K152" s="2">
        <f>INDEX('ROS Proj'!$T$2:$T$561,$B152)</f>
        <v>5.42</v>
      </c>
      <c r="L152" s="23">
        <f>INDEX('ROS Proj'!$AL$2:$AL$561,$B152)</f>
        <v>7</v>
      </c>
      <c r="M152" s="2">
        <f>SQRT(IF(E152="K",SUMIFS('K Proj'!$P$2:$P$508,'K Proj'!$B$2:$B$508,$C152,'K Proj'!$A$2:$A$508,"&gt;"&amp;Week,'K Proj'!$A$2:$A$508,"&lt;=13"),IF(E152="D",SUMIFS('D Proj'!$N$2:$N$513,'D Proj'!$B$2:$B$513,$C152,'D Proj'!$A$2:$A$513,"&gt;"&amp;Week,'D Proj'!$A$2:$A$513,"&lt;=13"),SUMIFS('F Proj'!$J$2:$J$7669,'F Proj'!$B$2:$B$7669,$C152,'F Proj'!$A$2:$A$7669,"&gt;"&amp;Week,'F Proj'!$A$2:$A$7669,"&lt;=13"))))</f>
        <v>12.771272450308151</v>
      </c>
      <c r="N152" s="2">
        <f t="shared" si="34"/>
        <v>2.3563233303151572</v>
      </c>
      <c r="O152" s="2">
        <f t="shared" si="38"/>
        <v>3.5955325070988349</v>
      </c>
      <c r="P152" s="2">
        <f t="shared" si="39"/>
        <v>7.2444674929011645</v>
      </c>
      <c r="Q152" s="2">
        <f>K152-VLOOKUP($E152,Scores!$AG$1:$AM$7,7,FALSE)</f>
        <v>-0.63285714285714256</v>
      </c>
      <c r="R152" s="2">
        <f>O152-VLOOKUP($E152,Scores!$AG$1:$AM$7,7,FALSE)</f>
        <v>-2.4573246357583076</v>
      </c>
      <c r="S152" s="2">
        <f>P152-VLOOKUP($E152,Scores!$AG$1:$AM$7,7,FALSE)</f>
        <v>1.191610350044022</v>
      </c>
      <c r="T152">
        <f t="shared" si="35"/>
        <v>200</v>
      </c>
      <c r="U152" s="23">
        <f t="shared" si="36"/>
        <v>78</v>
      </c>
      <c r="V152">
        <f t="shared" si="28"/>
        <v>72</v>
      </c>
      <c r="W152">
        <f t="shared" si="29"/>
        <v>45</v>
      </c>
      <c r="X152" t="str">
        <f>D152&amp;COUNTIF(D$1:D152,D152)</f>
        <v>FA28</v>
      </c>
      <c r="Y152" t="str">
        <f>D152&amp;E152&amp;COUNTIFS(D$1:D152,D152,E$1:E152,E152)</f>
        <v>FAWR10</v>
      </c>
      <c r="Z152" t="s">
        <v>281</v>
      </c>
      <c r="AA152" t="s">
        <v>147</v>
      </c>
    </row>
    <row r="153" spans="1:27" x14ac:dyDescent="0.25">
      <c r="A153">
        <f t="shared" si="37"/>
        <v>152</v>
      </c>
      <c r="B153">
        <f>MATCH(A153,'ROS Proj'!$AI$2:$AI$561,0)</f>
        <v>329</v>
      </c>
      <c r="C153" t="str">
        <f>INDEX('ROS Proj'!$A$2:$A$561,$B153)</f>
        <v>Marquise Goodwin</v>
      </c>
      <c r="D153" t="str">
        <f>IFERROR(INDEX(Rosters!$C$2:$C$155,MATCH($C153,Rosters!$B$2:$B$155,0)),"FA")</f>
        <v>FA</v>
      </c>
      <c r="E153" t="str">
        <f>INDEX('ROS Proj'!$B$2:$B$561,$B153)</f>
        <v>WR</v>
      </c>
      <c r="F153" t="str">
        <f>E153&amp;COUNTIF(E$1:E153,E153)</f>
        <v>WR60</v>
      </c>
      <c r="G153">
        <f t="shared" si="30"/>
        <v>0</v>
      </c>
      <c r="H153">
        <f t="shared" si="31"/>
        <v>-26</v>
      </c>
      <c r="I153" t="str">
        <f t="shared" si="32"/>
        <v>WR72-200</v>
      </c>
      <c r="J153" t="str">
        <f t="shared" si="33"/>
        <v>WR46-78</v>
      </c>
      <c r="K153" s="2">
        <f>INDEX('ROS Proj'!$T$2:$T$561,$B153)</f>
        <v>5.4128571428571428</v>
      </c>
      <c r="L153" s="23">
        <f>INDEX('ROS Proj'!$AL$2:$AL$561,$B153)</f>
        <v>7</v>
      </c>
      <c r="M153" s="2">
        <f>SQRT(IF(E153="K",SUMIFS('K Proj'!$P$2:$P$508,'K Proj'!$B$2:$B$508,$C153,'K Proj'!$A$2:$A$508,"&gt;"&amp;Week,'K Proj'!$A$2:$A$508,"&lt;=13"),IF(E153="D",SUMIFS('D Proj'!$N$2:$N$513,'D Proj'!$B$2:$B$513,$C153,'D Proj'!$A$2:$A$513,"&gt;"&amp;Week,'D Proj'!$A$2:$A$513,"&lt;=13"),SUMIFS('F Proj'!$J$2:$J$7669,'F Proj'!$B$2:$B$7669,$C153,'F Proj'!$A$2:$A$7669,"&gt;"&amp;Week,'F Proj'!$A$2:$A$7669,"&lt;=13"))))</f>
        <v>11.236952433822971</v>
      </c>
      <c r="N153" s="2">
        <f t="shared" si="34"/>
        <v>2.0759743213713593</v>
      </c>
      <c r="O153" s="2">
        <f t="shared" si="38"/>
        <v>3.8075782237395757</v>
      </c>
      <c r="P153" s="2">
        <f t="shared" si="39"/>
        <v>7.01813606197471</v>
      </c>
      <c r="Q153" s="2">
        <f>K153-VLOOKUP($E153,Scores!$AG$1:$AM$7,7,FALSE)</f>
        <v>-0.63999999999999968</v>
      </c>
      <c r="R153" s="2">
        <f>O153-VLOOKUP($E153,Scores!$AG$1:$AM$7,7,FALSE)</f>
        <v>-2.2452789191175668</v>
      </c>
      <c r="S153" s="2">
        <f>P153-VLOOKUP($E153,Scores!$AG$1:$AM$7,7,FALSE)</f>
        <v>0.96527891911756747</v>
      </c>
      <c r="T153">
        <f t="shared" si="35"/>
        <v>200</v>
      </c>
      <c r="U153" s="23">
        <f t="shared" si="36"/>
        <v>78</v>
      </c>
      <c r="V153">
        <f t="shared" si="28"/>
        <v>72</v>
      </c>
      <c r="W153">
        <f t="shared" si="29"/>
        <v>46</v>
      </c>
      <c r="X153" t="str">
        <f>D153&amp;COUNTIF(D$1:D153,D153)</f>
        <v>FA29</v>
      </c>
      <c r="Y153" t="str">
        <f>D153&amp;E153&amp;COUNTIFS(D$1:D153,D153,E$1:E153,E153)</f>
        <v>FAWR11</v>
      </c>
      <c r="Z153" t="s">
        <v>452</v>
      </c>
      <c r="AA153" t="s">
        <v>255</v>
      </c>
    </row>
    <row r="154" spans="1:27" x14ac:dyDescent="0.25">
      <c r="A154">
        <f t="shared" si="37"/>
        <v>153</v>
      </c>
      <c r="B154">
        <f>MATCH(A154,'ROS Proj'!$AI$2:$AI$561,0)</f>
        <v>198</v>
      </c>
      <c r="C154" t="str">
        <f>INDEX('ROS Proj'!$A$2:$A$561,$B154)</f>
        <v>Hayden Hurst</v>
      </c>
      <c r="D154" t="str">
        <f>IFERROR(INDEX(Rosters!$C$2:$C$155,MATCH($C154,Rosters!$B$2:$B$155,0)),"FA")</f>
        <v>FA</v>
      </c>
      <c r="E154" t="str">
        <f>INDEX('ROS Proj'!$B$2:$B$561,$B154)</f>
        <v>TE</v>
      </c>
      <c r="F154" t="str">
        <f>E154&amp;COUNTIF(E$1:E154,E154)</f>
        <v>TE15</v>
      </c>
      <c r="G154">
        <f t="shared" si="30"/>
        <v>0</v>
      </c>
      <c r="H154">
        <f t="shared" si="31"/>
        <v>42</v>
      </c>
      <c r="I154" t="str">
        <f t="shared" si="32"/>
        <v>TE19-190</v>
      </c>
      <c r="J154" t="str">
        <f t="shared" si="33"/>
        <v>TE6-54</v>
      </c>
      <c r="K154" s="2">
        <f>INDEX('ROS Proj'!$T$2:$T$561,$B154)</f>
        <v>5.05</v>
      </c>
      <c r="L154" s="23">
        <f>INDEX('ROS Proj'!$AL$2:$AL$561,$B154)</f>
        <v>7</v>
      </c>
      <c r="M154" s="2">
        <f>SQRT(IF(E154="K",SUMIFS('K Proj'!$P$2:$P$508,'K Proj'!$B$2:$B$508,$C154,'K Proj'!$A$2:$A$508,"&gt;"&amp;Week,'K Proj'!$A$2:$A$508,"&lt;=13"),IF(E154="D",SUMIFS('D Proj'!$N$2:$N$513,'D Proj'!$B$2:$B$513,$C154,'D Proj'!$A$2:$A$513,"&gt;"&amp;Week,'D Proj'!$A$2:$A$513,"&lt;=13"),SUMIFS('F Proj'!$J$2:$J$7669,'F Proj'!$B$2:$B$7669,$C154,'F Proj'!$A$2:$A$7669,"&gt;"&amp;Week,'F Proj'!$A$2:$A$7669,"&lt;=13"))))</f>
        <v>12.794475370252584</v>
      </c>
      <c r="N154" s="2">
        <f t="shared" si="34"/>
        <v>2.5335594792579377</v>
      </c>
      <c r="O154" s="2">
        <f t="shared" si="38"/>
        <v>3.222217804249631</v>
      </c>
      <c r="P154" s="2">
        <f t="shared" si="39"/>
        <v>6.8777821957503695</v>
      </c>
      <c r="Q154" s="2">
        <f>K154-VLOOKUP($E154,Scores!$AG$1:$AM$7,7,FALSE)</f>
        <v>-0.12999999999999989</v>
      </c>
      <c r="R154" s="2">
        <f>O154-VLOOKUP($E154,Scores!$AG$1:$AM$7,7,FALSE)</f>
        <v>-1.9577821957503687</v>
      </c>
      <c r="S154" s="2">
        <f>P154-VLOOKUP($E154,Scores!$AG$1:$AM$7,7,FALSE)</f>
        <v>1.6977821957503698</v>
      </c>
      <c r="T154">
        <f t="shared" si="35"/>
        <v>190</v>
      </c>
      <c r="U154" s="23">
        <f t="shared" si="36"/>
        <v>54</v>
      </c>
      <c r="V154">
        <f t="shared" si="28"/>
        <v>19</v>
      </c>
      <c r="W154">
        <f t="shared" si="29"/>
        <v>6</v>
      </c>
      <c r="X154" t="str">
        <f>D154&amp;COUNTIF(D$1:D154,D154)</f>
        <v>FA30</v>
      </c>
      <c r="Y154" t="str">
        <f>D154&amp;E154&amp;COUNTIFS(D$1:D154,D154,E$1:E154,E154)</f>
        <v>FATE4</v>
      </c>
      <c r="Z154" t="s">
        <v>1419</v>
      </c>
      <c r="AA154" t="s">
        <v>1449</v>
      </c>
    </row>
    <row r="155" spans="1:27" x14ac:dyDescent="0.25">
      <c r="A155">
        <f t="shared" si="37"/>
        <v>154</v>
      </c>
      <c r="B155">
        <f>MATCH(A155,'ROS Proj'!$AI$2:$AI$561,0)</f>
        <v>374</v>
      </c>
      <c r="C155" t="str">
        <f>INDEX('ROS Proj'!$A$2:$A$561,$B155)</f>
        <v>Nyheim Hines</v>
      </c>
      <c r="D155" t="str">
        <f>IFERROR(INDEX(Rosters!$C$2:$C$155,MATCH($C155,Rosters!$B$2:$B$155,0)),"FA")</f>
        <v>cory</v>
      </c>
      <c r="E155" t="str">
        <f>INDEX('ROS Proj'!$B$2:$B$561,$B155)</f>
        <v>RB</v>
      </c>
      <c r="F155" t="str">
        <f>E155&amp;COUNTIF(E$1:E155,E155)</f>
        <v>RB53</v>
      </c>
      <c r="G155">
        <f t="shared" si="30"/>
        <v>0</v>
      </c>
      <c r="H155">
        <f t="shared" si="31"/>
        <v>18</v>
      </c>
      <c r="I155" t="str">
        <f t="shared" si="32"/>
        <v>RB62-200</v>
      </c>
      <c r="J155" t="str">
        <f t="shared" si="33"/>
        <v>RB38-78</v>
      </c>
      <c r="K155" s="2">
        <f>INDEX('ROS Proj'!$T$2:$T$561,$B155)</f>
        <v>5.347142857142857</v>
      </c>
      <c r="L155" s="23">
        <f>INDEX('ROS Proj'!$AL$2:$AL$561,$B155)</f>
        <v>7</v>
      </c>
      <c r="M155" s="2">
        <f>SQRT(IF(E155="K",SUMIFS('K Proj'!$P$2:$P$508,'K Proj'!$B$2:$B$508,$C155,'K Proj'!$A$2:$A$508,"&gt;"&amp;Week,'K Proj'!$A$2:$A$508,"&lt;=13"),IF(E155="D",SUMIFS('D Proj'!$N$2:$N$513,'D Proj'!$B$2:$B$513,$C155,'D Proj'!$A$2:$A$513,"&gt;"&amp;Week,'D Proj'!$A$2:$A$513,"&lt;=13"),SUMIFS('F Proj'!$J$2:$J$7669,'F Proj'!$B$2:$B$7669,$C155,'F Proj'!$A$2:$A$7669,"&gt;"&amp;Week,'F Proj'!$A$2:$A$7669,"&lt;=13"))))</f>
        <v>11.14520973333387</v>
      </c>
      <c r="N155" s="2">
        <f t="shared" si="34"/>
        <v>2.084329899367809</v>
      </c>
      <c r="O155" s="2">
        <f t="shared" si="38"/>
        <v>3.7549700380951614</v>
      </c>
      <c r="P155" s="2">
        <f t="shared" si="39"/>
        <v>6.939315676190553</v>
      </c>
      <c r="Q155" s="2">
        <f>K155-VLOOKUP($E155,Scores!$AG$1:$AM$7,7,FALSE)</f>
        <v>-0.52142857142857224</v>
      </c>
      <c r="R155" s="2">
        <f>O155-VLOOKUP($E155,Scores!$AG$1:$AM$7,7,FALSE)</f>
        <v>-2.1136013904762678</v>
      </c>
      <c r="S155" s="2">
        <f>P155-VLOOKUP($E155,Scores!$AG$1:$AM$7,7,FALSE)</f>
        <v>1.0707442476191238</v>
      </c>
      <c r="T155">
        <f t="shared" si="35"/>
        <v>200</v>
      </c>
      <c r="U155" s="23">
        <f t="shared" si="36"/>
        <v>78</v>
      </c>
      <c r="V155">
        <f t="shared" si="28"/>
        <v>62</v>
      </c>
      <c r="W155">
        <f t="shared" si="29"/>
        <v>38</v>
      </c>
      <c r="X155" t="str">
        <f>D155&amp;COUNTIF(D$1:D155,D155)</f>
        <v>cory15</v>
      </c>
      <c r="Y155" t="str">
        <f>D155&amp;E155&amp;COUNTIFS(D$1:D155,D155,E$1:E155,E155)</f>
        <v>coryRB5</v>
      </c>
      <c r="Z155" t="s">
        <v>271</v>
      </c>
      <c r="AA155" t="s">
        <v>1395</v>
      </c>
    </row>
    <row r="156" spans="1:27" x14ac:dyDescent="0.25">
      <c r="A156">
        <f t="shared" si="37"/>
        <v>155</v>
      </c>
      <c r="B156">
        <f>MATCH(A156,'ROS Proj'!$AI$2:$AI$561,0)</f>
        <v>352</v>
      </c>
      <c r="C156" t="str">
        <f>INDEX('ROS Proj'!$A$2:$A$561,$B156)</f>
        <v>Mike Davis</v>
      </c>
      <c r="D156" t="str">
        <f>IFERROR(INDEX(Rosters!$C$2:$C$155,MATCH($C156,Rosters!$B$2:$B$155,0)),"FA")</f>
        <v>FA</v>
      </c>
      <c r="E156" t="str">
        <f>INDEX('ROS Proj'!$B$2:$B$561,$B156)</f>
        <v>RB</v>
      </c>
      <c r="F156" t="str">
        <f>E156&amp;COUNTIF(E$1:E156,E156)</f>
        <v>RB54</v>
      </c>
      <c r="G156">
        <f t="shared" si="30"/>
        <v>0</v>
      </c>
      <c r="H156">
        <f t="shared" si="31"/>
        <v>46</v>
      </c>
      <c r="I156" t="str">
        <f t="shared" si="32"/>
        <v>RB62-200</v>
      </c>
      <c r="J156" t="str">
        <f t="shared" si="33"/>
        <v>RB38-78</v>
      </c>
      <c r="K156" s="2">
        <f>INDEX('ROS Proj'!$T$2:$T$561,$B156)</f>
        <v>5.3114285714285714</v>
      </c>
      <c r="L156" s="23">
        <f>INDEX('ROS Proj'!$AL$2:$AL$561,$B156)</f>
        <v>7</v>
      </c>
      <c r="M156" s="2">
        <f>SQRT(IF(E156="K",SUMIFS('K Proj'!$P$2:$P$508,'K Proj'!$B$2:$B$508,$C156,'K Proj'!$A$2:$A$508,"&gt;"&amp;Week,'K Proj'!$A$2:$A$508,"&lt;=13"),IF(E156="D",SUMIFS('D Proj'!$N$2:$N$513,'D Proj'!$B$2:$B$513,$C156,'D Proj'!$A$2:$A$513,"&gt;"&amp;Week,'D Proj'!$A$2:$A$513,"&lt;=13"),SUMIFS('F Proj'!$J$2:$J$7669,'F Proj'!$B$2:$B$7669,$C156,'F Proj'!$A$2:$A$7669,"&gt;"&amp;Week,'F Proj'!$A$2:$A$7669,"&lt;=13"))))</f>
        <v>11.536446593297262</v>
      </c>
      <c r="N156" s="2">
        <f t="shared" si="34"/>
        <v>2.1720044688832929</v>
      </c>
      <c r="O156" s="2">
        <f t="shared" si="38"/>
        <v>3.6633647723861054</v>
      </c>
      <c r="P156" s="2">
        <f t="shared" si="39"/>
        <v>6.9594923704710379</v>
      </c>
      <c r="Q156" s="2">
        <f>K156-VLOOKUP($E156,Scores!$AG$1:$AM$7,7,FALSE)</f>
        <v>-0.55714285714285783</v>
      </c>
      <c r="R156" s="2">
        <f>O156-VLOOKUP($E156,Scores!$AG$1:$AM$7,7,FALSE)</f>
        <v>-2.2052066561853239</v>
      </c>
      <c r="S156" s="2">
        <f>P156-VLOOKUP($E156,Scores!$AG$1:$AM$7,7,FALSE)</f>
        <v>1.0909209418996086</v>
      </c>
      <c r="T156">
        <f t="shared" si="35"/>
        <v>200</v>
      </c>
      <c r="U156" s="23">
        <f t="shared" si="36"/>
        <v>78</v>
      </c>
      <c r="V156">
        <f t="shared" si="28"/>
        <v>62</v>
      </c>
      <c r="W156">
        <f t="shared" si="29"/>
        <v>38</v>
      </c>
      <c r="X156" t="str">
        <f>D156&amp;COUNTIF(D$1:D156,D156)</f>
        <v>FA31</v>
      </c>
      <c r="Y156" t="str">
        <f>D156&amp;E156&amp;COUNTIFS(D$1:D156,D156,E$1:E156,E156)</f>
        <v>FARB9</v>
      </c>
      <c r="Z156" t="s">
        <v>1119</v>
      </c>
      <c r="AA156" t="s">
        <v>1148</v>
      </c>
    </row>
    <row r="157" spans="1:27" x14ac:dyDescent="0.25">
      <c r="A157">
        <f t="shared" si="37"/>
        <v>156</v>
      </c>
      <c r="B157">
        <f>MATCH(A157,'ROS Proj'!$AI$2:$AI$561,0)</f>
        <v>214</v>
      </c>
      <c r="C157" t="str">
        <f>INDEX('ROS Proj'!$A$2:$A$561,$B157)</f>
        <v>Jalen Richard</v>
      </c>
      <c r="D157" t="str">
        <f>IFERROR(INDEX(Rosters!$C$2:$C$155,MATCH($C157,Rosters!$B$2:$B$155,0)),"FA")</f>
        <v>FA</v>
      </c>
      <c r="E157" t="str">
        <f>INDEX('ROS Proj'!$B$2:$B$561,$B157)</f>
        <v>RB</v>
      </c>
      <c r="F157" t="str">
        <f>E157&amp;COUNTIF(E$1:E157,E157)</f>
        <v>RB55</v>
      </c>
      <c r="G157">
        <f t="shared" si="30"/>
        <v>0</v>
      </c>
      <c r="H157">
        <f t="shared" si="31"/>
        <v>45</v>
      </c>
      <c r="I157" t="str">
        <f t="shared" si="32"/>
        <v>RB62-200</v>
      </c>
      <c r="J157" t="str">
        <f t="shared" si="33"/>
        <v>RB38-78</v>
      </c>
      <c r="K157" s="2">
        <f>INDEX('ROS Proj'!$T$2:$T$561,$B157)</f>
        <v>5.31</v>
      </c>
      <c r="L157" s="23">
        <f>INDEX('ROS Proj'!$AL$2:$AL$561,$B157)</f>
        <v>7</v>
      </c>
      <c r="M157" s="2">
        <f>SQRT(IF(E157="K",SUMIFS('K Proj'!$P$2:$P$508,'K Proj'!$B$2:$B$508,$C157,'K Proj'!$A$2:$A$508,"&gt;"&amp;Week,'K Proj'!$A$2:$A$508,"&lt;=13"),IF(E157="D",SUMIFS('D Proj'!$N$2:$N$513,'D Proj'!$B$2:$B$513,$C157,'D Proj'!$A$2:$A$513,"&gt;"&amp;Week,'D Proj'!$A$2:$A$513,"&lt;=13"),SUMIFS('F Proj'!$J$2:$J$7669,'F Proj'!$B$2:$B$7669,$C157,'F Proj'!$A$2:$A$7669,"&gt;"&amp;Week,'F Proj'!$A$2:$A$7669,"&lt;=13"))))</f>
        <v>10.211674691254123</v>
      </c>
      <c r="N157" s="2">
        <f t="shared" si="34"/>
        <v>1.9231025783906071</v>
      </c>
      <c r="O157" s="2">
        <f t="shared" si="38"/>
        <v>3.8511893298208384</v>
      </c>
      <c r="P157" s="2">
        <f t="shared" si="39"/>
        <v>6.7688106701791595</v>
      </c>
      <c r="Q157" s="2">
        <f>K157-VLOOKUP($E157,Scores!$AG$1:$AM$7,7,FALSE)</f>
        <v>-0.55857142857142961</v>
      </c>
      <c r="R157" s="2">
        <f>O157-VLOOKUP($E157,Scores!$AG$1:$AM$7,7,FALSE)</f>
        <v>-2.0173820987505908</v>
      </c>
      <c r="S157" s="2">
        <f>P157-VLOOKUP($E157,Scores!$AG$1:$AM$7,7,FALSE)</f>
        <v>0.90023924160773028</v>
      </c>
      <c r="T157">
        <f t="shared" si="35"/>
        <v>200</v>
      </c>
      <c r="U157" s="23">
        <f t="shared" si="36"/>
        <v>78</v>
      </c>
      <c r="V157">
        <f t="shared" si="28"/>
        <v>62</v>
      </c>
      <c r="W157">
        <f t="shared" si="29"/>
        <v>38</v>
      </c>
      <c r="X157" t="str">
        <f>D157&amp;COUNTIF(D$1:D157,D157)</f>
        <v>FA32</v>
      </c>
      <c r="Y157" t="str">
        <f>D157&amp;E157&amp;COUNTIFS(D$1:D157,D157,E$1:E157,E157)</f>
        <v>FARB10</v>
      </c>
      <c r="Z157" t="s">
        <v>160</v>
      </c>
      <c r="AA157" t="s">
        <v>232</v>
      </c>
    </row>
    <row r="158" spans="1:27" x14ac:dyDescent="0.25">
      <c r="A158">
        <f t="shared" si="37"/>
        <v>157</v>
      </c>
      <c r="B158">
        <f>MATCH(A158,'ROS Proj'!$AI$2:$AI$561,0)</f>
        <v>454</v>
      </c>
      <c r="C158" t="str">
        <f>INDEX('ROS Proj'!$A$2:$A$561,$B158)</f>
        <v>Theo Riddick</v>
      </c>
      <c r="D158" t="str">
        <f>IFERROR(INDEX(Rosters!$C$2:$C$155,MATCH($C158,Rosters!$B$2:$B$155,0)),"FA")</f>
        <v>FA</v>
      </c>
      <c r="E158" t="str">
        <f>INDEX('ROS Proj'!$B$2:$B$561,$B158)</f>
        <v>RB</v>
      </c>
      <c r="F158" t="str">
        <f>E158&amp;COUNTIF(E$1:E158,E158)</f>
        <v>RB56</v>
      </c>
      <c r="G158">
        <f t="shared" si="30"/>
        <v>0</v>
      </c>
      <c r="H158">
        <f t="shared" si="31"/>
        <v>-21</v>
      </c>
      <c r="I158" t="str">
        <f t="shared" si="32"/>
        <v>RB62-200</v>
      </c>
      <c r="J158" t="str">
        <f t="shared" si="33"/>
        <v>RB39-78</v>
      </c>
      <c r="K158" s="2">
        <f>INDEX('ROS Proj'!$T$2:$T$561,$B158)</f>
        <v>5.2871428571428583</v>
      </c>
      <c r="L158" s="23">
        <f>INDEX('ROS Proj'!$AL$2:$AL$561,$B158)</f>
        <v>7</v>
      </c>
      <c r="M158" s="2">
        <f>SQRT(IF(E158="K",SUMIFS('K Proj'!$P$2:$P$508,'K Proj'!$B$2:$B$508,$C158,'K Proj'!$A$2:$A$508,"&gt;"&amp;Week,'K Proj'!$A$2:$A$508,"&lt;=13"),IF(E158="D",SUMIFS('D Proj'!$N$2:$N$513,'D Proj'!$B$2:$B$513,$C158,'D Proj'!$A$2:$A$513,"&gt;"&amp;Week,'D Proj'!$A$2:$A$513,"&lt;=13"),SUMIFS('F Proj'!$J$2:$J$7669,'F Proj'!$B$2:$B$7669,$C158,'F Proj'!$A$2:$A$7669,"&gt;"&amp;Week,'F Proj'!$A$2:$A$7669,"&lt;=13"))))</f>
        <v>9.6726159853475</v>
      </c>
      <c r="N158" s="2">
        <f t="shared" si="34"/>
        <v>1.8294599269773706</v>
      </c>
      <c r="O158" s="2">
        <f t="shared" si="38"/>
        <v>3.9053405735217868</v>
      </c>
      <c r="P158" s="2">
        <f t="shared" si="39"/>
        <v>6.6689451407639293</v>
      </c>
      <c r="Q158" s="2">
        <f>K158-VLOOKUP($E158,Scores!$AG$1:$AM$7,7,FALSE)</f>
        <v>-0.58142857142857096</v>
      </c>
      <c r="R158" s="2">
        <f>O158-VLOOKUP($E158,Scores!$AG$1:$AM$7,7,FALSE)</f>
        <v>-1.9632308550496425</v>
      </c>
      <c r="S158" s="2">
        <f>P158-VLOOKUP($E158,Scores!$AG$1:$AM$7,7,FALSE)</f>
        <v>0.80037371219250009</v>
      </c>
      <c r="T158">
        <f t="shared" si="35"/>
        <v>200</v>
      </c>
      <c r="U158" s="23">
        <f t="shared" si="36"/>
        <v>78</v>
      </c>
      <c r="V158">
        <f t="shared" si="28"/>
        <v>62</v>
      </c>
      <c r="W158">
        <f t="shared" si="29"/>
        <v>39</v>
      </c>
      <c r="X158" t="str">
        <f>D158&amp;COUNTIF(D$1:D158,D158)</f>
        <v>FA33</v>
      </c>
      <c r="Y158" t="str">
        <f>D158&amp;E158&amp;COUNTIFS(D$1:D158,D158,E$1:E158,E158)</f>
        <v>FARB11</v>
      </c>
      <c r="Z158" t="s">
        <v>420</v>
      </c>
      <c r="AA158" t="s">
        <v>155</v>
      </c>
    </row>
    <row r="159" spans="1:27" x14ac:dyDescent="0.25">
      <c r="A159">
        <f t="shared" si="37"/>
        <v>158</v>
      </c>
      <c r="B159">
        <f>MATCH(A159,'ROS Proj'!$AI$2:$AI$561,0)</f>
        <v>114</v>
      </c>
      <c r="C159" t="str">
        <f>INDEX('ROS Proj'!$A$2:$A$561,$B159)</f>
        <v>Courtland Sutton</v>
      </c>
      <c r="D159" t="str">
        <f>IFERROR(INDEX(Rosters!$C$2:$C$155,MATCH($C159,Rosters!$B$2:$B$155,0)),"FA")</f>
        <v>FA</v>
      </c>
      <c r="E159" t="str">
        <f>INDEX('ROS Proj'!$B$2:$B$561,$B159)</f>
        <v>WR</v>
      </c>
      <c r="F159" t="str">
        <f>E159&amp;COUNTIF(E$1:E159,E159)</f>
        <v>WR61</v>
      </c>
      <c r="G159">
        <f t="shared" si="30"/>
        <v>0</v>
      </c>
      <c r="H159">
        <f t="shared" si="31"/>
        <v>43</v>
      </c>
      <c r="I159" t="str">
        <f t="shared" si="32"/>
        <v>WR72-200</v>
      </c>
      <c r="J159" t="str">
        <f t="shared" si="33"/>
        <v>WR47-78</v>
      </c>
      <c r="K159" s="2">
        <f>INDEX('ROS Proj'!$T$2:$T$561,$B159)</f>
        <v>5.2299999999999995</v>
      </c>
      <c r="L159" s="23">
        <f>INDEX('ROS Proj'!$AL$2:$AL$561,$B159)</f>
        <v>7</v>
      </c>
      <c r="M159" s="2">
        <f>SQRT(IF(E159="K",SUMIFS('K Proj'!$P$2:$P$508,'K Proj'!$B$2:$B$508,$C159,'K Proj'!$A$2:$A$508,"&gt;"&amp;Week,'K Proj'!$A$2:$A$508,"&lt;=13"),IF(E159="D",SUMIFS('D Proj'!$N$2:$N$513,'D Proj'!$B$2:$B$513,$C159,'D Proj'!$A$2:$A$513,"&gt;"&amp;Week,'D Proj'!$A$2:$A$513,"&lt;=13"),SUMIFS('F Proj'!$J$2:$J$7669,'F Proj'!$B$2:$B$7669,$C159,'F Proj'!$A$2:$A$7669,"&gt;"&amp;Week,'F Proj'!$A$2:$A$7669,"&lt;=13"))))</f>
        <v>11.639759447686194</v>
      </c>
      <c r="N159" s="2">
        <f t="shared" si="34"/>
        <v>2.2255754202076856</v>
      </c>
      <c r="O159" s="2">
        <f t="shared" si="38"/>
        <v>3.5671772217591147</v>
      </c>
      <c r="P159" s="2">
        <f t="shared" si="39"/>
        <v>6.8928227782408849</v>
      </c>
      <c r="Q159" s="2">
        <f>K159-VLOOKUP($E159,Scores!$AG$1:$AM$7,7,FALSE)</f>
        <v>-0.82285714285714295</v>
      </c>
      <c r="R159" s="2">
        <f>O159-VLOOKUP($E159,Scores!$AG$1:$AM$7,7,FALSE)</f>
        <v>-2.4856799210980278</v>
      </c>
      <c r="S159" s="2">
        <f>P159-VLOOKUP($E159,Scores!$AG$1:$AM$7,7,FALSE)</f>
        <v>0.83996563538374236</v>
      </c>
      <c r="T159">
        <f t="shared" si="35"/>
        <v>200</v>
      </c>
      <c r="U159" s="23">
        <f t="shared" si="36"/>
        <v>78</v>
      </c>
      <c r="V159">
        <f t="shared" si="28"/>
        <v>72</v>
      </c>
      <c r="W159">
        <f t="shared" si="29"/>
        <v>47</v>
      </c>
      <c r="X159" t="str">
        <f>D159&amp;COUNTIF(D$1:D159,D159)</f>
        <v>FA34</v>
      </c>
      <c r="Y159" t="str">
        <f>D159&amp;E159&amp;COUNTIFS(D$1:D159,D159,E$1:E159,E159)</f>
        <v>FAWR12</v>
      </c>
      <c r="Z159" t="s">
        <v>1108</v>
      </c>
      <c r="AA159" t="s">
        <v>1425</v>
      </c>
    </row>
    <row r="160" spans="1:27" x14ac:dyDescent="0.25">
      <c r="A160">
        <f t="shared" si="37"/>
        <v>159</v>
      </c>
      <c r="B160">
        <f>MATCH(A160,'ROS Proj'!$AI$2:$AI$561,0)</f>
        <v>414</v>
      </c>
      <c r="C160" t="str">
        <f>INDEX('ROS Proj'!$A$2:$A$561,$B160)</f>
        <v>Ryan Grant</v>
      </c>
      <c r="D160" t="str">
        <f>IFERROR(INDEX(Rosters!$C$2:$C$155,MATCH($C160,Rosters!$B$2:$B$155,0)),"FA")</f>
        <v>perry</v>
      </c>
      <c r="E160" t="str">
        <f>INDEX('ROS Proj'!$B$2:$B$561,$B160)</f>
        <v>WR</v>
      </c>
      <c r="F160" t="str">
        <f>E160&amp;COUNTIF(E$1:E160,E160)</f>
        <v>WR62</v>
      </c>
      <c r="G160">
        <f t="shared" si="30"/>
        <v>0</v>
      </c>
      <c r="H160">
        <f t="shared" si="31"/>
        <v>10</v>
      </c>
      <c r="I160" t="str">
        <f t="shared" si="32"/>
        <v>WR72-200</v>
      </c>
      <c r="J160" t="str">
        <f t="shared" si="33"/>
        <v>WR48-78</v>
      </c>
      <c r="K160" s="2">
        <f>INDEX('ROS Proj'!$T$2:$T$561,$B160)</f>
        <v>5.2285714285714286</v>
      </c>
      <c r="L160" s="23">
        <f>INDEX('ROS Proj'!$AL$2:$AL$561,$B160)</f>
        <v>7</v>
      </c>
      <c r="M160" s="2">
        <f>SQRT(IF(E160="K",SUMIFS('K Proj'!$P$2:$P$508,'K Proj'!$B$2:$B$508,$C160,'K Proj'!$A$2:$A$508,"&gt;"&amp;Week,'K Proj'!$A$2:$A$508,"&lt;=13"),IF(E160="D",SUMIFS('D Proj'!$N$2:$N$513,'D Proj'!$B$2:$B$513,$C160,'D Proj'!$A$2:$A$513,"&gt;"&amp;Week,'D Proj'!$A$2:$A$513,"&lt;=13"),SUMIFS('F Proj'!$J$2:$J$7669,'F Proj'!$B$2:$B$7669,$C160,'F Proj'!$A$2:$A$7669,"&gt;"&amp;Week,'F Proj'!$A$2:$A$7669,"&lt;=13"))))</f>
        <v>10.732730314323565</v>
      </c>
      <c r="N160" s="2">
        <f t="shared" si="34"/>
        <v>2.0527079836137965</v>
      </c>
      <c r="O160" s="2">
        <f t="shared" si="38"/>
        <v>3.6953242408109195</v>
      </c>
      <c r="P160" s="2">
        <f t="shared" si="39"/>
        <v>6.7618186163319383</v>
      </c>
      <c r="Q160" s="2">
        <f>K160-VLOOKUP($E160,Scores!$AG$1:$AM$7,7,FALSE)</f>
        <v>-0.82428571428571384</v>
      </c>
      <c r="R160" s="2">
        <f>O160-VLOOKUP($E160,Scores!$AG$1:$AM$7,7,FALSE)</f>
        <v>-2.357532902046223</v>
      </c>
      <c r="S160" s="2">
        <f>P160-VLOOKUP($E160,Scores!$AG$1:$AM$7,7,FALSE)</f>
        <v>0.70896147347479577</v>
      </c>
      <c r="T160">
        <f t="shared" si="35"/>
        <v>200</v>
      </c>
      <c r="U160" s="23">
        <f t="shared" si="36"/>
        <v>78</v>
      </c>
      <c r="V160">
        <f t="shared" si="28"/>
        <v>72</v>
      </c>
      <c r="W160">
        <f t="shared" si="29"/>
        <v>48</v>
      </c>
      <c r="X160" t="str">
        <f>D160&amp;COUNTIF(D$1:D160,D160)</f>
        <v>perry8</v>
      </c>
      <c r="Y160" t="str">
        <f>D160&amp;E160&amp;COUNTIFS(D$1:D160,D160,E$1:E160,E160)</f>
        <v>perryWR4</v>
      </c>
      <c r="Z160" t="s">
        <v>235</v>
      </c>
      <c r="AA160" t="s">
        <v>381</v>
      </c>
    </row>
    <row r="161" spans="1:27" x14ac:dyDescent="0.25">
      <c r="A161">
        <f t="shared" si="37"/>
        <v>160</v>
      </c>
      <c r="B161">
        <f>MATCH(A161,'ROS Proj'!$AI$2:$AI$561,0)</f>
        <v>496</v>
      </c>
      <c r="C161" t="str">
        <f>INDEX('ROS Proj'!$A$2:$A$561,$B161)</f>
        <v>Caleb Sturgis</v>
      </c>
      <c r="D161" t="str">
        <f>IFERROR(INDEX(Rosters!$C$2:$C$155,MATCH($C161,Rosters!$B$2:$B$155,0)),"FA")</f>
        <v>FA</v>
      </c>
      <c r="E161" t="str">
        <f>INDEX('ROS Proj'!$B$2:$B$561,$B161)</f>
        <v>K</v>
      </c>
      <c r="F161" t="str">
        <f>E161&amp;COUNTIF(E$1:E161,E161)</f>
        <v>K10</v>
      </c>
      <c r="G161">
        <f t="shared" si="30"/>
        <v>0</v>
      </c>
      <c r="H161">
        <f t="shared" si="31"/>
        <v>-17</v>
      </c>
      <c r="I161" t="str">
        <f t="shared" si="32"/>
        <v>K18-167</v>
      </c>
      <c r="J161" t="str">
        <f t="shared" si="33"/>
        <v>K1-54</v>
      </c>
      <c r="K161" s="2">
        <f>INDEX('ROS Proj'!$T$2:$T$561,$B161)</f>
        <v>7.54</v>
      </c>
      <c r="L161" s="23">
        <f>INDEX('ROS Proj'!$AL$2:$AL$561,$B161)</f>
        <v>7</v>
      </c>
      <c r="M161" s="2">
        <f>SQRT(IF(E161="K",SUMIFS('K Proj'!$P$2:$P$508,'K Proj'!$B$2:$B$508,$C161,'K Proj'!$A$2:$A$508,"&gt;"&amp;Week,'K Proj'!$A$2:$A$508,"&lt;=13"),IF(E161="D",SUMIFS('D Proj'!$N$2:$N$513,'D Proj'!$B$2:$B$513,$C161,'D Proj'!$A$2:$A$513,"&gt;"&amp;Week,'D Proj'!$A$2:$A$513,"&lt;=13"),SUMIFS('F Proj'!$J$2:$J$7669,'F Proj'!$B$2:$B$7669,$C161,'F Proj'!$A$2:$A$7669,"&gt;"&amp;Week,'F Proj'!$A$2:$A$7669,"&lt;=13"))))</f>
        <v>9.339389701688221</v>
      </c>
      <c r="N161" s="2">
        <f t="shared" si="34"/>
        <v>1.2386458490302681</v>
      </c>
      <c r="O161" s="2">
        <f t="shared" si="38"/>
        <v>6.2058014711873977</v>
      </c>
      <c r="P161" s="2">
        <f t="shared" si="39"/>
        <v>8.8741985288126024</v>
      </c>
      <c r="Q161" s="2">
        <f>K161-VLOOKUP($E161,Scores!$AG$1:$AM$7,7,FALSE)</f>
        <v>0.11857142857142833</v>
      </c>
      <c r="R161" s="2">
        <f>O161-VLOOKUP($E161,Scores!$AG$1:$AM$7,7,FALSE)</f>
        <v>-1.215627100241174</v>
      </c>
      <c r="S161" s="2">
        <f>P161-VLOOKUP($E161,Scores!$AG$1:$AM$7,7,FALSE)</f>
        <v>1.4527699573840307</v>
      </c>
      <c r="T161">
        <f t="shared" si="35"/>
        <v>167</v>
      </c>
      <c r="U161" s="23">
        <f t="shared" si="36"/>
        <v>54</v>
      </c>
      <c r="V161">
        <f t="shared" si="28"/>
        <v>18</v>
      </c>
      <c r="W161">
        <f t="shared" si="29"/>
        <v>1</v>
      </c>
      <c r="X161" t="str">
        <f>D161&amp;COUNTIF(D$1:D161,D161)</f>
        <v>FA35</v>
      </c>
      <c r="Y161" t="str">
        <f>D161&amp;E161&amp;COUNTIFS(D$1:D161,D161,E$1:E161,E161)</f>
        <v>FAK5</v>
      </c>
      <c r="Z161" t="s">
        <v>1396</v>
      </c>
      <c r="AA161" t="s">
        <v>1121</v>
      </c>
    </row>
    <row r="162" spans="1:27" x14ac:dyDescent="0.25">
      <c r="A162">
        <f t="shared" si="37"/>
        <v>161</v>
      </c>
      <c r="B162">
        <f>MATCH(A162,'ROS Proj'!$AI$2:$AI$561,0)</f>
        <v>183</v>
      </c>
      <c r="C162" t="str">
        <f>INDEX('ROS Proj'!$A$2:$A$561,$B162)</f>
        <v>Evan Engram</v>
      </c>
      <c r="D162" t="str">
        <f>IFERROR(INDEX(Rosters!$C$2:$C$155,MATCH($C162,Rosters!$B$2:$B$155,0)),"FA")</f>
        <v>devon</v>
      </c>
      <c r="E162" t="str">
        <f>INDEX('ROS Proj'!$B$2:$B$561,$B162)</f>
        <v>TE</v>
      </c>
      <c r="F162" t="str">
        <f>E162&amp;COUNTIF(E$1:E162,E162)</f>
        <v>TE16</v>
      </c>
      <c r="G162">
        <f t="shared" si="30"/>
        <v>0</v>
      </c>
      <c r="H162">
        <f t="shared" si="31"/>
        <v>-2</v>
      </c>
      <c r="I162" t="str">
        <f t="shared" si="32"/>
        <v>TE19-200</v>
      </c>
      <c r="J162" t="str">
        <f t="shared" si="33"/>
        <v>TE6-54</v>
      </c>
      <c r="K162" s="2">
        <f>INDEX('ROS Proj'!$T$2:$T$561,$B162)</f>
        <v>4.9014285714285721</v>
      </c>
      <c r="L162" s="23">
        <f>INDEX('ROS Proj'!$AL$2:$AL$561,$B162)</f>
        <v>6</v>
      </c>
      <c r="M162" s="2">
        <f>SQRT(IF(E162="K",SUMIFS('K Proj'!$P$2:$P$508,'K Proj'!$B$2:$B$508,$C162,'K Proj'!$A$2:$A$508,"&gt;"&amp;Week,'K Proj'!$A$2:$A$508,"&lt;=13"),IF(E162="D",SUMIFS('D Proj'!$N$2:$N$513,'D Proj'!$B$2:$B$513,$C162,'D Proj'!$A$2:$A$513,"&gt;"&amp;Week,'D Proj'!$A$2:$A$513,"&lt;=13"),SUMIFS('F Proj'!$J$2:$J$7669,'F Proj'!$B$2:$B$7669,$C162,'F Proj'!$A$2:$A$7669,"&gt;"&amp;Week,'F Proj'!$A$2:$A$7669,"&lt;=13"))))</f>
        <v>11.614387629143433</v>
      </c>
      <c r="N162" s="2">
        <f t="shared" si="34"/>
        <v>2.3695923463714377</v>
      </c>
      <c r="O162" s="2">
        <f t="shared" si="38"/>
        <v>2.9656972999046669</v>
      </c>
      <c r="P162" s="2">
        <f t="shared" si="39"/>
        <v>6.8371598429524783</v>
      </c>
      <c r="Q162" s="2">
        <f>K162-VLOOKUP($E162,Scores!$AG$1:$AM$7,7,FALSE)</f>
        <v>-0.27857142857142758</v>
      </c>
      <c r="R162" s="2">
        <f>O162-VLOOKUP($E162,Scores!$AG$1:$AM$7,7,FALSE)</f>
        <v>-2.2143027000953328</v>
      </c>
      <c r="S162" s="2">
        <f>P162-VLOOKUP($E162,Scores!$AG$1:$AM$7,7,FALSE)</f>
        <v>1.6571598429524785</v>
      </c>
      <c r="T162">
        <f t="shared" si="35"/>
        <v>200</v>
      </c>
      <c r="U162" s="23">
        <f t="shared" si="36"/>
        <v>54</v>
      </c>
      <c r="V162">
        <f t="shared" ref="V162:V193" si="40">COUNTIFS($E$2:$E$201,$E162,$Q$2:$Q$201,"&gt;"&amp;R162)</f>
        <v>19</v>
      </c>
      <c r="W162">
        <f t="shared" ref="W162:W193" si="41">COUNTIFS($E$2:$E$201,$E162,$Q$2:$Q$201,"&gt;"&amp;S162)+1</f>
        <v>6</v>
      </c>
      <c r="X162" t="str">
        <f>D162&amp;COUNTIF(D$1:D162,D162)</f>
        <v>devon14</v>
      </c>
      <c r="Y162" t="str">
        <f>D162&amp;E162&amp;COUNTIFS(D$1:D162,D162,E$1:E162,E162)</f>
        <v>devonTE2</v>
      </c>
      <c r="Z162" t="s">
        <v>243</v>
      </c>
      <c r="AA162" t="s">
        <v>235</v>
      </c>
    </row>
    <row r="163" spans="1:27" x14ac:dyDescent="0.25">
      <c r="A163">
        <f t="shared" si="37"/>
        <v>162</v>
      </c>
      <c r="B163">
        <f>MATCH(A163,'ROS Proj'!$AI$2:$AI$561,0)</f>
        <v>208</v>
      </c>
      <c r="C163" t="str">
        <f>INDEX('ROS Proj'!$A$2:$A$561,$B163)</f>
        <v>Jack Doyle</v>
      </c>
      <c r="D163" t="str">
        <f>IFERROR(INDEX(Rosters!$C$2:$C$155,MATCH($C163,Rosters!$B$2:$B$155,0)),"FA")</f>
        <v>FA</v>
      </c>
      <c r="E163" t="str">
        <f>INDEX('ROS Proj'!$B$2:$B$561,$B163)</f>
        <v>TE</v>
      </c>
      <c r="F163" t="str">
        <f>E163&amp;COUNTIF(E$1:E163,E163)</f>
        <v>TE17</v>
      </c>
      <c r="G163">
        <f t="shared" si="30"/>
        <v>0</v>
      </c>
      <c r="H163">
        <f t="shared" si="31"/>
        <v>-12</v>
      </c>
      <c r="I163" t="str">
        <f t="shared" si="32"/>
        <v>TE19-200</v>
      </c>
      <c r="J163" t="str">
        <f t="shared" si="33"/>
        <v>TE7-78</v>
      </c>
      <c r="K163" s="2">
        <f>INDEX('ROS Proj'!$T$2:$T$561,$B163)</f>
        <v>4.8557142857142859</v>
      </c>
      <c r="L163" s="23">
        <f>INDEX('ROS Proj'!$AL$2:$AL$561,$B163)</f>
        <v>7</v>
      </c>
      <c r="M163" s="2">
        <f>SQRT(IF(E163="K",SUMIFS('K Proj'!$P$2:$P$508,'K Proj'!$B$2:$B$508,$C163,'K Proj'!$A$2:$A$508,"&gt;"&amp;Week,'K Proj'!$A$2:$A$508,"&lt;=13"),IF(E163="D",SUMIFS('D Proj'!$N$2:$N$513,'D Proj'!$B$2:$B$513,$C163,'D Proj'!$A$2:$A$513,"&gt;"&amp;Week,'D Proj'!$A$2:$A$513,"&lt;=13"),SUMIFS('F Proj'!$J$2:$J$7669,'F Proj'!$B$2:$B$7669,$C163,'F Proj'!$A$2:$A$7669,"&gt;"&amp;Week,'F Proj'!$A$2:$A$7669,"&lt;=13"))))</f>
        <v>11.550770537068079</v>
      </c>
      <c r="N163" s="2">
        <f t="shared" si="34"/>
        <v>2.3787994633561795</v>
      </c>
      <c r="O163" s="2">
        <f t="shared" si="38"/>
        <v>3.2056042089902745</v>
      </c>
      <c r="P163" s="2">
        <f t="shared" si="39"/>
        <v>6.5058243624382976</v>
      </c>
      <c r="Q163" s="2">
        <f>K163-VLOOKUP($E163,Scores!$AG$1:$AM$7,7,FALSE)</f>
        <v>-0.32428571428571384</v>
      </c>
      <c r="R163" s="2">
        <f>O163-VLOOKUP($E163,Scores!$AG$1:$AM$7,7,FALSE)</f>
        <v>-1.9743957910097252</v>
      </c>
      <c r="S163" s="2">
        <f>P163-VLOOKUP($E163,Scores!$AG$1:$AM$7,7,FALSE)</f>
        <v>1.3258243624382979</v>
      </c>
      <c r="T163">
        <f t="shared" si="35"/>
        <v>200</v>
      </c>
      <c r="U163" s="23">
        <f t="shared" si="36"/>
        <v>78</v>
      </c>
      <c r="V163">
        <f t="shared" si="40"/>
        <v>19</v>
      </c>
      <c r="W163">
        <f t="shared" si="41"/>
        <v>7</v>
      </c>
      <c r="X163" t="str">
        <f>D163&amp;COUNTIF(D$1:D163,D163)</f>
        <v>FA36</v>
      </c>
      <c r="Y163" t="str">
        <f>D163&amp;E163&amp;COUNTIFS(D$1:D163,D163,E$1:E163,E163)</f>
        <v>FATE5</v>
      </c>
      <c r="Z163" t="s">
        <v>178</v>
      </c>
      <c r="AA163" t="s">
        <v>189</v>
      </c>
    </row>
    <row r="164" spans="1:27" x14ac:dyDescent="0.25">
      <c r="A164">
        <f t="shared" si="37"/>
        <v>163</v>
      </c>
      <c r="B164">
        <f>MATCH(A164,'ROS Proj'!$AI$2:$AI$561,0)</f>
        <v>543</v>
      </c>
      <c r="C164" t="str">
        <f>INDEX('ROS Proj'!$A$2:$A$561,$B164)</f>
        <v>Bills D/ST</v>
      </c>
      <c r="D164" t="str">
        <f>IFERROR(INDEX(Rosters!$C$2:$C$155,MATCH($C164,Rosters!$B$2:$B$155,0)),"FA")</f>
        <v>FA</v>
      </c>
      <c r="E164" t="str">
        <f>INDEX('ROS Proj'!$B$2:$B$561,$B164)</f>
        <v>D</v>
      </c>
      <c r="F164" t="str">
        <f>E164&amp;COUNTIF(E$1:E164,E164)</f>
        <v>D8</v>
      </c>
      <c r="G164">
        <f t="shared" si="30"/>
        <v>0</v>
      </c>
      <c r="H164">
        <f t="shared" si="31"/>
        <v>5</v>
      </c>
      <c r="I164" t="str">
        <f t="shared" si="32"/>
        <v>D16-180</v>
      </c>
      <c r="J164" t="str">
        <f t="shared" si="33"/>
        <v>D1-42</v>
      </c>
      <c r="K164" s="2">
        <f>INDEX('ROS Proj'!$T$2:$T$561,$B164)</f>
        <v>6.4714285714285706</v>
      </c>
      <c r="L164" s="23">
        <f>INDEX('ROS Proj'!$AL$2:$AL$561,$B164)</f>
        <v>7</v>
      </c>
      <c r="M164" s="2">
        <f>SQRT(IF(E164="K",SUMIFS('K Proj'!$P$2:$P$508,'K Proj'!$B$2:$B$508,$C164,'K Proj'!$A$2:$A$508,"&gt;"&amp;Week,'K Proj'!$A$2:$A$508,"&lt;=13"),IF(E164="D",SUMIFS('D Proj'!$N$2:$N$513,'D Proj'!$B$2:$B$513,$C164,'D Proj'!$A$2:$A$513,"&gt;"&amp;Week,'D Proj'!$A$2:$A$513,"&lt;=13"),SUMIFS('F Proj'!$J$2:$J$7669,'F Proj'!$B$2:$B$7669,$C164,'F Proj'!$A$2:$A$7669,"&gt;"&amp;Week,'F Proj'!$A$2:$A$7669,"&lt;=13"))))</f>
        <v>14.337035955873166</v>
      </c>
      <c r="N164" s="2">
        <f t="shared" si="34"/>
        <v>2.2154360196713503</v>
      </c>
      <c r="O164" s="2">
        <f t="shared" si="38"/>
        <v>4.4232805777324042</v>
      </c>
      <c r="P164" s="2">
        <f t="shared" si="39"/>
        <v>8.519576565124737</v>
      </c>
      <c r="Q164" s="2">
        <f>K164-VLOOKUP($E164,Scores!$AG$1:$AM$7,7,FALSE)</f>
        <v>0.29714285714285626</v>
      </c>
      <c r="R164" s="2">
        <f>O164-VLOOKUP($E164,Scores!$AG$1:$AM$7,7,FALSE)</f>
        <v>-1.7510051365533101</v>
      </c>
      <c r="S164" s="2">
        <f>P164-VLOOKUP($E164,Scores!$AG$1:$AM$7,7,FALSE)</f>
        <v>2.3452908508390227</v>
      </c>
      <c r="T164">
        <f t="shared" si="35"/>
        <v>180</v>
      </c>
      <c r="U164" s="23">
        <f t="shared" si="36"/>
        <v>42</v>
      </c>
      <c r="V164">
        <f t="shared" si="40"/>
        <v>16</v>
      </c>
      <c r="W164">
        <f t="shared" si="41"/>
        <v>1</v>
      </c>
      <c r="X164" t="str">
        <f>D164&amp;COUNTIF(D$1:D164,D164)</f>
        <v>FA37</v>
      </c>
      <c r="Y164" t="str">
        <f>D164&amp;E164&amp;COUNTIFS(D$1:D164,D164,E$1:E164,E164)</f>
        <v>FAD3</v>
      </c>
      <c r="Z164" t="s">
        <v>217</v>
      </c>
      <c r="AA164" t="s">
        <v>418</v>
      </c>
    </row>
    <row r="165" spans="1:27" x14ac:dyDescent="0.25">
      <c r="A165">
        <f t="shared" si="37"/>
        <v>164</v>
      </c>
      <c r="B165">
        <f>MATCH(A165,'ROS Proj'!$AI$2:$AI$561,0)</f>
        <v>508</v>
      </c>
      <c r="C165" t="str">
        <f>INDEX('ROS Proj'!$A$2:$A$561,$B165)</f>
        <v>Harrison Butker</v>
      </c>
      <c r="D165" t="str">
        <f>IFERROR(INDEX(Rosters!$C$2:$C$155,MATCH($C165,Rosters!$B$2:$B$155,0)),"FA")</f>
        <v>seth</v>
      </c>
      <c r="E165" t="str">
        <f>INDEX('ROS Proj'!$B$2:$B$561,$B165)</f>
        <v>K</v>
      </c>
      <c r="F165" t="str">
        <f>E165&amp;COUNTIF(E$1:E165,E165)</f>
        <v>K11</v>
      </c>
      <c r="G165">
        <f t="shared" si="30"/>
        <v>0</v>
      </c>
      <c r="H165">
        <f t="shared" si="31"/>
        <v>-6</v>
      </c>
      <c r="I165" t="str">
        <f t="shared" si="32"/>
        <v>K18-167</v>
      </c>
      <c r="J165" t="str">
        <f t="shared" si="33"/>
        <v>K1-54</v>
      </c>
      <c r="K165" s="2">
        <f>INDEX('ROS Proj'!$T$2:$T$561,$B165)</f>
        <v>7.4485714285714284</v>
      </c>
      <c r="L165" s="23">
        <f>INDEX('ROS Proj'!$AL$2:$AL$561,$B165)</f>
        <v>7</v>
      </c>
      <c r="M165" s="2">
        <f>SQRT(IF(E165="K",SUMIFS('K Proj'!$P$2:$P$508,'K Proj'!$B$2:$B$508,$C165,'K Proj'!$A$2:$A$508,"&gt;"&amp;Week,'K Proj'!$A$2:$A$508,"&lt;=13"),IF(E165="D",SUMIFS('D Proj'!$N$2:$N$513,'D Proj'!$B$2:$B$513,$C165,'D Proj'!$A$2:$A$513,"&gt;"&amp;Week,'D Proj'!$A$2:$A$513,"&lt;=13"),SUMIFS('F Proj'!$J$2:$J$7669,'F Proj'!$B$2:$B$7669,$C165,'F Proj'!$A$2:$A$7669,"&gt;"&amp;Week,'F Proj'!$A$2:$A$7669,"&lt;=13"))))</f>
        <v>10.717047167946962</v>
      </c>
      <c r="N165" s="2">
        <f t="shared" si="34"/>
        <v>1.4388057187500716</v>
      </c>
      <c r="O165" s="2">
        <f t="shared" si="38"/>
        <v>5.9175646902932915</v>
      </c>
      <c r="P165" s="2">
        <f t="shared" si="39"/>
        <v>8.9795781668495653</v>
      </c>
      <c r="Q165" s="2">
        <f>K165-VLOOKUP($E165,Scores!$AG$1:$AM$7,7,FALSE)</f>
        <v>2.7142857142856691E-2</v>
      </c>
      <c r="R165" s="2">
        <f>O165-VLOOKUP($E165,Scores!$AG$1:$AM$7,7,FALSE)</f>
        <v>-1.5038638811352802</v>
      </c>
      <c r="S165" s="2">
        <f>P165-VLOOKUP($E165,Scores!$AG$1:$AM$7,7,FALSE)</f>
        <v>1.5581495954209936</v>
      </c>
      <c r="T165">
        <f t="shared" si="35"/>
        <v>167</v>
      </c>
      <c r="U165" s="23">
        <f t="shared" si="36"/>
        <v>54</v>
      </c>
      <c r="V165">
        <f t="shared" si="40"/>
        <v>18</v>
      </c>
      <c r="W165">
        <f t="shared" si="41"/>
        <v>1</v>
      </c>
      <c r="X165" t="str">
        <f>D165&amp;COUNTIF(D$1:D165,D165)</f>
        <v>seth13</v>
      </c>
      <c r="Y165" t="str">
        <f>D165&amp;E165&amp;COUNTIFS(D$1:D165,D165,E$1:E165,E165)</f>
        <v>sethK1</v>
      </c>
      <c r="Z165" t="s">
        <v>414</v>
      </c>
      <c r="AA165" t="s">
        <v>1108</v>
      </c>
    </row>
    <row r="166" spans="1:27" x14ac:dyDescent="0.25">
      <c r="A166">
        <f t="shared" si="37"/>
        <v>165</v>
      </c>
      <c r="B166">
        <f>MATCH(A166,'ROS Proj'!$AI$2:$AI$561,0)</f>
        <v>505</v>
      </c>
      <c r="C166" t="str">
        <f>INDEX('ROS Proj'!$A$2:$A$561,$B166)</f>
        <v>Brett Maher</v>
      </c>
      <c r="D166" t="str">
        <f>IFERROR(INDEX(Rosters!$C$2:$C$155,MATCH($C166,Rosters!$B$2:$B$155,0)),"FA")</f>
        <v>FA</v>
      </c>
      <c r="E166" t="str">
        <f>INDEX('ROS Proj'!$B$2:$B$561,$B166)</f>
        <v>K</v>
      </c>
      <c r="F166" t="str">
        <f>E166&amp;COUNTIF(E$1:E166,E166)</f>
        <v>K12</v>
      </c>
      <c r="G166">
        <f t="shared" si="30"/>
        <v>0</v>
      </c>
      <c r="H166">
        <f t="shared" si="31"/>
        <v>36</v>
      </c>
      <c r="I166" t="str">
        <f t="shared" si="32"/>
        <v>K18-167</v>
      </c>
      <c r="J166" t="str">
        <f t="shared" si="33"/>
        <v>K1-54</v>
      </c>
      <c r="K166" s="2">
        <f>INDEX('ROS Proj'!$T$2:$T$561,$B166)</f>
        <v>7.427142857142857</v>
      </c>
      <c r="L166" s="23">
        <f>INDEX('ROS Proj'!$AL$2:$AL$561,$B166)</f>
        <v>7</v>
      </c>
      <c r="M166" s="2">
        <f>SQRT(IF(E166="K",SUMIFS('K Proj'!$P$2:$P$508,'K Proj'!$B$2:$B$508,$C166,'K Proj'!$A$2:$A$508,"&gt;"&amp;Week,'K Proj'!$A$2:$A$508,"&lt;=13"),IF(E166="D",SUMIFS('D Proj'!$N$2:$N$513,'D Proj'!$B$2:$B$513,$C166,'D Proj'!$A$2:$A$513,"&gt;"&amp;Week,'D Proj'!$A$2:$A$513,"&lt;=13"),SUMIFS('F Proj'!$J$2:$J$7669,'F Proj'!$B$2:$B$7669,$C166,'F Proj'!$A$2:$A$7669,"&gt;"&amp;Week,'F Proj'!$A$2:$A$7669,"&lt;=13"))))</f>
        <v>9.9479847205351088</v>
      </c>
      <c r="N166" s="2">
        <f t="shared" si="34"/>
        <v>1.3394093680274237</v>
      </c>
      <c r="O166" s="2">
        <f t="shared" si="38"/>
        <v>6.0060021827806986</v>
      </c>
      <c r="P166" s="2">
        <f t="shared" si="39"/>
        <v>8.8482835315050163</v>
      </c>
      <c r="Q166" s="2">
        <f>K166-VLOOKUP($E166,Scores!$AG$1:$AM$7,7,FALSE)</f>
        <v>5.7142857142853387E-3</v>
      </c>
      <c r="R166" s="2">
        <f>O166-VLOOKUP($E166,Scores!$AG$1:$AM$7,7,FALSE)</f>
        <v>-1.4154263886478731</v>
      </c>
      <c r="S166" s="2">
        <f>P166-VLOOKUP($E166,Scores!$AG$1:$AM$7,7,FALSE)</f>
        <v>1.4268549600764446</v>
      </c>
      <c r="T166">
        <f t="shared" si="35"/>
        <v>167</v>
      </c>
      <c r="U166" s="23">
        <f t="shared" si="36"/>
        <v>54</v>
      </c>
      <c r="V166">
        <f t="shared" si="40"/>
        <v>18</v>
      </c>
      <c r="W166">
        <f t="shared" si="41"/>
        <v>1</v>
      </c>
      <c r="X166" t="str">
        <f>D166&amp;COUNTIF(D$1:D166,D166)</f>
        <v>FA38</v>
      </c>
      <c r="Y166" t="str">
        <f>D166&amp;E166&amp;COUNTIFS(D$1:D166,D166,E$1:E166,E166)</f>
        <v>FAK6</v>
      </c>
      <c r="Z166" t="s">
        <v>1404</v>
      </c>
      <c r="AA166" t="s">
        <v>4164</v>
      </c>
    </row>
    <row r="167" spans="1:27" x14ac:dyDescent="0.25">
      <c r="A167">
        <f t="shared" si="37"/>
        <v>166</v>
      </c>
      <c r="B167">
        <f>MATCH(A167,'ROS Proj'!$AI$2:$AI$561,0)</f>
        <v>502</v>
      </c>
      <c r="C167" t="str">
        <f>INDEX('ROS Proj'!$A$2:$A$561,$B167)</f>
        <v>Josh Lambo</v>
      </c>
      <c r="D167" t="str">
        <f>IFERROR(INDEX(Rosters!$C$2:$C$155,MATCH($C167,Rosters!$B$2:$B$155,0)),"FA")</f>
        <v>scott</v>
      </c>
      <c r="E167" t="str">
        <f>INDEX('ROS Proj'!$B$2:$B$561,$B167)</f>
        <v>K</v>
      </c>
      <c r="F167" t="str">
        <f>E167&amp;COUNTIF(E$1:E167,E167)</f>
        <v>K13</v>
      </c>
      <c r="G167">
        <f t="shared" si="30"/>
        <v>0</v>
      </c>
      <c r="H167">
        <f t="shared" si="31"/>
        <v>-11</v>
      </c>
      <c r="I167" t="str">
        <f t="shared" si="32"/>
        <v>K18-167</v>
      </c>
      <c r="J167" t="str">
        <f t="shared" si="33"/>
        <v>K1-54</v>
      </c>
      <c r="K167" s="2">
        <f>INDEX('ROS Proj'!$T$2:$T$561,$B167)</f>
        <v>7.4214285714285717</v>
      </c>
      <c r="L167" s="23">
        <f>INDEX('ROS Proj'!$AL$2:$AL$561,$B167)</f>
        <v>7</v>
      </c>
      <c r="M167" s="2">
        <f>SQRT(IF(E167="K",SUMIFS('K Proj'!$P$2:$P$508,'K Proj'!$B$2:$B$508,$C167,'K Proj'!$A$2:$A$508,"&gt;"&amp;Week,'K Proj'!$A$2:$A$508,"&lt;=13"),IF(E167="D",SUMIFS('D Proj'!$N$2:$N$513,'D Proj'!$B$2:$B$513,$C167,'D Proj'!$A$2:$A$513,"&gt;"&amp;Week,'D Proj'!$A$2:$A$513,"&lt;=13"),SUMIFS('F Proj'!$J$2:$J$7669,'F Proj'!$B$2:$B$7669,$C167,'F Proj'!$A$2:$A$7669,"&gt;"&amp;Week,'F Proj'!$A$2:$A$7669,"&lt;=13"))))</f>
        <v>10.641198240799763</v>
      </c>
      <c r="N167" s="2">
        <f t="shared" si="34"/>
        <v>1.4338476936592559</v>
      </c>
      <c r="O167" s="2">
        <f t="shared" si="38"/>
        <v>5.9012573941714619</v>
      </c>
      <c r="P167" s="2">
        <f t="shared" si="39"/>
        <v>8.9415997486856806</v>
      </c>
      <c r="Q167" s="2">
        <f>K167-VLOOKUP($E167,Scores!$AG$1:$AM$7,7,FALSE)</f>
        <v>0</v>
      </c>
      <c r="R167" s="2">
        <f>O167-VLOOKUP($E167,Scores!$AG$1:$AM$7,7,FALSE)</f>
        <v>-1.5201711772571098</v>
      </c>
      <c r="S167" s="2">
        <f>P167-VLOOKUP($E167,Scores!$AG$1:$AM$7,7,FALSE)</f>
        <v>1.5201711772571089</v>
      </c>
      <c r="T167">
        <f t="shared" si="35"/>
        <v>167</v>
      </c>
      <c r="U167" s="23">
        <f t="shared" si="36"/>
        <v>54</v>
      </c>
      <c r="V167">
        <f t="shared" si="40"/>
        <v>18</v>
      </c>
      <c r="W167">
        <f t="shared" si="41"/>
        <v>1</v>
      </c>
      <c r="X167" t="str">
        <f>D167&amp;COUNTIF(D$1:D167,D167)</f>
        <v>scott13</v>
      </c>
      <c r="Y167" t="str">
        <f>D167&amp;E167&amp;COUNTIFS(D$1:D167,D167,E$1:E167,E167)</f>
        <v>scottK1</v>
      </c>
      <c r="Z167" t="s">
        <v>150</v>
      </c>
      <c r="AA167" t="s">
        <v>1119</v>
      </c>
    </row>
    <row r="168" spans="1:27" x14ac:dyDescent="0.25">
      <c r="A168">
        <f t="shared" si="37"/>
        <v>167</v>
      </c>
      <c r="B168">
        <f>MATCH(A168,'ROS Proj'!$AI$2:$AI$561,0)</f>
        <v>529</v>
      </c>
      <c r="C168" t="str">
        <f>INDEX('ROS Proj'!$A$2:$A$561,$B168)</f>
        <v>Ravens D/ST</v>
      </c>
      <c r="D168" t="str">
        <f>IFERROR(INDEX(Rosters!$C$2:$C$155,MATCH($C168,Rosters!$B$2:$B$155,0)),"FA")</f>
        <v>lucas</v>
      </c>
      <c r="E168" t="str">
        <f>INDEX('ROS Proj'!$B$2:$B$561,$B168)</f>
        <v>D</v>
      </c>
      <c r="F168" t="str">
        <f>E168&amp;COUNTIF(E$1:E168,E168)</f>
        <v>D9</v>
      </c>
      <c r="G168">
        <f t="shared" si="30"/>
        <v>0</v>
      </c>
      <c r="H168">
        <f t="shared" si="31"/>
        <v>-57</v>
      </c>
      <c r="I168" t="str">
        <f t="shared" si="32"/>
        <v>D16-200</v>
      </c>
      <c r="J168" t="str">
        <f t="shared" si="33"/>
        <v>D1-42</v>
      </c>
      <c r="K168" s="2">
        <f>INDEX('ROS Proj'!$T$2:$T$561,$B168)</f>
        <v>6.4071428571428575</v>
      </c>
      <c r="L168" s="23">
        <f>INDEX('ROS Proj'!$AL$2:$AL$561,$B168)</f>
        <v>7</v>
      </c>
      <c r="M168" s="2">
        <f>SQRT(IF(E168="K",SUMIFS('K Proj'!$P$2:$P$508,'K Proj'!$B$2:$B$508,$C168,'K Proj'!$A$2:$A$508,"&gt;"&amp;Week,'K Proj'!$A$2:$A$508,"&lt;=13"),IF(E168="D",SUMIFS('D Proj'!$N$2:$N$513,'D Proj'!$B$2:$B$513,$C168,'D Proj'!$A$2:$A$513,"&gt;"&amp;Week,'D Proj'!$A$2:$A$513,"&lt;=13"),SUMIFS('F Proj'!$J$2:$J$7669,'F Proj'!$B$2:$B$7669,$C168,'F Proj'!$A$2:$A$7669,"&gt;"&amp;Week,'F Proj'!$A$2:$A$7669,"&lt;=13"))))</f>
        <v>15.918489249925697</v>
      </c>
      <c r="N168" s="2">
        <f t="shared" si="34"/>
        <v>2.4844910757966527</v>
      </c>
      <c r="O168" s="2">
        <f t="shared" si="38"/>
        <v>4.1330729642963293</v>
      </c>
      <c r="P168" s="2">
        <f t="shared" si="39"/>
        <v>8.6812127499893865</v>
      </c>
      <c r="Q168" s="2">
        <f>K168-VLOOKUP($E168,Scores!$AG$1:$AM$7,7,FALSE)</f>
        <v>0.2328571428571431</v>
      </c>
      <c r="R168" s="2">
        <f>O168-VLOOKUP($E168,Scores!$AG$1:$AM$7,7,FALSE)</f>
        <v>-2.0412127499893851</v>
      </c>
      <c r="S168" s="2">
        <f>P168-VLOOKUP($E168,Scores!$AG$1:$AM$7,7,FALSE)</f>
        <v>2.5069270357036721</v>
      </c>
      <c r="T168">
        <f t="shared" si="35"/>
        <v>200</v>
      </c>
      <c r="U168" s="23">
        <f t="shared" si="36"/>
        <v>42</v>
      </c>
      <c r="V168">
        <f t="shared" si="40"/>
        <v>16</v>
      </c>
      <c r="W168">
        <f t="shared" si="41"/>
        <v>1</v>
      </c>
      <c r="X168" t="str">
        <f>D168&amp;COUNTIF(D$1:D168,D168)</f>
        <v>lucas14</v>
      </c>
      <c r="Y168" t="str">
        <f>D168&amp;E168&amp;COUNTIFS(D$1:D168,D168,E$1:E168,E168)</f>
        <v>lucasD2</v>
      </c>
      <c r="Z168" t="s">
        <v>227</v>
      </c>
      <c r="AA168" t="s">
        <v>411</v>
      </c>
    </row>
    <row r="169" spans="1:27" x14ac:dyDescent="0.25">
      <c r="A169">
        <f t="shared" si="37"/>
        <v>168</v>
      </c>
      <c r="B169">
        <f>MATCH(A169,'ROS Proj'!$AI$2:$AI$561,0)</f>
        <v>33</v>
      </c>
      <c r="C169" t="str">
        <f>INDEX('ROS Proj'!$A$2:$A$561,$B169)</f>
        <v>Anthony Miller</v>
      </c>
      <c r="D169" t="str">
        <f>IFERROR(INDEX(Rosters!$C$2:$C$155,MATCH($C169,Rosters!$B$2:$B$155,0)),"FA")</f>
        <v>FA</v>
      </c>
      <c r="E169" t="str">
        <f>INDEX('ROS Proj'!$B$2:$B$561,$B169)</f>
        <v>WR</v>
      </c>
      <c r="F169" t="str">
        <f>E169&amp;COUNTIF(E$1:E169,E169)</f>
        <v>WR63</v>
      </c>
      <c r="G169">
        <f t="shared" si="30"/>
        <v>0</v>
      </c>
      <c r="H169">
        <f t="shared" si="31"/>
        <v>33</v>
      </c>
      <c r="I169" t="str">
        <f t="shared" si="32"/>
        <v>WR72-200</v>
      </c>
      <c r="J169" t="str">
        <f t="shared" si="33"/>
        <v>WR55-94</v>
      </c>
      <c r="K169" s="2">
        <f>INDEX('ROS Proj'!$T$2:$T$561,$B169)</f>
        <v>4.4387500000000006</v>
      </c>
      <c r="L169" s="23">
        <f>INDEX('ROS Proj'!$AL$2:$AL$561,$B169)</f>
        <v>8</v>
      </c>
      <c r="M169" s="2">
        <f>SQRT(IF(E169="K",SUMIFS('K Proj'!$P$2:$P$508,'K Proj'!$B$2:$B$508,$C169,'K Proj'!$A$2:$A$508,"&gt;"&amp;Week,'K Proj'!$A$2:$A$508,"&lt;=13"),IF(E169="D",SUMIFS('D Proj'!$N$2:$N$513,'D Proj'!$B$2:$B$513,$C169,'D Proj'!$A$2:$A$513,"&gt;"&amp;Week,'D Proj'!$A$2:$A$513,"&lt;=13"),SUMIFS('F Proj'!$J$2:$J$7669,'F Proj'!$B$2:$B$7669,$C169,'F Proj'!$A$2:$A$7669,"&gt;"&amp;Week,'F Proj'!$A$2:$A$7669,"&lt;=13"))))</f>
        <v>11.38878834643967</v>
      </c>
      <c r="N169" s="2">
        <f t="shared" si="34"/>
        <v>2.5657647640528682</v>
      </c>
      <c r="O169" s="2">
        <f t="shared" si="38"/>
        <v>3.0151514566950421</v>
      </c>
      <c r="P169" s="2">
        <f t="shared" si="39"/>
        <v>5.8623485433049591</v>
      </c>
      <c r="Q169" s="2">
        <f>K169-VLOOKUP($E169,Scores!$AG$1:$AM$7,7,FALSE)</f>
        <v>-1.6141071428571419</v>
      </c>
      <c r="R169" s="2">
        <f>O169-VLOOKUP($E169,Scores!$AG$1:$AM$7,7,FALSE)</f>
        <v>-3.0377056861621003</v>
      </c>
      <c r="S169" s="2">
        <f>P169-VLOOKUP($E169,Scores!$AG$1:$AM$7,7,FALSE)</f>
        <v>-0.19050859955218336</v>
      </c>
      <c r="T169">
        <f t="shared" si="35"/>
        <v>200</v>
      </c>
      <c r="U169" s="23">
        <f t="shared" si="36"/>
        <v>94</v>
      </c>
      <c r="V169">
        <f t="shared" si="40"/>
        <v>72</v>
      </c>
      <c r="W169">
        <f t="shared" si="41"/>
        <v>55</v>
      </c>
      <c r="X169" t="str">
        <f>D169&amp;COUNTIF(D$1:D169,D169)</f>
        <v>FA39</v>
      </c>
      <c r="Y169" t="str">
        <f>D169&amp;E169&amp;COUNTIFS(D$1:D169,D169,E$1:E169,E169)</f>
        <v>FAWR13</v>
      </c>
      <c r="Z169" t="s">
        <v>418</v>
      </c>
      <c r="AA169" t="s">
        <v>1377</v>
      </c>
    </row>
    <row r="170" spans="1:27" x14ac:dyDescent="0.25">
      <c r="A170">
        <f t="shared" si="37"/>
        <v>169</v>
      </c>
      <c r="B170">
        <f>MATCH(A170,'ROS Proj'!$AI$2:$AI$561,0)</f>
        <v>257</v>
      </c>
      <c r="C170" t="str">
        <f>INDEX('ROS Proj'!$A$2:$A$561,$B170)</f>
        <v>Jordan Wilkins</v>
      </c>
      <c r="D170" t="str">
        <f>IFERROR(INDEX(Rosters!$C$2:$C$155,MATCH($C170,Rosters!$B$2:$B$155,0)),"FA")</f>
        <v>FA</v>
      </c>
      <c r="E170" t="str">
        <f>INDEX('ROS Proj'!$B$2:$B$561,$B170)</f>
        <v>RB</v>
      </c>
      <c r="F170" t="str">
        <f>E170&amp;COUNTIF(E$1:E170,E170)</f>
        <v>RB57</v>
      </c>
      <c r="G170">
        <f t="shared" si="30"/>
        <v>0</v>
      </c>
      <c r="H170">
        <f t="shared" si="31"/>
        <v>-35</v>
      </c>
      <c r="I170" t="str">
        <f t="shared" si="32"/>
        <v>RB62-200</v>
      </c>
      <c r="J170" t="str">
        <f t="shared" si="33"/>
        <v>RB38-78</v>
      </c>
      <c r="K170" s="2">
        <f>INDEX('ROS Proj'!$T$2:$T$561,$B170)</f>
        <v>5.0599999999999996</v>
      </c>
      <c r="L170" s="23">
        <f>INDEX('ROS Proj'!$AL$2:$AL$561,$B170)</f>
        <v>7</v>
      </c>
      <c r="M170" s="2">
        <f>SQRT(IF(E170="K",SUMIFS('K Proj'!$P$2:$P$508,'K Proj'!$B$2:$B$508,$C170,'K Proj'!$A$2:$A$508,"&gt;"&amp;Week,'K Proj'!$A$2:$A$508,"&lt;=13"),IF(E170="D",SUMIFS('D Proj'!$N$2:$N$513,'D Proj'!$B$2:$B$513,$C170,'D Proj'!$A$2:$A$513,"&gt;"&amp;Week,'D Proj'!$A$2:$A$513,"&lt;=13"),SUMIFS('F Proj'!$J$2:$J$7669,'F Proj'!$B$2:$B$7669,$C170,'F Proj'!$A$2:$A$7669,"&gt;"&amp;Week,'F Proj'!$A$2:$A$7669,"&lt;=13"))))</f>
        <v>12.412348689913607</v>
      </c>
      <c r="N170" s="2">
        <f t="shared" si="34"/>
        <v>2.4530333379275904</v>
      </c>
      <c r="O170" s="2">
        <f t="shared" si="38"/>
        <v>3.286807330012341</v>
      </c>
      <c r="P170" s="2">
        <f t="shared" si="39"/>
        <v>6.8331926699876577</v>
      </c>
      <c r="Q170" s="2">
        <f>K170-VLOOKUP($E170,Scores!$AG$1:$AM$7,7,FALSE)</f>
        <v>-0.80857142857142961</v>
      </c>
      <c r="R170" s="2">
        <f>O170-VLOOKUP($E170,Scores!$AG$1:$AM$7,7,FALSE)</f>
        <v>-2.5817640985590882</v>
      </c>
      <c r="S170" s="2">
        <f>P170-VLOOKUP($E170,Scores!$AG$1:$AM$7,7,FALSE)</f>
        <v>0.96462124141622851</v>
      </c>
      <c r="T170">
        <f t="shared" si="35"/>
        <v>200</v>
      </c>
      <c r="U170" s="23">
        <f t="shared" si="36"/>
        <v>78</v>
      </c>
      <c r="V170">
        <f t="shared" si="40"/>
        <v>62</v>
      </c>
      <c r="W170">
        <f t="shared" si="41"/>
        <v>38</v>
      </c>
      <c r="X170" t="str">
        <f>D170&amp;COUNTIF(D$1:D170,D170)</f>
        <v>FA40</v>
      </c>
      <c r="Y170" t="str">
        <f>D170&amp;E170&amp;COUNTIFS(D$1:D170,D170,E$1:E170,E170)</f>
        <v>FARB12</v>
      </c>
      <c r="Z170" t="s">
        <v>381</v>
      </c>
      <c r="AA170" t="s">
        <v>1388</v>
      </c>
    </row>
    <row r="171" spans="1:27" x14ac:dyDescent="0.25">
      <c r="A171">
        <f t="shared" si="37"/>
        <v>170</v>
      </c>
      <c r="B171">
        <f>MATCH(A171,'ROS Proj'!$AI$2:$AI$561,0)</f>
        <v>552</v>
      </c>
      <c r="C171" t="str">
        <f>INDEX('ROS Proj'!$A$2:$A$561,$B171)</f>
        <v>Dolphins D/ST</v>
      </c>
      <c r="D171" t="str">
        <f>IFERROR(INDEX(Rosters!$C$2:$C$155,MATCH($C171,Rosters!$B$2:$B$155,0)),"FA")</f>
        <v>FA</v>
      </c>
      <c r="E171" t="str">
        <f>INDEX('ROS Proj'!$B$2:$B$561,$B171)</f>
        <v>D</v>
      </c>
      <c r="F171" t="str">
        <f>E171&amp;COUNTIF(E$1:E171,E171)</f>
        <v>D10</v>
      </c>
      <c r="G171">
        <f t="shared" si="30"/>
        <v>0</v>
      </c>
      <c r="H171">
        <f t="shared" si="31"/>
        <v>-42</v>
      </c>
      <c r="I171" t="str">
        <f t="shared" si="32"/>
        <v>D16-200</v>
      </c>
      <c r="J171" t="str">
        <f t="shared" si="33"/>
        <v>D1-42</v>
      </c>
      <c r="K171" s="2">
        <f>INDEX('ROS Proj'!$T$2:$T$561,$B171)</f>
        <v>6.3371428571428572</v>
      </c>
      <c r="L171" s="23">
        <f>INDEX('ROS Proj'!$AL$2:$AL$561,$B171)</f>
        <v>7</v>
      </c>
      <c r="M171" s="2">
        <f>SQRT(IF(E171="K",SUMIFS('K Proj'!$P$2:$P$508,'K Proj'!$B$2:$B$508,$C171,'K Proj'!$A$2:$A$508,"&gt;"&amp;Week,'K Proj'!$A$2:$A$508,"&lt;=13"),IF(E171="D",SUMIFS('D Proj'!$N$2:$N$513,'D Proj'!$B$2:$B$513,$C171,'D Proj'!$A$2:$A$513,"&gt;"&amp;Week,'D Proj'!$A$2:$A$513,"&lt;=13"),SUMIFS('F Proj'!$J$2:$J$7669,'F Proj'!$B$2:$B$7669,$C171,'F Proj'!$A$2:$A$7669,"&gt;"&amp;Week,'F Proj'!$A$2:$A$7669,"&lt;=13"))))</f>
        <v>14.897667602681972</v>
      </c>
      <c r="N171" s="2">
        <f t="shared" si="34"/>
        <v>2.3508492610183453</v>
      </c>
      <c r="O171" s="2">
        <f t="shared" si="38"/>
        <v>4.2089046281882903</v>
      </c>
      <c r="P171" s="2">
        <f t="shared" si="39"/>
        <v>8.465381086097425</v>
      </c>
      <c r="Q171" s="2">
        <f>K171-VLOOKUP($E171,Scores!$AG$1:$AM$7,7,FALSE)</f>
        <v>0.16285714285714281</v>
      </c>
      <c r="R171" s="2">
        <f>O171-VLOOKUP($E171,Scores!$AG$1:$AM$7,7,FALSE)</f>
        <v>-1.9653810860974241</v>
      </c>
      <c r="S171" s="2">
        <f>P171-VLOOKUP($E171,Scores!$AG$1:$AM$7,7,FALSE)</f>
        <v>2.2910953718117106</v>
      </c>
      <c r="T171">
        <f t="shared" si="35"/>
        <v>200</v>
      </c>
      <c r="U171" s="23">
        <f t="shared" si="36"/>
        <v>42</v>
      </c>
      <c r="V171">
        <f t="shared" si="40"/>
        <v>16</v>
      </c>
      <c r="W171">
        <f t="shared" si="41"/>
        <v>1</v>
      </c>
      <c r="X171" t="str">
        <f>D171&amp;COUNTIF(D$1:D171,D171)</f>
        <v>FA41</v>
      </c>
      <c r="Y171" t="str">
        <f>D171&amp;E171&amp;COUNTIFS(D$1:D171,D171,E$1:E171,E171)</f>
        <v>FAD4</v>
      </c>
      <c r="Z171" t="s">
        <v>211</v>
      </c>
      <c r="AA171" t="s">
        <v>422</v>
      </c>
    </row>
    <row r="172" spans="1:27" x14ac:dyDescent="0.25">
      <c r="A172">
        <f t="shared" si="37"/>
        <v>171</v>
      </c>
      <c r="B172">
        <f>MATCH(A172,'ROS Proj'!$AI$2:$AI$561,0)</f>
        <v>513</v>
      </c>
      <c r="C172" t="str">
        <f>INDEX('ROS Proj'!$A$2:$A$561,$B172)</f>
        <v>Sebastian Janikowski</v>
      </c>
      <c r="D172" t="str">
        <f>IFERROR(INDEX(Rosters!$C$2:$C$155,MATCH($C172,Rosters!$B$2:$B$155,0)),"FA")</f>
        <v>FA</v>
      </c>
      <c r="E172" t="str">
        <f>INDEX('ROS Proj'!$B$2:$B$561,$B172)</f>
        <v>K</v>
      </c>
      <c r="F172" t="str">
        <f>E172&amp;COUNTIF(E$1:E172,E172)</f>
        <v>K14</v>
      </c>
      <c r="G172">
        <f t="shared" si="30"/>
        <v>0</v>
      </c>
      <c r="H172">
        <f t="shared" si="31"/>
        <v>3</v>
      </c>
      <c r="I172" t="str">
        <f t="shared" si="32"/>
        <v>K18-180</v>
      </c>
      <c r="J172" t="str">
        <f t="shared" si="33"/>
        <v>K1-54</v>
      </c>
      <c r="K172" s="2">
        <f>INDEX('ROS Proj'!$T$2:$T$561,$B172)</f>
        <v>7.2857142857142856</v>
      </c>
      <c r="L172" s="23">
        <f>INDEX('ROS Proj'!$AL$2:$AL$561,$B172)</f>
        <v>7</v>
      </c>
      <c r="M172" s="2">
        <f>SQRT(IF(E172="K",SUMIFS('K Proj'!$P$2:$P$508,'K Proj'!$B$2:$B$508,$C172,'K Proj'!$A$2:$A$508,"&gt;"&amp;Week,'K Proj'!$A$2:$A$508,"&lt;=13"),IF(E172="D",SUMIFS('D Proj'!$N$2:$N$513,'D Proj'!$B$2:$B$513,$C172,'D Proj'!$A$2:$A$513,"&gt;"&amp;Week,'D Proj'!$A$2:$A$513,"&lt;=13"),SUMIFS('F Proj'!$J$2:$J$7669,'F Proj'!$B$2:$B$7669,$C172,'F Proj'!$A$2:$A$7669,"&gt;"&amp;Week,'F Proj'!$A$2:$A$7669,"&lt;=13"))))</f>
        <v>11.025293646883062</v>
      </c>
      <c r="N172" s="2">
        <f t="shared" si="34"/>
        <v>1.5132755985917929</v>
      </c>
      <c r="O172" s="2">
        <f t="shared" si="38"/>
        <v>5.7106723361595622</v>
      </c>
      <c r="P172" s="2">
        <f t="shared" si="39"/>
        <v>8.8607562352690099</v>
      </c>
      <c r="Q172" s="2">
        <f>K172-VLOOKUP($E172,Scores!$AG$1:$AM$7,7,FALSE)</f>
        <v>-0.13571428571428612</v>
      </c>
      <c r="R172" s="2">
        <f>O172-VLOOKUP($E172,Scores!$AG$1:$AM$7,7,FALSE)</f>
        <v>-1.7107562352690096</v>
      </c>
      <c r="S172" s="2">
        <f>P172-VLOOKUP($E172,Scores!$AG$1:$AM$7,7,FALSE)</f>
        <v>1.4393276638404382</v>
      </c>
      <c r="T172">
        <f t="shared" si="35"/>
        <v>180</v>
      </c>
      <c r="U172" s="23">
        <f t="shared" si="36"/>
        <v>54</v>
      </c>
      <c r="V172">
        <f t="shared" si="40"/>
        <v>18</v>
      </c>
      <c r="W172">
        <f t="shared" si="41"/>
        <v>1</v>
      </c>
      <c r="X172" t="str">
        <f>D172&amp;COUNTIF(D$1:D172,D172)</f>
        <v>FA42</v>
      </c>
      <c r="Y172" t="str">
        <f>D172&amp;E172&amp;COUNTIFS(D$1:D172,D172,E$1:E172,E172)</f>
        <v>FAK7</v>
      </c>
      <c r="Z172" t="s">
        <v>129</v>
      </c>
      <c r="AA172" t="s">
        <v>1216</v>
      </c>
    </row>
    <row r="173" spans="1:27" x14ac:dyDescent="0.25">
      <c r="A173">
        <f t="shared" si="37"/>
        <v>172</v>
      </c>
      <c r="B173">
        <f>MATCH(A173,'ROS Proj'!$AI$2:$AI$561,0)</f>
        <v>51</v>
      </c>
      <c r="C173" t="str">
        <f>INDEX('ROS Proj'!$A$2:$A$561,$B173)</f>
        <v>Blake Bortles</v>
      </c>
      <c r="D173" t="str">
        <f>IFERROR(INDEX(Rosters!$C$2:$C$155,MATCH($C173,Rosters!$B$2:$B$155,0)),"FA")</f>
        <v>FA</v>
      </c>
      <c r="E173" t="str">
        <f>INDEX('ROS Proj'!$B$2:$B$561,$B173)</f>
        <v>QB</v>
      </c>
      <c r="F173" t="str">
        <f>E173&amp;COUNTIF(E$1:E173,E173)</f>
        <v>QB11</v>
      </c>
      <c r="G173">
        <f t="shared" si="30"/>
        <v>0</v>
      </c>
      <c r="H173">
        <f t="shared" si="31"/>
        <v>28</v>
      </c>
      <c r="I173" t="str">
        <f t="shared" si="32"/>
        <v>QB13-200</v>
      </c>
      <c r="J173" t="str">
        <f t="shared" si="33"/>
        <v>QB1-40</v>
      </c>
      <c r="K173" s="2">
        <f>INDEX('ROS Proj'!$T$2:$T$561,$B173)</f>
        <v>19.954285714285714</v>
      </c>
      <c r="L173" s="23">
        <f>INDEX('ROS Proj'!$AL$2:$AL$561,$B173)</f>
        <v>7</v>
      </c>
      <c r="M173" s="2">
        <f>SQRT(IF(E173="K",SUMIFS('K Proj'!$P$2:$P$508,'K Proj'!$B$2:$B$508,$C173,'K Proj'!$A$2:$A$508,"&gt;"&amp;Week,'K Proj'!$A$2:$A$508,"&lt;=13"),IF(E173="D",SUMIFS('D Proj'!$N$2:$N$513,'D Proj'!$B$2:$B$513,$C173,'D Proj'!$A$2:$A$513,"&gt;"&amp;Week,'D Proj'!$A$2:$A$513,"&lt;=13"),SUMIFS('F Proj'!$J$2:$J$7669,'F Proj'!$B$2:$B$7669,$C173,'F Proj'!$A$2:$A$7669,"&gt;"&amp;Week,'F Proj'!$A$2:$A$7669,"&lt;=13"))))</f>
        <v>19.740838381385934</v>
      </c>
      <c r="N173" s="2">
        <f t="shared" si="34"/>
        <v>0.9893031834886995</v>
      </c>
      <c r="O173" s="2">
        <f t="shared" si="38"/>
        <v>17.134165945516294</v>
      </c>
      <c r="P173" s="2">
        <f t="shared" si="39"/>
        <v>22.774405483055137</v>
      </c>
      <c r="Q173" s="2">
        <f>K173-VLOOKUP($E173,Scores!$AG$1:$AM$7,7,FALSE)</f>
        <v>0.45428571428571729</v>
      </c>
      <c r="R173" s="2">
        <f>O173-VLOOKUP($E173,Scores!$AG$1:$AM$7,7,FALSE)</f>
        <v>-2.3658340544837024</v>
      </c>
      <c r="S173" s="2">
        <f>P173-VLOOKUP($E173,Scores!$AG$1:$AM$7,7,FALSE)</f>
        <v>3.2744054830551406</v>
      </c>
      <c r="T173">
        <f t="shared" si="35"/>
        <v>200</v>
      </c>
      <c r="U173" s="23">
        <f t="shared" si="36"/>
        <v>40</v>
      </c>
      <c r="V173">
        <f t="shared" si="40"/>
        <v>13</v>
      </c>
      <c r="W173">
        <f t="shared" si="41"/>
        <v>1</v>
      </c>
      <c r="X173" t="str">
        <f>D173&amp;COUNTIF(D$1:D173,D173)</f>
        <v>FA43</v>
      </c>
      <c r="Y173" t="str">
        <f>D173&amp;E173&amp;COUNTIFS(D$1:D173,D173,E$1:E173,E173)</f>
        <v>FAQB2</v>
      </c>
      <c r="Z173" t="s">
        <v>1395</v>
      </c>
      <c r="AA173" t="s">
        <v>79</v>
      </c>
    </row>
    <row r="174" spans="1:27" x14ac:dyDescent="0.25">
      <c r="A174">
        <f t="shared" si="37"/>
        <v>173</v>
      </c>
      <c r="B174">
        <f>MATCH(A174,'ROS Proj'!$AI$2:$AI$561,0)</f>
        <v>479</v>
      </c>
      <c r="C174" t="str">
        <f>INDEX('ROS Proj'!$A$2:$A$561,$B174)</f>
        <v>Tyrell Williams</v>
      </c>
      <c r="D174" t="str">
        <f>IFERROR(INDEX(Rosters!$C$2:$C$155,MATCH($C174,Rosters!$B$2:$B$155,0)),"FA")</f>
        <v>FA</v>
      </c>
      <c r="E174" t="str">
        <f>INDEX('ROS Proj'!$B$2:$B$561,$B174)</f>
        <v>WR</v>
      </c>
      <c r="F174" t="str">
        <f>E174&amp;COUNTIF(E$1:E174,E174)</f>
        <v>WR64</v>
      </c>
      <c r="G174">
        <f t="shared" si="30"/>
        <v>0</v>
      </c>
      <c r="H174">
        <f t="shared" si="31"/>
        <v>26</v>
      </c>
      <c r="I174" t="str">
        <f t="shared" si="32"/>
        <v>WR72-200</v>
      </c>
      <c r="J174" t="str">
        <f t="shared" si="33"/>
        <v>WR53-94</v>
      </c>
      <c r="K174" s="2">
        <f>INDEX('ROS Proj'!$T$2:$T$561,$B174)</f>
        <v>4.8742857142857146</v>
      </c>
      <c r="L174" s="23">
        <f>INDEX('ROS Proj'!$AL$2:$AL$561,$B174)</f>
        <v>7</v>
      </c>
      <c r="M174" s="2">
        <f>SQRT(IF(E174="K",SUMIFS('K Proj'!$P$2:$P$508,'K Proj'!$B$2:$B$508,$C174,'K Proj'!$A$2:$A$508,"&gt;"&amp;Week,'K Proj'!$A$2:$A$508,"&lt;=13"),IF(E174="D",SUMIFS('D Proj'!$N$2:$N$513,'D Proj'!$B$2:$B$513,$C174,'D Proj'!$A$2:$A$513,"&gt;"&amp;Week,'D Proj'!$A$2:$A$513,"&lt;=13"),SUMIFS('F Proj'!$J$2:$J$7669,'F Proj'!$B$2:$B$7669,$C174,'F Proj'!$A$2:$A$7669,"&gt;"&amp;Week,'F Proj'!$A$2:$A$7669,"&lt;=13"))))</f>
        <v>8.2736388608640627</v>
      </c>
      <c r="N174" s="2">
        <f t="shared" si="34"/>
        <v>1.6974053934949718</v>
      </c>
      <c r="O174" s="2">
        <f t="shared" si="38"/>
        <v>3.6923373055908493</v>
      </c>
      <c r="P174" s="2">
        <f t="shared" si="39"/>
        <v>6.0562341229805812</v>
      </c>
      <c r="Q174" s="2">
        <f>K174-VLOOKUP($E174,Scores!$AG$1:$AM$7,7,FALSE)</f>
        <v>-1.1785714285714279</v>
      </c>
      <c r="R174" s="2">
        <f>O174-VLOOKUP($E174,Scores!$AG$1:$AM$7,7,FALSE)</f>
        <v>-2.3605198372662932</v>
      </c>
      <c r="S174" s="2">
        <f>P174-VLOOKUP($E174,Scores!$AG$1:$AM$7,7,FALSE)</f>
        <v>3.3769801234386776E-3</v>
      </c>
      <c r="T174">
        <f t="shared" si="35"/>
        <v>200</v>
      </c>
      <c r="U174" s="23">
        <f t="shared" si="36"/>
        <v>94</v>
      </c>
      <c r="V174">
        <f t="shared" si="40"/>
        <v>72</v>
      </c>
      <c r="W174">
        <f t="shared" si="41"/>
        <v>53</v>
      </c>
      <c r="X174" t="str">
        <f>D174&amp;COUNTIF(D$1:D174,D174)</f>
        <v>FA44</v>
      </c>
      <c r="Y174" t="str">
        <f>D174&amp;E174&amp;COUNTIFS(D$1:D174,D174,E$1:E174,E174)</f>
        <v>FAWR14</v>
      </c>
      <c r="Z174" t="s">
        <v>455</v>
      </c>
      <c r="AA174" t="s">
        <v>210</v>
      </c>
    </row>
    <row r="175" spans="1:27" x14ac:dyDescent="0.25">
      <c r="A175">
        <f t="shared" si="37"/>
        <v>174</v>
      </c>
      <c r="B175">
        <f>MATCH(A175,'ROS Proj'!$AI$2:$AI$561,0)</f>
        <v>538</v>
      </c>
      <c r="C175" t="str">
        <f>INDEX('ROS Proj'!$A$2:$A$561,$B175)</f>
        <v>Jets D/ST</v>
      </c>
      <c r="D175" t="str">
        <f>IFERROR(INDEX(Rosters!$C$2:$C$155,MATCH($C175,Rosters!$B$2:$B$155,0)),"FA")</f>
        <v>FA</v>
      </c>
      <c r="E175" t="str">
        <f>INDEX('ROS Proj'!$B$2:$B$561,$B175)</f>
        <v>D</v>
      </c>
      <c r="F175" t="str">
        <f>E175&amp;COUNTIF(E$1:E175,E175)</f>
        <v>D11</v>
      </c>
      <c r="G175">
        <f t="shared" si="30"/>
        <v>0</v>
      </c>
      <c r="H175">
        <f t="shared" si="31"/>
        <v>-25</v>
      </c>
      <c r="I175" t="str">
        <f t="shared" si="32"/>
        <v>D16-200</v>
      </c>
      <c r="J175" t="str">
        <f t="shared" si="33"/>
        <v>D2-49</v>
      </c>
      <c r="K175" s="2">
        <f>INDEX('ROS Proj'!$T$2:$T$561,$B175)</f>
        <v>6.1871428571428577</v>
      </c>
      <c r="L175" s="23">
        <f>INDEX('ROS Proj'!$AL$2:$AL$561,$B175)</f>
        <v>7</v>
      </c>
      <c r="M175" s="2">
        <f>SQRT(IF(E175="K",SUMIFS('K Proj'!$P$2:$P$508,'K Proj'!$B$2:$B$508,$C175,'K Proj'!$A$2:$A$508,"&gt;"&amp;Week,'K Proj'!$A$2:$A$508,"&lt;=13"),IF(E175="D",SUMIFS('D Proj'!$N$2:$N$513,'D Proj'!$B$2:$B$513,$C175,'D Proj'!$A$2:$A$513,"&gt;"&amp;Week,'D Proj'!$A$2:$A$513,"&lt;=13"),SUMIFS('F Proj'!$J$2:$J$7669,'F Proj'!$B$2:$B$7669,$C175,'F Proj'!$A$2:$A$7669,"&gt;"&amp;Week,'F Proj'!$A$2:$A$7669,"&lt;=13"))))</f>
        <v>14.20634717300686</v>
      </c>
      <c r="N175" s="2">
        <f t="shared" si="34"/>
        <v>2.2961078321645809</v>
      </c>
      <c r="O175" s="2">
        <f t="shared" si="38"/>
        <v>4.1576646895704483</v>
      </c>
      <c r="P175" s="2">
        <f t="shared" si="39"/>
        <v>8.2166210247152662</v>
      </c>
      <c r="Q175" s="2">
        <f>K175-VLOOKUP($E175,Scores!$AG$1:$AM$7,7,FALSE)</f>
        <v>1.2857142857143344E-2</v>
      </c>
      <c r="R175" s="2">
        <f>O175-VLOOKUP($E175,Scores!$AG$1:$AM$7,7,FALSE)</f>
        <v>-2.0166210247152661</v>
      </c>
      <c r="S175" s="2">
        <f>P175-VLOOKUP($E175,Scores!$AG$1:$AM$7,7,FALSE)</f>
        <v>2.0423353104295519</v>
      </c>
      <c r="T175">
        <f t="shared" si="35"/>
        <v>200</v>
      </c>
      <c r="U175" s="23">
        <f t="shared" si="36"/>
        <v>49</v>
      </c>
      <c r="V175">
        <f t="shared" si="40"/>
        <v>16</v>
      </c>
      <c r="W175">
        <f t="shared" si="41"/>
        <v>2</v>
      </c>
      <c r="X175" t="str">
        <f>D175&amp;COUNTIF(D$1:D175,D175)</f>
        <v>FA45</v>
      </c>
      <c r="Y175" t="str">
        <f>D175&amp;E175&amp;COUNTIFS(D$1:D175,D175,E$1:E175,E175)</f>
        <v>FAD5</v>
      </c>
      <c r="Z175" t="s">
        <v>1216</v>
      </c>
      <c r="AA175" t="s">
        <v>430</v>
      </c>
    </row>
    <row r="176" spans="1:27" x14ac:dyDescent="0.25">
      <c r="A176">
        <f t="shared" si="37"/>
        <v>175</v>
      </c>
      <c r="B176">
        <f>MATCH(A176,'ROS Proj'!$AI$2:$AI$561,0)</f>
        <v>534</v>
      </c>
      <c r="C176" t="str">
        <f>INDEX('ROS Proj'!$A$2:$A$561,$B176)</f>
        <v>Seahawks D/ST</v>
      </c>
      <c r="D176" t="str">
        <f>IFERROR(INDEX(Rosters!$C$2:$C$155,MATCH($C176,Rosters!$B$2:$B$155,0)),"FA")</f>
        <v>FA</v>
      </c>
      <c r="E176" t="str">
        <f>INDEX('ROS Proj'!$B$2:$B$561,$B176)</f>
        <v>D</v>
      </c>
      <c r="F176" t="str">
        <f>E176&amp;COUNTIF(E$1:E176,E176)</f>
        <v>D12</v>
      </c>
      <c r="G176">
        <f t="shared" si="30"/>
        <v>0</v>
      </c>
      <c r="H176">
        <f t="shared" si="31"/>
        <v>13</v>
      </c>
      <c r="I176" t="str">
        <f t="shared" si="32"/>
        <v>D16-200</v>
      </c>
      <c r="J176" t="str">
        <f t="shared" si="33"/>
        <v>D2-49</v>
      </c>
      <c r="K176" s="2">
        <f>INDEX('ROS Proj'!$T$2:$T$561,$B176)</f>
        <v>6.1742857142857144</v>
      </c>
      <c r="L176" s="23">
        <f>INDEX('ROS Proj'!$AL$2:$AL$561,$B176)</f>
        <v>7</v>
      </c>
      <c r="M176" s="2">
        <f>SQRT(IF(E176="K",SUMIFS('K Proj'!$P$2:$P$508,'K Proj'!$B$2:$B$508,$C176,'K Proj'!$A$2:$A$508,"&gt;"&amp;Week,'K Proj'!$A$2:$A$508,"&lt;=13"),IF(E176="D",SUMIFS('D Proj'!$N$2:$N$513,'D Proj'!$B$2:$B$513,$C176,'D Proj'!$A$2:$A$513,"&gt;"&amp;Week,'D Proj'!$A$2:$A$513,"&lt;=13"),SUMIFS('F Proj'!$J$2:$J$7669,'F Proj'!$B$2:$B$7669,$C176,'F Proj'!$A$2:$A$7669,"&gt;"&amp;Week,'F Proj'!$A$2:$A$7669,"&lt;=13"))))</f>
        <v>14.570391209572927</v>
      </c>
      <c r="N176" s="2">
        <f t="shared" si="34"/>
        <v>2.3598504966915894</v>
      </c>
      <c r="O176" s="2">
        <f t="shared" si="38"/>
        <v>4.0928012557752966</v>
      </c>
      <c r="P176" s="2">
        <f t="shared" si="39"/>
        <v>8.2557701727961312</v>
      </c>
      <c r="Q176" s="2">
        <f>K176-VLOOKUP($E176,Scores!$AG$1:$AM$7,7,FALSE)</f>
        <v>0</v>
      </c>
      <c r="R176" s="2">
        <f>O176-VLOOKUP($E176,Scores!$AG$1:$AM$7,7,FALSE)</f>
        <v>-2.0814844585104177</v>
      </c>
      <c r="S176" s="2">
        <f>P176-VLOOKUP($E176,Scores!$AG$1:$AM$7,7,FALSE)</f>
        <v>2.0814844585104169</v>
      </c>
      <c r="T176">
        <f t="shared" si="35"/>
        <v>200</v>
      </c>
      <c r="U176" s="23">
        <f t="shared" si="36"/>
        <v>49</v>
      </c>
      <c r="V176">
        <f t="shared" si="40"/>
        <v>16</v>
      </c>
      <c r="W176">
        <f t="shared" si="41"/>
        <v>2</v>
      </c>
      <c r="X176" t="str">
        <f>D176&amp;COUNTIF(D$1:D176,D176)</f>
        <v>FA46</v>
      </c>
      <c r="Y176" t="str">
        <f>D176&amp;E176&amp;COUNTIFS(D$1:D176,D176,E$1:E176,E176)</f>
        <v>FAD6</v>
      </c>
      <c r="Z176" t="s">
        <v>313</v>
      </c>
      <c r="AA176" t="s">
        <v>407</v>
      </c>
    </row>
    <row r="177" spans="1:27" x14ac:dyDescent="0.25">
      <c r="A177">
        <f t="shared" si="37"/>
        <v>176</v>
      </c>
      <c r="B177">
        <f>MATCH(A177,'ROS Proj'!$AI$2:$AI$561,0)</f>
        <v>96</v>
      </c>
      <c r="C177" t="str">
        <f>INDEX('ROS Proj'!$A$2:$A$561,$B177)</f>
        <v>Chris Ivory</v>
      </c>
      <c r="D177" t="str">
        <f>IFERROR(INDEX(Rosters!$C$2:$C$155,MATCH($C177,Rosters!$B$2:$B$155,0)),"FA")</f>
        <v>FA</v>
      </c>
      <c r="E177" t="str">
        <f>INDEX('ROS Proj'!$B$2:$B$561,$B177)</f>
        <v>RB</v>
      </c>
      <c r="F177" t="str">
        <f>E177&amp;COUNTIF(E$1:E177,E177)</f>
        <v>RB58</v>
      </c>
      <c r="G177">
        <f t="shared" si="30"/>
        <v>0</v>
      </c>
      <c r="H177">
        <f t="shared" si="31"/>
        <v>-35</v>
      </c>
      <c r="I177" t="str">
        <f t="shared" si="32"/>
        <v>RB62-200</v>
      </c>
      <c r="J177" t="str">
        <f t="shared" si="33"/>
        <v>RB43-78</v>
      </c>
      <c r="K177" s="2">
        <f>INDEX('ROS Proj'!$T$2:$T$561,$B177)</f>
        <v>4.8342857142857145</v>
      </c>
      <c r="L177" s="23">
        <f>INDEX('ROS Proj'!$AL$2:$AL$561,$B177)</f>
        <v>7</v>
      </c>
      <c r="M177" s="2">
        <f>SQRT(IF(E177="K",SUMIFS('K Proj'!$P$2:$P$508,'K Proj'!$B$2:$B$508,$C177,'K Proj'!$A$2:$A$508,"&gt;"&amp;Week,'K Proj'!$A$2:$A$508,"&lt;=13"),IF(E177="D",SUMIFS('D Proj'!$N$2:$N$513,'D Proj'!$B$2:$B$513,$C177,'D Proj'!$A$2:$A$513,"&gt;"&amp;Week,'D Proj'!$A$2:$A$513,"&lt;=13"),SUMIFS('F Proj'!$J$2:$J$7669,'F Proj'!$B$2:$B$7669,$C177,'F Proj'!$A$2:$A$7669,"&gt;"&amp;Week,'F Proj'!$A$2:$A$7669,"&lt;=13"))))</f>
        <v>11.221492770572015</v>
      </c>
      <c r="N177" s="2">
        <f t="shared" si="34"/>
        <v>2.3212307740544946</v>
      </c>
      <c r="O177" s="2">
        <f t="shared" si="38"/>
        <v>3.231215318489713</v>
      </c>
      <c r="P177" s="2">
        <f t="shared" si="39"/>
        <v>6.4373561100817165</v>
      </c>
      <c r="Q177" s="2">
        <f>K177-VLOOKUP($E177,Scores!$AG$1:$AM$7,7,FALSE)</f>
        <v>-1.0342857142857147</v>
      </c>
      <c r="R177" s="2">
        <f>O177-VLOOKUP($E177,Scores!$AG$1:$AM$7,7,FALSE)</f>
        <v>-2.6373561100817162</v>
      </c>
      <c r="S177" s="2">
        <f>P177-VLOOKUP($E177,Scores!$AG$1:$AM$7,7,FALSE)</f>
        <v>0.56878468151028727</v>
      </c>
      <c r="T177">
        <f t="shared" si="35"/>
        <v>200</v>
      </c>
      <c r="U177" s="23">
        <f t="shared" si="36"/>
        <v>78</v>
      </c>
      <c r="V177">
        <f t="shared" si="40"/>
        <v>62</v>
      </c>
      <c r="W177">
        <f t="shared" si="41"/>
        <v>43</v>
      </c>
      <c r="X177" t="str">
        <f>D177&amp;COUNTIF(D$1:D177,D177)</f>
        <v>FA47</v>
      </c>
      <c r="Y177" t="str">
        <f>D177&amp;E177&amp;COUNTIFS(D$1:D177,D177,E$1:E177,E177)</f>
        <v>FARB13</v>
      </c>
      <c r="Z177" t="s">
        <v>421</v>
      </c>
      <c r="AA177" t="s">
        <v>280</v>
      </c>
    </row>
    <row r="178" spans="1:27" x14ac:dyDescent="0.25">
      <c r="A178">
        <f t="shared" si="37"/>
        <v>177</v>
      </c>
      <c r="B178">
        <f>MATCH(A178,'ROS Proj'!$AI$2:$AI$561,0)</f>
        <v>548</v>
      </c>
      <c r="C178" t="str">
        <f>INDEX('ROS Proj'!$A$2:$A$561,$B178)</f>
        <v>Steelers D/ST</v>
      </c>
      <c r="D178" t="str">
        <f>IFERROR(INDEX(Rosters!$C$2:$C$155,MATCH($C178,Rosters!$B$2:$B$155,0)),"FA")</f>
        <v>FA</v>
      </c>
      <c r="E178" t="str">
        <f>INDEX('ROS Proj'!$B$2:$B$561,$B178)</f>
        <v>D</v>
      </c>
      <c r="F178" t="str">
        <f>E178&amp;COUNTIF(E$1:E178,E178)</f>
        <v>D13</v>
      </c>
      <c r="G178">
        <f t="shared" si="30"/>
        <v>0</v>
      </c>
      <c r="H178">
        <f t="shared" si="31"/>
        <v>24</v>
      </c>
      <c r="I178" t="str">
        <f t="shared" si="32"/>
        <v>D16-190</v>
      </c>
      <c r="J178" t="str">
        <f t="shared" si="33"/>
        <v>D2-54</v>
      </c>
      <c r="K178" s="2">
        <f>INDEX('ROS Proj'!$T$2:$T$561,$B178)</f>
        <v>6.145714285714285</v>
      </c>
      <c r="L178" s="23">
        <f>INDEX('ROS Proj'!$AL$2:$AL$561,$B178)</f>
        <v>7</v>
      </c>
      <c r="M178" s="2">
        <f>SQRT(IF(E178="K",SUMIFS('K Proj'!$P$2:$P$508,'K Proj'!$B$2:$B$508,$C178,'K Proj'!$A$2:$A$508,"&gt;"&amp;Week,'K Proj'!$A$2:$A$508,"&lt;=13"),IF(E178="D",SUMIFS('D Proj'!$N$2:$N$513,'D Proj'!$B$2:$B$513,$C178,'D Proj'!$A$2:$A$513,"&gt;"&amp;Week,'D Proj'!$A$2:$A$513,"&lt;=13"),SUMIFS('F Proj'!$J$2:$J$7669,'F Proj'!$B$2:$B$7669,$C178,'F Proj'!$A$2:$A$7669,"&gt;"&amp;Week,'F Proj'!$A$2:$A$7669,"&lt;=13"))))</f>
        <v>13.471818733934924</v>
      </c>
      <c r="N178" s="2">
        <f t="shared" si="34"/>
        <v>2.192067204498942</v>
      </c>
      <c r="O178" s="2">
        <f t="shared" si="38"/>
        <v>4.2211687522950099</v>
      </c>
      <c r="P178" s="2">
        <f t="shared" si="39"/>
        <v>8.0702598191335593</v>
      </c>
      <c r="Q178" s="2">
        <f>K178-VLOOKUP($E178,Scores!$AG$1:$AM$7,7,FALSE)</f>
        <v>-2.8571428571429358E-2</v>
      </c>
      <c r="R178" s="2">
        <f>O178-VLOOKUP($E178,Scores!$AG$1:$AM$7,7,FALSE)</f>
        <v>-1.9531169619907045</v>
      </c>
      <c r="S178" s="2">
        <f>P178-VLOOKUP($E178,Scores!$AG$1:$AM$7,7,FALSE)</f>
        <v>1.8959741048478449</v>
      </c>
      <c r="T178">
        <f t="shared" si="35"/>
        <v>190</v>
      </c>
      <c r="U178" s="23">
        <f t="shared" si="36"/>
        <v>54</v>
      </c>
      <c r="V178">
        <f t="shared" si="40"/>
        <v>16</v>
      </c>
      <c r="W178">
        <f t="shared" si="41"/>
        <v>2</v>
      </c>
      <c r="X178" t="str">
        <f>D178&amp;COUNTIF(D$1:D178,D178)</f>
        <v>FA48</v>
      </c>
      <c r="Y178" t="str">
        <f>D178&amp;E178&amp;COUNTIFS(D$1:D178,D178,E$1:E178,E178)</f>
        <v>FAD7</v>
      </c>
      <c r="Z178" t="s">
        <v>247</v>
      </c>
      <c r="AA178" t="s">
        <v>424</v>
      </c>
    </row>
    <row r="179" spans="1:27" x14ac:dyDescent="0.25">
      <c r="A179">
        <f t="shared" si="37"/>
        <v>178</v>
      </c>
      <c r="B179">
        <f>MATCH(A179,'ROS Proj'!$AI$2:$AI$561,0)</f>
        <v>360</v>
      </c>
      <c r="C179" t="str">
        <f>INDEX('ROS Proj'!$A$2:$A$561,$B179)</f>
        <v>Mohamed Sanu</v>
      </c>
      <c r="D179" t="str">
        <f>IFERROR(INDEX(Rosters!$C$2:$C$155,MATCH($C179,Rosters!$B$2:$B$155,0)),"FA")</f>
        <v>FA</v>
      </c>
      <c r="E179" t="str">
        <f>INDEX('ROS Proj'!$B$2:$B$561,$B179)</f>
        <v>WR</v>
      </c>
      <c r="F179" t="str">
        <f>E179&amp;COUNTIF(E$1:E179,E179)</f>
        <v>WR65</v>
      </c>
      <c r="G179">
        <f t="shared" si="30"/>
        <v>0</v>
      </c>
      <c r="H179">
        <f t="shared" si="31"/>
        <v>23</v>
      </c>
      <c r="I179" t="str">
        <f t="shared" si="32"/>
        <v>WR72-200</v>
      </c>
      <c r="J179" t="str">
        <f t="shared" si="33"/>
        <v>WR53-94</v>
      </c>
      <c r="K179" s="2">
        <f>INDEX('ROS Proj'!$T$2:$T$561,$B179)</f>
        <v>4.822857142857143</v>
      </c>
      <c r="L179" s="23">
        <f>INDEX('ROS Proj'!$AL$2:$AL$561,$B179)</f>
        <v>7</v>
      </c>
      <c r="M179" s="2">
        <f>SQRT(IF(E179="K",SUMIFS('K Proj'!$P$2:$P$508,'K Proj'!$B$2:$B$508,$C179,'K Proj'!$A$2:$A$508,"&gt;"&amp;Week,'K Proj'!$A$2:$A$508,"&lt;=13"),IF(E179="D",SUMIFS('D Proj'!$N$2:$N$513,'D Proj'!$B$2:$B$513,$C179,'D Proj'!$A$2:$A$513,"&gt;"&amp;Week,'D Proj'!$A$2:$A$513,"&lt;=13"),SUMIFS('F Proj'!$J$2:$J$7669,'F Proj'!$B$2:$B$7669,$C179,'F Proj'!$A$2:$A$7669,"&gt;"&amp;Week,'F Proj'!$A$2:$A$7669,"&lt;=13"))))</f>
        <v>9.1561290947648821</v>
      </c>
      <c r="N179" s="2">
        <f t="shared" si="34"/>
        <v>1.8984864829192587</v>
      </c>
      <c r="O179" s="2">
        <f t="shared" si="38"/>
        <v>3.5148387007478736</v>
      </c>
      <c r="P179" s="2">
        <f t="shared" si="39"/>
        <v>6.1308755849664118</v>
      </c>
      <c r="Q179" s="2">
        <f>K179-VLOOKUP($E179,Scores!$AG$1:$AM$7,7,FALSE)</f>
        <v>-1.2299999999999995</v>
      </c>
      <c r="R179" s="2">
        <f>O179-VLOOKUP($E179,Scores!$AG$1:$AM$7,7,FALSE)</f>
        <v>-2.5380184421092689</v>
      </c>
      <c r="S179" s="2">
        <f>P179-VLOOKUP($E179,Scores!$AG$1:$AM$7,7,FALSE)</f>
        <v>7.8018442109269337E-2</v>
      </c>
      <c r="T179">
        <f t="shared" si="35"/>
        <v>200</v>
      </c>
      <c r="U179" s="23">
        <f t="shared" si="36"/>
        <v>94</v>
      </c>
      <c r="V179">
        <f t="shared" si="40"/>
        <v>72</v>
      </c>
      <c r="W179">
        <f t="shared" si="41"/>
        <v>53</v>
      </c>
      <c r="X179" t="str">
        <f>D179&amp;COUNTIF(D$1:D179,D179)</f>
        <v>FA49</v>
      </c>
      <c r="Y179" t="str">
        <f>D179&amp;E179&amp;COUNTIFS(D$1:D179,D179,E$1:E179,E179)</f>
        <v>FAWR15</v>
      </c>
      <c r="Z179" t="s">
        <v>303</v>
      </c>
      <c r="AA179" t="s">
        <v>194</v>
      </c>
    </row>
    <row r="180" spans="1:27" x14ac:dyDescent="0.25">
      <c r="A180">
        <f t="shared" si="37"/>
        <v>179</v>
      </c>
      <c r="B180">
        <f>MATCH(A180,'ROS Proj'!$AI$2:$AI$561,0)</f>
        <v>357</v>
      </c>
      <c r="C180" t="str">
        <f>INDEX('ROS Proj'!$A$2:$A$561,$B180)</f>
        <v>Mike Williams</v>
      </c>
      <c r="D180" t="str">
        <f>IFERROR(INDEX(Rosters!$C$2:$C$155,MATCH($C180,Rosters!$B$2:$B$155,0)),"FA")</f>
        <v>comp</v>
      </c>
      <c r="E180" t="str">
        <f>INDEX('ROS Proj'!$B$2:$B$561,$B180)</f>
        <v>WR</v>
      </c>
      <c r="F180" t="str">
        <f>E180&amp;COUNTIF(E$1:E180,E180)</f>
        <v>WR66</v>
      </c>
      <c r="G180">
        <f t="shared" si="30"/>
        <v>0</v>
      </c>
      <c r="H180">
        <f t="shared" si="31"/>
        <v>-32</v>
      </c>
      <c r="I180" t="str">
        <f t="shared" si="32"/>
        <v>WR72-200</v>
      </c>
      <c r="J180" t="str">
        <f t="shared" si="33"/>
        <v>WR51-94</v>
      </c>
      <c r="K180" s="2">
        <f>INDEX('ROS Proj'!$T$2:$T$561,$B180)</f>
        <v>4.8171428571428576</v>
      </c>
      <c r="L180" s="23">
        <f>INDEX('ROS Proj'!$AL$2:$AL$561,$B180)</f>
        <v>7</v>
      </c>
      <c r="M180" s="2">
        <f>SQRT(IF(E180="K",SUMIFS('K Proj'!$P$2:$P$508,'K Proj'!$B$2:$B$508,$C180,'K Proj'!$A$2:$A$508,"&gt;"&amp;Week,'K Proj'!$A$2:$A$508,"&lt;=13"),IF(E180="D",SUMIFS('D Proj'!$N$2:$N$513,'D Proj'!$B$2:$B$513,$C180,'D Proj'!$A$2:$A$513,"&gt;"&amp;Week,'D Proj'!$A$2:$A$513,"&lt;=13"),SUMIFS('F Proj'!$J$2:$J$7669,'F Proj'!$B$2:$B$7669,$C180,'F Proj'!$A$2:$A$7669,"&gt;"&amp;Week,'F Proj'!$A$2:$A$7669,"&lt;=13"))))</f>
        <v>10.394878546669027</v>
      </c>
      <c r="N180" s="2">
        <f t="shared" si="34"/>
        <v>2.1578929367343767</v>
      </c>
      <c r="O180" s="2">
        <f t="shared" si="38"/>
        <v>3.3321602076187111</v>
      </c>
      <c r="P180" s="2">
        <f t="shared" si="39"/>
        <v>6.3021255066670046</v>
      </c>
      <c r="Q180" s="2">
        <f>K180-VLOOKUP($E180,Scores!$AG$1:$AM$7,7,FALSE)</f>
        <v>-1.2357142857142849</v>
      </c>
      <c r="R180" s="2">
        <f>O180-VLOOKUP($E180,Scores!$AG$1:$AM$7,7,FALSE)</f>
        <v>-2.7206969352384314</v>
      </c>
      <c r="S180" s="2">
        <f>P180-VLOOKUP($E180,Scores!$AG$1:$AM$7,7,FALSE)</f>
        <v>0.24926836380986206</v>
      </c>
      <c r="T180">
        <f t="shared" si="35"/>
        <v>200</v>
      </c>
      <c r="U180" s="23">
        <f t="shared" si="36"/>
        <v>94</v>
      </c>
      <c r="V180">
        <f t="shared" si="40"/>
        <v>72</v>
      </c>
      <c r="W180">
        <f t="shared" si="41"/>
        <v>51</v>
      </c>
      <c r="X180" t="str">
        <f>D180&amp;COUNTIF(D$1:D180,D180)</f>
        <v>comp14</v>
      </c>
      <c r="Y180" t="str">
        <f>D180&amp;E180&amp;COUNTIFS(D$1:D180,D180,E$1:E180,E180)</f>
        <v>compWR7</v>
      </c>
      <c r="Z180" t="s">
        <v>53</v>
      </c>
      <c r="AA180" t="s">
        <v>226</v>
      </c>
    </row>
    <row r="181" spans="1:27" x14ac:dyDescent="0.25">
      <c r="A181">
        <f t="shared" si="37"/>
        <v>180</v>
      </c>
      <c r="B181">
        <f>MATCH(A181,'ROS Proj'!$AI$2:$AI$561,0)</f>
        <v>19</v>
      </c>
      <c r="C181" t="str">
        <f>INDEX('ROS Proj'!$A$2:$A$561,$B181)</f>
        <v>Alfred Blue</v>
      </c>
      <c r="D181" t="str">
        <f>IFERROR(INDEX(Rosters!$C$2:$C$155,MATCH($C181,Rosters!$B$2:$B$155,0)),"FA")</f>
        <v>perry</v>
      </c>
      <c r="E181" t="str">
        <f>INDEX('ROS Proj'!$B$2:$B$561,$B181)</f>
        <v>RB</v>
      </c>
      <c r="F181" t="str">
        <f>E181&amp;COUNTIF(E$1:E181,E181)</f>
        <v>RB59</v>
      </c>
      <c r="G181">
        <f t="shared" si="30"/>
        <v>0</v>
      </c>
      <c r="H181">
        <f t="shared" si="31"/>
        <v>-55</v>
      </c>
      <c r="I181" t="str">
        <f t="shared" si="32"/>
        <v>RB62-200</v>
      </c>
      <c r="J181" t="str">
        <f t="shared" si="33"/>
        <v>RB45-78</v>
      </c>
      <c r="K181" s="2">
        <f>INDEX('ROS Proj'!$T$2:$T$561,$B181)</f>
        <v>4.8071428571428569</v>
      </c>
      <c r="L181" s="23">
        <f>INDEX('ROS Proj'!$AL$2:$AL$561,$B181)</f>
        <v>7</v>
      </c>
      <c r="M181" s="2">
        <f>SQRT(IF(E181="K",SUMIFS('K Proj'!$P$2:$P$508,'K Proj'!$B$2:$B$508,$C181,'K Proj'!$A$2:$A$508,"&gt;"&amp;Week,'K Proj'!$A$2:$A$508,"&lt;=13"),IF(E181="D",SUMIFS('D Proj'!$N$2:$N$513,'D Proj'!$B$2:$B$513,$C181,'D Proj'!$A$2:$A$513,"&gt;"&amp;Week,'D Proj'!$A$2:$A$513,"&lt;=13"),SUMIFS('F Proj'!$J$2:$J$7669,'F Proj'!$B$2:$B$7669,$C181,'F Proj'!$A$2:$A$7669,"&gt;"&amp;Week,'F Proj'!$A$2:$A$7669,"&lt;=13"))))</f>
        <v>10.991628632736823</v>
      </c>
      <c r="N181" s="2">
        <f t="shared" si="34"/>
        <v>2.2865200721889383</v>
      </c>
      <c r="O181" s="2">
        <f t="shared" si="38"/>
        <v>3.2369101953233108</v>
      </c>
      <c r="P181" s="2">
        <f t="shared" si="39"/>
        <v>6.3773755189624035</v>
      </c>
      <c r="Q181" s="2">
        <f>K181-VLOOKUP($E181,Scores!$AG$1:$AM$7,7,FALSE)</f>
        <v>-1.0614285714285723</v>
      </c>
      <c r="R181" s="2">
        <f>O181-VLOOKUP($E181,Scores!$AG$1:$AM$7,7,FALSE)</f>
        <v>-2.6316612332481184</v>
      </c>
      <c r="S181" s="2">
        <f>P181-VLOOKUP($E181,Scores!$AG$1:$AM$7,7,FALSE)</f>
        <v>0.5088040903909743</v>
      </c>
      <c r="T181">
        <f t="shared" si="35"/>
        <v>200</v>
      </c>
      <c r="U181" s="23">
        <f t="shared" si="36"/>
        <v>78</v>
      </c>
      <c r="V181">
        <f t="shared" si="40"/>
        <v>62</v>
      </c>
      <c r="W181">
        <f t="shared" si="41"/>
        <v>45</v>
      </c>
      <c r="X181" t="str">
        <f>D181&amp;COUNTIF(D$1:D181,D181)</f>
        <v>perry9</v>
      </c>
      <c r="Y181" t="str">
        <f>D181&amp;E181&amp;COUNTIFS(D$1:D181,D181,E$1:E181,E181)</f>
        <v>perryRB4</v>
      </c>
      <c r="Z181" t="s">
        <v>1107</v>
      </c>
      <c r="AA181" t="s">
        <v>294</v>
      </c>
    </row>
    <row r="182" spans="1:27" x14ac:dyDescent="0.25">
      <c r="A182">
        <f t="shared" si="37"/>
        <v>181</v>
      </c>
      <c r="B182">
        <f>MATCH(A182,'ROS Proj'!$AI$2:$AI$561,0)</f>
        <v>118</v>
      </c>
      <c r="C182" t="str">
        <f>INDEX('ROS Proj'!$A$2:$A$561,$B182)</f>
        <v>D.J. Moore</v>
      </c>
      <c r="D182" t="str">
        <f>IFERROR(INDEX(Rosters!$C$2:$C$155,MATCH($C182,Rosters!$B$2:$B$155,0)),"FA")</f>
        <v>FA</v>
      </c>
      <c r="E182" t="str">
        <f>INDEX('ROS Proj'!$B$2:$B$561,$B182)</f>
        <v>WR</v>
      </c>
      <c r="F182" t="str">
        <f>E182&amp;COUNTIF(E$1:E182,E182)</f>
        <v>WR67</v>
      </c>
      <c r="G182">
        <f t="shared" si="30"/>
        <v>0</v>
      </c>
      <c r="H182">
        <f t="shared" si="31"/>
        <v>20</v>
      </c>
      <c r="I182" t="str">
        <f t="shared" si="32"/>
        <v>WR72-200</v>
      </c>
      <c r="J182" t="str">
        <f t="shared" si="33"/>
        <v>WR55-94</v>
      </c>
      <c r="K182" s="2">
        <f>INDEX('ROS Proj'!$T$2:$T$561,$B182)</f>
        <v>4.1987499999999995</v>
      </c>
      <c r="L182" s="23">
        <f>INDEX('ROS Proj'!$AL$2:$AL$561,$B182)</f>
        <v>8</v>
      </c>
      <c r="M182" s="2">
        <f>SQRT(IF(E182="K",SUMIFS('K Proj'!$P$2:$P$508,'K Proj'!$B$2:$B$508,$C182,'K Proj'!$A$2:$A$508,"&gt;"&amp;Week,'K Proj'!$A$2:$A$508,"&lt;=13"),IF(E182="D",SUMIFS('D Proj'!$N$2:$N$513,'D Proj'!$B$2:$B$513,$C182,'D Proj'!$A$2:$A$513,"&gt;"&amp;Week,'D Proj'!$A$2:$A$513,"&lt;=13"),SUMIFS('F Proj'!$J$2:$J$7669,'F Proj'!$B$2:$B$7669,$C182,'F Proj'!$A$2:$A$7669,"&gt;"&amp;Week,'F Proj'!$A$2:$A$7669,"&lt;=13"))))</f>
        <v>13.66022693808562</v>
      </c>
      <c r="N182" s="2">
        <f t="shared" si="34"/>
        <v>3.2534032600382545</v>
      </c>
      <c r="O182" s="2">
        <f t="shared" si="38"/>
        <v>2.4912216327392969</v>
      </c>
      <c r="P182" s="2">
        <f t="shared" si="39"/>
        <v>5.9062783672607022</v>
      </c>
      <c r="Q182" s="2">
        <f>K182-VLOOKUP($E182,Scores!$AG$1:$AM$7,7,FALSE)</f>
        <v>-1.854107142857143</v>
      </c>
      <c r="R182" s="2">
        <f>O182-VLOOKUP($E182,Scores!$AG$1:$AM$7,7,FALSE)</f>
        <v>-3.5616355101178456</v>
      </c>
      <c r="S182" s="2">
        <f>P182-VLOOKUP($E182,Scores!$AG$1:$AM$7,7,FALSE)</f>
        <v>-0.14657877559644028</v>
      </c>
      <c r="T182">
        <f t="shared" si="35"/>
        <v>200</v>
      </c>
      <c r="U182" s="23">
        <f t="shared" si="36"/>
        <v>94</v>
      </c>
      <c r="V182">
        <f t="shared" si="40"/>
        <v>72</v>
      </c>
      <c r="W182">
        <f t="shared" si="41"/>
        <v>55</v>
      </c>
      <c r="X182" t="str">
        <f>D182&amp;COUNTIF(D$1:D182,D182)</f>
        <v>FA50</v>
      </c>
      <c r="Y182" t="str">
        <f>D182&amp;E182&amp;COUNTIFS(D$1:D182,D182,E$1:E182,E182)</f>
        <v>FAWR16</v>
      </c>
      <c r="Z182" t="s">
        <v>214</v>
      </c>
      <c r="AA182" t="s">
        <v>1391</v>
      </c>
    </row>
    <row r="183" spans="1:27" x14ac:dyDescent="0.25">
      <c r="A183">
        <f t="shared" si="37"/>
        <v>182</v>
      </c>
      <c r="B183">
        <f>MATCH(A183,'ROS Proj'!$AI$2:$AI$561,0)</f>
        <v>286</v>
      </c>
      <c r="C183" t="str">
        <f>INDEX('ROS Proj'!$A$2:$A$561,$B183)</f>
        <v>Kelvin Benjamin</v>
      </c>
      <c r="D183" t="str">
        <f>IFERROR(INDEX(Rosters!$C$2:$C$155,MATCH($C183,Rosters!$B$2:$B$155,0)),"FA")</f>
        <v>FA</v>
      </c>
      <c r="E183" t="str">
        <f>INDEX('ROS Proj'!$B$2:$B$561,$B183)</f>
        <v>WR</v>
      </c>
      <c r="F183" t="str">
        <f>E183&amp;COUNTIF(E$1:E183,E183)</f>
        <v>WR68</v>
      </c>
      <c r="G183">
        <f t="shared" si="30"/>
        <v>0</v>
      </c>
      <c r="H183">
        <f t="shared" si="31"/>
        <v>-16</v>
      </c>
      <c r="I183" t="str">
        <f t="shared" si="32"/>
        <v>WR72-200</v>
      </c>
      <c r="J183" t="str">
        <f t="shared" si="33"/>
        <v>WR51-94</v>
      </c>
      <c r="K183" s="2">
        <f>INDEX('ROS Proj'!$T$2:$T$561,$B183)</f>
        <v>4.7842857142857138</v>
      </c>
      <c r="L183" s="23">
        <f>INDEX('ROS Proj'!$AL$2:$AL$561,$B183)</f>
        <v>7</v>
      </c>
      <c r="M183" s="2">
        <f>SQRT(IF(E183="K",SUMIFS('K Proj'!$P$2:$P$508,'K Proj'!$B$2:$B$508,$C183,'K Proj'!$A$2:$A$508,"&gt;"&amp;Week,'K Proj'!$A$2:$A$508,"&lt;=13"),IF(E183="D",SUMIFS('D Proj'!$N$2:$N$513,'D Proj'!$B$2:$B$513,$C183,'D Proj'!$A$2:$A$513,"&gt;"&amp;Week,'D Proj'!$A$2:$A$513,"&lt;=13"),SUMIFS('F Proj'!$J$2:$J$7669,'F Proj'!$B$2:$B$7669,$C183,'F Proj'!$A$2:$A$7669,"&gt;"&amp;Week,'F Proj'!$A$2:$A$7669,"&lt;=13"))))</f>
        <v>10.511213060346556</v>
      </c>
      <c r="N183" s="2">
        <f t="shared" si="34"/>
        <v>2.197028707746369</v>
      </c>
      <c r="O183" s="2">
        <f t="shared" si="38"/>
        <v>3.2826838485219199</v>
      </c>
      <c r="P183" s="2">
        <f t="shared" si="39"/>
        <v>6.2858875800495069</v>
      </c>
      <c r="Q183" s="2">
        <f>K183-VLOOKUP($E183,Scores!$AG$1:$AM$7,7,FALSE)</f>
        <v>-1.2685714285714287</v>
      </c>
      <c r="R183" s="2">
        <f>O183-VLOOKUP($E183,Scores!$AG$1:$AM$7,7,FALSE)</f>
        <v>-2.7701732943352226</v>
      </c>
      <c r="S183" s="2">
        <f>P183-VLOOKUP($E183,Scores!$AG$1:$AM$7,7,FALSE)</f>
        <v>0.23303043719236438</v>
      </c>
      <c r="T183">
        <f t="shared" si="35"/>
        <v>200</v>
      </c>
      <c r="U183" s="23">
        <f t="shared" si="36"/>
        <v>94</v>
      </c>
      <c r="V183">
        <f t="shared" si="40"/>
        <v>72</v>
      </c>
      <c r="W183">
        <f t="shared" si="41"/>
        <v>51</v>
      </c>
      <c r="X183" t="str">
        <f>D183&amp;COUNTIF(D$1:D183,D183)</f>
        <v>FA51</v>
      </c>
      <c r="Y183" t="str">
        <f>D183&amp;E183&amp;COUNTIFS(D$1:D183,D183,E$1:E183,E183)</f>
        <v>FAWR17</v>
      </c>
      <c r="Z183" t="s">
        <v>147</v>
      </c>
      <c r="AA183" t="s">
        <v>150</v>
      </c>
    </row>
    <row r="184" spans="1:27" x14ac:dyDescent="0.25">
      <c r="A184">
        <f t="shared" si="37"/>
        <v>183</v>
      </c>
      <c r="B184">
        <f>MATCH(A184,'ROS Proj'!$AI$2:$AI$561,0)</f>
        <v>126</v>
      </c>
      <c r="C184" t="str">
        <f>INDEX('ROS Proj'!$A$2:$A$561,$B184)</f>
        <v>Danny Amendola</v>
      </c>
      <c r="D184" t="str">
        <f>IFERROR(INDEX(Rosters!$C$2:$C$155,MATCH($C184,Rosters!$B$2:$B$155,0)),"FA")</f>
        <v>FA</v>
      </c>
      <c r="E184" t="str">
        <f>INDEX('ROS Proj'!$B$2:$B$561,$B184)</f>
        <v>WR</v>
      </c>
      <c r="F184" t="str">
        <f>E184&amp;COUNTIF(E$1:E184,E184)</f>
        <v>WR69</v>
      </c>
      <c r="G184">
        <f t="shared" si="30"/>
        <v>0</v>
      </c>
      <c r="H184">
        <f t="shared" si="31"/>
        <v>-16</v>
      </c>
      <c r="I184" t="str">
        <f t="shared" si="32"/>
        <v>WR72-200</v>
      </c>
      <c r="J184" t="str">
        <f t="shared" si="33"/>
        <v>WR53-94</v>
      </c>
      <c r="K184" s="2">
        <f>INDEX('ROS Proj'!$T$2:$T$561,$B184)</f>
        <v>4.7757142857142858</v>
      </c>
      <c r="L184" s="23">
        <f>INDEX('ROS Proj'!$AL$2:$AL$561,$B184)</f>
        <v>7</v>
      </c>
      <c r="M184" s="2">
        <f>SQRT(IF(E184="K",SUMIFS('K Proj'!$P$2:$P$508,'K Proj'!$B$2:$B$508,$C184,'K Proj'!$A$2:$A$508,"&gt;"&amp;Week,'K Proj'!$A$2:$A$508,"&lt;=13"),IF(E184="D",SUMIFS('D Proj'!$N$2:$N$513,'D Proj'!$B$2:$B$513,$C184,'D Proj'!$A$2:$A$513,"&gt;"&amp;Week,'D Proj'!$A$2:$A$513,"&lt;=13"),SUMIFS('F Proj'!$J$2:$J$7669,'F Proj'!$B$2:$B$7669,$C184,'F Proj'!$A$2:$A$7669,"&gt;"&amp;Week,'F Proj'!$A$2:$A$7669,"&lt;=13"))))</f>
        <v>8.9401845618532949</v>
      </c>
      <c r="N184" s="2">
        <f t="shared" si="34"/>
        <v>1.8720099291945278</v>
      </c>
      <c r="O184" s="2">
        <f t="shared" si="38"/>
        <v>3.4985450625923868</v>
      </c>
      <c r="P184" s="2">
        <f t="shared" si="39"/>
        <v>6.0528835088361843</v>
      </c>
      <c r="Q184" s="2">
        <f>K184-VLOOKUP($E184,Scores!$AG$1:$AM$7,7,FALSE)</f>
        <v>-1.2771428571428567</v>
      </c>
      <c r="R184" s="2">
        <f>O184-VLOOKUP($E184,Scores!$AG$1:$AM$7,7,FALSE)</f>
        <v>-2.5543120802647556</v>
      </c>
      <c r="S184" s="2">
        <f>P184-VLOOKUP($E184,Scores!$AG$1:$AM$7,7,FALSE)</f>
        <v>2.6365979041820253E-5</v>
      </c>
      <c r="T184">
        <f t="shared" si="35"/>
        <v>200</v>
      </c>
      <c r="U184" s="23">
        <f t="shared" si="36"/>
        <v>94</v>
      </c>
      <c r="V184">
        <f t="shared" si="40"/>
        <v>72</v>
      </c>
      <c r="W184">
        <f t="shared" si="41"/>
        <v>53</v>
      </c>
      <c r="X184" t="str">
        <f>D184&amp;COUNTIF(D$1:D184,D184)</f>
        <v>FA52</v>
      </c>
      <c r="Y184" t="str">
        <f>D184&amp;E184&amp;COUNTIFS(D$1:D184,D184,E$1:E184,E184)</f>
        <v>FAWR18</v>
      </c>
      <c r="Z184" t="s">
        <v>80</v>
      </c>
      <c r="AA184" t="s">
        <v>227</v>
      </c>
    </row>
    <row r="185" spans="1:27" x14ac:dyDescent="0.25">
      <c r="A185">
        <f t="shared" si="37"/>
        <v>184</v>
      </c>
      <c r="B185">
        <f>MATCH(A185,'ROS Proj'!$AI$2:$AI$561,0)</f>
        <v>510</v>
      </c>
      <c r="C185" t="str">
        <f>INDEX('ROS Proj'!$A$2:$A$561,$B185)</f>
        <v>Randy Bullock</v>
      </c>
      <c r="D185" t="str">
        <f>IFERROR(INDEX(Rosters!$C$2:$C$155,MATCH($C185,Rosters!$B$2:$B$155,0)),"FA")</f>
        <v>FA</v>
      </c>
      <c r="E185" t="str">
        <f>INDEX('ROS Proj'!$B$2:$B$561,$B185)</f>
        <v>K</v>
      </c>
      <c r="F185" t="str">
        <f>E185&amp;COUNTIF(E$1:E185,E185)</f>
        <v>K15</v>
      </c>
      <c r="G185">
        <f t="shared" si="30"/>
        <v>0</v>
      </c>
      <c r="H185">
        <f t="shared" si="31"/>
        <v>17</v>
      </c>
      <c r="I185" t="str">
        <f t="shared" si="32"/>
        <v>K18-180</v>
      </c>
      <c r="J185" t="str">
        <f t="shared" si="33"/>
        <v>K1-78</v>
      </c>
      <c r="K185" s="2">
        <f>INDEX('ROS Proj'!$T$2:$T$561,$B185)</f>
        <v>7.0900000000000007</v>
      </c>
      <c r="L185" s="23">
        <f>INDEX('ROS Proj'!$AL$2:$AL$561,$B185)</f>
        <v>7</v>
      </c>
      <c r="M185" s="2">
        <f>SQRT(IF(E185="K",SUMIFS('K Proj'!$P$2:$P$508,'K Proj'!$B$2:$B$508,$C185,'K Proj'!$A$2:$A$508,"&gt;"&amp;Week,'K Proj'!$A$2:$A$508,"&lt;=13"),IF(E185="D",SUMIFS('D Proj'!$N$2:$N$513,'D Proj'!$B$2:$B$513,$C185,'D Proj'!$A$2:$A$513,"&gt;"&amp;Week,'D Proj'!$A$2:$A$513,"&lt;=13"),SUMIFS('F Proj'!$J$2:$J$7669,'F Proj'!$B$2:$B$7669,$C185,'F Proj'!$A$2:$A$7669,"&gt;"&amp;Week,'F Proj'!$A$2:$A$7669,"&lt;=13"))))</f>
        <v>10.424432838289093</v>
      </c>
      <c r="N185" s="2">
        <f t="shared" si="34"/>
        <v>1.4703008234540327</v>
      </c>
      <c r="O185" s="2">
        <f t="shared" si="38"/>
        <v>5.6007953088158446</v>
      </c>
      <c r="P185" s="2">
        <f t="shared" si="39"/>
        <v>8.579204691184156</v>
      </c>
      <c r="Q185" s="2">
        <f>K185-VLOOKUP($E185,Scores!$AG$1:$AM$7,7,FALSE)</f>
        <v>-0.33142857142857096</v>
      </c>
      <c r="R185" s="2">
        <f>O185-VLOOKUP($E185,Scores!$AG$1:$AM$7,7,FALSE)</f>
        <v>-1.8206332626127271</v>
      </c>
      <c r="S185" s="2">
        <f>P185-VLOOKUP($E185,Scores!$AG$1:$AM$7,7,FALSE)</f>
        <v>1.1577761197555843</v>
      </c>
      <c r="T185">
        <f t="shared" si="35"/>
        <v>180</v>
      </c>
      <c r="U185" s="23">
        <f t="shared" si="36"/>
        <v>78</v>
      </c>
      <c r="V185">
        <f t="shared" si="40"/>
        <v>18</v>
      </c>
      <c r="W185">
        <f t="shared" si="41"/>
        <v>1</v>
      </c>
      <c r="X185" t="str">
        <f>D185&amp;COUNTIF(D$1:D185,D185)</f>
        <v>FA53</v>
      </c>
      <c r="Y185" t="str">
        <f>D185&amp;E185&amp;COUNTIFS(D$1:D185,D185,E$1:E185,E185)</f>
        <v>FAK8</v>
      </c>
      <c r="Z185" t="s">
        <v>999</v>
      </c>
      <c r="AA185" t="s">
        <v>454</v>
      </c>
    </row>
    <row r="186" spans="1:27" x14ac:dyDescent="0.25">
      <c r="A186">
        <f t="shared" si="37"/>
        <v>185</v>
      </c>
      <c r="B186">
        <f>MATCH(A186,'ROS Proj'!$AI$2:$AI$561,0)</f>
        <v>452</v>
      </c>
      <c r="C186" t="str">
        <f>INDEX('ROS Proj'!$A$2:$A$561,$B186)</f>
        <v>Terrelle Pryor Sr.</v>
      </c>
      <c r="D186" t="str">
        <f>IFERROR(INDEX(Rosters!$C$2:$C$155,MATCH($C186,Rosters!$B$2:$B$155,0)),"FA")</f>
        <v>FA</v>
      </c>
      <c r="E186" t="str">
        <f>INDEX('ROS Proj'!$B$2:$B$561,$B186)</f>
        <v>WR</v>
      </c>
      <c r="F186" t="str">
        <f>E186&amp;COUNTIF(E$1:E186,E186)</f>
        <v>WR70</v>
      </c>
      <c r="G186">
        <f t="shared" si="30"/>
        <v>0</v>
      </c>
      <c r="H186">
        <f t="shared" si="31"/>
        <v>9</v>
      </c>
      <c r="I186" t="str">
        <f t="shared" si="32"/>
        <v>WR72-200</v>
      </c>
      <c r="J186" t="str">
        <f t="shared" si="33"/>
        <v>WR48-78</v>
      </c>
      <c r="K186" s="2">
        <f>INDEX('ROS Proj'!$T$2:$T$561,$B186)</f>
        <v>4.7571428571428571</v>
      </c>
      <c r="L186" s="23">
        <f>INDEX('ROS Proj'!$AL$2:$AL$561,$B186)</f>
        <v>7</v>
      </c>
      <c r="M186" s="2">
        <f>SQRT(IF(E186="K",SUMIFS('K Proj'!$P$2:$P$508,'K Proj'!$B$2:$B$508,$C186,'K Proj'!$A$2:$A$508,"&gt;"&amp;Week,'K Proj'!$A$2:$A$508,"&lt;=13"),IF(E186="D",SUMIFS('D Proj'!$N$2:$N$513,'D Proj'!$B$2:$B$513,$C186,'D Proj'!$A$2:$A$513,"&gt;"&amp;Week,'D Proj'!$A$2:$A$513,"&lt;=13"),SUMIFS('F Proj'!$J$2:$J$7669,'F Proj'!$B$2:$B$7669,$C186,'F Proj'!$A$2:$A$7669,"&gt;"&amp;Week,'F Proj'!$A$2:$A$7669,"&lt;=13"))))</f>
        <v>13.671166738797387</v>
      </c>
      <c r="N186" s="2">
        <f t="shared" si="34"/>
        <v>2.8738188339814328</v>
      </c>
      <c r="O186" s="2">
        <f t="shared" si="38"/>
        <v>2.8041190373146585</v>
      </c>
      <c r="P186" s="2">
        <f t="shared" si="39"/>
        <v>6.7101666769710553</v>
      </c>
      <c r="Q186" s="2">
        <f>K186-VLOOKUP($E186,Scores!$AG$1:$AM$7,7,FALSE)</f>
        <v>-1.2957142857142854</v>
      </c>
      <c r="R186" s="2">
        <f>O186-VLOOKUP($E186,Scores!$AG$1:$AM$7,7,FALSE)</f>
        <v>-3.248738105542484</v>
      </c>
      <c r="S186" s="2">
        <f>P186-VLOOKUP($E186,Scores!$AG$1:$AM$7,7,FALSE)</f>
        <v>0.6573095341139128</v>
      </c>
      <c r="T186">
        <f t="shared" si="35"/>
        <v>200</v>
      </c>
      <c r="U186" s="23">
        <f t="shared" si="36"/>
        <v>78</v>
      </c>
      <c r="V186">
        <f t="shared" si="40"/>
        <v>72</v>
      </c>
      <c r="W186">
        <f t="shared" si="41"/>
        <v>48</v>
      </c>
      <c r="X186" t="str">
        <f>D186&amp;COUNTIF(D$1:D186,D186)</f>
        <v>FA54</v>
      </c>
      <c r="Y186" t="str">
        <f>D186&amp;E186&amp;COUNTIFS(D$1:D186,D186,E$1:E186,E186)</f>
        <v>FAWR19</v>
      </c>
      <c r="Z186" t="s">
        <v>457</v>
      </c>
      <c r="AA186" t="s">
        <v>143</v>
      </c>
    </row>
    <row r="187" spans="1:27" x14ac:dyDescent="0.25">
      <c r="A187">
        <f t="shared" si="37"/>
        <v>186</v>
      </c>
      <c r="B187">
        <f>MATCH(A187,'ROS Proj'!$AI$2:$AI$561,0)</f>
        <v>298</v>
      </c>
      <c r="C187" t="str">
        <f>INDEX('ROS Proj'!$A$2:$A$561,$B187)</f>
        <v>Kirk Cousins</v>
      </c>
      <c r="D187" t="str">
        <f>IFERROR(INDEX(Rosters!$C$2:$C$155,MATCH($C187,Rosters!$B$2:$B$155,0)),"FA")</f>
        <v>FA</v>
      </c>
      <c r="E187" t="str">
        <f>INDEX('ROS Proj'!$B$2:$B$561,$B187)</f>
        <v>QB</v>
      </c>
      <c r="F187" t="str">
        <f>E187&amp;COUNTIF(E$1:E187,E187)</f>
        <v>QB12</v>
      </c>
      <c r="G187">
        <f t="shared" si="30"/>
        <v>0</v>
      </c>
      <c r="H187">
        <f t="shared" si="31"/>
        <v>15</v>
      </c>
      <c r="I187" t="str">
        <f t="shared" si="32"/>
        <v>QB13-200</v>
      </c>
      <c r="J187" t="str">
        <f t="shared" si="33"/>
        <v>QB1-40</v>
      </c>
      <c r="K187" s="2">
        <f>INDEX('ROS Proj'!$T$2:$T$561,$B187)</f>
        <v>19.778571428571428</v>
      </c>
      <c r="L187" s="23">
        <f>INDEX('ROS Proj'!$AL$2:$AL$561,$B187)</f>
        <v>7</v>
      </c>
      <c r="M187" s="2">
        <f>SQRT(IF(E187="K",SUMIFS('K Proj'!$P$2:$P$508,'K Proj'!$B$2:$B$508,$C187,'K Proj'!$A$2:$A$508,"&gt;"&amp;Week,'K Proj'!$A$2:$A$508,"&lt;=13"),IF(E187="D",SUMIFS('D Proj'!$N$2:$N$513,'D Proj'!$B$2:$B$513,$C187,'D Proj'!$A$2:$A$513,"&gt;"&amp;Week,'D Proj'!$A$2:$A$513,"&lt;=13"),SUMIFS('F Proj'!$J$2:$J$7669,'F Proj'!$B$2:$B$7669,$C187,'F Proj'!$A$2:$A$7669,"&gt;"&amp;Week,'F Proj'!$A$2:$A$7669,"&lt;=13"))))</f>
        <v>19.512052685455728</v>
      </c>
      <c r="N187" s="2">
        <f t="shared" si="34"/>
        <v>0.98652487394864641</v>
      </c>
      <c r="O187" s="2">
        <f t="shared" si="38"/>
        <v>16.991135330649179</v>
      </c>
      <c r="P187" s="2">
        <f t="shared" si="39"/>
        <v>22.566007526493674</v>
      </c>
      <c r="Q187" s="2">
        <f>K187-VLOOKUP($E187,Scores!$AG$1:$AM$7,7,FALSE)</f>
        <v>0.27857142857143202</v>
      </c>
      <c r="R187" s="2">
        <f>O187-VLOOKUP($E187,Scores!$AG$1:$AM$7,7,FALSE)</f>
        <v>-2.5088646693508174</v>
      </c>
      <c r="S187" s="2">
        <f>P187-VLOOKUP($E187,Scores!$AG$1:$AM$7,7,FALSE)</f>
        <v>3.0660075264936779</v>
      </c>
      <c r="T187">
        <f t="shared" si="35"/>
        <v>200</v>
      </c>
      <c r="U187" s="23">
        <f t="shared" si="36"/>
        <v>40</v>
      </c>
      <c r="V187">
        <f t="shared" si="40"/>
        <v>13</v>
      </c>
      <c r="W187">
        <f t="shared" si="41"/>
        <v>1</v>
      </c>
      <c r="X187" t="str">
        <f>D187&amp;COUNTIF(D$1:D187,D187)</f>
        <v>FA55</v>
      </c>
      <c r="Y187" t="str">
        <f>D187&amp;E187&amp;COUNTIFS(D$1:D187,D187,E$1:E187,E187)</f>
        <v>FAQB3</v>
      </c>
      <c r="Z187" t="s">
        <v>4212</v>
      </c>
      <c r="AA187" t="s">
        <v>43</v>
      </c>
    </row>
    <row r="188" spans="1:27" x14ac:dyDescent="0.25">
      <c r="A188">
        <f t="shared" si="37"/>
        <v>187</v>
      </c>
      <c r="B188">
        <f>MATCH(A188,'ROS Proj'!$AI$2:$AI$561,0)</f>
        <v>46</v>
      </c>
      <c r="C188" t="str">
        <f>INDEX('ROS Proj'!$A$2:$A$561,$B188)</f>
        <v>Ben Roethlisberger</v>
      </c>
      <c r="D188" t="str">
        <f>IFERROR(INDEX(Rosters!$C$2:$C$155,MATCH($C188,Rosters!$B$2:$B$155,0)),"FA")</f>
        <v>lucas</v>
      </c>
      <c r="E188" t="str">
        <f>INDEX('ROS Proj'!$B$2:$B$561,$B188)</f>
        <v>QB</v>
      </c>
      <c r="F188" t="str">
        <f>E188&amp;COUNTIF(E$1:E188,E188)</f>
        <v>QB13</v>
      </c>
      <c r="G188">
        <f t="shared" si="30"/>
        <v>0</v>
      </c>
      <c r="H188">
        <f t="shared" si="31"/>
        <v>-87</v>
      </c>
      <c r="I188" t="str">
        <f t="shared" si="32"/>
        <v>QB13-200</v>
      </c>
      <c r="J188" t="str">
        <f t="shared" si="33"/>
        <v>QB1-40</v>
      </c>
      <c r="K188" s="2">
        <f>INDEX('ROS Proj'!$T$2:$T$561,$B188)</f>
        <v>19.731428571428573</v>
      </c>
      <c r="L188" s="23">
        <f>INDEX('ROS Proj'!$AL$2:$AL$561,$B188)</f>
        <v>7</v>
      </c>
      <c r="M188" s="2">
        <f>SQRT(IF(E188="K",SUMIFS('K Proj'!$P$2:$P$508,'K Proj'!$B$2:$B$508,$C188,'K Proj'!$A$2:$A$508,"&gt;"&amp;Week,'K Proj'!$A$2:$A$508,"&lt;=13"),IF(E188="D",SUMIFS('D Proj'!$N$2:$N$513,'D Proj'!$B$2:$B$513,$C188,'D Proj'!$A$2:$A$513,"&gt;"&amp;Week,'D Proj'!$A$2:$A$513,"&lt;=13"),SUMIFS('F Proj'!$J$2:$J$7669,'F Proj'!$B$2:$B$7669,$C188,'F Proj'!$A$2:$A$7669,"&gt;"&amp;Week,'F Proj'!$A$2:$A$7669,"&lt;=13"))))</f>
        <v>19.423714886704861</v>
      </c>
      <c r="N188" s="2">
        <f t="shared" si="34"/>
        <v>0.98440489579303514</v>
      </c>
      <c r="O188" s="2">
        <f t="shared" si="38"/>
        <v>16.956612159042162</v>
      </c>
      <c r="P188" s="2">
        <f t="shared" si="39"/>
        <v>22.50624498381498</v>
      </c>
      <c r="Q188" s="2">
        <f>K188-VLOOKUP($E188,Scores!$AG$1:$AM$7,7,FALSE)</f>
        <v>0.23142857142857665</v>
      </c>
      <c r="R188" s="2">
        <f>O188-VLOOKUP($E188,Scores!$AG$1:$AM$7,7,FALSE)</f>
        <v>-2.5433878409578341</v>
      </c>
      <c r="S188" s="2">
        <f>P188-VLOOKUP($E188,Scores!$AG$1:$AM$7,7,FALSE)</f>
        <v>3.0062449838149838</v>
      </c>
      <c r="T188">
        <f t="shared" si="35"/>
        <v>200</v>
      </c>
      <c r="U188" s="23">
        <f t="shared" si="36"/>
        <v>40</v>
      </c>
      <c r="V188">
        <f t="shared" si="40"/>
        <v>13</v>
      </c>
      <c r="W188">
        <f t="shared" si="41"/>
        <v>1</v>
      </c>
      <c r="X188" t="str">
        <f>D188&amp;COUNTIF(D$1:D188,D188)</f>
        <v>lucas15</v>
      </c>
      <c r="Y188" t="str">
        <f>D188&amp;E188&amp;COUNTIFS(D$1:D188,D188,E$1:E188,E188)</f>
        <v>lucasQB2</v>
      </c>
      <c r="Z188" t="s">
        <v>1120</v>
      </c>
      <c r="AA188" t="s">
        <v>65</v>
      </c>
    </row>
    <row r="189" spans="1:27" x14ac:dyDescent="0.25">
      <c r="A189">
        <f t="shared" si="37"/>
        <v>188</v>
      </c>
      <c r="B189">
        <f>MATCH(A189,'ROS Proj'!$AI$2:$AI$561,0)</f>
        <v>514</v>
      </c>
      <c r="C189" t="str">
        <f>INDEX('ROS Proj'!$A$2:$A$561,$B189)</f>
        <v>Ryan Succop</v>
      </c>
      <c r="D189" t="str">
        <f>IFERROR(INDEX(Rosters!$C$2:$C$155,MATCH($C189,Rosters!$B$2:$B$155,0)),"FA")</f>
        <v>FA</v>
      </c>
      <c r="E189" t="str">
        <f>INDEX('ROS Proj'!$B$2:$B$561,$B189)</f>
        <v>K</v>
      </c>
      <c r="F189" t="str">
        <f>E189&amp;COUNTIF(E$1:E189,E189)</f>
        <v>K16</v>
      </c>
      <c r="G189">
        <f t="shared" si="30"/>
        <v>0</v>
      </c>
      <c r="H189">
        <f t="shared" si="31"/>
        <v>8</v>
      </c>
      <c r="I189" t="str">
        <f t="shared" si="32"/>
        <v>K18-200</v>
      </c>
      <c r="J189" t="str">
        <f t="shared" si="33"/>
        <v>K1-78</v>
      </c>
      <c r="K189" s="2">
        <f>INDEX('ROS Proj'!$T$2:$T$561,$B189)</f>
        <v>7.0285714285714276</v>
      </c>
      <c r="L189" s="23">
        <f>INDEX('ROS Proj'!$AL$2:$AL$561,$B189)</f>
        <v>7</v>
      </c>
      <c r="M189" s="2">
        <f>SQRT(IF(E189="K",SUMIFS('K Proj'!$P$2:$P$508,'K Proj'!$B$2:$B$508,$C189,'K Proj'!$A$2:$A$508,"&gt;"&amp;Week,'K Proj'!$A$2:$A$508,"&lt;=13"),IF(E189="D",SUMIFS('D Proj'!$N$2:$N$513,'D Proj'!$B$2:$B$513,$C189,'D Proj'!$A$2:$A$513,"&gt;"&amp;Week,'D Proj'!$A$2:$A$513,"&lt;=13"),SUMIFS('F Proj'!$J$2:$J$7669,'F Proj'!$B$2:$B$7669,$C189,'F Proj'!$A$2:$A$7669,"&gt;"&amp;Week,'F Proj'!$A$2:$A$7669,"&lt;=13"))))</f>
        <v>11.456770923781272</v>
      </c>
      <c r="N189" s="2">
        <f t="shared" si="34"/>
        <v>1.6300283834648155</v>
      </c>
      <c r="O189" s="2">
        <f t="shared" si="38"/>
        <v>5.3918898680312468</v>
      </c>
      <c r="P189" s="2">
        <f t="shared" si="39"/>
        <v>8.6652529891116092</v>
      </c>
      <c r="Q189" s="2">
        <f>K189-VLOOKUP($E189,Scores!$AG$1:$AM$7,7,FALSE)</f>
        <v>-0.39285714285714413</v>
      </c>
      <c r="R189" s="2">
        <f>O189-VLOOKUP($E189,Scores!$AG$1:$AM$7,7,FALSE)</f>
        <v>-2.0295387033973249</v>
      </c>
      <c r="S189" s="2">
        <f>P189-VLOOKUP($E189,Scores!$AG$1:$AM$7,7,FALSE)</f>
        <v>1.2438244176830375</v>
      </c>
      <c r="T189">
        <f t="shared" si="35"/>
        <v>200</v>
      </c>
      <c r="U189" s="23">
        <f t="shared" si="36"/>
        <v>78</v>
      </c>
      <c r="V189">
        <f t="shared" si="40"/>
        <v>18</v>
      </c>
      <c r="W189">
        <f t="shared" si="41"/>
        <v>1</v>
      </c>
      <c r="X189" t="str">
        <f>D189&amp;COUNTIF(D$1:D189,D189)</f>
        <v>FA56</v>
      </c>
      <c r="Y189" t="str">
        <f>D189&amp;E189&amp;COUNTIFS(D$1:D189,D189,E$1:E189,E189)</f>
        <v>FAK9</v>
      </c>
      <c r="Z189" t="s">
        <v>407</v>
      </c>
      <c r="AA189" t="s">
        <v>453</v>
      </c>
    </row>
    <row r="190" spans="1:27" x14ac:dyDescent="0.25">
      <c r="A190">
        <f t="shared" si="37"/>
        <v>189</v>
      </c>
      <c r="B190">
        <f>MATCH(A190,'ROS Proj'!$AI$2:$AI$561,0)</f>
        <v>555</v>
      </c>
      <c r="C190" t="str">
        <f>INDEX('ROS Proj'!$A$2:$A$561,$B190)</f>
        <v>Patriots D/ST</v>
      </c>
      <c r="D190" t="str">
        <f>IFERROR(INDEX(Rosters!$C$2:$C$155,MATCH($C190,Rosters!$B$2:$B$155,0)),"FA")</f>
        <v>FA</v>
      </c>
      <c r="E190" t="str">
        <f>INDEX('ROS Proj'!$B$2:$B$561,$B190)</f>
        <v>D</v>
      </c>
      <c r="F190" t="str">
        <f>E190&amp;COUNTIF(E$1:E190,E190)</f>
        <v>D14</v>
      </c>
      <c r="G190">
        <f t="shared" si="30"/>
        <v>0</v>
      </c>
      <c r="H190">
        <f t="shared" si="31"/>
        <v>9</v>
      </c>
      <c r="I190" t="str">
        <f t="shared" si="32"/>
        <v>D16-200</v>
      </c>
      <c r="J190" t="str">
        <f t="shared" si="33"/>
        <v>D2-54</v>
      </c>
      <c r="K190" s="2">
        <f>INDEX('ROS Proj'!$T$2:$T$561,$B190)</f>
        <v>6.0200000000000014</v>
      </c>
      <c r="L190" s="23">
        <f>INDEX('ROS Proj'!$AL$2:$AL$561,$B190)</f>
        <v>7</v>
      </c>
      <c r="M190" s="2">
        <f>SQRT(IF(E190="K",SUMIFS('K Proj'!$P$2:$P$508,'K Proj'!$B$2:$B$508,$C190,'K Proj'!$A$2:$A$508,"&gt;"&amp;Week,'K Proj'!$A$2:$A$508,"&lt;=13"),IF(E190="D",SUMIFS('D Proj'!$N$2:$N$513,'D Proj'!$B$2:$B$513,$C190,'D Proj'!$A$2:$A$513,"&gt;"&amp;Week,'D Proj'!$A$2:$A$513,"&lt;=13"),SUMIFS('F Proj'!$J$2:$J$7669,'F Proj'!$B$2:$B$7669,$C190,'F Proj'!$A$2:$A$7669,"&gt;"&amp;Week,'F Proj'!$A$2:$A$7669,"&lt;=13"))))</f>
        <v>14.961320128919104</v>
      </c>
      <c r="N190" s="2">
        <f t="shared" si="34"/>
        <v>2.4852691244051663</v>
      </c>
      <c r="O190" s="2">
        <f t="shared" si="38"/>
        <v>3.8826685530115577</v>
      </c>
      <c r="P190" s="2">
        <f t="shared" si="39"/>
        <v>8.1573314469884455</v>
      </c>
      <c r="Q190" s="2">
        <f>K190-VLOOKUP($E190,Scores!$AG$1:$AM$7,7,FALSE)</f>
        <v>-0.15428571428571303</v>
      </c>
      <c r="R190" s="2">
        <f>O190-VLOOKUP($E190,Scores!$AG$1:$AM$7,7,FALSE)</f>
        <v>-2.2916171612741567</v>
      </c>
      <c r="S190" s="2">
        <f>P190-VLOOKUP($E190,Scores!$AG$1:$AM$7,7,FALSE)</f>
        <v>1.9830457327027311</v>
      </c>
      <c r="T190">
        <f t="shared" si="35"/>
        <v>200</v>
      </c>
      <c r="U190" s="23">
        <f t="shared" si="36"/>
        <v>54</v>
      </c>
      <c r="V190">
        <f t="shared" si="40"/>
        <v>16</v>
      </c>
      <c r="W190">
        <f t="shared" si="41"/>
        <v>2</v>
      </c>
      <c r="X190" t="str">
        <f>D190&amp;COUNTIF(D$1:D190,D190)</f>
        <v>FA57</v>
      </c>
      <c r="Y190" t="str">
        <f>D190&amp;E190&amp;COUNTIFS(D$1:D190,D190,E$1:E190,E190)</f>
        <v>FAD8</v>
      </c>
      <c r="Z190" t="s">
        <v>1336</v>
      </c>
      <c r="AA190" t="s">
        <v>415</v>
      </c>
    </row>
    <row r="191" spans="1:27" x14ac:dyDescent="0.25">
      <c r="A191">
        <f t="shared" si="37"/>
        <v>190</v>
      </c>
      <c r="B191">
        <f>MATCH(A191,'ROS Proj'!$AI$2:$AI$561,0)</f>
        <v>165</v>
      </c>
      <c r="C191" t="str">
        <f>INDEX('ROS Proj'!$A$2:$A$561,$B191)</f>
        <v>Doug Martin</v>
      </c>
      <c r="D191" t="str">
        <f>IFERROR(INDEX(Rosters!$C$2:$C$155,MATCH($C191,Rosters!$B$2:$B$155,0)),"FA")</f>
        <v>FA</v>
      </c>
      <c r="E191" t="str">
        <f>INDEX('ROS Proj'!$B$2:$B$561,$B191)</f>
        <v>RB</v>
      </c>
      <c r="F191" t="str">
        <f>E191&amp;COUNTIF(E$1:E191,E191)</f>
        <v>RB60</v>
      </c>
      <c r="G191">
        <f t="shared" si="30"/>
        <v>0</v>
      </c>
      <c r="H191">
        <f t="shared" si="31"/>
        <v>-77</v>
      </c>
      <c r="I191" t="str">
        <f t="shared" si="32"/>
        <v>RB62-200</v>
      </c>
      <c r="J191" t="str">
        <f t="shared" si="33"/>
        <v>RB50-94</v>
      </c>
      <c r="K191" s="2">
        <f>INDEX('ROS Proj'!$T$2:$T$561,$B191)</f>
        <v>4.6957142857142866</v>
      </c>
      <c r="L191" s="23">
        <f>INDEX('ROS Proj'!$AL$2:$AL$561,$B191)</f>
        <v>7</v>
      </c>
      <c r="M191" s="2">
        <f>SQRT(IF(E191="K",SUMIFS('K Proj'!$P$2:$P$508,'K Proj'!$B$2:$B$508,$C191,'K Proj'!$A$2:$A$508,"&gt;"&amp;Week,'K Proj'!$A$2:$A$508,"&lt;=13"),IF(E191="D",SUMIFS('D Proj'!$N$2:$N$513,'D Proj'!$B$2:$B$513,$C191,'D Proj'!$A$2:$A$513,"&gt;"&amp;Week,'D Proj'!$A$2:$A$513,"&lt;=13"),SUMIFS('F Proj'!$J$2:$J$7669,'F Proj'!$B$2:$B$7669,$C191,'F Proj'!$A$2:$A$7669,"&gt;"&amp;Week,'F Proj'!$A$2:$A$7669,"&lt;=13"))))</f>
        <v>7.954445298070759</v>
      </c>
      <c r="N191" s="2">
        <f t="shared" si="34"/>
        <v>1.6939798322633193</v>
      </c>
      <c r="O191" s="2">
        <f t="shared" si="38"/>
        <v>3.5593649574184636</v>
      </c>
      <c r="P191" s="2">
        <f t="shared" si="39"/>
        <v>5.8320636140101092</v>
      </c>
      <c r="Q191" s="2">
        <f>K191-VLOOKUP($E191,Scores!$AG$1:$AM$7,7,FALSE)</f>
        <v>-1.1728571428571426</v>
      </c>
      <c r="R191" s="2">
        <f>O191-VLOOKUP($E191,Scores!$AG$1:$AM$7,7,FALSE)</f>
        <v>-2.3092064711529656</v>
      </c>
      <c r="S191" s="2">
        <f>P191-VLOOKUP($E191,Scores!$AG$1:$AM$7,7,FALSE)</f>
        <v>-3.6507814561320018E-2</v>
      </c>
      <c r="T191">
        <f t="shared" si="35"/>
        <v>200</v>
      </c>
      <c r="U191" s="23">
        <f t="shared" si="36"/>
        <v>94</v>
      </c>
      <c r="V191">
        <f t="shared" si="40"/>
        <v>62</v>
      </c>
      <c r="W191">
        <f t="shared" si="41"/>
        <v>50</v>
      </c>
      <c r="X191" t="str">
        <f>D191&amp;COUNTIF(D$1:D191,D191)</f>
        <v>FA58</v>
      </c>
      <c r="Y191" t="str">
        <f>D191&amp;E191&amp;COUNTIFS(D$1:D191,D191,E$1:E191,E191)</f>
        <v>FARB14</v>
      </c>
      <c r="Z191" t="s">
        <v>412</v>
      </c>
      <c r="AA191" t="s">
        <v>101</v>
      </c>
    </row>
    <row r="192" spans="1:27" x14ac:dyDescent="0.25">
      <c r="A192">
        <f t="shared" si="37"/>
        <v>191</v>
      </c>
      <c r="B192">
        <f>MATCH(A192,'ROS Proj'!$AI$2:$AI$561,0)</f>
        <v>93</v>
      </c>
      <c r="C192" t="str">
        <f>INDEX('ROS Proj'!$A$2:$A$561,$B192)</f>
        <v>Chris Godwin</v>
      </c>
      <c r="D192" t="str">
        <f>IFERROR(INDEX(Rosters!$C$2:$C$155,MATCH($C192,Rosters!$B$2:$B$155,0)),"FA")</f>
        <v>FA</v>
      </c>
      <c r="E192" t="str">
        <f>INDEX('ROS Proj'!$B$2:$B$561,$B192)</f>
        <v>WR</v>
      </c>
      <c r="F192" t="str">
        <f>E192&amp;COUNTIF(E$1:E192,E192)</f>
        <v>WR71</v>
      </c>
      <c r="G192">
        <f t="shared" si="30"/>
        <v>0</v>
      </c>
      <c r="H192">
        <f t="shared" si="31"/>
        <v>-31</v>
      </c>
      <c r="I192" t="str">
        <f t="shared" si="32"/>
        <v>WR72-200</v>
      </c>
      <c r="J192" t="str">
        <f t="shared" si="33"/>
        <v>WR60-137</v>
      </c>
      <c r="K192" s="2">
        <f>INDEX('ROS Proj'!$T$2:$T$561,$B192)</f>
        <v>4.09</v>
      </c>
      <c r="L192" s="23">
        <f>INDEX('ROS Proj'!$AL$2:$AL$561,$B192)</f>
        <v>8</v>
      </c>
      <c r="M192" s="2">
        <f>SQRT(IF(E192="K",SUMIFS('K Proj'!$P$2:$P$508,'K Proj'!$B$2:$B$508,$C192,'K Proj'!$A$2:$A$508,"&gt;"&amp;Week,'K Proj'!$A$2:$A$508,"&lt;=13"),IF(E192="D",SUMIFS('D Proj'!$N$2:$N$513,'D Proj'!$B$2:$B$513,$C192,'D Proj'!$A$2:$A$513,"&gt;"&amp;Week,'D Proj'!$A$2:$A$513,"&lt;=13"),SUMIFS('F Proj'!$J$2:$J$7669,'F Proj'!$B$2:$B$7669,$C192,'F Proj'!$A$2:$A$7669,"&gt;"&amp;Week,'F Proj'!$A$2:$A$7669,"&lt;=13"))))</f>
        <v>9.7333704337192462</v>
      </c>
      <c r="N192" s="2">
        <f t="shared" si="34"/>
        <v>2.3797971720584954</v>
      </c>
      <c r="O192" s="2">
        <f t="shared" si="38"/>
        <v>2.8733286957850943</v>
      </c>
      <c r="P192" s="2">
        <f t="shared" si="39"/>
        <v>5.3066713042149054</v>
      </c>
      <c r="Q192" s="2">
        <f>K192-VLOOKUP($E192,Scores!$AG$1:$AM$7,7,FALSE)</f>
        <v>-1.9628571428571426</v>
      </c>
      <c r="R192" s="2">
        <f>O192-VLOOKUP($E192,Scores!$AG$1:$AM$7,7,FALSE)</f>
        <v>-3.1795284470720482</v>
      </c>
      <c r="S192" s="2">
        <f>P192-VLOOKUP($E192,Scores!$AG$1:$AM$7,7,FALSE)</f>
        <v>-0.74618583864223709</v>
      </c>
      <c r="T192">
        <f t="shared" si="35"/>
        <v>200</v>
      </c>
      <c r="U192" s="23">
        <f t="shared" si="36"/>
        <v>137</v>
      </c>
      <c r="V192">
        <f t="shared" si="40"/>
        <v>72</v>
      </c>
      <c r="W192">
        <f t="shared" si="41"/>
        <v>60</v>
      </c>
      <c r="X192" t="str">
        <f>D192&amp;COUNTIF(D$1:D192,D192)</f>
        <v>FA59</v>
      </c>
      <c r="Y192" t="str">
        <f>D192&amp;E192&amp;COUNTIFS(D$1:D192,D192,E$1:E192,E192)</f>
        <v>FAWR20</v>
      </c>
      <c r="Z192" t="s">
        <v>175</v>
      </c>
      <c r="AA192" t="s">
        <v>1396</v>
      </c>
    </row>
    <row r="193" spans="1:27" x14ac:dyDescent="0.25">
      <c r="A193">
        <f t="shared" si="37"/>
        <v>192</v>
      </c>
      <c r="B193">
        <f>MATCH(A193,'ROS Proj'!$AI$2:$AI$561,0)</f>
        <v>157</v>
      </c>
      <c r="C193" t="str">
        <f>INDEX('ROS Proj'!$A$2:$A$561,$B193)</f>
        <v>DeVante Parker</v>
      </c>
      <c r="D193" t="str">
        <f>IFERROR(INDEX(Rosters!$C$2:$C$155,MATCH($C193,Rosters!$B$2:$B$155,0)),"FA")</f>
        <v>FA</v>
      </c>
      <c r="E193" t="str">
        <f>INDEX('ROS Proj'!$B$2:$B$561,$B193)</f>
        <v>WR</v>
      </c>
      <c r="F193" t="str">
        <f>E193&amp;COUNTIF(E$1:E193,E193)</f>
        <v>WR72</v>
      </c>
      <c r="G193">
        <f t="shared" si="30"/>
        <v>0</v>
      </c>
      <c r="H193">
        <f t="shared" si="31"/>
        <v>-1</v>
      </c>
      <c r="I193" t="str">
        <f t="shared" si="32"/>
        <v>WR72-200</v>
      </c>
      <c r="J193" t="str">
        <f t="shared" si="33"/>
        <v>WR52-94</v>
      </c>
      <c r="K193" s="2">
        <f>INDEX('ROS Proj'!$T$2:$T$561,$B193)</f>
        <v>4.6671428571428573</v>
      </c>
      <c r="L193" s="23">
        <f>INDEX('ROS Proj'!$AL$2:$AL$561,$B193)</f>
        <v>7</v>
      </c>
      <c r="M193" s="2">
        <f>SQRT(IF(E193="K",SUMIFS('K Proj'!$P$2:$P$508,'K Proj'!$B$2:$B$508,$C193,'K Proj'!$A$2:$A$508,"&gt;"&amp;Week,'K Proj'!$A$2:$A$508,"&lt;=13"),IF(E193="D",SUMIFS('D Proj'!$N$2:$N$513,'D Proj'!$B$2:$B$513,$C193,'D Proj'!$A$2:$A$513,"&gt;"&amp;Week,'D Proj'!$A$2:$A$513,"&lt;=13"),SUMIFS('F Proj'!$J$2:$J$7669,'F Proj'!$B$2:$B$7669,$C193,'F Proj'!$A$2:$A$7669,"&gt;"&amp;Week,'F Proj'!$A$2:$A$7669,"&lt;=13"))))</f>
        <v>10.883730977932155</v>
      </c>
      <c r="N193" s="2">
        <f t="shared" si="34"/>
        <v>2.331990108525408</v>
      </c>
      <c r="O193" s="2">
        <f t="shared" si="38"/>
        <v>3.1123241460096929</v>
      </c>
      <c r="P193" s="2">
        <f t="shared" si="39"/>
        <v>6.2219615682760221</v>
      </c>
      <c r="Q193" s="2">
        <f>K193-VLOOKUP($E193,Scores!$AG$1:$AM$7,7,FALSE)</f>
        <v>-1.3857142857142852</v>
      </c>
      <c r="R193" s="2">
        <f>O193-VLOOKUP($E193,Scores!$AG$1:$AM$7,7,FALSE)</f>
        <v>-2.9405329968474496</v>
      </c>
      <c r="S193" s="2">
        <f>P193-VLOOKUP($E193,Scores!$AG$1:$AM$7,7,FALSE)</f>
        <v>0.1691044254188796</v>
      </c>
      <c r="T193">
        <f t="shared" si="35"/>
        <v>200</v>
      </c>
      <c r="U193" s="23">
        <f t="shared" si="36"/>
        <v>94</v>
      </c>
      <c r="V193">
        <f t="shared" si="40"/>
        <v>72</v>
      </c>
      <c r="W193">
        <f t="shared" si="41"/>
        <v>52</v>
      </c>
      <c r="X193" t="str">
        <f>D193&amp;COUNTIF(D$1:D193,D193)</f>
        <v>FA60</v>
      </c>
      <c r="Y193" t="str">
        <f>D193&amp;E193&amp;COUNTIFS(D$1:D193,D193,E$1:E193,E193)</f>
        <v>FAWR21</v>
      </c>
      <c r="Z193" t="s">
        <v>1484</v>
      </c>
      <c r="AA193" t="s">
        <v>175</v>
      </c>
    </row>
    <row r="194" spans="1:27" x14ac:dyDescent="0.25">
      <c r="A194">
        <f t="shared" si="37"/>
        <v>193</v>
      </c>
      <c r="B194">
        <f>MATCH(A194,'ROS Proj'!$AI$2:$AI$561,0)</f>
        <v>515</v>
      </c>
      <c r="C194" t="str">
        <f>INDEX('ROS Proj'!$A$2:$A$561,$B194)</f>
        <v>Jason Myers</v>
      </c>
      <c r="D194" t="str">
        <f>IFERROR(INDEX(Rosters!$C$2:$C$155,MATCH($C194,Rosters!$B$2:$B$155,0)),"FA")</f>
        <v>FA</v>
      </c>
      <c r="E194" t="str">
        <f>INDEX('ROS Proj'!$B$2:$B$561,$B194)</f>
        <v>K</v>
      </c>
      <c r="F194" t="str">
        <f>E194&amp;COUNTIF(E$1:E194,E194)</f>
        <v>K17</v>
      </c>
      <c r="G194">
        <f t="shared" si="30"/>
        <v>0</v>
      </c>
      <c r="H194">
        <f t="shared" si="31"/>
        <v>8</v>
      </c>
      <c r="I194" t="str">
        <f t="shared" si="32"/>
        <v>K18-200</v>
      </c>
      <c r="J194" t="str">
        <f t="shared" si="33"/>
        <v>K1-78</v>
      </c>
      <c r="K194" s="2">
        <f>INDEX('ROS Proj'!$T$2:$T$561,$B194)</f>
        <v>6.99</v>
      </c>
      <c r="L194" s="23">
        <f>INDEX('ROS Proj'!$AL$2:$AL$561,$B194)</f>
        <v>7</v>
      </c>
      <c r="M194" s="2">
        <f>SQRT(IF(E194="K",SUMIFS('K Proj'!$P$2:$P$508,'K Proj'!$B$2:$B$508,$C194,'K Proj'!$A$2:$A$508,"&gt;"&amp;Week,'K Proj'!$A$2:$A$508,"&lt;=13"),IF(E194="D",SUMIFS('D Proj'!$N$2:$N$513,'D Proj'!$B$2:$B$513,$C194,'D Proj'!$A$2:$A$513,"&gt;"&amp;Week,'D Proj'!$A$2:$A$513,"&lt;=13"),SUMIFS('F Proj'!$J$2:$J$7669,'F Proj'!$B$2:$B$7669,$C194,'F Proj'!$A$2:$A$7669,"&gt;"&amp;Week,'F Proj'!$A$2:$A$7669,"&lt;=13"))))</f>
        <v>11.336639713777624</v>
      </c>
      <c r="N194" s="2">
        <f t="shared" si="34"/>
        <v>1.6218368689238374</v>
      </c>
      <c r="O194" s="2">
        <f t="shared" si="38"/>
        <v>5.3704800408889115</v>
      </c>
      <c r="P194" s="2">
        <f t="shared" si="39"/>
        <v>8.609519959111088</v>
      </c>
      <c r="Q194" s="2">
        <f>K194-VLOOKUP($E194,Scores!$AG$1:$AM$7,7,FALSE)</f>
        <v>-0.43142857142857149</v>
      </c>
      <c r="R194" s="2">
        <f>O194-VLOOKUP($E194,Scores!$AG$1:$AM$7,7,FALSE)</f>
        <v>-2.0509485305396602</v>
      </c>
      <c r="S194" s="2">
        <f>P194-VLOOKUP($E194,Scores!$AG$1:$AM$7,7,FALSE)</f>
        <v>1.1880913876825163</v>
      </c>
      <c r="T194">
        <f t="shared" si="35"/>
        <v>200</v>
      </c>
      <c r="U194" s="23">
        <f t="shared" si="36"/>
        <v>78</v>
      </c>
      <c r="V194">
        <f t="shared" ref="V194:V201" si="42">COUNTIFS($E$2:$E$201,$E194,$Q$2:$Q$201,"&gt;"&amp;R194)</f>
        <v>18</v>
      </c>
      <c r="W194">
        <f t="shared" ref="W194:W201" si="43">COUNTIFS($E$2:$E$201,$E194,$Q$2:$Q$201,"&gt;"&amp;S194)+1</f>
        <v>1</v>
      </c>
      <c r="X194" t="str">
        <f>D194&amp;COUNTIF(D$1:D194,D194)</f>
        <v>FA61</v>
      </c>
      <c r="Y194" t="str">
        <f>D194&amp;E194&amp;COUNTIFS(D$1:D194,D194,E$1:E194,E194)</f>
        <v>FAK10</v>
      </c>
      <c r="Z194" t="s">
        <v>1122</v>
      </c>
      <c r="AA194" t="s">
        <v>460</v>
      </c>
    </row>
    <row r="195" spans="1:27" x14ac:dyDescent="0.25">
      <c r="A195">
        <f t="shared" si="37"/>
        <v>194</v>
      </c>
      <c r="B195">
        <f>MATCH(A195,'ROS Proj'!$AI$2:$AI$561,0)</f>
        <v>545</v>
      </c>
      <c r="C195" t="str">
        <f>INDEX('ROS Proj'!$A$2:$A$561,$B195)</f>
        <v>Cardinals D/ST</v>
      </c>
      <c r="D195" t="str">
        <f>IFERROR(INDEX(Rosters!$C$2:$C$155,MATCH($C195,Rosters!$B$2:$B$155,0)),"FA")</f>
        <v>FA</v>
      </c>
      <c r="E195" t="str">
        <f>INDEX('ROS Proj'!$B$2:$B$561,$B195)</f>
        <v>D</v>
      </c>
      <c r="F195" t="str">
        <f>E195&amp;COUNTIF(E$1:E195,E195)</f>
        <v>D15</v>
      </c>
      <c r="G195">
        <f t="shared" ref="G195:G201" si="44">IFERROR(MATCH(C195,$AA$2:$AA$201,0)-A195,201-A195)</f>
        <v>0</v>
      </c>
      <c r="H195">
        <f t="shared" ref="H195:H201" si="45">IFERROR(MATCH(C195,$Z$2:$Z$201,0)-A195,201-A195)</f>
        <v>7</v>
      </c>
      <c r="I195" t="str">
        <f t="shared" ref="I195:I201" si="46">E195&amp;V195&amp;"-"&amp;T195</f>
        <v>D16-200</v>
      </c>
      <c r="J195" t="str">
        <f t="shared" ref="J195:J201" si="47">E195&amp;W195&amp;"-"&amp;U195</f>
        <v>D2-54</v>
      </c>
      <c r="K195" s="2">
        <f>INDEX('ROS Proj'!$T$2:$T$561,$B195)</f>
        <v>5.9700000000000006</v>
      </c>
      <c r="L195" s="23">
        <f>INDEX('ROS Proj'!$AL$2:$AL$561,$B195)</f>
        <v>7</v>
      </c>
      <c r="M195" s="2">
        <f>SQRT(IF(E195="K",SUMIFS('K Proj'!$P$2:$P$508,'K Proj'!$B$2:$B$508,$C195,'K Proj'!$A$2:$A$508,"&gt;"&amp;Week,'K Proj'!$A$2:$A$508,"&lt;=13"),IF(E195="D",SUMIFS('D Proj'!$N$2:$N$513,'D Proj'!$B$2:$B$513,$C195,'D Proj'!$A$2:$A$513,"&gt;"&amp;Week,'D Proj'!$A$2:$A$513,"&lt;=13"),SUMIFS('F Proj'!$J$2:$J$7669,'F Proj'!$B$2:$B$7669,$C195,'F Proj'!$A$2:$A$7669,"&gt;"&amp;Week,'F Proj'!$A$2:$A$7669,"&lt;=13"))))</f>
        <v>14.020242508601626</v>
      </c>
      <c r="N195" s="2">
        <f t="shared" ref="N195:N201" si="48">M195/K195</f>
        <v>2.3484493314240575</v>
      </c>
      <c r="O195" s="2">
        <f t="shared" si="38"/>
        <v>3.9671082130569113</v>
      </c>
      <c r="P195" s="2">
        <f t="shared" si="39"/>
        <v>7.97289178694309</v>
      </c>
      <c r="Q195" s="2">
        <f>K195-VLOOKUP($E195,Scores!$AG$1:$AM$7,7,FALSE)</f>
        <v>-0.20428571428571374</v>
      </c>
      <c r="R195" s="2">
        <f>O195-VLOOKUP($E195,Scores!$AG$1:$AM$7,7,FALSE)</f>
        <v>-2.2071775012288031</v>
      </c>
      <c r="S195" s="2">
        <f>P195-VLOOKUP($E195,Scores!$AG$1:$AM$7,7,FALSE)</f>
        <v>1.7986060726573756</v>
      </c>
      <c r="T195">
        <f t="shared" ref="T195:T201" si="49">MATCH(R195,$Q$2:$Q$201,-1)</f>
        <v>200</v>
      </c>
      <c r="U195" s="23">
        <f t="shared" ref="U195:U201" si="50">IFERROR(MATCH(S195,$Q$2:$Q$201,-1)+1,1)</f>
        <v>54</v>
      </c>
      <c r="V195">
        <f t="shared" si="42"/>
        <v>16</v>
      </c>
      <c r="W195">
        <f t="shared" si="43"/>
        <v>2</v>
      </c>
      <c r="X195" t="str">
        <f>D195&amp;COUNTIF(D$1:D195,D195)</f>
        <v>FA62</v>
      </c>
      <c r="Y195" t="str">
        <f>D195&amp;E195&amp;COUNTIFS(D$1:D195,D195,E$1:E195,E195)</f>
        <v>FAD9</v>
      </c>
      <c r="Z195" t="s">
        <v>143</v>
      </c>
      <c r="AA195" t="s">
        <v>409</v>
      </c>
    </row>
    <row r="196" spans="1:27" x14ac:dyDescent="0.25">
      <c r="A196">
        <f t="shared" ref="A196:A201" si="51">A195+1</f>
        <v>195</v>
      </c>
      <c r="B196">
        <f>MATCH(A196,'ROS Proj'!$AI$2:$AI$561,0)</f>
        <v>86</v>
      </c>
      <c r="C196" t="str">
        <f>INDEX('ROS Proj'!$A$2:$A$561,$B196)</f>
        <v>Charles Clay</v>
      </c>
      <c r="D196" t="str">
        <f>IFERROR(INDEX(Rosters!$C$2:$C$155,MATCH($C196,Rosters!$B$2:$B$155,0)),"FA")</f>
        <v>FA</v>
      </c>
      <c r="E196" t="str">
        <f>INDEX('ROS Proj'!$B$2:$B$561,$B196)</f>
        <v>TE</v>
      </c>
      <c r="F196" t="str">
        <f>E196&amp;COUNTIF(E$1:E196,E196)</f>
        <v>TE18</v>
      </c>
      <c r="G196">
        <f t="shared" si="44"/>
        <v>0</v>
      </c>
      <c r="H196">
        <f t="shared" si="45"/>
        <v>-32</v>
      </c>
      <c r="I196" t="str">
        <f t="shared" si="46"/>
        <v>TE19-200</v>
      </c>
      <c r="J196" t="str">
        <f t="shared" si="47"/>
        <v>TE10-78</v>
      </c>
      <c r="K196" s="2">
        <f>INDEX('ROS Proj'!$T$2:$T$561,$B196)</f>
        <v>4.33</v>
      </c>
      <c r="L196" s="23">
        <f>INDEX('ROS Proj'!$AL$2:$AL$561,$B196)</f>
        <v>7</v>
      </c>
      <c r="M196" s="2">
        <f>SQRT(IF(E196="K",SUMIFS('K Proj'!$P$2:$P$508,'K Proj'!$B$2:$B$508,$C196,'K Proj'!$A$2:$A$508,"&gt;"&amp;Week,'K Proj'!$A$2:$A$508,"&lt;=13"),IF(E196="D",SUMIFS('D Proj'!$N$2:$N$513,'D Proj'!$B$2:$B$513,$C196,'D Proj'!$A$2:$A$513,"&gt;"&amp;Week,'D Proj'!$A$2:$A$513,"&lt;=13"),SUMIFS('F Proj'!$J$2:$J$7669,'F Proj'!$B$2:$B$7669,$C196,'F Proj'!$A$2:$A$7669,"&gt;"&amp;Week,'F Proj'!$A$2:$A$7669,"&lt;=13"))))</f>
        <v>10.119105691710113</v>
      </c>
      <c r="N196" s="2">
        <f t="shared" si="48"/>
        <v>2.3369759103256609</v>
      </c>
      <c r="O196" s="2">
        <f t="shared" ref="O196:O201" si="52">(($K196*$L196)-($M196*Zscore_int))/$L196</f>
        <v>2.8844134726128416</v>
      </c>
      <c r="P196" s="2">
        <f t="shared" ref="P196:P201" si="53">(($K196*$L196)+($M196*Zscore_int))/$L196</f>
        <v>5.7755865273871594</v>
      </c>
      <c r="Q196" s="2">
        <f>K196-VLOOKUP($E196,Scores!$AG$1:$AM$7,7,FALSE)</f>
        <v>-0.84999999999999964</v>
      </c>
      <c r="R196" s="2">
        <f>O196-VLOOKUP($E196,Scores!$AG$1:$AM$7,7,FALSE)</f>
        <v>-2.2955865273871581</v>
      </c>
      <c r="S196" s="2">
        <f>P196-VLOOKUP($E196,Scores!$AG$1:$AM$7,7,FALSE)</f>
        <v>0.59558652738715967</v>
      </c>
      <c r="T196">
        <f t="shared" si="49"/>
        <v>200</v>
      </c>
      <c r="U196" s="23">
        <f t="shared" si="50"/>
        <v>78</v>
      </c>
      <c r="V196">
        <f t="shared" si="42"/>
        <v>19</v>
      </c>
      <c r="W196">
        <f t="shared" si="43"/>
        <v>10</v>
      </c>
      <c r="X196" t="str">
        <f>D196&amp;COUNTIF(D$1:D196,D196)</f>
        <v>FA63</v>
      </c>
      <c r="Y196" t="str">
        <f>D196&amp;E196&amp;COUNTIFS(D$1:D196,D196,E$1:E196,E196)</f>
        <v>FATE6</v>
      </c>
      <c r="Z196" t="s">
        <v>1449</v>
      </c>
      <c r="AA196" t="s">
        <v>217</v>
      </c>
    </row>
    <row r="197" spans="1:27" x14ac:dyDescent="0.25">
      <c r="A197">
        <f t="shared" si="51"/>
        <v>196</v>
      </c>
      <c r="B197">
        <f>MATCH(A197,'ROS Proj'!$AI$2:$AI$561,0)</f>
        <v>519</v>
      </c>
      <c r="C197" t="str">
        <f>INDEX('ROS Proj'!$A$2:$A$561,$B197)</f>
        <v>Ka'imi Fairbairn</v>
      </c>
      <c r="D197" t="str">
        <f>IFERROR(INDEX(Rosters!$C$2:$C$155,MATCH($C197,Rosters!$B$2:$B$155,0)),"FA")</f>
        <v>FA</v>
      </c>
      <c r="E197" t="str">
        <f>INDEX('ROS Proj'!$B$2:$B$561,$B197)</f>
        <v>K</v>
      </c>
      <c r="F197" t="str">
        <f>E197&amp;COUNTIF(E$1:E197,E197)</f>
        <v>K18</v>
      </c>
      <c r="G197">
        <f t="shared" si="44"/>
        <v>0</v>
      </c>
      <c r="H197">
        <f t="shared" si="45"/>
        <v>-12</v>
      </c>
      <c r="I197" t="str">
        <f t="shared" si="46"/>
        <v>K18-190</v>
      </c>
      <c r="J197" t="str">
        <f t="shared" si="47"/>
        <v>K2-78</v>
      </c>
      <c r="K197" s="2">
        <f>INDEX('ROS Proj'!$T$2:$T$561,$B197)</f>
        <v>6.9471428571428575</v>
      </c>
      <c r="L197" s="23">
        <f>INDEX('ROS Proj'!$AL$2:$AL$561,$B197)</f>
        <v>7</v>
      </c>
      <c r="M197" s="2">
        <f>SQRT(IF(E197="K",SUMIFS('K Proj'!$P$2:$P$508,'K Proj'!$B$2:$B$508,$C197,'K Proj'!$A$2:$A$508,"&gt;"&amp;Week,'K Proj'!$A$2:$A$508,"&lt;=13"),IF(E197="D",SUMIFS('D Proj'!$N$2:$N$513,'D Proj'!$B$2:$B$513,$C197,'D Proj'!$A$2:$A$513,"&gt;"&amp;Week,'D Proj'!$A$2:$A$513,"&lt;=13"),SUMIFS('F Proj'!$J$2:$J$7669,'F Proj'!$B$2:$B$7669,$C197,'F Proj'!$A$2:$A$7669,"&gt;"&amp;Week,'F Proj'!$A$2:$A$7669,"&lt;=13"))))</f>
        <v>10.342301484679316</v>
      </c>
      <c r="N197" s="2">
        <f t="shared" si="48"/>
        <v>1.4887129424790295</v>
      </c>
      <c r="O197" s="2">
        <f t="shared" si="52"/>
        <v>5.4696712164743833</v>
      </c>
      <c r="P197" s="2">
        <f t="shared" si="53"/>
        <v>8.4246144978113318</v>
      </c>
      <c r="Q197" s="2">
        <f>K197-VLOOKUP($E197,Scores!$AG$1:$AM$7,7,FALSE)</f>
        <v>-0.4742857142857142</v>
      </c>
      <c r="R197" s="2">
        <f>O197-VLOOKUP($E197,Scores!$AG$1:$AM$7,7,FALSE)</f>
        <v>-1.9517573549541885</v>
      </c>
      <c r="S197" s="2">
        <f>P197-VLOOKUP($E197,Scores!$AG$1:$AM$7,7,FALSE)</f>
        <v>1.0031859263827601</v>
      </c>
      <c r="T197">
        <f t="shared" si="49"/>
        <v>190</v>
      </c>
      <c r="U197" s="23">
        <f t="shared" si="50"/>
        <v>78</v>
      </c>
      <c r="V197">
        <f t="shared" si="42"/>
        <v>18</v>
      </c>
      <c r="W197">
        <f t="shared" si="43"/>
        <v>2</v>
      </c>
      <c r="X197" t="str">
        <f>D197&amp;COUNTIF(D$1:D197,D197)</f>
        <v>FA64</v>
      </c>
      <c r="Y197" t="str">
        <f>D197&amp;E197&amp;COUNTIFS(D$1:D197,D197,E$1:E197,E197)</f>
        <v>FAK11</v>
      </c>
      <c r="Z197" t="s">
        <v>453</v>
      </c>
      <c r="AA197" t="s">
        <v>999</v>
      </c>
    </row>
    <row r="198" spans="1:27" x14ac:dyDescent="0.25">
      <c r="A198">
        <f t="shared" si="51"/>
        <v>197</v>
      </c>
      <c r="B198">
        <f>MATCH(A198,'ROS Proj'!$AI$2:$AI$561,0)</f>
        <v>536</v>
      </c>
      <c r="C198" t="str">
        <f>INDEX('ROS Proj'!$A$2:$A$561,$B198)</f>
        <v>Falcons D/ST</v>
      </c>
      <c r="D198" t="str">
        <f>IFERROR(INDEX(Rosters!$C$2:$C$155,MATCH($C198,Rosters!$B$2:$B$155,0)),"FA")</f>
        <v>FA</v>
      </c>
      <c r="E198" t="str">
        <f>INDEX('ROS Proj'!$B$2:$B$561,$B198)</f>
        <v>D</v>
      </c>
      <c r="F198" t="str">
        <f>E198&amp;COUNTIF(E$1:E198,E198)</f>
        <v>D16</v>
      </c>
      <c r="G198">
        <f t="shared" si="44"/>
        <v>0</v>
      </c>
      <c r="H198">
        <f t="shared" si="45"/>
        <v>4</v>
      </c>
      <c r="I198" t="str">
        <f t="shared" si="46"/>
        <v>D16-200</v>
      </c>
      <c r="J198" t="str">
        <f t="shared" si="47"/>
        <v>D2-54</v>
      </c>
      <c r="K198" s="2">
        <f>INDEX('ROS Proj'!$T$2:$T$561,$B198)</f>
        <v>5.9071428571428566</v>
      </c>
      <c r="L198" s="23">
        <f>INDEX('ROS Proj'!$AL$2:$AL$561,$B198)</f>
        <v>7</v>
      </c>
      <c r="M198" s="2">
        <f>SQRT(IF(E198="K",SUMIFS('K Proj'!$P$2:$P$508,'K Proj'!$B$2:$B$508,$C198,'K Proj'!$A$2:$A$508,"&gt;"&amp;Week,'K Proj'!$A$2:$A$508,"&lt;=13"),IF(E198="D",SUMIFS('D Proj'!$N$2:$N$513,'D Proj'!$B$2:$B$513,$C198,'D Proj'!$A$2:$A$513,"&gt;"&amp;Week,'D Proj'!$A$2:$A$513,"&lt;=13"),SUMIFS('F Proj'!$J$2:$J$7669,'F Proj'!$B$2:$B$7669,$C198,'F Proj'!$A$2:$A$7669,"&gt;"&amp;Week,'F Proj'!$A$2:$A$7669,"&lt;=13"))))</f>
        <v>15.842446149506079</v>
      </c>
      <c r="N198" s="2">
        <f t="shared" si="48"/>
        <v>2.6819134956842219</v>
      </c>
      <c r="O198" s="2">
        <f t="shared" si="52"/>
        <v>3.6439362643562734</v>
      </c>
      <c r="P198" s="2">
        <f t="shared" si="53"/>
        <v>8.1703494499294393</v>
      </c>
      <c r="Q198" s="2">
        <f>K198-VLOOKUP($E198,Scores!$AG$1:$AM$7,7,FALSE)</f>
        <v>-0.26714285714285779</v>
      </c>
      <c r="R198" s="2">
        <f>O198-VLOOKUP($E198,Scores!$AG$1:$AM$7,7,FALSE)</f>
        <v>-2.530349449929441</v>
      </c>
      <c r="S198" s="2">
        <f>P198-VLOOKUP($E198,Scores!$AG$1:$AM$7,7,FALSE)</f>
        <v>1.996063735643725</v>
      </c>
      <c r="T198">
        <f t="shared" si="49"/>
        <v>200</v>
      </c>
      <c r="U198" s="23">
        <f t="shared" si="50"/>
        <v>54</v>
      </c>
      <c r="V198">
        <f t="shared" si="42"/>
        <v>16</v>
      </c>
      <c r="W198">
        <f t="shared" si="43"/>
        <v>2</v>
      </c>
      <c r="X198" t="str">
        <f>D198&amp;COUNTIF(D$1:D198,D198)</f>
        <v>FA65</v>
      </c>
      <c r="Y198" t="str">
        <f>D198&amp;E198&amp;COUNTIFS(D$1:D198,D198,E$1:E198,E198)</f>
        <v>FAD10</v>
      </c>
      <c r="Z198" t="s">
        <v>427</v>
      </c>
      <c r="AA198" t="s">
        <v>437</v>
      </c>
    </row>
    <row r="199" spans="1:27" x14ac:dyDescent="0.25">
      <c r="A199">
        <f t="shared" si="51"/>
        <v>198</v>
      </c>
      <c r="B199">
        <f>MATCH(A199,'ROS Proj'!$AI$2:$AI$561,0)</f>
        <v>375</v>
      </c>
      <c r="C199" t="str">
        <f>INDEX('ROS Proj'!$A$2:$A$561,$B199)</f>
        <v>O.J. Howard</v>
      </c>
      <c r="D199" t="str">
        <f>IFERROR(INDEX(Rosters!$C$2:$C$155,MATCH($C199,Rosters!$B$2:$B$155,0)),"FA")</f>
        <v>FA</v>
      </c>
      <c r="E199" t="str">
        <f>INDEX('ROS Proj'!$B$2:$B$561,$B199)</f>
        <v>TE</v>
      </c>
      <c r="F199" t="str">
        <f>E199&amp;COUNTIF(E$1:E199,E199)</f>
        <v>TE19</v>
      </c>
      <c r="G199">
        <f t="shared" si="44"/>
        <v>0</v>
      </c>
      <c r="H199">
        <f t="shared" si="45"/>
        <v>-96</v>
      </c>
      <c r="I199" t="str">
        <f t="shared" si="46"/>
        <v>TE19-200</v>
      </c>
      <c r="J199" t="str">
        <f t="shared" si="47"/>
        <v>TE10-78</v>
      </c>
      <c r="K199" s="2">
        <f>INDEX('ROS Proj'!$T$2:$T$561,$B199)</f>
        <v>3.73875</v>
      </c>
      <c r="L199" s="23">
        <f>INDEX('ROS Proj'!$AL$2:$AL$561,$B199)</f>
        <v>6</v>
      </c>
      <c r="M199" s="2">
        <f>SQRT(IF(E199="K",SUMIFS('K Proj'!$P$2:$P$508,'K Proj'!$B$2:$B$508,$C199,'K Proj'!$A$2:$A$508,"&gt;"&amp;Week,'K Proj'!$A$2:$A$508,"&lt;=13"),IF(E199="D",SUMIFS('D Proj'!$N$2:$N$513,'D Proj'!$B$2:$B$513,$C199,'D Proj'!$A$2:$A$513,"&gt;"&amp;Week,'D Proj'!$A$2:$A$513,"&lt;=13"),SUMIFS('F Proj'!$J$2:$J$7669,'F Proj'!$B$2:$B$7669,$C199,'F Proj'!$A$2:$A$7669,"&gt;"&amp;Week,'F Proj'!$A$2:$A$7669,"&lt;=13"))))</f>
        <v>11.544037421976768</v>
      </c>
      <c r="N199" s="2">
        <f t="shared" si="48"/>
        <v>3.0876729981883697</v>
      </c>
      <c r="O199" s="2">
        <f t="shared" si="52"/>
        <v>1.8147437630038723</v>
      </c>
      <c r="P199" s="2">
        <f t="shared" si="53"/>
        <v>5.6627562369961284</v>
      </c>
      <c r="Q199" s="2">
        <f>K199-VLOOKUP($E199,Scores!$AG$1:$AM$7,7,FALSE)</f>
        <v>-1.4412499999999997</v>
      </c>
      <c r="R199" s="2">
        <f>O199-VLOOKUP($E199,Scores!$AG$1:$AM$7,7,FALSE)</f>
        <v>-3.3652562369961272</v>
      </c>
      <c r="S199" s="2">
        <f>P199-VLOOKUP($E199,Scores!$AG$1:$AM$7,7,FALSE)</f>
        <v>0.48275623699612868</v>
      </c>
      <c r="T199">
        <f t="shared" si="49"/>
        <v>200</v>
      </c>
      <c r="U199" s="23">
        <f t="shared" si="50"/>
        <v>78</v>
      </c>
      <c r="V199">
        <f t="shared" si="42"/>
        <v>19</v>
      </c>
      <c r="W199">
        <f t="shared" si="43"/>
        <v>10</v>
      </c>
      <c r="X199" t="str">
        <f>D199&amp;COUNTIF(D$1:D199,D199)</f>
        <v>FA66</v>
      </c>
      <c r="Y199" t="str">
        <f>D199&amp;E199&amp;COUNTIFS(D$1:D199,D199,E$1:E199,E199)</f>
        <v>FATE7</v>
      </c>
      <c r="Z199" t="s">
        <v>415</v>
      </c>
      <c r="AA199" t="s">
        <v>229</v>
      </c>
    </row>
    <row r="200" spans="1:27" x14ac:dyDescent="0.25">
      <c r="A200">
        <f t="shared" si="51"/>
        <v>199</v>
      </c>
      <c r="B200">
        <f>MATCH(A200,'ROS Proj'!$AI$2:$AI$561,0)</f>
        <v>432</v>
      </c>
      <c r="C200" t="str">
        <f>INDEX('ROS Proj'!$A$2:$A$561,$B200)</f>
        <v>Spencer Ware</v>
      </c>
      <c r="D200" t="str">
        <f>IFERROR(INDEX(Rosters!$C$2:$C$155,MATCH($C200,Rosters!$B$2:$B$155,0)),"FA")</f>
        <v>FA</v>
      </c>
      <c r="E200" t="str">
        <f>INDEX('ROS Proj'!$B$2:$B$561,$B200)</f>
        <v>RB</v>
      </c>
      <c r="F200" t="str">
        <f>E200&amp;COUNTIF(E$1:E200,E200)</f>
        <v>RB61</v>
      </c>
      <c r="G200">
        <f t="shared" si="44"/>
        <v>0</v>
      </c>
      <c r="H200">
        <f t="shared" si="45"/>
        <v>-34</v>
      </c>
      <c r="I200" t="str">
        <f t="shared" si="46"/>
        <v>RB62-200</v>
      </c>
      <c r="J200" t="str">
        <f t="shared" si="47"/>
        <v>RB46-78</v>
      </c>
      <c r="K200" s="2">
        <f>INDEX('ROS Proj'!$T$2:$T$561,$B200)</f>
        <v>4.5671428571428576</v>
      </c>
      <c r="L200" s="23">
        <f>INDEX('ROS Proj'!$AL$2:$AL$561,$B200)</f>
        <v>7</v>
      </c>
      <c r="M200" s="2">
        <f>SQRT(IF(E200="K",SUMIFS('K Proj'!$P$2:$P$508,'K Proj'!$B$2:$B$508,$C200,'K Proj'!$A$2:$A$508,"&gt;"&amp;Week,'K Proj'!$A$2:$A$508,"&lt;=13"),IF(E200="D",SUMIFS('D Proj'!$N$2:$N$513,'D Proj'!$B$2:$B$513,$C200,'D Proj'!$A$2:$A$513,"&gt;"&amp;Week,'D Proj'!$A$2:$A$513,"&lt;=13"),SUMIFS('F Proj'!$J$2:$J$7669,'F Proj'!$B$2:$B$7669,$C200,'F Proj'!$A$2:$A$7669,"&gt;"&amp;Week,'F Proj'!$A$2:$A$7669,"&lt;=13"))))</f>
        <v>12.142157963064061</v>
      </c>
      <c r="N200" s="2">
        <f t="shared" si="48"/>
        <v>2.658589482059694</v>
      </c>
      <c r="O200" s="2">
        <f t="shared" si="52"/>
        <v>2.8325488624194199</v>
      </c>
      <c r="P200" s="2">
        <f t="shared" si="53"/>
        <v>6.3017368518662948</v>
      </c>
      <c r="Q200" s="2">
        <f>K200-VLOOKUP($E200,Scores!$AG$1:$AM$7,7,FALSE)</f>
        <v>-1.3014285714285716</v>
      </c>
      <c r="R200" s="2">
        <f>O200-VLOOKUP($E200,Scores!$AG$1:$AM$7,7,FALSE)</f>
        <v>-3.0360225661520093</v>
      </c>
      <c r="S200" s="2">
        <f>P200-VLOOKUP($E200,Scores!$AG$1:$AM$7,7,FALSE)</f>
        <v>0.43316542329486563</v>
      </c>
      <c r="T200">
        <f t="shared" si="49"/>
        <v>200</v>
      </c>
      <c r="U200" s="23">
        <f t="shared" si="50"/>
        <v>78</v>
      </c>
      <c r="V200">
        <f t="shared" si="42"/>
        <v>62</v>
      </c>
      <c r="W200">
        <f t="shared" si="43"/>
        <v>46</v>
      </c>
      <c r="X200" t="str">
        <f>D200&amp;COUNTIF(D$1:D200,D200)</f>
        <v>FA67</v>
      </c>
      <c r="Y200" t="str">
        <f>D200&amp;E200&amp;COUNTIFS(D$1:D200,D200,E$1:E200,E200)</f>
        <v>FARB15</v>
      </c>
      <c r="Z200" t="s">
        <v>210</v>
      </c>
      <c r="AA200" t="s">
        <v>1404</v>
      </c>
    </row>
    <row r="201" spans="1:27" x14ac:dyDescent="0.25">
      <c r="A201">
        <f t="shared" si="51"/>
        <v>200</v>
      </c>
      <c r="B201">
        <f>MATCH(A201,'ROS Proj'!$AI$2:$AI$561,0)</f>
        <v>116</v>
      </c>
      <c r="C201" t="str">
        <f>INDEX('ROS Proj'!$A$2:$A$561,$B201)</f>
        <v>D'Onta Foreman</v>
      </c>
      <c r="D201" t="str">
        <f>IFERROR(INDEX(Rosters!$C$2:$C$155,MATCH($C201,Rosters!$B$2:$B$155,0)),"FA")</f>
        <v>FA</v>
      </c>
      <c r="E201" t="str">
        <f>INDEX('ROS Proj'!$B$2:$B$561,$B201)</f>
        <v>RB</v>
      </c>
      <c r="F201" t="str">
        <f>E201&amp;COUNTIF(E$1:E201,E201)</f>
        <v>RB62</v>
      </c>
      <c r="G201">
        <f t="shared" si="44"/>
        <v>0</v>
      </c>
      <c r="H201">
        <f t="shared" si="45"/>
        <v>1</v>
      </c>
      <c r="I201" t="str">
        <f t="shared" si="46"/>
        <v>RB62-200</v>
      </c>
      <c r="J201" t="str">
        <f t="shared" si="47"/>
        <v>RB49-94</v>
      </c>
      <c r="K201" s="2">
        <f>INDEX('ROS Proj'!$T$2:$T$561,$B201)</f>
        <v>4.5385714285714291</v>
      </c>
      <c r="L201" s="23">
        <f>INDEX('ROS Proj'!$AL$2:$AL$561,$B201)</f>
        <v>7</v>
      </c>
      <c r="M201" s="2">
        <f>SQRT(IF(E201="K",SUMIFS('K Proj'!$P$2:$P$508,'K Proj'!$B$2:$B$508,$C201,'K Proj'!$A$2:$A$508,"&gt;"&amp;Week,'K Proj'!$A$2:$A$508,"&lt;=13"),IF(E201="D",SUMIFS('D Proj'!$N$2:$N$513,'D Proj'!$B$2:$B$513,$C201,'D Proj'!$A$2:$A$513,"&gt;"&amp;Week,'D Proj'!$A$2:$A$513,"&lt;=13"),SUMIFS('F Proj'!$J$2:$J$7669,'F Proj'!$B$2:$B$7669,$C201,'F Proj'!$A$2:$A$7669,"&gt;"&amp;Week,'F Proj'!$A$2:$A$7669,"&lt;=13"))))</f>
        <v>9.2712242988722906</v>
      </c>
      <c r="N201" s="2">
        <f t="shared" si="48"/>
        <v>2.0427626720839163</v>
      </c>
      <c r="O201" s="2">
        <f t="shared" si="52"/>
        <v>3.214110814446816</v>
      </c>
      <c r="P201" s="2">
        <f t="shared" si="53"/>
        <v>5.8630320426960418</v>
      </c>
      <c r="Q201" s="2">
        <f>K201-VLOOKUP($E201,Scores!$AG$1:$AM$7,7,FALSE)</f>
        <v>-1.33</v>
      </c>
      <c r="R201" s="2">
        <f>O201-VLOOKUP($E201,Scores!$AG$1:$AM$7,7,FALSE)</f>
        <v>-2.6544606141246132</v>
      </c>
      <c r="S201" s="2">
        <f>P201-VLOOKUP($E201,Scores!$AG$1:$AM$7,7,FALSE)</f>
        <v>-5.5393858753873815E-3</v>
      </c>
      <c r="T201">
        <f t="shared" si="49"/>
        <v>200</v>
      </c>
      <c r="U201" s="23">
        <f t="shared" si="50"/>
        <v>94</v>
      </c>
      <c r="V201">
        <f t="shared" si="42"/>
        <v>62</v>
      </c>
      <c r="W201">
        <f t="shared" si="43"/>
        <v>49</v>
      </c>
      <c r="X201" t="str">
        <f>D201&amp;COUNTIF(D$1:D201,D201)</f>
        <v>FA68</v>
      </c>
      <c r="Y201" t="str">
        <f>D201&amp;E201&amp;COUNTIFS(D$1:D201,D201,E$1:E201,E201)</f>
        <v>FARB16</v>
      </c>
      <c r="Z201" t="s">
        <v>79</v>
      </c>
      <c r="AA201" t="s">
        <v>260</v>
      </c>
    </row>
  </sheetData>
  <autoFilter ref="A1:AA201"/>
  <conditionalFormatting sqref="D2:D201">
    <cfRule type="containsText" dxfId="20" priority="3" operator="containsText" text="FA">
      <formula>NOT(ISERROR(SEARCH("FA",D2)))</formula>
    </cfRule>
    <cfRule type="containsText" dxfId="19" priority="4" operator="containsText" text="aj">
      <formula>NOT(ISERROR(SEARCH("aj",D2)))</formula>
    </cfRule>
  </conditionalFormatting>
  <conditionalFormatting sqref="N2:N201">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Check Box 1">
              <controlPr defaultSize="0" autoFill="0" autoLine="0" autoPict="0">
                <anchor moveWithCells="1">
                  <from>
                    <xdr:col>2</xdr:col>
                    <xdr:colOff>590550</xdr:colOff>
                    <xdr:row>0</xdr:row>
                    <xdr:rowOff>9525</xdr:rowOff>
                  </from>
                  <to>
                    <xdr:col>2</xdr:col>
                    <xdr:colOff>800100</xdr:colOff>
                    <xdr:row>1</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 id="{D0A73A8A-754F-455E-9234-F1954F4407E7}">
            <x14:iconSet iconSet="3Triangles">
              <x14:cfvo type="percent">
                <xm:f>0</xm:f>
              </x14:cfvo>
              <x14:cfvo type="num">
                <xm:f>0</xm:f>
              </x14:cfvo>
              <x14:cfvo type="num" gte="0">
                <xm:f>0</xm:f>
              </x14:cfvo>
            </x14:iconSet>
          </x14:cfRule>
          <xm:sqref>G2:H201</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I561"/>
  <sheetViews>
    <sheetView topLeftCell="A439" workbookViewId="0">
      <selection activeCell="I447" sqref="I447"/>
    </sheetView>
  </sheetViews>
  <sheetFormatPr defaultRowHeight="15" x14ac:dyDescent="0.25"/>
  <cols>
    <col min="1" max="1" width="24.28515625" bestFit="1" customWidth="1"/>
    <col min="2" max="2" width="4.140625" customWidth="1"/>
    <col min="3" max="11" width="6" bestFit="1" customWidth="1"/>
    <col min="12" max="17" width="6" customWidth="1"/>
    <col min="18" max="18" width="6" bestFit="1" customWidth="1"/>
    <col min="19" max="19" width="6" customWidth="1"/>
    <col min="20" max="20" width="4.5703125" customWidth="1"/>
    <col min="21" max="24" width="4.5703125" bestFit="1" customWidth="1"/>
    <col min="25" max="26" width="3.5703125" bestFit="1" customWidth="1"/>
    <col min="27" max="28" width="8.85546875" customWidth="1"/>
    <col min="29" max="29" width="9.5703125" customWidth="1"/>
    <col min="30" max="30" width="10.85546875" customWidth="1"/>
    <col min="31" max="31" width="13.7109375" bestFit="1" customWidth="1"/>
    <col min="32" max="32" width="8.85546875" customWidth="1"/>
    <col min="33" max="33" width="9.5703125" customWidth="1"/>
    <col min="34" max="34" width="10.85546875" customWidth="1"/>
    <col min="35" max="35" width="13.7109375" bestFit="1" customWidth="1"/>
    <col min="36" max="36" width="6.28515625" bestFit="1" customWidth="1"/>
    <col min="37" max="37" width="11.5703125" customWidth="1"/>
    <col min="38" max="38" width="7" customWidth="1"/>
  </cols>
  <sheetData>
    <row r="1" spans="1:61" x14ac:dyDescent="0.25">
      <c r="A1" t="s">
        <v>0</v>
      </c>
      <c r="B1" t="s">
        <v>498</v>
      </c>
      <c r="C1" t="s">
        <v>753</v>
      </c>
      <c r="D1" t="s">
        <v>754</v>
      </c>
      <c r="E1" t="s">
        <v>755</v>
      </c>
      <c r="F1" t="s">
        <v>756</v>
      </c>
      <c r="G1" t="s">
        <v>757</v>
      </c>
      <c r="H1" t="s">
        <v>758</v>
      </c>
      <c r="I1" t="s">
        <v>759</v>
      </c>
      <c r="J1" t="s">
        <v>760</v>
      </c>
      <c r="K1" t="s">
        <v>761</v>
      </c>
      <c r="L1" t="s">
        <v>762</v>
      </c>
      <c r="M1" t="s">
        <v>763</v>
      </c>
      <c r="N1" t="s">
        <v>764</v>
      </c>
      <c r="O1" t="s">
        <v>765</v>
      </c>
      <c r="P1" t="s">
        <v>766</v>
      </c>
      <c r="Q1" t="s">
        <v>767</v>
      </c>
      <c r="R1" t="s">
        <v>768</v>
      </c>
      <c r="S1" t="s">
        <v>769</v>
      </c>
      <c r="T1" t="s">
        <v>772</v>
      </c>
      <c r="U1" t="s">
        <v>15</v>
      </c>
      <c r="V1" t="s">
        <v>47</v>
      </c>
      <c r="W1" t="s">
        <v>87</v>
      </c>
      <c r="X1" t="s">
        <v>114</v>
      </c>
      <c r="Y1" t="s">
        <v>770</v>
      </c>
      <c r="Z1" t="s">
        <v>478</v>
      </c>
      <c r="AA1" t="s">
        <v>771</v>
      </c>
      <c r="AB1" t="s">
        <v>774</v>
      </c>
      <c r="AC1" t="s">
        <v>775</v>
      </c>
      <c r="AD1" t="s">
        <v>776</v>
      </c>
      <c r="AE1" t="s">
        <v>3924</v>
      </c>
      <c r="AF1" t="s">
        <v>774</v>
      </c>
      <c r="AG1" t="s">
        <v>775</v>
      </c>
      <c r="AH1" t="s">
        <v>776</v>
      </c>
      <c r="AI1" t="s">
        <v>3924</v>
      </c>
      <c r="AJ1" t="s">
        <v>778</v>
      </c>
      <c r="AK1" t="s">
        <v>779</v>
      </c>
      <c r="AL1" t="s">
        <v>782</v>
      </c>
      <c r="AO1" t="s">
        <v>498</v>
      </c>
      <c r="AP1" t="s">
        <v>3916</v>
      </c>
      <c r="AQ1" t="s">
        <v>3903</v>
      </c>
      <c r="AR1" t="s">
        <v>3904</v>
      </c>
      <c r="AS1" t="s">
        <v>3905</v>
      </c>
      <c r="AT1" t="s">
        <v>3906</v>
      </c>
      <c r="AU1" t="s">
        <v>3907</v>
      </c>
      <c r="AV1" t="s">
        <v>3908</v>
      </c>
      <c r="AW1" t="s">
        <v>3909</v>
      </c>
      <c r="AX1" t="s">
        <v>3910</v>
      </c>
      <c r="AY1" t="s">
        <v>3911</v>
      </c>
      <c r="AZ1" t="s">
        <v>3912</v>
      </c>
      <c r="BA1" t="s">
        <v>3913</v>
      </c>
      <c r="BB1" t="s">
        <v>3914</v>
      </c>
      <c r="BC1" t="s">
        <v>3915</v>
      </c>
      <c r="BD1" t="s">
        <v>3920</v>
      </c>
      <c r="BE1" t="s">
        <v>3921</v>
      </c>
      <c r="BF1" t="s">
        <v>3922</v>
      </c>
      <c r="BG1" t="s">
        <v>3923</v>
      </c>
      <c r="BH1" t="s">
        <v>3919</v>
      </c>
      <c r="BI1" t="s">
        <v>3918</v>
      </c>
    </row>
    <row r="2" spans="1:61" x14ac:dyDescent="0.25">
      <c r="A2" t="s">
        <v>286</v>
      </c>
      <c r="B2" t="s">
        <v>114</v>
      </c>
      <c r="C2">
        <v>1.73</v>
      </c>
      <c r="D2">
        <v>1.73</v>
      </c>
      <c r="E2">
        <v>2.65</v>
      </c>
      <c r="F2">
        <v>0</v>
      </c>
      <c r="G2">
        <v>2.0099999999999998</v>
      </c>
      <c r="H2">
        <v>1.46</v>
      </c>
      <c r="I2">
        <v>1.9</v>
      </c>
      <c r="J2">
        <v>2.15</v>
      </c>
      <c r="K2">
        <v>1.53</v>
      </c>
      <c r="L2">
        <v>2.1</v>
      </c>
      <c r="M2" t="s">
        <v>64</v>
      </c>
      <c r="N2">
        <v>1.85</v>
      </c>
      <c r="O2">
        <v>2.37</v>
      </c>
      <c r="P2">
        <v>2.5</v>
      </c>
      <c r="Q2">
        <v>1.76</v>
      </c>
      <c r="R2">
        <v>2.02</v>
      </c>
      <c r="S2">
        <v>2.25</v>
      </c>
      <c r="T2" s="2">
        <f>IF('ROS Rankings'!$AD$1,IFERROR(AVERAGE(INDEX($C2:$S2,14):INDEX($C2:$S2,17)),0),IFERROR(AVERAGE(INDEX($C2:$S2,Week+1):INDEX($C2:$S2,13)),0))</f>
        <v>1.9085714285714286</v>
      </c>
      <c r="U2" s="2" t="str">
        <f t="shared" ref="U2:Z44" si="0">IF($B2=U$1,$T2,"")</f>
        <v/>
      </c>
      <c r="V2" s="2" t="str">
        <f t="shared" si="0"/>
        <v/>
      </c>
      <c r="W2" s="2" t="str">
        <f t="shared" si="0"/>
        <v/>
      </c>
      <c r="X2" s="2">
        <f t="shared" si="0"/>
        <v>1.9085714285714286</v>
      </c>
      <c r="Y2" s="2" t="str">
        <f t="shared" si="0"/>
        <v/>
      </c>
      <c r="Z2" s="2" t="str">
        <f t="shared" si="0"/>
        <v/>
      </c>
      <c r="AA2" s="23" t="str">
        <f>$B2&amp;_xlfn.RANK.EQ($T2,INDEX($U$2:$Z$561,,MATCH($B2,$U$1:$Z$1,0)),0)</f>
        <v>TE53</v>
      </c>
      <c r="AB2" s="2">
        <f>$T2-VLOOKUP($B2,Scores!$AG$1:$AM$7,5,FALSE)</f>
        <v>-5.090178571428571</v>
      </c>
      <c r="AC2" s="2">
        <f>$T2-VLOOKUP($B2,Scores!$AG$1:$AM$7,6,FALSE)</f>
        <v>-3.3414285714285716</v>
      </c>
      <c r="AD2" s="2">
        <f>$T2-VLOOKUP($B2,Scores!$AG$1:$AM$7,7,FALSE)+(ROW(A1)/1000000)</f>
        <v>-3.2714275714285712</v>
      </c>
      <c r="AE2" s="2">
        <f t="array" ref="AE2">IF('ROS Rankings'!$AD$1,IFERROR(AVERAGE(IF(INDEX($C2:$S2,14):INDEX($C2:$S2,17)="NA",0,INDEX($C2:$S2,14):INDEX($C2:$S2,17))-INDEX($AQ$2:$BG$7,MATCH($B2,$AO$2:$AO$7,0),14):INDEX($AQ$2:$BG$7,MATCH($B2,$AO$2:$AO$7,0),17)),0),IFERROR(AVERAGE(IF(INDEX($C2:$S2,Week+1):INDEX($C2:$S2,13)="NA",0,INDEX($C2:$S2,Week+1):INDEX($C2:$S2,13))-INDEX($AQ$2:$BG$7,MATCH($B2,$AO$2:$AO$7,0),Week+1):INDEX($AQ$2:$BG$7,MATCH($B2,$AO$2:$AO$7,0),13)),0))+ROW(A1)/1000000</f>
        <v>-3.4274989999999992</v>
      </c>
      <c r="AF2">
        <f>_xlfn.RANK.EQ(AB2,AB$2:AB$561,0)</f>
        <v>238</v>
      </c>
      <c r="AG2">
        <f>_xlfn.RANK.EQ(AC2,AC$2:AC$561,0)</f>
        <v>261</v>
      </c>
      <c r="AH2">
        <f>_xlfn.RANK.EQ(AD2,AD$2:AD$561,0)</f>
        <v>315</v>
      </c>
      <c r="AI2">
        <f>_xlfn.RANK.EQ(AE2,AE$2:AE$561,0)</f>
        <v>316</v>
      </c>
      <c r="AJ2" s="22">
        <f>IF(ISERROR(MATCH(A2,Rosters!$B$2:$B$155,0)),AD2,"")</f>
        <v>-3.2714275714285712</v>
      </c>
      <c r="AK2">
        <f>IFERROR(_xlfn.RANK.EQ(AJ2,$AJ$2:$AJ$561,0),"")</f>
        <v>165</v>
      </c>
      <c r="AL2" s="23">
        <f>COUNTIF(INDEX($C2:$S2,Week+1):INDEX($C2:$S2,13),"&gt;0")</f>
        <v>7</v>
      </c>
      <c r="AO2" t="s">
        <v>15</v>
      </c>
      <c r="AP2">
        <f>Scores!AJ2</f>
        <v>14</v>
      </c>
      <c r="AQ2">
        <f t="array" ref="AQ2">LARGE(IF($B$2:$B$561=$AO2,C$2:C$561,0),$AP2)</f>
        <v>16.579999999999998</v>
      </c>
      <c r="AR2">
        <f t="array" ref="AR2">LARGE(IF($B$2:$B$561=$AO2,D$2:D$561,0),$AP2)</f>
        <v>17.079999999999998</v>
      </c>
      <c r="AS2">
        <f t="array" ref="AS2">LARGE(IF($B$2:$B$561=$AO2,E$2:E$561,0),$AP2)</f>
        <v>17.54</v>
      </c>
      <c r="AT2">
        <f t="array" ref="AT2">LARGE(IF($B$2:$B$561=$AO2,F$2:F$561,0),$AP2)</f>
        <v>18.16</v>
      </c>
      <c r="AU2">
        <f t="array" ref="AU2">LARGE(IF($B$2:$B$561=$AO2,G$2:G$561,0),$AP2)</f>
        <v>19.18</v>
      </c>
      <c r="AV2">
        <f t="array" ref="AV2">LARGE(IF($B$2:$B$561=$AO2,H$2:H$561,0),$AP2)</f>
        <v>19.27</v>
      </c>
      <c r="AW2">
        <f t="array" ref="AW2">LARGE(IF($B$2:$B$561=$AO2,I$2:I$561,0),$AP2)</f>
        <v>17.68</v>
      </c>
      <c r="AX2">
        <f t="array" ref="AX2">LARGE(IF($B$2:$B$561=$AO2,J$2:J$561,0),$AP2)</f>
        <v>18.61</v>
      </c>
      <c r="AY2">
        <f t="array" ref="AY2">LARGE(IF($B$2:$B$561=$AO2,K$2:K$561,0),$AP2)</f>
        <v>18.079999999999998</v>
      </c>
      <c r="AZ2">
        <f t="array" ref="AZ2">LARGE(IF($B$2:$B$561=$AO2,L$2:L$561,0),$AP2)</f>
        <v>17.940000000000001</v>
      </c>
      <c r="BA2">
        <f t="array" ref="BA2">LARGE(IF($B$2:$B$561=$AO2,M$2:M$561,0),$AP2)</f>
        <v>18.53</v>
      </c>
      <c r="BB2">
        <f t="array" ref="BB2">LARGE(IF($B$2:$B$561=$AO2,N$2:N$561,0),$AP2)</f>
        <v>18.510000000000002</v>
      </c>
      <c r="BC2">
        <f t="array" ref="BC2">LARGE(IF($B$2:$B$561=$AO2,O$2:O$561,0),$AP2)</f>
        <v>19.399999999999999</v>
      </c>
      <c r="BD2">
        <f t="array" ref="BD2">LARGE(IF($B$2:$B$561=$AO2,P$2:P$561,0),$AP2)</f>
        <v>19.77</v>
      </c>
      <c r="BE2">
        <f t="array" ref="BE2">LARGE(IF($B$2:$B$561=$AO2,Q$2:Q$561,0),$AP2)</f>
        <v>18.38</v>
      </c>
      <c r="BF2">
        <f t="array" ref="BF2">LARGE(IF($B$2:$B$561=$AO2,R$2:R$561,0),$AP2)</f>
        <v>18.73</v>
      </c>
      <c r="BG2">
        <f t="array" ref="BG2">LARGE(IF($B$2:$B$561=$AO2,S$2:S$561,0),$AP2)</f>
        <v>18.53</v>
      </c>
      <c r="BH2" s="2">
        <f>AVERAGE(INDEX($AQ2:$BC2,Week+1):INDEX($AQ2:$BC2,13))</f>
        <v>18.502500000000001</v>
      </c>
      <c r="BI2" s="2">
        <f>Scores!AM2</f>
        <v>19.499999999999996</v>
      </c>
    </row>
    <row r="3" spans="1:61" x14ac:dyDescent="0.25">
      <c r="A3" t="s">
        <v>104</v>
      </c>
      <c r="B3" t="s">
        <v>87</v>
      </c>
      <c r="C3">
        <v>12.65</v>
      </c>
      <c r="D3">
        <v>10.69</v>
      </c>
      <c r="E3">
        <v>11.96</v>
      </c>
      <c r="F3">
        <v>9.6</v>
      </c>
      <c r="G3">
        <v>11.17</v>
      </c>
      <c r="H3">
        <v>9.6</v>
      </c>
      <c r="I3">
        <v>11.13</v>
      </c>
      <c r="J3">
        <v>12.59</v>
      </c>
      <c r="K3" t="s">
        <v>64</v>
      </c>
      <c r="L3">
        <v>10.37</v>
      </c>
      <c r="M3">
        <v>11.09</v>
      </c>
      <c r="N3">
        <v>10.34</v>
      </c>
      <c r="O3">
        <v>10.49</v>
      </c>
      <c r="P3">
        <v>9.99</v>
      </c>
      <c r="Q3">
        <v>12.2</v>
      </c>
      <c r="R3">
        <v>9.9600000000000009</v>
      </c>
      <c r="S3">
        <v>9.2899999999999991</v>
      </c>
      <c r="T3" s="2">
        <f>IF('ROS Rankings'!$AD$1,IFERROR(AVERAGE(INDEX($C3:$S3,14):INDEX($C3:$S3,17)),0),IFERROR(AVERAGE(INDEX($C3:$S3,Week+1):INDEX($C3:$S3,13)),0))</f>
        <v>10.801428571428572</v>
      </c>
      <c r="U3" s="2" t="str">
        <f t="shared" si="0"/>
        <v/>
      </c>
      <c r="V3" s="2" t="str">
        <f t="shared" si="0"/>
        <v/>
      </c>
      <c r="W3" s="2">
        <f t="shared" si="0"/>
        <v>10.801428571428572</v>
      </c>
      <c r="X3" s="2" t="str">
        <f t="shared" si="0"/>
        <v/>
      </c>
      <c r="Y3" s="2" t="str">
        <f t="shared" si="0"/>
        <v/>
      </c>
      <c r="Z3" s="2" t="str">
        <f t="shared" si="0"/>
        <v/>
      </c>
      <c r="AA3" s="23" t="str">
        <f t="shared" ref="AA3:AA66" si="1">$B3&amp;_xlfn.RANK.EQ($T3,INDEX($U$2:$Z$561,,MATCH($B3,$U$1:$Z$1,0)),0)</f>
        <v>WR14</v>
      </c>
      <c r="AB3" s="2">
        <f>$T3-VLOOKUP($B3,Scores!$AG$1:$AM$7,5,FALSE)</f>
        <v>0.43000000000000149</v>
      </c>
      <c r="AC3" s="2">
        <f>$T3-VLOOKUP($B3,Scores!$AG$1:$AM$7,6,FALSE)</f>
        <v>2.7699999999999996</v>
      </c>
      <c r="AD3" s="2">
        <f>$T3-VLOOKUP($B3,Scores!$AG$1:$AM$7,7,FALSE)+(ROW(A2)/1000000)</f>
        <v>4.7485734285714294</v>
      </c>
      <c r="AE3" s="2">
        <f t="array" ref="AE3">IF('ROS Rankings'!$AD$1,IFERROR(AVERAGE(IF(INDEX($C3:$S3,14):INDEX($C3:$S3,17)="NA",0,INDEX($C3:$S3,14):INDEX($C3:$S3,17))-INDEX($AQ$2:$BG$7,MATCH($B3,$AO$2:$AO$7,0),14):INDEX($AQ$2:$BG$7,MATCH($B3,$AO$2:$AO$7,0),17)),0),IFERROR(AVERAGE(IF(INDEX($C3:$S3,Week+1):INDEX($C3:$S3,13)="NA",0,INDEX($C3:$S3,Week+1):INDEX($C3:$S3,13))-INDEX($AQ$2:$BG$7,MATCH($B3,$AO$2:$AO$7,0),Week+1):INDEX($AQ$2:$BG$7,MATCH($B3,$AO$2:$AO$7,0),13)),0))+ROW(A2)/1000000</f>
        <v>4.095002</v>
      </c>
      <c r="AF3">
        <f t="shared" ref="AF3:AF66" si="2">_xlfn.RANK.EQ(AB3,AB$2:AB$561,0)</f>
        <v>37</v>
      </c>
      <c r="AG3">
        <f t="shared" ref="AG3:AG66" si="3">_xlfn.RANK.EQ(AC3,AC$2:AC$561,0)</f>
        <v>30</v>
      </c>
      <c r="AH3">
        <f t="shared" ref="AH3:AH66" si="4">_xlfn.RANK.EQ(AD3,AD$2:AD$561,0)</f>
        <v>32</v>
      </c>
      <c r="AI3">
        <f t="shared" ref="AI3:AI66" si="5">_xlfn.RANK.EQ(AE3,AE$2:AE$561,0)</f>
        <v>30</v>
      </c>
      <c r="AJ3" s="22" t="str">
        <f>IF(ISERROR(MATCH(A3,Rosters!$B$2:$B$155,0)),AD3,"")</f>
        <v/>
      </c>
      <c r="AK3" t="str">
        <f t="shared" ref="AK3:AK66" si="6">IFERROR(_xlfn.RANK.EQ(AJ3,$AJ$2:$AJ$561,0),"")</f>
        <v/>
      </c>
      <c r="AL3" s="23">
        <f>COUNTIF(INDEX($C3:$S3,Week+1):INDEX($C3:$S3,13),"&gt;0")</f>
        <v>7</v>
      </c>
      <c r="AO3" t="s">
        <v>47</v>
      </c>
      <c r="AP3">
        <f>Scores!AJ3</f>
        <v>48</v>
      </c>
      <c r="AQ3">
        <f t="array" ref="AQ3">LARGE(IF($B$2:$B$561=$AO3,C$2:C$561,0),$AP3)</f>
        <v>4.9400000000000004</v>
      </c>
      <c r="AR3">
        <f t="array" ref="AR3">LARGE(IF($B$2:$B$561=$AO3,D$2:D$561,0),$AP3)</f>
        <v>5.43</v>
      </c>
      <c r="AS3">
        <f t="array" ref="AS3">LARGE(IF($B$2:$B$561=$AO3,E$2:E$561,0),$AP3)</f>
        <v>5.34</v>
      </c>
      <c r="AT3">
        <f t="array" ref="AT3">LARGE(IF($B$2:$B$561=$AO3,F$2:F$561,0),$AP3)</f>
        <v>4.8</v>
      </c>
      <c r="AU3">
        <f t="array" ref="AU3">LARGE(IF($B$2:$B$561=$AO3,G$2:G$561,0),$AP3)</f>
        <v>5.72</v>
      </c>
      <c r="AV3">
        <f t="array" ref="AV3">LARGE(IF($B$2:$B$561=$AO3,H$2:H$561,0),$AP3)</f>
        <v>5.39</v>
      </c>
      <c r="AW3">
        <f t="array" ref="AW3">LARGE(IF($B$2:$B$561=$AO3,I$2:I$561,0),$AP3)</f>
        <v>5.29</v>
      </c>
      <c r="AX3">
        <f t="array" ref="AX3">LARGE(IF($B$2:$B$561=$AO3,J$2:J$561,0),$AP3)</f>
        <v>5.54</v>
      </c>
      <c r="AY3">
        <f t="array" ref="AY3">LARGE(IF($B$2:$B$561=$AO3,K$2:K$561,0),$AP3)</f>
        <v>4.88</v>
      </c>
      <c r="AZ3">
        <f t="array" ref="AZ3">LARGE(IF($B$2:$B$561=$AO3,L$2:L$561,0),$AP3)</f>
        <v>5.0199999999999996</v>
      </c>
      <c r="BA3">
        <f t="array" ref="BA3">LARGE(IF($B$2:$B$561=$AO3,M$2:M$561,0),$AP3)</f>
        <v>4.76</v>
      </c>
      <c r="BB3">
        <f t="array" ref="BB3">LARGE(IF($B$2:$B$561=$AO3,N$2:N$561,0),$AP3)</f>
        <v>5.74</v>
      </c>
      <c r="BC3">
        <f t="array" ref="BC3">LARGE(IF($B$2:$B$561=$AO3,O$2:O$561,0),$AP3)</f>
        <v>6.26</v>
      </c>
      <c r="BD3">
        <f t="array" ref="BD3">LARGE(IF($B$2:$B$561=$AO3,P$2:P$561,0),$AP3)</f>
        <v>5.73</v>
      </c>
      <c r="BE3">
        <f t="array" ref="BE3">LARGE(IF($B$2:$B$561=$AO3,Q$2:Q$561,0),$AP3)</f>
        <v>5.87</v>
      </c>
      <c r="BF3">
        <f t="array" ref="BF3">LARGE(IF($B$2:$B$561=$AO3,R$2:R$561,0),$AP3)</f>
        <v>5.96</v>
      </c>
      <c r="BG3">
        <f t="array" ref="BG3">LARGE(IF($B$2:$B$561=$AO3,S$2:S$561,0),$AP3)</f>
        <v>5.79</v>
      </c>
      <c r="BH3" s="2">
        <f>AVERAGE(INDEX($AQ3:$BC3,Week+1):INDEX($AQ3:$BC3,13))</f>
        <v>5.3599999999999994</v>
      </c>
      <c r="BI3" s="2">
        <f>Scores!AM3</f>
        <v>5.8685714285714292</v>
      </c>
    </row>
    <row r="4" spans="1:61" x14ac:dyDescent="0.25">
      <c r="A4" t="s">
        <v>324</v>
      </c>
      <c r="B4" t="s">
        <v>15</v>
      </c>
      <c r="C4">
        <v>0.54</v>
      </c>
      <c r="D4">
        <v>0.5</v>
      </c>
      <c r="E4">
        <v>0.63</v>
      </c>
      <c r="F4">
        <v>0.61</v>
      </c>
      <c r="G4">
        <v>0.56999999999999995</v>
      </c>
      <c r="H4">
        <v>0.64</v>
      </c>
      <c r="I4" t="s">
        <v>64</v>
      </c>
      <c r="J4">
        <v>0.73</v>
      </c>
      <c r="K4">
        <v>0.67</v>
      </c>
      <c r="L4">
        <v>0.61</v>
      </c>
      <c r="M4">
        <v>0.55000000000000004</v>
      </c>
      <c r="N4">
        <v>0.52</v>
      </c>
      <c r="O4">
        <v>0.86</v>
      </c>
      <c r="P4">
        <v>0.66</v>
      </c>
      <c r="Q4">
        <v>0.62</v>
      </c>
      <c r="R4">
        <v>0.62</v>
      </c>
      <c r="S4">
        <v>0.81</v>
      </c>
      <c r="T4" s="2">
        <f>IF('ROS Rankings'!$AD$1,IFERROR(AVERAGE(INDEX($C4:$S4,14):INDEX($C4:$S4,17)),0),IFERROR(AVERAGE(INDEX($C4:$S4,Week+1):INDEX($C4:$S4,13)),0))</f>
        <v>0.65428571428571425</v>
      </c>
      <c r="U4" s="2">
        <f t="shared" si="0"/>
        <v>0.65428571428571425</v>
      </c>
      <c r="V4" s="2" t="str">
        <f t="shared" si="0"/>
        <v/>
      </c>
      <c r="W4" s="2" t="str">
        <f t="shared" si="0"/>
        <v/>
      </c>
      <c r="X4" s="2" t="str">
        <f t="shared" si="0"/>
        <v/>
      </c>
      <c r="Y4" s="2" t="str">
        <f t="shared" si="0"/>
        <v/>
      </c>
      <c r="Z4" s="2" t="str">
        <f t="shared" si="0"/>
        <v/>
      </c>
      <c r="AA4" s="23" t="str">
        <f t="shared" si="1"/>
        <v>QB54</v>
      </c>
      <c r="AB4" s="2">
        <f>$T4-VLOOKUP($B4,Scores!$AG$1:$AM$7,5,FALSE)</f>
        <v>-20.23</v>
      </c>
      <c r="AC4" s="2">
        <f>$T4-VLOOKUP($B4,Scores!$AG$1:$AM$7,6,FALSE)</f>
        <v>-19.249464285714286</v>
      </c>
      <c r="AD4" s="2">
        <f>$T4-VLOOKUP($B4,Scores!$AG$1:$AM$7,7,FALSE)+(ROW(A3)/1000000)</f>
        <v>-18.845711285714284</v>
      </c>
      <c r="AE4" s="2">
        <f t="array" ref="AE4">IF('ROS Rankings'!$AD$1,IFERROR(AVERAGE(IF(INDEX($C4:$S4,14):INDEX($C4:$S4,17)="NA",0,INDEX($C4:$S4,14):INDEX($C4:$S4,17))-INDEX($AQ$2:$BG$7,MATCH($B4,$AO$2:$AO$7,0),14):INDEX($AQ$2:$BG$7,MATCH($B4,$AO$2:$AO$7,0),17)),0),IFERROR(AVERAGE(IF(INDEX($C4:$S4,Week+1):INDEX($C4:$S4,13)="NA",0,INDEX($C4:$S4,Week+1):INDEX($C4:$S4,13))-INDEX($AQ$2:$BG$7,MATCH($B4,$AO$2:$AO$7,0),Week+1):INDEX($AQ$2:$BG$7,MATCH($B4,$AO$2:$AO$7,0),13)),0))+ROW(A3)/1000000</f>
        <v>-17.929997</v>
      </c>
      <c r="AF4">
        <f t="shared" si="2"/>
        <v>545</v>
      </c>
      <c r="AG4">
        <f t="shared" si="3"/>
        <v>545</v>
      </c>
      <c r="AH4">
        <f t="shared" si="4"/>
        <v>545</v>
      </c>
      <c r="AI4">
        <f t="shared" si="5"/>
        <v>545</v>
      </c>
      <c r="AJ4" s="22">
        <f>IF(ISERROR(MATCH(A4,Rosters!$B$2:$B$155,0)),AD4,"")</f>
        <v>-18.845711285714284</v>
      </c>
      <c r="AK4">
        <f t="shared" si="6"/>
        <v>392</v>
      </c>
      <c r="AL4" s="23">
        <f>COUNTIF(INDEX($C4:$S4,Week+1):INDEX($C4:$S4,13),"&gt;0")</f>
        <v>7</v>
      </c>
      <c r="AO4" t="s">
        <v>87</v>
      </c>
      <c r="AP4">
        <f>Scores!AJ4</f>
        <v>53</v>
      </c>
      <c r="AQ4">
        <f t="array" ref="AQ4">LARGE(IF($B$2:$B$561=$AO4,C$2:C$561,0),$AP4)</f>
        <v>5.15</v>
      </c>
      <c r="AR4">
        <f t="array" ref="AR4">LARGE(IF($B$2:$B$561=$AO4,D$2:D$561,0),$AP4)</f>
        <v>5.08</v>
      </c>
      <c r="AS4">
        <f t="array" ref="AS4">LARGE(IF($B$2:$B$561=$AO4,E$2:E$561,0),$AP4)</f>
        <v>5.4</v>
      </c>
      <c r="AT4">
        <f t="array" ref="AT4">LARGE(IF($B$2:$B$561=$AO4,F$2:F$561,0),$AP4)</f>
        <v>5.39</v>
      </c>
      <c r="AU4">
        <f t="array" ref="AU4">LARGE(IF($B$2:$B$561=$AO4,G$2:G$561,0),$AP4)</f>
        <v>5.75</v>
      </c>
      <c r="AV4">
        <f t="array" ref="AV4">LARGE(IF($B$2:$B$561=$AO4,H$2:H$561,0),$AP4)</f>
        <v>5.37</v>
      </c>
      <c r="AW4">
        <f t="array" ref="AW4">LARGE(IF($B$2:$B$561=$AO4,I$2:I$561,0),$AP4)</f>
        <v>4.95</v>
      </c>
      <c r="AX4">
        <f t="array" ref="AX4">LARGE(IF($B$2:$B$561=$AO4,J$2:J$561,0),$AP4)</f>
        <v>5.75</v>
      </c>
      <c r="AY4">
        <f t="array" ref="AY4">LARGE(IF($B$2:$B$561=$AO4,K$2:K$561,0),$AP4)</f>
        <v>4.8499999999999996</v>
      </c>
      <c r="AZ4">
        <f t="array" ref="AZ4">LARGE(IF($B$2:$B$561=$AO4,L$2:L$561,0),$AP4)</f>
        <v>4.96</v>
      </c>
      <c r="BA4">
        <f t="array" ref="BA4">LARGE(IF($B$2:$B$561=$AO4,M$2:M$561,0),$AP4)</f>
        <v>5.23</v>
      </c>
      <c r="BB4">
        <f t="array" ref="BB4">LARGE(IF($B$2:$B$561=$AO4,N$2:N$561,0),$AP4)</f>
        <v>5.51</v>
      </c>
      <c r="BC4">
        <f t="array" ref="BC4">LARGE(IF($B$2:$B$561=$AO4,O$2:O$561,0),$AP4)</f>
        <v>6.23</v>
      </c>
      <c r="BD4">
        <f t="array" ref="BD4">LARGE(IF($B$2:$B$561=$AO4,P$2:P$561,0),$AP4)</f>
        <v>6.29</v>
      </c>
      <c r="BE4">
        <f t="array" ref="BE4">LARGE(IF($B$2:$B$561=$AO4,Q$2:Q$561,0),$AP4)</f>
        <v>5.84</v>
      </c>
      <c r="BF4">
        <f t="array" ref="BF4">LARGE(IF($B$2:$B$561=$AO4,R$2:R$561,0),$AP4)</f>
        <v>5.91</v>
      </c>
      <c r="BG4">
        <f t="array" ref="BG4">LARGE(IF($B$2:$B$561=$AO4,S$2:S$561,0),$AP4)</f>
        <v>5.96</v>
      </c>
      <c r="BH4" s="2">
        <f>AVERAGE(INDEX($AQ4:$BC4,Week+1):INDEX($AQ4:$BC4,13))</f>
        <v>5.3562500000000011</v>
      </c>
      <c r="BI4" s="2">
        <f>Scores!AM4</f>
        <v>6.0528571428571425</v>
      </c>
    </row>
    <row r="5" spans="1:61" x14ac:dyDescent="0.25">
      <c r="A5" t="s">
        <v>281</v>
      </c>
      <c r="B5" t="s">
        <v>47</v>
      </c>
      <c r="C5">
        <v>0</v>
      </c>
      <c r="D5">
        <v>0</v>
      </c>
      <c r="E5">
        <v>5.42</v>
      </c>
      <c r="F5">
        <v>5.58</v>
      </c>
      <c r="G5">
        <v>8.76</v>
      </c>
      <c r="H5">
        <v>8.2799999999999994</v>
      </c>
      <c r="I5" t="s">
        <v>64</v>
      </c>
      <c r="J5">
        <v>6.04</v>
      </c>
      <c r="K5">
        <v>6.91</v>
      </c>
      <c r="L5">
        <v>8.0500000000000007</v>
      </c>
      <c r="M5">
        <v>5.74</v>
      </c>
      <c r="N5">
        <v>5.84</v>
      </c>
      <c r="O5">
        <v>6.24</v>
      </c>
      <c r="P5">
        <v>8.36</v>
      </c>
      <c r="Q5">
        <v>5.54</v>
      </c>
      <c r="R5">
        <v>5.67</v>
      </c>
      <c r="S5">
        <v>8.0399999999999991</v>
      </c>
      <c r="T5" s="2">
        <f>IF('ROS Rankings'!$AD$1,IFERROR(AVERAGE(INDEX($C5:$S5,14):INDEX($C5:$S5,17)),0),IFERROR(AVERAGE(INDEX($C5:$S5,Week+1):INDEX($C5:$S5,13)),0))</f>
        <v>6.7285714285714286</v>
      </c>
      <c r="U5" s="2" t="str">
        <f t="shared" si="0"/>
        <v/>
      </c>
      <c r="V5" s="2">
        <f t="shared" si="0"/>
        <v>6.7285714285714286</v>
      </c>
      <c r="W5" s="2" t="str">
        <f t="shared" si="0"/>
        <v/>
      </c>
      <c r="X5" s="2" t="str">
        <f t="shared" si="0"/>
        <v/>
      </c>
      <c r="Y5" s="2" t="str">
        <f t="shared" si="0"/>
        <v/>
      </c>
      <c r="Z5" s="2" t="str">
        <f t="shared" si="0"/>
        <v/>
      </c>
      <c r="AA5" s="23" t="str">
        <f t="shared" si="1"/>
        <v>RB38</v>
      </c>
      <c r="AB5" s="2">
        <f>$T5-VLOOKUP($B5,Scores!$AG$1:$AM$7,5,FALSE)</f>
        <v>-5.03</v>
      </c>
      <c r="AC5" s="2">
        <f>$T5-VLOOKUP($B5,Scores!$AG$1:$AM$7,6,FALSE)</f>
        <v>-1.5414285714285727</v>
      </c>
      <c r="AD5" s="2">
        <f>$T5-VLOOKUP($B5,Scores!$AG$1:$AM$7,7,FALSE)+(ROW(A4)/1000000)</f>
        <v>0.86000399999999944</v>
      </c>
      <c r="AE5" s="2">
        <f t="array" ref="AE5">IF('ROS Rankings'!$AD$1,IFERROR(AVERAGE(IF(INDEX($C5:$S5,14):INDEX($C5:$S5,17)="NA",0,INDEX($C5:$S5,14):INDEX($C5:$S5,17))-INDEX($AQ$2:$BG$7,MATCH($B5,$AO$2:$AO$7,0),14):INDEX($AQ$2:$BG$7,MATCH($B5,$AO$2:$AO$7,0),17)),0),IFERROR(AVERAGE(IF(INDEX($C5:$S5,Week+1):INDEX($C5:$S5,13)="NA",0,INDEX($C5:$S5,Week+1):INDEX($C5:$S5,13))-INDEX($AQ$2:$BG$7,MATCH($B5,$AO$2:$AO$7,0),Week+1):INDEX($AQ$2:$BG$7,MATCH($B5,$AO$2:$AO$7,0),13)),0))+ROW(A4)/1000000</f>
        <v>0.52750400000000019</v>
      </c>
      <c r="AF5">
        <f t="shared" si="2"/>
        <v>237</v>
      </c>
      <c r="AG5">
        <f t="shared" si="3"/>
        <v>182</v>
      </c>
      <c r="AH5">
        <f t="shared" si="4"/>
        <v>104</v>
      </c>
      <c r="AI5">
        <f t="shared" si="5"/>
        <v>101</v>
      </c>
      <c r="AJ5" s="22" t="str">
        <f>IF(ISERROR(MATCH(A5,Rosters!$B$2:$B$155,0)),AD5,"")</f>
        <v/>
      </c>
      <c r="AK5" t="str">
        <f t="shared" si="6"/>
        <v/>
      </c>
      <c r="AL5" s="23">
        <f>COUNTIF(INDEX($C5:$S5,Week+1):INDEX($C5:$S5,13),"&gt;0")</f>
        <v>7</v>
      </c>
      <c r="AO5" t="s">
        <v>114</v>
      </c>
      <c r="AP5">
        <f>Scores!AJ5</f>
        <v>13</v>
      </c>
      <c r="AQ5">
        <f t="array" ref="AQ5">LARGE(IF($B$2:$B$561=$AO5,C$2:C$561,0),$AP5)</f>
        <v>4.59</v>
      </c>
      <c r="AR5">
        <f t="array" ref="AR5">LARGE(IF($B$2:$B$561=$AO5,D$2:D$561,0),$AP5)</f>
        <v>5.12</v>
      </c>
      <c r="AS5">
        <f t="array" ref="AS5">LARGE(IF($B$2:$B$561=$AO5,E$2:E$561,0),$AP5)</f>
        <v>4.9800000000000004</v>
      </c>
      <c r="AT5">
        <f t="array" ref="AT5">LARGE(IF($B$2:$B$561=$AO5,F$2:F$561,0),$AP5)</f>
        <v>4.54</v>
      </c>
      <c r="AU5">
        <f t="array" ref="AU5">LARGE(IF($B$2:$B$561=$AO5,G$2:G$561,0),$AP5)</f>
        <v>4.7</v>
      </c>
      <c r="AV5">
        <f t="array" ref="AV5">LARGE(IF($B$2:$B$561=$AO5,H$2:H$561,0),$AP5)</f>
        <v>5.52</v>
      </c>
      <c r="AW5">
        <f t="array" ref="AW5">LARGE(IF($B$2:$B$561=$AO5,I$2:I$561,0),$AP5)</f>
        <v>4.5199999999999996</v>
      </c>
      <c r="AX5">
        <f t="array" ref="AX5">LARGE(IF($B$2:$B$561=$AO5,J$2:J$561,0),$AP5)</f>
        <v>5.66</v>
      </c>
      <c r="AY5">
        <f t="array" ref="AY5">LARGE(IF($B$2:$B$561=$AO5,K$2:K$561,0),$AP5)</f>
        <v>4.6399999999999997</v>
      </c>
      <c r="AZ5">
        <f t="array" ref="AZ5">LARGE(IF($B$2:$B$561=$AO5,L$2:L$561,0),$AP5)</f>
        <v>4.8600000000000003</v>
      </c>
      <c r="BA5">
        <f t="array" ref="BA5">LARGE(IF($B$2:$B$561=$AO5,M$2:M$561,0),$AP5)</f>
        <v>5.17</v>
      </c>
      <c r="BB5">
        <f t="array" ref="BB5">LARGE(IF($B$2:$B$561=$AO5,N$2:N$561,0),$AP5)</f>
        <v>5.43</v>
      </c>
      <c r="BC5">
        <f t="array" ref="BC5">LARGE(IF($B$2:$B$561=$AO5,O$2:O$561,0),$AP5)</f>
        <v>4.9800000000000004</v>
      </c>
      <c r="BD5">
        <f t="array" ref="BD5">LARGE(IF($B$2:$B$561=$AO5,P$2:P$561,0),$AP5)</f>
        <v>5.2</v>
      </c>
      <c r="BE5">
        <f t="array" ref="BE5">LARGE(IF($B$2:$B$561=$AO5,Q$2:Q$561,0),$AP5)</f>
        <v>5.09</v>
      </c>
      <c r="BF5">
        <f t="array" ref="BF5">LARGE(IF($B$2:$B$561=$AO5,R$2:R$561,0),$AP5)</f>
        <v>5.49</v>
      </c>
      <c r="BG5">
        <f t="array" ref="BG5">LARGE(IF($B$2:$B$561=$AO5,S$2:S$561,0),$AP5)</f>
        <v>5.42</v>
      </c>
      <c r="BH5" s="2">
        <f>AVERAGE(INDEX($AQ5:$BC5,Week+1):INDEX($AQ5:$BC5,13))</f>
        <v>5.0975000000000001</v>
      </c>
      <c r="BI5" s="2">
        <f>Scores!AM5</f>
        <v>5.18</v>
      </c>
    </row>
    <row r="6" spans="1:61" x14ac:dyDescent="0.25">
      <c r="A6" t="s">
        <v>13</v>
      </c>
      <c r="B6" t="s">
        <v>15</v>
      </c>
      <c r="C6">
        <v>22.36</v>
      </c>
      <c r="D6">
        <v>19.52</v>
      </c>
      <c r="E6">
        <v>20.7</v>
      </c>
      <c r="F6">
        <v>22.61</v>
      </c>
      <c r="G6">
        <v>21.59</v>
      </c>
      <c r="H6">
        <v>21.25</v>
      </c>
      <c r="I6" t="s">
        <v>64</v>
      </c>
      <c r="J6">
        <v>21.26</v>
      </c>
      <c r="K6">
        <v>20.71</v>
      </c>
      <c r="L6">
        <v>20.83</v>
      </c>
      <c r="M6">
        <v>18.64</v>
      </c>
      <c r="N6">
        <v>21.55</v>
      </c>
      <c r="O6">
        <v>20.54</v>
      </c>
      <c r="P6">
        <v>23.91</v>
      </c>
      <c r="Q6">
        <v>19.95</v>
      </c>
      <c r="R6">
        <v>20.190000000000001</v>
      </c>
      <c r="S6">
        <v>23</v>
      </c>
      <c r="T6" s="2">
        <f>IF('ROS Rankings'!$AD$1,IFERROR(AVERAGE(INDEX($C6:$S6,14):INDEX($C6:$S6,17)),0),IFERROR(AVERAGE(INDEX($C6:$S6,Week+1):INDEX($C6:$S6,13)),0))</f>
        <v>20.682857142857141</v>
      </c>
      <c r="U6" s="2">
        <f t="shared" si="0"/>
        <v>20.682857142857141</v>
      </c>
      <c r="V6" s="2" t="str">
        <f t="shared" si="0"/>
        <v/>
      </c>
      <c r="W6" s="2" t="str">
        <f t="shared" si="0"/>
        <v/>
      </c>
      <c r="X6" s="2" t="str">
        <f t="shared" si="0"/>
        <v/>
      </c>
      <c r="Y6" s="2" t="str">
        <f t="shared" si="0"/>
        <v/>
      </c>
      <c r="Z6" s="2" t="str">
        <f t="shared" si="0"/>
        <v/>
      </c>
      <c r="AA6" s="23" t="str">
        <f t="shared" si="1"/>
        <v>QB7</v>
      </c>
      <c r="AB6" s="2">
        <f>$T6-VLOOKUP($B6,Scores!$AG$1:$AM$7,5,FALSE)</f>
        <v>-0.20142857142857196</v>
      </c>
      <c r="AC6" s="2">
        <f>$T6-VLOOKUP($B6,Scores!$AG$1:$AM$7,6,FALSE)</f>
        <v>0.77910714285714278</v>
      </c>
      <c r="AD6" s="2">
        <f>$T6-VLOOKUP($B6,Scores!$AG$1:$AM$7,7,FALSE)+(ROW(A5)/1000000)</f>
        <v>1.1828621428571451</v>
      </c>
      <c r="AE6" s="2">
        <f t="array" ref="AE6">IF('ROS Rankings'!$AD$1,IFERROR(AVERAGE(IF(INDEX($C6:$S6,14):INDEX($C6:$S6,17)="NA",0,INDEX($C6:$S6,14):INDEX($C6:$S6,17))-INDEX($AQ$2:$BG$7,MATCH($B6,$AO$2:$AO$7,0),14):INDEX($AQ$2:$BG$7,MATCH($B6,$AO$2:$AO$7,0),17)),0),IFERROR(AVERAGE(IF(INDEX($C6:$S6,Week+1):INDEX($C6:$S6,13)="NA",0,INDEX($C6:$S6,Week+1):INDEX($C6:$S6,13))-INDEX($AQ$2:$BG$7,MATCH($B6,$AO$2:$AO$7,0),Week+1):INDEX($AQ$2:$BG$7,MATCH($B6,$AO$2:$AO$7,0),13)),0))+ROW(A5)/1000000</f>
        <v>-0.40499499999999983</v>
      </c>
      <c r="AF6">
        <f t="shared" si="2"/>
        <v>52</v>
      </c>
      <c r="AG6">
        <f t="shared" si="3"/>
        <v>64</v>
      </c>
      <c r="AH6">
        <f t="shared" si="4"/>
        <v>99</v>
      </c>
      <c r="AI6">
        <f t="shared" si="5"/>
        <v>139</v>
      </c>
      <c r="AJ6" s="22" t="str">
        <f>IF(ISERROR(MATCH(A6,Rosters!$B$2:$B$155,0)),AD6,"")</f>
        <v/>
      </c>
      <c r="AK6" t="str">
        <f t="shared" si="6"/>
        <v/>
      </c>
      <c r="AL6" s="23">
        <f>COUNTIF(INDEX($C6:$S6,Week+1):INDEX($C6:$S6,13),"&gt;0")</f>
        <v>7</v>
      </c>
      <c r="AO6" t="s">
        <v>770</v>
      </c>
      <c r="AP6">
        <f>Scores!AJ6</f>
        <v>12</v>
      </c>
      <c r="AQ6">
        <f t="array" ref="AQ6">LARGE(IF($B$2:$B$561=$AO6,C$2:C$561,0),$AP6)</f>
        <v>6.98</v>
      </c>
      <c r="AR6">
        <f t="array" ref="AR6">LARGE(IF($B$2:$B$561=$AO6,D$2:D$561,0),$AP6)</f>
        <v>7.6</v>
      </c>
      <c r="AS6">
        <f t="array" ref="AS6">LARGE(IF($B$2:$B$561=$AO6,E$2:E$561,0),$AP6)</f>
        <v>6.85</v>
      </c>
      <c r="AT6">
        <f t="array" ref="AT6">LARGE(IF($B$2:$B$561=$AO6,F$2:F$561,0),$AP6)</f>
        <v>6.69</v>
      </c>
      <c r="AU6">
        <f t="array" ref="AU6">LARGE(IF($B$2:$B$561=$AO6,G$2:G$561,0),$AP6)</f>
        <v>6.61</v>
      </c>
      <c r="AV6">
        <f t="array" ref="AV6">LARGE(IF($B$2:$B$561=$AO6,H$2:H$561,0),$AP6)</f>
        <v>7.15</v>
      </c>
      <c r="AW6">
        <f t="array" ref="AW6">LARGE(IF($B$2:$B$561=$AO6,I$2:I$561,0),$AP6)</f>
        <v>6.92</v>
      </c>
      <c r="AX6">
        <f t="array" ref="AX6">LARGE(IF($B$2:$B$561=$AO6,J$2:J$561,0),$AP6)</f>
        <v>6.12</v>
      </c>
      <c r="AY6">
        <f t="array" ref="AY6">LARGE(IF($B$2:$B$561=$AO6,K$2:K$561,0),$AP6)</f>
        <v>5.92</v>
      </c>
      <c r="AZ6">
        <f t="array" ref="AZ6">LARGE(IF($B$2:$B$561=$AO6,L$2:L$561,0),$AP6)</f>
        <v>6.3</v>
      </c>
      <c r="BA6">
        <f t="array" ref="BA6">LARGE(IF($B$2:$B$561=$AO6,M$2:M$561,0),$AP6)</f>
        <v>5.94</v>
      </c>
      <c r="BB6">
        <f t="array" ref="BB6">LARGE(IF($B$2:$B$561=$AO6,N$2:N$561,0),$AP6)</f>
        <v>6.48</v>
      </c>
      <c r="BC6">
        <f t="array" ref="BC6">LARGE(IF($B$2:$B$561=$AO6,O$2:O$561,0),$AP6)</f>
        <v>7.28</v>
      </c>
      <c r="BD6">
        <f t="array" ref="BD6">LARGE(IF($B$2:$B$561=$AO6,P$2:P$561,0),$AP6)</f>
        <v>6.32</v>
      </c>
      <c r="BE6">
        <f t="array" ref="BE6">LARGE(IF($B$2:$B$561=$AO6,Q$2:Q$561,0),$AP6)</f>
        <v>6.74</v>
      </c>
      <c r="BF6">
        <f t="array" ref="BF6">LARGE(IF($B$2:$B$561=$AO6,R$2:R$561,0),$AP6)</f>
        <v>7.19</v>
      </c>
      <c r="BG6">
        <f t="array" ref="BG6">LARGE(IF($B$2:$B$561=$AO6,S$2:S$561,0),$AP6)</f>
        <v>7.06</v>
      </c>
      <c r="BH6" s="2">
        <f>AVERAGE(INDEX($AQ6:$BC6,Week+1):INDEX($AQ6:$BC6,13))</f>
        <v>6.5137499999999999</v>
      </c>
      <c r="BI6" s="2">
        <f>Scores!AM6</f>
        <v>6.1742857142857144</v>
      </c>
    </row>
    <row r="7" spans="1:61" x14ac:dyDescent="0.25">
      <c r="A7" t="s">
        <v>242</v>
      </c>
      <c r="B7" t="s">
        <v>87</v>
      </c>
      <c r="C7">
        <v>2.14</v>
      </c>
      <c r="D7">
        <v>2.3199999999999998</v>
      </c>
      <c r="E7">
        <v>2.2000000000000002</v>
      </c>
      <c r="F7">
        <v>3.92</v>
      </c>
      <c r="G7" t="s">
        <v>64</v>
      </c>
      <c r="H7">
        <v>3.47</v>
      </c>
      <c r="I7">
        <v>3.88</v>
      </c>
      <c r="J7">
        <v>3.76</v>
      </c>
      <c r="K7">
        <v>3.51</v>
      </c>
      <c r="L7">
        <v>2.99</v>
      </c>
      <c r="M7">
        <v>3.26</v>
      </c>
      <c r="N7">
        <v>3.97</v>
      </c>
      <c r="O7">
        <v>3.62</v>
      </c>
      <c r="P7">
        <v>3.39</v>
      </c>
      <c r="Q7">
        <v>3.65</v>
      </c>
      <c r="R7">
        <v>3.47</v>
      </c>
      <c r="S7">
        <v>3.55</v>
      </c>
      <c r="T7" s="2">
        <f>IF('ROS Rankings'!$AD$1,IFERROR(AVERAGE(INDEX($C7:$S7,14):INDEX($C7:$S7,17)),0),IFERROR(AVERAGE(INDEX($C7:$S7,Week+1):INDEX($C7:$S7,13)),0))</f>
        <v>3.5574999999999997</v>
      </c>
      <c r="U7" s="2" t="str">
        <f t="shared" si="0"/>
        <v/>
      </c>
      <c r="V7" s="2" t="str">
        <f t="shared" si="0"/>
        <v/>
      </c>
      <c r="W7" s="2">
        <f t="shared" si="0"/>
        <v>3.5574999999999997</v>
      </c>
      <c r="X7" s="2" t="str">
        <f t="shared" si="0"/>
        <v/>
      </c>
      <c r="Y7" s="2" t="str">
        <f t="shared" si="0"/>
        <v/>
      </c>
      <c r="Z7" s="2" t="str">
        <f t="shared" si="0"/>
        <v/>
      </c>
      <c r="AA7" s="23" t="str">
        <f t="shared" si="1"/>
        <v>WR87</v>
      </c>
      <c r="AB7" s="2">
        <f>$T7-VLOOKUP($B7,Scores!$AG$1:$AM$7,5,FALSE)</f>
        <v>-6.8139285714285709</v>
      </c>
      <c r="AC7" s="2">
        <f>$T7-VLOOKUP($B7,Scores!$AG$1:$AM$7,6,FALSE)</f>
        <v>-4.4739285714285728</v>
      </c>
      <c r="AD7" s="2">
        <f>$T7-VLOOKUP($B7,Scores!$AG$1:$AM$7,7,FALSE)+(ROW(A6)/1000000)</f>
        <v>-2.4953511428571429</v>
      </c>
      <c r="AE7" s="2">
        <f t="array" ref="AE7">IF('ROS Rankings'!$AD$1,IFERROR(AVERAGE(IF(INDEX($C7:$S7,14):INDEX($C7:$S7,17)="NA",0,INDEX($C7:$S7,14):INDEX($C7:$S7,17))-INDEX($AQ$2:$BG$7,MATCH($B7,$AO$2:$AO$7,0),14):INDEX($AQ$2:$BG$7,MATCH($B7,$AO$2:$AO$7,0),17)),0),IFERROR(AVERAGE(IF(INDEX($C7:$S7,Week+1):INDEX($C7:$S7,13)="NA",0,INDEX($C7:$S7,Week+1):INDEX($C7:$S7,13))-INDEX($AQ$2:$BG$7,MATCH($B7,$AO$2:$AO$7,0),Week+1):INDEX($AQ$2:$BG$7,MATCH($B7,$AO$2:$AO$7,0),13)),0))+ROW(A6)/1000000</f>
        <v>-1.7987440000000001</v>
      </c>
      <c r="AF7">
        <f t="shared" si="2"/>
        <v>340</v>
      </c>
      <c r="AG7">
        <f t="shared" si="3"/>
        <v>310</v>
      </c>
      <c r="AH7">
        <f t="shared" si="4"/>
        <v>268</v>
      </c>
      <c r="AI7">
        <f t="shared" si="5"/>
        <v>228</v>
      </c>
      <c r="AJ7" s="22">
        <f>IF(ISERROR(MATCH(A7,Rosters!$B$2:$B$155,0)),AD7,"")</f>
        <v>-2.4953511428571429</v>
      </c>
      <c r="AK7">
        <f t="shared" si="6"/>
        <v>124</v>
      </c>
      <c r="AL7" s="23">
        <f>COUNTIF(INDEX($C7:$S7,Week+1):INDEX($C7:$S7,13),"&gt;0")</f>
        <v>8</v>
      </c>
      <c r="AO7" t="s">
        <v>478</v>
      </c>
      <c r="AP7">
        <f>Scores!AJ7</f>
        <v>10</v>
      </c>
      <c r="AQ7">
        <f t="array" ref="AQ7">LARGE(IF($B$2:$B$561=$AO7,C$2:C$561,0),$AP7)</f>
        <v>7.99</v>
      </c>
      <c r="AR7">
        <f t="array" ref="AR7">LARGE(IF($B$2:$B$561=$AO7,D$2:D$561,0),$AP7)</f>
        <v>7.72</v>
      </c>
      <c r="AS7">
        <f t="array" ref="AS7">LARGE(IF($B$2:$B$561=$AO7,E$2:E$561,0),$AP7)</f>
        <v>7.88</v>
      </c>
      <c r="AT7">
        <f t="array" ref="AT7">LARGE(IF($B$2:$B$561=$AO7,F$2:F$561,0),$AP7)</f>
        <v>7.4</v>
      </c>
      <c r="AU7">
        <f t="array" ref="AU7">LARGE(IF($B$2:$B$561=$AO7,G$2:G$561,0),$AP7)</f>
        <v>7.84</v>
      </c>
      <c r="AV7">
        <f t="array" ref="AV7">LARGE(IF($B$2:$B$561=$AO7,H$2:H$561,0),$AP7)</f>
        <v>7.51</v>
      </c>
      <c r="AW7">
        <f t="array" ref="AW7">LARGE(IF($B$2:$B$561=$AO7,I$2:I$561,0),$AP7)</f>
        <v>7.37</v>
      </c>
      <c r="AX7">
        <f t="array" ref="AX7">LARGE(IF($B$2:$B$561=$AO7,J$2:J$561,0),$AP7)</f>
        <v>7.33</v>
      </c>
      <c r="AY7">
        <f t="array" ref="AY7">LARGE(IF($B$2:$B$561=$AO7,K$2:K$561,0),$AP7)</f>
        <v>7.24</v>
      </c>
      <c r="AZ7">
        <f t="array" ref="AZ7">LARGE(IF($B$2:$B$561=$AO7,L$2:L$561,0),$AP7)</f>
        <v>7.43</v>
      </c>
      <c r="BA7">
        <f t="array" ref="BA7">LARGE(IF($B$2:$B$561=$AO7,M$2:M$561,0),$AP7)</f>
        <v>7.16</v>
      </c>
      <c r="BB7">
        <f t="array" ref="BB7">LARGE(IF($B$2:$B$561=$AO7,N$2:N$561,0),$AP7)</f>
        <v>7.5</v>
      </c>
      <c r="BC7">
        <f t="array" ref="BC7">LARGE(IF($B$2:$B$561=$AO7,O$2:O$561,0),$AP7)</f>
        <v>7.59</v>
      </c>
      <c r="BD7">
        <f t="array" ref="BD7">LARGE(IF($B$2:$B$561=$AO7,P$2:P$561,0),$AP7)</f>
        <v>7.49</v>
      </c>
      <c r="BE7">
        <f t="array" ref="BE7">LARGE(IF($B$2:$B$561=$AO7,Q$2:Q$561,0),$AP7)</f>
        <v>7.64</v>
      </c>
      <c r="BF7">
        <f t="array" ref="BF7">LARGE(IF($B$2:$B$561=$AO7,R$2:R$561,0),$AP7)</f>
        <v>7.51</v>
      </c>
      <c r="BG7">
        <f t="array" ref="BG7">LARGE(IF($B$2:$B$561=$AO7,S$2:S$561,0),$AP7)</f>
        <v>7.66</v>
      </c>
      <c r="BH7" s="2">
        <f>AVERAGE(INDEX($AQ7:$BC7,Week+1):INDEX($AQ7:$BC7,13))</f>
        <v>7.3912500000000012</v>
      </c>
      <c r="BI7" s="2">
        <f>Scores!AM7</f>
        <v>7.4214285714285717</v>
      </c>
    </row>
    <row r="8" spans="1:61" x14ac:dyDescent="0.25">
      <c r="A8" t="s">
        <v>1488</v>
      </c>
      <c r="B8" t="s">
        <v>114</v>
      </c>
      <c r="C8">
        <v>0</v>
      </c>
      <c r="D8">
        <v>0</v>
      </c>
      <c r="E8">
        <v>0</v>
      </c>
      <c r="F8">
        <v>0</v>
      </c>
      <c r="G8" t="s">
        <v>64</v>
      </c>
      <c r="H8">
        <v>0</v>
      </c>
      <c r="I8">
        <v>0</v>
      </c>
      <c r="J8">
        <v>0.56999999999999995</v>
      </c>
      <c r="K8">
        <v>0.46</v>
      </c>
      <c r="L8">
        <v>0.55000000000000004</v>
      </c>
      <c r="M8">
        <v>0.59</v>
      </c>
      <c r="N8">
        <v>0.53</v>
      </c>
      <c r="O8">
        <v>0.53</v>
      </c>
      <c r="P8">
        <v>0.51</v>
      </c>
      <c r="Q8">
        <v>0.59</v>
      </c>
      <c r="R8">
        <v>0.55000000000000004</v>
      </c>
      <c r="S8">
        <v>0.56000000000000005</v>
      </c>
      <c r="T8" s="2">
        <f>IF('ROS Rankings'!$AD$1,IFERROR(AVERAGE(INDEX($C8:$S8,14):INDEX($C8:$S8,17)),0),IFERROR(AVERAGE(INDEX($C8:$S8,Week+1):INDEX($C8:$S8,13)),0))</f>
        <v>0.40375000000000005</v>
      </c>
      <c r="U8" s="2" t="str">
        <f t="shared" si="0"/>
        <v/>
      </c>
      <c r="V8" s="2" t="str">
        <f t="shared" si="0"/>
        <v/>
      </c>
      <c r="W8" s="2" t="str">
        <f t="shared" si="0"/>
        <v/>
      </c>
      <c r="X8" s="2">
        <f t="shared" si="0"/>
        <v>0.40375000000000005</v>
      </c>
      <c r="Y8" s="2" t="str">
        <f t="shared" si="0"/>
        <v/>
      </c>
      <c r="Z8" s="2" t="str">
        <f t="shared" si="0"/>
        <v/>
      </c>
      <c r="AA8" s="23" t="str">
        <f t="shared" si="1"/>
        <v>TE98</v>
      </c>
      <c r="AB8" s="2">
        <f>$T8-VLOOKUP($B8,Scores!$AG$1:$AM$7,5,FALSE)</f>
        <v>-6.5949999999999989</v>
      </c>
      <c r="AC8" s="2">
        <f>$T8-VLOOKUP($B8,Scores!$AG$1:$AM$7,6,FALSE)</f>
        <v>-4.8462499999999995</v>
      </c>
      <c r="AD8" s="2">
        <f>$T8-VLOOKUP($B8,Scores!$AG$1:$AM$7,7,FALSE)+(ROW(A7)/1000000)</f>
        <v>-4.7762429999999991</v>
      </c>
      <c r="AE8" s="2">
        <f t="array" ref="AE8">IF('ROS Rankings'!$AD$1,IFERROR(AVERAGE(IF(INDEX($C8:$S8,14):INDEX($C8:$S8,17)="NA",0,INDEX($C8:$S8,14):INDEX($C8:$S8,17))-INDEX($AQ$2:$BG$7,MATCH($B8,$AO$2:$AO$7,0),14):INDEX($AQ$2:$BG$7,MATCH($B8,$AO$2:$AO$7,0),17)),0),IFERROR(AVERAGE(IF(INDEX($C8:$S8,Week+1):INDEX($C8:$S8,13)="NA",0,INDEX($C8:$S8,Week+1):INDEX($C8:$S8,13))-INDEX($AQ$2:$BG$7,MATCH($B8,$AO$2:$AO$7,0),Week+1):INDEX($AQ$2:$BG$7,MATCH($B8,$AO$2:$AO$7,0),13)),0))+ROW(A7)/1000000</f>
        <v>-4.6937429999999996</v>
      </c>
      <c r="AF8">
        <f t="shared" si="2"/>
        <v>332</v>
      </c>
      <c r="AG8">
        <f t="shared" si="3"/>
        <v>348</v>
      </c>
      <c r="AH8">
        <f t="shared" si="4"/>
        <v>395</v>
      </c>
      <c r="AI8">
        <f t="shared" si="5"/>
        <v>406</v>
      </c>
      <c r="AJ8" s="22">
        <f>IF(ISERROR(MATCH(A8,Rosters!$B$2:$B$155,0)),AD8,"")</f>
        <v>-4.7762429999999991</v>
      </c>
      <c r="AK8">
        <f t="shared" si="6"/>
        <v>243</v>
      </c>
      <c r="AL8" s="23">
        <f>COUNTIF(INDEX($C8:$S8,Week+1):INDEX($C8:$S8,13),"&gt;0")</f>
        <v>6</v>
      </c>
      <c r="AP8">
        <f>SUM(AP2:AP7)</f>
        <v>150</v>
      </c>
    </row>
    <row r="9" spans="1:61" x14ac:dyDescent="0.25">
      <c r="A9" t="s">
        <v>191</v>
      </c>
      <c r="B9" t="s">
        <v>87</v>
      </c>
      <c r="C9">
        <v>11.05</v>
      </c>
      <c r="D9">
        <v>10.029999999999999</v>
      </c>
      <c r="E9">
        <v>11.35</v>
      </c>
      <c r="F9">
        <v>9.7799999999999994</v>
      </c>
      <c r="G9">
        <v>12.27</v>
      </c>
      <c r="H9">
        <v>12.69</v>
      </c>
      <c r="I9">
        <v>12.89</v>
      </c>
      <c r="J9">
        <v>12.78</v>
      </c>
      <c r="K9">
        <v>12.75</v>
      </c>
      <c r="L9" t="s">
        <v>64</v>
      </c>
      <c r="M9">
        <v>10.94</v>
      </c>
      <c r="N9">
        <v>12.88</v>
      </c>
      <c r="O9">
        <v>11.06</v>
      </c>
      <c r="P9">
        <v>11.89</v>
      </c>
      <c r="Q9">
        <v>12.74</v>
      </c>
      <c r="R9">
        <v>12.27</v>
      </c>
      <c r="S9">
        <v>11.32</v>
      </c>
      <c r="T9" s="2">
        <f>IF('ROS Rankings'!$AD$1,IFERROR(AVERAGE(INDEX($C9:$S9,14):INDEX($C9:$S9,17)),0),IFERROR(AVERAGE(INDEX($C9:$S9,Week+1):INDEX($C9:$S9,13)),0))</f>
        <v>12.284285714285714</v>
      </c>
      <c r="U9" s="2" t="str">
        <f t="shared" si="0"/>
        <v/>
      </c>
      <c r="V9" s="2" t="str">
        <f t="shared" si="0"/>
        <v/>
      </c>
      <c r="W9" s="2">
        <f t="shared" si="0"/>
        <v>12.284285714285714</v>
      </c>
      <c r="X9" s="2" t="str">
        <f t="shared" si="0"/>
        <v/>
      </c>
      <c r="Y9" s="2" t="str">
        <f t="shared" si="0"/>
        <v/>
      </c>
      <c r="Z9" s="2" t="str">
        <f t="shared" si="0"/>
        <v/>
      </c>
      <c r="AA9" s="23" t="str">
        <f t="shared" si="1"/>
        <v>WR8</v>
      </c>
      <c r="AB9" s="2">
        <f>$T9-VLOOKUP($B9,Scores!$AG$1:$AM$7,5,FALSE)</f>
        <v>1.9128571428571437</v>
      </c>
      <c r="AC9" s="2">
        <f>$T9-VLOOKUP($B9,Scores!$AG$1:$AM$7,6,FALSE)</f>
        <v>4.2528571428571418</v>
      </c>
      <c r="AD9" s="2">
        <f>$T9-VLOOKUP($B9,Scores!$AG$1:$AM$7,7,FALSE)+(ROW(A8)/1000000)</f>
        <v>6.2314365714285715</v>
      </c>
      <c r="AE9" s="2">
        <f t="array" ref="AE9">IF('ROS Rankings'!$AD$1,IFERROR(AVERAGE(IF(INDEX($C9:$S9,14):INDEX($C9:$S9,17)="NA",0,INDEX($C9:$S9,14):INDEX($C9:$S9,17))-INDEX($AQ$2:$BG$7,MATCH($B9,$AO$2:$AO$7,0),14):INDEX($AQ$2:$BG$7,MATCH($B9,$AO$2:$AO$7,0),17)),0),IFERROR(AVERAGE(IF(INDEX($C9:$S9,Week+1):INDEX($C9:$S9,13)="NA",0,INDEX($C9:$S9,Week+1):INDEX($C9:$S9,13))-INDEX($AQ$2:$BG$7,MATCH($B9,$AO$2:$AO$7,0),Week+1):INDEX($AQ$2:$BG$7,MATCH($B9,$AO$2:$AO$7,0),13)),0))+ROW(A8)/1000000</f>
        <v>5.3925080000000003</v>
      </c>
      <c r="AF9">
        <f t="shared" si="2"/>
        <v>15</v>
      </c>
      <c r="AG9">
        <f t="shared" si="3"/>
        <v>22</v>
      </c>
      <c r="AH9">
        <f t="shared" si="4"/>
        <v>20</v>
      </c>
      <c r="AI9">
        <f t="shared" si="5"/>
        <v>21</v>
      </c>
      <c r="AJ9" s="22" t="str">
        <f>IF(ISERROR(MATCH(A9,Rosters!$B$2:$B$155,0)),AD9,"")</f>
        <v/>
      </c>
      <c r="AK9" t="str">
        <f t="shared" si="6"/>
        <v/>
      </c>
      <c r="AL9" s="23">
        <f>COUNTIF(INDEX($C9:$S9,Week+1):INDEX($C9:$S9,13),"&gt;0")</f>
        <v>7</v>
      </c>
    </row>
    <row r="10" spans="1:61" x14ac:dyDescent="0.25">
      <c r="A10" t="s">
        <v>158</v>
      </c>
      <c r="B10" t="s">
        <v>47</v>
      </c>
      <c r="C10">
        <v>3.71</v>
      </c>
      <c r="D10">
        <v>9.35</v>
      </c>
      <c r="E10">
        <v>9.32</v>
      </c>
      <c r="F10" t="s">
        <v>64</v>
      </c>
      <c r="G10">
        <v>9.69</v>
      </c>
      <c r="H10">
        <v>9.93</v>
      </c>
      <c r="I10">
        <v>11.28</v>
      </c>
      <c r="J10">
        <v>10.31</v>
      </c>
      <c r="K10">
        <v>11.24</v>
      </c>
      <c r="L10">
        <v>10.34</v>
      </c>
      <c r="M10">
        <v>11.55</v>
      </c>
      <c r="N10">
        <v>10.31</v>
      </c>
      <c r="O10">
        <v>7.75</v>
      </c>
      <c r="P10">
        <v>11.24</v>
      </c>
      <c r="Q10">
        <v>7.49</v>
      </c>
      <c r="R10">
        <v>8.84</v>
      </c>
      <c r="S10">
        <v>8.2899999999999991</v>
      </c>
      <c r="T10" s="2">
        <f>IF('ROS Rankings'!$AD$1,IFERROR(AVERAGE(INDEX($C10:$S10,14):INDEX($C10:$S10,17)),0),IFERROR(AVERAGE(INDEX($C10:$S10,Week+1):INDEX($C10:$S10,13)),0))</f>
        <v>10.338750000000001</v>
      </c>
      <c r="U10" s="2" t="str">
        <f t="shared" si="0"/>
        <v/>
      </c>
      <c r="V10" s="2">
        <f t="shared" si="0"/>
        <v>10.338750000000001</v>
      </c>
      <c r="W10" s="2" t="str">
        <f t="shared" si="0"/>
        <v/>
      </c>
      <c r="X10" s="2" t="str">
        <f t="shared" si="0"/>
        <v/>
      </c>
      <c r="Y10" s="2" t="str">
        <f t="shared" si="0"/>
        <v/>
      </c>
      <c r="Z10" s="2" t="str">
        <f t="shared" si="0"/>
        <v/>
      </c>
      <c r="AA10" s="23" t="str">
        <f t="shared" si="1"/>
        <v>RB18</v>
      </c>
      <c r="AB10" s="2">
        <f>$T10-VLOOKUP($B10,Scores!$AG$1:$AM$7,5,FALSE)</f>
        <v>-1.4198214285714279</v>
      </c>
      <c r="AC10" s="2">
        <f>$T10-VLOOKUP($B10,Scores!$AG$1:$AM$7,6,FALSE)</f>
        <v>2.0687499999999996</v>
      </c>
      <c r="AD10" s="2">
        <f>$T10-VLOOKUP($B10,Scores!$AG$1:$AM$7,7,FALSE)+(ROW(A9)/1000000)</f>
        <v>4.4701875714285721</v>
      </c>
      <c r="AE10" s="2">
        <f t="array" ref="AE10">IF('ROS Rankings'!$AD$1,IFERROR(AVERAGE(IF(INDEX($C10:$S10,14):INDEX($C10:$S10,17)="NA",0,INDEX($C10:$S10,14):INDEX($C10:$S10,17))-INDEX($AQ$2:$BG$7,MATCH($B10,$AO$2:$AO$7,0),14):INDEX($AQ$2:$BG$7,MATCH($B10,$AO$2:$AO$7,0),17)),0),IFERROR(AVERAGE(IF(INDEX($C10:$S10,Week+1):INDEX($C10:$S10,13)="NA",0,INDEX($C10:$S10,Week+1):INDEX($C10:$S10,13))-INDEX($AQ$2:$BG$7,MATCH($B10,$AO$2:$AO$7,0),Week+1):INDEX($AQ$2:$BG$7,MATCH($B10,$AO$2:$AO$7,0),13)),0))+ROW(A9)/1000000</f>
        <v>4.978759000000001</v>
      </c>
      <c r="AF10">
        <f t="shared" si="2"/>
        <v>111</v>
      </c>
      <c r="AG10">
        <f t="shared" si="3"/>
        <v>40</v>
      </c>
      <c r="AH10">
        <f t="shared" si="4"/>
        <v>35</v>
      </c>
      <c r="AI10">
        <f t="shared" si="5"/>
        <v>23</v>
      </c>
      <c r="AJ10" s="22" t="str">
        <f>IF(ISERROR(MATCH(A10,Rosters!$B$2:$B$155,0)),AD10,"")</f>
        <v/>
      </c>
      <c r="AK10" t="str">
        <f t="shared" si="6"/>
        <v/>
      </c>
      <c r="AL10" s="23">
        <f>COUNTIF(INDEX($C10:$S10,Week+1):INDEX($C10:$S10,13),"&gt;0")</f>
        <v>8</v>
      </c>
    </row>
    <row r="11" spans="1:61" x14ac:dyDescent="0.25">
      <c r="A11" t="s">
        <v>1129</v>
      </c>
      <c r="B11" t="s">
        <v>114</v>
      </c>
      <c r="C11">
        <v>0.67</v>
      </c>
      <c r="D11">
        <v>0.56999999999999995</v>
      </c>
      <c r="E11">
        <v>0.54</v>
      </c>
      <c r="F11">
        <v>0.49</v>
      </c>
      <c r="G11" t="s">
        <v>64</v>
      </c>
      <c r="H11">
        <v>0.4</v>
      </c>
      <c r="I11">
        <v>0.41</v>
      </c>
      <c r="J11">
        <v>0.36</v>
      </c>
      <c r="K11">
        <v>0.39</v>
      </c>
      <c r="L11">
        <v>0.38</v>
      </c>
      <c r="M11">
        <v>0.38</v>
      </c>
      <c r="N11">
        <v>0.51</v>
      </c>
      <c r="O11">
        <v>0.41</v>
      </c>
      <c r="P11">
        <v>0.51</v>
      </c>
      <c r="Q11">
        <v>0.37</v>
      </c>
      <c r="R11">
        <v>0.5</v>
      </c>
      <c r="S11">
        <v>0.41</v>
      </c>
      <c r="T11" s="2">
        <f>IF('ROS Rankings'!$AD$1,IFERROR(AVERAGE(INDEX($C11:$S11,14):INDEX($C11:$S11,17)),0),IFERROR(AVERAGE(INDEX($C11:$S11,Week+1):INDEX($C11:$S11,13)),0))</f>
        <v>0.40500000000000003</v>
      </c>
      <c r="U11" s="2" t="str">
        <f t="shared" si="0"/>
        <v/>
      </c>
      <c r="V11" s="2" t="str">
        <f t="shared" si="0"/>
        <v/>
      </c>
      <c r="W11" s="2" t="str">
        <f t="shared" si="0"/>
        <v/>
      </c>
      <c r="X11" s="2">
        <f t="shared" si="0"/>
        <v>0.40500000000000003</v>
      </c>
      <c r="Y11" s="2" t="str">
        <f t="shared" si="0"/>
        <v/>
      </c>
      <c r="Z11" s="2" t="str">
        <f t="shared" si="0"/>
        <v/>
      </c>
      <c r="AA11" s="23" t="str">
        <f t="shared" si="1"/>
        <v>TE97</v>
      </c>
      <c r="AB11" s="2">
        <f>$T11-VLOOKUP($B11,Scores!$AG$1:$AM$7,5,FALSE)</f>
        <v>-6.5937499999999991</v>
      </c>
      <c r="AC11" s="2">
        <f>$T11-VLOOKUP($B11,Scores!$AG$1:$AM$7,6,FALSE)</f>
        <v>-4.8449999999999998</v>
      </c>
      <c r="AD11" s="2">
        <f>$T11-VLOOKUP($B11,Scores!$AG$1:$AM$7,7,FALSE)+(ROW(A10)/1000000)</f>
        <v>-4.7749899999999998</v>
      </c>
      <c r="AE11" s="2">
        <f t="array" ref="AE11">IF('ROS Rankings'!$AD$1,IFERROR(AVERAGE(IF(INDEX($C11:$S11,14):INDEX($C11:$S11,17)="NA",0,INDEX($C11:$S11,14):INDEX($C11:$S11,17))-INDEX($AQ$2:$BG$7,MATCH($B11,$AO$2:$AO$7,0),14):INDEX($AQ$2:$BG$7,MATCH($B11,$AO$2:$AO$7,0),17)),0),IFERROR(AVERAGE(IF(INDEX($C11:$S11,Week+1):INDEX($C11:$S11,13)="NA",0,INDEX($C11:$S11,Week+1):INDEX($C11:$S11,13))-INDEX($AQ$2:$BG$7,MATCH($B11,$AO$2:$AO$7,0),Week+1):INDEX($AQ$2:$BG$7,MATCH($B11,$AO$2:$AO$7,0),13)),0))+ROW(A10)/1000000</f>
        <v>-4.6924900000000003</v>
      </c>
      <c r="AF11">
        <f t="shared" si="2"/>
        <v>331</v>
      </c>
      <c r="AG11">
        <f t="shared" si="3"/>
        <v>347</v>
      </c>
      <c r="AH11">
        <f t="shared" si="4"/>
        <v>394</v>
      </c>
      <c r="AI11">
        <f t="shared" si="5"/>
        <v>405</v>
      </c>
      <c r="AJ11" s="22">
        <f>IF(ISERROR(MATCH(A11,Rosters!$B$2:$B$155,0)),AD11,"")</f>
        <v>-4.7749899999999998</v>
      </c>
      <c r="AK11">
        <f t="shared" si="6"/>
        <v>242</v>
      </c>
      <c r="AL11" s="23">
        <f>COUNTIF(INDEX($C11:$S11,Week+1):INDEX($C11:$S11,13),"&gt;0")</f>
        <v>8</v>
      </c>
    </row>
    <row r="12" spans="1:61" x14ac:dyDescent="0.25">
      <c r="A12" t="s">
        <v>273</v>
      </c>
      <c r="B12" t="s">
        <v>87</v>
      </c>
      <c r="C12">
        <v>4.01</v>
      </c>
      <c r="D12">
        <v>3.73</v>
      </c>
      <c r="E12">
        <v>4.78</v>
      </c>
      <c r="F12">
        <v>4.57</v>
      </c>
      <c r="G12">
        <v>4.6500000000000004</v>
      </c>
      <c r="H12">
        <v>3.29</v>
      </c>
      <c r="I12">
        <v>4.8499999999999996</v>
      </c>
      <c r="J12">
        <v>4.2699999999999996</v>
      </c>
      <c r="K12">
        <v>3.55</v>
      </c>
      <c r="L12">
        <v>4.7</v>
      </c>
      <c r="M12" t="s">
        <v>64</v>
      </c>
      <c r="N12">
        <v>4.68</v>
      </c>
      <c r="O12">
        <v>3.69</v>
      </c>
      <c r="P12">
        <v>4.51</v>
      </c>
      <c r="Q12">
        <v>3.07</v>
      </c>
      <c r="R12">
        <v>3.43</v>
      </c>
      <c r="S12">
        <v>3.63</v>
      </c>
      <c r="T12" s="2">
        <f>IF('ROS Rankings'!$AD$1,IFERROR(AVERAGE(INDEX($C12:$S12,14):INDEX($C12:$S12,17)),0),IFERROR(AVERAGE(INDEX($C12:$S12,Week+1):INDEX($C12:$S12,13)),0))</f>
        <v>4.1471428571428577</v>
      </c>
      <c r="U12" s="2" t="str">
        <f t="shared" si="0"/>
        <v/>
      </c>
      <c r="V12" s="2" t="str">
        <f t="shared" si="0"/>
        <v/>
      </c>
      <c r="W12" s="2">
        <f t="shared" si="0"/>
        <v>4.1471428571428577</v>
      </c>
      <c r="X12" s="2" t="str">
        <f t="shared" si="0"/>
        <v/>
      </c>
      <c r="Y12" s="2" t="str">
        <f t="shared" si="0"/>
        <v/>
      </c>
      <c r="Z12" s="2" t="str">
        <f t="shared" si="0"/>
        <v/>
      </c>
      <c r="AA12" s="23" t="str">
        <f t="shared" si="1"/>
        <v>WR77</v>
      </c>
      <c r="AB12" s="2">
        <f>$T12-VLOOKUP($B12,Scores!$AG$1:$AM$7,5,FALSE)</f>
        <v>-6.2242857142857124</v>
      </c>
      <c r="AC12" s="2">
        <f>$T12-VLOOKUP($B12,Scores!$AG$1:$AM$7,6,FALSE)</f>
        <v>-3.8842857142857143</v>
      </c>
      <c r="AD12" s="2">
        <f>$T12-VLOOKUP($B12,Scores!$AG$1:$AM$7,7,FALSE)+(ROW(A11)/1000000)</f>
        <v>-1.9057032857142848</v>
      </c>
      <c r="AE12" s="2">
        <f t="array" ref="AE12">IF('ROS Rankings'!$AD$1,IFERROR(AVERAGE(IF(INDEX($C12:$S12,14):INDEX($C12:$S12,17)="NA",0,INDEX($C12:$S12,14):INDEX($C12:$S12,17))-INDEX($AQ$2:$BG$7,MATCH($B12,$AO$2:$AO$7,0),14):INDEX($AQ$2:$BG$7,MATCH($B12,$AO$2:$AO$7,0),17)),0),IFERROR(AVERAGE(IF(INDEX($C12:$S12,Week+1):INDEX($C12:$S12,13)="NA",0,INDEX($C12:$S12,Week+1):INDEX($C12:$S12,13))-INDEX($AQ$2:$BG$7,MATCH($B12,$AO$2:$AO$7,0),Week+1):INDEX($AQ$2:$BG$7,MATCH($B12,$AO$2:$AO$7,0),13)),0))+ROW(A11)/1000000</f>
        <v>-1.7274890000000003</v>
      </c>
      <c r="AF12">
        <f t="shared" si="2"/>
        <v>288</v>
      </c>
      <c r="AG12">
        <f t="shared" si="3"/>
        <v>293</v>
      </c>
      <c r="AH12">
        <f t="shared" si="4"/>
        <v>242</v>
      </c>
      <c r="AI12">
        <f t="shared" si="5"/>
        <v>224</v>
      </c>
      <c r="AJ12" s="22">
        <f>IF(ISERROR(MATCH(A12,Rosters!$B$2:$B$155,0)),AD12,"")</f>
        <v>-1.9057032857142848</v>
      </c>
      <c r="AK12">
        <f t="shared" si="6"/>
        <v>98</v>
      </c>
      <c r="AL12" s="23">
        <f>COUNTIF(INDEX($C12:$S12,Week+1):INDEX($C12:$S12,13),"&gt;0")</f>
        <v>7</v>
      </c>
    </row>
    <row r="13" spans="1:61" x14ac:dyDescent="0.25">
      <c r="A13" t="s">
        <v>2715</v>
      </c>
      <c r="B13" t="s">
        <v>87</v>
      </c>
      <c r="C13" t="s">
        <v>64</v>
      </c>
      <c r="D13" t="s">
        <v>64</v>
      </c>
      <c r="E13">
        <v>0.5</v>
      </c>
      <c r="F13">
        <v>0.43</v>
      </c>
      <c r="G13">
        <v>2.13</v>
      </c>
      <c r="H13">
        <v>2.21</v>
      </c>
      <c r="I13">
        <v>2.44</v>
      </c>
      <c r="J13">
        <v>2.1</v>
      </c>
      <c r="K13">
        <v>2.29</v>
      </c>
      <c r="L13" t="s">
        <v>64</v>
      </c>
      <c r="M13">
        <v>1.94</v>
      </c>
      <c r="N13">
        <v>2.1</v>
      </c>
      <c r="O13">
        <v>1.85</v>
      </c>
      <c r="P13">
        <v>2.44</v>
      </c>
      <c r="Q13">
        <v>2.13</v>
      </c>
      <c r="R13">
        <v>2.29</v>
      </c>
      <c r="S13">
        <v>2.13</v>
      </c>
      <c r="T13" s="2">
        <f>IF('ROS Rankings'!$AD$1,IFERROR(AVERAGE(INDEX($C13:$S13,14):INDEX($C13:$S13,17)),0),IFERROR(AVERAGE(INDEX($C13:$S13,Week+1):INDEX($C13:$S13,13)),0))</f>
        <v>2.1328571428571426</v>
      </c>
      <c r="U13" s="2" t="str">
        <f t="shared" si="0"/>
        <v/>
      </c>
      <c r="V13" s="2" t="str">
        <f t="shared" si="0"/>
        <v/>
      </c>
      <c r="W13" s="2">
        <f t="shared" si="0"/>
        <v>2.1328571428571426</v>
      </c>
      <c r="X13" s="2" t="str">
        <f t="shared" si="0"/>
        <v/>
      </c>
      <c r="Y13" s="2" t="str">
        <f t="shared" si="0"/>
        <v/>
      </c>
      <c r="Z13" s="2" t="str">
        <f t="shared" si="0"/>
        <v/>
      </c>
      <c r="AA13" s="23" t="str">
        <f t="shared" si="1"/>
        <v>WR113</v>
      </c>
      <c r="AB13" s="2">
        <f>$T13-VLOOKUP($B13,Scores!$AG$1:$AM$7,5,FALSE)</f>
        <v>-8.2385714285714275</v>
      </c>
      <c r="AC13" s="2">
        <f>$T13-VLOOKUP($B13,Scores!$AG$1:$AM$7,6,FALSE)</f>
        <v>-5.8985714285714295</v>
      </c>
      <c r="AD13" s="2">
        <f>$T13-VLOOKUP($B13,Scores!$AG$1:$AM$7,7,FALSE)+(ROW(A12)/1000000)</f>
        <v>-3.919988</v>
      </c>
      <c r="AE13" s="2">
        <f t="array" ref="AE13">IF('ROS Rankings'!$AD$1,IFERROR(AVERAGE(IF(INDEX($C13:$S13,14):INDEX($C13:$S13,17)="NA",0,INDEX($C13:$S13,14):INDEX($C13:$S13,17))-INDEX($AQ$2:$BG$7,MATCH($B13,$AO$2:$AO$7,0),14):INDEX($AQ$2:$BG$7,MATCH($B13,$AO$2:$AO$7,0),17)),0),IFERROR(AVERAGE(IF(INDEX($C13:$S13,Week+1):INDEX($C13:$S13,13)="NA",0,INDEX($C13:$S13,Week+1):INDEX($C13:$S13,13))-INDEX($AQ$2:$BG$7,MATCH($B13,$AO$2:$AO$7,0),Week+1):INDEX($AQ$2:$BG$7,MATCH($B13,$AO$2:$AO$7,0),13)),0))+ROW(A12)/1000000</f>
        <v>-3.4899880000000003</v>
      </c>
      <c r="AF13">
        <f t="shared" si="2"/>
        <v>381</v>
      </c>
      <c r="AG13">
        <f t="shared" si="3"/>
        <v>385</v>
      </c>
      <c r="AH13">
        <f t="shared" si="4"/>
        <v>339</v>
      </c>
      <c r="AI13">
        <f t="shared" si="5"/>
        <v>321</v>
      </c>
      <c r="AJ13" s="22">
        <f>IF(ISERROR(MATCH(A13,Rosters!$B$2:$B$155,0)),AD13,"")</f>
        <v>-3.919988</v>
      </c>
      <c r="AK13">
        <f t="shared" si="6"/>
        <v>188</v>
      </c>
      <c r="AL13" s="23">
        <f>COUNTIF(INDEX($C13:$S13,Week+1):INDEX($C13:$S13,13),"&gt;0")</f>
        <v>7</v>
      </c>
    </row>
    <row r="14" spans="1:61" x14ac:dyDescent="0.25">
      <c r="A14" t="s">
        <v>1555</v>
      </c>
      <c r="B14" t="s">
        <v>47</v>
      </c>
      <c r="C14">
        <v>0.69</v>
      </c>
      <c r="D14">
        <v>0.61</v>
      </c>
      <c r="E14">
        <v>0.63</v>
      </c>
      <c r="F14" t="s">
        <v>64</v>
      </c>
      <c r="G14">
        <v>0.59</v>
      </c>
      <c r="H14">
        <v>0.53</v>
      </c>
      <c r="I14">
        <v>0.43</v>
      </c>
      <c r="J14">
        <v>0.42</v>
      </c>
      <c r="K14">
        <v>0.63</v>
      </c>
      <c r="L14">
        <v>0.56000000000000005</v>
      </c>
      <c r="M14">
        <v>0.56000000000000005</v>
      </c>
      <c r="N14">
        <v>0.52</v>
      </c>
      <c r="O14">
        <v>0.59</v>
      </c>
      <c r="P14">
        <v>0.53</v>
      </c>
      <c r="Q14">
        <v>0.68</v>
      </c>
      <c r="R14">
        <v>0.67</v>
      </c>
      <c r="S14">
        <v>0.62</v>
      </c>
      <c r="T14" s="2">
        <f>IF('ROS Rankings'!$AD$1,IFERROR(AVERAGE(INDEX($C14:$S14,14):INDEX($C14:$S14,17)),0),IFERROR(AVERAGE(INDEX($C14:$S14,Week+1):INDEX($C14:$S14,13)),0))</f>
        <v>0.53</v>
      </c>
      <c r="U14" s="2" t="str">
        <f t="shared" si="0"/>
        <v/>
      </c>
      <c r="V14" s="2">
        <f t="shared" si="0"/>
        <v>0.53</v>
      </c>
      <c r="W14" s="2" t="str">
        <f t="shared" si="0"/>
        <v/>
      </c>
      <c r="X14" s="2" t="str">
        <f t="shared" si="0"/>
        <v/>
      </c>
      <c r="Y14" s="2" t="str">
        <f t="shared" si="0"/>
        <v/>
      </c>
      <c r="Z14" s="2" t="str">
        <f t="shared" si="0"/>
        <v/>
      </c>
      <c r="AA14" s="23" t="str">
        <f t="shared" si="1"/>
        <v>RB113</v>
      </c>
      <c r="AB14" s="2">
        <f>$T14-VLOOKUP($B14,Scores!$AG$1:$AM$7,5,FALSE)</f>
        <v>-11.22857142857143</v>
      </c>
      <c r="AC14" s="2">
        <f>$T14-VLOOKUP($B14,Scores!$AG$1:$AM$7,6,FALSE)</f>
        <v>-7.7400000000000011</v>
      </c>
      <c r="AD14" s="2">
        <f>$T14-VLOOKUP($B14,Scores!$AG$1:$AM$7,7,FALSE)+(ROW(A13)/1000000)</f>
        <v>-5.3385584285714289</v>
      </c>
      <c r="AE14" s="2">
        <f t="array" ref="AE14">IF('ROS Rankings'!$AD$1,IFERROR(AVERAGE(IF(INDEX($C14:$S14,14):INDEX($C14:$S14,17)="NA",0,INDEX($C14:$S14,14):INDEX($C14:$S14,17))-INDEX($AQ$2:$BG$7,MATCH($B14,$AO$2:$AO$7,0),14):INDEX($AQ$2:$BG$7,MATCH($B14,$AO$2:$AO$7,0),17)),0),IFERROR(AVERAGE(IF(INDEX($C14:$S14,Week+1):INDEX($C14:$S14,13)="NA",0,INDEX($C14:$S14,Week+1):INDEX($C14:$S14,13))-INDEX($AQ$2:$BG$7,MATCH($B14,$AO$2:$AO$7,0),Week+1):INDEX($AQ$2:$BG$7,MATCH($B14,$AO$2:$AO$7,0),13)),0))+ROW(A13)/1000000</f>
        <v>-4.829987</v>
      </c>
      <c r="AF14">
        <f t="shared" si="2"/>
        <v>501</v>
      </c>
      <c r="AG14">
        <f t="shared" si="3"/>
        <v>494</v>
      </c>
      <c r="AH14">
        <f t="shared" si="4"/>
        <v>444</v>
      </c>
      <c r="AI14">
        <f t="shared" si="5"/>
        <v>444</v>
      </c>
      <c r="AJ14" s="22">
        <f>IF(ISERROR(MATCH(A14,Rosters!$B$2:$B$155,0)),AD14,"")</f>
        <v>-5.3385584285714289</v>
      </c>
      <c r="AK14">
        <f t="shared" si="6"/>
        <v>292</v>
      </c>
      <c r="AL14" s="23">
        <f>COUNTIF(INDEX($C14:$S14,Week+1):INDEX($C14:$S14,13),"&gt;0")</f>
        <v>8</v>
      </c>
    </row>
    <row r="15" spans="1:61" x14ac:dyDescent="0.25">
      <c r="A15" t="s">
        <v>796</v>
      </c>
      <c r="B15" t="s">
        <v>47</v>
      </c>
      <c r="C15">
        <v>10.28</v>
      </c>
      <c r="D15">
        <v>8.1</v>
      </c>
      <c r="E15">
        <v>9.93</v>
      </c>
      <c r="F15">
        <v>9.9700000000000006</v>
      </c>
      <c r="G15">
        <v>3.67</v>
      </c>
      <c r="H15">
        <v>7.67</v>
      </c>
      <c r="I15">
        <v>8.5299999999999994</v>
      </c>
      <c r="J15">
        <v>6.93</v>
      </c>
      <c r="K15">
        <v>7.89</v>
      </c>
      <c r="L15" t="s">
        <v>64</v>
      </c>
      <c r="M15">
        <v>7.26</v>
      </c>
      <c r="N15">
        <v>8.1199999999999992</v>
      </c>
      <c r="O15">
        <v>7.52</v>
      </c>
      <c r="P15">
        <v>7.18</v>
      </c>
      <c r="Q15">
        <v>8.61</v>
      </c>
      <c r="R15">
        <v>6.91</v>
      </c>
      <c r="S15">
        <v>6.06</v>
      </c>
      <c r="T15" s="2">
        <f>IF('ROS Rankings'!$AD$1,IFERROR(AVERAGE(INDEX($C15:$S15,14):INDEX($C15:$S15,17)),0),IFERROR(AVERAGE(INDEX($C15:$S15,Week+1):INDEX($C15:$S15,13)),0))</f>
        <v>7.7028571428571428</v>
      </c>
      <c r="U15" s="2" t="str">
        <f t="shared" si="0"/>
        <v/>
      </c>
      <c r="V15" s="2">
        <f t="shared" si="0"/>
        <v>7.7028571428571428</v>
      </c>
      <c r="W15" s="2" t="str">
        <f t="shared" si="0"/>
        <v/>
      </c>
      <c r="X15" s="2" t="str">
        <f t="shared" si="0"/>
        <v/>
      </c>
      <c r="Y15" s="2" t="str">
        <f t="shared" si="0"/>
        <v/>
      </c>
      <c r="Z15" s="2" t="str">
        <f t="shared" si="0"/>
        <v/>
      </c>
      <c r="AA15" s="23" t="str">
        <f t="shared" si="1"/>
        <v>RB30</v>
      </c>
      <c r="AB15" s="2">
        <f>$T15-VLOOKUP($B15,Scores!$AG$1:$AM$7,5,FALSE)</f>
        <v>-4.055714285714286</v>
      </c>
      <c r="AC15" s="2">
        <f>$T15-VLOOKUP($B15,Scores!$AG$1:$AM$7,6,FALSE)</f>
        <v>-0.5671428571428585</v>
      </c>
      <c r="AD15" s="2">
        <f>$T15-VLOOKUP($B15,Scores!$AG$1:$AM$7,7,FALSE)+(ROW(A14)/1000000)</f>
        <v>1.8342997142857136</v>
      </c>
      <c r="AE15" s="2">
        <f t="array" ref="AE15">IF('ROS Rankings'!$AD$1,IFERROR(AVERAGE(IF(INDEX($C15:$S15,14):INDEX($C15:$S15,17)="NA",0,INDEX($C15:$S15,14):INDEX($C15:$S15,17))-INDEX($AQ$2:$BG$7,MATCH($B15,$AO$2:$AO$7,0),14):INDEX($AQ$2:$BG$7,MATCH($B15,$AO$2:$AO$7,0),17)),0),IFERROR(AVERAGE(IF(INDEX($C15:$S15,Week+1):INDEX($C15:$S15,13)="NA",0,INDEX($C15:$S15,Week+1):INDEX($C15:$S15,13))-INDEX($AQ$2:$BG$7,MATCH($B15,$AO$2:$AO$7,0),Week+1):INDEX($AQ$2:$BG$7,MATCH($B15,$AO$2:$AO$7,0),13)),0))+ROW(A14)/1000000</f>
        <v>1.3800139999999996</v>
      </c>
      <c r="AF15">
        <f t="shared" si="2"/>
        <v>193</v>
      </c>
      <c r="AG15">
        <f t="shared" si="3"/>
        <v>138</v>
      </c>
      <c r="AH15">
        <f t="shared" si="4"/>
        <v>76</v>
      </c>
      <c r="AI15">
        <f t="shared" si="5"/>
        <v>79</v>
      </c>
      <c r="AJ15" s="22" t="str">
        <f>IF(ISERROR(MATCH(A15,Rosters!$B$2:$B$155,0)),AD15,"")</f>
        <v/>
      </c>
      <c r="AK15" t="str">
        <f t="shared" si="6"/>
        <v/>
      </c>
      <c r="AL15" s="23">
        <f>COUNTIF(INDEX($C15:$S15,Week+1):INDEX($C15:$S15,13),"&gt;0")</f>
        <v>7</v>
      </c>
    </row>
    <row r="16" spans="1:61" x14ac:dyDescent="0.25">
      <c r="A16" t="s">
        <v>1614</v>
      </c>
      <c r="B16" t="s">
        <v>114</v>
      </c>
      <c r="C16">
        <v>0.4</v>
      </c>
      <c r="D16">
        <v>0.48</v>
      </c>
      <c r="E16">
        <v>0.55000000000000004</v>
      </c>
      <c r="F16">
        <v>0</v>
      </c>
      <c r="G16">
        <v>0.63</v>
      </c>
      <c r="H16">
        <v>0.6</v>
      </c>
      <c r="I16">
        <v>0.65</v>
      </c>
      <c r="J16">
        <v>0.66</v>
      </c>
      <c r="K16">
        <v>0.57999999999999996</v>
      </c>
      <c r="L16">
        <v>0.61</v>
      </c>
      <c r="M16">
        <v>0.56999999999999995</v>
      </c>
      <c r="N16" t="s">
        <v>64</v>
      </c>
      <c r="O16">
        <v>0.52</v>
      </c>
      <c r="P16">
        <v>0.61</v>
      </c>
      <c r="Q16">
        <v>0.62</v>
      </c>
      <c r="R16">
        <v>0.62</v>
      </c>
      <c r="S16">
        <v>0.55000000000000004</v>
      </c>
      <c r="T16" s="2">
        <f>IF('ROS Rankings'!$AD$1,IFERROR(AVERAGE(INDEX($C16:$S16,14):INDEX($C16:$S16,17)),0),IFERROR(AVERAGE(INDEX($C16:$S16,Week+1):INDEX($C16:$S16,13)),0))</f>
        <v>0.59857142857142853</v>
      </c>
      <c r="U16" s="2" t="str">
        <f t="shared" si="0"/>
        <v/>
      </c>
      <c r="V16" s="2" t="str">
        <f t="shared" si="0"/>
        <v/>
      </c>
      <c r="W16" s="2" t="str">
        <f t="shared" si="0"/>
        <v/>
      </c>
      <c r="X16" s="2">
        <f t="shared" si="0"/>
        <v>0.59857142857142853</v>
      </c>
      <c r="Y16" s="2" t="str">
        <f t="shared" si="0"/>
        <v/>
      </c>
      <c r="Z16" s="2" t="str">
        <f t="shared" si="0"/>
        <v/>
      </c>
      <c r="AA16" s="23" t="str">
        <f t="shared" si="1"/>
        <v>TE75</v>
      </c>
      <c r="AB16" s="2">
        <f>$T16-VLOOKUP($B16,Scores!$AG$1:$AM$7,5,FALSE)</f>
        <v>-6.4001785714285706</v>
      </c>
      <c r="AC16" s="2">
        <f>$T16-VLOOKUP($B16,Scores!$AG$1:$AM$7,6,FALSE)</f>
        <v>-4.6514285714285712</v>
      </c>
      <c r="AD16" s="2">
        <f>$T16-VLOOKUP($B16,Scores!$AG$1:$AM$7,7,FALSE)+(ROW(A15)/1000000)</f>
        <v>-4.5814135714285706</v>
      </c>
      <c r="AE16" s="2">
        <f t="array" ref="AE16">IF('ROS Rankings'!$AD$1,IFERROR(AVERAGE(IF(INDEX($C16:$S16,14):INDEX($C16:$S16,17)="NA",0,INDEX($C16:$S16,14):INDEX($C16:$S16,17))-INDEX($AQ$2:$BG$7,MATCH($B16,$AO$2:$AO$7,0),14):INDEX($AQ$2:$BG$7,MATCH($B16,$AO$2:$AO$7,0),17)),0),IFERROR(AVERAGE(IF(INDEX($C16:$S16,Week+1):INDEX($C16:$S16,13)="NA",0,INDEX($C16:$S16,Week+1):INDEX($C16:$S16,13))-INDEX($AQ$2:$BG$7,MATCH($B16,$AO$2:$AO$7,0),Week+1):INDEX($AQ$2:$BG$7,MATCH($B16,$AO$2:$AO$7,0),13)),0))+ROW(A15)/1000000</f>
        <v>-4.5737349999999992</v>
      </c>
      <c r="AF16">
        <f t="shared" si="2"/>
        <v>300</v>
      </c>
      <c r="AG16">
        <f t="shared" si="3"/>
        <v>321</v>
      </c>
      <c r="AH16">
        <f t="shared" si="4"/>
        <v>365</v>
      </c>
      <c r="AI16">
        <f t="shared" si="5"/>
        <v>382</v>
      </c>
      <c r="AJ16" s="22">
        <f>IF(ISERROR(MATCH(A16,Rosters!$B$2:$B$155,0)),AD16,"")</f>
        <v>-4.5814135714285706</v>
      </c>
      <c r="AK16">
        <f t="shared" si="6"/>
        <v>213</v>
      </c>
      <c r="AL16" s="23">
        <f>COUNTIF(INDEX($C16:$S16,Week+1):INDEX($C16:$S16,13),"&gt;0")</f>
        <v>7</v>
      </c>
    </row>
    <row r="17" spans="1:38" x14ac:dyDescent="0.25">
      <c r="A17" t="s">
        <v>346</v>
      </c>
      <c r="B17" t="s">
        <v>87</v>
      </c>
      <c r="C17">
        <v>0.47</v>
      </c>
      <c r="D17">
        <v>0.5</v>
      </c>
      <c r="E17">
        <v>0.79</v>
      </c>
      <c r="F17">
        <v>0.82</v>
      </c>
      <c r="G17">
        <v>1.26</v>
      </c>
      <c r="H17">
        <v>0.43</v>
      </c>
      <c r="I17">
        <v>0.5</v>
      </c>
      <c r="J17">
        <v>0.65</v>
      </c>
      <c r="K17" t="s">
        <v>64</v>
      </c>
      <c r="L17">
        <v>0.57999999999999996</v>
      </c>
      <c r="M17">
        <v>0.51</v>
      </c>
      <c r="N17">
        <v>0.45</v>
      </c>
      <c r="O17">
        <v>0.41</v>
      </c>
      <c r="P17">
        <v>0.47</v>
      </c>
      <c r="Q17">
        <v>0.55000000000000004</v>
      </c>
      <c r="R17">
        <v>0.44</v>
      </c>
      <c r="S17">
        <v>0.43</v>
      </c>
      <c r="T17" s="2">
        <f>IF('ROS Rankings'!$AD$1,IFERROR(AVERAGE(INDEX($C17:$S17,14):INDEX($C17:$S17,17)),0),IFERROR(AVERAGE(INDEX($C17:$S17,Week+1):INDEX($C17:$S17,13)),0))</f>
        <v>0.50428571428571434</v>
      </c>
      <c r="U17" s="2" t="str">
        <f t="shared" si="0"/>
        <v/>
      </c>
      <c r="V17" s="2" t="str">
        <f t="shared" si="0"/>
        <v/>
      </c>
      <c r="W17" s="2">
        <f t="shared" si="0"/>
        <v>0.50428571428571434</v>
      </c>
      <c r="X17" s="2" t="str">
        <f t="shared" si="0"/>
        <v/>
      </c>
      <c r="Y17" s="2" t="str">
        <f t="shared" si="0"/>
        <v/>
      </c>
      <c r="Z17" s="2" t="str">
        <f t="shared" si="0"/>
        <v/>
      </c>
      <c r="AA17" s="23" t="str">
        <f t="shared" si="1"/>
        <v>WR168</v>
      </c>
      <c r="AB17" s="2">
        <f>$T17-VLOOKUP($B17,Scores!$AG$1:$AM$7,5,FALSE)</f>
        <v>-9.8671428571428557</v>
      </c>
      <c r="AC17" s="2">
        <f>$T17-VLOOKUP($B17,Scores!$AG$1:$AM$7,6,FALSE)</f>
        <v>-7.5271428571428576</v>
      </c>
      <c r="AD17" s="2">
        <f>$T17-VLOOKUP($B17,Scores!$AG$1:$AM$7,7,FALSE)+(ROW(A16)/1000000)</f>
        <v>-5.5485554285714285</v>
      </c>
      <c r="AE17" s="2">
        <f t="array" ref="AE17">IF('ROS Rankings'!$AD$1,IFERROR(AVERAGE(IF(INDEX($C17:$S17,14):INDEX($C17:$S17,17)="NA",0,INDEX($C17:$S17,14):INDEX($C17:$S17,17))-INDEX($AQ$2:$BG$7,MATCH($B17,$AO$2:$AO$7,0),14):INDEX($AQ$2:$BG$7,MATCH($B17,$AO$2:$AO$7,0),17)),0),IFERROR(AVERAGE(IF(INDEX($C17:$S17,Week+1):INDEX($C17:$S17,13)="NA",0,INDEX($C17:$S17,Week+1):INDEX($C17:$S17,13))-INDEX($AQ$2:$BG$7,MATCH($B17,$AO$2:$AO$7,0),Week+1):INDEX($AQ$2:$BG$7,MATCH($B17,$AO$2:$AO$7,0),13)),0))+ROW(A16)/1000000</f>
        <v>-4.9149840000000005</v>
      </c>
      <c r="AF17">
        <f t="shared" si="2"/>
        <v>445</v>
      </c>
      <c r="AG17">
        <f t="shared" si="3"/>
        <v>462</v>
      </c>
      <c r="AH17">
        <f t="shared" si="4"/>
        <v>495</v>
      </c>
      <c r="AI17">
        <f t="shared" si="5"/>
        <v>480</v>
      </c>
      <c r="AJ17" s="22">
        <f>IF(ISERROR(MATCH(A17,Rosters!$B$2:$B$155,0)),AD17,"")</f>
        <v>-5.5485554285714285</v>
      </c>
      <c r="AK17">
        <f t="shared" si="6"/>
        <v>343</v>
      </c>
      <c r="AL17" s="23">
        <f>COUNTIF(INDEX($C17:$S17,Week+1):INDEX($C17:$S17,13),"&gt;0")</f>
        <v>7</v>
      </c>
    </row>
    <row r="18" spans="1:38" x14ac:dyDescent="0.25">
      <c r="A18" t="s">
        <v>95</v>
      </c>
      <c r="B18" t="s">
        <v>15</v>
      </c>
      <c r="C18">
        <v>14.97</v>
      </c>
      <c r="D18">
        <v>20.239999999999998</v>
      </c>
      <c r="E18">
        <v>18.71</v>
      </c>
      <c r="F18" t="s">
        <v>64</v>
      </c>
      <c r="G18">
        <v>19.7</v>
      </c>
      <c r="H18">
        <v>18.8</v>
      </c>
      <c r="I18">
        <v>20.69</v>
      </c>
      <c r="J18">
        <v>18.61</v>
      </c>
      <c r="K18">
        <v>21.56</v>
      </c>
      <c r="L18">
        <v>21.24</v>
      </c>
      <c r="M18">
        <v>22.17</v>
      </c>
      <c r="N18">
        <v>19.440000000000001</v>
      </c>
      <c r="O18">
        <v>16.72</v>
      </c>
      <c r="P18">
        <v>19.96</v>
      </c>
      <c r="Q18">
        <v>15.97</v>
      </c>
      <c r="R18">
        <v>20.61</v>
      </c>
      <c r="S18">
        <v>17.71</v>
      </c>
      <c r="T18" s="2">
        <f>IF('ROS Rankings'!$AD$1,IFERROR(AVERAGE(INDEX($C18:$S18,14):INDEX($C18:$S18,17)),0),IFERROR(AVERAGE(INDEX($C18:$S18,Week+1):INDEX($C18:$S18,13)),0))</f>
        <v>19.903749999999999</v>
      </c>
      <c r="U18" s="2">
        <f t="shared" si="0"/>
        <v>19.903749999999999</v>
      </c>
      <c r="V18" s="2" t="str">
        <f t="shared" si="0"/>
        <v/>
      </c>
      <c r="W18" s="2" t="str">
        <f t="shared" si="0"/>
        <v/>
      </c>
      <c r="X18" s="2" t="str">
        <f t="shared" si="0"/>
        <v/>
      </c>
      <c r="Y18" s="2" t="str">
        <f t="shared" si="0"/>
        <v/>
      </c>
      <c r="Z18" s="2" t="str">
        <f t="shared" si="0"/>
        <v/>
      </c>
      <c r="AA18" s="23" t="str">
        <f t="shared" si="1"/>
        <v>QB10</v>
      </c>
      <c r="AB18" s="2">
        <f>$T18-VLOOKUP($B18,Scores!$AG$1:$AM$7,5,FALSE)</f>
        <v>-0.98053571428571473</v>
      </c>
      <c r="AC18" s="2">
        <f>$T18-VLOOKUP($B18,Scores!$AG$1:$AM$7,6,FALSE)</f>
        <v>0</v>
      </c>
      <c r="AD18" s="2">
        <f>$T18-VLOOKUP($B18,Scores!$AG$1:$AM$7,7,FALSE)+(ROW(A17)/1000000)</f>
        <v>0.40376700000000226</v>
      </c>
      <c r="AE18" s="2">
        <f t="array" ref="AE18">IF('ROS Rankings'!$AD$1,IFERROR(AVERAGE(IF(INDEX($C18:$S18,14):INDEX($C18:$S18,17)="NA",0,INDEX($C18:$S18,14):INDEX($C18:$S18,17))-INDEX($AQ$2:$BG$7,MATCH($B18,$AO$2:$AO$7,0),14):INDEX($AQ$2:$BG$7,MATCH($B18,$AO$2:$AO$7,0),17)),0),IFERROR(AVERAGE(IF(INDEX($C18:$S18,Week+1):INDEX($C18:$S18,13)="NA",0,INDEX($C18:$S18,Week+1):INDEX($C18:$S18,13))-INDEX($AQ$2:$BG$7,MATCH($B18,$AO$2:$AO$7,0),Week+1):INDEX($AQ$2:$BG$7,MATCH($B18,$AO$2:$AO$7,0),13)),0))+ROW(A17)/1000000</f>
        <v>1.401267</v>
      </c>
      <c r="AF18">
        <f t="shared" si="2"/>
        <v>89</v>
      </c>
      <c r="AG18">
        <f t="shared" si="3"/>
        <v>95</v>
      </c>
      <c r="AH18">
        <f t="shared" si="4"/>
        <v>123</v>
      </c>
      <c r="AI18">
        <f t="shared" si="5"/>
        <v>78</v>
      </c>
      <c r="AJ18" s="22" t="str">
        <f>IF(ISERROR(MATCH(A18,Rosters!$B$2:$B$155,0)),AD18,"")</f>
        <v/>
      </c>
      <c r="AK18" t="str">
        <f t="shared" si="6"/>
        <v/>
      </c>
      <c r="AL18" s="23">
        <f>COUNTIF(INDEX($C18:$S18,Week+1):INDEX($C18:$S18,13),"&gt;0")</f>
        <v>8</v>
      </c>
    </row>
    <row r="19" spans="1:38" x14ac:dyDescent="0.25">
      <c r="A19" t="s">
        <v>1642</v>
      </c>
      <c r="B19" t="s">
        <v>15</v>
      </c>
      <c r="C19">
        <v>0</v>
      </c>
      <c r="D19">
        <v>0</v>
      </c>
      <c r="E19">
        <v>0</v>
      </c>
      <c r="F19">
        <v>0</v>
      </c>
      <c r="G19">
        <v>0</v>
      </c>
      <c r="H19">
        <v>0</v>
      </c>
      <c r="I19">
        <v>0</v>
      </c>
      <c r="J19">
        <v>0</v>
      </c>
      <c r="K19" t="s">
        <v>64</v>
      </c>
      <c r="L19">
        <v>0</v>
      </c>
      <c r="M19">
        <v>0</v>
      </c>
      <c r="N19">
        <v>0</v>
      </c>
      <c r="O19">
        <v>0</v>
      </c>
      <c r="P19">
        <v>0</v>
      </c>
      <c r="Q19">
        <v>0</v>
      </c>
      <c r="R19">
        <v>0</v>
      </c>
      <c r="S19">
        <v>0</v>
      </c>
      <c r="T19" s="2">
        <f>IF('ROS Rankings'!$AD$1,IFERROR(AVERAGE(INDEX($C19:$S19,14):INDEX($C19:$S19,17)),0),IFERROR(AVERAGE(INDEX($C19:$S19,Week+1):INDEX($C19:$S19,13)),0))</f>
        <v>0</v>
      </c>
      <c r="U19" s="2">
        <f t="shared" si="0"/>
        <v>0</v>
      </c>
      <c r="V19" s="2" t="str">
        <f t="shared" si="0"/>
        <v/>
      </c>
      <c r="W19" s="2" t="str">
        <f t="shared" si="0"/>
        <v/>
      </c>
      <c r="X19" s="2" t="str">
        <f t="shared" si="0"/>
        <v/>
      </c>
      <c r="Y19" s="2" t="str">
        <f t="shared" si="0"/>
        <v/>
      </c>
      <c r="Z19" s="2" t="str">
        <f t="shared" si="0"/>
        <v/>
      </c>
      <c r="AA19" s="23" t="str">
        <f t="shared" si="1"/>
        <v>QB60</v>
      </c>
      <c r="AB19" s="2">
        <f>$T19-VLOOKUP($B19,Scores!$AG$1:$AM$7,5,FALSE)</f>
        <v>-20.884285714285713</v>
      </c>
      <c r="AC19" s="2">
        <f>$T19-VLOOKUP($B19,Scores!$AG$1:$AM$7,6,FALSE)</f>
        <v>-19.903749999999999</v>
      </c>
      <c r="AD19" s="2">
        <f>$T19-VLOOKUP($B19,Scores!$AG$1:$AM$7,7,FALSE)+(ROW(A18)/1000000)</f>
        <v>-19.499981999999996</v>
      </c>
      <c r="AE19" s="2">
        <f t="array" ref="AE19">IF('ROS Rankings'!$AD$1,IFERROR(AVERAGE(IF(INDEX($C19:$S19,14):INDEX($C19:$S19,17)="NA",0,INDEX($C19:$S19,14):INDEX($C19:$S19,17))-INDEX($AQ$2:$BG$7,MATCH($B19,$AO$2:$AO$7,0),14):INDEX($AQ$2:$BG$7,MATCH($B19,$AO$2:$AO$7,0),17)),0),IFERROR(AVERAGE(IF(INDEX($C19:$S19,Week+1):INDEX($C19:$S19,13)="NA",0,INDEX($C19:$S19,Week+1):INDEX($C19:$S19,13))-INDEX($AQ$2:$BG$7,MATCH($B19,$AO$2:$AO$7,0),Week+1):INDEX($AQ$2:$BG$7,MATCH($B19,$AO$2:$AO$7,0),13)),0))+ROW(A18)/1000000</f>
        <v>-18.502482000000001</v>
      </c>
      <c r="AF19">
        <f t="shared" si="2"/>
        <v>551</v>
      </c>
      <c r="AG19">
        <f t="shared" si="3"/>
        <v>551</v>
      </c>
      <c r="AH19">
        <f t="shared" si="4"/>
        <v>560</v>
      </c>
      <c r="AI19">
        <f t="shared" si="5"/>
        <v>560</v>
      </c>
      <c r="AJ19" s="22">
        <f>IF(ISERROR(MATCH(A19,Rosters!$B$2:$B$155,0)),AD19,"")</f>
        <v>-19.499981999999996</v>
      </c>
      <c r="AK19">
        <f t="shared" si="6"/>
        <v>407</v>
      </c>
      <c r="AL19" s="23">
        <f>COUNTIF(INDEX($C19:$S19,Week+1):INDEX($C19:$S19,13),"&gt;0")</f>
        <v>0</v>
      </c>
    </row>
    <row r="20" spans="1:38" x14ac:dyDescent="0.25">
      <c r="A20" t="s">
        <v>294</v>
      </c>
      <c r="B20" t="s">
        <v>47</v>
      </c>
      <c r="C20">
        <v>3.38</v>
      </c>
      <c r="D20">
        <v>2.71</v>
      </c>
      <c r="E20">
        <v>4.54</v>
      </c>
      <c r="F20">
        <v>4.9800000000000004</v>
      </c>
      <c r="G20">
        <v>5.78</v>
      </c>
      <c r="H20">
        <v>5.42</v>
      </c>
      <c r="I20">
        <v>3.85</v>
      </c>
      <c r="J20">
        <v>5.54</v>
      </c>
      <c r="K20">
        <v>3.84</v>
      </c>
      <c r="L20" t="s">
        <v>64</v>
      </c>
      <c r="M20">
        <v>5.48</v>
      </c>
      <c r="N20">
        <v>5.0599999999999996</v>
      </c>
      <c r="O20">
        <v>4.46</v>
      </c>
      <c r="P20">
        <v>5.45</v>
      </c>
      <c r="Q20">
        <v>3.8</v>
      </c>
      <c r="R20">
        <v>3.93</v>
      </c>
      <c r="S20">
        <v>4.17</v>
      </c>
      <c r="T20" s="2">
        <f>IF('ROS Rankings'!$AD$1,IFERROR(AVERAGE(INDEX($C20:$S20,14):INDEX($C20:$S20,17)),0),IFERROR(AVERAGE(INDEX($C20:$S20,Week+1):INDEX($C20:$S20,13)),0))</f>
        <v>4.8071428571428569</v>
      </c>
      <c r="U20" s="2" t="str">
        <f t="shared" si="0"/>
        <v/>
      </c>
      <c r="V20" s="2">
        <f t="shared" si="0"/>
        <v>4.8071428571428569</v>
      </c>
      <c r="W20" s="2" t="str">
        <f t="shared" si="0"/>
        <v/>
      </c>
      <c r="X20" s="2" t="str">
        <f t="shared" si="0"/>
        <v/>
      </c>
      <c r="Y20" s="2" t="str">
        <f t="shared" si="0"/>
        <v/>
      </c>
      <c r="Z20" s="2" t="str">
        <f t="shared" si="0"/>
        <v/>
      </c>
      <c r="AA20" s="23" t="str">
        <f t="shared" si="1"/>
        <v>RB59</v>
      </c>
      <c r="AB20" s="2">
        <f>$T20-VLOOKUP($B20,Scores!$AG$1:$AM$7,5,FALSE)</f>
        <v>-6.951428571428572</v>
      </c>
      <c r="AC20" s="2">
        <f>$T20-VLOOKUP($B20,Scores!$AG$1:$AM$7,6,FALSE)</f>
        <v>-3.4628571428571444</v>
      </c>
      <c r="AD20" s="2">
        <f>$T20-VLOOKUP($B20,Scores!$AG$1:$AM$7,7,FALSE)+(ROW(A19)/1000000)</f>
        <v>-1.0614095714285723</v>
      </c>
      <c r="AE20" s="2">
        <f t="array" ref="AE20">IF('ROS Rankings'!$AD$1,IFERROR(AVERAGE(IF(INDEX($C20:$S20,14):INDEX($C20:$S20,17)="NA",0,INDEX($C20:$S20,14):INDEX($C20:$S20,17))-INDEX($AQ$2:$BG$7,MATCH($B20,$AO$2:$AO$7,0),14):INDEX($AQ$2:$BG$7,MATCH($B20,$AO$2:$AO$7,0),17)),0),IFERROR(AVERAGE(IF(INDEX($C20:$S20,Week+1):INDEX($C20:$S20,13)="NA",0,INDEX($C20:$S20,Week+1):INDEX($C20:$S20,13))-INDEX($AQ$2:$BG$7,MATCH($B20,$AO$2:$AO$7,0),Week+1):INDEX($AQ$2:$BG$7,MATCH($B20,$AO$2:$AO$7,0),13)),0))+ROW(A19)/1000000</f>
        <v>-1.1537309999999998</v>
      </c>
      <c r="AF20">
        <f t="shared" si="2"/>
        <v>343</v>
      </c>
      <c r="AG20">
        <f t="shared" si="3"/>
        <v>267</v>
      </c>
      <c r="AH20">
        <f t="shared" si="4"/>
        <v>204</v>
      </c>
      <c r="AI20">
        <f t="shared" si="5"/>
        <v>180</v>
      </c>
      <c r="AJ20" s="22" t="str">
        <f>IF(ISERROR(MATCH(A20,Rosters!$B$2:$B$155,0)),AD20,"")</f>
        <v/>
      </c>
      <c r="AK20" t="str">
        <f t="shared" si="6"/>
        <v/>
      </c>
      <c r="AL20" s="23">
        <f>COUNTIF(INDEX($C20:$S20,Week+1):INDEX($C20:$S20,13),"&gt;0")</f>
        <v>7</v>
      </c>
    </row>
    <row r="21" spans="1:38" x14ac:dyDescent="0.25">
      <c r="A21" t="s">
        <v>212</v>
      </c>
      <c r="B21" t="s">
        <v>47</v>
      </c>
      <c r="C21">
        <v>5.23</v>
      </c>
      <c r="D21">
        <v>7.48</v>
      </c>
      <c r="E21">
        <v>8.35</v>
      </c>
      <c r="F21">
        <v>6.96</v>
      </c>
      <c r="G21">
        <v>6.2</v>
      </c>
      <c r="H21">
        <v>5.86</v>
      </c>
      <c r="I21">
        <v>7.66</v>
      </c>
      <c r="J21">
        <v>5.71</v>
      </c>
      <c r="K21">
        <v>5.61</v>
      </c>
      <c r="L21">
        <v>7.24</v>
      </c>
      <c r="M21" t="s">
        <v>64</v>
      </c>
      <c r="N21">
        <v>5.67</v>
      </c>
      <c r="O21">
        <v>5.07</v>
      </c>
      <c r="P21">
        <v>5.32</v>
      </c>
      <c r="Q21">
        <v>5.51</v>
      </c>
      <c r="R21">
        <v>5.98</v>
      </c>
      <c r="S21">
        <v>7.05</v>
      </c>
      <c r="T21" s="2">
        <f>IF('ROS Rankings'!$AD$1,IFERROR(AVERAGE(INDEX($C21:$S21,14):INDEX($C21:$S21,17)),0),IFERROR(AVERAGE(INDEX($C21:$S21,Week+1):INDEX($C21:$S21,13)),0))</f>
        <v>6.1171428571428574</v>
      </c>
      <c r="U21" s="2" t="str">
        <f t="shared" si="0"/>
        <v/>
      </c>
      <c r="V21" s="2">
        <f t="shared" si="0"/>
        <v>6.1171428571428574</v>
      </c>
      <c r="W21" s="2" t="str">
        <f t="shared" si="0"/>
        <v/>
      </c>
      <c r="X21" s="2" t="str">
        <f t="shared" si="0"/>
        <v/>
      </c>
      <c r="Y21" s="2" t="str">
        <f t="shared" si="0"/>
        <v/>
      </c>
      <c r="Z21" s="2" t="str">
        <f t="shared" si="0"/>
        <v/>
      </c>
      <c r="AA21" s="23" t="str">
        <f t="shared" si="1"/>
        <v>RB46</v>
      </c>
      <c r="AB21" s="2">
        <f>$T21-VLOOKUP($B21,Scores!$AG$1:$AM$7,5,FALSE)</f>
        <v>-5.6414285714285715</v>
      </c>
      <c r="AC21" s="2">
        <f>$T21-VLOOKUP($B21,Scores!$AG$1:$AM$7,6,FALSE)</f>
        <v>-2.1528571428571439</v>
      </c>
      <c r="AD21" s="2">
        <f>$T21-VLOOKUP($B21,Scores!$AG$1:$AM$7,7,FALSE)+(ROW(A20)/1000000)</f>
        <v>0.24859142857142821</v>
      </c>
      <c r="AE21" s="2">
        <f t="array" ref="AE21">IF('ROS Rankings'!$AD$1,IFERROR(AVERAGE(IF(INDEX($C21:$S21,14):INDEX($C21:$S21,17)="NA",0,INDEX($C21:$S21,14):INDEX($C21:$S21,17))-INDEX($AQ$2:$BG$7,MATCH($B21,$AO$2:$AO$7,0),14):INDEX($AQ$2:$BG$7,MATCH($B21,$AO$2:$AO$7,0),17)),0),IFERROR(AVERAGE(IF(INDEX($C21:$S21,Week+1):INDEX($C21:$S21,13)="NA",0,INDEX($C21:$S21,Week+1):INDEX($C21:$S21,13))-INDEX($AQ$2:$BG$7,MATCH($B21,$AO$2:$AO$7,0),Week+1):INDEX($AQ$2:$BG$7,MATCH($B21,$AO$2:$AO$7,0),13)),0))+ROW(A20)/1000000</f>
        <v>-7.4799999999997291E-3</v>
      </c>
      <c r="AF21">
        <f t="shared" si="2"/>
        <v>269</v>
      </c>
      <c r="AG21">
        <f t="shared" si="3"/>
        <v>203</v>
      </c>
      <c r="AH21">
        <f t="shared" si="4"/>
        <v>128</v>
      </c>
      <c r="AI21">
        <f t="shared" si="5"/>
        <v>123</v>
      </c>
      <c r="AJ21" s="22" t="str">
        <f>IF(ISERROR(MATCH(A21,Rosters!$B$2:$B$155,0)),AD21,"")</f>
        <v/>
      </c>
      <c r="AK21" t="str">
        <f t="shared" si="6"/>
        <v/>
      </c>
      <c r="AL21" s="23">
        <f>COUNTIF(INDEX($C21:$S21,Week+1):INDEX($C21:$S21,13),"&gt;0")</f>
        <v>7</v>
      </c>
    </row>
    <row r="22" spans="1:38" x14ac:dyDescent="0.25">
      <c r="A22" t="s">
        <v>252</v>
      </c>
      <c r="B22" t="s">
        <v>87</v>
      </c>
      <c r="C22">
        <v>4.5</v>
      </c>
      <c r="D22">
        <v>4.92</v>
      </c>
      <c r="E22">
        <v>4.66</v>
      </c>
      <c r="F22">
        <v>4.7300000000000004</v>
      </c>
      <c r="G22">
        <v>4.9000000000000004</v>
      </c>
      <c r="H22">
        <v>4.32</v>
      </c>
      <c r="I22">
        <v>3.95</v>
      </c>
      <c r="J22" t="s">
        <v>64</v>
      </c>
      <c r="K22">
        <v>4.99</v>
      </c>
      <c r="L22">
        <v>4.5599999999999996</v>
      </c>
      <c r="M22">
        <v>3.87</v>
      </c>
      <c r="N22">
        <v>4.09</v>
      </c>
      <c r="O22">
        <v>4.4800000000000004</v>
      </c>
      <c r="P22">
        <v>4.7</v>
      </c>
      <c r="Q22">
        <v>4.1399999999999997</v>
      </c>
      <c r="R22">
        <v>5.28</v>
      </c>
      <c r="S22">
        <v>3.95</v>
      </c>
      <c r="T22" s="2">
        <f>IF('ROS Rankings'!$AD$1,IFERROR(AVERAGE(INDEX($C22:$S22,14):INDEX($C22:$S22,17)),0),IFERROR(AVERAGE(INDEX($C22:$S22,Week+1):INDEX($C22:$S22,13)),0))</f>
        <v>4.322857142857143</v>
      </c>
      <c r="U22" s="2" t="str">
        <f t="shared" si="0"/>
        <v/>
      </c>
      <c r="V22" s="2" t="str">
        <f t="shared" si="0"/>
        <v/>
      </c>
      <c r="W22" s="2">
        <f t="shared" si="0"/>
        <v>4.322857142857143</v>
      </c>
      <c r="X22" s="2" t="str">
        <f t="shared" si="0"/>
        <v/>
      </c>
      <c r="Y22" s="2" t="str">
        <f t="shared" si="0"/>
        <v/>
      </c>
      <c r="Z22" s="2" t="str">
        <f t="shared" si="0"/>
        <v/>
      </c>
      <c r="AA22" s="23" t="str">
        <f t="shared" si="1"/>
        <v>WR74</v>
      </c>
      <c r="AB22" s="2">
        <f>$T22-VLOOKUP($B22,Scores!$AG$1:$AM$7,5,FALSE)</f>
        <v>-6.0485714285714272</v>
      </c>
      <c r="AC22" s="2">
        <f>$T22-VLOOKUP($B22,Scores!$AG$1:$AM$7,6,FALSE)</f>
        <v>-3.7085714285714291</v>
      </c>
      <c r="AD22" s="2">
        <f>$T22-VLOOKUP($B22,Scores!$AG$1:$AM$7,7,FALSE)+(ROW(A21)/1000000)</f>
        <v>-1.7299789999999995</v>
      </c>
      <c r="AE22" s="2">
        <f t="array" ref="AE22">IF('ROS Rankings'!$AD$1,IFERROR(AVERAGE(IF(INDEX($C22:$S22,14):INDEX($C22:$S22,17)="NA",0,INDEX($C22:$S22,14):INDEX($C22:$S22,17))-INDEX($AQ$2:$BG$7,MATCH($B22,$AO$2:$AO$7,0),14):INDEX($AQ$2:$BG$7,MATCH($B22,$AO$2:$AO$7,0),17)),0),IFERROR(AVERAGE(IF(INDEX($C22:$S22,Week+1):INDEX($C22:$S22,13)="NA",0,INDEX($C22:$S22,Week+1):INDEX($C22:$S22,13))-INDEX($AQ$2:$BG$7,MATCH($B22,$AO$2:$AO$7,0),Week+1):INDEX($AQ$2:$BG$7,MATCH($B22,$AO$2:$AO$7,0),13)),0))+ROW(A21)/1000000</f>
        <v>-1.5737289999999997</v>
      </c>
      <c r="AF22">
        <f t="shared" si="2"/>
        <v>284</v>
      </c>
      <c r="AG22">
        <f t="shared" si="3"/>
        <v>286</v>
      </c>
      <c r="AH22">
        <f t="shared" si="4"/>
        <v>235</v>
      </c>
      <c r="AI22">
        <f t="shared" si="5"/>
        <v>216</v>
      </c>
      <c r="AJ22" s="22">
        <f>IF(ISERROR(MATCH(A22,Rosters!$B$2:$B$155,0)),AD22,"")</f>
        <v>-1.7299789999999995</v>
      </c>
      <c r="AK22">
        <f t="shared" si="6"/>
        <v>92</v>
      </c>
      <c r="AL22" s="23">
        <f>COUNTIF(INDEX($C22:$S22,Week+1):INDEX($C22:$S22,13),"&gt;0")</f>
        <v>7</v>
      </c>
    </row>
    <row r="23" spans="1:38" x14ac:dyDescent="0.25">
      <c r="A23" t="s">
        <v>119</v>
      </c>
      <c r="B23" t="s">
        <v>87</v>
      </c>
      <c r="C23">
        <v>8.56</v>
      </c>
      <c r="D23">
        <v>8.4600000000000009</v>
      </c>
      <c r="E23">
        <v>8.4</v>
      </c>
      <c r="F23">
        <v>7.7</v>
      </c>
      <c r="G23" t="s">
        <v>64</v>
      </c>
      <c r="H23">
        <v>7.82</v>
      </c>
      <c r="I23">
        <v>8.6300000000000008</v>
      </c>
      <c r="J23">
        <v>7.76</v>
      </c>
      <c r="K23">
        <v>7.92</v>
      </c>
      <c r="L23">
        <v>9.66</v>
      </c>
      <c r="M23">
        <v>7.91</v>
      </c>
      <c r="N23">
        <v>9.39</v>
      </c>
      <c r="O23">
        <v>7.56</v>
      </c>
      <c r="P23">
        <v>8.2100000000000009</v>
      </c>
      <c r="Q23">
        <v>8.52</v>
      </c>
      <c r="R23">
        <v>7.96</v>
      </c>
      <c r="S23">
        <v>7.65</v>
      </c>
      <c r="T23" s="2">
        <f>IF('ROS Rankings'!$AD$1,IFERROR(AVERAGE(INDEX($C23:$S23,14):INDEX($C23:$S23,17)),0),IFERROR(AVERAGE(INDEX($C23:$S23,Week+1):INDEX($C23:$S23,13)),0))</f>
        <v>8.3312500000000007</v>
      </c>
      <c r="U23" s="2" t="str">
        <f t="shared" si="0"/>
        <v/>
      </c>
      <c r="V23" s="2" t="str">
        <f t="shared" si="0"/>
        <v/>
      </c>
      <c r="W23" s="2">
        <f t="shared" si="0"/>
        <v>8.3312500000000007</v>
      </c>
      <c r="X23" s="2" t="str">
        <f t="shared" si="0"/>
        <v/>
      </c>
      <c r="Y23" s="2" t="str">
        <f t="shared" si="0"/>
        <v/>
      </c>
      <c r="Z23" s="2" t="str">
        <f t="shared" si="0"/>
        <v/>
      </c>
      <c r="AA23" s="23" t="str">
        <f t="shared" si="1"/>
        <v>WR32</v>
      </c>
      <c r="AB23" s="2">
        <f>$T23-VLOOKUP($B23,Scores!$AG$1:$AM$7,5,FALSE)</f>
        <v>-2.0401785714285694</v>
      </c>
      <c r="AC23" s="2">
        <f>$T23-VLOOKUP($B23,Scores!$AG$1:$AM$7,6,FALSE)</f>
        <v>0.29982142857142868</v>
      </c>
      <c r="AD23" s="2">
        <f>$T23-VLOOKUP($B23,Scores!$AG$1:$AM$7,7,FALSE)+(ROW(A22)/1000000)</f>
        <v>2.2784148571428582</v>
      </c>
      <c r="AE23" s="2">
        <f t="array" ref="AE23">IF('ROS Rankings'!$AD$1,IFERROR(AVERAGE(IF(INDEX($C23:$S23,14):INDEX($C23:$S23,17)="NA",0,INDEX($C23:$S23,14):INDEX($C23:$S23,17))-INDEX($AQ$2:$BG$7,MATCH($B23,$AO$2:$AO$7,0),14):INDEX($AQ$2:$BG$7,MATCH($B23,$AO$2:$AO$7,0),17)),0),IFERROR(AVERAGE(IF(INDEX($C23:$S23,Week+1):INDEX($C23:$S23,13)="NA",0,INDEX($C23:$S23,Week+1):INDEX($C23:$S23,13))-INDEX($AQ$2:$BG$7,MATCH($B23,$AO$2:$AO$7,0),Week+1):INDEX($AQ$2:$BG$7,MATCH($B23,$AO$2:$AO$7,0),13)),0))+ROW(A22)/1000000</f>
        <v>2.9750219999999996</v>
      </c>
      <c r="AF23">
        <f t="shared" si="2"/>
        <v>133</v>
      </c>
      <c r="AG23">
        <f t="shared" si="3"/>
        <v>83</v>
      </c>
      <c r="AH23">
        <f t="shared" si="4"/>
        <v>63</v>
      </c>
      <c r="AI23">
        <f t="shared" si="5"/>
        <v>42</v>
      </c>
      <c r="AJ23" s="22" t="str">
        <f>IF(ISERROR(MATCH(A23,Rosters!$B$2:$B$155,0)),AD23,"")</f>
        <v/>
      </c>
      <c r="AK23" t="str">
        <f t="shared" si="6"/>
        <v/>
      </c>
      <c r="AL23" s="23">
        <f>COUNTIF(INDEX($C23:$S23,Week+1):INDEX($C23:$S23,13),"&gt;0")</f>
        <v>8</v>
      </c>
    </row>
    <row r="24" spans="1:38" x14ac:dyDescent="0.25">
      <c r="A24" t="s">
        <v>126</v>
      </c>
      <c r="B24" t="s">
        <v>87</v>
      </c>
      <c r="C24">
        <v>0</v>
      </c>
      <c r="D24">
        <v>0</v>
      </c>
      <c r="E24">
        <v>0</v>
      </c>
      <c r="F24">
        <v>3.85</v>
      </c>
      <c r="G24">
        <v>9.19</v>
      </c>
      <c r="H24">
        <v>8.16</v>
      </c>
      <c r="I24">
        <v>8.32</v>
      </c>
      <c r="J24">
        <v>8.15</v>
      </c>
      <c r="K24" t="s">
        <v>64</v>
      </c>
      <c r="L24">
        <v>9.07</v>
      </c>
      <c r="M24">
        <v>9.27</v>
      </c>
      <c r="N24">
        <v>8.42</v>
      </c>
      <c r="O24">
        <v>9.07</v>
      </c>
      <c r="P24">
        <v>8.8000000000000007</v>
      </c>
      <c r="Q24">
        <v>8.01</v>
      </c>
      <c r="R24">
        <v>9.83</v>
      </c>
      <c r="S24">
        <v>8.74</v>
      </c>
      <c r="T24" s="2">
        <f>IF('ROS Rankings'!$AD$1,IFERROR(AVERAGE(INDEX($C24:$S24,14):INDEX($C24:$S24,17)),0),IFERROR(AVERAGE(INDEX($C24:$S24,Week+1):INDEX($C24:$S24,13)),0))</f>
        <v>8.637142857142857</v>
      </c>
      <c r="U24" s="2" t="str">
        <f t="shared" si="0"/>
        <v/>
      </c>
      <c r="V24" s="2" t="str">
        <f t="shared" si="0"/>
        <v/>
      </c>
      <c r="W24" s="2">
        <f t="shared" si="0"/>
        <v>8.637142857142857</v>
      </c>
      <c r="X24" s="2" t="str">
        <f t="shared" si="0"/>
        <v/>
      </c>
      <c r="Y24" s="2" t="str">
        <f t="shared" si="0"/>
        <v/>
      </c>
      <c r="Z24" s="2" t="str">
        <f t="shared" si="0"/>
        <v/>
      </c>
      <c r="AA24" s="23" t="str">
        <f t="shared" si="1"/>
        <v>WR27</v>
      </c>
      <c r="AB24" s="2">
        <f>$T24-VLOOKUP($B24,Scores!$AG$1:$AM$7,5,FALSE)</f>
        <v>-1.7342857142857131</v>
      </c>
      <c r="AC24" s="2">
        <f>$T24-VLOOKUP($B24,Scores!$AG$1:$AM$7,6,FALSE)</f>
        <v>0.60571428571428498</v>
      </c>
      <c r="AD24" s="2">
        <f>$T24-VLOOKUP($B24,Scores!$AG$1:$AM$7,7,FALSE)+(ROW(A23)/1000000)</f>
        <v>2.5843087142857146</v>
      </c>
      <c r="AE24" s="2">
        <f t="array" ref="AE24">IF('ROS Rankings'!$AD$1,IFERROR(AVERAGE(IF(INDEX($C24:$S24,14):INDEX($C24:$S24,17)="NA",0,INDEX($C24:$S24,14):INDEX($C24:$S24,17))-INDEX($AQ$2:$BG$7,MATCH($B24,$AO$2:$AO$7,0),14):INDEX($AQ$2:$BG$7,MATCH($B24,$AO$2:$AO$7,0),17)),0),IFERROR(AVERAGE(IF(INDEX($C24:$S24,Week+1):INDEX($C24:$S24,13)="NA",0,INDEX($C24:$S24,Week+1):INDEX($C24:$S24,13))-INDEX($AQ$2:$BG$7,MATCH($B24,$AO$2:$AO$7,0),Week+1):INDEX($AQ$2:$BG$7,MATCH($B24,$AO$2:$AO$7,0),13)),0))+ROW(A23)/1000000</f>
        <v>2.201273</v>
      </c>
      <c r="AF24">
        <f t="shared" si="2"/>
        <v>119</v>
      </c>
      <c r="AG24">
        <f t="shared" si="3"/>
        <v>71</v>
      </c>
      <c r="AH24">
        <f t="shared" si="4"/>
        <v>54</v>
      </c>
      <c r="AI24">
        <f t="shared" si="5"/>
        <v>59</v>
      </c>
      <c r="AJ24" s="22" t="str">
        <f>IF(ISERROR(MATCH(A24,Rosters!$B$2:$B$155,0)),AD24,"")</f>
        <v/>
      </c>
      <c r="AK24" t="str">
        <f t="shared" si="6"/>
        <v/>
      </c>
      <c r="AL24" s="23">
        <f>COUNTIF(INDEX($C24:$S24,Week+1):INDEX($C24:$S24,13),"&gt;0")</f>
        <v>7</v>
      </c>
    </row>
    <row r="25" spans="1:38" x14ac:dyDescent="0.25">
      <c r="A25" t="s">
        <v>257</v>
      </c>
      <c r="B25" t="s">
        <v>47</v>
      </c>
      <c r="C25">
        <v>19.29</v>
      </c>
      <c r="D25">
        <v>18.489999999999998</v>
      </c>
      <c r="E25">
        <v>16.059999999999999</v>
      </c>
      <c r="F25">
        <v>17.7</v>
      </c>
      <c r="G25">
        <v>17.45</v>
      </c>
      <c r="H25" t="s">
        <v>64</v>
      </c>
      <c r="I25">
        <v>15.91</v>
      </c>
      <c r="J25">
        <v>15.88</v>
      </c>
      <c r="K25">
        <v>17.28</v>
      </c>
      <c r="L25">
        <v>15.87</v>
      </c>
      <c r="M25">
        <v>16.920000000000002</v>
      </c>
      <c r="N25">
        <v>17.22</v>
      </c>
      <c r="O25">
        <v>15.86</v>
      </c>
      <c r="P25">
        <v>15.81</v>
      </c>
      <c r="Q25">
        <v>15.91</v>
      </c>
      <c r="R25">
        <v>17.239999999999998</v>
      </c>
      <c r="S25">
        <v>17.04</v>
      </c>
      <c r="T25" s="2">
        <f>IF('ROS Rankings'!$AD$1,IFERROR(AVERAGE(INDEX($C25:$S25,14):INDEX($C25:$S25,17)),0),IFERROR(AVERAGE(INDEX($C25:$S25,Week+1):INDEX($C25:$S25,13)),0))</f>
        <v>16.419999999999998</v>
      </c>
      <c r="U25" s="2" t="str">
        <f t="shared" si="0"/>
        <v/>
      </c>
      <c r="V25" s="2">
        <f t="shared" si="0"/>
        <v>16.419999999999998</v>
      </c>
      <c r="W25" s="2" t="str">
        <f t="shared" si="0"/>
        <v/>
      </c>
      <c r="X25" s="2" t="str">
        <f t="shared" si="0"/>
        <v/>
      </c>
      <c r="Y25" s="2" t="str">
        <f t="shared" si="0"/>
        <v/>
      </c>
      <c r="Z25" s="2" t="str">
        <f t="shared" si="0"/>
        <v/>
      </c>
      <c r="AA25" s="23" t="str">
        <f t="shared" si="1"/>
        <v>RB3</v>
      </c>
      <c r="AB25" s="2">
        <f>$T25-VLOOKUP($B25,Scores!$AG$1:$AM$7,5,FALSE)</f>
        <v>4.6614285714285693</v>
      </c>
      <c r="AC25" s="2">
        <f>$T25-VLOOKUP($B25,Scores!$AG$1:$AM$7,6,FALSE)</f>
        <v>8.1499999999999968</v>
      </c>
      <c r="AD25" s="2">
        <f>$T25-VLOOKUP($B25,Scores!$AG$1:$AM$7,7,FALSE)+(ROW(A24)/1000000)</f>
        <v>10.55145257142857</v>
      </c>
      <c r="AE25" s="2">
        <f t="array" ref="AE25">IF('ROS Rankings'!$AD$1,IFERROR(AVERAGE(IF(INDEX($C25:$S25,14):INDEX($C25:$S25,17)="NA",0,INDEX($C25:$S25,14):INDEX($C25:$S25,17))-INDEX($AQ$2:$BG$7,MATCH($B25,$AO$2:$AO$7,0),14):INDEX($AQ$2:$BG$7,MATCH($B25,$AO$2:$AO$7,0),17)),0),IFERROR(AVERAGE(IF(INDEX($C25:$S25,Week+1):INDEX($C25:$S25,13)="NA",0,INDEX($C25:$S25,Week+1):INDEX($C25:$S25,13))-INDEX($AQ$2:$BG$7,MATCH($B25,$AO$2:$AO$7,0),Week+1):INDEX($AQ$2:$BG$7,MATCH($B25,$AO$2:$AO$7,0),13)),0))+ROW(A24)/1000000</f>
        <v>9.0075240000000001</v>
      </c>
      <c r="AF25">
        <f t="shared" si="2"/>
        <v>3</v>
      </c>
      <c r="AG25">
        <f t="shared" si="3"/>
        <v>3</v>
      </c>
      <c r="AH25">
        <f t="shared" si="4"/>
        <v>3</v>
      </c>
      <c r="AI25">
        <f t="shared" si="5"/>
        <v>3</v>
      </c>
      <c r="AJ25" s="22" t="str">
        <f>IF(ISERROR(MATCH(A25,Rosters!$B$2:$B$155,0)),AD25,"")</f>
        <v/>
      </c>
      <c r="AK25" t="str">
        <f t="shared" si="6"/>
        <v/>
      </c>
      <c r="AL25" s="23">
        <f>COUNTIF(INDEX($C25:$S25,Week+1):INDEX($C25:$S25,13),"&gt;0")</f>
        <v>7</v>
      </c>
    </row>
    <row r="26" spans="1:38" x14ac:dyDescent="0.25">
      <c r="A26" t="s">
        <v>103</v>
      </c>
      <c r="B26" t="s">
        <v>87</v>
      </c>
      <c r="C26">
        <v>8.35</v>
      </c>
      <c r="D26">
        <v>8.4499999999999993</v>
      </c>
      <c r="E26">
        <v>8.25</v>
      </c>
      <c r="F26">
        <v>10.1</v>
      </c>
      <c r="G26">
        <v>9.01</v>
      </c>
      <c r="H26">
        <v>8.51</v>
      </c>
      <c r="I26" t="s">
        <v>64</v>
      </c>
      <c r="J26">
        <v>9.7200000000000006</v>
      </c>
      <c r="K26">
        <v>8.85</v>
      </c>
      <c r="L26">
        <v>8.44</v>
      </c>
      <c r="M26">
        <v>8.1</v>
      </c>
      <c r="N26">
        <v>9.98</v>
      </c>
      <c r="O26">
        <v>11.25</v>
      </c>
      <c r="P26">
        <v>9.5299999999999994</v>
      </c>
      <c r="Q26">
        <v>8.24</v>
      </c>
      <c r="R26">
        <v>8.23</v>
      </c>
      <c r="S26">
        <v>10.92</v>
      </c>
      <c r="T26" s="2">
        <f>IF('ROS Rankings'!$AD$1,IFERROR(AVERAGE(INDEX($C26:$S26,14):INDEX($C26:$S26,17)),0),IFERROR(AVERAGE(INDEX($C26:$S26,Week+1):INDEX($C26:$S26,13)),0))</f>
        <v>9.2642857142857142</v>
      </c>
      <c r="U26" s="2" t="str">
        <f t="shared" si="0"/>
        <v/>
      </c>
      <c r="V26" s="2" t="str">
        <f t="shared" si="0"/>
        <v/>
      </c>
      <c r="W26" s="2">
        <f t="shared" si="0"/>
        <v>9.2642857142857142</v>
      </c>
      <c r="X26" s="2" t="str">
        <f t="shared" si="0"/>
        <v/>
      </c>
      <c r="Y26" s="2" t="str">
        <f t="shared" si="0"/>
        <v/>
      </c>
      <c r="Z26" s="2" t="str">
        <f t="shared" si="0"/>
        <v/>
      </c>
      <c r="AA26" s="23" t="str">
        <f t="shared" si="1"/>
        <v>WR22</v>
      </c>
      <c r="AB26" s="2">
        <f>$T26-VLOOKUP($B26,Scores!$AG$1:$AM$7,5,FALSE)</f>
        <v>-1.1071428571428559</v>
      </c>
      <c r="AC26" s="2">
        <f>$T26-VLOOKUP($B26,Scores!$AG$1:$AM$7,6,FALSE)</f>
        <v>1.2328571428571422</v>
      </c>
      <c r="AD26" s="2">
        <f>$T26-VLOOKUP($B26,Scores!$AG$1:$AM$7,7,FALSE)+(ROW(A25)/1000000)</f>
        <v>3.2114535714285717</v>
      </c>
      <c r="AE26" s="2">
        <f t="array" ref="AE26">IF('ROS Rankings'!$AD$1,IFERROR(AVERAGE(IF(INDEX($C26:$S26,14):INDEX($C26:$S26,17)="NA",0,INDEX($C26:$S26,14):INDEX($C26:$S26,17))-INDEX($AQ$2:$BG$7,MATCH($B26,$AO$2:$AO$7,0),14):INDEX($AQ$2:$BG$7,MATCH($B26,$AO$2:$AO$7,0),17)),0),IFERROR(AVERAGE(IF(INDEX($C26:$S26,Week+1):INDEX($C26:$S26,13)="NA",0,INDEX($C26:$S26,Week+1):INDEX($C26:$S26,13))-INDEX($AQ$2:$BG$7,MATCH($B26,$AO$2:$AO$7,0),Week+1):INDEX($AQ$2:$BG$7,MATCH($B26,$AO$2:$AO$7,0),13)),0))+ROW(A25)/1000000</f>
        <v>2.7500249999999999</v>
      </c>
      <c r="AF26">
        <f t="shared" si="2"/>
        <v>94</v>
      </c>
      <c r="AG26">
        <f t="shared" si="3"/>
        <v>51</v>
      </c>
      <c r="AH26">
        <f t="shared" si="4"/>
        <v>44</v>
      </c>
      <c r="AI26">
        <f t="shared" si="5"/>
        <v>45</v>
      </c>
      <c r="AJ26" s="22" t="str">
        <f>IF(ISERROR(MATCH(A26,Rosters!$B$2:$B$155,0)),AD26,"")</f>
        <v/>
      </c>
      <c r="AK26" t="str">
        <f t="shared" si="6"/>
        <v/>
      </c>
      <c r="AL26" s="23">
        <f>COUNTIF(INDEX($C26:$S26,Week+1):INDEX($C26:$S26,13),"&gt;0")</f>
        <v>7</v>
      </c>
    </row>
    <row r="27" spans="1:38" x14ac:dyDescent="0.25">
      <c r="A27" t="s">
        <v>121</v>
      </c>
      <c r="B27" t="s">
        <v>47</v>
      </c>
      <c r="C27">
        <v>0</v>
      </c>
      <c r="D27">
        <v>0</v>
      </c>
      <c r="E27">
        <v>1.71</v>
      </c>
      <c r="F27">
        <v>0</v>
      </c>
      <c r="G27">
        <v>2.31</v>
      </c>
      <c r="H27" t="s">
        <v>64</v>
      </c>
      <c r="I27">
        <v>2.02</v>
      </c>
      <c r="J27">
        <v>1.54</v>
      </c>
      <c r="K27">
        <v>1.74</v>
      </c>
      <c r="L27">
        <v>1.47</v>
      </c>
      <c r="M27">
        <v>1.59</v>
      </c>
      <c r="N27">
        <v>1.54</v>
      </c>
      <c r="O27">
        <v>2.12</v>
      </c>
      <c r="P27">
        <v>1.48</v>
      </c>
      <c r="Q27">
        <v>1.43</v>
      </c>
      <c r="R27">
        <v>1.85</v>
      </c>
      <c r="S27">
        <v>2.16</v>
      </c>
      <c r="T27" s="2">
        <f>IF('ROS Rankings'!$AD$1,IFERROR(AVERAGE(INDEX($C27:$S27,14):INDEX($C27:$S27,17)),0),IFERROR(AVERAGE(INDEX($C27:$S27,Week+1):INDEX($C27:$S27,13)),0))</f>
        <v>1.7171428571428571</v>
      </c>
      <c r="U27" s="2" t="str">
        <f t="shared" si="0"/>
        <v/>
      </c>
      <c r="V27" s="2">
        <f t="shared" si="0"/>
        <v>1.7171428571428571</v>
      </c>
      <c r="W27" s="2" t="str">
        <f t="shared" si="0"/>
        <v/>
      </c>
      <c r="X27" s="2" t="str">
        <f t="shared" si="0"/>
        <v/>
      </c>
      <c r="Y27" s="2" t="str">
        <f t="shared" si="0"/>
        <v/>
      </c>
      <c r="Z27" s="2" t="str">
        <f t="shared" si="0"/>
        <v/>
      </c>
      <c r="AA27" s="23" t="str">
        <f t="shared" si="1"/>
        <v>RB79</v>
      </c>
      <c r="AB27" s="2">
        <f>$T27-VLOOKUP($B27,Scores!$AG$1:$AM$7,5,FALSE)</f>
        <v>-10.041428571428572</v>
      </c>
      <c r="AC27" s="2">
        <f>$T27-VLOOKUP($B27,Scores!$AG$1:$AM$7,6,FALSE)</f>
        <v>-6.5528571428571443</v>
      </c>
      <c r="AD27" s="2">
        <f>$T27-VLOOKUP($B27,Scores!$AG$1:$AM$7,7,FALSE)+(ROW(A26)/1000000)</f>
        <v>-4.1514025714285721</v>
      </c>
      <c r="AE27" s="2">
        <f t="array" ref="AE27">IF('ROS Rankings'!$AD$1,IFERROR(AVERAGE(IF(INDEX($C27:$S27,14):INDEX($C27:$S27,17)="NA",0,INDEX($C27:$S27,14):INDEX($C27:$S27,17))-INDEX($AQ$2:$BG$7,MATCH($B27,$AO$2:$AO$7,0),14):INDEX($AQ$2:$BG$7,MATCH($B27,$AO$2:$AO$7,0),17)),0),IFERROR(AVERAGE(IF(INDEX($C27:$S27,Week+1):INDEX($C27:$S27,13)="NA",0,INDEX($C27:$S27,Week+1):INDEX($C27:$S27,13))-INDEX($AQ$2:$BG$7,MATCH($B27,$AO$2:$AO$7,0),Week+1):INDEX($AQ$2:$BG$7,MATCH($B27,$AO$2:$AO$7,0),13)),0))+ROW(A26)/1000000</f>
        <v>-3.8574740000000003</v>
      </c>
      <c r="AF27">
        <f t="shared" si="2"/>
        <v>458</v>
      </c>
      <c r="AG27">
        <f t="shared" si="3"/>
        <v>396</v>
      </c>
      <c r="AH27">
        <f t="shared" si="4"/>
        <v>349</v>
      </c>
      <c r="AI27">
        <f t="shared" si="5"/>
        <v>342</v>
      </c>
      <c r="AJ27" s="22">
        <f>IF(ISERROR(MATCH(A27,Rosters!$B$2:$B$155,0)),AD27,"")</f>
        <v>-4.1514025714285721</v>
      </c>
      <c r="AK27">
        <f t="shared" si="6"/>
        <v>197</v>
      </c>
      <c r="AL27" s="23">
        <f>COUNTIF(INDEX($C27:$S27,Week+1):INDEX($C27:$S27,13),"&gt;0")</f>
        <v>7</v>
      </c>
    </row>
    <row r="28" spans="1:38" x14ac:dyDescent="0.25">
      <c r="A28" t="s">
        <v>276</v>
      </c>
      <c r="B28" t="s">
        <v>87</v>
      </c>
      <c r="C28">
        <v>0.97</v>
      </c>
      <c r="D28">
        <v>0.44</v>
      </c>
      <c r="E28">
        <v>0.45</v>
      </c>
      <c r="F28">
        <v>0.53</v>
      </c>
      <c r="G28">
        <v>0.39</v>
      </c>
      <c r="H28">
        <v>0.46</v>
      </c>
      <c r="I28">
        <v>0.41</v>
      </c>
      <c r="J28">
        <v>0.42</v>
      </c>
      <c r="K28">
        <v>0.42</v>
      </c>
      <c r="L28">
        <v>0.41</v>
      </c>
      <c r="M28" t="s">
        <v>64</v>
      </c>
      <c r="N28">
        <v>0.54</v>
      </c>
      <c r="O28">
        <v>0.42</v>
      </c>
      <c r="P28">
        <v>0.42</v>
      </c>
      <c r="Q28">
        <v>0.4</v>
      </c>
      <c r="R28">
        <v>0.42</v>
      </c>
      <c r="S28">
        <v>0.43</v>
      </c>
      <c r="T28" s="2">
        <f>IF('ROS Rankings'!$AD$1,IFERROR(AVERAGE(INDEX($C28:$S28,14):INDEX($C28:$S28,17)),0),IFERROR(AVERAGE(INDEX($C28:$S28,Week+1):INDEX($C28:$S28,13)),0))</f>
        <v>0.44</v>
      </c>
      <c r="U28" s="2" t="str">
        <f t="shared" si="0"/>
        <v/>
      </c>
      <c r="V28" s="2" t="str">
        <f t="shared" si="0"/>
        <v/>
      </c>
      <c r="W28" s="2">
        <f t="shared" si="0"/>
        <v>0.44</v>
      </c>
      <c r="X28" s="2" t="str">
        <f t="shared" si="0"/>
        <v/>
      </c>
      <c r="Y28" s="2" t="str">
        <f t="shared" si="0"/>
        <v/>
      </c>
      <c r="Z28" s="2" t="str">
        <f t="shared" si="0"/>
        <v/>
      </c>
      <c r="AA28" s="23" t="str">
        <f t="shared" si="1"/>
        <v>WR172</v>
      </c>
      <c r="AB28" s="2">
        <f>$T28-VLOOKUP($B28,Scores!$AG$1:$AM$7,5,FALSE)</f>
        <v>-9.9314285714285706</v>
      </c>
      <c r="AC28" s="2">
        <f>$T28-VLOOKUP($B28,Scores!$AG$1:$AM$7,6,FALSE)</f>
        <v>-7.5914285714285716</v>
      </c>
      <c r="AD28" s="2">
        <f>$T28-VLOOKUP($B28,Scores!$AG$1:$AM$7,7,FALSE)+(ROW(A27)/1000000)</f>
        <v>-5.6128301428571419</v>
      </c>
      <c r="AE28" s="2">
        <f t="array" ref="AE28">IF('ROS Rankings'!$AD$1,IFERROR(AVERAGE(IF(INDEX($C28:$S28,14):INDEX($C28:$S28,17)="NA",0,INDEX($C28:$S28,14):INDEX($C28:$S28,17))-INDEX($AQ$2:$BG$7,MATCH($B28,$AO$2:$AO$7,0),14):INDEX($AQ$2:$BG$7,MATCH($B28,$AO$2:$AO$7,0),17)),0),IFERROR(AVERAGE(IF(INDEX($C28:$S28,Week+1):INDEX($C28:$S28,13)="NA",0,INDEX($C28:$S28,Week+1):INDEX($C28:$S28,13))-INDEX($AQ$2:$BG$7,MATCH($B28,$AO$2:$AO$7,0),Week+1):INDEX($AQ$2:$BG$7,MATCH($B28,$AO$2:$AO$7,0),13)),0))+ROW(A27)/1000000</f>
        <v>-4.9712230000000002</v>
      </c>
      <c r="AF28">
        <f t="shared" si="2"/>
        <v>450</v>
      </c>
      <c r="AG28">
        <f t="shared" si="3"/>
        <v>471</v>
      </c>
      <c r="AH28">
        <f t="shared" si="4"/>
        <v>501</v>
      </c>
      <c r="AI28">
        <f t="shared" si="5"/>
        <v>487</v>
      </c>
      <c r="AJ28" s="22">
        <f>IF(ISERROR(MATCH(A28,Rosters!$B$2:$B$155,0)),AD28,"")</f>
        <v>-5.6128301428571419</v>
      </c>
      <c r="AK28">
        <f t="shared" si="6"/>
        <v>349</v>
      </c>
      <c r="AL28" s="23">
        <f>COUNTIF(INDEX($C28:$S28,Week+1):INDEX($C28:$S28,13),"&gt;0")</f>
        <v>7</v>
      </c>
    </row>
    <row r="29" spans="1:38" x14ac:dyDescent="0.25">
      <c r="A29" t="s">
        <v>3167</v>
      </c>
      <c r="B29" t="s">
        <v>87</v>
      </c>
      <c r="C29" t="s">
        <v>64</v>
      </c>
      <c r="D29" t="s">
        <v>64</v>
      </c>
      <c r="E29">
        <v>0.43</v>
      </c>
      <c r="F29">
        <v>0.26</v>
      </c>
      <c r="G29">
        <v>0.27</v>
      </c>
      <c r="H29">
        <v>0.44</v>
      </c>
      <c r="I29">
        <v>0.32</v>
      </c>
      <c r="J29">
        <v>0.22</v>
      </c>
      <c r="K29">
        <v>0.4</v>
      </c>
      <c r="L29">
        <v>0.33</v>
      </c>
      <c r="M29" t="s">
        <v>64</v>
      </c>
      <c r="N29">
        <v>0.44</v>
      </c>
      <c r="O29">
        <v>0.34</v>
      </c>
      <c r="P29">
        <v>0.32</v>
      </c>
      <c r="Q29">
        <v>0.42</v>
      </c>
      <c r="R29">
        <v>0.44</v>
      </c>
      <c r="S29">
        <v>0.42</v>
      </c>
      <c r="T29" s="2">
        <f>IF('ROS Rankings'!$AD$1,IFERROR(AVERAGE(INDEX($C29:$S29,14):INDEX($C29:$S29,17)),0),IFERROR(AVERAGE(INDEX($C29:$S29,Week+1):INDEX($C29:$S29,13)),0))</f>
        <v>0.35571428571428571</v>
      </c>
      <c r="U29" s="2" t="str">
        <f t="shared" si="0"/>
        <v/>
      </c>
      <c r="V29" s="2" t="str">
        <f t="shared" si="0"/>
        <v/>
      </c>
      <c r="W29" s="2">
        <f t="shared" si="0"/>
        <v>0.35571428571428571</v>
      </c>
      <c r="X29" s="2" t="str">
        <f t="shared" si="0"/>
        <v/>
      </c>
      <c r="Y29" s="2" t="str">
        <f t="shared" si="0"/>
        <v/>
      </c>
      <c r="Z29" s="2" t="str">
        <f t="shared" si="0"/>
        <v/>
      </c>
      <c r="AA29" s="23" t="str">
        <f t="shared" si="1"/>
        <v>WR176</v>
      </c>
      <c r="AB29" s="2">
        <f>$T29-VLOOKUP($B29,Scores!$AG$1:$AM$7,5,FALSE)</f>
        <v>-10.015714285714285</v>
      </c>
      <c r="AC29" s="2">
        <f>$T29-VLOOKUP($B29,Scores!$AG$1:$AM$7,6,FALSE)</f>
        <v>-7.6757142857142862</v>
      </c>
      <c r="AD29" s="2">
        <f>$T29-VLOOKUP($B29,Scores!$AG$1:$AM$7,7,FALSE)+(ROW(A28)/1000000)</f>
        <v>-5.6971148571428563</v>
      </c>
      <c r="AE29" s="2">
        <f t="array" ref="AE29">IF('ROS Rankings'!$AD$1,IFERROR(AVERAGE(IF(INDEX($C29:$S29,14):INDEX($C29:$S29,17)="NA",0,INDEX($C29:$S29,14):INDEX($C29:$S29,17))-INDEX($AQ$2:$BG$7,MATCH($B29,$AO$2:$AO$7,0),14):INDEX($AQ$2:$BG$7,MATCH($B29,$AO$2:$AO$7,0),17)),0),IFERROR(AVERAGE(IF(INDEX($C29:$S29,Week+1):INDEX($C29:$S29,13)="NA",0,INDEX($C29:$S29,Week+1):INDEX($C29:$S29,13))-INDEX($AQ$2:$BG$7,MATCH($B29,$AO$2:$AO$7,0),Week+1):INDEX($AQ$2:$BG$7,MATCH($B29,$AO$2:$AO$7,0),13)),0))+ROW(A28)/1000000</f>
        <v>-5.0449719999999996</v>
      </c>
      <c r="AF29">
        <f t="shared" si="2"/>
        <v>456</v>
      </c>
      <c r="AG29">
        <f t="shared" si="3"/>
        <v>479</v>
      </c>
      <c r="AH29">
        <f t="shared" si="4"/>
        <v>508</v>
      </c>
      <c r="AI29">
        <f t="shared" si="5"/>
        <v>494</v>
      </c>
      <c r="AJ29" s="22">
        <f>IF(ISERROR(MATCH(A29,Rosters!$B$2:$B$155,0)),AD29,"")</f>
        <v>-5.6971148571428563</v>
      </c>
      <c r="AK29">
        <f t="shared" si="6"/>
        <v>356</v>
      </c>
      <c r="AL29" s="23">
        <f>COUNTIF(INDEX($C29:$S29,Week+1):INDEX($C29:$S29,13),"&gt;0")</f>
        <v>7</v>
      </c>
    </row>
    <row r="30" spans="1:38" x14ac:dyDescent="0.25">
      <c r="A30" t="s">
        <v>33</v>
      </c>
      <c r="B30" t="s">
        <v>15</v>
      </c>
      <c r="C30">
        <v>18.05</v>
      </c>
      <c r="D30">
        <v>15.88</v>
      </c>
      <c r="E30">
        <v>14.26</v>
      </c>
      <c r="F30">
        <v>18.38</v>
      </c>
      <c r="G30">
        <v>16.920000000000002</v>
      </c>
      <c r="H30">
        <v>15.28</v>
      </c>
      <c r="I30">
        <v>15.76</v>
      </c>
      <c r="J30">
        <v>19.39</v>
      </c>
      <c r="K30" t="s">
        <v>64</v>
      </c>
      <c r="L30">
        <v>13.03</v>
      </c>
      <c r="M30">
        <v>17.059999999999999</v>
      </c>
      <c r="N30">
        <v>15.56</v>
      </c>
      <c r="O30">
        <v>12.2</v>
      </c>
      <c r="P30">
        <v>19.77</v>
      </c>
      <c r="Q30">
        <v>17.41</v>
      </c>
      <c r="R30">
        <v>16.46</v>
      </c>
      <c r="S30">
        <v>16.05</v>
      </c>
      <c r="T30" s="2">
        <f>IF('ROS Rankings'!$AD$1,IFERROR(AVERAGE(INDEX($C30:$S30,14):INDEX($C30:$S30,17)),0),IFERROR(AVERAGE(INDEX($C30:$S30,Week+1):INDEX($C30:$S30,13)),0))</f>
        <v>15.468571428571428</v>
      </c>
      <c r="U30" s="2">
        <f t="shared" si="0"/>
        <v>15.468571428571428</v>
      </c>
      <c r="V30" s="2" t="str">
        <f t="shared" si="0"/>
        <v/>
      </c>
      <c r="W30" s="2" t="str">
        <f t="shared" si="0"/>
        <v/>
      </c>
      <c r="X30" s="2" t="str">
        <f t="shared" si="0"/>
        <v/>
      </c>
      <c r="Y30" s="2" t="str">
        <f t="shared" si="0"/>
        <v/>
      </c>
      <c r="Z30" s="2" t="str">
        <f t="shared" si="0"/>
        <v/>
      </c>
      <c r="AA30" s="23" t="str">
        <f t="shared" si="1"/>
        <v>QB25</v>
      </c>
      <c r="AB30" s="2">
        <f>$T30-VLOOKUP($B30,Scores!$AG$1:$AM$7,5,FALSE)</f>
        <v>-5.4157142857142855</v>
      </c>
      <c r="AC30" s="2">
        <f>$T30-VLOOKUP($B30,Scores!$AG$1:$AM$7,6,FALSE)</f>
        <v>-4.4351785714285707</v>
      </c>
      <c r="AD30" s="2">
        <f>$T30-VLOOKUP($B30,Scores!$AG$1:$AM$7,7,FALSE)+(ROW(A29)/1000000)</f>
        <v>-4.0313995714285689</v>
      </c>
      <c r="AE30" s="2">
        <f t="array" ref="AE30">IF('ROS Rankings'!$AD$1,IFERROR(AVERAGE(IF(INDEX($C30:$S30,14):INDEX($C30:$S30,17)="NA",0,INDEX($C30:$S30,14):INDEX($C30:$S30,17))-INDEX($AQ$2:$BG$7,MATCH($B30,$AO$2:$AO$7,0),14):INDEX($AQ$2:$BG$7,MATCH($B30,$AO$2:$AO$7,0),17)),0),IFERROR(AVERAGE(IF(INDEX($C30:$S30,Week+1):INDEX($C30:$S30,13)="NA",0,INDEX($C30:$S30,Week+1):INDEX($C30:$S30,13))-INDEX($AQ$2:$BG$7,MATCH($B30,$AO$2:$AO$7,0),Week+1):INDEX($AQ$2:$BG$7,MATCH($B30,$AO$2:$AO$7,0),13)),0))+ROW(A29)/1000000</f>
        <v>-4.9674709999999997</v>
      </c>
      <c r="AF30">
        <f t="shared" si="2"/>
        <v>258</v>
      </c>
      <c r="AG30">
        <f t="shared" si="3"/>
        <v>308</v>
      </c>
      <c r="AH30">
        <f t="shared" si="4"/>
        <v>345</v>
      </c>
      <c r="AI30">
        <f t="shared" si="5"/>
        <v>484</v>
      </c>
      <c r="AJ30" s="22" t="str">
        <f>IF(ISERROR(MATCH(A30,Rosters!$B$2:$B$155,0)),AD30,"")</f>
        <v/>
      </c>
      <c r="AK30" t="str">
        <f t="shared" si="6"/>
        <v/>
      </c>
      <c r="AL30" s="23">
        <f>COUNTIF(INDEX($C30:$S30,Week+1):INDEX($C30:$S30,13),"&gt;0")</f>
        <v>7</v>
      </c>
    </row>
    <row r="31" spans="1:38" x14ac:dyDescent="0.25">
      <c r="A31" t="s">
        <v>63</v>
      </c>
      <c r="B31" t="s">
        <v>15</v>
      </c>
      <c r="C31">
        <v>18.670000000000002</v>
      </c>
      <c r="D31">
        <v>12.73</v>
      </c>
      <c r="E31">
        <v>13.15</v>
      </c>
      <c r="F31">
        <v>18.63</v>
      </c>
      <c r="G31">
        <v>18.71</v>
      </c>
      <c r="H31">
        <v>14.86</v>
      </c>
      <c r="I31">
        <v>17.68</v>
      </c>
      <c r="J31">
        <v>20.89</v>
      </c>
      <c r="K31" t="s">
        <v>64</v>
      </c>
      <c r="L31">
        <v>16.649999999999999</v>
      </c>
      <c r="M31">
        <v>13.38</v>
      </c>
      <c r="N31">
        <v>15.53</v>
      </c>
      <c r="O31">
        <v>15.8</v>
      </c>
      <c r="P31">
        <v>13.51</v>
      </c>
      <c r="Q31">
        <v>19.059999999999999</v>
      </c>
      <c r="R31">
        <v>14.63</v>
      </c>
      <c r="S31">
        <v>14.07</v>
      </c>
      <c r="T31" s="2">
        <f>IF('ROS Rankings'!$AD$1,IFERROR(AVERAGE(INDEX($C31:$S31,14):INDEX($C31:$S31,17)),0),IFERROR(AVERAGE(INDEX($C31:$S31,Week+1):INDEX($C31:$S31,13)),0))</f>
        <v>16.398571428571426</v>
      </c>
      <c r="U31" s="2">
        <f t="shared" si="0"/>
        <v>16.398571428571426</v>
      </c>
      <c r="V31" s="2" t="str">
        <f t="shared" si="0"/>
        <v/>
      </c>
      <c r="W31" s="2" t="str">
        <f t="shared" si="0"/>
        <v/>
      </c>
      <c r="X31" s="2" t="str">
        <f t="shared" si="0"/>
        <v/>
      </c>
      <c r="Y31" s="2" t="str">
        <f t="shared" si="0"/>
        <v/>
      </c>
      <c r="Z31" s="2" t="str">
        <f t="shared" si="0"/>
        <v/>
      </c>
      <c r="AA31" s="23" t="str">
        <f t="shared" si="1"/>
        <v>QB23</v>
      </c>
      <c r="AB31" s="2">
        <f>$T31-VLOOKUP($B31,Scores!$AG$1:$AM$7,5,FALSE)</f>
        <v>-4.4857142857142875</v>
      </c>
      <c r="AC31" s="2">
        <f>$T31-VLOOKUP($B31,Scores!$AG$1:$AM$7,6,FALSE)</f>
        <v>-3.5051785714285728</v>
      </c>
      <c r="AD31" s="2">
        <f>$T31-VLOOKUP($B31,Scores!$AG$1:$AM$7,7,FALSE)+(ROW(A30)/1000000)</f>
        <v>-3.1013985714285703</v>
      </c>
      <c r="AE31" s="2">
        <f t="array" ref="AE31">IF('ROS Rankings'!$AD$1,IFERROR(AVERAGE(IF(INDEX($C31:$S31,14):INDEX($C31:$S31,17)="NA",0,INDEX($C31:$S31,14):INDEX($C31:$S31,17))-INDEX($AQ$2:$BG$7,MATCH($B31,$AO$2:$AO$7,0),14):INDEX($AQ$2:$BG$7,MATCH($B31,$AO$2:$AO$7,0),17)),0),IFERROR(AVERAGE(IF(INDEX($C31:$S31,Week+1):INDEX($C31:$S31,13)="NA",0,INDEX($C31:$S31,Week+1):INDEX($C31:$S31,13))-INDEX($AQ$2:$BG$7,MATCH($B31,$AO$2:$AO$7,0),Week+1):INDEX($AQ$2:$BG$7,MATCH($B31,$AO$2:$AO$7,0),13)),0))+ROW(A30)/1000000</f>
        <v>-4.1537200000000007</v>
      </c>
      <c r="AF31">
        <f t="shared" si="2"/>
        <v>213</v>
      </c>
      <c r="AG31">
        <f t="shared" si="3"/>
        <v>272</v>
      </c>
      <c r="AH31">
        <f t="shared" si="4"/>
        <v>309</v>
      </c>
      <c r="AI31">
        <f t="shared" si="5"/>
        <v>355</v>
      </c>
      <c r="AJ31" s="22" t="str">
        <f>IF(ISERROR(MATCH(A31,Rosters!$B$2:$B$155,0)),AD31,"")</f>
        <v/>
      </c>
      <c r="AK31" t="str">
        <f t="shared" si="6"/>
        <v/>
      </c>
      <c r="AL31" s="23">
        <f>COUNTIF(INDEX($C31:$S31,Week+1):INDEX($C31:$S31,13),"&gt;0")</f>
        <v>7</v>
      </c>
    </row>
    <row r="32" spans="1:38" x14ac:dyDescent="0.25">
      <c r="A32" t="s">
        <v>336</v>
      </c>
      <c r="B32" t="s">
        <v>47</v>
      </c>
      <c r="C32">
        <v>0.84</v>
      </c>
      <c r="D32">
        <v>0.85</v>
      </c>
      <c r="E32">
        <v>1.25</v>
      </c>
      <c r="F32">
        <v>1.01</v>
      </c>
      <c r="G32">
        <v>1.34</v>
      </c>
      <c r="H32">
        <v>1.19</v>
      </c>
      <c r="I32">
        <v>1.24</v>
      </c>
      <c r="J32">
        <v>1.02</v>
      </c>
      <c r="K32">
        <v>1.24</v>
      </c>
      <c r="L32" t="s">
        <v>64</v>
      </c>
      <c r="M32">
        <v>1.05</v>
      </c>
      <c r="N32">
        <v>1.1000000000000001</v>
      </c>
      <c r="O32">
        <v>1.1599999999999999</v>
      </c>
      <c r="P32">
        <v>1.02</v>
      </c>
      <c r="Q32">
        <v>1.27</v>
      </c>
      <c r="R32">
        <v>0.88</v>
      </c>
      <c r="S32">
        <v>1.1200000000000001</v>
      </c>
      <c r="T32" s="2">
        <f>IF('ROS Rankings'!$AD$1,IFERROR(AVERAGE(INDEX($C32:$S32,14):INDEX($C32:$S32,17)),0),IFERROR(AVERAGE(INDEX($C32:$S32,Week+1):INDEX($C32:$S32,13)),0))</f>
        <v>1.1428571428571428</v>
      </c>
      <c r="U32" s="2" t="str">
        <f t="shared" si="0"/>
        <v/>
      </c>
      <c r="V32" s="2">
        <f t="shared" si="0"/>
        <v>1.1428571428571428</v>
      </c>
      <c r="W32" s="2" t="str">
        <f t="shared" si="0"/>
        <v/>
      </c>
      <c r="X32" s="2" t="str">
        <f t="shared" si="0"/>
        <v/>
      </c>
      <c r="Y32" s="2" t="str">
        <f t="shared" si="0"/>
        <v/>
      </c>
      <c r="Z32" s="2" t="str">
        <f t="shared" si="0"/>
        <v/>
      </c>
      <c r="AA32" s="23" t="str">
        <f t="shared" si="1"/>
        <v>RB86</v>
      </c>
      <c r="AB32" s="2">
        <f>$T32-VLOOKUP($B32,Scores!$AG$1:$AM$7,5,FALSE)</f>
        <v>-10.615714285714287</v>
      </c>
      <c r="AC32" s="2">
        <f>$T32-VLOOKUP($B32,Scores!$AG$1:$AM$7,6,FALSE)</f>
        <v>-7.127142857142859</v>
      </c>
      <c r="AD32" s="2">
        <f>$T32-VLOOKUP($B32,Scores!$AG$1:$AM$7,7,FALSE)+(ROW(A31)/1000000)</f>
        <v>-4.7256832857142861</v>
      </c>
      <c r="AE32" s="2">
        <f t="array" ref="AE32">IF('ROS Rankings'!$AD$1,IFERROR(AVERAGE(IF(INDEX($C32:$S32,14):INDEX($C32:$S32,17)="NA",0,INDEX($C32:$S32,14):INDEX($C32:$S32,17))-INDEX($AQ$2:$BG$7,MATCH($B32,$AO$2:$AO$7,0),14):INDEX($AQ$2:$BG$7,MATCH($B32,$AO$2:$AO$7,0),17)),0),IFERROR(AVERAGE(IF(INDEX($C32:$S32,Week+1):INDEX($C32:$S32,13)="NA",0,INDEX($C32:$S32,Week+1):INDEX($C32:$S32,13))-INDEX($AQ$2:$BG$7,MATCH($B32,$AO$2:$AO$7,0),Week+1):INDEX($AQ$2:$BG$7,MATCH($B32,$AO$2:$AO$7,0),13)),0))+ROW(A31)/1000000</f>
        <v>-4.3599690000000004</v>
      </c>
      <c r="AF32">
        <f t="shared" si="2"/>
        <v>474</v>
      </c>
      <c r="AG32">
        <f t="shared" si="3"/>
        <v>411</v>
      </c>
      <c r="AH32">
        <f t="shared" si="4"/>
        <v>385</v>
      </c>
      <c r="AI32">
        <f t="shared" si="5"/>
        <v>364</v>
      </c>
      <c r="AJ32" s="22">
        <f>IF(ISERROR(MATCH(A32,Rosters!$B$2:$B$155,0)),AD32,"")</f>
        <v>-4.7256832857142861</v>
      </c>
      <c r="AK32">
        <f t="shared" si="6"/>
        <v>233</v>
      </c>
      <c r="AL32" s="23">
        <f>COUNTIF(INDEX($C32:$S32,Week+1):INDEX($C32:$S32,13),"&gt;0")</f>
        <v>7</v>
      </c>
    </row>
    <row r="33" spans="1:38" x14ac:dyDescent="0.25">
      <c r="A33" t="s">
        <v>1572</v>
      </c>
      <c r="B33" t="s">
        <v>87</v>
      </c>
      <c r="C33">
        <v>0.51</v>
      </c>
      <c r="D33">
        <v>0.54</v>
      </c>
      <c r="E33">
        <v>0.47</v>
      </c>
      <c r="F33">
        <v>0.56000000000000005</v>
      </c>
      <c r="G33">
        <v>0.6</v>
      </c>
      <c r="H33" t="s">
        <v>64</v>
      </c>
      <c r="I33">
        <v>0.59</v>
      </c>
      <c r="J33">
        <v>0.62</v>
      </c>
      <c r="K33">
        <v>0.64</v>
      </c>
      <c r="L33">
        <v>0.61</v>
      </c>
      <c r="M33">
        <v>0.65</v>
      </c>
      <c r="N33">
        <v>0.63</v>
      </c>
      <c r="O33">
        <v>0.61</v>
      </c>
      <c r="P33">
        <v>0.63</v>
      </c>
      <c r="Q33">
        <v>0.69</v>
      </c>
      <c r="R33">
        <v>0.66</v>
      </c>
      <c r="S33">
        <v>0.59</v>
      </c>
      <c r="T33" s="2">
        <f>IF('ROS Rankings'!$AD$1,IFERROR(AVERAGE(INDEX($C33:$S33,14):INDEX($C33:$S33,17)),0),IFERROR(AVERAGE(INDEX($C33:$S33,Week+1):INDEX($C33:$S33,13)),0))</f>
        <v>0.62142857142857133</v>
      </c>
      <c r="U33" s="2" t="str">
        <f t="shared" si="0"/>
        <v/>
      </c>
      <c r="V33" s="2" t="str">
        <f t="shared" si="0"/>
        <v/>
      </c>
      <c r="W33" s="2">
        <f t="shared" si="0"/>
        <v>0.62142857142857133</v>
      </c>
      <c r="X33" s="2" t="str">
        <f t="shared" si="0"/>
        <v/>
      </c>
      <c r="Y33" s="2" t="str">
        <f t="shared" si="0"/>
        <v/>
      </c>
      <c r="Z33" s="2" t="str">
        <f t="shared" si="0"/>
        <v/>
      </c>
      <c r="AA33" s="23" t="str">
        <f t="shared" si="1"/>
        <v>WR148</v>
      </c>
      <c r="AB33" s="2">
        <f>$T33-VLOOKUP($B33,Scores!$AG$1:$AM$7,5,FALSE)</f>
        <v>-9.7499999999999982</v>
      </c>
      <c r="AC33" s="2">
        <f>$T33-VLOOKUP($B33,Scores!$AG$1:$AM$7,6,FALSE)</f>
        <v>-7.410000000000001</v>
      </c>
      <c r="AD33" s="2">
        <f>$T33-VLOOKUP($B33,Scores!$AG$1:$AM$7,7,FALSE)+(ROW(A32)/1000000)</f>
        <v>-5.4313965714285715</v>
      </c>
      <c r="AE33" s="2">
        <f t="array" ref="AE33">IF('ROS Rankings'!$AD$1,IFERROR(AVERAGE(IF(INDEX($C33:$S33,14):INDEX($C33:$S33,17)="NA",0,INDEX($C33:$S33,14):INDEX($C33:$S33,17))-INDEX($AQ$2:$BG$7,MATCH($B33,$AO$2:$AO$7,0),14):INDEX($AQ$2:$BG$7,MATCH($B33,$AO$2:$AO$7,0),17)),0),IFERROR(AVERAGE(IF(INDEX($C33:$S33,Week+1):INDEX($C33:$S33,13)="NA",0,INDEX($C33:$S33,Week+1):INDEX($C33:$S33,13))-INDEX($AQ$2:$BG$7,MATCH($B33,$AO$2:$AO$7,0),Week+1):INDEX($AQ$2:$BG$7,MATCH($B33,$AO$2:$AO$7,0),13)),0))+ROW(A32)/1000000</f>
        <v>-4.812468</v>
      </c>
      <c r="AF33">
        <f t="shared" si="2"/>
        <v>423</v>
      </c>
      <c r="AG33">
        <f t="shared" si="3"/>
        <v>439</v>
      </c>
      <c r="AH33">
        <f t="shared" si="4"/>
        <v>472</v>
      </c>
      <c r="AI33">
        <f t="shared" si="5"/>
        <v>439</v>
      </c>
      <c r="AJ33" s="22">
        <f>IF(ISERROR(MATCH(A33,Rosters!$B$2:$B$155,0)),AD33,"")</f>
        <v>-5.4313965714285715</v>
      </c>
      <c r="AK33">
        <f t="shared" si="6"/>
        <v>320</v>
      </c>
      <c r="AL33" s="23">
        <f>COUNTIF(INDEX($C33:$S33,Week+1):INDEX($C33:$S33,13),"&gt;0")</f>
        <v>7</v>
      </c>
    </row>
    <row r="34" spans="1:38" x14ac:dyDescent="0.25">
      <c r="A34" t="s">
        <v>1377</v>
      </c>
      <c r="B34" t="s">
        <v>87</v>
      </c>
      <c r="C34">
        <v>5.15</v>
      </c>
      <c r="D34">
        <v>4.07</v>
      </c>
      <c r="E34">
        <v>3.4</v>
      </c>
      <c r="F34">
        <v>0</v>
      </c>
      <c r="G34" t="s">
        <v>64</v>
      </c>
      <c r="H34">
        <v>4.6100000000000003</v>
      </c>
      <c r="I34">
        <v>4.95</v>
      </c>
      <c r="J34">
        <v>4.4000000000000004</v>
      </c>
      <c r="K34">
        <v>4.32</v>
      </c>
      <c r="L34">
        <v>4.18</v>
      </c>
      <c r="M34">
        <v>4.3499999999999996</v>
      </c>
      <c r="N34">
        <v>4.07</v>
      </c>
      <c r="O34">
        <v>4.63</v>
      </c>
      <c r="P34">
        <v>4.34</v>
      </c>
      <c r="Q34">
        <v>4.83</v>
      </c>
      <c r="R34">
        <v>4.6399999999999997</v>
      </c>
      <c r="S34">
        <v>4.24</v>
      </c>
      <c r="T34" s="2">
        <f>IF('ROS Rankings'!$AD$1,IFERROR(AVERAGE(INDEX($C34:$S34,14):INDEX($C34:$S34,17)),0),IFERROR(AVERAGE(INDEX($C34:$S34,Week+1):INDEX($C34:$S34,13)),0))</f>
        <v>4.4387500000000006</v>
      </c>
      <c r="U34" s="2" t="str">
        <f t="shared" si="0"/>
        <v/>
      </c>
      <c r="V34" s="2" t="str">
        <f t="shared" si="0"/>
        <v/>
      </c>
      <c r="W34" s="2">
        <f t="shared" si="0"/>
        <v>4.4387500000000006</v>
      </c>
      <c r="X34" s="2" t="str">
        <f t="shared" si="0"/>
        <v/>
      </c>
      <c r="Y34" s="2" t="str">
        <f t="shared" si="0"/>
        <v/>
      </c>
      <c r="Z34" s="2" t="str">
        <f t="shared" si="0"/>
        <v/>
      </c>
      <c r="AA34" s="23" t="str">
        <f t="shared" si="1"/>
        <v>WR72</v>
      </c>
      <c r="AB34" s="2">
        <f>$T34-VLOOKUP($B34,Scores!$AG$1:$AM$7,5,FALSE)</f>
        <v>-5.9326785714285695</v>
      </c>
      <c r="AC34" s="2">
        <f>$T34-VLOOKUP($B34,Scores!$AG$1:$AM$7,6,FALSE)</f>
        <v>-3.5926785714285714</v>
      </c>
      <c r="AD34" s="2">
        <f>$T34-VLOOKUP($B34,Scores!$AG$1:$AM$7,7,FALSE)+(ROW(A33)/1000000)</f>
        <v>-1.6140741428571419</v>
      </c>
      <c r="AE34" s="2">
        <f t="array" ref="AE34">IF('ROS Rankings'!$AD$1,IFERROR(AVERAGE(IF(INDEX($C34:$S34,14):INDEX($C34:$S34,17)="NA",0,INDEX($C34:$S34,14):INDEX($C34:$S34,17))-INDEX($AQ$2:$BG$7,MATCH($B34,$AO$2:$AO$7,0),14):INDEX($AQ$2:$BG$7,MATCH($B34,$AO$2:$AO$7,0),17)),0),IFERROR(AVERAGE(IF(INDEX($C34:$S34,Week+1):INDEX($C34:$S34,13)="NA",0,INDEX($C34:$S34,Week+1):INDEX($C34:$S34,13))-INDEX($AQ$2:$BG$7,MATCH($B34,$AO$2:$AO$7,0),Week+1):INDEX($AQ$2:$BG$7,MATCH($B34,$AO$2:$AO$7,0),13)),0))+ROW(A33)/1000000</f>
        <v>-0.91746700000000003</v>
      </c>
      <c r="AF34">
        <f t="shared" si="2"/>
        <v>278</v>
      </c>
      <c r="AG34">
        <f t="shared" si="3"/>
        <v>278</v>
      </c>
      <c r="AH34">
        <f t="shared" si="4"/>
        <v>230</v>
      </c>
      <c r="AI34">
        <f t="shared" si="5"/>
        <v>168</v>
      </c>
      <c r="AJ34" s="22">
        <f>IF(ISERROR(MATCH(A34,Rosters!$B$2:$B$155,0)),AD34,"")</f>
        <v>-1.6140741428571419</v>
      </c>
      <c r="AK34">
        <f t="shared" si="6"/>
        <v>87</v>
      </c>
      <c r="AL34" s="23">
        <f>COUNTIF(INDEX($C34:$S34,Week+1):INDEX($C34:$S34,13),"&gt;0")</f>
        <v>8</v>
      </c>
    </row>
    <row r="35" spans="1:38" x14ac:dyDescent="0.25">
      <c r="A35" t="s">
        <v>385</v>
      </c>
      <c r="B35" t="s">
        <v>47</v>
      </c>
      <c r="C35">
        <v>0.41</v>
      </c>
      <c r="D35">
        <v>0.56000000000000005</v>
      </c>
      <c r="E35">
        <v>0.6</v>
      </c>
      <c r="F35">
        <v>0.63</v>
      </c>
      <c r="G35">
        <v>0.5</v>
      </c>
      <c r="H35">
        <v>0.56000000000000005</v>
      </c>
      <c r="I35">
        <v>0.6</v>
      </c>
      <c r="J35">
        <v>0.51</v>
      </c>
      <c r="K35">
        <v>0.5</v>
      </c>
      <c r="L35">
        <v>0.5</v>
      </c>
      <c r="M35">
        <v>0.49</v>
      </c>
      <c r="N35" t="s">
        <v>64</v>
      </c>
      <c r="O35">
        <v>0.5</v>
      </c>
      <c r="P35">
        <v>0.48</v>
      </c>
      <c r="Q35">
        <v>0.57999999999999996</v>
      </c>
      <c r="R35">
        <v>0.48</v>
      </c>
      <c r="S35">
        <v>0.53</v>
      </c>
      <c r="T35" s="2">
        <f>IF('ROS Rankings'!$AD$1,IFERROR(AVERAGE(INDEX($C35:$S35,14):INDEX($C35:$S35,17)),0),IFERROR(AVERAGE(INDEX($C35:$S35,Week+1):INDEX($C35:$S35,13)),0))</f>
        <v>0.52285714285714291</v>
      </c>
      <c r="U35" s="2" t="str">
        <f t="shared" si="0"/>
        <v/>
      </c>
      <c r="V35" s="2">
        <f t="shared" si="0"/>
        <v>0.52285714285714291</v>
      </c>
      <c r="W35" s="2" t="str">
        <f t="shared" si="0"/>
        <v/>
      </c>
      <c r="X35" s="2" t="str">
        <f t="shared" si="0"/>
        <v/>
      </c>
      <c r="Y35" s="2" t="str">
        <f t="shared" si="0"/>
        <v/>
      </c>
      <c r="Z35" s="2" t="str">
        <f t="shared" si="0"/>
        <v/>
      </c>
      <c r="AA35" s="23" t="str">
        <f t="shared" si="1"/>
        <v>RB116</v>
      </c>
      <c r="AB35" s="2">
        <f>$T35-VLOOKUP($B35,Scores!$AG$1:$AM$7,5,FALSE)</f>
        <v>-11.235714285714286</v>
      </c>
      <c r="AC35" s="2">
        <f>$T35-VLOOKUP($B35,Scores!$AG$1:$AM$7,6,FALSE)</f>
        <v>-7.7471428571428582</v>
      </c>
      <c r="AD35" s="2">
        <f>$T35-VLOOKUP($B35,Scores!$AG$1:$AM$7,7,FALSE)+(ROW(A34)/1000000)</f>
        <v>-5.3456802857142858</v>
      </c>
      <c r="AE35" s="2">
        <f t="array" ref="AE35">IF('ROS Rankings'!$AD$1,IFERROR(AVERAGE(IF(INDEX($C35:$S35,14):INDEX($C35:$S35,17)="NA",0,INDEX($C35:$S35,14):INDEX($C35:$S35,17))-INDEX($AQ$2:$BG$7,MATCH($B35,$AO$2:$AO$7,0),14):INDEX($AQ$2:$BG$7,MATCH($B35,$AO$2:$AO$7,0),17)),0),IFERROR(AVERAGE(IF(INDEX($C35:$S35,Week+1):INDEX($C35:$S35,13)="NA",0,INDEX($C35:$S35,Week+1):INDEX($C35:$S35,13))-INDEX($AQ$2:$BG$7,MATCH($B35,$AO$2:$AO$7,0),Week+1):INDEX($AQ$2:$BG$7,MATCH($B35,$AO$2:$AO$7,0),13)),0))+ROW(A34)/1000000</f>
        <v>-4.9024659999999995</v>
      </c>
      <c r="AF35">
        <f t="shared" si="2"/>
        <v>504</v>
      </c>
      <c r="AG35">
        <f t="shared" si="3"/>
        <v>498</v>
      </c>
      <c r="AH35">
        <f t="shared" si="4"/>
        <v>450</v>
      </c>
      <c r="AI35">
        <f t="shared" si="5"/>
        <v>476</v>
      </c>
      <c r="AJ35" s="22">
        <f>IF(ISERROR(MATCH(A35,Rosters!$B$2:$B$155,0)),AD35,"")</f>
        <v>-5.3456802857142858</v>
      </c>
      <c r="AK35">
        <f t="shared" si="6"/>
        <v>298</v>
      </c>
      <c r="AL35" s="23">
        <f>COUNTIF(INDEX($C35:$S35,Week+1):INDEX($C35:$S35,13),"&gt;0")</f>
        <v>7</v>
      </c>
    </row>
    <row r="36" spans="1:38" x14ac:dyDescent="0.25">
      <c r="A36" t="s">
        <v>96</v>
      </c>
      <c r="B36" t="s">
        <v>87</v>
      </c>
      <c r="C36">
        <v>12.94</v>
      </c>
      <c r="D36">
        <v>14.65</v>
      </c>
      <c r="E36">
        <v>15.35</v>
      </c>
      <c r="F36">
        <v>15.87</v>
      </c>
      <c r="G36">
        <v>15.59</v>
      </c>
      <c r="H36">
        <v>14.56</v>
      </c>
      <c r="I36" t="s">
        <v>64</v>
      </c>
      <c r="J36">
        <v>14.36</v>
      </c>
      <c r="K36">
        <v>12.26</v>
      </c>
      <c r="L36">
        <v>14.42</v>
      </c>
      <c r="M36">
        <v>12.27</v>
      </c>
      <c r="N36">
        <v>12.86</v>
      </c>
      <c r="O36">
        <v>13.53</v>
      </c>
      <c r="P36">
        <v>16.53</v>
      </c>
      <c r="Q36">
        <v>15.58</v>
      </c>
      <c r="R36">
        <v>15.61</v>
      </c>
      <c r="S36">
        <v>15.07</v>
      </c>
      <c r="T36" s="2">
        <f>IF('ROS Rankings'!$AD$1,IFERROR(AVERAGE(INDEX($C36:$S36,14):INDEX($C36:$S36,17)),0),IFERROR(AVERAGE(INDEX($C36:$S36,Week+1):INDEX($C36:$S36,13)),0))</f>
        <v>13.465714285714286</v>
      </c>
      <c r="U36" s="2" t="str">
        <f t="shared" si="0"/>
        <v/>
      </c>
      <c r="V36" s="2" t="str">
        <f t="shared" si="0"/>
        <v/>
      </c>
      <c r="W36" s="2">
        <f t="shared" si="0"/>
        <v>13.465714285714286</v>
      </c>
      <c r="X36" s="2" t="str">
        <f t="shared" si="0"/>
        <v/>
      </c>
      <c r="Y36" s="2" t="str">
        <f t="shared" si="0"/>
        <v/>
      </c>
      <c r="Z36" s="2" t="str">
        <f t="shared" si="0"/>
        <v/>
      </c>
      <c r="AA36" s="23" t="str">
        <f t="shared" si="1"/>
        <v>WR2</v>
      </c>
      <c r="AB36" s="2">
        <f>$T36-VLOOKUP($B36,Scores!$AG$1:$AM$7,5,FALSE)</f>
        <v>3.0942857142857161</v>
      </c>
      <c r="AC36" s="2">
        <f>$T36-VLOOKUP($B36,Scores!$AG$1:$AM$7,6,FALSE)</f>
        <v>5.4342857142857142</v>
      </c>
      <c r="AD36" s="2">
        <f>$T36-VLOOKUP($B36,Scores!$AG$1:$AM$7,7,FALSE)+(ROW(A35)/1000000)</f>
        <v>7.4128921428571433</v>
      </c>
      <c r="AE36" s="2">
        <f t="array" ref="AE36">IF('ROS Rankings'!$AD$1,IFERROR(AVERAGE(IF(INDEX($C36:$S36,14):INDEX($C36:$S36,17)="NA",0,INDEX($C36:$S36,14):INDEX($C36:$S36,17))-INDEX($AQ$2:$BG$7,MATCH($B36,$AO$2:$AO$7,0),14):INDEX($AQ$2:$BG$7,MATCH($B36,$AO$2:$AO$7,0),17)),0),IFERROR(AVERAGE(IF(INDEX($C36:$S36,Week+1):INDEX($C36:$S36,13)="NA",0,INDEX($C36:$S36,Week+1):INDEX($C36:$S36,13))-INDEX($AQ$2:$BG$7,MATCH($B36,$AO$2:$AO$7,0),Week+1):INDEX($AQ$2:$BG$7,MATCH($B36,$AO$2:$AO$7,0),13)),0))+ROW(A35)/1000000</f>
        <v>6.426285</v>
      </c>
      <c r="AF36">
        <f t="shared" si="2"/>
        <v>9</v>
      </c>
      <c r="AG36">
        <f t="shared" si="3"/>
        <v>7</v>
      </c>
      <c r="AH36">
        <f t="shared" si="4"/>
        <v>10</v>
      </c>
      <c r="AI36">
        <f t="shared" si="5"/>
        <v>9</v>
      </c>
      <c r="AJ36" s="22" t="str">
        <f>IF(ISERROR(MATCH(A36,Rosters!$B$2:$B$155,0)),AD36,"")</f>
        <v/>
      </c>
      <c r="AK36" t="str">
        <f t="shared" si="6"/>
        <v/>
      </c>
      <c r="AL36" s="23">
        <f>COUNTIF(INDEX($C36:$S36,Week+1):INDEX($C36:$S36,13),"&gt;0")</f>
        <v>7</v>
      </c>
    </row>
    <row r="37" spans="1:38" x14ac:dyDescent="0.25">
      <c r="A37" t="s">
        <v>1419</v>
      </c>
      <c r="B37" t="s">
        <v>87</v>
      </c>
      <c r="C37">
        <v>4.3899999999999997</v>
      </c>
      <c r="D37">
        <v>4.32</v>
      </c>
      <c r="E37">
        <v>6.27</v>
      </c>
      <c r="F37">
        <v>6.42</v>
      </c>
      <c r="G37">
        <v>6.8</v>
      </c>
      <c r="H37">
        <v>7.5</v>
      </c>
      <c r="I37">
        <v>8.51</v>
      </c>
      <c r="J37">
        <v>7.98</v>
      </c>
      <c r="K37">
        <v>8.9499999999999993</v>
      </c>
      <c r="L37">
        <v>9</v>
      </c>
      <c r="M37" t="s">
        <v>64</v>
      </c>
      <c r="N37">
        <v>8.61</v>
      </c>
      <c r="O37">
        <v>7.86</v>
      </c>
      <c r="P37">
        <v>7.08</v>
      </c>
      <c r="Q37">
        <v>6.7</v>
      </c>
      <c r="R37">
        <v>8.82</v>
      </c>
      <c r="S37">
        <v>6.08</v>
      </c>
      <c r="T37" s="2">
        <f>IF('ROS Rankings'!$AD$1,IFERROR(AVERAGE(INDEX($C37:$S37,14):INDEX($C37:$S37,17)),0),IFERROR(AVERAGE(INDEX($C37:$S37,Week+1):INDEX($C37:$S37,13)),0))</f>
        <v>8.3442857142857143</v>
      </c>
      <c r="U37" s="2" t="str">
        <f t="shared" si="0"/>
        <v/>
      </c>
      <c r="V37" s="2" t="str">
        <f t="shared" si="0"/>
        <v/>
      </c>
      <c r="W37" s="2">
        <f t="shared" si="0"/>
        <v>8.3442857142857143</v>
      </c>
      <c r="X37" s="2" t="str">
        <f t="shared" si="0"/>
        <v/>
      </c>
      <c r="Y37" s="2" t="str">
        <f t="shared" si="0"/>
        <v/>
      </c>
      <c r="Z37" s="2" t="str">
        <f t="shared" si="0"/>
        <v/>
      </c>
      <c r="AA37" s="23" t="str">
        <f t="shared" si="1"/>
        <v>WR31</v>
      </c>
      <c r="AB37" s="2">
        <f>$T37-VLOOKUP($B37,Scores!$AG$1:$AM$7,5,FALSE)</f>
        <v>-2.0271428571428558</v>
      </c>
      <c r="AC37" s="2">
        <f>$T37-VLOOKUP($B37,Scores!$AG$1:$AM$7,6,FALSE)</f>
        <v>0.31285714285714228</v>
      </c>
      <c r="AD37" s="2">
        <f>$T37-VLOOKUP($B37,Scores!$AG$1:$AM$7,7,FALSE)+(ROW(A36)/1000000)</f>
        <v>2.291464571428572</v>
      </c>
      <c r="AE37" s="2">
        <f t="array" ref="AE37">IF('ROS Rankings'!$AD$1,IFERROR(AVERAGE(IF(INDEX($C37:$S37,14):INDEX($C37:$S37,17)="NA",0,INDEX($C37:$S37,14):INDEX($C37:$S37,17))-INDEX($AQ$2:$BG$7,MATCH($B37,$AO$2:$AO$7,0),14):INDEX($AQ$2:$BG$7,MATCH($B37,$AO$2:$AO$7,0),17)),0),IFERROR(AVERAGE(IF(INDEX($C37:$S37,Week+1):INDEX($C37:$S37,13)="NA",0,INDEX($C37:$S37,Week+1):INDEX($C37:$S37,13))-INDEX($AQ$2:$BG$7,MATCH($B37,$AO$2:$AO$7,0),Week+1):INDEX($AQ$2:$BG$7,MATCH($B37,$AO$2:$AO$7,0),13)),0))+ROW(A36)/1000000</f>
        <v>1.9450359999999998</v>
      </c>
      <c r="AF37">
        <f t="shared" si="2"/>
        <v>132</v>
      </c>
      <c r="AG37">
        <f t="shared" si="3"/>
        <v>82</v>
      </c>
      <c r="AH37">
        <f t="shared" si="4"/>
        <v>62</v>
      </c>
      <c r="AI37">
        <f t="shared" si="5"/>
        <v>62</v>
      </c>
      <c r="AJ37" s="22" t="str">
        <f>IF(ISERROR(MATCH(A37,Rosters!$B$2:$B$155,0)),AD37,"")</f>
        <v/>
      </c>
      <c r="AK37" t="str">
        <f t="shared" si="6"/>
        <v/>
      </c>
      <c r="AL37" s="23">
        <f>COUNTIF(INDEX($C37:$S37,Week+1):INDEX($C37:$S37,13),"&gt;0")</f>
        <v>7</v>
      </c>
    </row>
    <row r="38" spans="1:38" x14ac:dyDescent="0.25">
      <c r="A38" t="s">
        <v>2667</v>
      </c>
      <c r="B38" t="s">
        <v>114</v>
      </c>
      <c r="C38">
        <v>3.05</v>
      </c>
      <c r="D38">
        <v>2.44</v>
      </c>
      <c r="E38">
        <v>2.54</v>
      </c>
      <c r="F38">
        <v>3.09</v>
      </c>
      <c r="G38">
        <v>3.78</v>
      </c>
      <c r="H38">
        <v>3.05</v>
      </c>
      <c r="I38">
        <v>3.24</v>
      </c>
      <c r="J38" t="s">
        <v>64</v>
      </c>
      <c r="K38">
        <v>2.62</v>
      </c>
      <c r="L38">
        <v>3.58</v>
      </c>
      <c r="M38">
        <v>2.75</v>
      </c>
      <c r="N38">
        <v>2.77</v>
      </c>
      <c r="O38">
        <v>2.89</v>
      </c>
      <c r="P38">
        <v>2.91</v>
      </c>
      <c r="Q38">
        <v>3.44</v>
      </c>
      <c r="R38">
        <v>2.35</v>
      </c>
      <c r="S38">
        <v>2.67</v>
      </c>
      <c r="T38" s="2">
        <f>IF('ROS Rankings'!$AD$1,IFERROR(AVERAGE(INDEX($C38:$S38,14):INDEX($C38:$S38,17)),0),IFERROR(AVERAGE(INDEX($C38:$S38,Week+1):INDEX($C38:$S38,13)),0))</f>
        <v>2.9857142857142862</v>
      </c>
      <c r="U38" s="2" t="str">
        <f t="shared" si="0"/>
        <v/>
      </c>
      <c r="V38" s="2" t="str">
        <f t="shared" si="0"/>
        <v/>
      </c>
      <c r="W38" s="2" t="str">
        <f t="shared" si="0"/>
        <v/>
      </c>
      <c r="X38" s="2">
        <f t="shared" si="0"/>
        <v>2.9857142857142862</v>
      </c>
      <c r="Y38" s="2" t="str">
        <f t="shared" si="0"/>
        <v/>
      </c>
      <c r="Z38" s="2" t="str">
        <f t="shared" si="0"/>
        <v/>
      </c>
      <c r="AA38" s="23" t="str">
        <f t="shared" si="1"/>
        <v>TE30</v>
      </c>
      <c r="AB38" s="2">
        <f>$T38-VLOOKUP($B38,Scores!$AG$1:$AM$7,5,FALSE)</f>
        <v>-4.0130357142857136</v>
      </c>
      <c r="AC38" s="2">
        <f>$T38-VLOOKUP($B38,Scores!$AG$1:$AM$7,6,FALSE)</f>
        <v>-2.2642857142857138</v>
      </c>
      <c r="AD38" s="2">
        <f>$T38-VLOOKUP($B38,Scores!$AG$1:$AM$7,7,FALSE)+(ROW(A37)/1000000)</f>
        <v>-2.1942487142857137</v>
      </c>
      <c r="AE38" s="2">
        <f t="array" ref="AE38">IF('ROS Rankings'!$AD$1,IFERROR(AVERAGE(IF(INDEX($C38:$S38,14):INDEX($C38:$S38,17)="NA",0,INDEX($C38:$S38,14):INDEX($C38:$S38,17))-INDEX($AQ$2:$BG$7,MATCH($B38,$AO$2:$AO$7,0),14):INDEX($AQ$2:$BG$7,MATCH($B38,$AO$2:$AO$7,0),17)),0),IFERROR(AVERAGE(IF(INDEX($C38:$S38,Week+1):INDEX($C38:$S38,13)="NA",0,INDEX($C38:$S38,Week+1):INDEX($C38:$S38,13))-INDEX($AQ$2:$BG$7,MATCH($B38,$AO$2:$AO$7,0),Week+1):INDEX($AQ$2:$BG$7,MATCH($B38,$AO$2:$AO$7,0),13)),0))+ROW(A37)/1000000</f>
        <v>-2.484963</v>
      </c>
      <c r="AF38">
        <f t="shared" si="2"/>
        <v>192</v>
      </c>
      <c r="AG38">
        <f t="shared" si="3"/>
        <v>209</v>
      </c>
      <c r="AH38">
        <f t="shared" si="4"/>
        <v>255</v>
      </c>
      <c r="AI38">
        <f t="shared" si="5"/>
        <v>268</v>
      </c>
      <c r="AJ38" s="22">
        <f>IF(ISERROR(MATCH(A38,Rosters!$B$2:$B$155,0)),AD38,"")</f>
        <v>-2.1942487142857137</v>
      </c>
      <c r="AK38">
        <f t="shared" si="6"/>
        <v>111</v>
      </c>
      <c r="AL38" s="23">
        <f>COUNTIF(INDEX($C38:$S38,Week+1):INDEX($C38:$S38,13),"&gt;0")</f>
        <v>7</v>
      </c>
    </row>
    <row r="39" spans="1:38" x14ac:dyDescent="0.25">
      <c r="A39" t="s">
        <v>1542</v>
      </c>
      <c r="B39" t="s">
        <v>114</v>
      </c>
      <c r="C39">
        <v>0.62</v>
      </c>
      <c r="D39">
        <v>0.53</v>
      </c>
      <c r="E39">
        <v>0.66</v>
      </c>
      <c r="F39">
        <v>0.69</v>
      </c>
      <c r="G39" t="s">
        <v>64</v>
      </c>
      <c r="H39">
        <v>0.48</v>
      </c>
      <c r="I39">
        <v>0.53</v>
      </c>
      <c r="J39">
        <v>0.48</v>
      </c>
      <c r="K39">
        <v>0.49</v>
      </c>
      <c r="L39">
        <v>0.56999999999999995</v>
      </c>
      <c r="M39">
        <v>0.5</v>
      </c>
      <c r="N39">
        <v>0.55000000000000004</v>
      </c>
      <c r="O39">
        <v>0.51</v>
      </c>
      <c r="P39">
        <v>0.56000000000000005</v>
      </c>
      <c r="Q39">
        <v>0.5</v>
      </c>
      <c r="R39">
        <v>0.51</v>
      </c>
      <c r="S39">
        <v>0.5</v>
      </c>
      <c r="T39" s="2">
        <f>IF('ROS Rankings'!$AD$1,IFERROR(AVERAGE(INDEX($C39:$S39,14):INDEX($C39:$S39,17)),0),IFERROR(AVERAGE(INDEX($C39:$S39,Week+1):INDEX($C39:$S39,13)),0))</f>
        <v>0.51374999999999993</v>
      </c>
      <c r="U39" s="2" t="str">
        <f t="shared" si="0"/>
        <v/>
      </c>
      <c r="V39" s="2" t="str">
        <f t="shared" si="0"/>
        <v/>
      </c>
      <c r="W39" s="2" t="str">
        <f t="shared" si="0"/>
        <v/>
      </c>
      <c r="X39" s="2">
        <f t="shared" si="0"/>
        <v>0.51374999999999993</v>
      </c>
      <c r="Y39" s="2" t="str">
        <f t="shared" si="0"/>
        <v/>
      </c>
      <c r="Z39" s="2" t="str">
        <f t="shared" si="0"/>
        <v/>
      </c>
      <c r="AA39" s="23" t="str">
        <f t="shared" si="1"/>
        <v>TE84</v>
      </c>
      <c r="AB39" s="2">
        <f>$T39-VLOOKUP($B39,Scores!$AG$1:$AM$7,5,FALSE)</f>
        <v>-6.4849999999999994</v>
      </c>
      <c r="AC39" s="2">
        <f>$T39-VLOOKUP($B39,Scores!$AG$1:$AM$7,6,FALSE)</f>
        <v>-4.7362500000000001</v>
      </c>
      <c r="AD39" s="2">
        <f>$T39-VLOOKUP($B39,Scores!$AG$1:$AM$7,7,FALSE)+(ROW(A38)/1000000)</f>
        <v>-4.6662119999999998</v>
      </c>
      <c r="AE39" s="2">
        <f t="array" ref="AE39">IF('ROS Rankings'!$AD$1,IFERROR(AVERAGE(IF(INDEX($C39:$S39,14):INDEX($C39:$S39,17)="NA",0,INDEX($C39:$S39,14):INDEX($C39:$S39,17))-INDEX($AQ$2:$BG$7,MATCH($B39,$AO$2:$AO$7,0),14):INDEX($AQ$2:$BG$7,MATCH($B39,$AO$2:$AO$7,0),17)),0),IFERROR(AVERAGE(IF(INDEX($C39:$S39,Week+1):INDEX($C39:$S39,13)="NA",0,INDEX($C39:$S39,Week+1):INDEX($C39:$S39,13))-INDEX($AQ$2:$BG$7,MATCH($B39,$AO$2:$AO$7,0),Week+1):INDEX($AQ$2:$BG$7,MATCH($B39,$AO$2:$AO$7,0),13)),0))+ROW(A38)/1000000</f>
        <v>-4.5837119999999993</v>
      </c>
      <c r="AF39">
        <f t="shared" si="2"/>
        <v>315</v>
      </c>
      <c r="AG39">
        <f t="shared" si="3"/>
        <v>330</v>
      </c>
      <c r="AH39">
        <f t="shared" si="4"/>
        <v>376</v>
      </c>
      <c r="AI39">
        <f t="shared" si="5"/>
        <v>386</v>
      </c>
      <c r="AJ39" s="22">
        <f>IF(ISERROR(MATCH(A39,Rosters!$B$2:$B$155,0)),AD39,"")</f>
        <v>-4.6662119999999998</v>
      </c>
      <c r="AK39">
        <f t="shared" si="6"/>
        <v>224</v>
      </c>
      <c r="AL39" s="23">
        <f>COUNTIF(INDEX($C39:$S39,Week+1):INDEX($C39:$S39,13),"&gt;0")</f>
        <v>8</v>
      </c>
    </row>
    <row r="40" spans="1:38" x14ac:dyDescent="0.25">
      <c r="A40" t="s">
        <v>4210</v>
      </c>
      <c r="B40" t="s">
        <v>87</v>
      </c>
      <c r="C40">
        <v>4.3</v>
      </c>
      <c r="D40">
        <v>4.0599999999999996</v>
      </c>
      <c r="E40">
        <v>2.13</v>
      </c>
      <c r="F40">
        <v>2.1800000000000002</v>
      </c>
      <c r="G40">
        <v>1.24</v>
      </c>
      <c r="H40" t="s">
        <v>64</v>
      </c>
      <c r="I40">
        <v>0.99</v>
      </c>
      <c r="J40">
        <v>1.37</v>
      </c>
      <c r="K40">
        <v>1.2</v>
      </c>
      <c r="L40">
        <v>1.1499999999999999</v>
      </c>
      <c r="M40">
        <v>1.22</v>
      </c>
      <c r="N40">
        <v>1.42</v>
      </c>
      <c r="O40">
        <v>1.26</v>
      </c>
      <c r="P40">
        <v>1.27</v>
      </c>
      <c r="Q40">
        <v>1.33</v>
      </c>
      <c r="R40">
        <v>1.3</v>
      </c>
      <c r="S40">
        <v>1.36</v>
      </c>
      <c r="T40" s="2">
        <f>IF('ROS Rankings'!$AD$1,IFERROR(AVERAGE(INDEX($C40:$S40,14):INDEX($C40:$S40,17)),0),IFERROR(AVERAGE(INDEX($C40:$S40,Week+1):INDEX($C40:$S40,13)),0))</f>
        <v>1.2300000000000002</v>
      </c>
      <c r="U40" s="2" t="str">
        <f t="shared" si="0"/>
        <v/>
      </c>
      <c r="V40" s="2" t="str">
        <f t="shared" si="0"/>
        <v/>
      </c>
      <c r="W40" s="2">
        <f t="shared" si="0"/>
        <v>1.2300000000000002</v>
      </c>
      <c r="X40" s="2" t="str">
        <f t="shared" si="0"/>
        <v/>
      </c>
      <c r="Y40" s="2" t="str">
        <f t="shared" si="0"/>
        <v/>
      </c>
      <c r="Z40" s="2" t="str">
        <f t="shared" si="0"/>
        <v/>
      </c>
      <c r="AA40" s="23" t="str">
        <f t="shared" si="1"/>
        <v>WR120</v>
      </c>
      <c r="AB40" s="2">
        <f>$T40-VLOOKUP($B40,Scores!$AG$1:$AM$7,5,FALSE)</f>
        <v>-9.1414285714285697</v>
      </c>
      <c r="AC40" s="2">
        <f>$T40-VLOOKUP($B40,Scores!$AG$1:$AM$7,6,FALSE)</f>
        <v>-6.8014285714285716</v>
      </c>
      <c r="AD40" s="2">
        <f>$T40-VLOOKUP($B40,Scores!$AG$1:$AM$7,7,FALSE)+(ROW(A39)/1000000)</f>
        <v>-4.8228181428571419</v>
      </c>
      <c r="AE40" s="2">
        <f t="array" ref="AE40">IF('ROS Rankings'!$AD$1,IFERROR(AVERAGE(IF(INDEX($C40:$S40,14):INDEX($C40:$S40,17)="NA",0,INDEX($C40:$S40,14):INDEX($C40:$S40,17))-INDEX($AQ$2:$BG$7,MATCH($B40,$AO$2:$AO$7,0),14):INDEX($AQ$2:$BG$7,MATCH($B40,$AO$2:$AO$7,0),17)),0),IFERROR(AVERAGE(IF(INDEX($C40:$S40,Week+1):INDEX($C40:$S40,13)="NA",0,INDEX($C40:$S40,Week+1):INDEX($C40:$S40,13))-INDEX($AQ$2:$BG$7,MATCH($B40,$AO$2:$AO$7,0),Week+1):INDEX($AQ$2:$BG$7,MATCH($B40,$AO$2:$AO$7,0),13)),0))+ROW(A39)/1000000</f>
        <v>-4.2799610000000001</v>
      </c>
      <c r="AF40">
        <f t="shared" si="2"/>
        <v>395</v>
      </c>
      <c r="AG40">
        <f t="shared" si="3"/>
        <v>399</v>
      </c>
      <c r="AH40">
        <f t="shared" si="4"/>
        <v>399</v>
      </c>
      <c r="AI40">
        <f t="shared" si="5"/>
        <v>361</v>
      </c>
      <c r="AJ40" s="22">
        <f>IF(ISERROR(MATCH(A40,Rosters!$B$2:$B$155,0)),AD40,"")</f>
        <v>-4.8228181428571419</v>
      </c>
      <c r="AK40">
        <f t="shared" si="6"/>
        <v>247</v>
      </c>
      <c r="AL40" s="23">
        <f>COUNTIF(INDEX($C40:$S40,Week+1):INDEX($C40:$S40,13),"&gt;0")</f>
        <v>7</v>
      </c>
    </row>
    <row r="41" spans="1:38" x14ac:dyDescent="0.25">
      <c r="A41" t="s">
        <v>3105</v>
      </c>
      <c r="B41" t="s">
        <v>15</v>
      </c>
      <c r="C41" t="s">
        <v>64</v>
      </c>
      <c r="D41" t="s">
        <v>64</v>
      </c>
      <c r="E41" t="s">
        <v>64</v>
      </c>
      <c r="F41">
        <v>0</v>
      </c>
      <c r="G41">
        <v>0</v>
      </c>
      <c r="H41">
        <v>0</v>
      </c>
      <c r="I41">
        <v>0</v>
      </c>
      <c r="J41" t="s">
        <v>64</v>
      </c>
      <c r="K41">
        <v>0</v>
      </c>
      <c r="L41">
        <v>0</v>
      </c>
      <c r="M41">
        <v>0</v>
      </c>
      <c r="N41">
        <v>0</v>
      </c>
      <c r="O41">
        <v>0</v>
      </c>
      <c r="P41">
        <v>0</v>
      </c>
      <c r="Q41">
        <v>0</v>
      </c>
      <c r="R41">
        <v>0</v>
      </c>
      <c r="S41">
        <v>0</v>
      </c>
      <c r="T41" s="2">
        <f>IF('ROS Rankings'!$AD$1,IFERROR(AVERAGE(INDEX($C41:$S41,14):INDEX($C41:$S41,17)),0),IFERROR(AVERAGE(INDEX($C41:$S41,Week+1):INDEX($C41:$S41,13)),0))</f>
        <v>0</v>
      </c>
      <c r="U41" s="2">
        <f t="shared" si="0"/>
        <v>0</v>
      </c>
      <c r="V41" s="2" t="str">
        <f t="shared" si="0"/>
        <v/>
      </c>
      <c r="W41" s="2" t="str">
        <f t="shared" si="0"/>
        <v/>
      </c>
      <c r="X41" s="2" t="str">
        <f t="shared" si="0"/>
        <v/>
      </c>
      <c r="Y41" s="2" t="str">
        <f t="shared" si="0"/>
        <v/>
      </c>
      <c r="Z41" s="2" t="str">
        <f t="shared" si="0"/>
        <v/>
      </c>
      <c r="AA41" s="23" t="str">
        <f t="shared" si="1"/>
        <v>QB60</v>
      </c>
      <c r="AB41" s="2">
        <f>$T41-VLOOKUP($B41,Scores!$AG$1:$AM$7,5,FALSE)</f>
        <v>-20.884285714285713</v>
      </c>
      <c r="AC41" s="2">
        <f>$T41-VLOOKUP($B41,Scores!$AG$1:$AM$7,6,FALSE)</f>
        <v>-19.903749999999999</v>
      </c>
      <c r="AD41" s="2">
        <f>$T41-VLOOKUP($B41,Scores!$AG$1:$AM$7,7,FALSE)+(ROW(A40)/1000000)</f>
        <v>-19.499959999999998</v>
      </c>
      <c r="AE41" s="2">
        <f t="array" ref="AE41">IF('ROS Rankings'!$AD$1,IFERROR(AVERAGE(IF(INDEX($C41:$S41,14):INDEX($C41:$S41,17)="NA",0,INDEX($C41:$S41,14):INDEX($C41:$S41,17))-INDEX($AQ$2:$BG$7,MATCH($B41,$AO$2:$AO$7,0),14):INDEX($AQ$2:$BG$7,MATCH($B41,$AO$2:$AO$7,0),17)),0),IFERROR(AVERAGE(IF(INDEX($C41:$S41,Week+1):INDEX($C41:$S41,13)="NA",0,INDEX($C41:$S41,Week+1):INDEX($C41:$S41,13))-INDEX($AQ$2:$BG$7,MATCH($B41,$AO$2:$AO$7,0),Week+1):INDEX($AQ$2:$BG$7,MATCH($B41,$AO$2:$AO$7,0),13)),0))+ROW(A40)/1000000</f>
        <v>-18.502460000000003</v>
      </c>
      <c r="AF41">
        <f t="shared" si="2"/>
        <v>551</v>
      </c>
      <c r="AG41">
        <f t="shared" si="3"/>
        <v>551</v>
      </c>
      <c r="AH41">
        <f t="shared" si="4"/>
        <v>559</v>
      </c>
      <c r="AI41">
        <f t="shared" si="5"/>
        <v>559</v>
      </c>
      <c r="AJ41" s="22">
        <f>IF(ISERROR(MATCH(A41,Rosters!$B$2:$B$155,0)),AD41,"")</f>
        <v>-19.499959999999998</v>
      </c>
      <c r="AK41">
        <f t="shared" si="6"/>
        <v>406</v>
      </c>
      <c r="AL41" s="23">
        <f>COUNTIF(INDEX($C41:$S41,Week+1):INDEX($C41:$S41,13),"&gt;0")</f>
        <v>0</v>
      </c>
    </row>
    <row r="42" spans="1:38" x14ac:dyDescent="0.25">
      <c r="A42" t="s">
        <v>1373</v>
      </c>
      <c r="B42" t="s">
        <v>47</v>
      </c>
      <c r="C42">
        <v>5.93</v>
      </c>
      <c r="D42">
        <v>5.43</v>
      </c>
      <c r="E42">
        <v>5.26</v>
      </c>
      <c r="F42">
        <v>6.53</v>
      </c>
      <c r="G42">
        <v>7.42</v>
      </c>
      <c r="H42">
        <v>6.06</v>
      </c>
      <c r="I42">
        <v>6.09</v>
      </c>
      <c r="J42" t="s">
        <v>64</v>
      </c>
      <c r="K42">
        <v>4.99</v>
      </c>
      <c r="L42">
        <v>7.01</v>
      </c>
      <c r="M42">
        <v>5.1100000000000003</v>
      </c>
      <c r="N42">
        <v>6.21</v>
      </c>
      <c r="O42">
        <v>7.04</v>
      </c>
      <c r="P42">
        <v>8.1300000000000008</v>
      </c>
      <c r="Q42">
        <v>7.51</v>
      </c>
      <c r="R42">
        <v>5.96</v>
      </c>
      <c r="S42">
        <v>4.78</v>
      </c>
      <c r="T42" s="2">
        <f>IF('ROS Rankings'!$AD$1,IFERROR(AVERAGE(INDEX($C42:$S42,14):INDEX($C42:$S42,17)),0),IFERROR(AVERAGE(INDEX($C42:$S42,Week+1):INDEX($C42:$S42,13)),0))</f>
        <v>6.072857142857143</v>
      </c>
      <c r="U42" s="2" t="str">
        <f t="shared" si="0"/>
        <v/>
      </c>
      <c r="V42" s="2">
        <f t="shared" si="0"/>
        <v>6.072857142857143</v>
      </c>
      <c r="W42" s="2" t="str">
        <f t="shared" si="0"/>
        <v/>
      </c>
      <c r="X42" s="2" t="str">
        <f t="shared" si="0"/>
        <v/>
      </c>
      <c r="Y42" s="2" t="str">
        <f t="shared" si="0"/>
        <v/>
      </c>
      <c r="Z42" s="2" t="str">
        <f t="shared" si="0"/>
        <v/>
      </c>
      <c r="AA42" s="23" t="str">
        <f t="shared" si="1"/>
        <v>RB47</v>
      </c>
      <c r="AB42" s="2">
        <f>$T42-VLOOKUP($B42,Scores!$AG$1:$AM$7,5,FALSE)</f>
        <v>-5.6857142857142859</v>
      </c>
      <c r="AC42" s="2">
        <f>$T42-VLOOKUP($B42,Scores!$AG$1:$AM$7,6,FALSE)</f>
        <v>-2.1971428571428584</v>
      </c>
      <c r="AD42" s="2">
        <f>$T42-VLOOKUP($B42,Scores!$AG$1:$AM$7,7,FALSE)+(ROW(A41)/1000000)</f>
        <v>0.20432671428571375</v>
      </c>
      <c r="AE42" s="2">
        <f t="array" ref="AE42">IF('ROS Rankings'!$AD$1,IFERROR(AVERAGE(IF(INDEX($C42:$S42,14):INDEX($C42:$S42,17)="NA",0,INDEX($C42:$S42,14):INDEX($C42:$S42,17))-INDEX($AQ$2:$BG$7,MATCH($B42,$AO$2:$AO$7,0),14):INDEX($AQ$2:$BG$7,MATCH($B42,$AO$2:$AO$7,0),17)),0),IFERROR(AVERAGE(IF(INDEX($C42:$S42,Week+1):INDEX($C42:$S42,13)="NA",0,INDEX($C42:$S42,Week+1):INDEX($C42:$S42,13))-INDEX($AQ$2:$BG$7,MATCH($B42,$AO$2:$AO$7,0),Week+1):INDEX($AQ$2:$BG$7,MATCH($B42,$AO$2:$AO$7,0),13)),0))+ROW(A41)/1000000</f>
        <v>-4.6208999999999903E-2</v>
      </c>
      <c r="AF42">
        <f t="shared" si="2"/>
        <v>270</v>
      </c>
      <c r="AG42">
        <f t="shared" si="3"/>
        <v>204</v>
      </c>
      <c r="AH42">
        <f t="shared" si="4"/>
        <v>131</v>
      </c>
      <c r="AI42">
        <f t="shared" si="5"/>
        <v>125</v>
      </c>
      <c r="AJ42" s="22" t="str">
        <f>IF(ISERROR(MATCH(A42,Rosters!$B$2:$B$155,0)),AD42,"")</f>
        <v/>
      </c>
      <c r="AK42" t="str">
        <f t="shared" si="6"/>
        <v/>
      </c>
      <c r="AL42" s="23">
        <f>COUNTIF(INDEX($C42:$S42,Week+1):INDEX($C42:$S42,13),"&gt;0")</f>
        <v>7</v>
      </c>
    </row>
    <row r="43" spans="1:38" x14ac:dyDescent="0.25">
      <c r="A43" t="s">
        <v>211</v>
      </c>
      <c r="B43" t="s">
        <v>114</v>
      </c>
      <c r="C43">
        <v>3.37</v>
      </c>
      <c r="D43">
        <v>4.6100000000000003</v>
      </c>
      <c r="E43">
        <v>3.39</v>
      </c>
      <c r="F43">
        <v>3.94</v>
      </c>
      <c r="G43">
        <v>4.21</v>
      </c>
      <c r="H43">
        <v>6.92</v>
      </c>
      <c r="I43">
        <v>4.74</v>
      </c>
      <c r="J43" t="s">
        <v>64</v>
      </c>
      <c r="K43">
        <v>3.8</v>
      </c>
      <c r="L43">
        <v>5.33</v>
      </c>
      <c r="M43">
        <v>6.14</v>
      </c>
      <c r="N43">
        <v>5.36</v>
      </c>
      <c r="O43">
        <v>4.43</v>
      </c>
      <c r="P43">
        <v>5.72</v>
      </c>
      <c r="Q43">
        <v>4.3600000000000003</v>
      </c>
      <c r="R43">
        <v>4.38</v>
      </c>
      <c r="S43">
        <v>6.62</v>
      </c>
      <c r="T43" s="2">
        <f>IF('ROS Rankings'!$AD$1,IFERROR(AVERAGE(INDEX($C43:$S43,14):INDEX($C43:$S43,17)),0),IFERROR(AVERAGE(INDEX($C43:$S43,Week+1):INDEX($C43:$S43,13)),0))</f>
        <v>5.2457142857142856</v>
      </c>
      <c r="U43" s="2" t="str">
        <f t="shared" si="0"/>
        <v/>
      </c>
      <c r="V43" s="2" t="str">
        <f t="shared" si="0"/>
        <v/>
      </c>
      <c r="W43" s="2" t="str">
        <f t="shared" si="0"/>
        <v/>
      </c>
      <c r="X43" s="2">
        <f t="shared" si="0"/>
        <v>5.2457142857142856</v>
      </c>
      <c r="Y43" s="2" t="str">
        <f t="shared" si="0"/>
        <v/>
      </c>
      <c r="Z43" s="2" t="str">
        <f t="shared" si="0"/>
        <v/>
      </c>
      <c r="AA43" s="23" t="str">
        <f t="shared" si="1"/>
        <v>TE11</v>
      </c>
      <c r="AB43" s="2">
        <f>$T43-VLOOKUP($B43,Scores!$AG$1:$AM$7,5,FALSE)</f>
        <v>-1.7530357142857138</v>
      </c>
      <c r="AC43" s="2">
        <f>$T43-VLOOKUP($B43,Scores!$AG$1:$AM$7,6,FALSE)</f>
        <v>-4.2857142857144481E-3</v>
      </c>
      <c r="AD43" s="2">
        <f>$T43-VLOOKUP($B43,Scores!$AG$1:$AM$7,7,FALSE)+(ROW(A42)/1000000)</f>
        <v>6.5756285714285836E-2</v>
      </c>
      <c r="AE43" s="2">
        <f t="array" ref="AE43">IF('ROS Rankings'!$AD$1,IFERROR(AVERAGE(IF(INDEX($C43:$S43,14):INDEX($C43:$S43,17)="NA",0,INDEX($C43:$S43,14):INDEX($C43:$S43,17))-INDEX($AQ$2:$BG$7,MATCH($B43,$AO$2:$AO$7,0),14):INDEX($AQ$2:$BG$7,MATCH($B43,$AO$2:$AO$7,0),17)),0),IFERROR(AVERAGE(IF(INDEX($C43:$S43,Week+1):INDEX($C43:$S43,13)="NA",0,INDEX($C43:$S43,Week+1):INDEX($C43:$S43,13))-INDEX($AQ$2:$BG$7,MATCH($B43,$AO$2:$AO$7,0),Week+1):INDEX($AQ$2:$BG$7,MATCH($B43,$AO$2:$AO$7,0),13)),0))+ROW(A42)/1000000</f>
        <v>-0.50745799999999996</v>
      </c>
      <c r="AF43">
        <f t="shared" si="2"/>
        <v>121</v>
      </c>
      <c r="AG43">
        <f t="shared" si="3"/>
        <v>102</v>
      </c>
      <c r="AH43">
        <f t="shared" si="4"/>
        <v>138</v>
      </c>
      <c r="AI43">
        <f t="shared" si="5"/>
        <v>143</v>
      </c>
      <c r="AJ43" s="22" t="str">
        <f>IF(ISERROR(MATCH(A43,Rosters!$B$2:$B$155,0)),AD43,"")</f>
        <v/>
      </c>
      <c r="AK43" t="str">
        <f t="shared" si="6"/>
        <v/>
      </c>
      <c r="AL43" s="23">
        <f>COUNTIF(INDEX($C43:$S43,Week+1):INDEX($C43:$S43,13),"&gt;0")</f>
        <v>7</v>
      </c>
    </row>
    <row r="44" spans="1:38" x14ac:dyDescent="0.25">
      <c r="A44" t="s">
        <v>247</v>
      </c>
      <c r="B44" t="s">
        <v>114</v>
      </c>
      <c r="C44">
        <v>4.33</v>
      </c>
      <c r="D44">
        <v>4.71</v>
      </c>
      <c r="E44">
        <v>4.9800000000000004</v>
      </c>
      <c r="F44">
        <v>3.83</v>
      </c>
      <c r="G44">
        <v>3.56</v>
      </c>
      <c r="H44">
        <v>3.84</v>
      </c>
      <c r="I44">
        <v>4.4000000000000004</v>
      </c>
      <c r="J44">
        <v>3.89</v>
      </c>
      <c r="K44" t="s">
        <v>64</v>
      </c>
      <c r="L44">
        <v>3.78</v>
      </c>
      <c r="M44">
        <v>4.84</v>
      </c>
      <c r="N44">
        <v>4.2</v>
      </c>
      <c r="O44">
        <v>3.92</v>
      </c>
      <c r="P44">
        <v>3.53</v>
      </c>
      <c r="Q44">
        <v>4.6100000000000003</v>
      </c>
      <c r="R44">
        <v>3.92</v>
      </c>
      <c r="S44">
        <v>4.18</v>
      </c>
      <c r="T44" s="2">
        <f>IF('ROS Rankings'!$AD$1,IFERROR(AVERAGE(INDEX($C44:$S44,14):INDEX($C44:$S44,17)),0),IFERROR(AVERAGE(INDEX($C44:$S44,Week+1):INDEX($C44:$S44,13)),0))</f>
        <v>4.1242857142857137</v>
      </c>
      <c r="U44" s="2" t="str">
        <f t="shared" si="0"/>
        <v/>
      </c>
      <c r="V44" s="2" t="str">
        <f t="shared" si="0"/>
        <v/>
      </c>
      <c r="W44" s="2" t="str">
        <f t="shared" si="0"/>
        <v/>
      </c>
      <c r="X44" s="2">
        <f t="shared" ref="X44:Z107" si="7">IF($B44=X$1,$T44,"")</f>
        <v>4.1242857142857137</v>
      </c>
      <c r="Y44" s="2" t="str">
        <f t="shared" si="7"/>
        <v/>
      </c>
      <c r="Z44" s="2" t="str">
        <f t="shared" si="7"/>
        <v/>
      </c>
      <c r="AA44" s="23" t="str">
        <f t="shared" si="1"/>
        <v>TE19</v>
      </c>
      <c r="AB44" s="2">
        <f>$T44-VLOOKUP($B44,Scores!$AG$1:$AM$7,5,FALSE)</f>
        <v>-2.8744642857142857</v>
      </c>
      <c r="AC44" s="2">
        <f>$T44-VLOOKUP($B44,Scores!$AG$1:$AM$7,6,FALSE)</f>
        <v>-1.1257142857142863</v>
      </c>
      <c r="AD44" s="2">
        <f>$T44-VLOOKUP($B44,Scores!$AG$1:$AM$7,7,FALSE)+(ROW(A43)/1000000)</f>
        <v>-1.055671285714286</v>
      </c>
      <c r="AE44" s="2">
        <f t="array" ref="AE44">IF('ROS Rankings'!$AD$1,IFERROR(AVERAGE(IF(INDEX($C44:$S44,14):INDEX($C44:$S44,17)="NA",0,INDEX($C44:$S44,14):INDEX($C44:$S44,17))-INDEX($AQ$2:$BG$7,MATCH($B44,$AO$2:$AO$7,0),14):INDEX($AQ$2:$BG$7,MATCH($B44,$AO$2:$AO$7,0),17)),0),IFERROR(AVERAGE(IF(INDEX($C44:$S44,Week+1):INDEX($C44:$S44,13)="NA",0,INDEX($C44:$S44,Week+1):INDEX($C44:$S44,13))-INDEX($AQ$2:$BG$7,MATCH($B44,$AO$2:$AO$7,0),Week+1):INDEX($AQ$2:$BG$7,MATCH($B44,$AO$2:$AO$7,0),13)),0))+ROW(A43)/1000000</f>
        <v>-1.4887069999999998</v>
      </c>
      <c r="AF44">
        <f t="shared" si="2"/>
        <v>160</v>
      </c>
      <c r="AG44">
        <f t="shared" si="3"/>
        <v>164</v>
      </c>
      <c r="AH44">
        <f t="shared" si="4"/>
        <v>203</v>
      </c>
      <c r="AI44">
        <f t="shared" si="5"/>
        <v>211</v>
      </c>
      <c r="AJ44" s="22">
        <f>IF(ISERROR(MATCH(A44,Rosters!$B$2:$B$155,0)),AD44,"")</f>
        <v>-1.055671285714286</v>
      </c>
      <c r="AK44">
        <f t="shared" si="6"/>
        <v>67</v>
      </c>
      <c r="AL44" s="23">
        <f>COUNTIF(INDEX($C44:$S44,Week+1):INDEX($C44:$S44,13),"&gt;0")</f>
        <v>7</v>
      </c>
    </row>
    <row r="45" spans="1:38" x14ac:dyDescent="0.25">
      <c r="A45" t="s">
        <v>1492</v>
      </c>
      <c r="B45" t="s">
        <v>15</v>
      </c>
      <c r="C45">
        <v>2.19</v>
      </c>
      <c r="D45">
        <v>1.78</v>
      </c>
      <c r="E45">
        <v>0.88</v>
      </c>
      <c r="F45">
        <v>18.36</v>
      </c>
      <c r="G45">
        <v>13.22</v>
      </c>
      <c r="H45">
        <v>15.47</v>
      </c>
      <c r="I45">
        <v>17.95</v>
      </c>
      <c r="J45">
        <v>14.91</v>
      </c>
      <c r="K45">
        <v>17.18</v>
      </c>
      <c r="L45">
        <v>16.13</v>
      </c>
      <c r="M45" t="s">
        <v>64</v>
      </c>
      <c r="N45">
        <v>15.39</v>
      </c>
      <c r="O45">
        <v>17.16</v>
      </c>
      <c r="P45">
        <v>14.13</v>
      </c>
      <c r="Q45">
        <v>13.52</v>
      </c>
      <c r="R45">
        <v>16.22</v>
      </c>
      <c r="S45">
        <v>11.3</v>
      </c>
      <c r="T45" s="2">
        <f>IF('ROS Rankings'!$AD$1,IFERROR(AVERAGE(INDEX($C45:$S45,14):INDEX($C45:$S45,17)),0),IFERROR(AVERAGE(INDEX($C45:$S45,Week+1):INDEX($C45:$S45,13)),0))</f>
        <v>16.312857142857141</v>
      </c>
      <c r="U45" s="2">
        <f t="shared" ref="U45:Z108" si="8">IF($B45=U$1,$T45,"")</f>
        <v>16.312857142857141</v>
      </c>
      <c r="V45" s="2" t="str">
        <f t="shared" si="8"/>
        <v/>
      </c>
      <c r="W45" s="2" t="str">
        <f t="shared" si="8"/>
        <v/>
      </c>
      <c r="X45" s="2" t="str">
        <f t="shared" si="8"/>
        <v/>
      </c>
      <c r="Y45" s="2" t="str">
        <f t="shared" si="8"/>
        <v/>
      </c>
      <c r="Z45" s="2" t="str">
        <f t="shared" si="8"/>
        <v/>
      </c>
      <c r="AA45" s="23" t="str">
        <f t="shared" si="1"/>
        <v>QB24</v>
      </c>
      <c r="AB45" s="2">
        <f>$T45-VLOOKUP($B45,Scores!$AG$1:$AM$7,5,FALSE)</f>
        <v>-4.571428571428573</v>
      </c>
      <c r="AC45" s="2">
        <f>$T45-VLOOKUP($B45,Scores!$AG$1:$AM$7,6,FALSE)</f>
        <v>-3.5908928571428582</v>
      </c>
      <c r="AD45" s="2">
        <f>$T45-VLOOKUP($B45,Scores!$AG$1:$AM$7,7,FALSE)+(ROW(A44)/1000000)</f>
        <v>-3.187098857142856</v>
      </c>
      <c r="AE45" s="2">
        <f t="array" ref="AE45">IF('ROS Rankings'!$AD$1,IFERROR(AVERAGE(IF(INDEX($C45:$S45,14):INDEX($C45:$S45,17)="NA",0,INDEX($C45:$S45,14):INDEX($C45:$S45,17))-INDEX($AQ$2:$BG$7,MATCH($B45,$AO$2:$AO$7,0),14):INDEX($AQ$2:$BG$7,MATCH($B45,$AO$2:$AO$7,0),17)),0),IFERROR(AVERAGE(IF(INDEX($C45:$S45,Week+1):INDEX($C45:$S45,13)="NA",0,INDEX($C45:$S45,Week+1):INDEX($C45:$S45,13))-INDEX($AQ$2:$BG$7,MATCH($B45,$AO$2:$AO$7,0),Week+1):INDEX($AQ$2:$BG$7,MATCH($B45,$AO$2:$AO$7,0),13)),0))+ROW(A44)/1000000</f>
        <v>-4.2287059999999999</v>
      </c>
      <c r="AF45">
        <f t="shared" si="2"/>
        <v>220</v>
      </c>
      <c r="AG45">
        <f t="shared" si="3"/>
        <v>277</v>
      </c>
      <c r="AH45">
        <f t="shared" si="4"/>
        <v>312</v>
      </c>
      <c r="AI45">
        <f t="shared" si="5"/>
        <v>357</v>
      </c>
      <c r="AJ45" s="22" t="str">
        <f>IF(ISERROR(MATCH(A45,Rosters!$B$2:$B$155,0)),AD45,"")</f>
        <v/>
      </c>
      <c r="AK45" t="str">
        <f t="shared" si="6"/>
        <v/>
      </c>
      <c r="AL45" s="23">
        <f>COUNTIF(INDEX($C45:$S45,Week+1):INDEX($C45:$S45,13),"&gt;0")</f>
        <v>7</v>
      </c>
    </row>
    <row r="46" spans="1:38" x14ac:dyDescent="0.25">
      <c r="A46" t="s">
        <v>1145</v>
      </c>
      <c r="B46" t="s">
        <v>114</v>
      </c>
      <c r="C46">
        <v>0.59</v>
      </c>
      <c r="D46">
        <v>0.59</v>
      </c>
      <c r="E46">
        <v>0.42</v>
      </c>
      <c r="F46">
        <v>0.61</v>
      </c>
      <c r="G46" t="s">
        <v>64</v>
      </c>
      <c r="H46">
        <v>0.51</v>
      </c>
      <c r="I46">
        <v>0.59</v>
      </c>
      <c r="J46">
        <v>0.51</v>
      </c>
      <c r="K46">
        <v>0.49</v>
      </c>
      <c r="L46">
        <v>0.56000000000000005</v>
      </c>
      <c r="M46">
        <v>0.49</v>
      </c>
      <c r="N46">
        <v>0.54</v>
      </c>
      <c r="O46">
        <v>0.52</v>
      </c>
      <c r="P46">
        <v>0.53</v>
      </c>
      <c r="Q46">
        <v>0.56999999999999995</v>
      </c>
      <c r="R46">
        <v>0.54</v>
      </c>
      <c r="S46">
        <v>0.47</v>
      </c>
      <c r="T46" s="2">
        <f>IF('ROS Rankings'!$AD$1,IFERROR(AVERAGE(INDEX($C46:$S46,14):INDEX($C46:$S46,17)),0),IFERROR(AVERAGE(INDEX($C46:$S46,Week+1):INDEX($C46:$S46,13)),0))</f>
        <v>0.52625000000000011</v>
      </c>
      <c r="U46" s="2" t="str">
        <f t="shared" si="8"/>
        <v/>
      </c>
      <c r="V46" s="2" t="str">
        <f t="shared" si="8"/>
        <v/>
      </c>
      <c r="W46" s="2" t="str">
        <f t="shared" si="8"/>
        <v/>
      </c>
      <c r="X46" s="2">
        <f t="shared" si="8"/>
        <v>0.52625000000000011</v>
      </c>
      <c r="Y46" s="2" t="str">
        <f t="shared" si="8"/>
        <v/>
      </c>
      <c r="Z46" s="2" t="str">
        <f t="shared" si="8"/>
        <v/>
      </c>
      <c r="AA46" s="23" t="str">
        <f t="shared" si="1"/>
        <v>TE82</v>
      </c>
      <c r="AB46" s="2">
        <f>$T46-VLOOKUP($B46,Scores!$AG$1:$AM$7,5,FALSE)</f>
        <v>-6.4724999999999993</v>
      </c>
      <c r="AC46" s="2">
        <f>$T46-VLOOKUP($B46,Scores!$AG$1:$AM$7,6,FALSE)</f>
        <v>-4.7237499999999999</v>
      </c>
      <c r="AD46" s="2">
        <f>$T46-VLOOKUP($B46,Scores!$AG$1:$AM$7,7,FALSE)+(ROW(A45)/1000000)</f>
        <v>-4.6537049999999995</v>
      </c>
      <c r="AE46" s="2">
        <f t="array" ref="AE46">IF('ROS Rankings'!$AD$1,IFERROR(AVERAGE(IF(INDEX($C46:$S46,14):INDEX($C46:$S46,17)="NA",0,INDEX($C46:$S46,14):INDEX($C46:$S46,17))-INDEX($AQ$2:$BG$7,MATCH($B46,$AO$2:$AO$7,0),14):INDEX($AQ$2:$BG$7,MATCH($B46,$AO$2:$AO$7,0),17)),0),IFERROR(AVERAGE(IF(INDEX($C46:$S46,Week+1):INDEX($C46:$S46,13)="NA",0,INDEX($C46:$S46,Week+1):INDEX($C46:$S46,13))-INDEX($AQ$2:$BG$7,MATCH($B46,$AO$2:$AO$7,0),Week+1):INDEX($AQ$2:$BG$7,MATCH($B46,$AO$2:$AO$7,0),13)),0))+ROW(A45)/1000000</f>
        <v>-4.571205</v>
      </c>
      <c r="AF46">
        <f t="shared" si="2"/>
        <v>313</v>
      </c>
      <c r="AG46">
        <f t="shared" si="3"/>
        <v>328</v>
      </c>
      <c r="AH46">
        <f t="shared" si="4"/>
        <v>374</v>
      </c>
      <c r="AI46">
        <f t="shared" si="5"/>
        <v>381</v>
      </c>
      <c r="AJ46" s="22">
        <f>IF(ISERROR(MATCH(A46,Rosters!$B$2:$B$155,0)),AD46,"")</f>
        <v>-4.6537049999999995</v>
      </c>
      <c r="AK46">
        <f t="shared" si="6"/>
        <v>222</v>
      </c>
      <c r="AL46" s="23">
        <f>COUNTIF(INDEX($C46:$S46,Week+1):INDEX($C46:$S46,13),"&gt;0")</f>
        <v>8</v>
      </c>
    </row>
    <row r="47" spans="1:38" x14ac:dyDescent="0.25">
      <c r="A47" t="s">
        <v>65</v>
      </c>
      <c r="B47" t="s">
        <v>15</v>
      </c>
      <c r="C47">
        <v>16.579999999999998</v>
      </c>
      <c r="D47">
        <v>18.920000000000002</v>
      </c>
      <c r="E47">
        <v>21.35</v>
      </c>
      <c r="F47">
        <v>19.29</v>
      </c>
      <c r="G47">
        <v>22.82</v>
      </c>
      <c r="H47">
        <v>20.68</v>
      </c>
      <c r="I47" t="s">
        <v>64</v>
      </c>
      <c r="J47">
        <v>21.1</v>
      </c>
      <c r="K47">
        <v>18.53</v>
      </c>
      <c r="L47">
        <v>20.399999999999999</v>
      </c>
      <c r="M47">
        <v>17.690000000000001</v>
      </c>
      <c r="N47">
        <v>18.440000000000001</v>
      </c>
      <c r="O47">
        <v>21.28</v>
      </c>
      <c r="P47">
        <v>22.6</v>
      </c>
      <c r="Q47">
        <v>23.18</v>
      </c>
      <c r="R47">
        <v>21.28</v>
      </c>
      <c r="S47">
        <v>21.94</v>
      </c>
      <c r="T47" s="2">
        <f>IF('ROS Rankings'!$AD$1,IFERROR(AVERAGE(INDEX($C47:$S47,14):INDEX($C47:$S47,17)),0),IFERROR(AVERAGE(INDEX($C47:$S47,Week+1):INDEX($C47:$S47,13)),0))</f>
        <v>19.731428571428573</v>
      </c>
      <c r="U47" s="2">
        <f t="shared" si="8"/>
        <v>19.731428571428573</v>
      </c>
      <c r="V47" s="2" t="str">
        <f t="shared" si="8"/>
        <v/>
      </c>
      <c r="W47" s="2" t="str">
        <f t="shared" si="8"/>
        <v/>
      </c>
      <c r="X47" s="2" t="str">
        <f t="shared" si="8"/>
        <v/>
      </c>
      <c r="Y47" s="2" t="str">
        <f t="shared" si="8"/>
        <v/>
      </c>
      <c r="Z47" s="2" t="str">
        <f t="shared" si="8"/>
        <v/>
      </c>
      <c r="AA47" s="23" t="str">
        <f t="shared" si="1"/>
        <v>QB12</v>
      </c>
      <c r="AB47" s="2">
        <f>$T47-VLOOKUP($B47,Scores!$AG$1:$AM$7,5,FALSE)</f>
        <v>-1.1528571428571404</v>
      </c>
      <c r="AC47" s="2">
        <f>$T47-VLOOKUP($B47,Scores!$AG$1:$AM$7,6,FALSE)</f>
        <v>-0.17232142857142563</v>
      </c>
      <c r="AD47" s="2">
        <f>$T47-VLOOKUP($B47,Scores!$AG$1:$AM$7,7,FALSE)+(ROW(A46)/1000000)</f>
        <v>0.23147457142857664</v>
      </c>
      <c r="AE47" s="2">
        <f t="array" ref="AE47">IF('ROS Rankings'!$AD$1,IFERROR(AVERAGE(IF(INDEX($C47:$S47,14):INDEX($C47:$S47,17)="NA",0,INDEX($C47:$S47,14):INDEX($C47:$S47,17))-INDEX($AQ$2:$BG$7,MATCH($B47,$AO$2:$AO$7,0),14):INDEX($AQ$2:$BG$7,MATCH($B47,$AO$2:$AO$7,0),17)),0),IFERROR(AVERAGE(IF(INDEX($C47:$S47,Week+1):INDEX($C47:$S47,13)="NA",0,INDEX($C47:$S47,Week+1):INDEX($C47:$S47,13))-INDEX($AQ$2:$BG$7,MATCH($B47,$AO$2:$AO$7,0),Week+1):INDEX($AQ$2:$BG$7,MATCH($B47,$AO$2:$AO$7,0),13)),0))+ROW(A46)/1000000</f>
        <v>-1.2374539999999994</v>
      </c>
      <c r="AF47">
        <f t="shared" si="2"/>
        <v>99</v>
      </c>
      <c r="AG47">
        <f t="shared" si="3"/>
        <v>117</v>
      </c>
      <c r="AH47">
        <f t="shared" si="4"/>
        <v>130</v>
      </c>
      <c r="AI47">
        <f t="shared" si="5"/>
        <v>187</v>
      </c>
      <c r="AJ47" s="22" t="str">
        <f>IF(ISERROR(MATCH(A47,Rosters!$B$2:$B$155,0)),AD47,"")</f>
        <v/>
      </c>
      <c r="AK47" t="str">
        <f t="shared" si="6"/>
        <v/>
      </c>
      <c r="AL47" s="23">
        <f>COUNTIF(INDEX($C47:$S47,Week+1):INDEX($C47:$S47,13),"&gt;0")</f>
        <v>7</v>
      </c>
    </row>
    <row r="48" spans="1:38" x14ac:dyDescent="0.25">
      <c r="A48" t="s">
        <v>261</v>
      </c>
      <c r="B48" t="s">
        <v>114</v>
      </c>
      <c r="C48">
        <v>4.43</v>
      </c>
      <c r="D48">
        <v>5.18</v>
      </c>
      <c r="E48">
        <v>4.84</v>
      </c>
      <c r="F48">
        <v>5.88</v>
      </c>
      <c r="G48">
        <v>5.16</v>
      </c>
      <c r="H48" t="s">
        <v>64</v>
      </c>
      <c r="I48">
        <v>4.0599999999999996</v>
      </c>
      <c r="J48">
        <v>5.67</v>
      </c>
      <c r="K48">
        <v>5.27</v>
      </c>
      <c r="L48">
        <v>5.07</v>
      </c>
      <c r="M48">
        <v>4.93</v>
      </c>
      <c r="N48">
        <v>5.43</v>
      </c>
      <c r="O48">
        <v>5.83</v>
      </c>
      <c r="P48">
        <v>5.87</v>
      </c>
      <c r="Q48">
        <v>4.7300000000000004</v>
      </c>
      <c r="R48">
        <v>5.25</v>
      </c>
      <c r="S48">
        <v>4.8899999999999997</v>
      </c>
      <c r="T48" s="2">
        <f>IF('ROS Rankings'!$AD$1,IFERROR(AVERAGE(INDEX($C48:$S48,14):INDEX($C48:$S48,17)),0),IFERROR(AVERAGE(INDEX($C48:$S48,Week+1):INDEX($C48:$S48,13)),0))</f>
        <v>5.18</v>
      </c>
      <c r="U48" s="2" t="str">
        <f t="shared" si="8"/>
        <v/>
      </c>
      <c r="V48" s="2" t="str">
        <f t="shared" si="8"/>
        <v/>
      </c>
      <c r="W48" s="2" t="str">
        <f t="shared" si="8"/>
        <v/>
      </c>
      <c r="X48" s="2">
        <f t="shared" si="8"/>
        <v>5.18</v>
      </c>
      <c r="Y48" s="2" t="str">
        <f t="shared" si="8"/>
        <v/>
      </c>
      <c r="Z48" s="2" t="str">
        <f t="shared" si="8"/>
        <v/>
      </c>
      <c r="AA48" s="23" t="str">
        <f t="shared" si="1"/>
        <v>TE13</v>
      </c>
      <c r="AB48" s="2">
        <f>$T48-VLOOKUP($B48,Scores!$AG$1:$AM$7,5,FALSE)</f>
        <v>-1.8187499999999996</v>
      </c>
      <c r="AC48" s="2">
        <f>$T48-VLOOKUP($B48,Scores!$AG$1:$AM$7,6,FALSE)</f>
        <v>-7.0000000000000284E-2</v>
      </c>
      <c r="AD48" s="2">
        <f>$T48-VLOOKUP($B48,Scores!$AG$1:$AM$7,7,FALSE)+(ROW(A47)/1000000)</f>
        <v>4.6999999999999997E-5</v>
      </c>
      <c r="AE48" s="2">
        <f t="array" ref="AE48">IF('ROS Rankings'!$AD$1,IFERROR(AVERAGE(IF(INDEX($C48:$S48,14):INDEX($C48:$S48,17)="NA",0,INDEX($C48:$S48,14):INDEX($C48:$S48,17))-INDEX($AQ$2:$BG$7,MATCH($B48,$AO$2:$AO$7,0),14):INDEX($AQ$2:$BG$7,MATCH($B48,$AO$2:$AO$7,0),17)),0),IFERROR(AVERAGE(IF(INDEX($C48:$S48,Week+1):INDEX($C48:$S48,13)="NA",0,INDEX($C48:$S48,Week+1):INDEX($C48:$S48,13))-INDEX($AQ$2:$BG$7,MATCH($B48,$AO$2:$AO$7,0),Week+1):INDEX($AQ$2:$BG$7,MATCH($B48,$AO$2:$AO$7,0),13)),0))+ROW(A47)/1000000</f>
        <v>-0.56495300000000004</v>
      </c>
      <c r="AF48">
        <f t="shared" si="2"/>
        <v>126</v>
      </c>
      <c r="AG48">
        <f t="shared" si="3"/>
        <v>107</v>
      </c>
      <c r="AH48">
        <f t="shared" si="4"/>
        <v>150</v>
      </c>
      <c r="AI48">
        <f t="shared" si="5"/>
        <v>148</v>
      </c>
      <c r="AJ48" s="22">
        <f>IF(ISERROR(MATCH(A48,Rosters!$B$2:$B$155,0)),AD48,"")</f>
        <v>4.6999999999999997E-5</v>
      </c>
      <c r="AK48">
        <f t="shared" si="6"/>
        <v>23</v>
      </c>
      <c r="AL48" s="23">
        <f>COUNTIF(INDEX($C48:$S48,Week+1):INDEX($C48:$S48,13),"&gt;0")</f>
        <v>7</v>
      </c>
    </row>
    <row r="49" spans="1:38" x14ac:dyDescent="0.25">
      <c r="A49" t="s">
        <v>293</v>
      </c>
      <c r="B49" t="s">
        <v>47</v>
      </c>
      <c r="C49">
        <v>1.06</v>
      </c>
      <c r="D49">
        <v>1.03</v>
      </c>
      <c r="E49">
        <v>1.2</v>
      </c>
      <c r="F49">
        <v>0.52</v>
      </c>
      <c r="G49" t="s">
        <v>64</v>
      </c>
      <c r="H49">
        <v>0.5</v>
      </c>
      <c r="I49">
        <v>0.53</v>
      </c>
      <c r="J49">
        <v>0.56000000000000005</v>
      </c>
      <c r="K49">
        <v>0.47</v>
      </c>
      <c r="L49">
        <v>0.56000000000000005</v>
      </c>
      <c r="M49">
        <v>0.56000000000000005</v>
      </c>
      <c r="N49">
        <v>0.54</v>
      </c>
      <c r="O49">
        <v>0.5</v>
      </c>
      <c r="P49">
        <v>0.46</v>
      </c>
      <c r="Q49">
        <v>0.5</v>
      </c>
      <c r="R49">
        <v>0.53</v>
      </c>
      <c r="S49">
        <v>0.53</v>
      </c>
      <c r="T49" s="2">
        <f>IF('ROS Rankings'!$AD$1,IFERROR(AVERAGE(INDEX($C49:$S49,14):INDEX($C49:$S49,17)),0),IFERROR(AVERAGE(INDEX($C49:$S49,Week+1):INDEX($C49:$S49,13)),0))</f>
        <v>0.52750000000000008</v>
      </c>
      <c r="U49" s="2" t="str">
        <f t="shared" si="8"/>
        <v/>
      </c>
      <c r="V49" s="2">
        <f t="shared" si="8"/>
        <v>0.52750000000000008</v>
      </c>
      <c r="W49" s="2" t="str">
        <f t="shared" si="8"/>
        <v/>
      </c>
      <c r="X49" s="2" t="str">
        <f t="shared" si="8"/>
        <v/>
      </c>
      <c r="Y49" s="2" t="str">
        <f t="shared" si="8"/>
        <v/>
      </c>
      <c r="Z49" s="2" t="str">
        <f t="shared" si="8"/>
        <v/>
      </c>
      <c r="AA49" s="23" t="str">
        <f t="shared" si="1"/>
        <v>RB114</v>
      </c>
      <c r="AB49" s="2">
        <f>$T49-VLOOKUP($B49,Scores!$AG$1:$AM$7,5,FALSE)</f>
        <v>-11.231071428571429</v>
      </c>
      <c r="AC49" s="2">
        <f>$T49-VLOOKUP($B49,Scores!$AG$1:$AM$7,6,FALSE)</f>
        <v>-7.7425000000000015</v>
      </c>
      <c r="AD49" s="2">
        <f>$T49-VLOOKUP($B49,Scores!$AG$1:$AM$7,7,FALSE)+(ROW(A48)/1000000)</f>
        <v>-5.3410234285714298</v>
      </c>
      <c r="AE49" s="2">
        <f t="array" ref="AE49">IF('ROS Rankings'!$AD$1,IFERROR(AVERAGE(IF(INDEX($C49:$S49,14):INDEX($C49:$S49,17)="NA",0,INDEX($C49:$S49,14):INDEX($C49:$S49,17))-INDEX($AQ$2:$BG$7,MATCH($B49,$AO$2:$AO$7,0),14):INDEX($AQ$2:$BG$7,MATCH($B49,$AO$2:$AO$7,0),17)),0),IFERROR(AVERAGE(IF(INDEX($C49:$S49,Week+1):INDEX($C49:$S49,13)="NA",0,INDEX($C49:$S49,Week+1):INDEX($C49:$S49,13))-INDEX($AQ$2:$BG$7,MATCH($B49,$AO$2:$AO$7,0),Week+1):INDEX($AQ$2:$BG$7,MATCH($B49,$AO$2:$AO$7,0),13)),0))+ROW(A48)/1000000</f>
        <v>-4.832452</v>
      </c>
      <c r="AF49">
        <f t="shared" si="2"/>
        <v>502</v>
      </c>
      <c r="AG49">
        <f t="shared" si="3"/>
        <v>495</v>
      </c>
      <c r="AH49">
        <f t="shared" si="4"/>
        <v>445</v>
      </c>
      <c r="AI49">
        <f t="shared" si="5"/>
        <v>446</v>
      </c>
      <c r="AJ49" s="22">
        <f>IF(ISERROR(MATCH(A49,Rosters!$B$2:$B$155,0)),AD49,"")</f>
        <v>-5.3410234285714298</v>
      </c>
      <c r="AK49">
        <f t="shared" si="6"/>
        <v>293</v>
      </c>
      <c r="AL49" s="23">
        <f>COUNTIF(INDEX($C49:$S49,Week+1):INDEX($C49:$S49,13),"&gt;0")</f>
        <v>8</v>
      </c>
    </row>
    <row r="50" spans="1:38" x14ac:dyDescent="0.25">
      <c r="A50" t="s">
        <v>139</v>
      </c>
      <c r="B50" t="s">
        <v>47</v>
      </c>
      <c r="C50">
        <v>5.55</v>
      </c>
      <c r="D50">
        <v>5.95</v>
      </c>
      <c r="E50">
        <v>6.92</v>
      </c>
      <c r="F50">
        <v>6.09</v>
      </c>
      <c r="G50">
        <v>8.0500000000000007</v>
      </c>
      <c r="H50">
        <v>8.09</v>
      </c>
      <c r="I50">
        <v>7.32</v>
      </c>
      <c r="J50">
        <v>5.76</v>
      </c>
      <c r="K50">
        <v>7.53</v>
      </c>
      <c r="L50">
        <v>8.01</v>
      </c>
      <c r="M50" t="s">
        <v>64</v>
      </c>
      <c r="N50">
        <v>8.1</v>
      </c>
      <c r="O50">
        <v>7.61</v>
      </c>
      <c r="P50">
        <v>7.46</v>
      </c>
      <c r="Q50">
        <v>8.17</v>
      </c>
      <c r="R50">
        <v>7.96</v>
      </c>
      <c r="S50">
        <v>7.5</v>
      </c>
      <c r="T50" s="2">
        <f>IF('ROS Rankings'!$AD$1,IFERROR(AVERAGE(INDEX($C50:$S50,14):INDEX($C50:$S50,17)),0),IFERROR(AVERAGE(INDEX($C50:$S50,Week+1):INDEX($C50:$S50,13)),0))</f>
        <v>7.4885714285714284</v>
      </c>
      <c r="U50" s="2" t="str">
        <f t="shared" si="8"/>
        <v/>
      </c>
      <c r="V50" s="2">
        <f t="shared" si="8"/>
        <v>7.4885714285714284</v>
      </c>
      <c r="W50" s="2" t="str">
        <f t="shared" si="8"/>
        <v/>
      </c>
      <c r="X50" s="2" t="str">
        <f t="shared" si="8"/>
        <v/>
      </c>
      <c r="Y50" s="2" t="str">
        <f t="shared" si="8"/>
        <v/>
      </c>
      <c r="Z50" s="2" t="str">
        <f t="shared" si="8"/>
        <v/>
      </c>
      <c r="AA50" s="23" t="str">
        <f t="shared" si="1"/>
        <v>RB34</v>
      </c>
      <c r="AB50" s="2">
        <f>$T50-VLOOKUP($B50,Scores!$AG$1:$AM$7,5,FALSE)</f>
        <v>-4.2700000000000005</v>
      </c>
      <c r="AC50" s="2">
        <f>$T50-VLOOKUP($B50,Scores!$AG$1:$AM$7,6,FALSE)</f>
        <v>-0.78142857142857292</v>
      </c>
      <c r="AD50" s="2">
        <f>$T50-VLOOKUP($B50,Scores!$AG$1:$AM$7,7,FALSE)+(ROW(A49)/1000000)</f>
        <v>1.6200489999999992</v>
      </c>
      <c r="AE50" s="2">
        <f t="array" ref="AE50">IF('ROS Rankings'!$AD$1,IFERROR(AVERAGE(IF(INDEX($C50:$S50,14):INDEX($C50:$S50,17)="NA",0,INDEX($C50:$S50,14):INDEX($C50:$S50,17))-INDEX($AQ$2:$BG$7,MATCH($B50,$AO$2:$AO$7,0),14):INDEX($AQ$2:$BG$7,MATCH($B50,$AO$2:$AO$7,0),17)),0),IFERROR(AVERAGE(IF(INDEX($C50:$S50,Week+1):INDEX($C50:$S50,13)="NA",0,INDEX($C50:$S50,Week+1):INDEX($C50:$S50,13))-INDEX($AQ$2:$BG$7,MATCH($B50,$AO$2:$AO$7,0),Week+1):INDEX($AQ$2:$BG$7,MATCH($B50,$AO$2:$AO$7,0),13)),0))+ROW(A49)/1000000</f>
        <v>1.1925489999999999</v>
      </c>
      <c r="AF50">
        <f t="shared" si="2"/>
        <v>203</v>
      </c>
      <c r="AG50">
        <f t="shared" si="3"/>
        <v>151</v>
      </c>
      <c r="AH50">
        <f t="shared" si="4"/>
        <v>84</v>
      </c>
      <c r="AI50">
        <f t="shared" si="5"/>
        <v>84</v>
      </c>
      <c r="AJ50" s="22" t="str">
        <f>IF(ISERROR(MATCH(A50,Rosters!$B$2:$B$155,0)),AD50,"")</f>
        <v/>
      </c>
      <c r="AK50" t="str">
        <f t="shared" si="6"/>
        <v/>
      </c>
      <c r="AL50" s="23">
        <f>COUNTIF(INDEX($C50:$S50,Week+1):INDEX($C50:$S50,13),"&gt;0")</f>
        <v>7</v>
      </c>
    </row>
    <row r="51" spans="1:38" x14ac:dyDescent="0.25">
      <c r="A51" t="s">
        <v>1627</v>
      </c>
      <c r="B51" t="s">
        <v>15</v>
      </c>
      <c r="C51">
        <v>0.4</v>
      </c>
      <c r="D51">
        <v>15.24</v>
      </c>
      <c r="E51">
        <v>9.7200000000000006</v>
      </c>
      <c r="F51">
        <v>0</v>
      </c>
      <c r="G51">
        <v>0.34</v>
      </c>
      <c r="H51">
        <v>0.59</v>
      </c>
      <c r="I51">
        <v>0.74</v>
      </c>
      <c r="J51" t="s">
        <v>64</v>
      </c>
      <c r="K51">
        <v>0.87</v>
      </c>
      <c r="L51">
        <v>0.87</v>
      </c>
      <c r="M51">
        <v>0.88</v>
      </c>
      <c r="N51">
        <v>0.88</v>
      </c>
      <c r="O51">
        <v>0.8</v>
      </c>
      <c r="P51">
        <v>0.6</v>
      </c>
      <c r="Q51">
        <v>0.78</v>
      </c>
      <c r="R51">
        <v>0.83</v>
      </c>
      <c r="S51">
        <v>0.94</v>
      </c>
      <c r="T51" s="2">
        <f>IF('ROS Rankings'!$AD$1,IFERROR(AVERAGE(INDEX($C51:$S51,14):INDEX($C51:$S51,17)),0),IFERROR(AVERAGE(INDEX($C51:$S51,Week+1):INDEX($C51:$S51,13)),0))</f>
        <v>0.80428571428571427</v>
      </c>
      <c r="U51" s="2">
        <f t="shared" si="8"/>
        <v>0.80428571428571427</v>
      </c>
      <c r="V51" s="2" t="str">
        <f t="shared" si="8"/>
        <v/>
      </c>
      <c r="W51" s="2" t="str">
        <f t="shared" si="8"/>
        <v/>
      </c>
      <c r="X51" s="2" t="str">
        <f t="shared" si="8"/>
        <v/>
      </c>
      <c r="Y51" s="2" t="str">
        <f t="shared" si="8"/>
        <v/>
      </c>
      <c r="Z51" s="2" t="str">
        <f t="shared" si="8"/>
        <v/>
      </c>
      <c r="AA51" s="23" t="str">
        <f t="shared" si="1"/>
        <v>QB50</v>
      </c>
      <c r="AB51" s="2">
        <f>$T51-VLOOKUP($B51,Scores!$AG$1:$AM$7,5,FALSE)</f>
        <v>-20.079999999999998</v>
      </c>
      <c r="AC51" s="2">
        <f>$T51-VLOOKUP($B51,Scores!$AG$1:$AM$7,6,FALSE)</f>
        <v>-19.099464285714284</v>
      </c>
      <c r="AD51" s="2">
        <f>$T51-VLOOKUP($B51,Scores!$AG$1:$AM$7,7,FALSE)+(ROW(A50)/1000000)</f>
        <v>-18.69566428571428</v>
      </c>
      <c r="AE51" s="2">
        <f t="array" ref="AE51">IF('ROS Rankings'!$AD$1,IFERROR(AVERAGE(IF(INDEX($C51:$S51,14):INDEX($C51:$S51,17)="NA",0,INDEX($C51:$S51,14):INDEX($C51:$S51,17))-INDEX($AQ$2:$BG$7,MATCH($B51,$AO$2:$AO$7,0),14):INDEX($AQ$2:$BG$7,MATCH($B51,$AO$2:$AO$7,0),17)),0),IFERROR(AVERAGE(IF(INDEX($C51:$S51,Week+1):INDEX($C51:$S51,13)="NA",0,INDEX($C51:$S51,Week+1):INDEX($C51:$S51,13))-INDEX($AQ$2:$BG$7,MATCH($B51,$AO$2:$AO$7,0),Week+1):INDEX($AQ$2:$BG$7,MATCH($B51,$AO$2:$AO$7,0),13)),0))+ROW(A50)/1000000</f>
        <v>-17.798699999999997</v>
      </c>
      <c r="AF51">
        <f t="shared" si="2"/>
        <v>541</v>
      </c>
      <c r="AG51">
        <f t="shared" si="3"/>
        <v>541</v>
      </c>
      <c r="AH51">
        <f t="shared" si="4"/>
        <v>541</v>
      </c>
      <c r="AI51">
        <f t="shared" si="5"/>
        <v>541</v>
      </c>
      <c r="AJ51" s="22">
        <f>IF(ISERROR(MATCH(A51,Rosters!$B$2:$B$155,0)),AD51,"")</f>
        <v>-18.69566428571428</v>
      </c>
      <c r="AK51">
        <f t="shared" si="6"/>
        <v>388</v>
      </c>
      <c r="AL51" s="23">
        <f>COUNTIF(INDEX($C51:$S51,Week+1):INDEX($C51:$S51,13),"&gt;0")</f>
        <v>7</v>
      </c>
    </row>
    <row r="52" spans="1:38" x14ac:dyDescent="0.25">
      <c r="A52" t="s">
        <v>79</v>
      </c>
      <c r="B52" t="s">
        <v>15</v>
      </c>
      <c r="C52">
        <v>14.58</v>
      </c>
      <c r="D52">
        <v>16.97</v>
      </c>
      <c r="E52">
        <v>17.510000000000002</v>
      </c>
      <c r="F52">
        <v>16.2</v>
      </c>
      <c r="G52">
        <v>19.78</v>
      </c>
      <c r="H52">
        <v>19.5</v>
      </c>
      <c r="I52">
        <v>22.59</v>
      </c>
      <c r="J52">
        <v>17.97</v>
      </c>
      <c r="K52" t="s">
        <v>64</v>
      </c>
      <c r="L52">
        <v>19.559999999999999</v>
      </c>
      <c r="M52">
        <v>19.79</v>
      </c>
      <c r="N52">
        <v>19.350000000000001</v>
      </c>
      <c r="O52">
        <v>20.92</v>
      </c>
      <c r="P52">
        <v>18.82</v>
      </c>
      <c r="Q52">
        <v>18.61</v>
      </c>
      <c r="R52">
        <v>19.34</v>
      </c>
      <c r="S52">
        <v>21.14</v>
      </c>
      <c r="T52" s="2">
        <f>IF('ROS Rankings'!$AD$1,IFERROR(AVERAGE(INDEX($C52:$S52,14):INDEX($C52:$S52,17)),0),IFERROR(AVERAGE(INDEX($C52:$S52,Week+1):INDEX($C52:$S52,13)),0))</f>
        <v>19.954285714285714</v>
      </c>
      <c r="U52" s="2">
        <f t="shared" si="8"/>
        <v>19.954285714285714</v>
      </c>
      <c r="V52" s="2" t="str">
        <f t="shared" si="8"/>
        <v/>
      </c>
      <c r="W52" s="2" t="str">
        <f t="shared" si="8"/>
        <v/>
      </c>
      <c r="X52" s="2" t="str">
        <f t="shared" si="8"/>
        <v/>
      </c>
      <c r="Y52" s="2" t="str">
        <f t="shared" si="8"/>
        <v/>
      </c>
      <c r="Z52" s="2" t="str">
        <f t="shared" si="8"/>
        <v/>
      </c>
      <c r="AA52" s="23" t="str">
        <f t="shared" si="1"/>
        <v>QB9</v>
      </c>
      <c r="AB52" s="2">
        <f>$T52-VLOOKUP($B52,Scores!$AG$1:$AM$7,5,FALSE)</f>
        <v>-0.92999999999999972</v>
      </c>
      <c r="AC52" s="2">
        <f>$T52-VLOOKUP($B52,Scores!$AG$1:$AM$7,6,FALSE)</f>
        <v>5.0535714285715017E-2</v>
      </c>
      <c r="AD52" s="2">
        <f>$T52-VLOOKUP($B52,Scores!$AG$1:$AM$7,7,FALSE)+(ROW(A51)/1000000)</f>
        <v>0.45433671428571731</v>
      </c>
      <c r="AE52" s="2">
        <f t="array" ref="AE52">IF('ROS Rankings'!$AD$1,IFERROR(AVERAGE(IF(INDEX($C52:$S52,14):INDEX($C52:$S52,17)="NA",0,INDEX($C52:$S52,14):INDEX($C52:$S52,17))-INDEX($AQ$2:$BG$7,MATCH($B52,$AO$2:$AO$7,0),14):INDEX($AQ$2:$BG$7,MATCH($B52,$AO$2:$AO$7,0),17)),0),IFERROR(AVERAGE(IF(INDEX($C52:$S52,Week+1):INDEX($C52:$S52,13)="NA",0,INDEX($C52:$S52,Week+1):INDEX($C52:$S52,13))-INDEX($AQ$2:$BG$7,MATCH($B52,$AO$2:$AO$7,0),Week+1):INDEX($AQ$2:$BG$7,MATCH($B52,$AO$2:$AO$7,0),13)),0))+ROW(A51)/1000000</f>
        <v>-1.042449</v>
      </c>
      <c r="AF52">
        <f t="shared" si="2"/>
        <v>85</v>
      </c>
      <c r="AG52">
        <f t="shared" si="3"/>
        <v>90</v>
      </c>
      <c r="AH52">
        <f t="shared" si="4"/>
        <v>120</v>
      </c>
      <c r="AI52">
        <f t="shared" si="5"/>
        <v>172</v>
      </c>
      <c r="AJ52" s="22">
        <f>IF(ISERROR(MATCH(A52,Rosters!$B$2:$B$155,0)),AD52,"")</f>
        <v>0.45433671428571731</v>
      </c>
      <c r="AK52">
        <f t="shared" si="6"/>
        <v>9</v>
      </c>
      <c r="AL52" s="23">
        <f>COUNTIF(INDEX($C52:$S52,Week+1):INDEX($C52:$S52,13),"&gt;0")</f>
        <v>7</v>
      </c>
    </row>
    <row r="53" spans="1:38" x14ac:dyDescent="0.25">
      <c r="A53" t="s">
        <v>4208</v>
      </c>
      <c r="B53" t="s">
        <v>114</v>
      </c>
      <c r="C53">
        <v>4.51</v>
      </c>
      <c r="D53">
        <v>3.15</v>
      </c>
      <c r="E53">
        <v>1.56</v>
      </c>
      <c r="F53">
        <v>1.74</v>
      </c>
      <c r="G53">
        <v>1.59</v>
      </c>
      <c r="H53">
        <v>1.68</v>
      </c>
      <c r="I53">
        <v>1.86</v>
      </c>
      <c r="J53" t="s">
        <v>64</v>
      </c>
      <c r="K53">
        <v>1.81</v>
      </c>
      <c r="L53">
        <v>1.48</v>
      </c>
      <c r="M53">
        <v>1.35</v>
      </c>
      <c r="N53">
        <v>1.95</v>
      </c>
      <c r="O53">
        <v>1.39</v>
      </c>
      <c r="P53">
        <v>1.53</v>
      </c>
      <c r="Q53">
        <v>1.51</v>
      </c>
      <c r="R53">
        <v>1.75</v>
      </c>
      <c r="S53">
        <v>1.52</v>
      </c>
      <c r="T53" s="2">
        <f>IF('ROS Rankings'!$AD$1,IFERROR(AVERAGE(INDEX($C53:$S53,14):INDEX($C53:$S53,17)),0),IFERROR(AVERAGE(INDEX($C53:$S53,Week+1):INDEX($C53:$S53,13)),0))</f>
        <v>1.6457142857142857</v>
      </c>
      <c r="U53" s="2" t="str">
        <f t="shared" si="8"/>
        <v/>
      </c>
      <c r="V53" s="2" t="str">
        <f t="shared" si="8"/>
        <v/>
      </c>
      <c r="W53" s="2" t="str">
        <f t="shared" si="8"/>
        <v/>
      </c>
      <c r="X53" s="2">
        <f t="shared" si="8"/>
        <v>1.6457142857142857</v>
      </c>
      <c r="Y53" s="2" t="str">
        <f t="shared" si="8"/>
        <v/>
      </c>
      <c r="Z53" s="2" t="str">
        <f t="shared" si="8"/>
        <v/>
      </c>
      <c r="AA53" s="23" t="str">
        <f t="shared" si="1"/>
        <v>TE59</v>
      </c>
      <c r="AB53" s="2">
        <f>$T53-VLOOKUP($B53,Scores!$AG$1:$AM$7,5,FALSE)</f>
        <v>-5.3530357142857135</v>
      </c>
      <c r="AC53" s="2">
        <f>$T53-VLOOKUP($B53,Scores!$AG$1:$AM$7,6,FALSE)</f>
        <v>-3.6042857142857141</v>
      </c>
      <c r="AD53" s="2">
        <f>$T53-VLOOKUP($B53,Scores!$AG$1:$AM$7,7,FALSE)+(ROW(A52)/1000000)</f>
        <v>-3.5342337142857136</v>
      </c>
      <c r="AE53" s="2">
        <f t="array" ref="AE53">IF('ROS Rankings'!$AD$1,IFERROR(AVERAGE(IF(INDEX($C53:$S53,14):INDEX($C53:$S53,17)="NA",0,INDEX($C53:$S53,14):INDEX($C53:$S53,17))-INDEX($AQ$2:$BG$7,MATCH($B53,$AO$2:$AO$7,0),14):INDEX($AQ$2:$BG$7,MATCH($B53,$AO$2:$AO$7,0),17)),0),IFERROR(AVERAGE(IF(INDEX($C53:$S53,Week+1):INDEX($C53:$S53,13)="NA",0,INDEX($C53:$S53,Week+1):INDEX($C53:$S53,13))-INDEX($AQ$2:$BG$7,MATCH($B53,$AO$2:$AO$7,0),Week+1):INDEX($AQ$2:$BG$7,MATCH($B53,$AO$2:$AO$7,0),13)),0))+ROW(A52)/1000000</f>
        <v>-3.657448</v>
      </c>
      <c r="AF53">
        <f t="shared" si="2"/>
        <v>251</v>
      </c>
      <c r="AG53">
        <f t="shared" si="3"/>
        <v>279</v>
      </c>
      <c r="AH53">
        <f t="shared" si="4"/>
        <v>327</v>
      </c>
      <c r="AI53">
        <f t="shared" si="5"/>
        <v>328</v>
      </c>
      <c r="AJ53" s="22">
        <f>IF(ISERROR(MATCH(A53,Rosters!$B$2:$B$155,0)),AD53,"")</f>
        <v>-3.5342337142857136</v>
      </c>
      <c r="AK53">
        <f t="shared" si="6"/>
        <v>176</v>
      </c>
      <c r="AL53" s="23">
        <f>COUNTIF(INDEX($C53:$S53,Week+1):INDEX($C53:$S53,13),"&gt;0")</f>
        <v>7</v>
      </c>
    </row>
    <row r="54" spans="1:38" x14ac:dyDescent="0.25">
      <c r="A54" t="s">
        <v>108</v>
      </c>
      <c r="B54" t="s">
        <v>87</v>
      </c>
      <c r="C54">
        <v>8.64</v>
      </c>
      <c r="D54">
        <v>9.77</v>
      </c>
      <c r="E54">
        <v>9.9600000000000009</v>
      </c>
      <c r="F54">
        <v>10.84</v>
      </c>
      <c r="G54">
        <v>12.13</v>
      </c>
      <c r="H54">
        <v>12.31</v>
      </c>
      <c r="I54">
        <v>12.48</v>
      </c>
      <c r="J54">
        <v>12.78</v>
      </c>
      <c r="K54">
        <v>12.69</v>
      </c>
      <c r="L54">
        <v>13.41</v>
      </c>
      <c r="M54">
        <v>13.68</v>
      </c>
      <c r="N54" t="s">
        <v>64</v>
      </c>
      <c r="O54">
        <v>12.2</v>
      </c>
      <c r="P54">
        <v>12.11</v>
      </c>
      <c r="Q54">
        <v>12.23</v>
      </c>
      <c r="R54">
        <v>12.3</v>
      </c>
      <c r="S54">
        <v>13.08</v>
      </c>
      <c r="T54" s="2">
        <f>IF('ROS Rankings'!$AD$1,IFERROR(AVERAGE(INDEX($C54:$S54,14):INDEX($C54:$S54,17)),0),IFERROR(AVERAGE(INDEX($C54:$S54,Week+1):INDEX($C54:$S54,13)),0))</f>
        <v>12.792857142857143</v>
      </c>
      <c r="U54" s="2" t="str">
        <f t="shared" si="8"/>
        <v/>
      </c>
      <c r="V54" s="2" t="str">
        <f t="shared" si="8"/>
        <v/>
      </c>
      <c r="W54" s="2">
        <f t="shared" si="8"/>
        <v>12.792857142857143</v>
      </c>
      <c r="X54" s="2" t="str">
        <f t="shared" si="8"/>
        <v/>
      </c>
      <c r="Y54" s="2" t="str">
        <f t="shared" si="8"/>
        <v/>
      </c>
      <c r="Z54" s="2" t="str">
        <f t="shared" si="8"/>
        <v/>
      </c>
      <c r="AA54" s="23" t="str">
        <f t="shared" si="1"/>
        <v>WR7</v>
      </c>
      <c r="AB54" s="2">
        <f>$T54-VLOOKUP($B54,Scores!$AG$1:$AM$7,5,FALSE)</f>
        <v>2.4214285714285726</v>
      </c>
      <c r="AC54" s="2">
        <f>$T54-VLOOKUP($B54,Scores!$AG$1:$AM$7,6,FALSE)</f>
        <v>4.7614285714285707</v>
      </c>
      <c r="AD54" s="2">
        <f>$T54-VLOOKUP($B54,Scores!$AG$1:$AM$7,7,FALSE)+(ROW(A53)/1000000)</f>
        <v>6.7400530000000005</v>
      </c>
      <c r="AE54" s="2">
        <f t="array" ref="AE54">IF('ROS Rankings'!$AD$1,IFERROR(AVERAGE(IF(INDEX($C54:$S54,14):INDEX($C54:$S54,17)="NA",0,INDEX($C54:$S54,14):INDEX($C54:$S54,17))-INDEX($AQ$2:$BG$7,MATCH($B54,$AO$2:$AO$7,0),14):INDEX($AQ$2:$BG$7,MATCH($B54,$AO$2:$AO$7,0),17)),0),IFERROR(AVERAGE(IF(INDEX($C54:$S54,Week+1):INDEX($C54:$S54,13)="NA",0,INDEX($C54:$S54,Week+1):INDEX($C54:$S54,13))-INDEX($AQ$2:$BG$7,MATCH($B54,$AO$2:$AO$7,0),Week+1):INDEX($AQ$2:$BG$7,MATCH($B54,$AO$2:$AO$7,0),13)),0))+ROW(A53)/1000000</f>
        <v>5.8375529999999998</v>
      </c>
      <c r="AF54">
        <f t="shared" si="2"/>
        <v>14</v>
      </c>
      <c r="AG54">
        <f t="shared" si="3"/>
        <v>18</v>
      </c>
      <c r="AH54">
        <f t="shared" si="4"/>
        <v>18</v>
      </c>
      <c r="AI54">
        <f t="shared" si="5"/>
        <v>17</v>
      </c>
      <c r="AJ54" s="22" t="str">
        <f>IF(ISERROR(MATCH(A54,Rosters!$B$2:$B$155,0)),AD54,"")</f>
        <v/>
      </c>
      <c r="AK54" t="str">
        <f t="shared" si="6"/>
        <v/>
      </c>
      <c r="AL54" s="23">
        <f>COUNTIF(INDEX($C54:$S54,Week+1):INDEX($C54:$S54,13),"&gt;0")</f>
        <v>7</v>
      </c>
    </row>
    <row r="55" spans="1:38" x14ac:dyDescent="0.25">
      <c r="A55" t="s">
        <v>2274</v>
      </c>
      <c r="B55" t="s">
        <v>47</v>
      </c>
      <c r="C55">
        <v>0.54</v>
      </c>
      <c r="D55">
        <v>0.52</v>
      </c>
      <c r="E55">
        <v>0.52</v>
      </c>
      <c r="F55">
        <v>0.43</v>
      </c>
      <c r="G55">
        <v>0.57999999999999996</v>
      </c>
      <c r="H55">
        <v>0.36</v>
      </c>
      <c r="I55">
        <v>0.83</v>
      </c>
      <c r="J55">
        <v>0.56999999999999995</v>
      </c>
      <c r="K55">
        <v>0.41</v>
      </c>
      <c r="L55">
        <v>0.63</v>
      </c>
      <c r="M55" t="s">
        <v>64</v>
      </c>
      <c r="N55">
        <v>0.56000000000000005</v>
      </c>
      <c r="O55">
        <v>0.55000000000000004</v>
      </c>
      <c r="P55">
        <v>0.71</v>
      </c>
      <c r="Q55">
        <v>0.44</v>
      </c>
      <c r="R55">
        <v>0.41</v>
      </c>
      <c r="S55">
        <v>0.52</v>
      </c>
      <c r="T55" s="2">
        <f>IF('ROS Rankings'!$AD$1,IFERROR(AVERAGE(INDEX($C55:$S55,14):INDEX($C55:$S55,17)),0),IFERROR(AVERAGE(INDEX($C55:$S55,Week+1):INDEX($C55:$S55,13)),0))</f>
        <v>0.55857142857142861</v>
      </c>
      <c r="U55" s="2" t="str">
        <f t="shared" si="8"/>
        <v/>
      </c>
      <c r="V55" s="2">
        <f t="shared" si="8"/>
        <v>0.55857142857142861</v>
      </c>
      <c r="W55" s="2" t="str">
        <f t="shared" si="8"/>
        <v/>
      </c>
      <c r="X55" s="2" t="str">
        <f t="shared" si="8"/>
        <v/>
      </c>
      <c r="Y55" s="2" t="str">
        <f t="shared" si="8"/>
        <v/>
      </c>
      <c r="Z55" s="2" t="str">
        <f t="shared" si="8"/>
        <v/>
      </c>
      <c r="AA55" s="23" t="str">
        <f t="shared" si="1"/>
        <v>RB108</v>
      </c>
      <c r="AB55" s="2">
        <f>$T55-VLOOKUP($B55,Scores!$AG$1:$AM$7,5,FALSE)</f>
        <v>-11.200000000000001</v>
      </c>
      <c r="AC55" s="2">
        <f>$T55-VLOOKUP($B55,Scores!$AG$1:$AM$7,6,FALSE)</f>
        <v>-7.7114285714285726</v>
      </c>
      <c r="AD55" s="2">
        <f>$T55-VLOOKUP($B55,Scores!$AG$1:$AM$7,7,FALSE)+(ROW(A54)/1000000)</f>
        <v>-5.3099460000000001</v>
      </c>
      <c r="AE55" s="2">
        <f t="array" ref="AE55">IF('ROS Rankings'!$AD$1,IFERROR(AVERAGE(IF(INDEX($C55:$S55,14):INDEX($C55:$S55,17)="NA",0,INDEX($C55:$S55,14):INDEX($C55:$S55,17))-INDEX($AQ$2:$BG$7,MATCH($B55,$AO$2:$AO$7,0),14):INDEX($AQ$2:$BG$7,MATCH($B55,$AO$2:$AO$7,0),17)),0),IFERROR(AVERAGE(IF(INDEX($C55:$S55,Week+1):INDEX($C55:$S55,13)="NA",0,INDEX($C55:$S55,Week+1):INDEX($C55:$S55,13))-INDEX($AQ$2:$BG$7,MATCH($B55,$AO$2:$AO$7,0),Week+1):INDEX($AQ$2:$BG$7,MATCH($B55,$AO$2:$AO$7,0),13)),0))+ROW(A54)/1000000</f>
        <v>-4.8711959999999994</v>
      </c>
      <c r="AF55">
        <f t="shared" si="2"/>
        <v>496</v>
      </c>
      <c r="AG55">
        <f t="shared" si="3"/>
        <v>487</v>
      </c>
      <c r="AH55">
        <f t="shared" si="4"/>
        <v>437</v>
      </c>
      <c r="AI55">
        <f t="shared" si="5"/>
        <v>466</v>
      </c>
      <c r="AJ55" s="22">
        <f>IF(ISERROR(MATCH(A55,Rosters!$B$2:$B$155,0)),AD55,"")</f>
        <v>-5.3099460000000001</v>
      </c>
      <c r="AK55">
        <f t="shared" si="6"/>
        <v>285</v>
      </c>
      <c r="AL55" s="23">
        <f>COUNTIF(INDEX($C55:$S55,Week+1):INDEX($C55:$S55,13),"&gt;0")</f>
        <v>7</v>
      </c>
    </row>
    <row r="56" spans="1:38" x14ac:dyDescent="0.25">
      <c r="A56" t="s">
        <v>2599</v>
      </c>
      <c r="B56" t="s">
        <v>87</v>
      </c>
      <c r="C56">
        <v>0</v>
      </c>
      <c r="D56">
        <v>2.33</v>
      </c>
      <c r="E56">
        <v>0.72</v>
      </c>
      <c r="F56">
        <v>0</v>
      </c>
      <c r="G56">
        <v>2.54</v>
      </c>
      <c r="H56">
        <v>2.38</v>
      </c>
      <c r="I56" t="s">
        <v>64</v>
      </c>
      <c r="J56">
        <v>3.08</v>
      </c>
      <c r="K56">
        <v>2.94</v>
      </c>
      <c r="L56">
        <v>2.58</v>
      </c>
      <c r="M56">
        <v>2.1800000000000002</v>
      </c>
      <c r="N56">
        <v>2.16</v>
      </c>
      <c r="O56">
        <v>2.62</v>
      </c>
      <c r="P56">
        <v>2.33</v>
      </c>
      <c r="Q56">
        <v>2.4500000000000002</v>
      </c>
      <c r="R56">
        <v>2.64</v>
      </c>
      <c r="S56">
        <v>2.56</v>
      </c>
      <c r="T56" s="2">
        <f>IF('ROS Rankings'!$AD$1,IFERROR(AVERAGE(INDEX($C56:$S56,14):INDEX($C56:$S56,17)),0),IFERROR(AVERAGE(INDEX($C56:$S56,Week+1):INDEX($C56:$S56,13)),0))</f>
        <v>2.5628571428571432</v>
      </c>
      <c r="U56" s="2" t="str">
        <f t="shared" si="8"/>
        <v/>
      </c>
      <c r="V56" s="2" t="str">
        <f t="shared" si="8"/>
        <v/>
      </c>
      <c r="W56" s="2">
        <f t="shared" si="8"/>
        <v>2.5628571428571432</v>
      </c>
      <c r="X56" s="2" t="str">
        <f t="shared" si="8"/>
        <v/>
      </c>
      <c r="Y56" s="2" t="str">
        <f t="shared" si="8"/>
        <v/>
      </c>
      <c r="Z56" s="2" t="str">
        <f t="shared" si="8"/>
        <v/>
      </c>
      <c r="AA56" s="23" t="str">
        <f t="shared" si="1"/>
        <v>WR107</v>
      </c>
      <c r="AB56" s="2">
        <f>$T56-VLOOKUP($B56,Scores!$AG$1:$AM$7,5,FALSE)</f>
        <v>-7.8085714285714269</v>
      </c>
      <c r="AC56" s="2">
        <f>$T56-VLOOKUP($B56,Scores!$AG$1:$AM$7,6,FALSE)</f>
        <v>-5.4685714285714289</v>
      </c>
      <c r="AD56" s="2">
        <f>$T56-VLOOKUP($B56,Scores!$AG$1:$AM$7,7,FALSE)+(ROW(A55)/1000000)</f>
        <v>-3.4899449999999992</v>
      </c>
      <c r="AE56" s="2">
        <f t="array" ref="AE56">IF('ROS Rankings'!$AD$1,IFERROR(AVERAGE(IF(INDEX($C56:$S56,14):INDEX($C56:$S56,17)="NA",0,INDEX($C56:$S56,14):INDEX($C56:$S56,17))-INDEX($AQ$2:$BG$7,MATCH($B56,$AO$2:$AO$7,0),14):INDEX($AQ$2:$BG$7,MATCH($B56,$AO$2:$AO$7,0),17)),0),IFERROR(AVERAGE(IF(INDEX($C56:$S56,Week+1):INDEX($C56:$S56,13)="NA",0,INDEX($C56:$S56,Week+1):INDEX($C56:$S56,13))-INDEX($AQ$2:$BG$7,MATCH($B56,$AO$2:$AO$7,0),Week+1):INDEX($AQ$2:$BG$7,MATCH($B56,$AO$2:$AO$7,0),13)),0))+ROW(A55)/1000000</f>
        <v>-3.1136949999999994</v>
      </c>
      <c r="AF56">
        <f t="shared" si="2"/>
        <v>373</v>
      </c>
      <c r="AG56">
        <f t="shared" si="3"/>
        <v>376</v>
      </c>
      <c r="AH56">
        <f t="shared" si="4"/>
        <v>324</v>
      </c>
      <c r="AI56">
        <f t="shared" si="5"/>
        <v>306</v>
      </c>
      <c r="AJ56" s="22">
        <f>IF(ISERROR(MATCH(A56,Rosters!$B$2:$B$155,0)),AD56,"")</f>
        <v>-3.4899449999999992</v>
      </c>
      <c r="AK56">
        <f t="shared" si="6"/>
        <v>173</v>
      </c>
      <c r="AL56" s="23">
        <f>COUNTIF(INDEX($C56:$S56,Week+1):INDEX($C56:$S56,13),"&gt;0")</f>
        <v>7</v>
      </c>
    </row>
    <row r="57" spans="1:38" x14ac:dyDescent="0.25">
      <c r="A57" t="s">
        <v>167</v>
      </c>
      <c r="B57" t="s">
        <v>87</v>
      </c>
      <c r="C57">
        <v>4.59</v>
      </c>
      <c r="D57">
        <v>6.41</v>
      </c>
      <c r="E57">
        <v>5.46</v>
      </c>
      <c r="F57">
        <v>4.1900000000000004</v>
      </c>
      <c r="G57">
        <v>3.08</v>
      </c>
      <c r="H57">
        <v>4.25</v>
      </c>
      <c r="I57" t="s">
        <v>64</v>
      </c>
      <c r="J57">
        <v>4.51</v>
      </c>
      <c r="K57">
        <v>3.18</v>
      </c>
      <c r="L57">
        <v>2.99</v>
      </c>
      <c r="M57">
        <v>4.6500000000000004</v>
      </c>
      <c r="N57">
        <v>2.46</v>
      </c>
      <c r="O57">
        <v>4.5999999999999996</v>
      </c>
      <c r="P57">
        <v>3.12</v>
      </c>
      <c r="Q57">
        <v>4.41</v>
      </c>
      <c r="R57">
        <v>4.62</v>
      </c>
      <c r="S57">
        <v>2.5499999999999998</v>
      </c>
      <c r="T57" s="2">
        <f>IF('ROS Rankings'!$AD$1,IFERROR(AVERAGE(INDEX($C57:$S57,14):INDEX($C57:$S57,17)),0),IFERROR(AVERAGE(INDEX($C57:$S57,Week+1):INDEX($C57:$S57,13)),0))</f>
        <v>3.8057142857142856</v>
      </c>
      <c r="U57" s="2" t="str">
        <f t="shared" si="8"/>
        <v/>
      </c>
      <c r="V57" s="2" t="str">
        <f t="shared" si="8"/>
        <v/>
      </c>
      <c r="W57" s="2">
        <f t="shared" si="8"/>
        <v>3.8057142857142856</v>
      </c>
      <c r="X57" s="2" t="str">
        <f t="shared" si="8"/>
        <v/>
      </c>
      <c r="Y57" s="2" t="str">
        <f t="shared" si="8"/>
        <v/>
      </c>
      <c r="Z57" s="2" t="str">
        <f t="shared" si="8"/>
        <v/>
      </c>
      <c r="AA57" s="23" t="str">
        <f t="shared" si="1"/>
        <v>WR83</v>
      </c>
      <c r="AB57" s="2">
        <f>$T57-VLOOKUP($B57,Scores!$AG$1:$AM$7,5,FALSE)</f>
        <v>-6.5657142857142841</v>
      </c>
      <c r="AC57" s="2">
        <f>$T57-VLOOKUP($B57,Scores!$AG$1:$AM$7,6,FALSE)</f>
        <v>-4.225714285714286</v>
      </c>
      <c r="AD57" s="2">
        <f>$T57-VLOOKUP($B57,Scores!$AG$1:$AM$7,7,FALSE)+(ROW(A56)/1000000)</f>
        <v>-2.2470868571428571</v>
      </c>
      <c r="AE57" s="2">
        <f t="array" ref="AE57">IF('ROS Rankings'!$AD$1,IFERROR(AVERAGE(IF(INDEX($C57:$S57,14):INDEX($C57:$S57,17)="NA",0,INDEX($C57:$S57,14):INDEX($C57:$S57,17))-INDEX($AQ$2:$BG$7,MATCH($B57,$AO$2:$AO$7,0),14):INDEX($AQ$2:$BG$7,MATCH($B57,$AO$2:$AO$7,0),17)),0),IFERROR(AVERAGE(IF(INDEX($C57:$S57,Week+1):INDEX($C57:$S57,13)="NA",0,INDEX($C57:$S57,Week+1):INDEX($C57:$S57,13))-INDEX($AQ$2:$BG$7,MATCH($B57,$AO$2:$AO$7,0),Week+1):INDEX($AQ$2:$BG$7,MATCH($B57,$AO$2:$AO$7,0),13)),0))+ROW(A56)/1000000</f>
        <v>-2.0261940000000003</v>
      </c>
      <c r="AF57">
        <f t="shared" si="2"/>
        <v>326</v>
      </c>
      <c r="AG57">
        <f t="shared" si="3"/>
        <v>302</v>
      </c>
      <c r="AH57">
        <f t="shared" si="4"/>
        <v>257</v>
      </c>
      <c r="AI57">
        <f t="shared" si="5"/>
        <v>239</v>
      </c>
      <c r="AJ57" s="22">
        <f>IF(ISERROR(MATCH(A57,Rosters!$B$2:$B$155,0)),AD57,"")</f>
        <v>-2.2470868571428571</v>
      </c>
      <c r="AK57">
        <f t="shared" si="6"/>
        <v>113</v>
      </c>
      <c r="AL57" s="23">
        <f>COUNTIF(INDEX($C57:$S57,Week+1):INDEX($C57:$S57,13),"&gt;0")</f>
        <v>7</v>
      </c>
    </row>
    <row r="58" spans="1:38" x14ac:dyDescent="0.25">
      <c r="A58" t="s">
        <v>2851</v>
      </c>
      <c r="B58" t="s">
        <v>87</v>
      </c>
      <c r="C58" t="s">
        <v>64</v>
      </c>
      <c r="D58" t="s">
        <v>64</v>
      </c>
      <c r="E58" t="s">
        <v>64</v>
      </c>
      <c r="F58">
        <v>0.56999999999999995</v>
      </c>
      <c r="G58">
        <v>0.56000000000000005</v>
      </c>
      <c r="H58" t="s">
        <v>64</v>
      </c>
      <c r="I58">
        <v>0.55000000000000004</v>
      </c>
      <c r="J58">
        <v>0.59</v>
      </c>
      <c r="K58">
        <v>0.55000000000000004</v>
      </c>
      <c r="L58">
        <v>0.55000000000000004</v>
      </c>
      <c r="M58">
        <v>0.6</v>
      </c>
      <c r="N58">
        <v>0.63</v>
      </c>
      <c r="O58">
        <v>0.55000000000000004</v>
      </c>
      <c r="P58">
        <v>0.61</v>
      </c>
      <c r="Q58">
        <v>0.56000000000000005</v>
      </c>
      <c r="R58">
        <v>0.53</v>
      </c>
      <c r="S58">
        <v>0.57999999999999996</v>
      </c>
      <c r="T58" s="2">
        <f>IF('ROS Rankings'!$AD$1,IFERROR(AVERAGE(INDEX($C58:$S58,14):INDEX($C58:$S58,17)),0),IFERROR(AVERAGE(INDEX($C58:$S58,Week+1):INDEX($C58:$S58,13)),0))</f>
        <v>0.5742857142857144</v>
      </c>
      <c r="U58" s="2" t="str">
        <f t="shared" si="8"/>
        <v/>
      </c>
      <c r="V58" s="2" t="str">
        <f t="shared" si="8"/>
        <v/>
      </c>
      <c r="W58" s="2">
        <f t="shared" si="8"/>
        <v>0.5742857142857144</v>
      </c>
      <c r="X58" s="2" t="str">
        <f t="shared" si="8"/>
        <v/>
      </c>
      <c r="Y58" s="2" t="str">
        <f t="shared" si="8"/>
        <v/>
      </c>
      <c r="Z58" s="2" t="str">
        <f t="shared" si="8"/>
        <v/>
      </c>
      <c r="AA58" s="23" t="str">
        <f t="shared" si="1"/>
        <v>WR153</v>
      </c>
      <c r="AB58" s="2">
        <f>$T58-VLOOKUP($B58,Scores!$AG$1:$AM$7,5,FALSE)</f>
        <v>-9.7971428571428554</v>
      </c>
      <c r="AC58" s="2">
        <f>$T58-VLOOKUP($B58,Scores!$AG$1:$AM$7,6,FALSE)</f>
        <v>-7.4571428571428573</v>
      </c>
      <c r="AD58" s="2">
        <f>$T58-VLOOKUP($B58,Scores!$AG$1:$AM$7,7,FALSE)+(ROW(A57)/1000000)</f>
        <v>-5.4785144285714278</v>
      </c>
      <c r="AE58" s="2">
        <f t="array" ref="AE58">IF('ROS Rankings'!$AD$1,IFERROR(AVERAGE(IF(INDEX($C58:$S58,14):INDEX($C58:$S58,17)="NA",0,INDEX($C58:$S58,14):INDEX($C58:$S58,17))-INDEX($AQ$2:$BG$7,MATCH($B58,$AO$2:$AO$7,0),14):INDEX($AQ$2:$BG$7,MATCH($B58,$AO$2:$AO$7,0),17)),0),IFERROR(AVERAGE(IF(INDEX($C58:$S58,Week+1):INDEX($C58:$S58,13)="NA",0,INDEX($C58:$S58,Week+1):INDEX($C58:$S58,13))-INDEX($AQ$2:$BG$7,MATCH($B58,$AO$2:$AO$7,0),Week+1):INDEX($AQ$2:$BG$7,MATCH($B58,$AO$2:$AO$7,0),13)),0))+ROW(A57)/1000000</f>
        <v>-4.8536930000000007</v>
      </c>
      <c r="AF58">
        <f t="shared" si="2"/>
        <v>428</v>
      </c>
      <c r="AG58">
        <f t="shared" si="3"/>
        <v>446</v>
      </c>
      <c r="AH58">
        <f t="shared" si="4"/>
        <v>478</v>
      </c>
      <c r="AI58">
        <f t="shared" si="5"/>
        <v>451</v>
      </c>
      <c r="AJ58" s="22">
        <f>IF(ISERROR(MATCH(A58,Rosters!$B$2:$B$155,0)),AD58,"")</f>
        <v>-5.4785144285714278</v>
      </c>
      <c r="AK58">
        <f t="shared" si="6"/>
        <v>326</v>
      </c>
      <c r="AL58" s="23">
        <f>COUNTIF(INDEX($C58:$S58,Week+1):INDEX($C58:$S58,13),"&gt;0")</f>
        <v>7</v>
      </c>
    </row>
    <row r="59" spans="1:38" x14ac:dyDescent="0.25">
      <c r="A59" t="s">
        <v>1116</v>
      </c>
      <c r="B59" t="s">
        <v>15</v>
      </c>
      <c r="C59">
        <v>0.77</v>
      </c>
      <c r="D59">
        <v>0.73</v>
      </c>
      <c r="E59">
        <v>0.94</v>
      </c>
      <c r="F59">
        <v>0.82</v>
      </c>
      <c r="G59">
        <v>0.88</v>
      </c>
      <c r="H59">
        <v>0.88</v>
      </c>
      <c r="I59">
        <v>0.69</v>
      </c>
      <c r="J59">
        <v>0.86</v>
      </c>
      <c r="K59">
        <v>0.68</v>
      </c>
      <c r="L59" t="s">
        <v>64</v>
      </c>
      <c r="M59">
        <v>0.81</v>
      </c>
      <c r="N59">
        <v>0.86</v>
      </c>
      <c r="O59">
        <v>0.79</v>
      </c>
      <c r="P59">
        <v>0.89</v>
      </c>
      <c r="Q59">
        <v>0.71</v>
      </c>
      <c r="R59">
        <v>0.69</v>
      </c>
      <c r="S59">
        <v>0.73</v>
      </c>
      <c r="T59" s="2">
        <f>IF('ROS Rankings'!$AD$1,IFERROR(AVERAGE(INDEX($C59:$S59,14):INDEX($C59:$S59,17)),0),IFERROR(AVERAGE(INDEX($C59:$S59,Week+1):INDEX($C59:$S59,13)),0))</f>
        <v>0.79571428571428571</v>
      </c>
      <c r="U59" s="2">
        <f t="shared" si="8"/>
        <v>0.79571428571428571</v>
      </c>
      <c r="V59" s="2" t="str">
        <f t="shared" si="8"/>
        <v/>
      </c>
      <c r="W59" s="2" t="str">
        <f t="shared" si="8"/>
        <v/>
      </c>
      <c r="X59" s="2" t="str">
        <f t="shared" si="8"/>
        <v/>
      </c>
      <c r="Y59" s="2" t="str">
        <f t="shared" si="8"/>
        <v/>
      </c>
      <c r="Z59" s="2" t="str">
        <f t="shared" si="8"/>
        <v/>
      </c>
      <c r="AA59" s="23" t="str">
        <f t="shared" si="1"/>
        <v>QB51</v>
      </c>
      <c r="AB59" s="2">
        <f>$T59-VLOOKUP($B59,Scores!$AG$1:$AM$7,5,FALSE)</f>
        <v>-20.088571428571427</v>
      </c>
      <c r="AC59" s="2">
        <f>$T59-VLOOKUP($B59,Scores!$AG$1:$AM$7,6,FALSE)</f>
        <v>-19.108035714285712</v>
      </c>
      <c r="AD59" s="2">
        <f>$T59-VLOOKUP($B59,Scores!$AG$1:$AM$7,7,FALSE)+(ROW(A58)/1000000)</f>
        <v>-18.704227714285711</v>
      </c>
      <c r="AE59" s="2">
        <f t="array" ref="AE59">IF('ROS Rankings'!$AD$1,IFERROR(AVERAGE(IF(INDEX($C59:$S59,14):INDEX($C59:$S59,17)="NA",0,INDEX($C59:$S59,14):INDEX($C59:$S59,17))-INDEX($AQ$2:$BG$7,MATCH($B59,$AO$2:$AO$7,0),14):INDEX($AQ$2:$BG$7,MATCH($B59,$AO$2:$AO$7,0),17)),0),IFERROR(AVERAGE(IF(INDEX($C59:$S59,Week+1):INDEX($C59:$S59,13)="NA",0,INDEX($C59:$S59,Week+1):INDEX($C59:$S59,13))-INDEX($AQ$2:$BG$7,MATCH($B59,$AO$2:$AO$7,0),Week+1):INDEX($AQ$2:$BG$7,MATCH($B59,$AO$2:$AO$7,0),13)),0))+ROW(A58)/1000000</f>
        <v>-17.806191999999999</v>
      </c>
      <c r="AF59">
        <f t="shared" si="2"/>
        <v>542</v>
      </c>
      <c r="AG59">
        <f t="shared" si="3"/>
        <v>542</v>
      </c>
      <c r="AH59">
        <f t="shared" si="4"/>
        <v>543</v>
      </c>
      <c r="AI59">
        <f t="shared" si="5"/>
        <v>543</v>
      </c>
      <c r="AJ59" s="22">
        <f>IF(ISERROR(MATCH(A59,Rosters!$B$2:$B$155,0)),AD59,"")</f>
        <v>-18.704227714285711</v>
      </c>
      <c r="AK59">
        <f t="shared" si="6"/>
        <v>390</v>
      </c>
      <c r="AL59" s="23">
        <f>COUNTIF(INDEX($C59:$S59,Week+1):INDEX($C59:$S59,13),"&gt;0")</f>
        <v>7</v>
      </c>
    </row>
    <row r="60" spans="1:38" x14ac:dyDescent="0.25">
      <c r="A60" t="s">
        <v>3569</v>
      </c>
      <c r="B60" t="s">
        <v>47</v>
      </c>
      <c r="C60" t="s">
        <v>64</v>
      </c>
      <c r="D60">
        <v>0.66</v>
      </c>
      <c r="E60">
        <v>1.64</v>
      </c>
      <c r="F60">
        <v>0.46</v>
      </c>
      <c r="G60">
        <v>0.87</v>
      </c>
      <c r="H60">
        <v>0.61</v>
      </c>
      <c r="I60">
        <v>0.63</v>
      </c>
      <c r="J60">
        <v>0.45</v>
      </c>
      <c r="K60" t="s">
        <v>64</v>
      </c>
      <c r="L60">
        <v>0.56000000000000005</v>
      </c>
      <c r="M60">
        <v>0.52</v>
      </c>
      <c r="N60">
        <v>0.51</v>
      </c>
      <c r="O60">
        <v>0.6</v>
      </c>
      <c r="P60">
        <v>0.54</v>
      </c>
      <c r="Q60">
        <v>0.48</v>
      </c>
      <c r="R60">
        <v>0.55000000000000004</v>
      </c>
      <c r="S60">
        <v>0.57999999999999996</v>
      </c>
      <c r="T60" s="2">
        <f>IF('ROS Rankings'!$AD$1,IFERROR(AVERAGE(INDEX($C60:$S60,14):INDEX($C60:$S60,17)),0),IFERROR(AVERAGE(INDEX($C60:$S60,Week+1):INDEX($C60:$S60,13)),0))</f>
        <v>0.55428571428571438</v>
      </c>
      <c r="U60" s="2" t="str">
        <f t="shared" si="8"/>
        <v/>
      </c>
      <c r="V60" s="2">
        <f t="shared" si="8"/>
        <v>0.55428571428571438</v>
      </c>
      <c r="W60" s="2" t="str">
        <f t="shared" si="8"/>
        <v/>
      </c>
      <c r="X60" s="2" t="str">
        <f t="shared" si="8"/>
        <v/>
      </c>
      <c r="Y60" s="2" t="str">
        <f t="shared" si="8"/>
        <v/>
      </c>
      <c r="Z60" s="2" t="str">
        <f t="shared" si="8"/>
        <v/>
      </c>
      <c r="AA60" s="23" t="str">
        <f t="shared" si="1"/>
        <v>RB110</v>
      </c>
      <c r="AB60" s="2">
        <f>$T60-VLOOKUP($B60,Scores!$AG$1:$AM$7,5,FALSE)</f>
        <v>-11.204285714285714</v>
      </c>
      <c r="AC60" s="2">
        <f>$T60-VLOOKUP($B60,Scores!$AG$1:$AM$7,6,FALSE)</f>
        <v>-7.7157142857142871</v>
      </c>
      <c r="AD60" s="2">
        <f>$T60-VLOOKUP($B60,Scores!$AG$1:$AM$7,7,FALSE)+(ROW(A59)/1000000)</f>
        <v>-5.3142267142857147</v>
      </c>
      <c r="AE60" s="2">
        <f t="array" ref="AE60">IF('ROS Rankings'!$AD$1,IFERROR(AVERAGE(IF(INDEX($C60:$S60,14):INDEX($C60:$S60,17)="NA",0,INDEX($C60:$S60,14):INDEX($C60:$S60,17))-INDEX($AQ$2:$BG$7,MATCH($B60,$AO$2:$AO$7,0),14):INDEX($AQ$2:$BG$7,MATCH($B60,$AO$2:$AO$7,0),17)),0),IFERROR(AVERAGE(IF(INDEX($C60:$S60,Week+1):INDEX($C60:$S60,13)="NA",0,INDEX($C60:$S60,Week+1):INDEX($C60:$S60,13))-INDEX($AQ$2:$BG$7,MATCH($B60,$AO$2:$AO$7,0),Week+1):INDEX($AQ$2:$BG$7,MATCH($B60,$AO$2:$AO$7,0),13)),0))+ROW(A59)/1000000</f>
        <v>-4.8749409999999997</v>
      </c>
      <c r="AF60">
        <f t="shared" si="2"/>
        <v>498</v>
      </c>
      <c r="AG60">
        <f t="shared" si="3"/>
        <v>490</v>
      </c>
      <c r="AH60">
        <f t="shared" si="4"/>
        <v>439</v>
      </c>
      <c r="AI60">
        <f t="shared" si="5"/>
        <v>468</v>
      </c>
      <c r="AJ60" s="22">
        <f>IF(ISERROR(MATCH(A60,Rosters!$B$2:$B$155,0)),AD60,"")</f>
        <v>-5.3142267142857147</v>
      </c>
      <c r="AK60">
        <f t="shared" si="6"/>
        <v>287</v>
      </c>
      <c r="AL60" s="23">
        <f>COUNTIF(INDEX($C60:$S60,Week+1):INDEX($C60:$S60,13),"&gt;0")</f>
        <v>7</v>
      </c>
    </row>
    <row r="61" spans="1:38" x14ac:dyDescent="0.25">
      <c r="A61" t="s">
        <v>365</v>
      </c>
      <c r="B61" t="s">
        <v>15</v>
      </c>
      <c r="C61">
        <v>0.64</v>
      </c>
      <c r="D61">
        <v>0.62</v>
      </c>
      <c r="E61">
        <v>1.01</v>
      </c>
      <c r="F61">
        <v>0.88</v>
      </c>
      <c r="G61">
        <v>1.04</v>
      </c>
      <c r="H61">
        <v>1.2</v>
      </c>
      <c r="I61" t="s">
        <v>64</v>
      </c>
      <c r="J61">
        <v>1.1499999999999999</v>
      </c>
      <c r="K61">
        <v>1.01</v>
      </c>
      <c r="L61">
        <v>0.98</v>
      </c>
      <c r="M61">
        <v>1.21</v>
      </c>
      <c r="N61">
        <v>0.85</v>
      </c>
      <c r="O61">
        <v>1.23</v>
      </c>
      <c r="P61">
        <v>1.03</v>
      </c>
      <c r="Q61">
        <v>1.1499999999999999</v>
      </c>
      <c r="R61">
        <v>1.19</v>
      </c>
      <c r="S61">
        <v>0.9</v>
      </c>
      <c r="T61" s="2">
        <f>IF('ROS Rankings'!$AD$1,IFERROR(AVERAGE(INDEX($C61:$S61,14):INDEX($C61:$S61,17)),0),IFERROR(AVERAGE(INDEX($C61:$S61,Week+1):INDEX($C61:$S61,13)),0))</f>
        <v>1.0899999999999999</v>
      </c>
      <c r="U61" s="2">
        <f t="shared" si="8"/>
        <v>1.0899999999999999</v>
      </c>
      <c r="V61" s="2" t="str">
        <f t="shared" si="8"/>
        <v/>
      </c>
      <c r="W61" s="2" t="str">
        <f t="shared" si="8"/>
        <v/>
      </c>
      <c r="X61" s="2" t="str">
        <f t="shared" si="8"/>
        <v/>
      </c>
      <c r="Y61" s="2" t="str">
        <f t="shared" si="8"/>
        <v/>
      </c>
      <c r="Z61" s="2" t="str">
        <f t="shared" si="8"/>
        <v/>
      </c>
      <c r="AA61" s="23" t="str">
        <f t="shared" si="1"/>
        <v>QB39</v>
      </c>
      <c r="AB61" s="2">
        <f>$T61-VLOOKUP($B61,Scores!$AG$1:$AM$7,5,FALSE)</f>
        <v>-19.794285714285714</v>
      </c>
      <c r="AC61" s="2">
        <f>$T61-VLOOKUP($B61,Scores!$AG$1:$AM$7,6,FALSE)</f>
        <v>-18.813749999999999</v>
      </c>
      <c r="AD61" s="2">
        <f>$T61-VLOOKUP($B61,Scores!$AG$1:$AM$7,7,FALSE)+(ROW(A60)/1000000)</f>
        <v>-18.409939999999995</v>
      </c>
      <c r="AE61" s="2">
        <f t="array" ref="AE61">IF('ROS Rankings'!$AD$1,IFERROR(AVERAGE(IF(INDEX($C61:$S61,14):INDEX($C61:$S61,17)="NA",0,INDEX($C61:$S61,14):INDEX($C61:$S61,17))-INDEX($AQ$2:$BG$7,MATCH($B61,$AO$2:$AO$7,0),14):INDEX($AQ$2:$BG$7,MATCH($B61,$AO$2:$AO$7,0),17)),0),IFERROR(AVERAGE(IF(INDEX($C61:$S61,Week+1):INDEX($C61:$S61,13)="NA",0,INDEX($C61:$S61,Week+1):INDEX($C61:$S61,13))-INDEX($AQ$2:$BG$7,MATCH($B61,$AO$2:$AO$7,0),Week+1):INDEX($AQ$2:$BG$7,MATCH($B61,$AO$2:$AO$7,0),13)),0))+ROW(A60)/1000000</f>
        <v>-17.548689999999997</v>
      </c>
      <c r="AF61">
        <f t="shared" si="2"/>
        <v>530</v>
      </c>
      <c r="AG61">
        <f t="shared" si="3"/>
        <v>530</v>
      </c>
      <c r="AH61">
        <f t="shared" si="4"/>
        <v>530</v>
      </c>
      <c r="AI61">
        <f t="shared" si="5"/>
        <v>530</v>
      </c>
      <c r="AJ61" s="22">
        <f>IF(ISERROR(MATCH(A61,Rosters!$B$2:$B$155,0)),AD61,"")</f>
        <v>-18.409939999999995</v>
      </c>
      <c r="AK61">
        <f t="shared" si="6"/>
        <v>377</v>
      </c>
      <c r="AL61" s="23">
        <f>COUNTIF(INDEX($C61:$S61,Week+1):INDEX($C61:$S61,13),"&gt;0")</f>
        <v>7</v>
      </c>
    </row>
    <row r="62" spans="1:38" x14ac:dyDescent="0.25">
      <c r="A62" t="s">
        <v>2947</v>
      </c>
      <c r="B62" t="s">
        <v>47</v>
      </c>
      <c r="C62" t="s">
        <v>64</v>
      </c>
      <c r="D62">
        <v>0.51</v>
      </c>
      <c r="E62">
        <v>1.51</v>
      </c>
      <c r="F62">
        <v>0.94</v>
      </c>
      <c r="G62">
        <v>0.78</v>
      </c>
      <c r="H62">
        <v>0.61</v>
      </c>
      <c r="I62">
        <v>0.6</v>
      </c>
      <c r="J62" t="s">
        <v>64</v>
      </c>
      <c r="K62">
        <v>0.5</v>
      </c>
      <c r="L62">
        <v>0.45</v>
      </c>
      <c r="M62">
        <v>0.56000000000000005</v>
      </c>
      <c r="N62">
        <v>0.55000000000000004</v>
      </c>
      <c r="O62">
        <v>0.55000000000000004</v>
      </c>
      <c r="P62">
        <v>0.56000000000000005</v>
      </c>
      <c r="Q62">
        <v>0.45</v>
      </c>
      <c r="R62">
        <v>0.43</v>
      </c>
      <c r="S62">
        <v>0.56999999999999995</v>
      </c>
      <c r="T62" s="2">
        <f>IF('ROS Rankings'!$AD$1,IFERROR(AVERAGE(INDEX($C62:$S62,14):INDEX($C62:$S62,17)),0),IFERROR(AVERAGE(INDEX($C62:$S62,Week+1):INDEX($C62:$S62,13)),0))</f>
        <v>0.54571428571428571</v>
      </c>
      <c r="U62" s="2" t="str">
        <f t="shared" si="8"/>
        <v/>
      </c>
      <c r="V62" s="2">
        <f t="shared" si="8"/>
        <v>0.54571428571428571</v>
      </c>
      <c r="W62" s="2" t="str">
        <f t="shared" si="8"/>
        <v/>
      </c>
      <c r="X62" s="2" t="str">
        <f t="shared" si="8"/>
        <v/>
      </c>
      <c r="Y62" s="2" t="str">
        <f t="shared" si="8"/>
        <v/>
      </c>
      <c r="Z62" s="2" t="str">
        <f t="shared" si="8"/>
        <v/>
      </c>
      <c r="AA62" s="23" t="str">
        <f t="shared" si="1"/>
        <v>RB111</v>
      </c>
      <c r="AB62" s="2">
        <f>$T62-VLOOKUP($B62,Scores!$AG$1:$AM$7,5,FALSE)</f>
        <v>-11.212857142857143</v>
      </c>
      <c r="AC62" s="2">
        <f>$T62-VLOOKUP($B62,Scores!$AG$1:$AM$7,6,FALSE)</f>
        <v>-7.724285714285716</v>
      </c>
      <c r="AD62" s="2">
        <f>$T62-VLOOKUP($B62,Scores!$AG$1:$AM$7,7,FALSE)+(ROW(A61)/1000000)</f>
        <v>-5.3227961428571442</v>
      </c>
      <c r="AE62" s="2">
        <f t="array" ref="AE62">IF('ROS Rankings'!$AD$1,IFERROR(AVERAGE(IF(INDEX($C62:$S62,14):INDEX($C62:$S62,17)="NA",0,INDEX($C62:$S62,14):INDEX($C62:$S62,17))-INDEX($AQ$2:$BG$7,MATCH($B62,$AO$2:$AO$7,0),14):INDEX($AQ$2:$BG$7,MATCH($B62,$AO$2:$AO$7,0),17)),0),IFERROR(AVERAGE(IF(INDEX($C62:$S62,Week+1):INDEX($C62:$S62,13)="NA",0,INDEX($C62:$S62,Week+1):INDEX($C62:$S62,13))-INDEX($AQ$2:$BG$7,MATCH($B62,$AO$2:$AO$7,0),Week+1):INDEX($AQ$2:$BG$7,MATCH($B62,$AO$2:$AO$7,0),13)),0))+ROW(A61)/1000000</f>
        <v>-4.8824389999999998</v>
      </c>
      <c r="AF62">
        <f t="shared" si="2"/>
        <v>499</v>
      </c>
      <c r="AG62">
        <f t="shared" si="3"/>
        <v>491</v>
      </c>
      <c r="AH62">
        <f t="shared" si="4"/>
        <v>442</v>
      </c>
      <c r="AI62">
        <f t="shared" si="5"/>
        <v>470</v>
      </c>
      <c r="AJ62" s="22">
        <f>IF(ISERROR(MATCH(A62,Rosters!$B$2:$B$155,0)),AD62,"")</f>
        <v>-5.3227961428571442</v>
      </c>
      <c r="AK62">
        <f t="shared" si="6"/>
        <v>290</v>
      </c>
      <c r="AL62" s="23">
        <f>COUNTIF(INDEX($C62:$S62,Week+1):INDEX($C62:$S62,13),"&gt;0")</f>
        <v>7</v>
      </c>
    </row>
    <row r="63" spans="1:38" x14ac:dyDescent="0.25">
      <c r="A63" t="s">
        <v>1118</v>
      </c>
      <c r="B63" t="s">
        <v>15</v>
      </c>
      <c r="C63">
        <v>0.78</v>
      </c>
      <c r="D63">
        <v>0.57999999999999996</v>
      </c>
      <c r="E63">
        <v>0.73</v>
      </c>
      <c r="F63">
        <v>0.99</v>
      </c>
      <c r="G63">
        <v>0.99</v>
      </c>
      <c r="H63">
        <v>1.1299999999999999</v>
      </c>
      <c r="I63">
        <v>0.78</v>
      </c>
      <c r="J63">
        <v>0.98</v>
      </c>
      <c r="K63">
        <v>1.01</v>
      </c>
      <c r="L63">
        <v>0.91</v>
      </c>
      <c r="M63" t="s">
        <v>64</v>
      </c>
      <c r="N63">
        <v>0.81</v>
      </c>
      <c r="O63">
        <v>0.97</v>
      </c>
      <c r="P63">
        <v>0.94</v>
      </c>
      <c r="Q63">
        <v>0.99</v>
      </c>
      <c r="R63">
        <v>1.05</v>
      </c>
      <c r="S63">
        <v>0.86</v>
      </c>
      <c r="T63" s="2">
        <f>IF('ROS Rankings'!$AD$1,IFERROR(AVERAGE(INDEX($C63:$S63,14):INDEX($C63:$S63,17)),0),IFERROR(AVERAGE(INDEX($C63:$S63,Week+1):INDEX($C63:$S63,13)),0))</f>
        <v>0.94142857142857128</v>
      </c>
      <c r="U63" s="2">
        <f t="shared" si="8"/>
        <v>0.94142857142857128</v>
      </c>
      <c r="V63" s="2" t="str">
        <f t="shared" si="8"/>
        <v/>
      </c>
      <c r="W63" s="2" t="str">
        <f t="shared" si="8"/>
        <v/>
      </c>
      <c r="X63" s="2" t="str">
        <f t="shared" si="8"/>
        <v/>
      </c>
      <c r="Y63" s="2" t="str">
        <f t="shared" si="8"/>
        <v/>
      </c>
      <c r="Z63" s="2" t="str">
        <f t="shared" si="8"/>
        <v/>
      </c>
      <c r="AA63" s="23" t="str">
        <f t="shared" si="1"/>
        <v>QB42</v>
      </c>
      <c r="AB63" s="2">
        <f>$T63-VLOOKUP($B63,Scores!$AG$1:$AM$7,5,FALSE)</f>
        <v>-19.942857142857143</v>
      </c>
      <c r="AC63" s="2">
        <f>$T63-VLOOKUP($B63,Scores!$AG$1:$AM$7,6,FALSE)</f>
        <v>-18.962321428571428</v>
      </c>
      <c r="AD63" s="2">
        <f>$T63-VLOOKUP($B63,Scores!$AG$1:$AM$7,7,FALSE)+(ROW(A62)/1000000)</f>
        <v>-18.558509428571426</v>
      </c>
      <c r="AE63" s="2">
        <f t="array" ref="AE63">IF('ROS Rankings'!$AD$1,IFERROR(AVERAGE(IF(INDEX($C63:$S63,14):INDEX($C63:$S63,17)="NA",0,INDEX($C63:$S63,14):INDEX($C63:$S63,17))-INDEX($AQ$2:$BG$7,MATCH($B63,$AO$2:$AO$7,0),14):INDEX($AQ$2:$BG$7,MATCH($B63,$AO$2:$AO$7,0),17)),0),IFERROR(AVERAGE(IF(INDEX($C63:$S63,Week+1):INDEX($C63:$S63,13)="NA",0,INDEX($C63:$S63,Week+1):INDEX($C63:$S63,13))-INDEX($AQ$2:$BG$7,MATCH($B63,$AO$2:$AO$7,0),Week+1):INDEX($AQ$2:$BG$7,MATCH($B63,$AO$2:$AO$7,0),13)),0))+ROW(A62)/1000000</f>
        <v>-17.678688000000001</v>
      </c>
      <c r="AF63">
        <f t="shared" si="2"/>
        <v>533</v>
      </c>
      <c r="AG63">
        <f t="shared" si="3"/>
        <v>533</v>
      </c>
      <c r="AH63">
        <f t="shared" si="4"/>
        <v>533</v>
      </c>
      <c r="AI63">
        <f t="shared" si="5"/>
        <v>534</v>
      </c>
      <c r="AJ63" s="22">
        <f>IF(ISERROR(MATCH(A63,Rosters!$B$2:$B$155,0)),AD63,"")</f>
        <v>-18.558509428571426</v>
      </c>
      <c r="AK63">
        <f t="shared" si="6"/>
        <v>380</v>
      </c>
      <c r="AL63" s="23">
        <f>COUNTIF(INDEX($C63:$S63,Week+1):INDEX($C63:$S63,13),"&gt;0")</f>
        <v>7</v>
      </c>
    </row>
    <row r="64" spans="1:38" x14ac:dyDescent="0.25">
      <c r="A64" t="s">
        <v>8901</v>
      </c>
      <c r="B64" t="s">
        <v>114</v>
      </c>
      <c r="C64" t="s">
        <v>64</v>
      </c>
      <c r="D64" t="s">
        <v>64</v>
      </c>
      <c r="E64" t="s">
        <v>64</v>
      </c>
      <c r="F64" t="s">
        <v>64</v>
      </c>
      <c r="G64">
        <v>0.45</v>
      </c>
      <c r="H64">
        <v>0.56999999999999995</v>
      </c>
      <c r="I64">
        <v>0.46</v>
      </c>
      <c r="J64">
        <v>0.56999999999999995</v>
      </c>
      <c r="K64">
        <v>0.57999999999999996</v>
      </c>
      <c r="L64" t="s">
        <v>64</v>
      </c>
      <c r="M64">
        <v>0.48</v>
      </c>
      <c r="N64">
        <v>0.56000000000000005</v>
      </c>
      <c r="O64">
        <v>0.48</v>
      </c>
      <c r="P64">
        <v>0.6</v>
      </c>
      <c r="Q64">
        <v>0.53</v>
      </c>
      <c r="R64">
        <v>0.55000000000000004</v>
      </c>
      <c r="S64">
        <v>0.5</v>
      </c>
      <c r="T64" s="2">
        <f>IF('ROS Rankings'!$AD$1,IFERROR(AVERAGE(INDEX($C64:$S64,14):INDEX($C64:$S64,17)),0),IFERROR(AVERAGE(INDEX($C64:$S64,Week+1):INDEX($C64:$S64,13)),0))</f>
        <v>0.52857142857142858</v>
      </c>
      <c r="U64" s="2" t="str">
        <f t="shared" si="8"/>
        <v/>
      </c>
      <c r="V64" s="2" t="str">
        <f t="shared" si="8"/>
        <v/>
      </c>
      <c r="W64" s="2" t="str">
        <f t="shared" si="8"/>
        <v/>
      </c>
      <c r="X64" s="2">
        <f t="shared" si="8"/>
        <v>0.52857142857142858</v>
      </c>
      <c r="Y64" s="2" t="str">
        <f t="shared" si="8"/>
        <v/>
      </c>
      <c r="Z64" s="2" t="str">
        <f t="shared" si="8"/>
        <v/>
      </c>
      <c r="AA64" s="23" t="str">
        <f t="shared" si="1"/>
        <v>TE81</v>
      </c>
      <c r="AB64" s="2">
        <f>$T64-VLOOKUP($B64,Scores!$AG$1:$AM$7,5,FALSE)</f>
        <v>-6.4701785714285709</v>
      </c>
      <c r="AC64" s="2">
        <f>$T64-VLOOKUP($B64,Scores!$AG$1:$AM$7,6,FALSE)</f>
        <v>-4.7214285714285715</v>
      </c>
      <c r="AD64" s="2">
        <f>$T64-VLOOKUP($B64,Scores!$AG$1:$AM$7,7,FALSE)+(ROW(A63)/1000000)</f>
        <v>-4.6513655714285713</v>
      </c>
      <c r="AE64" s="2">
        <f t="array" ref="AE64">IF('ROS Rankings'!$AD$1,IFERROR(AVERAGE(IF(INDEX($C64:$S64,14):INDEX($C64:$S64,17)="NA",0,INDEX($C64:$S64,14):INDEX($C64:$S64,17))-INDEX($AQ$2:$BG$7,MATCH($B64,$AO$2:$AO$7,0),14):INDEX($AQ$2:$BG$7,MATCH($B64,$AO$2:$AO$7,0),17)),0),IFERROR(AVERAGE(IF(INDEX($C64:$S64,Week+1):INDEX($C64:$S64,13)="NA",0,INDEX($C64:$S64,Week+1):INDEX($C64:$S64,13))-INDEX($AQ$2:$BG$7,MATCH($B64,$AO$2:$AO$7,0),Week+1):INDEX($AQ$2:$BG$7,MATCH($B64,$AO$2:$AO$7,0),13)),0))+ROW(A63)/1000000</f>
        <v>-4.634936999999999</v>
      </c>
      <c r="AF64">
        <f t="shared" si="2"/>
        <v>311</v>
      </c>
      <c r="AG64">
        <f t="shared" si="3"/>
        <v>327</v>
      </c>
      <c r="AH64">
        <f t="shared" si="4"/>
        <v>373</v>
      </c>
      <c r="AI64">
        <f t="shared" si="5"/>
        <v>391</v>
      </c>
      <c r="AJ64" s="22">
        <f>IF(ISERROR(MATCH(A64,Rosters!$B$2:$B$155,0)),AD64,"")</f>
        <v>-4.6513655714285713</v>
      </c>
      <c r="AK64">
        <f t="shared" si="6"/>
        <v>221</v>
      </c>
      <c r="AL64" s="23">
        <f>COUNTIF(INDEX($C64:$S64,Week+1):INDEX($C64:$S64,13),"&gt;0")</f>
        <v>7</v>
      </c>
    </row>
    <row r="65" spans="1:38" x14ac:dyDescent="0.25">
      <c r="A65" t="s">
        <v>2926</v>
      </c>
      <c r="B65" t="s">
        <v>87</v>
      </c>
      <c r="C65" t="s">
        <v>64</v>
      </c>
      <c r="D65">
        <v>0.81</v>
      </c>
      <c r="E65">
        <v>0.77</v>
      </c>
      <c r="F65" t="s">
        <v>64</v>
      </c>
      <c r="G65">
        <v>0.67</v>
      </c>
      <c r="H65">
        <v>0.69</v>
      </c>
      <c r="I65">
        <v>0.73</v>
      </c>
      <c r="J65">
        <v>0.68</v>
      </c>
      <c r="K65">
        <v>0.68</v>
      </c>
      <c r="L65">
        <v>0.73</v>
      </c>
      <c r="M65">
        <v>0.73</v>
      </c>
      <c r="N65">
        <v>0.7</v>
      </c>
      <c r="O65">
        <v>0.61</v>
      </c>
      <c r="P65">
        <v>0.7</v>
      </c>
      <c r="Q65">
        <v>0.73</v>
      </c>
      <c r="R65">
        <v>0.78</v>
      </c>
      <c r="S65">
        <v>0.62</v>
      </c>
      <c r="T65" s="2">
        <f>IF('ROS Rankings'!$AD$1,IFERROR(AVERAGE(INDEX($C65:$S65,14):INDEX($C65:$S65,17)),0),IFERROR(AVERAGE(INDEX($C65:$S65,Week+1):INDEX($C65:$S65,13)),0))</f>
        <v>0.69375000000000009</v>
      </c>
      <c r="U65" s="2" t="str">
        <f t="shared" si="8"/>
        <v/>
      </c>
      <c r="V65" s="2" t="str">
        <f t="shared" si="8"/>
        <v/>
      </c>
      <c r="W65" s="2">
        <f t="shared" si="8"/>
        <v>0.69375000000000009</v>
      </c>
      <c r="X65" s="2" t="str">
        <f t="shared" si="8"/>
        <v/>
      </c>
      <c r="Y65" s="2" t="str">
        <f t="shared" si="8"/>
        <v/>
      </c>
      <c r="Z65" s="2" t="str">
        <f t="shared" si="8"/>
        <v/>
      </c>
      <c r="AA65" s="23" t="str">
        <f t="shared" si="1"/>
        <v>WR139</v>
      </c>
      <c r="AB65" s="2">
        <f>$T65-VLOOKUP($B65,Scores!$AG$1:$AM$7,5,FALSE)</f>
        <v>-9.6776785714285705</v>
      </c>
      <c r="AC65" s="2">
        <f>$T65-VLOOKUP($B65,Scores!$AG$1:$AM$7,6,FALSE)</f>
        <v>-7.3376785714285724</v>
      </c>
      <c r="AD65" s="2">
        <f>$T65-VLOOKUP($B65,Scores!$AG$1:$AM$7,7,FALSE)+(ROW(A64)/1000000)</f>
        <v>-5.3590431428571428</v>
      </c>
      <c r="AE65" s="2">
        <f t="array" ref="AE65">IF('ROS Rankings'!$AD$1,IFERROR(AVERAGE(IF(INDEX($C65:$S65,14):INDEX($C65:$S65,17)="NA",0,INDEX($C65:$S65,14):INDEX($C65:$S65,17))-INDEX($AQ$2:$BG$7,MATCH($B65,$AO$2:$AO$7,0),14):INDEX($AQ$2:$BG$7,MATCH($B65,$AO$2:$AO$7,0),17)),0),IFERROR(AVERAGE(IF(INDEX($C65:$S65,Week+1):INDEX($C65:$S65,13)="NA",0,INDEX($C65:$S65,Week+1):INDEX($C65:$S65,13))-INDEX($AQ$2:$BG$7,MATCH($B65,$AO$2:$AO$7,0),Week+1):INDEX($AQ$2:$BG$7,MATCH($B65,$AO$2:$AO$7,0),13)),0))+ROW(A64)/1000000</f>
        <v>-4.6624359999999996</v>
      </c>
      <c r="AF65">
        <f t="shared" si="2"/>
        <v>414</v>
      </c>
      <c r="AG65">
        <f t="shared" si="3"/>
        <v>429</v>
      </c>
      <c r="AH65">
        <f t="shared" si="4"/>
        <v>456</v>
      </c>
      <c r="AI65">
        <f t="shared" si="5"/>
        <v>396</v>
      </c>
      <c r="AJ65" s="22">
        <f>IF(ISERROR(MATCH(A65,Rosters!$B$2:$B$155,0)),AD65,"")</f>
        <v>-5.3590431428571428</v>
      </c>
      <c r="AK65">
        <f t="shared" si="6"/>
        <v>304</v>
      </c>
      <c r="AL65" s="23">
        <f>COUNTIF(INDEX($C65:$S65,Week+1):INDEX($C65:$S65,13),"&gt;0")</f>
        <v>8</v>
      </c>
    </row>
    <row r="66" spans="1:38" x14ac:dyDescent="0.25">
      <c r="A66" t="s">
        <v>2661</v>
      </c>
      <c r="B66" t="s">
        <v>87</v>
      </c>
      <c r="C66" t="s">
        <v>64</v>
      </c>
      <c r="D66" t="s">
        <v>64</v>
      </c>
      <c r="E66" t="s">
        <v>64</v>
      </c>
      <c r="F66">
        <v>0.81</v>
      </c>
      <c r="G66">
        <v>0.87</v>
      </c>
      <c r="H66">
        <v>0.64</v>
      </c>
      <c r="I66">
        <v>0.88</v>
      </c>
      <c r="J66" t="s">
        <v>64</v>
      </c>
      <c r="K66">
        <v>0.82</v>
      </c>
      <c r="L66">
        <v>0.57999999999999996</v>
      </c>
      <c r="M66">
        <v>0.83</v>
      </c>
      <c r="N66">
        <v>0.91</v>
      </c>
      <c r="O66">
        <v>0.75</v>
      </c>
      <c r="P66">
        <v>0.6</v>
      </c>
      <c r="Q66">
        <v>0.74</v>
      </c>
      <c r="R66">
        <v>1</v>
      </c>
      <c r="S66">
        <v>0.83</v>
      </c>
      <c r="T66" s="2">
        <f>IF('ROS Rankings'!$AD$1,IFERROR(AVERAGE(INDEX($C66:$S66,14):INDEX($C66:$S66,17)),0),IFERROR(AVERAGE(INDEX($C66:$S66,Week+1):INDEX($C66:$S66,13)),0))</f>
        <v>0.77285714285714291</v>
      </c>
      <c r="U66" s="2" t="str">
        <f t="shared" si="8"/>
        <v/>
      </c>
      <c r="V66" s="2" t="str">
        <f t="shared" si="8"/>
        <v/>
      </c>
      <c r="W66" s="2">
        <f t="shared" si="8"/>
        <v>0.77285714285714291</v>
      </c>
      <c r="X66" s="2" t="str">
        <f t="shared" si="8"/>
        <v/>
      </c>
      <c r="Y66" s="2" t="str">
        <f t="shared" si="8"/>
        <v/>
      </c>
      <c r="Z66" s="2" t="str">
        <f t="shared" si="8"/>
        <v/>
      </c>
      <c r="AA66" s="23" t="str">
        <f t="shared" si="1"/>
        <v>WR129</v>
      </c>
      <c r="AB66" s="2">
        <f>$T66-VLOOKUP($B66,Scores!$AG$1:$AM$7,5,FALSE)</f>
        <v>-9.598571428571427</v>
      </c>
      <c r="AC66" s="2">
        <f>$T66-VLOOKUP($B66,Scores!$AG$1:$AM$7,6,FALSE)</f>
        <v>-7.2585714285714289</v>
      </c>
      <c r="AD66" s="2">
        <f>$T66-VLOOKUP($B66,Scores!$AG$1:$AM$7,7,FALSE)+(ROW(A65)/1000000)</f>
        <v>-5.2799349999999992</v>
      </c>
      <c r="AE66" s="2">
        <f t="array" ref="AE66">IF('ROS Rankings'!$AD$1,IFERROR(AVERAGE(IF(INDEX($C66:$S66,14):INDEX($C66:$S66,17)="NA",0,INDEX($C66:$S66,14):INDEX($C66:$S66,17))-INDEX($AQ$2:$BG$7,MATCH($B66,$AO$2:$AO$7,0),14):INDEX($AQ$2:$BG$7,MATCH($B66,$AO$2:$AO$7,0),17)),0),IFERROR(AVERAGE(IF(INDEX($C66:$S66,Week+1):INDEX($C66:$S66,13)="NA",0,INDEX($C66:$S66,Week+1):INDEX($C66:$S66,13))-INDEX($AQ$2:$BG$7,MATCH($B66,$AO$2:$AO$7,0),Week+1):INDEX($AQ$2:$BG$7,MATCH($B66,$AO$2:$AO$7,0),13)),0))+ROW(A65)/1000000</f>
        <v>-4.6799349999999995</v>
      </c>
      <c r="AF66">
        <f t="shared" si="2"/>
        <v>404</v>
      </c>
      <c r="AG66">
        <f t="shared" si="3"/>
        <v>418</v>
      </c>
      <c r="AH66">
        <f t="shared" si="4"/>
        <v>429</v>
      </c>
      <c r="AI66">
        <f t="shared" si="5"/>
        <v>400</v>
      </c>
      <c r="AJ66" s="22">
        <f>IF(ISERROR(MATCH(A66,Rosters!$B$2:$B$155,0)),AD66,"")</f>
        <v>-5.2799349999999992</v>
      </c>
      <c r="AK66">
        <f t="shared" si="6"/>
        <v>277</v>
      </c>
      <c r="AL66" s="23">
        <f>COUNTIF(INDEX($C66:$S66,Week+1):INDEX($C66:$S66,13),"&gt;0")</f>
        <v>7</v>
      </c>
    </row>
    <row r="67" spans="1:38" x14ac:dyDescent="0.25">
      <c r="A67" t="s">
        <v>319</v>
      </c>
      <c r="B67" t="s">
        <v>15</v>
      </c>
      <c r="C67">
        <v>0</v>
      </c>
      <c r="D67">
        <v>0</v>
      </c>
      <c r="E67">
        <v>0</v>
      </c>
      <c r="F67">
        <v>0</v>
      </c>
      <c r="G67">
        <v>0</v>
      </c>
      <c r="H67">
        <v>0</v>
      </c>
      <c r="I67">
        <v>0</v>
      </c>
      <c r="J67">
        <v>0</v>
      </c>
      <c r="K67">
        <v>0</v>
      </c>
      <c r="L67">
        <v>0</v>
      </c>
      <c r="M67" t="s">
        <v>64</v>
      </c>
      <c r="N67">
        <v>0</v>
      </c>
      <c r="O67">
        <v>0</v>
      </c>
      <c r="P67">
        <v>0</v>
      </c>
      <c r="Q67">
        <v>0</v>
      </c>
      <c r="R67">
        <v>0</v>
      </c>
      <c r="S67">
        <v>0</v>
      </c>
      <c r="T67" s="2">
        <f>IF('ROS Rankings'!$AD$1,IFERROR(AVERAGE(INDEX($C67:$S67,14):INDEX($C67:$S67,17)),0),IFERROR(AVERAGE(INDEX($C67:$S67,Week+1):INDEX($C67:$S67,13)),0))</f>
        <v>0</v>
      </c>
      <c r="U67" s="2">
        <f t="shared" si="8"/>
        <v>0</v>
      </c>
      <c r="V67" s="2" t="str">
        <f t="shared" si="8"/>
        <v/>
      </c>
      <c r="W67" s="2" t="str">
        <f t="shared" si="8"/>
        <v/>
      </c>
      <c r="X67" s="2" t="str">
        <f t="shared" si="8"/>
        <v/>
      </c>
      <c r="Y67" s="2" t="str">
        <f t="shared" si="8"/>
        <v/>
      </c>
      <c r="Z67" s="2" t="str">
        <f t="shared" si="8"/>
        <v/>
      </c>
      <c r="AA67" s="23" t="str">
        <f t="shared" ref="AA67:AA130" si="9">$B67&amp;_xlfn.RANK.EQ($T67,INDEX($U$2:$Z$561,,MATCH($B67,$U$1:$Z$1,0)),0)</f>
        <v>QB60</v>
      </c>
      <c r="AB67" s="2">
        <f>$T67-VLOOKUP($B67,Scores!$AG$1:$AM$7,5,FALSE)</f>
        <v>-20.884285714285713</v>
      </c>
      <c r="AC67" s="2">
        <f>$T67-VLOOKUP($B67,Scores!$AG$1:$AM$7,6,FALSE)</f>
        <v>-19.903749999999999</v>
      </c>
      <c r="AD67" s="2">
        <f>$T67-VLOOKUP($B67,Scores!$AG$1:$AM$7,7,FALSE)+(ROW(A66)/1000000)</f>
        <v>-19.499933999999996</v>
      </c>
      <c r="AE67" s="2">
        <f t="array" ref="AE67">IF('ROS Rankings'!$AD$1,IFERROR(AVERAGE(IF(INDEX($C67:$S67,14):INDEX($C67:$S67,17)="NA",0,INDEX($C67:$S67,14):INDEX($C67:$S67,17))-INDEX($AQ$2:$BG$7,MATCH($B67,$AO$2:$AO$7,0),14):INDEX($AQ$2:$BG$7,MATCH($B67,$AO$2:$AO$7,0),17)),0),IFERROR(AVERAGE(IF(INDEX($C67:$S67,Week+1):INDEX($C67:$S67,13)="NA",0,INDEX($C67:$S67,Week+1):INDEX($C67:$S67,13))-INDEX($AQ$2:$BG$7,MATCH($B67,$AO$2:$AO$7,0),Week+1):INDEX($AQ$2:$BG$7,MATCH($B67,$AO$2:$AO$7,0),13)),0))+ROW(A66)/1000000</f>
        <v>-18.502434000000001</v>
      </c>
      <c r="AF67">
        <f t="shared" ref="AF67:AF130" si="10">_xlfn.RANK.EQ(AB67,AB$2:AB$561,0)</f>
        <v>551</v>
      </c>
      <c r="AG67">
        <f t="shared" ref="AG67:AG130" si="11">_xlfn.RANK.EQ(AC67,AC$2:AC$561,0)</f>
        <v>551</v>
      </c>
      <c r="AH67">
        <f t="shared" ref="AH67:AH130" si="12">_xlfn.RANK.EQ(AD67,AD$2:AD$561,0)</f>
        <v>558</v>
      </c>
      <c r="AI67">
        <f t="shared" ref="AI67:AI130" si="13">_xlfn.RANK.EQ(AE67,AE$2:AE$561,0)</f>
        <v>558</v>
      </c>
      <c r="AJ67" s="22">
        <f>IF(ISERROR(MATCH(A67,Rosters!$B$2:$B$155,0)),AD67,"")</f>
        <v>-19.499933999999996</v>
      </c>
      <c r="AK67">
        <f t="shared" ref="AK67:AK130" si="14">IFERROR(_xlfn.RANK.EQ(AJ67,$AJ$2:$AJ$561,0),"")</f>
        <v>405</v>
      </c>
      <c r="AL67" s="23">
        <f>COUNTIF(INDEX($C67:$S67,Week+1):INDEX($C67:$S67,13),"&gt;0")</f>
        <v>0</v>
      </c>
    </row>
    <row r="68" spans="1:38" x14ac:dyDescent="0.25">
      <c r="A68" t="s">
        <v>875</v>
      </c>
      <c r="B68" t="s">
        <v>87</v>
      </c>
      <c r="C68">
        <v>3.18</v>
      </c>
      <c r="D68">
        <v>2.71</v>
      </c>
      <c r="E68">
        <v>3.1</v>
      </c>
      <c r="F68">
        <v>0</v>
      </c>
      <c r="G68">
        <v>0</v>
      </c>
      <c r="H68">
        <v>0</v>
      </c>
      <c r="I68">
        <v>0</v>
      </c>
      <c r="J68">
        <v>0</v>
      </c>
      <c r="K68">
        <v>0</v>
      </c>
      <c r="L68" t="s">
        <v>64</v>
      </c>
      <c r="M68">
        <v>0</v>
      </c>
      <c r="N68">
        <v>3.44</v>
      </c>
      <c r="O68">
        <v>3.67</v>
      </c>
      <c r="P68">
        <v>3.06</v>
      </c>
      <c r="Q68">
        <v>3.38</v>
      </c>
      <c r="R68">
        <v>2.73</v>
      </c>
      <c r="S68">
        <v>2.71</v>
      </c>
      <c r="T68" s="2">
        <f>IF('ROS Rankings'!$AD$1,IFERROR(AVERAGE(INDEX($C68:$S68,14):INDEX($C68:$S68,17)),0),IFERROR(AVERAGE(INDEX($C68:$S68,Week+1):INDEX($C68:$S68,13)),0))</f>
        <v>1.0157142857142856</v>
      </c>
      <c r="U68" s="2" t="str">
        <f t="shared" si="8"/>
        <v/>
      </c>
      <c r="V68" s="2" t="str">
        <f t="shared" si="8"/>
        <v/>
      </c>
      <c r="W68" s="2">
        <f t="shared" si="8"/>
        <v>1.0157142857142856</v>
      </c>
      <c r="X68" s="2" t="str">
        <f t="shared" si="8"/>
        <v/>
      </c>
      <c r="Y68" s="2" t="str">
        <f t="shared" si="8"/>
        <v/>
      </c>
      <c r="Z68" s="2" t="str">
        <f t="shared" si="8"/>
        <v/>
      </c>
      <c r="AA68" s="23" t="str">
        <f t="shared" si="9"/>
        <v>WR123</v>
      </c>
      <c r="AB68" s="2">
        <f>$T68-VLOOKUP($B68,Scores!$AG$1:$AM$7,5,FALSE)</f>
        <v>-9.355714285714285</v>
      </c>
      <c r="AC68" s="2">
        <f>$T68-VLOOKUP($B68,Scores!$AG$1:$AM$7,6,FALSE)</f>
        <v>-7.0157142857142869</v>
      </c>
      <c r="AD68" s="2">
        <f>$T68-VLOOKUP($B68,Scores!$AG$1:$AM$7,7,FALSE)+(ROW(A67)/1000000)</f>
        <v>-5.0370758571428578</v>
      </c>
      <c r="AE68" s="2">
        <f t="array" ref="AE68">IF('ROS Rankings'!$AD$1,IFERROR(AVERAGE(IF(INDEX($C68:$S68,14):INDEX($C68:$S68,17)="NA",0,INDEX($C68:$S68,14):INDEX($C68:$S68,17))-INDEX($AQ$2:$BG$7,MATCH($B68,$AO$2:$AO$7,0),14):INDEX($AQ$2:$BG$7,MATCH($B68,$AO$2:$AO$7,0),17)),0),IFERROR(AVERAGE(IF(INDEX($C68:$S68,Week+1):INDEX($C68:$S68,13)="NA",0,INDEX($C68:$S68,Week+1):INDEX($C68:$S68,13))-INDEX($AQ$2:$BG$7,MATCH($B68,$AO$2:$AO$7,0),Week+1):INDEX($AQ$2:$BG$7,MATCH($B68,$AO$2:$AO$7,0),13)),0))+ROW(A67)/1000000</f>
        <v>-4.4674330000000007</v>
      </c>
      <c r="AF68">
        <f t="shared" si="10"/>
        <v>398</v>
      </c>
      <c r="AG68">
        <f t="shared" si="11"/>
        <v>406</v>
      </c>
      <c r="AH68">
        <f t="shared" si="12"/>
        <v>408</v>
      </c>
      <c r="AI68">
        <f t="shared" si="13"/>
        <v>371</v>
      </c>
      <c r="AJ68" s="22">
        <f>IF(ISERROR(MATCH(A68,Rosters!$B$2:$B$155,0)),AD68,"")</f>
        <v>-5.0370758571428578</v>
      </c>
      <c r="AK68">
        <f t="shared" si="14"/>
        <v>256</v>
      </c>
      <c r="AL68" s="23">
        <f>COUNTIF(INDEX($C68:$S68,Week+1):INDEX($C68:$S68,13),"&gt;0")</f>
        <v>2</v>
      </c>
    </row>
    <row r="69" spans="1:38" x14ac:dyDescent="0.25">
      <c r="A69" t="s">
        <v>4656</v>
      </c>
      <c r="B69" t="s">
        <v>47</v>
      </c>
      <c r="C69" t="s">
        <v>64</v>
      </c>
      <c r="D69" t="s">
        <v>64</v>
      </c>
      <c r="E69" t="s">
        <v>64</v>
      </c>
      <c r="F69">
        <v>1.39</v>
      </c>
      <c r="G69">
        <v>1.62</v>
      </c>
      <c r="H69">
        <v>0.57999999999999996</v>
      </c>
      <c r="I69">
        <v>0.36</v>
      </c>
      <c r="J69">
        <v>0.69</v>
      </c>
      <c r="K69">
        <v>0.4</v>
      </c>
      <c r="L69" t="s">
        <v>64</v>
      </c>
      <c r="M69">
        <v>0.57999999999999996</v>
      </c>
      <c r="N69">
        <v>0.56999999999999995</v>
      </c>
      <c r="O69">
        <v>0.49</v>
      </c>
      <c r="P69">
        <v>0.76</v>
      </c>
      <c r="Q69">
        <v>0.48</v>
      </c>
      <c r="R69">
        <v>0.44</v>
      </c>
      <c r="S69">
        <v>0.38</v>
      </c>
      <c r="T69" s="2">
        <f>IF('ROS Rankings'!$AD$1,IFERROR(AVERAGE(INDEX($C69:$S69,14):INDEX($C69:$S69,17)),0),IFERROR(AVERAGE(INDEX($C69:$S69,Week+1):INDEX($C69:$S69,13)),0))</f>
        <v>0.52428571428571424</v>
      </c>
      <c r="U69" s="2" t="str">
        <f t="shared" si="8"/>
        <v/>
      </c>
      <c r="V69" s="2">
        <f t="shared" si="8"/>
        <v>0.52428571428571424</v>
      </c>
      <c r="W69" s="2" t="str">
        <f t="shared" si="8"/>
        <v/>
      </c>
      <c r="X69" s="2" t="str">
        <f t="shared" si="8"/>
        <v/>
      </c>
      <c r="Y69" s="2" t="str">
        <f t="shared" si="8"/>
        <v/>
      </c>
      <c r="Z69" s="2" t="str">
        <f t="shared" si="8"/>
        <v/>
      </c>
      <c r="AA69" s="23" t="str">
        <f t="shared" si="9"/>
        <v>RB115</v>
      </c>
      <c r="AB69" s="2">
        <f>$T69-VLOOKUP($B69,Scores!$AG$1:$AM$7,5,FALSE)</f>
        <v>-11.234285714285715</v>
      </c>
      <c r="AC69" s="2">
        <f>$T69-VLOOKUP($B69,Scores!$AG$1:$AM$7,6,FALSE)</f>
        <v>-7.7457142857142873</v>
      </c>
      <c r="AD69" s="2">
        <f>$T69-VLOOKUP($B69,Scores!$AG$1:$AM$7,7,FALSE)+(ROW(A68)/1000000)</f>
        <v>-5.3442177142857155</v>
      </c>
      <c r="AE69" s="2">
        <f t="array" ref="AE69">IF('ROS Rankings'!$AD$1,IFERROR(AVERAGE(IF(INDEX($C69:$S69,14):INDEX($C69:$S69,17)="NA",0,INDEX($C69:$S69,14):INDEX($C69:$S69,17))-INDEX($AQ$2:$BG$7,MATCH($B69,$AO$2:$AO$7,0),14):INDEX($AQ$2:$BG$7,MATCH($B69,$AO$2:$AO$7,0),17)),0),IFERROR(AVERAGE(IF(INDEX($C69:$S69,Week+1):INDEX($C69:$S69,13)="NA",0,INDEX($C69:$S69,Week+1):INDEX($C69:$S69,13))-INDEX($AQ$2:$BG$7,MATCH($B69,$AO$2:$AO$7,0),Week+1):INDEX($AQ$2:$BG$7,MATCH($B69,$AO$2:$AO$7,0),13)),0))+ROW(A68)/1000000</f>
        <v>-4.9011819999999995</v>
      </c>
      <c r="AF69">
        <f t="shared" si="10"/>
        <v>503</v>
      </c>
      <c r="AG69">
        <f t="shared" si="11"/>
        <v>497</v>
      </c>
      <c r="AH69">
        <f t="shared" si="12"/>
        <v>447</v>
      </c>
      <c r="AI69">
        <f t="shared" si="13"/>
        <v>474</v>
      </c>
      <c r="AJ69" s="22">
        <f>IF(ISERROR(MATCH(A69,Rosters!$B$2:$B$155,0)),AD69,"")</f>
        <v>-5.3442177142857155</v>
      </c>
      <c r="AK69">
        <f t="shared" si="14"/>
        <v>295</v>
      </c>
      <c r="AL69" s="23">
        <f>COUNTIF(INDEX($C69:$S69,Week+1):INDEX($C69:$S69,13),"&gt;0")</f>
        <v>7</v>
      </c>
    </row>
    <row r="70" spans="1:38" x14ac:dyDescent="0.25">
      <c r="A70" t="s">
        <v>1147</v>
      </c>
      <c r="B70" t="s">
        <v>87</v>
      </c>
      <c r="C70">
        <v>0</v>
      </c>
      <c r="D70">
        <v>0</v>
      </c>
      <c r="E70">
        <v>0</v>
      </c>
      <c r="F70" t="s">
        <v>64</v>
      </c>
      <c r="G70">
        <v>0</v>
      </c>
      <c r="H70">
        <v>0</v>
      </c>
      <c r="I70">
        <v>0</v>
      </c>
      <c r="J70">
        <v>0</v>
      </c>
      <c r="K70">
        <v>0</v>
      </c>
      <c r="L70">
        <v>0</v>
      </c>
      <c r="M70">
        <v>0</v>
      </c>
      <c r="N70">
        <v>0</v>
      </c>
      <c r="O70">
        <v>0</v>
      </c>
      <c r="P70">
        <v>0</v>
      </c>
      <c r="Q70">
        <v>0</v>
      </c>
      <c r="R70">
        <v>0</v>
      </c>
      <c r="S70">
        <v>0.59</v>
      </c>
      <c r="T70" s="2">
        <f>IF('ROS Rankings'!$AD$1,IFERROR(AVERAGE(INDEX($C70:$S70,14):INDEX($C70:$S70,17)),0),IFERROR(AVERAGE(INDEX($C70:$S70,Week+1):INDEX($C70:$S70,13)),0))</f>
        <v>0</v>
      </c>
      <c r="U70" s="2" t="str">
        <f t="shared" si="8"/>
        <v/>
      </c>
      <c r="V70" s="2" t="str">
        <f t="shared" si="8"/>
        <v/>
      </c>
      <c r="W70" s="2">
        <f t="shared" si="8"/>
        <v>0</v>
      </c>
      <c r="X70" s="2" t="str">
        <f t="shared" si="8"/>
        <v/>
      </c>
      <c r="Y70" s="2" t="str">
        <f t="shared" si="8"/>
        <v/>
      </c>
      <c r="Z70" s="2" t="str">
        <f t="shared" si="8"/>
        <v/>
      </c>
      <c r="AA70" s="23" t="str">
        <f t="shared" si="9"/>
        <v>WR182</v>
      </c>
      <c r="AB70" s="2">
        <f>$T70-VLOOKUP($B70,Scores!$AG$1:$AM$7,5,FALSE)</f>
        <v>-10.37142857142857</v>
      </c>
      <c r="AC70" s="2">
        <f>$T70-VLOOKUP($B70,Scores!$AG$1:$AM$7,6,FALSE)</f>
        <v>-8.031428571428572</v>
      </c>
      <c r="AD70" s="2">
        <f>$T70-VLOOKUP($B70,Scores!$AG$1:$AM$7,7,FALSE)+(ROW(A69)/1000000)</f>
        <v>-6.0527881428571426</v>
      </c>
      <c r="AE70" s="2">
        <f t="array" ref="AE70">IF('ROS Rankings'!$AD$1,IFERROR(AVERAGE(IF(INDEX($C70:$S70,14):INDEX($C70:$S70,17)="NA",0,INDEX($C70:$S70,14):INDEX($C70:$S70,17))-INDEX($AQ$2:$BG$7,MATCH($B70,$AO$2:$AO$7,0),14):INDEX($AQ$2:$BG$7,MATCH($B70,$AO$2:$AO$7,0),17)),0),IFERROR(AVERAGE(IF(INDEX($C70:$S70,Week+1):INDEX($C70:$S70,13)="NA",0,INDEX($C70:$S70,Week+1):INDEX($C70:$S70,13))-INDEX($AQ$2:$BG$7,MATCH($B70,$AO$2:$AO$7,0),Week+1):INDEX($AQ$2:$BG$7,MATCH($B70,$AO$2:$AO$7,0),13)),0))+ROW(A69)/1000000</f>
        <v>-5.3561810000000012</v>
      </c>
      <c r="AF70">
        <f t="shared" si="10"/>
        <v>466</v>
      </c>
      <c r="AG70">
        <f t="shared" si="11"/>
        <v>514</v>
      </c>
      <c r="AH70">
        <f t="shared" si="12"/>
        <v>521</v>
      </c>
      <c r="AI70">
        <f t="shared" si="13"/>
        <v>513</v>
      </c>
      <c r="AJ70" s="22">
        <f>IF(ISERROR(MATCH(A70,Rosters!$B$2:$B$155,0)),AD70,"")</f>
        <v>-6.0527881428571426</v>
      </c>
      <c r="AK70">
        <f t="shared" si="14"/>
        <v>369</v>
      </c>
      <c r="AL70" s="23">
        <f>COUNTIF(INDEX($C70:$S70,Week+1):INDEX($C70:$S70,13),"&gt;0")</f>
        <v>0</v>
      </c>
    </row>
    <row r="71" spans="1:38" x14ac:dyDescent="0.25">
      <c r="A71" t="s">
        <v>131</v>
      </c>
      <c r="B71" t="s">
        <v>47</v>
      </c>
      <c r="C71">
        <v>5.0999999999999996</v>
      </c>
      <c r="D71">
        <v>5.74</v>
      </c>
      <c r="E71">
        <v>5.37</v>
      </c>
      <c r="F71" t="s">
        <v>64</v>
      </c>
      <c r="G71">
        <v>6.18</v>
      </c>
      <c r="H71">
        <v>5.83</v>
      </c>
      <c r="I71">
        <v>4.5999999999999996</v>
      </c>
      <c r="J71">
        <v>5.38</v>
      </c>
      <c r="K71">
        <v>7.17</v>
      </c>
      <c r="L71">
        <v>5.0199999999999996</v>
      </c>
      <c r="M71">
        <v>5.81</v>
      </c>
      <c r="N71">
        <v>5.05</v>
      </c>
      <c r="O71">
        <v>6.59</v>
      </c>
      <c r="P71">
        <v>4.62</v>
      </c>
      <c r="Q71">
        <v>5.87</v>
      </c>
      <c r="R71">
        <v>6.68</v>
      </c>
      <c r="S71">
        <v>5.41</v>
      </c>
      <c r="T71" s="2">
        <f>IF('ROS Rankings'!$AD$1,IFERROR(AVERAGE(INDEX($C71:$S71,14):INDEX($C71:$S71,17)),0),IFERROR(AVERAGE(INDEX($C71:$S71,Week+1):INDEX($C71:$S71,13)),0))</f>
        <v>5.6812499999999986</v>
      </c>
      <c r="U71" s="2" t="str">
        <f t="shared" si="8"/>
        <v/>
      </c>
      <c r="V71" s="2">
        <f t="shared" si="8"/>
        <v>5.6812499999999986</v>
      </c>
      <c r="W71" s="2" t="str">
        <f t="shared" si="8"/>
        <v/>
      </c>
      <c r="X71" s="2" t="str">
        <f t="shared" si="8"/>
        <v/>
      </c>
      <c r="Y71" s="2" t="str">
        <f t="shared" si="8"/>
        <v/>
      </c>
      <c r="Z71" s="2" t="str">
        <f t="shared" si="8"/>
        <v/>
      </c>
      <c r="AA71" s="23" t="str">
        <f t="shared" si="9"/>
        <v>RB52</v>
      </c>
      <c r="AB71" s="2">
        <f>$T71-VLOOKUP($B71,Scores!$AG$1:$AM$7,5,FALSE)</f>
        <v>-6.0773214285714303</v>
      </c>
      <c r="AC71" s="2">
        <f>$T71-VLOOKUP($B71,Scores!$AG$1:$AM$7,6,FALSE)</f>
        <v>-2.5887500000000028</v>
      </c>
      <c r="AD71" s="2">
        <f>$T71-VLOOKUP($B71,Scores!$AG$1:$AM$7,7,FALSE)+(ROW(A70)/1000000)</f>
        <v>-0.18725142857143065</v>
      </c>
      <c r="AE71" s="2">
        <f t="array" ref="AE71">IF('ROS Rankings'!$AD$1,IFERROR(AVERAGE(IF(INDEX($C71:$S71,14):INDEX($C71:$S71,17)="NA",0,INDEX($C71:$S71,14):INDEX($C71:$S71,17))-INDEX($AQ$2:$BG$7,MATCH($B71,$AO$2:$AO$7,0),14):INDEX($AQ$2:$BG$7,MATCH($B71,$AO$2:$AO$7,0),17)),0),IFERROR(AVERAGE(IF(INDEX($C71:$S71,Week+1):INDEX($C71:$S71,13)="NA",0,INDEX($C71:$S71,Week+1):INDEX($C71:$S71,13))-INDEX($AQ$2:$BG$7,MATCH($B71,$AO$2:$AO$7,0),Week+1):INDEX($AQ$2:$BG$7,MATCH($B71,$AO$2:$AO$7,0),13)),0))+ROW(A70)/1000000</f>
        <v>0.32131999999999994</v>
      </c>
      <c r="AF71">
        <f t="shared" si="10"/>
        <v>285</v>
      </c>
      <c r="AG71">
        <f t="shared" si="11"/>
        <v>220</v>
      </c>
      <c r="AH71">
        <f t="shared" si="12"/>
        <v>161</v>
      </c>
      <c r="AI71">
        <f t="shared" si="13"/>
        <v>108</v>
      </c>
      <c r="AJ71" s="22">
        <f>IF(ISERROR(MATCH(A71,Rosters!$B$2:$B$155,0)),AD71,"")</f>
        <v>-0.18725142857143065</v>
      </c>
      <c r="AK71">
        <f t="shared" si="14"/>
        <v>33</v>
      </c>
      <c r="AL71" s="23">
        <f>COUNTIF(INDEX($C71:$S71,Week+1):INDEX($C71:$S71,13),"&gt;0")</f>
        <v>8</v>
      </c>
    </row>
    <row r="72" spans="1:38" x14ac:dyDescent="0.25">
      <c r="A72" t="s">
        <v>1537</v>
      </c>
      <c r="B72" t="s">
        <v>15</v>
      </c>
      <c r="C72">
        <v>0.67</v>
      </c>
      <c r="D72">
        <v>0.9</v>
      </c>
      <c r="E72">
        <v>0.86</v>
      </c>
      <c r="F72">
        <v>14.05</v>
      </c>
      <c r="G72">
        <v>12.92</v>
      </c>
      <c r="H72">
        <v>13.75</v>
      </c>
      <c r="I72">
        <v>11.76</v>
      </c>
      <c r="J72">
        <v>12.2</v>
      </c>
      <c r="K72">
        <v>14.93</v>
      </c>
      <c r="L72">
        <v>15.88</v>
      </c>
      <c r="M72" t="s">
        <v>64</v>
      </c>
      <c r="N72">
        <v>14.17</v>
      </c>
      <c r="O72">
        <v>11.73</v>
      </c>
      <c r="P72">
        <v>12.81</v>
      </c>
      <c r="Q72">
        <v>12.44</v>
      </c>
      <c r="R72">
        <v>13.03</v>
      </c>
      <c r="S72">
        <v>11.14</v>
      </c>
      <c r="T72" s="2">
        <f>IF('ROS Rankings'!$AD$1,IFERROR(AVERAGE(INDEX($C72:$S72,14):INDEX($C72:$S72,17)),0),IFERROR(AVERAGE(INDEX($C72:$S72,Week+1):INDEX($C72:$S72,13)),0))</f>
        <v>13.488571428571429</v>
      </c>
      <c r="U72" s="2">
        <f t="shared" si="8"/>
        <v>13.488571428571429</v>
      </c>
      <c r="V72" s="2" t="str">
        <f t="shared" si="8"/>
        <v/>
      </c>
      <c r="W72" s="2" t="str">
        <f t="shared" si="8"/>
        <v/>
      </c>
      <c r="X72" s="2" t="str">
        <f t="shared" si="8"/>
        <v/>
      </c>
      <c r="Y72" s="2" t="str">
        <f t="shared" si="8"/>
        <v/>
      </c>
      <c r="Z72" s="2" t="str">
        <f t="shared" si="8"/>
        <v/>
      </c>
      <c r="AA72" s="23" t="str">
        <f t="shared" si="9"/>
        <v>QB32</v>
      </c>
      <c r="AB72" s="2">
        <f>$T72-VLOOKUP($B72,Scores!$AG$1:$AM$7,5,FALSE)</f>
        <v>-7.3957142857142841</v>
      </c>
      <c r="AC72" s="2">
        <f>$T72-VLOOKUP($B72,Scores!$AG$1:$AM$7,6,FALSE)</f>
        <v>-6.4151785714285694</v>
      </c>
      <c r="AD72" s="2">
        <f>$T72-VLOOKUP($B72,Scores!$AG$1:$AM$7,7,FALSE)+(ROW(A71)/1000000)</f>
        <v>-6.011357571428567</v>
      </c>
      <c r="AE72" s="2">
        <f t="array" ref="AE72">IF('ROS Rankings'!$AD$1,IFERROR(AVERAGE(IF(INDEX($C72:$S72,14):INDEX($C72:$S72,17)="NA",0,INDEX($C72:$S72,14):INDEX($C72:$S72,17))-INDEX($AQ$2:$BG$7,MATCH($B72,$AO$2:$AO$7,0),14):INDEX($AQ$2:$BG$7,MATCH($B72,$AO$2:$AO$7,0),17)),0),IFERROR(AVERAGE(IF(INDEX($C72:$S72,Week+1):INDEX($C72:$S72,13)="NA",0,INDEX($C72:$S72,Week+1):INDEX($C72:$S72,13))-INDEX($AQ$2:$BG$7,MATCH($B72,$AO$2:$AO$7,0),Week+1):INDEX($AQ$2:$BG$7,MATCH($B72,$AO$2:$AO$7,0),13)),0))+ROW(A71)/1000000</f>
        <v>-6.6999290000000009</v>
      </c>
      <c r="AF72">
        <f t="shared" si="10"/>
        <v>361</v>
      </c>
      <c r="AG72">
        <f t="shared" si="11"/>
        <v>391</v>
      </c>
      <c r="AH72">
        <f t="shared" si="12"/>
        <v>516</v>
      </c>
      <c r="AI72">
        <f t="shared" si="13"/>
        <v>521</v>
      </c>
      <c r="AJ72" s="22">
        <f>IF(ISERROR(MATCH(A72,Rosters!$B$2:$B$155,0)),AD72,"")</f>
        <v>-6.011357571428567</v>
      </c>
      <c r="AK72">
        <f t="shared" si="14"/>
        <v>364</v>
      </c>
      <c r="AL72" s="23">
        <f>COUNTIF(INDEX($C72:$S72,Week+1):INDEX($C72:$S72,13),"&gt;0")</f>
        <v>7</v>
      </c>
    </row>
    <row r="73" spans="1:38" x14ac:dyDescent="0.25">
      <c r="A73" t="s">
        <v>1549</v>
      </c>
      <c r="B73" t="s">
        <v>47</v>
      </c>
      <c r="C73">
        <v>0.53</v>
      </c>
      <c r="D73">
        <v>0.6</v>
      </c>
      <c r="E73">
        <v>0.55000000000000004</v>
      </c>
      <c r="F73">
        <v>0.48</v>
      </c>
      <c r="G73">
        <v>0.45</v>
      </c>
      <c r="H73">
        <v>0.47</v>
      </c>
      <c r="I73">
        <v>0.49</v>
      </c>
      <c r="J73">
        <v>0.43</v>
      </c>
      <c r="K73">
        <v>0.61</v>
      </c>
      <c r="L73" t="s">
        <v>64</v>
      </c>
      <c r="M73">
        <v>0.46</v>
      </c>
      <c r="N73">
        <v>0.45</v>
      </c>
      <c r="O73">
        <v>0.4</v>
      </c>
      <c r="P73">
        <v>0.4</v>
      </c>
      <c r="Q73">
        <v>0.41</v>
      </c>
      <c r="R73">
        <v>0.56000000000000005</v>
      </c>
      <c r="S73">
        <v>0.49</v>
      </c>
      <c r="T73" s="2">
        <f>IF('ROS Rankings'!$AD$1,IFERROR(AVERAGE(INDEX($C73:$S73,14):INDEX($C73:$S73,17)),0),IFERROR(AVERAGE(INDEX($C73:$S73,Week+1):INDEX($C73:$S73,13)),0))</f>
        <v>0.47285714285714286</v>
      </c>
      <c r="U73" s="2" t="str">
        <f t="shared" si="8"/>
        <v/>
      </c>
      <c r="V73" s="2">
        <f t="shared" si="8"/>
        <v>0.47285714285714286</v>
      </c>
      <c r="W73" s="2" t="str">
        <f t="shared" si="8"/>
        <v/>
      </c>
      <c r="X73" s="2" t="str">
        <f t="shared" si="8"/>
        <v/>
      </c>
      <c r="Y73" s="2" t="str">
        <f t="shared" si="8"/>
        <v/>
      </c>
      <c r="Z73" s="2" t="str">
        <f t="shared" si="8"/>
        <v/>
      </c>
      <c r="AA73" s="23" t="str">
        <f t="shared" si="9"/>
        <v>RB122</v>
      </c>
      <c r="AB73" s="2">
        <f>$T73-VLOOKUP($B73,Scores!$AG$1:$AM$7,5,FALSE)</f>
        <v>-11.285714285714286</v>
      </c>
      <c r="AC73" s="2">
        <f>$T73-VLOOKUP($B73,Scores!$AG$1:$AM$7,6,FALSE)</f>
        <v>-7.7971428571428589</v>
      </c>
      <c r="AD73" s="2">
        <f>$T73-VLOOKUP($B73,Scores!$AG$1:$AM$7,7,FALSE)+(ROW(A72)/1000000)</f>
        <v>-5.3956422857142856</v>
      </c>
      <c r="AE73" s="2">
        <f t="array" ref="AE73">IF('ROS Rankings'!$AD$1,IFERROR(AVERAGE(IF(INDEX($C73:$S73,14):INDEX($C73:$S73,17)="NA",0,INDEX($C73:$S73,14):INDEX($C73:$S73,17))-INDEX($AQ$2:$BG$7,MATCH($B73,$AO$2:$AO$7,0),14):INDEX($AQ$2:$BG$7,MATCH($B73,$AO$2:$AO$7,0),17)),0),IFERROR(AVERAGE(IF(INDEX($C73:$S73,Week+1):INDEX($C73:$S73,13)="NA",0,INDEX($C73:$S73,Week+1):INDEX($C73:$S73,13))-INDEX($AQ$2:$BG$7,MATCH($B73,$AO$2:$AO$7,0),Week+1):INDEX($AQ$2:$BG$7,MATCH($B73,$AO$2:$AO$7,0),13)),0))+ROW(A72)/1000000</f>
        <v>-4.9461779999999997</v>
      </c>
      <c r="AF73">
        <f t="shared" si="10"/>
        <v>510</v>
      </c>
      <c r="AG73">
        <f t="shared" si="11"/>
        <v>504</v>
      </c>
      <c r="AH73">
        <f t="shared" si="12"/>
        <v>466</v>
      </c>
      <c r="AI73">
        <f t="shared" si="13"/>
        <v>482</v>
      </c>
      <c r="AJ73" s="22">
        <f>IF(ISERROR(MATCH(A73,Rosters!$B$2:$B$155,0)),AD73,"")</f>
        <v>-5.3956422857142856</v>
      </c>
      <c r="AK73">
        <f t="shared" si="14"/>
        <v>314</v>
      </c>
      <c r="AL73" s="23">
        <f>COUNTIF(INDEX($C73:$S73,Week+1):INDEX($C73:$S73,13),"&gt;0")</f>
        <v>7</v>
      </c>
    </row>
    <row r="74" spans="1:38" x14ac:dyDescent="0.25">
      <c r="A74" t="s">
        <v>216</v>
      </c>
      <c r="B74" t="s">
        <v>47</v>
      </c>
      <c r="C74">
        <v>1.61</v>
      </c>
      <c r="D74">
        <v>2.16</v>
      </c>
      <c r="E74">
        <v>0</v>
      </c>
      <c r="F74">
        <v>0</v>
      </c>
      <c r="G74">
        <v>0.55000000000000004</v>
      </c>
      <c r="H74">
        <v>0.57999999999999996</v>
      </c>
      <c r="I74" t="s">
        <v>64</v>
      </c>
      <c r="J74">
        <v>0.69</v>
      </c>
      <c r="K74">
        <v>0.65</v>
      </c>
      <c r="L74">
        <v>0.52</v>
      </c>
      <c r="M74">
        <v>0.69</v>
      </c>
      <c r="N74">
        <v>0.55000000000000004</v>
      </c>
      <c r="O74">
        <v>0.72</v>
      </c>
      <c r="P74">
        <v>0.54</v>
      </c>
      <c r="Q74">
        <v>0.68</v>
      </c>
      <c r="R74">
        <v>0.64</v>
      </c>
      <c r="S74">
        <v>0.52</v>
      </c>
      <c r="T74" s="2">
        <f>IF('ROS Rankings'!$AD$1,IFERROR(AVERAGE(INDEX($C74:$S74,14):INDEX($C74:$S74,17)),0),IFERROR(AVERAGE(INDEX($C74:$S74,Week+1):INDEX($C74:$S74,13)),0))</f>
        <v>0.62857142857142845</v>
      </c>
      <c r="U74" s="2" t="str">
        <f t="shared" si="8"/>
        <v/>
      </c>
      <c r="V74" s="2">
        <f t="shared" si="8"/>
        <v>0.62857142857142845</v>
      </c>
      <c r="W74" s="2" t="str">
        <f t="shared" si="8"/>
        <v/>
      </c>
      <c r="X74" s="2" t="str">
        <f t="shared" si="8"/>
        <v/>
      </c>
      <c r="Y74" s="2" t="str">
        <f t="shared" si="8"/>
        <v/>
      </c>
      <c r="Z74" s="2" t="str">
        <f t="shared" si="8"/>
        <v/>
      </c>
      <c r="AA74" s="23" t="str">
        <f t="shared" si="9"/>
        <v>RB100</v>
      </c>
      <c r="AB74" s="2">
        <f>$T74-VLOOKUP($B74,Scores!$AG$1:$AM$7,5,FALSE)</f>
        <v>-11.13</v>
      </c>
      <c r="AC74" s="2">
        <f>$T74-VLOOKUP($B74,Scores!$AG$1:$AM$7,6,FALSE)</f>
        <v>-7.6414285714285732</v>
      </c>
      <c r="AD74" s="2">
        <f>$T74-VLOOKUP($B74,Scores!$AG$1:$AM$7,7,FALSE)+(ROW(A73)/1000000)</f>
        <v>-5.2399270000000007</v>
      </c>
      <c r="AE74" s="2">
        <f t="array" ref="AE74">IF('ROS Rankings'!$AD$1,IFERROR(AVERAGE(IF(INDEX($C74:$S74,14):INDEX($C74:$S74,17)="NA",0,INDEX($C74:$S74,14):INDEX($C74:$S74,17))-INDEX($AQ$2:$BG$7,MATCH($B74,$AO$2:$AO$7,0),14):INDEX($AQ$2:$BG$7,MATCH($B74,$AO$2:$AO$7,0),17)),0),IFERROR(AVERAGE(IF(INDEX($C74:$S74,Week+1):INDEX($C74:$S74,13)="NA",0,INDEX($C74:$S74,Week+1):INDEX($C74:$S74,13))-INDEX($AQ$2:$BG$7,MATCH($B74,$AO$2:$AO$7,0),Week+1):INDEX($AQ$2:$BG$7,MATCH($B74,$AO$2:$AO$7,0),13)),0))+ROW(A73)/1000000</f>
        <v>-4.8099269999999992</v>
      </c>
      <c r="AF74">
        <f t="shared" si="10"/>
        <v>488</v>
      </c>
      <c r="AG74">
        <f t="shared" si="11"/>
        <v>475</v>
      </c>
      <c r="AH74">
        <f t="shared" si="12"/>
        <v>424</v>
      </c>
      <c r="AI74">
        <f t="shared" si="13"/>
        <v>438</v>
      </c>
      <c r="AJ74" s="22">
        <f>IF(ISERROR(MATCH(A74,Rosters!$B$2:$B$155,0)),AD74,"")</f>
        <v>-5.2399270000000007</v>
      </c>
      <c r="AK74">
        <f t="shared" si="14"/>
        <v>272</v>
      </c>
      <c r="AL74" s="23">
        <f>COUNTIF(INDEX($C74:$S74,Week+1):INDEX($C74:$S74,13),"&gt;0")</f>
        <v>7</v>
      </c>
    </row>
    <row r="75" spans="1:38" x14ac:dyDescent="0.25">
      <c r="A75" t="s">
        <v>301</v>
      </c>
      <c r="B75" t="s">
        <v>114</v>
      </c>
      <c r="C75">
        <v>0.5</v>
      </c>
      <c r="D75">
        <v>0.33</v>
      </c>
      <c r="E75">
        <v>0.36</v>
      </c>
      <c r="F75">
        <v>0.56000000000000005</v>
      </c>
      <c r="G75">
        <v>2.44</v>
      </c>
      <c r="H75">
        <v>2.82</v>
      </c>
      <c r="I75">
        <v>3.03</v>
      </c>
      <c r="J75">
        <v>2.35</v>
      </c>
      <c r="K75" t="s">
        <v>64</v>
      </c>
      <c r="L75">
        <v>2.34</v>
      </c>
      <c r="M75">
        <v>2.08</v>
      </c>
      <c r="N75">
        <v>2.95</v>
      </c>
      <c r="O75">
        <v>2.4</v>
      </c>
      <c r="P75">
        <v>2.52</v>
      </c>
      <c r="Q75">
        <v>2.2400000000000002</v>
      </c>
      <c r="R75">
        <v>2.8</v>
      </c>
      <c r="S75">
        <v>2.67</v>
      </c>
      <c r="T75" s="2">
        <f>IF('ROS Rankings'!$AD$1,IFERROR(AVERAGE(INDEX($C75:$S75,14):INDEX($C75:$S75,17)),0),IFERROR(AVERAGE(INDEX($C75:$S75,Week+1):INDEX($C75:$S75,13)),0))</f>
        <v>2.5671428571428572</v>
      </c>
      <c r="U75" s="2" t="str">
        <f t="shared" si="8"/>
        <v/>
      </c>
      <c r="V75" s="2" t="str">
        <f t="shared" si="8"/>
        <v/>
      </c>
      <c r="W75" s="2" t="str">
        <f t="shared" si="8"/>
        <v/>
      </c>
      <c r="X75" s="2">
        <f t="shared" si="8"/>
        <v>2.5671428571428572</v>
      </c>
      <c r="Y75" s="2" t="str">
        <f t="shared" si="8"/>
        <v/>
      </c>
      <c r="Z75" s="2" t="str">
        <f t="shared" si="8"/>
        <v/>
      </c>
      <c r="AA75" s="23" t="str">
        <f t="shared" si="9"/>
        <v>TE37</v>
      </c>
      <c r="AB75" s="2">
        <f>$T75-VLOOKUP($B75,Scores!$AG$1:$AM$7,5,FALSE)</f>
        <v>-4.4316071428571426</v>
      </c>
      <c r="AC75" s="2">
        <f>$T75-VLOOKUP($B75,Scores!$AG$1:$AM$7,6,FALSE)</f>
        <v>-2.6828571428571428</v>
      </c>
      <c r="AD75" s="2">
        <f>$T75-VLOOKUP($B75,Scores!$AG$1:$AM$7,7,FALSE)+(ROW(A74)/1000000)</f>
        <v>-2.6127831428571424</v>
      </c>
      <c r="AE75" s="2">
        <f t="array" ref="AE75">IF('ROS Rankings'!$AD$1,IFERROR(AVERAGE(IF(INDEX($C75:$S75,14):INDEX($C75:$S75,17)="NA",0,INDEX($C75:$S75,14):INDEX($C75:$S75,17))-INDEX($AQ$2:$BG$7,MATCH($B75,$AO$2:$AO$7,0),14):INDEX($AQ$2:$BG$7,MATCH($B75,$AO$2:$AO$7,0),17)),0),IFERROR(AVERAGE(IF(INDEX($C75:$S75,Week+1):INDEX($C75:$S75,13)="NA",0,INDEX($C75:$S75,Week+1):INDEX($C75:$S75,13))-INDEX($AQ$2:$BG$7,MATCH($B75,$AO$2:$AO$7,0),Week+1):INDEX($AQ$2:$BG$7,MATCH($B75,$AO$2:$AO$7,0),13)),0))+ROW(A74)/1000000</f>
        <v>-2.8511760000000002</v>
      </c>
      <c r="AF75">
        <f t="shared" si="10"/>
        <v>211</v>
      </c>
      <c r="AG75">
        <f t="shared" si="11"/>
        <v>227</v>
      </c>
      <c r="AH75">
        <f t="shared" si="12"/>
        <v>274</v>
      </c>
      <c r="AI75">
        <f t="shared" si="13"/>
        <v>286</v>
      </c>
      <c r="AJ75" s="22">
        <f>IF(ISERROR(MATCH(A75,Rosters!$B$2:$B$155,0)),AD75,"")</f>
        <v>-2.6127831428571424</v>
      </c>
      <c r="AK75">
        <f t="shared" si="14"/>
        <v>130</v>
      </c>
      <c r="AL75" s="23">
        <f>COUNTIF(INDEX($C75:$S75,Week+1):INDEX($C75:$S75,13),"&gt;0")</f>
        <v>7</v>
      </c>
    </row>
    <row r="76" spans="1:38" x14ac:dyDescent="0.25">
      <c r="A76" t="s">
        <v>1422</v>
      </c>
      <c r="B76" t="s">
        <v>87</v>
      </c>
      <c r="C76">
        <v>4.1500000000000004</v>
      </c>
      <c r="D76">
        <v>4.2300000000000004</v>
      </c>
      <c r="E76">
        <v>3.09</v>
      </c>
      <c r="F76">
        <v>6.83</v>
      </c>
      <c r="G76">
        <v>7.75</v>
      </c>
      <c r="H76">
        <v>7.78</v>
      </c>
      <c r="I76">
        <v>7.35</v>
      </c>
      <c r="J76" t="s">
        <v>64</v>
      </c>
      <c r="K76">
        <v>7.18</v>
      </c>
      <c r="L76">
        <v>8.66</v>
      </c>
      <c r="M76">
        <v>7.85</v>
      </c>
      <c r="N76">
        <v>7.64</v>
      </c>
      <c r="O76">
        <v>7.23</v>
      </c>
      <c r="P76">
        <v>7.36</v>
      </c>
      <c r="Q76">
        <v>8.1199999999999992</v>
      </c>
      <c r="R76">
        <v>8.2899999999999991</v>
      </c>
      <c r="S76">
        <v>7.5</v>
      </c>
      <c r="T76" s="2">
        <f>IF('ROS Rankings'!$AD$1,IFERROR(AVERAGE(INDEX($C76:$S76,14):INDEX($C76:$S76,17)),0),IFERROR(AVERAGE(INDEX($C76:$S76,Week+1):INDEX($C76:$S76,13)),0))</f>
        <v>7.67</v>
      </c>
      <c r="U76" s="2" t="str">
        <f t="shared" si="8"/>
        <v/>
      </c>
      <c r="V76" s="2" t="str">
        <f t="shared" si="8"/>
        <v/>
      </c>
      <c r="W76" s="2">
        <f t="shared" si="8"/>
        <v>7.67</v>
      </c>
      <c r="X76" s="2" t="str">
        <f t="shared" si="8"/>
        <v/>
      </c>
      <c r="Y76" s="2" t="str">
        <f t="shared" si="8"/>
        <v/>
      </c>
      <c r="Z76" s="2" t="str">
        <f t="shared" si="8"/>
        <v/>
      </c>
      <c r="AA76" s="23" t="str">
        <f t="shared" si="9"/>
        <v>WR42</v>
      </c>
      <c r="AB76" s="2">
        <f>$T76-VLOOKUP($B76,Scores!$AG$1:$AM$7,5,FALSE)</f>
        <v>-2.7014285714285702</v>
      </c>
      <c r="AC76" s="2">
        <f>$T76-VLOOKUP($B76,Scores!$AG$1:$AM$7,6,FALSE)</f>
        <v>-0.3614285714285721</v>
      </c>
      <c r="AD76" s="2">
        <f>$T76-VLOOKUP($B76,Scores!$AG$1:$AM$7,7,FALSE)+(ROW(A75)/1000000)</f>
        <v>1.6172178571428575</v>
      </c>
      <c r="AE76" s="2">
        <f t="array" ref="AE76">IF('ROS Rankings'!$AD$1,IFERROR(AVERAGE(IF(INDEX($C76:$S76,14):INDEX($C76:$S76,17)="NA",0,INDEX($C76:$S76,14):INDEX($C76:$S76,17))-INDEX($AQ$2:$BG$7,MATCH($B76,$AO$2:$AO$7,0),14):INDEX($AQ$2:$BG$7,MATCH($B76,$AO$2:$AO$7,0),17)),0),IFERROR(AVERAGE(IF(INDEX($C76:$S76,Week+1):INDEX($C76:$S76,13)="NA",0,INDEX($C76:$S76,Week+1):INDEX($C76:$S76,13))-INDEX($AQ$2:$BG$7,MATCH($B76,$AO$2:$AO$7,0),Week+1):INDEX($AQ$2:$BG$7,MATCH($B76,$AO$2:$AO$7,0),13)),0))+ROW(A75)/1000000</f>
        <v>1.355075</v>
      </c>
      <c r="AF76">
        <f t="shared" si="10"/>
        <v>155</v>
      </c>
      <c r="AG76">
        <f t="shared" si="11"/>
        <v>126</v>
      </c>
      <c r="AH76">
        <f t="shared" si="12"/>
        <v>85</v>
      </c>
      <c r="AI76">
        <f t="shared" si="13"/>
        <v>80</v>
      </c>
      <c r="AJ76" s="22" t="str">
        <f>IF(ISERROR(MATCH(A76,Rosters!$B$2:$B$155,0)),AD76,"")</f>
        <v/>
      </c>
      <c r="AK76" t="str">
        <f t="shared" si="14"/>
        <v/>
      </c>
      <c r="AL76" s="23">
        <f>COUNTIF(INDEX($C76:$S76,Week+1):INDEX($C76:$S76,13),"&gt;0")</f>
        <v>7</v>
      </c>
    </row>
    <row r="77" spans="1:38" x14ac:dyDescent="0.25">
      <c r="A77" t="s">
        <v>39</v>
      </c>
      <c r="B77" t="s">
        <v>15</v>
      </c>
      <c r="C77">
        <v>19.87</v>
      </c>
      <c r="D77">
        <v>18.22</v>
      </c>
      <c r="E77">
        <v>20.18</v>
      </c>
      <c r="F77" t="s">
        <v>64</v>
      </c>
      <c r="G77">
        <v>23.25</v>
      </c>
      <c r="H77">
        <v>20.02</v>
      </c>
      <c r="I77">
        <v>17.97</v>
      </c>
      <c r="J77">
        <v>18.3</v>
      </c>
      <c r="K77">
        <v>25.59</v>
      </c>
      <c r="L77">
        <v>19.809999999999999</v>
      </c>
      <c r="M77">
        <v>22.7</v>
      </c>
      <c r="N77">
        <v>18.79</v>
      </c>
      <c r="O77">
        <v>23.74</v>
      </c>
      <c r="P77">
        <v>19.8</v>
      </c>
      <c r="Q77">
        <v>23.05</v>
      </c>
      <c r="R77">
        <v>23.31</v>
      </c>
      <c r="S77">
        <v>21.38</v>
      </c>
      <c r="T77" s="2">
        <f>IF('ROS Rankings'!$AD$1,IFERROR(AVERAGE(INDEX($C77:$S77,14):INDEX($C77:$S77,17)),0),IFERROR(AVERAGE(INDEX($C77:$S77,Week+1):INDEX($C77:$S77,13)),0))</f>
        <v>20.865000000000002</v>
      </c>
      <c r="U77" s="2">
        <f t="shared" si="8"/>
        <v>20.865000000000002</v>
      </c>
      <c r="V77" s="2" t="str">
        <f t="shared" si="8"/>
        <v/>
      </c>
      <c r="W77" s="2" t="str">
        <f t="shared" si="8"/>
        <v/>
      </c>
      <c r="X77" s="2" t="str">
        <f t="shared" si="8"/>
        <v/>
      </c>
      <c r="Y77" s="2" t="str">
        <f t="shared" si="8"/>
        <v/>
      </c>
      <c r="Z77" s="2" t="str">
        <f t="shared" si="8"/>
        <v/>
      </c>
      <c r="AA77" s="23" t="str">
        <f t="shared" si="9"/>
        <v>QB6</v>
      </c>
      <c r="AB77" s="2">
        <f>$T77-VLOOKUP($B77,Scores!$AG$1:$AM$7,5,FALSE)</f>
        <v>-1.9285714285711464E-2</v>
      </c>
      <c r="AC77" s="2">
        <f>$T77-VLOOKUP($B77,Scores!$AG$1:$AM$7,6,FALSE)</f>
        <v>0.96125000000000327</v>
      </c>
      <c r="AD77" s="2">
        <f>$T77-VLOOKUP($B77,Scores!$AG$1:$AM$7,7,FALSE)+(ROW(A76)/1000000)</f>
        <v>1.3650760000000055</v>
      </c>
      <c r="AE77" s="2">
        <f t="array" ref="AE77">IF('ROS Rankings'!$AD$1,IFERROR(AVERAGE(IF(INDEX($C77:$S77,14):INDEX($C77:$S77,17)="NA",0,INDEX($C77:$S77,14):INDEX($C77:$S77,17))-INDEX($AQ$2:$BG$7,MATCH($B77,$AO$2:$AO$7,0),14):INDEX($AQ$2:$BG$7,MATCH($B77,$AO$2:$AO$7,0),17)),0),IFERROR(AVERAGE(IF(INDEX($C77:$S77,Week+1):INDEX($C77:$S77,13)="NA",0,INDEX($C77:$S77,Week+1):INDEX($C77:$S77,13))-INDEX($AQ$2:$BG$7,MATCH($B77,$AO$2:$AO$7,0),Week+1):INDEX($AQ$2:$BG$7,MATCH($B77,$AO$2:$AO$7,0),13)),0))+ROW(A76)/1000000</f>
        <v>2.3625759999999993</v>
      </c>
      <c r="AF77">
        <f t="shared" si="10"/>
        <v>51</v>
      </c>
      <c r="AG77">
        <f t="shared" si="11"/>
        <v>62</v>
      </c>
      <c r="AH77">
        <f t="shared" si="12"/>
        <v>91</v>
      </c>
      <c r="AI77">
        <f t="shared" si="13"/>
        <v>54</v>
      </c>
      <c r="AJ77" s="22" t="str">
        <f>IF(ISERROR(MATCH(A77,Rosters!$B$2:$B$155,0)),AD77,"")</f>
        <v/>
      </c>
      <c r="AK77" t="str">
        <f t="shared" si="14"/>
        <v/>
      </c>
      <c r="AL77" s="23">
        <f>COUNTIF(INDEX($C77:$S77,Week+1):INDEX($C77:$S77,13),"&gt;0")</f>
        <v>8</v>
      </c>
    </row>
    <row r="78" spans="1:38" x14ac:dyDescent="0.25">
      <c r="A78" t="s">
        <v>351</v>
      </c>
      <c r="B78" t="s">
        <v>47</v>
      </c>
      <c r="C78">
        <v>0</v>
      </c>
      <c r="D78">
        <v>2</v>
      </c>
      <c r="E78">
        <v>1.25</v>
      </c>
      <c r="F78" t="s">
        <v>64</v>
      </c>
      <c r="G78">
        <v>1.24</v>
      </c>
      <c r="H78">
        <v>1.42</v>
      </c>
      <c r="I78">
        <v>1.01</v>
      </c>
      <c r="J78">
        <v>1.24</v>
      </c>
      <c r="K78">
        <v>1.69</v>
      </c>
      <c r="L78">
        <v>0.98</v>
      </c>
      <c r="M78">
        <v>1.1100000000000001</v>
      </c>
      <c r="N78">
        <v>1.01</v>
      </c>
      <c r="O78">
        <v>1.57</v>
      </c>
      <c r="P78">
        <v>0.99</v>
      </c>
      <c r="Q78">
        <v>1.1499999999999999</v>
      </c>
      <c r="R78">
        <v>1.38</v>
      </c>
      <c r="S78">
        <v>1.0900000000000001</v>
      </c>
      <c r="T78" s="2">
        <f>IF('ROS Rankings'!$AD$1,IFERROR(AVERAGE(INDEX($C78:$S78,14):INDEX($C78:$S78,17)),0),IFERROR(AVERAGE(INDEX($C78:$S78,Week+1):INDEX($C78:$S78,13)),0))</f>
        <v>1.2537500000000001</v>
      </c>
      <c r="U78" s="2" t="str">
        <f t="shared" si="8"/>
        <v/>
      </c>
      <c r="V78" s="2">
        <f t="shared" si="8"/>
        <v>1.2537500000000001</v>
      </c>
      <c r="W78" s="2" t="str">
        <f t="shared" si="8"/>
        <v/>
      </c>
      <c r="X78" s="2" t="str">
        <f t="shared" si="8"/>
        <v/>
      </c>
      <c r="Y78" s="2" t="str">
        <f t="shared" si="8"/>
        <v/>
      </c>
      <c r="Z78" s="2" t="str">
        <f t="shared" si="8"/>
        <v/>
      </c>
      <c r="AA78" s="23" t="str">
        <f t="shared" si="9"/>
        <v>RB84</v>
      </c>
      <c r="AB78" s="2">
        <f>$T78-VLOOKUP($B78,Scores!$AG$1:$AM$7,5,FALSE)</f>
        <v>-10.504821428571429</v>
      </c>
      <c r="AC78" s="2">
        <f>$T78-VLOOKUP($B78,Scores!$AG$1:$AM$7,6,FALSE)</f>
        <v>-7.0162500000000012</v>
      </c>
      <c r="AD78" s="2">
        <f>$T78-VLOOKUP($B78,Scores!$AG$1:$AM$7,7,FALSE)+(ROW(A77)/1000000)</f>
        <v>-4.614744428571429</v>
      </c>
      <c r="AE78" s="2">
        <f t="array" ref="AE78">IF('ROS Rankings'!$AD$1,IFERROR(AVERAGE(IF(INDEX($C78:$S78,14):INDEX($C78:$S78,17)="NA",0,INDEX($C78:$S78,14):INDEX($C78:$S78,17))-INDEX($AQ$2:$BG$7,MATCH($B78,$AO$2:$AO$7,0),14):INDEX($AQ$2:$BG$7,MATCH($B78,$AO$2:$AO$7,0),17)),0),IFERROR(AVERAGE(IF(INDEX($C78:$S78,Week+1):INDEX($C78:$S78,13)="NA",0,INDEX($C78:$S78,Week+1):INDEX($C78:$S78,13))-INDEX($AQ$2:$BG$7,MATCH($B78,$AO$2:$AO$7,0),Week+1):INDEX($AQ$2:$BG$7,MATCH($B78,$AO$2:$AO$7,0),13)),0))+ROW(A77)/1000000</f>
        <v>-4.1061730000000001</v>
      </c>
      <c r="AF78">
        <f t="shared" si="10"/>
        <v>472</v>
      </c>
      <c r="AG78">
        <f t="shared" si="11"/>
        <v>407</v>
      </c>
      <c r="AH78">
        <f t="shared" si="12"/>
        <v>367</v>
      </c>
      <c r="AI78">
        <f t="shared" si="13"/>
        <v>351</v>
      </c>
      <c r="AJ78" s="22">
        <f>IF(ISERROR(MATCH(A78,Rosters!$B$2:$B$155,0)),AD78,"")</f>
        <v>-4.614744428571429</v>
      </c>
      <c r="AK78">
        <f t="shared" si="14"/>
        <v>215</v>
      </c>
      <c r="AL78" s="23">
        <f>COUNTIF(INDEX($C78:$S78,Week+1):INDEX($C78:$S78,13),"&gt;0")</f>
        <v>8</v>
      </c>
    </row>
    <row r="79" spans="1:38" x14ac:dyDescent="0.25">
      <c r="A79" t="s">
        <v>213</v>
      </c>
      <c r="B79" t="s">
        <v>114</v>
      </c>
      <c r="C79">
        <v>4.8099999999999996</v>
      </c>
      <c r="D79">
        <v>2.42</v>
      </c>
      <c r="E79">
        <v>2.4300000000000002</v>
      </c>
      <c r="F79">
        <v>3.89</v>
      </c>
      <c r="G79" t="s">
        <v>64</v>
      </c>
      <c r="H79">
        <v>5.62</v>
      </c>
      <c r="I79">
        <v>5.76</v>
      </c>
      <c r="J79">
        <v>5.66</v>
      </c>
      <c r="K79">
        <v>3.93</v>
      </c>
      <c r="L79">
        <v>3.38</v>
      </c>
      <c r="M79">
        <v>4.04</v>
      </c>
      <c r="N79">
        <v>4.3600000000000003</v>
      </c>
      <c r="O79">
        <v>4.13</v>
      </c>
      <c r="P79">
        <v>4.3600000000000003</v>
      </c>
      <c r="Q79">
        <v>3.81</v>
      </c>
      <c r="R79">
        <v>3.87</v>
      </c>
      <c r="S79">
        <v>4.12</v>
      </c>
      <c r="T79" s="2">
        <f>IF('ROS Rankings'!$AD$1,IFERROR(AVERAGE(INDEX($C79:$S79,14):INDEX($C79:$S79,17)),0),IFERROR(AVERAGE(INDEX($C79:$S79,Week+1):INDEX($C79:$S79,13)),0))</f>
        <v>4.6100000000000003</v>
      </c>
      <c r="U79" s="2" t="str">
        <f t="shared" si="8"/>
        <v/>
      </c>
      <c r="V79" s="2" t="str">
        <f t="shared" si="8"/>
        <v/>
      </c>
      <c r="W79" s="2" t="str">
        <f t="shared" si="8"/>
        <v/>
      </c>
      <c r="X79" s="2">
        <f t="shared" si="8"/>
        <v>4.6100000000000003</v>
      </c>
      <c r="Y79" s="2" t="str">
        <f t="shared" si="8"/>
        <v/>
      </c>
      <c r="Z79" s="2" t="str">
        <f t="shared" si="8"/>
        <v/>
      </c>
      <c r="AA79" s="23" t="str">
        <f t="shared" si="9"/>
        <v>TE17</v>
      </c>
      <c r="AB79" s="2">
        <f>$T79-VLOOKUP($B79,Scores!$AG$1:$AM$7,5,FALSE)</f>
        <v>-2.388749999999999</v>
      </c>
      <c r="AC79" s="2">
        <f>$T79-VLOOKUP($B79,Scores!$AG$1:$AM$7,6,FALSE)</f>
        <v>-0.63999999999999968</v>
      </c>
      <c r="AD79" s="2">
        <f>$T79-VLOOKUP($B79,Scores!$AG$1:$AM$7,7,FALSE)+(ROW(A78)/1000000)</f>
        <v>-0.56992199999999937</v>
      </c>
      <c r="AE79" s="2">
        <f t="array" ref="AE79">IF('ROS Rankings'!$AD$1,IFERROR(AVERAGE(IF(INDEX($C79:$S79,14):INDEX($C79:$S79,17)="NA",0,INDEX($C79:$S79,14):INDEX($C79:$S79,17))-INDEX($AQ$2:$BG$7,MATCH($B79,$AO$2:$AO$7,0),14):INDEX($AQ$2:$BG$7,MATCH($B79,$AO$2:$AO$7,0),17)),0),IFERROR(AVERAGE(IF(INDEX($C79:$S79,Week+1):INDEX($C79:$S79,13)="NA",0,INDEX($C79:$S79,Week+1):INDEX($C79:$S79,13))-INDEX($AQ$2:$BG$7,MATCH($B79,$AO$2:$AO$7,0),Week+1):INDEX($AQ$2:$BG$7,MATCH($B79,$AO$2:$AO$7,0),13)),0))+ROW(A78)/1000000</f>
        <v>-0.48742199999999986</v>
      </c>
      <c r="AF79">
        <f t="shared" si="10"/>
        <v>149</v>
      </c>
      <c r="AG79">
        <f t="shared" si="11"/>
        <v>142</v>
      </c>
      <c r="AH79">
        <f t="shared" si="12"/>
        <v>178</v>
      </c>
      <c r="AI79">
        <f t="shared" si="13"/>
        <v>141</v>
      </c>
      <c r="AJ79" s="22">
        <f>IF(ISERROR(MATCH(A79,Rosters!$B$2:$B$155,0)),AD79,"")</f>
        <v>-0.56992199999999937</v>
      </c>
      <c r="AK79">
        <f t="shared" si="14"/>
        <v>46</v>
      </c>
      <c r="AL79" s="23">
        <f>COUNTIF(INDEX($C79:$S79,Week+1):INDEX($C79:$S79,13),"&gt;0")</f>
        <v>8</v>
      </c>
    </row>
    <row r="80" spans="1:38" x14ac:dyDescent="0.25">
      <c r="A80" t="s">
        <v>1367</v>
      </c>
      <c r="B80" t="s">
        <v>87</v>
      </c>
      <c r="C80">
        <v>0</v>
      </c>
      <c r="D80">
        <v>0</v>
      </c>
      <c r="E80">
        <v>1.1299999999999999</v>
      </c>
      <c r="F80">
        <v>2.75</v>
      </c>
      <c r="G80">
        <v>3.34</v>
      </c>
      <c r="H80" t="s">
        <v>64</v>
      </c>
      <c r="I80">
        <v>2.7</v>
      </c>
      <c r="J80">
        <v>2.75</v>
      </c>
      <c r="K80">
        <v>3.43</v>
      </c>
      <c r="L80">
        <v>3.18</v>
      </c>
      <c r="M80">
        <v>3.04</v>
      </c>
      <c r="N80">
        <v>3.39</v>
      </c>
      <c r="O80">
        <v>3.31</v>
      </c>
      <c r="P80">
        <v>3.32</v>
      </c>
      <c r="Q80">
        <v>3.15</v>
      </c>
      <c r="R80">
        <v>3.15</v>
      </c>
      <c r="S80">
        <v>3.26</v>
      </c>
      <c r="T80" s="2">
        <f>IF('ROS Rankings'!$AD$1,IFERROR(AVERAGE(INDEX($C80:$S80,14):INDEX($C80:$S80,17)),0),IFERROR(AVERAGE(INDEX($C80:$S80,Week+1):INDEX($C80:$S80,13)),0))</f>
        <v>3.1142857142857143</v>
      </c>
      <c r="U80" s="2" t="str">
        <f t="shared" si="8"/>
        <v/>
      </c>
      <c r="V80" s="2" t="str">
        <f t="shared" si="8"/>
        <v/>
      </c>
      <c r="W80" s="2">
        <f t="shared" si="8"/>
        <v>3.1142857142857143</v>
      </c>
      <c r="X80" s="2" t="str">
        <f t="shared" si="8"/>
        <v/>
      </c>
      <c r="Y80" s="2" t="str">
        <f t="shared" si="8"/>
        <v/>
      </c>
      <c r="Z80" s="2" t="str">
        <f t="shared" si="8"/>
        <v/>
      </c>
      <c r="AA80" s="23" t="str">
        <f t="shared" si="9"/>
        <v>WR96</v>
      </c>
      <c r="AB80" s="2">
        <f>$T80-VLOOKUP($B80,Scores!$AG$1:$AM$7,5,FALSE)</f>
        <v>-7.2571428571428562</v>
      </c>
      <c r="AC80" s="2">
        <f>$T80-VLOOKUP($B80,Scores!$AG$1:$AM$7,6,FALSE)</f>
        <v>-4.9171428571428581</v>
      </c>
      <c r="AD80" s="2">
        <f>$T80-VLOOKUP($B80,Scores!$AG$1:$AM$7,7,FALSE)+(ROW(A79)/1000000)</f>
        <v>-2.9384924285714282</v>
      </c>
      <c r="AE80" s="2">
        <f t="array" ref="AE80">IF('ROS Rankings'!$AD$1,IFERROR(AVERAGE(IF(INDEX($C80:$S80,14):INDEX($C80:$S80,17)="NA",0,INDEX($C80:$S80,14):INDEX($C80:$S80,17))-INDEX($AQ$2:$BG$7,MATCH($B80,$AO$2:$AO$7,0),14):INDEX($AQ$2:$BG$7,MATCH($B80,$AO$2:$AO$7,0),17)),0),IFERROR(AVERAGE(IF(INDEX($C80:$S80,Week+1):INDEX($C80:$S80,13)="NA",0,INDEX($C80:$S80,Week+1):INDEX($C80:$S80,13))-INDEX($AQ$2:$BG$7,MATCH($B80,$AO$2:$AO$7,0),Week+1):INDEX($AQ$2:$BG$7,MATCH($B80,$AO$2:$AO$7,0),13)),0))+ROW(A79)/1000000</f>
        <v>-2.6311710000000006</v>
      </c>
      <c r="AF80">
        <f t="shared" si="10"/>
        <v>357</v>
      </c>
      <c r="AG80">
        <f t="shared" si="11"/>
        <v>353</v>
      </c>
      <c r="AH80">
        <f t="shared" si="12"/>
        <v>298</v>
      </c>
      <c r="AI80">
        <f t="shared" si="13"/>
        <v>274</v>
      </c>
      <c r="AJ80" s="22">
        <f>IF(ISERROR(MATCH(A80,Rosters!$B$2:$B$155,0)),AD80,"")</f>
        <v>-2.9384924285714282</v>
      </c>
      <c r="AK80">
        <f t="shared" si="14"/>
        <v>151</v>
      </c>
      <c r="AL80" s="23">
        <f>COUNTIF(INDEX($C80:$S80,Week+1):INDEX($C80:$S80,13),"&gt;0")</f>
        <v>7</v>
      </c>
    </row>
    <row r="81" spans="1:38" x14ac:dyDescent="0.25">
      <c r="A81" t="s">
        <v>130</v>
      </c>
      <c r="B81" t="s">
        <v>47</v>
      </c>
      <c r="C81">
        <v>8.59</v>
      </c>
      <c r="D81">
        <v>10.029999999999999</v>
      </c>
      <c r="E81">
        <v>11.24</v>
      </c>
      <c r="F81">
        <v>11.7</v>
      </c>
      <c r="G81">
        <v>10.39</v>
      </c>
      <c r="H81">
        <v>14.08</v>
      </c>
      <c r="I81">
        <v>12.25</v>
      </c>
      <c r="J81">
        <v>13.84</v>
      </c>
      <c r="K81">
        <v>14.07</v>
      </c>
      <c r="L81">
        <v>14.75</v>
      </c>
      <c r="M81" t="s">
        <v>64</v>
      </c>
      <c r="N81">
        <v>12.96</v>
      </c>
      <c r="O81">
        <v>11.68</v>
      </c>
      <c r="P81">
        <v>13.61</v>
      </c>
      <c r="Q81">
        <v>10.75</v>
      </c>
      <c r="R81">
        <v>14.06</v>
      </c>
      <c r="S81">
        <v>9.11</v>
      </c>
      <c r="T81" s="2">
        <f>IF('ROS Rankings'!$AD$1,IFERROR(AVERAGE(INDEX($C81:$S81,14):INDEX($C81:$S81,17)),0),IFERROR(AVERAGE(INDEX($C81:$S81,Week+1):INDEX($C81:$S81,13)),0))</f>
        <v>13.37571428571429</v>
      </c>
      <c r="U81" s="2" t="str">
        <f t="shared" si="8"/>
        <v/>
      </c>
      <c r="V81" s="2">
        <f t="shared" si="8"/>
        <v>13.37571428571429</v>
      </c>
      <c r="W81" s="2" t="str">
        <f t="shared" si="8"/>
        <v/>
      </c>
      <c r="X81" s="2" t="str">
        <f t="shared" si="8"/>
        <v/>
      </c>
      <c r="Y81" s="2" t="str">
        <f t="shared" si="8"/>
        <v/>
      </c>
      <c r="Z81" s="2" t="str">
        <f t="shared" si="8"/>
        <v/>
      </c>
      <c r="AA81" s="23" t="str">
        <f t="shared" si="9"/>
        <v>RB7</v>
      </c>
      <c r="AB81" s="2">
        <f>$T81-VLOOKUP($B81,Scores!$AG$1:$AM$7,5,FALSE)</f>
        <v>1.617142857142861</v>
      </c>
      <c r="AC81" s="2">
        <f>$T81-VLOOKUP($B81,Scores!$AG$1:$AM$7,6,FALSE)</f>
        <v>5.1057142857142885</v>
      </c>
      <c r="AD81" s="2">
        <f>$T81-VLOOKUP($B81,Scores!$AG$1:$AM$7,7,FALSE)+(ROW(A80)/1000000)</f>
        <v>7.5072228571428603</v>
      </c>
      <c r="AE81" s="2">
        <f t="array" ref="AE81">IF('ROS Rankings'!$AD$1,IFERROR(AVERAGE(IF(INDEX($C81:$S81,14):INDEX($C81:$S81,17)="NA",0,INDEX($C81:$S81,14):INDEX($C81:$S81,17))-INDEX($AQ$2:$BG$7,MATCH($B81,$AO$2:$AO$7,0),14):INDEX($AQ$2:$BG$7,MATCH($B81,$AO$2:$AO$7,0),17)),0),IFERROR(AVERAGE(IF(INDEX($C81:$S81,Week+1):INDEX($C81:$S81,13)="NA",0,INDEX($C81:$S81,Week+1):INDEX($C81:$S81,13))-INDEX($AQ$2:$BG$7,MATCH($B81,$AO$2:$AO$7,0),Week+1):INDEX($AQ$2:$BG$7,MATCH($B81,$AO$2:$AO$7,0),13)),0))+ROW(A80)/1000000</f>
        <v>6.3438300000000005</v>
      </c>
      <c r="AF81">
        <f t="shared" si="10"/>
        <v>18</v>
      </c>
      <c r="AG81">
        <f t="shared" si="11"/>
        <v>10</v>
      </c>
      <c r="AH81">
        <f t="shared" si="12"/>
        <v>8</v>
      </c>
      <c r="AI81">
        <f t="shared" si="13"/>
        <v>11</v>
      </c>
      <c r="AJ81" s="22" t="str">
        <f>IF(ISERROR(MATCH(A81,Rosters!$B$2:$B$155,0)),AD81,"")</f>
        <v/>
      </c>
      <c r="AK81" t="str">
        <f t="shared" si="14"/>
        <v/>
      </c>
      <c r="AL81" s="23">
        <f>COUNTIF(INDEX($C81:$S81,Week+1):INDEX($C81:$S81,13),"&gt;0")</f>
        <v>7</v>
      </c>
    </row>
    <row r="82" spans="1:38" x14ac:dyDescent="0.25">
      <c r="A82" t="s">
        <v>80</v>
      </c>
      <c r="B82" t="s">
        <v>15</v>
      </c>
      <c r="C82">
        <v>0</v>
      </c>
      <c r="D82">
        <v>0</v>
      </c>
      <c r="E82">
        <v>19.52</v>
      </c>
      <c r="F82">
        <v>19.86</v>
      </c>
      <c r="G82">
        <v>19.39</v>
      </c>
      <c r="H82">
        <v>20.3</v>
      </c>
      <c r="I82">
        <v>16.64</v>
      </c>
      <c r="J82">
        <v>15.04</v>
      </c>
      <c r="K82" t="s">
        <v>64</v>
      </c>
      <c r="L82">
        <v>22.25</v>
      </c>
      <c r="M82">
        <v>20.38</v>
      </c>
      <c r="N82">
        <v>21.74</v>
      </c>
      <c r="O82">
        <v>20.149999999999999</v>
      </c>
      <c r="P82">
        <v>20.83</v>
      </c>
      <c r="Q82">
        <v>19.329999999999998</v>
      </c>
      <c r="R82">
        <v>26.02</v>
      </c>
      <c r="S82">
        <v>18.989999999999998</v>
      </c>
      <c r="T82" s="2">
        <f>IF('ROS Rankings'!$AD$1,IFERROR(AVERAGE(INDEX($C82:$S82,14):INDEX($C82:$S82,17)),0),IFERROR(AVERAGE(INDEX($C82:$S82,Week+1):INDEX($C82:$S82,13)),0))</f>
        <v>19.499999999999996</v>
      </c>
      <c r="U82" s="2">
        <f t="shared" si="8"/>
        <v>19.499999999999996</v>
      </c>
      <c r="V82" s="2" t="str">
        <f t="shared" si="8"/>
        <v/>
      </c>
      <c r="W82" s="2" t="str">
        <f t="shared" si="8"/>
        <v/>
      </c>
      <c r="X82" s="2" t="str">
        <f t="shared" si="8"/>
        <v/>
      </c>
      <c r="Y82" s="2" t="str">
        <f t="shared" si="8"/>
        <v/>
      </c>
      <c r="Z82" s="2" t="str">
        <f t="shared" si="8"/>
        <v/>
      </c>
      <c r="AA82" s="23" t="str">
        <f t="shared" si="9"/>
        <v>QB14</v>
      </c>
      <c r="AB82" s="2">
        <f>$T82-VLOOKUP($B82,Scores!$AG$1:$AM$7,5,FALSE)</f>
        <v>-1.384285714285717</v>
      </c>
      <c r="AC82" s="2">
        <f>$T82-VLOOKUP($B82,Scores!$AG$1:$AM$7,6,FALSE)</f>
        <v>-0.40375000000000227</v>
      </c>
      <c r="AD82" s="2">
        <f>$T82-VLOOKUP($B82,Scores!$AG$1:$AM$7,7,FALSE)+(ROW(A81)/1000000)</f>
        <v>8.1000000000000004E-5</v>
      </c>
      <c r="AE82" s="2">
        <f t="array" ref="AE82">IF('ROS Rankings'!$AD$1,IFERROR(AVERAGE(IF(INDEX($C82:$S82,14):INDEX($C82:$S82,17)="NA",0,INDEX($C82:$S82,14):INDEX($C82:$S82,17))-INDEX($AQ$2:$BG$7,MATCH($B82,$AO$2:$AO$7,0),14):INDEX($AQ$2:$BG$7,MATCH($B82,$AO$2:$AO$7,0),17)),0),IFERROR(AVERAGE(IF(INDEX($C82:$S82,Week+1):INDEX($C82:$S82,13)="NA",0,INDEX($C82:$S82,Week+1):INDEX($C82:$S82,13))-INDEX($AQ$2:$BG$7,MATCH($B82,$AO$2:$AO$7,0),Week+1):INDEX($AQ$2:$BG$7,MATCH($B82,$AO$2:$AO$7,0),13)),0))+ROW(A81)/1000000</f>
        <v>-1.4399190000000004</v>
      </c>
      <c r="AF82">
        <f t="shared" si="10"/>
        <v>110</v>
      </c>
      <c r="AG82">
        <f t="shared" si="11"/>
        <v>131</v>
      </c>
      <c r="AH82">
        <f t="shared" si="12"/>
        <v>149</v>
      </c>
      <c r="AI82">
        <f t="shared" si="13"/>
        <v>207</v>
      </c>
      <c r="AJ82" s="22" t="str">
        <f>IF(ISERROR(MATCH(A82,Rosters!$B$2:$B$155,0)),AD82,"")</f>
        <v/>
      </c>
      <c r="AK82" t="str">
        <f t="shared" si="14"/>
        <v/>
      </c>
      <c r="AL82" s="23">
        <f>COUNTIF(INDEX($C82:$S82,Week+1):INDEX($C82:$S82,13),"&gt;0")</f>
        <v>7</v>
      </c>
    </row>
    <row r="83" spans="1:38" x14ac:dyDescent="0.25">
      <c r="A83" t="s">
        <v>1213</v>
      </c>
      <c r="B83" t="s">
        <v>15</v>
      </c>
      <c r="C83">
        <v>12.53</v>
      </c>
      <c r="D83">
        <v>17.079999999999998</v>
      </c>
      <c r="E83">
        <v>12.85</v>
      </c>
      <c r="F83">
        <v>17.84</v>
      </c>
      <c r="G83">
        <v>15.61</v>
      </c>
      <c r="H83">
        <v>15.89</v>
      </c>
      <c r="I83">
        <v>15.27</v>
      </c>
      <c r="J83">
        <v>18.11</v>
      </c>
      <c r="K83">
        <v>19.14</v>
      </c>
      <c r="L83" t="s">
        <v>64</v>
      </c>
      <c r="M83">
        <v>16.46</v>
      </c>
      <c r="N83">
        <v>17.38</v>
      </c>
      <c r="O83">
        <v>16.3</v>
      </c>
      <c r="P83">
        <v>17.07</v>
      </c>
      <c r="Q83">
        <v>17.45</v>
      </c>
      <c r="R83">
        <v>17.2</v>
      </c>
      <c r="S83">
        <v>17.54</v>
      </c>
      <c r="T83" s="2">
        <f>IF('ROS Rankings'!$AD$1,IFERROR(AVERAGE(INDEX($C83:$S83,14):INDEX($C83:$S83,17)),0),IFERROR(AVERAGE(INDEX($C83:$S83,Week+1):INDEX($C83:$S83,13)),0))</f>
        <v>16.935714285714287</v>
      </c>
      <c r="U83" s="2">
        <f t="shared" si="8"/>
        <v>16.935714285714287</v>
      </c>
      <c r="V83" s="2" t="str">
        <f t="shared" si="8"/>
        <v/>
      </c>
      <c r="W83" s="2" t="str">
        <f t="shared" si="8"/>
        <v/>
      </c>
      <c r="X83" s="2" t="str">
        <f t="shared" si="8"/>
        <v/>
      </c>
      <c r="Y83" s="2" t="str">
        <f t="shared" si="8"/>
        <v/>
      </c>
      <c r="Z83" s="2" t="str">
        <f t="shared" si="8"/>
        <v/>
      </c>
      <c r="AA83" s="23" t="str">
        <f t="shared" si="9"/>
        <v>QB17</v>
      </c>
      <c r="AB83" s="2">
        <f>$T83-VLOOKUP($B83,Scores!$AG$1:$AM$7,5,FALSE)</f>
        <v>-3.9485714285714266</v>
      </c>
      <c r="AC83" s="2">
        <f>$T83-VLOOKUP($B83,Scores!$AG$1:$AM$7,6,FALSE)</f>
        <v>-2.9680357142857119</v>
      </c>
      <c r="AD83" s="2">
        <f>$T83-VLOOKUP($B83,Scores!$AG$1:$AM$7,7,FALSE)+(ROW(A82)/1000000)</f>
        <v>-2.5642037142857097</v>
      </c>
      <c r="AE83" s="2">
        <f t="array" ref="AE83">IF('ROS Rankings'!$AD$1,IFERROR(AVERAGE(IF(INDEX($C83:$S83,14):INDEX($C83:$S83,17)="NA",0,INDEX($C83:$S83,14):INDEX($C83:$S83,17))-INDEX($AQ$2:$BG$7,MATCH($B83,$AO$2:$AO$7,0),14):INDEX($AQ$2:$BG$7,MATCH($B83,$AO$2:$AO$7,0),17)),0),IFERROR(AVERAGE(IF(INDEX($C83:$S83,Week+1):INDEX($C83:$S83,13)="NA",0,INDEX($C83:$S83,Week+1):INDEX($C83:$S83,13))-INDEX($AQ$2:$BG$7,MATCH($B83,$AO$2:$AO$7,0),Week+1):INDEX($AQ$2:$BG$7,MATCH($B83,$AO$2:$AO$7,0),13)),0))+ROW(A82)/1000000</f>
        <v>-3.6836679999999999</v>
      </c>
      <c r="AF83">
        <f t="shared" si="10"/>
        <v>186</v>
      </c>
      <c r="AG83">
        <f t="shared" si="11"/>
        <v>240</v>
      </c>
      <c r="AH83">
        <f t="shared" si="12"/>
        <v>271</v>
      </c>
      <c r="AI83">
        <f t="shared" si="13"/>
        <v>330</v>
      </c>
      <c r="AJ83" s="22">
        <f>IF(ISERROR(MATCH(A83,Rosters!$B$2:$B$155,0)),AD83,"")</f>
        <v>-2.5642037142857097</v>
      </c>
      <c r="AK83">
        <f t="shared" si="14"/>
        <v>127</v>
      </c>
      <c r="AL83" s="23">
        <f>COUNTIF(INDEX($C83:$S83,Week+1):INDEX($C83:$S83,13),"&gt;0")</f>
        <v>7</v>
      </c>
    </row>
    <row r="84" spans="1:38" x14ac:dyDescent="0.25">
      <c r="A84" t="s">
        <v>1621</v>
      </c>
      <c r="B84" t="s">
        <v>114</v>
      </c>
      <c r="C84">
        <v>0</v>
      </c>
      <c r="D84">
        <v>0</v>
      </c>
      <c r="E84" t="s">
        <v>64</v>
      </c>
      <c r="F84" t="s">
        <v>64</v>
      </c>
      <c r="G84" t="s">
        <v>64</v>
      </c>
      <c r="H84" t="s">
        <v>64</v>
      </c>
      <c r="I84" t="s">
        <v>64</v>
      </c>
      <c r="J84" t="s">
        <v>64</v>
      </c>
      <c r="K84" t="s">
        <v>64</v>
      </c>
      <c r="L84" t="s">
        <v>64</v>
      </c>
      <c r="M84" t="s">
        <v>64</v>
      </c>
      <c r="N84" t="s">
        <v>64</v>
      </c>
      <c r="O84" t="s">
        <v>64</v>
      </c>
      <c r="P84" t="s">
        <v>64</v>
      </c>
      <c r="Q84" t="s">
        <v>64</v>
      </c>
      <c r="R84" t="s">
        <v>64</v>
      </c>
      <c r="S84" t="s">
        <v>64</v>
      </c>
      <c r="T84" s="2">
        <f>IF('ROS Rankings'!$AD$1,IFERROR(AVERAGE(INDEX($C84:$S84,14):INDEX($C84:$S84,17)),0),IFERROR(AVERAGE(INDEX($C84:$S84,Week+1):INDEX($C84:$S84,13)),0))</f>
        <v>0</v>
      </c>
      <c r="U84" s="2" t="str">
        <f t="shared" si="8"/>
        <v/>
      </c>
      <c r="V84" s="2" t="str">
        <f t="shared" si="8"/>
        <v/>
      </c>
      <c r="W84" s="2" t="str">
        <f t="shared" si="8"/>
        <v/>
      </c>
      <c r="X84" s="2">
        <f t="shared" si="8"/>
        <v>0</v>
      </c>
      <c r="Y84" s="2" t="str">
        <f t="shared" si="8"/>
        <v/>
      </c>
      <c r="Z84" s="2" t="str">
        <f t="shared" si="8"/>
        <v/>
      </c>
      <c r="AA84" s="23" t="str">
        <f t="shared" si="9"/>
        <v>TE102</v>
      </c>
      <c r="AB84" s="2">
        <f>$T84-VLOOKUP($B84,Scores!$AG$1:$AM$7,5,FALSE)</f>
        <v>-6.9987499999999994</v>
      </c>
      <c r="AC84" s="2">
        <f>$T84-VLOOKUP($B84,Scores!$AG$1:$AM$7,6,FALSE)</f>
        <v>-5.25</v>
      </c>
      <c r="AD84" s="2">
        <f>$T84-VLOOKUP($B84,Scores!$AG$1:$AM$7,7,FALSE)+(ROW(A83)/1000000)</f>
        <v>-5.1799169999999997</v>
      </c>
      <c r="AE84" s="2">
        <f t="array" ref="AE84">IF('ROS Rankings'!$AD$1,IFERROR(AVERAGE(IF(INDEX($C84:$S84,14):INDEX($C84:$S84,17)="NA",0,INDEX($C84:$S84,14):INDEX($C84:$S84,17))-INDEX($AQ$2:$BG$7,MATCH($B84,$AO$2:$AO$7,0),14):INDEX($AQ$2:$BG$7,MATCH($B84,$AO$2:$AO$7,0),17)),0),IFERROR(AVERAGE(IF(INDEX($C84:$S84,Week+1):INDEX($C84:$S84,13)="NA",0,INDEX($C84:$S84,Week+1):INDEX($C84:$S84,13))-INDEX($AQ$2:$BG$7,MATCH($B84,$AO$2:$AO$7,0),Week+1):INDEX($AQ$2:$BG$7,MATCH($B84,$AO$2:$AO$7,0),13)),0))+ROW(A83)/1000000</f>
        <v>-5.0974170000000001</v>
      </c>
      <c r="AF84">
        <f t="shared" si="10"/>
        <v>346</v>
      </c>
      <c r="AG84">
        <f t="shared" si="11"/>
        <v>362</v>
      </c>
      <c r="AH84">
        <f t="shared" si="12"/>
        <v>420</v>
      </c>
      <c r="AI84">
        <f t="shared" si="13"/>
        <v>501</v>
      </c>
      <c r="AJ84" s="22">
        <f>IF(ISERROR(MATCH(A84,Rosters!$B$2:$B$155,0)),AD84,"")</f>
        <v>-5.1799169999999997</v>
      </c>
      <c r="AK84">
        <f t="shared" si="14"/>
        <v>268</v>
      </c>
      <c r="AL84" s="23">
        <f>COUNTIF(INDEX($C84:$S84,Week+1):INDEX($C84:$S84,13),"&gt;0")</f>
        <v>0</v>
      </c>
    </row>
    <row r="85" spans="1:38" x14ac:dyDescent="0.25">
      <c r="A85" t="s">
        <v>311</v>
      </c>
      <c r="B85" t="s">
        <v>15</v>
      </c>
      <c r="C85">
        <v>0.46</v>
      </c>
      <c r="D85">
        <v>0.54</v>
      </c>
      <c r="E85">
        <v>0.57999999999999996</v>
      </c>
      <c r="F85">
        <v>0.35</v>
      </c>
      <c r="G85">
        <v>0.47</v>
      </c>
      <c r="H85">
        <v>0.52</v>
      </c>
      <c r="I85">
        <v>0.56999999999999995</v>
      </c>
      <c r="J85">
        <v>0.47</v>
      </c>
      <c r="K85">
        <v>0.47</v>
      </c>
      <c r="L85">
        <v>0.44</v>
      </c>
      <c r="M85">
        <v>0.56999999999999995</v>
      </c>
      <c r="N85" t="s">
        <v>64</v>
      </c>
      <c r="O85">
        <v>0.54</v>
      </c>
      <c r="P85">
        <v>0.43</v>
      </c>
      <c r="Q85">
        <v>0.59</v>
      </c>
      <c r="R85">
        <v>0.46</v>
      </c>
      <c r="S85">
        <v>0.56999999999999995</v>
      </c>
      <c r="T85" s="2">
        <f>IF('ROS Rankings'!$AD$1,IFERROR(AVERAGE(INDEX($C85:$S85,14):INDEX($C85:$S85,17)),0),IFERROR(AVERAGE(INDEX($C85:$S85,Week+1):INDEX($C85:$S85,13)),0))</f>
        <v>0.51142857142857134</v>
      </c>
      <c r="U85" s="2">
        <f t="shared" si="8"/>
        <v>0.51142857142857134</v>
      </c>
      <c r="V85" s="2" t="str">
        <f t="shared" si="8"/>
        <v/>
      </c>
      <c r="W85" s="2" t="str">
        <f t="shared" si="8"/>
        <v/>
      </c>
      <c r="X85" s="2" t="str">
        <f t="shared" si="8"/>
        <v/>
      </c>
      <c r="Y85" s="2" t="str">
        <f t="shared" si="8"/>
        <v/>
      </c>
      <c r="Z85" s="2" t="str">
        <f t="shared" si="8"/>
        <v/>
      </c>
      <c r="AA85" s="23" t="str">
        <f t="shared" si="9"/>
        <v>QB57</v>
      </c>
      <c r="AB85" s="2">
        <f>$T85-VLOOKUP($B85,Scores!$AG$1:$AM$7,5,FALSE)</f>
        <v>-20.372857142857143</v>
      </c>
      <c r="AC85" s="2">
        <f>$T85-VLOOKUP($B85,Scores!$AG$1:$AM$7,6,FALSE)</f>
        <v>-19.392321428571428</v>
      </c>
      <c r="AD85" s="2">
        <f>$T85-VLOOKUP($B85,Scores!$AG$1:$AM$7,7,FALSE)+(ROW(A84)/1000000)</f>
        <v>-18.988487428571425</v>
      </c>
      <c r="AE85" s="2">
        <f t="array" ref="AE85">IF('ROS Rankings'!$AD$1,IFERROR(AVERAGE(IF(INDEX($C85:$S85,14):INDEX($C85:$S85,17)="NA",0,INDEX($C85:$S85,14):INDEX($C85:$S85,17))-INDEX($AQ$2:$BG$7,MATCH($B85,$AO$2:$AO$7,0),14):INDEX($AQ$2:$BG$7,MATCH($B85,$AO$2:$AO$7,0),17)),0),IFERROR(AVERAGE(IF(INDEX($C85:$S85,Week+1):INDEX($C85:$S85,13)="NA",0,INDEX($C85:$S85,Week+1):INDEX($C85:$S85,13))-INDEX($AQ$2:$BG$7,MATCH($B85,$AO$2:$AO$7,0),Week+1):INDEX($AQ$2:$BG$7,MATCH($B85,$AO$2:$AO$7,0),13)),0))+ROW(A84)/1000000</f>
        <v>-18.054915999999999</v>
      </c>
      <c r="AF85">
        <f t="shared" si="10"/>
        <v>548</v>
      </c>
      <c r="AG85">
        <f t="shared" si="11"/>
        <v>548</v>
      </c>
      <c r="AH85">
        <f t="shared" si="12"/>
        <v>548</v>
      </c>
      <c r="AI85">
        <f t="shared" si="13"/>
        <v>548</v>
      </c>
      <c r="AJ85" s="22">
        <f>IF(ISERROR(MATCH(A85,Rosters!$B$2:$B$155,0)),AD85,"")</f>
        <v>-18.988487428571425</v>
      </c>
      <c r="AK85">
        <f t="shared" si="14"/>
        <v>395</v>
      </c>
      <c r="AL85" s="23">
        <f>COUNTIF(INDEX($C85:$S85,Week+1):INDEX($C85:$S85,13),"&gt;0")</f>
        <v>7</v>
      </c>
    </row>
    <row r="86" spans="1:38" x14ac:dyDescent="0.25">
      <c r="A86" t="s">
        <v>1489</v>
      </c>
      <c r="B86" t="s">
        <v>87</v>
      </c>
      <c r="C86">
        <v>1.73</v>
      </c>
      <c r="D86">
        <v>1.88</v>
      </c>
      <c r="E86">
        <v>1.94</v>
      </c>
      <c r="F86">
        <v>0.78</v>
      </c>
      <c r="G86">
        <v>3.86</v>
      </c>
      <c r="H86">
        <v>3.63</v>
      </c>
      <c r="I86">
        <v>4.1900000000000004</v>
      </c>
      <c r="J86">
        <v>4.0599999999999996</v>
      </c>
      <c r="K86" t="s">
        <v>64</v>
      </c>
      <c r="L86">
        <v>3.62</v>
      </c>
      <c r="M86">
        <v>4.26</v>
      </c>
      <c r="N86">
        <v>2.72</v>
      </c>
      <c r="O86">
        <v>4.12</v>
      </c>
      <c r="P86">
        <v>4.88</v>
      </c>
      <c r="Q86">
        <v>4.59</v>
      </c>
      <c r="R86">
        <v>2.97</v>
      </c>
      <c r="S86">
        <v>3.86</v>
      </c>
      <c r="T86" s="2">
        <f>IF('ROS Rankings'!$AD$1,IFERROR(AVERAGE(INDEX($C86:$S86,14):INDEX($C86:$S86,17)),0),IFERROR(AVERAGE(INDEX($C86:$S86,Week+1):INDEX($C86:$S86,13)),0))</f>
        <v>3.8</v>
      </c>
      <c r="U86" s="2" t="str">
        <f t="shared" si="8"/>
        <v/>
      </c>
      <c r="V86" s="2" t="str">
        <f t="shared" si="8"/>
        <v/>
      </c>
      <c r="W86" s="2">
        <f t="shared" si="8"/>
        <v>3.8</v>
      </c>
      <c r="X86" s="2" t="str">
        <f t="shared" si="8"/>
        <v/>
      </c>
      <c r="Y86" s="2" t="str">
        <f t="shared" si="8"/>
        <v/>
      </c>
      <c r="Z86" s="2" t="str">
        <f t="shared" si="8"/>
        <v/>
      </c>
      <c r="AA86" s="23" t="str">
        <f t="shared" si="9"/>
        <v>WR84</v>
      </c>
      <c r="AB86" s="2">
        <f>$T86-VLOOKUP($B86,Scores!$AG$1:$AM$7,5,FALSE)</f>
        <v>-6.5714285714285703</v>
      </c>
      <c r="AC86" s="2">
        <f>$T86-VLOOKUP($B86,Scores!$AG$1:$AM$7,6,FALSE)</f>
        <v>-4.2314285714285722</v>
      </c>
      <c r="AD86" s="2">
        <f>$T86-VLOOKUP($B86,Scores!$AG$1:$AM$7,7,FALSE)+(ROW(A85)/1000000)</f>
        <v>-2.2527721428571428</v>
      </c>
      <c r="AE86" s="2">
        <f t="array" ref="AE86">IF('ROS Rankings'!$AD$1,IFERROR(AVERAGE(IF(INDEX($C86:$S86,14):INDEX($C86:$S86,17)="NA",0,INDEX($C86:$S86,14):INDEX($C86:$S86,17))-INDEX($AQ$2:$BG$7,MATCH($B86,$AO$2:$AO$7,0),14):INDEX($AQ$2:$BG$7,MATCH($B86,$AO$2:$AO$7,0),17)),0),IFERROR(AVERAGE(IF(INDEX($C86:$S86,Week+1):INDEX($C86:$S86,13)="NA",0,INDEX($C86:$S86,Week+1):INDEX($C86:$S86,13))-INDEX($AQ$2:$BG$7,MATCH($B86,$AO$2:$AO$7,0),Week+1):INDEX($AQ$2:$BG$7,MATCH($B86,$AO$2:$AO$7,0),13)),0))+ROW(A85)/1000000</f>
        <v>-2.0311650000000001</v>
      </c>
      <c r="AF86">
        <f t="shared" si="10"/>
        <v>328</v>
      </c>
      <c r="AG86">
        <f t="shared" si="11"/>
        <v>303</v>
      </c>
      <c r="AH86">
        <f t="shared" si="12"/>
        <v>258</v>
      </c>
      <c r="AI86">
        <f t="shared" si="13"/>
        <v>240</v>
      </c>
      <c r="AJ86" s="22">
        <f>IF(ISERROR(MATCH(A86,Rosters!$B$2:$B$155,0)),AD86,"")</f>
        <v>-2.2527721428571428</v>
      </c>
      <c r="AK86">
        <f t="shared" si="14"/>
        <v>114</v>
      </c>
      <c r="AL86" s="23">
        <f>COUNTIF(INDEX($C86:$S86,Week+1):INDEX($C86:$S86,13),"&gt;0")</f>
        <v>7</v>
      </c>
    </row>
    <row r="87" spans="1:38" x14ac:dyDescent="0.25">
      <c r="A87" t="s">
        <v>217</v>
      </c>
      <c r="B87" t="s">
        <v>114</v>
      </c>
      <c r="C87">
        <v>4.25</v>
      </c>
      <c r="D87">
        <v>4.32</v>
      </c>
      <c r="E87">
        <v>4.0199999999999996</v>
      </c>
      <c r="F87">
        <v>4.18</v>
      </c>
      <c r="G87">
        <v>4.51</v>
      </c>
      <c r="H87">
        <v>4.72</v>
      </c>
      <c r="I87">
        <v>4.34</v>
      </c>
      <c r="J87">
        <v>4.1500000000000004</v>
      </c>
      <c r="K87">
        <v>4.3600000000000003</v>
      </c>
      <c r="L87">
        <v>4.5199999999999996</v>
      </c>
      <c r="M87" t="s">
        <v>64</v>
      </c>
      <c r="N87">
        <v>4.24</v>
      </c>
      <c r="O87">
        <v>3.98</v>
      </c>
      <c r="P87">
        <v>4.79</v>
      </c>
      <c r="Q87">
        <v>4.21</v>
      </c>
      <c r="R87">
        <v>3.93</v>
      </c>
      <c r="S87">
        <v>4.1900000000000004</v>
      </c>
      <c r="T87" s="2">
        <f>IF('ROS Rankings'!$AD$1,IFERROR(AVERAGE(INDEX($C87:$S87,14):INDEX($C87:$S87,17)),0),IFERROR(AVERAGE(INDEX($C87:$S87,Week+1):INDEX($C87:$S87,13)),0))</f>
        <v>4.33</v>
      </c>
      <c r="U87" s="2" t="str">
        <f t="shared" si="8"/>
        <v/>
      </c>
      <c r="V87" s="2" t="str">
        <f t="shared" si="8"/>
        <v/>
      </c>
      <c r="W87" s="2" t="str">
        <f t="shared" si="8"/>
        <v/>
      </c>
      <c r="X87" s="2">
        <f t="shared" ref="X87:Z150" si="15">IF($B87=X$1,$T87,"")</f>
        <v>4.33</v>
      </c>
      <c r="Y87" s="2" t="str">
        <f t="shared" si="15"/>
        <v/>
      </c>
      <c r="Z87" s="2" t="str">
        <f t="shared" si="15"/>
        <v/>
      </c>
      <c r="AA87" s="23" t="str">
        <f t="shared" si="9"/>
        <v>TE18</v>
      </c>
      <c r="AB87" s="2">
        <f>$T87-VLOOKUP($B87,Scores!$AG$1:$AM$7,5,FALSE)</f>
        <v>-2.6687499999999993</v>
      </c>
      <c r="AC87" s="2">
        <f>$T87-VLOOKUP($B87,Scores!$AG$1:$AM$7,6,FALSE)</f>
        <v>-0.91999999999999993</v>
      </c>
      <c r="AD87" s="2">
        <f>$T87-VLOOKUP($B87,Scores!$AG$1:$AM$7,7,FALSE)+(ROW(A86)/1000000)</f>
        <v>-0.84991399999999961</v>
      </c>
      <c r="AE87" s="2">
        <f t="array" ref="AE87">IF('ROS Rankings'!$AD$1,IFERROR(AVERAGE(IF(INDEX($C87:$S87,14):INDEX($C87:$S87,17)="NA",0,INDEX($C87:$S87,14):INDEX($C87:$S87,17))-INDEX($AQ$2:$BG$7,MATCH($B87,$AO$2:$AO$7,0),14):INDEX($AQ$2:$BG$7,MATCH($B87,$AO$2:$AO$7,0),17)),0),IFERROR(AVERAGE(IF(INDEX($C87:$S87,Week+1):INDEX($C87:$S87,13)="NA",0,INDEX($C87:$S87,Week+1):INDEX($C87:$S87,13))-INDEX($AQ$2:$BG$7,MATCH($B87,$AO$2:$AO$7,0),Week+1):INDEX($AQ$2:$BG$7,MATCH($B87,$AO$2:$AO$7,0),13)),0))+ROW(A86)/1000000</f>
        <v>-1.3086639999999998</v>
      </c>
      <c r="AF87">
        <f t="shared" si="10"/>
        <v>154</v>
      </c>
      <c r="AG87">
        <f t="shared" si="11"/>
        <v>159</v>
      </c>
      <c r="AH87">
        <f t="shared" si="12"/>
        <v>195</v>
      </c>
      <c r="AI87">
        <f t="shared" si="13"/>
        <v>195</v>
      </c>
      <c r="AJ87" s="22">
        <f>IF(ISERROR(MATCH(A87,Rosters!$B$2:$B$155,0)),AD87,"")</f>
        <v>-0.84991399999999961</v>
      </c>
      <c r="AK87">
        <f t="shared" si="14"/>
        <v>60</v>
      </c>
      <c r="AL87" s="23">
        <f>COUNTIF(INDEX($C87:$S87,Week+1):INDEX($C87:$S87,13),"&gt;0")</f>
        <v>7</v>
      </c>
    </row>
    <row r="88" spans="1:38" x14ac:dyDescent="0.25">
      <c r="A88" t="s">
        <v>1126</v>
      </c>
      <c r="B88" t="s">
        <v>87</v>
      </c>
      <c r="C88">
        <v>0.6</v>
      </c>
      <c r="D88">
        <v>0.67</v>
      </c>
      <c r="E88">
        <v>0.73</v>
      </c>
      <c r="F88">
        <v>0</v>
      </c>
      <c r="G88">
        <v>0.65</v>
      </c>
      <c r="H88">
        <v>0.75</v>
      </c>
      <c r="I88">
        <v>0.72</v>
      </c>
      <c r="J88">
        <v>0.6</v>
      </c>
      <c r="K88">
        <v>0.69</v>
      </c>
      <c r="L88">
        <v>0.59</v>
      </c>
      <c r="M88" t="s">
        <v>64</v>
      </c>
      <c r="N88">
        <v>0.69</v>
      </c>
      <c r="O88">
        <v>0.78</v>
      </c>
      <c r="P88">
        <v>0.56999999999999995</v>
      </c>
      <c r="Q88">
        <v>0.72</v>
      </c>
      <c r="R88">
        <v>0.75</v>
      </c>
      <c r="S88">
        <v>0.66</v>
      </c>
      <c r="T88" s="2">
        <f>IF('ROS Rankings'!$AD$1,IFERROR(AVERAGE(INDEX($C88:$S88,14):INDEX($C88:$S88,17)),0),IFERROR(AVERAGE(INDEX($C88:$S88,Week+1):INDEX($C88:$S88,13)),0))</f>
        <v>0.6885714285714285</v>
      </c>
      <c r="U88" s="2" t="str">
        <f t="shared" ref="U88:Z151" si="16">IF($B88=U$1,$T88,"")</f>
        <v/>
      </c>
      <c r="V88" s="2" t="str">
        <f t="shared" si="16"/>
        <v/>
      </c>
      <c r="W88" s="2">
        <f t="shared" si="16"/>
        <v>0.6885714285714285</v>
      </c>
      <c r="X88" s="2" t="str">
        <f t="shared" si="16"/>
        <v/>
      </c>
      <c r="Y88" s="2" t="str">
        <f t="shared" si="16"/>
        <v/>
      </c>
      <c r="Z88" s="2" t="str">
        <f t="shared" si="16"/>
        <v/>
      </c>
      <c r="AA88" s="23" t="str">
        <f t="shared" si="9"/>
        <v>WR140</v>
      </c>
      <c r="AB88" s="2">
        <f>$T88-VLOOKUP($B88,Scores!$AG$1:$AM$7,5,FALSE)</f>
        <v>-9.6828571428571415</v>
      </c>
      <c r="AC88" s="2">
        <f>$T88-VLOOKUP($B88,Scores!$AG$1:$AM$7,6,FALSE)</f>
        <v>-7.3428571428571434</v>
      </c>
      <c r="AD88" s="2">
        <f>$T88-VLOOKUP($B88,Scores!$AG$1:$AM$7,7,FALSE)+(ROW(A87)/1000000)</f>
        <v>-5.3641987142857142</v>
      </c>
      <c r="AE88" s="2">
        <f t="array" ref="AE88">IF('ROS Rankings'!$AD$1,IFERROR(AVERAGE(IF(INDEX($C88:$S88,14):INDEX($C88:$S88,17)="NA",0,INDEX($C88:$S88,14):INDEX($C88:$S88,17))-INDEX($AQ$2:$BG$7,MATCH($B88,$AO$2:$AO$7,0),14):INDEX($AQ$2:$BG$7,MATCH($B88,$AO$2:$AO$7,0),17)),0),IFERROR(AVERAGE(IF(INDEX($C88:$S88,Week+1):INDEX($C88:$S88,13)="NA",0,INDEX($C88:$S88,Week+1):INDEX($C88:$S88,13))-INDEX($AQ$2:$BG$7,MATCH($B88,$AO$2:$AO$7,0),Week+1):INDEX($AQ$2:$BG$7,MATCH($B88,$AO$2:$AO$7,0),13)),0))+ROW(A87)/1000000</f>
        <v>-4.7536630000000013</v>
      </c>
      <c r="AF88">
        <f t="shared" si="10"/>
        <v>415</v>
      </c>
      <c r="AG88">
        <f t="shared" si="11"/>
        <v>430</v>
      </c>
      <c r="AH88">
        <f t="shared" si="12"/>
        <v>460</v>
      </c>
      <c r="AI88">
        <f t="shared" si="13"/>
        <v>426</v>
      </c>
      <c r="AJ88" s="22">
        <f>IF(ISERROR(MATCH(A88,Rosters!$B$2:$B$155,0)),AD88,"")</f>
        <v>-5.3641987142857142</v>
      </c>
      <c r="AK88">
        <f t="shared" si="14"/>
        <v>308</v>
      </c>
      <c r="AL88" s="23">
        <f>COUNTIF(INDEX($C88:$S88,Week+1):INDEX($C88:$S88,13),"&gt;0")</f>
        <v>7</v>
      </c>
    </row>
    <row r="89" spans="1:38" x14ac:dyDescent="0.25">
      <c r="A89" t="s">
        <v>384</v>
      </c>
      <c r="B89" t="s">
        <v>15</v>
      </c>
      <c r="C89">
        <v>0.75</v>
      </c>
      <c r="D89">
        <v>0.76</v>
      </c>
      <c r="E89">
        <v>0.79</v>
      </c>
      <c r="F89">
        <v>0.91</v>
      </c>
      <c r="G89" t="s">
        <v>64</v>
      </c>
      <c r="H89">
        <v>0.83</v>
      </c>
      <c r="I89">
        <v>0.9</v>
      </c>
      <c r="J89">
        <v>0.78</v>
      </c>
      <c r="K89">
        <v>0.81</v>
      </c>
      <c r="L89">
        <v>0.89</v>
      </c>
      <c r="M89">
        <v>0.78</v>
      </c>
      <c r="N89">
        <v>0.84</v>
      </c>
      <c r="O89">
        <v>0.87</v>
      </c>
      <c r="P89">
        <v>0.8</v>
      </c>
      <c r="Q89">
        <v>0.88</v>
      </c>
      <c r="R89">
        <v>0.8</v>
      </c>
      <c r="S89">
        <v>0.73</v>
      </c>
      <c r="T89" s="2">
        <f>IF('ROS Rankings'!$AD$1,IFERROR(AVERAGE(INDEX($C89:$S89,14):INDEX($C89:$S89,17)),0),IFERROR(AVERAGE(INDEX($C89:$S89,Week+1):INDEX($C89:$S89,13)),0))</f>
        <v>0.83750000000000002</v>
      </c>
      <c r="U89" s="2">
        <f t="shared" si="16"/>
        <v>0.83750000000000002</v>
      </c>
      <c r="V89" s="2" t="str">
        <f t="shared" si="16"/>
        <v/>
      </c>
      <c r="W89" s="2" t="str">
        <f t="shared" si="16"/>
        <v/>
      </c>
      <c r="X89" s="2" t="str">
        <f t="shared" si="16"/>
        <v/>
      </c>
      <c r="Y89" s="2" t="str">
        <f t="shared" si="16"/>
        <v/>
      </c>
      <c r="Z89" s="2" t="str">
        <f t="shared" si="16"/>
        <v/>
      </c>
      <c r="AA89" s="23" t="str">
        <f t="shared" si="9"/>
        <v>QB45</v>
      </c>
      <c r="AB89" s="2">
        <f>$T89-VLOOKUP($B89,Scores!$AG$1:$AM$7,5,FALSE)</f>
        <v>-20.046785714285715</v>
      </c>
      <c r="AC89" s="2">
        <f>$T89-VLOOKUP($B89,Scores!$AG$1:$AM$7,6,FALSE)</f>
        <v>-19.06625</v>
      </c>
      <c r="AD89" s="2">
        <f>$T89-VLOOKUP($B89,Scores!$AG$1:$AM$7,7,FALSE)+(ROW(A88)/1000000)</f>
        <v>-18.662411999999996</v>
      </c>
      <c r="AE89" s="2">
        <f t="array" ref="AE89">IF('ROS Rankings'!$AD$1,IFERROR(AVERAGE(IF(INDEX($C89:$S89,14):INDEX($C89:$S89,17)="NA",0,INDEX($C89:$S89,14):INDEX($C89:$S89,17))-INDEX($AQ$2:$BG$7,MATCH($B89,$AO$2:$AO$7,0),14):INDEX($AQ$2:$BG$7,MATCH($B89,$AO$2:$AO$7,0),17)),0),IFERROR(AVERAGE(IF(INDEX($C89:$S89,Week+1):INDEX($C89:$S89,13)="NA",0,INDEX($C89:$S89,Week+1):INDEX($C89:$S89,13))-INDEX($AQ$2:$BG$7,MATCH($B89,$AO$2:$AO$7,0),Week+1):INDEX($AQ$2:$BG$7,MATCH($B89,$AO$2:$AO$7,0),13)),0))+ROW(A88)/1000000</f>
        <v>-17.664911999999998</v>
      </c>
      <c r="AF89">
        <f t="shared" si="10"/>
        <v>536</v>
      </c>
      <c r="AG89">
        <f t="shared" si="11"/>
        <v>536</v>
      </c>
      <c r="AH89">
        <f t="shared" si="12"/>
        <v>536</v>
      </c>
      <c r="AI89">
        <f t="shared" si="13"/>
        <v>533</v>
      </c>
      <c r="AJ89" s="22">
        <f>IF(ISERROR(MATCH(A89,Rosters!$B$2:$B$155,0)),AD89,"")</f>
        <v>-18.662411999999996</v>
      </c>
      <c r="AK89">
        <f t="shared" si="14"/>
        <v>383</v>
      </c>
      <c r="AL89" s="23">
        <f>COUNTIF(INDEX($C89:$S89,Week+1):INDEX($C89:$S89,13),"&gt;0")</f>
        <v>8</v>
      </c>
    </row>
    <row r="90" spans="1:38" x14ac:dyDescent="0.25">
      <c r="A90" t="s">
        <v>1432</v>
      </c>
      <c r="B90" t="s">
        <v>47</v>
      </c>
      <c r="C90">
        <v>4.47</v>
      </c>
      <c r="D90">
        <v>3.93</v>
      </c>
      <c r="E90">
        <v>4.04</v>
      </c>
      <c r="F90">
        <v>3.81</v>
      </c>
      <c r="G90">
        <v>4.03</v>
      </c>
      <c r="H90">
        <v>3.41</v>
      </c>
      <c r="I90">
        <v>3.34</v>
      </c>
      <c r="J90">
        <v>4.2699999999999996</v>
      </c>
      <c r="K90" t="s">
        <v>64</v>
      </c>
      <c r="L90">
        <v>4.4000000000000004</v>
      </c>
      <c r="M90">
        <v>4.7</v>
      </c>
      <c r="N90">
        <v>3.63</v>
      </c>
      <c r="O90">
        <v>3.76</v>
      </c>
      <c r="P90">
        <v>4.18</v>
      </c>
      <c r="Q90">
        <v>3.65</v>
      </c>
      <c r="R90">
        <v>3.77</v>
      </c>
      <c r="S90">
        <v>3.1</v>
      </c>
      <c r="T90" s="2">
        <f>IF('ROS Rankings'!$AD$1,IFERROR(AVERAGE(INDEX($C90:$S90,14):INDEX($C90:$S90,17)),0),IFERROR(AVERAGE(INDEX($C90:$S90,Week+1):INDEX($C90:$S90,13)),0))</f>
        <v>3.9299999999999997</v>
      </c>
      <c r="U90" s="2" t="str">
        <f t="shared" si="16"/>
        <v/>
      </c>
      <c r="V90" s="2">
        <f t="shared" si="16"/>
        <v>3.9299999999999997</v>
      </c>
      <c r="W90" s="2" t="str">
        <f t="shared" si="16"/>
        <v/>
      </c>
      <c r="X90" s="2" t="str">
        <f t="shared" si="16"/>
        <v/>
      </c>
      <c r="Y90" s="2" t="str">
        <f t="shared" si="16"/>
        <v/>
      </c>
      <c r="Z90" s="2" t="str">
        <f t="shared" si="16"/>
        <v/>
      </c>
      <c r="AA90" s="23" t="str">
        <f t="shared" si="9"/>
        <v>RB65</v>
      </c>
      <c r="AB90" s="2">
        <f>$T90-VLOOKUP($B90,Scores!$AG$1:$AM$7,5,FALSE)</f>
        <v>-7.8285714285714292</v>
      </c>
      <c r="AC90" s="2">
        <f>$T90-VLOOKUP($B90,Scores!$AG$1:$AM$7,6,FALSE)</f>
        <v>-4.3400000000000016</v>
      </c>
      <c r="AD90" s="2">
        <f>$T90-VLOOKUP($B90,Scores!$AG$1:$AM$7,7,FALSE)+(ROW(A89)/1000000)</f>
        <v>-1.9384824285714295</v>
      </c>
      <c r="AE90" s="2">
        <f t="array" ref="AE90">IF('ROS Rankings'!$AD$1,IFERROR(AVERAGE(IF(INDEX($C90:$S90,14):INDEX($C90:$S90,17)="NA",0,INDEX($C90:$S90,14):INDEX($C90:$S90,17))-INDEX($AQ$2:$BG$7,MATCH($B90,$AO$2:$AO$7,0),14):INDEX($AQ$2:$BG$7,MATCH($B90,$AO$2:$AO$7,0),17)),0),IFERROR(AVERAGE(IF(INDEX($C90:$S90,Week+1):INDEX($C90:$S90,13)="NA",0,INDEX($C90:$S90,Week+1):INDEX($C90:$S90,13))-INDEX($AQ$2:$BG$7,MATCH($B90,$AO$2:$AO$7,0),Week+1):INDEX($AQ$2:$BG$7,MATCH($B90,$AO$2:$AO$7,0),13)),0))+ROW(A89)/1000000</f>
        <v>-1.9211609999999997</v>
      </c>
      <c r="AF90">
        <f t="shared" si="10"/>
        <v>374</v>
      </c>
      <c r="AG90">
        <f t="shared" si="11"/>
        <v>307</v>
      </c>
      <c r="AH90">
        <f t="shared" si="12"/>
        <v>245</v>
      </c>
      <c r="AI90">
        <f t="shared" si="13"/>
        <v>234</v>
      </c>
      <c r="AJ90" s="22">
        <f>IF(ISERROR(MATCH(A90,Rosters!$B$2:$B$155,0)),AD90,"")</f>
        <v>-1.9384824285714295</v>
      </c>
      <c r="AK90">
        <f t="shared" si="14"/>
        <v>101</v>
      </c>
      <c r="AL90" s="23">
        <f>COUNTIF(INDEX($C90:$S90,Week+1):INDEX($C90:$S90,13),"&gt;0")</f>
        <v>7</v>
      </c>
    </row>
    <row r="91" spans="1:38" x14ac:dyDescent="0.25">
      <c r="A91" t="s">
        <v>305</v>
      </c>
      <c r="B91" t="s">
        <v>87</v>
      </c>
      <c r="C91">
        <v>3.47</v>
      </c>
      <c r="D91">
        <v>2.78</v>
      </c>
      <c r="E91">
        <v>2.6</v>
      </c>
      <c r="F91">
        <v>2.78</v>
      </c>
      <c r="G91">
        <v>6.73</v>
      </c>
      <c r="H91">
        <v>3.06</v>
      </c>
      <c r="I91">
        <v>3.37</v>
      </c>
      <c r="J91">
        <v>3.7</v>
      </c>
      <c r="K91" t="s">
        <v>64</v>
      </c>
      <c r="L91">
        <v>3.23</v>
      </c>
      <c r="M91">
        <v>4.04</v>
      </c>
      <c r="N91">
        <v>3.54</v>
      </c>
      <c r="O91">
        <v>3.14</v>
      </c>
      <c r="P91">
        <v>3.58</v>
      </c>
      <c r="Q91">
        <v>3.32</v>
      </c>
      <c r="R91">
        <v>3.57</v>
      </c>
      <c r="S91">
        <v>3.88</v>
      </c>
      <c r="T91" s="2">
        <f>IF('ROS Rankings'!$AD$1,IFERROR(AVERAGE(INDEX($C91:$S91,14):INDEX($C91:$S91,17)),0),IFERROR(AVERAGE(INDEX($C91:$S91,Week+1):INDEX($C91:$S91,13)),0))</f>
        <v>3.44</v>
      </c>
      <c r="U91" s="2" t="str">
        <f t="shared" si="16"/>
        <v/>
      </c>
      <c r="V91" s="2" t="str">
        <f t="shared" si="16"/>
        <v/>
      </c>
      <c r="W91" s="2">
        <f t="shared" si="16"/>
        <v>3.44</v>
      </c>
      <c r="X91" s="2" t="str">
        <f t="shared" si="16"/>
        <v/>
      </c>
      <c r="Y91" s="2" t="str">
        <f t="shared" si="16"/>
        <v/>
      </c>
      <c r="Z91" s="2" t="str">
        <f t="shared" si="16"/>
        <v/>
      </c>
      <c r="AA91" s="23" t="str">
        <f t="shared" si="9"/>
        <v>WR88</v>
      </c>
      <c r="AB91" s="2">
        <f>$T91-VLOOKUP($B91,Scores!$AG$1:$AM$7,5,FALSE)</f>
        <v>-6.9314285714285706</v>
      </c>
      <c r="AC91" s="2">
        <f>$T91-VLOOKUP($B91,Scores!$AG$1:$AM$7,6,FALSE)</f>
        <v>-4.5914285714285725</v>
      </c>
      <c r="AD91" s="2">
        <f>$T91-VLOOKUP($B91,Scores!$AG$1:$AM$7,7,FALSE)+(ROW(A90)/1000000)</f>
        <v>-2.6127671428571424</v>
      </c>
      <c r="AE91" s="2">
        <f t="array" ref="AE91">IF('ROS Rankings'!$AD$1,IFERROR(AVERAGE(IF(INDEX($C91:$S91,14):INDEX($C91:$S91,17)="NA",0,INDEX($C91:$S91,14):INDEX($C91:$S91,17))-INDEX($AQ$2:$BG$7,MATCH($B91,$AO$2:$AO$7,0),14):INDEX($AQ$2:$BG$7,MATCH($B91,$AO$2:$AO$7,0),17)),0),IFERROR(AVERAGE(IF(INDEX($C91:$S91,Week+1):INDEX($C91:$S91,13)="NA",0,INDEX($C91:$S91,Week+1):INDEX($C91:$S91,13))-INDEX($AQ$2:$BG$7,MATCH($B91,$AO$2:$AO$7,0),Week+1):INDEX($AQ$2:$BG$7,MATCH($B91,$AO$2:$AO$7,0),13)),0))+ROW(A90)/1000000</f>
        <v>-2.3461599999999998</v>
      </c>
      <c r="AF91">
        <f t="shared" si="10"/>
        <v>342</v>
      </c>
      <c r="AG91">
        <f t="shared" si="11"/>
        <v>316</v>
      </c>
      <c r="AH91">
        <f t="shared" si="12"/>
        <v>273</v>
      </c>
      <c r="AI91">
        <f t="shared" si="13"/>
        <v>256</v>
      </c>
      <c r="AJ91" s="22">
        <f>IF(ISERROR(MATCH(A91,Rosters!$B$2:$B$155,0)),AD91,"")</f>
        <v>-2.6127671428571424</v>
      </c>
      <c r="AK91">
        <f t="shared" si="14"/>
        <v>129</v>
      </c>
      <c r="AL91" s="23">
        <f>COUNTIF(INDEX($C91:$S91,Week+1):INDEX($C91:$S91,13),"&gt;0")</f>
        <v>7</v>
      </c>
    </row>
    <row r="92" spans="1:38" x14ac:dyDescent="0.25">
      <c r="A92" t="s">
        <v>834</v>
      </c>
      <c r="B92" t="s">
        <v>47</v>
      </c>
      <c r="C92">
        <v>7.79</v>
      </c>
      <c r="D92">
        <v>7.98</v>
      </c>
      <c r="E92">
        <v>6</v>
      </c>
      <c r="F92">
        <v>0</v>
      </c>
      <c r="G92">
        <v>7.35</v>
      </c>
      <c r="H92">
        <v>7.26</v>
      </c>
      <c r="I92" t="s">
        <v>64</v>
      </c>
      <c r="J92">
        <v>7.08</v>
      </c>
      <c r="K92">
        <v>7.64</v>
      </c>
      <c r="L92">
        <v>7.11</v>
      </c>
      <c r="M92">
        <v>7.42</v>
      </c>
      <c r="N92">
        <v>6.73</v>
      </c>
      <c r="O92">
        <v>7.28</v>
      </c>
      <c r="P92">
        <v>6.72</v>
      </c>
      <c r="Q92">
        <v>6.77</v>
      </c>
      <c r="R92">
        <v>8.0399999999999991</v>
      </c>
      <c r="S92">
        <v>6.41</v>
      </c>
      <c r="T92" s="2">
        <f>IF('ROS Rankings'!$AD$1,IFERROR(AVERAGE(INDEX($C92:$S92,14):INDEX($C92:$S92,17)),0),IFERROR(AVERAGE(INDEX($C92:$S92,Week+1):INDEX($C92:$S92,13)),0))</f>
        <v>7.2171428571428562</v>
      </c>
      <c r="U92" s="2" t="str">
        <f t="shared" si="16"/>
        <v/>
      </c>
      <c r="V92" s="2">
        <f t="shared" si="16"/>
        <v>7.2171428571428562</v>
      </c>
      <c r="W92" s="2" t="str">
        <f t="shared" si="16"/>
        <v/>
      </c>
      <c r="X92" s="2" t="str">
        <f t="shared" si="16"/>
        <v/>
      </c>
      <c r="Y92" s="2" t="str">
        <f t="shared" si="16"/>
        <v/>
      </c>
      <c r="Z92" s="2" t="str">
        <f t="shared" si="16"/>
        <v/>
      </c>
      <c r="AA92" s="23" t="str">
        <f t="shared" si="9"/>
        <v>RB36</v>
      </c>
      <c r="AB92" s="2">
        <f>$T92-VLOOKUP($B92,Scores!$AG$1:$AM$7,5,FALSE)</f>
        <v>-4.5414285714285727</v>
      </c>
      <c r="AC92" s="2">
        <f>$T92-VLOOKUP($B92,Scores!$AG$1:$AM$7,6,FALSE)</f>
        <v>-1.0528571428571452</v>
      </c>
      <c r="AD92" s="2">
        <f>$T92-VLOOKUP($B92,Scores!$AG$1:$AM$7,7,FALSE)+(ROW(A91)/1000000)</f>
        <v>1.348662428571427</v>
      </c>
      <c r="AE92" s="2">
        <f t="array" ref="AE92">IF('ROS Rankings'!$AD$1,IFERROR(AVERAGE(IF(INDEX($C92:$S92,14):INDEX($C92:$S92,17)="NA",0,INDEX($C92:$S92,14):INDEX($C92:$S92,17))-INDEX($AQ$2:$BG$7,MATCH($B92,$AO$2:$AO$7,0),14):INDEX($AQ$2:$BG$7,MATCH($B92,$AO$2:$AO$7,0),17)),0),IFERROR(AVERAGE(IF(INDEX($C92:$S92,Week+1):INDEX($C92:$S92,13)="NA",0,INDEX($C92:$S92,Week+1):INDEX($C92:$S92,13))-INDEX($AQ$2:$BG$7,MATCH($B92,$AO$2:$AO$7,0),Week+1):INDEX($AQ$2:$BG$7,MATCH($B92,$AO$2:$AO$7,0),13)),0))+ROW(A91)/1000000</f>
        <v>0.95509100000000013</v>
      </c>
      <c r="AF92">
        <f t="shared" si="10"/>
        <v>217</v>
      </c>
      <c r="AG92">
        <f t="shared" si="11"/>
        <v>162</v>
      </c>
      <c r="AH92">
        <f t="shared" si="12"/>
        <v>92</v>
      </c>
      <c r="AI92">
        <f t="shared" si="13"/>
        <v>89</v>
      </c>
      <c r="AJ92" s="22" t="str">
        <f>IF(ISERROR(MATCH(A92,Rosters!$B$2:$B$155,0)),AD92,"")</f>
        <v/>
      </c>
      <c r="AK92" t="str">
        <f t="shared" si="14"/>
        <v/>
      </c>
      <c r="AL92" s="23">
        <f>COUNTIF(INDEX($C92:$S92,Week+1):INDEX($C92:$S92,13),"&gt;0")</f>
        <v>7</v>
      </c>
    </row>
    <row r="93" spans="1:38" x14ac:dyDescent="0.25">
      <c r="A93" t="s">
        <v>1124</v>
      </c>
      <c r="B93" t="s">
        <v>87</v>
      </c>
      <c r="C93">
        <v>2.15</v>
      </c>
      <c r="D93">
        <v>2.5099999999999998</v>
      </c>
      <c r="E93">
        <v>3.21</v>
      </c>
      <c r="F93">
        <v>3.54</v>
      </c>
      <c r="G93">
        <v>4.03</v>
      </c>
      <c r="H93">
        <v>2.3199999999999998</v>
      </c>
      <c r="I93">
        <v>2.73</v>
      </c>
      <c r="J93">
        <v>2.64</v>
      </c>
      <c r="K93">
        <v>2.48</v>
      </c>
      <c r="L93">
        <v>2.87</v>
      </c>
      <c r="M93">
        <v>2.81</v>
      </c>
      <c r="N93" t="s">
        <v>64</v>
      </c>
      <c r="O93">
        <v>3.17</v>
      </c>
      <c r="P93">
        <v>2.74</v>
      </c>
      <c r="Q93">
        <v>2.69</v>
      </c>
      <c r="R93">
        <v>2.5499999999999998</v>
      </c>
      <c r="S93">
        <v>3.3</v>
      </c>
      <c r="T93" s="2">
        <f>IF('ROS Rankings'!$AD$1,IFERROR(AVERAGE(INDEX($C93:$S93,14):INDEX($C93:$S93,17)),0),IFERROR(AVERAGE(INDEX($C93:$S93,Week+1):INDEX($C93:$S93,13)),0))</f>
        <v>2.7171428571428571</v>
      </c>
      <c r="U93" s="2" t="str">
        <f t="shared" si="16"/>
        <v/>
      </c>
      <c r="V93" s="2" t="str">
        <f t="shared" si="16"/>
        <v/>
      </c>
      <c r="W93" s="2">
        <f t="shared" si="16"/>
        <v>2.7171428571428571</v>
      </c>
      <c r="X93" s="2" t="str">
        <f t="shared" si="16"/>
        <v/>
      </c>
      <c r="Y93" s="2" t="str">
        <f t="shared" si="16"/>
        <v/>
      </c>
      <c r="Z93" s="2" t="str">
        <f t="shared" si="16"/>
        <v/>
      </c>
      <c r="AA93" s="23" t="str">
        <f t="shared" si="9"/>
        <v>WR103</v>
      </c>
      <c r="AB93" s="2">
        <f>$T93-VLOOKUP($B93,Scores!$AG$1:$AM$7,5,FALSE)</f>
        <v>-7.654285714285713</v>
      </c>
      <c r="AC93" s="2">
        <f>$T93-VLOOKUP($B93,Scores!$AG$1:$AM$7,6,FALSE)</f>
        <v>-5.3142857142857149</v>
      </c>
      <c r="AD93" s="2">
        <f>$T93-VLOOKUP($B93,Scores!$AG$1:$AM$7,7,FALSE)+(ROW(A92)/1000000)</f>
        <v>-3.3356222857142854</v>
      </c>
      <c r="AE93" s="2">
        <f t="array" ref="AE93">IF('ROS Rankings'!$AD$1,IFERROR(AVERAGE(IF(INDEX($C93:$S93,14):INDEX($C93:$S93,17)="NA",0,INDEX($C93:$S93,14):INDEX($C93:$S93,17))-INDEX($AQ$2:$BG$7,MATCH($B93,$AO$2:$AO$7,0),14):INDEX($AQ$2:$BG$7,MATCH($B93,$AO$2:$AO$7,0),17)),0),IFERROR(AVERAGE(IF(INDEX($C93:$S93,Week+1):INDEX($C93:$S93,13)="NA",0,INDEX($C93:$S93,Week+1):INDEX($C93:$S93,13))-INDEX($AQ$2:$BG$7,MATCH($B93,$AO$2:$AO$7,0),Week+1):INDEX($AQ$2:$BG$7,MATCH($B93,$AO$2:$AO$7,0),13)),0))+ROW(A92)/1000000</f>
        <v>-2.9786579999999998</v>
      </c>
      <c r="AF93">
        <f t="shared" si="10"/>
        <v>367</v>
      </c>
      <c r="AG93">
        <f t="shared" si="11"/>
        <v>369</v>
      </c>
      <c r="AH93">
        <f t="shared" si="12"/>
        <v>318</v>
      </c>
      <c r="AI93">
        <f t="shared" si="13"/>
        <v>293</v>
      </c>
      <c r="AJ93" s="22">
        <f>IF(ISERROR(MATCH(A93,Rosters!$B$2:$B$155,0)),AD93,"")</f>
        <v>-3.3356222857142854</v>
      </c>
      <c r="AK93">
        <f t="shared" si="14"/>
        <v>168</v>
      </c>
      <c r="AL93" s="23">
        <f>COUNTIF(INDEX($C93:$S93,Week+1):INDEX($C93:$S93,13),"&gt;0")</f>
        <v>7</v>
      </c>
    </row>
    <row r="94" spans="1:38" x14ac:dyDescent="0.25">
      <c r="A94" t="s">
        <v>1396</v>
      </c>
      <c r="B94" t="s">
        <v>87</v>
      </c>
      <c r="C94">
        <v>4.3600000000000003</v>
      </c>
      <c r="D94">
        <v>5.1100000000000003</v>
      </c>
      <c r="E94">
        <v>4.49</v>
      </c>
      <c r="F94">
        <v>5.58</v>
      </c>
      <c r="G94" t="s">
        <v>64</v>
      </c>
      <c r="H94">
        <v>3.73</v>
      </c>
      <c r="I94">
        <v>3.53</v>
      </c>
      <c r="J94">
        <v>4.0999999999999996</v>
      </c>
      <c r="K94">
        <v>4.18</v>
      </c>
      <c r="L94">
        <v>4.96</v>
      </c>
      <c r="M94">
        <v>4.2699999999999996</v>
      </c>
      <c r="N94">
        <v>3.64</v>
      </c>
      <c r="O94">
        <v>4.3099999999999996</v>
      </c>
      <c r="P94">
        <v>3.7</v>
      </c>
      <c r="Q94">
        <v>5.13</v>
      </c>
      <c r="R94">
        <v>4.13</v>
      </c>
      <c r="S94">
        <v>3.86</v>
      </c>
      <c r="T94" s="2">
        <f>IF('ROS Rankings'!$AD$1,IFERROR(AVERAGE(INDEX($C94:$S94,14):INDEX($C94:$S94,17)),0),IFERROR(AVERAGE(INDEX($C94:$S94,Week+1):INDEX($C94:$S94,13)),0))</f>
        <v>4.09</v>
      </c>
      <c r="U94" s="2" t="str">
        <f t="shared" si="16"/>
        <v/>
      </c>
      <c r="V94" s="2" t="str">
        <f t="shared" si="16"/>
        <v/>
      </c>
      <c r="W94" s="2">
        <f t="shared" si="16"/>
        <v>4.09</v>
      </c>
      <c r="X94" s="2" t="str">
        <f t="shared" si="16"/>
        <v/>
      </c>
      <c r="Y94" s="2" t="str">
        <f t="shared" si="16"/>
        <v/>
      </c>
      <c r="Z94" s="2" t="str">
        <f t="shared" si="16"/>
        <v/>
      </c>
      <c r="AA94" s="23" t="str">
        <f t="shared" si="9"/>
        <v>WR79</v>
      </c>
      <c r="AB94" s="2">
        <f>$T94-VLOOKUP($B94,Scores!$AG$1:$AM$7,5,FALSE)</f>
        <v>-6.2814285714285703</v>
      </c>
      <c r="AC94" s="2">
        <f>$T94-VLOOKUP($B94,Scores!$AG$1:$AM$7,6,FALSE)</f>
        <v>-3.9414285714285722</v>
      </c>
      <c r="AD94" s="2">
        <f>$T94-VLOOKUP($B94,Scores!$AG$1:$AM$7,7,FALSE)+(ROW(A93)/1000000)</f>
        <v>-1.9627641428571427</v>
      </c>
      <c r="AE94" s="2">
        <f t="array" ref="AE94">IF('ROS Rankings'!$AD$1,IFERROR(AVERAGE(IF(INDEX($C94:$S94,14):INDEX($C94:$S94,17)="NA",0,INDEX($C94:$S94,14):INDEX($C94:$S94,17))-INDEX($AQ$2:$BG$7,MATCH($B94,$AO$2:$AO$7,0),14):INDEX($AQ$2:$BG$7,MATCH($B94,$AO$2:$AO$7,0),17)),0),IFERROR(AVERAGE(IF(INDEX($C94:$S94,Week+1):INDEX($C94:$S94,13)="NA",0,INDEX($C94:$S94,Week+1):INDEX($C94:$S94,13))-INDEX($AQ$2:$BG$7,MATCH($B94,$AO$2:$AO$7,0),Week+1):INDEX($AQ$2:$BG$7,MATCH($B94,$AO$2:$AO$7,0),13)),0))+ROW(A93)/1000000</f>
        <v>-1.2661570000000004</v>
      </c>
      <c r="AF94">
        <f t="shared" si="10"/>
        <v>291</v>
      </c>
      <c r="AG94">
        <f t="shared" si="11"/>
        <v>295</v>
      </c>
      <c r="AH94">
        <f t="shared" si="12"/>
        <v>246</v>
      </c>
      <c r="AI94">
        <f t="shared" si="13"/>
        <v>191</v>
      </c>
      <c r="AJ94" s="22">
        <f>IF(ISERROR(MATCH(A94,Rosters!$B$2:$B$155,0)),AD94,"")</f>
        <v>-1.9627641428571427</v>
      </c>
      <c r="AK94">
        <f t="shared" si="14"/>
        <v>102</v>
      </c>
      <c r="AL94" s="23">
        <f>COUNTIF(INDEX($C94:$S94,Week+1):INDEX($C94:$S94,13),"&gt;0")</f>
        <v>8</v>
      </c>
    </row>
    <row r="95" spans="1:38" x14ac:dyDescent="0.25">
      <c r="A95" t="s">
        <v>4221</v>
      </c>
      <c r="B95" t="s">
        <v>114</v>
      </c>
      <c r="C95" t="s">
        <v>64</v>
      </c>
      <c r="D95" t="s">
        <v>64</v>
      </c>
      <c r="E95">
        <v>2.91</v>
      </c>
      <c r="F95">
        <v>0.95</v>
      </c>
      <c r="G95">
        <v>0.93</v>
      </c>
      <c r="H95">
        <v>0.37</v>
      </c>
      <c r="I95">
        <v>0.45</v>
      </c>
      <c r="J95">
        <v>0.42</v>
      </c>
      <c r="K95">
        <v>0.37</v>
      </c>
      <c r="L95">
        <v>0.43</v>
      </c>
      <c r="M95" t="s">
        <v>64</v>
      </c>
      <c r="N95">
        <v>0.43</v>
      </c>
      <c r="O95">
        <v>0.45</v>
      </c>
      <c r="P95">
        <v>0.41</v>
      </c>
      <c r="Q95">
        <v>0.37</v>
      </c>
      <c r="R95">
        <v>0.4</v>
      </c>
      <c r="S95">
        <v>0.4</v>
      </c>
      <c r="T95" s="2">
        <f>IF('ROS Rankings'!$AD$1,IFERROR(AVERAGE(INDEX($C95:$S95,14):INDEX($C95:$S95,17)),0),IFERROR(AVERAGE(INDEX($C95:$S95,Week+1):INDEX($C95:$S95,13)),0))</f>
        <v>0.4171428571428572</v>
      </c>
      <c r="U95" s="2" t="str">
        <f t="shared" si="16"/>
        <v/>
      </c>
      <c r="V95" s="2" t="str">
        <f t="shared" si="16"/>
        <v/>
      </c>
      <c r="W95" s="2" t="str">
        <f t="shared" si="16"/>
        <v/>
      </c>
      <c r="X95" s="2">
        <f t="shared" si="16"/>
        <v>0.4171428571428572</v>
      </c>
      <c r="Y95" s="2" t="str">
        <f t="shared" si="16"/>
        <v/>
      </c>
      <c r="Z95" s="2" t="str">
        <f t="shared" si="16"/>
        <v/>
      </c>
      <c r="AA95" s="23" t="str">
        <f t="shared" si="9"/>
        <v>TE96</v>
      </c>
      <c r="AB95" s="2">
        <f>$T95-VLOOKUP($B95,Scores!$AG$1:$AM$7,5,FALSE)</f>
        <v>-6.5816071428571421</v>
      </c>
      <c r="AC95" s="2">
        <f>$T95-VLOOKUP($B95,Scores!$AG$1:$AM$7,6,FALSE)</f>
        <v>-4.8328571428571427</v>
      </c>
      <c r="AD95" s="2">
        <f>$T95-VLOOKUP($B95,Scores!$AG$1:$AM$7,7,FALSE)+(ROW(A94)/1000000)</f>
        <v>-4.7627631428571426</v>
      </c>
      <c r="AE95" s="2">
        <f t="array" ref="AE95">IF('ROS Rankings'!$AD$1,IFERROR(AVERAGE(IF(INDEX($C95:$S95,14):INDEX($C95:$S95,17)="NA",0,INDEX($C95:$S95,14):INDEX($C95:$S95,17))-INDEX($AQ$2:$BG$7,MATCH($B95,$AO$2:$AO$7,0),14):INDEX($AQ$2:$BG$7,MATCH($B95,$AO$2:$AO$7,0),17)),0),IFERROR(AVERAGE(IF(INDEX($C95:$S95,Week+1):INDEX($C95:$S95,13)="NA",0,INDEX($C95:$S95,Week+1):INDEX($C95:$S95,13))-INDEX($AQ$2:$BG$7,MATCH($B95,$AO$2:$AO$7,0),Week+1):INDEX($AQ$2:$BG$7,MATCH($B95,$AO$2:$AO$7,0),13)),0))+ROW(A94)/1000000</f>
        <v>-4.7324060000000001</v>
      </c>
      <c r="AF95">
        <f t="shared" si="10"/>
        <v>330</v>
      </c>
      <c r="AG95">
        <f t="shared" si="11"/>
        <v>346</v>
      </c>
      <c r="AH95">
        <f t="shared" si="12"/>
        <v>392</v>
      </c>
      <c r="AI95">
        <f t="shared" si="13"/>
        <v>416</v>
      </c>
      <c r="AJ95" s="22">
        <f>IF(ISERROR(MATCH(A95,Rosters!$B$2:$B$155,0)),AD95,"")</f>
        <v>-4.7627631428571426</v>
      </c>
      <c r="AK95">
        <f t="shared" si="14"/>
        <v>240</v>
      </c>
      <c r="AL95" s="23">
        <f>COUNTIF(INDEX($C95:$S95,Week+1):INDEX($C95:$S95,13),"&gt;0")</f>
        <v>7</v>
      </c>
    </row>
    <row r="96" spans="1:38" x14ac:dyDescent="0.25">
      <c r="A96" t="s">
        <v>159</v>
      </c>
      <c r="B96" t="s">
        <v>87</v>
      </c>
      <c r="C96">
        <v>10.52</v>
      </c>
      <c r="D96">
        <v>9.5500000000000007</v>
      </c>
      <c r="E96">
        <v>8.48</v>
      </c>
      <c r="F96">
        <v>5.93</v>
      </c>
      <c r="G96">
        <v>4.6399999999999997</v>
      </c>
      <c r="H96">
        <v>4.46</v>
      </c>
      <c r="I96">
        <v>4.46</v>
      </c>
      <c r="J96">
        <v>3.9</v>
      </c>
      <c r="K96">
        <v>4.55</v>
      </c>
      <c r="L96">
        <v>4.6900000000000004</v>
      </c>
      <c r="M96" t="s">
        <v>64</v>
      </c>
      <c r="N96">
        <v>4.68</v>
      </c>
      <c r="O96">
        <v>4.96</v>
      </c>
      <c r="P96">
        <v>4.4000000000000004</v>
      </c>
      <c r="Q96">
        <v>3.52</v>
      </c>
      <c r="R96">
        <v>4.05</v>
      </c>
      <c r="S96">
        <v>4.87</v>
      </c>
      <c r="T96" s="2">
        <f>IF('ROS Rankings'!$AD$1,IFERROR(AVERAGE(INDEX($C96:$S96,14):INDEX($C96:$S96,17)),0),IFERROR(AVERAGE(INDEX($C96:$S96,Week+1):INDEX($C96:$S96,13)),0))</f>
        <v>4.5285714285714294</v>
      </c>
      <c r="U96" s="2" t="str">
        <f t="shared" si="16"/>
        <v/>
      </c>
      <c r="V96" s="2" t="str">
        <f t="shared" si="16"/>
        <v/>
      </c>
      <c r="W96" s="2">
        <f t="shared" si="16"/>
        <v>4.5285714285714294</v>
      </c>
      <c r="X96" s="2" t="str">
        <f t="shared" si="16"/>
        <v/>
      </c>
      <c r="Y96" s="2" t="str">
        <f t="shared" si="16"/>
        <v/>
      </c>
      <c r="Z96" s="2" t="str">
        <f t="shared" si="16"/>
        <v/>
      </c>
      <c r="AA96" s="23" t="str">
        <f t="shared" si="9"/>
        <v>WR71</v>
      </c>
      <c r="AB96" s="2">
        <f>$T96-VLOOKUP($B96,Scores!$AG$1:$AM$7,5,FALSE)</f>
        <v>-5.8428571428571408</v>
      </c>
      <c r="AC96" s="2">
        <f>$T96-VLOOKUP($B96,Scores!$AG$1:$AM$7,6,FALSE)</f>
        <v>-3.5028571428571427</v>
      </c>
      <c r="AD96" s="2">
        <f>$T96-VLOOKUP($B96,Scores!$AG$1:$AM$7,7,FALSE)+(ROW(A95)/1000000)</f>
        <v>-1.5241907142857132</v>
      </c>
      <c r="AE96" s="2">
        <f t="array" ref="AE96">IF('ROS Rankings'!$AD$1,IFERROR(AVERAGE(IF(INDEX($C96:$S96,14):INDEX($C96:$S96,17)="NA",0,INDEX($C96:$S96,14):INDEX($C96:$S96,17))-INDEX($AQ$2:$BG$7,MATCH($B96,$AO$2:$AO$7,0),14):INDEX($AQ$2:$BG$7,MATCH($B96,$AO$2:$AO$7,0),17)),0),IFERROR(AVERAGE(IF(INDEX($C96:$S96,Week+1):INDEX($C96:$S96,13)="NA",0,INDEX($C96:$S96,Week+1):INDEX($C96:$S96,13))-INDEX($AQ$2:$BG$7,MATCH($B96,$AO$2:$AO$7,0),Week+1):INDEX($AQ$2:$BG$7,MATCH($B96,$AO$2:$AO$7,0),13)),0))+ROW(A95)/1000000</f>
        <v>-1.3936550000000003</v>
      </c>
      <c r="AF96">
        <f t="shared" si="10"/>
        <v>275</v>
      </c>
      <c r="AG96">
        <f t="shared" si="11"/>
        <v>270</v>
      </c>
      <c r="AH96">
        <f t="shared" si="12"/>
        <v>228</v>
      </c>
      <c r="AI96">
        <f t="shared" si="13"/>
        <v>202</v>
      </c>
      <c r="AJ96" s="22" t="str">
        <f>IF(ISERROR(MATCH(A96,Rosters!$B$2:$B$155,0)),AD96,"")</f>
        <v/>
      </c>
      <c r="AK96" t="str">
        <f t="shared" si="14"/>
        <v/>
      </c>
      <c r="AL96" s="23">
        <f>COUNTIF(INDEX($C96:$S96,Week+1):INDEX($C96:$S96,13),"&gt;0")</f>
        <v>7</v>
      </c>
    </row>
    <row r="97" spans="1:38" x14ac:dyDescent="0.25">
      <c r="A97" t="s">
        <v>280</v>
      </c>
      <c r="B97" t="s">
        <v>47</v>
      </c>
      <c r="C97">
        <v>4.03</v>
      </c>
      <c r="D97">
        <v>4.6900000000000004</v>
      </c>
      <c r="E97">
        <v>6.79</v>
      </c>
      <c r="F97">
        <v>5.6</v>
      </c>
      <c r="G97">
        <v>5.61</v>
      </c>
      <c r="H97">
        <v>5.28</v>
      </c>
      <c r="I97">
        <v>4.8600000000000003</v>
      </c>
      <c r="J97">
        <v>5.47</v>
      </c>
      <c r="K97">
        <v>4.54</v>
      </c>
      <c r="L97">
        <v>4.7300000000000004</v>
      </c>
      <c r="M97" t="s">
        <v>64</v>
      </c>
      <c r="N97">
        <v>4.4000000000000004</v>
      </c>
      <c r="O97">
        <v>4.5599999999999996</v>
      </c>
      <c r="P97">
        <v>5.09</v>
      </c>
      <c r="Q97">
        <v>4.84</v>
      </c>
      <c r="R97">
        <v>5.15</v>
      </c>
      <c r="S97">
        <v>4.84</v>
      </c>
      <c r="T97" s="2">
        <f>IF('ROS Rankings'!$AD$1,IFERROR(AVERAGE(INDEX($C97:$S97,14):INDEX($C97:$S97,17)),0),IFERROR(AVERAGE(INDEX($C97:$S97,Week+1):INDEX($C97:$S97,13)),0))</f>
        <v>4.8342857142857145</v>
      </c>
      <c r="U97" s="2" t="str">
        <f t="shared" si="16"/>
        <v/>
      </c>
      <c r="V97" s="2">
        <f t="shared" si="16"/>
        <v>4.8342857142857145</v>
      </c>
      <c r="W97" s="2" t="str">
        <f t="shared" si="16"/>
        <v/>
      </c>
      <c r="X97" s="2" t="str">
        <f t="shared" si="16"/>
        <v/>
      </c>
      <c r="Y97" s="2" t="str">
        <f t="shared" si="16"/>
        <v/>
      </c>
      <c r="Z97" s="2" t="str">
        <f t="shared" si="16"/>
        <v/>
      </c>
      <c r="AA97" s="23" t="str">
        <f t="shared" si="9"/>
        <v>RB58</v>
      </c>
      <c r="AB97" s="2">
        <f>$T97-VLOOKUP($B97,Scores!$AG$1:$AM$7,5,FALSE)</f>
        <v>-6.9242857142857144</v>
      </c>
      <c r="AC97" s="2">
        <f>$T97-VLOOKUP($B97,Scores!$AG$1:$AM$7,6,FALSE)</f>
        <v>-3.4357142857142868</v>
      </c>
      <c r="AD97" s="2">
        <f>$T97-VLOOKUP($B97,Scores!$AG$1:$AM$7,7,FALSE)+(ROW(A96)/1000000)</f>
        <v>-1.0341897142857146</v>
      </c>
      <c r="AE97" s="2">
        <f t="array" ref="AE97">IF('ROS Rankings'!$AD$1,IFERROR(AVERAGE(IF(INDEX($C97:$S97,14):INDEX($C97:$S97,17)="NA",0,INDEX($C97:$S97,14):INDEX($C97:$S97,17))-INDEX($AQ$2:$BG$7,MATCH($B97,$AO$2:$AO$7,0),14):INDEX($AQ$2:$BG$7,MATCH($B97,$AO$2:$AO$7,0),17)),0),IFERROR(AVERAGE(IF(INDEX($C97:$S97,Week+1):INDEX($C97:$S97,13)="NA",0,INDEX($C97:$S97,Week+1):INDEX($C97:$S97,13))-INDEX($AQ$2:$BG$7,MATCH($B97,$AO$2:$AO$7,0),Week+1):INDEX($AQ$2:$BG$7,MATCH($B97,$AO$2:$AO$7,0),13)),0))+ROW(A96)/1000000</f>
        <v>-1.1299039999999998</v>
      </c>
      <c r="AF97">
        <f t="shared" si="10"/>
        <v>341</v>
      </c>
      <c r="AG97">
        <f t="shared" si="11"/>
        <v>264</v>
      </c>
      <c r="AH97">
        <f t="shared" si="12"/>
        <v>201</v>
      </c>
      <c r="AI97">
        <f t="shared" si="13"/>
        <v>176</v>
      </c>
      <c r="AJ97" s="22">
        <f>IF(ISERROR(MATCH(A97,Rosters!$B$2:$B$155,0)),AD97,"")</f>
        <v>-1.0341897142857146</v>
      </c>
      <c r="AK97">
        <f t="shared" si="14"/>
        <v>65</v>
      </c>
      <c r="AL97" s="23">
        <f>COUNTIF(INDEX($C97:$S97,Week+1):INDEX($C97:$S97,13),"&gt;0")</f>
        <v>7</v>
      </c>
    </row>
    <row r="98" spans="1:38" x14ac:dyDescent="0.25">
      <c r="A98" t="s">
        <v>330</v>
      </c>
      <c r="B98" t="s">
        <v>114</v>
      </c>
      <c r="C98">
        <v>0.37</v>
      </c>
      <c r="D98">
        <v>0.39</v>
      </c>
      <c r="E98">
        <v>2.96</v>
      </c>
      <c r="F98" t="s">
        <v>64</v>
      </c>
      <c r="G98">
        <v>1.25</v>
      </c>
      <c r="H98">
        <v>1.1399999999999999</v>
      </c>
      <c r="I98">
        <v>1.19</v>
      </c>
      <c r="J98">
        <v>1</v>
      </c>
      <c r="K98">
        <v>0.43</v>
      </c>
      <c r="L98">
        <v>0.49</v>
      </c>
      <c r="M98">
        <v>0.37</v>
      </c>
      <c r="N98">
        <v>0.39</v>
      </c>
      <c r="O98">
        <v>0.41</v>
      </c>
      <c r="P98">
        <v>0.38</v>
      </c>
      <c r="Q98">
        <v>0.39</v>
      </c>
      <c r="R98">
        <v>0.39</v>
      </c>
      <c r="S98">
        <v>0.37</v>
      </c>
      <c r="T98" s="2">
        <f>IF('ROS Rankings'!$AD$1,IFERROR(AVERAGE(INDEX($C98:$S98,14):INDEX($C98:$S98,17)),0),IFERROR(AVERAGE(INDEX($C98:$S98,Week+1):INDEX($C98:$S98,13)),0))</f>
        <v>0.67749999999999999</v>
      </c>
      <c r="U98" s="2" t="str">
        <f t="shared" si="16"/>
        <v/>
      </c>
      <c r="V98" s="2" t="str">
        <f t="shared" si="16"/>
        <v/>
      </c>
      <c r="W98" s="2" t="str">
        <f t="shared" si="16"/>
        <v/>
      </c>
      <c r="X98" s="2">
        <f t="shared" si="16"/>
        <v>0.67749999999999999</v>
      </c>
      <c r="Y98" s="2" t="str">
        <f t="shared" si="16"/>
        <v/>
      </c>
      <c r="Z98" s="2" t="str">
        <f t="shared" si="16"/>
        <v/>
      </c>
      <c r="AA98" s="23" t="str">
        <f t="shared" si="9"/>
        <v>TE71</v>
      </c>
      <c r="AB98" s="2">
        <f>$T98-VLOOKUP($B98,Scores!$AG$1:$AM$7,5,FALSE)</f>
        <v>-6.3212499999999991</v>
      </c>
      <c r="AC98" s="2">
        <f>$T98-VLOOKUP($B98,Scores!$AG$1:$AM$7,6,FALSE)</f>
        <v>-4.5724999999999998</v>
      </c>
      <c r="AD98" s="2">
        <f>$T98-VLOOKUP($B98,Scores!$AG$1:$AM$7,7,FALSE)+(ROW(A97)/1000000)</f>
        <v>-4.5024029999999993</v>
      </c>
      <c r="AE98" s="2">
        <f t="array" ref="AE98">IF('ROS Rankings'!$AD$1,IFERROR(AVERAGE(IF(INDEX($C98:$S98,14):INDEX($C98:$S98,17)="NA",0,INDEX($C98:$S98,14):INDEX($C98:$S98,17))-INDEX($AQ$2:$BG$7,MATCH($B98,$AO$2:$AO$7,0),14):INDEX($AQ$2:$BG$7,MATCH($B98,$AO$2:$AO$7,0),17)),0),IFERROR(AVERAGE(IF(INDEX($C98:$S98,Week+1):INDEX($C98:$S98,13)="NA",0,INDEX($C98:$S98,Week+1):INDEX($C98:$S98,13))-INDEX($AQ$2:$BG$7,MATCH($B98,$AO$2:$AO$7,0),Week+1):INDEX($AQ$2:$BG$7,MATCH($B98,$AO$2:$AO$7,0),13)),0))+ROW(A97)/1000000</f>
        <v>-4.4199029999999997</v>
      </c>
      <c r="AF98">
        <f t="shared" si="10"/>
        <v>294</v>
      </c>
      <c r="AG98">
        <f t="shared" si="11"/>
        <v>314</v>
      </c>
      <c r="AH98">
        <f t="shared" si="12"/>
        <v>359</v>
      </c>
      <c r="AI98">
        <f t="shared" si="13"/>
        <v>368</v>
      </c>
      <c r="AJ98" s="22">
        <f>IF(ISERROR(MATCH(A98,Rosters!$B$2:$B$155,0)),AD98,"")</f>
        <v>-4.5024029999999993</v>
      </c>
      <c r="AK98">
        <f t="shared" si="14"/>
        <v>207</v>
      </c>
      <c r="AL98" s="23">
        <f>COUNTIF(INDEX($C98:$S98,Week+1):INDEX($C98:$S98,13),"&gt;0")</f>
        <v>8</v>
      </c>
    </row>
    <row r="99" spans="1:38" x14ac:dyDescent="0.25">
      <c r="A99" t="s">
        <v>357</v>
      </c>
      <c r="B99" t="s">
        <v>87</v>
      </c>
      <c r="C99">
        <v>0.28999999999999998</v>
      </c>
      <c r="D99">
        <v>0.39</v>
      </c>
      <c r="E99">
        <v>0.49</v>
      </c>
      <c r="F99">
        <v>0.45</v>
      </c>
      <c r="G99">
        <v>0.66</v>
      </c>
      <c r="H99">
        <v>0.66</v>
      </c>
      <c r="I99">
        <v>0.65</v>
      </c>
      <c r="J99">
        <v>0.64</v>
      </c>
      <c r="K99">
        <v>0.74</v>
      </c>
      <c r="L99" t="s">
        <v>64</v>
      </c>
      <c r="M99">
        <v>0.76</v>
      </c>
      <c r="N99">
        <v>0.71</v>
      </c>
      <c r="O99">
        <v>0.62</v>
      </c>
      <c r="P99">
        <v>0.71</v>
      </c>
      <c r="Q99">
        <v>0.73</v>
      </c>
      <c r="R99">
        <v>0.74</v>
      </c>
      <c r="S99">
        <v>0.68</v>
      </c>
      <c r="T99" s="2">
        <f>IF('ROS Rankings'!$AD$1,IFERROR(AVERAGE(INDEX($C99:$S99,14):INDEX($C99:$S99,17)),0),IFERROR(AVERAGE(INDEX($C99:$S99,Week+1):INDEX($C99:$S99,13)),0))</f>
        <v>0.68285714285714294</v>
      </c>
      <c r="U99" s="2" t="str">
        <f t="shared" si="16"/>
        <v/>
      </c>
      <c r="V99" s="2" t="str">
        <f t="shared" si="16"/>
        <v/>
      </c>
      <c r="W99" s="2">
        <f t="shared" si="16"/>
        <v>0.68285714285714294</v>
      </c>
      <c r="X99" s="2" t="str">
        <f t="shared" si="16"/>
        <v/>
      </c>
      <c r="Y99" s="2" t="str">
        <f t="shared" si="16"/>
        <v/>
      </c>
      <c r="Z99" s="2" t="str">
        <f t="shared" si="16"/>
        <v/>
      </c>
      <c r="AA99" s="23" t="str">
        <f t="shared" si="9"/>
        <v>WR141</v>
      </c>
      <c r="AB99" s="2">
        <f>$T99-VLOOKUP($B99,Scores!$AG$1:$AM$7,5,FALSE)</f>
        <v>-9.6885714285714268</v>
      </c>
      <c r="AC99" s="2">
        <f>$T99-VLOOKUP($B99,Scores!$AG$1:$AM$7,6,FALSE)</f>
        <v>-7.3485714285714288</v>
      </c>
      <c r="AD99" s="2">
        <f>$T99-VLOOKUP($B99,Scores!$AG$1:$AM$7,7,FALSE)+(ROW(A98)/1000000)</f>
        <v>-5.3699019999999988</v>
      </c>
      <c r="AE99" s="2">
        <f t="array" ref="AE99">IF('ROS Rankings'!$AD$1,IFERROR(AVERAGE(IF(INDEX($C99:$S99,14):INDEX($C99:$S99,17)="NA",0,INDEX($C99:$S99,14):INDEX($C99:$S99,17))-INDEX($AQ$2:$BG$7,MATCH($B99,$AO$2:$AO$7,0),14):INDEX($AQ$2:$BG$7,MATCH($B99,$AO$2:$AO$7,0),17)),0),IFERROR(AVERAGE(IF(INDEX($C99:$S99,Week+1):INDEX($C99:$S99,13)="NA",0,INDEX($C99:$S99,Week+1):INDEX($C99:$S99,13))-INDEX($AQ$2:$BG$7,MATCH($B99,$AO$2:$AO$7,0),Week+1):INDEX($AQ$2:$BG$7,MATCH($B99,$AO$2:$AO$7,0),13)),0))+ROW(A98)/1000000</f>
        <v>-4.7586519999999997</v>
      </c>
      <c r="AF99">
        <f t="shared" si="10"/>
        <v>416</v>
      </c>
      <c r="AG99">
        <f t="shared" si="11"/>
        <v>431</v>
      </c>
      <c r="AH99">
        <f t="shared" si="12"/>
        <v>461</v>
      </c>
      <c r="AI99">
        <f t="shared" si="13"/>
        <v>427</v>
      </c>
      <c r="AJ99" s="22">
        <f>IF(ISERROR(MATCH(A99,Rosters!$B$2:$B$155,0)),AD99,"")</f>
        <v>-5.3699019999999988</v>
      </c>
      <c r="AK99">
        <f t="shared" si="14"/>
        <v>309</v>
      </c>
      <c r="AL99" s="23">
        <f>COUNTIF(INDEX($C99:$S99,Week+1):INDEX($C99:$S99,13),"&gt;0")</f>
        <v>7</v>
      </c>
    </row>
    <row r="100" spans="1:38" x14ac:dyDescent="0.25">
      <c r="A100" t="s">
        <v>202</v>
      </c>
      <c r="B100" t="s">
        <v>47</v>
      </c>
      <c r="C100">
        <v>6.44</v>
      </c>
      <c r="D100">
        <v>9.9499999999999993</v>
      </c>
      <c r="E100">
        <v>8.98</v>
      </c>
      <c r="F100" t="s">
        <v>64</v>
      </c>
      <c r="G100">
        <v>8.8000000000000007</v>
      </c>
      <c r="H100">
        <v>7.36</v>
      </c>
      <c r="I100">
        <v>8.77</v>
      </c>
      <c r="J100">
        <v>7.75</v>
      </c>
      <c r="K100">
        <v>8.93</v>
      </c>
      <c r="L100">
        <v>6.95</v>
      </c>
      <c r="M100">
        <v>8.1300000000000008</v>
      </c>
      <c r="N100">
        <v>8.1999999999999993</v>
      </c>
      <c r="O100">
        <v>6.9</v>
      </c>
      <c r="P100">
        <v>8.3000000000000007</v>
      </c>
      <c r="Q100">
        <v>6.4</v>
      </c>
      <c r="R100">
        <v>7.13</v>
      </c>
      <c r="S100">
        <v>4.79</v>
      </c>
      <c r="T100" s="2">
        <f>IF('ROS Rankings'!$AD$1,IFERROR(AVERAGE(INDEX($C100:$S100,14):INDEX($C100:$S100,17)),0),IFERROR(AVERAGE(INDEX($C100:$S100,Week+1):INDEX($C100:$S100,13)),0))</f>
        <v>7.8737500000000002</v>
      </c>
      <c r="U100" s="2" t="str">
        <f t="shared" si="16"/>
        <v/>
      </c>
      <c r="V100" s="2">
        <f t="shared" si="16"/>
        <v>7.8737500000000002</v>
      </c>
      <c r="W100" s="2" t="str">
        <f t="shared" si="16"/>
        <v/>
      </c>
      <c r="X100" s="2" t="str">
        <f t="shared" si="16"/>
        <v/>
      </c>
      <c r="Y100" s="2" t="str">
        <f t="shared" si="16"/>
        <v/>
      </c>
      <c r="Z100" s="2" t="str">
        <f t="shared" si="16"/>
        <v/>
      </c>
      <c r="AA100" s="23" t="str">
        <f t="shared" si="9"/>
        <v>RB28</v>
      </c>
      <c r="AB100" s="2">
        <f>$T100-VLOOKUP($B100,Scores!$AG$1:$AM$7,5,FALSE)</f>
        <v>-3.8848214285714286</v>
      </c>
      <c r="AC100" s="2">
        <f>$T100-VLOOKUP($B100,Scores!$AG$1:$AM$7,6,FALSE)</f>
        <v>-0.3962500000000011</v>
      </c>
      <c r="AD100" s="2">
        <f>$T100-VLOOKUP($B100,Scores!$AG$1:$AM$7,7,FALSE)+(ROW(A99)/1000000)</f>
        <v>2.0052775714285711</v>
      </c>
      <c r="AE100" s="2">
        <f t="array" ref="AE100">IF('ROS Rankings'!$AD$1,IFERROR(AVERAGE(IF(INDEX($C100:$S100,14):INDEX($C100:$S100,17)="NA",0,INDEX($C100:$S100,14):INDEX($C100:$S100,17))-INDEX($AQ$2:$BG$7,MATCH($B100,$AO$2:$AO$7,0),14):INDEX($AQ$2:$BG$7,MATCH($B100,$AO$2:$AO$7,0),17)),0),IFERROR(AVERAGE(IF(INDEX($C100:$S100,Week+1):INDEX($C100:$S100,13)="NA",0,INDEX($C100:$S100,Week+1):INDEX($C100:$S100,13))-INDEX($AQ$2:$BG$7,MATCH($B100,$AO$2:$AO$7,0),Week+1):INDEX($AQ$2:$BG$7,MATCH($B100,$AO$2:$AO$7,0),13)),0))+ROW(A99)/1000000</f>
        <v>2.513849</v>
      </c>
      <c r="AF100">
        <f t="shared" si="10"/>
        <v>185</v>
      </c>
      <c r="AG100">
        <f t="shared" si="11"/>
        <v>130</v>
      </c>
      <c r="AH100">
        <f t="shared" si="12"/>
        <v>68</v>
      </c>
      <c r="AI100">
        <f t="shared" si="13"/>
        <v>49</v>
      </c>
      <c r="AJ100" s="22" t="str">
        <f>IF(ISERROR(MATCH(A100,Rosters!$B$2:$B$155,0)),AD100,"")</f>
        <v/>
      </c>
      <c r="AK100" t="str">
        <f t="shared" si="14"/>
        <v/>
      </c>
      <c r="AL100" s="23">
        <f>COUNTIF(INDEX($C100:$S100,Week+1):INDEX($C100:$S100,13),"&gt;0")</f>
        <v>8</v>
      </c>
    </row>
    <row r="101" spans="1:38" x14ac:dyDescent="0.25">
      <c r="A101" t="s">
        <v>1397</v>
      </c>
      <c r="B101" t="s">
        <v>87</v>
      </c>
      <c r="C101">
        <v>3.94</v>
      </c>
      <c r="D101">
        <v>4.5599999999999996</v>
      </c>
      <c r="E101">
        <v>4.59</v>
      </c>
      <c r="F101">
        <v>3.99</v>
      </c>
      <c r="G101">
        <v>5.75</v>
      </c>
      <c r="H101">
        <v>5.75</v>
      </c>
      <c r="I101">
        <v>5.44</v>
      </c>
      <c r="J101">
        <v>5.93</v>
      </c>
      <c r="K101" t="s">
        <v>64</v>
      </c>
      <c r="L101">
        <v>6.45</v>
      </c>
      <c r="M101">
        <v>6.41</v>
      </c>
      <c r="N101">
        <v>6.02</v>
      </c>
      <c r="O101">
        <v>6.26</v>
      </c>
      <c r="P101">
        <v>6.28</v>
      </c>
      <c r="Q101">
        <v>5.94</v>
      </c>
      <c r="R101">
        <v>4.71</v>
      </c>
      <c r="S101">
        <v>5.0599999999999996</v>
      </c>
      <c r="T101" s="2">
        <f>IF('ROS Rankings'!$AD$1,IFERROR(AVERAGE(INDEX($C101:$S101,14):INDEX($C101:$S101,17)),0),IFERROR(AVERAGE(INDEX($C101:$S101,Week+1):INDEX($C101:$S101,13)),0))</f>
        <v>6.0371428571428565</v>
      </c>
      <c r="U101" s="2" t="str">
        <f t="shared" si="16"/>
        <v/>
      </c>
      <c r="V101" s="2" t="str">
        <f t="shared" si="16"/>
        <v/>
      </c>
      <c r="W101" s="2">
        <f t="shared" si="16"/>
        <v>6.0371428571428565</v>
      </c>
      <c r="X101" s="2" t="str">
        <f t="shared" si="16"/>
        <v/>
      </c>
      <c r="Y101" s="2" t="str">
        <f t="shared" si="16"/>
        <v/>
      </c>
      <c r="Z101" s="2" t="str">
        <f t="shared" si="16"/>
        <v/>
      </c>
      <c r="AA101" s="23" t="str">
        <f t="shared" si="9"/>
        <v>WR54</v>
      </c>
      <c r="AB101" s="2">
        <f>$T101-VLOOKUP($B101,Scores!$AG$1:$AM$7,5,FALSE)</f>
        <v>-4.3342857142857136</v>
      </c>
      <c r="AC101" s="2">
        <f>$T101-VLOOKUP($B101,Scores!$AG$1:$AM$7,6,FALSE)</f>
        <v>-1.9942857142857155</v>
      </c>
      <c r="AD101" s="2">
        <f>$T101-VLOOKUP($B101,Scores!$AG$1:$AM$7,7,FALSE)+(ROW(A100)/1000000)</f>
        <v>-1.5614285714286014E-2</v>
      </c>
      <c r="AE101" s="2">
        <f t="array" ref="AE101">IF('ROS Rankings'!$AD$1,IFERROR(AVERAGE(IF(INDEX($C101:$S101,14):INDEX($C101:$S101,17)="NA",0,INDEX($C101:$S101,14):INDEX($C101:$S101,17))-INDEX($AQ$2:$BG$7,MATCH($B101,$AO$2:$AO$7,0),14):INDEX($AQ$2:$BG$7,MATCH($B101,$AO$2:$AO$7,0),17)),0),IFERROR(AVERAGE(IF(INDEX($C101:$S101,Week+1):INDEX($C101:$S101,13)="NA",0,INDEX($C101:$S101,Week+1):INDEX($C101:$S101,13))-INDEX($AQ$2:$BG$7,MATCH($B101,$AO$2:$AO$7,0),Week+1):INDEX($AQ$2:$BG$7,MATCH($B101,$AO$2:$AO$7,0),13)),0))+ROW(A100)/1000000</f>
        <v>-7.365000000000009E-2</v>
      </c>
      <c r="AF101">
        <f t="shared" si="10"/>
        <v>207</v>
      </c>
      <c r="AG101">
        <f t="shared" si="11"/>
        <v>199</v>
      </c>
      <c r="AH101">
        <f t="shared" si="12"/>
        <v>151</v>
      </c>
      <c r="AI101">
        <f t="shared" si="13"/>
        <v>128</v>
      </c>
      <c r="AJ101" s="22">
        <f>IF(ISERROR(MATCH(A101,Rosters!$B$2:$B$155,0)),AD101,"")</f>
        <v>-1.5614285714286014E-2</v>
      </c>
      <c r="AK101">
        <f t="shared" si="14"/>
        <v>24</v>
      </c>
      <c r="AL101" s="23">
        <f>COUNTIF(INDEX($C101:$S101,Week+1):INDEX($C101:$S101,13),"&gt;0")</f>
        <v>7</v>
      </c>
    </row>
    <row r="102" spans="1:38" x14ac:dyDescent="0.25">
      <c r="A102" t="s">
        <v>112</v>
      </c>
      <c r="B102" t="s">
        <v>47</v>
      </c>
      <c r="C102">
        <v>14.11</v>
      </c>
      <c r="D102">
        <v>12.35</v>
      </c>
      <c r="E102">
        <v>13.11</v>
      </c>
      <c r="F102" t="s">
        <v>64</v>
      </c>
      <c r="G102">
        <v>15.54</v>
      </c>
      <c r="H102">
        <v>12.93</v>
      </c>
      <c r="I102">
        <v>12.58</v>
      </c>
      <c r="J102">
        <v>12.72</v>
      </c>
      <c r="K102">
        <v>14.13</v>
      </c>
      <c r="L102">
        <v>11.35</v>
      </c>
      <c r="M102">
        <v>13.29</v>
      </c>
      <c r="N102">
        <v>13.59</v>
      </c>
      <c r="O102">
        <v>13.23</v>
      </c>
      <c r="P102">
        <v>12.42</v>
      </c>
      <c r="Q102">
        <v>12.84</v>
      </c>
      <c r="R102">
        <v>13.9</v>
      </c>
      <c r="S102">
        <v>12.03</v>
      </c>
      <c r="T102" s="2">
        <f>IF('ROS Rankings'!$AD$1,IFERROR(AVERAGE(INDEX($C102:$S102,14):INDEX($C102:$S102,17)),0),IFERROR(AVERAGE(INDEX($C102:$S102,Week+1):INDEX($C102:$S102,13)),0))</f>
        <v>12.977500000000001</v>
      </c>
      <c r="U102" s="2" t="str">
        <f t="shared" si="16"/>
        <v/>
      </c>
      <c r="V102" s="2">
        <f t="shared" si="16"/>
        <v>12.977500000000001</v>
      </c>
      <c r="W102" s="2" t="str">
        <f t="shared" si="16"/>
        <v/>
      </c>
      <c r="X102" s="2" t="str">
        <f t="shared" si="16"/>
        <v/>
      </c>
      <c r="Y102" s="2" t="str">
        <f t="shared" si="16"/>
        <v/>
      </c>
      <c r="Z102" s="2" t="str">
        <f t="shared" si="16"/>
        <v/>
      </c>
      <c r="AA102" s="23" t="str">
        <f t="shared" si="9"/>
        <v>RB10</v>
      </c>
      <c r="AB102" s="2">
        <f>$T102-VLOOKUP($B102,Scores!$AG$1:$AM$7,5,FALSE)</f>
        <v>1.218928571428572</v>
      </c>
      <c r="AC102" s="2">
        <f>$T102-VLOOKUP($B102,Scores!$AG$1:$AM$7,6,FALSE)</f>
        <v>4.7074999999999996</v>
      </c>
      <c r="AD102" s="2">
        <f>$T102-VLOOKUP($B102,Scores!$AG$1:$AM$7,7,FALSE)+(ROW(A101)/1000000)</f>
        <v>7.1090295714285716</v>
      </c>
      <c r="AE102" s="2">
        <f t="array" ref="AE102">IF('ROS Rankings'!$AD$1,IFERROR(AVERAGE(IF(INDEX($C102:$S102,14):INDEX($C102:$S102,17)="NA",0,INDEX($C102:$S102,14):INDEX($C102:$S102,17))-INDEX($AQ$2:$BG$7,MATCH($B102,$AO$2:$AO$7,0),14):INDEX($AQ$2:$BG$7,MATCH($B102,$AO$2:$AO$7,0),17)),0),IFERROR(AVERAGE(IF(INDEX($C102:$S102,Week+1):INDEX($C102:$S102,13)="NA",0,INDEX($C102:$S102,Week+1):INDEX($C102:$S102,13))-INDEX($AQ$2:$BG$7,MATCH($B102,$AO$2:$AO$7,0),Week+1):INDEX($AQ$2:$BG$7,MATCH($B102,$AO$2:$AO$7,0),13)),0))+ROW(A101)/1000000</f>
        <v>7.6176010000000005</v>
      </c>
      <c r="AF102">
        <f t="shared" si="10"/>
        <v>24</v>
      </c>
      <c r="AG102">
        <f t="shared" si="11"/>
        <v>19</v>
      </c>
      <c r="AH102">
        <f t="shared" si="12"/>
        <v>13</v>
      </c>
      <c r="AI102">
        <f t="shared" si="13"/>
        <v>7</v>
      </c>
      <c r="AJ102" s="22" t="str">
        <f>IF(ISERROR(MATCH(A102,Rosters!$B$2:$B$155,0)),AD102,"")</f>
        <v/>
      </c>
      <c r="AK102" t="str">
        <f t="shared" si="14"/>
        <v/>
      </c>
      <c r="AL102" s="23">
        <f>COUNTIF(INDEX($C102:$S102,Week+1):INDEX($C102:$S102,13),"&gt;0")</f>
        <v>8</v>
      </c>
    </row>
    <row r="103" spans="1:38" x14ac:dyDescent="0.25">
      <c r="A103" t="s">
        <v>342</v>
      </c>
      <c r="B103" t="s">
        <v>87</v>
      </c>
      <c r="C103">
        <v>0</v>
      </c>
      <c r="D103">
        <v>0</v>
      </c>
      <c r="E103">
        <v>0.39</v>
      </c>
      <c r="F103">
        <v>0.57999999999999996</v>
      </c>
      <c r="G103">
        <v>1.51</v>
      </c>
      <c r="H103">
        <v>0.57999999999999996</v>
      </c>
      <c r="I103">
        <v>0.55000000000000004</v>
      </c>
      <c r="J103">
        <v>0.69</v>
      </c>
      <c r="K103" t="s">
        <v>64</v>
      </c>
      <c r="L103">
        <v>0.73</v>
      </c>
      <c r="M103">
        <v>0.45</v>
      </c>
      <c r="N103">
        <v>0.68</v>
      </c>
      <c r="O103">
        <v>0.62</v>
      </c>
      <c r="P103">
        <v>0.52</v>
      </c>
      <c r="Q103">
        <v>0.57999999999999996</v>
      </c>
      <c r="R103">
        <v>0.67</v>
      </c>
      <c r="S103">
        <v>0.56999999999999995</v>
      </c>
      <c r="T103" s="2">
        <f>IF('ROS Rankings'!$AD$1,IFERROR(AVERAGE(INDEX($C103:$S103,14):INDEX($C103:$S103,17)),0),IFERROR(AVERAGE(INDEX($C103:$S103,Week+1):INDEX($C103:$S103,13)),0))</f>
        <v>0.61428571428571421</v>
      </c>
      <c r="U103" s="2" t="str">
        <f t="shared" si="16"/>
        <v/>
      </c>
      <c r="V103" s="2" t="str">
        <f t="shared" si="16"/>
        <v/>
      </c>
      <c r="W103" s="2">
        <f t="shared" si="16"/>
        <v>0.61428571428571421</v>
      </c>
      <c r="X103" s="2" t="str">
        <f t="shared" si="16"/>
        <v/>
      </c>
      <c r="Y103" s="2" t="str">
        <f t="shared" si="16"/>
        <v/>
      </c>
      <c r="Z103" s="2" t="str">
        <f t="shared" si="16"/>
        <v/>
      </c>
      <c r="AA103" s="23" t="str">
        <f t="shared" si="9"/>
        <v>WR149</v>
      </c>
      <c r="AB103" s="2">
        <f>$T103-VLOOKUP($B103,Scores!$AG$1:$AM$7,5,FALSE)</f>
        <v>-9.7571428571428562</v>
      </c>
      <c r="AC103" s="2">
        <f>$T103-VLOOKUP($B103,Scores!$AG$1:$AM$7,6,FALSE)</f>
        <v>-7.4171428571428581</v>
      </c>
      <c r="AD103" s="2">
        <f>$T103-VLOOKUP($B103,Scores!$AG$1:$AM$7,7,FALSE)+(ROW(A102)/1000000)</f>
        <v>-5.4384694285714286</v>
      </c>
      <c r="AE103" s="2">
        <f t="array" ref="AE103">IF('ROS Rankings'!$AD$1,IFERROR(AVERAGE(IF(INDEX($C103:$S103,14):INDEX($C103:$S103,17)="NA",0,INDEX($C103:$S103,14):INDEX($C103:$S103,17))-INDEX($AQ$2:$BG$7,MATCH($B103,$AO$2:$AO$7,0),14):INDEX($AQ$2:$BG$7,MATCH($B103,$AO$2:$AO$7,0),17)),0),IFERROR(AVERAGE(IF(INDEX($C103:$S103,Week+1):INDEX($C103:$S103,13)="NA",0,INDEX($C103:$S103,Week+1):INDEX($C103:$S103,13))-INDEX($AQ$2:$BG$7,MATCH($B103,$AO$2:$AO$7,0),Week+1):INDEX($AQ$2:$BG$7,MATCH($B103,$AO$2:$AO$7,0),13)),0))+ROW(A102)/1000000</f>
        <v>-4.8186480000000005</v>
      </c>
      <c r="AF103">
        <f t="shared" si="10"/>
        <v>424</v>
      </c>
      <c r="AG103">
        <f t="shared" si="11"/>
        <v>440</v>
      </c>
      <c r="AH103">
        <f t="shared" si="12"/>
        <v>473</v>
      </c>
      <c r="AI103">
        <f t="shared" si="13"/>
        <v>442</v>
      </c>
      <c r="AJ103" s="22">
        <f>IF(ISERROR(MATCH(A103,Rosters!$B$2:$B$155,0)),AD103,"")</f>
        <v>-5.4384694285714286</v>
      </c>
      <c r="AK103">
        <f t="shared" si="14"/>
        <v>321</v>
      </c>
      <c r="AL103" s="23">
        <f>COUNTIF(INDEX($C103:$S103,Week+1):INDEX($C103:$S103,13),"&gt;0")</f>
        <v>7</v>
      </c>
    </row>
    <row r="104" spans="1:38" x14ac:dyDescent="0.25">
      <c r="A104" t="s">
        <v>744</v>
      </c>
      <c r="B104" t="s">
        <v>15</v>
      </c>
      <c r="C104">
        <v>0.46</v>
      </c>
      <c r="D104">
        <v>0.59</v>
      </c>
      <c r="E104">
        <v>0.55000000000000004</v>
      </c>
      <c r="F104">
        <v>0.54</v>
      </c>
      <c r="G104">
        <v>0.88</v>
      </c>
      <c r="H104">
        <v>0.86</v>
      </c>
      <c r="I104">
        <v>0.93</v>
      </c>
      <c r="J104">
        <v>0.64</v>
      </c>
      <c r="K104" t="s">
        <v>64</v>
      </c>
      <c r="L104">
        <v>0.83</v>
      </c>
      <c r="M104">
        <v>0.73</v>
      </c>
      <c r="N104">
        <v>0.7</v>
      </c>
      <c r="O104">
        <v>0.88</v>
      </c>
      <c r="P104">
        <v>0.7</v>
      </c>
      <c r="Q104">
        <v>0.75</v>
      </c>
      <c r="R104">
        <v>0.72</v>
      </c>
      <c r="S104">
        <v>0.87</v>
      </c>
      <c r="T104" s="2">
        <f>IF('ROS Rankings'!$AD$1,IFERROR(AVERAGE(INDEX($C104:$S104,14):INDEX($C104:$S104,17)),0),IFERROR(AVERAGE(INDEX($C104:$S104,Week+1):INDEX($C104:$S104,13)),0))</f>
        <v>0.79571428571428571</v>
      </c>
      <c r="U104" s="2">
        <f t="shared" si="16"/>
        <v>0.79571428571428571</v>
      </c>
      <c r="V104" s="2" t="str">
        <f t="shared" si="16"/>
        <v/>
      </c>
      <c r="W104" s="2" t="str">
        <f t="shared" si="16"/>
        <v/>
      </c>
      <c r="X104" s="2" t="str">
        <f t="shared" si="16"/>
        <v/>
      </c>
      <c r="Y104" s="2" t="str">
        <f t="shared" si="16"/>
        <v/>
      </c>
      <c r="Z104" s="2" t="str">
        <f t="shared" si="16"/>
        <v/>
      </c>
      <c r="AA104" s="23" t="str">
        <f t="shared" si="9"/>
        <v>QB51</v>
      </c>
      <c r="AB104" s="2">
        <f>$T104-VLOOKUP($B104,Scores!$AG$1:$AM$7,5,FALSE)</f>
        <v>-20.088571428571427</v>
      </c>
      <c r="AC104" s="2">
        <f>$T104-VLOOKUP($B104,Scores!$AG$1:$AM$7,6,FALSE)</f>
        <v>-19.108035714285712</v>
      </c>
      <c r="AD104" s="2">
        <f>$T104-VLOOKUP($B104,Scores!$AG$1:$AM$7,7,FALSE)+(ROW(A103)/1000000)</f>
        <v>-18.704182714285711</v>
      </c>
      <c r="AE104" s="2">
        <f t="array" ref="AE104">IF('ROS Rankings'!$AD$1,IFERROR(AVERAGE(IF(INDEX($C104:$S104,14):INDEX($C104:$S104,17)="NA",0,INDEX($C104:$S104,14):INDEX($C104:$S104,17))-INDEX($AQ$2:$BG$7,MATCH($B104,$AO$2:$AO$7,0),14):INDEX($AQ$2:$BG$7,MATCH($B104,$AO$2:$AO$7,0),17)),0),IFERROR(AVERAGE(IF(INDEX($C104:$S104,Week+1):INDEX($C104:$S104,13)="NA",0,INDEX($C104:$S104,Week+1):INDEX($C104:$S104,13))-INDEX($AQ$2:$BG$7,MATCH($B104,$AO$2:$AO$7,0),Week+1):INDEX($AQ$2:$BG$7,MATCH($B104,$AO$2:$AO$7,0),13)),0))+ROW(A103)/1000000</f>
        <v>-17.806146999999999</v>
      </c>
      <c r="AF104">
        <f t="shared" si="10"/>
        <v>542</v>
      </c>
      <c r="AG104">
        <f t="shared" si="11"/>
        <v>542</v>
      </c>
      <c r="AH104">
        <f t="shared" si="12"/>
        <v>542</v>
      </c>
      <c r="AI104">
        <f t="shared" si="13"/>
        <v>542</v>
      </c>
      <c r="AJ104" s="22">
        <f>IF(ISERROR(MATCH(A104,Rosters!$B$2:$B$155,0)),AD104,"")</f>
        <v>-18.704182714285711</v>
      </c>
      <c r="AK104">
        <f t="shared" si="14"/>
        <v>389</v>
      </c>
      <c r="AL104" s="23">
        <f>COUNTIF(INDEX($C104:$S104,Week+1):INDEX($C104:$S104,13),"&gt;0")</f>
        <v>7</v>
      </c>
    </row>
    <row r="105" spans="1:38" x14ac:dyDescent="0.25">
      <c r="A105" t="s">
        <v>373</v>
      </c>
      <c r="B105" t="s">
        <v>87</v>
      </c>
      <c r="C105">
        <v>1.86</v>
      </c>
      <c r="D105">
        <v>2.68</v>
      </c>
      <c r="E105">
        <v>3.52</v>
      </c>
      <c r="F105">
        <v>0</v>
      </c>
      <c r="G105">
        <v>1.41</v>
      </c>
      <c r="H105">
        <v>2.25</v>
      </c>
      <c r="I105">
        <v>3.14</v>
      </c>
      <c r="J105">
        <v>3.55</v>
      </c>
      <c r="K105" t="s">
        <v>64</v>
      </c>
      <c r="L105">
        <v>3.27</v>
      </c>
      <c r="M105">
        <v>3.28</v>
      </c>
      <c r="N105">
        <v>2.2000000000000002</v>
      </c>
      <c r="O105">
        <v>2.63</v>
      </c>
      <c r="P105">
        <v>3.42</v>
      </c>
      <c r="Q105">
        <v>3.59</v>
      </c>
      <c r="R105">
        <v>3.24</v>
      </c>
      <c r="S105">
        <v>3.35</v>
      </c>
      <c r="T105" s="2">
        <f>IF('ROS Rankings'!$AD$1,IFERROR(AVERAGE(INDEX($C105:$S105,14):INDEX($C105:$S105,17)),0),IFERROR(AVERAGE(INDEX($C105:$S105,Week+1):INDEX($C105:$S105,13)),0))</f>
        <v>2.902857142857143</v>
      </c>
      <c r="U105" s="2" t="str">
        <f t="shared" si="16"/>
        <v/>
      </c>
      <c r="V105" s="2" t="str">
        <f t="shared" si="16"/>
        <v/>
      </c>
      <c r="W105" s="2">
        <f t="shared" si="16"/>
        <v>2.902857142857143</v>
      </c>
      <c r="X105" s="2" t="str">
        <f t="shared" si="16"/>
        <v/>
      </c>
      <c r="Y105" s="2" t="str">
        <f t="shared" si="16"/>
        <v/>
      </c>
      <c r="Z105" s="2" t="str">
        <f t="shared" si="16"/>
        <v/>
      </c>
      <c r="AA105" s="23" t="str">
        <f t="shared" si="9"/>
        <v>WR100</v>
      </c>
      <c r="AB105" s="2">
        <f>$T105-VLOOKUP($B105,Scores!$AG$1:$AM$7,5,FALSE)</f>
        <v>-7.4685714285714271</v>
      </c>
      <c r="AC105" s="2">
        <f>$T105-VLOOKUP($B105,Scores!$AG$1:$AM$7,6,FALSE)</f>
        <v>-5.128571428571429</v>
      </c>
      <c r="AD105" s="2">
        <f>$T105-VLOOKUP($B105,Scores!$AG$1:$AM$7,7,FALSE)+(ROW(A104)/1000000)</f>
        <v>-3.1498959999999996</v>
      </c>
      <c r="AE105" s="2">
        <f t="array" ref="AE105">IF('ROS Rankings'!$AD$1,IFERROR(AVERAGE(IF(INDEX($C105:$S105,14):INDEX($C105:$S105,17)="NA",0,INDEX($C105:$S105,14):INDEX($C105:$S105,17))-INDEX($AQ$2:$BG$7,MATCH($B105,$AO$2:$AO$7,0),14):INDEX($AQ$2:$BG$7,MATCH($B105,$AO$2:$AO$7,0),17)),0),IFERROR(AVERAGE(IF(INDEX($C105:$S105,Week+1):INDEX($C105:$S105,13)="NA",0,INDEX($C105:$S105,Week+1):INDEX($C105:$S105,13))-INDEX($AQ$2:$BG$7,MATCH($B105,$AO$2:$AO$7,0),Week+1):INDEX($AQ$2:$BG$7,MATCH($B105,$AO$2:$AO$7,0),13)),0))+ROW(A104)/1000000</f>
        <v>-2.8161460000000003</v>
      </c>
      <c r="AF105">
        <f t="shared" si="10"/>
        <v>363</v>
      </c>
      <c r="AG105">
        <f t="shared" si="11"/>
        <v>360</v>
      </c>
      <c r="AH105">
        <f t="shared" si="12"/>
        <v>311</v>
      </c>
      <c r="AI105">
        <f t="shared" si="13"/>
        <v>285</v>
      </c>
      <c r="AJ105" s="22">
        <f>IF(ISERROR(MATCH(A105,Rosters!$B$2:$B$155,0)),AD105,"")</f>
        <v>-3.1498959999999996</v>
      </c>
      <c r="AK105">
        <f t="shared" si="14"/>
        <v>162</v>
      </c>
      <c r="AL105" s="23">
        <f>COUNTIF(INDEX($C105:$S105,Week+1):INDEX($C105:$S105,13),"&gt;0")</f>
        <v>7</v>
      </c>
    </row>
    <row r="106" spans="1:38" x14ac:dyDescent="0.25">
      <c r="A106" t="s">
        <v>197</v>
      </c>
      <c r="B106" t="s">
        <v>87</v>
      </c>
      <c r="C106">
        <v>2.6</v>
      </c>
      <c r="D106">
        <v>4.49</v>
      </c>
      <c r="E106">
        <v>4.38</v>
      </c>
      <c r="F106">
        <v>4.4400000000000004</v>
      </c>
      <c r="G106">
        <v>4.5</v>
      </c>
      <c r="H106">
        <v>3.9</v>
      </c>
      <c r="I106">
        <v>4.28</v>
      </c>
      <c r="J106" t="s">
        <v>64</v>
      </c>
      <c r="K106">
        <v>4.58</v>
      </c>
      <c r="L106">
        <v>3.75</v>
      </c>
      <c r="M106">
        <v>4.3899999999999997</v>
      </c>
      <c r="N106">
        <v>4.43</v>
      </c>
      <c r="O106">
        <v>4.71</v>
      </c>
      <c r="P106">
        <v>3.84</v>
      </c>
      <c r="Q106">
        <v>4.55</v>
      </c>
      <c r="R106">
        <v>3.99</v>
      </c>
      <c r="S106">
        <v>4.76</v>
      </c>
      <c r="T106" s="2">
        <f>IF('ROS Rankings'!$AD$1,IFERROR(AVERAGE(INDEX($C106:$S106,14):INDEX($C106:$S106,17)),0),IFERROR(AVERAGE(INDEX($C106:$S106,Week+1):INDEX($C106:$S106,13)),0))</f>
        <v>4.2914285714285709</v>
      </c>
      <c r="U106" s="2" t="str">
        <f t="shared" si="16"/>
        <v/>
      </c>
      <c r="V106" s="2" t="str">
        <f t="shared" si="16"/>
        <v/>
      </c>
      <c r="W106" s="2">
        <f t="shared" si="16"/>
        <v>4.2914285714285709</v>
      </c>
      <c r="X106" s="2" t="str">
        <f t="shared" si="16"/>
        <v/>
      </c>
      <c r="Y106" s="2" t="str">
        <f t="shared" si="16"/>
        <v/>
      </c>
      <c r="Z106" s="2" t="str">
        <f t="shared" si="16"/>
        <v/>
      </c>
      <c r="AA106" s="23" t="str">
        <f t="shared" si="9"/>
        <v>WR75</v>
      </c>
      <c r="AB106" s="2">
        <f>$T106-VLOOKUP($B106,Scores!$AG$1:$AM$7,5,FALSE)</f>
        <v>-6.0799999999999992</v>
      </c>
      <c r="AC106" s="2">
        <f>$T106-VLOOKUP($B106,Scores!$AG$1:$AM$7,6,FALSE)</f>
        <v>-3.7400000000000011</v>
      </c>
      <c r="AD106" s="2">
        <f>$T106-VLOOKUP($B106,Scores!$AG$1:$AM$7,7,FALSE)+(ROW(A105)/1000000)</f>
        <v>-1.7613235714285715</v>
      </c>
      <c r="AE106" s="2">
        <f t="array" ref="AE106">IF('ROS Rankings'!$AD$1,IFERROR(AVERAGE(IF(INDEX($C106:$S106,14):INDEX($C106:$S106,17)="NA",0,INDEX($C106:$S106,14):INDEX($C106:$S106,17))-INDEX($AQ$2:$BG$7,MATCH($B106,$AO$2:$AO$7,0),14):INDEX($AQ$2:$BG$7,MATCH($B106,$AO$2:$AO$7,0),17)),0),IFERROR(AVERAGE(IF(INDEX($C106:$S106,Week+1):INDEX($C106:$S106,13)="NA",0,INDEX($C106:$S106,Week+1):INDEX($C106:$S106,13))-INDEX($AQ$2:$BG$7,MATCH($B106,$AO$2:$AO$7,0),Week+1):INDEX($AQ$2:$BG$7,MATCH($B106,$AO$2:$AO$7,0),13)),0))+ROW(A105)/1000000</f>
        <v>-1.6011450000000003</v>
      </c>
      <c r="AF106">
        <f t="shared" si="10"/>
        <v>286</v>
      </c>
      <c r="AG106">
        <f t="shared" si="11"/>
        <v>288</v>
      </c>
      <c r="AH106">
        <f t="shared" si="12"/>
        <v>237</v>
      </c>
      <c r="AI106">
        <f t="shared" si="13"/>
        <v>218</v>
      </c>
      <c r="AJ106" s="22">
        <f>IF(ISERROR(MATCH(A106,Rosters!$B$2:$B$155,0)),AD106,"")</f>
        <v>-1.7613235714285715</v>
      </c>
      <c r="AK106">
        <f t="shared" si="14"/>
        <v>94</v>
      </c>
      <c r="AL106" s="23">
        <f>COUNTIF(INDEX($C106:$S106,Week+1):INDEX($C106:$S106,13),"&gt;0")</f>
        <v>7</v>
      </c>
    </row>
    <row r="107" spans="1:38" x14ac:dyDescent="0.25">
      <c r="A107" t="s">
        <v>1562</v>
      </c>
      <c r="B107" t="s">
        <v>114</v>
      </c>
      <c r="C107">
        <v>0.46</v>
      </c>
      <c r="D107">
        <v>0.59</v>
      </c>
      <c r="E107">
        <v>0.55000000000000004</v>
      </c>
      <c r="F107">
        <v>0.49</v>
      </c>
      <c r="G107">
        <v>0.45</v>
      </c>
      <c r="H107">
        <v>0.57999999999999996</v>
      </c>
      <c r="I107">
        <v>0.56999999999999995</v>
      </c>
      <c r="J107">
        <v>0.44</v>
      </c>
      <c r="K107">
        <v>0.56000000000000005</v>
      </c>
      <c r="L107">
        <v>0.5</v>
      </c>
      <c r="M107" t="s">
        <v>64</v>
      </c>
      <c r="N107">
        <v>0.56999999999999995</v>
      </c>
      <c r="O107">
        <v>0.56000000000000005</v>
      </c>
      <c r="P107">
        <v>0.6</v>
      </c>
      <c r="Q107">
        <v>0.59</v>
      </c>
      <c r="R107">
        <v>0.47</v>
      </c>
      <c r="S107">
        <v>0.54</v>
      </c>
      <c r="T107" s="2">
        <f>IF('ROS Rankings'!$AD$1,IFERROR(AVERAGE(INDEX($C107:$S107,14):INDEX($C107:$S107,17)),0),IFERROR(AVERAGE(INDEX($C107:$S107,Week+1):INDEX($C107:$S107,13)),0))</f>
        <v>0.53999999999999992</v>
      </c>
      <c r="U107" s="2" t="str">
        <f t="shared" si="16"/>
        <v/>
      </c>
      <c r="V107" s="2" t="str">
        <f t="shared" si="16"/>
        <v/>
      </c>
      <c r="W107" s="2" t="str">
        <f t="shared" si="16"/>
        <v/>
      </c>
      <c r="X107" s="2">
        <f t="shared" si="16"/>
        <v>0.53999999999999992</v>
      </c>
      <c r="Y107" s="2" t="str">
        <f t="shared" si="16"/>
        <v/>
      </c>
      <c r="Z107" s="2" t="str">
        <f t="shared" si="16"/>
        <v/>
      </c>
      <c r="AA107" s="23" t="str">
        <f t="shared" si="9"/>
        <v>TE80</v>
      </c>
      <c r="AB107" s="2">
        <f>$T107-VLOOKUP($B107,Scores!$AG$1:$AM$7,5,FALSE)</f>
        <v>-6.4587499999999993</v>
      </c>
      <c r="AC107" s="2">
        <f>$T107-VLOOKUP($B107,Scores!$AG$1:$AM$7,6,FALSE)</f>
        <v>-4.71</v>
      </c>
      <c r="AD107" s="2">
        <f>$T107-VLOOKUP($B107,Scores!$AG$1:$AM$7,7,FALSE)+(ROW(A106)/1000000)</f>
        <v>-4.639894</v>
      </c>
      <c r="AE107" s="2">
        <f t="array" ref="AE107">IF('ROS Rankings'!$AD$1,IFERROR(AVERAGE(IF(INDEX($C107:$S107,14):INDEX($C107:$S107,17)="NA",0,INDEX($C107:$S107,14):INDEX($C107:$S107,17))-INDEX($AQ$2:$BG$7,MATCH($B107,$AO$2:$AO$7,0),14):INDEX($AQ$2:$BG$7,MATCH($B107,$AO$2:$AO$7,0),17)),0),IFERROR(AVERAGE(IF(INDEX($C107:$S107,Week+1):INDEX($C107:$S107,13)="NA",0,INDEX($C107:$S107,Week+1):INDEX($C107:$S107,13))-INDEX($AQ$2:$BG$7,MATCH($B107,$AO$2:$AO$7,0),Week+1):INDEX($AQ$2:$BG$7,MATCH($B107,$AO$2:$AO$7,0),13)),0))+ROW(A106)/1000000</f>
        <v>-4.6248940000000003</v>
      </c>
      <c r="AF107">
        <f t="shared" si="10"/>
        <v>310</v>
      </c>
      <c r="AG107">
        <f t="shared" si="11"/>
        <v>326</v>
      </c>
      <c r="AH107">
        <f t="shared" si="12"/>
        <v>372</v>
      </c>
      <c r="AI107">
        <f t="shared" si="13"/>
        <v>390</v>
      </c>
      <c r="AJ107" s="22">
        <f>IF(ISERROR(MATCH(A107,Rosters!$B$2:$B$155,0)),AD107,"")</f>
        <v>-4.639894</v>
      </c>
      <c r="AK107">
        <f t="shared" si="14"/>
        <v>220</v>
      </c>
      <c r="AL107" s="23">
        <f>COUNTIF(INDEX($C107:$S107,Week+1):INDEX($C107:$S107,13),"&gt;0")</f>
        <v>7</v>
      </c>
    </row>
    <row r="108" spans="1:38" x14ac:dyDescent="0.25">
      <c r="A108" t="s">
        <v>331</v>
      </c>
      <c r="B108" t="s">
        <v>15</v>
      </c>
      <c r="C108">
        <v>0.68</v>
      </c>
      <c r="D108">
        <v>0.78</v>
      </c>
      <c r="E108">
        <v>0.83</v>
      </c>
      <c r="F108" t="s">
        <v>64</v>
      </c>
      <c r="G108">
        <v>0.82</v>
      </c>
      <c r="H108">
        <v>0.76</v>
      </c>
      <c r="I108">
        <v>0.87</v>
      </c>
      <c r="J108">
        <v>0.83</v>
      </c>
      <c r="K108">
        <v>0.89</v>
      </c>
      <c r="L108">
        <v>0.8</v>
      </c>
      <c r="M108">
        <v>0.88</v>
      </c>
      <c r="N108">
        <v>0.82</v>
      </c>
      <c r="O108">
        <v>0.63</v>
      </c>
      <c r="P108">
        <v>0.88</v>
      </c>
      <c r="Q108">
        <v>0.68</v>
      </c>
      <c r="R108">
        <v>0.78</v>
      </c>
      <c r="S108">
        <v>0.67</v>
      </c>
      <c r="T108" s="2">
        <f>IF('ROS Rankings'!$AD$1,IFERROR(AVERAGE(INDEX($C108:$S108,14):INDEX($C108:$S108,17)),0),IFERROR(AVERAGE(INDEX($C108:$S108,Week+1):INDEX($C108:$S108,13)),0))</f>
        <v>0.81</v>
      </c>
      <c r="U108" s="2">
        <f t="shared" si="16"/>
        <v>0.81</v>
      </c>
      <c r="V108" s="2" t="str">
        <f t="shared" si="16"/>
        <v/>
      </c>
      <c r="W108" s="2" t="str">
        <f t="shared" si="16"/>
        <v/>
      </c>
      <c r="X108" s="2" t="str">
        <f t="shared" si="16"/>
        <v/>
      </c>
      <c r="Y108" s="2" t="str">
        <f t="shared" si="16"/>
        <v/>
      </c>
      <c r="Z108" s="2" t="str">
        <f t="shared" si="16"/>
        <v/>
      </c>
      <c r="AA108" s="23" t="str">
        <f t="shared" si="9"/>
        <v>QB48</v>
      </c>
      <c r="AB108" s="2">
        <f>$T108-VLOOKUP($B108,Scores!$AG$1:$AM$7,5,FALSE)</f>
        <v>-20.074285714285715</v>
      </c>
      <c r="AC108" s="2">
        <f>$T108-VLOOKUP($B108,Scores!$AG$1:$AM$7,6,FALSE)</f>
        <v>-19.09375</v>
      </c>
      <c r="AD108" s="2">
        <f>$T108-VLOOKUP($B108,Scores!$AG$1:$AM$7,7,FALSE)+(ROW(A107)/1000000)</f>
        <v>-18.689892999999998</v>
      </c>
      <c r="AE108" s="2">
        <f t="array" ref="AE108">IF('ROS Rankings'!$AD$1,IFERROR(AVERAGE(IF(INDEX($C108:$S108,14):INDEX($C108:$S108,17)="NA",0,INDEX($C108:$S108,14):INDEX($C108:$S108,17))-INDEX($AQ$2:$BG$7,MATCH($B108,$AO$2:$AO$7,0),14):INDEX($AQ$2:$BG$7,MATCH($B108,$AO$2:$AO$7,0),17)),0),IFERROR(AVERAGE(IF(INDEX($C108:$S108,Week+1):INDEX($C108:$S108,13)="NA",0,INDEX($C108:$S108,Week+1):INDEX($C108:$S108,13))-INDEX($AQ$2:$BG$7,MATCH($B108,$AO$2:$AO$7,0),Week+1):INDEX($AQ$2:$BG$7,MATCH($B108,$AO$2:$AO$7,0),13)),0))+ROW(A107)/1000000</f>
        <v>-17.692392999999999</v>
      </c>
      <c r="AF108">
        <f t="shared" si="10"/>
        <v>539</v>
      </c>
      <c r="AG108">
        <f t="shared" si="11"/>
        <v>539</v>
      </c>
      <c r="AH108">
        <f t="shared" si="12"/>
        <v>539</v>
      </c>
      <c r="AI108">
        <f t="shared" si="13"/>
        <v>535</v>
      </c>
      <c r="AJ108" s="22">
        <f>IF(ISERROR(MATCH(A108,Rosters!$B$2:$B$155,0)),AD108,"")</f>
        <v>-18.689892999999998</v>
      </c>
      <c r="AK108">
        <f t="shared" si="14"/>
        <v>386</v>
      </c>
      <c r="AL108" s="23">
        <f>COUNTIF(INDEX($C108:$S108,Week+1):INDEX($C108:$S108,13),"&gt;0")</f>
        <v>8</v>
      </c>
    </row>
    <row r="109" spans="1:38" x14ac:dyDescent="0.25">
      <c r="A109" t="s">
        <v>256</v>
      </c>
      <c r="B109" t="s">
        <v>87</v>
      </c>
      <c r="C109">
        <v>7.59</v>
      </c>
      <c r="D109">
        <v>5.72</v>
      </c>
      <c r="E109">
        <v>6</v>
      </c>
      <c r="F109">
        <v>8.02</v>
      </c>
      <c r="G109">
        <v>9.57</v>
      </c>
      <c r="H109">
        <v>9.81</v>
      </c>
      <c r="I109">
        <v>10</v>
      </c>
      <c r="J109">
        <v>9.99</v>
      </c>
      <c r="K109">
        <v>9.7899999999999991</v>
      </c>
      <c r="L109">
        <v>10</v>
      </c>
      <c r="M109">
        <v>10.08</v>
      </c>
      <c r="N109" t="s">
        <v>64</v>
      </c>
      <c r="O109">
        <v>9.24</v>
      </c>
      <c r="P109">
        <v>8.5500000000000007</v>
      </c>
      <c r="Q109">
        <v>9.06</v>
      </c>
      <c r="R109">
        <v>8.6999999999999993</v>
      </c>
      <c r="S109">
        <v>10.43</v>
      </c>
      <c r="T109" s="2">
        <f>IF('ROS Rankings'!$AD$1,IFERROR(AVERAGE(INDEX($C109:$S109,14):INDEX($C109:$S109,17)),0),IFERROR(AVERAGE(INDEX($C109:$S109,Week+1):INDEX($C109:$S109,13)),0))</f>
        <v>9.8442857142857143</v>
      </c>
      <c r="U109" s="2" t="str">
        <f t="shared" si="16"/>
        <v/>
      </c>
      <c r="V109" s="2" t="str">
        <f t="shared" si="16"/>
        <v/>
      </c>
      <c r="W109" s="2">
        <f t="shared" si="16"/>
        <v>9.8442857142857143</v>
      </c>
      <c r="X109" s="2" t="str">
        <f t="shared" si="16"/>
        <v/>
      </c>
      <c r="Y109" s="2" t="str">
        <f t="shared" si="16"/>
        <v/>
      </c>
      <c r="Z109" s="2" t="str">
        <f t="shared" si="16"/>
        <v/>
      </c>
      <c r="AA109" s="23" t="str">
        <f t="shared" si="9"/>
        <v>WR19</v>
      </c>
      <c r="AB109" s="2">
        <f>$T109-VLOOKUP($B109,Scores!$AG$1:$AM$7,5,FALSE)</f>
        <v>-0.5271428571428558</v>
      </c>
      <c r="AC109" s="2">
        <f>$T109-VLOOKUP($B109,Scores!$AG$1:$AM$7,6,FALSE)</f>
        <v>1.8128571428571423</v>
      </c>
      <c r="AD109" s="2">
        <f>$T109-VLOOKUP($B109,Scores!$AG$1:$AM$7,7,FALSE)+(ROW(A108)/1000000)</f>
        <v>3.7915365714285718</v>
      </c>
      <c r="AE109" s="2">
        <f t="array" ref="AE109">IF('ROS Rankings'!$AD$1,IFERROR(AVERAGE(IF(INDEX($C109:$S109,14):INDEX($C109:$S109,17)="NA",0,INDEX($C109:$S109,14):INDEX($C109:$S109,17))-INDEX($AQ$2:$BG$7,MATCH($B109,$AO$2:$AO$7,0),14):INDEX($AQ$2:$BG$7,MATCH($B109,$AO$2:$AO$7,0),17)),0),IFERROR(AVERAGE(IF(INDEX($C109:$S109,Week+1):INDEX($C109:$S109,13)="NA",0,INDEX($C109:$S109,Week+1):INDEX($C109:$S109,13))-INDEX($AQ$2:$BG$7,MATCH($B109,$AO$2:$AO$7,0),Week+1):INDEX($AQ$2:$BG$7,MATCH($B109,$AO$2:$AO$7,0),13)),0))+ROW(A108)/1000000</f>
        <v>3.2576080000000003</v>
      </c>
      <c r="AF109">
        <f t="shared" si="10"/>
        <v>69</v>
      </c>
      <c r="AG109">
        <f t="shared" si="11"/>
        <v>43</v>
      </c>
      <c r="AH109">
        <f t="shared" si="12"/>
        <v>39</v>
      </c>
      <c r="AI109">
        <f t="shared" si="13"/>
        <v>39</v>
      </c>
      <c r="AJ109" s="22" t="str">
        <f>IF(ISERROR(MATCH(A109,Rosters!$B$2:$B$155,0)),AD109,"")</f>
        <v/>
      </c>
      <c r="AK109" t="str">
        <f t="shared" si="14"/>
        <v/>
      </c>
      <c r="AL109" s="23">
        <f>COUNTIF(INDEX($C109:$S109,Week+1):INDEX($C109:$S109,13),"&gt;0")</f>
        <v>7</v>
      </c>
    </row>
    <row r="110" spans="1:38" x14ac:dyDescent="0.25">
      <c r="A110" t="s">
        <v>1550</v>
      </c>
      <c r="B110" t="s">
        <v>15</v>
      </c>
      <c r="C110">
        <v>0.68</v>
      </c>
      <c r="D110">
        <v>0.73</v>
      </c>
      <c r="E110">
        <v>0.65</v>
      </c>
      <c r="F110">
        <v>0.82</v>
      </c>
      <c r="G110">
        <v>0.79</v>
      </c>
      <c r="H110">
        <v>0.82</v>
      </c>
      <c r="I110">
        <v>0.79</v>
      </c>
      <c r="J110" t="s">
        <v>64</v>
      </c>
      <c r="K110">
        <v>0.81</v>
      </c>
      <c r="L110">
        <v>0.75</v>
      </c>
      <c r="M110">
        <v>0.82</v>
      </c>
      <c r="N110">
        <v>0.84</v>
      </c>
      <c r="O110">
        <v>0.85</v>
      </c>
      <c r="P110">
        <v>0.8</v>
      </c>
      <c r="Q110">
        <v>0.78</v>
      </c>
      <c r="R110">
        <v>0.84</v>
      </c>
      <c r="S110">
        <v>0.84</v>
      </c>
      <c r="T110" s="2">
        <f>IF('ROS Rankings'!$AD$1,IFERROR(AVERAGE(INDEX($C110:$S110,14):INDEX($C110:$S110,17)),0),IFERROR(AVERAGE(INDEX($C110:$S110,Week+1):INDEX($C110:$S110,13)),0))</f>
        <v>0.81142857142857139</v>
      </c>
      <c r="U110" s="2">
        <f t="shared" si="16"/>
        <v>0.81142857142857139</v>
      </c>
      <c r="V110" s="2" t="str">
        <f t="shared" si="16"/>
        <v/>
      </c>
      <c r="W110" s="2" t="str">
        <f t="shared" si="16"/>
        <v/>
      </c>
      <c r="X110" s="2" t="str">
        <f t="shared" si="16"/>
        <v/>
      </c>
      <c r="Y110" s="2" t="str">
        <f t="shared" si="16"/>
        <v/>
      </c>
      <c r="Z110" s="2" t="str">
        <f t="shared" si="16"/>
        <v/>
      </c>
      <c r="AA110" s="23" t="str">
        <f t="shared" si="9"/>
        <v>QB47</v>
      </c>
      <c r="AB110" s="2">
        <f>$T110-VLOOKUP($B110,Scores!$AG$1:$AM$7,5,FALSE)</f>
        <v>-20.072857142857142</v>
      </c>
      <c r="AC110" s="2">
        <f>$T110-VLOOKUP($B110,Scores!$AG$1:$AM$7,6,FALSE)</f>
        <v>-19.092321428571427</v>
      </c>
      <c r="AD110" s="2">
        <f>$T110-VLOOKUP($B110,Scores!$AG$1:$AM$7,7,FALSE)+(ROW(A109)/1000000)</f>
        <v>-18.688462428571427</v>
      </c>
      <c r="AE110" s="2">
        <f t="array" ref="AE110">IF('ROS Rankings'!$AD$1,IFERROR(AVERAGE(IF(INDEX($C110:$S110,14):INDEX($C110:$S110,17)="NA",0,INDEX($C110:$S110,14):INDEX($C110:$S110,17))-INDEX($AQ$2:$BG$7,MATCH($B110,$AO$2:$AO$7,0),14):INDEX($AQ$2:$BG$7,MATCH($B110,$AO$2:$AO$7,0),17)),0),IFERROR(AVERAGE(IF(INDEX($C110:$S110,Week+1):INDEX($C110:$S110,13)="NA",0,INDEX($C110:$S110,Week+1):INDEX($C110:$S110,13))-INDEX($AQ$2:$BG$7,MATCH($B110,$AO$2:$AO$7,0),Week+1):INDEX($AQ$2:$BG$7,MATCH($B110,$AO$2:$AO$7,0),13)),0))+ROW(A109)/1000000</f>
        <v>-17.792391000000002</v>
      </c>
      <c r="AF110">
        <f t="shared" si="10"/>
        <v>538</v>
      </c>
      <c r="AG110">
        <f t="shared" si="11"/>
        <v>538</v>
      </c>
      <c r="AH110">
        <f t="shared" si="12"/>
        <v>538</v>
      </c>
      <c r="AI110">
        <f t="shared" si="13"/>
        <v>539</v>
      </c>
      <c r="AJ110" s="22">
        <f>IF(ISERROR(MATCH(A110,Rosters!$B$2:$B$155,0)),AD110,"")</f>
        <v>-18.688462428571427</v>
      </c>
      <c r="AK110">
        <f t="shared" si="14"/>
        <v>385</v>
      </c>
      <c r="AL110" s="23">
        <f>COUNTIF(INDEX($C110:$S110,Week+1):INDEX($C110:$S110,13),"&gt;0")</f>
        <v>7</v>
      </c>
    </row>
    <row r="111" spans="1:38" x14ac:dyDescent="0.25">
      <c r="A111" t="s">
        <v>283</v>
      </c>
      <c r="B111" t="s">
        <v>87</v>
      </c>
      <c r="C111">
        <v>1.95</v>
      </c>
      <c r="D111">
        <v>1.36</v>
      </c>
      <c r="E111">
        <v>0.91</v>
      </c>
      <c r="F111">
        <v>0.31</v>
      </c>
      <c r="G111">
        <v>1.97</v>
      </c>
      <c r="H111">
        <v>2.0299999999999998</v>
      </c>
      <c r="I111">
        <v>1.1599999999999999</v>
      </c>
      <c r="J111">
        <v>1.1599999999999999</v>
      </c>
      <c r="K111">
        <v>1.7</v>
      </c>
      <c r="L111">
        <v>1.67</v>
      </c>
      <c r="M111" t="s">
        <v>64</v>
      </c>
      <c r="N111">
        <v>1.36</v>
      </c>
      <c r="O111">
        <v>1.58</v>
      </c>
      <c r="P111">
        <v>1.48</v>
      </c>
      <c r="Q111">
        <v>1.28</v>
      </c>
      <c r="R111">
        <v>1.1599999999999999</v>
      </c>
      <c r="S111">
        <v>1.37</v>
      </c>
      <c r="T111" s="2">
        <f>IF('ROS Rankings'!$AD$1,IFERROR(AVERAGE(INDEX($C111:$S111,14):INDEX($C111:$S111,17)),0),IFERROR(AVERAGE(INDEX($C111:$S111,Week+1):INDEX($C111:$S111,13)),0))</f>
        <v>1.5228571428571429</v>
      </c>
      <c r="U111" s="2" t="str">
        <f t="shared" si="16"/>
        <v/>
      </c>
      <c r="V111" s="2" t="str">
        <f t="shared" si="16"/>
        <v/>
      </c>
      <c r="W111" s="2">
        <f t="shared" si="16"/>
        <v>1.5228571428571429</v>
      </c>
      <c r="X111" s="2" t="str">
        <f t="shared" si="16"/>
        <v/>
      </c>
      <c r="Y111" s="2" t="str">
        <f t="shared" si="16"/>
        <v/>
      </c>
      <c r="Z111" s="2" t="str">
        <f t="shared" si="16"/>
        <v/>
      </c>
      <c r="AA111" s="23" t="str">
        <f t="shared" si="9"/>
        <v>WR117</v>
      </c>
      <c r="AB111" s="2">
        <f>$T111-VLOOKUP($B111,Scores!$AG$1:$AM$7,5,FALSE)</f>
        <v>-8.848571428571427</v>
      </c>
      <c r="AC111" s="2">
        <f>$T111-VLOOKUP($B111,Scores!$AG$1:$AM$7,6,FALSE)</f>
        <v>-6.5085714285714289</v>
      </c>
      <c r="AD111" s="2">
        <f>$T111-VLOOKUP($B111,Scores!$AG$1:$AM$7,7,FALSE)+(ROW(A110)/1000000)</f>
        <v>-4.5298899999999991</v>
      </c>
      <c r="AE111" s="2">
        <f t="array" ref="AE111">IF('ROS Rankings'!$AD$1,IFERROR(AVERAGE(IF(INDEX($C111:$S111,14):INDEX($C111:$S111,17)="NA",0,INDEX($C111:$S111,14):INDEX($C111:$S111,17))-INDEX($AQ$2:$BG$7,MATCH($B111,$AO$2:$AO$7,0),14):INDEX($AQ$2:$BG$7,MATCH($B111,$AO$2:$AO$7,0),17)),0),IFERROR(AVERAGE(IF(INDEX($C111:$S111,Week+1):INDEX($C111:$S111,13)="NA",0,INDEX($C111:$S111,Week+1):INDEX($C111:$S111,13))-INDEX($AQ$2:$BG$7,MATCH($B111,$AO$2:$AO$7,0),Week+1):INDEX($AQ$2:$BG$7,MATCH($B111,$AO$2:$AO$7,0),13)),0))+ROW(A110)/1000000</f>
        <v>-4.0236399999999994</v>
      </c>
      <c r="AF111">
        <f t="shared" si="10"/>
        <v>390</v>
      </c>
      <c r="AG111">
        <f t="shared" si="11"/>
        <v>395</v>
      </c>
      <c r="AH111">
        <f t="shared" si="12"/>
        <v>361</v>
      </c>
      <c r="AI111">
        <f t="shared" si="13"/>
        <v>346</v>
      </c>
      <c r="AJ111" s="22">
        <f>IF(ISERROR(MATCH(A111,Rosters!$B$2:$B$155,0)),AD111,"")</f>
        <v>-4.5298899999999991</v>
      </c>
      <c r="AK111">
        <f t="shared" si="14"/>
        <v>209</v>
      </c>
      <c r="AL111" s="23">
        <f>COUNTIF(INDEX($C111:$S111,Week+1):INDEX($C111:$S111,13),"&gt;0")</f>
        <v>7</v>
      </c>
    </row>
    <row r="112" spans="1:38" x14ac:dyDescent="0.25">
      <c r="A112" t="s">
        <v>1387</v>
      </c>
      <c r="B112" t="s">
        <v>47</v>
      </c>
      <c r="C112">
        <v>4.8</v>
      </c>
      <c r="D112">
        <v>5.73</v>
      </c>
      <c r="E112">
        <v>10.4</v>
      </c>
      <c r="F112">
        <v>0</v>
      </c>
      <c r="G112">
        <v>2.04</v>
      </c>
      <c r="H112">
        <v>3.82</v>
      </c>
      <c r="I112">
        <v>4.3499999999999996</v>
      </c>
      <c r="J112">
        <v>4.72</v>
      </c>
      <c r="K112" t="s">
        <v>64</v>
      </c>
      <c r="L112">
        <v>4.57</v>
      </c>
      <c r="M112">
        <v>3.62</v>
      </c>
      <c r="N112">
        <v>4.0999999999999996</v>
      </c>
      <c r="O112">
        <v>6.26</v>
      </c>
      <c r="P112">
        <v>4.26</v>
      </c>
      <c r="Q112">
        <v>5.81</v>
      </c>
      <c r="R112">
        <v>5.65</v>
      </c>
      <c r="S112">
        <v>5.79</v>
      </c>
      <c r="T112" s="2">
        <f>IF('ROS Rankings'!$AD$1,IFERROR(AVERAGE(INDEX($C112:$S112,14):INDEX($C112:$S112,17)),0),IFERROR(AVERAGE(INDEX($C112:$S112,Week+1):INDEX($C112:$S112,13)),0))</f>
        <v>4.4914285714285711</v>
      </c>
      <c r="U112" s="2" t="str">
        <f t="shared" si="16"/>
        <v/>
      </c>
      <c r="V112" s="2">
        <f t="shared" si="16"/>
        <v>4.4914285714285711</v>
      </c>
      <c r="W112" s="2" t="str">
        <f t="shared" si="16"/>
        <v/>
      </c>
      <c r="X112" s="2" t="str">
        <f t="shared" si="16"/>
        <v/>
      </c>
      <c r="Y112" s="2" t="str">
        <f t="shared" si="16"/>
        <v/>
      </c>
      <c r="Z112" s="2" t="str">
        <f t="shared" si="16"/>
        <v/>
      </c>
      <c r="AA112" s="23" t="str">
        <f t="shared" si="9"/>
        <v>RB63</v>
      </c>
      <c r="AB112" s="2">
        <f>$T112-VLOOKUP($B112,Scores!$AG$1:$AM$7,5,FALSE)</f>
        <v>-7.2671428571428578</v>
      </c>
      <c r="AC112" s="2">
        <f>$T112-VLOOKUP($B112,Scores!$AG$1:$AM$7,6,FALSE)</f>
        <v>-3.7785714285714302</v>
      </c>
      <c r="AD112" s="2">
        <f>$T112-VLOOKUP($B112,Scores!$AG$1:$AM$7,7,FALSE)+(ROW(A111)/1000000)</f>
        <v>-1.3770318571428581</v>
      </c>
      <c r="AE112" s="2">
        <f t="array" ref="AE112">IF('ROS Rankings'!$AD$1,IFERROR(AVERAGE(IF(INDEX($C112:$S112,14):INDEX($C112:$S112,17)="NA",0,INDEX($C112:$S112,14):INDEX($C112:$S112,17))-INDEX($AQ$2:$BG$7,MATCH($B112,$AO$2:$AO$7,0),14):INDEX($AQ$2:$BG$7,MATCH($B112,$AO$2:$AO$7,0),17)),0),IFERROR(AVERAGE(IF(INDEX($C112:$S112,Week+1):INDEX($C112:$S112,13)="NA",0,INDEX($C112:$S112,Week+1):INDEX($C112:$S112,13))-INDEX($AQ$2:$BG$7,MATCH($B112,$AO$2:$AO$7,0),Week+1):INDEX($AQ$2:$BG$7,MATCH($B112,$AO$2:$AO$7,0),13)),0))+ROW(A111)/1000000</f>
        <v>-1.4298890000000002</v>
      </c>
      <c r="AF112">
        <f t="shared" si="10"/>
        <v>358</v>
      </c>
      <c r="AG112">
        <f t="shared" si="11"/>
        <v>290</v>
      </c>
      <c r="AH112">
        <f t="shared" si="12"/>
        <v>219</v>
      </c>
      <c r="AI112">
        <f t="shared" si="13"/>
        <v>206</v>
      </c>
      <c r="AJ112" s="22">
        <f>IF(ISERROR(MATCH(A112,Rosters!$B$2:$B$155,0)),AD112,"")</f>
        <v>-1.3770318571428581</v>
      </c>
      <c r="AK112">
        <f t="shared" si="14"/>
        <v>80</v>
      </c>
      <c r="AL112" s="23">
        <f>COUNTIF(INDEX($C112:$S112,Week+1):INDEX($C112:$S112,13),"&gt;0")</f>
        <v>7</v>
      </c>
    </row>
    <row r="113" spans="1:38" x14ac:dyDescent="0.25">
      <c r="A113" t="s">
        <v>171</v>
      </c>
      <c r="B113" t="s">
        <v>87</v>
      </c>
      <c r="C113">
        <v>7.61</v>
      </c>
      <c r="D113">
        <v>8.25</v>
      </c>
      <c r="E113">
        <v>8.0299999999999994</v>
      </c>
      <c r="F113">
        <v>8.35</v>
      </c>
      <c r="G113">
        <v>9.16</v>
      </c>
      <c r="H113">
        <v>9.16</v>
      </c>
      <c r="I113">
        <v>8.77</v>
      </c>
      <c r="J113" t="s">
        <v>64</v>
      </c>
      <c r="K113">
        <v>8.11</v>
      </c>
      <c r="L113">
        <v>8.8699999999999992</v>
      </c>
      <c r="M113">
        <v>8.64</v>
      </c>
      <c r="N113">
        <v>7.44</v>
      </c>
      <c r="O113">
        <v>9.75</v>
      </c>
      <c r="P113">
        <v>9.52</v>
      </c>
      <c r="Q113">
        <v>7.29</v>
      </c>
      <c r="R113">
        <v>8.4</v>
      </c>
      <c r="S113">
        <v>8.89</v>
      </c>
      <c r="T113" s="2">
        <f>IF('ROS Rankings'!$AD$1,IFERROR(AVERAGE(INDEX($C113:$S113,14):INDEX($C113:$S113,17)),0),IFERROR(AVERAGE(INDEX($C113:$S113,Week+1):INDEX($C113:$S113,13)),0))</f>
        <v>8.6771428571428562</v>
      </c>
      <c r="U113" s="2" t="str">
        <f t="shared" si="16"/>
        <v/>
      </c>
      <c r="V113" s="2" t="str">
        <f t="shared" si="16"/>
        <v/>
      </c>
      <c r="W113" s="2">
        <f t="shared" si="16"/>
        <v>8.6771428571428562</v>
      </c>
      <c r="X113" s="2" t="str">
        <f t="shared" si="16"/>
        <v/>
      </c>
      <c r="Y113" s="2" t="str">
        <f t="shared" si="16"/>
        <v/>
      </c>
      <c r="Z113" s="2" t="str">
        <f t="shared" si="16"/>
        <v/>
      </c>
      <c r="AA113" s="23" t="str">
        <f t="shared" si="9"/>
        <v>WR26</v>
      </c>
      <c r="AB113" s="2">
        <f>$T113-VLOOKUP($B113,Scores!$AG$1:$AM$7,5,FALSE)</f>
        <v>-1.694285714285714</v>
      </c>
      <c r="AC113" s="2">
        <f>$T113-VLOOKUP($B113,Scores!$AG$1:$AM$7,6,FALSE)</f>
        <v>0.64571428571428413</v>
      </c>
      <c r="AD113" s="2">
        <f>$T113-VLOOKUP($B113,Scores!$AG$1:$AM$7,7,FALSE)+(ROW(A112)/1000000)</f>
        <v>2.6243977142857138</v>
      </c>
      <c r="AE113" s="2">
        <f t="array" ref="AE113">IF('ROS Rankings'!$AD$1,IFERROR(AVERAGE(IF(INDEX($C113:$S113,14):INDEX($C113:$S113,17)="NA",0,INDEX($C113:$S113,14):INDEX($C113:$S113,17))-INDEX($AQ$2:$BG$7,MATCH($B113,$AO$2:$AO$7,0),14):INDEX($AQ$2:$BG$7,MATCH($B113,$AO$2:$AO$7,0),17)),0),IFERROR(AVERAGE(IF(INDEX($C113:$S113,Week+1):INDEX($C113:$S113,13)="NA",0,INDEX($C113:$S113,Week+1):INDEX($C113:$S113,13))-INDEX($AQ$2:$BG$7,MATCH($B113,$AO$2:$AO$7,0),Week+1):INDEX($AQ$2:$BG$7,MATCH($B113,$AO$2:$AO$7,0),13)),0))+ROW(A112)/1000000</f>
        <v>2.2363619999999997</v>
      </c>
      <c r="AF113">
        <f t="shared" si="10"/>
        <v>118</v>
      </c>
      <c r="AG113">
        <f t="shared" si="11"/>
        <v>67</v>
      </c>
      <c r="AH113">
        <f t="shared" si="12"/>
        <v>53</v>
      </c>
      <c r="AI113">
        <f t="shared" si="13"/>
        <v>57</v>
      </c>
      <c r="AJ113" s="22" t="str">
        <f>IF(ISERROR(MATCH(A113,Rosters!$B$2:$B$155,0)),AD113,"")</f>
        <v/>
      </c>
      <c r="AK113" t="str">
        <f t="shared" si="14"/>
        <v/>
      </c>
      <c r="AL113" s="23">
        <f>COUNTIF(INDEX($C113:$S113,Week+1):INDEX($C113:$S113,13),"&gt;0")</f>
        <v>7</v>
      </c>
    </row>
    <row r="114" spans="1:38" x14ac:dyDescent="0.25">
      <c r="A114" t="s">
        <v>316</v>
      </c>
      <c r="B114" t="s">
        <v>47</v>
      </c>
      <c r="C114">
        <v>3.22</v>
      </c>
      <c r="D114">
        <v>5.83</v>
      </c>
      <c r="E114">
        <v>7.51</v>
      </c>
      <c r="F114">
        <v>3.9</v>
      </c>
      <c r="G114">
        <v>5.8</v>
      </c>
      <c r="H114">
        <v>4.68</v>
      </c>
      <c r="I114">
        <v>2.4300000000000002</v>
      </c>
      <c r="J114">
        <v>1.85</v>
      </c>
      <c r="K114" t="s">
        <v>64</v>
      </c>
      <c r="L114">
        <v>2.25</v>
      </c>
      <c r="M114">
        <v>2.54</v>
      </c>
      <c r="N114">
        <v>2.25</v>
      </c>
      <c r="O114">
        <v>2.5099999999999998</v>
      </c>
      <c r="P114">
        <v>2.11</v>
      </c>
      <c r="Q114">
        <v>2.9</v>
      </c>
      <c r="R114">
        <v>2.17</v>
      </c>
      <c r="S114">
        <v>2.1800000000000002</v>
      </c>
      <c r="T114" s="2">
        <f>IF('ROS Rankings'!$AD$1,IFERROR(AVERAGE(INDEX($C114:$S114,14):INDEX($C114:$S114,17)),0),IFERROR(AVERAGE(INDEX($C114:$S114,Week+1):INDEX($C114:$S114,13)),0))</f>
        <v>2.6442857142857141</v>
      </c>
      <c r="U114" s="2" t="str">
        <f t="shared" si="16"/>
        <v/>
      </c>
      <c r="V114" s="2">
        <f t="shared" si="16"/>
        <v>2.6442857142857141</v>
      </c>
      <c r="W114" s="2" t="str">
        <f t="shared" si="16"/>
        <v/>
      </c>
      <c r="X114" s="2" t="str">
        <f t="shared" si="16"/>
        <v/>
      </c>
      <c r="Y114" s="2" t="str">
        <f t="shared" si="16"/>
        <v/>
      </c>
      <c r="Z114" s="2" t="str">
        <f t="shared" si="16"/>
        <v/>
      </c>
      <c r="AA114" s="23" t="str">
        <f t="shared" si="9"/>
        <v>RB73</v>
      </c>
      <c r="AB114" s="2">
        <f>$T114-VLOOKUP($B114,Scores!$AG$1:$AM$7,5,FALSE)</f>
        <v>-9.1142857142857139</v>
      </c>
      <c r="AC114" s="2">
        <f>$T114-VLOOKUP($B114,Scores!$AG$1:$AM$7,6,FALSE)</f>
        <v>-5.6257142857142872</v>
      </c>
      <c r="AD114" s="2">
        <f>$T114-VLOOKUP($B114,Scores!$AG$1:$AM$7,7,FALSE)+(ROW(A113)/1000000)</f>
        <v>-3.2241727142857153</v>
      </c>
      <c r="AE114" s="2">
        <f t="array" ref="AE114">IF('ROS Rankings'!$AD$1,IFERROR(AVERAGE(IF(INDEX($C114:$S114,14):INDEX($C114:$S114,17)="NA",0,INDEX($C114:$S114,14):INDEX($C114:$S114,17))-INDEX($AQ$2:$BG$7,MATCH($B114,$AO$2:$AO$7,0),14):INDEX($AQ$2:$BG$7,MATCH($B114,$AO$2:$AO$7,0),17)),0),IFERROR(AVERAGE(IF(INDEX($C114:$S114,Week+1):INDEX($C114:$S114,13)="NA",0,INDEX($C114:$S114,Week+1):INDEX($C114:$S114,13))-INDEX($AQ$2:$BG$7,MATCH($B114,$AO$2:$AO$7,0),Week+1):INDEX($AQ$2:$BG$7,MATCH($B114,$AO$2:$AO$7,0),13)),0))+ROW(A113)/1000000</f>
        <v>-3.0461369999999999</v>
      </c>
      <c r="AF114">
        <f t="shared" si="10"/>
        <v>394</v>
      </c>
      <c r="AG114">
        <f t="shared" si="11"/>
        <v>378</v>
      </c>
      <c r="AH114">
        <f t="shared" si="12"/>
        <v>313</v>
      </c>
      <c r="AI114">
        <f t="shared" si="13"/>
        <v>300</v>
      </c>
      <c r="AJ114" s="22">
        <f>IF(ISERROR(MATCH(A114,Rosters!$B$2:$B$155,0)),AD114,"")</f>
        <v>-3.2241727142857153</v>
      </c>
      <c r="AK114">
        <f t="shared" si="14"/>
        <v>163</v>
      </c>
      <c r="AL114" s="23">
        <f>COUNTIF(INDEX($C114:$S114,Week+1):INDEX($C114:$S114,13),"&gt;0")</f>
        <v>7</v>
      </c>
    </row>
    <row r="115" spans="1:38" x14ac:dyDescent="0.25">
      <c r="A115" t="s">
        <v>1425</v>
      </c>
      <c r="B115" t="s">
        <v>87</v>
      </c>
      <c r="C115">
        <v>3.08</v>
      </c>
      <c r="D115">
        <v>4.4800000000000004</v>
      </c>
      <c r="E115">
        <v>2.41</v>
      </c>
      <c r="F115">
        <v>4.0599999999999996</v>
      </c>
      <c r="G115">
        <v>4.99</v>
      </c>
      <c r="H115">
        <v>5.15</v>
      </c>
      <c r="I115">
        <v>4.95</v>
      </c>
      <c r="J115">
        <v>5.86</v>
      </c>
      <c r="K115">
        <v>5.48</v>
      </c>
      <c r="L115" t="s">
        <v>64</v>
      </c>
      <c r="M115">
        <v>4.8899999999999997</v>
      </c>
      <c r="N115">
        <v>5.37</v>
      </c>
      <c r="O115">
        <v>4.91</v>
      </c>
      <c r="P115">
        <v>5.72</v>
      </c>
      <c r="Q115">
        <v>5.22</v>
      </c>
      <c r="R115">
        <v>6.02</v>
      </c>
      <c r="S115">
        <v>5.09</v>
      </c>
      <c r="T115" s="2">
        <f>IF('ROS Rankings'!$AD$1,IFERROR(AVERAGE(INDEX($C115:$S115,14):INDEX($C115:$S115,17)),0),IFERROR(AVERAGE(INDEX($C115:$S115,Week+1):INDEX($C115:$S115,13)),0))</f>
        <v>5.2299999999999995</v>
      </c>
      <c r="U115" s="2" t="str">
        <f t="shared" si="16"/>
        <v/>
      </c>
      <c r="V115" s="2" t="str">
        <f t="shared" si="16"/>
        <v/>
      </c>
      <c r="W115" s="2">
        <f t="shared" si="16"/>
        <v>5.2299999999999995</v>
      </c>
      <c r="X115" s="2" t="str">
        <f t="shared" si="16"/>
        <v/>
      </c>
      <c r="Y115" s="2" t="str">
        <f t="shared" si="16"/>
        <v/>
      </c>
      <c r="Z115" s="2" t="str">
        <f t="shared" si="16"/>
        <v/>
      </c>
      <c r="AA115" s="23" t="str">
        <f t="shared" si="9"/>
        <v>WR60</v>
      </c>
      <c r="AB115" s="2">
        <f>$T115-VLOOKUP($B115,Scores!$AG$1:$AM$7,5,FALSE)</f>
        <v>-5.1414285714285706</v>
      </c>
      <c r="AC115" s="2">
        <f>$T115-VLOOKUP($B115,Scores!$AG$1:$AM$7,6,FALSE)</f>
        <v>-2.8014285714285725</v>
      </c>
      <c r="AD115" s="2">
        <f>$T115-VLOOKUP($B115,Scores!$AG$1:$AM$7,7,FALSE)+(ROW(A114)/1000000)</f>
        <v>-0.82274314285714301</v>
      </c>
      <c r="AE115" s="2">
        <f t="array" ref="AE115">IF('ROS Rankings'!$AD$1,IFERROR(AVERAGE(IF(INDEX($C115:$S115,14):INDEX($C115:$S115,17)="NA",0,INDEX($C115:$S115,14):INDEX($C115:$S115,17))-INDEX($AQ$2:$BG$7,MATCH($B115,$AO$2:$AO$7,0),14):INDEX($AQ$2:$BG$7,MATCH($B115,$AO$2:$AO$7,0),17)),0),IFERROR(AVERAGE(IF(INDEX($C115:$S115,Week+1):INDEX($C115:$S115,13)="NA",0,INDEX($C115:$S115,Week+1):INDEX($C115:$S115,13))-INDEX($AQ$2:$BG$7,MATCH($B115,$AO$2:$AO$7,0),Week+1):INDEX($AQ$2:$BG$7,MATCH($B115,$AO$2:$AO$7,0),13)),0))+ROW(A114)/1000000</f>
        <v>-0.77988599999999997</v>
      </c>
      <c r="AF115">
        <f t="shared" si="10"/>
        <v>242</v>
      </c>
      <c r="AG115">
        <f t="shared" si="11"/>
        <v>232</v>
      </c>
      <c r="AH115">
        <f t="shared" si="12"/>
        <v>191</v>
      </c>
      <c r="AI115">
        <f t="shared" si="13"/>
        <v>158</v>
      </c>
      <c r="AJ115" s="22">
        <f>IF(ISERROR(MATCH(A115,Rosters!$B$2:$B$155,0)),AD115,"")</f>
        <v>-0.82274314285714301</v>
      </c>
      <c r="AK115">
        <f t="shared" si="14"/>
        <v>58</v>
      </c>
      <c r="AL115" s="23">
        <f>COUNTIF(INDEX($C115:$S115,Week+1):INDEX($C115:$S115,13),"&gt;0")</f>
        <v>7</v>
      </c>
    </row>
    <row r="116" spans="1:38" x14ac:dyDescent="0.25">
      <c r="A116" t="s">
        <v>233</v>
      </c>
      <c r="B116" t="s">
        <v>87</v>
      </c>
      <c r="C116">
        <v>0</v>
      </c>
      <c r="D116">
        <v>0</v>
      </c>
      <c r="E116">
        <v>0</v>
      </c>
      <c r="F116" t="s">
        <v>64</v>
      </c>
      <c r="G116">
        <v>1.68</v>
      </c>
      <c r="H116">
        <v>1.86</v>
      </c>
      <c r="I116">
        <v>1.72</v>
      </c>
      <c r="J116">
        <v>1.49</v>
      </c>
      <c r="K116">
        <v>2.73</v>
      </c>
      <c r="L116">
        <v>2.72</v>
      </c>
      <c r="M116">
        <v>3.1</v>
      </c>
      <c r="N116">
        <v>2.12</v>
      </c>
      <c r="O116">
        <v>2.66</v>
      </c>
      <c r="P116">
        <v>1.97</v>
      </c>
      <c r="Q116">
        <v>3.09</v>
      </c>
      <c r="R116">
        <v>3.21</v>
      </c>
      <c r="S116">
        <v>2.96</v>
      </c>
      <c r="T116" s="2">
        <f>IF('ROS Rankings'!$AD$1,IFERROR(AVERAGE(INDEX($C116:$S116,14):INDEX($C116:$S116,17)),0),IFERROR(AVERAGE(INDEX($C116:$S116,Week+1):INDEX($C116:$S116,13)),0))</f>
        <v>2.3000000000000003</v>
      </c>
      <c r="U116" s="2" t="str">
        <f t="shared" si="16"/>
        <v/>
      </c>
      <c r="V116" s="2" t="str">
        <f t="shared" si="16"/>
        <v/>
      </c>
      <c r="W116" s="2">
        <f t="shared" si="16"/>
        <v>2.3000000000000003</v>
      </c>
      <c r="X116" s="2" t="str">
        <f t="shared" si="16"/>
        <v/>
      </c>
      <c r="Y116" s="2" t="str">
        <f t="shared" si="16"/>
        <v/>
      </c>
      <c r="Z116" s="2" t="str">
        <f t="shared" si="16"/>
        <v/>
      </c>
      <c r="AA116" s="23" t="str">
        <f t="shared" si="9"/>
        <v>WR109</v>
      </c>
      <c r="AB116" s="2">
        <f>$T116-VLOOKUP($B116,Scores!$AG$1:$AM$7,5,FALSE)</f>
        <v>-8.0714285714285694</v>
      </c>
      <c r="AC116" s="2">
        <f>$T116-VLOOKUP($B116,Scores!$AG$1:$AM$7,6,FALSE)</f>
        <v>-5.7314285714285713</v>
      </c>
      <c r="AD116" s="2">
        <f>$T116-VLOOKUP($B116,Scores!$AG$1:$AM$7,7,FALSE)+(ROW(A115)/1000000)</f>
        <v>-3.7527421428571421</v>
      </c>
      <c r="AE116" s="2">
        <f t="array" ref="AE116">IF('ROS Rankings'!$AD$1,IFERROR(AVERAGE(IF(INDEX($C116:$S116,14):INDEX($C116:$S116,17)="NA",0,INDEX($C116:$S116,14):INDEX($C116:$S116,17))-INDEX($AQ$2:$BG$7,MATCH($B116,$AO$2:$AO$7,0),14):INDEX($AQ$2:$BG$7,MATCH($B116,$AO$2:$AO$7,0),17)),0),IFERROR(AVERAGE(IF(INDEX($C116:$S116,Week+1):INDEX($C116:$S116,13)="NA",0,INDEX($C116:$S116,Week+1):INDEX($C116:$S116,13))-INDEX($AQ$2:$BG$7,MATCH($B116,$AO$2:$AO$7,0),Week+1):INDEX($AQ$2:$BG$7,MATCH($B116,$AO$2:$AO$7,0),13)),0))+ROW(A115)/1000000</f>
        <v>-3.0561349999999998</v>
      </c>
      <c r="AF116">
        <f t="shared" si="10"/>
        <v>377</v>
      </c>
      <c r="AG116">
        <f t="shared" si="11"/>
        <v>380</v>
      </c>
      <c r="AH116">
        <f t="shared" si="12"/>
        <v>335</v>
      </c>
      <c r="AI116">
        <f t="shared" si="13"/>
        <v>302</v>
      </c>
      <c r="AJ116" s="22">
        <f>IF(ISERROR(MATCH(A116,Rosters!$B$2:$B$155,0)),AD116,"")</f>
        <v>-3.7527421428571421</v>
      </c>
      <c r="AK116">
        <f t="shared" si="14"/>
        <v>184</v>
      </c>
      <c r="AL116" s="23">
        <f>COUNTIF(INDEX($C116:$S116,Week+1):INDEX($C116:$S116,13),"&gt;0")</f>
        <v>8</v>
      </c>
    </row>
    <row r="117" spans="1:38" x14ac:dyDescent="0.25">
      <c r="A117" t="s">
        <v>260</v>
      </c>
      <c r="B117" t="s">
        <v>47</v>
      </c>
      <c r="C117">
        <v>0</v>
      </c>
      <c r="D117">
        <v>0</v>
      </c>
      <c r="E117">
        <v>0</v>
      </c>
      <c r="F117">
        <v>0</v>
      </c>
      <c r="G117">
        <v>0</v>
      </c>
      <c r="H117">
        <v>5.5</v>
      </c>
      <c r="I117">
        <v>3.32</v>
      </c>
      <c r="J117">
        <v>4.62</v>
      </c>
      <c r="K117">
        <v>4.32</v>
      </c>
      <c r="L117" t="s">
        <v>64</v>
      </c>
      <c r="M117">
        <v>4.5</v>
      </c>
      <c r="N117">
        <v>4.78</v>
      </c>
      <c r="O117">
        <v>4.7300000000000004</v>
      </c>
      <c r="P117">
        <v>4.71</v>
      </c>
      <c r="Q117">
        <v>4.88</v>
      </c>
      <c r="R117">
        <v>3.62</v>
      </c>
      <c r="S117">
        <v>3.49</v>
      </c>
      <c r="T117" s="2">
        <f>IF('ROS Rankings'!$AD$1,IFERROR(AVERAGE(INDEX($C117:$S117,14):INDEX($C117:$S117,17)),0),IFERROR(AVERAGE(INDEX($C117:$S117,Week+1):INDEX($C117:$S117,13)),0))</f>
        <v>4.5385714285714291</v>
      </c>
      <c r="U117" s="2" t="str">
        <f t="shared" si="16"/>
        <v/>
      </c>
      <c r="V117" s="2">
        <f t="shared" si="16"/>
        <v>4.5385714285714291</v>
      </c>
      <c r="W117" s="2" t="str">
        <f t="shared" si="16"/>
        <v/>
      </c>
      <c r="X117" s="2" t="str">
        <f t="shared" si="16"/>
        <v/>
      </c>
      <c r="Y117" s="2" t="str">
        <f t="shared" si="16"/>
        <v/>
      </c>
      <c r="Z117" s="2" t="str">
        <f t="shared" si="16"/>
        <v/>
      </c>
      <c r="AA117" s="23" t="str">
        <f t="shared" si="9"/>
        <v>RB62</v>
      </c>
      <c r="AB117" s="2">
        <f>$T117-VLOOKUP($B117,Scores!$AG$1:$AM$7,5,FALSE)</f>
        <v>-7.22</v>
      </c>
      <c r="AC117" s="2">
        <f>$T117-VLOOKUP($B117,Scores!$AG$1:$AM$7,6,FALSE)</f>
        <v>-3.7314285714285722</v>
      </c>
      <c r="AD117" s="2">
        <f>$T117-VLOOKUP($B117,Scores!$AG$1:$AM$7,7,FALSE)+(ROW(A116)/1000000)</f>
        <v>-1.3298840000000001</v>
      </c>
      <c r="AE117" s="2">
        <f t="array" ref="AE117">IF('ROS Rankings'!$AD$1,IFERROR(AVERAGE(IF(INDEX($C117:$S117,14):INDEX($C117:$S117,17)="NA",0,INDEX($C117:$S117,14):INDEX($C117:$S117,17))-INDEX($AQ$2:$BG$7,MATCH($B117,$AO$2:$AO$7,0),14):INDEX($AQ$2:$BG$7,MATCH($B117,$AO$2:$AO$7,0),17)),0),IFERROR(AVERAGE(IF(INDEX($C117:$S117,Week+1):INDEX($C117:$S117,13)="NA",0,INDEX($C117:$S117,Week+1):INDEX($C117:$S117,13))-INDEX($AQ$2:$BG$7,MATCH($B117,$AO$2:$AO$7,0),Week+1):INDEX($AQ$2:$BG$7,MATCH($B117,$AO$2:$AO$7,0),13)),0))+ROW(A116)/1000000</f>
        <v>-1.3886339999999997</v>
      </c>
      <c r="AF117">
        <f t="shared" si="10"/>
        <v>355</v>
      </c>
      <c r="AG117">
        <f t="shared" si="11"/>
        <v>287</v>
      </c>
      <c r="AH117">
        <f t="shared" si="12"/>
        <v>217</v>
      </c>
      <c r="AI117">
        <f t="shared" si="13"/>
        <v>200</v>
      </c>
      <c r="AJ117" s="22">
        <f>IF(ISERROR(MATCH(A117,Rosters!$B$2:$B$155,0)),AD117,"")</f>
        <v>-1.3298840000000001</v>
      </c>
      <c r="AK117">
        <f t="shared" si="14"/>
        <v>78</v>
      </c>
      <c r="AL117" s="23">
        <f>COUNTIF(INDEX($C117:$S117,Week+1):INDEX($C117:$S117,13),"&gt;0")</f>
        <v>7</v>
      </c>
    </row>
    <row r="118" spans="1:38" x14ac:dyDescent="0.25">
      <c r="A118" t="s">
        <v>1503</v>
      </c>
      <c r="B118" t="s">
        <v>87</v>
      </c>
      <c r="C118">
        <v>1.58</v>
      </c>
      <c r="D118">
        <v>1.44</v>
      </c>
      <c r="E118">
        <v>0.62</v>
      </c>
      <c r="F118">
        <v>0.56000000000000005</v>
      </c>
      <c r="G118">
        <v>0.61</v>
      </c>
      <c r="H118">
        <v>0.66</v>
      </c>
      <c r="I118">
        <v>0.73</v>
      </c>
      <c r="J118">
        <v>0.53</v>
      </c>
      <c r="K118" t="s">
        <v>64</v>
      </c>
      <c r="L118">
        <v>0.65</v>
      </c>
      <c r="M118">
        <v>0.44</v>
      </c>
      <c r="N118">
        <v>0.53</v>
      </c>
      <c r="O118">
        <v>0.68</v>
      </c>
      <c r="P118">
        <v>0.56000000000000005</v>
      </c>
      <c r="Q118">
        <v>0.55000000000000004</v>
      </c>
      <c r="R118">
        <v>0.54</v>
      </c>
      <c r="S118">
        <v>0.7</v>
      </c>
      <c r="T118" s="2">
        <f>IF('ROS Rankings'!$AD$1,IFERROR(AVERAGE(INDEX($C118:$S118,14):INDEX($C118:$S118,17)),0),IFERROR(AVERAGE(INDEX($C118:$S118,Week+1):INDEX($C118:$S118,13)),0))</f>
        <v>0.60285714285714287</v>
      </c>
      <c r="U118" s="2" t="str">
        <f t="shared" si="16"/>
        <v/>
      </c>
      <c r="V118" s="2" t="str">
        <f t="shared" si="16"/>
        <v/>
      </c>
      <c r="W118" s="2">
        <f t="shared" si="16"/>
        <v>0.60285714285714287</v>
      </c>
      <c r="X118" s="2" t="str">
        <f t="shared" si="16"/>
        <v/>
      </c>
      <c r="Y118" s="2" t="str">
        <f t="shared" si="16"/>
        <v/>
      </c>
      <c r="Z118" s="2" t="str">
        <f t="shared" si="16"/>
        <v/>
      </c>
      <c r="AA118" s="23" t="str">
        <f t="shared" si="9"/>
        <v>WR150</v>
      </c>
      <c r="AB118" s="2">
        <f>$T118-VLOOKUP($B118,Scores!$AG$1:$AM$7,5,FALSE)</f>
        <v>-9.7685714285714269</v>
      </c>
      <c r="AC118" s="2">
        <f>$T118-VLOOKUP($B118,Scores!$AG$1:$AM$7,6,FALSE)</f>
        <v>-7.4285714285714288</v>
      </c>
      <c r="AD118" s="2">
        <f>$T118-VLOOKUP($B118,Scores!$AG$1:$AM$7,7,FALSE)+(ROW(A117)/1000000)</f>
        <v>-5.4498829999999989</v>
      </c>
      <c r="AE118" s="2">
        <f t="array" ref="AE118">IF('ROS Rankings'!$AD$1,IFERROR(AVERAGE(IF(INDEX($C118:$S118,14):INDEX($C118:$S118,17)="NA",0,INDEX($C118:$S118,14):INDEX($C118:$S118,17))-INDEX($AQ$2:$BG$7,MATCH($B118,$AO$2:$AO$7,0),14):INDEX($AQ$2:$BG$7,MATCH($B118,$AO$2:$AO$7,0),17)),0),IFERROR(AVERAGE(IF(INDEX($C118:$S118,Week+1):INDEX($C118:$S118,13)="NA",0,INDEX($C118:$S118,Week+1):INDEX($C118:$S118,13))-INDEX($AQ$2:$BG$7,MATCH($B118,$AO$2:$AO$7,0),Week+1):INDEX($AQ$2:$BG$7,MATCH($B118,$AO$2:$AO$7,0),13)),0))+ROW(A117)/1000000</f>
        <v>-4.8286329999999991</v>
      </c>
      <c r="AF118">
        <f t="shared" si="10"/>
        <v>425</v>
      </c>
      <c r="AG118">
        <f t="shared" si="11"/>
        <v>443</v>
      </c>
      <c r="AH118">
        <f t="shared" si="12"/>
        <v>474</v>
      </c>
      <c r="AI118">
        <f t="shared" si="13"/>
        <v>443</v>
      </c>
      <c r="AJ118" s="22">
        <f>IF(ISERROR(MATCH(A118,Rosters!$B$2:$B$155,0)),AD118,"")</f>
        <v>-5.4498829999999989</v>
      </c>
      <c r="AK118">
        <f t="shared" si="14"/>
        <v>322</v>
      </c>
      <c r="AL118" s="23">
        <f>COUNTIF(INDEX($C118:$S118,Week+1):INDEX($C118:$S118,13),"&gt;0")</f>
        <v>7</v>
      </c>
    </row>
    <row r="119" spans="1:38" x14ac:dyDescent="0.25">
      <c r="A119" t="s">
        <v>1391</v>
      </c>
      <c r="B119" t="s">
        <v>87</v>
      </c>
      <c r="C119">
        <v>5.19</v>
      </c>
      <c r="D119">
        <v>4.3099999999999996</v>
      </c>
      <c r="E119">
        <v>3.41</v>
      </c>
      <c r="F119" t="s">
        <v>64</v>
      </c>
      <c r="G119">
        <v>3.25</v>
      </c>
      <c r="H119">
        <v>4.17</v>
      </c>
      <c r="I119">
        <v>5.38</v>
      </c>
      <c r="J119">
        <v>5.79</v>
      </c>
      <c r="K119">
        <v>3.45</v>
      </c>
      <c r="L119">
        <v>3.45</v>
      </c>
      <c r="M119">
        <v>3.59</v>
      </c>
      <c r="N119">
        <v>4.41</v>
      </c>
      <c r="O119">
        <v>3.35</v>
      </c>
      <c r="P119">
        <v>4.0599999999999996</v>
      </c>
      <c r="Q119">
        <v>3.3</v>
      </c>
      <c r="R119">
        <v>3.55</v>
      </c>
      <c r="S119">
        <v>3.19</v>
      </c>
      <c r="T119" s="2">
        <f>IF('ROS Rankings'!$AD$1,IFERROR(AVERAGE(INDEX($C119:$S119,14):INDEX($C119:$S119,17)),0),IFERROR(AVERAGE(INDEX($C119:$S119,Week+1):INDEX($C119:$S119,13)),0))</f>
        <v>4.1987499999999995</v>
      </c>
      <c r="U119" s="2" t="str">
        <f t="shared" si="16"/>
        <v/>
      </c>
      <c r="V119" s="2" t="str">
        <f t="shared" si="16"/>
        <v/>
      </c>
      <c r="W119" s="2">
        <f t="shared" si="16"/>
        <v>4.1987499999999995</v>
      </c>
      <c r="X119" s="2" t="str">
        <f t="shared" si="16"/>
        <v/>
      </c>
      <c r="Y119" s="2" t="str">
        <f t="shared" si="16"/>
        <v/>
      </c>
      <c r="Z119" s="2" t="str">
        <f t="shared" si="16"/>
        <v/>
      </c>
      <c r="AA119" s="23" t="str">
        <f t="shared" si="9"/>
        <v>WR76</v>
      </c>
      <c r="AB119" s="2">
        <f>$T119-VLOOKUP($B119,Scores!$AG$1:$AM$7,5,FALSE)</f>
        <v>-6.1726785714285706</v>
      </c>
      <c r="AC119" s="2">
        <f>$T119-VLOOKUP($B119,Scores!$AG$1:$AM$7,6,FALSE)</f>
        <v>-3.8326785714285725</v>
      </c>
      <c r="AD119" s="2">
        <f>$T119-VLOOKUP($B119,Scores!$AG$1:$AM$7,7,FALSE)+(ROW(A118)/1000000)</f>
        <v>-1.8539891428571429</v>
      </c>
      <c r="AE119" s="2">
        <f t="array" ref="AE119">IF('ROS Rankings'!$AD$1,IFERROR(AVERAGE(IF(INDEX($C119:$S119,14):INDEX($C119:$S119,17)="NA",0,INDEX($C119:$S119,14):INDEX($C119:$S119,17))-INDEX($AQ$2:$BG$7,MATCH($B119,$AO$2:$AO$7,0),14):INDEX($AQ$2:$BG$7,MATCH($B119,$AO$2:$AO$7,0),17)),0),IFERROR(AVERAGE(IF(INDEX($C119:$S119,Week+1):INDEX($C119:$S119,13)="NA",0,INDEX($C119:$S119,Week+1):INDEX($C119:$S119,13))-INDEX($AQ$2:$BG$7,MATCH($B119,$AO$2:$AO$7,0),Week+1):INDEX($AQ$2:$BG$7,MATCH($B119,$AO$2:$AO$7,0),13)),0))+ROW(A118)/1000000</f>
        <v>-1.1573819999999999</v>
      </c>
      <c r="AF119">
        <f t="shared" si="10"/>
        <v>287</v>
      </c>
      <c r="AG119">
        <f t="shared" si="11"/>
        <v>292</v>
      </c>
      <c r="AH119">
        <f t="shared" si="12"/>
        <v>240</v>
      </c>
      <c r="AI119">
        <f t="shared" si="13"/>
        <v>181</v>
      </c>
      <c r="AJ119" s="22">
        <f>IF(ISERROR(MATCH(A119,Rosters!$B$2:$B$155,0)),AD119,"")</f>
        <v>-1.8539891428571429</v>
      </c>
      <c r="AK119">
        <f t="shared" si="14"/>
        <v>96</v>
      </c>
      <c r="AL119" s="23">
        <f>COUNTIF(INDEX($C119:$S119,Week+1):INDEX($C119:$S119,13),"&gt;0")</f>
        <v>8</v>
      </c>
    </row>
    <row r="120" spans="1:38" x14ac:dyDescent="0.25">
      <c r="A120" t="s">
        <v>4729</v>
      </c>
      <c r="B120" t="s">
        <v>87</v>
      </c>
      <c r="C120" t="s">
        <v>64</v>
      </c>
      <c r="D120" t="s">
        <v>64</v>
      </c>
      <c r="E120" t="s">
        <v>64</v>
      </c>
      <c r="F120">
        <v>0.55000000000000004</v>
      </c>
      <c r="G120">
        <v>0.56999999999999995</v>
      </c>
      <c r="H120">
        <v>0.59</v>
      </c>
      <c r="I120">
        <v>0.62</v>
      </c>
      <c r="J120">
        <v>0.76</v>
      </c>
      <c r="K120">
        <v>0.65</v>
      </c>
      <c r="L120" t="s">
        <v>64</v>
      </c>
      <c r="M120">
        <v>0.71</v>
      </c>
      <c r="N120">
        <v>0.59</v>
      </c>
      <c r="O120">
        <v>0.71</v>
      </c>
      <c r="P120">
        <v>0.69</v>
      </c>
      <c r="Q120">
        <v>0.62</v>
      </c>
      <c r="R120">
        <v>0.66</v>
      </c>
      <c r="S120">
        <v>0.74</v>
      </c>
      <c r="T120" s="2">
        <f>IF('ROS Rankings'!$AD$1,IFERROR(AVERAGE(INDEX($C120:$S120,14):INDEX($C120:$S120,17)),0),IFERROR(AVERAGE(INDEX($C120:$S120,Week+1):INDEX($C120:$S120,13)),0))</f>
        <v>0.66142857142857137</v>
      </c>
      <c r="U120" s="2" t="str">
        <f t="shared" si="16"/>
        <v/>
      </c>
      <c r="V120" s="2" t="str">
        <f t="shared" si="16"/>
        <v/>
      </c>
      <c r="W120" s="2">
        <f t="shared" si="16"/>
        <v>0.66142857142857137</v>
      </c>
      <c r="X120" s="2" t="str">
        <f t="shared" si="16"/>
        <v/>
      </c>
      <c r="Y120" s="2" t="str">
        <f t="shared" si="16"/>
        <v/>
      </c>
      <c r="Z120" s="2" t="str">
        <f t="shared" si="16"/>
        <v/>
      </c>
      <c r="AA120" s="23" t="str">
        <f t="shared" si="9"/>
        <v>WR144</v>
      </c>
      <c r="AB120" s="2">
        <f>$T120-VLOOKUP($B120,Scores!$AG$1:$AM$7,5,FALSE)</f>
        <v>-9.7099999999999991</v>
      </c>
      <c r="AC120" s="2">
        <f>$T120-VLOOKUP($B120,Scores!$AG$1:$AM$7,6,FALSE)</f>
        <v>-7.370000000000001</v>
      </c>
      <c r="AD120" s="2">
        <f>$T120-VLOOKUP($B120,Scores!$AG$1:$AM$7,7,FALSE)+(ROW(A119)/1000000)</f>
        <v>-5.3913095714285717</v>
      </c>
      <c r="AE120" s="2">
        <f t="array" ref="AE120">IF('ROS Rankings'!$AD$1,IFERROR(AVERAGE(IF(INDEX($C120:$S120,14):INDEX($C120:$S120,17)="NA",0,INDEX($C120:$S120,14):INDEX($C120:$S120,17))-INDEX($AQ$2:$BG$7,MATCH($B120,$AO$2:$AO$7,0),14):INDEX($AQ$2:$BG$7,MATCH($B120,$AO$2:$AO$7,0),17)),0),IFERROR(AVERAGE(IF(INDEX($C120:$S120,Week+1):INDEX($C120:$S120,13)="NA",0,INDEX($C120:$S120,Week+1):INDEX($C120:$S120,13))-INDEX($AQ$2:$BG$7,MATCH($B120,$AO$2:$AO$7,0),Week+1):INDEX($AQ$2:$BG$7,MATCH($B120,$AO$2:$AO$7,0),13)),0))+ROW(A119)/1000000</f>
        <v>-4.7773810000000001</v>
      </c>
      <c r="AF120">
        <f t="shared" si="10"/>
        <v>419</v>
      </c>
      <c r="AG120">
        <f t="shared" si="11"/>
        <v>434</v>
      </c>
      <c r="AH120">
        <f t="shared" si="12"/>
        <v>464</v>
      </c>
      <c r="AI120">
        <f t="shared" si="13"/>
        <v>430</v>
      </c>
      <c r="AJ120" s="22">
        <f>IF(ISERROR(MATCH(A120,Rosters!$B$2:$B$155,0)),AD120,"")</f>
        <v>-5.3913095714285717</v>
      </c>
      <c r="AK120">
        <f t="shared" si="14"/>
        <v>312</v>
      </c>
      <c r="AL120" s="23">
        <f>COUNTIF(INDEX($C120:$S120,Week+1):INDEX($C120:$S120,13),"&gt;0")</f>
        <v>7</v>
      </c>
    </row>
    <row r="121" spans="1:38" x14ac:dyDescent="0.25">
      <c r="A121" t="s">
        <v>59</v>
      </c>
      <c r="B121" t="s">
        <v>15</v>
      </c>
      <c r="C121">
        <v>15.04</v>
      </c>
      <c r="D121">
        <v>15.59</v>
      </c>
      <c r="E121">
        <v>13.81</v>
      </c>
      <c r="F121">
        <v>17.43</v>
      </c>
      <c r="G121">
        <v>17.57</v>
      </c>
      <c r="H121">
        <v>13.18</v>
      </c>
      <c r="I121">
        <v>15.77</v>
      </c>
      <c r="J121" t="s">
        <v>64</v>
      </c>
      <c r="K121">
        <v>18.079999999999998</v>
      </c>
      <c r="L121">
        <v>13.07</v>
      </c>
      <c r="M121">
        <v>18.53</v>
      </c>
      <c r="N121">
        <v>16.920000000000002</v>
      </c>
      <c r="O121">
        <v>19.53</v>
      </c>
      <c r="P121">
        <v>13.91</v>
      </c>
      <c r="Q121">
        <v>17.989999999999998</v>
      </c>
      <c r="R121">
        <v>19.600000000000001</v>
      </c>
      <c r="S121">
        <v>18.53</v>
      </c>
      <c r="T121" s="2">
        <f>IF('ROS Rankings'!$AD$1,IFERROR(AVERAGE(INDEX($C121:$S121,14):INDEX($C121:$S121,17)),0),IFERROR(AVERAGE(INDEX($C121:$S121,Week+1):INDEX($C121:$S121,13)),0))</f>
        <v>16.440000000000001</v>
      </c>
      <c r="U121" s="2">
        <f t="shared" si="16"/>
        <v>16.440000000000001</v>
      </c>
      <c r="V121" s="2" t="str">
        <f t="shared" si="16"/>
        <v/>
      </c>
      <c r="W121" s="2" t="str">
        <f t="shared" si="16"/>
        <v/>
      </c>
      <c r="X121" s="2" t="str">
        <f t="shared" si="16"/>
        <v/>
      </c>
      <c r="Y121" s="2" t="str">
        <f t="shared" si="16"/>
        <v/>
      </c>
      <c r="Z121" s="2" t="str">
        <f t="shared" si="16"/>
        <v/>
      </c>
      <c r="AA121" s="23" t="str">
        <f t="shared" si="9"/>
        <v>QB22</v>
      </c>
      <c r="AB121" s="2">
        <f>$T121-VLOOKUP($B121,Scores!$AG$1:$AM$7,5,FALSE)</f>
        <v>-4.4442857142857122</v>
      </c>
      <c r="AC121" s="2">
        <f>$T121-VLOOKUP($B121,Scores!$AG$1:$AM$7,6,FALSE)</f>
        <v>-3.4637499999999974</v>
      </c>
      <c r="AD121" s="2">
        <f>$T121-VLOOKUP($B121,Scores!$AG$1:$AM$7,7,FALSE)+(ROW(A120)/1000000)</f>
        <v>-3.0598799999999953</v>
      </c>
      <c r="AE121" s="2">
        <f t="array" ref="AE121">IF('ROS Rankings'!$AD$1,IFERROR(AVERAGE(IF(INDEX($C121:$S121,14):INDEX($C121:$S121,17)="NA",0,INDEX($C121:$S121,14):INDEX($C121:$S121,17))-INDEX($AQ$2:$BG$7,MATCH($B121,$AO$2:$AO$7,0),14):INDEX($AQ$2:$BG$7,MATCH($B121,$AO$2:$AO$7,0),17)),0),IFERROR(AVERAGE(IF(INDEX($C121:$S121,Week+1):INDEX($C121:$S121,13)="NA",0,INDEX($C121:$S121,Week+1):INDEX($C121:$S121,13))-INDEX($AQ$2:$BG$7,MATCH($B121,$AO$2:$AO$7,0),Week+1):INDEX($AQ$2:$BG$7,MATCH($B121,$AO$2:$AO$7,0),13)),0))+ROW(A120)/1000000</f>
        <v>-4.1173799999999998</v>
      </c>
      <c r="AF121">
        <f t="shared" si="10"/>
        <v>212</v>
      </c>
      <c r="AG121">
        <f t="shared" si="11"/>
        <v>268</v>
      </c>
      <c r="AH121">
        <f t="shared" si="12"/>
        <v>307</v>
      </c>
      <c r="AI121">
        <f t="shared" si="13"/>
        <v>352</v>
      </c>
      <c r="AJ121" s="22">
        <f>IF(ISERROR(MATCH(A121,Rosters!$B$2:$B$155,0)),AD121,"")</f>
        <v>-3.0598799999999953</v>
      </c>
      <c r="AK121">
        <f t="shared" si="14"/>
        <v>160</v>
      </c>
      <c r="AL121" s="23">
        <f>COUNTIF(INDEX($C121:$S121,Week+1):INDEX($C121:$S121,13),"&gt;0")</f>
        <v>7</v>
      </c>
    </row>
    <row r="122" spans="1:38" x14ac:dyDescent="0.25">
      <c r="A122" t="s">
        <v>1478</v>
      </c>
      <c r="B122" t="s">
        <v>114</v>
      </c>
      <c r="C122">
        <v>2.4700000000000002</v>
      </c>
      <c r="D122">
        <v>3.02</v>
      </c>
      <c r="E122">
        <v>3.15</v>
      </c>
      <c r="F122">
        <v>3.45</v>
      </c>
      <c r="G122">
        <v>2.64</v>
      </c>
      <c r="H122">
        <v>3.24</v>
      </c>
      <c r="I122">
        <v>2.69</v>
      </c>
      <c r="J122">
        <v>2.5</v>
      </c>
      <c r="K122" t="s">
        <v>64</v>
      </c>
      <c r="L122">
        <v>2.85</v>
      </c>
      <c r="M122">
        <v>2.93</v>
      </c>
      <c r="N122">
        <v>3.33</v>
      </c>
      <c r="O122">
        <v>3.54</v>
      </c>
      <c r="P122">
        <v>2.76</v>
      </c>
      <c r="Q122">
        <v>3.2</v>
      </c>
      <c r="R122">
        <v>3.11</v>
      </c>
      <c r="S122">
        <v>3.45</v>
      </c>
      <c r="T122" s="2">
        <f>IF('ROS Rankings'!$AD$1,IFERROR(AVERAGE(INDEX($C122:$S122,14):INDEX($C122:$S122,17)),0),IFERROR(AVERAGE(INDEX($C122:$S122,Week+1):INDEX($C122:$S122,13)),0))</f>
        <v>3.0114285714285711</v>
      </c>
      <c r="U122" s="2" t="str">
        <f t="shared" si="16"/>
        <v/>
      </c>
      <c r="V122" s="2" t="str">
        <f t="shared" si="16"/>
        <v/>
      </c>
      <c r="W122" s="2" t="str">
        <f t="shared" si="16"/>
        <v/>
      </c>
      <c r="X122" s="2">
        <f t="shared" si="16"/>
        <v>3.0114285714285711</v>
      </c>
      <c r="Y122" s="2" t="str">
        <f t="shared" si="16"/>
        <v/>
      </c>
      <c r="Z122" s="2" t="str">
        <f t="shared" si="16"/>
        <v/>
      </c>
      <c r="AA122" s="23" t="str">
        <f t="shared" si="9"/>
        <v>TE28</v>
      </c>
      <c r="AB122" s="2">
        <f>$T122-VLOOKUP($B122,Scores!$AG$1:$AM$7,5,FALSE)</f>
        <v>-3.9873214285714282</v>
      </c>
      <c r="AC122" s="2">
        <f>$T122-VLOOKUP($B122,Scores!$AG$1:$AM$7,6,FALSE)</f>
        <v>-2.2385714285714289</v>
      </c>
      <c r="AD122" s="2">
        <f>$T122-VLOOKUP($B122,Scores!$AG$1:$AM$7,7,FALSE)+(ROW(A121)/1000000)</f>
        <v>-2.1684504285714286</v>
      </c>
      <c r="AE122" s="2">
        <f t="array" ref="AE122">IF('ROS Rankings'!$AD$1,IFERROR(AVERAGE(IF(INDEX($C122:$S122,14):INDEX($C122:$S122,17)="NA",0,INDEX($C122:$S122,14):INDEX($C122:$S122,17))-INDEX($AQ$2:$BG$7,MATCH($B122,$AO$2:$AO$7,0),14):INDEX($AQ$2:$BG$7,MATCH($B122,$AO$2:$AO$7,0),17)),0),IFERROR(AVERAGE(IF(INDEX($C122:$S122,Week+1):INDEX($C122:$S122,13)="NA",0,INDEX($C122:$S122,Week+1):INDEX($C122:$S122,13))-INDEX($AQ$2:$BG$7,MATCH($B122,$AO$2:$AO$7,0),Week+1):INDEX($AQ$2:$BG$7,MATCH($B122,$AO$2:$AO$7,0),13)),0))+ROW(A121)/1000000</f>
        <v>-2.4623789999999999</v>
      </c>
      <c r="AF122">
        <f t="shared" si="10"/>
        <v>189</v>
      </c>
      <c r="AG122">
        <f t="shared" si="11"/>
        <v>207</v>
      </c>
      <c r="AH122">
        <f t="shared" si="12"/>
        <v>253</v>
      </c>
      <c r="AI122">
        <f t="shared" si="13"/>
        <v>265</v>
      </c>
      <c r="AJ122" s="22">
        <f>IF(ISERROR(MATCH(A122,Rosters!$B$2:$B$155,0)),AD122,"")</f>
        <v>-2.1684504285714286</v>
      </c>
      <c r="AK122">
        <f t="shared" si="14"/>
        <v>109</v>
      </c>
      <c r="AL122" s="23">
        <f>COUNTIF(INDEX($C122:$S122,Week+1):INDEX($C122:$S122,13),"&gt;0")</f>
        <v>7</v>
      </c>
    </row>
    <row r="123" spans="1:38" x14ac:dyDescent="0.25">
      <c r="A123" t="s">
        <v>127</v>
      </c>
      <c r="B123" t="s">
        <v>47</v>
      </c>
      <c r="C123">
        <v>13.38</v>
      </c>
      <c r="D123">
        <v>12.7</v>
      </c>
      <c r="E123">
        <v>0</v>
      </c>
      <c r="F123">
        <v>8.07</v>
      </c>
      <c r="G123">
        <v>5.23</v>
      </c>
      <c r="H123">
        <v>12.02</v>
      </c>
      <c r="I123">
        <v>10.91</v>
      </c>
      <c r="J123">
        <v>13.44</v>
      </c>
      <c r="K123">
        <v>13.97</v>
      </c>
      <c r="L123" t="s">
        <v>64</v>
      </c>
      <c r="M123">
        <v>11.12</v>
      </c>
      <c r="N123">
        <v>13.35</v>
      </c>
      <c r="O123">
        <v>13.11</v>
      </c>
      <c r="P123">
        <v>11.32</v>
      </c>
      <c r="Q123">
        <v>13.34</v>
      </c>
      <c r="R123">
        <v>12.88</v>
      </c>
      <c r="S123">
        <v>12.06</v>
      </c>
      <c r="T123" s="2">
        <f>IF('ROS Rankings'!$AD$1,IFERROR(AVERAGE(INDEX($C123:$S123,14):INDEX($C123:$S123,17)),0),IFERROR(AVERAGE(INDEX($C123:$S123,Week+1):INDEX($C123:$S123,13)),0))</f>
        <v>12.559999999999999</v>
      </c>
      <c r="U123" s="2" t="str">
        <f t="shared" si="16"/>
        <v/>
      </c>
      <c r="V123" s="2">
        <f t="shared" si="16"/>
        <v>12.559999999999999</v>
      </c>
      <c r="W123" s="2" t="str">
        <f t="shared" si="16"/>
        <v/>
      </c>
      <c r="X123" s="2" t="str">
        <f t="shared" si="16"/>
        <v/>
      </c>
      <c r="Y123" s="2" t="str">
        <f t="shared" si="16"/>
        <v/>
      </c>
      <c r="Z123" s="2" t="str">
        <f t="shared" si="16"/>
        <v/>
      </c>
      <c r="AA123" s="23" t="str">
        <f t="shared" si="9"/>
        <v>RB12</v>
      </c>
      <c r="AB123" s="2">
        <f>$T123-VLOOKUP($B123,Scores!$AG$1:$AM$7,5,FALSE)</f>
        <v>0.80142857142856982</v>
      </c>
      <c r="AC123" s="2">
        <f>$T123-VLOOKUP($B123,Scores!$AG$1:$AM$7,6,FALSE)</f>
        <v>4.2899999999999974</v>
      </c>
      <c r="AD123" s="2">
        <f>$T123-VLOOKUP($B123,Scores!$AG$1:$AM$7,7,FALSE)+(ROW(A122)/1000000)</f>
        <v>6.6915505714285697</v>
      </c>
      <c r="AE123" s="2">
        <f t="array" ref="AE123">IF('ROS Rankings'!$AD$1,IFERROR(AVERAGE(IF(INDEX($C123:$S123,14):INDEX($C123:$S123,17)="NA",0,INDEX($C123:$S123,14):INDEX($C123:$S123,17))-INDEX($AQ$2:$BG$7,MATCH($B123,$AO$2:$AO$7,0),14):INDEX($AQ$2:$BG$7,MATCH($B123,$AO$2:$AO$7,0),17)),0),IFERROR(AVERAGE(IF(INDEX($C123:$S123,Week+1):INDEX($C123:$S123,13)="NA",0,INDEX($C123:$S123,Week+1):INDEX($C123:$S123,13))-INDEX($AQ$2:$BG$7,MATCH($B123,$AO$2:$AO$7,0),Week+1):INDEX($AQ$2:$BG$7,MATCH($B123,$AO$2:$AO$7,0),13)),0))+ROW(A122)/1000000</f>
        <v>5.6301220000000001</v>
      </c>
      <c r="AF123">
        <f t="shared" si="10"/>
        <v>29</v>
      </c>
      <c r="AG123">
        <f t="shared" si="11"/>
        <v>21</v>
      </c>
      <c r="AH123">
        <f t="shared" si="12"/>
        <v>19</v>
      </c>
      <c r="AI123">
        <f t="shared" si="13"/>
        <v>20</v>
      </c>
      <c r="AJ123" s="22" t="str">
        <f>IF(ISERROR(MATCH(A123,Rosters!$B$2:$B$155,0)),AD123,"")</f>
        <v/>
      </c>
      <c r="AK123" t="str">
        <f t="shared" si="14"/>
        <v/>
      </c>
      <c r="AL123" s="23">
        <f>COUNTIF(INDEX($C123:$S123,Week+1):INDEX($C123:$S123,13),"&gt;0")</f>
        <v>7</v>
      </c>
    </row>
    <row r="124" spans="1:38" x14ac:dyDescent="0.25">
      <c r="A124" t="s">
        <v>272</v>
      </c>
      <c r="B124" t="s">
        <v>47</v>
      </c>
      <c r="C124">
        <v>0.33</v>
      </c>
      <c r="D124">
        <v>0.4</v>
      </c>
      <c r="E124">
        <v>0.35</v>
      </c>
      <c r="F124">
        <v>0.32</v>
      </c>
      <c r="G124">
        <v>0.27</v>
      </c>
      <c r="H124">
        <v>0.27</v>
      </c>
      <c r="I124">
        <v>0.28999999999999998</v>
      </c>
      <c r="J124">
        <v>0.28000000000000003</v>
      </c>
      <c r="K124">
        <v>0.23</v>
      </c>
      <c r="L124">
        <v>0.28000000000000003</v>
      </c>
      <c r="M124">
        <v>0.3</v>
      </c>
      <c r="N124" t="s">
        <v>64</v>
      </c>
      <c r="O124">
        <v>0.33</v>
      </c>
      <c r="P124">
        <v>0.28999999999999998</v>
      </c>
      <c r="Q124">
        <v>0.27</v>
      </c>
      <c r="R124">
        <v>0.28000000000000003</v>
      </c>
      <c r="S124">
        <v>0.34</v>
      </c>
      <c r="T124" s="2">
        <f>IF('ROS Rankings'!$AD$1,IFERROR(AVERAGE(INDEX($C124:$S124,14):INDEX($C124:$S124,17)),0),IFERROR(AVERAGE(INDEX($C124:$S124,Week+1):INDEX($C124:$S124,13)),0))</f>
        <v>0.28285714285714286</v>
      </c>
      <c r="U124" s="2" t="str">
        <f t="shared" si="16"/>
        <v/>
      </c>
      <c r="V124" s="2">
        <f t="shared" si="16"/>
        <v>0.28285714285714286</v>
      </c>
      <c r="W124" s="2" t="str">
        <f t="shared" si="16"/>
        <v/>
      </c>
      <c r="X124" s="2" t="str">
        <f t="shared" si="16"/>
        <v/>
      </c>
      <c r="Y124" s="2" t="str">
        <f t="shared" si="16"/>
        <v/>
      </c>
      <c r="Z124" s="2" t="str">
        <f t="shared" si="16"/>
        <v/>
      </c>
      <c r="AA124" s="23" t="str">
        <f t="shared" si="9"/>
        <v>RB129</v>
      </c>
      <c r="AB124" s="2">
        <f>$T124-VLOOKUP($B124,Scores!$AG$1:$AM$7,5,FALSE)</f>
        <v>-11.475714285714286</v>
      </c>
      <c r="AC124" s="2">
        <f>$T124-VLOOKUP($B124,Scores!$AG$1:$AM$7,6,FALSE)</f>
        <v>-7.9871428571428584</v>
      </c>
      <c r="AD124" s="2">
        <f>$T124-VLOOKUP($B124,Scores!$AG$1:$AM$7,7,FALSE)+(ROW(A123)/1000000)</f>
        <v>-5.585591285714286</v>
      </c>
      <c r="AE124" s="2">
        <f t="array" ref="AE124">IF('ROS Rankings'!$AD$1,IFERROR(AVERAGE(IF(INDEX($C124:$S124,14):INDEX($C124:$S124,17)="NA",0,INDEX($C124:$S124,14):INDEX($C124:$S124,17))-INDEX($AQ$2:$BG$7,MATCH($B124,$AO$2:$AO$7,0),14):INDEX($AQ$2:$BG$7,MATCH($B124,$AO$2:$AO$7,0),17)),0),IFERROR(AVERAGE(IF(INDEX($C124:$S124,Week+1):INDEX($C124:$S124,13)="NA",0,INDEX($C124:$S124,Week+1):INDEX($C124:$S124,13))-INDEX($AQ$2:$BG$7,MATCH($B124,$AO$2:$AO$7,0),Week+1):INDEX($AQ$2:$BG$7,MATCH($B124,$AO$2:$AO$7,0),13)),0))+ROW(A123)/1000000</f>
        <v>-5.1123769999999995</v>
      </c>
      <c r="AF124">
        <f t="shared" si="10"/>
        <v>517</v>
      </c>
      <c r="AG124">
        <f t="shared" si="11"/>
        <v>512</v>
      </c>
      <c r="AH124">
        <f t="shared" si="12"/>
        <v>498</v>
      </c>
      <c r="AI124">
        <f t="shared" si="13"/>
        <v>503</v>
      </c>
      <c r="AJ124" s="22">
        <f>IF(ISERROR(MATCH(A124,Rosters!$B$2:$B$155,0)),AD124,"")</f>
        <v>-5.585591285714286</v>
      </c>
      <c r="AK124">
        <f t="shared" si="14"/>
        <v>346</v>
      </c>
      <c r="AL124" s="23">
        <f>COUNTIF(INDEX($C124:$S124,Week+1):INDEX($C124:$S124,13),"&gt;0")</f>
        <v>7</v>
      </c>
    </row>
    <row r="125" spans="1:38" x14ac:dyDescent="0.25">
      <c r="A125" t="s">
        <v>1128</v>
      </c>
      <c r="B125" t="s">
        <v>87</v>
      </c>
      <c r="C125">
        <v>0.61</v>
      </c>
      <c r="D125">
        <v>0</v>
      </c>
      <c r="E125">
        <v>0</v>
      </c>
      <c r="F125" t="s">
        <v>64</v>
      </c>
      <c r="G125">
        <v>1.2</v>
      </c>
      <c r="H125">
        <v>0.52</v>
      </c>
      <c r="I125">
        <v>0.55000000000000004</v>
      </c>
      <c r="J125">
        <v>0.54</v>
      </c>
      <c r="K125">
        <v>0.56999999999999995</v>
      </c>
      <c r="L125">
        <v>0.53</v>
      </c>
      <c r="M125">
        <v>0.6</v>
      </c>
      <c r="N125">
        <v>0.53</v>
      </c>
      <c r="O125">
        <v>0.56000000000000005</v>
      </c>
      <c r="P125">
        <v>0.46</v>
      </c>
      <c r="Q125">
        <v>0.55000000000000004</v>
      </c>
      <c r="R125">
        <v>0.55000000000000004</v>
      </c>
      <c r="S125">
        <v>0.53</v>
      </c>
      <c r="T125" s="2">
        <f>IF('ROS Rankings'!$AD$1,IFERROR(AVERAGE(INDEX($C125:$S125,14):INDEX($C125:$S125,17)),0),IFERROR(AVERAGE(INDEX($C125:$S125,Week+1):INDEX($C125:$S125,13)),0))</f>
        <v>0.55000000000000004</v>
      </c>
      <c r="U125" s="2" t="str">
        <f t="shared" si="16"/>
        <v/>
      </c>
      <c r="V125" s="2" t="str">
        <f t="shared" si="16"/>
        <v/>
      </c>
      <c r="W125" s="2">
        <f t="shared" si="16"/>
        <v>0.55000000000000004</v>
      </c>
      <c r="X125" s="2" t="str">
        <f t="shared" si="16"/>
        <v/>
      </c>
      <c r="Y125" s="2" t="str">
        <f t="shared" si="16"/>
        <v/>
      </c>
      <c r="Z125" s="2" t="str">
        <f t="shared" si="16"/>
        <v/>
      </c>
      <c r="AA125" s="23" t="str">
        <f t="shared" si="9"/>
        <v>WR164</v>
      </c>
      <c r="AB125" s="2">
        <f>$T125-VLOOKUP($B125,Scores!$AG$1:$AM$7,5,FALSE)</f>
        <v>-9.8214285714285694</v>
      </c>
      <c r="AC125" s="2">
        <f>$T125-VLOOKUP($B125,Scores!$AG$1:$AM$7,6,FALSE)</f>
        <v>-7.4814285714285722</v>
      </c>
      <c r="AD125" s="2">
        <f>$T125-VLOOKUP($B125,Scores!$AG$1:$AM$7,7,FALSE)+(ROW(A124)/1000000)</f>
        <v>-5.5027331428571431</v>
      </c>
      <c r="AE125" s="2">
        <f t="array" ref="AE125">IF('ROS Rankings'!$AD$1,IFERROR(AVERAGE(IF(INDEX($C125:$S125,14):INDEX($C125:$S125,17)="NA",0,INDEX($C125:$S125,14):INDEX($C125:$S125,17))-INDEX($AQ$2:$BG$7,MATCH($B125,$AO$2:$AO$7,0),14):INDEX($AQ$2:$BG$7,MATCH($B125,$AO$2:$AO$7,0),17)),0),IFERROR(AVERAGE(IF(INDEX($C125:$S125,Week+1):INDEX($C125:$S125,13)="NA",0,INDEX($C125:$S125,Week+1):INDEX($C125:$S125,13))-INDEX($AQ$2:$BG$7,MATCH($B125,$AO$2:$AO$7,0),Week+1):INDEX($AQ$2:$BG$7,MATCH($B125,$AO$2:$AO$7,0),13)),0))+ROW(A124)/1000000</f>
        <v>-4.8061260000000008</v>
      </c>
      <c r="AF125">
        <f t="shared" si="10"/>
        <v>440</v>
      </c>
      <c r="AG125">
        <f t="shared" si="11"/>
        <v>458</v>
      </c>
      <c r="AH125">
        <f t="shared" si="12"/>
        <v>489</v>
      </c>
      <c r="AI125">
        <f t="shared" si="13"/>
        <v>437</v>
      </c>
      <c r="AJ125" s="22">
        <f>IF(ISERROR(MATCH(A125,Rosters!$B$2:$B$155,0)),AD125,"")</f>
        <v>-5.5027331428571431</v>
      </c>
      <c r="AK125">
        <f t="shared" si="14"/>
        <v>337</v>
      </c>
      <c r="AL125" s="23">
        <f>COUNTIF(INDEX($C125:$S125,Week+1):INDEX($C125:$S125,13),"&gt;0")</f>
        <v>8</v>
      </c>
    </row>
    <row r="126" spans="1:38" x14ac:dyDescent="0.25">
      <c r="A126" t="s">
        <v>1559</v>
      </c>
      <c r="B126" t="s">
        <v>114</v>
      </c>
      <c r="C126">
        <v>0</v>
      </c>
      <c r="D126">
        <v>0.57999999999999996</v>
      </c>
      <c r="E126">
        <v>0.49</v>
      </c>
      <c r="F126">
        <v>0.63</v>
      </c>
      <c r="G126" t="s">
        <v>64</v>
      </c>
      <c r="H126">
        <v>0.56000000000000005</v>
      </c>
      <c r="I126">
        <v>0.61</v>
      </c>
      <c r="J126">
        <v>0.57999999999999996</v>
      </c>
      <c r="K126">
        <v>0.48</v>
      </c>
      <c r="L126">
        <v>0.57999999999999996</v>
      </c>
      <c r="M126">
        <v>0.5</v>
      </c>
      <c r="N126">
        <v>0.55000000000000004</v>
      </c>
      <c r="O126">
        <v>0.55000000000000004</v>
      </c>
      <c r="P126">
        <v>0.59</v>
      </c>
      <c r="Q126">
        <v>0.56999999999999995</v>
      </c>
      <c r="R126">
        <v>0.54</v>
      </c>
      <c r="S126">
        <v>0.49</v>
      </c>
      <c r="T126" s="2">
        <f>IF('ROS Rankings'!$AD$1,IFERROR(AVERAGE(INDEX($C126:$S126,14):INDEX($C126:$S126,17)),0),IFERROR(AVERAGE(INDEX($C126:$S126,Week+1):INDEX($C126:$S126,13)),0))</f>
        <v>0.55125000000000002</v>
      </c>
      <c r="U126" s="2" t="str">
        <f t="shared" si="16"/>
        <v/>
      </c>
      <c r="V126" s="2" t="str">
        <f t="shared" si="16"/>
        <v/>
      </c>
      <c r="W126" s="2" t="str">
        <f t="shared" si="16"/>
        <v/>
      </c>
      <c r="X126" s="2">
        <f t="shared" si="16"/>
        <v>0.55125000000000002</v>
      </c>
      <c r="Y126" s="2" t="str">
        <f t="shared" si="16"/>
        <v/>
      </c>
      <c r="Z126" s="2" t="str">
        <f t="shared" si="16"/>
        <v/>
      </c>
      <c r="AA126" s="23" t="str">
        <f t="shared" si="9"/>
        <v>TE77</v>
      </c>
      <c r="AB126" s="2">
        <f>$T126-VLOOKUP($B126,Scores!$AG$1:$AM$7,5,FALSE)</f>
        <v>-6.4474999999999998</v>
      </c>
      <c r="AC126" s="2">
        <f>$T126-VLOOKUP($B126,Scores!$AG$1:$AM$7,6,FALSE)</f>
        <v>-4.6987500000000004</v>
      </c>
      <c r="AD126" s="2">
        <f>$T126-VLOOKUP($B126,Scores!$AG$1:$AM$7,7,FALSE)+(ROW(A125)/1000000)</f>
        <v>-4.6286250000000004</v>
      </c>
      <c r="AE126" s="2">
        <f t="array" ref="AE126">IF('ROS Rankings'!$AD$1,IFERROR(AVERAGE(IF(INDEX($C126:$S126,14):INDEX($C126:$S126,17)="NA",0,INDEX($C126:$S126,14):INDEX($C126:$S126,17))-INDEX($AQ$2:$BG$7,MATCH($B126,$AO$2:$AO$7,0),14):INDEX($AQ$2:$BG$7,MATCH($B126,$AO$2:$AO$7,0),17)),0),IFERROR(AVERAGE(IF(INDEX($C126:$S126,Week+1):INDEX($C126:$S126,13)="NA",0,INDEX($C126:$S126,Week+1):INDEX($C126:$S126,13))-INDEX($AQ$2:$BG$7,MATCH($B126,$AO$2:$AO$7,0),Week+1):INDEX($AQ$2:$BG$7,MATCH($B126,$AO$2:$AO$7,0),13)),0))+ROW(A125)/1000000</f>
        <v>-4.5461250000000009</v>
      </c>
      <c r="AF126">
        <f t="shared" si="10"/>
        <v>306</v>
      </c>
      <c r="AG126">
        <f t="shared" si="11"/>
        <v>323</v>
      </c>
      <c r="AH126">
        <f t="shared" si="12"/>
        <v>369</v>
      </c>
      <c r="AI126">
        <f t="shared" si="13"/>
        <v>379</v>
      </c>
      <c r="AJ126" s="22">
        <f>IF(ISERROR(MATCH(A126,Rosters!$B$2:$B$155,0)),AD126,"")</f>
        <v>-4.6286250000000004</v>
      </c>
      <c r="AK126">
        <f t="shared" si="14"/>
        <v>217</v>
      </c>
      <c r="AL126" s="23">
        <f>COUNTIF(INDEX($C126:$S126,Week+1):INDEX($C126:$S126,13),"&gt;0")</f>
        <v>8</v>
      </c>
    </row>
    <row r="127" spans="1:38" x14ac:dyDescent="0.25">
      <c r="A127" t="s">
        <v>227</v>
      </c>
      <c r="B127" t="s">
        <v>87</v>
      </c>
      <c r="C127">
        <v>5.16</v>
      </c>
      <c r="D127">
        <v>4.2699999999999996</v>
      </c>
      <c r="E127">
        <v>4.6399999999999997</v>
      </c>
      <c r="F127">
        <v>5.39</v>
      </c>
      <c r="G127">
        <v>4.95</v>
      </c>
      <c r="H127">
        <v>4.7</v>
      </c>
      <c r="I127">
        <v>4.7300000000000004</v>
      </c>
      <c r="J127">
        <v>5.53</v>
      </c>
      <c r="K127">
        <v>4.17</v>
      </c>
      <c r="L127">
        <v>4.84</v>
      </c>
      <c r="M127" t="s">
        <v>64</v>
      </c>
      <c r="N127">
        <v>4.7699999999999996</v>
      </c>
      <c r="O127">
        <v>4.6900000000000004</v>
      </c>
      <c r="P127">
        <v>4.84</v>
      </c>
      <c r="Q127">
        <v>4.46</v>
      </c>
      <c r="R127">
        <v>3.73</v>
      </c>
      <c r="S127">
        <v>4.6100000000000003</v>
      </c>
      <c r="T127" s="2">
        <f>IF('ROS Rankings'!$AD$1,IFERROR(AVERAGE(INDEX($C127:$S127,14):INDEX($C127:$S127,17)),0),IFERROR(AVERAGE(INDEX($C127:$S127,Week+1):INDEX($C127:$S127,13)),0))</f>
        <v>4.7757142857142858</v>
      </c>
      <c r="U127" s="2" t="str">
        <f t="shared" si="16"/>
        <v/>
      </c>
      <c r="V127" s="2" t="str">
        <f t="shared" si="16"/>
        <v/>
      </c>
      <c r="W127" s="2">
        <f t="shared" si="16"/>
        <v>4.7757142857142858</v>
      </c>
      <c r="X127" s="2" t="str">
        <f t="shared" si="16"/>
        <v/>
      </c>
      <c r="Y127" s="2" t="str">
        <f t="shared" si="16"/>
        <v/>
      </c>
      <c r="Z127" s="2" t="str">
        <f t="shared" si="16"/>
        <v/>
      </c>
      <c r="AA127" s="23" t="str">
        <f t="shared" si="9"/>
        <v>WR67</v>
      </c>
      <c r="AB127" s="2">
        <f>$T127-VLOOKUP($B127,Scores!$AG$1:$AM$7,5,FALSE)</f>
        <v>-5.5957142857142843</v>
      </c>
      <c r="AC127" s="2">
        <f>$T127-VLOOKUP($B127,Scores!$AG$1:$AM$7,6,FALSE)</f>
        <v>-3.2557142857142862</v>
      </c>
      <c r="AD127" s="2">
        <f>$T127-VLOOKUP($B127,Scores!$AG$1:$AM$7,7,FALSE)+(ROW(A126)/1000000)</f>
        <v>-1.2770168571428566</v>
      </c>
      <c r="AE127" s="2">
        <f t="array" ref="AE127">IF('ROS Rankings'!$AD$1,IFERROR(AVERAGE(IF(INDEX($C127:$S127,14):INDEX($C127:$S127,17)="NA",0,INDEX($C127:$S127,14):INDEX($C127:$S127,17))-INDEX($AQ$2:$BG$7,MATCH($B127,$AO$2:$AO$7,0),14):INDEX($AQ$2:$BG$7,MATCH($B127,$AO$2:$AO$7,0),17)),0),IFERROR(AVERAGE(IF(INDEX($C127:$S127,Week+1):INDEX($C127:$S127,13)="NA",0,INDEX($C127:$S127,Week+1):INDEX($C127:$S127,13))-INDEX($AQ$2:$BG$7,MATCH($B127,$AO$2:$AO$7,0),Week+1):INDEX($AQ$2:$BG$7,MATCH($B127,$AO$2:$AO$7,0),13)),0))+ROW(A126)/1000000</f>
        <v>-1.1773739999999999</v>
      </c>
      <c r="AF127">
        <f t="shared" si="10"/>
        <v>267</v>
      </c>
      <c r="AG127">
        <f t="shared" si="11"/>
        <v>259</v>
      </c>
      <c r="AH127">
        <f t="shared" si="12"/>
        <v>213</v>
      </c>
      <c r="AI127">
        <f t="shared" si="13"/>
        <v>183</v>
      </c>
      <c r="AJ127" s="22">
        <f>IF(ISERROR(MATCH(A127,Rosters!$B$2:$B$155,0)),AD127,"")</f>
        <v>-1.2770168571428566</v>
      </c>
      <c r="AK127">
        <f t="shared" si="14"/>
        <v>74</v>
      </c>
      <c r="AL127" s="23">
        <f>COUNTIF(INDEX($C127:$S127,Week+1):INDEX($C127:$S127,13),"&gt;0")</f>
        <v>7</v>
      </c>
    </row>
    <row r="128" spans="1:38" x14ac:dyDescent="0.25">
      <c r="A128" t="s">
        <v>4204</v>
      </c>
      <c r="B128" t="s">
        <v>87</v>
      </c>
      <c r="C128" t="s">
        <v>64</v>
      </c>
      <c r="D128">
        <v>5.99</v>
      </c>
      <c r="E128">
        <v>4.74</v>
      </c>
      <c r="F128">
        <v>2.39</v>
      </c>
      <c r="G128">
        <v>0</v>
      </c>
      <c r="H128">
        <v>2.64</v>
      </c>
      <c r="I128">
        <v>1.99</v>
      </c>
      <c r="J128">
        <v>2.08</v>
      </c>
      <c r="K128">
        <v>3.48</v>
      </c>
      <c r="L128">
        <v>2.2599999999999998</v>
      </c>
      <c r="M128" t="s">
        <v>64</v>
      </c>
      <c r="N128">
        <v>3.78</v>
      </c>
      <c r="O128">
        <v>2.33</v>
      </c>
      <c r="P128">
        <v>2.57</v>
      </c>
      <c r="Q128">
        <v>2.39</v>
      </c>
      <c r="R128">
        <v>2.37</v>
      </c>
      <c r="S128">
        <v>1.93</v>
      </c>
      <c r="T128" s="2">
        <f>IF('ROS Rankings'!$AD$1,IFERROR(AVERAGE(INDEX($C128:$S128,14):INDEX($C128:$S128,17)),0),IFERROR(AVERAGE(INDEX($C128:$S128,Week+1):INDEX($C128:$S128,13)),0))</f>
        <v>2.6514285714285717</v>
      </c>
      <c r="U128" s="2" t="str">
        <f t="shared" si="16"/>
        <v/>
      </c>
      <c r="V128" s="2" t="str">
        <f t="shared" si="16"/>
        <v/>
      </c>
      <c r="W128" s="2">
        <f t="shared" si="16"/>
        <v>2.6514285714285717</v>
      </c>
      <c r="X128" s="2" t="str">
        <f t="shared" si="16"/>
        <v/>
      </c>
      <c r="Y128" s="2" t="str">
        <f t="shared" si="16"/>
        <v/>
      </c>
      <c r="Z128" s="2" t="str">
        <f t="shared" si="16"/>
        <v/>
      </c>
      <c r="AA128" s="23" t="str">
        <f t="shared" si="9"/>
        <v>WR105</v>
      </c>
      <c r="AB128" s="2">
        <f>$T128-VLOOKUP($B128,Scores!$AG$1:$AM$7,5,FALSE)</f>
        <v>-7.7199999999999989</v>
      </c>
      <c r="AC128" s="2">
        <f>$T128-VLOOKUP($B128,Scores!$AG$1:$AM$7,6,FALSE)</f>
        <v>-5.3800000000000008</v>
      </c>
      <c r="AD128" s="2">
        <f>$T128-VLOOKUP($B128,Scores!$AG$1:$AM$7,7,FALSE)+(ROW(A127)/1000000)</f>
        <v>-3.4013015714285708</v>
      </c>
      <c r="AE128" s="2">
        <f t="array" ref="AE128">IF('ROS Rankings'!$AD$1,IFERROR(AVERAGE(IF(INDEX($C128:$S128,14):INDEX($C128:$S128,17)="NA",0,INDEX($C128:$S128,14):INDEX($C128:$S128,17))-INDEX($AQ$2:$BG$7,MATCH($B128,$AO$2:$AO$7,0),14):INDEX($AQ$2:$BG$7,MATCH($B128,$AO$2:$AO$7,0),17)),0),IFERROR(AVERAGE(IF(INDEX($C128:$S128,Week+1):INDEX($C128:$S128,13)="NA",0,INDEX($C128:$S128,Week+1):INDEX($C128:$S128,13))-INDEX($AQ$2:$BG$7,MATCH($B128,$AO$2:$AO$7,0),Week+1):INDEX($AQ$2:$BG$7,MATCH($B128,$AO$2:$AO$7,0),13)),0))+ROW(A127)/1000000</f>
        <v>-3.0361229999999999</v>
      </c>
      <c r="AF128">
        <f t="shared" si="10"/>
        <v>369</v>
      </c>
      <c r="AG128">
        <f t="shared" si="11"/>
        <v>372</v>
      </c>
      <c r="AH128">
        <f t="shared" si="12"/>
        <v>320</v>
      </c>
      <c r="AI128">
        <f t="shared" si="13"/>
        <v>298</v>
      </c>
      <c r="AJ128" s="22">
        <f>IF(ISERROR(MATCH(A128,Rosters!$B$2:$B$155,0)),AD128,"")</f>
        <v>-3.4013015714285708</v>
      </c>
      <c r="AK128">
        <f t="shared" si="14"/>
        <v>169</v>
      </c>
      <c r="AL128" s="23">
        <f>COUNTIF(INDEX($C128:$S128,Week+1):INDEX($C128:$S128,13),"&gt;0")</f>
        <v>7</v>
      </c>
    </row>
    <row r="129" spans="1:38" x14ac:dyDescent="0.25">
      <c r="A129" t="s">
        <v>1115</v>
      </c>
      <c r="B129" t="s">
        <v>87</v>
      </c>
      <c r="C129">
        <v>0.65</v>
      </c>
      <c r="D129">
        <v>0.7</v>
      </c>
      <c r="E129">
        <v>0.45</v>
      </c>
      <c r="F129">
        <v>0.48</v>
      </c>
      <c r="G129">
        <v>0.5</v>
      </c>
      <c r="H129">
        <v>0.56999999999999995</v>
      </c>
      <c r="I129">
        <v>0.49</v>
      </c>
      <c r="J129" t="s">
        <v>64</v>
      </c>
      <c r="K129">
        <v>0.56000000000000005</v>
      </c>
      <c r="L129">
        <v>0.52</v>
      </c>
      <c r="M129">
        <v>0.56000000000000005</v>
      </c>
      <c r="N129">
        <v>0.6</v>
      </c>
      <c r="O129">
        <v>0.46</v>
      </c>
      <c r="P129">
        <v>0.51</v>
      </c>
      <c r="Q129">
        <v>0.52</v>
      </c>
      <c r="R129">
        <v>0.52</v>
      </c>
      <c r="S129">
        <v>0.57999999999999996</v>
      </c>
      <c r="T129" s="2">
        <f>IF('ROS Rankings'!$AD$1,IFERROR(AVERAGE(INDEX($C129:$S129,14):INDEX($C129:$S129,17)),0),IFERROR(AVERAGE(INDEX($C129:$S129,Week+1):INDEX($C129:$S129,13)),0))</f>
        <v>0.53714285714285714</v>
      </c>
      <c r="U129" s="2" t="str">
        <f t="shared" si="16"/>
        <v/>
      </c>
      <c r="V129" s="2" t="str">
        <f t="shared" si="16"/>
        <v/>
      </c>
      <c r="W129" s="2">
        <f t="shared" si="16"/>
        <v>0.53714285714285714</v>
      </c>
      <c r="X129" s="2" t="str">
        <f t="shared" si="16"/>
        <v/>
      </c>
      <c r="Y129" s="2" t="str">
        <f t="shared" si="16"/>
        <v/>
      </c>
      <c r="Z129" s="2" t="str">
        <f t="shared" si="16"/>
        <v/>
      </c>
      <c r="AA129" s="23" t="str">
        <f t="shared" si="9"/>
        <v>WR166</v>
      </c>
      <c r="AB129" s="2">
        <f>$T129-VLOOKUP($B129,Scores!$AG$1:$AM$7,5,FALSE)</f>
        <v>-9.8342857142857127</v>
      </c>
      <c r="AC129" s="2">
        <f>$T129-VLOOKUP($B129,Scores!$AG$1:$AM$7,6,FALSE)</f>
        <v>-7.4942857142857147</v>
      </c>
      <c r="AD129" s="2">
        <f>$T129-VLOOKUP($B129,Scores!$AG$1:$AM$7,7,FALSE)+(ROW(A128)/1000000)</f>
        <v>-5.515586285714285</v>
      </c>
      <c r="AE129" s="2">
        <f t="array" ref="AE129">IF('ROS Rankings'!$AD$1,IFERROR(AVERAGE(IF(INDEX($C129:$S129,14):INDEX($C129:$S129,17)="NA",0,INDEX($C129:$S129,14):INDEX($C129:$S129,17))-INDEX($AQ$2:$BG$7,MATCH($B129,$AO$2:$AO$7,0),14):INDEX($AQ$2:$BG$7,MATCH($B129,$AO$2:$AO$7,0),17)),0),IFERROR(AVERAGE(IF(INDEX($C129:$S129,Week+1):INDEX($C129:$S129,13)="NA",0,INDEX($C129:$S129,Week+1):INDEX($C129:$S129,13))-INDEX($AQ$2:$BG$7,MATCH($B129,$AO$2:$AO$7,0),Week+1):INDEX($AQ$2:$BG$7,MATCH($B129,$AO$2:$AO$7,0),13)),0))+ROW(A128)/1000000</f>
        <v>-4.8861219999999994</v>
      </c>
      <c r="AF129">
        <f t="shared" si="10"/>
        <v>442</v>
      </c>
      <c r="AG129">
        <f t="shared" si="11"/>
        <v>460</v>
      </c>
      <c r="AH129">
        <f t="shared" si="12"/>
        <v>491</v>
      </c>
      <c r="AI129">
        <f t="shared" si="13"/>
        <v>472</v>
      </c>
      <c r="AJ129" s="22">
        <f>IF(ISERROR(MATCH(A129,Rosters!$B$2:$B$155,0)),AD129,"")</f>
        <v>-5.515586285714285</v>
      </c>
      <c r="AK129">
        <f t="shared" si="14"/>
        <v>339</v>
      </c>
      <c r="AL129" s="23">
        <f>COUNTIF(INDEX($C129:$S129,Week+1):INDEX($C129:$S129,13),"&gt;0")</f>
        <v>7</v>
      </c>
    </row>
    <row r="130" spans="1:38" x14ac:dyDescent="0.25">
      <c r="A130" t="s">
        <v>312</v>
      </c>
      <c r="B130" t="s">
        <v>114</v>
      </c>
      <c r="C130">
        <v>1.48</v>
      </c>
      <c r="D130">
        <v>1.33</v>
      </c>
      <c r="E130">
        <v>2.14</v>
      </c>
      <c r="F130">
        <v>2.99</v>
      </c>
      <c r="G130">
        <v>2.29</v>
      </c>
      <c r="H130">
        <v>2.82</v>
      </c>
      <c r="I130">
        <v>3.13</v>
      </c>
      <c r="J130">
        <v>2.57</v>
      </c>
      <c r="K130">
        <v>2.71</v>
      </c>
      <c r="L130">
        <v>2.64</v>
      </c>
      <c r="M130" t="s">
        <v>64</v>
      </c>
      <c r="N130">
        <v>2.87</v>
      </c>
      <c r="O130">
        <v>2.81</v>
      </c>
      <c r="P130">
        <v>2.5099999999999998</v>
      </c>
      <c r="Q130">
        <v>2.4300000000000002</v>
      </c>
      <c r="R130">
        <v>3</v>
      </c>
      <c r="S130">
        <v>2.2200000000000002</v>
      </c>
      <c r="T130" s="2">
        <f>IF('ROS Rankings'!$AD$1,IFERROR(AVERAGE(INDEX($C130:$S130,14):INDEX($C130:$S130,17)),0),IFERROR(AVERAGE(INDEX($C130:$S130,Week+1):INDEX($C130:$S130,13)),0))</f>
        <v>2.7928571428571431</v>
      </c>
      <c r="U130" s="2" t="str">
        <f t="shared" si="16"/>
        <v/>
      </c>
      <c r="V130" s="2" t="str">
        <f t="shared" si="16"/>
        <v/>
      </c>
      <c r="W130" s="2" t="str">
        <f t="shared" si="16"/>
        <v/>
      </c>
      <c r="X130" s="2">
        <f t="shared" ref="X130:Z193" si="17">IF($B130=X$1,$T130,"")</f>
        <v>2.7928571428571431</v>
      </c>
      <c r="Y130" s="2" t="str">
        <f t="shared" si="17"/>
        <v/>
      </c>
      <c r="Z130" s="2" t="str">
        <f t="shared" si="17"/>
        <v/>
      </c>
      <c r="AA130" s="23" t="str">
        <f t="shared" si="9"/>
        <v>TE32</v>
      </c>
      <c r="AB130" s="2">
        <f>$T130-VLOOKUP($B130,Scores!$AG$1:$AM$7,5,FALSE)</f>
        <v>-4.2058928571428567</v>
      </c>
      <c r="AC130" s="2">
        <f>$T130-VLOOKUP($B130,Scores!$AG$1:$AM$7,6,FALSE)</f>
        <v>-2.4571428571428569</v>
      </c>
      <c r="AD130" s="2">
        <f>$T130-VLOOKUP($B130,Scores!$AG$1:$AM$7,7,FALSE)+(ROW(A129)/1000000)</f>
        <v>-2.3870138571428567</v>
      </c>
      <c r="AE130" s="2">
        <f t="array" ref="AE130">IF('ROS Rankings'!$AD$1,IFERROR(AVERAGE(IF(INDEX($C130:$S130,14):INDEX($C130:$S130,17)="NA",0,INDEX($C130:$S130,14):INDEX($C130:$S130,17))-INDEX($AQ$2:$BG$7,MATCH($B130,$AO$2:$AO$7,0),14):INDEX($AQ$2:$BG$7,MATCH($B130,$AO$2:$AO$7,0),17)),0),IFERROR(AVERAGE(IF(INDEX($C130:$S130,Week+1):INDEX($C130:$S130,13)="NA",0,INDEX($C130:$S130,Week+1):INDEX($C130:$S130,13))-INDEX($AQ$2:$BG$7,MATCH($B130,$AO$2:$AO$7,0),Week+1):INDEX($AQ$2:$BG$7,MATCH($B130,$AO$2:$AO$7,0),13)),0))+ROW(A129)/1000000</f>
        <v>-2.6536210000000002</v>
      </c>
      <c r="AF130">
        <f t="shared" si="10"/>
        <v>198</v>
      </c>
      <c r="AG130">
        <f t="shared" si="11"/>
        <v>214</v>
      </c>
      <c r="AH130">
        <f t="shared" si="12"/>
        <v>263</v>
      </c>
      <c r="AI130">
        <f t="shared" si="13"/>
        <v>275</v>
      </c>
      <c r="AJ130" s="22">
        <f>IF(ISERROR(MATCH(A130,Rosters!$B$2:$B$155,0)),AD130,"")</f>
        <v>-2.3870138571428567</v>
      </c>
      <c r="AK130">
        <f t="shared" si="14"/>
        <v>119</v>
      </c>
      <c r="AL130" s="23">
        <f>COUNTIF(INDEX($C130:$S130,Week+1):INDEX($C130:$S130,13),"&gt;0")</f>
        <v>7</v>
      </c>
    </row>
    <row r="131" spans="1:38" x14ac:dyDescent="0.25">
      <c r="A131" t="s">
        <v>1122</v>
      </c>
      <c r="B131" t="s">
        <v>47</v>
      </c>
      <c r="C131">
        <v>3.72</v>
      </c>
      <c r="D131">
        <v>0</v>
      </c>
      <c r="E131">
        <v>0</v>
      </c>
      <c r="F131">
        <v>0</v>
      </c>
      <c r="G131">
        <v>1.94</v>
      </c>
      <c r="H131">
        <v>4.0199999999999996</v>
      </c>
      <c r="I131">
        <v>3.48</v>
      </c>
      <c r="J131">
        <v>3.5</v>
      </c>
      <c r="K131" t="s">
        <v>64</v>
      </c>
      <c r="L131">
        <v>4.32</v>
      </c>
      <c r="M131">
        <v>4.22</v>
      </c>
      <c r="N131">
        <v>4.78</v>
      </c>
      <c r="O131">
        <v>4.55</v>
      </c>
      <c r="P131">
        <v>4.01</v>
      </c>
      <c r="Q131">
        <v>4.43</v>
      </c>
      <c r="R131">
        <v>4.4800000000000004</v>
      </c>
      <c r="S131">
        <v>4.2699999999999996</v>
      </c>
      <c r="T131" s="2">
        <f>IF('ROS Rankings'!$AD$1,IFERROR(AVERAGE(INDEX($C131:$S131,14):INDEX($C131:$S131,17)),0),IFERROR(AVERAGE(INDEX($C131:$S131,Week+1):INDEX($C131:$S131,13)),0))</f>
        <v>4.1242857142857146</v>
      </c>
      <c r="U131" s="2" t="str">
        <f t="shared" ref="U131:Z194" si="18">IF($B131=U$1,$T131,"")</f>
        <v/>
      </c>
      <c r="V131" s="2">
        <f t="shared" si="18"/>
        <v>4.1242857142857146</v>
      </c>
      <c r="W131" s="2" t="str">
        <f t="shared" si="18"/>
        <v/>
      </c>
      <c r="X131" s="2" t="str">
        <f t="shared" si="18"/>
        <v/>
      </c>
      <c r="Y131" s="2" t="str">
        <f t="shared" si="18"/>
        <v/>
      </c>
      <c r="Z131" s="2" t="str">
        <f t="shared" si="18"/>
        <v/>
      </c>
      <c r="AA131" s="23" t="str">
        <f t="shared" ref="AA131:AA194" si="19">$B131&amp;_xlfn.RANK.EQ($T131,INDEX($U$2:$Z$561,,MATCH($B131,$U$1:$Z$1,0)),0)</f>
        <v>RB64</v>
      </c>
      <c r="AB131" s="2">
        <f>$T131-VLOOKUP($B131,Scores!$AG$1:$AM$7,5,FALSE)</f>
        <v>-7.6342857142857143</v>
      </c>
      <c r="AC131" s="2">
        <f>$T131-VLOOKUP($B131,Scores!$AG$1:$AM$7,6,FALSE)</f>
        <v>-4.1457142857142868</v>
      </c>
      <c r="AD131" s="2">
        <f>$T131-VLOOKUP($B131,Scores!$AG$1:$AM$7,7,FALSE)+(ROW(A130)/1000000)</f>
        <v>-1.7441557142857147</v>
      </c>
      <c r="AE131" s="2">
        <f t="array" ref="AE131">IF('ROS Rankings'!$AD$1,IFERROR(AVERAGE(IF(INDEX($C131:$S131,14):INDEX($C131:$S131,17)="NA",0,INDEX($C131:$S131,14):INDEX($C131:$S131,17))-INDEX($AQ$2:$BG$7,MATCH($B131,$AO$2:$AO$7,0),14):INDEX($AQ$2:$BG$7,MATCH($B131,$AO$2:$AO$7,0),17)),0),IFERROR(AVERAGE(IF(INDEX($C131:$S131,Week+1):INDEX($C131:$S131,13)="NA",0,INDEX($C131:$S131,Week+1):INDEX($C131:$S131,13))-INDEX($AQ$2:$BG$7,MATCH($B131,$AO$2:$AO$7,0),Week+1):INDEX($AQ$2:$BG$7,MATCH($B131,$AO$2:$AO$7,0),13)),0))+ROW(A130)/1000000</f>
        <v>-1.7511200000000002</v>
      </c>
      <c r="AF131">
        <f t="shared" ref="AF131:AF194" si="20">_xlfn.RANK.EQ(AB131,AB$2:AB$561,0)</f>
        <v>365</v>
      </c>
      <c r="AG131">
        <f t="shared" ref="AG131:AG194" si="21">_xlfn.RANK.EQ(AC131,AC$2:AC$561,0)</f>
        <v>301</v>
      </c>
      <c r="AH131">
        <f t="shared" ref="AH131:AH194" si="22">_xlfn.RANK.EQ(AD131,AD$2:AD$561,0)</f>
        <v>236</v>
      </c>
      <c r="AI131">
        <f t="shared" ref="AI131:AI194" si="23">_xlfn.RANK.EQ(AE131,AE$2:AE$561,0)</f>
        <v>227</v>
      </c>
      <c r="AJ131" s="22">
        <f>IF(ISERROR(MATCH(A131,Rosters!$B$2:$B$155,0)),AD131,"")</f>
        <v>-1.7441557142857147</v>
      </c>
      <c r="AK131">
        <f t="shared" ref="AK131:AK194" si="24">IFERROR(_xlfn.RANK.EQ(AJ131,$AJ$2:$AJ$561,0),"")</f>
        <v>93</v>
      </c>
      <c r="AL131" s="23">
        <f>COUNTIF(INDEX($C131:$S131,Week+1):INDEX($C131:$S131,13),"&gt;0")</f>
        <v>7</v>
      </c>
    </row>
    <row r="132" spans="1:38" x14ac:dyDescent="0.25">
      <c r="A132" t="s">
        <v>304</v>
      </c>
      <c r="B132" t="s">
        <v>87</v>
      </c>
      <c r="C132">
        <v>1.62</v>
      </c>
      <c r="D132">
        <v>1.51</v>
      </c>
      <c r="E132">
        <v>0.77</v>
      </c>
      <c r="F132">
        <v>2.12</v>
      </c>
      <c r="G132">
        <v>0.43</v>
      </c>
      <c r="H132">
        <v>0.76</v>
      </c>
      <c r="I132" t="s">
        <v>64</v>
      </c>
      <c r="J132">
        <v>0.79</v>
      </c>
      <c r="K132">
        <v>0.53</v>
      </c>
      <c r="L132">
        <v>0.84</v>
      </c>
      <c r="M132">
        <v>0.6</v>
      </c>
      <c r="N132">
        <v>0.63</v>
      </c>
      <c r="O132">
        <v>0.81</v>
      </c>
      <c r="P132">
        <v>0.67</v>
      </c>
      <c r="Q132">
        <v>0.72</v>
      </c>
      <c r="R132">
        <v>0.62</v>
      </c>
      <c r="S132">
        <v>0.79</v>
      </c>
      <c r="T132" s="2">
        <f>IF('ROS Rankings'!$AD$1,IFERROR(AVERAGE(INDEX($C132:$S132,14):INDEX($C132:$S132,17)),0),IFERROR(AVERAGE(INDEX($C132:$S132,Week+1):INDEX($C132:$S132,13)),0))</f>
        <v>0.70857142857142874</v>
      </c>
      <c r="U132" s="2" t="str">
        <f t="shared" si="18"/>
        <v/>
      </c>
      <c r="V132" s="2" t="str">
        <f t="shared" si="18"/>
        <v/>
      </c>
      <c r="W132" s="2">
        <f t="shared" si="18"/>
        <v>0.70857142857142874</v>
      </c>
      <c r="X132" s="2" t="str">
        <f t="shared" si="18"/>
        <v/>
      </c>
      <c r="Y132" s="2" t="str">
        <f t="shared" si="18"/>
        <v/>
      </c>
      <c r="Z132" s="2" t="str">
        <f t="shared" si="18"/>
        <v/>
      </c>
      <c r="AA132" s="23" t="str">
        <f t="shared" si="19"/>
        <v>WR134</v>
      </c>
      <c r="AB132" s="2">
        <f>$T132-VLOOKUP($B132,Scores!$AG$1:$AM$7,5,FALSE)</f>
        <v>-9.6628571428571419</v>
      </c>
      <c r="AC132" s="2">
        <f>$T132-VLOOKUP($B132,Scores!$AG$1:$AM$7,6,FALSE)</f>
        <v>-7.322857142857143</v>
      </c>
      <c r="AD132" s="2">
        <f>$T132-VLOOKUP($B132,Scores!$AG$1:$AM$7,7,FALSE)+(ROW(A131)/1000000)</f>
        <v>-5.3441547142857138</v>
      </c>
      <c r="AE132" s="2">
        <f t="array" ref="AE132">IF('ROS Rankings'!$AD$1,IFERROR(AVERAGE(IF(INDEX($C132:$S132,14):INDEX($C132:$S132,17)="NA",0,INDEX($C132:$S132,14):INDEX($C132:$S132,17))-INDEX($AQ$2:$BG$7,MATCH($B132,$AO$2:$AO$7,0),14):INDEX($AQ$2:$BG$7,MATCH($B132,$AO$2:$AO$7,0),17)),0),IFERROR(AVERAGE(IF(INDEX($C132:$S132,Week+1):INDEX($C132:$S132,13)="NA",0,INDEX($C132:$S132,Week+1):INDEX($C132:$S132,13))-INDEX($AQ$2:$BG$7,MATCH($B132,$AO$2:$AO$7,0),Week+1):INDEX($AQ$2:$BG$7,MATCH($B132,$AO$2:$AO$7,0),13)),0))+ROW(A131)/1000000</f>
        <v>-4.7361190000000013</v>
      </c>
      <c r="AF132">
        <f t="shared" si="20"/>
        <v>409</v>
      </c>
      <c r="AG132">
        <f t="shared" si="21"/>
        <v>424</v>
      </c>
      <c r="AH132">
        <f t="shared" si="22"/>
        <v>446</v>
      </c>
      <c r="AI132">
        <f t="shared" si="23"/>
        <v>417</v>
      </c>
      <c r="AJ132" s="22">
        <f>IF(ISERROR(MATCH(A132,Rosters!$B$2:$B$155,0)),AD132,"")</f>
        <v>-5.3441547142857138</v>
      </c>
      <c r="AK132">
        <f t="shared" si="24"/>
        <v>294</v>
      </c>
      <c r="AL132" s="23">
        <f>COUNTIF(INDEX($C132:$S132,Week+1):INDEX($C132:$S132,13),"&gt;0")</f>
        <v>7</v>
      </c>
    </row>
    <row r="133" spans="1:38" x14ac:dyDescent="0.25">
      <c r="A133" t="s">
        <v>135</v>
      </c>
      <c r="B133" t="s">
        <v>87</v>
      </c>
      <c r="C133">
        <v>9.99</v>
      </c>
      <c r="D133">
        <v>9.7100000000000009</v>
      </c>
      <c r="E133">
        <v>11.35</v>
      </c>
      <c r="F133">
        <v>11.85</v>
      </c>
      <c r="G133">
        <v>6.53</v>
      </c>
      <c r="H133">
        <v>12.3</v>
      </c>
      <c r="I133" t="s">
        <v>64</v>
      </c>
      <c r="J133">
        <v>9.1199999999999992</v>
      </c>
      <c r="K133">
        <v>12.4</v>
      </c>
      <c r="L133">
        <v>12.5</v>
      </c>
      <c r="M133">
        <v>10.97</v>
      </c>
      <c r="N133">
        <v>9.66</v>
      </c>
      <c r="O133">
        <v>9.34</v>
      </c>
      <c r="P133">
        <v>12.54</v>
      </c>
      <c r="Q133">
        <v>9.32</v>
      </c>
      <c r="R133">
        <v>9.48</v>
      </c>
      <c r="S133">
        <v>12.29</v>
      </c>
      <c r="T133" s="2">
        <f>IF('ROS Rankings'!$AD$1,IFERROR(AVERAGE(INDEX($C133:$S133,14):INDEX($C133:$S133,17)),0),IFERROR(AVERAGE(INDEX($C133:$S133,Week+1):INDEX($C133:$S133,13)),0))</f>
        <v>10.898571428571429</v>
      </c>
      <c r="U133" s="2" t="str">
        <f t="shared" si="18"/>
        <v/>
      </c>
      <c r="V133" s="2" t="str">
        <f t="shared" si="18"/>
        <v/>
      </c>
      <c r="W133" s="2">
        <f t="shared" si="18"/>
        <v>10.898571428571429</v>
      </c>
      <c r="X133" s="2" t="str">
        <f t="shared" si="18"/>
        <v/>
      </c>
      <c r="Y133" s="2" t="str">
        <f t="shared" si="18"/>
        <v/>
      </c>
      <c r="Z133" s="2" t="str">
        <f t="shared" si="18"/>
        <v/>
      </c>
      <c r="AA133" s="23" t="str">
        <f t="shared" si="19"/>
        <v>WR13</v>
      </c>
      <c r="AB133" s="2">
        <f>$T133-VLOOKUP($B133,Scores!$AG$1:$AM$7,5,FALSE)</f>
        <v>0.52714285714285936</v>
      </c>
      <c r="AC133" s="2">
        <f>$T133-VLOOKUP($B133,Scores!$AG$1:$AM$7,6,FALSE)</f>
        <v>2.8671428571428574</v>
      </c>
      <c r="AD133" s="2">
        <f>$T133-VLOOKUP($B133,Scores!$AG$1:$AM$7,7,FALSE)+(ROW(A132)/1000000)</f>
        <v>4.8458462857142868</v>
      </c>
      <c r="AE133" s="2">
        <f t="array" ref="AE133">IF('ROS Rankings'!$AD$1,IFERROR(AVERAGE(IF(INDEX($C133:$S133,14):INDEX($C133:$S133,17)="NA",0,INDEX($C133:$S133,14):INDEX($C133:$S133,17))-INDEX($AQ$2:$BG$7,MATCH($B133,$AO$2:$AO$7,0),14):INDEX($AQ$2:$BG$7,MATCH($B133,$AO$2:$AO$7,0),17)),0),IFERROR(AVERAGE(IF(INDEX($C133:$S133,Week+1):INDEX($C133:$S133,13)="NA",0,INDEX($C133:$S133,Week+1):INDEX($C133:$S133,13))-INDEX($AQ$2:$BG$7,MATCH($B133,$AO$2:$AO$7,0),Week+1):INDEX($AQ$2:$BG$7,MATCH($B133,$AO$2:$AO$7,0),13)),0))+ROW(A132)/1000000</f>
        <v>4.1801319999999995</v>
      </c>
      <c r="AF133">
        <f t="shared" si="20"/>
        <v>35</v>
      </c>
      <c r="AG133">
        <f t="shared" si="21"/>
        <v>29</v>
      </c>
      <c r="AH133">
        <f t="shared" si="22"/>
        <v>30</v>
      </c>
      <c r="AI133">
        <f t="shared" si="23"/>
        <v>27</v>
      </c>
      <c r="AJ133" s="22" t="str">
        <f>IF(ISERROR(MATCH(A133,Rosters!$B$2:$B$155,0)),AD133,"")</f>
        <v/>
      </c>
      <c r="AK133" t="str">
        <f t="shared" si="24"/>
        <v/>
      </c>
      <c r="AL133" s="23">
        <f>COUNTIF(INDEX($C133:$S133,Week+1):INDEX($C133:$S133,13),"&gt;0")</f>
        <v>7</v>
      </c>
    </row>
    <row r="134" spans="1:38" x14ac:dyDescent="0.25">
      <c r="A134" t="s">
        <v>1543</v>
      </c>
      <c r="B134" t="s">
        <v>15</v>
      </c>
      <c r="C134">
        <v>0</v>
      </c>
      <c r="D134">
        <v>0</v>
      </c>
      <c r="E134">
        <v>0</v>
      </c>
      <c r="F134">
        <v>0</v>
      </c>
      <c r="G134">
        <v>1.03</v>
      </c>
      <c r="H134">
        <v>0.94</v>
      </c>
      <c r="I134">
        <v>1.21</v>
      </c>
      <c r="J134">
        <v>1.23</v>
      </c>
      <c r="K134">
        <v>0.95</v>
      </c>
      <c r="L134">
        <v>1.1200000000000001</v>
      </c>
      <c r="M134" t="s">
        <v>64</v>
      </c>
      <c r="N134">
        <v>1.19</v>
      </c>
      <c r="O134">
        <v>1.02</v>
      </c>
      <c r="P134">
        <v>1.1399999999999999</v>
      </c>
      <c r="Q134">
        <v>0.97</v>
      </c>
      <c r="R134">
        <v>0.8</v>
      </c>
      <c r="S134">
        <v>0.97</v>
      </c>
      <c r="T134" s="2">
        <f>IF('ROS Rankings'!$AD$1,IFERROR(AVERAGE(INDEX($C134:$S134,14):INDEX($C134:$S134,17)),0),IFERROR(AVERAGE(INDEX($C134:$S134,Week+1):INDEX($C134:$S134,13)),0))</f>
        <v>1.0942857142857143</v>
      </c>
      <c r="U134" s="2">
        <f t="shared" si="18"/>
        <v>1.0942857142857143</v>
      </c>
      <c r="V134" s="2" t="str">
        <f t="shared" si="18"/>
        <v/>
      </c>
      <c r="W134" s="2" t="str">
        <f t="shared" si="18"/>
        <v/>
      </c>
      <c r="X134" s="2" t="str">
        <f t="shared" si="18"/>
        <v/>
      </c>
      <c r="Y134" s="2" t="str">
        <f t="shared" si="18"/>
        <v/>
      </c>
      <c r="Z134" s="2" t="str">
        <f t="shared" si="18"/>
        <v/>
      </c>
      <c r="AA134" s="23" t="str">
        <f t="shared" si="19"/>
        <v>QB38</v>
      </c>
      <c r="AB134" s="2">
        <f>$T134-VLOOKUP($B134,Scores!$AG$1:$AM$7,5,FALSE)</f>
        <v>-19.79</v>
      </c>
      <c r="AC134" s="2">
        <f>$T134-VLOOKUP($B134,Scores!$AG$1:$AM$7,6,FALSE)</f>
        <v>-18.809464285714284</v>
      </c>
      <c r="AD134" s="2">
        <f>$T134-VLOOKUP($B134,Scores!$AG$1:$AM$7,7,FALSE)+(ROW(A133)/1000000)</f>
        <v>-18.40558128571428</v>
      </c>
      <c r="AE134" s="2">
        <f t="array" ref="AE134">IF('ROS Rankings'!$AD$1,IFERROR(AVERAGE(IF(INDEX($C134:$S134,14):INDEX($C134:$S134,17)="NA",0,INDEX($C134:$S134,14):INDEX($C134:$S134,17))-INDEX($AQ$2:$BG$7,MATCH($B134,$AO$2:$AO$7,0),14):INDEX($AQ$2:$BG$7,MATCH($B134,$AO$2:$AO$7,0),17)),0),IFERROR(AVERAGE(IF(INDEX($C134:$S134,Week+1):INDEX($C134:$S134,13)="NA",0,INDEX($C134:$S134,Week+1):INDEX($C134:$S134,13))-INDEX($AQ$2:$BG$7,MATCH($B134,$AO$2:$AO$7,0),Week+1):INDEX($AQ$2:$BG$7,MATCH($B134,$AO$2:$AO$7,0),13)),0))+ROW(A133)/1000000</f>
        <v>-17.544866999999996</v>
      </c>
      <c r="AF134">
        <f t="shared" si="20"/>
        <v>529</v>
      </c>
      <c r="AG134">
        <f t="shared" si="21"/>
        <v>529</v>
      </c>
      <c r="AH134">
        <f t="shared" si="22"/>
        <v>529</v>
      </c>
      <c r="AI134">
        <f t="shared" si="23"/>
        <v>529</v>
      </c>
      <c r="AJ134" s="22">
        <f>IF(ISERROR(MATCH(A134,Rosters!$B$2:$B$155,0)),AD134,"")</f>
        <v>-18.40558128571428</v>
      </c>
      <c r="AK134">
        <f t="shared" si="24"/>
        <v>376</v>
      </c>
      <c r="AL134" s="23">
        <f>COUNTIF(INDEX($C134:$S134,Week+1):INDEX($C134:$S134,13),"&gt;0")</f>
        <v>7</v>
      </c>
    </row>
    <row r="135" spans="1:38" x14ac:dyDescent="0.25">
      <c r="A135" t="s">
        <v>1524</v>
      </c>
      <c r="B135" t="s">
        <v>47</v>
      </c>
      <c r="C135">
        <v>0.97</v>
      </c>
      <c r="D135">
        <v>0.91</v>
      </c>
      <c r="E135">
        <v>0</v>
      </c>
      <c r="F135">
        <v>0</v>
      </c>
      <c r="G135">
        <v>1.01</v>
      </c>
      <c r="H135">
        <v>1.1200000000000001</v>
      </c>
      <c r="I135">
        <v>1.01</v>
      </c>
      <c r="J135" t="s">
        <v>64</v>
      </c>
      <c r="K135">
        <v>1.31</v>
      </c>
      <c r="L135">
        <v>1.26</v>
      </c>
      <c r="M135">
        <v>1.37</v>
      </c>
      <c r="N135">
        <v>1.04</v>
      </c>
      <c r="O135">
        <v>0.97</v>
      </c>
      <c r="P135">
        <v>1.1200000000000001</v>
      </c>
      <c r="Q135">
        <v>1.17</v>
      </c>
      <c r="R135">
        <v>1.44</v>
      </c>
      <c r="S135">
        <v>1.46</v>
      </c>
      <c r="T135" s="2">
        <f>IF('ROS Rankings'!$AD$1,IFERROR(AVERAGE(INDEX($C135:$S135,14):INDEX($C135:$S135,17)),0),IFERROR(AVERAGE(INDEX($C135:$S135,Week+1):INDEX($C135:$S135,13)),0))</f>
        <v>1.1542857142857144</v>
      </c>
      <c r="U135" s="2" t="str">
        <f t="shared" si="18"/>
        <v/>
      </c>
      <c r="V135" s="2">
        <f t="shared" si="18"/>
        <v>1.1542857142857144</v>
      </c>
      <c r="W135" s="2" t="str">
        <f t="shared" si="18"/>
        <v/>
      </c>
      <c r="X135" s="2" t="str">
        <f t="shared" si="18"/>
        <v/>
      </c>
      <c r="Y135" s="2" t="str">
        <f t="shared" si="18"/>
        <v/>
      </c>
      <c r="Z135" s="2" t="str">
        <f t="shared" si="18"/>
        <v/>
      </c>
      <c r="AA135" s="23" t="str">
        <f t="shared" si="19"/>
        <v>RB85</v>
      </c>
      <c r="AB135" s="2">
        <f>$T135-VLOOKUP($B135,Scores!$AG$1:$AM$7,5,FALSE)</f>
        <v>-10.604285714285714</v>
      </c>
      <c r="AC135" s="2">
        <f>$T135-VLOOKUP($B135,Scores!$AG$1:$AM$7,6,FALSE)</f>
        <v>-7.1157142857142865</v>
      </c>
      <c r="AD135" s="2">
        <f>$T135-VLOOKUP($B135,Scores!$AG$1:$AM$7,7,FALSE)+(ROW(A134)/1000000)</f>
        <v>-4.7141517142857152</v>
      </c>
      <c r="AE135" s="2">
        <f t="array" ref="AE135">IF('ROS Rankings'!$AD$1,IFERROR(AVERAGE(IF(INDEX($C135:$S135,14):INDEX($C135:$S135,17)="NA",0,INDEX($C135:$S135,14):INDEX($C135:$S135,17))-INDEX($AQ$2:$BG$7,MATCH($B135,$AO$2:$AO$7,0),14):INDEX($AQ$2:$BG$7,MATCH($B135,$AO$2:$AO$7,0),17)),0),IFERROR(AVERAGE(IF(INDEX($C135:$S135,Week+1):INDEX($C135:$S135,13)="NA",0,INDEX($C135:$S135,Week+1):INDEX($C135:$S135,13))-INDEX($AQ$2:$BG$7,MATCH($B135,$AO$2:$AO$7,0),Week+1):INDEX($AQ$2:$BG$7,MATCH($B135,$AO$2:$AO$7,0),13)),0))+ROW(A134)/1000000</f>
        <v>-4.3498660000000005</v>
      </c>
      <c r="AF135">
        <f t="shared" si="20"/>
        <v>473</v>
      </c>
      <c r="AG135">
        <f t="shared" si="21"/>
        <v>410</v>
      </c>
      <c r="AH135">
        <f t="shared" si="22"/>
        <v>383</v>
      </c>
      <c r="AI135">
        <f t="shared" si="23"/>
        <v>363</v>
      </c>
      <c r="AJ135" s="22">
        <f>IF(ISERROR(MATCH(A135,Rosters!$B$2:$B$155,0)),AD135,"")</f>
        <v>-4.7141517142857152</v>
      </c>
      <c r="AK135">
        <f t="shared" si="24"/>
        <v>231</v>
      </c>
      <c r="AL135" s="23">
        <f>COUNTIF(INDEX($C135:$S135,Week+1):INDEX($C135:$S135,13),"&gt;0")</f>
        <v>7</v>
      </c>
    </row>
    <row r="136" spans="1:38" x14ac:dyDescent="0.25">
      <c r="A136" t="s">
        <v>45</v>
      </c>
      <c r="B136" t="s">
        <v>47</v>
      </c>
      <c r="C136">
        <v>18.440000000000001</v>
      </c>
      <c r="D136">
        <v>14.9</v>
      </c>
      <c r="E136">
        <v>11.35</v>
      </c>
      <c r="F136">
        <v>10.72</v>
      </c>
      <c r="G136">
        <v>14.08</v>
      </c>
      <c r="H136">
        <v>11.18</v>
      </c>
      <c r="I136">
        <v>12.5</v>
      </c>
      <c r="J136">
        <v>15.09</v>
      </c>
      <c r="K136" t="s">
        <v>64</v>
      </c>
      <c r="L136">
        <v>14.1</v>
      </c>
      <c r="M136">
        <v>14.9</v>
      </c>
      <c r="N136">
        <v>12.21</v>
      </c>
      <c r="O136">
        <v>14.16</v>
      </c>
      <c r="P136">
        <v>15.11</v>
      </c>
      <c r="Q136">
        <v>14.65</v>
      </c>
      <c r="R136">
        <v>14.96</v>
      </c>
      <c r="S136">
        <v>11.97</v>
      </c>
      <c r="T136" s="2">
        <f>IF('ROS Rankings'!$AD$1,IFERROR(AVERAGE(INDEX($C136:$S136,14):INDEX($C136:$S136,17)),0),IFERROR(AVERAGE(INDEX($C136:$S136,Week+1):INDEX($C136:$S136,13)),0))</f>
        <v>13.448571428571427</v>
      </c>
      <c r="U136" s="2" t="str">
        <f t="shared" si="18"/>
        <v/>
      </c>
      <c r="V136" s="2">
        <f t="shared" si="18"/>
        <v>13.448571428571427</v>
      </c>
      <c r="W136" s="2" t="str">
        <f t="shared" si="18"/>
        <v/>
      </c>
      <c r="X136" s="2" t="str">
        <f t="shared" si="18"/>
        <v/>
      </c>
      <c r="Y136" s="2" t="str">
        <f t="shared" si="18"/>
        <v/>
      </c>
      <c r="Z136" s="2" t="str">
        <f t="shared" si="18"/>
        <v/>
      </c>
      <c r="AA136" s="23" t="str">
        <f t="shared" si="19"/>
        <v>RB6</v>
      </c>
      <c r="AB136" s="2">
        <f>$T136-VLOOKUP($B136,Scores!$AG$1:$AM$7,5,FALSE)</f>
        <v>1.6899999999999977</v>
      </c>
      <c r="AC136" s="2">
        <f>$T136-VLOOKUP($B136,Scores!$AG$1:$AM$7,6,FALSE)</f>
        <v>5.1785714285714253</v>
      </c>
      <c r="AD136" s="2">
        <f>$T136-VLOOKUP($B136,Scores!$AG$1:$AM$7,7,FALSE)+(ROW(A135)/1000000)</f>
        <v>7.5801349999999976</v>
      </c>
      <c r="AE136" s="2">
        <f t="array" ref="AE136">IF('ROS Rankings'!$AD$1,IFERROR(AVERAGE(IF(INDEX($C136:$S136,14):INDEX($C136:$S136,17)="NA",0,INDEX($C136:$S136,14):INDEX($C136:$S136,17))-INDEX($AQ$2:$BG$7,MATCH($B136,$AO$2:$AO$7,0),14):INDEX($AQ$2:$BG$7,MATCH($B136,$AO$2:$AO$7,0),17)),0),IFERROR(AVERAGE(IF(INDEX($C136:$S136,Week+1):INDEX($C136:$S136,13)="NA",0,INDEX($C136:$S136,Week+1):INDEX($C136:$S136,13))-INDEX($AQ$2:$BG$7,MATCH($B136,$AO$2:$AO$7,0),Week+1):INDEX($AQ$2:$BG$7,MATCH($B136,$AO$2:$AO$7,0),13)),0))+ROW(A135)/1000000</f>
        <v>6.407635</v>
      </c>
      <c r="AF136">
        <f t="shared" si="20"/>
        <v>17</v>
      </c>
      <c r="AG136">
        <f t="shared" si="21"/>
        <v>9</v>
      </c>
      <c r="AH136">
        <f t="shared" si="22"/>
        <v>7</v>
      </c>
      <c r="AI136">
        <f t="shared" si="23"/>
        <v>10</v>
      </c>
      <c r="AJ136" s="22" t="str">
        <f>IF(ISERROR(MATCH(A136,Rosters!$B$2:$B$155,0)),AD136,"")</f>
        <v/>
      </c>
      <c r="AK136" t="str">
        <f t="shared" si="24"/>
        <v/>
      </c>
      <c r="AL136" s="23">
        <f>COUNTIF(INDEX($C136:$S136,Week+1):INDEX($C136:$S136,13),"&gt;0")</f>
        <v>7</v>
      </c>
    </row>
    <row r="137" spans="1:38" x14ac:dyDescent="0.25">
      <c r="A137" t="s">
        <v>4234</v>
      </c>
      <c r="B137" t="s">
        <v>87</v>
      </c>
      <c r="C137" t="s">
        <v>64</v>
      </c>
      <c r="D137">
        <v>0.63</v>
      </c>
      <c r="E137">
        <v>1.67</v>
      </c>
      <c r="F137">
        <v>1.31</v>
      </c>
      <c r="G137">
        <v>0.48</v>
      </c>
      <c r="H137">
        <v>0.72</v>
      </c>
      <c r="I137" t="s">
        <v>64</v>
      </c>
      <c r="J137">
        <v>0.74</v>
      </c>
      <c r="K137">
        <v>0.56999999999999995</v>
      </c>
      <c r="L137">
        <v>0.46</v>
      </c>
      <c r="M137">
        <v>0.73</v>
      </c>
      <c r="N137">
        <v>0.6</v>
      </c>
      <c r="O137">
        <v>0.8</v>
      </c>
      <c r="P137">
        <v>0.74</v>
      </c>
      <c r="Q137">
        <v>0.77</v>
      </c>
      <c r="R137">
        <v>0.74</v>
      </c>
      <c r="S137">
        <v>0.72</v>
      </c>
      <c r="T137" s="2">
        <f>IF('ROS Rankings'!$AD$1,IFERROR(AVERAGE(INDEX($C137:$S137,14):INDEX($C137:$S137,17)),0),IFERROR(AVERAGE(INDEX($C137:$S137,Week+1):INDEX($C137:$S137,13)),0))</f>
        <v>0.66</v>
      </c>
      <c r="U137" s="2" t="str">
        <f t="shared" si="18"/>
        <v/>
      </c>
      <c r="V137" s="2" t="str">
        <f t="shared" si="18"/>
        <v/>
      </c>
      <c r="W137" s="2">
        <f t="shared" si="18"/>
        <v>0.66</v>
      </c>
      <c r="X137" s="2" t="str">
        <f t="shared" si="18"/>
        <v/>
      </c>
      <c r="Y137" s="2" t="str">
        <f t="shared" si="18"/>
        <v/>
      </c>
      <c r="Z137" s="2" t="str">
        <f t="shared" si="18"/>
        <v/>
      </c>
      <c r="AA137" s="23" t="str">
        <f t="shared" si="19"/>
        <v>WR145</v>
      </c>
      <c r="AB137" s="2">
        <f>$T137-VLOOKUP($B137,Scores!$AG$1:$AM$7,5,FALSE)</f>
        <v>-9.71142857142857</v>
      </c>
      <c r="AC137" s="2">
        <f>$T137-VLOOKUP($B137,Scores!$AG$1:$AM$7,6,FALSE)</f>
        <v>-7.3714285714285719</v>
      </c>
      <c r="AD137" s="2">
        <f>$T137-VLOOKUP($B137,Scores!$AG$1:$AM$7,7,FALSE)+(ROW(A136)/1000000)</f>
        <v>-5.392721142857142</v>
      </c>
      <c r="AE137" s="2">
        <f t="array" ref="AE137">IF('ROS Rankings'!$AD$1,IFERROR(AVERAGE(IF(INDEX($C137:$S137,14):INDEX($C137:$S137,17)="NA",0,INDEX($C137:$S137,14):INDEX($C137:$S137,17))-INDEX($AQ$2:$BG$7,MATCH($B137,$AO$2:$AO$7,0),14):INDEX($AQ$2:$BG$7,MATCH($B137,$AO$2:$AO$7,0),17)),0),IFERROR(AVERAGE(IF(INDEX($C137:$S137,Week+1):INDEX($C137:$S137,13)="NA",0,INDEX($C137:$S137,Week+1):INDEX($C137:$S137,13))-INDEX($AQ$2:$BG$7,MATCH($B137,$AO$2:$AO$7,0),Week+1):INDEX($AQ$2:$BG$7,MATCH($B137,$AO$2:$AO$7,0),13)),0))+ROW(A136)/1000000</f>
        <v>-4.7786139999999993</v>
      </c>
      <c r="AF137">
        <f t="shared" si="20"/>
        <v>420</v>
      </c>
      <c r="AG137">
        <f t="shared" si="21"/>
        <v>435</v>
      </c>
      <c r="AH137">
        <f t="shared" si="22"/>
        <v>465</v>
      </c>
      <c r="AI137">
        <f t="shared" si="23"/>
        <v>431</v>
      </c>
      <c r="AJ137" s="22">
        <f>IF(ISERROR(MATCH(A137,Rosters!$B$2:$B$155,0)),AD137,"")</f>
        <v>-5.392721142857142</v>
      </c>
      <c r="AK137">
        <f t="shared" si="24"/>
        <v>313</v>
      </c>
      <c r="AL137" s="23">
        <f>COUNTIF(INDEX($C137:$S137,Week+1):INDEX($C137:$S137,13),"&gt;0")</f>
        <v>7</v>
      </c>
    </row>
    <row r="138" spans="1:38" x14ac:dyDescent="0.25">
      <c r="A138" t="s">
        <v>318</v>
      </c>
      <c r="B138" t="s">
        <v>114</v>
      </c>
      <c r="C138">
        <v>1.36</v>
      </c>
      <c r="D138">
        <v>1.27</v>
      </c>
      <c r="E138">
        <v>0</v>
      </c>
      <c r="F138">
        <v>1.77</v>
      </c>
      <c r="G138">
        <v>1.74</v>
      </c>
      <c r="H138">
        <v>1.81</v>
      </c>
      <c r="I138">
        <v>1.52</v>
      </c>
      <c r="J138">
        <v>1.33</v>
      </c>
      <c r="K138">
        <v>1.52</v>
      </c>
      <c r="L138" t="s">
        <v>64</v>
      </c>
      <c r="M138">
        <v>1.6</v>
      </c>
      <c r="N138">
        <v>1.33</v>
      </c>
      <c r="O138">
        <v>1.25</v>
      </c>
      <c r="P138">
        <v>1.64</v>
      </c>
      <c r="Q138">
        <v>1.32</v>
      </c>
      <c r="R138">
        <v>1.45</v>
      </c>
      <c r="S138">
        <v>1.68</v>
      </c>
      <c r="T138" s="2">
        <f>IF('ROS Rankings'!$AD$1,IFERROR(AVERAGE(INDEX($C138:$S138,14):INDEX($C138:$S138,17)),0),IFERROR(AVERAGE(INDEX($C138:$S138,Week+1):INDEX($C138:$S138,13)),0))</f>
        <v>1.48</v>
      </c>
      <c r="U138" s="2" t="str">
        <f t="shared" si="18"/>
        <v/>
      </c>
      <c r="V138" s="2" t="str">
        <f t="shared" si="18"/>
        <v/>
      </c>
      <c r="W138" s="2" t="str">
        <f t="shared" si="18"/>
        <v/>
      </c>
      <c r="X138" s="2">
        <f t="shared" si="18"/>
        <v>1.48</v>
      </c>
      <c r="Y138" s="2" t="str">
        <f t="shared" si="18"/>
        <v/>
      </c>
      <c r="Z138" s="2" t="str">
        <f t="shared" si="18"/>
        <v/>
      </c>
      <c r="AA138" s="23" t="str">
        <f t="shared" si="19"/>
        <v>TE64</v>
      </c>
      <c r="AB138" s="2">
        <f>$T138-VLOOKUP($B138,Scores!$AG$1:$AM$7,5,FALSE)</f>
        <v>-5.5187499999999989</v>
      </c>
      <c r="AC138" s="2">
        <f>$T138-VLOOKUP($B138,Scores!$AG$1:$AM$7,6,FALSE)</f>
        <v>-3.77</v>
      </c>
      <c r="AD138" s="2">
        <f>$T138-VLOOKUP($B138,Scores!$AG$1:$AM$7,7,FALSE)+(ROW(A137)/1000000)</f>
        <v>-3.6998629999999997</v>
      </c>
      <c r="AE138" s="2">
        <f t="array" ref="AE138">IF('ROS Rankings'!$AD$1,IFERROR(AVERAGE(IF(INDEX($C138:$S138,14):INDEX($C138:$S138,17)="NA",0,INDEX($C138:$S138,14):INDEX($C138:$S138,17))-INDEX($AQ$2:$BG$7,MATCH($B138,$AO$2:$AO$7,0),14):INDEX($AQ$2:$BG$7,MATCH($B138,$AO$2:$AO$7,0),17)),0),IFERROR(AVERAGE(IF(INDEX($C138:$S138,Week+1):INDEX($C138:$S138,13)="NA",0,INDEX($C138:$S138,Week+1):INDEX($C138:$S138,13))-INDEX($AQ$2:$BG$7,MATCH($B138,$AO$2:$AO$7,0),Week+1):INDEX($AQ$2:$BG$7,MATCH($B138,$AO$2:$AO$7,0),13)),0))+ROW(A137)/1000000</f>
        <v>-3.8023629999999997</v>
      </c>
      <c r="AF138">
        <f t="shared" si="20"/>
        <v>262</v>
      </c>
      <c r="AG138">
        <f t="shared" si="21"/>
        <v>289</v>
      </c>
      <c r="AH138">
        <f t="shared" si="22"/>
        <v>332</v>
      </c>
      <c r="AI138">
        <f t="shared" si="23"/>
        <v>338</v>
      </c>
      <c r="AJ138" s="22">
        <f>IF(ISERROR(MATCH(A138,Rosters!$B$2:$B$155,0)),AD138,"")</f>
        <v>-3.6998629999999997</v>
      </c>
      <c r="AK138">
        <f t="shared" si="24"/>
        <v>181</v>
      </c>
      <c r="AL138" s="23">
        <f>COUNTIF(INDEX($C138:$S138,Week+1):INDEX($C138:$S138,13),"&gt;0")</f>
        <v>7</v>
      </c>
    </row>
    <row r="139" spans="1:38" x14ac:dyDescent="0.25">
      <c r="A139" t="s">
        <v>215</v>
      </c>
      <c r="B139" t="s">
        <v>114</v>
      </c>
      <c r="C139">
        <v>4.12</v>
      </c>
      <c r="D139">
        <v>5.14</v>
      </c>
      <c r="E139">
        <v>4.43</v>
      </c>
      <c r="F139">
        <v>5.89</v>
      </c>
      <c r="G139">
        <v>5.81</v>
      </c>
      <c r="H139">
        <v>5.9</v>
      </c>
      <c r="I139">
        <v>7.28</v>
      </c>
      <c r="J139">
        <v>5.88</v>
      </c>
      <c r="K139">
        <v>6.27</v>
      </c>
      <c r="L139">
        <v>6.59</v>
      </c>
      <c r="M139" t="s">
        <v>64</v>
      </c>
      <c r="N139">
        <v>6.14</v>
      </c>
      <c r="O139">
        <v>7.4</v>
      </c>
      <c r="P139">
        <v>4.4000000000000004</v>
      </c>
      <c r="Q139">
        <v>4.8600000000000003</v>
      </c>
      <c r="R139">
        <v>6.32</v>
      </c>
      <c r="S139">
        <v>4.5199999999999996</v>
      </c>
      <c r="T139" s="2">
        <f>IF('ROS Rankings'!$AD$1,IFERROR(AVERAGE(INDEX($C139:$S139,14):INDEX($C139:$S139,17)),0),IFERROR(AVERAGE(INDEX($C139:$S139,Week+1):INDEX($C139:$S139,13)),0))</f>
        <v>6.4942857142857138</v>
      </c>
      <c r="U139" s="2" t="str">
        <f t="shared" si="18"/>
        <v/>
      </c>
      <c r="V139" s="2" t="str">
        <f t="shared" si="18"/>
        <v/>
      </c>
      <c r="W139" s="2" t="str">
        <f t="shared" si="18"/>
        <v/>
      </c>
      <c r="X139" s="2">
        <f t="shared" si="18"/>
        <v>6.4942857142857138</v>
      </c>
      <c r="Y139" s="2" t="str">
        <f t="shared" si="18"/>
        <v/>
      </c>
      <c r="Z139" s="2" t="str">
        <f t="shared" si="18"/>
        <v/>
      </c>
      <c r="AA139" s="23" t="str">
        <f t="shared" si="19"/>
        <v>TE7</v>
      </c>
      <c r="AB139" s="2">
        <f>$T139-VLOOKUP($B139,Scores!$AG$1:$AM$7,5,FALSE)</f>
        <v>-0.50446428571428559</v>
      </c>
      <c r="AC139" s="2">
        <f>$T139-VLOOKUP($B139,Scores!$AG$1:$AM$7,6,FALSE)</f>
        <v>1.2442857142857138</v>
      </c>
      <c r="AD139" s="2">
        <f>$T139-VLOOKUP($B139,Scores!$AG$1:$AM$7,7,FALSE)+(ROW(A138)/1000000)</f>
        <v>1.314423714285714</v>
      </c>
      <c r="AE139" s="2">
        <f t="array" ref="AE139">IF('ROS Rankings'!$AD$1,IFERROR(AVERAGE(IF(INDEX($C139:$S139,14):INDEX($C139:$S139,17)="NA",0,INDEX($C139:$S139,14):INDEX($C139:$S139,17))-INDEX($AQ$2:$BG$7,MATCH($B139,$AO$2:$AO$7,0),14):INDEX($AQ$2:$BG$7,MATCH($B139,$AO$2:$AO$7,0),17)),0),IFERROR(AVERAGE(IF(INDEX($C139:$S139,Week+1):INDEX($C139:$S139,13)="NA",0,INDEX($C139:$S139,Week+1):INDEX($C139:$S139,13))-INDEX($AQ$2:$BG$7,MATCH($B139,$AO$2:$AO$7,0),Week+1):INDEX($AQ$2:$BG$7,MATCH($B139,$AO$2:$AO$7,0),13)),0))+ROW(A138)/1000000</f>
        <v>0.58513800000000005</v>
      </c>
      <c r="AF139">
        <f t="shared" si="20"/>
        <v>67</v>
      </c>
      <c r="AG139">
        <f t="shared" si="21"/>
        <v>50</v>
      </c>
      <c r="AH139">
        <f t="shared" si="22"/>
        <v>94</v>
      </c>
      <c r="AI139">
        <f t="shared" si="23"/>
        <v>98</v>
      </c>
      <c r="AJ139" s="22">
        <f>IF(ISERROR(MATCH(A139,Rosters!$B$2:$B$155,0)),AD139,"")</f>
        <v>1.314423714285714</v>
      </c>
      <c r="AK139">
        <f t="shared" si="24"/>
        <v>2</v>
      </c>
      <c r="AL139" s="23">
        <f>COUNTIF(INDEX($C139:$S139,Week+1):INDEX($C139:$S139,13),"&gt;0")</f>
        <v>7</v>
      </c>
    </row>
    <row r="140" spans="1:38" x14ac:dyDescent="0.25">
      <c r="A140" t="s">
        <v>361</v>
      </c>
      <c r="B140" t="s">
        <v>87</v>
      </c>
      <c r="C140">
        <v>0.38</v>
      </c>
      <c r="D140">
        <v>0.37</v>
      </c>
      <c r="E140">
        <v>0.75</v>
      </c>
      <c r="F140">
        <v>0.48</v>
      </c>
      <c r="G140">
        <v>1.22</v>
      </c>
      <c r="H140">
        <v>0.62</v>
      </c>
      <c r="I140">
        <v>0.62</v>
      </c>
      <c r="J140">
        <v>0.6</v>
      </c>
      <c r="K140">
        <v>0.66</v>
      </c>
      <c r="L140">
        <v>0.54</v>
      </c>
      <c r="M140">
        <v>0.48</v>
      </c>
      <c r="N140" t="s">
        <v>64</v>
      </c>
      <c r="O140">
        <v>0.48</v>
      </c>
      <c r="P140">
        <v>0.59</v>
      </c>
      <c r="Q140">
        <v>0.71</v>
      </c>
      <c r="R140">
        <v>0.56000000000000005</v>
      </c>
      <c r="S140">
        <v>0.5</v>
      </c>
      <c r="T140" s="2">
        <f>IF('ROS Rankings'!$AD$1,IFERROR(AVERAGE(INDEX($C140:$S140,14):INDEX($C140:$S140,17)),0),IFERROR(AVERAGE(INDEX($C140:$S140,Week+1):INDEX($C140:$S140,13)),0))</f>
        <v>0.5714285714285714</v>
      </c>
      <c r="U140" s="2" t="str">
        <f t="shared" si="18"/>
        <v/>
      </c>
      <c r="V140" s="2" t="str">
        <f t="shared" si="18"/>
        <v/>
      </c>
      <c r="W140" s="2">
        <f t="shared" si="18"/>
        <v>0.5714285714285714</v>
      </c>
      <c r="X140" s="2" t="str">
        <f t="shared" si="18"/>
        <v/>
      </c>
      <c r="Y140" s="2" t="str">
        <f t="shared" si="18"/>
        <v/>
      </c>
      <c r="Z140" s="2" t="str">
        <f t="shared" si="18"/>
        <v/>
      </c>
      <c r="AA140" s="23" t="str">
        <f t="shared" si="19"/>
        <v>WR154</v>
      </c>
      <c r="AB140" s="2">
        <f>$T140-VLOOKUP($B140,Scores!$AG$1:$AM$7,5,FALSE)</f>
        <v>-9.7999999999999989</v>
      </c>
      <c r="AC140" s="2">
        <f>$T140-VLOOKUP($B140,Scores!$AG$1:$AM$7,6,FALSE)</f>
        <v>-7.4600000000000009</v>
      </c>
      <c r="AD140" s="2">
        <f>$T140-VLOOKUP($B140,Scores!$AG$1:$AM$7,7,FALSE)+(ROW(A139)/1000000)</f>
        <v>-5.4812895714285714</v>
      </c>
      <c r="AE140" s="2">
        <f t="array" ref="AE140">IF('ROS Rankings'!$AD$1,IFERROR(AVERAGE(IF(INDEX($C140:$S140,14):INDEX($C140:$S140,17)="NA",0,INDEX($C140:$S140,14):INDEX($C140:$S140,17))-INDEX($AQ$2:$BG$7,MATCH($B140,$AO$2:$AO$7,0),14):INDEX($AQ$2:$BG$7,MATCH($B140,$AO$2:$AO$7,0),17)),0),IFERROR(AVERAGE(IF(INDEX($C140:$S140,Week+1):INDEX($C140:$S140,13)="NA",0,INDEX($C140:$S140,Week+1):INDEX($C140:$S140,13))-INDEX($AQ$2:$BG$7,MATCH($B140,$AO$2:$AO$7,0),Week+1):INDEX($AQ$2:$BG$7,MATCH($B140,$AO$2:$AO$7,0),13)),0))+ROW(A139)/1000000</f>
        <v>-4.8561110000000003</v>
      </c>
      <c r="AF140">
        <f t="shared" si="20"/>
        <v>429</v>
      </c>
      <c r="AG140">
        <f t="shared" si="21"/>
        <v>448</v>
      </c>
      <c r="AH140">
        <f t="shared" si="22"/>
        <v>479</v>
      </c>
      <c r="AI140">
        <f t="shared" si="23"/>
        <v>453</v>
      </c>
      <c r="AJ140" s="22">
        <f>IF(ISERROR(MATCH(A140,Rosters!$B$2:$B$155,0)),AD140,"")</f>
        <v>-5.4812895714285714</v>
      </c>
      <c r="AK140">
        <f t="shared" si="24"/>
        <v>327</v>
      </c>
      <c r="AL140" s="23">
        <f>COUNTIF(INDEX($C140:$S140,Week+1):INDEX($C140:$S140,13),"&gt;0")</f>
        <v>7</v>
      </c>
    </row>
    <row r="141" spans="1:38" x14ac:dyDescent="0.25">
      <c r="A141" t="s">
        <v>8584</v>
      </c>
      <c r="B141" t="s">
        <v>47</v>
      </c>
      <c r="C141" t="s">
        <v>64</v>
      </c>
      <c r="D141" t="s">
        <v>64</v>
      </c>
      <c r="E141" t="s">
        <v>64</v>
      </c>
      <c r="F141" t="s">
        <v>64</v>
      </c>
      <c r="G141">
        <v>0.94</v>
      </c>
      <c r="H141">
        <v>1.1200000000000001</v>
      </c>
      <c r="I141">
        <v>1.59</v>
      </c>
      <c r="J141">
        <v>1.18</v>
      </c>
      <c r="K141">
        <v>1.36</v>
      </c>
      <c r="L141" t="s">
        <v>64</v>
      </c>
      <c r="M141">
        <v>0.71</v>
      </c>
      <c r="N141">
        <v>0.69</v>
      </c>
      <c r="O141">
        <v>0.72</v>
      </c>
      <c r="P141">
        <v>0.73</v>
      </c>
      <c r="Q141">
        <v>0.68</v>
      </c>
      <c r="R141">
        <v>0.55000000000000004</v>
      </c>
      <c r="S141">
        <v>0.46</v>
      </c>
      <c r="T141" s="2">
        <f>IF('ROS Rankings'!$AD$1,IFERROR(AVERAGE(INDEX($C141:$S141,14):INDEX($C141:$S141,17)),0),IFERROR(AVERAGE(INDEX($C141:$S141,Week+1):INDEX($C141:$S141,13)),0))</f>
        <v>1.0528571428571429</v>
      </c>
      <c r="U141" s="2" t="str">
        <f t="shared" si="18"/>
        <v/>
      </c>
      <c r="V141" s="2">
        <f t="shared" si="18"/>
        <v>1.0528571428571429</v>
      </c>
      <c r="W141" s="2" t="str">
        <f t="shared" si="18"/>
        <v/>
      </c>
      <c r="X141" s="2" t="str">
        <f t="shared" si="18"/>
        <v/>
      </c>
      <c r="Y141" s="2" t="str">
        <f t="shared" si="18"/>
        <v/>
      </c>
      <c r="Z141" s="2" t="str">
        <f t="shared" si="18"/>
        <v/>
      </c>
      <c r="AA141" s="23" t="str">
        <f t="shared" si="19"/>
        <v>RB89</v>
      </c>
      <c r="AB141" s="2">
        <f>$T141-VLOOKUP($B141,Scores!$AG$1:$AM$7,5,FALSE)</f>
        <v>-10.705714285714286</v>
      </c>
      <c r="AC141" s="2">
        <f>$T141-VLOOKUP($B141,Scores!$AG$1:$AM$7,6,FALSE)</f>
        <v>-7.2171428571428589</v>
      </c>
      <c r="AD141" s="2">
        <f>$T141-VLOOKUP($B141,Scores!$AG$1:$AM$7,7,FALSE)+(ROW(A140)/1000000)</f>
        <v>-4.8155742857142858</v>
      </c>
      <c r="AE141" s="2">
        <f t="array" ref="AE141">IF('ROS Rankings'!$AD$1,IFERROR(AVERAGE(IF(INDEX($C141:$S141,14):INDEX($C141:$S141,17)="NA",0,INDEX($C141:$S141,14):INDEX($C141:$S141,17))-INDEX($AQ$2:$BG$7,MATCH($B141,$AO$2:$AO$7,0),14):INDEX($AQ$2:$BG$7,MATCH($B141,$AO$2:$AO$7,0),17)),0),IFERROR(AVERAGE(IF(INDEX($C141:$S141,Week+1):INDEX($C141:$S141,13)="NA",0,INDEX($C141:$S141,Week+1):INDEX($C141:$S141,13))-INDEX($AQ$2:$BG$7,MATCH($B141,$AO$2:$AO$7,0),Week+1):INDEX($AQ$2:$BG$7,MATCH($B141,$AO$2:$AO$7,0),13)),0))+ROW(A140)/1000000</f>
        <v>-4.4386099999999997</v>
      </c>
      <c r="AF141">
        <f t="shared" si="20"/>
        <v>477</v>
      </c>
      <c r="AG141">
        <f t="shared" si="21"/>
        <v>415</v>
      </c>
      <c r="AH141">
        <f t="shared" si="22"/>
        <v>398</v>
      </c>
      <c r="AI141">
        <f t="shared" si="23"/>
        <v>369</v>
      </c>
      <c r="AJ141" s="22">
        <f>IF(ISERROR(MATCH(A141,Rosters!$B$2:$B$155,0)),AD141,"")</f>
        <v>-4.8155742857142858</v>
      </c>
      <c r="AK141">
        <f t="shared" si="24"/>
        <v>246</v>
      </c>
      <c r="AL141" s="23">
        <f>COUNTIF(INDEX($C141:$S141,Week+1):INDEX($C141:$S141,13),"&gt;0")</f>
        <v>7</v>
      </c>
    </row>
    <row r="142" spans="1:38" x14ac:dyDescent="0.25">
      <c r="A142" t="s">
        <v>8733</v>
      </c>
      <c r="B142" t="s">
        <v>87</v>
      </c>
      <c r="C142" t="s">
        <v>64</v>
      </c>
      <c r="D142">
        <v>0.81</v>
      </c>
      <c r="E142">
        <v>0</v>
      </c>
      <c r="F142">
        <v>0.76</v>
      </c>
      <c r="G142">
        <v>0.78</v>
      </c>
      <c r="H142">
        <v>0.67</v>
      </c>
      <c r="I142">
        <v>0.62</v>
      </c>
      <c r="J142">
        <v>0.68</v>
      </c>
      <c r="K142" t="s">
        <v>64</v>
      </c>
      <c r="L142">
        <v>0.86</v>
      </c>
      <c r="M142">
        <v>0.81</v>
      </c>
      <c r="N142">
        <v>0.69</v>
      </c>
      <c r="O142">
        <v>0.61</v>
      </c>
      <c r="P142">
        <v>0.82</v>
      </c>
      <c r="Q142">
        <v>0.59</v>
      </c>
      <c r="R142">
        <v>0.96</v>
      </c>
      <c r="S142">
        <v>0.59</v>
      </c>
      <c r="T142" s="2">
        <f>IF('ROS Rankings'!$AD$1,IFERROR(AVERAGE(INDEX($C142:$S142,14):INDEX($C142:$S142,17)),0),IFERROR(AVERAGE(INDEX($C142:$S142,Week+1):INDEX($C142:$S142,13)),0))</f>
        <v>0.70571428571428574</v>
      </c>
      <c r="U142" s="2" t="str">
        <f t="shared" si="18"/>
        <v/>
      </c>
      <c r="V142" s="2" t="str">
        <f t="shared" si="18"/>
        <v/>
      </c>
      <c r="W142" s="2">
        <f t="shared" si="18"/>
        <v>0.70571428571428574</v>
      </c>
      <c r="X142" s="2" t="str">
        <f t="shared" si="18"/>
        <v/>
      </c>
      <c r="Y142" s="2" t="str">
        <f t="shared" si="18"/>
        <v/>
      </c>
      <c r="Z142" s="2" t="str">
        <f t="shared" si="18"/>
        <v/>
      </c>
      <c r="AA142" s="23" t="str">
        <f t="shared" si="19"/>
        <v>WR136</v>
      </c>
      <c r="AB142" s="2">
        <f>$T142-VLOOKUP($B142,Scores!$AG$1:$AM$7,5,FALSE)</f>
        <v>-9.6657142857142837</v>
      </c>
      <c r="AC142" s="2">
        <f>$T142-VLOOKUP($B142,Scores!$AG$1:$AM$7,6,FALSE)</f>
        <v>-7.3257142857142865</v>
      </c>
      <c r="AD142" s="2">
        <f>$T142-VLOOKUP($B142,Scores!$AG$1:$AM$7,7,FALSE)+(ROW(A141)/1000000)</f>
        <v>-5.3470018571428568</v>
      </c>
      <c r="AE142" s="2">
        <f t="array" ref="AE142">IF('ROS Rankings'!$AD$1,IFERROR(AVERAGE(IF(INDEX($C142:$S142,14):INDEX($C142:$S142,17)="NA",0,INDEX($C142:$S142,14):INDEX($C142:$S142,17))-INDEX($AQ$2:$BG$7,MATCH($B142,$AO$2:$AO$7,0),14):INDEX($AQ$2:$BG$7,MATCH($B142,$AO$2:$AO$7,0),17)),0),IFERROR(AVERAGE(IF(INDEX($C142:$S142,Week+1):INDEX($C142:$S142,13)="NA",0,INDEX($C142:$S142,Week+1):INDEX($C142:$S142,13))-INDEX($AQ$2:$BG$7,MATCH($B142,$AO$2:$AO$7,0),Week+1):INDEX($AQ$2:$BG$7,MATCH($B142,$AO$2:$AO$7,0),13)),0))+ROW(A141)/1000000</f>
        <v>-4.7386090000000003</v>
      </c>
      <c r="AF142">
        <f t="shared" si="20"/>
        <v>411</v>
      </c>
      <c r="AG142">
        <f t="shared" si="21"/>
        <v>426</v>
      </c>
      <c r="AH142">
        <f t="shared" si="22"/>
        <v>451</v>
      </c>
      <c r="AI142">
        <f t="shared" si="23"/>
        <v>420</v>
      </c>
      <c r="AJ142" s="22">
        <f>IF(ISERROR(MATCH(A142,Rosters!$B$2:$B$155,0)),AD142,"")</f>
        <v>-5.3470018571428568</v>
      </c>
      <c r="AK142">
        <f t="shared" si="24"/>
        <v>299</v>
      </c>
      <c r="AL142" s="23">
        <f>COUNTIF(INDEX($C142:$S142,Week+1):INDEX($C142:$S142,13),"&gt;0")</f>
        <v>7</v>
      </c>
    </row>
    <row r="143" spans="1:38" x14ac:dyDescent="0.25">
      <c r="A143" t="s">
        <v>120</v>
      </c>
      <c r="B143" t="s">
        <v>87</v>
      </c>
      <c r="C143">
        <v>14.98</v>
      </c>
      <c r="D143">
        <v>12.4</v>
      </c>
      <c r="E143">
        <v>13.01</v>
      </c>
      <c r="F143">
        <v>14.53</v>
      </c>
      <c r="G143">
        <v>15.31</v>
      </c>
      <c r="H143">
        <v>13.24</v>
      </c>
      <c r="I143">
        <v>11.79</v>
      </c>
      <c r="J143">
        <v>15.28</v>
      </c>
      <c r="K143">
        <v>11.12</v>
      </c>
      <c r="L143" t="s">
        <v>64</v>
      </c>
      <c r="M143">
        <v>13.79</v>
      </c>
      <c r="N143">
        <v>14.49</v>
      </c>
      <c r="O143">
        <v>13.47</v>
      </c>
      <c r="P143">
        <v>15.6</v>
      </c>
      <c r="Q143">
        <v>12.47</v>
      </c>
      <c r="R143">
        <v>11.5</v>
      </c>
      <c r="S143">
        <v>12.08</v>
      </c>
      <c r="T143" s="2">
        <f>IF('ROS Rankings'!$AD$1,IFERROR(AVERAGE(INDEX($C143:$S143,14):INDEX($C143:$S143,17)),0),IFERROR(AVERAGE(INDEX($C143:$S143,Week+1):INDEX($C143:$S143,13)),0))</f>
        <v>13.31142857142857</v>
      </c>
      <c r="U143" s="2" t="str">
        <f t="shared" si="18"/>
        <v/>
      </c>
      <c r="V143" s="2" t="str">
        <f t="shared" si="18"/>
        <v/>
      </c>
      <c r="W143" s="2">
        <f t="shared" si="18"/>
        <v>13.31142857142857</v>
      </c>
      <c r="X143" s="2" t="str">
        <f t="shared" si="18"/>
        <v/>
      </c>
      <c r="Y143" s="2" t="str">
        <f t="shared" si="18"/>
        <v/>
      </c>
      <c r="Z143" s="2" t="str">
        <f t="shared" si="18"/>
        <v/>
      </c>
      <c r="AA143" s="23" t="str">
        <f t="shared" si="19"/>
        <v>WR3</v>
      </c>
      <c r="AB143" s="2">
        <f>$T143-VLOOKUP($B143,Scores!$AG$1:$AM$7,5,FALSE)</f>
        <v>2.9399999999999995</v>
      </c>
      <c r="AC143" s="2">
        <f>$T143-VLOOKUP($B143,Scores!$AG$1:$AM$7,6,FALSE)</f>
        <v>5.2799999999999976</v>
      </c>
      <c r="AD143" s="2">
        <f>$T143-VLOOKUP($B143,Scores!$AG$1:$AM$7,7,FALSE)+(ROW(A142)/1000000)</f>
        <v>7.2587134285714274</v>
      </c>
      <c r="AE143" s="2">
        <f t="array" ref="AE143">IF('ROS Rankings'!$AD$1,IFERROR(AVERAGE(IF(INDEX($C143:$S143,14):INDEX($C143:$S143,17)="NA",0,INDEX($C143:$S143,14):INDEX($C143:$S143,17))-INDEX($AQ$2:$BG$7,MATCH($B143,$AO$2:$AO$7,0),14):INDEX($AQ$2:$BG$7,MATCH($B143,$AO$2:$AO$7,0),17)),0),IFERROR(AVERAGE(IF(INDEX($C143:$S143,Week+1):INDEX($C143:$S143,13)="NA",0,INDEX($C143:$S143,Week+1):INDEX($C143:$S143,13))-INDEX($AQ$2:$BG$7,MATCH($B143,$AO$2:$AO$7,0),Week+1):INDEX($AQ$2:$BG$7,MATCH($B143,$AO$2:$AO$7,0),13)),0))+ROW(A142)/1000000</f>
        <v>6.291392000000001</v>
      </c>
      <c r="AF143">
        <f t="shared" si="20"/>
        <v>10</v>
      </c>
      <c r="AG143">
        <f t="shared" si="21"/>
        <v>8</v>
      </c>
      <c r="AH143">
        <f t="shared" si="22"/>
        <v>12</v>
      </c>
      <c r="AI143">
        <f t="shared" si="23"/>
        <v>12</v>
      </c>
      <c r="AJ143" s="22" t="str">
        <f>IF(ISERROR(MATCH(A143,Rosters!$B$2:$B$155,0)),AD143,"")</f>
        <v/>
      </c>
      <c r="AK143" t="str">
        <f t="shared" si="24"/>
        <v/>
      </c>
      <c r="AL143" s="23">
        <f>COUNTIF(INDEX($C143:$S143,Week+1):INDEX($C143:$S143,13),"&gt;0")</f>
        <v>7</v>
      </c>
    </row>
    <row r="144" spans="1:38" x14ac:dyDescent="0.25">
      <c r="A144" t="s">
        <v>218</v>
      </c>
      <c r="B144" t="s">
        <v>47</v>
      </c>
      <c r="C144">
        <v>0</v>
      </c>
      <c r="D144">
        <v>0</v>
      </c>
      <c r="E144">
        <v>0</v>
      </c>
      <c r="F144">
        <v>0</v>
      </c>
      <c r="G144">
        <v>0.47</v>
      </c>
      <c r="H144">
        <v>0.59</v>
      </c>
      <c r="I144" t="s">
        <v>64</v>
      </c>
      <c r="J144">
        <v>0.66</v>
      </c>
      <c r="K144">
        <v>0.59</v>
      </c>
      <c r="L144">
        <v>0.5</v>
      </c>
      <c r="M144">
        <v>0.47</v>
      </c>
      <c r="N144">
        <v>0.44</v>
      </c>
      <c r="O144">
        <v>0.69</v>
      </c>
      <c r="P144">
        <v>0.43</v>
      </c>
      <c r="Q144">
        <v>0.51</v>
      </c>
      <c r="R144">
        <v>0.61</v>
      </c>
      <c r="S144">
        <v>0.65</v>
      </c>
      <c r="T144" s="2">
        <f>IF('ROS Rankings'!$AD$1,IFERROR(AVERAGE(INDEX($C144:$S144,14):INDEX($C144:$S144,17)),0),IFERROR(AVERAGE(INDEX($C144:$S144,Week+1):INDEX($C144:$S144,13)),0))</f>
        <v>0.56285714285714283</v>
      </c>
      <c r="U144" s="2" t="str">
        <f t="shared" si="18"/>
        <v/>
      </c>
      <c r="V144" s="2">
        <f t="shared" si="18"/>
        <v>0.56285714285714283</v>
      </c>
      <c r="W144" s="2" t="str">
        <f t="shared" si="18"/>
        <v/>
      </c>
      <c r="X144" s="2" t="str">
        <f t="shared" si="18"/>
        <v/>
      </c>
      <c r="Y144" s="2" t="str">
        <f t="shared" si="18"/>
        <v/>
      </c>
      <c r="Z144" s="2" t="str">
        <f t="shared" si="18"/>
        <v/>
      </c>
      <c r="AA144" s="23" t="str">
        <f t="shared" si="19"/>
        <v>RB105</v>
      </c>
      <c r="AB144" s="2">
        <f>$T144-VLOOKUP($B144,Scores!$AG$1:$AM$7,5,FALSE)</f>
        <v>-11.195714285714287</v>
      </c>
      <c r="AC144" s="2">
        <f>$T144-VLOOKUP($B144,Scores!$AG$1:$AM$7,6,FALSE)</f>
        <v>-7.7071428571428582</v>
      </c>
      <c r="AD144" s="2">
        <f>$T144-VLOOKUP($B144,Scores!$AG$1:$AM$7,7,FALSE)+(ROW(A143)/1000000)</f>
        <v>-5.3055712857142865</v>
      </c>
      <c r="AE144" s="2">
        <f t="array" ref="AE144">IF('ROS Rankings'!$AD$1,IFERROR(AVERAGE(IF(INDEX($C144:$S144,14):INDEX($C144:$S144,17)="NA",0,INDEX($C144:$S144,14):INDEX($C144:$S144,17))-INDEX($AQ$2:$BG$7,MATCH($B144,$AO$2:$AO$7,0),14):INDEX($AQ$2:$BG$7,MATCH($B144,$AO$2:$AO$7,0),17)),0),IFERROR(AVERAGE(IF(INDEX($C144:$S144,Week+1):INDEX($C144:$S144,13)="NA",0,INDEX($C144:$S144,Week+1):INDEX($C144:$S144,13))-INDEX($AQ$2:$BG$7,MATCH($B144,$AO$2:$AO$7,0),Week+1):INDEX($AQ$2:$BG$7,MATCH($B144,$AO$2:$AO$7,0),13)),0))+ROW(A143)/1000000</f>
        <v>-4.8673570000000002</v>
      </c>
      <c r="AF144">
        <f t="shared" si="20"/>
        <v>493</v>
      </c>
      <c r="AG144">
        <f t="shared" si="21"/>
        <v>484</v>
      </c>
      <c r="AH144">
        <f t="shared" si="22"/>
        <v>436</v>
      </c>
      <c r="AI144">
        <f t="shared" si="23"/>
        <v>464</v>
      </c>
      <c r="AJ144" s="22">
        <f>IF(ISERROR(MATCH(A144,Rosters!$B$2:$B$155,0)),AD144,"")</f>
        <v>-5.3055712857142865</v>
      </c>
      <c r="AK144">
        <f t="shared" si="24"/>
        <v>284</v>
      </c>
      <c r="AL144" s="23">
        <f>COUNTIF(INDEX($C144:$S144,Week+1):INDEX($C144:$S144,13),"&gt;0")</f>
        <v>7</v>
      </c>
    </row>
    <row r="145" spans="1:38" x14ac:dyDescent="0.25">
      <c r="A145" t="s">
        <v>1211</v>
      </c>
      <c r="B145" t="s">
        <v>87</v>
      </c>
      <c r="C145">
        <v>4.79</v>
      </c>
      <c r="D145">
        <v>4.34</v>
      </c>
      <c r="E145">
        <v>4.82</v>
      </c>
      <c r="F145">
        <v>4.5</v>
      </c>
      <c r="G145">
        <v>6.16</v>
      </c>
      <c r="H145">
        <v>4.6900000000000004</v>
      </c>
      <c r="I145">
        <v>5.94</v>
      </c>
      <c r="J145">
        <v>5.7</v>
      </c>
      <c r="K145" t="s">
        <v>64</v>
      </c>
      <c r="L145">
        <v>5.38</v>
      </c>
      <c r="M145">
        <v>5.72</v>
      </c>
      <c r="N145">
        <v>5.0199999999999996</v>
      </c>
      <c r="O145">
        <v>5.58</v>
      </c>
      <c r="P145">
        <v>4.95</v>
      </c>
      <c r="Q145">
        <v>5.66</v>
      </c>
      <c r="R145">
        <v>5.48</v>
      </c>
      <c r="S145">
        <v>5.73</v>
      </c>
      <c r="T145" s="2">
        <f>IF('ROS Rankings'!$AD$1,IFERROR(AVERAGE(INDEX($C145:$S145,14):INDEX($C145:$S145,17)),0),IFERROR(AVERAGE(INDEX($C145:$S145,Week+1):INDEX($C145:$S145,13)),0))</f>
        <v>5.4328571428571433</v>
      </c>
      <c r="U145" s="2" t="str">
        <f t="shared" si="18"/>
        <v/>
      </c>
      <c r="V145" s="2" t="str">
        <f t="shared" si="18"/>
        <v/>
      </c>
      <c r="W145" s="2">
        <f t="shared" si="18"/>
        <v>5.4328571428571433</v>
      </c>
      <c r="X145" s="2" t="str">
        <f t="shared" si="18"/>
        <v/>
      </c>
      <c r="Y145" s="2" t="str">
        <f t="shared" si="18"/>
        <v/>
      </c>
      <c r="Z145" s="2" t="str">
        <f t="shared" si="18"/>
        <v/>
      </c>
      <c r="AA145" s="23" t="str">
        <f t="shared" si="19"/>
        <v>WR57</v>
      </c>
      <c r="AB145" s="2">
        <f>$T145-VLOOKUP($B145,Scores!$AG$1:$AM$7,5,FALSE)</f>
        <v>-4.9385714285714268</v>
      </c>
      <c r="AC145" s="2">
        <f>$T145-VLOOKUP($B145,Scores!$AG$1:$AM$7,6,FALSE)</f>
        <v>-2.5985714285714288</v>
      </c>
      <c r="AD145" s="2">
        <f>$T145-VLOOKUP($B145,Scores!$AG$1:$AM$7,7,FALSE)+(ROW(A144)/1000000)</f>
        <v>-0.61985599999999919</v>
      </c>
      <c r="AE145" s="2">
        <f t="array" ref="AE145">IF('ROS Rankings'!$AD$1,IFERROR(AVERAGE(IF(INDEX($C145:$S145,14):INDEX($C145:$S145,17)="NA",0,INDEX($C145:$S145,14):INDEX($C145:$S145,17))-INDEX($AQ$2:$BG$7,MATCH($B145,$AO$2:$AO$7,0),14):INDEX($AQ$2:$BG$7,MATCH($B145,$AO$2:$AO$7,0),17)),0),IFERROR(AVERAGE(IF(INDEX($C145:$S145,Week+1):INDEX($C145:$S145,13)="NA",0,INDEX($C145:$S145,Week+1):INDEX($C145:$S145,13))-INDEX($AQ$2:$BG$7,MATCH($B145,$AO$2:$AO$7,0),Week+1):INDEX($AQ$2:$BG$7,MATCH($B145,$AO$2:$AO$7,0),13)),0))+ROW(A144)/1000000</f>
        <v>-0.602356</v>
      </c>
      <c r="AF145">
        <f t="shared" si="20"/>
        <v>233</v>
      </c>
      <c r="AG145">
        <f t="shared" si="21"/>
        <v>222</v>
      </c>
      <c r="AH145">
        <f t="shared" si="22"/>
        <v>183</v>
      </c>
      <c r="AI145">
        <f t="shared" si="23"/>
        <v>150</v>
      </c>
      <c r="AJ145" s="22">
        <f>IF(ISERROR(MATCH(A145,Rosters!$B$2:$B$155,0)),AD145,"")</f>
        <v>-0.61985599999999919</v>
      </c>
      <c r="AK145">
        <f t="shared" si="24"/>
        <v>50</v>
      </c>
      <c r="AL145" s="23">
        <f>COUNTIF(INDEX($C145:$S145,Week+1):INDEX($C145:$S145,13),"&gt;0")</f>
        <v>7</v>
      </c>
    </row>
    <row r="146" spans="1:38" x14ac:dyDescent="0.25">
      <c r="A146" t="s">
        <v>341</v>
      </c>
      <c r="B146" t="s">
        <v>87</v>
      </c>
      <c r="C146">
        <v>0.47</v>
      </c>
      <c r="D146">
        <v>0.39</v>
      </c>
      <c r="E146">
        <v>0.38</v>
      </c>
      <c r="F146">
        <v>0.39</v>
      </c>
      <c r="G146">
        <v>1.03</v>
      </c>
      <c r="H146">
        <v>0.41</v>
      </c>
      <c r="I146">
        <v>0.41</v>
      </c>
      <c r="J146">
        <v>0.49</v>
      </c>
      <c r="K146">
        <v>0.49</v>
      </c>
      <c r="L146">
        <v>0.46</v>
      </c>
      <c r="M146">
        <v>0.35</v>
      </c>
      <c r="N146" t="s">
        <v>64</v>
      </c>
      <c r="O146">
        <v>0.5</v>
      </c>
      <c r="P146">
        <v>0.45</v>
      </c>
      <c r="Q146">
        <v>0.39</v>
      </c>
      <c r="R146">
        <v>0.45</v>
      </c>
      <c r="S146">
        <v>0.51</v>
      </c>
      <c r="T146" s="2">
        <f>IF('ROS Rankings'!$AD$1,IFERROR(AVERAGE(INDEX($C146:$S146,14):INDEX($C146:$S146,17)),0),IFERROR(AVERAGE(INDEX($C146:$S146,Week+1):INDEX($C146:$S146,13)),0))</f>
        <v>0.44428571428571434</v>
      </c>
      <c r="U146" s="2" t="str">
        <f t="shared" si="18"/>
        <v/>
      </c>
      <c r="V146" s="2" t="str">
        <f t="shared" si="18"/>
        <v/>
      </c>
      <c r="W146" s="2">
        <f t="shared" si="18"/>
        <v>0.44428571428571434</v>
      </c>
      <c r="X146" s="2" t="str">
        <f t="shared" si="18"/>
        <v/>
      </c>
      <c r="Y146" s="2" t="str">
        <f t="shared" si="18"/>
        <v/>
      </c>
      <c r="Z146" s="2" t="str">
        <f t="shared" si="18"/>
        <v/>
      </c>
      <c r="AA146" s="23" t="str">
        <f t="shared" si="19"/>
        <v>WR171</v>
      </c>
      <c r="AB146" s="2">
        <f>$T146-VLOOKUP($B146,Scores!$AG$1:$AM$7,5,FALSE)</f>
        <v>-9.9271428571428562</v>
      </c>
      <c r="AC146" s="2">
        <f>$T146-VLOOKUP($B146,Scores!$AG$1:$AM$7,6,FALSE)</f>
        <v>-7.5871428571428581</v>
      </c>
      <c r="AD146" s="2">
        <f>$T146-VLOOKUP($B146,Scores!$AG$1:$AM$7,7,FALSE)+(ROW(A145)/1000000)</f>
        <v>-5.6084264285714287</v>
      </c>
      <c r="AE146" s="2">
        <f t="array" ref="AE146">IF('ROS Rankings'!$AD$1,IFERROR(AVERAGE(IF(INDEX($C146:$S146,14):INDEX($C146:$S146,17)="NA",0,INDEX($C146:$S146,14):INDEX($C146:$S146,17))-INDEX($AQ$2:$BG$7,MATCH($B146,$AO$2:$AO$7,0),14):INDEX($AQ$2:$BG$7,MATCH($B146,$AO$2:$AO$7,0),17)),0),IFERROR(AVERAGE(IF(INDEX($C146:$S146,Week+1):INDEX($C146:$S146,13)="NA",0,INDEX($C146:$S146,Week+1):INDEX($C146:$S146,13))-INDEX($AQ$2:$BG$7,MATCH($B146,$AO$2:$AO$7,0),Week+1):INDEX($AQ$2:$BG$7,MATCH($B146,$AO$2:$AO$7,0),13)),0))+ROW(A145)/1000000</f>
        <v>-4.9673549999999995</v>
      </c>
      <c r="AF146">
        <f t="shared" si="20"/>
        <v>449</v>
      </c>
      <c r="AG146">
        <f t="shared" si="21"/>
        <v>470</v>
      </c>
      <c r="AH146">
        <f t="shared" si="22"/>
        <v>500</v>
      </c>
      <c r="AI146">
        <f t="shared" si="23"/>
        <v>483</v>
      </c>
      <c r="AJ146" s="22">
        <f>IF(ISERROR(MATCH(A146,Rosters!$B$2:$B$155,0)),AD146,"")</f>
        <v>-5.6084264285714287</v>
      </c>
      <c r="AK146">
        <f t="shared" si="24"/>
        <v>348</v>
      </c>
      <c r="AL146" s="23">
        <f>COUNTIF(INDEX($C146:$S146,Week+1):INDEX($C146:$S146,13),"&gt;0")</f>
        <v>7</v>
      </c>
    </row>
    <row r="147" spans="1:38" x14ac:dyDescent="0.25">
      <c r="A147" t="s">
        <v>136</v>
      </c>
      <c r="B147" t="s">
        <v>87</v>
      </c>
      <c r="C147">
        <v>8.73</v>
      </c>
      <c r="D147">
        <v>9.74</v>
      </c>
      <c r="E147">
        <v>8.51</v>
      </c>
      <c r="F147">
        <v>8.7799999999999994</v>
      </c>
      <c r="G147">
        <v>7.92</v>
      </c>
      <c r="H147">
        <v>8.99</v>
      </c>
      <c r="I147">
        <v>7.93</v>
      </c>
      <c r="J147">
        <v>9.43</v>
      </c>
      <c r="K147">
        <v>9.6999999999999993</v>
      </c>
      <c r="L147" t="s">
        <v>64</v>
      </c>
      <c r="M147">
        <v>8.59</v>
      </c>
      <c r="N147">
        <v>9.2200000000000006</v>
      </c>
      <c r="O147">
        <v>8.5299999999999994</v>
      </c>
      <c r="P147">
        <v>8.48</v>
      </c>
      <c r="Q147">
        <v>8.5399999999999991</v>
      </c>
      <c r="R147">
        <v>9.6199999999999992</v>
      </c>
      <c r="S147">
        <v>8.89</v>
      </c>
      <c r="T147" s="2">
        <f>IF('ROS Rankings'!$AD$1,IFERROR(AVERAGE(INDEX($C147:$S147,14):INDEX($C147:$S147,17)),0),IFERROR(AVERAGE(INDEX($C147:$S147,Week+1):INDEX($C147:$S147,13)),0))</f>
        <v>8.9128571428571437</v>
      </c>
      <c r="U147" s="2" t="str">
        <f t="shared" si="18"/>
        <v/>
      </c>
      <c r="V147" s="2" t="str">
        <f t="shared" si="18"/>
        <v/>
      </c>
      <c r="W147" s="2">
        <f t="shared" si="18"/>
        <v>8.9128571428571437</v>
      </c>
      <c r="X147" s="2" t="str">
        <f t="shared" si="18"/>
        <v/>
      </c>
      <c r="Y147" s="2" t="str">
        <f t="shared" si="18"/>
        <v/>
      </c>
      <c r="Z147" s="2" t="str">
        <f t="shared" si="18"/>
        <v/>
      </c>
      <c r="AA147" s="23" t="str">
        <f t="shared" si="19"/>
        <v>WR25</v>
      </c>
      <c r="AB147" s="2">
        <f>$T147-VLOOKUP($B147,Scores!$AG$1:$AM$7,5,FALSE)</f>
        <v>-1.4585714285714264</v>
      </c>
      <c r="AC147" s="2">
        <f>$T147-VLOOKUP($B147,Scores!$AG$1:$AM$7,6,FALSE)</f>
        <v>0.88142857142857167</v>
      </c>
      <c r="AD147" s="2">
        <f>$T147-VLOOKUP($B147,Scores!$AG$1:$AM$7,7,FALSE)+(ROW(A146)/1000000)</f>
        <v>2.8601460000000012</v>
      </c>
      <c r="AE147" s="2">
        <f t="array" ref="AE147">IF('ROS Rankings'!$AD$1,IFERROR(AVERAGE(IF(INDEX($C147:$S147,14):INDEX($C147:$S147,17)="NA",0,INDEX($C147:$S147,14):INDEX($C147:$S147,17))-INDEX($AQ$2:$BG$7,MATCH($B147,$AO$2:$AO$7,0),14):INDEX($AQ$2:$BG$7,MATCH($B147,$AO$2:$AO$7,0),17)),0),IFERROR(AVERAGE(IF(INDEX($C147:$S147,Week+1):INDEX($C147:$S147,13)="NA",0,INDEX($C147:$S147,Week+1):INDEX($C147:$S147,13))-INDEX($AQ$2:$BG$7,MATCH($B147,$AO$2:$AO$7,0),Week+1):INDEX($AQ$2:$BG$7,MATCH($B147,$AO$2:$AO$7,0),13)),0))+ROW(A146)/1000000</f>
        <v>2.4426459999999999</v>
      </c>
      <c r="AF147">
        <f t="shared" si="20"/>
        <v>112</v>
      </c>
      <c r="AG147">
        <f t="shared" si="21"/>
        <v>63</v>
      </c>
      <c r="AH147">
        <f t="shared" si="22"/>
        <v>52</v>
      </c>
      <c r="AI147">
        <f t="shared" si="23"/>
        <v>51</v>
      </c>
      <c r="AJ147" s="22" t="str">
        <f>IF(ISERROR(MATCH(A147,Rosters!$B$2:$B$155,0)),AD147,"")</f>
        <v/>
      </c>
      <c r="AK147" t="str">
        <f t="shared" si="24"/>
        <v/>
      </c>
      <c r="AL147" s="23">
        <f>COUNTIF(INDEX($C147:$S147,Week+1):INDEX($C147:$S147,13),"&gt;0")</f>
        <v>7</v>
      </c>
    </row>
    <row r="148" spans="1:38" x14ac:dyDescent="0.25">
      <c r="A148" t="s">
        <v>310</v>
      </c>
      <c r="B148" t="s">
        <v>114</v>
      </c>
      <c r="C148">
        <v>0</v>
      </c>
      <c r="D148">
        <v>1.86</v>
      </c>
      <c r="E148">
        <v>2.97</v>
      </c>
      <c r="F148">
        <v>1.95</v>
      </c>
      <c r="G148">
        <v>2.81</v>
      </c>
      <c r="H148">
        <v>1.77</v>
      </c>
      <c r="I148">
        <v>1.82</v>
      </c>
      <c r="J148">
        <v>2.71</v>
      </c>
      <c r="K148">
        <v>2.2000000000000002</v>
      </c>
      <c r="L148">
        <v>2.64</v>
      </c>
      <c r="M148">
        <v>2.67</v>
      </c>
      <c r="N148" t="s">
        <v>64</v>
      </c>
      <c r="O148">
        <v>2.06</v>
      </c>
      <c r="P148">
        <v>2.88</v>
      </c>
      <c r="Q148">
        <v>2.13</v>
      </c>
      <c r="R148">
        <v>2.59</v>
      </c>
      <c r="S148">
        <v>2.15</v>
      </c>
      <c r="T148" s="2">
        <f>IF('ROS Rankings'!$AD$1,IFERROR(AVERAGE(INDEX($C148:$S148,14):INDEX($C148:$S148,17)),0),IFERROR(AVERAGE(INDEX($C148:$S148,Week+1):INDEX($C148:$S148,13)),0))</f>
        <v>2.2671428571428573</v>
      </c>
      <c r="U148" s="2" t="str">
        <f t="shared" si="18"/>
        <v/>
      </c>
      <c r="V148" s="2" t="str">
        <f t="shared" si="18"/>
        <v/>
      </c>
      <c r="W148" s="2" t="str">
        <f t="shared" si="18"/>
        <v/>
      </c>
      <c r="X148" s="2">
        <f t="shared" si="18"/>
        <v>2.2671428571428573</v>
      </c>
      <c r="Y148" s="2" t="str">
        <f t="shared" si="18"/>
        <v/>
      </c>
      <c r="Z148" s="2" t="str">
        <f t="shared" si="18"/>
        <v/>
      </c>
      <c r="AA148" s="23" t="str">
        <f t="shared" si="19"/>
        <v>TE46</v>
      </c>
      <c r="AB148" s="2">
        <f>$T148-VLOOKUP($B148,Scores!$AG$1:$AM$7,5,FALSE)</f>
        <v>-4.7316071428571416</v>
      </c>
      <c r="AC148" s="2">
        <f>$T148-VLOOKUP($B148,Scores!$AG$1:$AM$7,6,FALSE)</f>
        <v>-2.9828571428571427</v>
      </c>
      <c r="AD148" s="2">
        <f>$T148-VLOOKUP($B148,Scores!$AG$1:$AM$7,7,FALSE)+(ROW(A147)/1000000)</f>
        <v>-2.9127101428571422</v>
      </c>
      <c r="AE148" s="2">
        <f t="array" ref="AE148">IF('ROS Rankings'!$AD$1,IFERROR(AVERAGE(IF(INDEX($C148:$S148,14):INDEX($C148:$S148,17)="NA",0,INDEX($C148:$S148,14):INDEX($C148:$S148,17))-INDEX($AQ$2:$BG$7,MATCH($B148,$AO$2:$AO$7,0),14):INDEX($AQ$2:$BG$7,MATCH($B148,$AO$2:$AO$7,0),17)),0),IFERROR(AVERAGE(IF(INDEX($C148:$S148,Week+1):INDEX($C148:$S148,13)="NA",0,INDEX($C148:$S148,Week+1):INDEX($C148:$S148,13))-INDEX($AQ$2:$BG$7,MATCH($B148,$AO$2:$AO$7,0),Week+1):INDEX($AQ$2:$BG$7,MATCH($B148,$AO$2:$AO$7,0),13)),0))+ROW(A147)/1000000</f>
        <v>-3.1136029999999999</v>
      </c>
      <c r="AF148">
        <f t="shared" si="20"/>
        <v>225</v>
      </c>
      <c r="AG148">
        <f t="shared" si="21"/>
        <v>243</v>
      </c>
      <c r="AH148">
        <f t="shared" si="22"/>
        <v>293</v>
      </c>
      <c r="AI148">
        <f t="shared" si="23"/>
        <v>305</v>
      </c>
      <c r="AJ148" s="22">
        <f>IF(ISERROR(MATCH(A148,Rosters!$B$2:$B$155,0)),AD148,"")</f>
        <v>-2.9127101428571422</v>
      </c>
      <c r="AK148">
        <f t="shared" si="24"/>
        <v>146</v>
      </c>
      <c r="AL148" s="23">
        <f>COUNTIF(INDEX($C148:$S148,Week+1):INDEX($C148:$S148,13),"&gt;0")</f>
        <v>7</v>
      </c>
    </row>
    <row r="149" spans="1:38" x14ac:dyDescent="0.25">
      <c r="A149" t="s">
        <v>1036</v>
      </c>
      <c r="B149" t="s">
        <v>87</v>
      </c>
      <c r="C149">
        <v>1.87</v>
      </c>
      <c r="D149">
        <v>2.2799999999999998</v>
      </c>
      <c r="E149">
        <v>3.68</v>
      </c>
      <c r="F149">
        <v>3.49</v>
      </c>
      <c r="G149">
        <v>3.36</v>
      </c>
      <c r="H149">
        <v>2.58</v>
      </c>
      <c r="I149">
        <v>3.63</v>
      </c>
      <c r="J149" t="s">
        <v>64</v>
      </c>
      <c r="K149">
        <v>3.21</v>
      </c>
      <c r="L149">
        <v>2.94</v>
      </c>
      <c r="M149">
        <v>3.11</v>
      </c>
      <c r="N149">
        <v>3.73</v>
      </c>
      <c r="O149">
        <v>3.25</v>
      </c>
      <c r="P149">
        <v>2.99</v>
      </c>
      <c r="Q149">
        <v>3.08</v>
      </c>
      <c r="R149">
        <v>3.88</v>
      </c>
      <c r="S149">
        <v>3.13</v>
      </c>
      <c r="T149" s="2">
        <f>IF('ROS Rankings'!$AD$1,IFERROR(AVERAGE(INDEX($C149:$S149,14):INDEX($C149:$S149,17)),0),IFERROR(AVERAGE(INDEX($C149:$S149,Week+1):INDEX($C149:$S149,13)),0))</f>
        <v>3.2071428571428569</v>
      </c>
      <c r="U149" s="2" t="str">
        <f t="shared" si="18"/>
        <v/>
      </c>
      <c r="V149" s="2" t="str">
        <f t="shared" si="18"/>
        <v/>
      </c>
      <c r="W149" s="2">
        <f t="shared" si="18"/>
        <v>3.2071428571428569</v>
      </c>
      <c r="X149" s="2" t="str">
        <f t="shared" si="18"/>
        <v/>
      </c>
      <c r="Y149" s="2" t="str">
        <f t="shared" si="18"/>
        <v/>
      </c>
      <c r="Z149" s="2" t="str">
        <f t="shared" si="18"/>
        <v/>
      </c>
      <c r="AA149" s="23" t="str">
        <f t="shared" si="19"/>
        <v>WR93</v>
      </c>
      <c r="AB149" s="2">
        <f>$T149-VLOOKUP($B149,Scores!$AG$1:$AM$7,5,FALSE)</f>
        <v>-7.1642857142857128</v>
      </c>
      <c r="AC149" s="2">
        <f>$T149-VLOOKUP($B149,Scores!$AG$1:$AM$7,6,FALSE)</f>
        <v>-4.8242857142857147</v>
      </c>
      <c r="AD149" s="2">
        <f>$T149-VLOOKUP($B149,Scores!$AG$1:$AM$7,7,FALSE)+(ROW(A148)/1000000)</f>
        <v>-2.8455662857142858</v>
      </c>
      <c r="AE149" s="2">
        <f t="array" ref="AE149">IF('ROS Rankings'!$AD$1,IFERROR(AVERAGE(IF(INDEX($C149:$S149,14):INDEX($C149:$S149,17)="NA",0,INDEX($C149:$S149,14):INDEX($C149:$S149,17))-INDEX($AQ$2:$BG$7,MATCH($B149,$AO$2:$AO$7,0),14):INDEX($AQ$2:$BG$7,MATCH($B149,$AO$2:$AO$7,0),17)),0),IFERROR(AVERAGE(IF(INDEX($C149:$S149,Week+1):INDEX($C149:$S149,13)="NA",0,INDEX($C149:$S149,Week+1):INDEX($C149:$S149,13))-INDEX($AQ$2:$BG$7,MATCH($B149,$AO$2:$AO$7,0),Week+1):INDEX($AQ$2:$BG$7,MATCH($B149,$AO$2:$AO$7,0),13)),0))+ROW(A148)/1000000</f>
        <v>-2.5498520000000005</v>
      </c>
      <c r="AF149">
        <f t="shared" si="20"/>
        <v>352</v>
      </c>
      <c r="AG149">
        <f t="shared" si="21"/>
        <v>344</v>
      </c>
      <c r="AH149">
        <f t="shared" si="22"/>
        <v>287</v>
      </c>
      <c r="AI149">
        <f t="shared" si="23"/>
        <v>269</v>
      </c>
      <c r="AJ149" s="22">
        <f>IF(ISERROR(MATCH(A149,Rosters!$B$2:$B$155,0)),AD149,"")</f>
        <v>-2.8455662857142858</v>
      </c>
      <c r="AK149">
        <f t="shared" si="24"/>
        <v>141</v>
      </c>
      <c r="AL149" s="23">
        <f>COUNTIF(INDEX($C149:$S149,Week+1):INDEX($C149:$S149,13),"&gt;0")</f>
        <v>7</v>
      </c>
    </row>
    <row r="150" spans="1:38" x14ac:dyDescent="0.25">
      <c r="A150" t="s">
        <v>71</v>
      </c>
      <c r="B150" t="s">
        <v>15</v>
      </c>
      <c r="C150">
        <v>14.26</v>
      </c>
      <c r="D150">
        <v>11.98</v>
      </c>
      <c r="E150">
        <v>13.33</v>
      </c>
      <c r="F150">
        <v>15.92</v>
      </c>
      <c r="G150">
        <v>14.83</v>
      </c>
      <c r="H150">
        <v>16.28</v>
      </c>
      <c r="I150" t="s">
        <v>64</v>
      </c>
      <c r="J150">
        <v>20.27</v>
      </c>
      <c r="K150">
        <v>18.850000000000001</v>
      </c>
      <c r="L150">
        <v>15.65</v>
      </c>
      <c r="M150">
        <v>14.38</v>
      </c>
      <c r="N150">
        <v>13.64</v>
      </c>
      <c r="O150">
        <v>19.399999999999999</v>
      </c>
      <c r="P150">
        <v>15.56</v>
      </c>
      <c r="Q150">
        <v>16.190000000000001</v>
      </c>
      <c r="R150">
        <v>17.510000000000002</v>
      </c>
      <c r="S150">
        <v>18.350000000000001</v>
      </c>
      <c r="T150" s="2">
        <f>IF('ROS Rankings'!$AD$1,IFERROR(AVERAGE(INDEX($C150:$S150,14):INDEX($C150:$S150,17)),0),IFERROR(AVERAGE(INDEX($C150:$S150,Week+1):INDEX($C150:$S150,13)),0))</f>
        <v>16.924285714285713</v>
      </c>
      <c r="U150" s="2">
        <f t="shared" si="18"/>
        <v>16.924285714285713</v>
      </c>
      <c r="V150" s="2" t="str">
        <f t="shared" si="18"/>
        <v/>
      </c>
      <c r="W150" s="2" t="str">
        <f t="shared" si="18"/>
        <v/>
      </c>
      <c r="X150" s="2" t="str">
        <f t="shared" si="18"/>
        <v/>
      </c>
      <c r="Y150" s="2" t="str">
        <f t="shared" si="18"/>
        <v/>
      </c>
      <c r="Z150" s="2" t="str">
        <f t="shared" si="18"/>
        <v/>
      </c>
      <c r="AA150" s="23" t="str">
        <f t="shared" si="19"/>
        <v>QB18</v>
      </c>
      <c r="AB150" s="2">
        <f>$T150-VLOOKUP($B150,Scores!$AG$1:$AM$7,5,FALSE)</f>
        <v>-3.9600000000000009</v>
      </c>
      <c r="AC150" s="2">
        <f>$T150-VLOOKUP($B150,Scores!$AG$1:$AM$7,6,FALSE)</f>
        <v>-2.9794642857142861</v>
      </c>
      <c r="AD150" s="2">
        <f>$T150-VLOOKUP($B150,Scores!$AG$1:$AM$7,7,FALSE)+(ROW(A149)/1000000)</f>
        <v>-2.5755652857142839</v>
      </c>
      <c r="AE150" s="2">
        <f t="array" ref="AE150">IF('ROS Rankings'!$AD$1,IFERROR(AVERAGE(IF(INDEX($C150:$S150,14):INDEX($C150:$S150,17)="NA",0,INDEX($C150:$S150,14):INDEX($C150:$S150,17))-INDEX($AQ$2:$BG$7,MATCH($B150,$AO$2:$AO$7,0),14):INDEX($AQ$2:$BG$7,MATCH($B150,$AO$2:$AO$7,0),17)),0),IFERROR(AVERAGE(IF(INDEX($C150:$S150,Week+1):INDEX($C150:$S150,13)="NA",0,INDEX($C150:$S150,Week+1):INDEX($C150:$S150,13))-INDEX($AQ$2:$BG$7,MATCH($B150,$AO$2:$AO$7,0),Week+1):INDEX($AQ$2:$BG$7,MATCH($B150,$AO$2:$AO$7,0),13)),0))+ROW(A149)/1000000</f>
        <v>-3.6936009999999992</v>
      </c>
      <c r="AF150">
        <f t="shared" si="20"/>
        <v>187</v>
      </c>
      <c r="AG150">
        <f t="shared" si="21"/>
        <v>241</v>
      </c>
      <c r="AH150">
        <f t="shared" si="22"/>
        <v>272</v>
      </c>
      <c r="AI150">
        <f t="shared" si="23"/>
        <v>333</v>
      </c>
      <c r="AJ150" s="22">
        <f>IF(ISERROR(MATCH(A150,Rosters!$B$2:$B$155,0)),AD150,"")</f>
        <v>-2.5755652857142839</v>
      </c>
      <c r="AK150">
        <f t="shared" si="24"/>
        <v>128</v>
      </c>
      <c r="AL150" s="23">
        <f>COUNTIF(INDEX($C150:$S150,Week+1):INDEX($C150:$S150,13),"&gt;0")</f>
        <v>7</v>
      </c>
    </row>
    <row r="151" spans="1:38" x14ac:dyDescent="0.25">
      <c r="A151" t="s">
        <v>380</v>
      </c>
      <c r="B151" t="s">
        <v>114</v>
      </c>
      <c r="C151">
        <v>1.01</v>
      </c>
      <c r="D151">
        <v>1.18</v>
      </c>
      <c r="E151">
        <v>1.37</v>
      </c>
      <c r="F151">
        <v>1.6</v>
      </c>
      <c r="G151">
        <v>1.24</v>
      </c>
      <c r="H151">
        <v>1.38</v>
      </c>
      <c r="I151" t="s">
        <v>64</v>
      </c>
      <c r="J151">
        <v>1.21</v>
      </c>
      <c r="K151">
        <v>1.22</v>
      </c>
      <c r="L151">
        <v>1.29</v>
      </c>
      <c r="M151">
        <v>1.27</v>
      </c>
      <c r="N151">
        <v>1.2</v>
      </c>
      <c r="O151">
        <v>1.1399999999999999</v>
      </c>
      <c r="P151">
        <v>1.33</v>
      </c>
      <c r="Q151">
        <v>1.1399999999999999</v>
      </c>
      <c r="R151">
        <v>1.38</v>
      </c>
      <c r="S151">
        <v>1.1000000000000001</v>
      </c>
      <c r="T151" s="2">
        <f>IF('ROS Rankings'!$AD$1,IFERROR(AVERAGE(INDEX($C151:$S151,14):INDEX($C151:$S151,17)),0),IFERROR(AVERAGE(INDEX($C151:$S151,Week+1):INDEX($C151:$S151,13)),0))</f>
        <v>1.2442857142857142</v>
      </c>
      <c r="U151" s="2" t="str">
        <f t="shared" si="18"/>
        <v/>
      </c>
      <c r="V151" s="2" t="str">
        <f t="shared" si="18"/>
        <v/>
      </c>
      <c r="W151" s="2" t="str">
        <f t="shared" si="18"/>
        <v/>
      </c>
      <c r="X151" s="2">
        <f t="shared" si="18"/>
        <v>1.2442857142857142</v>
      </c>
      <c r="Y151" s="2" t="str">
        <f t="shared" si="18"/>
        <v/>
      </c>
      <c r="Z151" s="2" t="str">
        <f t="shared" si="18"/>
        <v/>
      </c>
      <c r="AA151" s="23" t="str">
        <f t="shared" si="19"/>
        <v>TE66</v>
      </c>
      <c r="AB151" s="2">
        <f>$T151-VLOOKUP($B151,Scores!$AG$1:$AM$7,5,FALSE)</f>
        <v>-5.7544642857142847</v>
      </c>
      <c r="AC151" s="2">
        <f>$T151-VLOOKUP($B151,Scores!$AG$1:$AM$7,6,FALSE)</f>
        <v>-4.0057142857142853</v>
      </c>
      <c r="AD151" s="2">
        <f>$T151-VLOOKUP($B151,Scores!$AG$1:$AM$7,7,FALSE)+(ROW(A150)/1000000)</f>
        <v>-3.9355642857142854</v>
      </c>
      <c r="AE151" s="2">
        <f t="array" ref="AE151">IF('ROS Rankings'!$AD$1,IFERROR(AVERAGE(IF(INDEX($C151:$S151,14):INDEX($C151:$S151,17)="NA",0,INDEX($C151:$S151,14):INDEX($C151:$S151,17))-INDEX($AQ$2:$BG$7,MATCH($B151,$AO$2:$AO$7,0),14):INDEX($AQ$2:$BG$7,MATCH($B151,$AO$2:$AO$7,0),17)),0),IFERROR(AVERAGE(IF(INDEX($C151:$S151,Week+1):INDEX($C151:$S151,13)="NA",0,INDEX($C151:$S151,Week+1):INDEX($C151:$S151,13))-INDEX($AQ$2:$BG$7,MATCH($B151,$AO$2:$AO$7,0),Week+1):INDEX($AQ$2:$BG$7,MATCH($B151,$AO$2:$AO$7,0),13)),0))+ROW(A150)/1000000</f>
        <v>-4.0086000000000004</v>
      </c>
      <c r="AF151">
        <f t="shared" si="20"/>
        <v>272</v>
      </c>
      <c r="AG151">
        <f t="shared" si="21"/>
        <v>297</v>
      </c>
      <c r="AH151">
        <f t="shared" si="22"/>
        <v>341</v>
      </c>
      <c r="AI151">
        <f t="shared" si="23"/>
        <v>345</v>
      </c>
      <c r="AJ151" s="22">
        <f>IF(ISERROR(MATCH(A151,Rosters!$B$2:$B$155,0)),AD151,"")</f>
        <v>-3.9355642857142854</v>
      </c>
      <c r="AK151">
        <f t="shared" si="24"/>
        <v>190</v>
      </c>
      <c r="AL151" s="23">
        <f>COUNTIF(INDEX($C151:$S151,Week+1):INDEX($C151:$S151,13),"&gt;0")</f>
        <v>7</v>
      </c>
    </row>
    <row r="152" spans="1:38" x14ac:dyDescent="0.25">
      <c r="A152" t="s">
        <v>317</v>
      </c>
      <c r="B152" t="s">
        <v>47</v>
      </c>
      <c r="C152">
        <v>0.75</v>
      </c>
      <c r="D152">
        <v>0.72</v>
      </c>
      <c r="E152">
        <v>0.74</v>
      </c>
      <c r="F152">
        <v>0.91</v>
      </c>
      <c r="G152">
        <v>1.04</v>
      </c>
      <c r="H152">
        <v>0.64</v>
      </c>
      <c r="I152">
        <v>0.9</v>
      </c>
      <c r="J152" t="s">
        <v>64</v>
      </c>
      <c r="K152">
        <v>0.49</v>
      </c>
      <c r="L152">
        <v>0.97</v>
      </c>
      <c r="M152">
        <v>0.53</v>
      </c>
      <c r="N152">
        <v>0.57999999999999996</v>
      </c>
      <c r="O152">
        <v>0.79</v>
      </c>
      <c r="P152">
        <v>0.86</v>
      </c>
      <c r="Q152">
        <v>0.96</v>
      </c>
      <c r="R152">
        <v>0.6</v>
      </c>
      <c r="S152">
        <v>0.5</v>
      </c>
      <c r="T152" s="2">
        <f>IF('ROS Rankings'!$AD$1,IFERROR(AVERAGE(INDEX($C152:$S152,14):INDEX($C152:$S152,17)),0),IFERROR(AVERAGE(INDEX($C152:$S152,Week+1):INDEX($C152:$S152,13)),0))</f>
        <v>0.70000000000000007</v>
      </c>
      <c r="U152" s="2" t="str">
        <f t="shared" si="18"/>
        <v/>
      </c>
      <c r="V152" s="2">
        <f t="shared" si="18"/>
        <v>0.70000000000000007</v>
      </c>
      <c r="W152" s="2" t="str">
        <f t="shared" si="18"/>
        <v/>
      </c>
      <c r="X152" s="2" t="str">
        <f t="shared" si="18"/>
        <v/>
      </c>
      <c r="Y152" s="2" t="str">
        <f t="shared" si="18"/>
        <v/>
      </c>
      <c r="Z152" s="2" t="str">
        <f t="shared" si="18"/>
        <v/>
      </c>
      <c r="AA152" s="23" t="str">
        <f t="shared" si="19"/>
        <v>RB96</v>
      </c>
      <c r="AB152" s="2">
        <f>$T152-VLOOKUP($B152,Scores!$AG$1:$AM$7,5,FALSE)</f>
        <v>-11.05857142857143</v>
      </c>
      <c r="AC152" s="2">
        <f>$T152-VLOOKUP($B152,Scores!$AG$1:$AM$7,6,FALSE)</f>
        <v>-7.5700000000000012</v>
      </c>
      <c r="AD152" s="2">
        <f>$T152-VLOOKUP($B152,Scores!$AG$1:$AM$7,7,FALSE)+(ROW(A151)/1000000)</f>
        <v>-5.1684204285714292</v>
      </c>
      <c r="AE152" s="2">
        <f t="array" ref="AE152">IF('ROS Rankings'!$AD$1,IFERROR(AVERAGE(IF(INDEX($C152:$S152,14):INDEX($C152:$S152,17)="NA",0,INDEX($C152:$S152,14):INDEX($C152:$S152,17))-INDEX($AQ$2:$BG$7,MATCH($B152,$AO$2:$AO$7,0),14):INDEX($AQ$2:$BG$7,MATCH($B152,$AO$2:$AO$7,0),17)),0),IFERROR(AVERAGE(IF(INDEX($C152:$S152,Week+1):INDEX($C152:$S152,13)="NA",0,INDEX($C152:$S152,Week+1):INDEX($C152:$S152,13))-INDEX($AQ$2:$BG$7,MATCH($B152,$AO$2:$AO$7,0),Week+1):INDEX($AQ$2:$BG$7,MATCH($B152,$AO$2:$AO$7,0),13)),0))+ROW(A151)/1000000</f>
        <v>-4.7473490000000007</v>
      </c>
      <c r="AF152">
        <f t="shared" si="20"/>
        <v>484</v>
      </c>
      <c r="AG152">
        <f t="shared" si="21"/>
        <v>468</v>
      </c>
      <c r="AH152">
        <f t="shared" si="22"/>
        <v>416</v>
      </c>
      <c r="AI152">
        <f t="shared" si="23"/>
        <v>423</v>
      </c>
      <c r="AJ152" s="22">
        <f>IF(ISERROR(MATCH(A152,Rosters!$B$2:$B$155,0)),AD152,"")</f>
        <v>-5.1684204285714292</v>
      </c>
      <c r="AK152">
        <f t="shared" si="24"/>
        <v>264</v>
      </c>
      <c r="AL152" s="23">
        <f>COUNTIF(INDEX($C152:$S152,Week+1):INDEX($C152:$S152,13),"&gt;0")</f>
        <v>7</v>
      </c>
    </row>
    <row r="153" spans="1:38" x14ac:dyDescent="0.25">
      <c r="A153" t="s">
        <v>3012</v>
      </c>
      <c r="B153" t="s">
        <v>47</v>
      </c>
      <c r="C153" t="s">
        <v>64</v>
      </c>
      <c r="D153">
        <v>0.28000000000000003</v>
      </c>
      <c r="E153">
        <v>0.18</v>
      </c>
      <c r="F153">
        <v>0.24</v>
      </c>
      <c r="G153">
        <v>0.2</v>
      </c>
      <c r="H153">
        <v>0.24</v>
      </c>
      <c r="I153">
        <v>0.23</v>
      </c>
      <c r="J153">
        <v>0.2</v>
      </c>
      <c r="K153" t="s">
        <v>64</v>
      </c>
      <c r="L153">
        <v>0.21</v>
      </c>
      <c r="M153">
        <v>0.22</v>
      </c>
      <c r="N153">
        <v>0.24</v>
      </c>
      <c r="O153">
        <v>0.22</v>
      </c>
      <c r="P153">
        <v>0.21</v>
      </c>
      <c r="Q153">
        <v>0.24</v>
      </c>
      <c r="R153">
        <v>0.23</v>
      </c>
      <c r="S153">
        <v>0.23</v>
      </c>
      <c r="T153" s="2">
        <f>IF('ROS Rankings'!$AD$1,IFERROR(AVERAGE(INDEX($C153:$S153,14):INDEX($C153:$S153,17)),0),IFERROR(AVERAGE(INDEX($C153:$S153,Week+1):INDEX($C153:$S153,13)),0))</f>
        <v>0.22285714285714284</v>
      </c>
      <c r="U153" s="2" t="str">
        <f t="shared" si="18"/>
        <v/>
      </c>
      <c r="V153" s="2">
        <f t="shared" si="18"/>
        <v>0.22285714285714284</v>
      </c>
      <c r="W153" s="2" t="str">
        <f t="shared" si="18"/>
        <v/>
      </c>
      <c r="X153" s="2" t="str">
        <f t="shared" si="18"/>
        <v/>
      </c>
      <c r="Y153" s="2" t="str">
        <f t="shared" si="18"/>
        <v/>
      </c>
      <c r="Z153" s="2" t="str">
        <f t="shared" si="18"/>
        <v/>
      </c>
      <c r="AA153" s="23" t="str">
        <f t="shared" si="19"/>
        <v>RB132</v>
      </c>
      <c r="AB153" s="2">
        <f>$T153-VLOOKUP($B153,Scores!$AG$1:$AM$7,5,FALSE)</f>
        <v>-11.535714285714286</v>
      </c>
      <c r="AC153" s="2">
        <f>$T153-VLOOKUP($B153,Scores!$AG$1:$AM$7,6,FALSE)</f>
        <v>-8.0471428571428589</v>
      </c>
      <c r="AD153" s="2">
        <f>$T153-VLOOKUP($B153,Scores!$AG$1:$AM$7,7,FALSE)+(ROW(A152)/1000000)</f>
        <v>-5.6455622857142869</v>
      </c>
      <c r="AE153" s="2">
        <f t="array" ref="AE153">IF('ROS Rankings'!$AD$1,IFERROR(AVERAGE(IF(INDEX($C153:$S153,14):INDEX($C153:$S153,17)="NA",0,INDEX($C153:$S153,14):INDEX($C153:$S153,17))-INDEX($AQ$2:$BG$7,MATCH($B153,$AO$2:$AO$7,0),14):INDEX($AQ$2:$BG$7,MATCH($B153,$AO$2:$AO$7,0),17)),0),IFERROR(AVERAGE(IF(INDEX($C153:$S153,Week+1):INDEX($C153:$S153,13)="NA",0,INDEX($C153:$S153,Week+1):INDEX($C153:$S153,13))-INDEX($AQ$2:$BG$7,MATCH($B153,$AO$2:$AO$7,0),Week+1):INDEX($AQ$2:$BG$7,MATCH($B153,$AO$2:$AO$7,0),13)),0))+ROW(A152)/1000000</f>
        <v>-5.1648480000000001</v>
      </c>
      <c r="AF153">
        <f t="shared" si="20"/>
        <v>520</v>
      </c>
      <c r="AG153">
        <f t="shared" si="21"/>
        <v>520</v>
      </c>
      <c r="AH153">
        <f t="shared" si="22"/>
        <v>504</v>
      </c>
      <c r="AI153">
        <f t="shared" si="23"/>
        <v>506</v>
      </c>
      <c r="AJ153" s="22">
        <f>IF(ISERROR(MATCH(A153,Rosters!$B$2:$B$155,0)),AD153,"")</f>
        <v>-5.6455622857142869</v>
      </c>
      <c r="AK153">
        <f t="shared" si="24"/>
        <v>352</v>
      </c>
      <c r="AL153" s="23">
        <f>COUNTIF(INDEX($C153:$S153,Week+1):INDEX($C153:$S153,13),"&gt;0")</f>
        <v>7</v>
      </c>
    </row>
    <row r="154" spans="1:38" x14ac:dyDescent="0.25">
      <c r="A154" t="s">
        <v>201</v>
      </c>
      <c r="B154" t="s">
        <v>47</v>
      </c>
      <c r="C154">
        <v>9.4</v>
      </c>
      <c r="D154">
        <v>9.16</v>
      </c>
      <c r="E154">
        <v>8.99</v>
      </c>
      <c r="F154">
        <v>8.74</v>
      </c>
      <c r="G154">
        <v>10.029999999999999</v>
      </c>
      <c r="H154">
        <v>7.86</v>
      </c>
      <c r="I154">
        <v>7.24</v>
      </c>
      <c r="J154" t="s">
        <v>64</v>
      </c>
      <c r="K154">
        <v>9.82</v>
      </c>
      <c r="L154">
        <v>9.9700000000000006</v>
      </c>
      <c r="M154">
        <v>9.91</v>
      </c>
      <c r="N154">
        <v>10.199999999999999</v>
      </c>
      <c r="O154">
        <v>7.93</v>
      </c>
      <c r="P154">
        <v>7.67</v>
      </c>
      <c r="Q154">
        <v>9.52</v>
      </c>
      <c r="R154">
        <v>11.14</v>
      </c>
      <c r="S154">
        <v>10.71</v>
      </c>
      <c r="T154" s="2">
        <f>IF('ROS Rankings'!$AD$1,IFERROR(AVERAGE(INDEX($C154:$S154,14):INDEX($C154:$S154,17)),0),IFERROR(AVERAGE(INDEX($C154:$S154,Week+1):INDEX($C154:$S154,13)),0))</f>
        <v>8.99</v>
      </c>
      <c r="U154" s="2" t="str">
        <f t="shared" si="18"/>
        <v/>
      </c>
      <c r="V154" s="2">
        <f t="shared" si="18"/>
        <v>8.99</v>
      </c>
      <c r="W154" s="2" t="str">
        <f t="shared" si="18"/>
        <v/>
      </c>
      <c r="X154" s="2" t="str">
        <f t="shared" si="18"/>
        <v/>
      </c>
      <c r="Y154" s="2" t="str">
        <f t="shared" si="18"/>
        <v/>
      </c>
      <c r="Z154" s="2" t="str">
        <f t="shared" si="18"/>
        <v/>
      </c>
      <c r="AA154" s="23" t="str">
        <f t="shared" si="19"/>
        <v>RB20</v>
      </c>
      <c r="AB154" s="2">
        <f>$T154-VLOOKUP($B154,Scores!$AG$1:$AM$7,5,FALSE)</f>
        <v>-2.7685714285714287</v>
      </c>
      <c r="AC154" s="2">
        <f>$T154-VLOOKUP($B154,Scores!$AG$1:$AM$7,6,FALSE)</f>
        <v>0.71999999999999886</v>
      </c>
      <c r="AD154" s="2">
        <f>$T154-VLOOKUP($B154,Scores!$AG$1:$AM$7,7,FALSE)+(ROW(A153)/1000000)</f>
        <v>3.1215815714285711</v>
      </c>
      <c r="AE154" s="2">
        <f t="array" ref="AE154">IF('ROS Rankings'!$AD$1,IFERROR(AVERAGE(IF(INDEX($C154:$S154,14):INDEX($C154:$S154,17)="NA",0,INDEX($C154:$S154,14):INDEX($C154:$S154,17))-INDEX($AQ$2:$BG$7,MATCH($B154,$AO$2:$AO$7,0),14):INDEX($AQ$2:$BG$7,MATCH($B154,$AO$2:$AO$7,0),17)),0),IFERROR(AVERAGE(IF(INDEX($C154:$S154,Week+1):INDEX($C154:$S154,13)="NA",0,INDEX($C154:$S154,Week+1):INDEX($C154:$S154,13))-INDEX($AQ$2:$BG$7,MATCH($B154,$AO$2:$AO$7,0),Week+1):INDEX($AQ$2:$BG$7,MATCH($B154,$AO$2:$AO$7,0),13)),0))+ROW(A153)/1000000</f>
        <v>2.5064030000000006</v>
      </c>
      <c r="AF154">
        <f t="shared" si="20"/>
        <v>156</v>
      </c>
      <c r="AG154">
        <f t="shared" si="21"/>
        <v>66</v>
      </c>
      <c r="AH154">
        <f t="shared" si="22"/>
        <v>45</v>
      </c>
      <c r="AI154">
        <f t="shared" si="23"/>
        <v>50</v>
      </c>
      <c r="AJ154" s="22" t="str">
        <f>IF(ISERROR(MATCH(A154,Rosters!$B$2:$B$155,0)),AD154,"")</f>
        <v/>
      </c>
      <c r="AK154" t="str">
        <f t="shared" si="24"/>
        <v/>
      </c>
      <c r="AL154" s="23">
        <f>COUNTIF(INDEX($C154:$S154,Week+1):INDEX($C154:$S154,13),"&gt;0")</f>
        <v>7</v>
      </c>
    </row>
    <row r="155" spans="1:38" x14ac:dyDescent="0.25">
      <c r="A155" t="s">
        <v>163</v>
      </c>
      <c r="B155" t="s">
        <v>87</v>
      </c>
      <c r="C155">
        <v>5.87</v>
      </c>
      <c r="D155">
        <v>6.54</v>
      </c>
      <c r="E155">
        <v>6.97</v>
      </c>
      <c r="F155">
        <v>6.04</v>
      </c>
      <c r="G155" t="s">
        <v>64</v>
      </c>
      <c r="H155">
        <v>6.93</v>
      </c>
      <c r="I155">
        <v>5.48</v>
      </c>
      <c r="J155">
        <v>5.92</v>
      </c>
      <c r="K155">
        <v>5.0999999999999996</v>
      </c>
      <c r="L155">
        <v>5.42</v>
      </c>
      <c r="M155">
        <v>6.35</v>
      </c>
      <c r="N155">
        <v>6.12</v>
      </c>
      <c r="O155">
        <v>5.24</v>
      </c>
      <c r="P155">
        <v>6.32</v>
      </c>
      <c r="Q155">
        <v>4.25</v>
      </c>
      <c r="R155">
        <v>6.86</v>
      </c>
      <c r="S155">
        <v>7.15</v>
      </c>
      <c r="T155" s="2">
        <f>IF('ROS Rankings'!$AD$1,IFERROR(AVERAGE(INDEX($C155:$S155,14):INDEX($C155:$S155,17)),0),IFERROR(AVERAGE(INDEX($C155:$S155,Week+1):INDEX($C155:$S155,13)),0))</f>
        <v>5.82</v>
      </c>
      <c r="U155" s="2" t="str">
        <f t="shared" si="18"/>
        <v/>
      </c>
      <c r="V155" s="2" t="str">
        <f t="shared" si="18"/>
        <v/>
      </c>
      <c r="W155" s="2">
        <f t="shared" si="18"/>
        <v>5.82</v>
      </c>
      <c r="X155" s="2" t="str">
        <f t="shared" si="18"/>
        <v/>
      </c>
      <c r="Y155" s="2" t="str">
        <f t="shared" si="18"/>
        <v/>
      </c>
      <c r="Z155" s="2" t="str">
        <f t="shared" si="18"/>
        <v/>
      </c>
      <c r="AA155" s="23" t="str">
        <f t="shared" si="19"/>
        <v>WR55</v>
      </c>
      <c r="AB155" s="2">
        <f>$T155-VLOOKUP($B155,Scores!$AG$1:$AM$7,5,FALSE)</f>
        <v>-4.5514285714285698</v>
      </c>
      <c r="AC155" s="2">
        <f>$T155-VLOOKUP($B155,Scores!$AG$1:$AM$7,6,FALSE)</f>
        <v>-2.2114285714285717</v>
      </c>
      <c r="AD155" s="2">
        <f>$T155-VLOOKUP($B155,Scores!$AG$1:$AM$7,7,FALSE)+(ROW(A154)/1000000)</f>
        <v>-0.23270314285714222</v>
      </c>
      <c r="AE155" s="2">
        <f t="array" ref="AE155">IF('ROS Rankings'!$AD$1,IFERROR(AVERAGE(IF(INDEX($C155:$S155,14):INDEX($C155:$S155,17)="NA",0,INDEX($C155:$S155,14):INDEX($C155:$S155,17))-INDEX($AQ$2:$BG$7,MATCH($B155,$AO$2:$AO$7,0),14):INDEX($AQ$2:$BG$7,MATCH($B155,$AO$2:$AO$7,0),17)),0),IFERROR(AVERAGE(IF(INDEX($C155:$S155,Week+1):INDEX($C155:$S155,13)="NA",0,INDEX($C155:$S155,Week+1):INDEX($C155:$S155,13))-INDEX($AQ$2:$BG$7,MATCH($B155,$AO$2:$AO$7,0),Week+1):INDEX($AQ$2:$BG$7,MATCH($B155,$AO$2:$AO$7,0),13)),0))+ROW(A154)/1000000</f>
        <v>0.46390399999999987</v>
      </c>
      <c r="AF155">
        <f t="shared" si="20"/>
        <v>219</v>
      </c>
      <c r="AG155">
        <f t="shared" si="21"/>
        <v>205</v>
      </c>
      <c r="AH155">
        <f t="shared" si="22"/>
        <v>164</v>
      </c>
      <c r="AI155">
        <f t="shared" si="23"/>
        <v>102</v>
      </c>
      <c r="AJ155" s="22" t="str">
        <f>IF(ISERROR(MATCH(A155,Rosters!$B$2:$B$155,0)),AD155,"")</f>
        <v/>
      </c>
      <c r="AK155" t="str">
        <f t="shared" si="24"/>
        <v/>
      </c>
      <c r="AL155" s="23">
        <f>COUNTIF(INDEX($C155:$S155,Week+1):INDEX($C155:$S155,13),"&gt;0")</f>
        <v>8</v>
      </c>
    </row>
    <row r="156" spans="1:38" x14ac:dyDescent="0.25">
      <c r="A156" t="s">
        <v>179</v>
      </c>
      <c r="B156" t="s">
        <v>15</v>
      </c>
      <c r="C156">
        <v>19.16</v>
      </c>
      <c r="D156">
        <v>18.95</v>
      </c>
      <c r="E156">
        <v>19.66</v>
      </c>
      <c r="F156">
        <v>22.18</v>
      </c>
      <c r="G156">
        <v>23.21</v>
      </c>
      <c r="H156">
        <v>20.74</v>
      </c>
      <c r="I156">
        <v>16.97</v>
      </c>
      <c r="J156">
        <v>22.91</v>
      </c>
      <c r="K156">
        <v>19.79</v>
      </c>
      <c r="L156" t="s">
        <v>64</v>
      </c>
      <c r="M156">
        <v>17.260000000000002</v>
      </c>
      <c r="N156">
        <v>24.42</v>
      </c>
      <c r="O156">
        <v>21.42</v>
      </c>
      <c r="P156">
        <v>23.59</v>
      </c>
      <c r="Q156">
        <v>19.55</v>
      </c>
      <c r="R156">
        <v>18.5</v>
      </c>
      <c r="S156">
        <v>18.059999999999999</v>
      </c>
      <c r="T156" s="2">
        <f>IF('ROS Rankings'!$AD$1,IFERROR(AVERAGE(INDEX($C156:$S156,14):INDEX($C156:$S156,17)),0),IFERROR(AVERAGE(INDEX($C156:$S156,Week+1):INDEX($C156:$S156,13)),0))</f>
        <v>20.501428571428569</v>
      </c>
      <c r="U156" s="2">
        <f t="shared" si="18"/>
        <v>20.501428571428569</v>
      </c>
      <c r="V156" s="2" t="str">
        <f t="shared" si="18"/>
        <v/>
      </c>
      <c r="W156" s="2" t="str">
        <f t="shared" si="18"/>
        <v/>
      </c>
      <c r="X156" s="2" t="str">
        <f t="shared" si="18"/>
        <v/>
      </c>
      <c r="Y156" s="2" t="str">
        <f t="shared" si="18"/>
        <v/>
      </c>
      <c r="Z156" s="2" t="str">
        <f t="shared" si="18"/>
        <v/>
      </c>
      <c r="AA156" s="23" t="str">
        <f t="shared" si="19"/>
        <v>QB8</v>
      </c>
      <c r="AB156" s="2">
        <f>$T156-VLOOKUP($B156,Scores!$AG$1:$AM$7,5,FALSE)</f>
        <v>-0.38285714285714434</v>
      </c>
      <c r="AC156" s="2">
        <f>$T156-VLOOKUP($B156,Scores!$AG$1:$AM$7,6,FALSE)</f>
        <v>0.59767857142857039</v>
      </c>
      <c r="AD156" s="2">
        <f>$T156-VLOOKUP($B156,Scores!$AG$1:$AM$7,7,FALSE)+(ROW(A155)/1000000)</f>
        <v>1.0015835714285726</v>
      </c>
      <c r="AE156" s="2">
        <f t="array" ref="AE156">IF('ROS Rankings'!$AD$1,IFERROR(AVERAGE(IF(INDEX($C156:$S156,14):INDEX($C156:$S156,17)="NA",0,INDEX($C156:$S156,14):INDEX($C156:$S156,17))-INDEX($AQ$2:$BG$7,MATCH($B156,$AO$2:$AO$7,0),14):INDEX($AQ$2:$BG$7,MATCH($B156,$AO$2:$AO$7,0),17)),0),IFERROR(AVERAGE(IF(INDEX($C156:$S156,Week+1):INDEX($C156:$S156,13)="NA",0,INDEX($C156:$S156,Week+1):INDEX($C156:$S156,13))-INDEX($AQ$2:$BG$7,MATCH($B156,$AO$2:$AO$7,0),Week+1):INDEX($AQ$2:$BG$7,MATCH($B156,$AO$2:$AO$7,0),13)),0))+ROW(A155)/1000000</f>
        <v>-0.56359499999999974</v>
      </c>
      <c r="AF156">
        <f t="shared" si="20"/>
        <v>61</v>
      </c>
      <c r="AG156">
        <f t="shared" si="21"/>
        <v>72</v>
      </c>
      <c r="AH156">
        <f t="shared" si="22"/>
        <v>103</v>
      </c>
      <c r="AI156">
        <f t="shared" si="23"/>
        <v>147</v>
      </c>
      <c r="AJ156" s="22" t="str">
        <f>IF(ISERROR(MATCH(A156,Rosters!$B$2:$B$155,0)),AD156,"")</f>
        <v/>
      </c>
      <c r="AK156" t="str">
        <f t="shared" si="24"/>
        <v/>
      </c>
      <c r="AL156" s="23">
        <f>COUNTIF(INDEX($C156:$S156,Week+1):INDEX($C156:$S156,13),"&gt;0")</f>
        <v>7</v>
      </c>
    </row>
    <row r="157" spans="1:38" x14ac:dyDescent="0.25">
      <c r="A157" t="s">
        <v>91</v>
      </c>
      <c r="B157" t="s">
        <v>15</v>
      </c>
      <c r="C157">
        <v>0.98</v>
      </c>
      <c r="D157">
        <v>1.39</v>
      </c>
      <c r="E157">
        <v>0.77</v>
      </c>
      <c r="F157">
        <v>0.96</v>
      </c>
      <c r="G157">
        <v>0.72</v>
      </c>
      <c r="H157">
        <v>0.75</v>
      </c>
      <c r="I157" t="s">
        <v>64</v>
      </c>
      <c r="J157">
        <v>0.61</v>
      </c>
      <c r="K157">
        <v>0.74</v>
      </c>
      <c r="L157">
        <v>0.73</v>
      </c>
      <c r="M157">
        <v>0.61</v>
      </c>
      <c r="N157">
        <v>0.72</v>
      </c>
      <c r="O157">
        <v>0.67</v>
      </c>
      <c r="P157">
        <v>0.71</v>
      </c>
      <c r="Q157">
        <v>0.64</v>
      </c>
      <c r="R157">
        <v>0.67</v>
      </c>
      <c r="S157">
        <v>0.76</v>
      </c>
      <c r="T157" s="2">
        <f>IF('ROS Rankings'!$AD$1,IFERROR(AVERAGE(INDEX($C157:$S157,14):INDEX($C157:$S157,17)),0),IFERROR(AVERAGE(INDEX($C157:$S157,Week+1):INDEX($C157:$S157,13)),0))</f>
        <v>0.68999999999999984</v>
      </c>
      <c r="U157" s="2">
        <f t="shared" si="18"/>
        <v>0.68999999999999984</v>
      </c>
      <c r="V157" s="2" t="str">
        <f t="shared" si="18"/>
        <v/>
      </c>
      <c r="W157" s="2" t="str">
        <f t="shared" si="18"/>
        <v/>
      </c>
      <c r="X157" s="2" t="str">
        <f t="shared" si="18"/>
        <v/>
      </c>
      <c r="Y157" s="2" t="str">
        <f t="shared" si="18"/>
        <v/>
      </c>
      <c r="Z157" s="2" t="str">
        <f t="shared" si="18"/>
        <v/>
      </c>
      <c r="AA157" s="23" t="str">
        <f t="shared" si="19"/>
        <v>QB53</v>
      </c>
      <c r="AB157" s="2">
        <f>$T157-VLOOKUP($B157,Scores!$AG$1:$AM$7,5,FALSE)</f>
        <v>-20.194285714285712</v>
      </c>
      <c r="AC157" s="2">
        <f>$T157-VLOOKUP($B157,Scores!$AG$1:$AM$7,6,FALSE)</f>
        <v>-19.213749999999997</v>
      </c>
      <c r="AD157" s="2">
        <f>$T157-VLOOKUP($B157,Scores!$AG$1:$AM$7,7,FALSE)+(ROW(A156)/1000000)</f>
        <v>-18.809843999999995</v>
      </c>
      <c r="AE157" s="2">
        <f t="array" ref="AE157">IF('ROS Rankings'!$AD$1,IFERROR(AVERAGE(IF(INDEX($C157:$S157,14):INDEX($C157:$S157,17)="NA",0,INDEX($C157:$S157,14):INDEX($C157:$S157,17))-INDEX($AQ$2:$BG$7,MATCH($B157,$AO$2:$AO$7,0),14):INDEX($AQ$2:$BG$7,MATCH($B157,$AO$2:$AO$7,0),17)),0),IFERROR(AVERAGE(IF(INDEX($C157:$S157,Week+1):INDEX($C157:$S157,13)="NA",0,INDEX($C157:$S157,Week+1):INDEX($C157:$S157,13))-INDEX($AQ$2:$BG$7,MATCH($B157,$AO$2:$AO$7,0),Week+1):INDEX($AQ$2:$BG$7,MATCH($B157,$AO$2:$AO$7,0),13)),0))+ROW(A156)/1000000</f>
        <v>-17.898593999999999</v>
      </c>
      <c r="AF157">
        <f t="shared" si="20"/>
        <v>544</v>
      </c>
      <c r="AG157">
        <f t="shared" si="21"/>
        <v>544</v>
      </c>
      <c r="AH157">
        <f t="shared" si="22"/>
        <v>544</v>
      </c>
      <c r="AI157">
        <f t="shared" si="23"/>
        <v>544</v>
      </c>
      <c r="AJ157" s="22">
        <f>IF(ISERROR(MATCH(A157,Rosters!$B$2:$B$155,0)),AD157,"")</f>
        <v>-18.809843999999995</v>
      </c>
      <c r="AK157">
        <f t="shared" si="24"/>
        <v>391</v>
      </c>
      <c r="AL157" s="23">
        <f>COUNTIF(INDEX($C157:$S157,Week+1):INDEX($C157:$S157,13),"&gt;0")</f>
        <v>7</v>
      </c>
    </row>
    <row r="158" spans="1:38" x14ac:dyDescent="0.25">
      <c r="A158" t="s">
        <v>175</v>
      </c>
      <c r="B158" t="s">
        <v>87</v>
      </c>
      <c r="C158">
        <v>0</v>
      </c>
      <c r="D158">
        <v>0</v>
      </c>
      <c r="E158">
        <v>5.34</v>
      </c>
      <c r="F158">
        <v>0</v>
      </c>
      <c r="G158">
        <v>2.61</v>
      </c>
      <c r="H158">
        <v>3.13</v>
      </c>
      <c r="I158">
        <v>4.9000000000000004</v>
      </c>
      <c r="J158">
        <v>5.2</v>
      </c>
      <c r="K158">
        <v>4</v>
      </c>
      <c r="L158">
        <v>5.05</v>
      </c>
      <c r="M158" t="s">
        <v>64</v>
      </c>
      <c r="N158">
        <v>4.8600000000000003</v>
      </c>
      <c r="O158">
        <v>5.53</v>
      </c>
      <c r="P158">
        <v>4.8499999999999996</v>
      </c>
      <c r="Q158">
        <v>4.79</v>
      </c>
      <c r="R158">
        <v>3.59</v>
      </c>
      <c r="S158">
        <v>5.36</v>
      </c>
      <c r="T158" s="2">
        <f>IF('ROS Rankings'!$AD$1,IFERROR(AVERAGE(INDEX($C158:$S158,14):INDEX($C158:$S158,17)),0),IFERROR(AVERAGE(INDEX($C158:$S158,Week+1):INDEX($C158:$S158,13)),0))</f>
        <v>4.6671428571428573</v>
      </c>
      <c r="U158" s="2" t="str">
        <f t="shared" si="18"/>
        <v/>
      </c>
      <c r="V158" s="2" t="str">
        <f t="shared" si="18"/>
        <v/>
      </c>
      <c r="W158" s="2">
        <f t="shared" si="18"/>
        <v>4.6671428571428573</v>
      </c>
      <c r="X158" s="2" t="str">
        <f t="shared" si="18"/>
        <v/>
      </c>
      <c r="Y158" s="2" t="str">
        <f t="shared" si="18"/>
        <v/>
      </c>
      <c r="Z158" s="2" t="str">
        <f t="shared" si="18"/>
        <v/>
      </c>
      <c r="AA158" s="23" t="str">
        <f t="shared" si="19"/>
        <v>WR69</v>
      </c>
      <c r="AB158" s="2">
        <f>$T158-VLOOKUP($B158,Scores!$AG$1:$AM$7,5,FALSE)</f>
        <v>-5.7042857142857128</v>
      </c>
      <c r="AC158" s="2">
        <f>$T158-VLOOKUP($B158,Scores!$AG$1:$AM$7,6,FALSE)</f>
        <v>-3.3642857142857148</v>
      </c>
      <c r="AD158" s="2">
        <f>$T158-VLOOKUP($B158,Scores!$AG$1:$AM$7,7,FALSE)+(ROW(A157)/1000000)</f>
        <v>-1.3855572857142853</v>
      </c>
      <c r="AE158" s="2">
        <f t="array" ref="AE158">IF('ROS Rankings'!$AD$1,IFERROR(AVERAGE(IF(INDEX($C158:$S158,14):INDEX($C158:$S158,17)="NA",0,INDEX($C158:$S158,14):INDEX($C158:$S158,17))-INDEX($AQ$2:$BG$7,MATCH($B158,$AO$2:$AO$7,0),14):INDEX($AQ$2:$BG$7,MATCH($B158,$AO$2:$AO$7,0),17)),0),IFERROR(AVERAGE(IF(INDEX($C158:$S158,Week+1):INDEX($C158:$S158,13)="NA",0,INDEX($C158:$S158,Week+1):INDEX($C158:$S158,13))-INDEX($AQ$2:$BG$7,MATCH($B158,$AO$2:$AO$7,0),Week+1):INDEX($AQ$2:$BG$7,MATCH($B158,$AO$2:$AO$7,0),13)),0))+ROW(A157)/1000000</f>
        <v>-1.272343</v>
      </c>
      <c r="AF158">
        <f t="shared" si="20"/>
        <v>271</v>
      </c>
      <c r="AG158">
        <f t="shared" si="21"/>
        <v>262</v>
      </c>
      <c r="AH158">
        <f t="shared" si="22"/>
        <v>220</v>
      </c>
      <c r="AI158">
        <f t="shared" si="23"/>
        <v>192</v>
      </c>
      <c r="AJ158" s="22">
        <f>IF(ISERROR(MATCH(A158,Rosters!$B$2:$B$155,0)),AD158,"")</f>
        <v>-1.3855572857142853</v>
      </c>
      <c r="AK158">
        <f t="shared" si="24"/>
        <v>81</v>
      </c>
      <c r="AL158" s="23">
        <f>COUNTIF(INDEX($C158:$S158,Week+1):INDEX($C158:$S158,13),"&gt;0")</f>
        <v>7</v>
      </c>
    </row>
    <row r="159" spans="1:38" x14ac:dyDescent="0.25">
      <c r="A159" t="s">
        <v>251</v>
      </c>
      <c r="B159" t="s">
        <v>87</v>
      </c>
      <c r="C159">
        <v>7.9</v>
      </c>
      <c r="D159">
        <v>7.73</v>
      </c>
      <c r="E159">
        <v>8.26</v>
      </c>
      <c r="F159" t="s">
        <v>64</v>
      </c>
      <c r="G159">
        <v>9.5299999999999994</v>
      </c>
      <c r="H159">
        <v>7.84</v>
      </c>
      <c r="I159">
        <v>8.19</v>
      </c>
      <c r="J159">
        <v>7.95</v>
      </c>
      <c r="K159">
        <v>9.4700000000000006</v>
      </c>
      <c r="L159">
        <v>8.2799999999999994</v>
      </c>
      <c r="M159">
        <v>8.76</v>
      </c>
      <c r="N159">
        <v>9.0399999999999991</v>
      </c>
      <c r="O159">
        <v>9.17</v>
      </c>
      <c r="P159">
        <v>9</v>
      </c>
      <c r="Q159">
        <v>7.87</v>
      </c>
      <c r="R159">
        <v>9.1999999999999993</v>
      </c>
      <c r="S159">
        <v>7.62</v>
      </c>
      <c r="T159" s="2">
        <f>IF('ROS Rankings'!$AD$1,IFERROR(AVERAGE(INDEX($C159:$S159,14):INDEX($C159:$S159,17)),0),IFERROR(AVERAGE(INDEX($C159:$S159,Week+1):INDEX($C159:$S159,13)),0))</f>
        <v>8.5875000000000004</v>
      </c>
      <c r="U159" s="2" t="str">
        <f t="shared" si="18"/>
        <v/>
      </c>
      <c r="V159" s="2" t="str">
        <f t="shared" si="18"/>
        <v/>
      </c>
      <c r="W159" s="2">
        <f t="shared" si="18"/>
        <v>8.5875000000000004</v>
      </c>
      <c r="X159" s="2" t="str">
        <f t="shared" si="18"/>
        <v/>
      </c>
      <c r="Y159" s="2" t="str">
        <f t="shared" si="18"/>
        <v/>
      </c>
      <c r="Z159" s="2" t="str">
        <f t="shared" si="18"/>
        <v/>
      </c>
      <c r="AA159" s="23" t="str">
        <f t="shared" si="19"/>
        <v>WR28</v>
      </c>
      <c r="AB159" s="2">
        <f>$T159-VLOOKUP($B159,Scores!$AG$1:$AM$7,5,FALSE)</f>
        <v>-1.7839285714285698</v>
      </c>
      <c r="AC159" s="2">
        <f>$T159-VLOOKUP($B159,Scores!$AG$1:$AM$7,6,FALSE)</f>
        <v>0.55607142857142833</v>
      </c>
      <c r="AD159" s="2">
        <f>$T159-VLOOKUP($B159,Scores!$AG$1:$AM$7,7,FALSE)+(ROW(A158)/1000000)</f>
        <v>2.5348008571428577</v>
      </c>
      <c r="AE159" s="2">
        <f t="array" ref="AE159">IF('ROS Rankings'!$AD$1,IFERROR(AVERAGE(IF(INDEX($C159:$S159,14):INDEX($C159:$S159,17)="NA",0,INDEX($C159:$S159,14):INDEX($C159:$S159,17))-INDEX($AQ$2:$BG$7,MATCH($B159,$AO$2:$AO$7,0),14):INDEX($AQ$2:$BG$7,MATCH($B159,$AO$2:$AO$7,0),17)),0),IFERROR(AVERAGE(IF(INDEX($C159:$S159,Week+1):INDEX($C159:$S159,13)="NA",0,INDEX($C159:$S159,Week+1):INDEX($C159:$S159,13))-INDEX($AQ$2:$BG$7,MATCH($B159,$AO$2:$AO$7,0),Week+1):INDEX($AQ$2:$BG$7,MATCH($B159,$AO$2:$AO$7,0),13)),0))+ROW(A158)/1000000</f>
        <v>3.2314080000000001</v>
      </c>
      <c r="AF159">
        <f t="shared" si="20"/>
        <v>125</v>
      </c>
      <c r="AG159">
        <f t="shared" si="21"/>
        <v>74</v>
      </c>
      <c r="AH159">
        <f t="shared" si="22"/>
        <v>55</v>
      </c>
      <c r="AI159">
        <f t="shared" si="23"/>
        <v>40</v>
      </c>
      <c r="AJ159" s="22" t="str">
        <f>IF(ISERROR(MATCH(A159,Rosters!$B$2:$B$155,0)),AD159,"")</f>
        <v/>
      </c>
      <c r="AK159" t="str">
        <f t="shared" si="24"/>
        <v/>
      </c>
      <c r="AL159" s="23">
        <f>COUNTIF(INDEX($C159:$S159,Week+1):INDEX($C159:$S159,13),"&gt;0")</f>
        <v>8</v>
      </c>
    </row>
    <row r="160" spans="1:38" x14ac:dyDescent="0.25">
      <c r="A160" t="s">
        <v>90</v>
      </c>
      <c r="B160" t="s">
        <v>47</v>
      </c>
      <c r="C160">
        <v>10.38</v>
      </c>
      <c r="D160">
        <v>0</v>
      </c>
      <c r="E160">
        <v>0</v>
      </c>
      <c r="F160">
        <v>0</v>
      </c>
      <c r="G160">
        <v>8.9499999999999993</v>
      </c>
      <c r="H160">
        <v>13.15</v>
      </c>
      <c r="I160">
        <v>11.23</v>
      </c>
      <c r="J160" t="s">
        <v>64</v>
      </c>
      <c r="K160">
        <v>10.17</v>
      </c>
      <c r="L160">
        <v>9.35</v>
      </c>
      <c r="M160">
        <v>10.59</v>
      </c>
      <c r="N160">
        <v>10.08</v>
      </c>
      <c r="O160">
        <v>9.9</v>
      </c>
      <c r="P160">
        <v>9.9</v>
      </c>
      <c r="Q160">
        <v>10.23</v>
      </c>
      <c r="R160">
        <v>9.15</v>
      </c>
      <c r="S160">
        <v>12</v>
      </c>
      <c r="T160" s="2">
        <f>IF('ROS Rankings'!$AD$1,IFERROR(AVERAGE(INDEX($C160:$S160,14):INDEX($C160:$S160,17)),0),IFERROR(AVERAGE(INDEX($C160:$S160,Week+1):INDEX($C160:$S160,13)),0))</f>
        <v>10.63857142857143</v>
      </c>
      <c r="U160" s="2" t="str">
        <f t="shared" si="18"/>
        <v/>
      </c>
      <c r="V160" s="2">
        <f t="shared" si="18"/>
        <v>10.63857142857143</v>
      </c>
      <c r="W160" s="2" t="str">
        <f t="shared" si="18"/>
        <v/>
      </c>
      <c r="X160" s="2" t="str">
        <f t="shared" si="18"/>
        <v/>
      </c>
      <c r="Y160" s="2" t="str">
        <f t="shared" si="18"/>
        <v/>
      </c>
      <c r="Z160" s="2" t="str">
        <f t="shared" si="18"/>
        <v/>
      </c>
      <c r="AA160" s="23" t="str">
        <f t="shared" si="19"/>
        <v>RB16</v>
      </c>
      <c r="AB160" s="2">
        <f>$T160-VLOOKUP($B160,Scores!$AG$1:$AM$7,5,FALSE)</f>
        <v>-1.1199999999999992</v>
      </c>
      <c r="AC160" s="2">
        <f>$T160-VLOOKUP($B160,Scores!$AG$1:$AM$7,6,FALSE)</f>
        <v>2.3685714285714283</v>
      </c>
      <c r="AD160" s="2">
        <f>$T160-VLOOKUP($B160,Scores!$AG$1:$AM$7,7,FALSE)+(ROW(A159)/1000000)</f>
        <v>4.7701590000000005</v>
      </c>
      <c r="AE160" s="2">
        <f t="array" ref="AE160">IF('ROS Rankings'!$AD$1,IFERROR(AVERAGE(IF(INDEX($C160:$S160,14):INDEX($C160:$S160,17)="NA",0,INDEX($C160:$S160,14):INDEX($C160:$S160,17))-INDEX($AQ$2:$BG$7,MATCH($B160,$AO$2:$AO$7,0),14):INDEX($AQ$2:$BG$7,MATCH($B160,$AO$2:$AO$7,0),17)),0),IFERROR(AVERAGE(IF(INDEX($C160:$S160,Week+1):INDEX($C160:$S160,13)="NA",0,INDEX($C160:$S160,Week+1):INDEX($C160:$S160,13))-INDEX($AQ$2:$BG$7,MATCH($B160,$AO$2:$AO$7,0),Week+1):INDEX($AQ$2:$BG$7,MATCH($B160,$AO$2:$AO$7,0),13)),0))+ROW(A159)/1000000</f>
        <v>3.948909</v>
      </c>
      <c r="AF160">
        <f t="shared" si="20"/>
        <v>96</v>
      </c>
      <c r="AG160">
        <f t="shared" si="21"/>
        <v>36</v>
      </c>
      <c r="AH160">
        <f t="shared" si="22"/>
        <v>31</v>
      </c>
      <c r="AI160">
        <f t="shared" si="23"/>
        <v>31</v>
      </c>
      <c r="AJ160" s="22" t="str">
        <f>IF(ISERROR(MATCH(A160,Rosters!$B$2:$B$155,0)),AD160,"")</f>
        <v/>
      </c>
      <c r="AK160" t="str">
        <f t="shared" si="24"/>
        <v/>
      </c>
      <c r="AL160" s="23">
        <f>COUNTIF(INDEX($C160:$S160,Week+1):INDEX($C160:$S160,13),"&gt;0")</f>
        <v>7</v>
      </c>
    </row>
    <row r="161" spans="1:38" x14ac:dyDescent="0.25">
      <c r="A161" t="s">
        <v>275</v>
      </c>
      <c r="B161" t="s">
        <v>47</v>
      </c>
      <c r="C161">
        <v>5.35</v>
      </c>
      <c r="D161">
        <v>5.6</v>
      </c>
      <c r="E161">
        <v>1.92</v>
      </c>
      <c r="F161">
        <v>2.25</v>
      </c>
      <c r="G161">
        <v>1.58</v>
      </c>
      <c r="H161">
        <v>1.83</v>
      </c>
      <c r="I161">
        <v>1.58</v>
      </c>
      <c r="J161">
        <v>2.1</v>
      </c>
      <c r="K161">
        <v>1.99</v>
      </c>
      <c r="L161" t="s">
        <v>64</v>
      </c>
      <c r="M161">
        <v>1.6</v>
      </c>
      <c r="N161">
        <v>1.96</v>
      </c>
      <c r="O161">
        <v>1.87</v>
      </c>
      <c r="P161">
        <v>1.88</v>
      </c>
      <c r="Q161">
        <v>1.77</v>
      </c>
      <c r="R161">
        <v>2.21</v>
      </c>
      <c r="S161">
        <v>1.69</v>
      </c>
      <c r="T161" s="2">
        <f>IF('ROS Rankings'!$AD$1,IFERROR(AVERAGE(INDEX($C161:$S161,14):INDEX($C161:$S161,17)),0),IFERROR(AVERAGE(INDEX($C161:$S161,Week+1):INDEX($C161:$S161,13)),0))</f>
        <v>1.8471428571428572</v>
      </c>
      <c r="U161" s="2" t="str">
        <f t="shared" si="18"/>
        <v/>
      </c>
      <c r="V161" s="2">
        <f t="shared" si="18"/>
        <v>1.8471428571428572</v>
      </c>
      <c r="W161" s="2" t="str">
        <f t="shared" si="18"/>
        <v/>
      </c>
      <c r="X161" s="2" t="str">
        <f t="shared" si="18"/>
        <v/>
      </c>
      <c r="Y161" s="2" t="str">
        <f t="shared" si="18"/>
        <v/>
      </c>
      <c r="Z161" s="2" t="str">
        <f t="shared" si="18"/>
        <v/>
      </c>
      <c r="AA161" s="23" t="str">
        <f t="shared" si="19"/>
        <v>RB76</v>
      </c>
      <c r="AB161" s="2">
        <f>$T161-VLOOKUP($B161,Scores!$AG$1:$AM$7,5,FALSE)</f>
        <v>-9.911428571428571</v>
      </c>
      <c r="AC161" s="2">
        <f>$T161-VLOOKUP($B161,Scores!$AG$1:$AM$7,6,FALSE)</f>
        <v>-6.4228571428571444</v>
      </c>
      <c r="AD161" s="2">
        <f>$T161-VLOOKUP($B161,Scores!$AG$1:$AM$7,7,FALSE)+(ROW(A160)/1000000)</f>
        <v>-4.0212685714285721</v>
      </c>
      <c r="AE161" s="2">
        <f t="array" ref="AE161">IF('ROS Rankings'!$AD$1,IFERROR(AVERAGE(IF(INDEX($C161:$S161,14):INDEX($C161:$S161,17)="NA",0,INDEX($C161:$S161,14):INDEX($C161:$S161,17))-INDEX($AQ$2:$BG$7,MATCH($B161,$AO$2:$AO$7,0),14):INDEX($AQ$2:$BG$7,MATCH($B161,$AO$2:$AO$7,0),17)),0),IFERROR(AVERAGE(IF(INDEX($C161:$S161,Week+1):INDEX($C161:$S161,13)="NA",0,INDEX($C161:$S161,Week+1):INDEX($C161:$S161,13))-INDEX($AQ$2:$BG$7,MATCH($B161,$AO$2:$AO$7,0),Week+1):INDEX($AQ$2:$BG$7,MATCH($B161,$AO$2:$AO$7,0),13)),0))+ROW(A160)/1000000</f>
        <v>-3.7435899999999998</v>
      </c>
      <c r="AF161">
        <f t="shared" si="20"/>
        <v>448</v>
      </c>
      <c r="AG161">
        <f t="shared" si="21"/>
        <v>392</v>
      </c>
      <c r="AH161">
        <f t="shared" si="22"/>
        <v>344</v>
      </c>
      <c r="AI161">
        <f t="shared" si="23"/>
        <v>336</v>
      </c>
      <c r="AJ161" s="22">
        <f>IF(ISERROR(MATCH(A161,Rosters!$B$2:$B$155,0)),AD161,"")</f>
        <v>-4.0212685714285721</v>
      </c>
      <c r="AK161">
        <f t="shared" si="24"/>
        <v>193</v>
      </c>
      <c r="AL161" s="23">
        <f>COUNTIF(INDEX($C161:$S161,Week+1):INDEX($C161:$S161,13),"&gt;0")</f>
        <v>7</v>
      </c>
    </row>
    <row r="162" spans="1:38" x14ac:dyDescent="0.25">
      <c r="A162" t="s">
        <v>207</v>
      </c>
      <c r="B162" t="s">
        <v>47</v>
      </c>
      <c r="C162">
        <v>6.85</v>
      </c>
      <c r="D162">
        <v>8.0399999999999991</v>
      </c>
      <c r="E162">
        <v>8.89</v>
      </c>
      <c r="F162">
        <v>8.4499999999999993</v>
      </c>
      <c r="G162">
        <v>8.2799999999999994</v>
      </c>
      <c r="H162">
        <v>7.76</v>
      </c>
      <c r="I162">
        <v>7.18</v>
      </c>
      <c r="J162" t="s">
        <v>64</v>
      </c>
      <c r="K162">
        <v>8.36</v>
      </c>
      <c r="L162">
        <v>8.9600000000000009</v>
      </c>
      <c r="M162">
        <v>8.49</v>
      </c>
      <c r="N162">
        <v>8.5299999999999994</v>
      </c>
      <c r="O162">
        <v>7.99</v>
      </c>
      <c r="P162">
        <v>7.89</v>
      </c>
      <c r="Q162">
        <v>8.68</v>
      </c>
      <c r="R162">
        <v>9.76</v>
      </c>
      <c r="S162">
        <v>9.07</v>
      </c>
      <c r="T162" s="2">
        <f>IF('ROS Rankings'!$AD$1,IFERROR(AVERAGE(INDEX($C162:$S162,14):INDEX($C162:$S162,17)),0),IFERROR(AVERAGE(INDEX($C162:$S162,Week+1):INDEX($C162:$S162,13)),0))</f>
        <v>8.1814285714285724</v>
      </c>
      <c r="U162" s="2" t="str">
        <f t="shared" si="18"/>
        <v/>
      </c>
      <c r="V162" s="2">
        <f t="shared" si="18"/>
        <v>8.1814285714285724</v>
      </c>
      <c r="W162" s="2" t="str">
        <f t="shared" si="18"/>
        <v/>
      </c>
      <c r="X162" s="2" t="str">
        <f t="shared" si="18"/>
        <v/>
      </c>
      <c r="Y162" s="2" t="str">
        <f t="shared" si="18"/>
        <v/>
      </c>
      <c r="Z162" s="2" t="str">
        <f t="shared" si="18"/>
        <v/>
      </c>
      <c r="AA162" s="23" t="str">
        <f t="shared" si="19"/>
        <v>RB27</v>
      </c>
      <c r="AB162" s="2">
        <f>$T162-VLOOKUP($B162,Scores!$AG$1:$AM$7,5,FALSE)</f>
        <v>-3.5771428571428565</v>
      </c>
      <c r="AC162" s="2">
        <f>$T162-VLOOKUP($B162,Scores!$AG$1:$AM$7,6,FALSE)</f>
        <v>-8.8571428571428967E-2</v>
      </c>
      <c r="AD162" s="2">
        <f>$T162-VLOOKUP($B162,Scores!$AG$1:$AM$7,7,FALSE)+(ROW(A161)/1000000)</f>
        <v>2.313018142857143</v>
      </c>
      <c r="AE162" s="2">
        <f t="array" ref="AE162">IF('ROS Rankings'!$AD$1,IFERROR(AVERAGE(IF(INDEX($C162:$S162,14):INDEX($C162:$S162,17)="NA",0,INDEX($C162:$S162,14):INDEX($C162:$S162,17))-INDEX($AQ$2:$BG$7,MATCH($B162,$AO$2:$AO$7,0),14):INDEX($AQ$2:$BG$7,MATCH($B162,$AO$2:$AO$7,0),17)),0),IFERROR(AVERAGE(IF(INDEX($C162:$S162,Week+1):INDEX($C162:$S162,13)="NA",0,INDEX($C162:$S162,Week+1):INDEX($C162:$S162,13))-INDEX($AQ$2:$BG$7,MATCH($B162,$AO$2:$AO$7,0),Week+1):INDEX($AQ$2:$BG$7,MATCH($B162,$AO$2:$AO$7,0),13)),0))+ROW(A161)/1000000</f>
        <v>1.7989110000000001</v>
      </c>
      <c r="AF162">
        <f t="shared" si="20"/>
        <v>176</v>
      </c>
      <c r="AG162">
        <f t="shared" si="21"/>
        <v>109</v>
      </c>
      <c r="AH162">
        <f t="shared" si="22"/>
        <v>60</v>
      </c>
      <c r="AI162">
        <f t="shared" si="23"/>
        <v>67</v>
      </c>
      <c r="AJ162" s="22" t="str">
        <f>IF(ISERROR(MATCH(A162,Rosters!$B$2:$B$155,0)),AD162,"")</f>
        <v/>
      </c>
      <c r="AK162" t="str">
        <f t="shared" si="24"/>
        <v/>
      </c>
      <c r="AL162" s="23">
        <f>COUNTIF(INDEX($C162:$S162,Week+1):INDEX($C162:$S162,13),"&gt;0")</f>
        <v>7</v>
      </c>
    </row>
    <row r="163" spans="1:38" x14ac:dyDescent="0.25">
      <c r="A163" t="s">
        <v>284</v>
      </c>
      <c r="B163" t="s">
        <v>114</v>
      </c>
      <c r="C163">
        <v>2.15</v>
      </c>
      <c r="D163">
        <v>2.48</v>
      </c>
      <c r="E163">
        <v>1.06</v>
      </c>
      <c r="F163">
        <v>2.06</v>
      </c>
      <c r="G163" t="s">
        <v>64</v>
      </c>
      <c r="H163">
        <v>1.68</v>
      </c>
      <c r="I163">
        <v>1.76</v>
      </c>
      <c r="J163">
        <v>1.47</v>
      </c>
      <c r="K163">
        <v>1.96</v>
      </c>
      <c r="L163">
        <v>1.6</v>
      </c>
      <c r="M163">
        <v>1.42</v>
      </c>
      <c r="N163">
        <v>1.53</v>
      </c>
      <c r="O163">
        <v>1.69</v>
      </c>
      <c r="P163">
        <v>2.52</v>
      </c>
      <c r="Q163">
        <v>1.8</v>
      </c>
      <c r="R163">
        <v>1.86</v>
      </c>
      <c r="S163">
        <v>1.36</v>
      </c>
      <c r="T163" s="2">
        <f>IF('ROS Rankings'!$AD$1,IFERROR(AVERAGE(INDEX($C163:$S163,14):INDEX($C163:$S163,17)),0),IFERROR(AVERAGE(INDEX($C163:$S163,Week+1):INDEX($C163:$S163,13)),0))</f>
        <v>1.6387499999999999</v>
      </c>
      <c r="U163" s="2" t="str">
        <f t="shared" si="18"/>
        <v/>
      </c>
      <c r="V163" s="2" t="str">
        <f t="shared" si="18"/>
        <v/>
      </c>
      <c r="W163" s="2" t="str">
        <f t="shared" si="18"/>
        <v/>
      </c>
      <c r="X163" s="2">
        <f t="shared" si="18"/>
        <v>1.6387499999999999</v>
      </c>
      <c r="Y163" s="2" t="str">
        <f t="shared" si="18"/>
        <v/>
      </c>
      <c r="Z163" s="2" t="str">
        <f t="shared" si="18"/>
        <v/>
      </c>
      <c r="AA163" s="23" t="str">
        <f t="shared" si="19"/>
        <v>TE61</v>
      </c>
      <c r="AB163" s="2">
        <f>$T163-VLOOKUP($B163,Scores!$AG$1:$AM$7,5,FALSE)</f>
        <v>-5.3599999999999994</v>
      </c>
      <c r="AC163" s="2">
        <f>$T163-VLOOKUP($B163,Scores!$AG$1:$AM$7,6,FALSE)</f>
        <v>-3.6112500000000001</v>
      </c>
      <c r="AD163" s="2">
        <f>$T163-VLOOKUP($B163,Scores!$AG$1:$AM$7,7,FALSE)+(ROW(A162)/1000000)</f>
        <v>-3.5410879999999998</v>
      </c>
      <c r="AE163" s="2">
        <f t="array" ref="AE163">IF('ROS Rankings'!$AD$1,IFERROR(AVERAGE(IF(INDEX($C163:$S163,14):INDEX($C163:$S163,17)="NA",0,INDEX($C163:$S163,14):INDEX($C163:$S163,17))-INDEX($AQ$2:$BG$7,MATCH($B163,$AO$2:$AO$7,0),14):INDEX($AQ$2:$BG$7,MATCH($B163,$AO$2:$AO$7,0),17)),0),IFERROR(AVERAGE(IF(INDEX($C163:$S163,Week+1):INDEX($C163:$S163,13)="NA",0,INDEX($C163:$S163,Week+1):INDEX($C163:$S163,13))-INDEX($AQ$2:$BG$7,MATCH($B163,$AO$2:$AO$7,0),Week+1):INDEX($AQ$2:$BG$7,MATCH($B163,$AO$2:$AO$7,0),13)),0))+ROW(A162)/1000000</f>
        <v>-3.4585879999999998</v>
      </c>
      <c r="AF163">
        <f t="shared" si="20"/>
        <v>254</v>
      </c>
      <c r="AG163">
        <f t="shared" si="21"/>
        <v>282</v>
      </c>
      <c r="AH163">
        <f t="shared" si="22"/>
        <v>329</v>
      </c>
      <c r="AI163">
        <f t="shared" si="23"/>
        <v>319</v>
      </c>
      <c r="AJ163" s="22">
        <f>IF(ISERROR(MATCH(A163,Rosters!$B$2:$B$155,0)),AD163,"")</f>
        <v>-3.5410879999999998</v>
      </c>
      <c r="AK163">
        <f t="shared" si="24"/>
        <v>178</v>
      </c>
      <c r="AL163" s="23">
        <f>COUNTIF(INDEX($C163:$S163,Week+1):INDEX($C163:$S163,13),"&gt;0")</f>
        <v>8</v>
      </c>
    </row>
    <row r="164" spans="1:38" x14ac:dyDescent="0.25">
      <c r="A164" t="s">
        <v>147</v>
      </c>
      <c r="B164" t="s">
        <v>87</v>
      </c>
      <c r="C164">
        <v>4.45</v>
      </c>
      <c r="D164">
        <v>4.17</v>
      </c>
      <c r="E164">
        <v>6.04</v>
      </c>
      <c r="F164">
        <v>5.71</v>
      </c>
      <c r="G164">
        <v>5.69</v>
      </c>
      <c r="H164">
        <v>5.07</v>
      </c>
      <c r="I164">
        <v>6.15</v>
      </c>
      <c r="J164">
        <v>6.4</v>
      </c>
      <c r="K164" t="s">
        <v>64</v>
      </c>
      <c r="L164">
        <v>4.95</v>
      </c>
      <c r="M164">
        <v>4.74</v>
      </c>
      <c r="N164">
        <v>5.51</v>
      </c>
      <c r="O164">
        <v>5.12</v>
      </c>
      <c r="P164">
        <v>6.06</v>
      </c>
      <c r="Q164">
        <v>3.68</v>
      </c>
      <c r="R164">
        <v>5.26</v>
      </c>
      <c r="S164">
        <v>5.96</v>
      </c>
      <c r="T164" s="2">
        <f>IF('ROS Rankings'!$AD$1,IFERROR(AVERAGE(INDEX($C164:$S164,14):INDEX($C164:$S164,17)),0),IFERROR(AVERAGE(INDEX($C164:$S164,Week+1):INDEX($C164:$S164,13)),0))</f>
        <v>5.42</v>
      </c>
      <c r="U164" s="2" t="str">
        <f t="shared" si="18"/>
        <v/>
      </c>
      <c r="V164" s="2" t="str">
        <f t="shared" si="18"/>
        <v/>
      </c>
      <c r="W164" s="2">
        <f t="shared" si="18"/>
        <v>5.42</v>
      </c>
      <c r="X164" s="2" t="str">
        <f t="shared" si="18"/>
        <v/>
      </c>
      <c r="Y164" s="2" t="str">
        <f t="shared" si="18"/>
        <v/>
      </c>
      <c r="Z164" s="2" t="str">
        <f t="shared" si="18"/>
        <v/>
      </c>
      <c r="AA164" s="23" t="str">
        <f t="shared" si="19"/>
        <v>WR58</v>
      </c>
      <c r="AB164" s="2">
        <f>$T164-VLOOKUP($B164,Scores!$AG$1:$AM$7,5,FALSE)</f>
        <v>-4.9514285714285702</v>
      </c>
      <c r="AC164" s="2">
        <f>$T164-VLOOKUP($B164,Scores!$AG$1:$AM$7,6,FALSE)</f>
        <v>-2.6114285714285721</v>
      </c>
      <c r="AD164" s="2">
        <f>$T164-VLOOKUP($B164,Scores!$AG$1:$AM$7,7,FALSE)+(ROW(A163)/1000000)</f>
        <v>-0.63269414285714254</v>
      </c>
      <c r="AE164" s="2">
        <f t="array" ref="AE164">IF('ROS Rankings'!$AD$1,IFERROR(AVERAGE(IF(INDEX($C164:$S164,14):INDEX($C164:$S164,17)="NA",0,INDEX($C164:$S164,14):INDEX($C164:$S164,17))-INDEX($AQ$2:$BG$7,MATCH($B164,$AO$2:$AO$7,0),14):INDEX($AQ$2:$BG$7,MATCH($B164,$AO$2:$AO$7,0),17)),0),IFERROR(AVERAGE(IF(INDEX($C164:$S164,Week+1):INDEX($C164:$S164,13)="NA",0,INDEX($C164:$S164,Week+1):INDEX($C164:$S164,13))-INDEX($AQ$2:$BG$7,MATCH($B164,$AO$2:$AO$7,0),Week+1):INDEX($AQ$2:$BG$7,MATCH($B164,$AO$2:$AO$7,0),13)),0))+ROW(A163)/1000000</f>
        <v>-0.61358699999999988</v>
      </c>
      <c r="AF164">
        <f t="shared" si="20"/>
        <v>234</v>
      </c>
      <c r="AG164">
        <f t="shared" si="21"/>
        <v>224</v>
      </c>
      <c r="AH164">
        <f t="shared" si="22"/>
        <v>184</v>
      </c>
      <c r="AI164">
        <f t="shared" si="23"/>
        <v>151</v>
      </c>
      <c r="AJ164" s="22">
        <f>IF(ISERROR(MATCH(A164,Rosters!$B$2:$B$155,0)),AD164,"")</f>
        <v>-0.63269414285714254</v>
      </c>
      <c r="AK164">
        <f t="shared" si="24"/>
        <v>51</v>
      </c>
      <c r="AL164" s="23">
        <f>COUNTIF(INDEX($C164:$S164,Week+1):INDEX($C164:$S164,13),"&gt;0")</f>
        <v>7</v>
      </c>
    </row>
    <row r="165" spans="1:38" x14ac:dyDescent="0.25">
      <c r="A165" t="s">
        <v>105</v>
      </c>
      <c r="B165" t="s">
        <v>87</v>
      </c>
      <c r="C165">
        <v>9.27</v>
      </c>
      <c r="D165">
        <v>0</v>
      </c>
      <c r="E165">
        <v>0</v>
      </c>
      <c r="F165">
        <v>7.83</v>
      </c>
      <c r="G165">
        <v>9.06</v>
      </c>
      <c r="H165">
        <v>8.32</v>
      </c>
      <c r="I165" t="s">
        <v>64</v>
      </c>
      <c r="J165">
        <v>9.0500000000000007</v>
      </c>
      <c r="K165">
        <v>8.9600000000000009</v>
      </c>
      <c r="L165">
        <v>9.2100000000000009</v>
      </c>
      <c r="M165">
        <v>10.26</v>
      </c>
      <c r="N165">
        <v>7.93</v>
      </c>
      <c r="O165">
        <v>9.25</v>
      </c>
      <c r="P165">
        <v>8.2799999999999994</v>
      </c>
      <c r="Q165">
        <v>8.93</v>
      </c>
      <c r="R165">
        <v>8.75</v>
      </c>
      <c r="S165">
        <v>8.0500000000000007</v>
      </c>
      <c r="T165" s="2">
        <f>IF('ROS Rankings'!$AD$1,IFERROR(AVERAGE(INDEX($C165:$S165,14):INDEX($C165:$S165,17)),0),IFERROR(AVERAGE(INDEX($C165:$S165,Week+1):INDEX($C165:$S165,13)),0))</f>
        <v>8.9971428571428582</v>
      </c>
      <c r="U165" s="2" t="str">
        <f t="shared" si="18"/>
        <v/>
      </c>
      <c r="V165" s="2" t="str">
        <f t="shared" si="18"/>
        <v/>
      </c>
      <c r="W165" s="2">
        <f t="shared" si="18"/>
        <v>8.9971428571428582</v>
      </c>
      <c r="X165" s="2" t="str">
        <f t="shared" si="18"/>
        <v/>
      </c>
      <c r="Y165" s="2" t="str">
        <f t="shared" si="18"/>
        <v/>
      </c>
      <c r="Z165" s="2" t="str">
        <f t="shared" si="18"/>
        <v/>
      </c>
      <c r="AA165" s="23" t="str">
        <f t="shared" si="19"/>
        <v>WR24</v>
      </c>
      <c r="AB165" s="2">
        <f>$T165-VLOOKUP($B165,Scores!$AG$1:$AM$7,5,FALSE)</f>
        <v>-1.3742857142857119</v>
      </c>
      <c r="AC165" s="2">
        <f>$T165-VLOOKUP($B165,Scores!$AG$1:$AM$7,6,FALSE)</f>
        <v>0.96571428571428619</v>
      </c>
      <c r="AD165" s="2">
        <f>$T165-VLOOKUP($B165,Scores!$AG$1:$AM$7,7,FALSE)+(ROW(A164)/1000000)</f>
        <v>2.9444497142857156</v>
      </c>
      <c r="AE165" s="2">
        <f t="array" ref="AE165">IF('ROS Rankings'!$AD$1,IFERROR(AVERAGE(IF(INDEX($C165:$S165,14):INDEX($C165:$S165,17)="NA",0,INDEX($C165:$S165,14):INDEX($C165:$S165,17))-INDEX($AQ$2:$BG$7,MATCH($B165,$AO$2:$AO$7,0),14):INDEX($AQ$2:$BG$7,MATCH($B165,$AO$2:$AO$7,0),17)),0),IFERROR(AVERAGE(IF(INDEX($C165:$S165,Week+1):INDEX($C165:$S165,13)="NA",0,INDEX($C165:$S165,Week+1):INDEX($C165:$S165,13))-INDEX($AQ$2:$BG$7,MATCH($B165,$AO$2:$AO$7,0),Week+1):INDEX($AQ$2:$BG$7,MATCH($B165,$AO$2:$AO$7,0),13)),0))+ROW(A164)/1000000</f>
        <v>2.5164140000000002</v>
      </c>
      <c r="AF165">
        <f t="shared" si="20"/>
        <v>109</v>
      </c>
      <c r="AG165">
        <f t="shared" si="21"/>
        <v>61</v>
      </c>
      <c r="AH165">
        <f t="shared" si="22"/>
        <v>49</v>
      </c>
      <c r="AI165">
        <f t="shared" si="23"/>
        <v>48</v>
      </c>
      <c r="AJ165" s="22" t="str">
        <f>IF(ISERROR(MATCH(A165,Rosters!$B$2:$B$155,0)),AD165,"")</f>
        <v/>
      </c>
      <c r="AK165" t="str">
        <f t="shared" si="24"/>
        <v/>
      </c>
      <c r="AL165" s="23">
        <f>COUNTIF(INDEX($C165:$S165,Week+1):INDEX($C165:$S165,13),"&gt;0")</f>
        <v>7</v>
      </c>
    </row>
    <row r="166" spans="1:38" x14ac:dyDescent="0.25">
      <c r="A166" t="s">
        <v>101</v>
      </c>
      <c r="B166" t="s">
        <v>47</v>
      </c>
      <c r="C166">
        <v>4.9400000000000004</v>
      </c>
      <c r="D166">
        <v>3.81</v>
      </c>
      <c r="E166">
        <v>5.43</v>
      </c>
      <c r="F166">
        <v>4.49</v>
      </c>
      <c r="G166">
        <v>4.9400000000000004</v>
      </c>
      <c r="H166">
        <v>4.3600000000000003</v>
      </c>
      <c r="I166" t="s">
        <v>64</v>
      </c>
      <c r="J166">
        <v>5.2</v>
      </c>
      <c r="K166">
        <v>4.9400000000000004</v>
      </c>
      <c r="L166">
        <v>5.35</v>
      </c>
      <c r="M166">
        <v>4.37</v>
      </c>
      <c r="N166">
        <v>3.47</v>
      </c>
      <c r="O166">
        <v>5.18</v>
      </c>
      <c r="P166">
        <v>5.72</v>
      </c>
      <c r="Q166">
        <v>4.9400000000000004</v>
      </c>
      <c r="R166">
        <v>4.3600000000000003</v>
      </c>
      <c r="S166">
        <v>4.78</v>
      </c>
      <c r="T166" s="2">
        <f>IF('ROS Rankings'!$AD$1,IFERROR(AVERAGE(INDEX($C166:$S166,14):INDEX($C166:$S166,17)),0),IFERROR(AVERAGE(INDEX($C166:$S166,Week+1):INDEX($C166:$S166,13)),0))</f>
        <v>4.6957142857142866</v>
      </c>
      <c r="U166" s="2" t="str">
        <f t="shared" si="18"/>
        <v/>
      </c>
      <c r="V166" s="2">
        <f t="shared" si="18"/>
        <v>4.6957142857142866</v>
      </c>
      <c r="W166" s="2" t="str">
        <f t="shared" si="18"/>
        <v/>
      </c>
      <c r="X166" s="2" t="str">
        <f t="shared" si="18"/>
        <v/>
      </c>
      <c r="Y166" s="2" t="str">
        <f t="shared" si="18"/>
        <v/>
      </c>
      <c r="Z166" s="2" t="str">
        <f t="shared" si="18"/>
        <v/>
      </c>
      <c r="AA166" s="23" t="str">
        <f t="shared" si="19"/>
        <v>RB60</v>
      </c>
      <c r="AB166" s="2">
        <f>$T166-VLOOKUP($B166,Scores!$AG$1:$AM$7,5,FALSE)</f>
        <v>-7.0628571428571423</v>
      </c>
      <c r="AC166" s="2">
        <f>$T166-VLOOKUP($B166,Scores!$AG$1:$AM$7,6,FALSE)</f>
        <v>-3.5742857142857147</v>
      </c>
      <c r="AD166" s="2">
        <f>$T166-VLOOKUP($B166,Scores!$AG$1:$AM$7,7,FALSE)+(ROW(A165)/1000000)</f>
        <v>-1.1726921428571426</v>
      </c>
      <c r="AE166" s="2">
        <f t="array" ref="AE166">IF('ROS Rankings'!$AD$1,IFERROR(AVERAGE(IF(INDEX($C166:$S166,14):INDEX($C166:$S166,17)="NA",0,INDEX($C166:$S166,14):INDEX($C166:$S166,17))-INDEX($AQ$2:$BG$7,MATCH($B166,$AO$2:$AO$7,0),14):INDEX($AQ$2:$BG$7,MATCH($B166,$AO$2:$AO$7,0),17)),0),IFERROR(AVERAGE(IF(INDEX($C166:$S166,Week+1):INDEX($C166:$S166,13)="NA",0,INDEX($C166:$S166,Week+1):INDEX($C166:$S166,13))-INDEX($AQ$2:$BG$7,MATCH($B166,$AO$2:$AO$7,0),Week+1):INDEX($AQ$2:$BG$7,MATCH($B166,$AO$2:$AO$7,0),13)),0))+ROW(A165)/1000000</f>
        <v>-1.2510849999999998</v>
      </c>
      <c r="AF166">
        <f t="shared" si="20"/>
        <v>349</v>
      </c>
      <c r="AG166">
        <f t="shared" si="21"/>
        <v>275</v>
      </c>
      <c r="AH166">
        <f t="shared" si="22"/>
        <v>207</v>
      </c>
      <c r="AI166">
        <f t="shared" si="23"/>
        <v>190</v>
      </c>
      <c r="AJ166" s="22">
        <f>IF(ISERROR(MATCH(A166,Rosters!$B$2:$B$155,0)),AD166,"")</f>
        <v>-1.1726921428571426</v>
      </c>
      <c r="AK166">
        <f t="shared" si="24"/>
        <v>69</v>
      </c>
      <c r="AL166" s="23">
        <f>COUNTIF(INDEX($C166:$S166,Week+1):INDEX($C166:$S166,13),"&gt;0")</f>
        <v>7</v>
      </c>
    </row>
    <row r="167" spans="1:38" x14ac:dyDescent="0.25">
      <c r="A167" t="s">
        <v>21</v>
      </c>
      <c r="B167" t="s">
        <v>15</v>
      </c>
      <c r="C167">
        <v>24.06</v>
      </c>
      <c r="D167">
        <v>23.92</v>
      </c>
      <c r="E167">
        <v>19.97</v>
      </c>
      <c r="F167">
        <v>22.68</v>
      </c>
      <c r="G167">
        <v>21.26</v>
      </c>
      <c r="H167" t="s">
        <v>64</v>
      </c>
      <c r="I167">
        <v>20.38</v>
      </c>
      <c r="J167">
        <v>20.7</v>
      </c>
      <c r="K167">
        <v>21.18</v>
      </c>
      <c r="L167">
        <v>20.86</v>
      </c>
      <c r="M167">
        <v>20.02</v>
      </c>
      <c r="N167">
        <v>23.55</v>
      </c>
      <c r="O167">
        <v>22.89</v>
      </c>
      <c r="P167">
        <v>23.77</v>
      </c>
      <c r="Q167">
        <v>18.38</v>
      </c>
      <c r="R167">
        <v>20.66</v>
      </c>
      <c r="S167">
        <v>19.510000000000002</v>
      </c>
      <c r="T167" s="2">
        <f>IF('ROS Rankings'!$AD$1,IFERROR(AVERAGE(INDEX($C167:$S167,14):INDEX($C167:$S167,17)),0),IFERROR(AVERAGE(INDEX($C167:$S167,Week+1):INDEX($C167:$S167,13)),0))</f>
        <v>21.368571428571425</v>
      </c>
      <c r="U167" s="2">
        <f t="shared" si="18"/>
        <v>21.368571428571425</v>
      </c>
      <c r="V167" s="2" t="str">
        <f t="shared" si="18"/>
        <v/>
      </c>
      <c r="W167" s="2" t="str">
        <f t="shared" si="18"/>
        <v/>
      </c>
      <c r="X167" s="2" t="str">
        <f t="shared" si="18"/>
        <v/>
      </c>
      <c r="Y167" s="2" t="str">
        <f t="shared" si="18"/>
        <v/>
      </c>
      <c r="Z167" s="2" t="str">
        <f t="shared" si="18"/>
        <v/>
      </c>
      <c r="AA167" s="23" t="str">
        <f t="shared" si="19"/>
        <v>QB2</v>
      </c>
      <c r="AB167" s="2">
        <f>$T167-VLOOKUP($B167,Scores!$AG$1:$AM$7,5,FALSE)</f>
        <v>0.48428571428571132</v>
      </c>
      <c r="AC167" s="2">
        <f>$T167-VLOOKUP($B167,Scores!$AG$1:$AM$7,6,FALSE)</f>
        <v>1.4648214285714261</v>
      </c>
      <c r="AD167" s="2">
        <f>$T167-VLOOKUP($B167,Scores!$AG$1:$AM$7,7,FALSE)+(ROW(A166)/1000000)</f>
        <v>1.8687374285714284</v>
      </c>
      <c r="AE167" s="2">
        <f t="array" ref="AE167">IF('ROS Rankings'!$AD$1,IFERROR(AVERAGE(IF(INDEX($C167:$S167,14):INDEX($C167:$S167,17)="NA",0,INDEX($C167:$S167,14):INDEX($C167:$S167,17))-INDEX($AQ$2:$BG$7,MATCH($B167,$AO$2:$AO$7,0),14):INDEX($AQ$2:$BG$7,MATCH($B167,$AO$2:$AO$7,0),17)),0),IFERROR(AVERAGE(IF(INDEX($C167:$S167,Week+1):INDEX($C167:$S167,13)="NA",0,INDEX($C167:$S167,Week+1):INDEX($C167:$S167,13))-INDEX($AQ$2:$BG$7,MATCH($B167,$AO$2:$AO$7,0),Week+1):INDEX($AQ$2:$BG$7,MATCH($B167,$AO$2:$AO$7,0),13)),0))+ROW(A166)/1000000</f>
        <v>0.19516599999999984</v>
      </c>
      <c r="AF167">
        <f t="shared" si="20"/>
        <v>36</v>
      </c>
      <c r="AG167">
        <f t="shared" si="21"/>
        <v>47</v>
      </c>
      <c r="AH167">
        <f t="shared" si="22"/>
        <v>74</v>
      </c>
      <c r="AI167">
        <f t="shared" si="23"/>
        <v>113</v>
      </c>
      <c r="AJ167" s="22" t="str">
        <f>IF(ISERROR(MATCH(A167,Rosters!$B$2:$B$155,0)),AD167,"")</f>
        <v/>
      </c>
      <c r="AK167" t="str">
        <f t="shared" si="24"/>
        <v/>
      </c>
      <c r="AL167" s="23">
        <f>COUNTIF(INDEX($C167:$S167,Week+1):INDEX($C167:$S167,13),"&gt;0")</f>
        <v>7</v>
      </c>
    </row>
    <row r="168" spans="1:38" x14ac:dyDescent="0.25">
      <c r="A168" t="s">
        <v>383</v>
      </c>
      <c r="B168" t="s">
        <v>15</v>
      </c>
      <c r="C168">
        <v>0</v>
      </c>
      <c r="D168">
        <v>0</v>
      </c>
      <c r="E168">
        <v>0</v>
      </c>
      <c r="F168">
        <v>0.96</v>
      </c>
      <c r="G168">
        <v>0</v>
      </c>
      <c r="H168">
        <v>0</v>
      </c>
      <c r="I168">
        <v>0</v>
      </c>
      <c r="J168">
        <v>0</v>
      </c>
      <c r="K168">
        <v>0</v>
      </c>
      <c r="L168">
        <v>0</v>
      </c>
      <c r="M168" t="s">
        <v>64</v>
      </c>
      <c r="N168">
        <v>0</v>
      </c>
      <c r="O168">
        <v>0</v>
      </c>
      <c r="P168">
        <v>0</v>
      </c>
      <c r="Q168">
        <v>0</v>
      </c>
      <c r="R168">
        <v>0</v>
      </c>
      <c r="S168">
        <v>0</v>
      </c>
      <c r="T168" s="2">
        <f>IF('ROS Rankings'!$AD$1,IFERROR(AVERAGE(INDEX($C168:$S168,14):INDEX($C168:$S168,17)),0),IFERROR(AVERAGE(INDEX($C168:$S168,Week+1):INDEX($C168:$S168,13)),0))</f>
        <v>0</v>
      </c>
      <c r="U168" s="2">
        <f t="shared" si="18"/>
        <v>0</v>
      </c>
      <c r="V168" s="2" t="str">
        <f t="shared" si="18"/>
        <v/>
      </c>
      <c r="W168" s="2" t="str">
        <f t="shared" si="18"/>
        <v/>
      </c>
      <c r="X168" s="2" t="str">
        <f t="shared" si="18"/>
        <v/>
      </c>
      <c r="Y168" s="2" t="str">
        <f t="shared" si="18"/>
        <v/>
      </c>
      <c r="Z168" s="2" t="str">
        <f t="shared" si="18"/>
        <v/>
      </c>
      <c r="AA168" s="23" t="str">
        <f t="shared" si="19"/>
        <v>QB60</v>
      </c>
      <c r="AB168" s="2">
        <f>$T168-VLOOKUP($B168,Scores!$AG$1:$AM$7,5,FALSE)</f>
        <v>-20.884285714285713</v>
      </c>
      <c r="AC168" s="2">
        <f>$T168-VLOOKUP($B168,Scores!$AG$1:$AM$7,6,FALSE)</f>
        <v>-19.903749999999999</v>
      </c>
      <c r="AD168" s="2">
        <f>$T168-VLOOKUP($B168,Scores!$AG$1:$AM$7,7,FALSE)+(ROW(A167)/1000000)</f>
        <v>-19.499832999999995</v>
      </c>
      <c r="AE168" s="2">
        <f t="array" ref="AE168">IF('ROS Rankings'!$AD$1,IFERROR(AVERAGE(IF(INDEX($C168:$S168,14):INDEX($C168:$S168,17)="NA",0,INDEX($C168:$S168,14):INDEX($C168:$S168,17))-INDEX($AQ$2:$BG$7,MATCH($B168,$AO$2:$AO$7,0),14):INDEX($AQ$2:$BG$7,MATCH($B168,$AO$2:$AO$7,0),17)),0),IFERROR(AVERAGE(IF(INDEX($C168:$S168,Week+1):INDEX($C168:$S168,13)="NA",0,INDEX($C168:$S168,Week+1):INDEX($C168:$S168,13))-INDEX($AQ$2:$BG$7,MATCH($B168,$AO$2:$AO$7,0),Week+1):INDEX($AQ$2:$BG$7,MATCH($B168,$AO$2:$AO$7,0),13)),0))+ROW(A167)/1000000</f>
        <v>-18.502333</v>
      </c>
      <c r="AF168">
        <f t="shared" si="20"/>
        <v>551</v>
      </c>
      <c r="AG168">
        <f t="shared" si="21"/>
        <v>551</v>
      </c>
      <c r="AH168">
        <f t="shared" si="22"/>
        <v>557</v>
      </c>
      <c r="AI168">
        <f t="shared" si="23"/>
        <v>557</v>
      </c>
      <c r="AJ168" s="22">
        <f>IF(ISERROR(MATCH(A168,Rosters!$B$2:$B$155,0)),AD168,"")</f>
        <v>-19.499832999999995</v>
      </c>
      <c r="AK168">
        <f t="shared" si="24"/>
        <v>404</v>
      </c>
      <c r="AL168" s="23">
        <f>COUNTIF(INDEX($C168:$S168,Week+1):INDEX($C168:$S168,13),"&gt;0")</f>
        <v>0</v>
      </c>
    </row>
    <row r="169" spans="1:38" x14ac:dyDescent="0.25">
      <c r="A169" t="s">
        <v>183</v>
      </c>
      <c r="B169" t="s">
        <v>47</v>
      </c>
      <c r="C169">
        <v>7.5</v>
      </c>
      <c r="D169">
        <v>6.42</v>
      </c>
      <c r="E169">
        <v>4.67</v>
      </c>
      <c r="F169">
        <v>6.12</v>
      </c>
      <c r="G169">
        <v>4.55</v>
      </c>
      <c r="H169">
        <v>5.37</v>
      </c>
      <c r="I169">
        <v>5.98</v>
      </c>
      <c r="J169">
        <v>5.67</v>
      </c>
      <c r="K169">
        <v>6.82</v>
      </c>
      <c r="L169">
        <v>5.63</v>
      </c>
      <c r="M169" t="s">
        <v>64</v>
      </c>
      <c r="N169">
        <v>5.13</v>
      </c>
      <c r="O169">
        <v>5.48</v>
      </c>
      <c r="P169">
        <v>5.73</v>
      </c>
      <c r="Q169">
        <v>4.3600000000000003</v>
      </c>
      <c r="R169">
        <v>5.43</v>
      </c>
      <c r="S169">
        <v>4.26</v>
      </c>
      <c r="T169" s="2">
        <f>IF('ROS Rankings'!$AD$1,IFERROR(AVERAGE(INDEX($C169:$S169,14):INDEX($C169:$S169,17)),0),IFERROR(AVERAGE(INDEX($C169:$S169,Week+1):INDEX($C169:$S169,13)),0))</f>
        <v>5.7257142857142851</v>
      </c>
      <c r="U169" s="2" t="str">
        <f t="shared" si="18"/>
        <v/>
      </c>
      <c r="V169" s="2">
        <f t="shared" si="18"/>
        <v>5.7257142857142851</v>
      </c>
      <c r="W169" s="2" t="str">
        <f t="shared" si="18"/>
        <v/>
      </c>
      <c r="X169" s="2" t="str">
        <f t="shared" si="18"/>
        <v/>
      </c>
      <c r="Y169" s="2" t="str">
        <f t="shared" si="18"/>
        <v/>
      </c>
      <c r="Z169" s="2" t="str">
        <f t="shared" si="18"/>
        <v/>
      </c>
      <c r="AA169" s="23" t="str">
        <f t="shared" si="19"/>
        <v>RB51</v>
      </c>
      <c r="AB169" s="2">
        <f>$T169-VLOOKUP($B169,Scores!$AG$1:$AM$7,5,FALSE)</f>
        <v>-6.0328571428571438</v>
      </c>
      <c r="AC169" s="2">
        <f>$T169-VLOOKUP($B169,Scores!$AG$1:$AM$7,6,FALSE)</f>
        <v>-2.5442857142857163</v>
      </c>
      <c r="AD169" s="2">
        <f>$T169-VLOOKUP($B169,Scores!$AG$1:$AM$7,7,FALSE)+(ROW(A168)/1000000)</f>
        <v>-0.14268914285714412</v>
      </c>
      <c r="AE169" s="2">
        <f t="array" ref="AE169">IF('ROS Rankings'!$AD$1,IFERROR(AVERAGE(IF(INDEX($C169:$S169,14):INDEX($C169:$S169,17)="NA",0,INDEX($C169:$S169,14):INDEX($C169:$S169,17))-INDEX($AQ$2:$BG$7,MATCH($B169,$AO$2:$AO$7,0),14):INDEX($AQ$2:$BG$7,MATCH($B169,$AO$2:$AO$7,0),17)),0),IFERROR(AVERAGE(IF(INDEX($C169:$S169,Week+1):INDEX($C169:$S169,13)="NA",0,INDEX($C169:$S169,Week+1):INDEX($C169:$S169,13))-INDEX($AQ$2:$BG$7,MATCH($B169,$AO$2:$AO$7,0),Week+1):INDEX($AQ$2:$BG$7,MATCH($B169,$AO$2:$AO$7,0),13)),0))+ROW(A168)/1000000</f>
        <v>-0.34983199999999975</v>
      </c>
      <c r="AF169">
        <f t="shared" si="20"/>
        <v>282</v>
      </c>
      <c r="AG169">
        <f t="shared" si="21"/>
        <v>219</v>
      </c>
      <c r="AH169">
        <f t="shared" si="22"/>
        <v>158</v>
      </c>
      <c r="AI169">
        <f t="shared" si="23"/>
        <v>138</v>
      </c>
      <c r="AJ169" s="22">
        <f>IF(ISERROR(MATCH(A169,Rosters!$B$2:$B$155,0)),AD169,"")</f>
        <v>-0.14268914285714412</v>
      </c>
      <c r="AK169">
        <f t="shared" si="24"/>
        <v>30</v>
      </c>
      <c r="AL169" s="23">
        <f>COUNTIF(INDEX($C169:$S169,Week+1):INDEX($C169:$S169,13),"&gt;0")</f>
        <v>7</v>
      </c>
    </row>
    <row r="170" spans="1:38" x14ac:dyDescent="0.25">
      <c r="A170" t="s">
        <v>8907</v>
      </c>
      <c r="B170" t="s">
        <v>114</v>
      </c>
      <c r="C170" t="s">
        <v>64</v>
      </c>
      <c r="D170" t="s">
        <v>64</v>
      </c>
      <c r="E170" t="s">
        <v>64</v>
      </c>
      <c r="F170" t="s">
        <v>64</v>
      </c>
      <c r="G170">
        <v>0.49</v>
      </c>
      <c r="H170">
        <v>0.48</v>
      </c>
      <c r="I170">
        <v>0.57999999999999996</v>
      </c>
      <c r="J170">
        <v>0.46</v>
      </c>
      <c r="K170">
        <v>0.41</v>
      </c>
      <c r="L170">
        <v>0.48</v>
      </c>
      <c r="M170" t="s">
        <v>64</v>
      </c>
      <c r="N170">
        <v>0.49</v>
      </c>
      <c r="O170">
        <v>0.52</v>
      </c>
      <c r="P170">
        <v>0.53</v>
      </c>
      <c r="Q170">
        <v>0.3</v>
      </c>
      <c r="R170">
        <v>0.49</v>
      </c>
      <c r="S170">
        <v>0.5</v>
      </c>
      <c r="T170" s="2">
        <f>IF('ROS Rankings'!$AD$1,IFERROR(AVERAGE(INDEX($C170:$S170,14):INDEX($C170:$S170,17)),0),IFERROR(AVERAGE(INDEX($C170:$S170,Week+1):INDEX($C170:$S170,13)),0))</f>
        <v>0.4885714285714286</v>
      </c>
      <c r="U170" s="2" t="str">
        <f t="shared" si="18"/>
        <v/>
      </c>
      <c r="V170" s="2" t="str">
        <f t="shared" si="18"/>
        <v/>
      </c>
      <c r="W170" s="2" t="str">
        <f t="shared" si="18"/>
        <v/>
      </c>
      <c r="X170" s="2">
        <f t="shared" si="18"/>
        <v>0.4885714285714286</v>
      </c>
      <c r="Y170" s="2" t="str">
        <f t="shared" si="18"/>
        <v/>
      </c>
      <c r="Z170" s="2" t="str">
        <f t="shared" si="18"/>
        <v/>
      </c>
      <c r="AA170" s="23" t="str">
        <f t="shared" si="19"/>
        <v>TE88</v>
      </c>
      <c r="AB170" s="2">
        <f>$T170-VLOOKUP($B170,Scores!$AG$1:$AM$7,5,FALSE)</f>
        <v>-6.5101785714285709</v>
      </c>
      <c r="AC170" s="2">
        <f>$T170-VLOOKUP($B170,Scores!$AG$1:$AM$7,6,FALSE)</f>
        <v>-4.7614285714285716</v>
      </c>
      <c r="AD170" s="2">
        <f>$T170-VLOOKUP($B170,Scores!$AG$1:$AM$7,7,FALSE)+(ROW(A169)/1000000)</f>
        <v>-4.6912595714285716</v>
      </c>
      <c r="AE170" s="2">
        <f t="array" ref="AE170">IF('ROS Rankings'!$AD$1,IFERROR(AVERAGE(IF(INDEX($C170:$S170,14):INDEX($C170:$S170,17)="NA",0,INDEX($C170:$S170,14):INDEX($C170:$S170,17))-INDEX($AQ$2:$BG$7,MATCH($B170,$AO$2:$AO$7,0),14):INDEX($AQ$2:$BG$7,MATCH($B170,$AO$2:$AO$7,0),17)),0),IFERROR(AVERAGE(IF(INDEX($C170:$S170,Week+1):INDEX($C170:$S170,13)="NA",0,INDEX($C170:$S170,Week+1):INDEX($C170:$S170,13))-INDEX($AQ$2:$BG$7,MATCH($B170,$AO$2:$AO$7,0),Week+1):INDEX($AQ$2:$BG$7,MATCH($B170,$AO$2:$AO$7,0),13)),0))+ROW(A169)/1000000</f>
        <v>-4.6698310000000003</v>
      </c>
      <c r="AF170">
        <f t="shared" si="20"/>
        <v>319</v>
      </c>
      <c r="AG170">
        <f t="shared" si="21"/>
        <v>336</v>
      </c>
      <c r="AH170">
        <f t="shared" si="22"/>
        <v>380</v>
      </c>
      <c r="AI170">
        <f t="shared" si="23"/>
        <v>397</v>
      </c>
      <c r="AJ170" s="22">
        <f>IF(ISERROR(MATCH(A170,Rosters!$B$2:$B$155,0)),AD170,"")</f>
        <v>-4.6912595714285716</v>
      </c>
      <c r="AK170">
        <f t="shared" si="24"/>
        <v>228</v>
      </c>
      <c r="AL170" s="23">
        <f>COUNTIF(INDEX($C170:$S170,Week+1):INDEX($C170:$S170,13),"&gt;0")</f>
        <v>7</v>
      </c>
    </row>
    <row r="171" spans="1:38" x14ac:dyDescent="0.25">
      <c r="A171" t="s">
        <v>254</v>
      </c>
      <c r="B171" t="s">
        <v>114</v>
      </c>
      <c r="C171">
        <v>1.99</v>
      </c>
      <c r="D171">
        <v>0.72</v>
      </c>
      <c r="E171">
        <v>1.19</v>
      </c>
      <c r="F171">
        <v>1.49</v>
      </c>
      <c r="G171">
        <v>1.17</v>
      </c>
      <c r="H171">
        <v>0.85</v>
      </c>
      <c r="I171">
        <v>0.52</v>
      </c>
      <c r="J171">
        <v>0.57999999999999996</v>
      </c>
      <c r="K171">
        <v>0.81</v>
      </c>
      <c r="L171">
        <v>0.65</v>
      </c>
      <c r="M171" t="s">
        <v>64</v>
      </c>
      <c r="N171">
        <v>0.61</v>
      </c>
      <c r="O171">
        <v>0.52</v>
      </c>
      <c r="P171">
        <v>0.7</v>
      </c>
      <c r="Q171">
        <v>0.68</v>
      </c>
      <c r="R171">
        <v>0.6</v>
      </c>
      <c r="S171">
        <v>0.63</v>
      </c>
      <c r="T171" s="2">
        <f>IF('ROS Rankings'!$AD$1,IFERROR(AVERAGE(INDEX($C171:$S171,14):INDEX($C171:$S171,17)),0),IFERROR(AVERAGE(INDEX($C171:$S171,Week+1):INDEX($C171:$S171,13)),0))</f>
        <v>0.64857142857142869</v>
      </c>
      <c r="U171" s="2" t="str">
        <f t="shared" si="18"/>
        <v/>
      </c>
      <c r="V171" s="2" t="str">
        <f t="shared" si="18"/>
        <v/>
      </c>
      <c r="W171" s="2" t="str">
        <f t="shared" si="18"/>
        <v/>
      </c>
      <c r="X171" s="2">
        <f t="shared" si="18"/>
        <v>0.64857142857142869</v>
      </c>
      <c r="Y171" s="2" t="str">
        <f t="shared" si="18"/>
        <v/>
      </c>
      <c r="Z171" s="2" t="str">
        <f t="shared" si="18"/>
        <v/>
      </c>
      <c r="AA171" s="23" t="str">
        <f t="shared" si="19"/>
        <v>TE73</v>
      </c>
      <c r="AB171" s="2">
        <f>$T171-VLOOKUP($B171,Scores!$AG$1:$AM$7,5,FALSE)</f>
        <v>-6.3501785714285708</v>
      </c>
      <c r="AC171" s="2">
        <f>$T171-VLOOKUP($B171,Scores!$AG$1:$AM$7,6,FALSE)</f>
        <v>-4.6014285714285714</v>
      </c>
      <c r="AD171" s="2">
        <f>$T171-VLOOKUP($B171,Scores!$AG$1:$AM$7,7,FALSE)+(ROW(A170)/1000000)</f>
        <v>-4.5312585714285714</v>
      </c>
      <c r="AE171" s="2">
        <f t="array" ref="AE171">IF('ROS Rankings'!$AD$1,IFERROR(AVERAGE(IF(INDEX($C171:$S171,14):INDEX($C171:$S171,17)="NA",0,INDEX($C171:$S171,14):INDEX($C171:$S171,17))-INDEX($AQ$2:$BG$7,MATCH($B171,$AO$2:$AO$7,0),14):INDEX($AQ$2:$BG$7,MATCH($B171,$AO$2:$AO$7,0),17)),0),IFERROR(AVERAGE(IF(INDEX($C171:$S171,Week+1):INDEX($C171:$S171,13)="NA",0,INDEX($C171:$S171,Week+1):INDEX($C171:$S171,13))-INDEX($AQ$2:$BG$7,MATCH($B171,$AO$2:$AO$7,0),Week+1):INDEX($AQ$2:$BG$7,MATCH($B171,$AO$2:$AO$7,0),13)),0))+ROW(A170)/1000000</f>
        <v>-4.5298300000000005</v>
      </c>
      <c r="AF171">
        <f t="shared" si="20"/>
        <v>297</v>
      </c>
      <c r="AG171">
        <f t="shared" si="21"/>
        <v>317</v>
      </c>
      <c r="AH171">
        <f t="shared" si="22"/>
        <v>362</v>
      </c>
      <c r="AI171">
        <f t="shared" si="23"/>
        <v>378</v>
      </c>
      <c r="AJ171" s="22">
        <f>IF(ISERROR(MATCH(A171,Rosters!$B$2:$B$155,0)),AD171,"")</f>
        <v>-4.5312585714285714</v>
      </c>
      <c r="AK171">
        <f t="shared" si="24"/>
        <v>210</v>
      </c>
      <c r="AL171" s="23">
        <f>COUNTIF(INDEX($C171:$S171,Week+1):INDEX($C171:$S171,13),"&gt;0")</f>
        <v>7</v>
      </c>
    </row>
    <row r="172" spans="1:38" x14ac:dyDescent="0.25">
      <c r="A172" t="s">
        <v>1127</v>
      </c>
      <c r="B172" t="s">
        <v>87</v>
      </c>
      <c r="C172">
        <v>0.62</v>
      </c>
      <c r="D172">
        <v>0</v>
      </c>
      <c r="E172">
        <v>0.65</v>
      </c>
      <c r="F172">
        <v>0.4</v>
      </c>
      <c r="G172">
        <v>0.38</v>
      </c>
      <c r="H172">
        <v>0.43</v>
      </c>
      <c r="I172" t="s">
        <v>64</v>
      </c>
      <c r="J172">
        <v>0.49</v>
      </c>
      <c r="K172">
        <v>0.46</v>
      </c>
      <c r="L172">
        <v>0.39</v>
      </c>
      <c r="M172">
        <v>0.41</v>
      </c>
      <c r="N172">
        <v>0.37</v>
      </c>
      <c r="O172">
        <v>0.45</v>
      </c>
      <c r="P172">
        <v>0.42</v>
      </c>
      <c r="Q172">
        <v>0.43</v>
      </c>
      <c r="R172">
        <v>0.37</v>
      </c>
      <c r="S172">
        <v>0.44</v>
      </c>
      <c r="T172" s="2">
        <f>IF('ROS Rankings'!$AD$1,IFERROR(AVERAGE(INDEX($C172:$S172,14):INDEX($C172:$S172,17)),0),IFERROR(AVERAGE(INDEX($C172:$S172,Week+1):INDEX($C172:$S172,13)),0))</f>
        <v>0.42857142857142866</v>
      </c>
      <c r="U172" s="2" t="str">
        <f t="shared" si="18"/>
        <v/>
      </c>
      <c r="V172" s="2" t="str">
        <f t="shared" si="18"/>
        <v/>
      </c>
      <c r="W172" s="2">
        <f t="shared" si="18"/>
        <v>0.42857142857142866</v>
      </c>
      <c r="X172" s="2" t="str">
        <f t="shared" si="18"/>
        <v/>
      </c>
      <c r="Y172" s="2" t="str">
        <f t="shared" si="18"/>
        <v/>
      </c>
      <c r="Z172" s="2" t="str">
        <f t="shared" si="18"/>
        <v/>
      </c>
      <c r="AA172" s="23" t="str">
        <f t="shared" si="19"/>
        <v>WR173</v>
      </c>
      <c r="AB172" s="2">
        <f>$T172-VLOOKUP($B172,Scores!$AG$1:$AM$7,5,FALSE)</f>
        <v>-9.9428571428571413</v>
      </c>
      <c r="AC172" s="2">
        <f>$T172-VLOOKUP($B172,Scores!$AG$1:$AM$7,6,FALSE)</f>
        <v>-7.6028571428571432</v>
      </c>
      <c r="AD172" s="2">
        <f>$T172-VLOOKUP($B172,Scores!$AG$1:$AM$7,7,FALSE)+(ROW(A171)/1000000)</f>
        <v>-5.6241147142857137</v>
      </c>
      <c r="AE172" s="2">
        <f t="array" ref="AE172">IF('ROS Rankings'!$AD$1,IFERROR(AVERAGE(IF(INDEX($C172:$S172,14):INDEX($C172:$S172,17)="NA",0,INDEX($C172:$S172,14):INDEX($C172:$S172,17))-INDEX($AQ$2:$BG$7,MATCH($B172,$AO$2:$AO$7,0),14):INDEX($AQ$2:$BG$7,MATCH($B172,$AO$2:$AO$7,0),17)),0),IFERROR(AVERAGE(IF(INDEX($C172:$S172,Week+1):INDEX($C172:$S172,13)="NA",0,INDEX($C172:$S172,Week+1):INDEX($C172:$S172,13))-INDEX($AQ$2:$BG$7,MATCH($B172,$AO$2:$AO$7,0),Week+1):INDEX($AQ$2:$BG$7,MATCH($B172,$AO$2:$AO$7,0),13)),0))+ROW(A171)/1000000</f>
        <v>-4.9810790000000003</v>
      </c>
      <c r="AF172">
        <f t="shared" si="20"/>
        <v>451</v>
      </c>
      <c r="AG172">
        <f t="shared" si="21"/>
        <v>472</v>
      </c>
      <c r="AH172">
        <f t="shared" si="22"/>
        <v>502</v>
      </c>
      <c r="AI172">
        <f t="shared" si="23"/>
        <v>489</v>
      </c>
      <c r="AJ172" s="22">
        <f>IF(ISERROR(MATCH(A172,Rosters!$B$2:$B$155,0)),AD172,"")</f>
        <v>-5.6241147142857137</v>
      </c>
      <c r="AK172">
        <f t="shared" si="24"/>
        <v>350</v>
      </c>
      <c r="AL172" s="23">
        <f>COUNTIF(INDEX($C172:$S172,Week+1):INDEX($C172:$S172,13),"&gt;0")</f>
        <v>7</v>
      </c>
    </row>
    <row r="173" spans="1:38" x14ac:dyDescent="0.25">
      <c r="A173" t="s">
        <v>2964</v>
      </c>
      <c r="B173" t="s">
        <v>47</v>
      </c>
      <c r="C173" t="s">
        <v>64</v>
      </c>
      <c r="D173" t="s">
        <v>64</v>
      </c>
      <c r="E173" t="s">
        <v>64</v>
      </c>
      <c r="F173">
        <v>1.2</v>
      </c>
      <c r="G173">
        <v>0.36</v>
      </c>
      <c r="H173" t="s">
        <v>64</v>
      </c>
      <c r="I173">
        <v>0.3</v>
      </c>
      <c r="J173">
        <v>0.37</v>
      </c>
      <c r="K173">
        <v>0.32</v>
      </c>
      <c r="L173">
        <v>0.32</v>
      </c>
      <c r="M173">
        <v>0.3</v>
      </c>
      <c r="N173">
        <v>0.39</v>
      </c>
      <c r="O173">
        <v>0.28999999999999998</v>
      </c>
      <c r="P173">
        <v>0.39</v>
      </c>
      <c r="Q173">
        <v>0.31</v>
      </c>
      <c r="R173">
        <v>0.34</v>
      </c>
      <c r="S173">
        <v>0.33</v>
      </c>
      <c r="T173" s="2">
        <f>IF('ROS Rankings'!$AD$1,IFERROR(AVERAGE(INDEX($C173:$S173,14):INDEX($C173:$S173,17)),0),IFERROR(AVERAGE(INDEX($C173:$S173,Week+1):INDEX($C173:$S173,13)),0))</f>
        <v>0.32714285714285712</v>
      </c>
      <c r="U173" s="2" t="str">
        <f t="shared" si="18"/>
        <v/>
      </c>
      <c r="V173" s="2">
        <f t="shared" si="18"/>
        <v>0.32714285714285712</v>
      </c>
      <c r="W173" s="2" t="str">
        <f t="shared" si="18"/>
        <v/>
      </c>
      <c r="X173" s="2" t="str">
        <f t="shared" ref="X173:Z236" si="25">IF($B173=X$1,$T173,"")</f>
        <v/>
      </c>
      <c r="Y173" s="2" t="str">
        <f t="shared" si="25"/>
        <v/>
      </c>
      <c r="Z173" s="2" t="str">
        <f t="shared" si="25"/>
        <v/>
      </c>
      <c r="AA173" s="23" t="str">
        <f t="shared" si="19"/>
        <v>RB128</v>
      </c>
      <c r="AB173" s="2">
        <f>$T173-VLOOKUP($B173,Scores!$AG$1:$AM$7,5,FALSE)</f>
        <v>-11.431428571428572</v>
      </c>
      <c r="AC173" s="2">
        <f>$T173-VLOOKUP($B173,Scores!$AG$1:$AM$7,6,FALSE)</f>
        <v>-7.9428571428571439</v>
      </c>
      <c r="AD173" s="2">
        <f>$T173-VLOOKUP($B173,Scores!$AG$1:$AM$7,7,FALSE)+(ROW(A172)/1000000)</f>
        <v>-5.5412565714285718</v>
      </c>
      <c r="AE173" s="2">
        <f t="array" ref="AE173">IF('ROS Rankings'!$AD$1,IFERROR(AVERAGE(IF(INDEX($C173:$S173,14):INDEX($C173:$S173,17)="NA",0,INDEX($C173:$S173,14):INDEX($C173:$S173,17))-INDEX($AQ$2:$BG$7,MATCH($B173,$AO$2:$AO$7,0),14):INDEX($AQ$2:$BG$7,MATCH($B173,$AO$2:$AO$7,0),17)),0),IFERROR(AVERAGE(IF(INDEX($C173:$S173,Week+1):INDEX($C173:$S173,13)="NA",0,INDEX($C173:$S173,Week+1):INDEX($C173:$S173,13))-INDEX($AQ$2:$BG$7,MATCH($B173,$AO$2:$AO$7,0),Week+1):INDEX($AQ$2:$BG$7,MATCH($B173,$AO$2:$AO$7,0),13)),0))+ROW(A172)/1000000</f>
        <v>-5.0735779999999995</v>
      </c>
      <c r="AF173">
        <f t="shared" si="20"/>
        <v>516</v>
      </c>
      <c r="AG173">
        <f t="shared" si="21"/>
        <v>510</v>
      </c>
      <c r="AH173">
        <f t="shared" si="22"/>
        <v>494</v>
      </c>
      <c r="AI173">
        <f t="shared" si="23"/>
        <v>496</v>
      </c>
      <c r="AJ173" s="22">
        <f>IF(ISERROR(MATCH(A173,Rosters!$B$2:$B$155,0)),AD173,"")</f>
        <v>-5.5412565714285718</v>
      </c>
      <c r="AK173">
        <f t="shared" si="24"/>
        <v>342</v>
      </c>
      <c r="AL173" s="23">
        <f>COUNTIF(INDEX($C173:$S173,Week+1):INDEX($C173:$S173,13),"&gt;0")</f>
        <v>7</v>
      </c>
    </row>
    <row r="174" spans="1:38" x14ac:dyDescent="0.25">
      <c r="A174" t="s">
        <v>307</v>
      </c>
      <c r="B174" t="s">
        <v>114</v>
      </c>
      <c r="C174">
        <v>0</v>
      </c>
      <c r="D174">
        <v>0</v>
      </c>
      <c r="E174">
        <v>0</v>
      </c>
      <c r="F174">
        <v>0</v>
      </c>
      <c r="G174">
        <v>0</v>
      </c>
      <c r="H174">
        <v>0</v>
      </c>
      <c r="I174" t="s">
        <v>64</v>
      </c>
      <c r="J174">
        <v>2.57</v>
      </c>
      <c r="K174">
        <v>2.69</v>
      </c>
      <c r="L174">
        <v>2.34</v>
      </c>
      <c r="M174">
        <v>2.7</v>
      </c>
      <c r="N174">
        <v>2.46</v>
      </c>
      <c r="O174">
        <v>2.96</v>
      </c>
      <c r="P174">
        <v>2.56</v>
      </c>
      <c r="Q174">
        <v>2.85</v>
      </c>
      <c r="R174">
        <v>2.4500000000000002</v>
      </c>
      <c r="S174">
        <v>2.5499999999999998</v>
      </c>
      <c r="T174" s="2">
        <f>IF('ROS Rankings'!$AD$1,IFERROR(AVERAGE(INDEX($C174:$S174,14):INDEX($C174:$S174,17)),0),IFERROR(AVERAGE(INDEX($C174:$S174,Week+1):INDEX($C174:$S174,13)),0))</f>
        <v>2.245714285714286</v>
      </c>
      <c r="U174" s="2" t="str">
        <f t="shared" ref="U174:Z237" si="26">IF($B174=U$1,$T174,"")</f>
        <v/>
      </c>
      <c r="V174" s="2" t="str">
        <f t="shared" si="26"/>
        <v/>
      </c>
      <c r="W174" s="2" t="str">
        <f t="shared" si="26"/>
        <v/>
      </c>
      <c r="X174" s="2">
        <f t="shared" si="26"/>
        <v>2.245714285714286</v>
      </c>
      <c r="Y174" s="2" t="str">
        <f t="shared" si="26"/>
        <v/>
      </c>
      <c r="Z174" s="2" t="str">
        <f t="shared" si="26"/>
        <v/>
      </c>
      <c r="AA174" s="23" t="str">
        <f t="shared" si="19"/>
        <v>TE48</v>
      </c>
      <c r="AB174" s="2">
        <f>$T174-VLOOKUP($B174,Scores!$AG$1:$AM$7,5,FALSE)</f>
        <v>-4.7530357142857138</v>
      </c>
      <c r="AC174" s="2">
        <f>$T174-VLOOKUP($B174,Scores!$AG$1:$AM$7,6,FALSE)</f>
        <v>-3.004285714285714</v>
      </c>
      <c r="AD174" s="2">
        <f>$T174-VLOOKUP($B174,Scores!$AG$1:$AM$7,7,FALSE)+(ROW(A173)/1000000)</f>
        <v>-2.9341127142857135</v>
      </c>
      <c r="AE174" s="2">
        <f t="array" ref="AE174">IF('ROS Rankings'!$AD$1,IFERROR(AVERAGE(IF(INDEX($C174:$S174,14):INDEX($C174:$S174,17)="NA",0,INDEX($C174:$S174,14):INDEX($C174:$S174,17))-INDEX($AQ$2:$BG$7,MATCH($B174,$AO$2:$AO$7,0),14):INDEX($AQ$2:$BG$7,MATCH($B174,$AO$2:$AO$7,0),17)),0),IFERROR(AVERAGE(IF(INDEX($C174:$S174,Week+1):INDEX($C174:$S174,13)="NA",0,INDEX($C174:$S174,Week+1):INDEX($C174:$S174,13))-INDEX($AQ$2:$BG$7,MATCH($B174,$AO$2:$AO$7,0),Week+1):INDEX($AQ$2:$BG$7,MATCH($B174,$AO$2:$AO$7,0),13)),0))+ROW(A173)/1000000</f>
        <v>-3.1323269999999992</v>
      </c>
      <c r="AF174">
        <f t="shared" si="20"/>
        <v>228</v>
      </c>
      <c r="AG174">
        <f t="shared" si="21"/>
        <v>246</v>
      </c>
      <c r="AH174">
        <f t="shared" si="22"/>
        <v>296</v>
      </c>
      <c r="AI174">
        <f t="shared" si="23"/>
        <v>308</v>
      </c>
      <c r="AJ174" s="22">
        <f>IF(ISERROR(MATCH(A174,Rosters!$B$2:$B$155,0)),AD174,"")</f>
        <v>-2.9341127142857135</v>
      </c>
      <c r="AK174">
        <f t="shared" si="24"/>
        <v>149</v>
      </c>
      <c r="AL174" s="23">
        <f>COUNTIF(INDEX($C174:$S174,Week+1):INDEX($C174:$S174,13),"&gt;0")</f>
        <v>6</v>
      </c>
    </row>
    <row r="175" spans="1:38" x14ac:dyDescent="0.25">
      <c r="A175" t="s">
        <v>75</v>
      </c>
      <c r="B175" t="s">
        <v>15</v>
      </c>
      <c r="C175">
        <v>10.9</v>
      </c>
      <c r="D175">
        <v>15.42</v>
      </c>
      <c r="E175">
        <v>15.64</v>
      </c>
      <c r="F175">
        <v>18.07</v>
      </c>
      <c r="G175">
        <v>13.7</v>
      </c>
      <c r="H175">
        <v>13.72</v>
      </c>
      <c r="I175">
        <v>15.49</v>
      </c>
      <c r="J175">
        <v>13.73</v>
      </c>
      <c r="K175" t="s">
        <v>64</v>
      </c>
      <c r="L175">
        <v>15.6</v>
      </c>
      <c r="M175">
        <v>18.57</v>
      </c>
      <c r="N175">
        <v>13.03</v>
      </c>
      <c r="O175">
        <v>14.42</v>
      </c>
      <c r="P175">
        <v>13.02</v>
      </c>
      <c r="Q175">
        <v>16.63</v>
      </c>
      <c r="R175">
        <v>15.74</v>
      </c>
      <c r="S175">
        <v>16.36</v>
      </c>
      <c r="T175" s="2">
        <f>IF('ROS Rankings'!$AD$1,IFERROR(AVERAGE(INDEX($C175:$S175,14):INDEX($C175:$S175,17)),0),IFERROR(AVERAGE(INDEX($C175:$S175,Week+1):INDEX($C175:$S175,13)),0))</f>
        <v>14.937142857142858</v>
      </c>
      <c r="U175" s="2">
        <f t="shared" si="26"/>
        <v>14.937142857142858</v>
      </c>
      <c r="V175" s="2" t="str">
        <f t="shared" si="26"/>
        <v/>
      </c>
      <c r="W175" s="2" t="str">
        <f t="shared" si="26"/>
        <v/>
      </c>
      <c r="X175" s="2" t="str">
        <f t="shared" si="26"/>
        <v/>
      </c>
      <c r="Y175" s="2" t="str">
        <f t="shared" si="26"/>
        <v/>
      </c>
      <c r="Z175" s="2" t="str">
        <f t="shared" si="26"/>
        <v/>
      </c>
      <c r="AA175" s="23" t="str">
        <f t="shared" si="19"/>
        <v>QB27</v>
      </c>
      <c r="AB175" s="2">
        <f>$T175-VLOOKUP($B175,Scores!$AG$1:$AM$7,5,FALSE)</f>
        <v>-5.9471428571428557</v>
      </c>
      <c r="AC175" s="2">
        <f>$T175-VLOOKUP($B175,Scores!$AG$1:$AM$7,6,FALSE)</f>
        <v>-4.966607142857141</v>
      </c>
      <c r="AD175" s="2">
        <f>$T175-VLOOKUP($B175,Scores!$AG$1:$AM$7,7,FALSE)+(ROW(A174)/1000000)</f>
        <v>-4.5626831428571384</v>
      </c>
      <c r="AE175" s="2">
        <f t="array" ref="AE175">IF('ROS Rankings'!$AD$1,IFERROR(AVERAGE(IF(INDEX($C175:$S175,14):INDEX($C175:$S175,17)="NA",0,INDEX($C175:$S175,14):INDEX($C175:$S175,17))-INDEX($AQ$2:$BG$7,MATCH($B175,$AO$2:$AO$7,0),14):INDEX($AQ$2:$BG$7,MATCH($B175,$AO$2:$AO$7,0),17)),0),IFERROR(AVERAGE(IF(INDEX($C175:$S175,Week+1):INDEX($C175:$S175,13)="NA",0,INDEX($C175:$S175,Week+1):INDEX($C175:$S175,13))-INDEX($AQ$2:$BG$7,MATCH($B175,$AO$2:$AO$7,0),Week+1):INDEX($AQ$2:$BG$7,MATCH($B175,$AO$2:$AO$7,0),13)),0))+ROW(A174)/1000000</f>
        <v>-5.4323259999999998</v>
      </c>
      <c r="AF175">
        <f t="shared" si="20"/>
        <v>279</v>
      </c>
      <c r="AG175">
        <f t="shared" si="21"/>
        <v>355</v>
      </c>
      <c r="AH175">
        <f t="shared" si="22"/>
        <v>363</v>
      </c>
      <c r="AI175">
        <f t="shared" si="23"/>
        <v>516</v>
      </c>
      <c r="AJ175" s="22">
        <f>IF(ISERROR(MATCH(A175,Rosters!$B$2:$B$155,0)),AD175,"")</f>
        <v>-4.5626831428571384</v>
      </c>
      <c r="AK175">
        <f t="shared" si="24"/>
        <v>211</v>
      </c>
      <c r="AL175" s="23">
        <f>COUNTIF(INDEX($C175:$S175,Week+1):INDEX($C175:$S175,13),"&gt;0")</f>
        <v>7</v>
      </c>
    </row>
    <row r="176" spans="1:38" x14ac:dyDescent="0.25">
      <c r="A176" t="s">
        <v>2808</v>
      </c>
      <c r="B176" t="s">
        <v>87</v>
      </c>
      <c r="C176">
        <v>0</v>
      </c>
      <c r="D176">
        <v>0</v>
      </c>
      <c r="E176">
        <v>0</v>
      </c>
      <c r="F176">
        <v>0</v>
      </c>
      <c r="G176">
        <v>0</v>
      </c>
      <c r="H176">
        <v>0.54</v>
      </c>
      <c r="I176" t="s">
        <v>64</v>
      </c>
      <c r="J176">
        <v>0.65</v>
      </c>
      <c r="K176">
        <v>0.57999999999999996</v>
      </c>
      <c r="L176">
        <v>0.54</v>
      </c>
      <c r="M176">
        <v>0.56000000000000005</v>
      </c>
      <c r="N176">
        <v>0.59</v>
      </c>
      <c r="O176">
        <v>0.53</v>
      </c>
      <c r="P176">
        <v>0.57999999999999996</v>
      </c>
      <c r="Q176">
        <v>0.6</v>
      </c>
      <c r="R176">
        <v>0.56999999999999995</v>
      </c>
      <c r="S176">
        <v>0.56000000000000005</v>
      </c>
      <c r="T176" s="2">
        <f>IF('ROS Rankings'!$AD$1,IFERROR(AVERAGE(INDEX($C176:$S176,14):INDEX($C176:$S176,17)),0),IFERROR(AVERAGE(INDEX($C176:$S176,Week+1):INDEX($C176:$S176,13)),0))</f>
        <v>0.57000000000000006</v>
      </c>
      <c r="U176" s="2" t="str">
        <f t="shared" si="26"/>
        <v/>
      </c>
      <c r="V176" s="2" t="str">
        <f t="shared" si="26"/>
        <v/>
      </c>
      <c r="W176" s="2">
        <f t="shared" si="26"/>
        <v>0.57000000000000006</v>
      </c>
      <c r="X176" s="2" t="str">
        <f t="shared" si="26"/>
        <v/>
      </c>
      <c r="Y176" s="2" t="str">
        <f t="shared" si="26"/>
        <v/>
      </c>
      <c r="Z176" s="2" t="str">
        <f t="shared" si="26"/>
        <v/>
      </c>
      <c r="AA176" s="23" t="str">
        <f t="shared" si="19"/>
        <v>WR155</v>
      </c>
      <c r="AB176" s="2">
        <f>$T176-VLOOKUP($B176,Scores!$AG$1:$AM$7,5,FALSE)</f>
        <v>-9.8014285714285698</v>
      </c>
      <c r="AC176" s="2">
        <f>$T176-VLOOKUP($B176,Scores!$AG$1:$AM$7,6,FALSE)</f>
        <v>-7.4614285714285717</v>
      </c>
      <c r="AD176" s="2">
        <f>$T176-VLOOKUP($B176,Scores!$AG$1:$AM$7,7,FALSE)+(ROW(A175)/1000000)</f>
        <v>-5.4826821428571426</v>
      </c>
      <c r="AE176" s="2">
        <f t="array" ref="AE176">IF('ROS Rankings'!$AD$1,IFERROR(AVERAGE(IF(INDEX($C176:$S176,14):INDEX($C176:$S176,17)="NA",0,INDEX($C176:$S176,14):INDEX($C176:$S176,17))-INDEX($AQ$2:$BG$7,MATCH($B176,$AO$2:$AO$7,0),14):INDEX($AQ$2:$BG$7,MATCH($B176,$AO$2:$AO$7,0),17)),0),IFERROR(AVERAGE(IF(INDEX($C176:$S176,Week+1):INDEX($C176:$S176,13)="NA",0,INDEX($C176:$S176,Week+1):INDEX($C176:$S176,13))-INDEX($AQ$2:$BG$7,MATCH($B176,$AO$2:$AO$7,0),Week+1):INDEX($AQ$2:$BG$7,MATCH($B176,$AO$2:$AO$7,0),13)),0))+ROW(A175)/1000000</f>
        <v>-4.8573250000000012</v>
      </c>
      <c r="AF176">
        <f t="shared" si="20"/>
        <v>430</v>
      </c>
      <c r="AG176">
        <f t="shared" si="21"/>
        <v>449</v>
      </c>
      <c r="AH176">
        <f t="shared" si="22"/>
        <v>481</v>
      </c>
      <c r="AI176">
        <f t="shared" si="23"/>
        <v>455</v>
      </c>
      <c r="AJ176" s="22">
        <f>IF(ISERROR(MATCH(A176,Rosters!$B$2:$B$155,0)),AD176,"")</f>
        <v>-5.4826821428571426</v>
      </c>
      <c r="AK176">
        <f t="shared" si="24"/>
        <v>329</v>
      </c>
      <c r="AL176" s="23">
        <f>COUNTIF(INDEX($C176:$S176,Week+1):INDEX($C176:$S176,13),"&gt;0")</f>
        <v>7</v>
      </c>
    </row>
    <row r="177" spans="1:38" x14ac:dyDescent="0.25">
      <c r="A177" t="s">
        <v>320</v>
      </c>
      <c r="B177" t="s">
        <v>47</v>
      </c>
      <c r="C177">
        <v>0</v>
      </c>
      <c r="D177">
        <v>0</v>
      </c>
      <c r="E177">
        <v>0</v>
      </c>
      <c r="F177">
        <v>0</v>
      </c>
      <c r="G177">
        <v>0</v>
      </c>
      <c r="H177">
        <v>0</v>
      </c>
      <c r="I177">
        <v>0</v>
      </c>
      <c r="J177">
        <v>1.59</v>
      </c>
      <c r="K177">
        <v>1.94</v>
      </c>
      <c r="L177">
        <v>2.17</v>
      </c>
      <c r="M177" t="s">
        <v>64</v>
      </c>
      <c r="N177">
        <v>2.25</v>
      </c>
      <c r="O177">
        <v>1.78</v>
      </c>
      <c r="P177">
        <v>2.0299999999999998</v>
      </c>
      <c r="Q177">
        <v>2.2000000000000002</v>
      </c>
      <c r="R177">
        <v>2.11</v>
      </c>
      <c r="S177">
        <v>2.11</v>
      </c>
      <c r="T177" s="2">
        <f>IF('ROS Rankings'!$AD$1,IFERROR(AVERAGE(INDEX($C177:$S177,14):INDEX($C177:$S177,17)),0),IFERROR(AVERAGE(INDEX($C177:$S177,Week+1):INDEX($C177:$S177,13)),0))</f>
        <v>1.3900000000000001</v>
      </c>
      <c r="U177" s="2" t="str">
        <f t="shared" si="26"/>
        <v/>
      </c>
      <c r="V177" s="2">
        <f t="shared" si="26"/>
        <v>1.3900000000000001</v>
      </c>
      <c r="W177" s="2" t="str">
        <f t="shared" si="26"/>
        <v/>
      </c>
      <c r="X177" s="2" t="str">
        <f t="shared" si="26"/>
        <v/>
      </c>
      <c r="Y177" s="2" t="str">
        <f t="shared" si="26"/>
        <v/>
      </c>
      <c r="Z177" s="2" t="str">
        <f t="shared" si="26"/>
        <v/>
      </c>
      <c r="AA177" s="23" t="str">
        <f t="shared" si="19"/>
        <v>RB82</v>
      </c>
      <c r="AB177" s="2">
        <f>$T177-VLOOKUP($B177,Scores!$AG$1:$AM$7,5,FALSE)</f>
        <v>-10.368571428571428</v>
      </c>
      <c r="AC177" s="2">
        <f>$T177-VLOOKUP($B177,Scores!$AG$1:$AM$7,6,FALSE)</f>
        <v>-6.8800000000000008</v>
      </c>
      <c r="AD177" s="2">
        <f>$T177-VLOOKUP($B177,Scores!$AG$1:$AM$7,7,FALSE)+(ROW(A176)/1000000)</f>
        <v>-4.4783954285714298</v>
      </c>
      <c r="AE177" s="2">
        <f t="array" ref="AE177">IF('ROS Rankings'!$AD$1,IFERROR(AVERAGE(IF(INDEX($C177:$S177,14):INDEX($C177:$S177,17)="NA",0,INDEX($C177:$S177,14):INDEX($C177:$S177,17))-INDEX($AQ$2:$BG$7,MATCH($B177,$AO$2:$AO$7,0),14):INDEX($AQ$2:$BG$7,MATCH($B177,$AO$2:$AO$7,0),17)),0),IFERROR(AVERAGE(IF(INDEX($C177:$S177,Week+1):INDEX($C177:$S177,13)="NA",0,INDEX($C177:$S177,Week+1):INDEX($C177:$S177,13))-INDEX($AQ$2:$BG$7,MATCH($B177,$AO$2:$AO$7,0),Week+1):INDEX($AQ$2:$BG$7,MATCH($B177,$AO$2:$AO$7,0),13)),0))+ROW(A176)/1000000</f>
        <v>-4.1435740000000001</v>
      </c>
      <c r="AF177">
        <f t="shared" si="20"/>
        <v>465</v>
      </c>
      <c r="AG177">
        <f t="shared" si="21"/>
        <v>403</v>
      </c>
      <c r="AH177">
        <f t="shared" si="22"/>
        <v>358</v>
      </c>
      <c r="AI177">
        <f t="shared" si="23"/>
        <v>354</v>
      </c>
      <c r="AJ177" s="22">
        <f>IF(ISERROR(MATCH(A177,Rosters!$B$2:$B$155,0)),AD177,"")</f>
        <v>-4.4783954285714298</v>
      </c>
      <c r="AK177">
        <f t="shared" si="24"/>
        <v>206</v>
      </c>
      <c r="AL177" s="23">
        <f>COUNTIF(INDEX($C177:$S177,Week+1):INDEX($C177:$S177,13),"&gt;0")</f>
        <v>5</v>
      </c>
    </row>
    <row r="178" spans="1:38" x14ac:dyDescent="0.25">
      <c r="A178" t="s">
        <v>2765</v>
      </c>
      <c r="B178" t="s">
        <v>47</v>
      </c>
      <c r="C178" t="s">
        <v>64</v>
      </c>
      <c r="D178" t="s">
        <v>64</v>
      </c>
      <c r="E178">
        <v>0.55000000000000004</v>
      </c>
      <c r="F178">
        <v>0.7</v>
      </c>
      <c r="G178">
        <v>0.66</v>
      </c>
      <c r="H178">
        <v>0.5</v>
      </c>
      <c r="I178">
        <v>0.76</v>
      </c>
      <c r="J178">
        <v>0.68</v>
      </c>
      <c r="K178" t="s">
        <v>64</v>
      </c>
      <c r="L178">
        <v>0.68</v>
      </c>
      <c r="M178">
        <v>0.66</v>
      </c>
      <c r="N178">
        <v>0.48</v>
      </c>
      <c r="O178">
        <v>0.59</v>
      </c>
      <c r="P178">
        <v>0.65</v>
      </c>
      <c r="Q178">
        <v>0.66</v>
      </c>
      <c r="R178">
        <v>0.66</v>
      </c>
      <c r="S178">
        <v>0.68</v>
      </c>
      <c r="T178" s="2">
        <f>IF('ROS Rankings'!$AD$1,IFERROR(AVERAGE(INDEX($C178:$S178,14):INDEX($C178:$S178,17)),0),IFERROR(AVERAGE(INDEX($C178:$S178,Week+1):INDEX($C178:$S178,13)),0))</f>
        <v>0.62142857142857155</v>
      </c>
      <c r="U178" s="2" t="str">
        <f t="shared" si="26"/>
        <v/>
      </c>
      <c r="V178" s="2">
        <f t="shared" si="26"/>
        <v>0.62142857142857155</v>
      </c>
      <c r="W178" s="2" t="str">
        <f t="shared" si="26"/>
        <v/>
      </c>
      <c r="X178" s="2" t="str">
        <f t="shared" si="26"/>
        <v/>
      </c>
      <c r="Y178" s="2" t="str">
        <f t="shared" si="26"/>
        <v/>
      </c>
      <c r="Z178" s="2" t="str">
        <f t="shared" si="26"/>
        <v/>
      </c>
      <c r="AA178" s="23" t="str">
        <f t="shared" si="19"/>
        <v>RB101</v>
      </c>
      <c r="AB178" s="2">
        <f>$T178-VLOOKUP($B178,Scores!$AG$1:$AM$7,5,FALSE)</f>
        <v>-11.137142857142857</v>
      </c>
      <c r="AC178" s="2">
        <f>$T178-VLOOKUP($B178,Scores!$AG$1:$AM$7,6,FALSE)</f>
        <v>-7.6485714285714295</v>
      </c>
      <c r="AD178" s="2">
        <f>$T178-VLOOKUP($B178,Scores!$AG$1:$AM$7,7,FALSE)+(ROW(A177)/1000000)</f>
        <v>-5.2469658571428575</v>
      </c>
      <c r="AE178" s="2">
        <f t="array" ref="AE178">IF('ROS Rankings'!$AD$1,IFERROR(AVERAGE(IF(INDEX($C178:$S178,14):INDEX($C178:$S178,17)="NA",0,INDEX($C178:$S178,14):INDEX($C178:$S178,17))-INDEX($AQ$2:$BG$7,MATCH($B178,$AO$2:$AO$7,0),14):INDEX($AQ$2:$BG$7,MATCH($B178,$AO$2:$AO$7,0),17)),0),IFERROR(AVERAGE(IF(INDEX($C178:$S178,Week+1):INDEX($C178:$S178,13)="NA",0,INDEX($C178:$S178,Week+1):INDEX($C178:$S178,13))-INDEX($AQ$2:$BG$7,MATCH($B178,$AO$2:$AO$7,0),Week+1):INDEX($AQ$2:$BG$7,MATCH($B178,$AO$2:$AO$7,0),13)),0))+ROW(A177)/1000000</f>
        <v>-4.8160730000000003</v>
      </c>
      <c r="AF178">
        <f t="shared" si="20"/>
        <v>489</v>
      </c>
      <c r="AG178">
        <f t="shared" si="21"/>
        <v>477</v>
      </c>
      <c r="AH178">
        <f t="shared" si="22"/>
        <v>425</v>
      </c>
      <c r="AI178">
        <f t="shared" si="23"/>
        <v>440</v>
      </c>
      <c r="AJ178" s="22">
        <f>IF(ISERROR(MATCH(A178,Rosters!$B$2:$B$155,0)),AD178,"")</f>
        <v>-5.2469658571428575</v>
      </c>
      <c r="AK178">
        <f t="shared" si="24"/>
        <v>273</v>
      </c>
      <c r="AL178" s="23">
        <f>COUNTIF(INDEX($C178:$S178,Week+1):INDEX($C178:$S178,13),"&gt;0")</f>
        <v>7</v>
      </c>
    </row>
    <row r="179" spans="1:38" x14ac:dyDescent="0.25">
      <c r="A179" t="s">
        <v>1576</v>
      </c>
      <c r="B179" t="s">
        <v>114</v>
      </c>
      <c r="C179">
        <v>0</v>
      </c>
      <c r="D179">
        <v>0</v>
      </c>
      <c r="E179" t="s">
        <v>64</v>
      </c>
      <c r="F179" t="s">
        <v>64</v>
      </c>
      <c r="G179" t="s">
        <v>64</v>
      </c>
      <c r="H179" t="s">
        <v>64</v>
      </c>
      <c r="I179" t="s">
        <v>64</v>
      </c>
      <c r="J179" t="s">
        <v>64</v>
      </c>
      <c r="K179" t="s">
        <v>64</v>
      </c>
      <c r="L179" t="s">
        <v>64</v>
      </c>
      <c r="M179" t="s">
        <v>64</v>
      </c>
      <c r="N179" t="s">
        <v>64</v>
      </c>
      <c r="O179" t="s">
        <v>64</v>
      </c>
      <c r="P179" t="s">
        <v>64</v>
      </c>
      <c r="Q179" t="s">
        <v>64</v>
      </c>
      <c r="R179" t="s">
        <v>64</v>
      </c>
      <c r="S179" t="s">
        <v>64</v>
      </c>
      <c r="T179" s="2">
        <f>IF('ROS Rankings'!$AD$1,IFERROR(AVERAGE(INDEX($C179:$S179,14):INDEX($C179:$S179,17)),0),IFERROR(AVERAGE(INDEX($C179:$S179,Week+1):INDEX($C179:$S179,13)),0))</f>
        <v>0</v>
      </c>
      <c r="U179" s="2" t="str">
        <f t="shared" si="26"/>
        <v/>
      </c>
      <c r="V179" s="2" t="str">
        <f t="shared" si="26"/>
        <v/>
      </c>
      <c r="W179" s="2" t="str">
        <f t="shared" si="26"/>
        <v/>
      </c>
      <c r="X179" s="2">
        <f t="shared" si="26"/>
        <v>0</v>
      </c>
      <c r="Y179" s="2" t="str">
        <f t="shared" si="26"/>
        <v/>
      </c>
      <c r="Z179" s="2" t="str">
        <f t="shared" si="26"/>
        <v/>
      </c>
      <c r="AA179" s="23" t="str">
        <f t="shared" si="19"/>
        <v>TE102</v>
      </c>
      <c r="AB179" s="2">
        <f>$T179-VLOOKUP($B179,Scores!$AG$1:$AM$7,5,FALSE)</f>
        <v>-6.9987499999999994</v>
      </c>
      <c r="AC179" s="2">
        <f>$T179-VLOOKUP($B179,Scores!$AG$1:$AM$7,6,FALSE)</f>
        <v>-5.25</v>
      </c>
      <c r="AD179" s="2">
        <f>$T179-VLOOKUP($B179,Scores!$AG$1:$AM$7,7,FALSE)+(ROW(A178)/1000000)</f>
        <v>-5.1798219999999997</v>
      </c>
      <c r="AE179" s="2">
        <f t="array" ref="AE179">IF('ROS Rankings'!$AD$1,IFERROR(AVERAGE(IF(INDEX($C179:$S179,14):INDEX($C179:$S179,17)="NA",0,INDEX($C179:$S179,14):INDEX($C179:$S179,17))-INDEX($AQ$2:$BG$7,MATCH($B179,$AO$2:$AO$7,0),14):INDEX($AQ$2:$BG$7,MATCH($B179,$AO$2:$AO$7,0),17)),0),IFERROR(AVERAGE(IF(INDEX($C179:$S179,Week+1):INDEX($C179:$S179,13)="NA",0,INDEX($C179:$S179,Week+1):INDEX($C179:$S179,13))-INDEX($AQ$2:$BG$7,MATCH($B179,$AO$2:$AO$7,0),Week+1):INDEX($AQ$2:$BG$7,MATCH($B179,$AO$2:$AO$7,0),13)),0))+ROW(A178)/1000000</f>
        <v>-5.0973220000000001</v>
      </c>
      <c r="AF179">
        <f t="shared" si="20"/>
        <v>346</v>
      </c>
      <c r="AG179">
        <f t="shared" si="21"/>
        <v>362</v>
      </c>
      <c r="AH179">
        <f t="shared" si="22"/>
        <v>419</v>
      </c>
      <c r="AI179">
        <f t="shared" si="23"/>
        <v>500</v>
      </c>
      <c r="AJ179" s="22">
        <f>IF(ISERROR(MATCH(A179,Rosters!$B$2:$B$155,0)),AD179,"")</f>
        <v>-5.1798219999999997</v>
      </c>
      <c r="AK179">
        <f t="shared" si="24"/>
        <v>267</v>
      </c>
      <c r="AL179" s="23">
        <f>COUNTIF(INDEX($C179:$S179,Week+1):INDEX($C179:$S179,13),"&gt;0")</f>
        <v>0</v>
      </c>
    </row>
    <row r="180" spans="1:38" x14ac:dyDescent="0.25">
      <c r="A180" t="s">
        <v>149</v>
      </c>
      <c r="B180" t="s">
        <v>87</v>
      </c>
      <c r="C180">
        <v>8.17</v>
      </c>
      <c r="D180">
        <v>8.89</v>
      </c>
      <c r="E180">
        <v>8.67</v>
      </c>
      <c r="F180">
        <v>9.93</v>
      </c>
      <c r="G180">
        <v>8.33</v>
      </c>
      <c r="H180">
        <v>8.02</v>
      </c>
      <c r="I180">
        <v>7.77</v>
      </c>
      <c r="J180">
        <v>8.83</v>
      </c>
      <c r="K180">
        <v>9.89</v>
      </c>
      <c r="L180" t="s">
        <v>64</v>
      </c>
      <c r="M180">
        <v>7.3</v>
      </c>
      <c r="N180">
        <v>7.64</v>
      </c>
      <c r="O180">
        <v>7.28</v>
      </c>
      <c r="P180">
        <v>8.49</v>
      </c>
      <c r="Q180">
        <v>7.35</v>
      </c>
      <c r="R180">
        <v>9.56</v>
      </c>
      <c r="S180">
        <v>6.77</v>
      </c>
      <c r="T180" s="2">
        <f>IF('ROS Rankings'!$AD$1,IFERROR(AVERAGE(INDEX($C180:$S180,14):INDEX($C180:$S180,17)),0),IFERROR(AVERAGE(INDEX($C180:$S180,Week+1):INDEX($C180:$S180,13)),0))</f>
        <v>8.1042857142857141</v>
      </c>
      <c r="U180" s="2" t="str">
        <f t="shared" si="26"/>
        <v/>
      </c>
      <c r="V180" s="2" t="str">
        <f t="shared" si="26"/>
        <v/>
      </c>
      <c r="W180" s="2">
        <f t="shared" si="26"/>
        <v>8.1042857142857141</v>
      </c>
      <c r="X180" s="2" t="str">
        <f t="shared" si="26"/>
        <v/>
      </c>
      <c r="Y180" s="2" t="str">
        <f t="shared" si="26"/>
        <v/>
      </c>
      <c r="Z180" s="2" t="str">
        <f t="shared" si="26"/>
        <v/>
      </c>
      <c r="AA180" s="23" t="str">
        <f t="shared" si="19"/>
        <v>WR34</v>
      </c>
      <c r="AB180" s="2">
        <f>$T180-VLOOKUP($B180,Scores!$AG$1:$AM$7,5,FALSE)</f>
        <v>-2.267142857142856</v>
      </c>
      <c r="AC180" s="2">
        <f>$T180-VLOOKUP($B180,Scores!$AG$1:$AM$7,6,FALSE)</f>
        <v>7.2857142857142065E-2</v>
      </c>
      <c r="AD180" s="2">
        <f>$T180-VLOOKUP($B180,Scores!$AG$1:$AM$7,7,FALSE)+(ROW(A179)/1000000)</f>
        <v>2.0516075714285718</v>
      </c>
      <c r="AE180" s="2">
        <f t="array" ref="AE180">IF('ROS Rankings'!$AD$1,IFERROR(AVERAGE(IF(INDEX($C180:$S180,14):INDEX($C180:$S180,17)="NA",0,INDEX($C180:$S180,14):INDEX($C180:$S180,17))-INDEX($AQ$2:$BG$7,MATCH($B180,$AO$2:$AO$7,0),14):INDEX($AQ$2:$BG$7,MATCH($B180,$AO$2:$AO$7,0),17)),0),IFERROR(AVERAGE(IF(INDEX($C180:$S180,Week+1):INDEX($C180:$S180,13)="NA",0,INDEX($C180:$S180,Week+1):INDEX($C180:$S180,13))-INDEX($AQ$2:$BG$7,MATCH($B180,$AO$2:$AO$7,0),Week+1):INDEX($AQ$2:$BG$7,MATCH($B180,$AO$2:$AO$7,0),13)),0))+ROW(A179)/1000000</f>
        <v>1.7351789999999998</v>
      </c>
      <c r="AF180">
        <f t="shared" si="20"/>
        <v>143</v>
      </c>
      <c r="AG180">
        <f t="shared" si="21"/>
        <v>89</v>
      </c>
      <c r="AH180">
        <f t="shared" si="22"/>
        <v>67</v>
      </c>
      <c r="AI180">
        <f t="shared" si="23"/>
        <v>68</v>
      </c>
      <c r="AJ180" s="22" t="str">
        <f>IF(ISERROR(MATCH(A180,Rosters!$B$2:$B$155,0)),AD180,"")</f>
        <v/>
      </c>
      <c r="AK180" t="str">
        <f t="shared" si="24"/>
        <v/>
      </c>
      <c r="AL180" s="23">
        <f>COUNTIF(INDEX($C180:$S180,Week+1):INDEX($C180:$S180,13),"&gt;0")</f>
        <v>7</v>
      </c>
    </row>
    <row r="181" spans="1:38" x14ac:dyDescent="0.25">
      <c r="A181" t="s">
        <v>178</v>
      </c>
      <c r="B181" t="s">
        <v>114</v>
      </c>
      <c r="C181">
        <v>3.51</v>
      </c>
      <c r="D181">
        <v>4.24</v>
      </c>
      <c r="E181">
        <v>6.21</v>
      </c>
      <c r="F181">
        <v>5.46</v>
      </c>
      <c r="G181">
        <v>6.17</v>
      </c>
      <c r="H181">
        <v>5.62</v>
      </c>
      <c r="I181">
        <v>5.37</v>
      </c>
      <c r="J181">
        <v>5.9</v>
      </c>
      <c r="K181" t="s">
        <v>64</v>
      </c>
      <c r="L181">
        <v>4.67</v>
      </c>
      <c r="M181">
        <v>5.64</v>
      </c>
      <c r="N181">
        <v>5.44</v>
      </c>
      <c r="O181">
        <v>4.1100000000000003</v>
      </c>
      <c r="P181">
        <v>5.64</v>
      </c>
      <c r="Q181">
        <v>5.75</v>
      </c>
      <c r="R181">
        <v>5.19</v>
      </c>
      <c r="S181">
        <v>5.43</v>
      </c>
      <c r="T181" s="2">
        <f>IF('ROS Rankings'!$AD$1,IFERROR(AVERAGE(INDEX($C181:$S181,14):INDEX($C181:$S181,17)),0),IFERROR(AVERAGE(INDEX($C181:$S181,Week+1):INDEX($C181:$S181,13)),0))</f>
        <v>5.25</v>
      </c>
      <c r="U181" s="2" t="str">
        <f t="shared" si="26"/>
        <v/>
      </c>
      <c r="V181" s="2" t="str">
        <f t="shared" si="26"/>
        <v/>
      </c>
      <c r="W181" s="2" t="str">
        <f t="shared" si="26"/>
        <v/>
      </c>
      <c r="X181" s="2">
        <f t="shared" si="26"/>
        <v>5.25</v>
      </c>
      <c r="Y181" s="2" t="str">
        <f t="shared" si="26"/>
        <v/>
      </c>
      <c r="Z181" s="2" t="str">
        <f t="shared" si="26"/>
        <v/>
      </c>
      <c r="AA181" s="23" t="str">
        <f t="shared" si="19"/>
        <v>TE10</v>
      </c>
      <c r="AB181" s="2">
        <f>$T181-VLOOKUP($B181,Scores!$AG$1:$AM$7,5,FALSE)</f>
        <v>-1.7487499999999994</v>
      </c>
      <c r="AC181" s="2">
        <f>$T181-VLOOKUP($B181,Scores!$AG$1:$AM$7,6,FALSE)</f>
        <v>0</v>
      </c>
      <c r="AD181" s="2">
        <f>$T181-VLOOKUP($B181,Scores!$AG$1:$AM$7,7,FALSE)+(ROW(A180)/1000000)</f>
        <v>7.0180000000000284E-2</v>
      </c>
      <c r="AE181" s="2">
        <f t="array" ref="AE181">IF('ROS Rankings'!$AD$1,IFERROR(AVERAGE(IF(INDEX($C181:$S181,14):INDEX($C181:$S181,17)="NA",0,INDEX($C181:$S181,14):INDEX($C181:$S181,17))-INDEX($AQ$2:$BG$7,MATCH($B181,$AO$2:$AO$7,0),14):INDEX($AQ$2:$BG$7,MATCH($B181,$AO$2:$AO$7,0),17)),0),IFERROR(AVERAGE(IF(INDEX($C181:$S181,Week+1):INDEX($C181:$S181,13)="NA",0,INDEX($C181:$S181,Week+1):INDEX($C181:$S181,13))-INDEX($AQ$2:$BG$7,MATCH($B181,$AO$2:$AO$7,0),Week+1):INDEX($AQ$2:$BG$7,MATCH($B181,$AO$2:$AO$7,0),13)),0))+ROW(A180)/1000000</f>
        <v>-0.50356999999999985</v>
      </c>
      <c r="AF181">
        <f t="shared" si="20"/>
        <v>120</v>
      </c>
      <c r="AG181">
        <f t="shared" si="21"/>
        <v>95</v>
      </c>
      <c r="AH181">
        <f t="shared" si="22"/>
        <v>137</v>
      </c>
      <c r="AI181">
        <f t="shared" si="23"/>
        <v>142</v>
      </c>
      <c r="AJ181" s="22" t="str">
        <f>IF(ISERROR(MATCH(A181,Rosters!$B$2:$B$155,0)),AD181,"")</f>
        <v/>
      </c>
      <c r="AK181" t="str">
        <f t="shared" si="24"/>
        <v/>
      </c>
      <c r="AL181" s="23">
        <f>COUNTIF(INDEX($C181:$S181,Week+1):INDEX($C181:$S181,13),"&gt;0")</f>
        <v>7</v>
      </c>
    </row>
    <row r="182" spans="1:38" x14ac:dyDescent="0.25">
      <c r="A182" t="s">
        <v>1517</v>
      </c>
      <c r="B182" t="s">
        <v>114</v>
      </c>
      <c r="C182">
        <v>0.97</v>
      </c>
      <c r="D182">
        <v>1</v>
      </c>
      <c r="E182">
        <v>2.17</v>
      </c>
      <c r="F182">
        <v>1.91</v>
      </c>
      <c r="G182">
        <v>1.81</v>
      </c>
      <c r="H182">
        <v>1.87</v>
      </c>
      <c r="I182">
        <v>1.91</v>
      </c>
      <c r="J182" t="s">
        <v>64</v>
      </c>
      <c r="K182">
        <v>1.75</v>
      </c>
      <c r="L182">
        <v>1.43</v>
      </c>
      <c r="M182">
        <v>1.75</v>
      </c>
      <c r="N182">
        <v>1.55</v>
      </c>
      <c r="O182">
        <v>1.38</v>
      </c>
      <c r="P182">
        <v>1.62</v>
      </c>
      <c r="Q182">
        <v>1.66</v>
      </c>
      <c r="R182">
        <v>1.49</v>
      </c>
      <c r="S182">
        <v>1.76</v>
      </c>
      <c r="T182" s="2">
        <f>IF('ROS Rankings'!$AD$1,IFERROR(AVERAGE(INDEX($C182:$S182,14):INDEX($C182:$S182,17)),0),IFERROR(AVERAGE(INDEX($C182:$S182,Week+1):INDEX($C182:$S182,13)),0))</f>
        <v>1.662857142857143</v>
      </c>
      <c r="U182" s="2" t="str">
        <f t="shared" si="26"/>
        <v/>
      </c>
      <c r="V182" s="2" t="str">
        <f t="shared" si="26"/>
        <v/>
      </c>
      <c r="W182" s="2" t="str">
        <f t="shared" si="26"/>
        <v/>
      </c>
      <c r="X182" s="2">
        <f t="shared" si="26"/>
        <v>1.662857142857143</v>
      </c>
      <c r="Y182" s="2" t="str">
        <f t="shared" si="26"/>
        <v/>
      </c>
      <c r="Z182" s="2" t="str">
        <f t="shared" si="26"/>
        <v/>
      </c>
      <c r="AA182" s="23" t="str">
        <f t="shared" si="19"/>
        <v>TE58</v>
      </c>
      <c r="AB182" s="2">
        <f>$T182-VLOOKUP($B182,Scores!$AG$1:$AM$7,5,FALSE)</f>
        <v>-5.3358928571428565</v>
      </c>
      <c r="AC182" s="2">
        <f>$T182-VLOOKUP($B182,Scores!$AG$1:$AM$7,6,FALSE)</f>
        <v>-3.5871428571428572</v>
      </c>
      <c r="AD182" s="2">
        <f>$T182-VLOOKUP($B182,Scores!$AG$1:$AM$7,7,FALSE)+(ROW(A181)/1000000)</f>
        <v>-3.5169618571428569</v>
      </c>
      <c r="AE182" s="2">
        <f t="array" ref="AE182">IF('ROS Rankings'!$AD$1,IFERROR(AVERAGE(IF(INDEX($C182:$S182,14):INDEX($C182:$S182,17)="NA",0,INDEX($C182:$S182,14):INDEX($C182:$S182,17))-INDEX($AQ$2:$BG$7,MATCH($B182,$AO$2:$AO$7,0),14):INDEX($AQ$2:$BG$7,MATCH($B182,$AO$2:$AO$7,0),17)),0),IFERROR(AVERAGE(IF(INDEX($C182:$S182,Week+1):INDEX($C182:$S182,13)="NA",0,INDEX($C182:$S182,Week+1):INDEX($C182:$S182,13))-INDEX($AQ$2:$BG$7,MATCH($B182,$AO$2:$AO$7,0),Week+1):INDEX($AQ$2:$BG$7,MATCH($B182,$AO$2:$AO$7,0),13)),0))+ROW(A181)/1000000</f>
        <v>-3.6423189999999996</v>
      </c>
      <c r="AF182">
        <f t="shared" si="20"/>
        <v>249</v>
      </c>
      <c r="AG182">
        <f t="shared" si="21"/>
        <v>276</v>
      </c>
      <c r="AH182">
        <f t="shared" si="22"/>
        <v>326</v>
      </c>
      <c r="AI182">
        <f t="shared" si="23"/>
        <v>326</v>
      </c>
      <c r="AJ182" s="22">
        <f>IF(ISERROR(MATCH(A182,Rosters!$B$2:$B$155,0)),AD182,"")</f>
        <v>-3.5169618571428569</v>
      </c>
      <c r="AK182">
        <f t="shared" si="24"/>
        <v>175</v>
      </c>
      <c r="AL182" s="23">
        <f>COUNTIF(INDEX($C182:$S182,Week+1):INDEX($C182:$S182,13),"&gt;0")</f>
        <v>7</v>
      </c>
    </row>
    <row r="183" spans="1:38" x14ac:dyDescent="0.25">
      <c r="A183" t="s">
        <v>1586</v>
      </c>
      <c r="B183" t="s">
        <v>114</v>
      </c>
      <c r="C183">
        <v>0.5</v>
      </c>
      <c r="D183">
        <v>1.1200000000000001</v>
      </c>
      <c r="E183">
        <v>1.81</v>
      </c>
      <c r="F183">
        <v>1.38</v>
      </c>
      <c r="G183">
        <v>2.3199999999999998</v>
      </c>
      <c r="H183">
        <v>2.86</v>
      </c>
      <c r="I183">
        <v>2.21</v>
      </c>
      <c r="J183">
        <v>2.08</v>
      </c>
      <c r="K183">
        <v>2.64</v>
      </c>
      <c r="L183">
        <v>2.46</v>
      </c>
      <c r="M183" t="s">
        <v>64</v>
      </c>
      <c r="N183">
        <v>2.11</v>
      </c>
      <c r="O183">
        <v>2.88</v>
      </c>
      <c r="P183">
        <v>2.38</v>
      </c>
      <c r="Q183">
        <v>2.2400000000000002</v>
      </c>
      <c r="R183">
        <v>2.42</v>
      </c>
      <c r="S183">
        <v>2.0299999999999998</v>
      </c>
      <c r="T183" s="2">
        <f>IF('ROS Rankings'!$AD$1,IFERROR(AVERAGE(INDEX($C183:$S183,14):INDEX($C183:$S183,17)),0),IFERROR(AVERAGE(INDEX($C183:$S183,Week+1):INDEX($C183:$S183,13)),0))</f>
        <v>2.4628571428571426</v>
      </c>
      <c r="U183" s="2" t="str">
        <f t="shared" si="26"/>
        <v/>
      </c>
      <c r="V183" s="2" t="str">
        <f t="shared" si="26"/>
        <v/>
      </c>
      <c r="W183" s="2" t="str">
        <f t="shared" si="26"/>
        <v/>
      </c>
      <c r="X183" s="2">
        <f t="shared" si="26"/>
        <v>2.4628571428571426</v>
      </c>
      <c r="Y183" s="2" t="str">
        <f t="shared" si="26"/>
        <v/>
      </c>
      <c r="Z183" s="2" t="str">
        <f t="shared" si="26"/>
        <v/>
      </c>
      <c r="AA183" s="23" t="str">
        <f t="shared" si="19"/>
        <v>TE40</v>
      </c>
      <c r="AB183" s="2">
        <f>$T183-VLOOKUP($B183,Scores!$AG$1:$AM$7,5,FALSE)</f>
        <v>-4.5358928571428567</v>
      </c>
      <c r="AC183" s="2">
        <f>$T183-VLOOKUP($B183,Scores!$AG$1:$AM$7,6,FALSE)</f>
        <v>-2.7871428571428574</v>
      </c>
      <c r="AD183" s="2">
        <f>$T183-VLOOKUP($B183,Scores!$AG$1:$AM$7,7,FALSE)+(ROW(A182)/1000000)</f>
        <v>-2.716960857142857</v>
      </c>
      <c r="AE183" s="2">
        <f t="array" ref="AE183">IF('ROS Rankings'!$AD$1,IFERROR(AVERAGE(IF(INDEX($C183:$S183,14):INDEX($C183:$S183,17)="NA",0,INDEX($C183:$S183,14):INDEX($C183:$S183,17))-INDEX($AQ$2:$BG$7,MATCH($B183,$AO$2:$AO$7,0),14):INDEX($AQ$2:$BG$7,MATCH($B183,$AO$2:$AO$7,0),17)),0),IFERROR(AVERAGE(IF(INDEX($C183:$S183,Week+1):INDEX($C183:$S183,13)="NA",0,INDEX($C183:$S183,Week+1):INDEX($C183:$S183,13))-INDEX($AQ$2:$BG$7,MATCH($B183,$AO$2:$AO$7,0),Week+1):INDEX($AQ$2:$BG$7,MATCH($B183,$AO$2:$AO$7,0),13)),0))+ROW(A182)/1000000</f>
        <v>-2.9423179999999998</v>
      </c>
      <c r="AF183">
        <f t="shared" si="20"/>
        <v>216</v>
      </c>
      <c r="AG183">
        <f t="shared" si="21"/>
        <v>230</v>
      </c>
      <c r="AH183">
        <f t="shared" si="22"/>
        <v>280</v>
      </c>
      <c r="AI183">
        <f t="shared" si="23"/>
        <v>291</v>
      </c>
      <c r="AJ183" s="22">
        <f>IF(ISERROR(MATCH(A183,Rosters!$B$2:$B$155,0)),AD183,"")</f>
        <v>-2.716960857142857</v>
      </c>
      <c r="AK183">
        <f t="shared" si="24"/>
        <v>135</v>
      </c>
      <c r="AL183" s="23">
        <f>COUNTIF(INDEX($C183:$S183,Week+1):INDEX($C183:$S183,13),"&gt;0")</f>
        <v>7</v>
      </c>
    </row>
    <row r="184" spans="1:38" x14ac:dyDescent="0.25">
      <c r="A184" t="s">
        <v>235</v>
      </c>
      <c r="B184" t="s">
        <v>114</v>
      </c>
      <c r="C184">
        <v>6.06</v>
      </c>
      <c r="D184">
        <v>6.56</v>
      </c>
      <c r="E184">
        <v>7.25</v>
      </c>
      <c r="F184">
        <v>0</v>
      </c>
      <c r="G184">
        <v>0</v>
      </c>
      <c r="H184">
        <v>0</v>
      </c>
      <c r="I184">
        <v>2.92</v>
      </c>
      <c r="J184">
        <v>6.47</v>
      </c>
      <c r="K184" t="s">
        <v>64</v>
      </c>
      <c r="L184">
        <v>6.46</v>
      </c>
      <c r="M184">
        <v>7.66</v>
      </c>
      <c r="N184">
        <v>5.39</v>
      </c>
      <c r="O184">
        <v>5.41</v>
      </c>
      <c r="P184">
        <v>6.24</v>
      </c>
      <c r="Q184">
        <v>5.81</v>
      </c>
      <c r="R184">
        <v>7.38</v>
      </c>
      <c r="S184">
        <v>7.52</v>
      </c>
      <c r="T184" s="2">
        <f>IF('ROS Rankings'!$AD$1,IFERROR(AVERAGE(INDEX($C184:$S184,14):INDEX($C184:$S184,17)),0),IFERROR(AVERAGE(INDEX($C184:$S184,Week+1):INDEX($C184:$S184,13)),0))</f>
        <v>4.9014285714285721</v>
      </c>
      <c r="U184" s="2" t="str">
        <f t="shared" si="26"/>
        <v/>
      </c>
      <c r="V184" s="2" t="str">
        <f t="shared" si="26"/>
        <v/>
      </c>
      <c r="W184" s="2" t="str">
        <f t="shared" si="26"/>
        <v/>
      </c>
      <c r="X184" s="2">
        <f t="shared" si="26"/>
        <v>4.9014285714285721</v>
      </c>
      <c r="Y184" s="2" t="str">
        <f t="shared" si="26"/>
        <v/>
      </c>
      <c r="Z184" s="2" t="str">
        <f t="shared" si="26"/>
        <v/>
      </c>
      <c r="AA184" s="23" t="str">
        <f t="shared" si="19"/>
        <v>TE15</v>
      </c>
      <c r="AB184" s="2">
        <f>$T184-VLOOKUP($B184,Scores!$AG$1:$AM$7,5,FALSE)</f>
        <v>-2.0973214285714272</v>
      </c>
      <c r="AC184" s="2">
        <f>$T184-VLOOKUP($B184,Scores!$AG$1:$AM$7,6,FALSE)</f>
        <v>-0.34857142857142787</v>
      </c>
      <c r="AD184" s="2">
        <f>$T184-VLOOKUP($B184,Scores!$AG$1:$AM$7,7,FALSE)+(ROW(A183)/1000000)</f>
        <v>-0.27838842857142759</v>
      </c>
      <c r="AE184" s="2">
        <f t="array" ref="AE184">IF('ROS Rankings'!$AD$1,IFERROR(AVERAGE(IF(INDEX($C184:$S184,14):INDEX($C184:$S184,17)="NA",0,INDEX($C184:$S184,14):INDEX($C184:$S184,17))-INDEX($AQ$2:$BG$7,MATCH($B184,$AO$2:$AO$7,0),14):INDEX($AQ$2:$BG$7,MATCH($B184,$AO$2:$AO$7,0),17)),0),IFERROR(AVERAGE(IF(INDEX($C184:$S184,Week+1):INDEX($C184:$S184,13)="NA",0,INDEX($C184:$S184,Week+1):INDEX($C184:$S184,13))-INDEX($AQ$2:$BG$7,MATCH($B184,$AO$2:$AO$7,0),Week+1):INDEX($AQ$2:$BG$7,MATCH($B184,$AO$2:$AO$7,0),13)),0))+ROW(A183)/1000000</f>
        <v>-0.80856699999999992</v>
      </c>
      <c r="AF184">
        <f t="shared" si="20"/>
        <v>140</v>
      </c>
      <c r="AG184">
        <f t="shared" si="21"/>
        <v>124</v>
      </c>
      <c r="AH184">
        <f t="shared" si="22"/>
        <v>166</v>
      </c>
      <c r="AI184">
        <f t="shared" si="23"/>
        <v>161</v>
      </c>
      <c r="AJ184" s="22" t="str">
        <f>IF(ISERROR(MATCH(A184,Rosters!$B$2:$B$155,0)),AD184,"")</f>
        <v/>
      </c>
      <c r="AK184" t="str">
        <f t="shared" si="24"/>
        <v/>
      </c>
      <c r="AL184" s="23">
        <f>COUNTIF(INDEX($C184:$S184,Week+1):INDEX($C184:$S184,13),"&gt;0")</f>
        <v>6</v>
      </c>
    </row>
    <row r="185" spans="1:38" x14ac:dyDescent="0.25">
      <c r="A185" t="s">
        <v>57</v>
      </c>
      <c r="B185" t="s">
        <v>47</v>
      </c>
      <c r="C185">
        <v>14.51</v>
      </c>
      <c r="D185">
        <v>16.97</v>
      </c>
      <c r="E185">
        <v>17.57</v>
      </c>
      <c r="F185">
        <v>17.93</v>
      </c>
      <c r="G185">
        <v>17.41</v>
      </c>
      <c r="H185">
        <v>16.989999999999998</v>
      </c>
      <c r="I185">
        <v>20.04</v>
      </c>
      <c r="J185" t="s">
        <v>64</v>
      </c>
      <c r="K185">
        <v>19.670000000000002</v>
      </c>
      <c r="L185">
        <v>16.21</v>
      </c>
      <c r="M185">
        <v>19.41</v>
      </c>
      <c r="N185">
        <v>22.12</v>
      </c>
      <c r="O185">
        <v>21.55</v>
      </c>
      <c r="P185">
        <v>17.71</v>
      </c>
      <c r="Q185">
        <v>18.98</v>
      </c>
      <c r="R185">
        <v>20.38</v>
      </c>
      <c r="S185">
        <v>19.09</v>
      </c>
      <c r="T185" s="2">
        <f>IF('ROS Rankings'!$AD$1,IFERROR(AVERAGE(INDEX($C185:$S185,14):INDEX($C185:$S185,17)),0),IFERROR(AVERAGE(INDEX($C185:$S185,Week+1):INDEX($C185:$S185,13)),0))</f>
        <v>19.427142857142858</v>
      </c>
      <c r="U185" s="2" t="str">
        <f t="shared" si="26"/>
        <v/>
      </c>
      <c r="V185" s="2">
        <f t="shared" si="26"/>
        <v>19.427142857142858</v>
      </c>
      <c r="W185" s="2" t="str">
        <f t="shared" si="26"/>
        <v/>
      </c>
      <c r="X185" s="2" t="str">
        <f t="shared" si="26"/>
        <v/>
      </c>
      <c r="Y185" s="2" t="str">
        <f t="shared" si="26"/>
        <v/>
      </c>
      <c r="Z185" s="2" t="str">
        <f t="shared" si="26"/>
        <v/>
      </c>
      <c r="AA185" s="23" t="str">
        <f t="shared" si="19"/>
        <v>RB2</v>
      </c>
      <c r="AB185" s="2">
        <f>$T185-VLOOKUP($B185,Scores!$AG$1:$AM$7,5,FALSE)</f>
        <v>7.668571428571429</v>
      </c>
      <c r="AC185" s="2">
        <f>$T185-VLOOKUP($B185,Scores!$AG$1:$AM$7,6,FALSE)</f>
        <v>11.157142857142857</v>
      </c>
      <c r="AD185" s="2">
        <f>$T185-VLOOKUP($B185,Scores!$AG$1:$AM$7,7,FALSE)+(ROW(A184)/1000000)</f>
        <v>13.55875542857143</v>
      </c>
      <c r="AE185" s="2">
        <f t="array" ref="AE185">IF('ROS Rankings'!$AD$1,IFERROR(AVERAGE(IF(INDEX($C185:$S185,14):INDEX($C185:$S185,17)="NA",0,INDEX($C185:$S185,14):INDEX($C185:$S185,17))-INDEX($AQ$2:$BG$7,MATCH($B185,$AO$2:$AO$7,0),14):INDEX($AQ$2:$BG$7,MATCH($B185,$AO$2:$AO$7,0),17)),0),IFERROR(AVERAGE(IF(INDEX($C185:$S185,Week+1):INDEX($C185:$S185,13)="NA",0,INDEX($C185:$S185,Week+1):INDEX($C185:$S185,13))-INDEX($AQ$2:$BG$7,MATCH($B185,$AO$2:$AO$7,0),Week+1):INDEX($AQ$2:$BG$7,MATCH($B185,$AO$2:$AO$7,0),13)),0))+ROW(A184)/1000000</f>
        <v>11.638934000000003</v>
      </c>
      <c r="AF185">
        <f t="shared" si="20"/>
        <v>2</v>
      </c>
      <c r="AG185">
        <f t="shared" si="21"/>
        <v>2</v>
      </c>
      <c r="AH185">
        <f t="shared" si="22"/>
        <v>2</v>
      </c>
      <c r="AI185">
        <f t="shared" si="23"/>
        <v>2</v>
      </c>
      <c r="AJ185" s="22" t="str">
        <f>IF(ISERROR(MATCH(A185,Rosters!$B$2:$B$155,0)),AD185,"")</f>
        <v/>
      </c>
      <c r="AK185" t="str">
        <f t="shared" si="24"/>
        <v/>
      </c>
      <c r="AL185" s="23">
        <f>COUNTIF(INDEX($C185:$S185,Week+1):INDEX($C185:$S185,13),"&gt;0")</f>
        <v>7</v>
      </c>
    </row>
    <row r="186" spans="1:38" x14ac:dyDescent="0.25">
      <c r="A186" t="s">
        <v>128</v>
      </c>
      <c r="B186" t="s">
        <v>47</v>
      </c>
      <c r="C186">
        <v>5.1100000000000003</v>
      </c>
      <c r="D186">
        <v>5.6</v>
      </c>
      <c r="E186">
        <v>7.18</v>
      </c>
      <c r="F186">
        <v>7.04</v>
      </c>
      <c r="G186">
        <v>6.27</v>
      </c>
      <c r="H186">
        <v>6.11</v>
      </c>
      <c r="I186">
        <v>6.62</v>
      </c>
      <c r="J186">
        <v>6.45</v>
      </c>
      <c r="K186">
        <v>5.97</v>
      </c>
      <c r="L186">
        <v>6.52</v>
      </c>
      <c r="M186" t="s">
        <v>64</v>
      </c>
      <c r="N186">
        <v>6.5</v>
      </c>
      <c r="O186">
        <v>6.4</v>
      </c>
      <c r="P186">
        <v>7.27</v>
      </c>
      <c r="Q186">
        <v>5.68</v>
      </c>
      <c r="R186">
        <v>5.29</v>
      </c>
      <c r="S186">
        <v>6.07</v>
      </c>
      <c r="T186" s="2">
        <f>IF('ROS Rankings'!$AD$1,IFERROR(AVERAGE(INDEX($C186:$S186,14):INDEX($C186:$S186,17)),0),IFERROR(AVERAGE(INDEX($C186:$S186,Week+1):INDEX($C186:$S186,13)),0))</f>
        <v>6.3671428571428574</v>
      </c>
      <c r="U186" s="2" t="str">
        <f t="shared" si="26"/>
        <v/>
      </c>
      <c r="V186" s="2">
        <f t="shared" si="26"/>
        <v>6.3671428571428574</v>
      </c>
      <c r="W186" s="2" t="str">
        <f t="shared" si="26"/>
        <v/>
      </c>
      <c r="X186" s="2" t="str">
        <f t="shared" si="26"/>
        <v/>
      </c>
      <c r="Y186" s="2" t="str">
        <f t="shared" si="26"/>
        <v/>
      </c>
      <c r="Z186" s="2" t="str">
        <f t="shared" si="26"/>
        <v/>
      </c>
      <c r="AA186" s="23" t="str">
        <f t="shared" si="19"/>
        <v>RB45</v>
      </c>
      <c r="AB186" s="2">
        <f>$T186-VLOOKUP($B186,Scores!$AG$1:$AM$7,5,FALSE)</f>
        <v>-5.3914285714285715</v>
      </c>
      <c r="AC186" s="2">
        <f>$T186-VLOOKUP($B186,Scores!$AG$1:$AM$7,6,FALSE)</f>
        <v>-1.9028571428571439</v>
      </c>
      <c r="AD186" s="2">
        <f>$T186-VLOOKUP($B186,Scores!$AG$1:$AM$7,7,FALSE)+(ROW(A185)/1000000)</f>
        <v>0.49875642857142821</v>
      </c>
      <c r="AE186" s="2">
        <f t="array" ref="AE186">IF('ROS Rankings'!$AD$1,IFERROR(AVERAGE(IF(INDEX($C186:$S186,14):INDEX($C186:$S186,17)="NA",0,INDEX($C186:$S186,14):INDEX($C186:$S186,17))-INDEX($AQ$2:$BG$7,MATCH($B186,$AO$2:$AO$7,0),14):INDEX($AQ$2:$BG$7,MATCH($B186,$AO$2:$AO$7,0),17)),0),IFERROR(AVERAGE(IF(INDEX($C186:$S186,Week+1):INDEX($C186:$S186,13)="NA",0,INDEX($C186:$S186,Week+1):INDEX($C186:$S186,13))-INDEX($AQ$2:$BG$7,MATCH($B186,$AO$2:$AO$7,0),Week+1):INDEX($AQ$2:$BG$7,MATCH($B186,$AO$2:$AO$7,0),13)),0))+ROW(A185)/1000000</f>
        <v>0.21143500000000015</v>
      </c>
      <c r="AF186">
        <f t="shared" si="20"/>
        <v>257</v>
      </c>
      <c r="AG186">
        <f t="shared" si="21"/>
        <v>196</v>
      </c>
      <c r="AH186">
        <f t="shared" si="22"/>
        <v>119</v>
      </c>
      <c r="AI186">
        <f t="shared" si="23"/>
        <v>112</v>
      </c>
      <c r="AJ186" s="22">
        <f>IF(ISERROR(MATCH(A186,Rosters!$B$2:$B$155,0)),AD186,"")</f>
        <v>0.49875642857142821</v>
      </c>
      <c r="AK186">
        <f t="shared" si="24"/>
        <v>8</v>
      </c>
      <c r="AL186" s="23">
        <f>COUNTIF(INDEX($C186:$S186,Week+1):INDEX($C186:$S186,13),"&gt;0")</f>
        <v>7</v>
      </c>
    </row>
    <row r="187" spans="1:38" x14ac:dyDescent="0.25">
      <c r="A187" t="s">
        <v>1624</v>
      </c>
      <c r="B187" t="s">
        <v>114</v>
      </c>
      <c r="C187">
        <v>0.46</v>
      </c>
      <c r="D187">
        <v>0.4</v>
      </c>
      <c r="E187">
        <v>1.81</v>
      </c>
      <c r="F187">
        <v>0.45</v>
      </c>
      <c r="G187">
        <v>0.45</v>
      </c>
      <c r="H187">
        <v>0.39</v>
      </c>
      <c r="I187">
        <v>0.39</v>
      </c>
      <c r="J187">
        <v>0.48</v>
      </c>
      <c r="K187" t="s">
        <v>64</v>
      </c>
      <c r="L187">
        <v>0.53</v>
      </c>
      <c r="M187">
        <v>0.59</v>
      </c>
      <c r="N187">
        <v>0.47</v>
      </c>
      <c r="O187">
        <v>0.46</v>
      </c>
      <c r="P187">
        <v>0.56999999999999995</v>
      </c>
      <c r="Q187">
        <v>0.54</v>
      </c>
      <c r="R187">
        <v>0.59</v>
      </c>
      <c r="S187">
        <v>0.43</v>
      </c>
      <c r="T187" s="2">
        <f>IF('ROS Rankings'!$AD$1,IFERROR(AVERAGE(INDEX($C187:$S187,14):INDEX($C187:$S187,17)),0),IFERROR(AVERAGE(INDEX($C187:$S187,Week+1):INDEX($C187:$S187,13)),0))</f>
        <v>0.47285714285714281</v>
      </c>
      <c r="U187" s="2" t="str">
        <f t="shared" si="26"/>
        <v/>
      </c>
      <c r="V187" s="2" t="str">
        <f t="shared" si="26"/>
        <v/>
      </c>
      <c r="W187" s="2" t="str">
        <f t="shared" si="26"/>
        <v/>
      </c>
      <c r="X187" s="2">
        <f t="shared" si="26"/>
        <v>0.47285714285714281</v>
      </c>
      <c r="Y187" s="2" t="str">
        <f t="shared" si="26"/>
        <v/>
      </c>
      <c r="Z187" s="2" t="str">
        <f t="shared" si="26"/>
        <v/>
      </c>
      <c r="AA187" s="23" t="str">
        <f t="shared" si="19"/>
        <v>TE90</v>
      </c>
      <c r="AB187" s="2">
        <f>$T187-VLOOKUP($B187,Scores!$AG$1:$AM$7,5,FALSE)</f>
        <v>-6.5258928571428569</v>
      </c>
      <c r="AC187" s="2">
        <f>$T187-VLOOKUP($B187,Scores!$AG$1:$AM$7,6,FALSE)</f>
        <v>-4.7771428571428576</v>
      </c>
      <c r="AD187" s="2">
        <f>$T187-VLOOKUP($B187,Scores!$AG$1:$AM$7,7,FALSE)+(ROW(A186)/1000000)</f>
        <v>-4.7069568571428571</v>
      </c>
      <c r="AE187" s="2">
        <f t="array" ref="AE187">IF('ROS Rankings'!$AD$1,IFERROR(AVERAGE(IF(INDEX($C187:$S187,14):INDEX($C187:$S187,17)="NA",0,INDEX($C187:$S187,14):INDEX($C187:$S187,17))-INDEX($AQ$2:$BG$7,MATCH($B187,$AO$2:$AO$7,0),14):INDEX($AQ$2:$BG$7,MATCH($B187,$AO$2:$AO$7,0),17)),0),IFERROR(AVERAGE(IF(INDEX($C187:$S187,Week+1):INDEX($C187:$S187,13)="NA",0,INDEX($C187:$S187,Week+1):INDEX($C187:$S187,13))-INDEX($AQ$2:$BG$7,MATCH($B187,$AO$2:$AO$7,0),Week+1):INDEX($AQ$2:$BG$7,MATCH($B187,$AO$2:$AO$7,0),13)),0))+ROW(A186)/1000000</f>
        <v>-4.6835639999999996</v>
      </c>
      <c r="AF187">
        <f t="shared" si="20"/>
        <v>322</v>
      </c>
      <c r="AG187">
        <f t="shared" si="21"/>
        <v>338</v>
      </c>
      <c r="AH187">
        <f t="shared" si="22"/>
        <v>382</v>
      </c>
      <c r="AI187">
        <f t="shared" si="23"/>
        <v>402</v>
      </c>
      <c r="AJ187" s="22">
        <f>IF(ISERROR(MATCH(A187,Rosters!$B$2:$B$155,0)),AD187,"")</f>
        <v>-4.7069568571428571</v>
      </c>
      <c r="AK187">
        <f t="shared" si="24"/>
        <v>230</v>
      </c>
      <c r="AL187" s="23">
        <f>COUNTIF(INDEX($C187:$S187,Week+1):INDEX($C187:$S187,13),"&gt;0")</f>
        <v>7</v>
      </c>
    </row>
    <row r="188" spans="1:38" x14ac:dyDescent="0.25">
      <c r="A188" t="s">
        <v>277</v>
      </c>
      <c r="B188" t="s">
        <v>114</v>
      </c>
      <c r="C188">
        <v>1.77</v>
      </c>
      <c r="D188">
        <v>2.57</v>
      </c>
      <c r="E188">
        <v>1.97</v>
      </c>
      <c r="F188">
        <v>4</v>
      </c>
      <c r="G188">
        <v>2.14</v>
      </c>
      <c r="H188">
        <v>2.59</v>
      </c>
      <c r="I188">
        <v>2.06</v>
      </c>
      <c r="J188">
        <v>2.09</v>
      </c>
      <c r="K188">
        <v>2.34</v>
      </c>
      <c r="L188">
        <v>2.27</v>
      </c>
      <c r="M188" t="s">
        <v>64</v>
      </c>
      <c r="N188">
        <v>2.27</v>
      </c>
      <c r="O188">
        <v>2.0499999999999998</v>
      </c>
      <c r="P188">
        <v>2</v>
      </c>
      <c r="Q188">
        <v>2.11</v>
      </c>
      <c r="R188">
        <v>2.16</v>
      </c>
      <c r="S188">
        <v>1.95</v>
      </c>
      <c r="T188" s="2">
        <f>IF('ROS Rankings'!$AD$1,IFERROR(AVERAGE(INDEX($C188:$S188,14):INDEX($C188:$S188,17)),0),IFERROR(AVERAGE(INDEX($C188:$S188,Week+1):INDEX($C188:$S188,13)),0))</f>
        <v>2.2385714285714284</v>
      </c>
      <c r="U188" s="2" t="str">
        <f t="shared" si="26"/>
        <v/>
      </c>
      <c r="V188" s="2" t="str">
        <f t="shared" si="26"/>
        <v/>
      </c>
      <c r="W188" s="2" t="str">
        <f t="shared" si="26"/>
        <v/>
      </c>
      <c r="X188" s="2">
        <f t="shared" si="26"/>
        <v>2.2385714285714284</v>
      </c>
      <c r="Y188" s="2" t="str">
        <f t="shared" si="26"/>
        <v/>
      </c>
      <c r="Z188" s="2" t="str">
        <f t="shared" si="26"/>
        <v/>
      </c>
      <c r="AA188" s="23" t="str">
        <f t="shared" si="19"/>
        <v>TE50</v>
      </c>
      <c r="AB188" s="2">
        <f>$T188-VLOOKUP($B188,Scores!$AG$1:$AM$7,5,FALSE)</f>
        <v>-4.7601785714285709</v>
      </c>
      <c r="AC188" s="2">
        <f>$T188-VLOOKUP($B188,Scores!$AG$1:$AM$7,6,FALSE)</f>
        <v>-3.0114285714285716</v>
      </c>
      <c r="AD188" s="2">
        <f>$T188-VLOOKUP($B188,Scores!$AG$1:$AM$7,7,FALSE)+(ROW(A187)/1000000)</f>
        <v>-2.9412415714285713</v>
      </c>
      <c r="AE188" s="2">
        <f t="array" ref="AE188">IF('ROS Rankings'!$AD$1,IFERROR(AVERAGE(IF(INDEX($C188:$S188,14):INDEX($C188:$S188,17)="NA",0,INDEX($C188:$S188,14):INDEX($C188:$S188,17))-INDEX($AQ$2:$BG$7,MATCH($B188,$AO$2:$AO$7,0),14):INDEX($AQ$2:$BG$7,MATCH($B188,$AO$2:$AO$7,0),17)),0),IFERROR(AVERAGE(IF(INDEX($C188:$S188,Week+1):INDEX($C188:$S188,13)="NA",0,INDEX($C188:$S188,Week+1):INDEX($C188:$S188,13))-INDEX($AQ$2:$BG$7,MATCH($B188,$AO$2:$AO$7,0),Week+1):INDEX($AQ$2:$BG$7,MATCH($B188,$AO$2:$AO$7,0),13)),0))+ROW(A187)/1000000</f>
        <v>-3.1385629999999995</v>
      </c>
      <c r="AF188">
        <f t="shared" si="20"/>
        <v>230</v>
      </c>
      <c r="AG188">
        <f t="shared" si="21"/>
        <v>248</v>
      </c>
      <c r="AH188">
        <f t="shared" si="22"/>
        <v>300</v>
      </c>
      <c r="AI188">
        <f t="shared" si="23"/>
        <v>311</v>
      </c>
      <c r="AJ188" s="22">
        <f>IF(ISERROR(MATCH(A188,Rosters!$B$2:$B$155,0)),AD188,"")</f>
        <v>-2.9412415714285713</v>
      </c>
      <c r="AK188">
        <f t="shared" si="24"/>
        <v>153</v>
      </c>
      <c r="AL188" s="23">
        <f>COUNTIF(INDEX($C188:$S188,Week+1):INDEX($C188:$S188,13),"&gt;0")</f>
        <v>7</v>
      </c>
    </row>
    <row r="189" spans="1:38" x14ac:dyDescent="0.25">
      <c r="A189" t="s">
        <v>1109</v>
      </c>
      <c r="B189" t="s">
        <v>15</v>
      </c>
      <c r="C189">
        <v>0.28999999999999998</v>
      </c>
      <c r="D189">
        <v>0.28000000000000003</v>
      </c>
      <c r="E189">
        <v>0.56999999999999995</v>
      </c>
      <c r="F189">
        <v>0.81</v>
      </c>
      <c r="G189">
        <v>1.04</v>
      </c>
      <c r="H189">
        <v>0.86</v>
      </c>
      <c r="I189">
        <v>0.88</v>
      </c>
      <c r="J189" t="s">
        <v>64</v>
      </c>
      <c r="K189">
        <v>0.85</v>
      </c>
      <c r="L189">
        <v>0.98</v>
      </c>
      <c r="M189">
        <v>0.94</v>
      </c>
      <c r="N189">
        <v>0.88</v>
      </c>
      <c r="O189">
        <v>0.79</v>
      </c>
      <c r="P189">
        <v>0.88</v>
      </c>
      <c r="Q189">
        <v>0.99</v>
      </c>
      <c r="R189">
        <v>0.79</v>
      </c>
      <c r="S189">
        <v>0.88</v>
      </c>
      <c r="T189" s="2">
        <f>IF('ROS Rankings'!$AD$1,IFERROR(AVERAGE(INDEX($C189:$S189,14):INDEX($C189:$S189,17)),0),IFERROR(AVERAGE(INDEX($C189:$S189,Week+1):INDEX($C189:$S189,13)),0))</f>
        <v>0.88285714285714278</v>
      </c>
      <c r="U189" s="2">
        <f t="shared" si="26"/>
        <v>0.88285714285714278</v>
      </c>
      <c r="V189" s="2" t="str">
        <f t="shared" si="26"/>
        <v/>
      </c>
      <c r="W189" s="2" t="str">
        <f t="shared" si="26"/>
        <v/>
      </c>
      <c r="X189" s="2" t="str">
        <f t="shared" si="26"/>
        <v/>
      </c>
      <c r="Y189" s="2" t="str">
        <f t="shared" si="26"/>
        <v/>
      </c>
      <c r="Z189" s="2" t="str">
        <f t="shared" si="26"/>
        <v/>
      </c>
      <c r="AA189" s="23" t="str">
        <f t="shared" si="19"/>
        <v>QB43</v>
      </c>
      <c r="AB189" s="2">
        <f>$T189-VLOOKUP($B189,Scores!$AG$1:$AM$7,5,FALSE)</f>
        <v>-20.001428571428569</v>
      </c>
      <c r="AC189" s="2">
        <f>$T189-VLOOKUP($B189,Scores!$AG$1:$AM$7,6,FALSE)</f>
        <v>-19.020892857142854</v>
      </c>
      <c r="AD189" s="2">
        <f>$T189-VLOOKUP($B189,Scores!$AG$1:$AM$7,7,FALSE)+(ROW(A188)/1000000)</f>
        <v>-18.616954857142851</v>
      </c>
      <c r="AE189" s="2">
        <f t="array" ref="AE189">IF('ROS Rankings'!$AD$1,IFERROR(AVERAGE(IF(INDEX($C189:$S189,14):INDEX($C189:$S189,17)="NA",0,INDEX($C189:$S189,14):INDEX($C189:$S189,17))-INDEX($AQ$2:$BG$7,MATCH($B189,$AO$2:$AO$7,0),14):INDEX($AQ$2:$BG$7,MATCH($B189,$AO$2:$AO$7,0),17)),0),IFERROR(AVERAGE(IF(INDEX($C189:$S189,Week+1):INDEX($C189:$S189,13)="NA",0,INDEX($C189:$S189,Week+1):INDEX($C189:$S189,13))-INDEX($AQ$2:$BG$7,MATCH($B189,$AO$2:$AO$7,0),Week+1):INDEX($AQ$2:$BG$7,MATCH($B189,$AO$2:$AO$7,0),13)),0))+ROW(A188)/1000000</f>
        <v>-17.729811999999995</v>
      </c>
      <c r="AF189">
        <f t="shared" si="20"/>
        <v>534</v>
      </c>
      <c r="AG189">
        <f t="shared" si="21"/>
        <v>534</v>
      </c>
      <c r="AH189">
        <f t="shared" si="22"/>
        <v>534</v>
      </c>
      <c r="AI189">
        <f t="shared" si="23"/>
        <v>536</v>
      </c>
      <c r="AJ189" s="22">
        <f>IF(ISERROR(MATCH(A189,Rosters!$B$2:$B$155,0)),AD189,"")</f>
        <v>-18.616954857142851</v>
      </c>
      <c r="AK189">
        <f t="shared" si="24"/>
        <v>381</v>
      </c>
      <c r="AL189" s="23">
        <f>COUNTIF(INDEX($C189:$S189,Week+1):INDEX($C189:$S189,13),"&gt;0")</f>
        <v>7</v>
      </c>
    </row>
    <row r="190" spans="1:38" x14ac:dyDescent="0.25">
      <c r="A190" t="s">
        <v>309</v>
      </c>
      <c r="B190" t="s">
        <v>114</v>
      </c>
      <c r="C190">
        <v>1.36</v>
      </c>
      <c r="D190">
        <v>1.73</v>
      </c>
      <c r="E190">
        <v>2.67</v>
      </c>
      <c r="F190">
        <v>3.88</v>
      </c>
      <c r="G190">
        <v>3.41</v>
      </c>
      <c r="H190">
        <v>3.18</v>
      </c>
      <c r="I190">
        <v>3.63</v>
      </c>
      <c r="J190" t="s">
        <v>64</v>
      </c>
      <c r="K190">
        <v>3.14</v>
      </c>
      <c r="L190">
        <v>2.92</v>
      </c>
      <c r="M190">
        <v>3.28</v>
      </c>
      <c r="N190">
        <v>3.86</v>
      </c>
      <c r="O190">
        <v>3.6</v>
      </c>
      <c r="P190">
        <v>3.07</v>
      </c>
      <c r="Q190">
        <v>3.52</v>
      </c>
      <c r="R190">
        <v>3.43</v>
      </c>
      <c r="S190">
        <v>3.24</v>
      </c>
      <c r="T190" s="2">
        <f>IF('ROS Rankings'!$AD$1,IFERROR(AVERAGE(INDEX($C190:$S190,14):INDEX($C190:$S190,17)),0),IFERROR(AVERAGE(INDEX($C190:$S190,Week+1):INDEX($C190:$S190,13)),0))</f>
        <v>3.3728571428571432</v>
      </c>
      <c r="U190" s="2" t="str">
        <f t="shared" si="26"/>
        <v/>
      </c>
      <c r="V190" s="2" t="str">
        <f t="shared" si="26"/>
        <v/>
      </c>
      <c r="W190" s="2" t="str">
        <f t="shared" si="26"/>
        <v/>
      </c>
      <c r="X190" s="2">
        <f t="shared" si="26"/>
        <v>3.3728571428571432</v>
      </c>
      <c r="Y190" s="2" t="str">
        <f t="shared" si="26"/>
        <v/>
      </c>
      <c r="Z190" s="2" t="str">
        <f t="shared" si="26"/>
        <v/>
      </c>
      <c r="AA190" s="23" t="str">
        <f t="shared" si="19"/>
        <v>TE24</v>
      </c>
      <c r="AB190" s="2">
        <f>$T190-VLOOKUP($B190,Scores!$AG$1:$AM$7,5,FALSE)</f>
        <v>-3.6258928571428561</v>
      </c>
      <c r="AC190" s="2">
        <f>$T190-VLOOKUP($B190,Scores!$AG$1:$AM$7,6,FALSE)</f>
        <v>-1.8771428571428568</v>
      </c>
      <c r="AD190" s="2">
        <f>$T190-VLOOKUP($B190,Scores!$AG$1:$AM$7,7,FALSE)+(ROW(A189)/1000000)</f>
        <v>-1.8069538571428565</v>
      </c>
      <c r="AE190" s="2">
        <f t="array" ref="AE190">IF('ROS Rankings'!$AD$1,IFERROR(AVERAGE(IF(INDEX($C190:$S190,14):INDEX($C190:$S190,17)="NA",0,INDEX($C190:$S190,14):INDEX($C190:$S190,17))-INDEX($AQ$2:$BG$7,MATCH($B190,$AO$2:$AO$7,0),14):INDEX($AQ$2:$BG$7,MATCH($B190,$AO$2:$AO$7,0),17)),0),IFERROR(AVERAGE(IF(INDEX($C190:$S190,Week+1):INDEX($C190:$S190,13)="NA",0,INDEX($C190:$S190,Week+1):INDEX($C190:$S190,13))-INDEX($AQ$2:$BG$7,MATCH($B190,$AO$2:$AO$7,0),Week+1):INDEX($AQ$2:$BG$7,MATCH($B190,$AO$2:$AO$7,0),13)),0))+ROW(A189)/1000000</f>
        <v>-2.1460609999999996</v>
      </c>
      <c r="AF190">
        <f t="shared" si="20"/>
        <v>177</v>
      </c>
      <c r="AG190">
        <f t="shared" si="21"/>
        <v>194</v>
      </c>
      <c r="AH190">
        <f t="shared" si="22"/>
        <v>238</v>
      </c>
      <c r="AI190">
        <f t="shared" si="23"/>
        <v>247</v>
      </c>
      <c r="AJ190" s="22">
        <f>IF(ISERROR(MATCH(A190,Rosters!$B$2:$B$155,0)),AD190,"")</f>
        <v>-1.8069538571428565</v>
      </c>
      <c r="AK190">
        <f t="shared" si="24"/>
        <v>95</v>
      </c>
      <c r="AL190" s="23">
        <f>COUNTIF(INDEX($C190:$S190,Week+1):INDEX($C190:$S190,13),"&gt;0")</f>
        <v>7</v>
      </c>
    </row>
    <row r="191" spans="1:38" x14ac:dyDescent="0.25">
      <c r="A191" t="s">
        <v>264</v>
      </c>
      <c r="B191" t="s">
        <v>114</v>
      </c>
      <c r="C191">
        <v>3.68</v>
      </c>
      <c r="D191">
        <v>7.23</v>
      </c>
      <c r="E191">
        <v>6.78</v>
      </c>
      <c r="F191">
        <v>5.18</v>
      </c>
      <c r="G191">
        <v>6.15</v>
      </c>
      <c r="H191">
        <v>5.64</v>
      </c>
      <c r="I191">
        <v>5.97</v>
      </c>
      <c r="J191">
        <v>5.14</v>
      </c>
      <c r="K191">
        <v>6.38</v>
      </c>
      <c r="L191">
        <v>5.81</v>
      </c>
      <c r="M191" t="s">
        <v>64</v>
      </c>
      <c r="N191">
        <v>6.89</v>
      </c>
      <c r="O191">
        <v>5.31</v>
      </c>
      <c r="P191">
        <v>5.2</v>
      </c>
      <c r="Q191">
        <v>5.38</v>
      </c>
      <c r="R191">
        <v>5.49</v>
      </c>
      <c r="S191">
        <v>5.84</v>
      </c>
      <c r="T191" s="2">
        <f>IF('ROS Rankings'!$AD$1,IFERROR(AVERAGE(INDEX($C191:$S191,14):INDEX($C191:$S191,17)),0),IFERROR(AVERAGE(INDEX($C191:$S191,Week+1):INDEX($C191:$S191,13)),0))</f>
        <v>5.8771428571428572</v>
      </c>
      <c r="U191" s="2" t="str">
        <f t="shared" si="26"/>
        <v/>
      </c>
      <c r="V191" s="2" t="str">
        <f t="shared" si="26"/>
        <v/>
      </c>
      <c r="W191" s="2" t="str">
        <f t="shared" si="26"/>
        <v/>
      </c>
      <c r="X191" s="2">
        <f t="shared" si="26"/>
        <v>5.8771428571428572</v>
      </c>
      <c r="Y191" s="2" t="str">
        <f t="shared" si="26"/>
        <v/>
      </c>
      <c r="Z191" s="2" t="str">
        <f t="shared" si="26"/>
        <v/>
      </c>
      <c r="AA191" s="23" t="str">
        <f t="shared" si="19"/>
        <v>TE9</v>
      </c>
      <c r="AB191" s="2">
        <f>$T191-VLOOKUP($B191,Scores!$AG$1:$AM$7,5,FALSE)</f>
        <v>-1.1216071428571421</v>
      </c>
      <c r="AC191" s="2">
        <f>$T191-VLOOKUP($B191,Scores!$AG$1:$AM$7,6,FALSE)</f>
        <v>0.62714285714285722</v>
      </c>
      <c r="AD191" s="2">
        <f>$T191-VLOOKUP($B191,Scores!$AG$1:$AM$7,7,FALSE)+(ROW(A190)/1000000)</f>
        <v>0.69733285714285753</v>
      </c>
      <c r="AE191" s="2">
        <f t="array" ref="AE191">IF('ROS Rankings'!$AD$1,IFERROR(AVERAGE(IF(INDEX($C191:$S191,14):INDEX($C191:$S191,17)="NA",0,INDEX($C191:$S191,14):INDEX($C191:$S191,17))-INDEX($AQ$2:$BG$7,MATCH($B191,$AO$2:$AO$7,0),14):INDEX($AQ$2:$BG$7,MATCH($B191,$AO$2:$AO$7,0),17)),0),IFERROR(AVERAGE(IF(INDEX($C191:$S191,Week+1):INDEX($C191:$S191,13)="NA",0,INDEX($C191:$S191,Week+1):INDEX($C191:$S191,13))-INDEX($AQ$2:$BG$7,MATCH($B191,$AO$2:$AO$7,0),Week+1):INDEX($AQ$2:$BG$7,MATCH($B191,$AO$2:$AO$7,0),13)),0))+ROW(A190)/1000000</f>
        <v>4.5189999999999821E-2</v>
      </c>
      <c r="AF191">
        <f t="shared" si="20"/>
        <v>98</v>
      </c>
      <c r="AG191">
        <f t="shared" si="21"/>
        <v>70</v>
      </c>
      <c r="AH191">
        <f t="shared" si="22"/>
        <v>111</v>
      </c>
      <c r="AI191">
        <f t="shared" si="23"/>
        <v>118</v>
      </c>
      <c r="AJ191" s="22" t="str">
        <f>IF(ISERROR(MATCH(A191,Rosters!$B$2:$B$155,0)),AD191,"")</f>
        <v/>
      </c>
      <c r="AK191" t="str">
        <f t="shared" si="24"/>
        <v/>
      </c>
      <c r="AL191" s="23">
        <f>COUNTIF(INDEX($C191:$S191,Week+1):INDEX($C191:$S191,13),"&gt;0")</f>
        <v>7</v>
      </c>
    </row>
    <row r="192" spans="1:38" x14ac:dyDescent="0.25">
      <c r="A192" t="s">
        <v>1469</v>
      </c>
      <c r="B192" t="s">
        <v>114</v>
      </c>
      <c r="C192">
        <v>2.23</v>
      </c>
      <c r="D192">
        <v>2.04</v>
      </c>
      <c r="E192">
        <v>2.25</v>
      </c>
      <c r="F192">
        <v>1.72</v>
      </c>
      <c r="G192">
        <v>1.35</v>
      </c>
      <c r="H192">
        <v>1.31</v>
      </c>
      <c r="I192">
        <v>1.41</v>
      </c>
      <c r="J192">
        <v>1.1200000000000001</v>
      </c>
      <c r="K192">
        <v>1.17</v>
      </c>
      <c r="L192">
        <v>1.38</v>
      </c>
      <c r="M192">
        <v>1.08</v>
      </c>
      <c r="N192" t="s">
        <v>64</v>
      </c>
      <c r="O192">
        <v>0.95</v>
      </c>
      <c r="P192">
        <v>1.29</v>
      </c>
      <c r="Q192">
        <v>1.38</v>
      </c>
      <c r="R192">
        <v>1.36</v>
      </c>
      <c r="S192">
        <v>1.48</v>
      </c>
      <c r="T192" s="2">
        <f>IF('ROS Rankings'!$AD$1,IFERROR(AVERAGE(INDEX($C192:$S192,14):INDEX($C192:$S192,17)),0),IFERROR(AVERAGE(INDEX($C192:$S192,Week+1):INDEX($C192:$S192,13)),0))</f>
        <v>1.2028571428571428</v>
      </c>
      <c r="U192" s="2" t="str">
        <f t="shared" si="26"/>
        <v/>
      </c>
      <c r="V192" s="2" t="str">
        <f t="shared" si="26"/>
        <v/>
      </c>
      <c r="W192" s="2" t="str">
        <f t="shared" si="26"/>
        <v/>
      </c>
      <c r="X192" s="2">
        <f t="shared" si="26"/>
        <v>1.2028571428571428</v>
      </c>
      <c r="Y192" s="2" t="str">
        <f t="shared" si="26"/>
        <v/>
      </c>
      <c r="Z192" s="2" t="str">
        <f t="shared" si="26"/>
        <v/>
      </c>
      <c r="AA192" s="23" t="str">
        <f t="shared" si="19"/>
        <v>TE67</v>
      </c>
      <c r="AB192" s="2">
        <f>$T192-VLOOKUP($B192,Scores!$AG$1:$AM$7,5,FALSE)</f>
        <v>-5.7958928571428565</v>
      </c>
      <c r="AC192" s="2">
        <f>$T192-VLOOKUP($B192,Scores!$AG$1:$AM$7,6,FALSE)</f>
        <v>-4.0471428571428572</v>
      </c>
      <c r="AD192" s="2">
        <f>$T192-VLOOKUP($B192,Scores!$AG$1:$AM$7,7,FALSE)+(ROW(A191)/1000000)</f>
        <v>-3.9769518571428568</v>
      </c>
      <c r="AE192" s="2">
        <f t="array" ref="AE192">IF('ROS Rankings'!$AD$1,IFERROR(AVERAGE(IF(INDEX($C192:$S192,14):INDEX($C192:$S192,17)="NA",0,INDEX($C192:$S192,14):INDEX($C192:$S192,17))-INDEX($AQ$2:$BG$7,MATCH($B192,$AO$2:$AO$7,0),14):INDEX($AQ$2:$BG$7,MATCH($B192,$AO$2:$AO$7,0),17)),0),IFERROR(AVERAGE(IF(INDEX($C192:$S192,Week+1):INDEX($C192:$S192,13)="NA",0,INDEX($C192:$S192,Week+1):INDEX($C192:$S192,13))-INDEX($AQ$2:$BG$7,MATCH($B192,$AO$2:$AO$7,0),Week+1):INDEX($AQ$2:$BG$7,MATCH($B192,$AO$2:$AO$7,0),13)),0))+ROW(A191)/1000000</f>
        <v>-4.0448089999999999</v>
      </c>
      <c r="AF192">
        <f t="shared" si="20"/>
        <v>273</v>
      </c>
      <c r="AG192">
        <f t="shared" si="21"/>
        <v>299</v>
      </c>
      <c r="AH192">
        <f t="shared" si="22"/>
        <v>343</v>
      </c>
      <c r="AI192">
        <f t="shared" si="23"/>
        <v>347</v>
      </c>
      <c r="AJ192" s="22">
        <f>IF(ISERROR(MATCH(A192,Rosters!$B$2:$B$155,0)),AD192,"")</f>
        <v>-3.9769518571428568</v>
      </c>
      <c r="AK192">
        <f t="shared" si="24"/>
        <v>192</v>
      </c>
      <c r="AL192" s="23">
        <f>COUNTIF(INDEX($C192:$S192,Week+1):INDEX($C192:$S192,13),"&gt;0")</f>
        <v>7</v>
      </c>
    </row>
    <row r="193" spans="1:38" x14ac:dyDescent="0.25">
      <c r="A193" t="s">
        <v>1132</v>
      </c>
      <c r="B193" t="s">
        <v>87</v>
      </c>
      <c r="C193">
        <v>0</v>
      </c>
      <c r="D193">
        <v>0.5</v>
      </c>
      <c r="E193">
        <v>0.57999999999999996</v>
      </c>
      <c r="F193">
        <v>0.85</v>
      </c>
      <c r="G193">
        <v>1.88</v>
      </c>
      <c r="H193">
        <v>0.62</v>
      </c>
      <c r="I193">
        <v>0.76</v>
      </c>
      <c r="J193" t="s">
        <v>64</v>
      </c>
      <c r="K193">
        <v>0.56000000000000005</v>
      </c>
      <c r="L193">
        <v>0.86</v>
      </c>
      <c r="M193">
        <v>0.57999999999999996</v>
      </c>
      <c r="N193">
        <v>0.64</v>
      </c>
      <c r="O193">
        <v>0.71</v>
      </c>
      <c r="P193">
        <v>0.68</v>
      </c>
      <c r="Q193">
        <v>0.89</v>
      </c>
      <c r="R193">
        <v>0.61</v>
      </c>
      <c r="S193">
        <v>0.56999999999999995</v>
      </c>
      <c r="T193" s="2">
        <f>IF('ROS Rankings'!$AD$1,IFERROR(AVERAGE(INDEX($C193:$S193,14):INDEX($C193:$S193,17)),0),IFERROR(AVERAGE(INDEX($C193:$S193,Week+1):INDEX($C193:$S193,13)),0))</f>
        <v>0.6757142857142856</v>
      </c>
      <c r="U193" s="2" t="str">
        <f t="shared" si="26"/>
        <v/>
      </c>
      <c r="V193" s="2" t="str">
        <f t="shared" si="26"/>
        <v/>
      </c>
      <c r="W193" s="2">
        <f t="shared" si="26"/>
        <v>0.6757142857142856</v>
      </c>
      <c r="X193" s="2" t="str">
        <f t="shared" si="26"/>
        <v/>
      </c>
      <c r="Y193" s="2" t="str">
        <f t="shared" si="26"/>
        <v/>
      </c>
      <c r="Z193" s="2" t="str">
        <f t="shared" si="26"/>
        <v/>
      </c>
      <c r="AA193" s="23" t="str">
        <f t="shared" si="19"/>
        <v>WR142</v>
      </c>
      <c r="AB193" s="2">
        <f>$T193-VLOOKUP($B193,Scores!$AG$1:$AM$7,5,FALSE)</f>
        <v>-9.6957142857142848</v>
      </c>
      <c r="AC193" s="2">
        <f>$T193-VLOOKUP($B193,Scores!$AG$1:$AM$7,6,FALSE)</f>
        <v>-7.3557142857142868</v>
      </c>
      <c r="AD193" s="2">
        <f>$T193-VLOOKUP($B193,Scores!$AG$1:$AM$7,7,FALSE)+(ROW(A192)/1000000)</f>
        <v>-5.376950857142857</v>
      </c>
      <c r="AE193" s="2">
        <f t="array" ref="AE193">IF('ROS Rankings'!$AD$1,IFERROR(AVERAGE(IF(INDEX($C193:$S193,14):INDEX($C193:$S193,17)="NA",0,INDEX($C193:$S193,14):INDEX($C193:$S193,17))-INDEX($AQ$2:$BG$7,MATCH($B193,$AO$2:$AO$7,0),14):INDEX($AQ$2:$BG$7,MATCH($B193,$AO$2:$AO$7,0),17)),0),IFERROR(AVERAGE(IF(INDEX($C193:$S193,Week+1):INDEX($C193:$S193,13)="NA",0,INDEX($C193:$S193,Week+1):INDEX($C193:$S193,13))-INDEX($AQ$2:$BG$7,MATCH($B193,$AO$2:$AO$7,0),Week+1):INDEX($AQ$2:$BG$7,MATCH($B193,$AO$2:$AO$7,0),13)),0))+ROW(A192)/1000000</f>
        <v>-4.7648079999999995</v>
      </c>
      <c r="AF193">
        <f t="shared" si="20"/>
        <v>417</v>
      </c>
      <c r="AG193">
        <f t="shared" si="21"/>
        <v>432</v>
      </c>
      <c r="AH193">
        <f t="shared" si="22"/>
        <v>462</v>
      </c>
      <c r="AI193">
        <f t="shared" si="23"/>
        <v>428</v>
      </c>
      <c r="AJ193" s="22">
        <f>IF(ISERROR(MATCH(A193,Rosters!$B$2:$B$155,0)),AD193,"")</f>
        <v>-5.376950857142857</v>
      </c>
      <c r="AK193">
        <f t="shared" si="24"/>
        <v>310</v>
      </c>
      <c r="AL193" s="23">
        <f>COUNTIF(INDEX($C193:$S193,Week+1):INDEX($C193:$S193,13),"&gt;0")</f>
        <v>7</v>
      </c>
    </row>
    <row r="194" spans="1:38" x14ac:dyDescent="0.25">
      <c r="A194" t="s">
        <v>271</v>
      </c>
      <c r="B194" t="s">
        <v>87</v>
      </c>
      <c r="C194">
        <v>3.37</v>
      </c>
      <c r="D194">
        <v>4.95</v>
      </c>
      <c r="E194">
        <v>5.71</v>
      </c>
      <c r="F194">
        <v>6.17</v>
      </c>
      <c r="G194">
        <v>3.65</v>
      </c>
      <c r="H194">
        <v>6.74</v>
      </c>
      <c r="I194" t="s">
        <v>64</v>
      </c>
      <c r="J194">
        <v>7.91</v>
      </c>
      <c r="K194">
        <v>6.97</v>
      </c>
      <c r="L194">
        <v>6.76</v>
      </c>
      <c r="M194">
        <v>7.16</v>
      </c>
      <c r="N194">
        <v>6.93</v>
      </c>
      <c r="O194">
        <v>7.69</v>
      </c>
      <c r="P194">
        <v>7.75</v>
      </c>
      <c r="Q194">
        <v>7.23</v>
      </c>
      <c r="R194">
        <v>7.39</v>
      </c>
      <c r="S194">
        <v>7.37</v>
      </c>
      <c r="T194" s="2">
        <f>IF('ROS Rankings'!$AD$1,IFERROR(AVERAGE(INDEX($C194:$S194,14):INDEX($C194:$S194,17)),0),IFERROR(AVERAGE(INDEX($C194:$S194,Week+1):INDEX($C194:$S194,13)),0))</f>
        <v>7.1657142857142864</v>
      </c>
      <c r="U194" s="2" t="str">
        <f t="shared" si="26"/>
        <v/>
      </c>
      <c r="V194" s="2" t="str">
        <f t="shared" si="26"/>
        <v/>
      </c>
      <c r="W194" s="2">
        <f t="shared" si="26"/>
        <v>7.1657142857142864</v>
      </c>
      <c r="X194" s="2" t="str">
        <f t="shared" si="26"/>
        <v/>
      </c>
      <c r="Y194" s="2" t="str">
        <f t="shared" si="26"/>
        <v/>
      </c>
      <c r="Z194" s="2" t="str">
        <f t="shared" si="26"/>
        <v/>
      </c>
      <c r="AA194" s="23" t="str">
        <f t="shared" si="19"/>
        <v>WR45</v>
      </c>
      <c r="AB194" s="2">
        <f>$T194-VLOOKUP($B194,Scores!$AG$1:$AM$7,5,FALSE)</f>
        <v>-3.2057142857142837</v>
      </c>
      <c r="AC194" s="2">
        <f>$T194-VLOOKUP($B194,Scores!$AG$1:$AM$7,6,FALSE)</f>
        <v>-0.86571428571428566</v>
      </c>
      <c r="AD194" s="2">
        <f>$T194-VLOOKUP($B194,Scores!$AG$1:$AM$7,7,FALSE)+(ROW(A193)/1000000)</f>
        <v>1.113050142857144</v>
      </c>
      <c r="AE194" s="2">
        <f t="array" ref="AE194">IF('ROS Rankings'!$AD$1,IFERROR(AVERAGE(IF(INDEX($C194:$S194,14):INDEX($C194:$S194,17)="NA",0,INDEX($C194:$S194,14):INDEX($C194:$S194,17))-INDEX($AQ$2:$BG$7,MATCH($B194,$AO$2:$AO$7,0),14):INDEX($AQ$2:$BG$7,MATCH($B194,$AO$2:$AO$7,0),17)),0),IFERROR(AVERAGE(IF(INDEX($C194:$S194,Week+1):INDEX($C194:$S194,13)="NA",0,INDEX($C194:$S194,Week+1):INDEX($C194:$S194,13))-INDEX($AQ$2:$BG$7,MATCH($B194,$AO$2:$AO$7,0),Week+1):INDEX($AQ$2:$BG$7,MATCH($B194,$AO$2:$AO$7,0),13)),0))+ROW(A193)/1000000</f>
        <v>0.91394299999999995</v>
      </c>
      <c r="AF194">
        <f t="shared" si="20"/>
        <v>169</v>
      </c>
      <c r="AG194">
        <f t="shared" si="21"/>
        <v>156</v>
      </c>
      <c r="AH194">
        <f t="shared" si="22"/>
        <v>101</v>
      </c>
      <c r="AI194">
        <f t="shared" si="23"/>
        <v>91</v>
      </c>
      <c r="AJ194" s="22" t="str">
        <f>IF(ISERROR(MATCH(A194,Rosters!$B$2:$B$155,0)),AD194,"")</f>
        <v/>
      </c>
      <c r="AK194" t="str">
        <f t="shared" si="24"/>
        <v/>
      </c>
      <c r="AL194" s="23">
        <f>COUNTIF(INDEX($C194:$S194,Week+1):INDEX($C194:$S194,13),"&gt;0")</f>
        <v>7</v>
      </c>
    </row>
    <row r="195" spans="1:38" x14ac:dyDescent="0.25">
      <c r="A195" t="s">
        <v>196</v>
      </c>
      <c r="B195" t="s">
        <v>47</v>
      </c>
      <c r="C195">
        <v>6.72</v>
      </c>
      <c r="D195">
        <v>4.83</v>
      </c>
      <c r="E195">
        <v>9.99</v>
      </c>
      <c r="F195">
        <v>11.66</v>
      </c>
      <c r="G195">
        <v>3.73</v>
      </c>
      <c r="H195">
        <v>6.65</v>
      </c>
      <c r="I195">
        <v>7.57</v>
      </c>
      <c r="J195">
        <v>7.38</v>
      </c>
      <c r="K195" t="s">
        <v>64</v>
      </c>
      <c r="L195">
        <v>6.4</v>
      </c>
      <c r="M195">
        <v>4.7699999999999996</v>
      </c>
      <c r="N195">
        <v>6.24</v>
      </c>
      <c r="O195">
        <v>5.89</v>
      </c>
      <c r="P195">
        <v>6.07</v>
      </c>
      <c r="Q195">
        <v>6.63</v>
      </c>
      <c r="R195">
        <v>5.87</v>
      </c>
      <c r="S195">
        <v>5.62</v>
      </c>
      <c r="T195" s="2">
        <f>IF('ROS Rankings'!$AD$1,IFERROR(AVERAGE(INDEX($C195:$S195,14):INDEX($C195:$S195,17)),0),IFERROR(AVERAGE(INDEX($C195:$S195,Week+1):INDEX($C195:$S195,13)),0))</f>
        <v>6.4142857142857137</v>
      </c>
      <c r="U195" s="2" t="str">
        <f t="shared" si="26"/>
        <v/>
      </c>
      <c r="V195" s="2">
        <f t="shared" si="26"/>
        <v>6.4142857142857137</v>
      </c>
      <c r="W195" s="2" t="str">
        <f t="shared" si="26"/>
        <v/>
      </c>
      <c r="X195" s="2" t="str">
        <f t="shared" si="26"/>
        <v/>
      </c>
      <c r="Y195" s="2" t="str">
        <f t="shared" si="26"/>
        <v/>
      </c>
      <c r="Z195" s="2" t="str">
        <f t="shared" si="26"/>
        <v/>
      </c>
      <c r="AA195" s="23" t="str">
        <f t="shared" ref="AA195:AA258" si="27">$B195&amp;_xlfn.RANK.EQ($T195,INDEX($U$2:$Z$561,,MATCH($B195,$U$1:$Z$1,0)),0)</f>
        <v>RB43</v>
      </c>
      <c r="AB195" s="2">
        <f>$T195-VLOOKUP($B195,Scores!$AG$1:$AM$7,5,FALSE)</f>
        <v>-5.3442857142857152</v>
      </c>
      <c r="AC195" s="2">
        <f>$T195-VLOOKUP($B195,Scores!$AG$1:$AM$7,6,FALSE)</f>
        <v>-1.8557142857142876</v>
      </c>
      <c r="AD195" s="2">
        <f>$T195-VLOOKUP($B195,Scores!$AG$1:$AM$7,7,FALSE)+(ROW(A194)/1000000)</f>
        <v>0.54590828571428451</v>
      </c>
      <c r="AE195" s="2">
        <f t="array" ref="AE195">IF('ROS Rankings'!$AD$1,IFERROR(AVERAGE(IF(INDEX($C195:$S195,14):INDEX($C195:$S195,17)="NA",0,INDEX($C195:$S195,14):INDEX($C195:$S195,17))-INDEX($AQ$2:$BG$7,MATCH($B195,$AO$2:$AO$7,0),14):INDEX($AQ$2:$BG$7,MATCH($B195,$AO$2:$AO$7,0),17)),0),IFERROR(AVERAGE(IF(INDEX($C195:$S195,Week+1):INDEX($C195:$S195,13)="NA",0,INDEX($C195:$S195,Week+1):INDEX($C195:$S195,13))-INDEX($AQ$2:$BG$7,MATCH($B195,$AO$2:$AO$7,0),Week+1):INDEX($AQ$2:$BG$7,MATCH($B195,$AO$2:$AO$7,0),13)),0))+ROW(A194)/1000000</f>
        <v>0.2526940000000002</v>
      </c>
      <c r="AF195">
        <f t="shared" ref="AF195:AF258" si="28">_xlfn.RANK.EQ(AB195,AB$2:AB$561,0)</f>
        <v>250</v>
      </c>
      <c r="AG195">
        <f t="shared" ref="AG195:AG258" si="29">_xlfn.RANK.EQ(AC195,AC$2:AC$561,0)</f>
        <v>192</v>
      </c>
      <c r="AH195">
        <f t="shared" ref="AH195:AH258" si="30">_xlfn.RANK.EQ(AD195,AD$2:AD$561,0)</f>
        <v>116</v>
      </c>
      <c r="AI195">
        <f t="shared" ref="AI195:AI258" si="31">_xlfn.RANK.EQ(AE195,AE$2:AE$561,0)</f>
        <v>110</v>
      </c>
      <c r="AJ195" s="22">
        <f>IF(ISERROR(MATCH(A195,Rosters!$B$2:$B$155,0)),AD195,"")</f>
        <v>0.54590828571428451</v>
      </c>
      <c r="AK195">
        <f t="shared" ref="AK195:AK258" si="32">IFERROR(_xlfn.RANK.EQ(AJ195,$AJ$2:$AJ$561,0),"")</f>
        <v>6</v>
      </c>
      <c r="AL195" s="23">
        <f>COUNTIF(INDEX($C195:$S195,Week+1):INDEX($C195:$S195,13),"&gt;0")</f>
        <v>7</v>
      </c>
    </row>
    <row r="196" spans="1:38" x14ac:dyDescent="0.25">
      <c r="A196" t="s">
        <v>122</v>
      </c>
      <c r="B196" t="s">
        <v>87</v>
      </c>
      <c r="C196">
        <v>9.82</v>
      </c>
      <c r="D196">
        <v>9.36</v>
      </c>
      <c r="E196">
        <v>10.87</v>
      </c>
      <c r="F196">
        <v>10.5</v>
      </c>
      <c r="G196">
        <v>11.58</v>
      </c>
      <c r="H196" t="s">
        <v>64</v>
      </c>
      <c r="I196">
        <v>12.99</v>
      </c>
      <c r="J196">
        <v>10.34</v>
      </c>
      <c r="K196">
        <v>9.65</v>
      </c>
      <c r="L196">
        <v>9.61</v>
      </c>
      <c r="M196">
        <v>9.17</v>
      </c>
      <c r="N196">
        <v>9.8800000000000008</v>
      </c>
      <c r="O196">
        <v>10.96</v>
      </c>
      <c r="P196">
        <v>8.91</v>
      </c>
      <c r="Q196">
        <v>10.24</v>
      </c>
      <c r="R196">
        <v>9.91</v>
      </c>
      <c r="S196">
        <v>13.44</v>
      </c>
      <c r="T196" s="2">
        <f>IF('ROS Rankings'!$AD$1,IFERROR(AVERAGE(INDEX($C196:$S196,14):INDEX($C196:$S196,17)),0),IFERROR(AVERAGE(INDEX($C196:$S196,Week+1):INDEX($C196:$S196,13)),0))</f>
        <v>10.37142857142857</v>
      </c>
      <c r="U196" s="2" t="str">
        <f t="shared" si="26"/>
        <v/>
      </c>
      <c r="V196" s="2" t="str">
        <f t="shared" si="26"/>
        <v/>
      </c>
      <c r="W196" s="2">
        <f t="shared" si="26"/>
        <v>10.37142857142857</v>
      </c>
      <c r="X196" s="2" t="str">
        <f t="shared" si="26"/>
        <v/>
      </c>
      <c r="Y196" s="2" t="str">
        <f t="shared" si="26"/>
        <v/>
      </c>
      <c r="Z196" s="2" t="str">
        <f t="shared" si="26"/>
        <v/>
      </c>
      <c r="AA196" s="23" t="str">
        <f t="shared" si="27"/>
        <v>WR17</v>
      </c>
      <c r="AB196" s="2">
        <f>$T196-VLOOKUP($B196,Scores!$AG$1:$AM$7,5,FALSE)</f>
        <v>0</v>
      </c>
      <c r="AC196" s="2">
        <f>$T196-VLOOKUP($B196,Scores!$AG$1:$AM$7,6,FALSE)</f>
        <v>2.3399999999999981</v>
      </c>
      <c r="AD196" s="2">
        <f>$T196-VLOOKUP($B196,Scores!$AG$1:$AM$7,7,FALSE)+(ROW(A195)/1000000)</f>
        <v>4.3187664285714273</v>
      </c>
      <c r="AE196" s="2">
        <f t="array" ref="AE196">IF('ROS Rankings'!$AD$1,IFERROR(AVERAGE(IF(INDEX($C196:$S196,14):INDEX($C196:$S196,17)="NA",0,INDEX($C196:$S196,14):INDEX($C196:$S196,17))-INDEX($AQ$2:$BG$7,MATCH($B196,$AO$2:$AO$7,0),14):INDEX($AQ$2:$BG$7,MATCH($B196,$AO$2:$AO$7,0),17)),0),IFERROR(AVERAGE(IF(INDEX($C196:$S196,Week+1):INDEX($C196:$S196,13)="NA",0,INDEX($C196:$S196,Week+1):INDEX($C196:$S196,13))-INDEX($AQ$2:$BG$7,MATCH($B196,$AO$2:$AO$7,0),Week+1):INDEX($AQ$2:$BG$7,MATCH($B196,$AO$2:$AO$7,0),13)),0))+ROW(A195)/1000000</f>
        <v>3.7189450000000002</v>
      </c>
      <c r="AF196">
        <f t="shared" si="28"/>
        <v>45</v>
      </c>
      <c r="AG196">
        <f t="shared" si="29"/>
        <v>37</v>
      </c>
      <c r="AH196">
        <f t="shared" si="30"/>
        <v>37</v>
      </c>
      <c r="AI196">
        <f t="shared" si="31"/>
        <v>37</v>
      </c>
      <c r="AJ196" s="22" t="str">
        <f>IF(ISERROR(MATCH(A196,Rosters!$B$2:$B$155,0)),AD196,"")</f>
        <v/>
      </c>
      <c r="AK196" t="str">
        <f t="shared" si="32"/>
        <v/>
      </c>
      <c r="AL196" s="23">
        <f>COUNTIF(INDEX($C196:$S196,Week+1):INDEX($C196:$S196,13),"&gt;0")</f>
        <v>7</v>
      </c>
    </row>
    <row r="197" spans="1:38" x14ac:dyDescent="0.25">
      <c r="A197" t="s">
        <v>141</v>
      </c>
      <c r="B197" t="s">
        <v>114</v>
      </c>
      <c r="C197">
        <v>9.51</v>
      </c>
      <c r="D197">
        <v>0</v>
      </c>
      <c r="E197">
        <v>0</v>
      </c>
      <c r="F197" t="s">
        <v>64</v>
      </c>
      <c r="G197">
        <v>0</v>
      </c>
      <c r="H197">
        <v>0</v>
      </c>
      <c r="I197">
        <v>0</v>
      </c>
      <c r="J197">
        <v>0</v>
      </c>
      <c r="K197">
        <v>4.12</v>
      </c>
      <c r="L197">
        <v>3.87</v>
      </c>
      <c r="M197">
        <v>3.34</v>
      </c>
      <c r="N197">
        <v>3.85</v>
      </c>
      <c r="O197">
        <v>3.94</v>
      </c>
      <c r="P197">
        <v>4.01</v>
      </c>
      <c r="Q197">
        <v>4.13</v>
      </c>
      <c r="R197">
        <v>3.57</v>
      </c>
      <c r="S197">
        <v>3.98</v>
      </c>
      <c r="T197" s="2">
        <f>IF('ROS Rankings'!$AD$1,IFERROR(AVERAGE(INDEX($C197:$S197,14):INDEX($C197:$S197,17)),0),IFERROR(AVERAGE(INDEX($C197:$S197,Week+1):INDEX($C197:$S197,13)),0))</f>
        <v>2.39</v>
      </c>
      <c r="U197" s="2" t="str">
        <f t="shared" si="26"/>
        <v/>
      </c>
      <c r="V197" s="2" t="str">
        <f t="shared" si="26"/>
        <v/>
      </c>
      <c r="W197" s="2" t="str">
        <f t="shared" si="26"/>
        <v/>
      </c>
      <c r="X197" s="2">
        <f t="shared" si="26"/>
        <v>2.39</v>
      </c>
      <c r="Y197" s="2" t="str">
        <f t="shared" si="26"/>
        <v/>
      </c>
      <c r="Z197" s="2" t="str">
        <f t="shared" si="26"/>
        <v/>
      </c>
      <c r="AA197" s="23" t="str">
        <f t="shared" si="27"/>
        <v>TE43</v>
      </c>
      <c r="AB197" s="2">
        <f>$T197-VLOOKUP($B197,Scores!$AG$1:$AM$7,5,FALSE)</f>
        <v>-4.6087499999999988</v>
      </c>
      <c r="AC197" s="2">
        <f>$T197-VLOOKUP($B197,Scores!$AG$1:$AM$7,6,FALSE)</f>
        <v>-2.86</v>
      </c>
      <c r="AD197" s="2">
        <f>$T197-VLOOKUP($B197,Scores!$AG$1:$AM$7,7,FALSE)+(ROW(A196)/1000000)</f>
        <v>-2.7898039999999997</v>
      </c>
      <c r="AE197" s="2">
        <f t="array" ref="AE197">IF('ROS Rankings'!$AD$1,IFERROR(AVERAGE(IF(INDEX($C197:$S197,14):INDEX($C197:$S197,17)="NA",0,INDEX($C197:$S197,14):INDEX($C197:$S197,17))-INDEX($AQ$2:$BG$7,MATCH($B197,$AO$2:$AO$7,0),14):INDEX($AQ$2:$BG$7,MATCH($B197,$AO$2:$AO$7,0),17)),0),IFERROR(AVERAGE(IF(INDEX($C197:$S197,Week+1):INDEX($C197:$S197,13)="NA",0,INDEX($C197:$S197,Week+1):INDEX($C197:$S197,13))-INDEX($AQ$2:$BG$7,MATCH($B197,$AO$2:$AO$7,0),Week+1):INDEX($AQ$2:$BG$7,MATCH($B197,$AO$2:$AO$7,0),13)),0))+ROW(A196)/1000000</f>
        <v>-2.7073039999999997</v>
      </c>
      <c r="AF197">
        <f t="shared" si="28"/>
        <v>222</v>
      </c>
      <c r="AG197">
        <f t="shared" si="29"/>
        <v>235</v>
      </c>
      <c r="AH197">
        <f t="shared" si="30"/>
        <v>284</v>
      </c>
      <c r="AI197">
        <f t="shared" si="31"/>
        <v>278</v>
      </c>
      <c r="AJ197" s="22" t="str">
        <f>IF(ISERROR(MATCH(A197,Rosters!$B$2:$B$155,0)),AD197,"")</f>
        <v/>
      </c>
      <c r="AK197" t="str">
        <f t="shared" si="32"/>
        <v/>
      </c>
      <c r="AL197" s="23">
        <f>COUNTIF(INDEX($C197:$S197,Week+1):INDEX($C197:$S197,13),"&gt;0")</f>
        <v>5</v>
      </c>
    </row>
    <row r="198" spans="1:38" x14ac:dyDescent="0.25">
      <c r="A198" t="s">
        <v>1607</v>
      </c>
      <c r="B198" t="s">
        <v>114</v>
      </c>
      <c r="C198">
        <v>0.43</v>
      </c>
      <c r="D198">
        <v>0.52</v>
      </c>
      <c r="E198">
        <v>0.54</v>
      </c>
      <c r="F198">
        <v>0.53</v>
      </c>
      <c r="G198">
        <v>0.54</v>
      </c>
      <c r="H198" t="s">
        <v>64</v>
      </c>
      <c r="I198">
        <v>0.48</v>
      </c>
      <c r="J198">
        <v>0.41</v>
      </c>
      <c r="K198">
        <v>0.44</v>
      </c>
      <c r="L198">
        <v>0.42</v>
      </c>
      <c r="M198">
        <v>0.45</v>
      </c>
      <c r="N198">
        <v>0.43</v>
      </c>
      <c r="O198">
        <v>0.51</v>
      </c>
      <c r="P198">
        <v>0.44</v>
      </c>
      <c r="Q198">
        <v>0.46</v>
      </c>
      <c r="R198">
        <v>0.45</v>
      </c>
      <c r="S198">
        <v>0.52</v>
      </c>
      <c r="T198" s="2">
        <f>IF('ROS Rankings'!$AD$1,IFERROR(AVERAGE(INDEX($C198:$S198,14):INDEX($C198:$S198,17)),0),IFERROR(AVERAGE(INDEX($C198:$S198,Week+1):INDEX($C198:$S198,13)),0))</f>
        <v>0.44857142857142851</v>
      </c>
      <c r="U198" s="2" t="str">
        <f t="shared" si="26"/>
        <v/>
      </c>
      <c r="V198" s="2" t="str">
        <f t="shared" si="26"/>
        <v/>
      </c>
      <c r="W198" s="2" t="str">
        <f t="shared" si="26"/>
        <v/>
      </c>
      <c r="X198" s="2">
        <f t="shared" si="26"/>
        <v>0.44857142857142851</v>
      </c>
      <c r="Y198" s="2" t="str">
        <f t="shared" si="26"/>
        <v/>
      </c>
      <c r="Z198" s="2" t="str">
        <f t="shared" si="26"/>
        <v/>
      </c>
      <c r="AA198" s="23" t="str">
        <f t="shared" si="27"/>
        <v>TE92</v>
      </c>
      <c r="AB198" s="2">
        <f>$T198-VLOOKUP($B198,Scores!$AG$1:$AM$7,5,FALSE)</f>
        <v>-6.550178571428571</v>
      </c>
      <c r="AC198" s="2">
        <f>$T198-VLOOKUP($B198,Scores!$AG$1:$AM$7,6,FALSE)</f>
        <v>-4.8014285714285716</v>
      </c>
      <c r="AD198" s="2">
        <f>$T198-VLOOKUP($B198,Scores!$AG$1:$AM$7,7,FALSE)+(ROW(A197)/1000000)</f>
        <v>-4.7312315714285713</v>
      </c>
      <c r="AE198" s="2">
        <f t="array" ref="AE198">IF('ROS Rankings'!$AD$1,IFERROR(AVERAGE(IF(INDEX($C198:$S198,14):INDEX($C198:$S198,17)="NA",0,INDEX($C198:$S198,14):INDEX($C198:$S198,17))-INDEX($AQ$2:$BG$7,MATCH($B198,$AO$2:$AO$7,0),14):INDEX($AQ$2:$BG$7,MATCH($B198,$AO$2:$AO$7,0),17)),0),IFERROR(AVERAGE(IF(INDEX($C198:$S198,Week+1):INDEX($C198:$S198,13)="NA",0,INDEX($C198:$S198,Week+1):INDEX($C198:$S198,13))-INDEX($AQ$2:$BG$7,MATCH($B198,$AO$2:$AO$7,0),Week+1):INDEX($AQ$2:$BG$7,MATCH($B198,$AO$2:$AO$7,0),13)),0))+ROW(A197)/1000000</f>
        <v>-4.7048030000000001</v>
      </c>
      <c r="AF198">
        <f t="shared" si="28"/>
        <v>324</v>
      </c>
      <c r="AG198">
        <f t="shared" si="29"/>
        <v>340</v>
      </c>
      <c r="AH198">
        <f t="shared" si="30"/>
        <v>386</v>
      </c>
      <c r="AI198">
        <f t="shared" si="31"/>
        <v>408</v>
      </c>
      <c r="AJ198" s="22">
        <f>IF(ISERROR(MATCH(A198,Rosters!$B$2:$B$155,0)),AD198,"")</f>
        <v>-4.7312315714285713</v>
      </c>
      <c r="AK198">
        <f t="shared" si="32"/>
        <v>234</v>
      </c>
      <c r="AL198" s="23">
        <f>COUNTIF(INDEX($C198:$S198,Week+1):INDEX($C198:$S198,13),"&gt;0")</f>
        <v>7</v>
      </c>
    </row>
    <row r="199" spans="1:38" x14ac:dyDescent="0.25">
      <c r="A199" t="s">
        <v>1449</v>
      </c>
      <c r="B199" t="s">
        <v>114</v>
      </c>
      <c r="C199">
        <v>0</v>
      </c>
      <c r="D199">
        <v>0</v>
      </c>
      <c r="E199">
        <v>0</v>
      </c>
      <c r="F199">
        <v>0</v>
      </c>
      <c r="G199">
        <v>4.7</v>
      </c>
      <c r="H199">
        <v>4.49</v>
      </c>
      <c r="I199">
        <v>4.41</v>
      </c>
      <c r="J199">
        <v>5.95</v>
      </c>
      <c r="K199">
        <v>5.13</v>
      </c>
      <c r="L199" t="s">
        <v>64</v>
      </c>
      <c r="M199">
        <v>5.34</v>
      </c>
      <c r="N199">
        <v>5.49</v>
      </c>
      <c r="O199">
        <v>4.54</v>
      </c>
      <c r="P199">
        <v>4.63</v>
      </c>
      <c r="Q199">
        <v>5.99</v>
      </c>
      <c r="R199">
        <v>4.97</v>
      </c>
      <c r="S199">
        <v>5.15</v>
      </c>
      <c r="T199" s="2">
        <f>IF('ROS Rankings'!$AD$1,IFERROR(AVERAGE(INDEX($C199:$S199,14):INDEX($C199:$S199,17)),0),IFERROR(AVERAGE(INDEX($C199:$S199,Week+1):INDEX($C199:$S199,13)),0))</f>
        <v>5.05</v>
      </c>
      <c r="U199" s="2" t="str">
        <f t="shared" si="26"/>
        <v/>
      </c>
      <c r="V199" s="2" t="str">
        <f t="shared" si="26"/>
        <v/>
      </c>
      <c r="W199" s="2" t="str">
        <f t="shared" si="26"/>
        <v/>
      </c>
      <c r="X199" s="2">
        <f t="shared" si="26"/>
        <v>5.05</v>
      </c>
      <c r="Y199" s="2" t="str">
        <f t="shared" si="26"/>
        <v/>
      </c>
      <c r="Z199" s="2" t="str">
        <f t="shared" si="26"/>
        <v/>
      </c>
      <c r="AA199" s="23" t="str">
        <f t="shared" si="27"/>
        <v>TE14</v>
      </c>
      <c r="AB199" s="2">
        <f>$T199-VLOOKUP($B199,Scores!$AG$1:$AM$7,5,FALSE)</f>
        <v>-1.9487499999999995</v>
      </c>
      <c r="AC199" s="2">
        <f>$T199-VLOOKUP($B199,Scores!$AG$1:$AM$7,6,FALSE)</f>
        <v>-0.20000000000000018</v>
      </c>
      <c r="AD199" s="2">
        <f>$T199-VLOOKUP($B199,Scores!$AG$1:$AM$7,7,FALSE)+(ROW(A198)/1000000)</f>
        <v>-0.12980199999999989</v>
      </c>
      <c r="AE199" s="2">
        <f t="array" ref="AE199">IF('ROS Rankings'!$AD$1,IFERROR(AVERAGE(IF(INDEX($C199:$S199,14):INDEX($C199:$S199,17)="NA",0,INDEX($C199:$S199,14):INDEX($C199:$S199,17))-INDEX($AQ$2:$BG$7,MATCH($B199,$AO$2:$AO$7,0),14):INDEX($AQ$2:$BG$7,MATCH($B199,$AO$2:$AO$7,0),17)),0),IFERROR(AVERAGE(IF(INDEX($C199:$S199,Week+1):INDEX($C199:$S199,13)="NA",0,INDEX($C199:$S199,Week+1):INDEX($C199:$S199,13))-INDEX($AQ$2:$BG$7,MATCH($B199,$AO$2:$AO$7,0),Week+1):INDEX($AQ$2:$BG$7,MATCH($B199,$AO$2:$AO$7,0),13)),0))+ROW(A198)/1000000</f>
        <v>-0.67855199999999982</v>
      </c>
      <c r="AF199">
        <f t="shared" si="28"/>
        <v>129</v>
      </c>
      <c r="AG199">
        <f t="shared" si="29"/>
        <v>119</v>
      </c>
      <c r="AH199">
        <f t="shared" si="30"/>
        <v>156</v>
      </c>
      <c r="AI199">
        <f t="shared" si="31"/>
        <v>153</v>
      </c>
      <c r="AJ199" s="22">
        <f>IF(ISERROR(MATCH(A199,Rosters!$B$2:$B$155,0)),AD199,"")</f>
        <v>-0.12980199999999989</v>
      </c>
      <c r="AK199">
        <f t="shared" si="32"/>
        <v>28</v>
      </c>
      <c r="AL199" s="23">
        <f>COUNTIF(INDEX($C199:$S199,Week+1):INDEX($C199:$S199,13),"&gt;0")</f>
        <v>7</v>
      </c>
    </row>
    <row r="200" spans="1:38" x14ac:dyDescent="0.25">
      <c r="A200" t="s">
        <v>1616</v>
      </c>
      <c r="B200" t="s">
        <v>87</v>
      </c>
      <c r="C200">
        <v>0</v>
      </c>
      <c r="D200">
        <v>0</v>
      </c>
      <c r="E200" t="s">
        <v>64</v>
      </c>
      <c r="F200" t="s">
        <v>64</v>
      </c>
      <c r="G200" t="s">
        <v>64</v>
      </c>
      <c r="H200" t="s">
        <v>64</v>
      </c>
      <c r="I200" t="s">
        <v>64</v>
      </c>
      <c r="J200" t="s">
        <v>64</v>
      </c>
      <c r="K200" t="s">
        <v>64</v>
      </c>
      <c r="L200" t="s">
        <v>64</v>
      </c>
      <c r="M200" t="s">
        <v>64</v>
      </c>
      <c r="N200" t="s">
        <v>64</v>
      </c>
      <c r="O200" t="s">
        <v>64</v>
      </c>
      <c r="P200" t="s">
        <v>64</v>
      </c>
      <c r="Q200" t="s">
        <v>64</v>
      </c>
      <c r="R200" t="s">
        <v>64</v>
      </c>
      <c r="S200" t="s">
        <v>64</v>
      </c>
      <c r="T200" s="2">
        <f>IF('ROS Rankings'!$AD$1,IFERROR(AVERAGE(INDEX($C200:$S200,14):INDEX($C200:$S200,17)),0),IFERROR(AVERAGE(INDEX($C200:$S200,Week+1):INDEX($C200:$S200,13)),0))</f>
        <v>0</v>
      </c>
      <c r="U200" s="2" t="str">
        <f t="shared" si="26"/>
        <v/>
      </c>
      <c r="V200" s="2" t="str">
        <f t="shared" si="26"/>
        <v/>
      </c>
      <c r="W200" s="2">
        <f t="shared" si="26"/>
        <v>0</v>
      </c>
      <c r="X200" s="2" t="str">
        <f t="shared" si="26"/>
        <v/>
      </c>
      <c r="Y200" s="2" t="str">
        <f t="shared" si="26"/>
        <v/>
      </c>
      <c r="Z200" s="2" t="str">
        <f t="shared" si="26"/>
        <v/>
      </c>
      <c r="AA200" s="23" t="str">
        <f t="shared" si="27"/>
        <v>WR182</v>
      </c>
      <c r="AB200" s="2">
        <f>$T200-VLOOKUP($B200,Scores!$AG$1:$AM$7,5,FALSE)</f>
        <v>-10.37142857142857</v>
      </c>
      <c r="AC200" s="2">
        <f>$T200-VLOOKUP($B200,Scores!$AG$1:$AM$7,6,FALSE)</f>
        <v>-8.031428571428572</v>
      </c>
      <c r="AD200" s="2">
        <f>$T200-VLOOKUP($B200,Scores!$AG$1:$AM$7,7,FALSE)+(ROW(A199)/1000000)</f>
        <v>-6.0526581428571422</v>
      </c>
      <c r="AE200" s="2">
        <f t="array" ref="AE200">IF('ROS Rankings'!$AD$1,IFERROR(AVERAGE(IF(INDEX($C200:$S200,14):INDEX($C200:$S200,17)="NA",0,INDEX($C200:$S200,14):INDEX($C200:$S200,17))-INDEX($AQ$2:$BG$7,MATCH($B200,$AO$2:$AO$7,0),14):INDEX($AQ$2:$BG$7,MATCH($B200,$AO$2:$AO$7,0),17)),0),IFERROR(AVERAGE(IF(INDEX($C200:$S200,Week+1):INDEX($C200:$S200,13)="NA",0,INDEX($C200:$S200,Week+1):INDEX($C200:$S200,13))-INDEX($AQ$2:$BG$7,MATCH($B200,$AO$2:$AO$7,0),Week+1):INDEX($AQ$2:$BG$7,MATCH($B200,$AO$2:$AO$7,0),13)),0))+ROW(A199)/1000000</f>
        <v>-5.3560510000000008</v>
      </c>
      <c r="AF200">
        <f t="shared" si="28"/>
        <v>466</v>
      </c>
      <c r="AG200">
        <f t="shared" si="29"/>
        <v>514</v>
      </c>
      <c r="AH200">
        <f t="shared" si="30"/>
        <v>520</v>
      </c>
      <c r="AI200">
        <f t="shared" si="31"/>
        <v>512</v>
      </c>
      <c r="AJ200" s="22">
        <f>IF(ISERROR(MATCH(A200,Rosters!$B$2:$B$155,0)),AD200,"")</f>
        <v>-6.0526581428571422</v>
      </c>
      <c r="AK200">
        <f t="shared" si="32"/>
        <v>368</v>
      </c>
      <c r="AL200" s="23">
        <f>COUNTIF(INDEX($C200:$S200,Week+1):INDEX($C200:$S200,13),"&gt;0")</f>
        <v>0</v>
      </c>
    </row>
    <row r="201" spans="1:38" x14ac:dyDescent="0.25">
      <c r="A201" t="s">
        <v>4212</v>
      </c>
      <c r="B201" t="s">
        <v>114</v>
      </c>
      <c r="C201" t="s">
        <v>64</v>
      </c>
      <c r="D201">
        <v>3.15</v>
      </c>
      <c r="E201">
        <v>3.78</v>
      </c>
      <c r="F201" t="s">
        <v>64</v>
      </c>
      <c r="G201">
        <v>3.93</v>
      </c>
      <c r="H201">
        <v>3.78</v>
      </c>
      <c r="I201">
        <v>3.96</v>
      </c>
      <c r="J201">
        <v>4.2</v>
      </c>
      <c r="K201">
        <v>2.87</v>
      </c>
      <c r="L201">
        <v>3.85</v>
      </c>
      <c r="M201">
        <v>3.04</v>
      </c>
      <c r="N201">
        <v>4.4000000000000004</v>
      </c>
      <c r="O201">
        <v>2.77</v>
      </c>
      <c r="P201">
        <v>4.3600000000000003</v>
      </c>
      <c r="Q201">
        <v>2.79</v>
      </c>
      <c r="R201">
        <v>2.96</v>
      </c>
      <c r="S201">
        <v>2.7</v>
      </c>
      <c r="T201" s="2">
        <f>IF('ROS Rankings'!$AD$1,IFERROR(AVERAGE(INDEX($C201:$S201,14):INDEX($C201:$S201,17)),0),IFERROR(AVERAGE(INDEX($C201:$S201,Week+1):INDEX($C201:$S201,13)),0))</f>
        <v>3.6087500000000001</v>
      </c>
      <c r="U201" s="2" t="str">
        <f t="shared" si="26"/>
        <v/>
      </c>
      <c r="V201" s="2" t="str">
        <f t="shared" si="26"/>
        <v/>
      </c>
      <c r="W201" s="2" t="str">
        <f t="shared" si="26"/>
        <v/>
      </c>
      <c r="X201" s="2">
        <f t="shared" si="26"/>
        <v>3.6087500000000001</v>
      </c>
      <c r="Y201" s="2" t="str">
        <f t="shared" si="26"/>
        <v/>
      </c>
      <c r="Z201" s="2" t="str">
        <f t="shared" si="26"/>
        <v/>
      </c>
      <c r="AA201" s="23" t="str">
        <f t="shared" si="27"/>
        <v>TE23</v>
      </c>
      <c r="AB201" s="2">
        <f>$T201-VLOOKUP($B201,Scores!$AG$1:$AM$7,5,FALSE)</f>
        <v>-3.3899999999999992</v>
      </c>
      <c r="AC201" s="2">
        <f>$T201-VLOOKUP($B201,Scores!$AG$1:$AM$7,6,FALSE)</f>
        <v>-1.6412499999999999</v>
      </c>
      <c r="AD201" s="2">
        <f>$T201-VLOOKUP($B201,Scores!$AG$1:$AM$7,7,FALSE)+(ROW(A200)/1000000)</f>
        <v>-1.5710499999999996</v>
      </c>
      <c r="AE201" s="2">
        <f t="array" ref="AE201">IF('ROS Rankings'!$AD$1,IFERROR(AVERAGE(IF(INDEX($C201:$S201,14):INDEX($C201:$S201,17)="NA",0,INDEX($C201:$S201,14):INDEX($C201:$S201,17))-INDEX($AQ$2:$BG$7,MATCH($B201,$AO$2:$AO$7,0),14):INDEX($AQ$2:$BG$7,MATCH($B201,$AO$2:$AO$7,0),17)),0),IFERROR(AVERAGE(IF(INDEX($C201:$S201,Week+1):INDEX($C201:$S201,13)="NA",0,INDEX($C201:$S201,Week+1):INDEX($C201:$S201,13))-INDEX($AQ$2:$BG$7,MATCH($B201,$AO$2:$AO$7,0),Week+1):INDEX($AQ$2:$BG$7,MATCH($B201,$AO$2:$AO$7,0),13)),0))+ROW(A200)/1000000</f>
        <v>-1.4885499999999998</v>
      </c>
      <c r="AF201">
        <f t="shared" si="28"/>
        <v>171</v>
      </c>
      <c r="AG201">
        <f t="shared" si="29"/>
        <v>184</v>
      </c>
      <c r="AH201">
        <f t="shared" si="30"/>
        <v>229</v>
      </c>
      <c r="AI201">
        <f t="shared" si="31"/>
        <v>210</v>
      </c>
      <c r="AJ201" s="22">
        <f>IF(ISERROR(MATCH(A201,Rosters!$B$2:$B$155,0)),AD201,"")</f>
        <v>-1.5710499999999996</v>
      </c>
      <c r="AK201">
        <f t="shared" si="32"/>
        <v>86</v>
      </c>
      <c r="AL201" s="23">
        <f>COUNTIF(INDEX($C201:$S201,Week+1):INDEX($C201:$S201,13),"&gt;0")</f>
        <v>8</v>
      </c>
    </row>
    <row r="202" spans="1:38" x14ac:dyDescent="0.25">
      <c r="A202" t="s">
        <v>117</v>
      </c>
      <c r="B202" t="s">
        <v>47</v>
      </c>
      <c r="C202">
        <v>7.22</v>
      </c>
      <c r="D202">
        <v>7.42</v>
      </c>
      <c r="E202">
        <v>7.48</v>
      </c>
      <c r="F202">
        <v>6.14</v>
      </c>
      <c r="G202">
        <v>6.33</v>
      </c>
      <c r="H202">
        <v>6.88</v>
      </c>
      <c r="I202">
        <v>6.77</v>
      </c>
      <c r="J202">
        <v>6.32</v>
      </c>
      <c r="K202">
        <v>6.2</v>
      </c>
      <c r="L202">
        <v>7.15</v>
      </c>
      <c r="M202" t="s">
        <v>64</v>
      </c>
      <c r="N202">
        <v>6.65</v>
      </c>
      <c r="O202">
        <v>6.12</v>
      </c>
      <c r="P202">
        <v>6.64</v>
      </c>
      <c r="Q202">
        <v>6.05</v>
      </c>
      <c r="R202">
        <v>6.81</v>
      </c>
      <c r="S202">
        <v>6.25</v>
      </c>
      <c r="T202" s="2">
        <f>IF('ROS Rankings'!$AD$1,IFERROR(AVERAGE(INDEX($C202:$S202,14):INDEX($C202:$S202,17)),0),IFERROR(AVERAGE(INDEX($C202:$S202,Week+1):INDEX($C202:$S202,13)),0))</f>
        <v>6.5842857142857136</v>
      </c>
      <c r="U202" s="2" t="str">
        <f t="shared" si="26"/>
        <v/>
      </c>
      <c r="V202" s="2">
        <f t="shared" si="26"/>
        <v>6.5842857142857136</v>
      </c>
      <c r="W202" s="2" t="str">
        <f t="shared" si="26"/>
        <v/>
      </c>
      <c r="X202" s="2" t="str">
        <f t="shared" si="26"/>
        <v/>
      </c>
      <c r="Y202" s="2" t="str">
        <f t="shared" si="26"/>
        <v/>
      </c>
      <c r="Z202" s="2" t="str">
        <f t="shared" si="26"/>
        <v/>
      </c>
      <c r="AA202" s="23" t="str">
        <f t="shared" si="27"/>
        <v>RB41</v>
      </c>
      <c r="AB202" s="2">
        <f>$T202-VLOOKUP($B202,Scores!$AG$1:$AM$7,5,FALSE)</f>
        <v>-5.1742857142857153</v>
      </c>
      <c r="AC202" s="2">
        <f>$T202-VLOOKUP($B202,Scores!$AG$1:$AM$7,6,FALSE)</f>
        <v>-1.6857142857142877</v>
      </c>
      <c r="AD202" s="2">
        <f>$T202-VLOOKUP($B202,Scores!$AG$1:$AM$7,7,FALSE)+(ROW(A201)/1000000)</f>
        <v>0.71591528571428442</v>
      </c>
      <c r="AE202" s="2">
        <f t="array" ref="AE202">IF('ROS Rankings'!$AD$1,IFERROR(AVERAGE(IF(INDEX($C202:$S202,14):INDEX($C202:$S202,17)="NA",0,INDEX($C202:$S202,14):INDEX($C202:$S202,17))-INDEX($AQ$2:$BG$7,MATCH($B202,$AO$2:$AO$7,0),14):INDEX($AQ$2:$BG$7,MATCH($B202,$AO$2:$AO$7,0),17)),0),IFERROR(AVERAGE(IF(INDEX($C202:$S202,Week+1):INDEX($C202:$S202,13)="NA",0,INDEX($C202:$S202,Week+1):INDEX($C202:$S202,13))-INDEX($AQ$2:$BG$7,MATCH($B202,$AO$2:$AO$7,0),Week+1):INDEX($AQ$2:$BG$7,MATCH($B202,$AO$2:$AO$7,0),13)),0))+ROW(A201)/1000000</f>
        <v>0.40145100000000022</v>
      </c>
      <c r="AF202">
        <f t="shared" si="28"/>
        <v>244</v>
      </c>
      <c r="AG202">
        <f t="shared" si="29"/>
        <v>186</v>
      </c>
      <c r="AH202">
        <f t="shared" si="30"/>
        <v>110</v>
      </c>
      <c r="AI202">
        <f t="shared" si="31"/>
        <v>105</v>
      </c>
      <c r="AJ202" s="22" t="str">
        <f>IF(ISERROR(MATCH(A202,Rosters!$B$2:$B$155,0)),AD202,"")</f>
        <v/>
      </c>
      <c r="AK202" t="str">
        <f t="shared" si="32"/>
        <v/>
      </c>
      <c r="AL202" s="23">
        <f>COUNTIF(INDEX($C202:$S202,Week+1):INDEX($C202:$S202,13),"&gt;0")</f>
        <v>7</v>
      </c>
    </row>
    <row r="203" spans="1:38" x14ac:dyDescent="0.25">
      <c r="A203" t="s">
        <v>4206</v>
      </c>
      <c r="B203" t="s">
        <v>47</v>
      </c>
      <c r="C203" t="s">
        <v>64</v>
      </c>
      <c r="D203">
        <v>1.54</v>
      </c>
      <c r="E203">
        <v>5.15</v>
      </c>
      <c r="F203">
        <v>3.58</v>
      </c>
      <c r="G203">
        <v>2.88</v>
      </c>
      <c r="H203">
        <v>3.72</v>
      </c>
      <c r="I203">
        <v>3.1</v>
      </c>
      <c r="J203" t="s">
        <v>64</v>
      </c>
      <c r="K203">
        <v>2.79</v>
      </c>
      <c r="L203">
        <v>2.4900000000000002</v>
      </c>
      <c r="M203">
        <v>3.65</v>
      </c>
      <c r="N203">
        <v>3.23</v>
      </c>
      <c r="O203">
        <v>1.78</v>
      </c>
      <c r="P203">
        <v>3.19</v>
      </c>
      <c r="Q203">
        <v>2.63</v>
      </c>
      <c r="R203">
        <v>2.2000000000000002</v>
      </c>
      <c r="S203">
        <v>3.42</v>
      </c>
      <c r="T203" s="2">
        <f>IF('ROS Rankings'!$AD$1,IFERROR(AVERAGE(INDEX($C203:$S203,14):INDEX($C203:$S203,17)),0),IFERROR(AVERAGE(INDEX($C203:$S203,Week+1):INDEX($C203:$S203,13)),0))</f>
        <v>2.9657142857142857</v>
      </c>
      <c r="U203" s="2" t="str">
        <f t="shared" si="26"/>
        <v/>
      </c>
      <c r="V203" s="2">
        <f t="shared" si="26"/>
        <v>2.9657142857142857</v>
      </c>
      <c r="W203" s="2" t="str">
        <f t="shared" si="26"/>
        <v/>
      </c>
      <c r="X203" s="2" t="str">
        <f t="shared" si="26"/>
        <v/>
      </c>
      <c r="Y203" s="2" t="str">
        <f t="shared" si="26"/>
        <v/>
      </c>
      <c r="Z203" s="2" t="str">
        <f t="shared" si="26"/>
        <v/>
      </c>
      <c r="AA203" s="23" t="str">
        <f t="shared" si="27"/>
        <v>RB71</v>
      </c>
      <c r="AB203" s="2">
        <f>$T203-VLOOKUP($B203,Scores!$AG$1:$AM$7,5,FALSE)</f>
        <v>-8.7928571428571427</v>
      </c>
      <c r="AC203" s="2">
        <f>$T203-VLOOKUP($B203,Scores!$AG$1:$AM$7,6,FALSE)</f>
        <v>-5.3042857142857152</v>
      </c>
      <c r="AD203" s="2">
        <f>$T203-VLOOKUP($B203,Scores!$AG$1:$AM$7,7,FALSE)+(ROW(A202)/1000000)</f>
        <v>-2.9026551428571437</v>
      </c>
      <c r="AE203" s="2">
        <f t="array" ref="AE203">IF('ROS Rankings'!$AD$1,IFERROR(AVERAGE(IF(INDEX($C203:$S203,14):INDEX($C203:$S203,17)="NA",0,INDEX($C203:$S203,14):INDEX($C203:$S203,17))-INDEX($AQ$2:$BG$7,MATCH($B203,$AO$2:$AO$7,0),14):INDEX($AQ$2:$BG$7,MATCH($B203,$AO$2:$AO$7,0),17)),0),IFERROR(AVERAGE(IF(INDEX($C203:$S203,Week+1):INDEX($C203:$S203,13)="NA",0,INDEX($C203:$S203,Week+1):INDEX($C203:$S203,13))-INDEX($AQ$2:$BG$7,MATCH($B203,$AO$2:$AO$7,0),Week+1):INDEX($AQ$2:$BG$7,MATCH($B203,$AO$2:$AO$7,0),13)),0))+ROW(A202)/1000000</f>
        <v>-2.7647979999999999</v>
      </c>
      <c r="AF203">
        <f t="shared" si="28"/>
        <v>389</v>
      </c>
      <c r="AG203">
        <f t="shared" si="29"/>
        <v>367</v>
      </c>
      <c r="AH203">
        <f t="shared" si="30"/>
        <v>291</v>
      </c>
      <c r="AI203">
        <f t="shared" si="31"/>
        <v>282</v>
      </c>
      <c r="AJ203" s="22">
        <f>IF(ISERROR(MATCH(A203,Rosters!$B$2:$B$155,0)),AD203,"")</f>
        <v>-2.9026551428571437</v>
      </c>
      <c r="AK203">
        <f t="shared" si="32"/>
        <v>144</v>
      </c>
      <c r="AL203" s="23">
        <f>COUNTIF(INDEX($C203:$S203,Week+1):INDEX($C203:$S203,13),"&gt;0")</f>
        <v>7</v>
      </c>
    </row>
    <row r="204" spans="1:38" x14ac:dyDescent="0.25">
      <c r="A204" t="s">
        <v>1516</v>
      </c>
      <c r="B204" t="s">
        <v>87</v>
      </c>
      <c r="C204">
        <v>0</v>
      </c>
      <c r="D204">
        <v>0</v>
      </c>
      <c r="E204">
        <v>0</v>
      </c>
      <c r="F204">
        <v>0.79</v>
      </c>
      <c r="G204">
        <v>4.1100000000000003</v>
      </c>
      <c r="H204">
        <v>0.79</v>
      </c>
      <c r="I204" t="s">
        <v>64</v>
      </c>
      <c r="J204">
        <v>0.69</v>
      </c>
      <c r="K204">
        <v>0.73</v>
      </c>
      <c r="L204">
        <v>0.78</v>
      </c>
      <c r="M204">
        <v>0.66</v>
      </c>
      <c r="N204">
        <v>0.8</v>
      </c>
      <c r="O204">
        <v>0.78</v>
      </c>
      <c r="P204">
        <v>0.75</v>
      </c>
      <c r="Q204">
        <v>0.68</v>
      </c>
      <c r="R204">
        <v>0.75</v>
      </c>
      <c r="S204">
        <v>0.81</v>
      </c>
      <c r="T204" s="2">
        <f>IF('ROS Rankings'!$AD$1,IFERROR(AVERAGE(INDEX($C204:$S204,14):INDEX($C204:$S204,17)),0),IFERROR(AVERAGE(INDEX($C204:$S204,Week+1):INDEX($C204:$S204,13)),0))</f>
        <v>0.74714285714285722</v>
      </c>
      <c r="U204" s="2" t="str">
        <f t="shared" si="26"/>
        <v/>
      </c>
      <c r="V204" s="2" t="str">
        <f t="shared" si="26"/>
        <v/>
      </c>
      <c r="W204" s="2">
        <f t="shared" si="26"/>
        <v>0.74714285714285722</v>
      </c>
      <c r="X204" s="2" t="str">
        <f t="shared" si="26"/>
        <v/>
      </c>
      <c r="Y204" s="2" t="str">
        <f t="shared" si="26"/>
        <v/>
      </c>
      <c r="Z204" s="2" t="str">
        <f t="shared" si="26"/>
        <v/>
      </c>
      <c r="AA204" s="23" t="str">
        <f t="shared" si="27"/>
        <v>WR131</v>
      </c>
      <c r="AB204" s="2">
        <f>$T204-VLOOKUP($B204,Scores!$AG$1:$AM$7,5,FALSE)</f>
        <v>-9.6242857142857137</v>
      </c>
      <c r="AC204" s="2">
        <f>$T204-VLOOKUP($B204,Scores!$AG$1:$AM$7,6,FALSE)</f>
        <v>-7.2842857142857147</v>
      </c>
      <c r="AD204" s="2">
        <f>$T204-VLOOKUP($B204,Scores!$AG$1:$AM$7,7,FALSE)+(ROW(A203)/1000000)</f>
        <v>-5.3055112857142852</v>
      </c>
      <c r="AE204" s="2">
        <f t="array" ref="AE204">IF('ROS Rankings'!$AD$1,IFERROR(AVERAGE(IF(INDEX($C204:$S204,14):INDEX($C204:$S204,17)="NA",0,INDEX($C204:$S204,14):INDEX($C204:$S204,17))-INDEX($AQ$2:$BG$7,MATCH($B204,$AO$2:$AO$7,0),14):INDEX($AQ$2:$BG$7,MATCH($B204,$AO$2:$AO$7,0),17)),0),IFERROR(AVERAGE(IF(INDEX($C204:$S204,Week+1):INDEX($C204:$S204,13)="NA",0,INDEX($C204:$S204,Week+1):INDEX($C204:$S204,13))-INDEX($AQ$2:$BG$7,MATCH($B204,$AO$2:$AO$7,0),Week+1):INDEX($AQ$2:$BG$7,MATCH($B204,$AO$2:$AO$7,0),13)),0))+ROW(A203)/1000000</f>
        <v>-4.7022970000000006</v>
      </c>
      <c r="AF204">
        <f t="shared" si="28"/>
        <v>406</v>
      </c>
      <c r="AG204">
        <f t="shared" si="29"/>
        <v>421</v>
      </c>
      <c r="AH204">
        <f t="shared" si="30"/>
        <v>435</v>
      </c>
      <c r="AI204">
        <f t="shared" si="31"/>
        <v>407</v>
      </c>
      <c r="AJ204" s="22">
        <f>IF(ISERROR(MATCH(A204,Rosters!$B$2:$B$155,0)),AD204,"")</f>
        <v>-5.3055112857142852</v>
      </c>
      <c r="AK204">
        <f t="shared" si="32"/>
        <v>283</v>
      </c>
      <c r="AL204" s="23">
        <f>COUNTIF(INDEX($C204:$S204,Week+1):INDEX($C204:$S204,13),"&gt;0")</f>
        <v>7</v>
      </c>
    </row>
    <row r="205" spans="1:38" x14ac:dyDescent="0.25">
      <c r="A205" t="s">
        <v>1490</v>
      </c>
      <c r="B205" t="s">
        <v>47</v>
      </c>
      <c r="C205">
        <v>0</v>
      </c>
      <c r="D205">
        <v>0</v>
      </c>
      <c r="E205">
        <v>0</v>
      </c>
      <c r="F205">
        <v>0</v>
      </c>
      <c r="G205">
        <v>0</v>
      </c>
      <c r="H205">
        <v>0</v>
      </c>
      <c r="I205" t="s">
        <v>64</v>
      </c>
      <c r="J205">
        <v>0.62</v>
      </c>
      <c r="K205">
        <v>0.64</v>
      </c>
      <c r="L205">
        <v>0.81</v>
      </c>
      <c r="M205">
        <v>0.67</v>
      </c>
      <c r="N205">
        <v>0.55000000000000004</v>
      </c>
      <c r="O205">
        <v>0.6</v>
      </c>
      <c r="P205">
        <v>0.57999999999999996</v>
      </c>
      <c r="Q205">
        <v>0.56999999999999995</v>
      </c>
      <c r="R205">
        <v>0.71</v>
      </c>
      <c r="S205">
        <v>0.6</v>
      </c>
      <c r="T205" s="2">
        <f>IF('ROS Rankings'!$AD$1,IFERROR(AVERAGE(INDEX($C205:$S205,14):INDEX($C205:$S205,17)),0),IFERROR(AVERAGE(INDEX($C205:$S205,Week+1):INDEX($C205:$S205,13)),0))</f>
        <v>0.55571428571428572</v>
      </c>
      <c r="U205" s="2" t="str">
        <f t="shared" si="26"/>
        <v/>
      </c>
      <c r="V205" s="2">
        <f t="shared" si="26"/>
        <v>0.55571428571428572</v>
      </c>
      <c r="W205" s="2" t="str">
        <f t="shared" si="26"/>
        <v/>
      </c>
      <c r="X205" s="2" t="str">
        <f t="shared" si="26"/>
        <v/>
      </c>
      <c r="Y205" s="2" t="str">
        <f t="shared" si="26"/>
        <v/>
      </c>
      <c r="Z205" s="2" t="str">
        <f t="shared" si="26"/>
        <v/>
      </c>
      <c r="AA205" s="23" t="str">
        <f t="shared" si="27"/>
        <v>RB109</v>
      </c>
      <c r="AB205" s="2">
        <f>$T205-VLOOKUP($B205,Scores!$AG$1:$AM$7,5,FALSE)</f>
        <v>-11.202857142857143</v>
      </c>
      <c r="AC205" s="2">
        <f>$T205-VLOOKUP($B205,Scores!$AG$1:$AM$7,6,FALSE)</f>
        <v>-7.7142857142857153</v>
      </c>
      <c r="AD205" s="2">
        <f>$T205-VLOOKUP($B205,Scores!$AG$1:$AM$7,7,FALSE)+(ROW(A204)/1000000)</f>
        <v>-5.3126531428571431</v>
      </c>
      <c r="AE205" s="2">
        <f t="array" ref="AE205">IF('ROS Rankings'!$AD$1,IFERROR(AVERAGE(IF(INDEX($C205:$S205,14):INDEX($C205:$S205,17)="NA",0,INDEX($C205:$S205,14):INDEX($C205:$S205,17))-INDEX($AQ$2:$BG$7,MATCH($B205,$AO$2:$AO$7,0),14):INDEX($AQ$2:$BG$7,MATCH($B205,$AO$2:$AO$7,0),17)),0),IFERROR(AVERAGE(IF(INDEX($C205:$S205,Week+1):INDEX($C205:$S205,13)="NA",0,INDEX($C205:$S205,Week+1):INDEX($C205:$S205,13))-INDEX($AQ$2:$BG$7,MATCH($B205,$AO$2:$AO$7,0),Week+1):INDEX($AQ$2:$BG$7,MATCH($B205,$AO$2:$AO$7,0),13)),0))+ROW(A204)/1000000</f>
        <v>-4.8735459999999993</v>
      </c>
      <c r="AF205">
        <f t="shared" si="28"/>
        <v>497</v>
      </c>
      <c r="AG205">
        <f t="shared" si="29"/>
        <v>488</v>
      </c>
      <c r="AH205">
        <f t="shared" si="30"/>
        <v>438</v>
      </c>
      <c r="AI205">
        <f t="shared" si="31"/>
        <v>467</v>
      </c>
      <c r="AJ205" s="22">
        <f>IF(ISERROR(MATCH(A205,Rosters!$B$2:$B$155,0)),AD205,"")</f>
        <v>-5.3126531428571431</v>
      </c>
      <c r="AK205">
        <f t="shared" si="32"/>
        <v>286</v>
      </c>
      <c r="AL205" s="23">
        <f>COUNTIF(INDEX($C205:$S205,Week+1):INDEX($C205:$S205,13),"&gt;0")</f>
        <v>6</v>
      </c>
    </row>
    <row r="206" spans="1:38" x14ac:dyDescent="0.25">
      <c r="A206" t="s">
        <v>4244</v>
      </c>
      <c r="B206" t="s">
        <v>87</v>
      </c>
      <c r="C206" t="s">
        <v>64</v>
      </c>
      <c r="D206">
        <v>0.68</v>
      </c>
      <c r="E206">
        <v>0.55000000000000004</v>
      </c>
      <c r="F206">
        <v>0</v>
      </c>
      <c r="G206">
        <v>1.32</v>
      </c>
      <c r="H206">
        <v>0.6</v>
      </c>
      <c r="I206">
        <v>0.61</v>
      </c>
      <c r="J206" t="s">
        <v>64</v>
      </c>
      <c r="K206">
        <v>0.56000000000000005</v>
      </c>
      <c r="L206">
        <v>0.6</v>
      </c>
      <c r="M206">
        <v>0.56000000000000005</v>
      </c>
      <c r="N206">
        <v>0.56000000000000005</v>
      </c>
      <c r="O206">
        <v>0.45</v>
      </c>
      <c r="P206">
        <v>0.56999999999999995</v>
      </c>
      <c r="Q206">
        <v>0.54</v>
      </c>
      <c r="R206">
        <v>0.49</v>
      </c>
      <c r="S206">
        <v>0.55000000000000004</v>
      </c>
      <c r="T206" s="2">
        <f>IF('ROS Rankings'!$AD$1,IFERROR(AVERAGE(INDEX($C206:$S206,14):INDEX($C206:$S206,17)),0),IFERROR(AVERAGE(INDEX($C206:$S206,Week+1):INDEX($C206:$S206,13)),0))</f>
        <v>0.56285714285714294</v>
      </c>
      <c r="U206" s="2" t="str">
        <f t="shared" si="26"/>
        <v/>
      </c>
      <c r="V206" s="2" t="str">
        <f t="shared" si="26"/>
        <v/>
      </c>
      <c r="W206" s="2">
        <f t="shared" si="26"/>
        <v>0.56285714285714294</v>
      </c>
      <c r="X206" s="2" t="str">
        <f t="shared" si="26"/>
        <v/>
      </c>
      <c r="Y206" s="2" t="str">
        <f t="shared" si="26"/>
        <v/>
      </c>
      <c r="Z206" s="2" t="str">
        <f t="shared" si="26"/>
        <v/>
      </c>
      <c r="AA206" s="23" t="str">
        <f t="shared" si="27"/>
        <v>WR159</v>
      </c>
      <c r="AB206" s="2">
        <f>$T206-VLOOKUP($B206,Scores!$AG$1:$AM$7,5,FALSE)</f>
        <v>-9.8085714285714278</v>
      </c>
      <c r="AC206" s="2">
        <f>$T206-VLOOKUP($B206,Scores!$AG$1:$AM$7,6,FALSE)</f>
        <v>-7.4685714285714289</v>
      </c>
      <c r="AD206" s="2">
        <f>$T206-VLOOKUP($B206,Scores!$AG$1:$AM$7,7,FALSE)+(ROW(A205)/1000000)</f>
        <v>-5.4897949999999991</v>
      </c>
      <c r="AE206" s="2">
        <f t="array" ref="AE206">IF('ROS Rankings'!$AD$1,IFERROR(AVERAGE(IF(INDEX($C206:$S206,14):INDEX($C206:$S206,17)="NA",0,INDEX($C206:$S206,14):INDEX($C206:$S206,17))-INDEX($AQ$2:$BG$7,MATCH($B206,$AO$2:$AO$7,0),14):INDEX($AQ$2:$BG$7,MATCH($B206,$AO$2:$AO$7,0),17)),0),IFERROR(AVERAGE(IF(INDEX($C206:$S206,Week+1):INDEX($C206:$S206,13)="NA",0,INDEX($C206:$S206,Week+1):INDEX($C206:$S206,13))-INDEX($AQ$2:$BG$7,MATCH($B206,$AO$2:$AO$7,0),Week+1):INDEX($AQ$2:$BG$7,MATCH($B206,$AO$2:$AO$7,0),13)),0))+ROW(A205)/1000000</f>
        <v>-4.8635449999999993</v>
      </c>
      <c r="AF206">
        <f t="shared" si="28"/>
        <v>434</v>
      </c>
      <c r="AG206">
        <f t="shared" si="29"/>
        <v>453</v>
      </c>
      <c r="AH206">
        <f t="shared" si="30"/>
        <v>484</v>
      </c>
      <c r="AI206">
        <f t="shared" si="31"/>
        <v>459</v>
      </c>
      <c r="AJ206" s="22">
        <f>IF(ISERROR(MATCH(A206,Rosters!$B$2:$B$155,0)),AD206,"")</f>
        <v>-5.4897949999999991</v>
      </c>
      <c r="AK206">
        <f t="shared" si="32"/>
        <v>332</v>
      </c>
      <c r="AL206" s="23">
        <f>COUNTIF(INDEX($C206:$S206,Week+1):INDEX($C206:$S206,13),"&gt;0")</f>
        <v>7</v>
      </c>
    </row>
    <row r="207" spans="1:38" x14ac:dyDescent="0.25">
      <c r="A207" t="s">
        <v>241</v>
      </c>
      <c r="B207" t="s">
        <v>87</v>
      </c>
      <c r="C207">
        <v>4.46</v>
      </c>
      <c r="D207">
        <v>1.75</v>
      </c>
      <c r="E207">
        <v>1.56</v>
      </c>
      <c r="F207">
        <v>0.33</v>
      </c>
      <c r="G207">
        <v>0.34</v>
      </c>
      <c r="H207">
        <v>0.28999999999999998</v>
      </c>
      <c r="I207">
        <v>0.31</v>
      </c>
      <c r="J207">
        <v>0.34</v>
      </c>
      <c r="K207" t="s">
        <v>64</v>
      </c>
      <c r="L207">
        <v>0.34</v>
      </c>
      <c r="M207">
        <v>0.35</v>
      </c>
      <c r="N207">
        <v>0.22</v>
      </c>
      <c r="O207">
        <v>0.28000000000000003</v>
      </c>
      <c r="P207">
        <v>0.27</v>
      </c>
      <c r="Q207">
        <v>0.28999999999999998</v>
      </c>
      <c r="R207">
        <v>0.27</v>
      </c>
      <c r="S207">
        <v>0.28000000000000003</v>
      </c>
      <c r="T207" s="2">
        <f>IF('ROS Rankings'!$AD$1,IFERROR(AVERAGE(INDEX($C207:$S207,14):INDEX($C207:$S207,17)),0),IFERROR(AVERAGE(INDEX($C207:$S207,Week+1):INDEX($C207:$S207,13)),0))</f>
        <v>0.30428571428571427</v>
      </c>
      <c r="U207" s="2" t="str">
        <f t="shared" si="26"/>
        <v/>
      </c>
      <c r="V207" s="2" t="str">
        <f t="shared" si="26"/>
        <v/>
      </c>
      <c r="W207" s="2">
        <f t="shared" si="26"/>
        <v>0.30428571428571427</v>
      </c>
      <c r="X207" s="2" t="str">
        <f t="shared" si="26"/>
        <v/>
      </c>
      <c r="Y207" s="2" t="str">
        <f t="shared" si="26"/>
        <v/>
      </c>
      <c r="Z207" s="2" t="str">
        <f t="shared" si="26"/>
        <v/>
      </c>
      <c r="AA207" s="23" t="str">
        <f t="shared" si="27"/>
        <v>WR179</v>
      </c>
      <c r="AB207" s="2">
        <f>$T207-VLOOKUP($B207,Scores!$AG$1:$AM$7,5,FALSE)</f>
        <v>-10.067142857142855</v>
      </c>
      <c r="AC207" s="2">
        <f>$T207-VLOOKUP($B207,Scores!$AG$1:$AM$7,6,FALSE)</f>
        <v>-7.7271428571428578</v>
      </c>
      <c r="AD207" s="2">
        <f>$T207-VLOOKUP($B207,Scores!$AG$1:$AM$7,7,FALSE)+(ROW(A206)/1000000)</f>
        <v>-5.7483654285714278</v>
      </c>
      <c r="AE207" s="2">
        <f t="array" ref="AE207">IF('ROS Rankings'!$AD$1,IFERROR(AVERAGE(IF(INDEX($C207:$S207,14):INDEX($C207:$S207,17)="NA",0,INDEX($C207:$S207,14):INDEX($C207:$S207,17))-INDEX($AQ$2:$BG$7,MATCH($B207,$AO$2:$AO$7,0),14):INDEX($AQ$2:$BG$7,MATCH($B207,$AO$2:$AO$7,0),17)),0),IFERROR(AVERAGE(IF(INDEX($C207:$S207,Week+1):INDEX($C207:$S207,13)="NA",0,INDEX($C207:$S207,Week+1):INDEX($C207:$S207,13))-INDEX($AQ$2:$BG$7,MATCH($B207,$AO$2:$AO$7,0),Week+1):INDEX($AQ$2:$BG$7,MATCH($B207,$AO$2:$AO$7,0),13)),0))+ROW(A206)/1000000</f>
        <v>-5.0897940000000004</v>
      </c>
      <c r="AF207">
        <f t="shared" si="28"/>
        <v>460</v>
      </c>
      <c r="AG207">
        <f t="shared" si="29"/>
        <v>493</v>
      </c>
      <c r="AH207">
        <f t="shared" si="30"/>
        <v>511</v>
      </c>
      <c r="AI207">
        <f t="shared" si="31"/>
        <v>498</v>
      </c>
      <c r="AJ207" s="22">
        <f>IF(ISERROR(MATCH(A207,Rosters!$B$2:$B$155,0)),AD207,"")</f>
        <v>-5.7483654285714278</v>
      </c>
      <c r="AK207">
        <f t="shared" si="32"/>
        <v>359</v>
      </c>
      <c r="AL207" s="23">
        <f>COUNTIF(INDEX($C207:$S207,Week+1):INDEX($C207:$S207,13),"&gt;0")</f>
        <v>7</v>
      </c>
    </row>
    <row r="208" spans="1:38" x14ac:dyDescent="0.25">
      <c r="A208" t="s">
        <v>1577</v>
      </c>
      <c r="B208" t="s">
        <v>87</v>
      </c>
      <c r="C208">
        <v>0</v>
      </c>
      <c r="D208">
        <v>0</v>
      </c>
      <c r="E208" t="s">
        <v>64</v>
      </c>
      <c r="F208" t="s">
        <v>64</v>
      </c>
      <c r="G208" t="s">
        <v>64</v>
      </c>
      <c r="H208" t="s">
        <v>64</v>
      </c>
      <c r="I208" t="s">
        <v>64</v>
      </c>
      <c r="J208" t="s">
        <v>64</v>
      </c>
      <c r="K208" t="s">
        <v>64</v>
      </c>
      <c r="L208" t="s">
        <v>64</v>
      </c>
      <c r="M208" t="s">
        <v>64</v>
      </c>
      <c r="N208" t="s">
        <v>64</v>
      </c>
      <c r="O208" t="s">
        <v>64</v>
      </c>
      <c r="P208" t="s">
        <v>64</v>
      </c>
      <c r="Q208" t="s">
        <v>64</v>
      </c>
      <c r="R208" t="s">
        <v>64</v>
      </c>
      <c r="S208" t="s">
        <v>64</v>
      </c>
      <c r="T208" s="2">
        <f>IF('ROS Rankings'!$AD$1,IFERROR(AVERAGE(INDEX($C208:$S208,14):INDEX($C208:$S208,17)),0),IFERROR(AVERAGE(INDEX($C208:$S208,Week+1):INDEX($C208:$S208,13)),0))</f>
        <v>0</v>
      </c>
      <c r="U208" s="2" t="str">
        <f t="shared" si="26"/>
        <v/>
      </c>
      <c r="V208" s="2" t="str">
        <f t="shared" si="26"/>
        <v/>
      </c>
      <c r="W208" s="2">
        <f t="shared" si="26"/>
        <v>0</v>
      </c>
      <c r="X208" s="2" t="str">
        <f t="shared" si="26"/>
        <v/>
      </c>
      <c r="Y208" s="2" t="str">
        <f t="shared" si="26"/>
        <v/>
      </c>
      <c r="Z208" s="2" t="str">
        <f t="shared" si="26"/>
        <v/>
      </c>
      <c r="AA208" s="23" t="str">
        <f t="shared" si="27"/>
        <v>WR182</v>
      </c>
      <c r="AB208" s="2">
        <f>$T208-VLOOKUP($B208,Scores!$AG$1:$AM$7,5,FALSE)</f>
        <v>-10.37142857142857</v>
      </c>
      <c r="AC208" s="2">
        <f>$T208-VLOOKUP($B208,Scores!$AG$1:$AM$7,6,FALSE)</f>
        <v>-8.031428571428572</v>
      </c>
      <c r="AD208" s="2">
        <f>$T208-VLOOKUP($B208,Scores!$AG$1:$AM$7,7,FALSE)+(ROW(A207)/1000000)</f>
        <v>-6.0526501428571429</v>
      </c>
      <c r="AE208" s="2">
        <f t="array" ref="AE208">IF('ROS Rankings'!$AD$1,IFERROR(AVERAGE(IF(INDEX($C208:$S208,14):INDEX($C208:$S208,17)="NA",0,INDEX($C208:$S208,14):INDEX($C208:$S208,17))-INDEX($AQ$2:$BG$7,MATCH($B208,$AO$2:$AO$7,0),14):INDEX($AQ$2:$BG$7,MATCH($B208,$AO$2:$AO$7,0),17)),0),IFERROR(AVERAGE(IF(INDEX($C208:$S208,Week+1):INDEX($C208:$S208,13)="NA",0,INDEX($C208:$S208,Week+1):INDEX($C208:$S208,13))-INDEX($AQ$2:$BG$7,MATCH($B208,$AO$2:$AO$7,0),Week+1):INDEX($AQ$2:$BG$7,MATCH($B208,$AO$2:$AO$7,0),13)),0))+ROW(A207)/1000000</f>
        <v>-5.3560430000000014</v>
      </c>
      <c r="AF208">
        <f t="shared" si="28"/>
        <v>466</v>
      </c>
      <c r="AG208">
        <f t="shared" si="29"/>
        <v>514</v>
      </c>
      <c r="AH208">
        <f t="shared" si="30"/>
        <v>519</v>
      </c>
      <c r="AI208">
        <f t="shared" si="31"/>
        <v>511</v>
      </c>
      <c r="AJ208" s="22">
        <f>IF(ISERROR(MATCH(A208,Rosters!$B$2:$B$155,0)),AD208,"")</f>
        <v>-6.0526501428571429</v>
      </c>
      <c r="AK208">
        <f t="shared" si="32"/>
        <v>367</v>
      </c>
      <c r="AL208" s="23">
        <f>COUNTIF(INDEX($C208:$S208,Week+1):INDEX($C208:$S208,13),"&gt;0")</f>
        <v>0</v>
      </c>
    </row>
    <row r="209" spans="1:38" x14ac:dyDescent="0.25">
      <c r="A209" t="s">
        <v>189</v>
      </c>
      <c r="B209" t="s">
        <v>114</v>
      </c>
      <c r="C209">
        <v>5.89</v>
      </c>
      <c r="D209">
        <v>5.12</v>
      </c>
      <c r="E209">
        <v>0</v>
      </c>
      <c r="F209">
        <v>0</v>
      </c>
      <c r="G209">
        <v>0</v>
      </c>
      <c r="H209">
        <v>4.37</v>
      </c>
      <c r="I209">
        <v>4.93</v>
      </c>
      <c r="J209">
        <v>5.6</v>
      </c>
      <c r="K209" t="s">
        <v>64</v>
      </c>
      <c r="L209">
        <v>3.83</v>
      </c>
      <c r="M209">
        <v>5.91</v>
      </c>
      <c r="N209">
        <v>5.59</v>
      </c>
      <c r="O209">
        <v>3.76</v>
      </c>
      <c r="P209">
        <v>5.19</v>
      </c>
      <c r="Q209">
        <v>4.93</v>
      </c>
      <c r="R209">
        <v>5.25</v>
      </c>
      <c r="S209">
        <v>5.69</v>
      </c>
      <c r="T209" s="2">
        <f>IF('ROS Rankings'!$AD$1,IFERROR(AVERAGE(INDEX($C209:$S209,14):INDEX($C209:$S209,17)),0),IFERROR(AVERAGE(INDEX($C209:$S209,Week+1):INDEX($C209:$S209,13)),0))</f>
        <v>4.8557142857142859</v>
      </c>
      <c r="U209" s="2" t="str">
        <f t="shared" si="26"/>
        <v/>
      </c>
      <c r="V209" s="2" t="str">
        <f t="shared" si="26"/>
        <v/>
      </c>
      <c r="W209" s="2" t="str">
        <f t="shared" si="26"/>
        <v/>
      </c>
      <c r="X209" s="2">
        <f t="shared" si="26"/>
        <v>4.8557142857142859</v>
      </c>
      <c r="Y209" s="2" t="str">
        <f t="shared" si="26"/>
        <v/>
      </c>
      <c r="Z209" s="2" t="str">
        <f t="shared" si="26"/>
        <v/>
      </c>
      <c r="AA209" s="23" t="str">
        <f t="shared" si="27"/>
        <v>TE16</v>
      </c>
      <c r="AB209" s="2">
        <f>$T209-VLOOKUP($B209,Scores!$AG$1:$AM$7,5,FALSE)</f>
        <v>-2.1430357142857135</v>
      </c>
      <c r="AC209" s="2">
        <f>$T209-VLOOKUP($B209,Scores!$AG$1:$AM$7,6,FALSE)</f>
        <v>-0.39428571428571413</v>
      </c>
      <c r="AD209" s="2">
        <f>$T209-VLOOKUP($B209,Scores!$AG$1:$AM$7,7,FALSE)+(ROW(A208)/1000000)</f>
        <v>-0.32407771428571386</v>
      </c>
      <c r="AE209" s="2">
        <f t="array" ref="AE209">IF('ROS Rankings'!$AD$1,IFERROR(AVERAGE(IF(INDEX($C209:$S209,14):INDEX($C209:$S209,17)="NA",0,INDEX($C209:$S209,14):INDEX($C209:$S209,17))-INDEX($AQ$2:$BG$7,MATCH($B209,$AO$2:$AO$7,0),14):INDEX($AQ$2:$BG$7,MATCH($B209,$AO$2:$AO$7,0),17)),0),IFERROR(AVERAGE(IF(INDEX($C209:$S209,Week+1):INDEX($C209:$S209,13)="NA",0,INDEX($C209:$S209,Week+1):INDEX($C209:$S209,13))-INDEX($AQ$2:$BG$7,MATCH($B209,$AO$2:$AO$7,0),Week+1):INDEX($AQ$2:$BG$7,MATCH($B209,$AO$2:$AO$7,0),13)),0))+ROW(A208)/1000000</f>
        <v>-0.84854200000000002</v>
      </c>
      <c r="AF209">
        <f t="shared" si="28"/>
        <v>142</v>
      </c>
      <c r="AG209">
        <f t="shared" si="29"/>
        <v>129</v>
      </c>
      <c r="AH209">
        <f t="shared" si="30"/>
        <v>167</v>
      </c>
      <c r="AI209">
        <f t="shared" si="31"/>
        <v>162</v>
      </c>
      <c r="AJ209" s="22">
        <f>IF(ISERROR(MATCH(A209,Rosters!$B$2:$B$155,0)),AD209,"")</f>
        <v>-0.32407771428571386</v>
      </c>
      <c r="AK209">
        <f t="shared" si="32"/>
        <v>37</v>
      </c>
      <c r="AL209" s="23">
        <f>COUNTIF(INDEX($C209:$S209,Week+1):INDEX($C209:$S209,13),"&gt;0")</f>
        <v>7</v>
      </c>
    </row>
    <row r="210" spans="1:38" x14ac:dyDescent="0.25">
      <c r="A210" t="s">
        <v>1625</v>
      </c>
      <c r="B210" t="s">
        <v>114</v>
      </c>
      <c r="C210">
        <v>0</v>
      </c>
      <c r="D210">
        <v>0.26</v>
      </c>
      <c r="E210">
        <v>0</v>
      </c>
      <c r="F210">
        <v>0</v>
      </c>
      <c r="G210">
        <v>1.35</v>
      </c>
      <c r="H210">
        <v>0.48</v>
      </c>
      <c r="I210">
        <v>0.38</v>
      </c>
      <c r="J210">
        <v>0.42</v>
      </c>
      <c r="K210">
        <v>0.42</v>
      </c>
      <c r="L210">
        <v>0.43</v>
      </c>
      <c r="M210" t="s">
        <v>64</v>
      </c>
      <c r="N210">
        <v>0.41</v>
      </c>
      <c r="O210">
        <v>0.43</v>
      </c>
      <c r="P210">
        <v>0.41</v>
      </c>
      <c r="Q210">
        <v>0.43</v>
      </c>
      <c r="R210">
        <v>0.43</v>
      </c>
      <c r="S210">
        <v>0.43</v>
      </c>
      <c r="T210" s="2">
        <f>IF('ROS Rankings'!$AD$1,IFERROR(AVERAGE(INDEX($C210:$S210,14):INDEX($C210:$S210,17)),0),IFERROR(AVERAGE(INDEX($C210:$S210,Week+1):INDEX($C210:$S210,13)),0))</f>
        <v>0.42428571428571432</v>
      </c>
      <c r="U210" s="2" t="str">
        <f t="shared" si="26"/>
        <v/>
      </c>
      <c r="V210" s="2" t="str">
        <f t="shared" si="26"/>
        <v/>
      </c>
      <c r="W210" s="2" t="str">
        <f t="shared" si="26"/>
        <v/>
      </c>
      <c r="X210" s="2">
        <f t="shared" si="26"/>
        <v>0.42428571428571432</v>
      </c>
      <c r="Y210" s="2" t="str">
        <f t="shared" si="26"/>
        <v/>
      </c>
      <c r="Z210" s="2" t="str">
        <f t="shared" si="26"/>
        <v/>
      </c>
      <c r="AA210" s="23" t="str">
        <f t="shared" si="27"/>
        <v>TE95</v>
      </c>
      <c r="AB210" s="2">
        <f>$T210-VLOOKUP($B210,Scores!$AG$1:$AM$7,5,FALSE)</f>
        <v>-6.574464285714285</v>
      </c>
      <c r="AC210" s="2">
        <f>$T210-VLOOKUP($B210,Scores!$AG$1:$AM$7,6,FALSE)</f>
        <v>-4.8257142857142856</v>
      </c>
      <c r="AD210" s="2">
        <f>$T210-VLOOKUP($B210,Scores!$AG$1:$AM$7,7,FALSE)+(ROW(A209)/1000000)</f>
        <v>-4.7555052857142854</v>
      </c>
      <c r="AE210" s="2">
        <f t="array" ref="AE210">IF('ROS Rankings'!$AD$1,IFERROR(AVERAGE(IF(INDEX($C210:$S210,14):INDEX($C210:$S210,17)="NA",0,INDEX($C210:$S210,14):INDEX($C210:$S210,17))-INDEX($AQ$2:$BG$7,MATCH($B210,$AO$2:$AO$7,0),14):INDEX($AQ$2:$BG$7,MATCH($B210,$AO$2:$AO$7,0),17)),0),IFERROR(AVERAGE(IF(INDEX($C210:$S210,Week+1):INDEX($C210:$S210,13)="NA",0,INDEX($C210:$S210,Week+1):INDEX($C210:$S210,13))-INDEX($AQ$2:$BG$7,MATCH($B210,$AO$2:$AO$7,0),Week+1):INDEX($AQ$2:$BG$7,MATCH($B210,$AO$2:$AO$7,0),13)),0))+ROW(A209)/1000000</f>
        <v>-4.7260410000000004</v>
      </c>
      <c r="AF210">
        <f t="shared" si="28"/>
        <v>329</v>
      </c>
      <c r="AG210">
        <f t="shared" si="29"/>
        <v>345</v>
      </c>
      <c r="AH210">
        <f t="shared" si="30"/>
        <v>390</v>
      </c>
      <c r="AI210">
        <f t="shared" si="31"/>
        <v>414</v>
      </c>
      <c r="AJ210" s="22">
        <f>IF(ISERROR(MATCH(A210,Rosters!$B$2:$B$155,0)),AD210,"")</f>
        <v>-4.7555052857142854</v>
      </c>
      <c r="AK210">
        <f t="shared" si="32"/>
        <v>238</v>
      </c>
      <c r="AL210" s="23">
        <f>COUNTIF(INDEX($C210:$S210,Week+1):INDEX($C210:$S210,13),"&gt;0")</f>
        <v>7</v>
      </c>
    </row>
    <row r="211" spans="1:38" x14ac:dyDescent="0.25">
      <c r="A211" t="s">
        <v>1497</v>
      </c>
      <c r="B211" t="s">
        <v>15</v>
      </c>
      <c r="C211">
        <v>1.88</v>
      </c>
      <c r="D211">
        <v>1.36</v>
      </c>
      <c r="E211">
        <v>0.56999999999999995</v>
      </c>
      <c r="F211">
        <v>1.06</v>
      </c>
      <c r="G211">
        <v>0.87</v>
      </c>
      <c r="H211">
        <v>0.73</v>
      </c>
      <c r="I211">
        <v>0.83</v>
      </c>
      <c r="J211">
        <v>0.95</v>
      </c>
      <c r="K211" t="s">
        <v>64</v>
      </c>
      <c r="L211">
        <v>0.64</v>
      </c>
      <c r="M211">
        <v>0.94</v>
      </c>
      <c r="N211">
        <v>0.95</v>
      </c>
      <c r="O211">
        <v>0.61</v>
      </c>
      <c r="P211">
        <v>0.98</v>
      </c>
      <c r="Q211">
        <v>0.99</v>
      </c>
      <c r="R211">
        <v>0.88</v>
      </c>
      <c r="S211">
        <v>0.9</v>
      </c>
      <c r="T211" s="2">
        <f>IF('ROS Rankings'!$AD$1,IFERROR(AVERAGE(INDEX($C211:$S211,14):INDEX($C211:$S211,17)),0),IFERROR(AVERAGE(INDEX($C211:$S211,Week+1):INDEX($C211:$S211,13)),0))</f>
        <v>0.80714285714285716</v>
      </c>
      <c r="U211" s="2">
        <f t="shared" si="26"/>
        <v>0.80714285714285716</v>
      </c>
      <c r="V211" s="2" t="str">
        <f t="shared" si="26"/>
        <v/>
      </c>
      <c r="W211" s="2" t="str">
        <f t="shared" si="26"/>
        <v/>
      </c>
      <c r="X211" s="2" t="str">
        <f t="shared" si="26"/>
        <v/>
      </c>
      <c r="Y211" s="2" t="str">
        <f t="shared" si="26"/>
        <v/>
      </c>
      <c r="Z211" s="2" t="str">
        <f t="shared" si="26"/>
        <v/>
      </c>
      <c r="AA211" s="23" t="str">
        <f t="shared" si="27"/>
        <v>QB49</v>
      </c>
      <c r="AB211" s="2">
        <f>$T211-VLOOKUP($B211,Scores!$AG$1:$AM$7,5,FALSE)</f>
        <v>-20.077142857142857</v>
      </c>
      <c r="AC211" s="2">
        <f>$T211-VLOOKUP($B211,Scores!$AG$1:$AM$7,6,FALSE)</f>
        <v>-19.096607142857142</v>
      </c>
      <c r="AD211" s="2">
        <f>$T211-VLOOKUP($B211,Scores!$AG$1:$AM$7,7,FALSE)+(ROW(A210)/1000000)</f>
        <v>-18.69264714285714</v>
      </c>
      <c r="AE211" s="2">
        <f t="array" ref="AE211">IF('ROS Rankings'!$AD$1,IFERROR(AVERAGE(IF(INDEX($C211:$S211,14):INDEX($C211:$S211,17)="NA",0,INDEX($C211:$S211,14):INDEX($C211:$S211,17))-INDEX($AQ$2:$BG$7,MATCH($B211,$AO$2:$AO$7,0),14):INDEX($AQ$2:$BG$7,MATCH($B211,$AO$2:$AO$7,0),17)),0),IFERROR(AVERAGE(IF(INDEX($C211:$S211,Week+1):INDEX($C211:$S211,13)="NA",0,INDEX($C211:$S211,Week+1):INDEX($C211:$S211,13))-INDEX($AQ$2:$BG$7,MATCH($B211,$AO$2:$AO$7,0),Week+1):INDEX($AQ$2:$BG$7,MATCH($B211,$AO$2:$AO$7,0),13)),0))+ROW(A210)/1000000</f>
        <v>-17.796040000000001</v>
      </c>
      <c r="AF211">
        <f t="shared" si="28"/>
        <v>540</v>
      </c>
      <c r="AG211">
        <f t="shared" si="29"/>
        <v>540</v>
      </c>
      <c r="AH211">
        <f t="shared" si="30"/>
        <v>540</v>
      </c>
      <c r="AI211">
        <f t="shared" si="31"/>
        <v>540</v>
      </c>
      <c r="AJ211" s="22">
        <f>IF(ISERROR(MATCH(A211,Rosters!$B$2:$B$155,0)),AD211,"")</f>
        <v>-18.69264714285714</v>
      </c>
      <c r="AK211">
        <f t="shared" si="32"/>
        <v>387</v>
      </c>
      <c r="AL211" s="23">
        <f>COUNTIF(INDEX($C211:$S211,Week+1):INDEX($C211:$S211,13),"&gt;0")</f>
        <v>7</v>
      </c>
    </row>
    <row r="212" spans="1:38" x14ac:dyDescent="0.25">
      <c r="A212" t="s">
        <v>142</v>
      </c>
      <c r="B212" t="s">
        <v>47</v>
      </c>
      <c r="C212">
        <v>1.55</v>
      </c>
      <c r="D212">
        <v>1.62</v>
      </c>
      <c r="E212">
        <v>4.7300000000000004</v>
      </c>
      <c r="F212">
        <v>3.2</v>
      </c>
      <c r="G212" t="s">
        <v>64</v>
      </c>
      <c r="H212">
        <v>3.53</v>
      </c>
      <c r="I212">
        <v>2.95</v>
      </c>
      <c r="J212">
        <v>2.84</v>
      </c>
      <c r="K212">
        <v>2.58</v>
      </c>
      <c r="L212">
        <v>2.92</v>
      </c>
      <c r="M212">
        <v>2.86</v>
      </c>
      <c r="N212">
        <v>3.65</v>
      </c>
      <c r="O212">
        <v>2.73</v>
      </c>
      <c r="P212">
        <v>3.64</v>
      </c>
      <c r="Q212">
        <v>2.97</v>
      </c>
      <c r="R212">
        <v>3.66</v>
      </c>
      <c r="S212">
        <v>3.78</v>
      </c>
      <c r="T212" s="2">
        <f>IF('ROS Rankings'!$AD$1,IFERROR(AVERAGE(INDEX($C212:$S212,14):INDEX($C212:$S212,17)),0),IFERROR(AVERAGE(INDEX($C212:$S212,Week+1):INDEX($C212:$S212,13)),0))</f>
        <v>3.0074999999999998</v>
      </c>
      <c r="U212" s="2" t="str">
        <f t="shared" si="26"/>
        <v/>
      </c>
      <c r="V212" s="2">
        <f t="shared" si="26"/>
        <v>3.0074999999999998</v>
      </c>
      <c r="W212" s="2" t="str">
        <f t="shared" si="26"/>
        <v/>
      </c>
      <c r="X212" s="2" t="str">
        <f t="shared" si="26"/>
        <v/>
      </c>
      <c r="Y212" s="2" t="str">
        <f t="shared" si="26"/>
        <v/>
      </c>
      <c r="Z212" s="2" t="str">
        <f t="shared" si="26"/>
        <v/>
      </c>
      <c r="AA212" s="23" t="str">
        <f t="shared" si="27"/>
        <v>RB69</v>
      </c>
      <c r="AB212" s="2">
        <f>$T212-VLOOKUP($B212,Scores!$AG$1:$AM$7,5,FALSE)</f>
        <v>-8.7510714285714286</v>
      </c>
      <c r="AC212" s="2">
        <f>$T212-VLOOKUP($B212,Scores!$AG$1:$AM$7,6,FALSE)</f>
        <v>-5.2625000000000011</v>
      </c>
      <c r="AD212" s="2">
        <f>$T212-VLOOKUP($B212,Scores!$AG$1:$AM$7,7,FALSE)+(ROW(A211)/1000000)</f>
        <v>-2.8608604285714292</v>
      </c>
      <c r="AE212" s="2">
        <f t="array" ref="AE212">IF('ROS Rankings'!$AD$1,IFERROR(AVERAGE(IF(INDEX($C212:$S212,14):INDEX($C212:$S212,17)="NA",0,INDEX($C212:$S212,14):INDEX($C212:$S212,17))-INDEX($AQ$2:$BG$7,MATCH($B212,$AO$2:$AO$7,0),14):INDEX($AQ$2:$BG$7,MATCH($B212,$AO$2:$AO$7,0),17)),0),IFERROR(AVERAGE(IF(INDEX($C212:$S212,Week+1):INDEX($C212:$S212,13)="NA",0,INDEX($C212:$S212,Week+1):INDEX($C212:$S212,13))-INDEX($AQ$2:$BG$7,MATCH($B212,$AO$2:$AO$7,0),Week+1):INDEX($AQ$2:$BG$7,MATCH($B212,$AO$2:$AO$7,0),13)),0))+ROW(A211)/1000000</f>
        <v>-2.3522889999999999</v>
      </c>
      <c r="AF212">
        <f t="shared" si="28"/>
        <v>387</v>
      </c>
      <c r="AG212">
        <f t="shared" si="29"/>
        <v>365</v>
      </c>
      <c r="AH212">
        <f t="shared" si="30"/>
        <v>288</v>
      </c>
      <c r="AI212">
        <f t="shared" si="31"/>
        <v>257</v>
      </c>
      <c r="AJ212" s="22">
        <f>IF(ISERROR(MATCH(A212,Rosters!$B$2:$B$155,0)),AD212,"")</f>
        <v>-2.8608604285714292</v>
      </c>
      <c r="AK212">
        <f t="shared" si="32"/>
        <v>142</v>
      </c>
      <c r="AL212" s="23">
        <f>COUNTIF(INDEX($C212:$S212,Week+1):INDEX($C212:$S212,13),"&gt;0")</f>
        <v>8</v>
      </c>
    </row>
    <row r="213" spans="1:38" x14ac:dyDescent="0.25">
      <c r="A213" t="s">
        <v>1484</v>
      </c>
      <c r="B213" t="s">
        <v>114</v>
      </c>
      <c r="C213">
        <v>1.8</v>
      </c>
      <c r="D213">
        <v>2.09</v>
      </c>
      <c r="E213">
        <v>4.2300000000000004</v>
      </c>
      <c r="F213">
        <v>0</v>
      </c>
      <c r="G213" t="s">
        <v>64</v>
      </c>
      <c r="H213" t="s">
        <v>64</v>
      </c>
      <c r="I213" t="s">
        <v>64</v>
      </c>
      <c r="J213" t="s">
        <v>64</v>
      </c>
      <c r="K213" t="s">
        <v>64</v>
      </c>
      <c r="L213" t="s">
        <v>64</v>
      </c>
      <c r="M213" t="s">
        <v>64</v>
      </c>
      <c r="N213" t="s">
        <v>64</v>
      </c>
      <c r="O213" t="s">
        <v>64</v>
      </c>
      <c r="P213" t="s">
        <v>64</v>
      </c>
      <c r="Q213" t="s">
        <v>64</v>
      </c>
      <c r="R213" t="s">
        <v>64</v>
      </c>
      <c r="S213" t="s">
        <v>64</v>
      </c>
      <c r="T213" s="2">
        <f>IF('ROS Rankings'!$AD$1,IFERROR(AVERAGE(INDEX($C213:$S213,14):INDEX($C213:$S213,17)),0),IFERROR(AVERAGE(INDEX($C213:$S213,Week+1):INDEX($C213:$S213,13)),0))</f>
        <v>0</v>
      </c>
      <c r="U213" s="2" t="str">
        <f t="shared" si="26"/>
        <v/>
      </c>
      <c r="V213" s="2" t="str">
        <f t="shared" si="26"/>
        <v/>
      </c>
      <c r="W213" s="2" t="str">
        <f t="shared" si="26"/>
        <v/>
      </c>
      <c r="X213" s="2">
        <f t="shared" si="26"/>
        <v>0</v>
      </c>
      <c r="Y213" s="2" t="str">
        <f t="shared" si="26"/>
        <v/>
      </c>
      <c r="Z213" s="2" t="str">
        <f t="shared" si="26"/>
        <v/>
      </c>
      <c r="AA213" s="23" t="str">
        <f t="shared" si="27"/>
        <v>TE102</v>
      </c>
      <c r="AB213" s="2">
        <f>$T213-VLOOKUP($B213,Scores!$AG$1:$AM$7,5,FALSE)</f>
        <v>-6.9987499999999994</v>
      </c>
      <c r="AC213" s="2">
        <f>$T213-VLOOKUP($B213,Scores!$AG$1:$AM$7,6,FALSE)</f>
        <v>-5.25</v>
      </c>
      <c r="AD213" s="2">
        <f>$T213-VLOOKUP($B213,Scores!$AG$1:$AM$7,7,FALSE)+(ROW(A212)/1000000)</f>
        <v>-5.1797879999999994</v>
      </c>
      <c r="AE213" s="2">
        <f t="array" ref="AE213">IF('ROS Rankings'!$AD$1,IFERROR(AVERAGE(IF(INDEX($C213:$S213,14):INDEX($C213:$S213,17)="NA",0,INDEX($C213:$S213,14):INDEX($C213:$S213,17))-INDEX($AQ$2:$BG$7,MATCH($B213,$AO$2:$AO$7,0),14):INDEX($AQ$2:$BG$7,MATCH($B213,$AO$2:$AO$7,0),17)),0),IFERROR(AVERAGE(IF(INDEX($C213:$S213,Week+1):INDEX($C213:$S213,13)="NA",0,INDEX($C213:$S213,Week+1):INDEX($C213:$S213,13))-INDEX($AQ$2:$BG$7,MATCH($B213,$AO$2:$AO$7,0),Week+1):INDEX($AQ$2:$BG$7,MATCH($B213,$AO$2:$AO$7,0),13)),0))+ROW(A212)/1000000</f>
        <v>-5.0972879999999998</v>
      </c>
      <c r="AF213">
        <f t="shared" si="28"/>
        <v>346</v>
      </c>
      <c r="AG213">
        <f t="shared" si="29"/>
        <v>362</v>
      </c>
      <c r="AH213">
        <f t="shared" si="30"/>
        <v>418</v>
      </c>
      <c r="AI213">
        <f t="shared" si="31"/>
        <v>499</v>
      </c>
      <c r="AJ213" s="22">
        <f>IF(ISERROR(MATCH(A213,Rosters!$B$2:$B$155,0)),AD213,"")</f>
        <v>-5.1797879999999994</v>
      </c>
      <c r="AK213">
        <f t="shared" si="32"/>
        <v>266</v>
      </c>
      <c r="AL213" s="23">
        <f>COUNTIF(INDEX($C213:$S213,Week+1):INDEX($C213:$S213,13),"&gt;0")</f>
        <v>0</v>
      </c>
    </row>
    <row r="214" spans="1:38" x14ac:dyDescent="0.25">
      <c r="A214" t="s">
        <v>378</v>
      </c>
      <c r="B214" t="s">
        <v>87</v>
      </c>
      <c r="C214">
        <v>0.43</v>
      </c>
      <c r="D214">
        <v>0.43</v>
      </c>
      <c r="E214">
        <v>0.28000000000000003</v>
      </c>
      <c r="F214">
        <v>3.01</v>
      </c>
      <c r="G214">
        <v>4.5</v>
      </c>
      <c r="H214">
        <v>3.05</v>
      </c>
      <c r="I214">
        <v>2.5099999999999998</v>
      </c>
      <c r="J214">
        <v>3.11</v>
      </c>
      <c r="K214">
        <v>3.46</v>
      </c>
      <c r="L214">
        <v>3.03</v>
      </c>
      <c r="M214" t="s">
        <v>64</v>
      </c>
      <c r="N214">
        <v>3.07</v>
      </c>
      <c r="O214">
        <v>3.62</v>
      </c>
      <c r="P214">
        <v>2.97</v>
      </c>
      <c r="Q214">
        <v>3.46</v>
      </c>
      <c r="R214">
        <v>2.66</v>
      </c>
      <c r="S214">
        <v>3.5</v>
      </c>
      <c r="T214" s="2">
        <f>IF('ROS Rankings'!$AD$1,IFERROR(AVERAGE(INDEX($C214:$S214,14):INDEX($C214:$S214,17)),0),IFERROR(AVERAGE(INDEX($C214:$S214,Week+1):INDEX($C214:$S214,13)),0))</f>
        <v>3.121428571428571</v>
      </c>
      <c r="U214" s="2" t="str">
        <f t="shared" si="26"/>
        <v/>
      </c>
      <c r="V214" s="2" t="str">
        <f t="shared" si="26"/>
        <v/>
      </c>
      <c r="W214" s="2">
        <f t="shared" si="26"/>
        <v>3.121428571428571</v>
      </c>
      <c r="X214" s="2" t="str">
        <f t="shared" si="26"/>
        <v/>
      </c>
      <c r="Y214" s="2" t="str">
        <f t="shared" si="26"/>
        <v/>
      </c>
      <c r="Z214" s="2" t="str">
        <f t="shared" si="26"/>
        <v/>
      </c>
      <c r="AA214" s="23" t="str">
        <f t="shared" si="27"/>
        <v>WR95</v>
      </c>
      <c r="AB214" s="2">
        <f>$T214-VLOOKUP($B214,Scores!$AG$1:$AM$7,5,FALSE)</f>
        <v>-7.2499999999999991</v>
      </c>
      <c r="AC214" s="2">
        <f>$T214-VLOOKUP($B214,Scores!$AG$1:$AM$7,6,FALSE)</f>
        <v>-4.910000000000001</v>
      </c>
      <c r="AD214" s="2">
        <f>$T214-VLOOKUP($B214,Scores!$AG$1:$AM$7,7,FALSE)+(ROW(A213)/1000000)</f>
        <v>-2.9312155714285715</v>
      </c>
      <c r="AE214" s="2">
        <f t="array" ref="AE214">IF('ROS Rankings'!$AD$1,IFERROR(AVERAGE(IF(INDEX($C214:$S214,14):INDEX($C214:$S214,17)="NA",0,INDEX($C214:$S214,14):INDEX($C214:$S214,17))-INDEX($AQ$2:$BG$7,MATCH($B214,$AO$2:$AO$7,0),14):INDEX($AQ$2:$BG$7,MATCH($B214,$AO$2:$AO$7,0),17)),0),IFERROR(AVERAGE(IF(INDEX($C214:$S214,Week+1):INDEX($C214:$S214,13)="NA",0,INDEX($C214:$S214,Week+1):INDEX($C214:$S214,13))-INDEX($AQ$2:$BG$7,MATCH($B214,$AO$2:$AO$7,0),Week+1):INDEX($AQ$2:$BG$7,MATCH($B214,$AO$2:$AO$7,0),13)),0))+ROW(A213)/1000000</f>
        <v>-2.624787</v>
      </c>
      <c r="AF214">
        <f t="shared" si="28"/>
        <v>356</v>
      </c>
      <c r="AG214">
        <f t="shared" si="29"/>
        <v>352</v>
      </c>
      <c r="AH214">
        <f t="shared" si="30"/>
        <v>295</v>
      </c>
      <c r="AI214">
        <f t="shared" si="31"/>
        <v>271</v>
      </c>
      <c r="AJ214" s="22">
        <f>IF(ISERROR(MATCH(A214,Rosters!$B$2:$B$155,0)),AD214,"")</f>
        <v>-2.9312155714285715</v>
      </c>
      <c r="AK214">
        <f t="shared" si="32"/>
        <v>148</v>
      </c>
      <c r="AL214" s="23">
        <f>COUNTIF(INDEX($C214:$S214,Week+1):INDEX($C214:$S214,13),"&gt;0")</f>
        <v>7</v>
      </c>
    </row>
    <row r="215" spans="1:38" x14ac:dyDescent="0.25">
      <c r="A215" t="s">
        <v>232</v>
      </c>
      <c r="B215" t="s">
        <v>47</v>
      </c>
      <c r="C215">
        <v>1.95</v>
      </c>
      <c r="D215">
        <v>1.1299999999999999</v>
      </c>
      <c r="E215">
        <v>1.81</v>
      </c>
      <c r="F215">
        <v>3.77</v>
      </c>
      <c r="G215">
        <v>5.56</v>
      </c>
      <c r="H215">
        <v>5.14</v>
      </c>
      <c r="I215" t="s">
        <v>64</v>
      </c>
      <c r="J215">
        <v>6.16</v>
      </c>
      <c r="K215">
        <v>5.49</v>
      </c>
      <c r="L215">
        <v>5.89</v>
      </c>
      <c r="M215">
        <v>4.76</v>
      </c>
      <c r="N215">
        <v>3.93</v>
      </c>
      <c r="O215">
        <v>5.8</v>
      </c>
      <c r="P215">
        <v>5.67</v>
      </c>
      <c r="Q215">
        <v>5.7</v>
      </c>
      <c r="R215">
        <v>4.8499999999999996</v>
      </c>
      <c r="S215">
        <v>5.47</v>
      </c>
      <c r="T215" s="2">
        <f>IF('ROS Rankings'!$AD$1,IFERROR(AVERAGE(INDEX($C215:$S215,14):INDEX($C215:$S215,17)),0),IFERROR(AVERAGE(INDEX($C215:$S215,Week+1):INDEX($C215:$S215,13)),0))</f>
        <v>5.31</v>
      </c>
      <c r="U215" s="2" t="str">
        <f t="shared" si="26"/>
        <v/>
      </c>
      <c r="V215" s="2">
        <f t="shared" si="26"/>
        <v>5.31</v>
      </c>
      <c r="W215" s="2" t="str">
        <f t="shared" si="26"/>
        <v/>
      </c>
      <c r="X215" s="2" t="str">
        <f t="shared" si="26"/>
        <v/>
      </c>
      <c r="Y215" s="2" t="str">
        <f t="shared" si="26"/>
        <v/>
      </c>
      <c r="Z215" s="2" t="str">
        <f t="shared" si="26"/>
        <v/>
      </c>
      <c r="AA215" s="23" t="str">
        <f t="shared" si="27"/>
        <v>RB55</v>
      </c>
      <c r="AB215" s="2">
        <f>$T215-VLOOKUP($B215,Scores!$AG$1:$AM$7,5,FALSE)</f>
        <v>-6.4485714285714293</v>
      </c>
      <c r="AC215" s="2">
        <f>$T215-VLOOKUP($B215,Scores!$AG$1:$AM$7,6,FALSE)</f>
        <v>-2.9600000000000017</v>
      </c>
      <c r="AD215" s="2">
        <f>$T215-VLOOKUP($B215,Scores!$AG$1:$AM$7,7,FALSE)+(ROW(A214)/1000000)</f>
        <v>-0.55835742857142956</v>
      </c>
      <c r="AE215" s="2">
        <f t="array" ref="AE215">IF('ROS Rankings'!$AD$1,IFERROR(AVERAGE(IF(INDEX($C215:$S215,14):INDEX($C215:$S215,17)="NA",0,INDEX($C215:$S215,14):INDEX($C215:$S215,17))-INDEX($AQ$2:$BG$7,MATCH($B215,$AO$2:$AO$7,0),14):INDEX($AQ$2:$BG$7,MATCH($B215,$AO$2:$AO$7,0),17)),0),IFERROR(AVERAGE(IF(INDEX($C215:$S215,Week+1):INDEX($C215:$S215,13)="NA",0,INDEX($C215:$S215,Week+1):INDEX($C215:$S215,13))-INDEX($AQ$2:$BG$7,MATCH($B215,$AO$2:$AO$7,0),Week+1):INDEX($AQ$2:$BG$7,MATCH($B215,$AO$2:$AO$7,0),13)),0))+ROW(A214)/1000000</f>
        <v>-0.71353599999999995</v>
      </c>
      <c r="AF215">
        <f t="shared" si="28"/>
        <v>307</v>
      </c>
      <c r="AG215">
        <f t="shared" si="29"/>
        <v>239</v>
      </c>
      <c r="AH215">
        <f t="shared" si="30"/>
        <v>177</v>
      </c>
      <c r="AI215">
        <f t="shared" si="31"/>
        <v>156</v>
      </c>
      <c r="AJ215" s="22">
        <f>IF(ISERROR(MATCH(A215,Rosters!$B$2:$B$155,0)),AD215,"")</f>
        <v>-0.55835742857142956</v>
      </c>
      <c r="AK215">
        <f t="shared" si="32"/>
        <v>45</v>
      </c>
      <c r="AL215" s="23">
        <f>COUNTIF(INDEX($C215:$S215,Week+1):INDEX($C215:$S215,13),"&gt;0")</f>
        <v>7</v>
      </c>
    </row>
    <row r="216" spans="1:38" x14ac:dyDescent="0.25">
      <c r="A216" t="s">
        <v>205</v>
      </c>
      <c r="B216" t="s">
        <v>47</v>
      </c>
      <c r="C216">
        <v>10.8</v>
      </c>
      <c r="D216">
        <v>10</v>
      </c>
      <c r="E216">
        <v>7.68</v>
      </c>
      <c r="F216">
        <v>6.85</v>
      </c>
      <c r="G216">
        <v>6.53</v>
      </c>
      <c r="H216">
        <v>6.51</v>
      </c>
      <c r="I216" t="s">
        <v>64</v>
      </c>
      <c r="J216">
        <v>7.24</v>
      </c>
      <c r="K216">
        <v>6.9</v>
      </c>
      <c r="L216">
        <v>6.13</v>
      </c>
      <c r="M216">
        <v>5.81</v>
      </c>
      <c r="N216">
        <v>6.32</v>
      </c>
      <c r="O216">
        <v>7.43</v>
      </c>
      <c r="P216">
        <v>7.59</v>
      </c>
      <c r="Q216">
        <v>6.66</v>
      </c>
      <c r="R216">
        <v>6.29</v>
      </c>
      <c r="S216">
        <v>6.94</v>
      </c>
      <c r="T216" s="2">
        <f>IF('ROS Rankings'!$AD$1,IFERROR(AVERAGE(INDEX($C216:$S216,14):INDEX($C216:$S216,17)),0),IFERROR(AVERAGE(INDEX($C216:$S216,Week+1):INDEX($C216:$S216,13)),0))</f>
        <v>6.6199999999999992</v>
      </c>
      <c r="U216" s="2" t="str">
        <f t="shared" si="26"/>
        <v/>
      </c>
      <c r="V216" s="2">
        <f t="shared" si="26"/>
        <v>6.6199999999999992</v>
      </c>
      <c r="W216" s="2" t="str">
        <f t="shared" si="26"/>
        <v/>
      </c>
      <c r="X216" s="2" t="str">
        <f t="shared" ref="X216:Z279" si="33">IF($B216=X$1,$T216,"")</f>
        <v/>
      </c>
      <c r="Y216" s="2" t="str">
        <f t="shared" si="33"/>
        <v/>
      </c>
      <c r="Z216" s="2" t="str">
        <f t="shared" si="33"/>
        <v/>
      </c>
      <c r="AA216" s="23" t="str">
        <f t="shared" si="27"/>
        <v>RB40</v>
      </c>
      <c r="AB216" s="2">
        <f>$T216-VLOOKUP($B216,Scores!$AG$1:$AM$7,5,FALSE)</f>
        <v>-5.1385714285714297</v>
      </c>
      <c r="AC216" s="2">
        <f>$T216-VLOOKUP($B216,Scores!$AG$1:$AM$7,6,FALSE)</f>
        <v>-1.6500000000000021</v>
      </c>
      <c r="AD216" s="2">
        <f>$T216-VLOOKUP($B216,Scores!$AG$1:$AM$7,7,FALSE)+(ROW(A215)/1000000)</f>
        <v>0.75164357142856997</v>
      </c>
      <c r="AE216" s="2">
        <f t="array" ref="AE216">IF('ROS Rankings'!$AD$1,IFERROR(AVERAGE(IF(INDEX($C216:$S216,14):INDEX($C216:$S216,17)="NA",0,INDEX($C216:$S216,14):INDEX($C216:$S216,17))-INDEX($AQ$2:$BG$7,MATCH($B216,$AO$2:$AO$7,0),14):INDEX($AQ$2:$BG$7,MATCH($B216,$AO$2:$AO$7,0),17)),0),IFERROR(AVERAGE(IF(INDEX($C216:$S216,Week+1):INDEX($C216:$S216,13)="NA",0,INDEX($C216:$S216,Week+1):INDEX($C216:$S216,13))-INDEX($AQ$2:$BG$7,MATCH($B216,$AO$2:$AO$7,0),Week+1):INDEX($AQ$2:$BG$7,MATCH($B216,$AO$2:$AO$7,0),13)),0))+ROW(A215)/1000000</f>
        <v>0.43271500000000013</v>
      </c>
      <c r="AF216">
        <f t="shared" si="28"/>
        <v>241</v>
      </c>
      <c r="AG216">
        <f t="shared" si="29"/>
        <v>185</v>
      </c>
      <c r="AH216">
        <f t="shared" si="30"/>
        <v>108</v>
      </c>
      <c r="AI216">
        <f t="shared" si="31"/>
        <v>104</v>
      </c>
      <c r="AJ216" s="22">
        <f>IF(ISERROR(MATCH(A216,Rosters!$B$2:$B$155,0)),AD216,"")</f>
        <v>0.75164357142856997</v>
      </c>
      <c r="AK216">
        <f t="shared" si="32"/>
        <v>4</v>
      </c>
      <c r="AL216" s="23">
        <f>COUNTIF(INDEX($C216:$S216,Week+1):INDEX($C216:$S216,13),"&gt;0")</f>
        <v>7</v>
      </c>
    </row>
    <row r="217" spans="1:38" x14ac:dyDescent="0.25">
      <c r="A217" t="s">
        <v>61</v>
      </c>
      <c r="B217" t="s">
        <v>15</v>
      </c>
      <c r="C217">
        <v>0</v>
      </c>
      <c r="D217">
        <v>0</v>
      </c>
      <c r="E217">
        <v>0</v>
      </c>
      <c r="F217">
        <v>0.72</v>
      </c>
      <c r="G217" t="s">
        <v>64</v>
      </c>
      <c r="H217">
        <v>19.809999999999999</v>
      </c>
      <c r="I217">
        <v>18.38</v>
      </c>
      <c r="J217">
        <v>20.48</v>
      </c>
      <c r="K217">
        <v>16.53</v>
      </c>
      <c r="L217">
        <v>20.29</v>
      </c>
      <c r="M217">
        <v>19.420000000000002</v>
      </c>
      <c r="N217">
        <v>21.79</v>
      </c>
      <c r="O217">
        <v>17.510000000000002</v>
      </c>
      <c r="P217">
        <v>21.55</v>
      </c>
      <c r="Q217">
        <v>15.72</v>
      </c>
      <c r="R217">
        <v>18.73</v>
      </c>
      <c r="S217">
        <v>21.04</v>
      </c>
      <c r="T217" s="2">
        <f>IF('ROS Rankings'!$AD$1,IFERROR(AVERAGE(INDEX($C217:$S217,14):INDEX($C217:$S217,17)),0),IFERROR(AVERAGE(INDEX($C217:$S217,Week+1):INDEX($C217:$S217,13)),0))</f>
        <v>19.276250000000001</v>
      </c>
      <c r="U217" s="2">
        <f t="shared" ref="U217:Z280" si="34">IF($B217=U$1,$T217,"")</f>
        <v>19.276250000000001</v>
      </c>
      <c r="V217" s="2" t="str">
        <f t="shared" si="34"/>
        <v/>
      </c>
      <c r="W217" s="2" t="str">
        <f t="shared" si="34"/>
        <v/>
      </c>
      <c r="X217" s="2" t="str">
        <f t="shared" si="34"/>
        <v/>
      </c>
      <c r="Y217" s="2" t="str">
        <f t="shared" si="34"/>
        <v/>
      </c>
      <c r="Z217" s="2" t="str">
        <f t="shared" si="34"/>
        <v/>
      </c>
      <c r="AA217" s="23" t="str">
        <f t="shared" si="27"/>
        <v>QB15</v>
      </c>
      <c r="AB217" s="2">
        <f>$T217-VLOOKUP($B217,Scores!$AG$1:$AM$7,5,FALSE)</f>
        <v>-1.6080357142857125</v>
      </c>
      <c r="AC217" s="2">
        <f>$T217-VLOOKUP($B217,Scores!$AG$1:$AM$7,6,FALSE)</f>
        <v>-0.62749999999999773</v>
      </c>
      <c r="AD217" s="2">
        <f>$T217-VLOOKUP($B217,Scores!$AG$1:$AM$7,7,FALSE)+(ROW(A216)/1000000)</f>
        <v>-0.22353399999999546</v>
      </c>
      <c r="AE217" s="2">
        <f t="array" ref="AE217">IF('ROS Rankings'!$AD$1,IFERROR(AVERAGE(IF(INDEX($C217:$S217,14):INDEX($C217:$S217,17)="NA",0,INDEX($C217:$S217,14):INDEX($C217:$S217,17))-INDEX($AQ$2:$BG$7,MATCH($B217,$AO$2:$AO$7,0),14):INDEX($AQ$2:$BG$7,MATCH($B217,$AO$2:$AO$7,0),17)),0),IFERROR(AVERAGE(IF(INDEX($C217:$S217,Week+1):INDEX($C217:$S217,13)="NA",0,INDEX($C217:$S217,Week+1):INDEX($C217:$S217,13))-INDEX($AQ$2:$BG$7,MATCH($B217,$AO$2:$AO$7,0),Week+1):INDEX($AQ$2:$BG$7,MATCH($B217,$AO$2:$AO$7,0),13)),0))+ROW(A216)/1000000</f>
        <v>0.77396600000000015</v>
      </c>
      <c r="AF217">
        <f t="shared" si="28"/>
        <v>115</v>
      </c>
      <c r="AG217">
        <f t="shared" si="29"/>
        <v>141</v>
      </c>
      <c r="AH217">
        <f t="shared" si="30"/>
        <v>163</v>
      </c>
      <c r="AI217">
        <f t="shared" si="31"/>
        <v>94</v>
      </c>
      <c r="AJ217" s="22">
        <f>IF(ISERROR(MATCH(A217,Rosters!$B$2:$B$155,0)),AD217,"")</f>
        <v>-0.22353399999999546</v>
      </c>
      <c r="AK217">
        <f t="shared" si="32"/>
        <v>35</v>
      </c>
      <c r="AL217" s="23">
        <f>COUNTIF(INDEX($C217:$S217,Week+1):INDEX($C217:$S217,13),"&gt;0")</f>
        <v>8</v>
      </c>
    </row>
    <row r="218" spans="1:38" x14ac:dyDescent="0.25">
      <c r="A218" t="s">
        <v>298</v>
      </c>
      <c r="B218" t="s">
        <v>47</v>
      </c>
      <c r="C218">
        <v>13.01</v>
      </c>
      <c r="D218">
        <v>13.69</v>
      </c>
      <c r="E218">
        <v>13.02</v>
      </c>
      <c r="F218">
        <v>11.91</v>
      </c>
      <c r="G218">
        <v>13.33</v>
      </c>
      <c r="H218">
        <v>12.33</v>
      </c>
      <c r="I218" t="s">
        <v>64</v>
      </c>
      <c r="J218">
        <v>7.9</v>
      </c>
      <c r="K218">
        <v>6.53</v>
      </c>
      <c r="L218">
        <v>8.3699999999999992</v>
      </c>
      <c r="M218">
        <v>6.52</v>
      </c>
      <c r="N218">
        <v>7.28</v>
      </c>
      <c r="O218">
        <v>8.9600000000000009</v>
      </c>
      <c r="P218">
        <v>8.61</v>
      </c>
      <c r="Q218">
        <v>9.24</v>
      </c>
      <c r="R218">
        <v>8.39</v>
      </c>
      <c r="S218">
        <v>9.6199999999999992</v>
      </c>
      <c r="T218" s="2">
        <f>IF('ROS Rankings'!$AD$1,IFERROR(AVERAGE(INDEX($C218:$S218,14):INDEX($C218:$S218,17)),0),IFERROR(AVERAGE(INDEX($C218:$S218,Week+1):INDEX($C218:$S218,13)),0))</f>
        <v>8.2700000000000014</v>
      </c>
      <c r="U218" s="2" t="str">
        <f t="shared" si="34"/>
        <v/>
      </c>
      <c r="V218" s="2">
        <f t="shared" si="34"/>
        <v>8.2700000000000014</v>
      </c>
      <c r="W218" s="2" t="str">
        <f t="shared" si="34"/>
        <v/>
      </c>
      <c r="X218" s="2" t="str">
        <f t="shared" si="34"/>
        <v/>
      </c>
      <c r="Y218" s="2" t="str">
        <f t="shared" si="34"/>
        <v/>
      </c>
      <c r="Z218" s="2" t="str">
        <f t="shared" si="34"/>
        <v/>
      </c>
      <c r="AA218" s="23" t="str">
        <f t="shared" si="27"/>
        <v>RB25</v>
      </c>
      <c r="AB218" s="2">
        <f>$T218-VLOOKUP($B218,Scores!$AG$1:$AM$7,5,FALSE)</f>
        <v>-3.4885714285714275</v>
      </c>
      <c r="AC218" s="2">
        <f>$T218-VLOOKUP($B218,Scores!$AG$1:$AM$7,6,FALSE)</f>
        <v>0</v>
      </c>
      <c r="AD218" s="2">
        <f>$T218-VLOOKUP($B218,Scores!$AG$1:$AM$7,7,FALSE)+(ROW(A217)/1000000)</f>
        <v>2.4016455714285723</v>
      </c>
      <c r="AE218" s="2">
        <f t="array" ref="AE218">IF('ROS Rankings'!$AD$1,IFERROR(AVERAGE(IF(INDEX($C218:$S218,14):INDEX($C218:$S218,17)="NA",0,INDEX($C218:$S218,14):INDEX($C218:$S218,17))-INDEX($AQ$2:$BG$7,MATCH($B218,$AO$2:$AO$7,0),14):INDEX($AQ$2:$BG$7,MATCH($B218,$AO$2:$AO$7,0),17)),0),IFERROR(AVERAGE(IF(INDEX($C218:$S218,Week+1):INDEX($C218:$S218,13)="NA",0,INDEX($C218:$S218,Week+1):INDEX($C218:$S218,13))-INDEX($AQ$2:$BG$7,MATCH($B218,$AO$2:$AO$7,0),Week+1):INDEX($AQ$2:$BG$7,MATCH($B218,$AO$2:$AO$7,0),13)),0))+ROW(A217)/1000000</f>
        <v>1.8764670000000003</v>
      </c>
      <c r="AF218">
        <f t="shared" si="28"/>
        <v>174</v>
      </c>
      <c r="AG218">
        <f t="shared" si="29"/>
        <v>95</v>
      </c>
      <c r="AH218">
        <f t="shared" si="30"/>
        <v>57</v>
      </c>
      <c r="AI218">
        <f t="shared" si="31"/>
        <v>65</v>
      </c>
      <c r="AJ218" s="22" t="str">
        <f>IF(ISERROR(MATCH(A218,Rosters!$B$2:$B$155,0)),AD218,"")</f>
        <v/>
      </c>
      <c r="AK218" t="str">
        <f t="shared" si="32"/>
        <v/>
      </c>
      <c r="AL218" s="23">
        <f>COUNTIF(INDEX($C218:$S218,Week+1):INDEX($C218:$S218,13),"&gt;0")</f>
        <v>7</v>
      </c>
    </row>
    <row r="219" spans="1:38" x14ac:dyDescent="0.25">
      <c r="A219" t="s">
        <v>374</v>
      </c>
      <c r="B219" t="s">
        <v>47</v>
      </c>
      <c r="C219">
        <v>0.19</v>
      </c>
      <c r="D219">
        <v>0.13</v>
      </c>
      <c r="E219">
        <v>0.24</v>
      </c>
      <c r="F219">
        <v>0.2</v>
      </c>
      <c r="G219">
        <v>0.23</v>
      </c>
      <c r="H219">
        <v>0.2</v>
      </c>
      <c r="I219">
        <v>0.19</v>
      </c>
      <c r="J219">
        <v>0.22</v>
      </c>
      <c r="K219">
        <v>0.22</v>
      </c>
      <c r="L219">
        <v>0.17</v>
      </c>
      <c r="M219" t="s">
        <v>64</v>
      </c>
      <c r="N219">
        <v>0.16</v>
      </c>
      <c r="O219">
        <v>0.17</v>
      </c>
      <c r="P219">
        <v>0.22</v>
      </c>
      <c r="Q219">
        <v>0.21</v>
      </c>
      <c r="R219">
        <v>0.23</v>
      </c>
      <c r="S219">
        <v>0.17</v>
      </c>
      <c r="T219" s="2">
        <f>IF('ROS Rankings'!$AD$1,IFERROR(AVERAGE(INDEX($C219:$S219,14):INDEX($C219:$S219,17)),0),IFERROR(AVERAGE(INDEX($C219:$S219,Week+1):INDEX($C219:$S219,13)),0))</f>
        <v>0.18999999999999997</v>
      </c>
      <c r="U219" s="2" t="str">
        <f t="shared" si="34"/>
        <v/>
      </c>
      <c r="V219" s="2">
        <f t="shared" si="34"/>
        <v>0.18999999999999997</v>
      </c>
      <c r="W219" s="2" t="str">
        <f t="shared" si="34"/>
        <v/>
      </c>
      <c r="X219" s="2" t="str">
        <f t="shared" si="34"/>
        <v/>
      </c>
      <c r="Y219" s="2" t="str">
        <f t="shared" si="34"/>
        <v/>
      </c>
      <c r="Z219" s="2" t="str">
        <f t="shared" si="34"/>
        <v/>
      </c>
      <c r="AA219" s="23" t="str">
        <f t="shared" si="27"/>
        <v>RB133</v>
      </c>
      <c r="AB219" s="2">
        <f>$T219-VLOOKUP($B219,Scores!$AG$1:$AM$7,5,FALSE)</f>
        <v>-11.568571428571429</v>
      </c>
      <c r="AC219" s="2">
        <f>$T219-VLOOKUP($B219,Scores!$AG$1:$AM$7,6,FALSE)</f>
        <v>-8.0800000000000018</v>
      </c>
      <c r="AD219" s="2">
        <f>$T219-VLOOKUP($B219,Scores!$AG$1:$AM$7,7,FALSE)+(ROW(A218)/1000000)</f>
        <v>-5.6783534285714286</v>
      </c>
      <c r="AE219" s="2">
        <f t="array" ref="AE219">IF('ROS Rankings'!$AD$1,IFERROR(AVERAGE(IF(INDEX($C219:$S219,14):INDEX($C219:$S219,17)="NA",0,INDEX($C219:$S219,14):INDEX($C219:$S219,17))-INDEX($AQ$2:$BG$7,MATCH($B219,$AO$2:$AO$7,0),14):INDEX($AQ$2:$BG$7,MATCH($B219,$AO$2:$AO$7,0),17)),0),IFERROR(AVERAGE(IF(INDEX($C219:$S219,Week+1):INDEX($C219:$S219,13)="NA",0,INDEX($C219:$S219,Week+1):INDEX($C219:$S219,13))-INDEX($AQ$2:$BG$7,MATCH($B219,$AO$2:$AO$7,0),Week+1):INDEX($AQ$2:$BG$7,MATCH($B219,$AO$2:$AO$7,0),13)),0))+ROW(A218)/1000000</f>
        <v>-5.1935319999999994</v>
      </c>
      <c r="AF219">
        <f t="shared" si="28"/>
        <v>521</v>
      </c>
      <c r="AG219">
        <f t="shared" si="29"/>
        <v>521</v>
      </c>
      <c r="AH219">
        <f t="shared" si="30"/>
        <v>506</v>
      </c>
      <c r="AI219">
        <f t="shared" si="31"/>
        <v>507</v>
      </c>
      <c r="AJ219" s="22">
        <f>IF(ISERROR(MATCH(A219,Rosters!$B$2:$B$155,0)),AD219,"")</f>
        <v>-5.6783534285714286</v>
      </c>
      <c r="AK219">
        <f t="shared" si="32"/>
        <v>354</v>
      </c>
      <c r="AL219" s="23">
        <f>COUNTIF(INDEX($C219:$S219,Week+1):INDEX($C219:$S219,13),"&gt;0")</f>
        <v>7</v>
      </c>
    </row>
    <row r="220" spans="1:38" x14ac:dyDescent="0.25">
      <c r="A220" t="s">
        <v>358</v>
      </c>
      <c r="B220" t="s">
        <v>114</v>
      </c>
      <c r="C220">
        <v>1.26</v>
      </c>
      <c r="D220">
        <v>1.23</v>
      </c>
      <c r="E220">
        <v>1.99</v>
      </c>
      <c r="F220">
        <v>2.11</v>
      </c>
      <c r="G220">
        <v>1.93</v>
      </c>
      <c r="H220">
        <v>3</v>
      </c>
      <c r="I220">
        <v>2.88</v>
      </c>
      <c r="J220">
        <v>2.29</v>
      </c>
      <c r="K220" t="s">
        <v>64</v>
      </c>
      <c r="L220">
        <v>2.94</v>
      </c>
      <c r="M220">
        <v>2.17</v>
      </c>
      <c r="N220">
        <v>2.15</v>
      </c>
      <c r="O220">
        <v>3.08</v>
      </c>
      <c r="P220">
        <v>2.88</v>
      </c>
      <c r="Q220">
        <v>2.09</v>
      </c>
      <c r="R220">
        <v>2.91</v>
      </c>
      <c r="S220">
        <v>2.75</v>
      </c>
      <c r="T220" s="2">
        <f>IF('ROS Rankings'!$AD$1,IFERROR(AVERAGE(INDEX($C220:$S220,14):INDEX($C220:$S220,17)),0),IFERROR(AVERAGE(INDEX($C220:$S220,Week+1):INDEX($C220:$S220,13)),0))</f>
        <v>2.6442857142857141</v>
      </c>
      <c r="U220" s="2" t="str">
        <f t="shared" si="34"/>
        <v/>
      </c>
      <c r="V220" s="2" t="str">
        <f t="shared" si="34"/>
        <v/>
      </c>
      <c r="W220" s="2" t="str">
        <f t="shared" si="34"/>
        <v/>
      </c>
      <c r="X220" s="2">
        <f t="shared" si="34"/>
        <v>2.6442857142857141</v>
      </c>
      <c r="Y220" s="2" t="str">
        <f t="shared" si="34"/>
        <v/>
      </c>
      <c r="Z220" s="2" t="str">
        <f t="shared" si="34"/>
        <v/>
      </c>
      <c r="AA220" s="23" t="str">
        <f t="shared" si="27"/>
        <v>TE36</v>
      </c>
      <c r="AB220" s="2">
        <f>$T220-VLOOKUP($B220,Scores!$AG$1:$AM$7,5,FALSE)</f>
        <v>-4.3544642857142852</v>
      </c>
      <c r="AC220" s="2">
        <f>$T220-VLOOKUP($B220,Scores!$AG$1:$AM$7,6,FALSE)</f>
        <v>-2.6057142857142859</v>
      </c>
      <c r="AD220" s="2">
        <f>$T220-VLOOKUP($B220,Scores!$AG$1:$AM$7,7,FALSE)+(ROW(A219)/1000000)</f>
        <v>-2.5354952857142856</v>
      </c>
      <c r="AE220" s="2">
        <f t="array" ref="AE220">IF('ROS Rankings'!$AD$1,IFERROR(AVERAGE(IF(INDEX($C220:$S220,14):INDEX($C220:$S220,17)="NA",0,INDEX($C220:$S220,14):INDEX($C220:$S220,17))-INDEX($AQ$2:$BG$7,MATCH($B220,$AO$2:$AO$7,0),14):INDEX($AQ$2:$BG$7,MATCH($B220,$AO$2:$AO$7,0),17)),0),IFERROR(AVERAGE(IF(INDEX($C220:$S220,Week+1):INDEX($C220:$S220,13)="NA",0,INDEX($C220:$S220,Week+1):INDEX($C220:$S220,13))-INDEX($AQ$2:$BG$7,MATCH($B220,$AO$2:$AO$7,0),Week+1):INDEX($AQ$2:$BG$7,MATCH($B220,$AO$2:$AO$7,0),13)),0))+ROW(A219)/1000000</f>
        <v>-2.7835309999999995</v>
      </c>
      <c r="AF220">
        <f t="shared" si="28"/>
        <v>208</v>
      </c>
      <c r="AG220">
        <f t="shared" si="29"/>
        <v>223</v>
      </c>
      <c r="AH220">
        <f t="shared" si="30"/>
        <v>270</v>
      </c>
      <c r="AI220">
        <f t="shared" si="31"/>
        <v>284</v>
      </c>
      <c r="AJ220" s="22">
        <f>IF(ISERROR(MATCH(A220,Rosters!$B$2:$B$155,0)),AD220,"")</f>
        <v>-2.5354952857142856</v>
      </c>
      <c r="AK220">
        <f t="shared" si="32"/>
        <v>126</v>
      </c>
      <c r="AL220" s="23">
        <f>COUNTIF(INDEX($C220:$S220,Week+1):INDEX($C220:$S220,13),"&gt;0")</f>
        <v>7</v>
      </c>
    </row>
    <row r="221" spans="1:38" x14ac:dyDescent="0.25">
      <c r="A221" t="s">
        <v>1439</v>
      </c>
      <c r="B221" t="s">
        <v>87</v>
      </c>
      <c r="C221">
        <v>3.52</v>
      </c>
      <c r="D221">
        <v>4.2699999999999996</v>
      </c>
      <c r="E221">
        <v>3.33</v>
      </c>
      <c r="F221">
        <v>3.37</v>
      </c>
      <c r="G221">
        <v>2.92</v>
      </c>
      <c r="H221">
        <v>2.95</v>
      </c>
      <c r="I221" t="s">
        <v>64</v>
      </c>
      <c r="J221">
        <v>3.59</v>
      </c>
      <c r="K221">
        <v>3.01</v>
      </c>
      <c r="L221">
        <v>3.12</v>
      </c>
      <c r="M221">
        <v>2.99</v>
      </c>
      <c r="N221">
        <v>3.44</v>
      </c>
      <c r="O221">
        <v>3.1</v>
      </c>
      <c r="P221">
        <v>2.85</v>
      </c>
      <c r="Q221">
        <v>3.34</v>
      </c>
      <c r="R221">
        <v>2.92</v>
      </c>
      <c r="S221">
        <v>3.03</v>
      </c>
      <c r="T221" s="2">
        <f>IF('ROS Rankings'!$AD$1,IFERROR(AVERAGE(INDEX($C221:$S221,14):INDEX($C221:$S221,17)),0),IFERROR(AVERAGE(INDEX($C221:$S221,Week+1):INDEX($C221:$S221,13)),0))</f>
        <v>3.1714285714285717</v>
      </c>
      <c r="U221" s="2" t="str">
        <f t="shared" si="34"/>
        <v/>
      </c>
      <c r="V221" s="2" t="str">
        <f t="shared" si="34"/>
        <v/>
      </c>
      <c r="W221" s="2">
        <f t="shared" si="34"/>
        <v>3.1714285714285717</v>
      </c>
      <c r="X221" s="2" t="str">
        <f t="shared" si="34"/>
        <v/>
      </c>
      <c r="Y221" s="2" t="str">
        <f t="shared" si="34"/>
        <v/>
      </c>
      <c r="Z221" s="2" t="str">
        <f t="shared" si="34"/>
        <v/>
      </c>
      <c r="AA221" s="23" t="str">
        <f t="shared" si="27"/>
        <v>WR94</v>
      </c>
      <c r="AB221" s="2">
        <f>$T221-VLOOKUP($B221,Scores!$AG$1:$AM$7,5,FALSE)</f>
        <v>-7.1999999999999984</v>
      </c>
      <c r="AC221" s="2">
        <f>$T221-VLOOKUP($B221,Scores!$AG$1:$AM$7,6,FALSE)</f>
        <v>-4.8600000000000003</v>
      </c>
      <c r="AD221" s="2">
        <f>$T221-VLOOKUP($B221,Scores!$AG$1:$AM$7,7,FALSE)+(ROW(A220)/1000000)</f>
        <v>-2.8812085714285707</v>
      </c>
      <c r="AE221" s="2">
        <f t="array" ref="AE221">IF('ROS Rankings'!$AD$1,IFERROR(AVERAGE(IF(INDEX($C221:$S221,14):INDEX($C221:$S221,17)="NA",0,INDEX($C221:$S221,14):INDEX($C221:$S221,17))-INDEX($AQ$2:$BG$7,MATCH($B221,$AO$2:$AO$7,0),14):INDEX($AQ$2:$BG$7,MATCH($B221,$AO$2:$AO$7,0),17)),0),IFERROR(AVERAGE(IF(INDEX($C221:$S221,Week+1):INDEX($C221:$S221,13)="NA",0,INDEX($C221:$S221,Week+1):INDEX($C221:$S221,13))-INDEX($AQ$2:$BG$7,MATCH($B221,$AO$2:$AO$7,0),Week+1):INDEX($AQ$2:$BG$7,MATCH($B221,$AO$2:$AO$7,0),13)),0))+ROW(A220)/1000000</f>
        <v>-2.5810299999999997</v>
      </c>
      <c r="AF221">
        <f t="shared" si="28"/>
        <v>354</v>
      </c>
      <c r="AG221">
        <f t="shared" si="29"/>
        <v>349</v>
      </c>
      <c r="AH221">
        <f t="shared" si="30"/>
        <v>290</v>
      </c>
      <c r="AI221">
        <f t="shared" si="31"/>
        <v>270</v>
      </c>
      <c r="AJ221" s="22">
        <f>IF(ISERROR(MATCH(A221,Rosters!$B$2:$B$155,0)),AD221,"")</f>
        <v>-2.8812085714285707</v>
      </c>
      <c r="AK221">
        <f t="shared" si="32"/>
        <v>143</v>
      </c>
      <c r="AL221" s="23">
        <f>COUNTIF(INDEX($C221:$S221,Week+1):INDEX($C221:$S221,13),"&gt;0")</f>
        <v>7</v>
      </c>
    </row>
    <row r="222" spans="1:38" x14ac:dyDescent="0.25">
      <c r="A222" t="s">
        <v>193</v>
      </c>
      <c r="B222" t="s">
        <v>47</v>
      </c>
      <c r="C222">
        <v>7.76</v>
      </c>
      <c r="D222">
        <v>6.2</v>
      </c>
      <c r="E222">
        <v>6.8</v>
      </c>
      <c r="F222">
        <v>6.16</v>
      </c>
      <c r="G222">
        <v>10.33</v>
      </c>
      <c r="H222">
        <v>10.199999999999999</v>
      </c>
      <c r="I222">
        <v>8.1999999999999993</v>
      </c>
      <c r="J222">
        <v>8.9499999999999993</v>
      </c>
      <c r="K222">
        <v>10.81</v>
      </c>
      <c r="L222">
        <v>8.6199999999999992</v>
      </c>
      <c r="M222" t="s">
        <v>64</v>
      </c>
      <c r="N222">
        <v>8.0299999999999994</v>
      </c>
      <c r="O222">
        <v>7.5</v>
      </c>
      <c r="P222">
        <v>9.82</v>
      </c>
      <c r="Q222">
        <v>9.9499999999999993</v>
      </c>
      <c r="R222">
        <v>9.49</v>
      </c>
      <c r="S222">
        <v>8.56</v>
      </c>
      <c r="T222" s="2">
        <f>IF('ROS Rankings'!$AD$1,IFERROR(AVERAGE(INDEX($C222:$S222,14):INDEX($C222:$S222,17)),0),IFERROR(AVERAGE(INDEX($C222:$S222,Week+1):INDEX($C222:$S222,13)),0))</f>
        <v>8.9014285714285712</v>
      </c>
      <c r="U222" s="2" t="str">
        <f t="shared" si="34"/>
        <v/>
      </c>
      <c r="V222" s="2">
        <f t="shared" si="34"/>
        <v>8.9014285714285712</v>
      </c>
      <c r="W222" s="2" t="str">
        <f t="shared" si="34"/>
        <v/>
      </c>
      <c r="X222" s="2" t="str">
        <f t="shared" si="34"/>
        <v/>
      </c>
      <c r="Y222" s="2" t="str">
        <f t="shared" si="34"/>
        <v/>
      </c>
      <c r="Z222" s="2" t="str">
        <f t="shared" si="34"/>
        <v/>
      </c>
      <c r="AA222" s="23" t="str">
        <f t="shared" si="27"/>
        <v>RB22</v>
      </c>
      <c r="AB222" s="2">
        <f>$T222-VLOOKUP($B222,Scores!$AG$1:$AM$7,5,FALSE)</f>
        <v>-2.8571428571428577</v>
      </c>
      <c r="AC222" s="2">
        <f>$T222-VLOOKUP($B222,Scores!$AG$1:$AM$7,6,FALSE)</f>
        <v>0.6314285714285699</v>
      </c>
      <c r="AD222" s="2">
        <f>$T222-VLOOKUP($B222,Scores!$AG$1:$AM$7,7,FALSE)+(ROW(A221)/1000000)</f>
        <v>3.0330781428571418</v>
      </c>
      <c r="AE222" s="2">
        <f t="array" ref="AE222">IF('ROS Rankings'!$AD$1,IFERROR(AVERAGE(IF(INDEX($C222:$S222,14):INDEX($C222:$S222,17)="NA",0,INDEX($C222:$S222,14):INDEX($C222:$S222,17))-INDEX($AQ$2:$BG$7,MATCH($B222,$AO$2:$AO$7,0),14):INDEX($AQ$2:$BG$7,MATCH($B222,$AO$2:$AO$7,0),17)),0),IFERROR(AVERAGE(IF(INDEX($C222:$S222,Week+1):INDEX($C222:$S222,13)="NA",0,INDEX($C222:$S222,Week+1):INDEX($C222:$S222,13))-INDEX($AQ$2:$BG$7,MATCH($B222,$AO$2:$AO$7,0),Week+1):INDEX($AQ$2:$BG$7,MATCH($B222,$AO$2:$AO$7,0),13)),0))+ROW(A221)/1000000</f>
        <v>2.4289709999999998</v>
      </c>
      <c r="AF222">
        <f t="shared" si="28"/>
        <v>159</v>
      </c>
      <c r="AG222">
        <f t="shared" si="29"/>
        <v>69</v>
      </c>
      <c r="AH222">
        <f t="shared" si="30"/>
        <v>48</v>
      </c>
      <c r="AI222">
        <f t="shared" si="31"/>
        <v>53</v>
      </c>
      <c r="AJ222" s="22" t="str">
        <f>IF(ISERROR(MATCH(A222,Rosters!$B$2:$B$155,0)),AD222,"")</f>
        <v/>
      </c>
      <c r="AK222" t="str">
        <f t="shared" si="32"/>
        <v/>
      </c>
      <c r="AL222" s="23">
        <f>COUNTIF(INDEX($C222:$S222,Week+1):INDEX($C222:$S222,13),"&gt;0")</f>
        <v>7</v>
      </c>
    </row>
    <row r="223" spans="1:38" x14ac:dyDescent="0.25">
      <c r="A223" t="s">
        <v>137</v>
      </c>
      <c r="B223" t="s">
        <v>87</v>
      </c>
      <c r="C223">
        <v>6.48</v>
      </c>
      <c r="D223">
        <v>6.51</v>
      </c>
      <c r="E223">
        <v>6.37</v>
      </c>
      <c r="F223" t="s">
        <v>64</v>
      </c>
      <c r="G223">
        <v>6.48</v>
      </c>
      <c r="H223">
        <v>7.54</v>
      </c>
      <c r="I223">
        <v>6.07</v>
      </c>
      <c r="J223">
        <v>5.98</v>
      </c>
      <c r="K223">
        <v>6.9</v>
      </c>
      <c r="L223">
        <v>7.44</v>
      </c>
      <c r="M223">
        <v>6.98</v>
      </c>
      <c r="N223">
        <v>5.86</v>
      </c>
      <c r="O223">
        <v>6.23</v>
      </c>
      <c r="P223">
        <v>6.12</v>
      </c>
      <c r="Q223">
        <v>5.99</v>
      </c>
      <c r="R223">
        <v>6.98</v>
      </c>
      <c r="S223">
        <v>6.43</v>
      </c>
      <c r="T223" s="2">
        <f>IF('ROS Rankings'!$AD$1,IFERROR(AVERAGE(INDEX($C223:$S223,14):INDEX($C223:$S223,17)),0),IFERROR(AVERAGE(INDEX($C223:$S223,Week+1):INDEX($C223:$S223,13)),0))</f>
        <v>6.625</v>
      </c>
      <c r="U223" s="2" t="str">
        <f t="shared" si="34"/>
        <v/>
      </c>
      <c r="V223" s="2" t="str">
        <f t="shared" si="34"/>
        <v/>
      </c>
      <c r="W223" s="2">
        <f t="shared" si="34"/>
        <v>6.625</v>
      </c>
      <c r="X223" s="2" t="str">
        <f t="shared" si="34"/>
        <v/>
      </c>
      <c r="Y223" s="2" t="str">
        <f t="shared" si="34"/>
        <v/>
      </c>
      <c r="Z223" s="2" t="str">
        <f t="shared" si="34"/>
        <v/>
      </c>
      <c r="AA223" s="23" t="str">
        <f t="shared" si="27"/>
        <v>WR48</v>
      </c>
      <c r="AB223" s="2">
        <f>$T223-VLOOKUP($B223,Scores!$AG$1:$AM$7,5,FALSE)</f>
        <v>-3.7464285714285701</v>
      </c>
      <c r="AC223" s="2">
        <f>$T223-VLOOKUP($B223,Scores!$AG$1:$AM$7,6,FALSE)</f>
        <v>-1.406428571428572</v>
      </c>
      <c r="AD223" s="2">
        <f>$T223-VLOOKUP($B223,Scores!$AG$1:$AM$7,7,FALSE)+(ROW(A222)/1000000)</f>
        <v>0.57236485714285745</v>
      </c>
      <c r="AE223" s="2">
        <f t="array" ref="AE223">IF('ROS Rankings'!$AD$1,IFERROR(AVERAGE(IF(INDEX($C223:$S223,14):INDEX($C223:$S223,17)="NA",0,INDEX($C223:$S223,14):INDEX($C223:$S223,17))-INDEX($AQ$2:$BG$7,MATCH($B223,$AO$2:$AO$7,0),14):INDEX($AQ$2:$BG$7,MATCH($B223,$AO$2:$AO$7,0),17)),0),IFERROR(AVERAGE(IF(INDEX($C223:$S223,Week+1):INDEX($C223:$S223,13)="NA",0,INDEX($C223:$S223,Week+1):INDEX($C223:$S223,13))-INDEX($AQ$2:$BG$7,MATCH($B223,$AO$2:$AO$7,0),Week+1):INDEX($AQ$2:$BG$7,MATCH($B223,$AO$2:$AO$7,0),13)),0))+ROW(A222)/1000000</f>
        <v>1.2689720000000002</v>
      </c>
      <c r="AF223">
        <f t="shared" si="28"/>
        <v>180</v>
      </c>
      <c r="AG223">
        <f t="shared" si="29"/>
        <v>171</v>
      </c>
      <c r="AH223">
        <f t="shared" si="30"/>
        <v>114</v>
      </c>
      <c r="AI223">
        <f t="shared" si="31"/>
        <v>81</v>
      </c>
      <c r="AJ223" s="22" t="str">
        <f>IF(ISERROR(MATCH(A223,Rosters!$B$2:$B$155,0)),AD223,"")</f>
        <v/>
      </c>
      <c r="AK223" t="str">
        <f t="shared" si="32"/>
        <v/>
      </c>
      <c r="AL223" s="23">
        <f>COUNTIF(INDEX($C223:$S223,Week+1):INDEX($C223:$S223,13),"&gt;0")</f>
        <v>8</v>
      </c>
    </row>
    <row r="224" spans="1:38" x14ac:dyDescent="0.25">
      <c r="A224" t="s">
        <v>2848</v>
      </c>
      <c r="B224" t="s">
        <v>47</v>
      </c>
      <c r="C224" t="s">
        <v>64</v>
      </c>
      <c r="D224" t="s">
        <v>64</v>
      </c>
      <c r="E224">
        <v>0.34</v>
      </c>
      <c r="F224">
        <v>0.49</v>
      </c>
      <c r="G224">
        <v>0.53</v>
      </c>
      <c r="H224">
        <v>0.28999999999999998</v>
      </c>
      <c r="I224">
        <v>0.47</v>
      </c>
      <c r="J224" t="s">
        <v>64</v>
      </c>
      <c r="K224">
        <v>0.47</v>
      </c>
      <c r="L224">
        <v>0.28000000000000003</v>
      </c>
      <c r="M224">
        <v>0.57999999999999996</v>
      </c>
      <c r="N224">
        <v>0.5</v>
      </c>
      <c r="O224">
        <v>0.52</v>
      </c>
      <c r="P224">
        <v>0.3</v>
      </c>
      <c r="Q224">
        <v>0.53</v>
      </c>
      <c r="R224">
        <v>0.59</v>
      </c>
      <c r="S224">
        <v>0.53</v>
      </c>
      <c r="T224" s="2">
        <f>IF('ROS Rankings'!$AD$1,IFERROR(AVERAGE(INDEX($C224:$S224,14):INDEX($C224:$S224,17)),0),IFERROR(AVERAGE(INDEX($C224:$S224,Week+1):INDEX($C224:$S224,13)),0))</f>
        <v>0.44428571428571428</v>
      </c>
      <c r="U224" s="2" t="str">
        <f t="shared" si="34"/>
        <v/>
      </c>
      <c r="V224" s="2">
        <f t="shared" si="34"/>
        <v>0.44428571428571428</v>
      </c>
      <c r="W224" s="2" t="str">
        <f t="shared" si="34"/>
        <v/>
      </c>
      <c r="X224" s="2" t="str">
        <f t="shared" si="34"/>
        <v/>
      </c>
      <c r="Y224" s="2" t="str">
        <f t="shared" si="34"/>
        <v/>
      </c>
      <c r="Z224" s="2" t="str">
        <f t="shared" si="34"/>
        <v/>
      </c>
      <c r="AA224" s="23" t="str">
        <f t="shared" si="27"/>
        <v>RB124</v>
      </c>
      <c r="AB224" s="2">
        <f>$T224-VLOOKUP($B224,Scores!$AG$1:$AM$7,5,FALSE)</f>
        <v>-11.314285714285715</v>
      </c>
      <c r="AC224" s="2">
        <f>$T224-VLOOKUP($B224,Scores!$AG$1:$AM$7,6,FALSE)</f>
        <v>-7.8257142857142874</v>
      </c>
      <c r="AD224" s="2">
        <f>$T224-VLOOKUP($B224,Scores!$AG$1:$AM$7,7,FALSE)+(ROW(A223)/1000000)</f>
        <v>-5.4240627142857152</v>
      </c>
      <c r="AE224" s="2">
        <f t="array" ref="AE224">IF('ROS Rankings'!$AD$1,IFERROR(AVERAGE(IF(INDEX($C224:$S224,14):INDEX($C224:$S224,17)="NA",0,INDEX($C224:$S224,14):INDEX($C224:$S224,17))-INDEX($AQ$2:$BG$7,MATCH($B224,$AO$2:$AO$7,0),14):INDEX($AQ$2:$BG$7,MATCH($B224,$AO$2:$AO$7,0),17)),0),IFERROR(AVERAGE(IF(INDEX($C224:$S224,Week+1):INDEX($C224:$S224,13)="NA",0,INDEX($C224:$S224,Week+1):INDEX($C224:$S224,13))-INDEX($AQ$2:$BG$7,MATCH($B224,$AO$2:$AO$7,0),Week+1):INDEX($AQ$2:$BG$7,MATCH($B224,$AO$2:$AO$7,0),13)),0))+ROW(A223)/1000000</f>
        <v>-4.9710270000000003</v>
      </c>
      <c r="AF224">
        <f t="shared" si="28"/>
        <v>512</v>
      </c>
      <c r="AG224">
        <f t="shared" si="29"/>
        <v>506</v>
      </c>
      <c r="AH224">
        <f t="shared" si="30"/>
        <v>470</v>
      </c>
      <c r="AI224">
        <f t="shared" si="31"/>
        <v>486</v>
      </c>
      <c r="AJ224" s="22">
        <f>IF(ISERROR(MATCH(A224,Rosters!$B$2:$B$155,0)),AD224,"")</f>
        <v>-5.4240627142857152</v>
      </c>
      <c r="AK224">
        <f t="shared" si="32"/>
        <v>318</v>
      </c>
      <c r="AL224" s="23">
        <f>COUNTIF(INDEX($C224:$S224,Week+1):INDEX($C224:$S224,13),"&gt;0")</f>
        <v>7</v>
      </c>
    </row>
    <row r="225" spans="1:38" x14ac:dyDescent="0.25">
      <c r="A225" t="s">
        <v>208</v>
      </c>
      <c r="B225" t="s">
        <v>114</v>
      </c>
      <c r="C225">
        <v>4.59</v>
      </c>
      <c r="D225">
        <v>5.46</v>
      </c>
      <c r="E225">
        <v>6.76</v>
      </c>
      <c r="F225">
        <v>7.11</v>
      </c>
      <c r="G225">
        <v>7.48</v>
      </c>
      <c r="H225">
        <v>7.61</v>
      </c>
      <c r="I225" t="s">
        <v>64</v>
      </c>
      <c r="J225">
        <v>7.89</v>
      </c>
      <c r="K225">
        <v>7.76</v>
      </c>
      <c r="L225">
        <v>7.69</v>
      </c>
      <c r="M225">
        <v>6.27</v>
      </c>
      <c r="N225">
        <v>6.7</v>
      </c>
      <c r="O225">
        <v>9.4600000000000009</v>
      </c>
      <c r="P225">
        <v>7.9</v>
      </c>
      <c r="Q225">
        <v>7.43</v>
      </c>
      <c r="R225">
        <v>6.99</v>
      </c>
      <c r="S225">
        <v>9.09</v>
      </c>
      <c r="T225" s="2">
        <f>IF('ROS Rankings'!$AD$1,IFERROR(AVERAGE(INDEX($C225:$S225,14):INDEX($C225:$S225,17)),0),IFERROR(AVERAGE(INDEX($C225:$S225,Week+1):INDEX($C225:$S225,13)),0))</f>
        <v>7.6257142857142863</v>
      </c>
      <c r="U225" s="2" t="str">
        <f t="shared" si="34"/>
        <v/>
      </c>
      <c r="V225" s="2" t="str">
        <f t="shared" si="34"/>
        <v/>
      </c>
      <c r="W225" s="2" t="str">
        <f t="shared" si="34"/>
        <v/>
      </c>
      <c r="X225" s="2">
        <f t="shared" si="34"/>
        <v>7.6257142857142863</v>
      </c>
      <c r="Y225" s="2" t="str">
        <f t="shared" si="34"/>
        <v/>
      </c>
      <c r="Z225" s="2" t="str">
        <f t="shared" si="34"/>
        <v/>
      </c>
      <c r="AA225" s="23" t="str">
        <f t="shared" si="27"/>
        <v>TE4</v>
      </c>
      <c r="AB225" s="2">
        <f>$T225-VLOOKUP($B225,Scores!$AG$1:$AM$7,5,FALSE)</f>
        <v>0.62696428571428697</v>
      </c>
      <c r="AC225" s="2">
        <f>$T225-VLOOKUP($B225,Scores!$AG$1:$AM$7,6,FALSE)</f>
        <v>2.3757142857142863</v>
      </c>
      <c r="AD225" s="2">
        <f>$T225-VLOOKUP($B225,Scores!$AG$1:$AM$7,7,FALSE)+(ROW(A224)/1000000)</f>
        <v>2.4459382857142864</v>
      </c>
      <c r="AE225" s="2">
        <f t="array" ref="AE225">IF('ROS Rankings'!$AD$1,IFERROR(AVERAGE(IF(INDEX($C225:$S225,14):INDEX($C225:$S225,17)="NA",0,INDEX($C225:$S225,14):INDEX($C225:$S225,17))-INDEX($AQ$2:$BG$7,MATCH($B225,$AO$2:$AO$7,0),14):INDEX($AQ$2:$BG$7,MATCH($B225,$AO$2:$AO$7,0),17)),0),IFERROR(AVERAGE(IF(INDEX($C225:$S225,Week+1):INDEX($C225:$S225,13)="NA",0,INDEX($C225:$S225,Week+1):INDEX($C225:$S225,13))-INDEX($AQ$2:$BG$7,MATCH($B225,$AO$2:$AO$7,0),Week+1):INDEX($AQ$2:$BG$7,MATCH($B225,$AO$2:$AO$7,0),13)),0))+ROW(A224)/1000000</f>
        <v>1.5752240000000002</v>
      </c>
      <c r="AF225">
        <f t="shared" si="28"/>
        <v>32</v>
      </c>
      <c r="AG225">
        <f t="shared" si="29"/>
        <v>35</v>
      </c>
      <c r="AH225">
        <f t="shared" si="30"/>
        <v>56</v>
      </c>
      <c r="AI225">
        <f t="shared" si="31"/>
        <v>73</v>
      </c>
      <c r="AJ225" s="22" t="str">
        <f>IF(ISERROR(MATCH(A225,Rosters!$B$2:$B$155,0)),AD225,"")</f>
        <v/>
      </c>
      <c r="AK225" t="str">
        <f t="shared" si="32"/>
        <v/>
      </c>
      <c r="AL225" s="23">
        <f>COUNTIF(INDEX($C225:$S225,Week+1):INDEX($C225:$S225,13),"&gt;0")</f>
        <v>7</v>
      </c>
    </row>
    <row r="226" spans="1:38" x14ac:dyDescent="0.25">
      <c r="A226" t="s">
        <v>83</v>
      </c>
      <c r="B226" t="s">
        <v>15</v>
      </c>
      <c r="C226">
        <v>19.079999999999998</v>
      </c>
      <c r="D226">
        <v>17.420000000000002</v>
      </c>
      <c r="E226">
        <v>16.72</v>
      </c>
      <c r="F226">
        <v>17.71</v>
      </c>
      <c r="G226">
        <v>19.18</v>
      </c>
      <c r="H226">
        <v>19.96</v>
      </c>
      <c r="I226">
        <v>20.82</v>
      </c>
      <c r="J226">
        <v>21.82</v>
      </c>
      <c r="K226">
        <v>20.25</v>
      </c>
      <c r="L226">
        <v>20.34</v>
      </c>
      <c r="M226">
        <v>21.77</v>
      </c>
      <c r="N226" t="s">
        <v>64</v>
      </c>
      <c r="O226">
        <v>21.23</v>
      </c>
      <c r="P226">
        <v>17.350000000000001</v>
      </c>
      <c r="Q226">
        <v>18.5</v>
      </c>
      <c r="R226">
        <v>17.45</v>
      </c>
      <c r="S226">
        <v>22.11</v>
      </c>
      <c r="T226" s="2">
        <f>IF('ROS Rankings'!$AD$1,IFERROR(AVERAGE(INDEX($C226:$S226,14):INDEX($C226:$S226,17)),0),IFERROR(AVERAGE(INDEX($C226:$S226,Week+1):INDEX($C226:$S226,13)),0))</f>
        <v>20.884285714285713</v>
      </c>
      <c r="U226" s="2">
        <f t="shared" si="34"/>
        <v>20.884285714285713</v>
      </c>
      <c r="V226" s="2" t="str">
        <f t="shared" si="34"/>
        <v/>
      </c>
      <c r="W226" s="2" t="str">
        <f t="shared" si="34"/>
        <v/>
      </c>
      <c r="X226" s="2" t="str">
        <f t="shared" si="34"/>
        <v/>
      </c>
      <c r="Y226" s="2" t="str">
        <f t="shared" si="34"/>
        <v/>
      </c>
      <c r="Z226" s="2" t="str">
        <f t="shared" si="34"/>
        <v/>
      </c>
      <c r="AA226" s="23" t="str">
        <f t="shared" si="27"/>
        <v>QB5</v>
      </c>
      <c r="AB226" s="2">
        <f>$T226-VLOOKUP($B226,Scores!$AG$1:$AM$7,5,FALSE)</f>
        <v>0</v>
      </c>
      <c r="AC226" s="2">
        <f>$T226-VLOOKUP($B226,Scores!$AG$1:$AM$7,6,FALSE)</f>
        <v>0.98053571428571473</v>
      </c>
      <c r="AD226" s="2">
        <f>$T226-VLOOKUP($B226,Scores!$AG$1:$AM$7,7,FALSE)+(ROW(A225)/1000000)</f>
        <v>1.3845107142857169</v>
      </c>
      <c r="AE226" s="2">
        <f t="array" ref="AE226">IF('ROS Rankings'!$AD$1,IFERROR(AVERAGE(IF(INDEX($C226:$S226,14):INDEX($C226:$S226,17)="NA",0,INDEX($C226:$S226,14):INDEX($C226:$S226,17))-INDEX($AQ$2:$BG$7,MATCH($B226,$AO$2:$AO$7,0),14):INDEX($AQ$2:$BG$7,MATCH($B226,$AO$2:$AO$7,0),17)),0),IFERROR(AVERAGE(IF(INDEX($C226:$S226,Week+1):INDEX($C226:$S226,13)="NA",0,INDEX($C226:$S226,Week+1):INDEX($C226:$S226,13))-INDEX($AQ$2:$BG$7,MATCH($B226,$AO$2:$AO$7,0),Week+1):INDEX($AQ$2:$BG$7,MATCH($B226,$AO$2:$AO$7,0),13)),0))+ROW(A225)/1000000</f>
        <v>-0.22852499999999978</v>
      </c>
      <c r="AF226">
        <f t="shared" si="28"/>
        <v>45</v>
      </c>
      <c r="AG226">
        <f t="shared" si="29"/>
        <v>60</v>
      </c>
      <c r="AH226">
        <f t="shared" si="30"/>
        <v>89</v>
      </c>
      <c r="AI226">
        <f t="shared" si="31"/>
        <v>133</v>
      </c>
      <c r="AJ226" s="22" t="str">
        <f>IF(ISERROR(MATCH(A226,Rosters!$B$2:$B$155,0)),AD226,"")</f>
        <v/>
      </c>
      <c r="AK226" t="str">
        <f t="shared" si="32"/>
        <v/>
      </c>
      <c r="AL226" s="23">
        <f>COUNTIF(INDEX($C226:$S226,Week+1):INDEX($C226:$S226,13),"&gt;0")</f>
        <v>7</v>
      </c>
    </row>
    <row r="227" spans="1:38" x14ac:dyDescent="0.25">
      <c r="A227" t="s">
        <v>296</v>
      </c>
      <c r="B227" t="s">
        <v>87</v>
      </c>
      <c r="C227">
        <v>0.59</v>
      </c>
      <c r="D227">
        <v>0.6</v>
      </c>
      <c r="E227">
        <v>3.01</v>
      </c>
      <c r="F227" t="s">
        <v>64</v>
      </c>
      <c r="G227">
        <v>3.11</v>
      </c>
      <c r="H227">
        <v>2.86</v>
      </c>
      <c r="I227">
        <v>2.77</v>
      </c>
      <c r="J227">
        <v>2.76</v>
      </c>
      <c r="K227">
        <v>3.79</v>
      </c>
      <c r="L227">
        <v>3.31</v>
      </c>
      <c r="M227">
        <v>3.33</v>
      </c>
      <c r="N227">
        <v>3.3</v>
      </c>
      <c r="O227">
        <v>3.65</v>
      </c>
      <c r="P227">
        <v>3.38</v>
      </c>
      <c r="Q227">
        <v>3.66</v>
      </c>
      <c r="R227">
        <v>3.24</v>
      </c>
      <c r="S227">
        <v>3.55</v>
      </c>
      <c r="T227" s="2">
        <f>IF('ROS Rankings'!$AD$1,IFERROR(AVERAGE(INDEX($C227:$S227,14):INDEX($C227:$S227,17)),0),IFERROR(AVERAGE(INDEX($C227:$S227,Week+1):INDEX($C227:$S227,13)),0))</f>
        <v>3.2212499999999999</v>
      </c>
      <c r="U227" s="2" t="str">
        <f t="shared" si="34"/>
        <v/>
      </c>
      <c r="V227" s="2" t="str">
        <f t="shared" si="34"/>
        <v/>
      </c>
      <c r="W227" s="2">
        <f t="shared" si="34"/>
        <v>3.2212499999999999</v>
      </c>
      <c r="X227" s="2" t="str">
        <f t="shared" si="34"/>
        <v/>
      </c>
      <c r="Y227" s="2" t="str">
        <f t="shared" si="34"/>
        <v/>
      </c>
      <c r="Z227" s="2" t="str">
        <f t="shared" si="34"/>
        <v/>
      </c>
      <c r="AA227" s="23" t="str">
        <f t="shared" si="27"/>
        <v>WR92</v>
      </c>
      <c r="AB227" s="2">
        <f>$T227-VLOOKUP($B227,Scores!$AG$1:$AM$7,5,FALSE)</f>
        <v>-7.1501785714285706</v>
      </c>
      <c r="AC227" s="2">
        <f>$T227-VLOOKUP($B227,Scores!$AG$1:$AM$7,6,FALSE)</f>
        <v>-4.8101785714285725</v>
      </c>
      <c r="AD227" s="2">
        <f>$T227-VLOOKUP($B227,Scores!$AG$1:$AM$7,7,FALSE)+(ROW(A226)/1000000)</f>
        <v>-2.8313811428571425</v>
      </c>
      <c r="AE227" s="2">
        <f t="array" ref="AE227">IF('ROS Rankings'!$AD$1,IFERROR(AVERAGE(IF(INDEX($C227:$S227,14):INDEX($C227:$S227,17)="NA",0,INDEX($C227:$S227,14):INDEX($C227:$S227,17))-INDEX($AQ$2:$BG$7,MATCH($B227,$AO$2:$AO$7,0),14):INDEX($AQ$2:$BG$7,MATCH($B227,$AO$2:$AO$7,0),17)),0),IFERROR(AVERAGE(IF(INDEX($C227:$S227,Week+1):INDEX($C227:$S227,13)="NA",0,INDEX($C227:$S227,Week+1):INDEX($C227:$S227,13))-INDEX($AQ$2:$BG$7,MATCH($B227,$AO$2:$AO$7,0),Week+1):INDEX($AQ$2:$BG$7,MATCH($B227,$AO$2:$AO$7,0),13)),0))+ROW(A226)/1000000</f>
        <v>-2.1347740000000002</v>
      </c>
      <c r="AF227">
        <f t="shared" si="28"/>
        <v>351</v>
      </c>
      <c r="AG227">
        <f t="shared" si="29"/>
        <v>342</v>
      </c>
      <c r="AH227">
        <f t="shared" si="30"/>
        <v>286</v>
      </c>
      <c r="AI227">
        <f t="shared" si="31"/>
        <v>246</v>
      </c>
      <c r="AJ227" s="22">
        <f>IF(ISERROR(MATCH(A227,Rosters!$B$2:$B$155,0)),AD227,"")</f>
        <v>-2.8313811428571425</v>
      </c>
      <c r="AK227">
        <f t="shared" si="32"/>
        <v>140</v>
      </c>
      <c r="AL227" s="23">
        <f>COUNTIF(INDEX($C227:$S227,Week+1):INDEX($C227:$S227,13),"&gt;0")</f>
        <v>8</v>
      </c>
    </row>
    <row r="228" spans="1:38" x14ac:dyDescent="0.25">
      <c r="A228" t="s">
        <v>338</v>
      </c>
      <c r="B228" t="s">
        <v>87</v>
      </c>
      <c r="C228">
        <v>1.8</v>
      </c>
      <c r="D228">
        <v>1.71</v>
      </c>
      <c r="E228">
        <v>3.08</v>
      </c>
      <c r="F228">
        <v>3.59</v>
      </c>
      <c r="G228">
        <v>1.67</v>
      </c>
      <c r="H228">
        <v>2.89</v>
      </c>
      <c r="I228" t="s">
        <v>64</v>
      </c>
      <c r="J228">
        <v>2.2599999999999998</v>
      </c>
      <c r="K228">
        <v>1.91</v>
      </c>
      <c r="L228">
        <v>1.63</v>
      </c>
      <c r="M228">
        <v>2.16</v>
      </c>
      <c r="N228">
        <v>1.97</v>
      </c>
      <c r="O228">
        <v>2.38</v>
      </c>
      <c r="P228">
        <v>2.5</v>
      </c>
      <c r="Q228">
        <v>2.2999999999999998</v>
      </c>
      <c r="R228">
        <v>2.31</v>
      </c>
      <c r="S228">
        <v>2.12</v>
      </c>
      <c r="T228" s="2">
        <f>IF('ROS Rankings'!$AD$1,IFERROR(AVERAGE(INDEX($C228:$S228,14):INDEX($C228:$S228,17)),0),IFERROR(AVERAGE(INDEX($C228:$S228,Week+1):INDEX($C228:$S228,13)),0))</f>
        <v>2.1714285714285717</v>
      </c>
      <c r="U228" s="2" t="str">
        <f t="shared" si="34"/>
        <v/>
      </c>
      <c r="V228" s="2" t="str">
        <f t="shared" si="34"/>
        <v/>
      </c>
      <c r="W228" s="2">
        <f t="shared" si="34"/>
        <v>2.1714285714285717</v>
      </c>
      <c r="X228" s="2" t="str">
        <f t="shared" si="34"/>
        <v/>
      </c>
      <c r="Y228" s="2" t="str">
        <f t="shared" si="34"/>
        <v/>
      </c>
      <c r="Z228" s="2" t="str">
        <f t="shared" si="34"/>
        <v/>
      </c>
      <c r="AA228" s="23" t="str">
        <f t="shared" si="27"/>
        <v>WR111</v>
      </c>
      <c r="AB228" s="2">
        <f>$T228-VLOOKUP($B228,Scores!$AG$1:$AM$7,5,FALSE)</f>
        <v>-8.1999999999999993</v>
      </c>
      <c r="AC228" s="2">
        <f>$T228-VLOOKUP($B228,Scores!$AG$1:$AM$7,6,FALSE)</f>
        <v>-5.86</v>
      </c>
      <c r="AD228" s="2">
        <f>$T228-VLOOKUP($B228,Scores!$AG$1:$AM$7,7,FALSE)+(ROW(A227)/1000000)</f>
        <v>-3.8812015714285706</v>
      </c>
      <c r="AE228" s="2">
        <f t="array" ref="AE228">IF('ROS Rankings'!$AD$1,IFERROR(AVERAGE(IF(INDEX($C228:$S228,14):INDEX($C228:$S228,17)="NA",0,INDEX($C228:$S228,14):INDEX($C228:$S228,17))-INDEX($AQ$2:$BG$7,MATCH($B228,$AO$2:$AO$7,0),14):INDEX($AQ$2:$BG$7,MATCH($B228,$AO$2:$AO$7,0),17)),0),IFERROR(AVERAGE(IF(INDEX($C228:$S228,Week+1):INDEX($C228:$S228,13)="NA",0,INDEX($C228:$S228,Week+1):INDEX($C228:$S228,13))-INDEX($AQ$2:$BG$7,MATCH($B228,$AO$2:$AO$7,0),Week+1):INDEX($AQ$2:$BG$7,MATCH($B228,$AO$2:$AO$7,0),13)),0))+ROW(A227)/1000000</f>
        <v>-3.4560229999999996</v>
      </c>
      <c r="AF228">
        <f t="shared" si="28"/>
        <v>379</v>
      </c>
      <c r="AG228">
        <f t="shared" si="29"/>
        <v>383</v>
      </c>
      <c r="AH228">
        <f t="shared" si="30"/>
        <v>337</v>
      </c>
      <c r="AI228">
        <f t="shared" si="31"/>
        <v>318</v>
      </c>
      <c r="AJ228" s="22">
        <f>IF(ISERROR(MATCH(A228,Rosters!$B$2:$B$155,0)),AD228,"")</f>
        <v>-3.8812015714285706</v>
      </c>
      <c r="AK228">
        <f t="shared" si="32"/>
        <v>186</v>
      </c>
      <c r="AL228" s="23">
        <f>COUNTIF(INDEX($C228:$S228,Week+1):INDEX($C228:$S228,13),"&gt;0")</f>
        <v>7</v>
      </c>
    </row>
    <row r="229" spans="1:38" x14ac:dyDescent="0.25">
      <c r="A229" t="s">
        <v>134</v>
      </c>
      <c r="B229" t="s">
        <v>87</v>
      </c>
      <c r="C229">
        <v>8.49</v>
      </c>
      <c r="D229">
        <v>10.74</v>
      </c>
      <c r="E229">
        <v>9.56</v>
      </c>
      <c r="F229">
        <v>9.74</v>
      </c>
      <c r="G229">
        <v>9.6199999999999992</v>
      </c>
      <c r="H229">
        <v>9.93</v>
      </c>
      <c r="I229">
        <v>10.3</v>
      </c>
      <c r="J229">
        <v>10.039999999999999</v>
      </c>
      <c r="K229">
        <v>11.07</v>
      </c>
      <c r="L229">
        <v>10.38</v>
      </c>
      <c r="M229" t="s">
        <v>64</v>
      </c>
      <c r="N229">
        <v>9.35</v>
      </c>
      <c r="O229">
        <v>9.9499999999999993</v>
      </c>
      <c r="P229">
        <v>8.6</v>
      </c>
      <c r="Q229">
        <v>8.7799999999999994</v>
      </c>
      <c r="R229">
        <v>9.6199999999999992</v>
      </c>
      <c r="S229">
        <v>7.76</v>
      </c>
      <c r="T229" s="2">
        <f>IF('ROS Rankings'!$AD$1,IFERROR(AVERAGE(INDEX($C229:$S229,14):INDEX($C229:$S229,17)),0),IFERROR(AVERAGE(INDEX($C229:$S229,Week+1):INDEX($C229:$S229,13)),0))</f>
        <v>10.145714285714288</v>
      </c>
      <c r="U229" s="2" t="str">
        <f t="shared" si="34"/>
        <v/>
      </c>
      <c r="V229" s="2" t="str">
        <f t="shared" si="34"/>
        <v/>
      </c>
      <c r="W229" s="2">
        <f t="shared" si="34"/>
        <v>10.145714285714288</v>
      </c>
      <c r="X229" s="2" t="str">
        <f t="shared" si="34"/>
        <v/>
      </c>
      <c r="Y229" s="2" t="str">
        <f t="shared" si="34"/>
        <v/>
      </c>
      <c r="Z229" s="2" t="str">
        <f t="shared" si="34"/>
        <v/>
      </c>
      <c r="AA229" s="23" t="str">
        <f t="shared" si="27"/>
        <v>WR18</v>
      </c>
      <c r="AB229" s="2">
        <f>$T229-VLOOKUP($B229,Scores!$AG$1:$AM$7,5,FALSE)</f>
        <v>-0.22571428571428243</v>
      </c>
      <c r="AC229" s="2">
        <f>$T229-VLOOKUP($B229,Scores!$AG$1:$AM$7,6,FALSE)</f>
        <v>2.1142857142857157</v>
      </c>
      <c r="AD229" s="2">
        <f>$T229-VLOOKUP($B229,Scores!$AG$1:$AM$7,7,FALSE)+(ROW(A228)/1000000)</f>
        <v>4.0930851428571451</v>
      </c>
      <c r="AE229" s="2">
        <f t="array" ref="AE229">IF('ROS Rankings'!$AD$1,IFERROR(AVERAGE(IF(INDEX($C229:$S229,14):INDEX($C229:$S229,17)="NA",0,INDEX($C229:$S229,14):INDEX($C229:$S229,17))-INDEX($AQ$2:$BG$7,MATCH($B229,$AO$2:$AO$7,0),14):INDEX($AQ$2:$BG$7,MATCH($B229,$AO$2:$AO$7,0),17)),0),IFERROR(AVERAGE(IF(INDEX($C229:$S229,Week+1):INDEX($C229:$S229,13)="NA",0,INDEX($C229:$S229,Week+1):INDEX($C229:$S229,13))-INDEX($AQ$2:$BG$7,MATCH($B229,$AO$2:$AO$7,0),Week+1):INDEX($AQ$2:$BG$7,MATCH($B229,$AO$2:$AO$7,0),13)),0))+ROW(A228)/1000000</f>
        <v>3.5214780000000001</v>
      </c>
      <c r="AF229">
        <f t="shared" si="28"/>
        <v>53</v>
      </c>
      <c r="AG229">
        <f t="shared" si="29"/>
        <v>39</v>
      </c>
      <c r="AH229">
        <f t="shared" si="30"/>
        <v>38</v>
      </c>
      <c r="AI229">
        <f t="shared" si="31"/>
        <v>38</v>
      </c>
      <c r="AJ229" s="22" t="str">
        <f>IF(ISERROR(MATCH(A229,Rosters!$B$2:$B$155,0)),AD229,"")</f>
        <v/>
      </c>
      <c r="AK229" t="str">
        <f t="shared" si="32"/>
        <v/>
      </c>
      <c r="AL229" s="23">
        <f>COUNTIF(INDEX($C229:$S229,Week+1):INDEX($C229:$S229,13),"&gt;0")</f>
        <v>7</v>
      </c>
    </row>
    <row r="230" spans="1:38" x14ac:dyDescent="0.25">
      <c r="A230" t="s">
        <v>4251</v>
      </c>
      <c r="B230" t="s">
        <v>114</v>
      </c>
      <c r="C230" t="s">
        <v>64</v>
      </c>
      <c r="D230">
        <v>0.39</v>
      </c>
      <c r="E230">
        <v>0.44</v>
      </c>
      <c r="F230">
        <v>0.51</v>
      </c>
      <c r="G230">
        <v>0.64</v>
      </c>
      <c r="H230">
        <v>0.65</v>
      </c>
      <c r="I230">
        <v>0.56999999999999995</v>
      </c>
      <c r="J230">
        <v>0.44</v>
      </c>
      <c r="K230">
        <v>0.56999999999999995</v>
      </c>
      <c r="L230">
        <v>0.52</v>
      </c>
      <c r="M230" t="s">
        <v>64</v>
      </c>
      <c r="N230">
        <v>0.44</v>
      </c>
      <c r="O230">
        <v>0.61</v>
      </c>
      <c r="P230">
        <v>0.54</v>
      </c>
      <c r="Q230">
        <v>0.47</v>
      </c>
      <c r="R230">
        <v>0.43</v>
      </c>
      <c r="S230">
        <v>0.65</v>
      </c>
      <c r="T230" s="2">
        <f>IF('ROS Rankings'!$AD$1,IFERROR(AVERAGE(INDEX($C230:$S230,14):INDEX($C230:$S230,17)),0),IFERROR(AVERAGE(INDEX($C230:$S230,Week+1):INDEX($C230:$S230,13)),0))</f>
        <v>0.54285714285714282</v>
      </c>
      <c r="U230" s="2" t="str">
        <f t="shared" si="34"/>
        <v/>
      </c>
      <c r="V230" s="2" t="str">
        <f t="shared" si="34"/>
        <v/>
      </c>
      <c r="W230" s="2" t="str">
        <f t="shared" si="34"/>
        <v/>
      </c>
      <c r="X230" s="2">
        <f t="shared" si="34"/>
        <v>0.54285714285714282</v>
      </c>
      <c r="Y230" s="2" t="str">
        <f t="shared" si="34"/>
        <v/>
      </c>
      <c r="Z230" s="2" t="str">
        <f t="shared" si="34"/>
        <v/>
      </c>
      <c r="AA230" s="23" t="str">
        <f t="shared" si="27"/>
        <v>TE79</v>
      </c>
      <c r="AB230" s="2">
        <f>$T230-VLOOKUP($B230,Scores!$AG$1:$AM$7,5,FALSE)</f>
        <v>-6.4558928571428567</v>
      </c>
      <c r="AC230" s="2">
        <f>$T230-VLOOKUP($B230,Scores!$AG$1:$AM$7,6,FALSE)</f>
        <v>-4.7071428571428573</v>
      </c>
      <c r="AD230" s="2">
        <f>$T230-VLOOKUP($B230,Scores!$AG$1:$AM$7,7,FALSE)+(ROW(A229)/1000000)</f>
        <v>-4.636913857142857</v>
      </c>
      <c r="AE230" s="2">
        <f t="array" ref="AE230">IF('ROS Rankings'!$AD$1,IFERROR(AVERAGE(IF(INDEX($C230:$S230,14):INDEX($C230:$S230,17)="NA",0,INDEX($C230:$S230,14):INDEX($C230:$S230,17))-INDEX($AQ$2:$BG$7,MATCH($B230,$AO$2:$AO$7,0),14):INDEX($AQ$2:$BG$7,MATCH($B230,$AO$2:$AO$7,0),17)),0),IFERROR(AVERAGE(IF(INDEX($C230:$S230,Week+1):INDEX($C230:$S230,13)="NA",0,INDEX($C230:$S230,Week+1):INDEX($C230:$S230,13))-INDEX($AQ$2:$BG$7,MATCH($B230,$AO$2:$AO$7,0),Week+1):INDEX($AQ$2:$BG$7,MATCH($B230,$AO$2:$AO$7,0),13)),0))+ROW(A229)/1000000</f>
        <v>-4.6222709999999996</v>
      </c>
      <c r="AF230">
        <f t="shared" si="28"/>
        <v>308</v>
      </c>
      <c r="AG230">
        <f t="shared" si="29"/>
        <v>324</v>
      </c>
      <c r="AH230">
        <f t="shared" si="30"/>
        <v>371</v>
      </c>
      <c r="AI230">
        <f t="shared" si="31"/>
        <v>389</v>
      </c>
      <c r="AJ230" s="22">
        <f>IF(ISERROR(MATCH(A230,Rosters!$B$2:$B$155,0)),AD230,"")</f>
        <v>-4.636913857142857</v>
      </c>
      <c r="AK230">
        <f t="shared" si="32"/>
        <v>219</v>
      </c>
      <c r="AL230" s="23">
        <f>COUNTIF(INDEX($C230:$S230,Week+1):INDEX($C230:$S230,13),"&gt;0")</f>
        <v>7</v>
      </c>
    </row>
    <row r="231" spans="1:38" x14ac:dyDescent="0.25">
      <c r="A231" t="s">
        <v>8885</v>
      </c>
      <c r="B231" t="s">
        <v>87</v>
      </c>
      <c r="C231" t="s">
        <v>64</v>
      </c>
      <c r="D231" t="s">
        <v>64</v>
      </c>
      <c r="E231" t="s">
        <v>64</v>
      </c>
      <c r="F231" t="s">
        <v>64</v>
      </c>
      <c r="G231" t="s">
        <v>64</v>
      </c>
      <c r="H231">
        <v>0.62</v>
      </c>
      <c r="I231">
        <v>0.59</v>
      </c>
      <c r="J231">
        <v>0.53</v>
      </c>
      <c r="K231">
        <v>0.46</v>
      </c>
      <c r="L231">
        <v>0.65</v>
      </c>
      <c r="M231">
        <v>0.56999999999999995</v>
      </c>
      <c r="N231">
        <v>0.62</v>
      </c>
      <c r="O231">
        <v>0.43</v>
      </c>
      <c r="P231">
        <v>0.42</v>
      </c>
      <c r="Q231">
        <v>0.6</v>
      </c>
      <c r="R231">
        <v>0.64</v>
      </c>
      <c r="S231">
        <v>0.55000000000000004</v>
      </c>
      <c r="T231" s="2">
        <f>IF('ROS Rankings'!$AD$1,IFERROR(AVERAGE(INDEX($C231:$S231,14):INDEX($C231:$S231,17)),0),IFERROR(AVERAGE(INDEX($C231:$S231,Week+1):INDEX($C231:$S231,13)),0))</f>
        <v>0.55874999999999997</v>
      </c>
      <c r="U231" s="2" t="str">
        <f t="shared" si="34"/>
        <v/>
      </c>
      <c r="V231" s="2" t="str">
        <f t="shared" si="34"/>
        <v/>
      </c>
      <c r="W231" s="2">
        <f t="shared" si="34"/>
        <v>0.55874999999999997</v>
      </c>
      <c r="X231" s="2" t="str">
        <f t="shared" si="34"/>
        <v/>
      </c>
      <c r="Y231" s="2" t="str">
        <f t="shared" si="34"/>
        <v/>
      </c>
      <c r="Z231" s="2" t="str">
        <f t="shared" si="34"/>
        <v/>
      </c>
      <c r="AA231" s="23" t="str">
        <f t="shared" si="27"/>
        <v>WR160</v>
      </c>
      <c r="AB231" s="2">
        <f>$T231-VLOOKUP($B231,Scores!$AG$1:$AM$7,5,FALSE)</f>
        <v>-9.8126785714285703</v>
      </c>
      <c r="AC231" s="2">
        <f>$T231-VLOOKUP($B231,Scores!$AG$1:$AM$7,6,FALSE)</f>
        <v>-7.4726785714285722</v>
      </c>
      <c r="AD231" s="2">
        <f>$T231-VLOOKUP($B231,Scores!$AG$1:$AM$7,7,FALSE)+(ROW(A230)/1000000)</f>
        <v>-5.4938771428571425</v>
      </c>
      <c r="AE231" s="2">
        <f t="array" ref="AE231">IF('ROS Rankings'!$AD$1,IFERROR(AVERAGE(IF(INDEX($C231:$S231,14):INDEX($C231:$S231,17)="NA",0,INDEX($C231:$S231,14):INDEX($C231:$S231,17))-INDEX($AQ$2:$BG$7,MATCH($B231,$AO$2:$AO$7,0),14):INDEX($AQ$2:$BG$7,MATCH($B231,$AO$2:$AO$7,0),17)),0),IFERROR(AVERAGE(IF(INDEX($C231:$S231,Week+1):INDEX($C231:$S231,13)="NA",0,INDEX($C231:$S231,Week+1):INDEX($C231:$S231,13))-INDEX($AQ$2:$BG$7,MATCH($B231,$AO$2:$AO$7,0),Week+1):INDEX($AQ$2:$BG$7,MATCH($B231,$AO$2:$AO$7,0),13)),0))+ROW(A230)/1000000</f>
        <v>-4.7972699999999993</v>
      </c>
      <c r="AF231">
        <f t="shared" si="28"/>
        <v>436</v>
      </c>
      <c r="AG231">
        <f t="shared" si="29"/>
        <v>454</v>
      </c>
      <c r="AH231">
        <f t="shared" si="30"/>
        <v>485</v>
      </c>
      <c r="AI231">
        <f t="shared" si="31"/>
        <v>435</v>
      </c>
      <c r="AJ231" s="22">
        <f>IF(ISERROR(MATCH(A231,Rosters!$B$2:$B$155,0)),AD231,"")</f>
        <v>-5.4938771428571425</v>
      </c>
      <c r="AK231">
        <f t="shared" si="32"/>
        <v>333</v>
      </c>
      <c r="AL231" s="23">
        <f>COUNTIF(INDEX($C231:$S231,Week+1):INDEX($C231:$S231,13),"&gt;0")</f>
        <v>8</v>
      </c>
    </row>
    <row r="232" spans="1:38" x14ac:dyDescent="0.25">
      <c r="A232" t="s">
        <v>306</v>
      </c>
      <c r="B232" t="s">
        <v>47</v>
      </c>
      <c r="C232">
        <v>4.6500000000000004</v>
      </c>
      <c r="D232">
        <v>4.66</v>
      </c>
      <c r="E232">
        <v>4.6100000000000003</v>
      </c>
      <c r="F232">
        <v>6.39</v>
      </c>
      <c r="G232">
        <v>8.2100000000000009</v>
      </c>
      <c r="H232">
        <v>6.39</v>
      </c>
      <c r="I232">
        <v>7.18</v>
      </c>
      <c r="J232">
        <v>7.38</v>
      </c>
      <c r="K232">
        <v>7.79</v>
      </c>
      <c r="L232" t="s">
        <v>64</v>
      </c>
      <c r="M232">
        <v>7.69</v>
      </c>
      <c r="N232">
        <v>5.99</v>
      </c>
      <c r="O232">
        <v>6.74</v>
      </c>
      <c r="P232">
        <v>5.66</v>
      </c>
      <c r="Q232">
        <v>7.11</v>
      </c>
      <c r="R232">
        <v>7.52</v>
      </c>
      <c r="S232">
        <v>7.18</v>
      </c>
      <c r="T232" s="2">
        <f>IF('ROS Rankings'!$AD$1,IFERROR(AVERAGE(INDEX($C232:$S232,14):INDEX($C232:$S232,17)),0),IFERROR(AVERAGE(INDEX($C232:$S232,Week+1):INDEX($C232:$S232,13)),0))</f>
        <v>7.0228571428571431</v>
      </c>
      <c r="U232" s="2" t="str">
        <f t="shared" si="34"/>
        <v/>
      </c>
      <c r="V232" s="2">
        <f t="shared" si="34"/>
        <v>7.0228571428571431</v>
      </c>
      <c r="W232" s="2" t="str">
        <f t="shared" si="34"/>
        <v/>
      </c>
      <c r="X232" s="2" t="str">
        <f t="shared" si="34"/>
        <v/>
      </c>
      <c r="Y232" s="2" t="str">
        <f t="shared" si="34"/>
        <v/>
      </c>
      <c r="Z232" s="2" t="str">
        <f t="shared" si="34"/>
        <v/>
      </c>
      <c r="AA232" s="23" t="str">
        <f t="shared" si="27"/>
        <v>RB37</v>
      </c>
      <c r="AB232" s="2">
        <f>$T232-VLOOKUP($B232,Scores!$AG$1:$AM$7,5,FALSE)</f>
        <v>-4.7357142857142858</v>
      </c>
      <c r="AC232" s="2">
        <f>$T232-VLOOKUP($B232,Scores!$AG$1:$AM$7,6,FALSE)</f>
        <v>-1.2471428571428582</v>
      </c>
      <c r="AD232" s="2">
        <f>$T232-VLOOKUP($B232,Scores!$AG$1:$AM$7,7,FALSE)+(ROW(A231)/1000000)</f>
        <v>1.154516714285714</v>
      </c>
      <c r="AE232" s="2">
        <f t="array" ref="AE232">IF('ROS Rankings'!$AD$1,IFERROR(AVERAGE(IF(INDEX($C232:$S232,14):INDEX($C232:$S232,17)="NA",0,INDEX($C232:$S232,14):INDEX($C232:$S232,17))-INDEX($AQ$2:$BG$7,MATCH($B232,$AO$2:$AO$7,0),14):INDEX($AQ$2:$BG$7,MATCH($B232,$AO$2:$AO$7,0),17)),0),IFERROR(AVERAGE(IF(INDEX($C232:$S232,Week+1):INDEX($C232:$S232,13)="NA",0,INDEX($C232:$S232,Week+1):INDEX($C232:$S232,13))-INDEX($AQ$2:$BG$7,MATCH($B232,$AO$2:$AO$7,0),Week+1):INDEX($AQ$2:$BG$7,MATCH($B232,$AO$2:$AO$7,0),13)),0))+ROW(A231)/1000000</f>
        <v>0.78523100000000012</v>
      </c>
      <c r="AF232">
        <f t="shared" si="28"/>
        <v>226</v>
      </c>
      <c r="AG232">
        <f t="shared" si="29"/>
        <v>169</v>
      </c>
      <c r="AH232">
        <f t="shared" si="30"/>
        <v>100</v>
      </c>
      <c r="AI232">
        <f t="shared" si="31"/>
        <v>93</v>
      </c>
      <c r="AJ232" s="22" t="str">
        <f>IF(ISERROR(MATCH(A232,Rosters!$B$2:$B$155,0)),AD232,"")</f>
        <v/>
      </c>
      <c r="AK232" t="str">
        <f t="shared" si="32"/>
        <v/>
      </c>
      <c r="AL232" s="23">
        <f>COUNTIF(INDEX($C232:$S232,Week+1):INDEX($C232:$S232,13),"&gt;0")</f>
        <v>7</v>
      </c>
    </row>
    <row r="233" spans="1:38" x14ac:dyDescent="0.25">
      <c r="A233" t="s">
        <v>8640</v>
      </c>
      <c r="B233" t="s">
        <v>87</v>
      </c>
      <c r="C233" t="s">
        <v>64</v>
      </c>
      <c r="D233" t="s">
        <v>64</v>
      </c>
      <c r="E233" t="s">
        <v>64</v>
      </c>
      <c r="F233" t="s">
        <v>64</v>
      </c>
      <c r="G233">
        <v>1.26</v>
      </c>
      <c r="H233">
        <v>0.55000000000000004</v>
      </c>
      <c r="I233">
        <v>0.53</v>
      </c>
      <c r="J233">
        <v>0.54</v>
      </c>
      <c r="K233" t="s">
        <v>64</v>
      </c>
      <c r="L233">
        <v>0.62</v>
      </c>
      <c r="M233">
        <v>0.6</v>
      </c>
      <c r="N233">
        <v>0.54</v>
      </c>
      <c r="O233">
        <v>0.61</v>
      </c>
      <c r="P233">
        <v>0.53</v>
      </c>
      <c r="Q233">
        <v>0.65</v>
      </c>
      <c r="R233">
        <v>0.64</v>
      </c>
      <c r="S233">
        <v>0.61</v>
      </c>
      <c r="T233" s="2">
        <f>IF('ROS Rankings'!$AD$1,IFERROR(AVERAGE(INDEX($C233:$S233,14):INDEX($C233:$S233,17)),0),IFERROR(AVERAGE(INDEX($C233:$S233,Week+1):INDEX($C233:$S233,13)),0))</f>
        <v>0.57000000000000006</v>
      </c>
      <c r="U233" s="2" t="str">
        <f t="shared" si="34"/>
        <v/>
      </c>
      <c r="V233" s="2" t="str">
        <f t="shared" si="34"/>
        <v/>
      </c>
      <c r="W233" s="2">
        <f t="shared" si="34"/>
        <v>0.57000000000000006</v>
      </c>
      <c r="X233" s="2" t="str">
        <f t="shared" si="34"/>
        <v/>
      </c>
      <c r="Y233" s="2" t="str">
        <f t="shared" si="34"/>
        <v/>
      </c>
      <c r="Z233" s="2" t="str">
        <f t="shared" si="34"/>
        <v/>
      </c>
      <c r="AA233" s="23" t="str">
        <f t="shared" si="27"/>
        <v>WR155</v>
      </c>
      <c r="AB233" s="2">
        <f>$T233-VLOOKUP($B233,Scores!$AG$1:$AM$7,5,FALSE)</f>
        <v>-9.8014285714285698</v>
      </c>
      <c r="AC233" s="2">
        <f>$T233-VLOOKUP($B233,Scores!$AG$1:$AM$7,6,FALSE)</f>
        <v>-7.4614285714285717</v>
      </c>
      <c r="AD233" s="2">
        <f>$T233-VLOOKUP($B233,Scores!$AG$1:$AM$7,7,FALSE)+(ROW(A232)/1000000)</f>
        <v>-5.4826251428571426</v>
      </c>
      <c r="AE233" s="2">
        <f t="array" ref="AE233">IF('ROS Rankings'!$AD$1,IFERROR(AVERAGE(IF(INDEX($C233:$S233,14):INDEX($C233:$S233,17)="NA",0,INDEX($C233:$S233,14):INDEX($C233:$S233,17))-INDEX($AQ$2:$BG$7,MATCH($B233,$AO$2:$AO$7,0),14):INDEX($AQ$2:$BG$7,MATCH($B233,$AO$2:$AO$7,0),17)),0),IFERROR(AVERAGE(IF(INDEX($C233:$S233,Week+1):INDEX($C233:$S233,13)="NA",0,INDEX($C233:$S233,Week+1):INDEX($C233:$S233,13))-INDEX($AQ$2:$BG$7,MATCH($B233,$AO$2:$AO$7,0),Week+1):INDEX($AQ$2:$BG$7,MATCH($B233,$AO$2:$AO$7,0),13)),0))+ROW(A232)/1000000</f>
        <v>-4.8572679999999995</v>
      </c>
      <c r="AF233">
        <f t="shared" si="28"/>
        <v>430</v>
      </c>
      <c r="AG233">
        <f t="shared" si="29"/>
        <v>449</v>
      </c>
      <c r="AH233">
        <f t="shared" si="30"/>
        <v>480</v>
      </c>
      <c r="AI233">
        <f t="shared" si="31"/>
        <v>454</v>
      </c>
      <c r="AJ233" s="22">
        <f>IF(ISERROR(MATCH(A233,Rosters!$B$2:$B$155,0)),AD233,"")</f>
        <v>-5.4826251428571426</v>
      </c>
      <c r="AK233">
        <f t="shared" si="32"/>
        <v>328</v>
      </c>
      <c r="AL233" s="23">
        <f>COUNTIF(INDEX($C233:$S233,Week+1):INDEX($C233:$S233,13),"&gt;0")</f>
        <v>7</v>
      </c>
    </row>
    <row r="234" spans="1:38" x14ac:dyDescent="0.25">
      <c r="A234" t="s">
        <v>89</v>
      </c>
      <c r="B234" t="s">
        <v>47</v>
      </c>
      <c r="C234">
        <v>9.09</v>
      </c>
      <c r="D234">
        <v>10.24</v>
      </c>
      <c r="E234">
        <v>0</v>
      </c>
      <c r="F234">
        <v>9.32</v>
      </c>
      <c r="G234">
        <v>9.6</v>
      </c>
      <c r="H234">
        <v>9.7100000000000009</v>
      </c>
      <c r="I234">
        <v>10.56</v>
      </c>
      <c r="J234">
        <v>8.59</v>
      </c>
      <c r="K234" t="s">
        <v>64</v>
      </c>
      <c r="L234">
        <v>11.42</v>
      </c>
      <c r="M234">
        <v>10.55</v>
      </c>
      <c r="N234">
        <v>10.64</v>
      </c>
      <c r="O234">
        <v>11.47</v>
      </c>
      <c r="P234">
        <v>10.42</v>
      </c>
      <c r="Q234">
        <v>10.26</v>
      </c>
      <c r="R234">
        <v>12.3</v>
      </c>
      <c r="S234">
        <v>10.37</v>
      </c>
      <c r="T234" s="2">
        <f>IF('ROS Rankings'!$AD$1,IFERROR(AVERAGE(INDEX($C234:$S234,14):INDEX($C234:$S234,17)),0),IFERROR(AVERAGE(INDEX($C234:$S234,Week+1):INDEX($C234:$S234,13)),0))</f>
        <v>10.42</v>
      </c>
      <c r="U234" s="2" t="str">
        <f t="shared" si="34"/>
        <v/>
      </c>
      <c r="V234" s="2">
        <f t="shared" si="34"/>
        <v>10.42</v>
      </c>
      <c r="W234" s="2" t="str">
        <f t="shared" si="34"/>
        <v/>
      </c>
      <c r="X234" s="2" t="str">
        <f t="shared" si="34"/>
        <v/>
      </c>
      <c r="Y234" s="2" t="str">
        <f t="shared" si="34"/>
        <v/>
      </c>
      <c r="Z234" s="2" t="str">
        <f t="shared" si="34"/>
        <v/>
      </c>
      <c r="AA234" s="23" t="str">
        <f t="shared" si="27"/>
        <v>RB17</v>
      </c>
      <c r="AB234" s="2">
        <f>$T234-VLOOKUP($B234,Scores!$AG$1:$AM$7,5,FALSE)</f>
        <v>-1.338571428571429</v>
      </c>
      <c r="AC234" s="2">
        <f>$T234-VLOOKUP($B234,Scores!$AG$1:$AM$7,6,FALSE)</f>
        <v>2.1499999999999986</v>
      </c>
      <c r="AD234" s="2">
        <f>$T234-VLOOKUP($B234,Scores!$AG$1:$AM$7,7,FALSE)+(ROW(A233)/1000000)</f>
        <v>4.5516615714285704</v>
      </c>
      <c r="AE234" s="2">
        <f t="array" ref="AE234">IF('ROS Rankings'!$AD$1,IFERROR(AVERAGE(IF(INDEX($C234:$S234,14):INDEX($C234:$S234,17)="NA",0,INDEX($C234:$S234,14):INDEX($C234:$S234,17))-INDEX($AQ$2:$BG$7,MATCH($B234,$AO$2:$AO$7,0),14):INDEX($AQ$2:$BG$7,MATCH($B234,$AO$2:$AO$7,0),17)),0),IFERROR(AVERAGE(IF(INDEX($C234:$S234,Week+1):INDEX($C234:$S234,13)="NA",0,INDEX($C234:$S234,Week+1):INDEX($C234:$S234,13))-INDEX($AQ$2:$BG$7,MATCH($B234,$AO$2:$AO$7,0),Week+1):INDEX($AQ$2:$BG$7,MATCH($B234,$AO$2:$AO$7,0),13)),0))+ROW(A233)/1000000</f>
        <v>3.7577330000000004</v>
      </c>
      <c r="AF234">
        <f t="shared" si="28"/>
        <v>107</v>
      </c>
      <c r="AG234">
        <f t="shared" si="29"/>
        <v>38</v>
      </c>
      <c r="AH234">
        <f t="shared" si="30"/>
        <v>34</v>
      </c>
      <c r="AI234">
        <f t="shared" si="31"/>
        <v>36</v>
      </c>
      <c r="AJ234" s="22" t="str">
        <f>IF(ISERROR(MATCH(A234,Rosters!$B$2:$B$155,0)),AD234,"")</f>
        <v/>
      </c>
      <c r="AK234" t="str">
        <f t="shared" si="32"/>
        <v/>
      </c>
      <c r="AL234" s="23">
        <f>COUNTIF(INDEX($C234:$S234,Week+1):INDEX($C234:$S234,13),"&gt;0")</f>
        <v>7</v>
      </c>
    </row>
    <row r="235" spans="1:38" x14ac:dyDescent="0.25">
      <c r="A235" t="s">
        <v>1560</v>
      </c>
      <c r="B235" t="s">
        <v>87</v>
      </c>
      <c r="C235">
        <v>0.52</v>
      </c>
      <c r="D235">
        <v>0.62</v>
      </c>
      <c r="E235">
        <v>0.73</v>
      </c>
      <c r="F235">
        <v>0.78</v>
      </c>
      <c r="G235">
        <v>0.82</v>
      </c>
      <c r="H235">
        <v>0.8</v>
      </c>
      <c r="I235">
        <v>0.8</v>
      </c>
      <c r="J235">
        <v>0.77</v>
      </c>
      <c r="K235" t="s">
        <v>64</v>
      </c>
      <c r="L235">
        <v>0.77</v>
      </c>
      <c r="M235">
        <v>0.71</v>
      </c>
      <c r="N235">
        <v>0.69</v>
      </c>
      <c r="O235">
        <v>0.8</v>
      </c>
      <c r="P235">
        <v>0.8</v>
      </c>
      <c r="Q235">
        <v>0.71</v>
      </c>
      <c r="R235">
        <v>0.82</v>
      </c>
      <c r="S235">
        <v>0.77</v>
      </c>
      <c r="T235" s="2">
        <f>IF('ROS Rankings'!$AD$1,IFERROR(AVERAGE(INDEX($C235:$S235,14):INDEX($C235:$S235,17)),0),IFERROR(AVERAGE(INDEX($C235:$S235,Week+1):INDEX($C235:$S235,13)),0))</f>
        <v>0.76285714285714279</v>
      </c>
      <c r="U235" s="2" t="str">
        <f t="shared" si="34"/>
        <v/>
      </c>
      <c r="V235" s="2" t="str">
        <f t="shared" si="34"/>
        <v/>
      </c>
      <c r="W235" s="2">
        <f t="shared" si="34"/>
        <v>0.76285714285714279</v>
      </c>
      <c r="X235" s="2" t="str">
        <f t="shared" si="34"/>
        <v/>
      </c>
      <c r="Y235" s="2" t="str">
        <f t="shared" si="34"/>
        <v/>
      </c>
      <c r="Z235" s="2" t="str">
        <f t="shared" si="34"/>
        <v/>
      </c>
      <c r="AA235" s="23" t="str">
        <f t="shared" si="27"/>
        <v>WR130</v>
      </c>
      <c r="AB235" s="2">
        <f>$T235-VLOOKUP($B235,Scores!$AG$1:$AM$7,5,FALSE)</f>
        <v>-9.6085714285714268</v>
      </c>
      <c r="AC235" s="2">
        <f>$T235-VLOOKUP($B235,Scores!$AG$1:$AM$7,6,FALSE)</f>
        <v>-7.2685714285714296</v>
      </c>
      <c r="AD235" s="2">
        <f>$T235-VLOOKUP($B235,Scores!$AG$1:$AM$7,7,FALSE)+(ROW(A234)/1000000)</f>
        <v>-5.2897660000000002</v>
      </c>
      <c r="AE235" s="2">
        <f t="array" ref="AE235">IF('ROS Rankings'!$AD$1,IFERROR(AVERAGE(IF(INDEX($C235:$S235,14):INDEX($C235:$S235,17)="NA",0,INDEX($C235:$S235,14):INDEX($C235:$S235,17))-INDEX($AQ$2:$BG$7,MATCH($B235,$AO$2:$AO$7,0),14):INDEX($AQ$2:$BG$7,MATCH($B235,$AO$2:$AO$7,0),17)),0),IFERROR(AVERAGE(IF(INDEX($C235:$S235,Week+1):INDEX($C235:$S235,13)="NA",0,INDEX($C235:$S235,Week+1):INDEX($C235:$S235,13))-INDEX($AQ$2:$BG$7,MATCH($B235,$AO$2:$AO$7,0),Week+1):INDEX($AQ$2:$BG$7,MATCH($B235,$AO$2:$AO$7,0),13)),0))+ROW(A234)/1000000</f>
        <v>-4.6885159999999999</v>
      </c>
      <c r="AF235">
        <f t="shared" si="28"/>
        <v>405</v>
      </c>
      <c r="AG235">
        <f t="shared" si="29"/>
        <v>420</v>
      </c>
      <c r="AH235">
        <f t="shared" si="30"/>
        <v>430</v>
      </c>
      <c r="AI235">
        <f t="shared" si="31"/>
        <v>403</v>
      </c>
      <c r="AJ235" s="22">
        <f>IF(ISERROR(MATCH(A235,Rosters!$B$2:$B$155,0)),AD235,"")</f>
        <v>-5.2897660000000002</v>
      </c>
      <c r="AK235">
        <f t="shared" si="32"/>
        <v>278</v>
      </c>
      <c r="AL235" s="23">
        <f>COUNTIF(INDEX($C235:$S235,Week+1):INDEX($C235:$S235,13),"&gt;0")</f>
        <v>7</v>
      </c>
    </row>
    <row r="236" spans="1:38" x14ac:dyDescent="0.25">
      <c r="A236" t="s">
        <v>308</v>
      </c>
      <c r="B236" t="s">
        <v>114</v>
      </c>
      <c r="C236">
        <v>1.47</v>
      </c>
      <c r="D236">
        <v>1.58</v>
      </c>
      <c r="E236">
        <v>1.9</v>
      </c>
      <c r="F236">
        <v>3.04</v>
      </c>
      <c r="G236">
        <v>4.01</v>
      </c>
      <c r="H236">
        <v>4.13</v>
      </c>
      <c r="I236">
        <v>3.81</v>
      </c>
      <c r="J236">
        <v>5.45</v>
      </c>
      <c r="K236">
        <v>4.6399999999999997</v>
      </c>
      <c r="L236" t="s">
        <v>64</v>
      </c>
      <c r="M236">
        <v>3.11</v>
      </c>
      <c r="N236">
        <v>3.7</v>
      </c>
      <c r="O236">
        <v>3.29</v>
      </c>
      <c r="P236">
        <v>4.22</v>
      </c>
      <c r="Q236">
        <v>4.58</v>
      </c>
      <c r="R236">
        <v>5.83</v>
      </c>
      <c r="S236">
        <v>3.2</v>
      </c>
      <c r="T236" s="2">
        <f>IF('ROS Rankings'!$AD$1,IFERROR(AVERAGE(INDEX($C236:$S236,14):INDEX($C236:$S236,17)),0),IFERROR(AVERAGE(INDEX($C236:$S236,Week+1):INDEX($C236:$S236,13)),0))</f>
        <v>4.0185714285714287</v>
      </c>
      <c r="U236" s="2" t="str">
        <f t="shared" si="34"/>
        <v/>
      </c>
      <c r="V236" s="2" t="str">
        <f t="shared" si="34"/>
        <v/>
      </c>
      <c r="W236" s="2" t="str">
        <f t="shared" si="34"/>
        <v/>
      </c>
      <c r="X236" s="2">
        <f t="shared" si="34"/>
        <v>4.0185714285714287</v>
      </c>
      <c r="Y236" s="2" t="str">
        <f t="shared" si="34"/>
        <v/>
      </c>
      <c r="Z236" s="2" t="str">
        <f t="shared" si="34"/>
        <v/>
      </c>
      <c r="AA236" s="23" t="str">
        <f t="shared" si="27"/>
        <v>TE21</v>
      </c>
      <c r="AB236" s="2">
        <f>$T236-VLOOKUP($B236,Scores!$AG$1:$AM$7,5,FALSE)</f>
        <v>-2.9801785714285707</v>
      </c>
      <c r="AC236" s="2">
        <f>$T236-VLOOKUP($B236,Scores!$AG$1:$AM$7,6,FALSE)</f>
        <v>-1.2314285714285713</v>
      </c>
      <c r="AD236" s="2">
        <f>$T236-VLOOKUP($B236,Scores!$AG$1:$AM$7,7,FALSE)+(ROW(A235)/1000000)</f>
        <v>-1.161193571428571</v>
      </c>
      <c r="AE236" s="2">
        <f t="array" ref="AE236">IF('ROS Rankings'!$AD$1,IFERROR(AVERAGE(IF(INDEX($C236:$S236,14):INDEX($C236:$S236,17)="NA",0,INDEX($C236:$S236,14):INDEX($C236:$S236,17))-INDEX($AQ$2:$BG$7,MATCH($B236,$AO$2:$AO$7,0),14):INDEX($AQ$2:$BG$7,MATCH($B236,$AO$2:$AO$7,0),17)),0),IFERROR(AVERAGE(IF(INDEX($C236:$S236,Week+1):INDEX($C236:$S236,13)="NA",0,INDEX($C236:$S236,Week+1):INDEX($C236:$S236,13))-INDEX($AQ$2:$BG$7,MATCH($B236,$AO$2:$AO$7,0),Week+1):INDEX($AQ$2:$BG$7,MATCH($B236,$AO$2:$AO$7,0),13)),0))+ROW(A235)/1000000</f>
        <v>-1.5810150000000003</v>
      </c>
      <c r="AF236">
        <f t="shared" si="28"/>
        <v>163</v>
      </c>
      <c r="AG236">
        <f t="shared" si="29"/>
        <v>168</v>
      </c>
      <c r="AH236">
        <f t="shared" si="30"/>
        <v>206</v>
      </c>
      <c r="AI236">
        <f t="shared" si="31"/>
        <v>217</v>
      </c>
      <c r="AJ236" s="22">
        <f>IF(ISERROR(MATCH(A236,Rosters!$B$2:$B$155,0)),AD236,"")</f>
        <v>-1.161193571428571</v>
      </c>
      <c r="AK236">
        <f t="shared" si="32"/>
        <v>68</v>
      </c>
      <c r="AL236" s="23">
        <f>COUNTIF(INDEX($C236:$S236,Week+1):INDEX($C236:$S236,13),"&gt;0")</f>
        <v>7</v>
      </c>
    </row>
    <row r="237" spans="1:38" x14ac:dyDescent="0.25">
      <c r="A237" t="s">
        <v>3040</v>
      </c>
      <c r="B237" t="s">
        <v>87</v>
      </c>
      <c r="C237" t="s">
        <v>64</v>
      </c>
      <c r="D237">
        <v>0.35</v>
      </c>
      <c r="E237">
        <v>0</v>
      </c>
      <c r="F237" t="s">
        <v>64</v>
      </c>
      <c r="G237" t="s">
        <v>64</v>
      </c>
      <c r="H237" t="s">
        <v>64</v>
      </c>
      <c r="I237" t="s">
        <v>64</v>
      </c>
      <c r="J237" t="s">
        <v>64</v>
      </c>
      <c r="K237" t="s">
        <v>64</v>
      </c>
      <c r="L237" t="s">
        <v>64</v>
      </c>
      <c r="M237" t="s">
        <v>64</v>
      </c>
      <c r="N237" t="s">
        <v>64</v>
      </c>
      <c r="O237" t="s">
        <v>64</v>
      </c>
      <c r="P237" t="s">
        <v>64</v>
      </c>
      <c r="Q237" t="s">
        <v>64</v>
      </c>
      <c r="R237" t="s">
        <v>64</v>
      </c>
      <c r="S237" t="s">
        <v>64</v>
      </c>
      <c r="T237" s="2">
        <f>IF('ROS Rankings'!$AD$1,IFERROR(AVERAGE(INDEX($C237:$S237,14):INDEX($C237:$S237,17)),0),IFERROR(AVERAGE(INDEX($C237:$S237,Week+1):INDEX($C237:$S237,13)),0))</f>
        <v>0</v>
      </c>
      <c r="U237" s="2" t="str">
        <f t="shared" si="34"/>
        <v/>
      </c>
      <c r="V237" s="2" t="str">
        <f t="shared" si="34"/>
        <v/>
      </c>
      <c r="W237" s="2">
        <f t="shared" si="34"/>
        <v>0</v>
      </c>
      <c r="X237" s="2" t="str">
        <f t="shared" si="34"/>
        <v/>
      </c>
      <c r="Y237" s="2" t="str">
        <f t="shared" si="34"/>
        <v/>
      </c>
      <c r="Z237" s="2" t="str">
        <f t="shared" si="34"/>
        <v/>
      </c>
      <c r="AA237" s="23" t="str">
        <f t="shared" si="27"/>
        <v>WR182</v>
      </c>
      <c r="AB237" s="2">
        <f>$T237-VLOOKUP($B237,Scores!$AG$1:$AM$7,5,FALSE)</f>
        <v>-10.37142857142857</v>
      </c>
      <c r="AC237" s="2">
        <f>$T237-VLOOKUP($B237,Scores!$AG$1:$AM$7,6,FALSE)</f>
        <v>-8.031428571428572</v>
      </c>
      <c r="AD237" s="2">
        <f>$T237-VLOOKUP($B237,Scores!$AG$1:$AM$7,7,FALSE)+(ROW(A236)/1000000)</f>
        <v>-6.0526211428571424</v>
      </c>
      <c r="AE237" s="2">
        <f t="array" ref="AE237">IF('ROS Rankings'!$AD$1,IFERROR(AVERAGE(IF(INDEX($C237:$S237,14):INDEX($C237:$S237,17)="NA",0,INDEX($C237:$S237,14):INDEX($C237:$S237,17))-INDEX($AQ$2:$BG$7,MATCH($B237,$AO$2:$AO$7,0),14):INDEX($AQ$2:$BG$7,MATCH($B237,$AO$2:$AO$7,0),17)),0),IFERROR(AVERAGE(IF(INDEX($C237:$S237,Week+1):INDEX($C237:$S237,13)="NA",0,INDEX($C237:$S237,Week+1):INDEX($C237:$S237,13))-INDEX($AQ$2:$BG$7,MATCH($B237,$AO$2:$AO$7,0),Week+1):INDEX($AQ$2:$BG$7,MATCH($B237,$AO$2:$AO$7,0),13)),0))+ROW(A236)/1000000</f>
        <v>-5.3560140000000009</v>
      </c>
      <c r="AF237">
        <f t="shared" si="28"/>
        <v>466</v>
      </c>
      <c r="AG237">
        <f t="shared" si="29"/>
        <v>514</v>
      </c>
      <c r="AH237">
        <f t="shared" si="30"/>
        <v>518</v>
      </c>
      <c r="AI237">
        <f t="shared" si="31"/>
        <v>510</v>
      </c>
      <c r="AJ237" s="22">
        <f>IF(ISERROR(MATCH(A237,Rosters!$B$2:$B$155,0)),AD237,"")</f>
        <v>-6.0526211428571424</v>
      </c>
      <c r="AK237">
        <f t="shared" si="32"/>
        <v>366</v>
      </c>
      <c r="AL237" s="23">
        <f>COUNTIF(INDEX($C237:$S237,Week+1):INDEX($C237:$S237,13),"&gt;0")</f>
        <v>0</v>
      </c>
    </row>
    <row r="238" spans="1:38" x14ac:dyDescent="0.25">
      <c r="A238" t="s">
        <v>348</v>
      </c>
      <c r="B238" t="s">
        <v>114</v>
      </c>
      <c r="C238">
        <v>0.49</v>
      </c>
      <c r="D238">
        <v>0.49</v>
      </c>
      <c r="E238">
        <v>0.54</v>
      </c>
      <c r="F238">
        <v>1.65</v>
      </c>
      <c r="G238">
        <v>1.39</v>
      </c>
      <c r="H238">
        <v>0.6</v>
      </c>
      <c r="I238">
        <v>0.8</v>
      </c>
      <c r="J238">
        <v>0.72</v>
      </c>
      <c r="K238" t="s">
        <v>64</v>
      </c>
      <c r="L238">
        <v>0.81</v>
      </c>
      <c r="M238">
        <v>0.83</v>
      </c>
      <c r="N238">
        <v>0.56999999999999995</v>
      </c>
      <c r="O238">
        <v>0.71</v>
      </c>
      <c r="P238">
        <v>0.69</v>
      </c>
      <c r="Q238">
        <v>0.87</v>
      </c>
      <c r="R238">
        <v>0.8</v>
      </c>
      <c r="S238">
        <v>0.86</v>
      </c>
      <c r="T238" s="2">
        <f>IF('ROS Rankings'!$AD$1,IFERROR(AVERAGE(INDEX($C238:$S238,14):INDEX($C238:$S238,17)),0),IFERROR(AVERAGE(INDEX($C238:$S238,Week+1):INDEX($C238:$S238,13)),0))</f>
        <v>0.72</v>
      </c>
      <c r="U238" s="2" t="str">
        <f t="shared" si="34"/>
        <v/>
      </c>
      <c r="V238" s="2" t="str">
        <f t="shared" si="34"/>
        <v/>
      </c>
      <c r="W238" s="2" t="str">
        <f t="shared" si="34"/>
        <v/>
      </c>
      <c r="X238" s="2">
        <f t="shared" si="34"/>
        <v>0.72</v>
      </c>
      <c r="Y238" s="2" t="str">
        <f t="shared" si="34"/>
        <v/>
      </c>
      <c r="Z238" s="2" t="str">
        <f t="shared" si="34"/>
        <v/>
      </c>
      <c r="AA238" s="23" t="str">
        <f t="shared" si="27"/>
        <v>TE69</v>
      </c>
      <c r="AB238" s="2">
        <f>$T238-VLOOKUP($B238,Scores!$AG$1:$AM$7,5,FALSE)</f>
        <v>-6.2787499999999996</v>
      </c>
      <c r="AC238" s="2">
        <f>$T238-VLOOKUP($B238,Scores!$AG$1:$AM$7,6,FALSE)</f>
        <v>-4.53</v>
      </c>
      <c r="AD238" s="2">
        <f>$T238-VLOOKUP($B238,Scores!$AG$1:$AM$7,7,FALSE)+(ROW(A237)/1000000)</f>
        <v>-4.4597629999999997</v>
      </c>
      <c r="AE238" s="2">
        <f t="array" ref="AE238">IF('ROS Rankings'!$AD$1,IFERROR(AVERAGE(IF(INDEX($C238:$S238,14):INDEX($C238:$S238,17)="NA",0,INDEX($C238:$S238,14):INDEX($C238:$S238,17))-INDEX($AQ$2:$BG$7,MATCH($B238,$AO$2:$AO$7,0),14):INDEX($AQ$2:$BG$7,MATCH($B238,$AO$2:$AO$7,0),17)),0),IFERROR(AVERAGE(IF(INDEX($C238:$S238,Week+1):INDEX($C238:$S238,13)="NA",0,INDEX($C238:$S238,Week+1):INDEX($C238:$S238,13))-INDEX($AQ$2:$BG$7,MATCH($B238,$AO$2:$AO$7,0),Week+1):INDEX($AQ$2:$BG$7,MATCH($B238,$AO$2:$AO$7,0),13)),0))+ROW(A237)/1000000</f>
        <v>-4.467263</v>
      </c>
      <c r="AF238">
        <f t="shared" si="28"/>
        <v>290</v>
      </c>
      <c r="AG238">
        <f t="shared" si="29"/>
        <v>312</v>
      </c>
      <c r="AH238">
        <f t="shared" si="30"/>
        <v>355</v>
      </c>
      <c r="AI238">
        <f t="shared" si="31"/>
        <v>370</v>
      </c>
      <c r="AJ238" s="22">
        <f>IF(ISERROR(MATCH(A238,Rosters!$B$2:$B$155,0)),AD238,"")</f>
        <v>-4.4597629999999997</v>
      </c>
      <c r="AK238">
        <f t="shared" si="32"/>
        <v>203</v>
      </c>
      <c r="AL238" s="23">
        <f>COUNTIF(INDEX($C238:$S238,Week+1):INDEX($C238:$S238,13),"&gt;0")</f>
        <v>7</v>
      </c>
    </row>
    <row r="239" spans="1:38" x14ac:dyDescent="0.25">
      <c r="A239" t="s">
        <v>1548</v>
      </c>
      <c r="B239" t="s">
        <v>114</v>
      </c>
      <c r="C239">
        <v>0.61</v>
      </c>
      <c r="D239">
        <v>0.76</v>
      </c>
      <c r="E239">
        <v>0.72</v>
      </c>
      <c r="F239" t="s">
        <v>64</v>
      </c>
      <c r="G239">
        <v>0.62</v>
      </c>
      <c r="H239">
        <v>0.5</v>
      </c>
      <c r="I239">
        <v>0.57999999999999996</v>
      </c>
      <c r="J239">
        <v>0.64</v>
      </c>
      <c r="K239">
        <v>0.55000000000000004</v>
      </c>
      <c r="L239">
        <v>0.48</v>
      </c>
      <c r="M239">
        <v>0.5</v>
      </c>
      <c r="N239">
        <v>0.55000000000000004</v>
      </c>
      <c r="O239">
        <v>0.32</v>
      </c>
      <c r="P239">
        <v>0.67</v>
      </c>
      <c r="Q239">
        <v>0.42</v>
      </c>
      <c r="R239">
        <v>0.56000000000000005</v>
      </c>
      <c r="S239">
        <v>0.33</v>
      </c>
      <c r="T239" s="2">
        <f>IF('ROS Rankings'!$AD$1,IFERROR(AVERAGE(INDEX($C239:$S239,14):INDEX($C239:$S239,17)),0),IFERROR(AVERAGE(INDEX($C239:$S239,Week+1):INDEX($C239:$S239,13)),0))</f>
        <v>0.51500000000000012</v>
      </c>
      <c r="U239" s="2" t="str">
        <f t="shared" si="34"/>
        <v/>
      </c>
      <c r="V239" s="2" t="str">
        <f t="shared" si="34"/>
        <v/>
      </c>
      <c r="W239" s="2" t="str">
        <f t="shared" si="34"/>
        <v/>
      </c>
      <c r="X239" s="2">
        <f t="shared" si="34"/>
        <v>0.51500000000000012</v>
      </c>
      <c r="Y239" s="2" t="str">
        <f t="shared" si="34"/>
        <v/>
      </c>
      <c r="Z239" s="2" t="str">
        <f t="shared" si="34"/>
        <v/>
      </c>
      <c r="AA239" s="23" t="str">
        <f t="shared" si="27"/>
        <v>TE83</v>
      </c>
      <c r="AB239" s="2">
        <f>$T239-VLOOKUP($B239,Scores!$AG$1:$AM$7,5,FALSE)</f>
        <v>-6.4837499999999988</v>
      </c>
      <c r="AC239" s="2">
        <f>$T239-VLOOKUP($B239,Scores!$AG$1:$AM$7,6,FALSE)</f>
        <v>-4.7349999999999994</v>
      </c>
      <c r="AD239" s="2">
        <f>$T239-VLOOKUP($B239,Scores!$AG$1:$AM$7,7,FALSE)+(ROW(A238)/1000000)</f>
        <v>-4.6647619999999987</v>
      </c>
      <c r="AE239" s="2">
        <f t="array" ref="AE239">IF('ROS Rankings'!$AD$1,IFERROR(AVERAGE(IF(INDEX($C239:$S239,14):INDEX($C239:$S239,17)="NA",0,INDEX($C239:$S239,14):INDEX($C239:$S239,17))-INDEX($AQ$2:$BG$7,MATCH($B239,$AO$2:$AO$7,0),14):INDEX($AQ$2:$BG$7,MATCH($B239,$AO$2:$AO$7,0),17)),0),IFERROR(AVERAGE(IF(INDEX($C239:$S239,Week+1):INDEX($C239:$S239,13)="NA",0,INDEX($C239:$S239,Week+1):INDEX($C239:$S239,13))-INDEX($AQ$2:$BG$7,MATCH($B239,$AO$2:$AO$7,0),Week+1):INDEX($AQ$2:$BG$7,MATCH($B239,$AO$2:$AO$7,0),13)),0))+ROW(A238)/1000000</f>
        <v>-4.5822620000000009</v>
      </c>
      <c r="AF239">
        <f t="shared" si="28"/>
        <v>314</v>
      </c>
      <c r="AG239">
        <f t="shared" si="29"/>
        <v>329</v>
      </c>
      <c r="AH239">
        <f t="shared" si="30"/>
        <v>375</v>
      </c>
      <c r="AI239">
        <f t="shared" si="31"/>
        <v>385</v>
      </c>
      <c r="AJ239" s="22">
        <f>IF(ISERROR(MATCH(A239,Rosters!$B$2:$B$155,0)),AD239,"")</f>
        <v>-4.6647619999999987</v>
      </c>
      <c r="AK239">
        <f t="shared" si="32"/>
        <v>223</v>
      </c>
      <c r="AL239" s="23">
        <f>COUNTIF(INDEX($C239:$S239,Week+1):INDEX($C239:$S239,13),"&gt;0")</f>
        <v>8</v>
      </c>
    </row>
    <row r="240" spans="1:38" x14ac:dyDescent="0.25">
      <c r="A240" t="s">
        <v>231</v>
      </c>
      <c r="B240" t="s">
        <v>114</v>
      </c>
      <c r="C240">
        <v>0</v>
      </c>
      <c r="D240">
        <v>0</v>
      </c>
      <c r="E240">
        <v>0.43</v>
      </c>
      <c r="F240">
        <v>2.2799999999999998</v>
      </c>
      <c r="G240">
        <v>1.81</v>
      </c>
      <c r="H240">
        <v>1.91</v>
      </c>
      <c r="I240">
        <v>1.66</v>
      </c>
      <c r="J240">
        <v>1.87</v>
      </c>
      <c r="K240" t="s">
        <v>64</v>
      </c>
      <c r="L240">
        <v>2.2400000000000002</v>
      </c>
      <c r="M240">
        <v>2.39</v>
      </c>
      <c r="N240">
        <v>2.16</v>
      </c>
      <c r="O240">
        <v>1.98</v>
      </c>
      <c r="P240">
        <v>2.06</v>
      </c>
      <c r="Q240">
        <v>1.9</v>
      </c>
      <c r="R240">
        <v>2.46</v>
      </c>
      <c r="S240">
        <v>1.65</v>
      </c>
      <c r="T240" s="2">
        <f>IF('ROS Rankings'!$AD$1,IFERROR(AVERAGE(INDEX($C240:$S240,14):INDEX($C240:$S240,17)),0),IFERROR(AVERAGE(INDEX($C240:$S240,Week+1):INDEX($C240:$S240,13)),0))</f>
        <v>2.0300000000000002</v>
      </c>
      <c r="U240" s="2" t="str">
        <f t="shared" si="34"/>
        <v/>
      </c>
      <c r="V240" s="2" t="str">
        <f t="shared" si="34"/>
        <v/>
      </c>
      <c r="W240" s="2" t="str">
        <f t="shared" si="34"/>
        <v/>
      </c>
      <c r="X240" s="2">
        <f t="shared" si="34"/>
        <v>2.0300000000000002</v>
      </c>
      <c r="Y240" s="2" t="str">
        <f t="shared" si="34"/>
        <v/>
      </c>
      <c r="Z240" s="2" t="str">
        <f t="shared" si="34"/>
        <v/>
      </c>
      <c r="AA240" s="23" t="str">
        <f t="shared" si="27"/>
        <v>TE52</v>
      </c>
      <c r="AB240" s="2">
        <f>$T240-VLOOKUP($B240,Scores!$AG$1:$AM$7,5,FALSE)</f>
        <v>-4.9687499999999991</v>
      </c>
      <c r="AC240" s="2">
        <f>$T240-VLOOKUP($B240,Scores!$AG$1:$AM$7,6,FALSE)</f>
        <v>-3.2199999999999998</v>
      </c>
      <c r="AD240" s="2">
        <f>$T240-VLOOKUP($B240,Scores!$AG$1:$AM$7,7,FALSE)+(ROW(A239)/1000000)</f>
        <v>-3.1497609999999994</v>
      </c>
      <c r="AE240" s="2">
        <f t="array" ref="AE240">IF('ROS Rankings'!$AD$1,IFERROR(AVERAGE(IF(INDEX($C240:$S240,14):INDEX($C240:$S240,17)="NA",0,INDEX($C240:$S240,14):INDEX($C240:$S240,17))-INDEX($AQ$2:$BG$7,MATCH($B240,$AO$2:$AO$7,0),14):INDEX($AQ$2:$BG$7,MATCH($B240,$AO$2:$AO$7,0),17)),0),IFERROR(AVERAGE(IF(INDEX($C240:$S240,Week+1):INDEX($C240:$S240,13)="NA",0,INDEX($C240:$S240,Week+1):INDEX($C240:$S240,13))-INDEX($AQ$2:$BG$7,MATCH($B240,$AO$2:$AO$7,0),Week+1):INDEX($AQ$2:$BG$7,MATCH($B240,$AO$2:$AO$7,0),13)),0))+ROW(A239)/1000000</f>
        <v>-3.3210109999999999</v>
      </c>
      <c r="AF240">
        <f t="shared" si="28"/>
        <v>236</v>
      </c>
      <c r="AG240">
        <f t="shared" si="29"/>
        <v>257</v>
      </c>
      <c r="AH240">
        <f t="shared" si="30"/>
        <v>310</v>
      </c>
      <c r="AI240">
        <f t="shared" si="31"/>
        <v>314</v>
      </c>
      <c r="AJ240" s="22">
        <f>IF(ISERROR(MATCH(A240,Rosters!$B$2:$B$155,0)),AD240,"")</f>
        <v>-3.1497609999999994</v>
      </c>
      <c r="AK240">
        <f t="shared" si="32"/>
        <v>161</v>
      </c>
      <c r="AL240" s="23">
        <f>COUNTIF(INDEX($C240:$S240,Week+1):INDEX($C240:$S240,13),"&gt;0")</f>
        <v>7</v>
      </c>
    </row>
    <row r="241" spans="1:38" x14ac:dyDescent="0.25">
      <c r="A241" t="s">
        <v>219</v>
      </c>
      <c r="B241" t="s">
        <v>87</v>
      </c>
      <c r="C241">
        <v>0</v>
      </c>
      <c r="D241">
        <v>4.21</v>
      </c>
      <c r="E241">
        <v>3.23</v>
      </c>
      <c r="F241">
        <v>2.93</v>
      </c>
      <c r="G241">
        <v>4.03</v>
      </c>
      <c r="H241">
        <v>3.66</v>
      </c>
      <c r="I241">
        <v>4.53</v>
      </c>
      <c r="J241">
        <v>4.1100000000000003</v>
      </c>
      <c r="K241">
        <v>3.5</v>
      </c>
      <c r="L241">
        <v>4.5199999999999996</v>
      </c>
      <c r="M241" t="s">
        <v>64</v>
      </c>
      <c r="N241">
        <v>3.76</v>
      </c>
      <c r="O241">
        <v>3.7</v>
      </c>
      <c r="P241">
        <v>4.38</v>
      </c>
      <c r="Q241">
        <v>3.67</v>
      </c>
      <c r="R241">
        <v>3.65</v>
      </c>
      <c r="S241">
        <v>3.64</v>
      </c>
      <c r="T241" s="2">
        <f>IF('ROS Rankings'!$AD$1,IFERROR(AVERAGE(INDEX($C241:$S241,14):INDEX($C241:$S241,17)),0),IFERROR(AVERAGE(INDEX($C241:$S241,Week+1):INDEX($C241:$S241,13)),0))</f>
        <v>3.9685714285714284</v>
      </c>
      <c r="U241" s="2" t="str">
        <f t="shared" si="34"/>
        <v/>
      </c>
      <c r="V241" s="2" t="str">
        <f t="shared" si="34"/>
        <v/>
      </c>
      <c r="W241" s="2">
        <f t="shared" si="34"/>
        <v>3.9685714285714284</v>
      </c>
      <c r="X241" s="2" t="str">
        <f t="shared" si="34"/>
        <v/>
      </c>
      <c r="Y241" s="2" t="str">
        <f t="shared" si="34"/>
        <v/>
      </c>
      <c r="Z241" s="2" t="str">
        <f t="shared" si="34"/>
        <v/>
      </c>
      <c r="AA241" s="23" t="str">
        <f t="shared" si="27"/>
        <v>WR82</v>
      </c>
      <c r="AB241" s="2">
        <f>$T241-VLOOKUP($B241,Scores!$AG$1:$AM$7,5,FALSE)</f>
        <v>-6.4028571428571421</v>
      </c>
      <c r="AC241" s="2">
        <f>$T241-VLOOKUP($B241,Scores!$AG$1:$AM$7,6,FALSE)</f>
        <v>-4.0628571428571441</v>
      </c>
      <c r="AD241" s="2">
        <f>$T241-VLOOKUP($B241,Scores!$AG$1:$AM$7,7,FALSE)+(ROW(A240)/1000000)</f>
        <v>-2.0840457142857143</v>
      </c>
      <c r="AE241" s="2">
        <f t="array" ref="AE241">IF('ROS Rankings'!$AD$1,IFERROR(AVERAGE(IF(INDEX($C241:$S241,14):INDEX($C241:$S241,17)="NA",0,INDEX($C241:$S241,14):INDEX($C241:$S241,17))-INDEX($AQ$2:$BG$7,MATCH($B241,$AO$2:$AO$7,0),14):INDEX($AQ$2:$BG$7,MATCH($B241,$AO$2:$AO$7,0),17)),0),IFERROR(AVERAGE(IF(INDEX($C241:$S241,Week+1):INDEX($C241:$S241,13)="NA",0,INDEX($C241:$S241,Week+1):INDEX($C241:$S241,13))-INDEX($AQ$2:$BG$7,MATCH($B241,$AO$2:$AO$7,0),Week+1):INDEX($AQ$2:$BG$7,MATCH($B241,$AO$2:$AO$7,0),13)),0))+ROW(A240)/1000000</f>
        <v>-1.88351</v>
      </c>
      <c r="AF241">
        <f t="shared" si="28"/>
        <v>301</v>
      </c>
      <c r="AG241">
        <f t="shared" si="29"/>
        <v>300</v>
      </c>
      <c r="AH241">
        <f t="shared" si="30"/>
        <v>251</v>
      </c>
      <c r="AI241">
        <f t="shared" si="31"/>
        <v>232</v>
      </c>
      <c r="AJ241" s="22">
        <f>IF(ISERROR(MATCH(A241,Rosters!$B$2:$B$155,0)),AD241,"")</f>
        <v>-2.0840457142857143</v>
      </c>
      <c r="AK241">
        <f t="shared" si="32"/>
        <v>107</v>
      </c>
      <c r="AL241" s="23">
        <f>COUNTIF(INDEX($C241:$S241,Week+1):INDEX($C241:$S241,13),"&gt;0")</f>
        <v>7</v>
      </c>
    </row>
    <row r="242" spans="1:38" x14ac:dyDescent="0.25">
      <c r="A242" t="s">
        <v>299</v>
      </c>
      <c r="B242" t="s">
        <v>114</v>
      </c>
      <c r="C242">
        <v>3.81</v>
      </c>
      <c r="D242">
        <v>3.18</v>
      </c>
      <c r="E242">
        <v>4.9000000000000004</v>
      </c>
      <c r="F242">
        <v>4.1900000000000004</v>
      </c>
      <c r="G242">
        <v>3.47</v>
      </c>
      <c r="H242">
        <v>3.76</v>
      </c>
      <c r="I242" t="s">
        <v>64</v>
      </c>
      <c r="J242">
        <v>3.61</v>
      </c>
      <c r="K242">
        <v>2.83</v>
      </c>
      <c r="L242">
        <v>3.28</v>
      </c>
      <c r="M242">
        <v>2.88</v>
      </c>
      <c r="N242">
        <v>2.98</v>
      </c>
      <c r="O242">
        <v>3.88</v>
      </c>
      <c r="P242">
        <v>3.93</v>
      </c>
      <c r="Q242">
        <v>3.77</v>
      </c>
      <c r="R242">
        <v>3.7</v>
      </c>
      <c r="S242">
        <v>3.94</v>
      </c>
      <c r="T242" s="2">
        <f>IF('ROS Rankings'!$AD$1,IFERROR(AVERAGE(INDEX($C242:$S242,14):INDEX($C242:$S242,17)),0),IFERROR(AVERAGE(INDEX($C242:$S242,Week+1):INDEX($C242:$S242,13)),0))</f>
        <v>3.3171428571428572</v>
      </c>
      <c r="U242" s="2" t="str">
        <f t="shared" si="34"/>
        <v/>
      </c>
      <c r="V242" s="2" t="str">
        <f t="shared" si="34"/>
        <v/>
      </c>
      <c r="W242" s="2" t="str">
        <f t="shared" si="34"/>
        <v/>
      </c>
      <c r="X242" s="2">
        <f t="shared" si="34"/>
        <v>3.3171428571428572</v>
      </c>
      <c r="Y242" s="2" t="str">
        <f t="shared" si="34"/>
        <v/>
      </c>
      <c r="Z242" s="2" t="str">
        <f t="shared" si="34"/>
        <v/>
      </c>
      <c r="AA242" s="23" t="str">
        <f t="shared" si="27"/>
        <v>TE25</v>
      </c>
      <c r="AB242" s="2">
        <f>$T242-VLOOKUP($B242,Scores!$AG$1:$AM$7,5,FALSE)</f>
        <v>-3.6816071428571422</v>
      </c>
      <c r="AC242" s="2">
        <f>$T242-VLOOKUP($B242,Scores!$AG$1:$AM$7,6,FALSE)</f>
        <v>-1.9328571428571428</v>
      </c>
      <c r="AD242" s="2">
        <f>$T242-VLOOKUP($B242,Scores!$AG$1:$AM$7,7,FALSE)+(ROW(A241)/1000000)</f>
        <v>-1.8626161428571426</v>
      </c>
      <c r="AE242" s="2">
        <f t="array" ref="AE242">IF('ROS Rankings'!$AD$1,IFERROR(AVERAGE(IF(INDEX($C242:$S242,14):INDEX($C242:$S242,17)="NA",0,INDEX($C242:$S242,14):INDEX($C242:$S242,17))-INDEX($AQ$2:$BG$7,MATCH($B242,$AO$2:$AO$7,0),14):INDEX($AQ$2:$BG$7,MATCH($B242,$AO$2:$AO$7,0),17)),0),IFERROR(AVERAGE(IF(INDEX($C242:$S242,Week+1):INDEX($C242:$S242,13)="NA",0,INDEX($C242:$S242,Week+1):INDEX($C242:$S242,13))-INDEX($AQ$2:$BG$7,MATCH($B242,$AO$2:$AO$7,0),Week+1):INDEX($AQ$2:$BG$7,MATCH($B242,$AO$2:$AO$7,0),13)),0))+ROW(A241)/1000000</f>
        <v>-2.1947590000000003</v>
      </c>
      <c r="AF242">
        <f t="shared" si="28"/>
        <v>178</v>
      </c>
      <c r="AG242">
        <f t="shared" si="29"/>
        <v>197</v>
      </c>
      <c r="AH242">
        <f t="shared" si="30"/>
        <v>241</v>
      </c>
      <c r="AI242">
        <f t="shared" si="31"/>
        <v>248</v>
      </c>
      <c r="AJ242" s="22">
        <f>IF(ISERROR(MATCH(A242,Rosters!$B$2:$B$155,0)),AD242,"")</f>
        <v>-1.8626161428571426</v>
      </c>
      <c r="AK242">
        <f t="shared" si="32"/>
        <v>97</v>
      </c>
      <c r="AL242" s="23">
        <f>COUNTIF(INDEX($C242:$S242,Week+1):INDEX($C242:$S242,13),"&gt;0")</f>
        <v>7</v>
      </c>
    </row>
    <row r="243" spans="1:38" x14ac:dyDescent="0.25">
      <c r="A243" t="s">
        <v>162</v>
      </c>
      <c r="B243" t="s">
        <v>114</v>
      </c>
      <c r="C243">
        <v>7.89</v>
      </c>
      <c r="D243">
        <v>6.83</v>
      </c>
      <c r="E243">
        <v>8.15</v>
      </c>
      <c r="F243">
        <v>7.97</v>
      </c>
      <c r="G243">
        <v>8.65</v>
      </c>
      <c r="H243">
        <v>6.49</v>
      </c>
      <c r="I243" t="s">
        <v>64</v>
      </c>
      <c r="J243">
        <v>5.63</v>
      </c>
      <c r="K243">
        <v>6.53</v>
      </c>
      <c r="L243">
        <v>7.13</v>
      </c>
      <c r="M243">
        <v>6.43</v>
      </c>
      <c r="N243">
        <v>7.18</v>
      </c>
      <c r="O243">
        <v>6.3</v>
      </c>
      <c r="P243">
        <v>6.66</v>
      </c>
      <c r="Q243">
        <v>6.24</v>
      </c>
      <c r="R243">
        <v>7.27</v>
      </c>
      <c r="S243">
        <v>6.65</v>
      </c>
      <c r="T243" s="2">
        <f>IF('ROS Rankings'!$AD$1,IFERROR(AVERAGE(INDEX($C243:$S243,14):INDEX($C243:$S243,17)),0),IFERROR(AVERAGE(INDEX($C243:$S243,Week+1):INDEX($C243:$S243,13)),0))</f>
        <v>6.5271428571428567</v>
      </c>
      <c r="U243" s="2" t="str">
        <f t="shared" si="34"/>
        <v/>
      </c>
      <c r="V243" s="2" t="str">
        <f t="shared" si="34"/>
        <v/>
      </c>
      <c r="W243" s="2" t="str">
        <f t="shared" si="34"/>
        <v/>
      </c>
      <c r="X243" s="2">
        <f t="shared" si="34"/>
        <v>6.5271428571428567</v>
      </c>
      <c r="Y243" s="2" t="str">
        <f t="shared" si="34"/>
        <v/>
      </c>
      <c r="Z243" s="2" t="str">
        <f t="shared" si="34"/>
        <v/>
      </c>
      <c r="AA243" s="23" t="str">
        <f t="shared" si="27"/>
        <v>TE6</v>
      </c>
      <c r="AB243" s="2">
        <f>$T243-VLOOKUP($B243,Scores!$AG$1:$AM$7,5,FALSE)</f>
        <v>-0.47160714285714267</v>
      </c>
      <c r="AC243" s="2">
        <f>$T243-VLOOKUP($B243,Scores!$AG$1:$AM$7,6,FALSE)</f>
        <v>1.2771428571428567</v>
      </c>
      <c r="AD243" s="2">
        <f>$T243-VLOOKUP($B243,Scores!$AG$1:$AM$7,7,FALSE)+(ROW(A242)/1000000)</f>
        <v>1.3473848571428571</v>
      </c>
      <c r="AE243" s="2">
        <f t="array" ref="AE243">IF('ROS Rankings'!$AD$1,IFERROR(AVERAGE(IF(INDEX($C243:$S243,14):INDEX($C243:$S243,17)="NA",0,INDEX($C243:$S243,14):INDEX($C243:$S243,17))-INDEX($AQ$2:$BG$7,MATCH($B243,$AO$2:$AO$7,0),14):INDEX($AQ$2:$BG$7,MATCH($B243,$AO$2:$AO$7,0),17)),0),IFERROR(AVERAGE(IF(INDEX($C243:$S243,Week+1):INDEX($C243:$S243,13)="NA",0,INDEX($C243:$S243,Week+1):INDEX($C243:$S243,13))-INDEX($AQ$2:$BG$7,MATCH($B243,$AO$2:$AO$7,0),Week+1):INDEX($AQ$2:$BG$7,MATCH($B243,$AO$2:$AO$7,0),13)),0))+ROW(A242)/1000000</f>
        <v>0.61399199999999998</v>
      </c>
      <c r="AF243">
        <f t="shared" si="28"/>
        <v>64</v>
      </c>
      <c r="AG243">
        <f t="shared" si="29"/>
        <v>49</v>
      </c>
      <c r="AH243">
        <f t="shared" si="30"/>
        <v>93</v>
      </c>
      <c r="AI243">
        <f t="shared" si="31"/>
        <v>97</v>
      </c>
      <c r="AJ243" s="22" t="str">
        <f>IF(ISERROR(MATCH(A243,Rosters!$B$2:$B$155,0)),AD243,"")</f>
        <v/>
      </c>
      <c r="AK243" t="str">
        <f t="shared" si="32"/>
        <v/>
      </c>
      <c r="AL243" s="23">
        <f>COUNTIF(INDEX($C243:$S243,Week+1):INDEX($C243:$S243,13),"&gt;0")</f>
        <v>7</v>
      </c>
    </row>
    <row r="244" spans="1:38" x14ac:dyDescent="0.25">
      <c r="A244" t="s">
        <v>82</v>
      </c>
      <c r="B244" t="s">
        <v>15</v>
      </c>
      <c r="C244">
        <v>12.76</v>
      </c>
      <c r="D244">
        <v>12.12</v>
      </c>
      <c r="E244">
        <v>14.16</v>
      </c>
      <c r="F244">
        <v>13.7</v>
      </c>
      <c r="G244">
        <v>14.35</v>
      </c>
      <c r="H244">
        <v>16.420000000000002</v>
      </c>
      <c r="I244">
        <v>16.84</v>
      </c>
      <c r="J244">
        <v>14.53</v>
      </c>
      <c r="K244">
        <v>15.51</v>
      </c>
      <c r="L244" t="s">
        <v>64</v>
      </c>
      <c r="M244">
        <v>15.72</v>
      </c>
      <c r="N244">
        <v>19.440000000000001</v>
      </c>
      <c r="O244">
        <v>16.809999999999999</v>
      </c>
      <c r="P244">
        <v>17.16</v>
      </c>
      <c r="Q244">
        <v>21.31</v>
      </c>
      <c r="R244">
        <v>14.42</v>
      </c>
      <c r="S244">
        <v>15.19</v>
      </c>
      <c r="T244" s="2">
        <f>IF('ROS Rankings'!$AD$1,IFERROR(AVERAGE(INDEX($C244:$S244,14):INDEX($C244:$S244,17)),0),IFERROR(AVERAGE(INDEX($C244:$S244,Week+1):INDEX($C244:$S244,13)),0))</f>
        <v>16.467142857142857</v>
      </c>
      <c r="U244" s="2">
        <f t="shared" si="34"/>
        <v>16.467142857142857</v>
      </c>
      <c r="V244" s="2" t="str">
        <f t="shared" si="34"/>
        <v/>
      </c>
      <c r="W244" s="2" t="str">
        <f t="shared" si="34"/>
        <v/>
      </c>
      <c r="X244" s="2" t="str">
        <f t="shared" si="34"/>
        <v/>
      </c>
      <c r="Y244" s="2" t="str">
        <f t="shared" si="34"/>
        <v/>
      </c>
      <c r="Z244" s="2" t="str">
        <f t="shared" si="34"/>
        <v/>
      </c>
      <c r="AA244" s="23" t="str">
        <f t="shared" si="27"/>
        <v>QB20</v>
      </c>
      <c r="AB244" s="2">
        <f>$T244-VLOOKUP($B244,Scores!$AG$1:$AM$7,5,FALSE)</f>
        <v>-4.4171428571428564</v>
      </c>
      <c r="AC244" s="2">
        <f>$T244-VLOOKUP($B244,Scores!$AG$1:$AM$7,6,FALSE)</f>
        <v>-3.4366071428571416</v>
      </c>
      <c r="AD244" s="2">
        <f>$T244-VLOOKUP($B244,Scores!$AG$1:$AM$7,7,FALSE)+(ROW(A243)/1000000)</f>
        <v>-3.0326141428571392</v>
      </c>
      <c r="AE244" s="2">
        <f t="array" ref="AE244">IF('ROS Rankings'!$AD$1,IFERROR(AVERAGE(IF(INDEX($C244:$S244,14):INDEX($C244:$S244,17)="NA",0,INDEX($C244:$S244,14):INDEX($C244:$S244,17))-INDEX($AQ$2:$BG$7,MATCH($B244,$AO$2:$AO$7,0),14):INDEX($AQ$2:$BG$7,MATCH($B244,$AO$2:$AO$7,0),17)),0),IFERROR(AVERAGE(IF(INDEX($C244:$S244,Week+1):INDEX($C244:$S244,13)="NA",0,INDEX($C244:$S244,Week+1):INDEX($C244:$S244,13))-INDEX($AQ$2:$BG$7,MATCH($B244,$AO$2:$AO$7,0),Week+1):INDEX($AQ$2:$BG$7,MATCH($B244,$AO$2:$AO$7,0),13)),0))+ROW(A243)/1000000</f>
        <v>-4.0935069999999998</v>
      </c>
      <c r="AF244">
        <f t="shared" si="28"/>
        <v>209</v>
      </c>
      <c r="AG244">
        <f t="shared" si="29"/>
        <v>265</v>
      </c>
      <c r="AH244">
        <f t="shared" si="30"/>
        <v>302</v>
      </c>
      <c r="AI244">
        <f t="shared" si="31"/>
        <v>349</v>
      </c>
      <c r="AJ244" s="22">
        <f>IF(ISERROR(MATCH(A244,Rosters!$B$2:$B$155,0)),AD244,"")</f>
        <v>-3.0326141428571392</v>
      </c>
      <c r="AK244">
        <f t="shared" si="32"/>
        <v>155</v>
      </c>
      <c r="AL244" s="23">
        <f>COUNTIF(INDEX($C244:$S244,Week+1):INDEX($C244:$S244,13),"&gt;0")</f>
        <v>7</v>
      </c>
    </row>
    <row r="245" spans="1:38" x14ac:dyDescent="0.25">
      <c r="A245" t="s">
        <v>123</v>
      </c>
      <c r="B245" t="s">
        <v>47</v>
      </c>
      <c r="C245">
        <v>12.94</v>
      </c>
      <c r="D245">
        <v>10.18</v>
      </c>
      <c r="E245">
        <v>0</v>
      </c>
      <c r="F245">
        <v>0</v>
      </c>
      <c r="G245">
        <v>11.78</v>
      </c>
      <c r="H245">
        <v>11.57</v>
      </c>
      <c r="I245">
        <v>12.08</v>
      </c>
      <c r="J245">
        <v>13.25</v>
      </c>
      <c r="K245" t="s">
        <v>64</v>
      </c>
      <c r="L245">
        <v>11.37</v>
      </c>
      <c r="M245">
        <v>10.32</v>
      </c>
      <c r="N245">
        <v>11.97</v>
      </c>
      <c r="O245">
        <v>11.75</v>
      </c>
      <c r="P245">
        <v>10.45</v>
      </c>
      <c r="Q245">
        <v>12.68</v>
      </c>
      <c r="R245">
        <v>10.95</v>
      </c>
      <c r="S245">
        <v>10.119999999999999</v>
      </c>
      <c r="T245" s="2">
        <f>IF('ROS Rankings'!$AD$1,IFERROR(AVERAGE(INDEX($C245:$S245,14):INDEX($C245:$S245,17)),0),IFERROR(AVERAGE(INDEX($C245:$S245,Week+1):INDEX($C245:$S245,13)),0))</f>
        <v>11.758571428571429</v>
      </c>
      <c r="U245" s="2" t="str">
        <f t="shared" si="34"/>
        <v/>
      </c>
      <c r="V245" s="2">
        <f t="shared" si="34"/>
        <v>11.758571428571429</v>
      </c>
      <c r="W245" s="2" t="str">
        <f t="shared" si="34"/>
        <v/>
      </c>
      <c r="X245" s="2" t="str">
        <f t="shared" si="34"/>
        <v/>
      </c>
      <c r="Y245" s="2" t="str">
        <f t="shared" si="34"/>
        <v/>
      </c>
      <c r="Z245" s="2" t="str">
        <f t="shared" si="34"/>
        <v/>
      </c>
      <c r="AA245" s="23" t="str">
        <f t="shared" si="27"/>
        <v>RB13</v>
      </c>
      <c r="AB245" s="2">
        <f>$T245-VLOOKUP($B245,Scores!$AG$1:$AM$7,5,FALSE)</f>
        <v>0</v>
      </c>
      <c r="AC245" s="2">
        <f>$T245-VLOOKUP($B245,Scores!$AG$1:$AM$7,6,FALSE)</f>
        <v>3.4885714285714275</v>
      </c>
      <c r="AD245" s="2">
        <f>$T245-VLOOKUP($B245,Scores!$AG$1:$AM$7,7,FALSE)+(ROW(A244)/1000000)</f>
        <v>5.890244</v>
      </c>
      <c r="AE245" s="2">
        <f t="array" ref="AE245">IF('ROS Rankings'!$AD$1,IFERROR(AVERAGE(IF(INDEX($C245:$S245,14):INDEX($C245:$S245,17)="NA",0,INDEX($C245:$S245,14):INDEX($C245:$S245,17))-INDEX($AQ$2:$BG$7,MATCH($B245,$AO$2:$AO$7,0),14):INDEX($AQ$2:$BG$7,MATCH($B245,$AO$2:$AO$7,0),17)),0),IFERROR(AVERAGE(IF(INDEX($C245:$S245,Week+1):INDEX($C245:$S245,13)="NA",0,INDEX($C245:$S245,Week+1):INDEX($C245:$S245,13))-INDEX($AQ$2:$BG$7,MATCH($B245,$AO$2:$AO$7,0),Week+1):INDEX($AQ$2:$BG$7,MATCH($B245,$AO$2:$AO$7,0),13)),0))+ROW(A244)/1000000</f>
        <v>4.9289940000000003</v>
      </c>
      <c r="AF245">
        <f t="shared" si="28"/>
        <v>45</v>
      </c>
      <c r="AG245">
        <f t="shared" si="29"/>
        <v>25</v>
      </c>
      <c r="AH245">
        <f t="shared" si="30"/>
        <v>21</v>
      </c>
      <c r="AI245">
        <f t="shared" si="31"/>
        <v>24</v>
      </c>
      <c r="AJ245" s="22" t="str">
        <f>IF(ISERROR(MATCH(A245,Rosters!$B$2:$B$155,0)),AD245,"")</f>
        <v/>
      </c>
      <c r="AK245" t="str">
        <f t="shared" si="32"/>
        <v/>
      </c>
      <c r="AL245" s="23">
        <f>COUNTIF(INDEX($C245:$S245,Week+1):INDEX($C245:$S245,13),"&gt;0")</f>
        <v>7</v>
      </c>
    </row>
    <row r="246" spans="1:38" x14ac:dyDescent="0.25">
      <c r="A246" t="s">
        <v>1792</v>
      </c>
      <c r="B246" t="s">
        <v>15</v>
      </c>
      <c r="C246">
        <v>0</v>
      </c>
      <c r="D246">
        <v>0</v>
      </c>
      <c r="E246">
        <v>0</v>
      </c>
      <c r="F246">
        <v>0</v>
      </c>
      <c r="G246">
        <v>0</v>
      </c>
      <c r="H246">
        <v>0</v>
      </c>
      <c r="I246">
        <v>0</v>
      </c>
      <c r="J246">
        <v>0</v>
      </c>
      <c r="K246">
        <v>0</v>
      </c>
      <c r="L246" t="s">
        <v>64</v>
      </c>
      <c r="M246">
        <v>0</v>
      </c>
      <c r="N246">
        <v>0</v>
      </c>
      <c r="O246">
        <v>0</v>
      </c>
      <c r="P246">
        <v>0</v>
      </c>
      <c r="Q246">
        <v>0</v>
      </c>
      <c r="R246">
        <v>0</v>
      </c>
      <c r="S246">
        <v>0</v>
      </c>
      <c r="T246" s="2">
        <f>IF('ROS Rankings'!$AD$1,IFERROR(AVERAGE(INDEX($C246:$S246,14):INDEX($C246:$S246,17)),0),IFERROR(AVERAGE(INDEX($C246:$S246,Week+1):INDEX($C246:$S246,13)),0))</f>
        <v>0</v>
      </c>
      <c r="U246" s="2">
        <f t="shared" si="34"/>
        <v>0</v>
      </c>
      <c r="V246" s="2" t="str">
        <f t="shared" si="34"/>
        <v/>
      </c>
      <c r="W246" s="2" t="str">
        <f t="shared" si="34"/>
        <v/>
      </c>
      <c r="X246" s="2" t="str">
        <f t="shared" si="34"/>
        <v/>
      </c>
      <c r="Y246" s="2" t="str">
        <f t="shared" si="34"/>
        <v/>
      </c>
      <c r="Z246" s="2" t="str">
        <f t="shared" si="34"/>
        <v/>
      </c>
      <c r="AA246" s="23" t="str">
        <f t="shared" si="27"/>
        <v>QB60</v>
      </c>
      <c r="AB246" s="2">
        <f>$T246-VLOOKUP($B246,Scores!$AG$1:$AM$7,5,FALSE)</f>
        <v>-20.884285714285713</v>
      </c>
      <c r="AC246" s="2">
        <f>$T246-VLOOKUP($B246,Scores!$AG$1:$AM$7,6,FALSE)</f>
        <v>-19.903749999999999</v>
      </c>
      <c r="AD246" s="2">
        <f>$T246-VLOOKUP($B246,Scores!$AG$1:$AM$7,7,FALSE)+(ROW(A245)/1000000)</f>
        <v>-19.499754999999997</v>
      </c>
      <c r="AE246" s="2">
        <f t="array" ref="AE246">IF('ROS Rankings'!$AD$1,IFERROR(AVERAGE(IF(INDEX($C246:$S246,14):INDEX($C246:$S246,17)="NA",0,INDEX($C246:$S246,14):INDEX($C246:$S246,17))-INDEX($AQ$2:$BG$7,MATCH($B246,$AO$2:$AO$7,0),14):INDEX($AQ$2:$BG$7,MATCH($B246,$AO$2:$AO$7,0),17)),0),IFERROR(AVERAGE(IF(INDEX($C246:$S246,Week+1):INDEX($C246:$S246,13)="NA",0,INDEX($C246:$S246,Week+1):INDEX($C246:$S246,13))-INDEX($AQ$2:$BG$7,MATCH($B246,$AO$2:$AO$7,0),Week+1):INDEX($AQ$2:$BG$7,MATCH($B246,$AO$2:$AO$7,0),13)),0))+ROW(A245)/1000000</f>
        <v>-18.502255000000002</v>
      </c>
      <c r="AF246">
        <f t="shared" si="28"/>
        <v>551</v>
      </c>
      <c r="AG246">
        <f t="shared" si="29"/>
        <v>551</v>
      </c>
      <c r="AH246">
        <f t="shared" si="30"/>
        <v>556</v>
      </c>
      <c r="AI246">
        <f t="shared" si="31"/>
        <v>556</v>
      </c>
      <c r="AJ246" s="22">
        <f>IF(ISERROR(MATCH(A246,Rosters!$B$2:$B$155,0)),AD246,"")</f>
        <v>-19.499754999999997</v>
      </c>
      <c r="AK246">
        <f t="shared" si="32"/>
        <v>403</v>
      </c>
      <c r="AL246" s="23">
        <f>COUNTIF(INDEX($C246:$S246,Week+1):INDEX($C246:$S246,13),"&gt;0")</f>
        <v>0</v>
      </c>
    </row>
    <row r="247" spans="1:38" x14ac:dyDescent="0.25">
      <c r="A247" t="s">
        <v>185</v>
      </c>
      <c r="B247" t="s">
        <v>87</v>
      </c>
      <c r="C247">
        <v>5.31</v>
      </c>
      <c r="D247">
        <v>4.53</v>
      </c>
      <c r="E247">
        <v>5.74</v>
      </c>
      <c r="F247">
        <v>6.85</v>
      </c>
      <c r="G247">
        <v>8.4499999999999993</v>
      </c>
      <c r="H247">
        <v>8.14</v>
      </c>
      <c r="I247">
        <v>8.43</v>
      </c>
      <c r="J247">
        <v>7.27</v>
      </c>
      <c r="K247">
        <v>7.09</v>
      </c>
      <c r="L247" t="s">
        <v>64</v>
      </c>
      <c r="M247">
        <v>7.54</v>
      </c>
      <c r="N247">
        <v>9.5299999999999994</v>
      </c>
      <c r="O247">
        <v>8.2200000000000006</v>
      </c>
      <c r="P247">
        <v>9.33</v>
      </c>
      <c r="Q247">
        <v>9.8800000000000008</v>
      </c>
      <c r="R247">
        <v>6.6</v>
      </c>
      <c r="S247">
        <v>8.81</v>
      </c>
      <c r="T247" s="2">
        <f>IF('ROS Rankings'!$AD$1,IFERROR(AVERAGE(INDEX($C247:$S247,14):INDEX($C247:$S247,17)),0),IFERROR(AVERAGE(INDEX($C247:$S247,Week+1):INDEX($C247:$S247,13)),0))</f>
        <v>8.031428571428572</v>
      </c>
      <c r="U247" s="2" t="str">
        <f t="shared" si="34"/>
        <v/>
      </c>
      <c r="V247" s="2" t="str">
        <f t="shared" si="34"/>
        <v/>
      </c>
      <c r="W247" s="2">
        <f t="shared" si="34"/>
        <v>8.031428571428572</v>
      </c>
      <c r="X247" s="2" t="str">
        <f t="shared" si="34"/>
        <v/>
      </c>
      <c r="Y247" s="2" t="str">
        <f t="shared" si="34"/>
        <v/>
      </c>
      <c r="Z247" s="2" t="str">
        <f t="shared" si="34"/>
        <v/>
      </c>
      <c r="AA247" s="23" t="str">
        <f t="shared" si="27"/>
        <v>WR35</v>
      </c>
      <c r="AB247" s="2">
        <f>$T247-VLOOKUP($B247,Scores!$AG$1:$AM$7,5,FALSE)</f>
        <v>-2.3399999999999981</v>
      </c>
      <c r="AC247" s="2">
        <f>$T247-VLOOKUP($B247,Scores!$AG$1:$AM$7,6,FALSE)</f>
        <v>0</v>
      </c>
      <c r="AD247" s="2">
        <f>$T247-VLOOKUP($B247,Scores!$AG$1:$AM$7,7,FALSE)+(ROW(A246)/1000000)</f>
        <v>1.9788174285714295</v>
      </c>
      <c r="AE247" s="2">
        <f t="array" ref="AE247">IF('ROS Rankings'!$AD$1,IFERROR(AVERAGE(IF(INDEX($C247:$S247,14):INDEX($C247:$S247,17)="NA",0,INDEX($C247:$S247,14):INDEX($C247:$S247,17))-INDEX($AQ$2:$BG$7,MATCH($B247,$AO$2:$AO$7,0),14):INDEX($AQ$2:$BG$7,MATCH($B247,$AO$2:$AO$7,0),17)),0),IFERROR(AVERAGE(IF(INDEX($C247:$S247,Week+1):INDEX($C247:$S247,13)="NA",0,INDEX($C247:$S247,Week+1):INDEX($C247:$S247,13))-INDEX($AQ$2:$BG$7,MATCH($B247,$AO$2:$AO$7,0),Week+1):INDEX($AQ$2:$BG$7,MATCH($B247,$AO$2:$AO$7,0),13)),0))+ROW(A246)/1000000</f>
        <v>1.6714959999999999</v>
      </c>
      <c r="AF247">
        <f t="shared" si="28"/>
        <v>145</v>
      </c>
      <c r="AG247">
        <f t="shared" si="29"/>
        <v>95</v>
      </c>
      <c r="AH247">
        <f t="shared" si="30"/>
        <v>70</v>
      </c>
      <c r="AI247">
        <f t="shared" si="31"/>
        <v>70</v>
      </c>
      <c r="AJ247" s="22" t="str">
        <f>IF(ISERROR(MATCH(A247,Rosters!$B$2:$B$155,0)),AD247,"")</f>
        <v/>
      </c>
      <c r="AK247" t="str">
        <f t="shared" si="32"/>
        <v/>
      </c>
      <c r="AL247" s="23">
        <f>COUNTIF(INDEX($C247:$S247,Week+1):INDEX($C247:$S247,13),"&gt;0")</f>
        <v>7</v>
      </c>
    </row>
    <row r="248" spans="1:38" x14ac:dyDescent="0.25">
      <c r="A248" t="s">
        <v>239</v>
      </c>
      <c r="B248" t="s">
        <v>87</v>
      </c>
      <c r="C248">
        <v>4.55</v>
      </c>
      <c r="D248">
        <v>4.83</v>
      </c>
      <c r="E248">
        <v>2.17</v>
      </c>
      <c r="F248">
        <v>0.92</v>
      </c>
      <c r="G248">
        <v>2.44</v>
      </c>
      <c r="H248">
        <v>4.55</v>
      </c>
      <c r="I248">
        <v>4.8099999999999996</v>
      </c>
      <c r="J248">
        <v>4.54</v>
      </c>
      <c r="K248" t="s">
        <v>64</v>
      </c>
      <c r="L248">
        <v>4.93</v>
      </c>
      <c r="M248">
        <v>2.72</v>
      </c>
      <c r="N248">
        <v>4.0199999999999996</v>
      </c>
      <c r="O248">
        <v>3.35</v>
      </c>
      <c r="P248">
        <v>4.63</v>
      </c>
      <c r="Q248">
        <v>5.12</v>
      </c>
      <c r="R248">
        <v>3.83</v>
      </c>
      <c r="S248">
        <v>4.33</v>
      </c>
      <c r="T248" s="2">
        <f>IF('ROS Rankings'!$AD$1,IFERROR(AVERAGE(INDEX($C248:$S248,14):INDEX($C248:$S248,17)),0),IFERROR(AVERAGE(INDEX($C248:$S248,Week+1):INDEX($C248:$S248,13)),0))</f>
        <v>4.1314285714285708</v>
      </c>
      <c r="U248" s="2" t="str">
        <f t="shared" si="34"/>
        <v/>
      </c>
      <c r="V248" s="2" t="str">
        <f t="shared" si="34"/>
        <v/>
      </c>
      <c r="W248" s="2">
        <f t="shared" si="34"/>
        <v>4.1314285714285708</v>
      </c>
      <c r="X248" s="2" t="str">
        <f t="shared" si="34"/>
        <v/>
      </c>
      <c r="Y248" s="2" t="str">
        <f t="shared" si="34"/>
        <v/>
      </c>
      <c r="Z248" s="2" t="str">
        <f t="shared" si="34"/>
        <v/>
      </c>
      <c r="AA248" s="23" t="str">
        <f t="shared" si="27"/>
        <v>WR78</v>
      </c>
      <c r="AB248" s="2">
        <f>$T248-VLOOKUP($B248,Scores!$AG$1:$AM$7,5,FALSE)</f>
        <v>-6.2399999999999993</v>
      </c>
      <c r="AC248" s="2">
        <f>$T248-VLOOKUP($B248,Scores!$AG$1:$AM$7,6,FALSE)</f>
        <v>-3.9000000000000012</v>
      </c>
      <c r="AD248" s="2">
        <f>$T248-VLOOKUP($B248,Scores!$AG$1:$AM$7,7,FALSE)+(ROW(A247)/1000000)</f>
        <v>-1.9211815714285716</v>
      </c>
      <c r="AE248" s="2">
        <f t="array" ref="AE248">IF('ROS Rankings'!$AD$1,IFERROR(AVERAGE(IF(INDEX($C248:$S248,14):INDEX($C248:$S248,17)="NA",0,INDEX($C248:$S248,14):INDEX($C248:$S248,17))-INDEX($AQ$2:$BG$7,MATCH($B248,$AO$2:$AO$7,0),14):INDEX($AQ$2:$BG$7,MATCH($B248,$AO$2:$AO$7,0),17)),0),IFERROR(AVERAGE(IF(INDEX($C248:$S248,Week+1):INDEX($C248:$S248,13)="NA",0,INDEX($C248:$S248,Week+1):INDEX($C248:$S248,13))-INDEX($AQ$2:$BG$7,MATCH($B248,$AO$2:$AO$7,0),Week+1):INDEX($AQ$2:$BG$7,MATCH($B248,$AO$2:$AO$7,0),13)),0))+ROW(A247)/1000000</f>
        <v>-1.7410030000000001</v>
      </c>
      <c r="AF248">
        <f t="shared" si="28"/>
        <v>289</v>
      </c>
      <c r="AG248">
        <f t="shared" si="29"/>
        <v>294</v>
      </c>
      <c r="AH248">
        <f t="shared" si="30"/>
        <v>243</v>
      </c>
      <c r="AI248">
        <f t="shared" si="31"/>
        <v>225</v>
      </c>
      <c r="AJ248" s="22">
        <f>IF(ISERROR(MATCH(A248,Rosters!$B$2:$B$155,0)),AD248,"")</f>
        <v>-1.9211815714285716</v>
      </c>
      <c r="AK248">
        <f t="shared" si="32"/>
        <v>99</v>
      </c>
      <c r="AL248" s="23">
        <f>COUNTIF(INDEX($C248:$S248,Week+1):INDEX($C248:$S248,13),"&gt;0")</f>
        <v>7</v>
      </c>
    </row>
    <row r="249" spans="1:38" x14ac:dyDescent="0.25">
      <c r="A249" t="s">
        <v>4264</v>
      </c>
      <c r="B249" t="s">
        <v>87</v>
      </c>
      <c r="C249" t="s">
        <v>64</v>
      </c>
      <c r="D249" t="s">
        <v>64</v>
      </c>
      <c r="E249">
        <v>0.27</v>
      </c>
      <c r="F249">
        <v>0</v>
      </c>
      <c r="G249">
        <v>1.2</v>
      </c>
      <c r="H249">
        <v>1.41</v>
      </c>
      <c r="I249">
        <v>1.98</v>
      </c>
      <c r="J249">
        <v>1.99</v>
      </c>
      <c r="K249">
        <v>2</v>
      </c>
      <c r="L249">
        <v>0.41</v>
      </c>
      <c r="M249">
        <v>0.64</v>
      </c>
      <c r="N249" t="s">
        <v>64</v>
      </c>
      <c r="O249">
        <v>0.56999999999999995</v>
      </c>
      <c r="P249">
        <v>0.35</v>
      </c>
      <c r="Q249">
        <v>0.33</v>
      </c>
      <c r="R249">
        <v>0.35</v>
      </c>
      <c r="S249">
        <v>0.64</v>
      </c>
      <c r="T249" s="2">
        <f>IF('ROS Rankings'!$AD$1,IFERROR(AVERAGE(INDEX($C249:$S249,14):INDEX($C249:$S249,17)),0),IFERROR(AVERAGE(INDEX($C249:$S249,Week+1):INDEX($C249:$S249,13)),0))</f>
        <v>1.2857142857142858</v>
      </c>
      <c r="U249" s="2" t="str">
        <f t="shared" si="34"/>
        <v/>
      </c>
      <c r="V249" s="2" t="str">
        <f t="shared" si="34"/>
        <v/>
      </c>
      <c r="W249" s="2">
        <f t="shared" si="34"/>
        <v>1.2857142857142858</v>
      </c>
      <c r="X249" s="2" t="str">
        <f t="shared" si="34"/>
        <v/>
      </c>
      <c r="Y249" s="2" t="str">
        <f t="shared" si="34"/>
        <v/>
      </c>
      <c r="Z249" s="2" t="str">
        <f t="shared" si="34"/>
        <v/>
      </c>
      <c r="AA249" s="23" t="str">
        <f t="shared" si="27"/>
        <v>WR119</v>
      </c>
      <c r="AB249" s="2">
        <f>$T249-VLOOKUP($B249,Scores!$AG$1:$AM$7,5,FALSE)</f>
        <v>-9.0857142857142836</v>
      </c>
      <c r="AC249" s="2">
        <f>$T249-VLOOKUP($B249,Scores!$AG$1:$AM$7,6,FALSE)</f>
        <v>-6.7457142857142864</v>
      </c>
      <c r="AD249" s="2">
        <f>$T249-VLOOKUP($B249,Scores!$AG$1:$AM$7,7,FALSE)+(ROW(A248)/1000000)</f>
        <v>-4.7668948571428569</v>
      </c>
      <c r="AE249" s="2">
        <f t="array" ref="AE249">IF('ROS Rankings'!$AD$1,IFERROR(AVERAGE(IF(INDEX($C249:$S249,14):INDEX($C249:$S249,17)="NA",0,INDEX($C249:$S249,14):INDEX($C249:$S249,17))-INDEX($AQ$2:$BG$7,MATCH($B249,$AO$2:$AO$7,0),14):INDEX($AQ$2:$BG$7,MATCH($B249,$AO$2:$AO$7,0),17)),0),IFERROR(AVERAGE(IF(INDEX($C249:$S249,Week+1):INDEX($C249:$S249,13)="NA",0,INDEX($C249:$S249,Week+1):INDEX($C249:$S249,13))-INDEX($AQ$2:$BG$7,MATCH($B249,$AO$2:$AO$7,0),Week+1):INDEX($AQ$2:$BG$7,MATCH($B249,$AO$2:$AO$7,0),13)),0))+ROW(A248)/1000000</f>
        <v>-4.2310019999999993</v>
      </c>
      <c r="AF249">
        <f t="shared" si="28"/>
        <v>393</v>
      </c>
      <c r="AG249">
        <f t="shared" si="29"/>
        <v>398</v>
      </c>
      <c r="AH249">
        <f t="shared" si="30"/>
        <v>393</v>
      </c>
      <c r="AI249">
        <f t="shared" si="31"/>
        <v>358</v>
      </c>
      <c r="AJ249" s="22">
        <f>IF(ISERROR(MATCH(A249,Rosters!$B$2:$B$155,0)),AD249,"")</f>
        <v>-4.7668948571428569</v>
      </c>
      <c r="AK249">
        <f t="shared" si="32"/>
        <v>241</v>
      </c>
      <c r="AL249" s="23">
        <f>COUNTIF(INDEX($C249:$S249,Week+1):INDEX($C249:$S249,13),"&gt;0")</f>
        <v>7</v>
      </c>
    </row>
    <row r="250" spans="1:38" x14ac:dyDescent="0.25">
      <c r="A250" t="s">
        <v>1495</v>
      </c>
      <c r="B250" t="s">
        <v>114</v>
      </c>
      <c r="C250">
        <v>2.17</v>
      </c>
      <c r="D250">
        <v>4.7300000000000004</v>
      </c>
      <c r="E250">
        <v>2.81</v>
      </c>
      <c r="F250">
        <v>1.59</v>
      </c>
      <c r="G250">
        <v>2.04</v>
      </c>
      <c r="H250">
        <v>1.22</v>
      </c>
      <c r="I250">
        <v>1.78</v>
      </c>
      <c r="J250" t="s">
        <v>64</v>
      </c>
      <c r="K250">
        <v>1.63</v>
      </c>
      <c r="L250">
        <v>1.41</v>
      </c>
      <c r="M250">
        <v>1.71</v>
      </c>
      <c r="N250">
        <v>1.6</v>
      </c>
      <c r="O250">
        <v>1.62</v>
      </c>
      <c r="P250">
        <v>1.34</v>
      </c>
      <c r="Q250">
        <v>1.46</v>
      </c>
      <c r="R250">
        <v>1.6</v>
      </c>
      <c r="S250">
        <v>1.79</v>
      </c>
      <c r="T250" s="2">
        <f>IF('ROS Rankings'!$AD$1,IFERROR(AVERAGE(INDEX($C250:$S250,14):INDEX($C250:$S250,17)),0),IFERROR(AVERAGE(INDEX($C250:$S250,Week+1):INDEX($C250:$S250,13)),0))</f>
        <v>1.5671428571428569</v>
      </c>
      <c r="U250" s="2" t="str">
        <f t="shared" si="34"/>
        <v/>
      </c>
      <c r="V250" s="2" t="str">
        <f t="shared" si="34"/>
        <v/>
      </c>
      <c r="W250" s="2" t="str">
        <f t="shared" si="34"/>
        <v/>
      </c>
      <c r="X250" s="2">
        <f t="shared" si="34"/>
        <v>1.5671428571428569</v>
      </c>
      <c r="Y250" s="2" t="str">
        <f t="shared" si="34"/>
        <v/>
      </c>
      <c r="Z250" s="2" t="str">
        <f t="shared" si="34"/>
        <v/>
      </c>
      <c r="AA250" s="23" t="str">
        <f t="shared" si="27"/>
        <v>TE63</v>
      </c>
      <c r="AB250" s="2">
        <f>$T250-VLOOKUP($B250,Scores!$AG$1:$AM$7,5,FALSE)</f>
        <v>-5.4316071428571426</v>
      </c>
      <c r="AC250" s="2">
        <f>$T250-VLOOKUP($B250,Scores!$AG$1:$AM$7,6,FALSE)</f>
        <v>-3.6828571428571433</v>
      </c>
      <c r="AD250" s="2">
        <f>$T250-VLOOKUP($B250,Scores!$AG$1:$AM$7,7,FALSE)+(ROW(A249)/1000000)</f>
        <v>-3.6126081428571428</v>
      </c>
      <c r="AE250" s="2">
        <f t="array" ref="AE250">IF('ROS Rankings'!$AD$1,IFERROR(AVERAGE(IF(INDEX($C250:$S250,14):INDEX($C250:$S250,17)="NA",0,INDEX($C250:$S250,14):INDEX($C250:$S250,17))-INDEX($AQ$2:$BG$7,MATCH($B250,$AO$2:$AO$7,0),14):INDEX($AQ$2:$BG$7,MATCH($B250,$AO$2:$AO$7,0),17)),0),IFERROR(AVERAGE(IF(INDEX($C250:$S250,Week+1):INDEX($C250:$S250,13)="NA",0,INDEX($C250:$S250,Week+1):INDEX($C250:$S250,13))-INDEX($AQ$2:$BG$7,MATCH($B250,$AO$2:$AO$7,0),Week+1):INDEX($AQ$2:$BG$7,MATCH($B250,$AO$2:$AO$7,0),13)),0))+ROW(A249)/1000000</f>
        <v>-3.7260009999999997</v>
      </c>
      <c r="AF250">
        <f t="shared" si="28"/>
        <v>259</v>
      </c>
      <c r="AG250">
        <f t="shared" si="29"/>
        <v>284</v>
      </c>
      <c r="AH250">
        <f t="shared" si="30"/>
        <v>331</v>
      </c>
      <c r="AI250">
        <f t="shared" si="31"/>
        <v>334</v>
      </c>
      <c r="AJ250" s="22">
        <f>IF(ISERROR(MATCH(A250,Rosters!$B$2:$B$155,0)),AD250,"")</f>
        <v>-3.6126081428571428</v>
      </c>
      <c r="AK250">
        <f t="shared" si="32"/>
        <v>180</v>
      </c>
      <c r="AL250" s="23">
        <f>COUNTIF(INDEX($C250:$S250,Week+1):INDEX($C250:$S250,13),"&gt;0")</f>
        <v>7</v>
      </c>
    </row>
    <row r="251" spans="1:38" x14ac:dyDescent="0.25">
      <c r="A251" t="s">
        <v>4225</v>
      </c>
      <c r="B251" t="s">
        <v>114</v>
      </c>
      <c r="C251" t="s">
        <v>64</v>
      </c>
      <c r="D251">
        <v>1.73</v>
      </c>
      <c r="E251">
        <v>2.0299999999999998</v>
      </c>
      <c r="F251">
        <v>2.1</v>
      </c>
      <c r="G251">
        <v>2.1</v>
      </c>
      <c r="H251">
        <v>2.0299999999999998</v>
      </c>
      <c r="I251">
        <v>2.12</v>
      </c>
      <c r="J251">
        <v>2.5299999999999998</v>
      </c>
      <c r="K251">
        <v>1.56</v>
      </c>
      <c r="L251" t="s">
        <v>64</v>
      </c>
      <c r="M251">
        <v>2.84</v>
      </c>
      <c r="N251">
        <v>2.34</v>
      </c>
      <c r="O251">
        <v>2.29</v>
      </c>
      <c r="P251">
        <v>2.09</v>
      </c>
      <c r="Q251">
        <v>2.06</v>
      </c>
      <c r="R251">
        <v>1.78</v>
      </c>
      <c r="S251">
        <v>2.21</v>
      </c>
      <c r="T251" s="2">
        <f>IF('ROS Rankings'!$AD$1,IFERROR(AVERAGE(INDEX($C251:$S251,14):INDEX($C251:$S251,17)),0),IFERROR(AVERAGE(INDEX($C251:$S251,Week+1):INDEX($C251:$S251,13)),0))</f>
        <v>2.2442857142857142</v>
      </c>
      <c r="U251" s="2" t="str">
        <f t="shared" si="34"/>
        <v/>
      </c>
      <c r="V251" s="2" t="str">
        <f t="shared" si="34"/>
        <v/>
      </c>
      <c r="W251" s="2" t="str">
        <f t="shared" si="34"/>
        <v/>
      </c>
      <c r="X251" s="2">
        <f t="shared" si="34"/>
        <v>2.2442857142857142</v>
      </c>
      <c r="Y251" s="2" t="str">
        <f t="shared" si="34"/>
        <v/>
      </c>
      <c r="Z251" s="2" t="str">
        <f t="shared" si="34"/>
        <v/>
      </c>
      <c r="AA251" s="23" t="str">
        <f t="shared" si="27"/>
        <v>TE49</v>
      </c>
      <c r="AB251" s="2">
        <f>$T251-VLOOKUP($B251,Scores!$AG$1:$AM$7,5,FALSE)</f>
        <v>-4.7544642857142847</v>
      </c>
      <c r="AC251" s="2">
        <f>$T251-VLOOKUP($B251,Scores!$AG$1:$AM$7,6,FALSE)</f>
        <v>-3.0057142857142858</v>
      </c>
      <c r="AD251" s="2">
        <f>$T251-VLOOKUP($B251,Scores!$AG$1:$AM$7,7,FALSE)+(ROW(A250)/1000000)</f>
        <v>-2.9354642857142856</v>
      </c>
      <c r="AE251" s="2">
        <f t="array" ref="AE251">IF('ROS Rankings'!$AD$1,IFERROR(AVERAGE(IF(INDEX($C251:$S251,14):INDEX($C251:$S251,17)="NA",0,INDEX($C251:$S251,14):INDEX($C251:$S251,17))-INDEX($AQ$2:$BG$7,MATCH($B251,$AO$2:$AO$7,0),14):INDEX($AQ$2:$BG$7,MATCH($B251,$AO$2:$AO$7,0),17)),0),IFERROR(AVERAGE(IF(INDEX($C251:$S251,Week+1):INDEX($C251:$S251,13)="NA",0,INDEX($C251:$S251,Week+1):INDEX($C251:$S251,13))-INDEX($AQ$2:$BG$7,MATCH($B251,$AO$2:$AO$7,0),Week+1):INDEX($AQ$2:$BG$7,MATCH($B251,$AO$2:$AO$7,0),13)),0))+ROW(A250)/1000000</f>
        <v>-3.1335000000000002</v>
      </c>
      <c r="AF251">
        <f t="shared" si="28"/>
        <v>229</v>
      </c>
      <c r="AG251">
        <f t="shared" si="29"/>
        <v>247</v>
      </c>
      <c r="AH251">
        <f t="shared" si="30"/>
        <v>297</v>
      </c>
      <c r="AI251">
        <f t="shared" si="31"/>
        <v>309</v>
      </c>
      <c r="AJ251" s="22">
        <f>IF(ISERROR(MATCH(A251,Rosters!$B$2:$B$155,0)),AD251,"")</f>
        <v>-2.9354642857142856</v>
      </c>
      <c r="AK251">
        <f t="shared" si="32"/>
        <v>150</v>
      </c>
      <c r="AL251" s="23">
        <f>COUNTIF(INDEX($C251:$S251,Week+1):INDEX($C251:$S251,13),"&gt;0")</f>
        <v>7</v>
      </c>
    </row>
    <row r="252" spans="1:38" x14ac:dyDescent="0.25">
      <c r="A252" t="s">
        <v>97</v>
      </c>
      <c r="B252" t="s">
        <v>47</v>
      </c>
      <c r="C252">
        <v>12.47</v>
      </c>
      <c r="D252">
        <v>11.86</v>
      </c>
      <c r="E252">
        <v>12.03</v>
      </c>
      <c r="F252">
        <v>13.71</v>
      </c>
      <c r="G252" t="s">
        <v>64</v>
      </c>
      <c r="H252">
        <v>12.79</v>
      </c>
      <c r="I252">
        <v>13.85</v>
      </c>
      <c r="J252">
        <v>12.29</v>
      </c>
      <c r="K252">
        <v>13.22</v>
      </c>
      <c r="L252">
        <v>14.74</v>
      </c>
      <c r="M252">
        <v>13.09</v>
      </c>
      <c r="N252">
        <v>13.43</v>
      </c>
      <c r="O252">
        <v>12.95</v>
      </c>
      <c r="P252">
        <v>14.49</v>
      </c>
      <c r="Q252">
        <v>13.97</v>
      </c>
      <c r="R252">
        <v>13.25</v>
      </c>
      <c r="S252">
        <v>11.85</v>
      </c>
      <c r="T252" s="2">
        <f>IF('ROS Rankings'!$AD$1,IFERROR(AVERAGE(INDEX($C252:$S252,14):INDEX($C252:$S252,17)),0),IFERROR(AVERAGE(INDEX($C252:$S252,Week+1):INDEX($C252:$S252,13)),0))</f>
        <v>13.295</v>
      </c>
      <c r="U252" s="2" t="str">
        <f t="shared" si="34"/>
        <v/>
      </c>
      <c r="V252" s="2">
        <f t="shared" si="34"/>
        <v>13.295</v>
      </c>
      <c r="W252" s="2" t="str">
        <f t="shared" si="34"/>
        <v/>
      </c>
      <c r="X252" s="2" t="str">
        <f t="shared" si="34"/>
        <v/>
      </c>
      <c r="Y252" s="2" t="str">
        <f t="shared" si="34"/>
        <v/>
      </c>
      <c r="Z252" s="2" t="str">
        <f t="shared" si="34"/>
        <v/>
      </c>
      <c r="AA252" s="23" t="str">
        <f t="shared" si="27"/>
        <v>RB8</v>
      </c>
      <c r="AB252" s="2">
        <f>$T252-VLOOKUP($B252,Scores!$AG$1:$AM$7,5,FALSE)</f>
        <v>1.536428571428571</v>
      </c>
      <c r="AC252" s="2">
        <f>$T252-VLOOKUP($B252,Scores!$AG$1:$AM$7,6,FALSE)</f>
        <v>5.0249999999999986</v>
      </c>
      <c r="AD252" s="2">
        <f>$T252-VLOOKUP($B252,Scores!$AG$1:$AM$7,7,FALSE)+(ROW(A251)/1000000)</f>
        <v>7.4266795714285703</v>
      </c>
      <c r="AE252" s="2">
        <f t="array" ref="AE252">IF('ROS Rankings'!$AD$1,IFERROR(AVERAGE(IF(INDEX($C252:$S252,14):INDEX($C252:$S252,17)="NA",0,INDEX($C252:$S252,14):INDEX($C252:$S252,17))-INDEX($AQ$2:$BG$7,MATCH($B252,$AO$2:$AO$7,0),14):INDEX($AQ$2:$BG$7,MATCH($B252,$AO$2:$AO$7,0),17)),0),IFERROR(AVERAGE(IF(INDEX($C252:$S252,Week+1):INDEX($C252:$S252,13)="NA",0,INDEX($C252:$S252,Week+1):INDEX($C252:$S252,13))-INDEX($AQ$2:$BG$7,MATCH($B252,$AO$2:$AO$7,0),Week+1):INDEX($AQ$2:$BG$7,MATCH($B252,$AO$2:$AO$7,0),13)),0))+ROW(A251)/1000000</f>
        <v>7.9352509999999983</v>
      </c>
      <c r="AF252">
        <f t="shared" si="28"/>
        <v>19</v>
      </c>
      <c r="AG252">
        <f t="shared" si="29"/>
        <v>11</v>
      </c>
      <c r="AH252">
        <f t="shared" si="30"/>
        <v>9</v>
      </c>
      <c r="AI252">
        <f t="shared" si="31"/>
        <v>6</v>
      </c>
      <c r="AJ252" s="22" t="str">
        <f>IF(ISERROR(MATCH(A252,Rosters!$B$2:$B$155,0)),AD252,"")</f>
        <v/>
      </c>
      <c r="AK252" t="str">
        <f t="shared" si="32"/>
        <v/>
      </c>
      <c r="AL252" s="23">
        <f>COUNTIF(INDEX($C252:$S252,Week+1):INDEX($C252:$S252,13),"&gt;0")</f>
        <v>8</v>
      </c>
    </row>
    <row r="253" spans="1:38" x14ac:dyDescent="0.25">
      <c r="A253" t="s">
        <v>1106</v>
      </c>
      <c r="B253" t="s">
        <v>114</v>
      </c>
      <c r="C253">
        <v>1.65</v>
      </c>
      <c r="D253">
        <v>0</v>
      </c>
      <c r="E253">
        <v>2.2400000000000002</v>
      </c>
      <c r="F253">
        <v>1.52</v>
      </c>
      <c r="G253">
        <v>1.79</v>
      </c>
      <c r="H253">
        <v>2.2999999999999998</v>
      </c>
      <c r="I253">
        <v>1.93</v>
      </c>
      <c r="J253">
        <v>1.92</v>
      </c>
      <c r="K253">
        <v>2.29</v>
      </c>
      <c r="L253">
        <v>2.4300000000000002</v>
      </c>
      <c r="M253" t="s">
        <v>64</v>
      </c>
      <c r="N253">
        <v>2.64</v>
      </c>
      <c r="O253">
        <v>2.2400000000000002</v>
      </c>
      <c r="P253">
        <v>2.3199999999999998</v>
      </c>
      <c r="Q253">
        <v>2.0499999999999998</v>
      </c>
      <c r="R253">
        <v>2.57</v>
      </c>
      <c r="S253">
        <v>2.4900000000000002</v>
      </c>
      <c r="T253" s="2">
        <f>IF('ROS Rankings'!$AD$1,IFERROR(AVERAGE(INDEX($C253:$S253,14):INDEX($C253:$S253,17)),0),IFERROR(AVERAGE(INDEX($C253:$S253,Week+1):INDEX($C253:$S253,13)),0))</f>
        <v>2.25</v>
      </c>
      <c r="U253" s="2" t="str">
        <f t="shared" si="34"/>
        <v/>
      </c>
      <c r="V253" s="2" t="str">
        <f t="shared" si="34"/>
        <v/>
      </c>
      <c r="W253" s="2" t="str">
        <f t="shared" si="34"/>
        <v/>
      </c>
      <c r="X253" s="2">
        <f t="shared" si="34"/>
        <v>2.25</v>
      </c>
      <c r="Y253" s="2" t="str">
        <f t="shared" si="34"/>
        <v/>
      </c>
      <c r="Z253" s="2" t="str">
        <f t="shared" si="34"/>
        <v/>
      </c>
      <c r="AA253" s="23" t="str">
        <f t="shared" si="27"/>
        <v>TE47</v>
      </c>
      <c r="AB253" s="2">
        <f>$T253-VLOOKUP($B253,Scores!$AG$1:$AM$7,5,FALSE)</f>
        <v>-4.7487499999999994</v>
      </c>
      <c r="AC253" s="2">
        <f>$T253-VLOOKUP($B253,Scores!$AG$1:$AM$7,6,FALSE)</f>
        <v>-3</v>
      </c>
      <c r="AD253" s="2">
        <f>$T253-VLOOKUP($B253,Scores!$AG$1:$AM$7,7,FALSE)+(ROW(A252)/1000000)</f>
        <v>-2.9297479999999996</v>
      </c>
      <c r="AE253" s="2">
        <f t="array" ref="AE253">IF('ROS Rankings'!$AD$1,IFERROR(AVERAGE(IF(INDEX($C253:$S253,14):INDEX($C253:$S253,17)="NA",0,INDEX($C253:$S253,14):INDEX($C253:$S253,17))-INDEX($AQ$2:$BG$7,MATCH($B253,$AO$2:$AO$7,0),14):INDEX($AQ$2:$BG$7,MATCH($B253,$AO$2:$AO$7,0),17)),0),IFERROR(AVERAGE(IF(INDEX($C253:$S253,Week+1):INDEX($C253:$S253,13)="NA",0,INDEX($C253:$S253,Week+1):INDEX($C253:$S253,13))-INDEX($AQ$2:$BG$7,MATCH($B253,$AO$2:$AO$7,0),Week+1):INDEX($AQ$2:$BG$7,MATCH($B253,$AO$2:$AO$7,0),13)),0))+ROW(A252)/1000000</f>
        <v>-3.128498</v>
      </c>
      <c r="AF253">
        <f t="shared" si="28"/>
        <v>227</v>
      </c>
      <c r="AG253">
        <f t="shared" si="29"/>
        <v>245</v>
      </c>
      <c r="AH253">
        <f t="shared" si="30"/>
        <v>294</v>
      </c>
      <c r="AI253">
        <f t="shared" si="31"/>
        <v>307</v>
      </c>
      <c r="AJ253" s="22">
        <f>IF(ISERROR(MATCH(A253,Rosters!$B$2:$B$155,0)),AD253,"")</f>
        <v>-2.9297479999999996</v>
      </c>
      <c r="AK253">
        <f t="shared" si="32"/>
        <v>147</v>
      </c>
      <c r="AL253" s="23">
        <f>COUNTIF(INDEX($C253:$S253,Week+1):INDEX($C253:$S253,13),"&gt;0")</f>
        <v>7</v>
      </c>
    </row>
    <row r="254" spans="1:38" x14ac:dyDescent="0.25">
      <c r="A254" t="s">
        <v>2750</v>
      </c>
      <c r="B254" t="s">
        <v>87</v>
      </c>
      <c r="C254" t="s">
        <v>64</v>
      </c>
      <c r="D254" t="s">
        <v>64</v>
      </c>
      <c r="E254">
        <v>2.83</v>
      </c>
      <c r="F254">
        <v>2.96</v>
      </c>
      <c r="G254">
        <v>2.39</v>
      </c>
      <c r="H254">
        <v>2.44</v>
      </c>
      <c r="I254">
        <v>2.58</v>
      </c>
      <c r="J254">
        <v>2.69</v>
      </c>
      <c r="K254" t="s">
        <v>64</v>
      </c>
      <c r="L254">
        <v>2.38</v>
      </c>
      <c r="M254">
        <v>2.46</v>
      </c>
      <c r="N254">
        <v>2.5499999999999998</v>
      </c>
      <c r="O254">
        <v>3.3</v>
      </c>
      <c r="P254">
        <v>2.2999999999999998</v>
      </c>
      <c r="Q254">
        <v>2.79</v>
      </c>
      <c r="R254">
        <v>2.91</v>
      </c>
      <c r="S254">
        <v>3.19</v>
      </c>
      <c r="T254" s="2">
        <f>IF('ROS Rankings'!$AD$1,IFERROR(AVERAGE(INDEX($C254:$S254,14):INDEX($C254:$S254,17)),0),IFERROR(AVERAGE(INDEX($C254:$S254,Week+1):INDEX($C254:$S254,13)),0))</f>
        <v>2.628571428571429</v>
      </c>
      <c r="U254" s="2" t="str">
        <f t="shared" si="34"/>
        <v/>
      </c>
      <c r="V254" s="2" t="str">
        <f t="shared" si="34"/>
        <v/>
      </c>
      <c r="W254" s="2">
        <f t="shared" si="34"/>
        <v>2.628571428571429</v>
      </c>
      <c r="X254" s="2" t="str">
        <f t="shared" si="34"/>
        <v/>
      </c>
      <c r="Y254" s="2" t="str">
        <f t="shared" si="34"/>
        <v/>
      </c>
      <c r="Z254" s="2" t="str">
        <f t="shared" si="34"/>
        <v/>
      </c>
      <c r="AA254" s="23" t="str">
        <f t="shared" si="27"/>
        <v>WR106</v>
      </c>
      <c r="AB254" s="2">
        <f>$T254-VLOOKUP($B254,Scores!$AG$1:$AM$7,5,FALSE)</f>
        <v>-7.7428571428571411</v>
      </c>
      <c r="AC254" s="2">
        <f>$T254-VLOOKUP($B254,Scores!$AG$1:$AM$7,6,FALSE)</f>
        <v>-5.402857142857143</v>
      </c>
      <c r="AD254" s="2">
        <f>$T254-VLOOKUP($B254,Scores!$AG$1:$AM$7,7,FALSE)+(ROW(A253)/1000000)</f>
        <v>-3.4240327142857137</v>
      </c>
      <c r="AE254" s="2">
        <f t="array" ref="AE254">IF('ROS Rankings'!$AD$1,IFERROR(AVERAGE(IF(INDEX($C254:$S254,14):INDEX($C254:$S254,17)="NA",0,INDEX($C254:$S254,14):INDEX($C254:$S254,17))-INDEX($AQ$2:$BG$7,MATCH($B254,$AO$2:$AO$7,0),14):INDEX($AQ$2:$BG$7,MATCH($B254,$AO$2:$AO$7,0),17)),0),IFERROR(AVERAGE(IF(INDEX($C254:$S254,Week+1):INDEX($C254:$S254,13)="NA",0,INDEX($C254:$S254,Week+1):INDEX($C254:$S254,13))-INDEX($AQ$2:$BG$7,MATCH($B254,$AO$2:$AO$7,0),Week+1):INDEX($AQ$2:$BG$7,MATCH($B254,$AO$2:$AO$7,0),13)),0))+ROW(A253)/1000000</f>
        <v>-3.0559970000000005</v>
      </c>
      <c r="AF254">
        <f t="shared" si="28"/>
        <v>370</v>
      </c>
      <c r="AG254">
        <f t="shared" si="29"/>
        <v>373</v>
      </c>
      <c r="AH254">
        <f t="shared" si="30"/>
        <v>321</v>
      </c>
      <c r="AI254">
        <f t="shared" si="31"/>
        <v>301</v>
      </c>
      <c r="AJ254" s="22">
        <f>IF(ISERROR(MATCH(A254,Rosters!$B$2:$B$155,0)),AD254,"")</f>
        <v>-3.4240327142857137</v>
      </c>
      <c r="AK254">
        <f t="shared" si="32"/>
        <v>170</v>
      </c>
      <c r="AL254" s="23">
        <f>COUNTIF(INDEX($C254:$S254,Week+1):INDEX($C254:$S254,13),"&gt;0")</f>
        <v>7</v>
      </c>
    </row>
    <row r="255" spans="1:38" x14ac:dyDescent="0.25">
      <c r="A255" t="s">
        <v>118</v>
      </c>
      <c r="B255" t="s">
        <v>114</v>
      </c>
      <c r="C255">
        <v>5.41</v>
      </c>
      <c r="D255">
        <v>7.1</v>
      </c>
      <c r="E255">
        <v>6.39</v>
      </c>
      <c r="F255" t="s">
        <v>64</v>
      </c>
      <c r="G255">
        <v>7.57</v>
      </c>
      <c r="H255">
        <v>8.3800000000000008</v>
      </c>
      <c r="I255">
        <v>6.95</v>
      </c>
      <c r="J255">
        <v>7.95</v>
      </c>
      <c r="K255">
        <v>6.4</v>
      </c>
      <c r="L255">
        <v>6.22</v>
      </c>
      <c r="M255">
        <v>6.47</v>
      </c>
      <c r="N255">
        <v>6.68</v>
      </c>
      <c r="O255">
        <v>6.94</v>
      </c>
      <c r="P255">
        <v>8.31</v>
      </c>
      <c r="Q255">
        <v>5.4</v>
      </c>
      <c r="R255">
        <v>7.05</v>
      </c>
      <c r="S255">
        <v>7.3</v>
      </c>
      <c r="T255" s="2">
        <f>IF('ROS Rankings'!$AD$1,IFERROR(AVERAGE(INDEX($C255:$S255,14):INDEX($C255:$S255,17)),0),IFERROR(AVERAGE(INDEX($C255:$S255,Week+1):INDEX($C255:$S255,13)),0))</f>
        <v>6.9987499999999994</v>
      </c>
      <c r="U255" s="2" t="str">
        <f t="shared" si="34"/>
        <v/>
      </c>
      <c r="V255" s="2" t="str">
        <f t="shared" si="34"/>
        <v/>
      </c>
      <c r="W255" s="2" t="str">
        <f t="shared" si="34"/>
        <v/>
      </c>
      <c r="X255" s="2">
        <f t="shared" si="34"/>
        <v>6.9987499999999994</v>
      </c>
      <c r="Y255" s="2" t="str">
        <f t="shared" si="34"/>
        <v/>
      </c>
      <c r="Z255" s="2" t="str">
        <f t="shared" si="34"/>
        <v/>
      </c>
      <c r="AA255" s="23" t="str">
        <f t="shared" si="27"/>
        <v>TE5</v>
      </c>
      <c r="AB255" s="2">
        <f>$T255-VLOOKUP($B255,Scores!$AG$1:$AM$7,5,FALSE)</f>
        <v>0</v>
      </c>
      <c r="AC255" s="2">
        <f>$T255-VLOOKUP($B255,Scores!$AG$1:$AM$7,6,FALSE)</f>
        <v>1.7487499999999994</v>
      </c>
      <c r="AD255" s="2">
        <f>$T255-VLOOKUP($B255,Scores!$AG$1:$AM$7,7,FALSE)+(ROW(A254)/1000000)</f>
        <v>1.8190039999999996</v>
      </c>
      <c r="AE255" s="2">
        <f t="array" ref="AE255">IF('ROS Rankings'!$AD$1,IFERROR(AVERAGE(IF(INDEX($C255:$S255,14):INDEX($C255:$S255,17)="NA",0,INDEX($C255:$S255,14):INDEX($C255:$S255,17))-INDEX($AQ$2:$BG$7,MATCH($B255,$AO$2:$AO$7,0),14):INDEX($AQ$2:$BG$7,MATCH($B255,$AO$2:$AO$7,0),17)),0),IFERROR(AVERAGE(IF(INDEX($C255:$S255,Week+1):INDEX($C255:$S255,13)="NA",0,INDEX($C255:$S255,Week+1):INDEX($C255:$S255,13))-INDEX($AQ$2:$BG$7,MATCH($B255,$AO$2:$AO$7,0),Week+1):INDEX($AQ$2:$BG$7,MATCH($B255,$AO$2:$AO$7,0),13)),0))+ROW(A254)/1000000</f>
        <v>1.9015040000000005</v>
      </c>
      <c r="AF255">
        <f t="shared" si="28"/>
        <v>45</v>
      </c>
      <c r="AG255">
        <f t="shared" si="29"/>
        <v>44</v>
      </c>
      <c r="AH255">
        <f t="shared" si="30"/>
        <v>78</v>
      </c>
      <c r="AI255">
        <f t="shared" si="31"/>
        <v>63</v>
      </c>
      <c r="AJ255" s="22" t="str">
        <f>IF(ISERROR(MATCH(A255,Rosters!$B$2:$B$155,0)),AD255,"")</f>
        <v/>
      </c>
      <c r="AK255" t="str">
        <f t="shared" si="32"/>
        <v/>
      </c>
      <c r="AL255" s="23">
        <f>COUNTIF(INDEX($C255:$S255,Week+1):INDEX($C255:$S255,13),"&gt;0")</f>
        <v>8</v>
      </c>
    </row>
    <row r="256" spans="1:38" x14ac:dyDescent="0.25">
      <c r="A256" t="s">
        <v>335</v>
      </c>
      <c r="B256" t="s">
        <v>87</v>
      </c>
      <c r="C256">
        <v>0.44</v>
      </c>
      <c r="D256">
        <v>0.44</v>
      </c>
      <c r="E256">
        <v>0</v>
      </c>
      <c r="F256">
        <v>0</v>
      </c>
      <c r="G256">
        <v>0</v>
      </c>
      <c r="H256">
        <v>0.46</v>
      </c>
      <c r="I256">
        <v>0.51</v>
      </c>
      <c r="J256">
        <v>0.5</v>
      </c>
      <c r="K256">
        <v>0.59</v>
      </c>
      <c r="L256" t="s">
        <v>64</v>
      </c>
      <c r="M256">
        <v>0.62</v>
      </c>
      <c r="N256">
        <v>0.54</v>
      </c>
      <c r="O256">
        <v>0.56000000000000005</v>
      </c>
      <c r="P256">
        <v>0.59</v>
      </c>
      <c r="Q256">
        <v>0.67</v>
      </c>
      <c r="R256">
        <v>0.5</v>
      </c>
      <c r="S256">
        <v>0.64</v>
      </c>
      <c r="T256" s="2">
        <f>IF('ROS Rankings'!$AD$1,IFERROR(AVERAGE(INDEX($C256:$S256,14):INDEX($C256:$S256,17)),0),IFERROR(AVERAGE(INDEX($C256:$S256,Week+1):INDEX($C256:$S256,13)),0))</f>
        <v>0.54</v>
      </c>
      <c r="U256" s="2" t="str">
        <f t="shared" si="34"/>
        <v/>
      </c>
      <c r="V256" s="2" t="str">
        <f t="shared" si="34"/>
        <v/>
      </c>
      <c r="W256" s="2">
        <f t="shared" si="34"/>
        <v>0.54</v>
      </c>
      <c r="X256" s="2" t="str">
        <f t="shared" si="34"/>
        <v/>
      </c>
      <c r="Y256" s="2" t="str">
        <f t="shared" si="34"/>
        <v/>
      </c>
      <c r="Z256" s="2" t="str">
        <f t="shared" si="34"/>
        <v/>
      </c>
      <c r="AA256" s="23" t="str">
        <f t="shared" si="27"/>
        <v>WR165</v>
      </c>
      <c r="AB256" s="2">
        <f>$T256-VLOOKUP($B256,Scores!$AG$1:$AM$7,5,FALSE)</f>
        <v>-9.831428571428571</v>
      </c>
      <c r="AC256" s="2">
        <f>$T256-VLOOKUP($B256,Scores!$AG$1:$AM$7,6,FALSE)</f>
        <v>-7.491428571428572</v>
      </c>
      <c r="AD256" s="2">
        <f>$T256-VLOOKUP($B256,Scores!$AG$1:$AM$7,7,FALSE)+(ROW(A255)/1000000)</f>
        <v>-5.5126021428571423</v>
      </c>
      <c r="AE256" s="2">
        <f t="array" ref="AE256">IF('ROS Rankings'!$AD$1,IFERROR(AVERAGE(IF(INDEX($C256:$S256,14):INDEX($C256:$S256,17)="NA",0,INDEX($C256:$S256,14):INDEX($C256:$S256,17))-INDEX($AQ$2:$BG$7,MATCH($B256,$AO$2:$AO$7,0),14):INDEX($AQ$2:$BG$7,MATCH($B256,$AO$2:$AO$7,0),17)),0),IFERROR(AVERAGE(IF(INDEX($C256:$S256,Week+1):INDEX($C256:$S256,13)="NA",0,INDEX($C256:$S256,Week+1):INDEX($C256:$S256,13))-INDEX($AQ$2:$BG$7,MATCH($B256,$AO$2:$AO$7,0),Week+1):INDEX($AQ$2:$BG$7,MATCH($B256,$AO$2:$AO$7,0),13)),0))+ROW(A255)/1000000</f>
        <v>-4.8834949999999999</v>
      </c>
      <c r="AF256">
        <f t="shared" si="28"/>
        <v>441</v>
      </c>
      <c r="AG256">
        <f t="shared" si="29"/>
        <v>459</v>
      </c>
      <c r="AH256">
        <f t="shared" si="30"/>
        <v>490</v>
      </c>
      <c r="AI256">
        <f t="shared" si="31"/>
        <v>471</v>
      </c>
      <c r="AJ256" s="22">
        <f>IF(ISERROR(MATCH(A256,Rosters!$B$2:$B$155,0)),AD256,"")</f>
        <v>-5.5126021428571423</v>
      </c>
      <c r="AK256">
        <f t="shared" si="32"/>
        <v>338</v>
      </c>
      <c r="AL256" s="23">
        <f>COUNTIF(INDEX($C256:$S256,Week+1):INDEX($C256:$S256,13),"&gt;0")</f>
        <v>7</v>
      </c>
    </row>
    <row r="257" spans="1:38" x14ac:dyDescent="0.25">
      <c r="A257" t="s">
        <v>4226</v>
      </c>
      <c r="B257" t="s">
        <v>114</v>
      </c>
      <c r="C257" t="s">
        <v>64</v>
      </c>
      <c r="D257">
        <v>0.62</v>
      </c>
      <c r="E257">
        <v>2.52</v>
      </c>
      <c r="F257">
        <v>2.6</v>
      </c>
      <c r="G257">
        <v>2.37</v>
      </c>
      <c r="H257">
        <v>2.17</v>
      </c>
      <c r="I257">
        <v>1.83</v>
      </c>
      <c r="J257">
        <v>2.65</v>
      </c>
      <c r="K257">
        <v>1.99</v>
      </c>
      <c r="L257" t="s">
        <v>64</v>
      </c>
      <c r="M257">
        <v>1.97</v>
      </c>
      <c r="N257">
        <v>2.79</v>
      </c>
      <c r="O257">
        <v>2.4900000000000002</v>
      </c>
      <c r="P257">
        <v>2.88</v>
      </c>
      <c r="Q257">
        <v>1.94</v>
      </c>
      <c r="R257">
        <v>1.93</v>
      </c>
      <c r="S257">
        <v>1.9</v>
      </c>
      <c r="T257" s="2">
        <f>IF('ROS Rankings'!$AD$1,IFERROR(AVERAGE(INDEX($C257:$S257,14):INDEX($C257:$S257,17)),0),IFERROR(AVERAGE(INDEX($C257:$S257,Week+1):INDEX($C257:$S257,13)),0))</f>
        <v>2.2700000000000005</v>
      </c>
      <c r="U257" s="2" t="str">
        <f t="shared" si="34"/>
        <v/>
      </c>
      <c r="V257" s="2" t="str">
        <f t="shared" si="34"/>
        <v/>
      </c>
      <c r="W257" s="2" t="str">
        <f t="shared" si="34"/>
        <v/>
      </c>
      <c r="X257" s="2">
        <f t="shared" si="34"/>
        <v>2.2700000000000005</v>
      </c>
      <c r="Y257" s="2" t="str">
        <f t="shared" si="34"/>
        <v/>
      </c>
      <c r="Z257" s="2" t="str">
        <f t="shared" si="34"/>
        <v/>
      </c>
      <c r="AA257" s="23" t="str">
        <f t="shared" si="27"/>
        <v>TE45</v>
      </c>
      <c r="AB257" s="2">
        <f>$T257-VLOOKUP($B257,Scores!$AG$1:$AM$7,5,FALSE)</f>
        <v>-4.7287499999999989</v>
      </c>
      <c r="AC257" s="2">
        <f>$T257-VLOOKUP($B257,Scores!$AG$1:$AM$7,6,FALSE)</f>
        <v>-2.9799999999999995</v>
      </c>
      <c r="AD257" s="2">
        <f>$T257-VLOOKUP($B257,Scores!$AG$1:$AM$7,7,FALSE)+(ROW(A256)/1000000)</f>
        <v>-2.9097439999999994</v>
      </c>
      <c r="AE257" s="2">
        <f t="array" ref="AE257">IF('ROS Rankings'!$AD$1,IFERROR(AVERAGE(IF(INDEX($C257:$S257,14):INDEX($C257:$S257,17)="NA",0,INDEX($C257:$S257,14):INDEX($C257:$S257,17))-INDEX($AQ$2:$BG$7,MATCH($B257,$AO$2:$AO$7,0),14):INDEX($AQ$2:$BG$7,MATCH($B257,$AO$2:$AO$7,0),17)),0),IFERROR(AVERAGE(IF(INDEX($C257:$S257,Week+1):INDEX($C257:$S257,13)="NA",0,INDEX($C257:$S257,Week+1):INDEX($C257:$S257,13))-INDEX($AQ$2:$BG$7,MATCH($B257,$AO$2:$AO$7,0),Week+1):INDEX($AQ$2:$BG$7,MATCH($B257,$AO$2:$AO$7,0),13)),0))+ROW(A256)/1000000</f>
        <v>-3.1109940000000003</v>
      </c>
      <c r="AF257">
        <f t="shared" si="28"/>
        <v>224</v>
      </c>
      <c r="AG257">
        <f t="shared" si="29"/>
        <v>242</v>
      </c>
      <c r="AH257">
        <f t="shared" si="30"/>
        <v>292</v>
      </c>
      <c r="AI257">
        <f t="shared" si="31"/>
        <v>304</v>
      </c>
      <c r="AJ257" s="22">
        <f>IF(ISERROR(MATCH(A257,Rosters!$B$2:$B$155,0)),AD257,"")</f>
        <v>-2.9097439999999994</v>
      </c>
      <c r="AK257">
        <f t="shared" si="32"/>
        <v>145</v>
      </c>
      <c r="AL257" s="23">
        <f>COUNTIF(INDEX($C257:$S257,Week+1):INDEX($C257:$S257,13),"&gt;0")</f>
        <v>7</v>
      </c>
    </row>
    <row r="258" spans="1:38" x14ac:dyDescent="0.25">
      <c r="A258" t="s">
        <v>1388</v>
      </c>
      <c r="B258" t="s">
        <v>47</v>
      </c>
      <c r="C258">
        <v>8.11</v>
      </c>
      <c r="D258">
        <v>6.39</v>
      </c>
      <c r="E258">
        <v>8.3800000000000008</v>
      </c>
      <c r="F258">
        <v>7.67</v>
      </c>
      <c r="G258">
        <v>6.96</v>
      </c>
      <c r="H258">
        <v>4.8899999999999997</v>
      </c>
      <c r="I258">
        <v>5.3</v>
      </c>
      <c r="J258">
        <v>6.51</v>
      </c>
      <c r="K258" t="s">
        <v>64</v>
      </c>
      <c r="L258">
        <v>4.74</v>
      </c>
      <c r="M258">
        <v>4.84</v>
      </c>
      <c r="N258">
        <v>4.67</v>
      </c>
      <c r="O258">
        <v>4.47</v>
      </c>
      <c r="P258">
        <v>6.2</v>
      </c>
      <c r="Q258">
        <v>5.63</v>
      </c>
      <c r="R258">
        <v>5.67</v>
      </c>
      <c r="S258">
        <v>4.55</v>
      </c>
      <c r="T258" s="2">
        <f>IF('ROS Rankings'!$AD$1,IFERROR(AVERAGE(INDEX($C258:$S258,14):INDEX($C258:$S258,17)),0),IFERROR(AVERAGE(INDEX($C258:$S258,Week+1):INDEX($C258:$S258,13)),0))</f>
        <v>5.0599999999999996</v>
      </c>
      <c r="U258" s="2" t="str">
        <f t="shared" si="34"/>
        <v/>
      </c>
      <c r="V258" s="2">
        <f t="shared" si="34"/>
        <v>5.0599999999999996</v>
      </c>
      <c r="W258" s="2" t="str">
        <f t="shared" si="34"/>
        <v/>
      </c>
      <c r="X258" s="2" t="str">
        <f t="shared" si="34"/>
        <v/>
      </c>
      <c r="Y258" s="2" t="str">
        <f t="shared" si="34"/>
        <v/>
      </c>
      <c r="Z258" s="2" t="str">
        <f t="shared" si="34"/>
        <v/>
      </c>
      <c r="AA258" s="23" t="str">
        <f t="shared" si="27"/>
        <v>RB57</v>
      </c>
      <c r="AB258" s="2">
        <f>$T258-VLOOKUP($B258,Scores!$AG$1:$AM$7,5,FALSE)</f>
        <v>-6.6985714285714293</v>
      </c>
      <c r="AC258" s="2">
        <f>$T258-VLOOKUP($B258,Scores!$AG$1:$AM$7,6,FALSE)</f>
        <v>-3.2100000000000017</v>
      </c>
      <c r="AD258" s="2">
        <f>$T258-VLOOKUP($B258,Scores!$AG$1:$AM$7,7,FALSE)+(ROW(A257)/1000000)</f>
        <v>-0.80831442857142966</v>
      </c>
      <c r="AE258" s="2">
        <f t="array" ref="AE258">IF('ROS Rankings'!$AD$1,IFERROR(AVERAGE(IF(INDEX($C258:$S258,14):INDEX($C258:$S258,17)="NA",0,INDEX($C258:$S258,14):INDEX($C258:$S258,17))-INDEX($AQ$2:$BG$7,MATCH($B258,$AO$2:$AO$7,0),14):INDEX($AQ$2:$BG$7,MATCH($B258,$AO$2:$AO$7,0),17)),0),IFERROR(AVERAGE(IF(INDEX($C258:$S258,Week+1):INDEX($C258:$S258,13)="NA",0,INDEX($C258:$S258,Week+1):INDEX($C258:$S258,13))-INDEX($AQ$2:$BG$7,MATCH($B258,$AO$2:$AO$7,0),Week+1):INDEX($AQ$2:$BG$7,MATCH($B258,$AO$2:$AO$7,0),13)),0))+ROW(A257)/1000000</f>
        <v>-0.93224300000000004</v>
      </c>
      <c r="AF258">
        <f t="shared" si="28"/>
        <v>337</v>
      </c>
      <c r="AG258">
        <f t="shared" si="29"/>
        <v>255</v>
      </c>
      <c r="AH258">
        <f t="shared" si="30"/>
        <v>190</v>
      </c>
      <c r="AI258">
        <f t="shared" si="31"/>
        <v>169</v>
      </c>
      <c r="AJ258" s="22">
        <f>IF(ISERROR(MATCH(A258,Rosters!$B$2:$B$155,0)),AD258,"")</f>
        <v>-0.80831442857142966</v>
      </c>
      <c r="AK258">
        <f t="shared" si="32"/>
        <v>57</v>
      </c>
      <c r="AL258" s="23">
        <f>COUNTIF(INDEX($C258:$S258,Week+1):INDEX($C258:$S258,13),"&gt;0")</f>
        <v>7</v>
      </c>
    </row>
    <row r="259" spans="1:38" x14ac:dyDescent="0.25">
      <c r="A259" t="s">
        <v>98</v>
      </c>
      <c r="B259" t="s">
        <v>87</v>
      </c>
      <c r="C259">
        <v>5.91</v>
      </c>
      <c r="D259">
        <v>6.94</v>
      </c>
      <c r="E259">
        <v>5.29</v>
      </c>
      <c r="F259">
        <v>7.03</v>
      </c>
      <c r="G259">
        <v>7.46</v>
      </c>
      <c r="H259">
        <v>8</v>
      </c>
      <c r="I259" t="s">
        <v>64</v>
      </c>
      <c r="J259">
        <v>9.52</v>
      </c>
      <c r="K259">
        <v>8.52</v>
      </c>
      <c r="L259">
        <v>6.26</v>
      </c>
      <c r="M259">
        <v>7.19</v>
      </c>
      <c r="N259">
        <v>7.05</v>
      </c>
      <c r="O259">
        <v>8.84</v>
      </c>
      <c r="P259">
        <v>6.33</v>
      </c>
      <c r="Q259">
        <v>6.31</v>
      </c>
      <c r="R259">
        <v>7.9</v>
      </c>
      <c r="S259">
        <v>9.59</v>
      </c>
      <c r="T259" s="2">
        <f>IF('ROS Rankings'!$AD$1,IFERROR(AVERAGE(INDEX($C259:$S259,14):INDEX($C259:$S259,17)),0),IFERROR(AVERAGE(INDEX($C259:$S259,Week+1):INDEX($C259:$S259,13)),0))</f>
        <v>7.911428571428571</v>
      </c>
      <c r="U259" s="2" t="str">
        <f t="shared" si="34"/>
        <v/>
      </c>
      <c r="V259" s="2" t="str">
        <f t="shared" si="34"/>
        <v/>
      </c>
      <c r="W259" s="2">
        <f t="shared" si="34"/>
        <v>7.911428571428571</v>
      </c>
      <c r="X259" s="2" t="str">
        <f t="shared" ref="X259:Z322" si="35">IF($B259=X$1,$T259,"")</f>
        <v/>
      </c>
      <c r="Y259" s="2" t="str">
        <f t="shared" si="35"/>
        <v/>
      </c>
      <c r="Z259" s="2" t="str">
        <f t="shared" si="35"/>
        <v/>
      </c>
      <c r="AA259" s="23" t="str">
        <f t="shared" ref="AA259:AA322" si="36">$B259&amp;_xlfn.RANK.EQ($T259,INDEX($U$2:$Z$561,,MATCH($B259,$U$1:$Z$1,0)),0)</f>
        <v>WR39</v>
      </c>
      <c r="AB259" s="2">
        <f>$T259-VLOOKUP($B259,Scores!$AG$1:$AM$7,5,FALSE)</f>
        <v>-2.4599999999999991</v>
      </c>
      <c r="AC259" s="2">
        <f>$T259-VLOOKUP($B259,Scores!$AG$1:$AM$7,6,FALSE)</f>
        <v>-0.12000000000000099</v>
      </c>
      <c r="AD259" s="2">
        <f>$T259-VLOOKUP($B259,Scores!$AG$1:$AM$7,7,FALSE)+(ROW(A258)/1000000)</f>
        <v>1.8588294285714286</v>
      </c>
      <c r="AE259" s="2">
        <f t="array" ref="AE259">IF('ROS Rankings'!$AD$1,IFERROR(AVERAGE(IF(INDEX($C259:$S259,14):INDEX($C259:$S259,17)="NA",0,INDEX($C259:$S259,14):INDEX($C259:$S259,17))-INDEX($AQ$2:$BG$7,MATCH($B259,$AO$2:$AO$7,0),14):INDEX($AQ$2:$BG$7,MATCH($B259,$AO$2:$AO$7,0),17)),0),IFERROR(AVERAGE(IF(INDEX($C259:$S259,Week+1):INDEX($C259:$S259,13)="NA",0,INDEX($C259:$S259,Week+1):INDEX($C259:$S259,13))-INDEX($AQ$2:$BG$7,MATCH($B259,$AO$2:$AO$7,0),Week+1):INDEX($AQ$2:$BG$7,MATCH($B259,$AO$2:$AO$7,0),13)),0))+ROW(A258)/1000000</f>
        <v>1.5665079999999998</v>
      </c>
      <c r="AF259">
        <f t="shared" ref="AF259:AF322" si="37">_xlfn.RANK.EQ(AB259,AB$2:AB$561,0)</f>
        <v>150</v>
      </c>
      <c r="AG259">
        <f t="shared" ref="AG259:AG322" si="38">_xlfn.RANK.EQ(AC259,AC$2:AC$561,0)</f>
        <v>112</v>
      </c>
      <c r="AH259">
        <f t="shared" ref="AH259:AH322" si="39">_xlfn.RANK.EQ(AD259,AD$2:AD$561,0)</f>
        <v>75</v>
      </c>
      <c r="AI259">
        <f t="shared" ref="AI259:AI322" si="40">_xlfn.RANK.EQ(AE259,AE$2:AE$561,0)</f>
        <v>74</v>
      </c>
      <c r="AJ259" s="22" t="str">
        <f>IF(ISERROR(MATCH(A259,Rosters!$B$2:$B$155,0)),AD259,"")</f>
        <v/>
      </c>
      <c r="AK259" t="str">
        <f t="shared" ref="AK259:AK322" si="41">IFERROR(_xlfn.RANK.EQ(AJ259,$AJ$2:$AJ$561,0),"")</f>
        <v/>
      </c>
      <c r="AL259" s="23">
        <f>COUNTIF(INDEX($C259:$S259,Week+1):INDEX($C259:$S259,13),"&gt;0")</f>
        <v>7</v>
      </c>
    </row>
    <row r="260" spans="1:38" x14ac:dyDescent="0.25">
      <c r="A260" t="s">
        <v>4687</v>
      </c>
      <c r="B260" t="s">
        <v>47</v>
      </c>
      <c r="C260" t="s">
        <v>64</v>
      </c>
      <c r="D260" t="s">
        <v>64</v>
      </c>
      <c r="E260" t="s">
        <v>64</v>
      </c>
      <c r="F260">
        <v>3.5</v>
      </c>
      <c r="G260">
        <v>1.53</v>
      </c>
      <c r="H260">
        <v>0.7</v>
      </c>
      <c r="I260">
        <v>0.48</v>
      </c>
      <c r="J260">
        <v>0.39</v>
      </c>
      <c r="K260" t="s">
        <v>64</v>
      </c>
      <c r="L260">
        <v>0.73</v>
      </c>
      <c r="M260">
        <v>0.75</v>
      </c>
      <c r="N260">
        <v>0.76</v>
      </c>
      <c r="O260">
        <v>0.68</v>
      </c>
      <c r="P260">
        <v>0.67</v>
      </c>
      <c r="Q260">
        <v>0.61</v>
      </c>
      <c r="R260">
        <v>0.73</v>
      </c>
      <c r="S260">
        <v>0.63</v>
      </c>
      <c r="T260" s="2">
        <f>IF('ROS Rankings'!$AD$1,IFERROR(AVERAGE(INDEX($C260:$S260,14):INDEX($C260:$S260,17)),0),IFERROR(AVERAGE(INDEX($C260:$S260,Week+1):INDEX($C260:$S260,13)),0))</f>
        <v>0.64142857142857135</v>
      </c>
      <c r="U260" s="2" t="str">
        <f t="shared" ref="U260:Z323" si="42">IF($B260=U$1,$T260,"")</f>
        <v/>
      </c>
      <c r="V260" s="2">
        <f t="shared" si="42"/>
        <v>0.64142857142857135</v>
      </c>
      <c r="W260" s="2" t="str">
        <f t="shared" si="42"/>
        <v/>
      </c>
      <c r="X260" s="2" t="str">
        <f t="shared" si="42"/>
        <v/>
      </c>
      <c r="Y260" s="2" t="str">
        <f t="shared" si="42"/>
        <v/>
      </c>
      <c r="Z260" s="2" t="str">
        <f t="shared" si="42"/>
        <v/>
      </c>
      <c r="AA260" s="23" t="str">
        <f t="shared" si="36"/>
        <v>RB99</v>
      </c>
      <c r="AB260" s="2">
        <f>$T260-VLOOKUP($B260,Scores!$AG$1:$AM$7,5,FALSE)</f>
        <v>-11.117142857142857</v>
      </c>
      <c r="AC260" s="2">
        <f>$T260-VLOOKUP($B260,Scores!$AG$1:$AM$7,6,FALSE)</f>
        <v>-7.6285714285714299</v>
      </c>
      <c r="AD260" s="2">
        <f>$T260-VLOOKUP($B260,Scores!$AG$1:$AM$7,7,FALSE)+(ROW(A259)/1000000)</f>
        <v>-5.226883857142858</v>
      </c>
      <c r="AE260" s="2">
        <f t="array" ref="AE260">IF('ROS Rankings'!$AD$1,IFERROR(AVERAGE(IF(INDEX($C260:$S260,14):INDEX($C260:$S260,17)="NA",0,INDEX($C260:$S260,14):INDEX($C260:$S260,17))-INDEX($AQ$2:$BG$7,MATCH($B260,$AO$2:$AO$7,0),14):INDEX($AQ$2:$BG$7,MATCH($B260,$AO$2:$AO$7,0),17)),0),IFERROR(AVERAGE(IF(INDEX($C260:$S260,Week+1):INDEX($C260:$S260,13)="NA",0,INDEX($C260:$S260,Week+1):INDEX($C260:$S260,13))-INDEX($AQ$2:$BG$7,MATCH($B260,$AO$2:$AO$7,0),Week+1):INDEX($AQ$2:$BG$7,MATCH($B260,$AO$2:$AO$7,0),13)),0))+ROW(A259)/1000000</f>
        <v>-4.7984910000000003</v>
      </c>
      <c r="AF260">
        <f t="shared" si="37"/>
        <v>487</v>
      </c>
      <c r="AG260">
        <f t="shared" si="38"/>
        <v>474</v>
      </c>
      <c r="AH260">
        <f t="shared" si="39"/>
        <v>423</v>
      </c>
      <c r="AI260">
        <f t="shared" si="40"/>
        <v>436</v>
      </c>
      <c r="AJ260" s="22">
        <f>IF(ISERROR(MATCH(A260,Rosters!$B$2:$B$155,0)),AD260,"")</f>
        <v>-5.226883857142858</v>
      </c>
      <c r="AK260">
        <f t="shared" si="41"/>
        <v>271</v>
      </c>
      <c r="AL260" s="23">
        <f>COUNTIF(INDEX($C260:$S260,Week+1):INDEX($C260:$S260,13),"&gt;0")</f>
        <v>7</v>
      </c>
    </row>
    <row r="261" spans="1:38" x14ac:dyDescent="0.25">
      <c r="A261" t="s">
        <v>1277</v>
      </c>
      <c r="B261" t="s">
        <v>15</v>
      </c>
      <c r="C261">
        <v>0.72</v>
      </c>
      <c r="D261">
        <v>12.96</v>
      </c>
      <c r="E261">
        <v>10.119999999999999</v>
      </c>
      <c r="F261">
        <v>16.579999999999998</v>
      </c>
      <c r="G261">
        <v>15.35</v>
      </c>
      <c r="H261">
        <v>16.649999999999999</v>
      </c>
      <c r="I261">
        <v>14.41</v>
      </c>
      <c r="J261">
        <v>15.24</v>
      </c>
      <c r="K261">
        <v>13.25</v>
      </c>
      <c r="L261">
        <v>13.44</v>
      </c>
      <c r="M261" t="s">
        <v>64</v>
      </c>
      <c r="N261">
        <v>11.68</v>
      </c>
      <c r="O261">
        <v>14.31</v>
      </c>
      <c r="P261">
        <v>14.31</v>
      </c>
      <c r="Q261">
        <v>15.76</v>
      </c>
      <c r="R261">
        <v>14.28</v>
      </c>
      <c r="S261">
        <v>15.23</v>
      </c>
      <c r="T261" s="2">
        <f>IF('ROS Rankings'!$AD$1,IFERROR(AVERAGE(INDEX($C261:$S261,14):INDEX($C261:$S261,17)),0),IFERROR(AVERAGE(INDEX($C261:$S261,Week+1):INDEX($C261:$S261,13)),0))</f>
        <v>14.139999999999999</v>
      </c>
      <c r="U261" s="2">
        <f t="shared" si="42"/>
        <v>14.139999999999999</v>
      </c>
      <c r="V261" s="2" t="str">
        <f t="shared" si="42"/>
        <v/>
      </c>
      <c r="W261" s="2" t="str">
        <f t="shared" si="42"/>
        <v/>
      </c>
      <c r="X261" s="2" t="str">
        <f t="shared" si="42"/>
        <v/>
      </c>
      <c r="Y261" s="2" t="str">
        <f t="shared" si="42"/>
        <v/>
      </c>
      <c r="Z261" s="2" t="str">
        <f t="shared" si="42"/>
        <v/>
      </c>
      <c r="AA261" s="23" t="str">
        <f t="shared" si="36"/>
        <v>QB31</v>
      </c>
      <c r="AB261" s="2">
        <f>$T261-VLOOKUP($B261,Scores!$AG$1:$AM$7,5,FALSE)</f>
        <v>-6.7442857142857147</v>
      </c>
      <c r="AC261" s="2">
        <f>$T261-VLOOKUP($B261,Scores!$AG$1:$AM$7,6,FALSE)</f>
        <v>-5.7637499999999999</v>
      </c>
      <c r="AD261" s="2">
        <f>$T261-VLOOKUP($B261,Scores!$AG$1:$AM$7,7,FALSE)+(ROW(A260)/1000000)</f>
        <v>-5.3597399999999977</v>
      </c>
      <c r="AE261" s="2">
        <f t="array" ref="AE261">IF('ROS Rankings'!$AD$1,IFERROR(AVERAGE(IF(INDEX($C261:$S261,14):INDEX($C261:$S261,17)="NA",0,INDEX($C261:$S261,14):INDEX($C261:$S261,17))-INDEX($AQ$2:$BG$7,MATCH($B261,$AO$2:$AO$7,0),14):INDEX($AQ$2:$BG$7,MATCH($B261,$AO$2:$AO$7,0),17)),0),IFERROR(AVERAGE(IF(INDEX($C261:$S261,Week+1):INDEX($C261:$S261,13)="NA",0,INDEX($C261:$S261,Week+1):INDEX($C261:$S261,13))-INDEX($AQ$2:$BG$7,MATCH($B261,$AO$2:$AO$7,0),Week+1):INDEX($AQ$2:$BG$7,MATCH($B261,$AO$2:$AO$7,0),13)),0))+ROW(A260)/1000000</f>
        <v>-6.12974</v>
      </c>
      <c r="AF261">
        <f t="shared" si="37"/>
        <v>338</v>
      </c>
      <c r="AG261">
        <f t="shared" si="38"/>
        <v>382</v>
      </c>
      <c r="AH261">
        <f t="shared" si="39"/>
        <v>457</v>
      </c>
      <c r="AI261">
        <f t="shared" si="40"/>
        <v>520</v>
      </c>
      <c r="AJ261" s="22">
        <f>IF(ISERROR(MATCH(A261,Rosters!$B$2:$B$155,0)),AD261,"")</f>
        <v>-5.3597399999999977</v>
      </c>
      <c r="AK261">
        <f t="shared" si="41"/>
        <v>305</v>
      </c>
      <c r="AL261" s="23">
        <f>COUNTIF(INDEX($C261:$S261,Week+1):INDEX($C261:$S261,13),"&gt;0")</f>
        <v>7</v>
      </c>
    </row>
    <row r="262" spans="1:38" x14ac:dyDescent="0.25">
      <c r="A262" t="s">
        <v>359</v>
      </c>
      <c r="B262" t="s">
        <v>87</v>
      </c>
      <c r="C262">
        <v>0.55000000000000004</v>
      </c>
      <c r="D262">
        <v>0.48</v>
      </c>
      <c r="E262">
        <v>0.56000000000000005</v>
      </c>
      <c r="F262">
        <v>0.55000000000000004</v>
      </c>
      <c r="G262" t="s">
        <v>64</v>
      </c>
      <c r="H262">
        <v>0.86</v>
      </c>
      <c r="I262">
        <v>0.79</v>
      </c>
      <c r="J262">
        <v>0.75</v>
      </c>
      <c r="K262">
        <v>0.82</v>
      </c>
      <c r="L262">
        <v>0.86</v>
      </c>
      <c r="M262">
        <v>0.95</v>
      </c>
      <c r="N262">
        <v>0.83</v>
      </c>
      <c r="O262">
        <v>0.81</v>
      </c>
      <c r="P262">
        <v>0.86</v>
      </c>
      <c r="Q262">
        <v>0.86</v>
      </c>
      <c r="R262">
        <v>0.82</v>
      </c>
      <c r="S262">
        <v>0.91</v>
      </c>
      <c r="T262" s="2">
        <f>IF('ROS Rankings'!$AD$1,IFERROR(AVERAGE(INDEX($C262:$S262,14):INDEX($C262:$S262,17)),0),IFERROR(AVERAGE(INDEX($C262:$S262,Week+1):INDEX($C262:$S262,13)),0))</f>
        <v>0.83374999999999999</v>
      </c>
      <c r="U262" s="2" t="str">
        <f t="shared" si="42"/>
        <v/>
      </c>
      <c r="V262" s="2" t="str">
        <f t="shared" si="42"/>
        <v/>
      </c>
      <c r="W262" s="2">
        <f t="shared" si="42"/>
        <v>0.83374999999999999</v>
      </c>
      <c r="X262" s="2" t="str">
        <f t="shared" si="42"/>
        <v/>
      </c>
      <c r="Y262" s="2" t="str">
        <f t="shared" si="42"/>
        <v/>
      </c>
      <c r="Z262" s="2" t="str">
        <f t="shared" si="42"/>
        <v/>
      </c>
      <c r="AA262" s="23" t="str">
        <f t="shared" si="36"/>
        <v>WR126</v>
      </c>
      <c r="AB262" s="2">
        <f>$T262-VLOOKUP($B262,Scores!$AG$1:$AM$7,5,FALSE)</f>
        <v>-9.5376785714285699</v>
      </c>
      <c r="AC262" s="2">
        <f>$T262-VLOOKUP($B262,Scores!$AG$1:$AM$7,6,FALSE)</f>
        <v>-7.1976785714285718</v>
      </c>
      <c r="AD262" s="2">
        <f>$T262-VLOOKUP($B262,Scores!$AG$1:$AM$7,7,FALSE)+(ROW(A261)/1000000)</f>
        <v>-5.2188461428571422</v>
      </c>
      <c r="AE262" s="2">
        <f t="array" ref="AE262">IF('ROS Rankings'!$AD$1,IFERROR(AVERAGE(IF(INDEX($C262:$S262,14):INDEX($C262:$S262,17)="NA",0,INDEX($C262:$S262,14):INDEX($C262:$S262,17))-INDEX($AQ$2:$BG$7,MATCH($B262,$AO$2:$AO$7,0),14):INDEX($AQ$2:$BG$7,MATCH($B262,$AO$2:$AO$7,0),17)),0),IFERROR(AVERAGE(IF(INDEX($C262:$S262,Week+1):INDEX($C262:$S262,13)="NA",0,INDEX($C262:$S262,Week+1):INDEX($C262:$S262,13))-INDEX($AQ$2:$BG$7,MATCH($B262,$AO$2:$AO$7,0),Week+1):INDEX($AQ$2:$BG$7,MATCH($B262,$AO$2:$AO$7,0),13)),0))+ROW(A261)/1000000</f>
        <v>-4.5222389999999999</v>
      </c>
      <c r="AF262">
        <f t="shared" si="37"/>
        <v>401</v>
      </c>
      <c r="AG262">
        <f t="shared" si="38"/>
        <v>414</v>
      </c>
      <c r="AH262">
        <f t="shared" si="39"/>
        <v>421</v>
      </c>
      <c r="AI262">
        <f t="shared" si="40"/>
        <v>377</v>
      </c>
      <c r="AJ262" s="22">
        <f>IF(ISERROR(MATCH(A262,Rosters!$B$2:$B$155,0)),AD262,"")</f>
        <v>-5.2188461428571422</v>
      </c>
      <c r="AK262">
        <f t="shared" si="41"/>
        <v>269</v>
      </c>
      <c r="AL262" s="23">
        <f>COUNTIF(INDEX($C262:$S262,Week+1):INDEX($C262:$S262,13),"&gt;0")</f>
        <v>8</v>
      </c>
    </row>
    <row r="263" spans="1:38" x14ac:dyDescent="0.25">
      <c r="A263" t="s">
        <v>230</v>
      </c>
      <c r="B263" t="s">
        <v>87</v>
      </c>
      <c r="C263">
        <v>4.37</v>
      </c>
      <c r="D263">
        <v>6.17</v>
      </c>
      <c r="E263">
        <v>4.17</v>
      </c>
      <c r="F263" t="s">
        <v>64</v>
      </c>
      <c r="G263">
        <v>2.94</v>
      </c>
      <c r="H263">
        <v>2.31</v>
      </c>
      <c r="I263">
        <v>3.08</v>
      </c>
      <c r="J263">
        <v>2.31</v>
      </c>
      <c r="K263">
        <v>2.69</v>
      </c>
      <c r="L263">
        <v>2.78</v>
      </c>
      <c r="M263">
        <v>3.12</v>
      </c>
      <c r="N263">
        <v>2.98</v>
      </c>
      <c r="O263">
        <v>2.54</v>
      </c>
      <c r="P263">
        <v>2.36</v>
      </c>
      <c r="Q263">
        <v>2.2999999999999998</v>
      </c>
      <c r="R263">
        <v>2.68</v>
      </c>
      <c r="S263">
        <v>2.58</v>
      </c>
      <c r="T263" s="2">
        <f>IF('ROS Rankings'!$AD$1,IFERROR(AVERAGE(INDEX($C263:$S263,14):INDEX($C263:$S263,17)),0),IFERROR(AVERAGE(INDEX($C263:$S263,Week+1):INDEX($C263:$S263,13)),0))</f>
        <v>2.7262499999999998</v>
      </c>
      <c r="U263" s="2" t="str">
        <f t="shared" si="42"/>
        <v/>
      </c>
      <c r="V263" s="2" t="str">
        <f t="shared" si="42"/>
        <v/>
      </c>
      <c r="W263" s="2">
        <f t="shared" si="42"/>
        <v>2.7262499999999998</v>
      </c>
      <c r="X263" s="2" t="str">
        <f t="shared" si="42"/>
        <v/>
      </c>
      <c r="Y263" s="2" t="str">
        <f t="shared" si="42"/>
        <v/>
      </c>
      <c r="Z263" s="2" t="str">
        <f t="shared" si="42"/>
        <v/>
      </c>
      <c r="AA263" s="23" t="str">
        <f t="shared" si="36"/>
        <v>WR102</v>
      </c>
      <c r="AB263" s="2">
        <f>$T263-VLOOKUP($B263,Scores!$AG$1:$AM$7,5,FALSE)</f>
        <v>-7.6451785714285698</v>
      </c>
      <c r="AC263" s="2">
        <f>$T263-VLOOKUP($B263,Scores!$AG$1:$AM$7,6,FALSE)</f>
        <v>-5.3051785714285717</v>
      </c>
      <c r="AD263" s="2">
        <f>$T263-VLOOKUP($B263,Scores!$AG$1:$AM$7,7,FALSE)+(ROW(A262)/1000000)</f>
        <v>-3.3263451428571424</v>
      </c>
      <c r="AE263" s="2">
        <f t="array" ref="AE263">IF('ROS Rankings'!$AD$1,IFERROR(AVERAGE(IF(INDEX($C263:$S263,14):INDEX($C263:$S263,17)="NA",0,INDEX($C263:$S263,14):INDEX($C263:$S263,17))-INDEX($AQ$2:$BG$7,MATCH($B263,$AO$2:$AO$7,0),14):INDEX($AQ$2:$BG$7,MATCH($B263,$AO$2:$AO$7,0),17)),0),IFERROR(AVERAGE(IF(INDEX($C263:$S263,Week+1):INDEX($C263:$S263,13)="NA",0,INDEX($C263:$S263,Week+1):INDEX($C263:$S263,13))-INDEX($AQ$2:$BG$7,MATCH($B263,$AO$2:$AO$7,0),Week+1):INDEX($AQ$2:$BG$7,MATCH($B263,$AO$2:$AO$7,0),13)),0))+ROW(A262)/1000000</f>
        <v>-2.6297380000000001</v>
      </c>
      <c r="AF263">
        <f t="shared" si="37"/>
        <v>366</v>
      </c>
      <c r="AG263">
        <f t="shared" si="38"/>
        <v>368</v>
      </c>
      <c r="AH263">
        <f t="shared" si="39"/>
        <v>317</v>
      </c>
      <c r="AI263">
        <f t="shared" si="40"/>
        <v>273</v>
      </c>
      <c r="AJ263" s="22">
        <f>IF(ISERROR(MATCH(A263,Rosters!$B$2:$B$155,0)),AD263,"")</f>
        <v>-3.3263451428571424</v>
      </c>
      <c r="AK263">
        <f t="shared" si="41"/>
        <v>167</v>
      </c>
      <c r="AL263" s="23">
        <f>COUNTIF(INDEX($C263:$S263,Week+1):INDEX($C263:$S263,13),"&gt;0")</f>
        <v>8</v>
      </c>
    </row>
    <row r="264" spans="1:38" x14ac:dyDescent="0.25">
      <c r="A264" t="s">
        <v>1158</v>
      </c>
      <c r="B264" t="s">
        <v>87</v>
      </c>
      <c r="C264">
        <v>4.4000000000000004</v>
      </c>
      <c r="D264" t="s">
        <v>64</v>
      </c>
      <c r="E264">
        <v>0</v>
      </c>
      <c r="F264">
        <v>7.09</v>
      </c>
      <c r="G264">
        <v>7.16</v>
      </c>
      <c r="H264">
        <v>8.61</v>
      </c>
      <c r="I264">
        <v>8.0299999999999994</v>
      </c>
      <c r="J264">
        <v>7.02</v>
      </c>
      <c r="K264">
        <v>7.08</v>
      </c>
      <c r="L264">
        <v>8.23</v>
      </c>
      <c r="M264" t="s">
        <v>64</v>
      </c>
      <c r="N264">
        <v>8.1</v>
      </c>
      <c r="O264">
        <v>8.08</v>
      </c>
      <c r="P264">
        <v>6.57</v>
      </c>
      <c r="Q264">
        <v>5.84</v>
      </c>
      <c r="R264">
        <v>6.5</v>
      </c>
      <c r="S264">
        <v>8.3699999999999992</v>
      </c>
      <c r="T264" s="2">
        <f>IF('ROS Rankings'!$AD$1,IFERROR(AVERAGE(INDEX($C264:$S264,14):INDEX($C264:$S264,17)),0),IFERROR(AVERAGE(INDEX($C264:$S264,Week+1):INDEX($C264:$S264,13)),0))</f>
        <v>7.8785714285714281</v>
      </c>
      <c r="U264" s="2" t="str">
        <f t="shared" si="42"/>
        <v/>
      </c>
      <c r="V264" s="2" t="str">
        <f t="shared" si="42"/>
        <v/>
      </c>
      <c r="W264" s="2">
        <f t="shared" si="42"/>
        <v>7.8785714285714281</v>
      </c>
      <c r="X264" s="2" t="str">
        <f t="shared" si="42"/>
        <v/>
      </c>
      <c r="Y264" s="2" t="str">
        <f t="shared" si="42"/>
        <v/>
      </c>
      <c r="Z264" s="2" t="str">
        <f t="shared" si="42"/>
        <v/>
      </c>
      <c r="AA264" s="23" t="str">
        <f t="shared" si="36"/>
        <v>WR40</v>
      </c>
      <c r="AB264" s="2">
        <f>$T264-VLOOKUP($B264,Scores!$AG$1:$AM$7,5,FALSE)</f>
        <v>-2.492857142857142</v>
      </c>
      <c r="AC264" s="2">
        <f>$T264-VLOOKUP($B264,Scores!$AG$1:$AM$7,6,FALSE)</f>
        <v>-0.15285714285714391</v>
      </c>
      <c r="AD264" s="2">
        <f>$T264-VLOOKUP($B264,Scores!$AG$1:$AM$7,7,FALSE)+(ROW(A263)/1000000)</f>
        <v>1.8259772857142855</v>
      </c>
      <c r="AE264" s="2">
        <f t="array" ref="AE264">IF('ROS Rankings'!$AD$1,IFERROR(AVERAGE(IF(INDEX($C264:$S264,14):INDEX($C264:$S264,17)="NA",0,INDEX($C264:$S264,14):INDEX($C264:$S264,17))-INDEX($AQ$2:$BG$7,MATCH($B264,$AO$2:$AO$7,0),14):INDEX($AQ$2:$BG$7,MATCH($B264,$AO$2:$AO$7,0),17)),0),IFERROR(AVERAGE(IF(INDEX($C264:$S264,Week+1):INDEX($C264:$S264,13)="NA",0,INDEX($C264:$S264,Week+1):INDEX($C264:$S264,13))-INDEX($AQ$2:$BG$7,MATCH($B264,$AO$2:$AO$7,0),Week+1):INDEX($AQ$2:$BG$7,MATCH($B264,$AO$2:$AO$7,0),13)),0))+ROW(A263)/1000000</f>
        <v>1.5377629999999998</v>
      </c>
      <c r="AF264">
        <f t="shared" si="37"/>
        <v>151</v>
      </c>
      <c r="AG264">
        <f t="shared" si="38"/>
        <v>116</v>
      </c>
      <c r="AH264">
        <f t="shared" si="39"/>
        <v>77</v>
      </c>
      <c r="AI264">
        <f t="shared" si="40"/>
        <v>75</v>
      </c>
      <c r="AJ264" s="22" t="str">
        <f>IF(ISERROR(MATCH(A264,Rosters!$B$2:$B$155,0)),AD264,"")</f>
        <v/>
      </c>
      <c r="AK264" t="str">
        <f t="shared" si="41"/>
        <v/>
      </c>
      <c r="AL264" s="23">
        <f>COUNTIF(INDEX($C264:$S264,Week+1):INDEX($C264:$S264,13),"&gt;0")</f>
        <v>7</v>
      </c>
    </row>
    <row r="265" spans="1:38" x14ac:dyDescent="0.25">
      <c r="A265" t="s">
        <v>287</v>
      </c>
      <c r="B265" t="s">
        <v>114</v>
      </c>
      <c r="C265">
        <v>1.67</v>
      </c>
      <c r="D265">
        <v>1.59</v>
      </c>
      <c r="E265">
        <v>1.39</v>
      </c>
      <c r="F265">
        <v>2.68</v>
      </c>
      <c r="G265">
        <v>2.0499999999999998</v>
      </c>
      <c r="H265" t="s">
        <v>64</v>
      </c>
      <c r="I265">
        <v>1.54</v>
      </c>
      <c r="J265">
        <v>1.3</v>
      </c>
      <c r="K265">
        <v>2.29</v>
      </c>
      <c r="L265">
        <v>2.06</v>
      </c>
      <c r="M265">
        <v>1.72</v>
      </c>
      <c r="N265">
        <v>2.14</v>
      </c>
      <c r="O265">
        <v>2.09</v>
      </c>
      <c r="P265">
        <v>2.0499999999999998</v>
      </c>
      <c r="Q265">
        <v>1.64</v>
      </c>
      <c r="R265">
        <v>2.4</v>
      </c>
      <c r="S265">
        <v>1.72</v>
      </c>
      <c r="T265" s="2">
        <f>IF('ROS Rankings'!$AD$1,IFERROR(AVERAGE(INDEX($C265:$S265,14):INDEX($C265:$S265,17)),0),IFERROR(AVERAGE(INDEX($C265:$S265,Week+1):INDEX($C265:$S265,13)),0))</f>
        <v>1.8771428571428572</v>
      </c>
      <c r="U265" s="2" t="str">
        <f t="shared" si="42"/>
        <v/>
      </c>
      <c r="V265" s="2" t="str">
        <f t="shared" si="42"/>
        <v/>
      </c>
      <c r="W265" s="2" t="str">
        <f t="shared" si="42"/>
        <v/>
      </c>
      <c r="X265" s="2">
        <f t="shared" si="42"/>
        <v>1.8771428571428572</v>
      </c>
      <c r="Y265" s="2" t="str">
        <f t="shared" si="42"/>
        <v/>
      </c>
      <c r="Z265" s="2" t="str">
        <f t="shared" si="42"/>
        <v/>
      </c>
      <c r="AA265" s="23" t="str">
        <f t="shared" si="36"/>
        <v>TE54</v>
      </c>
      <c r="AB265" s="2">
        <f>$T265-VLOOKUP($B265,Scores!$AG$1:$AM$7,5,FALSE)</f>
        <v>-5.1216071428571421</v>
      </c>
      <c r="AC265" s="2">
        <f>$T265-VLOOKUP($B265,Scores!$AG$1:$AM$7,6,FALSE)</f>
        <v>-3.3728571428571428</v>
      </c>
      <c r="AD265" s="2">
        <f>$T265-VLOOKUP($B265,Scores!$AG$1:$AM$7,7,FALSE)+(ROW(A264)/1000000)</f>
        <v>-3.3025931428571424</v>
      </c>
      <c r="AE265" s="2">
        <f t="array" ref="AE265">IF('ROS Rankings'!$AD$1,IFERROR(AVERAGE(IF(INDEX($C265:$S265,14):INDEX($C265:$S265,17)="NA",0,INDEX($C265:$S265,14):INDEX($C265:$S265,17))-INDEX($AQ$2:$BG$7,MATCH($B265,$AO$2:$AO$7,0),14):INDEX($AQ$2:$BG$7,MATCH($B265,$AO$2:$AO$7,0),17)),0),IFERROR(AVERAGE(IF(INDEX($C265:$S265,Week+1):INDEX($C265:$S265,13)="NA",0,INDEX($C265:$S265,Week+1):INDEX($C265:$S265,13))-INDEX($AQ$2:$BG$7,MATCH($B265,$AO$2:$AO$7,0),Week+1):INDEX($AQ$2:$BG$7,MATCH($B265,$AO$2:$AO$7,0),13)),0))+ROW(A264)/1000000</f>
        <v>-3.4547359999999996</v>
      </c>
      <c r="AF265">
        <f t="shared" si="37"/>
        <v>240</v>
      </c>
      <c r="AG265">
        <f t="shared" si="38"/>
        <v>263</v>
      </c>
      <c r="AH265">
        <f t="shared" si="39"/>
        <v>316</v>
      </c>
      <c r="AI265">
        <f t="shared" si="40"/>
        <v>317</v>
      </c>
      <c r="AJ265" s="22">
        <f>IF(ISERROR(MATCH(A265,Rosters!$B$2:$B$155,0)),AD265,"")</f>
        <v>-3.3025931428571424</v>
      </c>
      <c r="AK265">
        <f t="shared" si="41"/>
        <v>166</v>
      </c>
      <c r="AL265" s="23">
        <f>COUNTIF(INDEX($C265:$S265,Week+1):INDEX($C265:$S265,13),"&gt;0")</f>
        <v>7</v>
      </c>
    </row>
    <row r="266" spans="1:38" x14ac:dyDescent="0.25">
      <c r="A266" t="s">
        <v>1631</v>
      </c>
      <c r="B266" t="s">
        <v>87</v>
      </c>
      <c r="C266">
        <v>0.44</v>
      </c>
      <c r="D266">
        <v>0.38</v>
      </c>
      <c r="E266">
        <v>0.2</v>
      </c>
      <c r="F266">
        <v>0.37</v>
      </c>
      <c r="G266">
        <v>1.01</v>
      </c>
      <c r="H266">
        <v>0.33</v>
      </c>
      <c r="I266">
        <v>0.39</v>
      </c>
      <c r="J266">
        <v>0.38</v>
      </c>
      <c r="K266" t="s">
        <v>64</v>
      </c>
      <c r="L266">
        <v>0.46</v>
      </c>
      <c r="M266">
        <v>0.25</v>
      </c>
      <c r="N266">
        <v>0.36</v>
      </c>
      <c r="O266">
        <v>0.36</v>
      </c>
      <c r="P266">
        <v>0.42</v>
      </c>
      <c r="Q266">
        <v>0.38</v>
      </c>
      <c r="R266">
        <v>0.36</v>
      </c>
      <c r="S266">
        <v>0.33</v>
      </c>
      <c r="T266" s="2">
        <f>IF('ROS Rankings'!$AD$1,IFERROR(AVERAGE(INDEX($C266:$S266,14):INDEX($C266:$S266,17)),0),IFERROR(AVERAGE(INDEX($C266:$S266,Week+1):INDEX($C266:$S266,13)),0))</f>
        <v>0.36142857142857138</v>
      </c>
      <c r="U266" s="2" t="str">
        <f t="shared" si="42"/>
        <v/>
      </c>
      <c r="V266" s="2" t="str">
        <f t="shared" si="42"/>
        <v/>
      </c>
      <c r="W266" s="2">
        <f t="shared" si="42"/>
        <v>0.36142857142857138</v>
      </c>
      <c r="X266" s="2" t="str">
        <f t="shared" si="42"/>
        <v/>
      </c>
      <c r="Y266" s="2" t="str">
        <f t="shared" si="42"/>
        <v/>
      </c>
      <c r="Z266" s="2" t="str">
        <f t="shared" si="42"/>
        <v/>
      </c>
      <c r="AA266" s="23" t="str">
        <f t="shared" si="36"/>
        <v>WR175</v>
      </c>
      <c r="AB266" s="2">
        <f>$T266-VLOOKUP($B266,Scores!$AG$1:$AM$7,5,FALSE)</f>
        <v>-10.009999999999998</v>
      </c>
      <c r="AC266" s="2">
        <f>$T266-VLOOKUP($B266,Scores!$AG$1:$AM$7,6,FALSE)</f>
        <v>-7.6700000000000008</v>
      </c>
      <c r="AD266" s="2">
        <f>$T266-VLOOKUP($B266,Scores!$AG$1:$AM$7,7,FALSE)+(ROW(A265)/1000000)</f>
        <v>-5.6911635714285715</v>
      </c>
      <c r="AE266" s="2">
        <f t="array" ref="AE266">IF('ROS Rankings'!$AD$1,IFERROR(AVERAGE(IF(INDEX($C266:$S266,14):INDEX($C266:$S266,17)="NA",0,INDEX($C266:$S266,14):INDEX($C266:$S266,17))-INDEX($AQ$2:$BG$7,MATCH($B266,$AO$2:$AO$7,0),14):INDEX($AQ$2:$BG$7,MATCH($B266,$AO$2:$AO$7,0),17)),0),IFERROR(AVERAGE(IF(INDEX($C266:$S266,Week+1):INDEX($C266:$S266,13)="NA",0,INDEX($C266:$S266,Week+1):INDEX($C266:$S266,13))-INDEX($AQ$2:$BG$7,MATCH($B266,$AO$2:$AO$7,0),Week+1):INDEX($AQ$2:$BG$7,MATCH($B266,$AO$2:$AO$7,0),13)),0))+ROW(A265)/1000000</f>
        <v>-5.0397350000000003</v>
      </c>
      <c r="AF266">
        <f t="shared" si="37"/>
        <v>455</v>
      </c>
      <c r="AG266">
        <f t="shared" si="38"/>
        <v>478</v>
      </c>
      <c r="AH266">
        <f t="shared" si="39"/>
        <v>507</v>
      </c>
      <c r="AI266">
        <f t="shared" si="40"/>
        <v>493</v>
      </c>
      <c r="AJ266" s="22">
        <f>IF(ISERROR(MATCH(A266,Rosters!$B$2:$B$155,0)),AD266,"")</f>
        <v>-5.6911635714285715</v>
      </c>
      <c r="AK266">
        <f t="shared" si="41"/>
        <v>355</v>
      </c>
      <c r="AL266" s="23">
        <f>COUNTIF(INDEX($C266:$S266,Week+1):INDEX($C266:$S266,13),"&gt;0")</f>
        <v>7</v>
      </c>
    </row>
    <row r="267" spans="1:38" x14ac:dyDescent="0.25">
      <c r="A267" t="s">
        <v>88</v>
      </c>
      <c r="B267" t="s">
        <v>15</v>
      </c>
      <c r="C267">
        <v>0.97</v>
      </c>
      <c r="D267">
        <v>0.99</v>
      </c>
      <c r="E267">
        <v>1.05</v>
      </c>
      <c r="F267">
        <v>0.7</v>
      </c>
      <c r="G267">
        <v>0.91</v>
      </c>
      <c r="H267">
        <v>1.1599999999999999</v>
      </c>
      <c r="I267">
        <v>0.98</v>
      </c>
      <c r="J267">
        <v>0.82</v>
      </c>
      <c r="K267">
        <v>1.1100000000000001</v>
      </c>
      <c r="L267">
        <v>0.98</v>
      </c>
      <c r="M267" t="s">
        <v>64</v>
      </c>
      <c r="N267">
        <v>1.17</v>
      </c>
      <c r="O267">
        <v>1.05</v>
      </c>
      <c r="P267">
        <v>0.94</v>
      </c>
      <c r="Q267">
        <v>1.1299999999999999</v>
      </c>
      <c r="R267">
        <v>1.18</v>
      </c>
      <c r="S267">
        <v>1.1000000000000001</v>
      </c>
      <c r="T267" s="2">
        <f>IF('ROS Rankings'!$AD$1,IFERROR(AVERAGE(INDEX($C267:$S267,14):INDEX($C267:$S267,17)),0),IFERROR(AVERAGE(INDEX($C267:$S267,Week+1):INDEX($C267:$S267,13)),0))</f>
        <v>1.0385714285714285</v>
      </c>
      <c r="U267" s="2">
        <f t="shared" si="42"/>
        <v>1.0385714285714285</v>
      </c>
      <c r="V267" s="2" t="str">
        <f t="shared" si="42"/>
        <v/>
      </c>
      <c r="W267" s="2" t="str">
        <f t="shared" si="42"/>
        <v/>
      </c>
      <c r="X267" s="2" t="str">
        <f t="shared" si="42"/>
        <v/>
      </c>
      <c r="Y267" s="2" t="str">
        <f t="shared" si="42"/>
        <v/>
      </c>
      <c r="Z267" s="2" t="str">
        <f t="shared" si="42"/>
        <v/>
      </c>
      <c r="AA267" s="23" t="str">
        <f t="shared" si="36"/>
        <v>QB40</v>
      </c>
      <c r="AB267" s="2">
        <f>$T267-VLOOKUP($B267,Scores!$AG$1:$AM$7,5,FALSE)</f>
        <v>-19.845714285714283</v>
      </c>
      <c r="AC267" s="2">
        <f>$T267-VLOOKUP($B267,Scores!$AG$1:$AM$7,6,FALSE)</f>
        <v>-18.865178571428569</v>
      </c>
      <c r="AD267" s="2">
        <f>$T267-VLOOKUP($B267,Scores!$AG$1:$AM$7,7,FALSE)+(ROW(A266)/1000000)</f>
        <v>-18.461162571428567</v>
      </c>
      <c r="AE267" s="2">
        <f t="array" ref="AE267">IF('ROS Rankings'!$AD$1,IFERROR(AVERAGE(IF(INDEX($C267:$S267,14):INDEX($C267:$S267,17)="NA",0,INDEX($C267:$S267,14):INDEX($C267:$S267,17))-INDEX($AQ$2:$BG$7,MATCH($B267,$AO$2:$AO$7,0),14):INDEX($AQ$2:$BG$7,MATCH($B267,$AO$2:$AO$7,0),17)),0),IFERROR(AVERAGE(IF(INDEX($C267:$S267,Week+1):INDEX($C267:$S267,13)="NA",0,INDEX($C267:$S267,Week+1):INDEX($C267:$S267,13))-INDEX($AQ$2:$BG$7,MATCH($B267,$AO$2:$AO$7,0),Week+1):INDEX($AQ$2:$BG$7,MATCH($B267,$AO$2:$AO$7,0),13)),0))+ROW(A266)/1000000</f>
        <v>-17.593484</v>
      </c>
      <c r="AF267">
        <f t="shared" si="37"/>
        <v>531</v>
      </c>
      <c r="AG267">
        <f t="shared" si="38"/>
        <v>531</v>
      </c>
      <c r="AH267">
        <f t="shared" si="39"/>
        <v>531</v>
      </c>
      <c r="AI267">
        <f t="shared" si="40"/>
        <v>531</v>
      </c>
      <c r="AJ267" s="22">
        <f>IF(ISERROR(MATCH(A267,Rosters!$B$2:$B$155,0)),AD267,"")</f>
        <v>-18.461162571428567</v>
      </c>
      <c r="AK267">
        <f t="shared" si="41"/>
        <v>378</v>
      </c>
      <c r="AL267" s="23">
        <f>COUNTIF(INDEX($C267:$S267,Week+1):INDEX($C267:$S267,13),"&gt;0")</f>
        <v>7</v>
      </c>
    </row>
    <row r="268" spans="1:38" x14ac:dyDescent="0.25">
      <c r="A268" t="s">
        <v>1593</v>
      </c>
      <c r="B268" t="s">
        <v>87</v>
      </c>
      <c r="C268">
        <v>0.52</v>
      </c>
      <c r="D268">
        <v>0.51</v>
      </c>
      <c r="E268">
        <v>0.47</v>
      </c>
      <c r="F268">
        <v>1.26</v>
      </c>
      <c r="G268">
        <v>1.2</v>
      </c>
      <c r="H268">
        <v>1.19</v>
      </c>
      <c r="I268">
        <v>1.43</v>
      </c>
      <c r="J268">
        <v>1.63</v>
      </c>
      <c r="K268">
        <v>1.41</v>
      </c>
      <c r="L268">
        <v>0.38</v>
      </c>
      <c r="M268">
        <v>0.39</v>
      </c>
      <c r="N268" t="s">
        <v>64</v>
      </c>
      <c r="O268">
        <v>0.39</v>
      </c>
      <c r="P268">
        <v>0.4</v>
      </c>
      <c r="Q268">
        <v>0.4</v>
      </c>
      <c r="R268">
        <v>0.41</v>
      </c>
      <c r="S268">
        <v>0.48</v>
      </c>
      <c r="T268" s="2">
        <f>IF('ROS Rankings'!$AD$1,IFERROR(AVERAGE(INDEX($C268:$S268,14):INDEX($C268:$S268,17)),0),IFERROR(AVERAGE(INDEX($C268:$S268,Week+1):INDEX($C268:$S268,13)),0))</f>
        <v>0.9742857142857142</v>
      </c>
      <c r="U268" s="2" t="str">
        <f t="shared" si="42"/>
        <v/>
      </c>
      <c r="V268" s="2" t="str">
        <f t="shared" si="42"/>
        <v/>
      </c>
      <c r="W268" s="2">
        <f t="shared" si="42"/>
        <v>0.9742857142857142</v>
      </c>
      <c r="X268" s="2" t="str">
        <f t="shared" si="42"/>
        <v/>
      </c>
      <c r="Y268" s="2" t="str">
        <f t="shared" si="42"/>
        <v/>
      </c>
      <c r="Z268" s="2" t="str">
        <f t="shared" si="42"/>
        <v/>
      </c>
      <c r="AA268" s="23" t="str">
        <f t="shared" si="36"/>
        <v>WR125</v>
      </c>
      <c r="AB268" s="2">
        <f>$T268-VLOOKUP($B268,Scores!$AG$1:$AM$7,5,FALSE)</f>
        <v>-9.3971428571428568</v>
      </c>
      <c r="AC268" s="2">
        <f>$T268-VLOOKUP($B268,Scores!$AG$1:$AM$7,6,FALSE)</f>
        <v>-7.0571428571428578</v>
      </c>
      <c r="AD268" s="2">
        <f>$T268-VLOOKUP($B268,Scores!$AG$1:$AM$7,7,FALSE)+(ROW(A267)/1000000)</f>
        <v>-5.0783044285714283</v>
      </c>
      <c r="AE268" s="2">
        <f t="array" ref="AE268">IF('ROS Rankings'!$AD$1,IFERROR(AVERAGE(IF(INDEX($C268:$S268,14):INDEX($C268:$S268,17)="NA",0,INDEX($C268:$S268,14):INDEX($C268:$S268,17))-INDEX($AQ$2:$BG$7,MATCH($B268,$AO$2:$AO$7,0),14):INDEX($AQ$2:$BG$7,MATCH($B268,$AO$2:$AO$7,0),17)),0),IFERROR(AVERAGE(IF(INDEX($C268:$S268,Week+1):INDEX($C268:$S268,13)="NA",0,INDEX($C268:$S268,Week+1):INDEX($C268:$S268,13))-INDEX($AQ$2:$BG$7,MATCH($B268,$AO$2:$AO$7,0),Week+1):INDEX($AQ$2:$BG$7,MATCH($B268,$AO$2:$AO$7,0),13)),0))+ROW(A267)/1000000</f>
        <v>-4.5034830000000001</v>
      </c>
      <c r="AF268">
        <f t="shared" si="37"/>
        <v>400</v>
      </c>
      <c r="AG268">
        <f t="shared" si="38"/>
        <v>409</v>
      </c>
      <c r="AH268">
        <f t="shared" si="39"/>
        <v>411</v>
      </c>
      <c r="AI268">
        <f t="shared" si="40"/>
        <v>375</v>
      </c>
      <c r="AJ268" s="22">
        <f>IF(ISERROR(MATCH(A268,Rosters!$B$2:$B$155,0)),AD268,"")</f>
        <v>-5.0783044285714283</v>
      </c>
      <c r="AK268">
        <f t="shared" si="41"/>
        <v>259</v>
      </c>
      <c r="AL268" s="23">
        <f>COUNTIF(INDEX($C268:$S268,Week+1):INDEX($C268:$S268,13),"&gt;0")</f>
        <v>7</v>
      </c>
    </row>
    <row r="269" spans="1:38" x14ac:dyDescent="0.25">
      <c r="A269" t="s">
        <v>1506</v>
      </c>
      <c r="B269" t="s">
        <v>15</v>
      </c>
      <c r="C269">
        <v>1.72</v>
      </c>
      <c r="D269">
        <v>1.54</v>
      </c>
      <c r="E269">
        <v>0.81</v>
      </c>
      <c r="F269">
        <v>12.06</v>
      </c>
      <c r="G269">
        <v>14.43</v>
      </c>
      <c r="H269">
        <v>13.14</v>
      </c>
      <c r="I269">
        <v>13.75</v>
      </c>
      <c r="J269">
        <v>15.24</v>
      </c>
      <c r="K269" t="s">
        <v>64</v>
      </c>
      <c r="L269">
        <v>14.6</v>
      </c>
      <c r="M269">
        <v>16.760000000000002</v>
      </c>
      <c r="N269">
        <v>12.9</v>
      </c>
      <c r="O269">
        <v>14.87</v>
      </c>
      <c r="P269">
        <v>15.13</v>
      </c>
      <c r="Q269">
        <v>14.31</v>
      </c>
      <c r="R269">
        <v>14.19</v>
      </c>
      <c r="S269">
        <v>12.39</v>
      </c>
      <c r="T269" s="2">
        <f>IF('ROS Rankings'!$AD$1,IFERROR(AVERAGE(INDEX($C269:$S269,14):INDEX($C269:$S269,17)),0),IFERROR(AVERAGE(INDEX($C269:$S269,Week+1):INDEX($C269:$S269,13)),0))</f>
        <v>14.465714285714288</v>
      </c>
      <c r="U269" s="2">
        <f t="shared" si="42"/>
        <v>14.465714285714288</v>
      </c>
      <c r="V269" s="2" t="str">
        <f t="shared" si="42"/>
        <v/>
      </c>
      <c r="W269" s="2" t="str">
        <f t="shared" si="42"/>
        <v/>
      </c>
      <c r="X269" s="2" t="str">
        <f t="shared" si="42"/>
        <v/>
      </c>
      <c r="Y269" s="2" t="str">
        <f t="shared" si="42"/>
        <v/>
      </c>
      <c r="Z269" s="2" t="str">
        <f t="shared" si="42"/>
        <v/>
      </c>
      <c r="AA269" s="23" t="str">
        <f t="shared" si="36"/>
        <v>QB29</v>
      </c>
      <c r="AB269" s="2">
        <f>$T269-VLOOKUP($B269,Scores!$AG$1:$AM$7,5,FALSE)</f>
        <v>-6.4185714285714255</v>
      </c>
      <c r="AC269" s="2">
        <f>$T269-VLOOKUP($B269,Scores!$AG$1:$AM$7,6,FALSE)</f>
        <v>-5.4380357142857108</v>
      </c>
      <c r="AD269" s="2">
        <f>$T269-VLOOKUP($B269,Scores!$AG$1:$AM$7,7,FALSE)+(ROW(A268)/1000000)</f>
        <v>-5.0340177142857083</v>
      </c>
      <c r="AE269" s="2">
        <f t="array" ref="AE269">IF('ROS Rankings'!$AD$1,IFERROR(AVERAGE(IF(INDEX($C269:$S269,14):INDEX($C269:$S269,17)="NA",0,INDEX($C269:$S269,14):INDEX($C269:$S269,17))-INDEX($AQ$2:$BG$7,MATCH($B269,$AO$2:$AO$7,0),14):INDEX($AQ$2:$BG$7,MATCH($B269,$AO$2:$AO$7,0),17)),0),IFERROR(AVERAGE(IF(INDEX($C269:$S269,Week+1):INDEX($C269:$S269,13)="NA",0,INDEX($C269:$S269,Week+1):INDEX($C269:$S269,13))-INDEX($AQ$2:$BG$7,MATCH($B269,$AO$2:$AO$7,0),Week+1):INDEX($AQ$2:$BG$7,MATCH($B269,$AO$2:$AO$7,0),13)),0))+ROW(A268)/1000000</f>
        <v>-5.8447320000000005</v>
      </c>
      <c r="AF269">
        <f t="shared" si="37"/>
        <v>303</v>
      </c>
      <c r="AG269">
        <f t="shared" si="38"/>
        <v>375</v>
      </c>
      <c r="AH269">
        <f t="shared" si="39"/>
        <v>407</v>
      </c>
      <c r="AI269">
        <f t="shared" si="40"/>
        <v>518</v>
      </c>
      <c r="AJ269" s="22">
        <f>IF(ISERROR(MATCH(A269,Rosters!$B$2:$B$155,0)),AD269,"")</f>
        <v>-5.0340177142857083</v>
      </c>
      <c r="AK269">
        <f t="shared" si="41"/>
        <v>255</v>
      </c>
      <c r="AL269" s="23">
        <f>COUNTIF(INDEX($C269:$S269,Week+1):INDEX($C269:$S269,13),"&gt;0")</f>
        <v>7</v>
      </c>
    </row>
    <row r="270" spans="1:38" x14ac:dyDescent="0.25">
      <c r="A270" t="s">
        <v>4252</v>
      </c>
      <c r="B270" t="s">
        <v>114</v>
      </c>
      <c r="C270" t="s">
        <v>64</v>
      </c>
      <c r="D270" t="s">
        <v>64</v>
      </c>
      <c r="E270">
        <v>0.52</v>
      </c>
      <c r="F270">
        <v>0.39</v>
      </c>
      <c r="G270">
        <v>0.46</v>
      </c>
      <c r="H270">
        <v>0.46</v>
      </c>
      <c r="I270">
        <v>0.45</v>
      </c>
      <c r="J270">
        <v>0.34</v>
      </c>
      <c r="K270" t="s">
        <v>64</v>
      </c>
      <c r="L270">
        <v>0.53</v>
      </c>
      <c r="M270">
        <v>0.52</v>
      </c>
      <c r="N270">
        <v>0.48</v>
      </c>
      <c r="O270">
        <v>0.46</v>
      </c>
      <c r="P270">
        <v>0.51</v>
      </c>
      <c r="Q270">
        <v>0.45</v>
      </c>
      <c r="R270">
        <v>0.5</v>
      </c>
      <c r="S270">
        <v>0.45</v>
      </c>
      <c r="T270" s="2">
        <f>IF('ROS Rankings'!$AD$1,IFERROR(AVERAGE(INDEX($C270:$S270,14):INDEX($C270:$S270,17)),0),IFERROR(AVERAGE(INDEX($C270:$S270,Week+1):INDEX($C270:$S270,13)),0))</f>
        <v>0.4628571428571428</v>
      </c>
      <c r="U270" s="2" t="str">
        <f t="shared" si="42"/>
        <v/>
      </c>
      <c r="V270" s="2" t="str">
        <f t="shared" si="42"/>
        <v/>
      </c>
      <c r="W270" s="2" t="str">
        <f t="shared" si="42"/>
        <v/>
      </c>
      <c r="X270" s="2">
        <f t="shared" si="42"/>
        <v>0.4628571428571428</v>
      </c>
      <c r="Y270" s="2" t="str">
        <f t="shared" si="42"/>
        <v/>
      </c>
      <c r="Z270" s="2" t="str">
        <f t="shared" si="42"/>
        <v/>
      </c>
      <c r="AA270" s="23" t="str">
        <f t="shared" si="36"/>
        <v>TE91</v>
      </c>
      <c r="AB270" s="2">
        <f>$T270-VLOOKUP($B270,Scores!$AG$1:$AM$7,5,FALSE)</f>
        <v>-6.5358928571428567</v>
      </c>
      <c r="AC270" s="2">
        <f>$T270-VLOOKUP($B270,Scores!$AG$1:$AM$7,6,FALSE)</f>
        <v>-4.7871428571428574</v>
      </c>
      <c r="AD270" s="2">
        <f>$T270-VLOOKUP($B270,Scores!$AG$1:$AM$7,7,FALSE)+(ROW(A269)/1000000)</f>
        <v>-4.7168738571428568</v>
      </c>
      <c r="AE270" s="2">
        <f t="array" ref="AE270">IF('ROS Rankings'!$AD$1,IFERROR(AVERAGE(IF(INDEX($C270:$S270,14):INDEX($C270:$S270,17)="NA",0,INDEX($C270:$S270,14):INDEX($C270:$S270,17))-INDEX($AQ$2:$BG$7,MATCH($B270,$AO$2:$AO$7,0),14):INDEX($AQ$2:$BG$7,MATCH($B270,$AO$2:$AO$7,0),17)),0),IFERROR(AVERAGE(IF(INDEX($C270:$S270,Week+1):INDEX($C270:$S270,13)="NA",0,INDEX($C270:$S270,Week+1):INDEX($C270:$S270,13))-INDEX($AQ$2:$BG$7,MATCH($B270,$AO$2:$AO$7,0),Week+1):INDEX($AQ$2:$BG$7,MATCH($B270,$AO$2:$AO$7,0),13)),0))+ROW(A269)/1000000</f>
        <v>-4.6922309999999996</v>
      </c>
      <c r="AF270">
        <f t="shared" si="37"/>
        <v>323</v>
      </c>
      <c r="AG270">
        <f t="shared" si="38"/>
        <v>339</v>
      </c>
      <c r="AH270">
        <f t="shared" si="39"/>
        <v>384</v>
      </c>
      <c r="AI270">
        <f t="shared" si="40"/>
        <v>404</v>
      </c>
      <c r="AJ270" s="22">
        <f>IF(ISERROR(MATCH(A270,Rosters!$B$2:$B$155,0)),AD270,"")</f>
        <v>-4.7168738571428568</v>
      </c>
      <c r="AK270">
        <f t="shared" si="41"/>
        <v>232</v>
      </c>
      <c r="AL270" s="23">
        <f>COUNTIF(INDEX($C270:$S270,Week+1):INDEX($C270:$S270,13),"&gt;0")</f>
        <v>7</v>
      </c>
    </row>
    <row r="271" spans="1:38" x14ac:dyDescent="0.25">
      <c r="A271" t="s">
        <v>1105</v>
      </c>
      <c r="B271" t="s">
        <v>87</v>
      </c>
      <c r="C271">
        <v>6.82</v>
      </c>
      <c r="D271">
        <v>9.1</v>
      </c>
      <c r="E271">
        <v>10.3</v>
      </c>
      <c r="F271">
        <v>10.4</v>
      </c>
      <c r="G271">
        <v>11.35</v>
      </c>
      <c r="H271">
        <v>10.91</v>
      </c>
      <c r="I271" t="s">
        <v>64</v>
      </c>
      <c r="J271">
        <v>12.21</v>
      </c>
      <c r="K271">
        <v>12.95</v>
      </c>
      <c r="L271">
        <v>10.88</v>
      </c>
      <c r="M271">
        <v>12.67</v>
      </c>
      <c r="N271">
        <v>13.18</v>
      </c>
      <c r="O271">
        <v>9.89</v>
      </c>
      <c r="P271">
        <v>13.01</v>
      </c>
      <c r="Q271">
        <v>10.49</v>
      </c>
      <c r="R271">
        <v>11.09</v>
      </c>
      <c r="S271">
        <v>10.68</v>
      </c>
      <c r="T271" s="2">
        <f>IF('ROS Rankings'!$AD$1,IFERROR(AVERAGE(INDEX($C271:$S271,14):INDEX($C271:$S271,17)),0),IFERROR(AVERAGE(INDEX($C271:$S271,Week+1):INDEX($C271:$S271,13)),0))</f>
        <v>11.812857142857144</v>
      </c>
      <c r="U271" s="2" t="str">
        <f t="shared" si="42"/>
        <v/>
      </c>
      <c r="V271" s="2" t="str">
        <f t="shared" si="42"/>
        <v/>
      </c>
      <c r="W271" s="2">
        <f t="shared" si="42"/>
        <v>11.812857142857144</v>
      </c>
      <c r="X271" s="2" t="str">
        <f t="shared" si="42"/>
        <v/>
      </c>
      <c r="Y271" s="2" t="str">
        <f t="shared" si="42"/>
        <v/>
      </c>
      <c r="Z271" s="2" t="str">
        <f t="shared" si="42"/>
        <v/>
      </c>
      <c r="AA271" s="23" t="str">
        <f t="shared" si="36"/>
        <v>WR9</v>
      </c>
      <c r="AB271" s="2">
        <f>$T271-VLOOKUP($B271,Scores!$AG$1:$AM$7,5,FALSE)</f>
        <v>1.4414285714285739</v>
      </c>
      <c r="AC271" s="2">
        <f>$T271-VLOOKUP($B271,Scores!$AG$1:$AM$7,6,FALSE)</f>
        <v>3.781428571428572</v>
      </c>
      <c r="AD271" s="2">
        <f>$T271-VLOOKUP($B271,Scores!$AG$1:$AM$7,7,FALSE)+(ROW(A270)/1000000)</f>
        <v>5.760270000000002</v>
      </c>
      <c r="AE271" s="2">
        <f t="array" ref="AE271">IF('ROS Rankings'!$AD$1,IFERROR(AVERAGE(IF(INDEX($C271:$S271,14):INDEX($C271:$S271,17)="NA",0,INDEX($C271:$S271,14):INDEX($C271:$S271,17))-INDEX($AQ$2:$BG$7,MATCH($B271,$AO$2:$AO$7,0),14):INDEX($AQ$2:$BG$7,MATCH($B271,$AO$2:$AO$7,0),17)),0),IFERROR(AVERAGE(IF(INDEX($C271:$S271,Week+1):INDEX($C271:$S271,13)="NA",0,INDEX($C271:$S271,Week+1):INDEX($C271:$S271,13))-INDEX($AQ$2:$BG$7,MATCH($B271,$AO$2:$AO$7,0),Week+1):INDEX($AQ$2:$BG$7,MATCH($B271,$AO$2:$AO$7,0),13)),0))+ROW(A270)/1000000</f>
        <v>4.9802700000000009</v>
      </c>
      <c r="AF271">
        <f t="shared" si="37"/>
        <v>21</v>
      </c>
      <c r="AG271">
        <f t="shared" si="38"/>
        <v>23</v>
      </c>
      <c r="AH271">
        <f t="shared" si="39"/>
        <v>22</v>
      </c>
      <c r="AI271">
        <f t="shared" si="40"/>
        <v>22</v>
      </c>
      <c r="AJ271" s="22" t="str">
        <f>IF(ISERROR(MATCH(A271,Rosters!$B$2:$B$155,0)),AD271,"")</f>
        <v/>
      </c>
      <c r="AK271" t="str">
        <f t="shared" si="41"/>
        <v/>
      </c>
      <c r="AL271" s="23">
        <f>COUNTIF(INDEX($C271:$S271,Week+1):INDEX($C271:$S271,13),"&gt;0")</f>
        <v>7</v>
      </c>
    </row>
    <row r="272" spans="1:38" x14ac:dyDescent="0.25">
      <c r="A272" t="s">
        <v>1330</v>
      </c>
      <c r="B272" t="s">
        <v>87</v>
      </c>
      <c r="C272">
        <v>0</v>
      </c>
      <c r="D272">
        <v>0</v>
      </c>
      <c r="E272">
        <v>0</v>
      </c>
      <c r="F272">
        <v>0</v>
      </c>
      <c r="G272">
        <v>9.81</v>
      </c>
      <c r="H272">
        <v>10.32</v>
      </c>
      <c r="I272">
        <v>10.039999999999999</v>
      </c>
      <c r="J272">
        <v>8.0399999999999991</v>
      </c>
      <c r="K272">
        <v>9.7799999999999994</v>
      </c>
      <c r="L272">
        <v>8.06</v>
      </c>
      <c r="M272" t="s">
        <v>64</v>
      </c>
      <c r="N272">
        <v>9.61</v>
      </c>
      <c r="O272">
        <v>10.08</v>
      </c>
      <c r="P272">
        <v>8.9600000000000009</v>
      </c>
      <c r="Q272">
        <v>8.76</v>
      </c>
      <c r="R272">
        <v>8.2799999999999994</v>
      </c>
      <c r="S272">
        <v>9.85</v>
      </c>
      <c r="T272" s="2">
        <f>IF('ROS Rankings'!$AD$1,IFERROR(AVERAGE(INDEX($C272:$S272,14):INDEX($C272:$S272,17)),0),IFERROR(AVERAGE(INDEX($C272:$S272,Week+1):INDEX($C272:$S272,13)),0))</f>
        <v>9.418571428571429</v>
      </c>
      <c r="U272" s="2" t="str">
        <f t="shared" si="42"/>
        <v/>
      </c>
      <c r="V272" s="2" t="str">
        <f t="shared" si="42"/>
        <v/>
      </c>
      <c r="W272" s="2">
        <f t="shared" si="42"/>
        <v>9.418571428571429</v>
      </c>
      <c r="X272" s="2" t="str">
        <f t="shared" si="42"/>
        <v/>
      </c>
      <c r="Y272" s="2" t="str">
        <f t="shared" si="42"/>
        <v/>
      </c>
      <c r="Z272" s="2" t="str">
        <f t="shared" si="42"/>
        <v/>
      </c>
      <c r="AA272" s="23" t="str">
        <f t="shared" si="36"/>
        <v>WR21</v>
      </c>
      <c r="AB272" s="2">
        <f>$T272-VLOOKUP($B272,Scores!$AG$1:$AM$7,5,FALSE)</f>
        <v>-0.95285714285714107</v>
      </c>
      <c r="AC272" s="2">
        <f>$T272-VLOOKUP($B272,Scores!$AG$1:$AM$7,6,FALSE)</f>
        <v>1.387142857142857</v>
      </c>
      <c r="AD272" s="2">
        <f>$T272-VLOOKUP($B272,Scores!$AG$1:$AM$7,7,FALSE)+(ROW(A271)/1000000)</f>
        <v>3.3659852857142867</v>
      </c>
      <c r="AE272" s="2">
        <f t="array" ref="AE272">IF('ROS Rankings'!$AD$1,IFERROR(AVERAGE(IF(INDEX($C272:$S272,14):INDEX($C272:$S272,17)="NA",0,INDEX($C272:$S272,14):INDEX($C272:$S272,17))-INDEX($AQ$2:$BG$7,MATCH($B272,$AO$2:$AO$7,0),14):INDEX($AQ$2:$BG$7,MATCH($B272,$AO$2:$AO$7,0),17)),0),IFERROR(AVERAGE(IF(INDEX($C272:$S272,Week+1):INDEX($C272:$S272,13)="NA",0,INDEX($C272:$S272,Week+1):INDEX($C272:$S272,13))-INDEX($AQ$2:$BG$7,MATCH($B272,$AO$2:$AO$7,0),Week+1):INDEX($AQ$2:$BG$7,MATCH($B272,$AO$2:$AO$7,0),13)),0))+ROW(A271)/1000000</f>
        <v>2.8852709999999999</v>
      </c>
      <c r="AF272">
        <f t="shared" si="37"/>
        <v>88</v>
      </c>
      <c r="AG272">
        <f t="shared" si="38"/>
        <v>48</v>
      </c>
      <c r="AH272">
        <f t="shared" si="39"/>
        <v>43</v>
      </c>
      <c r="AI272">
        <f t="shared" si="40"/>
        <v>44</v>
      </c>
      <c r="AJ272" s="22" t="str">
        <f>IF(ISERROR(MATCH(A272,Rosters!$B$2:$B$155,0)),AD272,"")</f>
        <v/>
      </c>
      <c r="AK272" t="str">
        <f t="shared" si="41"/>
        <v/>
      </c>
      <c r="AL272" s="23">
        <f>COUNTIF(INDEX($C272:$S272,Week+1):INDEX($C272:$S272,13),"&gt;0")</f>
        <v>7</v>
      </c>
    </row>
    <row r="273" spans="1:38" x14ac:dyDescent="0.25">
      <c r="A273" t="s">
        <v>93</v>
      </c>
      <c r="B273" t="s">
        <v>87</v>
      </c>
      <c r="C273">
        <v>9.8699999999999992</v>
      </c>
      <c r="D273">
        <v>11.77</v>
      </c>
      <c r="E273">
        <v>14.27</v>
      </c>
      <c r="F273">
        <v>13.69</v>
      </c>
      <c r="G273">
        <v>14.17</v>
      </c>
      <c r="H273">
        <v>15.34</v>
      </c>
      <c r="I273">
        <v>13.96</v>
      </c>
      <c r="J273" t="s">
        <v>64</v>
      </c>
      <c r="K273">
        <v>13.63</v>
      </c>
      <c r="L273">
        <v>13.72</v>
      </c>
      <c r="M273">
        <v>14.6</v>
      </c>
      <c r="N273">
        <v>14.02</v>
      </c>
      <c r="O273">
        <v>11.71</v>
      </c>
      <c r="P273">
        <v>13.62</v>
      </c>
      <c r="Q273">
        <v>13.29</v>
      </c>
      <c r="R273">
        <v>12.18</v>
      </c>
      <c r="S273">
        <v>14.71</v>
      </c>
      <c r="T273" s="2">
        <f>IF('ROS Rankings'!$AD$1,IFERROR(AVERAGE(INDEX($C273:$S273,14):INDEX($C273:$S273,17)),0),IFERROR(AVERAGE(INDEX($C273:$S273,Week+1):INDEX($C273:$S273,13)),0))</f>
        <v>13.854285714285712</v>
      </c>
      <c r="U273" s="2" t="str">
        <f t="shared" si="42"/>
        <v/>
      </c>
      <c r="V273" s="2" t="str">
        <f t="shared" si="42"/>
        <v/>
      </c>
      <c r="W273" s="2">
        <f t="shared" si="42"/>
        <v>13.854285714285712</v>
      </c>
      <c r="X273" s="2" t="str">
        <f t="shared" si="42"/>
        <v/>
      </c>
      <c r="Y273" s="2" t="str">
        <f t="shared" si="42"/>
        <v/>
      </c>
      <c r="Z273" s="2" t="str">
        <f t="shared" si="42"/>
        <v/>
      </c>
      <c r="AA273" s="23" t="str">
        <f t="shared" si="36"/>
        <v>WR1</v>
      </c>
      <c r="AB273" s="2">
        <f>$T273-VLOOKUP($B273,Scores!$AG$1:$AM$7,5,FALSE)</f>
        <v>3.4828571428571422</v>
      </c>
      <c r="AC273" s="2">
        <f>$T273-VLOOKUP($B273,Scores!$AG$1:$AM$7,6,FALSE)</f>
        <v>5.8228571428571403</v>
      </c>
      <c r="AD273" s="2">
        <f>$T273-VLOOKUP($B273,Scores!$AG$1:$AM$7,7,FALSE)+(ROW(A272)/1000000)</f>
        <v>7.8017005714285697</v>
      </c>
      <c r="AE273" s="2">
        <f t="array" ref="AE273">IF('ROS Rankings'!$AD$1,IFERROR(AVERAGE(IF(INDEX($C273:$S273,14):INDEX($C273:$S273,17)="NA",0,INDEX($C273:$S273,14):INDEX($C273:$S273,17))-INDEX($AQ$2:$BG$7,MATCH($B273,$AO$2:$AO$7,0),14):INDEX($AQ$2:$BG$7,MATCH($B273,$AO$2:$AO$7,0),17)),0),IFERROR(AVERAGE(IF(INDEX($C273:$S273,Week+1):INDEX($C273:$S273,13)="NA",0,INDEX($C273:$S273,Week+1):INDEX($C273:$S273,13))-INDEX($AQ$2:$BG$7,MATCH($B273,$AO$2:$AO$7,0),Week+1):INDEX($AQ$2:$BG$7,MATCH($B273,$AO$2:$AO$7,0),13)),0))+ROW(A272)/1000000</f>
        <v>6.7665219999999993</v>
      </c>
      <c r="AF273">
        <f t="shared" si="37"/>
        <v>6</v>
      </c>
      <c r="AG273">
        <f t="shared" si="38"/>
        <v>6</v>
      </c>
      <c r="AH273">
        <f t="shared" si="39"/>
        <v>6</v>
      </c>
      <c r="AI273">
        <f t="shared" si="40"/>
        <v>8</v>
      </c>
      <c r="AJ273" s="22" t="str">
        <f>IF(ISERROR(MATCH(A273,Rosters!$B$2:$B$155,0)),AD273,"")</f>
        <v/>
      </c>
      <c r="AK273" t="str">
        <f t="shared" si="41"/>
        <v/>
      </c>
      <c r="AL273" s="23">
        <f>COUNTIF(INDEX($C273:$S273,Week+1):INDEX($C273:$S273,13),"&gt;0")</f>
        <v>7</v>
      </c>
    </row>
    <row r="274" spans="1:38" x14ac:dyDescent="0.25">
      <c r="A274" t="s">
        <v>1565</v>
      </c>
      <c r="B274" t="s">
        <v>47</v>
      </c>
      <c r="C274">
        <v>0.56000000000000005</v>
      </c>
      <c r="D274">
        <v>0.53</v>
      </c>
      <c r="E274">
        <v>0.48</v>
      </c>
      <c r="F274">
        <v>0.36</v>
      </c>
      <c r="G274">
        <v>0.54</v>
      </c>
      <c r="H274">
        <v>0.53</v>
      </c>
      <c r="I274">
        <v>0.49</v>
      </c>
      <c r="J274">
        <v>0.57999999999999996</v>
      </c>
      <c r="K274">
        <v>0.53</v>
      </c>
      <c r="L274">
        <v>0.57999999999999996</v>
      </c>
      <c r="M274">
        <v>0.66</v>
      </c>
      <c r="N274" t="s">
        <v>64</v>
      </c>
      <c r="O274">
        <v>0.56999999999999995</v>
      </c>
      <c r="P274">
        <v>0.47</v>
      </c>
      <c r="Q274">
        <v>0.47</v>
      </c>
      <c r="R274">
        <v>0.48</v>
      </c>
      <c r="S274">
        <v>0.52</v>
      </c>
      <c r="T274" s="2">
        <f>IF('ROS Rankings'!$AD$1,IFERROR(AVERAGE(INDEX($C274:$S274,14):INDEX($C274:$S274,17)),0),IFERROR(AVERAGE(INDEX($C274:$S274,Week+1):INDEX($C274:$S274,13)),0))</f>
        <v>0.56285714285714283</v>
      </c>
      <c r="U274" s="2" t="str">
        <f t="shared" si="42"/>
        <v/>
      </c>
      <c r="V274" s="2">
        <f t="shared" si="42"/>
        <v>0.56285714285714283</v>
      </c>
      <c r="W274" s="2" t="str">
        <f t="shared" si="42"/>
        <v/>
      </c>
      <c r="X274" s="2" t="str">
        <f t="shared" si="42"/>
        <v/>
      </c>
      <c r="Y274" s="2" t="str">
        <f t="shared" si="42"/>
        <v/>
      </c>
      <c r="Z274" s="2" t="str">
        <f t="shared" si="42"/>
        <v/>
      </c>
      <c r="AA274" s="23" t="str">
        <f t="shared" si="36"/>
        <v>RB105</v>
      </c>
      <c r="AB274" s="2">
        <f>$T274-VLOOKUP($B274,Scores!$AG$1:$AM$7,5,FALSE)</f>
        <v>-11.195714285714287</v>
      </c>
      <c r="AC274" s="2">
        <f>$T274-VLOOKUP($B274,Scores!$AG$1:$AM$7,6,FALSE)</f>
        <v>-7.7071428571428582</v>
      </c>
      <c r="AD274" s="2">
        <f>$T274-VLOOKUP($B274,Scores!$AG$1:$AM$7,7,FALSE)+(ROW(A273)/1000000)</f>
        <v>-5.3054412857142861</v>
      </c>
      <c r="AE274" s="2">
        <f t="array" ref="AE274">IF('ROS Rankings'!$AD$1,IFERROR(AVERAGE(IF(INDEX($C274:$S274,14):INDEX($C274:$S274,17)="NA",0,INDEX($C274:$S274,14):INDEX($C274:$S274,17))-INDEX($AQ$2:$BG$7,MATCH($B274,$AO$2:$AO$7,0),14):INDEX($AQ$2:$BG$7,MATCH($B274,$AO$2:$AO$7,0),17)),0),IFERROR(AVERAGE(IF(INDEX($C274:$S274,Week+1):INDEX($C274:$S274,13)="NA",0,INDEX($C274:$S274,Week+1):INDEX($C274:$S274,13))-INDEX($AQ$2:$BG$7,MATCH($B274,$AO$2:$AO$7,0),Week+1):INDEX($AQ$2:$BG$7,MATCH($B274,$AO$2:$AO$7,0),13)),0))+ROW(A273)/1000000</f>
        <v>-4.8672269999999997</v>
      </c>
      <c r="AF274">
        <f t="shared" si="37"/>
        <v>493</v>
      </c>
      <c r="AG274">
        <f t="shared" si="38"/>
        <v>484</v>
      </c>
      <c r="AH274">
        <f t="shared" si="39"/>
        <v>434</v>
      </c>
      <c r="AI274">
        <f t="shared" si="40"/>
        <v>463</v>
      </c>
      <c r="AJ274" s="22">
        <f>IF(ISERROR(MATCH(A274,Rosters!$B$2:$B$155,0)),AD274,"")</f>
        <v>-5.3054412857142861</v>
      </c>
      <c r="AK274">
        <f t="shared" si="41"/>
        <v>282</v>
      </c>
      <c r="AL274" s="23">
        <f>COUNTIF(INDEX($C274:$S274,Week+1):INDEX($C274:$S274,13),"&gt;0")</f>
        <v>7</v>
      </c>
    </row>
    <row r="275" spans="1:38" x14ac:dyDescent="0.25">
      <c r="A275" t="s">
        <v>253</v>
      </c>
      <c r="B275" t="s">
        <v>87</v>
      </c>
      <c r="C275">
        <v>2.66</v>
      </c>
      <c r="D275">
        <v>1.89</v>
      </c>
      <c r="E275">
        <v>0.72</v>
      </c>
      <c r="F275">
        <v>0.67</v>
      </c>
      <c r="G275">
        <v>0.67</v>
      </c>
      <c r="H275">
        <v>0.78</v>
      </c>
      <c r="I275">
        <v>0.75</v>
      </c>
      <c r="J275" t="s">
        <v>64</v>
      </c>
      <c r="K275">
        <v>0.69</v>
      </c>
      <c r="L275">
        <v>0.69</v>
      </c>
      <c r="M275">
        <v>0.74</v>
      </c>
      <c r="N275">
        <v>0.7</v>
      </c>
      <c r="O275">
        <v>0.6</v>
      </c>
      <c r="P275">
        <v>0.7</v>
      </c>
      <c r="Q275">
        <v>0.69</v>
      </c>
      <c r="R275">
        <v>0.62</v>
      </c>
      <c r="S275">
        <v>0.76</v>
      </c>
      <c r="T275" s="2">
        <f>IF('ROS Rankings'!$AD$1,IFERROR(AVERAGE(INDEX($C275:$S275,14):INDEX($C275:$S275,17)),0),IFERROR(AVERAGE(INDEX($C275:$S275,Week+1):INDEX($C275:$S275,13)),0))</f>
        <v>0.70714285714285707</v>
      </c>
      <c r="U275" s="2" t="str">
        <f t="shared" si="42"/>
        <v/>
      </c>
      <c r="V275" s="2" t="str">
        <f t="shared" si="42"/>
        <v/>
      </c>
      <c r="W275" s="2">
        <f t="shared" si="42"/>
        <v>0.70714285714285707</v>
      </c>
      <c r="X275" s="2" t="str">
        <f t="shared" si="42"/>
        <v/>
      </c>
      <c r="Y275" s="2" t="str">
        <f t="shared" si="42"/>
        <v/>
      </c>
      <c r="Z275" s="2" t="str">
        <f t="shared" si="42"/>
        <v/>
      </c>
      <c r="AA275" s="23" t="str">
        <f t="shared" si="36"/>
        <v>WR135</v>
      </c>
      <c r="AB275" s="2">
        <f>$T275-VLOOKUP($B275,Scores!$AG$1:$AM$7,5,FALSE)</f>
        <v>-9.6642857142857128</v>
      </c>
      <c r="AC275" s="2">
        <f>$T275-VLOOKUP($B275,Scores!$AG$1:$AM$7,6,FALSE)</f>
        <v>-7.3242857142857147</v>
      </c>
      <c r="AD275" s="2">
        <f>$T275-VLOOKUP($B275,Scores!$AG$1:$AM$7,7,FALSE)+(ROW(A274)/1000000)</f>
        <v>-5.3454402857142851</v>
      </c>
      <c r="AE275" s="2">
        <f t="array" ref="AE275">IF('ROS Rankings'!$AD$1,IFERROR(AVERAGE(IF(INDEX($C275:$S275,14):INDEX($C275:$S275,17)="NA",0,INDEX($C275:$S275,14):INDEX($C275:$S275,17))-INDEX($AQ$2:$BG$7,MATCH($B275,$AO$2:$AO$7,0),14):INDEX($AQ$2:$BG$7,MATCH($B275,$AO$2:$AO$7,0),17)),0),IFERROR(AVERAGE(IF(INDEX($C275:$S275,Week+1):INDEX($C275:$S275,13)="NA",0,INDEX($C275:$S275,Week+1):INDEX($C275:$S275,13))-INDEX($AQ$2:$BG$7,MATCH($B275,$AO$2:$AO$7,0),Week+1):INDEX($AQ$2:$BG$7,MATCH($B275,$AO$2:$AO$7,0),13)),0))+ROW(A274)/1000000</f>
        <v>-4.7372260000000006</v>
      </c>
      <c r="AF275">
        <f t="shared" si="37"/>
        <v>410</v>
      </c>
      <c r="AG275">
        <f t="shared" si="38"/>
        <v>425</v>
      </c>
      <c r="AH275">
        <f t="shared" si="39"/>
        <v>449</v>
      </c>
      <c r="AI275">
        <f t="shared" si="40"/>
        <v>418</v>
      </c>
      <c r="AJ275" s="22">
        <f>IF(ISERROR(MATCH(A275,Rosters!$B$2:$B$155,0)),AD275,"")</f>
        <v>-5.3454402857142851</v>
      </c>
      <c r="AK275">
        <f t="shared" si="41"/>
        <v>297</v>
      </c>
      <c r="AL275" s="23">
        <f>COUNTIF(INDEX($C275:$S275,Week+1):INDEX($C275:$S275,13),"&gt;0")</f>
        <v>7</v>
      </c>
    </row>
    <row r="276" spans="1:38" x14ac:dyDescent="0.25">
      <c r="A276" t="s">
        <v>327</v>
      </c>
      <c r="B276" t="s">
        <v>87</v>
      </c>
      <c r="C276">
        <v>0.46</v>
      </c>
      <c r="D276">
        <v>0</v>
      </c>
      <c r="E276">
        <v>0</v>
      </c>
      <c r="F276">
        <v>0</v>
      </c>
      <c r="G276">
        <v>1.58</v>
      </c>
      <c r="H276">
        <v>1.31</v>
      </c>
      <c r="I276" t="s">
        <v>64</v>
      </c>
      <c r="J276">
        <v>1.21</v>
      </c>
      <c r="K276">
        <v>1.17</v>
      </c>
      <c r="L276">
        <v>1.37</v>
      </c>
      <c r="M276">
        <v>1.2</v>
      </c>
      <c r="N276">
        <v>0.97</v>
      </c>
      <c r="O276">
        <v>1.29</v>
      </c>
      <c r="P276">
        <v>1.55</v>
      </c>
      <c r="Q276">
        <v>1.36</v>
      </c>
      <c r="R276">
        <v>1.1599999999999999</v>
      </c>
      <c r="S276">
        <v>1.33</v>
      </c>
      <c r="T276" s="2">
        <f>IF('ROS Rankings'!$AD$1,IFERROR(AVERAGE(INDEX($C276:$S276,14):INDEX($C276:$S276,17)),0),IFERROR(AVERAGE(INDEX($C276:$S276,Week+1):INDEX($C276:$S276,13)),0))</f>
        <v>1.2171428571428571</v>
      </c>
      <c r="U276" s="2" t="str">
        <f t="shared" si="42"/>
        <v/>
      </c>
      <c r="V276" s="2" t="str">
        <f t="shared" si="42"/>
        <v/>
      </c>
      <c r="W276" s="2">
        <f t="shared" si="42"/>
        <v>1.2171428571428571</v>
      </c>
      <c r="X276" s="2" t="str">
        <f t="shared" si="42"/>
        <v/>
      </c>
      <c r="Y276" s="2" t="str">
        <f t="shared" si="42"/>
        <v/>
      </c>
      <c r="Z276" s="2" t="str">
        <f t="shared" si="42"/>
        <v/>
      </c>
      <c r="AA276" s="23" t="str">
        <f t="shared" si="36"/>
        <v>WR121</v>
      </c>
      <c r="AB276" s="2">
        <f>$T276-VLOOKUP($B276,Scores!$AG$1:$AM$7,5,FALSE)</f>
        <v>-9.154285714285713</v>
      </c>
      <c r="AC276" s="2">
        <f>$T276-VLOOKUP($B276,Scores!$AG$1:$AM$7,6,FALSE)</f>
        <v>-6.8142857142857149</v>
      </c>
      <c r="AD276" s="2">
        <f>$T276-VLOOKUP($B276,Scores!$AG$1:$AM$7,7,FALSE)+(ROW(A275)/1000000)</f>
        <v>-4.8354392857142852</v>
      </c>
      <c r="AE276" s="2">
        <f t="array" ref="AE276">IF('ROS Rankings'!$AD$1,IFERROR(AVERAGE(IF(INDEX($C276:$S276,14):INDEX($C276:$S276,17)="NA",0,INDEX($C276:$S276,14):INDEX($C276:$S276,17))-INDEX($AQ$2:$BG$7,MATCH($B276,$AO$2:$AO$7,0),14):INDEX($AQ$2:$BG$7,MATCH($B276,$AO$2:$AO$7,0),17)),0),IFERROR(AVERAGE(IF(INDEX($C276:$S276,Week+1):INDEX($C276:$S276,13)="NA",0,INDEX($C276:$S276,Week+1):INDEX($C276:$S276,13))-INDEX($AQ$2:$BG$7,MATCH($B276,$AO$2:$AO$7,0),Week+1):INDEX($AQ$2:$BG$7,MATCH($B276,$AO$2:$AO$7,0),13)),0))+ROW(A275)/1000000</f>
        <v>-4.2909749999999995</v>
      </c>
      <c r="AF276">
        <f t="shared" si="37"/>
        <v>396</v>
      </c>
      <c r="AG276">
        <f t="shared" si="38"/>
        <v>400</v>
      </c>
      <c r="AH276">
        <f t="shared" si="39"/>
        <v>400</v>
      </c>
      <c r="AI276">
        <f t="shared" si="40"/>
        <v>362</v>
      </c>
      <c r="AJ276" s="22">
        <f>IF(ISERROR(MATCH(A276,Rosters!$B$2:$B$155,0)),AD276,"")</f>
        <v>-4.8354392857142852</v>
      </c>
      <c r="AK276">
        <f t="shared" si="41"/>
        <v>248</v>
      </c>
      <c r="AL276" s="23">
        <f>COUNTIF(INDEX($C276:$S276,Week+1):INDEX($C276:$S276,13),"&gt;0")</f>
        <v>7</v>
      </c>
    </row>
    <row r="277" spans="1:38" x14ac:dyDescent="0.25">
      <c r="A277" t="s">
        <v>1473</v>
      </c>
      <c r="B277" t="s">
        <v>47</v>
      </c>
      <c r="C277">
        <v>0</v>
      </c>
      <c r="D277">
        <v>0</v>
      </c>
      <c r="E277" t="s">
        <v>64</v>
      </c>
      <c r="F277">
        <v>0.78</v>
      </c>
      <c r="G277">
        <v>0.67</v>
      </c>
      <c r="H277">
        <v>0.5</v>
      </c>
      <c r="I277">
        <v>0.63</v>
      </c>
      <c r="J277" t="s">
        <v>64</v>
      </c>
      <c r="K277">
        <v>0.45</v>
      </c>
      <c r="L277">
        <v>0.63</v>
      </c>
      <c r="M277">
        <v>0.47</v>
      </c>
      <c r="N277">
        <v>0.51</v>
      </c>
      <c r="O277">
        <v>0.63</v>
      </c>
      <c r="P277">
        <v>0.68</v>
      </c>
      <c r="Q277">
        <v>0.65</v>
      </c>
      <c r="R277">
        <v>0.48</v>
      </c>
      <c r="S277">
        <v>0.44</v>
      </c>
      <c r="T277" s="2">
        <f>IF('ROS Rankings'!$AD$1,IFERROR(AVERAGE(INDEX($C277:$S277,14):INDEX($C277:$S277,17)),0),IFERROR(AVERAGE(INDEX($C277:$S277,Week+1):INDEX($C277:$S277,13)),0))</f>
        <v>0.5457142857142856</v>
      </c>
      <c r="U277" s="2" t="str">
        <f t="shared" si="42"/>
        <v/>
      </c>
      <c r="V277" s="2">
        <f t="shared" si="42"/>
        <v>0.5457142857142856</v>
      </c>
      <c r="W277" s="2" t="str">
        <f t="shared" si="42"/>
        <v/>
      </c>
      <c r="X277" s="2" t="str">
        <f t="shared" si="42"/>
        <v/>
      </c>
      <c r="Y277" s="2" t="str">
        <f t="shared" si="42"/>
        <v/>
      </c>
      <c r="Z277" s="2" t="str">
        <f t="shared" si="42"/>
        <v/>
      </c>
      <c r="AA277" s="23" t="str">
        <f t="shared" si="36"/>
        <v>RB112</v>
      </c>
      <c r="AB277" s="2">
        <f>$T277-VLOOKUP($B277,Scores!$AG$1:$AM$7,5,FALSE)</f>
        <v>-11.212857142857143</v>
      </c>
      <c r="AC277" s="2">
        <f>$T277-VLOOKUP($B277,Scores!$AG$1:$AM$7,6,FALSE)</f>
        <v>-7.724285714285716</v>
      </c>
      <c r="AD277" s="2">
        <f>$T277-VLOOKUP($B277,Scores!$AG$1:$AM$7,7,FALSE)+(ROW(A276)/1000000)</f>
        <v>-5.3225811428571435</v>
      </c>
      <c r="AE277" s="2">
        <f t="array" ref="AE277">IF('ROS Rankings'!$AD$1,IFERROR(AVERAGE(IF(INDEX($C277:$S277,14):INDEX($C277:$S277,17)="NA",0,INDEX($C277:$S277,14):INDEX($C277:$S277,17))-INDEX($AQ$2:$BG$7,MATCH($B277,$AO$2:$AO$7,0),14):INDEX($AQ$2:$BG$7,MATCH($B277,$AO$2:$AO$7,0),17)),0),IFERROR(AVERAGE(IF(INDEX($C277:$S277,Week+1):INDEX($C277:$S277,13)="NA",0,INDEX($C277:$S277,Week+1):INDEX($C277:$S277,13))-INDEX($AQ$2:$BG$7,MATCH($B277,$AO$2:$AO$7,0),Week+1):INDEX($AQ$2:$BG$7,MATCH($B277,$AO$2:$AO$7,0),13)),0))+ROW(A276)/1000000</f>
        <v>-4.8822239999999999</v>
      </c>
      <c r="AF277">
        <f t="shared" si="37"/>
        <v>499</v>
      </c>
      <c r="AG277">
        <f t="shared" si="38"/>
        <v>491</v>
      </c>
      <c r="AH277">
        <f t="shared" si="39"/>
        <v>441</v>
      </c>
      <c r="AI277">
        <f t="shared" si="40"/>
        <v>469</v>
      </c>
      <c r="AJ277" s="22">
        <f>IF(ISERROR(MATCH(A277,Rosters!$B$2:$B$155,0)),AD277,"")</f>
        <v>-5.3225811428571435</v>
      </c>
      <c r="AK277">
        <f t="shared" si="41"/>
        <v>289</v>
      </c>
      <c r="AL277" s="23">
        <f>COUNTIF(INDEX($C277:$S277,Week+1):INDEX($C277:$S277,13),"&gt;0")</f>
        <v>7</v>
      </c>
    </row>
    <row r="278" spans="1:38" x14ac:dyDescent="0.25">
      <c r="A278" t="s">
        <v>8834</v>
      </c>
      <c r="B278" t="s">
        <v>87</v>
      </c>
      <c r="C278" t="s">
        <v>64</v>
      </c>
      <c r="D278" t="s">
        <v>64</v>
      </c>
      <c r="E278" t="s">
        <v>64</v>
      </c>
      <c r="F278" t="s">
        <v>64</v>
      </c>
      <c r="G278" t="s">
        <v>64</v>
      </c>
      <c r="H278">
        <v>0.73</v>
      </c>
      <c r="I278">
        <v>0.63</v>
      </c>
      <c r="J278">
        <v>0.7</v>
      </c>
      <c r="K278">
        <v>0.69</v>
      </c>
      <c r="L278">
        <v>0.56999999999999995</v>
      </c>
      <c r="M278">
        <v>0.7</v>
      </c>
      <c r="N278">
        <v>0.66</v>
      </c>
      <c r="O278">
        <v>0.71</v>
      </c>
      <c r="P278">
        <v>0.56999999999999995</v>
      </c>
      <c r="Q278">
        <v>0.53</v>
      </c>
      <c r="R278">
        <v>0.71</v>
      </c>
      <c r="S278">
        <v>0.76</v>
      </c>
      <c r="T278" s="2">
        <f>IF('ROS Rankings'!$AD$1,IFERROR(AVERAGE(INDEX($C278:$S278,14):INDEX($C278:$S278,17)),0),IFERROR(AVERAGE(INDEX($C278:$S278,Week+1):INDEX($C278:$S278,13)),0))</f>
        <v>0.67374999999999996</v>
      </c>
      <c r="U278" s="2" t="str">
        <f t="shared" si="42"/>
        <v/>
      </c>
      <c r="V278" s="2" t="str">
        <f t="shared" si="42"/>
        <v/>
      </c>
      <c r="W278" s="2">
        <f t="shared" si="42"/>
        <v>0.67374999999999996</v>
      </c>
      <c r="X278" s="2" t="str">
        <f t="shared" si="42"/>
        <v/>
      </c>
      <c r="Y278" s="2" t="str">
        <f t="shared" si="42"/>
        <v/>
      </c>
      <c r="Z278" s="2" t="str">
        <f t="shared" si="42"/>
        <v/>
      </c>
      <c r="AA278" s="23" t="str">
        <f t="shared" si="36"/>
        <v>WR143</v>
      </c>
      <c r="AB278" s="2">
        <f>$T278-VLOOKUP($B278,Scores!$AG$1:$AM$7,5,FALSE)</f>
        <v>-9.69767857142857</v>
      </c>
      <c r="AC278" s="2">
        <f>$T278-VLOOKUP($B278,Scores!$AG$1:$AM$7,6,FALSE)</f>
        <v>-7.357678571428572</v>
      </c>
      <c r="AD278" s="2">
        <f>$T278-VLOOKUP($B278,Scores!$AG$1:$AM$7,7,FALSE)+(ROW(A277)/1000000)</f>
        <v>-5.3788301428571428</v>
      </c>
      <c r="AE278" s="2">
        <f t="array" ref="AE278">IF('ROS Rankings'!$AD$1,IFERROR(AVERAGE(IF(INDEX($C278:$S278,14):INDEX($C278:$S278,17)="NA",0,INDEX($C278:$S278,14):INDEX($C278:$S278,17))-INDEX($AQ$2:$BG$7,MATCH($B278,$AO$2:$AO$7,0),14):INDEX($AQ$2:$BG$7,MATCH($B278,$AO$2:$AO$7,0),17)),0),IFERROR(AVERAGE(IF(INDEX($C278:$S278,Week+1):INDEX($C278:$S278,13)="NA",0,INDEX($C278:$S278,Week+1):INDEX($C278:$S278,13))-INDEX($AQ$2:$BG$7,MATCH($B278,$AO$2:$AO$7,0),Week+1):INDEX($AQ$2:$BG$7,MATCH($B278,$AO$2:$AO$7,0),13)),0))+ROW(A277)/1000000</f>
        <v>-4.6822230000000014</v>
      </c>
      <c r="AF278">
        <f t="shared" si="37"/>
        <v>418</v>
      </c>
      <c r="AG278">
        <f t="shared" si="38"/>
        <v>433</v>
      </c>
      <c r="AH278">
        <f t="shared" si="39"/>
        <v>463</v>
      </c>
      <c r="AI278">
        <f t="shared" si="40"/>
        <v>401</v>
      </c>
      <c r="AJ278" s="22">
        <f>IF(ISERROR(MATCH(A278,Rosters!$B$2:$B$155,0)),AD278,"")</f>
        <v>-5.3788301428571428</v>
      </c>
      <c r="AK278">
        <f t="shared" si="41"/>
        <v>311</v>
      </c>
      <c r="AL278" s="23">
        <f>COUNTIF(INDEX($C278:$S278,Week+1):INDEX($C278:$S278,13),"&gt;0")</f>
        <v>8</v>
      </c>
    </row>
    <row r="279" spans="1:38" x14ac:dyDescent="0.25">
      <c r="A279" t="s">
        <v>1458</v>
      </c>
      <c r="B279" t="s">
        <v>47</v>
      </c>
      <c r="C279">
        <v>0</v>
      </c>
      <c r="D279">
        <v>0</v>
      </c>
      <c r="E279">
        <v>0</v>
      </c>
      <c r="F279">
        <v>2</v>
      </c>
      <c r="G279">
        <v>1.35</v>
      </c>
      <c r="H279">
        <v>1.49</v>
      </c>
      <c r="I279">
        <v>1.61</v>
      </c>
      <c r="J279">
        <v>1.56</v>
      </c>
      <c r="K279">
        <v>1.29</v>
      </c>
      <c r="L279">
        <v>1.48</v>
      </c>
      <c r="M279" t="s">
        <v>64</v>
      </c>
      <c r="N279">
        <v>1.4</v>
      </c>
      <c r="O279">
        <v>1.3</v>
      </c>
      <c r="P279">
        <v>1.59</v>
      </c>
      <c r="Q279">
        <v>1.2</v>
      </c>
      <c r="R279">
        <v>1.48</v>
      </c>
      <c r="S279">
        <v>1.24</v>
      </c>
      <c r="T279" s="2">
        <f>IF('ROS Rankings'!$AD$1,IFERROR(AVERAGE(INDEX($C279:$S279,14):INDEX($C279:$S279,17)),0),IFERROR(AVERAGE(INDEX($C279:$S279,Week+1):INDEX($C279:$S279,13)),0))</f>
        <v>1.4471428571428573</v>
      </c>
      <c r="U279" s="2" t="str">
        <f t="shared" si="42"/>
        <v/>
      </c>
      <c r="V279" s="2">
        <f t="shared" si="42"/>
        <v>1.4471428571428573</v>
      </c>
      <c r="W279" s="2" t="str">
        <f t="shared" si="42"/>
        <v/>
      </c>
      <c r="X279" s="2" t="str">
        <f t="shared" si="42"/>
        <v/>
      </c>
      <c r="Y279" s="2" t="str">
        <f t="shared" si="42"/>
        <v/>
      </c>
      <c r="Z279" s="2" t="str">
        <f t="shared" si="42"/>
        <v/>
      </c>
      <c r="AA279" s="23" t="str">
        <f t="shared" si="36"/>
        <v>RB80</v>
      </c>
      <c r="AB279" s="2">
        <f>$T279-VLOOKUP($B279,Scores!$AG$1:$AM$7,5,FALSE)</f>
        <v>-10.311428571428571</v>
      </c>
      <c r="AC279" s="2">
        <f>$T279-VLOOKUP($B279,Scores!$AG$1:$AM$7,6,FALSE)</f>
        <v>-6.8228571428571438</v>
      </c>
      <c r="AD279" s="2">
        <f>$T279-VLOOKUP($B279,Scores!$AG$1:$AM$7,7,FALSE)+(ROW(A278)/1000000)</f>
        <v>-4.4211505714285719</v>
      </c>
      <c r="AE279" s="2">
        <f t="array" ref="AE279">IF('ROS Rankings'!$AD$1,IFERROR(AVERAGE(IF(INDEX($C279:$S279,14):INDEX($C279:$S279,17)="NA",0,INDEX($C279:$S279,14):INDEX($C279:$S279,17))-INDEX($AQ$2:$BG$7,MATCH($B279,$AO$2:$AO$7,0),14):INDEX($AQ$2:$BG$7,MATCH($B279,$AO$2:$AO$7,0),17)),0),IFERROR(AVERAGE(IF(INDEX($C279:$S279,Week+1):INDEX($C279:$S279,13)="NA",0,INDEX($C279:$S279,Week+1):INDEX($C279:$S279,13))-INDEX($AQ$2:$BG$7,MATCH($B279,$AO$2:$AO$7,0),Week+1):INDEX($AQ$2:$BG$7,MATCH($B279,$AO$2:$AO$7,0),13)),0))+ROW(A278)/1000000</f>
        <v>-4.0934719999999993</v>
      </c>
      <c r="AF279">
        <f t="shared" si="37"/>
        <v>463</v>
      </c>
      <c r="AG279">
        <f t="shared" si="38"/>
        <v>401</v>
      </c>
      <c r="AH279">
        <f t="shared" si="39"/>
        <v>354</v>
      </c>
      <c r="AI279">
        <f t="shared" si="40"/>
        <v>348</v>
      </c>
      <c r="AJ279" s="22">
        <f>IF(ISERROR(MATCH(A279,Rosters!$B$2:$B$155,0)),AD279,"")</f>
        <v>-4.4211505714285719</v>
      </c>
      <c r="AK279">
        <f t="shared" si="41"/>
        <v>202</v>
      </c>
      <c r="AL279" s="23">
        <f>COUNTIF(INDEX($C279:$S279,Week+1):INDEX($C279:$S279,13),"&gt;0")</f>
        <v>7</v>
      </c>
    </row>
    <row r="280" spans="1:38" x14ac:dyDescent="0.25">
      <c r="A280" t="s">
        <v>2854</v>
      </c>
      <c r="B280" t="s">
        <v>87</v>
      </c>
      <c r="C280" t="s">
        <v>64</v>
      </c>
      <c r="D280">
        <v>0.28000000000000003</v>
      </c>
      <c r="E280">
        <v>3.35</v>
      </c>
      <c r="F280">
        <v>0.63</v>
      </c>
      <c r="G280">
        <v>0.43</v>
      </c>
      <c r="H280">
        <v>0.38</v>
      </c>
      <c r="I280">
        <v>0.39</v>
      </c>
      <c r="J280">
        <v>0.32</v>
      </c>
      <c r="K280" t="s">
        <v>64</v>
      </c>
      <c r="L280">
        <v>0.47</v>
      </c>
      <c r="M280">
        <v>0.37</v>
      </c>
      <c r="N280">
        <v>0.39</v>
      </c>
      <c r="O280">
        <v>0.4</v>
      </c>
      <c r="P280">
        <v>0.45</v>
      </c>
      <c r="Q280">
        <v>0.36</v>
      </c>
      <c r="R280">
        <v>0.43</v>
      </c>
      <c r="S280">
        <v>0.39</v>
      </c>
      <c r="T280" s="2">
        <f>IF('ROS Rankings'!$AD$1,IFERROR(AVERAGE(INDEX($C280:$S280,14):INDEX($C280:$S280,17)),0),IFERROR(AVERAGE(INDEX($C280:$S280,Week+1):INDEX($C280:$S280,13)),0))</f>
        <v>0.38857142857142862</v>
      </c>
      <c r="U280" s="2" t="str">
        <f t="shared" si="42"/>
        <v/>
      </c>
      <c r="V280" s="2" t="str">
        <f t="shared" si="42"/>
        <v/>
      </c>
      <c r="W280" s="2">
        <f t="shared" si="42"/>
        <v>0.38857142857142862</v>
      </c>
      <c r="X280" s="2" t="str">
        <f t="shared" si="42"/>
        <v/>
      </c>
      <c r="Y280" s="2" t="str">
        <f t="shared" si="42"/>
        <v/>
      </c>
      <c r="Z280" s="2" t="str">
        <f t="shared" si="42"/>
        <v/>
      </c>
      <c r="AA280" s="23" t="str">
        <f t="shared" si="36"/>
        <v>WR174</v>
      </c>
      <c r="AB280" s="2">
        <f>$T280-VLOOKUP($B280,Scores!$AG$1:$AM$7,5,FALSE)</f>
        <v>-9.9828571428571422</v>
      </c>
      <c r="AC280" s="2">
        <f>$T280-VLOOKUP($B280,Scores!$AG$1:$AM$7,6,FALSE)</f>
        <v>-7.6428571428571432</v>
      </c>
      <c r="AD280" s="2">
        <f>$T280-VLOOKUP($B280,Scores!$AG$1:$AM$7,7,FALSE)+(ROW(A279)/1000000)</f>
        <v>-5.6640067142857138</v>
      </c>
      <c r="AE280" s="2">
        <f t="array" ref="AE280">IF('ROS Rankings'!$AD$1,IFERROR(AVERAGE(IF(INDEX($C280:$S280,14):INDEX($C280:$S280,17)="NA",0,INDEX($C280:$S280,14):INDEX($C280:$S280,17))-INDEX($AQ$2:$BG$7,MATCH($B280,$AO$2:$AO$7,0),14):INDEX($AQ$2:$BG$7,MATCH($B280,$AO$2:$AO$7,0),17)),0),IFERROR(AVERAGE(IF(INDEX($C280:$S280,Week+1):INDEX($C280:$S280,13)="NA",0,INDEX($C280:$S280,Week+1):INDEX($C280:$S280,13))-INDEX($AQ$2:$BG$7,MATCH($B280,$AO$2:$AO$7,0),Week+1):INDEX($AQ$2:$BG$7,MATCH($B280,$AO$2:$AO$7,0),13)),0))+ROW(A279)/1000000</f>
        <v>-5.0159709999999995</v>
      </c>
      <c r="AF280">
        <f t="shared" si="37"/>
        <v>452</v>
      </c>
      <c r="AG280">
        <f t="shared" si="38"/>
        <v>476</v>
      </c>
      <c r="AH280">
        <f t="shared" si="39"/>
        <v>505</v>
      </c>
      <c r="AI280">
        <f t="shared" si="40"/>
        <v>492</v>
      </c>
      <c r="AJ280" s="22">
        <f>IF(ISERROR(MATCH(A280,Rosters!$B$2:$B$155,0)),AD280,"")</f>
        <v>-5.6640067142857138</v>
      </c>
      <c r="AK280">
        <f t="shared" si="41"/>
        <v>353</v>
      </c>
      <c r="AL280" s="23">
        <f>COUNTIF(INDEX($C280:$S280,Week+1):INDEX($C280:$S280,13),"&gt;0")</f>
        <v>7</v>
      </c>
    </row>
    <row r="281" spans="1:38" x14ac:dyDescent="0.25">
      <c r="A281" t="s">
        <v>2769</v>
      </c>
      <c r="B281" t="s">
        <v>47</v>
      </c>
      <c r="C281" t="s">
        <v>64</v>
      </c>
      <c r="D281" t="s">
        <v>64</v>
      </c>
      <c r="E281" t="s">
        <v>64</v>
      </c>
      <c r="F281" t="s">
        <v>64</v>
      </c>
      <c r="G281">
        <v>0.71</v>
      </c>
      <c r="H281">
        <v>0.59</v>
      </c>
      <c r="I281">
        <v>0.51</v>
      </c>
      <c r="J281">
        <v>0.48</v>
      </c>
      <c r="K281">
        <v>0.52</v>
      </c>
      <c r="L281">
        <v>0.42</v>
      </c>
      <c r="M281">
        <v>0.47</v>
      </c>
      <c r="N281">
        <v>0.47</v>
      </c>
      <c r="O281">
        <v>0.57999999999999996</v>
      </c>
      <c r="P281">
        <v>0.52</v>
      </c>
      <c r="Q281">
        <v>0.57999999999999996</v>
      </c>
      <c r="R281">
        <v>0.43</v>
      </c>
      <c r="S281">
        <v>0.63</v>
      </c>
      <c r="T281" s="2">
        <f>IF('ROS Rankings'!$AD$1,IFERROR(AVERAGE(INDEX($C281:$S281,14):INDEX($C281:$S281,17)),0),IFERROR(AVERAGE(INDEX($C281:$S281,Week+1):INDEX($C281:$S281,13)),0))</f>
        <v>0.505</v>
      </c>
      <c r="U281" s="2" t="str">
        <f t="shared" si="42"/>
        <v/>
      </c>
      <c r="V281" s="2">
        <f t="shared" si="42"/>
        <v>0.505</v>
      </c>
      <c r="W281" s="2" t="str">
        <f t="shared" si="42"/>
        <v/>
      </c>
      <c r="X281" s="2" t="str">
        <f t="shared" si="42"/>
        <v/>
      </c>
      <c r="Y281" s="2" t="str">
        <f t="shared" si="42"/>
        <v/>
      </c>
      <c r="Z281" s="2" t="str">
        <f t="shared" si="42"/>
        <v/>
      </c>
      <c r="AA281" s="23" t="str">
        <f t="shared" si="36"/>
        <v>RB121</v>
      </c>
      <c r="AB281" s="2">
        <f>$T281-VLOOKUP($B281,Scores!$AG$1:$AM$7,5,FALSE)</f>
        <v>-11.253571428571428</v>
      </c>
      <c r="AC281" s="2">
        <f>$T281-VLOOKUP($B281,Scores!$AG$1:$AM$7,6,FALSE)</f>
        <v>-7.7650000000000015</v>
      </c>
      <c r="AD281" s="2">
        <f>$T281-VLOOKUP($B281,Scores!$AG$1:$AM$7,7,FALSE)+(ROW(A280)/1000000)</f>
        <v>-5.3632914285714293</v>
      </c>
      <c r="AE281" s="2">
        <f t="array" ref="AE281">IF('ROS Rankings'!$AD$1,IFERROR(AVERAGE(IF(INDEX($C281:$S281,14):INDEX($C281:$S281,17)="NA",0,INDEX($C281:$S281,14):INDEX($C281:$S281,17))-INDEX($AQ$2:$BG$7,MATCH($B281,$AO$2:$AO$7,0),14):INDEX($AQ$2:$BG$7,MATCH($B281,$AO$2:$AO$7,0),17)),0),IFERROR(AVERAGE(IF(INDEX($C281:$S281,Week+1):INDEX($C281:$S281,13)="NA",0,INDEX($C281:$S281,Week+1):INDEX($C281:$S281,13))-INDEX($AQ$2:$BG$7,MATCH($B281,$AO$2:$AO$7,0),Week+1):INDEX($AQ$2:$BG$7,MATCH($B281,$AO$2:$AO$7,0),13)),0))+ROW(A280)/1000000</f>
        <v>-4.8547200000000004</v>
      </c>
      <c r="AF281">
        <f t="shared" si="37"/>
        <v>509</v>
      </c>
      <c r="AG281">
        <f t="shared" si="38"/>
        <v>503</v>
      </c>
      <c r="AH281">
        <f t="shared" si="39"/>
        <v>459</v>
      </c>
      <c r="AI281">
        <f t="shared" si="40"/>
        <v>452</v>
      </c>
      <c r="AJ281" s="22">
        <f>IF(ISERROR(MATCH(A281,Rosters!$B$2:$B$155,0)),AD281,"")</f>
        <v>-5.3632914285714293</v>
      </c>
      <c r="AK281">
        <f t="shared" si="41"/>
        <v>307</v>
      </c>
      <c r="AL281" s="23">
        <f>COUNTIF(INDEX($C281:$S281,Week+1):INDEX($C281:$S281,13),"&gt;0")</f>
        <v>8</v>
      </c>
    </row>
    <row r="282" spans="1:38" x14ac:dyDescent="0.25">
      <c r="A282" t="s">
        <v>115</v>
      </c>
      <c r="B282" t="s">
        <v>47</v>
      </c>
      <c r="C282">
        <v>13.73</v>
      </c>
      <c r="D282">
        <v>12.81</v>
      </c>
      <c r="E282">
        <v>14.6</v>
      </c>
      <c r="F282">
        <v>11.91</v>
      </c>
      <c r="G282">
        <v>15.45</v>
      </c>
      <c r="H282">
        <v>15.86</v>
      </c>
      <c r="I282">
        <v>15.88</v>
      </c>
      <c r="J282">
        <v>16.72</v>
      </c>
      <c r="K282">
        <v>14.97</v>
      </c>
      <c r="L282">
        <v>16.329999999999998</v>
      </c>
      <c r="M282">
        <v>15.66</v>
      </c>
      <c r="N282" t="s">
        <v>64</v>
      </c>
      <c r="O282">
        <v>18.2</v>
      </c>
      <c r="P282">
        <v>15.57</v>
      </c>
      <c r="Q282">
        <v>16.04</v>
      </c>
      <c r="R282">
        <v>15.57</v>
      </c>
      <c r="S282">
        <v>19.809999999999999</v>
      </c>
      <c r="T282" s="2">
        <f>IF('ROS Rankings'!$AD$1,IFERROR(AVERAGE(INDEX($C282:$S282,14):INDEX($C282:$S282,17)),0),IFERROR(AVERAGE(INDEX($C282:$S282,Week+1):INDEX($C282:$S282,13)),0))</f>
        <v>16.23142857142857</v>
      </c>
      <c r="U282" s="2" t="str">
        <f t="shared" si="42"/>
        <v/>
      </c>
      <c r="V282" s="2">
        <f t="shared" si="42"/>
        <v>16.23142857142857</v>
      </c>
      <c r="W282" s="2" t="str">
        <f t="shared" si="42"/>
        <v/>
      </c>
      <c r="X282" s="2" t="str">
        <f t="shared" si="42"/>
        <v/>
      </c>
      <c r="Y282" s="2" t="str">
        <f t="shared" si="42"/>
        <v/>
      </c>
      <c r="Z282" s="2" t="str">
        <f t="shared" si="42"/>
        <v/>
      </c>
      <c r="AA282" s="23" t="str">
        <f t="shared" si="36"/>
        <v>RB4</v>
      </c>
      <c r="AB282" s="2">
        <f>$T282-VLOOKUP($B282,Scores!$AG$1:$AM$7,5,FALSE)</f>
        <v>4.4728571428571406</v>
      </c>
      <c r="AC282" s="2">
        <f>$T282-VLOOKUP($B282,Scores!$AG$1:$AM$7,6,FALSE)</f>
        <v>7.9614285714285682</v>
      </c>
      <c r="AD282" s="2">
        <f>$T282-VLOOKUP($B282,Scores!$AG$1:$AM$7,7,FALSE)+(ROW(A281)/1000000)</f>
        <v>10.363138142857141</v>
      </c>
      <c r="AE282" s="2">
        <f t="array" ref="AE282">IF('ROS Rankings'!$AD$1,IFERROR(AVERAGE(IF(INDEX($C282:$S282,14):INDEX($C282:$S282,17)="NA",0,INDEX($C282:$S282,14):INDEX($C282:$S282,17))-INDEX($AQ$2:$BG$7,MATCH($B282,$AO$2:$AO$7,0),14):INDEX($AQ$2:$BG$7,MATCH($B282,$AO$2:$AO$7,0),17)),0),IFERROR(AVERAGE(IF(INDEX($C282:$S282,Week+1):INDEX($C282:$S282,13)="NA",0,INDEX($C282:$S282,Week+1):INDEX($C282:$S282,13))-INDEX($AQ$2:$BG$7,MATCH($B282,$AO$2:$AO$7,0),Week+1):INDEX($AQ$2:$BG$7,MATCH($B282,$AO$2:$AO$7,0),13)),0))+ROW(A281)/1000000</f>
        <v>8.8427810000000004</v>
      </c>
      <c r="AF282">
        <f t="shared" si="37"/>
        <v>4</v>
      </c>
      <c r="AG282">
        <f t="shared" si="38"/>
        <v>4</v>
      </c>
      <c r="AH282">
        <f t="shared" si="39"/>
        <v>4</v>
      </c>
      <c r="AI282">
        <f t="shared" si="40"/>
        <v>4</v>
      </c>
      <c r="AJ282" s="22" t="str">
        <f>IF(ISERROR(MATCH(A282,Rosters!$B$2:$B$155,0)),AD282,"")</f>
        <v/>
      </c>
      <c r="AK282" t="str">
        <f t="shared" si="41"/>
        <v/>
      </c>
      <c r="AL282" s="23">
        <f>COUNTIF(INDEX($C282:$S282,Week+1):INDEX($C282:$S282,13),"&gt;0")</f>
        <v>7</v>
      </c>
    </row>
    <row r="283" spans="1:38" x14ac:dyDescent="0.25">
      <c r="A283" t="s">
        <v>1368</v>
      </c>
      <c r="B283" t="s">
        <v>87</v>
      </c>
      <c r="C283">
        <v>6.52</v>
      </c>
      <c r="D283">
        <v>5.48</v>
      </c>
      <c r="E283">
        <v>7.32</v>
      </c>
      <c r="F283">
        <v>7.31</v>
      </c>
      <c r="G283">
        <v>6.59</v>
      </c>
      <c r="H283">
        <v>5.37</v>
      </c>
      <c r="I283">
        <v>7.15</v>
      </c>
      <c r="J283">
        <v>5.51</v>
      </c>
      <c r="K283" t="s">
        <v>64</v>
      </c>
      <c r="L283">
        <v>5.59</v>
      </c>
      <c r="M283">
        <v>6.36</v>
      </c>
      <c r="N283">
        <v>6.59</v>
      </c>
      <c r="O283">
        <v>5.8</v>
      </c>
      <c r="P283">
        <v>6.5</v>
      </c>
      <c r="Q283">
        <v>5.7</v>
      </c>
      <c r="R283">
        <v>6.17</v>
      </c>
      <c r="S283">
        <v>6.88</v>
      </c>
      <c r="T283" s="2">
        <f>IF('ROS Rankings'!$AD$1,IFERROR(AVERAGE(INDEX($C283:$S283,14):INDEX($C283:$S283,17)),0),IFERROR(AVERAGE(INDEX($C283:$S283,Week+1):INDEX($C283:$S283,13)),0))</f>
        <v>6.0528571428571425</v>
      </c>
      <c r="U283" s="2" t="str">
        <f t="shared" si="42"/>
        <v/>
      </c>
      <c r="V283" s="2" t="str">
        <f t="shared" si="42"/>
        <v/>
      </c>
      <c r="W283" s="2">
        <f t="shared" si="42"/>
        <v>6.0528571428571425</v>
      </c>
      <c r="X283" s="2" t="str">
        <f t="shared" si="42"/>
        <v/>
      </c>
      <c r="Y283" s="2" t="str">
        <f t="shared" si="42"/>
        <v/>
      </c>
      <c r="Z283" s="2" t="str">
        <f t="shared" si="42"/>
        <v/>
      </c>
      <c r="AA283" s="23" t="str">
        <f t="shared" si="36"/>
        <v>WR53</v>
      </c>
      <c r="AB283" s="2">
        <f>$T283-VLOOKUP($B283,Scores!$AG$1:$AM$7,5,FALSE)</f>
        <v>-4.3185714285714276</v>
      </c>
      <c r="AC283" s="2">
        <f>$T283-VLOOKUP($B283,Scores!$AG$1:$AM$7,6,FALSE)</f>
        <v>-1.9785714285714295</v>
      </c>
      <c r="AD283" s="2">
        <f>$T283-VLOOKUP($B283,Scores!$AG$1:$AM$7,7,FALSE)+(ROW(A282)/1000000)</f>
        <v>2.8200000000000002E-4</v>
      </c>
      <c r="AE283" s="2">
        <f t="array" ref="AE283">IF('ROS Rankings'!$AD$1,IFERROR(AVERAGE(IF(INDEX($C283:$S283,14):INDEX($C283:$S283,17)="NA",0,INDEX($C283:$S283,14):INDEX($C283:$S283,17))-INDEX($AQ$2:$BG$7,MATCH($B283,$AO$2:$AO$7,0),14):INDEX($AQ$2:$BG$7,MATCH($B283,$AO$2:$AO$7,0),17)),0),IFERROR(AVERAGE(IF(INDEX($C283:$S283,Week+1):INDEX($C283:$S283,13)="NA",0,INDEX($C283:$S283,Week+1):INDEX($C283:$S283,13))-INDEX($AQ$2:$BG$7,MATCH($B283,$AO$2:$AO$7,0),Week+1):INDEX($AQ$2:$BG$7,MATCH($B283,$AO$2:$AO$7,0),13)),0))+ROW(A282)/1000000</f>
        <v>-5.9718000000000056E-2</v>
      </c>
      <c r="AF283">
        <f t="shared" si="37"/>
        <v>206</v>
      </c>
      <c r="AG283">
        <f t="shared" si="38"/>
        <v>198</v>
      </c>
      <c r="AH283">
        <f t="shared" si="39"/>
        <v>148</v>
      </c>
      <c r="AI283">
        <f t="shared" si="40"/>
        <v>127</v>
      </c>
      <c r="AJ283" s="22" t="str">
        <f>IF(ISERROR(MATCH(A283,Rosters!$B$2:$B$155,0)),AD283,"")</f>
        <v/>
      </c>
      <c r="AK283" t="str">
        <f t="shared" si="41"/>
        <v/>
      </c>
      <c r="AL283" s="23">
        <f>COUNTIF(INDEX($C283:$S283,Week+1):INDEX($C283:$S283,13),"&gt;0")</f>
        <v>7</v>
      </c>
    </row>
    <row r="284" spans="1:38" x14ac:dyDescent="0.25">
      <c r="A284" t="s">
        <v>154</v>
      </c>
      <c r="B284" t="s">
        <v>87</v>
      </c>
      <c r="C284">
        <v>11.4</v>
      </c>
      <c r="D284">
        <v>10.42</v>
      </c>
      <c r="E284">
        <v>12.12</v>
      </c>
      <c r="F284">
        <v>15.62</v>
      </c>
      <c r="G284">
        <v>15.17</v>
      </c>
      <c r="H284">
        <v>13.03</v>
      </c>
      <c r="I284">
        <v>13.94</v>
      </c>
      <c r="J284" t="s">
        <v>64</v>
      </c>
      <c r="K284">
        <v>12.83</v>
      </c>
      <c r="L284">
        <v>14.57</v>
      </c>
      <c r="M284">
        <v>13.31</v>
      </c>
      <c r="N284">
        <v>12.54</v>
      </c>
      <c r="O284">
        <v>11.17</v>
      </c>
      <c r="P284">
        <v>11.61</v>
      </c>
      <c r="Q284">
        <v>12.9</v>
      </c>
      <c r="R284">
        <v>10.63</v>
      </c>
      <c r="S284">
        <v>12.84</v>
      </c>
      <c r="T284" s="2">
        <f>IF('ROS Rankings'!$AD$1,IFERROR(AVERAGE(INDEX($C284:$S284,14):INDEX($C284:$S284,17)),0),IFERROR(AVERAGE(INDEX($C284:$S284,Week+1):INDEX($C284:$S284,13)),0))</f>
        <v>13.055714285714286</v>
      </c>
      <c r="U284" s="2" t="str">
        <f t="shared" si="42"/>
        <v/>
      </c>
      <c r="V284" s="2" t="str">
        <f t="shared" si="42"/>
        <v/>
      </c>
      <c r="W284" s="2">
        <f t="shared" si="42"/>
        <v>13.055714285714286</v>
      </c>
      <c r="X284" s="2" t="str">
        <f t="shared" si="42"/>
        <v/>
      </c>
      <c r="Y284" s="2" t="str">
        <f t="shared" si="42"/>
        <v/>
      </c>
      <c r="Z284" s="2" t="str">
        <f t="shared" si="42"/>
        <v/>
      </c>
      <c r="AA284" s="23" t="str">
        <f t="shared" si="36"/>
        <v>WR4</v>
      </c>
      <c r="AB284" s="2">
        <f>$T284-VLOOKUP($B284,Scores!$AG$1:$AM$7,5,FALSE)</f>
        <v>2.6842857142857159</v>
      </c>
      <c r="AC284" s="2">
        <f>$T284-VLOOKUP($B284,Scores!$AG$1:$AM$7,6,FALSE)</f>
        <v>5.024285714285714</v>
      </c>
      <c r="AD284" s="2">
        <f>$T284-VLOOKUP($B284,Scores!$AG$1:$AM$7,7,FALSE)+(ROW(A283)/1000000)</f>
        <v>7.0031401428571431</v>
      </c>
      <c r="AE284" s="2">
        <f t="array" ref="AE284">IF('ROS Rankings'!$AD$1,IFERROR(AVERAGE(IF(INDEX($C284:$S284,14):INDEX($C284:$S284,17)="NA",0,INDEX($C284:$S284,14):INDEX($C284:$S284,17))-INDEX($AQ$2:$BG$7,MATCH($B284,$AO$2:$AO$7,0),14):INDEX($AQ$2:$BG$7,MATCH($B284,$AO$2:$AO$7,0),17)),0),IFERROR(AVERAGE(IF(INDEX($C284:$S284,Week+1):INDEX($C284:$S284,13)="NA",0,INDEX($C284:$S284,Week+1):INDEX($C284:$S284,13))-INDEX($AQ$2:$BG$7,MATCH($B284,$AO$2:$AO$7,0),Week+1):INDEX($AQ$2:$BG$7,MATCH($B284,$AO$2:$AO$7,0),13)),0))+ROW(A283)/1000000</f>
        <v>6.0677829999999995</v>
      </c>
      <c r="AF284">
        <f t="shared" si="37"/>
        <v>11</v>
      </c>
      <c r="AG284">
        <f t="shared" si="38"/>
        <v>12</v>
      </c>
      <c r="AH284">
        <f t="shared" si="39"/>
        <v>14</v>
      </c>
      <c r="AI284">
        <f t="shared" si="40"/>
        <v>14</v>
      </c>
      <c r="AJ284" s="22" t="str">
        <f>IF(ISERROR(MATCH(A284,Rosters!$B$2:$B$155,0)),AD284,"")</f>
        <v/>
      </c>
      <c r="AK284" t="str">
        <f t="shared" si="41"/>
        <v/>
      </c>
      <c r="AL284" s="23">
        <f>COUNTIF(INDEX($C284:$S284,Week+1):INDEX($C284:$S284,13),"&gt;0")</f>
        <v>7</v>
      </c>
    </row>
    <row r="285" spans="1:38" x14ac:dyDescent="0.25">
      <c r="A285" t="s">
        <v>368</v>
      </c>
      <c r="B285" t="s">
        <v>47</v>
      </c>
      <c r="C285">
        <v>0.46</v>
      </c>
      <c r="D285">
        <v>0.3</v>
      </c>
      <c r="E285">
        <v>0.85</v>
      </c>
      <c r="F285">
        <v>0.22</v>
      </c>
      <c r="G285">
        <v>0.38</v>
      </c>
      <c r="H285">
        <v>0.34</v>
      </c>
      <c r="I285" t="s">
        <v>64</v>
      </c>
      <c r="J285">
        <v>0.35</v>
      </c>
      <c r="K285">
        <v>0.34</v>
      </c>
      <c r="L285">
        <v>0.4</v>
      </c>
      <c r="M285">
        <v>0.34</v>
      </c>
      <c r="N285">
        <v>0.26</v>
      </c>
      <c r="O285">
        <v>0.38</v>
      </c>
      <c r="P285">
        <v>0.41</v>
      </c>
      <c r="Q285">
        <v>0.37</v>
      </c>
      <c r="R285">
        <v>0.35</v>
      </c>
      <c r="S285">
        <v>0.36</v>
      </c>
      <c r="T285" s="2">
        <f>IF('ROS Rankings'!$AD$1,IFERROR(AVERAGE(INDEX($C285:$S285,14):INDEX($C285:$S285,17)),0),IFERROR(AVERAGE(INDEX($C285:$S285,Week+1):INDEX($C285:$S285,13)),0))</f>
        <v>0.34428571428571431</v>
      </c>
      <c r="U285" s="2" t="str">
        <f t="shared" si="42"/>
        <v/>
      </c>
      <c r="V285" s="2">
        <f t="shared" si="42"/>
        <v>0.34428571428571431</v>
      </c>
      <c r="W285" s="2" t="str">
        <f t="shared" si="42"/>
        <v/>
      </c>
      <c r="X285" s="2" t="str">
        <f t="shared" si="42"/>
        <v/>
      </c>
      <c r="Y285" s="2" t="str">
        <f t="shared" si="42"/>
        <v/>
      </c>
      <c r="Z285" s="2" t="str">
        <f t="shared" si="42"/>
        <v/>
      </c>
      <c r="AA285" s="23" t="str">
        <f t="shared" si="36"/>
        <v>RB127</v>
      </c>
      <c r="AB285" s="2">
        <f>$T285-VLOOKUP($B285,Scores!$AG$1:$AM$7,5,FALSE)</f>
        <v>-11.414285714285715</v>
      </c>
      <c r="AC285" s="2">
        <f>$T285-VLOOKUP($B285,Scores!$AG$1:$AM$7,6,FALSE)</f>
        <v>-7.925714285714287</v>
      </c>
      <c r="AD285" s="2">
        <f>$T285-VLOOKUP($B285,Scores!$AG$1:$AM$7,7,FALSE)+(ROW(A284)/1000000)</f>
        <v>-5.5240017142857152</v>
      </c>
      <c r="AE285" s="2">
        <f t="array" ref="AE285">IF('ROS Rankings'!$AD$1,IFERROR(AVERAGE(IF(INDEX($C285:$S285,14):INDEX($C285:$S285,17)="NA",0,INDEX($C285:$S285,14):INDEX($C285:$S285,17))-INDEX($AQ$2:$BG$7,MATCH($B285,$AO$2:$AO$7,0),14):INDEX($AQ$2:$BG$7,MATCH($B285,$AO$2:$AO$7,0),17)),0),IFERROR(AVERAGE(IF(INDEX($C285:$S285,Week+1):INDEX($C285:$S285,13)="NA",0,INDEX($C285:$S285,Week+1):INDEX($C285:$S285,13))-INDEX($AQ$2:$BG$7,MATCH($B285,$AO$2:$AO$7,0),Week+1):INDEX($AQ$2:$BG$7,MATCH($B285,$AO$2:$AO$7,0),13)),0))+ROW(A284)/1000000</f>
        <v>-5.058466000000001</v>
      </c>
      <c r="AF285">
        <f t="shared" si="37"/>
        <v>515</v>
      </c>
      <c r="AG285">
        <f t="shared" si="38"/>
        <v>509</v>
      </c>
      <c r="AH285">
        <f t="shared" si="39"/>
        <v>492</v>
      </c>
      <c r="AI285">
        <f t="shared" si="40"/>
        <v>495</v>
      </c>
      <c r="AJ285" s="22">
        <f>IF(ISERROR(MATCH(A285,Rosters!$B$2:$B$155,0)),AD285,"")</f>
        <v>-5.5240017142857152</v>
      </c>
      <c r="AK285">
        <f t="shared" si="41"/>
        <v>340</v>
      </c>
      <c r="AL285" s="23">
        <f>COUNTIF(INDEX($C285:$S285,Week+1):INDEX($C285:$S285,13),"&gt;0")</f>
        <v>7</v>
      </c>
    </row>
    <row r="286" spans="1:38" x14ac:dyDescent="0.25">
      <c r="A286" t="s">
        <v>4899</v>
      </c>
      <c r="B286" t="s">
        <v>87</v>
      </c>
      <c r="C286" t="s">
        <v>64</v>
      </c>
      <c r="D286" t="s">
        <v>64</v>
      </c>
      <c r="E286" t="s">
        <v>64</v>
      </c>
      <c r="F286">
        <v>2.84</v>
      </c>
      <c r="G286">
        <v>3.56</v>
      </c>
      <c r="H286">
        <v>2.96</v>
      </c>
      <c r="I286">
        <v>2.7</v>
      </c>
      <c r="J286">
        <v>3.22</v>
      </c>
      <c r="K286">
        <v>3.04</v>
      </c>
      <c r="L286" t="s">
        <v>64</v>
      </c>
      <c r="M286">
        <v>2.61</v>
      </c>
      <c r="N286">
        <v>2.98</v>
      </c>
      <c r="O286">
        <v>3.19</v>
      </c>
      <c r="P286">
        <v>3.6</v>
      </c>
      <c r="Q286">
        <v>3.19</v>
      </c>
      <c r="R286">
        <v>3.02</v>
      </c>
      <c r="S286">
        <v>2.7</v>
      </c>
      <c r="T286" s="2">
        <f>IF('ROS Rankings'!$AD$1,IFERROR(AVERAGE(INDEX($C286:$S286,14):INDEX($C286:$S286,17)),0),IFERROR(AVERAGE(INDEX($C286:$S286,Week+1):INDEX($C286:$S286,13)),0))</f>
        <v>2.9571428571428577</v>
      </c>
      <c r="U286" s="2" t="str">
        <f t="shared" si="42"/>
        <v/>
      </c>
      <c r="V286" s="2" t="str">
        <f t="shared" si="42"/>
        <v/>
      </c>
      <c r="W286" s="2">
        <f t="shared" si="42"/>
        <v>2.9571428571428577</v>
      </c>
      <c r="X286" s="2" t="str">
        <f t="shared" si="42"/>
        <v/>
      </c>
      <c r="Y286" s="2" t="str">
        <f t="shared" si="42"/>
        <v/>
      </c>
      <c r="Z286" s="2" t="str">
        <f t="shared" si="42"/>
        <v/>
      </c>
      <c r="AA286" s="23" t="str">
        <f t="shared" si="36"/>
        <v>WR99</v>
      </c>
      <c r="AB286" s="2">
        <f>$T286-VLOOKUP($B286,Scores!$AG$1:$AM$7,5,FALSE)</f>
        <v>-7.4142857142857128</v>
      </c>
      <c r="AC286" s="2">
        <f>$T286-VLOOKUP($B286,Scores!$AG$1:$AM$7,6,FALSE)</f>
        <v>-5.0742857142857147</v>
      </c>
      <c r="AD286" s="2">
        <f>$T286-VLOOKUP($B286,Scores!$AG$1:$AM$7,7,FALSE)+(ROW(A285)/1000000)</f>
        <v>-3.0954292857142849</v>
      </c>
      <c r="AE286" s="2">
        <f t="array" ref="AE286">IF('ROS Rankings'!$AD$1,IFERROR(AVERAGE(IF(INDEX($C286:$S286,14):INDEX($C286:$S286,17)="NA",0,INDEX($C286:$S286,14):INDEX($C286:$S286,17))-INDEX($AQ$2:$BG$7,MATCH($B286,$AO$2:$AO$7,0),14):INDEX($AQ$2:$BG$7,MATCH($B286,$AO$2:$AO$7,0),17)),0),IFERROR(AVERAGE(IF(INDEX($C286:$S286,Week+1):INDEX($C286:$S286,13)="NA",0,INDEX($C286:$S286,Week+1):INDEX($C286:$S286,13))-INDEX($AQ$2:$BG$7,MATCH($B286,$AO$2:$AO$7,0),Week+1):INDEX($AQ$2:$BG$7,MATCH($B286,$AO$2:$AO$7,0),13)),0))+ROW(A285)/1000000</f>
        <v>-2.7684650000000004</v>
      </c>
      <c r="AF286">
        <f t="shared" si="37"/>
        <v>362</v>
      </c>
      <c r="AG286">
        <f t="shared" si="38"/>
        <v>359</v>
      </c>
      <c r="AH286">
        <f t="shared" si="39"/>
        <v>308</v>
      </c>
      <c r="AI286">
        <f t="shared" si="40"/>
        <v>283</v>
      </c>
      <c r="AJ286" s="22" t="str">
        <f>IF(ISERROR(MATCH(A286,Rosters!$B$2:$B$155,0)),AD286,"")</f>
        <v/>
      </c>
      <c r="AK286" t="str">
        <f t="shared" si="41"/>
        <v/>
      </c>
      <c r="AL286" s="23">
        <f>COUNTIF(INDEX($C286:$S286,Week+1):INDEX($C286:$S286,13),"&gt;0")</f>
        <v>7</v>
      </c>
    </row>
    <row r="287" spans="1:38" x14ac:dyDescent="0.25">
      <c r="A287" t="s">
        <v>150</v>
      </c>
      <c r="B287" t="s">
        <v>87</v>
      </c>
      <c r="C287">
        <v>5.61</v>
      </c>
      <c r="D287">
        <v>5.08</v>
      </c>
      <c r="E287">
        <v>4.18</v>
      </c>
      <c r="F287">
        <v>5.41</v>
      </c>
      <c r="G287">
        <v>5.36</v>
      </c>
      <c r="H287">
        <v>5.42</v>
      </c>
      <c r="I287">
        <v>5.41</v>
      </c>
      <c r="J287">
        <v>5.51</v>
      </c>
      <c r="K287">
        <v>4.04</v>
      </c>
      <c r="L287">
        <v>4.09</v>
      </c>
      <c r="M287" t="s">
        <v>64</v>
      </c>
      <c r="N287">
        <v>3.77</v>
      </c>
      <c r="O287">
        <v>5.25</v>
      </c>
      <c r="P287">
        <v>4.1900000000000004</v>
      </c>
      <c r="Q287">
        <v>5.34</v>
      </c>
      <c r="R287">
        <v>5.29</v>
      </c>
      <c r="S287">
        <v>5.47</v>
      </c>
      <c r="T287" s="2">
        <f>IF('ROS Rankings'!$AD$1,IFERROR(AVERAGE(INDEX($C287:$S287,14):INDEX($C287:$S287,17)),0),IFERROR(AVERAGE(INDEX($C287:$S287,Week+1):INDEX($C287:$S287,13)),0))</f>
        <v>4.7842857142857138</v>
      </c>
      <c r="U287" s="2" t="str">
        <f t="shared" si="42"/>
        <v/>
      </c>
      <c r="V287" s="2" t="str">
        <f t="shared" si="42"/>
        <v/>
      </c>
      <c r="W287" s="2">
        <f t="shared" si="42"/>
        <v>4.7842857142857138</v>
      </c>
      <c r="X287" s="2" t="str">
        <f t="shared" si="42"/>
        <v/>
      </c>
      <c r="Y287" s="2" t="str">
        <f t="shared" si="42"/>
        <v/>
      </c>
      <c r="Z287" s="2" t="str">
        <f t="shared" si="42"/>
        <v/>
      </c>
      <c r="AA287" s="23" t="str">
        <f t="shared" si="36"/>
        <v>WR66</v>
      </c>
      <c r="AB287" s="2">
        <f>$T287-VLOOKUP($B287,Scores!$AG$1:$AM$7,5,FALSE)</f>
        <v>-5.5871428571428563</v>
      </c>
      <c r="AC287" s="2">
        <f>$T287-VLOOKUP($B287,Scores!$AG$1:$AM$7,6,FALSE)</f>
        <v>-3.2471428571428582</v>
      </c>
      <c r="AD287" s="2">
        <f>$T287-VLOOKUP($B287,Scores!$AG$1:$AM$7,7,FALSE)+(ROW(A286)/1000000)</f>
        <v>-1.2682854285714287</v>
      </c>
      <c r="AE287" s="2">
        <f t="array" ref="AE287">IF('ROS Rankings'!$AD$1,IFERROR(AVERAGE(IF(INDEX($C287:$S287,14):INDEX($C287:$S287,17)="NA",0,INDEX($C287:$S287,14):INDEX($C287:$S287,17))-INDEX($AQ$2:$BG$7,MATCH($B287,$AO$2:$AO$7,0),14):INDEX($AQ$2:$BG$7,MATCH($B287,$AO$2:$AO$7,0),17)),0),IFERROR(AVERAGE(IF(INDEX($C287:$S287,Week+1):INDEX($C287:$S287,13)="NA",0,INDEX($C287:$S287,Week+1):INDEX($C287:$S287,13))-INDEX($AQ$2:$BG$7,MATCH($B287,$AO$2:$AO$7,0),Week+1):INDEX($AQ$2:$BG$7,MATCH($B287,$AO$2:$AO$7,0),13)),0))+ROW(A286)/1000000</f>
        <v>-1.1697140000000001</v>
      </c>
      <c r="AF287">
        <f t="shared" si="37"/>
        <v>266</v>
      </c>
      <c r="AG287">
        <f t="shared" si="38"/>
        <v>258</v>
      </c>
      <c r="AH287">
        <f t="shared" si="39"/>
        <v>212</v>
      </c>
      <c r="AI287">
        <f t="shared" si="40"/>
        <v>182</v>
      </c>
      <c r="AJ287" s="22">
        <f>IF(ISERROR(MATCH(A287,Rosters!$B$2:$B$155,0)),AD287,"")</f>
        <v>-1.2682854285714287</v>
      </c>
      <c r="AK287">
        <f t="shared" si="41"/>
        <v>73</v>
      </c>
      <c r="AL287" s="23">
        <f>COUNTIF(INDEX($C287:$S287,Week+1):INDEX($C287:$S287,13),"&gt;0")</f>
        <v>7</v>
      </c>
    </row>
    <row r="288" spans="1:38" x14ac:dyDescent="0.25">
      <c r="A288" t="s">
        <v>1622</v>
      </c>
      <c r="B288" t="s">
        <v>87</v>
      </c>
      <c r="C288">
        <v>0.43</v>
      </c>
      <c r="D288">
        <v>0.31</v>
      </c>
      <c r="E288">
        <v>0.48</v>
      </c>
      <c r="F288">
        <v>0.47</v>
      </c>
      <c r="G288">
        <v>1.02</v>
      </c>
      <c r="H288">
        <v>0.56999999999999995</v>
      </c>
      <c r="I288">
        <v>0.56999999999999995</v>
      </c>
      <c r="J288">
        <v>0.46</v>
      </c>
      <c r="K288">
        <v>0.65</v>
      </c>
      <c r="L288">
        <v>0.59</v>
      </c>
      <c r="M288" t="s">
        <v>64</v>
      </c>
      <c r="N288">
        <v>0.61</v>
      </c>
      <c r="O288">
        <v>0.45</v>
      </c>
      <c r="P288">
        <v>0.43</v>
      </c>
      <c r="Q288">
        <v>0.46</v>
      </c>
      <c r="R288">
        <v>0.48</v>
      </c>
      <c r="S288">
        <v>0.56000000000000005</v>
      </c>
      <c r="T288" s="2">
        <f>IF('ROS Rankings'!$AD$1,IFERROR(AVERAGE(INDEX($C288:$S288,14):INDEX($C288:$S288,17)),0),IFERROR(AVERAGE(INDEX($C288:$S288,Week+1):INDEX($C288:$S288,13)),0))</f>
        <v>0.55714285714285716</v>
      </c>
      <c r="U288" s="2" t="str">
        <f t="shared" si="42"/>
        <v/>
      </c>
      <c r="V288" s="2" t="str">
        <f t="shared" si="42"/>
        <v/>
      </c>
      <c r="W288" s="2">
        <f t="shared" si="42"/>
        <v>0.55714285714285716</v>
      </c>
      <c r="X288" s="2" t="str">
        <f t="shared" si="42"/>
        <v/>
      </c>
      <c r="Y288" s="2" t="str">
        <f t="shared" si="42"/>
        <v/>
      </c>
      <c r="Z288" s="2" t="str">
        <f t="shared" si="42"/>
        <v/>
      </c>
      <c r="AA288" s="23" t="str">
        <f t="shared" si="36"/>
        <v>WR163</v>
      </c>
      <c r="AB288" s="2">
        <f>$T288-VLOOKUP($B288,Scores!$AG$1:$AM$7,5,FALSE)</f>
        <v>-9.8142857142857132</v>
      </c>
      <c r="AC288" s="2">
        <f>$T288-VLOOKUP($B288,Scores!$AG$1:$AM$7,6,FALSE)</f>
        <v>-7.4742857142857151</v>
      </c>
      <c r="AD288" s="2">
        <f>$T288-VLOOKUP($B288,Scores!$AG$1:$AM$7,7,FALSE)+(ROW(A287)/1000000)</f>
        <v>-5.4954272857142854</v>
      </c>
      <c r="AE288" s="2">
        <f t="array" ref="AE288">IF('ROS Rankings'!$AD$1,IFERROR(AVERAGE(IF(INDEX($C288:$S288,14):INDEX($C288:$S288,17)="NA",0,INDEX($C288:$S288,14):INDEX($C288:$S288,17))-INDEX($AQ$2:$BG$7,MATCH($B288,$AO$2:$AO$7,0),14):INDEX($AQ$2:$BG$7,MATCH($B288,$AO$2:$AO$7,0),17)),0),IFERROR(AVERAGE(IF(INDEX($C288:$S288,Week+1):INDEX($C288:$S288,13)="NA",0,INDEX($C288:$S288,Week+1):INDEX($C288:$S288,13))-INDEX($AQ$2:$BG$7,MATCH($B288,$AO$2:$AO$7,0),Week+1):INDEX($AQ$2:$BG$7,MATCH($B288,$AO$2:$AO$7,0),13)),0))+ROW(A287)/1000000</f>
        <v>-4.8684630000000002</v>
      </c>
      <c r="AF288">
        <f t="shared" si="37"/>
        <v>439</v>
      </c>
      <c r="AG288">
        <f t="shared" si="38"/>
        <v>457</v>
      </c>
      <c r="AH288">
        <f t="shared" si="39"/>
        <v>488</v>
      </c>
      <c r="AI288">
        <f t="shared" si="40"/>
        <v>465</v>
      </c>
      <c r="AJ288" s="22">
        <f>IF(ISERROR(MATCH(A288,Rosters!$B$2:$B$155,0)),AD288,"")</f>
        <v>-5.4954272857142854</v>
      </c>
      <c r="AK288">
        <f t="shared" si="41"/>
        <v>336</v>
      </c>
      <c r="AL288" s="23">
        <f>COUNTIF(INDEX($C288:$S288,Week+1):INDEX($C288:$S288,13),"&gt;0")</f>
        <v>7</v>
      </c>
    </row>
    <row r="289" spans="1:38" x14ac:dyDescent="0.25">
      <c r="A289" t="s">
        <v>2817</v>
      </c>
      <c r="B289" t="s">
        <v>47</v>
      </c>
      <c r="C289" t="s">
        <v>64</v>
      </c>
      <c r="D289">
        <v>0</v>
      </c>
      <c r="E289">
        <v>0</v>
      </c>
      <c r="F289">
        <v>0.22</v>
      </c>
      <c r="G289">
        <v>0</v>
      </c>
      <c r="H289">
        <v>0</v>
      </c>
      <c r="I289">
        <v>0</v>
      </c>
      <c r="J289">
        <v>0</v>
      </c>
      <c r="K289">
        <v>0</v>
      </c>
      <c r="L289">
        <v>0</v>
      </c>
      <c r="M289" t="s">
        <v>64</v>
      </c>
      <c r="N289">
        <v>0</v>
      </c>
      <c r="O289">
        <v>0</v>
      </c>
      <c r="P289">
        <v>0</v>
      </c>
      <c r="Q289">
        <v>0</v>
      </c>
      <c r="R289">
        <v>0</v>
      </c>
      <c r="S289">
        <v>0</v>
      </c>
      <c r="T289" s="2">
        <f>IF('ROS Rankings'!$AD$1,IFERROR(AVERAGE(INDEX($C289:$S289,14):INDEX($C289:$S289,17)),0),IFERROR(AVERAGE(INDEX($C289:$S289,Week+1):INDEX($C289:$S289,13)),0))</f>
        <v>0</v>
      </c>
      <c r="U289" s="2" t="str">
        <f t="shared" si="42"/>
        <v/>
      </c>
      <c r="V289" s="2">
        <f t="shared" si="42"/>
        <v>0</v>
      </c>
      <c r="W289" s="2" t="str">
        <f t="shared" si="42"/>
        <v/>
      </c>
      <c r="X289" s="2" t="str">
        <f t="shared" si="42"/>
        <v/>
      </c>
      <c r="Y289" s="2" t="str">
        <f t="shared" si="42"/>
        <v/>
      </c>
      <c r="Z289" s="2" t="str">
        <f t="shared" si="42"/>
        <v/>
      </c>
      <c r="AA289" s="23" t="str">
        <f t="shared" si="36"/>
        <v>RB134</v>
      </c>
      <c r="AB289" s="2">
        <f>$T289-VLOOKUP($B289,Scores!$AG$1:$AM$7,5,FALSE)</f>
        <v>-11.758571428571429</v>
      </c>
      <c r="AC289" s="2">
        <f>$T289-VLOOKUP($B289,Scores!$AG$1:$AM$7,6,FALSE)</f>
        <v>-8.2700000000000014</v>
      </c>
      <c r="AD289" s="2">
        <f>$T289-VLOOKUP($B289,Scores!$AG$1:$AM$7,7,FALSE)+(ROW(A288)/1000000)</f>
        <v>-5.8682834285714289</v>
      </c>
      <c r="AE289" s="2">
        <f t="array" ref="AE289">IF('ROS Rankings'!$AD$1,IFERROR(AVERAGE(IF(INDEX($C289:$S289,14):INDEX($C289:$S289,17)="NA",0,INDEX($C289:$S289,14):INDEX($C289:$S289,17))-INDEX($AQ$2:$BG$7,MATCH($B289,$AO$2:$AO$7,0),14):INDEX($AQ$2:$BG$7,MATCH($B289,$AO$2:$AO$7,0),17)),0),IFERROR(AVERAGE(IF(INDEX($C289:$S289,Week+1):INDEX($C289:$S289,13)="NA",0,INDEX($C289:$S289,Week+1):INDEX($C289:$S289,13))-INDEX($AQ$2:$BG$7,MATCH($B289,$AO$2:$AO$7,0),Week+1):INDEX($AQ$2:$BG$7,MATCH($B289,$AO$2:$AO$7,0),13)),0))+ROW(A288)/1000000</f>
        <v>-5.3597119999999991</v>
      </c>
      <c r="AF289">
        <f t="shared" si="37"/>
        <v>522</v>
      </c>
      <c r="AG289">
        <f t="shared" si="38"/>
        <v>522</v>
      </c>
      <c r="AH289">
        <f t="shared" si="39"/>
        <v>514</v>
      </c>
      <c r="AI289">
        <f t="shared" si="40"/>
        <v>515</v>
      </c>
      <c r="AJ289" s="22">
        <f>IF(ISERROR(MATCH(A289,Rosters!$B$2:$B$155,0)),AD289,"")</f>
        <v>-5.8682834285714289</v>
      </c>
      <c r="AK289">
        <f t="shared" si="41"/>
        <v>362</v>
      </c>
      <c r="AL289" s="23">
        <f>COUNTIF(INDEX($C289:$S289,Week+1):INDEX($C289:$S289,13),"&gt;0")</f>
        <v>0</v>
      </c>
    </row>
    <row r="290" spans="1:38" x14ac:dyDescent="0.25">
      <c r="A290" t="s">
        <v>1406</v>
      </c>
      <c r="B290" t="s">
        <v>47</v>
      </c>
      <c r="C290">
        <v>4.1900000000000004</v>
      </c>
      <c r="D290">
        <v>0</v>
      </c>
      <c r="E290">
        <v>0</v>
      </c>
      <c r="F290">
        <v>0</v>
      </c>
      <c r="G290">
        <v>0</v>
      </c>
      <c r="H290">
        <v>0</v>
      </c>
      <c r="I290">
        <v>0</v>
      </c>
      <c r="J290">
        <v>0</v>
      </c>
      <c r="K290">
        <v>0</v>
      </c>
      <c r="L290" t="s">
        <v>64</v>
      </c>
      <c r="M290">
        <v>1.97</v>
      </c>
      <c r="N290">
        <v>1.88</v>
      </c>
      <c r="O290">
        <v>1.83</v>
      </c>
      <c r="P290">
        <v>1.99</v>
      </c>
      <c r="Q290">
        <v>1.88</v>
      </c>
      <c r="R290">
        <v>1.67</v>
      </c>
      <c r="S290">
        <v>1.36</v>
      </c>
      <c r="T290" s="2">
        <f>IF('ROS Rankings'!$AD$1,IFERROR(AVERAGE(INDEX($C290:$S290,14):INDEX($C290:$S290,17)),0),IFERROR(AVERAGE(INDEX($C290:$S290,Week+1):INDEX($C290:$S290,13)),0))</f>
        <v>0.81142857142857139</v>
      </c>
      <c r="U290" s="2" t="str">
        <f t="shared" si="42"/>
        <v/>
      </c>
      <c r="V290" s="2">
        <f t="shared" si="42"/>
        <v>0.81142857142857139</v>
      </c>
      <c r="W290" s="2" t="str">
        <f t="shared" si="42"/>
        <v/>
      </c>
      <c r="X290" s="2" t="str">
        <f t="shared" si="42"/>
        <v/>
      </c>
      <c r="Y290" s="2" t="str">
        <f t="shared" si="42"/>
        <v/>
      </c>
      <c r="Z290" s="2" t="str">
        <f t="shared" si="42"/>
        <v/>
      </c>
      <c r="AA290" s="23" t="str">
        <f t="shared" si="36"/>
        <v>RB92</v>
      </c>
      <c r="AB290" s="2">
        <f>$T290-VLOOKUP($B290,Scores!$AG$1:$AM$7,5,FALSE)</f>
        <v>-10.947142857142858</v>
      </c>
      <c r="AC290" s="2">
        <f>$T290-VLOOKUP($B290,Scores!$AG$1:$AM$7,6,FALSE)</f>
        <v>-7.45857142857143</v>
      </c>
      <c r="AD290" s="2">
        <f>$T290-VLOOKUP($B290,Scores!$AG$1:$AM$7,7,FALSE)+(ROW(A289)/1000000)</f>
        <v>-5.0568538571428574</v>
      </c>
      <c r="AE290" s="2">
        <f t="array" ref="AE290">IF('ROS Rankings'!$AD$1,IFERROR(AVERAGE(IF(INDEX($C290:$S290,14):INDEX($C290:$S290,17)="NA",0,INDEX($C290:$S290,14):INDEX($C290:$S290,17))-INDEX($AQ$2:$BG$7,MATCH($B290,$AO$2:$AO$7,0),14):INDEX($AQ$2:$BG$7,MATCH($B290,$AO$2:$AO$7,0),17)),0),IFERROR(AVERAGE(IF(INDEX($C290:$S290,Week+1):INDEX($C290:$S290,13)="NA",0,INDEX($C290:$S290,Week+1):INDEX($C290:$S290,13))-INDEX($AQ$2:$BG$7,MATCH($B290,$AO$2:$AO$7,0),Week+1):INDEX($AQ$2:$BG$7,MATCH($B290,$AO$2:$AO$7,0),13)),0))+ROW(A289)/1000000</f>
        <v>-4.649710999999999</v>
      </c>
      <c r="AF290">
        <f t="shared" si="37"/>
        <v>480</v>
      </c>
      <c r="AG290">
        <f t="shared" si="38"/>
        <v>447</v>
      </c>
      <c r="AH290">
        <f t="shared" si="39"/>
        <v>410</v>
      </c>
      <c r="AI290">
        <f t="shared" si="40"/>
        <v>392</v>
      </c>
      <c r="AJ290" s="22">
        <f>IF(ISERROR(MATCH(A290,Rosters!$B$2:$B$155,0)),AD290,"")</f>
        <v>-5.0568538571428574</v>
      </c>
      <c r="AK290">
        <f t="shared" si="41"/>
        <v>258</v>
      </c>
      <c r="AL290" s="23">
        <f>COUNTIF(INDEX($C290:$S290,Week+1):INDEX($C290:$S290,13),"&gt;0")</f>
        <v>3</v>
      </c>
    </row>
    <row r="291" spans="1:38" x14ac:dyDescent="0.25">
      <c r="A291" t="s">
        <v>195</v>
      </c>
      <c r="B291" t="s">
        <v>87</v>
      </c>
      <c r="C291">
        <v>6.96</v>
      </c>
      <c r="D291">
        <v>6.07</v>
      </c>
      <c r="E291">
        <v>7.62</v>
      </c>
      <c r="F291">
        <v>8.69</v>
      </c>
      <c r="G291">
        <v>8.16</v>
      </c>
      <c r="H291" t="s">
        <v>64</v>
      </c>
      <c r="I291">
        <v>7.22</v>
      </c>
      <c r="J291">
        <v>8.18</v>
      </c>
      <c r="K291">
        <v>7.74</v>
      </c>
      <c r="L291">
        <v>7.09</v>
      </c>
      <c r="M291">
        <v>8.68</v>
      </c>
      <c r="N291">
        <v>7.22</v>
      </c>
      <c r="O291">
        <v>8.58</v>
      </c>
      <c r="P291">
        <v>7.2</v>
      </c>
      <c r="Q291">
        <v>7.39</v>
      </c>
      <c r="R291">
        <v>7.94</v>
      </c>
      <c r="S291">
        <v>7.36</v>
      </c>
      <c r="T291" s="2">
        <f>IF('ROS Rankings'!$AD$1,IFERROR(AVERAGE(INDEX($C291:$S291,14):INDEX($C291:$S291,17)),0),IFERROR(AVERAGE(INDEX($C291:$S291,Week+1):INDEX($C291:$S291,13)),0))</f>
        <v>7.8157142857142849</v>
      </c>
      <c r="U291" s="2" t="str">
        <f t="shared" si="42"/>
        <v/>
      </c>
      <c r="V291" s="2" t="str">
        <f t="shared" si="42"/>
        <v/>
      </c>
      <c r="W291" s="2">
        <f t="shared" si="42"/>
        <v>7.8157142857142849</v>
      </c>
      <c r="X291" s="2" t="str">
        <f t="shared" si="42"/>
        <v/>
      </c>
      <c r="Y291" s="2" t="str">
        <f t="shared" si="42"/>
        <v/>
      </c>
      <c r="Z291" s="2" t="str">
        <f t="shared" si="42"/>
        <v/>
      </c>
      <c r="AA291" s="23" t="str">
        <f t="shared" si="36"/>
        <v>WR41</v>
      </c>
      <c r="AB291" s="2">
        <f>$T291-VLOOKUP($B291,Scores!$AG$1:$AM$7,5,FALSE)</f>
        <v>-2.5557142857142852</v>
      </c>
      <c r="AC291" s="2">
        <f>$T291-VLOOKUP($B291,Scores!$AG$1:$AM$7,6,FALSE)</f>
        <v>-0.21571428571428708</v>
      </c>
      <c r="AD291" s="2">
        <f>$T291-VLOOKUP($B291,Scores!$AG$1:$AM$7,7,FALSE)+(ROW(A290)/1000000)</f>
        <v>1.7631471428571424</v>
      </c>
      <c r="AE291" s="2">
        <f t="array" ref="AE291">IF('ROS Rankings'!$AD$1,IFERROR(AVERAGE(IF(INDEX($C291:$S291,14):INDEX($C291:$S291,17)="NA",0,INDEX($C291:$S291,14):INDEX($C291:$S291,17))-INDEX($AQ$2:$BG$7,MATCH($B291,$AO$2:$AO$7,0),14):INDEX($AQ$2:$BG$7,MATCH($B291,$AO$2:$AO$7,0),17)),0),IFERROR(AVERAGE(IF(INDEX($C291:$S291,Week+1):INDEX($C291:$S291,13)="NA",0,INDEX($C291:$S291,Week+1):INDEX($C291:$S291,13))-INDEX($AQ$2:$BG$7,MATCH($B291,$AO$2:$AO$7,0),Week+1):INDEX($AQ$2:$BG$7,MATCH($B291,$AO$2:$AO$7,0),13)),0))+ROW(A290)/1000000</f>
        <v>1.4827899999999996</v>
      </c>
      <c r="AF291">
        <f t="shared" si="37"/>
        <v>152</v>
      </c>
      <c r="AG291">
        <f t="shared" si="38"/>
        <v>120</v>
      </c>
      <c r="AH291">
        <f t="shared" si="39"/>
        <v>79</v>
      </c>
      <c r="AI291">
        <f t="shared" si="40"/>
        <v>76</v>
      </c>
      <c r="AJ291" s="22" t="str">
        <f>IF(ISERROR(MATCH(A291,Rosters!$B$2:$B$155,0)),AD291,"")</f>
        <v/>
      </c>
      <c r="AK291" t="str">
        <f t="shared" si="41"/>
        <v/>
      </c>
      <c r="AL291" s="23">
        <f>COUNTIF(INDEX($C291:$S291,Week+1):INDEX($C291:$S291,13),"&gt;0")</f>
        <v>7</v>
      </c>
    </row>
    <row r="292" spans="1:38" x14ac:dyDescent="0.25">
      <c r="A292" t="s">
        <v>220</v>
      </c>
      <c r="B292" t="s">
        <v>87</v>
      </c>
      <c r="C292">
        <v>7.53</v>
      </c>
      <c r="D292">
        <v>8.6</v>
      </c>
      <c r="E292">
        <v>7.84</v>
      </c>
      <c r="F292">
        <v>7.59</v>
      </c>
      <c r="G292">
        <v>7.56</v>
      </c>
      <c r="H292">
        <v>6.62</v>
      </c>
      <c r="I292">
        <v>8.3699999999999992</v>
      </c>
      <c r="J292">
        <v>9.0500000000000007</v>
      </c>
      <c r="K292">
        <v>7.72</v>
      </c>
      <c r="L292">
        <v>8.67</v>
      </c>
      <c r="M292" t="s">
        <v>64</v>
      </c>
      <c r="N292">
        <v>8.48</v>
      </c>
      <c r="O292">
        <v>6.99</v>
      </c>
      <c r="P292">
        <v>8.98</v>
      </c>
      <c r="Q292">
        <v>8.2899999999999991</v>
      </c>
      <c r="R292">
        <v>5.91</v>
      </c>
      <c r="S292">
        <v>6.75</v>
      </c>
      <c r="T292" s="2">
        <f>IF('ROS Rankings'!$AD$1,IFERROR(AVERAGE(INDEX($C292:$S292,14):INDEX($C292:$S292,17)),0),IFERROR(AVERAGE(INDEX($C292:$S292,Week+1):INDEX($C292:$S292,13)),0))</f>
        <v>7.9857142857142858</v>
      </c>
      <c r="U292" s="2" t="str">
        <f t="shared" si="42"/>
        <v/>
      </c>
      <c r="V292" s="2" t="str">
        <f t="shared" si="42"/>
        <v/>
      </c>
      <c r="W292" s="2">
        <f t="shared" si="42"/>
        <v>7.9857142857142858</v>
      </c>
      <c r="X292" s="2" t="str">
        <f t="shared" si="42"/>
        <v/>
      </c>
      <c r="Y292" s="2" t="str">
        <f t="shared" si="42"/>
        <v/>
      </c>
      <c r="Z292" s="2" t="str">
        <f t="shared" si="42"/>
        <v/>
      </c>
      <c r="AA292" s="23" t="str">
        <f t="shared" si="36"/>
        <v>WR38</v>
      </c>
      <c r="AB292" s="2">
        <f>$T292-VLOOKUP($B292,Scores!$AG$1:$AM$7,5,FALSE)</f>
        <v>-2.3857142857142843</v>
      </c>
      <c r="AC292" s="2">
        <f>$T292-VLOOKUP($B292,Scores!$AG$1:$AM$7,6,FALSE)</f>
        <v>-4.5714285714286262E-2</v>
      </c>
      <c r="AD292" s="2">
        <f>$T292-VLOOKUP($B292,Scores!$AG$1:$AM$7,7,FALSE)+(ROW(A291)/1000000)</f>
        <v>1.9331481428571433</v>
      </c>
      <c r="AE292" s="2">
        <f t="array" ref="AE292">IF('ROS Rankings'!$AD$1,IFERROR(AVERAGE(IF(INDEX($C292:$S292,14):INDEX($C292:$S292,17)="NA",0,INDEX($C292:$S292,14):INDEX($C292:$S292,17))-INDEX($AQ$2:$BG$7,MATCH($B292,$AO$2:$AO$7,0),14):INDEX($AQ$2:$BG$7,MATCH($B292,$AO$2:$AO$7,0),17)),0),IFERROR(AVERAGE(IF(INDEX($C292:$S292,Week+1):INDEX($C292:$S292,13)="NA",0,INDEX($C292:$S292,Week+1):INDEX($C292:$S292,13))-INDEX($AQ$2:$BG$7,MATCH($B292,$AO$2:$AO$7,0),Week+1):INDEX($AQ$2:$BG$7,MATCH($B292,$AO$2:$AO$7,0),13)),0))+ROW(A291)/1000000</f>
        <v>1.6315410000000001</v>
      </c>
      <c r="AF292">
        <f t="shared" si="37"/>
        <v>148</v>
      </c>
      <c r="AG292">
        <f t="shared" si="38"/>
        <v>106</v>
      </c>
      <c r="AH292">
        <f t="shared" si="39"/>
        <v>72</v>
      </c>
      <c r="AI292">
        <f t="shared" si="40"/>
        <v>72</v>
      </c>
      <c r="AJ292" s="22" t="str">
        <f>IF(ISERROR(MATCH(A292,Rosters!$B$2:$B$155,0)),AD292,"")</f>
        <v/>
      </c>
      <c r="AK292" t="str">
        <f t="shared" si="41"/>
        <v/>
      </c>
      <c r="AL292" s="23">
        <f>COUNTIF(INDEX($C292:$S292,Week+1):INDEX($C292:$S292,13),"&gt;0")</f>
        <v>7</v>
      </c>
    </row>
    <row r="293" spans="1:38" x14ac:dyDescent="0.25">
      <c r="A293" t="s">
        <v>290</v>
      </c>
      <c r="B293" t="s">
        <v>47</v>
      </c>
      <c r="C293">
        <v>9.3800000000000008</v>
      </c>
      <c r="D293">
        <v>9.19</v>
      </c>
      <c r="E293">
        <v>10.16</v>
      </c>
      <c r="F293">
        <v>9.16</v>
      </c>
      <c r="G293">
        <v>6.28</v>
      </c>
      <c r="H293">
        <v>6.2</v>
      </c>
      <c r="I293">
        <v>6.85</v>
      </c>
      <c r="J293">
        <v>6.48</v>
      </c>
      <c r="K293">
        <v>6.85</v>
      </c>
      <c r="L293">
        <v>6.42</v>
      </c>
      <c r="M293" t="s">
        <v>64</v>
      </c>
      <c r="N293">
        <v>6.31</v>
      </c>
      <c r="O293">
        <v>7.45</v>
      </c>
      <c r="P293">
        <v>6.92</v>
      </c>
      <c r="Q293">
        <v>6.25</v>
      </c>
      <c r="R293">
        <v>5.58</v>
      </c>
      <c r="S293">
        <v>6.9</v>
      </c>
      <c r="T293" s="2">
        <f>IF('ROS Rankings'!$AD$1,IFERROR(AVERAGE(INDEX($C293:$S293,14):INDEX($C293:$S293,17)),0),IFERROR(AVERAGE(INDEX($C293:$S293,Week+1):INDEX($C293:$S293,13)),0))</f>
        <v>6.651428571428573</v>
      </c>
      <c r="U293" s="2" t="str">
        <f t="shared" si="42"/>
        <v/>
      </c>
      <c r="V293" s="2">
        <f t="shared" si="42"/>
        <v>6.651428571428573</v>
      </c>
      <c r="W293" s="2" t="str">
        <f t="shared" si="42"/>
        <v/>
      </c>
      <c r="X293" s="2" t="str">
        <f t="shared" si="42"/>
        <v/>
      </c>
      <c r="Y293" s="2" t="str">
        <f t="shared" si="42"/>
        <v/>
      </c>
      <c r="Z293" s="2" t="str">
        <f t="shared" si="42"/>
        <v/>
      </c>
      <c r="AA293" s="23" t="str">
        <f t="shared" si="36"/>
        <v>RB39</v>
      </c>
      <c r="AB293" s="2">
        <f>$T293-VLOOKUP($B293,Scores!$AG$1:$AM$7,5,FALSE)</f>
        <v>-5.1071428571428559</v>
      </c>
      <c r="AC293" s="2">
        <f>$T293-VLOOKUP($B293,Scores!$AG$1:$AM$7,6,FALSE)</f>
        <v>-1.6185714285714283</v>
      </c>
      <c r="AD293" s="2">
        <f>$T293-VLOOKUP($B293,Scores!$AG$1:$AM$7,7,FALSE)+(ROW(A292)/1000000)</f>
        <v>0.78314914285714377</v>
      </c>
      <c r="AE293" s="2">
        <f t="array" ref="AE293">IF('ROS Rankings'!$AD$1,IFERROR(AVERAGE(IF(INDEX($C293:$S293,14):INDEX($C293:$S293,17)="NA",0,INDEX($C293:$S293,14):INDEX($C293:$S293,17))-INDEX($AQ$2:$BG$7,MATCH($B293,$AO$2:$AO$7,0),14):INDEX($AQ$2:$BG$7,MATCH($B293,$AO$2:$AO$7,0),17)),0),IFERROR(AVERAGE(IF(INDEX($C293:$S293,Week+1):INDEX($C293:$S293,13)="NA",0,INDEX($C293:$S293,Week+1):INDEX($C293:$S293,13))-INDEX($AQ$2:$BG$7,MATCH($B293,$AO$2:$AO$7,0),Week+1):INDEX($AQ$2:$BG$7,MATCH($B293,$AO$2:$AO$7,0),13)),0))+ROW(A292)/1000000</f>
        <v>0.46029200000000009</v>
      </c>
      <c r="AF293">
        <f t="shared" si="37"/>
        <v>239</v>
      </c>
      <c r="AG293">
        <f t="shared" si="38"/>
        <v>183</v>
      </c>
      <c r="AH293">
        <f t="shared" si="39"/>
        <v>107</v>
      </c>
      <c r="AI293">
        <f t="shared" si="40"/>
        <v>103</v>
      </c>
      <c r="AJ293" s="22" t="str">
        <f>IF(ISERROR(MATCH(A293,Rosters!$B$2:$B$155,0)),AD293,"")</f>
        <v/>
      </c>
      <c r="AK293" t="str">
        <f t="shared" si="41"/>
        <v/>
      </c>
      <c r="AL293" s="23">
        <f>COUNTIF(INDEX($C293:$S293,Week+1):INDEX($C293:$S293,13),"&gt;0")</f>
        <v>7</v>
      </c>
    </row>
    <row r="294" spans="1:38" x14ac:dyDescent="0.25">
      <c r="A294" t="s">
        <v>1326</v>
      </c>
      <c r="B294" t="s">
        <v>47</v>
      </c>
      <c r="C294">
        <v>5.16</v>
      </c>
      <c r="D294">
        <v>5.95</v>
      </c>
      <c r="E294">
        <v>5.19</v>
      </c>
      <c r="F294">
        <v>8</v>
      </c>
      <c r="G294">
        <v>8.67</v>
      </c>
      <c r="H294" t="s">
        <v>64</v>
      </c>
      <c r="I294">
        <v>7.74</v>
      </c>
      <c r="J294">
        <v>7.18</v>
      </c>
      <c r="K294">
        <v>6.98</v>
      </c>
      <c r="L294">
        <v>6.63</v>
      </c>
      <c r="M294">
        <v>7.69</v>
      </c>
      <c r="N294">
        <v>7.03</v>
      </c>
      <c r="O294">
        <v>9.6300000000000008</v>
      </c>
      <c r="P294">
        <v>6.66</v>
      </c>
      <c r="Q294">
        <v>7.99</v>
      </c>
      <c r="R294">
        <v>7.51</v>
      </c>
      <c r="S294">
        <v>8.02</v>
      </c>
      <c r="T294" s="2">
        <f>IF('ROS Rankings'!$AD$1,IFERROR(AVERAGE(INDEX($C294:$S294,14):INDEX($C294:$S294,17)),0),IFERROR(AVERAGE(INDEX($C294:$S294,Week+1):INDEX($C294:$S294,13)),0))</f>
        <v>7.5542857142857143</v>
      </c>
      <c r="U294" s="2" t="str">
        <f t="shared" si="42"/>
        <v/>
      </c>
      <c r="V294" s="2">
        <f t="shared" si="42"/>
        <v>7.5542857142857143</v>
      </c>
      <c r="W294" s="2" t="str">
        <f t="shared" si="42"/>
        <v/>
      </c>
      <c r="X294" s="2" t="str">
        <f t="shared" si="42"/>
        <v/>
      </c>
      <c r="Y294" s="2" t="str">
        <f t="shared" si="42"/>
        <v/>
      </c>
      <c r="Z294" s="2" t="str">
        <f t="shared" si="42"/>
        <v/>
      </c>
      <c r="AA294" s="23" t="str">
        <f t="shared" si="36"/>
        <v>RB32</v>
      </c>
      <c r="AB294" s="2">
        <f>$T294-VLOOKUP($B294,Scores!$AG$1:$AM$7,5,FALSE)</f>
        <v>-4.2042857142857146</v>
      </c>
      <c r="AC294" s="2">
        <f>$T294-VLOOKUP($B294,Scores!$AG$1:$AM$7,6,FALSE)</f>
        <v>-0.71571428571428708</v>
      </c>
      <c r="AD294" s="2">
        <f>$T294-VLOOKUP($B294,Scores!$AG$1:$AM$7,7,FALSE)+(ROW(A293)/1000000)</f>
        <v>1.6860072857142852</v>
      </c>
      <c r="AE294" s="2">
        <f t="array" ref="AE294">IF('ROS Rankings'!$AD$1,IFERROR(AVERAGE(IF(INDEX($C294:$S294,14):INDEX($C294:$S294,17)="NA",0,INDEX($C294:$S294,14):INDEX($C294:$S294,17))-INDEX($AQ$2:$BG$7,MATCH($B294,$AO$2:$AO$7,0),14):INDEX($AQ$2:$BG$7,MATCH($B294,$AO$2:$AO$7,0),17)),0),IFERROR(AVERAGE(IF(INDEX($C294:$S294,Week+1):INDEX($C294:$S294,13)="NA",0,INDEX($C294:$S294,Week+1):INDEX($C294:$S294,13))-INDEX($AQ$2:$BG$7,MATCH($B294,$AO$2:$AO$7,0),Week+1):INDEX($AQ$2:$BG$7,MATCH($B294,$AO$2:$AO$7,0),13)),0))+ROW(A293)/1000000</f>
        <v>1.2502930000000005</v>
      </c>
      <c r="AF294">
        <f t="shared" si="37"/>
        <v>197</v>
      </c>
      <c r="AG294">
        <f t="shared" si="38"/>
        <v>145</v>
      </c>
      <c r="AH294">
        <f t="shared" si="39"/>
        <v>81</v>
      </c>
      <c r="AI294">
        <f t="shared" si="40"/>
        <v>82</v>
      </c>
      <c r="AJ294" s="22" t="str">
        <f>IF(ISERROR(MATCH(A294,Rosters!$B$2:$B$155,0)),AD294,"")</f>
        <v/>
      </c>
      <c r="AK294" t="str">
        <f t="shared" si="41"/>
        <v/>
      </c>
      <c r="AL294" s="23">
        <f>COUNTIF(INDEX($C294:$S294,Week+1):INDEX($C294:$S294,13),"&gt;0")</f>
        <v>7</v>
      </c>
    </row>
    <row r="295" spans="1:38" x14ac:dyDescent="0.25">
      <c r="A295" t="s">
        <v>322</v>
      </c>
      <c r="B295" t="s">
        <v>15</v>
      </c>
      <c r="C295">
        <v>0</v>
      </c>
      <c r="D295">
        <v>0</v>
      </c>
      <c r="E295">
        <v>0</v>
      </c>
      <c r="F295">
        <v>0</v>
      </c>
      <c r="G295">
        <v>0</v>
      </c>
      <c r="H295">
        <v>0</v>
      </c>
      <c r="I295">
        <v>0</v>
      </c>
      <c r="J295">
        <v>0</v>
      </c>
      <c r="K295">
        <v>0</v>
      </c>
      <c r="L295" t="s">
        <v>64</v>
      </c>
      <c r="M295">
        <v>0</v>
      </c>
      <c r="N295">
        <v>0</v>
      </c>
      <c r="O295">
        <v>0</v>
      </c>
      <c r="P295">
        <v>0</v>
      </c>
      <c r="Q295">
        <v>0</v>
      </c>
      <c r="R295">
        <v>0</v>
      </c>
      <c r="S295">
        <v>0</v>
      </c>
      <c r="T295" s="2">
        <f>IF('ROS Rankings'!$AD$1,IFERROR(AVERAGE(INDEX($C295:$S295,14):INDEX($C295:$S295,17)),0),IFERROR(AVERAGE(INDEX($C295:$S295,Week+1):INDEX($C295:$S295,13)),0))</f>
        <v>0</v>
      </c>
      <c r="U295" s="2">
        <f t="shared" si="42"/>
        <v>0</v>
      </c>
      <c r="V295" s="2" t="str">
        <f t="shared" si="42"/>
        <v/>
      </c>
      <c r="W295" s="2" t="str">
        <f t="shared" si="42"/>
        <v/>
      </c>
      <c r="X295" s="2" t="str">
        <f t="shared" si="42"/>
        <v/>
      </c>
      <c r="Y295" s="2" t="str">
        <f t="shared" si="42"/>
        <v/>
      </c>
      <c r="Z295" s="2" t="str">
        <f t="shared" si="42"/>
        <v/>
      </c>
      <c r="AA295" s="23" t="str">
        <f t="shared" si="36"/>
        <v>QB60</v>
      </c>
      <c r="AB295" s="2">
        <f>$T295-VLOOKUP($B295,Scores!$AG$1:$AM$7,5,FALSE)</f>
        <v>-20.884285714285713</v>
      </c>
      <c r="AC295" s="2">
        <f>$T295-VLOOKUP($B295,Scores!$AG$1:$AM$7,6,FALSE)</f>
        <v>-19.903749999999999</v>
      </c>
      <c r="AD295" s="2">
        <f>$T295-VLOOKUP($B295,Scores!$AG$1:$AM$7,7,FALSE)+(ROW(A294)/1000000)</f>
        <v>-19.499705999999996</v>
      </c>
      <c r="AE295" s="2">
        <f t="array" ref="AE295">IF('ROS Rankings'!$AD$1,IFERROR(AVERAGE(IF(INDEX($C295:$S295,14):INDEX($C295:$S295,17)="NA",0,INDEX($C295:$S295,14):INDEX($C295:$S295,17))-INDEX($AQ$2:$BG$7,MATCH($B295,$AO$2:$AO$7,0),14):INDEX($AQ$2:$BG$7,MATCH($B295,$AO$2:$AO$7,0),17)),0),IFERROR(AVERAGE(IF(INDEX($C295:$S295,Week+1):INDEX($C295:$S295,13)="NA",0,INDEX($C295:$S295,Week+1):INDEX($C295:$S295,13))-INDEX($AQ$2:$BG$7,MATCH($B295,$AO$2:$AO$7,0),Week+1):INDEX($AQ$2:$BG$7,MATCH($B295,$AO$2:$AO$7,0),13)),0))+ROW(A294)/1000000</f>
        <v>-18.502206000000001</v>
      </c>
      <c r="AF295">
        <f t="shared" si="37"/>
        <v>551</v>
      </c>
      <c r="AG295">
        <f t="shared" si="38"/>
        <v>551</v>
      </c>
      <c r="AH295">
        <f t="shared" si="39"/>
        <v>555</v>
      </c>
      <c r="AI295">
        <f t="shared" si="40"/>
        <v>555</v>
      </c>
      <c r="AJ295" s="22">
        <f>IF(ISERROR(MATCH(A295,Rosters!$B$2:$B$155,0)),AD295,"")</f>
        <v>-19.499705999999996</v>
      </c>
      <c r="AK295">
        <f t="shared" si="41"/>
        <v>402</v>
      </c>
      <c r="AL295" s="23">
        <f>COUNTIF(INDEX($C295:$S295,Week+1):INDEX($C295:$S295,13),"&gt;0")</f>
        <v>0</v>
      </c>
    </row>
    <row r="296" spans="1:38" x14ac:dyDescent="0.25">
      <c r="A296" t="s">
        <v>198</v>
      </c>
      <c r="B296" t="s">
        <v>87</v>
      </c>
      <c r="C296">
        <v>2.08</v>
      </c>
      <c r="D296">
        <v>0.9</v>
      </c>
      <c r="E296">
        <v>0.52</v>
      </c>
      <c r="F296">
        <v>0.47</v>
      </c>
      <c r="G296" t="s">
        <v>64</v>
      </c>
      <c r="H296">
        <v>0.67</v>
      </c>
      <c r="I296">
        <v>0.68</v>
      </c>
      <c r="J296">
        <v>0.54</v>
      </c>
      <c r="K296">
        <v>0.57999999999999996</v>
      </c>
      <c r="L296">
        <v>0.73</v>
      </c>
      <c r="M296">
        <v>0.56000000000000005</v>
      </c>
      <c r="N296">
        <v>0.69</v>
      </c>
      <c r="O296">
        <v>0.61</v>
      </c>
      <c r="P296">
        <v>0.59</v>
      </c>
      <c r="Q296">
        <v>0.7</v>
      </c>
      <c r="R296">
        <v>0.65</v>
      </c>
      <c r="S296">
        <v>0.54</v>
      </c>
      <c r="T296" s="2">
        <f>IF('ROS Rankings'!$AD$1,IFERROR(AVERAGE(INDEX($C296:$S296,14):INDEX($C296:$S296,17)),0),IFERROR(AVERAGE(INDEX($C296:$S296,Week+1):INDEX($C296:$S296,13)),0))</f>
        <v>0.63250000000000006</v>
      </c>
      <c r="U296" s="2" t="str">
        <f t="shared" si="42"/>
        <v/>
      </c>
      <c r="V296" s="2" t="str">
        <f t="shared" si="42"/>
        <v/>
      </c>
      <c r="W296" s="2">
        <f t="shared" si="42"/>
        <v>0.63250000000000006</v>
      </c>
      <c r="X296" s="2" t="str">
        <f t="shared" si="42"/>
        <v/>
      </c>
      <c r="Y296" s="2" t="str">
        <f t="shared" si="42"/>
        <v/>
      </c>
      <c r="Z296" s="2" t="str">
        <f t="shared" si="42"/>
        <v/>
      </c>
      <c r="AA296" s="23" t="str">
        <f t="shared" si="36"/>
        <v>WR147</v>
      </c>
      <c r="AB296" s="2">
        <f>$T296-VLOOKUP($B296,Scores!$AG$1:$AM$7,5,FALSE)</f>
        <v>-9.7389285714285698</v>
      </c>
      <c r="AC296" s="2">
        <f>$T296-VLOOKUP($B296,Scores!$AG$1:$AM$7,6,FALSE)</f>
        <v>-7.3989285714285717</v>
      </c>
      <c r="AD296" s="2">
        <f>$T296-VLOOKUP($B296,Scores!$AG$1:$AM$7,7,FALSE)+(ROW(A295)/1000000)</f>
        <v>-5.4200621428571418</v>
      </c>
      <c r="AE296" s="2">
        <f t="array" ref="AE296">IF('ROS Rankings'!$AD$1,IFERROR(AVERAGE(IF(INDEX($C296:$S296,14):INDEX($C296:$S296,17)="NA",0,INDEX($C296:$S296,14):INDEX($C296:$S296,17))-INDEX($AQ$2:$BG$7,MATCH($B296,$AO$2:$AO$7,0),14):INDEX($AQ$2:$BG$7,MATCH($B296,$AO$2:$AO$7,0),17)),0),IFERROR(AVERAGE(IF(INDEX($C296:$S296,Week+1):INDEX($C296:$S296,13)="NA",0,INDEX($C296:$S296,Week+1):INDEX($C296:$S296,13))-INDEX($AQ$2:$BG$7,MATCH($B296,$AO$2:$AO$7,0),Week+1):INDEX($AQ$2:$BG$7,MATCH($B296,$AO$2:$AO$7,0),13)),0))+ROW(A295)/1000000</f>
        <v>-4.7234549999999995</v>
      </c>
      <c r="AF296">
        <f t="shared" si="37"/>
        <v>422</v>
      </c>
      <c r="AG296">
        <f t="shared" si="38"/>
        <v>438</v>
      </c>
      <c r="AH296">
        <f t="shared" si="39"/>
        <v>468</v>
      </c>
      <c r="AI296">
        <f t="shared" si="40"/>
        <v>413</v>
      </c>
      <c r="AJ296" s="22">
        <f>IF(ISERROR(MATCH(A296,Rosters!$B$2:$B$155,0)),AD296,"")</f>
        <v>-5.4200621428571418</v>
      </c>
      <c r="AK296">
        <f t="shared" si="41"/>
        <v>316</v>
      </c>
      <c r="AL296" s="23">
        <f>COUNTIF(INDEX($C296:$S296,Week+1):INDEX($C296:$S296,13),"&gt;0")</f>
        <v>8</v>
      </c>
    </row>
    <row r="297" spans="1:38" x14ac:dyDescent="0.25">
      <c r="A297" t="s">
        <v>4612</v>
      </c>
      <c r="B297" t="s">
        <v>87</v>
      </c>
      <c r="C297" t="s">
        <v>64</v>
      </c>
      <c r="D297" t="s">
        <v>64</v>
      </c>
      <c r="E297" t="s">
        <v>64</v>
      </c>
      <c r="F297">
        <v>1.04</v>
      </c>
      <c r="G297">
        <v>2.09</v>
      </c>
      <c r="H297">
        <v>2.13</v>
      </c>
      <c r="I297">
        <v>2.2999999999999998</v>
      </c>
      <c r="J297">
        <v>2.79</v>
      </c>
      <c r="K297">
        <v>2.3199999999999998</v>
      </c>
      <c r="L297">
        <v>0.68</v>
      </c>
      <c r="M297">
        <v>0.92</v>
      </c>
      <c r="N297" t="s">
        <v>64</v>
      </c>
      <c r="O297">
        <v>0.87</v>
      </c>
      <c r="P297">
        <v>0.62</v>
      </c>
      <c r="Q297">
        <v>0.66</v>
      </c>
      <c r="R297">
        <v>0.63</v>
      </c>
      <c r="S297">
        <v>0.79</v>
      </c>
      <c r="T297" s="2">
        <f>IF('ROS Rankings'!$AD$1,IFERROR(AVERAGE(INDEX($C297:$S297,14):INDEX($C297:$S297,17)),0),IFERROR(AVERAGE(INDEX($C297:$S297,Week+1):INDEX($C297:$S297,13)),0))</f>
        <v>1.7157142857142855</v>
      </c>
      <c r="U297" s="2" t="str">
        <f t="shared" si="42"/>
        <v/>
      </c>
      <c r="V297" s="2" t="str">
        <f t="shared" si="42"/>
        <v/>
      </c>
      <c r="W297" s="2">
        <f t="shared" si="42"/>
        <v>1.7157142857142855</v>
      </c>
      <c r="X297" s="2" t="str">
        <f t="shared" si="42"/>
        <v/>
      </c>
      <c r="Y297" s="2" t="str">
        <f t="shared" si="42"/>
        <v/>
      </c>
      <c r="Z297" s="2" t="str">
        <f t="shared" si="42"/>
        <v/>
      </c>
      <c r="AA297" s="23" t="str">
        <f t="shared" si="36"/>
        <v>WR114</v>
      </c>
      <c r="AB297" s="2">
        <f>$T297-VLOOKUP($B297,Scores!$AG$1:$AM$7,5,FALSE)</f>
        <v>-8.6557142857142839</v>
      </c>
      <c r="AC297" s="2">
        <f>$T297-VLOOKUP($B297,Scores!$AG$1:$AM$7,6,FALSE)</f>
        <v>-6.3157142857142867</v>
      </c>
      <c r="AD297" s="2">
        <f>$T297-VLOOKUP($B297,Scores!$AG$1:$AM$7,7,FALSE)+(ROW(A296)/1000000)</f>
        <v>-4.3368468571428576</v>
      </c>
      <c r="AE297" s="2">
        <f t="array" ref="AE297">IF('ROS Rankings'!$AD$1,IFERROR(AVERAGE(IF(INDEX($C297:$S297,14):INDEX($C297:$S297,17)="NA",0,INDEX($C297:$S297,14):INDEX($C297:$S297,17))-INDEX($AQ$2:$BG$7,MATCH($B297,$AO$2:$AO$7,0),14):INDEX($AQ$2:$BG$7,MATCH($B297,$AO$2:$AO$7,0),17)),0),IFERROR(AVERAGE(IF(INDEX($C297:$S297,Week+1):INDEX($C297:$S297,13)="NA",0,INDEX($C297:$S297,Week+1):INDEX($C297:$S297,13))-INDEX($AQ$2:$BG$7,MATCH($B297,$AO$2:$AO$7,0),Week+1):INDEX($AQ$2:$BG$7,MATCH($B297,$AO$2:$AO$7,0),13)),0))+ROW(A296)/1000000</f>
        <v>-3.8547039999999995</v>
      </c>
      <c r="AF297">
        <f t="shared" si="37"/>
        <v>384</v>
      </c>
      <c r="AG297">
        <f t="shared" si="38"/>
        <v>386</v>
      </c>
      <c r="AH297">
        <f t="shared" si="39"/>
        <v>351</v>
      </c>
      <c r="AI297">
        <f t="shared" si="40"/>
        <v>341</v>
      </c>
      <c r="AJ297" s="22">
        <f>IF(ISERROR(MATCH(A297,Rosters!$B$2:$B$155,0)),AD297,"")</f>
        <v>-4.3368468571428576</v>
      </c>
      <c r="AK297">
        <f t="shared" si="41"/>
        <v>199</v>
      </c>
      <c r="AL297" s="23">
        <f>COUNTIF(INDEX($C297:$S297,Week+1):INDEX($C297:$S297,13),"&gt;0")</f>
        <v>7</v>
      </c>
    </row>
    <row r="298" spans="1:38" x14ac:dyDescent="0.25">
      <c r="A298" t="s">
        <v>1597</v>
      </c>
      <c r="B298" t="s">
        <v>114</v>
      </c>
      <c r="C298">
        <v>0</v>
      </c>
      <c r="D298">
        <v>0</v>
      </c>
      <c r="E298">
        <v>0.38</v>
      </c>
      <c r="F298">
        <v>0.44</v>
      </c>
      <c r="G298">
        <v>0.56000000000000005</v>
      </c>
      <c r="H298">
        <v>0.55000000000000004</v>
      </c>
      <c r="I298">
        <v>0.5</v>
      </c>
      <c r="J298">
        <v>0.49</v>
      </c>
      <c r="K298">
        <v>0.35</v>
      </c>
      <c r="L298">
        <v>0.44</v>
      </c>
      <c r="M298" t="s">
        <v>64</v>
      </c>
      <c r="N298">
        <v>0.33</v>
      </c>
      <c r="O298">
        <v>0.47</v>
      </c>
      <c r="P298">
        <v>0.46</v>
      </c>
      <c r="Q298">
        <v>0.48</v>
      </c>
      <c r="R298">
        <v>0.48</v>
      </c>
      <c r="S298">
        <v>0.49</v>
      </c>
      <c r="T298" s="2">
        <f>IF('ROS Rankings'!$AD$1,IFERROR(AVERAGE(INDEX($C298:$S298,14):INDEX($C298:$S298,17)),0),IFERROR(AVERAGE(INDEX($C298:$S298,Week+1):INDEX($C298:$S298,13)),0))</f>
        <v>0.44714285714285712</v>
      </c>
      <c r="U298" s="2" t="str">
        <f t="shared" si="42"/>
        <v/>
      </c>
      <c r="V298" s="2" t="str">
        <f t="shared" si="42"/>
        <v/>
      </c>
      <c r="W298" s="2" t="str">
        <f t="shared" si="42"/>
        <v/>
      </c>
      <c r="X298" s="2">
        <f t="shared" si="42"/>
        <v>0.44714285714285712</v>
      </c>
      <c r="Y298" s="2" t="str">
        <f t="shared" si="42"/>
        <v/>
      </c>
      <c r="Z298" s="2" t="str">
        <f t="shared" si="42"/>
        <v/>
      </c>
      <c r="AA298" s="23" t="str">
        <f t="shared" si="36"/>
        <v>TE93</v>
      </c>
      <c r="AB298" s="2">
        <f>$T298-VLOOKUP($B298,Scores!$AG$1:$AM$7,5,FALSE)</f>
        <v>-6.5516071428571419</v>
      </c>
      <c r="AC298" s="2">
        <f>$T298-VLOOKUP($B298,Scores!$AG$1:$AM$7,6,FALSE)</f>
        <v>-4.8028571428571425</v>
      </c>
      <c r="AD298" s="2">
        <f>$T298-VLOOKUP($B298,Scores!$AG$1:$AM$7,7,FALSE)+(ROW(A297)/1000000)</f>
        <v>-4.7325601428571424</v>
      </c>
      <c r="AE298" s="2">
        <f t="array" ref="AE298">IF('ROS Rankings'!$AD$1,IFERROR(AVERAGE(IF(INDEX($C298:$S298,14):INDEX($C298:$S298,17)="NA",0,INDEX($C298:$S298,14):INDEX($C298:$S298,17))-INDEX($AQ$2:$BG$7,MATCH($B298,$AO$2:$AO$7,0),14):INDEX($AQ$2:$BG$7,MATCH($B298,$AO$2:$AO$7,0),17)),0),IFERROR(AVERAGE(IF(INDEX($C298:$S298,Week+1):INDEX($C298:$S298,13)="NA",0,INDEX($C298:$S298,Week+1):INDEX($C298:$S298,13))-INDEX($AQ$2:$BG$7,MATCH($B298,$AO$2:$AO$7,0),Week+1):INDEX($AQ$2:$BG$7,MATCH($B298,$AO$2:$AO$7,0),13)),0))+ROW(A297)/1000000</f>
        <v>-4.7059530000000001</v>
      </c>
      <c r="AF298">
        <f t="shared" si="37"/>
        <v>325</v>
      </c>
      <c r="AG298">
        <f t="shared" si="38"/>
        <v>341</v>
      </c>
      <c r="AH298">
        <f t="shared" si="39"/>
        <v>387</v>
      </c>
      <c r="AI298">
        <f t="shared" si="40"/>
        <v>409</v>
      </c>
      <c r="AJ298" s="22">
        <f>IF(ISERROR(MATCH(A298,Rosters!$B$2:$B$155,0)),AD298,"")</f>
        <v>-4.7325601428571424</v>
      </c>
      <c r="AK298">
        <f t="shared" si="41"/>
        <v>235</v>
      </c>
      <c r="AL298" s="23">
        <f>COUNTIF(INDEX($C298:$S298,Week+1):INDEX($C298:$S298,13),"&gt;0")</f>
        <v>7</v>
      </c>
    </row>
    <row r="299" spans="1:38" x14ac:dyDescent="0.25">
      <c r="A299" t="s">
        <v>43</v>
      </c>
      <c r="B299" t="s">
        <v>15</v>
      </c>
      <c r="C299">
        <v>19.07</v>
      </c>
      <c r="D299">
        <v>18.32</v>
      </c>
      <c r="E299">
        <v>17.54</v>
      </c>
      <c r="F299">
        <v>17.309999999999999</v>
      </c>
      <c r="G299">
        <v>18.86</v>
      </c>
      <c r="H299">
        <v>19.489999999999998</v>
      </c>
      <c r="I299">
        <v>18.309999999999999</v>
      </c>
      <c r="J299">
        <v>21.21</v>
      </c>
      <c r="K299">
        <v>20.65</v>
      </c>
      <c r="L299" t="s">
        <v>64</v>
      </c>
      <c r="M299">
        <v>18.53</v>
      </c>
      <c r="N299">
        <v>20.8</v>
      </c>
      <c r="O299">
        <v>19.46</v>
      </c>
      <c r="P299">
        <v>20.11</v>
      </c>
      <c r="Q299">
        <v>21.17</v>
      </c>
      <c r="R299">
        <v>19.440000000000001</v>
      </c>
      <c r="S299">
        <v>19.66</v>
      </c>
      <c r="T299" s="2">
        <f>IF('ROS Rankings'!$AD$1,IFERROR(AVERAGE(INDEX($C299:$S299,14):INDEX($C299:$S299,17)),0),IFERROR(AVERAGE(INDEX($C299:$S299,Week+1):INDEX($C299:$S299,13)),0))</f>
        <v>19.778571428571428</v>
      </c>
      <c r="U299" s="2">
        <f t="shared" si="42"/>
        <v>19.778571428571428</v>
      </c>
      <c r="V299" s="2" t="str">
        <f t="shared" si="42"/>
        <v/>
      </c>
      <c r="W299" s="2" t="str">
        <f t="shared" si="42"/>
        <v/>
      </c>
      <c r="X299" s="2" t="str">
        <f t="shared" si="42"/>
        <v/>
      </c>
      <c r="Y299" s="2" t="str">
        <f t="shared" si="42"/>
        <v/>
      </c>
      <c r="Z299" s="2" t="str">
        <f t="shared" si="42"/>
        <v/>
      </c>
      <c r="AA299" s="23" t="str">
        <f t="shared" si="36"/>
        <v>QB11</v>
      </c>
      <c r="AB299" s="2">
        <f>$T299-VLOOKUP($B299,Scores!$AG$1:$AM$7,5,FALSE)</f>
        <v>-1.105714285714285</v>
      </c>
      <c r="AC299" s="2">
        <f>$T299-VLOOKUP($B299,Scores!$AG$1:$AM$7,6,FALSE)</f>
        <v>-0.12517857142857025</v>
      </c>
      <c r="AD299" s="2">
        <f>$T299-VLOOKUP($B299,Scores!$AG$1:$AM$7,7,FALSE)+(ROW(A298)/1000000)</f>
        <v>0.27886942857143204</v>
      </c>
      <c r="AE299" s="2">
        <f t="array" ref="AE299">IF('ROS Rankings'!$AD$1,IFERROR(AVERAGE(IF(INDEX($C299:$S299,14):INDEX($C299:$S299,17)="NA",0,INDEX($C299:$S299,14):INDEX($C299:$S299,17))-INDEX($AQ$2:$BG$7,MATCH($B299,$AO$2:$AO$7,0),14):INDEX($AQ$2:$BG$7,MATCH($B299,$AO$2:$AO$7,0),17)),0),IFERROR(AVERAGE(IF(INDEX($C299:$S299,Week+1):INDEX($C299:$S299,13)="NA",0,INDEX($C299:$S299,Week+1):INDEX($C299:$S299,13))-INDEX($AQ$2:$BG$7,MATCH($B299,$AO$2:$AO$7,0),Week+1):INDEX($AQ$2:$BG$7,MATCH($B299,$AO$2:$AO$7,0),13)),0))+ROW(A298)/1000000</f>
        <v>-1.1959520000000001</v>
      </c>
      <c r="AF299">
        <f t="shared" si="37"/>
        <v>93</v>
      </c>
      <c r="AG299">
        <f t="shared" si="38"/>
        <v>113</v>
      </c>
      <c r="AH299">
        <f t="shared" si="39"/>
        <v>127</v>
      </c>
      <c r="AI299">
        <f t="shared" si="40"/>
        <v>186</v>
      </c>
      <c r="AJ299" s="22">
        <f>IF(ISERROR(MATCH(A299,Rosters!$B$2:$B$155,0)),AD299,"")</f>
        <v>0.27886942857143204</v>
      </c>
      <c r="AK299">
        <f t="shared" si="41"/>
        <v>12</v>
      </c>
      <c r="AL299" s="23">
        <f>COUNTIF(INDEX($C299:$S299,Week+1):INDEX($C299:$S299,13),"&gt;0")</f>
        <v>7</v>
      </c>
    </row>
    <row r="300" spans="1:38" x14ac:dyDescent="0.25">
      <c r="A300" t="s">
        <v>339</v>
      </c>
      <c r="B300" t="s">
        <v>47</v>
      </c>
      <c r="C300">
        <v>0.63</v>
      </c>
      <c r="D300">
        <v>1.05</v>
      </c>
      <c r="E300">
        <v>1.31</v>
      </c>
      <c r="F300">
        <v>1.04</v>
      </c>
      <c r="G300">
        <v>1.25</v>
      </c>
      <c r="H300">
        <v>1.1399999999999999</v>
      </c>
      <c r="I300">
        <v>0.98</v>
      </c>
      <c r="J300">
        <v>1.18</v>
      </c>
      <c r="K300">
        <v>1.51</v>
      </c>
      <c r="L300">
        <v>1.26</v>
      </c>
      <c r="M300" t="s">
        <v>64</v>
      </c>
      <c r="N300">
        <v>1.5</v>
      </c>
      <c r="O300">
        <v>1.26</v>
      </c>
      <c r="P300">
        <v>1.29</v>
      </c>
      <c r="Q300">
        <v>1.31</v>
      </c>
      <c r="R300">
        <v>1.27</v>
      </c>
      <c r="S300">
        <v>0.93</v>
      </c>
      <c r="T300" s="2">
        <f>IF('ROS Rankings'!$AD$1,IFERROR(AVERAGE(INDEX($C300:$S300,14):INDEX($C300:$S300,17)),0),IFERROR(AVERAGE(INDEX($C300:$S300,Week+1):INDEX($C300:$S300,13)),0))</f>
        <v>1.2614285714285713</v>
      </c>
      <c r="U300" s="2" t="str">
        <f t="shared" si="42"/>
        <v/>
      </c>
      <c r="V300" s="2">
        <f t="shared" si="42"/>
        <v>1.2614285714285713</v>
      </c>
      <c r="W300" s="2" t="str">
        <f t="shared" si="42"/>
        <v/>
      </c>
      <c r="X300" s="2" t="str">
        <f t="shared" si="42"/>
        <v/>
      </c>
      <c r="Y300" s="2" t="str">
        <f t="shared" si="42"/>
        <v/>
      </c>
      <c r="Z300" s="2" t="str">
        <f t="shared" si="42"/>
        <v/>
      </c>
      <c r="AA300" s="23" t="str">
        <f t="shared" si="36"/>
        <v>RB83</v>
      </c>
      <c r="AB300" s="2">
        <f>$T300-VLOOKUP($B300,Scores!$AG$1:$AM$7,5,FALSE)</f>
        <v>-10.497142857142858</v>
      </c>
      <c r="AC300" s="2">
        <f>$T300-VLOOKUP($B300,Scores!$AG$1:$AM$7,6,FALSE)</f>
        <v>-7.0085714285714298</v>
      </c>
      <c r="AD300" s="2">
        <f>$T300-VLOOKUP($B300,Scores!$AG$1:$AM$7,7,FALSE)+(ROW(A299)/1000000)</f>
        <v>-4.6068438571428576</v>
      </c>
      <c r="AE300" s="2">
        <f t="array" ref="AE300">IF('ROS Rankings'!$AD$1,IFERROR(AVERAGE(IF(INDEX($C300:$S300,14):INDEX($C300:$S300,17)="NA",0,INDEX($C300:$S300,14):INDEX($C300:$S300,17))-INDEX($AQ$2:$BG$7,MATCH($B300,$AO$2:$AO$7,0),14):INDEX($AQ$2:$BG$7,MATCH($B300,$AO$2:$AO$7,0),17)),0),IFERROR(AVERAGE(IF(INDEX($C300:$S300,Week+1):INDEX($C300:$S300,13)="NA",0,INDEX($C300:$S300,Week+1):INDEX($C300:$S300,13))-INDEX($AQ$2:$BG$7,MATCH($B300,$AO$2:$AO$7,0),Week+1):INDEX($AQ$2:$BG$7,MATCH($B300,$AO$2:$AO$7,0),13)),0))+ROW(A299)/1000000</f>
        <v>-4.2559510000000005</v>
      </c>
      <c r="AF300">
        <f t="shared" si="37"/>
        <v>471</v>
      </c>
      <c r="AG300">
        <f t="shared" si="38"/>
        <v>405</v>
      </c>
      <c r="AH300">
        <f t="shared" si="39"/>
        <v>366</v>
      </c>
      <c r="AI300">
        <f t="shared" si="40"/>
        <v>359</v>
      </c>
      <c r="AJ300" s="22">
        <f>IF(ISERROR(MATCH(A300,Rosters!$B$2:$B$155,0)),AD300,"")</f>
        <v>-4.6068438571428576</v>
      </c>
      <c r="AK300">
        <f t="shared" si="41"/>
        <v>214</v>
      </c>
      <c r="AL300" s="23">
        <f>COUNTIF(INDEX($C300:$S300,Week+1):INDEX($C300:$S300,13),"&gt;0")</f>
        <v>7</v>
      </c>
    </row>
    <row r="301" spans="1:38" x14ac:dyDescent="0.25">
      <c r="A301" t="s">
        <v>181</v>
      </c>
      <c r="B301" t="s">
        <v>114</v>
      </c>
      <c r="C301">
        <v>7.2</v>
      </c>
      <c r="D301">
        <v>6.29</v>
      </c>
      <c r="E301">
        <v>7.14</v>
      </c>
      <c r="F301">
        <v>6.44</v>
      </c>
      <c r="G301">
        <v>6.37</v>
      </c>
      <c r="H301">
        <v>6.28</v>
      </c>
      <c r="I301">
        <v>6.79</v>
      </c>
      <c r="J301">
        <v>6.9</v>
      </c>
      <c r="K301">
        <v>6.67</v>
      </c>
      <c r="L301" t="s">
        <v>64</v>
      </c>
      <c r="M301">
        <v>5.17</v>
      </c>
      <c r="N301">
        <v>6.95</v>
      </c>
      <c r="O301">
        <v>6.58</v>
      </c>
      <c r="P301">
        <v>5.53</v>
      </c>
      <c r="Q301">
        <v>6.57</v>
      </c>
      <c r="R301">
        <v>6.51</v>
      </c>
      <c r="S301">
        <v>5.39</v>
      </c>
      <c r="T301" s="2">
        <f>IF('ROS Rankings'!$AD$1,IFERROR(AVERAGE(INDEX($C301:$S301,14):INDEX($C301:$S301,17)),0),IFERROR(AVERAGE(INDEX($C301:$S301,Week+1):INDEX($C301:$S301,13)),0))</f>
        <v>6.4771428571428578</v>
      </c>
      <c r="U301" s="2" t="str">
        <f t="shared" si="42"/>
        <v/>
      </c>
      <c r="V301" s="2" t="str">
        <f t="shared" si="42"/>
        <v/>
      </c>
      <c r="W301" s="2" t="str">
        <f t="shared" si="42"/>
        <v/>
      </c>
      <c r="X301" s="2">
        <f t="shared" si="42"/>
        <v>6.4771428571428578</v>
      </c>
      <c r="Y301" s="2" t="str">
        <f t="shared" si="42"/>
        <v/>
      </c>
      <c r="Z301" s="2" t="str">
        <f t="shared" si="42"/>
        <v/>
      </c>
      <c r="AA301" s="23" t="str">
        <f t="shared" si="36"/>
        <v>TE8</v>
      </c>
      <c r="AB301" s="2">
        <f>$T301-VLOOKUP($B301,Scores!$AG$1:$AM$7,5,FALSE)</f>
        <v>-0.5216071428571416</v>
      </c>
      <c r="AC301" s="2">
        <f>$T301-VLOOKUP($B301,Scores!$AG$1:$AM$7,6,FALSE)</f>
        <v>1.2271428571428578</v>
      </c>
      <c r="AD301" s="2">
        <f>$T301-VLOOKUP($B301,Scores!$AG$1:$AM$7,7,FALSE)+(ROW(A300)/1000000)</f>
        <v>1.297442857142858</v>
      </c>
      <c r="AE301" s="2">
        <f t="array" ref="AE301">IF('ROS Rankings'!$AD$1,IFERROR(AVERAGE(IF(INDEX($C301:$S301,14):INDEX($C301:$S301,17)="NA",0,INDEX($C301:$S301,14):INDEX($C301:$S301,17))-INDEX($AQ$2:$BG$7,MATCH($B301,$AO$2:$AO$7,0),14):INDEX($AQ$2:$BG$7,MATCH($B301,$AO$2:$AO$7,0),17)),0),IFERROR(AVERAGE(IF(INDEX($C301:$S301,Week+1):INDEX($C301:$S301,13)="NA",0,INDEX($C301:$S301,Week+1):INDEX($C301:$S301,13))-INDEX($AQ$2:$BG$7,MATCH($B301,$AO$2:$AO$7,0),Week+1):INDEX($AQ$2:$BG$7,MATCH($B301,$AO$2:$AO$7,0),13)),0))+ROW(A300)/1000000</f>
        <v>0.57030000000000014</v>
      </c>
      <c r="AF301">
        <f t="shared" si="37"/>
        <v>68</v>
      </c>
      <c r="AG301">
        <f t="shared" si="38"/>
        <v>52</v>
      </c>
      <c r="AH301">
        <f t="shared" si="39"/>
        <v>95</v>
      </c>
      <c r="AI301">
        <f t="shared" si="40"/>
        <v>99</v>
      </c>
      <c r="AJ301" s="22" t="str">
        <f>IF(ISERROR(MATCH(A301,Rosters!$B$2:$B$155,0)),AD301,"")</f>
        <v/>
      </c>
      <c r="AK301" t="str">
        <f t="shared" si="41"/>
        <v/>
      </c>
      <c r="AL301" s="23">
        <f>COUNTIF(INDEX($C301:$S301,Week+1):INDEX($C301:$S301,13),"&gt;0")</f>
        <v>7</v>
      </c>
    </row>
    <row r="302" spans="1:38" x14ac:dyDescent="0.25">
      <c r="A302" t="s">
        <v>1483</v>
      </c>
      <c r="B302" t="s">
        <v>15</v>
      </c>
      <c r="C302">
        <v>3.83</v>
      </c>
      <c r="D302">
        <v>2.72</v>
      </c>
      <c r="E302">
        <v>3.28</v>
      </c>
      <c r="F302">
        <v>2.4900000000000002</v>
      </c>
      <c r="G302">
        <v>2.21</v>
      </c>
      <c r="H302">
        <v>2.4900000000000002</v>
      </c>
      <c r="I302">
        <v>2.65</v>
      </c>
      <c r="J302">
        <v>2.2200000000000002</v>
      </c>
      <c r="K302">
        <v>2.56</v>
      </c>
      <c r="L302" t="s">
        <v>64</v>
      </c>
      <c r="M302">
        <v>3.56</v>
      </c>
      <c r="N302">
        <v>2.2200000000000002</v>
      </c>
      <c r="O302">
        <v>2.2599999999999998</v>
      </c>
      <c r="P302">
        <v>2.41</v>
      </c>
      <c r="Q302">
        <v>3.23</v>
      </c>
      <c r="R302">
        <v>2.3199999999999998</v>
      </c>
      <c r="S302">
        <v>2.34</v>
      </c>
      <c r="T302" s="2">
        <f>IF('ROS Rankings'!$AD$1,IFERROR(AVERAGE(INDEX($C302:$S302,14):INDEX($C302:$S302,17)),0),IFERROR(AVERAGE(INDEX($C302:$S302,Week+1):INDEX($C302:$S302,13)),0))</f>
        <v>2.5657142857142858</v>
      </c>
      <c r="U302" s="2">
        <f t="shared" si="42"/>
        <v>2.5657142857142858</v>
      </c>
      <c r="V302" s="2" t="str">
        <f t="shared" si="42"/>
        <v/>
      </c>
      <c r="W302" s="2" t="str">
        <f t="shared" si="42"/>
        <v/>
      </c>
      <c r="X302" s="2" t="str">
        <f t="shared" ref="X302:Z365" si="43">IF($B302=X$1,$T302,"")</f>
        <v/>
      </c>
      <c r="Y302" s="2" t="str">
        <f t="shared" si="43"/>
        <v/>
      </c>
      <c r="Z302" s="2" t="str">
        <f t="shared" si="43"/>
        <v/>
      </c>
      <c r="AA302" s="23" t="str">
        <f t="shared" si="36"/>
        <v>QB33</v>
      </c>
      <c r="AB302" s="2">
        <f>$T302-VLOOKUP($B302,Scores!$AG$1:$AM$7,5,FALSE)</f>
        <v>-18.318571428571428</v>
      </c>
      <c r="AC302" s="2">
        <f>$T302-VLOOKUP($B302,Scores!$AG$1:$AM$7,6,FALSE)</f>
        <v>-17.338035714285713</v>
      </c>
      <c r="AD302" s="2">
        <f>$T302-VLOOKUP($B302,Scores!$AG$1:$AM$7,7,FALSE)+(ROW(A301)/1000000)</f>
        <v>-16.93398471428571</v>
      </c>
      <c r="AE302" s="2">
        <f t="array" ref="AE302">IF('ROS Rankings'!$AD$1,IFERROR(AVERAGE(IF(INDEX($C302:$S302,14):INDEX($C302:$S302,17)="NA",0,INDEX($C302:$S302,14):INDEX($C302:$S302,17))-INDEX($AQ$2:$BG$7,MATCH($B302,$AO$2:$AO$7,0),14):INDEX($AQ$2:$BG$7,MATCH($B302,$AO$2:$AO$7,0),17)),0),IFERROR(AVERAGE(IF(INDEX($C302:$S302,Week+1):INDEX($C302:$S302,13)="NA",0,INDEX($C302:$S302,Week+1):INDEX($C302:$S302,13))-INDEX($AQ$2:$BG$7,MATCH($B302,$AO$2:$AO$7,0),Week+1):INDEX($AQ$2:$BG$7,MATCH($B302,$AO$2:$AO$7,0),13)),0))+ROW(A301)/1000000</f>
        <v>-16.257199</v>
      </c>
      <c r="AF302">
        <f t="shared" si="37"/>
        <v>524</v>
      </c>
      <c r="AG302">
        <f t="shared" si="38"/>
        <v>524</v>
      </c>
      <c r="AH302">
        <f t="shared" si="39"/>
        <v>524</v>
      </c>
      <c r="AI302">
        <f t="shared" si="40"/>
        <v>524</v>
      </c>
      <c r="AJ302" s="22">
        <f>IF(ISERROR(MATCH(A302,Rosters!$B$2:$B$155,0)),AD302,"")</f>
        <v>-16.93398471428571</v>
      </c>
      <c r="AK302">
        <f t="shared" si="41"/>
        <v>371</v>
      </c>
      <c r="AL302" s="23">
        <f>COUNTIF(INDEX($C302:$S302,Week+1):INDEX($C302:$S302,13),"&gt;0")</f>
        <v>7</v>
      </c>
    </row>
    <row r="303" spans="1:38" x14ac:dyDescent="0.25">
      <c r="A303" t="s">
        <v>99</v>
      </c>
      <c r="B303" t="s">
        <v>47</v>
      </c>
      <c r="C303">
        <v>10.23</v>
      </c>
      <c r="D303">
        <v>11.29</v>
      </c>
      <c r="E303">
        <v>11.37</v>
      </c>
      <c r="F303">
        <v>11.68</v>
      </c>
      <c r="G303">
        <v>11.82</v>
      </c>
      <c r="H303">
        <v>13.38</v>
      </c>
      <c r="I303">
        <v>10.25</v>
      </c>
      <c r="J303">
        <v>14.26</v>
      </c>
      <c r="K303">
        <v>11.75</v>
      </c>
      <c r="L303" t="s">
        <v>64</v>
      </c>
      <c r="M303">
        <v>12.36</v>
      </c>
      <c r="N303">
        <v>13.63</v>
      </c>
      <c r="O303">
        <v>12.92</v>
      </c>
      <c r="P303">
        <v>14.11</v>
      </c>
      <c r="Q303">
        <v>11.64</v>
      </c>
      <c r="R303">
        <v>11.77</v>
      </c>
      <c r="S303">
        <v>10.88</v>
      </c>
      <c r="T303" s="2">
        <f>IF('ROS Rankings'!$AD$1,IFERROR(AVERAGE(INDEX($C303:$S303,14):INDEX($C303:$S303,17)),0),IFERROR(AVERAGE(INDEX($C303:$S303,Week+1):INDEX($C303:$S303,13)),0))</f>
        <v>12.65</v>
      </c>
      <c r="U303" s="2" t="str">
        <f t="shared" ref="U303:Z366" si="44">IF($B303=U$1,$T303,"")</f>
        <v/>
      </c>
      <c r="V303" s="2">
        <f t="shared" si="44"/>
        <v>12.65</v>
      </c>
      <c r="W303" s="2" t="str">
        <f t="shared" si="44"/>
        <v/>
      </c>
      <c r="X303" s="2" t="str">
        <f t="shared" si="44"/>
        <v/>
      </c>
      <c r="Y303" s="2" t="str">
        <f t="shared" si="44"/>
        <v/>
      </c>
      <c r="Z303" s="2" t="str">
        <f t="shared" si="44"/>
        <v/>
      </c>
      <c r="AA303" s="23" t="str">
        <f t="shared" si="36"/>
        <v>RB11</v>
      </c>
      <c r="AB303" s="2">
        <f>$T303-VLOOKUP($B303,Scores!$AG$1:$AM$7,5,FALSE)</f>
        <v>0.89142857142857146</v>
      </c>
      <c r="AC303" s="2">
        <f>$T303-VLOOKUP($B303,Scores!$AG$1:$AM$7,6,FALSE)</f>
        <v>4.379999999999999</v>
      </c>
      <c r="AD303" s="2">
        <f>$T303-VLOOKUP($B303,Scores!$AG$1:$AM$7,7,FALSE)+(ROW(A302)/1000000)</f>
        <v>6.7817305714285707</v>
      </c>
      <c r="AE303" s="2">
        <f t="array" ref="AE303">IF('ROS Rankings'!$AD$1,IFERROR(AVERAGE(IF(INDEX($C303:$S303,14):INDEX($C303:$S303,17)="NA",0,INDEX($C303:$S303,14):INDEX($C303:$S303,17))-INDEX($AQ$2:$BG$7,MATCH($B303,$AO$2:$AO$7,0),14):INDEX($AQ$2:$BG$7,MATCH($B303,$AO$2:$AO$7,0),17)),0),IFERROR(AVERAGE(IF(INDEX($C303:$S303,Week+1):INDEX($C303:$S303,13)="NA",0,INDEX($C303:$S303,Week+1):INDEX($C303:$S303,13))-INDEX($AQ$2:$BG$7,MATCH($B303,$AO$2:$AO$7,0),Week+1):INDEX($AQ$2:$BG$7,MATCH($B303,$AO$2:$AO$7,0),13)),0))+ROW(A302)/1000000</f>
        <v>5.7090519999999998</v>
      </c>
      <c r="AF303">
        <f t="shared" si="37"/>
        <v>27</v>
      </c>
      <c r="AG303">
        <f t="shared" si="38"/>
        <v>20</v>
      </c>
      <c r="AH303">
        <f t="shared" si="39"/>
        <v>16</v>
      </c>
      <c r="AI303">
        <f t="shared" si="40"/>
        <v>19</v>
      </c>
      <c r="AJ303" s="22" t="str">
        <f>IF(ISERROR(MATCH(A303,Rosters!$B$2:$B$155,0)),AD303,"")</f>
        <v/>
      </c>
      <c r="AK303" t="str">
        <f t="shared" si="41"/>
        <v/>
      </c>
      <c r="AL303" s="23">
        <f>COUNTIF(INDEX($C303:$S303,Week+1):INDEX($C303:$S303,13),"&gt;0")</f>
        <v>7</v>
      </c>
    </row>
    <row r="304" spans="1:38" x14ac:dyDescent="0.25">
      <c r="A304" t="s">
        <v>300</v>
      </c>
      <c r="B304" t="s">
        <v>114</v>
      </c>
      <c r="C304">
        <v>0.86</v>
      </c>
      <c r="D304">
        <v>0.71</v>
      </c>
      <c r="E304">
        <v>1.19</v>
      </c>
      <c r="F304">
        <v>1.64</v>
      </c>
      <c r="G304">
        <v>1.52</v>
      </c>
      <c r="H304">
        <v>1.49</v>
      </c>
      <c r="I304" t="s">
        <v>64</v>
      </c>
      <c r="J304">
        <v>1.54</v>
      </c>
      <c r="K304">
        <v>1.35</v>
      </c>
      <c r="L304">
        <v>1.52</v>
      </c>
      <c r="M304">
        <v>1.44</v>
      </c>
      <c r="N304">
        <v>1.47</v>
      </c>
      <c r="O304">
        <v>1.3</v>
      </c>
      <c r="P304">
        <v>1.51</v>
      </c>
      <c r="Q304">
        <v>1.26</v>
      </c>
      <c r="R304">
        <v>1.43</v>
      </c>
      <c r="S304">
        <v>1.57</v>
      </c>
      <c r="T304" s="2">
        <f>IF('ROS Rankings'!$AD$1,IFERROR(AVERAGE(INDEX($C304:$S304,14):INDEX($C304:$S304,17)),0),IFERROR(AVERAGE(INDEX($C304:$S304,Week+1):INDEX($C304:$S304,13)),0))</f>
        <v>1.4442857142857144</v>
      </c>
      <c r="U304" s="2" t="str">
        <f t="shared" si="44"/>
        <v/>
      </c>
      <c r="V304" s="2" t="str">
        <f t="shared" si="44"/>
        <v/>
      </c>
      <c r="W304" s="2" t="str">
        <f t="shared" si="44"/>
        <v/>
      </c>
      <c r="X304" s="2">
        <f t="shared" si="44"/>
        <v>1.4442857142857144</v>
      </c>
      <c r="Y304" s="2" t="str">
        <f t="shared" si="44"/>
        <v/>
      </c>
      <c r="Z304" s="2" t="str">
        <f t="shared" si="44"/>
        <v/>
      </c>
      <c r="AA304" s="23" t="str">
        <f t="shared" si="36"/>
        <v>TE65</v>
      </c>
      <c r="AB304" s="2">
        <f>$T304-VLOOKUP($B304,Scores!$AG$1:$AM$7,5,FALSE)</f>
        <v>-5.5544642857142854</v>
      </c>
      <c r="AC304" s="2">
        <f>$T304-VLOOKUP($B304,Scores!$AG$1:$AM$7,6,FALSE)</f>
        <v>-3.8057142857142856</v>
      </c>
      <c r="AD304" s="2">
        <f>$T304-VLOOKUP($B304,Scores!$AG$1:$AM$7,7,FALSE)+(ROW(A303)/1000000)</f>
        <v>-3.7354112857142852</v>
      </c>
      <c r="AE304" s="2">
        <f t="array" ref="AE304">IF('ROS Rankings'!$AD$1,IFERROR(AVERAGE(IF(INDEX($C304:$S304,14):INDEX($C304:$S304,17)="NA",0,INDEX($C304:$S304,14):INDEX($C304:$S304,17))-INDEX($AQ$2:$BG$7,MATCH($B304,$AO$2:$AO$7,0),14):INDEX($AQ$2:$BG$7,MATCH($B304,$AO$2:$AO$7,0),17)),0),IFERROR(AVERAGE(IF(INDEX($C304:$S304,Week+1):INDEX($C304:$S304,13)="NA",0,INDEX($C304:$S304,Week+1):INDEX($C304:$S304,13))-INDEX($AQ$2:$BG$7,MATCH($B304,$AO$2:$AO$7,0),Week+1):INDEX($AQ$2:$BG$7,MATCH($B304,$AO$2:$AO$7,0),13)),0))+ROW(A303)/1000000</f>
        <v>-3.8334469999999996</v>
      </c>
      <c r="AF304">
        <f t="shared" si="37"/>
        <v>265</v>
      </c>
      <c r="AG304">
        <f t="shared" si="38"/>
        <v>291</v>
      </c>
      <c r="AH304">
        <f t="shared" si="39"/>
        <v>334</v>
      </c>
      <c r="AI304">
        <f t="shared" si="40"/>
        <v>340</v>
      </c>
      <c r="AJ304" s="22">
        <f>IF(ISERROR(MATCH(A304,Rosters!$B$2:$B$155,0)),AD304,"")</f>
        <v>-3.7354112857142852</v>
      </c>
      <c r="AK304">
        <f t="shared" si="41"/>
        <v>183</v>
      </c>
      <c r="AL304" s="23">
        <f>COUNTIF(INDEX($C304:$S304,Week+1):INDEX($C304:$S304,13),"&gt;0")</f>
        <v>7</v>
      </c>
    </row>
    <row r="305" spans="1:38" x14ac:dyDescent="0.25">
      <c r="A305" t="s">
        <v>262</v>
      </c>
      <c r="B305" t="s">
        <v>87</v>
      </c>
      <c r="C305">
        <v>2.46</v>
      </c>
      <c r="D305">
        <v>2.67</v>
      </c>
      <c r="E305">
        <v>2.64</v>
      </c>
      <c r="F305">
        <v>1.94</v>
      </c>
      <c r="G305">
        <v>1.84</v>
      </c>
      <c r="H305">
        <v>2.1</v>
      </c>
      <c r="I305">
        <v>2.1</v>
      </c>
      <c r="J305">
        <v>4</v>
      </c>
      <c r="K305">
        <v>3.9</v>
      </c>
      <c r="L305" t="s">
        <v>64</v>
      </c>
      <c r="M305">
        <v>1.9</v>
      </c>
      <c r="N305">
        <v>3.73</v>
      </c>
      <c r="O305">
        <v>3.3</v>
      </c>
      <c r="P305">
        <v>2.56</v>
      </c>
      <c r="Q305">
        <v>4.3099999999999996</v>
      </c>
      <c r="R305">
        <v>3.74</v>
      </c>
      <c r="S305">
        <v>1.96</v>
      </c>
      <c r="T305" s="2">
        <f>IF('ROS Rankings'!$AD$1,IFERROR(AVERAGE(INDEX($C305:$S305,14):INDEX($C305:$S305,17)),0),IFERROR(AVERAGE(INDEX($C305:$S305,Week+1):INDEX($C305:$S305,13)),0))</f>
        <v>3.0042857142857144</v>
      </c>
      <c r="U305" s="2" t="str">
        <f t="shared" si="44"/>
        <v/>
      </c>
      <c r="V305" s="2" t="str">
        <f t="shared" si="44"/>
        <v/>
      </c>
      <c r="W305" s="2">
        <f t="shared" si="44"/>
        <v>3.0042857142857144</v>
      </c>
      <c r="X305" s="2" t="str">
        <f t="shared" si="44"/>
        <v/>
      </c>
      <c r="Y305" s="2" t="str">
        <f t="shared" si="44"/>
        <v/>
      </c>
      <c r="Z305" s="2" t="str">
        <f t="shared" si="44"/>
        <v/>
      </c>
      <c r="AA305" s="23" t="str">
        <f t="shared" si="36"/>
        <v>WR97</v>
      </c>
      <c r="AB305" s="2">
        <f>$T305-VLOOKUP($B305,Scores!$AG$1:$AM$7,5,FALSE)</f>
        <v>-7.3671428571428557</v>
      </c>
      <c r="AC305" s="2">
        <f>$T305-VLOOKUP($B305,Scores!$AG$1:$AM$7,6,FALSE)</f>
        <v>-5.0271428571428576</v>
      </c>
      <c r="AD305" s="2">
        <f>$T305-VLOOKUP($B305,Scores!$AG$1:$AM$7,7,FALSE)+(ROW(A304)/1000000)</f>
        <v>-3.0482674285714282</v>
      </c>
      <c r="AE305" s="2">
        <f t="array" ref="AE305">IF('ROS Rankings'!$AD$1,IFERROR(AVERAGE(IF(INDEX($C305:$S305,14):INDEX($C305:$S305,17)="NA",0,INDEX($C305:$S305,14):INDEX($C305:$S305,17))-INDEX($AQ$2:$BG$7,MATCH($B305,$AO$2:$AO$7,0),14):INDEX($AQ$2:$BG$7,MATCH($B305,$AO$2:$AO$7,0),17)),0),IFERROR(AVERAGE(IF(INDEX($C305:$S305,Week+1):INDEX($C305:$S305,13)="NA",0,INDEX($C305:$S305,Week+1):INDEX($C305:$S305,13))-INDEX($AQ$2:$BG$7,MATCH($B305,$AO$2:$AO$7,0),Week+1):INDEX($AQ$2:$BG$7,MATCH($B305,$AO$2:$AO$7,0),13)),0))+ROW(A304)/1000000</f>
        <v>-2.7271960000000006</v>
      </c>
      <c r="AF305">
        <f t="shared" si="37"/>
        <v>359</v>
      </c>
      <c r="AG305">
        <f t="shared" si="38"/>
        <v>357</v>
      </c>
      <c r="AH305">
        <f t="shared" si="39"/>
        <v>304</v>
      </c>
      <c r="AI305">
        <f t="shared" si="40"/>
        <v>279</v>
      </c>
      <c r="AJ305" s="22">
        <f>IF(ISERROR(MATCH(A305,Rosters!$B$2:$B$155,0)),AD305,"")</f>
        <v>-3.0482674285714282</v>
      </c>
      <c r="AK305">
        <f t="shared" si="41"/>
        <v>157</v>
      </c>
      <c r="AL305" s="23">
        <f>COUNTIF(INDEX($C305:$S305,Week+1):INDEX($C305:$S305,13),"&gt;0")</f>
        <v>7</v>
      </c>
    </row>
    <row r="306" spans="1:38" x14ac:dyDescent="0.25">
      <c r="A306" t="s">
        <v>140</v>
      </c>
      <c r="B306" t="s">
        <v>87</v>
      </c>
      <c r="C306">
        <v>9.18</v>
      </c>
      <c r="D306">
        <v>8.6300000000000008</v>
      </c>
      <c r="E306">
        <v>8.73</v>
      </c>
      <c r="F306">
        <v>7.12</v>
      </c>
      <c r="G306">
        <v>8.2100000000000009</v>
      </c>
      <c r="H306">
        <v>8.2799999999999994</v>
      </c>
      <c r="I306">
        <v>7.82</v>
      </c>
      <c r="J306">
        <v>9.42</v>
      </c>
      <c r="K306" t="s">
        <v>64</v>
      </c>
      <c r="L306">
        <v>7.32</v>
      </c>
      <c r="M306">
        <v>8.3000000000000007</v>
      </c>
      <c r="N306">
        <v>8.7899999999999991</v>
      </c>
      <c r="O306">
        <v>9.16</v>
      </c>
      <c r="P306">
        <v>9.2899999999999991</v>
      </c>
      <c r="Q306">
        <v>9.0299999999999994</v>
      </c>
      <c r="R306">
        <v>6.91</v>
      </c>
      <c r="S306">
        <v>7.48</v>
      </c>
      <c r="T306" s="2">
        <f>IF('ROS Rankings'!$AD$1,IFERROR(AVERAGE(INDEX($C306:$S306,14):INDEX($C306:$S306,17)),0),IFERROR(AVERAGE(INDEX($C306:$S306,Week+1):INDEX($C306:$S306,13)),0))</f>
        <v>8.4414285714285722</v>
      </c>
      <c r="U306" s="2" t="str">
        <f t="shared" si="44"/>
        <v/>
      </c>
      <c r="V306" s="2" t="str">
        <f t="shared" si="44"/>
        <v/>
      </c>
      <c r="W306" s="2">
        <f t="shared" si="44"/>
        <v>8.4414285714285722</v>
      </c>
      <c r="X306" s="2" t="str">
        <f t="shared" si="44"/>
        <v/>
      </c>
      <c r="Y306" s="2" t="str">
        <f t="shared" si="44"/>
        <v/>
      </c>
      <c r="Z306" s="2" t="str">
        <f t="shared" si="44"/>
        <v/>
      </c>
      <c r="AA306" s="23" t="str">
        <f t="shared" si="36"/>
        <v>WR29</v>
      </c>
      <c r="AB306" s="2">
        <f>$T306-VLOOKUP($B306,Scores!$AG$1:$AM$7,5,FALSE)</f>
        <v>-1.9299999999999979</v>
      </c>
      <c r="AC306" s="2">
        <f>$T306-VLOOKUP($B306,Scores!$AG$1:$AM$7,6,FALSE)</f>
        <v>0.41000000000000014</v>
      </c>
      <c r="AD306" s="2">
        <f>$T306-VLOOKUP($B306,Scores!$AG$1:$AM$7,7,FALSE)+(ROW(A305)/1000000)</f>
        <v>2.3888764285714297</v>
      </c>
      <c r="AE306" s="2">
        <f t="array" ref="AE306">IF('ROS Rankings'!$AD$1,IFERROR(AVERAGE(IF(INDEX($C306:$S306,14):INDEX($C306:$S306,17)="NA",0,INDEX($C306:$S306,14):INDEX($C306:$S306,17))-INDEX($AQ$2:$BG$7,MATCH($B306,$AO$2:$AO$7,0),14):INDEX($AQ$2:$BG$7,MATCH($B306,$AO$2:$AO$7,0),17)),0),IFERROR(AVERAGE(IF(INDEX($C306:$S306,Week+1):INDEX($C306:$S306,13)="NA",0,INDEX($C306:$S306,Week+1):INDEX($C306:$S306,13))-INDEX($AQ$2:$BG$7,MATCH($B306,$AO$2:$AO$7,0),Week+1):INDEX($AQ$2:$BG$7,MATCH($B306,$AO$2:$AO$7,0),13)),0))+ROW(A305)/1000000</f>
        <v>2.0303050000000002</v>
      </c>
      <c r="AF306">
        <f t="shared" si="37"/>
        <v>127</v>
      </c>
      <c r="AG306">
        <f t="shared" si="38"/>
        <v>78</v>
      </c>
      <c r="AH306">
        <f t="shared" si="39"/>
        <v>58</v>
      </c>
      <c r="AI306">
        <f t="shared" si="40"/>
        <v>60</v>
      </c>
      <c r="AJ306" s="22" t="str">
        <f>IF(ISERROR(MATCH(A306,Rosters!$B$2:$B$155,0)),AD306,"")</f>
        <v/>
      </c>
      <c r="AK306" t="str">
        <f t="shared" si="41"/>
        <v/>
      </c>
      <c r="AL306" s="23">
        <f>COUNTIF(INDEX($C306:$S306,Week+1):INDEX($C306:$S306,13),"&gt;0")</f>
        <v>7</v>
      </c>
    </row>
    <row r="307" spans="1:38" x14ac:dyDescent="0.25">
      <c r="A307" t="s">
        <v>187</v>
      </c>
      <c r="B307" t="s">
        <v>47</v>
      </c>
      <c r="C307">
        <v>5.05</v>
      </c>
      <c r="D307">
        <v>5.29</v>
      </c>
      <c r="E307">
        <v>11.78</v>
      </c>
      <c r="F307">
        <v>5.53</v>
      </c>
      <c r="G307">
        <v>7.28</v>
      </c>
      <c r="H307">
        <v>6.5</v>
      </c>
      <c r="I307">
        <v>5.89</v>
      </c>
      <c r="J307">
        <v>6.5</v>
      </c>
      <c r="K307">
        <v>7.22</v>
      </c>
      <c r="L307" t="s">
        <v>64</v>
      </c>
      <c r="M307">
        <v>5.77</v>
      </c>
      <c r="N307">
        <v>6.24</v>
      </c>
      <c r="O307">
        <v>6.64</v>
      </c>
      <c r="P307">
        <v>5.5</v>
      </c>
      <c r="Q307">
        <v>6.11</v>
      </c>
      <c r="R307">
        <v>6.67</v>
      </c>
      <c r="S307">
        <v>6.29</v>
      </c>
      <c r="T307" s="2">
        <f>IF('ROS Rankings'!$AD$1,IFERROR(AVERAGE(INDEX($C307:$S307,14):INDEX($C307:$S307,17)),0),IFERROR(AVERAGE(INDEX($C307:$S307,Week+1):INDEX($C307:$S307,13)),0))</f>
        <v>6.3942857142857141</v>
      </c>
      <c r="U307" s="2" t="str">
        <f t="shared" si="44"/>
        <v/>
      </c>
      <c r="V307" s="2">
        <f t="shared" si="44"/>
        <v>6.3942857142857141</v>
      </c>
      <c r="W307" s="2" t="str">
        <f t="shared" si="44"/>
        <v/>
      </c>
      <c r="X307" s="2" t="str">
        <f t="shared" si="44"/>
        <v/>
      </c>
      <c r="Y307" s="2" t="str">
        <f t="shared" si="44"/>
        <v/>
      </c>
      <c r="Z307" s="2" t="str">
        <f t="shared" si="44"/>
        <v/>
      </c>
      <c r="AA307" s="23" t="str">
        <f t="shared" si="36"/>
        <v>RB44</v>
      </c>
      <c r="AB307" s="2">
        <f>$T307-VLOOKUP($B307,Scores!$AG$1:$AM$7,5,FALSE)</f>
        <v>-5.3642857142857148</v>
      </c>
      <c r="AC307" s="2">
        <f>$T307-VLOOKUP($B307,Scores!$AG$1:$AM$7,6,FALSE)</f>
        <v>-1.8757142857142872</v>
      </c>
      <c r="AD307" s="2">
        <f>$T307-VLOOKUP($B307,Scores!$AG$1:$AM$7,7,FALSE)+(ROW(A306)/1000000)</f>
        <v>0.52602028571428494</v>
      </c>
      <c r="AE307" s="2">
        <f t="array" ref="AE307">IF('ROS Rankings'!$AD$1,IFERROR(AVERAGE(IF(INDEX($C307:$S307,14):INDEX($C307:$S307,17)="NA",0,INDEX($C307:$S307,14):INDEX($C307:$S307,17))-INDEX($AQ$2:$BG$7,MATCH($B307,$AO$2:$AO$7,0),14):INDEX($AQ$2:$BG$7,MATCH($B307,$AO$2:$AO$7,0),17)),0),IFERROR(AVERAGE(IF(INDEX($C307:$S307,Week+1):INDEX($C307:$S307,13)="NA",0,INDEX($C307:$S307,Week+1):INDEX($C307:$S307,13))-INDEX($AQ$2:$BG$7,MATCH($B307,$AO$2:$AO$7,0),Week+1):INDEX($AQ$2:$BG$7,MATCH($B307,$AO$2:$AO$7,0),13)),0))+ROW(A306)/1000000</f>
        <v>0.23530599999999999</v>
      </c>
      <c r="AF307">
        <f t="shared" si="37"/>
        <v>255</v>
      </c>
      <c r="AG307">
        <f t="shared" si="38"/>
        <v>193</v>
      </c>
      <c r="AH307">
        <f t="shared" si="39"/>
        <v>117</v>
      </c>
      <c r="AI307">
        <f t="shared" si="40"/>
        <v>111</v>
      </c>
      <c r="AJ307" s="22" t="str">
        <f>IF(ISERROR(MATCH(A307,Rosters!$B$2:$B$155,0)),AD307,"")</f>
        <v/>
      </c>
      <c r="AK307" t="str">
        <f t="shared" si="41"/>
        <v/>
      </c>
      <c r="AL307" s="23">
        <f>COUNTIF(INDEX($C307:$S307,Week+1):INDEX($C307:$S307,13),"&gt;0")</f>
        <v>7</v>
      </c>
    </row>
    <row r="308" spans="1:38" x14ac:dyDescent="0.25">
      <c r="A308" t="s">
        <v>48</v>
      </c>
      <c r="B308" t="s">
        <v>47</v>
      </c>
      <c r="C308">
        <v>0</v>
      </c>
      <c r="D308">
        <v>0</v>
      </c>
      <c r="E308">
        <v>0</v>
      </c>
      <c r="F308">
        <v>0</v>
      </c>
      <c r="G308">
        <v>0</v>
      </c>
      <c r="H308">
        <v>0</v>
      </c>
      <c r="I308" t="s">
        <v>64</v>
      </c>
      <c r="J308">
        <v>6.52</v>
      </c>
      <c r="K308">
        <v>6.7</v>
      </c>
      <c r="L308">
        <v>6.4</v>
      </c>
      <c r="M308">
        <v>6.48</v>
      </c>
      <c r="N308">
        <v>7.18</v>
      </c>
      <c r="O308">
        <v>6.96</v>
      </c>
      <c r="P308">
        <v>7.61</v>
      </c>
      <c r="Q308">
        <v>8.14</v>
      </c>
      <c r="R308">
        <v>7.65</v>
      </c>
      <c r="S308">
        <v>7.63</v>
      </c>
      <c r="T308" s="2">
        <f>IF('ROS Rankings'!$AD$1,IFERROR(AVERAGE(INDEX($C308:$S308,14):INDEX($C308:$S308,17)),0),IFERROR(AVERAGE(INDEX($C308:$S308,Week+1):INDEX($C308:$S308,13)),0))</f>
        <v>5.7485714285714291</v>
      </c>
      <c r="U308" s="2" t="str">
        <f t="shared" si="44"/>
        <v/>
      </c>
      <c r="V308" s="2">
        <f t="shared" si="44"/>
        <v>5.7485714285714291</v>
      </c>
      <c r="W308" s="2" t="str">
        <f t="shared" si="44"/>
        <v/>
      </c>
      <c r="X308" s="2" t="str">
        <f t="shared" si="44"/>
        <v/>
      </c>
      <c r="Y308" s="2" t="str">
        <f t="shared" si="44"/>
        <v/>
      </c>
      <c r="Z308" s="2" t="str">
        <f t="shared" si="44"/>
        <v/>
      </c>
      <c r="AA308" s="23" t="str">
        <f t="shared" si="36"/>
        <v>RB50</v>
      </c>
      <c r="AB308" s="2">
        <f>$T308-VLOOKUP($B308,Scores!$AG$1:$AM$7,5,FALSE)</f>
        <v>-6.01</v>
      </c>
      <c r="AC308" s="2">
        <f>$T308-VLOOKUP($B308,Scores!$AG$1:$AM$7,6,FALSE)</f>
        <v>-2.5214285714285722</v>
      </c>
      <c r="AD308" s="2">
        <f>$T308-VLOOKUP($B308,Scores!$AG$1:$AM$7,7,FALSE)+(ROW(A307)/1000000)</f>
        <v>-0.1196930000000001</v>
      </c>
      <c r="AE308" s="2">
        <f t="array" ref="AE308">IF('ROS Rankings'!$AD$1,IFERROR(AVERAGE(IF(INDEX($C308:$S308,14):INDEX($C308:$S308,17)="NA",0,INDEX($C308:$S308,14):INDEX($C308:$S308,17))-INDEX($AQ$2:$BG$7,MATCH($B308,$AO$2:$AO$7,0),14):INDEX($AQ$2:$BG$7,MATCH($B308,$AO$2:$AO$7,0),17)),0),IFERROR(AVERAGE(IF(INDEX($C308:$S308,Week+1):INDEX($C308:$S308,13)="NA",0,INDEX($C308:$S308,Week+1):INDEX($C308:$S308,13))-INDEX($AQ$2:$BG$7,MATCH($B308,$AO$2:$AO$7,0),Week+1):INDEX($AQ$2:$BG$7,MATCH($B308,$AO$2:$AO$7,0),13)),0))+ROW(A307)/1000000</f>
        <v>-0.32969299999999974</v>
      </c>
      <c r="AF308">
        <f t="shared" si="37"/>
        <v>281</v>
      </c>
      <c r="AG308">
        <f t="shared" si="38"/>
        <v>217</v>
      </c>
      <c r="AH308">
        <f t="shared" si="39"/>
        <v>155</v>
      </c>
      <c r="AI308">
        <f t="shared" si="40"/>
        <v>136</v>
      </c>
      <c r="AJ308" s="22" t="str">
        <f>IF(ISERROR(MATCH(A308,Rosters!$B$2:$B$155,0)),AD308,"")</f>
        <v/>
      </c>
      <c r="AK308" t="str">
        <f t="shared" si="41"/>
        <v/>
      </c>
      <c r="AL308" s="23">
        <f>COUNTIF(INDEX($C308:$S308,Week+1):INDEX($C308:$S308,13),"&gt;0")</f>
        <v>6</v>
      </c>
    </row>
    <row r="309" spans="1:38" x14ac:dyDescent="0.25">
      <c r="A309" t="s">
        <v>389</v>
      </c>
      <c r="B309" t="s">
        <v>114</v>
      </c>
      <c r="C309">
        <v>0.23</v>
      </c>
      <c r="D309">
        <v>0.17</v>
      </c>
      <c r="E309">
        <v>0.48</v>
      </c>
      <c r="F309">
        <v>0.55000000000000004</v>
      </c>
      <c r="G309">
        <v>0.35</v>
      </c>
      <c r="H309">
        <v>0.39</v>
      </c>
      <c r="I309" t="s">
        <v>64</v>
      </c>
      <c r="J309">
        <v>0.46</v>
      </c>
      <c r="K309">
        <v>0.43</v>
      </c>
      <c r="L309">
        <v>0.36</v>
      </c>
      <c r="M309">
        <v>0.33</v>
      </c>
      <c r="N309">
        <v>0.32</v>
      </c>
      <c r="O309">
        <v>0.36</v>
      </c>
      <c r="P309">
        <v>0.37</v>
      </c>
      <c r="Q309">
        <v>0.4</v>
      </c>
      <c r="R309">
        <v>0.39</v>
      </c>
      <c r="S309">
        <v>0.35</v>
      </c>
      <c r="T309" s="2">
        <f>IF('ROS Rankings'!$AD$1,IFERROR(AVERAGE(INDEX($C309:$S309,14):INDEX($C309:$S309,17)),0),IFERROR(AVERAGE(INDEX($C309:$S309,Week+1):INDEX($C309:$S309,13)),0))</f>
        <v>0.37857142857142856</v>
      </c>
      <c r="U309" s="2" t="str">
        <f t="shared" si="44"/>
        <v/>
      </c>
      <c r="V309" s="2" t="str">
        <f t="shared" si="44"/>
        <v/>
      </c>
      <c r="W309" s="2" t="str">
        <f t="shared" si="44"/>
        <v/>
      </c>
      <c r="X309" s="2">
        <f t="shared" si="44"/>
        <v>0.37857142857142856</v>
      </c>
      <c r="Y309" s="2" t="str">
        <f t="shared" si="44"/>
        <v/>
      </c>
      <c r="Z309" s="2" t="str">
        <f t="shared" si="44"/>
        <v/>
      </c>
      <c r="AA309" s="23" t="str">
        <f t="shared" si="36"/>
        <v>TE99</v>
      </c>
      <c r="AB309" s="2">
        <f>$T309-VLOOKUP($B309,Scores!$AG$1:$AM$7,5,FALSE)</f>
        <v>-6.6201785714285712</v>
      </c>
      <c r="AC309" s="2">
        <f>$T309-VLOOKUP($B309,Scores!$AG$1:$AM$7,6,FALSE)</f>
        <v>-4.8714285714285719</v>
      </c>
      <c r="AD309" s="2">
        <f>$T309-VLOOKUP($B309,Scores!$AG$1:$AM$7,7,FALSE)+(ROW(A308)/1000000)</f>
        <v>-4.8011205714285712</v>
      </c>
      <c r="AE309" s="2">
        <f t="array" ref="AE309">IF('ROS Rankings'!$AD$1,IFERROR(AVERAGE(IF(INDEX($C309:$S309,14):INDEX($C309:$S309,17)="NA",0,INDEX($C309:$S309,14):INDEX($C309:$S309,17))-INDEX($AQ$2:$BG$7,MATCH($B309,$AO$2:$AO$7,0),14):INDEX($AQ$2:$BG$7,MATCH($B309,$AO$2:$AO$7,0),17)),0),IFERROR(AVERAGE(IF(INDEX($C309:$S309,Week+1):INDEX($C309:$S309,13)="NA",0,INDEX($C309:$S309,Week+1):INDEX($C309:$S309,13))-INDEX($AQ$2:$BG$7,MATCH($B309,$AO$2:$AO$7,0),Week+1):INDEX($AQ$2:$BG$7,MATCH($B309,$AO$2:$AO$7,0),13)),0))+ROW(A308)/1000000</f>
        <v>-4.765941999999999</v>
      </c>
      <c r="AF309">
        <f t="shared" si="37"/>
        <v>334</v>
      </c>
      <c r="AG309">
        <f t="shared" si="38"/>
        <v>350</v>
      </c>
      <c r="AH309">
        <f t="shared" si="39"/>
        <v>397</v>
      </c>
      <c r="AI309">
        <f t="shared" si="40"/>
        <v>429</v>
      </c>
      <c r="AJ309" s="22">
        <f>IF(ISERROR(MATCH(A309,Rosters!$B$2:$B$155,0)),AD309,"")</f>
        <v>-4.8011205714285712</v>
      </c>
      <c r="AK309">
        <f t="shared" si="41"/>
        <v>245</v>
      </c>
      <c r="AL309" s="23">
        <f>COUNTIF(INDEX($C309:$S309,Week+1):INDEX($C309:$S309,13),"&gt;0")</f>
        <v>7</v>
      </c>
    </row>
    <row r="310" spans="1:38" x14ac:dyDescent="0.25">
      <c r="A310" t="s">
        <v>170</v>
      </c>
      <c r="B310" t="s">
        <v>47</v>
      </c>
      <c r="C310">
        <v>4.8499999999999996</v>
      </c>
      <c r="D310">
        <v>4.87</v>
      </c>
      <c r="E310">
        <v>5.73</v>
      </c>
      <c r="F310">
        <v>6.04</v>
      </c>
      <c r="G310">
        <v>5.72</v>
      </c>
      <c r="H310" t="s">
        <v>64</v>
      </c>
      <c r="I310">
        <v>5.3</v>
      </c>
      <c r="J310">
        <v>5.63</v>
      </c>
      <c r="K310">
        <v>5.55</v>
      </c>
      <c r="L310">
        <v>5.64</v>
      </c>
      <c r="M310">
        <v>6.21</v>
      </c>
      <c r="N310">
        <v>6.11</v>
      </c>
      <c r="O310">
        <v>6.64</v>
      </c>
      <c r="P310">
        <v>5.63</v>
      </c>
      <c r="Q310">
        <v>6.04</v>
      </c>
      <c r="R310">
        <v>6.01</v>
      </c>
      <c r="S310">
        <v>5.32</v>
      </c>
      <c r="T310" s="2">
        <f>IF('ROS Rankings'!$AD$1,IFERROR(AVERAGE(INDEX($C310:$S310,14):INDEX($C310:$S310,17)),0),IFERROR(AVERAGE(INDEX($C310:$S310,Week+1):INDEX($C310:$S310,13)),0))</f>
        <v>5.8685714285714292</v>
      </c>
      <c r="U310" s="2" t="str">
        <f t="shared" si="44"/>
        <v/>
      </c>
      <c r="V310" s="2">
        <f t="shared" si="44"/>
        <v>5.8685714285714292</v>
      </c>
      <c r="W310" s="2" t="str">
        <f t="shared" si="44"/>
        <v/>
      </c>
      <c r="X310" s="2" t="str">
        <f t="shared" si="44"/>
        <v/>
      </c>
      <c r="Y310" s="2" t="str">
        <f t="shared" si="44"/>
        <v/>
      </c>
      <c r="Z310" s="2" t="str">
        <f t="shared" si="44"/>
        <v/>
      </c>
      <c r="AA310" s="23" t="str">
        <f t="shared" si="36"/>
        <v>RB48</v>
      </c>
      <c r="AB310" s="2">
        <f>$T310-VLOOKUP($B310,Scores!$AG$1:$AM$7,5,FALSE)</f>
        <v>-5.89</v>
      </c>
      <c r="AC310" s="2">
        <f>$T310-VLOOKUP($B310,Scores!$AG$1:$AM$7,6,FALSE)</f>
        <v>-2.4014285714285721</v>
      </c>
      <c r="AD310" s="2">
        <f>$T310-VLOOKUP($B310,Scores!$AG$1:$AM$7,7,FALSE)+(ROW(A309)/1000000)</f>
        <v>3.0899999999999998E-4</v>
      </c>
      <c r="AE310" s="2">
        <f t="array" ref="AE310">IF('ROS Rankings'!$AD$1,IFERROR(AVERAGE(IF(INDEX($C310:$S310,14):INDEX($C310:$S310,17)="NA",0,INDEX($C310:$S310,14):INDEX($C310:$S310,17))-INDEX($AQ$2:$BG$7,MATCH($B310,$AO$2:$AO$7,0),14):INDEX($AQ$2:$BG$7,MATCH($B310,$AO$2:$AO$7,0),17)),0),IFERROR(AVERAGE(IF(INDEX($C310:$S310,Week+1):INDEX($C310:$S310,13)="NA",0,INDEX($C310:$S310,Week+1):INDEX($C310:$S310,13))-INDEX($AQ$2:$BG$7,MATCH($B310,$AO$2:$AO$7,0),Week+1):INDEX($AQ$2:$BG$7,MATCH($B310,$AO$2:$AO$7,0),13)),0))+ROW(A309)/1000000</f>
        <v>-0.22469099999999997</v>
      </c>
      <c r="AF310">
        <f t="shared" si="37"/>
        <v>276</v>
      </c>
      <c r="AG310">
        <f t="shared" si="38"/>
        <v>211</v>
      </c>
      <c r="AH310">
        <f t="shared" si="39"/>
        <v>147</v>
      </c>
      <c r="AI310">
        <f t="shared" si="40"/>
        <v>132</v>
      </c>
      <c r="AJ310" s="22">
        <f>IF(ISERROR(MATCH(A310,Rosters!$B$2:$B$155,0)),AD310,"")</f>
        <v>3.0899999999999998E-4</v>
      </c>
      <c r="AK310">
        <f t="shared" si="41"/>
        <v>22</v>
      </c>
      <c r="AL310" s="23">
        <f>COUNTIF(INDEX($C310:$S310,Week+1):INDEX($C310:$S310,13),"&gt;0")</f>
        <v>7</v>
      </c>
    </row>
    <row r="311" spans="1:38" x14ac:dyDescent="0.25">
      <c r="A311" t="s">
        <v>111</v>
      </c>
      <c r="B311" t="s">
        <v>47</v>
      </c>
      <c r="C311">
        <v>11.69</v>
      </c>
      <c r="D311">
        <v>0</v>
      </c>
      <c r="E311">
        <v>0</v>
      </c>
      <c r="F311">
        <v>11.65</v>
      </c>
      <c r="G311">
        <v>0</v>
      </c>
      <c r="H311">
        <v>0</v>
      </c>
      <c r="I311">
        <v>6.66</v>
      </c>
      <c r="J311">
        <v>5.84</v>
      </c>
      <c r="K311" t="s">
        <v>64</v>
      </c>
      <c r="L311">
        <v>11.84</v>
      </c>
      <c r="M311">
        <v>12.6</v>
      </c>
      <c r="N311">
        <v>11.3</v>
      </c>
      <c r="O311">
        <v>12.91</v>
      </c>
      <c r="P311">
        <v>10.96</v>
      </c>
      <c r="Q311">
        <v>14.23</v>
      </c>
      <c r="R311">
        <v>11.89</v>
      </c>
      <c r="S311">
        <v>12.13</v>
      </c>
      <c r="T311" s="2">
        <f>IF('ROS Rankings'!$AD$1,IFERROR(AVERAGE(INDEX($C311:$S311,14):INDEX($C311:$S311,17)),0),IFERROR(AVERAGE(INDEX($C311:$S311,Week+1):INDEX($C311:$S311,13)),0))</f>
        <v>8.735714285714284</v>
      </c>
      <c r="U311" s="2" t="str">
        <f t="shared" si="44"/>
        <v/>
      </c>
      <c r="V311" s="2">
        <f t="shared" si="44"/>
        <v>8.735714285714284</v>
      </c>
      <c r="W311" s="2" t="str">
        <f t="shared" si="44"/>
        <v/>
      </c>
      <c r="X311" s="2" t="str">
        <f t="shared" si="44"/>
        <v/>
      </c>
      <c r="Y311" s="2" t="str">
        <f t="shared" si="44"/>
        <v/>
      </c>
      <c r="Z311" s="2" t="str">
        <f t="shared" si="44"/>
        <v/>
      </c>
      <c r="AA311" s="23" t="str">
        <f t="shared" si="36"/>
        <v>RB24</v>
      </c>
      <c r="AB311" s="2">
        <f>$T311-VLOOKUP($B311,Scores!$AG$1:$AM$7,5,FALSE)</f>
        <v>-3.0228571428571449</v>
      </c>
      <c r="AC311" s="2">
        <f>$T311-VLOOKUP($B311,Scores!$AG$1:$AM$7,6,FALSE)</f>
        <v>0.46571428571428264</v>
      </c>
      <c r="AD311" s="2">
        <f>$T311-VLOOKUP($B311,Scores!$AG$1:$AM$7,7,FALSE)+(ROW(A310)/1000000)</f>
        <v>2.8674528571428546</v>
      </c>
      <c r="AE311" s="2">
        <f t="array" ref="AE311">IF('ROS Rankings'!$AD$1,IFERROR(AVERAGE(IF(INDEX($C311:$S311,14):INDEX($C311:$S311,17)="NA",0,INDEX($C311:$S311,14):INDEX($C311:$S311,17))-INDEX($AQ$2:$BG$7,MATCH($B311,$AO$2:$AO$7,0),14):INDEX($AQ$2:$BG$7,MATCH($B311,$AO$2:$AO$7,0),17)),0),IFERROR(AVERAGE(IF(INDEX($C311:$S311,Week+1):INDEX($C311:$S311,13)="NA",0,INDEX($C311:$S311,Week+1):INDEX($C311:$S311,13))-INDEX($AQ$2:$BG$7,MATCH($B311,$AO$2:$AO$7,0),Week+1):INDEX($AQ$2:$BG$7,MATCH($B311,$AO$2:$AO$7,0),13)),0))+ROW(A310)/1000000</f>
        <v>2.2840600000000002</v>
      </c>
      <c r="AF311">
        <f t="shared" si="37"/>
        <v>165</v>
      </c>
      <c r="AG311">
        <f t="shared" si="38"/>
        <v>77</v>
      </c>
      <c r="AH311">
        <f t="shared" si="39"/>
        <v>51</v>
      </c>
      <c r="AI311">
        <f t="shared" si="40"/>
        <v>56</v>
      </c>
      <c r="AJ311" s="22" t="str">
        <f>IF(ISERROR(MATCH(A311,Rosters!$B$2:$B$155,0)),AD311,"")</f>
        <v/>
      </c>
      <c r="AK311" t="str">
        <f t="shared" si="41"/>
        <v/>
      </c>
      <c r="AL311" s="23">
        <f>COUNTIF(INDEX($C311:$S311,Week+1):INDEX($C311:$S311,13),"&gt;0")</f>
        <v>6</v>
      </c>
    </row>
    <row r="312" spans="1:38" x14ac:dyDescent="0.25">
      <c r="A312" t="s">
        <v>81</v>
      </c>
      <c r="B312" t="s">
        <v>47</v>
      </c>
      <c r="C312">
        <v>10.49</v>
      </c>
      <c r="D312">
        <v>10.52</v>
      </c>
      <c r="E312">
        <v>0</v>
      </c>
      <c r="F312">
        <v>10.26</v>
      </c>
      <c r="G312">
        <v>9.24</v>
      </c>
      <c r="H312">
        <v>8.1300000000000008</v>
      </c>
      <c r="I312">
        <v>8.25</v>
      </c>
      <c r="J312">
        <v>8.91</v>
      </c>
      <c r="K312">
        <v>8.8699999999999992</v>
      </c>
      <c r="L312">
        <v>8.08</v>
      </c>
      <c r="M312" t="s">
        <v>64</v>
      </c>
      <c r="N312">
        <v>7.01</v>
      </c>
      <c r="O312">
        <v>8.11</v>
      </c>
      <c r="P312">
        <v>8.75</v>
      </c>
      <c r="Q312">
        <v>8.5399999999999991</v>
      </c>
      <c r="R312">
        <v>8.33</v>
      </c>
      <c r="S312">
        <v>8.68</v>
      </c>
      <c r="T312" s="2">
        <f>IF('ROS Rankings'!$AD$1,IFERROR(AVERAGE(INDEX($C312:$S312,14):INDEX($C312:$S312,17)),0),IFERROR(AVERAGE(INDEX($C312:$S312,Week+1):INDEX($C312:$S312,13)),0))</f>
        <v>8.194285714285714</v>
      </c>
      <c r="U312" s="2" t="str">
        <f t="shared" si="44"/>
        <v/>
      </c>
      <c r="V312" s="2">
        <f t="shared" si="44"/>
        <v>8.194285714285714</v>
      </c>
      <c r="W312" s="2" t="str">
        <f t="shared" si="44"/>
        <v/>
      </c>
      <c r="X312" s="2" t="str">
        <f t="shared" si="44"/>
        <v/>
      </c>
      <c r="Y312" s="2" t="str">
        <f t="shared" si="44"/>
        <v/>
      </c>
      <c r="Z312" s="2" t="str">
        <f t="shared" si="44"/>
        <v/>
      </c>
      <c r="AA312" s="23" t="str">
        <f t="shared" si="36"/>
        <v>RB26</v>
      </c>
      <c r="AB312" s="2">
        <f>$T312-VLOOKUP($B312,Scores!$AG$1:$AM$7,5,FALSE)</f>
        <v>-3.5642857142857149</v>
      </c>
      <c r="AC312" s="2">
        <f>$T312-VLOOKUP($B312,Scores!$AG$1:$AM$7,6,FALSE)</f>
        <v>-7.5714285714287399E-2</v>
      </c>
      <c r="AD312" s="2">
        <f>$T312-VLOOKUP($B312,Scores!$AG$1:$AM$7,7,FALSE)+(ROW(A311)/1000000)</f>
        <v>2.3260252857142847</v>
      </c>
      <c r="AE312" s="2">
        <f t="array" ref="AE312">IF('ROS Rankings'!$AD$1,IFERROR(AVERAGE(IF(INDEX($C312:$S312,14):INDEX($C312:$S312,17)="NA",0,INDEX($C312:$S312,14):INDEX($C312:$S312,17))-INDEX($AQ$2:$BG$7,MATCH($B312,$AO$2:$AO$7,0),14):INDEX($AQ$2:$BG$7,MATCH($B312,$AO$2:$AO$7,0),17)),0),IFERROR(AVERAGE(IF(INDEX($C312:$S312,Week+1):INDEX($C312:$S312,13)="NA",0,INDEX($C312:$S312,Week+1):INDEX($C312:$S312,13))-INDEX($AQ$2:$BG$7,MATCH($B312,$AO$2:$AO$7,0),Week+1):INDEX($AQ$2:$BG$7,MATCH($B312,$AO$2:$AO$7,0),13)),0))+ROW(A311)/1000000</f>
        <v>1.8103109999999996</v>
      </c>
      <c r="AF312">
        <f t="shared" si="37"/>
        <v>175</v>
      </c>
      <c r="AG312">
        <f t="shared" si="38"/>
        <v>108</v>
      </c>
      <c r="AH312">
        <f t="shared" si="39"/>
        <v>59</v>
      </c>
      <c r="AI312">
        <f t="shared" si="40"/>
        <v>66</v>
      </c>
      <c r="AJ312" s="22" t="str">
        <f>IF(ISERROR(MATCH(A312,Rosters!$B$2:$B$155,0)),AD312,"")</f>
        <v/>
      </c>
      <c r="AK312" t="str">
        <f t="shared" si="41"/>
        <v/>
      </c>
      <c r="AL312" s="23">
        <f>COUNTIF(INDEX($C312:$S312,Week+1):INDEX($C312:$S312,13),"&gt;0")</f>
        <v>7</v>
      </c>
    </row>
    <row r="313" spans="1:38" x14ac:dyDescent="0.25">
      <c r="A313" t="s">
        <v>279</v>
      </c>
      <c r="B313" t="s">
        <v>114</v>
      </c>
      <c r="C313">
        <v>1.21</v>
      </c>
      <c r="D313">
        <v>1.2</v>
      </c>
      <c r="E313">
        <v>1.42</v>
      </c>
      <c r="F313">
        <v>1.56</v>
      </c>
      <c r="G313">
        <v>1.78</v>
      </c>
      <c r="H313" t="s">
        <v>64</v>
      </c>
      <c r="I313">
        <v>1.71</v>
      </c>
      <c r="J313">
        <v>1.64</v>
      </c>
      <c r="K313">
        <v>1.61</v>
      </c>
      <c r="L313">
        <v>1.7</v>
      </c>
      <c r="M313">
        <v>1.72</v>
      </c>
      <c r="N313">
        <v>1.77</v>
      </c>
      <c r="O313">
        <v>1.91</v>
      </c>
      <c r="P313">
        <v>1.72</v>
      </c>
      <c r="Q313">
        <v>1.61</v>
      </c>
      <c r="R313">
        <v>1.68</v>
      </c>
      <c r="S313">
        <v>1.71</v>
      </c>
      <c r="T313" s="2">
        <f>IF('ROS Rankings'!$AD$1,IFERROR(AVERAGE(INDEX($C313:$S313,14):INDEX($C313:$S313,17)),0),IFERROR(AVERAGE(INDEX($C313:$S313,Week+1):INDEX($C313:$S313,13)),0))</f>
        <v>1.7228571428571429</v>
      </c>
      <c r="U313" s="2" t="str">
        <f t="shared" si="44"/>
        <v/>
      </c>
      <c r="V313" s="2" t="str">
        <f t="shared" si="44"/>
        <v/>
      </c>
      <c r="W313" s="2" t="str">
        <f t="shared" si="44"/>
        <v/>
      </c>
      <c r="X313" s="2">
        <f t="shared" si="44"/>
        <v>1.7228571428571429</v>
      </c>
      <c r="Y313" s="2" t="str">
        <f t="shared" si="44"/>
        <v/>
      </c>
      <c r="Z313" s="2" t="str">
        <f t="shared" si="44"/>
        <v/>
      </c>
      <c r="AA313" s="23" t="str">
        <f t="shared" si="36"/>
        <v>TE56</v>
      </c>
      <c r="AB313" s="2">
        <f>$T313-VLOOKUP($B313,Scores!$AG$1:$AM$7,5,FALSE)</f>
        <v>-5.2758928571428569</v>
      </c>
      <c r="AC313" s="2">
        <f>$T313-VLOOKUP($B313,Scores!$AG$1:$AM$7,6,FALSE)</f>
        <v>-3.5271428571428571</v>
      </c>
      <c r="AD313" s="2">
        <f>$T313-VLOOKUP($B313,Scores!$AG$1:$AM$7,7,FALSE)+(ROW(A312)/1000000)</f>
        <v>-3.4568308571428568</v>
      </c>
      <c r="AE313" s="2">
        <f t="array" ref="AE313">IF('ROS Rankings'!$AD$1,IFERROR(AVERAGE(IF(INDEX($C313:$S313,14):INDEX($C313:$S313,17)="NA",0,INDEX($C313:$S313,14):INDEX($C313:$S313,17))-INDEX($AQ$2:$BG$7,MATCH($B313,$AO$2:$AO$7,0),14):INDEX($AQ$2:$BG$7,MATCH($B313,$AO$2:$AO$7,0),17)),0),IFERROR(AVERAGE(IF(INDEX($C313:$S313,Week+1):INDEX($C313:$S313,13)="NA",0,INDEX($C313:$S313,Week+1):INDEX($C313:$S313,13))-INDEX($AQ$2:$BG$7,MATCH($B313,$AO$2:$AO$7,0),Week+1):INDEX($AQ$2:$BG$7,MATCH($B313,$AO$2:$AO$7,0),13)),0))+ROW(A312)/1000000</f>
        <v>-3.5896879999999998</v>
      </c>
      <c r="AF313">
        <f t="shared" si="37"/>
        <v>247</v>
      </c>
      <c r="AG313">
        <f t="shared" si="38"/>
        <v>273</v>
      </c>
      <c r="AH313">
        <f t="shared" si="39"/>
        <v>323</v>
      </c>
      <c r="AI313">
        <f t="shared" si="40"/>
        <v>323</v>
      </c>
      <c r="AJ313" s="22">
        <f>IF(ISERROR(MATCH(A313,Rosters!$B$2:$B$155,0)),AD313,"")</f>
        <v>-3.4568308571428568</v>
      </c>
      <c r="AK313">
        <f t="shared" si="41"/>
        <v>172</v>
      </c>
      <c r="AL313" s="23">
        <f>COUNTIF(INDEX($C313:$S313,Week+1):INDEX($C313:$S313,13),"&gt;0")</f>
        <v>7</v>
      </c>
    </row>
    <row r="314" spans="1:38" x14ac:dyDescent="0.25">
      <c r="A314" t="s">
        <v>1125</v>
      </c>
      <c r="B314" t="s">
        <v>114</v>
      </c>
      <c r="C314">
        <v>0.01</v>
      </c>
      <c r="D314">
        <v>0.01</v>
      </c>
      <c r="E314">
        <v>0.3</v>
      </c>
      <c r="F314">
        <v>0.51</v>
      </c>
      <c r="G314">
        <v>0.66</v>
      </c>
      <c r="H314">
        <v>0.47</v>
      </c>
      <c r="I314">
        <v>0.61</v>
      </c>
      <c r="J314" t="s">
        <v>64</v>
      </c>
      <c r="K314">
        <v>0.56000000000000005</v>
      </c>
      <c r="L314">
        <v>0.63</v>
      </c>
      <c r="M314">
        <v>0.53</v>
      </c>
      <c r="N314">
        <v>0.55000000000000004</v>
      </c>
      <c r="O314">
        <v>0.55000000000000004</v>
      </c>
      <c r="P314">
        <v>0.56999999999999995</v>
      </c>
      <c r="Q314">
        <v>0.61</v>
      </c>
      <c r="R314">
        <v>0.57999999999999996</v>
      </c>
      <c r="S314">
        <v>0.45</v>
      </c>
      <c r="T314" s="2">
        <f>IF('ROS Rankings'!$AD$1,IFERROR(AVERAGE(INDEX($C314:$S314,14):INDEX($C314:$S314,17)),0),IFERROR(AVERAGE(INDEX($C314:$S314,Week+1):INDEX($C314:$S314,13)),0))</f>
        <v>0.55714285714285705</v>
      </c>
      <c r="U314" s="2" t="str">
        <f t="shared" si="44"/>
        <v/>
      </c>
      <c r="V314" s="2" t="str">
        <f t="shared" si="44"/>
        <v/>
      </c>
      <c r="W314" s="2" t="str">
        <f t="shared" si="44"/>
        <v/>
      </c>
      <c r="X314" s="2">
        <f t="shared" si="44"/>
        <v>0.55714285714285705</v>
      </c>
      <c r="Y314" s="2" t="str">
        <f t="shared" si="44"/>
        <v/>
      </c>
      <c r="Z314" s="2" t="str">
        <f t="shared" si="44"/>
        <v/>
      </c>
      <c r="AA314" s="23" t="str">
        <f t="shared" si="36"/>
        <v>TE76</v>
      </c>
      <c r="AB314" s="2">
        <f>$T314-VLOOKUP($B314,Scores!$AG$1:$AM$7,5,FALSE)</f>
        <v>-6.4416071428571424</v>
      </c>
      <c r="AC314" s="2">
        <f>$T314-VLOOKUP($B314,Scores!$AG$1:$AM$7,6,FALSE)</f>
        <v>-4.6928571428571431</v>
      </c>
      <c r="AD314" s="2">
        <f>$T314-VLOOKUP($B314,Scores!$AG$1:$AM$7,7,FALSE)+(ROW(A313)/1000000)</f>
        <v>-4.6225441428571425</v>
      </c>
      <c r="AE314" s="2">
        <f t="array" ref="AE314">IF('ROS Rankings'!$AD$1,IFERROR(AVERAGE(IF(INDEX($C314:$S314,14):INDEX($C314:$S314,17)="NA",0,INDEX($C314:$S314,14):INDEX($C314:$S314,17))-INDEX($AQ$2:$BG$7,MATCH($B314,$AO$2:$AO$7,0),14):INDEX($AQ$2:$BG$7,MATCH($B314,$AO$2:$AO$7,0),17)),0),IFERROR(AVERAGE(IF(INDEX($C314:$S314,Week+1):INDEX($C314:$S314,13)="NA",0,INDEX($C314:$S314,Week+1):INDEX($C314:$S314,13))-INDEX($AQ$2:$BG$7,MATCH($B314,$AO$2:$AO$7,0),Week+1):INDEX($AQ$2:$BG$7,MATCH($B314,$AO$2:$AO$7,0),13)),0))+ROW(A313)/1000000</f>
        <v>-4.6096870000000001</v>
      </c>
      <c r="AF314">
        <f t="shared" si="37"/>
        <v>304</v>
      </c>
      <c r="AG314">
        <f t="shared" si="38"/>
        <v>322</v>
      </c>
      <c r="AH314">
        <f t="shared" si="39"/>
        <v>368</v>
      </c>
      <c r="AI314">
        <f t="shared" si="40"/>
        <v>387</v>
      </c>
      <c r="AJ314" s="22">
        <f>IF(ISERROR(MATCH(A314,Rosters!$B$2:$B$155,0)),AD314,"")</f>
        <v>-4.6225441428571425</v>
      </c>
      <c r="AK314">
        <f t="shared" si="41"/>
        <v>216</v>
      </c>
      <c r="AL314" s="23">
        <f>COUNTIF(INDEX($C314:$S314,Week+1):INDEX($C314:$S314,13),"&gt;0")</f>
        <v>7</v>
      </c>
    </row>
    <row r="315" spans="1:38" x14ac:dyDescent="0.25">
      <c r="A315" t="s">
        <v>1583</v>
      </c>
      <c r="B315" t="s">
        <v>114</v>
      </c>
      <c r="C315">
        <v>0.54</v>
      </c>
      <c r="D315">
        <v>0.56999999999999995</v>
      </c>
      <c r="E315">
        <v>0</v>
      </c>
      <c r="F315">
        <v>0</v>
      </c>
      <c r="G315">
        <v>0.63</v>
      </c>
      <c r="H315">
        <v>0.61</v>
      </c>
      <c r="I315">
        <v>0.63</v>
      </c>
      <c r="J315">
        <v>0.65</v>
      </c>
      <c r="K315">
        <v>0.65</v>
      </c>
      <c r="L315">
        <v>0.67</v>
      </c>
      <c r="M315" t="s">
        <v>64</v>
      </c>
      <c r="N315">
        <v>0.46</v>
      </c>
      <c r="O315">
        <v>0.6</v>
      </c>
      <c r="P315">
        <v>0.7</v>
      </c>
      <c r="Q315">
        <v>0.69</v>
      </c>
      <c r="R315">
        <v>0.62</v>
      </c>
      <c r="S315">
        <v>0.62</v>
      </c>
      <c r="T315" s="2">
        <f>IF('ROS Rankings'!$AD$1,IFERROR(AVERAGE(INDEX($C315:$S315,14):INDEX($C315:$S315,17)),0),IFERROR(AVERAGE(INDEX($C315:$S315,Week+1):INDEX($C315:$S315,13)),0))</f>
        <v>0.61</v>
      </c>
      <c r="U315" s="2" t="str">
        <f t="shared" si="44"/>
        <v/>
      </c>
      <c r="V315" s="2" t="str">
        <f t="shared" si="44"/>
        <v/>
      </c>
      <c r="W315" s="2" t="str">
        <f t="shared" si="44"/>
        <v/>
      </c>
      <c r="X315" s="2">
        <f t="shared" si="44"/>
        <v>0.61</v>
      </c>
      <c r="Y315" s="2" t="str">
        <f t="shared" si="44"/>
        <v/>
      </c>
      <c r="Z315" s="2" t="str">
        <f t="shared" si="44"/>
        <v/>
      </c>
      <c r="AA315" s="23" t="str">
        <f t="shared" si="36"/>
        <v>TE74</v>
      </c>
      <c r="AB315" s="2">
        <f>$T315-VLOOKUP($B315,Scores!$AG$1:$AM$7,5,FALSE)</f>
        <v>-6.388749999999999</v>
      </c>
      <c r="AC315" s="2">
        <f>$T315-VLOOKUP($B315,Scores!$AG$1:$AM$7,6,FALSE)</f>
        <v>-4.6399999999999997</v>
      </c>
      <c r="AD315" s="2">
        <f>$T315-VLOOKUP($B315,Scores!$AG$1:$AM$7,7,FALSE)+(ROW(A314)/1000000)</f>
        <v>-4.569685999999999</v>
      </c>
      <c r="AE315" s="2">
        <f t="array" ref="AE315">IF('ROS Rankings'!$AD$1,IFERROR(AVERAGE(IF(INDEX($C315:$S315,14):INDEX($C315:$S315,17)="NA",0,INDEX($C315:$S315,14):INDEX($C315:$S315,17))-INDEX($AQ$2:$BG$7,MATCH($B315,$AO$2:$AO$7,0),14):INDEX($AQ$2:$BG$7,MATCH($B315,$AO$2:$AO$7,0),17)),0),IFERROR(AVERAGE(IF(INDEX($C315:$S315,Week+1):INDEX($C315:$S315,13)="NA",0,INDEX($C315:$S315,Week+1):INDEX($C315:$S315,13))-INDEX($AQ$2:$BG$7,MATCH($B315,$AO$2:$AO$7,0),Week+1):INDEX($AQ$2:$BG$7,MATCH($B315,$AO$2:$AO$7,0),13)),0))+ROW(A314)/1000000</f>
        <v>-4.5634359999999994</v>
      </c>
      <c r="AF315">
        <f t="shared" si="37"/>
        <v>299</v>
      </c>
      <c r="AG315">
        <f t="shared" si="38"/>
        <v>319</v>
      </c>
      <c r="AH315">
        <f t="shared" si="39"/>
        <v>364</v>
      </c>
      <c r="AI315">
        <f t="shared" si="40"/>
        <v>380</v>
      </c>
      <c r="AJ315" s="22">
        <f>IF(ISERROR(MATCH(A315,Rosters!$B$2:$B$155,0)),AD315,"")</f>
        <v>-4.569685999999999</v>
      </c>
      <c r="AK315">
        <f t="shared" si="41"/>
        <v>212</v>
      </c>
      <c r="AL315" s="23">
        <f>COUNTIF(INDEX($C315:$S315,Week+1):INDEX($C315:$S315,13),"&gt;0")</f>
        <v>7</v>
      </c>
    </row>
    <row r="316" spans="1:38" x14ac:dyDescent="0.25">
      <c r="A316" t="s">
        <v>315</v>
      </c>
      <c r="B316" t="s">
        <v>114</v>
      </c>
      <c r="C316">
        <v>0.41</v>
      </c>
      <c r="D316">
        <v>2.57</v>
      </c>
      <c r="E316">
        <v>2.1800000000000002</v>
      </c>
      <c r="F316">
        <v>2.6</v>
      </c>
      <c r="G316">
        <v>2.12</v>
      </c>
      <c r="H316">
        <v>2.58</v>
      </c>
      <c r="I316">
        <v>2.12</v>
      </c>
      <c r="J316" t="s">
        <v>64</v>
      </c>
      <c r="K316">
        <v>2.2400000000000002</v>
      </c>
      <c r="L316">
        <v>2.4700000000000002</v>
      </c>
      <c r="M316">
        <v>2.13</v>
      </c>
      <c r="N316">
        <v>2.36</v>
      </c>
      <c r="O316">
        <v>2.74</v>
      </c>
      <c r="P316">
        <v>2.56</v>
      </c>
      <c r="Q316">
        <v>2</v>
      </c>
      <c r="R316">
        <v>2.42</v>
      </c>
      <c r="S316">
        <v>2.21</v>
      </c>
      <c r="T316" s="2">
        <f>IF('ROS Rankings'!$AD$1,IFERROR(AVERAGE(INDEX($C316:$S316,14):INDEX($C316:$S316,17)),0),IFERROR(AVERAGE(INDEX($C316:$S316,Week+1):INDEX($C316:$S316,13)),0))</f>
        <v>2.3771428571428572</v>
      </c>
      <c r="U316" s="2" t="str">
        <f t="shared" si="44"/>
        <v/>
      </c>
      <c r="V316" s="2" t="str">
        <f t="shared" si="44"/>
        <v/>
      </c>
      <c r="W316" s="2" t="str">
        <f t="shared" si="44"/>
        <v/>
      </c>
      <c r="X316" s="2">
        <f t="shared" si="44"/>
        <v>2.3771428571428572</v>
      </c>
      <c r="Y316" s="2" t="str">
        <f t="shared" si="44"/>
        <v/>
      </c>
      <c r="Z316" s="2" t="str">
        <f t="shared" si="44"/>
        <v/>
      </c>
      <c r="AA316" s="23" t="str">
        <f t="shared" si="36"/>
        <v>TE44</v>
      </c>
      <c r="AB316" s="2">
        <f>$T316-VLOOKUP($B316,Scores!$AG$1:$AM$7,5,FALSE)</f>
        <v>-4.6216071428571421</v>
      </c>
      <c r="AC316" s="2">
        <f>$T316-VLOOKUP($B316,Scores!$AG$1:$AM$7,6,FALSE)</f>
        <v>-2.8728571428571428</v>
      </c>
      <c r="AD316" s="2">
        <f>$T316-VLOOKUP($B316,Scores!$AG$1:$AM$7,7,FALSE)+(ROW(A315)/1000000)</f>
        <v>-2.8025421428571424</v>
      </c>
      <c r="AE316" s="2">
        <f t="array" ref="AE316">IF('ROS Rankings'!$AD$1,IFERROR(AVERAGE(IF(INDEX($C316:$S316,14):INDEX($C316:$S316,17)="NA",0,INDEX($C316:$S316,14):INDEX($C316:$S316,17))-INDEX($AQ$2:$BG$7,MATCH($B316,$AO$2:$AO$7,0),14):INDEX($AQ$2:$BG$7,MATCH($B316,$AO$2:$AO$7,0),17)),0),IFERROR(AVERAGE(IF(INDEX($C316:$S316,Week+1):INDEX($C316:$S316,13)="NA",0,INDEX($C316:$S316,Week+1):INDEX($C316:$S316,13))-INDEX($AQ$2:$BG$7,MATCH($B316,$AO$2:$AO$7,0),Week+1):INDEX($AQ$2:$BG$7,MATCH($B316,$AO$2:$AO$7,0),13)),0))+ROW(A315)/1000000</f>
        <v>-3.017185</v>
      </c>
      <c r="AF316">
        <f t="shared" si="37"/>
        <v>223</v>
      </c>
      <c r="AG316">
        <f t="shared" si="38"/>
        <v>236</v>
      </c>
      <c r="AH316">
        <f t="shared" si="39"/>
        <v>285</v>
      </c>
      <c r="AI316">
        <f t="shared" si="40"/>
        <v>296</v>
      </c>
      <c r="AJ316" s="22">
        <f>IF(ISERROR(MATCH(A316,Rosters!$B$2:$B$155,0)),AD316,"")</f>
        <v>-2.8025421428571424</v>
      </c>
      <c r="AK316">
        <f t="shared" si="41"/>
        <v>139</v>
      </c>
      <c r="AL316" s="23">
        <f>COUNTIF(INDEX($C316:$S316,Week+1):INDEX($C316:$S316,13),"&gt;0")</f>
        <v>7</v>
      </c>
    </row>
    <row r="317" spans="1:38" x14ac:dyDescent="0.25">
      <c r="A317" t="s">
        <v>292</v>
      </c>
      <c r="B317" t="s">
        <v>114</v>
      </c>
      <c r="C317">
        <v>2.88</v>
      </c>
      <c r="D317">
        <v>3.34</v>
      </c>
      <c r="E317">
        <v>1.93</v>
      </c>
      <c r="F317">
        <v>2.75</v>
      </c>
      <c r="G317">
        <v>3.56</v>
      </c>
      <c r="H317" t="s">
        <v>64</v>
      </c>
      <c r="I317">
        <v>2.74</v>
      </c>
      <c r="J317">
        <v>2.52</v>
      </c>
      <c r="K317">
        <v>2.78</v>
      </c>
      <c r="L317">
        <v>2.5</v>
      </c>
      <c r="M317">
        <v>3.08</v>
      </c>
      <c r="N317">
        <v>2.57</v>
      </c>
      <c r="O317">
        <v>3.33</v>
      </c>
      <c r="P317">
        <v>2.7</v>
      </c>
      <c r="Q317">
        <v>2.88</v>
      </c>
      <c r="R317">
        <v>2.88</v>
      </c>
      <c r="S317">
        <v>3.4</v>
      </c>
      <c r="T317" s="2">
        <f>IF('ROS Rankings'!$AD$1,IFERROR(AVERAGE(INDEX($C317:$S317,14):INDEX($C317:$S317,17)),0),IFERROR(AVERAGE(INDEX($C317:$S317,Week+1):INDEX($C317:$S317,13)),0))</f>
        <v>2.7885714285714278</v>
      </c>
      <c r="U317" s="2" t="str">
        <f t="shared" si="44"/>
        <v/>
      </c>
      <c r="V317" s="2" t="str">
        <f t="shared" si="44"/>
        <v/>
      </c>
      <c r="W317" s="2" t="str">
        <f t="shared" si="44"/>
        <v/>
      </c>
      <c r="X317" s="2">
        <f t="shared" si="44"/>
        <v>2.7885714285714278</v>
      </c>
      <c r="Y317" s="2" t="str">
        <f t="shared" si="44"/>
        <v/>
      </c>
      <c r="Z317" s="2" t="str">
        <f t="shared" si="44"/>
        <v/>
      </c>
      <c r="AA317" s="23" t="str">
        <f t="shared" si="36"/>
        <v>TE33</v>
      </c>
      <c r="AB317" s="2">
        <f>$T317-VLOOKUP($B317,Scores!$AG$1:$AM$7,5,FALSE)</f>
        <v>-4.2101785714285711</v>
      </c>
      <c r="AC317" s="2">
        <f>$T317-VLOOKUP($B317,Scores!$AG$1:$AM$7,6,FALSE)</f>
        <v>-2.4614285714285722</v>
      </c>
      <c r="AD317" s="2">
        <f>$T317-VLOOKUP($B317,Scores!$AG$1:$AM$7,7,FALSE)+(ROW(A316)/1000000)</f>
        <v>-2.3911125714285717</v>
      </c>
      <c r="AE317" s="2">
        <f t="array" ref="AE317">IF('ROS Rankings'!$AD$1,IFERROR(AVERAGE(IF(INDEX($C317:$S317,14):INDEX($C317:$S317,17)="NA",0,INDEX($C317:$S317,14):INDEX($C317:$S317,17))-INDEX($AQ$2:$BG$7,MATCH($B317,$AO$2:$AO$7,0),14):INDEX($AQ$2:$BG$7,MATCH($B317,$AO$2:$AO$7,0),17)),0),IFERROR(AVERAGE(IF(INDEX($C317:$S317,Week+1):INDEX($C317:$S317,13)="NA",0,INDEX($C317:$S317,Week+1):INDEX($C317:$S317,13))-INDEX($AQ$2:$BG$7,MATCH($B317,$AO$2:$AO$7,0),Week+1):INDEX($AQ$2:$BG$7,MATCH($B317,$AO$2:$AO$7,0),13)),0))+ROW(A316)/1000000</f>
        <v>-2.6571839999999995</v>
      </c>
      <c r="AF317">
        <f t="shared" si="37"/>
        <v>199</v>
      </c>
      <c r="AG317">
        <f t="shared" si="38"/>
        <v>215</v>
      </c>
      <c r="AH317">
        <f t="shared" si="39"/>
        <v>264</v>
      </c>
      <c r="AI317">
        <f t="shared" si="40"/>
        <v>276</v>
      </c>
      <c r="AJ317" s="22">
        <f>IF(ISERROR(MATCH(A317,Rosters!$B$2:$B$155,0)),AD317,"")</f>
        <v>-2.3911125714285717</v>
      </c>
      <c r="AK317">
        <f t="shared" si="41"/>
        <v>120</v>
      </c>
      <c r="AL317" s="23">
        <f>COUNTIF(INDEX($C317:$S317,Week+1):INDEX($C317:$S317,13),"&gt;0")</f>
        <v>7</v>
      </c>
    </row>
    <row r="318" spans="1:38" x14ac:dyDescent="0.25">
      <c r="A318" t="s">
        <v>282</v>
      </c>
      <c r="B318" t="s">
        <v>47</v>
      </c>
      <c r="C318">
        <v>1.85</v>
      </c>
      <c r="D318">
        <v>1.46</v>
      </c>
      <c r="E318">
        <v>2.34</v>
      </c>
      <c r="F318">
        <v>2.9</v>
      </c>
      <c r="G318">
        <v>2.33</v>
      </c>
      <c r="H318">
        <v>2.2999999999999998</v>
      </c>
      <c r="I318">
        <v>2.89</v>
      </c>
      <c r="J318">
        <v>3.1</v>
      </c>
      <c r="K318">
        <v>2.79</v>
      </c>
      <c r="L318">
        <v>2.52</v>
      </c>
      <c r="M318">
        <v>3.39</v>
      </c>
      <c r="N318" t="s">
        <v>64</v>
      </c>
      <c r="O318">
        <v>2.93</v>
      </c>
      <c r="P318">
        <v>2.2200000000000002</v>
      </c>
      <c r="Q318">
        <v>2.34</v>
      </c>
      <c r="R318">
        <v>2.14</v>
      </c>
      <c r="S318">
        <v>3.13</v>
      </c>
      <c r="T318" s="2">
        <f>IF('ROS Rankings'!$AD$1,IFERROR(AVERAGE(INDEX($C318:$S318,14):INDEX($C318:$S318,17)),0),IFERROR(AVERAGE(INDEX($C318:$S318,Week+1):INDEX($C318:$S318,13)),0))</f>
        <v>2.8457142857142856</v>
      </c>
      <c r="U318" s="2" t="str">
        <f t="shared" si="44"/>
        <v/>
      </c>
      <c r="V318" s="2">
        <f t="shared" si="44"/>
        <v>2.8457142857142856</v>
      </c>
      <c r="W318" s="2" t="str">
        <f t="shared" si="44"/>
        <v/>
      </c>
      <c r="X318" s="2" t="str">
        <f t="shared" si="44"/>
        <v/>
      </c>
      <c r="Y318" s="2" t="str">
        <f t="shared" si="44"/>
        <v/>
      </c>
      <c r="Z318" s="2" t="str">
        <f t="shared" si="44"/>
        <v/>
      </c>
      <c r="AA318" s="23" t="str">
        <f t="shared" si="36"/>
        <v>RB72</v>
      </c>
      <c r="AB318" s="2">
        <f>$T318-VLOOKUP($B318,Scores!$AG$1:$AM$7,5,FALSE)</f>
        <v>-8.9128571428571437</v>
      </c>
      <c r="AC318" s="2">
        <f>$T318-VLOOKUP($B318,Scores!$AG$1:$AM$7,6,FALSE)</f>
        <v>-5.4242857142857162</v>
      </c>
      <c r="AD318" s="2">
        <f>$T318-VLOOKUP($B318,Scores!$AG$1:$AM$7,7,FALSE)+(ROW(A317)/1000000)</f>
        <v>-3.0225401428571437</v>
      </c>
      <c r="AE318" s="2">
        <f t="array" ref="AE318">IF('ROS Rankings'!$AD$1,IFERROR(AVERAGE(IF(INDEX($C318:$S318,14):INDEX($C318:$S318,17)="NA",0,INDEX($C318:$S318,14):INDEX($C318:$S318,17))-INDEX($AQ$2:$BG$7,MATCH($B318,$AO$2:$AO$7,0),14):INDEX($AQ$2:$BG$7,MATCH($B318,$AO$2:$AO$7,0),17)),0),IFERROR(AVERAGE(IF(INDEX($C318:$S318,Week+1):INDEX($C318:$S318,13)="NA",0,INDEX($C318:$S318,Week+1):INDEX($C318:$S318,13))-INDEX($AQ$2:$BG$7,MATCH($B318,$AO$2:$AO$7,0),Week+1):INDEX($AQ$2:$BG$7,MATCH($B318,$AO$2:$AO$7,0),13)),0))+ROW(A317)/1000000</f>
        <v>-2.8696829999999998</v>
      </c>
      <c r="AF318">
        <f t="shared" si="37"/>
        <v>391</v>
      </c>
      <c r="AG318">
        <f t="shared" si="38"/>
        <v>374</v>
      </c>
      <c r="AH318">
        <f t="shared" si="39"/>
        <v>301</v>
      </c>
      <c r="AI318">
        <f t="shared" si="40"/>
        <v>287</v>
      </c>
      <c r="AJ318" s="22">
        <f>IF(ISERROR(MATCH(A318,Rosters!$B$2:$B$155,0)),AD318,"")</f>
        <v>-3.0225401428571437</v>
      </c>
      <c r="AK318">
        <f t="shared" si="41"/>
        <v>154</v>
      </c>
      <c r="AL318" s="23">
        <f>COUNTIF(INDEX($C318:$S318,Week+1):INDEX($C318:$S318,13),"&gt;0")</f>
        <v>7</v>
      </c>
    </row>
    <row r="319" spans="1:38" x14ac:dyDescent="0.25">
      <c r="A319" t="s">
        <v>288</v>
      </c>
      <c r="B319" t="s">
        <v>114</v>
      </c>
      <c r="C319">
        <v>1.7</v>
      </c>
      <c r="D319">
        <v>1.6</v>
      </c>
      <c r="E319">
        <v>0.45</v>
      </c>
      <c r="F319">
        <v>0.38</v>
      </c>
      <c r="G319">
        <v>0.47</v>
      </c>
      <c r="H319">
        <v>0.57999999999999996</v>
      </c>
      <c r="I319" t="s">
        <v>64</v>
      </c>
      <c r="J319">
        <v>0.5</v>
      </c>
      <c r="K319">
        <v>0.55000000000000004</v>
      </c>
      <c r="L319">
        <v>0.56999999999999995</v>
      </c>
      <c r="M319">
        <v>0.4</v>
      </c>
      <c r="N319">
        <v>0.51</v>
      </c>
      <c r="O319">
        <v>0.41</v>
      </c>
      <c r="P319">
        <v>0.47</v>
      </c>
      <c r="Q319">
        <v>0.41</v>
      </c>
      <c r="R319">
        <v>0.4</v>
      </c>
      <c r="S319">
        <v>0.49</v>
      </c>
      <c r="T319" s="2">
        <f>IF('ROS Rankings'!$AD$1,IFERROR(AVERAGE(INDEX($C319:$S319,14):INDEX($C319:$S319,17)),0),IFERROR(AVERAGE(INDEX($C319:$S319,Week+1):INDEX($C319:$S319,13)),0))</f>
        <v>0.50285714285714289</v>
      </c>
      <c r="U319" s="2" t="str">
        <f t="shared" si="44"/>
        <v/>
      </c>
      <c r="V319" s="2" t="str">
        <f t="shared" si="44"/>
        <v/>
      </c>
      <c r="W319" s="2" t="str">
        <f t="shared" si="44"/>
        <v/>
      </c>
      <c r="X319" s="2">
        <f t="shared" si="44"/>
        <v>0.50285714285714289</v>
      </c>
      <c r="Y319" s="2" t="str">
        <f t="shared" si="44"/>
        <v/>
      </c>
      <c r="Z319" s="2" t="str">
        <f t="shared" si="44"/>
        <v/>
      </c>
      <c r="AA319" s="23" t="str">
        <f t="shared" si="36"/>
        <v>TE86</v>
      </c>
      <c r="AB319" s="2">
        <f>$T319-VLOOKUP($B319,Scores!$AG$1:$AM$7,5,FALSE)</f>
        <v>-6.4958928571428567</v>
      </c>
      <c r="AC319" s="2">
        <f>$T319-VLOOKUP($B319,Scores!$AG$1:$AM$7,6,FALSE)</f>
        <v>-4.7471428571428573</v>
      </c>
      <c r="AD319" s="2">
        <f>$T319-VLOOKUP($B319,Scores!$AG$1:$AM$7,7,FALSE)+(ROW(A318)/1000000)</f>
        <v>-4.676824857142857</v>
      </c>
      <c r="AE319" s="2">
        <f t="array" ref="AE319">IF('ROS Rankings'!$AD$1,IFERROR(AVERAGE(IF(INDEX($C319:$S319,14):INDEX($C319:$S319,17)="NA",0,INDEX($C319:$S319,14):INDEX($C319:$S319,17))-INDEX($AQ$2:$BG$7,MATCH($B319,$AO$2:$AO$7,0),14):INDEX($AQ$2:$BG$7,MATCH($B319,$AO$2:$AO$7,0),17)),0),IFERROR(AVERAGE(IF(INDEX($C319:$S319,Week+1):INDEX($C319:$S319,13)="NA",0,INDEX($C319:$S319,Week+1):INDEX($C319:$S319,13))-INDEX($AQ$2:$BG$7,MATCH($B319,$AO$2:$AO$7,0),Week+1):INDEX($AQ$2:$BG$7,MATCH($B319,$AO$2:$AO$7,0),13)),0))+ROW(A318)/1000000</f>
        <v>-4.6571819999999997</v>
      </c>
      <c r="AF319">
        <f t="shared" si="37"/>
        <v>317</v>
      </c>
      <c r="AG319">
        <f t="shared" si="38"/>
        <v>333</v>
      </c>
      <c r="AH319">
        <f t="shared" si="39"/>
        <v>378</v>
      </c>
      <c r="AI319">
        <f t="shared" si="40"/>
        <v>394</v>
      </c>
      <c r="AJ319" s="22">
        <f>IF(ISERROR(MATCH(A319,Rosters!$B$2:$B$155,0)),AD319,"")</f>
        <v>-4.676824857142857</v>
      </c>
      <c r="AK319">
        <f t="shared" si="41"/>
        <v>226</v>
      </c>
      <c r="AL319" s="23">
        <f>COUNTIF(INDEX($C319:$S319,Week+1):INDEX($C319:$S319,13),"&gt;0")</f>
        <v>7</v>
      </c>
    </row>
    <row r="320" spans="1:38" x14ac:dyDescent="0.25">
      <c r="A320" t="s">
        <v>1633</v>
      </c>
      <c r="B320" t="s">
        <v>87</v>
      </c>
      <c r="C320">
        <v>0</v>
      </c>
      <c r="D320">
        <v>0.41</v>
      </c>
      <c r="E320">
        <v>0.42</v>
      </c>
      <c r="F320">
        <v>0.45</v>
      </c>
      <c r="G320">
        <v>0.84</v>
      </c>
      <c r="H320">
        <v>0.55000000000000004</v>
      </c>
      <c r="I320">
        <v>0.54</v>
      </c>
      <c r="J320">
        <v>0.49</v>
      </c>
      <c r="K320" t="s">
        <v>64</v>
      </c>
      <c r="L320">
        <v>0.6</v>
      </c>
      <c r="M320">
        <v>0.59</v>
      </c>
      <c r="N320">
        <v>0.56000000000000005</v>
      </c>
      <c r="O320">
        <v>0.57999999999999996</v>
      </c>
      <c r="P320">
        <v>0.56999999999999995</v>
      </c>
      <c r="Q320">
        <v>0.59</v>
      </c>
      <c r="R320">
        <v>0.5</v>
      </c>
      <c r="S320">
        <v>0.57999999999999996</v>
      </c>
      <c r="T320" s="2">
        <f>IF('ROS Rankings'!$AD$1,IFERROR(AVERAGE(INDEX($C320:$S320,14):INDEX($C320:$S320,17)),0),IFERROR(AVERAGE(INDEX($C320:$S320,Week+1):INDEX($C320:$S320,13)),0))</f>
        <v>0.55857142857142861</v>
      </c>
      <c r="U320" s="2" t="str">
        <f t="shared" si="44"/>
        <v/>
      </c>
      <c r="V320" s="2" t="str">
        <f t="shared" si="44"/>
        <v/>
      </c>
      <c r="W320" s="2">
        <f t="shared" si="44"/>
        <v>0.55857142857142861</v>
      </c>
      <c r="X320" s="2" t="str">
        <f t="shared" si="44"/>
        <v/>
      </c>
      <c r="Y320" s="2" t="str">
        <f t="shared" si="44"/>
        <v/>
      </c>
      <c r="Z320" s="2" t="str">
        <f t="shared" si="44"/>
        <v/>
      </c>
      <c r="AA320" s="23" t="str">
        <f t="shared" si="36"/>
        <v>WR161</v>
      </c>
      <c r="AB320" s="2">
        <f>$T320-VLOOKUP($B320,Scores!$AG$1:$AM$7,5,FALSE)</f>
        <v>-9.8128571428571423</v>
      </c>
      <c r="AC320" s="2">
        <f>$T320-VLOOKUP($B320,Scores!$AG$1:$AM$7,6,FALSE)</f>
        <v>-7.4728571428571433</v>
      </c>
      <c r="AD320" s="2">
        <f>$T320-VLOOKUP($B320,Scores!$AG$1:$AM$7,7,FALSE)+(ROW(A319)/1000000)</f>
        <v>-5.4939667142857136</v>
      </c>
      <c r="AE320" s="2">
        <f t="array" ref="AE320">IF('ROS Rankings'!$AD$1,IFERROR(AVERAGE(IF(INDEX($C320:$S320,14):INDEX($C320:$S320,17)="NA",0,INDEX($C320:$S320,14):INDEX($C320:$S320,17))-INDEX($AQ$2:$BG$7,MATCH($B320,$AO$2:$AO$7,0),14):INDEX($AQ$2:$BG$7,MATCH($B320,$AO$2:$AO$7,0),17)),0),IFERROR(AVERAGE(IF(INDEX($C320:$S320,Week+1):INDEX($C320:$S320,13)="NA",0,INDEX($C320:$S320,Week+1):INDEX($C320:$S320,13))-INDEX($AQ$2:$BG$7,MATCH($B320,$AO$2:$AO$7,0),Week+1):INDEX($AQ$2:$BG$7,MATCH($B320,$AO$2:$AO$7,0),13)),0))+ROW(A319)/1000000</f>
        <v>-4.8671809999999995</v>
      </c>
      <c r="AF320">
        <f t="shared" si="37"/>
        <v>437</v>
      </c>
      <c r="AG320">
        <f t="shared" si="38"/>
        <v>455</v>
      </c>
      <c r="AH320">
        <f t="shared" si="39"/>
        <v>487</v>
      </c>
      <c r="AI320">
        <f t="shared" si="40"/>
        <v>462</v>
      </c>
      <c r="AJ320" s="22">
        <f>IF(ISERROR(MATCH(A320,Rosters!$B$2:$B$155,0)),AD320,"")</f>
        <v>-5.4939667142857136</v>
      </c>
      <c r="AK320">
        <f t="shared" si="41"/>
        <v>335</v>
      </c>
      <c r="AL320" s="23">
        <f>COUNTIF(INDEX($C320:$S320,Week+1):INDEX($C320:$S320,13),"&gt;0")</f>
        <v>7</v>
      </c>
    </row>
    <row r="321" spans="1:38" x14ac:dyDescent="0.25">
      <c r="A321" t="s">
        <v>4238</v>
      </c>
      <c r="B321" t="s">
        <v>87</v>
      </c>
      <c r="C321" t="s">
        <v>64</v>
      </c>
      <c r="D321">
        <v>0.78</v>
      </c>
      <c r="E321">
        <v>0.81</v>
      </c>
      <c r="F321">
        <v>0.56000000000000005</v>
      </c>
      <c r="G321">
        <v>0.6</v>
      </c>
      <c r="H321">
        <v>0.72</v>
      </c>
      <c r="I321">
        <v>0.92</v>
      </c>
      <c r="J321">
        <v>0.64</v>
      </c>
      <c r="K321">
        <v>0.73</v>
      </c>
      <c r="L321">
        <v>0.6</v>
      </c>
      <c r="M321">
        <v>0.8</v>
      </c>
      <c r="N321" t="s">
        <v>64</v>
      </c>
      <c r="O321">
        <v>0.75</v>
      </c>
      <c r="P321">
        <v>0.62</v>
      </c>
      <c r="Q321">
        <v>0.82</v>
      </c>
      <c r="R321">
        <v>0.64</v>
      </c>
      <c r="S321">
        <v>0.78</v>
      </c>
      <c r="T321" s="2">
        <f>IF('ROS Rankings'!$AD$1,IFERROR(AVERAGE(INDEX($C321:$S321,14):INDEX($C321:$S321,17)),0),IFERROR(AVERAGE(INDEX($C321:$S321,Week+1):INDEX($C321:$S321,13)),0))</f>
        <v>0.73714285714285721</v>
      </c>
      <c r="U321" s="2" t="str">
        <f t="shared" si="44"/>
        <v/>
      </c>
      <c r="V321" s="2" t="str">
        <f t="shared" si="44"/>
        <v/>
      </c>
      <c r="W321" s="2">
        <f t="shared" si="44"/>
        <v>0.73714285714285721</v>
      </c>
      <c r="X321" s="2" t="str">
        <f t="shared" si="44"/>
        <v/>
      </c>
      <c r="Y321" s="2" t="str">
        <f t="shared" si="44"/>
        <v/>
      </c>
      <c r="Z321" s="2" t="str">
        <f t="shared" si="44"/>
        <v/>
      </c>
      <c r="AA321" s="23" t="str">
        <f t="shared" si="36"/>
        <v>WR132</v>
      </c>
      <c r="AB321" s="2">
        <f>$T321-VLOOKUP($B321,Scores!$AG$1:$AM$7,5,FALSE)</f>
        <v>-9.6342857142857135</v>
      </c>
      <c r="AC321" s="2">
        <f>$T321-VLOOKUP($B321,Scores!$AG$1:$AM$7,6,FALSE)</f>
        <v>-7.2942857142857145</v>
      </c>
      <c r="AD321" s="2">
        <f>$T321-VLOOKUP($B321,Scores!$AG$1:$AM$7,7,FALSE)+(ROW(A320)/1000000)</f>
        <v>-5.3153942857142846</v>
      </c>
      <c r="AE321" s="2">
        <f t="array" ref="AE321">IF('ROS Rankings'!$AD$1,IFERROR(AVERAGE(IF(INDEX($C321:$S321,14):INDEX($C321:$S321,17)="NA",0,INDEX($C321:$S321,14):INDEX($C321:$S321,17))-INDEX($AQ$2:$BG$7,MATCH($B321,$AO$2:$AO$7,0),14):INDEX($AQ$2:$BG$7,MATCH($B321,$AO$2:$AO$7,0),17)),0),IFERROR(AVERAGE(IF(INDEX($C321:$S321,Week+1):INDEX($C321:$S321,13)="NA",0,INDEX($C321:$S321,Week+1):INDEX($C321:$S321,13))-INDEX($AQ$2:$BG$7,MATCH($B321,$AO$2:$AO$7,0),Week+1):INDEX($AQ$2:$BG$7,MATCH($B321,$AO$2:$AO$7,0),13)),0))+ROW(A320)/1000000</f>
        <v>-4.7109299999999994</v>
      </c>
      <c r="AF321">
        <f t="shared" si="37"/>
        <v>407</v>
      </c>
      <c r="AG321">
        <f t="shared" si="38"/>
        <v>422</v>
      </c>
      <c r="AH321">
        <f t="shared" si="39"/>
        <v>440</v>
      </c>
      <c r="AI321">
        <f t="shared" si="40"/>
        <v>411</v>
      </c>
      <c r="AJ321" s="22">
        <f>IF(ISERROR(MATCH(A321,Rosters!$B$2:$B$155,0)),AD321,"")</f>
        <v>-5.3153942857142846</v>
      </c>
      <c r="AK321">
        <f t="shared" si="41"/>
        <v>288</v>
      </c>
      <c r="AL321" s="23">
        <f>COUNTIF(INDEX($C321:$S321,Week+1):INDEX($C321:$S321,13),"&gt;0")</f>
        <v>7</v>
      </c>
    </row>
    <row r="322" spans="1:38" x14ac:dyDescent="0.25">
      <c r="A322" t="s">
        <v>69</v>
      </c>
      <c r="B322" t="s">
        <v>15</v>
      </c>
      <c r="C322">
        <v>16.670000000000002</v>
      </c>
      <c r="D322">
        <v>0</v>
      </c>
      <c r="E322">
        <v>1.1499999999999999</v>
      </c>
      <c r="F322">
        <v>13.28</v>
      </c>
      <c r="G322">
        <v>15.71</v>
      </c>
      <c r="H322">
        <v>14.77</v>
      </c>
      <c r="I322">
        <v>15.54</v>
      </c>
      <c r="J322" t="s">
        <v>64</v>
      </c>
      <c r="K322">
        <v>17.21</v>
      </c>
      <c r="L322">
        <v>17.940000000000001</v>
      </c>
      <c r="M322">
        <v>17.16</v>
      </c>
      <c r="N322">
        <v>18.86</v>
      </c>
      <c r="O322">
        <v>13.74</v>
      </c>
      <c r="P322">
        <v>14.64</v>
      </c>
      <c r="Q322">
        <v>17.22</v>
      </c>
      <c r="R322">
        <v>17.850000000000001</v>
      </c>
      <c r="S322">
        <v>18.22</v>
      </c>
      <c r="T322" s="2">
        <f>IF('ROS Rankings'!$AD$1,IFERROR(AVERAGE(INDEX($C322:$S322,14):INDEX($C322:$S322,17)),0),IFERROR(AVERAGE(INDEX($C322:$S322,Week+1):INDEX($C322:$S322,13)),0))</f>
        <v>16.459999999999997</v>
      </c>
      <c r="U322" s="2">
        <f t="shared" si="44"/>
        <v>16.459999999999997</v>
      </c>
      <c r="V322" s="2" t="str">
        <f t="shared" si="44"/>
        <v/>
      </c>
      <c r="W322" s="2" t="str">
        <f t="shared" si="44"/>
        <v/>
      </c>
      <c r="X322" s="2" t="str">
        <f t="shared" si="44"/>
        <v/>
      </c>
      <c r="Y322" s="2" t="str">
        <f t="shared" si="44"/>
        <v/>
      </c>
      <c r="Z322" s="2" t="str">
        <f t="shared" si="44"/>
        <v/>
      </c>
      <c r="AA322" s="23" t="str">
        <f t="shared" si="36"/>
        <v>QB21</v>
      </c>
      <c r="AB322" s="2">
        <f>$T322-VLOOKUP($B322,Scores!$AG$1:$AM$7,5,FALSE)</f>
        <v>-4.4242857142857162</v>
      </c>
      <c r="AC322" s="2">
        <f>$T322-VLOOKUP($B322,Scores!$AG$1:$AM$7,6,FALSE)</f>
        <v>-3.4437500000000014</v>
      </c>
      <c r="AD322" s="2">
        <f>$T322-VLOOKUP($B322,Scores!$AG$1:$AM$7,7,FALSE)+(ROW(A321)/1000000)</f>
        <v>-3.0396789999999991</v>
      </c>
      <c r="AE322" s="2">
        <f t="array" ref="AE322">IF('ROS Rankings'!$AD$1,IFERROR(AVERAGE(IF(INDEX($C322:$S322,14):INDEX($C322:$S322,17)="NA",0,INDEX($C322:$S322,14):INDEX($C322:$S322,17))-INDEX($AQ$2:$BG$7,MATCH($B322,$AO$2:$AO$7,0),14):INDEX($AQ$2:$BG$7,MATCH($B322,$AO$2:$AO$7,0),17)),0),IFERROR(AVERAGE(IF(INDEX($C322:$S322,Week+1):INDEX($C322:$S322,13)="NA",0,INDEX($C322:$S322,Week+1):INDEX($C322:$S322,13))-INDEX($AQ$2:$BG$7,MATCH($B322,$AO$2:$AO$7,0),Week+1):INDEX($AQ$2:$BG$7,MATCH($B322,$AO$2:$AO$7,0),13)),0))+ROW(A321)/1000000</f>
        <v>-4.0996790000000001</v>
      </c>
      <c r="AF322">
        <f t="shared" si="37"/>
        <v>210</v>
      </c>
      <c r="AG322">
        <f t="shared" si="38"/>
        <v>266</v>
      </c>
      <c r="AH322">
        <f t="shared" si="39"/>
        <v>303</v>
      </c>
      <c r="AI322">
        <f t="shared" si="40"/>
        <v>350</v>
      </c>
      <c r="AJ322" s="22">
        <f>IF(ISERROR(MATCH(A322,Rosters!$B$2:$B$155,0)),AD322,"")</f>
        <v>-3.0396789999999991</v>
      </c>
      <c r="AK322">
        <f t="shared" si="41"/>
        <v>156</v>
      </c>
      <c r="AL322" s="23">
        <f>COUNTIF(INDEX($C322:$S322,Week+1):INDEX($C322:$S322,13),"&gt;0")</f>
        <v>7</v>
      </c>
    </row>
    <row r="323" spans="1:38" x14ac:dyDescent="0.25">
      <c r="A323" t="s">
        <v>1556</v>
      </c>
      <c r="B323" t="s">
        <v>47</v>
      </c>
      <c r="C323">
        <v>0.61</v>
      </c>
      <c r="D323">
        <v>0.74</v>
      </c>
      <c r="E323">
        <v>6.05</v>
      </c>
      <c r="F323">
        <v>0</v>
      </c>
      <c r="G323">
        <v>1.32</v>
      </c>
      <c r="H323">
        <v>1.3</v>
      </c>
      <c r="I323">
        <v>1.4</v>
      </c>
      <c r="J323">
        <v>1.47</v>
      </c>
      <c r="K323">
        <v>1.36</v>
      </c>
      <c r="L323">
        <v>1.38</v>
      </c>
      <c r="M323" t="s">
        <v>64</v>
      </c>
      <c r="N323">
        <v>1.35</v>
      </c>
      <c r="O323">
        <v>1.56</v>
      </c>
      <c r="P323">
        <v>1.47</v>
      </c>
      <c r="Q323">
        <v>1.5</v>
      </c>
      <c r="R323">
        <v>1.39</v>
      </c>
      <c r="S323">
        <v>1.65</v>
      </c>
      <c r="T323" s="2">
        <f>IF('ROS Rankings'!$AD$1,IFERROR(AVERAGE(INDEX($C323:$S323,14):INDEX($C323:$S323,17)),0),IFERROR(AVERAGE(INDEX($C323:$S323,Week+1):INDEX($C323:$S323,13)),0))</f>
        <v>1.4028571428571428</v>
      </c>
      <c r="U323" s="2" t="str">
        <f t="shared" si="44"/>
        <v/>
      </c>
      <c r="V323" s="2">
        <f t="shared" si="44"/>
        <v>1.4028571428571428</v>
      </c>
      <c r="W323" s="2" t="str">
        <f t="shared" si="44"/>
        <v/>
      </c>
      <c r="X323" s="2" t="str">
        <f t="shared" si="44"/>
        <v/>
      </c>
      <c r="Y323" s="2" t="str">
        <f t="shared" si="44"/>
        <v/>
      </c>
      <c r="Z323" s="2" t="str">
        <f t="shared" si="44"/>
        <v/>
      </c>
      <c r="AA323" s="23" t="str">
        <f t="shared" ref="AA323:AA386" si="45">$B323&amp;_xlfn.RANK.EQ($T323,INDEX($U$2:$Z$561,,MATCH($B323,$U$1:$Z$1,0)),0)</f>
        <v>RB81</v>
      </c>
      <c r="AB323" s="2">
        <f>$T323-VLOOKUP($B323,Scores!$AG$1:$AM$7,5,FALSE)</f>
        <v>-10.355714285714287</v>
      </c>
      <c r="AC323" s="2">
        <f>$T323-VLOOKUP($B323,Scores!$AG$1:$AM$7,6,FALSE)</f>
        <v>-6.8671428571428583</v>
      </c>
      <c r="AD323" s="2">
        <f>$T323-VLOOKUP($B323,Scores!$AG$1:$AM$7,7,FALSE)+(ROW(A322)/1000000)</f>
        <v>-4.4653922857142865</v>
      </c>
      <c r="AE323" s="2">
        <f t="array" ref="AE323">IF('ROS Rankings'!$AD$1,IFERROR(AVERAGE(IF(INDEX($C323:$S323,14):INDEX($C323:$S323,17)="NA",0,INDEX($C323:$S323,14):INDEX($C323:$S323,17))-INDEX($AQ$2:$BG$7,MATCH($B323,$AO$2:$AO$7,0),14):INDEX($AQ$2:$BG$7,MATCH($B323,$AO$2:$AO$7,0),17)),0),IFERROR(AVERAGE(IF(INDEX($C323:$S323,Week+1):INDEX($C323:$S323,13)="NA",0,INDEX($C323:$S323,Week+1):INDEX($C323:$S323,13))-INDEX($AQ$2:$BG$7,MATCH($B323,$AO$2:$AO$7,0),Week+1):INDEX($AQ$2:$BG$7,MATCH($B323,$AO$2:$AO$7,0),13)),0))+ROW(A322)/1000000</f>
        <v>-4.1321780000000006</v>
      </c>
      <c r="AF323">
        <f t="shared" ref="AF323:AF386" si="46">_xlfn.RANK.EQ(AB323,AB$2:AB$561,0)</f>
        <v>464</v>
      </c>
      <c r="AG323">
        <f t="shared" ref="AG323:AG386" si="47">_xlfn.RANK.EQ(AC323,AC$2:AC$561,0)</f>
        <v>402</v>
      </c>
      <c r="AH323">
        <f t="shared" ref="AH323:AH386" si="48">_xlfn.RANK.EQ(AD323,AD$2:AD$561,0)</f>
        <v>356</v>
      </c>
      <c r="AI323">
        <f t="shared" ref="AI323:AI386" si="49">_xlfn.RANK.EQ(AE323,AE$2:AE$561,0)</f>
        <v>353</v>
      </c>
      <c r="AJ323" s="22">
        <f>IF(ISERROR(MATCH(A323,Rosters!$B$2:$B$155,0)),AD323,"")</f>
        <v>-4.4653922857142865</v>
      </c>
      <c r="AK323">
        <f t="shared" ref="AK323:AK386" si="50">IFERROR(_xlfn.RANK.EQ(AJ323,$AJ$2:$AJ$561,0),"")</f>
        <v>204</v>
      </c>
      <c r="AL323" s="23">
        <f>COUNTIF(INDEX($C323:$S323,Week+1):INDEX($C323:$S323,13),"&gt;0")</f>
        <v>7</v>
      </c>
    </row>
    <row r="324" spans="1:38" x14ac:dyDescent="0.25">
      <c r="A324" t="s">
        <v>4224</v>
      </c>
      <c r="B324" t="s">
        <v>114</v>
      </c>
      <c r="C324" t="s">
        <v>64</v>
      </c>
      <c r="D324">
        <v>1.71</v>
      </c>
      <c r="E324">
        <v>2.2000000000000002</v>
      </c>
      <c r="F324">
        <v>2.82</v>
      </c>
      <c r="G324">
        <v>2.96</v>
      </c>
      <c r="H324">
        <v>3.18</v>
      </c>
      <c r="I324">
        <v>2.89</v>
      </c>
      <c r="J324">
        <v>2.52</v>
      </c>
      <c r="K324">
        <v>2.79</v>
      </c>
      <c r="L324" t="s">
        <v>64</v>
      </c>
      <c r="M324">
        <v>2.88</v>
      </c>
      <c r="N324">
        <v>2.72</v>
      </c>
      <c r="O324">
        <v>2.48</v>
      </c>
      <c r="P324">
        <v>2.62</v>
      </c>
      <c r="Q324">
        <v>2.92</v>
      </c>
      <c r="R324">
        <v>2.56</v>
      </c>
      <c r="S324">
        <v>3.09</v>
      </c>
      <c r="T324" s="2">
        <f>IF('ROS Rankings'!$AD$1,IFERROR(AVERAGE(INDEX($C324:$S324,14):INDEX($C324:$S324,17)),0),IFERROR(AVERAGE(INDEX($C324:$S324,Week+1):INDEX($C324:$S324,13)),0))</f>
        <v>2.78</v>
      </c>
      <c r="U324" s="2" t="str">
        <f t="shared" si="44"/>
        <v/>
      </c>
      <c r="V324" s="2" t="str">
        <f t="shared" si="44"/>
        <v/>
      </c>
      <c r="W324" s="2" t="str">
        <f t="shared" si="44"/>
        <v/>
      </c>
      <c r="X324" s="2">
        <f t="shared" si="44"/>
        <v>2.78</v>
      </c>
      <c r="Y324" s="2" t="str">
        <f t="shared" si="44"/>
        <v/>
      </c>
      <c r="Z324" s="2" t="str">
        <f t="shared" si="44"/>
        <v/>
      </c>
      <c r="AA324" s="23" t="str">
        <f t="shared" si="45"/>
        <v>TE34</v>
      </c>
      <c r="AB324" s="2">
        <f>$T324-VLOOKUP($B324,Scores!$AG$1:$AM$7,5,FALSE)</f>
        <v>-4.21875</v>
      </c>
      <c r="AC324" s="2">
        <f>$T324-VLOOKUP($B324,Scores!$AG$1:$AM$7,6,FALSE)</f>
        <v>-2.4700000000000002</v>
      </c>
      <c r="AD324" s="2">
        <f>$T324-VLOOKUP($B324,Scores!$AG$1:$AM$7,7,FALSE)+(ROW(A323)/1000000)</f>
        <v>-2.3996770000000001</v>
      </c>
      <c r="AE324" s="2">
        <f t="array" ref="AE324">IF('ROS Rankings'!$AD$1,IFERROR(AVERAGE(IF(INDEX($C324:$S324,14):INDEX($C324:$S324,17)="NA",0,INDEX($C324:$S324,14):INDEX($C324:$S324,17))-INDEX($AQ$2:$BG$7,MATCH($B324,$AO$2:$AO$7,0),14):INDEX($AQ$2:$BG$7,MATCH($B324,$AO$2:$AO$7,0),17)),0),IFERROR(AVERAGE(IF(INDEX($C324:$S324,Week+1):INDEX($C324:$S324,13)="NA",0,INDEX($C324:$S324,Week+1):INDEX($C324:$S324,13))-INDEX($AQ$2:$BG$7,MATCH($B324,$AO$2:$AO$7,0),Week+1):INDEX($AQ$2:$BG$7,MATCH($B324,$AO$2:$AO$7,0),13)),0))+ROW(A323)/1000000</f>
        <v>-2.6646770000000002</v>
      </c>
      <c r="AF324">
        <f t="shared" si="46"/>
        <v>200</v>
      </c>
      <c r="AG324">
        <f t="shared" si="47"/>
        <v>216</v>
      </c>
      <c r="AH324">
        <f t="shared" si="48"/>
        <v>265</v>
      </c>
      <c r="AI324">
        <f t="shared" si="49"/>
        <v>277</v>
      </c>
      <c r="AJ324" s="22">
        <f>IF(ISERROR(MATCH(A324,Rosters!$B$2:$B$155,0)),AD324,"")</f>
        <v>-2.3996770000000001</v>
      </c>
      <c r="AK324">
        <f t="shared" si="50"/>
        <v>121</v>
      </c>
      <c r="AL324" s="23">
        <f>COUNTIF(INDEX($C324:$S324,Week+1):INDEX($C324:$S324,13),"&gt;0")</f>
        <v>7</v>
      </c>
    </row>
    <row r="325" spans="1:38" x14ac:dyDescent="0.25">
      <c r="A325" t="s">
        <v>1647</v>
      </c>
      <c r="B325" t="s">
        <v>47</v>
      </c>
      <c r="C325">
        <v>0</v>
      </c>
      <c r="D325">
        <v>0</v>
      </c>
      <c r="E325">
        <v>0</v>
      </c>
      <c r="F325">
        <v>0</v>
      </c>
      <c r="G325">
        <v>10.69</v>
      </c>
      <c r="H325" t="s">
        <v>64</v>
      </c>
      <c r="I325">
        <v>8.5</v>
      </c>
      <c r="J325">
        <v>9.52</v>
      </c>
      <c r="K325">
        <v>10.07</v>
      </c>
      <c r="L325">
        <v>9.6199999999999992</v>
      </c>
      <c r="M325">
        <v>9.52</v>
      </c>
      <c r="N325">
        <v>10.68</v>
      </c>
      <c r="O325">
        <v>8.4</v>
      </c>
      <c r="P325">
        <v>10.050000000000001</v>
      </c>
      <c r="Q325">
        <v>8.93</v>
      </c>
      <c r="R325">
        <v>10.51</v>
      </c>
      <c r="S325">
        <v>9.7799999999999994</v>
      </c>
      <c r="T325" s="2">
        <f>IF('ROS Rankings'!$AD$1,IFERROR(AVERAGE(INDEX($C325:$S325,14):INDEX($C325:$S325,17)),0),IFERROR(AVERAGE(INDEX($C325:$S325,Week+1):INDEX($C325:$S325,13)),0))</f>
        <v>9.4728571428571424</v>
      </c>
      <c r="U325" s="2" t="str">
        <f t="shared" si="44"/>
        <v/>
      </c>
      <c r="V325" s="2">
        <f t="shared" si="44"/>
        <v>9.4728571428571424</v>
      </c>
      <c r="W325" s="2" t="str">
        <f t="shared" si="44"/>
        <v/>
      </c>
      <c r="X325" s="2" t="str">
        <f t="shared" si="44"/>
        <v/>
      </c>
      <c r="Y325" s="2" t="str">
        <f t="shared" si="44"/>
        <v/>
      </c>
      <c r="Z325" s="2" t="str">
        <f t="shared" si="44"/>
        <v/>
      </c>
      <c r="AA325" s="23" t="str">
        <f t="shared" si="45"/>
        <v>RB19</v>
      </c>
      <c r="AB325" s="2">
        <f>$T325-VLOOKUP($B325,Scores!$AG$1:$AM$7,5,FALSE)</f>
        <v>-2.2857142857142865</v>
      </c>
      <c r="AC325" s="2">
        <f>$T325-VLOOKUP($B325,Scores!$AG$1:$AM$7,6,FALSE)</f>
        <v>1.2028571428571411</v>
      </c>
      <c r="AD325" s="2">
        <f>$T325-VLOOKUP($B325,Scores!$AG$1:$AM$7,7,FALSE)+(ROW(A324)/1000000)</f>
        <v>3.6046097142857132</v>
      </c>
      <c r="AE325" s="2">
        <f t="array" ref="AE325">IF('ROS Rankings'!$AD$1,IFERROR(AVERAGE(IF(INDEX($C325:$S325,14):INDEX($C325:$S325,17)="NA",0,INDEX($C325:$S325,14):INDEX($C325:$S325,17))-INDEX($AQ$2:$BG$7,MATCH($B325,$AO$2:$AO$7,0),14):INDEX($AQ$2:$BG$7,MATCH($B325,$AO$2:$AO$7,0),17)),0),IFERROR(AVERAGE(IF(INDEX($C325:$S325,Week+1):INDEX($C325:$S325,13)="NA",0,INDEX($C325:$S325,Week+1):INDEX($C325:$S325,13))-INDEX($AQ$2:$BG$7,MATCH($B325,$AO$2:$AO$7,0),Week+1):INDEX($AQ$2:$BG$7,MATCH($B325,$AO$2:$AO$7,0),13)),0))+ROW(A324)/1000000</f>
        <v>2.929074</v>
      </c>
      <c r="AF325">
        <f t="shared" si="46"/>
        <v>144</v>
      </c>
      <c r="AG325">
        <f t="shared" si="47"/>
        <v>54</v>
      </c>
      <c r="AH325">
        <f t="shared" si="48"/>
        <v>41</v>
      </c>
      <c r="AI325">
        <f t="shared" si="49"/>
        <v>43</v>
      </c>
      <c r="AJ325" s="22" t="str">
        <f>IF(ISERROR(MATCH(A325,Rosters!$B$2:$B$155,0)),AD325,"")</f>
        <v/>
      </c>
      <c r="AK325" t="str">
        <f t="shared" si="50"/>
        <v/>
      </c>
      <c r="AL325" s="23">
        <f>COUNTIF(INDEX($C325:$S325,Week+1):INDEX($C325:$S325,13),"&gt;0")</f>
        <v>7</v>
      </c>
    </row>
    <row r="326" spans="1:38" x14ac:dyDescent="0.25">
      <c r="A326" t="s">
        <v>4215</v>
      </c>
      <c r="B326" t="s">
        <v>47</v>
      </c>
      <c r="C326" t="s">
        <v>64</v>
      </c>
      <c r="D326" t="s">
        <v>64</v>
      </c>
      <c r="E326">
        <v>2.52</v>
      </c>
      <c r="F326">
        <v>0.76</v>
      </c>
      <c r="G326">
        <v>0.46</v>
      </c>
      <c r="H326">
        <v>0.55000000000000004</v>
      </c>
      <c r="I326">
        <v>0.56000000000000005</v>
      </c>
      <c r="J326">
        <v>0.54</v>
      </c>
      <c r="K326" t="s">
        <v>64</v>
      </c>
      <c r="L326">
        <v>0.69</v>
      </c>
      <c r="M326">
        <v>0.48</v>
      </c>
      <c r="N326">
        <v>0.61</v>
      </c>
      <c r="O326">
        <v>0.51</v>
      </c>
      <c r="P326">
        <v>0.56999999999999995</v>
      </c>
      <c r="Q326">
        <v>0.53</v>
      </c>
      <c r="R326">
        <v>0.56999999999999995</v>
      </c>
      <c r="S326">
        <v>0.52</v>
      </c>
      <c r="T326" s="2">
        <f>IF('ROS Rankings'!$AD$1,IFERROR(AVERAGE(INDEX($C326:$S326,14):INDEX($C326:$S326,17)),0),IFERROR(AVERAGE(INDEX($C326:$S326,Week+1):INDEX($C326:$S326,13)),0))</f>
        <v>0.56285714285714283</v>
      </c>
      <c r="U326" s="2" t="str">
        <f t="shared" si="44"/>
        <v/>
      </c>
      <c r="V326" s="2">
        <f t="shared" si="44"/>
        <v>0.56285714285714283</v>
      </c>
      <c r="W326" s="2" t="str">
        <f t="shared" si="44"/>
        <v/>
      </c>
      <c r="X326" s="2" t="str">
        <f t="shared" si="44"/>
        <v/>
      </c>
      <c r="Y326" s="2" t="str">
        <f t="shared" si="44"/>
        <v/>
      </c>
      <c r="Z326" s="2" t="str">
        <f t="shared" si="44"/>
        <v/>
      </c>
      <c r="AA326" s="23" t="str">
        <f t="shared" si="45"/>
        <v>RB105</v>
      </c>
      <c r="AB326" s="2">
        <f>$T326-VLOOKUP($B326,Scores!$AG$1:$AM$7,5,FALSE)</f>
        <v>-11.195714285714287</v>
      </c>
      <c r="AC326" s="2">
        <f>$T326-VLOOKUP($B326,Scores!$AG$1:$AM$7,6,FALSE)</f>
        <v>-7.7071428571428582</v>
      </c>
      <c r="AD326" s="2">
        <f>$T326-VLOOKUP($B326,Scores!$AG$1:$AM$7,7,FALSE)+(ROW(A325)/1000000)</f>
        <v>-5.3053892857142859</v>
      </c>
      <c r="AE326" s="2">
        <f t="array" ref="AE326">IF('ROS Rankings'!$AD$1,IFERROR(AVERAGE(IF(INDEX($C326:$S326,14):INDEX($C326:$S326,17)="NA",0,INDEX($C326:$S326,14):INDEX($C326:$S326,17))-INDEX($AQ$2:$BG$7,MATCH($B326,$AO$2:$AO$7,0),14):INDEX($AQ$2:$BG$7,MATCH($B326,$AO$2:$AO$7,0),17)),0),IFERROR(AVERAGE(IF(INDEX($C326:$S326,Week+1):INDEX($C326:$S326,13)="NA",0,INDEX($C326:$S326,Week+1):INDEX($C326:$S326,13))-INDEX($AQ$2:$BG$7,MATCH($B326,$AO$2:$AO$7,0),Week+1):INDEX($AQ$2:$BG$7,MATCH($B326,$AO$2:$AO$7,0),13)),0))+ROW(A325)/1000000</f>
        <v>-4.8671750000000005</v>
      </c>
      <c r="AF326">
        <f t="shared" si="46"/>
        <v>493</v>
      </c>
      <c r="AG326">
        <f t="shared" si="47"/>
        <v>484</v>
      </c>
      <c r="AH326">
        <f t="shared" si="48"/>
        <v>433</v>
      </c>
      <c r="AI326">
        <f t="shared" si="49"/>
        <v>461</v>
      </c>
      <c r="AJ326" s="22">
        <f>IF(ISERROR(MATCH(A326,Rosters!$B$2:$B$155,0)),AD326,"")</f>
        <v>-5.3053892857142859</v>
      </c>
      <c r="AK326">
        <f t="shared" si="50"/>
        <v>281</v>
      </c>
      <c r="AL326" s="23">
        <f>COUNTIF(INDEX($C326:$S326,Week+1):INDEX($C326:$S326,13),"&gt;0")</f>
        <v>7</v>
      </c>
    </row>
    <row r="327" spans="1:38" x14ac:dyDescent="0.25">
      <c r="A327" t="s">
        <v>224</v>
      </c>
      <c r="B327" t="s">
        <v>47</v>
      </c>
      <c r="C327">
        <v>0</v>
      </c>
      <c r="D327">
        <v>7.93</v>
      </c>
      <c r="E327">
        <v>0</v>
      </c>
      <c r="F327">
        <v>0</v>
      </c>
      <c r="G327">
        <v>0</v>
      </c>
      <c r="H327">
        <v>5.39</v>
      </c>
      <c r="I327">
        <v>6.37</v>
      </c>
      <c r="J327">
        <v>6.46</v>
      </c>
      <c r="K327" t="s">
        <v>64</v>
      </c>
      <c r="L327">
        <v>5.48</v>
      </c>
      <c r="M327">
        <v>5.82</v>
      </c>
      <c r="N327">
        <v>6.13</v>
      </c>
      <c r="O327">
        <v>5.25</v>
      </c>
      <c r="P327">
        <v>6.37</v>
      </c>
      <c r="Q327">
        <v>6.62</v>
      </c>
      <c r="R327">
        <v>5.46</v>
      </c>
      <c r="S327">
        <v>5.5</v>
      </c>
      <c r="T327" s="2">
        <f>IF('ROS Rankings'!$AD$1,IFERROR(AVERAGE(INDEX($C327:$S327,14):INDEX($C327:$S327,17)),0),IFERROR(AVERAGE(INDEX($C327:$S327,Week+1):INDEX($C327:$S327,13)),0))</f>
        <v>5.8428571428571425</v>
      </c>
      <c r="U327" s="2" t="str">
        <f t="shared" si="44"/>
        <v/>
      </c>
      <c r="V327" s="2">
        <f t="shared" si="44"/>
        <v>5.8428571428571425</v>
      </c>
      <c r="W327" s="2" t="str">
        <f t="shared" si="44"/>
        <v/>
      </c>
      <c r="X327" s="2" t="str">
        <f t="shared" si="44"/>
        <v/>
      </c>
      <c r="Y327" s="2" t="str">
        <f t="shared" si="44"/>
        <v/>
      </c>
      <c r="Z327" s="2" t="str">
        <f t="shared" si="44"/>
        <v/>
      </c>
      <c r="AA327" s="23" t="str">
        <f t="shared" si="45"/>
        <v>RB49</v>
      </c>
      <c r="AB327" s="2">
        <f>$T327-VLOOKUP($B327,Scores!$AG$1:$AM$7,5,FALSE)</f>
        <v>-5.9157142857142864</v>
      </c>
      <c r="AC327" s="2">
        <f>$T327-VLOOKUP($B327,Scores!$AG$1:$AM$7,6,FALSE)</f>
        <v>-2.4271428571428588</v>
      </c>
      <c r="AD327" s="2">
        <f>$T327-VLOOKUP($B327,Scores!$AG$1:$AM$7,7,FALSE)+(ROW(A326)/1000000)</f>
        <v>-2.5388285714286689E-2</v>
      </c>
      <c r="AE327" s="2">
        <f t="array" ref="AE327">IF('ROS Rankings'!$AD$1,IFERROR(AVERAGE(IF(INDEX($C327:$S327,14):INDEX($C327:$S327,17)="NA",0,INDEX($C327:$S327,14):INDEX($C327:$S327,17))-INDEX($AQ$2:$BG$7,MATCH($B327,$AO$2:$AO$7,0),14):INDEX($AQ$2:$BG$7,MATCH($B327,$AO$2:$AO$7,0),17)),0),IFERROR(AVERAGE(IF(INDEX($C327:$S327,Week+1):INDEX($C327:$S327,13)="NA",0,INDEX($C327:$S327,Week+1):INDEX($C327:$S327,13))-INDEX($AQ$2:$BG$7,MATCH($B327,$AO$2:$AO$7,0),Week+1):INDEX($AQ$2:$BG$7,MATCH($B327,$AO$2:$AO$7,0),13)),0))+ROW(A326)/1000000</f>
        <v>-0.24717399999999984</v>
      </c>
      <c r="AF327">
        <f t="shared" si="46"/>
        <v>277</v>
      </c>
      <c r="AG327">
        <f t="shared" si="47"/>
        <v>213</v>
      </c>
      <c r="AH327">
        <f t="shared" si="48"/>
        <v>152</v>
      </c>
      <c r="AI327">
        <f t="shared" si="49"/>
        <v>134</v>
      </c>
      <c r="AJ327" s="22">
        <f>IF(ISERROR(MATCH(A327,Rosters!$B$2:$B$155,0)),AD327,"")</f>
        <v>-2.5388285714286689E-2</v>
      </c>
      <c r="AK327">
        <f t="shared" si="50"/>
        <v>25</v>
      </c>
      <c r="AL327" s="23">
        <f>COUNTIF(INDEX($C327:$S327,Week+1):INDEX($C327:$S327,13),"&gt;0")</f>
        <v>7</v>
      </c>
    </row>
    <row r="328" spans="1:38" x14ac:dyDescent="0.25">
      <c r="A328" t="s">
        <v>4236</v>
      </c>
      <c r="B328" t="s">
        <v>87</v>
      </c>
      <c r="C328" t="s">
        <v>64</v>
      </c>
      <c r="D328">
        <v>0.54</v>
      </c>
      <c r="E328">
        <v>1.1000000000000001</v>
      </c>
      <c r="F328">
        <v>2.92</v>
      </c>
      <c r="G328">
        <v>6.82</v>
      </c>
      <c r="H328">
        <v>2.57</v>
      </c>
      <c r="I328" t="s">
        <v>64</v>
      </c>
      <c r="J328">
        <v>2.4900000000000002</v>
      </c>
      <c r="K328">
        <v>2.35</v>
      </c>
      <c r="L328">
        <v>2.54</v>
      </c>
      <c r="M328">
        <v>3.14</v>
      </c>
      <c r="N328">
        <v>2.85</v>
      </c>
      <c r="O328">
        <v>2.87</v>
      </c>
      <c r="P328">
        <v>2.97</v>
      </c>
      <c r="Q328">
        <v>2.95</v>
      </c>
      <c r="R328">
        <v>2.7</v>
      </c>
      <c r="S328">
        <v>3</v>
      </c>
      <c r="T328" s="2">
        <f>IF('ROS Rankings'!$AD$1,IFERROR(AVERAGE(INDEX($C328:$S328,14):INDEX($C328:$S328,17)),0),IFERROR(AVERAGE(INDEX($C328:$S328,Week+1):INDEX($C328:$S328,13)),0))</f>
        <v>2.6871428571428568</v>
      </c>
      <c r="U328" s="2" t="str">
        <f t="shared" si="44"/>
        <v/>
      </c>
      <c r="V328" s="2" t="str">
        <f t="shared" si="44"/>
        <v/>
      </c>
      <c r="W328" s="2">
        <f t="shared" si="44"/>
        <v>2.6871428571428568</v>
      </c>
      <c r="X328" s="2" t="str">
        <f t="shared" si="44"/>
        <v/>
      </c>
      <c r="Y328" s="2" t="str">
        <f t="shared" si="44"/>
        <v/>
      </c>
      <c r="Z328" s="2" t="str">
        <f t="shared" si="44"/>
        <v/>
      </c>
      <c r="AA328" s="23" t="str">
        <f t="shared" si="45"/>
        <v>WR104</v>
      </c>
      <c r="AB328" s="2">
        <f>$T328-VLOOKUP($B328,Scores!$AG$1:$AM$7,5,FALSE)</f>
        <v>-7.6842857142857133</v>
      </c>
      <c r="AC328" s="2">
        <f>$T328-VLOOKUP($B328,Scores!$AG$1:$AM$7,6,FALSE)</f>
        <v>-5.3442857142857152</v>
      </c>
      <c r="AD328" s="2">
        <f>$T328-VLOOKUP($B328,Scores!$AG$1:$AM$7,7,FALSE)+(ROW(A327)/1000000)</f>
        <v>-3.3653872857142857</v>
      </c>
      <c r="AE328" s="2">
        <f t="array" ref="AE328">IF('ROS Rankings'!$AD$1,IFERROR(AVERAGE(IF(INDEX($C328:$S328,14):INDEX($C328:$S328,17)="NA",0,INDEX($C328:$S328,14):INDEX($C328:$S328,17))-INDEX($AQ$2:$BG$7,MATCH($B328,$AO$2:$AO$7,0),14):INDEX($AQ$2:$BG$7,MATCH($B328,$AO$2:$AO$7,0),17)),0),IFERROR(AVERAGE(IF(INDEX($C328:$S328,Week+1):INDEX($C328:$S328,13)="NA",0,INDEX($C328:$S328,Week+1):INDEX($C328:$S328,13))-INDEX($AQ$2:$BG$7,MATCH($B328,$AO$2:$AO$7,0),Week+1):INDEX($AQ$2:$BG$7,MATCH($B328,$AO$2:$AO$7,0),13)),0))+ROW(A327)/1000000</f>
        <v>-3.0046729999999999</v>
      </c>
      <c r="AF328">
        <f t="shared" si="46"/>
        <v>368</v>
      </c>
      <c r="AG328">
        <f t="shared" si="47"/>
        <v>371</v>
      </c>
      <c r="AH328">
        <f t="shared" si="48"/>
        <v>319</v>
      </c>
      <c r="AI328">
        <f t="shared" si="49"/>
        <v>295</v>
      </c>
      <c r="AJ328" s="22" t="str">
        <f>IF(ISERROR(MATCH(A328,Rosters!$B$2:$B$155,0)),AD328,"")</f>
        <v/>
      </c>
      <c r="AK328" t="str">
        <f t="shared" si="50"/>
        <v/>
      </c>
      <c r="AL328" s="23">
        <f>COUNTIF(INDEX($C328:$S328,Week+1):INDEX($C328:$S328,13),"&gt;0")</f>
        <v>7</v>
      </c>
    </row>
    <row r="329" spans="1:38" x14ac:dyDescent="0.25">
      <c r="A329" t="s">
        <v>1641</v>
      </c>
      <c r="B329" t="s">
        <v>47</v>
      </c>
      <c r="C329">
        <v>0</v>
      </c>
      <c r="D329">
        <v>0</v>
      </c>
      <c r="E329" t="s">
        <v>64</v>
      </c>
      <c r="F329" t="s">
        <v>64</v>
      </c>
      <c r="G329" t="s">
        <v>64</v>
      </c>
      <c r="H329" t="s">
        <v>64</v>
      </c>
      <c r="I329" t="s">
        <v>64</v>
      </c>
      <c r="J329" t="s">
        <v>64</v>
      </c>
      <c r="K329" t="s">
        <v>64</v>
      </c>
      <c r="L329" t="s">
        <v>64</v>
      </c>
      <c r="M329" t="s">
        <v>64</v>
      </c>
      <c r="N329" t="s">
        <v>64</v>
      </c>
      <c r="O329" t="s">
        <v>64</v>
      </c>
      <c r="P329" t="s">
        <v>64</v>
      </c>
      <c r="Q329" t="s">
        <v>64</v>
      </c>
      <c r="R329" t="s">
        <v>64</v>
      </c>
      <c r="S329" t="s">
        <v>64</v>
      </c>
      <c r="T329" s="2">
        <f>IF('ROS Rankings'!$AD$1,IFERROR(AVERAGE(INDEX($C329:$S329,14):INDEX($C329:$S329,17)),0),IFERROR(AVERAGE(INDEX($C329:$S329,Week+1):INDEX($C329:$S329,13)),0))</f>
        <v>0</v>
      </c>
      <c r="U329" s="2" t="str">
        <f t="shared" si="44"/>
        <v/>
      </c>
      <c r="V329" s="2">
        <f t="shared" si="44"/>
        <v>0</v>
      </c>
      <c r="W329" s="2" t="str">
        <f t="shared" si="44"/>
        <v/>
      </c>
      <c r="X329" s="2" t="str">
        <f t="shared" si="44"/>
        <v/>
      </c>
      <c r="Y329" s="2" t="str">
        <f t="shared" si="44"/>
        <v/>
      </c>
      <c r="Z329" s="2" t="str">
        <f t="shared" si="44"/>
        <v/>
      </c>
      <c r="AA329" s="23" t="str">
        <f t="shared" si="45"/>
        <v>RB134</v>
      </c>
      <c r="AB329" s="2">
        <f>$T329-VLOOKUP($B329,Scores!$AG$1:$AM$7,5,FALSE)</f>
        <v>-11.758571428571429</v>
      </c>
      <c r="AC329" s="2">
        <f>$T329-VLOOKUP($B329,Scores!$AG$1:$AM$7,6,FALSE)</f>
        <v>-8.2700000000000014</v>
      </c>
      <c r="AD329" s="2">
        <f>$T329-VLOOKUP($B329,Scores!$AG$1:$AM$7,7,FALSE)+(ROW(A328)/1000000)</f>
        <v>-5.8682434285714296</v>
      </c>
      <c r="AE329" s="2">
        <f t="array" ref="AE329">IF('ROS Rankings'!$AD$1,IFERROR(AVERAGE(IF(INDEX($C329:$S329,14):INDEX($C329:$S329,17)="NA",0,INDEX($C329:$S329,14):INDEX($C329:$S329,17))-INDEX($AQ$2:$BG$7,MATCH($B329,$AO$2:$AO$7,0),14):INDEX($AQ$2:$BG$7,MATCH($B329,$AO$2:$AO$7,0),17)),0),IFERROR(AVERAGE(IF(INDEX($C329:$S329,Week+1):INDEX($C329:$S329,13)="NA",0,INDEX($C329:$S329,Week+1):INDEX($C329:$S329,13))-INDEX($AQ$2:$BG$7,MATCH($B329,$AO$2:$AO$7,0),Week+1):INDEX($AQ$2:$BG$7,MATCH($B329,$AO$2:$AO$7,0),13)),0))+ROW(A328)/1000000</f>
        <v>-5.3596719999999998</v>
      </c>
      <c r="AF329">
        <f t="shared" si="46"/>
        <v>522</v>
      </c>
      <c r="AG329">
        <f t="shared" si="47"/>
        <v>522</v>
      </c>
      <c r="AH329">
        <f t="shared" si="48"/>
        <v>513</v>
      </c>
      <c r="AI329">
        <f t="shared" si="49"/>
        <v>514</v>
      </c>
      <c r="AJ329" s="22">
        <f>IF(ISERROR(MATCH(A329,Rosters!$B$2:$B$155,0)),AD329,"")</f>
        <v>-5.8682434285714296</v>
      </c>
      <c r="AK329">
        <f t="shared" si="50"/>
        <v>361</v>
      </c>
      <c r="AL329" s="23">
        <f>COUNTIF(INDEX($C329:$S329,Week+1):INDEX($C329:$S329,13),"&gt;0")</f>
        <v>0</v>
      </c>
    </row>
    <row r="330" spans="1:38" x14ac:dyDescent="0.25">
      <c r="A330" t="s">
        <v>255</v>
      </c>
      <c r="B330" t="s">
        <v>87</v>
      </c>
      <c r="C330">
        <v>6.69</v>
      </c>
      <c r="D330">
        <v>0</v>
      </c>
      <c r="E330">
        <v>7.06</v>
      </c>
      <c r="F330">
        <v>5.35</v>
      </c>
      <c r="G330">
        <v>5.93</v>
      </c>
      <c r="H330">
        <v>4.92</v>
      </c>
      <c r="I330">
        <v>4.79</v>
      </c>
      <c r="J330">
        <v>5.75</v>
      </c>
      <c r="K330">
        <v>5.48</v>
      </c>
      <c r="L330">
        <v>4.83</v>
      </c>
      <c r="M330" t="s">
        <v>64</v>
      </c>
      <c r="N330">
        <v>5.71</v>
      </c>
      <c r="O330">
        <v>6.41</v>
      </c>
      <c r="P330">
        <v>6.17</v>
      </c>
      <c r="Q330">
        <v>6.63</v>
      </c>
      <c r="R330">
        <v>5.91</v>
      </c>
      <c r="S330">
        <v>4.66</v>
      </c>
      <c r="T330" s="2">
        <f>IF('ROS Rankings'!$AD$1,IFERROR(AVERAGE(INDEX($C330:$S330,14):INDEX($C330:$S330,17)),0),IFERROR(AVERAGE(INDEX($C330:$S330,Week+1):INDEX($C330:$S330,13)),0))</f>
        <v>5.4128571428571428</v>
      </c>
      <c r="U330" s="2" t="str">
        <f t="shared" si="44"/>
        <v/>
      </c>
      <c r="V330" s="2" t="str">
        <f t="shared" si="44"/>
        <v/>
      </c>
      <c r="W330" s="2">
        <f t="shared" si="44"/>
        <v>5.4128571428571428</v>
      </c>
      <c r="X330" s="2" t="str">
        <f t="shared" si="44"/>
        <v/>
      </c>
      <c r="Y330" s="2" t="str">
        <f t="shared" si="44"/>
        <v/>
      </c>
      <c r="Z330" s="2" t="str">
        <f t="shared" si="44"/>
        <v/>
      </c>
      <c r="AA330" s="23" t="str">
        <f t="shared" si="45"/>
        <v>WR59</v>
      </c>
      <c r="AB330" s="2">
        <f>$T330-VLOOKUP($B330,Scores!$AG$1:$AM$7,5,FALSE)</f>
        <v>-4.9585714285714273</v>
      </c>
      <c r="AC330" s="2">
        <f>$T330-VLOOKUP($B330,Scores!$AG$1:$AM$7,6,FALSE)</f>
        <v>-2.6185714285714292</v>
      </c>
      <c r="AD330" s="2">
        <f>$T330-VLOOKUP($B330,Scores!$AG$1:$AM$7,7,FALSE)+(ROW(A329)/1000000)</f>
        <v>-0.63967099999999966</v>
      </c>
      <c r="AE330" s="2">
        <f t="array" ref="AE330">IF('ROS Rankings'!$AD$1,IFERROR(AVERAGE(IF(INDEX($C330:$S330,14):INDEX($C330:$S330,17)="NA",0,INDEX($C330:$S330,14):INDEX($C330:$S330,17))-INDEX($AQ$2:$BG$7,MATCH($B330,$AO$2:$AO$7,0),14):INDEX($AQ$2:$BG$7,MATCH($B330,$AO$2:$AO$7,0),17)),0),IFERROR(AVERAGE(IF(INDEX($C330:$S330,Week+1):INDEX($C330:$S330,13)="NA",0,INDEX($C330:$S330,Week+1):INDEX($C330:$S330,13))-INDEX($AQ$2:$BG$7,MATCH($B330,$AO$2:$AO$7,0),Week+1):INDEX($AQ$2:$BG$7,MATCH($B330,$AO$2:$AO$7,0),13)),0))+ROW(A329)/1000000</f>
        <v>-0.61967099999999997</v>
      </c>
      <c r="AF330">
        <f t="shared" si="46"/>
        <v>235</v>
      </c>
      <c r="AG330">
        <f t="shared" si="47"/>
        <v>225</v>
      </c>
      <c r="AH330">
        <f t="shared" si="48"/>
        <v>185</v>
      </c>
      <c r="AI330">
        <f t="shared" si="49"/>
        <v>152</v>
      </c>
      <c r="AJ330" s="22">
        <f>IF(ISERROR(MATCH(A330,Rosters!$B$2:$B$155,0)),AD330,"")</f>
        <v>-0.63967099999999966</v>
      </c>
      <c r="AK330">
        <f t="shared" si="50"/>
        <v>52</v>
      </c>
      <c r="AL330" s="23">
        <f>COUNTIF(INDEX($C330:$S330,Week+1):INDEX($C330:$S330,13),"&gt;0")</f>
        <v>7</v>
      </c>
    </row>
    <row r="331" spans="1:38" x14ac:dyDescent="0.25">
      <c r="A331" t="s">
        <v>132</v>
      </c>
      <c r="B331" t="s">
        <v>47</v>
      </c>
      <c r="C331">
        <v>8.66</v>
      </c>
      <c r="D331">
        <v>7.38</v>
      </c>
      <c r="E331">
        <v>9.36</v>
      </c>
      <c r="F331">
        <v>10.35</v>
      </c>
      <c r="G331">
        <v>10.88</v>
      </c>
      <c r="H331">
        <v>11.26</v>
      </c>
      <c r="I331" t="s">
        <v>64</v>
      </c>
      <c r="J331">
        <v>12.26</v>
      </c>
      <c r="K331">
        <v>10.52</v>
      </c>
      <c r="L331">
        <v>10.64</v>
      </c>
      <c r="M331">
        <v>9.82</v>
      </c>
      <c r="N331">
        <v>8.65</v>
      </c>
      <c r="O331">
        <v>12.64</v>
      </c>
      <c r="P331">
        <v>11.53</v>
      </c>
      <c r="Q331">
        <v>10.4</v>
      </c>
      <c r="R331">
        <v>10.11</v>
      </c>
      <c r="S331">
        <v>12.8</v>
      </c>
      <c r="T331" s="2">
        <f>IF('ROS Rankings'!$AD$1,IFERROR(AVERAGE(INDEX($C331:$S331,14):INDEX($C331:$S331,17)),0),IFERROR(AVERAGE(INDEX($C331:$S331,Week+1):INDEX($C331:$S331,13)),0))</f>
        <v>10.827142857142857</v>
      </c>
      <c r="U331" s="2" t="str">
        <f t="shared" si="44"/>
        <v/>
      </c>
      <c r="V331" s="2">
        <f t="shared" si="44"/>
        <v>10.827142857142857</v>
      </c>
      <c r="W331" s="2" t="str">
        <f t="shared" si="44"/>
        <v/>
      </c>
      <c r="X331" s="2" t="str">
        <f t="shared" si="44"/>
        <v/>
      </c>
      <c r="Y331" s="2" t="str">
        <f t="shared" si="44"/>
        <v/>
      </c>
      <c r="Z331" s="2" t="str">
        <f t="shared" si="44"/>
        <v/>
      </c>
      <c r="AA331" s="23" t="str">
        <f t="shared" si="45"/>
        <v>RB15</v>
      </c>
      <c r="AB331" s="2">
        <f>$T331-VLOOKUP($B331,Scores!$AG$1:$AM$7,5,FALSE)</f>
        <v>-0.93142857142857238</v>
      </c>
      <c r="AC331" s="2">
        <f>$T331-VLOOKUP($B331,Scores!$AG$1:$AM$7,6,FALSE)</f>
        <v>2.5571428571428552</v>
      </c>
      <c r="AD331" s="2">
        <f>$T331-VLOOKUP($B331,Scores!$AG$1:$AM$7,7,FALSE)+(ROW(A330)/1000000)</f>
        <v>4.9589014285714272</v>
      </c>
      <c r="AE331" s="2">
        <f t="array" ref="AE331">IF('ROS Rankings'!$AD$1,IFERROR(AVERAGE(IF(INDEX($C331:$S331,14):INDEX($C331:$S331,17)="NA",0,INDEX($C331:$S331,14):INDEX($C331:$S331,17))-INDEX($AQ$2:$BG$7,MATCH($B331,$AO$2:$AO$7,0),14):INDEX($AQ$2:$BG$7,MATCH($B331,$AO$2:$AO$7,0),17)),0),IFERROR(AVERAGE(IF(INDEX($C331:$S331,Week+1):INDEX($C331:$S331,13)="NA",0,INDEX($C331:$S331,Week+1):INDEX($C331:$S331,13))-INDEX($AQ$2:$BG$7,MATCH($B331,$AO$2:$AO$7,0),Week+1):INDEX($AQ$2:$BG$7,MATCH($B331,$AO$2:$AO$7,0),13)),0))+ROW(A330)/1000000</f>
        <v>4.1140800000000004</v>
      </c>
      <c r="AF331">
        <f t="shared" si="46"/>
        <v>86</v>
      </c>
      <c r="AG331">
        <f t="shared" si="47"/>
        <v>33</v>
      </c>
      <c r="AH331">
        <f t="shared" si="48"/>
        <v>29</v>
      </c>
      <c r="AI331">
        <f t="shared" si="49"/>
        <v>29</v>
      </c>
      <c r="AJ331" s="22" t="str">
        <f>IF(ISERROR(MATCH(A331,Rosters!$B$2:$B$155,0)),AD331,"")</f>
        <v/>
      </c>
      <c r="AK331" t="str">
        <f t="shared" si="50"/>
        <v/>
      </c>
      <c r="AL331" s="23">
        <f>COUNTIF(INDEX($C331:$S331,Week+1):INDEX($C331:$S331,13),"&gt;0")</f>
        <v>7</v>
      </c>
    </row>
    <row r="332" spans="1:38" x14ac:dyDescent="0.25">
      <c r="A332" t="s">
        <v>156</v>
      </c>
      <c r="B332" t="s">
        <v>87</v>
      </c>
      <c r="C332" t="s">
        <v>64</v>
      </c>
      <c r="D332">
        <v>3.86</v>
      </c>
      <c r="E332">
        <v>3</v>
      </c>
      <c r="F332">
        <v>3.95</v>
      </c>
      <c r="G332">
        <v>4.13</v>
      </c>
      <c r="H332">
        <v>4.1100000000000003</v>
      </c>
      <c r="I332" t="s">
        <v>64</v>
      </c>
      <c r="J332">
        <v>4.57</v>
      </c>
      <c r="K332">
        <v>4.24</v>
      </c>
      <c r="L332">
        <v>4.2699999999999996</v>
      </c>
      <c r="M332">
        <v>4.24</v>
      </c>
      <c r="N332">
        <v>4.5999999999999996</v>
      </c>
      <c r="O332">
        <v>4.9400000000000004</v>
      </c>
      <c r="P332">
        <v>4.08</v>
      </c>
      <c r="Q332">
        <v>4.41</v>
      </c>
      <c r="R332">
        <v>4.05</v>
      </c>
      <c r="S332">
        <v>4.7699999999999996</v>
      </c>
      <c r="T332" s="2">
        <f>IF('ROS Rankings'!$AD$1,IFERROR(AVERAGE(INDEX($C332:$S332,14):INDEX($C332:$S332,17)),0),IFERROR(AVERAGE(INDEX($C332:$S332,Week+1):INDEX($C332:$S332,13)),0))</f>
        <v>4.4242857142857144</v>
      </c>
      <c r="U332" s="2" t="str">
        <f t="shared" si="44"/>
        <v/>
      </c>
      <c r="V332" s="2" t="str">
        <f t="shared" si="44"/>
        <v/>
      </c>
      <c r="W332" s="2">
        <f t="shared" si="44"/>
        <v>4.4242857142857144</v>
      </c>
      <c r="X332" s="2" t="str">
        <f t="shared" si="44"/>
        <v/>
      </c>
      <c r="Y332" s="2" t="str">
        <f t="shared" si="44"/>
        <v/>
      </c>
      <c r="Z332" s="2" t="str">
        <f t="shared" si="44"/>
        <v/>
      </c>
      <c r="AA332" s="23" t="str">
        <f t="shared" si="45"/>
        <v>WR73</v>
      </c>
      <c r="AB332" s="2">
        <f>$T332-VLOOKUP($B332,Scores!$AG$1:$AM$7,5,FALSE)</f>
        <v>-5.9471428571428557</v>
      </c>
      <c r="AC332" s="2">
        <f>$T332-VLOOKUP($B332,Scores!$AG$1:$AM$7,6,FALSE)</f>
        <v>-3.6071428571428577</v>
      </c>
      <c r="AD332" s="2">
        <f>$T332-VLOOKUP($B332,Scores!$AG$1:$AM$7,7,FALSE)+(ROW(A331)/1000000)</f>
        <v>-1.628240428571428</v>
      </c>
      <c r="AE332" s="2">
        <f t="array" ref="AE332">IF('ROS Rankings'!$AD$1,IFERROR(AVERAGE(IF(INDEX($C332:$S332,14):INDEX($C332:$S332,17)="NA",0,INDEX($C332:$S332,14):INDEX($C332:$S332,17))-INDEX($AQ$2:$BG$7,MATCH($B332,$AO$2:$AO$7,0),14):INDEX($AQ$2:$BG$7,MATCH($B332,$AO$2:$AO$7,0),17)),0),IFERROR(AVERAGE(IF(INDEX($C332:$S332,Week+1):INDEX($C332:$S332,13)="NA",0,INDEX($C332:$S332,Week+1):INDEX($C332:$S332,13))-INDEX($AQ$2:$BG$7,MATCH($B332,$AO$2:$AO$7,0),Week+1):INDEX($AQ$2:$BG$7,MATCH($B332,$AO$2:$AO$7,0),13)),0))+ROW(A331)/1000000</f>
        <v>-1.4846689999999998</v>
      </c>
      <c r="AF332">
        <f t="shared" si="46"/>
        <v>279</v>
      </c>
      <c r="AG332">
        <f t="shared" si="47"/>
        <v>280</v>
      </c>
      <c r="AH332">
        <f t="shared" si="48"/>
        <v>231</v>
      </c>
      <c r="AI332">
        <f t="shared" si="49"/>
        <v>209</v>
      </c>
      <c r="AJ332" s="22">
        <f>IF(ISERROR(MATCH(A332,Rosters!$B$2:$B$155,0)),AD332,"")</f>
        <v>-1.628240428571428</v>
      </c>
      <c r="AK332">
        <f t="shared" si="50"/>
        <v>88</v>
      </c>
      <c r="AL332" s="23">
        <f>COUNTIF(INDEX($C332:$S332,Week+1):INDEX($C332:$S332,13),"&gt;0")</f>
        <v>7</v>
      </c>
    </row>
    <row r="333" spans="1:38" x14ac:dyDescent="0.25">
      <c r="A333" t="s">
        <v>1594</v>
      </c>
      <c r="B333" t="s">
        <v>87</v>
      </c>
      <c r="C333">
        <v>0.53</v>
      </c>
      <c r="D333">
        <v>0.6</v>
      </c>
      <c r="E333">
        <v>0.41</v>
      </c>
      <c r="F333">
        <v>0.55000000000000004</v>
      </c>
      <c r="G333">
        <v>0.56000000000000005</v>
      </c>
      <c r="H333">
        <v>0.82</v>
      </c>
      <c r="I333">
        <v>0.69</v>
      </c>
      <c r="J333" t="s">
        <v>64</v>
      </c>
      <c r="K333">
        <v>0.61</v>
      </c>
      <c r="L333">
        <v>0.51</v>
      </c>
      <c r="M333">
        <v>0.66</v>
      </c>
      <c r="N333">
        <v>0.61</v>
      </c>
      <c r="O333">
        <v>0.56999999999999995</v>
      </c>
      <c r="P333">
        <v>0.62</v>
      </c>
      <c r="Q333">
        <v>0.51</v>
      </c>
      <c r="R333">
        <v>0.56999999999999995</v>
      </c>
      <c r="S333">
        <v>0.79</v>
      </c>
      <c r="T333" s="2">
        <f>IF('ROS Rankings'!$AD$1,IFERROR(AVERAGE(INDEX($C333:$S333,14):INDEX($C333:$S333,17)),0),IFERROR(AVERAGE(INDEX($C333:$S333,Week+1):INDEX($C333:$S333,13)),0))</f>
        <v>0.63857142857142857</v>
      </c>
      <c r="U333" s="2" t="str">
        <f t="shared" si="44"/>
        <v/>
      </c>
      <c r="V333" s="2" t="str">
        <f t="shared" si="44"/>
        <v/>
      </c>
      <c r="W333" s="2">
        <f t="shared" si="44"/>
        <v>0.63857142857142857</v>
      </c>
      <c r="X333" s="2" t="str">
        <f t="shared" si="44"/>
        <v/>
      </c>
      <c r="Y333" s="2" t="str">
        <f t="shared" si="44"/>
        <v/>
      </c>
      <c r="Z333" s="2" t="str">
        <f t="shared" si="44"/>
        <v/>
      </c>
      <c r="AA333" s="23" t="str">
        <f t="shared" si="45"/>
        <v>WR146</v>
      </c>
      <c r="AB333" s="2">
        <f>$T333-VLOOKUP($B333,Scores!$AG$1:$AM$7,5,FALSE)</f>
        <v>-9.7328571428571422</v>
      </c>
      <c r="AC333" s="2">
        <f>$T333-VLOOKUP($B333,Scores!$AG$1:$AM$7,6,FALSE)</f>
        <v>-7.3928571428571432</v>
      </c>
      <c r="AD333" s="2">
        <f>$T333-VLOOKUP($B333,Scores!$AG$1:$AM$7,7,FALSE)+(ROW(A332)/1000000)</f>
        <v>-5.4139537142857135</v>
      </c>
      <c r="AE333" s="2">
        <f t="array" ref="AE333">IF('ROS Rankings'!$AD$1,IFERROR(AVERAGE(IF(INDEX($C333:$S333,14):INDEX($C333:$S333,17)="NA",0,INDEX($C333:$S333,14):INDEX($C333:$S333,17))-INDEX($AQ$2:$BG$7,MATCH($B333,$AO$2:$AO$7,0),14):INDEX($AQ$2:$BG$7,MATCH($B333,$AO$2:$AO$7,0),17)),0),IFERROR(AVERAGE(IF(INDEX($C333:$S333,Week+1):INDEX($C333:$S333,13)="NA",0,INDEX($C333:$S333,Week+1):INDEX($C333:$S333,13))-INDEX($AQ$2:$BG$7,MATCH($B333,$AO$2:$AO$7,0),Week+1):INDEX($AQ$2:$BG$7,MATCH($B333,$AO$2:$AO$7,0),13)),0))+ROW(A332)/1000000</f>
        <v>-4.7971679999999992</v>
      </c>
      <c r="AF333">
        <f t="shared" si="46"/>
        <v>421</v>
      </c>
      <c r="AG333">
        <f t="shared" si="47"/>
        <v>437</v>
      </c>
      <c r="AH333">
        <f t="shared" si="48"/>
        <v>467</v>
      </c>
      <c r="AI333">
        <f t="shared" si="49"/>
        <v>434</v>
      </c>
      <c r="AJ333" s="22">
        <f>IF(ISERROR(MATCH(A333,Rosters!$B$2:$B$155,0)),AD333,"")</f>
        <v>-5.4139537142857135</v>
      </c>
      <c r="AK333">
        <f t="shared" si="50"/>
        <v>315</v>
      </c>
      <c r="AL333" s="23">
        <f>COUNTIF(INDEX($C333:$S333,Week+1):INDEX($C333:$S333,13),"&gt;0")</f>
        <v>7</v>
      </c>
    </row>
    <row r="334" spans="1:38" x14ac:dyDescent="0.25">
      <c r="A334" t="s">
        <v>613</v>
      </c>
      <c r="B334" t="s">
        <v>87</v>
      </c>
      <c r="C334">
        <v>9.35</v>
      </c>
      <c r="D334">
        <v>8.74</v>
      </c>
      <c r="E334">
        <v>9.6300000000000008</v>
      </c>
      <c r="F334">
        <v>8.23</v>
      </c>
      <c r="G334">
        <v>8.4499999999999993</v>
      </c>
      <c r="H334" t="s">
        <v>64</v>
      </c>
      <c r="I334">
        <v>8.44</v>
      </c>
      <c r="J334">
        <v>10.47</v>
      </c>
      <c r="K334">
        <v>9.2200000000000006</v>
      </c>
      <c r="L334">
        <v>9.49</v>
      </c>
      <c r="M334">
        <v>9.64</v>
      </c>
      <c r="N334">
        <v>10.93</v>
      </c>
      <c r="O334">
        <v>10.050000000000001</v>
      </c>
      <c r="P334">
        <v>9.8800000000000008</v>
      </c>
      <c r="Q334">
        <v>9.4</v>
      </c>
      <c r="R334">
        <v>10.66</v>
      </c>
      <c r="S334">
        <v>8.25</v>
      </c>
      <c r="T334" s="2">
        <f>IF('ROS Rankings'!$AD$1,IFERROR(AVERAGE(INDEX($C334:$S334,14):INDEX($C334:$S334,17)),0),IFERROR(AVERAGE(INDEX($C334:$S334,Week+1):INDEX($C334:$S334,13)),0))</f>
        <v>9.7485714285714291</v>
      </c>
      <c r="U334" s="2" t="str">
        <f t="shared" si="44"/>
        <v/>
      </c>
      <c r="V334" s="2" t="str">
        <f t="shared" si="44"/>
        <v/>
      </c>
      <c r="W334" s="2">
        <f t="shared" si="44"/>
        <v>9.7485714285714291</v>
      </c>
      <c r="X334" s="2" t="str">
        <f t="shared" si="44"/>
        <v/>
      </c>
      <c r="Y334" s="2" t="str">
        <f t="shared" si="44"/>
        <v/>
      </c>
      <c r="Z334" s="2" t="str">
        <f t="shared" si="44"/>
        <v/>
      </c>
      <c r="AA334" s="23" t="str">
        <f t="shared" si="45"/>
        <v>WR20</v>
      </c>
      <c r="AB334" s="2">
        <f>$T334-VLOOKUP($B334,Scores!$AG$1:$AM$7,5,FALSE)</f>
        <v>-0.622857142857141</v>
      </c>
      <c r="AC334" s="2">
        <f>$T334-VLOOKUP($B334,Scores!$AG$1:$AM$7,6,FALSE)</f>
        <v>1.7171428571428571</v>
      </c>
      <c r="AD334" s="2">
        <f>$T334-VLOOKUP($B334,Scores!$AG$1:$AM$7,7,FALSE)+(ROW(A333)/1000000)</f>
        <v>3.6960472857142865</v>
      </c>
      <c r="AE334" s="2">
        <f t="array" ref="AE334">IF('ROS Rankings'!$AD$1,IFERROR(AVERAGE(IF(INDEX($C334:$S334,14):INDEX($C334:$S334,17)="NA",0,INDEX($C334:$S334,14):INDEX($C334:$S334,17))-INDEX($AQ$2:$BG$7,MATCH($B334,$AO$2:$AO$7,0),14):INDEX($AQ$2:$BG$7,MATCH($B334,$AO$2:$AO$7,0),17)),0),IFERROR(AVERAGE(IF(INDEX($C334:$S334,Week+1):INDEX($C334:$S334,13)="NA",0,INDEX($C334:$S334,Week+1):INDEX($C334:$S334,13))-INDEX($AQ$2:$BG$7,MATCH($B334,$AO$2:$AO$7,0),Week+1):INDEX($AQ$2:$BG$7,MATCH($B334,$AO$2:$AO$7,0),13)),0))+ROW(A333)/1000000</f>
        <v>3.174083</v>
      </c>
      <c r="AF334">
        <f t="shared" si="46"/>
        <v>72</v>
      </c>
      <c r="AG334">
        <f t="shared" si="47"/>
        <v>45</v>
      </c>
      <c r="AH334">
        <f t="shared" si="48"/>
        <v>40</v>
      </c>
      <c r="AI334">
        <f t="shared" si="49"/>
        <v>41</v>
      </c>
      <c r="AJ334" s="22" t="str">
        <f>IF(ISERROR(MATCH(A334,Rosters!$B$2:$B$155,0)),AD334,"")</f>
        <v/>
      </c>
      <c r="AK334" t="str">
        <f t="shared" si="50"/>
        <v/>
      </c>
      <c r="AL334" s="23">
        <f>COUNTIF(INDEX($C334:$S334,Week+1):INDEX($C334:$S334,13),"&gt;0")</f>
        <v>7</v>
      </c>
    </row>
    <row r="335" spans="1:38" x14ac:dyDescent="0.25">
      <c r="A335" t="s">
        <v>228</v>
      </c>
      <c r="B335" t="s">
        <v>47</v>
      </c>
      <c r="C335">
        <v>5.97</v>
      </c>
      <c r="D335">
        <v>8.5299999999999994</v>
      </c>
      <c r="E335">
        <v>9.23</v>
      </c>
      <c r="F335">
        <v>9.31</v>
      </c>
      <c r="G335">
        <v>8.0500000000000007</v>
      </c>
      <c r="H335">
        <v>7.82</v>
      </c>
      <c r="I335">
        <v>10.51</v>
      </c>
      <c r="J335">
        <v>7.47</v>
      </c>
      <c r="K335">
        <v>9.59</v>
      </c>
      <c r="L335">
        <v>10.24</v>
      </c>
      <c r="M335" t="s">
        <v>64</v>
      </c>
      <c r="N335">
        <v>8.5299999999999994</v>
      </c>
      <c r="O335">
        <v>7.18</v>
      </c>
      <c r="P335">
        <v>7.99</v>
      </c>
      <c r="Q335">
        <v>7.85</v>
      </c>
      <c r="R335">
        <v>7.9</v>
      </c>
      <c r="S335">
        <v>9.82</v>
      </c>
      <c r="T335" s="2">
        <f>IF('ROS Rankings'!$AD$1,IFERROR(AVERAGE(INDEX($C335:$S335,14):INDEX($C335:$S335,17)),0),IFERROR(AVERAGE(INDEX($C335:$S335,Week+1):INDEX($C335:$S335,13)),0))</f>
        <v>8.7628571428571433</v>
      </c>
      <c r="U335" s="2" t="str">
        <f t="shared" si="44"/>
        <v/>
      </c>
      <c r="V335" s="2">
        <f t="shared" si="44"/>
        <v>8.7628571428571433</v>
      </c>
      <c r="W335" s="2" t="str">
        <f t="shared" si="44"/>
        <v/>
      </c>
      <c r="X335" s="2" t="str">
        <f t="shared" si="44"/>
        <v/>
      </c>
      <c r="Y335" s="2" t="str">
        <f t="shared" si="44"/>
        <v/>
      </c>
      <c r="Z335" s="2" t="str">
        <f t="shared" si="44"/>
        <v/>
      </c>
      <c r="AA335" s="23" t="str">
        <f t="shared" si="45"/>
        <v>RB23</v>
      </c>
      <c r="AB335" s="2">
        <f>$T335-VLOOKUP($B335,Scores!$AG$1:$AM$7,5,FALSE)</f>
        <v>-2.9957142857142856</v>
      </c>
      <c r="AC335" s="2">
        <f>$T335-VLOOKUP($B335,Scores!$AG$1:$AM$7,6,FALSE)</f>
        <v>0.49285714285714199</v>
      </c>
      <c r="AD335" s="2">
        <f>$T335-VLOOKUP($B335,Scores!$AG$1:$AM$7,7,FALSE)+(ROW(A334)/1000000)</f>
        <v>2.8946197142857142</v>
      </c>
      <c r="AE335" s="2">
        <f t="array" ref="AE335">IF('ROS Rankings'!$AD$1,IFERROR(AVERAGE(IF(INDEX($C335:$S335,14):INDEX($C335:$S335,17)="NA",0,INDEX($C335:$S335,14):INDEX($C335:$S335,17))-INDEX($AQ$2:$BG$7,MATCH($B335,$AO$2:$AO$7,0),14):INDEX($AQ$2:$BG$7,MATCH($B335,$AO$2:$AO$7,0),17)),0),IFERROR(AVERAGE(IF(INDEX($C335:$S335,Week+1):INDEX($C335:$S335,13)="NA",0,INDEX($C335:$S335,Week+1):INDEX($C335:$S335,13))-INDEX($AQ$2:$BG$7,MATCH($B335,$AO$2:$AO$7,0),Week+1):INDEX($AQ$2:$BG$7,MATCH($B335,$AO$2:$AO$7,0),13)),0))+ROW(A334)/1000000</f>
        <v>2.3078340000000002</v>
      </c>
      <c r="AF335">
        <f t="shared" si="46"/>
        <v>164</v>
      </c>
      <c r="AG335">
        <f t="shared" si="47"/>
        <v>76</v>
      </c>
      <c r="AH335">
        <f t="shared" si="48"/>
        <v>50</v>
      </c>
      <c r="AI335">
        <f t="shared" si="49"/>
        <v>55</v>
      </c>
      <c r="AJ335" s="22" t="str">
        <f>IF(ISERROR(MATCH(A335,Rosters!$B$2:$B$155,0)),AD335,"")</f>
        <v/>
      </c>
      <c r="AK335" t="str">
        <f t="shared" si="50"/>
        <v/>
      </c>
      <c r="AL335" s="23">
        <f>COUNTIF(INDEX($C335:$S335,Week+1):INDEX($C335:$S335,13),"&gt;0")</f>
        <v>7</v>
      </c>
    </row>
    <row r="336" spans="1:38" x14ac:dyDescent="0.25">
      <c r="A336" t="s">
        <v>369</v>
      </c>
      <c r="B336" t="s">
        <v>15</v>
      </c>
      <c r="C336">
        <v>0.22</v>
      </c>
      <c r="D336">
        <v>0.25</v>
      </c>
      <c r="E336">
        <v>0.23</v>
      </c>
      <c r="F336">
        <v>0.24</v>
      </c>
      <c r="G336">
        <v>0.26</v>
      </c>
      <c r="H336" t="s">
        <v>64</v>
      </c>
      <c r="I336">
        <v>0.23</v>
      </c>
      <c r="J336">
        <v>0.23</v>
      </c>
      <c r="K336">
        <v>0.22</v>
      </c>
      <c r="L336">
        <v>0.2</v>
      </c>
      <c r="M336">
        <v>0.26</v>
      </c>
      <c r="N336">
        <v>0.21</v>
      </c>
      <c r="O336">
        <v>0.23</v>
      </c>
      <c r="P336">
        <v>0.21</v>
      </c>
      <c r="Q336">
        <v>0.23</v>
      </c>
      <c r="R336">
        <v>0.24</v>
      </c>
      <c r="S336">
        <v>0.24</v>
      </c>
      <c r="T336" s="2">
        <f>IF('ROS Rankings'!$AD$1,IFERROR(AVERAGE(INDEX($C336:$S336,14):INDEX($C336:$S336,17)),0),IFERROR(AVERAGE(INDEX($C336:$S336,Week+1):INDEX($C336:$S336,13)),0))</f>
        <v>0.22571428571428573</v>
      </c>
      <c r="U336" s="2">
        <f t="shared" si="44"/>
        <v>0.22571428571428573</v>
      </c>
      <c r="V336" s="2" t="str">
        <f t="shared" si="44"/>
        <v/>
      </c>
      <c r="W336" s="2" t="str">
        <f t="shared" si="44"/>
        <v/>
      </c>
      <c r="X336" s="2" t="str">
        <f t="shared" si="44"/>
        <v/>
      </c>
      <c r="Y336" s="2" t="str">
        <f t="shared" si="44"/>
        <v/>
      </c>
      <c r="Z336" s="2" t="str">
        <f t="shared" si="44"/>
        <v/>
      </c>
      <c r="AA336" s="23" t="str">
        <f t="shared" si="45"/>
        <v>QB59</v>
      </c>
      <c r="AB336" s="2">
        <f>$T336-VLOOKUP($B336,Scores!$AG$1:$AM$7,5,FALSE)</f>
        <v>-20.658571428571427</v>
      </c>
      <c r="AC336" s="2">
        <f>$T336-VLOOKUP($B336,Scores!$AG$1:$AM$7,6,FALSE)</f>
        <v>-19.678035714285713</v>
      </c>
      <c r="AD336" s="2">
        <f>$T336-VLOOKUP($B336,Scores!$AG$1:$AM$7,7,FALSE)+(ROW(A335)/1000000)</f>
        <v>-19.273950714285711</v>
      </c>
      <c r="AE336" s="2">
        <f t="array" ref="AE336">IF('ROS Rankings'!$AD$1,IFERROR(AVERAGE(IF(INDEX($C336:$S336,14):INDEX($C336:$S336,17)="NA",0,INDEX($C336:$S336,14):INDEX($C336:$S336,17))-INDEX($AQ$2:$BG$7,MATCH($B336,$AO$2:$AO$7,0),14):INDEX($AQ$2:$BG$7,MATCH($B336,$AO$2:$AO$7,0),17)),0),IFERROR(AVERAGE(IF(INDEX($C336:$S336,Week+1):INDEX($C336:$S336,13)="NA",0,INDEX($C336:$S336,Week+1):INDEX($C336:$S336,13))-INDEX($AQ$2:$BG$7,MATCH($B336,$AO$2:$AO$7,0),Week+1):INDEX($AQ$2:$BG$7,MATCH($B336,$AO$2:$AO$7,0),13)),0))+ROW(A335)/1000000</f>
        <v>-18.304664999999996</v>
      </c>
      <c r="AF336">
        <f t="shared" si="46"/>
        <v>550</v>
      </c>
      <c r="AG336">
        <f t="shared" si="47"/>
        <v>550</v>
      </c>
      <c r="AH336">
        <f t="shared" si="48"/>
        <v>550</v>
      </c>
      <c r="AI336">
        <f t="shared" si="49"/>
        <v>550</v>
      </c>
      <c r="AJ336" s="22">
        <f>IF(ISERROR(MATCH(A336,Rosters!$B$2:$B$155,0)),AD336,"")</f>
        <v>-19.273950714285711</v>
      </c>
      <c r="AK336">
        <f t="shared" si="50"/>
        <v>397</v>
      </c>
      <c r="AL336" s="23">
        <f>COUNTIF(INDEX($C336:$S336,Week+1):INDEX($C336:$S336,13),"&gt;0")</f>
        <v>7</v>
      </c>
    </row>
    <row r="337" spans="1:38" x14ac:dyDescent="0.25">
      <c r="A337" t="s">
        <v>3126</v>
      </c>
      <c r="B337" t="s">
        <v>114</v>
      </c>
      <c r="C337" t="s">
        <v>64</v>
      </c>
      <c r="D337" t="s">
        <v>64</v>
      </c>
      <c r="E337">
        <v>0.17</v>
      </c>
      <c r="F337">
        <v>0.18</v>
      </c>
      <c r="G337">
        <v>0.44</v>
      </c>
      <c r="H337">
        <v>0.59</v>
      </c>
      <c r="I337">
        <v>0.43</v>
      </c>
      <c r="J337">
        <v>0.42</v>
      </c>
      <c r="K337">
        <v>0.38</v>
      </c>
      <c r="L337" t="s">
        <v>64</v>
      </c>
      <c r="M337">
        <v>0.57999999999999996</v>
      </c>
      <c r="N337">
        <v>0.61</v>
      </c>
      <c r="O337">
        <v>0.53</v>
      </c>
      <c r="P337">
        <v>0.44</v>
      </c>
      <c r="Q337">
        <v>0.42</v>
      </c>
      <c r="R337">
        <v>0.46</v>
      </c>
      <c r="S337">
        <v>0.61</v>
      </c>
      <c r="T337" s="2">
        <f>IF('ROS Rankings'!$AD$1,IFERROR(AVERAGE(INDEX($C337:$S337,14):INDEX($C337:$S337,17)),0),IFERROR(AVERAGE(INDEX($C337:$S337,Week+1):INDEX($C337:$S337,13)),0))</f>
        <v>0.50571428571428567</v>
      </c>
      <c r="U337" s="2" t="str">
        <f t="shared" si="44"/>
        <v/>
      </c>
      <c r="V337" s="2" t="str">
        <f t="shared" si="44"/>
        <v/>
      </c>
      <c r="W337" s="2" t="str">
        <f t="shared" si="44"/>
        <v/>
      </c>
      <c r="X337" s="2">
        <f t="shared" si="44"/>
        <v>0.50571428571428567</v>
      </c>
      <c r="Y337" s="2" t="str">
        <f t="shared" si="44"/>
        <v/>
      </c>
      <c r="Z337" s="2" t="str">
        <f t="shared" si="44"/>
        <v/>
      </c>
      <c r="AA337" s="23" t="str">
        <f t="shared" si="45"/>
        <v>TE85</v>
      </c>
      <c r="AB337" s="2">
        <f>$T337-VLOOKUP($B337,Scores!$AG$1:$AM$7,5,FALSE)</f>
        <v>-6.493035714285714</v>
      </c>
      <c r="AC337" s="2">
        <f>$T337-VLOOKUP($B337,Scores!$AG$1:$AM$7,6,FALSE)</f>
        <v>-4.7442857142857147</v>
      </c>
      <c r="AD337" s="2">
        <f>$T337-VLOOKUP($B337,Scores!$AG$1:$AM$7,7,FALSE)+(ROW(A336)/1000000)</f>
        <v>-4.6739497142857145</v>
      </c>
      <c r="AE337" s="2">
        <f t="array" ref="AE337">IF('ROS Rankings'!$AD$1,IFERROR(AVERAGE(IF(INDEX($C337:$S337,14):INDEX($C337:$S337,17)="NA",0,INDEX($C337:$S337,14):INDEX($C337:$S337,17))-INDEX($AQ$2:$BG$7,MATCH($B337,$AO$2:$AO$7,0),14):INDEX($AQ$2:$BG$7,MATCH($B337,$AO$2:$AO$7,0),17)),0),IFERROR(AVERAGE(IF(INDEX($C337:$S337,Week+1):INDEX($C337:$S337,13)="NA",0,INDEX($C337:$S337,Week+1):INDEX($C337:$S337,13))-INDEX($AQ$2:$BG$7,MATCH($B337,$AO$2:$AO$7,0),Week+1):INDEX($AQ$2:$BG$7,MATCH($B337,$AO$2:$AO$7,0),13)),0))+ROW(A336)/1000000</f>
        <v>-4.6546640000000004</v>
      </c>
      <c r="AF337">
        <f t="shared" si="46"/>
        <v>316</v>
      </c>
      <c r="AG337">
        <f t="shared" si="47"/>
        <v>331</v>
      </c>
      <c r="AH337">
        <f t="shared" si="48"/>
        <v>377</v>
      </c>
      <c r="AI337">
        <f t="shared" si="49"/>
        <v>393</v>
      </c>
      <c r="AJ337" s="22">
        <f>IF(ISERROR(MATCH(A337,Rosters!$B$2:$B$155,0)),AD337,"")</f>
        <v>-4.6739497142857145</v>
      </c>
      <c r="AK337">
        <f t="shared" si="50"/>
        <v>225</v>
      </c>
      <c r="AL337" s="23">
        <f>COUNTIF(INDEX($C337:$S337,Week+1):INDEX($C337:$S337,13),"&gt;0")</f>
        <v>7</v>
      </c>
    </row>
    <row r="338" spans="1:38" x14ac:dyDescent="0.25">
      <c r="A338" t="s">
        <v>26</v>
      </c>
      <c r="B338" t="s">
        <v>15</v>
      </c>
      <c r="C338">
        <v>15.23</v>
      </c>
      <c r="D338">
        <v>15.38</v>
      </c>
      <c r="E338">
        <v>19.25</v>
      </c>
      <c r="F338">
        <v>19.04</v>
      </c>
      <c r="G338">
        <v>21.48</v>
      </c>
      <c r="H338">
        <v>24.06</v>
      </c>
      <c r="I338">
        <v>21.68</v>
      </c>
      <c r="J338" t="s">
        <v>64</v>
      </c>
      <c r="K338">
        <v>17.55</v>
      </c>
      <c r="L338">
        <v>19.170000000000002</v>
      </c>
      <c r="M338">
        <v>23.31</v>
      </c>
      <c r="N338">
        <v>22.26</v>
      </c>
      <c r="O338">
        <v>19.809999999999999</v>
      </c>
      <c r="P338">
        <v>21.8</v>
      </c>
      <c r="Q338">
        <v>17.73</v>
      </c>
      <c r="R338">
        <v>17.77</v>
      </c>
      <c r="S338">
        <v>22.66</v>
      </c>
      <c r="T338" s="2">
        <f>IF('ROS Rankings'!$AD$1,IFERROR(AVERAGE(INDEX($C338:$S338,14):INDEX($C338:$S338,17)),0),IFERROR(AVERAGE(INDEX($C338:$S338,Week+1):INDEX($C338:$S338,13)),0))</f>
        <v>21.12</v>
      </c>
      <c r="U338" s="2">
        <f t="shared" si="44"/>
        <v>21.12</v>
      </c>
      <c r="V338" s="2" t="str">
        <f t="shared" si="44"/>
        <v/>
      </c>
      <c r="W338" s="2" t="str">
        <f t="shared" si="44"/>
        <v/>
      </c>
      <c r="X338" s="2" t="str">
        <f t="shared" si="44"/>
        <v/>
      </c>
      <c r="Y338" s="2" t="str">
        <f t="shared" si="44"/>
        <v/>
      </c>
      <c r="Z338" s="2" t="str">
        <f t="shared" si="44"/>
        <v/>
      </c>
      <c r="AA338" s="23" t="str">
        <f t="shared" si="45"/>
        <v>QB3</v>
      </c>
      <c r="AB338" s="2">
        <f>$T338-VLOOKUP($B338,Scores!$AG$1:$AM$7,5,FALSE)</f>
        <v>0.23571428571428754</v>
      </c>
      <c r="AC338" s="2">
        <f>$T338-VLOOKUP($B338,Scores!$AG$1:$AM$7,6,FALSE)</f>
        <v>1.2162500000000023</v>
      </c>
      <c r="AD338" s="2">
        <f>$T338-VLOOKUP($B338,Scores!$AG$1:$AM$7,7,FALSE)+(ROW(A337)/1000000)</f>
        <v>1.6203370000000046</v>
      </c>
      <c r="AE338" s="2">
        <f t="array" ref="AE338">IF('ROS Rankings'!$AD$1,IFERROR(AVERAGE(IF(INDEX($C338:$S338,14):INDEX($C338:$S338,17)="NA",0,INDEX($C338:$S338,14):INDEX($C338:$S338,17))-INDEX($AQ$2:$BG$7,MATCH($B338,$AO$2:$AO$7,0),14):INDEX($AQ$2:$BG$7,MATCH($B338,$AO$2:$AO$7,0),17)),0),IFERROR(AVERAGE(IF(INDEX($C338:$S338,Week+1):INDEX($C338:$S338,13)="NA",0,INDEX($C338:$S338,Week+1):INDEX($C338:$S338,13))-INDEX($AQ$2:$BG$7,MATCH($B338,$AO$2:$AO$7,0),Week+1):INDEX($AQ$2:$BG$7,MATCH($B338,$AO$2:$AO$7,0),13)),0))+ROW(A337)/1000000</f>
        <v>-2.2162999999999964E-2</v>
      </c>
      <c r="AF338">
        <f t="shared" si="46"/>
        <v>40</v>
      </c>
      <c r="AG338">
        <f t="shared" si="47"/>
        <v>53</v>
      </c>
      <c r="AH338">
        <f t="shared" si="48"/>
        <v>83</v>
      </c>
      <c r="AI338">
        <f t="shared" si="49"/>
        <v>124</v>
      </c>
      <c r="AJ338" s="22" t="str">
        <f>IF(ISERROR(MATCH(A338,Rosters!$B$2:$B$155,0)),AD338,"")</f>
        <v/>
      </c>
      <c r="AK338" t="str">
        <f t="shared" si="50"/>
        <v/>
      </c>
      <c r="AL338" s="23">
        <f>COUNTIF(INDEX($C338:$S338,Week+1):INDEX($C338:$S338,13),"&gt;0")</f>
        <v>7</v>
      </c>
    </row>
    <row r="339" spans="1:38" x14ac:dyDescent="0.25">
      <c r="A339" t="s">
        <v>345</v>
      </c>
      <c r="B339" t="s">
        <v>15</v>
      </c>
      <c r="C339">
        <v>0.39</v>
      </c>
      <c r="D339">
        <v>0.48</v>
      </c>
      <c r="E339">
        <v>0.77</v>
      </c>
      <c r="F339">
        <v>0.59</v>
      </c>
      <c r="G339">
        <v>0.52</v>
      </c>
      <c r="H339">
        <v>0.57999999999999996</v>
      </c>
      <c r="I339">
        <v>0.54</v>
      </c>
      <c r="J339" t="s">
        <v>64</v>
      </c>
      <c r="K339">
        <v>0.54</v>
      </c>
      <c r="L339">
        <v>0.53</v>
      </c>
      <c r="M339">
        <v>0.6</v>
      </c>
      <c r="N339">
        <v>0.56000000000000005</v>
      </c>
      <c r="O339">
        <v>0.64</v>
      </c>
      <c r="P339">
        <v>0.54</v>
      </c>
      <c r="Q339">
        <v>0.59</v>
      </c>
      <c r="R339">
        <v>0.57999999999999996</v>
      </c>
      <c r="S339">
        <v>0.55000000000000004</v>
      </c>
      <c r="T339" s="2">
        <f>IF('ROS Rankings'!$AD$1,IFERROR(AVERAGE(INDEX($C339:$S339,14):INDEX($C339:$S339,17)),0),IFERROR(AVERAGE(INDEX($C339:$S339,Week+1):INDEX($C339:$S339,13)),0))</f>
        <v>0.57000000000000006</v>
      </c>
      <c r="U339" s="2">
        <f t="shared" si="44"/>
        <v>0.57000000000000006</v>
      </c>
      <c r="V339" s="2" t="str">
        <f t="shared" si="44"/>
        <v/>
      </c>
      <c r="W339" s="2" t="str">
        <f t="shared" si="44"/>
        <v/>
      </c>
      <c r="X339" s="2" t="str">
        <f t="shared" si="44"/>
        <v/>
      </c>
      <c r="Y339" s="2" t="str">
        <f t="shared" si="44"/>
        <v/>
      </c>
      <c r="Z339" s="2" t="str">
        <f t="shared" si="44"/>
        <v/>
      </c>
      <c r="AA339" s="23" t="str">
        <f t="shared" si="45"/>
        <v>QB55</v>
      </c>
      <c r="AB339" s="2">
        <f>$T339-VLOOKUP($B339,Scores!$AG$1:$AM$7,5,FALSE)</f>
        <v>-20.314285714285713</v>
      </c>
      <c r="AC339" s="2">
        <f>$T339-VLOOKUP($B339,Scores!$AG$1:$AM$7,6,FALSE)</f>
        <v>-19.333749999999998</v>
      </c>
      <c r="AD339" s="2">
        <f>$T339-VLOOKUP($B339,Scores!$AG$1:$AM$7,7,FALSE)+(ROW(A338)/1000000)</f>
        <v>-18.929661999999997</v>
      </c>
      <c r="AE339" s="2">
        <f t="array" ref="AE339">IF('ROS Rankings'!$AD$1,IFERROR(AVERAGE(IF(INDEX($C339:$S339,14):INDEX($C339:$S339,17)="NA",0,INDEX($C339:$S339,14):INDEX($C339:$S339,17))-INDEX($AQ$2:$BG$7,MATCH($B339,$AO$2:$AO$7,0),14):INDEX($AQ$2:$BG$7,MATCH($B339,$AO$2:$AO$7,0),17)),0),IFERROR(AVERAGE(IF(INDEX($C339:$S339,Week+1):INDEX($C339:$S339,13)="NA",0,INDEX($C339:$S339,Week+1):INDEX($C339:$S339,13))-INDEX($AQ$2:$BG$7,MATCH($B339,$AO$2:$AO$7,0),Week+1):INDEX($AQ$2:$BG$7,MATCH($B339,$AO$2:$AO$7,0),13)),0))+ROW(A338)/1000000</f>
        <v>-18.003412000000001</v>
      </c>
      <c r="AF339">
        <f t="shared" si="46"/>
        <v>546</v>
      </c>
      <c r="AG339">
        <f t="shared" si="47"/>
        <v>546</v>
      </c>
      <c r="AH339">
        <f t="shared" si="48"/>
        <v>546</v>
      </c>
      <c r="AI339">
        <f t="shared" si="49"/>
        <v>546</v>
      </c>
      <c r="AJ339" s="22">
        <f>IF(ISERROR(MATCH(A339,Rosters!$B$2:$B$155,0)),AD339,"")</f>
        <v>-18.929661999999997</v>
      </c>
      <c r="AK339">
        <f t="shared" si="50"/>
        <v>393</v>
      </c>
      <c r="AL339" s="23">
        <f>COUNTIF(INDEX($C339:$S339,Week+1):INDEX($C339:$S339,13),"&gt;0")</f>
        <v>7</v>
      </c>
    </row>
    <row r="340" spans="1:38" x14ac:dyDescent="0.25">
      <c r="A340" t="s">
        <v>391</v>
      </c>
      <c r="B340" t="s">
        <v>87</v>
      </c>
      <c r="C340">
        <v>0.72</v>
      </c>
      <c r="D340">
        <v>0.54</v>
      </c>
      <c r="E340">
        <v>0.68</v>
      </c>
      <c r="F340">
        <v>0.71</v>
      </c>
      <c r="G340">
        <v>0.88</v>
      </c>
      <c r="H340">
        <v>0.99</v>
      </c>
      <c r="I340">
        <v>0.64</v>
      </c>
      <c r="J340">
        <v>0.71</v>
      </c>
      <c r="K340">
        <v>0.93</v>
      </c>
      <c r="L340">
        <v>0.73</v>
      </c>
      <c r="M340" t="s">
        <v>64</v>
      </c>
      <c r="N340">
        <v>0.63</v>
      </c>
      <c r="O340">
        <v>0.84</v>
      </c>
      <c r="P340">
        <v>0.79</v>
      </c>
      <c r="Q340">
        <v>0.73</v>
      </c>
      <c r="R340">
        <v>0.74</v>
      </c>
      <c r="S340">
        <v>0.65</v>
      </c>
      <c r="T340" s="2">
        <f>IF('ROS Rankings'!$AD$1,IFERROR(AVERAGE(INDEX($C340:$S340,14):INDEX($C340:$S340,17)),0),IFERROR(AVERAGE(INDEX($C340:$S340,Week+1):INDEX($C340:$S340,13)),0))</f>
        <v>0.78142857142857136</v>
      </c>
      <c r="U340" s="2" t="str">
        <f t="shared" si="44"/>
        <v/>
      </c>
      <c r="V340" s="2" t="str">
        <f t="shared" si="44"/>
        <v/>
      </c>
      <c r="W340" s="2">
        <f t="shared" si="44"/>
        <v>0.78142857142857136</v>
      </c>
      <c r="X340" s="2" t="str">
        <f t="shared" si="44"/>
        <v/>
      </c>
      <c r="Y340" s="2" t="str">
        <f t="shared" si="44"/>
        <v/>
      </c>
      <c r="Z340" s="2" t="str">
        <f t="shared" si="44"/>
        <v/>
      </c>
      <c r="AA340" s="23" t="str">
        <f t="shared" si="45"/>
        <v>WR127</v>
      </c>
      <c r="AB340" s="2">
        <f>$T340-VLOOKUP($B340,Scores!$AG$1:$AM$7,5,FALSE)</f>
        <v>-9.5899999999999981</v>
      </c>
      <c r="AC340" s="2">
        <f>$T340-VLOOKUP($B340,Scores!$AG$1:$AM$7,6,FALSE)</f>
        <v>-7.2500000000000009</v>
      </c>
      <c r="AD340" s="2">
        <f>$T340-VLOOKUP($B340,Scores!$AG$1:$AM$7,7,FALSE)+(ROW(A339)/1000000)</f>
        <v>-5.271089571428571</v>
      </c>
      <c r="AE340" s="2">
        <f t="array" ref="AE340">IF('ROS Rankings'!$AD$1,IFERROR(AVERAGE(IF(INDEX($C340:$S340,14):INDEX($C340:$S340,17)="NA",0,INDEX($C340:$S340,14):INDEX($C340:$S340,17))-INDEX($AQ$2:$BG$7,MATCH($B340,$AO$2:$AO$7,0),14):INDEX($AQ$2:$BG$7,MATCH($B340,$AO$2:$AO$7,0),17)),0),IFERROR(AVERAGE(IF(INDEX($C340:$S340,Week+1):INDEX($C340:$S340,13)="NA",0,INDEX($C340:$S340,Week+1):INDEX($C340:$S340,13))-INDEX($AQ$2:$BG$7,MATCH($B340,$AO$2:$AO$7,0),Week+1):INDEX($AQ$2:$BG$7,MATCH($B340,$AO$2:$AO$7,0),13)),0))+ROW(A339)/1000000</f>
        <v>-4.6721609999999991</v>
      </c>
      <c r="AF340">
        <f t="shared" si="46"/>
        <v>402</v>
      </c>
      <c r="AG340">
        <f t="shared" si="47"/>
        <v>416</v>
      </c>
      <c r="AH340">
        <f t="shared" si="48"/>
        <v>426</v>
      </c>
      <c r="AI340">
        <f t="shared" si="49"/>
        <v>398</v>
      </c>
      <c r="AJ340" s="22">
        <f>IF(ISERROR(MATCH(A340,Rosters!$B$2:$B$155,0)),AD340,"")</f>
        <v>-5.271089571428571</v>
      </c>
      <c r="AK340">
        <f t="shared" si="50"/>
        <v>274</v>
      </c>
      <c r="AL340" s="23">
        <f>COUNTIF(INDEX($C340:$S340,Week+1):INDEX($C340:$S340,13),"&gt;0")</f>
        <v>7</v>
      </c>
    </row>
    <row r="341" spans="1:38" x14ac:dyDescent="0.25">
      <c r="A341" t="s">
        <v>70</v>
      </c>
      <c r="B341" t="s">
        <v>15</v>
      </c>
      <c r="C341">
        <v>19.89</v>
      </c>
      <c r="D341">
        <v>18.68</v>
      </c>
      <c r="E341">
        <v>19.940000000000001</v>
      </c>
      <c r="F341">
        <v>17.78</v>
      </c>
      <c r="G341">
        <v>19.37</v>
      </c>
      <c r="H341" t="s">
        <v>64</v>
      </c>
      <c r="I341">
        <v>18.66</v>
      </c>
      <c r="J341">
        <v>17.100000000000001</v>
      </c>
      <c r="K341">
        <v>16.03</v>
      </c>
      <c r="L341">
        <v>15.13</v>
      </c>
      <c r="M341">
        <v>16.45</v>
      </c>
      <c r="N341">
        <v>15.89</v>
      </c>
      <c r="O341">
        <v>18.850000000000001</v>
      </c>
      <c r="P341">
        <v>15.83</v>
      </c>
      <c r="Q341">
        <v>16.84</v>
      </c>
      <c r="R341">
        <v>16.78</v>
      </c>
      <c r="S341">
        <v>18.45</v>
      </c>
      <c r="T341" s="2">
        <f>IF('ROS Rankings'!$AD$1,IFERROR(AVERAGE(INDEX($C341:$S341,14):INDEX($C341:$S341,17)),0),IFERROR(AVERAGE(INDEX($C341:$S341,Week+1):INDEX($C341:$S341,13)),0))</f>
        <v>16.872857142857146</v>
      </c>
      <c r="U341" s="2">
        <f t="shared" si="44"/>
        <v>16.872857142857146</v>
      </c>
      <c r="V341" s="2" t="str">
        <f t="shared" si="44"/>
        <v/>
      </c>
      <c r="W341" s="2" t="str">
        <f t="shared" si="44"/>
        <v/>
      </c>
      <c r="X341" s="2" t="str">
        <f t="shared" si="44"/>
        <v/>
      </c>
      <c r="Y341" s="2" t="str">
        <f t="shared" si="44"/>
        <v/>
      </c>
      <c r="Z341" s="2" t="str">
        <f t="shared" si="44"/>
        <v/>
      </c>
      <c r="AA341" s="23" t="str">
        <f t="shared" si="45"/>
        <v>QB19</v>
      </c>
      <c r="AB341" s="2">
        <f>$T341-VLOOKUP($B341,Scores!$AG$1:$AM$7,5,FALSE)</f>
        <v>-4.0114285714285671</v>
      </c>
      <c r="AC341" s="2">
        <f>$T341-VLOOKUP($B341,Scores!$AG$1:$AM$7,6,FALSE)</f>
        <v>-3.0308928571428524</v>
      </c>
      <c r="AD341" s="2">
        <f>$T341-VLOOKUP($B341,Scores!$AG$1:$AM$7,7,FALSE)+(ROW(A340)/1000000)</f>
        <v>-2.6268028571428501</v>
      </c>
      <c r="AE341" s="2">
        <f t="array" ref="AE341">IF('ROS Rankings'!$AD$1,IFERROR(AVERAGE(IF(INDEX($C341:$S341,14):INDEX($C341:$S341,17)="NA",0,INDEX($C341:$S341,14):INDEX($C341:$S341,17))-INDEX($AQ$2:$BG$7,MATCH($B341,$AO$2:$AO$7,0),14):INDEX($AQ$2:$BG$7,MATCH($B341,$AO$2:$AO$7,0),17)),0),IFERROR(AVERAGE(IF(INDEX($C341:$S341,Week+1):INDEX($C341:$S341,13)="NA",0,INDEX($C341:$S341,Week+1):INDEX($C341:$S341,13))-INDEX($AQ$2:$BG$7,MATCH($B341,$AO$2:$AO$7,0),Week+1):INDEX($AQ$2:$BG$7,MATCH($B341,$AO$2:$AO$7,0),13)),0))+ROW(A340)/1000000</f>
        <v>-3.7384099999999996</v>
      </c>
      <c r="AF341">
        <f t="shared" si="46"/>
        <v>191</v>
      </c>
      <c r="AG341">
        <f t="shared" si="47"/>
        <v>251</v>
      </c>
      <c r="AH341">
        <f t="shared" si="48"/>
        <v>275</v>
      </c>
      <c r="AI341">
        <f t="shared" si="49"/>
        <v>335</v>
      </c>
      <c r="AJ341" s="22" t="str">
        <f>IF(ISERROR(MATCH(A341,Rosters!$B$2:$B$155,0)),AD341,"")</f>
        <v/>
      </c>
      <c r="AK341" t="str">
        <f t="shared" si="50"/>
        <v/>
      </c>
      <c r="AL341" s="23">
        <f>COUNTIF(INDEX($C341:$S341,Week+1):INDEX($C341:$S341,13),"&gt;0")</f>
        <v>7</v>
      </c>
    </row>
    <row r="342" spans="1:38" x14ac:dyDescent="0.25">
      <c r="A342" t="s">
        <v>1146</v>
      </c>
      <c r="B342" t="s">
        <v>87</v>
      </c>
      <c r="C342">
        <v>0</v>
      </c>
      <c r="D342">
        <v>0</v>
      </c>
      <c r="E342">
        <v>0.71</v>
      </c>
      <c r="F342" t="s">
        <v>64</v>
      </c>
      <c r="G342">
        <v>0.64</v>
      </c>
      <c r="H342">
        <v>0.8</v>
      </c>
      <c r="I342">
        <v>0.74</v>
      </c>
      <c r="J342">
        <v>0.87</v>
      </c>
      <c r="K342">
        <v>0.87</v>
      </c>
      <c r="L342">
        <v>0.81</v>
      </c>
      <c r="M342">
        <v>0.77</v>
      </c>
      <c r="N342">
        <v>0.72</v>
      </c>
      <c r="O342">
        <v>0.62</v>
      </c>
      <c r="P342">
        <v>0.91</v>
      </c>
      <c r="Q342">
        <v>0.57999999999999996</v>
      </c>
      <c r="R342">
        <v>0.65</v>
      </c>
      <c r="S342">
        <v>0.64</v>
      </c>
      <c r="T342" s="2">
        <f>IF('ROS Rankings'!$AD$1,IFERROR(AVERAGE(INDEX($C342:$S342,14):INDEX($C342:$S342,17)),0),IFERROR(AVERAGE(INDEX($C342:$S342,Week+1):INDEX($C342:$S342,13)),0))</f>
        <v>0.77499999999999991</v>
      </c>
      <c r="U342" s="2" t="str">
        <f t="shared" si="44"/>
        <v/>
      </c>
      <c r="V342" s="2" t="str">
        <f t="shared" si="44"/>
        <v/>
      </c>
      <c r="W342" s="2">
        <f t="shared" si="44"/>
        <v>0.77499999999999991</v>
      </c>
      <c r="X342" s="2" t="str">
        <f t="shared" si="44"/>
        <v/>
      </c>
      <c r="Y342" s="2" t="str">
        <f t="shared" si="44"/>
        <v/>
      </c>
      <c r="Z342" s="2" t="str">
        <f t="shared" si="44"/>
        <v/>
      </c>
      <c r="AA342" s="23" t="str">
        <f t="shared" si="45"/>
        <v>WR128</v>
      </c>
      <c r="AB342" s="2">
        <f>$T342-VLOOKUP($B342,Scores!$AG$1:$AM$7,5,FALSE)</f>
        <v>-9.5964285714285698</v>
      </c>
      <c r="AC342" s="2">
        <f>$T342-VLOOKUP($B342,Scores!$AG$1:$AM$7,6,FALSE)</f>
        <v>-7.2564285714285717</v>
      </c>
      <c r="AD342" s="2">
        <f>$T342-VLOOKUP($B342,Scores!$AG$1:$AM$7,7,FALSE)+(ROW(A341)/1000000)</f>
        <v>-5.2775161428571424</v>
      </c>
      <c r="AE342" s="2">
        <f t="array" ref="AE342">IF('ROS Rankings'!$AD$1,IFERROR(AVERAGE(IF(INDEX($C342:$S342,14):INDEX($C342:$S342,17)="NA",0,INDEX($C342:$S342,14):INDEX($C342:$S342,17))-INDEX($AQ$2:$BG$7,MATCH($B342,$AO$2:$AO$7,0),14):INDEX($AQ$2:$BG$7,MATCH($B342,$AO$2:$AO$7,0),17)),0),IFERROR(AVERAGE(IF(INDEX($C342:$S342,Week+1):INDEX($C342:$S342,13)="NA",0,INDEX($C342:$S342,Week+1):INDEX($C342:$S342,13))-INDEX($AQ$2:$BG$7,MATCH($B342,$AO$2:$AO$7,0),Week+1):INDEX($AQ$2:$BG$7,MATCH($B342,$AO$2:$AO$7,0),13)),0))+ROW(A341)/1000000</f>
        <v>-4.5809090000000001</v>
      </c>
      <c r="AF342">
        <f t="shared" si="46"/>
        <v>403</v>
      </c>
      <c r="AG342">
        <f t="shared" si="47"/>
        <v>417</v>
      </c>
      <c r="AH342">
        <f t="shared" si="48"/>
        <v>427</v>
      </c>
      <c r="AI342">
        <f t="shared" si="49"/>
        <v>384</v>
      </c>
      <c r="AJ342" s="22">
        <f>IF(ISERROR(MATCH(A342,Rosters!$B$2:$B$155,0)),AD342,"")</f>
        <v>-5.2775161428571424</v>
      </c>
      <c r="AK342">
        <f t="shared" si="50"/>
        <v>275</v>
      </c>
      <c r="AL342" s="23">
        <f>COUNTIF(INDEX($C342:$S342,Week+1):INDEX($C342:$S342,13),"&gt;0")</f>
        <v>8</v>
      </c>
    </row>
    <row r="343" spans="1:38" x14ac:dyDescent="0.25">
      <c r="A343" t="s">
        <v>270</v>
      </c>
      <c r="B343" t="s">
        <v>114</v>
      </c>
      <c r="C343">
        <v>1.69</v>
      </c>
      <c r="D343">
        <v>1.42</v>
      </c>
      <c r="E343">
        <v>1.7</v>
      </c>
      <c r="F343">
        <v>1.5</v>
      </c>
      <c r="G343">
        <v>1.4</v>
      </c>
      <c r="H343">
        <v>1.69</v>
      </c>
      <c r="I343">
        <v>1.81</v>
      </c>
      <c r="J343">
        <v>1.38</v>
      </c>
      <c r="K343">
        <v>1.5</v>
      </c>
      <c r="L343" t="s">
        <v>64</v>
      </c>
      <c r="M343">
        <v>1.69</v>
      </c>
      <c r="N343">
        <v>1.96</v>
      </c>
      <c r="O343">
        <v>1.74</v>
      </c>
      <c r="P343">
        <v>1.88</v>
      </c>
      <c r="Q343">
        <v>1.89</v>
      </c>
      <c r="R343">
        <v>1.29</v>
      </c>
      <c r="S343">
        <v>1.45</v>
      </c>
      <c r="T343" s="2">
        <f>IF('ROS Rankings'!$AD$1,IFERROR(AVERAGE(INDEX($C343:$S343,14):INDEX($C343:$S343,17)),0),IFERROR(AVERAGE(INDEX($C343:$S343,Week+1):INDEX($C343:$S343,13)),0))</f>
        <v>1.6814285714285717</v>
      </c>
      <c r="U343" s="2" t="str">
        <f t="shared" si="44"/>
        <v/>
      </c>
      <c r="V343" s="2" t="str">
        <f t="shared" si="44"/>
        <v/>
      </c>
      <c r="W343" s="2" t="str">
        <f t="shared" si="44"/>
        <v/>
      </c>
      <c r="X343" s="2">
        <f t="shared" si="44"/>
        <v>1.6814285714285717</v>
      </c>
      <c r="Y343" s="2" t="str">
        <f t="shared" si="44"/>
        <v/>
      </c>
      <c r="Z343" s="2" t="str">
        <f t="shared" si="44"/>
        <v/>
      </c>
      <c r="AA343" s="23" t="str">
        <f t="shared" si="45"/>
        <v>TE57</v>
      </c>
      <c r="AB343" s="2">
        <f>$T343-VLOOKUP($B343,Scores!$AG$1:$AM$7,5,FALSE)</f>
        <v>-5.3173214285714279</v>
      </c>
      <c r="AC343" s="2">
        <f>$T343-VLOOKUP($B343,Scores!$AG$1:$AM$7,6,FALSE)</f>
        <v>-3.5685714285714285</v>
      </c>
      <c r="AD343" s="2">
        <f>$T343-VLOOKUP($B343,Scores!$AG$1:$AM$7,7,FALSE)+(ROW(A342)/1000000)</f>
        <v>-3.4982294285714284</v>
      </c>
      <c r="AE343" s="2">
        <f t="array" ref="AE343">IF('ROS Rankings'!$AD$1,IFERROR(AVERAGE(IF(INDEX($C343:$S343,14):INDEX($C343:$S343,17)="NA",0,INDEX($C343:$S343,14):INDEX($C343:$S343,17))-INDEX($AQ$2:$BG$7,MATCH($B343,$AO$2:$AO$7,0),14):INDEX($AQ$2:$BG$7,MATCH($B343,$AO$2:$AO$7,0),17)),0),IFERROR(AVERAGE(IF(INDEX($C343:$S343,Week+1):INDEX($C343:$S343,13)="NA",0,INDEX($C343:$S343,Week+1):INDEX($C343:$S343,13))-INDEX($AQ$2:$BG$7,MATCH($B343,$AO$2:$AO$7,0),Week+1):INDEX($AQ$2:$BG$7,MATCH($B343,$AO$2:$AO$7,0),13)),0))+ROW(A342)/1000000</f>
        <v>-3.6259079999999999</v>
      </c>
      <c r="AF343">
        <f t="shared" si="46"/>
        <v>248</v>
      </c>
      <c r="AG343">
        <f t="shared" si="47"/>
        <v>274</v>
      </c>
      <c r="AH343">
        <f t="shared" si="48"/>
        <v>325</v>
      </c>
      <c r="AI343">
        <f t="shared" si="49"/>
        <v>325</v>
      </c>
      <c r="AJ343" s="22">
        <f>IF(ISERROR(MATCH(A343,Rosters!$B$2:$B$155,0)),AD343,"")</f>
        <v>-3.4982294285714284</v>
      </c>
      <c r="AK343">
        <f t="shared" si="50"/>
        <v>174</v>
      </c>
      <c r="AL343" s="23">
        <f>COUNTIF(INDEX($C343:$S343,Week+1):INDEX($C343:$S343,13),"&gt;0")</f>
        <v>7</v>
      </c>
    </row>
    <row r="344" spans="1:38" x14ac:dyDescent="0.25">
      <c r="A344" t="s">
        <v>92</v>
      </c>
      <c r="B344" t="s">
        <v>47</v>
      </c>
      <c r="C344">
        <v>16.66</v>
      </c>
      <c r="D344">
        <v>16.010000000000002</v>
      </c>
      <c r="E344">
        <v>15.47</v>
      </c>
      <c r="F344">
        <v>17.79</v>
      </c>
      <c r="G344">
        <v>17.71</v>
      </c>
      <c r="H344">
        <v>14.94</v>
      </c>
      <c r="I344">
        <v>17.2</v>
      </c>
      <c r="J344" t="s">
        <v>64</v>
      </c>
      <c r="K344">
        <v>14.77</v>
      </c>
      <c r="L344">
        <v>17.600000000000001</v>
      </c>
      <c r="M344">
        <v>15.02</v>
      </c>
      <c r="N344">
        <v>16.34</v>
      </c>
      <c r="O344">
        <v>16.02</v>
      </c>
      <c r="P344">
        <v>17.54</v>
      </c>
      <c r="Q344">
        <v>19.68</v>
      </c>
      <c r="R344">
        <v>16.2</v>
      </c>
      <c r="S344">
        <v>14.06</v>
      </c>
      <c r="T344" s="2">
        <f>IF('ROS Rankings'!$AD$1,IFERROR(AVERAGE(INDEX($C344:$S344,14):INDEX($C344:$S344,17)),0),IFERROR(AVERAGE(INDEX($C344:$S344,Week+1):INDEX($C344:$S344,13)),0))</f>
        <v>15.984285714285713</v>
      </c>
      <c r="U344" s="2" t="str">
        <f t="shared" si="44"/>
        <v/>
      </c>
      <c r="V344" s="2">
        <f t="shared" si="44"/>
        <v>15.984285714285713</v>
      </c>
      <c r="W344" s="2" t="str">
        <f t="shared" si="44"/>
        <v/>
      </c>
      <c r="X344" s="2" t="str">
        <f t="shared" si="44"/>
        <v/>
      </c>
      <c r="Y344" s="2" t="str">
        <f t="shared" si="44"/>
        <v/>
      </c>
      <c r="Z344" s="2" t="str">
        <f t="shared" si="44"/>
        <v/>
      </c>
      <c r="AA344" s="23" t="str">
        <f t="shared" si="45"/>
        <v>RB5</v>
      </c>
      <c r="AB344" s="2">
        <f>$T344-VLOOKUP($B344,Scores!$AG$1:$AM$7,5,FALSE)</f>
        <v>4.2257142857142842</v>
      </c>
      <c r="AC344" s="2">
        <f>$T344-VLOOKUP($B344,Scores!$AG$1:$AM$7,6,FALSE)</f>
        <v>7.7142857142857117</v>
      </c>
      <c r="AD344" s="2">
        <f>$T344-VLOOKUP($B344,Scores!$AG$1:$AM$7,7,FALSE)+(ROW(A343)/1000000)</f>
        <v>10.116057285714284</v>
      </c>
      <c r="AE344" s="2">
        <f t="array" ref="AE344">IF('ROS Rankings'!$AD$1,IFERROR(AVERAGE(IF(INDEX($C344:$S344,14):INDEX($C344:$S344,17)="NA",0,INDEX($C344:$S344,14):INDEX($C344:$S344,17))-INDEX($AQ$2:$BG$7,MATCH($B344,$AO$2:$AO$7,0),14):INDEX($AQ$2:$BG$7,MATCH($B344,$AO$2:$AO$7,0),17)),0),IFERROR(AVERAGE(IF(INDEX($C344:$S344,Week+1):INDEX($C344:$S344,13)="NA",0,INDEX($C344:$S344,Week+1):INDEX($C344:$S344,13))-INDEX($AQ$2:$BG$7,MATCH($B344,$AO$2:$AO$7,0),Week+1):INDEX($AQ$2:$BG$7,MATCH($B344,$AO$2:$AO$7,0),13)),0))+ROW(A343)/1000000</f>
        <v>8.6265930000000015</v>
      </c>
      <c r="AF344">
        <f t="shared" si="46"/>
        <v>5</v>
      </c>
      <c r="AG344">
        <f t="shared" si="47"/>
        <v>5</v>
      </c>
      <c r="AH344">
        <f t="shared" si="48"/>
        <v>5</v>
      </c>
      <c r="AI344">
        <f t="shared" si="49"/>
        <v>5</v>
      </c>
      <c r="AJ344" s="22" t="str">
        <f>IF(ISERROR(MATCH(A344,Rosters!$B$2:$B$155,0)),AD344,"")</f>
        <v/>
      </c>
      <c r="AK344" t="str">
        <f t="shared" si="50"/>
        <v/>
      </c>
      <c r="AL344" s="23">
        <f>COUNTIF(INDEX($C344:$S344,Week+1):INDEX($C344:$S344,13),"&gt;0")</f>
        <v>7</v>
      </c>
    </row>
    <row r="345" spans="1:38" x14ac:dyDescent="0.25">
      <c r="A345" t="s">
        <v>1636</v>
      </c>
      <c r="B345" t="s">
        <v>47</v>
      </c>
      <c r="C345">
        <v>0.31</v>
      </c>
      <c r="D345">
        <v>0</v>
      </c>
      <c r="E345">
        <v>0.44</v>
      </c>
      <c r="F345">
        <v>0.44</v>
      </c>
      <c r="G345" t="s">
        <v>64</v>
      </c>
      <c r="H345">
        <v>0.61</v>
      </c>
      <c r="I345">
        <v>0.62</v>
      </c>
      <c r="J345">
        <v>0.49</v>
      </c>
      <c r="K345">
        <v>0.53</v>
      </c>
      <c r="L345">
        <v>0.63</v>
      </c>
      <c r="M345">
        <v>0.51</v>
      </c>
      <c r="N345">
        <v>0.6</v>
      </c>
      <c r="O345">
        <v>0.56000000000000005</v>
      </c>
      <c r="P345">
        <v>0.47</v>
      </c>
      <c r="Q345">
        <v>0.65</v>
      </c>
      <c r="R345">
        <v>0.62</v>
      </c>
      <c r="S345">
        <v>0.49</v>
      </c>
      <c r="T345" s="2">
        <f>IF('ROS Rankings'!$AD$1,IFERROR(AVERAGE(INDEX($C345:$S345,14):INDEX($C345:$S345,17)),0),IFERROR(AVERAGE(INDEX($C345:$S345,Week+1):INDEX($C345:$S345,13)),0))</f>
        <v>0.56874999999999998</v>
      </c>
      <c r="U345" s="2" t="str">
        <f t="shared" si="44"/>
        <v/>
      </c>
      <c r="V345" s="2">
        <f t="shared" si="44"/>
        <v>0.56874999999999998</v>
      </c>
      <c r="W345" s="2" t="str">
        <f t="shared" si="44"/>
        <v/>
      </c>
      <c r="X345" s="2" t="str">
        <f t="shared" ref="X345:Z408" si="51">IF($B345=X$1,$T345,"")</f>
        <v/>
      </c>
      <c r="Y345" s="2" t="str">
        <f t="shared" si="51"/>
        <v/>
      </c>
      <c r="Z345" s="2" t="str">
        <f t="shared" si="51"/>
        <v/>
      </c>
      <c r="AA345" s="23" t="str">
        <f t="shared" si="45"/>
        <v>RB103</v>
      </c>
      <c r="AB345" s="2">
        <f>$T345-VLOOKUP($B345,Scores!$AG$1:$AM$7,5,FALSE)</f>
        <v>-11.189821428571429</v>
      </c>
      <c r="AC345" s="2">
        <f>$T345-VLOOKUP($B345,Scores!$AG$1:$AM$7,6,FALSE)</f>
        <v>-7.7012500000000017</v>
      </c>
      <c r="AD345" s="2">
        <f>$T345-VLOOKUP($B345,Scores!$AG$1:$AM$7,7,FALSE)+(ROW(A344)/1000000)</f>
        <v>-5.2994774285714294</v>
      </c>
      <c r="AE345" s="2">
        <f t="array" ref="AE345">IF('ROS Rankings'!$AD$1,IFERROR(AVERAGE(IF(INDEX($C345:$S345,14):INDEX($C345:$S345,17)="NA",0,INDEX($C345:$S345,14):INDEX($C345:$S345,17))-INDEX($AQ$2:$BG$7,MATCH($B345,$AO$2:$AO$7,0),14):INDEX($AQ$2:$BG$7,MATCH($B345,$AO$2:$AO$7,0),17)),0),IFERROR(AVERAGE(IF(INDEX($C345:$S345,Week+1):INDEX($C345:$S345,13)="NA",0,INDEX($C345:$S345,Week+1):INDEX($C345:$S345,13))-INDEX($AQ$2:$BG$7,MATCH($B345,$AO$2:$AO$7,0),Week+1):INDEX($AQ$2:$BG$7,MATCH($B345,$AO$2:$AO$7,0),13)),0))+ROW(A344)/1000000</f>
        <v>-4.7909059999999997</v>
      </c>
      <c r="AF345">
        <f t="shared" si="46"/>
        <v>491</v>
      </c>
      <c r="AG345">
        <f t="shared" si="47"/>
        <v>482</v>
      </c>
      <c r="AH345">
        <f t="shared" si="48"/>
        <v>431</v>
      </c>
      <c r="AI345">
        <f t="shared" si="49"/>
        <v>432</v>
      </c>
      <c r="AJ345" s="22">
        <f>IF(ISERROR(MATCH(A345,Rosters!$B$2:$B$155,0)),AD345,"")</f>
        <v>-5.2994774285714294</v>
      </c>
      <c r="AK345">
        <f t="shared" si="50"/>
        <v>279</v>
      </c>
      <c r="AL345" s="23">
        <f>COUNTIF(INDEX($C345:$S345,Week+1):INDEX($C345:$S345,13),"&gt;0")</f>
        <v>8</v>
      </c>
    </row>
    <row r="346" spans="1:38" x14ac:dyDescent="0.25">
      <c r="A346" t="s">
        <v>116</v>
      </c>
      <c r="B346" t="s">
        <v>87</v>
      </c>
      <c r="C346">
        <v>7.83</v>
      </c>
      <c r="D346">
        <v>8.4499999999999993</v>
      </c>
      <c r="E346">
        <v>8.17</v>
      </c>
      <c r="F346">
        <v>8.18</v>
      </c>
      <c r="G346">
        <v>7.81</v>
      </c>
      <c r="H346">
        <v>7.85</v>
      </c>
      <c r="I346">
        <v>8.5</v>
      </c>
      <c r="J346">
        <v>7.65</v>
      </c>
      <c r="K346">
        <v>7.19</v>
      </c>
      <c r="L346" t="s">
        <v>64</v>
      </c>
      <c r="M346">
        <v>7.59</v>
      </c>
      <c r="N346">
        <v>9.33</v>
      </c>
      <c r="O346">
        <v>8.11</v>
      </c>
      <c r="P346">
        <v>9.25</v>
      </c>
      <c r="Q346">
        <v>8.69</v>
      </c>
      <c r="R346">
        <v>7.35</v>
      </c>
      <c r="S346">
        <v>8.06</v>
      </c>
      <c r="T346" s="2">
        <f>IF('ROS Rankings'!$AD$1,IFERROR(AVERAGE(INDEX($C346:$S346,14):INDEX($C346:$S346,17)),0),IFERROR(AVERAGE(INDEX($C346:$S346,Week+1):INDEX($C346:$S346,13)),0))</f>
        <v>8.031428571428572</v>
      </c>
      <c r="U346" s="2" t="str">
        <f t="shared" ref="U346:Z409" si="52">IF($B346=U$1,$T346,"")</f>
        <v/>
      </c>
      <c r="V346" s="2" t="str">
        <f t="shared" si="52"/>
        <v/>
      </c>
      <c r="W346" s="2">
        <f t="shared" si="52"/>
        <v>8.031428571428572</v>
      </c>
      <c r="X346" s="2" t="str">
        <f t="shared" si="52"/>
        <v/>
      </c>
      <c r="Y346" s="2" t="str">
        <f t="shared" si="52"/>
        <v/>
      </c>
      <c r="Z346" s="2" t="str">
        <f t="shared" si="52"/>
        <v/>
      </c>
      <c r="AA346" s="23" t="str">
        <f t="shared" si="45"/>
        <v>WR35</v>
      </c>
      <c r="AB346" s="2">
        <f>$T346-VLOOKUP($B346,Scores!$AG$1:$AM$7,5,FALSE)</f>
        <v>-2.3399999999999981</v>
      </c>
      <c r="AC346" s="2">
        <f>$T346-VLOOKUP($B346,Scores!$AG$1:$AM$7,6,FALSE)</f>
        <v>0</v>
      </c>
      <c r="AD346" s="2">
        <f>$T346-VLOOKUP($B346,Scores!$AG$1:$AM$7,7,FALSE)+(ROW(A345)/1000000)</f>
        <v>1.9789164285714296</v>
      </c>
      <c r="AE346" s="2">
        <f t="array" ref="AE346">IF('ROS Rankings'!$AD$1,IFERROR(AVERAGE(IF(INDEX($C346:$S346,14):INDEX($C346:$S346,17)="NA",0,INDEX($C346:$S346,14):INDEX($C346:$S346,17))-INDEX($AQ$2:$BG$7,MATCH($B346,$AO$2:$AO$7,0),14):INDEX($AQ$2:$BG$7,MATCH($B346,$AO$2:$AO$7,0),17)),0),IFERROR(AVERAGE(IF(INDEX($C346:$S346,Week+1):INDEX($C346:$S346,13)="NA",0,INDEX($C346:$S346,Week+1):INDEX($C346:$S346,13))-INDEX($AQ$2:$BG$7,MATCH($B346,$AO$2:$AO$7,0),Week+1):INDEX($AQ$2:$BG$7,MATCH($B346,$AO$2:$AO$7,0),13)),0))+ROW(A345)/1000000</f>
        <v>1.6715949999999997</v>
      </c>
      <c r="AF346">
        <f t="shared" si="46"/>
        <v>145</v>
      </c>
      <c r="AG346">
        <f t="shared" si="47"/>
        <v>95</v>
      </c>
      <c r="AH346">
        <f t="shared" si="48"/>
        <v>69</v>
      </c>
      <c r="AI346">
        <f t="shared" si="49"/>
        <v>69</v>
      </c>
      <c r="AJ346" s="22" t="str">
        <f>IF(ISERROR(MATCH(A346,Rosters!$B$2:$B$155,0)),AD346,"")</f>
        <v/>
      </c>
      <c r="AK346" t="str">
        <f t="shared" si="50"/>
        <v/>
      </c>
      <c r="AL346" s="23">
        <f>COUNTIF(INDEX($C346:$S346,Week+1):INDEX($C346:$S346,13),"&gt;0")</f>
        <v>7</v>
      </c>
    </row>
    <row r="347" spans="1:38" x14ac:dyDescent="0.25">
      <c r="A347" t="s">
        <v>2921</v>
      </c>
      <c r="B347" t="s">
        <v>87</v>
      </c>
      <c r="C347" t="s">
        <v>64</v>
      </c>
      <c r="D347" t="s">
        <v>64</v>
      </c>
      <c r="E347">
        <v>0</v>
      </c>
      <c r="F347" t="s">
        <v>64</v>
      </c>
      <c r="G347">
        <v>0.46</v>
      </c>
      <c r="H347">
        <v>0.53</v>
      </c>
      <c r="I347">
        <v>0.52</v>
      </c>
      <c r="J347">
        <v>0.48</v>
      </c>
      <c r="K347">
        <v>0.49</v>
      </c>
      <c r="L347">
        <v>0.5</v>
      </c>
      <c r="M347">
        <v>0.5</v>
      </c>
      <c r="N347">
        <v>0.5</v>
      </c>
      <c r="O347">
        <v>0.51</v>
      </c>
      <c r="P347">
        <v>0.5</v>
      </c>
      <c r="Q347">
        <v>0.49</v>
      </c>
      <c r="R347">
        <v>0.47</v>
      </c>
      <c r="S347">
        <v>0.53</v>
      </c>
      <c r="T347" s="2">
        <f>IF('ROS Rankings'!$AD$1,IFERROR(AVERAGE(INDEX($C347:$S347,14):INDEX($C347:$S347,17)),0),IFERROR(AVERAGE(INDEX($C347:$S347,Week+1):INDEX($C347:$S347,13)),0))</f>
        <v>0.50375000000000003</v>
      </c>
      <c r="U347" s="2" t="str">
        <f t="shared" si="52"/>
        <v/>
      </c>
      <c r="V347" s="2" t="str">
        <f t="shared" si="52"/>
        <v/>
      </c>
      <c r="W347" s="2">
        <f t="shared" si="52"/>
        <v>0.50375000000000003</v>
      </c>
      <c r="X347" s="2" t="str">
        <f t="shared" si="52"/>
        <v/>
      </c>
      <c r="Y347" s="2" t="str">
        <f t="shared" si="52"/>
        <v/>
      </c>
      <c r="Z347" s="2" t="str">
        <f t="shared" si="52"/>
        <v/>
      </c>
      <c r="AA347" s="23" t="str">
        <f t="shared" si="45"/>
        <v>WR169</v>
      </c>
      <c r="AB347" s="2">
        <f>$T347-VLOOKUP($B347,Scores!$AG$1:$AM$7,5,FALSE)</f>
        <v>-9.86767857142857</v>
      </c>
      <c r="AC347" s="2">
        <f>$T347-VLOOKUP($B347,Scores!$AG$1:$AM$7,6,FALSE)</f>
        <v>-7.5276785714285719</v>
      </c>
      <c r="AD347" s="2">
        <f>$T347-VLOOKUP($B347,Scores!$AG$1:$AM$7,7,FALSE)+(ROW(A346)/1000000)</f>
        <v>-5.5487611428571419</v>
      </c>
      <c r="AE347" s="2">
        <f t="array" ref="AE347">IF('ROS Rankings'!$AD$1,IFERROR(AVERAGE(IF(INDEX($C347:$S347,14):INDEX($C347:$S347,17)="NA",0,INDEX($C347:$S347,14):INDEX($C347:$S347,17))-INDEX($AQ$2:$BG$7,MATCH($B347,$AO$2:$AO$7,0),14):INDEX($AQ$2:$BG$7,MATCH($B347,$AO$2:$AO$7,0),17)),0),IFERROR(AVERAGE(IF(INDEX($C347:$S347,Week+1):INDEX($C347:$S347,13)="NA",0,INDEX($C347:$S347,Week+1):INDEX($C347:$S347,13))-INDEX($AQ$2:$BG$7,MATCH($B347,$AO$2:$AO$7,0),Week+1):INDEX($AQ$2:$BG$7,MATCH($B347,$AO$2:$AO$7,0),13)),0))+ROW(A346)/1000000</f>
        <v>-4.8521539999999996</v>
      </c>
      <c r="AF347">
        <f t="shared" si="46"/>
        <v>446</v>
      </c>
      <c r="AG347">
        <f t="shared" si="47"/>
        <v>464</v>
      </c>
      <c r="AH347">
        <f t="shared" si="48"/>
        <v>496</v>
      </c>
      <c r="AI347">
        <f t="shared" si="49"/>
        <v>450</v>
      </c>
      <c r="AJ347" s="22">
        <f>IF(ISERROR(MATCH(A347,Rosters!$B$2:$B$155,0)),AD347,"")</f>
        <v>-5.5487611428571419</v>
      </c>
      <c r="AK347">
        <f t="shared" si="50"/>
        <v>344</v>
      </c>
      <c r="AL347" s="23">
        <f>COUNTIF(INDEX($C347:$S347,Week+1):INDEX($C347:$S347,13),"&gt;0")</f>
        <v>8</v>
      </c>
    </row>
    <row r="348" spans="1:38" x14ac:dyDescent="0.25">
      <c r="A348" t="s">
        <v>1408</v>
      </c>
      <c r="B348" t="s">
        <v>87</v>
      </c>
      <c r="C348">
        <v>4.6500000000000004</v>
      </c>
      <c r="D348">
        <v>3.77</v>
      </c>
      <c r="E348">
        <v>2.2999999999999998</v>
      </c>
      <c r="F348">
        <v>2.71</v>
      </c>
      <c r="G348">
        <v>5.41</v>
      </c>
      <c r="H348">
        <v>4.49</v>
      </c>
      <c r="I348">
        <v>4.6500000000000004</v>
      </c>
      <c r="J348" t="s">
        <v>64</v>
      </c>
      <c r="K348">
        <v>4.67</v>
      </c>
      <c r="L348">
        <v>4.28</v>
      </c>
      <c r="M348">
        <v>4.2300000000000004</v>
      </c>
      <c r="N348">
        <v>4.75</v>
      </c>
      <c r="O348">
        <v>4.6399999999999997</v>
      </c>
      <c r="P348">
        <v>4.38</v>
      </c>
      <c r="Q348">
        <v>4.83</v>
      </c>
      <c r="R348">
        <v>4.74</v>
      </c>
      <c r="S348">
        <v>4.8600000000000003</v>
      </c>
      <c r="T348" s="2">
        <f>IF('ROS Rankings'!$AD$1,IFERROR(AVERAGE(INDEX($C348:$S348,14):INDEX($C348:$S348,17)),0),IFERROR(AVERAGE(INDEX($C348:$S348,Week+1):INDEX($C348:$S348,13)),0))</f>
        <v>4.53</v>
      </c>
      <c r="U348" s="2" t="str">
        <f t="shared" si="52"/>
        <v/>
      </c>
      <c r="V348" s="2" t="str">
        <f t="shared" si="52"/>
        <v/>
      </c>
      <c r="W348" s="2">
        <f t="shared" si="52"/>
        <v>4.53</v>
      </c>
      <c r="X348" s="2" t="str">
        <f t="shared" si="52"/>
        <v/>
      </c>
      <c r="Y348" s="2" t="str">
        <f t="shared" si="52"/>
        <v/>
      </c>
      <c r="Z348" s="2" t="str">
        <f t="shared" si="52"/>
        <v/>
      </c>
      <c r="AA348" s="23" t="str">
        <f t="shared" si="45"/>
        <v>WR70</v>
      </c>
      <c r="AB348" s="2">
        <f>$T348-VLOOKUP($B348,Scores!$AG$1:$AM$7,5,FALSE)</f>
        <v>-5.8414285714285699</v>
      </c>
      <c r="AC348" s="2">
        <f>$T348-VLOOKUP($B348,Scores!$AG$1:$AM$7,6,FALSE)</f>
        <v>-3.5014285714285718</v>
      </c>
      <c r="AD348" s="2">
        <f>$T348-VLOOKUP($B348,Scores!$AG$1:$AM$7,7,FALSE)+(ROW(A347)/1000000)</f>
        <v>-1.5225101428571421</v>
      </c>
      <c r="AE348" s="2">
        <f t="array" ref="AE348">IF('ROS Rankings'!$AD$1,IFERROR(AVERAGE(IF(INDEX($C348:$S348,14):INDEX($C348:$S348,17)="NA",0,INDEX($C348:$S348,14):INDEX($C348:$S348,17))-INDEX($AQ$2:$BG$7,MATCH($B348,$AO$2:$AO$7,0),14):INDEX($AQ$2:$BG$7,MATCH($B348,$AO$2:$AO$7,0),17)),0),IFERROR(AVERAGE(IF(INDEX($C348:$S348,Week+1):INDEX($C348:$S348,13)="NA",0,INDEX($C348:$S348,Week+1):INDEX($C348:$S348,13))-INDEX($AQ$2:$BG$7,MATCH($B348,$AO$2:$AO$7,0),Week+1):INDEX($AQ$2:$BG$7,MATCH($B348,$AO$2:$AO$7,0),13)),0))+ROW(A347)/1000000</f>
        <v>-1.392153</v>
      </c>
      <c r="AF348">
        <f t="shared" si="46"/>
        <v>274</v>
      </c>
      <c r="AG348">
        <f t="shared" si="47"/>
        <v>269</v>
      </c>
      <c r="AH348">
        <f t="shared" si="48"/>
        <v>227</v>
      </c>
      <c r="AI348">
        <f t="shared" si="49"/>
        <v>201</v>
      </c>
      <c r="AJ348" s="22">
        <f>IF(ISERROR(MATCH(A348,Rosters!$B$2:$B$155,0)),AD348,"")</f>
        <v>-1.5225101428571421</v>
      </c>
      <c r="AK348">
        <f t="shared" si="50"/>
        <v>85</v>
      </c>
      <c r="AL348" s="23">
        <f>COUNTIF(INDEX($C348:$S348,Week+1):INDEX($C348:$S348,13),"&gt;0")</f>
        <v>7</v>
      </c>
    </row>
    <row r="349" spans="1:38" x14ac:dyDescent="0.25">
      <c r="A349" t="s">
        <v>1423</v>
      </c>
      <c r="B349" t="s">
        <v>114</v>
      </c>
      <c r="C349">
        <v>3.63</v>
      </c>
      <c r="D349">
        <v>3.24</v>
      </c>
      <c r="E349">
        <v>2.0099999999999998</v>
      </c>
      <c r="F349">
        <v>2.2599999999999998</v>
      </c>
      <c r="G349">
        <v>2.64</v>
      </c>
      <c r="H349">
        <v>1.82</v>
      </c>
      <c r="I349">
        <v>2.73</v>
      </c>
      <c r="J349">
        <v>2.41</v>
      </c>
      <c r="K349">
        <v>2.25</v>
      </c>
      <c r="L349">
        <v>2.77</v>
      </c>
      <c r="M349" t="s">
        <v>64</v>
      </c>
      <c r="N349">
        <v>2.67</v>
      </c>
      <c r="O349">
        <v>2.68</v>
      </c>
      <c r="P349">
        <v>3.01</v>
      </c>
      <c r="Q349">
        <v>2.0099999999999998</v>
      </c>
      <c r="R349">
        <v>1.8</v>
      </c>
      <c r="S349">
        <v>2.56</v>
      </c>
      <c r="T349" s="2">
        <f>IF('ROS Rankings'!$AD$1,IFERROR(AVERAGE(INDEX($C349:$S349,14):INDEX($C349:$S349,17)),0),IFERROR(AVERAGE(INDEX($C349:$S349,Week+1):INDEX($C349:$S349,13)),0))</f>
        <v>2.475714285714286</v>
      </c>
      <c r="U349" s="2" t="str">
        <f t="shared" si="52"/>
        <v/>
      </c>
      <c r="V349" s="2" t="str">
        <f t="shared" si="52"/>
        <v/>
      </c>
      <c r="W349" s="2" t="str">
        <f t="shared" si="52"/>
        <v/>
      </c>
      <c r="X349" s="2">
        <f t="shared" si="52"/>
        <v>2.475714285714286</v>
      </c>
      <c r="Y349" s="2" t="str">
        <f t="shared" si="52"/>
        <v/>
      </c>
      <c r="Z349" s="2" t="str">
        <f t="shared" si="52"/>
        <v/>
      </c>
      <c r="AA349" s="23" t="str">
        <f t="shared" si="45"/>
        <v>TE39</v>
      </c>
      <c r="AB349" s="2">
        <f>$T349-VLOOKUP($B349,Scores!$AG$1:$AM$7,5,FALSE)</f>
        <v>-4.5230357142857134</v>
      </c>
      <c r="AC349" s="2">
        <f>$T349-VLOOKUP($B349,Scores!$AG$1:$AM$7,6,FALSE)</f>
        <v>-2.774285714285714</v>
      </c>
      <c r="AD349" s="2">
        <f>$T349-VLOOKUP($B349,Scores!$AG$1:$AM$7,7,FALSE)+(ROW(A348)/1000000)</f>
        <v>-2.7039377142857139</v>
      </c>
      <c r="AE349" s="2">
        <f t="array" ref="AE349">IF('ROS Rankings'!$AD$1,IFERROR(AVERAGE(IF(INDEX($C349:$S349,14):INDEX($C349:$S349,17)="NA",0,INDEX($C349:$S349,14):INDEX($C349:$S349,17))-INDEX($AQ$2:$BG$7,MATCH($B349,$AO$2:$AO$7,0),14):INDEX($AQ$2:$BG$7,MATCH($B349,$AO$2:$AO$7,0),17)),0),IFERROR(AVERAGE(IF(INDEX($C349:$S349,Week+1):INDEX($C349:$S349,13)="NA",0,INDEX($C349:$S349,Week+1):INDEX($C349:$S349,13))-INDEX($AQ$2:$BG$7,MATCH($B349,$AO$2:$AO$7,0),Week+1):INDEX($AQ$2:$BG$7,MATCH($B349,$AO$2:$AO$7,0),13)),0))+ROW(A348)/1000000</f>
        <v>-2.9309020000000001</v>
      </c>
      <c r="AF349">
        <f t="shared" si="46"/>
        <v>215</v>
      </c>
      <c r="AG349">
        <f t="shared" si="47"/>
        <v>229</v>
      </c>
      <c r="AH349">
        <f t="shared" si="48"/>
        <v>279</v>
      </c>
      <c r="AI349">
        <f t="shared" si="49"/>
        <v>290</v>
      </c>
      <c r="AJ349" s="22">
        <f>IF(ISERROR(MATCH(A349,Rosters!$B$2:$B$155,0)),AD349,"")</f>
        <v>-2.7039377142857139</v>
      </c>
      <c r="AK349">
        <f t="shared" si="50"/>
        <v>134</v>
      </c>
      <c r="AL349" s="23">
        <f>COUNTIF(INDEX($C349:$S349,Week+1):INDEX($C349:$S349,13),"&gt;0")</f>
        <v>7</v>
      </c>
    </row>
    <row r="350" spans="1:38" x14ac:dyDescent="0.25">
      <c r="A350" t="s">
        <v>1526</v>
      </c>
      <c r="B350" t="s">
        <v>114</v>
      </c>
      <c r="C350">
        <v>0.82</v>
      </c>
      <c r="D350">
        <v>1.1399999999999999</v>
      </c>
      <c r="E350">
        <v>0</v>
      </c>
      <c r="F350">
        <v>0</v>
      </c>
      <c r="G350">
        <v>0.72</v>
      </c>
      <c r="H350" t="s">
        <v>64</v>
      </c>
      <c r="I350">
        <v>0.75</v>
      </c>
      <c r="J350">
        <v>0.74</v>
      </c>
      <c r="K350">
        <v>0.72</v>
      </c>
      <c r="L350">
        <v>0.66</v>
      </c>
      <c r="M350">
        <v>0.63</v>
      </c>
      <c r="N350">
        <v>0.69</v>
      </c>
      <c r="O350">
        <v>0.72</v>
      </c>
      <c r="P350">
        <v>0.67</v>
      </c>
      <c r="Q350">
        <v>0.76</v>
      </c>
      <c r="R350">
        <v>0.76</v>
      </c>
      <c r="S350">
        <v>0.7</v>
      </c>
      <c r="T350" s="2">
        <f>IF('ROS Rankings'!$AD$1,IFERROR(AVERAGE(INDEX($C350:$S350,14):INDEX($C350:$S350,17)),0),IFERROR(AVERAGE(INDEX($C350:$S350,Week+1):INDEX($C350:$S350,13)),0))</f>
        <v>0.70142857142857129</v>
      </c>
      <c r="U350" s="2" t="str">
        <f t="shared" si="52"/>
        <v/>
      </c>
      <c r="V350" s="2" t="str">
        <f t="shared" si="52"/>
        <v/>
      </c>
      <c r="W350" s="2" t="str">
        <f t="shared" si="52"/>
        <v/>
      </c>
      <c r="X350" s="2">
        <f t="shared" si="52"/>
        <v>0.70142857142857129</v>
      </c>
      <c r="Y350" s="2" t="str">
        <f t="shared" si="52"/>
        <v/>
      </c>
      <c r="Z350" s="2" t="str">
        <f t="shared" si="52"/>
        <v/>
      </c>
      <c r="AA350" s="23" t="str">
        <f t="shared" si="45"/>
        <v>TE70</v>
      </c>
      <c r="AB350" s="2">
        <f>$T350-VLOOKUP($B350,Scores!$AG$1:$AM$7,5,FALSE)</f>
        <v>-6.2973214285714283</v>
      </c>
      <c r="AC350" s="2">
        <f>$T350-VLOOKUP($B350,Scores!$AG$1:$AM$7,6,FALSE)</f>
        <v>-4.5485714285714289</v>
      </c>
      <c r="AD350" s="2">
        <f>$T350-VLOOKUP($B350,Scores!$AG$1:$AM$7,7,FALSE)+(ROW(A349)/1000000)</f>
        <v>-4.4782224285714287</v>
      </c>
      <c r="AE350" s="2">
        <f t="array" ref="AE350">IF('ROS Rankings'!$AD$1,IFERROR(AVERAGE(IF(INDEX($C350:$S350,14):INDEX($C350:$S350,17)="NA",0,INDEX($C350:$S350,14):INDEX($C350:$S350,17))-INDEX($AQ$2:$BG$7,MATCH($B350,$AO$2:$AO$7,0),14):INDEX($AQ$2:$BG$7,MATCH($B350,$AO$2:$AO$7,0),17)),0),IFERROR(AVERAGE(IF(INDEX($C350:$S350,Week+1):INDEX($C350:$S350,13)="NA",0,INDEX($C350:$S350,Week+1):INDEX($C350:$S350,13))-INDEX($AQ$2:$BG$7,MATCH($B350,$AO$2:$AO$7,0),Week+1):INDEX($AQ$2:$BG$7,MATCH($B350,$AO$2:$AO$7,0),13)),0))+ROW(A349)/1000000</f>
        <v>-4.4834009999999997</v>
      </c>
      <c r="AF350">
        <f t="shared" si="46"/>
        <v>292</v>
      </c>
      <c r="AG350">
        <f t="shared" si="47"/>
        <v>313</v>
      </c>
      <c r="AH350">
        <f t="shared" si="48"/>
        <v>357</v>
      </c>
      <c r="AI350">
        <f t="shared" si="49"/>
        <v>374</v>
      </c>
      <c r="AJ350" s="22">
        <f>IF(ISERROR(MATCH(A350,Rosters!$B$2:$B$155,0)),AD350,"")</f>
        <v>-4.4782224285714287</v>
      </c>
      <c r="AK350">
        <f t="shared" si="50"/>
        <v>205</v>
      </c>
      <c r="AL350" s="23">
        <f>COUNTIF(INDEX($C350:$S350,Week+1):INDEX($C350:$S350,13),"&gt;0")</f>
        <v>7</v>
      </c>
    </row>
    <row r="351" spans="1:38" x14ac:dyDescent="0.25">
      <c r="A351" t="s">
        <v>110</v>
      </c>
      <c r="B351" t="s">
        <v>87</v>
      </c>
      <c r="C351">
        <v>11.86</v>
      </c>
      <c r="D351">
        <v>12.97</v>
      </c>
      <c r="E351">
        <v>13.73</v>
      </c>
      <c r="F351">
        <v>15.1</v>
      </c>
      <c r="G351">
        <v>13.45</v>
      </c>
      <c r="H351" t="s">
        <v>64</v>
      </c>
      <c r="I351">
        <v>10.57</v>
      </c>
      <c r="J351">
        <v>12.44</v>
      </c>
      <c r="K351">
        <v>13.61</v>
      </c>
      <c r="L351">
        <v>12.94</v>
      </c>
      <c r="M351">
        <v>12.76</v>
      </c>
      <c r="N351">
        <v>14.59</v>
      </c>
      <c r="O351">
        <v>12.76</v>
      </c>
      <c r="P351">
        <v>14.79</v>
      </c>
      <c r="Q351">
        <v>13.14</v>
      </c>
      <c r="R351">
        <v>13.19</v>
      </c>
      <c r="S351">
        <v>13.63</v>
      </c>
      <c r="T351" s="2">
        <f>IF('ROS Rankings'!$AD$1,IFERROR(AVERAGE(INDEX($C351:$S351,14):INDEX($C351:$S351,17)),0),IFERROR(AVERAGE(INDEX($C351:$S351,Week+1):INDEX($C351:$S351,13)),0))</f>
        <v>12.81</v>
      </c>
      <c r="U351" s="2" t="str">
        <f t="shared" si="52"/>
        <v/>
      </c>
      <c r="V351" s="2" t="str">
        <f t="shared" si="52"/>
        <v/>
      </c>
      <c r="W351" s="2">
        <f t="shared" si="52"/>
        <v>12.81</v>
      </c>
      <c r="X351" s="2" t="str">
        <f t="shared" si="52"/>
        <v/>
      </c>
      <c r="Y351" s="2" t="str">
        <f t="shared" si="52"/>
        <v/>
      </c>
      <c r="Z351" s="2" t="str">
        <f t="shared" si="52"/>
        <v/>
      </c>
      <c r="AA351" s="23" t="str">
        <f t="shared" si="45"/>
        <v>WR6</v>
      </c>
      <c r="AB351" s="2">
        <f>$T351-VLOOKUP($B351,Scores!$AG$1:$AM$7,5,FALSE)</f>
        <v>2.4385714285714304</v>
      </c>
      <c r="AC351" s="2">
        <f>$T351-VLOOKUP($B351,Scores!$AG$1:$AM$7,6,FALSE)</f>
        <v>4.7785714285714285</v>
      </c>
      <c r="AD351" s="2">
        <f>$T351-VLOOKUP($B351,Scores!$AG$1:$AM$7,7,FALSE)+(ROW(A350)/1000000)</f>
        <v>6.7574928571428581</v>
      </c>
      <c r="AE351" s="2">
        <f t="array" ref="AE351">IF('ROS Rankings'!$AD$1,IFERROR(AVERAGE(IF(INDEX($C351:$S351,14):INDEX($C351:$S351,17)="NA",0,INDEX($C351:$S351,14):INDEX($C351:$S351,17))-INDEX($AQ$2:$BG$7,MATCH($B351,$AO$2:$AO$7,0),14):INDEX($AQ$2:$BG$7,MATCH($B351,$AO$2:$AO$7,0),17)),0),IFERROR(AVERAGE(IF(INDEX($C351:$S351,Week+1):INDEX($C351:$S351,13)="NA",0,INDEX($C351:$S351,Week+1):INDEX($C351:$S351,13))-INDEX($AQ$2:$BG$7,MATCH($B351,$AO$2:$AO$7,0),Week+1):INDEX($AQ$2:$BG$7,MATCH($B351,$AO$2:$AO$7,0),13)),0))+ROW(A350)/1000000</f>
        <v>5.8528500000000001</v>
      </c>
      <c r="AF351">
        <f t="shared" si="46"/>
        <v>13</v>
      </c>
      <c r="AG351">
        <f t="shared" si="47"/>
        <v>17</v>
      </c>
      <c r="AH351">
        <f t="shared" si="48"/>
        <v>17</v>
      </c>
      <c r="AI351">
        <f t="shared" si="49"/>
        <v>16</v>
      </c>
      <c r="AJ351" s="22" t="str">
        <f>IF(ISERROR(MATCH(A351,Rosters!$B$2:$B$155,0)),AD351,"")</f>
        <v/>
      </c>
      <c r="AK351" t="str">
        <f t="shared" si="50"/>
        <v/>
      </c>
      <c r="AL351" s="23">
        <f>COUNTIF(INDEX($C351:$S351,Week+1):INDEX($C351:$S351,13),"&gt;0")</f>
        <v>7</v>
      </c>
    </row>
    <row r="352" spans="1:38" x14ac:dyDescent="0.25">
      <c r="A352" t="s">
        <v>4690</v>
      </c>
      <c r="B352" t="s">
        <v>47</v>
      </c>
      <c r="C352" t="s">
        <v>64</v>
      </c>
      <c r="D352" t="s">
        <v>64</v>
      </c>
      <c r="E352" t="s">
        <v>64</v>
      </c>
      <c r="F352">
        <v>0.6</v>
      </c>
      <c r="G352">
        <v>0.43</v>
      </c>
      <c r="H352">
        <v>0.66</v>
      </c>
      <c r="I352">
        <v>0.56999999999999995</v>
      </c>
      <c r="J352">
        <v>0.82</v>
      </c>
      <c r="K352">
        <v>0.76</v>
      </c>
      <c r="L352" t="s">
        <v>64</v>
      </c>
      <c r="M352">
        <v>0.47</v>
      </c>
      <c r="N352">
        <v>0.89</v>
      </c>
      <c r="O352">
        <v>0.8</v>
      </c>
      <c r="P352">
        <v>0.44</v>
      </c>
      <c r="Q352">
        <v>0.81</v>
      </c>
      <c r="R352">
        <v>0.69</v>
      </c>
      <c r="S352">
        <v>0.51</v>
      </c>
      <c r="T352" s="2">
        <f>IF('ROS Rankings'!$AD$1,IFERROR(AVERAGE(INDEX($C352:$S352,14):INDEX($C352:$S352,17)),0),IFERROR(AVERAGE(INDEX($C352:$S352,Week+1):INDEX($C352:$S352,13)),0))</f>
        <v>0.70999999999999985</v>
      </c>
      <c r="U352" s="2" t="str">
        <f t="shared" si="52"/>
        <v/>
      </c>
      <c r="V352" s="2">
        <f t="shared" si="52"/>
        <v>0.70999999999999985</v>
      </c>
      <c r="W352" s="2" t="str">
        <f t="shared" si="52"/>
        <v/>
      </c>
      <c r="X352" s="2" t="str">
        <f t="shared" si="52"/>
        <v/>
      </c>
      <c r="Y352" s="2" t="str">
        <f t="shared" si="52"/>
        <v/>
      </c>
      <c r="Z352" s="2" t="str">
        <f t="shared" si="52"/>
        <v/>
      </c>
      <c r="AA352" s="23" t="str">
        <f t="shared" si="45"/>
        <v>RB94</v>
      </c>
      <c r="AB352" s="2">
        <f>$T352-VLOOKUP($B352,Scores!$AG$1:$AM$7,5,FALSE)</f>
        <v>-11.04857142857143</v>
      </c>
      <c r="AC352" s="2">
        <f>$T352-VLOOKUP($B352,Scores!$AG$1:$AM$7,6,FALSE)</f>
        <v>-7.5600000000000014</v>
      </c>
      <c r="AD352" s="2">
        <f>$T352-VLOOKUP($B352,Scores!$AG$1:$AM$7,7,FALSE)+(ROW(A351)/1000000)</f>
        <v>-5.158220428571429</v>
      </c>
      <c r="AE352" s="2">
        <f t="array" ref="AE352">IF('ROS Rankings'!$AD$1,IFERROR(AVERAGE(IF(INDEX($C352:$S352,14):INDEX($C352:$S352,17)="NA",0,INDEX($C352:$S352,14):INDEX($C352:$S352,17))-INDEX($AQ$2:$BG$7,MATCH($B352,$AO$2:$AO$7,0),14):INDEX($AQ$2:$BG$7,MATCH($B352,$AO$2:$AO$7,0),17)),0),IFERROR(AVERAGE(IF(INDEX($C352:$S352,Week+1):INDEX($C352:$S352,13)="NA",0,INDEX($C352:$S352,Week+1):INDEX($C352:$S352,13))-INDEX($AQ$2:$BG$7,MATCH($B352,$AO$2:$AO$7,0),Week+1):INDEX($AQ$2:$BG$7,MATCH($B352,$AO$2:$AO$7,0),13)),0))+ROW(A351)/1000000</f>
        <v>-4.7383989999999994</v>
      </c>
      <c r="AF352">
        <f t="shared" si="46"/>
        <v>482</v>
      </c>
      <c r="AG352">
        <f t="shared" si="47"/>
        <v>466</v>
      </c>
      <c r="AH352">
        <f t="shared" si="48"/>
        <v>414</v>
      </c>
      <c r="AI352">
        <f t="shared" si="49"/>
        <v>419</v>
      </c>
      <c r="AJ352" s="22">
        <f>IF(ISERROR(MATCH(A352,Rosters!$B$2:$B$155,0)),AD352,"")</f>
        <v>-5.158220428571429</v>
      </c>
      <c r="AK352">
        <f t="shared" si="50"/>
        <v>262</v>
      </c>
      <c r="AL352" s="23">
        <f>COUNTIF(INDEX($C352:$S352,Week+1):INDEX($C352:$S352,13),"&gt;0")</f>
        <v>7</v>
      </c>
    </row>
    <row r="353" spans="1:38" x14ac:dyDescent="0.25">
      <c r="A353" t="s">
        <v>1148</v>
      </c>
      <c r="B353" t="s">
        <v>47</v>
      </c>
      <c r="C353">
        <v>0</v>
      </c>
      <c r="D353">
        <v>0.31</v>
      </c>
      <c r="E353">
        <v>2.09</v>
      </c>
      <c r="F353">
        <v>0.91</v>
      </c>
      <c r="G353">
        <v>6.83</v>
      </c>
      <c r="H353">
        <v>6.01</v>
      </c>
      <c r="I353" t="s">
        <v>64</v>
      </c>
      <c r="J353">
        <v>5.64</v>
      </c>
      <c r="K353">
        <v>4.88</v>
      </c>
      <c r="L353">
        <v>5.65</v>
      </c>
      <c r="M353">
        <v>5.88</v>
      </c>
      <c r="N353">
        <v>3.92</v>
      </c>
      <c r="O353">
        <v>5.2</v>
      </c>
      <c r="P353">
        <v>4.04</v>
      </c>
      <c r="Q353">
        <v>4.8099999999999996</v>
      </c>
      <c r="R353">
        <v>6.79</v>
      </c>
      <c r="S353">
        <v>4.17</v>
      </c>
      <c r="T353" s="2">
        <f>IF('ROS Rankings'!$AD$1,IFERROR(AVERAGE(INDEX($C353:$S353,14):INDEX($C353:$S353,17)),0),IFERROR(AVERAGE(INDEX($C353:$S353,Week+1):INDEX($C353:$S353,13)),0))</f>
        <v>5.3114285714285714</v>
      </c>
      <c r="U353" s="2" t="str">
        <f t="shared" si="52"/>
        <v/>
      </c>
      <c r="V353" s="2">
        <f t="shared" si="52"/>
        <v>5.3114285714285714</v>
      </c>
      <c r="W353" s="2" t="str">
        <f t="shared" si="52"/>
        <v/>
      </c>
      <c r="X353" s="2" t="str">
        <f t="shared" si="52"/>
        <v/>
      </c>
      <c r="Y353" s="2" t="str">
        <f t="shared" si="52"/>
        <v/>
      </c>
      <c r="Z353" s="2" t="str">
        <f t="shared" si="52"/>
        <v/>
      </c>
      <c r="AA353" s="23" t="str">
        <f t="shared" si="45"/>
        <v>RB54</v>
      </c>
      <c r="AB353" s="2">
        <f>$T353-VLOOKUP($B353,Scores!$AG$1:$AM$7,5,FALSE)</f>
        <v>-6.4471428571428575</v>
      </c>
      <c r="AC353" s="2">
        <f>$T353-VLOOKUP($B353,Scores!$AG$1:$AM$7,6,FALSE)</f>
        <v>-2.95857142857143</v>
      </c>
      <c r="AD353" s="2">
        <f>$T353-VLOOKUP($B353,Scores!$AG$1:$AM$7,7,FALSE)+(ROW(A352)/1000000)</f>
        <v>-0.55679085714285781</v>
      </c>
      <c r="AE353" s="2">
        <f t="array" ref="AE353">IF('ROS Rankings'!$AD$1,IFERROR(AVERAGE(IF(INDEX($C353:$S353,14):INDEX($C353:$S353,17)="NA",0,INDEX($C353:$S353,14):INDEX($C353:$S353,17))-INDEX($AQ$2:$BG$7,MATCH($B353,$AO$2:$AO$7,0),14):INDEX($AQ$2:$BG$7,MATCH($B353,$AO$2:$AO$7,0),17)),0),IFERROR(AVERAGE(IF(INDEX($C353:$S353,Week+1):INDEX($C353:$S353,13)="NA",0,INDEX($C353:$S353,Week+1):INDEX($C353:$S353,13))-INDEX($AQ$2:$BG$7,MATCH($B353,$AO$2:$AO$7,0),Week+1):INDEX($AQ$2:$BG$7,MATCH($B353,$AO$2:$AO$7,0),13)),0))+ROW(A352)/1000000</f>
        <v>-0.71214799999999989</v>
      </c>
      <c r="AF353">
        <f t="shared" si="46"/>
        <v>305</v>
      </c>
      <c r="AG353">
        <f t="shared" si="47"/>
        <v>238</v>
      </c>
      <c r="AH353">
        <f t="shared" si="48"/>
        <v>176</v>
      </c>
      <c r="AI353">
        <f t="shared" si="49"/>
        <v>155</v>
      </c>
      <c r="AJ353" s="22">
        <f>IF(ISERROR(MATCH(A353,Rosters!$B$2:$B$155,0)),AD353,"")</f>
        <v>-0.55679085714285781</v>
      </c>
      <c r="AK353">
        <f t="shared" si="50"/>
        <v>44</v>
      </c>
      <c r="AL353" s="23">
        <f>COUNTIF(INDEX($C353:$S353,Week+1):INDEX($C353:$S353,13),"&gt;0")</f>
        <v>7</v>
      </c>
    </row>
    <row r="354" spans="1:38" x14ac:dyDescent="0.25">
      <c r="A354" t="s">
        <v>100</v>
      </c>
      <c r="B354" t="s">
        <v>87</v>
      </c>
      <c r="C354">
        <v>12.34</v>
      </c>
      <c r="D354">
        <v>10.67</v>
      </c>
      <c r="E354">
        <v>13.54</v>
      </c>
      <c r="F354">
        <v>11.57</v>
      </c>
      <c r="G354" t="s">
        <v>64</v>
      </c>
      <c r="H354">
        <v>11.59</v>
      </c>
      <c r="I354">
        <v>11.57</v>
      </c>
      <c r="J354">
        <v>9.77</v>
      </c>
      <c r="K354">
        <v>10.59</v>
      </c>
      <c r="L354">
        <v>11.2</v>
      </c>
      <c r="M354">
        <v>10.18</v>
      </c>
      <c r="N354">
        <v>12.85</v>
      </c>
      <c r="O354">
        <v>10.94</v>
      </c>
      <c r="P354">
        <v>12.44</v>
      </c>
      <c r="Q354">
        <v>11.88</v>
      </c>
      <c r="R354">
        <v>12.49</v>
      </c>
      <c r="S354">
        <v>11.95</v>
      </c>
      <c r="T354" s="2">
        <f>IF('ROS Rankings'!$AD$1,IFERROR(AVERAGE(INDEX($C354:$S354,14):INDEX($C354:$S354,17)),0),IFERROR(AVERAGE(INDEX($C354:$S354,Week+1):INDEX($C354:$S354,13)),0))</f>
        <v>11.08625</v>
      </c>
      <c r="U354" s="2" t="str">
        <f t="shared" si="52"/>
        <v/>
      </c>
      <c r="V354" s="2" t="str">
        <f t="shared" si="52"/>
        <v/>
      </c>
      <c r="W354" s="2">
        <f t="shared" si="52"/>
        <v>11.08625</v>
      </c>
      <c r="X354" s="2" t="str">
        <f t="shared" si="52"/>
        <v/>
      </c>
      <c r="Y354" s="2" t="str">
        <f t="shared" si="52"/>
        <v/>
      </c>
      <c r="Z354" s="2" t="str">
        <f t="shared" si="52"/>
        <v/>
      </c>
      <c r="AA354" s="23" t="str">
        <f t="shared" si="45"/>
        <v>WR12</v>
      </c>
      <c r="AB354" s="2">
        <f>$T354-VLOOKUP($B354,Scores!$AG$1:$AM$7,5,FALSE)</f>
        <v>0.71482142857142961</v>
      </c>
      <c r="AC354" s="2">
        <f>$T354-VLOOKUP($B354,Scores!$AG$1:$AM$7,6,FALSE)</f>
        <v>3.0548214285714277</v>
      </c>
      <c r="AD354" s="2">
        <f>$T354-VLOOKUP($B354,Scores!$AG$1:$AM$7,7,FALSE)+(ROW(A353)/1000000)</f>
        <v>5.0337458571428568</v>
      </c>
      <c r="AE354" s="2">
        <f t="array" ref="AE354">IF('ROS Rankings'!$AD$1,IFERROR(AVERAGE(IF(INDEX($C354:$S354,14):INDEX($C354:$S354,17)="NA",0,INDEX($C354:$S354,14):INDEX($C354:$S354,17))-INDEX($AQ$2:$BG$7,MATCH($B354,$AO$2:$AO$7,0),14):INDEX($AQ$2:$BG$7,MATCH($B354,$AO$2:$AO$7,0),17)),0),IFERROR(AVERAGE(IF(INDEX($C354:$S354,Week+1):INDEX($C354:$S354,13)="NA",0,INDEX($C354:$S354,Week+1):INDEX($C354:$S354,13))-INDEX($AQ$2:$BG$7,MATCH($B354,$AO$2:$AO$7,0),Week+1):INDEX($AQ$2:$BG$7,MATCH($B354,$AO$2:$AO$7,0),13)),0))+ROW(A353)/1000000</f>
        <v>5.7303529999999991</v>
      </c>
      <c r="AF354">
        <f t="shared" si="46"/>
        <v>30</v>
      </c>
      <c r="AG354">
        <f t="shared" si="47"/>
        <v>28</v>
      </c>
      <c r="AH354">
        <f t="shared" si="48"/>
        <v>25</v>
      </c>
      <c r="AI354">
        <f t="shared" si="49"/>
        <v>18</v>
      </c>
      <c r="AJ354" s="22" t="str">
        <f>IF(ISERROR(MATCH(A354,Rosters!$B$2:$B$155,0)),AD354,"")</f>
        <v/>
      </c>
      <c r="AK354" t="str">
        <f t="shared" si="50"/>
        <v/>
      </c>
      <c r="AL354" s="23">
        <f>COUNTIF(INDEX($C354:$S354,Week+1):INDEX($C354:$S354,13),"&gt;0")</f>
        <v>8</v>
      </c>
    </row>
    <row r="355" spans="1:38" x14ac:dyDescent="0.25">
      <c r="A355" t="s">
        <v>144</v>
      </c>
      <c r="B355" t="s">
        <v>47</v>
      </c>
      <c r="C355">
        <v>2.99</v>
      </c>
      <c r="D355">
        <v>2.7</v>
      </c>
      <c r="E355">
        <v>6.54</v>
      </c>
      <c r="F355">
        <v>4.8</v>
      </c>
      <c r="G355">
        <v>1.26</v>
      </c>
      <c r="H355" t="s">
        <v>64</v>
      </c>
      <c r="I355">
        <v>0.59</v>
      </c>
      <c r="J355">
        <v>1.05</v>
      </c>
      <c r="K355">
        <v>1.28</v>
      </c>
      <c r="L355">
        <v>1.18</v>
      </c>
      <c r="M355">
        <v>0.81</v>
      </c>
      <c r="N355">
        <v>1.49</v>
      </c>
      <c r="O355">
        <v>1.44</v>
      </c>
      <c r="P355">
        <v>1.56</v>
      </c>
      <c r="Q355">
        <v>0.94</v>
      </c>
      <c r="R355">
        <v>1.23</v>
      </c>
      <c r="S355">
        <v>1.01</v>
      </c>
      <c r="T355" s="2">
        <f>IF('ROS Rankings'!$AD$1,IFERROR(AVERAGE(INDEX($C355:$S355,14):INDEX($C355:$S355,17)),0),IFERROR(AVERAGE(INDEX($C355:$S355,Week+1):INDEX($C355:$S355,13)),0))</f>
        <v>1.1199999999999999</v>
      </c>
      <c r="U355" s="2" t="str">
        <f t="shared" si="52"/>
        <v/>
      </c>
      <c r="V355" s="2">
        <f t="shared" si="52"/>
        <v>1.1199999999999999</v>
      </c>
      <c r="W355" s="2" t="str">
        <f t="shared" si="52"/>
        <v/>
      </c>
      <c r="X355" s="2" t="str">
        <f t="shared" si="52"/>
        <v/>
      </c>
      <c r="Y355" s="2" t="str">
        <f t="shared" si="52"/>
        <v/>
      </c>
      <c r="Z355" s="2" t="str">
        <f t="shared" si="52"/>
        <v/>
      </c>
      <c r="AA355" s="23" t="str">
        <f t="shared" si="45"/>
        <v>RB87</v>
      </c>
      <c r="AB355" s="2">
        <f>$T355-VLOOKUP($B355,Scores!$AG$1:$AM$7,5,FALSE)</f>
        <v>-10.63857142857143</v>
      </c>
      <c r="AC355" s="2">
        <f>$T355-VLOOKUP($B355,Scores!$AG$1:$AM$7,6,FALSE)</f>
        <v>-7.1500000000000012</v>
      </c>
      <c r="AD355" s="2">
        <f>$T355-VLOOKUP($B355,Scores!$AG$1:$AM$7,7,FALSE)+(ROW(A354)/1000000)</f>
        <v>-4.7482174285714294</v>
      </c>
      <c r="AE355" s="2">
        <f t="array" ref="AE355">IF('ROS Rankings'!$AD$1,IFERROR(AVERAGE(IF(INDEX($C355:$S355,14):INDEX($C355:$S355,17)="NA",0,INDEX($C355:$S355,14):INDEX($C355:$S355,17))-INDEX($AQ$2:$BG$7,MATCH($B355,$AO$2:$AO$7,0),14):INDEX($AQ$2:$BG$7,MATCH($B355,$AO$2:$AO$7,0),17)),0),IFERROR(AVERAGE(IF(INDEX($C355:$S355,Week+1):INDEX($C355:$S355,13)="NA",0,INDEX($C355:$S355,Week+1):INDEX($C355:$S355,13))-INDEX($AQ$2:$BG$7,MATCH($B355,$AO$2:$AO$7,0),Week+1):INDEX($AQ$2:$BG$7,MATCH($B355,$AO$2:$AO$7,0),13)),0))+ROW(A354)/1000000</f>
        <v>-4.3796460000000002</v>
      </c>
      <c r="AF355">
        <f t="shared" si="46"/>
        <v>475</v>
      </c>
      <c r="AG355">
        <f t="shared" si="47"/>
        <v>412</v>
      </c>
      <c r="AH355">
        <f t="shared" si="48"/>
        <v>388</v>
      </c>
      <c r="AI355">
        <f t="shared" si="49"/>
        <v>365</v>
      </c>
      <c r="AJ355" s="22">
        <f>IF(ISERROR(MATCH(A355,Rosters!$B$2:$B$155,0)),AD355,"")</f>
        <v>-4.7482174285714294</v>
      </c>
      <c r="AK355">
        <f t="shared" si="50"/>
        <v>236</v>
      </c>
      <c r="AL355" s="23">
        <f>COUNTIF(INDEX($C355:$S355,Week+1):INDEX($C355:$S355,13),"&gt;0")</f>
        <v>7</v>
      </c>
    </row>
    <row r="356" spans="1:38" x14ac:dyDescent="0.25">
      <c r="A356" t="s">
        <v>84</v>
      </c>
      <c r="B356" t="s">
        <v>15</v>
      </c>
      <c r="C356">
        <v>0</v>
      </c>
      <c r="D356">
        <v>0</v>
      </c>
      <c r="E356">
        <v>0</v>
      </c>
      <c r="F356">
        <v>0.8</v>
      </c>
      <c r="G356">
        <v>1.1100000000000001</v>
      </c>
      <c r="H356">
        <v>0.93</v>
      </c>
      <c r="I356">
        <v>0.99</v>
      </c>
      <c r="J356">
        <v>1.17</v>
      </c>
      <c r="K356" t="s">
        <v>64</v>
      </c>
      <c r="L356">
        <v>1.1399999999999999</v>
      </c>
      <c r="M356">
        <v>1.26</v>
      </c>
      <c r="N356">
        <v>1.04</v>
      </c>
      <c r="O356">
        <v>1.1599999999999999</v>
      </c>
      <c r="P356">
        <v>1.23</v>
      </c>
      <c r="Q356">
        <v>1.1200000000000001</v>
      </c>
      <c r="R356">
        <v>0.93</v>
      </c>
      <c r="S356">
        <v>0.94</v>
      </c>
      <c r="T356" s="2">
        <f>IF('ROS Rankings'!$AD$1,IFERROR(AVERAGE(INDEX($C356:$S356,14):INDEX($C356:$S356,17)),0),IFERROR(AVERAGE(INDEX($C356:$S356,Week+1):INDEX($C356:$S356,13)),0))</f>
        <v>1.0985714285714285</v>
      </c>
      <c r="U356" s="2">
        <f t="shared" si="52"/>
        <v>1.0985714285714285</v>
      </c>
      <c r="V356" s="2" t="str">
        <f t="shared" si="52"/>
        <v/>
      </c>
      <c r="W356" s="2" t="str">
        <f t="shared" si="52"/>
        <v/>
      </c>
      <c r="X356" s="2" t="str">
        <f t="shared" si="52"/>
        <v/>
      </c>
      <c r="Y356" s="2" t="str">
        <f t="shared" si="52"/>
        <v/>
      </c>
      <c r="Z356" s="2" t="str">
        <f t="shared" si="52"/>
        <v/>
      </c>
      <c r="AA356" s="23" t="str">
        <f t="shared" si="45"/>
        <v>QB37</v>
      </c>
      <c r="AB356" s="2">
        <f>$T356-VLOOKUP($B356,Scores!$AG$1:$AM$7,5,FALSE)</f>
        <v>-19.785714285714285</v>
      </c>
      <c r="AC356" s="2">
        <f>$T356-VLOOKUP($B356,Scores!$AG$1:$AM$7,6,FALSE)</f>
        <v>-18.80517857142857</v>
      </c>
      <c r="AD356" s="2">
        <f>$T356-VLOOKUP($B356,Scores!$AG$1:$AM$7,7,FALSE)+(ROW(A355)/1000000)</f>
        <v>-18.401073571428569</v>
      </c>
      <c r="AE356" s="2">
        <f t="array" ref="AE356">IF('ROS Rankings'!$AD$1,IFERROR(AVERAGE(IF(INDEX($C356:$S356,14):INDEX($C356:$S356,17)="NA",0,INDEX($C356:$S356,14):INDEX($C356:$S356,17))-INDEX($AQ$2:$BG$7,MATCH($B356,$AO$2:$AO$7,0),14):INDEX($AQ$2:$BG$7,MATCH($B356,$AO$2:$AO$7,0),17)),0),IFERROR(AVERAGE(IF(INDEX($C356:$S356,Week+1):INDEX($C356:$S356,13)="NA",0,INDEX($C356:$S356,Week+1):INDEX($C356:$S356,13))-INDEX($AQ$2:$BG$7,MATCH($B356,$AO$2:$AO$7,0),Week+1):INDEX($AQ$2:$BG$7,MATCH($B356,$AO$2:$AO$7,0),13)),0))+ROW(A355)/1000000</f>
        <v>-17.540894999999999</v>
      </c>
      <c r="AF356">
        <f t="shared" si="46"/>
        <v>528</v>
      </c>
      <c r="AG356">
        <f t="shared" si="47"/>
        <v>528</v>
      </c>
      <c r="AH356">
        <f t="shared" si="48"/>
        <v>528</v>
      </c>
      <c r="AI356">
        <f t="shared" si="49"/>
        <v>528</v>
      </c>
      <c r="AJ356" s="22">
        <f>IF(ISERROR(MATCH(A356,Rosters!$B$2:$B$155,0)),AD356,"")</f>
        <v>-18.401073571428569</v>
      </c>
      <c r="AK356">
        <f t="shared" si="50"/>
        <v>375</v>
      </c>
      <c r="AL356" s="23">
        <f>COUNTIF(INDEX($C356:$S356,Week+1):INDEX($C356:$S356,13),"&gt;0")</f>
        <v>7</v>
      </c>
    </row>
    <row r="357" spans="1:38" x14ac:dyDescent="0.25">
      <c r="A357" t="s">
        <v>1112</v>
      </c>
      <c r="B357" t="s">
        <v>87</v>
      </c>
      <c r="C357">
        <v>0.57999999999999996</v>
      </c>
      <c r="D357">
        <v>0</v>
      </c>
      <c r="E357">
        <v>0</v>
      </c>
      <c r="F357">
        <v>0</v>
      </c>
      <c r="G357">
        <v>0</v>
      </c>
      <c r="H357">
        <v>0</v>
      </c>
      <c r="I357">
        <v>0</v>
      </c>
      <c r="J357">
        <v>0</v>
      </c>
      <c r="K357">
        <v>0</v>
      </c>
      <c r="L357">
        <v>0</v>
      </c>
      <c r="M357">
        <v>0</v>
      </c>
      <c r="N357" t="s">
        <v>64</v>
      </c>
      <c r="O357">
        <v>0</v>
      </c>
      <c r="P357">
        <v>0</v>
      </c>
      <c r="Q357">
        <v>0</v>
      </c>
      <c r="R357">
        <v>0</v>
      </c>
      <c r="S357">
        <v>0.73</v>
      </c>
      <c r="T357" s="2">
        <f>IF('ROS Rankings'!$AD$1,IFERROR(AVERAGE(INDEX($C357:$S357,14):INDEX($C357:$S357,17)),0),IFERROR(AVERAGE(INDEX($C357:$S357,Week+1):INDEX($C357:$S357,13)),0))</f>
        <v>0</v>
      </c>
      <c r="U357" s="2" t="str">
        <f t="shared" si="52"/>
        <v/>
      </c>
      <c r="V357" s="2" t="str">
        <f t="shared" si="52"/>
        <v/>
      </c>
      <c r="W357" s="2">
        <f t="shared" si="52"/>
        <v>0</v>
      </c>
      <c r="X357" s="2" t="str">
        <f t="shared" si="52"/>
        <v/>
      </c>
      <c r="Y357" s="2" t="str">
        <f t="shared" si="52"/>
        <v/>
      </c>
      <c r="Z357" s="2" t="str">
        <f t="shared" si="52"/>
        <v/>
      </c>
      <c r="AA357" s="23" t="str">
        <f t="shared" si="45"/>
        <v>WR182</v>
      </c>
      <c r="AB357" s="2">
        <f>$T357-VLOOKUP($B357,Scores!$AG$1:$AM$7,5,FALSE)</f>
        <v>-10.37142857142857</v>
      </c>
      <c r="AC357" s="2">
        <f>$T357-VLOOKUP($B357,Scores!$AG$1:$AM$7,6,FALSE)</f>
        <v>-8.031428571428572</v>
      </c>
      <c r="AD357" s="2">
        <f>$T357-VLOOKUP($B357,Scores!$AG$1:$AM$7,7,FALSE)+(ROW(A356)/1000000)</f>
        <v>-6.0525011428571425</v>
      </c>
      <c r="AE357" s="2">
        <f t="array" ref="AE357">IF('ROS Rankings'!$AD$1,IFERROR(AVERAGE(IF(INDEX($C357:$S357,14):INDEX($C357:$S357,17)="NA",0,INDEX($C357:$S357,14):INDEX($C357:$S357,17))-INDEX($AQ$2:$BG$7,MATCH($B357,$AO$2:$AO$7,0),14):INDEX($AQ$2:$BG$7,MATCH($B357,$AO$2:$AO$7,0),17)),0),IFERROR(AVERAGE(IF(INDEX($C357:$S357,Week+1):INDEX($C357:$S357,13)="NA",0,INDEX($C357:$S357,Week+1):INDEX($C357:$S357,13))-INDEX($AQ$2:$BG$7,MATCH($B357,$AO$2:$AO$7,0),Week+1):INDEX($AQ$2:$BG$7,MATCH($B357,$AO$2:$AO$7,0),13)),0))+ROW(A356)/1000000</f>
        <v>-5.355894000000001</v>
      </c>
      <c r="AF357">
        <f t="shared" si="46"/>
        <v>466</v>
      </c>
      <c r="AG357">
        <f t="shared" si="47"/>
        <v>514</v>
      </c>
      <c r="AH357">
        <f t="shared" si="48"/>
        <v>517</v>
      </c>
      <c r="AI357">
        <f t="shared" si="49"/>
        <v>509</v>
      </c>
      <c r="AJ357" s="22">
        <f>IF(ISERROR(MATCH(A357,Rosters!$B$2:$B$155,0)),AD357,"")</f>
        <v>-6.0525011428571425</v>
      </c>
      <c r="AK357">
        <f t="shared" si="50"/>
        <v>365</v>
      </c>
      <c r="AL357" s="23">
        <f>COUNTIF(INDEX($C357:$S357,Week+1):INDEX($C357:$S357,13),"&gt;0")</f>
        <v>0</v>
      </c>
    </row>
    <row r="358" spans="1:38" x14ac:dyDescent="0.25">
      <c r="A358" t="s">
        <v>226</v>
      </c>
      <c r="B358" t="s">
        <v>87</v>
      </c>
      <c r="C358">
        <v>5.0599999999999996</v>
      </c>
      <c r="D358">
        <v>4.87</v>
      </c>
      <c r="E358">
        <v>4.17</v>
      </c>
      <c r="F358">
        <v>5.42</v>
      </c>
      <c r="G358">
        <v>4.91</v>
      </c>
      <c r="H358">
        <v>4.68</v>
      </c>
      <c r="I358">
        <v>4.12</v>
      </c>
      <c r="J358" t="s">
        <v>64</v>
      </c>
      <c r="K358">
        <v>4.8499999999999996</v>
      </c>
      <c r="L358">
        <v>4.74</v>
      </c>
      <c r="M358">
        <v>5.42</v>
      </c>
      <c r="N358">
        <v>5.21</v>
      </c>
      <c r="O358">
        <v>4.7</v>
      </c>
      <c r="P358">
        <v>4.8</v>
      </c>
      <c r="Q358">
        <v>5.03</v>
      </c>
      <c r="R358">
        <v>4.57</v>
      </c>
      <c r="S358">
        <v>5.21</v>
      </c>
      <c r="T358" s="2">
        <f>IF('ROS Rankings'!$AD$1,IFERROR(AVERAGE(INDEX($C358:$S358,14):INDEX($C358:$S358,17)),0),IFERROR(AVERAGE(INDEX($C358:$S358,Week+1):INDEX($C358:$S358,13)),0))</f>
        <v>4.8171428571428576</v>
      </c>
      <c r="U358" s="2" t="str">
        <f t="shared" si="52"/>
        <v/>
      </c>
      <c r="V358" s="2" t="str">
        <f t="shared" si="52"/>
        <v/>
      </c>
      <c r="W358" s="2">
        <f t="shared" si="52"/>
        <v>4.8171428571428576</v>
      </c>
      <c r="X358" s="2" t="str">
        <f t="shared" si="52"/>
        <v/>
      </c>
      <c r="Y358" s="2" t="str">
        <f t="shared" si="52"/>
        <v/>
      </c>
      <c r="Z358" s="2" t="str">
        <f t="shared" si="52"/>
        <v/>
      </c>
      <c r="AA358" s="23" t="str">
        <f t="shared" si="45"/>
        <v>WR65</v>
      </c>
      <c r="AB358" s="2">
        <f>$T358-VLOOKUP($B358,Scores!$AG$1:$AM$7,5,FALSE)</f>
        <v>-5.5542857142857125</v>
      </c>
      <c r="AC358" s="2">
        <f>$T358-VLOOKUP($B358,Scores!$AG$1:$AM$7,6,FALSE)</f>
        <v>-3.2142857142857144</v>
      </c>
      <c r="AD358" s="2">
        <f>$T358-VLOOKUP($B358,Scores!$AG$1:$AM$7,7,FALSE)+(ROW(A357)/1000000)</f>
        <v>-1.2353572857142849</v>
      </c>
      <c r="AE358" s="2">
        <f t="array" ref="AE358">IF('ROS Rankings'!$AD$1,IFERROR(AVERAGE(IF(INDEX($C358:$S358,14):INDEX($C358:$S358,17)="NA",0,INDEX($C358:$S358,14):INDEX($C358:$S358,17))-INDEX($AQ$2:$BG$7,MATCH($B358,$AO$2:$AO$7,0),14):INDEX($AQ$2:$BG$7,MATCH($B358,$AO$2:$AO$7,0),17)),0),IFERROR(AVERAGE(IF(INDEX($C358:$S358,Week+1):INDEX($C358:$S358,13)="NA",0,INDEX($C358:$S358,Week+1):INDEX($C358:$S358,13))-INDEX($AQ$2:$BG$7,MATCH($B358,$AO$2:$AO$7,0),Week+1):INDEX($AQ$2:$BG$7,MATCH($B358,$AO$2:$AO$7,0),13)),0))+ROW(A357)/1000000</f>
        <v>-1.1408930000000002</v>
      </c>
      <c r="AF358">
        <f t="shared" si="46"/>
        <v>264</v>
      </c>
      <c r="AG358">
        <f t="shared" si="47"/>
        <v>256</v>
      </c>
      <c r="AH358">
        <f t="shared" si="48"/>
        <v>210</v>
      </c>
      <c r="AI358">
        <f t="shared" si="49"/>
        <v>179</v>
      </c>
      <c r="AJ358" s="22" t="str">
        <f>IF(ISERROR(MATCH(A358,Rosters!$B$2:$B$155,0)),AD358,"")</f>
        <v/>
      </c>
      <c r="AK358" t="str">
        <f t="shared" si="50"/>
        <v/>
      </c>
      <c r="AL358" s="23">
        <f>COUNTIF(INDEX($C358:$S358,Week+1):INDEX($C358:$S358,13),"&gt;0")</f>
        <v>7</v>
      </c>
    </row>
    <row r="359" spans="1:38" x14ac:dyDescent="0.25">
      <c r="A359" t="s">
        <v>291</v>
      </c>
      <c r="B359" t="s">
        <v>15</v>
      </c>
      <c r="C359">
        <v>15.84</v>
      </c>
      <c r="D359">
        <v>12.96</v>
      </c>
      <c r="E359">
        <v>11.57</v>
      </c>
      <c r="F359">
        <v>15.87</v>
      </c>
      <c r="G359" t="s">
        <v>64</v>
      </c>
      <c r="H359">
        <v>16</v>
      </c>
      <c r="I359">
        <v>17.16</v>
      </c>
      <c r="J359">
        <v>12.68</v>
      </c>
      <c r="K359">
        <v>14.08</v>
      </c>
      <c r="L359">
        <v>17.21</v>
      </c>
      <c r="M359">
        <v>15.15</v>
      </c>
      <c r="N359">
        <v>16.14</v>
      </c>
      <c r="O359">
        <v>15.13</v>
      </c>
      <c r="P359">
        <v>14.81</v>
      </c>
      <c r="Q359">
        <v>17.309999999999999</v>
      </c>
      <c r="R359">
        <v>16.5</v>
      </c>
      <c r="S359">
        <v>14.29</v>
      </c>
      <c r="T359" s="2">
        <f>IF('ROS Rankings'!$AD$1,IFERROR(AVERAGE(INDEX($C359:$S359,14):INDEX($C359:$S359,17)),0),IFERROR(AVERAGE(INDEX($C359:$S359,Week+1):INDEX($C359:$S359,13)),0))</f>
        <v>15.44375</v>
      </c>
      <c r="U359" s="2">
        <f t="shared" si="52"/>
        <v>15.44375</v>
      </c>
      <c r="V359" s="2" t="str">
        <f t="shared" si="52"/>
        <v/>
      </c>
      <c r="W359" s="2" t="str">
        <f t="shared" si="52"/>
        <v/>
      </c>
      <c r="X359" s="2" t="str">
        <f t="shared" si="52"/>
        <v/>
      </c>
      <c r="Y359" s="2" t="str">
        <f t="shared" si="52"/>
        <v/>
      </c>
      <c r="Z359" s="2" t="str">
        <f t="shared" si="52"/>
        <v/>
      </c>
      <c r="AA359" s="23" t="str">
        <f t="shared" si="45"/>
        <v>QB26</v>
      </c>
      <c r="AB359" s="2">
        <f>$T359-VLOOKUP($B359,Scores!$AG$1:$AM$7,5,FALSE)</f>
        <v>-5.4405357142857138</v>
      </c>
      <c r="AC359" s="2">
        <f>$T359-VLOOKUP($B359,Scores!$AG$1:$AM$7,6,FALSE)</f>
        <v>-4.4599999999999991</v>
      </c>
      <c r="AD359" s="2">
        <f>$T359-VLOOKUP($B359,Scores!$AG$1:$AM$7,7,FALSE)+(ROW(A358)/1000000)</f>
        <v>-4.0558919999999965</v>
      </c>
      <c r="AE359" s="2">
        <f t="array" ref="AE359">IF('ROS Rankings'!$AD$1,IFERROR(AVERAGE(IF(INDEX($C359:$S359,14):INDEX($C359:$S359,17)="NA",0,INDEX($C359:$S359,14):INDEX($C359:$S359,17))-INDEX($AQ$2:$BG$7,MATCH($B359,$AO$2:$AO$7,0),14):INDEX($AQ$2:$BG$7,MATCH($B359,$AO$2:$AO$7,0),17)),0),IFERROR(AVERAGE(IF(INDEX($C359:$S359,Week+1):INDEX($C359:$S359,13)="NA",0,INDEX($C359:$S359,Week+1):INDEX($C359:$S359,13))-INDEX($AQ$2:$BG$7,MATCH($B359,$AO$2:$AO$7,0),Week+1):INDEX($AQ$2:$BG$7,MATCH($B359,$AO$2:$AO$7,0),13)),0))+ROW(A358)/1000000</f>
        <v>-3.058392</v>
      </c>
      <c r="AF359">
        <f t="shared" si="46"/>
        <v>260</v>
      </c>
      <c r="AG359">
        <f t="shared" si="47"/>
        <v>309</v>
      </c>
      <c r="AH359">
        <f t="shared" si="48"/>
        <v>346</v>
      </c>
      <c r="AI359">
        <f t="shared" si="49"/>
        <v>303</v>
      </c>
      <c r="AJ359" s="22">
        <f>IF(ISERROR(MATCH(A359,Rosters!$B$2:$B$155,0)),AD359,"")</f>
        <v>-4.0558919999999965</v>
      </c>
      <c r="AK359">
        <f t="shared" si="50"/>
        <v>194</v>
      </c>
      <c r="AL359" s="23">
        <f>COUNTIF(INDEX($C359:$S359,Week+1):INDEX($C359:$S359,13),"&gt;0")</f>
        <v>8</v>
      </c>
    </row>
    <row r="360" spans="1:38" x14ac:dyDescent="0.25">
      <c r="A360" t="s">
        <v>8855</v>
      </c>
      <c r="B360" t="s">
        <v>114</v>
      </c>
      <c r="C360" t="s">
        <v>64</v>
      </c>
      <c r="D360" t="s">
        <v>64</v>
      </c>
      <c r="E360" t="s">
        <v>64</v>
      </c>
      <c r="F360" t="s">
        <v>64</v>
      </c>
      <c r="G360">
        <v>0.72</v>
      </c>
      <c r="H360">
        <v>0.43</v>
      </c>
      <c r="I360">
        <v>0.5</v>
      </c>
      <c r="J360">
        <v>0.5</v>
      </c>
      <c r="K360" t="s">
        <v>64</v>
      </c>
      <c r="L360">
        <v>0.34</v>
      </c>
      <c r="M360">
        <v>0.5</v>
      </c>
      <c r="N360">
        <v>0.41</v>
      </c>
      <c r="O360">
        <v>0.33</v>
      </c>
      <c r="P360">
        <v>0.53</v>
      </c>
      <c r="Q360">
        <v>0.47</v>
      </c>
      <c r="R360">
        <v>0.54</v>
      </c>
      <c r="S360">
        <v>0.48</v>
      </c>
      <c r="T360" s="2">
        <f>IF('ROS Rankings'!$AD$1,IFERROR(AVERAGE(INDEX($C360:$S360,14):INDEX($C360:$S360,17)),0),IFERROR(AVERAGE(INDEX($C360:$S360,Week+1):INDEX($C360:$S360,13)),0))</f>
        <v>0.43000000000000005</v>
      </c>
      <c r="U360" s="2" t="str">
        <f t="shared" si="52"/>
        <v/>
      </c>
      <c r="V360" s="2" t="str">
        <f t="shared" si="52"/>
        <v/>
      </c>
      <c r="W360" s="2" t="str">
        <f t="shared" si="52"/>
        <v/>
      </c>
      <c r="X360" s="2">
        <f t="shared" si="52"/>
        <v>0.43000000000000005</v>
      </c>
      <c r="Y360" s="2" t="str">
        <f t="shared" si="52"/>
        <v/>
      </c>
      <c r="Z360" s="2" t="str">
        <f t="shared" si="52"/>
        <v/>
      </c>
      <c r="AA360" s="23" t="str">
        <f t="shared" si="45"/>
        <v>TE94</v>
      </c>
      <c r="AB360" s="2">
        <f>$T360-VLOOKUP($B360,Scores!$AG$1:$AM$7,5,FALSE)</f>
        <v>-6.5687499999999996</v>
      </c>
      <c r="AC360" s="2">
        <f>$T360-VLOOKUP($B360,Scores!$AG$1:$AM$7,6,FALSE)</f>
        <v>-4.82</v>
      </c>
      <c r="AD360" s="2">
        <f>$T360-VLOOKUP($B360,Scores!$AG$1:$AM$7,7,FALSE)+(ROW(A359)/1000000)</f>
        <v>-4.7496409999999996</v>
      </c>
      <c r="AE360" s="2">
        <f t="array" ref="AE360">IF('ROS Rankings'!$AD$1,IFERROR(AVERAGE(IF(INDEX($C360:$S360,14):INDEX($C360:$S360,17)="NA",0,INDEX($C360:$S360,14):INDEX($C360:$S360,17))-INDEX($AQ$2:$BG$7,MATCH($B360,$AO$2:$AO$7,0),14):INDEX($AQ$2:$BG$7,MATCH($B360,$AO$2:$AO$7,0),17)),0),IFERROR(AVERAGE(IF(INDEX($C360:$S360,Week+1):INDEX($C360:$S360,13)="NA",0,INDEX($C360:$S360,Week+1):INDEX($C360:$S360,13))-INDEX($AQ$2:$BG$7,MATCH($B360,$AO$2:$AO$7,0),Week+1):INDEX($AQ$2:$BG$7,MATCH($B360,$AO$2:$AO$7,0),13)),0))+ROW(A359)/1000000</f>
        <v>-4.7208909999999999</v>
      </c>
      <c r="AF360">
        <f t="shared" si="46"/>
        <v>327</v>
      </c>
      <c r="AG360">
        <f t="shared" si="47"/>
        <v>343</v>
      </c>
      <c r="AH360">
        <f t="shared" si="48"/>
        <v>389</v>
      </c>
      <c r="AI360">
        <f t="shared" si="49"/>
        <v>412</v>
      </c>
      <c r="AJ360" s="22">
        <f>IF(ISERROR(MATCH(A360,Rosters!$B$2:$B$155,0)),AD360,"")</f>
        <v>-4.7496409999999996</v>
      </c>
      <c r="AK360">
        <f t="shared" si="50"/>
        <v>237</v>
      </c>
      <c r="AL360" s="23">
        <f>COUNTIF(INDEX($C360:$S360,Week+1):INDEX($C360:$S360,13),"&gt;0")</f>
        <v>7</v>
      </c>
    </row>
    <row r="361" spans="1:38" x14ac:dyDescent="0.25">
      <c r="A361" t="s">
        <v>194</v>
      </c>
      <c r="B361" t="s">
        <v>87</v>
      </c>
      <c r="C361">
        <v>5.3</v>
      </c>
      <c r="D361">
        <v>5.51</v>
      </c>
      <c r="E361">
        <v>3.54</v>
      </c>
      <c r="F361">
        <v>4.3</v>
      </c>
      <c r="G361">
        <v>4.8899999999999997</v>
      </c>
      <c r="H361">
        <v>5.89</v>
      </c>
      <c r="I361">
        <v>4.7699999999999996</v>
      </c>
      <c r="J361" t="s">
        <v>64</v>
      </c>
      <c r="K361">
        <v>4.51</v>
      </c>
      <c r="L361">
        <v>5.27</v>
      </c>
      <c r="M361">
        <v>4.92</v>
      </c>
      <c r="N361">
        <v>4.68</v>
      </c>
      <c r="O361">
        <v>3.72</v>
      </c>
      <c r="P361">
        <v>4.87</v>
      </c>
      <c r="Q361">
        <v>4.59</v>
      </c>
      <c r="R361">
        <v>4.55</v>
      </c>
      <c r="S361">
        <v>5.68</v>
      </c>
      <c r="T361" s="2">
        <f>IF('ROS Rankings'!$AD$1,IFERROR(AVERAGE(INDEX($C361:$S361,14):INDEX($C361:$S361,17)),0),IFERROR(AVERAGE(INDEX($C361:$S361,Week+1):INDEX($C361:$S361,13)),0))</f>
        <v>4.822857142857143</v>
      </c>
      <c r="U361" s="2" t="str">
        <f t="shared" si="52"/>
        <v/>
      </c>
      <c r="V361" s="2" t="str">
        <f t="shared" si="52"/>
        <v/>
      </c>
      <c r="W361" s="2">
        <f t="shared" si="52"/>
        <v>4.822857142857143</v>
      </c>
      <c r="X361" s="2" t="str">
        <f t="shared" si="52"/>
        <v/>
      </c>
      <c r="Y361" s="2" t="str">
        <f t="shared" si="52"/>
        <v/>
      </c>
      <c r="Z361" s="2" t="str">
        <f t="shared" si="52"/>
        <v/>
      </c>
      <c r="AA361" s="23" t="str">
        <f t="shared" si="45"/>
        <v>WR64</v>
      </c>
      <c r="AB361" s="2">
        <f>$T361-VLOOKUP($B361,Scores!$AG$1:$AM$7,5,FALSE)</f>
        <v>-5.5485714285714272</v>
      </c>
      <c r="AC361" s="2">
        <f>$T361-VLOOKUP($B361,Scores!$AG$1:$AM$7,6,FALSE)</f>
        <v>-3.2085714285714291</v>
      </c>
      <c r="AD361" s="2">
        <f>$T361-VLOOKUP($B361,Scores!$AG$1:$AM$7,7,FALSE)+(ROW(A360)/1000000)</f>
        <v>-1.2296399999999996</v>
      </c>
      <c r="AE361" s="2">
        <f t="array" ref="AE361">IF('ROS Rankings'!$AD$1,IFERROR(AVERAGE(IF(INDEX($C361:$S361,14):INDEX($C361:$S361,17)="NA",0,INDEX($C361:$S361,14):INDEX($C361:$S361,17))-INDEX($AQ$2:$BG$7,MATCH($B361,$AO$2:$AO$7,0),14):INDEX($AQ$2:$BG$7,MATCH($B361,$AO$2:$AO$7,0),17)),0),IFERROR(AVERAGE(IF(INDEX($C361:$S361,Week+1):INDEX($C361:$S361,13)="NA",0,INDEX($C361:$S361,Week+1):INDEX($C361:$S361,13))-INDEX($AQ$2:$BG$7,MATCH($B361,$AO$2:$AO$7,0),Week+1):INDEX($AQ$2:$BG$7,MATCH($B361,$AO$2:$AO$7,0),13)),0))+ROW(A360)/1000000</f>
        <v>-1.1358900000000003</v>
      </c>
      <c r="AF361">
        <f t="shared" si="46"/>
        <v>263</v>
      </c>
      <c r="AG361">
        <f t="shared" si="47"/>
        <v>254</v>
      </c>
      <c r="AH361">
        <f t="shared" si="48"/>
        <v>209</v>
      </c>
      <c r="AI361">
        <f t="shared" si="49"/>
        <v>178</v>
      </c>
      <c r="AJ361" s="22">
        <f>IF(ISERROR(MATCH(A361,Rosters!$B$2:$B$155,0)),AD361,"")</f>
        <v>-1.2296399999999996</v>
      </c>
      <c r="AK361">
        <f t="shared" si="50"/>
        <v>71</v>
      </c>
      <c r="AL361" s="23">
        <f>COUNTIF(INDEX($C361:$S361,Week+1):INDEX($C361:$S361,13),"&gt;0")</f>
        <v>7</v>
      </c>
    </row>
    <row r="362" spans="1:38" x14ac:dyDescent="0.25">
      <c r="A362" t="s">
        <v>1584</v>
      </c>
      <c r="B362" t="s">
        <v>114</v>
      </c>
      <c r="C362">
        <v>0</v>
      </c>
      <c r="D362">
        <v>0.6</v>
      </c>
      <c r="E362">
        <v>0.42</v>
      </c>
      <c r="F362">
        <v>0.48</v>
      </c>
      <c r="G362">
        <v>0.49</v>
      </c>
      <c r="H362">
        <v>0.41</v>
      </c>
      <c r="I362">
        <v>0.49</v>
      </c>
      <c r="J362" t="s">
        <v>64</v>
      </c>
      <c r="K362">
        <v>0.53</v>
      </c>
      <c r="L362">
        <v>0.56000000000000005</v>
      </c>
      <c r="M362">
        <v>0.52</v>
      </c>
      <c r="N362">
        <v>0.53</v>
      </c>
      <c r="O362">
        <v>0.44</v>
      </c>
      <c r="P362">
        <v>0.47</v>
      </c>
      <c r="Q362">
        <v>0.53</v>
      </c>
      <c r="R362">
        <v>0.65</v>
      </c>
      <c r="S362">
        <v>0.55000000000000004</v>
      </c>
      <c r="T362" s="2">
        <f>IF('ROS Rankings'!$AD$1,IFERROR(AVERAGE(INDEX($C362:$S362,14):INDEX($C362:$S362,17)),0),IFERROR(AVERAGE(INDEX($C362:$S362,Week+1):INDEX($C362:$S362,13)),0))</f>
        <v>0.49714285714285716</v>
      </c>
      <c r="U362" s="2" t="str">
        <f t="shared" si="52"/>
        <v/>
      </c>
      <c r="V362" s="2" t="str">
        <f t="shared" si="52"/>
        <v/>
      </c>
      <c r="W362" s="2" t="str">
        <f t="shared" si="52"/>
        <v/>
      </c>
      <c r="X362" s="2">
        <f t="shared" si="52"/>
        <v>0.49714285714285716</v>
      </c>
      <c r="Y362" s="2" t="str">
        <f t="shared" si="52"/>
        <v/>
      </c>
      <c r="Z362" s="2" t="str">
        <f t="shared" si="52"/>
        <v/>
      </c>
      <c r="AA362" s="23" t="str">
        <f t="shared" si="45"/>
        <v>TE87</v>
      </c>
      <c r="AB362" s="2">
        <f>$T362-VLOOKUP($B362,Scores!$AG$1:$AM$7,5,FALSE)</f>
        <v>-6.501607142857142</v>
      </c>
      <c r="AC362" s="2">
        <f>$T362-VLOOKUP($B362,Scores!$AG$1:$AM$7,6,FALSE)</f>
        <v>-4.7528571428571427</v>
      </c>
      <c r="AD362" s="2">
        <f>$T362-VLOOKUP($B362,Scores!$AG$1:$AM$7,7,FALSE)+(ROW(A361)/1000000)</f>
        <v>-4.6824961428571426</v>
      </c>
      <c r="AE362" s="2">
        <f t="array" ref="AE362">IF('ROS Rankings'!$AD$1,IFERROR(AVERAGE(IF(INDEX($C362:$S362,14):INDEX($C362:$S362,17)="NA",0,INDEX($C362:$S362,14):INDEX($C362:$S362,17))-INDEX($AQ$2:$BG$7,MATCH($B362,$AO$2:$AO$7,0),14):INDEX($AQ$2:$BG$7,MATCH($B362,$AO$2:$AO$7,0),17)),0),IFERROR(AVERAGE(IF(INDEX($C362:$S362,Week+1):INDEX($C362:$S362,13)="NA",0,INDEX($C362:$S362,Week+1):INDEX($C362:$S362,13))-INDEX($AQ$2:$BG$7,MATCH($B362,$AO$2:$AO$7,0),Week+1):INDEX($AQ$2:$BG$7,MATCH($B362,$AO$2:$AO$7,0),13)),0))+ROW(A361)/1000000</f>
        <v>-4.6621389999999998</v>
      </c>
      <c r="AF362">
        <f t="shared" si="46"/>
        <v>318</v>
      </c>
      <c r="AG362">
        <f t="shared" si="47"/>
        <v>334</v>
      </c>
      <c r="AH362">
        <f t="shared" si="48"/>
        <v>379</v>
      </c>
      <c r="AI362">
        <f t="shared" si="49"/>
        <v>395</v>
      </c>
      <c r="AJ362" s="22">
        <f>IF(ISERROR(MATCH(A362,Rosters!$B$2:$B$155,0)),AD362,"")</f>
        <v>-4.6824961428571426</v>
      </c>
      <c r="AK362">
        <f t="shared" si="50"/>
        <v>227</v>
      </c>
      <c r="AL362" s="23">
        <f>COUNTIF(INDEX($C362:$S362,Week+1):INDEX($C362:$S362,13),"&gt;0")</f>
        <v>7</v>
      </c>
    </row>
    <row r="363" spans="1:38" x14ac:dyDescent="0.25">
      <c r="A363" t="s">
        <v>1643</v>
      </c>
      <c r="B363" t="s">
        <v>15</v>
      </c>
      <c r="C363">
        <v>0</v>
      </c>
      <c r="D363">
        <v>0</v>
      </c>
      <c r="E363">
        <v>0</v>
      </c>
      <c r="F363">
        <v>0</v>
      </c>
      <c r="G363">
        <v>0</v>
      </c>
      <c r="H363">
        <v>0</v>
      </c>
      <c r="I363">
        <v>0</v>
      </c>
      <c r="J363">
        <v>0</v>
      </c>
      <c r="K363" t="s">
        <v>64</v>
      </c>
      <c r="L363">
        <v>0</v>
      </c>
      <c r="M363">
        <v>0</v>
      </c>
      <c r="N363">
        <v>0</v>
      </c>
      <c r="O363">
        <v>0</v>
      </c>
      <c r="P363">
        <v>0</v>
      </c>
      <c r="Q363">
        <v>0</v>
      </c>
      <c r="R363">
        <v>0</v>
      </c>
      <c r="S363">
        <v>0</v>
      </c>
      <c r="T363" s="2">
        <f>IF('ROS Rankings'!$AD$1,IFERROR(AVERAGE(INDEX($C363:$S363,14):INDEX($C363:$S363,17)),0),IFERROR(AVERAGE(INDEX($C363:$S363,Week+1):INDEX($C363:$S363,13)),0))</f>
        <v>0</v>
      </c>
      <c r="U363" s="2">
        <f t="shared" si="52"/>
        <v>0</v>
      </c>
      <c r="V363" s="2" t="str">
        <f t="shared" si="52"/>
        <v/>
      </c>
      <c r="W363" s="2" t="str">
        <f t="shared" si="52"/>
        <v/>
      </c>
      <c r="X363" s="2" t="str">
        <f t="shared" si="52"/>
        <v/>
      </c>
      <c r="Y363" s="2" t="str">
        <f t="shared" si="52"/>
        <v/>
      </c>
      <c r="Z363" s="2" t="str">
        <f t="shared" si="52"/>
        <v/>
      </c>
      <c r="AA363" s="23" t="str">
        <f t="shared" si="45"/>
        <v>QB60</v>
      </c>
      <c r="AB363" s="2">
        <f>$T363-VLOOKUP($B363,Scores!$AG$1:$AM$7,5,FALSE)</f>
        <v>-20.884285714285713</v>
      </c>
      <c r="AC363" s="2">
        <f>$T363-VLOOKUP($B363,Scores!$AG$1:$AM$7,6,FALSE)</f>
        <v>-19.903749999999999</v>
      </c>
      <c r="AD363" s="2">
        <f>$T363-VLOOKUP($B363,Scores!$AG$1:$AM$7,7,FALSE)+(ROW(A362)/1000000)</f>
        <v>-19.499637999999997</v>
      </c>
      <c r="AE363" s="2">
        <f t="array" ref="AE363">IF('ROS Rankings'!$AD$1,IFERROR(AVERAGE(IF(INDEX($C363:$S363,14):INDEX($C363:$S363,17)="NA",0,INDEX($C363:$S363,14):INDEX($C363:$S363,17))-INDEX($AQ$2:$BG$7,MATCH($B363,$AO$2:$AO$7,0),14):INDEX($AQ$2:$BG$7,MATCH($B363,$AO$2:$AO$7,0),17)),0),IFERROR(AVERAGE(IF(INDEX($C363:$S363,Week+1):INDEX($C363:$S363,13)="NA",0,INDEX($C363:$S363,Week+1):INDEX($C363:$S363,13))-INDEX($AQ$2:$BG$7,MATCH($B363,$AO$2:$AO$7,0),Week+1):INDEX($AQ$2:$BG$7,MATCH($B363,$AO$2:$AO$7,0),13)),0))+ROW(A362)/1000000</f>
        <v>-18.502138000000002</v>
      </c>
      <c r="AF363">
        <f t="shared" si="46"/>
        <v>551</v>
      </c>
      <c r="AG363">
        <f t="shared" si="47"/>
        <v>551</v>
      </c>
      <c r="AH363">
        <f t="shared" si="48"/>
        <v>554</v>
      </c>
      <c r="AI363">
        <f t="shared" si="49"/>
        <v>554</v>
      </c>
      <c r="AJ363" s="22">
        <f>IF(ISERROR(MATCH(A363,Rosters!$B$2:$B$155,0)),AD363,"")</f>
        <v>-19.499637999999997</v>
      </c>
      <c r="AK363">
        <f t="shared" si="50"/>
        <v>401</v>
      </c>
      <c r="AL363" s="23">
        <f>COUNTIF(INDEX($C363:$S363,Week+1):INDEX($C363:$S363,13),"&gt;0")</f>
        <v>0</v>
      </c>
    </row>
    <row r="364" spans="1:38" x14ac:dyDescent="0.25">
      <c r="A364" t="s">
        <v>1570</v>
      </c>
      <c r="B364" t="s">
        <v>15</v>
      </c>
      <c r="C364">
        <v>9.89</v>
      </c>
      <c r="D364">
        <v>0.31</v>
      </c>
      <c r="E364">
        <v>0.34</v>
      </c>
      <c r="F364">
        <v>0.41</v>
      </c>
      <c r="G364">
        <v>0.53</v>
      </c>
      <c r="H364">
        <v>0.44</v>
      </c>
      <c r="I364">
        <v>0.45</v>
      </c>
      <c r="J364">
        <v>0.46</v>
      </c>
      <c r="K364">
        <v>0.41</v>
      </c>
      <c r="L364">
        <v>0.44</v>
      </c>
      <c r="M364" t="s">
        <v>64</v>
      </c>
      <c r="N364">
        <v>0.39</v>
      </c>
      <c r="O364">
        <v>0.45</v>
      </c>
      <c r="P364">
        <v>0.47</v>
      </c>
      <c r="Q364">
        <v>0.44</v>
      </c>
      <c r="R364">
        <v>0.43</v>
      </c>
      <c r="S364">
        <v>0.48</v>
      </c>
      <c r="T364" s="2">
        <f>IF('ROS Rankings'!$AD$1,IFERROR(AVERAGE(INDEX($C364:$S364,14):INDEX($C364:$S364,17)),0),IFERROR(AVERAGE(INDEX($C364:$S364,Week+1):INDEX($C364:$S364,13)),0))</f>
        <v>0.43428571428571433</v>
      </c>
      <c r="U364" s="2">
        <f t="shared" si="52"/>
        <v>0.43428571428571433</v>
      </c>
      <c r="V364" s="2" t="str">
        <f t="shared" si="52"/>
        <v/>
      </c>
      <c r="W364" s="2" t="str">
        <f t="shared" si="52"/>
        <v/>
      </c>
      <c r="X364" s="2" t="str">
        <f t="shared" si="52"/>
        <v/>
      </c>
      <c r="Y364" s="2" t="str">
        <f t="shared" si="52"/>
        <v/>
      </c>
      <c r="Z364" s="2" t="str">
        <f t="shared" si="52"/>
        <v/>
      </c>
      <c r="AA364" s="23" t="str">
        <f t="shared" si="45"/>
        <v>QB58</v>
      </c>
      <c r="AB364" s="2">
        <f>$T364-VLOOKUP($B364,Scores!$AG$1:$AM$7,5,FALSE)</f>
        <v>-20.45</v>
      </c>
      <c r="AC364" s="2">
        <f>$T364-VLOOKUP($B364,Scores!$AG$1:$AM$7,6,FALSE)</f>
        <v>-19.469464285714285</v>
      </c>
      <c r="AD364" s="2">
        <f>$T364-VLOOKUP($B364,Scores!$AG$1:$AM$7,7,FALSE)+(ROW(A363)/1000000)</f>
        <v>-19.065351285714282</v>
      </c>
      <c r="AE364" s="2">
        <f t="array" ref="AE364">IF('ROS Rankings'!$AD$1,IFERROR(AVERAGE(IF(INDEX($C364:$S364,14):INDEX($C364:$S364,17)="NA",0,INDEX($C364:$S364,14):INDEX($C364:$S364,17))-INDEX($AQ$2:$BG$7,MATCH($B364,$AO$2:$AO$7,0),14):INDEX($AQ$2:$BG$7,MATCH($B364,$AO$2:$AO$7,0),17)),0),IFERROR(AVERAGE(IF(INDEX($C364:$S364,Week+1):INDEX($C364:$S364,13)="NA",0,INDEX($C364:$S364,Week+1):INDEX($C364:$S364,13))-INDEX($AQ$2:$BG$7,MATCH($B364,$AO$2:$AO$7,0),Week+1):INDEX($AQ$2:$BG$7,MATCH($B364,$AO$2:$AO$7,0),13)),0))+ROW(A363)/1000000</f>
        <v>-18.122136999999999</v>
      </c>
      <c r="AF364">
        <f t="shared" si="46"/>
        <v>549</v>
      </c>
      <c r="AG364">
        <f t="shared" si="47"/>
        <v>549</v>
      </c>
      <c r="AH364">
        <f t="shared" si="48"/>
        <v>549</v>
      </c>
      <c r="AI364">
        <f t="shared" si="49"/>
        <v>549</v>
      </c>
      <c r="AJ364" s="22">
        <f>IF(ISERROR(MATCH(A364,Rosters!$B$2:$B$155,0)),AD364,"")</f>
        <v>-19.065351285714282</v>
      </c>
      <c r="AK364">
        <f t="shared" si="50"/>
        <v>396</v>
      </c>
      <c r="AL364" s="23">
        <f>COUNTIF(INDEX($C364:$S364,Week+1):INDEX($C364:$S364,13),"&gt;0")</f>
        <v>7</v>
      </c>
    </row>
    <row r="365" spans="1:38" x14ac:dyDescent="0.25">
      <c r="A365" t="s">
        <v>1130</v>
      </c>
      <c r="B365" t="s">
        <v>114</v>
      </c>
      <c r="C365">
        <v>0.51</v>
      </c>
      <c r="D365">
        <v>0.56000000000000005</v>
      </c>
      <c r="E365">
        <v>0</v>
      </c>
      <c r="F365">
        <v>0</v>
      </c>
      <c r="G365">
        <v>0.63</v>
      </c>
      <c r="H365">
        <v>1.9</v>
      </c>
      <c r="I365">
        <v>1.28</v>
      </c>
      <c r="J365">
        <v>1.44</v>
      </c>
      <c r="K365">
        <v>1.85</v>
      </c>
      <c r="L365">
        <v>1.62</v>
      </c>
      <c r="M365" t="s">
        <v>64</v>
      </c>
      <c r="N365">
        <v>1.92</v>
      </c>
      <c r="O365">
        <v>1.27</v>
      </c>
      <c r="P365">
        <v>1.58</v>
      </c>
      <c r="Q365">
        <v>2.0299999999999998</v>
      </c>
      <c r="R365">
        <v>1.9</v>
      </c>
      <c r="S365">
        <v>1.85</v>
      </c>
      <c r="T365" s="2">
        <f>IF('ROS Rankings'!$AD$1,IFERROR(AVERAGE(INDEX($C365:$S365,14):INDEX($C365:$S365,17)),0),IFERROR(AVERAGE(INDEX($C365:$S365,Week+1):INDEX($C365:$S365,13)),0))</f>
        <v>1.6114285714285714</v>
      </c>
      <c r="U365" s="2" t="str">
        <f t="shared" si="52"/>
        <v/>
      </c>
      <c r="V365" s="2" t="str">
        <f t="shared" si="52"/>
        <v/>
      </c>
      <c r="W365" s="2" t="str">
        <f t="shared" si="52"/>
        <v/>
      </c>
      <c r="X365" s="2">
        <f t="shared" si="52"/>
        <v>1.6114285714285714</v>
      </c>
      <c r="Y365" s="2" t="str">
        <f t="shared" si="52"/>
        <v/>
      </c>
      <c r="Z365" s="2" t="str">
        <f t="shared" si="52"/>
        <v/>
      </c>
      <c r="AA365" s="23" t="str">
        <f t="shared" si="45"/>
        <v>TE62</v>
      </c>
      <c r="AB365" s="2">
        <f>$T365-VLOOKUP($B365,Scores!$AG$1:$AM$7,5,FALSE)</f>
        <v>-5.3873214285714282</v>
      </c>
      <c r="AC365" s="2">
        <f>$T365-VLOOKUP($B365,Scores!$AG$1:$AM$7,6,FALSE)</f>
        <v>-3.6385714285714288</v>
      </c>
      <c r="AD365" s="2">
        <f>$T365-VLOOKUP($B365,Scores!$AG$1:$AM$7,7,FALSE)+(ROW(A364)/1000000)</f>
        <v>-3.5682074285714287</v>
      </c>
      <c r="AE365" s="2">
        <f t="array" ref="AE365">IF('ROS Rankings'!$AD$1,IFERROR(AVERAGE(IF(INDEX($C365:$S365,14):INDEX($C365:$S365,17)="NA",0,INDEX($C365:$S365,14):INDEX($C365:$S365,17))-INDEX($AQ$2:$BG$7,MATCH($B365,$AO$2:$AO$7,0),14):INDEX($AQ$2:$BG$7,MATCH($B365,$AO$2:$AO$7,0),17)),0),IFERROR(AVERAGE(IF(INDEX($C365:$S365,Week+1):INDEX($C365:$S365,13)="NA",0,INDEX($C365:$S365,Week+1):INDEX($C365:$S365,13))-INDEX($AQ$2:$BG$7,MATCH($B365,$AO$2:$AO$7,0),Week+1):INDEX($AQ$2:$BG$7,MATCH($B365,$AO$2:$AO$7,0),13)),0))+ROW(A364)/1000000</f>
        <v>-3.6871360000000002</v>
      </c>
      <c r="AF365">
        <f t="shared" si="46"/>
        <v>256</v>
      </c>
      <c r="AG365">
        <f t="shared" si="47"/>
        <v>283</v>
      </c>
      <c r="AH365">
        <f t="shared" si="48"/>
        <v>330</v>
      </c>
      <c r="AI365">
        <f t="shared" si="49"/>
        <v>331</v>
      </c>
      <c r="AJ365" s="22">
        <f>IF(ISERROR(MATCH(A365,Rosters!$B$2:$B$155,0)),AD365,"")</f>
        <v>-3.5682074285714287</v>
      </c>
      <c r="AK365">
        <f t="shared" si="50"/>
        <v>179</v>
      </c>
      <c r="AL365" s="23">
        <f>COUNTIF(INDEX($C365:$S365,Week+1):INDEX($C365:$S365,13),"&gt;0")</f>
        <v>7</v>
      </c>
    </row>
    <row r="366" spans="1:38" x14ac:dyDescent="0.25">
      <c r="A366" t="s">
        <v>240</v>
      </c>
      <c r="B366" t="s">
        <v>87</v>
      </c>
      <c r="C366">
        <v>8.5</v>
      </c>
      <c r="D366">
        <v>8.69</v>
      </c>
      <c r="E366">
        <v>9.74</v>
      </c>
      <c r="F366">
        <v>9.11</v>
      </c>
      <c r="G366">
        <v>7.45</v>
      </c>
      <c r="H366">
        <v>8.9499999999999993</v>
      </c>
      <c r="I366">
        <v>6.55</v>
      </c>
      <c r="J366">
        <v>7.12</v>
      </c>
      <c r="K366" t="s">
        <v>64</v>
      </c>
      <c r="L366">
        <v>10.6</v>
      </c>
      <c r="M366">
        <v>8.51</v>
      </c>
      <c r="N366">
        <v>9.27</v>
      </c>
      <c r="O366">
        <v>6.87</v>
      </c>
      <c r="P366">
        <v>10.18</v>
      </c>
      <c r="Q366">
        <v>6.44</v>
      </c>
      <c r="R366">
        <v>8.93</v>
      </c>
      <c r="S366">
        <v>6.69</v>
      </c>
      <c r="T366" s="2">
        <f>IF('ROS Rankings'!$AD$1,IFERROR(AVERAGE(INDEX($C366:$S366,14):INDEX($C366:$S366,17)),0),IFERROR(AVERAGE(INDEX($C366:$S366,Week+1):INDEX($C366:$S366,13)),0))</f>
        <v>8.267142857142856</v>
      </c>
      <c r="U366" s="2" t="str">
        <f t="shared" si="52"/>
        <v/>
      </c>
      <c r="V366" s="2" t="str">
        <f t="shared" si="52"/>
        <v/>
      </c>
      <c r="W366" s="2">
        <f t="shared" si="52"/>
        <v>8.267142857142856</v>
      </c>
      <c r="X366" s="2" t="str">
        <f t="shared" si="52"/>
        <v/>
      </c>
      <c r="Y366" s="2" t="str">
        <f t="shared" si="52"/>
        <v/>
      </c>
      <c r="Z366" s="2" t="str">
        <f t="shared" si="52"/>
        <v/>
      </c>
      <c r="AA366" s="23" t="str">
        <f t="shared" si="45"/>
        <v>WR33</v>
      </c>
      <c r="AB366" s="2">
        <f>$T366-VLOOKUP($B366,Scores!$AG$1:$AM$7,5,FALSE)</f>
        <v>-2.1042857142857141</v>
      </c>
      <c r="AC366" s="2">
        <f>$T366-VLOOKUP($B366,Scores!$AG$1:$AM$7,6,FALSE)</f>
        <v>0.23571428571428399</v>
      </c>
      <c r="AD366" s="2">
        <f>$T366-VLOOKUP($B366,Scores!$AG$1:$AM$7,7,FALSE)+(ROW(A365)/1000000)</f>
        <v>2.2146507142857135</v>
      </c>
      <c r="AE366" s="2">
        <f t="array" ref="AE366">IF('ROS Rankings'!$AD$1,IFERROR(AVERAGE(IF(INDEX($C366:$S366,14):INDEX($C366:$S366,17)="NA",0,INDEX($C366:$S366,14):INDEX($C366:$S366,17))-INDEX($AQ$2:$BG$7,MATCH($B366,$AO$2:$AO$7,0),14):INDEX($AQ$2:$BG$7,MATCH($B366,$AO$2:$AO$7,0),17)),0),IFERROR(AVERAGE(IF(INDEX($C366:$S366,Week+1):INDEX($C366:$S366,13)="NA",0,INDEX($C366:$S366,Week+1):INDEX($C366:$S366,13))-INDEX($AQ$2:$BG$7,MATCH($B366,$AO$2:$AO$7,0),Week+1):INDEX($AQ$2:$BG$7,MATCH($B366,$AO$2:$AO$7,0),13)),0))+ROW(A365)/1000000</f>
        <v>1.8778649999999995</v>
      </c>
      <c r="AF366">
        <f t="shared" si="46"/>
        <v>141</v>
      </c>
      <c r="AG366">
        <f t="shared" si="47"/>
        <v>85</v>
      </c>
      <c r="AH366">
        <f t="shared" si="48"/>
        <v>65</v>
      </c>
      <c r="AI366">
        <f t="shared" si="49"/>
        <v>64</v>
      </c>
      <c r="AJ366" s="22" t="str">
        <f>IF(ISERROR(MATCH(A366,Rosters!$B$2:$B$155,0)),AD366,"")</f>
        <v/>
      </c>
      <c r="AK366" t="str">
        <f t="shared" si="50"/>
        <v/>
      </c>
      <c r="AL366" s="23">
        <f>COUNTIF(INDEX($C366:$S366,Week+1):INDEX($C366:$S366,13),"&gt;0")</f>
        <v>7</v>
      </c>
    </row>
    <row r="367" spans="1:38" x14ac:dyDescent="0.25">
      <c r="A367" t="s">
        <v>4248</v>
      </c>
      <c r="B367" t="s">
        <v>47</v>
      </c>
      <c r="C367" t="s">
        <v>64</v>
      </c>
      <c r="D367" t="s">
        <v>64</v>
      </c>
      <c r="E367">
        <v>0.61</v>
      </c>
      <c r="F367">
        <v>0.64</v>
      </c>
      <c r="G367">
        <v>0.39</v>
      </c>
      <c r="H367" t="s">
        <v>64</v>
      </c>
      <c r="I367">
        <v>0.35</v>
      </c>
      <c r="J367">
        <v>0.46</v>
      </c>
      <c r="K367">
        <v>0.39</v>
      </c>
      <c r="L367">
        <v>0.43</v>
      </c>
      <c r="M367">
        <v>0.37</v>
      </c>
      <c r="N367">
        <v>0.45</v>
      </c>
      <c r="O367">
        <v>0.43</v>
      </c>
      <c r="P367">
        <v>0.39</v>
      </c>
      <c r="Q367">
        <v>0.41</v>
      </c>
      <c r="R367">
        <v>0.41</v>
      </c>
      <c r="S367">
        <v>0.37</v>
      </c>
      <c r="T367" s="2">
        <f>IF('ROS Rankings'!$AD$1,IFERROR(AVERAGE(INDEX($C367:$S367,14):INDEX($C367:$S367,17)),0),IFERROR(AVERAGE(INDEX($C367:$S367,Week+1):INDEX($C367:$S367,13)),0))</f>
        <v>0.41142857142857148</v>
      </c>
      <c r="U367" s="2" t="str">
        <f t="shared" si="52"/>
        <v/>
      </c>
      <c r="V367" s="2">
        <f t="shared" si="52"/>
        <v>0.41142857142857148</v>
      </c>
      <c r="W367" s="2" t="str">
        <f t="shared" si="52"/>
        <v/>
      </c>
      <c r="X367" s="2" t="str">
        <f t="shared" si="52"/>
        <v/>
      </c>
      <c r="Y367" s="2" t="str">
        <f t="shared" si="52"/>
        <v/>
      </c>
      <c r="Z367" s="2" t="str">
        <f t="shared" si="52"/>
        <v/>
      </c>
      <c r="AA367" s="23" t="str">
        <f t="shared" si="45"/>
        <v>RB126</v>
      </c>
      <c r="AB367" s="2">
        <f>$T367-VLOOKUP($B367,Scores!$AG$1:$AM$7,5,FALSE)</f>
        <v>-11.347142857142858</v>
      </c>
      <c r="AC367" s="2">
        <f>$T367-VLOOKUP($B367,Scores!$AG$1:$AM$7,6,FALSE)</f>
        <v>-7.8585714285714303</v>
      </c>
      <c r="AD367" s="2">
        <f>$T367-VLOOKUP($B367,Scores!$AG$1:$AM$7,7,FALSE)+(ROW(A366)/1000000)</f>
        <v>-5.4567768571428577</v>
      </c>
      <c r="AE367" s="2">
        <f t="array" ref="AE367">IF('ROS Rankings'!$AD$1,IFERROR(AVERAGE(IF(INDEX($C367:$S367,14):INDEX($C367:$S367,17)="NA",0,INDEX($C367:$S367,14):INDEX($C367:$S367,17))-INDEX($AQ$2:$BG$7,MATCH($B367,$AO$2:$AO$7,0),14):INDEX($AQ$2:$BG$7,MATCH($B367,$AO$2:$AO$7,0),17)),0),IFERROR(AVERAGE(IF(INDEX($C367:$S367,Week+1):INDEX($C367:$S367,13)="NA",0,INDEX($C367:$S367,Week+1):INDEX($C367:$S367,13))-INDEX($AQ$2:$BG$7,MATCH($B367,$AO$2:$AO$7,0),Week+1):INDEX($AQ$2:$BG$7,MATCH($B367,$AO$2:$AO$7,0),13)),0))+ROW(A366)/1000000</f>
        <v>-4.9996340000000004</v>
      </c>
      <c r="AF367">
        <f t="shared" si="46"/>
        <v>514</v>
      </c>
      <c r="AG367">
        <f t="shared" si="47"/>
        <v>508</v>
      </c>
      <c r="AH367">
        <f t="shared" si="48"/>
        <v>476</v>
      </c>
      <c r="AI367">
        <f t="shared" si="49"/>
        <v>490</v>
      </c>
      <c r="AJ367" s="22">
        <f>IF(ISERROR(MATCH(A367,Rosters!$B$2:$B$155,0)),AD367,"")</f>
        <v>-5.4567768571428577</v>
      </c>
      <c r="AK367">
        <f t="shared" si="50"/>
        <v>324</v>
      </c>
      <c r="AL367" s="23">
        <f>COUNTIF(INDEX($C367:$S367,Week+1):INDEX($C367:$S367,13),"&gt;0")</f>
        <v>7</v>
      </c>
    </row>
    <row r="368" spans="1:38" x14ac:dyDescent="0.25">
      <c r="A368" t="s">
        <v>386</v>
      </c>
      <c r="B368" t="s">
        <v>114</v>
      </c>
      <c r="C368">
        <v>1.1499999999999999</v>
      </c>
      <c r="D368">
        <v>1.38</v>
      </c>
      <c r="E368">
        <v>1.87</v>
      </c>
      <c r="F368">
        <v>1.81</v>
      </c>
      <c r="G368">
        <v>2.1800000000000002</v>
      </c>
      <c r="H368">
        <v>2.52</v>
      </c>
      <c r="I368">
        <v>2.4500000000000002</v>
      </c>
      <c r="J368">
        <v>2.2999999999999998</v>
      </c>
      <c r="K368">
        <v>2.19</v>
      </c>
      <c r="L368" t="s">
        <v>64</v>
      </c>
      <c r="M368">
        <v>2.33</v>
      </c>
      <c r="N368">
        <v>1.93</v>
      </c>
      <c r="O368">
        <v>1.95</v>
      </c>
      <c r="P368">
        <v>1.65</v>
      </c>
      <c r="Q368">
        <v>1.89</v>
      </c>
      <c r="R368">
        <v>2.36</v>
      </c>
      <c r="S368">
        <v>2.2799999999999998</v>
      </c>
      <c r="T368" s="2">
        <f>IF('ROS Rankings'!$AD$1,IFERROR(AVERAGE(INDEX($C368:$S368,14):INDEX($C368:$S368,17)),0),IFERROR(AVERAGE(INDEX($C368:$S368,Week+1):INDEX($C368:$S368,13)),0))</f>
        <v>2.2385714285714284</v>
      </c>
      <c r="U368" s="2" t="str">
        <f t="shared" si="52"/>
        <v/>
      </c>
      <c r="V368" s="2" t="str">
        <f t="shared" si="52"/>
        <v/>
      </c>
      <c r="W368" s="2" t="str">
        <f t="shared" si="52"/>
        <v/>
      </c>
      <c r="X368" s="2">
        <f t="shared" si="52"/>
        <v>2.2385714285714284</v>
      </c>
      <c r="Y368" s="2" t="str">
        <f t="shared" si="52"/>
        <v/>
      </c>
      <c r="Z368" s="2" t="str">
        <f t="shared" si="52"/>
        <v/>
      </c>
      <c r="AA368" s="23" t="str">
        <f t="shared" si="45"/>
        <v>TE50</v>
      </c>
      <c r="AB368" s="2">
        <f>$T368-VLOOKUP($B368,Scores!$AG$1:$AM$7,5,FALSE)</f>
        <v>-4.7601785714285709</v>
      </c>
      <c r="AC368" s="2">
        <f>$T368-VLOOKUP($B368,Scores!$AG$1:$AM$7,6,FALSE)</f>
        <v>-3.0114285714285716</v>
      </c>
      <c r="AD368" s="2">
        <f>$T368-VLOOKUP($B368,Scores!$AG$1:$AM$7,7,FALSE)+(ROW(A367)/1000000)</f>
        <v>-2.9410615714285715</v>
      </c>
      <c r="AE368" s="2">
        <f t="array" ref="AE368">IF('ROS Rankings'!$AD$1,IFERROR(AVERAGE(IF(INDEX($C368:$S368,14):INDEX($C368:$S368,17)="NA",0,INDEX($C368:$S368,14):INDEX($C368:$S368,17))-INDEX($AQ$2:$BG$7,MATCH($B368,$AO$2:$AO$7,0),14):INDEX($AQ$2:$BG$7,MATCH($B368,$AO$2:$AO$7,0),17)),0),IFERROR(AVERAGE(IF(INDEX($C368:$S368,Week+1):INDEX($C368:$S368,13)="NA",0,INDEX($C368:$S368,Week+1):INDEX($C368:$S368,13))-INDEX($AQ$2:$BG$7,MATCH($B368,$AO$2:$AO$7,0),Week+1):INDEX($AQ$2:$BG$7,MATCH($B368,$AO$2:$AO$7,0),13)),0))+ROW(A367)/1000000</f>
        <v>-3.1383830000000001</v>
      </c>
      <c r="AF368">
        <f t="shared" si="46"/>
        <v>230</v>
      </c>
      <c r="AG368">
        <f t="shared" si="47"/>
        <v>248</v>
      </c>
      <c r="AH368">
        <f t="shared" si="48"/>
        <v>299</v>
      </c>
      <c r="AI368">
        <f t="shared" si="49"/>
        <v>310</v>
      </c>
      <c r="AJ368" s="22">
        <f>IF(ISERROR(MATCH(A368,Rosters!$B$2:$B$155,0)),AD368,"")</f>
        <v>-2.9410615714285715</v>
      </c>
      <c r="AK368">
        <f t="shared" si="50"/>
        <v>152</v>
      </c>
      <c r="AL368" s="23">
        <f>COUNTIF(INDEX($C368:$S368,Week+1):INDEX($C368:$S368,13),"&gt;0")</f>
        <v>7</v>
      </c>
    </row>
    <row r="369" spans="1:38" x14ac:dyDescent="0.25">
      <c r="A369" t="s">
        <v>1366</v>
      </c>
      <c r="B369" t="s">
        <v>47</v>
      </c>
      <c r="C369">
        <v>5.4</v>
      </c>
      <c r="D369">
        <v>4.7699999999999996</v>
      </c>
      <c r="E369">
        <v>3.03</v>
      </c>
      <c r="F369">
        <v>2.3199999999999998</v>
      </c>
      <c r="G369">
        <v>3.29</v>
      </c>
      <c r="H369">
        <v>4.32</v>
      </c>
      <c r="I369">
        <v>3.02</v>
      </c>
      <c r="J369">
        <v>4.16</v>
      </c>
      <c r="K369">
        <v>3.67</v>
      </c>
      <c r="L369">
        <v>4.03</v>
      </c>
      <c r="M369" t="s">
        <v>64</v>
      </c>
      <c r="N369">
        <v>4.0599999999999996</v>
      </c>
      <c r="O369">
        <v>3.06</v>
      </c>
      <c r="P369">
        <v>3.72</v>
      </c>
      <c r="Q369">
        <v>3.26</v>
      </c>
      <c r="R369">
        <v>4.25</v>
      </c>
      <c r="S369">
        <v>3.18</v>
      </c>
      <c r="T369" s="2">
        <f>IF('ROS Rankings'!$AD$1,IFERROR(AVERAGE(INDEX($C369:$S369,14):INDEX($C369:$S369,17)),0),IFERROR(AVERAGE(INDEX($C369:$S369,Week+1):INDEX($C369:$S369,13)),0))</f>
        <v>3.7599999999999993</v>
      </c>
      <c r="U369" s="2" t="str">
        <f t="shared" si="52"/>
        <v/>
      </c>
      <c r="V369" s="2">
        <f t="shared" si="52"/>
        <v>3.7599999999999993</v>
      </c>
      <c r="W369" s="2" t="str">
        <f t="shared" si="52"/>
        <v/>
      </c>
      <c r="X369" s="2" t="str">
        <f t="shared" si="52"/>
        <v/>
      </c>
      <c r="Y369" s="2" t="str">
        <f t="shared" si="52"/>
        <v/>
      </c>
      <c r="Z369" s="2" t="str">
        <f t="shared" si="52"/>
        <v/>
      </c>
      <c r="AA369" s="23" t="str">
        <f t="shared" si="45"/>
        <v>RB66</v>
      </c>
      <c r="AB369" s="2">
        <f>$T369-VLOOKUP($B369,Scores!$AG$1:$AM$7,5,FALSE)</f>
        <v>-7.9985714285714291</v>
      </c>
      <c r="AC369" s="2">
        <f>$T369-VLOOKUP($B369,Scores!$AG$1:$AM$7,6,FALSE)</f>
        <v>-4.5100000000000016</v>
      </c>
      <c r="AD369" s="2">
        <f>$T369-VLOOKUP($B369,Scores!$AG$1:$AM$7,7,FALSE)+(ROW(A368)/1000000)</f>
        <v>-2.1082034285714299</v>
      </c>
      <c r="AE369" s="2">
        <f t="array" ref="AE369">IF('ROS Rankings'!$AD$1,IFERROR(AVERAGE(IF(INDEX($C369:$S369,14):INDEX($C369:$S369,17)="NA",0,INDEX($C369:$S369,14):INDEX($C369:$S369,17))-INDEX($AQ$2:$BG$7,MATCH($B369,$AO$2:$AO$7,0),14):INDEX($AQ$2:$BG$7,MATCH($B369,$AO$2:$AO$7,0),17)),0),IFERROR(AVERAGE(IF(INDEX($C369:$S369,Week+1):INDEX($C369:$S369,13)="NA",0,INDEX($C369:$S369,Week+1):INDEX($C369:$S369,13))-INDEX($AQ$2:$BG$7,MATCH($B369,$AO$2:$AO$7,0),Week+1):INDEX($AQ$2:$BG$7,MATCH($B369,$AO$2:$AO$7,0),13)),0))+ROW(A368)/1000000</f>
        <v>-2.0696319999999999</v>
      </c>
      <c r="AF369">
        <f t="shared" si="46"/>
        <v>375</v>
      </c>
      <c r="AG369">
        <f t="shared" si="47"/>
        <v>311</v>
      </c>
      <c r="AH369">
        <f t="shared" si="48"/>
        <v>252</v>
      </c>
      <c r="AI369">
        <f t="shared" si="49"/>
        <v>241</v>
      </c>
      <c r="AJ369" s="22">
        <f>IF(ISERROR(MATCH(A369,Rosters!$B$2:$B$155,0)),AD369,"")</f>
        <v>-2.1082034285714299</v>
      </c>
      <c r="AK369">
        <f t="shared" si="50"/>
        <v>108</v>
      </c>
      <c r="AL369" s="23">
        <f>COUNTIF(INDEX($C369:$S369,Week+1):INDEX($C369:$S369,13),"&gt;0")</f>
        <v>7</v>
      </c>
    </row>
    <row r="370" spans="1:38" x14ac:dyDescent="0.25">
      <c r="A370" t="s">
        <v>344</v>
      </c>
      <c r="B370" t="s">
        <v>15</v>
      </c>
      <c r="C370">
        <v>14.15</v>
      </c>
      <c r="D370">
        <v>16.8</v>
      </c>
      <c r="E370">
        <v>0.89</v>
      </c>
      <c r="F370">
        <v>0.78</v>
      </c>
      <c r="G370">
        <v>0.85</v>
      </c>
      <c r="H370">
        <v>0.85</v>
      </c>
      <c r="I370">
        <v>0.91</v>
      </c>
      <c r="J370">
        <v>0.66</v>
      </c>
      <c r="K370" t="s">
        <v>64</v>
      </c>
      <c r="L370">
        <v>0.89</v>
      </c>
      <c r="M370">
        <v>0.8</v>
      </c>
      <c r="N370">
        <v>0.89</v>
      </c>
      <c r="O370">
        <v>0.72</v>
      </c>
      <c r="P370">
        <v>0.84</v>
      </c>
      <c r="Q370">
        <v>0.79</v>
      </c>
      <c r="R370">
        <v>0.91</v>
      </c>
      <c r="S370">
        <v>0.69</v>
      </c>
      <c r="T370" s="2">
        <f>IF('ROS Rankings'!$AD$1,IFERROR(AVERAGE(INDEX($C370:$S370,14):INDEX($C370:$S370,17)),0),IFERROR(AVERAGE(INDEX($C370:$S370,Week+1):INDEX($C370:$S370,13)),0))</f>
        <v>0.81714285714285706</v>
      </c>
      <c r="U370" s="2">
        <f t="shared" si="52"/>
        <v>0.81714285714285706</v>
      </c>
      <c r="V370" s="2" t="str">
        <f t="shared" si="52"/>
        <v/>
      </c>
      <c r="W370" s="2" t="str">
        <f t="shared" si="52"/>
        <v/>
      </c>
      <c r="X370" s="2" t="str">
        <f t="shared" si="52"/>
        <v/>
      </c>
      <c r="Y370" s="2" t="str">
        <f t="shared" si="52"/>
        <v/>
      </c>
      <c r="Z370" s="2" t="str">
        <f t="shared" si="52"/>
        <v/>
      </c>
      <c r="AA370" s="23" t="str">
        <f t="shared" si="45"/>
        <v>QB46</v>
      </c>
      <c r="AB370" s="2">
        <f>$T370-VLOOKUP($B370,Scores!$AG$1:$AM$7,5,FALSE)</f>
        <v>-20.067142857142855</v>
      </c>
      <c r="AC370" s="2">
        <f>$T370-VLOOKUP($B370,Scores!$AG$1:$AM$7,6,FALSE)</f>
        <v>-19.08660714285714</v>
      </c>
      <c r="AD370" s="2">
        <f>$T370-VLOOKUP($B370,Scores!$AG$1:$AM$7,7,FALSE)+(ROW(A369)/1000000)</f>
        <v>-18.682488142857139</v>
      </c>
      <c r="AE370" s="2">
        <f t="array" ref="AE370">IF('ROS Rankings'!$AD$1,IFERROR(AVERAGE(IF(INDEX($C370:$S370,14):INDEX($C370:$S370,17)="NA",0,INDEX($C370:$S370,14):INDEX($C370:$S370,17))-INDEX($AQ$2:$BG$7,MATCH($B370,$AO$2:$AO$7,0),14):INDEX($AQ$2:$BG$7,MATCH($B370,$AO$2:$AO$7,0),17)),0),IFERROR(AVERAGE(IF(INDEX($C370:$S370,Week+1):INDEX($C370:$S370,13)="NA",0,INDEX($C370:$S370,Week+1):INDEX($C370:$S370,13))-INDEX($AQ$2:$BG$7,MATCH($B370,$AO$2:$AO$7,0),Week+1):INDEX($AQ$2:$BG$7,MATCH($B370,$AO$2:$AO$7,0),13)),0))+ROW(A369)/1000000</f>
        <v>-17.787131000000002</v>
      </c>
      <c r="AF370">
        <f t="shared" si="46"/>
        <v>537</v>
      </c>
      <c r="AG370">
        <f t="shared" si="47"/>
        <v>537</v>
      </c>
      <c r="AH370">
        <f t="shared" si="48"/>
        <v>537</v>
      </c>
      <c r="AI370">
        <f t="shared" si="49"/>
        <v>538</v>
      </c>
      <c r="AJ370" s="22">
        <f>IF(ISERROR(MATCH(A370,Rosters!$B$2:$B$155,0)),AD370,"")</f>
        <v>-18.682488142857139</v>
      </c>
      <c r="AK370">
        <f t="shared" si="50"/>
        <v>384</v>
      </c>
      <c r="AL370" s="23">
        <f>COUNTIF(INDEX($C370:$S370,Week+1):INDEX($C370:$S370,13),"&gt;0")</f>
        <v>7</v>
      </c>
    </row>
    <row r="371" spans="1:38" x14ac:dyDescent="0.25">
      <c r="A371" t="s">
        <v>362</v>
      </c>
      <c r="B371" t="s">
        <v>114</v>
      </c>
      <c r="C371">
        <v>2.02</v>
      </c>
      <c r="D371">
        <v>2.31</v>
      </c>
      <c r="E371">
        <v>2.69</v>
      </c>
      <c r="F371">
        <v>2.2400000000000002</v>
      </c>
      <c r="G371">
        <v>2.88</v>
      </c>
      <c r="H371">
        <v>2</v>
      </c>
      <c r="I371" t="s">
        <v>64</v>
      </c>
      <c r="J371">
        <v>2.21</v>
      </c>
      <c r="K371">
        <v>2.5</v>
      </c>
      <c r="L371">
        <v>2.72</v>
      </c>
      <c r="M371">
        <v>2.77</v>
      </c>
      <c r="N371">
        <v>2.2599999999999998</v>
      </c>
      <c r="O371">
        <v>2.7</v>
      </c>
      <c r="P371">
        <v>2.36</v>
      </c>
      <c r="Q371">
        <v>2.58</v>
      </c>
      <c r="R371">
        <v>2.08</v>
      </c>
      <c r="S371">
        <v>1.97</v>
      </c>
      <c r="T371" s="2">
        <f>IF('ROS Rankings'!$AD$1,IFERROR(AVERAGE(INDEX($C371:$S371,14):INDEX($C371:$S371,17)),0),IFERROR(AVERAGE(INDEX($C371:$S371,Week+1):INDEX($C371:$S371,13)),0))</f>
        <v>2.4514285714285715</v>
      </c>
      <c r="U371" s="2" t="str">
        <f t="shared" si="52"/>
        <v/>
      </c>
      <c r="V371" s="2" t="str">
        <f t="shared" si="52"/>
        <v/>
      </c>
      <c r="W371" s="2" t="str">
        <f t="shared" si="52"/>
        <v/>
      </c>
      <c r="X371" s="2">
        <f t="shared" si="52"/>
        <v>2.4514285714285715</v>
      </c>
      <c r="Y371" s="2" t="str">
        <f t="shared" si="52"/>
        <v/>
      </c>
      <c r="Z371" s="2" t="str">
        <f t="shared" si="52"/>
        <v/>
      </c>
      <c r="AA371" s="23" t="str">
        <f t="shared" si="45"/>
        <v>TE41</v>
      </c>
      <c r="AB371" s="2">
        <f>$T371-VLOOKUP($B371,Scores!$AG$1:$AM$7,5,FALSE)</f>
        <v>-4.5473214285714274</v>
      </c>
      <c r="AC371" s="2">
        <f>$T371-VLOOKUP($B371,Scores!$AG$1:$AM$7,6,FALSE)</f>
        <v>-2.7985714285714285</v>
      </c>
      <c r="AD371" s="2">
        <f>$T371-VLOOKUP($B371,Scores!$AG$1:$AM$7,7,FALSE)+(ROW(A370)/1000000)</f>
        <v>-2.728201428571428</v>
      </c>
      <c r="AE371" s="2">
        <f t="array" ref="AE371">IF('ROS Rankings'!$AD$1,IFERROR(AVERAGE(IF(INDEX($C371:$S371,14):INDEX($C371:$S371,17)="NA",0,INDEX($C371:$S371,14):INDEX($C371:$S371,17))-INDEX($AQ$2:$BG$7,MATCH($B371,$AO$2:$AO$7,0),14):INDEX($AQ$2:$BG$7,MATCH($B371,$AO$2:$AO$7,0),17)),0),IFERROR(AVERAGE(IF(INDEX($C371:$S371,Week+1):INDEX($C371:$S371,13)="NA",0,INDEX($C371:$S371,Week+1):INDEX($C371:$S371,13))-INDEX($AQ$2:$BG$7,MATCH($B371,$AO$2:$AO$7,0),Week+1):INDEX($AQ$2:$BG$7,MATCH($B371,$AO$2:$AO$7,0),13)),0))+ROW(A370)/1000000</f>
        <v>-2.9521299999999995</v>
      </c>
      <c r="AF371">
        <f t="shared" si="46"/>
        <v>218</v>
      </c>
      <c r="AG371">
        <f t="shared" si="47"/>
        <v>231</v>
      </c>
      <c r="AH371">
        <f t="shared" si="48"/>
        <v>281</v>
      </c>
      <c r="AI371">
        <f t="shared" si="49"/>
        <v>292</v>
      </c>
      <c r="AJ371" s="22">
        <f>IF(ISERROR(MATCH(A371,Rosters!$B$2:$B$155,0)),AD371,"")</f>
        <v>-2.728201428571428</v>
      </c>
      <c r="AK371">
        <f t="shared" si="50"/>
        <v>136</v>
      </c>
      <c r="AL371" s="23">
        <f>COUNTIF(INDEX($C371:$S371,Week+1):INDEX($C371:$S371,13),"&gt;0")</f>
        <v>7</v>
      </c>
    </row>
    <row r="372" spans="1:38" x14ac:dyDescent="0.25">
      <c r="A372" t="s">
        <v>3036</v>
      </c>
      <c r="B372" t="s">
        <v>87</v>
      </c>
      <c r="C372" t="s">
        <v>64</v>
      </c>
      <c r="D372" t="s">
        <v>64</v>
      </c>
      <c r="E372">
        <v>0</v>
      </c>
      <c r="F372">
        <v>0.63</v>
      </c>
      <c r="G372">
        <v>0.64</v>
      </c>
      <c r="H372">
        <v>0.61</v>
      </c>
      <c r="I372">
        <v>0.63</v>
      </c>
      <c r="J372" t="s">
        <v>64</v>
      </c>
      <c r="K372">
        <v>0.72</v>
      </c>
      <c r="L372">
        <v>0.8</v>
      </c>
      <c r="M372">
        <v>0.67</v>
      </c>
      <c r="N372">
        <v>0.73</v>
      </c>
      <c r="O372">
        <v>0.7</v>
      </c>
      <c r="P372">
        <v>0.7</v>
      </c>
      <c r="Q372">
        <v>0.67</v>
      </c>
      <c r="R372">
        <v>0.59</v>
      </c>
      <c r="S372">
        <v>0.7</v>
      </c>
      <c r="T372" s="2">
        <f>IF('ROS Rankings'!$AD$1,IFERROR(AVERAGE(INDEX($C372:$S372,14):INDEX($C372:$S372,17)),0),IFERROR(AVERAGE(INDEX($C372:$S372,Week+1):INDEX($C372:$S372,13)),0))</f>
        <v>0.69428571428571428</v>
      </c>
      <c r="U372" s="2" t="str">
        <f t="shared" si="52"/>
        <v/>
      </c>
      <c r="V372" s="2" t="str">
        <f t="shared" si="52"/>
        <v/>
      </c>
      <c r="W372" s="2">
        <f t="shared" si="52"/>
        <v>0.69428571428571428</v>
      </c>
      <c r="X372" s="2" t="str">
        <f t="shared" si="52"/>
        <v/>
      </c>
      <c r="Y372" s="2" t="str">
        <f t="shared" si="52"/>
        <v/>
      </c>
      <c r="Z372" s="2" t="str">
        <f t="shared" si="52"/>
        <v/>
      </c>
      <c r="AA372" s="23" t="str">
        <f t="shared" si="45"/>
        <v>WR138</v>
      </c>
      <c r="AB372" s="2">
        <f>$T372-VLOOKUP($B372,Scores!$AG$1:$AM$7,5,FALSE)</f>
        <v>-9.6771428571428562</v>
      </c>
      <c r="AC372" s="2">
        <f>$T372-VLOOKUP($B372,Scores!$AG$1:$AM$7,6,FALSE)</f>
        <v>-7.3371428571428581</v>
      </c>
      <c r="AD372" s="2">
        <f>$T372-VLOOKUP($B372,Scores!$AG$1:$AM$7,7,FALSE)+(ROW(A371)/1000000)</f>
        <v>-5.3582004285714282</v>
      </c>
      <c r="AE372" s="2">
        <f t="array" ref="AE372">IF('ROS Rankings'!$AD$1,IFERROR(AVERAGE(IF(INDEX($C372:$S372,14):INDEX($C372:$S372,17)="NA",0,INDEX($C372:$S372,14):INDEX($C372:$S372,17))-INDEX($AQ$2:$BG$7,MATCH($B372,$AO$2:$AO$7,0),14):INDEX($AQ$2:$BG$7,MATCH($B372,$AO$2:$AO$7,0),17)),0),IFERROR(AVERAGE(IF(INDEX($C372:$S372,Week+1):INDEX($C372:$S372,13)="NA",0,INDEX($C372:$S372,Week+1):INDEX($C372:$S372,13))-INDEX($AQ$2:$BG$7,MATCH($B372,$AO$2:$AO$7,0),Week+1):INDEX($AQ$2:$BG$7,MATCH($B372,$AO$2:$AO$7,0),13)),0))+ROW(A371)/1000000</f>
        <v>-4.7483789999999999</v>
      </c>
      <c r="AF372">
        <f t="shared" si="46"/>
        <v>413</v>
      </c>
      <c r="AG372">
        <f t="shared" si="47"/>
        <v>428</v>
      </c>
      <c r="AH372">
        <f t="shared" si="48"/>
        <v>455</v>
      </c>
      <c r="AI372">
        <f t="shared" si="49"/>
        <v>424</v>
      </c>
      <c r="AJ372" s="22">
        <f>IF(ISERROR(MATCH(A372,Rosters!$B$2:$B$155,0)),AD372,"")</f>
        <v>-5.3582004285714282</v>
      </c>
      <c r="AK372">
        <f t="shared" si="50"/>
        <v>303</v>
      </c>
      <c r="AL372" s="23">
        <f>COUNTIF(INDEX($C372:$S372,Week+1):INDEX($C372:$S372,13),"&gt;0")</f>
        <v>7</v>
      </c>
    </row>
    <row r="373" spans="1:38" x14ac:dyDescent="0.25">
      <c r="A373" t="s">
        <v>323</v>
      </c>
      <c r="B373" t="s">
        <v>114</v>
      </c>
      <c r="C373">
        <v>1.67</v>
      </c>
      <c r="D373">
        <v>1.55</v>
      </c>
      <c r="E373">
        <v>2.2200000000000002</v>
      </c>
      <c r="F373">
        <v>2.2000000000000002</v>
      </c>
      <c r="G373">
        <v>2.12</v>
      </c>
      <c r="H373">
        <v>1.81</v>
      </c>
      <c r="I373">
        <v>1.82</v>
      </c>
      <c r="J373">
        <v>1.38</v>
      </c>
      <c r="K373" t="s">
        <v>64</v>
      </c>
      <c r="L373">
        <v>1.62</v>
      </c>
      <c r="M373">
        <v>1.65</v>
      </c>
      <c r="N373">
        <v>1.54</v>
      </c>
      <c r="O373">
        <v>1.67</v>
      </c>
      <c r="P373">
        <v>1.65</v>
      </c>
      <c r="Q373">
        <v>1.79</v>
      </c>
      <c r="R373">
        <v>1.32</v>
      </c>
      <c r="S373">
        <v>1.75</v>
      </c>
      <c r="T373" s="2">
        <f>IF('ROS Rankings'!$AD$1,IFERROR(AVERAGE(INDEX($C373:$S373,14):INDEX($C373:$S373,17)),0),IFERROR(AVERAGE(INDEX($C373:$S373,Week+1):INDEX($C373:$S373,13)),0))</f>
        <v>1.6414285714285715</v>
      </c>
      <c r="U373" s="2" t="str">
        <f t="shared" si="52"/>
        <v/>
      </c>
      <c r="V373" s="2" t="str">
        <f t="shared" si="52"/>
        <v/>
      </c>
      <c r="W373" s="2" t="str">
        <f t="shared" si="52"/>
        <v/>
      </c>
      <c r="X373" s="2">
        <f t="shared" si="52"/>
        <v>1.6414285714285715</v>
      </c>
      <c r="Y373" s="2" t="str">
        <f t="shared" si="52"/>
        <v/>
      </c>
      <c r="Z373" s="2" t="str">
        <f t="shared" si="52"/>
        <v/>
      </c>
      <c r="AA373" s="23" t="str">
        <f t="shared" si="45"/>
        <v>TE60</v>
      </c>
      <c r="AB373" s="2">
        <f>$T373-VLOOKUP($B373,Scores!$AG$1:$AM$7,5,FALSE)</f>
        <v>-5.3573214285714279</v>
      </c>
      <c r="AC373" s="2">
        <f>$T373-VLOOKUP($B373,Scores!$AG$1:$AM$7,6,FALSE)</f>
        <v>-3.6085714285714285</v>
      </c>
      <c r="AD373" s="2">
        <f>$T373-VLOOKUP($B373,Scores!$AG$1:$AM$7,7,FALSE)+(ROW(A372)/1000000)</f>
        <v>-3.5381994285714282</v>
      </c>
      <c r="AE373" s="2">
        <f t="array" ref="AE373">IF('ROS Rankings'!$AD$1,IFERROR(AVERAGE(IF(INDEX($C373:$S373,14):INDEX($C373:$S373,17)="NA",0,INDEX($C373:$S373,14):INDEX($C373:$S373,17))-INDEX($AQ$2:$BG$7,MATCH($B373,$AO$2:$AO$7,0),14):INDEX($AQ$2:$BG$7,MATCH($B373,$AO$2:$AO$7,0),17)),0),IFERROR(AVERAGE(IF(INDEX($C373:$S373,Week+1):INDEX($C373:$S373,13)="NA",0,INDEX($C373:$S373,Week+1):INDEX($C373:$S373,13))-INDEX($AQ$2:$BG$7,MATCH($B373,$AO$2:$AO$7,0),Week+1):INDEX($AQ$2:$BG$7,MATCH($B373,$AO$2:$AO$7,0),13)),0))+ROW(A372)/1000000</f>
        <v>-3.6608779999999999</v>
      </c>
      <c r="AF373">
        <f t="shared" si="46"/>
        <v>253</v>
      </c>
      <c r="AG373">
        <f t="shared" si="47"/>
        <v>281</v>
      </c>
      <c r="AH373">
        <f t="shared" si="48"/>
        <v>328</v>
      </c>
      <c r="AI373">
        <f t="shared" si="49"/>
        <v>329</v>
      </c>
      <c r="AJ373" s="22">
        <f>IF(ISERROR(MATCH(A373,Rosters!$B$2:$B$155,0)),AD373,"")</f>
        <v>-3.5381994285714282</v>
      </c>
      <c r="AK373">
        <f t="shared" si="50"/>
        <v>177</v>
      </c>
      <c r="AL373" s="23">
        <f>COUNTIF(INDEX($C373:$S373,Week+1):INDEX($C373:$S373,13),"&gt;0")</f>
        <v>7</v>
      </c>
    </row>
    <row r="374" spans="1:38" x14ac:dyDescent="0.25">
      <c r="A374" t="s">
        <v>1623</v>
      </c>
      <c r="B374" t="s">
        <v>87</v>
      </c>
      <c r="C374">
        <v>0.36</v>
      </c>
      <c r="D374">
        <v>0.44</v>
      </c>
      <c r="E374">
        <v>0.42</v>
      </c>
      <c r="F374">
        <v>0.45</v>
      </c>
      <c r="G374">
        <v>0.56000000000000005</v>
      </c>
      <c r="H374">
        <v>0.53</v>
      </c>
      <c r="I374">
        <v>0.51</v>
      </c>
      <c r="J374" t="s">
        <v>64</v>
      </c>
      <c r="K374">
        <v>0.45</v>
      </c>
      <c r="L374">
        <v>0.56000000000000005</v>
      </c>
      <c r="M374">
        <v>0.56000000000000005</v>
      </c>
      <c r="N374">
        <v>0.54</v>
      </c>
      <c r="O374">
        <v>0.45</v>
      </c>
      <c r="P374">
        <v>0.59</v>
      </c>
      <c r="Q374">
        <v>0.48</v>
      </c>
      <c r="R374">
        <v>0.65</v>
      </c>
      <c r="S374">
        <v>0.53</v>
      </c>
      <c r="T374" s="2">
        <f>IF('ROS Rankings'!$AD$1,IFERROR(AVERAGE(INDEX($C374:$S374,14):INDEX($C374:$S374,17)),0),IFERROR(AVERAGE(INDEX($C374:$S374,Week+1):INDEX($C374:$S374,13)),0))</f>
        <v>0.51428571428571435</v>
      </c>
      <c r="U374" s="2" t="str">
        <f t="shared" si="52"/>
        <v/>
      </c>
      <c r="V374" s="2" t="str">
        <f t="shared" si="52"/>
        <v/>
      </c>
      <c r="W374" s="2">
        <f t="shared" si="52"/>
        <v>0.51428571428571435</v>
      </c>
      <c r="X374" s="2" t="str">
        <f t="shared" si="52"/>
        <v/>
      </c>
      <c r="Y374" s="2" t="str">
        <f t="shared" si="52"/>
        <v/>
      </c>
      <c r="Z374" s="2" t="str">
        <f t="shared" si="52"/>
        <v/>
      </c>
      <c r="AA374" s="23" t="str">
        <f t="shared" si="45"/>
        <v>WR167</v>
      </c>
      <c r="AB374" s="2">
        <f>$T374-VLOOKUP($B374,Scores!$AG$1:$AM$7,5,FALSE)</f>
        <v>-9.8571428571428559</v>
      </c>
      <c r="AC374" s="2">
        <f>$T374-VLOOKUP($B374,Scores!$AG$1:$AM$7,6,FALSE)</f>
        <v>-7.5171428571428578</v>
      </c>
      <c r="AD374" s="2">
        <f>$T374-VLOOKUP($B374,Scores!$AG$1:$AM$7,7,FALSE)+(ROW(A373)/1000000)</f>
        <v>-5.5381984285714285</v>
      </c>
      <c r="AE374" s="2">
        <f t="array" ref="AE374">IF('ROS Rankings'!$AD$1,IFERROR(AVERAGE(IF(INDEX($C374:$S374,14):INDEX($C374:$S374,17)="NA",0,INDEX($C374:$S374,14):INDEX($C374:$S374,17))-INDEX($AQ$2:$BG$7,MATCH($B374,$AO$2:$AO$7,0),14):INDEX($AQ$2:$BG$7,MATCH($B374,$AO$2:$AO$7,0),17)),0),IFERROR(AVERAGE(IF(INDEX($C374:$S374,Week+1):INDEX($C374:$S374,13)="NA",0,INDEX($C374:$S374,Week+1):INDEX($C374:$S374,13))-INDEX($AQ$2:$BG$7,MATCH($B374,$AO$2:$AO$7,0),Week+1):INDEX($AQ$2:$BG$7,MATCH($B374,$AO$2:$AO$7,0),13)),0))+ROW(A373)/1000000</f>
        <v>-4.9058770000000003</v>
      </c>
      <c r="AF374">
        <f t="shared" si="46"/>
        <v>444</v>
      </c>
      <c r="AG374">
        <f t="shared" si="47"/>
        <v>461</v>
      </c>
      <c r="AH374">
        <f t="shared" si="48"/>
        <v>493</v>
      </c>
      <c r="AI374">
        <f t="shared" si="49"/>
        <v>477</v>
      </c>
      <c r="AJ374" s="22">
        <f>IF(ISERROR(MATCH(A374,Rosters!$B$2:$B$155,0)),AD374,"")</f>
        <v>-5.5381984285714285</v>
      </c>
      <c r="AK374">
        <f t="shared" si="50"/>
        <v>341</v>
      </c>
      <c r="AL374" s="23">
        <f>COUNTIF(INDEX($C374:$S374,Week+1):INDEX($C374:$S374,13),"&gt;0")</f>
        <v>7</v>
      </c>
    </row>
    <row r="375" spans="1:38" x14ac:dyDescent="0.25">
      <c r="A375" t="s">
        <v>1395</v>
      </c>
      <c r="B375" t="s">
        <v>47</v>
      </c>
      <c r="C375">
        <v>5.01</v>
      </c>
      <c r="D375">
        <v>4.34</v>
      </c>
      <c r="E375">
        <v>5.22</v>
      </c>
      <c r="F375">
        <v>5.18</v>
      </c>
      <c r="G375">
        <v>7.41</v>
      </c>
      <c r="H375">
        <v>5.27</v>
      </c>
      <c r="I375">
        <v>5.29</v>
      </c>
      <c r="J375">
        <v>5.69</v>
      </c>
      <c r="K375" t="s">
        <v>64</v>
      </c>
      <c r="L375">
        <v>4.83</v>
      </c>
      <c r="M375">
        <v>6.07</v>
      </c>
      <c r="N375">
        <v>5.74</v>
      </c>
      <c r="O375">
        <v>4.54</v>
      </c>
      <c r="P375">
        <v>5.0599999999999996</v>
      </c>
      <c r="Q375">
        <v>5.46</v>
      </c>
      <c r="R375">
        <v>5.96</v>
      </c>
      <c r="S375">
        <v>5.66</v>
      </c>
      <c r="T375" s="2">
        <f>IF('ROS Rankings'!$AD$1,IFERROR(AVERAGE(INDEX($C375:$S375,14):INDEX($C375:$S375,17)),0),IFERROR(AVERAGE(INDEX($C375:$S375,Week+1):INDEX($C375:$S375,13)),0))</f>
        <v>5.347142857142857</v>
      </c>
      <c r="U375" s="2" t="str">
        <f t="shared" si="52"/>
        <v/>
      </c>
      <c r="V375" s="2">
        <f t="shared" si="52"/>
        <v>5.347142857142857</v>
      </c>
      <c r="W375" s="2" t="str">
        <f t="shared" si="52"/>
        <v/>
      </c>
      <c r="X375" s="2" t="str">
        <f t="shared" si="52"/>
        <v/>
      </c>
      <c r="Y375" s="2" t="str">
        <f t="shared" si="52"/>
        <v/>
      </c>
      <c r="Z375" s="2" t="str">
        <f t="shared" si="52"/>
        <v/>
      </c>
      <c r="AA375" s="23" t="str">
        <f t="shared" si="45"/>
        <v>RB53</v>
      </c>
      <c r="AB375" s="2">
        <f>$T375-VLOOKUP($B375,Scores!$AG$1:$AM$7,5,FALSE)</f>
        <v>-6.4114285714285719</v>
      </c>
      <c r="AC375" s="2">
        <f>$T375-VLOOKUP($B375,Scores!$AG$1:$AM$7,6,FALSE)</f>
        <v>-2.9228571428571444</v>
      </c>
      <c r="AD375" s="2">
        <f>$T375-VLOOKUP($B375,Scores!$AG$1:$AM$7,7,FALSE)+(ROW(A374)/1000000)</f>
        <v>-0.52105457142857226</v>
      </c>
      <c r="AE375" s="2">
        <f t="array" ref="AE375">IF('ROS Rankings'!$AD$1,IFERROR(AVERAGE(IF(INDEX($C375:$S375,14):INDEX($C375:$S375,17)="NA",0,INDEX($C375:$S375,14):INDEX($C375:$S375,17))-INDEX($AQ$2:$BG$7,MATCH($B375,$AO$2:$AO$7,0),14):INDEX($AQ$2:$BG$7,MATCH($B375,$AO$2:$AO$7,0),17)),0),IFERROR(AVERAGE(IF(INDEX($C375:$S375,Week+1):INDEX($C375:$S375,13)="NA",0,INDEX($C375:$S375,Week+1):INDEX($C375:$S375,13))-INDEX($AQ$2:$BG$7,MATCH($B375,$AO$2:$AO$7,0),Week+1):INDEX($AQ$2:$BG$7,MATCH($B375,$AO$2:$AO$7,0),13)),0))+ROW(A374)/1000000</f>
        <v>-0.68087599999999981</v>
      </c>
      <c r="AF375">
        <f t="shared" si="46"/>
        <v>302</v>
      </c>
      <c r="AG375">
        <f t="shared" si="47"/>
        <v>237</v>
      </c>
      <c r="AH375">
        <f t="shared" si="48"/>
        <v>174</v>
      </c>
      <c r="AI375">
        <f t="shared" si="49"/>
        <v>154</v>
      </c>
      <c r="AJ375" s="22" t="str">
        <f>IF(ISERROR(MATCH(A375,Rosters!$B$2:$B$155,0)),AD375,"")</f>
        <v/>
      </c>
      <c r="AK375" t="str">
        <f t="shared" si="50"/>
        <v/>
      </c>
      <c r="AL375" s="23">
        <f>COUNTIF(INDEX($C375:$S375,Week+1):INDEX($C375:$S375,13),"&gt;0")</f>
        <v>7</v>
      </c>
    </row>
    <row r="376" spans="1:38" x14ac:dyDescent="0.25">
      <c r="A376" t="s">
        <v>229</v>
      </c>
      <c r="B376" t="s">
        <v>114</v>
      </c>
      <c r="C376">
        <v>4.99</v>
      </c>
      <c r="D376">
        <v>4.34</v>
      </c>
      <c r="E376">
        <v>5.99</v>
      </c>
      <c r="F376">
        <v>6.2</v>
      </c>
      <c r="G376" t="s">
        <v>64</v>
      </c>
      <c r="H376">
        <v>0</v>
      </c>
      <c r="I376">
        <v>0</v>
      </c>
      <c r="J376">
        <v>2.89</v>
      </c>
      <c r="K376">
        <v>4.79</v>
      </c>
      <c r="L376">
        <v>4.8600000000000003</v>
      </c>
      <c r="M376">
        <v>5.49</v>
      </c>
      <c r="N376">
        <v>6.88</v>
      </c>
      <c r="O376">
        <v>5</v>
      </c>
      <c r="P376">
        <v>7.27</v>
      </c>
      <c r="Q376">
        <v>4.79</v>
      </c>
      <c r="R376">
        <v>6.46</v>
      </c>
      <c r="S376">
        <v>6.89</v>
      </c>
      <c r="T376" s="2">
        <f>IF('ROS Rankings'!$AD$1,IFERROR(AVERAGE(INDEX($C376:$S376,14):INDEX($C376:$S376,17)),0),IFERROR(AVERAGE(INDEX($C376:$S376,Week+1):INDEX($C376:$S376,13)),0))</f>
        <v>3.73875</v>
      </c>
      <c r="U376" s="2" t="str">
        <f t="shared" si="52"/>
        <v/>
      </c>
      <c r="V376" s="2" t="str">
        <f t="shared" si="52"/>
        <v/>
      </c>
      <c r="W376" s="2" t="str">
        <f t="shared" si="52"/>
        <v/>
      </c>
      <c r="X376" s="2">
        <f t="shared" si="52"/>
        <v>3.73875</v>
      </c>
      <c r="Y376" s="2" t="str">
        <f t="shared" si="52"/>
        <v/>
      </c>
      <c r="Z376" s="2" t="str">
        <f t="shared" si="52"/>
        <v/>
      </c>
      <c r="AA376" s="23" t="str">
        <f t="shared" si="45"/>
        <v>TE22</v>
      </c>
      <c r="AB376" s="2">
        <f>$T376-VLOOKUP($B376,Scores!$AG$1:$AM$7,5,FALSE)</f>
        <v>-3.2599999999999993</v>
      </c>
      <c r="AC376" s="2">
        <f>$T376-VLOOKUP($B376,Scores!$AG$1:$AM$7,6,FALSE)</f>
        <v>-1.51125</v>
      </c>
      <c r="AD376" s="2">
        <f>$T376-VLOOKUP($B376,Scores!$AG$1:$AM$7,7,FALSE)+(ROW(A375)/1000000)</f>
        <v>-1.4408749999999997</v>
      </c>
      <c r="AE376" s="2">
        <f t="array" ref="AE376">IF('ROS Rankings'!$AD$1,IFERROR(AVERAGE(IF(INDEX($C376:$S376,14):INDEX($C376:$S376,17)="NA",0,INDEX($C376:$S376,14):INDEX($C376:$S376,17))-INDEX($AQ$2:$BG$7,MATCH($B376,$AO$2:$AO$7,0),14):INDEX($AQ$2:$BG$7,MATCH($B376,$AO$2:$AO$7,0),17)),0),IFERROR(AVERAGE(IF(INDEX($C376:$S376,Week+1):INDEX($C376:$S376,13)="NA",0,INDEX($C376:$S376,Week+1):INDEX($C376:$S376,13))-INDEX($AQ$2:$BG$7,MATCH($B376,$AO$2:$AO$7,0),Week+1):INDEX($AQ$2:$BG$7,MATCH($B376,$AO$2:$AO$7,0),13)),0))+ROW(A375)/1000000</f>
        <v>-1.3583749999999997</v>
      </c>
      <c r="AF376">
        <f t="shared" si="46"/>
        <v>170</v>
      </c>
      <c r="AG376">
        <f t="shared" si="47"/>
        <v>177</v>
      </c>
      <c r="AH376">
        <f t="shared" si="48"/>
        <v>226</v>
      </c>
      <c r="AI376">
        <f t="shared" si="49"/>
        <v>198</v>
      </c>
      <c r="AJ376" s="22">
        <f>IF(ISERROR(MATCH(A376,Rosters!$B$2:$B$155,0)),AD376,"")</f>
        <v>-1.4408749999999997</v>
      </c>
      <c r="AK376">
        <f t="shared" si="50"/>
        <v>84</v>
      </c>
      <c r="AL376" s="23">
        <f>COUNTIF(INDEX($C376:$S376,Week+1):INDEX($C376:$S376,13),"&gt;0")</f>
        <v>6</v>
      </c>
    </row>
    <row r="377" spans="1:38" x14ac:dyDescent="0.25">
      <c r="A377" t="s">
        <v>86</v>
      </c>
      <c r="B377" t="s">
        <v>87</v>
      </c>
      <c r="C377">
        <v>9.16</v>
      </c>
      <c r="D377">
        <v>12.02</v>
      </c>
      <c r="E377">
        <v>14.39</v>
      </c>
      <c r="F377">
        <v>14.99</v>
      </c>
      <c r="G377">
        <v>12.21</v>
      </c>
      <c r="H377">
        <v>9.77</v>
      </c>
      <c r="I377">
        <v>13.77</v>
      </c>
      <c r="J377">
        <v>13.69</v>
      </c>
      <c r="K377" t="s">
        <v>64</v>
      </c>
      <c r="L377">
        <v>12.38</v>
      </c>
      <c r="M377">
        <v>13.1</v>
      </c>
      <c r="N377">
        <v>9.57</v>
      </c>
      <c r="O377">
        <v>9.86</v>
      </c>
      <c r="P377">
        <v>13.14</v>
      </c>
      <c r="Q377">
        <v>10.58</v>
      </c>
      <c r="R377">
        <v>12.46</v>
      </c>
      <c r="S377">
        <v>13.44</v>
      </c>
      <c r="T377" s="2">
        <f>IF('ROS Rankings'!$AD$1,IFERROR(AVERAGE(INDEX($C377:$S377,14):INDEX($C377:$S377,17)),0),IFERROR(AVERAGE(INDEX($C377:$S377,Week+1):INDEX($C377:$S377,13)),0))</f>
        <v>11.734285714285715</v>
      </c>
      <c r="U377" s="2" t="str">
        <f t="shared" si="52"/>
        <v/>
      </c>
      <c r="V377" s="2" t="str">
        <f t="shared" si="52"/>
        <v/>
      </c>
      <c r="W377" s="2">
        <f t="shared" si="52"/>
        <v>11.734285714285715</v>
      </c>
      <c r="X377" s="2" t="str">
        <f t="shared" si="52"/>
        <v/>
      </c>
      <c r="Y377" s="2" t="str">
        <f t="shared" si="52"/>
        <v/>
      </c>
      <c r="Z377" s="2" t="str">
        <f t="shared" si="52"/>
        <v/>
      </c>
      <c r="AA377" s="23" t="str">
        <f t="shared" si="45"/>
        <v>WR10</v>
      </c>
      <c r="AB377" s="2">
        <f>$T377-VLOOKUP($B377,Scores!$AG$1:$AM$7,5,FALSE)</f>
        <v>1.3628571428571448</v>
      </c>
      <c r="AC377" s="2">
        <f>$T377-VLOOKUP($B377,Scores!$AG$1:$AM$7,6,FALSE)</f>
        <v>3.7028571428571428</v>
      </c>
      <c r="AD377" s="2">
        <f>$T377-VLOOKUP($B377,Scores!$AG$1:$AM$7,7,FALSE)+(ROW(A376)/1000000)</f>
        <v>5.6818045714285725</v>
      </c>
      <c r="AE377" s="2">
        <f t="array" ref="AE377">IF('ROS Rankings'!$AD$1,IFERROR(AVERAGE(IF(INDEX($C377:$S377,14):INDEX($C377:$S377,17)="NA",0,INDEX($C377:$S377,14):INDEX($C377:$S377,17))-INDEX($AQ$2:$BG$7,MATCH($B377,$AO$2:$AO$7,0),14):INDEX($AQ$2:$BG$7,MATCH($B377,$AO$2:$AO$7,0),17)),0),IFERROR(AVERAGE(IF(INDEX($C377:$S377,Week+1):INDEX($C377:$S377,13)="NA",0,INDEX($C377:$S377,Week+1):INDEX($C377:$S377,13))-INDEX($AQ$2:$BG$7,MATCH($B377,$AO$2:$AO$7,0),Week+1):INDEX($AQ$2:$BG$7,MATCH($B377,$AO$2:$AO$7,0),13)),0))+ROW(A376)/1000000</f>
        <v>4.9116259999999992</v>
      </c>
      <c r="AF377">
        <f t="shared" si="46"/>
        <v>23</v>
      </c>
      <c r="AG377">
        <f t="shared" si="47"/>
        <v>24</v>
      </c>
      <c r="AH377">
        <f t="shared" si="48"/>
        <v>23</v>
      </c>
      <c r="AI377">
        <f t="shared" si="49"/>
        <v>25</v>
      </c>
      <c r="AJ377" s="22" t="str">
        <f>IF(ISERROR(MATCH(A377,Rosters!$B$2:$B$155,0)),AD377,"")</f>
        <v/>
      </c>
      <c r="AK377" t="str">
        <f t="shared" si="50"/>
        <v/>
      </c>
      <c r="AL377" s="23">
        <f>COUNTIF(INDEX($C377:$S377,Week+1):INDEX($C377:$S377,13),"&gt;0")</f>
        <v>7</v>
      </c>
    </row>
    <row r="378" spans="1:38" x14ac:dyDescent="0.25">
      <c r="A378" t="s">
        <v>2968</v>
      </c>
      <c r="B378" t="s">
        <v>114</v>
      </c>
      <c r="C378" t="s">
        <v>64</v>
      </c>
      <c r="D378">
        <v>0.52</v>
      </c>
      <c r="E378">
        <v>0.67</v>
      </c>
      <c r="F378">
        <v>0.66</v>
      </c>
      <c r="G378">
        <v>0.55000000000000004</v>
      </c>
      <c r="H378">
        <v>0.5</v>
      </c>
      <c r="I378">
        <v>0.57999999999999996</v>
      </c>
      <c r="J378">
        <v>0.41</v>
      </c>
      <c r="K378">
        <v>0.55000000000000004</v>
      </c>
      <c r="L378">
        <v>0.61</v>
      </c>
      <c r="M378" t="s">
        <v>64</v>
      </c>
      <c r="N378">
        <v>0.55000000000000004</v>
      </c>
      <c r="O378">
        <v>0.6</v>
      </c>
      <c r="P378">
        <v>0.51</v>
      </c>
      <c r="Q378">
        <v>0.51</v>
      </c>
      <c r="R378">
        <v>0.56999999999999995</v>
      </c>
      <c r="S378">
        <v>0.53</v>
      </c>
      <c r="T378" s="2">
        <f>IF('ROS Rankings'!$AD$1,IFERROR(AVERAGE(INDEX($C378:$S378,14):INDEX($C378:$S378,17)),0),IFERROR(AVERAGE(INDEX($C378:$S378,Week+1):INDEX($C378:$S378,13)),0))</f>
        <v>0.54285714285714293</v>
      </c>
      <c r="U378" s="2" t="str">
        <f t="shared" si="52"/>
        <v/>
      </c>
      <c r="V378" s="2" t="str">
        <f t="shared" si="52"/>
        <v/>
      </c>
      <c r="W378" s="2" t="str">
        <f t="shared" si="52"/>
        <v/>
      </c>
      <c r="X378" s="2">
        <f t="shared" si="52"/>
        <v>0.54285714285714293</v>
      </c>
      <c r="Y378" s="2" t="str">
        <f t="shared" si="52"/>
        <v/>
      </c>
      <c r="Z378" s="2" t="str">
        <f t="shared" si="52"/>
        <v/>
      </c>
      <c r="AA378" s="23" t="str">
        <f t="shared" si="45"/>
        <v>TE78</v>
      </c>
      <c r="AB378" s="2">
        <f>$T378-VLOOKUP($B378,Scores!$AG$1:$AM$7,5,FALSE)</f>
        <v>-6.4558928571428567</v>
      </c>
      <c r="AC378" s="2">
        <f>$T378-VLOOKUP($B378,Scores!$AG$1:$AM$7,6,FALSE)</f>
        <v>-4.7071428571428573</v>
      </c>
      <c r="AD378" s="2">
        <f>$T378-VLOOKUP($B378,Scores!$AG$1:$AM$7,7,FALSE)+(ROW(A377)/1000000)</f>
        <v>-4.6367658571428567</v>
      </c>
      <c r="AE378" s="2">
        <f t="array" ref="AE378">IF('ROS Rankings'!$AD$1,IFERROR(AVERAGE(IF(INDEX($C378:$S378,14):INDEX($C378:$S378,17)="NA",0,INDEX($C378:$S378,14):INDEX($C378:$S378,17))-INDEX($AQ$2:$BG$7,MATCH($B378,$AO$2:$AO$7,0),14):INDEX($AQ$2:$BG$7,MATCH($B378,$AO$2:$AO$7,0),17)),0),IFERROR(AVERAGE(IF(INDEX($C378:$S378,Week+1):INDEX($C378:$S378,13)="NA",0,INDEX($C378:$S378,Week+1):INDEX($C378:$S378,13))-INDEX($AQ$2:$BG$7,MATCH($B378,$AO$2:$AO$7,0),Week+1):INDEX($AQ$2:$BG$7,MATCH($B378,$AO$2:$AO$7,0),13)),0))+ROW(A377)/1000000</f>
        <v>-4.6221230000000002</v>
      </c>
      <c r="AF378">
        <f t="shared" si="46"/>
        <v>308</v>
      </c>
      <c r="AG378">
        <f t="shared" si="47"/>
        <v>324</v>
      </c>
      <c r="AH378">
        <f t="shared" si="48"/>
        <v>370</v>
      </c>
      <c r="AI378">
        <f t="shared" si="49"/>
        <v>388</v>
      </c>
      <c r="AJ378" s="22">
        <f>IF(ISERROR(MATCH(A378,Rosters!$B$2:$B$155,0)),AD378,"")</f>
        <v>-4.6367658571428567</v>
      </c>
      <c r="AK378">
        <f t="shared" si="50"/>
        <v>218</v>
      </c>
      <c r="AL378" s="23">
        <f>COUNTIF(INDEX($C378:$S378,Week+1):INDEX($C378:$S378,13),"&gt;0")</f>
        <v>7</v>
      </c>
    </row>
    <row r="379" spans="1:38" x14ac:dyDescent="0.25">
      <c r="A379" t="s">
        <v>328</v>
      </c>
      <c r="B379" t="s">
        <v>47</v>
      </c>
      <c r="C379">
        <v>0.43</v>
      </c>
      <c r="D379">
        <v>0.45</v>
      </c>
      <c r="E379">
        <v>0.46</v>
      </c>
      <c r="F379">
        <v>0.79</v>
      </c>
      <c r="G379">
        <v>0.57999999999999996</v>
      </c>
      <c r="H379">
        <v>0.67</v>
      </c>
      <c r="I379">
        <v>0.49</v>
      </c>
      <c r="J379">
        <v>0.55000000000000004</v>
      </c>
      <c r="K379">
        <v>0.5</v>
      </c>
      <c r="L379">
        <v>0.39</v>
      </c>
      <c r="M379" t="s">
        <v>64</v>
      </c>
      <c r="N379">
        <v>0.53</v>
      </c>
      <c r="O379">
        <v>0.49</v>
      </c>
      <c r="P379">
        <v>0.4</v>
      </c>
      <c r="Q379">
        <v>0.61</v>
      </c>
      <c r="R379">
        <v>0.52</v>
      </c>
      <c r="S379">
        <v>0.51</v>
      </c>
      <c r="T379" s="2">
        <f>IF('ROS Rankings'!$AD$1,IFERROR(AVERAGE(INDEX($C379:$S379,14):INDEX($C379:$S379,17)),0),IFERROR(AVERAGE(INDEX($C379:$S379,Week+1):INDEX($C379:$S379,13)),0))</f>
        <v>0.51714285714285713</v>
      </c>
      <c r="U379" s="2" t="str">
        <f t="shared" si="52"/>
        <v/>
      </c>
      <c r="V379" s="2">
        <f t="shared" si="52"/>
        <v>0.51714285714285713</v>
      </c>
      <c r="W379" s="2" t="str">
        <f t="shared" si="52"/>
        <v/>
      </c>
      <c r="X379" s="2" t="str">
        <f t="shared" si="52"/>
        <v/>
      </c>
      <c r="Y379" s="2" t="str">
        <f t="shared" si="52"/>
        <v/>
      </c>
      <c r="Z379" s="2" t="str">
        <f t="shared" si="52"/>
        <v/>
      </c>
      <c r="AA379" s="23" t="str">
        <f t="shared" si="45"/>
        <v>RB118</v>
      </c>
      <c r="AB379" s="2">
        <f>$T379-VLOOKUP($B379,Scores!$AG$1:$AM$7,5,FALSE)</f>
        <v>-11.241428571428571</v>
      </c>
      <c r="AC379" s="2">
        <f>$T379-VLOOKUP($B379,Scores!$AG$1:$AM$7,6,FALSE)</f>
        <v>-7.7528571428571444</v>
      </c>
      <c r="AD379" s="2">
        <f>$T379-VLOOKUP($B379,Scores!$AG$1:$AM$7,7,FALSE)+(ROW(A378)/1000000)</f>
        <v>-5.3510505714285719</v>
      </c>
      <c r="AE379" s="2">
        <f t="array" ref="AE379">IF('ROS Rankings'!$AD$1,IFERROR(AVERAGE(IF(INDEX($C379:$S379,14):INDEX($C379:$S379,17)="NA",0,INDEX($C379:$S379,14):INDEX($C379:$S379,17))-INDEX($AQ$2:$BG$7,MATCH($B379,$AO$2:$AO$7,0),14):INDEX($AQ$2:$BG$7,MATCH($B379,$AO$2:$AO$7,0),17)),0),IFERROR(AVERAGE(IF(INDEX($C379:$S379,Week+1):INDEX($C379:$S379,13)="NA",0,INDEX($C379:$S379,Week+1):INDEX($C379:$S379,13))-INDEX($AQ$2:$BG$7,MATCH($B379,$AO$2:$AO$7,0),Week+1):INDEX($AQ$2:$BG$7,MATCH($B379,$AO$2:$AO$7,0),13)),0))+ROW(A378)/1000000</f>
        <v>-4.9071220000000002</v>
      </c>
      <c r="AF379">
        <f t="shared" si="46"/>
        <v>506</v>
      </c>
      <c r="AG379">
        <f t="shared" si="47"/>
        <v>500</v>
      </c>
      <c r="AH379">
        <f t="shared" si="48"/>
        <v>454</v>
      </c>
      <c r="AI379">
        <f t="shared" si="49"/>
        <v>479</v>
      </c>
      <c r="AJ379" s="22">
        <f>IF(ISERROR(MATCH(A379,Rosters!$B$2:$B$155,0)),AD379,"")</f>
        <v>-5.3510505714285719</v>
      </c>
      <c r="AK379">
        <f t="shared" si="50"/>
        <v>302</v>
      </c>
      <c r="AL379" s="23">
        <f>COUNTIF(INDEX($C379:$S379,Week+1):INDEX($C379:$S379,13),"&gt;0")</f>
        <v>7</v>
      </c>
    </row>
    <row r="380" spans="1:38" x14ac:dyDescent="0.25">
      <c r="A380" t="s">
        <v>302</v>
      </c>
      <c r="B380" t="s">
        <v>15</v>
      </c>
      <c r="C380">
        <v>14.56</v>
      </c>
      <c r="D380">
        <v>18.649999999999999</v>
      </c>
      <c r="E380">
        <v>20.22</v>
      </c>
      <c r="F380">
        <v>21.9</v>
      </c>
      <c r="G380">
        <v>20.13</v>
      </c>
      <c r="H380">
        <v>22.49</v>
      </c>
      <c r="I380">
        <v>24.54</v>
      </c>
      <c r="J380">
        <v>21.25</v>
      </c>
      <c r="K380">
        <v>20.22</v>
      </c>
      <c r="L380">
        <v>18.63</v>
      </c>
      <c r="M380">
        <v>20.63</v>
      </c>
      <c r="N380" t="s">
        <v>64</v>
      </c>
      <c r="O380">
        <v>24.52</v>
      </c>
      <c r="P380">
        <v>21.69</v>
      </c>
      <c r="Q380">
        <v>23.93</v>
      </c>
      <c r="R380">
        <v>19.47</v>
      </c>
      <c r="S380">
        <v>26.26</v>
      </c>
      <c r="T380" s="2">
        <f>IF('ROS Rankings'!$AD$1,IFERROR(AVERAGE(INDEX($C380:$S380,14):INDEX($C380:$S380,17)),0),IFERROR(AVERAGE(INDEX($C380:$S380,Week+1):INDEX($C380:$S380,13)),0))</f>
        <v>21.754285714285714</v>
      </c>
      <c r="U380" s="2">
        <f t="shared" si="52"/>
        <v>21.754285714285714</v>
      </c>
      <c r="V380" s="2" t="str">
        <f t="shared" si="52"/>
        <v/>
      </c>
      <c r="W380" s="2" t="str">
        <f t="shared" si="52"/>
        <v/>
      </c>
      <c r="X380" s="2" t="str">
        <f t="shared" si="52"/>
        <v/>
      </c>
      <c r="Y380" s="2" t="str">
        <f t="shared" si="52"/>
        <v/>
      </c>
      <c r="Z380" s="2" t="str">
        <f t="shared" si="52"/>
        <v/>
      </c>
      <c r="AA380" s="23" t="str">
        <f t="shared" si="45"/>
        <v>QB1</v>
      </c>
      <c r="AB380" s="2">
        <f>$T380-VLOOKUP($B380,Scores!$AG$1:$AM$7,5,FALSE)</f>
        <v>0.87000000000000099</v>
      </c>
      <c r="AC380" s="2">
        <f>$T380-VLOOKUP($B380,Scores!$AG$1:$AM$7,6,FALSE)</f>
        <v>1.8505357142857157</v>
      </c>
      <c r="AD380" s="2">
        <f>$T380-VLOOKUP($B380,Scores!$AG$1:$AM$7,7,FALSE)+(ROW(A379)/1000000)</f>
        <v>2.2546647142857181</v>
      </c>
      <c r="AE380" s="2">
        <f t="array" ref="AE380">IF('ROS Rankings'!$AD$1,IFERROR(AVERAGE(IF(INDEX($C380:$S380,14):INDEX($C380:$S380,17)="NA",0,INDEX($C380:$S380,14):INDEX($C380:$S380,17))-INDEX($AQ$2:$BG$7,MATCH($B380,$AO$2:$AO$7,0),14):INDEX($AQ$2:$BG$7,MATCH($B380,$AO$2:$AO$7,0),17)),0),IFERROR(AVERAGE(IF(INDEX($C380:$S380,Week+1):INDEX($C380:$S380,13)="NA",0,INDEX($C380:$S380,Week+1):INDEX($C380:$S380,13))-INDEX($AQ$2:$BG$7,MATCH($B380,$AO$2:$AO$7,0),Week+1):INDEX($AQ$2:$BG$7,MATCH($B380,$AO$2:$AO$7,0),13)),0))+ROW(A379)/1000000</f>
        <v>0.53287899999999933</v>
      </c>
      <c r="AF380">
        <f t="shared" si="46"/>
        <v>28</v>
      </c>
      <c r="AG380">
        <f t="shared" si="47"/>
        <v>42</v>
      </c>
      <c r="AH380">
        <f t="shared" si="48"/>
        <v>64</v>
      </c>
      <c r="AI380">
        <f t="shared" si="49"/>
        <v>100</v>
      </c>
      <c r="AJ380" s="22" t="str">
        <f>IF(ISERROR(MATCH(A380,Rosters!$B$2:$B$155,0)),AD380,"")</f>
        <v/>
      </c>
      <c r="AK380" t="str">
        <f t="shared" si="50"/>
        <v/>
      </c>
      <c r="AL380" s="23">
        <f>COUNTIF(INDEX($C380:$S380,Week+1):INDEX($C380:$S380,13),"&gt;0")</f>
        <v>7</v>
      </c>
    </row>
    <row r="381" spans="1:38" x14ac:dyDescent="0.25">
      <c r="A381" t="s">
        <v>3374</v>
      </c>
      <c r="B381" t="s">
        <v>47</v>
      </c>
      <c r="C381" t="s">
        <v>64</v>
      </c>
      <c r="D381">
        <v>0.61</v>
      </c>
      <c r="E381">
        <v>0.41</v>
      </c>
      <c r="F381">
        <v>0.69</v>
      </c>
      <c r="G381">
        <v>0.42</v>
      </c>
      <c r="H381">
        <v>0.47</v>
      </c>
      <c r="I381">
        <v>0.65</v>
      </c>
      <c r="J381">
        <v>0.44</v>
      </c>
      <c r="K381">
        <v>0.69</v>
      </c>
      <c r="L381" t="s">
        <v>64</v>
      </c>
      <c r="M381">
        <v>0.62</v>
      </c>
      <c r="N381">
        <v>0.6</v>
      </c>
      <c r="O381">
        <v>0.66</v>
      </c>
      <c r="P381">
        <v>0.56999999999999995</v>
      </c>
      <c r="Q381">
        <v>0.62</v>
      </c>
      <c r="R381">
        <v>0.62</v>
      </c>
      <c r="S381">
        <v>0.44</v>
      </c>
      <c r="T381" s="2">
        <f>IF('ROS Rankings'!$AD$1,IFERROR(AVERAGE(INDEX($C381:$S381,14):INDEX($C381:$S381,17)),0),IFERROR(AVERAGE(INDEX($C381:$S381,Week+1):INDEX($C381:$S381,13)),0))</f>
        <v>0.59</v>
      </c>
      <c r="U381" s="2" t="str">
        <f t="shared" si="52"/>
        <v/>
      </c>
      <c r="V381" s="2">
        <f t="shared" si="52"/>
        <v>0.59</v>
      </c>
      <c r="W381" s="2" t="str">
        <f t="shared" si="52"/>
        <v/>
      </c>
      <c r="X381" s="2" t="str">
        <f t="shared" si="52"/>
        <v/>
      </c>
      <c r="Y381" s="2" t="str">
        <f t="shared" si="52"/>
        <v/>
      </c>
      <c r="Z381" s="2" t="str">
        <f t="shared" si="52"/>
        <v/>
      </c>
      <c r="AA381" s="23" t="str">
        <f t="shared" si="45"/>
        <v>RB102</v>
      </c>
      <c r="AB381" s="2">
        <f>$T381-VLOOKUP($B381,Scores!$AG$1:$AM$7,5,FALSE)</f>
        <v>-11.168571428571429</v>
      </c>
      <c r="AC381" s="2">
        <f>$T381-VLOOKUP($B381,Scores!$AG$1:$AM$7,6,FALSE)</f>
        <v>-7.6800000000000015</v>
      </c>
      <c r="AD381" s="2">
        <f>$T381-VLOOKUP($B381,Scores!$AG$1:$AM$7,7,FALSE)+(ROW(A380)/1000000)</f>
        <v>-5.2781914285714295</v>
      </c>
      <c r="AE381" s="2">
        <f t="array" ref="AE381">IF('ROS Rankings'!$AD$1,IFERROR(AVERAGE(IF(INDEX($C381:$S381,14):INDEX($C381:$S381,17)="NA",0,INDEX($C381:$S381,14):INDEX($C381:$S381,17))-INDEX($AQ$2:$BG$7,MATCH($B381,$AO$2:$AO$7,0),14):INDEX($AQ$2:$BG$7,MATCH($B381,$AO$2:$AO$7,0),17)),0),IFERROR(AVERAGE(IF(INDEX($C381:$S381,Week+1):INDEX($C381:$S381,13)="NA",0,INDEX($C381:$S381,Week+1):INDEX($C381:$S381,13))-INDEX($AQ$2:$BG$7,MATCH($B381,$AO$2:$AO$7,0),Week+1):INDEX($AQ$2:$BG$7,MATCH($B381,$AO$2:$AO$7,0),13)),0))+ROW(A380)/1000000</f>
        <v>-4.8433700000000002</v>
      </c>
      <c r="AF381">
        <f t="shared" si="46"/>
        <v>490</v>
      </c>
      <c r="AG381">
        <f t="shared" si="47"/>
        <v>480</v>
      </c>
      <c r="AH381">
        <f t="shared" si="48"/>
        <v>428</v>
      </c>
      <c r="AI381">
        <f t="shared" si="49"/>
        <v>448</v>
      </c>
      <c r="AJ381" s="22">
        <f>IF(ISERROR(MATCH(A381,Rosters!$B$2:$B$155,0)),AD381,"")</f>
        <v>-5.2781914285714295</v>
      </c>
      <c r="AK381">
        <f t="shared" si="50"/>
        <v>276</v>
      </c>
      <c r="AL381" s="23">
        <f>COUNTIF(INDEX($C381:$S381,Week+1):INDEX($C381:$S381,13),"&gt;0")</f>
        <v>7</v>
      </c>
    </row>
    <row r="382" spans="1:38" x14ac:dyDescent="0.25">
      <c r="A382" t="s">
        <v>223</v>
      </c>
      <c r="B382" t="s">
        <v>87</v>
      </c>
      <c r="C382">
        <v>5.15</v>
      </c>
      <c r="D382">
        <v>5.46</v>
      </c>
      <c r="E382">
        <v>6.02</v>
      </c>
      <c r="F382" t="s">
        <v>64</v>
      </c>
      <c r="G382">
        <v>5.26</v>
      </c>
      <c r="H382">
        <v>5.45</v>
      </c>
      <c r="I382">
        <v>5.03</v>
      </c>
      <c r="J382">
        <v>5.37</v>
      </c>
      <c r="K382">
        <v>5.52</v>
      </c>
      <c r="L382">
        <v>5.75</v>
      </c>
      <c r="M382">
        <v>5.94</v>
      </c>
      <c r="N382">
        <v>4.88</v>
      </c>
      <c r="O382">
        <v>5.55</v>
      </c>
      <c r="P382">
        <v>5.56</v>
      </c>
      <c r="Q382">
        <v>4.29</v>
      </c>
      <c r="R382">
        <v>5.87</v>
      </c>
      <c r="S382">
        <v>5.7</v>
      </c>
      <c r="T382" s="2">
        <f>IF('ROS Rankings'!$AD$1,IFERROR(AVERAGE(INDEX($C382:$S382,14):INDEX($C382:$S382,17)),0),IFERROR(AVERAGE(INDEX($C382:$S382,Week+1):INDEX($C382:$S382,13)),0))</f>
        <v>5.4362500000000002</v>
      </c>
      <c r="U382" s="2" t="str">
        <f t="shared" si="52"/>
        <v/>
      </c>
      <c r="V382" s="2" t="str">
        <f t="shared" si="52"/>
        <v/>
      </c>
      <c r="W382" s="2">
        <f t="shared" si="52"/>
        <v>5.4362500000000002</v>
      </c>
      <c r="X382" s="2" t="str">
        <f t="shared" si="52"/>
        <v/>
      </c>
      <c r="Y382" s="2" t="str">
        <f t="shared" si="52"/>
        <v/>
      </c>
      <c r="Z382" s="2" t="str">
        <f t="shared" si="52"/>
        <v/>
      </c>
      <c r="AA382" s="23" t="str">
        <f t="shared" si="45"/>
        <v>WR56</v>
      </c>
      <c r="AB382" s="2">
        <f>$T382-VLOOKUP($B382,Scores!$AG$1:$AM$7,5,FALSE)</f>
        <v>-4.9351785714285699</v>
      </c>
      <c r="AC382" s="2">
        <f>$T382-VLOOKUP($B382,Scores!$AG$1:$AM$7,6,FALSE)</f>
        <v>-2.5951785714285718</v>
      </c>
      <c r="AD382" s="2">
        <f>$T382-VLOOKUP($B382,Scores!$AG$1:$AM$7,7,FALSE)+(ROW(A381)/1000000)</f>
        <v>-0.61622614285714228</v>
      </c>
      <c r="AE382" s="2">
        <f t="array" ref="AE382">IF('ROS Rankings'!$AD$1,IFERROR(AVERAGE(IF(INDEX($C382:$S382,14):INDEX($C382:$S382,17)="NA",0,INDEX($C382:$S382,14):INDEX($C382:$S382,17))-INDEX($AQ$2:$BG$7,MATCH($B382,$AO$2:$AO$7,0),14):INDEX($AQ$2:$BG$7,MATCH($B382,$AO$2:$AO$7,0),17)),0),IFERROR(AVERAGE(IF(INDEX($C382:$S382,Week+1):INDEX($C382:$S382,13)="NA",0,INDEX($C382:$S382,Week+1):INDEX($C382:$S382,13))-INDEX($AQ$2:$BG$7,MATCH($B382,$AO$2:$AO$7,0),Week+1):INDEX($AQ$2:$BG$7,MATCH($B382,$AO$2:$AO$7,0),13)),0))+ROW(A381)/1000000</f>
        <v>8.0380999999999966E-2</v>
      </c>
      <c r="AF382">
        <f t="shared" si="46"/>
        <v>232</v>
      </c>
      <c r="AG382">
        <f t="shared" si="47"/>
        <v>221</v>
      </c>
      <c r="AH382">
        <f t="shared" si="48"/>
        <v>182</v>
      </c>
      <c r="AI382">
        <f t="shared" si="49"/>
        <v>116</v>
      </c>
      <c r="AJ382" s="22">
        <f>IF(ISERROR(MATCH(A382,Rosters!$B$2:$B$155,0)),AD382,"")</f>
        <v>-0.61622614285714228</v>
      </c>
      <c r="AK382">
        <f t="shared" si="50"/>
        <v>49</v>
      </c>
      <c r="AL382" s="23">
        <f>COUNTIF(INDEX($C382:$S382,Week+1):INDEX($C382:$S382,13),"&gt;0")</f>
        <v>8</v>
      </c>
    </row>
    <row r="383" spans="1:38" x14ac:dyDescent="0.25">
      <c r="A383" t="s">
        <v>355</v>
      </c>
      <c r="B383" t="s">
        <v>47</v>
      </c>
      <c r="C383">
        <v>7.33</v>
      </c>
      <c r="D383">
        <v>7.37</v>
      </c>
      <c r="E383">
        <v>8.08</v>
      </c>
      <c r="F383">
        <v>8.4499999999999993</v>
      </c>
      <c r="G383" t="s">
        <v>64</v>
      </c>
      <c r="H383">
        <v>8.26</v>
      </c>
      <c r="I383">
        <v>7.49</v>
      </c>
      <c r="J383">
        <v>7.01</v>
      </c>
      <c r="K383">
        <v>7.22</v>
      </c>
      <c r="L383">
        <v>8.64</v>
      </c>
      <c r="M383">
        <v>7.19</v>
      </c>
      <c r="N383">
        <v>6.97</v>
      </c>
      <c r="O383">
        <v>7.95</v>
      </c>
      <c r="P383">
        <v>7.22</v>
      </c>
      <c r="Q383">
        <v>5.88</v>
      </c>
      <c r="R383">
        <v>6.99</v>
      </c>
      <c r="S383">
        <v>9.07</v>
      </c>
      <c r="T383" s="2">
        <f>IF('ROS Rankings'!$AD$1,IFERROR(AVERAGE(INDEX($C383:$S383,14):INDEX($C383:$S383,17)),0),IFERROR(AVERAGE(INDEX($C383:$S383,Week+1):INDEX($C383:$S383,13)),0))</f>
        <v>7.5912499999999996</v>
      </c>
      <c r="U383" s="2" t="str">
        <f t="shared" si="52"/>
        <v/>
      </c>
      <c r="V383" s="2">
        <f t="shared" si="52"/>
        <v>7.5912499999999996</v>
      </c>
      <c r="W383" s="2" t="str">
        <f t="shared" si="52"/>
        <v/>
      </c>
      <c r="X383" s="2" t="str">
        <f t="shared" si="52"/>
        <v/>
      </c>
      <c r="Y383" s="2" t="str">
        <f t="shared" si="52"/>
        <v/>
      </c>
      <c r="Z383" s="2" t="str">
        <f t="shared" si="52"/>
        <v/>
      </c>
      <c r="AA383" s="23" t="str">
        <f t="shared" si="45"/>
        <v>RB31</v>
      </c>
      <c r="AB383" s="2">
        <f>$T383-VLOOKUP($B383,Scores!$AG$1:$AM$7,5,FALSE)</f>
        <v>-4.1673214285714293</v>
      </c>
      <c r="AC383" s="2">
        <f>$T383-VLOOKUP($B383,Scores!$AG$1:$AM$7,6,FALSE)</f>
        <v>-0.67875000000000174</v>
      </c>
      <c r="AD383" s="2">
        <f>$T383-VLOOKUP($B383,Scores!$AG$1:$AM$7,7,FALSE)+(ROW(A382)/1000000)</f>
        <v>1.7230605714285705</v>
      </c>
      <c r="AE383" s="2">
        <f t="array" ref="AE383">IF('ROS Rankings'!$AD$1,IFERROR(AVERAGE(IF(INDEX($C383:$S383,14):INDEX($C383:$S383,17)="NA",0,INDEX($C383:$S383,14):INDEX($C383:$S383,17))-INDEX($AQ$2:$BG$7,MATCH($B383,$AO$2:$AO$7,0),14):INDEX($AQ$2:$BG$7,MATCH($B383,$AO$2:$AO$7,0),17)),0),IFERROR(AVERAGE(IF(INDEX($C383:$S383,Week+1):INDEX($C383:$S383,13)="NA",0,INDEX($C383:$S383,Week+1):INDEX($C383:$S383,13))-INDEX($AQ$2:$BG$7,MATCH($B383,$AO$2:$AO$7,0),Week+1):INDEX($AQ$2:$BG$7,MATCH($B383,$AO$2:$AO$7,0),13)),0))+ROW(A382)/1000000</f>
        <v>2.2316320000000003</v>
      </c>
      <c r="AF383">
        <f t="shared" si="46"/>
        <v>195</v>
      </c>
      <c r="AG383">
        <f t="shared" si="47"/>
        <v>144</v>
      </c>
      <c r="AH383">
        <f t="shared" si="48"/>
        <v>80</v>
      </c>
      <c r="AI383">
        <f t="shared" si="49"/>
        <v>58</v>
      </c>
      <c r="AJ383" s="22" t="str">
        <f>IF(ISERROR(MATCH(A383,Rosters!$B$2:$B$155,0)),AD383,"")</f>
        <v/>
      </c>
      <c r="AK383" t="str">
        <f t="shared" si="50"/>
        <v/>
      </c>
      <c r="AL383" s="23">
        <f>COUNTIF(INDEX($C383:$S383,Week+1):INDEX($C383:$S383,13),"&gt;0")</f>
        <v>8</v>
      </c>
    </row>
    <row r="384" spans="1:38" x14ac:dyDescent="0.25">
      <c r="A384" t="s">
        <v>349</v>
      </c>
      <c r="B384" t="s">
        <v>87</v>
      </c>
      <c r="C384">
        <v>0.94</v>
      </c>
      <c r="D384">
        <v>0</v>
      </c>
      <c r="E384">
        <v>0</v>
      </c>
      <c r="F384">
        <v>0</v>
      </c>
      <c r="G384">
        <v>0</v>
      </c>
      <c r="H384">
        <v>0</v>
      </c>
      <c r="I384">
        <v>0</v>
      </c>
      <c r="J384">
        <v>0</v>
      </c>
      <c r="K384">
        <v>0</v>
      </c>
      <c r="L384">
        <v>1.8</v>
      </c>
      <c r="M384">
        <v>2.39</v>
      </c>
      <c r="N384" t="s">
        <v>64</v>
      </c>
      <c r="O384">
        <v>2.84</v>
      </c>
      <c r="P384">
        <v>1.86</v>
      </c>
      <c r="Q384">
        <v>1.68</v>
      </c>
      <c r="R384">
        <v>1.93</v>
      </c>
      <c r="S384">
        <v>2.36</v>
      </c>
      <c r="T384" s="2">
        <f>IF('ROS Rankings'!$AD$1,IFERROR(AVERAGE(INDEX($C384:$S384,14):INDEX($C384:$S384,17)),0),IFERROR(AVERAGE(INDEX($C384:$S384,Week+1):INDEX($C384:$S384,13)),0))</f>
        <v>1.0042857142857142</v>
      </c>
      <c r="U384" s="2" t="str">
        <f t="shared" si="52"/>
        <v/>
      </c>
      <c r="V384" s="2" t="str">
        <f t="shared" si="52"/>
        <v/>
      </c>
      <c r="W384" s="2">
        <f t="shared" si="52"/>
        <v>1.0042857142857142</v>
      </c>
      <c r="X384" s="2" t="str">
        <f t="shared" si="52"/>
        <v/>
      </c>
      <c r="Y384" s="2" t="str">
        <f t="shared" si="52"/>
        <v/>
      </c>
      <c r="Z384" s="2" t="str">
        <f t="shared" si="52"/>
        <v/>
      </c>
      <c r="AA384" s="23" t="str">
        <f t="shared" si="45"/>
        <v>WR124</v>
      </c>
      <c r="AB384" s="2">
        <f>$T384-VLOOKUP($B384,Scores!$AG$1:$AM$7,5,FALSE)</f>
        <v>-9.3671428571428557</v>
      </c>
      <c r="AC384" s="2">
        <f>$T384-VLOOKUP($B384,Scores!$AG$1:$AM$7,6,FALSE)</f>
        <v>-7.0271428571428576</v>
      </c>
      <c r="AD384" s="2">
        <f>$T384-VLOOKUP($B384,Scores!$AG$1:$AM$7,7,FALSE)+(ROW(A383)/1000000)</f>
        <v>-5.0481884285714278</v>
      </c>
      <c r="AE384" s="2">
        <f t="array" ref="AE384">IF('ROS Rankings'!$AD$1,IFERROR(AVERAGE(IF(INDEX($C384:$S384,14):INDEX($C384:$S384,17)="NA",0,INDEX($C384:$S384,14):INDEX($C384:$S384,17))-INDEX($AQ$2:$BG$7,MATCH($B384,$AO$2:$AO$7,0),14):INDEX($AQ$2:$BG$7,MATCH($B384,$AO$2:$AO$7,0),17)),0),IFERROR(AVERAGE(IF(INDEX($C384:$S384,Week+1):INDEX($C384:$S384,13)="NA",0,INDEX($C384:$S384,Week+1):INDEX($C384:$S384,13))-INDEX($AQ$2:$BG$7,MATCH($B384,$AO$2:$AO$7,0),Week+1):INDEX($AQ$2:$BG$7,MATCH($B384,$AO$2:$AO$7,0),13)),0))+ROW(A383)/1000000</f>
        <v>-4.4771169999999998</v>
      </c>
      <c r="AF384">
        <f t="shared" si="46"/>
        <v>399</v>
      </c>
      <c r="AG384">
        <f t="shared" si="47"/>
        <v>408</v>
      </c>
      <c r="AH384">
        <f t="shared" si="48"/>
        <v>409</v>
      </c>
      <c r="AI384">
        <f t="shared" si="49"/>
        <v>372</v>
      </c>
      <c r="AJ384" s="22">
        <f>IF(ISERROR(MATCH(A384,Rosters!$B$2:$B$155,0)),AD384,"")</f>
        <v>-5.0481884285714278</v>
      </c>
      <c r="AK384">
        <f t="shared" si="50"/>
        <v>257</v>
      </c>
      <c r="AL384" s="23">
        <f>COUNTIF(INDEX($C384:$S384,Week+1):INDEX($C384:$S384,13),"&gt;0")</f>
        <v>3</v>
      </c>
    </row>
    <row r="385" spans="1:38" x14ac:dyDescent="0.25">
      <c r="A385" t="s">
        <v>67</v>
      </c>
      <c r="B385" t="s">
        <v>15</v>
      </c>
      <c r="C385">
        <v>18.28</v>
      </c>
      <c r="D385">
        <v>18.64</v>
      </c>
      <c r="E385">
        <v>16.91</v>
      </c>
      <c r="F385">
        <v>21.56</v>
      </c>
      <c r="G385">
        <v>21.4</v>
      </c>
      <c r="H385">
        <v>19.27</v>
      </c>
      <c r="I385">
        <v>21.56</v>
      </c>
      <c r="J385" t="s">
        <v>64</v>
      </c>
      <c r="K385">
        <v>18.82</v>
      </c>
      <c r="L385">
        <v>20.22</v>
      </c>
      <c r="M385">
        <v>20.75</v>
      </c>
      <c r="N385">
        <v>18.510000000000002</v>
      </c>
      <c r="O385">
        <v>17.7</v>
      </c>
      <c r="P385">
        <v>20.18</v>
      </c>
      <c r="Q385">
        <v>19.149999999999999</v>
      </c>
      <c r="R385">
        <v>19.25</v>
      </c>
      <c r="S385">
        <v>19.559999999999999</v>
      </c>
      <c r="T385" s="2">
        <f>IF('ROS Rankings'!$AD$1,IFERROR(AVERAGE(INDEX($C385:$S385,14):INDEX($C385:$S385,17)),0),IFERROR(AVERAGE(INDEX($C385:$S385,Week+1):INDEX($C385:$S385,13)),0))</f>
        <v>19.547142857142859</v>
      </c>
      <c r="U385" s="2">
        <f t="shared" si="52"/>
        <v>19.547142857142859</v>
      </c>
      <c r="V385" s="2" t="str">
        <f t="shared" si="52"/>
        <v/>
      </c>
      <c r="W385" s="2" t="str">
        <f t="shared" si="52"/>
        <v/>
      </c>
      <c r="X385" s="2" t="str">
        <f t="shared" si="52"/>
        <v/>
      </c>
      <c r="Y385" s="2" t="str">
        <f t="shared" si="52"/>
        <v/>
      </c>
      <c r="Z385" s="2" t="str">
        <f t="shared" si="52"/>
        <v/>
      </c>
      <c r="AA385" s="23" t="str">
        <f t="shared" si="45"/>
        <v>QB13</v>
      </c>
      <c r="AB385" s="2">
        <f>$T385-VLOOKUP($B385,Scores!$AG$1:$AM$7,5,FALSE)</f>
        <v>-1.3371428571428545</v>
      </c>
      <c r="AC385" s="2">
        <f>$T385-VLOOKUP($B385,Scores!$AG$1:$AM$7,6,FALSE)</f>
        <v>-0.35660714285713979</v>
      </c>
      <c r="AD385" s="2">
        <f>$T385-VLOOKUP($B385,Scores!$AG$1:$AM$7,7,FALSE)+(ROW(A384)/1000000)</f>
        <v>4.7526857142862484E-2</v>
      </c>
      <c r="AE385" s="2">
        <f t="array" ref="AE385">IF('ROS Rankings'!$AD$1,IFERROR(AVERAGE(IF(INDEX($C385:$S385,14):INDEX($C385:$S385,17)="NA",0,INDEX($C385:$S385,14):INDEX($C385:$S385,17))-INDEX($AQ$2:$BG$7,MATCH($B385,$AO$2:$AO$7,0),14):INDEX($AQ$2:$BG$7,MATCH($B385,$AO$2:$AO$7,0),17)),0),IFERROR(AVERAGE(IF(INDEX($C385:$S385,Week+1):INDEX($C385:$S385,13)="NA",0,INDEX($C385:$S385,Week+1):INDEX($C385:$S385,13))-INDEX($AQ$2:$BG$7,MATCH($B385,$AO$2:$AO$7,0),Week+1):INDEX($AQ$2:$BG$7,MATCH($B385,$AO$2:$AO$7,0),13)),0))+ROW(A384)/1000000</f>
        <v>-1.3983660000000002</v>
      </c>
      <c r="AF385">
        <f t="shared" si="46"/>
        <v>106</v>
      </c>
      <c r="AG385">
        <f t="shared" si="47"/>
        <v>125</v>
      </c>
      <c r="AH385">
        <f t="shared" si="48"/>
        <v>139</v>
      </c>
      <c r="AI385">
        <f t="shared" si="49"/>
        <v>203</v>
      </c>
      <c r="AJ385" s="22" t="str">
        <f>IF(ISERROR(MATCH(A385,Rosters!$B$2:$B$155,0)),AD385,"")</f>
        <v/>
      </c>
      <c r="AK385" t="str">
        <f t="shared" si="50"/>
        <v/>
      </c>
      <c r="AL385" s="23">
        <f>COUNTIF(INDEX($C385:$S385,Week+1):INDEX($C385:$S385,13),"&gt;0")</f>
        <v>7</v>
      </c>
    </row>
    <row r="386" spans="1:38" x14ac:dyDescent="0.25">
      <c r="A386" t="s">
        <v>243</v>
      </c>
      <c r="B386" t="s">
        <v>87</v>
      </c>
      <c r="C386">
        <v>4.9000000000000004</v>
      </c>
      <c r="D386">
        <v>5.9</v>
      </c>
      <c r="E386">
        <v>5.81</v>
      </c>
      <c r="F386">
        <v>4.04</v>
      </c>
      <c r="G386">
        <v>4.42</v>
      </c>
      <c r="H386">
        <v>4.7699999999999996</v>
      </c>
      <c r="I386">
        <v>3.89</v>
      </c>
      <c r="J386">
        <v>3.5</v>
      </c>
      <c r="K386">
        <v>4.3600000000000003</v>
      </c>
      <c r="L386">
        <v>4</v>
      </c>
      <c r="M386" t="s">
        <v>64</v>
      </c>
      <c r="N386">
        <v>3.66</v>
      </c>
      <c r="O386">
        <v>3.81</v>
      </c>
      <c r="P386">
        <v>4.0999999999999996</v>
      </c>
      <c r="Q386">
        <v>3.4</v>
      </c>
      <c r="R386">
        <v>3.59</v>
      </c>
      <c r="S386">
        <v>3.78</v>
      </c>
      <c r="T386" s="2">
        <f>IF('ROS Rankings'!$AD$1,IFERROR(AVERAGE(INDEX($C386:$S386,14):INDEX($C386:$S386,17)),0),IFERROR(AVERAGE(INDEX($C386:$S386,Week+1):INDEX($C386:$S386,13)),0))</f>
        <v>3.9985714285714282</v>
      </c>
      <c r="U386" s="2" t="str">
        <f t="shared" si="52"/>
        <v/>
      </c>
      <c r="V386" s="2" t="str">
        <f t="shared" si="52"/>
        <v/>
      </c>
      <c r="W386" s="2">
        <f t="shared" si="52"/>
        <v>3.9985714285714282</v>
      </c>
      <c r="X386" s="2" t="str">
        <f t="shared" si="52"/>
        <v/>
      </c>
      <c r="Y386" s="2" t="str">
        <f t="shared" si="52"/>
        <v/>
      </c>
      <c r="Z386" s="2" t="str">
        <f t="shared" si="52"/>
        <v/>
      </c>
      <c r="AA386" s="23" t="str">
        <f t="shared" si="45"/>
        <v>WR81</v>
      </c>
      <c r="AB386" s="2">
        <f>$T386-VLOOKUP($B386,Scores!$AG$1:$AM$7,5,FALSE)</f>
        <v>-6.3728571428571419</v>
      </c>
      <c r="AC386" s="2">
        <f>$T386-VLOOKUP($B386,Scores!$AG$1:$AM$7,6,FALSE)</f>
        <v>-4.0328571428571438</v>
      </c>
      <c r="AD386" s="2">
        <f>$T386-VLOOKUP($B386,Scores!$AG$1:$AM$7,7,FALSE)+(ROW(A385)/1000000)</f>
        <v>-2.0539007142857142</v>
      </c>
      <c r="AE386" s="2">
        <f t="array" ref="AE386">IF('ROS Rankings'!$AD$1,IFERROR(AVERAGE(IF(INDEX($C386:$S386,14):INDEX($C386:$S386,17)="NA",0,INDEX($C386:$S386,14):INDEX($C386:$S386,17))-INDEX($AQ$2:$BG$7,MATCH($B386,$AO$2:$AO$7,0),14):INDEX($AQ$2:$BG$7,MATCH($B386,$AO$2:$AO$7,0),17)),0),IFERROR(AVERAGE(IF(INDEX($C386:$S386,Week+1):INDEX($C386:$S386,13)="NA",0,INDEX($C386:$S386,Week+1):INDEX($C386:$S386,13))-INDEX($AQ$2:$BG$7,MATCH($B386,$AO$2:$AO$7,0),Week+1):INDEX($AQ$2:$BG$7,MATCH($B386,$AO$2:$AO$7,0),13)),0))+ROW(A385)/1000000</f>
        <v>-1.8571149999999998</v>
      </c>
      <c r="AF386">
        <f t="shared" si="46"/>
        <v>298</v>
      </c>
      <c r="AG386">
        <f t="shared" si="47"/>
        <v>298</v>
      </c>
      <c r="AH386">
        <f t="shared" si="48"/>
        <v>248</v>
      </c>
      <c r="AI386">
        <f t="shared" si="49"/>
        <v>230</v>
      </c>
      <c r="AJ386" s="22">
        <f>IF(ISERROR(MATCH(A386,Rosters!$B$2:$B$155,0)),AD386,"")</f>
        <v>-2.0539007142857142</v>
      </c>
      <c r="AK386">
        <f t="shared" si="50"/>
        <v>104</v>
      </c>
      <c r="AL386" s="23">
        <f>COUNTIF(INDEX($C386:$S386,Week+1):INDEX($C386:$S386,13),"&gt;0")</f>
        <v>7</v>
      </c>
    </row>
    <row r="387" spans="1:38" x14ac:dyDescent="0.25">
      <c r="A387" t="s">
        <v>3533</v>
      </c>
      <c r="B387" t="s">
        <v>47</v>
      </c>
      <c r="C387">
        <v>0.65</v>
      </c>
      <c r="D387">
        <v>5.46</v>
      </c>
      <c r="E387">
        <v>7.31</v>
      </c>
      <c r="F387">
        <v>8.16</v>
      </c>
      <c r="G387">
        <v>7.95</v>
      </c>
      <c r="H387">
        <v>9.67</v>
      </c>
      <c r="I387">
        <v>7.96</v>
      </c>
      <c r="J387">
        <v>9.25</v>
      </c>
      <c r="K387">
        <v>8.5500000000000007</v>
      </c>
      <c r="L387" t="s">
        <v>64</v>
      </c>
      <c r="M387">
        <v>8.85</v>
      </c>
      <c r="N387">
        <v>9.1999999999999993</v>
      </c>
      <c r="O387">
        <v>8.92</v>
      </c>
      <c r="P387">
        <v>8.6</v>
      </c>
      <c r="Q387">
        <v>6.41</v>
      </c>
      <c r="R387">
        <v>8.5299999999999994</v>
      </c>
      <c r="S387">
        <v>9.66</v>
      </c>
      <c r="T387" s="2">
        <f>IF('ROS Rankings'!$AD$1,IFERROR(AVERAGE(INDEX($C387:$S387,14):INDEX($C387:$S387,17)),0),IFERROR(AVERAGE(INDEX($C387:$S387,Week+1):INDEX($C387:$S387,13)),0))</f>
        <v>8.9142857142857146</v>
      </c>
      <c r="U387" s="2" t="str">
        <f t="shared" si="52"/>
        <v/>
      </c>
      <c r="V387" s="2">
        <f t="shared" si="52"/>
        <v>8.9142857142857146</v>
      </c>
      <c r="W387" s="2" t="str">
        <f t="shared" si="52"/>
        <v/>
      </c>
      <c r="X387" s="2" t="str">
        <f t="shared" si="52"/>
        <v/>
      </c>
      <c r="Y387" s="2" t="str">
        <f t="shared" si="52"/>
        <v/>
      </c>
      <c r="Z387" s="2" t="str">
        <f t="shared" si="52"/>
        <v/>
      </c>
      <c r="AA387" s="23" t="str">
        <f t="shared" ref="AA387:AA450" si="53">$B387&amp;_xlfn.RANK.EQ($T387,INDEX($U$2:$Z$561,,MATCH($B387,$U$1:$Z$1,0)),0)</f>
        <v>RB21</v>
      </c>
      <c r="AB387" s="2">
        <f>$T387-VLOOKUP($B387,Scores!$AG$1:$AM$7,5,FALSE)</f>
        <v>-2.8442857142857143</v>
      </c>
      <c r="AC387" s="2">
        <f>$T387-VLOOKUP($B387,Scores!$AG$1:$AM$7,6,FALSE)</f>
        <v>0.64428571428571324</v>
      </c>
      <c r="AD387" s="2">
        <f>$T387-VLOOKUP($B387,Scores!$AG$1:$AM$7,7,FALSE)+(ROW(A386)/1000000)</f>
        <v>3.0461002857142856</v>
      </c>
      <c r="AE387" s="2">
        <f t="array" ref="AE387">IF('ROS Rankings'!$AD$1,IFERROR(AVERAGE(IF(INDEX($C387:$S387,14):INDEX($C387:$S387,17)="NA",0,INDEX($C387:$S387,14):INDEX($C387:$S387,17))-INDEX($AQ$2:$BG$7,MATCH($B387,$AO$2:$AO$7,0),14):INDEX($AQ$2:$BG$7,MATCH($B387,$AO$2:$AO$7,0),17)),0),IFERROR(AVERAGE(IF(INDEX($C387:$S387,Week+1):INDEX($C387:$S387,13)="NA",0,INDEX($C387:$S387,Week+1):INDEX($C387:$S387,13))-INDEX($AQ$2:$BG$7,MATCH($B387,$AO$2:$AO$7,0),Week+1):INDEX($AQ$2:$BG$7,MATCH($B387,$AO$2:$AO$7,0),13)),0))+ROW(A386)/1000000</f>
        <v>2.4403860000000002</v>
      </c>
      <c r="AF387">
        <f t="shared" ref="AF387:AF450" si="54">_xlfn.RANK.EQ(AB387,AB$2:AB$561,0)</f>
        <v>157</v>
      </c>
      <c r="AG387">
        <f t="shared" ref="AG387:AG450" si="55">_xlfn.RANK.EQ(AC387,AC$2:AC$561,0)</f>
        <v>68</v>
      </c>
      <c r="AH387">
        <f t="shared" ref="AH387:AH450" si="56">_xlfn.RANK.EQ(AD387,AD$2:AD$561,0)</f>
        <v>47</v>
      </c>
      <c r="AI387">
        <f t="shared" ref="AI387:AI450" si="57">_xlfn.RANK.EQ(AE387,AE$2:AE$561,0)</f>
        <v>52</v>
      </c>
      <c r="AJ387" s="22" t="str">
        <f>IF(ISERROR(MATCH(A387,Rosters!$B$2:$B$155,0)),AD387,"")</f>
        <v/>
      </c>
      <c r="AK387" t="str">
        <f t="shared" ref="AK387:AK450" si="58">IFERROR(_xlfn.RANK.EQ(AJ387,$AJ$2:$AJ$561,0),"")</f>
        <v/>
      </c>
      <c r="AL387" s="23">
        <f>COUNTIF(INDEX($C387:$S387,Week+1):INDEX($C387:$S387,13),"&gt;0")</f>
        <v>7</v>
      </c>
    </row>
    <row r="388" spans="1:38" x14ac:dyDescent="0.25">
      <c r="A388" t="s">
        <v>160</v>
      </c>
      <c r="B388" t="s">
        <v>87</v>
      </c>
      <c r="C388">
        <v>6.37</v>
      </c>
      <c r="D388">
        <v>8.51</v>
      </c>
      <c r="E388">
        <v>6.65</v>
      </c>
      <c r="F388">
        <v>5.27</v>
      </c>
      <c r="G388">
        <v>6.23</v>
      </c>
      <c r="H388">
        <v>6.29</v>
      </c>
      <c r="I388">
        <v>5.0999999999999996</v>
      </c>
      <c r="J388">
        <v>6.03</v>
      </c>
      <c r="K388">
        <v>6.43</v>
      </c>
      <c r="L388">
        <v>7.16</v>
      </c>
      <c r="M388" t="s">
        <v>64</v>
      </c>
      <c r="N388">
        <v>5.79</v>
      </c>
      <c r="O388">
        <v>6.19</v>
      </c>
      <c r="P388">
        <v>6.29</v>
      </c>
      <c r="Q388">
        <v>6.33</v>
      </c>
      <c r="R388">
        <v>6.3</v>
      </c>
      <c r="S388">
        <v>4.97</v>
      </c>
      <c r="T388" s="2">
        <f>IF('ROS Rankings'!$AD$1,IFERROR(AVERAGE(INDEX($C388:$S388,14):INDEX($C388:$S388,17)),0),IFERROR(AVERAGE(INDEX($C388:$S388,Week+1):INDEX($C388:$S388,13)),0))</f>
        <v>6.1414285714285715</v>
      </c>
      <c r="U388" s="2" t="str">
        <f t="shared" si="52"/>
        <v/>
      </c>
      <c r="V388" s="2" t="str">
        <f t="shared" si="52"/>
        <v/>
      </c>
      <c r="W388" s="2">
        <f t="shared" si="52"/>
        <v>6.1414285714285715</v>
      </c>
      <c r="X388" s="2" t="str">
        <f t="shared" ref="X388:Z451" si="59">IF($B388=X$1,$T388,"")</f>
        <v/>
      </c>
      <c r="Y388" s="2" t="str">
        <f t="shared" si="59"/>
        <v/>
      </c>
      <c r="Z388" s="2" t="str">
        <f t="shared" si="59"/>
        <v/>
      </c>
      <c r="AA388" s="23" t="str">
        <f t="shared" si="53"/>
        <v>WR52</v>
      </c>
      <c r="AB388" s="2">
        <f>$T388-VLOOKUP($B388,Scores!$AG$1:$AM$7,5,FALSE)</f>
        <v>-4.2299999999999986</v>
      </c>
      <c r="AC388" s="2">
        <f>$T388-VLOOKUP($B388,Scores!$AG$1:$AM$7,6,FALSE)</f>
        <v>-1.8900000000000006</v>
      </c>
      <c r="AD388" s="2">
        <f>$T388-VLOOKUP($B388,Scores!$AG$1:$AM$7,7,FALSE)+(ROW(A387)/1000000)</f>
        <v>8.8958428571428966E-2</v>
      </c>
      <c r="AE388" s="2">
        <f t="array" ref="AE388">IF('ROS Rankings'!$AD$1,IFERROR(AVERAGE(IF(INDEX($C388:$S388,14):INDEX($C388:$S388,17)="NA",0,INDEX($C388:$S388,14):INDEX($C388:$S388,17))-INDEX($AQ$2:$BG$7,MATCH($B388,$AO$2:$AO$7,0),14):INDEX($AQ$2:$BG$7,MATCH($B388,$AO$2:$AO$7,0),17)),0),IFERROR(AVERAGE(IF(INDEX($C388:$S388,Week+1):INDEX($C388:$S388,13)="NA",0,INDEX($C388:$S388,Week+1):INDEX($C388:$S388,13))-INDEX($AQ$2:$BG$7,MATCH($B388,$AO$2:$AO$7,0),Week+1):INDEX($AQ$2:$BG$7,MATCH($B388,$AO$2:$AO$7,0),13)),0))+ROW(A387)/1000000</f>
        <v>1.7886999999999958E-2</v>
      </c>
      <c r="AF388">
        <f t="shared" si="54"/>
        <v>201</v>
      </c>
      <c r="AG388">
        <f t="shared" si="55"/>
        <v>195</v>
      </c>
      <c r="AH388">
        <f t="shared" si="56"/>
        <v>136</v>
      </c>
      <c r="AI388">
        <f t="shared" si="57"/>
        <v>121</v>
      </c>
      <c r="AJ388" s="22">
        <f>IF(ISERROR(MATCH(A388,Rosters!$B$2:$B$155,0)),AD388,"")</f>
        <v>8.8958428571428966E-2</v>
      </c>
      <c r="AK388">
        <f t="shared" si="58"/>
        <v>17</v>
      </c>
      <c r="AL388" s="23">
        <f>COUNTIF(INDEX($C388:$S388,Week+1):INDEX($C388:$S388,13),"&gt;0")</f>
        <v>7</v>
      </c>
    </row>
    <row r="389" spans="1:38" x14ac:dyDescent="0.25">
      <c r="A389" t="s">
        <v>1372</v>
      </c>
      <c r="B389" t="s">
        <v>87</v>
      </c>
      <c r="C389">
        <v>5.8</v>
      </c>
      <c r="D389">
        <v>7.81</v>
      </c>
      <c r="E389">
        <v>9.82</v>
      </c>
      <c r="F389">
        <v>8.15</v>
      </c>
      <c r="G389">
        <v>8.65</v>
      </c>
      <c r="H389">
        <v>10.02</v>
      </c>
      <c r="I389">
        <v>9.26</v>
      </c>
      <c r="J389">
        <v>8.0299999999999994</v>
      </c>
      <c r="K389">
        <v>8.9499999999999993</v>
      </c>
      <c r="L389">
        <v>8.92</v>
      </c>
      <c r="M389" t="s">
        <v>64</v>
      </c>
      <c r="N389">
        <v>10.17</v>
      </c>
      <c r="O389">
        <v>8.4700000000000006</v>
      </c>
      <c r="P389">
        <v>8.6300000000000008</v>
      </c>
      <c r="Q389">
        <v>9.57</v>
      </c>
      <c r="R389">
        <v>9.9499999999999993</v>
      </c>
      <c r="S389">
        <v>9.77</v>
      </c>
      <c r="T389" s="2">
        <f>IF('ROS Rankings'!$AD$1,IFERROR(AVERAGE(INDEX($C389:$S389,14):INDEX($C389:$S389,17)),0),IFERROR(AVERAGE(INDEX($C389:$S389,Week+1):INDEX($C389:$S389,13)),0))</f>
        <v>9.1171428571428574</v>
      </c>
      <c r="U389" s="2" t="str">
        <f t="shared" ref="U389:Z452" si="60">IF($B389=U$1,$T389,"")</f>
        <v/>
      </c>
      <c r="V389" s="2" t="str">
        <f t="shared" si="60"/>
        <v/>
      </c>
      <c r="W389" s="2">
        <f t="shared" si="60"/>
        <v>9.1171428571428574</v>
      </c>
      <c r="X389" s="2" t="str">
        <f t="shared" si="60"/>
        <v/>
      </c>
      <c r="Y389" s="2" t="str">
        <f t="shared" si="60"/>
        <v/>
      </c>
      <c r="Z389" s="2" t="str">
        <f t="shared" si="60"/>
        <v/>
      </c>
      <c r="AA389" s="23" t="str">
        <f t="shared" si="53"/>
        <v>WR23</v>
      </c>
      <c r="AB389" s="2">
        <f>$T389-VLOOKUP($B389,Scores!$AG$1:$AM$7,5,FALSE)</f>
        <v>-1.2542857142857127</v>
      </c>
      <c r="AC389" s="2">
        <f>$T389-VLOOKUP($B389,Scores!$AG$1:$AM$7,6,FALSE)</f>
        <v>1.0857142857142854</v>
      </c>
      <c r="AD389" s="2">
        <f>$T389-VLOOKUP($B389,Scores!$AG$1:$AM$7,7,FALSE)+(ROW(A388)/1000000)</f>
        <v>3.064673714285715</v>
      </c>
      <c r="AE389" s="2">
        <f t="array" ref="AE389">IF('ROS Rankings'!$AD$1,IFERROR(AVERAGE(IF(INDEX($C389:$S389,14):INDEX($C389:$S389,17)="NA",0,INDEX($C389:$S389,14):INDEX($C389:$S389,17))-INDEX($AQ$2:$BG$7,MATCH($B389,$AO$2:$AO$7,0),14):INDEX($AQ$2:$BG$7,MATCH($B389,$AO$2:$AO$7,0),17)),0),IFERROR(AVERAGE(IF(INDEX($C389:$S389,Week+1):INDEX($C389:$S389,13)="NA",0,INDEX($C389:$S389,Week+1):INDEX($C389:$S389,13))-INDEX($AQ$2:$BG$7,MATCH($B389,$AO$2:$AO$7,0),Week+1):INDEX($AQ$2:$BG$7,MATCH($B389,$AO$2:$AO$7,0),13)),0))+ROW(A388)/1000000</f>
        <v>2.6216379999999999</v>
      </c>
      <c r="AF389">
        <f t="shared" si="54"/>
        <v>103</v>
      </c>
      <c r="AG389">
        <f t="shared" si="55"/>
        <v>58</v>
      </c>
      <c r="AH389">
        <f t="shared" si="56"/>
        <v>46</v>
      </c>
      <c r="AI389">
        <f t="shared" si="57"/>
        <v>46</v>
      </c>
      <c r="AJ389" s="22" t="str">
        <f>IF(ISERROR(MATCH(A389,Rosters!$B$2:$B$155,0)),AD389,"")</f>
        <v/>
      </c>
      <c r="AK389" t="str">
        <f t="shared" si="58"/>
        <v/>
      </c>
      <c r="AL389" s="23">
        <f>COUNTIF(INDEX($C389:$S389,Week+1):INDEX($C389:$S389,13),"&gt;0")</f>
        <v>7</v>
      </c>
    </row>
    <row r="390" spans="1:38" x14ac:dyDescent="0.25">
      <c r="A390" t="s">
        <v>379</v>
      </c>
      <c r="B390" t="s">
        <v>47</v>
      </c>
      <c r="C390">
        <v>0.22</v>
      </c>
      <c r="D390">
        <v>0.36</v>
      </c>
      <c r="E390">
        <v>0.27</v>
      </c>
      <c r="F390">
        <v>0.2</v>
      </c>
      <c r="G390">
        <v>0.25</v>
      </c>
      <c r="H390">
        <v>0.26</v>
      </c>
      <c r="I390">
        <v>0.32</v>
      </c>
      <c r="J390">
        <v>0.25</v>
      </c>
      <c r="K390">
        <v>0.26</v>
      </c>
      <c r="L390">
        <v>0.26</v>
      </c>
      <c r="M390" t="s">
        <v>64</v>
      </c>
      <c r="N390">
        <v>0.24</v>
      </c>
      <c r="O390">
        <v>0.26</v>
      </c>
      <c r="P390">
        <v>0.27</v>
      </c>
      <c r="Q390">
        <v>0.26</v>
      </c>
      <c r="R390">
        <v>0.22</v>
      </c>
      <c r="S390">
        <v>0.31</v>
      </c>
      <c r="T390" s="2">
        <f>IF('ROS Rankings'!$AD$1,IFERROR(AVERAGE(INDEX($C390:$S390,14):INDEX($C390:$S390,17)),0),IFERROR(AVERAGE(INDEX($C390:$S390,Week+1):INDEX($C390:$S390,13)),0))</f>
        <v>0.26428571428571429</v>
      </c>
      <c r="U390" s="2" t="str">
        <f t="shared" si="60"/>
        <v/>
      </c>
      <c r="V390" s="2">
        <f t="shared" si="60"/>
        <v>0.26428571428571429</v>
      </c>
      <c r="W390" s="2" t="str">
        <f t="shared" si="60"/>
        <v/>
      </c>
      <c r="X390" s="2" t="str">
        <f t="shared" si="60"/>
        <v/>
      </c>
      <c r="Y390" s="2" t="str">
        <f t="shared" si="60"/>
        <v/>
      </c>
      <c r="Z390" s="2" t="str">
        <f t="shared" si="60"/>
        <v/>
      </c>
      <c r="AA390" s="23" t="str">
        <f t="shared" si="53"/>
        <v>RB130</v>
      </c>
      <c r="AB390" s="2">
        <f>$T390-VLOOKUP($B390,Scores!$AG$1:$AM$7,5,FALSE)</f>
        <v>-11.494285714285715</v>
      </c>
      <c r="AC390" s="2">
        <f>$T390-VLOOKUP($B390,Scores!$AG$1:$AM$7,6,FALSE)</f>
        <v>-8.0057142857142871</v>
      </c>
      <c r="AD390" s="2">
        <f>$T390-VLOOKUP($B390,Scores!$AG$1:$AM$7,7,FALSE)+(ROW(A389)/1000000)</f>
        <v>-5.6038967142857148</v>
      </c>
      <c r="AE390" s="2">
        <f t="array" ref="AE390">IF('ROS Rankings'!$AD$1,IFERROR(AVERAGE(IF(INDEX($C390:$S390,14):INDEX($C390:$S390,17)="NA",0,INDEX($C390:$S390,14):INDEX($C390:$S390,17))-INDEX($AQ$2:$BG$7,MATCH($B390,$AO$2:$AO$7,0),14):INDEX($AQ$2:$BG$7,MATCH($B390,$AO$2:$AO$7,0),17)),0),IFERROR(AVERAGE(IF(INDEX($C390:$S390,Week+1):INDEX($C390:$S390,13)="NA",0,INDEX($C390:$S390,Week+1):INDEX($C390:$S390,13))-INDEX($AQ$2:$BG$7,MATCH($B390,$AO$2:$AO$7,0),Week+1):INDEX($AQ$2:$BG$7,MATCH($B390,$AO$2:$AO$7,0),13)),0))+ROW(A389)/1000000</f>
        <v>-5.1283609999999999</v>
      </c>
      <c r="AF390">
        <f t="shared" si="54"/>
        <v>518</v>
      </c>
      <c r="AG390">
        <f t="shared" si="55"/>
        <v>513</v>
      </c>
      <c r="AH390">
        <f t="shared" si="56"/>
        <v>499</v>
      </c>
      <c r="AI390">
        <f t="shared" si="57"/>
        <v>504</v>
      </c>
      <c r="AJ390" s="22">
        <f>IF(ISERROR(MATCH(A390,Rosters!$B$2:$B$155,0)),AD390,"")</f>
        <v>-5.6038967142857148</v>
      </c>
      <c r="AK390">
        <f t="shared" si="58"/>
        <v>347</v>
      </c>
      <c r="AL390" s="23">
        <f>COUNTIF(INDEX($C390:$S390,Week+1):INDEX($C390:$S390,13),"&gt;0")</f>
        <v>7</v>
      </c>
    </row>
    <row r="391" spans="1:38" x14ac:dyDescent="0.25">
      <c r="A391" t="s">
        <v>166</v>
      </c>
      <c r="B391" t="s">
        <v>87</v>
      </c>
      <c r="C391">
        <v>8.19</v>
      </c>
      <c r="D391">
        <v>8.0500000000000007</v>
      </c>
      <c r="E391">
        <v>7.92</v>
      </c>
      <c r="F391">
        <v>0</v>
      </c>
      <c r="G391">
        <v>3.02</v>
      </c>
      <c r="H391">
        <v>3.27</v>
      </c>
      <c r="I391" t="s">
        <v>64</v>
      </c>
      <c r="J391">
        <v>7.64</v>
      </c>
      <c r="K391">
        <v>8.52</v>
      </c>
      <c r="L391">
        <v>8.33</v>
      </c>
      <c r="M391">
        <v>7.73</v>
      </c>
      <c r="N391">
        <v>8.1199999999999992</v>
      </c>
      <c r="O391">
        <v>7.28</v>
      </c>
      <c r="P391">
        <v>8.3800000000000008</v>
      </c>
      <c r="Q391">
        <v>7.45</v>
      </c>
      <c r="R391">
        <v>8.23</v>
      </c>
      <c r="S391">
        <v>7.48</v>
      </c>
      <c r="T391" s="2">
        <f>IF('ROS Rankings'!$AD$1,IFERROR(AVERAGE(INDEX($C391:$S391,14):INDEX($C391:$S391,17)),0),IFERROR(AVERAGE(INDEX($C391:$S391,Week+1):INDEX($C391:$S391,13)),0))</f>
        <v>7.2699999999999987</v>
      </c>
      <c r="U391" s="2" t="str">
        <f t="shared" si="60"/>
        <v/>
      </c>
      <c r="V391" s="2" t="str">
        <f t="shared" si="60"/>
        <v/>
      </c>
      <c r="W391" s="2">
        <f t="shared" si="60"/>
        <v>7.2699999999999987</v>
      </c>
      <c r="X391" s="2" t="str">
        <f t="shared" si="60"/>
        <v/>
      </c>
      <c r="Y391" s="2" t="str">
        <f t="shared" si="60"/>
        <v/>
      </c>
      <c r="Z391" s="2" t="str">
        <f t="shared" si="60"/>
        <v/>
      </c>
      <c r="AA391" s="23" t="str">
        <f t="shared" si="53"/>
        <v>WR44</v>
      </c>
      <c r="AB391" s="2">
        <f>$T391-VLOOKUP($B391,Scores!$AG$1:$AM$7,5,FALSE)</f>
        <v>-3.1014285714285714</v>
      </c>
      <c r="AC391" s="2">
        <f>$T391-VLOOKUP($B391,Scores!$AG$1:$AM$7,6,FALSE)</f>
        <v>-0.76142857142857334</v>
      </c>
      <c r="AD391" s="2">
        <f>$T391-VLOOKUP($B391,Scores!$AG$1:$AM$7,7,FALSE)+(ROW(A390)/1000000)</f>
        <v>1.2175328571428561</v>
      </c>
      <c r="AE391" s="2">
        <f t="array" ref="AE391">IF('ROS Rankings'!$AD$1,IFERROR(AVERAGE(IF(INDEX($C391:$S391,14):INDEX($C391:$S391,17)="NA",0,INDEX($C391:$S391,14):INDEX($C391:$S391,17))-INDEX($AQ$2:$BG$7,MATCH($B391,$AO$2:$AO$7,0),14):INDEX($AQ$2:$BG$7,MATCH($B391,$AO$2:$AO$7,0),17)),0),IFERROR(AVERAGE(IF(INDEX($C391:$S391,Week+1):INDEX($C391:$S391,13)="NA",0,INDEX($C391:$S391,Week+1):INDEX($C391:$S391,13))-INDEX($AQ$2:$BG$7,MATCH($B391,$AO$2:$AO$7,0),Week+1):INDEX($AQ$2:$BG$7,MATCH($B391,$AO$2:$AO$7,0),13)),0))+ROW(A390)/1000000</f>
        <v>1.0053899999999998</v>
      </c>
      <c r="AF391">
        <f t="shared" si="54"/>
        <v>166</v>
      </c>
      <c r="AG391">
        <f t="shared" si="55"/>
        <v>149</v>
      </c>
      <c r="AH391">
        <f t="shared" si="56"/>
        <v>97</v>
      </c>
      <c r="AI391">
        <f t="shared" si="57"/>
        <v>88</v>
      </c>
      <c r="AJ391" s="22" t="str">
        <f>IF(ISERROR(MATCH(A391,Rosters!$B$2:$B$155,0)),AD391,"")</f>
        <v/>
      </c>
      <c r="AK391" t="str">
        <f t="shared" si="58"/>
        <v/>
      </c>
      <c r="AL391" s="23">
        <f>COUNTIF(INDEX($C391:$S391,Week+1):INDEX($C391:$S391,13),"&gt;0")</f>
        <v>7</v>
      </c>
    </row>
    <row r="392" spans="1:38" x14ac:dyDescent="0.25">
      <c r="A392" t="s">
        <v>1336</v>
      </c>
      <c r="B392" t="s">
        <v>47</v>
      </c>
      <c r="C392">
        <v>3.38</v>
      </c>
      <c r="D392">
        <v>4.96</v>
      </c>
      <c r="E392">
        <v>7.4</v>
      </c>
      <c r="F392">
        <v>8.49</v>
      </c>
      <c r="G392">
        <v>2.17</v>
      </c>
      <c r="H392">
        <v>2.15</v>
      </c>
      <c r="I392" t="s">
        <v>64</v>
      </c>
      <c r="J392">
        <v>2.0699999999999998</v>
      </c>
      <c r="K392">
        <v>2.0699999999999998</v>
      </c>
      <c r="L392">
        <v>1.99</v>
      </c>
      <c r="M392">
        <v>1.81</v>
      </c>
      <c r="N392">
        <v>1.54</v>
      </c>
      <c r="O392">
        <v>1.7</v>
      </c>
      <c r="P392">
        <v>1.51</v>
      </c>
      <c r="Q392">
        <v>1.58</v>
      </c>
      <c r="R392">
        <v>2.6</v>
      </c>
      <c r="S392">
        <v>1.63</v>
      </c>
      <c r="T392" s="2">
        <f>IF('ROS Rankings'!$AD$1,IFERROR(AVERAGE(INDEX($C392:$S392,14):INDEX($C392:$S392,17)),0),IFERROR(AVERAGE(INDEX($C392:$S392,Week+1):INDEX($C392:$S392,13)),0))</f>
        <v>1.9042857142857141</v>
      </c>
      <c r="U392" s="2" t="str">
        <f t="shared" si="60"/>
        <v/>
      </c>
      <c r="V392" s="2">
        <f t="shared" si="60"/>
        <v>1.9042857142857141</v>
      </c>
      <c r="W392" s="2" t="str">
        <f t="shared" si="60"/>
        <v/>
      </c>
      <c r="X392" s="2" t="str">
        <f t="shared" si="60"/>
        <v/>
      </c>
      <c r="Y392" s="2" t="str">
        <f t="shared" si="60"/>
        <v/>
      </c>
      <c r="Z392" s="2" t="str">
        <f t="shared" si="60"/>
        <v/>
      </c>
      <c r="AA392" s="23" t="str">
        <f t="shared" si="53"/>
        <v>RB75</v>
      </c>
      <c r="AB392" s="2">
        <f>$T392-VLOOKUP($B392,Scores!$AG$1:$AM$7,5,FALSE)</f>
        <v>-9.8542857142857141</v>
      </c>
      <c r="AC392" s="2">
        <f>$T392-VLOOKUP($B392,Scores!$AG$1:$AM$7,6,FALSE)</f>
        <v>-6.3657142857142874</v>
      </c>
      <c r="AD392" s="2">
        <f>$T392-VLOOKUP($B392,Scores!$AG$1:$AM$7,7,FALSE)+(ROW(A391)/1000000)</f>
        <v>-3.9638947142857153</v>
      </c>
      <c r="AE392" s="2">
        <f t="array" ref="AE392">IF('ROS Rankings'!$AD$1,IFERROR(AVERAGE(IF(INDEX($C392:$S392,14):INDEX($C392:$S392,17)="NA",0,INDEX($C392:$S392,14):INDEX($C392:$S392,17))-INDEX($AQ$2:$BG$7,MATCH($B392,$AO$2:$AO$7,0),14):INDEX($AQ$2:$BG$7,MATCH($B392,$AO$2:$AO$7,0),17)),0),IFERROR(AVERAGE(IF(INDEX($C392:$S392,Week+1):INDEX($C392:$S392,13)="NA",0,INDEX($C392:$S392,Week+1):INDEX($C392:$S392,13))-INDEX($AQ$2:$BG$7,MATCH($B392,$AO$2:$AO$7,0),Week+1):INDEX($AQ$2:$BG$7,MATCH($B392,$AO$2:$AO$7,0),13)),0))+ROW(A391)/1000000</f>
        <v>-3.6933589999999996</v>
      </c>
      <c r="AF392">
        <f t="shared" si="54"/>
        <v>443</v>
      </c>
      <c r="AG392">
        <f t="shared" si="55"/>
        <v>389</v>
      </c>
      <c r="AH392">
        <f t="shared" si="56"/>
        <v>342</v>
      </c>
      <c r="AI392">
        <f t="shared" si="57"/>
        <v>332</v>
      </c>
      <c r="AJ392" s="22">
        <f>IF(ISERROR(MATCH(A392,Rosters!$B$2:$B$155,0)),AD392,"")</f>
        <v>-3.9638947142857153</v>
      </c>
      <c r="AK392">
        <f t="shared" si="58"/>
        <v>191</v>
      </c>
      <c r="AL392" s="23">
        <f>COUNTIF(INDEX($C392:$S392,Week+1):INDEX($C392:$S392,13),"&gt;0")</f>
        <v>7</v>
      </c>
    </row>
    <row r="393" spans="1:38" x14ac:dyDescent="0.25">
      <c r="A393" t="s">
        <v>8786</v>
      </c>
      <c r="B393" t="s">
        <v>87</v>
      </c>
      <c r="C393">
        <v>0</v>
      </c>
      <c r="D393">
        <v>0</v>
      </c>
      <c r="E393" t="s">
        <v>64</v>
      </c>
      <c r="F393">
        <v>0</v>
      </c>
      <c r="G393">
        <v>0.86</v>
      </c>
      <c r="H393">
        <v>0.73</v>
      </c>
      <c r="I393">
        <v>0.79</v>
      </c>
      <c r="J393">
        <v>0.63</v>
      </c>
      <c r="K393" t="s">
        <v>64</v>
      </c>
      <c r="L393">
        <v>0.67</v>
      </c>
      <c r="M393">
        <v>0.69</v>
      </c>
      <c r="N393">
        <v>0.71</v>
      </c>
      <c r="O393">
        <v>0.69</v>
      </c>
      <c r="P393">
        <v>0.67</v>
      </c>
      <c r="Q393">
        <v>0.72</v>
      </c>
      <c r="R393">
        <v>0.74</v>
      </c>
      <c r="S393">
        <v>0.76</v>
      </c>
      <c r="T393" s="2">
        <f>IF('ROS Rankings'!$AD$1,IFERROR(AVERAGE(INDEX($C393:$S393,14):INDEX($C393:$S393,17)),0),IFERROR(AVERAGE(INDEX($C393:$S393,Week+1):INDEX($C393:$S393,13)),0))</f>
        <v>0.7014285714285714</v>
      </c>
      <c r="U393" s="2" t="str">
        <f t="shared" si="60"/>
        <v/>
      </c>
      <c r="V393" s="2" t="str">
        <f t="shared" si="60"/>
        <v/>
      </c>
      <c r="W393" s="2">
        <f t="shared" si="60"/>
        <v>0.7014285714285714</v>
      </c>
      <c r="X393" s="2" t="str">
        <f t="shared" si="60"/>
        <v/>
      </c>
      <c r="Y393" s="2" t="str">
        <f t="shared" si="60"/>
        <v/>
      </c>
      <c r="Z393" s="2" t="str">
        <f t="shared" si="60"/>
        <v/>
      </c>
      <c r="AA393" s="23" t="str">
        <f t="shared" si="53"/>
        <v>WR137</v>
      </c>
      <c r="AB393" s="2">
        <f>$T393-VLOOKUP($B393,Scores!$AG$1:$AM$7,5,FALSE)</f>
        <v>-9.6699999999999982</v>
      </c>
      <c r="AC393" s="2">
        <f>$T393-VLOOKUP($B393,Scores!$AG$1:$AM$7,6,FALSE)</f>
        <v>-7.330000000000001</v>
      </c>
      <c r="AD393" s="2">
        <f>$T393-VLOOKUP($B393,Scores!$AG$1:$AM$7,7,FALSE)+(ROW(A392)/1000000)</f>
        <v>-5.3510365714285717</v>
      </c>
      <c r="AE393" s="2">
        <f t="array" ref="AE393">IF('ROS Rankings'!$AD$1,IFERROR(AVERAGE(IF(INDEX($C393:$S393,14):INDEX($C393:$S393,17)="NA",0,INDEX($C393:$S393,14):INDEX($C393:$S393,17))-INDEX($AQ$2:$BG$7,MATCH($B393,$AO$2:$AO$7,0),14):INDEX($AQ$2:$BG$7,MATCH($B393,$AO$2:$AO$7,0),17)),0),IFERROR(AVERAGE(IF(INDEX($C393:$S393,Week+1):INDEX($C393:$S393,13)="NA",0,INDEX($C393:$S393,Week+1):INDEX($C393:$S393,13))-INDEX($AQ$2:$BG$7,MATCH($B393,$AO$2:$AO$7,0),Week+1):INDEX($AQ$2:$BG$7,MATCH($B393,$AO$2:$AO$7,0),13)),0))+ROW(A392)/1000000</f>
        <v>-4.742108</v>
      </c>
      <c r="AF393">
        <f t="shared" si="54"/>
        <v>412</v>
      </c>
      <c r="AG393">
        <f t="shared" si="55"/>
        <v>427</v>
      </c>
      <c r="AH393">
        <f t="shared" si="56"/>
        <v>453</v>
      </c>
      <c r="AI393">
        <f t="shared" si="57"/>
        <v>421</v>
      </c>
      <c r="AJ393" s="22">
        <f>IF(ISERROR(MATCH(A393,Rosters!$B$2:$B$155,0)),AD393,"")</f>
        <v>-5.3510365714285717</v>
      </c>
      <c r="AK393">
        <f t="shared" si="58"/>
        <v>301</v>
      </c>
      <c r="AL393" s="23">
        <f>COUNTIF(INDEX($C393:$S393,Week+1):INDEX($C393:$S393,13),"&gt;0")</f>
        <v>7</v>
      </c>
    </row>
    <row r="394" spans="1:38" x14ac:dyDescent="0.25">
      <c r="A394" t="s">
        <v>798</v>
      </c>
      <c r="B394" t="s">
        <v>87</v>
      </c>
      <c r="C394">
        <v>0.44</v>
      </c>
      <c r="D394">
        <v>1.36</v>
      </c>
      <c r="E394">
        <v>3.42</v>
      </c>
      <c r="F394">
        <v>3.79</v>
      </c>
      <c r="G394">
        <v>2.56</v>
      </c>
      <c r="H394">
        <v>3.22</v>
      </c>
      <c r="I394">
        <v>2.95</v>
      </c>
      <c r="J394">
        <v>2.91</v>
      </c>
      <c r="K394">
        <v>2.91</v>
      </c>
      <c r="L394">
        <v>3.3</v>
      </c>
      <c r="M394" t="s">
        <v>64</v>
      </c>
      <c r="N394">
        <v>3.03</v>
      </c>
      <c r="O394">
        <v>2.67</v>
      </c>
      <c r="P394">
        <v>2.85</v>
      </c>
      <c r="Q394">
        <v>2.65</v>
      </c>
      <c r="R394">
        <v>3.13</v>
      </c>
      <c r="S394">
        <v>2.5</v>
      </c>
      <c r="T394" s="2">
        <f>IF('ROS Rankings'!$AD$1,IFERROR(AVERAGE(INDEX($C394:$S394,14):INDEX($C394:$S394,17)),0),IFERROR(AVERAGE(INDEX($C394:$S394,Week+1):INDEX($C394:$S394,13)),0))</f>
        <v>2.9985714285714287</v>
      </c>
      <c r="U394" s="2" t="str">
        <f t="shared" si="60"/>
        <v/>
      </c>
      <c r="V394" s="2" t="str">
        <f t="shared" si="60"/>
        <v/>
      </c>
      <c r="W394" s="2">
        <f t="shared" si="60"/>
        <v>2.9985714285714287</v>
      </c>
      <c r="X394" s="2" t="str">
        <f t="shared" si="60"/>
        <v/>
      </c>
      <c r="Y394" s="2" t="str">
        <f t="shared" si="60"/>
        <v/>
      </c>
      <c r="Z394" s="2" t="str">
        <f t="shared" si="60"/>
        <v/>
      </c>
      <c r="AA394" s="23" t="str">
        <f t="shared" si="53"/>
        <v>WR98</v>
      </c>
      <c r="AB394" s="2">
        <f>$T394-VLOOKUP($B394,Scores!$AG$1:$AM$7,5,FALSE)</f>
        <v>-7.372857142857141</v>
      </c>
      <c r="AC394" s="2">
        <f>$T394-VLOOKUP($B394,Scores!$AG$1:$AM$7,6,FALSE)</f>
        <v>-5.0328571428571429</v>
      </c>
      <c r="AD394" s="2">
        <f>$T394-VLOOKUP($B394,Scores!$AG$1:$AM$7,7,FALSE)+(ROW(A393)/1000000)</f>
        <v>-3.053892714285714</v>
      </c>
      <c r="AE394" s="2">
        <f t="array" ref="AE394">IF('ROS Rankings'!$AD$1,IFERROR(AVERAGE(IF(INDEX($C394:$S394,14):INDEX($C394:$S394,17)="NA",0,INDEX($C394:$S394,14):INDEX($C394:$S394,17))-INDEX($AQ$2:$BG$7,MATCH($B394,$AO$2:$AO$7,0),14):INDEX($AQ$2:$BG$7,MATCH($B394,$AO$2:$AO$7,0),17)),0),IFERROR(AVERAGE(IF(INDEX($C394:$S394,Week+1):INDEX($C394:$S394,13)="NA",0,INDEX($C394:$S394,Week+1):INDEX($C394:$S394,13))-INDEX($AQ$2:$BG$7,MATCH($B394,$AO$2:$AO$7,0),Week+1):INDEX($AQ$2:$BG$7,MATCH($B394,$AO$2:$AO$7,0),13)),0))+ROW(A393)/1000000</f>
        <v>-2.7321070000000001</v>
      </c>
      <c r="AF394">
        <f t="shared" si="54"/>
        <v>360</v>
      </c>
      <c r="AG394">
        <f t="shared" si="55"/>
        <v>358</v>
      </c>
      <c r="AH394">
        <f t="shared" si="56"/>
        <v>306</v>
      </c>
      <c r="AI394">
        <f t="shared" si="57"/>
        <v>280</v>
      </c>
      <c r="AJ394" s="22">
        <f>IF(ISERROR(MATCH(A394,Rosters!$B$2:$B$155,0)),AD394,"")</f>
        <v>-3.053892714285714</v>
      </c>
      <c r="AK394">
        <f t="shared" si="58"/>
        <v>159</v>
      </c>
      <c r="AL394" s="23">
        <f>COUNTIF(INDEX($C394:$S394,Week+1):INDEX($C394:$S394,13),"&gt;0")</f>
        <v>7</v>
      </c>
    </row>
    <row r="395" spans="1:38" x14ac:dyDescent="0.25">
      <c r="A395" t="s">
        <v>4701</v>
      </c>
      <c r="B395" t="s">
        <v>87</v>
      </c>
      <c r="C395" t="s">
        <v>64</v>
      </c>
      <c r="D395" t="s">
        <v>64</v>
      </c>
      <c r="E395" t="s">
        <v>64</v>
      </c>
      <c r="F395">
        <v>0.56999999999999995</v>
      </c>
      <c r="G395">
        <v>0.62</v>
      </c>
      <c r="H395">
        <v>0.66</v>
      </c>
      <c r="I395">
        <v>0.55000000000000004</v>
      </c>
      <c r="J395">
        <v>0.53</v>
      </c>
      <c r="K395">
        <v>0.57999999999999996</v>
      </c>
      <c r="L395">
        <v>0.55000000000000004</v>
      </c>
      <c r="M395" t="s">
        <v>64</v>
      </c>
      <c r="N395">
        <v>0.49</v>
      </c>
      <c r="O395">
        <v>0.55000000000000004</v>
      </c>
      <c r="P395">
        <v>0.56999999999999995</v>
      </c>
      <c r="Q395">
        <v>0.53</v>
      </c>
      <c r="R395">
        <v>0.51</v>
      </c>
      <c r="S395">
        <v>0.56000000000000005</v>
      </c>
      <c r="T395" s="2">
        <f>IF('ROS Rankings'!$AD$1,IFERROR(AVERAGE(INDEX($C395:$S395,14):INDEX($C395:$S395,17)),0),IFERROR(AVERAGE(INDEX($C395:$S395,Week+1):INDEX($C395:$S395,13)),0))</f>
        <v>0.55857142857142861</v>
      </c>
      <c r="U395" s="2" t="str">
        <f t="shared" si="60"/>
        <v/>
      </c>
      <c r="V395" s="2" t="str">
        <f t="shared" si="60"/>
        <v/>
      </c>
      <c r="W395" s="2">
        <f t="shared" si="60"/>
        <v>0.55857142857142861</v>
      </c>
      <c r="X395" s="2" t="str">
        <f t="shared" si="60"/>
        <v/>
      </c>
      <c r="Y395" s="2" t="str">
        <f t="shared" si="60"/>
        <v/>
      </c>
      <c r="Z395" s="2" t="str">
        <f t="shared" si="60"/>
        <v/>
      </c>
      <c r="AA395" s="23" t="str">
        <f t="shared" si="53"/>
        <v>WR161</v>
      </c>
      <c r="AB395" s="2">
        <f>$T395-VLOOKUP($B395,Scores!$AG$1:$AM$7,5,FALSE)</f>
        <v>-9.8128571428571423</v>
      </c>
      <c r="AC395" s="2">
        <f>$T395-VLOOKUP($B395,Scores!$AG$1:$AM$7,6,FALSE)</f>
        <v>-7.4728571428571433</v>
      </c>
      <c r="AD395" s="2">
        <f>$T395-VLOOKUP($B395,Scores!$AG$1:$AM$7,7,FALSE)+(ROW(A394)/1000000)</f>
        <v>-5.4938917142857138</v>
      </c>
      <c r="AE395" s="2">
        <f t="array" ref="AE395">IF('ROS Rankings'!$AD$1,IFERROR(AVERAGE(IF(INDEX($C395:$S395,14):INDEX($C395:$S395,17)="NA",0,INDEX($C395:$S395,14):INDEX($C395:$S395,17))-INDEX($AQ$2:$BG$7,MATCH($B395,$AO$2:$AO$7,0),14):INDEX($AQ$2:$BG$7,MATCH($B395,$AO$2:$AO$7,0),17)),0),IFERROR(AVERAGE(IF(INDEX($C395:$S395,Week+1):INDEX($C395:$S395,13)="NA",0,INDEX($C395:$S395,Week+1):INDEX($C395:$S395,13))-INDEX($AQ$2:$BG$7,MATCH($B395,$AO$2:$AO$7,0),Week+1):INDEX($AQ$2:$BG$7,MATCH($B395,$AO$2:$AO$7,0),13)),0))+ROW(A394)/1000000</f>
        <v>-4.8671059999999997</v>
      </c>
      <c r="AF395">
        <f t="shared" si="54"/>
        <v>437</v>
      </c>
      <c r="AG395">
        <f t="shared" si="55"/>
        <v>455</v>
      </c>
      <c r="AH395">
        <f t="shared" si="56"/>
        <v>486</v>
      </c>
      <c r="AI395">
        <f t="shared" si="57"/>
        <v>460</v>
      </c>
      <c r="AJ395" s="22">
        <f>IF(ISERROR(MATCH(A395,Rosters!$B$2:$B$155,0)),AD395,"")</f>
        <v>-5.4938917142857138</v>
      </c>
      <c r="AK395">
        <f t="shared" si="58"/>
        <v>334</v>
      </c>
      <c r="AL395" s="23">
        <f>COUNTIF(INDEX($C395:$S395,Week+1):INDEX($C395:$S395,13),"&gt;0")</f>
        <v>7</v>
      </c>
    </row>
    <row r="396" spans="1:38" x14ac:dyDescent="0.25">
      <c r="A396" t="s">
        <v>387</v>
      </c>
      <c r="B396" t="s">
        <v>114</v>
      </c>
      <c r="C396">
        <v>1.1100000000000001</v>
      </c>
      <c r="D396">
        <v>1.38</v>
      </c>
      <c r="E396">
        <v>2.13</v>
      </c>
      <c r="F396">
        <v>2.5099999999999998</v>
      </c>
      <c r="G396">
        <v>4.1500000000000004</v>
      </c>
      <c r="H396">
        <v>3.96</v>
      </c>
      <c r="I396">
        <v>4.5199999999999996</v>
      </c>
      <c r="J396">
        <v>2.17</v>
      </c>
      <c r="K396" t="s">
        <v>64</v>
      </c>
      <c r="L396">
        <v>2.37</v>
      </c>
      <c r="M396">
        <v>2.72</v>
      </c>
      <c r="N396">
        <v>1.93</v>
      </c>
      <c r="O396">
        <v>2.1</v>
      </c>
      <c r="P396">
        <v>2.1</v>
      </c>
      <c r="Q396">
        <v>2.67</v>
      </c>
      <c r="R396">
        <v>2.67</v>
      </c>
      <c r="S396">
        <v>2.56</v>
      </c>
      <c r="T396" s="2">
        <f>IF('ROS Rankings'!$AD$1,IFERROR(AVERAGE(INDEX($C396:$S396,14):INDEX($C396:$S396,17)),0),IFERROR(AVERAGE(INDEX($C396:$S396,Week+1):INDEX($C396:$S396,13)),0))</f>
        <v>2.8242857142857147</v>
      </c>
      <c r="U396" s="2" t="str">
        <f t="shared" si="60"/>
        <v/>
      </c>
      <c r="V396" s="2" t="str">
        <f t="shared" si="60"/>
        <v/>
      </c>
      <c r="W396" s="2" t="str">
        <f t="shared" si="60"/>
        <v/>
      </c>
      <c r="X396" s="2">
        <f t="shared" si="60"/>
        <v>2.8242857142857147</v>
      </c>
      <c r="Y396" s="2" t="str">
        <f t="shared" si="60"/>
        <v/>
      </c>
      <c r="Z396" s="2" t="str">
        <f t="shared" si="60"/>
        <v/>
      </c>
      <c r="AA396" s="23" t="str">
        <f t="shared" si="53"/>
        <v>TE31</v>
      </c>
      <c r="AB396" s="2">
        <f>$T396-VLOOKUP($B396,Scores!$AG$1:$AM$7,5,FALSE)</f>
        <v>-4.1744642857142846</v>
      </c>
      <c r="AC396" s="2">
        <f>$T396-VLOOKUP($B396,Scores!$AG$1:$AM$7,6,FALSE)</f>
        <v>-2.4257142857142853</v>
      </c>
      <c r="AD396" s="2">
        <f>$T396-VLOOKUP($B396,Scores!$AG$1:$AM$7,7,FALSE)+(ROW(A395)/1000000)</f>
        <v>-2.3553192857142848</v>
      </c>
      <c r="AE396" s="2">
        <f t="array" ref="AE396">IF('ROS Rankings'!$AD$1,IFERROR(AVERAGE(IF(INDEX($C396:$S396,14):INDEX($C396:$S396,17)="NA",0,INDEX($C396:$S396,14):INDEX($C396:$S396,17))-INDEX($AQ$2:$BG$7,MATCH($B396,$AO$2:$AO$7,0),14):INDEX($AQ$2:$BG$7,MATCH($B396,$AO$2:$AO$7,0),17)),0),IFERROR(AVERAGE(IF(INDEX($C396:$S396,Week+1):INDEX($C396:$S396,13)="NA",0,INDEX($C396:$S396,Week+1):INDEX($C396:$S396,13))-INDEX($AQ$2:$BG$7,MATCH($B396,$AO$2:$AO$7,0),Week+1):INDEX($AQ$2:$BG$7,MATCH($B396,$AO$2:$AO$7,0),13)),0))+ROW(A395)/1000000</f>
        <v>-2.6258549999999996</v>
      </c>
      <c r="AF396">
        <f t="shared" si="54"/>
        <v>196</v>
      </c>
      <c r="AG396">
        <f t="shared" si="55"/>
        <v>212</v>
      </c>
      <c r="AH396">
        <f t="shared" si="56"/>
        <v>261</v>
      </c>
      <c r="AI396">
        <f t="shared" si="57"/>
        <v>272</v>
      </c>
      <c r="AJ396" s="22">
        <f>IF(ISERROR(MATCH(A396,Rosters!$B$2:$B$155,0)),AD396,"")</f>
        <v>-2.3553192857142848</v>
      </c>
      <c r="AK396">
        <f t="shared" si="58"/>
        <v>117</v>
      </c>
      <c r="AL396" s="23">
        <f>COUNTIF(INDEX($C396:$S396,Week+1):INDEX($C396:$S396,13),"&gt;0")</f>
        <v>7</v>
      </c>
    </row>
    <row r="397" spans="1:38" x14ac:dyDescent="0.25">
      <c r="A397" t="s">
        <v>295</v>
      </c>
      <c r="B397" t="s">
        <v>114</v>
      </c>
      <c r="C397">
        <v>0</v>
      </c>
      <c r="D397">
        <v>0</v>
      </c>
      <c r="E397">
        <v>0</v>
      </c>
      <c r="F397">
        <v>0</v>
      </c>
      <c r="G397">
        <v>0</v>
      </c>
      <c r="H397">
        <v>0</v>
      </c>
      <c r="I397">
        <v>0</v>
      </c>
      <c r="J397">
        <v>0</v>
      </c>
      <c r="K397" t="s">
        <v>64</v>
      </c>
      <c r="L397">
        <v>0.61</v>
      </c>
      <c r="M397">
        <v>0.55000000000000004</v>
      </c>
      <c r="N397">
        <v>0.57999999999999996</v>
      </c>
      <c r="O397">
        <v>0.49</v>
      </c>
      <c r="P397">
        <v>0.57999999999999996</v>
      </c>
      <c r="Q397">
        <v>0.41</v>
      </c>
      <c r="R397">
        <v>0.52</v>
      </c>
      <c r="S397">
        <v>0.47</v>
      </c>
      <c r="T397" s="2">
        <f>IF('ROS Rankings'!$AD$1,IFERROR(AVERAGE(INDEX($C397:$S397,14):INDEX($C397:$S397,17)),0),IFERROR(AVERAGE(INDEX($C397:$S397,Week+1):INDEX($C397:$S397,13)),0))</f>
        <v>0.31857142857142862</v>
      </c>
      <c r="U397" s="2" t="str">
        <f t="shared" si="60"/>
        <v/>
      </c>
      <c r="V397" s="2" t="str">
        <f t="shared" si="60"/>
        <v/>
      </c>
      <c r="W397" s="2" t="str">
        <f t="shared" si="60"/>
        <v/>
      </c>
      <c r="X397" s="2">
        <f t="shared" si="60"/>
        <v>0.31857142857142862</v>
      </c>
      <c r="Y397" s="2" t="str">
        <f t="shared" si="60"/>
        <v/>
      </c>
      <c r="Z397" s="2" t="str">
        <f t="shared" si="60"/>
        <v/>
      </c>
      <c r="AA397" s="23" t="str">
        <f t="shared" si="53"/>
        <v>TE100</v>
      </c>
      <c r="AB397" s="2">
        <f>$T397-VLOOKUP($B397,Scores!$AG$1:$AM$7,5,FALSE)</f>
        <v>-6.6801785714285709</v>
      </c>
      <c r="AC397" s="2">
        <f>$T397-VLOOKUP($B397,Scores!$AG$1:$AM$7,6,FALSE)</f>
        <v>-4.9314285714285715</v>
      </c>
      <c r="AD397" s="2">
        <f>$T397-VLOOKUP($B397,Scores!$AG$1:$AM$7,7,FALSE)+(ROW(A396)/1000000)</f>
        <v>-4.8610325714285709</v>
      </c>
      <c r="AE397" s="2">
        <f t="array" ref="AE397">IF('ROS Rankings'!$AD$1,IFERROR(AVERAGE(IF(INDEX($C397:$S397,14):INDEX($C397:$S397,17)="NA",0,INDEX($C397:$S397,14):INDEX($C397:$S397,17))-INDEX($AQ$2:$BG$7,MATCH($B397,$AO$2:$AO$7,0),14):INDEX($AQ$2:$BG$7,MATCH($B397,$AO$2:$AO$7,0),17)),0),IFERROR(AVERAGE(IF(INDEX($C397:$S397,Week+1):INDEX($C397:$S397,13)="NA",0,INDEX($C397:$S397,Week+1):INDEX($C397:$S397,13))-INDEX($AQ$2:$BG$7,MATCH($B397,$AO$2:$AO$7,0),Week+1):INDEX($AQ$2:$BG$7,MATCH($B397,$AO$2:$AO$7,0),13)),0))+ROW(A396)/1000000</f>
        <v>-4.8183540000000002</v>
      </c>
      <c r="AF397">
        <f t="shared" si="54"/>
        <v>336</v>
      </c>
      <c r="AG397">
        <f t="shared" si="55"/>
        <v>354</v>
      </c>
      <c r="AH397">
        <f t="shared" si="56"/>
        <v>401</v>
      </c>
      <c r="AI397">
        <f t="shared" si="57"/>
        <v>441</v>
      </c>
      <c r="AJ397" s="22">
        <f>IF(ISERROR(MATCH(A397,Rosters!$B$2:$B$155,0)),AD397,"")</f>
        <v>-4.8610325714285709</v>
      </c>
      <c r="AK397">
        <f t="shared" si="58"/>
        <v>249</v>
      </c>
      <c r="AL397" s="23">
        <f>COUNTIF(INDEX($C397:$S397,Week+1):INDEX($C397:$S397,13),"&gt;0")</f>
        <v>4</v>
      </c>
    </row>
    <row r="398" spans="1:38" x14ac:dyDescent="0.25">
      <c r="A398" t="s">
        <v>1381</v>
      </c>
      <c r="B398" t="s">
        <v>114</v>
      </c>
      <c r="C398">
        <v>4.53</v>
      </c>
      <c r="D398">
        <v>4.08</v>
      </c>
      <c r="E398">
        <v>3.69</v>
      </c>
      <c r="F398">
        <v>4.3499999999999996</v>
      </c>
      <c r="G398">
        <v>3.36</v>
      </c>
      <c r="H398">
        <v>2.76</v>
      </c>
      <c r="I398">
        <v>2.73</v>
      </c>
      <c r="J398">
        <v>3.49</v>
      </c>
      <c r="K398" t="s">
        <v>64</v>
      </c>
      <c r="L398">
        <v>3.74</v>
      </c>
      <c r="M398">
        <v>3.37</v>
      </c>
      <c r="N398">
        <v>2.5499999999999998</v>
      </c>
      <c r="O398">
        <v>3.22</v>
      </c>
      <c r="P398">
        <v>3.55</v>
      </c>
      <c r="Q398">
        <v>3.47</v>
      </c>
      <c r="R398">
        <v>2.69</v>
      </c>
      <c r="S398">
        <v>2.75</v>
      </c>
      <c r="T398" s="2">
        <f>IF('ROS Rankings'!$AD$1,IFERROR(AVERAGE(INDEX($C398:$S398,14):INDEX($C398:$S398,17)),0),IFERROR(AVERAGE(INDEX($C398:$S398,Week+1):INDEX($C398:$S398,13)),0))</f>
        <v>3.1228571428571428</v>
      </c>
      <c r="U398" s="2" t="str">
        <f t="shared" si="60"/>
        <v/>
      </c>
      <c r="V398" s="2" t="str">
        <f t="shared" si="60"/>
        <v/>
      </c>
      <c r="W398" s="2" t="str">
        <f t="shared" si="60"/>
        <v/>
      </c>
      <c r="X398" s="2">
        <f t="shared" si="60"/>
        <v>3.1228571428571428</v>
      </c>
      <c r="Y398" s="2" t="str">
        <f t="shared" si="60"/>
        <v/>
      </c>
      <c r="Z398" s="2" t="str">
        <f t="shared" si="60"/>
        <v/>
      </c>
      <c r="AA398" s="23" t="str">
        <f t="shared" si="53"/>
        <v>TE26</v>
      </c>
      <c r="AB398" s="2">
        <f>$T398-VLOOKUP($B398,Scores!$AG$1:$AM$7,5,FALSE)</f>
        <v>-3.8758928571428566</v>
      </c>
      <c r="AC398" s="2">
        <f>$T398-VLOOKUP($B398,Scores!$AG$1:$AM$7,6,FALSE)</f>
        <v>-2.1271428571428572</v>
      </c>
      <c r="AD398" s="2">
        <f>$T398-VLOOKUP($B398,Scores!$AG$1:$AM$7,7,FALSE)+(ROW(A397)/1000000)</f>
        <v>-2.056745857142857</v>
      </c>
      <c r="AE398" s="2">
        <f t="array" ref="AE398">IF('ROS Rankings'!$AD$1,IFERROR(AVERAGE(IF(INDEX($C398:$S398,14):INDEX($C398:$S398,17)="NA",0,INDEX($C398:$S398,14):INDEX($C398:$S398,17))-INDEX($AQ$2:$BG$7,MATCH($B398,$AO$2:$AO$7,0),14):INDEX($AQ$2:$BG$7,MATCH($B398,$AO$2:$AO$7,0),17)),0),IFERROR(AVERAGE(IF(INDEX($C398:$S398,Week+1):INDEX($C398:$S398,13)="NA",0,INDEX($C398:$S398,Week+1):INDEX($C398:$S398,13))-INDEX($AQ$2:$BG$7,MATCH($B398,$AO$2:$AO$7,0),Week+1):INDEX($AQ$2:$BG$7,MATCH($B398,$AO$2:$AO$7,0),13)),0))+ROW(A397)/1000000</f>
        <v>-2.3646030000000002</v>
      </c>
      <c r="AF398">
        <f t="shared" si="54"/>
        <v>183</v>
      </c>
      <c r="AG398">
        <f t="shared" si="55"/>
        <v>201</v>
      </c>
      <c r="AH398">
        <f t="shared" si="56"/>
        <v>249</v>
      </c>
      <c r="AI398">
        <f t="shared" si="57"/>
        <v>258</v>
      </c>
      <c r="AJ398" s="22">
        <f>IF(ISERROR(MATCH(A398,Rosters!$B$2:$B$155,0)),AD398,"")</f>
        <v>-2.056745857142857</v>
      </c>
      <c r="AK398">
        <f t="shared" si="58"/>
        <v>105</v>
      </c>
      <c r="AL398" s="23">
        <f>COUNTIF(INDEX($C398:$S398,Week+1):INDEX($C398:$S398,13),"&gt;0")</f>
        <v>7</v>
      </c>
    </row>
    <row r="399" spans="1:38" x14ac:dyDescent="0.25">
      <c r="A399" t="s">
        <v>1499</v>
      </c>
      <c r="B399" t="s">
        <v>114</v>
      </c>
      <c r="C399">
        <v>0</v>
      </c>
      <c r="D399">
        <v>0.53</v>
      </c>
      <c r="E399">
        <v>0.52</v>
      </c>
      <c r="F399">
        <v>0.53</v>
      </c>
      <c r="G399">
        <v>1.03</v>
      </c>
      <c r="H399">
        <v>0.89</v>
      </c>
      <c r="I399">
        <v>0.9</v>
      </c>
      <c r="J399" t="s">
        <v>64</v>
      </c>
      <c r="K399">
        <v>1.05</v>
      </c>
      <c r="L399">
        <v>0.94</v>
      </c>
      <c r="M399">
        <v>0.89</v>
      </c>
      <c r="N399">
        <v>1.03</v>
      </c>
      <c r="O399">
        <v>0.99</v>
      </c>
      <c r="P399">
        <v>0.94</v>
      </c>
      <c r="Q399">
        <v>0.88</v>
      </c>
      <c r="R399">
        <v>0.92</v>
      </c>
      <c r="S399">
        <v>0.78</v>
      </c>
      <c r="T399" s="2">
        <f>IF('ROS Rankings'!$AD$1,IFERROR(AVERAGE(INDEX($C399:$S399,14):INDEX($C399:$S399,17)),0),IFERROR(AVERAGE(INDEX($C399:$S399,Week+1):INDEX($C399:$S399,13)),0))</f>
        <v>0.95571428571428574</v>
      </c>
      <c r="U399" s="2" t="str">
        <f t="shared" si="60"/>
        <v/>
      </c>
      <c r="V399" s="2" t="str">
        <f t="shared" si="60"/>
        <v/>
      </c>
      <c r="W399" s="2" t="str">
        <f t="shared" si="60"/>
        <v/>
      </c>
      <c r="X399" s="2">
        <f t="shared" si="60"/>
        <v>0.95571428571428574</v>
      </c>
      <c r="Y399" s="2" t="str">
        <f t="shared" si="60"/>
        <v/>
      </c>
      <c r="Z399" s="2" t="str">
        <f t="shared" si="60"/>
        <v/>
      </c>
      <c r="AA399" s="23" t="str">
        <f t="shared" si="53"/>
        <v>TE68</v>
      </c>
      <c r="AB399" s="2">
        <f>$T399-VLOOKUP($B399,Scores!$AG$1:$AM$7,5,FALSE)</f>
        <v>-6.0430357142857138</v>
      </c>
      <c r="AC399" s="2">
        <f>$T399-VLOOKUP($B399,Scores!$AG$1:$AM$7,6,FALSE)</f>
        <v>-4.2942857142857145</v>
      </c>
      <c r="AD399" s="2">
        <f>$T399-VLOOKUP($B399,Scores!$AG$1:$AM$7,7,FALSE)+(ROW(A398)/1000000)</f>
        <v>-4.2238877142857145</v>
      </c>
      <c r="AE399" s="2">
        <f t="array" ref="AE399">IF('ROS Rankings'!$AD$1,IFERROR(AVERAGE(IF(INDEX($C399:$S399,14):INDEX($C399:$S399,17)="NA",0,INDEX($C399:$S399,14):INDEX($C399:$S399,17))-INDEX($AQ$2:$BG$7,MATCH($B399,$AO$2:$AO$7,0),14):INDEX($AQ$2:$BG$7,MATCH($B399,$AO$2:$AO$7,0),17)),0),IFERROR(AVERAGE(IF(INDEX($C399:$S399,Week+1):INDEX($C399:$S399,13)="NA",0,INDEX($C399:$S399,Week+1):INDEX($C399:$S399,13))-INDEX($AQ$2:$BG$7,MATCH($B399,$AO$2:$AO$7,0),Week+1):INDEX($AQ$2:$BG$7,MATCH($B399,$AO$2:$AO$7,0),13)),0))+ROW(A398)/1000000</f>
        <v>-4.2608520000000007</v>
      </c>
      <c r="AF399">
        <f t="shared" si="54"/>
        <v>283</v>
      </c>
      <c r="AG399">
        <f t="shared" si="55"/>
        <v>306</v>
      </c>
      <c r="AH399">
        <f t="shared" si="56"/>
        <v>350</v>
      </c>
      <c r="AI399">
        <f t="shared" si="57"/>
        <v>360</v>
      </c>
      <c r="AJ399" s="22">
        <f>IF(ISERROR(MATCH(A399,Rosters!$B$2:$B$155,0)),AD399,"")</f>
        <v>-4.2238877142857145</v>
      </c>
      <c r="AK399">
        <f t="shared" si="58"/>
        <v>198</v>
      </c>
      <c r="AL399" s="23">
        <f>COUNTIF(INDEX($C399:$S399,Week+1):INDEX($C399:$S399,13),"&gt;0")</f>
        <v>7</v>
      </c>
    </row>
    <row r="400" spans="1:38" x14ac:dyDescent="0.25">
      <c r="A400" t="s">
        <v>113</v>
      </c>
      <c r="B400" t="s">
        <v>114</v>
      </c>
      <c r="C400">
        <v>12.53</v>
      </c>
      <c r="D400">
        <v>8.9700000000000006</v>
      </c>
      <c r="E400">
        <v>12.52</v>
      </c>
      <c r="F400">
        <v>10.78</v>
      </c>
      <c r="G400">
        <v>10.62</v>
      </c>
      <c r="H400">
        <v>10.66</v>
      </c>
      <c r="I400">
        <v>9.65</v>
      </c>
      <c r="J400">
        <v>10.199999999999999</v>
      </c>
      <c r="K400">
        <v>11.17</v>
      </c>
      <c r="L400">
        <v>10.63</v>
      </c>
      <c r="M400" t="s">
        <v>64</v>
      </c>
      <c r="N400">
        <v>9.74</v>
      </c>
      <c r="O400">
        <v>9.44</v>
      </c>
      <c r="P400">
        <v>11.94</v>
      </c>
      <c r="Q400">
        <v>11.14</v>
      </c>
      <c r="R400">
        <v>11.74</v>
      </c>
      <c r="S400">
        <v>9.25</v>
      </c>
      <c r="T400" s="2">
        <f>IF('ROS Rankings'!$AD$1,IFERROR(AVERAGE(INDEX($C400:$S400,14):INDEX($C400:$S400,17)),0),IFERROR(AVERAGE(INDEX($C400:$S400,Week+1):INDEX($C400:$S400,13)),0))</f>
        <v>10.212857142857144</v>
      </c>
      <c r="U400" s="2" t="str">
        <f t="shared" si="60"/>
        <v/>
      </c>
      <c r="V400" s="2" t="str">
        <f t="shared" si="60"/>
        <v/>
      </c>
      <c r="W400" s="2" t="str">
        <f t="shared" si="60"/>
        <v/>
      </c>
      <c r="X400" s="2">
        <f t="shared" si="60"/>
        <v>10.212857142857144</v>
      </c>
      <c r="Y400" s="2" t="str">
        <f t="shared" si="60"/>
        <v/>
      </c>
      <c r="Z400" s="2" t="str">
        <f t="shared" si="60"/>
        <v/>
      </c>
      <c r="AA400" s="23" t="str">
        <f t="shared" si="53"/>
        <v>TE1</v>
      </c>
      <c r="AB400" s="2">
        <f>$T400-VLOOKUP($B400,Scores!$AG$1:$AM$7,5,FALSE)</f>
        <v>3.214107142857145</v>
      </c>
      <c r="AC400" s="2">
        <f>$T400-VLOOKUP($B400,Scores!$AG$1:$AM$7,6,FALSE)</f>
        <v>4.9628571428571444</v>
      </c>
      <c r="AD400" s="2">
        <f>$T400-VLOOKUP($B400,Scores!$AG$1:$AM$7,7,FALSE)+(ROW(A399)/1000000)</f>
        <v>5.0332561428571445</v>
      </c>
      <c r="AE400" s="2">
        <f t="array" ref="AE400">IF('ROS Rankings'!$AD$1,IFERROR(AVERAGE(IF(INDEX($C400:$S400,14):INDEX($C400:$S400,17)="NA",0,INDEX($C400:$S400,14):INDEX($C400:$S400,17))-INDEX($AQ$2:$BG$7,MATCH($B400,$AO$2:$AO$7,0),14):INDEX($AQ$2:$BG$7,MATCH($B400,$AO$2:$AO$7,0),17)),0),IFERROR(AVERAGE(IF(INDEX($C400:$S400,Week+1):INDEX($C400:$S400,13)="NA",0,INDEX($C400:$S400,Week+1):INDEX($C400:$S400,13))-INDEX($AQ$2:$BG$7,MATCH($B400,$AO$2:$AO$7,0),Week+1):INDEX($AQ$2:$BG$7,MATCH($B400,$AO$2:$AO$7,0),13)),0))+ROW(A399)/1000000</f>
        <v>3.8391489999999999</v>
      </c>
      <c r="AF400">
        <f t="shared" si="54"/>
        <v>7</v>
      </c>
      <c r="AG400">
        <f t="shared" si="55"/>
        <v>14</v>
      </c>
      <c r="AH400">
        <f t="shared" si="56"/>
        <v>26</v>
      </c>
      <c r="AI400">
        <f t="shared" si="57"/>
        <v>33</v>
      </c>
      <c r="AJ400" s="22" t="str">
        <f>IF(ISERROR(MATCH(A400,Rosters!$B$2:$B$155,0)),AD400,"")</f>
        <v/>
      </c>
      <c r="AK400" t="str">
        <f t="shared" si="58"/>
        <v/>
      </c>
      <c r="AL400" s="23">
        <f>COUNTIF(INDEX($C400:$S400,Week+1):INDEX($C400:$S400,13),"&gt;0")</f>
        <v>7</v>
      </c>
    </row>
    <row r="401" spans="1:38" x14ac:dyDescent="0.25">
      <c r="A401" t="s">
        <v>203</v>
      </c>
      <c r="B401" t="s">
        <v>87</v>
      </c>
      <c r="C401">
        <v>6.73</v>
      </c>
      <c r="D401">
        <v>6.91</v>
      </c>
      <c r="E401">
        <v>5.4</v>
      </c>
      <c r="F401">
        <v>5.45</v>
      </c>
      <c r="G401">
        <v>7.06</v>
      </c>
      <c r="H401">
        <v>7.05</v>
      </c>
      <c r="I401">
        <v>6.38</v>
      </c>
      <c r="J401">
        <v>6.51</v>
      </c>
      <c r="K401">
        <v>7.35</v>
      </c>
      <c r="L401">
        <v>6.98</v>
      </c>
      <c r="M401" t="s">
        <v>64</v>
      </c>
      <c r="N401">
        <v>7.84</v>
      </c>
      <c r="O401">
        <v>6.11</v>
      </c>
      <c r="P401">
        <v>6.71</v>
      </c>
      <c r="Q401">
        <v>6.26</v>
      </c>
      <c r="R401">
        <v>7.18</v>
      </c>
      <c r="S401">
        <v>7.53</v>
      </c>
      <c r="T401" s="2">
        <f>IF('ROS Rankings'!$AD$1,IFERROR(AVERAGE(INDEX($C401:$S401,14):INDEX($C401:$S401,17)),0),IFERROR(AVERAGE(INDEX($C401:$S401,Week+1):INDEX($C401:$S401,13)),0))</f>
        <v>6.8885714285714288</v>
      </c>
      <c r="U401" s="2" t="str">
        <f t="shared" si="60"/>
        <v/>
      </c>
      <c r="V401" s="2" t="str">
        <f t="shared" si="60"/>
        <v/>
      </c>
      <c r="W401" s="2">
        <f t="shared" si="60"/>
        <v>6.8885714285714288</v>
      </c>
      <c r="X401" s="2" t="str">
        <f t="shared" si="60"/>
        <v/>
      </c>
      <c r="Y401" s="2" t="str">
        <f t="shared" si="60"/>
        <v/>
      </c>
      <c r="Z401" s="2" t="str">
        <f t="shared" si="60"/>
        <v/>
      </c>
      <c r="AA401" s="23" t="str">
        <f t="shared" si="53"/>
        <v>WR47</v>
      </c>
      <c r="AB401" s="2">
        <f>$T401-VLOOKUP($B401,Scores!$AG$1:$AM$7,5,FALSE)</f>
        <v>-3.4828571428571413</v>
      </c>
      <c r="AC401" s="2">
        <f>$T401-VLOOKUP($B401,Scores!$AG$1:$AM$7,6,FALSE)</f>
        <v>-1.1428571428571432</v>
      </c>
      <c r="AD401" s="2">
        <f>$T401-VLOOKUP($B401,Scores!$AG$1:$AM$7,7,FALSE)+(ROW(A400)/1000000)</f>
        <v>0.83611428571428625</v>
      </c>
      <c r="AE401" s="2">
        <f t="array" ref="AE401">IF('ROS Rankings'!$AD$1,IFERROR(AVERAGE(IF(INDEX($C401:$S401,14):INDEX($C401:$S401,17)="NA",0,INDEX($C401:$S401,14):INDEX($C401:$S401,17))-INDEX($AQ$2:$BG$7,MATCH($B401,$AO$2:$AO$7,0),14):INDEX($AQ$2:$BG$7,MATCH($B401,$AO$2:$AO$7,0),17)),0),IFERROR(AVERAGE(IF(INDEX($C401:$S401,Week+1):INDEX($C401:$S401,13)="NA",0,INDEX($C401:$S401,Week+1):INDEX($C401:$S401,13))-INDEX($AQ$2:$BG$7,MATCH($B401,$AO$2:$AO$7,0),Week+1):INDEX($AQ$2:$BG$7,MATCH($B401,$AO$2:$AO$7,0),13)),0))+ROW(A400)/1000000</f>
        <v>0.67164999999999997</v>
      </c>
      <c r="AF401">
        <f t="shared" si="54"/>
        <v>173</v>
      </c>
      <c r="AG401">
        <f t="shared" si="55"/>
        <v>165</v>
      </c>
      <c r="AH401">
        <f t="shared" si="56"/>
        <v>106</v>
      </c>
      <c r="AI401">
        <f t="shared" si="57"/>
        <v>96</v>
      </c>
      <c r="AJ401" s="22">
        <f>IF(ISERROR(MATCH(A401,Rosters!$B$2:$B$155,0)),AD401,"")</f>
        <v>0.83611428571428625</v>
      </c>
      <c r="AK401">
        <f t="shared" si="58"/>
        <v>3</v>
      </c>
      <c r="AL401" s="23">
        <f>COUNTIF(INDEX($C401:$S401,Week+1):INDEX($C401:$S401,13),"&gt;0")</f>
        <v>7</v>
      </c>
    </row>
    <row r="402" spans="1:38" x14ac:dyDescent="0.25">
      <c r="A402" t="s">
        <v>4260</v>
      </c>
      <c r="B402" t="s">
        <v>87</v>
      </c>
      <c r="C402" t="s">
        <v>64</v>
      </c>
      <c r="D402">
        <v>0.51</v>
      </c>
      <c r="E402">
        <v>0.48</v>
      </c>
      <c r="F402">
        <v>0.46</v>
      </c>
      <c r="G402">
        <v>0.66</v>
      </c>
      <c r="H402">
        <v>0.56999999999999995</v>
      </c>
      <c r="I402">
        <v>0.6</v>
      </c>
      <c r="J402">
        <v>0.55000000000000004</v>
      </c>
      <c r="K402">
        <v>0.71</v>
      </c>
      <c r="L402">
        <v>0.62</v>
      </c>
      <c r="M402" t="s">
        <v>64</v>
      </c>
      <c r="N402">
        <v>0.54</v>
      </c>
      <c r="O402">
        <v>0.6</v>
      </c>
      <c r="P402">
        <v>0.65</v>
      </c>
      <c r="Q402">
        <v>0.51</v>
      </c>
      <c r="R402">
        <v>0.53</v>
      </c>
      <c r="S402">
        <v>0.62</v>
      </c>
      <c r="T402" s="2">
        <f>IF('ROS Rankings'!$AD$1,IFERROR(AVERAGE(INDEX($C402:$S402,14):INDEX($C402:$S402,17)),0),IFERROR(AVERAGE(INDEX($C402:$S402,Week+1):INDEX($C402:$S402,13)),0))</f>
        <v>0.59857142857142853</v>
      </c>
      <c r="U402" s="2" t="str">
        <f t="shared" si="60"/>
        <v/>
      </c>
      <c r="V402" s="2" t="str">
        <f t="shared" si="60"/>
        <v/>
      </c>
      <c r="W402" s="2">
        <f t="shared" si="60"/>
        <v>0.59857142857142853</v>
      </c>
      <c r="X402" s="2" t="str">
        <f t="shared" si="60"/>
        <v/>
      </c>
      <c r="Y402" s="2" t="str">
        <f t="shared" si="60"/>
        <v/>
      </c>
      <c r="Z402" s="2" t="str">
        <f t="shared" si="60"/>
        <v/>
      </c>
      <c r="AA402" s="23" t="str">
        <f t="shared" si="53"/>
        <v>WR151</v>
      </c>
      <c r="AB402" s="2">
        <f>$T402-VLOOKUP($B402,Scores!$AG$1:$AM$7,5,FALSE)</f>
        <v>-9.7728571428571414</v>
      </c>
      <c r="AC402" s="2">
        <f>$T402-VLOOKUP($B402,Scores!$AG$1:$AM$7,6,FALSE)</f>
        <v>-7.4328571428571433</v>
      </c>
      <c r="AD402" s="2">
        <f>$T402-VLOOKUP($B402,Scores!$AG$1:$AM$7,7,FALSE)+(ROW(A401)/1000000)</f>
        <v>-5.4538847142857136</v>
      </c>
      <c r="AE402" s="2">
        <f t="array" ref="AE402">IF('ROS Rankings'!$AD$1,IFERROR(AVERAGE(IF(INDEX($C402:$S402,14):INDEX($C402:$S402,17)="NA",0,INDEX($C402:$S402,14):INDEX($C402:$S402,17))-INDEX($AQ$2:$BG$7,MATCH($B402,$AO$2:$AO$7,0),14):INDEX($AQ$2:$BG$7,MATCH($B402,$AO$2:$AO$7,0),17)),0),IFERROR(AVERAGE(IF(INDEX($C402:$S402,Week+1):INDEX($C402:$S402,13)="NA",0,INDEX($C402:$S402,Week+1):INDEX($C402:$S402,13))-INDEX($AQ$2:$BG$7,MATCH($B402,$AO$2:$AO$7,0),Week+1):INDEX($AQ$2:$BG$7,MATCH($B402,$AO$2:$AO$7,0),13)),0))+ROW(A401)/1000000</f>
        <v>-4.8320990000000004</v>
      </c>
      <c r="AF402">
        <f t="shared" si="54"/>
        <v>426</v>
      </c>
      <c r="AG402">
        <f t="shared" si="55"/>
        <v>444</v>
      </c>
      <c r="AH402">
        <f t="shared" si="56"/>
        <v>475</v>
      </c>
      <c r="AI402">
        <f t="shared" si="57"/>
        <v>445</v>
      </c>
      <c r="AJ402" s="22">
        <f>IF(ISERROR(MATCH(A402,Rosters!$B$2:$B$155,0)),AD402,"")</f>
        <v>-5.4538847142857136</v>
      </c>
      <c r="AK402">
        <f t="shared" si="58"/>
        <v>323</v>
      </c>
      <c r="AL402" s="23">
        <f>COUNTIF(INDEX($C402:$S402,Week+1):INDEX($C402:$S402,13),"&gt;0")</f>
        <v>7</v>
      </c>
    </row>
    <row r="403" spans="1:38" x14ac:dyDescent="0.25">
      <c r="A403" t="s">
        <v>1644</v>
      </c>
      <c r="B403" t="s">
        <v>15</v>
      </c>
      <c r="C403">
        <v>0</v>
      </c>
      <c r="D403">
        <v>0</v>
      </c>
      <c r="E403">
        <v>0</v>
      </c>
      <c r="F403">
        <v>0</v>
      </c>
      <c r="G403">
        <v>0</v>
      </c>
      <c r="H403">
        <v>0</v>
      </c>
      <c r="I403">
        <v>0</v>
      </c>
      <c r="J403">
        <v>0</v>
      </c>
      <c r="K403">
        <v>0</v>
      </c>
      <c r="L403" t="s">
        <v>64</v>
      </c>
      <c r="M403">
        <v>0</v>
      </c>
      <c r="N403">
        <v>0</v>
      </c>
      <c r="O403">
        <v>0</v>
      </c>
      <c r="P403">
        <v>0</v>
      </c>
      <c r="Q403">
        <v>0</v>
      </c>
      <c r="R403">
        <v>0</v>
      </c>
      <c r="S403">
        <v>0</v>
      </c>
      <c r="T403" s="2">
        <f>IF('ROS Rankings'!$AD$1,IFERROR(AVERAGE(INDEX($C403:$S403,14):INDEX($C403:$S403,17)),0),IFERROR(AVERAGE(INDEX($C403:$S403,Week+1):INDEX($C403:$S403,13)),0))</f>
        <v>0</v>
      </c>
      <c r="U403" s="2">
        <f t="shared" si="60"/>
        <v>0</v>
      </c>
      <c r="V403" s="2" t="str">
        <f t="shared" si="60"/>
        <v/>
      </c>
      <c r="W403" s="2" t="str">
        <f t="shared" si="60"/>
        <v/>
      </c>
      <c r="X403" s="2" t="str">
        <f t="shared" si="60"/>
        <v/>
      </c>
      <c r="Y403" s="2" t="str">
        <f t="shared" si="60"/>
        <v/>
      </c>
      <c r="Z403" s="2" t="str">
        <f t="shared" si="60"/>
        <v/>
      </c>
      <c r="AA403" s="23" t="str">
        <f t="shared" si="53"/>
        <v>QB60</v>
      </c>
      <c r="AB403" s="2">
        <f>$T403-VLOOKUP($B403,Scores!$AG$1:$AM$7,5,FALSE)</f>
        <v>-20.884285714285713</v>
      </c>
      <c r="AC403" s="2">
        <f>$T403-VLOOKUP($B403,Scores!$AG$1:$AM$7,6,FALSE)</f>
        <v>-19.903749999999999</v>
      </c>
      <c r="AD403" s="2">
        <f>$T403-VLOOKUP($B403,Scores!$AG$1:$AM$7,7,FALSE)+(ROW(A402)/1000000)</f>
        <v>-19.499597999999995</v>
      </c>
      <c r="AE403" s="2">
        <f t="array" ref="AE403">IF('ROS Rankings'!$AD$1,IFERROR(AVERAGE(IF(INDEX($C403:$S403,14):INDEX($C403:$S403,17)="NA",0,INDEX($C403:$S403,14):INDEX($C403:$S403,17))-INDEX($AQ$2:$BG$7,MATCH($B403,$AO$2:$AO$7,0),14):INDEX($AQ$2:$BG$7,MATCH($B403,$AO$2:$AO$7,0),17)),0),IFERROR(AVERAGE(IF(INDEX($C403:$S403,Week+1):INDEX($C403:$S403,13)="NA",0,INDEX($C403:$S403,Week+1):INDEX($C403:$S403,13))-INDEX($AQ$2:$BG$7,MATCH($B403,$AO$2:$AO$7,0),Week+1):INDEX($AQ$2:$BG$7,MATCH($B403,$AO$2:$AO$7,0),13)),0))+ROW(A402)/1000000</f>
        <v>-18.502098</v>
      </c>
      <c r="AF403">
        <f t="shared" si="54"/>
        <v>551</v>
      </c>
      <c r="AG403">
        <f t="shared" si="55"/>
        <v>551</v>
      </c>
      <c r="AH403">
        <f t="shared" si="56"/>
        <v>553</v>
      </c>
      <c r="AI403">
        <f t="shared" si="57"/>
        <v>553</v>
      </c>
      <c r="AJ403" s="22">
        <f>IF(ISERROR(MATCH(A403,Rosters!$B$2:$B$155,0)),AD403,"")</f>
        <v>-19.499597999999995</v>
      </c>
      <c r="AK403">
        <f t="shared" si="58"/>
        <v>400</v>
      </c>
      <c r="AL403" s="23">
        <f>COUNTIF(INDEX($C403:$S403,Week+1):INDEX($C403:$S403,13),"&gt;0")</f>
        <v>0</v>
      </c>
    </row>
    <row r="404" spans="1:38" x14ac:dyDescent="0.25">
      <c r="A404" t="s">
        <v>1123</v>
      </c>
      <c r="B404" t="s">
        <v>47</v>
      </c>
      <c r="C404">
        <v>0</v>
      </c>
      <c r="D404">
        <v>0</v>
      </c>
      <c r="E404">
        <v>0</v>
      </c>
      <c r="F404">
        <v>0.56000000000000005</v>
      </c>
      <c r="G404">
        <v>0.94</v>
      </c>
      <c r="H404">
        <v>0.36</v>
      </c>
      <c r="I404">
        <v>0.38</v>
      </c>
      <c r="J404">
        <v>0.52</v>
      </c>
      <c r="K404" t="s">
        <v>64</v>
      </c>
      <c r="L404">
        <v>0.45</v>
      </c>
      <c r="M404">
        <v>0.46</v>
      </c>
      <c r="N404">
        <v>0.53</v>
      </c>
      <c r="O404">
        <v>0.42</v>
      </c>
      <c r="P404">
        <v>0.53</v>
      </c>
      <c r="Q404">
        <v>0.57999999999999996</v>
      </c>
      <c r="R404">
        <v>0.57999999999999996</v>
      </c>
      <c r="S404">
        <v>0.44</v>
      </c>
      <c r="T404" s="2">
        <f>IF('ROS Rankings'!$AD$1,IFERROR(AVERAGE(INDEX($C404:$S404,14):INDEX($C404:$S404,17)),0),IFERROR(AVERAGE(INDEX($C404:$S404,Week+1):INDEX($C404:$S404,13)),0))</f>
        <v>0.44571428571428573</v>
      </c>
      <c r="U404" s="2" t="str">
        <f t="shared" si="60"/>
        <v/>
      </c>
      <c r="V404" s="2">
        <f t="shared" si="60"/>
        <v>0.44571428571428573</v>
      </c>
      <c r="W404" s="2" t="str">
        <f t="shared" si="60"/>
        <v/>
      </c>
      <c r="X404" s="2" t="str">
        <f t="shared" si="60"/>
        <v/>
      </c>
      <c r="Y404" s="2" t="str">
        <f t="shared" si="60"/>
        <v/>
      </c>
      <c r="Z404" s="2" t="str">
        <f t="shared" si="60"/>
        <v/>
      </c>
      <c r="AA404" s="23" t="str">
        <f t="shared" si="53"/>
        <v>RB123</v>
      </c>
      <c r="AB404" s="2">
        <f>$T404-VLOOKUP($B404,Scores!$AG$1:$AM$7,5,FALSE)</f>
        <v>-11.312857142857144</v>
      </c>
      <c r="AC404" s="2">
        <f>$T404-VLOOKUP($B404,Scores!$AG$1:$AM$7,6,FALSE)</f>
        <v>-7.8242857142857156</v>
      </c>
      <c r="AD404" s="2">
        <f>$T404-VLOOKUP($B404,Scores!$AG$1:$AM$7,7,FALSE)+(ROW(A403)/1000000)</f>
        <v>-5.4224541428571431</v>
      </c>
      <c r="AE404" s="2">
        <f t="array" ref="AE404">IF('ROS Rankings'!$AD$1,IFERROR(AVERAGE(IF(INDEX($C404:$S404,14):INDEX($C404:$S404,17)="NA",0,INDEX($C404:$S404,14):INDEX($C404:$S404,17))-INDEX($AQ$2:$BG$7,MATCH($B404,$AO$2:$AO$7,0),14):INDEX($AQ$2:$BG$7,MATCH($B404,$AO$2:$AO$7,0),17)),0),IFERROR(AVERAGE(IF(INDEX($C404:$S404,Week+1):INDEX($C404:$S404,13)="NA",0,INDEX($C404:$S404,Week+1):INDEX($C404:$S404,13))-INDEX($AQ$2:$BG$7,MATCH($B404,$AO$2:$AO$7,0),Week+1):INDEX($AQ$2:$BG$7,MATCH($B404,$AO$2:$AO$7,0),13)),0))+ROW(A403)/1000000</f>
        <v>-4.9695970000000003</v>
      </c>
      <c r="AF404">
        <f t="shared" si="54"/>
        <v>511</v>
      </c>
      <c r="AG404">
        <f t="shared" si="55"/>
        <v>505</v>
      </c>
      <c r="AH404">
        <f t="shared" si="56"/>
        <v>469</v>
      </c>
      <c r="AI404">
        <f t="shared" si="57"/>
        <v>485</v>
      </c>
      <c r="AJ404" s="22">
        <f>IF(ISERROR(MATCH(A404,Rosters!$B$2:$B$155,0)),AD404,"")</f>
        <v>-5.4224541428571431</v>
      </c>
      <c r="AK404">
        <f t="shared" si="58"/>
        <v>317</v>
      </c>
      <c r="AL404" s="23">
        <f>COUNTIF(INDEX($C404:$S404,Week+1):INDEX($C404:$S404,13),"&gt;0")</f>
        <v>7</v>
      </c>
    </row>
    <row r="405" spans="1:38" x14ac:dyDescent="0.25">
      <c r="A405" t="s">
        <v>248</v>
      </c>
      <c r="B405" t="s">
        <v>87</v>
      </c>
      <c r="C405">
        <v>8.14</v>
      </c>
      <c r="D405">
        <v>7.69</v>
      </c>
      <c r="E405">
        <v>7.54</v>
      </c>
      <c r="F405">
        <v>8.65</v>
      </c>
      <c r="G405">
        <v>10.16</v>
      </c>
      <c r="H405">
        <v>9.9700000000000006</v>
      </c>
      <c r="I405">
        <v>10.55</v>
      </c>
      <c r="J405">
        <v>10.52</v>
      </c>
      <c r="K405">
        <v>10.86</v>
      </c>
      <c r="L405">
        <v>10.01</v>
      </c>
      <c r="M405">
        <v>12.68</v>
      </c>
      <c r="N405" t="s">
        <v>64</v>
      </c>
      <c r="O405">
        <v>9.76</v>
      </c>
      <c r="P405">
        <v>10.41</v>
      </c>
      <c r="Q405">
        <v>9.9499999999999993</v>
      </c>
      <c r="R405">
        <v>10.72</v>
      </c>
      <c r="S405">
        <v>10.99</v>
      </c>
      <c r="T405" s="2">
        <f>IF('ROS Rankings'!$AD$1,IFERROR(AVERAGE(INDEX($C405:$S405,14):INDEX($C405:$S405,17)),0),IFERROR(AVERAGE(INDEX($C405:$S405,Week+1):INDEX($C405:$S405,13)),0))</f>
        <v>10.621428571428572</v>
      </c>
      <c r="U405" s="2" t="str">
        <f t="shared" si="60"/>
        <v/>
      </c>
      <c r="V405" s="2" t="str">
        <f t="shared" si="60"/>
        <v/>
      </c>
      <c r="W405" s="2">
        <f t="shared" si="60"/>
        <v>10.621428571428572</v>
      </c>
      <c r="X405" s="2" t="str">
        <f t="shared" si="60"/>
        <v/>
      </c>
      <c r="Y405" s="2" t="str">
        <f t="shared" si="60"/>
        <v/>
      </c>
      <c r="Z405" s="2" t="str">
        <f t="shared" si="60"/>
        <v/>
      </c>
      <c r="AA405" s="23" t="str">
        <f t="shared" si="53"/>
        <v>WR15</v>
      </c>
      <c r="AB405" s="2">
        <f>$T405-VLOOKUP($B405,Scores!$AG$1:$AM$7,5,FALSE)</f>
        <v>0.25000000000000178</v>
      </c>
      <c r="AC405" s="2">
        <f>$T405-VLOOKUP($B405,Scores!$AG$1:$AM$7,6,FALSE)</f>
        <v>2.59</v>
      </c>
      <c r="AD405" s="2">
        <f>$T405-VLOOKUP($B405,Scores!$AG$1:$AM$7,7,FALSE)+(ROW(A404)/1000000)</f>
        <v>4.568975428571429</v>
      </c>
      <c r="AE405" s="2">
        <f t="array" ref="AE405">IF('ROS Rankings'!$AD$1,IFERROR(AVERAGE(IF(INDEX($C405:$S405,14):INDEX($C405:$S405,17)="NA",0,INDEX($C405:$S405,14):INDEX($C405:$S405,17))-INDEX($AQ$2:$BG$7,MATCH($B405,$AO$2:$AO$7,0),14):INDEX($AQ$2:$BG$7,MATCH($B405,$AO$2:$AO$7,0),17)),0),IFERROR(AVERAGE(IF(INDEX($C405:$S405,Week+1):INDEX($C405:$S405,13)="NA",0,INDEX($C405:$S405,Week+1):INDEX($C405:$S405,13))-INDEX($AQ$2:$BG$7,MATCH($B405,$AO$2:$AO$7,0),Week+1):INDEX($AQ$2:$BG$7,MATCH($B405,$AO$2:$AO$7,0),13)),0))+ROW(A404)/1000000</f>
        <v>3.937904000000001</v>
      </c>
      <c r="AF405">
        <f t="shared" si="54"/>
        <v>39</v>
      </c>
      <c r="AG405">
        <f t="shared" si="55"/>
        <v>32</v>
      </c>
      <c r="AH405">
        <f t="shared" si="56"/>
        <v>33</v>
      </c>
      <c r="AI405">
        <f t="shared" si="57"/>
        <v>32</v>
      </c>
      <c r="AJ405" s="22" t="str">
        <f>IF(ISERROR(MATCH(A405,Rosters!$B$2:$B$155,0)),AD405,"")</f>
        <v/>
      </c>
      <c r="AK405" t="str">
        <f t="shared" si="58"/>
        <v/>
      </c>
      <c r="AL405" s="23">
        <f>COUNTIF(INDEX($C405:$S405,Week+1):INDEX($C405:$S405,13),"&gt;0")</f>
        <v>7</v>
      </c>
    </row>
    <row r="406" spans="1:38" x14ac:dyDescent="0.25">
      <c r="A406" t="s">
        <v>8803</v>
      </c>
      <c r="B406" t="s">
        <v>47</v>
      </c>
      <c r="C406" t="s">
        <v>64</v>
      </c>
      <c r="D406" t="s">
        <v>64</v>
      </c>
      <c r="E406" t="s">
        <v>64</v>
      </c>
      <c r="F406" t="s">
        <v>64</v>
      </c>
      <c r="G406">
        <v>0.38</v>
      </c>
      <c r="H406">
        <v>0.47</v>
      </c>
      <c r="I406">
        <v>0.51</v>
      </c>
      <c r="J406">
        <v>0.81</v>
      </c>
      <c r="K406">
        <v>0.77</v>
      </c>
      <c r="L406" t="s">
        <v>64</v>
      </c>
      <c r="M406">
        <v>0.41</v>
      </c>
      <c r="N406">
        <v>0.82</v>
      </c>
      <c r="O406">
        <v>0.71</v>
      </c>
      <c r="P406">
        <v>0.44</v>
      </c>
      <c r="Q406">
        <v>0.75</v>
      </c>
      <c r="R406">
        <v>0.7</v>
      </c>
      <c r="S406">
        <v>0.43</v>
      </c>
      <c r="T406" s="2">
        <f>IF('ROS Rankings'!$AD$1,IFERROR(AVERAGE(INDEX($C406:$S406,14):INDEX($C406:$S406,17)),0),IFERROR(AVERAGE(INDEX($C406:$S406,Week+1):INDEX($C406:$S406,13)),0))</f>
        <v>0.6428571428571429</v>
      </c>
      <c r="U406" s="2" t="str">
        <f t="shared" si="60"/>
        <v/>
      </c>
      <c r="V406" s="2">
        <f t="shared" si="60"/>
        <v>0.6428571428571429</v>
      </c>
      <c r="W406" s="2" t="str">
        <f t="shared" si="60"/>
        <v/>
      </c>
      <c r="X406" s="2" t="str">
        <f t="shared" si="60"/>
        <v/>
      </c>
      <c r="Y406" s="2" t="str">
        <f t="shared" si="60"/>
        <v/>
      </c>
      <c r="Z406" s="2" t="str">
        <f t="shared" si="60"/>
        <v/>
      </c>
      <c r="AA406" s="23" t="str">
        <f t="shared" si="53"/>
        <v>RB98</v>
      </c>
      <c r="AB406" s="2">
        <f>$T406-VLOOKUP($B406,Scores!$AG$1:$AM$7,5,FALSE)</f>
        <v>-11.115714285714287</v>
      </c>
      <c r="AC406" s="2">
        <f>$T406-VLOOKUP($B406,Scores!$AG$1:$AM$7,6,FALSE)</f>
        <v>-7.6271428571428581</v>
      </c>
      <c r="AD406" s="2">
        <f>$T406-VLOOKUP($B406,Scores!$AG$1:$AM$7,7,FALSE)+(ROW(A405)/1000000)</f>
        <v>-5.2253092857142862</v>
      </c>
      <c r="AE406" s="2">
        <f t="array" ref="AE406">IF('ROS Rankings'!$AD$1,IFERROR(AVERAGE(IF(INDEX($C406:$S406,14):INDEX($C406:$S406,17)="NA",0,INDEX($C406:$S406,14):INDEX($C406:$S406,17))-INDEX($AQ$2:$BG$7,MATCH($B406,$AO$2:$AO$7,0),14):INDEX($AQ$2:$BG$7,MATCH($B406,$AO$2:$AO$7,0),17)),0),IFERROR(AVERAGE(IF(INDEX($C406:$S406,Week+1):INDEX($C406:$S406,13)="NA",0,INDEX($C406:$S406,Week+1):INDEX($C406:$S406,13))-INDEX($AQ$2:$BG$7,MATCH($B406,$AO$2:$AO$7,0),Week+1):INDEX($AQ$2:$BG$7,MATCH($B406,$AO$2:$AO$7,0),13)),0))+ROW(A405)/1000000</f>
        <v>-4.7970949999999997</v>
      </c>
      <c r="AF406">
        <f t="shared" si="54"/>
        <v>486</v>
      </c>
      <c r="AG406">
        <f t="shared" si="55"/>
        <v>473</v>
      </c>
      <c r="AH406">
        <f t="shared" si="56"/>
        <v>422</v>
      </c>
      <c r="AI406">
        <f t="shared" si="57"/>
        <v>433</v>
      </c>
      <c r="AJ406" s="22">
        <f>IF(ISERROR(MATCH(A406,Rosters!$B$2:$B$155,0)),AD406,"")</f>
        <v>-5.2253092857142862</v>
      </c>
      <c r="AK406">
        <f t="shared" si="58"/>
        <v>270</v>
      </c>
      <c r="AL406" s="23">
        <f>COUNTIF(INDEX($C406:$S406,Week+1):INDEX($C406:$S406,13),"&gt;0")</f>
        <v>7</v>
      </c>
    </row>
    <row r="407" spans="1:38" x14ac:dyDescent="0.25">
      <c r="A407" t="s">
        <v>388</v>
      </c>
      <c r="B407" t="s">
        <v>47</v>
      </c>
      <c r="C407">
        <v>2.63</v>
      </c>
      <c r="D407">
        <v>2.65</v>
      </c>
      <c r="E407">
        <v>3.24</v>
      </c>
      <c r="F407">
        <v>3.77</v>
      </c>
      <c r="G407">
        <v>3.57</v>
      </c>
      <c r="H407">
        <v>3.44</v>
      </c>
      <c r="I407">
        <v>3.26</v>
      </c>
      <c r="J407" t="s">
        <v>64</v>
      </c>
      <c r="K407">
        <v>2.85</v>
      </c>
      <c r="L407">
        <v>3.07</v>
      </c>
      <c r="M407">
        <v>4.32</v>
      </c>
      <c r="N407">
        <v>3.51</v>
      </c>
      <c r="O407">
        <v>4.12</v>
      </c>
      <c r="P407">
        <v>3.28</v>
      </c>
      <c r="Q407">
        <v>3.59</v>
      </c>
      <c r="R407">
        <v>4.13</v>
      </c>
      <c r="S407">
        <v>4.0199999999999996</v>
      </c>
      <c r="T407" s="2">
        <f>IF('ROS Rankings'!$AD$1,IFERROR(AVERAGE(INDEX($C407:$S407,14):INDEX($C407:$S407,17)),0),IFERROR(AVERAGE(INDEX($C407:$S407,Week+1):INDEX($C407:$S407,13)),0))</f>
        <v>3.5099999999999993</v>
      </c>
      <c r="U407" s="2" t="str">
        <f t="shared" si="60"/>
        <v/>
      </c>
      <c r="V407" s="2">
        <f t="shared" si="60"/>
        <v>3.5099999999999993</v>
      </c>
      <c r="W407" s="2" t="str">
        <f t="shared" si="60"/>
        <v/>
      </c>
      <c r="X407" s="2" t="str">
        <f t="shared" si="60"/>
        <v/>
      </c>
      <c r="Y407" s="2" t="str">
        <f t="shared" si="60"/>
        <v/>
      </c>
      <c r="Z407" s="2" t="str">
        <f t="shared" si="60"/>
        <v/>
      </c>
      <c r="AA407" s="23" t="str">
        <f t="shared" si="53"/>
        <v>RB67</v>
      </c>
      <c r="AB407" s="2">
        <f>$T407-VLOOKUP($B407,Scores!$AG$1:$AM$7,5,FALSE)</f>
        <v>-8.2485714285714291</v>
      </c>
      <c r="AC407" s="2">
        <f>$T407-VLOOKUP($B407,Scores!$AG$1:$AM$7,6,FALSE)</f>
        <v>-4.7600000000000016</v>
      </c>
      <c r="AD407" s="2">
        <f>$T407-VLOOKUP($B407,Scores!$AG$1:$AM$7,7,FALSE)+(ROW(A406)/1000000)</f>
        <v>-2.35816542857143</v>
      </c>
      <c r="AE407" s="2">
        <f t="array" ref="AE407">IF('ROS Rankings'!$AD$1,IFERROR(AVERAGE(IF(INDEX($C407:$S407,14):INDEX($C407:$S407,17)="NA",0,INDEX($C407:$S407,14):INDEX($C407:$S407,17))-INDEX($AQ$2:$BG$7,MATCH($B407,$AO$2:$AO$7,0),14):INDEX($AQ$2:$BG$7,MATCH($B407,$AO$2:$AO$7,0),17)),0),IFERROR(AVERAGE(IF(INDEX($C407:$S407,Week+1):INDEX($C407:$S407,13)="NA",0,INDEX($C407:$S407,Week+1):INDEX($C407:$S407,13))-INDEX($AQ$2:$BG$7,MATCH($B407,$AO$2:$AO$7,0),Week+1):INDEX($AQ$2:$BG$7,MATCH($B407,$AO$2:$AO$7,0),13)),0))+ROW(A406)/1000000</f>
        <v>-2.2883439999999999</v>
      </c>
      <c r="AF407">
        <f t="shared" si="54"/>
        <v>382</v>
      </c>
      <c r="AG407">
        <f t="shared" si="55"/>
        <v>335</v>
      </c>
      <c r="AH407">
        <f t="shared" si="56"/>
        <v>262</v>
      </c>
      <c r="AI407">
        <f t="shared" si="57"/>
        <v>251</v>
      </c>
      <c r="AJ407" s="22">
        <f>IF(ISERROR(MATCH(A407,Rosters!$B$2:$B$155,0)),AD407,"")</f>
        <v>-2.35816542857143</v>
      </c>
      <c r="AK407">
        <f t="shared" si="58"/>
        <v>118</v>
      </c>
      <c r="AL407" s="23">
        <f>COUNTIF(INDEX($C407:$S407,Week+1):INDEX($C407:$S407,13),"&gt;0")</f>
        <v>7</v>
      </c>
    </row>
    <row r="408" spans="1:38" x14ac:dyDescent="0.25">
      <c r="A408" t="s">
        <v>3845</v>
      </c>
      <c r="B408" t="s">
        <v>87</v>
      </c>
      <c r="C408" t="s">
        <v>64</v>
      </c>
      <c r="D408" t="s">
        <v>64</v>
      </c>
      <c r="E408">
        <v>0</v>
      </c>
      <c r="F408">
        <v>0.61</v>
      </c>
      <c r="G408">
        <v>0.47</v>
      </c>
      <c r="H408">
        <v>0.53</v>
      </c>
      <c r="I408">
        <v>0.62</v>
      </c>
      <c r="J408">
        <v>0.52</v>
      </c>
      <c r="K408">
        <v>0.67</v>
      </c>
      <c r="L408">
        <v>0.61</v>
      </c>
      <c r="M408" t="s">
        <v>64</v>
      </c>
      <c r="N408">
        <v>0.48</v>
      </c>
      <c r="O408">
        <v>0.55000000000000004</v>
      </c>
      <c r="P408">
        <v>0.62</v>
      </c>
      <c r="Q408">
        <v>0.57999999999999996</v>
      </c>
      <c r="R408">
        <v>0.49</v>
      </c>
      <c r="S408">
        <v>0.46</v>
      </c>
      <c r="T408" s="2">
        <f>IF('ROS Rankings'!$AD$1,IFERROR(AVERAGE(INDEX($C408:$S408,14):INDEX($C408:$S408,17)),0),IFERROR(AVERAGE(INDEX($C408:$S408,Week+1):INDEX($C408:$S408,13)),0))</f>
        <v>0.56857142857142851</v>
      </c>
      <c r="U408" s="2" t="str">
        <f t="shared" si="60"/>
        <v/>
      </c>
      <c r="V408" s="2" t="str">
        <f t="shared" si="60"/>
        <v/>
      </c>
      <c r="W408" s="2">
        <f t="shared" si="60"/>
        <v>0.56857142857142851</v>
      </c>
      <c r="X408" s="2" t="str">
        <f t="shared" si="60"/>
        <v/>
      </c>
      <c r="Y408" s="2" t="str">
        <f t="shared" si="60"/>
        <v/>
      </c>
      <c r="Z408" s="2" t="str">
        <f t="shared" si="60"/>
        <v/>
      </c>
      <c r="AA408" s="23" t="str">
        <f t="shared" si="53"/>
        <v>WR157</v>
      </c>
      <c r="AB408" s="2">
        <f>$T408-VLOOKUP($B408,Scores!$AG$1:$AM$7,5,FALSE)</f>
        <v>-9.8028571428571425</v>
      </c>
      <c r="AC408" s="2">
        <f>$T408-VLOOKUP($B408,Scores!$AG$1:$AM$7,6,FALSE)</f>
        <v>-7.4628571428571435</v>
      </c>
      <c r="AD408" s="2">
        <f>$T408-VLOOKUP($B408,Scores!$AG$1:$AM$7,7,FALSE)+(ROW(A407)/1000000)</f>
        <v>-5.4838787142857139</v>
      </c>
      <c r="AE408" s="2">
        <f t="array" ref="AE408">IF('ROS Rankings'!$AD$1,IFERROR(AVERAGE(IF(INDEX($C408:$S408,14):INDEX($C408:$S408,17)="NA",0,INDEX($C408:$S408,14):INDEX($C408:$S408,17))-INDEX($AQ$2:$BG$7,MATCH($B408,$AO$2:$AO$7,0),14):INDEX($AQ$2:$BG$7,MATCH($B408,$AO$2:$AO$7,0),17)),0),IFERROR(AVERAGE(IF(INDEX($C408:$S408,Week+1):INDEX($C408:$S408,13)="NA",0,INDEX($C408:$S408,Week+1):INDEX($C408:$S408,13))-INDEX($AQ$2:$BG$7,MATCH($B408,$AO$2:$AO$7,0),Week+1):INDEX($AQ$2:$BG$7,MATCH($B408,$AO$2:$AO$7,0),13)),0))+ROW(A407)/1000000</f>
        <v>-4.8583429999999996</v>
      </c>
      <c r="AF408">
        <f t="shared" si="54"/>
        <v>432</v>
      </c>
      <c r="AG408">
        <f t="shared" si="55"/>
        <v>451</v>
      </c>
      <c r="AH408">
        <f t="shared" si="56"/>
        <v>482</v>
      </c>
      <c r="AI408">
        <f t="shared" si="57"/>
        <v>456</v>
      </c>
      <c r="AJ408" s="22">
        <f>IF(ISERROR(MATCH(A408,Rosters!$B$2:$B$155,0)),AD408,"")</f>
        <v>-5.4838787142857139</v>
      </c>
      <c r="AK408">
        <f t="shared" si="58"/>
        <v>330</v>
      </c>
      <c r="AL408" s="23">
        <f>COUNTIF(INDEX($C408:$S408,Week+1):INDEX($C408:$S408,13),"&gt;0")</f>
        <v>7</v>
      </c>
    </row>
    <row r="409" spans="1:38" x14ac:dyDescent="0.25">
      <c r="A409" t="s">
        <v>1319</v>
      </c>
      <c r="B409" t="s">
        <v>47</v>
      </c>
      <c r="C409">
        <v>0</v>
      </c>
      <c r="D409">
        <v>0</v>
      </c>
      <c r="E409">
        <v>0</v>
      </c>
      <c r="F409">
        <v>0.4</v>
      </c>
      <c r="G409" t="s">
        <v>64</v>
      </c>
      <c r="H409">
        <v>4.0199999999999996</v>
      </c>
      <c r="I409">
        <v>2.84</v>
      </c>
      <c r="J409">
        <v>3.34</v>
      </c>
      <c r="K409">
        <v>2.65</v>
      </c>
      <c r="L409">
        <v>3.89</v>
      </c>
      <c r="M409">
        <v>3.78</v>
      </c>
      <c r="N409">
        <v>3.59</v>
      </c>
      <c r="O409">
        <v>3</v>
      </c>
      <c r="P409">
        <v>4.03</v>
      </c>
      <c r="Q409">
        <v>2.4500000000000002</v>
      </c>
      <c r="R409">
        <v>3.56</v>
      </c>
      <c r="S409">
        <v>4.3</v>
      </c>
      <c r="T409" s="2">
        <f>IF('ROS Rankings'!$AD$1,IFERROR(AVERAGE(INDEX($C409:$S409,14):INDEX($C409:$S409,17)),0),IFERROR(AVERAGE(INDEX($C409:$S409,Week+1):INDEX($C409:$S409,13)),0))</f>
        <v>3.3887499999999999</v>
      </c>
      <c r="U409" s="2" t="str">
        <f t="shared" si="60"/>
        <v/>
      </c>
      <c r="V409" s="2">
        <f t="shared" si="60"/>
        <v>3.3887499999999999</v>
      </c>
      <c r="W409" s="2" t="str">
        <f t="shared" si="60"/>
        <v/>
      </c>
      <c r="X409" s="2" t="str">
        <f t="shared" si="60"/>
        <v/>
      </c>
      <c r="Y409" s="2" t="str">
        <f t="shared" si="60"/>
        <v/>
      </c>
      <c r="Z409" s="2" t="str">
        <f t="shared" si="60"/>
        <v/>
      </c>
      <c r="AA409" s="23" t="str">
        <f t="shared" si="53"/>
        <v>RB68</v>
      </c>
      <c r="AB409" s="2">
        <f>$T409-VLOOKUP($B409,Scores!$AG$1:$AM$7,5,FALSE)</f>
        <v>-8.369821428571429</v>
      </c>
      <c r="AC409" s="2">
        <f>$T409-VLOOKUP($B409,Scores!$AG$1:$AM$7,6,FALSE)</f>
        <v>-4.8812500000000014</v>
      </c>
      <c r="AD409" s="2">
        <f>$T409-VLOOKUP($B409,Scores!$AG$1:$AM$7,7,FALSE)+(ROW(A408)/1000000)</f>
        <v>-2.4794134285714291</v>
      </c>
      <c r="AE409" s="2">
        <f t="array" ref="AE409">IF('ROS Rankings'!$AD$1,IFERROR(AVERAGE(IF(INDEX($C409:$S409,14):INDEX($C409:$S409,17)="NA",0,INDEX($C409:$S409,14):INDEX($C409:$S409,17))-INDEX($AQ$2:$BG$7,MATCH($B409,$AO$2:$AO$7,0),14):INDEX($AQ$2:$BG$7,MATCH($B409,$AO$2:$AO$7,0),17)),0),IFERROR(AVERAGE(IF(INDEX($C409:$S409,Week+1):INDEX($C409:$S409,13)="NA",0,INDEX($C409:$S409,Week+1):INDEX($C409:$S409,13))-INDEX($AQ$2:$BG$7,MATCH($B409,$AO$2:$AO$7,0),Week+1):INDEX($AQ$2:$BG$7,MATCH($B409,$AO$2:$AO$7,0),13)),0))+ROW(A408)/1000000</f>
        <v>-1.970842</v>
      </c>
      <c r="AF409">
        <f t="shared" si="54"/>
        <v>383</v>
      </c>
      <c r="AG409">
        <f t="shared" si="55"/>
        <v>351</v>
      </c>
      <c r="AH409">
        <f t="shared" si="56"/>
        <v>267</v>
      </c>
      <c r="AI409">
        <f t="shared" si="57"/>
        <v>236</v>
      </c>
      <c r="AJ409" s="22">
        <f>IF(ISERROR(MATCH(A409,Rosters!$B$2:$B$155,0)),AD409,"")</f>
        <v>-2.4794134285714291</v>
      </c>
      <c r="AK409">
        <f t="shared" si="58"/>
        <v>123</v>
      </c>
      <c r="AL409" s="23">
        <f>COUNTIF(INDEX($C409:$S409,Week+1):INDEX($C409:$S409,13),"&gt;0")</f>
        <v>8</v>
      </c>
    </row>
    <row r="410" spans="1:38" x14ac:dyDescent="0.25">
      <c r="A410" t="s">
        <v>390</v>
      </c>
      <c r="B410" t="s">
        <v>47</v>
      </c>
      <c r="C410">
        <v>0.86</v>
      </c>
      <c r="D410">
        <v>0.92</v>
      </c>
      <c r="E410">
        <v>0.98</v>
      </c>
      <c r="F410">
        <v>1.01</v>
      </c>
      <c r="G410">
        <v>1.1599999999999999</v>
      </c>
      <c r="H410">
        <v>1.1299999999999999</v>
      </c>
      <c r="I410" t="s">
        <v>64</v>
      </c>
      <c r="J410">
        <v>0.83</v>
      </c>
      <c r="K410">
        <v>1.06</v>
      </c>
      <c r="L410">
        <v>1.1000000000000001</v>
      </c>
      <c r="M410">
        <v>1.02</v>
      </c>
      <c r="N410">
        <v>0.83</v>
      </c>
      <c r="O410">
        <v>1.07</v>
      </c>
      <c r="P410">
        <v>1.1000000000000001</v>
      </c>
      <c r="Q410">
        <v>1.1200000000000001</v>
      </c>
      <c r="R410">
        <v>1</v>
      </c>
      <c r="S410">
        <v>1.19</v>
      </c>
      <c r="T410" s="2">
        <f>IF('ROS Rankings'!$AD$1,IFERROR(AVERAGE(INDEX($C410:$S410,14):INDEX($C410:$S410,17)),0),IFERROR(AVERAGE(INDEX($C410:$S410,Week+1):INDEX($C410:$S410,13)),0))</f>
        <v>1.0057142857142858</v>
      </c>
      <c r="U410" s="2" t="str">
        <f t="shared" si="60"/>
        <v/>
      </c>
      <c r="V410" s="2">
        <f t="shared" si="60"/>
        <v>1.0057142857142858</v>
      </c>
      <c r="W410" s="2" t="str">
        <f t="shared" si="60"/>
        <v/>
      </c>
      <c r="X410" s="2" t="str">
        <f t="shared" si="60"/>
        <v/>
      </c>
      <c r="Y410" s="2" t="str">
        <f t="shared" si="60"/>
        <v/>
      </c>
      <c r="Z410" s="2" t="str">
        <f t="shared" si="60"/>
        <v/>
      </c>
      <c r="AA410" s="23" t="str">
        <f t="shared" si="53"/>
        <v>RB90</v>
      </c>
      <c r="AB410" s="2">
        <f>$T410-VLOOKUP($B410,Scores!$AG$1:$AM$7,5,FALSE)</f>
        <v>-10.752857142857144</v>
      </c>
      <c r="AC410" s="2">
        <f>$T410-VLOOKUP($B410,Scores!$AG$1:$AM$7,6,FALSE)</f>
        <v>-7.264285714285716</v>
      </c>
      <c r="AD410" s="2">
        <f>$T410-VLOOKUP($B410,Scores!$AG$1:$AM$7,7,FALSE)+(ROW(A409)/1000000)</f>
        <v>-4.8624481428571427</v>
      </c>
      <c r="AE410" s="2">
        <f t="array" ref="AE410">IF('ROS Rankings'!$AD$1,IFERROR(AVERAGE(IF(INDEX($C410:$S410,14):INDEX($C410:$S410,17)="NA",0,INDEX($C410:$S410,14):INDEX($C410:$S410,17))-INDEX($AQ$2:$BG$7,MATCH($B410,$AO$2:$AO$7,0),14):INDEX($AQ$2:$BG$7,MATCH($B410,$AO$2:$AO$7,0),17)),0),IFERROR(AVERAGE(IF(INDEX($C410:$S410,Week+1):INDEX($C410:$S410,13)="NA",0,INDEX($C410:$S410,Week+1):INDEX($C410:$S410,13))-INDEX($AQ$2:$BG$7,MATCH($B410,$AO$2:$AO$7,0),Week+1):INDEX($AQ$2:$BG$7,MATCH($B410,$AO$2:$AO$7,0),13)),0))+ROW(A409)/1000000</f>
        <v>-4.4795909999999992</v>
      </c>
      <c r="AF410">
        <f t="shared" si="54"/>
        <v>478</v>
      </c>
      <c r="AG410">
        <f t="shared" si="55"/>
        <v>419</v>
      </c>
      <c r="AH410">
        <f t="shared" si="56"/>
        <v>402</v>
      </c>
      <c r="AI410">
        <f t="shared" si="57"/>
        <v>373</v>
      </c>
      <c r="AJ410" s="22">
        <f>IF(ISERROR(MATCH(A410,Rosters!$B$2:$B$155,0)),AD410,"")</f>
        <v>-4.8624481428571427</v>
      </c>
      <c r="AK410">
        <f t="shared" si="58"/>
        <v>250</v>
      </c>
      <c r="AL410" s="23">
        <f>COUNTIF(INDEX($C410:$S410,Week+1):INDEX($C410:$S410,13),"&gt;0")</f>
        <v>7</v>
      </c>
    </row>
    <row r="411" spans="1:38" x14ac:dyDescent="0.25">
      <c r="A411" t="s">
        <v>1346</v>
      </c>
      <c r="B411" t="s">
        <v>47</v>
      </c>
      <c r="C411">
        <v>7.22</v>
      </c>
      <c r="D411">
        <v>7.79</v>
      </c>
      <c r="E411">
        <v>5.34</v>
      </c>
      <c r="F411">
        <v>6.84</v>
      </c>
      <c r="G411">
        <v>6.98</v>
      </c>
      <c r="H411">
        <v>8.32</v>
      </c>
      <c r="I411">
        <v>6.17</v>
      </c>
      <c r="J411">
        <v>8.11</v>
      </c>
      <c r="K411">
        <v>7.09</v>
      </c>
      <c r="L411" t="s">
        <v>64</v>
      </c>
      <c r="M411">
        <v>6.55</v>
      </c>
      <c r="N411">
        <v>8.19</v>
      </c>
      <c r="O411">
        <v>7.77</v>
      </c>
      <c r="P411">
        <v>7.19</v>
      </c>
      <c r="Q411">
        <v>5.12</v>
      </c>
      <c r="R411">
        <v>7.16</v>
      </c>
      <c r="S411">
        <v>7.08</v>
      </c>
      <c r="T411" s="2">
        <f>IF('ROS Rankings'!$AD$1,IFERROR(AVERAGE(INDEX($C411:$S411,14):INDEX($C411:$S411,17)),0),IFERROR(AVERAGE(INDEX($C411:$S411,Week+1):INDEX($C411:$S411,13)),0))</f>
        <v>7.4571428571428573</v>
      </c>
      <c r="U411" s="2" t="str">
        <f t="shared" si="60"/>
        <v/>
      </c>
      <c r="V411" s="2">
        <f t="shared" si="60"/>
        <v>7.4571428571428573</v>
      </c>
      <c r="W411" s="2" t="str">
        <f t="shared" si="60"/>
        <v/>
      </c>
      <c r="X411" s="2" t="str">
        <f t="shared" si="60"/>
        <v/>
      </c>
      <c r="Y411" s="2" t="str">
        <f t="shared" si="60"/>
        <v/>
      </c>
      <c r="Z411" s="2" t="str">
        <f t="shared" si="60"/>
        <v/>
      </c>
      <c r="AA411" s="23" t="str">
        <f t="shared" si="53"/>
        <v>RB35</v>
      </c>
      <c r="AB411" s="2">
        <f>$T411-VLOOKUP($B411,Scores!$AG$1:$AM$7,5,FALSE)</f>
        <v>-4.3014285714285716</v>
      </c>
      <c r="AC411" s="2">
        <f>$T411-VLOOKUP($B411,Scores!$AG$1:$AM$7,6,FALSE)</f>
        <v>-0.81285714285714405</v>
      </c>
      <c r="AD411" s="2">
        <f>$T411-VLOOKUP($B411,Scores!$AG$1:$AM$7,7,FALSE)+(ROW(A410)/1000000)</f>
        <v>1.5889814285714281</v>
      </c>
      <c r="AE411" s="2">
        <f t="array" ref="AE411">IF('ROS Rankings'!$AD$1,IFERROR(AVERAGE(IF(INDEX($C411:$S411,14):INDEX($C411:$S411,17)="NA",0,INDEX($C411:$S411,14):INDEX($C411:$S411,17))-INDEX($AQ$2:$BG$7,MATCH($B411,$AO$2:$AO$7,0),14):INDEX($AQ$2:$BG$7,MATCH($B411,$AO$2:$AO$7,0),17)),0),IFERROR(AVERAGE(IF(INDEX($C411:$S411,Week+1):INDEX($C411:$S411,13)="NA",0,INDEX($C411:$S411,Week+1):INDEX($C411:$S411,13))-INDEX($AQ$2:$BG$7,MATCH($B411,$AO$2:$AO$7,0),Week+1):INDEX($AQ$2:$BG$7,MATCH($B411,$AO$2:$AO$7,0),13)),0))+ROW(A410)/1000000</f>
        <v>1.1654100000000001</v>
      </c>
      <c r="AF411">
        <f t="shared" si="54"/>
        <v>205</v>
      </c>
      <c r="AG411">
        <f t="shared" si="55"/>
        <v>152</v>
      </c>
      <c r="AH411">
        <f t="shared" si="56"/>
        <v>87</v>
      </c>
      <c r="AI411">
        <f t="shared" si="57"/>
        <v>85</v>
      </c>
      <c r="AJ411" s="22" t="str">
        <f>IF(ISERROR(MATCH(A411,Rosters!$B$2:$B$155,0)),AD411,"")</f>
        <v/>
      </c>
      <c r="AK411" t="str">
        <f t="shared" si="58"/>
        <v/>
      </c>
      <c r="AL411" s="23">
        <f>COUNTIF(INDEX($C411:$S411,Week+1):INDEX($C411:$S411,13),"&gt;0")</f>
        <v>7</v>
      </c>
    </row>
    <row r="412" spans="1:38" x14ac:dyDescent="0.25">
      <c r="A412" t="s">
        <v>259</v>
      </c>
      <c r="B412" t="s">
        <v>87</v>
      </c>
      <c r="C412">
        <v>1.1299999999999999</v>
      </c>
      <c r="D412">
        <v>1.55</v>
      </c>
      <c r="E412">
        <v>2.52</v>
      </c>
      <c r="F412">
        <v>2.17</v>
      </c>
      <c r="G412">
        <v>1.82</v>
      </c>
      <c r="H412">
        <v>1.58</v>
      </c>
      <c r="I412">
        <v>1.79</v>
      </c>
      <c r="J412">
        <v>1.46</v>
      </c>
      <c r="K412" t="s">
        <v>64</v>
      </c>
      <c r="L412">
        <v>1.98</v>
      </c>
      <c r="M412">
        <v>1.63</v>
      </c>
      <c r="N412">
        <v>1.56</v>
      </c>
      <c r="O412">
        <v>1.86</v>
      </c>
      <c r="P412">
        <v>1.43</v>
      </c>
      <c r="Q412">
        <v>2.2599999999999998</v>
      </c>
      <c r="R412">
        <v>1.77</v>
      </c>
      <c r="S412">
        <v>1.84</v>
      </c>
      <c r="T412" s="2">
        <f>IF('ROS Rankings'!$AD$1,IFERROR(AVERAGE(INDEX($C412:$S412,14):INDEX($C412:$S412,17)),0),IFERROR(AVERAGE(INDEX($C412:$S412,Week+1):INDEX($C412:$S412,13)),0))</f>
        <v>1.6942857142857144</v>
      </c>
      <c r="U412" s="2" t="str">
        <f t="shared" si="60"/>
        <v/>
      </c>
      <c r="V412" s="2" t="str">
        <f t="shared" si="60"/>
        <v/>
      </c>
      <c r="W412" s="2">
        <f t="shared" si="60"/>
        <v>1.6942857142857144</v>
      </c>
      <c r="X412" s="2" t="str">
        <f t="shared" si="60"/>
        <v/>
      </c>
      <c r="Y412" s="2" t="str">
        <f t="shared" si="60"/>
        <v/>
      </c>
      <c r="Z412" s="2" t="str">
        <f t="shared" si="60"/>
        <v/>
      </c>
      <c r="AA412" s="23" t="str">
        <f t="shared" si="53"/>
        <v>WR115</v>
      </c>
      <c r="AB412" s="2">
        <f>$T412-VLOOKUP($B412,Scores!$AG$1:$AM$7,5,FALSE)</f>
        <v>-8.6771428571428562</v>
      </c>
      <c r="AC412" s="2">
        <f>$T412-VLOOKUP($B412,Scores!$AG$1:$AM$7,6,FALSE)</f>
        <v>-6.3371428571428581</v>
      </c>
      <c r="AD412" s="2">
        <f>$T412-VLOOKUP($B412,Scores!$AG$1:$AM$7,7,FALSE)+(ROW(A411)/1000000)</f>
        <v>-4.3581604285714288</v>
      </c>
      <c r="AE412" s="2">
        <f t="array" ref="AE412">IF('ROS Rankings'!$AD$1,IFERROR(AVERAGE(IF(INDEX($C412:$S412,14):INDEX($C412:$S412,17)="NA",0,INDEX($C412:$S412,14):INDEX($C412:$S412,17))-INDEX($AQ$2:$BG$7,MATCH($B412,$AO$2:$AO$7,0),14):INDEX($AQ$2:$BG$7,MATCH($B412,$AO$2:$AO$7,0),17)),0),IFERROR(AVERAGE(IF(INDEX($C412:$S412,Week+1):INDEX($C412:$S412,13)="NA",0,INDEX($C412:$S412,Week+1):INDEX($C412:$S412,13))-INDEX($AQ$2:$BG$7,MATCH($B412,$AO$2:$AO$7,0),Week+1):INDEX($AQ$2:$BG$7,MATCH($B412,$AO$2:$AO$7,0),13)),0))+ROW(A411)/1000000</f>
        <v>-3.8733390000000001</v>
      </c>
      <c r="AF412">
        <f t="shared" si="54"/>
        <v>385</v>
      </c>
      <c r="AG412">
        <f t="shared" si="55"/>
        <v>388</v>
      </c>
      <c r="AH412">
        <f t="shared" si="56"/>
        <v>352</v>
      </c>
      <c r="AI412">
        <f t="shared" si="57"/>
        <v>343</v>
      </c>
      <c r="AJ412" s="22">
        <f>IF(ISERROR(MATCH(A412,Rosters!$B$2:$B$155,0)),AD412,"")</f>
        <v>-4.3581604285714288</v>
      </c>
      <c r="AK412">
        <f t="shared" si="58"/>
        <v>200</v>
      </c>
      <c r="AL412" s="23">
        <f>COUNTIF(INDEX($C412:$S412,Week+1):INDEX($C412:$S412,13),"&gt;0")</f>
        <v>7</v>
      </c>
    </row>
    <row r="413" spans="1:38" x14ac:dyDescent="0.25">
      <c r="A413" t="s">
        <v>53</v>
      </c>
      <c r="B413" t="s">
        <v>15</v>
      </c>
      <c r="C413">
        <v>18.96</v>
      </c>
      <c r="D413">
        <v>18.59</v>
      </c>
      <c r="E413">
        <v>19.149999999999999</v>
      </c>
      <c r="F413">
        <v>18.649999999999999</v>
      </c>
      <c r="G413">
        <v>16.690000000000001</v>
      </c>
      <c r="H413">
        <v>19.57</v>
      </c>
      <c r="I413" t="s">
        <v>64</v>
      </c>
      <c r="J413">
        <v>19.02</v>
      </c>
      <c r="K413">
        <v>16.190000000000001</v>
      </c>
      <c r="L413">
        <v>15.63</v>
      </c>
      <c r="M413">
        <v>19.579999999999998</v>
      </c>
      <c r="N413">
        <v>15.38</v>
      </c>
      <c r="O413">
        <v>18.440000000000001</v>
      </c>
      <c r="P413">
        <v>16.14</v>
      </c>
      <c r="Q413">
        <v>17.420000000000002</v>
      </c>
      <c r="R413">
        <v>20.6</v>
      </c>
      <c r="S413">
        <v>16.239999999999998</v>
      </c>
      <c r="T413" s="2">
        <f>IF('ROS Rankings'!$AD$1,IFERROR(AVERAGE(INDEX($C413:$S413,14):INDEX($C413:$S413,17)),0),IFERROR(AVERAGE(INDEX($C413:$S413,Week+1):INDEX($C413:$S413,13)),0))</f>
        <v>17.687142857142856</v>
      </c>
      <c r="U413" s="2">
        <f t="shared" si="60"/>
        <v>17.687142857142856</v>
      </c>
      <c r="V413" s="2" t="str">
        <f t="shared" si="60"/>
        <v/>
      </c>
      <c r="W413" s="2" t="str">
        <f t="shared" si="60"/>
        <v/>
      </c>
      <c r="X413" s="2" t="str">
        <f t="shared" si="60"/>
        <v/>
      </c>
      <c r="Y413" s="2" t="str">
        <f t="shared" si="60"/>
        <v/>
      </c>
      <c r="Z413" s="2" t="str">
        <f t="shared" si="60"/>
        <v/>
      </c>
      <c r="AA413" s="23" t="str">
        <f t="shared" si="53"/>
        <v>QB16</v>
      </c>
      <c r="AB413" s="2">
        <f>$T413-VLOOKUP($B413,Scores!$AG$1:$AM$7,5,FALSE)</f>
        <v>-3.1971428571428575</v>
      </c>
      <c r="AC413" s="2">
        <f>$T413-VLOOKUP($B413,Scores!$AG$1:$AM$7,6,FALSE)</f>
        <v>-2.2166071428571428</v>
      </c>
      <c r="AD413" s="2">
        <f>$T413-VLOOKUP($B413,Scores!$AG$1:$AM$7,7,FALSE)+(ROW(A412)/1000000)</f>
        <v>-1.8124451428571404</v>
      </c>
      <c r="AE413" s="2">
        <f t="array" ref="AE413">IF('ROS Rankings'!$AD$1,IFERROR(AVERAGE(IF(INDEX($C413:$S413,14):INDEX($C413:$S413,17)="NA",0,INDEX($C413:$S413,14):INDEX($C413:$S413,17))-INDEX($AQ$2:$BG$7,MATCH($B413,$AO$2:$AO$7,0),14):INDEX($AQ$2:$BG$7,MATCH($B413,$AO$2:$AO$7,0),17)),0),IFERROR(AVERAGE(IF(INDEX($C413:$S413,Week+1):INDEX($C413:$S413,13)="NA",0,INDEX($C413:$S413,Week+1):INDEX($C413:$S413,13))-INDEX($AQ$2:$BG$7,MATCH($B413,$AO$2:$AO$7,0),Week+1):INDEX($AQ$2:$BG$7,MATCH($B413,$AO$2:$AO$7,0),13)),0))+ROW(A412)/1000000</f>
        <v>-3.0258379999999998</v>
      </c>
      <c r="AF413">
        <f t="shared" si="54"/>
        <v>168</v>
      </c>
      <c r="AG413">
        <f t="shared" si="55"/>
        <v>206</v>
      </c>
      <c r="AH413">
        <f t="shared" si="56"/>
        <v>239</v>
      </c>
      <c r="AI413">
        <f t="shared" si="57"/>
        <v>297</v>
      </c>
      <c r="AJ413" s="22" t="str">
        <f>IF(ISERROR(MATCH(A413,Rosters!$B$2:$B$155,0)),AD413,"")</f>
        <v/>
      </c>
      <c r="AK413" t="str">
        <f t="shared" si="58"/>
        <v/>
      </c>
      <c r="AL413" s="23">
        <f>COUNTIF(INDEX($C413:$S413,Week+1):INDEX($C413:$S413,13),"&gt;0")</f>
        <v>7</v>
      </c>
    </row>
    <row r="414" spans="1:38" x14ac:dyDescent="0.25">
      <c r="A414" t="s">
        <v>314</v>
      </c>
      <c r="B414" t="s">
        <v>15</v>
      </c>
      <c r="C414">
        <v>15.63</v>
      </c>
      <c r="D414">
        <v>12.82</v>
      </c>
      <c r="E414">
        <v>19.86</v>
      </c>
      <c r="F414">
        <v>18.16</v>
      </c>
      <c r="G414" t="s">
        <v>64</v>
      </c>
      <c r="H414">
        <v>1.29</v>
      </c>
      <c r="I414">
        <v>1.24</v>
      </c>
      <c r="J414">
        <v>1.1499999999999999</v>
      </c>
      <c r="K414">
        <v>1.1399999999999999</v>
      </c>
      <c r="L414">
        <v>1.26</v>
      </c>
      <c r="M414">
        <v>1.23</v>
      </c>
      <c r="N414">
        <v>1.23</v>
      </c>
      <c r="O414">
        <v>1.22</v>
      </c>
      <c r="P414">
        <v>1.28</v>
      </c>
      <c r="Q414">
        <v>1.05</v>
      </c>
      <c r="R414">
        <v>1.2</v>
      </c>
      <c r="S414">
        <v>1.38</v>
      </c>
      <c r="T414" s="2">
        <f>IF('ROS Rankings'!$AD$1,IFERROR(AVERAGE(INDEX($C414:$S414,14):INDEX($C414:$S414,17)),0),IFERROR(AVERAGE(INDEX($C414:$S414,Week+1):INDEX($C414:$S414,13)),0))</f>
        <v>1.2200000000000002</v>
      </c>
      <c r="U414" s="2">
        <f t="shared" si="60"/>
        <v>1.2200000000000002</v>
      </c>
      <c r="V414" s="2" t="str">
        <f t="shared" si="60"/>
        <v/>
      </c>
      <c r="W414" s="2" t="str">
        <f t="shared" si="60"/>
        <v/>
      </c>
      <c r="X414" s="2" t="str">
        <f t="shared" si="60"/>
        <v/>
      </c>
      <c r="Y414" s="2" t="str">
        <f t="shared" si="60"/>
        <v/>
      </c>
      <c r="Z414" s="2" t="str">
        <f t="shared" si="60"/>
        <v/>
      </c>
      <c r="AA414" s="23" t="str">
        <f t="shared" si="53"/>
        <v>QB35</v>
      </c>
      <c r="AB414" s="2">
        <f>$T414-VLOOKUP($B414,Scores!$AG$1:$AM$7,5,FALSE)</f>
        <v>-19.664285714285715</v>
      </c>
      <c r="AC414" s="2">
        <f>$T414-VLOOKUP($B414,Scores!$AG$1:$AM$7,6,FALSE)</f>
        <v>-18.68375</v>
      </c>
      <c r="AD414" s="2">
        <f>$T414-VLOOKUP($B414,Scores!$AG$1:$AM$7,7,FALSE)+(ROW(A413)/1000000)</f>
        <v>-18.279586999999996</v>
      </c>
      <c r="AE414" s="2">
        <f t="array" ref="AE414">IF('ROS Rankings'!$AD$1,IFERROR(AVERAGE(IF(INDEX($C414:$S414,14):INDEX($C414:$S414,17)="NA",0,INDEX($C414:$S414,14):INDEX($C414:$S414,17))-INDEX($AQ$2:$BG$7,MATCH($B414,$AO$2:$AO$7,0),14):INDEX($AQ$2:$BG$7,MATCH($B414,$AO$2:$AO$7,0),17)),0),IFERROR(AVERAGE(IF(INDEX($C414:$S414,Week+1):INDEX($C414:$S414,13)="NA",0,INDEX($C414:$S414,Week+1):INDEX($C414:$S414,13))-INDEX($AQ$2:$BG$7,MATCH($B414,$AO$2:$AO$7,0),Week+1):INDEX($AQ$2:$BG$7,MATCH($B414,$AO$2:$AO$7,0),13)),0))+ROW(A413)/1000000</f>
        <v>-17.282086999999997</v>
      </c>
      <c r="AF414">
        <f t="shared" si="54"/>
        <v>526</v>
      </c>
      <c r="AG414">
        <f t="shared" si="55"/>
        <v>526</v>
      </c>
      <c r="AH414">
        <f t="shared" si="56"/>
        <v>526</v>
      </c>
      <c r="AI414">
        <f t="shared" si="57"/>
        <v>526</v>
      </c>
      <c r="AJ414" s="22">
        <f>IF(ISERROR(MATCH(A414,Rosters!$B$2:$B$155,0)),AD414,"")</f>
        <v>-18.279586999999996</v>
      </c>
      <c r="AK414">
        <f t="shared" si="58"/>
        <v>373</v>
      </c>
      <c r="AL414" s="23">
        <f>COUNTIF(INDEX($C414:$S414,Week+1):INDEX($C414:$S414,13),"&gt;0")</f>
        <v>8</v>
      </c>
    </row>
    <row r="415" spans="1:38" x14ac:dyDescent="0.25">
      <c r="A415" t="s">
        <v>381</v>
      </c>
      <c r="B415" t="s">
        <v>87</v>
      </c>
      <c r="C415">
        <v>4.4000000000000004</v>
      </c>
      <c r="D415">
        <v>4.93</v>
      </c>
      <c r="E415">
        <v>5.08</v>
      </c>
      <c r="F415">
        <v>5.2</v>
      </c>
      <c r="G415">
        <v>7.53</v>
      </c>
      <c r="H415">
        <v>5.04</v>
      </c>
      <c r="I415">
        <v>4.37</v>
      </c>
      <c r="J415">
        <v>5.35</v>
      </c>
      <c r="K415" t="s">
        <v>64</v>
      </c>
      <c r="L415">
        <v>5.13</v>
      </c>
      <c r="M415">
        <v>5.87</v>
      </c>
      <c r="N415">
        <v>5.9</v>
      </c>
      <c r="O415">
        <v>4.9400000000000004</v>
      </c>
      <c r="P415">
        <v>5.25</v>
      </c>
      <c r="Q415">
        <v>5.7</v>
      </c>
      <c r="R415">
        <v>5.03</v>
      </c>
      <c r="S415">
        <v>5.7</v>
      </c>
      <c r="T415" s="2">
        <f>IF('ROS Rankings'!$AD$1,IFERROR(AVERAGE(INDEX($C415:$S415,14):INDEX($C415:$S415,17)),0),IFERROR(AVERAGE(INDEX($C415:$S415,Week+1):INDEX($C415:$S415,13)),0))</f>
        <v>5.2285714285714286</v>
      </c>
      <c r="U415" s="2" t="str">
        <f t="shared" si="60"/>
        <v/>
      </c>
      <c r="V415" s="2" t="str">
        <f t="shared" si="60"/>
        <v/>
      </c>
      <c r="W415" s="2">
        <f t="shared" si="60"/>
        <v>5.2285714285714286</v>
      </c>
      <c r="X415" s="2" t="str">
        <f t="shared" si="60"/>
        <v/>
      </c>
      <c r="Y415" s="2" t="str">
        <f t="shared" si="60"/>
        <v/>
      </c>
      <c r="Z415" s="2" t="str">
        <f t="shared" si="60"/>
        <v/>
      </c>
      <c r="AA415" s="23" t="str">
        <f t="shared" si="53"/>
        <v>WR61</v>
      </c>
      <c r="AB415" s="2">
        <f>$T415-VLOOKUP($B415,Scores!$AG$1:$AM$7,5,FALSE)</f>
        <v>-5.1428571428571415</v>
      </c>
      <c r="AC415" s="2">
        <f>$T415-VLOOKUP($B415,Scores!$AG$1:$AM$7,6,FALSE)</f>
        <v>-2.8028571428571434</v>
      </c>
      <c r="AD415" s="2">
        <f>$T415-VLOOKUP($B415,Scores!$AG$1:$AM$7,7,FALSE)+(ROW(A414)/1000000)</f>
        <v>-0.82387171428571382</v>
      </c>
      <c r="AE415" s="2">
        <f t="array" ref="AE415">IF('ROS Rankings'!$AD$1,IFERROR(AVERAGE(IF(INDEX($C415:$S415,14):INDEX($C415:$S415,17)="NA",0,INDEX($C415:$S415,14):INDEX($C415:$S415,17))-INDEX($AQ$2:$BG$7,MATCH($B415,$AO$2:$AO$7,0),14):INDEX($AQ$2:$BG$7,MATCH($B415,$AO$2:$AO$7,0),17)),0),IFERROR(AVERAGE(IF(INDEX($C415:$S415,Week+1):INDEX($C415:$S415,13)="NA",0,INDEX($C415:$S415,Week+1):INDEX($C415:$S415,13))-INDEX($AQ$2:$BG$7,MATCH($B415,$AO$2:$AO$7,0),Week+1):INDEX($AQ$2:$BG$7,MATCH($B415,$AO$2:$AO$7,0),13)),0))+ROW(A414)/1000000</f>
        <v>-0.78083599999999997</v>
      </c>
      <c r="AF415">
        <f t="shared" si="54"/>
        <v>243</v>
      </c>
      <c r="AG415">
        <f t="shared" si="55"/>
        <v>233</v>
      </c>
      <c r="AH415">
        <f t="shared" si="56"/>
        <v>192</v>
      </c>
      <c r="AI415">
        <f t="shared" si="57"/>
        <v>159</v>
      </c>
      <c r="AJ415" s="22" t="str">
        <f>IF(ISERROR(MATCH(A415,Rosters!$B$2:$B$155,0)),AD415,"")</f>
        <v/>
      </c>
      <c r="AK415" t="str">
        <f t="shared" si="58"/>
        <v/>
      </c>
      <c r="AL415" s="23">
        <f>COUNTIF(INDEX($C415:$S415,Week+1):INDEX($C415:$S415,13),"&gt;0")</f>
        <v>7</v>
      </c>
    </row>
    <row r="416" spans="1:38" x14ac:dyDescent="0.25">
      <c r="A416" t="s">
        <v>274</v>
      </c>
      <c r="B416" t="s">
        <v>114</v>
      </c>
      <c r="C416">
        <v>4.34</v>
      </c>
      <c r="D416">
        <v>3.31</v>
      </c>
      <c r="E416">
        <v>1.55</v>
      </c>
      <c r="F416">
        <v>2.16</v>
      </c>
      <c r="G416">
        <v>2.0499999999999998</v>
      </c>
      <c r="H416">
        <v>1.65</v>
      </c>
      <c r="I416">
        <v>1.64</v>
      </c>
      <c r="J416">
        <v>1.97</v>
      </c>
      <c r="K416">
        <v>1.86</v>
      </c>
      <c r="L416" t="s">
        <v>64</v>
      </c>
      <c r="M416">
        <v>1.47</v>
      </c>
      <c r="N416">
        <v>1.89</v>
      </c>
      <c r="O416">
        <v>1.75</v>
      </c>
      <c r="P416">
        <v>2.06</v>
      </c>
      <c r="Q416">
        <v>1.73</v>
      </c>
      <c r="R416">
        <v>1.83</v>
      </c>
      <c r="S416">
        <v>1.7</v>
      </c>
      <c r="T416" s="2">
        <f>IF('ROS Rankings'!$AD$1,IFERROR(AVERAGE(INDEX($C416:$S416,14):INDEX($C416:$S416,17)),0),IFERROR(AVERAGE(INDEX($C416:$S416,Week+1):INDEX($C416:$S416,13)),0))</f>
        <v>1.7471428571428571</v>
      </c>
      <c r="U416" s="2" t="str">
        <f t="shared" si="60"/>
        <v/>
      </c>
      <c r="V416" s="2" t="str">
        <f t="shared" si="60"/>
        <v/>
      </c>
      <c r="W416" s="2" t="str">
        <f t="shared" si="60"/>
        <v/>
      </c>
      <c r="X416" s="2">
        <f t="shared" si="60"/>
        <v>1.7471428571428571</v>
      </c>
      <c r="Y416" s="2" t="str">
        <f t="shared" si="60"/>
        <v/>
      </c>
      <c r="Z416" s="2" t="str">
        <f t="shared" si="60"/>
        <v/>
      </c>
      <c r="AA416" s="23" t="str">
        <f t="shared" si="53"/>
        <v>TE55</v>
      </c>
      <c r="AB416" s="2">
        <f>$T416-VLOOKUP($B416,Scores!$AG$1:$AM$7,5,FALSE)</f>
        <v>-5.251607142857142</v>
      </c>
      <c r="AC416" s="2">
        <f>$T416-VLOOKUP($B416,Scores!$AG$1:$AM$7,6,FALSE)</f>
        <v>-3.5028571428571427</v>
      </c>
      <c r="AD416" s="2">
        <f>$T416-VLOOKUP($B416,Scores!$AG$1:$AM$7,7,FALSE)+(ROW(A415)/1000000)</f>
        <v>-3.4324421428571426</v>
      </c>
      <c r="AE416" s="2">
        <f t="array" ref="AE416">IF('ROS Rankings'!$AD$1,IFERROR(AVERAGE(IF(INDEX($C416:$S416,14):INDEX($C416:$S416,17)="NA",0,INDEX($C416:$S416,14):INDEX($C416:$S416,17))-INDEX($AQ$2:$BG$7,MATCH($B416,$AO$2:$AO$7,0),14):INDEX($AQ$2:$BG$7,MATCH($B416,$AO$2:$AO$7,0),17)),0),IFERROR(AVERAGE(IF(INDEX($C416:$S416,Week+1):INDEX($C416:$S416,13)="NA",0,INDEX($C416:$S416,Week+1):INDEX($C416:$S416,13))-INDEX($AQ$2:$BG$7,MATCH($B416,$AO$2:$AO$7,0),Week+1):INDEX($AQ$2:$BG$7,MATCH($B416,$AO$2:$AO$7,0),13)),0))+ROW(A415)/1000000</f>
        <v>-3.5683350000000003</v>
      </c>
      <c r="AF416">
        <f t="shared" si="54"/>
        <v>246</v>
      </c>
      <c r="AG416">
        <f t="shared" si="55"/>
        <v>270</v>
      </c>
      <c r="AH416">
        <f t="shared" si="56"/>
        <v>322</v>
      </c>
      <c r="AI416">
        <f t="shared" si="57"/>
        <v>322</v>
      </c>
      <c r="AJ416" s="22">
        <f>IF(ISERROR(MATCH(A416,Rosters!$B$2:$B$155,0)),AD416,"")</f>
        <v>-3.4324421428571426</v>
      </c>
      <c r="AK416">
        <f t="shared" si="58"/>
        <v>171</v>
      </c>
      <c r="AL416" s="23">
        <f>COUNTIF(INDEX($C416:$S416,Week+1):INDEX($C416:$S416,13),"&gt;0")</f>
        <v>7</v>
      </c>
    </row>
    <row r="417" spans="1:38" x14ac:dyDescent="0.25">
      <c r="A417" t="s">
        <v>1540</v>
      </c>
      <c r="B417" t="s">
        <v>87</v>
      </c>
      <c r="C417">
        <v>0.71</v>
      </c>
      <c r="D417">
        <v>0.9</v>
      </c>
      <c r="E417">
        <v>0.93</v>
      </c>
      <c r="F417">
        <v>1.6</v>
      </c>
      <c r="G417">
        <v>4.08</v>
      </c>
      <c r="H417">
        <v>4.03</v>
      </c>
      <c r="I417" t="s">
        <v>64</v>
      </c>
      <c r="J417">
        <v>3.77</v>
      </c>
      <c r="K417">
        <v>3.93</v>
      </c>
      <c r="L417">
        <v>3.42</v>
      </c>
      <c r="M417">
        <v>3.81</v>
      </c>
      <c r="N417">
        <v>3.74</v>
      </c>
      <c r="O417">
        <v>3.56</v>
      </c>
      <c r="P417">
        <v>3.64</v>
      </c>
      <c r="Q417">
        <v>3.81</v>
      </c>
      <c r="R417">
        <v>4.03</v>
      </c>
      <c r="S417">
        <v>4.22</v>
      </c>
      <c r="T417" s="2">
        <f>IF('ROS Rankings'!$AD$1,IFERROR(AVERAGE(INDEX($C417:$S417,14):INDEX($C417:$S417,17)),0),IFERROR(AVERAGE(INDEX($C417:$S417,Week+1):INDEX($C417:$S417,13)),0))</f>
        <v>3.7514285714285718</v>
      </c>
      <c r="U417" s="2" t="str">
        <f t="shared" si="60"/>
        <v/>
      </c>
      <c r="V417" s="2" t="str">
        <f t="shared" si="60"/>
        <v/>
      </c>
      <c r="W417" s="2">
        <f t="shared" si="60"/>
        <v>3.7514285714285718</v>
      </c>
      <c r="X417" s="2" t="str">
        <f t="shared" si="60"/>
        <v/>
      </c>
      <c r="Y417" s="2" t="str">
        <f t="shared" si="60"/>
        <v/>
      </c>
      <c r="Z417" s="2" t="str">
        <f t="shared" si="60"/>
        <v/>
      </c>
      <c r="AA417" s="23" t="str">
        <f t="shared" si="53"/>
        <v>WR85</v>
      </c>
      <c r="AB417" s="2">
        <f>$T417-VLOOKUP($B417,Scores!$AG$1:$AM$7,5,FALSE)</f>
        <v>-6.6199999999999983</v>
      </c>
      <c r="AC417" s="2">
        <f>$T417-VLOOKUP($B417,Scores!$AG$1:$AM$7,6,FALSE)</f>
        <v>-4.28</v>
      </c>
      <c r="AD417" s="2">
        <f>$T417-VLOOKUP($B417,Scores!$AG$1:$AM$7,7,FALSE)+(ROW(A416)/1000000)</f>
        <v>-2.3010125714285707</v>
      </c>
      <c r="AE417" s="2">
        <f t="array" ref="AE417">IF('ROS Rankings'!$AD$1,IFERROR(AVERAGE(IF(INDEX($C417:$S417,14):INDEX($C417:$S417,17)="NA",0,INDEX($C417:$S417,14):INDEX($C417:$S417,17))-INDEX($AQ$2:$BG$7,MATCH($B417,$AO$2:$AO$7,0),14):INDEX($AQ$2:$BG$7,MATCH($B417,$AO$2:$AO$7,0),17)),0),IFERROR(AVERAGE(IF(INDEX($C417:$S417,Week+1):INDEX($C417:$S417,13)="NA",0,INDEX($C417:$S417,Week+1):INDEX($C417:$S417,13))-INDEX($AQ$2:$BG$7,MATCH($B417,$AO$2:$AO$7,0),Week+1):INDEX($AQ$2:$BG$7,MATCH($B417,$AO$2:$AO$7,0),13)),0))+ROW(A416)/1000000</f>
        <v>-2.073334</v>
      </c>
      <c r="AF417">
        <f t="shared" si="54"/>
        <v>333</v>
      </c>
      <c r="AG417">
        <f t="shared" si="55"/>
        <v>304</v>
      </c>
      <c r="AH417">
        <f t="shared" si="56"/>
        <v>259</v>
      </c>
      <c r="AI417">
        <f t="shared" si="57"/>
        <v>242</v>
      </c>
      <c r="AJ417" s="22">
        <f>IF(ISERROR(MATCH(A417,Rosters!$B$2:$B$155,0)),AD417,"")</f>
        <v>-2.3010125714285707</v>
      </c>
      <c r="AK417">
        <f t="shared" si="58"/>
        <v>115</v>
      </c>
      <c r="AL417" s="23">
        <f>COUNTIF(INDEX($C417:$S417,Week+1):INDEX($C417:$S417,13),"&gt;0")</f>
        <v>7</v>
      </c>
    </row>
    <row r="418" spans="1:38" x14ac:dyDescent="0.25">
      <c r="A418" t="s">
        <v>1278</v>
      </c>
      <c r="B418" t="s">
        <v>15</v>
      </c>
      <c r="C418">
        <v>14.36</v>
      </c>
      <c r="D418">
        <v>13.49</v>
      </c>
      <c r="E418">
        <v>16.36</v>
      </c>
      <c r="F418">
        <v>16.09</v>
      </c>
      <c r="G418">
        <v>13.24</v>
      </c>
      <c r="H418">
        <v>13</v>
      </c>
      <c r="I418">
        <v>15.05</v>
      </c>
      <c r="J418">
        <v>15.27</v>
      </c>
      <c r="K418">
        <v>13.58</v>
      </c>
      <c r="L418">
        <v>14.52</v>
      </c>
      <c r="M418" t="s">
        <v>64</v>
      </c>
      <c r="N418">
        <v>15.96</v>
      </c>
      <c r="O418">
        <v>13.13</v>
      </c>
      <c r="P418">
        <v>15.56</v>
      </c>
      <c r="Q418">
        <v>14.13</v>
      </c>
      <c r="R418">
        <v>11.73</v>
      </c>
      <c r="S418">
        <v>12.41</v>
      </c>
      <c r="T418" s="2">
        <f>IF('ROS Rankings'!$AD$1,IFERROR(AVERAGE(INDEX($C418:$S418,14):INDEX($C418:$S418,17)),0),IFERROR(AVERAGE(INDEX($C418:$S418,Week+1):INDEX($C418:$S418,13)),0))</f>
        <v>14.358571428571427</v>
      </c>
      <c r="U418" s="2">
        <f t="shared" si="60"/>
        <v>14.358571428571427</v>
      </c>
      <c r="V418" s="2" t="str">
        <f t="shared" si="60"/>
        <v/>
      </c>
      <c r="W418" s="2" t="str">
        <f t="shared" si="60"/>
        <v/>
      </c>
      <c r="X418" s="2" t="str">
        <f t="shared" si="60"/>
        <v/>
      </c>
      <c r="Y418" s="2" t="str">
        <f t="shared" si="60"/>
        <v/>
      </c>
      <c r="Z418" s="2" t="str">
        <f t="shared" si="60"/>
        <v/>
      </c>
      <c r="AA418" s="23" t="str">
        <f t="shared" si="53"/>
        <v>QB30</v>
      </c>
      <c r="AB418" s="2">
        <f>$T418-VLOOKUP($B418,Scores!$AG$1:$AM$7,5,FALSE)</f>
        <v>-6.5257142857142867</v>
      </c>
      <c r="AC418" s="2">
        <f>$T418-VLOOKUP($B418,Scores!$AG$1:$AM$7,6,FALSE)</f>
        <v>-5.545178571428572</v>
      </c>
      <c r="AD418" s="2">
        <f>$T418-VLOOKUP($B418,Scores!$AG$1:$AM$7,7,FALSE)+(ROW(A417)/1000000)</f>
        <v>-5.14101157142857</v>
      </c>
      <c r="AE418" s="2">
        <f t="array" ref="AE418">IF('ROS Rankings'!$AD$1,IFERROR(AVERAGE(IF(INDEX($C418:$S418,14):INDEX($C418:$S418,17)="NA",0,INDEX($C418:$S418,14):INDEX($C418:$S418,17))-INDEX($AQ$2:$BG$7,MATCH($B418,$AO$2:$AO$7,0),14):INDEX($AQ$2:$BG$7,MATCH($B418,$AO$2:$AO$7,0),17)),0),IFERROR(AVERAGE(IF(INDEX($C418:$S418,Week+1):INDEX($C418:$S418,13)="NA",0,INDEX($C418:$S418,Week+1):INDEX($C418:$S418,13))-INDEX($AQ$2:$BG$7,MATCH($B418,$AO$2:$AO$7,0),Week+1):INDEX($AQ$2:$BG$7,MATCH($B418,$AO$2:$AO$7,0),13)),0))+ROW(A417)/1000000</f>
        <v>-5.9383329999999992</v>
      </c>
      <c r="AF418">
        <f t="shared" si="54"/>
        <v>321</v>
      </c>
      <c r="AG418">
        <f t="shared" si="55"/>
        <v>377</v>
      </c>
      <c r="AH418">
        <f t="shared" si="56"/>
        <v>413</v>
      </c>
      <c r="AI418">
        <f t="shared" si="57"/>
        <v>519</v>
      </c>
      <c r="AJ418" s="22">
        <f>IF(ISERROR(MATCH(A418,Rosters!$B$2:$B$155,0)),AD418,"")</f>
        <v>-5.14101157142857</v>
      </c>
      <c r="AK418">
        <f t="shared" si="58"/>
        <v>261</v>
      </c>
      <c r="AL418" s="23">
        <f>COUNTIF(INDEX($C418:$S418,Week+1):INDEX($C418:$S418,13),"&gt;0")</f>
        <v>7</v>
      </c>
    </row>
    <row r="419" spans="1:38" x14ac:dyDescent="0.25">
      <c r="A419" t="s">
        <v>78</v>
      </c>
      <c r="B419" t="s">
        <v>15</v>
      </c>
      <c r="C419">
        <v>13.44</v>
      </c>
      <c r="D419">
        <v>12.29</v>
      </c>
      <c r="E419">
        <v>12.44</v>
      </c>
      <c r="F419">
        <v>0</v>
      </c>
      <c r="G419">
        <v>0</v>
      </c>
      <c r="H419">
        <v>0</v>
      </c>
      <c r="I419">
        <v>0</v>
      </c>
      <c r="J419">
        <v>0</v>
      </c>
      <c r="K419" t="s">
        <v>64</v>
      </c>
      <c r="L419">
        <v>0</v>
      </c>
      <c r="M419">
        <v>0</v>
      </c>
      <c r="N419">
        <v>0</v>
      </c>
      <c r="O419">
        <v>0</v>
      </c>
      <c r="P419">
        <v>0</v>
      </c>
      <c r="Q419">
        <v>0</v>
      </c>
      <c r="R419">
        <v>0</v>
      </c>
      <c r="S419">
        <v>0</v>
      </c>
      <c r="T419" s="2">
        <f>IF('ROS Rankings'!$AD$1,IFERROR(AVERAGE(INDEX($C419:$S419,14):INDEX($C419:$S419,17)),0),IFERROR(AVERAGE(INDEX($C419:$S419,Week+1):INDEX($C419:$S419,13)),0))</f>
        <v>0</v>
      </c>
      <c r="U419" s="2">
        <f t="shared" si="60"/>
        <v>0</v>
      </c>
      <c r="V419" s="2" t="str">
        <f t="shared" si="60"/>
        <v/>
      </c>
      <c r="W419" s="2" t="str">
        <f t="shared" si="60"/>
        <v/>
      </c>
      <c r="X419" s="2" t="str">
        <f t="shared" si="60"/>
        <v/>
      </c>
      <c r="Y419" s="2" t="str">
        <f t="shared" si="60"/>
        <v/>
      </c>
      <c r="Z419" s="2" t="str">
        <f t="shared" si="60"/>
        <v/>
      </c>
      <c r="AA419" s="23" t="str">
        <f t="shared" si="53"/>
        <v>QB60</v>
      </c>
      <c r="AB419" s="2">
        <f>$T419-VLOOKUP($B419,Scores!$AG$1:$AM$7,5,FALSE)</f>
        <v>-20.884285714285713</v>
      </c>
      <c r="AC419" s="2">
        <f>$T419-VLOOKUP($B419,Scores!$AG$1:$AM$7,6,FALSE)</f>
        <v>-19.903749999999999</v>
      </c>
      <c r="AD419" s="2">
        <f>$T419-VLOOKUP($B419,Scores!$AG$1:$AM$7,7,FALSE)+(ROW(A418)/1000000)</f>
        <v>-19.499581999999997</v>
      </c>
      <c r="AE419" s="2">
        <f t="array" ref="AE419">IF('ROS Rankings'!$AD$1,IFERROR(AVERAGE(IF(INDEX($C419:$S419,14):INDEX($C419:$S419,17)="NA",0,INDEX($C419:$S419,14):INDEX($C419:$S419,17))-INDEX($AQ$2:$BG$7,MATCH($B419,$AO$2:$AO$7,0),14):INDEX($AQ$2:$BG$7,MATCH($B419,$AO$2:$AO$7,0),17)),0),IFERROR(AVERAGE(IF(INDEX($C419:$S419,Week+1):INDEX($C419:$S419,13)="NA",0,INDEX($C419:$S419,Week+1):INDEX($C419:$S419,13))-INDEX($AQ$2:$BG$7,MATCH($B419,$AO$2:$AO$7,0),Week+1):INDEX($AQ$2:$BG$7,MATCH($B419,$AO$2:$AO$7,0),13)),0))+ROW(A418)/1000000</f>
        <v>-18.502082000000001</v>
      </c>
      <c r="AF419">
        <f t="shared" si="54"/>
        <v>551</v>
      </c>
      <c r="AG419">
        <f t="shared" si="55"/>
        <v>551</v>
      </c>
      <c r="AH419">
        <f t="shared" si="56"/>
        <v>552</v>
      </c>
      <c r="AI419">
        <f t="shared" si="57"/>
        <v>552</v>
      </c>
      <c r="AJ419" s="22">
        <f>IF(ISERROR(MATCH(A419,Rosters!$B$2:$B$155,0)),AD419,"")</f>
        <v>-19.499581999999997</v>
      </c>
      <c r="AK419">
        <f t="shared" si="58"/>
        <v>399</v>
      </c>
      <c r="AL419" s="23">
        <f>COUNTIF(INDEX($C419:$S419,Week+1):INDEX($C419:$S419,13),"&gt;0")</f>
        <v>0</v>
      </c>
    </row>
    <row r="420" spans="1:38" x14ac:dyDescent="0.25">
      <c r="A420" t="s">
        <v>1275</v>
      </c>
      <c r="B420" t="s">
        <v>15</v>
      </c>
      <c r="C420">
        <v>13.43</v>
      </c>
      <c r="D420">
        <v>13.8</v>
      </c>
      <c r="E420">
        <v>14.13</v>
      </c>
      <c r="F420">
        <v>10.47</v>
      </c>
      <c r="G420">
        <v>13.66</v>
      </c>
      <c r="H420">
        <v>15.09</v>
      </c>
      <c r="I420">
        <v>15</v>
      </c>
      <c r="J420">
        <v>13.71</v>
      </c>
      <c r="K420">
        <v>14.26</v>
      </c>
      <c r="L420">
        <v>14.38</v>
      </c>
      <c r="M420" t="s">
        <v>64</v>
      </c>
      <c r="N420">
        <v>15.34</v>
      </c>
      <c r="O420">
        <v>14.29</v>
      </c>
      <c r="P420">
        <v>13.59</v>
      </c>
      <c r="Q420">
        <v>17.170000000000002</v>
      </c>
      <c r="R420">
        <v>15.22</v>
      </c>
      <c r="S420">
        <v>14.44</v>
      </c>
      <c r="T420" s="2">
        <f>IF('ROS Rankings'!$AD$1,IFERROR(AVERAGE(INDEX($C420:$S420,14):INDEX($C420:$S420,17)),0),IFERROR(AVERAGE(INDEX($C420:$S420,Week+1):INDEX($C420:$S420,13)),0))</f>
        <v>14.581428571428571</v>
      </c>
      <c r="U420" s="2">
        <f t="shared" si="60"/>
        <v>14.581428571428571</v>
      </c>
      <c r="V420" s="2" t="str">
        <f t="shared" si="60"/>
        <v/>
      </c>
      <c r="W420" s="2" t="str">
        <f t="shared" si="60"/>
        <v/>
      </c>
      <c r="X420" s="2" t="str">
        <f t="shared" si="60"/>
        <v/>
      </c>
      <c r="Y420" s="2" t="str">
        <f t="shared" si="60"/>
        <v/>
      </c>
      <c r="Z420" s="2" t="str">
        <f t="shared" si="60"/>
        <v/>
      </c>
      <c r="AA420" s="23" t="str">
        <f t="shared" si="53"/>
        <v>QB28</v>
      </c>
      <c r="AB420" s="2">
        <f>$T420-VLOOKUP($B420,Scores!$AG$1:$AM$7,5,FALSE)</f>
        <v>-6.3028571428571425</v>
      </c>
      <c r="AC420" s="2">
        <f>$T420-VLOOKUP($B420,Scores!$AG$1:$AM$7,6,FALSE)</f>
        <v>-5.3223214285714278</v>
      </c>
      <c r="AD420" s="2">
        <f>$T420-VLOOKUP($B420,Scores!$AG$1:$AM$7,7,FALSE)+(ROW(A419)/1000000)</f>
        <v>-4.9181524285714255</v>
      </c>
      <c r="AE420" s="2">
        <f t="array" ref="AE420">IF('ROS Rankings'!$AD$1,IFERROR(AVERAGE(IF(INDEX($C420:$S420,14):INDEX($C420:$S420,17)="NA",0,INDEX($C420:$S420,14):INDEX($C420:$S420,17))-INDEX($AQ$2:$BG$7,MATCH($B420,$AO$2:$AO$7,0),14):INDEX($AQ$2:$BG$7,MATCH($B420,$AO$2:$AO$7,0),17)),0),IFERROR(AVERAGE(IF(INDEX($C420:$S420,Week+1):INDEX($C420:$S420,13)="NA",0,INDEX($C420:$S420,Week+1):INDEX($C420:$S420,13))-INDEX($AQ$2:$BG$7,MATCH($B420,$AO$2:$AO$7,0),Week+1):INDEX($AQ$2:$BG$7,MATCH($B420,$AO$2:$AO$7,0),13)),0))+ROW(A419)/1000000</f>
        <v>-5.7433310000000004</v>
      </c>
      <c r="AF420">
        <f t="shared" si="54"/>
        <v>293</v>
      </c>
      <c r="AG420">
        <f t="shared" si="55"/>
        <v>370</v>
      </c>
      <c r="AH420">
        <f t="shared" si="56"/>
        <v>403</v>
      </c>
      <c r="AI420">
        <f t="shared" si="57"/>
        <v>517</v>
      </c>
      <c r="AJ420" s="22">
        <f>IF(ISERROR(MATCH(A420,Rosters!$B$2:$B$155,0)),AD420,"")</f>
        <v>-4.9181524285714255</v>
      </c>
      <c r="AK420">
        <f t="shared" si="58"/>
        <v>251</v>
      </c>
      <c r="AL420" s="23">
        <f>COUNTIF(INDEX($C420:$S420,Week+1):INDEX($C420:$S420,13),"&gt;0")</f>
        <v>7</v>
      </c>
    </row>
    <row r="421" spans="1:38" x14ac:dyDescent="0.25">
      <c r="A421" t="s">
        <v>164</v>
      </c>
      <c r="B421" t="s">
        <v>47</v>
      </c>
      <c r="C421">
        <v>0</v>
      </c>
      <c r="D421">
        <v>0</v>
      </c>
      <c r="E421">
        <v>0</v>
      </c>
      <c r="F421" t="s">
        <v>64</v>
      </c>
      <c r="G421">
        <v>0.7</v>
      </c>
      <c r="H421">
        <v>0.56000000000000005</v>
      </c>
      <c r="I421">
        <v>0.5</v>
      </c>
      <c r="J421">
        <v>0.44</v>
      </c>
      <c r="K421">
        <v>0.51</v>
      </c>
      <c r="L421">
        <v>0.51</v>
      </c>
      <c r="M421">
        <v>0.52</v>
      </c>
      <c r="N421">
        <v>0.48</v>
      </c>
      <c r="O421">
        <v>0.54</v>
      </c>
      <c r="P421">
        <v>0.46</v>
      </c>
      <c r="Q421">
        <v>0.48</v>
      </c>
      <c r="R421">
        <v>0.44</v>
      </c>
      <c r="S421">
        <v>0.57999999999999996</v>
      </c>
      <c r="T421" s="2">
        <f>IF('ROS Rankings'!$AD$1,IFERROR(AVERAGE(INDEX($C421:$S421,14):INDEX($C421:$S421,17)),0),IFERROR(AVERAGE(INDEX($C421:$S421,Week+1):INDEX($C421:$S421,13)),0))</f>
        <v>0.50749999999999995</v>
      </c>
      <c r="U421" s="2" t="str">
        <f t="shared" si="60"/>
        <v/>
      </c>
      <c r="V421" s="2">
        <f t="shared" si="60"/>
        <v>0.50749999999999995</v>
      </c>
      <c r="W421" s="2" t="str">
        <f t="shared" si="60"/>
        <v/>
      </c>
      <c r="X421" s="2" t="str">
        <f t="shared" si="60"/>
        <v/>
      </c>
      <c r="Y421" s="2" t="str">
        <f t="shared" si="60"/>
        <v/>
      </c>
      <c r="Z421" s="2" t="str">
        <f t="shared" si="60"/>
        <v/>
      </c>
      <c r="AA421" s="23" t="str">
        <f t="shared" si="53"/>
        <v>RB120</v>
      </c>
      <c r="AB421" s="2">
        <f>$T421-VLOOKUP($B421,Scores!$AG$1:$AM$7,5,FALSE)</f>
        <v>-11.251071428571429</v>
      </c>
      <c r="AC421" s="2">
        <f>$T421-VLOOKUP($B421,Scores!$AG$1:$AM$7,6,FALSE)</f>
        <v>-7.7625000000000011</v>
      </c>
      <c r="AD421" s="2">
        <f>$T421-VLOOKUP($B421,Scores!$AG$1:$AM$7,7,FALSE)+(ROW(A420)/1000000)</f>
        <v>-5.3606514285714288</v>
      </c>
      <c r="AE421" s="2">
        <f t="array" ref="AE421">IF('ROS Rankings'!$AD$1,IFERROR(AVERAGE(IF(INDEX($C421:$S421,14):INDEX($C421:$S421,17)="NA",0,INDEX($C421:$S421,14):INDEX($C421:$S421,17))-INDEX($AQ$2:$BG$7,MATCH($B421,$AO$2:$AO$7,0),14):INDEX($AQ$2:$BG$7,MATCH($B421,$AO$2:$AO$7,0),17)),0),IFERROR(AVERAGE(IF(INDEX($C421:$S421,Week+1):INDEX($C421:$S421,13)="NA",0,INDEX($C421:$S421,Week+1):INDEX($C421:$S421,13))-INDEX($AQ$2:$BG$7,MATCH($B421,$AO$2:$AO$7,0),Week+1):INDEX($AQ$2:$BG$7,MATCH($B421,$AO$2:$AO$7,0),13)),0))+ROW(A420)/1000000</f>
        <v>-4.8520799999999999</v>
      </c>
      <c r="AF421">
        <f t="shared" si="54"/>
        <v>508</v>
      </c>
      <c r="AG421">
        <f t="shared" si="55"/>
        <v>502</v>
      </c>
      <c r="AH421">
        <f t="shared" si="56"/>
        <v>458</v>
      </c>
      <c r="AI421">
        <f t="shared" si="57"/>
        <v>449</v>
      </c>
      <c r="AJ421" s="22">
        <f>IF(ISERROR(MATCH(A421,Rosters!$B$2:$B$155,0)),AD421,"")</f>
        <v>-5.3606514285714288</v>
      </c>
      <c r="AK421">
        <f t="shared" si="58"/>
        <v>306</v>
      </c>
      <c r="AL421" s="23">
        <f>COUNTIF(INDEX($C421:$S421,Week+1):INDEX($C421:$S421,13),"&gt;0")</f>
        <v>8</v>
      </c>
    </row>
    <row r="422" spans="1:38" x14ac:dyDescent="0.25">
      <c r="A422" t="s">
        <v>337</v>
      </c>
      <c r="B422" t="s">
        <v>87</v>
      </c>
      <c r="C422">
        <v>0.52</v>
      </c>
      <c r="D422">
        <v>0</v>
      </c>
      <c r="E422">
        <v>0</v>
      </c>
      <c r="F422">
        <v>0.69</v>
      </c>
      <c r="G422">
        <v>1.55</v>
      </c>
      <c r="H422">
        <v>1.21</v>
      </c>
      <c r="I422">
        <v>1.37</v>
      </c>
      <c r="J422">
        <v>1.55</v>
      </c>
      <c r="K422">
        <v>1.34</v>
      </c>
      <c r="L422" t="s">
        <v>64</v>
      </c>
      <c r="M422">
        <v>1.23</v>
      </c>
      <c r="N422">
        <v>0.44</v>
      </c>
      <c r="O422">
        <v>0.44</v>
      </c>
      <c r="P422">
        <v>0.5</v>
      </c>
      <c r="Q422">
        <v>0.41</v>
      </c>
      <c r="R422">
        <v>0.38</v>
      </c>
      <c r="S422">
        <v>0.4</v>
      </c>
      <c r="T422" s="2">
        <f>IF('ROS Rankings'!$AD$1,IFERROR(AVERAGE(INDEX($C422:$S422,14):INDEX($C422:$S422,17)),0),IFERROR(AVERAGE(INDEX($C422:$S422,Week+1):INDEX($C422:$S422,13)),0))</f>
        <v>1.082857142857143</v>
      </c>
      <c r="U422" s="2" t="str">
        <f t="shared" si="60"/>
        <v/>
      </c>
      <c r="V422" s="2" t="str">
        <f t="shared" si="60"/>
        <v/>
      </c>
      <c r="W422" s="2">
        <f t="shared" si="60"/>
        <v>1.082857142857143</v>
      </c>
      <c r="X422" s="2" t="str">
        <f t="shared" si="60"/>
        <v/>
      </c>
      <c r="Y422" s="2" t="str">
        <f t="shared" si="60"/>
        <v/>
      </c>
      <c r="Z422" s="2" t="str">
        <f t="shared" si="60"/>
        <v/>
      </c>
      <c r="AA422" s="23" t="str">
        <f t="shared" si="53"/>
        <v>WR122</v>
      </c>
      <c r="AB422" s="2">
        <f>$T422-VLOOKUP($B422,Scores!$AG$1:$AM$7,5,FALSE)</f>
        <v>-9.2885714285714265</v>
      </c>
      <c r="AC422" s="2">
        <f>$T422-VLOOKUP($B422,Scores!$AG$1:$AM$7,6,FALSE)</f>
        <v>-6.9485714285714293</v>
      </c>
      <c r="AD422" s="2">
        <f>$T422-VLOOKUP($B422,Scores!$AG$1:$AM$7,7,FALSE)+(ROW(A421)/1000000)</f>
        <v>-4.9695789999999995</v>
      </c>
      <c r="AE422" s="2">
        <f t="array" ref="AE422">IF('ROS Rankings'!$AD$1,IFERROR(AVERAGE(IF(INDEX($C422:$S422,14):INDEX($C422:$S422,17)="NA",0,INDEX($C422:$S422,14):INDEX($C422:$S422,17))-INDEX($AQ$2:$BG$7,MATCH($B422,$AO$2:$AO$7,0),14):INDEX($AQ$2:$BG$7,MATCH($B422,$AO$2:$AO$7,0),17)),0),IFERROR(AVERAGE(IF(INDEX($C422:$S422,Week+1):INDEX($C422:$S422,13)="NA",0,INDEX($C422:$S422,Week+1):INDEX($C422:$S422,13))-INDEX($AQ$2:$BG$7,MATCH($B422,$AO$2:$AO$7,0),Week+1):INDEX($AQ$2:$BG$7,MATCH($B422,$AO$2:$AO$7,0),13)),0))+ROW(A421)/1000000</f>
        <v>-4.4083290000000002</v>
      </c>
      <c r="AF422">
        <f t="shared" si="54"/>
        <v>397</v>
      </c>
      <c r="AG422">
        <f t="shared" si="55"/>
        <v>404</v>
      </c>
      <c r="AH422">
        <f t="shared" si="56"/>
        <v>405</v>
      </c>
      <c r="AI422">
        <f t="shared" si="57"/>
        <v>366</v>
      </c>
      <c r="AJ422" s="22">
        <f>IF(ISERROR(MATCH(A422,Rosters!$B$2:$B$155,0)),AD422,"")</f>
        <v>-4.9695789999999995</v>
      </c>
      <c r="AK422">
        <f t="shared" si="58"/>
        <v>253</v>
      </c>
      <c r="AL422" s="23">
        <f>COUNTIF(INDEX($C422:$S422,Week+1):INDEX($C422:$S422,13),"&gt;0")</f>
        <v>7</v>
      </c>
    </row>
    <row r="423" spans="1:38" x14ac:dyDescent="0.25">
      <c r="A423" t="s">
        <v>125</v>
      </c>
      <c r="B423" t="s">
        <v>87</v>
      </c>
      <c r="C423">
        <v>6.37</v>
      </c>
      <c r="D423">
        <v>5.66</v>
      </c>
      <c r="E423">
        <v>8.23</v>
      </c>
      <c r="F423">
        <v>8.31</v>
      </c>
      <c r="G423">
        <v>3.22</v>
      </c>
      <c r="H423">
        <v>6.18</v>
      </c>
      <c r="I423">
        <v>7.49</v>
      </c>
      <c r="J423">
        <v>9.23</v>
      </c>
      <c r="K423">
        <v>8.16</v>
      </c>
      <c r="L423">
        <v>7.96</v>
      </c>
      <c r="M423">
        <v>6.31</v>
      </c>
      <c r="N423" t="s">
        <v>64</v>
      </c>
      <c r="O423">
        <v>6.7</v>
      </c>
      <c r="P423">
        <v>7</v>
      </c>
      <c r="Q423">
        <v>8.02</v>
      </c>
      <c r="R423">
        <v>8.84</v>
      </c>
      <c r="S423">
        <v>6.92</v>
      </c>
      <c r="T423" s="2">
        <f>IF('ROS Rankings'!$AD$1,IFERROR(AVERAGE(INDEX($C423:$S423,14):INDEX($C423:$S423,17)),0),IFERROR(AVERAGE(INDEX($C423:$S423,Week+1):INDEX($C423:$S423,13)),0))</f>
        <v>7.4328571428571433</v>
      </c>
      <c r="U423" s="2" t="str">
        <f t="shared" si="60"/>
        <v/>
      </c>
      <c r="V423" s="2" t="str">
        <f t="shared" si="60"/>
        <v/>
      </c>
      <c r="W423" s="2">
        <f t="shared" si="60"/>
        <v>7.4328571428571433</v>
      </c>
      <c r="X423" s="2" t="str">
        <f t="shared" si="60"/>
        <v/>
      </c>
      <c r="Y423" s="2" t="str">
        <f t="shared" si="60"/>
        <v/>
      </c>
      <c r="Z423" s="2" t="str">
        <f t="shared" si="60"/>
        <v/>
      </c>
      <c r="AA423" s="23" t="str">
        <f t="shared" si="53"/>
        <v>WR43</v>
      </c>
      <c r="AB423" s="2">
        <f>$T423-VLOOKUP($B423,Scores!$AG$1:$AM$7,5,FALSE)</f>
        <v>-2.9385714285714268</v>
      </c>
      <c r="AC423" s="2">
        <f>$T423-VLOOKUP($B423,Scores!$AG$1:$AM$7,6,FALSE)</f>
        <v>-0.59857142857142875</v>
      </c>
      <c r="AD423" s="2">
        <f>$T423-VLOOKUP($B423,Scores!$AG$1:$AM$7,7,FALSE)+(ROW(A422)/1000000)</f>
        <v>1.3804220000000007</v>
      </c>
      <c r="AE423" s="2">
        <f t="array" ref="AE423">IF('ROS Rankings'!$AD$1,IFERROR(AVERAGE(IF(INDEX($C423:$S423,14):INDEX($C423:$S423,17)="NA",0,INDEX($C423:$S423,14):INDEX($C423:$S423,17))-INDEX($AQ$2:$BG$7,MATCH($B423,$AO$2:$AO$7,0),14):INDEX($AQ$2:$BG$7,MATCH($B423,$AO$2:$AO$7,0),17)),0),IFERROR(AVERAGE(IF(INDEX($C423:$S423,Week+1):INDEX($C423:$S423,13)="NA",0,INDEX($C423:$S423,Week+1):INDEX($C423:$S423,13))-INDEX($AQ$2:$BG$7,MATCH($B423,$AO$2:$AO$7,0),Week+1):INDEX($AQ$2:$BG$7,MATCH($B423,$AO$2:$AO$7,0),13)),0))+ROW(A422)/1000000</f>
        <v>1.1479219999999999</v>
      </c>
      <c r="AF423">
        <f t="shared" si="54"/>
        <v>162</v>
      </c>
      <c r="AG423">
        <f t="shared" si="55"/>
        <v>140</v>
      </c>
      <c r="AH423">
        <f t="shared" si="56"/>
        <v>90</v>
      </c>
      <c r="AI423">
        <f t="shared" si="57"/>
        <v>87</v>
      </c>
      <c r="AJ423" s="22" t="str">
        <f>IF(ISERROR(MATCH(A423,Rosters!$B$2:$B$155,0)),AD423,"")</f>
        <v/>
      </c>
      <c r="AK423" t="str">
        <f t="shared" si="58"/>
        <v/>
      </c>
      <c r="AL423" s="23">
        <f>COUNTIF(INDEX($C423:$S423,Week+1):INDEX($C423:$S423,13),"&gt;0")</f>
        <v>7</v>
      </c>
    </row>
    <row r="424" spans="1:38" x14ac:dyDescent="0.25">
      <c r="A424" t="s">
        <v>1288</v>
      </c>
      <c r="B424" t="s">
        <v>47</v>
      </c>
      <c r="C424">
        <v>14.48</v>
      </c>
      <c r="D424">
        <v>13.28</v>
      </c>
      <c r="E424">
        <v>13.92</v>
      </c>
      <c r="F424">
        <v>14.22</v>
      </c>
      <c r="G424">
        <v>13.37</v>
      </c>
      <c r="H424">
        <v>11.23</v>
      </c>
      <c r="I424">
        <v>14.05</v>
      </c>
      <c r="J424">
        <v>15.52</v>
      </c>
      <c r="K424" t="s">
        <v>64</v>
      </c>
      <c r="L424">
        <v>13.67</v>
      </c>
      <c r="M424">
        <v>14.51</v>
      </c>
      <c r="N424">
        <v>10.44</v>
      </c>
      <c r="O424">
        <v>12.61</v>
      </c>
      <c r="P424">
        <v>14.42</v>
      </c>
      <c r="Q424">
        <v>14.61</v>
      </c>
      <c r="R424">
        <v>13.44</v>
      </c>
      <c r="S424">
        <v>14.09</v>
      </c>
      <c r="T424" s="2">
        <f>IF('ROS Rankings'!$AD$1,IFERROR(AVERAGE(INDEX($C424:$S424,14):INDEX($C424:$S424,17)),0),IFERROR(AVERAGE(INDEX($C424:$S424,Week+1):INDEX($C424:$S424,13)),0))</f>
        <v>13.147142857142857</v>
      </c>
      <c r="U424" s="2" t="str">
        <f t="shared" si="60"/>
        <v/>
      </c>
      <c r="V424" s="2">
        <f t="shared" si="60"/>
        <v>13.147142857142857</v>
      </c>
      <c r="W424" s="2" t="str">
        <f t="shared" si="60"/>
        <v/>
      </c>
      <c r="X424" s="2" t="str">
        <f t="shared" si="60"/>
        <v/>
      </c>
      <c r="Y424" s="2" t="str">
        <f t="shared" si="60"/>
        <v/>
      </c>
      <c r="Z424" s="2" t="str">
        <f t="shared" si="60"/>
        <v/>
      </c>
      <c r="AA424" s="23" t="str">
        <f t="shared" si="53"/>
        <v>RB9</v>
      </c>
      <c r="AB424" s="2">
        <f>$T424-VLOOKUP($B424,Scores!$AG$1:$AM$7,5,FALSE)</f>
        <v>1.3885714285714279</v>
      </c>
      <c r="AC424" s="2">
        <f>$T424-VLOOKUP($B424,Scores!$AG$1:$AM$7,6,FALSE)</f>
        <v>4.8771428571428554</v>
      </c>
      <c r="AD424" s="2">
        <f>$T424-VLOOKUP($B424,Scores!$AG$1:$AM$7,7,FALSE)+(ROW(A423)/1000000)</f>
        <v>7.2789944285714272</v>
      </c>
      <c r="AE424" s="2">
        <f t="array" ref="AE424">IF('ROS Rankings'!$AD$1,IFERROR(AVERAGE(IF(INDEX($C424:$S424,14):INDEX($C424:$S424,17)="NA",0,INDEX($C424:$S424,14):INDEX($C424:$S424,17))-INDEX($AQ$2:$BG$7,MATCH($B424,$AO$2:$AO$7,0),14):INDEX($AQ$2:$BG$7,MATCH($B424,$AO$2:$AO$7,0),17)),0),IFERROR(AVERAGE(IF(INDEX($C424:$S424,Week+1):INDEX($C424:$S424,13)="NA",0,INDEX($C424:$S424,Week+1):INDEX($C424:$S424,13))-INDEX($AQ$2:$BG$7,MATCH($B424,$AO$2:$AO$7,0),Week+1):INDEX($AQ$2:$BG$7,MATCH($B424,$AO$2:$AO$7,0),13)),0))+ROW(A423)/1000000</f>
        <v>6.1441729999999994</v>
      </c>
      <c r="AF424">
        <f t="shared" si="54"/>
        <v>22</v>
      </c>
      <c r="AG424">
        <f t="shared" si="55"/>
        <v>16</v>
      </c>
      <c r="AH424">
        <f t="shared" si="56"/>
        <v>11</v>
      </c>
      <c r="AI424">
        <f t="shared" si="57"/>
        <v>13</v>
      </c>
      <c r="AJ424" s="22" t="str">
        <f>IF(ISERROR(MATCH(A424,Rosters!$B$2:$B$155,0)),AD424,"")</f>
        <v/>
      </c>
      <c r="AK424" t="str">
        <f t="shared" si="58"/>
        <v/>
      </c>
      <c r="AL424" s="23">
        <f>COUNTIF(INDEX($C424:$S424,Week+1):INDEX($C424:$S424,13),"&gt;0")</f>
        <v>7</v>
      </c>
    </row>
    <row r="425" spans="1:38" x14ac:dyDescent="0.25">
      <c r="A425" t="s">
        <v>4246</v>
      </c>
      <c r="B425" t="s">
        <v>114</v>
      </c>
      <c r="C425" t="s">
        <v>64</v>
      </c>
      <c r="D425" t="s">
        <v>64</v>
      </c>
      <c r="E425">
        <v>0.46</v>
      </c>
      <c r="F425">
        <v>1.1399999999999999</v>
      </c>
      <c r="G425">
        <v>1.25</v>
      </c>
      <c r="H425">
        <v>0.57999999999999996</v>
      </c>
      <c r="I425">
        <v>0.68</v>
      </c>
      <c r="J425">
        <v>0.73</v>
      </c>
      <c r="K425" t="s">
        <v>64</v>
      </c>
      <c r="L425">
        <v>0.81</v>
      </c>
      <c r="M425">
        <v>0.78</v>
      </c>
      <c r="N425">
        <v>0.55000000000000004</v>
      </c>
      <c r="O425">
        <v>0.59</v>
      </c>
      <c r="P425">
        <v>0.71</v>
      </c>
      <c r="Q425">
        <v>0.71</v>
      </c>
      <c r="R425">
        <v>0.82</v>
      </c>
      <c r="S425">
        <v>0.8</v>
      </c>
      <c r="T425" s="2">
        <f>IF('ROS Rankings'!$AD$1,IFERROR(AVERAGE(INDEX($C425:$S425,14):INDEX($C425:$S425,17)),0),IFERROR(AVERAGE(INDEX($C425:$S425,Week+1):INDEX($C425:$S425,13)),0))</f>
        <v>0.67428571428571427</v>
      </c>
      <c r="U425" s="2" t="str">
        <f t="shared" si="60"/>
        <v/>
      </c>
      <c r="V425" s="2" t="str">
        <f t="shared" si="60"/>
        <v/>
      </c>
      <c r="W425" s="2" t="str">
        <f t="shared" si="60"/>
        <v/>
      </c>
      <c r="X425" s="2">
        <f t="shared" si="60"/>
        <v>0.67428571428571427</v>
      </c>
      <c r="Y425" s="2" t="str">
        <f t="shared" si="60"/>
        <v/>
      </c>
      <c r="Z425" s="2" t="str">
        <f t="shared" si="60"/>
        <v/>
      </c>
      <c r="AA425" s="23" t="str">
        <f t="shared" si="53"/>
        <v>TE72</v>
      </c>
      <c r="AB425" s="2">
        <f>$T425-VLOOKUP($B425,Scores!$AG$1:$AM$7,5,FALSE)</f>
        <v>-6.324464285714285</v>
      </c>
      <c r="AC425" s="2">
        <f>$T425-VLOOKUP($B425,Scores!$AG$1:$AM$7,6,FALSE)</f>
        <v>-4.5757142857142856</v>
      </c>
      <c r="AD425" s="2">
        <f>$T425-VLOOKUP($B425,Scores!$AG$1:$AM$7,7,FALSE)+(ROW(A424)/1000000)</f>
        <v>-4.5052902857142856</v>
      </c>
      <c r="AE425" s="2">
        <f t="array" ref="AE425">IF('ROS Rankings'!$AD$1,IFERROR(AVERAGE(IF(INDEX($C425:$S425,14):INDEX($C425:$S425,17)="NA",0,INDEX($C425:$S425,14):INDEX($C425:$S425,17))-INDEX($AQ$2:$BG$7,MATCH($B425,$AO$2:$AO$7,0),14):INDEX($AQ$2:$BG$7,MATCH($B425,$AO$2:$AO$7,0),17)),0),IFERROR(AVERAGE(IF(INDEX($C425:$S425,Week+1):INDEX($C425:$S425,13)="NA",0,INDEX($C425:$S425,Week+1):INDEX($C425:$S425,13))-INDEX($AQ$2:$BG$7,MATCH($B425,$AO$2:$AO$7,0),Week+1):INDEX($AQ$2:$BG$7,MATCH($B425,$AO$2:$AO$7,0),13)),0))+ROW(A424)/1000000</f>
        <v>-4.5070760000000005</v>
      </c>
      <c r="AF425">
        <f t="shared" si="54"/>
        <v>295</v>
      </c>
      <c r="AG425">
        <f t="shared" si="55"/>
        <v>315</v>
      </c>
      <c r="AH425">
        <f t="shared" si="56"/>
        <v>360</v>
      </c>
      <c r="AI425">
        <f t="shared" si="57"/>
        <v>376</v>
      </c>
      <c r="AJ425" s="22">
        <f>IF(ISERROR(MATCH(A425,Rosters!$B$2:$B$155,0)),AD425,"")</f>
        <v>-4.5052902857142856</v>
      </c>
      <c r="AK425">
        <f t="shared" si="58"/>
        <v>208</v>
      </c>
      <c r="AL425" s="23">
        <f>COUNTIF(INDEX($C425:$S425,Week+1):INDEX($C425:$S425,13),"&gt;0")</f>
        <v>7</v>
      </c>
    </row>
    <row r="426" spans="1:38" x14ac:dyDescent="0.25">
      <c r="A426" t="s">
        <v>347</v>
      </c>
      <c r="B426" t="s">
        <v>15</v>
      </c>
      <c r="C426">
        <v>0.28000000000000003</v>
      </c>
      <c r="D426">
        <v>0.24</v>
      </c>
      <c r="E426">
        <v>0.75</v>
      </c>
      <c r="F426">
        <v>0.68</v>
      </c>
      <c r="G426">
        <v>0.76</v>
      </c>
      <c r="H426">
        <v>0.8</v>
      </c>
      <c r="I426">
        <v>0.88</v>
      </c>
      <c r="J426">
        <v>0.9</v>
      </c>
      <c r="K426">
        <v>0.88</v>
      </c>
      <c r="L426">
        <v>0.8</v>
      </c>
      <c r="M426">
        <v>0.93</v>
      </c>
      <c r="N426" t="s">
        <v>64</v>
      </c>
      <c r="O426">
        <v>0.88</v>
      </c>
      <c r="P426">
        <v>0.72</v>
      </c>
      <c r="Q426">
        <v>0.72</v>
      </c>
      <c r="R426">
        <v>0.72</v>
      </c>
      <c r="S426">
        <v>0.93</v>
      </c>
      <c r="T426" s="2">
        <f>IF('ROS Rankings'!$AD$1,IFERROR(AVERAGE(INDEX($C426:$S426,14):INDEX($C426:$S426,17)),0),IFERROR(AVERAGE(INDEX($C426:$S426,Week+1):INDEX($C426:$S426,13)),0))</f>
        <v>0.8671428571428571</v>
      </c>
      <c r="U426" s="2">
        <f t="shared" si="60"/>
        <v>0.8671428571428571</v>
      </c>
      <c r="V426" s="2" t="str">
        <f t="shared" si="60"/>
        <v/>
      </c>
      <c r="W426" s="2" t="str">
        <f t="shared" si="60"/>
        <v/>
      </c>
      <c r="X426" s="2" t="str">
        <f t="shared" si="60"/>
        <v/>
      </c>
      <c r="Y426" s="2" t="str">
        <f t="shared" si="60"/>
        <v/>
      </c>
      <c r="Z426" s="2" t="str">
        <f t="shared" si="60"/>
        <v/>
      </c>
      <c r="AA426" s="23" t="str">
        <f t="shared" si="53"/>
        <v>QB44</v>
      </c>
      <c r="AB426" s="2">
        <f>$T426-VLOOKUP($B426,Scores!$AG$1:$AM$7,5,FALSE)</f>
        <v>-20.017142857142858</v>
      </c>
      <c r="AC426" s="2">
        <f>$T426-VLOOKUP($B426,Scores!$AG$1:$AM$7,6,FALSE)</f>
        <v>-19.036607142857143</v>
      </c>
      <c r="AD426" s="2">
        <f>$T426-VLOOKUP($B426,Scores!$AG$1:$AM$7,7,FALSE)+(ROW(A425)/1000000)</f>
        <v>-18.632432142857141</v>
      </c>
      <c r="AE426" s="2">
        <f t="array" ref="AE426">IF('ROS Rankings'!$AD$1,IFERROR(AVERAGE(IF(INDEX($C426:$S426,14):INDEX($C426:$S426,17)="NA",0,INDEX($C426:$S426,14):INDEX($C426:$S426,17))-INDEX($AQ$2:$BG$7,MATCH($B426,$AO$2:$AO$7,0),14):INDEX($AQ$2:$BG$7,MATCH($B426,$AO$2:$AO$7,0),17)),0),IFERROR(AVERAGE(IF(INDEX($C426:$S426,Week+1):INDEX($C426:$S426,13)="NA",0,INDEX($C426:$S426,Week+1):INDEX($C426:$S426,13))-INDEX($AQ$2:$BG$7,MATCH($B426,$AO$2:$AO$7,0),Week+1):INDEX($AQ$2:$BG$7,MATCH($B426,$AO$2:$AO$7,0),13)),0))+ROW(A425)/1000000</f>
        <v>-17.743324999999999</v>
      </c>
      <c r="AF426">
        <f t="shared" si="54"/>
        <v>535</v>
      </c>
      <c r="AG426">
        <f t="shared" si="55"/>
        <v>535</v>
      </c>
      <c r="AH426">
        <f t="shared" si="56"/>
        <v>535</v>
      </c>
      <c r="AI426">
        <f t="shared" si="57"/>
        <v>537</v>
      </c>
      <c r="AJ426" s="22">
        <f>IF(ISERROR(MATCH(A426,Rosters!$B$2:$B$155,0)),AD426,"")</f>
        <v>-18.632432142857141</v>
      </c>
      <c r="AK426">
        <f t="shared" si="58"/>
        <v>382</v>
      </c>
      <c r="AL426" s="23">
        <f>COUNTIF(INDEX($C426:$S426,Week+1):INDEX($C426:$S426,13),"&gt;0")</f>
        <v>7</v>
      </c>
    </row>
    <row r="427" spans="1:38" x14ac:dyDescent="0.25">
      <c r="A427" t="s">
        <v>332</v>
      </c>
      <c r="B427" t="s">
        <v>47</v>
      </c>
      <c r="C427">
        <v>1.17</v>
      </c>
      <c r="D427">
        <v>1.1299999999999999</v>
      </c>
      <c r="E427">
        <v>1.01</v>
      </c>
      <c r="F427">
        <v>0.76</v>
      </c>
      <c r="G427">
        <v>0.67</v>
      </c>
      <c r="H427">
        <v>0.54</v>
      </c>
      <c r="I427">
        <v>0.56999999999999995</v>
      </c>
      <c r="J427">
        <v>0.46</v>
      </c>
      <c r="K427">
        <v>0.53</v>
      </c>
      <c r="L427">
        <v>0.66</v>
      </c>
      <c r="M427" t="s">
        <v>64</v>
      </c>
      <c r="N427">
        <v>0.59</v>
      </c>
      <c r="O427">
        <v>0.63</v>
      </c>
      <c r="P427">
        <v>0.69</v>
      </c>
      <c r="Q427">
        <v>0.5</v>
      </c>
      <c r="R427">
        <v>0.4</v>
      </c>
      <c r="S427">
        <v>0.57999999999999996</v>
      </c>
      <c r="T427" s="2">
        <f>IF('ROS Rankings'!$AD$1,IFERROR(AVERAGE(INDEX($C427:$S427,14):INDEX($C427:$S427,17)),0),IFERROR(AVERAGE(INDEX($C427:$S427,Week+1):INDEX($C427:$S427,13)),0))</f>
        <v>0.56857142857142851</v>
      </c>
      <c r="U427" s="2" t="str">
        <f t="shared" si="60"/>
        <v/>
      </c>
      <c r="V427" s="2">
        <f t="shared" si="60"/>
        <v>0.56857142857142851</v>
      </c>
      <c r="W427" s="2" t="str">
        <f t="shared" si="60"/>
        <v/>
      </c>
      <c r="X427" s="2" t="str">
        <f t="shared" si="60"/>
        <v/>
      </c>
      <c r="Y427" s="2" t="str">
        <f t="shared" si="60"/>
        <v/>
      </c>
      <c r="Z427" s="2" t="str">
        <f t="shared" si="60"/>
        <v/>
      </c>
      <c r="AA427" s="23" t="str">
        <f t="shared" si="53"/>
        <v>RB104</v>
      </c>
      <c r="AB427" s="2">
        <f>$T427-VLOOKUP($B427,Scores!$AG$1:$AM$7,5,FALSE)</f>
        <v>-11.190000000000001</v>
      </c>
      <c r="AC427" s="2">
        <f>$T427-VLOOKUP($B427,Scores!$AG$1:$AM$7,6,FALSE)</f>
        <v>-7.7014285714285728</v>
      </c>
      <c r="AD427" s="2">
        <f>$T427-VLOOKUP($B427,Scores!$AG$1:$AM$7,7,FALSE)+(ROW(A426)/1000000)</f>
        <v>-5.2995740000000007</v>
      </c>
      <c r="AE427" s="2">
        <f t="array" ref="AE427">IF('ROS Rankings'!$AD$1,IFERROR(AVERAGE(IF(INDEX($C427:$S427,14):INDEX($C427:$S427,17)="NA",0,INDEX($C427:$S427,14):INDEX($C427:$S427,17))-INDEX($AQ$2:$BG$7,MATCH($B427,$AO$2:$AO$7,0),14):INDEX($AQ$2:$BG$7,MATCH($B427,$AO$2:$AO$7,0),17)),0),IFERROR(AVERAGE(IF(INDEX($C427:$S427,Week+1):INDEX($C427:$S427,13)="NA",0,INDEX($C427:$S427,Week+1):INDEX($C427:$S427,13))-INDEX($AQ$2:$BG$7,MATCH($B427,$AO$2:$AO$7,0),Week+1):INDEX($AQ$2:$BG$7,MATCH($B427,$AO$2:$AO$7,0),13)),0))+ROW(A426)/1000000</f>
        <v>-4.8620739999999998</v>
      </c>
      <c r="AF427">
        <f t="shared" si="54"/>
        <v>492</v>
      </c>
      <c r="AG427">
        <f t="shared" si="55"/>
        <v>483</v>
      </c>
      <c r="AH427">
        <f t="shared" si="56"/>
        <v>432</v>
      </c>
      <c r="AI427">
        <f t="shared" si="57"/>
        <v>458</v>
      </c>
      <c r="AJ427" s="22">
        <f>IF(ISERROR(MATCH(A427,Rosters!$B$2:$B$155,0)),AD427,"")</f>
        <v>-5.2995740000000007</v>
      </c>
      <c r="AK427">
        <f t="shared" si="58"/>
        <v>280</v>
      </c>
      <c r="AL427" s="23">
        <f>COUNTIF(INDEX($C427:$S427,Week+1):INDEX($C427:$S427,13),"&gt;0")</f>
        <v>7</v>
      </c>
    </row>
    <row r="428" spans="1:38" x14ac:dyDescent="0.25">
      <c r="A428" t="s">
        <v>297</v>
      </c>
      <c r="B428" t="s">
        <v>114</v>
      </c>
      <c r="C428">
        <v>2.19</v>
      </c>
      <c r="D428">
        <v>0</v>
      </c>
      <c r="E428">
        <v>0</v>
      </c>
      <c r="F428">
        <v>0</v>
      </c>
      <c r="G428">
        <v>2.35</v>
      </c>
      <c r="H428">
        <v>2.3199999999999998</v>
      </c>
      <c r="I428">
        <v>2.61</v>
      </c>
      <c r="J428">
        <v>2.39</v>
      </c>
      <c r="K428">
        <v>2.77</v>
      </c>
      <c r="L428">
        <v>2.67</v>
      </c>
      <c r="M428" t="s">
        <v>64</v>
      </c>
      <c r="N428">
        <v>2.31</v>
      </c>
      <c r="O428">
        <v>2.5099999999999998</v>
      </c>
      <c r="P428">
        <v>2.27</v>
      </c>
      <c r="Q428">
        <v>2.17</v>
      </c>
      <c r="R428">
        <v>2.41</v>
      </c>
      <c r="S428">
        <v>2.25</v>
      </c>
      <c r="T428" s="2">
        <f>IF('ROS Rankings'!$AD$1,IFERROR(AVERAGE(INDEX($C428:$S428,14):INDEX($C428:$S428,17)),0),IFERROR(AVERAGE(INDEX($C428:$S428,Week+1):INDEX($C428:$S428,13)),0))</f>
        <v>2.5114285714285711</v>
      </c>
      <c r="U428" s="2" t="str">
        <f t="shared" si="60"/>
        <v/>
      </c>
      <c r="V428" s="2" t="str">
        <f t="shared" si="60"/>
        <v/>
      </c>
      <c r="W428" s="2" t="str">
        <f t="shared" si="60"/>
        <v/>
      </c>
      <c r="X428" s="2">
        <f t="shared" si="60"/>
        <v>2.5114285714285711</v>
      </c>
      <c r="Y428" s="2" t="str">
        <f t="shared" si="60"/>
        <v/>
      </c>
      <c r="Z428" s="2" t="str">
        <f t="shared" si="60"/>
        <v/>
      </c>
      <c r="AA428" s="23" t="str">
        <f t="shared" si="53"/>
        <v>TE38</v>
      </c>
      <c r="AB428" s="2">
        <f>$T428-VLOOKUP($B428,Scores!$AG$1:$AM$7,5,FALSE)</f>
        <v>-4.4873214285714287</v>
      </c>
      <c r="AC428" s="2">
        <f>$T428-VLOOKUP($B428,Scores!$AG$1:$AM$7,6,FALSE)</f>
        <v>-2.7385714285714289</v>
      </c>
      <c r="AD428" s="2">
        <f>$T428-VLOOKUP($B428,Scores!$AG$1:$AM$7,7,FALSE)+(ROW(A427)/1000000)</f>
        <v>-2.6681444285714284</v>
      </c>
      <c r="AE428" s="2">
        <f t="array" ref="AE428">IF('ROS Rankings'!$AD$1,IFERROR(AVERAGE(IF(INDEX($C428:$S428,14):INDEX($C428:$S428,17)="NA",0,INDEX($C428:$S428,14):INDEX($C428:$S428,17))-INDEX($AQ$2:$BG$7,MATCH($B428,$AO$2:$AO$7,0),14):INDEX($AQ$2:$BG$7,MATCH($B428,$AO$2:$AO$7,0),17)),0),IFERROR(AVERAGE(IF(INDEX($C428:$S428,Week+1):INDEX($C428:$S428,13)="NA",0,INDEX($C428:$S428,Week+1):INDEX($C428:$S428,13))-INDEX($AQ$2:$BG$7,MATCH($B428,$AO$2:$AO$7,0),Week+1):INDEX($AQ$2:$BG$7,MATCH($B428,$AO$2:$AO$7,0),13)),0))+ROW(A427)/1000000</f>
        <v>-2.8995730000000002</v>
      </c>
      <c r="AF428">
        <f t="shared" si="54"/>
        <v>214</v>
      </c>
      <c r="AG428">
        <f t="shared" si="55"/>
        <v>228</v>
      </c>
      <c r="AH428">
        <f t="shared" si="56"/>
        <v>278</v>
      </c>
      <c r="AI428">
        <f t="shared" si="57"/>
        <v>289</v>
      </c>
      <c r="AJ428" s="22">
        <f>IF(ISERROR(MATCH(A428,Rosters!$B$2:$B$155,0)),AD428,"")</f>
        <v>-2.6681444285714284</v>
      </c>
      <c r="AK428">
        <f t="shared" si="58"/>
        <v>133</v>
      </c>
      <c r="AL428" s="23">
        <f>COUNTIF(INDEX($C428:$S428,Week+1):INDEX($C428:$S428,13),"&gt;0")</f>
        <v>7</v>
      </c>
    </row>
    <row r="429" spans="1:38" x14ac:dyDescent="0.25">
      <c r="A429" t="s">
        <v>238</v>
      </c>
      <c r="B429" t="s">
        <v>87</v>
      </c>
      <c r="C429">
        <v>2.75</v>
      </c>
      <c r="D429">
        <v>2.42</v>
      </c>
      <c r="E429">
        <v>0</v>
      </c>
      <c r="F429">
        <v>3.01</v>
      </c>
      <c r="G429">
        <v>2.88</v>
      </c>
      <c r="H429">
        <v>3.45</v>
      </c>
      <c r="I429" t="s">
        <v>64</v>
      </c>
      <c r="J429">
        <v>4.0599999999999996</v>
      </c>
      <c r="K429">
        <v>3.92</v>
      </c>
      <c r="L429">
        <v>2.93</v>
      </c>
      <c r="M429">
        <v>2.85</v>
      </c>
      <c r="N429">
        <v>2.3199999999999998</v>
      </c>
      <c r="O429">
        <v>4.18</v>
      </c>
      <c r="P429">
        <v>3.2</v>
      </c>
      <c r="Q429">
        <v>3.13</v>
      </c>
      <c r="R429">
        <v>3.57</v>
      </c>
      <c r="S429">
        <v>4.0199999999999996</v>
      </c>
      <c r="T429" s="2">
        <f>IF('ROS Rankings'!$AD$1,IFERROR(AVERAGE(INDEX($C429:$S429,14):INDEX($C429:$S429,17)),0),IFERROR(AVERAGE(INDEX($C429:$S429,Week+1):INDEX($C429:$S429,13)),0))</f>
        <v>3.3871428571428575</v>
      </c>
      <c r="U429" s="2" t="str">
        <f t="shared" si="60"/>
        <v/>
      </c>
      <c r="V429" s="2" t="str">
        <f t="shared" si="60"/>
        <v/>
      </c>
      <c r="W429" s="2">
        <f t="shared" si="60"/>
        <v>3.3871428571428575</v>
      </c>
      <c r="X429" s="2" t="str">
        <f t="shared" si="60"/>
        <v/>
      </c>
      <c r="Y429" s="2" t="str">
        <f t="shared" si="60"/>
        <v/>
      </c>
      <c r="Z429" s="2" t="str">
        <f t="shared" si="60"/>
        <v/>
      </c>
      <c r="AA429" s="23" t="str">
        <f t="shared" si="53"/>
        <v>WR90</v>
      </c>
      <c r="AB429" s="2">
        <f>$T429-VLOOKUP($B429,Scores!$AG$1:$AM$7,5,FALSE)</f>
        <v>-6.9842857142857131</v>
      </c>
      <c r="AC429" s="2">
        <f>$T429-VLOOKUP($B429,Scores!$AG$1:$AM$7,6,FALSE)</f>
        <v>-4.644285714285715</v>
      </c>
      <c r="AD429" s="2">
        <f>$T429-VLOOKUP($B429,Scores!$AG$1:$AM$7,7,FALSE)+(ROW(A428)/1000000)</f>
        <v>-2.6652862857142852</v>
      </c>
      <c r="AE429" s="2">
        <f t="array" ref="AE429">IF('ROS Rankings'!$AD$1,IFERROR(AVERAGE(IF(INDEX($C429:$S429,14):INDEX($C429:$S429,17)="NA",0,INDEX($C429:$S429,14):INDEX($C429:$S429,17))-INDEX($AQ$2:$BG$7,MATCH($B429,$AO$2:$AO$7,0),14):INDEX($AQ$2:$BG$7,MATCH($B429,$AO$2:$AO$7,0),17)),0),IFERROR(AVERAGE(IF(INDEX($C429:$S429,Week+1):INDEX($C429:$S429,13)="NA",0,INDEX($C429:$S429,Week+1):INDEX($C429:$S429,13))-INDEX($AQ$2:$BG$7,MATCH($B429,$AO$2:$AO$7,0),Week+1):INDEX($AQ$2:$BG$7,MATCH($B429,$AO$2:$AO$7,0),13)),0))+ROW(A428)/1000000</f>
        <v>-2.3920720000000002</v>
      </c>
      <c r="AF429">
        <f t="shared" si="54"/>
        <v>345</v>
      </c>
      <c r="AG429">
        <f t="shared" si="55"/>
        <v>320</v>
      </c>
      <c r="AH429">
        <f t="shared" si="56"/>
        <v>277</v>
      </c>
      <c r="AI429">
        <f t="shared" si="57"/>
        <v>264</v>
      </c>
      <c r="AJ429" s="22">
        <f>IF(ISERROR(MATCH(A429,Rosters!$B$2:$B$155,0)),AD429,"")</f>
        <v>-2.6652862857142852</v>
      </c>
      <c r="AK429">
        <f t="shared" si="58"/>
        <v>132</v>
      </c>
      <c r="AL429" s="23">
        <f>COUNTIF(INDEX($C429:$S429,Week+1):INDEX($C429:$S429,13),"&gt;0")</f>
        <v>7</v>
      </c>
    </row>
    <row r="430" spans="1:38" x14ac:dyDescent="0.25">
      <c r="A430" t="s">
        <v>4232</v>
      </c>
      <c r="B430" t="s">
        <v>47</v>
      </c>
      <c r="C430" t="s">
        <v>64</v>
      </c>
      <c r="D430">
        <v>0.66</v>
      </c>
      <c r="E430">
        <v>2.12</v>
      </c>
      <c r="F430">
        <v>0</v>
      </c>
      <c r="G430" t="s">
        <v>64</v>
      </c>
      <c r="H430">
        <v>1.82</v>
      </c>
      <c r="I430">
        <v>1.44</v>
      </c>
      <c r="J430">
        <v>2.08</v>
      </c>
      <c r="K430">
        <v>1.31</v>
      </c>
      <c r="L430">
        <v>2.2000000000000002</v>
      </c>
      <c r="M430">
        <v>1.73</v>
      </c>
      <c r="N430">
        <v>2.12</v>
      </c>
      <c r="O430">
        <v>1.43</v>
      </c>
      <c r="P430">
        <v>2.27</v>
      </c>
      <c r="Q430">
        <v>1.01</v>
      </c>
      <c r="R430">
        <v>2.0699999999999998</v>
      </c>
      <c r="S430">
        <v>1.95</v>
      </c>
      <c r="T430" s="2">
        <f>IF('ROS Rankings'!$AD$1,IFERROR(AVERAGE(INDEX($C430:$S430,14):INDEX($C430:$S430,17)),0),IFERROR(AVERAGE(INDEX($C430:$S430,Week+1):INDEX($C430:$S430,13)),0))</f>
        <v>1.7662500000000003</v>
      </c>
      <c r="U430" s="2" t="str">
        <f t="shared" si="60"/>
        <v/>
      </c>
      <c r="V430" s="2">
        <f t="shared" si="60"/>
        <v>1.7662500000000003</v>
      </c>
      <c r="W430" s="2" t="str">
        <f t="shared" si="60"/>
        <v/>
      </c>
      <c r="X430" s="2" t="str">
        <f t="shared" si="60"/>
        <v/>
      </c>
      <c r="Y430" s="2" t="str">
        <f t="shared" si="60"/>
        <v/>
      </c>
      <c r="Z430" s="2" t="str">
        <f t="shared" si="60"/>
        <v/>
      </c>
      <c r="AA430" s="23" t="str">
        <f t="shared" si="53"/>
        <v>RB77</v>
      </c>
      <c r="AB430" s="2">
        <f>$T430-VLOOKUP($B430,Scores!$AG$1:$AM$7,5,FALSE)</f>
        <v>-9.9923214285714295</v>
      </c>
      <c r="AC430" s="2">
        <f>$T430-VLOOKUP($B430,Scores!$AG$1:$AM$7,6,FALSE)</f>
        <v>-6.503750000000001</v>
      </c>
      <c r="AD430" s="2">
        <f>$T430-VLOOKUP($B430,Scores!$AG$1:$AM$7,7,FALSE)+(ROW(A429)/1000000)</f>
        <v>-4.1018924285714293</v>
      </c>
      <c r="AE430" s="2">
        <f t="array" ref="AE430">IF('ROS Rankings'!$AD$1,IFERROR(AVERAGE(IF(INDEX($C430:$S430,14):INDEX($C430:$S430,17)="NA",0,INDEX($C430:$S430,14):INDEX($C430:$S430,17))-INDEX($AQ$2:$BG$7,MATCH($B430,$AO$2:$AO$7,0),14):INDEX($AQ$2:$BG$7,MATCH($B430,$AO$2:$AO$7,0),17)),0),IFERROR(AVERAGE(IF(INDEX($C430:$S430,Week+1):INDEX($C430:$S430,13)="NA",0,INDEX($C430:$S430,Week+1):INDEX($C430:$S430,13))-INDEX($AQ$2:$BG$7,MATCH($B430,$AO$2:$AO$7,0),Week+1):INDEX($AQ$2:$BG$7,MATCH($B430,$AO$2:$AO$7,0),13)),0))+ROW(A429)/1000000</f>
        <v>-3.593321</v>
      </c>
      <c r="AF430">
        <f t="shared" si="54"/>
        <v>453</v>
      </c>
      <c r="AG430">
        <f t="shared" si="55"/>
        <v>393</v>
      </c>
      <c r="AH430">
        <f t="shared" si="56"/>
        <v>347</v>
      </c>
      <c r="AI430">
        <f t="shared" si="57"/>
        <v>324</v>
      </c>
      <c r="AJ430" s="22">
        <f>IF(ISERROR(MATCH(A430,Rosters!$B$2:$B$155,0)),AD430,"")</f>
        <v>-4.1018924285714293</v>
      </c>
      <c r="AK430">
        <f t="shared" si="58"/>
        <v>195</v>
      </c>
      <c r="AL430" s="23">
        <f>COUNTIF(INDEX($C430:$S430,Week+1):INDEX($C430:$S430,13),"&gt;0")</f>
        <v>8</v>
      </c>
    </row>
    <row r="431" spans="1:38" x14ac:dyDescent="0.25">
      <c r="A431" t="s">
        <v>1634</v>
      </c>
      <c r="B431" t="s">
        <v>87</v>
      </c>
      <c r="C431">
        <v>0.34</v>
      </c>
      <c r="D431">
        <v>0.3</v>
      </c>
      <c r="E431">
        <v>1.05</v>
      </c>
      <c r="F431">
        <v>0.55000000000000004</v>
      </c>
      <c r="G431">
        <v>0.25</v>
      </c>
      <c r="H431">
        <v>0.28000000000000003</v>
      </c>
      <c r="I431">
        <v>0.32</v>
      </c>
      <c r="J431">
        <v>0.27</v>
      </c>
      <c r="K431" t="s">
        <v>64</v>
      </c>
      <c r="L431">
        <v>0.28000000000000003</v>
      </c>
      <c r="M431">
        <v>0.24</v>
      </c>
      <c r="N431">
        <v>0.28999999999999998</v>
      </c>
      <c r="O431">
        <v>0.32</v>
      </c>
      <c r="P431">
        <v>0.27</v>
      </c>
      <c r="Q431">
        <v>0.32</v>
      </c>
      <c r="R431">
        <v>0.28999999999999998</v>
      </c>
      <c r="S431">
        <v>0.3</v>
      </c>
      <c r="T431" s="2">
        <f>IF('ROS Rankings'!$AD$1,IFERROR(AVERAGE(INDEX($C431:$S431,14):INDEX($C431:$S431,17)),0),IFERROR(AVERAGE(INDEX($C431:$S431,Week+1):INDEX($C431:$S431,13)),0))</f>
        <v>0.2857142857142857</v>
      </c>
      <c r="U431" s="2" t="str">
        <f t="shared" si="60"/>
        <v/>
      </c>
      <c r="V431" s="2" t="str">
        <f t="shared" si="60"/>
        <v/>
      </c>
      <c r="W431" s="2">
        <f t="shared" si="60"/>
        <v>0.2857142857142857</v>
      </c>
      <c r="X431" s="2" t="str">
        <f t="shared" ref="X431:Z494" si="61">IF($B431=X$1,$T431,"")</f>
        <v/>
      </c>
      <c r="Y431" s="2" t="str">
        <f t="shared" si="61"/>
        <v/>
      </c>
      <c r="Z431" s="2" t="str">
        <f t="shared" si="61"/>
        <v/>
      </c>
      <c r="AA431" s="23" t="str">
        <f t="shared" si="53"/>
        <v>WR180</v>
      </c>
      <c r="AB431" s="2">
        <f>$T431-VLOOKUP($B431,Scores!$AG$1:$AM$7,5,FALSE)</f>
        <v>-10.085714285714284</v>
      </c>
      <c r="AC431" s="2">
        <f>$T431-VLOOKUP($B431,Scores!$AG$1:$AM$7,6,FALSE)</f>
        <v>-7.7457142857142864</v>
      </c>
      <c r="AD431" s="2">
        <f>$T431-VLOOKUP($B431,Scores!$AG$1:$AM$7,7,FALSE)+(ROW(A430)/1000000)</f>
        <v>-5.7667128571428572</v>
      </c>
      <c r="AE431" s="2">
        <f t="array" ref="AE431">IF('ROS Rankings'!$AD$1,IFERROR(AVERAGE(IF(INDEX($C431:$S431,14):INDEX($C431:$S431,17)="NA",0,INDEX($C431:$S431,14):INDEX($C431:$S431,17))-INDEX($AQ$2:$BG$7,MATCH($B431,$AO$2:$AO$7,0),14):INDEX($AQ$2:$BG$7,MATCH($B431,$AO$2:$AO$7,0),17)),0),IFERROR(AVERAGE(IF(INDEX($C431:$S431,Week+1):INDEX($C431:$S431,13)="NA",0,INDEX($C431:$S431,Week+1):INDEX($C431:$S431,13))-INDEX($AQ$2:$BG$7,MATCH($B431,$AO$2:$AO$7,0),Week+1):INDEX($AQ$2:$BG$7,MATCH($B431,$AO$2:$AO$7,0),13)),0))+ROW(A430)/1000000</f>
        <v>-5.1058199999999996</v>
      </c>
      <c r="AF431">
        <f t="shared" si="54"/>
        <v>461</v>
      </c>
      <c r="AG431">
        <f t="shared" si="55"/>
        <v>496</v>
      </c>
      <c r="AH431">
        <f t="shared" si="56"/>
        <v>512</v>
      </c>
      <c r="AI431">
        <f t="shared" si="57"/>
        <v>502</v>
      </c>
      <c r="AJ431" s="22">
        <f>IF(ISERROR(MATCH(A431,Rosters!$B$2:$B$155,0)),AD431,"")</f>
        <v>-5.7667128571428572</v>
      </c>
      <c r="AK431">
        <f t="shared" si="58"/>
        <v>360</v>
      </c>
      <c r="AL431" s="23">
        <f>COUNTIF(INDEX($C431:$S431,Week+1):INDEX($C431:$S431,13),"&gt;0")</f>
        <v>7</v>
      </c>
    </row>
    <row r="432" spans="1:38" x14ac:dyDescent="0.25">
      <c r="A432" t="s">
        <v>1352</v>
      </c>
      <c r="B432" t="s">
        <v>47</v>
      </c>
      <c r="C432">
        <v>0</v>
      </c>
      <c r="D432">
        <v>5.03</v>
      </c>
      <c r="E432">
        <v>7.34</v>
      </c>
      <c r="F432">
        <v>6.94</v>
      </c>
      <c r="G432">
        <v>12.22</v>
      </c>
      <c r="H432">
        <v>12.95</v>
      </c>
      <c r="I432">
        <v>10.28</v>
      </c>
      <c r="J432">
        <v>10.38</v>
      </c>
      <c r="K432">
        <v>11.58</v>
      </c>
      <c r="L432">
        <v>10.31</v>
      </c>
      <c r="M432" t="s">
        <v>64</v>
      </c>
      <c r="N432">
        <v>9.84</v>
      </c>
      <c r="O432">
        <v>10.86</v>
      </c>
      <c r="P432">
        <v>10.75</v>
      </c>
      <c r="Q432">
        <v>10.64</v>
      </c>
      <c r="R432">
        <v>11.43</v>
      </c>
      <c r="S432">
        <v>10.79</v>
      </c>
      <c r="T432" s="2">
        <f>IF('ROS Rankings'!$AD$1,IFERROR(AVERAGE(INDEX($C432:$S432,14):INDEX($C432:$S432,17)),0),IFERROR(AVERAGE(INDEX($C432:$S432,Week+1):INDEX($C432:$S432,13)),0))</f>
        <v>10.885714285714286</v>
      </c>
      <c r="U432" s="2" t="str">
        <f t="shared" ref="U432:Z495" si="62">IF($B432=U$1,$T432,"")</f>
        <v/>
      </c>
      <c r="V432" s="2">
        <f t="shared" si="62"/>
        <v>10.885714285714286</v>
      </c>
      <c r="W432" s="2" t="str">
        <f t="shared" si="62"/>
        <v/>
      </c>
      <c r="X432" s="2" t="str">
        <f t="shared" si="62"/>
        <v/>
      </c>
      <c r="Y432" s="2" t="str">
        <f t="shared" si="62"/>
        <v/>
      </c>
      <c r="Z432" s="2" t="str">
        <f t="shared" si="62"/>
        <v/>
      </c>
      <c r="AA432" s="23" t="str">
        <f t="shared" si="53"/>
        <v>RB14</v>
      </c>
      <c r="AB432" s="2">
        <f>$T432-VLOOKUP($B432,Scores!$AG$1:$AM$7,5,FALSE)</f>
        <v>-0.87285714285714278</v>
      </c>
      <c r="AC432" s="2">
        <f>$T432-VLOOKUP($B432,Scores!$AG$1:$AM$7,6,FALSE)</f>
        <v>2.6157142857142848</v>
      </c>
      <c r="AD432" s="2">
        <f>$T432-VLOOKUP($B432,Scores!$AG$1:$AM$7,7,FALSE)+(ROW(A431)/1000000)</f>
        <v>5.0175738571428568</v>
      </c>
      <c r="AE432" s="2">
        <f t="array" ref="AE432">IF('ROS Rankings'!$AD$1,IFERROR(AVERAGE(IF(INDEX($C432:$S432,14):INDEX($C432:$S432,17)="NA",0,INDEX($C432:$S432,14):INDEX($C432:$S432,17))-INDEX($AQ$2:$BG$7,MATCH($B432,$AO$2:$AO$7,0),14):INDEX($AQ$2:$BG$7,MATCH($B432,$AO$2:$AO$7,0),17)),0),IFERROR(AVERAGE(IF(INDEX($C432:$S432,Week+1):INDEX($C432:$S432,13)="NA",0,INDEX($C432:$S432,Week+1):INDEX($C432:$S432,13))-INDEX($AQ$2:$BG$7,MATCH($B432,$AO$2:$AO$7,0),Week+1):INDEX($AQ$2:$BG$7,MATCH($B432,$AO$2:$AO$7,0),13)),0))+ROW(A431)/1000000</f>
        <v>4.1654310000000008</v>
      </c>
      <c r="AF432">
        <f t="shared" si="54"/>
        <v>82</v>
      </c>
      <c r="AG432">
        <f t="shared" si="55"/>
        <v>31</v>
      </c>
      <c r="AH432">
        <f t="shared" si="56"/>
        <v>27</v>
      </c>
      <c r="AI432">
        <f t="shared" si="57"/>
        <v>28</v>
      </c>
      <c r="AJ432" s="22" t="str">
        <f>IF(ISERROR(MATCH(A432,Rosters!$B$2:$B$155,0)),AD432,"")</f>
        <v/>
      </c>
      <c r="AK432" t="str">
        <f t="shared" si="58"/>
        <v/>
      </c>
      <c r="AL432" s="23">
        <f>COUNTIF(INDEX($C432:$S432,Week+1):INDEX($C432:$S432,13),"&gt;0")</f>
        <v>7</v>
      </c>
    </row>
    <row r="433" spans="1:38" x14ac:dyDescent="0.25">
      <c r="A433" t="s">
        <v>1404</v>
      </c>
      <c r="B433" t="s">
        <v>47</v>
      </c>
      <c r="C433">
        <v>4.25</v>
      </c>
      <c r="D433">
        <v>4.5199999999999996</v>
      </c>
      <c r="E433">
        <v>4.92</v>
      </c>
      <c r="F433">
        <v>3.72</v>
      </c>
      <c r="G433">
        <v>3.35</v>
      </c>
      <c r="H433">
        <v>4.97</v>
      </c>
      <c r="I433">
        <v>5.26</v>
      </c>
      <c r="J433">
        <v>3.6</v>
      </c>
      <c r="K433">
        <v>3.72</v>
      </c>
      <c r="L433">
        <v>3.76</v>
      </c>
      <c r="M433">
        <v>5.16</v>
      </c>
      <c r="N433" t="s">
        <v>64</v>
      </c>
      <c r="O433">
        <v>5.5</v>
      </c>
      <c r="P433">
        <v>3.03</v>
      </c>
      <c r="Q433">
        <v>4.41</v>
      </c>
      <c r="R433">
        <v>3.5</v>
      </c>
      <c r="S433">
        <v>5.94</v>
      </c>
      <c r="T433" s="2">
        <f>IF('ROS Rankings'!$AD$1,IFERROR(AVERAGE(INDEX($C433:$S433,14):INDEX($C433:$S433,17)),0),IFERROR(AVERAGE(INDEX($C433:$S433,Week+1):INDEX($C433:$S433,13)),0))</f>
        <v>4.5671428571428576</v>
      </c>
      <c r="U433" s="2" t="str">
        <f t="shared" si="62"/>
        <v/>
      </c>
      <c r="V433" s="2">
        <f t="shared" si="62"/>
        <v>4.5671428571428576</v>
      </c>
      <c r="W433" s="2" t="str">
        <f t="shared" si="62"/>
        <v/>
      </c>
      <c r="X433" s="2" t="str">
        <f t="shared" si="62"/>
        <v/>
      </c>
      <c r="Y433" s="2" t="str">
        <f t="shared" si="62"/>
        <v/>
      </c>
      <c r="Z433" s="2" t="str">
        <f t="shared" si="62"/>
        <v/>
      </c>
      <c r="AA433" s="23" t="str">
        <f t="shared" si="53"/>
        <v>RB61</v>
      </c>
      <c r="AB433" s="2">
        <f>$T433-VLOOKUP($B433,Scores!$AG$1:$AM$7,5,FALSE)</f>
        <v>-7.1914285714285713</v>
      </c>
      <c r="AC433" s="2">
        <f>$T433-VLOOKUP($B433,Scores!$AG$1:$AM$7,6,FALSE)</f>
        <v>-3.7028571428571437</v>
      </c>
      <c r="AD433" s="2">
        <f>$T433-VLOOKUP($B433,Scores!$AG$1:$AM$7,7,FALSE)+(ROW(A432)/1000000)</f>
        <v>-1.3009965714285716</v>
      </c>
      <c r="AE433" s="2">
        <f t="array" ref="AE433">IF('ROS Rankings'!$AD$1,IFERROR(AVERAGE(IF(INDEX($C433:$S433,14):INDEX($C433:$S433,17)="NA",0,INDEX($C433:$S433,14):INDEX($C433:$S433,17))-INDEX($AQ$2:$BG$7,MATCH($B433,$AO$2:$AO$7,0),14):INDEX($AQ$2:$BG$7,MATCH($B433,$AO$2:$AO$7,0),17)),0),IFERROR(AVERAGE(IF(INDEX($C433:$S433,Week+1):INDEX($C433:$S433,13)="NA",0,INDEX($C433:$S433,Week+1):INDEX($C433:$S433,13))-INDEX($AQ$2:$BG$7,MATCH($B433,$AO$2:$AO$7,0),Week+1):INDEX($AQ$2:$BG$7,MATCH($B433,$AO$2:$AO$7,0),13)),0))+ROW(A432)/1000000</f>
        <v>-1.3633179999999998</v>
      </c>
      <c r="AF433">
        <f t="shared" si="54"/>
        <v>353</v>
      </c>
      <c r="AG433">
        <f t="shared" si="55"/>
        <v>285</v>
      </c>
      <c r="AH433">
        <f t="shared" si="56"/>
        <v>216</v>
      </c>
      <c r="AI433">
        <f t="shared" si="57"/>
        <v>199</v>
      </c>
      <c r="AJ433" s="22">
        <f>IF(ISERROR(MATCH(A433,Rosters!$B$2:$B$155,0)),AD433,"")</f>
        <v>-1.3009965714285716</v>
      </c>
      <c r="AK433">
        <f t="shared" si="58"/>
        <v>77</v>
      </c>
      <c r="AL433" s="23">
        <f>COUNTIF(INDEX($C433:$S433,Week+1):INDEX($C433:$S433,13),"&gt;0")</f>
        <v>7</v>
      </c>
    </row>
    <row r="434" spans="1:38" x14ac:dyDescent="0.25">
      <c r="A434" t="s">
        <v>1628</v>
      </c>
      <c r="B434" t="s">
        <v>87</v>
      </c>
      <c r="C434">
        <v>0.31</v>
      </c>
      <c r="D434">
        <v>0.35</v>
      </c>
      <c r="E434">
        <v>0.15</v>
      </c>
      <c r="F434">
        <v>0.19</v>
      </c>
      <c r="G434">
        <v>0.22</v>
      </c>
      <c r="H434">
        <v>7.0000000000000007E-2</v>
      </c>
      <c r="I434">
        <v>7.0000000000000007E-2</v>
      </c>
      <c r="J434">
        <v>7.0000000000000007E-2</v>
      </c>
      <c r="K434" t="s">
        <v>64</v>
      </c>
      <c r="L434">
        <v>7.0000000000000007E-2</v>
      </c>
      <c r="M434">
        <v>7.0000000000000007E-2</v>
      </c>
      <c r="N434">
        <v>7.0000000000000007E-2</v>
      </c>
      <c r="O434">
        <v>7.0000000000000007E-2</v>
      </c>
      <c r="P434">
        <v>7.0000000000000007E-2</v>
      </c>
      <c r="Q434">
        <v>7.0000000000000007E-2</v>
      </c>
      <c r="R434">
        <v>7.0000000000000007E-2</v>
      </c>
      <c r="S434">
        <v>7.0000000000000007E-2</v>
      </c>
      <c r="T434" s="2">
        <f>IF('ROS Rankings'!$AD$1,IFERROR(AVERAGE(INDEX($C434:$S434,14):INDEX($C434:$S434,17)),0),IFERROR(AVERAGE(INDEX($C434:$S434,Week+1):INDEX($C434:$S434,13)),0))</f>
        <v>7.0000000000000007E-2</v>
      </c>
      <c r="U434" s="2" t="str">
        <f t="shared" si="62"/>
        <v/>
      </c>
      <c r="V434" s="2" t="str">
        <f t="shared" si="62"/>
        <v/>
      </c>
      <c r="W434" s="2">
        <f t="shared" si="62"/>
        <v>7.0000000000000007E-2</v>
      </c>
      <c r="X434" s="2" t="str">
        <f t="shared" si="62"/>
        <v/>
      </c>
      <c r="Y434" s="2" t="str">
        <f t="shared" si="62"/>
        <v/>
      </c>
      <c r="Z434" s="2" t="str">
        <f t="shared" si="62"/>
        <v/>
      </c>
      <c r="AA434" s="23" t="str">
        <f t="shared" si="53"/>
        <v>WR181</v>
      </c>
      <c r="AB434" s="2">
        <f>$T434-VLOOKUP($B434,Scores!$AG$1:$AM$7,5,FALSE)</f>
        <v>-10.30142857142857</v>
      </c>
      <c r="AC434" s="2">
        <f>$T434-VLOOKUP($B434,Scores!$AG$1:$AM$7,6,FALSE)</f>
        <v>-7.9614285714285717</v>
      </c>
      <c r="AD434" s="2">
        <f>$T434-VLOOKUP($B434,Scores!$AG$1:$AM$7,7,FALSE)+(ROW(A433)/1000000)</f>
        <v>-5.9824241428571421</v>
      </c>
      <c r="AE434" s="2">
        <f t="array" ref="AE434">IF('ROS Rankings'!$AD$1,IFERROR(AVERAGE(IF(INDEX($C434:$S434,14):INDEX($C434:$S434,17)="NA",0,INDEX($C434:$S434,14):INDEX($C434:$S434,17))-INDEX($AQ$2:$BG$7,MATCH($B434,$AO$2:$AO$7,0),14):INDEX($AQ$2:$BG$7,MATCH($B434,$AO$2:$AO$7,0),17)),0),IFERROR(AVERAGE(IF(INDEX($C434:$S434,Week+1):INDEX($C434:$S434,13)="NA",0,INDEX($C434:$S434,Week+1):INDEX($C434:$S434,13))-INDEX($AQ$2:$BG$7,MATCH($B434,$AO$2:$AO$7,0),Week+1):INDEX($AQ$2:$BG$7,MATCH($B434,$AO$2:$AO$7,0),13)),0))+ROW(A433)/1000000</f>
        <v>-5.2945669999999998</v>
      </c>
      <c r="AF434">
        <f t="shared" si="54"/>
        <v>462</v>
      </c>
      <c r="AG434">
        <f t="shared" si="55"/>
        <v>511</v>
      </c>
      <c r="AH434">
        <f t="shared" si="56"/>
        <v>515</v>
      </c>
      <c r="AI434">
        <f t="shared" si="57"/>
        <v>508</v>
      </c>
      <c r="AJ434" s="22">
        <f>IF(ISERROR(MATCH(A434,Rosters!$B$2:$B$155,0)),AD434,"")</f>
        <v>-5.9824241428571421</v>
      </c>
      <c r="AK434">
        <f t="shared" si="58"/>
        <v>363</v>
      </c>
      <c r="AL434" s="23">
        <f>COUNTIF(INDEX($C434:$S434,Week+1):INDEX($C434:$S434,13),"&gt;0")</f>
        <v>7</v>
      </c>
    </row>
    <row r="435" spans="1:38" x14ac:dyDescent="0.25">
      <c r="A435" t="s">
        <v>133</v>
      </c>
      <c r="B435" t="s">
        <v>87</v>
      </c>
      <c r="C435">
        <v>10.69</v>
      </c>
      <c r="D435">
        <v>9.65</v>
      </c>
      <c r="E435">
        <v>10.95</v>
      </c>
      <c r="F435">
        <v>10.86</v>
      </c>
      <c r="G435">
        <v>10.38</v>
      </c>
      <c r="H435">
        <v>9.86</v>
      </c>
      <c r="I435">
        <v>8.89</v>
      </c>
      <c r="J435">
        <v>11.21</v>
      </c>
      <c r="K435">
        <v>11.42</v>
      </c>
      <c r="L435" t="s">
        <v>64</v>
      </c>
      <c r="M435">
        <v>9.9499999999999993</v>
      </c>
      <c r="N435">
        <v>11.61</v>
      </c>
      <c r="O435">
        <v>10</v>
      </c>
      <c r="P435">
        <v>9.3699999999999992</v>
      </c>
      <c r="Q435">
        <v>11.34</v>
      </c>
      <c r="R435">
        <v>11.05</v>
      </c>
      <c r="S435">
        <v>10.29</v>
      </c>
      <c r="T435" s="2">
        <f>IF('ROS Rankings'!$AD$1,IFERROR(AVERAGE(INDEX($C435:$S435,14):INDEX($C435:$S435,17)),0),IFERROR(AVERAGE(INDEX($C435:$S435,Week+1):INDEX($C435:$S435,13)),0))</f>
        <v>10.42</v>
      </c>
      <c r="U435" s="2" t="str">
        <f t="shared" si="62"/>
        <v/>
      </c>
      <c r="V435" s="2" t="str">
        <f t="shared" si="62"/>
        <v/>
      </c>
      <c r="W435" s="2">
        <f t="shared" si="62"/>
        <v>10.42</v>
      </c>
      <c r="X435" s="2" t="str">
        <f t="shared" si="62"/>
        <v/>
      </c>
      <c r="Y435" s="2" t="str">
        <f t="shared" si="62"/>
        <v/>
      </c>
      <c r="Z435" s="2" t="str">
        <f t="shared" si="62"/>
        <v/>
      </c>
      <c r="AA435" s="23" t="str">
        <f t="shared" si="53"/>
        <v>WR16</v>
      </c>
      <c r="AB435" s="2">
        <f>$T435-VLOOKUP($B435,Scores!$AG$1:$AM$7,5,FALSE)</f>
        <v>4.857142857142982E-2</v>
      </c>
      <c r="AC435" s="2">
        <f>$T435-VLOOKUP($B435,Scores!$AG$1:$AM$7,6,FALSE)</f>
        <v>2.3885714285714279</v>
      </c>
      <c r="AD435" s="2">
        <f>$T435-VLOOKUP($B435,Scores!$AG$1:$AM$7,7,FALSE)+(ROW(A434)/1000000)</f>
        <v>4.3675768571428577</v>
      </c>
      <c r="AE435" s="2">
        <f t="array" ref="AE435">IF('ROS Rankings'!$AD$1,IFERROR(AVERAGE(IF(INDEX($C435:$S435,14):INDEX($C435:$S435,17)="NA",0,INDEX($C435:$S435,14):INDEX($C435:$S435,17))-INDEX($AQ$2:$BG$7,MATCH($B435,$AO$2:$AO$7,0),14):INDEX($AQ$2:$BG$7,MATCH($B435,$AO$2:$AO$7,0),17)),0),IFERROR(AVERAGE(IF(INDEX($C435:$S435,Week+1):INDEX($C435:$S435,13)="NA",0,INDEX($C435:$S435,Week+1):INDEX($C435:$S435,13))-INDEX($AQ$2:$BG$7,MATCH($B435,$AO$2:$AO$7,0),Week+1):INDEX($AQ$2:$BG$7,MATCH($B435,$AO$2:$AO$7,0),13)),0))+ROW(A434)/1000000</f>
        <v>3.7616839999999998</v>
      </c>
      <c r="AF435">
        <f t="shared" si="54"/>
        <v>43</v>
      </c>
      <c r="AG435">
        <f t="shared" si="55"/>
        <v>34</v>
      </c>
      <c r="AH435">
        <f t="shared" si="56"/>
        <v>36</v>
      </c>
      <c r="AI435">
        <f t="shared" si="57"/>
        <v>35</v>
      </c>
      <c r="AJ435" s="22" t="str">
        <f>IF(ISERROR(MATCH(A435,Rosters!$B$2:$B$155,0)),AD435,"")</f>
        <v/>
      </c>
      <c r="AK435" t="str">
        <f t="shared" si="58"/>
        <v/>
      </c>
      <c r="AL435" s="23">
        <f>COUNTIF(INDEX($C435:$S435,Week+1):INDEX($C435:$S435,13),"&gt;0")</f>
        <v>7</v>
      </c>
    </row>
    <row r="436" spans="1:38" x14ac:dyDescent="0.25">
      <c r="A436" t="s">
        <v>192</v>
      </c>
      <c r="B436" t="s">
        <v>87</v>
      </c>
      <c r="C436">
        <v>5.62</v>
      </c>
      <c r="D436">
        <v>6.96</v>
      </c>
      <c r="E436">
        <v>6.04</v>
      </c>
      <c r="F436">
        <v>7.3</v>
      </c>
      <c r="G436">
        <v>6.86</v>
      </c>
      <c r="H436">
        <v>6.44</v>
      </c>
      <c r="I436">
        <v>6.91</v>
      </c>
      <c r="J436">
        <v>6.84</v>
      </c>
      <c r="K436" t="s">
        <v>64</v>
      </c>
      <c r="L436">
        <v>7.46</v>
      </c>
      <c r="M436">
        <v>7.96</v>
      </c>
      <c r="N436">
        <v>6.3</v>
      </c>
      <c r="O436">
        <v>6.46</v>
      </c>
      <c r="P436">
        <v>6.63</v>
      </c>
      <c r="Q436">
        <v>7.58</v>
      </c>
      <c r="R436">
        <v>7.6</v>
      </c>
      <c r="S436">
        <v>7.43</v>
      </c>
      <c r="T436" s="2">
        <f>IF('ROS Rankings'!$AD$1,IFERROR(AVERAGE(INDEX($C436:$S436,14):INDEX($C436:$S436,17)),0),IFERROR(AVERAGE(INDEX($C436:$S436,Week+1):INDEX($C436:$S436,13)),0))</f>
        <v>6.9099999999999993</v>
      </c>
      <c r="U436" s="2" t="str">
        <f t="shared" si="62"/>
        <v/>
      </c>
      <c r="V436" s="2" t="str">
        <f t="shared" si="62"/>
        <v/>
      </c>
      <c r="W436" s="2">
        <f t="shared" si="62"/>
        <v>6.9099999999999993</v>
      </c>
      <c r="X436" s="2" t="str">
        <f t="shared" si="62"/>
        <v/>
      </c>
      <c r="Y436" s="2" t="str">
        <f t="shared" si="62"/>
        <v/>
      </c>
      <c r="Z436" s="2" t="str">
        <f t="shared" si="62"/>
        <v/>
      </c>
      <c r="AA436" s="23" t="str">
        <f t="shared" si="53"/>
        <v>WR46</v>
      </c>
      <c r="AB436" s="2">
        <f>$T436-VLOOKUP($B436,Scores!$AG$1:$AM$7,5,FALSE)</f>
        <v>-3.4614285714285709</v>
      </c>
      <c r="AC436" s="2">
        <f>$T436-VLOOKUP($B436,Scores!$AG$1:$AM$7,6,FALSE)</f>
        <v>-1.1214285714285728</v>
      </c>
      <c r="AD436" s="2">
        <f>$T436-VLOOKUP($B436,Scores!$AG$1:$AM$7,7,FALSE)+(ROW(A435)/1000000)</f>
        <v>0.85757785714285673</v>
      </c>
      <c r="AE436" s="2">
        <f t="array" ref="AE436">IF('ROS Rankings'!$AD$1,IFERROR(AVERAGE(IF(INDEX($C436:$S436,14):INDEX($C436:$S436,17)="NA",0,INDEX($C436:$S436,14):INDEX($C436:$S436,17))-INDEX($AQ$2:$BG$7,MATCH($B436,$AO$2:$AO$7,0),14):INDEX($AQ$2:$BG$7,MATCH($B436,$AO$2:$AO$7,0),17)),0),IFERROR(AVERAGE(IF(INDEX($C436:$S436,Week+1):INDEX($C436:$S436,13)="NA",0,INDEX($C436:$S436,Week+1):INDEX($C436:$S436,13))-INDEX($AQ$2:$BG$7,MATCH($B436,$AO$2:$AO$7,0),Week+1):INDEX($AQ$2:$BG$7,MATCH($B436,$AO$2:$AO$7,0),13)),0))+ROW(A435)/1000000</f>
        <v>0.69043499999999991</v>
      </c>
      <c r="AF436">
        <f t="shared" si="54"/>
        <v>172</v>
      </c>
      <c r="AG436">
        <f t="shared" si="55"/>
        <v>163</v>
      </c>
      <c r="AH436">
        <f t="shared" si="56"/>
        <v>105</v>
      </c>
      <c r="AI436">
        <f t="shared" si="57"/>
        <v>95</v>
      </c>
      <c r="AJ436" s="22" t="str">
        <f>IF(ISERROR(MATCH(A436,Rosters!$B$2:$B$155,0)),AD436,"")</f>
        <v/>
      </c>
      <c r="AK436" t="str">
        <f t="shared" si="58"/>
        <v/>
      </c>
      <c r="AL436" s="23">
        <f>COUNTIF(INDEX($C436:$S436,Week+1):INDEX($C436:$S436,13),"&gt;0")</f>
        <v>7</v>
      </c>
    </row>
    <row r="437" spans="1:38" x14ac:dyDescent="0.25">
      <c r="A437" t="s">
        <v>1581</v>
      </c>
      <c r="B437" t="s">
        <v>47</v>
      </c>
      <c r="C437">
        <v>0.57999999999999996</v>
      </c>
      <c r="D437">
        <v>0.62</v>
      </c>
      <c r="E437">
        <v>0.39</v>
      </c>
      <c r="F437">
        <v>1.43</v>
      </c>
      <c r="G437">
        <v>1.25</v>
      </c>
      <c r="H437">
        <v>1.17</v>
      </c>
      <c r="I437" t="s">
        <v>64</v>
      </c>
      <c r="J437">
        <v>1.22</v>
      </c>
      <c r="K437">
        <v>0.85</v>
      </c>
      <c r="L437">
        <v>1.05</v>
      </c>
      <c r="M437">
        <v>0.85</v>
      </c>
      <c r="N437">
        <v>1.19</v>
      </c>
      <c r="O437">
        <v>1.27</v>
      </c>
      <c r="P437">
        <v>1.4</v>
      </c>
      <c r="Q437">
        <v>1.18</v>
      </c>
      <c r="R437">
        <v>1.17</v>
      </c>
      <c r="S437">
        <v>1.27</v>
      </c>
      <c r="T437" s="2">
        <f>IF('ROS Rankings'!$AD$1,IFERROR(AVERAGE(INDEX($C437:$S437,14):INDEX($C437:$S437,17)),0),IFERROR(AVERAGE(INDEX($C437:$S437,Week+1):INDEX($C437:$S437,13)),0))</f>
        <v>1.0857142857142856</v>
      </c>
      <c r="U437" s="2" t="str">
        <f t="shared" si="62"/>
        <v/>
      </c>
      <c r="V437" s="2">
        <f t="shared" si="62"/>
        <v>1.0857142857142856</v>
      </c>
      <c r="W437" s="2" t="str">
        <f t="shared" si="62"/>
        <v/>
      </c>
      <c r="X437" s="2" t="str">
        <f t="shared" si="62"/>
        <v/>
      </c>
      <c r="Y437" s="2" t="str">
        <f t="shared" si="62"/>
        <v/>
      </c>
      <c r="Z437" s="2" t="str">
        <f t="shared" si="62"/>
        <v/>
      </c>
      <c r="AA437" s="23" t="str">
        <f t="shared" si="53"/>
        <v>RB88</v>
      </c>
      <c r="AB437" s="2">
        <f>$T437-VLOOKUP($B437,Scores!$AG$1:$AM$7,5,FALSE)</f>
        <v>-10.672857142857143</v>
      </c>
      <c r="AC437" s="2">
        <f>$T437-VLOOKUP($B437,Scores!$AG$1:$AM$7,6,FALSE)</f>
        <v>-7.1842857142857159</v>
      </c>
      <c r="AD437" s="2">
        <f>$T437-VLOOKUP($B437,Scores!$AG$1:$AM$7,7,FALSE)+(ROW(A436)/1000000)</f>
        <v>-4.7824211428571441</v>
      </c>
      <c r="AE437" s="2">
        <f t="array" ref="AE437">IF('ROS Rankings'!$AD$1,IFERROR(AVERAGE(IF(INDEX($C437:$S437,14):INDEX($C437:$S437,17)="NA",0,INDEX($C437:$S437,14):INDEX($C437:$S437,17))-INDEX($AQ$2:$BG$7,MATCH($B437,$AO$2:$AO$7,0),14):INDEX($AQ$2:$BG$7,MATCH($B437,$AO$2:$AO$7,0),17)),0),IFERROR(AVERAGE(IF(INDEX($C437:$S437,Week+1):INDEX($C437:$S437,13)="NA",0,INDEX($C437:$S437,Week+1):INDEX($C437:$S437,13))-INDEX($AQ$2:$BG$7,MATCH($B437,$AO$2:$AO$7,0),Week+1):INDEX($AQ$2:$BG$7,MATCH($B437,$AO$2:$AO$7,0),13)),0))+ROW(A436)/1000000</f>
        <v>-4.4095640000000005</v>
      </c>
      <c r="AF437">
        <f t="shared" si="54"/>
        <v>476</v>
      </c>
      <c r="AG437">
        <f t="shared" si="55"/>
        <v>413</v>
      </c>
      <c r="AH437">
        <f t="shared" si="56"/>
        <v>396</v>
      </c>
      <c r="AI437">
        <f t="shared" si="57"/>
        <v>367</v>
      </c>
      <c r="AJ437" s="22">
        <f>IF(ISERROR(MATCH(A437,Rosters!$B$2:$B$155,0)),AD437,"")</f>
        <v>-4.7824211428571441</v>
      </c>
      <c r="AK437">
        <f t="shared" si="58"/>
        <v>244</v>
      </c>
      <c r="AL437" s="23">
        <f>COUNTIF(INDEX($C437:$S437,Week+1):INDEX($C437:$S437,13),"&gt;0")</f>
        <v>7</v>
      </c>
    </row>
    <row r="438" spans="1:38" x14ac:dyDescent="0.25">
      <c r="A438" t="s">
        <v>263</v>
      </c>
      <c r="B438" t="s">
        <v>87</v>
      </c>
      <c r="C438">
        <v>1.57</v>
      </c>
      <c r="D438">
        <v>1.69</v>
      </c>
      <c r="E438">
        <v>2.21</v>
      </c>
      <c r="F438">
        <v>1.55</v>
      </c>
      <c r="G438">
        <v>1.76</v>
      </c>
      <c r="H438" t="s">
        <v>64</v>
      </c>
      <c r="I438">
        <v>1.59</v>
      </c>
      <c r="J438">
        <v>1.59</v>
      </c>
      <c r="K438">
        <v>1.57</v>
      </c>
      <c r="L438">
        <v>1.5</v>
      </c>
      <c r="M438">
        <v>1.66</v>
      </c>
      <c r="N438">
        <v>1.54</v>
      </c>
      <c r="O438">
        <v>2.02</v>
      </c>
      <c r="P438">
        <v>1.53</v>
      </c>
      <c r="Q438">
        <v>1.51</v>
      </c>
      <c r="R438">
        <v>1.63</v>
      </c>
      <c r="S438">
        <v>1.72</v>
      </c>
      <c r="T438" s="2">
        <f>IF('ROS Rankings'!$AD$1,IFERROR(AVERAGE(INDEX($C438:$S438,14):INDEX($C438:$S438,17)),0),IFERROR(AVERAGE(INDEX($C438:$S438,Week+1):INDEX($C438:$S438,13)),0))</f>
        <v>1.6385714285714283</v>
      </c>
      <c r="U438" s="2" t="str">
        <f t="shared" si="62"/>
        <v/>
      </c>
      <c r="V438" s="2" t="str">
        <f t="shared" si="62"/>
        <v/>
      </c>
      <c r="W438" s="2">
        <f t="shared" si="62"/>
        <v>1.6385714285714283</v>
      </c>
      <c r="X438" s="2" t="str">
        <f t="shared" si="62"/>
        <v/>
      </c>
      <c r="Y438" s="2" t="str">
        <f t="shared" si="62"/>
        <v/>
      </c>
      <c r="Z438" s="2" t="str">
        <f t="shared" si="62"/>
        <v/>
      </c>
      <c r="AA438" s="23" t="str">
        <f t="shared" si="53"/>
        <v>WR116</v>
      </c>
      <c r="AB438" s="2">
        <f>$T438-VLOOKUP($B438,Scores!$AG$1:$AM$7,5,FALSE)</f>
        <v>-8.7328571428571422</v>
      </c>
      <c r="AC438" s="2">
        <f>$T438-VLOOKUP($B438,Scores!$AG$1:$AM$7,6,FALSE)</f>
        <v>-6.3928571428571441</v>
      </c>
      <c r="AD438" s="2">
        <f>$T438-VLOOKUP($B438,Scores!$AG$1:$AM$7,7,FALSE)+(ROW(A437)/1000000)</f>
        <v>-4.4138487142857148</v>
      </c>
      <c r="AE438" s="2">
        <f t="array" ref="AE438">IF('ROS Rankings'!$AD$1,IFERROR(AVERAGE(IF(INDEX($C438:$S438,14):INDEX($C438:$S438,17)="NA",0,INDEX($C438:$S438,14):INDEX($C438:$S438,17))-INDEX($AQ$2:$BG$7,MATCH($B438,$AO$2:$AO$7,0),14):INDEX($AQ$2:$BG$7,MATCH($B438,$AO$2:$AO$7,0),17)),0),IFERROR(AVERAGE(IF(INDEX($C438:$S438,Week+1):INDEX($C438:$S438,13)="NA",0,INDEX($C438:$S438,Week+1):INDEX($C438:$S438,13))-INDEX($AQ$2:$BG$7,MATCH($B438,$AO$2:$AO$7,0),Week+1):INDEX($AQ$2:$BG$7,MATCH($B438,$AO$2:$AO$7,0),13)),0))+ROW(A437)/1000000</f>
        <v>-3.9220630000000005</v>
      </c>
      <c r="AF438">
        <f t="shared" si="54"/>
        <v>386</v>
      </c>
      <c r="AG438">
        <f t="shared" si="55"/>
        <v>390</v>
      </c>
      <c r="AH438">
        <f t="shared" si="56"/>
        <v>353</v>
      </c>
      <c r="AI438">
        <f t="shared" si="57"/>
        <v>344</v>
      </c>
      <c r="AJ438" s="22">
        <f>IF(ISERROR(MATCH(A438,Rosters!$B$2:$B$155,0)),AD438,"")</f>
        <v>-4.4138487142857148</v>
      </c>
      <c r="AK438">
        <f t="shared" si="58"/>
        <v>201</v>
      </c>
      <c r="AL438" s="23">
        <f>COUNTIF(INDEX($C438:$S438,Week+1):INDEX($C438:$S438,13),"&gt;0")</f>
        <v>7</v>
      </c>
    </row>
    <row r="439" spans="1:38" x14ac:dyDescent="0.25">
      <c r="A439" t="s">
        <v>4254</v>
      </c>
      <c r="B439" t="s">
        <v>47</v>
      </c>
      <c r="C439" t="s">
        <v>64</v>
      </c>
      <c r="D439" t="s">
        <v>64</v>
      </c>
      <c r="E439">
        <v>0</v>
      </c>
      <c r="F439">
        <v>0</v>
      </c>
      <c r="G439">
        <v>0.52</v>
      </c>
      <c r="H439">
        <v>0.4</v>
      </c>
      <c r="I439">
        <v>0.47</v>
      </c>
      <c r="J439">
        <v>0.55000000000000004</v>
      </c>
      <c r="K439" t="s">
        <v>64</v>
      </c>
      <c r="L439">
        <v>0.63</v>
      </c>
      <c r="M439">
        <v>0.68</v>
      </c>
      <c r="N439">
        <v>0.43</v>
      </c>
      <c r="O439">
        <v>0.5</v>
      </c>
      <c r="P439">
        <v>0.68</v>
      </c>
      <c r="Q439">
        <v>0.59</v>
      </c>
      <c r="R439">
        <v>0.59</v>
      </c>
      <c r="S439">
        <v>0.45</v>
      </c>
      <c r="T439" s="2">
        <f>IF('ROS Rankings'!$AD$1,IFERROR(AVERAGE(INDEX($C439:$S439,14):INDEX($C439:$S439,17)),0),IFERROR(AVERAGE(INDEX($C439:$S439,Week+1):INDEX($C439:$S439,13)),0))</f>
        <v>0.52285714285714291</v>
      </c>
      <c r="U439" s="2" t="str">
        <f t="shared" si="62"/>
        <v/>
      </c>
      <c r="V439" s="2">
        <f t="shared" si="62"/>
        <v>0.52285714285714291</v>
      </c>
      <c r="W439" s="2" t="str">
        <f t="shared" si="62"/>
        <v/>
      </c>
      <c r="X439" s="2" t="str">
        <f t="shared" si="62"/>
        <v/>
      </c>
      <c r="Y439" s="2" t="str">
        <f t="shared" si="62"/>
        <v/>
      </c>
      <c r="Z439" s="2" t="str">
        <f t="shared" si="62"/>
        <v/>
      </c>
      <c r="AA439" s="23" t="str">
        <f t="shared" si="53"/>
        <v>RB116</v>
      </c>
      <c r="AB439" s="2">
        <f>$T439-VLOOKUP($B439,Scores!$AG$1:$AM$7,5,FALSE)</f>
        <v>-11.235714285714286</v>
      </c>
      <c r="AC439" s="2">
        <f>$T439-VLOOKUP($B439,Scores!$AG$1:$AM$7,6,FALSE)</f>
        <v>-7.7471428571428582</v>
      </c>
      <c r="AD439" s="2">
        <f>$T439-VLOOKUP($B439,Scores!$AG$1:$AM$7,7,FALSE)+(ROW(A438)/1000000)</f>
        <v>-5.3452762857142861</v>
      </c>
      <c r="AE439" s="2">
        <f t="array" ref="AE439">IF('ROS Rankings'!$AD$1,IFERROR(AVERAGE(IF(INDEX($C439:$S439,14):INDEX($C439:$S439,17)="NA",0,INDEX($C439:$S439,14):INDEX($C439:$S439,17))-INDEX($AQ$2:$BG$7,MATCH($B439,$AO$2:$AO$7,0),14):INDEX($AQ$2:$BG$7,MATCH($B439,$AO$2:$AO$7,0),17)),0),IFERROR(AVERAGE(IF(INDEX($C439:$S439,Week+1):INDEX($C439:$S439,13)="NA",0,INDEX($C439:$S439,Week+1):INDEX($C439:$S439,13))-INDEX($AQ$2:$BG$7,MATCH($B439,$AO$2:$AO$7,0),Week+1):INDEX($AQ$2:$BG$7,MATCH($B439,$AO$2:$AO$7,0),13)),0))+ROW(A438)/1000000</f>
        <v>-4.9020619999999999</v>
      </c>
      <c r="AF439">
        <f t="shared" si="54"/>
        <v>504</v>
      </c>
      <c r="AG439">
        <f t="shared" si="55"/>
        <v>498</v>
      </c>
      <c r="AH439">
        <f t="shared" si="56"/>
        <v>448</v>
      </c>
      <c r="AI439">
        <f t="shared" si="57"/>
        <v>475</v>
      </c>
      <c r="AJ439" s="22">
        <f>IF(ISERROR(MATCH(A439,Rosters!$B$2:$B$155,0)),AD439,"")</f>
        <v>-5.3452762857142861</v>
      </c>
      <c r="AK439">
        <f t="shared" si="58"/>
        <v>296</v>
      </c>
      <c r="AL439" s="23">
        <f>COUNTIF(INDEX($C439:$S439,Week+1):INDEX($C439:$S439,13),"&gt;0")</f>
        <v>7</v>
      </c>
    </row>
    <row r="440" spans="1:38" x14ac:dyDescent="0.25">
      <c r="A440" t="s">
        <v>245</v>
      </c>
      <c r="B440" t="s">
        <v>47</v>
      </c>
      <c r="C440">
        <v>4.21</v>
      </c>
      <c r="D440">
        <v>11.89</v>
      </c>
      <c r="E440">
        <v>9.8000000000000007</v>
      </c>
      <c r="F440">
        <v>5.38</v>
      </c>
      <c r="G440">
        <v>12.09</v>
      </c>
      <c r="H440">
        <v>11.74</v>
      </c>
      <c r="I440">
        <v>9.09</v>
      </c>
      <c r="J440">
        <v>5.41</v>
      </c>
      <c r="K440" t="s">
        <v>64</v>
      </c>
      <c r="L440">
        <v>6.5</v>
      </c>
      <c r="M440">
        <v>6.69</v>
      </c>
      <c r="N440">
        <v>6.05</v>
      </c>
      <c r="O440">
        <v>6.97</v>
      </c>
      <c r="P440">
        <v>6.2</v>
      </c>
      <c r="Q440">
        <v>7.69</v>
      </c>
      <c r="R440">
        <v>6.75</v>
      </c>
      <c r="S440">
        <v>7.07</v>
      </c>
      <c r="T440" s="2">
        <f>IF('ROS Rankings'!$AD$1,IFERROR(AVERAGE(INDEX($C440:$S440,14):INDEX($C440:$S440,17)),0),IFERROR(AVERAGE(INDEX($C440:$S440,Week+1):INDEX($C440:$S440,13)),0))</f>
        <v>7.4928571428571411</v>
      </c>
      <c r="U440" s="2" t="str">
        <f t="shared" si="62"/>
        <v/>
      </c>
      <c r="V440" s="2">
        <f t="shared" si="62"/>
        <v>7.4928571428571411</v>
      </c>
      <c r="W440" s="2" t="str">
        <f t="shared" si="62"/>
        <v/>
      </c>
      <c r="X440" s="2" t="str">
        <f t="shared" si="62"/>
        <v/>
      </c>
      <c r="Y440" s="2" t="str">
        <f t="shared" si="62"/>
        <v/>
      </c>
      <c r="Z440" s="2" t="str">
        <f t="shared" si="62"/>
        <v/>
      </c>
      <c r="AA440" s="23" t="str">
        <f t="shared" si="53"/>
        <v>RB33</v>
      </c>
      <c r="AB440" s="2">
        <f>$T440-VLOOKUP($B440,Scores!$AG$1:$AM$7,5,FALSE)</f>
        <v>-4.2657142857142878</v>
      </c>
      <c r="AC440" s="2">
        <f>$T440-VLOOKUP($B440,Scores!$AG$1:$AM$7,6,FALSE)</f>
        <v>-0.77714285714286024</v>
      </c>
      <c r="AD440" s="2">
        <f>$T440-VLOOKUP($B440,Scores!$AG$1:$AM$7,7,FALSE)+(ROW(A439)/1000000)</f>
        <v>1.624724714285712</v>
      </c>
      <c r="AE440" s="2">
        <f t="array" ref="AE440">IF('ROS Rankings'!$AD$1,IFERROR(AVERAGE(IF(INDEX($C440:$S440,14):INDEX($C440:$S440,17)="NA",0,INDEX($C440:$S440,14):INDEX($C440:$S440,17))-INDEX($AQ$2:$BG$7,MATCH($B440,$AO$2:$AO$7,0),14):INDEX($AQ$2:$BG$7,MATCH($B440,$AO$2:$AO$7,0),17)),0),IFERROR(AVERAGE(IF(INDEX($C440:$S440,Week+1):INDEX($C440:$S440,13)="NA",0,INDEX($C440:$S440,Week+1):INDEX($C440:$S440,13))-INDEX($AQ$2:$BG$7,MATCH($B440,$AO$2:$AO$7,0),Week+1):INDEX($AQ$2:$BG$7,MATCH($B440,$AO$2:$AO$7,0),13)),0))+ROW(A439)/1000000</f>
        <v>1.1966890000000001</v>
      </c>
      <c r="AF440">
        <f t="shared" si="54"/>
        <v>202</v>
      </c>
      <c r="AG440">
        <f t="shared" si="55"/>
        <v>150</v>
      </c>
      <c r="AH440">
        <f t="shared" si="56"/>
        <v>82</v>
      </c>
      <c r="AI440">
        <f t="shared" si="57"/>
        <v>83</v>
      </c>
      <c r="AJ440" s="22" t="str">
        <f>IF(ISERROR(MATCH(A440,Rosters!$B$2:$B$155,0)),AD440,"")</f>
        <v/>
      </c>
      <c r="AK440" t="str">
        <f t="shared" si="58"/>
        <v/>
      </c>
      <c r="AL440" s="23">
        <f>COUNTIF(INDEX($C440:$S440,Week+1):INDEX($C440:$S440,13),"&gt;0")</f>
        <v>7</v>
      </c>
    </row>
    <row r="441" spans="1:38" x14ac:dyDescent="0.25">
      <c r="A441" t="s">
        <v>107</v>
      </c>
      <c r="B441" t="s">
        <v>87</v>
      </c>
      <c r="C441">
        <v>9.75</v>
      </c>
      <c r="D441">
        <v>9.7799999999999994</v>
      </c>
      <c r="E441">
        <v>9.9700000000000006</v>
      </c>
      <c r="F441">
        <v>11.74</v>
      </c>
      <c r="G441">
        <v>0</v>
      </c>
      <c r="H441">
        <v>10.59</v>
      </c>
      <c r="I441">
        <v>11.75</v>
      </c>
      <c r="J441">
        <v>11.7</v>
      </c>
      <c r="K441" t="s">
        <v>64</v>
      </c>
      <c r="L441">
        <v>9.9700000000000006</v>
      </c>
      <c r="M441">
        <v>12.88</v>
      </c>
      <c r="N441">
        <v>12.41</v>
      </c>
      <c r="O441">
        <v>9.69</v>
      </c>
      <c r="P441">
        <v>11.72</v>
      </c>
      <c r="Q441">
        <v>12.75</v>
      </c>
      <c r="R441">
        <v>12.32</v>
      </c>
      <c r="S441">
        <v>12.39</v>
      </c>
      <c r="T441" s="2">
        <f>IF('ROS Rankings'!$AD$1,IFERROR(AVERAGE(INDEX($C441:$S441,14):INDEX($C441:$S441,17)),0),IFERROR(AVERAGE(INDEX($C441:$S441,Week+1):INDEX($C441:$S441,13)),0))</f>
        <v>11.284285714285714</v>
      </c>
      <c r="U441" s="2" t="str">
        <f t="shared" si="62"/>
        <v/>
      </c>
      <c r="V441" s="2" t="str">
        <f t="shared" si="62"/>
        <v/>
      </c>
      <c r="W441" s="2">
        <f t="shared" si="62"/>
        <v>11.284285714285714</v>
      </c>
      <c r="X441" s="2" t="str">
        <f t="shared" si="62"/>
        <v/>
      </c>
      <c r="Y441" s="2" t="str">
        <f t="shared" si="62"/>
        <v/>
      </c>
      <c r="Z441" s="2" t="str">
        <f t="shared" si="62"/>
        <v/>
      </c>
      <c r="AA441" s="23" t="str">
        <f t="shared" si="53"/>
        <v>WR11</v>
      </c>
      <c r="AB441" s="2">
        <f>$T441-VLOOKUP($B441,Scores!$AG$1:$AM$7,5,FALSE)</f>
        <v>0.9128571428571437</v>
      </c>
      <c r="AC441" s="2">
        <f>$T441-VLOOKUP($B441,Scores!$AG$1:$AM$7,6,FALSE)</f>
        <v>3.2528571428571418</v>
      </c>
      <c r="AD441" s="2">
        <f>$T441-VLOOKUP($B441,Scores!$AG$1:$AM$7,7,FALSE)+(ROW(A440)/1000000)</f>
        <v>5.2318685714285715</v>
      </c>
      <c r="AE441" s="2">
        <f t="array" ref="AE441">IF('ROS Rankings'!$AD$1,IFERROR(AVERAGE(IF(INDEX($C441:$S441,14):INDEX($C441:$S441,17)="NA",0,INDEX($C441:$S441,14):INDEX($C441:$S441,17))-INDEX($AQ$2:$BG$7,MATCH($B441,$AO$2:$AO$7,0),14):INDEX($AQ$2:$BG$7,MATCH($B441,$AO$2:$AO$7,0),17)),0),IFERROR(AVERAGE(IF(INDEX($C441:$S441,Week+1):INDEX($C441:$S441,13)="NA",0,INDEX($C441:$S441,Week+1):INDEX($C441:$S441,13))-INDEX($AQ$2:$BG$7,MATCH($B441,$AO$2:$AO$7,0),Week+1):INDEX($AQ$2:$BG$7,MATCH($B441,$AO$2:$AO$7,0),13)),0))+ROW(A440)/1000000</f>
        <v>4.5179400000000003</v>
      </c>
      <c r="AF441">
        <f t="shared" si="54"/>
        <v>26</v>
      </c>
      <c r="AG441">
        <f t="shared" si="55"/>
        <v>27</v>
      </c>
      <c r="AH441">
        <f t="shared" si="56"/>
        <v>24</v>
      </c>
      <c r="AI441">
        <f t="shared" si="57"/>
        <v>26</v>
      </c>
      <c r="AJ441" s="22" t="str">
        <f>IF(ISERROR(MATCH(A441,Rosters!$B$2:$B$155,0)),AD441,"")</f>
        <v/>
      </c>
      <c r="AK441" t="str">
        <f t="shared" si="58"/>
        <v/>
      </c>
      <c r="AL441" s="23">
        <f>COUNTIF(INDEX($C441:$S441,Week+1):INDEX($C441:$S441,13),"&gt;0")</f>
        <v>7</v>
      </c>
    </row>
    <row r="442" spans="1:38" x14ac:dyDescent="0.25">
      <c r="A442" t="s">
        <v>1640</v>
      </c>
      <c r="B442" t="s">
        <v>47</v>
      </c>
      <c r="C442">
        <v>0.28000000000000003</v>
      </c>
      <c r="D442">
        <v>0.28999999999999998</v>
      </c>
      <c r="E442">
        <v>1.99</v>
      </c>
      <c r="F442">
        <v>0.51</v>
      </c>
      <c r="G442">
        <v>0.23</v>
      </c>
      <c r="H442">
        <v>0.22</v>
      </c>
      <c r="I442">
        <v>0.25</v>
      </c>
      <c r="J442">
        <v>0.25</v>
      </c>
      <c r="K442">
        <v>0.21</v>
      </c>
      <c r="L442">
        <v>0.23</v>
      </c>
      <c r="M442" t="s">
        <v>64</v>
      </c>
      <c r="N442">
        <v>0.2</v>
      </c>
      <c r="O442">
        <v>0.23</v>
      </c>
      <c r="P442">
        <v>0.23</v>
      </c>
      <c r="Q442">
        <v>0.26</v>
      </c>
      <c r="R442">
        <v>0.24</v>
      </c>
      <c r="S442">
        <v>0.24</v>
      </c>
      <c r="T442" s="2">
        <f>IF('ROS Rankings'!$AD$1,IFERROR(AVERAGE(INDEX($C442:$S442,14):INDEX($C442:$S442,17)),0),IFERROR(AVERAGE(INDEX($C442:$S442,Week+1):INDEX($C442:$S442,13)),0))</f>
        <v>0.22714285714285712</v>
      </c>
      <c r="U442" s="2" t="str">
        <f t="shared" si="62"/>
        <v/>
      </c>
      <c r="V442" s="2">
        <f t="shared" si="62"/>
        <v>0.22714285714285712</v>
      </c>
      <c r="W442" s="2" t="str">
        <f t="shared" si="62"/>
        <v/>
      </c>
      <c r="X442" s="2" t="str">
        <f t="shared" si="62"/>
        <v/>
      </c>
      <c r="Y442" s="2" t="str">
        <f t="shared" si="62"/>
        <v/>
      </c>
      <c r="Z442" s="2" t="str">
        <f t="shared" si="62"/>
        <v/>
      </c>
      <c r="AA442" s="23" t="str">
        <f t="shared" si="53"/>
        <v>RB131</v>
      </c>
      <c r="AB442" s="2">
        <f>$T442-VLOOKUP($B442,Scores!$AG$1:$AM$7,5,FALSE)</f>
        <v>-11.531428571428572</v>
      </c>
      <c r="AC442" s="2">
        <f>$T442-VLOOKUP($B442,Scores!$AG$1:$AM$7,6,FALSE)</f>
        <v>-8.0428571428571445</v>
      </c>
      <c r="AD442" s="2">
        <f>$T442-VLOOKUP($B442,Scores!$AG$1:$AM$7,7,FALSE)+(ROW(A441)/1000000)</f>
        <v>-5.640987571428572</v>
      </c>
      <c r="AE442" s="2">
        <f t="array" ref="AE442">IF('ROS Rankings'!$AD$1,IFERROR(AVERAGE(IF(INDEX($C442:$S442,14):INDEX($C442:$S442,17)="NA",0,INDEX($C442:$S442,14):INDEX($C442:$S442,17))-INDEX($AQ$2:$BG$7,MATCH($B442,$AO$2:$AO$7,0),14):INDEX($AQ$2:$BG$7,MATCH($B442,$AO$2:$AO$7,0),17)),0),IFERROR(AVERAGE(IF(INDEX($C442:$S442,Week+1):INDEX($C442:$S442,13)="NA",0,INDEX($C442:$S442,Week+1):INDEX($C442:$S442,13))-INDEX($AQ$2:$BG$7,MATCH($B442,$AO$2:$AO$7,0),Week+1):INDEX($AQ$2:$BG$7,MATCH($B442,$AO$2:$AO$7,0),13)),0))+ROW(A441)/1000000</f>
        <v>-5.1608089999999995</v>
      </c>
      <c r="AF442">
        <f t="shared" si="54"/>
        <v>519</v>
      </c>
      <c r="AG442">
        <f t="shared" si="55"/>
        <v>519</v>
      </c>
      <c r="AH442">
        <f t="shared" si="56"/>
        <v>503</v>
      </c>
      <c r="AI442">
        <f t="shared" si="57"/>
        <v>505</v>
      </c>
      <c r="AJ442" s="22">
        <f>IF(ISERROR(MATCH(A442,Rosters!$B$2:$B$155,0)),AD442,"")</f>
        <v>-5.640987571428572</v>
      </c>
      <c r="AK442">
        <f t="shared" si="58"/>
        <v>351</v>
      </c>
      <c r="AL442" s="23">
        <f>COUNTIF(INDEX($C442:$S442,Week+1):INDEX($C442:$S442,13),"&gt;0")</f>
        <v>7</v>
      </c>
    </row>
    <row r="443" spans="1:38" x14ac:dyDescent="0.25">
      <c r="A443" t="s">
        <v>1511</v>
      </c>
      <c r="B443" t="s">
        <v>87</v>
      </c>
      <c r="C443">
        <v>1.34</v>
      </c>
      <c r="D443">
        <v>2.93</v>
      </c>
      <c r="E443">
        <v>1.94</v>
      </c>
      <c r="F443">
        <v>3.73</v>
      </c>
      <c r="G443">
        <v>2.78</v>
      </c>
      <c r="H443">
        <v>2.44</v>
      </c>
      <c r="I443">
        <v>2.89</v>
      </c>
      <c r="J443" t="s">
        <v>64</v>
      </c>
      <c r="K443">
        <v>3.59</v>
      </c>
      <c r="L443">
        <v>3.32</v>
      </c>
      <c r="M443">
        <v>3.65</v>
      </c>
      <c r="N443">
        <v>4.24</v>
      </c>
      <c r="O443">
        <v>2.87</v>
      </c>
      <c r="P443">
        <v>2.39</v>
      </c>
      <c r="Q443">
        <v>2.98</v>
      </c>
      <c r="R443">
        <v>2.78</v>
      </c>
      <c r="S443">
        <v>3.79</v>
      </c>
      <c r="T443" s="2">
        <f>IF('ROS Rankings'!$AD$1,IFERROR(AVERAGE(INDEX($C443:$S443,14):INDEX($C443:$S443,17)),0),IFERROR(AVERAGE(INDEX($C443:$S443,Week+1):INDEX($C443:$S443,13)),0))</f>
        <v>3.285714285714286</v>
      </c>
      <c r="U443" s="2" t="str">
        <f t="shared" si="62"/>
        <v/>
      </c>
      <c r="V443" s="2" t="str">
        <f t="shared" si="62"/>
        <v/>
      </c>
      <c r="W443" s="2">
        <f t="shared" si="62"/>
        <v>3.285714285714286</v>
      </c>
      <c r="X443" s="2" t="str">
        <f t="shared" si="62"/>
        <v/>
      </c>
      <c r="Y443" s="2" t="str">
        <f t="shared" si="62"/>
        <v/>
      </c>
      <c r="Z443" s="2" t="str">
        <f t="shared" si="62"/>
        <v/>
      </c>
      <c r="AA443" s="23" t="str">
        <f t="shared" si="53"/>
        <v>WR91</v>
      </c>
      <c r="AB443" s="2">
        <f>$T443-VLOOKUP($B443,Scores!$AG$1:$AM$7,5,FALSE)</f>
        <v>-7.0857142857142836</v>
      </c>
      <c r="AC443" s="2">
        <f>$T443-VLOOKUP($B443,Scores!$AG$1:$AM$7,6,FALSE)</f>
        <v>-4.7457142857142856</v>
      </c>
      <c r="AD443" s="2">
        <f>$T443-VLOOKUP($B443,Scores!$AG$1:$AM$7,7,FALSE)+(ROW(A442)/1000000)</f>
        <v>-2.7667008571428564</v>
      </c>
      <c r="AE443" s="2">
        <f t="array" ref="AE443">IF('ROS Rankings'!$AD$1,IFERROR(AVERAGE(IF(INDEX($C443:$S443,14):INDEX($C443:$S443,17)="NA",0,INDEX($C443:$S443,14):INDEX($C443:$S443,17))-INDEX($AQ$2:$BG$7,MATCH($B443,$AO$2:$AO$7,0),14):INDEX($AQ$2:$BG$7,MATCH($B443,$AO$2:$AO$7,0),17)),0),IFERROR(AVERAGE(IF(INDEX($C443:$S443,Week+1):INDEX($C443:$S443,13)="NA",0,INDEX($C443:$S443,Week+1):INDEX($C443:$S443,13))-INDEX($AQ$2:$BG$7,MATCH($B443,$AO$2:$AO$7,0),Week+1):INDEX($AQ$2:$BG$7,MATCH($B443,$AO$2:$AO$7,0),13)),0))+ROW(A442)/1000000</f>
        <v>-2.4808080000000001</v>
      </c>
      <c r="AF443">
        <f t="shared" si="54"/>
        <v>350</v>
      </c>
      <c r="AG443">
        <f t="shared" si="55"/>
        <v>332</v>
      </c>
      <c r="AH443">
        <f t="shared" si="56"/>
        <v>282</v>
      </c>
      <c r="AI443">
        <f t="shared" si="57"/>
        <v>267</v>
      </c>
      <c r="AJ443" s="22">
        <f>IF(ISERROR(MATCH(A443,Rosters!$B$2:$B$155,0)),AD443,"")</f>
        <v>-2.7667008571428564</v>
      </c>
      <c r="AK443">
        <f t="shared" si="58"/>
        <v>137</v>
      </c>
      <c r="AL443" s="23">
        <f>COUNTIF(INDEX($C443:$S443,Week+1):INDEX($C443:$S443,13),"&gt;0")</f>
        <v>7</v>
      </c>
    </row>
    <row r="444" spans="1:38" x14ac:dyDescent="0.25">
      <c r="A444" t="s">
        <v>285</v>
      </c>
      <c r="B444" t="s">
        <v>47</v>
      </c>
      <c r="C444">
        <v>4.53</v>
      </c>
      <c r="D444">
        <v>6.11</v>
      </c>
      <c r="E444">
        <v>5.07</v>
      </c>
      <c r="F444">
        <v>3.33</v>
      </c>
      <c r="G444" t="s">
        <v>64</v>
      </c>
      <c r="H444">
        <v>6.28</v>
      </c>
      <c r="I444">
        <v>7.2</v>
      </c>
      <c r="J444">
        <v>6.55</v>
      </c>
      <c r="K444">
        <v>6.13</v>
      </c>
      <c r="L444">
        <v>6.4</v>
      </c>
      <c r="M444">
        <v>7.02</v>
      </c>
      <c r="N444">
        <v>6</v>
      </c>
      <c r="O444">
        <v>6.51</v>
      </c>
      <c r="P444">
        <v>6.41</v>
      </c>
      <c r="Q444">
        <v>6.87</v>
      </c>
      <c r="R444">
        <v>6.37</v>
      </c>
      <c r="S444">
        <v>6.6</v>
      </c>
      <c r="T444" s="2">
        <f>IF('ROS Rankings'!$AD$1,IFERROR(AVERAGE(INDEX($C444:$S444,14):INDEX($C444:$S444,17)),0),IFERROR(AVERAGE(INDEX($C444:$S444,Week+1):INDEX($C444:$S444,13)),0))</f>
        <v>6.5112499999999995</v>
      </c>
      <c r="U444" s="2" t="str">
        <f t="shared" si="62"/>
        <v/>
      </c>
      <c r="V444" s="2">
        <f t="shared" si="62"/>
        <v>6.5112499999999995</v>
      </c>
      <c r="W444" s="2" t="str">
        <f t="shared" si="62"/>
        <v/>
      </c>
      <c r="X444" s="2" t="str">
        <f t="shared" si="62"/>
        <v/>
      </c>
      <c r="Y444" s="2" t="str">
        <f t="shared" si="62"/>
        <v/>
      </c>
      <c r="Z444" s="2" t="str">
        <f t="shared" si="62"/>
        <v/>
      </c>
      <c r="AA444" s="23" t="str">
        <f t="shared" si="53"/>
        <v>RB42</v>
      </c>
      <c r="AB444" s="2">
        <f>$T444-VLOOKUP($B444,Scores!$AG$1:$AM$7,5,FALSE)</f>
        <v>-5.2473214285714294</v>
      </c>
      <c r="AC444" s="2">
        <f>$T444-VLOOKUP($B444,Scores!$AG$1:$AM$7,6,FALSE)</f>
        <v>-1.7587500000000018</v>
      </c>
      <c r="AD444" s="2">
        <f>$T444-VLOOKUP($B444,Scores!$AG$1:$AM$7,7,FALSE)+(ROW(A443)/1000000)</f>
        <v>0.64312157142857029</v>
      </c>
      <c r="AE444" s="2">
        <f t="array" ref="AE444">IF('ROS Rankings'!$AD$1,IFERROR(AVERAGE(IF(INDEX($C444:$S444,14):INDEX($C444:$S444,17)="NA",0,INDEX($C444:$S444,14):INDEX($C444:$S444,17))-INDEX($AQ$2:$BG$7,MATCH($B444,$AO$2:$AO$7,0),14):INDEX($AQ$2:$BG$7,MATCH($B444,$AO$2:$AO$7,0),17)),0),IFERROR(AVERAGE(IF(INDEX($C444:$S444,Week+1):INDEX($C444:$S444,13)="NA",0,INDEX($C444:$S444,Week+1):INDEX($C444:$S444,13))-INDEX($AQ$2:$BG$7,MATCH($B444,$AO$2:$AO$7,0),Week+1):INDEX($AQ$2:$BG$7,MATCH($B444,$AO$2:$AO$7,0),13)),0))+ROW(A443)/1000000</f>
        <v>1.1516930000000001</v>
      </c>
      <c r="AF444">
        <f t="shared" si="54"/>
        <v>245</v>
      </c>
      <c r="AG444">
        <f t="shared" si="55"/>
        <v>190</v>
      </c>
      <c r="AH444">
        <f t="shared" si="56"/>
        <v>113</v>
      </c>
      <c r="AI444">
        <f t="shared" si="57"/>
        <v>86</v>
      </c>
      <c r="AJ444" s="22">
        <f>IF(ISERROR(MATCH(A444,Rosters!$B$2:$B$155,0)),AD444,"")</f>
        <v>0.64312157142857029</v>
      </c>
      <c r="AK444">
        <f t="shared" si="58"/>
        <v>5</v>
      </c>
      <c r="AL444" s="23">
        <f>COUNTIF(INDEX($C444:$S444,Week+1):INDEX($C444:$S444,13),"&gt;0")</f>
        <v>8</v>
      </c>
    </row>
    <row r="445" spans="1:38" x14ac:dyDescent="0.25">
      <c r="A445" t="s">
        <v>190</v>
      </c>
      <c r="B445" t="s">
        <v>87</v>
      </c>
      <c r="C445">
        <v>1.93</v>
      </c>
      <c r="D445">
        <v>1.93</v>
      </c>
      <c r="E445">
        <v>3.06</v>
      </c>
      <c r="F445">
        <v>3.1</v>
      </c>
      <c r="G445">
        <v>2.0499999999999998</v>
      </c>
      <c r="H445">
        <v>2.5499999999999998</v>
      </c>
      <c r="I445">
        <v>2.2200000000000002</v>
      </c>
      <c r="J445" t="s">
        <v>64</v>
      </c>
      <c r="K445">
        <v>2.21</v>
      </c>
      <c r="L445">
        <v>2.76</v>
      </c>
      <c r="M445">
        <v>2.0299999999999998</v>
      </c>
      <c r="N445">
        <v>2.2999999999999998</v>
      </c>
      <c r="O445">
        <v>2.2599999999999998</v>
      </c>
      <c r="P445">
        <v>2.92</v>
      </c>
      <c r="Q445">
        <v>1.98</v>
      </c>
      <c r="R445">
        <v>2.1</v>
      </c>
      <c r="S445">
        <v>2.2200000000000002</v>
      </c>
      <c r="T445" s="2">
        <f>IF('ROS Rankings'!$AD$1,IFERROR(AVERAGE(INDEX($C445:$S445,14):INDEX($C445:$S445,17)),0),IFERROR(AVERAGE(INDEX($C445:$S445,Week+1):INDEX($C445:$S445,13)),0))</f>
        <v>2.3328571428571427</v>
      </c>
      <c r="U445" s="2" t="str">
        <f t="shared" si="62"/>
        <v/>
      </c>
      <c r="V445" s="2" t="str">
        <f t="shared" si="62"/>
        <v/>
      </c>
      <c r="W445" s="2">
        <f t="shared" si="62"/>
        <v>2.3328571428571427</v>
      </c>
      <c r="X445" s="2" t="str">
        <f t="shared" si="62"/>
        <v/>
      </c>
      <c r="Y445" s="2" t="str">
        <f t="shared" si="62"/>
        <v/>
      </c>
      <c r="Z445" s="2" t="str">
        <f t="shared" si="62"/>
        <v/>
      </c>
      <c r="AA445" s="23" t="str">
        <f t="shared" si="53"/>
        <v>WR108</v>
      </c>
      <c r="AB445" s="2">
        <f>$T445-VLOOKUP($B445,Scores!$AG$1:$AM$7,5,FALSE)</f>
        <v>-8.0385714285714265</v>
      </c>
      <c r="AC445" s="2">
        <f>$T445-VLOOKUP($B445,Scores!$AG$1:$AM$7,6,FALSE)</f>
        <v>-5.6985714285714293</v>
      </c>
      <c r="AD445" s="2">
        <f>$T445-VLOOKUP($B445,Scores!$AG$1:$AM$7,7,FALSE)+(ROW(A444)/1000000)</f>
        <v>-3.7195559999999999</v>
      </c>
      <c r="AE445" s="2">
        <f t="array" ref="AE445">IF('ROS Rankings'!$AD$1,IFERROR(AVERAGE(IF(INDEX($C445:$S445,14):INDEX($C445:$S445,17)="NA",0,INDEX($C445:$S445,14):INDEX($C445:$S445,17))-INDEX($AQ$2:$BG$7,MATCH($B445,$AO$2:$AO$7,0),14):INDEX($AQ$2:$BG$7,MATCH($B445,$AO$2:$AO$7,0),17)),0),IFERROR(AVERAGE(IF(INDEX($C445:$S445,Week+1):INDEX($C445:$S445,13)="NA",0,INDEX($C445:$S445,Week+1):INDEX($C445:$S445,13))-INDEX($AQ$2:$BG$7,MATCH($B445,$AO$2:$AO$7,0),Week+1):INDEX($AQ$2:$BG$7,MATCH($B445,$AO$2:$AO$7,0),13)),0))+ROW(A444)/1000000</f>
        <v>-3.3145560000000005</v>
      </c>
      <c r="AF445">
        <f t="shared" si="54"/>
        <v>376</v>
      </c>
      <c r="AG445">
        <f t="shared" si="55"/>
        <v>379</v>
      </c>
      <c r="AH445">
        <f t="shared" si="56"/>
        <v>333</v>
      </c>
      <c r="AI445">
        <f t="shared" si="57"/>
        <v>313</v>
      </c>
      <c r="AJ445" s="22">
        <f>IF(ISERROR(MATCH(A445,Rosters!$B$2:$B$155,0)),AD445,"")</f>
        <v>-3.7195559999999999</v>
      </c>
      <c r="AK445">
        <f t="shared" si="58"/>
        <v>182</v>
      </c>
      <c r="AL445" s="23">
        <f>COUNTIF(INDEX($C445:$S445,Week+1):INDEX($C445:$S445,13),"&gt;0")</f>
        <v>7</v>
      </c>
    </row>
    <row r="446" spans="1:38" x14ac:dyDescent="0.25">
      <c r="A446" t="s">
        <v>237</v>
      </c>
      <c r="B446" t="s">
        <v>87</v>
      </c>
      <c r="C446">
        <v>3.2</v>
      </c>
      <c r="D446">
        <v>2.56</v>
      </c>
      <c r="E446">
        <v>2.2000000000000002</v>
      </c>
      <c r="F446">
        <v>3.31</v>
      </c>
      <c r="G446" t="s">
        <v>64</v>
      </c>
      <c r="H446">
        <v>5.13</v>
      </c>
      <c r="I446">
        <v>4.8600000000000003</v>
      </c>
      <c r="J446">
        <v>5.41</v>
      </c>
      <c r="K446">
        <v>5.3</v>
      </c>
      <c r="L446">
        <v>4.66</v>
      </c>
      <c r="M446">
        <v>5.23</v>
      </c>
      <c r="N446">
        <v>4.55</v>
      </c>
      <c r="O446">
        <v>4.99</v>
      </c>
      <c r="P446">
        <v>4.58</v>
      </c>
      <c r="Q446">
        <v>4.78</v>
      </c>
      <c r="R446">
        <v>4.9000000000000004</v>
      </c>
      <c r="S446">
        <v>5.12</v>
      </c>
      <c r="T446" s="2">
        <f>IF('ROS Rankings'!$AD$1,IFERROR(AVERAGE(INDEX($C446:$S446,14):INDEX($C446:$S446,17)),0),IFERROR(AVERAGE(INDEX($C446:$S446,Week+1):INDEX($C446:$S446,13)),0))</f>
        <v>5.0162500000000003</v>
      </c>
      <c r="U446" s="2" t="str">
        <f t="shared" si="62"/>
        <v/>
      </c>
      <c r="V446" s="2" t="str">
        <f t="shared" si="62"/>
        <v/>
      </c>
      <c r="W446" s="2">
        <f t="shared" si="62"/>
        <v>5.0162500000000003</v>
      </c>
      <c r="X446" s="2" t="str">
        <f t="shared" si="62"/>
        <v/>
      </c>
      <c r="Y446" s="2" t="str">
        <f t="shared" si="62"/>
        <v/>
      </c>
      <c r="Z446" s="2" t="str">
        <f t="shared" si="62"/>
        <v/>
      </c>
      <c r="AA446" s="23" t="str">
        <f t="shared" si="53"/>
        <v>WR62</v>
      </c>
      <c r="AB446" s="2">
        <f>$T446-VLOOKUP($B446,Scores!$AG$1:$AM$7,5,FALSE)</f>
        <v>-5.3551785714285698</v>
      </c>
      <c r="AC446" s="2">
        <f>$T446-VLOOKUP($B446,Scores!$AG$1:$AM$7,6,FALSE)</f>
        <v>-3.0151785714285717</v>
      </c>
      <c r="AD446" s="2">
        <f>$T446-VLOOKUP($B446,Scores!$AG$1:$AM$7,7,FALSE)+(ROW(A445)/1000000)</f>
        <v>-1.0361621428571421</v>
      </c>
      <c r="AE446" s="2">
        <f t="array" ref="AE446">IF('ROS Rankings'!$AD$1,IFERROR(AVERAGE(IF(INDEX($C446:$S446,14):INDEX($C446:$S446,17)="NA",0,INDEX($C446:$S446,14):INDEX($C446:$S446,17))-INDEX($AQ$2:$BG$7,MATCH($B446,$AO$2:$AO$7,0),14):INDEX($AQ$2:$BG$7,MATCH($B446,$AO$2:$AO$7,0),17)),0),IFERROR(AVERAGE(IF(INDEX($C446:$S446,Week+1):INDEX($C446:$S446,13)="NA",0,INDEX($C446:$S446,Week+1):INDEX($C446:$S446,13))-INDEX($AQ$2:$BG$7,MATCH($B446,$AO$2:$AO$7,0),Week+1):INDEX($AQ$2:$BG$7,MATCH($B446,$AO$2:$AO$7,0),13)),0))+ROW(A445)/1000000</f>
        <v>-0.339555</v>
      </c>
      <c r="AF446">
        <f t="shared" si="54"/>
        <v>252</v>
      </c>
      <c r="AG446">
        <f t="shared" si="55"/>
        <v>250</v>
      </c>
      <c r="AH446">
        <f t="shared" si="56"/>
        <v>202</v>
      </c>
      <c r="AI446">
        <f t="shared" si="57"/>
        <v>137</v>
      </c>
      <c r="AJ446" s="22">
        <f>IF(ISERROR(MATCH(A446,Rosters!$B$2:$B$155,0)),AD446,"")</f>
        <v>-1.0361621428571421</v>
      </c>
      <c r="AK446">
        <f t="shared" si="58"/>
        <v>66</v>
      </c>
      <c r="AL446" s="23">
        <f>COUNTIF(INDEX($C446:$S446,Week+1):INDEX($C446:$S446,13),"&gt;0")</f>
        <v>8</v>
      </c>
    </row>
    <row r="447" spans="1:38" x14ac:dyDescent="0.25">
      <c r="A447" t="s">
        <v>1645</v>
      </c>
      <c r="B447" t="s">
        <v>15</v>
      </c>
      <c r="C447">
        <v>0</v>
      </c>
      <c r="D447">
        <v>0</v>
      </c>
      <c r="E447">
        <v>0</v>
      </c>
      <c r="F447" t="s">
        <v>64</v>
      </c>
      <c r="G447">
        <v>0</v>
      </c>
      <c r="H447">
        <v>0</v>
      </c>
      <c r="I447">
        <v>0</v>
      </c>
      <c r="J447">
        <v>0</v>
      </c>
      <c r="K447">
        <v>0</v>
      </c>
      <c r="L447">
        <v>0</v>
      </c>
      <c r="M447">
        <v>0</v>
      </c>
      <c r="N447">
        <v>0</v>
      </c>
      <c r="O447">
        <v>0</v>
      </c>
      <c r="P447">
        <v>0</v>
      </c>
      <c r="Q447">
        <v>0</v>
      </c>
      <c r="R447">
        <v>0</v>
      </c>
      <c r="S447">
        <v>0</v>
      </c>
      <c r="T447" s="2">
        <f>IF('ROS Rankings'!$AD$1,IFERROR(AVERAGE(INDEX($C447:$S447,14):INDEX($C447:$S447,17)),0),IFERROR(AVERAGE(INDEX($C447:$S447,Week+1):INDEX($C447:$S447,13)),0))</f>
        <v>0</v>
      </c>
      <c r="U447" s="2">
        <f t="shared" si="62"/>
        <v>0</v>
      </c>
      <c r="V447" s="2" t="str">
        <f t="shared" si="62"/>
        <v/>
      </c>
      <c r="W447" s="2" t="str">
        <f t="shared" si="62"/>
        <v/>
      </c>
      <c r="X447" s="2" t="str">
        <f t="shared" si="62"/>
        <v/>
      </c>
      <c r="Y447" s="2" t="str">
        <f t="shared" si="62"/>
        <v/>
      </c>
      <c r="Z447" s="2" t="str">
        <f t="shared" si="62"/>
        <v/>
      </c>
      <c r="AA447" s="23" t="str">
        <f t="shared" si="53"/>
        <v>QB60</v>
      </c>
      <c r="AB447" s="2">
        <f>$T447-VLOOKUP($B447,Scores!$AG$1:$AM$7,5,FALSE)</f>
        <v>-20.884285714285713</v>
      </c>
      <c r="AC447" s="2">
        <f>$T447-VLOOKUP($B447,Scores!$AG$1:$AM$7,6,FALSE)</f>
        <v>-19.903749999999999</v>
      </c>
      <c r="AD447" s="2">
        <f>$T447-VLOOKUP($B447,Scores!$AG$1:$AM$7,7,FALSE)+(ROW(A446)/1000000)</f>
        <v>-19.499553999999996</v>
      </c>
      <c r="AE447" s="2">
        <f t="array" ref="AE447">IF('ROS Rankings'!$AD$1,IFERROR(AVERAGE(IF(INDEX($C447:$S447,14):INDEX($C447:$S447,17)="NA",0,INDEX($C447:$S447,14):INDEX($C447:$S447,17))-INDEX($AQ$2:$BG$7,MATCH($B447,$AO$2:$AO$7,0),14):INDEX($AQ$2:$BG$7,MATCH($B447,$AO$2:$AO$7,0),17)),0),IFERROR(AVERAGE(IF(INDEX($C447:$S447,Week+1):INDEX($C447:$S447,13)="NA",0,INDEX($C447:$S447,Week+1):INDEX($C447:$S447,13))-INDEX($AQ$2:$BG$7,MATCH($B447,$AO$2:$AO$7,0),Week+1):INDEX($AQ$2:$BG$7,MATCH($B447,$AO$2:$AO$7,0),13)),0))+ROW(A446)/1000000</f>
        <v>-18.502054000000001</v>
      </c>
      <c r="AF447">
        <f t="shared" si="54"/>
        <v>551</v>
      </c>
      <c r="AG447">
        <f t="shared" si="55"/>
        <v>551</v>
      </c>
      <c r="AH447">
        <f t="shared" si="56"/>
        <v>551</v>
      </c>
      <c r="AI447">
        <f t="shared" si="57"/>
        <v>551</v>
      </c>
      <c r="AJ447" s="22">
        <f>IF(ISERROR(MATCH(A447,Rosters!$B$2:$B$155,0)),AD447,"")</f>
        <v>-19.499553999999996</v>
      </c>
      <c r="AK447">
        <f t="shared" si="58"/>
        <v>398</v>
      </c>
      <c r="AL447" s="23">
        <f>COUNTIF(INDEX($C447:$S447,Week+1):INDEX($C447:$S447,13),"&gt;0")</f>
        <v>0</v>
      </c>
    </row>
    <row r="448" spans="1:38" x14ac:dyDescent="0.25">
      <c r="A448" t="s">
        <v>1646</v>
      </c>
      <c r="B448" t="s">
        <v>15</v>
      </c>
      <c r="C448">
        <v>0</v>
      </c>
      <c r="D448">
        <v>0</v>
      </c>
      <c r="E448">
        <v>0</v>
      </c>
      <c r="F448">
        <v>0</v>
      </c>
      <c r="G448">
        <v>2.2000000000000002</v>
      </c>
      <c r="H448" t="s">
        <v>64</v>
      </c>
      <c r="I448">
        <v>2.33</v>
      </c>
      <c r="J448">
        <v>2.25</v>
      </c>
      <c r="K448">
        <v>2.16</v>
      </c>
      <c r="L448">
        <v>2.27</v>
      </c>
      <c r="M448">
        <v>2.4</v>
      </c>
      <c r="N448">
        <v>3.15</v>
      </c>
      <c r="O448">
        <v>2.19</v>
      </c>
      <c r="P448">
        <v>2.37</v>
      </c>
      <c r="Q448">
        <v>2.19</v>
      </c>
      <c r="R448">
        <v>2.31</v>
      </c>
      <c r="S448">
        <v>2.99</v>
      </c>
      <c r="T448" s="2">
        <f>IF('ROS Rankings'!$AD$1,IFERROR(AVERAGE(INDEX($C448:$S448,14):INDEX($C448:$S448,17)),0),IFERROR(AVERAGE(INDEX($C448:$S448,Week+1):INDEX($C448:$S448,13)),0))</f>
        <v>2.3928571428571428</v>
      </c>
      <c r="U448" s="2">
        <f t="shared" si="62"/>
        <v>2.3928571428571428</v>
      </c>
      <c r="V448" s="2" t="str">
        <f t="shared" si="62"/>
        <v/>
      </c>
      <c r="W448" s="2" t="str">
        <f t="shared" si="62"/>
        <v/>
      </c>
      <c r="X448" s="2" t="str">
        <f t="shared" si="62"/>
        <v/>
      </c>
      <c r="Y448" s="2" t="str">
        <f t="shared" si="62"/>
        <v/>
      </c>
      <c r="Z448" s="2" t="str">
        <f t="shared" si="62"/>
        <v/>
      </c>
      <c r="AA448" s="23" t="str">
        <f t="shared" si="53"/>
        <v>QB34</v>
      </c>
      <c r="AB448" s="2">
        <f>$T448-VLOOKUP($B448,Scores!$AG$1:$AM$7,5,FALSE)</f>
        <v>-18.491428571428571</v>
      </c>
      <c r="AC448" s="2">
        <f>$T448-VLOOKUP($B448,Scores!$AG$1:$AM$7,6,FALSE)</f>
        <v>-17.510892857142856</v>
      </c>
      <c r="AD448" s="2">
        <f>$T448-VLOOKUP($B448,Scores!$AG$1:$AM$7,7,FALSE)+(ROW(A447)/1000000)</f>
        <v>-17.106695857142853</v>
      </c>
      <c r="AE448" s="2">
        <f t="array" ref="AE448">IF('ROS Rankings'!$AD$1,IFERROR(AVERAGE(IF(INDEX($C448:$S448,14):INDEX($C448:$S448,17)="NA",0,INDEX($C448:$S448,14):INDEX($C448:$S448,17))-INDEX($AQ$2:$BG$7,MATCH($B448,$AO$2:$AO$7,0),14):INDEX($AQ$2:$BG$7,MATCH($B448,$AO$2:$AO$7,0),17)),0),IFERROR(AVERAGE(IF(INDEX($C448:$S448,Week+1):INDEX($C448:$S448,13)="NA",0,INDEX($C448:$S448,Week+1):INDEX($C448:$S448,13))-INDEX($AQ$2:$BG$7,MATCH($B448,$AO$2:$AO$7,0),Week+1):INDEX($AQ$2:$BG$7,MATCH($B448,$AO$2:$AO$7,0),13)),0))+ROW(A447)/1000000</f>
        <v>-16.408302999999997</v>
      </c>
      <c r="AF448">
        <f t="shared" si="54"/>
        <v>525</v>
      </c>
      <c r="AG448">
        <f t="shared" si="55"/>
        <v>525</v>
      </c>
      <c r="AH448">
        <f t="shared" si="56"/>
        <v>525</v>
      </c>
      <c r="AI448">
        <f t="shared" si="57"/>
        <v>525</v>
      </c>
      <c r="AJ448" s="22">
        <f>IF(ISERROR(MATCH(A448,Rosters!$B$2:$B$155,0)),AD448,"")</f>
        <v>-17.106695857142853</v>
      </c>
      <c r="AK448">
        <f t="shared" si="58"/>
        <v>372</v>
      </c>
      <c r="AL448" s="23">
        <f>COUNTIF(INDEX($C448:$S448,Week+1):INDEX($C448:$S448,13),"&gt;0")</f>
        <v>7</v>
      </c>
    </row>
    <row r="449" spans="1:38" x14ac:dyDescent="0.25">
      <c r="A449" t="s">
        <v>303</v>
      </c>
      <c r="B449" t="s">
        <v>87</v>
      </c>
      <c r="C449">
        <v>5.31</v>
      </c>
      <c r="D449">
        <v>1.76</v>
      </c>
      <c r="E449">
        <v>2.67</v>
      </c>
      <c r="F449">
        <v>5.15</v>
      </c>
      <c r="G449">
        <v>6</v>
      </c>
      <c r="H449">
        <v>5.9</v>
      </c>
      <c r="I449">
        <v>5.05</v>
      </c>
      <c r="J449" t="s">
        <v>64</v>
      </c>
      <c r="K449">
        <v>7.46</v>
      </c>
      <c r="L449">
        <v>5.81</v>
      </c>
      <c r="M449">
        <v>7.25</v>
      </c>
      <c r="N449">
        <v>7.65</v>
      </c>
      <c r="O449">
        <v>6.4</v>
      </c>
      <c r="P449">
        <v>6.88</v>
      </c>
      <c r="Q449">
        <v>5.63</v>
      </c>
      <c r="R449">
        <v>5.91</v>
      </c>
      <c r="S449">
        <v>7.52</v>
      </c>
      <c r="T449" s="2">
        <f>IF('ROS Rankings'!$AD$1,IFERROR(AVERAGE(INDEX($C449:$S449,14):INDEX($C449:$S449,17)),0),IFERROR(AVERAGE(INDEX($C449:$S449,Week+1):INDEX($C449:$S449,13)),0))</f>
        <v>6.5028571428571427</v>
      </c>
      <c r="U449" s="2" t="str">
        <f t="shared" si="62"/>
        <v/>
      </c>
      <c r="V449" s="2" t="str">
        <f t="shared" si="62"/>
        <v/>
      </c>
      <c r="W449" s="2">
        <f t="shared" si="62"/>
        <v>6.5028571428571427</v>
      </c>
      <c r="X449" s="2" t="str">
        <f t="shared" si="62"/>
        <v/>
      </c>
      <c r="Y449" s="2" t="str">
        <f t="shared" si="62"/>
        <v/>
      </c>
      <c r="Z449" s="2" t="str">
        <f t="shared" si="62"/>
        <v/>
      </c>
      <c r="AA449" s="23" t="str">
        <f t="shared" si="53"/>
        <v>WR50</v>
      </c>
      <c r="AB449" s="2">
        <f>$T449-VLOOKUP($B449,Scores!$AG$1:$AM$7,5,FALSE)</f>
        <v>-3.8685714285714274</v>
      </c>
      <c r="AC449" s="2">
        <f>$T449-VLOOKUP($B449,Scores!$AG$1:$AM$7,6,FALSE)</f>
        <v>-1.5285714285714294</v>
      </c>
      <c r="AD449" s="2">
        <f>$T449-VLOOKUP($B449,Scores!$AG$1:$AM$7,7,FALSE)+(ROW(A448)/1000000)</f>
        <v>0.45044800000000018</v>
      </c>
      <c r="AE449" s="2">
        <f t="array" ref="AE449">IF('ROS Rankings'!$AD$1,IFERROR(AVERAGE(IF(INDEX($C449:$S449,14):INDEX($C449:$S449,17)="NA",0,INDEX($C449:$S449,14):INDEX($C449:$S449,17))-INDEX($AQ$2:$BG$7,MATCH($B449,$AO$2:$AO$7,0),14):INDEX($AQ$2:$BG$7,MATCH($B449,$AO$2:$AO$7,0),17)),0),IFERROR(AVERAGE(IF(INDEX($C449:$S449,Week+1):INDEX($C449:$S449,13)="NA",0,INDEX($C449:$S449,Week+1):INDEX($C449:$S449,13))-INDEX($AQ$2:$BG$7,MATCH($B449,$AO$2:$AO$7,0),Week+1):INDEX($AQ$2:$BG$7,MATCH($B449,$AO$2:$AO$7,0),13)),0))+ROW(A448)/1000000</f>
        <v>0.334198</v>
      </c>
      <c r="AF449">
        <f t="shared" si="54"/>
        <v>182</v>
      </c>
      <c r="AG449">
        <f t="shared" si="55"/>
        <v>181</v>
      </c>
      <c r="AH449">
        <f t="shared" si="56"/>
        <v>121</v>
      </c>
      <c r="AI449">
        <f t="shared" si="57"/>
        <v>107</v>
      </c>
      <c r="AJ449" s="22">
        <f>IF(ISERROR(MATCH(A449,Rosters!$B$2:$B$155,0)),AD449,"")</f>
        <v>0.45044800000000018</v>
      </c>
      <c r="AK449">
        <f t="shared" si="58"/>
        <v>10</v>
      </c>
      <c r="AL449" s="23">
        <f>COUNTIF(INDEX($C449:$S449,Week+1):INDEX($C449:$S449,13),"&gt;0")</f>
        <v>7</v>
      </c>
    </row>
    <row r="450" spans="1:38" x14ac:dyDescent="0.25">
      <c r="A450" t="s">
        <v>168</v>
      </c>
      <c r="B450" t="s">
        <v>87</v>
      </c>
      <c r="C450">
        <v>6.73</v>
      </c>
      <c r="D450">
        <v>6.84</v>
      </c>
      <c r="E450">
        <v>6</v>
      </c>
      <c r="F450">
        <v>6.36</v>
      </c>
      <c r="G450">
        <v>5.92</v>
      </c>
      <c r="H450" t="s">
        <v>64</v>
      </c>
      <c r="I450">
        <v>5.29</v>
      </c>
      <c r="J450">
        <v>6.27</v>
      </c>
      <c r="K450">
        <v>5.91</v>
      </c>
      <c r="L450">
        <v>5.92</v>
      </c>
      <c r="M450">
        <v>5.51</v>
      </c>
      <c r="N450">
        <v>7.12</v>
      </c>
      <c r="O450">
        <v>7.56</v>
      </c>
      <c r="P450">
        <v>7.13</v>
      </c>
      <c r="Q450">
        <v>5.36</v>
      </c>
      <c r="R450">
        <v>5.56</v>
      </c>
      <c r="S450">
        <v>5.51</v>
      </c>
      <c r="T450" s="2">
        <f>IF('ROS Rankings'!$AD$1,IFERROR(AVERAGE(INDEX($C450:$S450,14):INDEX($C450:$S450,17)),0),IFERROR(AVERAGE(INDEX($C450:$S450,Week+1):INDEX($C450:$S450,13)),0))</f>
        <v>6.2257142857142851</v>
      </c>
      <c r="U450" s="2" t="str">
        <f t="shared" si="62"/>
        <v/>
      </c>
      <c r="V450" s="2" t="str">
        <f t="shared" si="62"/>
        <v/>
      </c>
      <c r="W450" s="2">
        <f t="shared" si="62"/>
        <v>6.2257142857142851</v>
      </c>
      <c r="X450" s="2" t="str">
        <f t="shared" si="62"/>
        <v/>
      </c>
      <c r="Y450" s="2" t="str">
        <f t="shared" si="62"/>
        <v/>
      </c>
      <c r="Z450" s="2" t="str">
        <f t="shared" si="62"/>
        <v/>
      </c>
      <c r="AA450" s="23" t="str">
        <f t="shared" si="53"/>
        <v>WR51</v>
      </c>
      <c r="AB450" s="2">
        <f>$T450-VLOOKUP($B450,Scores!$AG$1:$AM$7,5,FALSE)</f>
        <v>-4.145714285714285</v>
      </c>
      <c r="AC450" s="2">
        <f>$T450-VLOOKUP($B450,Scores!$AG$1:$AM$7,6,FALSE)</f>
        <v>-1.8057142857142869</v>
      </c>
      <c r="AD450" s="2">
        <f>$T450-VLOOKUP($B450,Scores!$AG$1:$AM$7,7,FALSE)+(ROW(A449)/1000000)</f>
        <v>0.1733061428571426</v>
      </c>
      <c r="AE450" s="2">
        <f t="array" ref="AE450">IF('ROS Rankings'!$AD$1,IFERROR(AVERAGE(IF(INDEX($C450:$S450,14):INDEX($C450:$S450,17)="NA",0,INDEX($C450:$S450,14):INDEX($C450:$S450,17))-INDEX($AQ$2:$BG$7,MATCH($B450,$AO$2:$AO$7,0),14):INDEX($AQ$2:$BG$7,MATCH($B450,$AO$2:$AO$7,0),17)),0),IFERROR(AVERAGE(IF(INDEX($C450:$S450,Week+1):INDEX($C450:$S450,13)="NA",0,INDEX($C450:$S450,Week+1):INDEX($C450:$S450,13))-INDEX($AQ$2:$BG$7,MATCH($B450,$AO$2:$AO$7,0),Week+1):INDEX($AQ$2:$BG$7,MATCH($B450,$AO$2:$AO$7,0),13)),0))+ROW(A449)/1000000</f>
        <v>9.1698999999999836E-2</v>
      </c>
      <c r="AF450">
        <f t="shared" si="54"/>
        <v>194</v>
      </c>
      <c r="AG450">
        <f t="shared" si="55"/>
        <v>191</v>
      </c>
      <c r="AH450">
        <f t="shared" si="56"/>
        <v>132</v>
      </c>
      <c r="AI450">
        <f t="shared" si="57"/>
        <v>115</v>
      </c>
      <c r="AJ450" s="22">
        <f>IF(ISERROR(MATCH(A450,Rosters!$B$2:$B$155,0)),AD450,"")</f>
        <v>0.1733061428571426</v>
      </c>
      <c r="AK450">
        <f t="shared" si="58"/>
        <v>13</v>
      </c>
      <c r="AL450" s="23">
        <f>COUNTIF(INDEX($C450:$S450,Week+1):INDEX($C450:$S450,13),"&gt;0")</f>
        <v>7</v>
      </c>
    </row>
    <row r="451" spans="1:38" x14ac:dyDescent="0.25">
      <c r="A451" t="s">
        <v>745</v>
      </c>
      <c r="B451" t="s">
        <v>15</v>
      </c>
      <c r="C451">
        <v>0.53</v>
      </c>
      <c r="D451">
        <v>0.59</v>
      </c>
      <c r="E451">
        <v>0.5</v>
      </c>
      <c r="F451">
        <v>0.38</v>
      </c>
      <c r="G451">
        <v>0.61</v>
      </c>
      <c r="H451" t="s">
        <v>64</v>
      </c>
      <c r="I451">
        <v>0.45</v>
      </c>
      <c r="J451">
        <v>0.44</v>
      </c>
      <c r="K451">
        <v>0.57999999999999996</v>
      </c>
      <c r="L451">
        <v>0.51</v>
      </c>
      <c r="M451">
        <v>0.45</v>
      </c>
      <c r="N451">
        <v>0.6</v>
      </c>
      <c r="O451">
        <v>0.56000000000000005</v>
      </c>
      <c r="P451">
        <v>0.57999999999999996</v>
      </c>
      <c r="Q451">
        <v>0.46</v>
      </c>
      <c r="R451">
        <v>0.54</v>
      </c>
      <c r="S451">
        <v>0.48</v>
      </c>
      <c r="T451" s="2">
        <f>IF('ROS Rankings'!$AD$1,IFERROR(AVERAGE(INDEX($C451:$S451,14):INDEX($C451:$S451,17)),0),IFERROR(AVERAGE(INDEX($C451:$S451,Week+1):INDEX($C451:$S451,13)),0))</f>
        <v>0.5128571428571429</v>
      </c>
      <c r="U451" s="2">
        <f t="shared" si="62"/>
        <v>0.5128571428571429</v>
      </c>
      <c r="V451" s="2" t="str">
        <f t="shared" si="62"/>
        <v/>
      </c>
      <c r="W451" s="2" t="str">
        <f t="shared" si="62"/>
        <v/>
      </c>
      <c r="X451" s="2" t="str">
        <f t="shared" si="62"/>
        <v/>
      </c>
      <c r="Y451" s="2" t="str">
        <f t="shared" si="62"/>
        <v/>
      </c>
      <c r="Z451" s="2" t="str">
        <f t="shared" si="62"/>
        <v/>
      </c>
      <c r="AA451" s="23" t="str">
        <f t="shared" ref="AA451:AA514" si="63">$B451&amp;_xlfn.RANK.EQ($T451,INDEX($U$2:$Z$561,,MATCH($B451,$U$1:$Z$1,0)),0)</f>
        <v>QB56</v>
      </c>
      <c r="AB451" s="2">
        <f>$T451-VLOOKUP($B451,Scores!$AG$1:$AM$7,5,FALSE)</f>
        <v>-20.37142857142857</v>
      </c>
      <c r="AC451" s="2">
        <f>$T451-VLOOKUP($B451,Scores!$AG$1:$AM$7,6,FALSE)</f>
        <v>-19.390892857142855</v>
      </c>
      <c r="AD451" s="2">
        <f>$T451-VLOOKUP($B451,Scores!$AG$1:$AM$7,7,FALSE)+(ROW(A450)/1000000)</f>
        <v>-18.986692857142852</v>
      </c>
      <c r="AE451" s="2">
        <f t="array" ref="AE451">IF('ROS Rankings'!$AD$1,IFERROR(AVERAGE(IF(INDEX($C451:$S451,14):INDEX($C451:$S451,17)="NA",0,INDEX($C451:$S451,14):INDEX($C451:$S451,17))-INDEX($AQ$2:$BG$7,MATCH($B451,$AO$2:$AO$7,0),14):INDEX($AQ$2:$BG$7,MATCH($B451,$AO$2:$AO$7,0),17)),0),IFERROR(AVERAGE(IF(INDEX($C451:$S451,Week+1):INDEX($C451:$S451,13)="NA",0,INDEX($C451:$S451,Week+1):INDEX($C451:$S451,13))-INDEX($AQ$2:$BG$7,MATCH($B451,$AO$2:$AO$7,0),Week+1):INDEX($AQ$2:$BG$7,MATCH($B451,$AO$2:$AO$7,0),13)),0))+ROW(A450)/1000000</f>
        <v>-18.053299999999997</v>
      </c>
      <c r="AF451">
        <f t="shared" ref="AF451:AF514" si="64">_xlfn.RANK.EQ(AB451,AB$2:AB$561,0)</f>
        <v>547</v>
      </c>
      <c r="AG451">
        <f t="shared" ref="AG451:AG514" si="65">_xlfn.RANK.EQ(AC451,AC$2:AC$561,0)</f>
        <v>547</v>
      </c>
      <c r="AH451">
        <f t="shared" ref="AH451:AH514" si="66">_xlfn.RANK.EQ(AD451,AD$2:AD$561,0)</f>
        <v>547</v>
      </c>
      <c r="AI451">
        <f t="shared" ref="AI451:AI514" si="67">_xlfn.RANK.EQ(AE451,AE$2:AE$561,0)</f>
        <v>547</v>
      </c>
      <c r="AJ451" s="22">
        <f>IF(ISERROR(MATCH(A451,Rosters!$B$2:$B$155,0)),AD451,"")</f>
        <v>-18.986692857142852</v>
      </c>
      <c r="AK451">
        <f t="shared" ref="AK451:AK514" si="68">IFERROR(_xlfn.RANK.EQ(AJ451,$AJ$2:$AJ$561,0),"")</f>
        <v>394</v>
      </c>
      <c r="AL451" s="23">
        <f>COUNTIF(INDEX($C451:$S451,Week+1):INDEX($C451:$S451,13),"&gt;0")</f>
        <v>7</v>
      </c>
    </row>
    <row r="452" spans="1:38" x14ac:dyDescent="0.25">
      <c r="A452" t="s">
        <v>222</v>
      </c>
      <c r="B452" t="s">
        <v>87</v>
      </c>
      <c r="C452">
        <v>3.66</v>
      </c>
      <c r="D452">
        <v>2.88</v>
      </c>
      <c r="E452">
        <v>0.95</v>
      </c>
      <c r="F452">
        <v>0</v>
      </c>
      <c r="G452">
        <v>0.39</v>
      </c>
      <c r="H452">
        <v>0.35</v>
      </c>
      <c r="I452">
        <v>0.36</v>
      </c>
      <c r="J452" t="s">
        <v>64</v>
      </c>
      <c r="K452">
        <v>0.3</v>
      </c>
      <c r="L452">
        <v>0.32</v>
      </c>
      <c r="M452">
        <v>0.28999999999999998</v>
      </c>
      <c r="N452">
        <v>0.36</v>
      </c>
      <c r="O452">
        <v>0.24</v>
      </c>
      <c r="P452">
        <v>0.32</v>
      </c>
      <c r="Q452">
        <v>0.28000000000000003</v>
      </c>
      <c r="R452">
        <v>0.4</v>
      </c>
      <c r="S452">
        <v>0.33</v>
      </c>
      <c r="T452" s="2">
        <f>IF('ROS Rankings'!$AD$1,IFERROR(AVERAGE(INDEX($C452:$S452,14):INDEX($C452:$S452,17)),0),IFERROR(AVERAGE(INDEX($C452:$S452,Week+1):INDEX($C452:$S452,13)),0))</f>
        <v>0.31714285714285712</v>
      </c>
      <c r="U452" s="2" t="str">
        <f t="shared" si="62"/>
        <v/>
      </c>
      <c r="V452" s="2" t="str">
        <f t="shared" si="62"/>
        <v/>
      </c>
      <c r="W452" s="2">
        <f t="shared" si="62"/>
        <v>0.31714285714285712</v>
      </c>
      <c r="X452" s="2" t="str">
        <f t="shared" si="62"/>
        <v/>
      </c>
      <c r="Y452" s="2" t="str">
        <f t="shared" si="62"/>
        <v/>
      </c>
      <c r="Z452" s="2" t="str">
        <f t="shared" si="62"/>
        <v/>
      </c>
      <c r="AA452" s="23" t="str">
        <f t="shared" si="63"/>
        <v>WR178</v>
      </c>
      <c r="AB452" s="2">
        <f>$T452-VLOOKUP($B452,Scores!$AG$1:$AM$7,5,FALSE)</f>
        <v>-10.054285714285713</v>
      </c>
      <c r="AC452" s="2">
        <f>$T452-VLOOKUP($B452,Scores!$AG$1:$AM$7,6,FALSE)</f>
        <v>-7.7142857142857153</v>
      </c>
      <c r="AD452" s="2">
        <f>$T452-VLOOKUP($B452,Scores!$AG$1:$AM$7,7,FALSE)+(ROW(A451)/1000000)</f>
        <v>-5.7352632857142858</v>
      </c>
      <c r="AE452" s="2">
        <f t="array" ref="AE452">IF('ROS Rankings'!$AD$1,IFERROR(AVERAGE(IF(INDEX($C452:$S452,14):INDEX($C452:$S452,17)="NA",0,INDEX($C452:$S452,14):INDEX($C452:$S452,17))-INDEX($AQ$2:$BG$7,MATCH($B452,$AO$2:$AO$7,0),14):INDEX($AQ$2:$BG$7,MATCH($B452,$AO$2:$AO$7,0),17)),0),IFERROR(AVERAGE(IF(INDEX($C452:$S452,Week+1):INDEX($C452:$S452,13)="NA",0,INDEX($C452:$S452,Week+1):INDEX($C452:$S452,13))-INDEX($AQ$2:$BG$7,MATCH($B452,$AO$2:$AO$7,0),Week+1):INDEX($AQ$2:$BG$7,MATCH($B452,$AO$2:$AO$7,0),13)),0))+ROW(A451)/1000000</f>
        <v>-5.0782990000000003</v>
      </c>
      <c r="AF452">
        <f t="shared" si="64"/>
        <v>459</v>
      </c>
      <c r="AG452">
        <f t="shared" si="65"/>
        <v>488</v>
      </c>
      <c r="AH452">
        <f t="shared" si="66"/>
        <v>510</v>
      </c>
      <c r="AI452">
        <f t="shared" si="67"/>
        <v>497</v>
      </c>
      <c r="AJ452" s="22">
        <f>IF(ISERROR(MATCH(A452,Rosters!$B$2:$B$155,0)),AD452,"")</f>
        <v>-5.7352632857142858</v>
      </c>
      <c r="AK452">
        <f t="shared" si="68"/>
        <v>358</v>
      </c>
      <c r="AL452" s="23">
        <f>COUNTIF(INDEX($C452:$S452,Week+1):INDEX($C452:$S452,13),"&gt;0")</f>
        <v>7</v>
      </c>
    </row>
    <row r="453" spans="1:38" x14ac:dyDescent="0.25">
      <c r="A453" t="s">
        <v>143</v>
      </c>
      <c r="B453" t="s">
        <v>87</v>
      </c>
      <c r="C453">
        <v>3.17</v>
      </c>
      <c r="D453">
        <v>3.67</v>
      </c>
      <c r="E453">
        <v>4.2699999999999996</v>
      </c>
      <c r="F453">
        <v>4.03</v>
      </c>
      <c r="G453">
        <v>4.67</v>
      </c>
      <c r="H453">
        <v>5.67</v>
      </c>
      <c r="I453">
        <v>4.49</v>
      </c>
      <c r="J453">
        <v>3.92</v>
      </c>
      <c r="K453">
        <v>5.17</v>
      </c>
      <c r="L453">
        <v>3.31</v>
      </c>
      <c r="M453" t="s">
        <v>64</v>
      </c>
      <c r="N453">
        <v>4.3499999999999996</v>
      </c>
      <c r="O453">
        <v>6.39</v>
      </c>
      <c r="P453">
        <v>3.31</v>
      </c>
      <c r="Q453">
        <v>6.11</v>
      </c>
      <c r="R453">
        <v>5.32</v>
      </c>
      <c r="S453">
        <v>4.26</v>
      </c>
      <c r="T453" s="2">
        <f>IF('ROS Rankings'!$AD$1,IFERROR(AVERAGE(INDEX($C453:$S453,14):INDEX($C453:$S453,17)),0),IFERROR(AVERAGE(INDEX($C453:$S453,Week+1):INDEX($C453:$S453,13)),0))</f>
        <v>4.7571428571428571</v>
      </c>
      <c r="U453" s="2" t="str">
        <f t="shared" si="62"/>
        <v/>
      </c>
      <c r="V453" s="2" t="str">
        <f t="shared" si="62"/>
        <v/>
      </c>
      <c r="W453" s="2">
        <f t="shared" si="62"/>
        <v>4.7571428571428571</v>
      </c>
      <c r="X453" s="2" t="str">
        <f t="shared" si="62"/>
        <v/>
      </c>
      <c r="Y453" s="2" t="str">
        <f t="shared" si="62"/>
        <v/>
      </c>
      <c r="Z453" s="2" t="str">
        <f t="shared" si="62"/>
        <v/>
      </c>
      <c r="AA453" s="23" t="str">
        <f t="shared" si="63"/>
        <v>WR68</v>
      </c>
      <c r="AB453" s="2">
        <f>$T453-VLOOKUP($B453,Scores!$AG$1:$AM$7,5,FALSE)</f>
        <v>-5.614285714285713</v>
      </c>
      <c r="AC453" s="2">
        <f>$T453-VLOOKUP($B453,Scores!$AG$1:$AM$7,6,FALSE)</f>
        <v>-3.2742857142857149</v>
      </c>
      <c r="AD453" s="2">
        <f>$T453-VLOOKUP($B453,Scores!$AG$1:$AM$7,7,FALSE)+(ROW(A452)/1000000)</f>
        <v>-1.2952622857142855</v>
      </c>
      <c r="AE453" s="2">
        <f t="array" ref="AE453">IF('ROS Rankings'!$AD$1,IFERROR(AVERAGE(IF(INDEX($C453:$S453,14):INDEX($C453:$S453,17)="NA",0,INDEX($C453:$S453,14):INDEX($C453:$S453,17))-INDEX($AQ$2:$BG$7,MATCH($B453,$AO$2:$AO$7,0),14):INDEX($AQ$2:$BG$7,MATCH($B453,$AO$2:$AO$7,0),17)),0),IFERROR(AVERAGE(IF(INDEX($C453:$S453,Week+1):INDEX($C453:$S453,13)="NA",0,INDEX($C453:$S453,Week+1):INDEX($C453:$S453,13))-INDEX($AQ$2:$BG$7,MATCH($B453,$AO$2:$AO$7,0),Week+1):INDEX($AQ$2:$BG$7,MATCH($B453,$AO$2:$AO$7,0),13)),0))+ROW(A452)/1000000</f>
        <v>-1.1932980000000002</v>
      </c>
      <c r="AF453">
        <f t="shared" si="64"/>
        <v>268</v>
      </c>
      <c r="AG453">
        <f t="shared" si="65"/>
        <v>260</v>
      </c>
      <c r="AH453">
        <f t="shared" si="66"/>
        <v>214</v>
      </c>
      <c r="AI453">
        <f t="shared" si="67"/>
        <v>185</v>
      </c>
      <c r="AJ453" s="22">
        <f>IF(ISERROR(MATCH(A453,Rosters!$B$2:$B$155,0)),AD453,"")</f>
        <v>-1.2952622857142855</v>
      </c>
      <c r="AK453">
        <f t="shared" si="68"/>
        <v>75</v>
      </c>
      <c r="AL453" s="23">
        <f>COUNTIF(INDEX($C453:$S453,Week+1):INDEX($C453:$S453,13),"&gt;0")</f>
        <v>7</v>
      </c>
    </row>
    <row r="454" spans="1:38" x14ac:dyDescent="0.25">
      <c r="A454" t="s">
        <v>145</v>
      </c>
      <c r="B454" t="s">
        <v>47</v>
      </c>
      <c r="C454">
        <v>6.1</v>
      </c>
      <c r="D454">
        <v>12.82</v>
      </c>
      <c r="E454">
        <v>13.19</v>
      </c>
      <c r="F454">
        <v>12.99</v>
      </c>
      <c r="G454">
        <v>7.55</v>
      </c>
      <c r="H454">
        <v>8.68</v>
      </c>
      <c r="I454">
        <v>8.43</v>
      </c>
      <c r="J454" t="s">
        <v>64</v>
      </c>
      <c r="K454">
        <v>6.77</v>
      </c>
      <c r="L454">
        <v>6.63</v>
      </c>
      <c r="M454">
        <v>8.8000000000000007</v>
      </c>
      <c r="N454">
        <v>8.64</v>
      </c>
      <c r="O454">
        <v>6.57</v>
      </c>
      <c r="P454">
        <v>8.57</v>
      </c>
      <c r="Q454">
        <v>6.8</v>
      </c>
      <c r="R454">
        <v>6.22</v>
      </c>
      <c r="S454">
        <v>8.9600000000000009</v>
      </c>
      <c r="T454" s="2">
        <f>IF('ROS Rankings'!$AD$1,IFERROR(AVERAGE(INDEX($C454:$S454,14):INDEX($C454:$S454,17)),0),IFERROR(AVERAGE(INDEX($C454:$S454,Week+1):INDEX($C454:$S454,13)),0))</f>
        <v>7.7885714285714291</v>
      </c>
      <c r="U454" s="2" t="str">
        <f t="shared" si="62"/>
        <v/>
      </c>
      <c r="V454" s="2">
        <f t="shared" si="62"/>
        <v>7.7885714285714291</v>
      </c>
      <c r="W454" s="2" t="str">
        <f t="shared" si="62"/>
        <v/>
      </c>
      <c r="X454" s="2" t="str">
        <f t="shared" si="62"/>
        <v/>
      </c>
      <c r="Y454" s="2" t="str">
        <f t="shared" si="62"/>
        <v/>
      </c>
      <c r="Z454" s="2" t="str">
        <f t="shared" si="62"/>
        <v/>
      </c>
      <c r="AA454" s="23" t="str">
        <f t="shared" si="63"/>
        <v>RB29</v>
      </c>
      <c r="AB454" s="2">
        <f>$T454-VLOOKUP($B454,Scores!$AG$1:$AM$7,5,FALSE)</f>
        <v>-3.9699999999999998</v>
      </c>
      <c r="AC454" s="2">
        <f>$T454-VLOOKUP($B454,Scores!$AG$1:$AM$7,6,FALSE)</f>
        <v>-0.48142857142857221</v>
      </c>
      <c r="AD454" s="2">
        <f>$T454-VLOOKUP($B454,Scores!$AG$1:$AM$7,7,FALSE)+(ROW(A453)/1000000)</f>
        <v>1.920453</v>
      </c>
      <c r="AE454" s="2">
        <f t="array" ref="AE454">IF('ROS Rankings'!$AD$1,IFERROR(AVERAGE(IF(INDEX($C454:$S454,14):INDEX($C454:$S454,17)="NA",0,INDEX($C454:$S454,14):INDEX($C454:$S454,17))-INDEX($AQ$2:$BG$7,MATCH($B454,$AO$2:$AO$7,0),14):INDEX($AQ$2:$BG$7,MATCH($B454,$AO$2:$AO$7,0),17)),0),IFERROR(AVERAGE(IF(INDEX($C454:$S454,Week+1):INDEX($C454:$S454,13)="NA",0,INDEX($C454:$S454,Week+1):INDEX($C454:$S454,13))-INDEX($AQ$2:$BG$7,MATCH($B454,$AO$2:$AO$7,0),Week+1):INDEX($AQ$2:$BG$7,MATCH($B454,$AO$2:$AO$7,0),13)),0))+ROW(A453)/1000000</f>
        <v>1.4554530000000001</v>
      </c>
      <c r="AF454">
        <f t="shared" si="64"/>
        <v>188</v>
      </c>
      <c r="AG454">
        <f t="shared" si="65"/>
        <v>135</v>
      </c>
      <c r="AH454">
        <f t="shared" si="66"/>
        <v>73</v>
      </c>
      <c r="AI454">
        <f t="shared" si="67"/>
        <v>77</v>
      </c>
      <c r="AJ454" s="22" t="str">
        <f>IF(ISERROR(MATCH(A454,Rosters!$B$2:$B$155,0)),AD454,"")</f>
        <v/>
      </c>
      <c r="AK454" t="str">
        <f t="shared" si="68"/>
        <v/>
      </c>
      <c r="AL454" s="23">
        <f>COUNTIF(INDEX($C454:$S454,Week+1):INDEX($C454:$S454,13),"&gt;0")</f>
        <v>7</v>
      </c>
    </row>
    <row r="455" spans="1:38" x14ac:dyDescent="0.25">
      <c r="A455" t="s">
        <v>155</v>
      </c>
      <c r="B455" t="s">
        <v>47</v>
      </c>
      <c r="C455">
        <v>5.59</v>
      </c>
      <c r="D455">
        <v>5.78</v>
      </c>
      <c r="E455">
        <v>8.1999999999999993</v>
      </c>
      <c r="F455">
        <v>6.85</v>
      </c>
      <c r="G455">
        <v>7.14</v>
      </c>
      <c r="H455" t="s">
        <v>64</v>
      </c>
      <c r="I455">
        <v>6.8</v>
      </c>
      <c r="J455">
        <v>4.13</v>
      </c>
      <c r="K455">
        <v>5.24</v>
      </c>
      <c r="L455">
        <v>4.41</v>
      </c>
      <c r="M455">
        <v>5.38</v>
      </c>
      <c r="N455">
        <v>4.62</v>
      </c>
      <c r="O455">
        <v>6.43</v>
      </c>
      <c r="P455">
        <v>4.67</v>
      </c>
      <c r="Q455">
        <v>6.06</v>
      </c>
      <c r="R455">
        <v>5.53</v>
      </c>
      <c r="S455">
        <v>6.73</v>
      </c>
      <c r="T455" s="2">
        <f>IF('ROS Rankings'!$AD$1,IFERROR(AVERAGE(INDEX($C455:$S455,14):INDEX($C455:$S455,17)),0),IFERROR(AVERAGE(INDEX($C455:$S455,Week+1):INDEX($C455:$S455,13)),0))</f>
        <v>5.2871428571428583</v>
      </c>
      <c r="U455" s="2" t="str">
        <f t="shared" si="62"/>
        <v/>
      </c>
      <c r="V455" s="2">
        <f t="shared" si="62"/>
        <v>5.2871428571428583</v>
      </c>
      <c r="W455" s="2" t="str">
        <f t="shared" si="62"/>
        <v/>
      </c>
      <c r="X455" s="2" t="str">
        <f t="shared" si="62"/>
        <v/>
      </c>
      <c r="Y455" s="2" t="str">
        <f t="shared" si="62"/>
        <v/>
      </c>
      <c r="Z455" s="2" t="str">
        <f t="shared" si="62"/>
        <v/>
      </c>
      <c r="AA455" s="23" t="str">
        <f t="shared" si="63"/>
        <v>RB56</v>
      </c>
      <c r="AB455" s="2">
        <f>$T455-VLOOKUP($B455,Scores!$AG$1:$AM$7,5,FALSE)</f>
        <v>-6.4714285714285706</v>
      </c>
      <c r="AC455" s="2">
        <f>$T455-VLOOKUP($B455,Scores!$AG$1:$AM$7,6,FALSE)</f>
        <v>-2.9828571428571431</v>
      </c>
      <c r="AD455" s="2">
        <f>$T455-VLOOKUP($B455,Scores!$AG$1:$AM$7,7,FALSE)+(ROW(A454)/1000000)</f>
        <v>-0.58097457142857101</v>
      </c>
      <c r="AE455" s="2">
        <f t="array" ref="AE455">IF('ROS Rankings'!$AD$1,IFERROR(AVERAGE(IF(INDEX($C455:$S455,14):INDEX($C455:$S455,17)="NA",0,INDEX($C455:$S455,14):INDEX($C455:$S455,17))-INDEX($AQ$2:$BG$7,MATCH($B455,$AO$2:$AO$7,0),14):INDEX($AQ$2:$BG$7,MATCH($B455,$AO$2:$AO$7,0),17)),0),IFERROR(AVERAGE(IF(INDEX($C455:$S455,Week+1):INDEX($C455:$S455,13)="NA",0,INDEX($C455:$S455,Week+1):INDEX($C455:$S455,13))-INDEX($AQ$2:$BG$7,MATCH($B455,$AO$2:$AO$7,0),Week+1):INDEX($AQ$2:$BG$7,MATCH($B455,$AO$2:$AO$7,0),13)),0))+ROW(A454)/1000000</f>
        <v>-0.73329599999999995</v>
      </c>
      <c r="AF455">
        <f t="shared" si="64"/>
        <v>312</v>
      </c>
      <c r="AG455">
        <f t="shared" si="65"/>
        <v>244</v>
      </c>
      <c r="AH455">
        <f t="shared" si="66"/>
        <v>180</v>
      </c>
      <c r="AI455">
        <f t="shared" si="67"/>
        <v>157</v>
      </c>
      <c r="AJ455" s="22">
        <f>IF(ISERROR(MATCH(A455,Rosters!$B$2:$B$155,0)),AD455,"")</f>
        <v>-0.58097457142857101</v>
      </c>
      <c r="AK455">
        <f t="shared" si="68"/>
        <v>48</v>
      </c>
      <c r="AL455" s="23">
        <f>COUNTIF(INDEX($C455:$S455,Week+1):INDEX($C455:$S455,13),"&gt;0")</f>
        <v>7</v>
      </c>
    </row>
    <row r="456" spans="1:38" x14ac:dyDescent="0.25">
      <c r="A456" t="s">
        <v>2792</v>
      </c>
      <c r="B456" t="s">
        <v>47</v>
      </c>
      <c r="C456" t="s">
        <v>64</v>
      </c>
      <c r="D456" t="s">
        <v>64</v>
      </c>
      <c r="E456">
        <v>0</v>
      </c>
      <c r="F456">
        <v>0</v>
      </c>
      <c r="G456">
        <v>0.67</v>
      </c>
      <c r="H456">
        <v>0.52</v>
      </c>
      <c r="I456">
        <v>0.53</v>
      </c>
      <c r="J456">
        <v>0.56000000000000005</v>
      </c>
      <c r="K456" t="s">
        <v>64</v>
      </c>
      <c r="L456">
        <v>0.48</v>
      </c>
      <c r="M456">
        <v>0.5</v>
      </c>
      <c r="N456">
        <v>0.49</v>
      </c>
      <c r="O456">
        <v>0.54</v>
      </c>
      <c r="P456">
        <v>0.52</v>
      </c>
      <c r="Q456">
        <v>0.52</v>
      </c>
      <c r="R456">
        <v>0.46</v>
      </c>
      <c r="S456">
        <v>0.49</v>
      </c>
      <c r="T456" s="2">
        <f>IF('ROS Rankings'!$AD$1,IFERROR(AVERAGE(INDEX($C456:$S456,14):INDEX($C456:$S456,17)),0),IFERROR(AVERAGE(INDEX($C456:$S456,Week+1):INDEX($C456:$S456,13)),0))</f>
        <v>0.51714285714285713</v>
      </c>
      <c r="U456" s="2" t="str">
        <f t="shared" si="62"/>
        <v/>
      </c>
      <c r="V456" s="2">
        <f t="shared" si="62"/>
        <v>0.51714285714285713</v>
      </c>
      <c r="W456" s="2" t="str">
        <f t="shared" si="62"/>
        <v/>
      </c>
      <c r="X456" s="2" t="str">
        <f t="shared" si="62"/>
        <v/>
      </c>
      <c r="Y456" s="2" t="str">
        <f t="shared" si="62"/>
        <v/>
      </c>
      <c r="Z456" s="2" t="str">
        <f t="shared" si="62"/>
        <v/>
      </c>
      <c r="AA456" s="23" t="str">
        <f t="shared" si="63"/>
        <v>RB118</v>
      </c>
      <c r="AB456" s="2">
        <f>$T456-VLOOKUP($B456,Scores!$AG$1:$AM$7,5,FALSE)</f>
        <v>-11.241428571428571</v>
      </c>
      <c r="AC456" s="2">
        <f>$T456-VLOOKUP($B456,Scores!$AG$1:$AM$7,6,FALSE)</f>
        <v>-7.7528571428571444</v>
      </c>
      <c r="AD456" s="2">
        <f>$T456-VLOOKUP($B456,Scores!$AG$1:$AM$7,7,FALSE)+(ROW(A455)/1000000)</f>
        <v>-5.3509735714285727</v>
      </c>
      <c r="AE456" s="2">
        <f t="array" ref="AE456">IF('ROS Rankings'!$AD$1,IFERROR(AVERAGE(IF(INDEX($C456:$S456,14):INDEX($C456:$S456,17)="NA",0,INDEX($C456:$S456,14):INDEX($C456:$S456,17))-INDEX($AQ$2:$BG$7,MATCH($B456,$AO$2:$AO$7,0),14):INDEX($AQ$2:$BG$7,MATCH($B456,$AO$2:$AO$7,0),17)),0),IFERROR(AVERAGE(IF(INDEX($C456:$S456,Week+1):INDEX($C456:$S456,13)="NA",0,INDEX($C456:$S456,Week+1):INDEX($C456:$S456,13))-INDEX($AQ$2:$BG$7,MATCH($B456,$AO$2:$AO$7,0),Week+1):INDEX($AQ$2:$BG$7,MATCH($B456,$AO$2:$AO$7,0),13)),0))+ROW(A455)/1000000</f>
        <v>-4.9070450000000001</v>
      </c>
      <c r="AF456">
        <f t="shared" si="64"/>
        <v>506</v>
      </c>
      <c r="AG456">
        <f t="shared" si="65"/>
        <v>500</v>
      </c>
      <c r="AH456">
        <f t="shared" si="66"/>
        <v>452</v>
      </c>
      <c r="AI456">
        <f t="shared" si="67"/>
        <v>478</v>
      </c>
      <c r="AJ456" s="22">
        <f>IF(ISERROR(MATCH(A456,Rosters!$B$2:$B$155,0)),AD456,"")</f>
        <v>-5.3509735714285727</v>
      </c>
      <c r="AK456">
        <f t="shared" si="68"/>
        <v>300</v>
      </c>
      <c r="AL456" s="23">
        <f>COUNTIF(INDEX($C456:$S456,Week+1):INDEX($C456:$S456,13),"&gt;0")</f>
        <v>7</v>
      </c>
    </row>
    <row r="457" spans="1:38" x14ac:dyDescent="0.25">
      <c r="A457" t="s">
        <v>4258</v>
      </c>
      <c r="B457" t="s">
        <v>87</v>
      </c>
      <c r="C457" t="s">
        <v>64</v>
      </c>
      <c r="D457">
        <v>0.52</v>
      </c>
      <c r="E457">
        <v>0.46</v>
      </c>
      <c r="F457">
        <v>0.46</v>
      </c>
      <c r="G457">
        <v>0.4</v>
      </c>
      <c r="H457">
        <v>0.47</v>
      </c>
      <c r="I457">
        <v>0.49</v>
      </c>
      <c r="J457">
        <v>0.54</v>
      </c>
      <c r="K457">
        <v>0.51</v>
      </c>
      <c r="L457" t="s">
        <v>64</v>
      </c>
      <c r="M457">
        <v>0.5</v>
      </c>
      <c r="N457">
        <v>0.53</v>
      </c>
      <c r="O457">
        <v>0.4</v>
      </c>
      <c r="P457">
        <v>0.4</v>
      </c>
      <c r="Q457">
        <v>0.43</v>
      </c>
      <c r="R457">
        <v>0.49</v>
      </c>
      <c r="S457">
        <v>0.52</v>
      </c>
      <c r="T457" s="2">
        <f>IF('ROS Rankings'!$AD$1,IFERROR(AVERAGE(INDEX($C457:$S457,14):INDEX($C457:$S457,17)),0),IFERROR(AVERAGE(INDEX($C457:$S457,Week+1):INDEX($C457:$S457,13)),0))</f>
        <v>0.49142857142857144</v>
      </c>
      <c r="U457" s="2" t="str">
        <f t="shared" si="62"/>
        <v/>
      </c>
      <c r="V457" s="2" t="str">
        <f t="shared" si="62"/>
        <v/>
      </c>
      <c r="W457" s="2">
        <f t="shared" si="62"/>
        <v>0.49142857142857144</v>
      </c>
      <c r="X457" s="2" t="str">
        <f t="shared" si="62"/>
        <v/>
      </c>
      <c r="Y457" s="2" t="str">
        <f t="shared" si="62"/>
        <v/>
      </c>
      <c r="Z457" s="2" t="str">
        <f t="shared" si="62"/>
        <v/>
      </c>
      <c r="AA457" s="23" t="str">
        <f t="shared" si="63"/>
        <v>WR170</v>
      </c>
      <c r="AB457" s="2">
        <f>$T457-VLOOKUP($B457,Scores!$AG$1:$AM$7,5,FALSE)</f>
        <v>-9.879999999999999</v>
      </c>
      <c r="AC457" s="2">
        <f>$T457-VLOOKUP($B457,Scores!$AG$1:$AM$7,6,FALSE)</f>
        <v>-7.5400000000000009</v>
      </c>
      <c r="AD457" s="2">
        <f>$T457-VLOOKUP($B457,Scores!$AG$1:$AM$7,7,FALSE)+(ROW(A456)/1000000)</f>
        <v>-5.5609725714285716</v>
      </c>
      <c r="AE457" s="2">
        <f t="array" ref="AE457">IF('ROS Rankings'!$AD$1,IFERROR(AVERAGE(IF(INDEX($C457:$S457,14):INDEX($C457:$S457,17)="NA",0,INDEX($C457:$S457,14):INDEX($C457:$S457,17))-INDEX($AQ$2:$BG$7,MATCH($B457,$AO$2:$AO$7,0),14):INDEX($AQ$2:$BG$7,MATCH($B457,$AO$2:$AO$7,0),17)),0),IFERROR(AVERAGE(IF(INDEX($C457:$S457,Week+1):INDEX($C457:$S457,13)="NA",0,INDEX($C457:$S457,Week+1):INDEX($C457:$S457,13))-INDEX($AQ$2:$BG$7,MATCH($B457,$AO$2:$AO$7,0),Week+1):INDEX($AQ$2:$BG$7,MATCH($B457,$AO$2:$AO$7,0),13)),0))+ROW(A456)/1000000</f>
        <v>-4.9257939999999998</v>
      </c>
      <c r="AF457">
        <f t="shared" si="64"/>
        <v>447</v>
      </c>
      <c r="AG457">
        <f t="shared" si="65"/>
        <v>465</v>
      </c>
      <c r="AH457">
        <f t="shared" si="66"/>
        <v>497</v>
      </c>
      <c r="AI457">
        <f t="shared" si="67"/>
        <v>481</v>
      </c>
      <c r="AJ457" s="22">
        <f>IF(ISERROR(MATCH(A457,Rosters!$B$2:$B$155,0)),AD457,"")</f>
        <v>-5.5609725714285716</v>
      </c>
      <c r="AK457">
        <f t="shared" si="68"/>
        <v>345</v>
      </c>
      <c r="AL457" s="23">
        <f>COUNTIF(INDEX($C457:$S457,Week+1):INDEX($C457:$S457,13),"&gt;0")</f>
        <v>7</v>
      </c>
    </row>
    <row r="458" spans="1:38" x14ac:dyDescent="0.25">
      <c r="A458" t="s">
        <v>4703</v>
      </c>
      <c r="B458" t="s">
        <v>87</v>
      </c>
      <c r="C458" t="s">
        <v>64</v>
      </c>
      <c r="D458" t="s">
        <v>64</v>
      </c>
      <c r="E458" t="s">
        <v>64</v>
      </c>
      <c r="F458">
        <v>0.62</v>
      </c>
      <c r="G458">
        <v>0.78</v>
      </c>
      <c r="H458">
        <v>0.76</v>
      </c>
      <c r="I458">
        <v>0.74</v>
      </c>
      <c r="J458">
        <v>0.72</v>
      </c>
      <c r="K458">
        <v>0.71</v>
      </c>
      <c r="L458" t="s">
        <v>64</v>
      </c>
      <c r="M458">
        <v>0.65</v>
      </c>
      <c r="N458">
        <v>0.71</v>
      </c>
      <c r="O458">
        <v>0.73</v>
      </c>
      <c r="P458">
        <v>0.71</v>
      </c>
      <c r="Q458">
        <v>0.75</v>
      </c>
      <c r="R458">
        <v>0.78</v>
      </c>
      <c r="S458">
        <v>0.8</v>
      </c>
      <c r="T458" s="2">
        <f>IF('ROS Rankings'!$AD$1,IFERROR(AVERAGE(INDEX($C458:$S458,14):INDEX($C458:$S458,17)),0),IFERROR(AVERAGE(INDEX($C458:$S458,Week+1):INDEX($C458:$S458,13)),0))</f>
        <v>0.71714285714285708</v>
      </c>
      <c r="U458" s="2" t="str">
        <f t="shared" si="62"/>
        <v/>
      </c>
      <c r="V458" s="2" t="str">
        <f t="shared" si="62"/>
        <v/>
      </c>
      <c r="W458" s="2">
        <f t="shared" si="62"/>
        <v>0.71714285714285708</v>
      </c>
      <c r="X458" s="2" t="str">
        <f t="shared" si="62"/>
        <v/>
      </c>
      <c r="Y458" s="2" t="str">
        <f t="shared" si="62"/>
        <v/>
      </c>
      <c r="Z458" s="2" t="str">
        <f t="shared" si="62"/>
        <v/>
      </c>
      <c r="AA458" s="23" t="str">
        <f t="shared" si="63"/>
        <v>WR133</v>
      </c>
      <c r="AB458" s="2">
        <f>$T458-VLOOKUP($B458,Scores!$AG$1:$AM$7,5,FALSE)</f>
        <v>-9.654285714285713</v>
      </c>
      <c r="AC458" s="2">
        <f>$T458-VLOOKUP($B458,Scores!$AG$1:$AM$7,6,FALSE)</f>
        <v>-7.3142857142857149</v>
      </c>
      <c r="AD458" s="2">
        <f>$T458-VLOOKUP($B458,Scores!$AG$1:$AM$7,7,FALSE)+(ROW(A457)/1000000)</f>
        <v>-5.3352572857142855</v>
      </c>
      <c r="AE458" s="2">
        <f t="array" ref="AE458">IF('ROS Rankings'!$AD$1,IFERROR(AVERAGE(IF(INDEX($C458:$S458,14):INDEX($C458:$S458,17)="NA",0,INDEX($C458:$S458,14):INDEX($C458:$S458,17))-INDEX($AQ$2:$BG$7,MATCH($B458,$AO$2:$AO$7,0),14):INDEX($AQ$2:$BG$7,MATCH($B458,$AO$2:$AO$7,0),17)),0),IFERROR(AVERAGE(IF(INDEX($C458:$S458,Week+1):INDEX($C458:$S458,13)="NA",0,INDEX($C458:$S458,Week+1):INDEX($C458:$S458,13))-INDEX($AQ$2:$BG$7,MATCH($B458,$AO$2:$AO$7,0),Week+1):INDEX($AQ$2:$BG$7,MATCH($B458,$AO$2:$AO$7,0),13)),0))+ROW(A457)/1000000</f>
        <v>-4.7282929999999999</v>
      </c>
      <c r="AF458">
        <f t="shared" si="64"/>
        <v>408</v>
      </c>
      <c r="AG458">
        <f t="shared" si="65"/>
        <v>423</v>
      </c>
      <c r="AH458">
        <f t="shared" si="66"/>
        <v>443</v>
      </c>
      <c r="AI458">
        <f t="shared" si="67"/>
        <v>415</v>
      </c>
      <c r="AJ458" s="22">
        <f>IF(ISERROR(MATCH(A458,Rosters!$B$2:$B$155,0)),AD458,"")</f>
        <v>-5.3352572857142855</v>
      </c>
      <c r="AK458">
        <f t="shared" si="68"/>
        <v>291</v>
      </c>
      <c r="AL458" s="23">
        <f>COUNTIF(INDEX($C458:$S458,Week+1):INDEX($C458:$S458,13),"&gt;0")</f>
        <v>7</v>
      </c>
    </row>
    <row r="459" spans="1:38" x14ac:dyDescent="0.25">
      <c r="A459" t="s">
        <v>1100</v>
      </c>
      <c r="B459" t="s">
        <v>47</v>
      </c>
      <c r="C459">
        <v>18.98</v>
      </c>
      <c r="D459">
        <v>17.71</v>
      </c>
      <c r="E459">
        <v>19.87</v>
      </c>
      <c r="F459">
        <v>18.36</v>
      </c>
      <c r="G459">
        <v>18.43</v>
      </c>
      <c r="H459">
        <v>18.3</v>
      </c>
      <c r="I459">
        <v>18.25</v>
      </c>
      <c r="J459">
        <v>20.07</v>
      </c>
      <c r="K459">
        <v>18.82</v>
      </c>
      <c r="L459">
        <v>20.02</v>
      </c>
      <c r="M459">
        <v>25.49</v>
      </c>
      <c r="N459" t="s">
        <v>64</v>
      </c>
      <c r="O459">
        <v>20.71</v>
      </c>
      <c r="P459">
        <v>18.510000000000002</v>
      </c>
      <c r="Q459">
        <v>20.18</v>
      </c>
      <c r="R459">
        <v>18.399999999999999</v>
      </c>
      <c r="S459">
        <v>19.78</v>
      </c>
      <c r="T459" s="2">
        <f>IF('ROS Rankings'!$AD$1,IFERROR(AVERAGE(INDEX($C459:$S459,14):INDEX($C459:$S459,17)),0),IFERROR(AVERAGE(INDEX($C459:$S459,Week+1):INDEX($C459:$S459,13)),0))</f>
        <v>20.237142857142857</v>
      </c>
      <c r="U459" s="2" t="str">
        <f t="shared" si="62"/>
        <v/>
      </c>
      <c r="V459" s="2">
        <f t="shared" si="62"/>
        <v>20.237142857142857</v>
      </c>
      <c r="W459" s="2" t="str">
        <f t="shared" si="62"/>
        <v/>
      </c>
      <c r="X459" s="2" t="str">
        <f t="shared" si="62"/>
        <v/>
      </c>
      <c r="Y459" s="2" t="str">
        <f t="shared" si="62"/>
        <v/>
      </c>
      <c r="Z459" s="2" t="str">
        <f t="shared" si="62"/>
        <v/>
      </c>
      <c r="AA459" s="23" t="str">
        <f t="shared" si="63"/>
        <v>RB1</v>
      </c>
      <c r="AB459" s="2">
        <f>$T459-VLOOKUP($B459,Scores!$AG$1:$AM$7,5,FALSE)</f>
        <v>8.4785714285714278</v>
      </c>
      <c r="AC459" s="2">
        <f>$T459-VLOOKUP($B459,Scores!$AG$1:$AM$7,6,FALSE)</f>
        <v>11.967142857142855</v>
      </c>
      <c r="AD459" s="2">
        <f>$T459-VLOOKUP($B459,Scores!$AG$1:$AM$7,7,FALSE)+(ROW(A458)/1000000)</f>
        <v>14.369029428571428</v>
      </c>
      <c r="AE459" s="2">
        <f t="array" ref="AE459">IF('ROS Rankings'!$AD$1,IFERROR(AVERAGE(IF(INDEX($C459:$S459,14):INDEX($C459:$S459,17)="NA",0,INDEX($C459:$S459,14):INDEX($C459:$S459,17))-INDEX($AQ$2:$BG$7,MATCH($B459,$AO$2:$AO$7,0),14):INDEX($AQ$2:$BG$7,MATCH($B459,$AO$2:$AO$7,0),17)),0),IFERROR(AVERAGE(IF(INDEX($C459:$S459,Week+1):INDEX($C459:$S459,13)="NA",0,INDEX($C459:$S459,Week+1):INDEX($C459:$S459,13))-INDEX($AQ$2:$BG$7,MATCH($B459,$AO$2:$AO$7,0),Week+1):INDEX($AQ$2:$BG$7,MATCH($B459,$AO$2:$AO$7,0),13)),0))+ROW(A458)/1000000</f>
        <v>12.347958</v>
      </c>
      <c r="AF459">
        <f t="shared" si="64"/>
        <v>1</v>
      </c>
      <c r="AG459">
        <f t="shared" si="65"/>
        <v>1</v>
      </c>
      <c r="AH459">
        <f t="shared" si="66"/>
        <v>1</v>
      </c>
      <c r="AI459">
        <f t="shared" si="67"/>
        <v>1</v>
      </c>
      <c r="AJ459" s="22" t="str">
        <f>IF(ISERROR(MATCH(A459,Rosters!$B$2:$B$155,0)),AD459,"")</f>
        <v/>
      </c>
      <c r="AK459" t="str">
        <f t="shared" si="68"/>
        <v/>
      </c>
      <c r="AL459" s="23">
        <f>COUNTIF(INDEX($C459:$S459,Week+1):INDEX($C459:$S459,13),"&gt;0")</f>
        <v>7</v>
      </c>
    </row>
    <row r="460" spans="1:38" x14ac:dyDescent="0.25">
      <c r="A460" t="s">
        <v>18</v>
      </c>
      <c r="B460" t="s">
        <v>15</v>
      </c>
      <c r="C460">
        <v>23.16</v>
      </c>
      <c r="D460">
        <v>18.48</v>
      </c>
      <c r="E460">
        <v>20.41</v>
      </c>
      <c r="F460">
        <v>21.4</v>
      </c>
      <c r="G460">
        <v>22.87</v>
      </c>
      <c r="H460">
        <v>23.1</v>
      </c>
      <c r="I460">
        <v>19.5</v>
      </c>
      <c r="J460">
        <v>20.69</v>
      </c>
      <c r="K460">
        <v>23.35</v>
      </c>
      <c r="L460">
        <v>19.649999999999999</v>
      </c>
      <c r="M460" t="s">
        <v>64</v>
      </c>
      <c r="N460">
        <v>19.87</v>
      </c>
      <c r="O460">
        <v>21.11</v>
      </c>
      <c r="P460">
        <v>21.59</v>
      </c>
      <c r="Q460">
        <v>20.78</v>
      </c>
      <c r="R460">
        <v>21.92</v>
      </c>
      <c r="S460">
        <v>21.09</v>
      </c>
      <c r="T460" s="2">
        <f>IF('ROS Rankings'!$AD$1,IFERROR(AVERAGE(INDEX($C460:$S460,14):INDEX($C460:$S460,17)),0),IFERROR(AVERAGE(INDEX($C460:$S460,Week+1):INDEX($C460:$S460,13)),0))</f>
        <v>21.038571428571434</v>
      </c>
      <c r="U460" s="2">
        <f t="shared" si="62"/>
        <v>21.038571428571434</v>
      </c>
      <c r="V460" s="2" t="str">
        <f t="shared" si="62"/>
        <v/>
      </c>
      <c r="W460" s="2" t="str">
        <f t="shared" si="62"/>
        <v/>
      </c>
      <c r="X460" s="2" t="str">
        <f t="shared" si="62"/>
        <v/>
      </c>
      <c r="Y460" s="2" t="str">
        <f t="shared" si="62"/>
        <v/>
      </c>
      <c r="Z460" s="2" t="str">
        <f t="shared" si="62"/>
        <v/>
      </c>
      <c r="AA460" s="23" t="str">
        <f t="shared" si="63"/>
        <v>QB4</v>
      </c>
      <c r="AB460" s="2">
        <f>$T460-VLOOKUP($B460,Scores!$AG$1:$AM$7,5,FALSE)</f>
        <v>0.15428571428572013</v>
      </c>
      <c r="AC460" s="2">
        <f>$T460-VLOOKUP($B460,Scores!$AG$1:$AM$7,6,FALSE)</f>
        <v>1.1348214285714349</v>
      </c>
      <c r="AD460" s="2">
        <f>$T460-VLOOKUP($B460,Scores!$AG$1:$AM$7,7,FALSE)+(ROW(A459)/1000000)</f>
        <v>1.5390304285714371</v>
      </c>
      <c r="AE460" s="2">
        <f t="array" ref="AE460">IF('ROS Rankings'!$AD$1,IFERROR(AVERAGE(IF(INDEX($C460:$S460,14):INDEX($C460:$S460,17)="NA",0,INDEX($C460:$S460,14):INDEX($C460:$S460,17))-INDEX($AQ$2:$BG$7,MATCH($B460,$AO$2:$AO$7,0),14):INDEX($AQ$2:$BG$7,MATCH($B460,$AO$2:$AO$7,0),17)),0),IFERROR(AVERAGE(IF(INDEX($C460:$S460,Week+1):INDEX($C460:$S460,13)="NA",0,INDEX($C460:$S460,Week+1):INDEX($C460:$S460,13))-INDEX($AQ$2:$BG$7,MATCH($B460,$AO$2:$AO$7,0),Week+1):INDEX($AQ$2:$BG$7,MATCH($B460,$AO$2:$AO$7,0),13)),0))+ROW(A459)/1000000</f>
        <v>-9.3290999999999555E-2</v>
      </c>
      <c r="AF460">
        <f t="shared" si="64"/>
        <v>42</v>
      </c>
      <c r="AG460">
        <f t="shared" si="65"/>
        <v>56</v>
      </c>
      <c r="AH460">
        <f t="shared" si="66"/>
        <v>88</v>
      </c>
      <c r="AI460">
        <f t="shared" si="67"/>
        <v>129</v>
      </c>
      <c r="AJ460" s="22" t="str">
        <f>IF(ISERROR(MATCH(A460,Rosters!$B$2:$B$155,0)),AD460,"")</f>
        <v/>
      </c>
      <c r="AK460" t="str">
        <f t="shared" si="68"/>
        <v/>
      </c>
      <c r="AL460" s="23">
        <f>COUNTIF(INDEX($C460:$S460,Week+1):INDEX($C460:$S460,13),"&gt;0")</f>
        <v>7</v>
      </c>
    </row>
    <row r="461" spans="1:38" x14ac:dyDescent="0.25">
      <c r="A461" t="s">
        <v>1600</v>
      </c>
      <c r="B461" t="s">
        <v>47</v>
      </c>
      <c r="C461">
        <v>0.35</v>
      </c>
      <c r="D461">
        <v>0.44</v>
      </c>
      <c r="E461">
        <v>0.4</v>
      </c>
      <c r="F461">
        <v>0.3</v>
      </c>
      <c r="G461">
        <v>0.51</v>
      </c>
      <c r="H461">
        <v>0.47</v>
      </c>
      <c r="I461">
        <v>0.42</v>
      </c>
      <c r="J461">
        <v>0.33</v>
      </c>
      <c r="K461" t="s">
        <v>64</v>
      </c>
      <c r="L461">
        <v>0.47</v>
      </c>
      <c r="M461">
        <v>0.48</v>
      </c>
      <c r="N461">
        <v>0.41</v>
      </c>
      <c r="O461">
        <v>0.51</v>
      </c>
      <c r="P461">
        <v>0.34</v>
      </c>
      <c r="Q461">
        <v>0.51</v>
      </c>
      <c r="R461">
        <v>0.44</v>
      </c>
      <c r="S461">
        <v>0.39</v>
      </c>
      <c r="T461" s="2">
        <f>IF('ROS Rankings'!$AD$1,IFERROR(AVERAGE(INDEX($C461:$S461,14):INDEX($C461:$S461,17)),0),IFERROR(AVERAGE(INDEX($C461:$S461,Week+1):INDEX($C461:$S461,13)),0))</f>
        <v>0.44142857142857139</v>
      </c>
      <c r="U461" s="2" t="str">
        <f t="shared" si="62"/>
        <v/>
      </c>
      <c r="V461" s="2">
        <f t="shared" si="62"/>
        <v>0.44142857142857139</v>
      </c>
      <c r="W461" s="2" t="str">
        <f t="shared" si="62"/>
        <v/>
      </c>
      <c r="X461" s="2" t="str">
        <f t="shared" si="62"/>
        <v/>
      </c>
      <c r="Y461" s="2" t="str">
        <f t="shared" si="62"/>
        <v/>
      </c>
      <c r="Z461" s="2" t="str">
        <f t="shared" si="62"/>
        <v/>
      </c>
      <c r="AA461" s="23" t="str">
        <f t="shared" si="63"/>
        <v>RB125</v>
      </c>
      <c r="AB461" s="2">
        <f>$T461-VLOOKUP($B461,Scores!$AG$1:$AM$7,5,FALSE)</f>
        <v>-11.317142857142857</v>
      </c>
      <c r="AC461" s="2">
        <f>$T461-VLOOKUP($B461,Scores!$AG$1:$AM$7,6,FALSE)</f>
        <v>-7.8285714285714301</v>
      </c>
      <c r="AD461" s="2">
        <f>$T461-VLOOKUP($B461,Scores!$AG$1:$AM$7,7,FALSE)+(ROW(A460)/1000000)</f>
        <v>-5.4266828571428576</v>
      </c>
      <c r="AE461" s="2">
        <f t="array" ref="AE461">IF('ROS Rankings'!$AD$1,IFERROR(AVERAGE(IF(INDEX($C461:$S461,14):INDEX($C461:$S461,17)="NA",0,INDEX($C461:$S461,14):INDEX($C461:$S461,17))-INDEX($AQ$2:$BG$7,MATCH($B461,$AO$2:$AO$7,0),14):INDEX($AQ$2:$BG$7,MATCH($B461,$AO$2:$AO$7,0),17)),0),IFERROR(AVERAGE(IF(INDEX($C461:$S461,Week+1):INDEX($C461:$S461,13)="NA",0,INDEX($C461:$S461,Week+1):INDEX($C461:$S461,13))-INDEX($AQ$2:$BG$7,MATCH($B461,$AO$2:$AO$7,0),Week+1):INDEX($AQ$2:$BG$7,MATCH($B461,$AO$2:$AO$7,0),13)),0))+ROW(A460)/1000000</f>
        <v>-4.9732899999999995</v>
      </c>
      <c r="AF461">
        <f t="shared" si="64"/>
        <v>513</v>
      </c>
      <c r="AG461">
        <f t="shared" si="65"/>
        <v>507</v>
      </c>
      <c r="AH461">
        <f t="shared" si="66"/>
        <v>471</v>
      </c>
      <c r="AI461">
        <f t="shared" si="67"/>
        <v>488</v>
      </c>
      <c r="AJ461" s="22">
        <f>IF(ISERROR(MATCH(A461,Rosters!$B$2:$B$155,0)),AD461,"")</f>
        <v>-5.4266828571428576</v>
      </c>
      <c r="AK461">
        <f t="shared" si="68"/>
        <v>319</v>
      </c>
      <c r="AL461" s="23">
        <f>COUNTIF(INDEX($C461:$S461,Week+1):INDEX($C461:$S461,13),"&gt;0")</f>
        <v>7</v>
      </c>
    </row>
    <row r="462" spans="1:38" x14ac:dyDescent="0.25">
      <c r="A462" t="s">
        <v>209</v>
      </c>
      <c r="B462" t="s">
        <v>87</v>
      </c>
      <c r="C462">
        <v>2.39</v>
      </c>
      <c r="D462">
        <v>2.2999999999999998</v>
      </c>
      <c r="E462">
        <v>3.57</v>
      </c>
      <c r="F462" t="s">
        <v>64</v>
      </c>
      <c r="G462">
        <v>4.01</v>
      </c>
      <c r="H462">
        <v>2.93</v>
      </c>
      <c r="I462">
        <v>2.99</v>
      </c>
      <c r="J462">
        <v>3.76</v>
      </c>
      <c r="K462">
        <v>3.67</v>
      </c>
      <c r="L462">
        <v>3.6</v>
      </c>
      <c r="M462">
        <v>3.52</v>
      </c>
      <c r="N462">
        <v>3.37</v>
      </c>
      <c r="O462">
        <v>3.51</v>
      </c>
      <c r="P462">
        <v>3.97</v>
      </c>
      <c r="Q462">
        <v>4.17</v>
      </c>
      <c r="R462">
        <v>3.49</v>
      </c>
      <c r="S462">
        <v>4.0199999999999996</v>
      </c>
      <c r="T462" s="2">
        <f>IF('ROS Rankings'!$AD$1,IFERROR(AVERAGE(INDEX($C462:$S462,14):INDEX($C462:$S462,17)),0),IFERROR(AVERAGE(INDEX($C462:$S462,Week+1):INDEX($C462:$S462,13)),0))</f>
        <v>3.4187500000000002</v>
      </c>
      <c r="U462" s="2" t="str">
        <f t="shared" si="62"/>
        <v/>
      </c>
      <c r="V462" s="2" t="str">
        <f t="shared" si="62"/>
        <v/>
      </c>
      <c r="W462" s="2">
        <f t="shared" si="62"/>
        <v>3.4187500000000002</v>
      </c>
      <c r="X462" s="2" t="str">
        <f t="shared" si="62"/>
        <v/>
      </c>
      <c r="Y462" s="2" t="str">
        <f t="shared" si="62"/>
        <v/>
      </c>
      <c r="Z462" s="2" t="str">
        <f t="shared" si="62"/>
        <v/>
      </c>
      <c r="AA462" s="23" t="str">
        <f t="shared" si="63"/>
        <v>WR89</v>
      </c>
      <c r="AB462" s="2">
        <f>$T462-VLOOKUP($B462,Scores!$AG$1:$AM$7,5,FALSE)</f>
        <v>-6.9526785714285699</v>
      </c>
      <c r="AC462" s="2">
        <f>$T462-VLOOKUP($B462,Scores!$AG$1:$AM$7,6,FALSE)</f>
        <v>-4.6126785714285718</v>
      </c>
      <c r="AD462" s="2">
        <f>$T462-VLOOKUP($B462,Scores!$AG$1:$AM$7,7,FALSE)+(ROW(A461)/1000000)</f>
        <v>-2.6336461428571423</v>
      </c>
      <c r="AE462" s="2">
        <f t="array" ref="AE462">IF('ROS Rankings'!$AD$1,IFERROR(AVERAGE(IF(INDEX($C462:$S462,14):INDEX($C462:$S462,17)="NA",0,INDEX($C462:$S462,14):INDEX($C462:$S462,17))-INDEX($AQ$2:$BG$7,MATCH($B462,$AO$2:$AO$7,0),14):INDEX($AQ$2:$BG$7,MATCH($B462,$AO$2:$AO$7,0),17)),0),IFERROR(AVERAGE(IF(INDEX($C462:$S462,Week+1):INDEX($C462:$S462,13)="NA",0,INDEX($C462:$S462,Week+1):INDEX($C462:$S462,13))-INDEX($AQ$2:$BG$7,MATCH($B462,$AO$2:$AO$7,0),Week+1):INDEX($AQ$2:$BG$7,MATCH($B462,$AO$2:$AO$7,0),13)),0))+ROW(A461)/1000000</f>
        <v>-1.9370390000000002</v>
      </c>
      <c r="AF462">
        <f t="shared" si="64"/>
        <v>344</v>
      </c>
      <c r="AG462">
        <f t="shared" si="65"/>
        <v>318</v>
      </c>
      <c r="AH462">
        <f t="shared" si="66"/>
        <v>276</v>
      </c>
      <c r="AI462">
        <f t="shared" si="67"/>
        <v>235</v>
      </c>
      <c r="AJ462" s="22">
        <f>IF(ISERROR(MATCH(A462,Rosters!$B$2:$B$155,0)),AD462,"")</f>
        <v>-2.6336461428571423</v>
      </c>
      <c r="AK462">
        <f t="shared" si="68"/>
        <v>131</v>
      </c>
      <c r="AL462" s="23">
        <f>COUNTIF(INDEX($C462:$S462,Week+1):INDEX($C462:$S462,13),"&gt;0")</f>
        <v>8</v>
      </c>
    </row>
    <row r="463" spans="1:38" x14ac:dyDescent="0.25">
      <c r="A463" t="s">
        <v>249</v>
      </c>
      <c r="B463" t="s">
        <v>87</v>
      </c>
      <c r="C463">
        <v>3.02</v>
      </c>
      <c r="D463">
        <v>0</v>
      </c>
      <c r="E463">
        <v>0</v>
      </c>
      <c r="F463">
        <v>2.52</v>
      </c>
      <c r="G463">
        <v>0</v>
      </c>
      <c r="H463">
        <v>2.17</v>
      </c>
      <c r="I463">
        <v>2.27</v>
      </c>
      <c r="J463" t="s">
        <v>64</v>
      </c>
      <c r="K463">
        <v>2.33</v>
      </c>
      <c r="L463">
        <v>2</v>
      </c>
      <c r="M463">
        <v>2.2200000000000002</v>
      </c>
      <c r="N463">
        <v>2.17</v>
      </c>
      <c r="O463">
        <v>1.98</v>
      </c>
      <c r="P463">
        <v>1.99</v>
      </c>
      <c r="Q463">
        <v>1.92</v>
      </c>
      <c r="R463">
        <v>2.63</v>
      </c>
      <c r="S463">
        <v>2.15</v>
      </c>
      <c r="T463" s="2">
        <f>IF('ROS Rankings'!$AD$1,IFERROR(AVERAGE(INDEX($C463:$S463,14):INDEX($C463:$S463,17)),0),IFERROR(AVERAGE(INDEX($C463:$S463,Week+1):INDEX($C463:$S463,13)),0))</f>
        <v>2.1628571428571428</v>
      </c>
      <c r="U463" s="2" t="str">
        <f t="shared" si="62"/>
        <v/>
      </c>
      <c r="V463" s="2" t="str">
        <f t="shared" si="62"/>
        <v/>
      </c>
      <c r="W463" s="2">
        <f t="shared" si="62"/>
        <v>2.1628571428571428</v>
      </c>
      <c r="X463" s="2" t="str">
        <f t="shared" si="62"/>
        <v/>
      </c>
      <c r="Y463" s="2" t="str">
        <f t="shared" si="62"/>
        <v/>
      </c>
      <c r="Z463" s="2" t="str">
        <f t="shared" si="62"/>
        <v/>
      </c>
      <c r="AA463" s="23" t="str">
        <f t="shared" si="63"/>
        <v>WR112</v>
      </c>
      <c r="AB463" s="2">
        <f>$T463-VLOOKUP($B463,Scores!$AG$1:$AM$7,5,FALSE)</f>
        <v>-8.2085714285714282</v>
      </c>
      <c r="AC463" s="2">
        <f>$T463-VLOOKUP($B463,Scores!$AG$1:$AM$7,6,FALSE)</f>
        <v>-5.8685714285714292</v>
      </c>
      <c r="AD463" s="2">
        <f>$T463-VLOOKUP($B463,Scores!$AG$1:$AM$7,7,FALSE)+(ROW(A462)/1000000)</f>
        <v>-3.8895379999999995</v>
      </c>
      <c r="AE463" s="2">
        <f t="array" ref="AE463">IF('ROS Rankings'!$AD$1,IFERROR(AVERAGE(IF(INDEX($C463:$S463,14):INDEX($C463:$S463,17)="NA",0,INDEX($C463:$S463,14):INDEX($C463:$S463,17))-INDEX($AQ$2:$BG$7,MATCH($B463,$AO$2:$AO$7,0),14):INDEX($AQ$2:$BG$7,MATCH($B463,$AO$2:$AO$7,0),17)),0),IFERROR(AVERAGE(IF(INDEX($C463:$S463,Week+1):INDEX($C463:$S463,13)="NA",0,INDEX($C463:$S463,Week+1):INDEX($C463:$S463,13))-INDEX($AQ$2:$BG$7,MATCH($B463,$AO$2:$AO$7,0),Week+1):INDEX($AQ$2:$BG$7,MATCH($B463,$AO$2:$AO$7,0),13)),0))+ROW(A462)/1000000</f>
        <v>-3.4632879999999999</v>
      </c>
      <c r="AF463">
        <f t="shared" si="64"/>
        <v>380</v>
      </c>
      <c r="AG463">
        <f t="shared" si="65"/>
        <v>384</v>
      </c>
      <c r="AH463">
        <f t="shared" si="66"/>
        <v>338</v>
      </c>
      <c r="AI463">
        <f t="shared" si="67"/>
        <v>320</v>
      </c>
      <c r="AJ463" s="22">
        <f>IF(ISERROR(MATCH(A463,Rosters!$B$2:$B$155,0)),AD463,"")</f>
        <v>-3.8895379999999995</v>
      </c>
      <c r="AK463">
        <f t="shared" si="68"/>
        <v>187</v>
      </c>
      <c r="AL463" s="23">
        <f>COUNTIF(INDEX($C463:$S463,Week+1):INDEX($C463:$S463,13),"&gt;0")</f>
        <v>7</v>
      </c>
    </row>
    <row r="464" spans="1:38" x14ac:dyDescent="0.25">
      <c r="A464" t="s">
        <v>151</v>
      </c>
      <c r="B464" t="s">
        <v>114</v>
      </c>
      <c r="C464">
        <v>9.2100000000000009</v>
      </c>
      <c r="D464">
        <v>8.43</v>
      </c>
      <c r="E464">
        <v>10.17</v>
      </c>
      <c r="F464">
        <v>10.75</v>
      </c>
      <c r="G464">
        <v>10.91</v>
      </c>
      <c r="H464">
        <v>9.42</v>
      </c>
      <c r="I464">
        <v>10.64</v>
      </c>
      <c r="J464">
        <v>10.59</v>
      </c>
      <c r="K464">
        <v>10</v>
      </c>
      <c r="L464">
        <v>10.37</v>
      </c>
      <c r="M464">
        <v>10.17</v>
      </c>
      <c r="N464" t="s">
        <v>64</v>
      </c>
      <c r="O464">
        <v>9.8699999999999992</v>
      </c>
      <c r="P464">
        <v>10.86</v>
      </c>
      <c r="Q464">
        <v>11.33</v>
      </c>
      <c r="R464">
        <v>9.3000000000000007</v>
      </c>
      <c r="S464">
        <v>10.29</v>
      </c>
      <c r="T464" s="2">
        <f>IF('ROS Rankings'!$AD$1,IFERROR(AVERAGE(INDEX($C464:$S464,14):INDEX($C464:$S464,17)),0),IFERROR(AVERAGE(INDEX($C464:$S464,Week+1):INDEX($C464:$S464,13)),0))</f>
        <v>10.151428571428571</v>
      </c>
      <c r="U464" s="2" t="str">
        <f t="shared" si="62"/>
        <v/>
      </c>
      <c r="V464" s="2" t="str">
        <f t="shared" si="62"/>
        <v/>
      </c>
      <c r="W464" s="2" t="str">
        <f t="shared" si="62"/>
        <v/>
      </c>
      <c r="X464" s="2">
        <f t="shared" si="62"/>
        <v>10.151428571428571</v>
      </c>
      <c r="Y464" s="2" t="str">
        <f t="shared" si="62"/>
        <v/>
      </c>
      <c r="Z464" s="2" t="str">
        <f t="shared" si="62"/>
        <v/>
      </c>
      <c r="AA464" s="23" t="str">
        <f t="shared" si="63"/>
        <v>TE2</v>
      </c>
      <c r="AB464" s="2">
        <f>$T464-VLOOKUP($B464,Scores!$AG$1:$AM$7,5,FALSE)</f>
        <v>3.1526785714285719</v>
      </c>
      <c r="AC464" s="2">
        <f>$T464-VLOOKUP($B464,Scores!$AG$1:$AM$7,6,FALSE)</f>
        <v>4.9014285714285712</v>
      </c>
      <c r="AD464" s="2">
        <f>$T464-VLOOKUP($B464,Scores!$AG$1:$AM$7,7,FALSE)+(ROW(A463)/1000000)</f>
        <v>4.9718915714285714</v>
      </c>
      <c r="AE464" s="2">
        <f t="array" ref="AE464">IF('ROS Rankings'!$AD$1,IFERROR(AVERAGE(IF(INDEX($C464:$S464,14):INDEX($C464:$S464,17)="NA",0,INDEX($C464:$S464,14):INDEX($C464:$S464,17))-INDEX($AQ$2:$BG$7,MATCH($B464,$AO$2:$AO$7,0),14):INDEX($AQ$2:$BG$7,MATCH($B464,$AO$2:$AO$7,0),17)),0),IFERROR(AVERAGE(IF(INDEX($C464:$S464,Week+1):INDEX($C464:$S464,13)="NA",0,INDEX($C464:$S464,Week+1):INDEX($C464:$S464,13))-INDEX($AQ$2:$BG$7,MATCH($B464,$AO$2:$AO$7,0),Week+1):INDEX($AQ$2:$BG$7,MATCH($B464,$AO$2:$AO$7,0),13)),0))+ROW(A463)/1000000</f>
        <v>3.785463</v>
      </c>
      <c r="AF464">
        <f t="shared" si="64"/>
        <v>8</v>
      </c>
      <c r="AG464">
        <f t="shared" si="65"/>
        <v>15</v>
      </c>
      <c r="AH464">
        <f t="shared" si="66"/>
        <v>28</v>
      </c>
      <c r="AI464">
        <f t="shared" si="67"/>
        <v>34</v>
      </c>
      <c r="AJ464" s="22" t="str">
        <f>IF(ISERROR(MATCH(A464,Rosters!$B$2:$B$155,0)),AD464,"")</f>
        <v/>
      </c>
      <c r="AK464" t="str">
        <f t="shared" si="68"/>
        <v/>
      </c>
      <c r="AL464" s="23">
        <f>COUNTIF(INDEX($C464:$S464,Week+1):INDEX($C464:$S464,13),"&gt;0")</f>
        <v>7</v>
      </c>
    </row>
    <row r="465" spans="1:38" x14ac:dyDescent="0.25">
      <c r="A465" t="s">
        <v>4217</v>
      </c>
      <c r="B465" t="s">
        <v>87</v>
      </c>
      <c r="C465">
        <v>2.95</v>
      </c>
      <c r="D465">
        <v>3.1</v>
      </c>
      <c r="E465">
        <v>2.33</v>
      </c>
      <c r="F465">
        <v>2.34</v>
      </c>
      <c r="G465">
        <v>2.19</v>
      </c>
      <c r="H465" t="s">
        <v>64</v>
      </c>
      <c r="I465">
        <v>2.0699999999999998</v>
      </c>
      <c r="J465">
        <v>2.46</v>
      </c>
      <c r="K465">
        <v>2.21</v>
      </c>
      <c r="L465">
        <v>2.19</v>
      </c>
      <c r="M465">
        <v>2.38</v>
      </c>
      <c r="N465">
        <v>2.34</v>
      </c>
      <c r="O465">
        <v>2.39</v>
      </c>
      <c r="P465">
        <v>2.2400000000000002</v>
      </c>
      <c r="Q465">
        <v>2.25</v>
      </c>
      <c r="R465">
        <v>2.11</v>
      </c>
      <c r="S465">
        <v>2.2999999999999998</v>
      </c>
      <c r="T465" s="2">
        <f>IF('ROS Rankings'!$AD$1,IFERROR(AVERAGE(INDEX($C465:$S465,14):INDEX($C465:$S465,17)),0),IFERROR(AVERAGE(INDEX($C465:$S465,Week+1):INDEX($C465:$S465,13)),0))</f>
        <v>2.2914285714285714</v>
      </c>
      <c r="U465" s="2" t="str">
        <f t="shared" si="62"/>
        <v/>
      </c>
      <c r="V465" s="2" t="str">
        <f t="shared" si="62"/>
        <v/>
      </c>
      <c r="W465" s="2">
        <f t="shared" si="62"/>
        <v>2.2914285714285714</v>
      </c>
      <c r="X465" s="2" t="str">
        <f t="shared" si="62"/>
        <v/>
      </c>
      <c r="Y465" s="2" t="str">
        <f t="shared" si="62"/>
        <v/>
      </c>
      <c r="Z465" s="2" t="str">
        <f t="shared" si="62"/>
        <v/>
      </c>
      <c r="AA465" s="23" t="str">
        <f t="shared" si="63"/>
        <v>WR110</v>
      </c>
      <c r="AB465" s="2">
        <f>$T465-VLOOKUP($B465,Scores!$AG$1:$AM$7,5,FALSE)</f>
        <v>-8.0799999999999983</v>
      </c>
      <c r="AC465" s="2">
        <f>$T465-VLOOKUP($B465,Scores!$AG$1:$AM$7,6,FALSE)</f>
        <v>-5.74</v>
      </c>
      <c r="AD465" s="2">
        <f>$T465-VLOOKUP($B465,Scores!$AG$1:$AM$7,7,FALSE)+(ROW(A464)/1000000)</f>
        <v>-3.7609645714285711</v>
      </c>
      <c r="AE465" s="2">
        <f t="array" ref="AE465">IF('ROS Rankings'!$AD$1,IFERROR(AVERAGE(IF(INDEX($C465:$S465,14):INDEX($C465:$S465,17)="NA",0,INDEX($C465:$S465,14):INDEX($C465:$S465,17))-INDEX($AQ$2:$BG$7,MATCH($B465,$AO$2:$AO$7,0),14):INDEX($AQ$2:$BG$7,MATCH($B465,$AO$2:$AO$7,0),17)),0),IFERROR(AVERAGE(IF(INDEX($C465:$S465,Week+1):INDEX($C465:$S465,13)="NA",0,INDEX($C465:$S465,Week+1):INDEX($C465:$S465,13))-INDEX($AQ$2:$BG$7,MATCH($B465,$AO$2:$AO$7,0),Week+1):INDEX($AQ$2:$BG$7,MATCH($B465,$AO$2:$AO$7,0),13)),0))+ROW(A464)/1000000</f>
        <v>-3.3507859999999998</v>
      </c>
      <c r="AF465">
        <f t="shared" si="64"/>
        <v>378</v>
      </c>
      <c r="AG465">
        <f t="shared" si="65"/>
        <v>381</v>
      </c>
      <c r="AH465">
        <f t="shared" si="66"/>
        <v>336</v>
      </c>
      <c r="AI465">
        <f t="shared" si="67"/>
        <v>315</v>
      </c>
      <c r="AJ465" s="22">
        <f>IF(ISERROR(MATCH(A465,Rosters!$B$2:$B$155,0)),AD465,"")</f>
        <v>-3.7609645714285711</v>
      </c>
      <c r="AK465">
        <f t="shared" si="68"/>
        <v>185</v>
      </c>
      <c r="AL465" s="23">
        <f>COUNTIF(INDEX($C465:$S465,Week+1):INDEX($C465:$S465,13),"&gt;0")</f>
        <v>7</v>
      </c>
    </row>
    <row r="466" spans="1:38" x14ac:dyDescent="0.25">
      <c r="A466" t="s">
        <v>1618</v>
      </c>
      <c r="B466" t="s">
        <v>47</v>
      </c>
      <c r="C466">
        <v>0.42</v>
      </c>
      <c r="D466">
        <v>0.39</v>
      </c>
      <c r="E466">
        <v>0.83</v>
      </c>
      <c r="F466">
        <v>1.25</v>
      </c>
      <c r="G466">
        <v>0.64</v>
      </c>
      <c r="H466">
        <v>0.93</v>
      </c>
      <c r="I466" t="s">
        <v>64</v>
      </c>
      <c r="J466">
        <v>0.76</v>
      </c>
      <c r="K466">
        <v>0.64</v>
      </c>
      <c r="L466">
        <v>0.59</v>
      </c>
      <c r="M466">
        <v>0.74</v>
      </c>
      <c r="N466">
        <v>0.51</v>
      </c>
      <c r="O466">
        <v>0.76</v>
      </c>
      <c r="P466">
        <v>0.5</v>
      </c>
      <c r="Q466">
        <v>0.7</v>
      </c>
      <c r="R466">
        <v>0.96</v>
      </c>
      <c r="S466">
        <v>0.51</v>
      </c>
      <c r="T466" s="2">
        <f>IF('ROS Rankings'!$AD$1,IFERROR(AVERAGE(INDEX($C466:$S466,14):INDEX($C466:$S466,17)),0),IFERROR(AVERAGE(INDEX($C466:$S466,Week+1):INDEX($C466:$S466,13)),0))</f>
        <v>0.70428571428571429</v>
      </c>
      <c r="U466" s="2" t="str">
        <f t="shared" si="62"/>
        <v/>
      </c>
      <c r="V466" s="2">
        <f t="shared" si="62"/>
        <v>0.70428571428571429</v>
      </c>
      <c r="W466" s="2" t="str">
        <f t="shared" si="62"/>
        <v/>
      </c>
      <c r="X466" s="2" t="str">
        <f t="shared" si="62"/>
        <v/>
      </c>
      <c r="Y466" s="2" t="str">
        <f t="shared" si="62"/>
        <v/>
      </c>
      <c r="Z466" s="2" t="str">
        <f t="shared" si="62"/>
        <v/>
      </c>
      <c r="AA466" s="23" t="str">
        <f t="shared" si="63"/>
        <v>RB95</v>
      </c>
      <c r="AB466" s="2">
        <f>$T466-VLOOKUP($B466,Scores!$AG$1:$AM$7,5,FALSE)</f>
        <v>-11.054285714285715</v>
      </c>
      <c r="AC466" s="2">
        <f>$T466-VLOOKUP($B466,Scores!$AG$1:$AM$7,6,FALSE)</f>
        <v>-7.5657142857142867</v>
      </c>
      <c r="AD466" s="2">
        <f>$T466-VLOOKUP($B466,Scores!$AG$1:$AM$7,7,FALSE)+(ROW(A465)/1000000)</f>
        <v>-5.1638207142857144</v>
      </c>
      <c r="AE466" s="2">
        <f t="array" ref="AE466">IF('ROS Rankings'!$AD$1,IFERROR(AVERAGE(IF(INDEX($C466:$S466,14):INDEX($C466:$S466,17)="NA",0,INDEX($C466:$S466,14):INDEX($C466:$S466,17))-INDEX($AQ$2:$BG$7,MATCH($B466,$AO$2:$AO$7,0),14):INDEX($AQ$2:$BG$7,MATCH($B466,$AO$2:$AO$7,0),17)),0),IFERROR(AVERAGE(IF(INDEX($C466:$S466,Week+1):INDEX($C466:$S466,13)="NA",0,INDEX($C466:$S466,Week+1):INDEX($C466:$S466,13))-INDEX($AQ$2:$BG$7,MATCH($B466,$AO$2:$AO$7,0),Week+1):INDEX($AQ$2:$BG$7,MATCH($B466,$AO$2:$AO$7,0),13)),0))+ROW(A465)/1000000</f>
        <v>-4.7432850000000002</v>
      </c>
      <c r="AF466">
        <f t="shared" si="64"/>
        <v>483</v>
      </c>
      <c r="AG466">
        <f t="shared" si="65"/>
        <v>467</v>
      </c>
      <c r="AH466">
        <f t="shared" si="66"/>
        <v>415</v>
      </c>
      <c r="AI466">
        <f t="shared" si="67"/>
        <v>422</v>
      </c>
      <c r="AJ466" s="22">
        <f>IF(ISERROR(MATCH(A466,Rosters!$B$2:$B$155,0)),AD466,"")</f>
        <v>-5.1638207142857144</v>
      </c>
      <c r="AK466">
        <f t="shared" si="68"/>
        <v>263</v>
      </c>
      <c r="AL466" s="23">
        <f>COUNTIF(INDEX($C466:$S466,Week+1):INDEX($C466:$S466,13),"&gt;0")</f>
        <v>7</v>
      </c>
    </row>
    <row r="467" spans="1:38" x14ac:dyDescent="0.25">
      <c r="A467" t="s">
        <v>1457</v>
      </c>
      <c r="B467" t="s">
        <v>87</v>
      </c>
      <c r="C467">
        <v>2.3199999999999998</v>
      </c>
      <c r="D467">
        <v>2.95</v>
      </c>
      <c r="E467">
        <v>2.19</v>
      </c>
      <c r="F467">
        <v>3.25</v>
      </c>
      <c r="G467">
        <v>2.65</v>
      </c>
      <c r="H467">
        <v>3.11</v>
      </c>
      <c r="I467">
        <v>2.23</v>
      </c>
      <c r="J467">
        <v>2.58</v>
      </c>
      <c r="K467">
        <v>2.76</v>
      </c>
      <c r="L467">
        <v>3.01</v>
      </c>
      <c r="M467" t="s">
        <v>64</v>
      </c>
      <c r="N467">
        <v>3.22</v>
      </c>
      <c r="O467">
        <v>2.8</v>
      </c>
      <c r="P467">
        <v>2.92</v>
      </c>
      <c r="Q467">
        <v>2.89</v>
      </c>
      <c r="R467">
        <v>2.59</v>
      </c>
      <c r="S467">
        <v>2.1800000000000002</v>
      </c>
      <c r="T467" s="2">
        <f>IF('ROS Rankings'!$AD$1,IFERROR(AVERAGE(INDEX($C467:$S467,14):INDEX($C467:$S467,17)),0),IFERROR(AVERAGE(INDEX($C467:$S467,Week+1):INDEX($C467:$S467,13)),0))</f>
        <v>2.8157142857142858</v>
      </c>
      <c r="U467" s="2" t="str">
        <f t="shared" si="62"/>
        <v/>
      </c>
      <c r="V467" s="2" t="str">
        <f t="shared" si="62"/>
        <v/>
      </c>
      <c r="W467" s="2">
        <f t="shared" si="62"/>
        <v>2.8157142857142858</v>
      </c>
      <c r="X467" s="2" t="str">
        <f t="shared" si="62"/>
        <v/>
      </c>
      <c r="Y467" s="2" t="str">
        <f t="shared" si="62"/>
        <v/>
      </c>
      <c r="Z467" s="2" t="str">
        <f t="shared" si="62"/>
        <v/>
      </c>
      <c r="AA467" s="23" t="str">
        <f t="shared" si="63"/>
        <v>WR101</v>
      </c>
      <c r="AB467" s="2">
        <f>$T467-VLOOKUP($B467,Scores!$AG$1:$AM$7,5,FALSE)</f>
        <v>-7.5557142857142843</v>
      </c>
      <c r="AC467" s="2">
        <f>$T467-VLOOKUP($B467,Scores!$AG$1:$AM$7,6,FALSE)</f>
        <v>-5.2157142857142862</v>
      </c>
      <c r="AD467" s="2">
        <f>$T467-VLOOKUP($B467,Scores!$AG$1:$AM$7,7,FALSE)+(ROW(A466)/1000000)</f>
        <v>-3.2366768571428568</v>
      </c>
      <c r="AE467" s="2">
        <f t="array" ref="AE467">IF('ROS Rankings'!$AD$1,IFERROR(AVERAGE(IF(INDEX($C467:$S467,14):INDEX($C467:$S467,17)="NA",0,INDEX($C467:$S467,14):INDEX($C467:$S467,17))-INDEX($AQ$2:$BG$7,MATCH($B467,$AO$2:$AO$7,0),14):INDEX($AQ$2:$BG$7,MATCH($B467,$AO$2:$AO$7,0),17)),0),IFERROR(AVERAGE(IF(INDEX($C467:$S467,Week+1):INDEX($C467:$S467,13)="NA",0,INDEX($C467:$S467,Week+1):INDEX($C467:$S467,13))-INDEX($AQ$2:$BG$7,MATCH($B467,$AO$2:$AO$7,0),Week+1):INDEX($AQ$2:$BG$7,MATCH($B467,$AO$2:$AO$7,0),13)),0))+ROW(A466)/1000000</f>
        <v>-2.8920340000000002</v>
      </c>
      <c r="AF467">
        <f t="shared" si="64"/>
        <v>364</v>
      </c>
      <c r="AG467">
        <f t="shared" si="65"/>
        <v>361</v>
      </c>
      <c r="AH467">
        <f t="shared" si="66"/>
        <v>314</v>
      </c>
      <c r="AI467">
        <f t="shared" si="67"/>
        <v>288</v>
      </c>
      <c r="AJ467" s="22">
        <f>IF(ISERROR(MATCH(A467,Rosters!$B$2:$B$155,0)),AD467,"")</f>
        <v>-3.2366768571428568</v>
      </c>
      <c r="AK467">
        <f t="shared" si="68"/>
        <v>164</v>
      </c>
      <c r="AL467" s="23">
        <f>COUNTIF(INDEX($C467:$S467,Week+1):INDEX($C467:$S467,13),"&gt;0")</f>
        <v>7</v>
      </c>
    </row>
    <row r="468" spans="1:38" x14ac:dyDescent="0.25">
      <c r="A468" t="s">
        <v>4223</v>
      </c>
      <c r="B468" t="s">
        <v>47</v>
      </c>
      <c r="C468" t="s">
        <v>64</v>
      </c>
      <c r="D468">
        <v>0.59</v>
      </c>
      <c r="E468">
        <v>2.72</v>
      </c>
      <c r="F468">
        <v>1.24</v>
      </c>
      <c r="G468">
        <v>1.1399999999999999</v>
      </c>
      <c r="H468">
        <v>1.07</v>
      </c>
      <c r="I468">
        <v>1.3</v>
      </c>
      <c r="J468">
        <v>0.59</v>
      </c>
      <c r="K468">
        <v>0.47</v>
      </c>
      <c r="L468">
        <v>0.69</v>
      </c>
      <c r="M468" t="s">
        <v>64</v>
      </c>
      <c r="N468">
        <v>0.55000000000000004</v>
      </c>
      <c r="O468">
        <v>0.53</v>
      </c>
      <c r="P468">
        <v>0.66</v>
      </c>
      <c r="Q468">
        <v>0.48</v>
      </c>
      <c r="R468">
        <v>0.52</v>
      </c>
      <c r="S468">
        <v>0.53</v>
      </c>
      <c r="T468" s="2">
        <f>IF('ROS Rankings'!$AD$1,IFERROR(AVERAGE(INDEX($C468:$S468,14):INDEX($C468:$S468,17)),0),IFERROR(AVERAGE(INDEX($C468:$S468,Week+1):INDEX($C468:$S468,13)),0))</f>
        <v>0.74285714285714277</v>
      </c>
      <c r="U468" s="2" t="str">
        <f t="shared" si="62"/>
        <v/>
      </c>
      <c r="V468" s="2">
        <f t="shared" si="62"/>
        <v>0.74285714285714277</v>
      </c>
      <c r="W468" s="2" t="str">
        <f t="shared" si="62"/>
        <v/>
      </c>
      <c r="X468" s="2" t="str">
        <f t="shared" si="62"/>
        <v/>
      </c>
      <c r="Y468" s="2" t="str">
        <f t="shared" si="62"/>
        <v/>
      </c>
      <c r="Z468" s="2" t="str">
        <f t="shared" si="62"/>
        <v/>
      </c>
      <c r="AA468" s="23" t="str">
        <f t="shared" si="63"/>
        <v>RB93</v>
      </c>
      <c r="AB468" s="2">
        <f>$T468-VLOOKUP($B468,Scores!$AG$1:$AM$7,5,FALSE)</f>
        <v>-11.015714285714287</v>
      </c>
      <c r="AC468" s="2">
        <f>$T468-VLOOKUP($B468,Scores!$AG$1:$AM$7,6,FALSE)</f>
        <v>-7.5271428571428585</v>
      </c>
      <c r="AD468" s="2">
        <f>$T468-VLOOKUP($B468,Scores!$AG$1:$AM$7,7,FALSE)+(ROW(A467)/1000000)</f>
        <v>-5.1252472857142859</v>
      </c>
      <c r="AE468" s="2">
        <f t="array" ref="AE468">IF('ROS Rankings'!$AD$1,IFERROR(AVERAGE(IF(INDEX($C468:$S468,14):INDEX($C468:$S468,17)="NA",0,INDEX($C468:$S468,14):INDEX($C468:$S468,17))-INDEX($AQ$2:$BG$7,MATCH($B468,$AO$2:$AO$7,0),14):INDEX($AQ$2:$BG$7,MATCH($B468,$AO$2:$AO$7,0),17)),0),IFERROR(AVERAGE(IF(INDEX($C468:$S468,Week+1):INDEX($C468:$S468,13)="NA",0,INDEX($C468:$S468,Week+1):INDEX($C468:$S468,13))-INDEX($AQ$2:$BG$7,MATCH($B468,$AO$2:$AO$7,0),Week+1):INDEX($AQ$2:$BG$7,MATCH($B468,$AO$2:$AO$7,0),13)),0))+ROW(A467)/1000000</f>
        <v>-4.7095329999999995</v>
      </c>
      <c r="AF468">
        <f t="shared" si="64"/>
        <v>481</v>
      </c>
      <c r="AG468">
        <f t="shared" si="65"/>
        <v>463</v>
      </c>
      <c r="AH468">
        <f t="shared" si="66"/>
        <v>412</v>
      </c>
      <c r="AI468">
        <f t="shared" si="67"/>
        <v>410</v>
      </c>
      <c r="AJ468" s="22">
        <f>IF(ISERROR(MATCH(A468,Rosters!$B$2:$B$155,0)),AD468,"")</f>
        <v>-5.1252472857142859</v>
      </c>
      <c r="AK468">
        <f t="shared" si="68"/>
        <v>260</v>
      </c>
      <c r="AL468" s="23">
        <f>COUNTIF(INDEX($C468:$S468,Week+1):INDEX($C468:$S468,13),"&gt;0")</f>
        <v>7</v>
      </c>
    </row>
    <row r="469" spans="1:38" x14ac:dyDescent="0.25">
      <c r="A469" t="s">
        <v>102</v>
      </c>
      <c r="B469" t="s">
        <v>15</v>
      </c>
      <c r="C469">
        <v>0.97</v>
      </c>
      <c r="D469">
        <v>0.91</v>
      </c>
      <c r="E469">
        <v>0.99</v>
      </c>
      <c r="F469">
        <v>0.78</v>
      </c>
      <c r="G469">
        <v>0.71</v>
      </c>
      <c r="H469">
        <v>0.82</v>
      </c>
      <c r="I469">
        <v>0.89</v>
      </c>
      <c r="J469">
        <v>1.1000000000000001</v>
      </c>
      <c r="K469">
        <v>1.1200000000000001</v>
      </c>
      <c r="L469" t="s">
        <v>64</v>
      </c>
      <c r="M469">
        <v>0.8</v>
      </c>
      <c r="N469">
        <v>1.1000000000000001</v>
      </c>
      <c r="O469">
        <v>1.07</v>
      </c>
      <c r="P469">
        <v>0.89</v>
      </c>
      <c r="Q469">
        <v>1.08</v>
      </c>
      <c r="R469">
        <v>1.05</v>
      </c>
      <c r="S469">
        <v>0.85</v>
      </c>
      <c r="T469" s="2">
        <f>IF('ROS Rankings'!$AD$1,IFERROR(AVERAGE(INDEX($C469:$S469,14):INDEX($C469:$S469,17)),0),IFERROR(AVERAGE(INDEX($C469:$S469,Week+1):INDEX($C469:$S469,13)),0))</f>
        <v>0.98571428571428577</v>
      </c>
      <c r="U469" s="2">
        <f t="shared" si="62"/>
        <v>0.98571428571428577</v>
      </c>
      <c r="V469" s="2" t="str">
        <f t="shared" si="62"/>
        <v/>
      </c>
      <c r="W469" s="2" t="str">
        <f t="shared" si="62"/>
        <v/>
      </c>
      <c r="X469" s="2" t="str">
        <f t="shared" si="62"/>
        <v/>
      </c>
      <c r="Y469" s="2" t="str">
        <f t="shared" si="62"/>
        <v/>
      </c>
      <c r="Z469" s="2" t="str">
        <f t="shared" si="62"/>
        <v/>
      </c>
      <c r="AA469" s="23" t="str">
        <f t="shared" si="63"/>
        <v>QB41</v>
      </c>
      <c r="AB469" s="2">
        <f>$T469-VLOOKUP($B469,Scores!$AG$1:$AM$7,5,FALSE)</f>
        <v>-19.898571428571429</v>
      </c>
      <c r="AC469" s="2">
        <f>$T469-VLOOKUP($B469,Scores!$AG$1:$AM$7,6,FALSE)</f>
        <v>-18.918035714285715</v>
      </c>
      <c r="AD469" s="2">
        <f>$T469-VLOOKUP($B469,Scores!$AG$1:$AM$7,7,FALSE)+(ROW(A468)/1000000)</f>
        <v>-18.513817714285711</v>
      </c>
      <c r="AE469" s="2">
        <f t="array" ref="AE469">IF('ROS Rankings'!$AD$1,IFERROR(AVERAGE(IF(INDEX($C469:$S469,14):INDEX($C469:$S469,17)="NA",0,INDEX($C469:$S469,14):INDEX($C469:$S469,17))-INDEX($AQ$2:$BG$7,MATCH($B469,$AO$2:$AO$7,0),14):INDEX($AQ$2:$BG$7,MATCH($B469,$AO$2:$AO$7,0),17)),0),IFERROR(AVERAGE(IF(INDEX($C469:$S469,Week+1):INDEX($C469:$S469,13)="NA",0,INDEX($C469:$S469,Week+1):INDEX($C469:$S469,13))-INDEX($AQ$2:$BG$7,MATCH($B469,$AO$2:$AO$7,0),Week+1):INDEX($AQ$2:$BG$7,MATCH($B469,$AO$2:$AO$7,0),13)),0))+ROW(A468)/1000000</f>
        <v>-17.639531999999999</v>
      </c>
      <c r="AF469">
        <f t="shared" si="64"/>
        <v>532</v>
      </c>
      <c r="AG469">
        <f t="shared" si="65"/>
        <v>532</v>
      </c>
      <c r="AH469">
        <f t="shared" si="66"/>
        <v>532</v>
      </c>
      <c r="AI469">
        <f t="shared" si="67"/>
        <v>532</v>
      </c>
      <c r="AJ469" s="22">
        <f>IF(ISERROR(MATCH(A469,Rosters!$B$2:$B$155,0)),AD469,"")</f>
        <v>-18.513817714285711</v>
      </c>
      <c r="AK469">
        <f t="shared" si="68"/>
        <v>379</v>
      </c>
      <c r="AL469" s="23">
        <f>COUNTIF(INDEX($C469:$S469,Week+1):INDEX($C469:$S469,13),"&gt;0")</f>
        <v>7</v>
      </c>
    </row>
    <row r="470" spans="1:38" x14ac:dyDescent="0.25">
      <c r="A470" t="s">
        <v>313</v>
      </c>
      <c r="B470" t="s">
        <v>114</v>
      </c>
      <c r="C470">
        <v>6.76</v>
      </c>
      <c r="D470">
        <v>6.49</v>
      </c>
      <c r="E470">
        <v>5.6</v>
      </c>
      <c r="F470">
        <v>5.0599999999999996</v>
      </c>
      <c r="G470" t="s">
        <v>64</v>
      </c>
      <c r="H470">
        <v>5.52</v>
      </c>
      <c r="I470">
        <v>5.24</v>
      </c>
      <c r="J470">
        <v>5.9</v>
      </c>
      <c r="K470">
        <v>4.91</v>
      </c>
      <c r="L470">
        <v>4.9000000000000004</v>
      </c>
      <c r="M470">
        <v>5.67</v>
      </c>
      <c r="N470">
        <v>4.67</v>
      </c>
      <c r="O470">
        <v>4.9800000000000004</v>
      </c>
      <c r="P470">
        <v>4.91</v>
      </c>
      <c r="Q470">
        <v>5.66</v>
      </c>
      <c r="R470">
        <v>5.64</v>
      </c>
      <c r="S470">
        <v>5.42</v>
      </c>
      <c r="T470" s="2">
        <f>IF('ROS Rankings'!$AD$1,IFERROR(AVERAGE(INDEX($C470:$S470,14):INDEX($C470:$S470,17)),0),IFERROR(AVERAGE(INDEX($C470:$S470,Week+1):INDEX($C470:$S470,13)),0))</f>
        <v>5.2237500000000008</v>
      </c>
      <c r="U470" s="2" t="str">
        <f t="shared" si="62"/>
        <v/>
      </c>
      <c r="V470" s="2" t="str">
        <f t="shared" si="62"/>
        <v/>
      </c>
      <c r="W470" s="2" t="str">
        <f t="shared" si="62"/>
        <v/>
      </c>
      <c r="X470" s="2">
        <f t="shared" si="62"/>
        <v>5.2237500000000008</v>
      </c>
      <c r="Y470" s="2" t="str">
        <f t="shared" si="62"/>
        <v/>
      </c>
      <c r="Z470" s="2" t="str">
        <f t="shared" si="62"/>
        <v/>
      </c>
      <c r="AA470" s="23" t="str">
        <f t="shared" si="63"/>
        <v>TE12</v>
      </c>
      <c r="AB470" s="2">
        <f>$T470-VLOOKUP($B470,Scores!$AG$1:$AM$7,5,FALSE)</f>
        <v>-1.7749999999999986</v>
      </c>
      <c r="AC470" s="2">
        <f>$T470-VLOOKUP($B470,Scores!$AG$1:$AM$7,6,FALSE)</f>
        <v>-2.6249999999999218E-2</v>
      </c>
      <c r="AD470" s="2">
        <f>$T470-VLOOKUP($B470,Scores!$AG$1:$AM$7,7,FALSE)+(ROW(A469)/1000000)</f>
        <v>4.4219000000001063E-2</v>
      </c>
      <c r="AE470" s="2">
        <f t="array" ref="AE470">IF('ROS Rankings'!$AD$1,IFERROR(AVERAGE(IF(INDEX($C470:$S470,14):INDEX($C470:$S470,17)="NA",0,INDEX($C470:$S470,14):INDEX($C470:$S470,17))-INDEX($AQ$2:$BG$7,MATCH($B470,$AO$2:$AO$7,0),14):INDEX($AQ$2:$BG$7,MATCH($B470,$AO$2:$AO$7,0),17)),0),IFERROR(AVERAGE(IF(INDEX($C470:$S470,Week+1):INDEX($C470:$S470,13)="NA",0,INDEX($C470:$S470,Week+1):INDEX($C470:$S470,13))-INDEX($AQ$2:$BG$7,MATCH($B470,$AO$2:$AO$7,0),Week+1):INDEX($AQ$2:$BG$7,MATCH($B470,$AO$2:$AO$7,0),13)),0))+ROW(A469)/1000000</f>
        <v>0.12671900000000019</v>
      </c>
      <c r="AF470">
        <f t="shared" si="64"/>
        <v>123</v>
      </c>
      <c r="AG470">
        <f t="shared" si="65"/>
        <v>103</v>
      </c>
      <c r="AH470">
        <f t="shared" si="66"/>
        <v>140</v>
      </c>
      <c r="AI470">
        <f t="shared" si="67"/>
        <v>114</v>
      </c>
      <c r="AJ470" s="22" t="str">
        <f>IF(ISERROR(MATCH(A470,Rosters!$B$2:$B$155,0)),AD470,"")</f>
        <v/>
      </c>
      <c r="AK470" t="str">
        <f t="shared" si="68"/>
        <v/>
      </c>
      <c r="AL470" s="23">
        <f>COUNTIF(INDEX($C470:$S470,Week+1):INDEX($C470:$S470,13),"&gt;0")</f>
        <v>8</v>
      </c>
    </row>
    <row r="471" spans="1:38" x14ac:dyDescent="0.25">
      <c r="A471" t="s">
        <v>4243</v>
      </c>
      <c r="B471" t="s">
        <v>87</v>
      </c>
      <c r="C471" t="s">
        <v>64</v>
      </c>
      <c r="D471" t="s">
        <v>64</v>
      </c>
      <c r="E471">
        <v>0</v>
      </c>
      <c r="F471" t="s">
        <v>64</v>
      </c>
      <c r="G471">
        <v>0</v>
      </c>
      <c r="H471">
        <v>0</v>
      </c>
      <c r="I471">
        <v>0</v>
      </c>
      <c r="J471">
        <v>0</v>
      </c>
      <c r="K471">
        <v>0</v>
      </c>
      <c r="L471">
        <v>0.81</v>
      </c>
      <c r="M471">
        <v>0.75</v>
      </c>
      <c r="N471">
        <v>0.69</v>
      </c>
      <c r="O471">
        <v>0.56000000000000005</v>
      </c>
      <c r="P471">
        <v>0.81</v>
      </c>
      <c r="Q471">
        <v>0.55000000000000004</v>
      </c>
      <c r="R471">
        <v>0.59</v>
      </c>
      <c r="S471">
        <v>0.59</v>
      </c>
      <c r="T471" s="2">
        <f>IF('ROS Rankings'!$AD$1,IFERROR(AVERAGE(INDEX($C471:$S471,14):INDEX($C471:$S471,17)),0),IFERROR(AVERAGE(INDEX($C471:$S471,Week+1):INDEX($C471:$S471,13)),0))</f>
        <v>0.35125000000000001</v>
      </c>
      <c r="U471" s="2" t="str">
        <f t="shared" si="62"/>
        <v/>
      </c>
      <c r="V471" s="2" t="str">
        <f t="shared" si="62"/>
        <v/>
      </c>
      <c r="W471" s="2">
        <f t="shared" si="62"/>
        <v>0.35125000000000001</v>
      </c>
      <c r="X471" s="2" t="str">
        <f t="shared" si="62"/>
        <v/>
      </c>
      <c r="Y471" s="2" t="str">
        <f t="shared" si="62"/>
        <v/>
      </c>
      <c r="Z471" s="2" t="str">
        <f t="shared" si="62"/>
        <v/>
      </c>
      <c r="AA471" s="23" t="str">
        <f t="shared" si="63"/>
        <v>WR177</v>
      </c>
      <c r="AB471" s="2">
        <f>$T471-VLOOKUP($B471,Scores!$AG$1:$AM$7,5,FALSE)</f>
        <v>-10.02017857142857</v>
      </c>
      <c r="AC471" s="2">
        <f>$T471-VLOOKUP($B471,Scores!$AG$1:$AM$7,6,FALSE)</f>
        <v>-7.6801785714285717</v>
      </c>
      <c r="AD471" s="2">
        <f>$T471-VLOOKUP($B471,Scores!$AG$1:$AM$7,7,FALSE)+(ROW(A470)/1000000)</f>
        <v>-5.7011371428571422</v>
      </c>
      <c r="AE471" s="2">
        <f t="array" ref="AE471">IF('ROS Rankings'!$AD$1,IFERROR(AVERAGE(IF(INDEX($C471:$S471,14):INDEX($C471:$S471,17)="NA",0,INDEX($C471:$S471,14):INDEX($C471:$S471,17))-INDEX($AQ$2:$BG$7,MATCH($B471,$AO$2:$AO$7,0),14):INDEX($AQ$2:$BG$7,MATCH($B471,$AO$2:$AO$7,0),17)),0),IFERROR(AVERAGE(IF(INDEX($C471:$S471,Week+1):INDEX($C471:$S471,13)="NA",0,INDEX($C471:$S471,Week+1):INDEX($C471:$S471,13))-INDEX($AQ$2:$BG$7,MATCH($B471,$AO$2:$AO$7,0),Week+1):INDEX($AQ$2:$BG$7,MATCH($B471,$AO$2:$AO$7,0),13)),0))+ROW(A470)/1000000</f>
        <v>-5.0045300000000008</v>
      </c>
      <c r="AF471">
        <f t="shared" si="64"/>
        <v>457</v>
      </c>
      <c r="AG471">
        <f t="shared" si="65"/>
        <v>481</v>
      </c>
      <c r="AH471">
        <f t="shared" si="66"/>
        <v>509</v>
      </c>
      <c r="AI471">
        <f t="shared" si="67"/>
        <v>491</v>
      </c>
      <c r="AJ471" s="22">
        <f>IF(ISERROR(MATCH(A471,Rosters!$B$2:$B$155,0)),AD471,"")</f>
        <v>-5.7011371428571422</v>
      </c>
      <c r="AK471">
        <f t="shared" si="68"/>
        <v>357</v>
      </c>
      <c r="AL471" s="23">
        <f>COUNTIF(INDEX($C471:$S471,Week+1):INDEX($C471:$S471,13),"&gt;0")</f>
        <v>4</v>
      </c>
    </row>
    <row r="472" spans="1:38" x14ac:dyDescent="0.25">
      <c r="A472" t="s">
        <v>109</v>
      </c>
      <c r="B472" t="s">
        <v>47</v>
      </c>
      <c r="C472">
        <v>7.09</v>
      </c>
      <c r="D472">
        <v>5.98</v>
      </c>
      <c r="E472">
        <v>3.76</v>
      </c>
      <c r="F472">
        <v>3.88</v>
      </c>
      <c r="G472">
        <v>5.03</v>
      </c>
      <c r="H472">
        <v>3.29</v>
      </c>
      <c r="I472" t="s">
        <v>64</v>
      </c>
      <c r="J472">
        <v>3.14</v>
      </c>
      <c r="K472">
        <v>3.22</v>
      </c>
      <c r="L472">
        <v>3.4</v>
      </c>
      <c r="M472">
        <v>2.4700000000000002</v>
      </c>
      <c r="N472">
        <v>2.69</v>
      </c>
      <c r="O472">
        <v>2.76</v>
      </c>
      <c r="P472">
        <v>3.15</v>
      </c>
      <c r="Q472">
        <v>2.52</v>
      </c>
      <c r="R472">
        <v>2.64</v>
      </c>
      <c r="S472">
        <v>2.91</v>
      </c>
      <c r="T472" s="2">
        <f>IF('ROS Rankings'!$AD$1,IFERROR(AVERAGE(INDEX($C472:$S472,14):INDEX($C472:$S472,17)),0),IFERROR(AVERAGE(INDEX($C472:$S472,Week+1):INDEX($C472:$S472,13)),0))</f>
        <v>2.9957142857142856</v>
      </c>
      <c r="U472" s="2" t="str">
        <f t="shared" si="62"/>
        <v/>
      </c>
      <c r="V472" s="2">
        <f t="shared" si="62"/>
        <v>2.9957142857142856</v>
      </c>
      <c r="W472" s="2" t="str">
        <f t="shared" si="62"/>
        <v/>
      </c>
      <c r="X472" s="2" t="str">
        <f t="shared" si="62"/>
        <v/>
      </c>
      <c r="Y472" s="2" t="str">
        <f t="shared" si="62"/>
        <v/>
      </c>
      <c r="Z472" s="2" t="str">
        <f t="shared" si="62"/>
        <v/>
      </c>
      <c r="AA472" s="23" t="str">
        <f t="shared" si="63"/>
        <v>RB70</v>
      </c>
      <c r="AB472" s="2">
        <f>$T472-VLOOKUP($B472,Scores!$AG$1:$AM$7,5,FALSE)</f>
        <v>-8.7628571428571433</v>
      </c>
      <c r="AC472" s="2">
        <f>$T472-VLOOKUP($B472,Scores!$AG$1:$AM$7,6,FALSE)</f>
        <v>-5.2742857142857158</v>
      </c>
      <c r="AD472" s="2">
        <f>$T472-VLOOKUP($B472,Scores!$AG$1:$AM$7,7,FALSE)+(ROW(A471)/1000000)</f>
        <v>-2.8723861428571436</v>
      </c>
      <c r="AE472" s="2">
        <f t="array" ref="AE472">IF('ROS Rankings'!$AD$1,IFERROR(AVERAGE(IF(INDEX($C472:$S472,14):INDEX($C472:$S472,17)="NA",0,INDEX($C472:$S472,14):INDEX($C472:$S472,17))-INDEX($AQ$2:$BG$7,MATCH($B472,$AO$2:$AO$7,0),14):INDEX($AQ$2:$BG$7,MATCH($B472,$AO$2:$AO$7,0),17)),0),IFERROR(AVERAGE(IF(INDEX($C472:$S472,Week+1):INDEX($C472:$S472,13)="NA",0,INDEX($C472:$S472,Week+1):INDEX($C472:$S472,13))-INDEX($AQ$2:$BG$7,MATCH($B472,$AO$2:$AO$7,0),Week+1):INDEX($AQ$2:$BG$7,MATCH($B472,$AO$2:$AO$7,0),13)),0))+ROW(A471)/1000000</f>
        <v>-2.7382789999999995</v>
      </c>
      <c r="AF472">
        <f t="shared" si="64"/>
        <v>388</v>
      </c>
      <c r="AG472">
        <f t="shared" si="65"/>
        <v>366</v>
      </c>
      <c r="AH472">
        <f t="shared" si="66"/>
        <v>289</v>
      </c>
      <c r="AI472">
        <f t="shared" si="67"/>
        <v>281</v>
      </c>
      <c r="AJ472" s="22" t="str">
        <f>IF(ISERROR(MATCH(A472,Rosters!$B$2:$B$155,0)),AD472,"")</f>
        <v/>
      </c>
      <c r="AK472" t="str">
        <f t="shared" si="68"/>
        <v/>
      </c>
      <c r="AL472" s="23">
        <f>COUNTIF(INDEX($C472:$S472,Week+1):INDEX($C472:$S472,13),"&gt;0")</f>
        <v>7</v>
      </c>
    </row>
    <row r="473" spans="1:38" x14ac:dyDescent="0.25">
      <c r="A473" t="s">
        <v>221</v>
      </c>
      <c r="B473" t="s">
        <v>87</v>
      </c>
      <c r="C473">
        <v>3.24</v>
      </c>
      <c r="D473">
        <v>3.04</v>
      </c>
      <c r="E473">
        <v>4.71</v>
      </c>
      <c r="F473">
        <v>7.36</v>
      </c>
      <c r="G473">
        <v>8.0500000000000007</v>
      </c>
      <c r="H473">
        <v>6.91</v>
      </c>
      <c r="I473">
        <v>8.69</v>
      </c>
      <c r="J473">
        <v>9.1300000000000008</v>
      </c>
      <c r="K473" t="s">
        <v>64</v>
      </c>
      <c r="L473">
        <v>7.35</v>
      </c>
      <c r="M473">
        <v>8.25</v>
      </c>
      <c r="N473">
        <v>7.73</v>
      </c>
      <c r="O473">
        <v>7.96</v>
      </c>
      <c r="P473">
        <v>6.35</v>
      </c>
      <c r="Q473">
        <v>8.5299999999999994</v>
      </c>
      <c r="R473">
        <v>7.42</v>
      </c>
      <c r="S473">
        <v>6.69</v>
      </c>
      <c r="T473" s="2">
        <f>IF('ROS Rankings'!$AD$1,IFERROR(AVERAGE(INDEX($C473:$S473,14):INDEX($C473:$S473,17)),0),IFERROR(AVERAGE(INDEX($C473:$S473,Week+1):INDEX($C473:$S473,13)),0))</f>
        <v>8.0028571428571436</v>
      </c>
      <c r="U473" s="2" t="str">
        <f t="shared" si="62"/>
        <v/>
      </c>
      <c r="V473" s="2" t="str">
        <f t="shared" si="62"/>
        <v/>
      </c>
      <c r="W473" s="2">
        <f t="shared" si="62"/>
        <v>8.0028571428571436</v>
      </c>
      <c r="X473" s="2" t="str">
        <f t="shared" si="62"/>
        <v/>
      </c>
      <c r="Y473" s="2" t="str">
        <f t="shared" si="62"/>
        <v/>
      </c>
      <c r="Z473" s="2" t="str">
        <f t="shared" si="62"/>
        <v/>
      </c>
      <c r="AA473" s="23" t="str">
        <f t="shared" si="63"/>
        <v>WR37</v>
      </c>
      <c r="AB473" s="2">
        <f>$T473-VLOOKUP($B473,Scores!$AG$1:$AM$7,5,FALSE)</f>
        <v>-2.3685714285714266</v>
      </c>
      <c r="AC473" s="2">
        <f>$T473-VLOOKUP($B473,Scores!$AG$1:$AM$7,6,FALSE)</f>
        <v>-2.857142857142847E-2</v>
      </c>
      <c r="AD473" s="2">
        <f>$T473-VLOOKUP($B473,Scores!$AG$1:$AM$7,7,FALSE)+(ROW(A472)/1000000)</f>
        <v>1.9504720000000011</v>
      </c>
      <c r="AE473" s="2">
        <f t="array" ref="AE473">IF('ROS Rankings'!$AD$1,IFERROR(AVERAGE(IF(INDEX($C473:$S473,14):INDEX($C473:$S473,17)="NA",0,INDEX($C473:$S473,14):INDEX($C473:$S473,17))-INDEX($AQ$2:$BG$7,MATCH($B473,$AO$2:$AO$7,0),14):INDEX($AQ$2:$BG$7,MATCH($B473,$AO$2:$AO$7,0),17)),0),IFERROR(AVERAGE(IF(INDEX($C473:$S473,Week+1):INDEX($C473:$S473,13)="NA",0,INDEX($C473:$S473,Week+1):INDEX($C473:$S473,13))-INDEX($AQ$2:$BG$7,MATCH($B473,$AO$2:$AO$7,0),Week+1):INDEX($AQ$2:$BG$7,MATCH($B473,$AO$2:$AO$7,0),13)),0))+ROW(A472)/1000000</f>
        <v>1.6467219999999998</v>
      </c>
      <c r="AF473">
        <f t="shared" si="64"/>
        <v>147</v>
      </c>
      <c r="AG473">
        <f t="shared" si="65"/>
        <v>104</v>
      </c>
      <c r="AH473">
        <f t="shared" si="66"/>
        <v>71</v>
      </c>
      <c r="AI473">
        <f t="shared" si="67"/>
        <v>71</v>
      </c>
      <c r="AJ473" s="22" t="str">
        <f>IF(ISERROR(MATCH(A473,Rosters!$B$2:$B$155,0)),AD473,"")</f>
        <v/>
      </c>
      <c r="AK473" t="str">
        <f t="shared" si="68"/>
        <v/>
      </c>
      <c r="AL473" s="23">
        <f>COUNTIF(INDEX($C473:$S473,Week+1):INDEX($C473:$S473,13),"&gt;0")</f>
        <v>7</v>
      </c>
    </row>
    <row r="474" spans="1:38" x14ac:dyDescent="0.25">
      <c r="A474" t="s">
        <v>4250</v>
      </c>
      <c r="B474" t="s">
        <v>114</v>
      </c>
      <c r="C474" t="s">
        <v>64</v>
      </c>
      <c r="D474">
        <v>0.54</v>
      </c>
      <c r="E474">
        <v>0.6</v>
      </c>
      <c r="F474">
        <v>0.56999999999999995</v>
      </c>
      <c r="G474">
        <v>0.41</v>
      </c>
      <c r="H474">
        <v>0.38</v>
      </c>
      <c r="I474">
        <v>0.4</v>
      </c>
      <c r="J474">
        <v>0.55000000000000004</v>
      </c>
      <c r="K474">
        <v>0.54</v>
      </c>
      <c r="L474" t="s">
        <v>64</v>
      </c>
      <c r="M474">
        <v>0.38</v>
      </c>
      <c r="N474">
        <v>0.55000000000000004</v>
      </c>
      <c r="O474">
        <v>0.56999999999999995</v>
      </c>
      <c r="P474">
        <v>0.44</v>
      </c>
      <c r="Q474">
        <v>0.6</v>
      </c>
      <c r="R474">
        <v>0.51</v>
      </c>
      <c r="S474">
        <v>0.38</v>
      </c>
      <c r="T474" s="2">
        <f>IF('ROS Rankings'!$AD$1,IFERROR(AVERAGE(INDEX($C474:$S474,14):INDEX($C474:$S474,17)),0),IFERROR(AVERAGE(INDEX($C474:$S474,Week+1):INDEX($C474:$S474,13)),0))</f>
        <v>0.48142857142857137</v>
      </c>
      <c r="U474" s="2" t="str">
        <f t="shared" si="62"/>
        <v/>
      </c>
      <c r="V474" s="2" t="str">
        <f t="shared" si="62"/>
        <v/>
      </c>
      <c r="W474" s="2" t="str">
        <f t="shared" si="62"/>
        <v/>
      </c>
      <c r="X474" s="2">
        <f t="shared" ref="X474:Z537" si="69">IF($B474=X$1,$T474,"")</f>
        <v>0.48142857142857137</v>
      </c>
      <c r="Y474" s="2" t="str">
        <f t="shared" si="69"/>
        <v/>
      </c>
      <c r="Z474" s="2" t="str">
        <f t="shared" si="69"/>
        <v/>
      </c>
      <c r="AA474" s="23" t="str">
        <f t="shared" si="63"/>
        <v>TE89</v>
      </c>
      <c r="AB474" s="2">
        <f>$T474-VLOOKUP($B474,Scores!$AG$1:$AM$7,5,FALSE)</f>
        <v>-6.517321428571428</v>
      </c>
      <c r="AC474" s="2">
        <f>$T474-VLOOKUP($B474,Scores!$AG$1:$AM$7,6,FALSE)</f>
        <v>-4.7685714285714287</v>
      </c>
      <c r="AD474" s="2">
        <f>$T474-VLOOKUP($B474,Scores!$AG$1:$AM$7,7,FALSE)+(ROW(A473)/1000000)</f>
        <v>-4.698098428571428</v>
      </c>
      <c r="AE474" s="2">
        <f t="array" ref="AE474">IF('ROS Rankings'!$AD$1,IFERROR(AVERAGE(IF(INDEX($C474:$S474,14):INDEX($C474:$S474,17)="NA",0,INDEX($C474:$S474,14):INDEX($C474:$S474,17))-INDEX($AQ$2:$BG$7,MATCH($B474,$AO$2:$AO$7,0),14):INDEX($AQ$2:$BG$7,MATCH($B474,$AO$2:$AO$7,0),17)),0),IFERROR(AVERAGE(IF(INDEX($C474:$S474,Week+1):INDEX($C474:$S474,13)="NA",0,INDEX($C474:$S474,Week+1):INDEX($C474:$S474,13))-INDEX($AQ$2:$BG$7,MATCH($B474,$AO$2:$AO$7,0),Week+1):INDEX($AQ$2:$BG$7,MATCH($B474,$AO$2:$AO$7,0),13)),0))+ROW(A473)/1000000</f>
        <v>-4.6757769999999992</v>
      </c>
      <c r="AF474">
        <f t="shared" si="64"/>
        <v>320</v>
      </c>
      <c r="AG474">
        <f t="shared" si="65"/>
        <v>337</v>
      </c>
      <c r="AH474">
        <f t="shared" si="66"/>
        <v>381</v>
      </c>
      <c r="AI474">
        <f t="shared" si="67"/>
        <v>399</v>
      </c>
      <c r="AJ474" s="22">
        <f>IF(ISERROR(MATCH(A474,Rosters!$B$2:$B$155,0)),AD474,"")</f>
        <v>-4.698098428571428</v>
      </c>
      <c r="AK474">
        <f t="shared" si="68"/>
        <v>229</v>
      </c>
      <c r="AL474" s="23">
        <f>COUNTIF(INDEX($C474:$S474,Week+1):INDEX($C474:$S474,13),"&gt;0")</f>
        <v>7</v>
      </c>
    </row>
    <row r="475" spans="1:38" x14ac:dyDescent="0.25">
      <c r="A475" t="s">
        <v>1131</v>
      </c>
      <c r="B475" t="s">
        <v>47</v>
      </c>
      <c r="C475">
        <v>0.92</v>
      </c>
      <c r="D475">
        <v>0.8</v>
      </c>
      <c r="E475">
        <v>0.76</v>
      </c>
      <c r="F475">
        <v>1.26</v>
      </c>
      <c r="G475">
        <v>2.44</v>
      </c>
      <c r="H475">
        <v>0.81</v>
      </c>
      <c r="I475">
        <v>0.76</v>
      </c>
      <c r="J475">
        <v>1.1399999999999999</v>
      </c>
      <c r="K475">
        <v>0.79</v>
      </c>
      <c r="L475" t="s">
        <v>64</v>
      </c>
      <c r="M475">
        <v>1.08</v>
      </c>
      <c r="N475">
        <v>0.86</v>
      </c>
      <c r="O475">
        <v>0.79</v>
      </c>
      <c r="P475">
        <v>1.19</v>
      </c>
      <c r="Q475">
        <v>0.7</v>
      </c>
      <c r="R475">
        <v>0.72</v>
      </c>
      <c r="S475">
        <v>0.81</v>
      </c>
      <c r="T475" s="2">
        <f>IF('ROS Rankings'!$AD$1,IFERROR(AVERAGE(INDEX($C475:$S475,14):INDEX($C475:$S475,17)),0),IFERROR(AVERAGE(INDEX($C475:$S475,Week+1):INDEX($C475:$S475,13)),0))</f>
        <v>0.89</v>
      </c>
      <c r="U475" s="2" t="str">
        <f t="shared" ref="U475:Z538" si="70">IF($B475=U$1,$T475,"")</f>
        <v/>
      </c>
      <c r="V475" s="2">
        <f t="shared" si="70"/>
        <v>0.89</v>
      </c>
      <c r="W475" s="2" t="str">
        <f t="shared" si="70"/>
        <v/>
      </c>
      <c r="X475" s="2" t="str">
        <f t="shared" si="70"/>
        <v/>
      </c>
      <c r="Y475" s="2" t="str">
        <f t="shared" si="70"/>
        <v/>
      </c>
      <c r="Z475" s="2" t="str">
        <f t="shared" si="70"/>
        <v/>
      </c>
      <c r="AA475" s="23" t="str">
        <f t="shared" si="63"/>
        <v>RB91</v>
      </c>
      <c r="AB475" s="2">
        <f>$T475-VLOOKUP($B475,Scores!$AG$1:$AM$7,5,FALSE)</f>
        <v>-10.868571428571428</v>
      </c>
      <c r="AC475" s="2">
        <f>$T475-VLOOKUP($B475,Scores!$AG$1:$AM$7,6,FALSE)</f>
        <v>-7.3800000000000017</v>
      </c>
      <c r="AD475" s="2">
        <f>$T475-VLOOKUP($B475,Scores!$AG$1:$AM$7,7,FALSE)+(ROW(A474)/1000000)</f>
        <v>-4.9780974285714299</v>
      </c>
      <c r="AE475" s="2">
        <f t="array" ref="AE475">IF('ROS Rankings'!$AD$1,IFERROR(AVERAGE(IF(INDEX($C475:$S475,14):INDEX($C475:$S475,17)="NA",0,INDEX($C475:$S475,14):INDEX($C475:$S475,17))-INDEX($AQ$2:$BG$7,MATCH($B475,$AO$2:$AO$7,0),14):INDEX($AQ$2:$BG$7,MATCH($B475,$AO$2:$AO$7,0),17)),0),IFERROR(AVERAGE(IF(INDEX($C475:$S475,Week+1):INDEX($C475:$S475,13)="NA",0,INDEX($C475:$S475,Week+1):INDEX($C475:$S475,13))-INDEX($AQ$2:$BG$7,MATCH($B475,$AO$2:$AO$7,0),Week+1):INDEX($AQ$2:$BG$7,MATCH($B475,$AO$2:$AO$7,0),13)),0))+ROW(A474)/1000000</f>
        <v>-4.5807760000000002</v>
      </c>
      <c r="AF475">
        <f t="shared" si="64"/>
        <v>479</v>
      </c>
      <c r="AG475">
        <f t="shared" si="65"/>
        <v>436</v>
      </c>
      <c r="AH475">
        <f t="shared" si="66"/>
        <v>406</v>
      </c>
      <c r="AI475">
        <f t="shared" si="67"/>
        <v>383</v>
      </c>
      <c r="AJ475" s="22">
        <f>IF(ISERROR(MATCH(A475,Rosters!$B$2:$B$155,0)),AD475,"")</f>
        <v>-4.9780974285714299</v>
      </c>
      <c r="AK475">
        <f t="shared" si="68"/>
        <v>254</v>
      </c>
      <c r="AL475" s="23">
        <f>COUNTIF(INDEX($C475:$S475,Week+1):INDEX($C475:$S475,13),"&gt;0")</f>
        <v>7</v>
      </c>
    </row>
    <row r="476" spans="1:38" x14ac:dyDescent="0.25">
      <c r="A476" t="s">
        <v>244</v>
      </c>
      <c r="B476" t="s">
        <v>114</v>
      </c>
      <c r="C476">
        <v>2.23</v>
      </c>
      <c r="D476">
        <v>1.76</v>
      </c>
      <c r="E476">
        <v>2.64</v>
      </c>
      <c r="F476">
        <v>2.89</v>
      </c>
      <c r="G476">
        <v>2.09</v>
      </c>
      <c r="H476">
        <v>2.29</v>
      </c>
      <c r="I476">
        <v>2.5299999999999998</v>
      </c>
      <c r="J476">
        <v>2.68</v>
      </c>
      <c r="K476">
        <v>2.63</v>
      </c>
      <c r="L476">
        <v>2.15</v>
      </c>
      <c r="M476">
        <v>2.3199999999999998</v>
      </c>
      <c r="N476" t="s">
        <v>64</v>
      </c>
      <c r="O476">
        <v>2.2799999999999998</v>
      </c>
      <c r="P476">
        <v>1.98</v>
      </c>
      <c r="Q476">
        <v>2.12</v>
      </c>
      <c r="R476">
        <v>2.39</v>
      </c>
      <c r="S476">
        <v>2.65</v>
      </c>
      <c r="T476" s="2">
        <f>IF('ROS Rankings'!$AD$1,IFERROR(AVERAGE(INDEX($C476:$S476,14):INDEX($C476:$S476,17)),0),IFERROR(AVERAGE(INDEX($C476:$S476,Week+1):INDEX($C476:$S476,13)),0))</f>
        <v>2.4114285714285715</v>
      </c>
      <c r="U476" s="2" t="str">
        <f t="shared" si="70"/>
        <v/>
      </c>
      <c r="V476" s="2" t="str">
        <f t="shared" si="70"/>
        <v/>
      </c>
      <c r="W476" s="2" t="str">
        <f t="shared" si="70"/>
        <v/>
      </c>
      <c r="X476" s="2">
        <f t="shared" si="70"/>
        <v>2.4114285714285715</v>
      </c>
      <c r="Y476" s="2" t="str">
        <f t="shared" si="70"/>
        <v/>
      </c>
      <c r="Z476" s="2" t="str">
        <f t="shared" si="70"/>
        <v/>
      </c>
      <c r="AA476" s="23" t="str">
        <f t="shared" si="63"/>
        <v>TE42</v>
      </c>
      <c r="AB476" s="2">
        <f>$T476-VLOOKUP($B476,Scores!$AG$1:$AM$7,5,FALSE)</f>
        <v>-4.5873214285714283</v>
      </c>
      <c r="AC476" s="2">
        <f>$T476-VLOOKUP($B476,Scores!$AG$1:$AM$7,6,FALSE)</f>
        <v>-2.8385714285714285</v>
      </c>
      <c r="AD476" s="2">
        <f>$T476-VLOOKUP($B476,Scores!$AG$1:$AM$7,7,FALSE)+(ROW(A475)/1000000)</f>
        <v>-2.7680964285714285</v>
      </c>
      <c r="AE476" s="2">
        <f t="array" ref="AE476">IF('ROS Rankings'!$AD$1,IFERROR(AVERAGE(IF(INDEX($C476:$S476,14):INDEX($C476:$S476,17)="NA",0,INDEX($C476:$S476,14):INDEX($C476:$S476,17))-INDEX($AQ$2:$BG$7,MATCH($B476,$AO$2:$AO$7,0),14):INDEX($AQ$2:$BG$7,MATCH($B476,$AO$2:$AO$7,0),17)),0),IFERROR(AVERAGE(IF(INDEX($C476:$S476,Week+1):INDEX($C476:$S476,13)="NA",0,INDEX($C476:$S476,Week+1):INDEX($C476:$S476,13))-INDEX($AQ$2:$BG$7,MATCH($B476,$AO$2:$AO$7,0),Week+1):INDEX($AQ$2:$BG$7,MATCH($B476,$AO$2:$AO$7,0),13)),0))+ROW(A475)/1000000</f>
        <v>-2.987025</v>
      </c>
      <c r="AF476">
        <f t="shared" si="64"/>
        <v>221</v>
      </c>
      <c r="AG476">
        <f t="shared" si="65"/>
        <v>234</v>
      </c>
      <c r="AH476">
        <f t="shared" si="66"/>
        <v>283</v>
      </c>
      <c r="AI476">
        <f t="shared" si="67"/>
        <v>294</v>
      </c>
      <c r="AJ476" s="22">
        <f>IF(ISERROR(MATCH(A476,Rosters!$B$2:$B$155,0)),AD476,"")</f>
        <v>-2.7680964285714285</v>
      </c>
      <c r="AK476">
        <f t="shared" si="68"/>
        <v>138</v>
      </c>
      <c r="AL476" s="23">
        <f>COUNTIF(INDEX($C476:$S476,Week+1):INDEX($C476:$S476,13),"&gt;0")</f>
        <v>7</v>
      </c>
    </row>
    <row r="477" spans="1:38" x14ac:dyDescent="0.25">
      <c r="A477" t="s">
        <v>325</v>
      </c>
      <c r="B477" t="s">
        <v>114</v>
      </c>
      <c r="C477">
        <v>3.09</v>
      </c>
      <c r="D477">
        <v>2.76</v>
      </c>
      <c r="E477">
        <v>2.5</v>
      </c>
      <c r="F477">
        <v>2.74</v>
      </c>
      <c r="G477">
        <v>3.69</v>
      </c>
      <c r="H477">
        <v>3.29</v>
      </c>
      <c r="I477">
        <v>3.04</v>
      </c>
      <c r="J477">
        <v>3.21</v>
      </c>
      <c r="K477" t="s">
        <v>64</v>
      </c>
      <c r="L477">
        <v>3.39</v>
      </c>
      <c r="M477">
        <v>2.9</v>
      </c>
      <c r="N477">
        <v>3.18</v>
      </c>
      <c r="O477">
        <v>2.83</v>
      </c>
      <c r="P477">
        <v>3.02</v>
      </c>
      <c r="Q477">
        <v>2.93</v>
      </c>
      <c r="R477">
        <v>3.04</v>
      </c>
      <c r="S477">
        <v>3.23</v>
      </c>
      <c r="T477" s="2">
        <f>IF('ROS Rankings'!$AD$1,IFERROR(AVERAGE(INDEX($C477:$S477,14):INDEX($C477:$S477,17)),0),IFERROR(AVERAGE(INDEX($C477:$S477,Week+1):INDEX($C477:$S477,13)),0))</f>
        <v>3.1200000000000006</v>
      </c>
      <c r="U477" s="2" t="str">
        <f t="shared" si="70"/>
        <v/>
      </c>
      <c r="V477" s="2" t="str">
        <f t="shared" si="70"/>
        <v/>
      </c>
      <c r="W477" s="2" t="str">
        <f t="shared" si="70"/>
        <v/>
      </c>
      <c r="X477" s="2">
        <f t="shared" si="70"/>
        <v>3.1200000000000006</v>
      </c>
      <c r="Y477" s="2" t="str">
        <f t="shared" si="70"/>
        <v/>
      </c>
      <c r="Z477" s="2" t="str">
        <f t="shared" si="70"/>
        <v/>
      </c>
      <c r="AA477" s="23" t="str">
        <f t="shared" si="63"/>
        <v>TE27</v>
      </c>
      <c r="AB477" s="2">
        <f>$T477-VLOOKUP($B477,Scores!$AG$1:$AM$7,5,FALSE)</f>
        <v>-3.8787499999999988</v>
      </c>
      <c r="AC477" s="2">
        <f>$T477-VLOOKUP($B477,Scores!$AG$1:$AM$7,6,FALSE)</f>
        <v>-2.1299999999999994</v>
      </c>
      <c r="AD477" s="2">
        <f>$T477-VLOOKUP($B477,Scores!$AG$1:$AM$7,7,FALSE)+(ROW(A476)/1000000)</f>
        <v>-2.0595239999999992</v>
      </c>
      <c r="AE477" s="2">
        <f t="array" ref="AE477">IF('ROS Rankings'!$AD$1,IFERROR(AVERAGE(IF(INDEX($C477:$S477,14):INDEX($C477:$S477,17)="NA",0,INDEX($C477:$S477,14):INDEX($C477:$S477,17))-INDEX($AQ$2:$BG$7,MATCH($B477,$AO$2:$AO$7,0),14):INDEX($AQ$2:$BG$7,MATCH($B477,$AO$2:$AO$7,0),17)),0),IFERROR(AVERAGE(IF(INDEX($C477:$S477,Week+1):INDEX($C477:$S477,13)="NA",0,INDEX($C477:$S477,Week+1):INDEX($C477:$S477,13))-INDEX($AQ$2:$BG$7,MATCH($B477,$AO$2:$AO$7,0),Week+1):INDEX($AQ$2:$BG$7,MATCH($B477,$AO$2:$AO$7,0),13)),0))+ROW(A476)/1000000</f>
        <v>-2.3670239999999998</v>
      </c>
      <c r="AF477">
        <f t="shared" si="64"/>
        <v>184</v>
      </c>
      <c r="AG477">
        <f t="shared" si="65"/>
        <v>202</v>
      </c>
      <c r="AH477">
        <f t="shared" si="66"/>
        <v>250</v>
      </c>
      <c r="AI477">
        <f t="shared" si="67"/>
        <v>259</v>
      </c>
      <c r="AJ477" s="22">
        <f>IF(ISERROR(MATCH(A477,Rosters!$B$2:$B$155,0)),AD477,"")</f>
        <v>-2.0595239999999992</v>
      </c>
      <c r="AK477">
        <f t="shared" si="68"/>
        <v>106</v>
      </c>
      <c r="AL477" s="23">
        <f>COUNTIF(INDEX($C477:$S477,Week+1):INDEX($C477:$S477,13),"&gt;0")</f>
        <v>7</v>
      </c>
    </row>
    <row r="478" spans="1:38" x14ac:dyDescent="0.25">
      <c r="A478" t="s">
        <v>180</v>
      </c>
      <c r="B478" t="s">
        <v>87</v>
      </c>
      <c r="C478">
        <v>4.38</v>
      </c>
      <c r="D478">
        <v>4.87</v>
      </c>
      <c r="E478">
        <v>6.76</v>
      </c>
      <c r="F478">
        <v>8.02</v>
      </c>
      <c r="G478">
        <v>6.97</v>
      </c>
      <c r="H478">
        <v>6.49</v>
      </c>
      <c r="I478" t="s">
        <v>64</v>
      </c>
      <c r="J478">
        <v>6.03</v>
      </c>
      <c r="K478">
        <v>6.12</v>
      </c>
      <c r="L478">
        <v>6.78</v>
      </c>
      <c r="M478">
        <v>6.62</v>
      </c>
      <c r="N478">
        <v>7.07</v>
      </c>
      <c r="O478">
        <v>6.8</v>
      </c>
      <c r="P478">
        <v>6.6</v>
      </c>
      <c r="Q478">
        <v>6.61</v>
      </c>
      <c r="R478">
        <v>6.22</v>
      </c>
      <c r="S478">
        <v>7.12</v>
      </c>
      <c r="T478" s="2">
        <f>IF('ROS Rankings'!$AD$1,IFERROR(AVERAGE(INDEX($C478:$S478,14):INDEX($C478:$S478,17)),0),IFERROR(AVERAGE(INDEX($C478:$S478,Week+1):INDEX($C478:$S478,13)),0))</f>
        <v>6.5585714285714278</v>
      </c>
      <c r="U478" s="2" t="str">
        <f t="shared" si="70"/>
        <v/>
      </c>
      <c r="V478" s="2" t="str">
        <f t="shared" si="70"/>
        <v/>
      </c>
      <c r="W478" s="2">
        <f t="shared" si="70"/>
        <v>6.5585714285714278</v>
      </c>
      <c r="X478" s="2" t="str">
        <f t="shared" si="70"/>
        <v/>
      </c>
      <c r="Y478" s="2" t="str">
        <f t="shared" si="70"/>
        <v/>
      </c>
      <c r="Z478" s="2" t="str">
        <f t="shared" si="70"/>
        <v/>
      </c>
      <c r="AA478" s="23" t="str">
        <f t="shared" si="63"/>
        <v>WR49</v>
      </c>
      <c r="AB478" s="2">
        <f>$T478-VLOOKUP($B478,Scores!$AG$1:$AM$7,5,FALSE)</f>
        <v>-3.8128571428571423</v>
      </c>
      <c r="AC478" s="2">
        <f>$T478-VLOOKUP($B478,Scores!$AG$1:$AM$7,6,FALSE)</f>
        <v>-1.4728571428571442</v>
      </c>
      <c r="AD478" s="2">
        <f>$T478-VLOOKUP($B478,Scores!$AG$1:$AM$7,7,FALSE)+(ROW(A477)/1000000)</f>
        <v>0.50619128571428529</v>
      </c>
      <c r="AE478" s="2">
        <f t="array" ref="AE478">IF('ROS Rankings'!$AD$1,IFERROR(AVERAGE(IF(INDEX($C478:$S478,14):INDEX($C478:$S478,17)="NA",0,INDEX($C478:$S478,14):INDEX($C478:$S478,17))-INDEX($AQ$2:$BG$7,MATCH($B478,$AO$2:$AO$7,0),14):INDEX($AQ$2:$BG$7,MATCH($B478,$AO$2:$AO$7,0),17)),0),IFERROR(AVERAGE(IF(INDEX($C478:$S478,Week+1):INDEX($C478:$S478,13)="NA",0,INDEX($C478:$S478,Week+1):INDEX($C478:$S478,13))-INDEX($AQ$2:$BG$7,MATCH($B478,$AO$2:$AO$7,0),Week+1):INDEX($AQ$2:$BG$7,MATCH($B478,$AO$2:$AO$7,0),13)),0))+ROW(A477)/1000000</f>
        <v>0.38297700000000007</v>
      </c>
      <c r="AF478">
        <f t="shared" si="64"/>
        <v>181</v>
      </c>
      <c r="AG478">
        <f t="shared" si="65"/>
        <v>175</v>
      </c>
      <c r="AH478">
        <f t="shared" si="66"/>
        <v>118</v>
      </c>
      <c r="AI478">
        <f t="shared" si="67"/>
        <v>106</v>
      </c>
      <c r="AJ478" s="22">
        <f>IF(ISERROR(MATCH(A478,Rosters!$B$2:$B$155,0)),AD478,"")</f>
        <v>0.50619128571428529</v>
      </c>
      <c r="AK478">
        <f t="shared" si="68"/>
        <v>7</v>
      </c>
      <c r="AL478" s="23">
        <f>COUNTIF(INDEX($C478:$S478,Week+1):INDEX($C478:$S478,13),"&gt;0")</f>
        <v>7</v>
      </c>
    </row>
    <row r="479" spans="1:38" x14ac:dyDescent="0.25">
      <c r="A479" t="s">
        <v>124</v>
      </c>
      <c r="B479" t="s">
        <v>87</v>
      </c>
      <c r="C479">
        <v>8.7100000000000009</v>
      </c>
      <c r="D479">
        <v>10.84</v>
      </c>
      <c r="E479">
        <v>13.88</v>
      </c>
      <c r="F479">
        <v>10.91</v>
      </c>
      <c r="G479">
        <v>11.83</v>
      </c>
      <c r="H479">
        <v>12.83</v>
      </c>
      <c r="I479">
        <v>13.74</v>
      </c>
      <c r="J479">
        <v>13.26</v>
      </c>
      <c r="K479">
        <v>12.61</v>
      </c>
      <c r="L479">
        <v>12.2</v>
      </c>
      <c r="M479">
        <v>12.29</v>
      </c>
      <c r="N479" t="s">
        <v>64</v>
      </c>
      <c r="O479">
        <v>14.33</v>
      </c>
      <c r="P479">
        <v>11.41</v>
      </c>
      <c r="Q479">
        <v>13.53</v>
      </c>
      <c r="R479">
        <v>12.43</v>
      </c>
      <c r="S479">
        <v>14.86</v>
      </c>
      <c r="T479" s="2">
        <f>IF('ROS Rankings'!$AD$1,IFERROR(AVERAGE(INDEX($C479:$S479,14):INDEX($C479:$S479,17)),0),IFERROR(AVERAGE(INDEX($C479:$S479,Week+1):INDEX($C479:$S479,13)),0))</f>
        <v>13.037142857142857</v>
      </c>
      <c r="U479" s="2" t="str">
        <f t="shared" si="70"/>
        <v/>
      </c>
      <c r="V479" s="2" t="str">
        <f t="shared" si="70"/>
        <v/>
      </c>
      <c r="W479" s="2">
        <f t="shared" si="70"/>
        <v>13.037142857142857</v>
      </c>
      <c r="X479" s="2" t="str">
        <f t="shared" si="70"/>
        <v/>
      </c>
      <c r="Y479" s="2" t="str">
        <f t="shared" si="70"/>
        <v/>
      </c>
      <c r="Z479" s="2" t="str">
        <f t="shared" si="70"/>
        <v/>
      </c>
      <c r="AA479" s="23" t="str">
        <f t="shared" si="63"/>
        <v>WR5</v>
      </c>
      <c r="AB479" s="2">
        <f>$T479-VLOOKUP($B479,Scores!$AG$1:$AM$7,5,FALSE)</f>
        <v>2.6657142857142873</v>
      </c>
      <c r="AC479" s="2">
        <f>$T479-VLOOKUP($B479,Scores!$AG$1:$AM$7,6,FALSE)</f>
        <v>5.0057142857142853</v>
      </c>
      <c r="AD479" s="2">
        <f>$T479-VLOOKUP($B479,Scores!$AG$1:$AM$7,7,FALSE)+(ROW(A478)/1000000)</f>
        <v>6.9847637142857151</v>
      </c>
      <c r="AE479" s="2">
        <f t="array" ref="AE479">IF('ROS Rankings'!$AD$1,IFERROR(AVERAGE(IF(INDEX($C479:$S479,14):INDEX($C479:$S479,17)="NA",0,INDEX($C479:$S479,14):INDEX($C479:$S479,17))-INDEX($AQ$2:$BG$7,MATCH($B479,$AO$2:$AO$7,0),14):INDEX($AQ$2:$BG$7,MATCH($B479,$AO$2:$AO$7,0),17)),0),IFERROR(AVERAGE(IF(INDEX($C479:$S479,Week+1):INDEX($C479:$S479,13)="NA",0,INDEX($C479:$S479,Week+1):INDEX($C479:$S479,13))-INDEX($AQ$2:$BG$7,MATCH($B479,$AO$2:$AO$7,0),Week+1):INDEX($AQ$2:$BG$7,MATCH($B479,$AO$2:$AO$7,0),13)),0))+ROW(A478)/1000000</f>
        <v>6.0517279999999998</v>
      </c>
      <c r="AF479">
        <f t="shared" si="64"/>
        <v>12</v>
      </c>
      <c r="AG479">
        <f t="shared" si="65"/>
        <v>13</v>
      </c>
      <c r="AH479">
        <f t="shared" si="66"/>
        <v>15</v>
      </c>
      <c r="AI479">
        <f t="shared" si="67"/>
        <v>15</v>
      </c>
      <c r="AJ479" s="22" t="str">
        <f>IF(ISERROR(MATCH(A479,Rosters!$B$2:$B$155,0)),AD479,"")</f>
        <v/>
      </c>
      <c r="AK479" t="str">
        <f t="shared" si="68"/>
        <v/>
      </c>
      <c r="AL479" s="23">
        <f>COUNTIF(INDEX($C479:$S479,Week+1):INDEX($C479:$S479,13),"&gt;0")</f>
        <v>7</v>
      </c>
    </row>
    <row r="480" spans="1:38" x14ac:dyDescent="0.25">
      <c r="A480" t="s">
        <v>210</v>
      </c>
      <c r="B480" t="s">
        <v>87</v>
      </c>
      <c r="C480">
        <v>5.79</v>
      </c>
      <c r="D480">
        <v>6.45</v>
      </c>
      <c r="E480">
        <v>5.6</v>
      </c>
      <c r="F480">
        <v>4.71</v>
      </c>
      <c r="G480">
        <v>4.45</v>
      </c>
      <c r="H480">
        <v>4.8099999999999996</v>
      </c>
      <c r="I480">
        <v>5.71</v>
      </c>
      <c r="J480" t="s">
        <v>64</v>
      </c>
      <c r="K480">
        <v>4.8499999999999996</v>
      </c>
      <c r="L480">
        <v>4.3099999999999996</v>
      </c>
      <c r="M480">
        <v>5.24</v>
      </c>
      <c r="N480">
        <v>4.97</v>
      </c>
      <c r="O480">
        <v>4.2300000000000004</v>
      </c>
      <c r="P480">
        <v>4.67</v>
      </c>
      <c r="Q480">
        <v>4.0199999999999996</v>
      </c>
      <c r="R480">
        <v>3.97</v>
      </c>
      <c r="S480">
        <v>5.05</v>
      </c>
      <c r="T480" s="2">
        <f>IF('ROS Rankings'!$AD$1,IFERROR(AVERAGE(INDEX($C480:$S480,14):INDEX($C480:$S480,17)),0),IFERROR(AVERAGE(INDEX($C480:$S480,Week+1):INDEX($C480:$S480,13)),0))</f>
        <v>4.8742857142857146</v>
      </c>
      <c r="U480" s="2" t="str">
        <f t="shared" si="70"/>
        <v/>
      </c>
      <c r="V480" s="2" t="str">
        <f t="shared" si="70"/>
        <v/>
      </c>
      <c r="W480" s="2">
        <f t="shared" si="70"/>
        <v>4.8742857142857146</v>
      </c>
      <c r="X480" s="2" t="str">
        <f t="shared" si="70"/>
        <v/>
      </c>
      <c r="Y480" s="2" t="str">
        <f t="shared" si="70"/>
        <v/>
      </c>
      <c r="Z480" s="2" t="str">
        <f t="shared" si="70"/>
        <v/>
      </c>
      <c r="AA480" s="23" t="str">
        <f t="shared" si="63"/>
        <v>WR63</v>
      </c>
      <c r="AB480" s="2">
        <f>$T480-VLOOKUP($B480,Scores!$AG$1:$AM$7,5,FALSE)</f>
        <v>-5.4971428571428556</v>
      </c>
      <c r="AC480" s="2">
        <f>$T480-VLOOKUP($B480,Scores!$AG$1:$AM$7,6,FALSE)</f>
        <v>-3.1571428571428575</v>
      </c>
      <c r="AD480" s="2">
        <f>$T480-VLOOKUP($B480,Scores!$AG$1:$AM$7,7,FALSE)+(ROW(A479)/1000000)</f>
        <v>-1.178092428571428</v>
      </c>
      <c r="AE480" s="2">
        <f t="array" ref="AE480">IF('ROS Rankings'!$AD$1,IFERROR(AVERAGE(IF(INDEX($C480:$S480,14):INDEX($C480:$S480,17)="NA",0,INDEX($C480:$S480,14):INDEX($C480:$S480,17))-INDEX($AQ$2:$BG$7,MATCH($B480,$AO$2:$AO$7,0),14):INDEX($AQ$2:$BG$7,MATCH($B480,$AO$2:$AO$7,0),17)),0),IFERROR(AVERAGE(IF(INDEX($C480:$S480,Week+1):INDEX($C480:$S480,13)="NA",0,INDEX($C480:$S480,Week+1):INDEX($C480:$S480,13))-INDEX($AQ$2:$BG$7,MATCH($B480,$AO$2:$AO$7,0),Week+1):INDEX($AQ$2:$BG$7,MATCH($B480,$AO$2:$AO$7,0),13)),0))+ROW(A479)/1000000</f>
        <v>-1.0907710000000002</v>
      </c>
      <c r="AF480">
        <f t="shared" si="64"/>
        <v>261</v>
      </c>
      <c r="AG480">
        <f t="shared" si="65"/>
        <v>252</v>
      </c>
      <c r="AH480">
        <f t="shared" si="66"/>
        <v>208</v>
      </c>
      <c r="AI480">
        <f t="shared" si="67"/>
        <v>173</v>
      </c>
      <c r="AJ480" s="22">
        <f>IF(ISERROR(MATCH(A480,Rosters!$B$2:$B$155,0)),AD480,"")</f>
        <v>-1.178092428571428</v>
      </c>
      <c r="AK480">
        <f t="shared" si="68"/>
        <v>70</v>
      </c>
      <c r="AL480" s="23">
        <f>COUNTIF(INDEX($C480:$S480,Week+1):INDEX($C480:$S480,13),"&gt;0")</f>
        <v>7</v>
      </c>
    </row>
    <row r="481" spans="1:38" x14ac:dyDescent="0.25">
      <c r="A481" t="s">
        <v>68</v>
      </c>
      <c r="B481" t="s">
        <v>15</v>
      </c>
      <c r="C481">
        <v>12.79</v>
      </c>
      <c r="D481">
        <v>16.399999999999999</v>
      </c>
      <c r="E481">
        <v>16.8</v>
      </c>
      <c r="F481">
        <v>0</v>
      </c>
      <c r="G481">
        <v>1.0900000000000001</v>
      </c>
      <c r="H481">
        <v>1.1599999999999999</v>
      </c>
      <c r="I481">
        <v>1.07</v>
      </c>
      <c r="J481">
        <v>1.1200000000000001</v>
      </c>
      <c r="K481">
        <v>1.1399999999999999</v>
      </c>
      <c r="L481">
        <v>1.1399999999999999</v>
      </c>
      <c r="M481" t="s">
        <v>64</v>
      </c>
      <c r="N481">
        <v>1.07</v>
      </c>
      <c r="O481">
        <v>1.0900000000000001</v>
      </c>
      <c r="P481">
        <v>1.1299999999999999</v>
      </c>
      <c r="Q481">
        <v>1.07</v>
      </c>
      <c r="R481">
        <v>1.1499999999999999</v>
      </c>
      <c r="S481">
        <v>1.07</v>
      </c>
      <c r="T481" s="2">
        <f>IF('ROS Rankings'!$AD$1,IFERROR(AVERAGE(INDEX($C481:$S481,14):INDEX($C481:$S481,17)),0),IFERROR(AVERAGE(INDEX($C481:$S481,Week+1):INDEX($C481:$S481,13)),0))</f>
        <v>1.1128571428571428</v>
      </c>
      <c r="U481" s="2">
        <f t="shared" si="70"/>
        <v>1.1128571428571428</v>
      </c>
      <c r="V481" s="2" t="str">
        <f t="shared" si="70"/>
        <v/>
      </c>
      <c r="W481" s="2" t="str">
        <f t="shared" si="70"/>
        <v/>
      </c>
      <c r="X481" s="2" t="str">
        <f t="shared" si="70"/>
        <v/>
      </c>
      <c r="Y481" s="2" t="str">
        <f t="shared" si="70"/>
        <v/>
      </c>
      <c r="Z481" s="2" t="str">
        <f t="shared" si="70"/>
        <v/>
      </c>
      <c r="AA481" s="23" t="str">
        <f t="shared" si="63"/>
        <v>QB36</v>
      </c>
      <c r="AB481" s="2">
        <f>$T481-VLOOKUP($B481,Scores!$AG$1:$AM$7,5,FALSE)</f>
        <v>-19.771428571428572</v>
      </c>
      <c r="AC481" s="2">
        <f>$T481-VLOOKUP($B481,Scores!$AG$1:$AM$7,6,FALSE)</f>
        <v>-18.790892857142858</v>
      </c>
      <c r="AD481" s="2">
        <f>$T481-VLOOKUP($B481,Scores!$AG$1:$AM$7,7,FALSE)+(ROW(A480)/1000000)</f>
        <v>-18.386662857142856</v>
      </c>
      <c r="AE481" s="2">
        <f t="array" ref="AE481">IF('ROS Rankings'!$AD$1,IFERROR(AVERAGE(IF(INDEX($C481:$S481,14):INDEX($C481:$S481,17)="NA",0,INDEX($C481:$S481,14):INDEX($C481:$S481,17))-INDEX($AQ$2:$BG$7,MATCH($B481,$AO$2:$AO$7,0),14):INDEX($AQ$2:$BG$7,MATCH($B481,$AO$2:$AO$7,0),17)),0),IFERROR(AVERAGE(IF(INDEX($C481:$S481,Week+1):INDEX($C481:$S481,13)="NA",0,INDEX($C481:$S481,Week+1):INDEX($C481:$S481,13))-INDEX($AQ$2:$BG$7,MATCH($B481,$AO$2:$AO$7,0),Week+1):INDEX($AQ$2:$BG$7,MATCH($B481,$AO$2:$AO$7,0),13)),0))+ROW(A480)/1000000</f>
        <v>-17.528269999999999</v>
      </c>
      <c r="AF481">
        <f t="shared" si="64"/>
        <v>527</v>
      </c>
      <c r="AG481">
        <f t="shared" si="65"/>
        <v>527</v>
      </c>
      <c r="AH481">
        <f t="shared" si="66"/>
        <v>527</v>
      </c>
      <c r="AI481">
        <f t="shared" si="67"/>
        <v>527</v>
      </c>
      <c r="AJ481" s="22">
        <f>IF(ISERROR(MATCH(A481,Rosters!$B$2:$B$155,0)),AD481,"")</f>
        <v>-18.386662857142856</v>
      </c>
      <c r="AK481">
        <f t="shared" si="68"/>
        <v>374</v>
      </c>
      <c r="AL481" s="23">
        <f>COUNTIF(INDEX($C481:$S481,Week+1):INDEX($C481:$S481,13),"&gt;0")</f>
        <v>7</v>
      </c>
    </row>
    <row r="482" spans="1:38" x14ac:dyDescent="0.25">
      <c r="A482" t="s">
        <v>214</v>
      </c>
      <c r="B482" t="s">
        <v>114</v>
      </c>
      <c r="C482">
        <v>0</v>
      </c>
      <c r="D482">
        <v>2.91</v>
      </c>
      <c r="E482">
        <v>1.94</v>
      </c>
      <c r="F482">
        <v>4.54</v>
      </c>
      <c r="G482">
        <v>5.77</v>
      </c>
      <c r="H482">
        <v>4.6900000000000004</v>
      </c>
      <c r="I482" t="s">
        <v>64</v>
      </c>
      <c r="J482">
        <v>4.3499999999999996</v>
      </c>
      <c r="K482">
        <v>3.66</v>
      </c>
      <c r="L482">
        <v>4.2</v>
      </c>
      <c r="M482">
        <v>3.44</v>
      </c>
      <c r="N482">
        <v>4.07</v>
      </c>
      <c r="O482">
        <v>4.32</v>
      </c>
      <c r="P482">
        <v>5.08</v>
      </c>
      <c r="Q482">
        <v>5.09</v>
      </c>
      <c r="R482">
        <v>4.59</v>
      </c>
      <c r="S482">
        <v>4.91</v>
      </c>
      <c r="T482" s="2">
        <f>IF('ROS Rankings'!$AD$1,IFERROR(AVERAGE(INDEX($C482:$S482,14):INDEX($C482:$S482,17)),0),IFERROR(AVERAGE(INDEX($C482:$S482,Week+1):INDEX($C482:$S482,13)),0))</f>
        <v>4.1042857142857141</v>
      </c>
      <c r="U482" s="2" t="str">
        <f t="shared" si="70"/>
        <v/>
      </c>
      <c r="V482" s="2" t="str">
        <f t="shared" si="70"/>
        <v/>
      </c>
      <c r="W482" s="2" t="str">
        <f t="shared" si="70"/>
        <v/>
      </c>
      <c r="X482" s="2">
        <f t="shared" si="70"/>
        <v>4.1042857142857141</v>
      </c>
      <c r="Y482" s="2" t="str">
        <f t="shared" si="70"/>
        <v/>
      </c>
      <c r="Z482" s="2" t="str">
        <f t="shared" si="70"/>
        <v/>
      </c>
      <c r="AA482" s="23" t="str">
        <f t="shared" si="63"/>
        <v>TE20</v>
      </c>
      <c r="AB482" s="2">
        <f>$T482-VLOOKUP($B482,Scores!$AG$1:$AM$7,5,FALSE)</f>
        <v>-2.8944642857142853</v>
      </c>
      <c r="AC482" s="2">
        <f>$T482-VLOOKUP($B482,Scores!$AG$1:$AM$7,6,FALSE)</f>
        <v>-1.1457142857142859</v>
      </c>
      <c r="AD482" s="2">
        <f>$T482-VLOOKUP($B482,Scores!$AG$1:$AM$7,7,FALSE)+(ROW(A481)/1000000)</f>
        <v>-1.0752332857142857</v>
      </c>
      <c r="AE482" s="2">
        <f t="array" ref="AE482">IF('ROS Rankings'!$AD$1,IFERROR(AVERAGE(IF(INDEX($C482:$S482,14):INDEX($C482:$S482,17)="NA",0,INDEX($C482:$S482,14):INDEX($C482:$S482,17))-INDEX($AQ$2:$BG$7,MATCH($B482,$AO$2:$AO$7,0),14):INDEX($AQ$2:$BG$7,MATCH($B482,$AO$2:$AO$7,0),17)),0),IFERROR(AVERAGE(IF(INDEX($C482:$S482,Week+1):INDEX($C482:$S482,13)="NA",0,INDEX($C482:$S482,Week+1):INDEX($C482:$S482,13))-INDEX($AQ$2:$BG$7,MATCH($B482,$AO$2:$AO$7,0),Week+1):INDEX($AQ$2:$BG$7,MATCH($B482,$AO$2:$AO$7,0),13)),0))+ROW(A481)/1000000</f>
        <v>-1.5057689999999999</v>
      </c>
      <c r="AF482">
        <f t="shared" si="64"/>
        <v>161</v>
      </c>
      <c r="AG482">
        <f t="shared" si="65"/>
        <v>166</v>
      </c>
      <c r="AH482">
        <f t="shared" si="66"/>
        <v>205</v>
      </c>
      <c r="AI482">
        <f t="shared" si="67"/>
        <v>213</v>
      </c>
      <c r="AJ482" s="22" t="str">
        <f>IF(ISERROR(MATCH(A482,Rosters!$B$2:$B$155,0)),AD482,"")</f>
        <v/>
      </c>
      <c r="AK482" t="str">
        <f t="shared" si="68"/>
        <v/>
      </c>
      <c r="AL482" s="23">
        <f>COUNTIF(INDEX($C482:$S482,Week+1):INDEX($C482:$S482,13),"&gt;0")</f>
        <v>7</v>
      </c>
    </row>
    <row r="483" spans="1:38" x14ac:dyDescent="0.25">
      <c r="A483" t="s">
        <v>265</v>
      </c>
      <c r="B483" t="s">
        <v>114</v>
      </c>
      <c r="C483">
        <v>2.06</v>
      </c>
      <c r="D483">
        <v>2.29</v>
      </c>
      <c r="E483">
        <v>2.57</v>
      </c>
      <c r="F483" t="s">
        <v>64</v>
      </c>
      <c r="G483">
        <v>2.5099999999999998</v>
      </c>
      <c r="H483">
        <v>2.2400000000000002</v>
      </c>
      <c r="I483">
        <v>2.63</v>
      </c>
      <c r="J483">
        <v>2.4300000000000002</v>
      </c>
      <c r="K483">
        <v>3.01</v>
      </c>
      <c r="L483">
        <v>3.17</v>
      </c>
      <c r="M483">
        <v>3.22</v>
      </c>
      <c r="N483">
        <v>2.5299999999999998</v>
      </c>
      <c r="O483">
        <v>2.5499999999999998</v>
      </c>
      <c r="P483">
        <v>2.5</v>
      </c>
      <c r="Q483">
        <v>2.6</v>
      </c>
      <c r="R483">
        <v>2.9</v>
      </c>
      <c r="S483">
        <v>2.65</v>
      </c>
      <c r="T483" s="2">
        <f>IF('ROS Rankings'!$AD$1,IFERROR(AVERAGE(INDEX($C483:$S483,14):INDEX($C483:$S483,17)),0),IFERROR(AVERAGE(INDEX($C483:$S483,Week+1):INDEX($C483:$S483,13)),0))</f>
        <v>2.7225000000000001</v>
      </c>
      <c r="U483" s="2" t="str">
        <f t="shared" si="70"/>
        <v/>
      </c>
      <c r="V483" s="2" t="str">
        <f t="shared" si="70"/>
        <v/>
      </c>
      <c r="W483" s="2" t="str">
        <f t="shared" si="70"/>
        <v/>
      </c>
      <c r="X483" s="2">
        <f t="shared" si="70"/>
        <v>2.7225000000000001</v>
      </c>
      <c r="Y483" s="2" t="str">
        <f t="shared" si="70"/>
        <v/>
      </c>
      <c r="Z483" s="2" t="str">
        <f t="shared" si="70"/>
        <v/>
      </c>
      <c r="AA483" s="23" t="str">
        <f t="shared" si="63"/>
        <v>TE35</v>
      </c>
      <c r="AB483" s="2">
        <f>$T483-VLOOKUP($B483,Scores!$AG$1:$AM$7,5,FALSE)</f>
        <v>-4.2762499999999992</v>
      </c>
      <c r="AC483" s="2">
        <f>$T483-VLOOKUP($B483,Scores!$AG$1:$AM$7,6,FALSE)</f>
        <v>-2.5274999999999999</v>
      </c>
      <c r="AD483" s="2">
        <f>$T483-VLOOKUP($B483,Scores!$AG$1:$AM$7,7,FALSE)+(ROW(A482)/1000000)</f>
        <v>-2.4570179999999997</v>
      </c>
      <c r="AE483" s="2">
        <f t="array" ref="AE483">IF('ROS Rankings'!$AD$1,IFERROR(AVERAGE(IF(INDEX($C483:$S483,14):INDEX($C483:$S483,17)="NA",0,INDEX($C483:$S483,14):INDEX($C483:$S483,17))-INDEX($AQ$2:$BG$7,MATCH($B483,$AO$2:$AO$7,0),14):INDEX($AQ$2:$BG$7,MATCH($B483,$AO$2:$AO$7,0),17)),0),IFERROR(AVERAGE(IF(INDEX($C483:$S483,Week+1):INDEX($C483:$S483,13)="NA",0,INDEX($C483:$S483,Week+1):INDEX($C483:$S483,13))-INDEX($AQ$2:$BG$7,MATCH($B483,$AO$2:$AO$7,0),Week+1):INDEX($AQ$2:$BG$7,MATCH($B483,$AO$2:$AO$7,0),13)),0))+ROW(A482)/1000000</f>
        <v>-2.3745179999999997</v>
      </c>
      <c r="AF483">
        <f t="shared" si="64"/>
        <v>204</v>
      </c>
      <c r="AG483">
        <f t="shared" si="65"/>
        <v>218</v>
      </c>
      <c r="AH483">
        <f t="shared" si="66"/>
        <v>266</v>
      </c>
      <c r="AI483">
        <f t="shared" si="67"/>
        <v>261</v>
      </c>
      <c r="AJ483" s="22">
        <f>IF(ISERROR(MATCH(A483,Rosters!$B$2:$B$155,0)),AD483,"")</f>
        <v>-2.4570179999999997</v>
      </c>
      <c r="AK483">
        <f t="shared" si="68"/>
        <v>122</v>
      </c>
      <c r="AL483" s="23">
        <f>COUNTIF(INDEX($C483:$S483,Week+1):INDEX($C483:$S483,13),"&gt;0")</f>
        <v>8</v>
      </c>
    </row>
    <row r="484" spans="1:38" x14ac:dyDescent="0.25">
      <c r="A484" t="s">
        <v>1566</v>
      </c>
      <c r="B484" t="s">
        <v>87</v>
      </c>
      <c r="C484">
        <v>0</v>
      </c>
      <c r="D484">
        <v>0</v>
      </c>
      <c r="E484">
        <v>0.62</v>
      </c>
      <c r="F484">
        <v>0.73</v>
      </c>
      <c r="G484">
        <v>1.1599999999999999</v>
      </c>
      <c r="H484">
        <v>0.61</v>
      </c>
      <c r="I484">
        <v>0.56999999999999995</v>
      </c>
      <c r="J484">
        <v>0.54</v>
      </c>
      <c r="K484">
        <v>0.56000000000000005</v>
      </c>
      <c r="L484">
        <v>0.52</v>
      </c>
      <c r="M484" t="s">
        <v>64</v>
      </c>
      <c r="N484">
        <v>0.61</v>
      </c>
      <c r="O484">
        <v>0.54</v>
      </c>
      <c r="P484">
        <v>0.57999999999999996</v>
      </c>
      <c r="Q484">
        <v>0.56000000000000005</v>
      </c>
      <c r="R484">
        <v>0.51</v>
      </c>
      <c r="S484">
        <v>0.55000000000000004</v>
      </c>
      <c r="T484" s="2">
        <f>IF('ROS Rankings'!$AD$1,IFERROR(AVERAGE(INDEX($C484:$S484,14):INDEX($C484:$S484,17)),0),IFERROR(AVERAGE(INDEX($C484:$S484,Week+1):INDEX($C484:$S484,13)),0))</f>
        <v>0.56428571428571428</v>
      </c>
      <c r="U484" s="2" t="str">
        <f t="shared" si="70"/>
        <v/>
      </c>
      <c r="V484" s="2" t="str">
        <f t="shared" si="70"/>
        <v/>
      </c>
      <c r="W484" s="2">
        <f t="shared" si="70"/>
        <v>0.56428571428571428</v>
      </c>
      <c r="X484" s="2" t="str">
        <f t="shared" si="70"/>
        <v/>
      </c>
      <c r="Y484" s="2" t="str">
        <f t="shared" si="70"/>
        <v/>
      </c>
      <c r="Z484" s="2" t="str">
        <f t="shared" si="70"/>
        <v/>
      </c>
      <c r="AA484" s="23" t="str">
        <f t="shared" si="63"/>
        <v>WR158</v>
      </c>
      <c r="AB484" s="2">
        <f>$T484-VLOOKUP($B484,Scores!$AG$1:$AM$7,5,FALSE)</f>
        <v>-9.8071428571428552</v>
      </c>
      <c r="AC484" s="2">
        <f>$T484-VLOOKUP($B484,Scores!$AG$1:$AM$7,6,FALSE)</f>
        <v>-7.467142857142858</v>
      </c>
      <c r="AD484" s="2">
        <f>$T484-VLOOKUP($B484,Scores!$AG$1:$AM$7,7,FALSE)+(ROW(A483)/1000000)</f>
        <v>-5.4880884285714284</v>
      </c>
      <c r="AE484" s="2">
        <f t="array" ref="AE484">IF('ROS Rankings'!$AD$1,IFERROR(AVERAGE(IF(INDEX($C484:$S484,14):INDEX($C484:$S484,17)="NA",0,INDEX($C484:$S484,14):INDEX($C484:$S484,17))-INDEX($AQ$2:$BG$7,MATCH($B484,$AO$2:$AO$7,0),14):INDEX($AQ$2:$BG$7,MATCH($B484,$AO$2:$AO$7,0),17)),0),IFERROR(AVERAGE(IF(INDEX($C484:$S484,Week+1):INDEX($C484:$S484,13)="NA",0,INDEX($C484:$S484,Week+1):INDEX($C484:$S484,13))-INDEX($AQ$2:$BG$7,MATCH($B484,$AO$2:$AO$7,0),Week+1):INDEX($AQ$2:$BG$7,MATCH($B484,$AO$2:$AO$7,0),13)),0))+ROW(A483)/1000000</f>
        <v>-4.8620169999999998</v>
      </c>
      <c r="AF484">
        <f t="shared" si="64"/>
        <v>433</v>
      </c>
      <c r="AG484">
        <f t="shared" si="65"/>
        <v>452</v>
      </c>
      <c r="AH484">
        <f t="shared" si="66"/>
        <v>483</v>
      </c>
      <c r="AI484">
        <f t="shared" si="67"/>
        <v>457</v>
      </c>
      <c r="AJ484" s="22">
        <f>IF(ISERROR(MATCH(A484,Rosters!$B$2:$B$155,0)),AD484,"")</f>
        <v>-5.4880884285714284</v>
      </c>
      <c r="AK484">
        <f t="shared" si="68"/>
        <v>331</v>
      </c>
      <c r="AL484" s="23">
        <f>COUNTIF(INDEX($C484:$S484,Week+1):INDEX($C484:$S484,13),"&gt;0")</f>
        <v>7</v>
      </c>
    </row>
    <row r="485" spans="1:38" x14ac:dyDescent="0.25">
      <c r="A485" t="s">
        <v>267</v>
      </c>
      <c r="B485" t="s">
        <v>114</v>
      </c>
      <c r="C485">
        <v>2.7</v>
      </c>
      <c r="D485">
        <v>2.41</v>
      </c>
      <c r="E485">
        <v>2.91</v>
      </c>
      <c r="F485">
        <v>3.59</v>
      </c>
      <c r="G485">
        <v>3.32</v>
      </c>
      <c r="H485">
        <v>3.18</v>
      </c>
      <c r="I485">
        <v>3.2</v>
      </c>
      <c r="J485" t="s">
        <v>64</v>
      </c>
      <c r="K485">
        <v>3.23</v>
      </c>
      <c r="L485">
        <v>3.15</v>
      </c>
      <c r="M485">
        <v>3.48</v>
      </c>
      <c r="N485">
        <v>2.74</v>
      </c>
      <c r="O485">
        <v>2.0099999999999998</v>
      </c>
      <c r="P485">
        <v>1.94</v>
      </c>
      <c r="Q485">
        <v>2.73</v>
      </c>
      <c r="R485">
        <v>2.72</v>
      </c>
      <c r="S485">
        <v>3.31</v>
      </c>
      <c r="T485" s="2">
        <f>IF('ROS Rankings'!$AD$1,IFERROR(AVERAGE(INDEX($C485:$S485,14):INDEX($C485:$S485,17)),0),IFERROR(AVERAGE(INDEX($C485:$S485,Week+1):INDEX($C485:$S485,13)),0))</f>
        <v>2.9985714285714287</v>
      </c>
      <c r="U485" s="2" t="str">
        <f t="shared" si="70"/>
        <v/>
      </c>
      <c r="V485" s="2" t="str">
        <f t="shared" si="70"/>
        <v/>
      </c>
      <c r="W485" s="2" t="str">
        <f t="shared" si="70"/>
        <v/>
      </c>
      <c r="X485" s="2">
        <f t="shared" si="70"/>
        <v>2.9985714285714287</v>
      </c>
      <c r="Y485" s="2" t="str">
        <f t="shared" si="70"/>
        <v/>
      </c>
      <c r="Z485" s="2" t="str">
        <f t="shared" si="70"/>
        <v/>
      </c>
      <c r="AA485" s="23" t="str">
        <f t="shared" si="63"/>
        <v>TE29</v>
      </c>
      <c r="AB485" s="2">
        <f>$T485-VLOOKUP($B485,Scores!$AG$1:$AM$7,5,FALSE)</f>
        <v>-4.0001785714285703</v>
      </c>
      <c r="AC485" s="2">
        <f>$T485-VLOOKUP($B485,Scores!$AG$1:$AM$7,6,FALSE)</f>
        <v>-2.2514285714285713</v>
      </c>
      <c r="AD485" s="2">
        <f>$T485-VLOOKUP($B485,Scores!$AG$1:$AM$7,7,FALSE)+(ROW(A484)/1000000)</f>
        <v>-2.1809445714285709</v>
      </c>
      <c r="AE485" s="2">
        <f t="array" ref="AE485">IF('ROS Rankings'!$AD$1,IFERROR(AVERAGE(IF(INDEX($C485:$S485,14):INDEX($C485:$S485,17)="NA",0,INDEX($C485:$S485,14):INDEX($C485:$S485,17))-INDEX($AQ$2:$BG$7,MATCH($B485,$AO$2:$AO$7,0),14):INDEX($AQ$2:$BG$7,MATCH($B485,$AO$2:$AO$7,0),17)),0),IFERROR(AVERAGE(IF(INDEX($C485:$S485,Week+1):INDEX($C485:$S485,13)="NA",0,INDEX($C485:$S485,Week+1):INDEX($C485:$S485,13))-INDEX($AQ$2:$BG$7,MATCH($B485,$AO$2:$AO$7,0),Week+1):INDEX($AQ$2:$BG$7,MATCH($B485,$AO$2:$AO$7,0),13)),0))+ROW(A484)/1000000</f>
        <v>-2.4732659999999997</v>
      </c>
      <c r="AF485">
        <f t="shared" si="64"/>
        <v>190</v>
      </c>
      <c r="AG485">
        <f t="shared" si="65"/>
        <v>208</v>
      </c>
      <c r="AH485">
        <f t="shared" si="66"/>
        <v>254</v>
      </c>
      <c r="AI485">
        <f t="shared" si="67"/>
        <v>266</v>
      </c>
      <c r="AJ485" s="22">
        <f>IF(ISERROR(MATCH(A485,Rosters!$B$2:$B$155,0)),AD485,"")</f>
        <v>-2.1809445714285709</v>
      </c>
      <c r="AK485">
        <f t="shared" si="68"/>
        <v>110</v>
      </c>
      <c r="AL485" s="23">
        <f>COUNTIF(INDEX($C485:$S485,Week+1):INDEX($C485:$S485,13),"&gt;0")</f>
        <v>7</v>
      </c>
    </row>
    <row r="486" spans="1:38" x14ac:dyDescent="0.25">
      <c r="A486" t="s">
        <v>4245</v>
      </c>
      <c r="B486" t="s">
        <v>87</v>
      </c>
      <c r="C486" t="s">
        <v>64</v>
      </c>
      <c r="D486">
        <v>0.53</v>
      </c>
      <c r="E486">
        <v>0.54</v>
      </c>
      <c r="F486">
        <v>0</v>
      </c>
      <c r="G486">
        <v>1.76</v>
      </c>
      <c r="H486">
        <v>1.54</v>
      </c>
      <c r="I486">
        <v>1.78</v>
      </c>
      <c r="J486">
        <v>1.56</v>
      </c>
      <c r="K486">
        <v>1.66</v>
      </c>
      <c r="L486" t="s">
        <v>64</v>
      </c>
      <c r="M486">
        <v>1.37</v>
      </c>
      <c r="N486">
        <v>0.5</v>
      </c>
      <c r="O486">
        <v>0.63</v>
      </c>
      <c r="P486">
        <v>0.52</v>
      </c>
      <c r="Q486">
        <v>0.6</v>
      </c>
      <c r="R486">
        <v>0.57999999999999996</v>
      </c>
      <c r="S486">
        <v>0.59</v>
      </c>
      <c r="T486" s="2">
        <f>IF('ROS Rankings'!$AD$1,IFERROR(AVERAGE(INDEX($C486:$S486,14):INDEX($C486:$S486,17)),0),IFERROR(AVERAGE(INDEX($C486:$S486,Week+1):INDEX($C486:$S486,13)),0))</f>
        <v>1.2914285714285716</v>
      </c>
      <c r="U486" s="2" t="str">
        <f t="shared" si="70"/>
        <v/>
      </c>
      <c r="V486" s="2" t="str">
        <f t="shared" si="70"/>
        <v/>
      </c>
      <c r="W486" s="2">
        <f t="shared" si="70"/>
        <v>1.2914285714285716</v>
      </c>
      <c r="X486" s="2" t="str">
        <f t="shared" si="70"/>
        <v/>
      </c>
      <c r="Y486" s="2" t="str">
        <f t="shared" si="70"/>
        <v/>
      </c>
      <c r="Z486" s="2" t="str">
        <f t="shared" si="70"/>
        <v/>
      </c>
      <c r="AA486" s="23" t="str">
        <f t="shared" si="63"/>
        <v>WR118</v>
      </c>
      <c r="AB486" s="2">
        <f>$T486-VLOOKUP($B486,Scores!$AG$1:$AM$7,5,FALSE)</f>
        <v>-9.0799999999999983</v>
      </c>
      <c r="AC486" s="2">
        <f>$T486-VLOOKUP($B486,Scores!$AG$1:$AM$7,6,FALSE)</f>
        <v>-6.74</v>
      </c>
      <c r="AD486" s="2">
        <f>$T486-VLOOKUP($B486,Scores!$AG$1:$AM$7,7,FALSE)+(ROW(A485)/1000000)</f>
        <v>-4.7609435714285704</v>
      </c>
      <c r="AE486" s="2">
        <f t="array" ref="AE486">IF('ROS Rankings'!$AD$1,IFERROR(AVERAGE(IF(INDEX($C486:$S486,14):INDEX($C486:$S486,17)="NA",0,INDEX($C486:$S486,14):INDEX($C486:$S486,17))-INDEX($AQ$2:$BG$7,MATCH($B486,$AO$2:$AO$7,0),14):INDEX($AQ$2:$BG$7,MATCH($B486,$AO$2:$AO$7,0),17)),0),IFERROR(AVERAGE(IF(INDEX($C486:$S486,Week+1):INDEX($C486:$S486,13)="NA",0,INDEX($C486:$S486,Week+1):INDEX($C486:$S486,13))-INDEX($AQ$2:$BG$7,MATCH($B486,$AO$2:$AO$7,0),Week+1):INDEX($AQ$2:$BG$7,MATCH($B486,$AO$2:$AO$7,0),13)),0))+ROW(A485)/1000000</f>
        <v>-4.225765</v>
      </c>
      <c r="AF486">
        <f t="shared" si="64"/>
        <v>392</v>
      </c>
      <c r="AG486">
        <f t="shared" si="65"/>
        <v>397</v>
      </c>
      <c r="AH486">
        <f t="shared" si="66"/>
        <v>391</v>
      </c>
      <c r="AI486">
        <f t="shared" si="67"/>
        <v>356</v>
      </c>
      <c r="AJ486" s="22">
        <f>IF(ISERROR(MATCH(A486,Rosters!$B$2:$B$155,0)),AD486,"")</f>
        <v>-4.7609435714285704</v>
      </c>
      <c r="AK486">
        <f t="shared" si="68"/>
        <v>239</v>
      </c>
      <c r="AL486" s="23">
        <f>COUNTIF(INDEX($C486:$S486,Week+1):INDEX($C486:$S486,13),"&gt;0")</f>
        <v>7</v>
      </c>
    </row>
    <row r="487" spans="1:38" x14ac:dyDescent="0.25">
      <c r="A487" t="s">
        <v>268</v>
      </c>
      <c r="B487" t="s">
        <v>47</v>
      </c>
      <c r="C487">
        <v>2.1</v>
      </c>
      <c r="D487">
        <v>2.69</v>
      </c>
      <c r="E487">
        <v>1.88</v>
      </c>
      <c r="F487">
        <v>1.67</v>
      </c>
      <c r="G487">
        <v>1.86</v>
      </c>
      <c r="H487">
        <v>1.95</v>
      </c>
      <c r="I487">
        <v>1.58</v>
      </c>
      <c r="J487">
        <v>1.79</v>
      </c>
      <c r="K487" t="s">
        <v>64</v>
      </c>
      <c r="L487">
        <v>1.69</v>
      </c>
      <c r="M487">
        <v>1.5</v>
      </c>
      <c r="N487">
        <v>1.8</v>
      </c>
      <c r="O487">
        <v>2.04</v>
      </c>
      <c r="P487">
        <v>1.73</v>
      </c>
      <c r="Q487">
        <v>1.58</v>
      </c>
      <c r="R487">
        <v>1.67</v>
      </c>
      <c r="S487">
        <v>1.59</v>
      </c>
      <c r="T487" s="2">
        <f>IF('ROS Rankings'!$AD$1,IFERROR(AVERAGE(INDEX($C487:$S487,14):INDEX($C487:$S487,17)),0),IFERROR(AVERAGE(INDEX($C487:$S487,Week+1):INDEX($C487:$S487,13)),0))</f>
        <v>1.7642857142857145</v>
      </c>
      <c r="U487" s="2" t="str">
        <f t="shared" si="70"/>
        <v/>
      </c>
      <c r="V487" s="2">
        <f t="shared" si="70"/>
        <v>1.7642857142857145</v>
      </c>
      <c r="W487" s="2" t="str">
        <f t="shared" si="70"/>
        <v/>
      </c>
      <c r="X487" s="2" t="str">
        <f t="shared" si="70"/>
        <v/>
      </c>
      <c r="Y487" s="2" t="str">
        <f t="shared" si="70"/>
        <v/>
      </c>
      <c r="Z487" s="2" t="str">
        <f t="shared" si="70"/>
        <v/>
      </c>
      <c r="AA487" s="23" t="str">
        <f t="shared" si="63"/>
        <v>RB78</v>
      </c>
      <c r="AB487" s="2">
        <f>$T487-VLOOKUP($B487,Scores!$AG$1:$AM$7,5,FALSE)</f>
        <v>-9.9942857142857147</v>
      </c>
      <c r="AC487" s="2">
        <f>$T487-VLOOKUP($B487,Scores!$AG$1:$AM$7,6,FALSE)</f>
        <v>-6.5057142857142871</v>
      </c>
      <c r="AD487" s="2">
        <f>$T487-VLOOKUP($B487,Scores!$AG$1:$AM$7,7,FALSE)+(ROW(A486)/1000000)</f>
        <v>-4.1037997142857146</v>
      </c>
      <c r="AE487" s="2">
        <f t="array" ref="AE487">IF('ROS Rankings'!$AD$1,IFERROR(AVERAGE(IF(INDEX($C487:$S487,14):INDEX($C487:$S487,17)="NA",0,INDEX($C487:$S487,14):INDEX($C487:$S487,17))-INDEX($AQ$2:$BG$7,MATCH($B487,$AO$2:$AO$7,0),14):INDEX($AQ$2:$BG$7,MATCH($B487,$AO$2:$AO$7,0),17)),0),IFERROR(AVERAGE(IF(INDEX($C487:$S487,Week+1):INDEX($C487:$S487,13)="NA",0,INDEX($C487:$S487,Week+1):INDEX($C487:$S487,13))-INDEX($AQ$2:$BG$7,MATCH($B487,$AO$2:$AO$7,0),Week+1):INDEX($AQ$2:$BG$7,MATCH($B487,$AO$2:$AO$7,0),13)),0))+ROW(A486)/1000000</f>
        <v>-3.8157639999999997</v>
      </c>
      <c r="AF487">
        <f t="shared" si="64"/>
        <v>454</v>
      </c>
      <c r="AG487">
        <f t="shared" si="65"/>
        <v>394</v>
      </c>
      <c r="AH487">
        <f t="shared" si="66"/>
        <v>348</v>
      </c>
      <c r="AI487">
        <f t="shared" si="67"/>
        <v>339</v>
      </c>
      <c r="AJ487" s="22">
        <f>IF(ISERROR(MATCH(A487,Rosters!$B$2:$B$155,0)),AD487,"")</f>
        <v>-4.1037997142857146</v>
      </c>
      <c r="AK487">
        <f t="shared" si="68"/>
        <v>196</v>
      </c>
      <c r="AL487" s="23">
        <f>COUNTIF(INDEX($C487:$S487,Week+1):INDEX($C487:$S487,13),"&gt;0")</f>
        <v>7</v>
      </c>
    </row>
    <row r="488" spans="1:38" x14ac:dyDescent="0.25">
      <c r="A488" t="s">
        <v>250</v>
      </c>
      <c r="B488" t="s">
        <v>47</v>
      </c>
      <c r="C488">
        <v>1.21</v>
      </c>
      <c r="D488">
        <v>1.1499999999999999</v>
      </c>
      <c r="E488">
        <v>6.81</v>
      </c>
      <c r="F488">
        <v>3.39</v>
      </c>
      <c r="G488">
        <v>4.22</v>
      </c>
      <c r="H488">
        <v>2.13</v>
      </c>
      <c r="I488">
        <v>1.54</v>
      </c>
      <c r="J488">
        <v>1.58</v>
      </c>
      <c r="K488" t="s">
        <v>64</v>
      </c>
      <c r="L488">
        <v>2.0499999999999998</v>
      </c>
      <c r="M488">
        <v>1.9</v>
      </c>
      <c r="N488">
        <v>2.2799999999999998</v>
      </c>
      <c r="O488">
        <v>2.15</v>
      </c>
      <c r="P488">
        <v>1.93</v>
      </c>
      <c r="Q488">
        <v>1.91</v>
      </c>
      <c r="R488">
        <v>1.95</v>
      </c>
      <c r="S488">
        <v>1.99</v>
      </c>
      <c r="T488" s="2">
        <f>IF('ROS Rankings'!$AD$1,IFERROR(AVERAGE(INDEX($C488:$S488,14):INDEX($C488:$S488,17)),0),IFERROR(AVERAGE(INDEX($C488:$S488,Week+1):INDEX($C488:$S488,13)),0))</f>
        <v>1.9471428571428571</v>
      </c>
      <c r="U488" s="2" t="str">
        <f t="shared" si="70"/>
        <v/>
      </c>
      <c r="V488" s="2">
        <f t="shared" si="70"/>
        <v>1.9471428571428571</v>
      </c>
      <c r="W488" s="2" t="str">
        <f t="shared" si="70"/>
        <v/>
      </c>
      <c r="X488" s="2" t="str">
        <f t="shared" si="70"/>
        <v/>
      </c>
      <c r="Y488" s="2" t="str">
        <f t="shared" si="70"/>
        <v/>
      </c>
      <c r="Z488" s="2" t="str">
        <f t="shared" si="70"/>
        <v/>
      </c>
      <c r="AA488" s="23" t="str">
        <f t="shared" si="63"/>
        <v>RB74</v>
      </c>
      <c r="AB488" s="2">
        <f>$T488-VLOOKUP($B488,Scores!$AG$1:$AM$7,5,FALSE)</f>
        <v>-9.8114285714285714</v>
      </c>
      <c r="AC488" s="2">
        <f>$T488-VLOOKUP($B488,Scores!$AG$1:$AM$7,6,FALSE)</f>
        <v>-6.3228571428571438</v>
      </c>
      <c r="AD488" s="2">
        <f>$T488-VLOOKUP($B488,Scores!$AG$1:$AM$7,7,FALSE)+(ROW(A487)/1000000)</f>
        <v>-3.920941571428572</v>
      </c>
      <c r="AE488" s="2">
        <f t="array" ref="AE488">IF('ROS Rankings'!$AD$1,IFERROR(AVERAGE(IF(INDEX($C488:$S488,14):INDEX($C488:$S488,17)="NA",0,INDEX($C488:$S488,14):INDEX($C488:$S488,17))-INDEX($AQ$2:$BG$7,MATCH($B488,$AO$2:$AO$7,0),14):INDEX($AQ$2:$BG$7,MATCH($B488,$AO$2:$AO$7,0),17)),0),IFERROR(AVERAGE(IF(INDEX($C488:$S488,Week+1):INDEX($C488:$S488,13)="NA",0,INDEX($C488:$S488,Week+1):INDEX($C488:$S488,13))-INDEX($AQ$2:$BG$7,MATCH($B488,$AO$2:$AO$7,0),Week+1):INDEX($AQ$2:$BG$7,MATCH($B488,$AO$2:$AO$7,0),13)),0))+ROW(A487)/1000000</f>
        <v>-3.6557629999999994</v>
      </c>
      <c r="AF488">
        <f t="shared" si="64"/>
        <v>435</v>
      </c>
      <c r="AG488">
        <f t="shared" si="65"/>
        <v>387</v>
      </c>
      <c r="AH488">
        <f t="shared" si="66"/>
        <v>340</v>
      </c>
      <c r="AI488">
        <f t="shared" si="67"/>
        <v>327</v>
      </c>
      <c r="AJ488" s="22">
        <f>IF(ISERROR(MATCH(A488,Rosters!$B$2:$B$155,0)),AD488,"")</f>
        <v>-3.920941571428572</v>
      </c>
      <c r="AK488">
        <f t="shared" si="68"/>
        <v>189</v>
      </c>
      <c r="AL488" s="23">
        <f>COUNTIF(INDEX($C488:$S488,Week+1):INDEX($C488:$S488,13),"&gt;0")</f>
        <v>7</v>
      </c>
    </row>
    <row r="489" spans="1:38" x14ac:dyDescent="0.25">
      <c r="A489" t="s">
        <v>266</v>
      </c>
      <c r="B489" t="s">
        <v>87</v>
      </c>
      <c r="C489">
        <v>0</v>
      </c>
      <c r="D489">
        <v>7.23</v>
      </c>
      <c r="E489">
        <v>7.16</v>
      </c>
      <c r="F489">
        <v>9.48</v>
      </c>
      <c r="G489">
        <v>8.69</v>
      </c>
      <c r="H489">
        <v>7.89</v>
      </c>
      <c r="I489">
        <v>7.73</v>
      </c>
      <c r="J489">
        <v>9.5500000000000007</v>
      </c>
      <c r="K489">
        <v>8.17</v>
      </c>
      <c r="L489" t="s">
        <v>64</v>
      </c>
      <c r="M489">
        <v>8.25</v>
      </c>
      <c r="N489">
        <v>8.1300000000000008</v>
      </c>
      <c r="O489">
        <v>8.83</v>
      </c>
      <c r="P489">
        <v>10.02</v>
      </c>
      <c r="Q489">
        <v>8.1</v>
      </c>
      <c r="R489">
        <v>7.83</v>
      </c>
      <c r="S489">
        <v>7.99</v>
      </c>
      <c r="T489" s="2">
        <f>IF('ROS Rankings'!$AD$1,IFERROR(AVERAGE(INDEX($C489:$S489,14):INDEX($C489:$S489,17)),0),IFERROR(AVERAGE(INDEX($C489:$S489,Week+1):INDEX($C489:$S489,13)),0))</f>
        <v>8.3642857142857157</v>
      </c>
      <c r="U489" s="2" t="str">
        <f t="shared" si="70"/>
        <v/>
      </c>
      <c r="V489" s="2" t="str">
        <f t="shared" si="70"/>
        <v/>
      </c>
      <c r="W489" s="2">
        <f t="shared" si="70"/>
        <v>8.3642857142857157</v>
      </c>
      <c r="X489" s="2" t="str">
        <f t="shared" si="70"/>
        <v/>
      </c>
      <c r="Y489" s="2" t="str">
        <f t="shared" si="70"/>
        <v/>
      </c>
      <c r="Z489" s="2" t="str">
        <f t="shared" si="70"/>
        <v/>
      </c>
      <c r="AA489" s="23" t="str">
        <f t="shared" si="63"/>
        <v>WR30</v>
      </c>
      <c r="AB489" s="2">
        <f>$T489-VLOOKUP($B489,Scores!$AG$1:$AM$7,5,FALSE)</f>
        <v>-2.0071428571428545</v>
      </c>
      <c r="AC489" s="2">
        <f>$T489-VLOOKUP($B489,Scores!$AG$1:$AM$7,6,FALSE)</f>
        <v>0.33285714285714363</v>
      </c>
      <c r="AD489" s="2">
        <f>$T489-VLOOKUP($B489,Scores!$AG$1:$AM$7,7,FALSE)+(ROW(A488)/1000000)</f>
        <v>2.311916571428573</v>
      </c>
      <c r="AE489" s="2">
        <f t="array" ref="AE489">IF('ROS Rankings'!$AD$1,IFERROR(AVERAGE(IF(INDEX($C489:$S489,14):INDEX($C489:$S489,17)="NA",0,INDEX($C489:$S489,14):INDEX($C489:$S489,17))-INDEX($AQ$2:$BG$7,MATCH($B489,$AO$2:$AO$7,0),14):INDEX($AQ$2:$BG$7,MATCH($B489,$AO$2:$AO$7,0),17)),0),IFERROR(AVERAGE(IF(INDEX($C489:$S489,Week+1):INDEX($C489:$S489,13)="NA",0,INDEX($C489:$S489,Week+1):INDEX($C489:$S489,13))-INDEX($AQ$2:$BG$7,MATCH($B489,$AO$2:$AO$7,0),Week+1):INDEX($AQ$2:$BG$7,MATCH($B489,$AO$2:$AO$7,0),13)),0))+ROW(A488)/1000000</f>
        <v>1.9629880000000002</v>
      </c>
      <c r="AF489">
        <f t="shared" si="64"/>
        <v>130</v>
      </c>
      <c r="AG489">
        <f t="shared" si="65"/>
        <v>81</v>
      </c>
      <c r="AH489">
        <f t="shared" si="66"/>
        <v>61</v>
      </c>
      <c r="AI489">
        <f t="shared" si="67"/>
        <v>61</v>
      </c>
      <c r="AJ489" s="22" t="str">
        <f>IF(ISERROR(MATCH(A489,Rosters!$B$2:$B$155,0)),AD489,"")</f>
        <v/>
      </c>
      <c r="AK489" t="str">
        <f t="shared" si="68"/>
        <v/>
      </c>
      <c r="AL489" s="23">
        <f>COUNTIF(INDEX($C489:$S489,Week+1):INDEX($C489:$S489,13),"&gt;0")</f>
        <v>7</v>
      </c>
    </row>
    <row r="490" spans="1:38" x14ac:dyDescent="0.25">
      <c r="A490" t="s">
        <v>152</v>
      </c>
      <c r="B490" t="s">
        <v>87</v>
      </c>
      <c r="C490">
        <v>3.06</v>
      </c>
      <c r="D490">
        <v>3.53</v>
      </c>
      <c r="E490">
        <v>4.8499999999999996</v>
      </c>
      <c r="F490">
        <v>4.08</v>
      </c>
      <c r="G490">
        <v>5.41</v>
      </c>
      <c r="H490">
        <v>4.78</v>
      </c>
      <c r="I490">
        <v>4.05</v>
      </c>
      <c r="J490">
        <v>3.97</v>
      </c>
      <c r="K490">
        <v>3.95</v>
      </c>
      <c r="L490" t="s">
        <v>64</v>
      </c>
      <c r="M490">
        <v>3.89</v>
      </c>
      <c r="N490">
        <v>3.76</v>
      </c>
      <c r="O490">
        <v>3.79</v>
      </c>
      <c r="P490">
        <v>3.56</v>
      </c>
      <c r="Q490">
        <v>4.03</v>
      </c>
      <c r="R490">
        <v>3.78</v>
      </c>
      <c r="S490">
        <v>4.8499999999999996</v>
      </c>
      <c r="T490" s="2">
        <f>IF('ROS Rankings'!$AD$1,IFERROR(AVERAGE(INDEX($C490:$S490,14):INDEX($C490:$S490,17)),0),IFERROR(AVERAGE(INDEX($C490:$S490,Week+1):INDEX($C490:$S490,13)),0))</f>
        <v>4.0271428571428567</v>
      </c>
      <c r="U490" s="2" t="str">
        <f t="shared" si="70"/>
        <v/>
      </c>
      <c r="V490" s="2" t="str">
        <f t="shared" si="70"/>
        <v/>
      </c>
      <c r="W490" s="2">
        <f t="shared" si="70"/>
        <v>4.0271428571428567</v>
      </c>
      <c r="X490" s="2" t="str">
        <f t="shared" si="70"/>
        <v/>
      </c>
      <c r="Y490" s="2" t="str">
        <f t="shared" si="70"/>
        <v/>
      </c>
      <c r="Z490" s="2" t="str">
        <f t="shared" si="70"/>
        <v/>
      </c>
      <c r="AA490" s="23" t="str">
        <f t="shared" si="63"/>
        <v>WR80</v>
      </c>
      <c r="AB490" s="2">
        <f>$T490-VLOOKUP($B490,Scores!$AG$1:$AM$7,5,FALSE)</f>
        <v>-6.3442857142857134</v>
      </c>
      <c r="AC490" s="2">
        <f>$T490-VLOOKUP($B490,Scores!$AG$1:$AM$7,6,FALSE)</f>
        <v>-4.0042857142857153</v>
      </c>
      <c r="AD490" s="2">
        <f>$T490-VLOOKUP($B490,Scores!$AG$1:$AM$7,7,FALSE)+(ROW(A489)/1000000)</f>
        <v>-2.0252252857142858</v>
      </c>
      <c r="AE490" s="2">
        <f t="array" ref="AE490">IF('ROS Rankings'!$AD$1,IFERROR(AVERAGE(IF(INDEX($C490:$S490,14):INDEX($C490:$S490,17)="NA",0,INDEX($C490:$S490,14):INDEX($C490:$S490,17))-INDEX($AQ$2:$BG$7,MATCH($B490,$AO$2:$AO$7,0),14):INDEX($AQ$2:$BG$7,MATCH($B490,$AO$2:$AO$7,0),17)),0),IFERROR(AVERAGE(IF(INDEX($C490:$S490,Week+1):INDEX($C490:$S490,13)="NA",0,INDEX($C490:$S490,Week+1):INDEX($C490:$S490,13))-INDEX($AQ$2:$BG$7,MATCH($B490,$AO$2:$AO$7,0),Week+1):INDEX($AQ$2:$BG$7,MATCH($B490,$AO$2:$AO$7,0),13)),0))+ROW(A489)/1000000</f>
        <v>-1.8320110000000001</v>
      </c>
      <c r="AF490">
        <f t="shared" si="64"/>
        <v>296</v>
      </c>
      <c r="AG490">
        <f t="shared" si="65"/>
        <v>296</v>
      </c>
      <c r="AH490">
        <f t="shared" si="66"/>
        <v>247</v>
      </c>
      <c r="AI490">
        <f t="shared" si="67"/>
        <v>229</v>
      </c>
      <c r="AJ490" s="22">
        <f>IF(ISERROR(MATCH(A490,Rosters!$B$2:$B$155,0)),AD490,"")</f>
        <v>-2.0252252857142858</v>
      </c>
      <c r="AK490">
        <f t="shared" si="68"/>
        <v>103</v>
      </c>
      <c r="AL490" s="23">
        <f>COUNTIF(INDEX($C490:$S490,Week+1):INDEX($C490:$S490,13),"&gt;0")</f>
        <v>7</v>
      </c>
    </row>
    <row r="491" spans="1:38" x14ac:dyDescent="0.25">
      <c r="A491" t="s">
        <v>372</v>
      </c>
      <c r="B491" t="s">
        <v>114</v>
      </c>
      <c r="C491">
        <v>0.37</v>
      </c>
      <c r="D491">
        <v>0.26</v>
      </c>
      <c r="E491">
        <v>0.41</v>
      </c>
      <c r="F491">
        <v>0.24</v>
      </c>
      <c r="G491">
        <v>0.28999999999999998</v>
      </c>
      <c r="H491">
        <v>0.22</v>
      </c>
      <c r="I491" t="s">
        <v>64</v>
      </c>
      <c r="J491">
        <v>0.25</v>
      </c>
      <c r="K491">
        <v>0.21</v>
      </c>
      <c r="L491">
        <v>0.27</v>
      </c>
      <c r="M491">
        <v>0.24</v>
      </c>
      <c r="N491">
        <v>0.24</v>
      </c>
      <c r="O491">
        <v>0.21</v>
      </c>
      <c r="P491">
        <v>0.28999999999999998</v>
      </c>
      <c r="Q491">
        <v>0.25</v>
      </c>
      <c r="R491">
        <v>0.23</v>
      </c>
      <c r="S491">
        <v>0.23</v>
      </c>
      <c r="T491" s="2">
        <f>IF('ROS Rankings'!$AD$1,IFERROR(AVERAGE(INDEX($C491:$S491,14):INDEX($C491:$S491,17)),0),IFERROR(AVERAGE(INDEX($C491:$S491,Week+1):INDEX($C491:$S491,13)),0))</f>
        <v>0.23428571428571426</v>
      </c>
      <c r="U491" s="2" t="str">
        <f t="shared" si="70"/>
        <v/>
      </c>
      <c r="V491" s="2" t="str">
        <f t="shared" si="70"/>
        <v/>
      </c>
      <c r="W491" s="2" t="str">
        <f t="shared" si="70"/>
        <v/>
      </c>
      <c r="X491" s="2">
        <f t="shared" si="70"/>
        <v>0.23428571428571426</v>
      </c>
      <c r="Y491" s="2" t="str">
        <f t="shared" si="70"/>
        <v/>
      </c>
      <c r="Z491" s="2" t="str">
        <f t="shared" si="70"/>
        <v/>
      </c>
      <c r="AA491" s="23" t="str">
        <f t="shared" si="63"/>
        <v>TE101</v>
      </c>
      <c r="AB491" s="2">
        <f>$T491-VLOOKUP($B491,Scores!$AG$1:$AM$7,5,FALSE)</f>
        <v>-6.7644642857142854</v>
      </c>
      <c r="AC491" s="2">
        <f>$T491-VLOOKUP($B491,Scores!$AG$1:$AM$7,6,FALSE)</f>
        <v>-5.015714285714286</v>
      </c>
      <c r="AD491" s="2">
        <f>$T491-VLOOKUP($B491,Scores!$AG$1:$AM$7,7,FALSE)+(ROW(A490)/1000000)</f>
        <v>-4.9452242857142856</v>
      </c>
      <c r="AE491" s="2">
        <f t="array" ref="AE491">IF('ROS Rankings'!$AD$1,IFERROR(AVERAGE(IF(INDEX($C491:$S491,14):INDEX($C491:$S491,17)="NA",0,INDEX($C491:$S491,14):INDEX($C491:$S491,17))-INDEX($AQ$2:$BG$7,MATCH($B491,$AO$2:$AO$7,0),14):INDEX($AQ$2:$BG$7,MATCH($B491,$AO$2:$AO$7,0),17)),0),IFERROR(AVERAGE(IF(INDEX($C491:$S491,Week+1):INDEX($C491:$S491,13)="NA",0,INDEX($C491:$S491,Week+1):INDEX($C491:$S491,13))-INDEX($AQ$2:$BG$7,MATCH($B491,$AO$2:$AO$7,0),Week+1):INDEX($AQ$2:$BG$7,MATCH($B491,$AO$2:$AO$7,0),13)),0))+ROW(A490)/1000000</f>
        <v>-4.89201</v>
      </c>
      <c r="AF491">
        <f t="shared" si="64"/>
        <v>339</v>
      </c>
      <c r="AG491">
        <f t="shared" si="65"/>
        <v>356</v>
      </c>
      <c r="AH491">
        <f t="shared" si="66"/>
        <v>404</v>
      </c>
      <c r="AI491">
        <f t="shared" si="67"/>
        <v>473</v>
      </c>
      <c r="AJ491" s="22">
        <f>IF(ISERROR(MATCH(A491,Rosters!$B$2:$B$155,0)),AD491,"")</f>
        <v>-4.9452242857142856</v>
      </c>
      <c r="AK491">
        <f t="shared" si="68"/>
        <v>252</v>
      </c>
      <c r="AL491" s="23">
        <f>COUNTIF(INDEX($C491:$S491,Week+1):INDEX($C491:$S491,13),"&gt;0")</f>
        <v>7</v>
      </c>
    </row>
    <row r="492" spans="1:38" x14ac:dyDescent="0.25">
      <c r="A492" t="s">
        <v>177</v>
      </c>
      <c r="B492" t="s">
        <v>114</v>
      </c>
      <c r="C492">
        <v>10.17</v>
      </c>
      <c r="D492">
        <v>8.89</v>
      </c>
      <c r="E492">
        <v>9.15</v>
      </c>
      <c r="F492">
        <v>9.39</v>
      </c>
      <c r="G492">
        <v>9.61</v>
      </c>
      <c r="H492">
        <v>8.58</v>
      </c>
      <c r="I492">
        <v>9.57</v>
      </c>
      <c r="J492">
        <v>7.47</v>
      </c>
      <c r="K492" t="s">
        <v>64</v>
      </c>
      <c r="L492">
        <v>9.4700000000000006</v>
      </c>
      <c r="M492">
        <v>8.86</v>
      </c>
      <c r="N492">
        <v>8.85</v>
      </c>
      <c r="O492">
        <v>8.1300000000000008</v>
      </c>
      <c r="P492">
        <v>9.17</v>
      </c>
      <c r="Q492">
        <v>8.18</v>
      </c>
      <c r="R492">
        <v>11.21</v>
      </c>
      <c r="S492">
        <v>7.94</v>
      </c>
      <c r="T492" s="2">
        <f>IF('ROS Rankings'!$AD$1,IFERROR(AVERAGE(INDEX($C492:$S492,14):INDEX($C492:$S492,17)),0),IFERROR(AVERAGE(INDEX($C492:$S492,Week+1):INDEX($C492:$S492,13)),0))</f>
        <v>8.7042857142857137</v>
      </c>
      <c r="U492" s="2" t="str">
        <f t="shared" si="70"/>
        <v/>
      </c>
      <c r="V492" s="2" t="str">
        <f t="shared" si="70"/>
        <v/>
      </c>
      <c r="W492" s="2" t="str">
        <f t="shared" si="70"/>
        <v/>
      </c>
      <c r="X492" s="2">
        <f t="shared" si="70"/>
        <v>8.7042857142857137</v>
      </c>
      <c r="Y492" s="2" t="str">
        <f t="shared" si="70"/>
        <v/>
      </c>
      <c r="Z492" s="2" t="str">
        <f t="shared" si="70"/>
        <v/>
      </c>
      <c r="AA492" s="23" t="str">
        <f t="shared" si="63"/>
        <v>TE3</v>
      </c>
      <c r="AB492" s="2">
        <f>$T492-VLOOKUP($B492,Scores!$AG$1:$AM$7,5,FALSE)</f>
        <v>1.7055357142857144</v>
      </c>
      <c r="AC492" s="2">
        <f>$T492-VLOOKUP($B492,Scores!$AG$1:$AM$7,6,FALSE)</f>
        <v>3.4542857142857137</v>
      </c>
      <c r="AD492" s="2">
        <f>$T492-VLOOKUP($B492,Scores!$AG$1:$AM$7,7,FALSE)+(ROW(A491)/1000000)</f>
        <v>3.5247767142857138</v>
      </c>
      <c r="AE492" s="2">
        <f t="array" ref="AE492">IF('ROS Rankings'!$AD$1,IFERROR(AVERAGE(IF(INDEX($C492:$S492,14):INDEX($C492:$S492,17)="NA",0,INDEX($C492:$S492,14):INDEX($C492:$S492,17))-INDEX($AQ$2:$BG$7,MATCH($B492,$AO$2:$AO$7,0),14):INDEX($AQ$2:$BG$7,MATCH($B492,$AO$2:$AO$7,0),17)),0),IFERROR(AVERAGE(IF(INDEX($C492:$S492,Week+1):INDEX($C492:$S492,13)="NA",0,INDEX($C492:$S492,Week+1):INDEX($C492:$S492,13))-INDEX($AQ$2:$BG$7,MATCH($B492,$AO$2:$AO$7,0),Week+1):INDEX($AQ$2:$BG$7,MATCH($B492,$AO$2:$AO$7,0),13)),0))+ROW(A491)/1000000</f>
        <v>2.5192409999999996</v>
      </c>
      <c r="AF492">
        <f t="shared" si="64"/>
        <v>16</v>
      </c>
      <c r="AG492">
        <f t="shared" si="65"/>
        <v>26</v>
      </c>
      <c r="AH492">
        <f t="shared" si="66"/>
        <v>42</v>
      </c>
      <c r="AI492">
        <f t="shared" si="67"/>
        <v>47</v>
      </c>
      <c r="AJ492" s="22" t="str">
        <f>IF(ISERROR(MATCH(A492,Rosters!$B$2:$B$155,0)),AD492,"")</f>
        <v/>
      </c>
      <c r="AK492" t="str">
        <f t="shared" si="68"/>
        <v/>
      </c>
      <c r="AL492" s="23">
        <f>COUNTIF(INDEX($C492:$S492,Week+1):INDEX($C492:$S492,13),"&gt;0")</f>
        <v>7</v>
      </c>
    </row>
    <row r="493" spans="1:38" x14ac:dyDescent="0.25">
      <c r="A493" t="s">
        <v>2889</v>
      </c>
      <c r="B493" t="s">
        <v>47</v>
      </c>
      <c r="C493" t="s">
        <v>64</v>
      </c>
      <c r="D493" t="s">
        <v>64</v>
      </c>
      <c r="E493">
        <v>0.63</v>
      </c>
      <c r="F493">
        <v>0.62</v>
      </c>
      <c r="G493">
        <v>0.86</v>
      </c>
      <c r="H493" t="s">
        <v>64</v>
      </c>
      <c r="I493">
        <v>0.55000000000000004</v>
      </c>
      <c r="J493">
        <v>0.59</v>
      </c>
      <c r="K493">
        <v>0.82</v>
      </c>
      <c r="L493">
        <v>0.61</v>
      </c>
      <c r="M493">
        <v>0.65</v>
      </c>
      <c r="N493">
        <v>0.87</v>
      </c>
      <c r="O493">
        <v>0.78</v>
      </c>
      <c r="P493">
        <v>0.87</v>
      </c>
      <c r="Q493">
        <v>0.59</v>
      </c>
      <c r="R493">
        <v>0.63</v>
      </c>
      <c r="S493">
        <v>0.63</v>
      </c>
      <c r="T493" s="2">
        <f>IF('ROS Rankings'!$AD$1,IFERROR(AVERAGE(INDEX($C493:$S493,14):INDEX($C493:$S493,17)),0),IFERROR(AVERAGE(INDEX($C493:$S493,Week+1):INDEX($C493:$S493,13)),0))</f>
        <v>0.69571428571428573</v>
      </c>
      <c r="U493" s="2" t="str">
        <f t="shared" si="70"/>
        <v/>
      </c>
      <c r="V493" s="2">
        <f t="shared" si="70"/>
        <v>0.69571428571428573</v>
      </c>
      <c r="W493" s="2" t="str">
        <f t="shared" si="70"/>
        <v/>
      </c>
      <c r="X493" s="2" t="str">
        <f t="shared" si="70"/>
        <v/>
      </c>
      <c r="Y493" s="2" t="str">
        <f t="shared" si="70"/>
        <v/>
      </c>
      <c r="Z493" s="2" t="str">
        <f t="shared" si="70"/>
        <v/>
      </c>
      <c r="AA493" s="23" t="str">
        <f t="shared" si="63"/>
        <v>RB97</v>
      </c>
      <c r="AB493" s="2">
        <f>$T493-VLOOKUP($B493,Scores!$AG$1:$AM$7,5,FALSE)</f>
        <v>-11.062857142857144</v>
      </c>
      <c r="AC493" s="2">
        <f>$T493-VLOOKUP($B493,Scores!$AG$1:$AM$7,6,FALSE)</f>
        <v>-7.5742857142857156</v>
      </c>
      <c r="AD493" s="2">
        <f>$T493-VLOOKUP($B493,Scores!$AG$1:$AM$7,7,FALSE)+(ROW(A492)/1000000)</f>
        <v>-5.1723651428571431</v>
      </c>
      <c r="AE493" s="2">
        <f t="array" ref="AE493">IF('ROS Rankings'!$AD$1,IFERROR(AVERAGE(IF(INDEX($C493:$S493,14):INDEX($C493:$S493,17)="NA",0,INDEX($C493:$S493,14):INDEX($C493:$S493,17))-INDEX($AQ$2:$BG$7,MATCH($B493,$AO$2:$AO$7,0),14):INDEX($AQ$2:$BG$7,MATCH($B493,$AO$2:$AO$7,0),17)),0),IFERROR(AVERAGE(IF(INDEX($C493:$S493,Week+1):INDEX($C493:$S493,13)="NA",0,INDEX($C493:$S493,Week+1):INDEX($C493:$S493,13))-INDEX($AQ$2:$BG$7,MATCH($B493,$AO$2:$AO$7,0),Week+1):INDEX($AQ$2:$BG$7,MATCH($B493,$AO$2:$AO$7,0),13)),0))+ROW(A492)/1000000</f>
        <v>-4.7507579999999985</v>
      </c>
      <c r="AF493">
        <f t="shared" si="64"/>
        <v>485</v>
      </c>
      <c r="AG493">
        <f t="shared" si="65"/>
        <v>469</v>
      </c>
      <c r="AH493">
        <f t="shared" si="66"/>
        <v>417</v>
      </c>
      <c r="AI493">
        <f t="shared" si="67"/>
        <v>425</v>
      </c>
      <c r="AJ493" s="22">
        <f>IF(ISERROR(MATCH(A493,Rosters!$B$2:$B$155,0)),AD493,"")</f>
        <v>-5.1723651428571431</v>
      </c>
      <c r="AK493">
        <f t="shared" si="68"/>
        <v>265</v>
      </c>
      <c r="AL493" s="23">
        <f>COUNTIF(INDEX($C493:$S493,Week+1):INDEX($C493:$S493,13),"&gt;0")</f>
        <v>7</v>
      </c>
    </row>
    <row r="494" spans="1:38" x14ac:dyDescent="0.25">
      <c r="A494" t="s">
        <v>4240</v>
      </c>
      <c r="B494" t="s">
        <v>87</v>
      </c>
      <c r="C494" t="s">
        <v>64</v>
      </c>
      <c r="D494">
        <v>0.51</v>
      </c>
      <c r="E494">
        <v>0.6</v>
      </c>
      <c r="F494">
        <v>0.56000000000000005</v>
      </c>
      <c r="G494">
        <v>5.44</v>
      </c>
      <c r="H494">
        <v>0.55000000000000004</v>
      </c>
      <c r="I494">
        <v>0.55000000000000004</v>
      </c>
      <c r="J494">
        <v>0.65</v>
      </c>
      <c r="K494" t="s">
        <v>64</v>
      </c>
      <c r="L494">
        <v>0.62</v>
      </c>
      <c r="M494">
        <v>0.52</v>
      </c>
      <c r="N494">
        <v>0.61</v>
      </c>
      <c r="O494">
        <v>0.6</v>
      </c>
      <c r="P494">
        <v>0.56000000000000005</v>
      </c>
      <c r="Q494">
        <v>0.68</v>
      </c>
      <c r="R494">
        <v>0.72</v>
      </c>
      <c r="S494">
        <v>0.51</v>
      </c>
      <c r="T494" s="2">
        <f>IF('ROS Rankings'!$AD$1,IFERROR(AVERAGE(INDEX($C494:$S494,14):INDEX($C494:$S494,17)),0),IFERROR(AVERAGE(INDEX($C494:$S494,Week+1):INDEX($C494:$S494,13)),0))</f>
        <v>0.58571428571428563</v>
      </c>
      <c r="U494" s="2" t="str">
        <f t="shared" si="70"/>
        <v/>
      </c>
      <c r="V494" s="2" t="str">
        <f t="shared" si="70"/>
        <v/>
      </c>
      <c r="W494" s="2">
        <f t="shared" si="70"/>
        <v>0.58571428571428563</v>
      </c>
      <c r="X494" s="2" t="str">
        <f t="shared" si="70"/>
        <v/>
      </c>
      <c r="Y494" s="2" t="str">
        <f t="shared" si="70"/>
        <v/>
      </c>
      <c r="Z494" s="2" t="str">
        <f t="shared" si="70"/>
        <v/>
      </c>
      <c r="AA494" s="23" t="str">
        <f t="shared" si="63"/>
        <v>WR152</v>
      </c>
      <c r="AB494" s="2">
        <f>$T494-VLOOKUP($B494,Scores!$AG$1:$AM$7,5,FALSE)</f>
        <v>-9.7857142857142847</v>
      </c>
      <c r="AC494" s="2">
        <f>$T494-VLOOKUP($B494,Scores!$AG$1:$AM$7,6,FALSE)</f>
        <v>-7.4457142857142866</v>
      </c>
      <c r="AD494" s="2">
        <f>$T494-VLOOKUP($B494,Scores!$AG$1:$AM$7,7,FALSE)+(ROW(A493)/1000000)</f>
        <v>-5.4666498571428574</v>
      </c>
      <c r="AE494" s="2">
        <f t="array" ref="AE494">IF('ROS Rankings'!$AD$1,IFERROR(AVERAGE(IF(INDEX($C494:$S494,14):INDEX($C494:$S494,17)="NA",0,INDEX($C494:$S494,14):INDEX($C494:$S494,17))-INDEX($AQ$2:$BG$7,MATCH($B494,$AO$2:$AO$7,0),14):INDEX($AQ$2:$BG$7,MATCH($B494,$AO$2:$AO$7,0),17)),0),IFERROR(AVERAGE(IF(INDEX($C494:$S494,Week+1):INDEX($C494:$S494,13)="NA",0,INDEX($C494:$S494,Week+1):INDEX($C494:$S494,13))-INDEX($AQ$2:$BG$7,MATCH($B494,$AO$2:$AO$7,0),Week+1):INDEX($AQ$2:$BG$7,MATCH($B494,$AO$2:$AO$7,0),13)),0))+ROW(A493)/1000000</f>
        <v>-4.8432570000000013</v>
      </c>
      <c r="AF494">
        <f t="shared" si="64"/>
        <v>427</v>
      </c>
      <c r="AG494">
        <f t="shared" si="65"/>
        <v>445</v>
      </c>
      <c r="AH494">
        <f t="shared" si="66"/>
        <v>477</v>
      </c>
      <c r="AI494">
        <f t="shared" si="67"/>
        <v>447</v>
      </c>
      <c r="AJ494" s="22">
        <f>IF(ISERROR(MATCH(A494,Rosters!$B$2:$B$155,0)),AD494,"")</f>
        <v>-5.4666498571428574</v>
      </c>
      <c r="AK494">
        <f t="shared" si="68"/>
        <v>325</v>
      </c>
      <c r="AL494" s="23">
        <f>COUNTIF(INDEX($C494:$S494,Week+1):INDEX($C494:$S494,13),"&gt;0")</f>
        <v>7</v>
      </c>
    </row>
    <row r="495" spans="1:38" x14ac:dyDescent="0.25">
      <c r="A495" t="s">
        <v>182</v>
      </c>
      <c r="B495" t="s">
        <v>87</v>
      </c>
      <c r="C495">
        <v>2.31</v>
      </c>
      <c r="D495">
        <v>3.2</v>
      </c>
      <c r="E495">
        <v>3.2</v>
      </c>
      <c r="F495">
        <v>3.49</v>
      </c>
      <c r="G495">
        <v>4.3099999999999996</v>
      </c>
      <c r="H495">
        <v>3.58</v>
      </c>
      <c r="I495">
        <v>3.47</v>
      </c>
      <c r="J495">
        <v>3.8</v>
      </c>
      <c r="K495">
        <v>3.78</v>
      </c>
      <c r="L495">
        <v>3.24</v>
      </c>
      <c r="M495" t="s">
        <v>64</v>
      </c>
      <c r="N495">
        <v>3.97</v>
      </c>
      <c r="O495">
        <v>4.3899999999999997</v>
      </c>
      <c r="P495">
        <v>3.34</v>
      </c>
      <c r="Q495">
        <v>3.8</v>
      </c>
      <c r="R495">
        <v>3.68</v>
      </c>
      <c r="S495">
        <v>4.54</v>
      </c>
      <c r="T495" s="2">
        <f>IF('ROS Rankings'!$AD$1,IFERROR(AVERAGE(INDEX($C495:$S495,14):INDEX($C495:$S495,17)),0),IFERROR(AVERAGE(INDEX($C495:$S495,Week+1):INDEX($C495:$S495,13)),0))</f>
        <v>3.7471428571428573</v>
      </c>
      <c r="U495" s="2" t="str">
        <f t="shared" si="70"/>
        <v/>
      </c>
      <c r="V495" s="2" t="str">
        <f t="shared" si="70"/>
        <v/>
      </c>
      <c r="W495" s="2">
        <f t="shared" si="70"/>
        <v>3.7471428571428573</v>
      </c>
      <c r="X495" s="2" t="str">
        <f t="shared" si="70"/>
        <v/>
      </c>
      <c r="Y495" s="2" t="str">
        <f t="shared" si="70"/>
        <v/>
      </c>
      <c r="Z495" s="2" t="str">
        <f t="shared" si="70"/>
        <v/>
      </c>
      <c r="AA495" s="23" t="str">
        <f t="shared" si="63"/>
        <v>WR86</v>
      </c>
      <c r="AB495" s="2">
        <f>$T495-VLOOKUP($B495,Scores!$AG$1:$AM$7,5,FALSE)</f>
        <v>-6.6242857142857128</v>
      </c>
      <c r="AC495" s="2">
        <f>$T495-VLOOKUP($B495,Scores!$AG$1:$AM$7,6,FALSE)</f>
        <v>-4.2842857142857147</v>
      </c>
      <c r="AD495" s="2">
        <f>$T495-VLOOKUP($B495,Scores!$AG$1:$AM$7,7,FALSE)+(ROW(A494)/1000000)</f>
        <v>-2.3052202857142849</v>
      </c>
      <c r="AE495" s="2">
        <f t="array" ref="AE495">IF('ROS Rankings'!$AD$1,IFERROR(AVERAGE(IF(INDEX($C495:$S495,14):INDEX($C495:$S495,17)="NA",0,INDEX($C495:$S495,14):INDEX($C495:$S495,17))-INDEX($AQ$2:$BG$7,MATCH($B495,$AO$2:$AO$7,0),14):INDEX($AQ$2:$BG$7,MATCH($B495,$AO$2:$AO$7,0),17)),0),IFERROR(AVERAGE(IF(INDEX($C495:$S495,Week+1):INDEX($C495:$S495,13)="NA",0,INDEX($C495:$S495,Week+1):INDEX($C495:$S495,13))-INDEX($AQ$2:$BG$7,MATCH($B495,$AO$2:$AO$7,0),Week+1):INDEX($AQ$2:$BG$7,MATCH($B495,$AO$2:$AO$7,0),13)),0))+ROW(A494)/1000000</f>
        <v>-2.0770059999999999</v>
      </c>
      <c r="AF495">
        <f t="shared" si="64"/>
        <v>335</v>
      </c>
      <c r="AG495">
        <f t="shared" si="65"/>
        <v>305</v>
      </c>
      <c r="AH495">
        <f t="shared" si="66"/>
        <v>260</v>
      </c>
      <c r="AI495">
        <f t="shared" si="67"/>
        <v>243</v>
      </c>
      <c r="AJ495" s="22">
        <f>IF(ISERROR(MATCH(A495,Rosters!$B$2:$B$155,0)),AD495,"")</f>
        <v>-2.3052202857142849</v>
      </c>
      <c r="AK495">
        <f t="shared" si="68"/>
        <v>116</v>
      </c>
      <c r="AL495" s="23">
        <f>COUNTIF(INDEX($C495:$S495,Week+1):INDEX($C495:$S495,13),"&gt;0")</f>
        <v>7</v>
      </c>
    </row>
    <row r="496" spans="1:38" x14ac:dyDescent="0.25">
      <c r="A496" t="s">
        <v>464</v>
      </c>
      <c r="B496" t="s">
        <v>478</v>
      </c>
      <c r="C496">
        <v>9.24</v>
      </c>
      <c r="D496">
        <v>10.08</v>
      </c>
      <c r="E496">
        <v>0</v>
      </c>
      <c r="F496">
        <v>0</v>
      </c>
      <c r="G496">
        <v>0</v>
      </c>
      <c r="H496">
        <v>0</v>
      </c>
      <c r="I496">
        <v>0</v>
      </c>
      <c r="J496">
        <v>8.2200000000000006</v>
      </c>
      <c r="K496">
        <v>8.26</v>
      </c>
      <c r="L496">
        <v>8.4700000000000006</v>
      </c>
      <c r="M496">
        <v>7.93</v>
      </c>
      <c r="N496" t="s">
        <v>64</v>
      </c>
      <c r="O496">
        <v>7.2</v>
      </c>
      <c r="P496">
        <v>7.49</v>
      </c>
      <c r="Q496">
        <v>7.84</v>
      </c>
      <c r="R496">
        <v>7.2</v>
      </c>
      <c r="S496">
        <v>8.42</v>
      </c>
      <c r="T496" s="2">
        <f>IF('ROS Rankings'!$AD$1,IFERROR(AVERAGE(INDEX($C496:$S496,14):INDEX($C496:$S496,17)),0),IFERROR(AVERAGE(INDEX($C496:$S496,Week+1):INDEX($C496:$S496,13)),0))</f>
        <v>5.7257142857142869</v>
      </c>
      <c r="U496" s="2" t="str">
        <f t="shared" si="70"/>
        <v/>
      </c>
      <c r="V496" s="2" t="str">
        <f t="shared" si="70"/>
        <v/>
      </c>
      <c r="W496" s="2" t="str">
        <f t="shared" si="70"/>
        <v/>
      </c>
      <c r="X496" s="2" t="str">
        <f t="shared" si="70"/>
        <v/>
      </c>
      <c r="Y496" s="2" t="str">
        <f t="shared" si="70"/>
        <v/>
      </c>
      <c r="Z496" s="2">
        <f t="shared" si="70"/>
        <v>5.7257142857142869</v>
      </c>
      <c r="AA496" s="23" t="str">
        <f t="shared" si="63"/>
        <v>K31</v>
      </c>
      <c r="AB496" s="2">
        <f>$T496-VLOOKUP($B496,Scores!$AG$1:$AM$7,5,FALSE)</f>
        <v>-2.0599999999999987</v>
      </c>
      <c r="AC496" s="2">
        <f>$T496-VLOOKUP($B496,Scores!$AG$1:$AM$7,6,FALSE)</f>
        <v>-1.6957142857142848</v>
      </c>
      <c r="AD496" s="2">
        <f>$T496-VLOOKUP($B496,Scores!$AG$1:$AM$7,7,FALSE)+(ROW(A495)/1000000)</f>
        <v>-1.6952192857142849</v>
      </c>
      <c r="AE496" s="2">
        <f t="array" ref="AE496">IF('ROS Rankings'!$AD$1,IFERROR(AVERAGE(IF(INDEX($C496:$S496,14):INDEX($C496:$S496,17)="NA",0,INDEX($C496:$S496,14):INDEX($C496:$S496,17))-INDEX($AQ$2:$BG$7,MATCH($B496,$AO$2:$AO$7,0),14):INDEX($AQ$2:$BG$7,MATCH($B496,$AO$2:$AO$7,0),17)),0),IFERROR(AVERAGE(IF(INDEX($C496:$S496,Week+1):INDEX($C496:$S496,13)="NA",0,INDEX($C496:$S496,Week+1):INDEX($C496:$S496,13))-INDEX($AQ$2:$BG$7,MATCH($B496,$AO$2:$AO$7,0),Week+1):INDEX($AQ$2:$BG$7,MATCH($B496,$AO$2:$AO$7,0),13)),0))+ROW(A495)/1000000</f>
        <v>-2.3807549999999997</v>
      </c>
      <c r="AF496">
        <f t="shared" si="64"/>
        <v>138</v>
      </c>
      <c r="AG496">
        <f t="shared" si="65"/>
        <v>188</v>
      </c>
      <c r="AH496">
        <f t="shared" si="66"/>
        <v>233</v>
      </c>
      <c r="AI496">
        <f t="shared" si="67"/>
        <v>262</v>
      </c>
      <c r="AJ496" s="22">
        <f>IF(ISERROR(MATCH(A496,Rosters!$B$2:$B$155,0)),AD496,"")</f>
        <v>-1.6952192857142849</v>
      </c>
      <c r="AK496">
        <f t="shared" si="68"/>
        <v>90</v>
      </c>
      <c r="AL496" s="23">
        <f>COUNTIF(INDEX($C496:$S496,Week+1):INDEX($C496:$S496,13),"&gt;0")</f>
        <v>5</v>
      </c>
    </row>
    <row r="497" spans="1:38" x14ac:dyDescent="0.25">
      <c r="A497" t="s">
        <v>1121</v>
      </c>
      <c r="B497" t="s">
        <v>478</v>
      </c>
      <c r="C497">
        <v>9.77</v>
      </c>
      <c r="D497">
        <v>7.48</v>
      </c>
      <c r="E497">
        <v>6.51</v>
      </c>
      <c r="F497">
        <v>8.31</v>
      </c>
      <c r="G497">
        <v>7.99</v>
      </c>
      <c r="H497">
        <v>7.53</v>
      </c>
      <c r="I497">
        <v>8.2899999999999991</v>
      </c>
      <c r="J497" t="s">
        <v>64</v>
      </c>
      <c r="K497">
        <v>6.71</v>
      </c>
      <c r="L497">
        <v>8.6</v>
      </c>
      <c r="M497">
        <v>6.89</v>
      </c>
      <c r="N497">
        <v>7.17</v>
      </c>
      <c r="O497">
        <v>7.59</v>
      </c>
      <c r="P497">
        <v>8.0500000000000007</v>
      </c>
      <c r="Q497">
        <v>8.69</v>
      </c>
      <c r="R497">
        <v>6.89</v>
      </c>
      <c r="S497">
        <v>6.51</v>
      </c>
      <c r="T497" s="2">
        <f>IF('ROS Rankings'!$AD$1,IFERROR(AVERAGE(INDEX($C497:$S497,14):INDEX($C497:$S497,17)),0),IFERROR(AVERAGE(INDEX($C497:$S497,Week+1):INDEX($C497:$S497,13)),0))</f>
        <v>7.54</v>
      </c>
      <c r="U497" s="2" t="str">
        <f t="shared" si="70"/>
        <v/>
      </c>
      <c r="V497" s="2" t="str">
        <f t="shared" si="70"/>
        <v/>
      </c>
      <c r="W497" s="2" t="str">
        <f t="shared" si="70"/>
        <v/>
      </c>
      <c r="X497" s="2" t="str">
        <f t="shared" si="70"/>
        <v/>
      </c>
      <c r="Y497" s="2" t="str">
        <f t="shared" si="70"/>
        <v/>
      </c>
      <c r="Z497" s="2">
        <f t="shared" si="70"/>
        <v>7.54</v>
      </c>
      <c r="AA497" s="23" t="str">
        <f t="shared" si="63"/>
        <v>K6</v>
      </c>
      <c r="AB497" s="2">
        <f>$T497-VLOOKUP($B497,Scores!$AG$1:$AM$7,5,FALSE)</f>
        <v>-0.24571428571428555</v>
      </c>
      <c r="AC497" s="2">
        <f>$T497-VLOOKUP($B497,Scores!$AG$1:$AM$7,6,FALSE)</f>
        <v>0.11857142857142833</v>
      </c>
      <c r="AD497" s="2">
        <f>$T497-VLOOKUP($B497,Scores!$AG$1:$AM$7,7,FALSE)+(ROW(A496)/1000000)</f>
        <v>0.11906742857142832</v>
      </c>
      <c r="AE497" s="2">
        <f t="array" ref="AE497">IF('ROS Rankings'!$AD$1,IFERROR(AVERAGE(IF(INDEX($C497:$S497,14):INDEX($C497:$S497,17)="NA",0,INDEX($C497:$S497,14):INDEX($C497:$S497,17))-INDEX($AQ$2:$BG$7,MATCH($B497,$AO$2:$AO$7,0),14):INDEX($AQ$2:$BG$7,MATCH($B497,$AO$2:$AO$7,0),17)),0),IFERROR(AVERAGE(IF(INDEX($C497:$S497,Week+1):INDEX($C497:$S497,13)="NA",0,INDEX($C497:$S497,Week+1):INDEX($C497:$S497,13))-INDEX($AQ$2:$BG$7,MATCH($B497,$AO$2:$AO$7,0),Week+1):INDEX($AQ$2:$BG$7,MATCH($B497,$AO$2:$AO$7,0),13)),0))+ROW(A496)/1000000</f>
        <v>-0.79325400000000013</v>
      </c>
      <c r="AF497">
        <f t="shared" si="64"/>
        <v>55</v>
      </c>
      <c r="AG497">
        <f t="shared" si="65"/>
        <v>87</v>
      </c>
      <c r="AH497">
        <f t="shared" si="66"/>
        <v>134</v>
      </c>
      <c r="AI497">
        <f t="shared" si="67"/>
        <v>160</v>
      </c>
      <c r="AJ497" s="22">
        <f>IF(ISERROR(MATCH(A497,Rosters!$B$2:$B$155,0)),AD497,"")</f>
        <v>0.11906742857142832</v>
      </c>
      <c r="AK497">
        <f t="shared" si="68"/>
        <v>15</v>
      </c>
      <c r="AL497" s="23">
        <f>COUNTIF(INDEX($C497:$S497,Week+1):INDEX($C497:$S497,13),"&gt;0")</f>
        <v>7</v>
      </c>
    </row>
    <row r="498" spans="1:38" x14ac:dyDescent="0.25">
      <c r="A498" t="s">
        <v>449</v>
      </c>
      <c r="B498" t="s">
        <v>478</v>
      </c>
      <c r="C498">
        <v>7.81</v>
      </c>
      <c r="D498">
        <v>8.59</v>
      </c>
      <c r="E498">
        <v>8.35</v>
      </c>
      <c r="F498">
        <v>8.41</v>
      </c>
      <c r="G498">
        <v>8.4499999999999993</v>
      </c>
      <c r="H498">
        <v>9.66</v>
      </c>
      <c r="I498">
        <v>8.7200000000000006</v>
      </c>
      <c r="J498" t="s">
        <v>64</v>
      </c>
      <c r="K498">
        <v>8.56</v>
      </c>
      <c r="L498">
        <v>7.48</v>
      </c>
      <c r="M498">
        <v>8.82</v>
      </c>
      <c r="N498">
        <v>8.48</v>
      </c>
      <c r="O498">
        <v>7.76</v>
      </c>
      <c r="P498">
        <v>8.14</v>
      </c>
      <c r="Q498">
        <v>7.86</v>
      </c>
      <c r="R498">
        <v>7.66</v>
      </c>
      <c r="S498">
        <v>9.1300000000000008</v>
      </c>
      <c r="T498" s="2">
        <f>IF('ROS Rankings'!$AD$1,IFERROR(AVERAGE(INDEX($C498:$S498,14):INDEX($C498:$S498,17)),0),IFERROR(AVERAGE(INDEX($C498:$S498,Week+1):INDEX($C498:$S498,13)),0))</f>
        <v>8.4971428571428564</v>
      </c>
      <c r="U498" s="2" t="str">
        <f t="shared" si="70"/>
        <v/>
      </c>
      <c r="V498" s="2" t="str">
        <f t="shared" si="70"/>
        <v/>
      </c>
      <c r="W498" s="2" t="str">
        <f t="shared" si="70"/>
        <v/>
      </c>
      <c r="X498" s="2" t="str">
        <f t="shared" si="70"/>
        <v/>
      </c>
      <c r="Y498" s="2" t="str">
        <f t="shared" si="70"/>
        <v/>
      </c>
      <c r="Z498" s="2">
        <f t="shared" si="70"/>
        <v>8.4971428571428564</v>
      </c>
      <c r="AA498" s="23" t="str">
        <f t="shared" si="63"/>
        <v>K1</v>
      </c>
      <c r="AB498" s="2">
        <f>$T498-VLOOKUP($B498,Scores!$AG$1:$AM$7,5,FALSE)</f>
        <v>0.71142857142857086</v>
      </c>
      <c r="AC498" s="2">
        <f>$T498-VLOOKUP($B498,Scores!$AG$1:$AM$7,6,FALSE)</f>
        <v>1.0757142857142847</v>
      </c>
      <c r="AD498" s="2">
        <f>$T498-VLOOKUP($B498,Scores!$AG$1:$AM$7,7,FALSE)+(ROW(A497)/1000000)</f>
        <v>1.0762112857142847</v>
      </c>
      <c r="AE498" s="2">
        <f t="array" ref="AE498">IF('ROS Rankings'!$AD$1,IFERROR(AVERAGE(IF(INDEX($C498:$S498,14):INDEX($C498:$S498,17)="NA",0,INDEX($C498:$S498,14):INDEX($C498:$S498,17))-INDEX($AQ$2:$BG$7,MATCH($B498,$AO$2:$AO$7,0),14):INDEX($AQ$2:$BG$7,MATCH($B498,$AO$2:$AO$7,0),17)),0),IFERROR(AVERAGE(IF(INDEX($C498:$S498,Week+1):INDEX($C498:$S498,13)="NA",0,INDEX($C498:$S498,Week+1):INDEX($C498:$S498,13))-INDEX($AQ$2:$BG$7,MATCH($B498,$AO$2:$AO$7,0),Week+1):INDEX($AQ$2:$BG$7,MATCH($B498,$AO$2:$AO$7,0),13)),0))+ROW(A497)/1000000</f>
        <v>4.4247000000000286E-2</v>
      </c>
      <c r="AF498">
        <f t="shared" si="64"/>
        <v>31</v>
      </c>
      <c r="AG498">
        <f t="shared" si="65"/>
        <v>59</v>
      </c>
      <c r="AH498">
        <f t="shared" si="66"/>
        <v>102</v>
      </c>
      <c r="AI498">
        <f t="shared" si="67"/>
        <v>119</v>
      </c>
      <c r="AJ498" s="22" t="str">
        <f>IF(ISERROR(MATCH(A498,Rosters!$B$2:$B$155,0)),AD498,"")</f>
        <v/>
      </c>
      <c r="AK498" t="str">
        <f t="shared" si="68"/>
        <v/>
      </c>
      <c r="AL498" s="23">
        <f>COUNTIF(INDEX($C498:$S498,Week+1):INDEX($C498:$S498,13),"&gt;0")</f>
        <v>7</v>
      </c>
    </row>
    <row r="499" spans="1:38" x14ac:dyDescent="0.25">
      <c r="A499" t="s">
        <v>462</v>
      </c>
      <c r="B499" t="s">
        <v>478</v>
      </c>
      <c r="C499">
        <v>9.3000000000000007</v>
      </c>
      <c r="D499">
        <v>9.64</v>
      </c>
      <c r="E499">
        <v>8.5399999999999991</v>
      </c>
      <c r="F499">
        <v>8.6999999999999993</v>
      </c>
      <c r="G499">
        <v>8.49</v>
      </c>
      <c r="H499" t="s">
        <v>64</v>
      </c>
      <c r="I499">
        <v>6.4</v>
      </c>
      <c r="J499">
        <v>7.62</v>
      </c>
      <c r="K499">
        <v>8.17</v>
      </c>
      <c r="L499">
        <v>8.1</v>
      </c>
      <c r="M499">
        <v>6.98</v>
      </c>
      <c r="N499">
        <v>9.0299999999999994</v>
      </c>
      <c r="O499">
        <v>8.39</v>
      </c>
      <c r="P499">
        <v>8.81</v>
      </c>
      <c r="Q499">
        <v>6.96</v>
      </c>
      <c r="R499">
        <v>7.53</v>
      </c>
      <c r="S499">
        <v>7.41</v>
      </c>
      <c r="T499" s="2">
        <f>IF('ROS Rankings'!$AD$1,IFERROR(AVERAGE(INDEX($C499:$S499,14):INDEX($C499:$S499,17)),0),IFERROR(AVERAGE(INDEX($C499:$S499,Week+1):INDEX($C499:$S499,13)),0))</f>
        <v>7.8128571428571423</v>
      </c>
      <c r="U499" s="2" t="str">
        <f t="shared" si="70"/>
        <v/>
      </c>
      <c r="V499" s="2" t="str">
        <f t="shared" si="70"/>
        <v/>
      </c>
      <c r="W499" s="2" t="str">
        <f t="shared" si="70"/>
        <v/>
      </c>
      <c r="X499" s="2" t="str">
        <f t="shared" si="70"/>
        <v/>
      </c>
      <c r="Y499" s="2" t="str">
        <f t="shared" si="70"/>
        <v/>
      </c>
      <c r="Z499" s="2">
        <f t="shared" si="70"/>
        <v>7.8128571428571423</v>
      </c>
      <c r="AA499" s="23" t="str">
        <f t="shared" si="63"/>
        <v>K4</v>
      </c>
      <c r="AB499" s="2">
        <f>$T499-VLOOKUP($B499,Scores!$AG$1:$AM$7,5,FALSE)</f>
        <v>2.7142857142856691E-2</v>
      </c>
      <c r="AC499" s="2">
        <f>$T499-VLOOKUP($B499,Scores!$AG$1:$AM$7,6,FALSE)</f>
        <v>0.39142857142857057</v>
      </c>
      <c r="AD499" s="2">
        <f>$T499-VLOOKUP($B499,Scores!$AG$1:$AM$7,7,FALSE)+(ROW(A498)/1000000)</f>
        <v>0.39192657142857057</v>
      </c>
      <c r="AE499" s="2">
        <f t="array" ref="AE499">IF('ROS Rankings'!$AD$1,IFERROR(AVERAGE(IF(INDEX($C499:$S499,14):INDEX($C499:$S499,17)="NA",0,INDEX($C499:$S499,14):INDEX($C499:$S499,17))-INDEX($AQ$2:$BG$7,MATCH($B499,$AO$2:$AO$7,0),14):INDEX($AQ$2:$BG$7,MATCH($B499,$AO$2:$AO$7,0),17)),0),IFERROR(AVERAGE(IF(INDEX($C499:$S499,Week+1):INDEX($C499:$S499,13)="NA",0,INDEX($C499:$S499,Week+1):INDEX($C499:$S499,13))-INDEX($AQ$2:$BG$7,MATCH($B499,$AO$2:$AO$7,0),Week+1):INDEX($AQ$2:$BG$7,MATCH($B499,$AO$2:$AO$7,0),13)),0))+ROW(A498)/1000000</f>
        <v>-0.55450200000000016</v>
      </c>
      <c r="AF499">
        <f t="shared" si="64"/>
        <v>44</v>
      </c>
      <c r="AG499">
        <f t="shared" si="65"/>
        <v>79</v>
      </c>
      <c r="AH499">
        <f t="shared" si="66"/>
        <v>124</v>
      </c>
      <c r="AI499">
        <f t="shared" si="67"/>
        <v>146</v>
      </c>
      <c r="AJ499" s="22" t="str">
        <f>IF(ISERROR(MATCH(A499,Rosters!$B$2:$B$155,0)),AD499,"")</f>
        <v/>
      </c>
      <c r="AK499" t="str">
        <f t="shared" si="68"/>
        <v/>
      </c>
      <c r="AL499" s="23">
        <f>COUNTIF(INDEX($C499:$S499,Week+1):INDEX($C499:$S499,13),"&gt;0")</f>
        <v>7</v>
      </c>
    </row>
    <row r="500" spans="1:38" x14ac:dyDescent="0.25">
      <c r="A500" t="s">
        <v>444</v>
      </c>
      <c r="B500" t="s">
        <v>478</v>
      </c>
      <c r="C500">
        <v>6.68</v>
      </c>
      <c r="D500">
        <v>6.31</v>
      </c>
      <c r="E500">
        <v>6.44</v>
      </c>
      <c r="F500">
        <v>7.37</v>
      </c>
      <c r="G500">
        <v>9.24</v>
      </c>
      <c r="H500">
        <v>7.09</v>
      </c>
      <c r="I500" t="s">
        <v>64</v>
      </c>
      <c r="J500">
        <v>5.88</v>
      </c>
      <c r="K500">
        <v>6.43</v>
      </c>
      <c r="L500">
        <v>7.07</v>
      </c>
      <c r="M500">
        <v>6.04</v>
      </c>
      <c r="N500">
        <v>7.1</v>
      </c>
      <c r="O500">
        <v>6.55</v>
      </c>
      <c r="P500">
        <v>7.64</v>
      </c>
      <c r="Q500">
        <v>5.93</v>
      </c>
      <c r="R500">
        <v>6.4</v>
      </c>
      <c r="S500">
        <v>7.51</v>
      </c>
      <c r="T500" s="2">
        <f>IF('ROS Rankings'!$AD$1,IFERROR(AVERAGE(INDEX($C500:$S500,14):INDEX($C500:$S500,17)),0),IFERROR(AVERAGE(INDEX($C500:$S500,Week+1):INDEX($C500:$S500,13)),0))</f>
        <v>6.5942857142857134</v>
      </c>
      <c r="U500" s="2" t="str">
        <f t="shared" si="70"/>
        <v/>
      </c>
      <c r="V500" s="2" t="str">
        <f t="shared" si="70"/>
        <v/>
      </c>
      <c r="W500" s="2" t="str">
        <f t="shared" si="70"/>
        <v/>
      </c>
      <c r="X500" s="2" t="str">
        <f t="shared" si="70"/>
        <v/>
      </c>
      <c r="Y500" s="2" t="str">
        <f t="shared" si="70"/>
        <v/>
      </c>
      <c r="Z500" s="2">
        <f t="shared" si="70"/>
        <v>6.5942857142857134</v>
      </c>
      <c r="AA500" s="23" t="str">
        <f t="shared" si="63"/>
        <v>K23</v>
      </c>
      <c r="AB500" s="2">
        <f>$T500-VLOOKUP($B500,Scores!$AG$1:$AM$7,5,FALSE)</f>
        <v>-1.1914285714285722</v>
      </c>
      <c r="AC500" s="2">
        <f>$T500-VLOOKUP($B500,Scores!$AG$1:$AM$7,6,FALSE)</f>
        <v>-0.82714285714285829</v>
      </c>
      <c r="AD500" s="2">
        <f>$T500-VLOOKUP($B500,Scores!$AG$1:$AM$7,7,FALSE)+(ROW(A499)/1000000)</f>
        <v>-0.82664385714285826</v>
      </c>
      <c r="AE500" s="2">
        <f t="array" ref="AE500">IF('ROS Rankings'!$AD$1,IFERROR(AVERAGE(IF(INDEX($C500:$S500,14):INDEX($C500:$S500,17)="NA",0,INDEX($C500:$S500,14):INDEX($C500:$S500,17))-INDEX($AQ$2:$BG$7,MATCH($B500,$AO$2:$AO$7,0),14):INDEX($AQ$2:$BG$7,MATCH($B500,$AO$2:$AO$7,0),17)),0),IFERROR(AVERAGE(IF(INDEX($C500:$S500,Week+1):INDEX($C500:$S500,13)="NA",0,INDEX($C500:$S500,Week+1):INDEX($C500:$S500,13))-INDEX($AQ$2:$BG$7,MATCH($B500,$AO$2:$AO$7,0),Week+1):INDEX($AQ$2:$BG$7,MATCH($B500,$AO$2:$AO$7,0),13)),0))+ROW(A499)/1000000</f>
        <v>-1.6207510000000003</v>
      </c>
      <c r="AF500">
        <f t="shared" si="64"/>
        <v>100</v>
      </c>
      <c r="AG500">
        <f t="shared" si="65"/>
        <v>153</v>
      </c>
      <c r="AH500">
        <f t="shared" si="66"/>
        <v>193</v>
      </c>
      <c r="AI500">
        <f t="shared" si="67"/>
        <v>219</v>
      </c>
      <c r="AJ500" s="22" t="str">
        <f>IF(ISERROR(MATCH(A500,Rosters!$B$2:$B$155,0)),AD500,"")</f>
        <v/>
      </c>
      <c r="AK500" t="str">
        <f t="shared" si="68"/>
        <v/>
      </c>
      <c r="AL500" s="23">
        <f>COUNTIF(INDEX($C500:$S500,Week+1):INDEX($C500:$S500,13),"&gt;0")</f>
        <v>7</v>
      </c>
    </row>
    <row r="501" spans="1:38" x14ac:dyDescent="0.25">
      <c r="A501" t="s">
        <v>452</v>
      </c>
      <c r="B501" t="s">
        <v>478</v>
      </c>
      <c r="C501">
        <v>7.86</v>
      </c>
      <c r="D501">
        <v>9.18</v>
      </c>
      <c r="E501">
        <v>8.0299999999999994</v>
      </c>
      <c r="F501">
        <v>7.39</v>
      </c>
      <c r="G501">
        <v>8.64</v>
      </c>
      <c r="H501">
        <v>7.56</v>
      </c>
      <c r="I501">
        <v>8.7100000000000009</v>
      </c>
      <c r="J501">
        <v>7.08</v>
      </c>
      <c r="K501">
        <v>8.66</v>
      </c>
      <c r="L501">
        <v>7.72</v>
      </c>
      <c r="M501" t="s">
        <v>64</v>
      </c>
      <c r="N501">
        <v>7.97</v>
      </c>
      <c r="O501">
        <v>6.8</v>
      </c>
      <c r="P501">
        <v>7.27</v>
      </c>
      <c r="Q501">
        <v>7.19</v>
      </c>
      <c r="R501">
        <v>7.59</v>
      </c>
      <c r="S501">
        <v>8.23</v>
      </c>
      <c r="T501" s="2">
        <f>IF('ROS Rankings'!$AD$1,IFERROR(AVERAGE(INDEX($C501:$S501,14):INDEX($C501:$S501,17)),0),IFERROR(AVERAGE(INDEX($C501:$S501,Week+1):INDEX($C501:$S501,13)),0))</f>
        <v>7.7857142857142856</v>
      </c>
      <c r="U501" s="2" t="str">
        <f t="shared" si="70"/>
        <v/>
      </c>
      <c r="V501" s="2" t="str">
        <f t="shared" si="70"/>
        <v/>
      </c>
      <c r="W501" s="2" t="str">
        <f t="shared" si="70"/>
        <v/>
      </c>
      <c r="X501" s="2" t="str">
        <f t="shared" si="70"/>
        <v/>
      </c>
      <c r="Y501" s="2" t="str">
        <f t="shared" si="70"/>
        <v/>
      </c>
      <c r="Z501" s="2">
        <f t="shared" si="70"/>
        <v>7.7857142857142856</v>
      </c>
      <c r="AA501" s="23" t="str">
        <f t="shared" si="63"/>
        <v>K5</v>
      </c>
      <c r="AB501" s="2">
        <f>$T501-VLOOKUP($B501,Scores!$AG$1:$AM$7,5,FALSE)</f>
        <v>0</v>
      </c>
      <c r="AC501" s="2">
        <f>$T501-VLOOKUP($B501,Scores!$AG$1:$AM$7,6,FALSE)</f>
        <v>0.36428571428571388</v>
      </c>
      <c r="AD501" s="2">
        <f>$T501-VLOOKUP($B501,Scores!$AG$1:$AM$7,7,FALSE)+(ROW(A500)/1000000)</f>
        <v>0.36478571428571388</v>
      </c>
      <c r="AE501" s="2">
        <f t="array" ref="AE501">IF('ROS Rankings'!$AD$1,IFERROR(AVERAGE(IF(INDEX($C501:$S501,14):INDEX($C501:$S501,17)="NA",0,INDEX($C501:$S501,14):INDEX($C501:$S501,17))-INDEX($AQ$2:$BG$7,MATCH($B501,$AO$2:$AO$7,0),14):INDEX($AQ$2:$BG$7,MATCH($B501,$AO$2:$AO$7,0),17)),0),IFERROR(AVERAGE(IF(INDEX($C501:$S501,Week+1):INDEX($C501:$S501,13)="NA",0,INDEX($C501:$S501,Week+1):INDEX($C501:$S501,13))-INDEX($AQ$2:$BG$7,MATCH($B501,$AO$2:$AO$7,0),Week+1):INDEX($AQ$2:$BG$7,MATCH($B501,$AO$2:$AO$7,0),13)),0))+ROW(A500)/1000000</f>
        <v>-0.57825000000000004</v>
      </c>
      <c r="AF501">
        <f t="shared" si="64"/>
        <v>45</v>
      </c>
      <c r="AG501">
        <f t="shared" si="65"/>
        <v>80</v>
      </c>
      <c r="AH501">
        <f t="shared" si="66"/>
        <v>125</v>
      </c>
      <c r="AI501">
        <f t="shared" si="67"/>
        <v>149</v>
      </c>
      <c r="AJ501" s="22" t="str">
        <f>IF(ISERROR(MATCH(A501,Rosters!$B$2:$B$155,0)),AD501,"")</f>
        <v/>
      </c>
      <c r="AK501" t="str">
        <f t="shared" si="68"/>
        <v/>
      </c>
      <c r="AL501" s="23">
        <f>COUNTIF(INDEX($C501:$S501,Week+1):INDEX($C501:$S501,13),"&gt;0")</f>
        <v>7</v>
      </c>
    </row>
    <row r="502" spans="1:38" x14ac:dyDescent="0.25">
      <c r="A502" t="s">
        <v>447</v>
      </c>
      <c r="B502" t="s">
        <v>478</v>
      </c>
      <c r="C502">
        <v>8.93</v>
      </c>
      <c r="D502">
        <v>8.81</v>
      </c>
      <c r="E502">
        <v>8.4499999999999993</v>
      </c>
      <c r="F502">
        <v>8.4700000000000006</v>
      </c>
      <c r="G502">
        <v>8.68</v>
      </c>
      <c r="H502">
        <v>7.64</v>
      </c>
      <c r="I502">
        <v>8.68</v>
      </c>
      <c r="J502">
        <v>7.11</v>
      </c>
      <c r="K502">
        <v>8.17</v>
      </c>
      <c r="L502" t="s">
        <v>64</v>
      </c>
      <c r="M502">
        <v>8.2200000000000006</v>
      </c>
      <c r="N502">
        <v>8.66</v>
      </c>
      <c r="O502">
        <v>8.6199999999999992</v>
      </c>
      <c r="P502">
        <v>9.09</v>
      </c>
      <c r="Q502">
        <v>9.0399999999999991</v>
      </c>
      <c r="R502">
        <v>7.56</v>
      </c>
      <c r="S502">
        <v>7.66</v>
      </c>
      <c r="T502" s="2">
        <f>IF('ROS Rankings'!$AD$1,IFERROR(AVERAGE(INDEX($C502:$S502,14):INDEX($C502:$S502,17)),0),IFERROR(AVERAGE(INDEX($C502:$S502,Week+1):INDEX($C502:$S502,13)),0))</f>
        <v>8.1571428571428566</v>
      </c>
      <c r="U502" s="2" t="str">
        <f t="shared" si="70"/>
        <v/>
      </c>
      <c r="V502" s="2" t="str">
        <f t="shared" si="70"/>
        <v/>
      </c>
      <c r="W502" s="2" t="str">
        <f t="shared" si="70"/>
        <v/>
      </c>
      <c r="X502" s="2" t="str">
        <f t="shared" si="70"/>
        <v/>
      </c>
      <c r="Y502" s="2" t="str">
        <f t="shared" si="70"/>
        <v/>
      </c>
      <c r="Z502" s="2">
        <f t="shared" si="70"/>
        <v>8.1571428571428566</v>
      </c>
      <c r="AA502" s="23" t="str">
        <f t="shared" si="63"/>
        <v>K2</v>
      </c>
      <c r="AB502" s="2">
        <f>$T502-VLOOKUP($B502,Scores!$AG$1:$AM$7,5,FALSE)</f>
        <v>0.371428571428571</v>
      </c>
      <c r="AC502" s="2">
        <f>$T502-VLOOKUP($B502,Scores!$AG$1:$AM$7,6,FALSE)</f>
        <v>0.73571428571428488</v>
      </c>
      <c r="AD502" s="2">
        <f>$T502-VLOOKUP($B502,Scores!$AG$1:$AM$7,7,FALSE)+(ROW(A501)/1000000)</f>
        <v>0.73621528571428485</v>
      </c>
      <c r="AE502" s="2">
        <f t="array" ref="AE502">IF('ROS Rankings'!$AD$1,IFERROR(AVERAGE(IF(INDEX($C502:$S502,14):INDEX($C502:$S502,17)="NA",0,INDEX($C502:$S502,14):INDEX($C502:$S502,17))-INDEX($AQ$2:$BG$7,MATCH($B502,$AO$2:$AO$7,0),14):INDEX($AQ$2:$BG$7,MATCH($B502,$AO$2:$AO$7,0),17)),0),IFERROR(AVERAGE(IF(INDEX($C502:$S502,Week+1):INDEX($C502:$S502,13)="NA",0,INDEX($C502:$S502,Week+1):INDEX($C502:$S502,13))-INDEX($AQ$2:$BG$7,MATCH($B502,$AO$2:$AO$7,0),Week+1):INDEX($AQ$2:$BG$7,MATCH($B502,$AO$2:$AO$7,0),13)),0))+ROW(A501)/1000000</f>
        <v>-0.25324900000000006</v>
      </c>
      <c r="AF502">
        <f t="shared" si="64"/>
        <v>38</v>
      </c>
      <c r="AG502">
        <f t="shared" si="65"/>
        <v>65</v>
      </c>
      <c r="AH502">
        <f t="shared" si="66"/>
        <v>109</v>
      </c>
      <c r="AI502">
        <f t="shared" si="67"/>
        <v>135</v>
      </c>
      <c r="AJ502" s="22" t="str">
        <f>IF(ISERROR(MATCH(A502,Rosters!$B$2:$B$155,0)),AD502,"")</f>
        <v/>
      </c>
      <c r="AK502" t="str">
        <f t="shared" si="68"/>
        <v/>
      </c>
      <c r="AL502" s="23">
        <f>COUNTIF(INDEX($C502:$S502,Week+1):INDEX($C502:$S502,13),"&gt;0")</f>
        <v>7</v>
      </c>
    </row>
    <row r="503" spans="1:38" x14ac:dyDescent="0.25">
      <c r="A503" t="s">
        <v>1119</v>
      </c>
      <c r="B503" t="s">
        <v>478</v>
      </c>
      <c r="C503">
        <v>8.42</v>
      </c>
      <c r="D503">
        <v>7.79</v>
      </c>
      <c r="E503">
        <v>9.08</v>
      </c>
      <c r="F503">
        <v>8.49</v>
      </c>
      <c r="G503">
        <v>7.21</v>
      </c>
      <c r="H503">
        <v>7.51</v>
      </c>
      <c r="I503">
        <v>8.7100000000000009</v>
      </c>
      <c r="J503">
        <v>7.95</v>
      </c>
      <c r="K503" t="s">
        <v>64</v>
      </c>
      <c r="L503">
        <v>7.27</v>
      </c>
      <c r="M503">
        <v>6.34</v>
      </c>
      <c r="N503">
        <v>6.49</v>
      </c>
      <c r="O503">
        <v>7.68</v>
      </c>
      <c r="P503">
        <v>6.77</v>
      </c>
      <c r="Q503">
        <v>7.61</v>
      </c>
      <c r="R503">
        <v>7.32</v>
      </c>
      <c r="S503">
        <v>8.2200000000000006</v>
      </c>
      <c r="T503" s="2">
        <f>IF('ROS Rankings'!$AD$1,IFERROR(AVERAGE(INDEX($C503:$S503,14):INDEX($C503:$S503,17)),0),IFERROR(AVERAGE(INDEX($C503:$S503,Week+1):INDEX($C503:$S503,13)),0))</f>
        <v>7.4214285714285717</v>
      </c>
      <c r="U503" s="2" t="str">
        <f t="shared" si="70"/>
        <v/>
      </c>
      <c r="V503" s="2" t="str">
        <f t="shared" si="70"/>
        <v/>
      </c>
      <c r="W503" s="2" t="str">
        <f t="shared" si="70"/>
        <v/>
      </c>
      <c r="X503" s="2" t="str">
        <f t="shared" si="70"/>
        <v/>
      </c>
      <c r="Y503" s="2" t="str">
        <f t="shared" si="70"/>
        <v/>
      </c>
      <c r="Z503" s="2">
        <f t="shared" si="70"/>
        <v>7.4214285714285717</v>
      </c>
      <c r="AA503" s="23" t="str">
        <f t="shared" si="63"/>
        <v>K10</v>
      </c>
      <c r="AB503" s="2">
        <f>$T503-VLOOKUP($B503,Scores!$AG$1:$AM$7,5,FALSE)</f>
        <v>-0.36428571428571388</v>
      </c>
      <c r="AC503" s="2">
        <f>$T503-VLOOKUP($B503,Scores!$AG$1:$AM$7,6,FALSE)</f>
        <v>0</v>
      </c>
      <c r="AD503" s="2">
        <f>$T503-VLOOKUP($B503,Scores!$AG$1:$AM$7,7,FALSE)+(ROW(A502)/1000000)</f>
        <v>5.0199999999999995E-4</v>
      </c>
      <c r="AE503" s="2">
        <f t="array" ref="AE503">IF('ROS Rankings'!$AD$1,IFERROR(AVERAGE(IF(INDEX($C503:$S503,14):INDEX($C503:$S503,17)="NA",0,INDEX($C503:$S503,14):INDEX($C503:$S503,17))-INDEX($AQ$2:$BG$7,MATCH($B503,$AO$2:$AO$7,0),14):INDEX($AQ$2:$BG$7,MATCH($B503,$AO$2:$AO$7,0),17)),0),IFERROR(AVERAGE(IF(INDEX($C503:$S503,Week+1):INDEX($C503:$S503,13)="NA",0,INDEX($C503:$S503,Week+1):INDEX($C503:$S503,13))-INDEX($AQ$2:$BG$7,MATCH($B503,$AO$2:$AO$7,0),Week+1):INDEX($AQ$2:$BG$7,MATCH($B503,$AO$2:$AO$7,0),13)),0))+ROW(A502)/1000000</f>
        <v>-0.89699799999999996</v>
      </c>
      <c r="AF503">
        <f t="shared" si="64"/>
        <v>60</v>
      </c>
      <c r="AG503">
        <f t="shared" si="65"/>
        <v>95</v>
      </c>
      <c r="AH503">
        <f t="shared" si="66"/>
        <v>146</v>
      </c>
      <c r="AI503">
        <f t="shared" si="67"/>
        <v>166</v>
      </c>
      <c r="AJ503" s="22" t="str">
        <f>IF(ISERROR(MATCH(A503,Rosters!$B$2:$B$155,0)),AD503,"")</f>
        <v/>
      </c>
      <c r="AK503" t="str">
        <f t="shared" si="68"/>
        <v/>
      </c>
      <c r="AL503" s="23">
        <f>COUNTIF(INDEX($C503:$S503,Week+1):INDEX($C503:$S503,13),"&gt;0")</f>
        <v>7</v>
      </c>
    </row>
    <row r="504" spans="1:38" x14ac:dyDescent="0.25">
      <c r="A504" t="s">
        <v>446</v>
      </c>
      <c r="B504" t="s">
        <v>478</v>
      </c>
      <c r="C504">
        <v>8.3699999999999992</v>
      </c>
      <c r="D504">
        <v>7.72</v>
      </c>
      <c r="E504">
        <v>8.74</v>
      </c>
      <c r="F504">
        <v>8.44</v>
      </c>
      <c r="G504">
        <v>8.4499999999999993</v>
      </c>
      <c r="H504">
        <v>8.8800000000000008</v>
      </c>
      <c r="I504">
        <v>7.71</v>
      </c>
      <c r="J504">
        <v>7.93</v>
      </c>
      <c r="K504">
        <v>9.02</v>
      </c>
      <c r="L504">
        <v>6.88</v>
      </c>
      <c r="M504" t="s">
        <v>64</v>
      </c>
      <c r="N504">
        <v>7.5</v>
      </c>
      <c r="O504">
        <v>7.95</v>
      </c>
      <c r="P504">
        <v>8.11</v>
      </c>
      <c r="Q504">
        <v>8.18</v>
      </c>
      <c r="R504">
        <v>8.39</v>
      </c>
      <c r="S504">
        <v>7.95</v>
      </c>
      <c r="T504" s="2">
        <f>IF('ROS Rankings'!$AD$1,IFERROR(AVERAGE(INDEX($C504:$S504,14):INDEX($C504:$S504,17)),0),IFERROR(AVERAGE(INDEX($C504:$S504,Week+1):INDEX($C504:$S504,13)),0))</f>
        <v>7.9814285714285722</v>
      </c>
      <c r="U504" s="2" t="str">
        <f t="shared" si="70"/>
        <v/>
      </c>
      <c r="V504" s="2" t="str">
        <f t="shared" si="70"/>
        <v/>
      </c>
      <c r="W504" s="2" t="str">
        <f t="shared" si="70"/>
        <v/>
      </c>
      <c r="X504" s="2" t="str">
        <f t="shared" si="70"/>
        <v/>
      </c>
      <c r="Y504" s="2" t="str">
        <f t="shared" si="70"/>
        <v/>
      </c>
      <c r="Z504" s="2">
        <f t="shared" si="70"/>
        <v>7.9814285714285722</v>
      </c>
      <c r="AA504" s="23" t="str">
        <f t="shared" si="63"/>
        <v>K3</v>
      </c>
      <c r="AB504" s="2">
        <f>$T504-VLOOKUP($B504,Scores!$AG$1:$AM$7,5,FALSE)</f>
        <v>0.19571428571428662</v>
      </c>
      <c r="AC504" s="2">
        <f>$T504-VLOOKUP($B504,Scores!$AG$1:$AM$7,6,FALSE)</f>
        <v>0.5600000000000005</v>
      </c>
      <c r="AD504" s="2">
        <f>$T504-VLOOKUP($B504,Scores!$AG$1:$AM$7,7,FALSE)+(ROW(A503)/1000000)</f>
        <v>0.56050300000000053</v>
      </c>
      <c r="AE504" s="2">
        <f t="array" ref="AE504">IF('ROS Rankings'!$AD$1,IFERROR(AVERAGE(IF(INDEX($C504:$S504,14):INDEX($C504:$S504,17)="NA",0,INDEX($C504:$S504,14):INDEX($C504:$S504,17))-INDEX($AQ$2:$BG$7,MATCH($B504,$AO$2:$AO$7,0),14):INDEX($AQ$2:$BG$7,MATCH($B504,$AO$2:$AO$7,0),17)),0),IFERROR(AVERAGE(IF(INDEX($C504:$S504,Week+1):INDEX($C504:$S504,13)="NA",0,INDEX($C504:$S504,Week+1):INDEX($C504:$S504,13))-INDEX($AQ$2:$BG$7,MATCH($B504,$AO$2:$AO$7,0),Week+1):INDEX($AQ$2:$BG$7,MATCH($B504,$AO$2:$AO$7,0),13)),0))+ROW(A503)/1000000</f>
        <v>-0.406997</v>
      </c>
      <c r="AF504">
        <f t="shared" si="64"/>
        <v>41</v>
      </c>
      <c r="AG504">
        <f t="shared" si="65"/>
        <v>73</v>
      </c>
      <c r="AH504">
        <f t="shared" si="66"/>
        <v>115</v>
      </c>
      <c r="AI504">
        <f t="shared" si="67"/>
        <v>140</v>
      </c>
      <c r="AJ504" s="22" t="str">
        <f>IF(ISERROR(MATCH(A504,Rosters!$B$2:$B$155,0)),AD504,"")</f>
        <v/>
      </c>
      <c r="AK504" t="str">
        <f t="shared" si="68"/>
        <v/>
      </c>
      <c r="AL504" s="23">
        <f>COUNTIF(INDEX($C504:$S504,Week+1):INDEX($C504:$S504,13),"&gt;0")</f>
        <v>7</v>
      </c>
    </row>
    <row r="505" spans="1:38" x14ac:dyDescent="0.25">
      <c r="A505" t="s">
        <v>456</v>
      </c>
      <c r="B505" t="s">
        <v>478</v>
      </c>
      <c r="C505">
        <v>8.27</v>
      </c>
      <c r="D505">
        <v>7.27</v>
      </c>
      <c r="E505">
        <v>8.39</v>
      </c>
      <c r="F505" t="s">
        <v>64</v>
      </c>
      <c r="G505">
        <v>8.76</v>
      </c>
      <c r="H505">
        <v>7.47</v>
      </c>
      <c r="I505">
        <v>6.16</v>
      </c>
      <c r="J505">
        <v>5.64</v>
      </c>
      <c r="K505">
        <v>8.7200000000000006</v>
      </c>
      <c r="L505">
        <v>7.54</v>
      </c>
      <c r="M505">
        <v>8.5</v>
      </c>
      <c r="N505">
        <v>6.86</v>
      </c>
      <c r="O505">
        <v>8.25</v>
      </c>
      <c r="P505">
        <v>7.03</v>
      </c>
      <c r="Q505">
        <v>8.85</v>
      </c>
      <c r="R505">
        <v>8.35</v>
      </c>
      <c r="S505">
        <v>8.3800000000000008</v>
      </c>
      <c r="T505" s="2">
        <f>IF('ROS Rankings'!$AD$1,IFERROR(AVERAGE(INDEX($C505:$S505,14):INDEX($C505:$S505,17)),0),IFERROR(AVERAGE(INDEX($C505:$S505,Week+1):INDEX($C505:$S505,13)),0))</f>
        <v>7.3925000000000001</v>
      </c>
      <c r="U505" s="2" t="str">
        <f t="shared" si="70"/>
        <v/>
      </c>
      <c r="V505" s="2" t="str">
        <f t="shared" si="70"/>
        <v/>
      </c>
      <c r="W505" s="2" t="str">
        <f t="shared" si="70"/>
        <v/>
      </c>
      <c r="X505" s="2" t="str">
        <f t="shared" si="70"/>
        <v/>
      </c>
      <c r="Y505" s="2" t="str">
        <f t="shared" si="70"/>
        <v/>
      </c>
      <c r="Z505" s="2">
        <f t="shared" si="70"/>
        <v>7.3925000000000001</v>
      </c>
      <c r="AA505" s="23" t="str">
        <f t="shared" si="63"/>
        <v>K11</v>
      </c>
      <c r="AB505" s="2">
        <f>$T505-VLOOKUP($B505,Scores!$AG$1:$AM$7,5,FALSE)</f>
        <v>-0.39321428571428552</v>
      </c>
      <c r="AC505" s="2">
        <f>$T505-VLOOKUP($B505,Scores!$AG$1:$AM$7,6,FALSE)</f>
        <v>-2.8928571428571637E-2</v>
      </c>
      <c r="AD505" s="2">
        <f>$T505-VLOOKUP($B505,Scores!$AG$1:$AM$7,7,FALSE)+(ROW(A504)/1000000)</f>
        <v>-2.8424571428571636E-2</v>
      </c>
      <c r="AE505" s="2">
        <f t="array" ref="AE505">IF('ROS Rankings'!$AD$1,IFERROR(AVERAGE(IF(INDEX($C505:$S505,14):INDEX($C505:$S505,17)="NA",0,INDEX($C505:$S505,14):INDEX($C505:$S505,17))-INDEX($AQ$2:$BG$7,MATCH($B505,$AO$2:$AO$7,0),14):INDEX($AQ$2:$BG$7,MATCH($B505,$AO$2:$AO$7,0),17)),0),IFERROR(AVERAGE(IF(INDEX($C505:$S505,Week+1):INDEX($C505:$S505,13)="NA",0,INDEX($C505:$S505,Week+1):INDEX($C505:$S505,13))-INDEX($AQ$2:$BG$7,MATCH($B505,$AO$2:$AO$7,0),Week+1):INDEX($AQ$2:$BG$7,MATCH($B505,$AO$2:$AO$7,0),13)),0))+ROW(A504)/1000000</f>
        <v>1.7540000000000845E-3</v>
      </c>
      <c r="AF505">
        <f t="shared" si="64"/>
        <v>62</v>
      </c>
      <c r="AG505">
        <f t="shared" si="65"/>
        <v>105</v>
      </c>
      <c r="AH505">
        <f t="shared" si="66"/>
        <v>154</v>
      </c>
      <c r="AI505">
        <f t="shared" si="67"/>
        <v>122</v>
      </c>
      <c r="AJ505" s="22">
        <f>IF(ISERROR(MATCH(A505,Rosters!$B$2:$B$155,0)),AD505,"")</f>
        <v>-2.8424571428571636E-2</v>
      </c>
      <c r="AK505">
        <f t="shared" si="68"/>
        <v>27</v>
      </c>
      <c r="AL505" s="23">
        <f>COUNTIF(INDEX($C505:$S505,Week+1):INDEX($C505:$S505,13),"&gt;0")</f>
        <v>8</v>
      </c>
    </row>
    <row r="506" spans="1:38" x14ac:dyDescent="0.25">
      <c r="A506" t="s">
        <v>4164</v>
      </c>
      <c r="B506" t="s">
        <v>478</v>
      </c>
      <c r="C506">
        <v>6.36</v>
      </c>
      <c r="D506">
        <v>6.95</v>
      </c>
      <c r="E506">
        <v>6.37</v>
      </c>
      <c r="F506">
        <v>7.01</v>
      </c>
      <c r="G506">
        <v>6.56</v>
      </c>
      <c r="H506">
        <v>7.02</v>
      </c>
      <c r="I506">
        <v>7.49</v>
      </c>
      <c r="J506" t="s">
        <v>64</v>
      </c>
      <c r="K506">
        <v>6.96</v>
      </c>
      <c r="L506">
        <v>6.24</v>
      </c>
      <c r="M506">
        <v>8.07</v>
      </c>
      <c r="N506">
        <v>7.9</v>
      </c>
      <c r="O506">
        <v>8.31</v>
      </c>
      <c r="P506">
        <v>6.6</v>
      </c>
      <c r="Q506">
        <v>8.0500000000000007</v>
      </c>
      <c r="R506">
        <v>8.49</v>
      </c>
      <c r="S506">
        <v>8.23</v>
      </c>
      <c r="T506" s="2">
        <f>IF('ROS Rankings'!$AD$1,IFERROR(AVERAGE(INDEX($C506:$S506,14):INDEX($C506:$S506,17)),0),IFERROR(AVERAGE(INDEX($C506:$S506,Week+1):INDEX($C506:$S506,13)),0))</f>
        <v>7.427142857142857</v>
      </c>
      <c r="U506" s="2" t="str">
        <f t="shared" si="70"/>
        <v/>
      </c>
      <c r="V506" s="2" t="str">
        <f t="shared" si="70"/>
        <v/>
      </c>
      <c r="W506" s="2" t="str">
        <f t="shared" si="70"/>
        <v/>
      </c>
      <c r="X506" s="2" t="str">
        <f t="shared" si="70"/>
        <v/>
      </c>
      <c r="Y506" s="2" t="str">
        <f t="shared" si="70"/>
        <v/>
      </c>
      <c r="Z506" s="2">
        <f t="shared" si="70"/>
        <v>7.427142857142857</v>
      </c>
      <c r="AA506" s="23" t="str">
        <f t="shared" si="63"/>
        <v>K9</v>
      </c>
      <c r="AB506" s="2">
        <f>$T506-VLOOKUP($B506,Scores!$AG$1:$AM$7,5,FALSE)</f>
        <v>-0.35857142857142854</v>
      </c>
      <c r="AC506" s="2">
        <f>$T506-VLOOKUP($B506,Scores!$AG$1:$AM$7,6,FALSE)</f>
        <v>5.7142857142853387E-3</v>
      </c>
      <c r="AD506" s="2">
        <f>$T506-VLOOKUP($B506,Scores!$AG$1:$AM$7,7,FALSE)+(ROW(A505)/1000000)</f>
        <v>6.219285714285339E-3</v>
      </c>
      <c r="AE506" s="2">
        <f t="array" ref="AE506">IF('ROS Rankings'!$AD$1,IFERROR(AVERAGE(IF(INDEX($C506:$S506,14):INDEX($C506:$S506,17)="NA",0,INDEX($C506:$S506,14):INDEX($C506:$S506,17))-INDEX($AQ$2:$BG$7,MATCH($B506,$AO$2:$AO$7,0),14):INDEX($AQ$2:$BG$7,MATCH($B506,$AO$2:$AO$7,0),17)),0),IFERROR(AVERAGE(IF(INDEX($C506:$S506,Week+1):INDEX($C506:$S506,13)="NA",0,INDEX($C506:$S506,Week+1):INDEX($C506:$S506,13))-INDEX($AQ$2:$BG$7,MATCH($B506,$AO$2:$AO$7,0),Week+1):INDEX($AQ$2:$BG$7,MATCH($B506,$AO$2:$AO$7,0),13)),0))+ROW(A505)/1000000</f>
        <v>-0.89199499999999987</v>
      </c>
      <c r="AF506">
        <f t="shared" si="64"/>
        <v>59</v>
      </c>
      <c r="AG506">
        <f t="shared" si="65"/>
        <v>94</v>
      </c>
      <c r="AH506">
        <f t="shared" si="66"/>
        <v>144</v>
      </c>
      <c r="AI506">
        <f t="shared" si="67"/>
        <v>165</v>
      </c>
      <c r="AJ506" s="22">
        <f>IF(ISERROR(MATCH(A506,Rosters!$B$2:$B$155,0)),AD506,"")</f>
        <v>6.219285714285339E-3</v>
      </c>
      <c r="AK506">
        <f t="shared" si="68"/>
        <v>20</v>
      </c>
      <c r="AL506" s="23">
        <f>COUNTIF(INDEX($C506:$S506,Week+1):INDEX($C506:$S506,13),"&gt;0")</f>
        <v>7</v>
      </c>
    </row>
    <row r="507" spans="1:38" x14ac:dyDescent="0.25">
      <c r="A507" t="s">
        <v>5064</v>
      </c>
      <c r="B507" t="s">
        <v>478</v>
      </c>
      <c r="C507" t="s">
        <v>64</v>
      </c>
      <c r="D507" t="s">
        <v>64</v>
      </c>
      <c r="E507" t="s">
        <v>64</v>
      </c>
      <c r="F507">
        <v>6.59</v>
      </c>
      <c r="G507">
        <v>6.33</v>
      </c>
      <c r="H507">
        <v>5.79</v>
      </c>
      <c r="I507" t="s">
        <v>64</v>
      </c>
      <c r="J507">
        <v>7.48</v>
      </c>
      <c r="K507">
        <v>6.92</v>
      </c>
      <c r="L507">
        <v>6.57</v>
      </c>
      <c r="M507">
        <v>5.15</v>
      </c>
      <c r="N507">
        <v>5.17</v>
      </c>
      <c r="O507">
        <v>8.48</v>
      </c>
      <c r="P507">
        <v>7.01</v>
      </c>
      <c r="Q507">
        <v>6.71</v>
      </c>
      <c r="R507">
        <v>6.05</v>
      </c>
      <c r="S507">
        <v>7.99</v>
      </c>
      <c r="T507" s="2">
        <f>IF('ROS Rankings'!$AD$1,IFERROR(AVERAGE(INDEX($C507:$S507,14):INDEX($C507:$S507,17)),0),IFERROR(AVERAGE(INDEX($C507:$S507,Week+1):INDEX($C507:$S507,13)),0))</f>
        <v>6.5085714285714289</v>
      </c>
      <c r="U507" s="2" t="str">
        <f t="shared" si="70"/>
        <v/>
      </c>
      <c r="V507" s="2" t="str">
        <f t="shared" si="70"/>
        <v/>
      </c>
      <c r="W507" s="2" t="str">
        <f t="shared" si="70"/>
        <v/>
      </c>
      <c r="X507" s="2" t="str">
        <f t="shared" si="70"/>
        <v/>
      </c>
      <c r="Y507" s="2" t="str">
        <f t="shared" si="70"/>
        <v/>
      </c>
      <c r="Z507" s="2">
        <f t="shared" si="70"/>
        <v>6.5085714285714289</v>
      </c>
      <c r="AA507" s="23" t="str">
        <f t="shared" si="63"/>
        <v>K26</v>
      </c>
      <c r="AB507" s="2">
        <f>$T507-VLOOKUP($B507,Scores!$AG$1:$AM$7,5,FALSE)</f>
        <v>-1.2771428571428567</v>
      </c>
      <c r="AC507" s="2">
        <f>$T507-VLOOKUP($B507,Scores!$AG$1:$AM$7,6,FALSE)</f>
        <v>-0.91285714285714281</v>
      </c>
      <c r="AD507" s="2">
        <f>$T507-VLOOKUP($B507,Scores!$AG$1:$AM$7,7,FALSE)+(ROW(A506)/1000000)</f>
        <v>-0.91235114285714281</v>
      </c>
      <c r="AE507" s="2">
        <f t="array" ref="AE507">IF('ROS Rankings'!$AD$1,IFERROR(AVERAGE(IF(INDEX($C507:$S507,14):INDEX($C507:$S507,17)="NA",0,INDEX($C507:$S507,14):INDEX($C507:$S507,17))-INDEX($AQ$2:$BG$7,MATCH($B507,$AO$2:$AO$7,0),14):INDEX($AQ$2:$BG$7,MATCH($B507,$AO$2:$AO$7,0),17)),0),IFERROR(AVERAGE(IF(INDEX($C507:$S507,Week+1):INDEX($C507:$S507,13)="NA",0,INDEX($C507:$S507,Week+1):INDEX($C507:$S507,13))-INDEX($AQ$2:$BG$7,MATCH($B507,$AO$2:$AO$7,0),Week+1):INDEX($AQ$2:$BG$7,MATCH($B507,$AO$2:$AO$7,0),13)),0))+ROW(A506)/1000000</f>
        <v>-1.6957439999999999</v>
      </c>
      <c r="AF507">
        <f t="shared" si="64"/>
        <v>105</v>
      </c>
      <c r="AG507">
        <f t="shared" si="65"/>
        <v>158</v>
      </c>
      <c r="AH507">
        <f t="shared" si="66"/>
        <v>198</v>
      </c>
      <c r="AI507">
        <f t="shared" si="67"/>
        <v>223</v>
      </c>
      <c r="AJ507" s="22">
        <f>IF(ISERROR(MATCH(A507,Rosters!$B$2:$B$155,0)),AD507,"")</f>
        <v>-0.91235114285714281</v>
      </c>
      <c r="AK507">
        <f t="shared" si="68"/>
        <v>62</v>
      </c>
      <c r="AL507" s="23">
        <f>COUNTIF(INDEX($C507:$S507,Week+1):INDEX($C507:$S507,13),"&gt;0")</f>
        <v>7</v>
      </c>
    </row>
    <row r="508" spans="1:38" x14ac:dyDescent="0.25">
      <c r="A508" t="s">
        <v>450</v>
      </c>
      <c r="B508" t="s">
        <v>478</v>
      </c>
      <c r="C508">
        <v>8.44</v>
      </c>
      <c r="D508">
        <v>7.32</v>
      </c>
      <c r="E508">
        <v>7.22</v>
      </c>
      <c r="F508">
        <v>6.83</v>
      </c>
      <c r="G508">
        <v>6.75</v>
      </c>
      <c r="H508" t="s">
        <v>64</v>
      </c>
      <c r="I508">
        <v>5.98</v>
      </c>
      <c r="J508">
        <v>5.98</v>
      </c>
      <c r="K508">
        <v>6.47</v>
      </c>
      <c r="L508">
        <v>5.28</v>
      </c>
      <c r="M508">
        <v>5.64</v>
      </c>
      <c r="N508">
        <v>5.58</v>
      </c>
      <c r="O508">
        <v>7.17</v>
      </c>
      <c r="P508">
        <v>5.4</v>
      </c>
      <c r="Q508">
        <v>5.15</v>
      </c>
      <c r="R508">
        <v>6.83</v>
      </c>
      <c r="S508">
        <v>6.48</v>
      </c>
      <c r="T508" s="2">
        <f>IF('ROS Rankings'!$AD$1,IFERROR(AVERAGE(INDEX($C508:$S508,14):INDEX($C508:$S508,17)),0),IFERROR(AVERAGE(INDEX($C508:$S508,Week+1):INDEX($C508:$S508,13)),0))</f>
        <v>6.0142857142857142</v>
      </c>
      <c r="U508" s="2" t="str">
        <f t="shared" si="70"/>
        <v/>
      </c>
      <c r="V508" s="2" t="str">
        <f t="shared" si="70"/>
        <v/>
      </c>
      <c r="W508" s="2" t="str">
        <f t="shared" si="70"/>
        <v/>
      </c>
      <c r="X508" s="2" t="str">
        <f t="shared" si="70"/>
        <v/>
      </c>
      <c r="Y508" s="2" t="str">
        <f t="shared" si="70"/>
        <v/>
      </c>
      <c r="Z508" s="2">
        <f t="shared" si="70"/>
        <v>6.0142857142857142</v>
      </c>
      <c r="AA508" s="23" t="str">
        <f t="shared" si="63"/>
        <v>K28</v>
      </c>
      <c r="AB508" s="2">
        <f>$T508-VLOOKUP($B508,Scores!$AG$1:$AM$7,5,FALSE)</f>
        <v>-1.7714285714285714</v>
      </c>
      <c r="AC508" s="2">
        <f>$T508-VLOOKUP($B508,Scores!$AG$1:$AM$7,6,FALSE)</f>
        <v>-1.4071428571428575</v>
      </c>
      <c r="AD508" s="2">
        <f>$T508-VLOOKUP($B508,Scores!$AG$1:$AM$7,7,FALSE)+(ROW(A507)/1000000)</f>
        <v>-1.4066358571428574</v>
      </c>
      <c r="AE508" s="2">
        <f t="array" ref="AE508">IF('ROS Rankings'!$AD$1,IFERROR(AVERAGE(IF(INDEX($C508:$S508,14):INDEX($C508:$S508,17)="NA",0,INDEX($C508:$S508,14):INDEX($C508:$S508,17))-INDEX($AQ$2:$BG$7,MATCH($B508,$AO$2:$AO$7,0),14):INDEX($AQ$2:$BG$7,MATCH($B508,$AO$2:$AO$7,0),17)),0),IFERROR(AVERAGE(IF(INDEX($C508:$S508,Week+1):INDEX($C508:$S508,13)="NA",0,INDEX($C508:$S508,Week+1):INDEX($C508:$S508,13))-INDEX($AQ$2:$BG$7,MATCH($B508,$AO$2:$AO$7,0),Week+1):INDEX($AQ$2:$BG$7,MATCH($B508,$AO$2:$AO$7,0),13)),0))+ROW(A507)/1000000</f>
        <v>-2.1282430000000003</v>
      </c>
      <c r="AF508">
        <f t="shared" si="64"/>
        <v>122</v>
      </c>
      <c r="AG508">
        <f t="shared" si="65"/>
        <v>172</v>
      </c>
      <c r="AH508">
        <f t="shared" si="66"/>
        <v>224</v>
      </c>
      <c r="AI508">
        <f t="shared" si="67"/>
        <v>244</v>
      </c>
      <c r="AJ508" s="22" t="str">
        <f>IF(ISERROR(MATCH(A508,Rosters!$B$2:$B$155,0)),AD508,"")</f>
        <v/>
      </c>
      <c r="AK508" t="str">
        <f t="shared" si="68"/>
        <v/>
      </c>
      <c r="AL508" s="23">
        <f>COUNTIF(INDEX($C508:$S508,Week+1):INDEX($C508:$S508,13),"&gt;0")</f>
        <v>7</v>
      </c>
    </row>
    <row r="509" spans="1:38" x14ac:dyDescent="0.25">
      <c r="A509" t="s">
        <v>1108</v>
      </c>
      <c r="B509" t="s">
        <v>478</v>
      </c>
      <c r="C509">
        <v>7.36</v>
      </c>
      <c r="D509">
        <v>7.36</v>
      </c>
      <c r="E509">
        <v>8.3000000000000007</v>
      </c>
      <c r="F509">
        <v>8.09</v>
      </c>
      <c r="G509">
        <v>7.25</v>
      </c>
      <c r="H509">
        <v>7.92</v>
      </c>
      <c r="I509">
        <v>7.73</v>
      </c>
      <c r="J509">
        <v>7.21</v>
      </c>
      <c r="K509">
        <v>6.87</v>
      </c>
      <c r="L509">
        <v>7.66</v>
      </c>
      <c r="M509">
        <v>7.59</v>
      </c>
      <c r="N509" t="s">
        <v>64</v>
      </c>
      <c r="O509">
        <v>7.16</v>
      </c>
      <c r="P509">
        <v>7.32</v>
      </c>
      <c r="Q509">
        <v>8</v>
      </c>
      <c r="R509">
        <v>7.09</v>
      </c>
      <c r="S509">
        <v>7.56</v>
      </c>
      <c r="T509" s="2">
        <f>IF('ROS Rankings'!$AD$1,IFERROR(AVERAGE(INDEX($C509:$S509,14):INDEX($C509:$S509,17)),0),IFERROR(AVERAGE(INDEX($C509:$S509,Week+1):INDEX($C509:$S509,13)),0))</f>
        <v>7.4485714285714284</v>
      </c>
      <c r="U509" s="2" t="str">
        <f t="shared" si="70"/>
        <v/>
      </c>
      <c r="V509" s="2" t="str">
        <f t="shared" si="70"/>
        <v/>
      </c>
      <c r="W509" s="2" t="str">
        <f t="shared" si="70"/>
        <v/>
      </c>
      <c r="X509" s="2" t="str">
        <f t="shared" si="70"/>
        <v/>
      </c>
      <c r="Y509" s="2" t="str">
        <f t="shared" si="70"/>
        <v/>
      </c>
      <c r="Z509" s="2">
        <f t="shared" si="70"/>
        <v>7.4485714285714284</v>
      </c>
      <c r="AA509" s="23" t="str">
        <f t="shared" si="63"/>
        <v>K7</v>
      </c>
      <c r="AB509" s="2">
        <f>$T509-VLOOKUP($B509,Scores!$AG$1:$AM$7,5,FALSE)</f>
        <v>-0.33714285714285719</v>
      </c>
      <c r="AC509" s="2">
        <f>$T509-VLOOKUP($B509,Scores!$AG$1:$AM$7,6,FALSE)</f>
        <v>2.7142857142856691E-2</v>
      </c>
      <c r="AD509" s="2">
        <f>$T509-VLOOKUP($B509,Scores!$AG$1:$AM$7,7,FALSE)+(ROW(A508)/1000000)</f>
        <v>2.7650857142856693E-2</v>
      </c>
      <c r="AE509" s="2">
        <f t="array" ref="AE509">IF('ROS Rankings'!$AD$1,IFERROR(AVERAGE(IF(INDEX($C509:$S509,14):INDEX($C509:$S509,17)="NA",0,INDEX($C509:$S509,14):INDEX($C509:$S509,17))-INDEX($AQ$2:$BG$7,MATCH($B509,$AO$2:$AO$7,0),14):INDEX($AQ$2:$BG$7,MATCH($B509,$AO$2:$AO$7,0),17)),0),IFERROR(AVERAGE(IF(INDEX($C509:$S509,Week+1):INDEX($C509:$S509,13)="NA",0,INDEX($C509:$S509,Week+1):INDEX($C509:$S509,13))-INDEX($AQ$2:$BG$7,MATCH($B509,$AO$2:$AO$7,0),Week+1):INDEX($AQ$2:$BG$7,MATCH($B509,$AO$2:$AO$7,0),13)),0))+ROW(A508)/1000000</f>
        <v>-0.87324199999999996</v>
      </c>
      <c r="AF509">
        <f t="shared" si="64"/>
        <v>56</v>
      </c>
      <c r="AG509">
        <f t="shared" si="65"/>
        <v>92</v>
      </c>
      <c r="AH509">
        <f t="shared" si="66"/>
        <v>141</v>
      </c>
      <c r="AI509">
        <f t="shared" si="67"/>
        <v>164</v>
      </c>
      <c r="AJ509" s="22" t="str">
        <f>IF(ISERROR(MATCH(A509,Rosters!$B$2:$B$155,0)),AD509,"")</f>
        <v/>
      </c>
      <c r="AK509" t="str">
        <f t="shared" si="68"/>
        <v/>
      </c>
      <c r="AL509" s="23">
        <f>COUNTIF(INDEX($C509:$S509,Week+1):INDEX($C509:$S509,13),"&gt;0")</f>
        <v>7</v>
      </c>
    </row>
    <row r="510" spans="1:38" x14ac:dyDescent="0.25">
      <c r="A510" t="s">
        <v>459</v>
      </c>
      <c r="B510" t="s">
        <v>478</v>
      </c>
      <c r="C510">
        <v>7.09</v>
      </c>
      <c r="D510">
        <v>8.24</v>
      </c>
      <c r="E510">
        <v>7.88</v>
      </c>
      <c r="F510">
        <v>7.54</v>
      </c>
      <c r="G510" t="s">
        <v>64</v>
      </c>
      <c r="H510">
        <v>6.94</v>
      </c>
      <c r="I510">
        <v>8.1</v>
      </c>
      <c r="J510">
        <v>7.35</v>
      </c>
      <c r="K510">
        <v>7.06</v>
      </c>
      <c r="L510">
        <v>8.0399999999999991</v>
      </c>
      <c r="M510">
        <v>7</v>
      </c>
      <c r="N510">
        <v>7.63</v>
      </c>
      <c r="O510">
        <v>7.32</v>
      </c>
      <c r="P510">
        <v>7.71</v>
      </c>
      <c r="Q510">
        <v>7.88</v>
      </c>
      <c r="R510">
        <v>7.04</v>
      </c>
      <c r="S510">
        <v>6.66</v>
      </c>
      <c r="T510" s="2">
        <f>IF('ROS Rankings'!$AD$1,IFERROR(AVERAGE(INDEX($C510:$S510,14):INDEX($C510:$S510,17)),0),IFERROR(AVERAGE(INDEX($C510:$S510,Week+1):INDEX($C510:$S510,13)),0))</f>
        <v>7.43</v>
      </c>
      <c r="U510" s="2" t="str">
        <f t="shared" si="70"/>
        <v/>
      </c>
      <c r="V510" s="2" t="str">
        <f t="shared" si="70"/>
        <v/>
      </c>
      <c r="W510" s="2" t="str">
        <f t="shared" si="70"/>
        <v/>
      </c>
      <c r="X510" s="2" t="str">
        <f t="shared" si="70"/>
        <v/>
      </c>
      <c r="Y510" s="2" t="str">
        <f t="shared" si="70"/>
        <v/>
      </c>
      <c r="Z510" s="2">
        <f t="shared" si="70"/>
        <v>7.43</v>
      </c>
      <c r="AA510" s="23" t="str">
        <f t="shared" si="63"/>
        <v>K8</v>
      </c>
      <c r="AB510" s="2">
        <f>$T510-VLOOKUP($B510,Scores!$AG$1:$AM$7,5,FALSE)</f>
        <v>-0.35571428571428587</v>
      </c>
      <c r="AC510" s="2">
        <f>$T510-VLOOKUP($B510,Scores!$AG$1:$AM$7,6,FALSE)</f>
        <v>8.5714285714280081E-3</v>
      </c>
      <c r="AD510" s="2">
        <f>$T510-VLOOKUP($B510,Scores!$AG$1:$AM$7,7,FALSE)+(ROW(A509)/1000000)</f>
        <v>9.0804285714280088E-3</v>
      </c>
      <c r="AE510" s="2">
        <f t="array" ref="AE510">IF('ROS Rankings'!$AD$1,IFERROR(AVERAGE(IF(INDEX($C510:$S510,14):INDEX($C510:$S510,17)="NA",0,INDEX($C510:$S510,14):INDEX($C510:$S510,17))-INDEX($AQ$2:$BG$7,MATCH($B510,$AO$2:$AO$7,0),14):INDEX($AQ$2:$BG$7,MATCH($B510,$AO$2:$AO$7,0),17)),0),IFERROR(AVERAGE(IF(INDEX($C510:$S510,Week+1):INDEX($C510:$S510,13)="NA",0,INDEX($C510:$S510,Week+1):INDEX($C510:$S510,13))-INDEX($AQ$2:$BG$7,MATCH($B510,$AO$2:$AO$7,0),Week+1):INDEX($AQ$2:$BG$7,MATCH($B510,$AO$2:$AO$7,0),13)),0))+ROW(A509)/1000000</f>
        <v>3.9258999999999843E-2</v>
      </c>
      <c r="AF510">
        <f t="shared" si="64"/>
        <v>58</v>
      </c>
      <c r="AG510">
        <f t="shared" si="65"/>
        <v>93</v>
      </c>
      <c r="AH510">
        <f t="shared" si="66"/>
        <v>143</v>
      </c>
      <c r="AI510">
        <f t="shared" si="67"/>
        <v>120</v>
      </c>
      <c r="AJ510" s="22">
        <f>IF(ISERROR(MATCH(A510,Rosters!$B$2:$B$155,0)),AD510,"")</f>
        <v>9.0804285714280088E-3</v>
      </c>
      <c r="AK510">
        <f t="shared" si="68"/>
        <v>19</v>
      </c>
      <c r="AL510" s="23">
        <f>COUNTIF(INDEX($C510:$S510,Week+1):INDEX($C510:$S510,13),"&gt;0")</f>
        <v>8</v>
      </c>
    </row>
    <row r="511" spans="1:38" x14ac:dyDescent="0.25">
      <c r="A511" t="s">
        <v>454</v>
      </c>
      <c r="B511" t="s">
        <v>478</v>
      </c>
      <c r="C511">
        <v>6.85</v>
      </c>
      <c r="D511">
        <v>6.87</v>
      </c>
      <c r="E511">
        <v>6.89</v>
      </c>
      <c r="F511">
        <v>7.13</v>
      </c>
      <c r="G511">
        <v>8.0500000000000007</v>
      </c>
      <c r="H511">
        <v>7.55</v>
      </c>
      <c r="I511">
        <v>6.72</v>
      </c>
      <c r="J511">
        <v>8.18</v>
      </c>
      <c r="K511" t="s">
        <v>64</v>
      </c>
      <c r="L511">
        <v>7.05</v>
      </c>
      <c r="M511">
        <v>5.99</v>
      </c>
      <c r="N511">
        <v>7.08</v>
      </c>
      <c r="O511">
        <v>7.06</v>
      </c>
      <c r="P511">
        <v>7.11</v>
      </c>
      <c r="Q511">
        <v>7.46</v>
      </c>
      <c r="R511">
        <v>6.7</v>
      </c>
      <c r="S511">
        <v>7.13</v>
      </c>
      <c r="T511" s="2">
        <f>IF('ROS Rankings'!$AD$1,IFERROR(AVERAGE(INDEX($C511:$S511,14):INDEX($C511:$S511,17)),0),IFERROR(AVERAGE(INDEX($C511:$S511,Week+1):INDEX($C511:$S511,13)),0))</f>
        <v>7.0900000000000007</v>
      </c>
      <c r="U511" s="2" t="str">
        <f t="shared" si="70"/>
        <v/>
      </c>
      <c r="V511" s="2" t="str">
        <f t="shared" si="70"/>
        <v/>
      </c>
      <c r="W511" s="2" t="str">
        <f t="shared" si="70"/>
        <v/>
      </c>
      <c r="X511" s="2" t="str">
        <f t="shared" si="70"/>
        <v/>
      </c>
      <c r="Y511" s="2" t="str">
        <f t="shared" si="70"/>
        <v/>
      </c>
      <c r="Z511" s="2">
        <f t="shared" si="70"/>
        <v>7.0900000000000007</v>
      </c>
      <c r="AA511" s="23" t="str">
        <f t="shared" si="63"/>
        <v>K14</v>
      </c>
      <c r="AB511" s="2">
        <f>$T511-VLOOKUP($B511,Scores!$AG$1:$AM$7,5,FALSE)</f>
        <v>-0.69571428571428484</v>
      </c>
      <c r="AC511" s="2">
        <f>$T511-VLOOKUP($B511,Scores!$AG$1:$AM$7,6,FALSE)</f>
        <v>-0.33142857142857096</v>
      </c>
      <c r="AD511" s="2">
        <f>$T511-VLOOKUP($B511,Scores!$AG$1:$AM$7,7,FALSE)+(ROW(A510)/1000000)</f>
        <v>-0.33091857142857095</v>
      </c>
      <c r="AE511" s="2">
        <f t="array" ref="AE511">IF('ROS Rankings'!$AD$1,IFERROR(AVERAGE(IF(INDEX($C511:$S511,14):INDEX($C511:$S511,17)="NA",0,INDEX($C511:$S511,14):INDEX($C511:$S511,17))-INDEX($AQ$2:$BG$7,MATCH($B511,$AO$2:$AO$7,0),14):INDEX($AQ$2:$BG$7,MATCH($B511,$AO$2:$AO$7,0),17)),0),IFERROR(AVERAGE(IF(INDEX($C511:$S511,Week+1):INDEX($C511:$S511,13)="NA",0,INDEX($C511:$S511,Week+1):INDEX($C511:$S511,13))-INDEX($AQ$2:$BG$7,MATCH($B511,$AO$2:$AO$7,0),Week+1):INDEX($AQ$2:$BG$7,MATCH($B511,$AO$2:$AO$7,0),13)),0))+ROW(A510)/1000000</f>
        <v>-1.18699</v>
      </c>
      <c r="AF511">
        <f t="shared" si="64"/>
        <v>76</v>
      </c>
      <c r="AG511">
        <f t="shared" si="65"/>
        <v>123</v>
      </c>
      <c r="AH511">
        <f t="shared" si="66"/>
        <v>168</v>
      </c>
      <c r="AI511">
        <f t="shared" si="67"/>
        <v>184</v>
      </c>
      <c r="AJ511" s="22">
        <f>IF(ISERROR(MATCH(A511,Rosters!$B$2:$B$155,0)),AD511,"")</f>
        <v>-0.33091857142857095</v>
      </c>
      <c r="AK511">
        <f t="shared" si="68"/>
        <v>38</v>
      </c>
      <c r="AL511" s="23">
        <f>COUNTIF(INDEX($C511:$S511,Week+1):INDEX($C511:$S511,13),"&gt;0")</f>
        <v>7</v>
      </c>
    </row>
    <row r="512" spans="1:38" x14ac:dyDescent="0.25">
      <c r="A512" t="s">
        <v>998</v>
      </c>
      <c r="B512" t="s">
        <v>478</v>
      </c>
      <c r="C512">
        <v>8.0299999999999994</v>
      </c>
      <c r="D512">
        <v>8.15</v>
      </c>
      <c r="E512">
        <v>8.15</v>
      </c>
      <c r="F512">
        <v>6.8</v>
      </c>
      <c r="G512">
        <v>7.35</v>
      </c>
      <c r="H512">
        <v>6.7</v>
      </c>
      <c r="I512">
        <v>5.71</v>
      </c>
      <c r="J512">
        <v>5.03</v>
      </c>
      <c r="K512" t="s">
        <v>64</v>
      </c>
      <c r="L512">
        <v>7.33</v>
      </c>
      <c r="M512">
        <v>6.81</v>
      </c>
      <c r="N512">
        <v>7.1</v>
      </c>
      <c r="O512">
        <v>7.38</v>
      </c>
      <c r="P512">
        <v>6.93</v>
      </c>
      <c r="Q512">
        <v>6.61</v>
      </c>
      <c r="R512">
        <v>7.51</v>
      </c>
      <c r="S512">
        <v>6.95</v>
      </c>
      <c r="T512" s="2">
        <f>IF('ROS Rankings'!$AD$1,IFERROR(AVERAGE(INDEX($C512:$S512,14):INDEX($C512:$S512,17)),0),IFERROR(AVERAGE(INDEX($C512:$S512,Week+1):INDEX($C512:$S512,13)),0))</f>
        <v>6.58</v>
      </c>
      <c r="U512" s="2" t="str">
        <f t="shared" si="70"/>
        <v/>
      </c>
      <c r="V512" s="2" t="str">
        <f t="shared" si="70"/>
        <v/>
      </c>
      <c r="W512" s="2" t="str">
        <f t="shared" si="70"/>
        <v/>
      </c>
      <c r="X512" s="2" t="str">
        <f t="shared" si="70"/>
        <v/>
      </c>
      <c r="Y512" s="2" t="str">
        <f t="shared" si="70"/>
        <v/>
      </c>
      <c r="Z512" s="2">
        <f t="shared" si="70"/>
        <v>6.58</v>
      </c>
      <c r="AA512" s="23" t="str">
        <f t="shared" si="63"/>
        <v>K24</v>
      </c>
      <c r="AB512" s="2">
        <f>$T512-VLOOKUP($B512,Scores!$AG$1:$AM$7,5,FALSE)</f>
        <v>-1.2057142857142855</v>
      </c>
      <c r="AC512" s="2">
        <f>$T512-VLOOKUP($B512,Scores!$AG$1:$AM$7,6,FALSE)</f>
        <v>-0.84142857142857164</v>
      </c>
      <c r="AD512" s="2">
        <f>$T512-VLOOKUP($B512,Scores!$AG$1:$AM$7,7,FALSE)+(ROW(A511)/1000000)</f>
        <v>-0.8409175714285716</v>
      </c>
      <c r="AE512" s="2">
        <f t="array" ref="AE512">IF('ROS Rankings'!$AD$1,IFERROR(AVERAGE(IF(INDEX($C512:$S512,14):INDEX($C512:$S512,17)="NA",0,INDEX($C512:$S512,14):INDEX($C512:$S512,17))-INDEX($AQ$2:$BG$7,MATCH($B512,$AO$2:$AO$7,0),14):INDEX($AQ$2:$BG$7,MATCH($B512,$AO$2:$AO$7,0),17)),0),IFERROR(AVERAGE(IF(INDEX($C512:$S512,Week+1):INDEX($C512:$S512,13)="NA",0,INDEX($C512:$S512,Week+1):INDEX($C512:$S512,13))-INDEX($AQ$2:$BG$7,MATCH($B512,$AO$2:$AO$7,0),Week+1):INDEX($AQ$2:$BG$7,MATCH($B512,$AO$2:$AO$7,0),13)),0))+ROW(A511)/1000000</f>
        <v>-1.6332390000000001</v>
      </c>
      <c r="AF512">
        <f t="shared" si="64"/>
        <v>101</v>
      </c>
      <c r="AG512">
        <f t="shared" si="65"/>
        <v>154</v>
      </c>
      <c r="AH512">
        <f t="shared" si="66"/>
        <v>194</v>
      </c>
      <c r="AI512">
        <f t="shared" si="67"/>
        <v>220</v>
      </c>
      <c r="AJ512" s="22">
        <f>IF(ISERROR(MATCH(A512,Rosters!$B$2:$B$155,0)),AD512,"")</f>
        <v>-0.8409175714285716</v>
      </c>
      <c r="AK512">
        <f t="shared" si="68"/>
        <v>59</v>
      </c>
      <c r="AL512" s="23">
        <f>COUNTIF(INDEX($C512:$S512,Week+1):INDEX($C512:$S512,13),"&gt;0")</f>
        <v>7</v>
      </c>
    </row>
    <row r="513" spans="1:38" x14ac:dyDescent="0.25">
      <c r="A513" t="s">
        <v>455</v>
      </c>
      <c r="B513" t="s">
        <v>478</v>
      </c>
      <c r="C513">
        <v>7.99</v>
      </c>
      <c r="D513">
        <v>8.1199999999999992</v>
      </c>
      <c r="E513">
        <v>7.75</v>
      </c>
      <c r="F513">
        <v>7.75</v>
      </c>
      <c r="G513">
        <v>7.84</v>
      </c>
      <c r="H513">
        <v>6.35</v>
      </c>
      <c r="I513" t="s">
        <v>64</v>
      </c>
      <c r="J513">
        <v>6.28</v>
      </c>
      <c r="K513">
        <v>5.79</v>
      </c>
      <c r="L513">
        <v>5.93</v>
      </c>
      <c r="M513">
        <v>5.79</v>
      </c>
      <c r="N513">
        <v>5.73</v>
      </c>
      <c r="O513">
        <v>6.19</v>
      </c>
      <c r="P513">
        <v>7.67</v>
      </c>
      <c r="Q513">
        <v>7.6</v>
      </c>
      <c r="R513">
        <v>7.13</v>
      </c>
      <c r="S513">
        <v>6.72</v>
      </c>
      <c r="T513" s="2">
        <f>IF('ROS Rankings'!$AD$1,IFERROR(AVERAGE(INDEX($C513:$S513,14):INDEX($C513:$S513,17)),0),IFERROR(AVERAGE(INDEX($C513:$S513,Week+1):INDEX($C513:$S513,13)),0))</f>
        <v>6.008571428571428</v>
      </c>
      <c r="U513" s="2" t="str">
        <f t="shared" si="70"/>
        <v/>
      </c>
      <c r="V513" s="2" t="str">
        <f t="shared" si="70"/>
        <v/>
      </c>
      <c r="W513" s="2" t="str">
        <f t="shared" si="70"/>
        <v/>
      </c>
      <c r="X513" s="2" t="str">
        <f t="shared" si="70"/>
        <v/>
      </c>
      <c r="Y513" s="2" t="str">
        <f t="shared" si="70"/>
        <v/>
      </c>
      <c r="Z513" s="2">
        <f t="shared" si="70"/>
        <v>6.008571428571428</v>
      </c>
      <c r="AA513" s="23" t="str">
        <f t="shared" si="63"/>
        <v>K29</v>
      </c>
      <c r="AB513" s="2">
        <f>$T513-VLOOKUP($B513,Scores!$AG$1:$AM$7,5,FALSE)</f>
        <v>-1.7771428571428576</v>
      </c>
      <c r="AC513" s="2">
        <f>$T513-VLOOKUP($B513,Scores!$AG$1:$AM$7,6,FALSE)</f>
        <v>-1.4128571428571437</v>
      </c>
      <c r="AD513" s="2">
        <f>$T513-VLOOKUP($B513,Scores!$AG$1:$AM$7,7,FALSE)+(ROW(A512)/1000000)</f>
        <v>-1.4123451428571436</v>
      </c>
      <c r="AE513" s="2">
        <f t="array" ref="AE513">IF('ROS Rankings'!$AD$1,IFERROR(AVERAGE(IF(INDEX($C513:$S513,14):INDEX($C513:$S513,17)="NA",0,INDEX($C513:$S513,14):INDEX($C513:$S513,17))-INDEX($AQ$2:$BG$7,MATCH($B513,$AO$2:$AO$7,0),14):INDEX($AQ$2:$BG$7,MATCH($B513,$AO$2:$AO$7,0),17)),0),IFERROR(AVERAGE(IF(INDEX($C513:$S513,Week+1):INDEX($C513:$S513,13)="NA",0,INDEX($C513:$S513,Week+1):INDEX($C513:$S513,13))-INDEX($AQ$2:$BG$7,MATCH($B513,$AO$2:$AO$7,0),Week+1):INDEX($AQ$2:$BG$7,MATCH($B513,$AO$2:$AO$7,0),13)),0))+ROW(A512)/1000000</f>
        <v>-2.133238</v>
      </c>
      <c r="AF513">
        <f t="shared" si="64"/>
        <v>124</v>
      </c>
      <c r="AG513">
        <f t="shared" si="65"/>
        <v>173</v>
      </c>
      <c r="AH513">
        <f t="shared" si="66"/>
        <v>225</v>
      </c>
      <c r="AI513">
        <f t="shared" si="67"/>
        <v>245</v>
      </c>
      <c r="AJ513" s="22">
        <f>IF(ISERROR(MATCH(A513,Rosters!$B$2:$B$155,0)),AD513,"")</f>
        <v>-1.4123451428571436</v>
      </c>
      <c r="AK513">
        <f t="shared" si="68"/>
        <v>83</v>
      </c>
      <c r="AL513" s="23">
        <f>COUNTIF(INDEX($C513:$S513,Week+1):INDEX($C513:$S513,13),"&gt;0")</f>
        <v>7</v>
      </c>
    </row>
    <row r="514" spans="1:38" x14ac:dyDescent="0.25">
      <c r="A514" t="s">
        <v>1216</v>
      </c>
      <c r="B514" t="s">
        <v>478</v>
      </c>
      <c r="C514">
        <v>6.1</v>
      </c>
      <c r="D514">
        <v>6.62</v>
      </c>
      <c r="E514">
        <v>6.71</v>
      </c>
      <c r="F514">
        <v>7.4</v>
      </c>
      <c r="G514">
        <v>6.05</v>
      </c>
      <c r="H514">
        <v>8.09</v>
      </c>
      <c r="I514" t="s">
        <v>64</v>
      </c>
      <c r="J514">
        <v>6.97</v>
      </c>
      <c r="K514">
        <v>6.83</v>
      </c>
      <c r="L514">
        <v>6.22</v>
      </c>
      <c r="M514">
        <v>8.01</v>
      </c>
      <c r="N514">
        <v>6.88</v>
      </c>
      <c r="O514">
        <v>8</v>
      </c>
      <c r="P514">
        <v>7.29</v>
      </c>
      <c r="Q514">
        <v>7.57</v>
      </c>
      <c r="R514">
        <v>8.11</v>
      </c>
      <c r="S514">
        <v>7.19</v>
      </c>
      <c r="T514" s="2">
        <f>IF('ROS Rankings'!$AD$1,IFERROR(AVERAGE(INDEX($C514:$S514,14):INDEX($C514:$S514,17)),0),IFERROR(AVERAGE(INDEX($C514:$S514,Week+1):INDEX($C514:$S514,13)),0))</f>
        <v>7.2857142857142856</v>
      </c>
      <c r="U514" s="2" t="str">
        <f t="shared" si="70"/>
        <v/>
      </c>
      <c r="V514" s="2" t="str">
        <f t="shared" si="70"/>
        <v/>
      </c>
      <c r="W514" s="2" t="str">
        <f t="shared" si="70"/>
        <v/>
      </c>
      <c r="X514" s="2" t="str">
        <f t="shared" si="70"/>
        <v/>
      </c>
      <c r="Y514" s="2" t="str">
        <f t="shared" si="70"/>
        <v/>
      </c>
      <c r="Z514" s="2">
        <f t="shared" si="70"/>
        <v>7.2857142857142856</v>
      </c>
      <c r="AA514" s="23" t="str">
        <f t="shared" si="63"/>
        <v>K12</v>
      </c>
      <c r="AB514" s="2">
        <f>$T514-VLOOKUP($B514,Scores!$AG$1:$AM$7,5,FALSE)</f>
        <v>-0.5</v>
      </c>
      <c r="AC514" s="2">
        <f>$T514-VLOOKUP($B514,Scores!$AG$1:$AM$7,6,FALSE)</f>
        <v>-0.13571428571428612</v>
      </c>
      <c r="AD514" s="2">
        <f>$T514-VLOOKUP($B514,Scores!$AG$1:$AM$7,7,FALSE)+(ROW(A513)/1000000)</f>
        <v>-0.13520128571428611</v>
      </c>
      <c r="AE514" s="2">
        <f t="array" ref="AE514">IF('ROS Rankings'!$AD$1,IFERROR(AVERAGE(IF(INDEX($C514:$S514,14):INDEX($C514:$S514,17)="NA",0,INDEX($C514:$S514,14):INDEX($C514:$S514,17))-INDEX($AQ$2:$BG$7,MATCH($B514,$AO$2:$AO$7,0),14):INDEX($AQ$2:$BG$7,MATCH($B514,$AO$2:$AO$7,0),17)),0),IFERROR(AVERAGE(IF(INDEX($C514:$S514,Week+1):INDEX($C514:$S514,13)="NA",0,INDEX($C514:$S514,Week+1):INDEX($C514:$S514,13))-INDEX($AQ$2:$BG$7,MATCH($B514,$AO$2:$AO$7,0),Week+1):INDEX($AQ$2:$BG$7,MATCH($B514,$AO$2:$AO$7,0),13)),0))+ROW(A513)/1000000</f>
        <v>-1.0157369999999999</v>
      </c>
      <c r="AF514">
        <f t="shared" si="64"/>
        <v>66</v>
      </c>
      <c r="AG514">
        <f t="shared" si="65"/>
        <v>114</v>
      </c>
      <c r="AH514">
        <f t="shared" si="66"/>
        <v>157</v>
      </c>
      <c r="AI514">
        <f t="shared" si="67"/>
        <v>171</v>
      </c>
      <c r="AJ514" s="22">
        <f>IF(ISERROR(MATCH(A514,Rosters!$B$2:$B$155,0)),AD514,"")</f>
        <v>-0.13520128571428611</v>
      </c>
      <c r="AK514">
        <f t="shared" si="68"/>
        <v>29</v>
      </c>
      <c r="AL514" s="23">
        <f>COUNTIF(INDEX($C514:$S514,Week+1):INDEX($C514:$S514,13),"&gt;0")</f>
        <v>7</v>
      </c>
    </row>
    <row r="515" spans="1:38" x14ac:dyDescent="0.25">
      <c r="A515" t="s">
        <v>453</v>
      </c>
      <c r="B515" t="s">
        <v>478</v>
      </c>
      <c r="C515">
        <v>7.41</v>
      </c>
      <c r="D515">
        <v>6.92</v>
      </c>
      <c r="E515">
        <v>6.21</v>
      </c>
      <c r="F515">
        <v>6.6</v>
      </c>
      <c r="G515">
        <v>7.01</v>
      </c>
      <c r="H515">
        <v>6.67</v>
      </c>
      <c r="I515">
        <v>7.37</v>
      </c>
      <c r="J515" t="s">
        <v>64</v>
      </c>
      <c r="K515">
        <v>7.24</v>
      </c>
      <c r="L515">
        <v>7.43</v>
      </c>
      <c r="M515">
        <v>7.48</v>
      </c>
      <c r="N515">
        <v>6.77</v>
      </c>
      <c r="O515">
        <v>6.24</v>
      </c>
      <c r="P515">
        <v>6.71</v>
      </c>
      <c r="Q515">
        <v>7.49</v>
      </c>
      <c r="R515">
        <v>7.47</v>
      </c>
      <c r="S515">
        <v>7.92</v>
      </c>
      <c r="T515" s="2">
        <f>IF('ROS Rankings'!$AD$1,IFERROR(AVERAGE(INDEX($C515:$S515,14):INDEX($C515:$S515,17)),0),IFERROR(AVERAGE(INDEX($C515:$S515,Week+1):INDEX($C515:$S515,13)),0))</f>
        <v>7.0285714285714276</v>
      </c>
      <c r="U515" s="2" t="str">
        <f t="shared" si="70"/>
        <v/>
      </c>
      <c r="V515" s="2" t="str">
        <f t="shared" si="70"/>
        <v/>
      </c>
      <c r="W515" s="2" t="str">
        <f t="shared" si="70"/>
        <v/>
      </c>
      <c r="X515" s="2" t="str">
        <f t="shared" si="70"/>
        <v/>
      </c>
      <c r="Y515" s="2" t="str">
        <f t="shared" si="70"/>
        <v/>
      </c>
      <c r="Z515" s="2">
        <f t="shared" si="70"/>
        <v>7.0285714285714276</v>
      </c>
      <c r="AA515" s="23" t="str">
        <f t="shared" ref="AA515:AA561" si="71">$B515&amp;_xlfn.RANK.EQ($T515,INDEX($U$2:$Z$561,,MATCH($B515,$U$1:$Z$1,0)),0)</f>
        <v>K15</v>
      </c>
      <c r="AB515" s="2">
        <f>$T515-VLOOKUP($B515,Scores!$AG$1:$AM$7,5,FALSE)</f>
        <v>-0.75714285714285801</v>
      </c>
      <c r="AC515" s="2">
        <f>$T515-VLOOKUP($B515,Scores!$AG$1:$AM$7,6,FALSE)</f>
        <v>-0.39285714285714413</v>
      </c>
      <c r="AD515" s="2">
        <f>$T515-VLOOKUP($B515,Scores!$AG$1:$AM$7,7,FALSE)+(ROW(A514)/1000000)</f>
        <v>-0.39234314285714411</v>
      </c>
      <c r="AE515" s="2">
        <f t="array" ref="AE515">IF('ROS Rankings'!$AD$1,IFERROR(AVERAGE(IF(INDEX($C515:$S515,14):INDEX($C515:$S515,17)="NA",0,INDEX($C515:$S515,14):INDEX($C515:$S515,17))-INDEX($AQ$2:$BG$7,MATCH($B515,$AO$2:$AO$7,0),14):INDEX($AQ$2:$BG$7,MATCH($B515,$AO$2:$AO$7,0),17)),0),IFERROR(AVERAGE(IF(INDEX($C515:$S515,Week+1):INDEX($C515:$S515,13)="NA",0,INDEX($C515:$S515,Week+1):INDEX($C515:$S515,13))-INDEX($AQ$2:$BG$7,MATCH($B515,$AO$2:$AO$7,0),Week+1):INDEX($AQ$2:$BG$7,MATCH($B515,$AO$2:$AO$7,0),13)),0))+ROW(A514)/1000000</f>
        <v>-1.2407360000000001</v>
      </c>
      <c r="AF515">
        <f t="shared" ref="AF515:AF561" si="72">_xlfn.RANK.EQ(AB515,AB$2:AB$561,0)</f>
        <v>77</v>
      </c>
      <c r="AG515">
        <f t="shared" ref="AG515:AG561" si="73">_xlfn.RANK.EQ(AC515,AC$2:AC$561,0)</f>
        <v>128</v>
      </c>
      <c r="AH515">
        <f t="shared" ref="AH515:AH561" si="74">_xlfn.RANK.EQ(AD515,AD$2:AD$561,0)</f>
        <v>170</v>
      </c>
      <c r="AI515">
        <f t="shared" ref="AI515:AI561" si="75">_xlfn.RANK.EQ(AE515,AE$2:AE$561,0)</f>
        <v>188</v>
      </c>
      <c r="AJ515" s="22">
        <f>IF(ISERROR(MATCH(A515,Rosters!$B$2:$B$155,0)),AD515,"")</f>
        <v>-0.39234314285714411</v>
      </c>
      <c r="AK515">
        <f t="shared" ref="AK515:AK561" si="76">IFERROR(_xlfn.RANK.EQ(AJ515,$AJ$2:$AJ$561,0),"")</f>
        <v>40</v>
      </c>
      <c r="AL515" s="23">
        <f>COUNTIF(INDEX($C515:$S515,Week+1):INDEX($C515:$S515,13),"&gt;0")</f>
        <v>7</v>
      </c>
    </row>
    <row r="516" spans="1:38" x14ac:dyDescent="0.25">
      <c r="A516" t="s">
        <v>460</v>
      </c>
      <c r="B516" t="s">
        <v>478</v>
      </c>
      <c r="C516">
        <v>6.03</v>
      </c>
      <c r="D516">
        <v>6.1</v>
      </c>
      <c r="E516">
        <v>5.49</v>
      </c>
      <c r="F516">
        <v>5.35</v>
      </c>
      <c r="G516">
        <v>6.52</v>
      </c>
      <c r="H516">
        <v>7.74</v>
      </c>
      <c r="I516">
        <v>7.19</v>
      </c>
      <c r="J516">
        <v>5.66</v>
      </c>
      <c r="K516">
        <v>6.9</v>
      </c>
      <c r="L516">
        <v>6.76</v>
      </c>
      <c r="M516" t="s">
        <v>64</v>
      </c>
      <c r="N516">
        <v>7.89</v>
      </c>
      <c r="O516">
        <v>6.79</v>
      </c>
      <c r="P516">
        <v>6.38</v>
      </c>
      <c r="Q516">
        <v>7.64</v>
      </c>
      <c r="R516">
        <v>7.81</v>
      </c>
      <c r="S516">
        <v>7.46</v>
      </c>
      <c r="T516" s="2">
        <f>IF('ROS Rankings'!$AD$1,IFERROR(AVERAGE(INDEX($C516:$S516,14):INDEX($C516:$S516,17)),0),IFERROR(AVERAGE(INDEX($C516:$S516,Week+1):INDEX($C516:$S516,13)),0))</f>
        <v>6.99</v>
      </c>
      <c r="U516" s="2" t="str">
        <f t="shared" si="70"/>
        <v/>
      </c>
      <c r="V516" s="2" t="str">
        <f t="shared" si="70"/>
        <v/>
      </c>
      <c r="W516" s="2" t="str">
        <f t="shared" si="70"/>
        <v/>
      </c>
      <c r="X516" s="2" t="str">
        <f t="shared" si="70"/>
        <v/>
      </c>
      <c r="Y516" s="2" t="str">
        <f t="shared" si="70"/>
        <v/>
      </c>
      <c r="Z516" s="2">
        <f t="shared" si="70"/>
        <v>6.99</v>
      </c>
      <c r="AA516" s="23" t="str">
        <f t="shared" si="71"/>
        <v>K16</v>
      </c>
      <c r="AB516" s="2">
        <f>$T516-VLOOKUP($B516,Scores!$AG$1:$AM$7,5,FALSE)</f>
        <v>-0.79571428571428537</v>
      </c>
      <c r="AC516" s="2">
        <f>$T516-VLOOKUP($B516,Scores!$AG$1:$AM$7,6,FALSE)</f>
        <v>-0.43142857142857149</v>
      </c>
      <c r="AD516" s="2">
        <f>$T516-VLOOKUP($B516,Scores!$AG$1:$AM$7,7,FALSE)+(ROW(A515)/1000000)</f>
        <v>-0.43091357142857151</v>
      </c>
      <c r="AE516" s="2">
        <f t="array" ref="AE516">IF('ROS Rankings'!$AD$1,IFERROR(AVERAGE(IF(INDEX($C516:$S516,14):INDEX($C516:$S516,17)="NA",0,INDEX($C516:$S516,14):INDEX($C516:$S516,17))-INDEX($AQ$2:$BG$7,MATCH($B516,$AO$2:$AO$7,0),14):INDEX($AQ$2:$BG$7,MATCH($B516,$AO$2:$AO$7,0),17)),0),IFERROR(AVERAGE(IF(INDEX($C516:$S516,Week+1):INDEX($C516:$S516,13)="NA",0,INDEX($C516:$S516,Week+1):INDEX($C516:$S516,13))-INDEX($AQ$2:$BG$7,MATCH($B516,$AO$2:$AO$7,0),Week+1):INDEX($AQ$2:$BG$7,MATCH($B516,$AO$2:$AO$7,0),13)),0))+ROW(A515)/1000000</f>
        <v>-1.2744849999999999</v>
      </c>
      <c r="AF516">
        <f t="shared" si="72"/>
        <v>78</v>
      </c>
      <c r="AG516">
        <f t="shared" si="73"/>
        <v>132</v>
      </c>
      <c r="AH516">
        <f t="shared" si="74"/>
        <v>171</v>
      </c>
      <c r="AI516">
        <f t="shared" si="75"/>
        <v>193</v>
      </c>
      <c r="AJ516" s="22">
        <f>IF(ISERROR(MATCH(A516,Rosters!$B$2:$B$155,0)),AD516,"")</f>
        <v>-0.43091357142857151</v>
      </c>
      <c r="AK516">
        <f t="shared" si="76"/>
        <v>41</v>
      </c>
      <c r="AL516" s="23">
        <f>COUNTIF(INDEX($C516:$S516,Week+1):INDEX($C516:$S516,13),"&gt;0")</f>
        <v>7</v>
      </c>
    </row>
    <row r="517" spans="1:38" x14ac:dyDescent="0.25">
      <c r="A517" t="s">
        <v>457</v>
      </c>
      <c r="B517" t="s">
        <v>478</v>
      </c>
      <c r="C517">
        <v>6.59</v>
      </c>
      <c r="D517">
        <v>6.38</v>
      </c>
      <c r="E517">
        <v>7.58</v>
      </c>
      <c r="F517">
        <v>6.92</v>
      </c>
      <c r="G517" t="s">
        <v>64</v>
      </c>
      <c r="H517">
        <v>6.78</v>
      </c>
      <c r="I517">
        <v>6.91</v>
      </c>
      <c r="J517">
        <v>7.53</v>
      </c>
      <c r="K517">
        <v>6.78</v>
      </c>
      <c r="L517">
        <v>7.83</v>
      </c>
      <c r="M517">
        <v>7.16</v>
      </c>
      <c r="N517">
        <v>7.75</v>
      </c>
      <c r="O517">
        <v>7.19</v>
      </c>
      <c r="P517">
        <v>7.78</v>
      </c>
      <c r="Q517">
        <v>6.06</v>
      </c>
      <c r="R517">
        <v>7.34</v>
      </c>
      <c r="S517">
        <v>7.17</v>
      </c>
      <c r="T517" s="2">
        <f>IF('ROS Rankings'!$AD$1,IFERROR(AVERAGE(INDEX($C517:$S517,14):INDEX($C517:$S517,17)),0),IFERROR(AVERAGE(INDEX($C517:$S517,Week+1):INDEX($C517:$S517,13)),0))</f>
        <v>7.2412500000000009</v>
      </c>
      <c r="U517" s="2" t="str">
        <f t="shared" si="70"/>
        <v/>
      </c>
      <c r="V517" s="2" t="str">
        <f t="shared" si="70"/>
        <v/>
      </c>
      <c r="W517" s="2" t="str">
        <f t="shared" si="70"/>
        <v/>
      </c>
      <c r="X517" s="2" t="str">
        <f t="shared" ref="X517:Z561" si="77">IF($B517=X$1,$T517,"")</f>
        <v/>
      </c>
      <c r="Y517" s="2" t="str">
        <f t="shared" si="77"/>
        <v/>
      </c>
      <c r="Z517" s="2">
        <f t="shared" si="77"/>
        <v>7.2412500000000009</v>
      </c>
      <c r="AA517" s="23" t="str">
        <f t="shared" si="71"/>
        <v>K13</v>
      </c>
      <c r="AB517" s="2">
        <f>$T517-VLOOKUP($B517,Scores!$AG$1:$AM$7,5,FALSE)</f>
        <v>-0.54446428571428473</v>
      </c>
      <c r="AC517" s="2">
        <f>$T517-VLOOKUP($B517,Scores!$AG$1:$AM$7,6,FALSE)</f>
        <v>-0.18017857142857086</v>
      </c>
      <c r="AD517" s="2">
        <f>$T517-VLOOKUP($B517,Scores!$AG$1:$AM$7,7,FALSE)+(ROW(A516)/1000000)</f>
        <v>-0.17966257142857087</v>
      </c>
      <c r="AE517" s="2">
        <f t="array" ref="AE517">IF('ROS Rankings'!$AD$1,IFERROR(AVERAGE(IF(INDEX($C517:$S517,14):INDEX($C517:$S517,17)="NA",0,INDEX($C517:$S517,14):INDEX($C517:$S517,17))-INDEX($AQ$2:$BG$7,MATCH($B517,$AO$2:$AO$7,0),14):INDEX($AQ$2:$BG$7,MATCH($B517,$AO$2:$AO$7,0),17)),0),IFERROR(AVERAGE(IF(INDEX($C517:$S517,Week+1):INDEX($C517:$S517,13)="NA",0,INDEX($C517:$S517,Week+1):INDEX($C517:$S517,13))-INDEX($AQ$2:$BG$7,MATCH($B517,$AO$2:$AO$7,0),Week+1):INDEX($AQ$2:$BG$7,MATCH($B517,$AO$2:$AO$7,0),13)),0))+ROW(A516)/1000000</f>
        <v>-0.14948399999999981</v>
      </c>
      <c r="AF517">
        <f t="shared" si="72"/>
        <v>71</v>
      </c>
      <c r="AG517">
        <f t="shared" si="73"/>
        <v>118</v>
      </c>
      <c r="AH517">
        <f t="shared" si="74"/>
        <v>160</v>
      </c>
      <c r="AI517">
        <f t="shared" si="75"/>
        <v>130</v>
      </c>
      <c r="AJ517" s="22">
        <f>IF(ISERROR(MATCH(A517,Rosters!$B$2:$B$155,0)),AD517,"")</f>
        <v>-0.17966257142857087</v>
      </c>
      <c r="AK517">
        <f t="shared" si="76"/>
        <v>32</v>
      </c>
      <c r="AL517" s="23">
        <f>COUNTIF(INDEX($C517:$S517,Week+1):INDEX($C517:$S517,13),"&gt;0")</f>
        <v>8</v>
      </c>
    </row>
    <row r="518" spans="1:38" x14ac:dyDescent="0.25">
      <c r="A518" t="s">
        <v>1120</v>
      </c>
      <c r="B518" t="s">
        <v>478</v>
      </c>
      <c r="C518">
        <v>5.9</v>
      </c>
      <c r="D518">
        <v>6.75</v>
      </c>
      <c r="E518">
        <v>5.49</v>
      </c>
      <c r="F518" t="s">
        <v>64</v>
      </c>
      <c r="G518">
        <v>6.39</v>
      </c>
      <c r="H518">
        <v>7.05</v>
      </c>
      <c r="I518">
        <v>7.31</v>
      </c>
      <c r="J518">
        <v>6.35</v>
      </c>
      <c r="K518">
        <v>7.65</v>
      </c>
      <c r="L518">
        <v>6.49</v>
      </c>
      <c r="M518">
        <v>6.77</v>
      </c>
      <c r="N518">
        <v>6.92</v>
      </c>
      <c r="O518">
        <v>6.47</v>
      </c>
      <c r="P518">
        <v>6.72</v>
      </c>
      <c r="Q518">
        <v>5.78</v>
      </c>
      <c r="R518">
        <v>6.9</v>
      </c>
      <c r="S518">
        <v>6.85</v>
      </c>
      <c r="T518" s="2">
        <f>IF('ROS Rankings'!$AD$1,IFERROR(AVERAGE(INDEX($C518:$S518,14):INDEX($C518:$S518,17)),0),IFERROR(AVERAGE(INDEX($C518:$S518,Week+1):INDEX($C518:$S518,13)),0))</f>
        <v>6.8762500000000006</v>
      </c>
      <c r="U518" s="2" t="str">
        <f t="shared" ref="U518:Z561" si="78">IF($B518=U$1,$T518,"")</f>
        <v/>
      </c>
      <c r="V518" s="2" t="str">
        <f t="shared" si="78"/>
        <v/>
      </c>
      <c r="W518" s="2" t="str">
        <f t="shared" si="78"/>
        <v/>
      </c>
      <c r="X518" s="2" t="str">
        <f t="shared" si="78"/>
        <v/>
      </c>
      <c r="Y518" s="2" t="str">
        <f t="shared" si="78"/>
        <v/>
      </c>
      <c r="Z518" s="2">
        <f t="shared" si="78"/>
        <v>6.8762500000000006</v>
      </c>
      <c r="AA518" s="23" t="str">
        <f t="shared" si="71"/>
        <v>K18</v>
      </c>
      <c r="AB518" s="2">
        <f>$T518-VLOOKUP($B518,Scores!$AG$1:$AM$7,5,FALSE)</f>
        <v>-0.90946428571428495</v>
      </c>
      <c r="AC518" s="2">
        <f>$T518-VLOOKUP($B518,Scores!$AG$1:$AM$7,6,FALSE)</f>
        <v>-0.54517857142857107</v>
      </c>
      <c r="AD518" s="2">
        <f>$T518-VLOOKUP($B518,Scores!$AG$1:$AM$7,7,FALSE)+(ROW(A517)/1000000)</f>
        <v>-0.54466157142857108</v>
      </c>
      <c r="AE518" s="2">
        <f t="array" ref="AE518">IF('ROS Rankings'!$AD$1,IFERROR(AVERAGE(IF(INDEX($C518:$S518,14):INDEX($C518:$S518,17)="NA",0,INDEX($C518:$S518,14):INDEX($C518:$S518,17))-INDEX($AQ$2:$BG$7,MATCH($B518,$AO$2:$AO$7,0),14):INDEX($AQ$2:$BG$7,MATCH($B518,$AO$2:$AO$7,0),17)),0),IFERROR(AVERAGE(IF(INDEX($C518:$S518,Week+1):INDEX($C518:$S518,13)="NA",0,INDEX($C518:$S518,Week+1):INDEX($C518:$S518,13))-INDEX($AQ$2:$BG$7,MATCH($B518,$AO$2:$AO$7,0),Week+1):INDEX($AQ$2:$BG$7,MATCH($B518,$AO$2:$AO$7,0),13)),0))+ROW(A517)/1000000</f>
        <v>-0.51448300000000013</v>
      </c>
      <c r="AF518">
        <f t="shared" si="72"/>
        <v>83</v>
      </c>
      <c r="AG518">
        <f t="shared" si="73"/>
        <v>136</v>
      </c>
      <c r="AH518">
        <f t="shared" si="74"/>
        <v>175</v>
      </c>
      <c r="AI518">
        <f t="shared" si="75"/>
        <v>144</v>
      </c>
      <c r="AJ518" s="22">
        <f>IF(ISERROR(MATCH(A518,Rosters!$B$2:$B$155,0)),AD518,"")</f>
        <v>-0.54466157142857108</v>
      </c>
      <c r="AK518">
        <f t="shared" si="76"/>
        <v>43</v>
      </c>
      <c r="AL518" s="23">
        <f>COUNTIF(INDEX($C518:$S518,Week+1):INDEX($C518:$S518,13),"&gt;0")</f>
        <v>8</v>
      </c>
    </row>
    <row r="519" spans="1:38" x14ac:dyDescent="0.25">
      <c r="A519" t="s">
        <v>1107</v>
      </c>
      <c r="B519" t="s">
        <v>478</v>
      </c>
      <c r="C519">
        <v>6.43</v>
      </c>
      <c r="D519">
        <v>6.97</v>
      </c>
      <c r="E519">
        <v>6</v>
      </c>
      <c r="F519">
        <v>6.71</v>
      </c>
      <c r="G519">
        <v>6.19</v>
      </c>
      <c r="H519">
        <v>6.95</v>
      </c>
      <c r="I519">
        <v>6.59</v>
      </c>
      <c r="J519">
        <v>7.45</v>
      </c>
      <c r="K519">
        <v>6.14</v>
      </c>
      <c r="L519">
        <v>6.15</v>
      </c>
      <c r="M519" t="s">
        <v>64</v>
      </c>
      <c r="N519">
        <v>6.26</v>
      </c>
      <c r="O519">
        <v>7.12</v>
      </c>
      <c r="P519">
        <v>6.53</v>
      </c>
      <c r="Q519">
        <v>7.58</v>
      </c>
      <c r="R519">
        <v>7.04</v>
      </c>
      <c r="S519">
        <v>7.51</v>
      </c>
      <c r="T519" s="2">
        <f>IF('ROS Rankings'!$AD$1,IFERROR(AVERAGE(INDEX($C519:$S519,14):INDEX($C519:$S519,17)),0),IFERROR(AVERAGE(INDEX($C519:$S519,Week+1):INDEX($C519:$S519,13)),0))</f>
        <v>6.6657142857142855</v>
      </c>
      <c r="U519" s="2" t="str">
        <f t="shared" si="78"/>
        <v/>
      </c>
      <c r="V519" s="2" t="str">
        <f t="shared" si="78"/>
        <v/>
      </c>
      <c r="W519" s="2" t="str">
        <f t="shared" si="78"/>
        <v/>
      </c>
      <c r="X519" s="2" t="str">
        <f t="shared" si="78"/>
        <v/>
      </c>
      <c r="Y519" s="2" t="str">
        <f t="shared" si="78"/>
        <v/>
      </c>
      <c r="Z519" s="2">
        <f t="shared" si="78"/>
        <v>6.6657142857142855</v>
      </c>
      <c r="AA519" s="23" t="str">
        <f t="shared" si="71"/>
        <v>K22</v>
      </c>
      <c r="AB519" s="2">
        <f>$T519-VLOOKUP($B519,Scores!$AG$1:$AM$7,5,FALSE)</f>
        <v>-1.1200000000000001</v>
      </c>
      <c r="AC519" s="2">
        <f>$T519-VLOOKUP($B519,Scores!$AG$1:$AM$7,6,FALSE)</f>
        <v>-0.75571428571428623</v>
      </c>
      <c r="AD519" s="2">
        <f>$T519-VLOOKUP($B519,Scores!$AG$1:$AM$7,7,FALSE)+(ROW(A518)/1000000)</f>
        <v>-0.75519628571428621</v>
      </c>
      <c r="AE519" s="2">
        <f t="array" ref="AE519">IF('ROS Rankings'!$AD$1,IFERROR(AVERAGE(IF(INDEX($C519:$S519,14):INDEX($C519:$S519,17)="NA",0,INDEX($C519:$S519,14):INDEX($C519:$S519,17))-INDEX($AQ$2:$BG$7,MATCH($B519,$AO$2:$AO$7,0),14):INDEX($AQ$2:$BG$7,MATCH($B519,$AO$2:$AO$7,0),17)),0),IFERROR(AVERAGE(IF(INDEX($C519:$S519,Week+1):INDEX($C519:$S519,13)="NA",0,INDEX($C519:$S519,Week+1):INDEX($C519:$S519,13))-INDEX($AQ$2:$BG$7,MATCH($B519,$AO$2:$AO$7,0),Week+1):INDEX($AQ$2:$BG$7,MATCH($B519,$AO$2:$AO$7,0),13)),0))+ROW(A518)/1000000</f>
        <v>-1.5582319999999998</v>
      </c>
      <c r="AF519">
        <f t="shared" si="72"/>
        <v>97</v>
      </c>
      <c r="AG519">
        <f t="shared" si="73"/>
        <v>148</v>
      </c>
      <c r="AH519">
        <f t="shared" si="74"/>
        <v>189</v>
      </c>
      <c r="AI519">
        <f t="shared" si="75"/>
        <v>215</v>
      </c>
      <c r="AJ519" s="22">
        <f>IF(ISERROR(MATCH(A519,Rosters!$B$2:$B$155,0)),AD519,"")</f>
        <v>-0.75519628571428621</v>
      </c>
      <c r="AK519">
        <f t="shared" si="76"/>
        <v>56</v>
      </c>
      <c r="AL519" s="23">
        <f>COUNTIF(INDEX($C519:$S519,Week+1):INDEX($C519:$S519,13),"&gt;0")</f>
        <v>7</v>
      </c>
    </row>
    <row r="520" spans="1:38" x14ac:dyDescent="0.25">
      <c r="A520" t="s">
        <v>999</v>
      </c>
      <c r="B520" t="s">
        <v>478</v>
      </c>
      <c r="C520">
        <v>6.53</v>
      </c>
      <c r="D520">
        <v>6.9</v>
      </c>
      <c r="E520">
        <v>6.91</v>
      </c>
      <c r="F520">
        <v>7.05</v>
      </c>
      <c r="G520">
        <v>7.36</v>
      </c>
      <c r="H520">
        <v>7.05</v>
      </c>
      <c r="I520">
        <v>5.99</v>
      </c>
      <c r="J520">
        <v>7.15</v>
      </c>
      <c r="K520">
        <v>7.31</v>
      </c>
      <c r="L520" t="s">
        <v>64</v>
      </c>
      <c r="M520">
        <v>6.25</v>
      </c>
      <c r="N520">
        <v>7.57</v>
      </c>
      <c r="O520">
        <v>7.31</v>
      </c>
      <c r="P520">
        <v>7.21</v>
      </c>
      <c r="Q520">
        <v>6.84</v>
      </c>
      <c r="R520">
        <v>6.28</v>
      </c>
      <c r="S520">
        <v>6.34</v>
      </c>
      <c r="T520" s="2">
        <f>IF('ROS Rankings'!$AD$1,IFERROR(AVERAGE(INDEX($C520:$S520,14):INDEX($C520:$S520,17)),0),IFERROR(AVERAGE(INDEX($C520:$S520,Week+1):INDEX($C520:$S520,13)),0))</f>
        <v>6.9471428571428575</v>
      </c>
      <c r="U520" s="2" t="str">
        <f t="shared" si="78"/>
        <v/>
      </c>
      <c r="V520" s="2" t="str">
        <f t="shared" si="78"/>
        <v/>
      </c>
      <c r="W520" s="2" t="str">
        <f t="shared" si="78"/>
        <v/>
      </c>
      <c r="X520" s="2" t="str">
        <f t="shared" si="78"/>
        <v/>
      </c>
      <c r="Y520" s="2" t="str">
        <f t="shared" si="78"/>
        <v/>
      </c>
      <c r="Z520" s="2">
        <f t="shared" si="78"/>
        <v>6.9471428571428575</v>
      </c>
      <c r="AA520" s="23" t="str">
        <f t="shared" si="71"/>
        <v>K17</v>
      </c>
      <c r="AB520" s="2">
        <f>$T520-VLOOKUP($B520,Scores!$AG$1:$AM$7,5,FALSE)</f>
        <v>-0.83857142857142808</v>
      </c>
      <c r="AC520" s="2">
        <f>$T520-VLOOKUP($B520,Scores!$AG$1:$AM$7,6,FALSE)</f>
        <v>-0.4742857142857142</v>
      </c>
      <c r="AD520" s="2">
        <f>$T520-VLOOKUP($B520,Scores!$AG$1:$AM$7,7,FALSE)+(ROW(A519)/1000000)</f>
        <v>-0.47376671428571421</v>
      </c>
      <c r="AE520" s="2">
        <f t="array" ref="AE520">IF('ROS Rankings'!$AD$1,IFERROR(AVERAGE(IF(INDEX($C520:$S520,14):INDEX($C520:$S520,17)="NA",0,INDEX($C520:$S520,14):INDEX($C520:$S520,17))-INDEX($AQ$2:$BG$7,MATCH($B520,$AO$2:$AO$7,0),14):INDEX($AQ$2:$BG$7,MATCH($B520,$AO$2:$AO$7,0),17)),0),IFERROR(AVERAGE(IF(INDEX($C520:$S520,Week+1):INDEX($C520:$S520,13)="NA",0,INDEX($C520:$S520,Week+1):INDEX($C520:$S520,13))-INDEX($AQ$2:$BG$7,MATCH($B520,$AO$2:$AO$7,0),Week+1):INDEX($AQ$2:$BG$7,MATCH($B520,$AO$2:$AO$7,0),13)),0))+ROW(A519)/1000000</f>
        <v>-1.3119810000000001</v>
      </c>
      <c r="AF520">
        <f t="shared" si="72"/>
        <v>80</v>
      </c>
      <c r="AG520">
        <f t="shared" si="73"/>
        <v>134</v>
      </c>
      <c r="AH520">
        <f t="shared" si="74"/>
        <v>173</v>
      </c>
      <c r="AI520">
        <f t="shared" si="75"/>
        <v>196</v>
      </c>
      <c r="AJ520" s="22">
        <f>IF(ISERROR(MATCH(A520,Rosters!$B$2:$B$155,0)),AD520,"")</f>
        <v>-0.47376671428571421</v>
      </c>
      <c r="AK520">
        <f t="shared" si="76"/>
        <v>42</v>
      </c>
      <c r="AL520" s="23">
        <f>COUNTIF(INDEX($C520:$S520,Week+1):INDEX($C520:$S520,13),"&gt;0")</f>
        <v>7</v>
      </c>
    </row>
    <row r="521" spans="1:38" x14ac:dyDescent="0.25">
      <c r="A521" t="s">
        <v>465</v>
      </c>
      <c r="B521" t="s">
        <v>478</v>
      </c>
      <c r="C521">
        <v>5.87</v>
      </c>
      <c r="D521">
        <v>6.36</v>
      </c>
      <c r="E521">
        <v>4.8600000000000003</v>
      </c>
      <c r="F521">
        <v>6.3</v>
      </c>
      <c r="G521">
        <v>6.13</v>
      </c>
      <c r="H521">
        <v>6.93</v>
      </c>
      <c r="I521">
        <v>5.8</v>
      </c>
      <c r="J521">
        <v>6.95</v>
      </c>
      <c r="K521">
        <v>6.99</v>
      </c>
      <c r="L521" t="s">
        <v>64</v>
      </c>
      <c r="M521">
        <v>7.02</v>
      </c>
      <c r="N521">
        <v>6.63</v>
      </c>
      <c r="O521">
        <v>7.07</v>
      </c>
      <c r="P521">
        <v>6.4</v>
      </c>
      <c r="Q521">
        <v>5.76</v>
      </c>
      <c r="R521">
        <v>7.36</v>
      </c>
      <c r="S521">
        <v>7.44</v>
      </c>
      <c r="T521" s="2">
        <f>IF('ROS Rankings'!$AD$1,IFERROR(AVERAGE(INDEX($C521:$S521,14):INDEX($C521:$S521,17)),0),IFERROR(AVERAGE(INDEX($C521:$S521,Week+1):INDEX($C521:$S521,13)),0))</f>
        <v>6.7700000000000005</v>
      </c>
      <c r="U521" s="2" t="str">
        <f t="shared" si="78"/>
        <v/>
      </c>
      <c r="V521" s="2" t="str">
        <f t="shared" si="78"/>
        <v/>
      </c>
      <c r="W521" s="2" t="str">
        <f t="shared" si="78"/>
        <v/>
      </c>
      <c r="X521" s="2" t="str">
        <f t="shared" si="78"/>
        <v/>
      </c>
      <c r="Y521" s="2" t="str">
        <f t="shared" si="78"/>
        <v/>
      </c>
      <c r="Z521" s="2">
        <f t="shared" si="78"/>
        <v>6.7700000000000005</v>
      </c>
      <c r="AA521" s="23" t="str">
        <f t="shared" si="71"/>
        <v>K20</v>
      </c>
      <c r="AB521" s="2">
        <f>$T521-VLOOKUP($B521,Scores!$AG$1:$AM$7,5,FALSE)</f>
        <v>-1.0157142857142851</v>
      </c>
      <c r="AC521" s="2">
        <f>$T521-VLOOKUP($B521,Scores!$AG$1:$AM$7,6,FALSE)</f>
        <v>-0.65142857142857125</v>
      </c>
      <c r="AD521" s="2">
        <f>$T521-VLOOKUP($B521,Scores!$AG$1:$AM$7,7,FALSE)+(ROW(A520)/1000000)</f>
        <v>-0.65090857142857128</v>
      </c>
      <c r="AE521" s="2">
        <f t="array" ref="AE521">IF('ROS Rankings'!$AD$1,IFERROR(AVERAGE(IF(INDEX($C521:$S521,14):INDEX($C521:$S521,17)="NA",0,INDEX($C521:$S521,14):INDEX($C521:$S521,17))-INDEX($AQ$2:$BG$7,MATCH($B521,$AO$2:$AO$7,0),14):INDEX($AQ$2:$BG$7,MATCH($B521,$AO$2:$AO$7,0),17)),0),IFERROR(AVERAGE(IF(INDEX($C521:$S521,Week+1):INDEX($C521:$S521,13)="NA",0,INDEX($C521:$S521,Week+1):INDEX($C521:$S521,13))-INDEX($AQ$2:$BG$7,MATCH($B521,$AO$2:$AO$7,0),Week+1):INDEX($AQ$2:$BG$7,MATCH($B521,$AO$2:$AO$7,0),13)),0))+ROW(A520)/1000000</f>
        <v>-1.4669800000000002</v>
      </c>
      <c r="AF521">
        <f t="shared" si="72"/>
        <v>91</v>
      </c>
      <c r="AG521">
        <f t="shared" si="73"/>
        <v>143</v>
      </c>
      <c r="AH521">
        <f t="shared" si="74"/>
        <v>186</v>
      </c>
      <c r="AI521">
        <f t="shared" si="75"/>
        <v>208</v>
      </c>
      <c r="AJ521" s="22">
        <f>IF(ISERROR(MATCH(A521,Rosters!$B$2:$B$155,0)),AD521,"")</f>
        <v>-0.65090857142857128</v>
      </c>
      <c r="AK521">
        <f t="shared" si="76"/>
        <v>53</v>
      </c>
      <c r="AL521" s="23">
        <f>COUNTIF(INDEX($C521:$S521,Week+1):INDEX($C521:$S521,13),"&gt;0")</f>
        <v>7</v>
      </c>
    </row>
    <row r="522" spans="1:38" x14ac:dyDescent="0.25">
      <c r="A522" t="s">
        <v>445</v>
      </c>
      <c r="B522" t="s">
        <v>478</v>
      </c>
      <c r="C522" t="s">
        <v>64</v>
      </c>
      <c r="D522" t="s">
        <v>64</v>
      </c>
      <c r="E522">
        <v>7.27</v>
      </c>
      <c r="F522">
        <v>5.66</v>
      </c>
      <c r="G522">
        <v>6.19</v>
      </c>
      <c r="H522">
        <v>6.9</v>
      </c>
      <c r="I522">
        <v>6.42</v>
      </c>
      <c r="J522">
        <v>7.33</v>
      </c>
      <c r="K522">
        <v>6.81</v>
      </c>
      <c r="L522" t="s">
        <v>64</v>
      </c>
      <c r="M522">
        <v>7.02</v>
      </c>
      <c r="N522">
        <v>6.91</v>
      </c>
      <c r="O522">
        <v>6.53</v>
      </c>
      <c r="P522">
        <v>6.63</v>
      </c>
      <c r="Q522">
        <v>7.21</v>
      </c>
      <c r="R522">
        <v>6.44</v>
      </c>
      <c r="S522">
        <v>7.44</v>
      </c>
      <c r="T522" s="2">
        <f>IF('ROS Rankings'!$AD$1,IFERROR(AVERAGE(INDEX($C522:$S522,14):INDEX($C522:$S522,17)),0),IFERROR(AVERAGE(INDEX($C522:$S522,Week+1):INDEX($C522:$S522,13)),0))</f>
        <v>6.8457142857142861</v>
      </c>
      <c r="U522" s="2" t="str">
        <f t="shared" si="78"/>
        <v/>
      </c>
      <c r="V522" s="2" t="str">
        <f t="shared" si="78"/>
        <v/>
      </c>
      <c r="W522" s="2" t="str">
        <f t="shared" si="78"/>
        <v/>
      </c>
      <c r="X522" s="2" t="str">
        <f t="shared" si="78"/>
        <v/>
      </c>
      <c r="Y522" s="2" t="str">
        <f t="shared" si="78"/>
        <v/>
      </c>
      <c r="Z522" s="2">
        <f t="shared" si="78"/>
        <v>6.8457142857142861</v>
      </c>
      <c r="AA522" s="23" t="str">
        <f t="shared" si="71"/>
        <v>K19</v>
      </c>
      <c r="AB522" s="2">
        <f>$T522-VLOOKUP($B522,Scores!$AG$1:$AM$7,5,FALSE)</f>
        <v>-0.9399999999999995</v>
      </c>
      <c r="AC522" s="2">
        <f>$T522-VLOOKUP($B522,Scores!$AG$1:$AM$7,6,FALSE)</f>
        <v>-0.57571428571428562</v>
      </c>
      <c r="AD522" s="2">
        <f>$T522-VLOOKUP($B522,Scores!$AG$1:$AM$7,7,FALSE)+(ROW(A521)/1000000)</f>
        <v>-0.57519328571428563</v>
      </c>
      <c r="AE522" s="2">
        <f t="array" ref="AE522">IF('ROS Rankings'!$AD$1,IFERROR(AVERAGE(IF(INDEX($C522:$S522,14):INDEX($C522:$S522,17)="NA",0,INDEX($C522:$S522,14):INDEX($C522:$S522,17))-INDEX($AQ$2:$BG$7,MATCH($B522,$AO$2:$AO$7,0),14):INDEX($AQ$2:$BG$7,MATCH($B522,$AO$2:$AO$7,0),17)),0),IFERROR(AVERAGE(IF(INDEX($C522:$S522,Week+1):INDEX($C522:$S522,13)="NA",0,INDEX($C522:$S522,Week+1):INDEX($C522:$S522,13))-INDEX($AQ$2:$BG$7,MATCH($B522,$AO$2:$AO$7,0),Week+1):INDEX($AQ$2:$BG$7,MATCH($B522,$AO$2:$AO$7,0),13)),0))+ROW(A521)/1000000</f>
        <v>-1.4007290000000001</v>
      </c>
      <c r="AF522">
        <f t="shared" si="72"/>
        <v>87</v>
      </c>
      <c r="AG522">
        <f t="shared" si="73"/>
        <v>139</v>
      </c>
      <c r="AH522">
        <f t="shared" si="74"/>
        <v>179</v>
      </c>
      <c r="AI522">
        <f t="shared" si="75"/>
        <v>204</v>
      </c>
      <c r="AJ522" s="22">
        <f>IF(ISERROR(MATCH(A522,Rosters!$B$2:$B$155,0)),AD522,"")</f>
        <v>-0.57519328571428563</v>
      </c>
      <c r="AK522">
        <f t="shared" si="76"/>
        <v>47</v>
      </c>
      <c r="AL522" s="23">
        <f>COUNTIF(INDEX($C522:$S522,Week+1):INDEX($C522:$S522,13),"&gt;0")</f>
        <v>7</v>
      </c>
    </row>
    <row r="523" spans="1:38" x14ac:dyDescent="0.25">
      <c r="A523" t="s">
        <v>451</v>
      </c>
      <c r="B523" t="s">
        <v>478</v>
      </c>
      <c r="C523" t="s">
        <v>64</v>
      </c>
      <c r="D523" t="s">
        <v>64</v>
      </c>
      <c r="E523" t="s">
        <v>64</v>
      </c>
      <c r="F523" t="s">
        <v>64</v>
      </c>
      <c r="G523">
        <v>7.41</v>
      </c>
      <c r="H523" t="s">
        <v>64</v>
      </c>
      <c r="I523" t="s">
        <v>64</v>
      </c>
      <c r="J523" t="s">
        <v>64</v>
      </c>
      <c r="K523" t="s">
        <v>64</v>
      </c>
      <c r="L523" t="s">
        <v>64</v>
      </c>
      <c r="M523" t="s">
        <v>64</v>
      </c>
      <c r="N523" t="s">
        <v>64</v>
      </c>
      <c r="O523" t="s">
        <v>64</v>
      </c>
      <c r="P523" t="s">
        <v>64</v>
      </c>
      <c r="Q523" t="s">
        <v>64</v>
      </c>
      <c r="R523" t="s">
        <v>64</v>
      </c>
      <c r="S523" t="s">
        <v>64</v>
      </c>
      <c r="T523" s="2">
        <f>IF('ROS Rankings'!$AD$1,IFERROR(AVERAGE(INDEX($C523:$S523,14):INDEX($C523:$S523,17)),0),IFERROR(AVERAGE(INDEX($C523:$S523,Week+1):INDEX($C523:$S523,13)),0))</f>
        <v>0</v>
      </c>
      <c r="U523" s="2" t="str">
        <f t="shared" si="78"/>
        <v/>
      </c>
      <c r="V523" s="2" t="str">
        <f t="shared" si="78"/>
        <v/>
      </c>
      <c r="W523" s="2" t="str">
        <f t="shared" si="78"/>
        <v/>
      </c>
      <c r="X523" s="2" t="str">
        <f t="shared" si="78"/>
        <v/>
      </c>
      <c r="Y523" s="2" t="str">
        <f t="shared" si="78"/>
        <v/>
      </c>
      <c r="Z523" s="2">
        <f t="shared" si="78"/>
        <v>0</v>
      </c>
      <c r="AA523" s="23" t="str">
        <f t="shared" si="71"/>
        <v>K33</v>
      </c>
      <c r="AB523" s="2">
        <f>$T523-VLOOKUP($B523,Scores!$AG$1:$AM$7,5,FALSE)</f>
        <v>-7.7857142857142856</v>
      </c>
      <c r="AC523" s="2">
        <f>$T523-VLOOKUP($B523,Scores!$AG$1:$AM$7,6,FALSE)</f>
        <v>-7.4214285714285717</v>
      </c>
      <c r="AD523" s="2">
        <f>$T523-VLOOKUP($B523,Scores!$AG$1:$AM$7,7,FALSE)+(ROW(A522)/1000000)</f>
        <v>-7.4209065714285716</v>
      </c>
      <c r="AE523" s="2">
        <f t="array" ref="AE523">IF('ROS Rankings'!$AD$1,IFERROR(AVERAGE(IF(INDEX($C523:$S523,14):INDEX($C523:$S523,17)="NA",0,INDEX($C523:$S523,14):INDEX($C523:$S523,17))-INDEX($AQ$2:$BG$7,MATCH($B523,$AO$2:$AO$7,0),14):INDEX($AQ$2:$BG$7,MATCH($B523,$AO$2:$AO$7,0),17)),0),IFERROR(AVERAGE(IF(INDEX($C523:$S523,Week+1):INDEX($C523:$S523,13)="NA",0,INDEX($C523:$S523,Week+1):INDEX($C523:$S523,13))-INDEX($AQ$2:$BG$7,MATCH($B523,$AO$2:$AO$7,0),Week+1):INDEX($AQ$2:$BG$7,MATCH($B523,$AO$2:$AO$7,0),13)),0))+ROW(A522)/1000000</f>
        <v>-7.3907280000000011</v>
      </c>
      <c r="AF523">
        <f t="shared" si="72"/>
        <v>371</v>
      </c>
      <c r="AG523">
        <f t="shared" si="73"/>
        <v>441</v>
      </c>
      <c r="AH523">
        <f t="shared" si="74"/>
        <v>523</v>
      </c>
      <c r="AI523">
        <f t="shared" si="75"/>
        <v>523</v>
      </c>
      <c r="AJ523" s="22" t="str">
        <f>IF(ISERROR(MATCH(A523,Rosters!$B$2:$B$155,0)),AD523,"")</f>
        <v/>
      </c>
      <c r="AK523" t="str">
        <f t="shared" si="76"/>
        <v/>
      </c>
      <c r="AL523" s="23">
        <f>COUNTIF(INDEX($C523:$S523,Week+1):INDEX($C523:$S523,13),"&gt;0")</f>
        <v>0</v>
      </c>
    </row>
    <row r="524" spans="1:38" x14ac:dyDescent="0.25">
      <c r="A524" t="s">
        <v>1217</v>
      </c>
      <c r="B524" t="s">
        <v>478</v>
      </c>
      <c r="C524">
        <v>7.31</v>
      </c>
      <c r="D524" t="s">
        <v>64</v>
      </c>
      <c r="E524" t="s">
        <v>64</v>
      </c>
      <c r="F524" t="s">
        <v>64</v>
      </c>
      <c r="G524" t="s">
        <v>64</v>
      </c>
      <c r="H524" t="s">
        <v>64</v>
      </c>
      <c r="I524" t="s">
        <v>64</v>
      </c>
      <c r="J524" t="s">
        <v>64</v>
      </c>
      <c r="K524" t="s">
        <v>64</v>
      </c>
      <c r="L524" t="s">
        <v>64</v>
      </c>
      <c r="M524" t="s">
        <v>64</v>
      </c>
      <c r="N524" t="s">
        <v>64</v>
      </c>
      <c r="O524" t="s">
        <v>64</v>
      </c>
      <c r="P524" t="s">
        <v>64</v>
      </c>
      <c r="Q524" t="s">
        <v>64</v>
      </c>
      <c r="R524" t="s">
        <v>64</v>
      </c>
      <c r="S524" t="s">
        <v>64</v>
      </c>
      <c r="T524" s="2">
        <f>IF('ROS Rankings'!$AD$1,IFERROR(AVERAGE(INDEX($C524:$S524,14):INDEX($C524:$S524,17)),0),IFERROR(AVERAGE(INDEX($C524:$S524,Week+1):INDEX($C524:$S524,13)),0))</f>
        <v>0</v>
      </c>
      <c r="U524" s="2" t="str">
        <f t="shared" si="78"/>
        <v/>
      </c>
      <c r="V524" s="2" t="str">
        <f t="shared" si="78"/>
        <v/>
      </c>
      <c r="W524" s="2" t="str">
        <f t="shared" si="78"/>
        <v/>
      </c>
      <c r="X524" s="2" t="str">
        <f t="shared" si="78"/>
        <v/>
      </c>
      <c r="Y524" s="2" t="str">
        <f t="shared" si="78"/>
        <v/>
      </c>
      <c r="Z524" s="2">
        <f t="shared" si="78"/>
        <v>0</v>
      </c>
      <c r="AA524" s="23" t="str">
        <f t="shared" si="71"/>
        <v>K33</v>
      </c>
      <c r="AB524" s="2">
        <f>$T524-VLOOKUP($B524,Scores!$AG$1:$AM$7,5,FALSE)</f>
        <v>-7.7857142857142856</v>
      </c>
      <c r="AC524" s="2">
        <f>$T524-VLOOKUP($B524,Scores!$AG$1:$AM$7,6,FALSE)</f>
        <v>-7.4214285714285717</v>
      </c>
      <c r="AD524" s="2">
        <f>$T524-VLOOKUP($B524,Scores!$AG$1:$AM$7,7,FALSE)+(ROW(A523)/1000000)</f>
        <v>-7.4209055714285714</v>
      </c>
      <c r="AE524" s="2">
        <f t="array" ref="AE524">IF('ROS Rankings'!$AD$1,IFERROR(AVERAGE(IF(INDEX($C524:$S524,14):INDEX($C524:$S524,17)="NA",0,INDEX($C524:$S524,14):INDEX($C524:$S524,17))-INDEX($AQ$2:$BG$7,MATCH($B524,$AO$2:$AO$7,0),14):INDEX($AQ$2:$BG$7,MATCH($B524,$AO$2:$AO$7,0),17)),0),IFERROR(AVERAGE(IF(INDEX($C524:$S524,Week+1):INDEX($C524:$S524,13)="NA",0,INDEX($C524:$S524,Week+1):INDEX($C524:$S524,13))-INDEX($AQ$2:$BG$7,MATCH($B524,$AO$2:$AO$7,0),Week+1):INDEX($AQ$2:$BG$7,MATCH($B524,$AO$2:$AO$7,0),13)),0))+ROW(A523)/1000000</f>
        <v>-7.3907270000000009</v>
      </c>
      <c r="AF524">
        <f t="shared" si="72"/>
        <v>371</v>
      </c>
      <c r="AG524">
        <f t="shared" si="73"/>
        <v>441</v>
      </c>
      <c r="AH524">
        <f t="shared" si="74"/>
        <v>522</v>
      </c>
      <c r="AI524">
        <f t="shared" si="75"/>
        <v>522</v>
      </c>
      <c r="AJ524" s="22">
        <f>IF(ISERROR(MATCH(A524,Rosters!$B$2:$B$155,0)),AD524,"")</f>
        <v>-7.4209055714285714</v>
      </c>
      <c r="AK524">
        <f t="shared" si="76"/>
        <v>370</v>
      </c>
      <c r="AL524" s="23">
        <f>COUNTIF(INDEX($C524:$S524,Week+1):INDEX($C524:$S524,13),"&gt;0")</f>
        <v>0</v>
      </c>
    </row>
    <row r="525" spans="1:38" x14ac:dyDescent="0.25">
      <c r="A525" t="s">
        <v>448</v>
      </c>
      <c r="B525" t="s">
        <v>478</v>
      </c>
      <c r="C525">
        <v>7.04</v>
      </c>
      <c r="D525">
        <v>6.7</v>
      </c>
      <c r="E525">
        <v>6.2</v>
      </c>
      <c r="F525">
        <v>7.29</v>
      </c>
      <c r="G525">
        <v>6.52</v>
      </c>
      <c r="H525">
        <v>6.57</v>
      </c>
      <c r="I525">
        <v>6.69</v>
      </c>
      <c r="J525">
        <v>7.07</v>
      </c>
      <c r="K525" t="s">
        <v>64</v>
      </c>
      <c r="L525">
        <v>5.83</v>
      </c>
      <c r="M525">
        <v>7.2</v>
      </c>
      <c r="N525">
        <v>6.88</v>
      </c>
      <c r="O525">
        <v>5.51</v>
      </c>
      <c r="P525">
        <v>6.91</v>
      </c>
      <c r="Q525">
        <v>6.98</v>
      </c>
      <c r="R525">
        <v>7.01</v>
      </c>
      <c r="S525">
        <v>6.8</v>
      </c>
      <c r="T525" s="2">
        <f>IF('ROS Rankings'!$AD$1,IFERROR(AVERAGE(INDEX($C525:$S525,14):INDEX($C525:$S525,17)),0),IFERROR(AVERAGE(INDEX($C525:$S525,Week+1):INDEX($C525:$S525,13)),0))</f>
        <v>6.5357142857142865</v>
      </c>
      <c r="U525" s="2" t="str">
        <f t="shared" si="78"/>
        <v/>
      </c>
      <c r="V525" s="2" t="str">
        <f t="shared" si="78"/>
        <v/>
      </c>
      <c r="W525" s="2" t="str">
        <f t="shared" si="78"/>
        <v/>
      </c>
      <c r="X525" s="2" t="str">
        <f t="shared" si="78"/>
        <v/>
      </c>
      <c r="Y525" s="2" t="str">
        <f t="shared" si="78"/>
        <v/>
      </c>
      <c r="Z525" s="2">
        <f t="shared" si="78"/>
        <v>6.5357142857142865</v>
      </c>
      <c r="AA525" s="23" t="str">
        <f t="shared" si="71"/>
        <v>K25</v>
      </c>
      <c r="AB525" s="2">
        <f>$T525-VLOOKUP($B525,Scores!$AG$1:$AM$7,5,FALSE)</f>
        <v>-1.2499999999999991</v>
      </c>
      <c r="AC525" s="2">
        <f>$T525-VLOOKUP($B525,Scores!$AG$1:$AM$7,6,FALSE)</f>
        <v>-0.88571428571428523</v>
      </c>
      <c r="AD525" s="2">
        <f>$T525-VLOOKUP($B525,Scores!$AG$1:$AM$7,7,FALSE)+(ROW(A524)/1000000)</f>
        <v>-0.88519028571428526</v>
      </c>
      <c r="AE525" s="2">
        <f t="array" ref="AE525">IF('ROS Rankings'!$AD$1,IFERROR(AVERAGE(IF(INDEX($C525:$S525,14):INDEX($C525:$S525,17)="NA",0,INDEX($C525:$S525,14):INDEX($C525:$S525,17))-INDEX($AQ$2:$BG$7,MATCH($B525,$AO$2:$AO$7,0),14):INDEX($AQ$2:$BG$7,MATCH($B525,$AO$2:$AO$7,0),17)),0),IFERROR(AVERAGE(IF(INDEX($C525:$S525,Week+1):INDEX($C525:$S525,13)="NA",0,INDEX($C525:$S525,Week+1):INDEX($C525:$S525,13))-INDEX($AQ$2:$BG$7,MATCH($B525,$AO$2:$AO$7,0),Week+1):INDEX($AQ$2:$BG$7,MATCH($B525,$AO$2:$AO$7,0),13)),0))+ROW(A524)/1000000</f>
        <v>-1.6719760000000001</v>
      </c>
      <c r="AF525">
        <f t="shared" si="72"/>
        <v>102</v>
      </c>
      <c r="AG525">
        <f t="shared" si="73"/>
        <v>157</v>
      </c>
      <c r="AH525">
        <f t="shared" si="74"/>
        <v>197</v>
      </c>
      <c r="AI525">
        <f t="shared" si="75"/>
        <v>222</v>
      </c>
      <c r="AJ525" s="22">
        <f>IF(ISERROR(MATCH(A525,Rosters!$B$2:$B$155,0)),AD525,"")</f>
        <v>-0.88519028571428526</v>
      </c>
      <c r="AK525">
        <f t="shared" si="76"/>
        <v>61</v>
      </c>
      <c r="AL525" s="23">
        <f>COUNTIF(INDEX($C525:$S525,Week+1):INDEX($C525:$S525,13),"&gt;0")</f>
        <v>7</v>
      </c>
    </row>
    <row r="526" spans="1:38" x14ac:dyDescent="0.25">
      <c r="A526" t="s">
        <v>4167</v>
      </c>
      <c r="B526" t="s">
        <v>478</v>
      </c>
      <c r="C526">
        <v>6.69</v>
      </c>
      <c r="D526">
        <v>6.62</v>
      </c>
      <c r="E526">
        <v>7.01</v>
      </c>
      <c r="F526">
        <v>6.38</v>
      </c>
      <c r="G526">
        <v>6.09</v>
      </c>
      <c r="H526">
        <v>6.2</v>
      </c>
      <c r="I526">
        <v>7.03</v>
      </c>
      <c r="J526">
        <v>7.19</v>
      </c>
      <c r="K526">
        <v>6.44</v>
      </c>
      <c r="L526">
        <v>6.56</v>
      </c>
      <c r="M526" t="s">
        <v>64</v>
      </c>
      <c r="N526">
        <v>6.7</v>
      </c>
      <c r="O526">
        <v>6.61</v>
      </c>
      <c r="P526">
        <v>6.93</v>
      </c>
      <c r="Q526">
        <v>6.59</v>
      </c>
      <c r="R526">
        <v>5.86</v>
      </c>
      <c r="S526">
        <v>6.27</v>
      </c>
      <c r="T526" s="2">
        <f>IF('ROS Rankings'!$AD$1,IFERROR(AVERAGE(INDEX($C526:$S526,14):INDEX($C526:$S526,17)),0),IFERROR(AVERAGE(INDEX($C526:$S526,Week+1):INDEX($C526:$S526,13)),0))</f>
        <v>6.6757142857142862</v>
      </c>
      <c r="U526" s="2" t="str">
        <f t="shared" si="78"/>
        <v/>
      </c>
      <c r="V526" s="2" t="str">
        <f t="shared" si="78"/>
        <v/>
      </c>
      <c r="W526" s="2" t="str">
        <f t="shared" si="78"/>
        <v/>
      </c>
      <c r="X526" s="2" t="str">
        <f t="shared" si="78"/>
        <v/>
      </c>
      <c r="Y526" s="2" t="str">
        <f t="shared" si="78"/>
        <v/>
      </c>
      <c r="Z526" s="2">
        <f t="shared" si="78"/>
        <v>6.6757142857142862</v>
      </c>
      <c r="AA526" s="23" t="str">
        <f t="shared" si="71"/>
        <v>K21</v>
      </c>
      <c r="AB526" s="2">
        <f>$T526-VLOOKUP($B526,Scores!$AG$1:$AM$7,5,FALSE)</f>
        <v>-1.1099999999999994</v>
      </c>
      <c r="AC526" s="2">
        <f>$T526-VLOOKUP($B526,Scores!$AG$1:$AM$7,6,FALSE)</f>
        <v>-0.74571428571428555</v>
      </c>
      <c r="AD526" s="2">
        <f>$T526-VLOOKUP($B526,Scores!$AG$1:$AM$7,7,FALSE)+(ROW(A525)/1000000)</f>
        <v>-0.74518928571428555</v>
      </c>
      <c r="AE526" s="2">
        <f t="array" ref="AE526">IF('ROS Rankings'!$AD$1,IFERROR(AVERAGE(IF(INDEX($C526:$S526,14):INDEX($C526:$S526,17)="NA",0,INDEX($C526:$S526,14):INDEX($C526:$S526,17))-INDEX($AQ$2:$BG$7,MATCH($B526,$AO$2:$AO$7,0),14):INDEX($AQ$2:$BG$7,MATCH($B526,$AO$2:$AO$7,0),17)),0),IFERROR(AVERAGE(IF(INDEX($C526:$S526,Week+1):INDEX($C526:$S526,13)="NA",0,INDEX($C526:$S526,Week+1):INDEX($C526:$S526,13))-INDEX($AQ$2:$BG$7,MATCH($B526,$AO$2:$AO$7,0),Week+1):INDEX($AQ$2:$BG$7,MATCH($B526,$AO$2:$AO$7,0),13)),0))+ROW(A525)/1000000</f>
        <v>-1.5494749999999997</v>
      </c>
      <c r="AF526">
        <f t="shared" si="72"/>
        <v>95</v>
      </c>
      <c r="AG526">
        <f t="shared" si="73"/>
        <v>147</v>
      </c>
      <c r="AH526">
        <f t="shared" si="74"/>
        <v>188</v>
      </c>
      <c r="AI526">
        <f t="shared" si="75"/>
        <v>214</v>
      </c>
      <c r="AJ526" s="22">
        <f>IF(ISERROR(MATCH(A526,Rosters!$B$2:$B$155,0)),AD526,"")</f>
        <v>-0.74518928571428555</v>
      </c>
      <c r="AK526">
        <f t="shared" si="76"/>
        <v>55</v>
      </c>
      <c r="AL526" s="23">
        <f>COUNTIF(INDEX($C526:$S526,Week+1):INDEX($C526:$S526,13),"&gt;0")</f>
        <v>7</v>
      </c>
    </row>
    <row r="527" spans="1:38" x14ac:dyDescent="0.25">
      <c r="A527" t="s">
        <v>463</v>
      </c>
      <c r="B527" t="s">
        <v>478</v>
      </c>
      <c r="C527">
        <v>7.09</v>
      </c>
      <c r="D527">
        <v>5.88</v>
      </c>
      <c r="E527">
        <v>6.57</v>
      </c>
      <c r="F527">
        <v>6.68</v>
      </c>
      <c r="G527">
        <v>5.29</v>
      </c>
      <c r="H527">
        <v>5.58</v>
      </c>
      <c r="I527">
        <v>5.53</v>
      </c>
      <c r="J527">
        <v>6.76</v>
      </c>
      <c r="K527" t="s">
        <v>64</v>
      </c>
      <c r="L527">
        <v>6.23</v>
      </c>
      <c r="M527">
        <v>7.11</v>
      </c>
      <c r="N527">
        <v>5.43</v>
      </c>
      <c r="O527">
        <v>6.45</v>
      </c>
      <c r="P527">
        <v>6.65</v>
      </c>
      <c r="Q527">
        <v>6.04</v>
      </c>
      <c r="R527">
        <v>5.16</v>
      </c>
      <c r="S527">
        <v>4.79</v>
      </c>
      <c r="T527" s="2">
        <f>IF('ROS Rankings'!$AD$1,IFERROR(AVERAGE(INDEX($C527:$S527,14):INDEX($C527:$S527,17)),0),IFERROR(AVERAGE(INDEX($C527:$S527,Week+1):INDEX($C527:$S527,13)),0))</f>
        <v>6.1557142857142866</v>
      </c>
      <c r="U527" s="2" t="str">
        <f t="shared" si="78"/>
        <v/>
      </c>
      <c r="V527" s="2" t="str">
        <f t="shared" si="78"/>
        <v/>
      </c>
      <c r="W527" s="2" t="str">
        <f t="shared" si="78"/>
        <v/>
      </c>
      <c r="X527" s="2" t="str">
        <f t="shared" si="78"/>
        <v/>
      </c>
      <c r="Y527" s="2" t="str">
        <f t="shared" si="78"/>
        <v/>
      </c>
      <c r="Z527" s="2">
        <f t="shared" si="78"/>
        <v>6.1557142857142866</v>
      </c>
      <c r="AA527" s="23" t="str">
        <f t="shared" si="71"/>
        <v>K27</v>
      </c>
      <c r="AB527" s="2">
        <f>$T527-VLOOKUP($B527,Scores!$AG$1:$AM$7,5,FALSE)</f>
        <v>-1.629999999999999</v>
      </c>
      <c r="AC527" s="2">
        <f>$T527-VLOOKUP($B527,Scores!$AG$1:$AM$7,6,FALSE)</f>
        <v>-1.2657142857142851</v>
      </c>
      <c r="AD527" s="2">
        <f>$T527-VLOOKUP($B527,Scores!$AG$1:$AM$7,7,FALSE)+(ROW(A526)/1000000)</f>
        <v>-1.2651882857142851</v>
      </c>
      <c r="AE527" s="2">
        <f t="array" ref="AE527">IF('ROS Rankings'!$AD$1,IFERROR(AVERAGE(IF(INDEX($C527:$S527,14):INDEX($C527:$S527,17)="NA",0,INDEX($C527:$S527,14):INDEX($C527:$S527,17))-INDEX($AQ$2:$BG$7,MATCH($B527,$AO$2:$AO$7,0),14):INDEX($AQ$2:$BG$7,MATCH($B527,$AO$2:$AO$7,0),17)),0),IFERROR(AVERAGE(IF(INDEX($C527:$S527,Week+1):INDEX($C527:$S527,13)="NA",0,INDEX($C527:$S527,Week+1):INDEX($C527:$S527,13))-INDEX($AQ$2:$BG$7,MATCH($B527,$AO$2:$AO$7,0),Week+1):INDEX($AQ$2:$BG$7,MATCH($B527,$AO$2:$AO$7,0),13)),0))+ROW(A526)/1000000</f>
        <v>-2.0044740000000001</v>
      </c>
      <c r="AF527">
        <f t="shared" si="72"/>
        <v>116</v>
      </c>
      <c r="AG527">
        <f t="shared" si="73"/>
        <v>170</v>
      </c>
      <c r="AH527">
        <f t="shared" si="74"/>
        <v>211</v>
      </c>
      <c r="AI527">
        <f t="shared" si="75"/>
        <v>237</v>
      </c>
      <c r="AJ527" s="22">
        <f>IF(ISERROR(MATCH(A527,Rosters!$B$2:$B$155,0)),AD527,"")</f>
        <v>-1.2651882857142851</v>
      </c>
      <c r="AK527">
        <f t="shared" si="76"/>
        <v>72</v>
      </c>
      <c r="AL527" s="23">
        <f>COUNTIF(INDEX($C527:$S527,Week+1):INDEX($C527:$S527,13),"&gt;0")</f>
        <v>7</v>
      </c>
    </row>
    <row r="528" spans="1:38" x14ac:dyDescent="0.25">
      <c r="A528" t="s">
        <v>461</v>
      </c>
      <c r="B528" t="s">
        <v>478</v>
      </c>
      <c r="C528">
        <v>5.21</v>
      </c>
      <c r="D528">
        <v>5.66</v>
      </c>
      <c r="E528">
        <v>5.14</v>
      </c>
      <c r="F528">
        <v>6.2</v>
      </c>
      <c r="G528">
        <v>6.07</v>
      </c>
      <c r="H528">
        <v>5.49</v>
      </c>
      <c r="I528">
        <v>5.78</v>
      </c>
      <c r="J528">
        <v>5.57</v>
      </c>
      <c r="K528" t="s">
        <v>64</v>
      </c>
      <c r="L528">
        <v>6.01</v>
      </c>
      <c r="M528">
        <v>6.69</v>
      </c>
      <c r="N528">
        <v>5.19</v>
      </c>
      <c r="O528">
        <v>5.41</v>
      </c>
      <c r="P528">
        <v>5.29</v>
      </c>
      <c r="Q528">
        <v>6.84</v>
      </c>
      <c r="R528">
        <v>6.27</v>
      </c>
      <c r="S528">
        <v>6.31</v>
      </c>
      <c r="T528" s="2">
        <f>IF('ROS Rankings'!$AD$1,IFERROR(AVERAGE(INDEX($C528:$S528,14):INDEX($C528:$S528,17)),0),IFERROR(AVERAGE(INDEX($C528:$S528,Week+1):INDEX($C528:$S528,13)),0))</f>
        <v>5.734285714285714</v>
      </c>
      <c r="U528" s="2" t="str">
        <f t="shared" si="78"/>
        <v/>
      </c>
      <c r="V528" s="2" t="str">
        <f t="shared" si="78"/>
        <v/>
      </c>
      <c r="W528" s="2" t="str">
        <f t="shared" si="78"/>
        <v/>
      </c>
      <c r="X528" s="2" t="str">
        <f t="shared" si="78"/>
        <v/>
      </c>
      <c r="Y528" s="2" t="str">
        <f t="shared" si="78"/>
        <v/>
      </c>
      <c r="Z528" s="2">
        <f t="shared" si="78"/>
        <v>5.734285714285714</v>
      </c>
      <c r="AA528" s="23" t="str">
        <f t="shared" si="71"/>
        <v>K30</v>
      </c>
      <c r="AB528" s="2">
        <f>$T528-VLOOKUP($B528,Scores!$AG$1:$AM$7,5,FALSE)</f>
        <v>-2.0514285714285716</v>
      </c>
      <c r="AC528" s="2">
        <f>$T528-VLOOKUP($B528,Scores!$AG$1:$AM$7,6,FALSE)</f>
        <v>-1.6871428571428577</v>
      </c>
      <c r="AD528" s="2">
        <f>$T528-VLOOKUP($B528,Scores!$AG$1:$AM$7,7,FALSE)+(ROW(A527)/1000000)</f>
        <v>-1.6866158571428578</v>
      </c>
      <c r="AE528" s="2">
        <f t="array" ref="AE528">IF('ROS Rankings'!$AD$1,IFERROR(AVERAGE(IF(INDEX($C528:$S528,14):INDEX($C528:$S528,17)="NA",0,INDEX($C528:$S528,14):INDEX($C528:$S528,17))-INDEX($AQ$2:$BG$7,MATCH($B528,$AO$2:$AO$7,0),14):INDEX($AQ$2:$BG$7,MATCH($B528,$AO$2:$AO$7,0),17)),0),IFERROR(AVERAGE(IF(INDEX($C528:$S528,Week+1):INDEX($C528:$S528,13)="NA",0,INDEX($C528:$S528,Week+1):INDEX($C528:$S528,13))-INDEX($AQ$2:$BG$7,MATCH($B528,$AO$2:$AO$7,0),Week+1):INDEX($AQ$2:$BG$7,MATCH($B528,$AO$2:$AO$7,0),13)),0))+ROW(A527)/1000000</f>
        <v>-2.3732229999999999</v>
      </c>
      <c r="AF528">
        <f t="shared" si="72"/>
        <v>137</v>
      </c>
      <c r="AG528">
        <f t="shared" si="73"/>
        <v>187</v>
      </c>
      <c r="AH528">
        <f t="shared" si="74"/>
        <v>232</v>
      </c>
      <c r="AI528">
        <f t="shared" si="75"/>
        <v>260</v>
      </c>
      <c r="AJ528" s="22">
        <f>IF(ISERROR(MATCH(A528,Rosters!$B$2:$B$155,0)),AD528,"")</f>
        <v>-1.6866158571428578</v>
      </c>
      <c r="AK528">
        <f t="shared" si="76"/>
        <v>89</v>
      </c>
      <c r="AL528" s="23">
        <f>COUNTIF(INDEX($C528:$S528,Week+1):INDEX($C528:$S528,13),"&gt;0")</f>
        <v>7</v>
      </c>
    </row>
    <row r="529" spans="1:38" x14ac:dyDescent="0.25">
      <c r="A529" t="s">
        <v>4169</v>
      </c>
      <c r="B529" t="s">
        <v>478</v>
      </c>
      <c r="C529" t="s">
        <v>64</v>
      </c>
      <c r="D529" t="s">
        <v>64</v>
      </c>
      <c r="E529">
        <v>6.16</v>
      </c>
      <c r="F529">
        <v>6.4</v>
      </c>
      <c r="G529">
        <v>5.68</v>
      </c>
      <c r="H529">
        <v>6.55</v>
      </c>
      <c r="I529">
        <v>5.49</v>
      </c>
      <c r="J529">
        <v>5.82</v>
      </c>
      <c r="K529">
        <v>5.89</v>
      </c>
      <c r="L529">
        <v>5.69</v>
      </c>
      <c r="M529" t="s">
        <v>64</v>
      </c>
      <c r="N529">
        <v>5.1100000000000003</v>
      </c>
      <c r="O529">
        <v>5.44</v>
      </c>
      <c r="P529">
        <v>6.09</v>
      </c>
      <c r="Q529">
        <v>6.29</v>
      </c>
      <c r="R529">
        <v>5.43</v>
      </c>
      <c r="S529">
        <v>5.33</v>
      </c>
      <c r="T529" s="2">
        <f>IF('ROS Rankings'!$AD$1,IFERROR(AVERAGE(INDEX($C529:$S529,14):INDEX($C529:$S529,17)),0),IFERROR(AVERAGE(INDEX($C529:$S529,Week+1):INDEX($C529:$S529,13)),0))</f>
        <v>5.7128571428571435</v>
      </c>
      <c r="U529" s="2" t="str">
        <f t="shared" si="78"/>
        <v/>
      </c>
      <c r="V529" s="2" t="str">
        <f t="shared" si="78"/>
        <v/>
      </c>
      <c r="W529" s="2" t="str">
        <f t="shared" si="78"/>
        <v/>
      </c>
      <c r="X529" s="2" t="str">
        <f t="shared" si="78"/>
        <v/>
      </c>
      <c r="Y529" s="2" t="str">
        <f t="shared" si="78"/>
        <v/>
      </c>
      <c r="Z529" s="2">
        <f t="shared" si="78"/>
        <v>5.7128571428571435</v>
      </c>
      <c r="AA529" s="23" t="str">
        <f t="shared" si="71"/>
        <v>K32</v>
      </c>
      <c r="AB529" s="2">
        <f>$T529-VLOOKUP($B529,Scores!$AG$1:$AM$7,5,FALSE)</f>
        <v>-2.0728571428571421</v>
      </c>
      <c r="AC529" s="2">
        <f>$T529-VLOOKUP($B529,Scores!$AG$1:$AM$7,6,FALSE)</f>
        <v>-1.7085714285714282</v>
      </c>
      <c r="AD529" s="2">
        <f>$T529-VLOOKUP($B529,Scores!$AG$1:$AM$7,7,FALSE)+(ROW(A528)/1000000)</f>
        <v>-1.7080434285714281</v>
      </c>
      <c r="AE529" s="2">
        <f t="array" ref="AE529">IF('ROS Rankings'!$AD$1,IFERROR(AVERAGE(IF(INDEX($C529:$S529,14):INDEX($C529:$S529,17)="NA",0,INDEX($C529:$S529,14):INDEX($C529:$S529,17))-INDEX($AQ$2:$BG$7,MATCH($B529,$AO$2:$AO$7,0),14):INDEX($AQ$2:$BG$7,MATCH($B529,$AO$2:$AO$7,0),17)),0),IFERROR(AVERAGE(IF(INDEX($C529:$S529,Week+1):INDEX($C529:$S529,13)="NA",0,INDEX($C529:$S529,Week+1):INDEX($C529:$S529,13))-INDEX($AQ$2:$BG$7,MATCH($B529,$AO$2:$AO$7,0),Week+1):INDEX($AQ$2:$BG$7,MATCH($B529,$AO$2:$AO$7,0),13)),0))+ROW(A528)/1000000</f>
        <v>-2.3919719999999995</v>
      </c>
      <c r="AF529">
        <f t="shared" si="72"/>
        <v>139</v>
      </c>
      <c r="AG529">
        <f t="shared" si="73"/>
        <v>189</v>
      </c>
      <c r="AH529">
        <f t="shared" si="74"/>
        <v>234</v>
      </c>
      <c r="AI529">
        <f t="shared" si="75"/>
        <v>263</v>
      </c>
      <c r="AJ529" s="22">
        <f>IF(ISERROR(MATCH(A529,Rosters!$B$2:$B$155,0)),AD529,"")</f>
        <v>-1.7080434285714281</v>
      </c>
      <c r="AK529">
        <f t="shared" si="76"/>
        <v>91</v>
      </c>
      <c r="AL529" s="23">
        <f>COUNTIF(INDEX($C529:$S529,Week+1):INDEX($C529:$S529,13),"&gt;0")</f>
        <v>7</v>
      </c>
    </row>
    <row r="530" spans="1:38" x14ac:dyDescent="0.25">
      <c r="A530" t="s">
        <v>411</v>
      </c>
      <c r="B530" t="s">
        <v>770</v>
      </c>
      <c r="C530">
        <v>10.85</v>
      </c>
      <c r="D530">
        <v>7</v>
      </c>
      <c r="E530">
        <v>7.03</v>
      </c>
      <c r="F530">
        <v>6.31</v>
      </c>
      <c r="G530">
        <v>10.18</v>
      </c>
      <c r="H530">
        <v>8.4600000000000009</v>
      </c>
      <c r="I530">
        <v>5.42</v>
      </c>
      <c r="J530">
        <v>6.5</v>
      </c>
      <c r="K530">
        <v>5.9</v>
      </c>
      <c r="L530" t="s">
        <v>64</v>
      </c>
      <c r="M530">
        <v>7.24</v>
      </c>
      <c r="N530">
        <v>6.48</v>
      </c>
      <c r="O530">
        <v>4.8499999999999996</v>
      </c>
      <c r="P530">
        <v>4.66</v>
      </c>
      <c r="Q530">
        <v>6.54</v>
      </c>
      <c r="R530">
        <v>5.39</v>
      </c>
      <c r="S530">
        <v>15.72</v>
      </c>
      <c r="T530" s="2">
        <f>IF('ROS Rankings'!$AD$1,IFERROR(AVERAGE(INDEX($C530:$S530,14):INDEX($C530:$S530,17)),0),IFERROR(AVERAGE(INDEX($C530:$S530,Week+1):INDEX($C530:$S530,13)),0))</f>
        <v>6.4071428571428575</v>
      </c>
      <c r="U530" s="2" t="str">
        <f t="shared" si="78"/>
        <v/>
      </c>
      <c r="V530" s="2" t="str">
        <f t="shared" si="78"/>
        <v/>
      </c>
      <c r="W530" s="2" t="str">
        <f t="shared" si="78"/>
        <v/>
      </c>
      <c r="X530" s="2" t="str">
        <f t="shared" si="78"/>
        <v/>
      </c>
      <c r="Y530" s="2">
        <f t="shared" si="78"/>
        <v>6.4071428571428575</v>
      </c>
      <c r="Z530" s="2" t="str">
        <f t="shared" si="78"/>
        <v/>
      </c>
      <c r="AA530" s="23" t="str">
        <f t="shared" si="71"/>
        <v>D8</v>
      </c>
      <c r="AB530" s="2">
        <f>$T530-VLOOKUP($B530,Scores!$AG$1:$AM$7,5,FALSE)</f>
        <v>-0.41285714285714281</v>
      </c>
      <c r="AC530" s="2">
        <f>$T530-VLOOKUP($B530,Scores!$AG$1:$AM$7,6,FALSE)</f>
        <v>0.11464285714285705</v>
      </c>
      <c r="AD530" s="2">
        <f>$T530-VLOOKUP($B530,Scores!$AG$1:$AM$7,7,FALSE)+(ROW(A529)/1000000)</f>
        <v>0.2333861428571431</v>
      </c>
      <c r="AE530" s="2">
        <f t="array" ref="AE530">IF('ROS Rankings'!$AD$1,IFERROR(AVERAGE(IF(INDEX($C530:$S530,14):INDEX($C530:$S530,17)="NA",0,INDEX($C530:$S530,14):INDEX($C530:$S530,17))-INDEX($AQ$2:$BG$7,MATCH($B530,$AO$2:$AO$7,0),14):INDEX($AQ$2:$BG$7,MATCH($B530,$AO$2:$AO$7,0),17)),0),IFERROR(AVERAGE(IF(INDEX($C530:$S530,Week+1):INDEX($C530:$S530,13)="NA",0,INDEX($C530:$S530,Week+1):INDEX($C530:$S530,13))-INDEX($AQ$2:$BG$7,MATCH($B530,$AO$2:$AO$7,0),Week+1):INDEX($AQ$2:$BG$7,MATCH($B530,$AO$2:$AO$7,0),13)),0))+ROW(A529)/1000000</f>
        <v>-0.90697099999999997</v>
      </c>
      <c r="AF530">
        <f t="shared" si="72"/>
        <v>63</v>
      </c>
      <c r="AG530">
        <f t="shared" si="73"/>
        <v>88</v>
      </c>
      <c r="AH530">
        <f t="shared" si="74"/>
        <v>129</v>
      </c>
      <c r="AI530">
        <f t="shared" si="75"/>
        <v>167</v>
      </c>
      <c r="AJ530" s="22" t="str">
        <f>IF(ISERROR(MATCH(A530,Rosters!$B$2:$B$155,0)),AD530,"")</f>
        <v/>
      </c>
      <c r="AK530" t="str">
        <f t="shared" si="76"/>
        <v/>
      </c>
      <c r="AL530" s="23">
        <f>COUNTIF(INDEX($C530:$S530,Week+1):INDEX($C530:$S530,13),"&gt;0")</f>
        <v>7</v>
      </c>
    </row>
    <row r="531" spans="1:38" x14ac:dyDescent="0.25">
      <c r="A531" t="s">
        <v>419</v>
      </c>
      <c r="B531" t="s">
        <v>770</v>
      </c>
      <c r="C531">
        <v>10.38</v>
      </c>
      <c r="D531">
        <v>4.58</v>
      </c>
      <c r="E531">
        <v>8.57</v>
      </c>
      <c r="F531">
        <v>8.14</v>
      </c>
      <c r="G531">
        <v>5.5</v>
      </c>
      <c r="H531">
        <v>7.15</v>
      </c>
      <c r="I531">
        <v>7.12</v>
      </c>
      <c r="J531">
        <v>6.56</v>
      </c>
      <c r="K531" t="s">
        <v>64</v>
      </c>
      <c r="L531">
        <v>8.56</v>
      </c>
      <c r="M531">
        <v>6.68</v>
      </c>
      <c r="N531">
        <v>13.86</v>
      </c>
      <c r="O531">
        <v>8.56</v>
      </c>
      <c r="P531">
        <v>8.14</v>
      </c>
      <c r="Q531">
        <v>6.92</v>
      </c>
      <c r="R531">
        <v>8.6999999999999993</v>
      </c>
      <c r="S531">
        <v>7.12</v>
      </c>
      <c r="T531" s="2">
        <f>IF('ROS Rankings'!$AD$1,IFERROR(AVERAGE(INDEX($C531:$S531,14):INDEX($C531:$S531,17)),0),IFERROR(AVERAGE(INDEX($C531:$S531,Week+1):INDEX($C531:$S531,13)),0))</f>
        <v>8.3557142857142868</v>
      </c>
      <c r="U531" s="2" t="str">
        <f t="shared" si="78"/>
        <v/>
      </c>
      <c r="V531" s="2" t="str">
        <f t="shared" si="78"/>
        <v/>
      </c>
      <c r="W531" s="2" t="str">
        <f t="shared" si="78"/>
        <v/>
      </c>
      <c r="X531" s="2" t="str">
        <f t="shared" si="78"/>
        <v/>
      </c>
      <c r="Y531" s="2">
        <f t="shared" si="78"/>
        <v>8.3557142857142868</v>
      </c>
      <c r="Z531" s="2" t="str">
        <f t="shared" si="78"/>
        <v/>
      </c>
      <c r="AA531" s="23" t="str">
        <f t="shared" si="71"/>
        <v>D1</v>
      </c>
      <c r="AB531" s="2">
        <f>$T531-VLOOKUP($B531,Scores!$AG$1:$AM$7,5,FALSE)</f>
        <v>1.5357142857142865</v>
      </c>
      <c r="AC531" s="2">
        <f>$T531-VLOOKUP($B531,Scores!$AG$1:$AM$7,6,FALSE)</f>
        <v>2.0632142857142863</v>
      </c>
      <c r="AD531" s="2">
        <f>$T531-VLOOKUP($B531,Scores!$AG$1:$AM$7,7,FALSE)+(ROW(A530)/1000000)</f>
        <v>2.1819585714285723</v>
      </c>
      <c r="AE531" s="2">
        <f t="array" ref="AE531">IF('ROS Rankings'!$AD$1,IFERROR(AVERAGE(IF(INDEX($C531:$S531,14):INDEX($C531:$S531,17)="NA",0,INDEX($C531:$S531,14):INDEX($C531:$S531,17))-INDEX($AQ$2:$BG$7,MATCH($B531,$AO$2:$AO$7,0),14):INDEX($AQ$2:$BG$7,MATCH($B531,$AO$2:$AO$7,0),17)),0),IFERROR(AVERAGE(IF(INDEX($C531:$S531,Week+1):INDEX($C531:$S531,13)="NA",0,INDEX($C531:$S531,Week+1):INDEX($C531:$S531,13))-INDEX($AQ$2:$BG$7,MATCH($B531,$AO$2:$AO$7,0),Week+1):INDEX($AQ$2:$BG$7,MATCH($B531,$AO$2:$AO$7,0),13)),0))+ROW(A530)/1000000</f>
        <v>0.79802999999999991</v>
      </c>
      <c r="AF531">
        <f t="shared" si="72"/>
        <v>20</v>
      </c>
      <c r="AG531">
        <f t="shared" si="73"/>
        <v>41</v>
      </c>
      <c r="AH531">
        <f t="shared" si="74"/>
        <v>66</v>
      </c>
      <c r="AI531">
        <f t="shared" si="75"/>
        <v>92</v>
      </c>
      <c r="AJ531" s="22" t="str">
        <f>IF(ISERROR(MATCH(A531,Rosters!$B$2:$B$155,0)),AD531,"")</f>
        <v/>
      </c>
      <c r="AK531" t="str">
        <f t="shared" si="76"/>
        <v/>
      </c>
      <c r="AL531" s="23">
        <f>COUNTIF(INDEX($C531:$S531,Week+1):INDEX($C531:$S531,13),"&gt;0")</f>
        <v>7</v>
      </c>
    </row>
    <row r="532" spans="1:38" x14ac:dyDescent="0.25">
      <c r="A532" t="s">
        <v>406</v>
      </c>
      <c r="B532" t="s">
        <v>770</v>
      </c>
      <c r="C532">
        <v>9.58</v>
      </c>
      <c r="D532">
        <v>8.15</v>
      </c>
      <c r="E532">
        <v>12.54</v>
      </c>
      <c r="F532">
        <v>4.68</v>
      </c>
      <c r="G532">
        <v>5.9</v>
      </c>
      <c r="H532">
        <v>8</v>
      </c>
      <c r="I532">
        <v>5.98</v>
      </c>
      <c r="J532">
        <v>2.9</v>
      </c>
      <c r="K532">
        <v>6.72</v>
      </c>
      <c r="L532" t="s">
        <v>64</v>
      </c>
      <c r="M532">
        <v>5.46</v>
      </c>
      <c r="N532">
        <v>6.99</v>
      </c>
      <c r="O532">
        <v>2.86</v>
      </c>
      <c r="P532">
        <v>6.54</v>
      </c>
      <c r="Q532">
        <v>7.46</v>
      </c>
      <c r="R532">
        <v>6.72</v>
      </c>
      <c r="S532">
        <v>5.46</v>
      </c>
      <c r="T532" s="2">
        <f>IF('ROS Rankings'!$AD$1,IFERROR(AVERAGE(INDEX($C532:$S532,14):INDEX($C532:$S532,17)),0),IFERROR(AVERAGE(INDEX($C532:$S532,Week+1):INDEX($C532:$S532,13)),0))</f>
        <v>5.5585714285714278</v>
      </c>
      <c r="U532" s="2" t="str">
        <f t="shared" si="78"/>
        <v/>
      </c>
      <c r="V532" s="2" t="str">
        <f t="shared" si="78"/>
        <v/>
      </c>
      <c r="W532" s="2" t="str">
        <f t="shared" si="78"/>
        <v/>
      </c>
      <c r="X532" s="2" t="str">
        <f t="shared" si="78"/>
        <v/>
      </c>
      <c r="Y532" s="2">
        <f t="shared" si="78"/>
        <v>5.5585714285714278</v>
      </c>
      <c r="Z532" s="2" t="str">
        <f t="shared" si="78"/>
        <v/>
      </c>
      <c r="AA532" s="23" t="str">
        <f t="shared" si="71"/>
        <v>D19</v>
      </c>
      <c r="AB532" s="2">
        <f>$T532-VLOOKUP($B532,Scores!$AG$1:$AM$7,5,FALSE)</f>
        <v>-1.2614285714285725</v>
      </c>
      <c r="AC532" s="2">
        <f>$T532-VLOOKUP($B532,Scores!$AG$1:$AM$7,6,FALSE)</f>
        <v>-0.7339285714285726</v>
      </c>
      <c r="AD532" s="2">
        <f>$T532-VLOOKUP($B532,Scores!$AG$1:$AM$7,7,FALSE)+(ROW(A531)/1000000)</f>
        <v>-0.6151832857142866</v>
      </c>
      <c r="AE532" s="2">
        <f t="array" ref="AE532">IF('ROS Rankings'!$AD$1,IFERROR(AVERAGE(IF(INDEX($C532:$S532,14):INDEX($C532:$S532,17)="NA",0,INDEX($C532:$S532,14):INDEX($C532:$S532,17))-INDEX($AQ$2:$BG$7,MATCH($B532,$AO$2:$AO$7,0),14):INDEX($AQ$2:$BG$7,MATCH($B532,$AO$2:$AO$7,0),17)),0),IFERROR(AVERAGE(IF(INDEX($C532:$S532,Week+1):INDEX($C532:$S532,13)="NA",0,INDEX($C532:$S532,Week+1):INDEX($C532:$S532,13))-INDEX($AQ$2:$BG$7,MATCH($B532,$AO$2:$AO$7,0),Week+1):INDEX($AQ$2:$BG$7,MATCH($B532,$AO$2:$AO$7,0),13)),0))+ROW(A531)/1000000</f>
        <v>-1.6494690000000001</v>
      </c>
      <c r="AF532">
        <f t="shared" si="72"/>
        <v>104</v>
      </c>
      <c r="AG532">
        <f t="shared" si="73"/>
        <v>146</v>
      </c>
      <c r="AH532">
        <f t="shared" si="74"/>
        <v>181</v>
      </c>
      <c r="AI532">
        <f t="shared" si="75"/>
        <v>221</v>
      </c>
      <c r="AJ532" s="22" t="str">
        <f>IF(ISERROR(MATCH(A532,Rosters!$B$2:$B$155,0)),AD532,"")</f>
        <v/>
      </c>
      <c r="AK532" t="str">
        <f t="shared" si="76"/>
        <v/>
      </c>
      <c r="AL532" s="23">
        <f>COUNTIF(INDEX($C532:$S532,Week+1):INDEX($C532:$S532,13),"&gt;0")</f>
        <v>7</v>
      </c>
    </row>
    <row r="533" spans="1:38" x14ac:dyDescent="0.25">
      <c r="A533" t="s">
        <v>420</v>
      </c>
      <c r="B533" t="s">
        <v>770</v>
      </c>
      <c r="C533">
        <v>8.08</v>
      </c>
      <c r="D533">
        <v>11.98</v>
      </c>
      <c r="E533">
        <v>6.96</v>
      </c>
      <c r="F533">
        <v>7.82</v>
      </c>
      <c r="G533">
        <v>7.48</v>
      </c>
      <c r="H533">
        <v>8.2200000000000006</v>
      </c>
      <c r="I533">
        <v>7.66</v>
      </c>
      <c r="J533">
        <v>7.79</v>
      </c>
      <c r="K533">
        <v>4.12</v>
      </c>
      <c r="L533">
        <v>7.26</v>
      </c>
      <c r="M533">
        <v>4.01</v>
      </c>
      <c r="N533" t="s">
        <v>64</v>
      </c>
      <c r="O533">
        <v>8.68</v>
      </c>
      <c r="P533">
        <v>7.26</v>
      </c>
      <c r="Q533">
        <v>7.6</v>
      </c>
      <c r="R533">
        <v>8.75</v>
      </c>
      <c r="S533">
        <v>7.66</v>
      </c>
      <c r="T533" s="2">
        <f>IF('ROS Rankings'!$AD$1,IFERROR(AVERAGE(INDEX($C533:$S533,14):INDEX($C533:$S533,17)),0),IFERROR(AVERAGE(INDEX($C533:$S533,Week+1):INDEX($C533:$S533,13)),0))</f>
        <v>6.82</v>
      </c>
      <c r="U533" s="2" t="str">
        <f t="shared" si="78"/>
        <v/>
      </c>
      <c r="V533" s="2" t="str">
        <f t="shared" si="78"/>
        <v/>
      </c>
      <c r="W533" s="2" t="str">
        <f t="shared" si="78"/>
        <v/>
      </c>
      <c r="X533" s="2" t="str">
        <f t="shared" si="78"/>
        <v/>
      </c>
      <c r="Y533" s="2">
        <f t="shared" si="78"/>
        <v>6.82</v>
      </c>
      <c r="Z533" s="2" t="str">
        <f t="shared" si="78"/>
        <v/>
      </c>
      <c r="AA533" s="23" t="str">
        <f t="shared" si="71"/>
        <v>D5</v>
      </c>
      <c r="AB533" s="2">
        <f>$T533-VLOOKUP($B533,Scores!$AG$1:$AM$7,5,FALSE)</f>
        <v>0</v>
      </c>
      <c r="AC533" s="2">
        <f>$T533-VLOOKUP($B533,Scores!$AG$1:$AM$7,6,FALSE)</f>
        <v>0.52749999999999986</v>
      </c>
      <c r="AD533" s="2">
        <f>$T533-VLOOKUP($B533,Scores!$AG$1:$AM$7,7,FALSE)+(ROW(A532)/1000000)</f>
        <v>0.64624628571428588</v>
      </c>
      <c r="AE533" s="2">
        <f t="array" ref="AE533">IF('ROS Rankings'!$AD$1,IFERROR(AVERAGE(IF(INDEX($C533:$S533,14):INDEX($C533:$S533,17)="NA",0,INDEX($C533:$S533,14):INDEX($C533:$S533,17))-INDEX($AQ$2:$BG$7,MATCH($B533,$AO$2:$AO$7,0),14):INDEX($AQ$2:$BG$7,MATCH($B533,$AO$2:$AO$7,0),17)),0),IFERROR(AVERAGE(IF(INDEX($C533:$S533,Week+1):INDEX($C533:$S533,13)="NA",0,INDEX($C533:$S533,Week+1):INDEX($C533:$S533,13))-INDEX($AQ$2:$BG$7,MATCH($B533,$AO$2:$AO$7,0),Week+1):INDEX($AQ$2:$BG$7,MATCH($B533,$AO$2:$AO$7,0),13)),0))+ROW(A532)/1000000</f>
        <v>-0.54571800000000015</v>
      </c>
      <c r="AF533">
        <f t="shared" si="72"/>
        <v>45</v>
      </c>
      <c r="AG533">
        <f t="shared" si="73"/>
        <v>75</v>
      </c>
      <c r="AH533">
        <f t="shared" si="74"/>
        <v>112</v>
      </c>
      <c r="AI533">
        <f t="shared" si="75"/>
        <v>145</v>
      </c>
      <c r="AJ533" s="22" t="str">
        <f>IF(ISERROR(MATCH(A533,Rosters!$B$2:$B$155,0)),AD533,"")</f>
        <v/>
      </c>
      <c r="AK533" t="str">
        <f t="shared" si="76"/>
        <v/>
      </c>
      <c r="AL533" s="23">
        <f>COUNTIF(INDEX($C533:$S533,Week+1):INDEX($C533:$S533,13),"&gt;0")</f>
        <v>7</v>
      </c>
    </row>
    <row r="534" spans="1:38" x14ac:dyDescent="0.25">
      <c r="A534" t="s">
        <v>414</v>
      </c>
      <c r="B534" t="s">
        <v>770</v>
      </c>
      <c r="C534">
        <v>4.7</v>
      </c>
      <c r="D534">
        <v>7.14</v>
      </c>
      <c r="E534">
        <v>6.85</v>
      </c>
      <c r="F534">
        <v>6.58</v>
      </c>
      <c r="G534">
        <v>6.91</v>
      </c>
      <c r="H534">
        <v>10.7</v>
      </c>
      <c r="I534">
        <v>6.34</v>
      </c>
      <c r="J534">
        <v>6.06</v>
      </c>
      <c r="K534" t="s">
        <v>64</v>
      </c>
      <c r="L534">
        <v>6.22</v>
      </c>
      <c r="M534">
        <v>4.1399999999999997</v>
      </c>
      <c r="N534">
        <v>10.7</v>
      </c>
      <c r="O534">
        <v>7.52</v>
      </c>
      <c r="P534">
        <v>6.22</v>
      </c>
      <c r="Q534">
        <v>3.3</v>
      </c>
      <c r="R534">
        <v>7.62</v>
      </c>
      <c r="S534">
        <v>7.52</v>
      </c>
      <c r="T534" s="2">
        <f>IF('ROS Rankings'!$AD$1,IFERROR(AVERAGE(INDEX($C534:$S534,14):INDEX($C534:$S534,17)),0),IFERROR(AVERAGE(INDEX($C534:$S534,Week+1):INDEX($C534:$S534,13)),0))</f>
        <v>7.3828571428571417</v>
      </c>
      <c r="U534" s="2" t="str">
        <f t="shared" si="78"/>
        <v/>
      </c>
      <c r="V534" s="2" t="str">
        <f t="shared" si="78"/>
        <v/>
      </c>
      <c r="W534" s="2" t="str">
        <f t="shared" si="78"/>
        <v/>
      </c>
      <c r="X534" s="2" t="str">
        <f t="shared" si="78"/>
        <v/>
      </c>
      <c r="Y534" s="2">
        <f t="shared" si="78"/>
        <v>7.3828571428571417</v>
      </c>
      <c r="Z534" s="2" t="str">
        <f t="shared" si="78"/>
        <v/>
      </c>
      <c r="AA534" s="23" t="str">
        <f t="shared" si="71"/>
        <v>D4</v>
      </c>
      <c r="AB534" s="2">
        <f>$T534-VLOOKUP($B534,Scores!$AG$1:$AM$7,5,FALSE)</f>
        <v>0.56285714285714139</v>
      </c>
      <c r="AC534" s="2">
        <f>$T534-VLOOKUP($B534,Scores!$AG$1:$AM$7,6,FALSE)</f>
        <v>1.0903571428571412</v>
      </c>
      <c r="AD534" s="2">
        <f>$T534-VLOOKUP($B534,Scores!$AG$1:$AM$7,7,FALSE)+(ROW(A533)/1000000)</f>
        <v>1.2091044285714272</v>
      </c>
      <c r="AE534" s="2">
        <f t="array" ref="AE534">IF('ROS Rankings'!$AD$1,IFERROR(AVERAGE(IF(INDEX($C534:$S534,14):INDEX($C534:$S534,17)="NA",0,INDEX($C534:$S534,14):INDEX($C534:$S534,17))-INDEX($AQ$2:$BG$7,MATCH($B534,$AO$2:$AO$7,0),14):INDEX($AQ$2:$BG$7,MATCH($B534,$AO$2:$AO$7,0),17)),0),IFERROR(AVERAGE(IF(INDEX($C534:$S534,Week+1):INDEX($C534:$S534,13)="NA",0,INDEX($C534:$S534,Week+1):INDEX($C534:$S534,13))-INDEX($AQ$2:$BG$7,MATCH($B534,$AO$2:$AO$7,0),Week+1):INDEX($AQ$2:$BG$7,MATCH($B534,$AO$2:$AO$7,0),13)),0))+ROW(A533)/1000000</f>
        <v>-5.3217000000000521E-2</v>
      </c>
      <c r="AF534">
        <f t="shared" si="72"/>
        <v>34</v>
      </c>
      <c r="AG534">
        <f t="shared" si="73"/>
        <v>57</v>
      </c>
      <c r="AH534">
        <f t="shared" si="74"/>
        <v>98</v>
      </c>
      <c r="AI534">
        <f t="shared" si="75"/>
        <v>126</v>
      </c>
      <c r="AJ534" s="22" t="str">
        <f>IF(ISERROR(MATCH(A534,Rosters!$B$2:$B$155,0)),AD534,"")</f>
        <v/>
      </c>
      <c r="AK534" t="str">
        <f t="shared" si="76"/>
        <v/>
      </c>
      <c r="AL534" s="23">
        <f>COUNTIF(INDEX($C534:$S534,Week+1):INDEX($C534:$S534,13),"&gt;0")</f>
        <v>7</v>
      </c>
    </row>
    <row r="535" spans="1:38" x14ac:dyDescent="0.25">
      <c r="A535" t="s">
        <v>407</v>
      </c>
      <c r="B535" t="s">
        <v>770</v>
      </c>
      <c r="C535">
        <v>9.3800000000000008</v>
      </c>
      <c r="D535">
        <v>8.9</v>
      </c>
      <c r="E535">
        <v>6.71</v>
      </c>
      <c r="F535">
        <v>7.88</v>
      </c>
      <c r="G535">
        <v>4.96</v>
      </c>
      <c r="H535">
        <v>7.26</v>
      </c>
      <c r="I535" t="s">
        <v>64</v>
      </c>
      <c r="J535">
        <v>7.28</v>
      </c>
      <c r="K535">
        <v>3.44</v>
      </c>
      <c r="L535">
        <v>3.93</v>
      </c>
      <c r="M535">
        <v>8.4499999999999993</v>
      </c>
      <c r="N535">
        <v>4.04</v>
      </c>
      <c r="O535">
        <v>8.82</v>
      </c>
      <c r="P535">
        <v>4.1399999999999997</v>
      </c>
      <c r="Q535">
        <v>8.82</v>
      </c>
      <c r="R535">
        <v>3.82</v>
      </c>
      <c r="S535">
        <v>8.36</v>
      </c>
      <c r="T535" s="2">
        <f>IF('ROS Rankings'!$AD$1,IFERROR(AVERAGE(INDEX($C535:$S535,14):INDEX($C535:$S535,17)),0),IFERROR(AVERAGE(INDEX($C535:$S535,Week+1):INDEX($C535:$S535,13)),0))</f>
        <v>6.1742857142857144</v>
      </c>
      <c r="U535" s="2" t="str">
        <f t="shared" si="78"/>
        <v/>
      </c>
      <c r="V535" s="2" t="str">
        <f t="shared" si="78"/>
        <v/>
      </c>
      <c r="W535" s="2" t="str">
        <f t="shared" si="78"/>
        <v/>
      </c>
      <c r="X535" s="2" t="str">
        <f t="shared" si="78"/>
        <v/>
      </c>
      <c r="Y535" s="2">
        <f t="shared" si="78"/>
        <v>6.1742857142857144</v>
      </c>
      <c r="Z535" s="2" t="str">
        <f t="shared" si="78"/>
        <v/>
      </c>
      <c r="AA535" s="23" t="str">
        <f t="shared" si="71"/>
        <v>D12</v>
      </c>
      <c r="AB535" s="2">
        <f>$T535-VLOOKUP($B535,Scores!$AG$1:$AM$7,5,FALSE)</f>
        <v>-0.64571428571428591</v>
      </c>
      <c r="AC535" s="2">
        <f>$T535-VLOOKUP($B535,Scores!$AG$1:$AM$7,6,FALSE)</f>
        <v>-0.11821428571428605</v>
      </c>
      <c r="AD535" s="2">
        <f>$T535-VLOOKUP($B535,Scores!$AG$1:$AM$7,7,FALSE)+(ROW(A534)/1000000)</f>
        <v>5.3399999999999997E-4</v>
      </c>
      <c r="AE535" s="2">
        <f t="array" ref="AE535">IF('ROS Rankings'!$AD$1,IFERROR(AVERAGE(IF(INDEX($C535:$S535,14):INDEX($C535:$S535,17)="NA",0,INDEX($C535:$S535,14):INDEX($C535:$S535,17))-INDEX($AQ$2:$BG$7,MATCH($B535,$AO$2:$AO$7,0),14):INDEX($AQ$2:$BG$7,MATCH($B535,$AO$2:$AO$7,0),17)),0),IFERROR(AVERAGE(IF(INDEX($C535:$S535,Week+1):INDEX($C535:$S535,13)="NA",0,INDEX($C535:$S535,Week+1):INDEX($C535:$S535,13))-INDEX($AQ$2:$BG$7,MATCH($B535,$AO$2:$AO$7,0),Week+1):INDEX($AQ$2:$BG$7,MATCH($B535,$AO$2:$AO$7,0),13)),0))+ROW(A534)/1000000</f>
        <v>-1.110716</v>
      </c>
      <c r="AF535">
        <f t="shared" si="72"/>
        <v>74</v>
      </c>
      <c r="AG535">
        <f t="shared" si="73"/>
        <v>111</v>
      </c>
      <c r="AH535">
        <f t="shared" si="74"/>
        <v>145</v>
      </c>
      <c r="AI535">
        <f t="shared" si="75"/>
        <v>175</v>
      </c>
      <c r="AJ535" s="22">
        <f>IF(ISERROR(MATCH(A535,Rosters!$B$2:$B$155,0)),AD535,"")</f>
        <v>5.3399999999999997E-4</v>
      </c>
      <c r="AK535">
        <f t="shared" si="76"/>
        <v>21</v>
      </c>
      <c r="AL535" s="23">
        <f>COUNTIF(INDEX($C535:$S535,Week+1):INDEX($C535:$S535,13),"&gt;0")</f>
        <v>7</v>
      </c>
    </row>
    <row r="536" spans="1:38" x14ac:dyDescent="0.25">
      <c r="A536" t="s">
        <v>429</v>
      </c>
      <c r="B536" t="s">
        <v>770</v>
      </c>
      <c r="C536">
        <v>9.0299999999999994</v>
      </c>
      <c r="D536">
        <v>8.24</v>
      </c>
      <c r="E536">
        <v>6</v>
      </c>
      <c r="F536" t="s">
        <v>64</v>
      </c>
      <c r="G536">
        <v>5.13</v>
      </c>
      <c r="H536">
        <v>5.84</v>
      </c>
      <c r="I536">
        <v>6.96</v>
      </c>
      <c r="J536">
        <v>9.32</v>
      </c>
      <c r="K536">
        <v>2.94</v>
      </c>
      <c r="L536">
        <v>4.4400000000000004</v>
      </c>
      <c r="M536">
        <v>5.94</v>
      </c>
      <c r="N536">
        <v>6.96</v>
      </c>
      <c r="O536">
        <v>7.94</v>
      </c>
      <c r="P536">
        <v>9.32</v>
      </c>
      <c r="Q536">
        <v>3.96</v>
      </c>
      <c r="R536">
        <v>7.46</v>
      </c>
      <c r="S536">
        <v>7.94</v>
      </c>
      <c r="T536" s="2">
        <f>IF('ROS Rankings'!$AD$1,IFERROR(AVERAGE(INDEX($C536:$S536,14):INDEX($C536:$S536,17)),0),IFERROR(AVERAGE(INDEX($C536:$S536,Week+1):INDEX($C536:$S536,13)),0))</f>
        <v>6.2925000000000004</v>
      </c>
      <c r="U536" s="2" t="str">
        <f t="shared" si="78"/>
        <v/>
      </c>
      <c r="V536" s="2" t="str">
        <f t="shared" si="78"/>
        <v/>
      </c>
      <c r="W536" s="2" t="str">
        <f t="shared" si="78"/>
        <v/>
      </c>
      <c r="X536" s="2" t="str">
        <f t="shared" si="78"/>
        <v/>
      </c>
      <c r="Y536" s="2">
        <f t="shared" si="78"/>
        <v>6.2925000000000004</v>
      </c>
      <c r="Z536" s="2" t="str">
        <f t="shared" si="78"/>
        <v/>
      </c>
      <c r="AA536" s="23" t="str">
        <f t="shared" si="71"/>
        <v>D10</v>
      </c>
      <c r="AB536" s="2">
        <f>$T536-VLOOKUP($B536,Scores!$AG$1:$AM$7,5,FALSE)</f>
        <v>-0.52749999999999986</v>
      </c>
      <c r="AC536" s="2">
        <f>$T536-VLOOKUP($B536,Scores!$AG$1:$AM$7,6,FALSE)</f>
        <v>0</v>
      </c>
      <c r="AD536" s="2">
        <f>$T536-VLOOKUP($B536,Scores!$AG$1:$AM$7,7,FALSE)+(ROW(A535)/1000000)</f>
        <v>0.11874928571428604</v>
      </c>
      <c r="AE536" s="2">
        <f t="array" ref="AE536">IF('ROS Rankings'!$AD$1,IFERROR(AVERAGE(IF(INDEX($C536:$S536,14):INDEX($C536:$S536,17)="NA",0,INDEX($C536:$S536,14):INDEX($C536:$S536,17))-INDEX($AQ$2:$BG$7,MATCH($B536,$AO$2:$AO$7,0),14):INDEX($AQ$2:$BG$7,MATCH($B536,$AO$2:$AO$7,0),17)),0),IFERROR(AVERAGE(IF(INDEX($C536:$S536,Week+1):INDEX($C536:$S536,13)="NA",0,INDEX($C536:$S536,Week+1):INDEX($C536:$S536,13))-INDEX($AQ$2:$BG$7,MATCH($B536,$AO$2:$AO$7,0),Week+1):INDEX($AQ$2:$BG$7,MATCH($B536,$AO$2:$AO$7,0),13)),0))+ROW(A535)/1000000</f>
        <v>-0.22071499999999999</v>
      </c>
      <c r="AF536">
        <f t="shared" si="72"/>
        <v>70</v>
      </c>
      <c r="AG536">
        <f t="shared" si="73"/>
        <v>95</v>
      </c>
      <c r="AH536">
        <f t="shared" si="74"/>
        <v>135</v>
      </c>
      <c r="AI536">
        <f t="shared" si="75"/>
        <v>131</v>
      </c>
      <c r="AJ536" s="22">
        <f>IF(ISERROR(MATCH(A536,Rosters!$B$2:$B$155,0)),AD536,"")</f>
        <v>0.11874928571428604</v>
      </c>
      <c r="AK536">
        <f t="shared" si="76"/>
        <v>16</v>
      </c>
      <c r="AL536" s="23">
        <f>COUNTIF(INDEX($C536:$S536,Week+1):INDEX($C536:$S536,13),"&gt;0")</f>
        <v>8</v>
      </c>
    </row>
    <row r="537" spans="1:38" x14ac:dyDescent="0.25">
      <c r="A537" t="s">
        <v>437</v>
      </c>
      <c r="B537" t="s">
        <v>770</v>
      </c>
      <c r="C537">
        <v>5.42</v>
      </c>
      <c r="D537">
        <v>6.58</v>
      </c>
      <c r="E537">
        <v>5.3</v>
      </c>
      <c r="F537">
        <v>6.33</v>
      </c>
      <c r="G537">
        <v>5.03</v>
      </c>
      <c r="H537">
        <v>5.36</v>
      </c>
      <c r="I537">
        <v>9.2799999999999994</v>
      </c>
      <c r="J537" t="s">
        <v>64</v>
      </c>
      <c r="K537">
        <v>3.56</v>
      </c>
      <c r="L537">
        <v>8.0399999999999991</v>
      </c>
      <c r="M537">
        <v>4.4400000000000004</v>
      </c>
      <c r="N537">
        <v>3.58</v>
      </c>
      <c r="O537">
        <v>7.09</v>
      </c>
      <c r="P537">
        <v>5.42</v>
      </c>
      <c r="Q537">
        <v>7.96</v>
      </c>
      <c r="R537">
        <v>4.0599999999999996</v>
      </c>
      <c r="S537">
        <v>5.36</v>
      </c>
      <c r="T537" s="2">
        <f>IF('ROS Rankings'!$AD$1,IFERROR(AVERAGE(INDEX($C537:$S537,14):INDEX($C537:$S537,17)),0),IFERROR(AVERAGE(INDEX($C537:$S537,Week+1):INDEX($C537:$S537,13)),0))</f>
        <v>5.9071428571428566</v>
      </c>
      <c r="U537" s="2" t="str">
        <f t="shared" si="78"/>
        <v/>
      </c>
      <c r="V537" s="2" t="str">
        <f t="shared" si="78"/>
        <v/>
      </c>
      <c r="W537" s="2" t="str">
        <f t="shared" si="78"/>
        <v/>
      </c>
      <c r="X537" s="2" t="str">
        <f t="shared" si="78"/>
        <v/>
      </c>
      <c r="Y537" s="2">
        <f t="shared" si="78"/>
        <v>5.9071428571428566</v>
      </c>
      <c r="Z537" s="2" t="str">
        <f t="shared" si="78"/>
        <v/>
      </c>
      <c r="AA537" s="23" t="str">
        <f t="shared" si="71"/>
        <v>D16</v>
      </c>
      <c r="AB537" s="2">
        <f>$T537-VLOOKUP($B537,Scores!$AG$1:$AM$7,5,FALSE)</f>
        <v>-0.9128571428571437</v>
      </c>
      <c r="AC537" s="2">
        <f>$T537-VLOOKUP($B537,Scores!$AG$1:$AM$7,6,FALSE)</f>
        <v>-0.38535714285714384</v>
      </c>
      <c r="AD537" s="2">
        <f>$T537-VLOOKUP($B537,Scores!$AG$1:$AM$7,7,FALSE)+(ROW(A536)/1000000)</f>
        <v>-0.26660685714285781</v>
      </c>
      <c r="AE537" s="2">
        <f t="array" ref="AE537">IF('ROS Rankings'!$AD$1,IFERROR(AVERAGE(IF(INDEX($C537:$S537,14):INDEX($C537:$S537,17)="NA",0,INDEX($C537:$S537,14):INDEX($C537:$S537,17))-INDEX($AQ$2:$BG$7,MATCH($B537,$AO$2:$AO$7,0),14):INDEX($AQ$2:$BG$7,MATCH($B537,$AO$2:$AO$7,0),17)),0),IFERROR(AVERAGE(IF(INDEX($C537:$S537,Week+1):INDEX($C537:$S537,13)="NA",0,INDEX($C537:$S537,Week+1):INDEX($C537:$S537,13))-INDEX($AQ$2:$BG$7,MATCH($B537,$AO$2:$AO$7,0),Week+1):INDEX($AQ$2:$BG$7,MATCH($B537,$AO$2:$AO$7,0),13)),0))+ROW(A536)/1000000</f>
        <v>-1.3444640000000001</v>
      </c>
      <c r="AF537">
        <f t="shared" si="72"/>
        <v>84</v>
      </c>
      <c r="AG537">
        <f t="shared" si="73"/>
        <v>127</v>
      </c>
      <c r="AH537">
        <f t="shared" si="74"/>
        <v>165</v>
      </c>
      <c r="AI537">
        <f t="shared" si="75"/>
        <v>197</v>
      </c>
      <c r="AJ537" s="22">
        <f>IF(ISERROR(MATCH(A537,Rosters!$B$2:$B$155,0)),AD537,"")</f>
        <v>-0.26660685714285781</v>
      </c>
      <c r="AK537">
        <f t="shared" si="76"/>
        <v>36</v>
      </c>
      <c r="AL537" s="23">
        <f>COUNTIF(INDEX($C537:$S537,Week+1):INDEX($C537:$S537,13),"&gt;0")</f>
        <v>7</v>
      </c>
    </row>
    <row r="538" spans="1:38" x14ac:dyDescent="0.25">
      <c r="A538" t="s">
        <v>412</v>
      </c>
      <c r="B538" t="s">
        <v>770</v>
      </c>
      <c r="C538">
        <v>5.31</v>
      </c>
      <c r="D538">
        <v>8.74</v>
      </c>
      <c r="E538">
        <v>6.04</v>
      </c>
      <c r="F538">
        <v>4.68</v>
      </c>
      <c r="G538">
        <v>6.22</v>
      </c>
      <c r="H538">
        <v>3.04</v>
      </c>
      <c r="I538">
        <v>8.06</v>
      </c>
      <c r="J538">
        <v>3.46</v>
      </c>
      <c r="K538">
        <v>5.92</v>
      </c>
      <c r="L538" t="s">
        <v>64</v>
      </c>
      <c r="M538">
        <v>4.5999999999999996</v>
      </c>
      <c r="N538">
        <v>4.84</v>
      </c>
      <c r="O538">
        <v>7.28</v>
      </c>
      <c r="P538">
        <v>8.82</v>
      </c>
      <c r="Q538">
        <v>9.2200000000000006</v>
      </c>
      <c r="R538">
        <v>6.9</v>
      </c>
      <c r="S538">
        <v>4.5999999999999996</v>
      </c>
      <c r="T538" s="2">
        <f>IF('ROS Rankings'!$AD$1,IFERROR(AVERAGE(INDEX($C538:$S538,14):INDEX($C538:$S538,17)),0),IFERROR(AVERAGE(INDEX($C538:$S538,Week+1):INDEX($C538:$S538,13)),0))</f>
        <v>5.3142857142857149</v>
      </c>
      <c r="U538" s="2" t="str">
        <f t="shared" si="78"/>
        <v/>
      </c>
      <c r="V538" s="2" t="str">
        <f t="shared" si="78"/>
        <v/>
      </c>
      <c r="W538" s="2" t="str">
        <f t="shared" si="78"/>
        <v/>
      </c>
      <c r="X538" s="2" t="str">
        <f t="shared" si="78"/>
        <v/>
      </c>
      <c r="Y538" s="2">
        <f t="shared" si="78"/>
        <v>5.3142857142857149</v>
      </c>
      <c r="Z538" s="2" t="str">
        <f t="shared" si="78"/>
        <v/>
      </c>
      <c r="AA538" s="23" t="str">
        <f t="shared" si="71"/>
        <v>D21</v>
      </c>
      <c r="AB538" s="2">
        <f>$T538-VLOOKUP($B538,Scores!$AG$1:$AM$7,5,FALSE)</f>
        <v>-1.5057142857142853</v>
      </c>
      <c r="AC538" s="2">
        <f>$T538-VLOOKUP($B538,Scores!$AG$1:$AM$7,6,FALSE)</f>
        <v>-0.97821428571428548</v>
      </c>
      <c r="AD538" s="2">
        <f>$T538-VLOOKUP($B538,Scores!$AG$1:$AM$7,7,FALSE)+(ROW(A537)/1000000)</f>
        <v>-0.85946299999999942</v>
      </c>
      <c r="AE538" s="2">
        <f t="array" ref="AE538">IF('ROS Rankings'!$AD$1,IFERROR(AVERAGE(IF(INDEX($C538:$S538,14):INDEX($C538:$S538,17)="NA",0,INDEX($C538:$S538,14):INDEX($C538:$S538,17))-INDEX($AQ$2:$BG$7,MATCH($B538,$AO$2:$AO$7,0),14):INDEX($AQ$2:$BG$7,MATCH($B538,$AO$2:$AO$7,0),17)),0),IFERROR(AVERAGE(IF(INDEX($C538:$S538,Week+1):INDEX($C538:$S538,13)="NA",0,INDEX($C538:$S538,Week+1):INDEX($C538:$S538,13))-INDEX($AQ$2:$BG$7,MATCH($B538,$AO$2:$AO$7,0),Week+1):INDEX($AQ$2:$BG$7,MATCH($B538,$AO$2:$AO$7,0),13)),0))+ROW(A537)/1000000</f>
        <v>-1.863213</v>
      </c>
      <c r="AF538">
        <f t="shared" si="72"/>
        <v>113</v>
      </c>
      <c r="AG538">
        <f t="shared" si="73"/>
        <v>160</v>
      </c>
      <c r="AH538">
        <f t="shared" si="74"/>
        <v>196</v>
      </c>
      <c r="AI538">
        <f t="shared" si="75"/>
        <v>231</v>
      </c>
      <c r="AJ538" s="22" t="str">
        <f>IF(ISERROR(MATCH(A538,Rosters!$B$2:$B$155,0)),AD538,"")</f>
        <v/>
      </c>
      <c r="AK538" t="str">
        <f t="shared" si="76"/>
        <v/>
      </c>
      <c r="AL538" s="23">
        <f>COUNTIF(INDEX($C538:$S538,Week+1):INDEX($C538:$S538,13),"&gt;0")</f>
        <v>7</v>
      </c>
    </row>
    <row r="539" spans="1:38" x14ac:dyDescent="0.25">
      <c r="A539" t="s">
        <v>430</v>
      </c>
      <c r="B539" t="s">
        <v>770</v>
      </c>
      <c r="C539">
        <v>8</v>
      </c>
      <c r="D539">
        <v>8.34</v>
      </c>
      <c r="E539">
        <v>6.93</v>
      </c>
      <c r="F539">
        <v>5.75</v>
      </c>
      <c r="G539">
        <v>7.06</v>
      </c>
      <c r="H539">
        <v>7.32</v>
      </c>
      <c r="I539">
        <v>3.66</v>
      </c>
      <c r="J539">
        <v>5.84</v>
      </c>
      <c r="K539">
        <v>8.18</v>
      </c>
      <c r="L539">
        <v>9.17</v>
      </c>
      <c r="M539" t="s">
        <v>64</v>
      </c>
      <c r="N539">
        <v>3.22</v>
      </c>
      <c r="O539">
        <v>5.92</v>
      </c>
      <c r="P539">
        <v>9.17</v>
      </c>
      <c r="Q539">
        <v>5.74</v>
      </c>
      <c r="R539">
        <v>7.52</v>
      </c>
      <c r="S539">
        <v>3.22</v>
      </c>
      <c r="T539" s="2">
        <f>IF('ROS Rankings'!$AD$1,IFERROR(AVERAGE(INDEX($C539:$S539,14):INDEX($C539:$S539,17)),0),IFERROR(AVERAGE(INDEX($C539:$S539,Week+1):INDEX($C539:$S539,13)),0))</f>
        <v>6.1871428571428577</v>
      </c>
      <c r="U539" s="2" t="str">
        <f t="shared" si="78"/>
        <v/>
      </c>
      <c r="V539" s="2" t="str">
        <f t="shared" si="78"/>
        <v/>
      </c>
      <c r="W539" s="2" t="str">
        <f t="shared" si="78"/>
        <v/>
      </c>
      <c r="X539" s="2" t="str">
        <f t="shared" si="78"/>
        <v/>
      </c>
      <c r="Y539" s="2">
        <f t="shared" si="78"/>
        <v>6.1871428571428577</v>
      </c>
      <c r="Z539" s="2" t="str">
        <f t="shared" si="78"/>
        <v/>
      </c>
      <c r="AA539" s="23" t="str">
        <f t="shared" si="71"/>
        <v>D11</v>
      </c>
      <c r="AB539" s="2">
        <f>$T539-VLOOKUP($B539,Scores!$AG$1:$AM$7,5,FALSE)</f>
        <v>-0.63285714285714256</v>
      </c>
      <c r="AC539" s="2">
        <f>$T539-VLOOKUP($B539,Scores!$AG$1:$AM$7,6,FALSE)</f>
        <v>-0.1053571428571427</v>
      </c>
      <c r="AD539" s="2">
        <f>$T539-VLOOKUP($B539,Scores!$AG$1:$AM$7,7,FALSE)+(ROW(A538)/1000000)</f>
        <v>1.3395142857143345E-2</v>
      </c>
      <c r="AE539" s="2">
        <f t="array" ref="AE539">IF('ROS Rankings'!$AD$1,IFERROR(AVERAGE(IF(INDEX($C539:$S539,14):INDEX($C539:$S539,17)="NA",0,INDEX($C539:$S539,14):INDEX($C539:$S539,17))-INDEX($AQ$2:$BG$7,MATCH($B539,$AO$2:$AO$7,0),14):INDEX($AQ$2:$BG$7,MATCH($B539,$AO$2:$AO$7,0),17)),0),IFERROR(AVERAGE(IF(INDEX($C539:$S539,Week+1):INDEX($C539:$S539,13)="NA",0,INDEX($C539:$S539,Week+1):INDEX($C539:$S539,13))-INDEX($AQ$2:$BG$7,MATCH($B539,$AO$2:$AO$7,0),Week+1):INDEX($AQ$2:$BG$7,MATCH($B539,$AO$2:$AO$7,0),13)),0))+ROW(A538)/1000000</f>
        <v>-1.0994620000000002</v>
      </c>
      <c r="AF539">
        <f t="shared" si="72"/>
        <v>73</v>
      </c>
      <c r="AG539">
        <f t="shared" si="73"/>
        <v>110</v>
      </c>
      <c r="AH539">
        <f t="shared" si="74"/>
        <v>142</v>
      </c>
      <c r="AI539">
        <f t="shared" si="75"/>
        <v>174</v>
      </c>
      <c r="AJ539" s="22">
        <f>IF(ISERROR(MATCH(A539,Rosters!$B$2:$B$155,0)),AD539,"")</f>
        <v>1.3395142857143345E-2</v>
      </c>
      <c r="AK539">
        <f t="shared" si="76"/>
        <v>18</v>
      </c>
      <c r="AL539" s="23">
        <f>COUNTIF(INDEX($C539:$S539,Week+1):INDEX($C539:$S539,13),"&gt;0")</f>
        <v>7</v>
      </c>
    </row>
    <row r="540" spans="1:38" x14ac:dyDescent="0.25">
      <c r="A540" t="s">
        <v>421</v>
      </c>
      <c r="B540" t="s">
        <v>770</v>
      </c>
      <c r="C540">
        <v>5.54</v>
      </c>
      <c r="D540">
        <v>8.69</v>
      </c>
      <c r="E540">
        <v>5.04</v>
      </c>
      <c r="F540">
        <v>7.44</v>
      </c>
      <c r="G540">
        <v>6.48</v>
      </c>
      <c r="H540">
        <v>8.2799999999999994</v>
      </c>
      <c r="I540">
        <v>6.92</v>
      </c>
      <c r="J540" t="s">
        <v>64</v>
      </c>
      <c r="K540">
        <v>9.1</v>
      </c>
      <c r="L540">
        <v>6.66</v>
      </c>
      <c r="M540">
        <v>8.84</v>
      </c>
      <c r="N540">
        <v>8.14</v>
      </c>
      <c r="O540">
        <v>6.5</v>
      </c>
      <c r="P540">
        <v>7.54</v>
      </c>
      <c r="Q540">
        <v>2.94</v>
      </c>
      <c r="R540">
        <v>8.18</v>
      </c>
      <c r="S540">
        <v>8.84</v>
      </c>
      <c r="T540" s="2">
        <f>IF('ROS Rankings'!$AD$1,IFERROR(AVERAGE(INDEX($C540:$S540,14):INDEX($C540:$S540,17)),0),IFERROR(AVERAGE(INDEX($C540:$S540,Week+1):INDEX($C540:$S540,13)),0))</f>
        <v>7.7771428571428567</v>
      </c>
      <c r="U540" s="2" t="str">
        <f t="shared" si="78"/>
        <v/>
      </c>
      <c r="V540" s="2" t="str">
        <f t="shared" si="78"/>
        <v/>
      </c>
      <c r="W540" s="2" t="str">
        <f t="shared" si="78"/>
        <v/>
      </c>
      <c r="X540" s="2" t="str">
        <f t="shared" si="78"/>
        <v/>
      </c>
      <c r="Y540" s="2">
        <f t="shared" si="78"/>
        <v>7.7771428571428567</v>
      </c>
      <c r="Z540" s="2" t="str">
        <f t="shared" si="78"/>
        <v/>
      </c>
      <c r="AA540" s="23" t="str">
        <f t="shared" si="71"/>
        <v>D2</v>
      </c>
      <c r="AB540" s="2">
        <f>$T540-VLOOKUP($B540,Scores!$AG$1:$AM$7,5,FALSE)</f>
        <v>0.95714285714285641</v>
      </c>
      <c r="AC540" s="2">
        <f>$T540-VLOOKUP($B540,Scores!$AG$1:$AM$7,6,FALSE)</f>
        <v>1.4846428571428563</v>
      </c>
      <c r="AD540" s="2">
        <f>$T540-VLOOKUP($B540,Scores!$AG$1:$AM$7,7,FALSE)+(ROW(A539)/1000000)</f>
        <v>1.6033961428571424</v>
      </c>
      <c r="AE540" s="2">
        <f t="array" ref="AE540">IF('ROS Rankings'!$AD$1,IFERROR(AVERAGE(IF(INDEX($C540:$S540,14):INDEX($C540:$S540,17)="NA",0,INDEX($C540:$S540,14):INDEX($C540:$S540,17))-INDEX($AQ$2:$BG$7,MATCH($B540,$AO$2:$AO$7,0),14):INDEX($AQ$2:$BG$7,MATCH($B540,$AO$2:$AO$7,0),17)),0),IFERROR(AVERAGE(IF(INDEX($C540:$S540,Week+1):INDEX($C540:$S540,13)="NA",0,INDEX($C540:$S540,Week+1):INDEX($C540:$S540,13))-INDEX($AQ$2:$BG$7,MATCH($B540,$AO$2:$AO$7,0),Week+1):INDEX($AQ$2:$BG$7,MATCH($B540,$AO$2:$AO$7,0),13)),0))+ROW(A539)/1000000</f>
        <v>0.2917889999999998</v>
      </c>
      <c r="AF540">
        <f t="shared" si="72"/>
        <v>25</v>
      </c>
      <c r="AG540">
        <f t="shared" si="73"/>
        <v>46</v>
      </c>
      <c r="AH540">
        <f t="shared" si="74"/>
        <v>86</v>
      </c>
      <c r="AI540">
        <f t="shared" si="75"/>
        <v>109</v>
      </c>
      <c r="AJ540" s="22">
        <f>IF(ISERROR(MATCH(A540,Rosters!$B$2:$B$155,0)),AD540,"")</f>
        <v>1.6033961428571424</v>
      </c>
      <c r="AK540">
        <f t="shared" si="76"/>
        <v>1</v>
      </c>
      <c r="AL540" s="23">
        <f>COUNTIF(INDEX($C540:$S540,Week+1):INDEX($C540:$S540,13),"&gt;0")</f>
        <v>7</v>
      </c>
    </row>
    <row r="541" spans="1:38" x14ac:dyDescent="0.25">
      <c r="A541" t="s">
        <v>416</v>
      </c>
      <c r="B541" t="s">
        <v>770</v>
      </c>
      <c r="C541">
        <v>5.83</v>
      </c>
      <c r="D541">
        <v>7.86</v>
      </c>
      <c r="E541">
        <v>8.1999999999999993</v>
      </c>
      <c r="F541">
        <v>6.36</v>
      </c>
      <c r="G541" t="s">
        <v>64</v>
      </c>
      <c r="H541">
        <v>7.34</v>
      </c>
      <c r="I541">
        <v>3.04</v>
      </c>
      <c r="J541">
        <v>7.56</v>
      </c>
      <c r="K541">
        <v>9.06</v>
      </c>
      <c r="L541">
        <v>6.3</v>
      </c>
      <c r="M541">
        <v>5.57</v>
      </c>
      <c r="N541">
        <v>6.3</v>
      </c>
      <c r="O541">
        <v>7.54</v>
      </c>
      <c r="P541">
        <v>2.94</v>
      </c>
      <c r="Q541">
        <v>6.6</v>
      </c>
      <c r="R541">
        <v>7.98</v>
      </c>
      <c r="S541">
        <v>5.57</v>
      </c>
      <c r="T541" s="2">
        <f>IF('ROS Rankings'!$AD$1,IFERROR(AVERAGE(INDEX($C541:$S541,14):INDEX($C541:$S541,17)),0),IFERROR(AVERAGE(INDEX($C541:$S541,Week+1):INDEX($C541:$S541,13)),0))</f>
        <v>6.5887499999999992</v>
      </c>
      <c r="U541" s="2" t="str">
        <f t="shared" si="78"/>
        <v/>
      </c>
      <c r="V541" s="2" t="str">
        <f t="shared" si="78"/>
        <v/>
      </c>
      <c r="W541" s="2" t="str">
        <f t="shared" si="78"/>
        <v/>
      </c>
      <c r="X541" s="2" t="str">
        <f t="shared" si="78"/>
        <v/>
      </c>
      <c r="Y541" s="2">
        <f t="shared" si="78"/>
        <v>6.5887499999999992</v>
      </c>
      <c r="Z541" s="2" t="str">
        <f t="shared" si="78"/>
        <v/>
      </c>
      <c r="AA541" s="23" t="str">
        <f t="shared" si="71"/>
        <v>D6</v>
      </c>
      <c r="AB541" s="2">
        <f>$T541-VLOOKUP($B541,Scores!$AG$1:$AM$7,5,FALSE)</f>
        <v>-0.23125000000000107</v>
      </c>
      <c r="AC541" s="2">
        <f>$T541-VLOOKUP($B541,Scores!$AG$1:$AM$7,6,FALSE)</f>
        <v>0.29624999999999879</v>
      </c>
      <c r="AD541" s="2">
        <f>$T541-VLOOKUP($B541,Scores!$AG$1:$AM$7,7,FALSE)+(ROW(A540)/1000000)</f>
        <v>0.41500428571428483</v>
      </c>
      <c r="AE541" s="2">
        <f t="array" ref="AE541">IF('ROS Rankings'!$AD$1,IFERROR(AVERAGE(IF(INDEX($C541:$S541,14):INDEX($C541:$S541,17)="NA",0,INDEX($C541:$S541,14):INDEX($C541:$S541,17))-INDEX($AQ$2:$BG$7,MATCH($B541,$AO$2:$AO$7,0),14):INDEX($AQ$2:$BG$7,MATCH($B541,$AO$2:$AO$7,0),17)),0),IFERROR(AVERAGE(IF(INDEX($C541:$S541,Week+1):INDEX($C541:$S541,13)="NA",0,INDEX($C541:$S541,Week+1):INDEX($C541:$S541,13))-INDEX($AQ$2:$BG$7,MATCH($B541,$AO$2:$AO$7,0),Week+1):INDEX($AQ$2:$BG$7,MATCH($B541,$AO$2:$AO$7,0),13)),0))+ROW(A540)/1000000</f>
        <v>7.5539999999999843E-2</v>
      </c>
      <c r="AF541">
        <f t="shared" si="72"/>
        <v>54</v>
      </c>
      <c r="AG541">
        <f t="shared" si="73"/>
        <v>84</v>
      </c>
      <c r="AH541">
        <f t="shared" si="74"/>
        <v>122</v>
      </c>
      <c r="AI541">
        <f t="shared" si="75"/>
        <v>117</v>
      </c>
      <c r="AJ541" s="22" t="str">
        <f>IF(ISERROR(MATCH(A541,Rosters!$B$2:$B$155,0)),AD541,"")</f>
        <v/>
      </c>
      <c r="AK541" t="str">
        <f t="shared" si="76"/>
        <v/>
      </c>
      <c r="AL541" s="23">
        <f>COUNTIF(INDEX($C541:$S541,Week+1):INDEX($C541:$S541,13),"&gt;0")</f>
        <v>8</v>
      </c>
    </row>
    <row r="542" spans="1:38" x14ac:dyDescent="0.25">
      <c r="A542" t="s">
        <v>405</v>
      </c>
      <c r="B542" t="s">
        <v>770</v>
      </c>
      <c r="C542">
        <v>3.27</v>
      </c>
      <c r="D542">
        <v>8.82</v>
      </c>
      <c r="E542">
        <v>8.0399999999999991</v>
      </c>
      <c r="F542">
        <v>6.95</v>
      </c>
      <c r="G542">
        <v>6.46</v>
      </c>
      <c r="H542">
        <v>7.16</v>
      </c>
      <c r="I542">
        <v>3.4</v>
      </c>
      <c r="J542">
        <v>5.94</v>
      </c>
      <c r="K542">
        <v>6.98</v>
      </c>
      <c r="L542" t="s">
        <v>64</v>
      </c>
      <c r="M542">
        <v>5.0199999999999996</v>
      </c>
      <c r="N542">
        <v>4.28</v>
      </c>
      <c r="O542">
        <v>7.33</v>
      </c>
      <c r="P542">
        <v>6.32</v>
      </c>
      <c r="Q542">
        <v>5.24</v>
      </c>
      <c r="R542">
        <v>5.22</v>
      </c>
      <c r="S542">
        <v>3.4</v>
      </c>
      <c r="T542" s="2">
        <f>IF('ROS Rankings'!$AD$1,IFERROR(AVERAGE(INDEX($C542:$S542,14):INDEX($C542:$S542,17)),0),IFERROR(AVERAGE(INDEX($C542:$S542,Week+1):INDEX($C542:$S542,13)),0))</f>
        <v>5.7299999999999995</v>
      </c>
      <c r="U542" s="2" t="str">
        <f t="shared" si="78"/>
        <v/>
      </c>
      <c r="V542" s="2" t="str">
        <f t="shared" si="78"/>
        <v/>
      </c>
      <c r="W542" s="2" t="str">
        <f t="shared" si="78"/>
        <v/>
      </c>
      <c r="X542" s="2" t="str">
        <f t="shared" si="78"/>
        <v/>
      </c>
      <c r="Y542" s="2">
        <f t="shared" si="78"/>
        <v>5.7299999999999995</v>
      </c>
      <c r="Z542" s="2" t="str">
        <f t="shared" si="78"/>
        <v/>
      </c>
      <c r="AA542" s="23" t="str">
        <f t="shared" si="71"/>
        <v>D18</v>
      </c>
      <c r="AB542" s="2">
        <f>$T542-VLOOKUP($B542,Scores!$AG$1:$AM$7,5,FALSE)</f>
        <v>-1.0900000000000007</v>
      </c>
      <c r="AC542" s="2">
        <f>$T542-VLOOKUP($B542,Scores!$AG$1:$AM$7,6,FALSE)</f>
        <v>-0.56250000000000089</v>
      </c>
      <c r="AD542" s="2">
        <f>$T542-VLOOKUP($B542,Scores!$AG$1:$AM$7,7,FALSE)+(ROW(A541)/1000000)</f>
        <v>-0.44374471428571483</v>
      </c>
      <c r="AE542" s="2">
        <f t="array" ref="AE542">IF('ROS Rankings'!$AD$1,IFERROR(AVERAGE(IF(INDEX($C542:$S542,14):INDEX($C542:$S542,17)="NA",0,INDEX($C542:$S542,14):INDEX($C542:$S542,17))-INDEX($AQ$2:$BG$7,MATCH($B542,$AO$2:$AO$7,0),14):INDEX($AQ$2:$BG$7,MATCH($B542,$AO$2:$AO$7,0),17)),0),IFERROR(AVERAGE(IF(INDEX($C542:$S542,Week+1):INDEX($C542:$S542,13)="NA",0,INDEX($C542:$S542,Week+1):INDEX($C542:$S542,13))-INDEX($AQ$2:$BG$7,MATCH($B542,$AO$2:$AO$7,0),Week+1):INDEX($AQ$2:$BG$7,MATCH($B542,$AO$2:$AO$7,0),13)),0))+ROW(A541)/1000000</f>
        <v>-1.4994590000000001</v>
      </c>
      <c r="AF542">
        <f t="shared" si="72"/>
        <v>92</v>
      </c>
      <c r="AG542">
        <f t="shared" si="73"/>
        <v>137</v>
      </c>
      <c r="AH542">
        <f t="shared" si="74"/>
        <v>172</v>
      </c>
      <c r="AI542">
        <f t="shared" si="75"/>
        <v>212</v>
      </c>
      <c r="AJ542" s="22" t="str">
        <f>IF(ISERROR(MATCH(A542,Rosters!$B$2:$B$155,0)),AD542,"")</f>
        <v/>
      </c>
      <c r="AK542" t="str">
        <f t="shared" si="76"/>
        <v/>
      </c>
      <c r="AL542" s="23">
        <f>COUNTIF(INDEX($C542:$S542,Week+1):INDEX($C542:$S542,13),"&gt;0")</f>
        <v>7</v>
      </c>
    </row>
    <row r="543" spans="1:38" x14ac:dyDescent="0.25">
      <c r="A543" t="s">
        <v>431</v>
      </c>
      <c r="B543" t="s">
        <v>770</v>
      </c>
      <c r="C543">
        <v>7.98</v>
      </c>
      <c r="D543">
        <v>8.6300000000000008</v>
      </c>
      <c r="E543">
        <v>5.59</v>
      </c>
      <c r="F543">
        <v>6.21</v>
      </c>
      <c r="G543">
        <v>6.8</v>
      </c>
      <c r="H543" t="s">
        <v>64</v>
      </c>
      <c r="I543">
        <v>6.46</v>
      </c>
      <c r="J543">
        <v>3.9</v>
      </c>
      <c r="K543">
        <v>1.94</v>
      </c>
      <c r="L543">
        <v>6.07</v>
      </c>
      <c r="M543">
        <v>6.13</v>
      </c>
      <c r="N543">
        <v>2.9</v>
      </c>
      <c r="O543">
        <v>6.28</v>
      </c>
      <c r="P543">
        <v>3.88</v>
      </c>
      <c r="Q543">
        <v>5.14</v>
      </c>
      <c r="R543">
        <v>5.22</v>
      </c>
      <c r="S543">
        <v>5.14</v>
      </c>
      <c r="T543" s="2">
        <f>IF('ROS Rankings'!$AD$1,IFERROR(AVERAGE(INDEX($C543:$S543,14):INDEX($C543:$S543,17)),0),IFERROR(AVERAGE(INDEX($C543:$S543,Week+1):INDEX($C543:$S543,13)),0))</f>
        <v>4.8114285714285705</v>
      </c>
      <c r="U543" s="2" t="str">
        <f t="shared" si="78"/>
        <v/>
      </c>
      <c r="V543" s="2" t="str">
        <f t="shared" si="78"/>
        <v/>
      </c>
      <c r="W543" s="2" t="str">
        <f t="shared" si="78"/>
        <v/>
      </c>
      <c r="X543" s="2" t="str">
        <f t="shared" si="78"/>
        <v/>
      </c>
      <c r="Y543" s="2">
        <f t="shared" si="78"/>
        <v>4.8114285714285705</v>
      </c>
      <c r="Z543" s="2" t="str">
        <f t="shared" si="78"/>
        <v/>
      </c>
      <c r="AA543" s="23" t="str">
        <f t="shared" si="71"/>
        <v>D25</v>
      </c>
      <c r="AB543" s="2">
        <f>$T543-VLOOKUP($B543,Scores!$AG$1:$AM$7,5,FALSE)</f>
        <v>-2.0085714285714298</v>
      </c>
      <c r="AC543" s="2">
        <f>$T543-VLOOKUP($B543,Scores!$AG$1:$AM$7,6,FALSE)</f>
        <v>-1.4810714285714299</v>
      </c>
      <c r="AD543" s="2">
        <f>$T543-VLOOKUP($B543,Scores!$AG$1:$AM$7,7,FALSE)+(ROW(A542)/1000000)</f>
        <v>-1.3623151428571438</v>
      </c>
      <c r="AE543" s="2">
        <f t="array" ref="AE543">IF('ROS Rankings'!$AD$1,IFERROR(AVERAGE(IF(INDEX($C543:$S543,14):INDEX($C543:$S543,17)="NA",0,INDEX($C543:$S543,14):INDEX($C543:$S543,17))-INDEX($AQ$2:$BG$7,MATCH($B543,$AO$2:$AO$7,0),14):INDEX($AQ$2:$BG$7,MATCH($B543,$AO$2:$AO$7,0),17)),0),IFERROR(AVERAGE(IF(INDEX($C543:$S543,Week+1):INDEX($C543:$S543,13)="NA",0,INDEX($C543:$S543,Week+1):INDEX($C543:$S543,13))-INDEX($AQ$2:$BG$7,MATCH($B543,$AO$2:$AO$7,0),Week+1):INDEX($AQ$2:$BG$7,MATCH($B543,$AO$2:$AO$7,0),13)),0))+ROW(A542)/1000000</f>
        <v>-2.3032080000000001</v>
      </c>
      <c r="AF543">
        <f t="shared" si="72"/>
        <v>131</v>
      </c>
      <c r="AG543">
        <f t="shared" si="73"/>
        <v>176</v>
      </c>
      <c r="AH543">
        <f t="shared" si="74"/>
        <v>218</v>
      </c>
      <c r="AI543">
        <f t="shared" si="75"/>
        <v>252</v>
      </c>
      <c r="AJ543" s="22">
        <f>IF(ISERROR(MATCH(A543,Rosters!$B$2:$B$155,0)),AD543,"")</f>
        <v>-1.3623151428571438</v>
      </c>
      <c r="AK543">
        <f t="shared" si="76"/>
        <v>79</v>
      </c>
      <c r="AL543" s="23">
        <f>COUNTIF(INDEX($C543:$S543,Week+1):INDEX($C543:$S543,13),"&gt;0")</f>
        <v>7</v>
      </c>
    </row>
    <row r="544" spans="1:38" x14ac:dyDescent="0.25">
      <c r="A544" t="s">
        <v>418</v>
      </c>
      <c r="B544" t="s">
        <v>770</v>
      </c>
      <c r="C544">
        <v>6.52</v>
      </c>
      <c r="D544">
        <v>3.88</v>
      </c>
      <c r="E544">
        <v>3.68</v>
      </c>
      <c r="F544">
        <v>5.96</v>
      </c>
      <c r="G544">
        <v>6.65</v>
      </c>
      <c r="H544">
        <v>5.88</v>
      </c>
      <c r="I544">
        <v>8.48</v>
      </c>
      <c r="J544">
        <v>3.5</v>
      </c>
      <c r="K544">
        <v>7.1</v>
      </c>
      <c r="L544">
        <v>6.96</v>
      </c>
      <c r="M544" t="s">
        <v>64</v>
      </c>
      <c r="N544">
        <v>6.08</v>
      </c>
      <c r="O544">
        <v>7.3</v>
      </c>
      <c r="P544">
        <v>6.96</v>
      </c>
      <c r="Q544">
        <v>8.59</v>
      </c>
      <c r="R544">
        <v>3.5</v>
      </c>
      <c r="S544">
        <v>7.3</v>
      </c>
      <c r="T544" s="2">
        <f>IF('ROS Rankings'!$AD$1,IFERROR(AVERAGE(INDEX($C544:$S544,14):INDEX($C544:$S544,17)),0),IFERROR(AVERAGE(INDEX($C544:$S544,Week+1):INDEX($C544:$S544,13)),0))</f>
        <v>6.4714285714285706</v>
      </c>
      <c r="U544" s="2" t="str">
        <f t="shared" si="78"/>
        <v/>
      </c>
      <c r="V544" s="2" t="str">
        <f t="shared" si="78"/>
        <v/>
      </c>
      <c r="W544" s="2" t="str">
        <f t="shared" si="78"/>
        <v/>
      </c>
      <c r="X544" s="2" t="str">
        <f t="shared" si="78"/>
        <v/>
      </c>
      <c r="Y544" s="2">
        <f t="shared" si="78"/>
        <v>6.4714285714285706</v>
      </c>
      <c r="Z544" s="2" t="str">
        <f t="shared" si="78"/>
        <v/>
      </c>
      <c r="AA544" s="23" t="str">
        <f t="shared" si="71"/>
        <v>D7</v>
      </c>
      <c r="AB544" s="2">
        <f>$T544-VLOOKUP($B544,Scores!$AG$1:$AM$7,5,FALSE)</f>
        <v>-0.34857142857142964</v>
      </c>
      <c r="AC544" s="2">
        <f>$T544-VLOOKUP($B544,Scores!$AG$1:$AM$7,6,FALSE)</f>
        <v>0.17892857142857022</v>
      </c>
      <c r="AD544" s="2">
        <f>$T544-VLOOKUP($B544,Scores!$AG$1:$AM$7,7,FALSE)+(ROW(A543)/1000000)</f>
        <v>0.29768585714285628</v>
      </c>
      <c r="AE544" s="2">
        <f t="array" ref="AE544">IF('ROS Rankings'!$AD$1,IFERROR(AVERAGE(IF(INDEX($C544:$S544,14):INDEX($C544:$S544,17)="NA",0,INDEX($C544:$S544,14):INDEX($C544:$S544,17))-INDEX($AQ$2:$BG$7,MATCH($B544,$AO$2:$AO$7,0),14):INDEX($AQ$2:$BG$7,MATCH($B544,$AO$2:$AO$7,0),17)),0),IFERROR(AVERAGE(IF(INDEX($C544:$S544,Week+1):INDEX($C544:$S544,13)="NA",0,INDEX($C544:$S544,Week+1):INDEX($C544:$S544,13))-INDEX($AQ$2:$BG$7,MATCH($B544,$AO$2:$AO$7,0),Week+1):INDEX($AQ$2:$BG$7,MATCH($B544,$AO$2:$AO$7,0),13)),0))+ROW(A543)/1000000</f>
        <v>-0.85070700000000021</v>
      </c>
      <c r="AF544">
        <f t="shared" si="72"/>
        <v>57</v>
      </c>
      <c r="AG544">
        <f t="shared" si="73"/>
        <v>86</v>
      </c>
      <c r="AH544">
        <f t="shared" si="74"/>
        <v>126</v>
      </c>
      <c r="AI544">
        <f t="shared" si="75"/>
        <v>163</v>
      </c>
      <c r="AJ544" s="22">
        <f>IF(ISERROR(MATCH(A544,Rosters!$B$2:$B$155,0)),AD544,"")</f>
        <v>0.29768585714285628</v>
      </c>
      <c r="AK544">
        <f t="shared" si="76"/>
        <v>11</v>
      </c>
      <c r="AL544" s="23">
        <f>COUNTIF(INDEX($C544:$S544,Week+1):INDEX($C544:$S544,13),"&gt;0")</f>
        <v>7</v>
      </c>
    </row>
    <row r="545" spans="1:38" x14ac:dyDescent="0.25">
      <c r="A545" t="s">
        <v>435</v>
      </c>
      <c r="B545" t="s">
        <v>770</v>
      </c>
      <c r="C545">
        <v>6.98</v>
      </c>
      <c r="D545">
        <v>8.52</v>
      </c>
      <c r="E545">
        <v>4.0199999999999996</v>
      </c>
      <c r="F545">
        <v>7.01</v>
      </c>
      <c r="G545">
        <v>5.65</v>
      </c>
      <c r="H545" t="s">
        <v>64</v>
      </c>
      <c r="I545">
        <v>7.36</v>
      </c>
      <c r="J545">
        <v>5.98</v>
      </c>
      <c r="K545">
        <v>4.99</v>
      </c>
      <c r="L545">
        <v>5.62</v>
      </c>
      <c r="M545">
        <v>3.2</v>
      </c>
      <c r="N545">
        <v>5.62</v>
      </c>
      <c r="O545">
        <v>0.62</v>
      </c>
      <c r="P545">
        <v>7.79</v>
      </c>
      <c r="Q545">
        <v>8.11</v>
      </c>
      <c r="R545">
        <v>4.99</v>
      </c>
      <c r="S545">
        <v>4.92</v>
      </c>
      <c r="T545" s="2">
        <f>IF('ROS Rankings'!$AD$1,IFERROR(AVERAGE(INDEX($C545:$S545,14):INDEX($C545:$S545,17)),0),IFERROR(AVERAGE(INDEX($C545:$S545,Week+1):INDEX($C545:$S545,13)),0))</f>
        <v>4.7699999999999987</v>
      </c>
      <c r="U545" s="2" t="str">
        <f t="shared" si="78"/>
        <v/>
      </c>
      <c r="V545" s="2" t="str">
        <f t="shared" si="78"/>
        <v/>
      </c>
      <c r="W545" s="2" t="str">
        <f t="shared" si="78"/>
        <v/>
      </c>
      <c r="X545" s="2" t="str">
        <f t="shared" si="78"/>
        <v/>
      </c>
      <c r="Y545" s="2">
        <f t="shared" si="78"/>
        <v>4.7699999999999987</v>
      </c>
      <c r="Z545" s="2" t="str">
        <f t="shared" si="78"/>
        <v/>
      </c>
      <c r="AA545" s="23" t="str">
        <f t="shared" si="71"/>
        <v>D28</v>
      </c>
      <c r="AB545" s="2">
        <f>$T545-VLOOKUP($B545,Scores!$AG$1:$AM$7,5,FALSE)</f>
        <v>-2.0500000000000016</v>
      </c>
      <c r="AC545" s="2">
        <f>$T545-VLOOKUP($B545,Scores!$AG$1:$AM$7,6,FALSE)</f>
        <v>-1.5225000000000017</v>
      </c>
      <c r="AD545" s="2">
        <f>$T545-VLOOKUP($B545,Scores!$AG$1:$AM$7,7,FALSE)+(ROW(A544)/1000000)</f>
        <v>-1.4037417142857156</v>
      </c>
      <c r="AE545" s="2">
        <f t="array" ref="AE545">IF('ROS Rankings'!$AD$1,IFERROR(AVERAGE(IF(INDEX($C545:$S545,14):INDEX($C545:$S545,17)="NA",0,INDEX($C545:$S545,14):INDEX($C545:$S545,17))-INDEX($AQ$2:$BG$7,MATCH($B545,$AO$2:$AO$7,0),14):INDEX($AQ$2:$BG$7,MATCH($B545,$AO$2:$AO$7,0),17)),0),IFERROR(AVERAGE(IF(INDEX($C545:$S545,Week+1):INDEX($C545:$S545,13)="NA",0,INDEX($C545:$S545,Week+1):INDEX($C545:$S545,13))-INDEX($AQ$2:$BG$7,MATCH($B545,$AO$2:$AO$7,0),Week+1):INDEX($AQ$2:$BG$7,MATCH($B545,$AO$2:$AO$7,0),13)),0))+ROW(A544)/1000000</f>
        <v>-2.3394559999999998</v>
      </c>
      <c r="AF545">
        <f t="shared" si="72"/>
        <v>136</v>
      </c>
      <c r="AG545">
        <f t="shared" si="73"/>
        <v>180</v>
      </c>
      <c r="AH545">
        <f t="shared" si="74"/>
        <v>223</v>
      </c>
      <c r="AI545">
        <f t="shared" si="75"/>
        <v>255</v>
      </c>
      <c r="AJ545" s="22">
        <f>IF(ISERROR(MATCH(A545,Rosters!$B$2:$B$155,0)),AD545,"")</f>
        <v>-1.4037417142857156</v>
      </c>
      <c r="AK545">
        <f t="shared" si="76"/>
        <v>82</v>
      </c>
      <c r="AL545" s="23">
        <f>COUNTIF(INDEX($C545:$S545,Week+1):INDEX($C545:$S545,13),"&gt;0")</f>
        <v>7</v>
      </c>
    </row>
    <row r="546" spans="1:38" x14ac:dyDescent="0.25">
      <c r="A546" t="s">
        <v>409</v>
      </c>
      <c r="B546" t="s">
        <v>770</v>
      </c>
      <c r="C546">
        <v>6.48</v>
      </c>
      <c r="D546">
        <v>7</v>
      </c>
      <c r="E546">
        <v>5.87</v>
      </c>
      <c r="F546">
        <v>6.39</v>
      </c>
      <c r="G546">
        <v>6.42</v>
      </c>
      <c r="H546">
        <v>5.08</v>
      </c>
      <c r="I546">
        <v>8.48</v>
      </c>
      <c r="J546">
        <v>7.38</v>
      </c>
      <c r="K546" t="s">
        <v>64</v>
      </c>
      <c r="L546">
        <v>3.12</v>
      </c>
      <c r="M546">
        <v>5.94</v>
      </c>
      <c r="N546">
        <v>5.22</v>
      </c>
      <c r="O546">
        <v>6.57</v>
      </c>
      <c r="P546">
        <v>5.83</v>
      </c>
      <c r="Q546">
        <v>5.14</v>
      </c>
      <c r="R546">
        <v>2.88</v>
      </c>
      <c r="S546">
        <v>7.16</v>
      </c>
      <c r="T546" s="2">
        <f>IF('ROS Rankings'!$AD$1,IFERROR(AVERAGE(INDEX($C546:$S546,14):INDEX($C546:$S546,17)),0),IFERROR(AVERAGE(INDEX($C546:$S546,Week+1):INDEX($C546:$S546,13)),0))</f>
        <v>5.9700000000000006</v>
      </c>
      <c r="U546" s="2" t="str">
        <f t="shared" si="78"/>
        <v/>
      </c>
      <c r="V546" s="2" t="str">
        <f t="shared" si="78"/>
        <v/>
      </c>
      <c r="W546" s="2" t="str">
        <f t="shared" si="78"/>
        <v/>
      </c>
      <c r="X546" s="2" t="str">
        <f t="shared" si="78"/>
        <v/>
      </c>
      <c r="Y546" s="2">
        <f t="shared" si="78"/>
        <v>5.9700000000000006</v>
      </c>
      <c r="Z546" s="2" t="str">
        <f t="shared" si="78"/>
        <v/>
      </c>
      <c r="AA546" s="23" t="str">
        <f t="shared" si="71"/>
        <v>D15</v>
      </c>
      <c r="AB546" s="2">
        <f>$T546-VLOOKUP($B546,Scores!$AG$1:$AM$7,5,FALSE)</f>
        <v>-0.84999999999999964</v>
      </c>
      <c r="AC546" s="2">
        <f>$T546-VLOOKUP($B546,Scores!$AG$1:$AM$7,6,FALSE)</f>
        <v>-0.32249999999999979</v>
      </c>
      <c r="AD546" s="2">
        <f>$T546-VLOOKUP($B546,Scores!$AG$1:$AM$7,7,FALSE)+(ROW(A545)/1000000)</f>
        <v>-0.20374071428571375</v>
      </c>
      <c r="AE546" s="2">
        <f t="array" ref="AE546">IF('ROS Rankings'!$AD$1,IFERROR(AVERAGE(IF(INDEX($C546:$S546,14):INDEX($C546:$S546,17)="NA",0,INDEX($C546:$S546,14):INDEX($C546:$S546,17))-INDEX($AQ$2:$BG$7,MATCH($B546,$AO$2:$AO$7,0),14):INDEX($AQ$2:$BG$7,MATCH($B546,$AO$2:$AO$7,0),17)),0),IFERROR(AVERAGE(IF(INDEX($C546:$S546,Week+1):INDEX($C546:$S546,13)="NA",0,INDEX($C546:$S546,Week+1):INDEX($C546:$S546,13))-INDEX($AQ$2:$BG$7,MATCH($B546,$AO$2:$AO$7,0),Week+1):INDEX($AQ$2:$BG$7,MATCH($B546,$AO$2:$AO$7,0),13)),0))+ROW(A545)/1000000</f>
        <v>-1.289455</v>
      </c>
      <c r="AF546">
        <f t="shared" si="72"/>
        <v>81</v>
      </c>
      <c r="AG546">
        <f t="shared" si="73"/>
        <v>122</v>
      </c>
      <c r="AH546">
        <f t="shared" si="74"/>
        <v>162</v>
      </c>
      <c r="AI546">
        <f t="shared" si="75"/>
        <v>194</v>
      </c>
      <c r="AJ546" s="22">
        <f>IF(ISERROR(MATCH(A546,Rosters!$B$2:$B$155,0)),AD546,"")</f>
        <v>-0.20374071428571375</v>
      </c>
      <c r="AK546">
        <f t="shared" si="76"/>
        <v>34</v>
      </c>
      <c r="AL546" s="23">
        <f>COUNTIF(INDEX($C546:$S546,Week+1):INDEX($C546:$S546,13),"&gt;0")</f>
        <v>7</v>
      </c>
    </row>
    <row r="547" spans="1:38" x14ac:dyDescent="0.25">
      <c r="A547" t="s">
        <v>425</v>
      </c>
      <c r="B547" t="s">
        <v>770</v>
      </c>
      <c r="C547">
        <v>6.28</v>
      </c>
      <c r="D547">
        <v>3.96</v>
      </c>
      <c r="E547">
        <v>6.44</v>
      </c>
      <c r="F547">
        <v>8.36</v>
      </c>
      <c r="G547">
        <v>5.75</v>
      </c>
      <c r="H547">
        <v>7.25</v>
      </c>
      <c r="I547" t="s">
        <v>64</v>
      </c>
      <c r="J547">
        <v>2.3199999999999998</v>
      </c>
      <c r="K547">
        <v>2.42</v>
      </c>
      <c r="L547">
        <v>5.98</v>
      </c>
      <c r="M547">
        <v>6.81</v>
      </c>
      <c r="N547">
        <v>4.5599999999999996</v>
      </c>
      <c r="O547">
        <v>6.66</v>
      </c>
      <c r="P547">
        <v>2.86</v>
      </c>
      <c r="Q547">
        <v>6.74</v>
      </c>
      <c r="R547">
        <v>7</v>
      </c>
      <c r="S547">
        <v>5.17</v>
      </c>
      <c r="T547" s="2">
        <f>IF('ROS Rankings'!$AD$1,IFERROR(AVERAGE(INDEX($C547:$S547,14):INDEX($C547:$S547,17)),0),IFERROR(AVERAGE(INDEX($C547:$S547,Week+1):INDEX($C547:$S547,13)),0))</f>
        <v>5.1428571428571432</v>
      </c>
      <c r="U547" s="2" t="str">
        <f t="shared" si="78"/>
        <v/>
      </c>
      <c r="V547" s="2" t="str">
        <f t="shared" si="78"/>
        <v/>
      </c>
      <c r="W547" s="2" t="str">
        <f t="shared" si="78"/>
        <v/>
      </c>
      <c r="X547" s="2" t="str">
        <f t="shared" si="78"/>
        <v/>
      </c>
      <c r="Y547" s="2">
        <f t="shared" si="78"/>
        <v>5.1428571428571432</v>
      </c>
      <c r="Z547" s="2" t="str">
        <f t="shared" si="78"/>
        <v/>
      </c>
      <c r="AA547" s="23" t="str">
        <f t="shared" si="71"/>
        <v>D23</v>
      </c>
      <c r="AB547" s="2">
        <f>$T547-VLOOKUP($B547,Scores!$AG$1:$AM$7,5,FALSE)</f>
        <v>-1.677142857142857</v>
      </c>
      <c r="AC547" s="2">
        <f>$T547-VLOOKUP($B547,Scores!$AG$1:$AM$7,6,FALSE)</f>
        <v>-1.1496428571428572</v>
      </c>
      <c r="AD547" s="2">
        <f>$T547-VLOOKUP($B547,Scores!$AG$1:$AM$7,7,FALSE)+(ROW(A546)/1000000)</f>
        <v>-1.0308825714285712</v>
      </c>
      <c r="AE547" s="2">
        <f t="array" ref="AE547">IF('ROS Rankings'!$AD$1,IFERROR(AVERAGE(IF(INDEX($C547:$S547,14):INDEX($C547:$S547,17)="NA",0,INDEX($C547:$S547,14):INDEX($C547:$S547,17))-INDEX($AQ$2:$BG$7,MATCH($B547,$AO$2:$AO$7,0),14):INDEX($AQ$2:$BG$7,MATCH($B547,$AO$2:$AO$7,0),17)),0),IFERROR(AVERAGE(IF(INDEX($C547:$S547,Week+1):INDEX($C547:$S547,13)="NA",0,INDEX($C547:$S547,Week+1):INDEX($C547:$S547,13))-INDEX($AQ$2:$BG$7,MATCH($B547,$AO$2:$AO$7,0),Week+1):INDEX($AQ$2:$BG$7,MATCH($B547,$AO$2:$AO$7,0),13)),0))+ROW(A546)/1000000</f>
        <v>-2.0132040000000004</v>
      </c>
      <c r="AF547">
        <f t="shared" si="72"/>
        <v>117</v>
      </c>
      <c r="AG547">
        <f t="shared" si="73"/>
        <v>167</v>
      </c>
      <c r="AH547">
        <f t="shared" si="74"/>
        <v>200</v>
      </c>
      <c r="AI547">
        <f t="shared" si="75"/>
        <v>238</v>
      </c>
      <c r="AJ547" s="22">
        <f>IF(ISERROR(MATCH(A547,Rosters!$B$2:$B$155,0)),AD547,"")</f>
        <v>-1.0308825714285712</v>
      </c>
      <c r="AK547">
        <f t="shared" si="76"/>
        <v>64</v>
      </c>
      <c r="AL547" s="23">
        <f>COUNTIF(INDEX($C547:$S547,Week+1):INDEX($C547:$S547,13),"&gt;0")</f>
        <v>7</v>
      </c>
    </row>
    <row r="548" spans="1:38" x14ac:dyDescent="0.25">
      <c r="A548" t="s">
        <v>434</v>
      </c>
      <c r="B548" t="s">
        <v>770</v>
      </c>
      <c r="C548">
        <v>2.08</v>
      </c>
      <c r="D548">
        <v>-0.14000000000000001</v>
      </c>
      <c r="E548">
        <v>7.2</v>
      </c>
      <c r="F548">
        <v>6.7</v>
      </c>
      <c r="G548">
        <v>5.83</v>
      </c>
      <c r="H548">
        <v>3.02</v>
      </c>
      <c r="I548">
        <v>4.7</v>
      </c>
      <c r="J548">
        <v>4.5199999999999996</v>
      </c>
      <c r="K548">
        <v>3.46</v>
      </c>
      <c r="L548">
        <v>3.76</v>
      </c>
      <c r="M548" t="s">
        <v>64</v>
      </c>
      <c r="N548">
        <v>7.54</v>
      </c>
      <c r="O548">
        <v>6.44</v>
      </c>
      <c r="P548">
        <v>3.33</v>
      </c>
      <c r="Q548">
        <v>8.26</v>
      </c>
      <c r="R548">
        <v>7.54</v>
      </c>
      <c r="S548">
        <v>6.12</v>
      </c>
      <c r="T548" s="2">
        <f>IF('ROS Rankings'!$AD$1,IFERROR(AVERAGE(INDEX($C548:$S548,14):INDEX($C548:$S548,17)),0),IFERROR(AVERAGE(INDEX($C548:$S548,Week+1):INDEX($C548:$S548,13)),0))</f>
        <v>4.7771428571428567</v>
      </c>
      <c r="U548" s="2" t="str">
        <f t="shared" si="78"/>
        <v/>
      </c>
      <c r="V548" s="2" t="str">
        <f t="shared" si="78"/>
        <v/>
      </c>
      <c r="W548" s="2" t="str">
        <f t="shared" si="78"/>
        <v/>
      </c>
      <c r="X548" s="2" t="str">
        <f t="shared" si="78"/>
        <v/>
      </c>
      <c r="Y548" s="2">
        <f t="shared" si="78"/>
        <v>4.7771428571428567</v>
      </c>
      <c r="Z548" s="2" t="str">
        <f t="shared" si="78"/>
        <v/>
      </c>
      <c r="AA548" s="23" t="str">
        <f t="shared" si="71"/>
        <v>D26</v>
      </c>
      <c r="AB548" s="2">
        <f>$T548-VLOOKUP($B548,Scores!$AG$1:$AM$7,5,FALSE)</f>
        <v>-2.0428571428571436</v>
      </c>
      <c r="AC548" s="2">
        <f>$T548-VLOOKUP($B548,Scores!$AG$1:$AM$7,6,FALSE)</f>
        <v>-1.5153571428571437</v>
      </c>
      <c r="AD548" s="2">
        <f>$T548-VLOOKUP($B548,Scores!$AG$1:$AM$7,7,FALSE)+(ROW(A547)/1000000)</f>
        <v>-1.3965958571428576</v>
      </c>
      <c r="AE548" s="2">
        <f t="array" ref="AE548">IF('ROS Rankings'!$AD$1,IFERROR(AVERAGE(IF(INDEX($C548:$S548,14):INDEX($C548:$S548,17)="NA",0,INDEX($C548:$S548,14):INDEX($C548:$S548,17))-INDEX($AQ$2:$BG$7,MATCH($B548,$AO$2:$AO$7,0),14):INDEX($AQ$2:$BG$7,MATCH($B548,$AO$2:$AO$7,0),17)),0),IFERROR(AVERAGE(IF(INDEX($C548:$S548,Week+1):INDEX($C548:$S548,13)="NA",0,INDEX($C548:$S548,Week+1):INDEX($C548:$S548,13))-INDEX($AQ$2:$BG$7,MATCH($B548,$AO$2:$AO$7,0),Week+1):INDEX($AQ$2:$BG$7,MATCH($B548,$AO$2:$AO$7,0),13)),0))+ROW(A547)/1000000</f>
        <v>-2.3332030000000001</v>
      </c>
      <c r="AF548">
        <f t="shared" si="72"/>
        <v>134</v>
      </c>
      <c r="AG548">
        <f t="shared" si="73"/>
        <v>178</v>
      </c>
      <c r="AH548">
        <f t="shared" si="74"/>
        <v>221</v>
      </c>
      <c r="AI548">
        <f t="shared" si="75"/>
        <v>253</v>
      </c>
      <c r="AJ548" s="22" t="str">
        <f>IF(ISERROR(MATCH(A548,Rosters!$B$2:$B$155,0)),AD548,"")</f>
        <v/>
      </c>
      <c r="AK548" t="str">
        <f t="shared" si="76"/>
        <v/>
      </c>
      <c r="AL548" s="23">
        <f>COUNTIF(INDEX($C548:$S548,Week+1):INDEX($C548:$S548,13),"&gt;0")</f>
        <v>7</v>
      </c>
    </row>
    <row r="549" spans="1:38" x14ac:dyDescent="0.25">
      <c r="A549" t="s">
        <v>424</v>
      </c>
      <c r="B549" t="s">
        <v>770</v>
      </c>
      <c r="C549">
        <v>8.14</v>
      </c>
      <c r="D549">
        <v>5.0599999999999996</v>
      </c>
      <c r="E549">
        <v>5.69</v>
      </c>
      <c r="F549">
        <v>5.93</v>
      </c>
      <c r="G549">
        <v>5.72</v>
      </c>
      <c r="H549">
        <v>6.74</v>
      </c>
      <c r="I549" t="s">
        <v>64</v>
      </c>
      <c r="J549">
        <v>7.8</v>
      </c>
      <c r="K549">
        <v>8.2200000000000006</v>
      </c>
      <c r="L549">
        <v>4.3</v>
      </c>
      <c r="M549">
        <v>4.74</v>
      </c>
      <c r="N549">
        <v>7.44</v>
      </c>
      <c r="O549">
        <v>3.78</v>
      </c>
      <c r="P549">
        <v>6.26</v>
      </c>
      <c r="Q549">
        <v>2.58</v>
      </c>
      <c r="R549">
        <v>2.82</v>
      </c>
      <c r="S549">
        <v>6.74</v>
      </c>
      <c r="T549" s="2">
        <f>IF('ROS Rankings'!$AD$1,IFERROR(AVERAGE(INDEX($C549:$S549,14):INDEX($C549:$S549,17)),0),IFERROR(AVERAGE(INDEX($C549:$S549,Week+1):INDEX($C549:$S549,13)),0))</f>
        <v>6.145714285714285</v>
      </c>
      <c r="U549" s="2" t="str">
        <f t="shared" si="78"/>
        <v/>
      </c>
      <c r="V549" s="2" t="str">
        <f t="shared" si="78"/>
        <v/>
      </c>
      <c r="W549" s="2" t="str">
        <f t="shared" si="78"/>
        <v/>
      </c>
      <c r="X549" s="2" t="str">
        <f t="shared" si="78"/>
        <v/>
      </c>
      <c r="Y549" s="2">
        <f t="shared" si="78"/>
        <v>6.145714285714285</v>
      </c>
      <c r="Z549" s="2" t="str">
        <f t="shared" si="78"/>
        <v/>
      </c>
      <c r="AA549" s="23" t="str">
        <f t="shared" si="71"/>
        <v>D13</v>
      </c>
      <c r="AB549" s="2">
        <f>$T549-VLOOKUP($B549,Scores!$AG$1:$AM$7,5,FALSE)</f>
        <v>-0.67428571428571527</v>
      </c>
      <c r="AC549" s="2">
        <f>$T549-VLOOKUP($B549,Scores!$AG$1:$AM$7,6,FALSE)</f>
        <v>-0.14678571428571541</v>
      </c>
      <c r="AD549" s="2">
        <f>$T549-VLOOKUP($B549,Scores!$AG$1:$AM$7,7,FALSE)+(ROW(A548)/1000000)</f>
        <v>-2.8023428571429358E-2</v>
      </c>
      <c r="AE549" s="2">
        <f t="array" ref="AE549">IF('ROS Rankings'!$AD$1,IFERROR(AVERAGE(IF(INDEX($C549:$S549,14):INDEX($C549:$S549,17)="NA",0,INDEX($C549:$S549,14):INDEX($C549:$S549,17))-INDEX($AQ$2:$BG$7,MATCH($B549,$AO$2:$AO$7,0),14):INDEX($AQ$2:$BG$7,MATCH($B549,$AO$2:$AO$7,0),17)),0),IFERROR(AVERAGE(IF(INDEX($C549:$S549,Week+1):INDEX($C549:$S549,13)="NA",0,INDEX($C549:$S549,Week+1):INDEX($C549:$S549,13))-INDEX($AQ$2:$BG$7,MATCH($B549,$AO$2:$AO$7,0),Week+1):INDEX($AQ$2:$BG$7,MATCH($B549,$AO$2:$AO$7,0),13)),0))+ROW(A548)/1000000</f>
        <v>-1.135702</v>
      </c>
      <c r="AF549">
        <f t="shared" si="72"/>
        <v>75</v>
      </c>
      <c r="AG549">
        <f t="shared" si="73"/>
        <v>115</v>
      </c>
      <c r="AH549">
        <f t="shared" si="74"/>
        <v>153</v>
      </c>
      <c r="AI549">
        <f t="shared" si="75"/>
        <v>177</v>
      </c>
      <c r="AJ549" s="22">
        <f>IF(ISERROR(MATCH(A549,Rosters!$B$2:$B$155,0)),AD549,"")</f>
        <v>-2.8023428571429358E-2</v>
      </c>
      <c r="AK549">
        <f t="shared" si="76"/>
        <v>26</v>
      </c>
      <c r="AL549" s="23">
        <f>COUNTIF(INDEX($C549:$S549,Week+1):INDEX($C549:$S549,13),"&gt;0")</f>
        <v>7</v>
      </c>
    </row>
    <row r="550" spans="1:38" x14ac:dyDescent="0.25">
      <c r="A550" t="s">
        <v>408</v>
      </c>
      <c r="B550" t="s">
        <v>770</v>
      </c>
      <c r="C550">
        <v>4.8600000000000003</v>
      </c>
      <c r="D550">
        <v>4.18</v>
      </c>
      <c r="E550">
        <v>6.13</v>
      </c>
      <c r="F550">
        <v>4.9400000000000004</v>
      </c>
      <c r="G550">
        <v>5.3</v>
      </c>
      <c r="H550">
        <v>5.78</v>
      </c>
      <c r="I550">
        <v>4.18</v>
      </c>
      <c r="J550">
        <v>5.0599999999999996</v>
      </c>
      <c r="K550" t="s">
        <v>64</v>
      </c>
      <c r="L550">
        <v>6.52</v>
      </c>
      <c r="M550">
        <v>6.07</v>
      </c>
      <c r="N550">
        <v>5.78</v>
      </c>
      <c r="O550">
        <v>4.76</v>
      </c>
      <c r="P550">
        <v>5.0599999999999996</v>
      </c>
      <c r="Q550">
        <v>5.74</v>
      </c>
      <c r="R550">
        <v>8</v>
      </c>
      <c r="S550">
        <v>6.02</v>
      </c>
      <c r="T550" s="2">
        <f>IF('ROS Rankings'!$AD$1,IFERROR(AVERAGE(INDEX($C550:$S550,14):INDEX($C550:$S550,17)),0),IFERROR(AVERAGE(INDEX($C550:$S550,Week+1):INDEX($C550:$S550,13)),0))</f>
        <v>5.45</v>
      </c>
      <c r="U550" s="2" t="str">
        <f t="shared" si="78"/>
        <v/>
      </c>
      <c r="V550" s="2" t="str">
        <f t="shared" si="78"/>
        <v/>
      </c>
      <c r="W550" s="2" t="str">
        <f t="shared" si="78"/>
        <v/>
      </c>
      <c r="X550" s="2" t="str">
        <f t="shared" si="78"/>
        <v/>
      </c>
      <c r="Y550" s="2">
        <f t="shared" si="78"/>
        <v>5.45</v>
      </c>
      <c r="Z550" s="2" t="str">
        <f t="shared" si="78"/>
        <v/>
      </c>
      <c r="AA550" s="23" t="str">
        <f t="shared" si="71"/>
        <v>D20</v>
      </c>
      <c r="AB550" s="2">
        <f>$T550-VLOOKUP($B550,Scores!$AG$1:$AM$7,5,FALSE)</f>
        <v>-1.37</v>
      </c>
      <c r="AC550" s="2">
        <f>$T550-VLOOKUP($B550,Scores!$AG$1:$AM$7,6,FALSE)</f>
        <v>-0.84250000000000025</v>
      </c>
      <c r="AD550" s="2">
        <f>$T550-VLOOKUP($B550,Scores!$AG$1:$AM$7,7,FALSE)+(ROW(A549)/1000000)</f>
        <v>-0.72373671428571418</v>
      </c>
      <c r="AE550" s="2">
        <f t="array" ref="AE550">IF('ROS Rankings'!$AD$1,IFERROR(AVERAGE(IF(INDEX($C550:$S550,14):INDEX($C550:$S550,17)="NA",0,INDEX($C550:$S550,14):INDEX($C550:$S550,17))-INDEX($AQ$2:$BG$7,MATCH($B550,$AO$2:$AO$7,0),14):INDEX($AQ$2:$BG$7,MATCH($B550,$AO$2:$AO$7,0),17)),0),IFERROR(AVERAGE(IF(INDEX($C550:$S550,Week+1):INDEX($C550:$S550,13)="NA",0,INDEX($C550:$S550,Week+1):INDEX($C550:$S550,13))-INDEX($AQ$2:$BG$7,MATCH($B550,$AO$2:$AO$7,0),Week+1):INDEX($AQ$2:$BG$7,MATCH($B550,$AO$2:$AO$7,0),13)),0))+ROW(A549)/1000000</f>
        <v>-1.7444510000000002</v>
      </c>
      <c r="AF550">
        <f t="shared" si="72"/>
        <v>108</v>
      </c>
      <c r="AG550">
        <f t="shared" si="73"/>
        <v>155</v>
      </c>
      <c r="AH550">
        <f t="shared" si="74"/>
        <v>187</v>
      </c>
      <c r="AI550">
        <f t="shared" si="75"/>
        <v>226</v>
      </c>
      <c r="AJ550" s="22">
        <f>IF(ISERROR(MATCH(A550,Rosters!$B$2:$B$155,0)),AD550,"")</f>
        <v>-0.72373671428571418</v>
      </c>
      <c r="AK550">
        <f t="shared" si="76"/>
        <v>54</v>
      </c>
      <c r="AL550" s="23">
        <f>COUNTIF(INDEX($C550:$S550,Week+1):INDEX($C550:$S550,13),"&gt;0")</f>
        <v>7</v>
      </c>
    </row>
    <row r="551" spans="1:38" x14ac:dyDescent="0.25">
      <c r="A551" t="s">
        <v>413</v>
      </c>
      <c r="B551" t="s">
        <v>770</v>
      </c>
      <c r="C551">
        <v>4.7</v>
      </c>
      <c r="D551">
        <v>4.68</v>
      </c>
      <c r="E551">
        <v>7.31</v>
      </c>
      <c r="F551" t="s">
        <v>64</v>
      </c>
      <c r="G551">
        <v>7.66</v>
      </c>
      <c r="H551">
        <v>7.64</v>
      </c>
      <c r="I551">
        <v>7.24</v>
      </c>
      <c r="J551">
        <v>7.86</v>
      </c>
      <c r="K551">
        <v>7.42</v>
      </c>
      <c r="L551">
        <v>7.04</v>
      </c>
      <c r="M551">
        <v>7.75</v>
      </c>
      <c r="N551">
        <v>7.2</v>
      </c>
      <c r="O551">
        <v>7.42</v>
      </c>
      <c r="P551">
        <v>7.78</v>
      </c>
      <c r="Q551">
        <v>2.74</v>
      </c>
      <c r="R551">
        <v>4.82</v>
      </c>
      <c r="S551">
        <v>2.74</v>
      </c>
      <c r="T551" s="2">
        <f>IF('ROS Rankings'!$AD$1,IFERROR(AVERAGE(INDEX($C551:$S551,14):INDEX($C551:$S551,17)),0),IFERROR(AVERAGE(INDEX($C551:$S551,Week+1):INDEX($C551:$S551,13)),0))</f>
        <v>7.44625</v>
      </c>
      <c r="U551" s="2" t="str">
        <f t="shared" si="78"/>
        <v/>
      </c>
      <c r="V551" s="2" t="str">
        <f t="shared" si="78"/>
        <v/>
      </c>
      <c r="W551" s="2" t="str">
        <f t="shared" si="78"/>
        <v/>
      </c>
      <c r="X551" s="2" t="str">
        <f t="shared" si="78"/>
        <v/>
      </c>
      <c r="Y551" s="2">
        <f t="shared" si="78"/>
        <v>7.44625</v>
      </c>
      <c r="Z551" s="2" t="str">
        <f t="shared" si="78"/>
        <v/>
      </c>
      <c r="AA551" s="23" t="str">
        <f t="shared" si="71"/>
        <v>D3</v>
      </c>
      <c r="AB551" s="2">
        <f>$T551-VLOOKUP($B551,Scores!$AG$1:$AM$7,5,FALSE)</f>
        <v>0.62624999999999975</v>
      </c>
      <c r="AC551" s="2">
        <f>$T551-VLOOKUP($B551,Scores!$AG$1:$AM$7,6,FALSE)</f>
        <v>1.1537499999999996</v>
      </c>
      <c r="AD551" s="2">
        <f>$T551-VLOOKUP($B551,Scores!$AG$1:$AM$7,7,FALSE)+(ROW(A550)/1000000)</f>
        <v>1.2725142857142857</v>
      </c>
      <c r="AE551" s="2">
        <f t="array" ref="AE551">IF('ROS Rankings'!$AD$1,IFERROR(AVERAGE(IF(INDEX($C551:$S551,14):INDEX($C551:$S551,17)="NA",0,INDEX($C551:$S551,14):INDEX($C551:$S551,17))-INDEX($AQ$2:$BG$7,MATCH($B551,$AO$2:$AO$7,0),14):INDEX($AQ$2:$BG$7,MATCH($B551,$AO$2:$AO$7,0),17)),0),IFERROR(AVERAGE(IF(INDEX($C551:$S551,Week+1):INDEX($C551:$S551,13)="NA",0,INDEX($C551:$S551,Week+1):INDEX($C551:$S551,13))-INDEX($AQ$2:$BG$7,MATCH($B551,$AO$2:$AO$7,0),Week+1):INDEX($AQ$2:$BG$7,MATCH($B551,$AO$2:$AO$7,0),13)),0))+ROW(A550)/1000000</f>
        <v>0.93304999999999993</v>
      </c>
      <c r="AF551">
        <f t="shared" si="72"/>
        <v>33</v>
      </c>
      <c r="AG551">
        <f t="shared" si="73"/>
        <v>55</v>
      </c>
      <c r="AH551">
        <f t="shared" si="74"/>
        <v>96</v>
      </c>
      <c r="AI551">
        <f t="shared" si="75"/>
        <v>90</v>
      </c>
      <c r="AJ551" s="22" t="str">
        <f>IF(ISERROR(MATCH(A551,Rosters!$B$2:$B$155,0)),AD551,"")</f>
        <v/>
      </c>
      <c r="AK551" t="str">
        <f t="shared" si="76"/>
        <v/>
      </c>
      <c r="AL551" s="23">
        <f>COUNTIF(INDEX($C551:$S551,Week+1):INDEX($C551:$S551,13),"&gt;0")</f>
        <v>8</v>
      </c>
    </row>
    <row r="552" spans="1:38" x14ac:dyDescent="0.25">
      <c r="A552" t="s">
        <v>436</v>
      </c>
      <c r="B552" t="s">
        <v>770</v>
      </c>
      <c r="C552">
        <v>2.82</v>
      </c>
      <c r="D552">
        <v>4.1100000000000003</v>
      </c>
      <c r="E552">
        <v>4.67</v>
      </c>
      <c r="F552">
        <v>4.82</v>
      </c>
      <c r="G552">
        <v>7.82</v>
      </c>
      <c r="H552">
        <v>5.59</v>
      </c>
      <c r="I552">
        <v>2.2999999999999998</v>
      </c>
      <c r="J552">
        <v>7.84</v>
      </c>
      <c r="K552">
        <v>4.66</v>
      </c>
      <c r="L552">
        <v>7.2</v>
      </c>
      <c r="M552" t="s">
        <v>64</v>
      </c>
      <c r="N552">
        <v>4.76</v>
      </c>
      <c r="O552">
        <v>4.4400000000000004</v>
      </c>
      <c r="P552">
        <v>6.94</v>
      </c>
      <c r="Q552">
        <v>4.4400000000000004</v>
      </c>
      <c r="R552">
        <v>4.72</v>
      </c>
      <c r="S552">
        <v>2.2999999999999998</v>
      </c>
      <c r="T552" s="2">
        <f>IF('ROS Rankings'!$AD$1,IFERROR(AVERAGE(INDEX($C552:$S552,14):INDEX($C552:$S552,17)),0),IFERROR(AVERAGE(INDEX($C552:$S552,Week+1):INDEX($C552:$S552,13)),0))</f>
        <v>5.2557142857142853</v>
      </c>
      <c r="U552" s="2" t="str">
        <f t="shared" si="78"/>
        <v/>
      </c>
      <c r="V552" s="2" t="str">
        <f t="shared" si="78"/>
        <v/>
      </c>
      <c r="W552" s="2" t="str">
        <f t="shared" si="78"/>
        <v/>
      </c>
      <c r="X552" s="2" t="str">
        <f t="shared" si="78"/>
        <v/>
      </c>
      <c r="Y552" s="2">
        <f t="shared" si="78"/>
        <v>5.2557142857142853</v>
      </c>
      <c r="Z552" s="2" t="str">
        <f t="shared" si="78"/>
        <v/>
      </c>
      <c r="AA552" s="23" t="str">
        <f t="shared" si="71"/>
        <v>D22</v>
      </c>
      <c r="AB552" s="2">
        <f>$T552-VLOOKUP($B552,Scores!$AG$1:$AM$7,5,FALSE)</f>
        <v>-1.5642857142857149</v>
      </c>
      <c r="AC552" s="2">
        <f>$T552-VLOOKUP($B552,Scores!$AG$1:$AM$7,6,FALSE)</f>
        <v>-1.0367857142857151</v>
      </c>
      <c r="AD552" s="2">
        <f>$T552-VLOOKUP($B552,Scores!$AG$1:$AM$7,7,FALSE)+(ROW(A551)/1000000)</f>
        <v>-0.91802042857142907</v>
      </c>
      <c r="AE552" s="2">
        <f t="array" ref="AE552">IF('ROS Rankings'!$AD$1,IFERROR(AVERAGE(IF(INDEX($C552:$S552,14):INDEX($C552:$S552,17)="NA",0,INDEX($C552:$S552,14):INDEX($C552:$S552,17))-INDEX($AQ$2:$BG$7,MATCH($B552,$AO$2:$AO$7,0),14):INDEX($AQ$2:$BG$7,MATCH($B552,$AO$2:$AO$7,0),17)),0),IFERROR(AVERAGE(IF(INDEX($C552:$S552,Week+1):INDEX($C552:$S552,13)="NA",0,INDEX($C552:$S552,Week+1):INDEX($C552:$S552,13))-INDEX($AQ$2:$BG$7,MATCH($B552,$AO$2:$AO$7,0),Week+1):INDEX($AQ$2:$BG$7,MATCH($B552,$AO$2:$AO$7,0),13)),0))+ROW(A551)/1000000</f>
        <v>-1.9144490000000003</v>
      </c>
      <c r="AF552">
        <f t="shared" si="72"/>
        <v>114</v>
      </c>
      <c r="AG552">
        <f t="shared" si="73"/>
        <v>161</v>
      </c>
      <c r="AH552">
        <f t="shared" si="74"/>
        <v>199</v>
      </c>
      <c r="AI552">
        <f t="shared" si="75"/>
        <v>233</v>
      </c>
      <c r="AJ552" s="22">
        <f>IF(ISERROR(MATCH(A552,Rosters!$B$2:$B$155,0)),AD552,"")</f>
        <v>-0.91802042857142907</v>
      </c>
      <c r="AK552">
        <f t="shared" si="76"/>
        <v>63</v>
      </c>
      <c r="AL552" s="23">
        <f>COUNTIF(INDEX($C552:$S552,Week+1):INDEX($C552:$S552,13),"&gt;0")</f>
        <v>7</v>
      </c>
    </row>
    <row r="553" spans="1:38" x14ac:dyDescent="0.25">
      <c r="A553" t="s">
        <v>422</v>
      </c>
      <c r="B553" t="s">
        <v>770</v>
      </c>
      <c r="C553">
        <v>5.2</v>
      </c>
      <c r="D553">
        <v>6.9</v>
      </c>
      <c r="E553">
        <v>6.6</v>
      </c>
      <c r="F553">
        <v>4.79</v>
      </c>
      <c r="G553">
        <v>5.46</v>
      </c>
      <c r="H553">
        <v>5.8</v>
      </c>
      <c r="I553">
        <v>6.37</v>
      </c>
      <c r="J553">
        <v>4.62</v>
      </c>
      <c r="K553">
        <v>7.74</v>
      </c>
      <c r="L553">
        <v>5.07</v>
      </c>
      <c r="M553" t="s">
        <v>64</v>
      </c>
      <c r="N553">
        <v>7.3</v>
      </c>
      <c r="O553">
        <v>7.46</v>
      </c>
      <c r="P553">
        <v>2.2400000000000002</v>
      </c>
      <c r="Q553">
        <v>3.6</v>
      </c>
      <c r="R553">
        <v>2.3199999999999998</v>
      </c>
      <c r="S553">
        <v>7.46</v>
      </c>
      <c r="T553" s="2">
        <f>IF('ROS Rankings'!$AD$1,IFERROR(AVERAGE(INDEX($C553:$S553,14):INDEX($C553:$S553,17)),0),IFERROR(AVERAGE(INDEX($C553:$S553,Week+1):INDEX($C553:$S553,13)),0))</f>
        <v>6.3371428571428572</v>
      </c>
      <c r="U553" s="2" t="str">
        <f t="shared" si="78"/>
        <v/>
      </c>
      <c r="V553" s="2" t="str">
        <f t="shared" si="78"/>
        <v/>
      </c>
      <c r="W553" s="2" t="str">
        <f t="shared" si="78"/>
        <v/>
      </c>
      <c r="X553" s="2" t="str">
        <f t="shared" si="78"/>
        <v/>
      </c>
      <c r="Y553" s="2">
        <f t="shared" si="78"/>
        <v>6.3371428571428572</v>
      </c>
      <c r="Z553" s="2" t="str">
        <f t="shared" si="78"/>
        <v/>
      </c>
      <c r="AA553" s="23" t="str">
        <f t="shared" si="71"/>
        <v>D9</v>
      </c>
      <c r="AB553" s="2">
        <f>$T553-VLOOKUP($B553,Scores!$AG$1:$AM$7,5,FALSE)</f>
        <v>-0.4828571428571431</v>
      </c>
      <c r="AC553" s="2">
        <f>$T553-VLOOKUP($B553,Scores!$AG$1:$AM$7,6,FALSE)</f>
        <v>4.4642857142856762E-2</v>
      </c>
      <c r="AD553" s="2">
        <f>$T553-VLOOKUP($B553,Scores!$AG$1:$AM$7,7,FALSE)+(ROW(A552)/1000000)</f>
        <v>0.16340914285714281</v>
      </c>
      <c r="AE553" s="2">
        <f t="array" ref="AE553">IF('ROS Rankings'!$AD$1,IFERROR(AVERAGE(IF(INDEX($C553:$S553,14):INDEX($C553:$S553,17)="NA",0,INDEX($C553:$S553,14):INDEX($C553:$S553,17))-INDEX($AQ$2:$BG$7,MATCH($B553,$AO$2:$AO$7,0),14):INDEX($AQ$2:$BG$7,MATCH($B553,$AO$2:$AO$7,0),17)),0),IFERROR(AVERAGE(IF(INDEX($C553:$S553,Week+1):INDEX($C553:$S553,13)="NA",0,INDEX($C553:$S553,Week+1):INDEX($C553:$S553,13))-INDEX($AQ$2:$BG$7,MATCH($B553,$AO$2:$AO$7,0),Week+1):INDEX($AQ$2:$BG$7,MATCH($B553,$AO$2:$AO$7,0),13)),0))+ROW(A552)/1000000</f>
        <v>-0.96819800000000011</v>
      </c>
      <c r="AF553">
        <f t="shared" si="72"/>
        <v>65</v>
      </c>
      <c r="AG553">
        <f t="shared" si="73"/>
        <v>91</v>
      </c>
      <c r="AH553">
        <f t="shared" si="74"/>
        <v>133</v>
      </c>
      <c r="AI553">
        <f t="shared" si="75"/>
        <v>170</v>
      </c>
      <c r="AJ553" s="22">
        <f>IF(ISERROR(MATCH(A553,Rosters!$B$2:$B$155,0)),AD553,"")</f>
        <v>0.16340914285714281</v>
      </c>
      <c r="AK553">
        <f t="shared" si="76"/>
        <v>14</v>
      </c>
      <c r="AL553" s="23">
        <f>COUNTIF(INDEX($C553:$S553,Week+1):INDEX($C553:$S553,13),"&gt;0")</f>
        <v>7</v>
      </c>
    </row>
    <row r="554" spans="1:38" x14ac:dyDescent="0.25">
      <c r="A554" t="s">
        <v>417</v>
      </c>
      <c r="B554" t="s">
        <v>770</v>
      </c>
      <c r="C554">
        <v>6.22</v>
      </c>
      <c r="D554">
        <v>7.6</v>
      </c>
      <c r="E554">
        <v>5.67</v>
      </c>
      <c r="F554">
        <v>5.4</v>
      </c>
      <c r="G554">
        <v>7.13</v>
      </c>
      <c r="H554">
        <v>6.22</v>
      </c>
      <c r="I554">
        <v>2.94</v>
      </c>
      <c r="J554">
        <v>6.12</v>
      </c>
      <c r="K554" t="s">
        <v>64</v>
      </c>
      <c r="L554">
        <v>3.58</v>
      </c>
      <c r="M554">
        <v>6.84</v>
      </c>
      <c r="N554">
        <v>7.61</v>
      </c>
      <c r="O554">
        <v>7.5</v>
      </c>
      <c r="P554">
        <v>3.94</v>
      </c>
      <c r="Q554">
        <v>6.8</v>
      </c>
      <c r="R554">
        <v>7.61</v>
      </c>
      <c r="S554">
        <v>6.22</v>
      </c>
      <c r="T554" s="2">
        <f>IF('ROS Rankings'!$AD$1,IFERROR(AVERAGE(INDEX($C554:$S554,14):INDEX($C554:$S554,17)),0),IFERROR(AVERAGE(INDEX($C554:$S554,Week+1):INDEX($C554:$S554,13)),0))</f>
        <v>5.83</v>
      </c>
      <c r="U554" s="2" t="str">
        <f t="shared" si="78"/>
        <v/>
      </c>
      <c r="V554" s="2" t="str">
        <f t="shared" si="78"/>
        <v/>
      </c>
      <c r="W554" s="2" t="str">
        <f t="shared" si="78"/>
        <v/>
      </c>
      <c r="X554" s="2" t="str">
        <f t="shared" si="78"/>
        <v/>
      </c>
      <c r="Y554" s="2">
        <f t="shared" si="78"/>
        <v>5.83</v>
      </c>
      <c r="Z554" s="2" t="str">
        <f t="shared" si="78"/>
        <v/>
      </c>
      <c r="AA554" s="23" t="str">
        <f t="shared" si="71"/>
        <v>D17</v>
      </c>
      <c r="AB554" s="2">
        <f>$T554-VLOOKUP($B554,Scores!$AG$1:$AM$7,5,FALSE)</f>
        <v>-0.99000000000000021</v>
      </c>
      <c r="AC554" s="2">
        <f>$T554-VLOOKUP($B554,Scores!$AG$1:$AM$7,6,FALSE)</f>
        <v>-0.46250000000000036</v>
      </c>
      <c r="AD554" s="2">
        <f>$T554-VLOOKUP($B554,Scores!$AG$1:$AM$7,7,FALSE)+(ROW(A553)/1000000)</f>
        <v>-0.34373271428571428</v>
      </c>
      <c r="AE554" s="2">
        <f t="array" ref="AE554">IF('ROS Rankings'!$AD$1,IFERROR(AVERAGE(IF(INDEX($C554:$S554,14):INDEX($C554:$S554,17)="NA",0,INDEX($C554:$S554,14):INDEX($C554:$S554,17))-INDEX($AQ$2:$BG$7,MATCH($B554,$AO$2:$AO$7,0),14):INDEX($AQ$2:$BG$7,MATCH($B554,$AO$2:$AO$7,0),17)),0),IFERROR(AVERAGE(IF(INDEX($C554:$S554,Week+1):INDEX($C554:$S554,13)="NA",0,INDEX($C554:$S554,Week+1):INDEX($C554:$S554,13))-INDEX($AQ$2:$BG$7,MATCH($B554,$AO$2:$AO$7,0),Week+1):INDEX($AQ$2:$BG$7,MATCH($B554,$AO$2:$AO$7,0),13)),0))+ROW(A553)/1000000</f>
        <v>-1.4119470000000005</v>
      </c>
      <c r="AF554">
        <f t="shared" si="72"/>
        <v>90</v>
      </c>
      <c r="AG554">
        <f t="shared" si="73"/>
        <v>133</v>
      </c>
      <c r="AH554">
        <f t="shared" si="74"/>
        <v>169</v>
      </c>
      <c r="AI554">
        <f t="shared" si="75"/>
        <v>205</v>
      </c>
      <c r="AJ554" s="22">
        <f>IF(ISERROR(MATCH(A554,Rosters!$B$2:$B$155,0)),AD554,"")</f>
        <v>-0.34373271428571428</v>
      </c>
      <c r="AK554">
        <f t="shared" si="76"/>
        <v>39</v>
      </c>
      <c r="AL554" s="23">
        <f>COUNTIF(INDEX($C554:$S554,Week+1):INDEX($C554:$S554,13),"&gt;0")</f>
        <v>7</v>
      </c>
    </row>
    <row r="555" spans="1:38" x14ac:dyDescent="0.25">
      <c r="A555" t="s">
        <v>427</v>
      </c>
      <c r="B555" t="s">
        <v>770</v>
      </c>
      <c r="C555">
        <v>7.56</v>
      </c>
      <c r="D555">
        <v>6.96</v>
      </c>
      <c r="E555">
        <v>5.3</v>
      </c>
      <c r="F555">
        <v>6.12</v>
      </c>
      <c r="G555">
        <v>7.16</v>
      </c>
      <c r="H555">
        <v>4.45</v>
      </c>
      <c r="I555">
        <v>2.92</v>
      </c>
      <c r="J555" t="s">
        <v>64</v>
      </c>
      <c r="K555">
        <v>5.28</v>
      </c>
      <c r="L555">
        <v>2.7</v>
      </c>
      <c r="M555">
        <v>7.06</v>
      </c>
      <c r="N555">
        <v>3.89</v>
      </c>
      <c r="O555">
        <v>7.1</v>
      </c>
      <c r="P555">
        <v>2.86</v>
      </c>
      <c r="Q555">
        <v>7.58</v>
      </c>
      <c r="R555">
        <v>3.72</v>
      </c>
      <c r="S555">
        <v>7.06</v>
      </c>
      <c r="T555" s="2">
        <f>IF('ROS Rankings'!$AD$1,IFERROR(AVERAGE(INDEX($C555:$S555,14):INDEX($C555:$S555,17)),0),IFERROR(AVERAGE(INDEX($C555:$S555,Week+1):INDEX($C555:$S555,13)),0))</f>
        <v>4.7714285714285714</v>
      </c>
      <c r="U555" s="2" t="str">
        <f t="shared" si="78"/>
        <v/>
      </c>
      <c r="V555" s="2" t="str">
        <f t="shared" si="78"/>
        <v/>
      </c>
      <c r="W555" s="2" t="str">
        <f t="shared" si="78"/>
        <v/>
      </c>
      <c r="X555" s="2" t="str">
        <f t="shared" si="78"/>
        <v/>
      </c>
      <c r="Y555" s="2">
        <f t="shared" si="78"/>
        <v>4.7714285714285714</v>
      </c>
      <c r="Z555" s="2" t="str">
        <f t="shared" si="78"/>
        <v/>
      </c>
      <c r="AA555" s="23" t="str">
        <f t="shared" si="71"/>
        <v>D27</v>
      </c>
      <c r="AB555" s="2">
        <f>$T555-VLOOKUP($B555,Scores!$AG$1:$AM$7,5,FALSE)</f>
        <v>-2.0485714285714289</v>
      </c>
      <c r="AC555" s="2">
        <f>$T555-VLOOKUP($B555,Scores!$AG$1:$AM$7,6,FALSE)</f>
        <v>-1.5210714285714291</v>
      </c>
      <c r="AD555" s="2">
        <f>$T555-VLOOKUP($B555,Scores!$AG$1:$AM$7,7,FALSE)+(ROW(A554)/1000000)</f>
        <v>-1.4023031428571431</v>
      </c>
      <c r="AE555" s="2">
        <f t="array" ref="AE555">IF('ROS Rankings'!$AD$1,IFERROR(AVERAGE(IF(INDEX($C555:$S555,14):INDEX($C555:$S555,17)="NA",0,INDEX($C555:$S555,14):INDEX($C555:$S555,17))-INDEX($AQ$2:$BG$7,MATCH($B555,$AO$2:$AO$7,0),14):INDEX($AQ$2:$BG$7,MATCH($B555,$AO$2:$AO$7,0),17)),0),IFERROR(AVERAGE(IF(INDEX($C555:$S555,Week+1):INDEX($C555:$S555,13)="NA",0,INDEX($C555:$S555,Week+1):INDEX($C555:$S555,13))-INDEX($AQ$2:$BG$7,MATCH($B555,$AO$2:$AO$7,0),Week+1):INDEX($AQ$2:$BG$7,MATCH($B555,$AO$2:$AO$7,0),13)),0))+ROW(A554)/1000000</f>
        <v>-2.3381960000000004</v>
      </c>
      <c r="AF555">
        <f t="shared" si="72"/>
        <v>135</v>
      </c>
      <c r="AG555">
        <f t="shared" si="73"/>
        <v>179</v>
      </c>
      <c r="AH555">
        <f t="shared" si="74"/>
        <v>222</v>
      </c>
      <c r="AI555">
        <f t="shared" si="75"/>
        <v>254</v>
      </c>
      <c r="AJ555" s="22" t="str">
        <f>IF(ISERROR(MATCH(A555,Rosters!$B$2:$B$155,0)),AD555,"")</f>
        <v/>
      </c>
      <c r="AK555" t="str">
        <f t="shared" si="76"/>
        <v/>
      </c>
      <c r="AL555" s="23">
        <f>COUNTIF(INDEX($C555:$S555,Week+1):INDEX($C555:$S555,13),"&gt;0")</f>
        <v>7</v>
      </c>
    </row>
    <row r="556" spans="1:38" x14ac:dyDescent="0.25">
      <c r="A556" t="s">
        <v>415</v>
      </c>
      <c r="B556" t="s">
        <v>770</v>
      </c>
      <c r="C556">
        <v>7.54</v>
      </c>
      <c r="D556">
        <v>5.47</v>
      </c>
      <c r="E556">
        <v>6.94</v>
      </c>
      <c r="F556">
        <v>6.74</v>
      </c>
      <c r="G556">
        <v>7.34</v>
      </c>
      <c r="H556">
        <v>3.08</v>
      </c>
      <c r="I556">
        <v>6.04</v>
      </c>
      <c r="J556">
        <v>7.19</v>
      </c>
      <c r="K556">
        <v>6.91</v>
      </c>
      <c r="L556">
        <v>6.34</v>
      </c>
      <c r="M556" t="s">
        <v>64</v>
      </c>
      <c r="N556">
        <v>7.48</v>
      </c>
      <c r="O556">
        <v>5.0999999999999996</v>
      </c>
      <c r="P556">
        <v>5.62</v>
      </c>
      <c r="Q556">
        <v>5.89</v>
      </c>
      <c r="R556">
        <v>7.19</v>
      </c>
      <c r="S556">
        <v>7.48</v>
      </c>
      <c r="T556" s="2">
        <f>IF('ROS Rankings'!$AD$1,IFERROR(AVERAGE(INDEX($C556:$S556,14):INDEX($C556:$S556,17)),0),IFERROR(AVERAGE(INDEX($C556:$S556,Week+1):INDEX($C556:$S556,13)),0))</f>
        <v>6.0200000000000014</v>
      </c>
      <c r="U556" s="2" t="str">
        <f t="shared" si="78"/>
        <v/>
      </c>
      <c r="V556" s="2" t="str">
        <f t="shared" si="78"/>
        <v/>
      </c>
      <c r="W556" s="2" t="str">
        <f t="shared" si="78"/>
        <v/>
      </c>
      <c r="X556" s="2" t="str">
        <f t="shared" si="78"/>
        <v/>
      </c>
      <c r="Y556" s="2">
        <f t="shared" si="78"/>
        <v>6.0200000000000014</v>
      </c>
      <c r="Z556" s="2" t="str">
        <f t="shared" si="78"/>
        <v/>
      </c>
      <c r="AA556" s="23" t="str">
        <f t="shared" si="71"/>
        <v>D14</v>
      </c>
      <c r="AB556" s="2">
        <f>$T556-VLOOKUP($B556,Scores!$AG$1:$AM$7,5,FALSE)</f>
        <v>-0.79999999999999893</v>
      </c>
      <c r="AC556" s="2">
        <f>$T556-VLOOKUP($B556,Scores!$AG$1:$AM$7,6,FALSE)</f>
        <v>-0.27249999999999908</v>
      </c>
      <c r="AD556" s="2">
        <f>$T556-VLOOKUP($B556,Scores!$AG$1:$AM$7,7,FALSE)+(ROW(A555)/1000000)</f>
        <v>-0.15373071428571303</v>
      </c>
      <c r="AE556" s="2">
        <f t="array" ref="AE556">IF('ROS Rankings'!$AD$1,IFERROR(AVERAGE(IF(INDEX($C556:$S556,14):INDEX($C556:$S556,17)="NA",0,INDEX($C556:$S556,14):INDEX($C556:$S556,17))-INDEX($AQ$2:$BG$7,MATCH($B556,$AO$2:$AO$7,0),14):INDEX($AQ$2:$BG$7,MATCH($B556,$AO$2:$AO$7,0),17)),0),IFERROR(AVERAGE(IF(INDEX($C556:$S556,Week+1):INDEX($C556:$S556,13)="NA",0,INDEX($C556:$S556,Week+1):INDEX($C556:$S556,13))-INDEX($AQ$2:$BG$7,MATCH($B556,$AO$2:$AO$7,0),Week+1):INDEX($AQ$2:$BG$7,MATCH($B556,$AO$2:$AO$7,0),13)),0))+ROW(A555)/1000000</f>
        <v>-1.2456949999999998</v>
      </c>
      <c r="AF556">
        <f t="shared" si="72"/>
        <v>79</v>
      </c>
      <c r="AG556">
        <f t="shared" si="73"/>
        <v>121</v>
      </c>
      <c r="AH556">
        <f t="shared" si="74"/>
        <v>159</v>
      </c>
      <c r="AI556">
        <f t="shared" si="75"/>
        <v>189</v>
      </c>
      <c r="AJ556" s="22">
        <f>IF(ISERROR(MATCH(A556,Rosters!$B$2:$B$155,0)),AD556,"")</f>
        <v>-0.15373071428571303</v>
      </c>
      <c r="AK556">
        <f t="shared" si="76"/>
        <v>31</v>
      </c>
      <c r="AL556" s="23">
        <f>COUNTIF(INDEX($C556:$S556,Week+1):INDEX($C556:$S556,13),"&gt;0")</f>
        <v>7</v>
      </c>
    </row>
    <row r="557" spans="1:38" x14ac:dyDescent="0.25">
      <c r="A557" t="s">
        <v>410</v>
      </c>
      <c r="B557" t="s">
        <v>770</v>
      </c>
      <c r="C557">
        <v>5</v>
      </c>
      <c r="D557">
        <v>2.96</v>
      </c>
      <c r="E557">
        <v>7.51</v>
      </c>
      <c r="F557">
        <v>6.89</v>
      </c>
      <c r="G557">
        <v>6.61</v>
      </c>
      <c r="H557">
        <v>-1.4</v>
      </c>
      <c r="I557">
        <v>3.89</v>
      </c>
      <c r="J557">
        <v>5.43</v>
      </c>
      <c r="K557">
        <v>5.34</v>
      </c>
      <c r="L557">
        <v>6.6</v>
      </c>
      <c r="M557">
        <v>-1.6</v>
      </c>
      <c r="N557" t="s">
        <v>64</v>
      </c>
      <c r="O557">
        <v>3.59</v>
      </c>
      <c r="P557">
        <v>5.0999999999999996</v>
      </c>
      <c r="Q557">
        <v>2.86</v>
      </c>
      <c r="R557">
        <v>4.0199999999999996</v>
      </c>
      <c r="S557">
        <v>3.59</v>
      </c>
      <c r="T557" s="2">
        <f>IF('ROS Rankings'!$AD$1,IFERROR(AVERAGE(INDEX($C557:$S557,14):INDEX($C557:$S557,17)),0),IFERROR(AVERAGE(INDEX($C557:$S557,Week+1):INDEX($C557:$S557,13)),0))</f>
        <v>3.121428571428571</v>
      </c>
      <c r="U557" s="2" t="str">
        <f t="shared" si="78"/>
        <v/>
      </c>
      <c r="V557" s="2" t="str">
        <f t="shared" si="78"/>
        <v/>
      </c>
      <c r="W557" s="2" t="str">
        <f t="shared" si="78"/>
        <v/>
      </c>
      <c r="X557" s="2" t="str">
        <f t="shared" si="78"/>
        <v/>
      </c>
      <c r="Y557" s="2">
        <f t="shared" si="78"/>
        <v>3.121428571428571</v>
      </c>
      <c r="Z557" s="2" t="str">
        <f t="shared" si="78"/>
        <v/>
      </c>
      <c r="AA557" s="23" t="str">
        <f t="shared" si="71"/>
        <v>D32</v>
      </c>
      <c r="AB557" s="2">
        <f>$T557-VLOOKUP($B557,Scores!$AG$1:$AM$7,5,FALSE)</f>
        <v>-3.6985714285714293</v>
      </c>
      <c r="AC557" s="2">
        <f>$T557-VLOOKUP($B557,Scores!$AG$1:$AM$7,6,FALSE)</f>
        <v>-3.1710714285714294</v>
      </c>
      <c r="AD557" s="2">
        <f>$T557-VLOOKUP($B557,Scores!$AG$1:$AM$7,7,FALSE)+(ROW(A556)/1000000)</f>
        <v>-3.0523011428571434</v>
      </c>
      <c r="AE557" s="2">
        <f t="array" ref="AE557">IF('ROS Rankings'!$AD$1,IFERROR(AVERAGE(IF(INDEX($C557:$S557,14):INDEX($C557:$S557,17)="NA",0,INDEX($C557:$S557,14):INDEX($C557:$S557,17))-INDEX($AQ$2:$BG$7,MATCH($B557,$AO$2:$AO$7,0),14):INDEX($AQ$2:$BG$7,MATCH($B557,$AO$2:$AO$7,0),17)),0),IFERROR(AVERAGE(IF(INDEX($C557:$S557,Week+1):INDEX($C557:$S557,13)="NA",0,INDEX($C557:$S557,Week+1):INDEX($C557:$S557,13))-INDEX($AQ$2:$BG$7,MATCH($B557,$AO$2:$AO$7,0),Week+1):INDEX($AQ$2:$BG$7,MATCH($B557,$AO$2:$AO$7,0),13)),0))+ROW(A556)/1000000</f>
        <v>-3.7819440000000006</v>
      </c>
      <c r="AF557">
        <f t="shared" si="72"/>
        <v>179</v>
      </c>
      <c r="AG557">
        <f t="shared" si="73"/>
        <v>253</v>
      </c>
      <c r="AH557">
        <f t="shared" si="74"/>
        <v>305</v>
      </c>
      <c r="AI557">
        <f t="shared" si="75"/>
        <v>337</v>
      </c>
      <c r="AJ557" s="22">
        <f>IF(ISERROR(MATCH(A557,Rosters!$B$2:$B$155,0)),AD557,"")</f>
        <v>-3.0523011428571434</v>
      </c>
      <c r="AK557">
        <f t="shared" si="76"/>
        <v>158</v>
      </c>
      <c r="AL557" s="23">
        <f>COUNTIF(INDEX($C557:$S557,Week+1):INDEX($C557:$S557,13),"&gt;0")</f>
        <v>5</v>
      </c>
    </row>
    <row r="558" spans="1:38" x14ac:dyDescent="0.25">
      <c r="A558" t="s">
        <v>428</v>
      </c>
      <c r="B558" t="s">
        <v>770</v>
      </c>
      <c r="C558">
        <v>2.62</v>
      </c>
      <c r="D558">
        <v>3.74</v>
      </c>
      <c r="E558">
        <v>5.28</v>
      </c>
      <c r="F558">
        <v>5.63</v>
      </c>
      <c r="G558" t="s">
        <v>64</v>
      </c>
      <c r="H558">
        <v>2.78</v>
      </c>
      <c r="I558">
        <v>7.38</v>
      </c>
      <c r="J558">
        <v>3.8</v>
      </c>
      <c r="K558">
        <v>3.06</v>
      </c>
      <c r="L558">
        <v>3.14</v>
      </c>
      <c r="M558">
        <v>5.66</v>
      </c>
      <c r="N558">
        <v>5.04</v>
      </c>
      <c r="O558">
        <v>3.06</v>
      </c>
      <c r="P558">
        <v>2.36</v>
      </c>
      <c r="Q558">
        <v>3.68</v>
      </c>
      <c r="R558">
        <v>2.74</v>
      </c>
      <c r="S558">
        <v>2.78</v>
      </c>
      <c r="T558" s="2">
        <f>IF('ROS Rankings'!$AD$1,IFERROR(AVERAGE(INDEX($C558:$S558,14):INDEX($C558:$S558,17)),0),IFERROR(AVERAGE(INDEX($C558:$S558,Week+1):INDEX($C558:$S558,13)),0))</f>
        <v>4.24</v>
      </c>
      <c r="U558" s="2" t="str">
        <f t="shared" si="78"/>
        <v/>
      </c>
      <c r="V558" s="2" t="str">
        <f t="shared" si="78"/>
        <v/>
      </c>
      <c r="W558" s="2" t="str">
        <f t="shared" si="78"/>
        <v/>
      </c>
      <c r="X558" s="2" t="str">
        <f t="shared" si="78"/>
        <v/>
      </c>
      <c r="Y558" s="2">
        <f t="shared" si="78"/>
        <v>4.24</v>
      </c>
      <c r="Z558" s="2" t="str">
        <f t="shared" si="78"/>
        <v/>
      </c>
      <c r="AA558" s="23" t="str">
        <f t="shared" si="71"/>
        <v>D29</v>
      </c>
      <c r="AB558" s="2">
        <f>$T558-VLOOKUP($B558,Scores!$AG$1:$AM$7,5,FALSE)</f>
        <v>-2.58</v>
      </c>
      <c r="AC558" s="2">
        <f>$T558-VLOOKUP($B558,Scores!$AG$1:$AM$7,6,FALSE)</f>
        <v>-2.0525000000000002</v>
      </c>
      <c r="AD558" s="2">
        <f>$T558-VLOOKUP($B558,Scores!$AG$1:$AM$7,7,FALSE)+(ROW(A557)/1000000)</f>
        <v>-1.9337287142857142</v>
      </c>
      <c r="AE558" s="2">
        <f t="array" ref="AE558">IF('ROS Rankings'!$AD$1,IFERROR(AVERAGE(IF(INDEX($C558:$S558,14):INDEX($C558:$S558,17)="NA",0,INDEX($C558:$S558,14):INDEX($C558:$S558,17))-INDEX($AQ$2:$BG$7,MATCH($B558,$AO$2:$AO$7,0),14):INDEX($AQ$2:$BG$7,MATCH($B558,$AO$2:$AO$7,0),17)),0),IFERROR(AVERAGE(IF(INDEX($C558:$S558,Week+1):INDEX($C558:$S558,13)="NA",0,INDEX($C558:$S558,Week+1):INDEX($C558:$S558,13))-INDEX($AQ$2:$BG$7,MATCH($B558,$AO$2:$AO$7,0),Week+1):INDEX($AQ$2:$BG$7,MATCH($B558,$AO$2:$AO$7,0),13)),0))+ROW(A557)/1000000</f>
        <v>-2.2731930000000005</v>
      </c>
      <c r="AF558">
        <f t="shared" si="72"/>
        <v>153</v>
      </c>
      <c r="AG558">
        <f t="shared" si="73"/>
        <v>200</v>
      </c>
      <c r="AH558">
        <f t="shared" si="74"/>
        <v>244</v>
      </c>
      <c r="AI558">
        <f t="shared" si="75"/>
        <v>250</v>
      </c>
      <c r="AJ558" s="22">
        <f>IF(ISERROR(MATCH(A558,Rosters!$B$2:$B$155,0)),AD558,"")</f>
        <v>-1.9337287142857142</v>
      </c>
      <c r="AK558">
        <f t="shared" si="76"/>
        <v>100</v>
      </c>
      <c r="AL558" s="23">
        <f>COUNTIF(INDEX($C558:$S558,Week+1):INDEX($C558:$S558,13),"&gt;0")</f>
        <v>8</v>
      </c>
    </row>
    <row r="559" spans="1:38" x14ac:dyDescent="0.25">
      <c r="A559" t="s">
        <v>432</v>
      </c>
      <c r="B559" t="s">
        <v>770</v>
      </c>
      <c r="C559">
        <v>4.0199999999999996</v>
      </c>
      <c r="D559">
        <v>3.04</v>
      </c>
      <c r="E559">
        <v>4.82</v>
      </c>
      <c r="F559">
        <v>5.79</v>
      </c>
      <c r="G559">
        <v>4.75</v>
      </c>
      <c r="H559">
        <v>5.8</v>
      </c>
      <c r="I559">
        <v>7.2</v>
      </c>
      <c r="J559">
        <v>2.86</v>
      </c>
      <c r="K559" t="s">
        <v>64</v>
      </c>
      <c r="L559">
        <v>3.1</v>
      </c>
      <c r="M559">
        <v>5.66</v>
      </c>
      <c r="N559">
        <v>6.41</v>
      </c>
      <c r="O559">
        <v>3.1</v>
      </c>
      <c r="P559">
        <v>4.0199999999999996</v>
      </c>
      <c r="Q559">
        <v>5.46</v>
      </c>
      <c r="R559">
        <v>7.36</v>
      </c>
      <c r="S559">
        <v>5.66</v>
      </c>
      <c r="T559" s="2">
        <f>IF('ROS Rankings'!$AD$1,IFERROR(AVERAGE(INDEX($C559:$S559,14):INDEX($C559:$S559,17)),0),IFERROR(AVERAGE(INDEX($C559:$S559,Week+1):INDEX($C559:$S559,13)),0))</f>
        <v>4.8757142857142863</v>
      </c>
      <c r="U559" s="2" t="str">
        <f t="shared" si="78"/>
        <v/>
      </c>
      <c r="V559" s="2" t="str">
        <f t="shared" si="78"/>
        <v/>
      </c>
      <c r="W559" s="2" t="str">
        <f t="shared" si="78"/>
        <v/>
      </c>
      <c r="X559" s="2" t="str">
        <f t="shared" si="78"/>
        <v/>
      </c>
      <c r="Y559" s="2">
        <f t="shared" si="78"/>
        <v>4.8757142857142863</v>
      </c>
      <c r="Z559" s="2" t="str">
        <f t="shared" si="78"/>
        <v/>
      </c>
      <c r="AA559" s="23" t="str">
        <f t="shared" si="71"/>
        <v>D24</v>
      </c>
      <c r="AB559" s="2">
        <f>$T559-VLOOKUP($B559,Scores!$AG$1:$AM$7,5,FALSE)</f>
        <v>-1.944285714285714</v>
      </c>
      <c r="AC559" s="2">
        <f>$T559-VLOOKUP($B559,Scores!$AG$1:$AM$7,6,FALSE)</f>
        <v>-1.4167857142857141</v>
      </c>
      <c r="AD559" s="2">
        <f>$T559-VLOOKUP($B559,Scores!$AG$1:$AM$7,7,FALSE)+(ROW(A558)/1000000)</f>
        <v>-1.298013428571428</v>
      </c>
      <c r="AE559" s="2">
        <f t="array" ref="AE559">IF('ROS Rankings'!$AD$1,IFERROR(AVERAGE(IF(INDEX($C559:$S559,14):INDEX($C559:$S559,17)="NA",0,INDEX($C559:$S559,14):INDEX($C559:$S559,17))-INDEX($AQ$2:$BG$7,MATCH($B559,$AO$2:$AO$7,0),14):INDEX($AQ$2:$BG$7,MATCH($B559,$AO$2:$AO$7,0),17)),0),IFERROR(AVERAGE(IF(INDEX($C559:$S559,Week+1):INDEX($C559:$S559,13)="NA",0,INDEX($C559:$S559,Week+1):INDEX($C559:$S559,13))-INDEX($AQ$2:$BG$7,MATCH($B559,$AO$2:$AO$7,0),Week+1):INDEX($AQ$2:$BG$7,MATCH($B559,$AO$2:$AO$7,0),13)),0))+ROW(A558)/1000000</f>
        <v>-2.2469420000000002</v>
      </c>
      <c r="AF559">
        <f t="shared" si="72"/>
        <v>128</v>
      </c>
      <c r="AG559">
        <f t="shared" si="73"/>
        <v>174</v>
      </c>
      <c r="AH559">
        <f t="shared" si="74"/>
        <v>215</v>
      </c>
      <c r="AI559">
        <f t="shared" si="75"/>
        <v>249</v>
      </c>
      <c r="AJ559" s="22">
        <f>IF(ISERROR(MATCH(A559,Rosters!$B$2:$B$155,0)),AD559,"")</f>
        <v>-1.298013428571428</v>
      </c>
      <c r="AK559">
        <f t="shared" si="76"/>
        <v>76</v>
      </c>
      <c r="AL559" s="23">
        <f>COUNTIF(INDEX($C559:$S559,Week+1):INDEX($C559:$S559,13),"&gt;0")</f>
        <v>7</v>
      </c>
    </row>
    <row r="560" spans="1:38" x14ac:dyDescent="0.25">
      <c r="A560" t="s">
        <v>433</v>
      </c>
      <c r="B560" t="s">
        <v>770</v>
      </c>
      <c r="C560">
        <v>2.08</v>
      </c>
      <c r="D560">
        <v>7.3</v>
      </c>
      <c r="E560">
        <v>6.29</v>
      </c>
      <c r="F560">
        <v>6.82</v>
      </c>
      <c r="G560">
        <v>4.95</v>
      </c>
      <c r="H560">
        <v>4.58</v>
      </c>
      <c r="I560" t="s">
        <v>64</v>
      </c>
      <c r="J560">
        <v>4.18</v>
      </c>
      <c r="K560">
        <v>4.76</v>
      </c>
      <c r="L560">
        <v>3.26</v>
      </c>
      <c r="M560">
        <v>7</v>
      </c>
      <c r="N560">
        <v>4.16</v>
      </c>
      <c r="O560">
        <v>-2.2599999999999998</v>
      </c>
      <c r="P560">
        <v>3.4</v>
      </c>
      <c r="Q560">
        <v>4.8</v>
      </c>
      <c r="R560">
        <v>4.72</v>
      </c>
      <c r="S560">
        <v>-2.2599999999999998</v>
      </c>
      <c r="T560" s="2">
        <f>IF('ROS Rankings'!$AD$1,IFERROR(AVERAGE(INDEX($C560:$S560,14):INDEX($C560:$S560,17)),0),IFERROR(AVERAGE(INDEX($C560:$S560,Week+1):INDEX($C560:$S560,13)),0))</f>
        <v>3.6685714285714286</v>
      </c>
      <c r="U560" s="2" t="str">
        <f t="shared" si="78"/>
        <v/>
      </c>
      <c r="V560" s="2" t="str">
        <f t="shared" si="78"/>
        <v/>
      </c>
      <c r="W560" s="2" t="str">
        <f t="shared" si="78"/>
        <v/>
      </c>
      <c r="X560" s="2" t="str">
        <f t="shared" ref="X560:Z561" si="79">IF($B560=X$1,$T560,"")</f>
        <v/>
      </c>
      <c r="Y560" s="2">
        <f t="shared" si="79"/>
        <v>3.6685714285714286</v>
      </c>
      <c r="Z560" s="2" t="str">
        <f t="shared" si="79"/>
        <v/>
      </c>
      <c r="AA560" s="23" t="str">
        <f t="shared" si="71"/>
        <v>D31</v>
      </c>
      <c r="AB560" s="2">
        <f>$T560-VLOOKUP($B560,Scores!$AG$1:$AM$7,5,FALSE)</f>
        <v>-3.1514285714285717</v>
      </c>
      <c r="AC560" s="2">
        <f>$T560-VLOOKUP($B560,Scores!$AG$1:$AM$7,6,FALSE)</f>
        <v>-2.6239285714285718</v>
      </c>
      <c r="AD560" s="2">
        <f>$T560-VLOOKUP($B560,Scores!$AG$1:$AM$7,7,FALSE)+(ROW(A559)/1000000)</f>
        <v>-2.5051552857142858</v>
      </c>
      <c r="AE560" s="2">
        <f t="array" ref="AE560">IF('ROS Rankings'!$AD$1,IFERROR(AVERAGE(IF(INDEX($C560:$S560,14):INDEX($C560:$S560,17)="NA",0,INDEX($C560:$S560,14):INDEX($C560:$S560,17))-INDEX($AQ$2:$BG$7,MATCH($B560,$AO$2:$AO$7,0),14):INDEX($AQ$2:$BG$7,MATCH($B560,$AO$2:$AO$7,0),17)),0),IFERROR(AVERAGE(IF(INDEX($C560:$S560,Week+1):INDEX($C560:$S560,13)="NA",0,INDEX($C560:$S560,Week+1):INDEX($C560:$S560,13))-INDEX($AQ$2:$BG$7,MATCH($B560,$AO$2:$AO$7,0),Week+1):INDEX($AQ$2:$BG$7,MATCH($B560,$AO$2:$AO$7,0),13)),0))+ROW(A559)/1000000</f>
        <v>-3.303191</v>
      </c>
      <c r="AF560">
        <f t="shared" si="72"/>
        <v>167</v>
      </c>
      <c r="AG560">
        <f t="shared" si="73"/>
        <v>226</v>
      </c>
      <c r="AH560">
        <f t="shared" si="74"/>
        <v>269</v>
      </c>
      <c r="AI560">
        <f t="shared" si="75"/>
        <v>312</v>
      </c>
      <c r="AJ560" s="22">
        <f>IF(ISERROR(MATCH(A560,Rosters!$B$2:$B$155,0)),AD560,"")</f>
        <v>-2.5051552857142858</v>
      </c>
      <c r="AK560">
        <f t="shared" si="76"/>
        <v>125</v>
      </c>
      <c r="AL560" s="23">
        <f>COUNTIF(INDEX($C560:$S560,Week+1):INDEX($C560:$S560,13),"&gt;0")</f>
        <v>6</v>
      </c>
    </row>
    <row r="561" spans="1:38" x14ac:dyDescent="0.25">
      <c r="A561" t="s">
        <v>426</v>
      </c>
      <c r="B561" t="s">
        <v>770</v>
      </c>
      <c r="C561">
        <v>6.06</v>
      </c>
      <c r="D561">
        <v>7.15</v>
      </c>
      <c r="E561">
        <v>6.77</v>
      </c>
      <c r="F561">
        <v>6.69</v>
      </c>
      <c r="G561">
        <v>5.54</v>
      </c>
      <c r="H561">
        <v>2.92</v>
      </c>
      <c r="I561">
        <v>4.0599999999999996</v>
      </c>
      <c r="J561" t="s">
        <v>64</v>
      </c>
      <c r="K561">
        <v>7.26</v>
      </c>
      <c r="L561">
        <v>4.74</v>
      </c>
      <c r="M561">
        <v>2.5</v>
      </c>
      <c r="N561">
        <v>4.0599999999999996</v>
      </c>
      <c r="O561">
        <v>2.2599999999999998</v>
      </c>
      <c r="P561">
        <v>4.74</v>
      </c>
      <c r="Q561">
        <v>5.34</v>
      </c>
      <c r="R561">
        <v>3.98</v>
      </c>
      <c r="S561">
        <v>6.34</v>
      </c>
      <c r="T561" s="2">
        <f>IF('ROS Rankings'!$AD$1,IFERROR(AVERAGE(INDEX($C561:$S561,14):INDEX($C561:$S561,17)),0),IFERROR(AVERAGE(INDEX($C561:$S561,Week+1):INDEX($C561:$S561,13)),0))</f>
        <v>3.9714285714285711</v>
      </c>
      <c r="U561" s="2" t="str">
        <f t="shared" ref="U561:Z561" si="80">IF($B561=U$1,$T561,"")</f>
        <v/>
      </c>
      <c r="V561" s="2" t="str">
        <f t="shared" si="80"/>
        <v/>
      </c>
      <c r="W561" s="2" t="str">
        <f t="shared" si="80"/>
        <v/>
      </c>
      <c r="X561" s="2" t="str">
        <f t="shared" si="80"/>
        <v/>
      </c>
      <c r="Y561" s="2">
        <f t="shared" si="80"/>
        <v>3.9714285714285711</v>
      </c>
      <c r="Z561" s="2" t="str">
        <f t="shared" si="80"/>
        <v/>
      </c>
      <c r="AA561" s="23" t="str">
        <f t="shared" si="71"/>
        <v>D30</v>
      </c>
      <c r="AB561" s="2">
        <f>$T561-VLOOKUP($B561,Scores!$AG$1:$AM$7,5,FALSE)</f>
        <v>-2.8485714285714292</v>
      </c>
      <c r="AC561" s="2">
        <f>$T561-VLOOKUP($B561,Scores!$AG$1:$AM$7,6,FALSE)</f>
        <v>-2.3210714285714293</v>
      </c>
      <c r="AD561" s="2">
        <f>$T561-VLOOKUP($B561,Scores!$AG$1:$AM$7,7,FALSE)+(ROW(A560)/1000000)</f>
        <v>-2.2022971428571432</v>
      </c>
      <c r="AE561" s="2">
        <f t="array" ref="AE561">IF('ROS Rankings'!$AD$1,IFERROR(AVERAGE(IF(INDEX($C561:$S561,14):INDEX($C561:$S561,17)="NA",0,INDEX($C561:$S561,14):INDEX($C561:$S561,17))-INDEX($AQ$2:$BG$7,MATCH($B561,$AO$2:$AO$7,0),14):INDEX($AQ$2:$BG$7,MATCH($B561,$AO$2:$AO$7,0),17)),0),IFERROR(AVERAGE(IF(INDEX($C561:$S561,Week+1):INDEX($C561:$S561,13)="NA",0,INDEX($C561:$S561,Week+1):INDEX($C561:$S561,13))-INDEX($AQ$2:$BG$7,MATCH($B561,$AO$2:$AO$7,0),Week+1):INDEX($AQ$2:$BG$7,MATCH($B561,$AO$2:$AO$7,0),13)),0))+ROW(A560)/1000000</f>
        <v>-3.0381900000000002</v>
      </c>
      <c r="AF561">
        <f t="shared" si="72"/>
        <v>158</v>
      </c>
      <c r="AG561">
        <f t="shared" si="73"/>
        <v>210</v>
      </c>
      <c r="AH561">
        <f t="shared" si="74"/>
        <v>256</v>
      </c>
      <c r="AI561">
        <f t="shared" si="75"/>
        <v>299</v>
      </c>
      <c r="AJ561" s="22">
        <f>IF(ISERROR(MATCH(A561,Rosters!$B$2:$B$155,0)),AD561,"")</f>
        <v>-2.2022971428571432</v>
      </c>
      <c r="AK561">
        <f t="shared" si="76"/>
        <v>112</v>
      </c>
      <c r="AL561" s="23">
        <f>COUNTIF(INDEX($C561:$S561,Week+1):INDEX($C561:$S561,13),"&gt;0")</f>
        <v>7</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W123"/>
  <sheetViews>
    <sheetView topLeftCell="A101" workbookViewId="0">
      <selection activeCell="P109" sqref="P109"/>
    </sheetView>
  </sheetViews>
  <sheetFormatPr defaultRowHeight="15" x14ac:dyDescent="0.25"/>
  <cols>
    <col min="1" max="1" width="13.42578125" bestFit="1" customWidth="1"/>
    <col min="2" max="17" width="6.28515625" customWidth="1"/>
  </cols>
  <sheetData>
    <row r="1" spans="1:17" x14ac:dyDescent="0.25">
      <c r="A1" t="s">
        <v>10</v>
      </c>
      <c r="B1">
        <v>1</v>
      </c>
      <c r="C1">
        <f>B1+1</f>
        <v>2</v>
      </c>
      <c r="D1">
        <f t="shared" ref="D1:P1" si="0">C1+1</f>
        <v>3</v>
      </c>
      <c r="E1">
        <f t="shared" si="0"/>
        <v>4</v>
      </c>
      <c r="F1">
        <f t="shared" si="0"/>
        <v>5</v>
      </c>
      <c r="G1">
        <f t="shared" si="0"/>
        <v>6</v>
      </c>
      <c r="H1">
        <f t="shared" si="0"/>
        <v>7</v>
      </c>
      <c r="I1">
        <f t="shared" si="0"/>
        <v>8</v>
      </c>
      <c r="J1">
        <f t="shared" si="0"/>
        <v>9</v>
      </c>
      <c r="K1">
        <f t="shared" si="0"/>
        <v>10</v>
      </c>
      <c r="L1">
        <f>K1+1</f>
        <v>11</v>
      </c>
      <c r="M1">
        <f t="shared" si="0"/>
        <v>12</v>
      </c>
      <c r="N1">
        <f t="shared" si="0"/>
        <v>13</v>
      </c>
      <c r="O1">
        <f>N1+1</f>
        <v>14</v>
      </c>
      <c r="P1">
        <f t="shared" si="0"/>
        <v>15</v>
      </c>
      <c r="Q1">
        <f>P1+1</f>
        <v>16</v>
      </c>
    </row>
    <row r="2" spans="1:17" x14ac:dyDescent="0.25">
      <c r="A2" t="s">
        <v>20</v>
      </c>
      <c r="B2">
        <f>MATCH($A2&amp;B$1,'ROS Rankings'!$X$2:$X$201,0)</f>
        <v>3</v>
      </c>
      <c r="C2">
        <f>MATCH($A2&amp;C$1,'ROS Rankings'!$X$2:$X$201,0)</f>
        <v>4</v>
      </c>
      <c r="D2">
        <f>MATCH($A2&amp;D$1,'ROS Rankings'!$X$2:$X$201,0)</f>
        <v>22</v>
      </c>
      <c r="E2">
        <f>MATCH($A2&amp;E$1,'ROS Rankings'!$X$2:$X$201,0)</f>
        <v>29</v>
      </c>
      <c r="F2">
        <f>MATCH($A2&amp;F$1,'ROS Rankings'!$X$2:$X$201,0)</f>
        <v>70</v>
      </c>
      <c r="G2">
        <f>MATCH($A2&amp;G$1,'ROS Rankings'!$X$2:$X$201,0)</f>
        <v>76</v>
      </c>
      <c r="H2">
        <f>MATCH($A2&amp;H$1,'ROS Rankings'!$X$2:$X$201,0)</f>
        <v>87</v>
      </c>
      <c r="I2">
        <f>MATCH($A2&amp;I$1,'ROS Rankings'!$X$2:$X$201,0)</f>
        <v>102</v>
      </c>
      <c r="J2">
        <f>MATCH($A2&amp;J$1,'ROS Rankings'!$X$2:$X$201,0)</f>
        <v>113</v>
      </c>
      <c r="K2">
        <f>MATCH($A2&amp;K$1,'ROS Rankings'!$X$2:$X$201,0)</f>
        <v>118</v>
      </c>
      <c r="L2">
        <f>MATCH($A2&amp;L$1,'ROS Rankings'!$X$2:$X$201,0)</f>
        <v>127</v>
      </c>
      <c r="M2">
        <f>MATCH($A2&amp;M$1,'ROS Rankings'!$X$2:$X$201,0)</f>
        <v>145</v>
      </c>
      <c r="N2">
        <f>MATCH($A2&amp;N$1,'ROS Rankings'!$X$2:$X$201,0)</f>
        <v>166</v>
      </c>
      <c r="O2" t="e">
        <f>MATCH($A2&amp;O$1,'ROS Rankings'!$X$2:$X$201,0)</f>
        <v>#N/A</v>
      </c>
      <c r="P2" t="e">
        <f>MATCH($A2&amp;P$1,'ROS Rankings'!$X$2:$X$201,0)</f>
        <v>#N/A</v>
      </c>
      <c r="Q2" t="e">
        <f>MATCH($A2&amp;Q$1,'ROS Rankings'!$X$2:$X$201,0)</f>
        <v>#N/A</v>
      </c>
    </row>
    <row r="3" spans="1:17" x14ac:dyDescent="0.25">
      <c r="A3" t="s">
        <v>16</v>
      </c>
      <c r="B3">
        <f>MATCH($A3&amp;B$1,'ROS Rankings'!$X$2:$X$201,0)</f>
        <v>8</v>
      </c>
      <c r="C3">
        <f>MATCH($A3&amp;C$1,'ROS Rankings'!$X$2:$X$201,0)</f>
        <v>11</v>
      </c>
      <c r="D3">
        <f>MATCH($A3&amp;D$1,'ROS Rankings'!$X$2:$X$201,0)</f>
        <v>16</v>
      </c>
      <c r="E3">
        <f>MATCH($A3&amp;E$1,'ROS Rankings'!$X$2:$X$201,0)</f>
        <v>38</v>
      </c>
      <c r="F3">
        <f>MATCH($A3&amp;F$1,'ROS Rankings'!$X$2:$X$201,0)</f>
        <v>43</v>
      </c>
      <c r="G3">
        <f>MATCH($A3&amp;G$1,'ROS Rankings'!$X$2:$X$201,0)</f>
        <v>53</v>
      </c>
      <c r="H3">
        <f>MATCH($A3&amp;H$1,'ROS Rankings'!$X$2:$X$201,0)</f>
        <v>71</v>
      </c>
      <c r="I3">
        <f>MATCH($A3&amp;I$1,'ROS Rankings'!$X$2:$X$201,0)</f>
        <v>84</v>
      </c>
      <c r="J3">
        <f>MATCH($A3&amp;J$1,'ROS Rankings'!$X$2:$X$201,0)</f>
        <v>90</v>
      </c>
      <c r="K3">
        <f>MATCH($A3&amp;K$1,'ROS Rankings'!$X$2:$X$201,0)</f>
        <v>95</v>
      </c>
      <c r="L3">
        <f>MATCH($A3&amp;L$1,'ROS Rankings'!$X$2:$X$201,0)</f>
        <v>99</v>
      </c>
      <c r="M3">
        <f>MATCH($A3&amp;M$1,'ROS Rankings'!$X$2:$X$201,0)</f>
        <v>133</v>
      </c>
      <c r="N3">
        <f>MATCH($A3&amp;N$1,'ROS Rankings'!$X$2:$X$201,0)</f>
        <v>139</v>
      </c>
      <c r="O3">
        <f>MATCH($A3&amp;O$1,'ROS Rankings'!$X$2:$X$201,0)</f>
        <v>146</v>
      </c>
      <c r="P3">
        <f>MATCH($A3&amp;P$1,'ROS Rankings'!$X$2:$X$201,0)</f>
        <v>154</v>
      </c>
      <c r="Q3" t="e">
        <f>MATCH($A3&amp;Q$1,'ROS Rankings'!$X$2:$X$201,0)</f>
        <v>#N/A</v>
      </c>
    </row>
    <row r="4" spans="1:17" x14ac:dyDescent="0.25">
      <c r="A4" t="s">
        <v>55</v>
      </c>
      <c r="B4">
        <f>MATCH($A4&amp;B$1,'ROS Rankings'!$X$2:$X$201,0)</f>
        <v>12</v>
      </c>
      <c r="C4">
        <f>MATCH($A4&amp;C$1,'ROS Rankings'!$X$2:$X$201,0)</f>
        <v>18</v>
      </c>
      <c r="D4">
        <f>MATCH($A4&amp;D$1,'ROS Rankings'!$X$2:$X$201,0)</f>
        <v>20</v>
      </c>
      <c r="E4">
        <f>MATCH($A4&amp;E$1,'ROS Rankings'!$X$2:$X$201,0)</f>
        <v>24</v>
      </c>
      <c r="F4">
        <f>MATCH($A4&amp;F$1,'ROS Rankings'!$X$2:$X$201,0)</f>
        <v>34</v>
      </c>
      <c r="G4">
        <f>MATCH($A4&amp;G$1,'ROS Rankings'!$X$2:$X$201,0)</f>
        <v>35</v>
      </c>
      <c r="H4">
        <f>MATCH($A4&amp;H$1,'ROS Rankings'!$X$2:$X$201,0)</f>
        <v>64</v>
      </c>
      <c r="I4">
        <f>MATCH($A4&amp;I$1,'ROS Rankings'!$X$2:$X$201,0)</f>
        <v>65</v>
      </c>
      <c r="J4">
        <f>MATCH($A4&amp;J$1,'ROS Rankings'!$X$2:$X$201,0)</f>
        <v>66</v>
      </c>
      <c r="K4">
        <f>MATCH($A4&amp;K$1,'ROS Rankings'!$X$2:$X$201,0)</f>
        <v>69</v>
      </c>
      <c r="L4">
        <f>MATCH($A4&amp;L$1,'ROS Rankings'!$X$2:$X$201,0)</f>
        <v>101</v>
      </c>
      <c r="M4">
        <f>MATCH($A4&amp;M$1,'ROS Rankings'!$X$2:$X$201,0)</f>
        <v>124</v>
      </c>
      <c r="N4" t="e">
        <f>MATCH($A4&amp;N$1,'ROS Rankings'!$X$2:$X$201,0)</f>
        <v>#N/A</v>
      </c>
      <c r="O4" t="e">
        <f>MATCH($A4&amp;O$1,'ROS Rankings'!$X$2:$X$201,0)</f>
        <v>#N/A</v>
      </c>
      <c r="P4" t="e">
        <f>MATCH($A4&amp;P$1,'ROS Rankings'!$X$2:$X$201,0)</f>
        <v>#N/A</v>
      </c>
      <c r="Q4" t="e">
        <f>MATCH($A4&amp;Q$1,'ROS Rankings'!$X$2:$X$201,0)</f>
        <v>#N/A</v>
      </c>
    </row>
    <row r="5" spans="1:17" x14ac:dyDescent="0.25">
      <c r="A5" t="s">
        <v>35</v>
      </c>
      <c r="B5">
        <f>MATCH($A5&amp;B$1,'ROS Rankings'!$X$2:$X$201,0)</f>
        <v>7</v>
      </c>
      <c r="C5">
        <f>MATCH($A5&amp;C$1,'ROS Rankings'!$X$2:$X$201,0)</f>
        <v>28</v>
      </c>
      <c r="D5">
        <f>MATCH($A5&amp;D$1,'ROS Rankings'!$X$2:$X$201,0)</f>
        <v>30</v>
      </c>
      <c r="E5">
        <f>MATCH($A5&amp;E$1,'ROS Rankings'!$X$2:$X$201,0)</f>
        <v>31</v>
      </c>
      <c r="F5">
        <f>MATCH($A5&amp;F$1,'ROS Rankings'!$X$2:$X$201,0)</f>
        <v>37</v>
      </c>
      <c r="G5">
        <f>MATCH($A5&amp;G$1,'ROS Rankings'!$X$2:$X$201,0)</f>
        <v>51</v>
      </c>
      <c r="H5">
        <f>MATCH($A5&amp;H$1,'ROS Rankings'!$X$2:$X$201,0)</f>
        <v>54</v>
      </c>
      <c r="I5">
        <f>MATCH($A5&amp;I$1,'ROS Rankings'!$X$2:$X$201,0)</f>
        <v>58</v>
      </c>
      <c r="J5">
        <f>MATCH($A5&amp;J$1,'ROS Rankings'!$X$2:$X$201,0)</f>
        <v>59</v>
      </c>
      <c r="K5">
        <f>MATCH($A5&amp;K$1,'ROS Rankings'!$X$2:$X$201,0)</f>
        <v>82</v>
      </c>
      <c r="L5">
        <f>MATCH($A5&amp;L$1,'ROS Rankings'!$X$2:$X$201,0)</f>
        <v>92</v>
      </c>
      <c r="M5">
        <f>MATCH($A5&amp;M$1,'ROS Rankings'!$X$2:$X$201,0)</f>
        <v>136</v>
      </c>
      <c r="N5">
        <f>MATCH($A5&amp;N$1,'ROS Rankings'!$X$2:$X$201,0)</f>
        <v>142</v>
      </c>
      <c r="O5">
        <f>MATCH($A5&amp;O$1,'ROS Rankings'!$X$2:$X$201,0)</f>
        <v>161</v>
      </c>
      <c r="P5" t="e">
        <f>MATCH($A5&amp;P$1,'ROS Rankings'!$X$2:$X$201,0)</f>
        <v>#N/A</v>
      </c>
      <c r="Q5" t="e">
        <f>MATCH($A5&amp;Q$1,'ROS Rankings'!$X$2:$X$201,0)</f>
        <v>#N/A</v>
      </c>
    </row>
    <row r="6" spans="1:17" x14ac:dyDescent="0.25">
      <c r="A6" t="s">
        <v>27</v>
      </c>
      <c r="B6">
        <f>MATCH($A6&amp;B$1,'ROS Rankings'!$X$2:$X$201,0)</f>
        <v>9</v>
      </c>
      <c r="C6">
        <f>MATCH($A6&amp;C$1,'ROS Rankings'!$X$2:$X$201,0)</f>
        <v>19</v>
      </c>
      <c r="D6">
        <f>MATCH($A6&amp;D$1,'ROS Rankings'!$X$2:$X$201,0)</f>
        <v>23</v>
      </c>
      <c r="E6">
        <f>MATCH($A6&amp;E$1,'ROS Rankings'!$X$2:$X$201,0)</f>
        <v>26</v>
      </c>
      <c r="F6">
        <f>MATCH($A6&amp;F$1,'ROS Rankings'!$X$2:$X$201,0)</f>
        <v>45</v>
      </c>
      <c r="G6">
        <f>MATCH($A6&amp;G$1,'ROS Rankings'!$X$2:$X$201,0)</f>
        <v>68</v>
      </c>
      <c r="H6">
        <f>MATCH($A6&amp;H$1,'ROS Rankings'!$X$2:$X$201,0)</f>
        <v>72</v>
      </c>
      <c r="I6">
        <f>MATCH($A6&amp;I$1,'ROS Rankings'!$X$2:$X$201,0)</f>
        <v>80</v>
      </c>
      <c r="J6">
        <f>MATCH($A6&amp;J$1,'ROS Rankings'!$X$2:$X$201,0)</f>
        <v>85</v>
      </c>
      <c r="K6">
        <f>MATCH($A6&amp;K$1,'ROS Rankings'!$X$2:$X$201,0)</f>
        <v>114</v>
      </c>
      <c r="L6">
        <f>MATCH($A6&amp;L$1,'ROS Rankings'!$X$2:$X$201,0)</f>
        <v>126</v>
      </c>
      <c r="M6">
        <f>MATCH($A6&amp;M$1,'ROS Rankings'!$X$2:$X$201,0)</f>
        <v>140</v>
      </c>
      <c r="N6">
        <f>MATCH($A6&amp;N$1,'ROS Rankings'!$X$2:$X$201,0)</f>
        <v>143</v>
      </c>
      <c r="O6">
        <f>MATCH($A6&amp;O$1,'ROS Rankings'!$X$2:$X$201,0)</f>
        <v>179</v>
      </c>
      <c r="P6" t="e">
        <f>MATCH($A6&amp;P$1,'ROS Rankings'!$X$2:$X$201,0)</f>
        <v>#N/A</v>
      </c>
      <c r="Q6" t="e">
        <f>MATCH($A6&amp;Q$1,'ROS Rankings'!$X$2:$X$201,0)</f>
        <v>#N/A</v>
      </c>
    </row>
    <row r="7" spans="1:17" x14ac:dyDescent="0.25">
      <c r="A7" t="s">
        <v>62</v>
      </c>
      <c r="B7">
        <f>MATCH($A7&amp;B$1,'ROS Rankings'!$X$2:$X$201,0)</f>
        <v>1</v>
      </c>
      <c r="C7">
        <f>MATCH($A7&amp;C$1,'ROS Rankings'!$X$2:$X$201,0)</f>
        <v>6</v>
      </c>
      <c r="D7">
        <f>MATCH($A7&amp;D$1,'ROS Rankings'!$X$2:$X$201,0)</f>
        <v>14</v>
      </c>
      <c r="E7">
        <f>MATCH($A7&amp;E$1,'ROS Rankings'!$X$2:$X$201,0)</f>
        <v>40</v>
      </c>
      <c r="F7">
        <f>MATCH($A7&amp;F$1,'ROS Rankings'!$X$2:$X$201,0)</f>
        <v>44</v>
      </c>
      <c r="G7">
        <f>MATCH($A7&amp;G$1,'ROS Rankings'!$X$2:$X$201,0)</f>
        <v>48</v>
      </c>
      <c r="H7">
        <f>MATCH($A7&amp;H$1,'ROS Rankings'!$X$2:$X$201,0)</f>
        <v>62</v>
      </c>
      <c r="I7">
        <f>MATCH($A7&amp;I$1,'ROS Rankings'!$X$2:$X$201,0)</f>
        <v>67</v>
      </c>
      <c r="J7">
        <f>MATCH($A7&amp;J$1,'ROS Rankings'!$X$2:$X$201,0)</f>
        <v>73</v>
      </c>
      <c r="K7">
        <f>MATCH($A7&amp;K$1,'ROS Rankings'!$X$2:$X$201,0)</f>
        <v>75</v>
      </c>
      <c r="L7">
        <f>MATCH($A7&amp;L$1,'ROS Rankings'!$X$2:$X$201,0)</f>
        <v>93</v>
      </c>
      <c r="M7">
        <f>MATCH($A7&amp;M$1,'ROS Rankings'!$X$2:$X$201,0)</f>
        <v>105</v>
      </c>
      <c r="N7">
        <f>MATCH($A7&amp;N$1,'ROS Rankings'!$X$2:$X$201,0)</f>
        <v>135</v>
      </c>
      <c r="O7">
        <f>MATCH($A7&amp;O$1,'ROS Rankings'!$X$2:$X$201,0)</f>
        <v>147</v>
      </c>
      <c r="P7" t="e">
        <f>MATCH($A7&amp;P$1,'ROS Rankings'!$X$2:$X$201,0)</f>
        <v>#N/A</v>
      </c>
      <c r="Q7" t="e">
        <f>MATCH($A7&amp;Q$1,'ROS Rankings'!$X$2:$X$201,0)</f>
        <v>#N/A</v>
      </c>
    </row>
    <row r="8" spans="1:17" x14ac:dyDescent="0.25">
      <c r="A8" t="s">
        <v>1648</v>
      </c>
      <c r="B8">
        <f>MATCH($A8&amp;B$1,'ROS Rankings'!$X$2:$X$201,0)</f>
        <v>13</v>
      </c>
      <c r="C8">
        <f>MATCH($A8&amp;C$1,'ROS Rankings'!$X$2:$X$201,0)</f>
        <v>33</v>
      </c>
      <c r="D8">
        <f>MATCH($A8&amp;D$1,'ROS Rankings'!$X$2:$X$201,0)</f>
        <v>39</v>
      </c>
      <c r="E8">
        <f>MATCH($A8&amp;E$1,'ROS Rankings'!$X$2:$X$201,0)</f>
        <v>42</v>
      </c>
      <c r="F8">
        <f>MATCH($A8&amp;F$1,'ROS Rankings'!$X$2:$X$201,0)</f>
        <v>46</v>
      </c>
      <c r="G8">
        <f>MATCH($A8&amp;G$1,'ROS Rankings'!$X$2:$X$201,0)</f>
        <v>49</v>
      </c>
      <c r="H8">
        <f>MATCH($A8&amp;H$1,'ROS Rankings'!$X$2:$X$201,0)</f>
        <v>77</v>
      </c>
      <c r="I8">
        <f>MATCH($A8&amp;I$1,'ROS Rankings'!$X$2:$X$201,0)</f>
        <v>81</v>
      </c>
      <c r="J8">
        <f>MATCH($A8&amp;J$1,'ROS Rankings'!$X$2:$X$201,0)</f>
        <v>89</v>
      </c>
      <c r="K8">
        <f>MATCH($A8&amp;K$1,'ROS Rankings'!$X$2:$X$201,0)</f>
        <v>103</v>
      </c>
      <c r="L8">
        <f>MATCH($A8&amp;L$1,'ROS Rankings'!$X$2:$X$201,0)</f>
        <v>117</v>
      </c>
      <c r="M8">
        <f>MATCH($A8&amp;M$1,'ROS Rankings'!$X$2:$X$201,0)</f>
        <v>119</v>
      </c>
      <c r="N8">
        <f>MATCH($A8&amp;N$1,'ROS Rankings'!$X$2:$X$201,0)</f>
        <v>129</v>
      </c>
      <c r="O8">
        <f>MATCH($A8&amp;O$1,'ROS Rankings'!$X$2:$X$201,0)</f>
        <v>167</v>
      </c>
      <c r="P8">
        <f>MATCH($A8&amp;P$1,'ROS Rankings'!$X$2:$X$201,0)</f>
        <v>187</v>
      </c>
      <c r="Q8" t="e">
        <f>MATCH($A8&amp;Q$1,'ROS Rankings'!$X$2:$X$201,0)</f>
        <v>#N/A</v>
      </c>
    </row>
    <row r="9" spans="1:17" x14ac:dyDescent="0.25">
      <c r="A9" t="s">
        <v>23</v>
      </c>
      <c r="B9">
        <f>MATCH($A9&amp;B$1,'ROS Rankings'!$X$2:$X$201,0)</f>
        <v>2</v>
      </c>
      <c r="C9">
        <f>MATCH($A9&amp;C$1,'ROS Rankings'!$X$2:$X$201,0)</f>
        <v>17</v>
      </c>
      <c r="D9">
        <f>MATCH($A9&amp;D$1,'ROS Rankings'!$X$2:$X$201,0)</f>
        <v>27</v>
      </c>
      <c r="E9">
        <f>MATCH($A9&amp;E$1,'ROS Rankings'!$X$2:$X$201,0)</f>
        <v>47</v>
      </c>
      <c r="F9">
        <f>MATCH($A9&amp;F$1,'ROS Rankings'!$X$2:$X$201,0)</f>
        <v>52</v>
      </c>
      <c r="G9">
        <f>MATCH($A9&amp;G$1,'ROS Rankings'!$X$2:$X$201,0)</f>
        <v>55</v>
      </c>
      <c r="H9">
        <f>MATCH($A9&amp;H$1,'ROS Rankings'!$X$2:$X$201,0)</f>
        <v>61</v>
      </c>
      <c r="I9">
        <f>MATCH($A9&amp;I$1,'ROS Rankings'!$X$2:$X$201,0)</f>
        <v>159</v>
      </c>
      <c r="J9">
        <f>MATCH($A9&amp;J$1,'ROS Rankings'!$X$2:$X$201,0)</f>
        <v>180</v>
      </c>
      <c r="K9" t="e">
        <f>MATCH($A9&amp;K$1,'ROS Rankings'!$X$2:$X$201,0)</f>
        <v>#N/A</v>
      </c>
      <c r="L9" t="e">
        <f>MATCH($A9&amp;L$1,'ROS Rankings'!$X$2:$X$201,0)</f>
        <v>#N/A</v>
      </c>
      <c r="M9" t="e">
        <f>MATCH($A9&amp;M$1,'ROS Rankings'!$X$2:$X$201,0)</f>
        <v>#N/A</v>
      </c>
      <c r="N9" t="e">
        <f>MATCH($A9&amp;N$1,'ROS Rankings'!$X$2:$X$201,0)</f>
        <v>#N/A</v>
      </c>
      <c r="O9" t="e">
        <f>MATCH($A9&amp;O$1,'ROS Rankings'!$X$2:$X$201,0)</f>
        <v>#N/A</v>
      </c>
      <c r="P9" t="e">
        <f>MATCH($A9&amp;P$1,'ROS Rankings'!$X$2:$X$201,0)</f>
        <v>#N/A</v>
      </c>
      <c r="Q9" t="e">
        <f>MATCH($A9&amp;Q$1,'ROS Rankings'!$X$2:$X$201,0)</f>
        <v>#N/A</v>
      </c>
    </row>
    <row r="10" spans="1:17" x14ac:dyDescent="0.25">
      <c r="A10" t="s">
        <v>49</v>
      </c>
      <c r="B10">
        <f>MATCH($A10&amp;B$1,'ROS Rankings'!$X$2:$X$201,0)</f>
        <v>5</v>
      </c>
      <c r="C10">
        <f>MATCH($A10&amp;C$1,'ROS Rankings'!$X$2:$X$201,0)</f>
        <v>10</v>
      </c>
      <c r="D10">
        <f>MATCH($A10&amp;D$1,'ROS Rankings'!$X$2:$X$201,0)</f>
        <v>15</v>
      </c>
      <c r="E10">
        <f>MATCH($A10&amp;E$1,'ROS Rankings'!$X$2:$X$201,0)</f>
        <v>32</v>
      </c>
      <c r="F10">
        <f>MATCH($A10&amp;F$1,'ROS Rankings'!$X$2:$X$201,0)</f>
        <v>36</v>
      </c>
      <c r="G10">
        <f>MATCH($A10&amp;G$1,'ROS Rankings'!$X$2:$X$201,0)</f>
        <v>41</v>
      </c>
      <c r="H10">
        <f>MATCH($A10&amp;H$1,'ROS Rankings'!$X$2:$X$201,0)</f>
        <v>57</v>
      </c>
      <c r="I10">
        <f>MATCH($A10&amp;I$1,'ROS Rankings'!$X$2:$X$201,0)</f>
        <v>63</v>
      </c>
      <c r="J10">
        <f>MATCH($A10&amp;J$1,'ROS Rankings'!$X$2:$X$201,0)</f>
        <v>78</v>
      </c>
      <c r="K10">
        <f>MATCH($A10&amp;K$1,'ROS Rankings'!$X$2:$X$201,0)</f>
        <v>91</v>
      </c>
      <c r="L10">
        <f>MATCH($A10&amp;L$1,'ROS Rankings'!$X$2:$X$201,0)</f>
        <v>100</v>
      </c>
      <c r="M10">
        <f>MATCH($A10&amp;M$1,'ROS Rankings'!$X$2:$X$201,0)</f>
        <v>125</v>
      </c>
      <c r="N10">
        <f>MATCH($A10&amp;N$1,'ROS Rankings'!$X$2:$X$201,0)</f>
        <v>149</v>
      </c>
      <c r="O10" t="e">
        <f>MATCH($A10&amp;O$1,'ROS Rankings'!$X$2:$X$201,0)</f>
        <v>#N/A</v>
      </c>
      <c r="P10" t="e">
        <f>MATCH($A10&amp;P$1,'ROS Rankings'!$X$2:$X$201,0)</f>
        <v>#N/A</v>
      </c>
      <c r="Q10" t="e">
        <f>MATCH($A10&amp;Q$1,'ROS Rankings'!$X$2:$X$201,0)</f>
        <v>#N/A</v>
      </c>
    </row>
    <row r="11" spans="1:17" x14ac:dyDescent="0.25">
      <c r="A11" t="s">
        <v>44</v>
      </c>
      <c r="B11">
        <f>MATCH($A11&amp;B$1,'ROS Rankings'!$X$2:$X$201,0)</f>
        <v>21</v>
      </c>
      <c r="C11">
        <f>MATCH($A11&amp;C$1,'ROS Rankings'!$X$2:$X$201,0)</f>
        <v>25</v>
      </c>
      <c r="D11">
        <f>MATCH($A11&amp;D$1,'ROS Rankings'!$X$2:$X$201,0)</f>
        <v>50</v>
      </c>
      <c r="E11">
        <f>MATCH($A11&amp;E$1,'ROS Rankings'!$X$2:$X$201,0)</f>
        <v>56</v>
      </c>
      <c r="F11">
        <f>MATCH($A11&amp;F$1,'ROS Rankings'!$X$2:$X$201,0)</f>
        <v>60</v>
      </c>
      <c r="G11">
        <f>MATCH($A11&amp;G$1,'ROS Rankings'!$X$2:$X$201,0)</f>
        <v>74</v>
      </c>
      <c r="H11">
        <f>MATCH($A11&amp;H$1,'ROS Rankings'!$X$2:$X$201,0)</f>
        <v>79</v>
      </c>
      <c r="I11">
        <f>MATCH($A11&amp;I$1,'ROS Rankings'!$X$2:$X$201,0)</f>
        <v>83</v>
      </c>
      <c r="J11">
        <f>MATCH($A11&amp;J$1,'ROS Rankings'!$X$2:$X$201,0)</f>
        <v>88</v>
      </c>
      <c r="K11">
        <f>MATCH($A11&amp;K$1,'ROS Rankings'!$X$2:$X$201,0)</f>
        <v>97</v>
      </c>
      <c r="L11">
        <f>MATCH($A11&amp;L$1,'ROS Rankings'!$X$2:$X$201,0)</f>
        <v>111</v>
      </c>
      <c r="M11">
        <f>MATCH($A11&amp;M$1,'ROS Rankings'!$X$2:$X$201,0)</f>
        <v>123</v>
      </c>
      <c r="N11">
        <f>MATCH($A11&amp;N$1,'ROS Rankings'!$X$2:$X$201,0)</f>
        <v>164</v>
      </c>
      <c r="O11" t="e">
        <f>MATCH($A11&amp;O$1,'ROS Rankings'!$X$2:$X$201,0)</f>
        <v>#N/A</v>
      </c>
      <c r="P11" t="e">
        <f>MATCH($A11&amp;P$1,'ROS Rankings'!$X$2:$X$201,0)</f>
        <v>#N/A</v>
      </c>
      <c r="Q11" t="e">
        <f>MATCH($A11&amp;Q$1,'ROS Rankings'!$X$2:$X$201,0)</f>
        <v>#N/A</v>
      </c>
    </row>
    <row r="13" spans="1:17" x14ac:dyDescent="0.25">
      <c r="A13" t="s">
        <v>20</v>
      </c>
      <c r="B13" s="2">
        <f>INDEX('ROS Rankings'!$Q$2:$Q$201,B2)</f>
        <v>10.55142857142857</v>
      </c>
      <c r="C13" s="2">
        <f>INDEX('ROS Rankings'!$Q$2:$Q$201,C2)</f>
        <v>10.362857142857141</v>
      </c>
      <c r="D13" s="2">
        <f>INDEX('ROS Rankings'!$Q$2:$Q$201,D2)</f>
        <v>5.7600000000000016</v>
      </c>
      <c r="E13" s="2">
        <f>INDEX('ROS Rankings'!$Q$2:$Q$201,E2)</f>
        <v>4.9585714285714273</v>
      </c>
      <c r="F13" s="2">
        <f>INDEX('ROS Rankings'!$Q$2:$Q$201,F2)</f>
        <v>1.9785714285714295</v>
      </c>
      <c r="G13" s="2">
        <f>INDEX('ROS Rankings'!$Q$2:$Q$201,G2)</f>
        <v>1.7628571428571425</v>
      </c>
      <c r="H13" s="2">
        <f>INDEX('ROS Rankings'!$Q$2:$Q$201,H2)</f>
        <v>1.3800000000000008</v>
      </c>
      <c r="I13" s="2">
        <f>INDEX('ROS Rankings'!$Q$2:$Q$201,I2)</f>
        <v>-0.23285714285714221</v>
      </c>
      <c r="J13" s="2">
        <f>INDEX('ROS Rankings'!$Q$2:$Q$201,J2)</f>
        <v>1.8685714285714283</v>
      </c>
      <c r="K13" s="2">
        <f>INDEX('ROS Rankings'!$Q$2:$Q$201,K2)</f>
        <v>0.69714285714285751</v>
      </c>
      <c r="L13" s="2">
        <f>INDEX('ROS Rankings'!$Q$2:$Q$201,L2)</f>
        <v>0</v>
      </c>
      <c r="M13" s="2">
        <f>INDEX('ROS Rankings'!$Q$2:$Q$201,M2)</f>
        <v>0.64571428571428591</v>
      </c>
      <c r="N13" s="2">
        <f>INDEX('ROS Rankings'!$Q$2:$Q$201,N2)</f>
        <v>0</v>
      </c>
      <c r="O13" s="2" t="e">
        <f>INDEX('ROS Rankings'!$Q$2:$Q$201,O2)</f>
        <v>#N/A</v>
      </c>
      <c r="P13" s="2" t="e">
        <f>INDEX('ROS Rankings'!$Q$2:$Q$201,P2)</f>
        <v>#N/A</v>
      </c>
      <c r="Q13" s="2" t="e">
        <f>INDEX('ROS Rankings'!$Q$2:$Q$201,Q2)</f>
        <v>#N/A</v>
      </c>
    </row>
    <row r="14" spans="1:17" x14ac:dyDescent="0.25">
      <c r="A14" t="s">
        <v>16</v>
      </c>
      <c r="B14" s="2">
        <f>INDEX('ROS Rankings'!$Q$2:$Q$201,B3)</f>
        <v>7.8014285714285698</v>
      </c>
      <c r="C14" s="2">
        <f>INDEX('ROS Rankings'!$Q$2:$Q$201,C3)</f>
        <v>7.5071428571428607</v>
      </c>
      <c r="D14" s="2">
        <f>INDEX('ROS Rankings'!$Q$2:$Q$201,D3)</f>
        <v>6.757142857142858</v>
      </c>
      <c r="E14" s="2">
        <f>INDEX('ROS Rankings'!$Q$2:$Q$201,E3)</f>
        <v>4.0928571428571452</v>
      </c>
      <c r="F14" s="2">
        <f>INDEX('ROS Rankings'!$Q$2:$Q$201,F3)</f>
        <v>3.6042857142857132</v>
      </c>
      <c r="G14" s="2">
        <f>INDEX('ROS Rankings'!$Q$2:$Q$201,G3)</f>
        <v>3.032857142857142</v>
      </c>
      <c r="H14" s="2">
        <f>INDEX('ROS Rankings'!$Q$2:$Q$201,H3)</f>
        <v>1.9500000000000011</v>
      </c>
      <c r="I14" s="2">
        <f>INDEX('ROS Rankings'!$Q$2:$Q$201,I3)</f>
        <v>1.6199999999999992</v>
      </c>
      <c r="J14" s="2">
        <f>INDEX('ROS Rankings'!$Q$2:$Q$201,J3)</f>
        <v>1.2719642857142857</v>
      </c>
      <c r="K14" s="2">
        <f>INDEX('ROS Rankings'!$Q$2:$Q$201,K3)</f>
        <v>0.85714285714285676</v>
      </c>
      <c r="L14" s="2">
        <f>INDEX('ROS Rankings'!$Q$2:$Q$201,L3)</f>
        <v>1.297142857142858</v>
      </c>
      <c r="M14" s="2">
        <f>INDEX('ROS Rankings'!$Q$2:$Q$201,M3)</f>
        <v>1.384285714285717</v>
      </c>
      <c r="N14" s="2">
        <f>INDEX('ROS Rankings'!$Q$2:$Q$201,N3)</f>
        <v>1.182857142857145</v>
      </c>
      <c r="O14" s="2">
        <f>INDEX('ROS Rankings'!$Q$2:$Q$201,O3)</f>
        <v>0.39142857142857057</v>
      </c>
      <c r="P14" s="2">
        <f>INDEX('ROS Rankings'!$Q$2:$Q$201,P3)</f>
        <v>-0.52142857142857224</v>
      </c>
      <c r="Q14" s="2" t="e">
        <f>INDEX('ROS Rankings'!$Q$2:$Q$201,Q3)</f>
        <v>#N/A</v>
      </c>
    </row>
    <row r="15" spans="1:17" x14ac:dyDescent="0.25">
      <c r="A15" t="s">
        <v>55</v>
      </c>
      <c r="B15" s="2">
        <f>INDEX('ROS Rankings'!$Q$2:$Q$201,B4)</f>
        <v>7.2585714285714271</v>
      </c>
      <c r="C15" s="2">
        <f>INDEX('ROS Rankings'!$Q$2:$Q$201,C4)</f>
        <v>5.0333928571428572</v>
      </c>
      <c r="D15" s="2">
        <f>INDEX('ROS Rankings'!$Q$2:$Q$201,D4)</f>
        <v>6.6914285714285695</v>
      </c>
      <c r="E15" s="2">
        <f>INDEX('ROS Rankings'!$Q$2:$Q$201,E4)</f>
        <v>5.89</v>
      </c>
      <c r="F15" s="2">
        <f>INDEX('ROS Rankings'!$Q$2:$Q$201,F4)</f>
        <v>4.9714285714285715</v>
      </c>
      <c r="G15" s="2">
        <f>INDEX('ROS Rankings'!$Q$2:$Q$201,G4)</f>
        <v>4.3671428571428574</v>
      </c>
      <c r="H15" s="2">
        <f>INDEX('ROS Rankings'!$Q$2:$Q$201,H4)</f>
        <v>2.2142857142857135</v>
      </c>
      <c r="I15" s="2">
        <f>INDEX('ROS Rankings'!$Q$2:$Q$201,I4)</f>
        <v>2.4014285714285721</v>
      </c>
      <c r="J15" s="2">
        <f>INDEX('ROS Rankings'!$Q$2:$Q$201,J4)</f>
        <v>2.3257142857142847</v>
      </c>
      <c r="K15" s="2">
        <f>INDEX('ROS Rankings'!$Q$2:$Q$201,K4)</f>
        <v>1.9785714285714295</v>
      </c>
      <c r="L15" s="2">
        <f>INDEX('ROS Rankings'!$Q$2:$Q$201,L4)</f>
        <v>0.85999999999999943</v>
      </c>
      <c r="M15" s="2">
        <f>INDEX('ROS Rankings'!$Q$2:$Q$201,M4)</f>
        <v>1.6200000000000045</v>
      </c>
      <c r="N15" s="2" t="e">
        <f>INDEX('ROS Rankings'!$Q$2:$Q$201,N4)</f>
        <v>#N/A</v>
      </c>
      <c r="O15" s="2" t="e">
        <f>INDEX('ROS Rankings'!$Q$2:$Q$201,O4)</f>
        <v>#N/A</v>
      </c>
      <c r="P15" s="2" t="e">
        <f>INDEX('ROS Rankings'!$Q$2:$Q$201,P4)</f>
        <v>#N/A</v>
      </c>
      <c r="Q15" s="2" t="e">
        <f>INDEX('ROS Rankings'!$Q$2:$Q$201,Q4)</f>
        <v>#N/A</v>
      </c>
    </row>
    <row r="16" spans="1:17" x14ac:dyDescent="0.25">
      <c r="A16" t="s">
        <v>35</v>
      </c>
      <c r="B16" s="2">
        <f>INDEX('ROS Rankings'!$Q$2:$Q$201,B5)</f>
        <v>7.1089285714285717</v>
      </c>
      <c r="C16" s="2">
        <f>INDEX('ROS Rankings'!$Q$2:$Q$201,C5)</f>
        <v>5.0171428571428569</v>
      </c>
      <c r="D16" s="2">
        <f>INDEX('ROS Rankings'!$Q$2:$Q$201,D5)</f>
        <v>4.7485714285714291</v>
      </c>
      <c r="E16" s="2">
        <f>INDEX('ROS Rankings'!$Q$2:$Q$201,E5)</f>
        <v>4.7700000000000005</v>
      </c>
      <c r="F16" s="2">
        <f>INDEX('ROS Rankings'!$Q$2:$Q$201,F5)</f>
        <v>4.3185714285714276</v>
      </c>
      <c r="G16" s="2">
        <f>INDEX('ROS Rankings'!$Q$2:$Q$201,G5)</f>
        <v>2.8600000000000012</v>
      </c>
      <c r="H16" s="2">
        <f>INDEX('ROS Rankings'!$Q$2:$Q$201,H5)</f>
        <v>1.3650000000000055</v>
      </c>
      <c r="I16" s="2">
        <f>INDEX('ROS Rankings'!$Q$2:$Q$201,I5)</f>
        <v>1.7226785714285704</v>
      </c>
      <c r="J16" s="2">
        <f>INDEX('ROS Rankings'!$Q$2:$Q$201,J5)</f>
        <v>2.5842857142857145</v>
      </c>
      <c r="K16" s="2">
        <f>INDEX('ROS Rankings'!$Q$2:$Q$201,K5)</f>
        <v>1.6857142857142851</v>
      </c>
      <c r="L16" s="2">
        <f>INDEX('ROS Rankings'!$Q$2:$Q$201,L5)</f>
        <v>2.1814285714285724</v>
      </c>
      <c r="M16" s="2">
        <f>INDEX('ROS Rankings'!$Q$2:$Q$201,M5)</f>
        <v>-0.12000000000000011</v>
      </c>
      <c r="N16" s="2">
        <f>INDEX('ROS Rankings'!$Q$2:$Q$201,N5)</f>
        <v>7.0000000000000284E-2</v>
      </c>
      <c r="O16" s="2">
        <f>INDEX('ROS Rankings'!$Q$2:$Q$201,O5)</f>
        <v>-0.27857142857142758</v>
      </c>
      <c r="P16" s="2" t="e">
        <f>INDEX('ROS Rankings'!$Q$2:$Q$201,P5)</f>
        <v>#N/A</v>
      </c>
      <c r="Q16" s="2" t="e">
        <f>INDEX('ROS Rankings'!$Q$2:$Q$201,Q5)</f>
        <v>#N/A</v>
      </c>
    </row>
    <row r="17" spans="1:17" x14ac:dyDescent="0.25">
      <c r="A17" t="s">
        <v>27</v>
      </c>
      <c r="B17" s="2">
        <f>INDEX('ROS Rankings'!$Q$2:$Q$201,B6)</f>
        <v>7.4128571428571437</v>
      </c>
      <c r="C17" s="2">
        <f>INDEX('ROS Rankings'!$Q$2:$Q$201,C6)</f>
        <v>6.7814285714285711</v>
      </c>
      <c r="D17" s="2">
        <f>INDEX('ROS Rankings'!$Q$2:$Q$201,D6)</f>
        <v>4.4701785714285718</v>
      </c>
      <c r="E17" s="2">
        <f>INDEX('ROS Rankings'!$Q$2:$Q$201,E6)</f>
        <v>5.2314285714285713</v>
      </c>
      <c r="F17" s="2">
        <f>INDEX('ROS Rankings'!$Q$2:$Q$201,F6)</f>
        <v>3.2114285714285717</v>
      </c>
      <c r="G17" s="2">
        <f>INDEX('ROS Rankings'!$Q$2:$Q$201,G6)</f>
        <v>2.0514285714285716</v>
      </c>
      <c r="H17" s="2">
        <f>INDEX('ROS Rankings'!$Q$2:$Q$201,H6)</f>
        <v>1.9328571428571433</v>
      </c>
      <c r="I17" s="2">
        <f>INDEX('ROS Rankings'!$Q$2:$Q$201,I6)</f>
        <v>1.6171428571428574</v>
      </c>
      <c r="J17" s="2">
        <f>INDEX('ROS Rankings'!$Q$2:$Q$201,J6)</f>
        <v>1.5885714285714281</v>
      </c>
      <c r="K17" s="2">
        <f>INDEX('ROS Rankings'!$Q$2:$Q$201,K6)</f>
        <v>4.3750000000001066E-2</v>
      </c>
      <c r="L17" s="2">
        <f>INDEX('ROS Rankings'!$Q$2:$Q$201,L6)</f>
        <v>1.2085714285714273</v>
      </c>
      <c r="M17" s="2">
        <f>INDEX('ROS Rankings'!$Q$2:$Q$201,M6)</f>
        <v>0.5600000000000005</v>
      </c>
      <c r="N17" s="2">
        <f>INDEX('ROS Rankings'!$Q$2:$Q$201,N6)</f>
        <v>6.5714285714285836E-2</v>
      </c>
      <c r="O17" s="2">
        <f>INDEX('ROS Rankings'!$Q$2:$Q$201,O6)</f>
        <v>-1.2357142857142849</v>
      </c>
      <c r="P17" s="2" t="e">
        <f>INDEX('ROS Rankings'!$Q$2:$Q$201,P6)</f>
        <v>#N/A</v>
      </c>
      <c r="Q17" s="2" t="e">
        <f>INDEX('ROS Rankings'!$Q$2:$Q$201,Q6)</f>
        <v>#N/A</v>
      </c>
    </row>
    <row r="18" spans="1:17" x14ac:dyDescent="0.25">
      <c r="A18" t="s">
        <v>62</v>
      </c>
      <c r="B18" s="2">
        <f>INDEX('ROS Rankings'!$Q$2:$Q$201,B7)</f>
        <v>14.368571428571428</v>
      </c>
      <c r="C18" s="2">
        <f>INDEX('ROS Rankings'!$Q$2:$Q$201,C7)</f>
        <v>7.4264285714285707</v>
      </c>
      <c r="D18" s="2">
        <f>INDEX('ROS Rankings'!$Q$2:$Q$201,D7)</f>
        <v>7.0028571428571436</v>
      </c>
      <c r="E18" s="2">
        <f>INDEX('ROS Rankings'!$Q$2:$Q$201,E7)</f>
        <v>2.5346428571428579</v>
      </c>
      <c r="F18" s="2">
        <f>INDEX('ROS Rankings'!$Q$2:$Q$201,F7)</f>
        <v>3.3657142857142865</v>
      </c>
      <c r="G18" s="2">
        <f>INDEX('ROS Rankings'!$Q$2:$Q$201,G7)</f>
        <v>2.9442857142857157</v>
      </c>
      <c r="H18" s="2">
        <f>INDEX('ROS Rankings'!$Q$2:$Q$201,H7)</f>
        <v>2.2914285714285718</v>
      </c>
      <c r="I18" s="2">
        <f>INDEX('ROS Rankings'!$Q$2:$Q$201,I7)</f>
        <v>2.3128571428571432</v>
      </c>
      <c r="J18" s="2">
        <f>INDEX('ROS Rankings'!$Q$2:$Q$201,J7)</f>
        <v>2.4457142857142866</v>
      </c>
      <c r="K18" s="2">
        <f>INDEX('ROS Rankings'!$Q$2:$Q$201,K7)</f>
        <v>1.8257142857142856</v>
      </c>
      <c r="L18" s="2">
        <f>INDEX('ROS Rankings'!$Q$2:$Q$201,L7)</f>
        <v>1.1542857142857139</v>
      </c>
      <c r="M18" s="2">
        <f>INDEX('ROS Rankings'!$Q$2:$Q$201,M7)</f>
        <v>0.71571428571428442</v>
      </c>
      <c r="N18" s="2">
        <f>INDEX('ROS Rankings'!$Q$2:$Q$201,N7)</f>
        <v>0.73571428571428488</v>
      </c>
      <c r="O18" s="2">
        <f>INDEX('ROS Rankings'!$Q$2:$Q$201,O7)</f>
        <v>1.0014285714285727</v>
      </c>
      <c r="P18" s="2" t="e">
        <f>INDEX('ROS Rankings'!$Q$2:$Q$201,P7)</f>
        <v>#N/A</v>
      </c>
      <c r="Q18" s="2" t="e">
        <f>INDEX('ROS Rankings'!$Q$2:$Q$201,Q7)</f>
        <v>#N/A</v>
      </c>
    </row>
    <row r="19" spans="1:17" x14ac:dyDescent="0.25">
      <c r="A19" t="s">
        <v>1648</v>
      </c>
      <c r="B19" s="2">
        <f>INDEX('ROS Rankings'!$Q$2:$Q$201,B8)</f>
        <v>7.2785714285714276</v>
      </c>
      <c r="C19" s="2">
        <f>INDEX('ROS Rankings'!$Q$2:$Q$201,C8)</f>
        <v>5.0328571428571447</v>
      </c>
      <c r="D19" s="2">
        <f>INDEX('ROS Rankings'!$Q$2:$Q$201,D8)</f>
        <v>3.7914285714285718</v>
      </c>
      <c r="E19" s="2">
        <f>INDEX('ROS Rankings'!$Q$2:$Q$201,E8)</f>
        <v>2.2783928571428582</v>
      </c>
      <c r="F19" s="2">
        <f>INDEX('ROS Rankings'!$Q$2:$Q$201,F8)</f>
        <v>3.0642857142857149</v>
      </c>
      <c r="G19" s="2">
        <f>INDEX('ROS Rankings'!$Q$2:$Q$201,G8)</f>
        <v>2.005178571428571</v>
      </c>
      <c r="H19" s="2">
        <f>INDEX('ROS Rankings'!$Q$2:$Q$201,H8)</f>
        <v>1.92</v>
      </c>
      <c r="I19" s="2">
        <f>INDEX('ROS Rankings'!$Q$2:$Q$201,I8)</f>
        <v>0.57214285714285751</v>
      </c>
      <c r="J19" s="2">
        <f>INDEX('ROS Rankings'!$Q$2:$Q$201,J8)</f>
        <v>1.348571428571427</v>
      </c>
      <c r="K19" s="2">
        <f>INDEX('ROS Rankings'!$Q$2:$Q$201,K8)</f>
        <v>0.78285714285714381</v>
      </c>
      <c r="L19" s="2">
        <f>INDEX('ROS Rankings'!$Q$2:$Q$201,L8)</f>
        <v>0.41446428571428484</v>
      </c>
      <c r="M19" s="2">
        <f>INDEX('ROS Rankings'!$Q$2:$Q$201,M8)</f>
        <v>1.0757142857142847</v>
      </c>
      <c r="N19" s="2">
        <f>INDEX('ROS Rankings'!$Q$2:$Q$201,N8)</f>
        <v>1.5385714285714371</v>
      </c>
      <c r="O19" s="2">
        <f>INDEX('ROS Rankings'!$Q$2:$Q$201,O8)</f>
        <v>0.2328571428571431</v>
      </c>
      <c r="P19" s="2">
        <f>INDEX('ROS Rankings'!$Q$2:$Q$201,P8)</f>
        <v>0.23142857142857665</v>
      </c>
      <c r="Q19" s="2" t="e">
        <f>INDEX('ROS Rankings'!$Q$2:$Q$201,Q8)</f>
        <v>#N/A</v>
      </c>
    </row>
    <row r="20" spans="1:17" x14ac:dyDescent="0.25">
      <c r="A20" t="s">
        <v>23</v>
      </c>
      <c r="B20" s="2">
        <f>INDEX('ROS Rankings'!$Q$2:$Q$201,B9)</f>
        <v>13.55857142857143</v>
      </c>
      <c r="C20" s="2">
        <f>INDEX('ROS Rankings'!$Q$2:$Q$201,C9)</f>
        <v>6.74</v>
      </c>
      <c r="D20" s="2">
        <f>INDEX('ROS Rankings'!$Q$2:$Q$201,D9)</f>
        <v>4.845714285714287</v>
      </c>
      <c r="E20" s="2">
        <f>INDEX('ROS Rankings'!$Q$2:$Q$201,E9)</f>
        <v>3.524285714285714</v>
      </c>
      <c r="F20" s="2">
        <f>INDEX('ROS Rankings'!$Q$2:$Q$201,F9)</f>
        <v>3.0457142857142854</v>
      </c>
      <c r="G20" s="2">
        <f>INDEX('ROS Rankings'!$Q$2:$Q$201,G9)</f>
        <v>2.8942857142857141</v>
      </c>
      <c r="H20" s="2">
        <f>INDEX('ROS Rankings'!$Q$2:$Q$201,H9)</f>
        <v>2.3114285714285732</v>
      </c>
      <c r="I20" s="2">
        <f>INDEX('ROS Rankings'!$Q$2:$Q$201,I9)</f>
        <v>-0.82428571428571384</v>
      </c>
      <c r="J20" s="2">
        <f>INDEX('ROS Rankings'!$Q$2:$Q$201,J9)</f>
        <v>-1.0614285714285723</v>
      </c>
      <c r="K20" s="2" t="e">
        <f>INDEX('ROS Rankings'!$Q$2:$Q$201,K9)</f>
        <v>#N/A</v>
      </c>
      <c r="L20" s="2" t="e">
        <f>INDEX('ROS Rankings'!$Q$2:$Q$201,L9)</f>
        <v>#N/A</v>
      </c>
      <c r="M20" s="2" t="e">
        <f>INDEX('ROS Rankings'!$Q$2:$Q$201,M9)</f>
        <v>#N/A</v>
      </c>
      <c r="N20" s="2" t="e">
        <f>INDEX('ROS Rankings'!$Q$2:$Q$201,N9)</f>
        <v>#N/A</v>
      </c>
      <c r="O20" s="2" t="e">
        <f>INDEX('ROS Rankings'!$Q$2:$Q$201,O9)</f>
        <v>#N/A</v>
      </c>
      <c r="P20" s="2" t="e">
        <f>INDEX('ROS Rankings'!$Q$2:$Q$201,P9)</f>
        <v>#N/A</v>
      </c>
      <c r="Q20" s="2" t="e">
        <f>INDEX('ROS Rankings'!$Q$2:$Q$201,Q9)</f>
        <v>#N/A</v>
      </c>
    </row>
    <row r="21" spans="1:17" x14ac:dyDescent="0.25">
      <c r="A21" t="s">
        <v>49</v>
      </c>
      <c r="B21" s="2">
        <f>INDEX('ROS Rankings'!$Q$2:$Q$201,B10)</f>
        <v>10.115714285714283</v>
      </c>
      <c r="C21" s="2">
        <f>INDEX('ROS Rankings'!$Q$2:$Q$201,C10)</f>
        <v>7.5799999999999974</v>
      </c>
      <c r="D21" s="2">
        <f>INDEX('ROS Rankings'!$Q$2:$Q$201,D10)</f>
        <v>6.9842857142857149</v>
      </c>
      <c r="E21" s="2">
        <f>INDEX('ROS Rankings'!$Q$2:$Q$201,E10)</f>
        <v>4.5685714285714294</v>
      </c>
      <c r="F21" s="2">
        <f>INDEX('ROS Rankings'!$Q$2:$Q$201,F10)</f>
        <v>4.5514285714285707</v>
      </c>
      <c r="G21" s="2">
        <f>INDEX('ROS Rankings'!$Q$2:$Q$201,G10)</f>
        <v>3.6957142857142866</v>
      </c>
      <c r="H21" s="2">
        <f>INDEX('ROS Rankings'!$Q$2:$Q$201,H10)</f>
        <v>2.6242857142857137</v>
      </c>
      <c r="I21" s="2">
        <f>INDEX('ROS Rankings'!$Q$2:$Q$201,I10)</f>
        <v>1.8187499999999996</v>
      </c>
      <c r="J21" s="2">
        <f>INDEX('ROS Rankings'!$Q$2:$Q$201,J10)</f>
        <v>0.40375000000000227</v>
      </c>
      <c r="K21" s="2">
        <f>INDEX('ROS Rankings'!$Q$2:$Q$201,K10)</f>
        <v>1.1128571428571439</v>
      </c>
      <c r="L21" s="2">
        <f>INDEX('ROS Rankings'!$Q$2:$Q$201,L10)</f>
        <v>2.254285714285718</v>
      </c>
      <c r="M21" s="2">
        <f>INDEX('ROS Rankings'!$Q$2:$Q$201,M10)</f>
        <v>0.20428571428571374</v>
      </c>
      <c r="N21" s="2">
        <f>INDEX('ROS Rankings'!$Q$2:$Q$201,N10)</f>
        <v>0.36428571428571388</v>
      </c>
      <c r="O21" s="2" t="e">
        <f>INDEX('ROS Rankings'!$Q$2:$Q$201,O10)</f>
        <v>#N/A</v>
      </c>
      <c r="P21" s="2" t="e">
        <f>INDEX('ROS Rankings'!$Q$2:$Q$201,P10)</f>
        <v>#N/A</v>
      </c>
      <c r="Q21" s="2" t="e">
        <f>INDEX('ROS Rankings'!$Q$2:$Q$201,Q10)</f>
        <v>#N/A</v>
      </c>
    </row>
    <row r="22" spans="1:17" x14ac:dyDescent="0.25">
      <c r="A22" t="s">
        <v>44</v>
      </c>
      <c r="B22" s="2">
        <f>INDEX('ROS Rankings'!$Q$2:$Q$201,B11)</f>
        <v>6.2314285714285713</v>
      </c>
      <c r="C22" s="2">
        <f>INDEX('ROS Rankings'!$Q$2:$Q$201,C11)</f>
        <v>5.6814285714285724</v>
      </c>
      <c r="D22" s="2">
        <f>INDEX('ROS Rankings'!$Q$2:$Q$201,D11)</f>
        <v>3.121428571428571</v>
      </c>
      <c r="E22" s="2">
        <f>INDEX('ROS Rankings'!$Q$2:$Q$201,E11)</f>
        <v>2.8671428571428548</v>
      </c>
      <c r="F22" s="2">
        <f>INDEX('ROS Rankings'!$Q$2:$Q$201,F11)</f>
        <v>2.3885714285714297</v>
      </c>
      <c r="G22" s="2">
        <f>INDEX('ROS Rankings'!$Q$2:$Q$201,G11)</f>
        <v>1.8585714285714285</v>
      </c>
      <c r="H22" s="2">
        <f>INDEX('ROS Rankings'!$Q$2:$Q$201,H11)</f>
        <v>1.8342857142857136</v>
      </c>
      <c r="I22" s="2">
        <f>INDEX('ROS Rankings'!$Q$2:$Q$201,I11)</f>
        <v>1.6242857142857119</v>
      </c>
      <c r="J22" s="2">
        <f>INDEX('ROS Rankings'!$Q$2:$Q$201,J11)</f>
        <v>1.2171428571428562</v>
      </c>
      <c r="K22" s="2">
        <f>INDEX('ROS Rankings'!$Q$2:$Q$201,K11)</f>
        <v>1.347142857142857</v>
      </c>
      <c r="L22" s="2">
        <f>INDEX('ROS Rankings'!$Q$2:$Q$201,L11)</f>
        <v>0.52571428571428491</v>
      </c>
      <c r="M22" s="2">
        <f>INDEX('ROS Rankings'!$Q$2:$Q$201,M11)</f>
        <v>0.24857142857142822</v>
      </c>
      <c r="N22" s="2">
        <f>INDEX('ROS Rankings'!$Q$2:$Q$201,N11)</f>
        <v>2.7142857142856691E-2</v>
      </c>
      <c r="O22" s="2" t="e">
        <f>INDEX('ROS Rankings'!$Q$2:$Q$201,O11)</f>
        <v>#N/A</v>
      </c>
      <c r="P22" s="2" t="e">
        <f>INDEX('ROS Rankings'!$Q$2:$Q$201,P11)</f>
        <v>#N/A</v>
      </c>
      <c r="Q22" s="2" t="e">
        <f>INDEX('ROS Rankings'!$Q$2:$Q$201,Q11)</f>
        <v>#N/A</v>
      </c>
    </row>
    <row r="24" spans="1:17" x14ac:dyDescent="0.25">
      <c r="A24" t="s">
        <v>851</v>
      </c>
      <c r="B24" s="2">
        <f>INDEX('ROS Rankings'!$Q$2:$Q$201,B1*10-5)</f>
        <v>10.115714285714283</v>
      </c>
      <c r="C24" s="2">
        <f>INDEX('ROS Rankings'!$Q$2:$Q$201,C1*10-5)</f>
        <v>6.9842857142857149</v>
      </c>
      <c r="D24" s="2">
        <f>INDEX('ROS Rankings'!$Q$2:$Q$201,D1*10-5)</f>
        <v>5.6814285714285724</v>
      </c>
      <c r="E24" s="2">
        <f>INDEX('ROS Rankings'!$Q$2:$Q$201,E1*10-5)</f>
        <v>4.3671428571428574</v>
      </c>
      <c r="F24" s="2">
        <f>INDEX('ROS Rankings'!$Q$2:$Q$201,F1*10-5)</f>
        <v>3.2114285714285717</v>
      </c>
      <c r="G24" s="2">
        <f>INDEX('ROS Rankings'!$Q$2:$Q$201,G1*10-5)</f>
        <v>2.8942857142857141</v>
      </c>
      <c r="H24" s="2">
        <f>INDEX('ROS Rankings'!$Q$2:$Q$201,H1*10-5)</f>
        <v>2.4014285714285721</v>
      </c>
      <c r="I24" s="2">
        <f>INDEX('ROS Rankings'!$Q$2:$Q$201,I1*10-5)</f>
        <v>1.8257142857142856</v>
      </c>
      <c r="J24" s="2">
        <f>INDEX('ROS Rankings'!$Q$2:$Q$201,J1*10-5)</f>
        <v>1.5885714285714281</v>
      </c>
      <c r="K24" s="2">
        <f>INDEX('ROS Rankings'!$Q$2:$Q$201,K1*10-5)</f>
        <v>0.85714285714285676</v>
      </c>
      <c r="L24" s="2">
        <f>INDEX('ROS Rankings'!$Q$2:$Q$201,L1*10-5)</f>
        <v>0.71571428571428442</v>
      </c>
      <c r="M24" s="2">
        <f>INDEX('ROS Rankings'!$Q$2:$Q$201,M1*10-5)</f>
        <v>0.1728571428571426</v>
      </c>
      <c r="N24" s="2">
        <f>INDEX('ROS Rankings'!$Q$2:$Q$201,N1*10-5)</f>
        <v>0.20428571428571374</v>
      </c>
      <c r="O24" s="2">
        <f>INDEX('ROS Rankings'!$Q$2:$Q$201,O1*10-5)</f>
        <v>0.73571428571428488</v>
      </c>
      <c r="P24" s="2">
        <f>INDEX('ROS Rankings'!$Q$2:$Q$201,P1*10-5)</f>
        <v>0.64571428571428591</v>
      </c>
      <c r="Q24" s="2">
        <f>INDEX('ROS Rankings'!$Q$2:$Q$201,Q1*10-5)</f>
        <v>-0.55714285714285783</v>
      </c>
    </row>
    <row r="25" spans="1:17" ht="25.5" customHeight="1" x14ac:dyDescent="0.25">
      <c r="A25" t="s">
        <v>20</v>
      </c>
      <c r="B25" s="2">
        <f>SUM($B13:B13)-SUM($B$24:B$24)</f>
        <v>0.43571428571428683</v>
      </c>
      <c r="C25" s="2">
        <f>SUM($B13:C13)-SUM($B$24:C$24)</f>
        <v>3.8142857142857132</v>
      </c>
      <c r="D25" s="2">
        <f>SUM($B13:D13)-SUM($B$24:D$24)</f>
        <v>3.8928571428571423</v>
      </c>
      <c r="E25" s="2">
        <f>SUM($B13:E13)-SUM($B$24:E$24)</f>
        <v>4.4842857142857113</v>
      </c>
      <c r="F25" s="2">
        <f>SUM($B13:F13)-SUM($B$24:F$24)</f>
        <v>3.2514285714285691</v>
      </c>
      <c r="G25" s="2">
        <f>SUM($B13:G13)-SUM($B$24:G$24)</f>
        <v>2.1199999999999974</v>
      </c>
      <c r="H25" s="2">
        <f>SUM($B13:H13)-SUM($B$24:H$24)</f>
        <v>1.0985714285714252</v>
      </c>
      <c r="I25" s="2">
        <f>SUM($B13:I13)-SUM($B$24:I$24)</f>
        <v>-0.96000000000000085</v>
      </c>
      <c r="J25" s="2">
        <f>SUM($B13:J13)-SUM($B$24:J$24)</f>
        <v>-0.67999999999999972</v>
      </c>
      <c r="K25" s="2">
        <f>SUM($B13:K13)-SUM($B$24:K$24)</f>
        <v>-0.83999999999999631</v>
      </c>
      <c r="L25" s="2">
        <f>SUM($B13:L13)-SUM($B$24:L$24)</f>
        <v>-1.5557142857142807</v>
      </c>
      <c r="M25" s="2">
        <f>SUM($B13:M13)-SUM($B$24:M$24)</f>
        <v>-1.0828571428571365</v>
      </c>
      <c r="N25" s="2">
        <f>SUM($B13:N13)-SUM($B$24:N$24)</f>
        <v>-1.2871428571428538</v>
      </c>
      <c r="O25" s="2" t="e">
        <f>SUM($B13:O13)-SUM($B$24:O$24)</f>
        <v>#N/A</v>
      </c>
      <c r="P25" s="2" t="e">
        <f>SUM($B13:P13)-SUM($B$24:P$24)</f>
        <v>#N/A</v>
      </c>
      <c r="Q25" s="2" t="e">
        <f>SUM($B13:Q13)-SUM($B$24:Q$24)</f>
        <v>#N/A</v>
      </c>
    </row>
    <row r="26" spans="1:17" ht="25.5" customHeight="1" x14ac:dyDescent="0.25">
      <c r="A26" t="s">
        <v>16</v>
      </c>
      <c r="B26" s="2">
        <f>SUM($B14:B14)-SUM($B$24:B$24)</f>
        <v>-2.3142857142857132</v>
      </c>
      <c r="C26" s="2">
        <f>SUM($B14:C14)-SUM($B$24:C$24)</f>
        <v>-1.7914285714285683</v>
      </c>
      <c r="D26" s="2">
        <f>SUM($B14:D14)-SUM($B$24:D$24)</f>
        <v>-0.71571428571428442</v>
      </c>
      <c r="E26" s="2">
        <f>SUM($B14:E14)-SUM($B$24:E$24)</f>
        <v>-0.98999999999999844</v>
      </c>
      <c r="F26" s="2">
        <f>SUM($B14:F14)-SUM($B$24:F$24)</f>
        <v>-0.59714285714285609</v>
      </c>
      <c r="G26" s="2">
        <f>SUM($B14:G14)-SUM($B$24:G$24)</f>
        <v>-0.45857142857143174</v>
      </c>
      <c r="H26" s="2">
        <f>SUM($B14:H14)-SUM($B$24:H$24)</f>
        <v>-0.91000000000000369</v>
      </c>
      <c r="I26" s="2">
        <f>SUM($B14:I14)-SUM($B$24:I$24)</f>
        <v>-1.1157142857142901</v>
      </c>
      <c r="J26" s="2">
        <f>SUM($B14:J14)-SUM($B$24:J$24)</f>
        <v>-1.4323214285714343</v>
      </c>
      <c r="K26" s="2">
        <f>SUM($B14:K14)-SUM($B$24:K$24)</f>
        <v>-1.4323214285714343</v>
      </c>
      <c r="L26" s="2">
        <f>SUM($B14:L14)-SUM($B$24:L$24)</f>
        <v>-0.85089285714285978</v>
      </c>
      <c r="M26" s="2">
        <f>SUM($B14:M14)-SUM($B$24:M$24)</f>
        <v>0.36053571428571729</v>
      </c>
      <c r="N26" s="2">
        <f>SUM($B14:N14)-SUM($B$24:N$24)</f>
        <v>1.339107142857145</v>
      </c>
      <c r="O26" s="2">
        <f>SUM($B14:O14)-SUM($B$24:O$24)</f>
        <v>0.99482142857142719</v>
      </c>
      <c r="P26" s="2">
        <f>SUM($B14:P14)-SUM($B$24:P$24)</f>
        <v>-0.17232142857142918</v>
      </c>
      <c r="Q26" s="2" t="e">
        <f>SUM($B14:Q14)-SUM($B$24:Q$24)</f>
        <v>#N/A</v>
      </c>
    </row>
    <row r="27" spans="1:17" ht="25.5" customHeight="1" x14ac:dyDescent="0.25">
      <c r="A27" t="s">
        <v>55</v>
      </c>
      <c r="B27" s="2">
        <f>SUM($B15:B15)-SUM($B$24:B$24)</f>
        <v>-2.8571428571428559</v>
      </c>
      <c r="C27" s="2">
        <f>SUM($B15:C15)-SUM($B$24:C$24)</f>
        <v>-4.8080357142857135</v>
      </c>
      <c r="D27" s="2">
        <f>SUM($B15:D15)-SUM($B$24:D$24)</f>
        <v>-3.7980357142857173</v>
      </c>
      <c r="E27" s="2">
        <f>SUM($B15:E15)-SUM($B$24:E$24)</f>
        <v>-2.2751785714285759</v>
      </c>
      <c r="F27" s="2">
        <f>SUM($B15:F15)-SUM($B$24:F$24)</f>
        <v>-0.51517857142857437</v>
      </c>
      <c r="G27" s="2">
        <f>SUM($B15:G15)-SUM($B$24:G$24)</f>
        <v>0.95767857142856627</v>
      </c>
      <c r="H27" s="2">
        <f>SUM($B15:H15)-SUM($B$24:H$24)</f>
        <v>0.77053571428570677</v>
      </c>
      <c r="I27" s="2">
        <f>SUM($B15:I15)-SUM($B$24:I$24)</f>
        <v>1.3462499999999977</v>
      </c>
      <c r="J27" s="2">
        <f>SUM($B15:J15)-SUM($B$24:J$24)</f>
        <v>2.0833928571428544</v>
      </c>
      <c r="K27" s="2">
        <f>SUM($B15:K15)-SUM($B$24:K$24)</f>
        <v>3.204821428571428</v>
      </c>
      <c r="L27" s="2">
        <f>SUM($B15:L15)-SUM($B$24:L$24)</f>
        <v>3.3491071428571431</v>
      </c>
      <c r="M27" s="2">
        <f>SUM($B15:M15)-SUM($B$24:M$24)</f>
        <v>4.7962500000000077</v>
      </c>
      <c r="N27" s="2" t="e">
        <f>SUM($B15:N15)-SUM($B$24:N$24)</f>
        <v>#N/A</v>
      </c>
      <c r="O27" s="2" t="e">
        <f>SUM($B15:O15)-SUM($B$24:O$24)</f>
        <v>#N/A</v>
      </c>
      <c r="P27" s="2" t="e">
        <f>SUM($B15:P15)-SUM($B$24:P$24)</f>
        <v>#N/A</v>
      </c>
      <c r="Q27" s="2" t="e">
        <f>SUM($B15:Q15)-SUM($B$24:Q$24)</f>
        <v>#N/A</v>
      </c>
    </row>
    <row r="28" spans="1:17" ht="25.5" customHeight="1" x14ac:dyDescent="0.25">
      <c r="A28" t="s">
        <v>35</v>
      </c>
      <c r="B28" s="2">
        <f>SUM($B16:B16)-SUM($B$24:B$24)</f>
        <v>-3.0067857142857113</v>
      </c>
      <c r="C28" s="2">
        <f>SUM($B16:C16)-SUM($B$24:C$24)</f>
        <v>-4.9739285714285693</v>
      </c>
      <c r="D28" s="2">
        <f>SUM($B16:D16)-SUM($B$24:D$24)</f>
        <v>-5.9067857142857108</v>
      </c>
      <c r="E28" s="2">
        <f>SUM($B16:E16)-SUM($B$24:E$24)</f>
        <v>-5.5039285714285704</v>
      </c>
      <c r="F28" s="2">
        <f>SUM($B16:F16)-SUM($B$24:F$24)</f>
        <v>-4.3967857142857127</v>
      </c>
      <c r="G28" s="2">
        <f>SUM($B16:G16)-SUM($B$24:G$24)</f>
        <v>-4.4310714285714283</v>
      </c>
      <c r="H28" s="2">
        <f>SUM($B16:H16)-SUM($B$24:H$24)</f>
        <v>-5.4674999999999976</v>
      </c>
      <c r="I28" s="2">
        <f>SUM($B16:I16)-SUM($B$24:I$24)</f>
        <v>-5.570535714285711</v>
      </c>
      <c r="J28" s="2">
        <f>SUM($B16:J16)-SUM($B$24:J$24)</f>
        <v>-4.5748214285714255</v>
      </c>
      <c r="K28" s="2">
        <f>SUM($B16:K16)-SUM($B$24:K$24)</f>
        <v>-3.7462499999999963</v>
      </c>
      <c r="L28" s="2">
        <f>SUM($B16:L16)-SUM($B$24:L$24)</f>
        <v>-2.2805357142857048</v>
      </c>
      <c r="M28" s="2">
        <f>SUM($B16:M16)-SUM($B$24:M$24)</f>
        <v>-2.5733928571428422</v>
      </c>
      <c r="N28" s="2">
        <f>SUM($B16:N16)-SUM($B$24:N$24)</f>
        <v>-2.7076785714285592</v>
      </c>
      <c r="O28" s="2">
        <f>SUM($B16:O16)-SUM($B$24:O$24)</f>
        <v>-3.7219642857142716</v>
      </c>
      <c r="P28" s="2" t="e">
        <f>SUM($B16:P16)-SUM($B$24:P$24)</f>
        <v>#N/A</v>
      </c>
      <c r="Q28" s="2" t="e">
        <f>SUM($B16:Q16)-SUM($B$24:Q$24)</f>
        <v>#N/A</v>
      </c>
    </row>
    <row r="29" spans="1:17" ht="25.5" customHeight="1" x14ac:dyDescent="0.25">
      <c r="A29" t="s">
        <v>27</v>
      </c>
      <c r="B29" s="2">
        <f>SUM($B17:B17)-SUM($B$24:B$24)</f>
        <v>-2.7028571428571393</v>
      </c>
      <c r="C29" s="2">
        <f>SUM($B17:C17)-SUM($B$24:C$24)</f>
        <v>-2.9057142857142821</v>
      </c>
      <c r="D29" s="2">
        <f>SUM($B17:D17)-SUM($B$24:D$24)</f>
        <v>-4.1169642857142819</v>
      </c>
      <c r="E29" s="2">
        <f>SUM($B17:E17)-SUM($B$24:E$24)</f>
        <v>-3.252678571428568</v>
      </c>
      <c r="F29" s="2">
        <f>SUM($B17:F17)-SUM($B$24:F$24)</f>
        <v>-3.252678571428568</v>
      </c>
      <c r="G29" s="2">
        <f>SUM($B17:G17)-SUM($B$24:G$24)</f>
        <v>-4.0955357142857096</v>
      </c>
      <c r="H29" s="2">
        <f>SUM($B17:H17)-SUM($B$24:H$24)</f>
        <v>-4.5641071428571394</v>
      </c>
      <c r="I29" s="2">
        <f>SUM($B17:I17)-SUM($B$24:I$24)</f>
        <v>-4.772678571428564</v>
      </c>
      <c r="J29" s="2">
        <f>SUM($B17:J17)-SUM($B$24:J$24)</f>
        <v>-4.772678571428564</v>
      </c>
      <c r="K29" s="2">
        <f>SUM($B17:K17)-SUM($B$24:K$24)</f>
        <v>-5.5860714285714153</v>
      </c>
      <c r="L29" s="2">
        <f>SUM($B17:L17)-SUM($B$24:L$24)</f>
        <v>-5.093214285714275</v>
      </c>
      <c r="M29" s="2">
        <f>SUM($B17:M17)-SUM($B$24:M$24)</f>
        <v>-4.7060714285714127</v>
      </c>
      <c r="N29" s="2">
        <f>SUM($B17:N17)-SUM($B$24:N$24)</f>
        <v>-4.8446428571428442</v>
      </c>
      <c r="O29" s="2">
        <f>SUM($B17:O17)-SUM($B$24:O$24)</f>
        <v>-6.8160714285714192</v>
      </c>
      <c r="P29" s="2" t="e">
        <f>SUM($B17:P17)-SUM($B$24:P$24)</f>
        <v>#N/A</v>
      </c>
      <c r="Q29" s="2" t="e">
        <f>SUM($B17:Q17)-SUM($B$24:Q$24)</f>
        <v>#N/A</v>
      </c>
    </row>
    <row r="30" spans="1:17" ht="25.5" customHeight="1" x14ac:dyDescent="0.25">
      <c r="A30" t="s">
        <v>62</v>
      </c>
      <c r="B30" s="2">
        <f>SUM($B18:B18)-SUM($B$24:B$24)</f>
        <v>4.2528571428571453</v>
      </c>
      <c r="C30" s="2">
        <f>SUM($B18:C18)-SUM($B$24:C$24)</f>
        <v>4.6950000000000003</v>
      </c>
      <c r="D30" s="2">
        <f>SUM($B18:D18)-SUM($B$24:D$24)</f>
        <v>6.0164285714285697</v>
      </c>
      <c r="E30" s="2">
        <f>SUM($B18:E18)-SUM($B$24:E$24)</f>
        <v>4.1839285714285666</v>
      </c>
      <c r="F30" s="2">
        <f>SUM($B18:F18)-SUM($B$24:F$24)</f>
        <v>4.3382142857142867</v>
      </c>
      <c r="G30" s="2">
        <f>SUM($B18:G18)-SUM($B$24:G$24)</f>
        <v>4.3882142857142838</v>
      </c>
      <c r="H30" s="2">
        <f>SUM($B18:H18)-SUM($B$24:H$24)</f>
        <v>4.2782142857142773</v>
      </c>
      <c r="I30" s="2">
        <f>SUM($B18:I18)-SUM($B$24:I$24)</f>
        <v>4.765357142857134</v>
      </c>
      <c r="J30" s="2">
        <f>SUM($B18:J18)-SUM($B$24:J$24)</f>
        <v>5.6224999999999952</v>
      </c>
      <c r="K30" s="2">
        <f>SUM($B18:K18)-SUM($B$24:K$24)</f>
        <v>6.5910714285714249</v>
      </c>
      <c r="L30" s="2">
        <f>SUM($B18:L18)-SUM($B$24:L$24)</f>
        <v>7.0296428571428535</v>
      </c>
      <c r="M30" s="2">
        <f>SUM($B18:M18)-SUM($B$24:M$24)</f>
        <v>7.572499999999998</v>
      </c>
      <c r="N30" s="2">
        <f>SUM($B18:N18)-SUM($B$24:N$24)</f>
        <v>8.1039285714285683</v>
      </c>
      <c r="O30" s="2">
        <f>SUM($B18:O18)-SUM($B$24:O$24)</f>
        <v>8.3696428571428569</v>
      </c>
      <c r="P30" s="2" t="e">
        <f>SUM($B18:P18)-SUM($B$24:P$24)</f>
        <v>#N/A</v>
      </c>
      <c r="Q30" s="2" t="e">
        <f>SUM($B18:Q18)-SUM($B$24:Q$24)</f>
        <v>#N/A</v>
      </c>
    </row>
    <row r="31" spans="1:17" ht="25.5" customHeight="1" x14ac:dyDescent="0.25">
      <c r="A31" t="s">
        <v>1648</v>
      </c>
      <c r="B31" s="2">
        <f>SUM($B19:B19)-SUM($B$24:B$24)</f>
        <v>-2.8371428571428554</v>
      </c>
      <c r="C31" s="2">
        <f>SUM($B19:C19)-SUM($B$24:C$24)</f>
        <v>-4.7885714285714265</v>
      </c>
      <c r="D31" s="2">
        <f>SUM($B19:D19)-SUM($B$24:D$24)</f>
        <v>-6.678571428571427</v>
      </c>
      <c r="E31" s="2">
        <f>SUM($B19:E19)-SUM($B$24:E$24)</f>
        <v>-8.767321428571428</v>
      </c>
      <c r="F31" s="2">
        <f>SUM($B19:F19)-SUM($B$24:F$24)</f>
        <v>-8.9144642857142813</v>
      </c>
      <c r="G31" s="2">
        <f>SUM($B19:G19)-SUM($B$24:G$24)</f>
        <v>-9.8035714285714235</v>
      </c>
      <c r="H31" s="2">
        <f>SUM($B19:H19)-SUM($B$24:H$24)</f>
        <v>-10.284999999999997</v>
      </c>
      <c r="I31" s="2">
        <f>SUM($B19:I19)-SUM($B$24:I$24)</f>
        <v>-11.538571428571423</v>
      </c>
      <c r="J31" s="2">
        <f>SUM($B19:J19)-SUM($B$24:J$24)</f>
        <v>-11.778571428571425</v>
      </c>
      <c r="K31" s="2">
        <f>SUM($B19:K19)-SUM($B$24:K$24)</f>
        <v>-11.852857142857136</v>
      </c>
      <c r="L31" s="2">
        <f>SUM($B19:L19)-SUM($B$24:L$24)</f>
        <v>-12.154107142857136</v>
      </c>
      <c r="M31" s="2">
        <f>SUM($B19:M19)-SUM($B$24:M$24)</f>
        <v>-11.251249999999992</v>
      </c>
      <c r="N31" s="2">
        <f>SUM($B19:N19)-SUM($B$24:N$24)</f>
        <v>-9.9169642857142719</v>
      </c>
      <c r="O31" s="2">
        <f>SUM($B19:O19)-SUM($B$24:O$24)</f>
        <v>-10.419821428571417</v>
      </c>
      <c r="P31" s="2">
        <f>SUM($B19:P19)-SUM($B$24:P$24)</f>
        <v>-10.834107142857125</v>
      </c>
      <c r="Q31" s="2" t="e">
        <f>SUM($B19:Q19)-SUM($B$24:Q$24)</f>
        <v>#N/A</v>
      </c>
    </row>
    <row r="32" spans="1:17" ht="25.5" customHeight="1" x14ac:dyDescent="0.25">
      <c r="A32" t="s">
        <v>23</v>
      </c>
      <c r="B32" s="2">
        <f>SUM($B20:B20)-SUM($B$24:B$24)</f>
        <v>3.4428571428571466</v>
      </c>
      <c r="C32" s="2">
        <f>SUM($B20:C20)-SUM($B$24:C$24)</f>
        <v>3.1985714285714302</v>
      </c>
      <c r="D32" s="2">
        <f>SUM($B20:D20)-SUM($B$24:D$24)</f>
        <v>2.3628571428571448</v>
      </c>
      <c r="E32" s="2">
        <f>SUM($B20:E20)-SUM($B$24:E$24)</f>
        <v>1.5199999999999996</v>
      </c>
      <c r="F32" s="2">
        <f>SUM($B20:F20)-SUM($B$24:F$24)</f>
        <v>1.3542857142857159</v>
      </c>
      <c r="G32" s="2">
        <f>SUM($B20:G20)-SUM($B$24:G$24)</f>
        <v>1.3542857142857159</v>
      </c>
      <c r="H32" s="2">
        <f>SUM($B20:H20)-SUM($B$24:H$24)</f>
        <v>1.2642857142857125</v>
      </c>
      <c r="I32" s="2">
        <f>SUM($B20:I20)-SUM($B$24:I$24)</f>
        <v>-1.3857142857142861</v>
      </c>
      <c r="J32" s="2">
        <f>SUM($B20:J20)-SUM($B$24:J$24)</f>
        <v>-4.0357142857142847</v>
      </c>
      <c r="K32" s="2" t="e">
        <f>SUM($B20:K20)-SUM($B$24:K$24)</f>
        <v>#N/A</v>
      </c>
      <c r="L32" s="2" t="e">
        <f>SUM($B20:L20)-SUM($B$24:L$24)</f>
        <v>#N/A</v>
      </c>
      <c r="M32" s="2" t="e">
        <f>SUM($B20:M20)-SUM($B$24:M$24)</f>
        <v>#N/A</v>
      </c>
      <c r="N32" s="2" t="e">
        <f>SUM($B20:N20)-SUM($B$24:N$24)</f>
        <v>#N/A</v>
      </c>
      <c r="O32" s="2" t="e">
        <f>SUM($B20:O20)-SUM($B$24:O$24)</f>
        <v>#N/A</v>
      </c>
      <c r="P32" s="2" t="e">
        <f>SUM($B20:P20)-SUM($B$24:P$24)</f>
        <v>#N/A</v>
      </c>
      <c r="Q32" s="2" t="e">
        <f>SUM($B20:Q20)-SUM($B$24:Q$24)</f>
        <v>#N/A</v>
      </c>
    </row>
    <row r="33" spans="1:18" ht="25.5" customHeight="1" x14ac:dyDescent="0.25">
      <c r="A33" t="s">
        <v>49</v>
      </c>
      <c r="B33" s="2">
        <f>SUM($B21:B21)-SUM($B$24:B$24)</f>
        <v>0</v>
      </c>
      <c r="C33" s="2">
        <f>SUM($B21:C21)-SUM($B$24:C$24)</f>
        <v>0.59571428571428342</v>
      </c>
      <c r="D33" s="2">
        <f>SUM($B21:D21)-SUM($B$24:D$24)</f>
        <v>1.8985714285714259</v>
      </c>
      <c r="E33" s="2">
        <f>SUM($B21:E21)-SUM($B$24:E$24)</f>
        <v>2.0999999999999943</v>
      </c>
      <c r="F33" s="2">
        <f>SUM($B21:F21)-SUM($B$24:F$24)</f>
        <v>3.4399999999999977</v>
      </c>
      <c r="G33" s="2">
        <f>SUM($B21:G21)-SUM($B$24:G$24)</f>
        <v>4.2414285714285711</v>
      </c>
      <c r="H33" s="2">
        <f>SUM($B21:H21)-SUM($B$24:H$24)</f>
        <v>4.4642857142857082</v>
      </c>
      <c r="I33" s="2">
        <f>SUM($B21:I21)-SUM($B$24:I$24)</f>
        <v>4.4573214285714258</v>
      </c>
      <c r="J33" s="2">
        <f>SUM($B21:J21)-SUM($B$24:J$24)</f>
        <v>3.2725000000000009</v>
      </c>
      <c r="K33" s="2">
        <f>SUM($B21:K21)-SUM($B$24:K$24)</f>
        <v>3.5282142857142915</v>
      </c>
      <c r="L33" s="2">
        <f>SUM($B21:L21)-SUM($B$24:L$24)</f>
        <v>5.0667857142857287</v>
      </c>
      <c r="M33" s="2">
        <f>SUM($B21:M21)-SUM($B$24:M$24)</f>
        <v>5.098214285714306</v>
      </c>
      <c r="N33" s="2">
        <f>SUM($B21:N21)-SUM($B$24:N$24)</f>
        <v>5.2582142857143026</v>
      </c>
      <c r="O33" s="2" t="e">
        <f>SUM($B21:O21)-SUM($B$24:O$24)</f>
        <v>#N/A</v>
      </c>
      <c r="P33" s="2" t="e">
        <f>SUM($B21:P21)-SUM($B$24:P$24)</f>
        <v>#N/A</v>
      </c>
      <c r="Q33" s="2" t="e">
        <f>SUM($B21:Q21)-SUM($B$24:Q$24)</f>
        <v>#N/A</v>
      </c>
    </row>
    <row r="34" spans="1:18" ht="25.5" customHeight="1" x14ac:dyDescent="0.25">
      <c r="A34" t="s">
        <v>44</v>
      </c>
      <c r="B34" s="2">
        <f>SUM($B22:B22)-SUM($B$24:B$24)</f>
        <v>-3.8842857142857117</v>
      </c>
      <c r="C34" s="2">
        <f>SUM($B22:C22)-SUM($B$24:C$24)</f>
        <v>-5.1871428571428542</v>
      </c>
      <c r="D34" s="2">
        <f>SUM($B22:D22)-SUM($B$24:D$24)</f>
        <v>-7.7471428571428547</v>
      </c>
      <c r="E34" s="2">
        <f>SUM($B22:E22)-SUM($B$24:E$24)</f>
        <v>-9.2471428571428582</v>
      </c>
      <c r="F34" s="2">
        <f>SUM($B22:F22)-SUM($B$24:F$24)</f>
        <v>-10.07</v>
      </c>
      <c r="G34" s="2">
        <f>SUM($B22:G22)-SUM($B$24:G$24)</f>
        <v>-11.105714285714285</v>
      </c>
      <c r="H34" s="2">
        <f>SUM($B22:H22)-SUM($B$24:H$24)</f>
        <v>-11.672857142857147</v>
      </c>
      <c r="I34" s="2">
        <f>SUM($B22:I22)-SUM($B$24:I$24)</f>
        <v>-11.874285714285719</v>
      </c>
      <c r="J34" s="2">
        <f>SUM($B22:J22)-SUM($B$24:J$24)</f>
        <v>-12.245714285714289</v>
      </c>
      <c r="K34" s="2">
        <f>SUM($B22:K22)-SUM($B$24:K$24)</f>
        <v>-11.755714285714287</v>
      </c>
      <c r="L34" s="2">
        <f>SUM($B22:L22)-SUM($B$24:L$24)</f>
        <v>-11.945714285714288</v>
      </c>
      <c r="M34" s="2">
        <f>SUM($B22:M22)-SUM($B$24:M$24)</f>
        <v>-11.870000000000001</v>
      </c>
      <c r="N34" s="2">
        <f>SUM($B22:N22)-SUM($B$24:N$24)</f>
        <v>-12.047142857142862</v>
      </c>
      <c r="O34" s="2" t="e">
        <f>SUM($B22:O22)-SUM($B$24:O$24)</f>
        <v>#N/A</v>
      </c>
      <c r="P34" s="2" t="e">
        <f>SUM($B22:P22)-SUM($B$24:P$24)</f>
        <v>#N/A</v>
      </c>
      <c r="Q34" s="2" t="e">
        <f>SUM($B22:Q22)-SUM($B$24:Q$24)</f>
        <v>#N/A</v>
      </c>
    </row>
    <row r="36" spans="1:18" x14ac:dyDescent="0.25">
      <c r="A36" t="s">
        <v>47</v>
      </c>
      <c r="B36">
        <v>1</v>
      </c>
      <c r="C36">
        <f t="shared" ref="C36:I36" si="1">B36+1</f>
        <v>2</v>
      </c>
      <c r="D36">
        <f t="shared" si="1"/>
        <v>3</v>
      </c>
      <c r="E36">
        <f t="shared" si="1"/>
        <v>4</v>
      </c>
      <c r="F36">
        <f t="shared" si="1"/>
        <v>5</v>
      </c>
      <c r="G36">
        <f t="shared" si="1"/>
        <v>6</v>
      </c>
      <c r="H36">
        <f t="shared" si="1"/>
        <v>7</v>
      </c>
      <c r="I36">
        <f t="shared" si="1"/>
        <v>8</v>
      </c>
    </row>
    <row r="37" spans="1:18" x14ac:dyDescent="0.25">
      <c r="A37" t="s">
        <v>20</v>
      </c>
      <c r="B37">
        <f>MATCH($A37&amp;$A$36&amp;B$36,'ROS Rankings'!$Y$2:$Y$201,0)</f>
        <v>3</v>
      </c>
      <c r="C37">
        <f>MATCH($A37&amp;$A$36&amp;C$36,'ROS Rankings'!$Y$2:$Y$201,0)</f>
        <v>4</v>
      </c>
      <c r="D37">
        <f>MATCH($A37&amp;$A$36&amp;D$36,'ROS Rankings'!$Y$2:$Y$201,0)</f>
        <v>29</v>
      </c>
      <c r="E37" t="e">
        <f>MATCH($A37&amp;$A$36&amp;E$36,'ROS Rankings'!$Y$2:$Y$201,0)</f>
        <v>#N/A</v>
      </c>
      <c r="F37" t="e">
        <f>MATCH($A37&amp;$A$36&amp;F$36,'ROS Rankings'!$Y$2:$Y$201,0)</f>
        <v>#N/A</v>
      </c>
      <c r="G37" t="e">
        <f>MATCH($A37&amp;$A$36&amp;G$36,'ROS Rankings'!$Y$2:$Y$201,0)</f>
        <v>#N/A</v>
      </c>
      <c r="H37" t="e">
        <f>MATCH($A37&amp;$A$36&amp;H$36,'ROS Rankings'!$Y$2:$Y$201,0)</f>
        <v>#N/A</v>
      </c>
      <c r="I37" t="e">
        <f>MATCH($A37&amp;$A$36&amp;I$36,'ROS Rankings'!$Y$2:$Y$201,0)</f>
        <v>#N/A</v>
      </c>
      <c r="K37" t="str">
        <f>IFERROR(INDEX('ROS Rankings'!$F$2:$F$201,B37),"")</f>
        <v>RB3</v>
      </c>
      <c r="L37" t="str">
        <f>IFERROR(INDEX('ROS Rankings'!$F$2:$F$201,C37),"")</f>
        <v>RB4</v>
      </c>
      <c r="M37" t="str">
        <f>IFERROR(INDEX('ROS Rankings'!$F$2:$F$201,D37),"")</f>
        <v>RB16</v>
      </c>
      <c r="N37" t="str">
        <f>IFERROR(INDEX('ROS Rankings'!$F$2:$F$201,E37),"")</f>
        <v/>
      </c>
      <c r="O37" t="str">
        <f>IFERROR(INDEX('ROS Rankings'!$F$2:$F$201,F37),"")</f>
        <v/>
      </c>
      <c r="P37" t="str">
        <f>IFERROR(INDEX('ROS Rankings'!$F$2:$F$201,G37),"")</f>
        <v/>
      </c>
      <c r="Q37" t="str">
        <f>IFERROR(INDEX('ROS Rankings'!$F$2:$F$201,H37),"")</f>
        <v/>
      </c>
      <c r="R37" t="str">
        <f>IFERROR(INDEX('ROS Rankings'!$F$2:$F$201,I37),"")</f>
        <v/>
      </c>
    </row>
    <row r="38" spans="1:18" x14ac:dyDescent="0.25">
      <c r="A38" t="s">
        <v>16</v>
      </c>
      <c r="B38">
        <f>MATCH($A38&amp;$A$36&amp;B$36,'ROS Rankings'!$Y$2:$Y$201,0)</f>
        <v>11</v>
      </c>
      <c r="C38">
        <f>MATCH($A38&amp;$A$36&amp;C$36,'ROS Rankings'!$Y$2:$Y$201,0)</f>
        <v>43</v>
      </c>
      <c r="D38">
        <f>MATCH($A38&amp;$A$36&amp;D$36,'ROS Rankings'!$Y$2:$Y$201,0)</f>
        <v>53</v>
      </c>
      <c r="E38">
        <f>MATCH($A38&amp;$A$36&amp;E$36,'ROS Rankings'!$Y$2:$Y$201,0)</f>
        <v>84</v>
      </c>
      <c r="F38">
        <f>MATCH($A38&amp;$A$36&amp;F$36,'ROS Rankings'!$Y$2:$Y$201,0)</f>
        <v>154</v>
      </c>
      <c r="G38" t="e">
        <f>MATCH($A38&amp;$A$36&amp;G$36,'ROS Rankings'!$Y$2:$Y$201,0)</f>
        <v>#N/A</v>
      </c>
      <c r="H38" t="e">
        <f>MATCH($A38&amp;$A$36&amp;H$36,'ROS Rankings'!$Y$2:$Y$201,0)</f>
        <v>#N/A</v>
      </c>
      <c r="I38" t="e">
        <f>MATCH($A38&amp;$A$36&amp;I$36,'ROS Rankings'!$Y$2:$Y$201,0)</f>
        <v>#N/A</v>
      </c>
      <c r="K38" t="str">
        <f>IFERROR(INDEX('ROS Rankings'!$F$2:$F$201,B38),"")</f>
        <v>RB9</v>
      </c>
      <c r="L38" t="str">
        <f>IFERROR(INDEX('ROS Rankings'!$F$2:$F$201,C38),"")</f>
        <v>RB19</v>
      </c>
      <c r="M38" t="str">
        <f>IFERROR(INDEX('ROS Rankings'!$F$2:$F$201,D38),"")</f>
        <v>RB23</v>
      </c>
      <c r="N38" t="str">
        <f>IFERROR(INDEX('ROS Rankings'!$F$2:$F$201,E38),"")</f>
        <v>RB34</v>
      </c>
      <c r="O38" t="str">
        <f>IFERROR(INDEX('ROS Rankings'!$F$2:$F$201,F38),"")</f>
        <v>RB53</v>
      </c>
      <c r="P38" t="str">
        <f>IFERROR(INDEX('ROS Rankings'!$F$2:$F$201,G38),"")</f>
        <v/>
      </c>
      <c r="Q38" t="str">
        <f>IFERROR(INDEX('ROS Rankings'!$F$2:$F$201,H38),"")</f>
        <v/>
      </c>
      <c r="R38" t="str">
        <f>IFERROR(INDEX('ROS Rankings'!$F$2:$F$201,I38),"")</f>
        <v/>
      </c>
    </row>
    <row r="39" spans="1:18" x14ac:dyDescent="0.25">
      <c r="A39" t="s">
        <v>55</v>
      </c>
      <c r="B39">
        <f>MATCH($A39&amp;$A$36&amp;B$36,'ROS Rankings'!$Y$2:$Y$201,0)</f>
        <v>20</v>
      </c>
      <c r="C39">
        <f>MATCH($A39&amp;$A$36&amp;C$36,'ROS Rankings'!$Y$2:$Y$201,0)</f>
        <v>24</v>
      </c>
      <c r="D39">
        <f>MATCH($A39&amp;$A$36&amp;D$36,'ROS Rankings'!$Y$2:$Y$201,0)</f>
        <v>65</v>
      </c>
      <c r="E39">
        <f>MATCH($A39&amp;$A$36&amp;E$36,'ROS Rankings'!$Y$2:$Y$201,0)</f>
        <v>66</v>
      </c>
      <c r="F39">
        <f>MATCH($A39&amp;$A$36&amp;F$36,'ROS Rankings'!$Y$2:$Y$201,0)</f>
        <v>101</v>
      </c>
      <c r="G39" t="e">
        <f>MATCH($A39&amp;$A$36&amp;G$36,'ROS Rankings'!$Y$2:$Y$201,0)</f>
        <v>#N/A</v>
      </c>
      <c r="H39" t="e">
        <f>MATCH($A39&amp;$A$36&amp;H$36,'ROS Rankings'!$Y$2:$Y$201,0)</f>
        <v>#N/A</v>
      </c>
      <c r="I39" t="e">
        <f>MATCH($A39&amp;$A$36&amp;I$36,'ROS Rankings'!$Y$2:$Y$201,0)</f>
        <v>#N/A</v>
      </c>
      <c r="K39" t="str">
        <f>IFERROR(INDEX('ROS Rankings'!$F$2:$F$201,B39),"")</f>
        <v>RB12</v>
      </c>
      <c r="L39" t="str">
        <f>IFERROR(INDEX('ROS Rankings'!$F$2:$F$201,C39),"")</f>
        <v>RB14</v>
      </c>
      <c r="M39" t="str">
        <f>IFERROR(INDEX('ROS Rankings'!$F$2:$F$201,D39),"")</f>
        <v>RB27</v>
      </c>
      <c r="N39" t="str">
        <f>IFERROR(INDEX('ROS Rankings'!$F$2:$F$201,E39),"")</f>
        <v>RB28</v>
      </c>
      <c r="O39" t="str">
        <f>IFERROR(INDEX('ROS Rankings'!$F$2:$F$201,F39),"")</f>
        <v>RB39</v>
      </c>
      <c r="P39" t="str">
        <f>IFERROR(INDEX('ROS Rankings'!$F$2:$F$201,G39),"")</f>
        <v/>
      </c>
      <c r="Q39" t="str">
        <f>IFERROR(INDEX('ROS Rankings'!$F$2:$F$201,H39),"")</f>
        <v/>
      </c>
      <c r="R39" t="str">
        <f>IFERROR(INDEX('ROS Rankings'!$F$2:$F$201,I39),"")</f>
        <v/>
      </c>
    </row>
    <row r="40" spans="1:18" x14ac:dyDescent="0.25">
      <c r="A40" t="s">
        <v>35</v>
      </c>
      <c r="B40">
        <f>MATCH($A40&amp;$A$36&amp;B$36,'ROS Rankings'!$Y$2:$Y$201,0)</f>
        <v>7</v>
      </c>
      <c r="C40">
        <f>MATCH($A40&amp;$A$36&amp;C$36,'ROS Rankings'!$Y$2:$Y$201,0)</f>
        <v>28</v>
      </c>
      <c r="D40">
        <f>MATCH($A40&amp;$A$36&amp;D$36,'ROS Rankings'!$Y$2:$Y$201,0)</f>
        <v>31</v>
      </c>
      <c r="E40">
        <f>MATCH($A40&amp;$A$36&amp;E$36,'ROS Rankings'!$Y$2:$Y$201,0)</f>
        <v>58</v>
      </c>
      <c r="F40">
        <f>MATCH($A40&amp;$A$36&amp;F$36,'ROS Rankings'!$Y$2:$Y$201,0)</f>
        <v>82</v>
      </c>
      <c r="G40">
        <f>MATCH($A40&amp;$A$36&amp;G$36,'ROS Rankings'!$Y$2:$Y$201,0)</f>
        <v>136</v>
      </c>
      <c r="H40" t="e">
        <f>MATCH($A40&amp;$A$36&amp;H$36,'ROS Rankings'!$Y$2:$Y$201,0)</f>
        <v>#N/A</v>
      </c>
      <c r="I40" t="e">
        <f>MATCH($A40&amp;$A$36&amp;I$36,'ROS Rankings'!$Y$2:$Y$201,0)</f>
        <v>#N/A</v>
      </c>
      <c r="K40" t="str">
        <f>IFERROR(INDEX('ROS Rankings'!$F$2:$F$201,B40),"")</f>
        <v>RB7</v>
      </c>
      <c r="L40" t="str">
        <f>IFERROR(INDEX('ROS Rankings'!$F$2:$F$201,C40),"")</f>
        <v>RB15</v>
      </c>
      <c r="M40" t="str">
        <f>IFERROR(INDEX('ROS Rankings'!$F$2:$F$201,D40),"")</f>
        <v>RB17</v>
      </c>
      <c r="N40" t="str">
        <f>IFERROR(INDEX('ROS Rankings'!$F$2:$F$201,E40),"")</f>
        <v>RB26</v>
      </c>
      <c r="O40" t="str">
        <f>IFERROR(INDEX('ROS Rankings'!$F$2:$F$201,F40),"")</f>
        <v>RB32</v>
      </c>
      <c r="P40" t="str">
        <f>IFERROR(INDEX('ROS Rankings'!$F$2:$F$201,G40),"")</f>
        <v>RB51</v>
      </c>
      <c r="Q40" t="str">
        <f>IFERROR(INDEX('ROS Rankings'!$F$2:$F$201,H40),"")</f>
        <v/>
      </c>
      <c r="R40" t="str">
        <f>IFERROR(INDEX('ROS Rankings'!$F$2:$F$201,I40),"")</f>
        <v/>
      </c>
    </row>
    <row r="41" spans="1:18" x14ac:dyDescent="0.25">
      <c r="A41" t="s">
        <v>27</v>
      </c>
      <c r="B41">
        <f>MATCH($A41&amp;$A$36&amp;B$36,'ROS Rankings'!$Y$2:$Y$201,0)</f>
        <v>19</v>
      </c>
      <c r="C41">
        <f>MATCH($A41&amp;$A$36&amp;C$36,'ROS Rankings'!$Y$2:$Y$201,0)</f>
        <v>23</v>
      </c>
      <c r="D41">
        <f>MATCH($A41&amp;$A$36&amp;D$36,'ROS Rankings'!$Y$2:$Y$201,0)</f>
        <v>85</v>
      </c>
      <c r="E41" t="e">
        <f>MATCH($A41&amp;$A$36&amp;E$36,'ROS Rankings'!$Y$2:$Y$201,0)</f>
        <v>#N/A</v>
      </c>
      <c r="F41" t="e">
        <f>MATCH($A41&amp;$A$36&amp;F$36,'ROS Rankings'!$Y$2:$Y$201,0)</f>
        <v>#N/A</v>
      </c>
      <c r="G41" t="e">
        <f>MATCH($A41&amp;$A$36&amp;G$36,'ROS Rankings'!$Y$2:$Y$201,0)</f>
        <v>#N/A</v>
      </c>
      <c r="H41" t="e">
        <f>MATCH($A41&amp;$A$36&amp;H$36,'ROS Rankings'!$Y$2:$Y$201,0)</f>
        <v>#N/A</v>
      </c>
      <c r="I41" t="e">
        <f>MATCH($A41&amp;$A$36&amp;I$36,'ROS Rankings'!$Y$2:$Y$201,0)</f>
        <v>#N/A</v>
      </c>
      <c r="K41" t="str">
        <f>IFERROR(INDEX('ROS Rankings'!$F$2:$F$201,B41),"")</f>
        <v>RB11</v>
      </c>
      <c r="L41" t="str">
        <f>IFERROR(INDEX('ROS Rankings'!$F$2:$F$201,C41),"")</f>
        <v>RB13</v>
      </c>
      <c r="M41" t="str">
        <f>IFERROR(INDEX('ROS Rankings'!$F$2:$F$201,D41),"")</f>
        <v>RB35</v>
      </c>
      <c r="N41" t="str">
        <f>IFERROR(INDEX('ROS Rankings'!$F$2:$F$201,E41),"")</f>
        <v/>
      </c>
      <c r="O41" t="str">
        <f>IFERROR(INDEX('ROS Rankings'!$F$2:$F$201,F41),"")</f>
        <v/>
      </c>
      <c r="P41" t="str">
        <f>IFERROR(INDEX('ROS Rankings'!$F$2:$F$201,G41),"")</f>
        <v/>
      </c>
      <c r="Q41" t="str">
        <f>IFERROR(INDEX('ROS Rankings'!$F$2:$F$201,H41),"")</f>
        <v/>
      </c>
      <c r="R41" t="str">
        <f>IFERROR(INDEX('ROS Rankings'!$F$2:$F$201,I41),"")</f>
        <v/>
      </c>
    </row>
    <row r="42" spans="1:18" x14ac:dyDescent="0.25">
      <c r="A42" t="s">
        <v>62</v>
      </c>
      <c r="B42">
        <f>MATCH($A42&amp;$A$36&amp;B$36,'ROS Rankings'!$Y$2:$Y$201,0)</f>
        <v>1</v>
      </c>
      <c r="C42">
        <f>MATCH($A42&amp;$A$36&amp;C$36,'ROS Rankings'!$Y$2:$Y$201,0)</f>
        <v>6</v>
      </c>
      <c r="D42">
        <f>MATCH($A42&amp;$A$36&amp;D$36,'ROS Rankings'!$Y$2:$Y$201,0)</f>
        <v>67</v>
      </c>
      <c r="E42">
        <f>MATCH($A42&amp;$A$36&amp;E$36,'ROS Rankings'!$Y$2:$Y$201,0)</f>
        <v>93</v>
      </c>
      <c r="F42">
        <f>MATCH($A42&amp;$A$36&amp;F$36,'ROS Rankings'!$Y$2:$Y$201,0)</f>
        <v>105</v>
      </c>
      <c r="G42" t="e">
        <f>MATCH($A42&amp;$A$36&amp;G$36,'ROS Rankings'!$Y$2:$Y$201,0)</f>
        <v>#N/A</v>
      </c>
      <c r="H42" t="e">
        <f>MATCH($A42&amp;$A$36&amp;H$36,'ROS Rankings'!$Y$2:$Y$201,0)</f>
        <v>#N/A</v>
      </c>
      <c r="I42" t="e">
        <f>MATCH($A42&amp;$A$36&amp;I$36,'ROS Rankings'!$Y$2:$Y$201,0)</f>
        <v>#N/A</v>
      </c>
      <c r="K42" t="str">
        <f>IFERROR(INDEX('ROS Rankings'!$F$2:$F$201,B42),"")</f>
        <v>RB1</v>
      </c>
      <c r="L42" t="str">
        <f>IFERROR(INDEX('ROS Rankings'!$F$2:$F$201,C42),"")</f>
        <v>RB6</v>
      </c>
      <c r="M42" t="str">
        <f>IFERROR(INDEX('ROS Rankings'!$F$2:$F$201,D42),"")</f>
        <v>RB29</v>
      </c>
      <c r="N42" t="str">
        <f>IFERROR(INDEX('ROS Rankings'!$F$2:$F$201,E42),"")</f>
        <v>RB38</v>
      </c>
      <c r="O42" t="str">
        <f>IFERROR(INDEX('ROS Rankings'!$F$2:$F$201,F42),"")</f>
        <v>RB42</v>
      </c>
      <c r="P42" t="str">
        <f>IFERROR(INDEX('ROS Rankings'!$F$2:$F$201,G42),"")</f>
        <v/>
      </c>
      <c r="Q42" t="str">
        <f>IFERROR(INDEX('ROS Rankings'!$F$2:$F$201,H42),"")</f>
        <v/>
      </c>
      <c r="R42" t="str">
        <f>IFERROR(INDEX('ROS Rankings'!$F$2:$F$201,I42),"")</f>
        <v/>
      </c>
    </row>
    <row r="43" spans="1:18" x14ac:dyDescent="0.25">
      <c r="A43" t="s">
        <v>1648</v>
      </c>
      <c r="B43">
        <f>MATCH($A43&amp;$A$36&amp;B$36,'ROS Rankings'!$Y$2:$Y$201,0)</f>
        <v>13</v>
      </c>
      <c r="C43">
        <f>MATCH($A43&amp;$A$36&amp;C$36,'ROS Rankings'!$Y$2:$Y$201,0)</f>
        <v>49</v>
      </c>
      <c r="D43">
        <f>MATCH($A43&amp;$A$36&amp;D$36,'ROS Rankings'!$Y$2:$Y$201,0)</f>
        <v>77</v>
      </c>
      <c r="E43">
        <f>MATCH($A43&amp;$A$36&amp;E$36,'ROS Rankings'!$Y$2:$Y$201,0)</f>
        <v>89</v>
      </c>
      <c r="F43">
        <f>MATCH($A43&amp;$A$36&amp;F$36,'ROS Rankings'!$Y$2:$Y$201,0)</f>
        <v>103</v>
      </c>
      <c r="G43" t="e">
        <f>MATCH($A43&amp;$A$36&amp;G$36,'ROS Rankings'!$Y$2:$Y$201,0)</f>
        <v>#N/A</v>
      </c>
      <c r="H43" t="e">
        <f>MATCH($A43&amp;$A$36&amp;H$36,'ROS Rankings'!$Y$2:$Y$201,0)</f>
        <v>#N/A</v>
      </c>
      <c r="I43" t="e">
        <f>MATCH($A43&amp;$A$36&amp;I$36,'ROS Rankings'!$Y$2:$Y$201,0)</f>
        <v>#N/A</v>
      </c>
      <c r="K43" t="str">
        <f>IFERROR(INDEX('ROS Rankings'!$F$2:$F$201,B43),"")</f>
        <v>RB10</v>
      </c>
      <c r="L43" t="str">
        <f>IFERROR(INDEX('ROS Rankings'!$F$2:$F$201,C43),"")</f>
        <v>RB20</v>
      </c>
      <c r="M43" t="str">
        <f>IFERROR(INDEX('ROS Rankings'!$F$2:$F$201,D43),"")</f>
        <v>RB30</v>
      </c>
      <c r="N43" t="str">
        <f>IFERROR(INDEX('ROS Rankings'!$F$2:$F$201,E43),"")</f>
        <v>RB37</v>
      </c>
      <c r="O43" t="str">
        <f>IFERROR(INDEX('ROS Rankings'!$F$2:$F$201,F43),"")</f>
        <v>RB40</v>
      </c>
      <c r="P43" t="str">
        <f>IFERROR(INDEX('ROS Rankings'!$F$2:$F$201,G43),"")</f>
        <v/>
      </c>
      <c r="Q43" t="str">
        <f>IFERROR(INDEX('ROS Rankings'!$F$2:$F$201,H43),"")</f>
        <v/>
      </c>
      <c r="R43" t="str">
        <f>IFERROR(INDEX('ROS Rankings'!$F$2:$F$201,I43),"")</f>
        <v/>
      </c>
    </row>
    <row r="44" spans="1:18" x14ac:dyDescent="0.25">
      <c r="A44" t="s">
        <v>23</v>
      </c>
      <c r="B44">
        <f>MATCH($A44&amp;$A$36&amp;B$36,'ROS Rankings'!$Y$2:$Y$201,0)</f>
        <v>2</v>
      </c>
      <c r="C44">
        <f>MATCH($A44&amp;$A$36&amp;C$36,'ROS Rankings'!$Y$2:$Y$201,0)</f>
        <v>52</v>
      </c>
      <c r="D44">
        <f>MATCH($A44&amp;$A$36&amp;D$36,'ROS Rankings'!$Y$2:$Y$201,0)</f>
        <v>55</v>
      </c>
      <c r="E44">
        <f>MATCH($A44&amp;$A$36&amp;E$36,'ROS Rankings'!$Y$2:$Y$201,0)</f>
        <v>180</v>
      </c>
      <c r="F44" t="e">
        <f>MATCH($A44&amp;$A$36&amp;F$36,'ROS Rankings'!$Y$2:$Y$201,0)</f>
        <v>#N/A</v>
      </c>
      <c r="G44" t="e">
        <f>MATCH($A44&amp;$A$36&amp;G$36,'ROS Rankings'!$Y$2:$Y$201,0)</f>
        <v>#N/A</v>
      </c>
      <c r="H44" t="e">
        <f>MATCH($A44&amp;$A$36&amp;H$36,'ROS Rankings'!$Y$2:$Y$201,0)</f>
        <v>#N/A</v>
      </c>
      <c r="I44" t="e">
        <f>MATCH($A44&amp;$A$36&amp;I$36,'ROS Rankings'!$Y$2:$Y$201,0)</f>
        <v>#N/A</v>
      </c>
      <c r="K44" t="str">
        <f>IFERROR(INDEX('ROS Rankings'!$F$2:$F$201,B44),"")</f>
        <v>RB2</v>
      </c>
      <c r="L44" t="str">
        <f>IFERROR(INDEX('ROS Rankings'!$F$2:$F$201,C44),"")</f>
        <v>RB22</v>
      </c>
      <c r="M44" t="str">
        <f>IFERROR(INDEX('ROS Rankings'!$F$2:$F$201,D44),"")</f>
        <v>RB24</v>
      </c>
      <c r="N44" t="str">
        <f>IFERROR(INDEX('ROS Rankings'!$F$2:$F$201,E44),"")</f>
        <v>RB59</v>
      </c>
      <c r="O44" t="str">
        <f>IFERROR(INDEX('ROS Rankings'!$F$2:$F$201,F44),"")</f>
        <v/>
      </c>
      <c r="P44" t="str">
        <f>IFERROR(INDEX('ROS Rankings'!$F$2:$F$201,G44),"")</f>
        <v/>
      </c>
      <c r="Q44" t="str">
        <f>IFERROR(INDEX('ROS Rankings'!$F$2:$F$201,H44),"")</f>
        <v/>
      </c>
      <c r="R44" t="str">
        <f>IFERROR(INDEX('ROS Rankings'!$F$2:$F$201,I44),"")</f>
        <v/>
      </c>
    </row>
    <row r="45" spans="1:18" x14ac:dyDescent="0.25">
      <c r="A45" t="s">
        <v>49</v>
      </c>
      <c r="B45">
        <f>MATCH($A45&amp;$A$36&amp;B$36,'ROS Rankings'!$Y$2:$Y$201,0)</f>
        <v>5</v>
      </c>
      <c r="C45">
        <f>MATCH($A45&amp;$A$36&amp;C$36,'ROS Rankings'!$Y$2:$Y$201,0)</f>
        <v>10</v>
      </c>
      <c r="D45">
        <f>MATCH($A45&amp;$A$36&amp;D$36,'ROS Rankings'!$Y$2:$Y$201,0)</f>
        <v>36</v>
      </c>
      <c r="E45">
        <f>MATCH($A45&amp;$A$36&amp;E$36,'ROS Rankings'!$Y$2:$Y$201,0)</f>
        <v>125</v>
      </c>
      <c r="F45" t="e">
        <f>MATCH($A45&amp;$A$36&amp;F$36,'ROS Rankings'!$Y$2:$Y$201,0)</f>
        <v>#N/A</v>
      </c>
      <c r="G45" t="e">
        <f>MATCH($A45&amp;$A$36&amp;G$36,'ROS Rankings'!$Y$2:$Y$201,0)</f>
        <v>#N/A</v>
      </c>
      <c r="H45" t="e">
        <f>MATCH($A45&amp;$A$36&amp;H$36,'ROS Rankings'!$Y$2:$Y$201,0)</f>
        <v>#N/A</v>
      </c>
      <c r="I45" t="e">
        <f>MATCH($A45&amp;$A$36&amp;I$36,'ROS Rankings'!$Y$2:$Y$201,0)</f>
        <v>#N/A</v>
      </c>
      <c r="K45" t="str">
        <f>IFERROR(INDEX('ROS Rankings'!$F$2:$F$201,B45),"")</f>
        <v>RB5</v>
      </c>
      <c r="L45" t="str">
        <f>IFERROR(INDEX('ROS Rankings'!$F$2:$F$201,C45),"")</f>
        <v>RB8</v>
      </c>
      <c r="M45" t="str">
        <f>IFERROR(INDEX('ROS Rankings'!$F$2:$F$201,D45),"")</f>
        <v>RB18</v>
      </c>
      <c r="N45" t="str">
        <f>IFERROR(INDEX('ROS Rankings'!$F$2:$F$201,E45),"")</f>
        <v>RB48</v>
      </c>
      <c r="O45" t="str">
        <f>IFERROR(INDEX('ROS Rankings'!$F$2:$F$201,F45),"")</f>
        <v/>
      </c>
      <c r="P45" t="str">
        <f>IFERROR(INDEX('ROS Rankings'!$F$2:$F$201,G45),"")</f>
        <v/>
      </c>
      <c r="Q45" t="str">
        <f>IFERROR(INDEX('ROS Rankings'!$F$2:$F$201,H45),"")</f>
        <v/>
      </c>
      <c r="R45" t="str">
        <f>IFERROR(INDEX('ROS Rankings'!$F$2:$F$201,I45),"")</f>
        <v/>
      </c>
    </row>
    <row r="46" spans="1:18" x14ac:dyDescent="0.25">
      <c r="A46" t="s">
        <v>44</v>
      </c>
      <c r="B46">
        <f>MATCH($A46&amp;$A$36&amp;B$36,'ROS Rankings'!$Y$2:$Y$201,0)</f>
        <v>50</v>
      </c>
      <c r="C46">
        <f>MATCH($A46&amp;$A$36&amp;C$36,'ROS Rankings'!$Y$2:$Y$201,0)</f>
        <v>56</v>
      </c>
      <c r="D46">
        <f>MATCH($A46&amp;$A$36&amp;D$36,'ROS Rankings'!$Y$2:$Y$201,0)</f>
        <v>79</v>
      </c>
      <c r="E46">
        <f>MATCH($A46&amp;$A$36&amp;E$36,'ROS Rankings'!$Y$2:$Y$201,0)</f>
        <v>83</v>
      </c>
      <c r="F46">
        <f>MATCH($A46&amp;$A$36&amp;F$36,'ROS Rankings'!$Y$2:$Y$201,0)</f>
        <v>111</v>
      </c>
      <c r="G46">
        <f>MATCH($A46&amp;$A$36&amp;G$36,'ROS Rankings'!$Y$2:$Y$201,0)</f>
        <v>123</v>
      </c>
      <c r="H46" t="e">
        <f>MATCH($A46&amp;$A$36&amp;H$36,'ROS Rankings'!$Y$2:$Y$201,0)</f>
        <v>#N/A</v>
      </c>
      <c r="I46" t="e">
        <f>MATCH($A46&amp;$A$36&amp;I$36,'ROS Rankings'!$Y$2:$Y$201,0)</f>
        <v>#N/A</v>
      </c>
      <c r="K46" t="str">
        <f>IFERROR(INDEX('ROS Rankings'!$F$2:$F$201,B46),"")</f>
        <v>RB21</v>
      </c>
      <c r="L46" t="str">
        <f>IFERROR(INDEX('ROS Rankings'!$F$2:$F$201,C46),"")</f>
        <v>RB25</v>
      </c>
      <c r="M46" t="str">
        <f>IFERROR(INDEX('ROS Rankings'!$F$2:$F$201,D46),"")</f>
        <v>RB31</v>
      </c>
      <c r="N46" t="str">
        <f>IFERROR(INDEX('ROS Rankings'!$F$2:$F$201,E46),"")</f>
        <v>RB33</v>
      </c>
      <c r="O46" t="str">
        <f>IFERROR(INDEX('ROS Rankings'!$F$2:$F$201,F46),"")</f>
        <v>RB45</v>
      </c>
      <c r="P46" t="str">
        <f>IFERROR(INDEX('ROS Rankings'!$F$2:$F$201,G46),"")</f>
        <v>RB47</v>
      </c>
      <c r="Q46" t="str">
        <f>IFERROR(INDEX('ROS Rankings'!$F$2:$F$201,H46),"")</f>
        <v/>
      </c>
      <c r="R46" t="str">
        <f>IFERROR(INDEX('ROS Rankings'!$F$2:$F$201,I46),"")</f>
        <v/>
      </c>
    </row>
    <row r="48" spans="1:18" x14ac:dyDescent="0.25">
      <c r="A48" t="s">
        <v>87</v>
      </c>
      <c r="B48">
        <v>1</v>
      </c>
      <c r="C48">
        <f t="shared" ref="C48:I48" si="2">B48+1</f>
        <v>2</v>
      </c>
      <c r="D48">
        <f t="shared" si="2"/>
        <v>3</v>
      </c>
      <c r="E48">
        <f t="shared" si="2"/>
        <v>4</v>
      </c>
      <c r="F48">
        <f t="shared" si="2"/>
        <v>5</v>
      </c>
      <c r="G48">
        <f t="shared" si="2"/>
        <v>6</v>
      </c>
      <c r="H48">
        <f t="shared" si="2"/>
        <v>7</v>
      </c>
      <c r="I48">
        <f t="shared" si="2"/>
        <v>8</v>
      </c>
    </row>
    <row r="49" spans="1:18" x14ac:dyDescent="0.25">
      <c r="A49" t="s">
        <v>20</v>
      </c>
      <c r="B49">
        <f>MATCH($A49&amp;$A$48&amp;B$48,'ROS Rankings'!$Y$2:$Y$201,0)</f>
        <v>22</v>
      </c>
      <c r="C49">
        <f>MATCH($A49&amp;$A$48&amp;C$48,'ROS Rankings'!$Y$2:$Y$201,0)</f>
        <v>70</v>
      </c>
      <c r="D49">
        <f>MATCH($A49&amp;$A$48&amp;D$48,'ROS Rankings'!$Y$2:$Y$201,0)</f>
        <v>76</v>
      </c>
      <c r="E49">
        <f>MATCH($A49&amp;$A$48&amp;E$48,'ROS Rankings'!$Y$2:$Y$201,0)</f>
        <v>87</v>
      </c>
      <c r="F49">
        <f>MATCH($A49&amp;$A$48&amp;F$48,'ROS Rankings'!$Y$2:$Y$201,0)</f>
        <v>102</v>
      </c>
      <c r="G49">
        <f>MATCH($A49&amp;$A$48&amp;G$48,'ROS Rankings'!$Y$2:$Y$201,0)</f>
        <v>127</v>
      </c>
      <c r="H49" t="e">
        <f>MATCH($A49&amp;$A$48&amp;H$48,'ROS Rankings'!$Y$2:$Y$201,0)</f>
        <v>#N/A</v>
      </c>
      <c r="I49" t="e">
        <f>MATCH($A49&amp;$A$48&amp;I$48,'ROS Rankings'!$Y$2:$Y$201,0)</f>
        <v>#N/A</v>
      </c>
      <c r="K49" t="str">
        <f>IFERROR(INDEX('ROS Rankings'!$F$2:$F$201,B49),"")</f>
        <v>WR10</v>
      </c>
      <c r="L49" t="str">
        <f>IFERROR(INDEX('ROS Rankings'!$F$2:$F$201,C49),"")</f>
        <v>WR36</v>
      </c>
      <c r="M49" t="str">
        <f>IFERROR(INDEX('ROS Rankings'!$F$2:$F$201,D49),"")</f>
        <v>WR41</v>
      </c>
      <c r="N49" t="str">
        <f>IFERROR(INDEX('ROS Rankings'!$F$2:$F$201,E49),"")</f>
        <v>WR44</v>
      </c>
      <c r="O49" t="str">
        <f>IFERROR(INDEX('ROS Rankings'!$F$2:$F$201,F49),"")</f>
        <v>WR49</v>
      </c>
      <c r="P49" t="str">
        <f>IFERROR(INDEX('ROS Rankings'!$F$2:$F$201,G49),"")</f>
        <v>WR55</v>
      </c>
      <c r="Q49" t="str">
        <f>IFERROR(INDEX('ROS Rankings'!$F$2:$F$201,H49),"")</f>
        <v/>
      </c>
      <c r="R49" t="str">
        <f>IFERROR(INDEX('ROS Rankings'!$F$2:$F$201,I49),"")</f>
        <v/>
      </c>
    </row>
    <row r="50" spans="1:18" x14ac:dyDescent="0.25">
      <c r="A50" t="s">
        <v>16</v>
      </c>
      <c r="B50">
        <f>MATCH($A50&amp;$A$48&amp;B$48,'ROS Rankings'!$Y$2:$Y$201,0)</f>
        <v>8</v>
      </c>
      <c r="C50">
        <f>MATCH($A50&amp;$A$48&amp;C$48,'ROS Rankings'!$Y$2:$Y$201,0)</f>
        <v>16</v>
      </c>
      <c r="D50">
        <f>MATCH($A50&amp;$A$48&amp;D$48,'ROS Rankings'!$Y$2:$Y$201,0)</f>
        <v>38</v>
      </c>
      <c r="E50">
        <f>MATCH($A50&amp;$A$48&amp;E$48,'ROS Rankings'!$Y$2:$Y$201,0)</f>
        <v>71</v>
      </c>
      <c r="F50">
        <f>MATCH($A50&amp;$A$48&amp;F$48,'ROS Rankings'!$Y$2:$Y$201,0)</f>
        <v>95</v>
      </c>
      <c r="G50" t="e">
        <f>MATCH($A50&amp;$A$48&amp;G$48,'ROS Rankings'!$Y$2:$Y$201,0)</f>
        <v>#N/A</v>
      </c>
      <c r="H50" t="e">
        <f>MATCH($A50&amp;$A$48&amp;H$48,'ROS Rankings'!$Y$2:$Y$201,0)</f>
        <v>#N/A</v>
      </c>
      <c r="I50" t="e">
        <f>MATCH($A50&amp;$A$48&amp;I$48,'ROS Rankings'!$Y$2:$Y$201,0)</f>
        <v>#N/A</v>
      </c>
      <c r="K50" t="str">
        <f>IFERROR(INDEX('ROS Rankings'!$F$2:$F$201,B50),"")</f>
        <v>WR1</v>
      </c>
      <c r="L50" t="str">
        <f>IFERROR(INDEX('ROS Rankings'!$F$2:$F$201,C50),"")</f>
        <v>WR6</v>
      </c>
      <c r="M50" t="str">
        <f>IFERROR(INDEX('ROS Rankings'!$F$2:$F$201,D50),"")</f>
        <v>WR18</v>
      </c>
      <c r="N50" t="str">
        <f>IFERROR(INDEX('ROS Rankings'!$F$2:$F$201,E50),"")</f>
        <v>WR37</v>
      </c>
      <c r="O50" t="str">
        <f>IFERROR(INDEX('ROS Rankings'!$F$2:$F$201,F50),"")</f>
        <v>WR47</v>
      </c>
      <c r="P50" t="str">
        <f>IFERROR(INDEX('ROS Rankings'!$F$2:$F$201,G50),"")</f>
        <v/>
      </c>
      <c r="Q50" t="str">
        <f>IFERROR(INDEX('ROS Rankings'!$F$2:$F$201,H50),"")</f>
        <v/>
      </c>
      <c r="R50" t="str">
        <f>IFERROR(INDEX('ROS Rankings'!$F$2:$F$201,I50),"")</f>
        <v/>
      </c>
    </row>
    <row r="51" spans="1:18" x14ac:dyDescent="0.25">
      <c r="A51" t="s">
        <v>55</v>
      </c>
      <c r="B51">
        <f>MATCH($A51&amp;$A$48&amp;B$48,'ROS Rankings'!$Y$2:$Y$201,0)</f>
        <v>12</v>
      </c>
      <c r="C51">
        <f>MATCH($A51&amp;$A$48&amp;C$48,'ROS Rankings'!$Y$2:$Y$201,0)</f>
        <v>18</v>
      </c>
      <c r="D51">
        <f>MATCH($A51&amp;$A$48&amp;D$48,'ROS Rankings'!$Y$2:$Y$201,0)</f>
        <v>35</v>
      </c>
      <c r="E51">
        <f>MATCH($A51&amp;$A$48&amp;E$48,'ROS Rankings'!$Y$2:$Y$201,0)</f>
        <v>64</v>
      </c>
      <c r="F51">
        <f>MATCH($A51&amp;$A$48&amp;F$48,'ROS Rankings'!$Y$2:$Y$201,0)</f>
        <v>69</v>
      </c>
      <c r="G51" t="e">
        <f>MATCH($A51&amp;$A$48&amp;G$48,'ROS Rankings'!$Y$2:$Y$201,0)</f>
        <v>#N/A</v>
      </c>
      <c r="H51" t="e">
        <f>MATCH($A51&amp;$A$48&amp;H$48,'ROS Rankings'!$Y$2:$Y$201,0)</f>
        <v>#N/A</v>
      </c>
      <c r="I51" t="e">
        <f>MATCH($A51&amp;$A$48&amp;I$48,'ROS Rankings'!$Y$2:$Y$201,0)</f>
        <v>#N/A</v>
      </c>
      <c r="K51" t="str">
        <f>IFERROR(INDEX('ROS Rankings'!$F$2:$F$201,B51),"")</f>
        <v>WR3</v>
      </c>
      <c r="L51" t="str">
        <f>IFERROR(INDEX('ROS Rankings'!$F$2:$F$201,C51),"")</f>
        <v>WR8</v>
      </c>
      <c r="M51" t="str">
        <f>IFERROR(INDEX('ROS Rankings'!$F$2:$F$201,D51),"")</f>
        <v>WR16</v>
      </c>
      <c r="N51" t="str">
        <f>IFERROR(INDEX('ROS Rankings'!$F$2:$F$201,E51),"")</f>
        <v>WR33</v>
      </c>
      <c r="O51" t="str">
        <f>IFERROR(INDEX('ROS Rankings'!$F$2:$F$201,F51),"")</f>
        <v>WR35</v>
      </c>
      <c r="P51" t="str">
        <f>IFERROR(INDEX('ROS Rankings'!$F$2:$F$201,G51),"")</f>
        <v/>
      </c>
      <c r="Q51" t="str">
        <f>IFERROR(INDEX('ROS Rankings'!$F$2:$F$201,H51),"")</f>
        <v/>
      </c>
      <c r="R51" t="str">
        <f>IFERROR(INDEX('ROS Rankings'!$F$2:$F$201,I51),"")</f>
        <v/>
      </c>
    </row>
    <row r="52" spans="1:18" x14ac:dyDescent="0.25">
      <c r="A52" t="s">
        <v>35</v>
      </c>
      <c r="B52">
        <f>MATCH($A52&amp;$A$48&amp;B$48,'ROS Rankings'!$Y$2:$Y$201,0)</f>
        <v>30</v>
      </c>
      <c r="C52">
        <f>MATCH($A52&amp;$A$48&amp;C$48,'ROS Rankings'!$Y$2:$Y$201,0)</f>
        <v>37</v>
      </c>
      <c r="D52">
        <f>MATCH($A52&amp;$A$48&amp;D$48,'ROS Rankings'!$Y$2:$Y$201,0)</f>
        <v>51</v>
      </c>
      <c r="E52">
        <f>MATCH($A52&amp;$A$48&amp;E$48,'ROS Rankings'!$Y$2:$Y$201,0)</f>
        <v>59</v>
      </c>
      <c r="F52" t="e">
        <f>MATCH($A52&amp;$A$48&amp;F$48,'ROS Rankings'!$Y$2:$Y$201,0)</f>
        <v>#N/A</v>
      </c>
      <c r="G52" t="e">
        <f>MATCH($A52&amp;$A$48&amp;G$48,'ROS Rankings'!$Y$2:$Y$201,0)</f>
        <v>#N/A</v>
      </c>
      <c r="H52" t="e">
        <f>MATCH($A52&amp;$A$48&amp;H$48,'ROS Rankings'!$Y$2:$Y$201,0)</f>
        <v>#N/A</v>
      </c>
      <c r="I52" t="e">
        <f>MATCH($A52&amp;$A$48&amp;I$48,'ROS Rankings'!$Y$2:$Y$201,0)</f>
        <v>#N/A</v>
      </c>
      <c r="K52" t="str">
        <f>IFERROR(INDEX('ROS Rankings'!$F$2:$F$201,B52),"")</f>
        <v>WR14</v>
      </c>
      <c r="L52" t="str">
        <f>IFERROR(INDEX('ROS Rankings'!$F$2:$F$201,C52),"")</f>
        <v>WR17</v>
      </c>
      <c r="M52" t="str">
        <f>IFERROR(INDEX('ROS Rankings'!$F$2:$F$201,D52),"")</f>
        <v>WR27</v>
      </c>
      <c r="N52" t="str">
        <f>IFERROR(INDEX('ROS Rankings'!$F$2:$F$201,E52),"")</f>
        <v>WR29</v>
      </c>
      <c r="O52" t="str">
        <f>IFERROR(INDEX('ROS Rankings'!$F$2:$F$201,F52),"")</f>
        <v/>
      </c>
      <c r="P52" t="str">
        <f>IFERROR(INDEX('ROS Rankings'!$F$2:$F$201,G52),"")</f>
        <v/>
      </c>
      <c r="Q52" t="str">
        <f>IFERROR(INDEX('ROS Rankings'!$F$2:$F$201,H52),"")</f>
        <v/>
      </c>
      <c r="R52" t="str">
        <f>IFERROR(INDEX('ROS Rankings'!$F$2:$F$201,I52),"")</f>
        <v/>
      </c>
    </row>
    <row r="53" spans="1:18" x14ac:dyDescent="0.25">
      <c r="A53" t="s">
        <v>27</v>
      </c>
      <c r="B53">
        <f>MATCH($A53&amp;$A$48&amp;B$48,'ROS Rankings'!$Y$2:$Y$201,0)</f>
        <v>9</v>
      </c>
      <c r="C53">
        <f>MATCH($A53&amp;$A$48&amp;C$48,'ROS Rankings'!$Y$2:$Y$201,0)</f>
        <v>26</v>
      </c>
      <c r="D53">
        <f>MATCH($A53&amp;$A$48&amp;D$48,'ROS Rankings'!$Y$2:$Y$201,0)</f>
        <v>45</v>
      </c>
      <c r="E53">
        <f>MATCH($A53&amp;$A$48&amp;E$48,'ROS Rankings'!$Y$2:$Y$201,0)</f>
        <v>68</v>
      </c>
      <c r="F53">
        <f>MATCH($A53&amp;$A$48&amp;F$48,'ROS Rankings'!$Y$2:$Y$201,0)</f>
        <v>72</v>
      </c>
      <c r="G53">
        <f>MATCH($A53&amp;$A$48&amp;G$48,'ROS Rankings'!$Y$2:$Y$201,0)</f>
        <v>80</v>
      </c>
      <c r="H53">
        <f>MATCH($A53&amp;$A$48&amp;H$48,'ROS Rankings'!$Y$2:$Y$201,0)</f>
        <v>179</v>
      </c>
      <c r="I53" t="e">
        <f>MATCH($A53&amp;$A$48&amp;I$48,'ROS Rankings'!$Y$2:$Y$201,0)</f>
        <v>#N/A</v>
      </c>
      <c r="K53" t="str">
        <f>IFERROR(INDEX('ROS Rankings'!$F$2:$F$201,B53),"")</f>
        <v>WR2</v>
      </c>
      <c r="L53" t="str">
        <f>IFERROR(INDEX('ROS Rankings'!$F$2:$F$201,C53),"")</f>
        <v>WR12</v>
      </c>
      <c r="M53" t="str">
        <f>IFERROR(INDEX('ROS Rankings'!$F$2:$F$201,D53),"")</f>
        <v>WR24</v>
      </c>
      <c r="N53" t="str">
        <f>IFERROR(INDEX('ROS Rankings'!$F$2:$F$201,E53),"")</f>
        <v>WR34</v>
      </c>
      <c r="O53" t="str">
        <f>IFERROR(INDEX('ROS Rankings'!$F$2:$F$201,F53),"")</f>
        <v>WR38</v>
      </c>
      <c r="P53" t="str">
        <f>IFERROR(INDEX('ROS Rankings'!$F$2:$F$201,G53),"")</f>
        <v>WR42</v>
      </c>
      <c r="Q53" t="str">
        <f>IFERROR(INDEX('ROS Rankings'!$F$2:$F$201,H53),"")</f>
        <v>WR66</v>
      </c>
      <c r="R53" t="str">
        <f>IFERROR(INDEX('ROS Rankings'!$F$2:$F$201,I53),"")</f>
        <v/>
      </c>
    </row>
    <row r="54" spans="1:18" x14ac:dyDescent="0.25">
      <c r="A54" t="s">
        <v>62</v>
      </c>
      <c r="B54">
        <f>MATCH($A54&amp;$A$48&amp;B$48,'ROS Rankings'!$Y$2:$Y$201,0)</f>
        <v>14</v>
      </c>
      <c r="C54">
        <f>MATCH($A54&amp;$A$48&amp;C$48,'ROS Rankings'!$Y$2:$Y$201,0)</f>
        <v>40</v>
      </c>
      <c r="D54">
        <f>MATCH($A54&amp;$A$48&amp;D$48,'ROS Rankings'!$Y$2:$Y$201,0)</f>
        <v>44</v>
      </c>
      <c r="E54">
        <f>MATCH($A54&amp;$A$48&amp;E$48,'ROS Rankings'!$Y$2:$Y$201,0)</f>
        <v>48</v>
      </c>
      <c r="F54">
        <f>MATCH($A54&amp;$A$48&amp;F$48,'ROS Rankings'!$Y$2:$Y$201,0)</f>
        <v>62</v>
      </c>
      <c r="G54">
        <f>MATCH($A54&amp;$A$48&amp;G$48,'ROS Rankings'!$Y$2:$Y$201,0)</f>
        <v>75</v>
      </c>
      <c r="H54" t="e">
        <f>MATCH($A54&amp;$A$48&amp;H$48,'ROS Rankings'!$Y$2:$Y$201,0)</f>
        <v>#N/A</v>
      </c>
      <c r="I54" t="e">
        <f>MATCH($A54&amp;$A$48&amp;I$48,'ROS Rankings'!$Y$2:$Y$201,0)</f>
        <v>#N/A</v>
      </c>
      <c r="K54" t="str">
        <f>IFERROR(INDEX('ROS Rankings'!$F$2:$F$201,B54),"")</f>
        <v>WR4</v>
      </c>
      <c r="L54" t="str">
        <f>IFERROR(INDEX('ROS Rankings'!$F$2:$F$201,C54),"")</f>
        <v>WR20</v>
      </c>
      <c r="M54" t="str">
        <f>IFERROR(INDEX('ROS Rankings'!$F$2:$F$201,D54),"")</f>
        <v>WR23</v>
      </c>
      <c r="N54" t="str">
        <f>IFERROR(INDEX('ROS Rankings'!$F$2:$F$201,E54),"")</f>
        <v>WR26</v>
      </c>
      <c r="O54" t="str">
        <f>IFERROR(INDEX('ROS Rankings'!$F$2:$F$201,F54),"")</f>
        <v>WR32</v>
      </c>
      <c r="P54" t="str">
        <f>IFERROR(INDEX('ROS Rankings'!$F$2:$F$201,G54),"")</f>
        <v>WR40</v>
      </c>
      <c r="Q54" t="str">
        <f>IFERROR(INDEX('ROS Rankings'!$F$2:$F$201,H54),"")</f>
        <v/>
      </c>
      <c r="R54" t="str">
        <f>IFERROR(INDEX('ROS Rankings'!$F$2:$F$201,I54),"")</f>
        <v/>
      </c>
    </row>
    <row r="55" spans="1:18" x14ac:dyDescent="0.25">
      <c r="A55" t="s">
        <v>1648</v>
      </c>
      <c r="B55">
        <f>MATCH($A55&amp;$A$48&amp;B$48,'ROS Rankings'!$Y$2:$Y$201,0)</f>
        <v>39</v>
      </c>
      <c r="C55">
        <f>MATCH($A55&amp;$A$48&amp;C$48,'ROS Rankings'!$Y$2:$Y$201,0)</f>
        <v>42</v>
      </c>
      <c r="D55">
        <f>MATCH($A55&amp;$A$48&amp;D$48,'ROS Rankings'!$Y$2:$Y$201,0)</f>
        <v>46</v>
      </c>
      <c r="E55">
        <f>MATCH($A55&amp;$A$48&amp;E$48,'ROS Rankings'!$Y$2:$Y$201,0)</f>
        <v>81</v>
      </c>
      <c r="F55" t="e">
        <f>MATCH($A55&amp;$A$48&amp;F$48,'ROS Rankings'!$Y$2:$Y$201,0)</f>
        <v>#N/A</v>
      </c>
      <c r="G55" t="e">
        <f>MATCH($A55&amp;$A$48&amp;G$48,'ROS Rankings'!$Y$2:$Y$201,0)</f>
        <v>#N/A</v>
      </c>
      <c r="H55" t="e">
        <f>MATCH($A55&amp;$A$48&amp;H$48,'ROS Rankings'!$Y$2:$Y$201,0)</f>
        <v>#N/A</v>
      </c>
      <c r="I55" t="e">
        <f>MATCH($A55&amp;$A$48&amp;I$48,'ROS Rankings'!$Y$2:$Y$201,0)</f>
        <v>#N/A</v>
      </c>
      <c r="K55" t="str">
        <f>IFERROR(INDEX('ROS Rankings'!$F$2:$F$201,B55),"")</f>
        <v>WR19</v>
      </c>
      <c r="L55" t="str">
        <f>IFERROR(INDEX('ROS Rankings'!$F$2:$F$201,C55),"")</f>
        <v>WR22</v>
      </c>
      <c r="M55" t="str">
        <f>IFERROR(INDEX('ROS Rankings'!$F$2:$F$201,D55),"")</f>
        <v>WR25</v>
      </c>
      <c r="N55" t="str">
        <f>IFERROR(INDEX('ROS Rankings'!$F$2:$F$201,E55),"")</f>
        <v>WR43</v>
      </c>
      <c r="O55" t="str">
        <f>IFERROR(INDEX('ROS Rankings'!$F$2:$F$201,F55),"")</f>
        <v/>
      </c>
      <c r="P55" t="str">
        <f>IFERROR(INDEX('ROS Rankings'!$F$2:$F$201,G55),"")</f>
        <v/>
      </c>
      <c r="Q55" t="str">
        <f>IFERROR(INDEX('ROS Rankings'!$F$2:$F$201,H55),"")</f>
        <v/>
      </c>
      <c r="R55" t="str">
        <f>IFERROR(INDEX('ROS Rankings'!$F$2:$F$201,I55),"")</f>
        <v/>
      </c>
    </row>
    <row r="56" spans="1:18" x14ac:dyDescent="0.25">
      <c r="A56" t="s">
        <v>23</v>
      </c>
      <c r="B56">
        <f>MATCH($A56&amp;$A$48&amp;B$48,'ROS Rankings'!$Y$2:$Y$201,0)</f>
        <v>17</v>
      </c>
      <c r="C56">
        <f>MATCH($A56&amp;$A$48&amp;C$48,'ROS Rankings'!$Y$2:$Y$201,0)</f>
        <v>27</v>
      </c>
      <c r="D56">
        <f>MATCH($A56&amp;$A$48&amp;D$48,'ROS Rankings'!$Y$2:$Y$201,0)</f>
        <v>61</v>
      </c>
      <c r="E56">
        <f>MATCH($A56&amp;$A$48&amp;E$48,'ROS Rankings'!$Y$2:$Y$201,0)</f>
        <v>159</v>
      </c>
      <c r="F56" t="e">
        <f>MATCH($A56&amp;$A$48&amp;F$48,'ROS Rankings'!$Y$2:$Y$201,0)</f>
        <v>#N/A</v>
      </c>
      <c r="G56" t="e">
        <f>MATCH($A56&amp;$A$48&amp;G$48,'ROS Rankings'!$Y$2:$Y$201,0)</f>
        <v>#N/A</v>
      </c>
      <c r="H56" t="e">
        <f>MATCH($A56&amp;$A$48&amp;H$48,'ROS Rankings'!$Y$2:$Y$201,0)</f>
        <v>#N/A</v>
      </c>
      <c r="I56" t="e">
        <f>MATCH($A56&amp;$A$48&amp;I$48,'ROS Rankings'!$Y$2:$Y$201,0)</f>
        <v>#N/A</v>
      </c>
      <c r="K56" t="str">
        <f>IFERROR(INDEX('ROS Rankings'!$F$2:$F$201,B56),"")</f>
        <v>WR7</v>
      </c>
      <c r="L56" t="str">
        <f>IFERROR(INDEX('ROS Rankings'!$F$2:$F$201,C56),"")</f>
        <v>WR13</v>
      </c>
      <c r="M56" t="str">
        <f>IFERROR(INDEX('ROS Rankings'!$F$2:$F$201,D56),"")</f>
        <v>WR31</v>
      </c>
      <c r="N56" t="str">
        <f>IFERROR(INDEX('ROS Rankings'!$F$2:$F$201,E56),"")</f>
        <v>WR62</v>
      </c>
      <c r="O56" t="str">
        <f>IFERROR(INDEX('ROS Rankings'!$F$2:$F$201,F56),"")</f>
        <v/>
      </c>
      <c r="P56" t="str">
        <f>IFERROR(INDEX('ROS Rankings'!$F$2:$F$201,G56),"")</f>
        <v/>
      </c>
      <c r="Q56" t="str">
        <f>IFERROR(INDEX('ROS Rankings'!$F$2:$F$201,H56),"")</f>
        <v/>
      </c>
      <c r="R56" t="str">
        <f>IFERROR(INDEX('ROS Rankings'!$F$2:$F$201,I56),"")</f>
        <v/>
      </c>
    </row>
    <row r="57" spans="1:18" x14ac:dyDescent="0.25">
      <c r="A57" t="s">
        <v>49</v>
      </c>
      <c r="B57">
        <f>MATCH($A57&amp;$A$48&amp;B$48,'ROS Rankings'!$Y$2:$Y$201,0)</f>
        <v>15</v>
      </c>
      <c r="C57">
        <f>MATCH($A57&amp;$A$48&amp;C$48,'ROS Rankings'!$Y$2:$Y$201,0)</f>
        <v>32</v>
      </c>
      <c r="D57">
        <f>MATCH($A57&amp;$A$48&amp;D$48,'ROS Rankings'!$Y$2:$Y$201,0)</f>
        <v>41</v>
      </c>
      <c r="E57">
        <f>MATCH($A57&amp;$A$48&amp;E$48,'ROS Rankings'!$Y$2:$Y$201,0)</f>
        <v>57</v>
      </c>
      <c r="F57">
        <f>MATCH($A57&amp;$A$48&amp;F$48,'ROS Rankings'!$Y$2:$Y$201,0)</f>
        <v>91</v>
      </c>
      <c r="G57" t="e">
        <f>MATCH($A57&amp;$A$48&amp;G$48,'ROS Rankings'!$Y$2:$Y$201,0)</f>
        <v>#N/A</v>
      </c>
      <c r="H57" t="e">
        <f>MATCH($A57&amp;$A$48&amp;H$48,'ROS Rankings'!$Y$2:$Y$201,0)</f>
        <v>#N/A</v>
      </c>
      <c r="I57" t="e">
        <f>MATCH($A57&amp;$A$48&amp;I$48,'ROS Rankings'!$Y$2:$Y$201,0)</f>
        <v>#N/A</v>
      </c>
      <c r="K57" t="str">
        <f>IFERROR(INDEX('ROS Rankings'!$F$2:$F$201,B57),"")</f>
        <v>WR5</v>
      </c>
      <c r="L57" t="str">
        <f>IFERROR(INDEX('ROS Rankings'!$F$2:$F$201,C57),"")</f>
        <v>WR15</v>
      </c>
      <c r="M57" t="str">
        <f>IFERROR(INDEX('ROS Rankings'!$F$2:$F$201,D57),"")</f>
        <v>WR21</v>
      </c>
      <c r="N57" t="str">
        <f>IFERROR(INDEX('ROS Rankings'!$F$2:$F$201,E57),"")</f>
        <v>WR28</v>
      </c>
      <c r="O57" t="str">
        <f>IFERROR(INDEX('ROS Rankings'!$F$2:$F$201,F57),"")</f>
        <v>WR46</v>
      </c>
      <c r="P57" t="str">
        <f>IFERROR(INDEX('ROS Rankings'!$F$2:$F$201,G57),"")</f>
        <v/>
      </c>
      <c r="Q57" t="str">
        <f>IFERROR(INDEX('ROS Rankings'!$F$2:$F$201,H57),"")</f>
        <v/>
      </c>
      <c r="R57" t="str">
        <f>IFERROR(INDEX('ROS Rankings'!$F$2:$F$201,I57),"")</f>
        <v/>
      </c>
    </row>
    <row r="58" spans="1:18" x14ac:dyDescent="0.25">
      <c r="A58" t="s">
        <v>44</v>
      </c>
      <c r="B58">
        <f>MATCH($A58&amp;$A$48&amp;B$48,'ROS Rankings'!$Y$2:$Y$201,0)</f>
        <v>21</v>
      </c>
      <c r="C58">
        <f>MATCH($A58&amp;$A$48&amp;C$48,'ROS Rankings'!$Y$2:$Y$201,0)</f>
        <v>25</v>
      </c>
      <c r="D58">
        <f>MATCH($A58&amp;$A$48&amp;D$48,'ROS Rankings'!$Y$2:$Y$201,0)</f>
        <v>60</v>
      </c>
      <c r="E58">
        <f>MATCH($A58&amp;$A$48&amp;E$48,'ROS Rankings'!$Y$2:$Y$201,0)</f>
        <v>74</v>
      </c>
      <c r="F58">
        <f>MATCH($A58&amp;$A$48&amp;F$48,'ROS Rankings'!$Y$2:$Y$201,0)</f>
        <v>88</v>
      </c>
      <c r="G58" t="e">
        <f>MATCH($A58&amp;$A$48&amp;G$48,'ROS Rankings'!$Y$2:$Y$201,0)</f>
        <v>#N/A</v>
      </c>
      <c r="H58" t="e">
        <f>MATCH($A58&amp;$A$48&amp;H$48,'ROS Rankings'!$Y$2:$Y$201,0)</f>
        <v>#N/A</v>
      </c>
      <c r="I58" t="e">
        <f>MATCH($A58&amp;$A$48&amp;I$48,'ROS Rankings'!$Y$2:$Y$201,0)</f>
        <v>#N/A</v>
      </c>
      <c r="K58" t="str">
        <f>IFERROR(INDEX('ROS Rankings'!$F$2:$F$201,B58),"")</f>
        <v>WR9</v>
      </c>
      <c r="L58" t="str">
        <f>IFERROR(INDEX('ROS Rankings'!$F$2:$F$201,C58),"")</f>
        <v>WR11</v>
      </c>
      <c r="M58" t="str">
        <f>IFERROR(INDEX('ROS Rankings'!$F$2:$F$201,D58),"")</f>
        <v>WR30</v>
      </c>
      <c r="N58" t="str">
        <f>IFERROR(INDEX('ROS Rankings'!$F$2:$F$201,E58),"")</f>
        <v>WR39</v>
      </c>
      <c r="O58" t="str">
        <f>IFERROR(INDEX('ROS Rankings'!$F$2:$F$201,F58),"")</f>
        <v>WR45</v>
      </c>
      <c r="P58" t="str">
        <f>IFERROR(INDEX('ROS Rankings'!$F$2:$F$201,G58),"")</f>
        <v/>
      </c>
      <c r="Q58" t="str">
        <f>IFERROR(INDEX('ROS Rankings'!$F$2:$F$201,H58),"")</f>
        <v/>
      </c>
      <c r="R58" t="str">
        <f>IFERROR(INDEX('ROS Rankings'!$F$2:$F$201,I58),"")</f>
        <v/>
      </c>
    </row>
    <row r="60" spans="1:18" x14ac:dyDescent="0.25">
      <c r="A60" t="s">
        <v>114</v>
      </c>
      <c r="B60">
        <v>1</v>
      </c>
      <c r="C60">
        <f>B60+1</f>
        <v>2</v>
      </c>
    </row>
    <row r="61" spans="1:18" x14ac:dyDescent="0.25">
      <c r="A61" t="s">
        <v>20</v>
      </c>
      <c r="B61">
        <f>MATCH($A61&amp;$A$60&amp;B$60,'ROS Rankings'!$Y$2:$Y$201,0)</f>
        <v>118</v>
      </c>
      <c r="C61" t="e">
        <f>MATCH($A61&amp;$A$60&amp;C$60,'ROS Rankings'!$Y$2:$Y$201,0)</f>
        <v>#N/A</v>
      </c>
      <c r="E61" t="str">
        <f>IFERROR(INDEX('ROS Rankings'!$F$2:$F$201,B61),"")</f>
        <v>TE10</v>
      </c>
      <c r="F61" t="str">
        <f>IFERROR(INDEX('ROS Rankings'!$F$2:$F$201,C61),"")</f>
        <v/>
      </c>
    </row>
    <row r="62" spans="1:18" x14ac:dyDescent="0.25">
      <c r="A62" t="s">
        <v>16</v>
      </c>
      <c r="B62">
        <f>MATCH($A62&amp;$A$60&amp;B$60,'ROS Rankings'!$Y$2:$Y$201,0)</f>
        <v>99</v>
      </c>
      <c r="C62" t="e">
        <f>MATCH($A62&amp;$A$60&amp;C$60,'ROS Rankings'!$Y$2:$Y$201,0)</f>
        <v>#N/A</v>
      </c>
      <c r="E62" t="str">
        <f>IFERROR(INDEX('ROS Rankings'!$F$2:$F$201,B62),"")</f>
        <v>TE8</v>
      </c>
      <c r="F62" t="str">
        <f>IFERROR(INDEX('ROS Rankings'!$F$2:$F$201,C62),"")</f>
        <v/>
      </c>
    </row>
    <row r="63" spans="1:18" x14ac:dyDescent="0.25">
      <c r="A63" t="s">
        <v>55</v>
      </c>
      <c r="B63">
        <f>MATCH($A63&amp;$A$60&amp;B$60,'ROS Rankings'!$Y$2:$Y$201,0)</f>
        <v>34</v>
      </c>
      <c r="C63" t="e">
        <f>MATCH($A63&amp;$A$60&amp;C$60,'ROS Rankings'!$Y$2:$Y$201,0)</f>
        <v>#N/A</v>
      </c>
      <c r="E63" t="str">
        <f>IFERROR(INDEX('ROS Rankings'!$F$2:$F$201,B63),"")</f>
        <v>TE2</v>
      </c>
      <c r="F63" t="str">
        <f>IFERROR(INDEX('ROS Rankings'!$F$2:$F$201,C63),"")</f>
        <v/>
      </c>
    </row>
    <row r="64" spans="1:18" x14ac:dyDescent="0.25">
      <c r="A64" t="s">
        <v>35</v>
      </c>
      <c r="B64">
        <f>MATCH($A64&amp;$A$60&amp;B$60,'ROS Rankings'!$Y$2:$Y$201,0)</f>
        <v>142</v>
      </c>
      <c r="C64">
        <f>MATCH($A64&amp;$A$60&amp;C$60,'ROS Rankings'!$Y$2:$Y$201,0)</f>
        <v>161</v>
      </c>
      <c r="E64" t="str">
        <f>IFERROR(INDEX('ROS Rankings'!$F$2:$F$201,B64),"")</f>
        <v>TE12</v>
      </c>
      <c r="F64" t="str">
        <f>IFERROR(INDEX('ROS Rankings'!$F$2:$F$201,C64),"")</f>
        <v>TE16</v>
      </c>
    </row>
    <row r="65" spans="1:23" x14ac:dyDescent="0.25">
      <c r="A65" t="s">
        <v>27</v>
      </c>
      <c r="B65">
        <f>MATCH($A65&amp;$A$60&amp;B$60,'ROS Rankings'!$Y$2:$Y$201,0)</f>
        <v>114</v>
      </c>
      <c r="C65">
        <f>MATCH($A65&amp;$A$60&amp;C$60,'ROS Rankings'!$Y$2:$Y$201,0)</f>
        <v>143</v>
      </c>
      <c r="E65" t="str">
        <f>IFERROR(INDEX('ROS Rankings'!$F$2:$F$201,B65),"")</f>
        <v>TE9</v>
      </c>
      <c r="F65" t="str">
        <f>IFERROR(INDEX('ROS Rankings'!$F$2:$F$201,C65),"")</f>
        <v>TE13</v>
      </c>
    </row>
    <row r="66" spans="1:23" x14ac:dyDescent="0.25">
      <c r="A66" t="s">
        <v>62</v>
      </c>
      <c r="B66">
        <f>MATCH($A66&amp;$A$60&amp;B$60,'ROS Rankings'!$Y$2:$Y$201,0)</f>
        <v>73</v>
      </c>
      <c r="C66" t="e">
        <f>MATCH($A66&amp;$A$60&amp;C$60,'ROS Rankings'!$Y$2:$Y$201,0)</f>
        <v>#N/A</v>
      </c>
      <c r="E66" t="str">
        <f>IFERROR(INDEX('ROS Rankings'!$F$2:$F$201,B66),"")</f>
        <v>TE5</v>
      </c>
      <c r="F66" t="str">
        <f>IFERROR(INDEX('ROS Rankings'!$F$2:$F$201,C66),"")</f>
        <v/>
      </c>
    </row>
    <row r="67" spans="1:23" x14ac:dyDescent="0.25">
      <c r="A67" t="s">
        <v>1648</v>
      </c>
      <c r="B67">
        <f>MATCH($A67&amp;$A$60&amp;B$60,'ROS Rankings'!$Y$2:$Y$201,0)</f>
        <v>33</v>
      </c>
      <c r="C67" t="e">
        <f>MATCH($A67&amp;$A$60&amp;C$60,'ROS Rankings'!$Y$2:$Y$201,0)</f>
        <v>#N/A</v>
      </c>
      <c r="E67" t="str">
        <f>IFERROR(INDEX('ROS Rankings'!$F$2:$F$201,B67),"")</f>
        <v>TE1</v>
      </c>
      <c r="F67" t="str">
        <f>IFERROR(INDEX('ROS Rankings'!$F$2:$F$201,C67),"")</f>
        <v/>
      </c>
    </row>
    <row r="68" spans="1:23" x14ac:dyDescent="0.25">
      <c r="A68" t="s">
        <v>23</v>
      </c>
      <c r="B68">
        <f>MATCH($A68&amp;$A$60&amp;B$60,'ROS Rankings'!$Y$2:$Y$201,0)</f>
        <v>47</v>
      </c>
      <c r="C68" t="e">
        <f>MATCH($A68&amp;$A$60&amp;C$60,'ROS Rankings'!$Y$2:$Y$201,0)</f>
        <v>#N/A</v>
      </c>
      <c r="E68" t="str">
        <f>IFERROR(INDEX('ROS Rankings'!$F$2:$F$201,B68),"")</f>
        <v>TE3</v>
      </c>
      <c r="F68" t="str">
        <f>IFERROR(INDEX('ROS Rankings'!$F$2:$F$201,C68),"")</f>
        <v/>
      </c>
    </row>
    <row r="69" spans="1:23" x14ac:dyDescent="0.25">
      <c r="A69" t="s">
        <v>49</v>
      </c>
      <c r="B69">
        <f>MATCH($A69&amp;$A$60&amp;B$60,'ROS Rankings'!$Y$2:$Y$201,0)</f>
        <v>63</v>
      </c>
      <c r="C69" t="e">
        <f>MATCH($A69&amp;$A$60&amp;C$60,'ROS Rankings'!$Y$2:$Y$201,0)</f>
        <v>#N/A</v>
      </c>
      <c r="E69" t="str">
        <f>IFERROR(INDEX('ROS Rankings'!$F$2:$F$201,B69),"")</f>
        <v>TE4</v>
      </c>
      <c r="F69" t="str">
        <f>IFERROR(INDEX('ROS Rankings'!$F$2:$F$201,C69),"")</f>
        <v/>
      </c>
    </row>
    <row r="70" spans="1:23" x14ac:dyDescent="0.25">
      <c r="A70" t="s">
        <v>44</v>
      </c>
      <c r="B70">
        <f>MATCH($A70&amp;$A$60&amp;B$60,'ROS Rankings'!$Y$2:$Y$201,0)</f>
        <v>97</v>
      </c>
      <c r="C70" t="e">
        <f>MATCH($A70&amp;$A$60&amp;C$60,'ROS Rankings'!$Y$2:$Y$201,0)</f>
        <v>#N/A</v>
      </c>
      <c r="E70" t="str">
        <f>IFERROR(INDEX('ROS Rankings'!$F$2:$F$201,B70),"")</f>
        <v>TE6</v>
      </c>
      <c r="F70" t="str">
        <f>IFERROR(INDEX('ROS Rankings'!$F$2:$F$201,C70),"")</f>
        <v/>
      </c>
    </row>
    <row r="72" spans="1:23" x14ac:dyDescent="0.25">
      <c r="B72" s="60">
        <v>0</v>
      </c>
      <c r="C72" s="60">
        <v>9</v>
      </c>
      <c r="D72" s="60">
        <v>10</v>
      </c>
      <c r="E72" s="60">
        <v>11</v>
      </c>
      <c r="S72" s="60">
        <v>0</v>
      </c>
      <c r="T72" s="60">
        <v>9</v>
      </c>
      <c r="U72" s="60">
        <v>10</v>
      </c>
      <c r="V72" s="60">
        <v>11</v>
      </c>
    </row>
    <row r="73" spans="1:23" x14ac:dyDescent="0.25">
      <c r="A73" t="s">
        <v>1001</v>
      </c>
      <c r="B73" t="s">
        <v>15</v>
      </c>
      <c r="C73" t="s">
        <v>114</v>
      </c>
      <c r="D73" t="s">
        <v>770</v>
      </c>
      <c r="E73" t="s">
        <v>478</v>
      </c>
      <c r="F73" t="s">
        <v>1002</v>
      </c>
      <c r="H73" t="s">
        <v>15</v>
      </c>
      <c r="I73" t="s">
        <v>114</v>
      </c>
      <c r="J73" t="s">
        <v>770</v>
      </c>
      <c r="K73" t="s">
        <v>478</v>
      </c>
      <c r="S73" t="s">
        <v>15</v>
      </c>
      <c r="T73" t="s">
        <v>114</v>
      </c>
      <c r="U73" t="s">
        <v>770</v>
      </c>
      <c r="V73" t="s">
        <v>478</v>
      </c>
    </row>
    <row r="74" spans="1:23" x14ac:dyDescent="0.25">
      <c r="A74" t="s">
        <v>20</v>
      </c>
      <c r="B74">
        <f>SUM(INDEX('Weekly Scores'!$T$2:$AJ$121,$F74+B$72,1):INDEX('Weekly Scores'!$T$2:$AJ$121,$F74+B$72,13))</f>
        <v>268.79000000000008</v>
      </c>
      <c r="C74">
        <f>SUM(INDEX('Weekly Scores'!$T$2:$AJ$121,$F74+C$72,1):INDEX('Weekly Scores'!$T$2:$AJ$121,$F74+C$72,13))</f>
        <v>99.43</v>
      </c>
      <c r="D74">
        <f>SUM(INDEX('Weekly Scores'!$T$2:$AJ$121,$F74+D$72,1):INDEX('Weekly Scores'!$T$2:$AJ$121,$F74+D$72,13))</f>
        <v>104.36000000000001</v>
      </c>
      <c r="E74">
        <f>SUM(INDEX('Weekly Scores'!$T$2:$AJ$121,$F74+E$72,1):INDEX('Weekly Scores'!$T$2:$AJ$121,$F74+E$72,13))</f>
        <v>89.6</v>
      </c>
      <c r="F74" s="60">
        <v>1</v>
      </c>
      <c r="H74" s="2">
        <f>B74/(13)-B$84</f>
        <v>0.51923076923077005</v>
      </c>
      <c r="I74" s="2">
        <f t="shared" ref="I74:K83" si="3">C74/(13)-C$84</f>
        <v>0.26023076923076971</v>
      </c>
      <c r="J74" s="2">
        <f t="shared" si="3"/>
        <v>1.3437692307692313</v>
      </c>
      <c r="K74" s="2">
        <f t="shared" si="3"/>
        <v>-0.79553846153846131</v>
      </c>
      <c r="L74" s="2">
        <f>SUM(H74:K74)</f>
        <v>1.3276923076923097</v>
      </c>
      <c r="N74">
        <f>Scores!Q24</f>
        <v>567.16</v>
      </c>
      <c r="O74">
        <f t="shared" ref="O74:O83" si="4">N74-D74-E74</f>
        <v>373.19999999999993</v>
      </c>
      <c r="P74" s="2">
        <f>O74/Week</f>
        <v>74.639999999999986</v>
      </c>
      <c r="Q74" s="2">
        <f>P74/Week</f>
        <v>14.927999999999997</v>
      </c>
      <c r="S74" s="2">
        <f>SUM(INDEX('Weekly Scores'!$T$2:$AJ$121,$F74+S$72,1):INDEX('Weekly Scores'!$T$2:$AJ$121,$F74+S$72,Week))/(Week)</f>
        <v>20.832000000000001</v>
      </c>
      <c r="T74" s="2">
        <f>SUM(INDEX('Weekly Scores'!$T$2:$AJ$121,$F74+T$72,1):INDEX('Weekly Scores'!$T$2:$AJ$121,$F74+T$72,Week))/(Week)</f>
        <v>10.97</v>
      </c>
      <c r="U74" s="2">
        <f>SUM(INDEX('Weekly Scores'!$T$2:$AJ$121,$F74+U$72,1):INDEX('Weekly Scores'!$T$2:$AJ$121,$F74+U$72,Week))/(Week)</f>
        <v>9.6960000000000015</v>
      </c>
      <c r="V74" s="2">
        <f>SUM(INDEX('Weekly Scores'!$T$2:$AJ$121,$F74+V$72,1):INDEX('Weekly Scores'!$T$2:$AJ$121,$F74+V$72,Week))/(Week)</f>
        <v>5.7859999999999996</v>
      </c>
      <c r="W74" s="2"/>
    </row>
    <row r="75" spans="1:23" x14ac:dyDescent="0.25">
      <c r="A75" t="s">
        <v>16</v>
      </c>
      <c r="B75">
        <f>SUM(INDEX('Weekly Scores'!$T$2:$AJ$121,$F75+B$72,1):INDEX('Weekly Scores'!$T$2:$AJ$121,$F75+B$72,13))</f>
        <v>267.37</v>
      </c>
      <c r="C75">
        <f>SUM(INDEX('Weekly Scores'!$T$2:$AJ$121,$F75+C$72,1):INDEX('Weekly Scores'!$T$2:$AJ$121,$F75+C$72,13))</f>
        <v>89.100000000000009</v>
      </c>
      <c r="D75">
        <f>SUM(INDEX('Weekly Scores'!$T$2:$AJ$121,$F75+D$72,1):INDEX('Weekly Scores'!$T$2:$AJ$121,$F75+D$72,13))</f>
        <v>94.23</v>
      </c>
      <c r="E75">
        <f>SUM(INDEX('Weekly Scores'!$T$2:$AJ$121,$F75+E$72,1):INDEX('Weekly Scores'!$T$2:$AJ$121,$F75+E$72,13))</f>
        <v>114.16000000000001</v>
      </c>
      <c r="F75" s="60">
        <f>F74+12</f>
        <v>13</v>
      </c>
      <c r="H75" s="2">
        <f t="shared" ref="H75:H83" si="5">B75/(13)-B$84</f>
        <v>0.40999999999999659</v>
      </c>
      <c r="I75" s="2">
        <f t="shared" si="3"/>
        <v>-0.53438461538461457</v>
      </c>
      <c r="J75" s="2">
        <f t="shared" si="3"/>
        <v>0.56453846153846143</v>
      </c>
      <c r="K75" s="2">
        <f t="shared" si="3"/>
        <v>1.0936923076923089</v>
      </c>
      <c r="L75" s="2">
        <f t="shared" ref="L75:L83" si="6">SUM(H75:K75)</f>
        <v>1.5338461538461523</v>
      </c>
      <c r="N75">
        <f>Scores!Q25</f>
        <v>574.78</v>
      </c>
      <c r="O75">
        <f t="shared" si="4"/>
        <v>366.38999999999993</v>
      </c>
      <c r="P75" s="2">
        <f t="shared" ref="P75:Q83" si="7">O75/Week</f>
        <v>73.277999999999992</v>
      </c>
      <c r="Q75" s="2">
        <f t="shared" si="7"/>
        <v>14.655599999999998</v>
      </c>
      <c r="S75" s="2">
        <f>SUM(INDEX('Weekly Scores'!$T$2:$AJ$121,$F75+S$72,1):INDEX('Weekly Scores'!$T$2:$AJ$121,$F75+S$72,Week))/(Week)</f>
        <v>19.478000000000002</v>
      </c>
      <c r="T75" s="2">
        <f>SUM(INDEX('Weekly Scores'!$T$2:$AJ$121,$F75+T$72,1):INDEX('Weekly Scores'!$T$2:$AJ$121,$F75+T$72,Week))/(Week)</f>
        <v>7.4340000000000002</v>
      </c>
      <c r="U75" s="2">
        <f>SUM(INDEX('Weekly Scores'!$T$2:$AJ$121,$F75+U$72,1):INDEX('Weekly Scores'!$T$2:$AJ$121,$F75+U$72,Week))/(Week)</f>
        <v>6.9319999999999995</v>
      </c>
      <c r="V75" s="2">
        <f>SUM(INDEX('Weekly Scores'!$T$2:$AJ$121,$F75+V$72,1):INDEX('Weekly Scores'!$T$2:$AJ$121,$F75+V$72,Week))/(Week)</f>
        <v>10.276</v>
      </c>
      <c r="W75" s="2"/>
    </row>
    <row r="76" spans="1:23" x14ac:dyDescent="0.25">
      <c r="A76" t="s">
        <v>55</v>
      </c>
      <c r="B76">
        <f>SUM(INDEX('Weekly Scores'!$T$2:$AJ$121,$F76+B$72,1):INDEX('Weekly Scores'!$T$2:$AJ$121,$F76+B$72,13))</f>
        <v>256.61</v>
      </c>
      <c r="C76">
        <f>SUM(INDEX('Weekly Scores'!$T$2:$AJ$121,$F76+C$72,1):INDEX('Weekly Scores'!$T$2:$AJ$121,$F76+C$72,13))</f>
        <v>119.72000000000001</v>
      </c>
      <c r="D76">
        <f>SUM(INDEX('Weekly Scores'!$T$2:$AJ$121,$F76+D$72,1):INDEX('Weekly Scores'!$T$2:$AJ$121,$F76+D$72,13))</f>
        <v>100.88</v>
      </c>
      <c r="E76">
        <f>SUM(INDEX('Weekly Scores'!$T$2:$AJ$121,$F76+E$72,1):INDEX('Weekly Scores'!$T$2:$AJ$121,$F76+E$72,13))</f>
        <v>88.440000000000012</v>
      </c>
      <c r="F76" s="60">
        <f t="shared" ref="F76:F83" si="8">F75+12</f>
        <v>25</v>
      </c>
      <c r="H76" s="2">
        <f>B76/(13)-B$84</f>
        <v>-0.41769230769231314</v>
      </c>
      <c r="I76" s="2">
        <f t="shared" si="3"/>
        <v>1.8210000000000006</v>
      </c>
      <c r="J76" s="2">
        <f t="shared" si="3"/>
        <v>1.076076923076922</v>
      </c>
      <c r="K76" s="2">
        <f t="shared" si="3"/>
        <v>-0.88476923076922898</v>
      </c>
      <c r="L76" s="2">
        <f>SUM(H76:K76)</f>
        <v>1.5946153846153805</v>
      </c>
      <c r="N76">
        <f>Scores!Q26</f>
        <v>663.94999999999993</v>
      </c>
      <c r="O76">
        <f t="shared" si="4"/>
        <v>474.62999999999994</v>
      </c>
      <c r="P76" s="2">
        <f t="shared" si="7"/>
        <v>94.925999999999988</v>
      </c>
      <c r="Q76" s="2">
        <f t="shared" si="7"/>
        <v>18.985199999999999</v>
      </c>
      <c r="S76" s="2">
        <f>SUM(INDEX('Weekly Scores'!$T$2:$AJ$121,$F76+S$72,1):INDEX('Weekly Scores'!$T$2:$AJ$121,$F76+S$72,Week))/(Week)</f>
        <v>18.334</v>
      </c>
      <c r="T76" s="2">
        <f>SUM(INDEX('Weekly Scores'!$T$2:$AJ$121,$F76+T$72,1):INDEX('Weekly Scores'!$T$2:$AJ$121,$F76+T$72,Week))/(Week)</f>
        <v>8.9619999999999997</v>
      </c>
      <c r="U76" s="2">
        <f>SUM(INDEX('Weekly Scores'!$T$2:$AJ$121,$F76+U$72,1):INDEX('Weekly Scores'!$T$2:$AJ$121,$F76+U$72,Week))/(Week)</f>
        <v>11.632</v>
      </c>
      <c r="V76" s="2">
        <f>SUM(INDEX('Weekly Scores'!$T$2:$AJ$121,$F76+V$72,1):INDEX('Weekly Scores'!$T$2:$AJ$121,$F76+V$72,Week))/(Week)</f>
        <v>4.3280000000000003</v>
      </c>
      <c r="W76" s="2"/>
    </row>
    <row r="77" spans="1:23" x14ac:dyDescent="0.25">
      <c r="A77" t="s">
        <v>35</v>
      </c>
      <c r="B77">
        <f>SUM(INDEX('Weekly Scores'!$T$2:$AJ$121,$F77+B$72,1):INDEX('Weekly Scores'!$T$2:$AJ$121,$F77+B$72,13))</f>
        <v>293.10000000000002</v>
      </c>
      <c r="C77">
        <f>SUM(INDEX('Weekly Scores'!$T$2:$AJ$121,$F77+C$72,1):INDEX('Weekly Scores'!$T$2:$AJ$121,$F77+C$72,13))</f>
        <v>89.09999999999998</v>
      </c>
      <c r="D77">
        <f>SUM(INDEX('Weekly Scores'!$T$2:$AJ$121,$F77+D$72,1):INDEX('Weekly Scores'!$T$2:$AJ$121,$F77+D$72,13))</f>
        <v>109.08999999999999</v>
      </c>
      <c r="E77">
        <f>SUM(INDEX('Weekly Scores'!$T$2:$AJ$121,$F77+E$72,1):INDEX('Weekly Scores'!$T$2:$AJ$121,$F77+E$72,13))</f>
        <v>86.77000000000001</v>
      </c>
      <c r="F77" s="60">
        <f t="shared" si="8"/>
        <v>37</v>
      </c>
      <c r="H77" s="2">
        <f t="shared" si="5"/>
        <v>2.3892307692307675</v>
      </c>
      <c r="I77" s="2">
        <f t="shared" si="3"/>
        <v>-0.53438461538461635</v>
      </c>
      <c r="J77" s="2">
        <f t="shared" si="3"/>
        <v>1.7076153846153836</v>
      </c>
      <c r="K77" s="2">
        <f t="shared" si="3"/>
        <v>-1.013230769230768</v>
      </c>
      <c r="L77" s="2">
        <f t="shared" si="6"/>
        <v>2.5492307692307667</v>
      </c>
      <c r="N77">
        <f>Scores!Q27</f>
        <v>564.96</v>
      </c>
      <c r="O77">
        <f t="shared" si="4"/>
        <v>369.1</v>
      </c>
      <c r="P77" s="2">
        <f t="shared" si="7"/>
        <v>73.820000000000007</v>
      </c>
      <c r="Q77" s="2">
        <f t="shared" si="7"/>
        <v>14.764000000000001</v>
      </c>
      <c r="S77" s="2">
        <f>SUM(INDEX('Weekly Scores'!$T$2:$AJ$121,$F77+S$72,1):INDEX('Weekly Scores'!$T$2:$AJ$121,$F77+S$72,Week))/(Week)</f>
        <v>25.236000000000001</v>
      </c>
      <c r="T77" s="2">
        <f>SUM(INDEX('Weekly Scores'!$T$2:$AJ$121,$F77+T$72,1):INDEX('Weekly Scores'!$T$2:$AJ$121,$F77+T$72,Week))/(Week)</f>
        <v>8.08</v>
      </c>
      <c r="U77" s="2">
        <f>SUM(INDEX('Weekly Scores'!$T$2:$AJ$121,$F77+U$72,1):INDEX('Weekly Scores'!$T$2:$AJ$121,$F77+U$72,Week))/(Week)</f>
        <v>8.3000000000000007</v>
      </c>
      <c r="V77" s="2">
        <f>SUM(INDEX('Weekly Scores'!$T$2:$AJ$121,$F77+V$72,1):INDEX('Weekly Scores'!$T$2:$AJ$121,$F77+V$72,Week))/(Week)</f>
        <v>7.3159999999999998</v>
      </c>
      <c r="W77" s="2"/>
    </row>
    <row r="78" spans="1:23" x14ac:dyDescent="0.25">
      <c r="A78" t="s">
        <v>27</v>
      </c>
      <c r="B78">
        <f>SUM(INDEX('Weekly Scores'!$T$2:$AJ$121,$F78+B$72,1):INDEX('Weekly Scores'!$T$2:$AJ$121,$F78+B$72,13))</f>
        <v>244.11999999999998</v>
      </c>
      <c r="C78">
        <f>SUM(INDEX('Weekly Scores'!$T$2:$AJ$121,$F78+C$72,1):INDEX('Weekly Scores'!$T$2:$AJ$121,$F78+C$72,13))</f>
        <v>82.490000000000009</v>
      </c>
      <c r="D78">
        <f>SUM(INDEX('Weekly Scores'!$T$2:$AJ$121,$F78+D$72,1):INDEX('Weekly Scores'!$T$2:$AJ$121,$F78+D$72,13))</f>
        <v>90.690000000000012</v>
      </c>
      <c r="E78">
        <f>SUM(INDEX('Weekly Scores'!$T$2:$AJ$121,$F78+E$72,1):INDEX('Weekly Scores'!$T$2:$AJ$121,$F78+E$72,13))</f>
        <v>100.37</v>
      </c>
      <c r="F78" s="60">
        <f t="shared" si="8"/>
        <v>49</v>
      </c>
      <c r="H78" s="2">
        <f t="shared" si="5"/>
        <v>-1.3784615384615471</v>
      </c>
      <c r="I78" s="2">
        <f t="shared" si="3"/>
        <v>-1.0428461538461526</v>
      </c>
      <c r="J78" s="2">
        <f t="shared" si="3"/>
        <v>0.29223076923076974</v>
      </c>
      <c r="K78" s="2">
        <f t="shared" si="3"/>
        <v>3.2923076923077943E-2</v>
      </c>
      <c r="L78" s="2">
        <f t="shared" si="6"/>
        <v>-2.096153846153852</v>
      </c>
      <c r="N78">
        <f>Scores!Q28</f>
        <v>496.71</v>
      </c>
      <c r="O78">
        <f t="shared" si="4"/>
        <v>305.64999999999998</v>
      </c>
      <c r="P78" s="2">
        <f t="shared" si="7"/>
        <v>61.129999999999995</v>
      </c>
      <c r="Q78" s="2">
        <f t="shared" si="7"/>
        <v>12.225999999999999</v>
      </c>
      <c r="S78" s="2">
        <f>SUM(INDEX('Weekly Scores'!$T$2:$AJ$121,$F78+S$72,1):INDEX('Weekly Scores'!$T$2:$AJ$121,$F78+S$72,Week))/(Week)</f>
        <v>17.580000000000002</v>
      </c>
      <c r="T78" s="2">
        <f>SUM(INDEX('Weekly Scores'!$T$2:$AJ$121,$F78+T$72,1):INDEX('Weekly Scores'!$T$2:$AJ$121,$F78+T$72,Week))/(Week)</f>
        <v>7.5419999999999998</v>
      </c>
      <c r="U78" s="2">
        <f>SUM(INDEX('Weekly Scores'!$T$2:$AJ$121,$F78+U$72,1):INDEX('Weekly Scores'!$T$2:$AJ$121,$F78+U$72,Week))/(Week)</f>
        <v>5.9820000000000002</v>
      </c>
      <c r="V78" s="2">
        <f>SUM(INDEX('Weekly Scores'!$T$2:$AJ$121,$F78+V$72,1):INDEX('Weekly Scores'!$T$2:$AJ$121,$F78+V$72,Week))/(Week)</f>
        <v>7.2</v>
      </c>
      <c r="W78" s="2"/>
    </row>
    <row r="79" spans="1:23" x14ac:dyDescent="0.25">
      <c r="A79" t="s">
        <v>62</v>
      </c>
      <c r="B79">
        <f>SUM(INDEX('Weekly Scores'!$T$2:$AJ$121,$F79+B$72,1):INDEX('Weekly Scores'!$T$2:$AJ$121,$F79+B$72,13))</f>
        <v>276.91000000000003</v>
      </c>
      <c r="C79">
        <f>SUM(INDEX('Weekly Scores'!$T$2:$AJ$121,$F79+C$72,1):INDEX('Weekly Scores'!$T$2:$AJ$121,$F79+C$72,13))</f>
        <v>80.240000000000009</v>
      </c>
      <c r="D79">
        <f>SUM(INDEX('Weekly Scores'!$T$2:$AJ$121,$F79+D$72,1):INDEX('Weekly Scores'!$T$2:$AJ$121,$F79+D$72,13))</f>
        <v>82.59</v>
      </c>
      <c r="E79">
        <f>SUM(INDEX('Weekly Scores'!$T$2:$AJ$121,$F79+E$72,1):INDEX('Weekly Scores'!$T$2:$AJ$121,$F79+E$72,13))</f>
        <v>120.00999999999999</v>
      </c>
      <c r="F79" s="60">
        <f t="shared" si="8"/>
        <v>61</v>
      </c>
      <c r="H79" s="2">
        <f t="shared" si="5"/>
        <v>1.1438461538461517</v>
      </c>
      <c r="I79" s="2">
        <f t="shared" si="3"/>
        <v>-1.215923076923076</v>
      </c>
      <c r="J79" s="2">
        <f t="shared" si="3"/>
        <v>-0.33084615384615468</v>
      </c>
      <c r="K79" s="2">
        <f t="shared" si="3"/>
        <v>1.5436923076923081</v>
      </c>
      <c r="L79" s="2">
        <f t="shared" si="6"/>
        <v>1.1407692307692292</v>
      </c>
      <c r="N79">
        <f>Scores!Q29</f>
        <v>538.79</v>
      </c>
      <c r="O79">
        <f t="shared" si="4"/>
        <v>336.18999999999994</v>
      </c>
      <c r="P79" s="2">
        <f t="shared" si="7"/>
        <v>67.237999999999985</v>
      </c>
      <c r="Q79" s="2">
        <f t="shared" si="7"/>
        <v>13.447599999999998</v>
      </c>
      <c r="S79" s="2">
        <f>SUM(INDEX('Weekly Scores'!$T$2:$AJ$121,$F79+S$72,1):INDEX('Weekly Scores'!$T$2:$AJ$121,$F79+S$72,Week))/(Week)</f>
        <v>22.622000000000003</v>
      </c>
      <c r="T79" s="2">
        <f>SUM(INDEX('Weekly Scores'!$T$2:$AJ$121,$F79+T$72,1):INDEX('Weekly Scores'!$T$2:$AJ$121,$F79+T$72,Week))/(Week)</f>
        <v>3.9160000000000004</v>
      </c>
      <c r="U79" s="2">
        <f>SUM(INDEX('Weekly Scores'!$T$2:$AJ$121,$F79+U$72,1):INDEX('Weekly Scores'!$T$2:$AJ$121,$F79+U$72,Week))/(Week)</f>
        <v>7.2439999999999998</v>
      </c>
      <c r="V79" s="2">
        <f>SUM(INDEX('Weekly Scores'!$T$2:$AJ$121,$F79+V$72,1):INDEX('Weekly Scores'!$T$2:$AJ$121,$F79+V$72,Week))/(Week)</f>
        <v>10.862</v>
      </c>
      <c r="W79" s="2"/>
    </row>
    <row r="80" spans="1:23" x14ac:dyDescent="0.25">
      <c r="A80" t="s">
        <v>1648</v>
      </c>
      <c r="B80">
        <f>SUM(INDEX('Weekly Scores'!$T$2:$AJ$121,$F80+B$72,1):INDEX('Weekly Scores'!$T$2:$AJ$121,$F80+B$72,13))</f>
        <v>280.59000000000003</v>
      </c>
      <c r="C80">
        <f>SUM(INDEX('Weekly Scores'!$T$2:$AJ$121,$F80+C$72,1):INDEX('Weekly Scores'!$T$2:$AJ$121,$F80+C$72,13))</f>
        <v>112.19999999999997</v>
      </c>
      <c r="D80">
        <f>SUM(INDEX('Weekly Scores'!$T$2:$AJ$121,$F80+D$72,1):INDEX('Weekly Scores'!$T$2:$AJ$121,$F80+D$72,13))</f>
        <v>101.24000000000001</v>
      </c>
      <c r="E80">
        <f>SUM(INDEX('Weekly Scores'!$T$2:$AJ$121,$F80+E$72,1):INDEX('Weekly Scores'!$T$2:$AJ$121,$F80+E$72,13))</f>
        <v>108.69000000000003</v>
      </c>
      <c r="F80" s="60">
        <f t="shared" si="8"/>
        <v>73</v>
      </c>
      <c r="H80" s="2">
        <f t="shared" si="5"/>
        <v>1.4269230769230745</v>
      </c>
      <c r="I80" s="2">
        <f t="shared" si="3"/>
        <v>1.2425384615384596</v>
      </c>
      <c r="J80" s="2">
        <f t="shared" si="3"/>
        <v>1.1037692307692311</v>
      </c>
      <c r="K80" s="2">
        <f t="shared" si="3"/>
        <v>0.6729230769230794</v>
      </c>
      <c r="L80" s="2">
        <f t="shared" si="6"/>
        <v>4.4461538461538446</v>
      </c>
      <c r="N80">
        <f>Scores!Q30</f>
        <v>520.24</v>
      </c>
      <c r="O80">
        <f t="shared" si="4"/>
        <v>310.30999999999995</v>
      </c>
      <c r="P80" s="2">
        <f t="shared" si="7"/>
        <v>62.061999999999991</v>
      </c>
      <c r="Q80" s="2">
        <f t="shared" si="7"/>
        <v>12.412399999999998</v>
      </c>
      <c r="S80" s="2">
        <f>SUM(INDEX('Weekly Scores'!$T$2:$AJ$121,$F80+S$72,1):INDEX('Weekly Scores'!$T$2:$AJ$121,$F80+S$72,Week))/(Week)</f>
        <v>22.86</v>
      </c>
      <c r="T80" s="2">
        <f>SUM(INDEX('Weekly Scores'!$T$2:$AJ$121,$F80+T$72,1):INDEX('Weekly Scores'!$T$2:$AJ$121,$F80+T$72,Week))/(Week)</f>
        <v>6.9599999999999991</v>
      </c>
      <c r="U80" s="2">
        <f>SUM(INDEX('Weekly Scores'!$T$2:$AJ$121,$F80+U$72,1):INDEX('Weekly Scores'!$T$2:$AJ$121,$F80+U$72,Week))/(Week)</f>
        <v>8.6359999999999992</v>
      </c>
      <c r="V80" s="2">
        <f>SUM(INDEX('Weekly Scores'!$T$2:$AJ$121,$F80+V$72,1):INDEX('Weekly Scores'!$T$2:$AJ$121,$F80+V$72,Week))/(Week)</f>
        <v>8.1980000000000004</v>
      </c>
      <c r="W80" s="2"/>
    </row>
    <row r="81" spans="1:23" x14ac:dyDescent="0.25">
      <c r="A81" t="s">
        <v>23</v>
      </c>
      <c r="B81">
        <f>SUM(INDEX('Weekly Scores'!$T$2:$AJ$121,$F81+B$72,1):INDEX('Weekly Scores'!$T$2:$AJ$121,$F81+B$72,13))</f>
        <v>231.88000000000002</v>
      </c>
      <c r="C81">
        <f>SUM(INDEX('Weekly Scores'!$T$2:$AJ$121,$F81+C$72,1):INDEX('Weekly Scores'!$T$2:$AJ$121,$F81+C$72,13))</f>
        <v>109.50999999999999</v>
      </c>
      <c r="D81">
        <f>SUM(INDEX('Weekly Scores'!$T$2:$AJ$121,$F81+D$72,1):INDEX('Weekly Scores'!$T$2:$AJ$121,$F81+D$72,13))</f>
        <v>57.739999999999995</v>
      </c>
      <c r="E81">
        <f>SUM(INDEX('Weekly Scores'!$T$2:$AJ$121,$F81+E$72,1):INDEX('Weekly Scores'!$T$2:$AJ$121,$F81+E$72,13))</f>
        <v>78.919999999999987</v>
      </c>
      <c r="F81" s="60">
        <f t="shared" si="8"/>
        <v>85</v>
      </c>
      <c r="H81" s="2">
        <f t="shared" si="5"/>
        <v>-2.3200000000000038</v>
      </c>
      <c r="I81" s="2">
        <f t="shared" si="3"/>
        <v>1.0356153846153839</v>
      </c>
      <c r="J81" s="2">
        <f t="shared" si="3"/>
        <v>-2.2423846153846165</v>
      </c>
      <c r="K81" s="2">
        <f t="shared" si="3"/>
        <v>-1.6170769230769233</v>
      </c>
      <c r="L81" s="2">
        <f t="shared" si="6"/>
        <v>-5.1438461538461597</v>
      </c>
      <c r="N81">
        <f>Scores!Q31</f>
        <v>471.99</v>
      </c>
      <c r="O81">
        <f t="shared" si="4"/>
        <v>335.33000000000004</v>
      </c>
      <c r="P81" s="2">
        <f t="shared" si="7"/>
        <v>67.066000000000003</v>
      </c>
      <c r="Q81" s="2">
        <f t="shared" si="7"/>
        <v>13.4132</v>
      </c>
      <c r="S81" s="2">
        <f>SUM(INDEX('Weekly Scores'!$T$2:$AJ$121,$F81+S$72,1):INDEX('Weekly Scores'!$T$2:$AJ$121,$F81+S$72,Week))/(Week)</f>
        <v>15.378</v>
      </c>
      <c r="T81" s="2">
        <f>SUM(INDEX('Weekly Scores'!$T$2:$AJ$121,$F81+T$72,1):INDEX('Weekly Scores'!$T$2:$AJ$121,$F81+T$72,Week))/(Week)</f>
        <v>8.4619999999999997</v>
      </c>
      <c r="U81" s="2">
        <f>SUM(INDEX('Weekly Scores'!$T$2:$AJ$121,$F81+U$72,1):INDEX('Weekly Scores'!$T$2:$AJ$121,$F81+U$72,Week))/(Week)</f>
        <v>1.6920000000000002</v>
      </c>
      <c r="V81" s="2">
        <f>SUM(INDEX('Weekly Scores'!$T$2:$AJ$121,$F81+V$72,1):INDEX('Weekly Scores'!$T$2:$AJ$121,$F81+V$72,Week))/(Week)</f>
        <v>4.8940000000000001</v>
      </c>
      <c r="W81" s="2"/>
    </row>
    <row r="82" spans="1:23" x14ac:dyDescent="0.25">
      <c r="A82" t="s">
        <v>49</v>
      </c>
      <c r="B82">
        <f>SUM(INDEX('Weekly Scores'!$T$2:$AJ$121,$F82+B$72,1):INDEX('Weekly Scores'!$T$2:$AJ$121,$F82+B$72,13))</f>
        <v>278.24</v>
      </c>
      <c r="C82">
        <f>SUM(INDEX('Weekly Scores'!$T$2:$AJ$121,$F82+C$72,1):INDEX('Weekly Scores'!$T$2:$AJ$121,$F82+C$72,13))</f>
        <v>94.16</v>
      </c>
      <c r="D82">
        <f>SUM(INDEX('Weekly Scores'!$T$2:$AJ$121,$F82+D$72,1):INDEX('Weekly Scores'!$T$2:$AJ$121,$F82+D$72,13))</f>
        <v>58.109999999999992</v>
      </c>
      <c r="E82">
        <f>SUM(INDEX('Weekly Scores'!$T$2:$AJ$121,$F82+E$72,1):INDEX('Weekly Scores'!$T$2:$AJ$121,$F82+E$72,13))</f>
        <v>112.29999999999998</v>
      </c>
      <c r="F82" s="60">
        <f t="shared" si="8"/>
        <v>97</v>
      </c>
      <c r="H82" s="2">
        <f t="shared" si="5"/>
        <v>1.2461538461538417</v>
      </c>
      <c r="I82" s="2">
        <f t="shared" si="3"/>
        <v>-0.14515384615384619</v>
      </c>
      <c r="J82" s="2">
        <f t="shared" si="3"/>
        <v>-2.213923076923078</v>
      </c>
      <c r="K82" s="2">
        <f t="shared" si="3"/>
        <v>0.95061538461538486</v>
      </c>
      <c r="L82" s="2">
        <f t="shared" si="6"/>
        <v>-0.16230769230769759</v>
      </c>
      <c r="N82">
        <f>Scores!Q32</f>
        <v>593.02</v>
      </c>
      <c r="O82">
        <f t="shared" si="4"/>
        <v>422.61</v>
      </c>
      <c r="P82" s="2">
        <f t="shared" si="7"/>
        <v>84.522000000000006</v>
      </c>
      <c r="Q82" s="2">
        <f t="shared" si="7"/>
        <v>16.904400000000003</v>
      </c>
      <c r="S82" s="2">
        <f>SUM(INDEX('Weekly Scores'!$T$2:$AJ$121,$F82+S$72,1):INDEX('Weekly Scores'!$T$2:$AJ$121,$F82+S$72,Week))/(Week)</f>
        <v>20.206</v>
      </c>
      <c r="T82" s="2">
        <f>SUM(INDEX('Weekly Scores'!$T$2:$AJ$121,$F82+T$72,1):INDEX('Weekly Scores'!$T$2:$AJ$121,$F82+T$72,Week))/(Week)</f>
        <v>7.6340000000000003</v>
      </c>
      <c r="U82" s="2">
        <f>SUM(INDEX('Weekly Scores'!$T$2:$AJ$121,$F82+U$72,1):INDEX('Weekly Scores'!$T$2:$AJ$121,$F82+U$72,Week))/(Week)</f>
        <v>3.1659999999999999</v>
      </c>
      <c r="V82" s="2">
        <f>SUM(INDEX('Weekly Scores'!$T$2:$AJ$121,$F82+V$72,1):INDEX('Weekly Scores'!$T$2:$AJ$121,$F82+V$72,Week))/(Week)</f>
        <v>9.86</v>
      </c>
      <c r="W82" s="2"/>
    </row>
    <row r="83" spans="1:23" x14ac:dyDescent="0.25">
      <c r="A83" t="s">
        <v>44</v>
      </c>
      <c r="B83">
        <f>SUM(INDEX('Weekly Scores'!$T$2:$AJ$121,$F83+B$72,1):INDEX('Weekly Scores'!$T$2:$AJ$121,$F83+B$72,13))</f>
        <v>222.79000000000002</v>
      </c>
      <c r="C83">
        <f>SUM(INDEX('Weekly Scores'!$T$2:$AJ$121,$F83+C$72,1):INDEX('Weekly Scores'!$T$2:$AJ$121,$F83+C$72,13))</f>
        <v>84.52</v>
      </c>
      <c r="D83">
        <f>SUM(INDEX('Weekly Scores'!$T$2:$AJ$121,$F83+D$72,1):INDEX('Weekly Scores'!$T$2:$AJ$121,$F83+D$72,13))</f>
        <v>69.97999999999999</v>
      </c>
      <c r="E83">
        <f>SUM(INDEX('Weekly Scores'!$T$2:$AJ$121,$F83+E$72,1):INDEX('Weekly Scores'!$T$2:$AJ$121,$F83+E$72,13))</f>
        <v>100.16</v>
      </c>
      <c r="F83" s="60">
        <f t="shared" si="8"/>
        <v>109</v>
      </c>
      <c r="H83" s="2">
        <f t="shared" si="5"/>
        <v>-3.0192307692307736</v>
      </c>
      <c r="I83" s="2">
        <f t="shared" si="3"/>
        <v>-0.88669230769230811</v>
      </c>
      <c r="J83" s="2">
        <f t="shared" si="3"/>
        <v>-1.3008461538461553</v>
      </c>
      <c r="K83" s="2">
        <f t="shared" si="3"/>
        <v>1.6769230769231314E-2</v>
      </c>
      <c r="L83" s="2">
        <f t="shared" si="6"/>
        <v>-5.1900000000000057</v>
      </c>
      <c r="N83">
        <f>Scores!Q33</f>
        <v>422.89</v>
      </c>
      <c r="O83">
        <f t="shared" si="4"/>
        <v>252.74999999999997</v>
      </c>
      <c r="P83" s="2">
        <f t="shared" si="7"/>
        <v>50.55</v>
      </c>
      <c r="Q83" s="2">
        <f t="shared" si="7"/>
        <v>10.11</v>
      </c>
      <c r="S83" s="2">
        <f>SUM(INDEX('Weekly Scores'!$T$2:$AJ$121,$F83+S$72,1):INDEX('Weekly Scores'!$T$2:$AJ$121,$F83+S$72,Week))/(Week)</f>
        <v>15.278</v>
      </c>
      <c r="T83" s="2">
        <f>SUM(INDEX('Weekly Scores'!$T$2:$AJ$121,$F83+T$72,1):INDEX('Weekly Scores'!$T$2:$AJ$121,$F83+T$72,Week))/(Week)</f>
        <v>6.31</v>
      </c>
      <c r="U83" s="2">
        <f>SUM(INDEX('Weekly Scores'!$T$2:$AJ$121,$F83+U$72,1):INDEX('Weekly Scores'!$T$2:$AJ$121,$F83+U$72,Week))/(Week)</f>
        <v>4.38</v>
      </c>
      <c r="V83" s="2">
        <f>SUM(INDEX('Weekly Scores'!$T$2:$AJ$121,$F83+V$72,1):INDEX('Weekly Scores'!$T$2:$AJ$121,$F83+V$72,Week))/(Week)</f>
        <v>8.0239999999999991</v>
      </c>
      <c r="W83" s="2"/>
    </row>
    <row r="84" spans="1:23" x14ac:dyDescent="0.25">
      <c r="B84" s="2">
        <f>SUM(B74:B83)/((13)*10)</f>
        <v>20.156923076923082</v>
      </c>
      <c r="C84" s="2">
        <f>SUM(C74:C83)/((13)*10)</f>
        <v>7.3882307692307689</v>
      </c>
      <c r="D84" s="2">
        <f>SUM(D74:D83)/((13)*10)</f>
        <v>6.6839230769230777</v>
      </c>
      <c r="E84" s="2">
        <f>SUM(E74:E83)/((13)*10)</f>
        <v>7.6878461538461531</v>
      </c>
      <c r="S84" s="2">
        <f>AVERAGE(S74:S83)</f>
        <v>19.780399999999997</v>
      </c>
      <c r="T84" s="2">
        <f>AVERAGE(T74:T83)</f>
        <v>7.6269999999999998</v>
      </c>
      <c r="U84" s="2">
        <f>AVERAGE(U74:U83)</f>
        <v>6.766</v>
      </c>
      <c r="V84" s="2">
        <f>AVERAGE(V74:V83)</f>
        <v>7.6744000000000003</v>
      </c>
    </row>
    <row r="86" spans="1:23" x14ac:dyDescent="0.25">
      <c r="B86" t="s">
        <v>47</v>
      </c>
      <c r="C86" t="s">
        <v>87</v>
      </c>
      <c r="D86" t="s">
        <v>47</v>
      </c>
      <c r="E86" t="s">
        <v>87</v>
      </c>
      <c r="F86" t="s">
        <v>47</v>
      </c>
      <c r="G86" t="s">
        <v>87</v>
      </c>
      <c r="I86" t="s">
        <v>47</v>
      </c>
      <c r="J86" t="s">
        <v>87</v>
      </c>
    </row>
    <row r="87" spans="1:23" x14ac:dyDescent="0.25">
      <c r="A87" t="s">
        <v>20</v>
      </c>
      <c r="B87" s="58">
        <f>SUMIFS(Finals!$E$2:$E$501,Finals!$S$2:$S$501,'Team Breakdown'!$A74,Finals!$R$2:$R$501,'Team Breakdown'!B$86)</f>
        <v>127.6</v>
      </c>
      <c r="C87" s="58">
        <f>SUMIFS(Finals!$E$2:$E$501,Finals!$S$2:$S$501,'Team Breakdown'!$A74,Finals!$R$2:$R$501,'Team Breakdown'!C$86)</f>
        <v>131.4</v>
      </c>
      <c r="D87" s="2">
        <f>AVERAGEIFS(Finals!$E$2:$E$501,Finals!$S$2:$S$501,'Team Breakdown'!$A74,Finals!$R$2:$R$501,'Team Breakdown'!D$86)</f>
        <v>12.76</v>
      </c>
      <c r="E87" s="2">
        <f>AVERAGEIFS(Finals!$E$2:$E$501,Finals!$S$2:$S$501,'Team Breakdown'!$A74,Finals!$R$2:$R$501,'Team Breakdown'!E$86)</f>
        <v>9.3857142857142861</v>
      </c>
      <c r="F87">
        <f>B87/D87</f>
        <v>10</v>
      </c>
      <c r="G87">
        <f>C87/E87</f>
        <v>14</v>
      </c>
      <c r="I87" s="2">
        <f>D87-F$98</f>
        <v>0.59714285714285786</v>
      </c>
      <c r="J87" s="2">
        <f>E87-G$98</f>
        <v>-0.93798941798941726</v>
      </c>
      <c r="K87" s="2">
        <f>(SUM(B87:C87)/SUM(F87:G87)-H$98)*6</f>
        <v>-2.0200000000000067</v>
      </c>
    </row>
    <row r="88" spans="1:23" x14ac:dyDescent="0.25">
      <c r="A88" t="s">
        <v>16</v>
      </c>
      <c r="B88" s="58">
        <f>SUMIFS(Finals!$E$2:$E$501,Finals!$S$2:$S$501,'Team Breakdown'!$A75,Finals!$R$2:$R$501,'Team Breakdown'!B$86)</f>
        <v>124.7</v>
      </c>
      <c r="C88" s="58">
        <f>SUMIFS(Finals!$E$2:$E$501,Finals!$S$2:$S$501,'Team Breakdown'!$A75,Finals!$R$2:$R$501,'Team Breakdown'!C$86)</f>
        <v>160.1</v>
      </c>
      <c r="D88" s="2">
        <f>AVERAGEIFS(Finals!$E$2:$E$501,Finals!$S$2:$S$501,'Team Breakdown'!$A75,Finals!$R$2:$R$501,'Team Breakdown'!D$86)</f>
        <v>12.47</v>
      </c>
      <c r="E88" s="2">
        <f>AVERAGEIFS(Finals!$E$2:$E$501,Finals!$S$2:$S$501,'Team Breakdown'!$A75,Finals!$R$2:$R$501,'Team Breakdown'!E$86)</f>
        <v>11.435714285714285</v>
      </c>
      <c r="F88">
        <f t="shared" ref="F88:F96" si="9">B88/D88</f>
        <v>10</v>
      </c>
      <c r="G88">
        <f t="shared" ref="G88:G96" si="10">C88/E88</f>
        <v>14</v>
      </c>
      <c r="I88" s="2">
        <f t="shared" ref="I88:J96" si="11">D88-F$98</f>
        <v>0.30714285714285872</v>
      </c>
      <c r="J88" s="2">
        <f t="shared" si="11"/>
        <v>1.1120105820105817</v>
      </c>
      <c r="K88" s="2">
        <f t="shared" ref="K88:K96" si="12">(SUM(B88:C88)/SUM(F88:G88)-H$98)*6</f>
        <v>4.43</v>
      </c>
    </row>
    <row r="89" spans="1:23" x14ac:dyDescent="0.25">
      <c r="A89" t="s">
        <v>55</v>
      </c>
      <c r="B89" s="58">
        <f>SUMIFS(Finals!$E$2:$E$501,Finals!$S$2:$S$501,'Team Breakdown'!$A76,Finals!$R$2:$R$501,'Team Breakdown'!B$86)</f>
        <v>214.89999999999998</v>
      </c>
      <c r="C89" s="58">
        <f>SUMIFS(Finals!$E$2:$E$501,Finals!$S$2:$S$501,'Team Breakdown'!$A76,Finals!$R$2:$R$501,'Team Breakdown'!C$86)</f>
        <v>166.2</v>
      </c>
      <c r="D89" s="2">
        <f>AVERAGEIFS(Finals!$E$2:$E$501,Finals!$S$2:$S$501,'Team Breakdown'!$A76,Finals!$R$2:$R$501,'Team Breakdown'!D$86)</f>
        <v>17.908333333333331</v>
      </c>
      <c r="E89" s="2">
        <f>AVERAGEIFS(Finals!$E$2:$E$501,Finals!$S$2:$S$501,'Team Breakdown'!$A76,Finals!$R$2:$R$501,'Team Breakdown'!E$86)</f>
        <v>13.85</v>
      </c>
      <c r="F89">
        <f>B89/D89</f>
        <v>12</v>
      </c>
      <c r="G89">
        <f t="shared" si="10"/>
        <v>12</v>
      </c>
      <c r="I89" s="2">
        <f>D89-F$98</f>
        <v>5.7454761904761895</v>
      </c>
      <c r="J89" s="2">
        <f t="shared" si="11"/>
        <v>3.5262962962962963</v>
      </c>
      <c r="K89" s="2">
        <f>(SUM(B89:C89)/SUM(F89:G89)-H$98)*6</f>
        <v>28.504999999999985</v>
      </c>
    </row>
    <row r="90" spans="1:23" x14ac:dyDescent="0.25">
      <c r="A90" t="s">
        <v>35</v>
      </c>
      <c r="B90" s="58">
        <f>SUMIFS(Finals!$E$2:$E$501,Finals!$S$2:$S$501,'Team Breakdown'!$A77,Finals!$R$2:$R$501,'Team Breakdown'!B$86)</f>
        <v>107.6</v>
      </c>
      <c r="C90" s="58">
        <f>SUMIFS(Finals!$E$2:$E$501,Finals!$S$2:$S$501,'Team Breakdown'!$A77,Finals!$R$2:$R$501,'Team Breakdown'!C$86)</f>
        <v>140.29999999999998</v>
      </c>
      <c r="D90" s="2">
        <f>AVERAGEIFS(Finals!$E$2:$E$501,Finals!$S$2:$S$501,'Team Breakdown'!$A77,Finals!$R$2:$R$501,'Team Breakdown'!D$86)</f>
        <v>9.7818181818181813</v>
      </c>
      <c r="E90" s="2">
        <f>AVERAGEIFS(Finals!$E$2:$E$501,Finals!$S$2:$S$501,'Team Breakdown'!$A77,Finals!$R$2:$R$501,'Team Breakdown'!E$86)</f>
        <v>10.792307692307691</v>
      </c>
      <c r="F90">
        <f t="shared" si="9"/>
        <v>11</v>
      </c>
      <c r="G90">
        <f t="shared" si="10"/>
        <v>13</v>
      </c>
      <c r="I90" s="2">
        <f t="shared" si="11"/>
        <v>-2.3810389610389606</v>
      </c>
      <c r="J90" s="2">
        <f t="shared" si="11"/>
        <v>0.46860398860398789</v>
      </c>
      <c r="K90" s="2">
        <f t="shared" si="12"/>
        <v>-4.7950000000000088</v>
      </c>
    </row>
    <row r="91" spans="1:23" x14ac:dyDescent="0.25">
      <c r="A91" t="s">
        <v>27</v>
      </c>
      <c r="B91" s="58">
        <f>SUMIFS(Finals!$E$2:$E$501,Finals!$S$2:$S$501,'Team Breakdown'!$A78,Finals!$R$2:$R$501,'Team Breakdown'!B$86)</f>
        <v>83.600000000000009</v>
      </c>
      <c r="C91" s="58">
        <f>SUMIFS(Finals!$E$2:$E$501,Finals!$S$2:$S$501,'Team Breakdown'!$A78,Finals!$R$2:$R$501,'Team Breakdown'!C$86)</f>
        <v>159.4</v>
      </c>
      <c r="D91" s="2">
        <f>AVERAGEIFS(Finals!$E$2:$E$501,Finals!$S$2:$S$501,'Team Breakdown'!$A78,Finals!$R$2:$R$501,'Team Breakdown'!D$86)</f>
        <v>9.2888888888888896</v>
      </c>
      <c r="E91" s="2">
        <f>AVERAGEIFS(Finals!$E$2:$E$501,Finals!$S$2:$S$501,'Team Breakdown'!$A78,Finals!$R$2:$R$501,'Team Breakdown'!E$86)</f>
        <v>10.626666666666667</v>
      </c>
      <c r="F91">
        <f t="shared" si="9"/>
        <v>9</v>
      </c>
      <c r="G91">
        <f>C91/E91</f>
        <v>15</v>
      </c>
      <c r="I91" s="2">
        <f t="shared" si="11"/>
        <v>-2.8739682539682523</v>
      </c>
      <c r="J91" s="2">
        <f t="shared" si="11"/>
        <v>0.30296296296296354</v>
      </c>
      <c r="K91" s="2">
        <f t="shared" si="12"/>
        <v>-6.0200000000000031</v>
      </c>
    </row>
    <row r="92" spans="1:23" x14ac:dyDescent="0.25">
      <c r="A92" t="s">
        <v>62</v>
      </c>
      <c r="B92" s="58">
        <f>SUMIFS(Finals!$E$2:$E$501,Finals!$S$2:$S$501,'Team Breakdown'!$A79,Finals!$R$2:$R$501,'Team Breakdown'!B$86)</f>
        <v>157.19999999999999</v>
      </c>
      <c r="C92" s="58">
        <f>SUMIFS(Finals!$E$2:$E$501,Finals!$S$2:$S$501,'Team Breakdown'!$A79,Finals!$R$2:$R$501,'Team Breakdown'!C$86)</f>
        <v>92.2</v>
      </c>
      <c r="D92" s="2">
        <f>AVERAGEIFS(Finals!$E$2:$E$501,Finals!$S$2:$S$501,'Team Breakdown'!$A79,Finals!$R$2:$R$501,'Team Breakdown'!D$86)</f>
        <v>13.1</v>
      </c>
      <c r="E92" s="2">
        <f>AVERAGEIFS(Finals!$E$2:$E$501,Finals!$S$2:$S$501,'Team Breakdown'!$A79,Finals!$R$2:$R$501,'Team Breakdown'!E$86)</f>
        <v>7.6833333333333336</v>
      </c>
      <c r="F92">
        <f t="shared" si="9"/>
        <v>12</v>
      </c>
      <c r="G92">
        <f t="shared" si="10"/>
        <v>12</v>
      </c>
      <c r="I92" s="2">
        <f t="shared" si="11"/>
        <v>0.93714285714285772</v>
      </c>
      <c r="J92" s="2">
        <f t="shared" si="11"/>
        <v>-2.6403703703703698</v>
      </c>
      <c r="K92" s="2">
        <f t="shared" si="12"/>
        <v>-4.4200000000000088</v>
      </c>
    </row>
    <row r="93" spans="1:23" x14ac:dyDescent="0.25">
      <c r="A93" t="s">
        <v>1648</v>
      </c>
      <c r="B93" s="58">
        <f>SUMIFS(Finals!$E$2:$E$501,Finals!$S$2:$S$501,'Team Breakdown'!$A80,Finals!$R$2:$R$501,'Team Breakdown'!B$86)</f>
        <v>130.19999999999999</v>
      </c>
      <c r="C93" s="58">
        <f>SUMIFS(Finals!$E$2:$E$501,Finals!$S$2:$S$501,'Team Breakdown'!$A80,Finals!$R$2:$R$501,'Team Breakdown'!C$86)</f>
        <v>103.8</v>
      </c>
      <c r="D93" s="2">
        <f>AVERAGEIFS(Finals!$E$2:$E$501,Finals!$S$2:$S$501,'Team Breakdown'!$A80,Finals!$R$2:$R$501,'Team Breakdown'!D$86)</f>
        <v>10.85</v>
      </c>
      <c r="E93" s="2">
        <f>AVERAGEIFS(Finals!$E$2:$E$501,Finals!$S$2:$S$501,'Team Breakdown'!$A80,Finals!$R$2:$R$501,'Team Breakdown'!E$86)</f>
        <v>8.65</v>
      </c>
      <c r="F93">
        <f t="shared" si="9"/>
        <v>12</v>
      </c>
      <c r="G93">
        <f t="shared" si="10"/>
        <v>12</v>
      </c>
      <c r="I93" s="2">
        <f t="shared" si="11"/>
        <v>-1.3128571428571423</v>
      </c>
      <c r="J93" s="2">
        <f t="shared" si="11"/>
        <v>-1.673703703703703</v>
      </c>
      <c r="K93" s="2">
        <f>(SUM(B93:C93)/SUM(F93:G93)-H$98)*6</f>
        <v>-8.2700000000000031</v>
      </c>
    </row>
    <row r="94" spans="1:23" x14ac:dyDescent="0.25">
      <c r="A94" t="s">
        <v>23</v>
      </c>
      <c r="B94" s="58">
        <f>SUMIFS(Finals!$E$2:$E$501,Finals!$S$2:$S$501,'Team Breakdown'!$A81,Finals!$R$2:$R$501,'Team Breakdown'!B$86)</f>
        <v>103.1</v>
      </c>
      <c r="C94" s="58">
        <f>SUMIFS(Finals!$E$2:$E$501,Finals!$S$2:$S$501,'Team Breakdown'!$A81,Finals!$R$2:$R$501,'Team Breakdown'!C$86)</f>
        <v>156</v>
      </c>
      <c r="D94" s="2">
        <f>AVERAGEIFS(Finals!$E$2:$E$501,Finals!$S$2:$S$501,'Team Breakdown'!$A81,Finals!$R$2:$R$501,'Team Breakdown'!D$86)</f>
        <v>11.455555555555556</v>
      </c>
      <c r="E94" s="2">
        <f>AVERAGEIFS(Finals!$E$2:$E$501,Finals!$S$2:$S$501,'Team Breakdown'!$A81,Finals!$R$2:$R$501,'Team Breakdown'!E$86)</f>
        <v>10.4</v>
      </c>
      <c r="F94">
        <f t="shared" si="9"/>
        <v>9</v>
      </c>
      <c r="G94">
        <f t="shared" si="10"/>
        <v>15</v>
      </c>
      <c r="I94" s="2">
        <f t="shared" si="11"/>
        <v>-0.70730158730158621</v>
      </c>
      <c r="J94" s="2">
        <f t="shared" si="11"/>
        <v>7.6296296296296973E-2</v>
      </c>
      <c r="K94" s="2">
        <f t="shared" si="12"/>
        <v>-1.9949999999999974</v>
      </c>
    </row>
    <row r="95" spans="1:23" x14ac:dyDescent="0.25">
      <c r="A95" t="s">
        <v>49</v>
      </c>
      <c r="B95" s="58">
        <f>SUMIFS(Finals!$E$2:$E$501,Finals!$S$2:$S$501,'Team Breakdown'!$A82,Finals!$R$2:$R$501,'Team Breakdown'!B$86)</f>
        <v>155.5</v>
      </c>
      <c r="C95" s="58">
        <f>SUMIFS(Finals!$E$2:$E$501,Finals!$S$2:$S$501,'Team Breakdown'!$A82,Finals!$R$2:$R$501,'Team Breakdown'!C$86)</f>
        <v>161.79999999999995</v>
      </c>
      <c r="D95" s="2">
        <f>AVERAGEIFS(Finals!$E$2:$E$501,Finals!$S$2:$S$501,'Team Breakdown'!$A82,Finals!$R$2:$R$501,'Team Breakdown'!D$86)</f>
        <v>15.55</v>
      </c>
      <c r="E95" s="2">
        <f>AVERAGEIFS(Finals!$E$2:$E$501,Finals!$S$2:$S$501,'Team Breakdown'!$A82,Finals!$R$2:$R$501,'Team Breakdown'!E$86)</f>
        <v>11.557142857142853</v>
      </c>
      <c r="F95">
        <f t="shared" si="9"/>
        <v>10</v>
      </c>
      <c r="G95">
        <f t="shared" si="10"/>
        <v>14</v>
      </c>
      <c r="I95" s="2">
        <f t="shared" si="11"/>
        <v>3.3871428571428588</v>
      </c>
      <c r="J95" s="2">
        <f t="shared" si="11"/>
        <v>1.23343915343915</v>
      </c>
      <c r="K95" s="2">
        <f t="shared" si="12"/>
        <v>12.554999999999986</v>
      </c>
    </row>
    <row r="96" spans="1:23" x14ac:dyDescent="0.25">
      <c r="A96" t="s">
        <v>44</v>
      </c>
      <c r="B96" s="58">
        <f>SUMIFS(Finals!$E$2:$E$501,Finals!$S$2:$S$501,'Team Breakdown'!$A83,Finals!$R$2:$R$501,'Team Breakdown'!B$86)</f>
        <v>72.7</v>
      </c>
      <c r="C96" s="58">
        <f>SUMIFS(Finals!$E$2:$E$501,Finals!$S$2:$S$501,'Team Breakdown'!$A83,Finals!$R$2:$R$501,'Team Breakdown'!C$86)</f>
        <v>122.49999999999999</v>
      </c>
      <c r="D96" s="2">
        <f>AVERAGEIFS(Finals!$E$2:$E$501,Finals!$S$2:$S$501,'Team Breakdown'!$A83,Finals!$R$2:$R$501,'Team Breakdown'!D$86)</f>
        <v>7.2700000000000005</v>
      </c>
      <c r="E96" s="2">
        <f>AVERAGEIFS(Finals!$E$2:$E$501,Finals!$S$2:$S$501,'Team Breakdown'!$A83,Finals!$R$2:$R$501,'Team Breakdown'!E$86)</f>
        <v>8.7499999999999982</v>
      </c>
      <c r="F96">
        <f t="shared" si="9"/>
        <v>10</v>
      </c>
      <c r="G96">
        <f t="shared" si="10"/>
        <v>14.000000000000002</v>
      </c>
      <c r="I96" s="2">
        <f t="shared" si="11"/>
        <v>-4.8928571428571415</v>
      </c>
      <c r="J96" s="2">
        <f t="shared" si="11"/>
        <v>-1.5737037037037052</v>
      </c>
      <c r="K96" s="2">
        <f t="shared" si="12"/>
        <v>-17.970000000000006</v>
      </c>
    </row>
    <row r="97" spans="1:13" x14ac:dyDescent="0.25">
      <c r="B97">
        <f>SUM(B87:B96)</f>
        <v>1277.0999999999999</v>
      </c>
      <c r="C97">
        <f>SUM(C87:C96)</f>
        <v>1393.7</v>
      </c>
      <c r="F97">
        <f>SUM(F87:F96)</f>
        <v>105</v>
      </c>
      <c r="G97">
        <f>SUM(G87:G96)</f>
        <v>135</v>
      </c>
    </row>
    <row r="98" spans="1:13" ht="15.75" thickBot="1" x14ac:dyDescent="0.3">
      <c r="F98" s="2">
        <f>B97/F97</f>
        <v>12.162857142857142</v>
      </c>
      <c r="G98" s="2">
        <f>C97/G97</f>
        <v>10.323703703703703</v>
      </c>
      <c r="H98" s="2">
        <f>SUM(B97:C97)/SUM(F97:G97)</f>
        <v>11.128333333333334</v>
      </c>
      <c r="I98" s="2">
        <f>H98*6</f>
        <v>66.77000000000001</v>
      </c>
    </row>
    <row r="99" spans="1:13" ht="15.75" thickBot="1" x14ac:dyDescent="0.3">
      <c r="E99" s="67">
        <v>13</v>
      </c>
      <c r="F99" s="26">
        <f>F97-($E$99)*20</f>
        <v>-155</v>
      </c>
      <c r="G99" s="31">
        <f>G97-($E$99)*30</f>
        <v>-255</v>
      </c>
    </row>
    <row r="101" spans="1:13" x14ac:dyDescent="0.25">
      <c r="A101" t="s">
        <v>47</v>
      </c>
      <c r="B101" s="37">
        <v>1</v>
      </c>
      <c r="C101" s="37">
        <v>2</v>
      </c>
      <c r="D101" s="37">
        <v>3</v>
      </c>
      <c r="E101" s="37">
        <v>4</v>
      </c>
    </row>
    <row r="102" spans="1:13" x14ac:dyDescent="0.25">
      <c r="A102" t="s">
        <v>20</v>
      </c>
      <c r="B102" s="155">
        <f>IFERROR(INDEX('F Proj'!$O$2:$O$7669,MATCH($A102&amp;Week+Half_Week&amp;$A$101&amp;"-"&amp;B$101,'F Proj'!$N$2:$N$7669,0)),"")</f>
        <v>3</v>
      </c>
      <c r="C102" s="155">
        <f>IFERROR(INDEX('F Proj'!$O$2:$O$7669,MATCH($A102&amp;Week+Half_Week&amp;$A$101&amp;"-"&amp;C$101,'F Proj'!$N$2:$N$7669,0)),"")</f>
        <v>6</v>
      </c>
      <c r="D102" s="155">
        <f>IFERROR(INDEX('F Proj'!$O$2:$O$7669,MATCH($A102&amp;Week+Half_Week&amp;$A$101&amp;"-"&amp;D$101,'F Proj'!$N$2:$N$7669,0)),"")</f>
        <v>14</v>
      </c>
      <c r="E102" s="155" t="str">
        <f>IFERROR(INDEX('F Proj'!$O$2:$O$7669,MATCH($A102&amp;Week+Half_Week&amp;$A$101&amp;"-"&amp;E$101,'F Proj'!$N$2:$N$7669,0)),"")</f>
        <v/>
      </c>
      <c r="J102" s="155" t="str">
        <f>IF(ISERROR(MATCH(INDEX('F Proj'!$B$2:$B$7669,MATCH($A102&amp;Week+Half_Week&amp;$A$101&amp;"-"&amp;B$101,'F Proj'!$N$2:$N$7669,0))&amp;(Week+Half_Week),Finals!$K$2:$K$501,0)),"Bench","Starter")</f>
        <v>Starter</v>
      </c>
      <c r="K102" s="155" t="str">
        <f>IF(ISERROR(MATCH(INDEX('F Proj'!$B$2:$B$7669,MATCH($A102&amp;Week+Half_Week&amp;$A$101&amp;"-"&amp;C$101,'F Proj'!$N$2:$N$7669,0))&amp;(Week+Half_Week),Finals!$K$2:$K$501,0)),"Bench","Starter")</f>
        <v>Starter</v>
      </c>
      <c r="L102" s="155" t="str">
        <f>IF(ISERROR(MATCH(INDEX('F Proj'!$B$2:$B$7669,MATCH($A102&amp;Week+Half_Week&amp;$A$101&amp;"-"&amp;D$101,'F Proj'!$N$2:$N$7669,0))&amp;(Week+Half_Week),Finals!$K$2:$K$501,0)),"Bench","Starter")</f>
        <v>Starter</v>
      </c>
      <c r="M102" s="155" t="str">
        <f>IF(ISERROR(MATCH(INDEX('F Proj'!$B$2:$B$7669,MATCH($A102&amp;Week+Half_Week&amp;$A$101&amp;"-"&amp;E$101,'F Proj'!$N$2:$N$7669,0))&amp;(Week+Half_Week),Finals!$K$2:$K$501,0)),"Bench","Starter")</f>
        <v>Bench</v>
      </c>
    </row>
    <row r="103" spans="1:13" x14ac:dyDescent="0.25">
      <c r="A103" t="s">
        <v>16</v>
      </c>
      <c r="B103" s="155">
        <f>IFERROR(INDEX('F Proj'!$O$2:$O$7669,MATCH($A103&amp;Week+Half_Week&amp;$A$101&amp;"-"&amp;B$101,'F Proj'!$N$2:$N$7669,0)),"")</f>
        <v>15</v>
      </c>
      <c r="C103" s="155">
        <f>IFERROR(INDEX('F Proj'!$O$2:$O$7669,MATCH($A103&amp;Week+Half_Week&amp;$A$101&amp;"-"&amp;C$101,'F Proj'!$N$2:$N$7669,0)),"")</f>
        <v>16</v>
      </c>
      <c r="D103" s="155">
        <f>IFERROR(INDEX('F Proj'!$O$2:$O$7669,MATCH($A103&amp;Week+Half_Week&amp;$A$101&amp;"-"&amp;D$101,'F Proj'!$N$2:$N$7669,0)),"")</f>
        <v>17</v>
      </c>
      <c r="E103" s="155">
        <f>IFERROR(INDEX('F Proj'!$O$2:$O$7669,MATCH($A103&amp;Week+Half_Week&amp;$A$101&amp;"-"&amp;E$101,'F Proj'!$N$2:$N$7669,0)),"")</f>
        <v>28</v>
      </c>
      <c r="J103" s="155" t="str">
        <f>IF(ISERROR(MATCH(INDEX('F Proj'!$B$2:$B$7669,MATCH($A103&amp;Week+Half_Week&amp;$A$101&amp;"-"&amp;B$101,'F Proj'!$N$2:$N$7669,0))&amp;(Week+Half_Week),Finals!$K$2:$K$501,0)),"Bench","Starter")</f>
        <v>Bench</v>
      </c>
      <c r="K103" s="155" t="str">
        <f>IF(ISERROR(MATCH(INDEX('F Proj'!$B$2:$B$7669,MATCH($A103&amp;Week+Half_Week&amp;$A$101&amp;"-"&amp;C$101,'F Proj'!$N$2:$N$7669,0))&amp;(Week+Half_Week),Finals!$K$2:$K$501,0)),"Bench","Starter")</f>
        <v>Starter</v>
      </c>
      <c r="L103" s="155" t="str">
        <f>IF(ISERROR(MATCH(INDEX('F Proj'!$B$2:$B$7669,MATCH($A103&amp;Week+Half_Week&amp;$A$101&amp;"-"&amp;D$101,'F Proj'!$N$2:$N$7669,0))&amp;(Week+Half_Week),Finals!$K$2:$K$501,0)),"Bench","Starter")</f>
        <v>Starter</v>
      </c>
      <c r="M103" s="155" t="str">
        <f>IF(ISERROR(MATCH(INDEX('F Proj'!$B$2:$B$7669,MATCH($A103&amp;Week+Half_Week&amp;$A$101&amp;"-"&amp;E$101,'F Proj'!$N$2:$N$7669,0))&amp;(Week+Half_Week),Finals!$K$2:$K$501,0)),"Bench","Starter")</f>
        <v>Bench</v>
      </c>
    </row>
    <row r="104" spans="1:13" x14ac:dyDescent="0.25">
      <c r="A104" t="s">
        <v>55</v>
      </c>
      <c r="B104" s="155">
        <f>IFERROR(INDEX('F Proj'!$O$2:$O$7669,MATCH($A104&amp;Week+Half_Week&amp;$A$101&amp;"-"&amp;B$101,'F Proj'!$N$2:$N$7669,0)),"")</f>
        <v>9</v>
      </c>
      <c r="C104" s="155">
        <f>IFERROR(INDEX('F Proj'!$O$2:$O$7669,MATCH($A104&amp;Week+Half_Week&amp;$A$101&amp;"-"&amp;C$101,'F Proj'!$N$2:$N$7669,0)),"")</f>
        <v>13</v>
      </c>
      <c r="D104" s="155">
        <f>IFERROR(INDEX('F Proj'!$O$2:$O$7669,MATCH($A104&amp;Week+Half_Week&amp;$A$101&amp;"-"&amp;D$101,'F Proj'!$N$2:$N$7669,0)),"")</f>
        <v>21</v>
      </c>
      <c r="E104" s="155">
        <f>IFERROR(INDEX('F Proj'!$O$2:$O$7669,MATCH($A104&amp;Week+Half_Week&amp;$A$101&amp;"-"&amp;E$101,'F Proj'!$N$2:$N$7669,0)),"")</f>
        <v>24</v>
      </c>
      <c r="J104" s="155" t="str">
        <f>IF(ISERROR(MATCH(INDEX('F Proj'!$B$2:$B$7669,MATCH($A104&amp;Week+Half_Week&amp;$A$101&amp;"-"&amp;B$101,'F Proj'!$N$2:$N$7669,0))&amp;(Week+Half_Week),Finals!$K$2:$K$501,0)),"Bench","Starter")</f>
        <v>Starter</v>
      </c>
      <c r="K104" s="155" t="str">
        <f>IF(ISERROR(MATCH(INDEX('F Proj'!$B$2:$B$7669,MATCH($A104&amp;Week+Half_Week&amp;$A$101&amp;"-"&amp;C$101,'F Proj'!$N$2:$N$7669,0))&amp;(Week+Half_Week),Finals!$K$2:$K$501,0)),"Bench","Starter")</f>
        <v>Starter</v>
      </c>
      <c r="L104" s="155" t="str">
        <f>IF(ISERROR(MATCH(INDEX('F Proj'!$B$2:$B$7669,MATCH($A104&amp;Week+Half_Week&amp;$A$101&amp;"-"&amp;D$101,'F Proj'!$N$2:$N$7669,0))&amp;(Week+Half_Week),Finals!$K$2:$K$501,0)),"Bench","Starter")</f>
        <v>Bench</v>
      </c>
      <c r="M104" s="155" t="str">
        <f>IF(ISERROR(MATCH(INDEX('F Proj'!$B$2:$B$7669,MATCH($A104&amp;Week+Half_Week&amp;$A$101&amp;"-"&amp;E$101,'F Proj'!$N$2:$N$7669,0))&amp;(Week+Half_Week),Finals!$K$2:$K$501,0)),"Bench","Starter")</f>
        <v>Bench</v>
      </c>
    </row>
    <row r="105" spans="1:13" x14ac:dyDescent="0.25">
      <c r="A105" t="s">
        <v>35</v>
      </c>
      <c r="B105" s="155">
        <f>IFERROR(INDEX('F Proj'!$O$2:$O$7669,MATCH($A105&amp;Week+Half_Week&amp;$A$101&amp;"-"&amp;B$101,'F Proj'!$N$2:$N$7669,0)),"")</f>
        <v>5</v>
      </c>
      <c r="C105" s="155">
        <f>IFERROR(INDEX('F Proj'!$O$2:$O$7669,MATCH($A105&amp;Week+Half_Week&amp;$A$101&amp;"-"&amp;C$101,'F Proj'!$N$2:$N$7669,0)),"")</f>
        <v>10</v>
      </c>
      <c r="D105" s="155">
        <f>IFERROR(INDEX('F Proj'!$O$2:$O$7669,MATCH($A105&amp;Week+Half_Week&amp;$A$101&amp;"-"&amp;D$101,'F Proj'!$N$2:$N$7669,0)),"")</f>
        <v>22</v>
      </c>
      <c r="E105" s="155">
        <f>IFERROR(INDEX('F Proj'!$O$2:$O$7669,MATCH($A105&amp;Week+Half_Week&amp;$A$101&amp;"-"&amp;E$101,'F Proj'!$N$2:$N$7669,0)),"")</f>
        <v>25</v>
      </c>
      <c r="J105" s="155" t="str">
        <f>IF(ISERROR(MATCH(INDEX('F Proj'!$B$2:$B$7669,MATCH($A105&amp;Week+Half_Week&amp;$A$101&amp;"-"&amp;B$101,'F Proj'!$N$2:$N$7669,0))&amp;(Week+Half_Week),Finals!$K$2:$K$501,0)),"Bench","Starter")</f>
        <v>Starter</v>
      </c>
      <c r="K105" s="155" t="str">
        <f>IF(ISERROR(MATCH(INDEX('F Proj'!$B$2:$B$7669,MATCH($A105&amp;Week+Half_Week&amp;$A$101&amp;"-"&amp;C$101,'F Proj'!$N$2:$N$7669,0))&amp;(Week+Half_Week),Finals!$K$2:$K$501,0)),"Bench","Starter")</f>
        <v>Starter</v>
      </c>
      <c r="L105" s="155" t="str">
        <f>IF(ISERROR(MATCH(INDEX('F Proj'!$B$2:$B$7669,MATCH($A105&amp;Week+Half_Week&amp;$A$101&amp;"-"&amp;D$101,'F Proj'!$N$2:$N$7669,0))&amp;(Week+Half_Week),Finals!$K$2:$K$501,0)),"Bench","Starter")</f>
        <v>Starter</v>
      </c>
      <c r="M105" s="155" t="str">
        <f>IF(ISERROR(MATCH(INDEX('F Proj'!$B$2:$B$7669,MATCH($A105&amp;Week+Half_Week&amp;$A$101&amp;"-"&amp;E$101,'F Proj'!$N$2:$N$7669,0))&amp;(Week+Half_Week),Finals!$K$2:$K$501,0)),"Bench","Starter")</f>
        <v>Bench</v>
      </c>
    </row>
    <row r="106" spans="1:13" x14ac:dyDescent="0.25">
      <c r="A106" t="s">
        <v>27</v>
      </c>
      <c r="B106" s="155">
        <f>IFERROR(INDEX('F Proj'!$O$2:$O$7669,MATCH($A106&amp;Week+Half_Week&amp;$A$101&amp;"-"&amp;B$101,'F Proj'!$N$2:$N$7669,0)),"")</f>
        <v>12</v>
      </c>
      <c r="C106" s="155">
        <f>IFERROR(INDEX('F Proj'!$O$2:$O$7669,MATCH($A106&amp;Week+Half_Week&amp;$A$101&amp;"-"&amp;C$101,'F Proj'!$N$2:$N$7669,0)),"")</f>
        <v>19</v>
      </c>
      <c r="D106" s="155">
        <f>IFERROR(INDEX('F Proj'!$O$2:$O$7669,MATCH($A106&amp;Week+Half_Week&amp;$A$101&amp;"-"&amp;D$101,'F Proj'!$N$2:$N$7669,0)),"")</f>
        <v>37</v>
      </c>
      <c r="E106" s="155" t="str">
        <f>IFERROR(INDEX('F Proj'!$O$2:$O$7669,MATCH($A106&amp;Week+Half_Week&amp;$A$101&amp;"-"&amp;E$101,'F Proj'!$N$2:$N$7669,0)),"")</f>
        <v/>
      </c>
      <c r="J106" s="155" t="str">
        <f>IF(ISERROR(MATCH(INDEX('F Proj'!$B$2:$B$7669,MATCH($A106&amp;Week+Half_Week&amp;$A$101&amp;"-"&amp;B$101,'F Proj'!$N$2:$N$7669,0))&amp;(Week+Half_Week),Finals!$K$2:$K$501,0)),"Bench","Starter")</f>
        <v>Starter</v>
      </c>
      <c r="K106" s="155" t="str">
        <f>IF(ISERROR(MATCH(INDEX('F Proj'!$B$2:$B$7669,MATCH($A106&amp;Week+Half_Week&amp;$A$101&amp;"-"&amp;C$101,'F Proj'!$N$2:$N$7669,0))&amp;(Week+Half_Week),Finals!$K$2:$K$501,0)),"Bench","Starter")</f>
        <v>Starter</v>
      </c>
      <c r="L106" s="155" t="str">
        <f>IF(ISERROR(MATCH(INDEX('F Proj'!$B$2:$B$7669,MATCH($A106&amp;Week+Half_Week&amp;$A$101&amp;"-"&amp;D$101,'F Proj'!$N$2:$N$7669,0))&amp;(Week+Half_Week),Finals!$K$2:$K$501,0)),"Bench","Starter")</f>
        <v>Bench</v>
      </c>
      <c r="M106" s="155" t="str">
        <f>IF(ISERROR(MATCH(INDEX('F Proj'!$B$2:$B$7669,MATCH($A106&amp;Week+Half_Week&amp;$A$101&amp;"-"&amp;E$101,'F Proj'!$N$2:$N$7669,0))&amp;(Week+Half_Week),Finals!$K$2:$K$501,0)),"Bench","Starter")</f>
        <v>Bench</v>
      </c>
    </row>
    <row r="107" spans="1:13" x14ac:dyDescent="0.25">
      <c r="A107" t="s">
        <v>62</v>
      </c>
      <c r="B107" s="155">
        <f>IFERROR(INDEX('F Proj'!$O$2:$O$7669,MATCH($A107&amp;Week+Half_Week&amp;$A$101&amp;"-"&amp;B$101,'F Proj'!$N$2:$N$7669,0)),"")</f>
        <v>1</v>
      </c>
      <c r="C107" s="155">
        <f>IFERROR(INDEX('F Proj'!$O$2:$O$7669,MATCH($A107&amp;Week+Half_Week&amp;$A$101&amp;"-"&amp;C$101,'F Proj'!$N$2:$N$7669,0)),"")</f>
        <v>26</v>
      </c>
      <c r="D107" s="155">
        <f>IFERROR(INDEX('F Proj'!$O$2:$O$7669,MATCH($A107&amp;Week+Half_Week&amp;$A$101&amp;"-"&amp;D$101,'F Proj'!$N$2:$N$7669,0)),"")</f>
        <v>27</v>
      </c>
      <c r="E107" s="155">
        <f>IFERROR(INDEX('F Proj'!$O$2:$O$7669,MATCH($A107&amp;Week+Half_Week&amp;$A$101&amp;"-"&amp;E$101,'F Proj'!$N$2:$N$7669,0)),"")</f>
        <v>41</v>
      </c>
      <c r="J107" s="155" t="str">
        <f>IF(ISERROR(MATCH(INDEX('F Proj'!$B$2:$B$7669,MATCH($A107&amp;Week+Half_Week&amp;$A$101&amp;"-"&amp;B$101,'F Proj'!$N$2:$N$7669,0))&amp;(Week+Half_Week),Finals!$K$2:$K$501,0)),"Bench","Starter")</f>
        <v>Starter</v>
      </c>
      <c r="K107" s="155" t="str">
        <f>IF(ISERROR(MATCH(INDEX('F Proj'!$B$2:$B$7669,MATCH($A107&amp;Week+Half_Week&amp;$A$101&amp;"-"&amp;C$101,'F Proj'!$N$2:$N$7669,0))&amp;(Week+Half_Week),Finals!$K$2:$K$501,0)),"Bench","Starter")</f>
        <v>Starter</v>
      </c>
      <c r="L107" s="155" t="str">
        <f>IF(ISERROR(MATCH(INDEX('F Proj'!$B$2:$B$7669,MATCH($A107&amp;Week+Half_Week&amp;$A$101&amp;"-"&amp;D$101,'F Proj'!$N$2:$N$7669,0))&amp;(Week+Half_Week),Finals!$K$2:$K$501,0)),"Bench","Starter")</f>
        <v>Bench</v>
      </c>
      <c r="M107" s="155" t="str">
        <f>IF(ISERROR(MATCH(INDEX('F Proj'!$B$2:$B$7669,MATCH($A107&amp;Week+Half_Week&amp;$A$101&amp;"-"&amp;E$101,'F Proj'!$N$2:$N$7669,0))&amp;(Week+Half_Week),Finals!$K$2:$K$501,0)),"Bench","Starter")</f>
        <v>Bench</v>
      </c>
    </row>
    <row r="108" spans="1:13" x14ac:dyDescent="0.25">
      <c r="A108" t="s">
        <v>1648</v>
      </c>
      <c r="B108" s="155">
        <f>IFERROR(INDEX('F Proj'!$O$2:$O$7669,MATCH($A108&amp;Week+Half_Week&amp;$A$101&amp;"-"&amp;B$101,'F Proj'!$N$2:$N$7669,0)),"")</f>
        <v>8</v>
      </c>
      <c r="C108" s="155">
        <f>IFERROR(INDEX('F Proj'!$O$2:$O$7669,MATCH($A108&amp;Week+Half_Week&amp;$A$101&amp;"-"&amp;C$101,'F Proj'!$N$2:$N$7669,0)),"")</f>
        <v>23</v>
      </c>
      <c r="D108" s="155">
        <f>IFERROR(INDEX('F Proj'!$O$2:$O$7669,MATCH($A108&amp;Week+Half_Week&amp;$A$101&amp;"-"&amp;D$101,'F Proj'!$N$2:$N$7669,0)),"")</f>
        <v>31</v>
      </c>
      <c r="E108" s="155">
        <f>IFERROR(INDEX('F Proj'!$O$2:$O$7669,MATCH($A108&amp;Week+Half_Week&amp;$A$101&amp;"-"&amp;E$101,'F Proj'!$N$2:$N$7669,0)),"")</f>
        <v>34</v>
      </c>
      <c r="J108" s="155" t="str">
        <f>IF(ISERROR(MATCH(INDEX('F Proj'!$B$2:$B$7669,MATCH($A108&amp;Week+Half_Week&amp;$A$101&amp;"-"&amp;B$101,'F Proj'!$N$2:$N$7669,0))&amp;(Week+Half_Week),Finals!$K$2:$K$501,0)),"Bench","Starter")</f>
        <v>Starter</v>
      </c>
      <c r="K108" s="155" t="str">
        <f>IF(ISERROR(MATCH(INDEX('F Proj'!$B$2:$B$7669,MATCH($A108&amp;Week+Half_Week&amp;$A$101&amp;"-"&amp;C$101,'F Proj'!$N$2:$N$7669,0))&amp;(Week+Half_Week),Finals!$K$2:$K$501,0)),"Bench","Starter")</f>
        <v>Bench</v>
      </c>
      <c r="L108" s="155" t="str">
        <f>IF(ISERROR(MATCH(INDEX('F Proj'!$B$2:$B$7669,MATCH($A108&amp;Week+Half_Week&amp;$A$101&amp;"-"&amp;D$101,'F Proj'!$N$2:$N$7669,0))&amp;(Week+Half_Week),Finals!$K$2:$K$501,0)),"Bench","Starter")</f>
        <v>Starter</v>
      </c>
      <c r="M108" s="155" t="str">
        <f>IF(ISERROR(MATCH(INDEX('F Proj'!$B$2:$B$7669,MATCH($A108&amp;Week+Half_Week&amp;$A$101&amp;"-"&amp;E$101,'F Proj'!$N$2:$N$7669,0))&amp;(Week+Half_Week),Finals!$K$2:$K$501,0)),"Bench","Starter")</f>
        <v>Starter</v>
      </c>
    </row>
    <row r="109" spans="1:13" x14ac:dyDescent="0.25">
      <c r="A109" t="s">
        <v>23</v>
      </c>
      <c r="B109" s="155">
        <f>IFERROR(INDEX('F Proj'!$O$2:$O$7669,MATCH($A109&amp;Week+Half_Week&amp;$A$101&amp;"-"&amp;B$101,'F Proj'!$N$2:$N$7669,0)),"")</f>
        <v>4</v>
      </c>
      <c r="C109" s="155">
        <f>IFERROR(INDEX('F Proj'!$O$2:$O$7669,MATCH($A109&amp;Week+Half_Week&amp;$A$101&amp;"-"&amp;C$101,'F Proj'!$N$2:$N$7669,0)),"")</f>
        <v>29</v>
      </c>
      <c r="D109" s="155">
        <f>IFERROR(INDEX('F Proj'!$O$2:$O$7669,MATCH($A109&amp;Week+Half_Week&amp;$A$101&amp;"-"&amp;D$101,'F Proj'!$N$2:$N$7669,0)),"")</f>
        <v>30</v>
      </c>
      <c r="E109" s="155">
        <f>IFERROR(INDEX('F Proj'!$O$2:$O$7669,MATCH($A109&amp;Week+Half_Week&amp;$A$101&amp;"-"&amp;E$101,'F Proj'!$N$2:$N$7669,0)),"")</f>
        <v>47</v>
      </c>
      <c r="J109" s="155" t="str">
        <f>IF(ISERROR(MATCH(INDEX('F Proj'!$B$2:$B$7669,MATCH($A109&amp;Week+Half_Week&amp;$A$101&amp;"-"&amp;B$101,'F Proj'!$N$2:$N$7669,0))&amp;(Week+Half_Week),Finals!$K$2:$K$501,0)),"Bench","Starter")</f>
        <v>Starter</v>
      </c>
      <c r="K109" s="155" t="str">
        <f>IF(ISERROR(MATCH(INDEX('F Proj'!$B$2:$B$7669,MATCH($A109&amp;Week+Half_Week&amp;$A$101&amp;"-"&amp;C$101,'F Proj'!$N$2:$N$7669,0))&amp;(Week+Half_Week),Finals!$K$2:$K$501,0)),"Bench","Starter")</f>
        <v>Starter</v>
      </c>
      <c r="L109" s="155" t="str">
        <f>IF(ISERROR(MATCH(INDEX('F Proj'!$B$2:$B$7669,MATCH($A109&amp;Week+Half_Week&amp;$A$101&amp;"-"&amp;D$101,'F Proj'!$N$2:$N$7669,0))&amp;(Week+Half_Week),Finals!$K$2:$K$501,0)),"Bench","Starter")</f>
        <v>Starter</v>
      </c>
      <c r="M109" s="155" t="str">
        <f>IF(ISERROR(MATCH(INDEX('F Proj'!$B$2:$B$7669,MATCH($A109&amp;Week+Half_Week&amp;$A$101&amp;"-"&amp;E$101,'F Proj'!$N$2:$N$7669,0))&amp;(Week+Half_Week),Finals!$K$2:$K$501,0)),"Bench","Starter")</f>
        <v>Bench</v>
      </c>
    </row>
    <row r="110" spans="1:13" x14ac:dyDescent="0.25">
      <c r="A110" t="s">
        <v>49</v>
      </c>
      <c r="B110" s="155">
        <f>IFERROR(INDEX('F Proj'!$O$2:$O$7669,MATCH($A110&amp;Week+Half_Week&amp;$A$101&amp;"-"&amp;B$101,'F Proj'!$N$2:$N$7669,0)),"")</f>
        <v>2</v>
      </c>
      <c r="C110" s="155">
        <f>IFERROR(INDEX('F Proj'!$O$2:$O$7669,MATCH($A110&amp;Week+Half_Week&amp;$A$101&amp;"-"&amp;C$101,'F Proj'!$N$2:$N$7669,0)),"")</f>
        <v>7</v>
      </c>
      <c r="D110" s="155">
        <f>IFERROR(INDEX('F Proj'!$O$2:$O$7669,MATCH($A110&amp;Week+Half_Week&amp;$A$101&amp;"-"&amp;D$101,'F Proj'!$N$2:$N$7669,0)),"")</f>
        <v>20</v>
      </c>
      <c r="E110" s="155">
        <f>IFERROR(INDEX('F Proj'!$O$2:$O$7669,MATCH($A110&amp;Week+Half_Week&amp;$A$101&amp;"-"&amp;E$101,'F Proj'!$N$2:$N$7669,0)),"")</f>
        <v>32</v>
      </c>
      <c r="J110" s="155" t="str">
        <f>IF(ISERROR(MATCH(INDEX('F Proj'!$B$2:$B$7669,MATCH($A110&amp;Week+Half_Week&amp;$A$101&amp;"-"&amp;B$101,'F Proj'!$N$2:$N$7669,0))&amp;(Week+Half_Week),Finals!$K$2:$K$501,0)),"Bench","Starter")</f>
        <v>Starter</v>
      </c>
      <c r="K110" s="155" t="str">
        <f>IF(ISERROR(MATCH(INDEX('F Proj'!$B$2:$B$7669,MATCH($A110&amp;Week+Half_Week&amp;$A$101&amp;"-"&amp;C$101,'F Proj'!$N$2:$N$7669,0))&amp;(Week+Half_Week),Finals!$K$2:$K$501,0)),"Bench","Starter")</f>
        <v>Starter</v>
      </c>
      <c r="L110" s="155" t="str">
        <f>IF(ISERROR(MATCH(INDEX('F Proj'!$B$2:$B$7669,MATCH($A110&amp;Week+Half_Week&amp;$A$101&amp;"-"&amp;D$101,'F Proj'!$N$2:$N$7669,0))&amp;(Week+Half_Week),Finals!$K$2:$K$501,0)),"Bench","Starter")</f>
        <v>Bench</v>
      </c>
      <c r="M110" s="155" t="str">
        <f>IF(ISERROR(MATCH(INDEX('F Proj'!$B$2:$B$7669,MATCH($A110&amp;Week+Half_Week&amp;$A$101&amp;"-"&amp;E$101,'F Proj'!$N$2:$N$7669,0))&amp;(Week+Half_Week),Finals!$K$2:$K$501,0)),"Bench","Starter")</f>
        <v>Bench</v>
      </c>
    </row>
    <row r="111" spans="1:13" x14ac:dyDescent="0.25">
      <c r="A111" t="s">
        <v>44</v>
      </c>
      <c r="B111" s="155">
        <f>IFERROR(INDEX('F Proj'!$O$2:$O$7669,MATCH($A111&amp;Week+Half_Week&amp;$A$101&amp;"-"&amp;B$101,'F Proj'!$N$2:$N$7669,0)),"")</f>
        <v>11</v>
      </c>
      <c r="C111" s="155">
        <f>IFERROR(INDEX('F Proj'!$O$2:$O$7669,MATCH($A111&amp;Week+Half_Week&amp;$A$101&amp;"-"&amp;C$101,'F Proj'!$N$2:$N$7669,0)),"")</f>
        <v>18</v>
      </c>
      <c r="D111" s="155">
        <f>IFERROR(INDEX('F Proj'!$O$2:$O$7669,MATCH($A111&amp;Week+Half_Week&amp;$A$101&amp;"-"&amp;D$101,'F Proj'!$N$2:$N$7669,0)),"")</f>
        <v>35</v>
      </c>
      <c r="E111" s="155">
        <f>IFERROR(INDEX('F Proj'!$O$2:$O$7669,MATCH($A111&amp;Week+Half_Week&amp;$A$101&amp;"-"&amp;E$101,'F Proj'!$N$2:$N$7669,0)),"")</f>
        <v>44</v>
      </c>
      <c r="J111" s="155" t="str">
        <f>IF(ISERROR(MATCH(INDEX('F Proj'!$B$2:$B$7669,MATCH($A111&amp;Week+Half_Week&amp;$A$101&amp;"-"&amp;B$101,'F Proj'!$N$2:$N$7669,0))&amp;(Week+Half_Week),Finals!$K$2:$K$501,0)),"Bench","Starter")</f>
        <v>Starter</v>
      </c>
      <c r="K111" s="155" t="str">
        <f>IF(ISERROR(MATCH(INDEX('F Proj'!$B$2:$B$7669,MATCH($A111&amp;Week+Half_Week&amp;$A$101&amp;"-"&amp;C$101,'F Proj'!$N$2:$N$7669,0))&amp;(Week+Half_Week),Finals!$K$2:$K$501,0)),"Bench","Starter")</f>
        <v>Starter</v>
      </c>
      <c r="L111" s="155" t="str">
        <f>IF(ISERROR(MATCH(INDEX('F Proj'!$B$2:$B$7669,MATCH($A111&amp;Week+Half_Week&amp;$A$101&amp;"-"&amp;D$101,'F Proj'!$N$2:$N$7669,0))&amp;(Week+Half_Week),Finals!$K$2:$K$501,0)),"Bench","Starter")</f>
        <v>Bench</v>
      </c>
      <c r="M111" s="155" t="str">
        <f>IF(ISERROR(MATCH(INDEX('F Proj'!$B$2:$B$7669,MATCH($A111&amp;Week+Half_Week&amp;$A$101&amp;"-"&amp;E$101,'F Proj'!$N$2:$N$7669,0))&amp;(Week+Half_Week),Finals!$K$2:$K$501,0)),"Bench","Starter")</f>
        <v>Bench</v>
      </c>
    </row>
    <row r="112" spans="1:13" x14ac:dyDescent="0.25">
      <c r="C112" s="58"/>
    </row>
    <row r="113" spans="1:14" x14ac:dyDescent="0.25">
      <c r="A113" t="s">
        <v>87</v>
      </c>
      <c r="B113" s="37">
        <v>1</v>
      </c>
      <c r="C113" s="37">
        <v>2</v>
      </c>
      <c r="D113" s="37">
        <v>3</v>
      </c>
      <c r="E113" s="37">
        <v>4</v>
      </c>
      <c r="F113" s="37">
        <v>5</v>
      </c>
    </row>
    <row r="114" spans="1:14" x14ac:dyDescent="0.25">
      <c r="A114" t="s">
        <v>20</v>
      </c>
      <c r="B114" s="155">
        <f>IFERROR(INDEX('F Proj'!$O$2:$O$7669,MATCH($A114&amp;Week+Half_Week&amp;$A$113&amp;"-"&amp;B$113,'F Proj'!$N$2:$N$7669,0)),"")</f>
        <v>11</v>
      </c>
      <c r="C114" s="155">
        <f>IFERROR(INDEX('F Proj'!$O$2:$O$7669,MATCH($A114&amp;Week+Half_Week&amp;$A$113&amp;"-"&amp;C$113,'F Proj'!$N$2:$N$7669,0)),"")</f>
        <v>25</v>
      </c>
      <c r="D114" s="155">
        <f>IFERROR(INDEX('F Proj'!$O$2:$O$7669,MATCH($A114&amp;Week+Half_Week&amp;$A$113&amp;"-"&amp;D$113,'F Proj'!$N$2:$N$7669,0)),"")</f>
        <v>29</v>
      </c>
      <c r="E114" s="155">
        <f>IFERROR(INDEX('F Proj'!$O$2:$O$7669,MATCH($A114&amp;Week+Half_Week&amp;$A$113&amp;"-"&amp;E$113,'F Proj'!$N$2:$N$7669,0)),"")</f>
        <v>45</v>
      </c>
      <c r="F114" s="155">
        <f>IFERROR(INDEX('F Proj'!$O$2:$O$7669,MATCH($A114&amp;Week+Half_Week&amp;$A$113&amp;"-"&amp;F$113,'F Proj'!$N$2:$N$7669,0)),"")</f>
        <v>85</v>
      </c>
      <c r="J114" s="155" t="str">
        <f>IF(ISERROR(MATCH(INDEX('F Proj'!$B$2:$B$7669,MATCH($A114&amp;Week+Half_Week&amp;$A$113&amp;"-"&amp;B$113,'F Proj'!$N$2:$N$7669,0))&amp;(Week+Half_Week),Finals!$K$2:$K$501,0)),"Bench","Starter")</f>
        <v>Starter</v>
      </c>
      <c r="K114" s="155" t="str">
        <f>IF(ISERROR(MATCH(INDEX('F Proj'!$B$2:$B$7669,MATCH($A114&amp;Week+Half_Week&amp;$A$113&amp;"-"&amp;C$113,'F Proj'!$N$2:$N$7669,0))&amp;(Week+Half_Week),Finals!$K$2:$K$501,0)),"Bench","Starter")</f>
        <v>Starter</v>
      </c>
      <c r="L114" s="155" t="str">
        <f>IF(ISERROR(MATCH(INDEX('F Proj'!$B$2:$B$7669,MATCH($A114&amp;Week+Half_Week&amp;$A$113&amp;"-"&amp;D$113,'F Proj'!$N$2:$N$7669,0))&amp;(Week+Half_Week),Finals!$K$2:$K$501,0)),"Bench","Starter")</f>
        <v>Starter</v>
      </c>
      <c r="M114" s="155" t="str">
        <f>IF(ISERROR(MATCH(INDEX('F Proj'!$B$2:$B$7669,MATCH($A114&amp;Week+Half_Week&amp;$A$113&amp;"-"&amp;E$113,'F Proj'!$N$2:$N$7669,0))&amp;(Week+Half_Week),Finals!$K$2:$K$501,0)),"Bench","Starter")</f>
        <v>Bench</v>
      </c>
      <c r="N114" s="155" t="str">
        <f>IF(ISERROR(MATCH(INDEX('F Proj'!$B$2:$B$7669,MATCH($A114&amp;Week+Half_Week&amp;$A$113&amp;"-"&amp;F$113,'F Proj'!$N$2:$N$7669,0))&amp;(Week+Half_Week),Finals!$K$2:$K$501,0)),"Bench","Starter")</f>
        <v>Bench</v>
      </c>
    </row>
    <row r="115" spans="1:14" x14ac:dyDescent="0.25">
      <c r="A115" t="s">
        <v>16</v>
      </c>
      <c r="B115" s="155">
        <f>IFERROR(INDEX('F Proj'!$O$2:$O$7669,MATCH($A115&amp;Week+Half_Week&amp;$A$113&amp;"-"&amp;B$113,'F Proj'!$N$2:$N$7669,0)),"")</f>
        <v>4</v>
      </c>
      <c r="C115" s="155">
        <f>IFERROR(INDEX('F Proj'!$O$2:$O$7669,MATCH($A115&amp;Week+Half_Week&amp;$A$113&amp;"-"&amp;C$113,'F Proj'!$N$2:$N$7669,0)),"")</f>
        <v>5</v>
      </c>
      <c r="D115" s="155">
        <f>IFERROR(INDEX('F Proj'!$O$2:$O$7669,MATCH($A115&amp;Week+Half_Week&amp;$A$113&amp;"-"&amp;D$113,'F Proj'!$N$2:$N$7669,0)),"")</f>
        <v>16</v>
      </c>
      <c r="E115" s="155">
        <f>IFERROR(INDEX('F Proj'!$O$2:$O$7669,MATCH($A115&amp;Week+Half_Week&amp;$A$113&amp;"-"&amp;E$113,'F Proj'!$N$2:$N$7669,0)),"")</f>
        <v>30</v>
      </c>
      <c r="F115" s="155">
        <f>IFERROR(INDEX('F Proj'!$O$2:$O$7669,MATCH($A115&amp;Week+Half_Week&amp;$A$113&amp;"-"&amp;F$113,'F Proj'!$N$2:$N$7669,0)),"")</f>
        <v>41</v>
      </c>
      <c r="J115" s="155" t="str">
        <f>IF(ISERROR(MATCH(INDEX('F Proj'!$B$2:$B$7669,MATCH($A115&amp;Week+Half_Week&amp;$A$113&amp;"-"&amp;B$113,'F Proj'!$N$2:$N$7669,0))&amp;(Week+Half_Week),Finals!$K$2:$K$501,0)),"Bench","Starter")</f>
        <v>Starter</v>
      </c>
      <c r="K115" s="155" t="str">
        <f>IF(ISERROR(MATCH(INDEX('F Proj'!$B$2:$B$7669,MATCH($A115&amp;Week+Half_Week&amp;$A$113&amp;"-"&amp;C$113,'F Proj'!$N$2:$N$7669,0))&amp;(Week+Half_Week),Finals!$K$2:$K$501,0)),"Bench","Starter")</f>
        <v>Starter</v>
      </c>
      <c r="L115" s="155" t="str">
        <f>IF(ISERROR(MATCH(INDEX('F Proj'!$B$2:$B$7669,MATCH($A115&amp;Week+Half_Week&amp;$A$113&amp;"-"&amp;D$113,'F Proj'!$N$2:$N$7669,0))&amp;(Week+Half_Week),Finals!$K$2:$K$501,0)),"Bench","Starter")</f>
        <v>Starter</v>
      </c>
      <c r="M115" s="155" t="str">
        <f>IF(ISERROR(MATCH(INDEX('F Proj'!$B$2:$B$7669,MATCH($A115&amp;Week+Half_Week&amp;$A$113&amp;"-"&amp;E$113,'F Proj'!$N$2:$N$7669,0))&amp;(Week+Half_Week),Finals!$K$2:$K$501,0)),"Bench","Starter")</f>
        <v>Starter</v>
      </c>
      <c r="N115" s="155" t="str">
        <f>IF(ISERROR(MATCH(INDEX('F Proj'!$B$2:$B$7669,MATCH($A115&amp;Week+Half_Week&amp;$A$113&amp;"-"&amp;F$113,'F Proj'!$N$2:$N$7669,0))&amp;(Week+Half_Week),Finals!$K$2:$K$501,0)),"Bench","Starter")</f>
        <v>Bench</v>
      </c>
    </row>
    <row r="116" spans="1:14" x14ac:dyDescent="0.25">
      <c r="A116" t="s">
        <v>55</v>
      </c>
      <c r="B116" s="155">
        <f>IFERROR(INDEX('F Proj'!$O$2:$O$7669,MATCH($A116&amp;Week+Half_Week&amp;$A$113&amp;"-"&amp;B$113,'F Proj'!$N$2:$N$7669,0)),"")</f>
        <v>2</v>
      </c>
      <c r="C116" s="155">
        <f>IFERROR(INDEX('F Proj'!$O$2:$O$7669,MATCH($A116&amp;Week+Half_Week&amp;$A$113&amp;"-"&amp;C$113,'F Proj'!$N$2:$N$7669,0)),"")</f>
        <v>13</v>
      </c>
      <c r="D116" s="155">
        <f>IFERROR(INDEX('F Proj'!$O$2:$O$7669,MATCH($A116&amp;Week+Half_Week&amp;$A$113&amp;"-"&amp;D$113,'F Proj'!$N$2:$N$7669,0)),"")</f>
        <v>32</v>
      </c>
      <c r="E116" s="155">
        <f>IFERROR(INDEX('F Proj'!$O$2:$O$7669,MATCH($A116&amp;Week+Half_Week&amp;$A$113&amp;"-"&amp;E$113,'F Proj'!$N$2:$N$7669,0)),"")</f>
        <v>37</v>
      </c>
      <c r="F116" s="155">
        <f>IFERROR(INDEX('F Proj'!$O$2:$O$7669,MATCH($A116&amp;Week+Half_Week&amp;$A$113&amp;"-"&amp;F$113,'F Proj'!$N$2:$N$7669,0)),"")</f>
        <v>42</v>
      </c>
      <c r="J116" s="155" t="str">
        <f>IF(ISERROR(MATCH(INDEX('F Proj'!$B$2:$B$7669,MATCH($A116&amp;Week+Half_Week&amp;$A$113&amp;"-"&amp;B$113,'F Proj'!$N$2:$N$7669,0))&amp;(Week+Half_Week),Finals!$K$2:$K$501,0)),"Bench","Starter")</f>
        <v>Starter</v>
      </c>
      <c r="K116" s="155" t="str">
        <f>IF(ISERROR(MATCH(INDEX('F Proj'!$B$2:$B$7669,MATCH($A116&amp;Week+Half_Week&amp;$A$113&amp;"-"&amp;C$113,'F Proj'!$N$2:$N$7669,0))&amp;(Week+Half_Week),Finals!$K$2:$K$501,0)),"Bench","Starter")</f>
        <v>Starter</v>
      </c>
      <c r="L116" s="155" t="str">
        <f>IF(ISERROR(MATCH(INDEX('F Proj'!$B$2:$B$7669,MATCH($A116&amp;Week+Half_Week&amp;$A$113&amp;"-"&amp;D$113,'F Proj'!$N$2:$N$7669,0))&amp;(Week+Half_Week),Finals!$K$2:$K$501,0)),"Bench","Starter")</f>
        <v>Bench</v>
      </c>
      <c r="M116" s="155" t="str">
        <f>IF(ISERROR(MATCH(INDEX('F Proj'!$B$2:$B$7669,MATCH($A116&amp;Week+Half_Week&amp;$A$113&amp;"-"&amp;E$113,'F Proj'!$N$2:$N$7669,0))&amp;(Week+Half_Week),Finals!$K$2:$K$501,0)),"Bench","Starter")</f>
        <v>Bench</v>
      </c>
      <c r="N116" s="155" t="str">
        <f>IF(ISERROR(MATCH(INDEX('F Proj'!$B$2:$B$7669,MATCH($A116&amp;Week+Half_Week&amp;$A$113&amp;"-"&amp;F$113,'F Proj'!$N$2:$N$7669,0))&amp;(Week+Half_Week),Finals!$K$2:$K$501,0)),"Bench","Starter")</f>
        <v>Starter</v>
      </c>
    </row>
    <row r="117" spans="1:14" x14ac:dyDescent="0.25">
      <c r="A117" t="s">
        <v>35</v>
      </c>
      <c r="B117" s="155">
        <f>IFERROR(INDEX('F Proj'!$O$2:$O$7669,MATCH($A117&amp;Week+Half_Week&amp;$A$113&amp;"-"&amp;B$113,'F Proj'!$N$2:$N$7669,0)),"")</f>
        <v>10</v>
      </c>
      <c r="C117" s="155">
        <f>IFERROR(INDEX('F Proj'!$O$2:$O$7669,MATCH($A117&amp;Week+Half_Week&amp;$A$113&amp;"-"&amp;C$113,'F Proj'!$N$2:$N$7669,0)),"")</f>
        <v>12</v>
      </c>
      <c r="D117" s="155">
        <f>IFERROR(INDEX('F Proj'!$O$2:$O$7669,MATCH($A117&amp;Week+Half_Week&amp;$A$113&amp;"-"&amp;D$113,'F Proj'!$N$2:$N$7669,0)),"")</f>
        <v>19</v>
      </c>
      <c r="E117" s="155">
        <f>IFERROR(INDEX('F Proj'!$O$2:$O$7669,MATCH($A117&amp;Week+Half_Week&amp;$A$113&amp;"-"&amp;E$113,'F Proj'!$N$2:$N$7669,0)),"")</f>
        <v>31</v>
      </c>
      <c r="F117" s="155" t="str">
        <f>IFERROR(INDEX('F Proj'!$O$2:$O$7669,MATCH($A117&amp;Week+Half_Week&amp;$A$113&amp;"-"&amp;F$113,'F Proj'!$N$2:$N$7669,0)),"")</f>
        <v/>
      </c>
      <c r="J117" s="155" t="str">
        <f>IF(ISERROR(MATCH(INDEX('F Proj'!$B$2:$B$7669,MATCH($A117&amp;Week+Half_Week&amp;$A$113&amp;"-"&amp;B$113,'F Proj'!$N$2:$N$7669,0))&amp;(Week+Half_Week),Finals!$K$2:$K$501,0)),"Bench","Starter")</f>
        <v>Starter</v>
      </c>
      <c r="K117" s="155" t="str">
        <f>IF(ISERROR(MATCH(INDEX('F Proj'!$B$2:$B$7669,MATCH($A117&amp;Week+Half_Week&amp;$A$113&amp;"-"&amp;C$113,'F Proj'!$N$2:$N$7669,0))&amp;(Week+Half_Week),Finals!$K$2:$K$501,0)),"Bench","Starter")</f>
        <v>Starter</v>
      </c>
      <c r="L117" s="155" t="str">
        <f>IF(ISERROR(MATCH(INDEX('F Proj'!$B$2:$B$7669,MATCH($A117&amp;Week+Half_Week&amp;$A$113&amp;"-"&amp;D$113,'F Proj'!$N$2:$N$7669,0))&amp;(Week+Half_Week),Finals!$K$2:$K$501,0)),"Bench","Starter")</f>
        <v>Starter</v>
      </c>
      <c r="M117" s="155" t="str">
        <f>IF(ISERROR(MATCH(INDEX('F Proj'!$B$2:$B$7669,MATCH($A117&amp;Week+Half_Week&amp;$A$113&amp;"-"&amp;E$113,'F Proj'!$N$2:$N$7669,0))&amp;(Week+Half_Week),Finals!$K$2:$K$501,0)),"Bench","Starter")</f>
        <v>Starter</v>
      </c>
      <c r="N117" s="155" t="str">
        <f>IF(ISERROR(MATCH(INDEX('F Proj'!$B$2:$B$7669,MATCH($A117&amp;Week+Half_Week&amp;$A$113&amp;"-"&amp;F$113,'F Proj'!$N$2:$N$7669,0))&amp;(Week+Half_Week),Finals!$K$2:$K$501,0)),"Bench","Starter")</f>
        <v>Bench</v>
      </c>
    </row>
    <row r="118" spans="1:14" x14ac:dyDescent="0.25">
      <c r="A118" t="s">
        <v>27</v>
      </c>
      <c r="B118" s="155">
        <f>IFERROR(INDEX('F Proj'!$O$2:$O$7669,MATCH($A118&amp;Week+Half_Week&amp;$A$113&amp;"-"&amp;B$113,'F Proj'!$N$2:$N$7669,0)),"")</f>
        <v>1</v>
      </c>
      <c r="C118" s="155">
        <f>IFERROR(INDEX('F Proj'!$O$2:$O$7669,MATCH($A118&amp;Week+Half_Week&amp;$A$113&amp;"-"&amp;C$113,'F Proj'!$N$2:$N$7669,0)),"")</f>
        <v>22</v>
      </c>
      <c r="D118" s="155">
        <f>IFERROR(INDEX('F Proj'!$O$2:$O$7669,MATCH($A118&amp;Week+Half_Week&amp;$A$113&amp;"-"&amp;D$113,'F Proj'!$N$2:$N$7669,0)),"")</f>
        <v>27</v>
      </c>
      <c r="E118" s="155">
        <f>IFERROR(INDEX('F Proj'!$O$2:$O$7669,MATCH($A118&amp;Week+Half_Week&amp;$A$113&amp;"-"&amp;E$113,'F Proj'!$N$2:$N$7669,0)),"")</f>
        <v>33</v>
      </c>
      <c r="F118" s="155">
        <f>IFERROR(INDEX('F Proj'!$O$2:$O$7669,MATCH($A118&amp;Week+Half_Week&amp;$A$113&amp;"-"&amp;F$113,'F Proj'!$N$2:$N$7669,0)),"")</f>
        <v>34</v>
      </c>
      <c r="J118" s="155" t="str">
        <f>IF(ISERROR(MATCH(INDEX('F Proj'!$B$2:$B$7669,MATCH($A118&amp;Week+Half_Week&amp;$A$113&amp;"-"&amp;B$113,'F Proj'!$N$2:$N$7669,0))&amp;(Week+Half_Week),Finals!$K$2:$K$501,0)),"Bench","Starter")</f>
        <v>Starter</v>
      </c>
      <c r="K118" s="155" t="str">
        <f>IF(ISERROR(MATCH(INDEX('F Proj'!$B$2:$B$7669,MATCH($A118&amp;Week+Half_Week&amp;$A$113&amp;"-"&amp;C$113,'F Proj'!$N$2:$N$7669,0))&amp;(Week+Half_Week),Finals!$K$2:$K$501,0)),"Bench","Starter")</f>
        <v>Starter</v>
      </c>
      <c r="L118" s="155" t="str">
        <f>IF(ISERROR(MATCH(INDEX('F Proj'!$B$2:$B$7669,MATCH($A118&amp;Week+Half_Week&amp;$A$113&amp;"-"&amp;D$113,'F Proj'!$N$2:$N$7669,0))&amp;(Week+Half_Week),Finals!$K$2:$K$501,0)),"Bench","Starter")</f>
        <v>Starter</v>
      </c>
      <c r="M118" s="155" t="str">
        <f>IF(ISERROR(MATCH(INDEX('F Proj'!$B$2:$B$7669,MATCH($A118&amp;Week+Half_Week&amp;$A$113&amp;"-"&amp;E$113,'F Proj'!$N$2:$N$7669,0))&amp;(Week+Half_Week),Finals!$K$2:$K$501,0)),"Bench","Starter")</f>
        <v>Starter</v>
      </c>
      <c r="N118" s="155" t="str">
        <f>IF(ISERROR(MATCH(INDEX('F Proj'!$B$2:$B$7669,MATCH($A118&amp;Week+Half_Week&amp;$A$113&amp;"-"&amp;F$113,'F Proj'!$N$2:$N$7669,0))&amp;(Week+Half_Week),Finals!$K$2:$K$501,0)),"Bench","Starter")</f>
        <v>Bench</v>
      </c>
    </row>
    <row r="119" spans="1:14" x14ac:dyDescent="0.25">
      <c r="A119" t="s">
        <v>62</v>
      </c>
      <c r="B119" s="155">
        <f>IFERROR(INDEX('F Proj'!$O$2:$O$7669,MATCH($A119&amp;Week+Half_Week&amp;$A$113&amp;"-"&amp;B$113,'F Proj'!$N$2:$N$7669,0)),"")</f>
        <v>3</v>
      </c>
      <c r="C119" s="155">
        <f>IFERROR(INDEX('F Proj'!$O$2:$O$7669,MATCH($A119&amp;Week+Half_Week&amp;$A$113&amp;"-"&amp;C$113,'F Proj'!$N$2:$N$7669,0)),"")</f>
        <v>15</v>
      </c>
      <c r="D119" s="155">
        <f>IFERROR(INDEX('F Proj'!$O$2:$O$7669,MATCH($A119&amp;Week+Half_Week&amp;$A$113&amp;"-"&amp;D$113,'F Proj'!$N$2:$N$7669,0)),"")</f>
        <v>18</v>
      </c>
      <c r="E119" s="155">
        <f>IFERROR(INDEX('F Proj'!$O$2:$O$7669,MATCH($A119&amp;Week+Half_Week&amp;$A$113&amp;"-"&amp;E$113,'F Proj'!$N$2:$N$7669,0)),"")</f>
        <v>21</v>
      </c>
      <c r="F119" s="155">
        <f>IFERROR(INDEX('F Proj'!$O$2:$O$7669,MATCH($A119&amp;Week+Half_Week&amp;$A$113&amp;"-"&amp;F$113,'F Proj'!$N$2:$N$7669,0)),"")</f>
        <v>38</v>
      </c>
      <c r="J119" s="155" t="str">
        <f>IF(ISERROR(MATCH(INDEX('F Proj'!$B$2:$B$7669,MATCH($A119&amp;Week+Half_Week&amp;$A$113&amp;"-"&amp;B$113,'F Proj'!$N$2:$N$7669,0))&amp;(Week+Half_Week),Finals!$K$2:$K$501,0)),"Bench","Starter")</f>
        <v>Starter</v>
      </c>
      <c r="K119" s="155" t="str">
        <f>IF(ISERROR(MATCH(INDEX('F Proj'!$B$2:$B$7669,MATCH($A119&amp;Week+Half_Week&amp;$A$113&amp;"-"&amp;C$113,'F Proj'!$N$2:$N$7669,0))&amp;(Week+Half_Week),Finals!$K$2:$K$501,0)),"Bench","Starter")</f>
        <v>Starter</v>
      </c>
      <c r="L119" s="155" t="str">
        <f>IF(ISERROR(MATCH(INDEX('F Proj'!$B$2:$B$7669,MATCH($A119&amp;Week+Half_Week&amp;$A$113&amp;"-"&amp;D$113,'F Proj'!$N$2:$N$7669,0))&amp;(Week+Half_Week),Finals!$K$2:$K$501,0)),"Bench","Starter")</f>
        <v>Starter</v>
      </c>
      <c r="M119" s="155" t="str">
        <f>IF(ISERROR(MATCH(INDEX('F Proj'!$B$2:$B$7669,MATCH($A119&amp;Week+Half_Week&amp;$A$113&amp;"-"&amp;E$113,'F Proj'!$N$2:$N$7669,0))&amp;(Week+Half_Week),Finals!$K$2:$K$501,0)),"Bench","Starter")</f>
        <v>Starter</v>
      </c>
      <c r="N119" s="155" t="str">
        <f>IF(ISERROR(MATCH(INDEX('F Proj'!$B$2:$B$7669,MATCH($A119&amp;Week+Half_Week&amp;$A$113&amp;"-"&amp;F$113,'F Proj'!$N$2:$N$7669,0))&amp;(Week+Half_Week),Finals!$K$2:$K$501,0)),"Bench","Starter")</f>
        <v>Bench</v>
      </c>
    </row>
    <row r="120" spans="1:14" x14ac:dyDescent="0.25">
      <c r="A120" t="s">
        <v>1648</v>
      </c>
      <c r="B120" s="155">
        <f>IFERROR(INDEX('F Proj'!$O$2:$O$7669,MATCH($A120&amp;Week+Half_Week&amp;$A$113&amp;"-"&amp;B$113,'F Proj'!$N$2:$N$7669,0)),"")</f>
        <v>17</v>
      </c>
      <c r="C120" s="155">
        <f>IFERROR(INDEX('F Proj'!$O$2:$O$7669,MATCH($A120&amp;Week+Half_Week&amp;$A$113&amp;"-"&amp;C$113,'F Proj'!$N$2:$N$7669,0)),"")</f>
        <v>24</v>
      </c>
      <c r="D120" s="155">
        <f>IFERROR(INDEX('F Proj'!$O$2:$O$7669,MATCH($A120&amp;Week+Half_Week&amp;$A$113&amp;"-"&amp;D$113,'F Proj'!$N$2:$N$7669,0)),"")</f>
        <v>47</v>
      </c>
      <c r="E120" s="155" t="str">
        <f>IFERROR(INDEX('F Proj'!$O$2:$O$7669,MATCH($A120&amp;Week+Half_Week&amp;$A$113&amp;"-"&amp;E$113,'F Proj'!$N$2:$N$7669,0)),"")</f>
        <v/>
      </c>
      <c r="F120" s="155" t="str">
        <f>IFERROR(INDEX('F Proj'!$O$2:$O$7669,MATCH($A120&amp;Week+Half_Week&amp;$A$113&amp;"-"&amp;F$113,'F Proj'!$N$2:$N$7669,0)),"")</f>
        <v/>
      </c>
      <c r="J120" s="155" t="str">
        <f>IF(ISERROR(MATCH(INDEX('F Proj'!$B$2:$B$7669,MATCH($A120&amp;Week+Half_Week&amp;$A$113&amp;"-"&amp;B$113,'F Proj'!$N$2:$N$7669,0))&amp;(Week+Half_Week),Finals!$K$2:$K$501,0)),"Bench","Starter")</f>
        <v>Starter</v>
      </c>
      <c r="K120" s="155" t="str">
        <f>IF(ISERROR(MATCH(INDEX('F Proj'!$B$2:$B$7669,MATCH($A120&amp;Week+Half_Week&amp;$A$113&amp;"-"&amp;C$113,'F Proj'!$N$2:$N$7669,0))&amp;(Week+Half_Week),Finals!$K$2:$K$501,0)),"Bench","Starter")</f>
        <v>Starter</v>
      </c>
      <c r="L120" s="155" t="str">
        <f>IF(ISERROR(MATCH(INDEX('F Proj'!$B$2:$B$7669,MATCH($A120&amp;Week+Half_Week&amp;$A$113&amp;"-"&amp;D$113,'F Proj'!$N$2:$N$7669,0))&amp;(Week+Half_Week),Finals!$K$2:$K$501,0)),"Bench","Starter")</f>
        <v>Starter</v>
      </c>
      <c r="M120" s="155" t="str">
        <f>IF(ISERROR(MATCH(INDEX('F Proj'!$B$2:$B$7669,MATCH($A120&amp;Week+Half_Week&amp;$A$113&amp;"-"&amp;E$113,'F Proj'!$N$2:$N$7669,0))&amp;(Week+Half_Week),Finals!$K$2:$K$501,0)),"Bench","Starter")</f>
        <v>Bench</v>
      </c>
      <c r="N120" s="155" t="str">
        <f>IF(ISERROR(MATCH(INDEX('F Proj'!$B$2:$B$7669,MATCH($A120&amp;Week+Half_Week&amp;$A$113&amp;"-"&amp;F$113,'F Proj'!$N$2:$N$7669,0))&amp;(Week+Half_Week),Finals!$K$2:$K$501,0)),"Bench","Starter")</f>
        <v>Bench</v>
      </c>
    </row>
    <row r="121" spans="1:14" x14ac:dyDescent="0.25">
      <c r="A121" t="s">
        <v>23</v>
      </c>
      <c r="B121" s="155">
        <f>IFERROR(INDEX('F Proj'!$O$2:$O$7669,MATCH($A121&amp;Week+Half_Week&amp;$A$113&amp;"-"&amp;B$113,'F Proj'!$N$2:$N$7669,0)),"")</f>
        <v>8</v>
      </c>
      <c r="C121" s="155">
        <f>IFERROR(INDEX('F Proj'!$O$2:$O$7669,MATCH($A121&amp;Week+Half_Week&amp;$A$113&amp;"-"&amp;C$113,'F Proj'!$N$2:$N$7669,0)),"")</f>
        <v>23</v>
      </c>
      <c r="D121" s="155">
        <f>IFERROR(INDEX('F Proj'!$O$2:$O$7669,MATCH($A121&amp;Week+Half_Week&amp;$A$113&amp;"-"&amp;D$113,'F Proj'!$N$2:$N$7669,0)),"")</f>
        <v>35</v>
      </c>
      <c r="E121" s="155">
        <f>IFERROR(INDEX('F Proj'!$O$2:$O$7669,MATCH($A121&amp;Week+Half_Week&amp;$A$113&amp;"-"&amp;E$113,'F Proj'!$N$2:$N$7669,0)),"")</f>
        <v>46</v>
      </c>
      <c r="F121" s="155">
        <f>IFERROR(INDEX('F Proj'!$O$2:$O$7669,MATCH($A121&amp;Week+Half_Week&amp;$A$113&amp;"-"&amp;F$113,'F Proj'!$N$2:$N$7669,0)),"")</f>
        <v>67</v>
      </c>
      <c r="J121" s="155" t="str">
        <f>IF(ISERROR(MATCH(INDEX('F Proj'!$B$2:$B$7669,MATCH($A121&amp;Week+Half_Week&amp;$A$113&amp;"-"&amp;B$113,'F Proj'!$N$2:$N$7669,0))&amp;(Week+Half_Week),Finals!$K$2:$K$501,0)),"Bench","Starter")</f>
        <v>Starter</v>
      </c>
      <c r="K121" s="155" t="str">
        <f>IF(ISERROR(MATCH(INDEX('F Proj'!$B$2:$B$7669,MATCH($A121&amp;Week+Half_Week&amp;$A$113&amp;"-"&amp;C$113,'F Proj'!$N$2:$N$7669,0))&amp;(Week+Half_Week),Finals!$K$2:$K$501,0)),"Bench","Starter")</f>
        <v>Starter</v>
      </c>
      <c r="L121" s="155" t="str">
        <f>IF(ISERROR(MATCH(INDEX('F Proj'!$B$2:$B$7669,MATCH($A121&amp;Week+Half_Week&amp;$A$113&amp;"-"&amp;D$113,'F Proj'!$N$2:$N$7669,0))&amp;(Week+Half_Week),Finals!$K$2:$K$501,0)),"Bench","Starter")</f>
        <v>Bench</v>
      </c>
      <c r="M121" s="155" t="str">
        <f>IF(ISERROR(MATCH(INDEX('F Proj'!$B$2:$B$7669,MATCH($A121&amp;Week+Half_Week&amp;$A$113&amp;"-"&amp;E$113,'F Proj'!$N$2:$N$7669,0))&amp;(Week+Half_Week),Finals!$K$2:$K$501,0)),"Bench","Starter")</f>
        <v>Starter</v>
      </c>
      <c r="N121" s="155" t="str">
        <f>IF(ISERROR(MATCH(INDEX('F Proj'!$B$2:$B$7669,MATCH($A121&amp;Week+Half_Week&amp;$A$113&amp;"-"&amp;F$113,'F Proj'!$N$2:$N$7669,0))&amp;(Week+Half_Week),Finals!$K$2:$K$501,0)),"Bench","Starter")</f>
        <v>Bench</v>
      </c>
    </row>
    <row r="122" spans="1:14" x14ac:dyDescent="0.25">
      <c r="A122" t="s">
        <v>49</v>
      </c>
      <c r="B122" s="155">
        <f>IFERROR(INDEX('F Proj'!$O$2:$O$7669,MATCH($A122&amp;Week+Half_Week&amp;$A$113&amp;"-"&amp;B$113,'F Proj'!$N$2:$N$7669,0)),"")</f>
        <v>9</v>
      </c>
      <c r="C122" s="155">
        <f>IFERROR(INDEX('F Proj'!$O$2:$O$7669,MATCH($A122&amp;Week+Half_Week&amp;$A$113&amp;"-"&amp;C$113,'F Proj'!$N$2:$N$7669,0)),"")</f>
        <v>14</v>
      </c>
      <c r="D122" s="155">
        <f>IFERROR(INDEX('F Proj'!$O$2:$O$7669,MATCH($A122&amp;Week+Half_Week&amp;$A$113&amp;"-"&amp;D$113,'F Proj'!$N$2:$N$7669,0)),"")</f>
        <v>20</v>
      </c>
      <c r="E122" s="155">
        <f>IFERROR(INDEX('F Proj'!$O$2:$O$7669,MATCH($A122&amp;Week+Half_Week&amp;$A$113&amp;"-"&amp;E$113,'F Proj'!$N$2:$N$7669,0)),"")</f>
        <v>26</v>
      </c>
      <c r="F122" s="155">
        <f>IFERROR(INDEX('F Proj'!$O$2:$O$7669,MATCH($A122&amp;Week+Half_Week&amp;$A$113&amp;"-"&amp;F$113,'F Proj'!$N$2:$N$7669,0)),"")</f>
        <v>80</v>
      </c>
      <c r="J122" s="155" t="str">
        <f>IF(ISERROR(MATCH(INDEX('F Proj'!$B$2:$B$7669,MATCH($A122&amp;Week+Half_Week&amp;$A$113&amp;"-"&amp;B$113,'F Proj'!$N$2:$N$7669,0))&amp;(Week+Half_Week),Finals!$K$2:$K$501,0)),"Bench","Starter")</f>
        <v>Starter</v>
      </c>
      <c r="K122" s="155" t="str">
        <f>IF(ISERROR(MATCH(INDEX('F Proj'!$B$2:$B$7669,MATCH($A122&amp;Week+Half_Week&amp;$A$113&amp;"-"&amp;C$113,'F Proj'!$N$2:$N$7669,0))&amp;(Week+Half_Week),Finals!$K$2:$K$501,0)),"Bench","Starter")</f>
        <v>Starter</v>
      </c>
      <c r="L122" s="155" t="str">
        <f>IF(ISERROR(MATCH(INDEX('F Proj'!$B$2:$B$7669,MATCH($A122&amp;Week+Half_Week&amp;$A$113&amp;"-"&amp;D$113,'F Proj'!$N$2:$N$7669,0))&amp;(Week+Half_Week),Finals!$K$2:$K$501,0)),"Bench","Starter")</f>
        <v>Starter</v>
      </c>
      <c r="M122" s="155" t="str">
        <f>IF(ISERROR(MATCH(INDEX('F Proj'!$B$2:$B$7669,MATCH($A122&amp;Week+Half_Week&amp;$A$113&amp;"-"&amp;E$113,'F Proj'!$N$2:$N$7669,0))&amp;(Week+Half_Week),Finals!$K$2:$K$501,0)),"Bench","Starter")</f>
        <v>Starter</v>
      </c>
      <c r="N122" s="155" t="str">
        <f>IF(ISERROR(MATCH(INDEX('F Proj'!$B$2:$B$7669,MATCH($A122&amp;Week+Half_Week&amp;$A$113&amp;"-"&amp;F$113,'F Proj'!$N$2:$N$7669,0))&amp;(Week+Half_Week),Finals!$K$2:$K$501,0)),"Bench","Starter")</f>
        <v>Bench</v>
      </c>
    </row>
    <row r="123" spans="1:14" x14ac:dyDescent="0.25">
      <c r="A123" t="s">
        <v>44</v>
      </c>
      <c r="B123" s="155">
        <f>IFERROR(INDEX('F Proj'!$O$2:$O$7669,MATCH($A123&amp;Week+Half_Week&amp;$A$113&amp;"-"&amp;B$113,'F Proj'!$N$2:$N$7669,0)),"")</f>
        <v>6</v>
      </c>
      <c r="C123" s="155">
        <f>IFERROR(INDEX('F Proj'!$O$2:$O$7669,MATCH($A123&amp;Week+Half_Week&amp;$A$113&amp;"-"&amp;C$113,'F Proj'!$N$2:$N$7669,0)),"")</f>
        <v>7</v>
      </c>
      <c r="D123" s="155">
        <f>IFERROR(INDEX('F Proj'!$O$2:$O$7669,MATCH($A123&amp;Week+Half_Week&amp;$A$113&amp;"-"&amp;D$113,'F Proj'!$N$2:$N$7669,0)),"")</f>
        <v>28</v>
      </c>
      <c r="E123" s="155">
        <f>IFERROR(INDEX('F Proj'!$O$2:$O$7669,MATCH($A123&amp;Week+Half_Week&amp;$A$113&amp;"-"&amp;E$113,'F Proj'!$N$2:$N$7669,0)),"")</f>
        <v>36</v>
      </c>
      <c r="F123" s="155">
        <f>IFERROR(INDEX('F Proj'!$O$2:$O$7669,MATCH($A123&amp;Week+Half_Week&amp;$A$113&amp;"-"&amp;F$113,'F Proj'!$N$2:$N$7669,0)),"")</f>
        <v>88</v>
      </c>
      <c r="J123" s="155" t="str">
        <f>IF(ISERROR(MATCH(INDEX('F Proj'!$B$2:$B$7669,MATCH($A123&amp;Week+Half_Week&amp;$A$113&amp;"-"&amp;B$113,'F Proj'!$N$2:$N$7669,0))&amp;(Week+Half_Week),Finals!$K$2:$K$501,0)),"Bench","Starter")</f>
        <v>Starter</v>
      </c>
      <c r="K123" s="155" t="str">
        <f>IF(ISERROR(MATCH(INDEX('F Proj'!$B$2:$B$7669,MATCH($A123&amp;Week+Half_Week&amp;$A$113&amp;"-"&amp;C$113,'F Proj'!$N$2:$N$7669,0))&amp;(Week+Half_Week),Finals!$K$2:$K$501,0)),"Bench","Starter")</f>
        <v>Starter</v>
      </c>
      <c r="L123" s="155" t="str">
        <f>IF(ISERROR(MATCH(INDEX('F Proj'!$B$2:$B$7669,MATCH($A123&amp;Week+Half_Week&amp;$A$113&amp;"-"&amp;D$113,'F Proj'!$N$2:$N$7669,0))&amp;(Week+Half_Week),Finals!$K$2:$K$501,0)),"Bench","Starter")</f>
        <v>Bench</v>
      </c>
      <c r="M123" s="155" t="str">
        <f>IF(ISERROR(MATCH(INDEX('F Proj'!$B$2:$B$7669,MATCH($A123&amp;Week+Half_Week&amp;$A$113&amp;"-"&amp;E$113,'F Proj'!$N$2:$N$7669,0))&amp;(Week+Half_Week),Finals!$K$2:$K$501,0)),"Bench","Starter")</f>
        <v>Starter</v>
      </c>
      <c r="N123" s="155" t="str">
        <f>IF(ISERROR(MATCH(INDEX('F Proj'!$B$2:$B$7669,MATCH($A123&amp;Week+Half_Week&amp;$A$113&amp;"-"&amp;F$113,'F Proj'!$N$2:$N$7669,0))&amp;(Week+Half_Week),Finals!$K$2:$K$501,0)),"Bench","Starter")</f>
        <v>Bench</v>
      </c>
    </row>
  </sheetData>
  <conditionalFormatting sqref="B102:E111">
    <cfRule type="expression" dxfId="18" priority="9">
      <formula>J102="Bench"</formula>
    </cfRule>
    <cfRule type="cellIs" dxfId="17" priority="19" operator="between">
      <formula>21</formula>
      <formula>30</formula>
    </cfRule>
    <cfRule type="cellIs" dxfId="16" priority="20" operator="between">
      <formula>11</formula>
      <formula>20</formula>
    </cfRule>
    <cfRule type="cellIs" dxfId="15" priority="21" operator="lessThan">
      <formula>11</formula>
    </cfRule>
  </conditionalFormatting>
  <conditionalFormatting sqref="J102:M111">
    <cfRule type="cellIs" dxfId="14" priority="13" operator="between">
      <formula>21</formula>
      <formula>30</formula>
    </cfRule>
    <cfRule type="cellIs" dxfId="13" priority="14" operator="between">
      <formula>11</formula>
      <formula>20</formula>
    </cfRule>
    <cfRule type="cellIs" dxfId="12" priority="15" operator="lessThan">
      <formula>11</formula>
    </cfRule>
  </conditionalFormatting>
  <conditionalFormatting sqref="J114:N123">
    <cfRule type="cellIs" dxfId="11" priority="10" operator="between">
      <formula>21</formula>
      <formula>30</formula>
    </cfRule>
    <cfRule type="cellIs" dxfId="10" priority="11" operator="between">
      <formula>11</formula>
      <formula>20</formula>
    </cfRule>
    <cfRule type="cellIs" dxfId="9" priority="12" operator="lessThan">
      <formula>11</formula>
    </cfRule>
  </conditionalFormatting>
  <conditionalFormatting sqref="B114:E123">
    <cfRule type="expression" dxfId="8" priority="5">
      <formula>J114="Bench"</formula>
    </cfRule>
    <cfRule type="cellIs" dxfId="7" priority="6" operator="between">
      <formula>21</formula>
      <formula>30</formula>
    </cfRule>
    <cfRule type="cellIs" dxfId="6" priority="7" operator="between">
      <formula>11</formula>
      <formula>20</formula>
    </cfRule>
    <cfRule type="cellIs" dxfId="5" priority="8" operator="lessThan">
      <formula>11</formula>
    </cfRule>
  </conditionalFormatting>
  <conditionalFormatting sqref="F114:F123">
    <cfRule type="expression" dxfId="4" priority="1">
      <formula>N114="Bench"</formula>
    </cfRule>
    <cfRule type="cellIs" dxfId="3" priority="2" operator="between">
      <formula>21</formula>
      <formula>30</formula>
    </cfRule>
    <cfRule type="cellIs" dxfId="2" priority="3" operator="between">
      <formula>11</formula>
      <formula>20</formula>
    </cfRule>
    <cfRule type="cellIs" dxfId="1" priority="4" operator="lessThan">
      <formula>11</formula>
    </cfRule>
  </conditionalFormatting>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8" manualMin="-8" type="column" displayEmptyCellsAs="gap" minAxisType="custom" maxAxisType="custom">
          <x14:colorSeries rgb="FF376092"/>
          <x14:colorNegative rgb="FFD00000"/>
          <x14:colorAxis rgb="FF000000"/>
          <x14:colorMarkers rgb="FFD00000"/>
          <x14:colorFirst rgb="FFD00000"/>
          <x14:colorLast rgb="FFD00000"/>
          <x14:colorHigh rgb="FFD00000"/>
          <x14:colorLow rgb="FFD00000"/>
          <x14:sparklines>
            <x14:sparkline>
              <xm:f>'Team Breakdown'!B25:Q25</xm:f>
              <xm:sqref>R25</xm:sqref>
            </x14:sparkline>
            <x14:sparkline>
              <xm:f>'Team Breakdown'!B26:Q26</xm:f>
              <xm:sqref>R26</xm:sqref>
            </x14:sparkline>
            <x14:sparkline>
              <xm:f>'Team Breakdown'!B27:Q27</xm:f>
              <xm:sqref>R27</xm:sqref>
            </x14:sparkline>
            <x14:sparkline>
              <xm:f>'Team Breakdown'!B28:Q28</xm:f>
              <xm:sqref>R28</xm:sqref>
            </x14:sparkline>
            <x14:sparkline>
              <xm:f>'Team Breakdown'!B29:Q29</xm:f>
              <xm:sqref>R29</xm:sqref>
            </x14:sparkline>
            <x14:sparkline>
              <xm:f>'Team Breakdown'!B30:Q30</xm:f>
              <xm:sqref>R30</xm:sqref>
            </x14:sparkline>
            <x14:sparkline>
              <xm:f>'Team Breakdown'!B31:Q31</xm:f>
              <xm:sqref>R31</xm:sqref>
            </x14:sparkline>
            <x14:sparkline>
              <xm:f>'Team Breakdown'!B32:Q32</xm:f>
              <xm:sqref>R32</xm:sqref>
            </x14:sparkline>
            <x14:sparkline>
              <xm:f>'Team Breakdown'!B33:Q33</xm:f>
              <xm:sqref>R33</xm:sqref>
            </x14:sparkline>
            <x14:sparkline>
              <xm:f>'Team Breakdown'!B34:Q34</xm:f>
              <xm:sqref>R34</xm:sqref>
            </x14:sparkline>
          </x14:sparklines>
        </x14:sparklineGroup>
      </x14:sparklineGroup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N12"/>
  <sheetViews>
    <sheetView workbookViewId="0">
      <selection activeCell="G9" sqref="G9"/>
    </sheetView>
  </sheetViews>
  <sheetFormatPr defaultRowHeight="15" x14ac:dyDescent="0.25"/>
  <cols>
    <col min="2" max="2" width="8.5703125" customWidth="1"/>
    <col min="3" max="3" width="9.7109375" bestFit="1" customWidth="1"/>
    <col min="4" max="4" width="15.7109375" customWidth="1"/>
    <col min="8" max="8" width="10.42578125" bestFit="1" customWidth="1"/>
    <col min="9" max="10" width="9.140625" customWidth="1"/>
    <col min="11" max="11" width="10.42578125" bestFit="1" customWidth="1"/>
    <col min="12" max="12" width="0" hidden="1" customWidth="1"/>
    <col min="13" max="13" width="15.140625" hidden="1" customWidth="1"/>
    <col min="14" max="14" width="20.7109375" hidden="1" customWidth="1"/>
  </cols>
  <sheetData>
    <row r="1" spans="1:14" x14ac:dyDescent="0.25">
      <c r="A1" s="34"/>
      <c r="B1" s="34"/>
      <c r="C1" s="34"/>
      <c r="D1" s="166" t="s">
        <v>823</v>
      </c>
      <c r="E1" s="166"/>
      <c r="F1" s="166"/>
      <c r="G1" s="166"/>
      <c r="H1" s="166"/>
      <c r="I1" s="166" t="s">
        <v>824</v>
      </c>
      <c r="J1" s="166"/>
      <c r="K1" s="166"/>
      <c r="M1" s="167" t="s">
        <v>829</v>
      </c>
      <c r="N1" s="167" t="s">
        <v>830</v>
      </c>
    </row>
    <row r="2" spans="1:14" x14ac:dyDescent="0.25">
      <c r="A2" s="34" t="s">
        <v>813</v>
      </c>
      <c r="B2" s="34" t="s">
        <v>739</v>
      </c>
      <c r="C2" s="34" t="s">
        <v>817</v>
      </c>
      <c r="D2" s="34" t="s">
        <v>0</v>
      </c>
      <c r="E2" s="44" t="s">
        <v>821</v>
      </c>
      <c r="F2" s="44" t="s">
        <v>822</v>
      </c>
      <c r="G2" s="44" t="s">
        <v>782</v>
      </c>
      <c r="H2" s="44" t="s">
        <v>826</v>
      </c>
      <c r="I2" s="44" t="s">
        <v>821</v>
      </c>
      <c r="J2" s="44" t="s">
        <v>822</v>
      </c>
      <c r="K2" s="44" t="s">
        <v>826</v>
      </c>
      <c r="M2" s="167"/>
      <c r="N2" s="167"/>
    </row>
    <row r="3" spans="1:14" x14ac:dyDescent="0.25">
      <c r="A3" s="40">
        <v>2007</v>
      </c>
      <c r="B3" s="40" t="s">
        <v>814</v>
      </c>
      <c r="C3" s="40" t="s">
        <v>818</v>
      </c>
      <c r="D3" s="41" t="s">
        <v>825</v>
      </c>
      <c r="E3" s="42">
        <v>321</v>
      </c>
      <c r="F3" s="42">
        <v>31</v>
      </c>
      <c r="G3" s="42">
        <v>15</v>
      </c>
      <c r="H3" s="48">
        <f>(E3+F3)/G3</f>
        <v>23.466666666666665</v>
      </c>
      <c r="I3" s="43">
        <v>107</v>
      </c>
      <c r="J3" s="43">
        <v>27</v>
      </c>
      <c r="K3" s="47">
        <f>(I3+J3)/16</f>
        <v>8.375</v>
      </c>
      <c r="L3" s="40"/>
      <c r="M3" s="45">
        <f>SUM(E3:F3)+SUM(I3:J3)</f>
        <v>486</v>
      </c>
      <c r="N3" s="46">
        <f>((H3/(K3+H3))*M3)/16</f>
        <v>22.385762889295997</v>
      </c>
    </row>
    <row r="4" spans="1:14" x14ac:dyDescent="0.25">
      <c r="A4" s="40">
        <f>A3+1</f>
        <v>2008</v>
      </c>
      <c r="B4" s="40" t="s">
        <v>814</v>
      </c>
      <c r="C4" s="40" t="s">
        <v>818</v>
      </c>
      <c r="D4" s="41" t="s">
        <v>825</v>
      </c>
      <c r="E4" s="42">
        <v>210</v>
      </c>
      <c r="F4" s="42">
        <v>10</v>
      </c>
      <c r="G4" s="42">
        <v>10</v>
      </c>
      <c r="H4" s="48">
        <f t="shared" ref="H4:H12" si="0">(E4+F4)/G4</f>
        <v>22</v>
      </c>
      <c r="I4" s="43">
        <f>159+28</f>
        <v>187</v>
      </c>
      <c r="J4" s="43">
        <f>2+56</f>
        <v>58</v>
      </c>
      <c r="K4" s="47">
        <f t="shared" ref="K4:K12" si="1">(I4+J4)/16</f>
        <v>15.3125</v>
      </c>
      <c r="L4" s="40"/>
      <c r="M4" s="45">
        <f t="shared" ref="M4:M12" si="2">SUM(E4:F4)+SUM(I4:J4)</f>
        <v>465</v>
      </c>
      <c r="N4" s="46">
        <f t="shared" ref="N4:N12" si="3">((H4/(K4+H4))*M4)/16</f>
        <v>17.1356783919598</v>
      </c>
    </row>
    <row r="5" spans="1:14" x14ac:dyDescent="0.25">
      <c r="A5" s="40">
        <f t="shared" ref="A5:A12" si="4">A4+1</f>
        <v>2009</v>
      </c>
      <c r="B5" s="40" t="s">
        <v>814</v>
      </c>
      <c r="C5" s="40" t="s">
        <v>818</v>
      </c>
      <c r="D5" s="41" t="s">
        <v>827</v>
      </c>
      <c r="E5" s="42">
        <v>242</v>
      </c>
      <c r="F5" s="42">
        <v>32</v>
      </c>
      <c r="G5" s="42">
        <v>16</v>
      </c>
      <c r="H5" s="48">
        <f t="shared" si="0"/>
        <v>17.125</v>
      </c>
      <c r="I5" s="43">
        <f>98+35</f>
        <v>133</v>
      </c>
      <c r="J5" s="43">
        <f>7+31</f>
        <v>38</v>
      </c>
      <c r="K5" s="47">
        <f t="shared" si="1"/>
        <v>10.6875</v>
      </c>
      <c r="L5" s="40"/>
      <c r="M5" s="45">
        <f t="shared" si="2"/>
        <v>445</v>
      </c>
      <c r="N5" s="46">
        <f t="shared" si="3"/>
        <v>17.125</v>
      </c>
    </row>
    <row r="6" spans="1:14" x14ac:dyDescent="0.25">
      <c r="A6" s="40">
        <f t="shared" si="4"/>
        <v>2010</v>
      </c>
      <c r="B6" s="40" t="s">
        <v>814</v>
      </c>
      <c r="C6" s="40" t="s">
        <v>818</v>
      </c>
      <c r="D6" s="41" t="s">
        <v>827</v>
      </c>
      <c r="E6" s="42">
        <v>324</v>
      </c>
      <c r="F6" s="42">
        <v>34</v>
      </c>
      <c r="G6" s="42">
        <v>16</v>
      </c>
      <c r="H6" s="48">
        <f t="shared" si="0"/>
        <v>22.375</v>
      </c>
      <c r="I6" s="43">
        <f>52+33+9</f>
        <v>94</v>
      </c>
      <c r="J6" s="43">
        <v>41</v>
      </c>
      <c r="K6" s="47">
        <f t="shared" si="1"/>
        <v>8.4375</v>
      </c>
      <c r="L6" s="40"/>
      <c r="M6" s="45">
        <f t="shared" si="2"/>
        <v>493</v>
      </c>
      <c r="N6" s="46">
        <f t="shared" si="3"/>
        <v>22.375</v>
      </c>
    </row>
    <row r="7" spans="1:14" x14ac:dyDescent="0.25">
      <c r="A7" s="40">
        <f t="shared" si="4"/>
        <v>2011</v>
      </c>
      <c r="B7" s="40" t="s">
        <v>814</v>
      </c>
      <c r="C7" s="40" t="s">
        <v>818</v>
      </c>
      <c r="D7" s="41" t="s">
        <v>827</v>
      </c>
      <c r="E7" s="42">
        <v>228</v>
      </c>
      <c r="F7" s="42">
        <v>28</v>
      </c>
      <c r="G7" s="42">
        <v>15</v>
      </c>
      <c r="H7" s="48">
        <f t="shared" si="0"/>
        <v>17.066666666666666</v>
      </c>
      <c r="I7" s="43">
        <f>110+22+16</f>
        <v>148</v>
      </c>
      <c r="J7" s="43">
        <f>22+15</f>
        <v>37</v>
      </c>
      <c r="K7" s="47">
        <f t="shared" si="1"/>
        <v>11.5625</v>
      </c>
      <c r="L7" s="40"/>
      <c r="M7" s="45">
        <f t="shared" si="2"/>
        <v>441</v>
      </c>
      <c r="N7" s="46">
        <f t="shared" si="3"/>
        <v>16.430796099548829</v>
      </c>
    </row>
    <row r="8" spans="1:14" x14ac:dyDescent="0.25">
      <c r="A8" s="40">
        <f t="shared" si="4"/>
        <v>2012</v>
      </c>
      <c r="B8" s="40" t="s">
        <v>815</v>
      </c>
      <c r="C8" s="40" t="s">
        <v>819</v>
      </c>
      <c r="D8" s="41" t="s">
        <v>828</v>
      </c>
      <c r="E8" s="42">
        <v>211</v>
      </c>
      <c r="F8" s="42">
        <v>27</v>
      </c>
      <c r="G8" s="42">
        <v>16</v>
      </c>
      <c r="H8" s="48">
        <f t="shared" si="0"/>
        <v>14.875</v>
      </c>
      <c r="I8" s="43">
        <f>108+32+13</f>
        <v>153</v>
      </c>
      <c r="J8" s="43">
        <v>23</v>
      </c>
      <c r="K8" s="47">
        <f t="shared" si="1"/>
        <v>11</v>
      </c>
      <c r="L8" s="40"/>
      <c r="M8" s="45">
        <f t="shared" si="2"/>
        <v>414</v>
      </c>
      <c r="N8" s="46">
        <f t="shared" si="3"/>
        <v>14.875</v>
      </c>
    </row>
    <row r="9" spans="1:14" x14ac:dyDescent="0.25">
      <c r="A9" s="40">
        <f t="shared" si="4"/>
        <v>2013</v>
      </c>
      <c r="B9" s="40" t="s">
        <v>816</v>
      </c>
      <c r="C9" s="40" t="s">
        <v>820</v>
      </c>
      <c r="D9" s="41" t="s">
        <v>827</v>
      </c>
      <c r="E9" s="42">
        <v>217</v>
      </c>
      <c r="F9" s="42">
        <v>21</v>
      </c>
      <c r="G9" s="42">
        <v>15</v>
      </c>
      <c r="H9" s="48">
        <f t="shared" si="0"/>
        <v>15.866666666666667</v>
      </c>
      <c r="I9" s="43">
        <f>118+36+18</f>
        <v>172</v>
      </c>
      <c r="J9" s="43">
        <f>57+22</f>
        <v>79</v>
      </c>
      <c r="K9" s="47">
        <f t="shared" si="1"/>
        <v>15.6875</v>
      </c>
      <c r="L9" s="40"/>
      <c r="M9" s="45">
        <f t="shared" si="2"/>
        <v>489</v>
      </c>
      <c r="N9" s="46">
        <f t="shared" si="3"/>
        <v>15.368017958536909</v>
      </c>
    </row>
    <row r="10" spans="1:14" x14ac:dyDescent="0.25">
      <c r="A10" s="40">
        <f t="shared" si="4"/>
        <v>2014</v>
      </c>
      <c r="B10" s="40" t="s">
        <v>816</v>
      </c>
      <c r="C10" s="40" t="s">
        <v>820</v>
      </c>
      <c r="D10" s="41" t="s">
        <v>831</v>
      </c>
      <c r="E10" s="42">
        <v>201</v>
      </c>
      <c r="F10" s="42">
        <v>64</v>
      </c>
      <c r="G10" s="42">
        <v>12</v>
      </c>
      <c r="H10" s="48">
        <f t="shared" si="0"/>
        <v>22.083333333333332</v>
      </c>
      <c r="I10" s="43">
        <f>63+53+31</f>
        <v>147</v>
      </c>
      <c r="J10" s="43">
        <f>15+20</f>
        <v>35</v>
      </c>
      <c r="K10" s="47">
        <f t="shared" si="1"/>
        <v>11.375</v>
      </c>
      <c r="L10" s="40"/>
      <c r="M10" s="45">
        <f t="shared" si="2"/>
        <v>447</v>
      </c>
      <c r="N10" s="46">
        <f>((H10/(K10+H10))*M10)/16</f>
        <v>18.439445828144461</v>
      </c>
    </row>
    <row r="11" spans="1:14" x14ac:dyDescent="0.25">
      <c r="A11" s="40">
        <f t="shared" si="4"/>
        <v>2015</v>
      </c>
      <c r="B11" s="40" t="s">
        <v>816</v>
      </c>
      <c r="C11" s="40" t="s">
        <v>820</v>
      </c>
      <c r="D11" s="41" t="s">
        <v>832</v>
      </c>
      <c r="E11" s="42">
        <v>196</v>
      </c>
      <c r="F11" s="42">
        <v>13</v>
      </c>
      <c r="G11" s="42">
        <v>11</v>
      </c>
      <c r="H11" s="48">
        <f t="shared" si="0"/>
        <v>19</v>
      </c>
      <c r="I11" s="43">
        <f>125+45+27+17</f>
        <v>214</v>
      </c>
      <c r="J11" s="43">
        <f>57+24+5</f>
        <v>86</v>
      </c>
      <c r="K11" s="47">
        <f t="shared" si="1"/>
        <v>18.75</v>
      </c>
      <c r="L11" s="40"/>
      <c r="M11" s="45">
        <f t="shared" si="2"/>
        <v>509</v>
      </c>
      <c r="N11" s="46">
        <f t="shared" si="3"/>
        <v>16.01158940397351</v>
      </c>
    </row>
    <row r="12" spans="1:14" x14ac:dyDescent="0.25">
      <c r="A12" s="40">
        <f t="shared" si="4"/>
        <v>2016</v>
      </c>
      <c r="B12" s="40" t="s">
        <v>816</v>
      </c>
      <c r="C12" s="40" t="s">
        <v>820</v>
      </c>
      <c r="D12" s="41" t="s">
        <v>833</v>
      </c>
      <c r="E12" s="42">
        <v>293</v>
      </c>
      <c r="F12" s="42">
        <v>120</v>
      </c>
      <c r="G12" s="42">
        <v>16</v>
      </c>
      <c r="H12" s="48">
        <f t="shared" si="0"/>
        <v>25.8125</v>
      </c>
      <c r="I12" s="43">
        <f>34+25+18+4</f>
        <v>81</v>
      </c>
      <c r="J12" s="43">
        <v>22</v>
      </c>
      <c r="K12" s="47">
        <f t="shared" si="1"/>
        <v>6.4375</v>
      </c>
      <c r="L12" s="40"/>
      <c r="M12" s="45">
        <f t="shared" si="2"/>
        <v>516</v>
      </c>
      <c r="N12" s="46">
        <f t="shared" si="3"/>
        <v>25.8125</v>
      </c>
    </row>
  </sheetData>
  <mergeCells count="4">
    <mergeCell ref="D1:H1"/>
    <mergeCell ref="I1:K1"/>
    <mergeCell ref="N1:N2"/>
    <mergeCell ref="M1:M2"/>
  </mergeCell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O19"/>
  <sheetViews>
    <sheetView zoomScale="90" zoomScaleNormal="90" workbookViewId="0">
      <selection activeCell="R6" sqref="R6"/>
    </sheetView>
  </sheetViews>
  <sheetFormatPr defaultRowHeight="15" x14ac:dyDescent="0.25"/>
  <cols>
    <col min="3" max="3" width="17.140625" bestFit="1" customWidth="1"/>
    <col min="4" max="7" width="7.140625" customWidth="1"/>
    <col min="8" max="8" width="6" customWidth="1"/>
    <col min="9" max="9" width="6.5703125" customWidth="1"/>
    <col min="10" max="10" width="6" customWidth="1"/>
  </cols>
  <sheetData>
    <row r="1" spans="1:15" ht="15" customHeight="1" x14ac:dyDescent="0.25">
      <c r="A1">
        <v>10</v>
      </c>
      <c r="C1" s="51" t="str">
        <f>INDEX($M$2:$M$11,A1)</f>
        <v>seth</v>
      </c>
      <c r="D1" s="168" t="s">
        <v>747</v>
      </c>
      <c r="E1" s="168"/>
      <c r="F1" s="168"/>
      <c r="G1" s="168"/>
      <c r="H1" s="168"/>
      <c r="I1" s="169" t="s">
        <v>847</v>
      </c>
      <c r="J1" s="169"/>
      <c r="N1" t="s">
        <v>839</v>
      </c>
      <c r="O1" t="s">
        <v>840</v>
      </c>
    </row>
    <row r="2" spans="1:15" x14ac:dyDescent="0.25">
      <c r="A2">
        <v>0</v>
      </c>
      <c r="B2" t="s">
        <v>841</v>
      </c>
      <c r="C2" s="52" t="s">
        <v>0</v>
      </c>
      <c r="D2" s="53" t="s">
        <v>842</v>
      </c>
      <c r="E2" s="53" t="s">
        <v>843</v>
      </c>
      <c r="F2" s="53" t="s">
        <v>844</v>
      </c>
      <c r="G2" s="53" t="s">
        <v>845</v>
      </c>
      <c r="H2" s="53" t="s">
        <v>846</v>
      </c>
      <c r="I2" s="54" t="s">
        <v>848</v>
      </c>
      <c r="J2" s="54" t="s">
        <v>849</v>
      </c>
      <c r="M2" t="s">
        <v>20</v>
      </c>
      <c r="N2">
        <f>COUNTIFS(Rosters!$A$2:$A$155,$M2,Rosters!$G$2:$G$155,N$1)</f>
        <v>9</v>
      </c>
      <c r="O2">
        <f>COUNTIFS(Rosters!$A$2:$A$155,$M2,Rosters!$G$2:$G$155,O$1)</f>
        <v>6</v>
      </c>
    </row>
    <row r="3" spans="1:15" x14ac:dyDescent="0.25">
      <c r="A3">
        <f t="shared" ref="A3:A19" si="0">IF(INDEX($N$2:$N$11,$A$1)=A2,0,A2+1)</f>
        <v>1</v>
      </c>
      <c r="B3" t="str">
        <f>IF(INDEX($N$2:$N$11,$A$1)=A2,"Non",B2)</f>
        <v>Flex</v>
      </c>
      <c r="C3" s="49" t="str">
        <f>IFERROR(INDEX(Rosters!$B$2:$B$155,MATCH($C$1&amp;B3&amp;A3,Rosters!$H$2:$H$155,0)),IF(A3=0,C$2,""))</f>
        <v>Alex Collins</v>
      </c>
      <c r="D3" s="50" t="str">
        <f>IF($A3=0,"Top 4","")</f>
        <v/>
      </c>
      <c r="E3" s="50" t="str">
        <f>IF($A3=0,"Top 8","")</f>
        <v/>
      </c>
      <c r="F3" s="50" t="str">
        <f>IF($A3=0,"Top 12","")</f>
        <v/>
      </c>
      <c r="G3" s="50" t="str">
        <f>IF($A3=0,"Top 16","")</f>
        <v/>
      </c>
      <c r="H3" s="50" t="str">
        <f t="shared" ref="H3:H19" si="1">IF($A3=0,"16+","")</f>
        <v/>
      </c>
      <c r="I3" s="50" t="str">
        <f>IF($A3=0,"Down","")</f>
        <v/>
      </c>
      <c r="J3" s="50" t="str">
        <f>IF($A3=0,"Up","")</f>
        <v/>
      </c>
      <c r="M3" t="s">
        <v>16</v>
      </c>
      <c r="N3">
        <f>COUNTIFS(Rosters!$A$2:$A$155,$M3,Rosters!$G$2:$G$155,N$1)</f>
        <v>10</v>
      </c>
      <c r="O3">
        <f>COUNTIFS(Rosters!$A$2:$A$155,$M3,Rosters!$G$2:$G$155,O$1)</f>
        <v>5</v>
      </c>
    </row>
    <row r="4" spans="1:15" x14ac:dyDescent="0.25">
      <c r="A4">
        <f t="shared" si="0"/>
        <v>2</v>
      </c>
      <c r="B4" t="str">
        <f t="shared" ref="B4:B19" si="2">IF(INDEX($N$2:$N$11,$A$1)=A3,"Non",B3)</f>
        <v>Flex</v>
      </c>
      <c r="C4" s="49" t="str">
        <f>IFERROR(INDEX(Rosters!$B$2:$B$155,MATCH($C$1&amp;B4&amp;A4,Rosters!$H$2:$H$155,0)),IF(A4=0,C$2,""))</f>
        <v>T.J. Yeldon</v>
      </c>
      <c r="D4" s="50" t="str">
        <f t="shared" ref="D4:D19" si="3">IF($A4=0,"Top 4","")</f>
        <v/>
      </c>
      <c r="E4" s="50" t="str">
        <f t="shared" ref="E4:E19" si="4">IF($A4=0,"Top 8","")</f>
        <v/>
      </c>
      <c r="F4" s="50" t="str">
        <f t="shared" ref="F4:F19" si="5">IF($A4=0,"Top 12","")</f>
        <v/>
      </c>
      <c r="G4" s="50" t="str">
        <f t="shared" ref="G4:G19" si="6">IF($A4=0,"Top 16","")</f>
        <v/>
      </c>
      <c r="H4" s="50" t="str">
        <f t="shared" si="1"/>
        <v/>
      </c>
      <c r="I4" s="50" t="str">
        <f t="shared" ref="I4:I19" si="7">IF($A4=0,"Down","")</f>
        <v/>
      </c>
      <c r="J4" s="50" t="str">
        <f t="shared" ref="J4:J19" si="8">IF($A4=0,"Up","")</f>
        <v/>
      </c>
      <c r="M4" t="s">
        <v>55</v>
      </c>
      <c r="N4">
        <f>COUNTIFS(Rosters!$A$2:$A$155,$M4,Rosters!$G$2:$G$155,N$1)</f>
        <v>11</v>
      </c>
      <c r="O4">
        <f>COUNTIFS(Rosters!$A$2:$A$155,$M4,Rosters!$G$2:$G$155,O$1)</f>
        <v>5</v>
      </c>
    </row>
    <row r="5" spans="1:15" x14ac:dyDescent="0.25">
      <c r="A5">
        <f t="shared" si="0"/>
        <v>3</v>
      </c>
      <c r="B5" t="str">
        <f t="shared" si="2"/>
        <v>Flex</v>
      </c>
      <c r="C5" s="49" t="str">
        <f>IFERROR(INDEX(Rosters!$B$2:$B$155,MATCH($C$1&amp;B5&amp;A5,Rosters!$H$2:$H$155,0)),IF(A5=0,C$2,""))</f>
        <v>Derrick Henry</v>
      </c>
      <c r="D5" s="50" t="str">
        <f t="shared" si="3"/>
        <v/>
      </c>
      <c r="E5" s="50" t="str">
        <f t="shared" si="4"/>
        <v/>
      </c>
      <c r="F5" s="50" t="str">
        <f t="shared" si="5"/>
        <v/>
      </c>
      <c r="G5" s="50" t="str">
        <f t="shared" si="6"/>
        <v/>
      </c>
      <c r="H5" s="50" t="str">
        <f t="shared" si="1"/>
        <v/>
      </c>
      <c r="I5" s="50" t="str">
        <f t="shared" si="7"/>
        <v/>
      </c>
      <c r="J5" s="50" t="str">
        <f t="shared" si="8"/>
        <v/>
      </c>
      <c r="M5" t="s">
        <v>35</v>
      </c>
      <c r="N5">
        <f>COUNTIFS(Rosters!$A$2:$A$155,$M5,Rosters!$G$2:$G$155,N$1)</f>
        <v>10</v>
      </c>
      <c r="O5">
        <f>COUNTIFS(Rosters!$A$2:$A$155,$M5,Rosters!$G$2:$G$155,O$1)</f>
        <v>6</v>
      </c>
    </row>
    <row r="6" spans="1:15" x14ac:dyDescent="0.25">
      <c r="A6">
        <f t="shared" si="0"/>
        <v>4</v>
      </c>
      <c r="B6" t="str">
        <f t="shared" si="2"/>
        <v>Flex</v>
      </c>
      <c r="C6" s="49" t="str">
        <f>IFERROR(INDEX(Rosters!$B$2:$B$155,MATCH($C$1&amp;B6&amp;A6,Rosters!$H$2:$H$155,0)),IF(A6=0,C$2,""))</f>
        <v>Odell Beckham Jr.</v>
      </c>
      <c r="D6" s="50" t="str">
        <f t="shared" si="3"/>
        <v/>
      </c>
      <c r="E6" s="50" t="str">
        <f t="shared" si="4"/>
        <v/>
      </c>
      <c r="F6" s="50" t="str">
        <f t="shared" si="5"/>
        <v/>
      </c>
      <c r="G6" s="50" t="str">
        <f t="shared" si="6"/>
        <v/>
      </c>
      <c r="H6" s="50" t="str">
        <f t="shared" si="1"/>
        <v/>
      </c>
      <c r="I6" s="50" t="str">
        <f t="shared" si="7"/>
        <v/>
      </c>
      <c r="J6" s="50" t="str">
        <f t="shared" si="8"/>
        <v/>
      </c>
      <c r="M6" t="s">
        <v>27</v>
      </c>
      <c r="N6">
        <f>COUNTIFS(Rosters!$A$2:$A$155,$M6,Rosters!$G$2:$G$155,N$1)</f>
        <v>10</v>
      </c>
      <c r="O6">
        <f>COUNTIFS(Rosters!$A$2:$A$155,$M6,Rosters!$G$2:$G$155,O$1)</f>
        <v>6</v>
      </c>
    </row>
    <row r="7" spans="1:15" x14ac:dyDescent="0.25">
      <c r="A7">
        <f t="shared" si="0"/>
        <v>5</v>
      </c>
      <c r="B7" t="str">
        <f t="shared" si="2"/>
        <v>Flex</v>
      </c>
      <c r="C7" s="49" t="str">
        <f>IFERROR(INDEX(Rosters!$B$2:$B$155,MATCH($C$1&amp;B7&amp;A7,Rosters!$H$2:$H$155,0)),IF(A7=0,C$2,""))</f>
        <v>Adam Thielen</v>
      </c>
      <c r="D7" s="50" t="str">
        <f t="shared" si="3"/>
        <v/>
      </c>
      <c r="E7" s="50" t="str">
        <f t="shared" si="4"/>
        <v/>
      </c>
      <c r="F7" s="50" t="str">
        <f t="shared" si="5"/>
        <v/>
      </c>
      <c r="G7" s="50" t="str">
        <f t="shared" si="6"/>
        <v/>
      </c>
      <c r="H7" s="50" t="str">
        <f t="shared" si="1"/>
        <v/>
      </c>
      <c r="I7" s="50" t="str">
        <f t="shared" si="7"/>
        <v/>
      </c>
      <c r="J7" s="50" t="str">
        <f t="shared" si="8"/>
        <v/>
      </c>
      <c r="M7" t="s">
        <v>62</v>
      </c>
      <c r="N7">
        <f>COUNTIFS(Rosters!$A$2:$A$155,$M7,Rosters!$G$2:$G$155,N$1)</f>
        <v>11</v>
      </c>
      <c r="O7">
        <f>COUNTIFS(Rosters!$A$2:$A$155,$M7,Rosters!$G$2:$G$155,O$1)</f>
        <v>4</v>
      </c>
    </row>
    <row r="8" spans="1:15" x14ac:dyDescent="0.25">
      <c r="A8">
        <f t="shared" si="0"/>
        <v>6</v>
      </c>
      <c r="B8" t="str">
        <f t="shared" si="2"/>
        <v>Flex</v>
      </c>
      <c r="C8" s="49" t="str">
        <f>IFERROR(INDEX(Rosters!$B$2:$B$155,MATCH($C$1&amp;B8&amp;A8,Rosters!$H$2:$H$155,0)),IF(A8=0,C$2,""))</f>
        <v>Jordy Nelson</v>
      </c>
      <c r="D8" s="50" t="str">
        <f t="shared" si="3"/>
        <v/>
      </c>
      <c r="E8" s="50" t="str">
        <f t="shared" si="4"/>
        <v/>
      </c>
      <c r="F8" s="50" t="str">
        <f t="shared" si="5"/>
        <v/>
      </c>
      <c r="G8" s="50" t="str">
        <f t="shared" si="6"/>
        <v/>
      </c>
      <c r="H8" s="50" t="str">
        <f t="shared" si="1"/>
        <v/>
      </c>
      <c r="I8" s="50" t="str">
        <f t="shared" si="7"/>
        <v/>
      </c>
      <c r="J8" s="50" t="str">
        <f t="shared" si="8"/>
        <v/>
      </c>
      <c r="M8" t="s">
        <v>40</v>
      </c>
      <c r="N8">
        <f>COUNTIFS(Rosters!$A$2:$A$155,$M8,Rosters!$G$2:$G$155,N$1)</f>
        <v>0</v>
      </c>
      <c r="O8">
        <f>COUNTIFS(Rosters!$A$2:$A$155,$M8,Rosters!$G$2:$G$155,O$1)</f>
        <v>0</v>
      </c>
    </row>
    <row r="9" spans="1:15" x14ac:dyDescent="0.25">
      <c r="A9">
        <f t="shared" si="0"/>
        <v>7</v>
      </c>
      <c r="B9" t="str">
        <f t="shared" si="2"/>
        <v>Flex</v>
      </c>
      <c r="C9" s="49" t="str">
        <f>IFERROR(INDEX(Rosters!$B$2:$B$155,MATCH($C$1&amp;B9&amp;A9,Rosters!$H$2:$H$155,0)),IF(A9=0,C$2,""))</f>
        <v>Larry Fitzgerald</v>
      </c>
      <c r="D9" s="50" t="str">
        <f t="shared" si="3"/>
        <v/>
      </c>
      <c r="E9" s="50" t="str">
        <f t="shared" si="4"/>
        <v/>
      </c>
      <c r="F9" s="50" t="str">
        <f t="shared" si="5"/>
        <v/>
      </c>
      <c r="G9" s="50" t="str">
        <f t="shared" si="6"/>
        <v/>
      </c>
      <c r="H9" s="50" t="str">
        <f t="shared" si="1"/>
        <v/>
      </c>
      <c r="I9" s="50" t="str">
        <f t="shared" si="7"/>
        <v/>
      </c>
      <c r="J9" s="50" t="str">
        <f t="shared" si="8"/>
        <v/>
      </c>
      <c r="M9" t="s">
        <v>23</v>
      </c>
      <c r="N9">
        <f>COUNTIFS(Rosters!$A$2:$A$155,$M9,Rosters!$G$2:$G$155,N$1)</f>
        <v>10</v>
      </c>
      <c r="O9">
        <f>COUNTIFS(Rosters!$A$2:$A$155,$M9,Rosters!$G$2:$G$155,O$1)</f>
        <v>5</v>
      </c>
    </row>
    <row r="10" spans="1:15" x14ac:dyDescent="0.25">
      <c r="A10">
        <f t="shared" si="0"/>
        <v>8</v>
      </c>
      <c r="B10" t="str">
        <f t="shared" si="2"/>
        <v>Flex</v>
      </c>
      <c r="C10" s="49" t="str">
        <f>IFERROR(INDEX(Rosters!$B$2:$B$155,MATCH($C$1&amp;B10&amp;A10,Rosters!$H$2:$H$155,0)),IF(A10=0,C$2,""))</f>
        <v>Randall Cobb</v>
      </c>
      <c r="D10" s="50" t="str">
        <f t="shared" si="3"/>
        <v/>
      </c>
      <c r="E10" s="50" t="str">
        <f t="shared" si="4"/>
        <v/>
      </c>
      <c r="F10" s="50" t="str">
        <f t="shared" si="5"/>
        <v/>
      </c>
      <c r="G10" s="50" t="str">
        <f t="shared" si="6"/>
        <v/>
      </c>
      <c r="H10" s="50" t="str">
        <f t="shared" si="1"/>
        <v/>
      </c>
      <c r="I10" s="50" t="str">
        <f t="shared" si="7"/>
        <v/>
      </c>
      <c r="J10" s="50" t="str">
        <f t="shared" si="8"/>
        <v/>
      </c>
      <c r="M10" t="s">
        <v>49</v>
      </c>
      <c r="N10">
        <f>COUNTIFS(Rosters!$A$2:$A$155,$M10,Rosters!$G$2:$G$155,N$1)</f>
        <v>9</v>
      </c>
      <c r="O10">
        <f>COUNTIFS(Rosters!$A$2:$A$155,$M10,Rosters!$G$2:$G$155,O$1)</f>
        <v>5</v>
      </c>
    </row>
    <row r="11" spans="1:15" x14ac:dyDescent="0.25">
      <c r="A11">
        <f t="shared" si="0"/>
        <v>9</v>
      </c>
      <c r="B11" t="str">
        <f t="shared" si="2"/>
        <v>Flex</v>
      </c>
      <c r="C11" s="49" t="str">
        <f>IFERROR(INDEX(Rosters!$B$2:$B$155,MATCH($C$1&amp;B11&amp;A11,Rosters!$H$2:$H$155,0)),IF(A11=0,C$2,""))</f>
        <v>Latavius Murray</v>
      </c>
      <c r="D11" s="50" t="str">
        <f t="shared" si="3"/>
        <v/>
      </c>
      <c r="E11" s="50" t="str">
        <f t="shared" si="4"/>
        <v/>
      </c>
      <c r="F11" s="50" t="str">
        <f t="shared" si="5"/>
        <v/>
      </c>
      <c r="G11" s="50" t="str">
        <f t="shared" si="6"/>
        <v/>
      </c>
      <c r="H11" s="50" t="str">
        <f t="shared" si="1"/>
        <v/>
      </c>
      <c r="I11" s="50" t="str">
        <f t="shared" si="7"/>
        <v/>
      </c>
      <c r="J11" s="50" t="str">
        <f t="shared" si="8"/>
        <v/>
      </c>
      <c r="M11" t="s">
        <v>44</v>
      </c>
      <c r="N11">
        <f>COUNTIFS(Rosters!$A$2:$A$155,$M11,Rosters!$G$2:$G$155,N$1)</f>
        <v>12</v>
      </c>
      <c r="O11">
        <f>COUNTIFS(Rosters!$A$2:$A$155,$M11,Rosters!$G$2:$G$155,O$1)</f>
        <v>4</v>
      </c>
    </row>
    <row r="12" spans="1:15" x14ac:dyDescent="0.25">
      <c r="A12">
        <f t="shared" si="0"/>
        <v>10</v>
      </c>
      <c r="B12" t="str">
        <f t="shared" si="2"/>
        <v>Flex</v>
      </c>
      <c r="C12" s="49" t="str">
        <f>IFERROR(INDEX(Rosters!$B$2:$B$155,MATCH($C$1&amp;B12&amp;A12,Rosters!$H$2:$H$155,0)),IF(A12=0,C$2,""))</f>
        <v>Alfred Morris</v>
      </c>
      <c r="D12" s="50" t="str">
        <f t="shared" si="3"/>
        <v/>
      </c>
      <c r="E12" s="50" t="str">
        <f t="shared" si="4"/>
        <v/>
      </c>
      <c r="F12" s="50" t="str">
        <f t="shared" si="5"/>
        <v/>
      </c>
      <c r="G12" s="50" t="str">
        <f t="shared" si="6"/>
        <v/>
      </c>
      <c r="H12" s="50" t="str">
        <f t="shared" si="1"/>
        <v/>
      </c>
      <c r="I12" s="50" t="str">
        <f t="shared" si="7"/>
        <v/>
      </c>
      <c r="J12" s="50" t="str">
        <f t="shared" si="8"/>
        <v/>
      </c>
    </row>
    <row r="13" spans="1:15" x14ac:dyDescent="0.25">
      <c r="A13">
        <f t="shared" si="0"/>
        <v>11</v>
      </c>
      <c r="B13" t="str">
        <f t="shared" si="2"/>
        <v>Flex</v>
      </c>
      <c r="C13" s="52" t="str">
        <f>IFERROR(INDEX(Rosters!$B$2:$B$155,MATCH($C$1&amp;B13&amp;A13,Rosters!$H$2:$H$155,0)),IF(A13=0,C$2,""))</f>
        <v>Ty Montgomery</v>
      </c>
      <c r="D13" s="52" t="str">
        <f t="shared" si="3"/>
        <v/>
      </c>
      <c r="E13" s="52" t="str">
        <f t="shared" si="4"/>
        <v/>
      </c>
      <c r="F13" s="52" t="str">
        <f t="shared" si="5"/>
        <v/>
      </c>
      <c r="G13" s="52" t="str">
        <f t="shared" si="6"/>
        <v/>
      </c>
      <c r="H13" s="52" t="str">
        <f t="shared" si="1"/>
        <v/>
      </c>
      <c r="I13" s="52" t="str">
        <f t="shared" si="7"/>
        <v/>
      </c>
      <c r="J13" s="52" t="str">
        <f t="shared" si="8"/>
        <v/>
      </c>
    </row>
    <row r="14" spans="1:15" x14ac:dyDescent="0.25">
      <c r="A14">
        <f t="shared" si="0"/>
        <v>12</v>
      </c>
      <c r="B14" t="str">
        <f t="shared" si="2"/>
        <v>Flex</v>
      </c>
      <c r="C14" s="49" t="str">
        <f>IFERROR(INDEX(Rosters!$B$2:$B$155,MATCH($C$1&amp;B14&amp;A14,Rosters!$H$2:$H$155,0)),IF(A14=0,C$2,""))</f>
        <v>Leonard Fournette</v>
      </c>
      <c r="D14" s="49" t="str">
        <f t="shared" si="3"/>
        <v/>
      </c>
      <c r="E14" s="49" t="str">
        <f t="shared" si="4"/>
        <v/>
      </c>
      <c r="F14" s="49" t="str">
        <f t="shared" si="5"/>
        <v/>
      </c>
      <c r="G14" s="49" t="str">
        <f t="shared" si="6"/>
        <v/>
      </c>
      <c r="H14" s="49" t="str">
        <f t="shared" si="1"/>
        <v/>
      </c>
      <c r="I14" s="49" t="str">
        <f t="shared" si="7"/>
        <v/>
      </c>
      <c r="J14" s="49" t="str">
        <f t="shared" si="8"/>
        <v/>
      </c>
    </row>
    <row r="15" spans="1:15" x14ac:dyDescent="0.25">
      <c r="A15">
        <f t="shared" si="0"/>
        <v>0</v>
      </c>
      <c r="B15" t="str">
        <f t="shared" si="2"/>
        <v>Non</v>
      </c>
      <c r="C15" s="49" t="str">
        <f>IFERROR(INDEX(Rosters!$B$2:$B$155,MATCH($C$1&amp;B15&amp;A15,Rosters!$H$2:$H$155,0)),IF(A15=0,C$2,""))</f>
        <v>Player</v>
      </c>
      <c r="D15" s="49" t="str">
        <f t="shared" si="3"/>
        <v>Top 4</v>
      </c>
      <c r="E15" s="49" t="str">
        <f t="shared" si="4"/>
        <v>Top 8</v>
      </c>
      <c r="F15" s="49" t="str">
        <f t="shared" si="5"/>
        <v>Top 12</v>
      </c>
      <c r="G15" s="49" t="str">
        <f t="shared" si="6"/>
        <v>Top 16</v>
      </c>
      <c r="H15" s="49" t="str">
        <f t="shared" si="1"/>
        <v>16+</v>
      </c>
      <c r="I15" s="49" t="str">
        <f t="shared" si="7"/>
        <v>Down</v>
      </c>
      <c r="J15" s="49" t="str">
        <f t="shared" si="8"/>
        <v>Up</v>
      </c>
    </row>
    <row r="16" spans="1:15" x14ac:dyDescent="0.25">
      <c r="A16">
        <f t="shared" si="0"/>
        <v>1</v>
      </c>
      <c r="B16" t="str">
        <f t="shared" si="2"/>
        <v>Non</v>
      </c>
      <c r="C16" s="49" t="str">
        <f>IFERROR(INDEX(Rosters!$B$2:$B$155,MATCH($C$1&amp;B16&amp;A16,Rosters!$H$2:$H$155,0)),IF(A16=0,C$2,""))</f>
        <v>Russell Wilson</v>
      </c>
      <c r="D16" s="49" t="str">
        <f t="shared" si="3"/>
        <v/>
      </c>
      <c r="E16" s="49" t="str">
        <f t="shared" si="4"/>
        <v/>
      </c>
      <c r="F16" s="49" t="str">
        <f t="shared" si="5"/>
        <v/>
      </c>
      <c r="G16" s="49" t="str">
        <f t="shared" si="6"/>
        <v/>
      </c>
      <c r="H16" s="49" t="str">
        <f t="shared" si="1"/>
        <v/>
      </c>
      <c r="I16" s="49" t="str">
        <f t="shared" si="7"/>
        <v/>
      </c>
      <c r="J16" s="49" t="str">
        <f t="shared" si="8"/>
        <v/>
      </c>
    </row>
    <row r="17" spans="1:10" x14ac:dyDescent="0.25">
      <c r="A17">
        <f t="shared" si="0"/>
        <v>2</v>
      </c>
      <c r="B17" t="str">
        <f t="shared" si="2"/>
        <v>Non</v>
      </c>
      <c r="C17" s="49" t="str">
        <f>IFERROR(INDEX(Rosters!$B$2:$B$155,MATCH($C$1&amp;B17&amp;A17,Rosters!$H$2:$H$155,0)),IF(A17=0,C$2,""))</f>
        <v>Jimmy Graham</v>
      </c>
      <c r="D17" s="49" t="str">
        <f t="shared" si="3"/>
        <v/>
      </c>
      <c r="E17" s="49" t="str">
        <f t="shared" si="4"/>
        <v/>
      </c>
      <c r="F17" s="49" t="str">
        <f t="shared" si="5"/>
        <v/>
      </c>
      <c r="G17" s="49" t="str">
        <f t="shared" si="6"/>
        <v/>
      </c>
      <c r="H17" s="49" t="str">
        <f t="shared" si="1"/>
        <v/>
      </c>
      <c r="I17" s="49" t="str">
        <f t="shared" si="7"/>
        <v/>
      </c>
      <c r="J17" s="49" t="str">
        <f t="shared" si="8"/>
        <v/>
      </c>
    </row>
    <row r="18" spans="1:10" x14ac:dyDescent="0.25">
      <c r="A18">
        <f t="shared" si="0"/>
        <v>3</v>
      </c>
      <c r="B18" t="str">
        <f t="shared" si="2"/>
        <v>Non</v>
      </c>
      <c r="C18" s="49" t="str">
        <f>IFERROR(INDEX(Rosters!$B$2:$B$155,MATCH($C$1&amp;B18&amp;A18,Rosters!$H$2:$H$155,0)),IF(A18=0,C$2,""))</f>
        <v>Vikings D/ST</v>
      </c>
      <c r="D18" s="49" t="str">
        <f t="shared" si="3"/>
        <v/>
      </c>
      <c r="E18" s="49" t="str">
        <f t="shared" si="4"/>
        <v/>
      </c>
      <c r="F18" s="49" t="str">
        <f t="shared" si="5"/>
        <v/>
      </c>
      <c r="G18" s="49" t="str">
        <f t="shared" si="6"/>
        <v/>
      </c>
      <c r="H18" s="49" t="str">
        <f t="shared" si="1"/>
        <v/>
      </c>
      <c r="I18" s="49" t="str">
        <f t="shared" si="7"/>
        <v/>
      </c>
      <c r="J18" s="49" t="str">
        <f t="shared" si="8"/>
        <v/>
      </c>
    </row>
    <row r="19" spans="1:10" x14ac:dyDescent="0.25">
      <c r="A19">
        <f t="shared" si="0"/>
        <v>4</v>
      </c>
      <c r="B19" t="str">
        <f t="shared" si="2"/>
        <v>Non</v>
      </c>
      <c r="C19" s="49" t="str">
        <f>IFERROR(INDEX(Rosters!$B$2:$B$155,MATCH($C$1&amp;B19&amp;A19,Rosters!$H$2:$H$155,0)),IF(A19=0,C$2,""))</f>
        <v>Harrison Butker</v>
      </c>
      <c r="D19" s="49" t="str">
        <f t="shared" si="3"/>
        <v/>
      </c>
      <c r="E19" s="49" t="str">
        <f t="shared" si="4"/>
        <v/>
      </c>
      <c r="F19" s="49" t="str">
        <f t="shared" si="5"/>
        <v/>
      </c>
      <c r="G19" s="49" t="str">
        <f t="shared" si="6"/>
        <v/>
      </c>
      <c r="H19" s="49" t="str">
        <f t="shared" si="1"/>
        <v/>
      </c>
      <c r="I19" s="49" t="str">
        <f t="shared" si="7"/>
        <v/>
      </c>
      <c r="J19" s="49" t="str">
        <f t="shared" si="8"/>
        <v/>
      </c>
    </row>
  </sheetData>
  <mergeCells count="2">
    <mergeCell ref="D1:H1"/>
    <mergeCell ref="I1:J1"/>
  </mergeCells>
  <conditionalFormatting sqref="C2:J19">
    <cfRule type="expression" dxfId="0" priority="1">
      <formula>IF($A2=0,TRUE,FALSE)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ave_my_range">
                <anchor moveWithCells="1" sizeWithCells="1">
                  <from>
                    <xdr:col>11</xdr:col>
                    <xdr:colOff>180975</xdr:colOff>
                    <xdr:row>14</xdr:row>
                    <xdr:rowOff>0</xdr:rowOff>
                  </from>
                  <to>
                    <xdr:col>14</xdr:col>
                    <xdr:colOff>171450</xdr:colOff>
                    <xdr:row>17</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316"/>
  <sheetViews>
    <sheetView workbookViewId="0">
      <selection activeCell="F186" sqref="F186"/>
    </sheetView>
  </sheetViews>
  <sheetFormatPr defaultRowHeight="15" x14ac:dyDescent="0.25"/>
  <cols>
    <col min="1" max="4" width="16.7109375" customWidth="1"/>
    <col min="5" max="6" width="9.140625" style="3"/>
  </cols>
  <sheetData>
    <row r="1" spans="1:6" x14ac:dyDescent="0.25">
      <c r="A1" t="s">
        <v>869</v>
      </c>
      <c r="B1" t="s">
        <v>870</v>
      </c>
      <c r="C1" t="s">
        <v>871</v>
      </c>
      <c r="D1" t="s">
        <v>872</v>
      </c>
      <c r="E1" s="3" t="s">
        <v>873</v>
      </c>
      <c r="F1" s="3" t="s">
        <v>874</v>
      </c>
    </row>
    <row r="2" spans="1:6" x14ac:dyDescent="0.25">
      <c r="A2" t="s">
        <v>138</v>
      </c>
      <c r="B2" t="s">
        <v>98</v>
      </c>
      <c r="C2" t="s">
        <v>89</v>
      </c>
      <c r="D2" t="s">
        <v>125</v>
      </c>
      <c r="E2" s="3">
        <v>-5.3971285732952456E-4</v>
      </c>
      <c r="F2" s="3">
        <v>9.9940360863531863E-3</v>
      </c>
    </row>
    <row r="3" spans="1:6" x14ac:dyDescent="0.25">
      <c r="A3" t="s">
        <v>138</v>
      </c>
      <c r="B3" t="s">
        <v>143</v>
      </c>
      <c r="C3" t="s">
        <v>89</v>
      </c>
      <c r="D3" t="s">
        <v>125</v>
      </c>
      <c r="E3" s="3">
        <v>5.1019429915205194E-2</v>
      </c>
      <c r="F3" s="3">
        <v>-4.8377280197007044E-2</v>
      </c>
    </row>
    <row r="4" spans="1:6" x14ac:dyDescent="0.25">
      <c r="A4" t="s">
        <v>138</v>
      </c>
      <c r="B4" t="s">
        <v>149</v>
      </c>
      <c r="C4" t="s">
        <v>89</v>
      </c>
      <c r="D4" t="s">
        <v>125</v>
      </c>
      <c r="E4" s="3">
        <v>3.4182284160529514E-2</v>
      </c>
      <c r="F4" s="3">
        <v>-3.2888417106655354E-2</v>
      </c>
    </row>
    <row r="5" spans="1:6" x14ac:dyDescent="0.25">
      <c r="A5" t="s">
        <v>138</v>
      </c>
      <c r="B5" t="s">
        <v>104</v>
      </c>
      <c r="C5" t="s">
        <v>89</v>
      </c>
      <c r="D5" t="s">
        <v>125</v>
      </c>
      <c r="E5" s="3">
        <v>-5.7704920600947784E-3</v>
      </c>
      <c r="F5" s="3">
        <v>1.8800733706352546E-2</v>
      </c>
    </row>
    <row r="6" spans="1:6" x14ac:dyDescent="0.25">
      <c r="A6" t="s">
        <v>138</v>
      </c>
      <c r="B6" t="s">
        <v>165</v>
      </c>
      <c r="C6" t="s">
        <v>89</v>
      </c>
      <c r="D6" t="s">
        <v>125</v>
      </c>
      <c r="E6" s="3">
        <v>6.6281289348600697E-2</v>
      </c>
      <c r="F6" s="3">
        <v>-6.1420310753703911E-2</v>
      </c>
    </row>
    <row r="7" spans="1:6" x14ac:dyDescent="0.25">
      <c r="A7" t="s">
        <v>138</v>
      </c>
      <c r="B7" t="s">
        <v>614</v>
      </c>
      <c r="C7" t="s">
        <v>89</v>
      </c>
      <c r="D7" t="s">
        <v>125</v>
      </c>
      <c r="E7" s="3">
        <v>4.4308773257904721E-2</v>
      </c>
      <c r="F7" s="3">
        <v>-6.5052995028297589E-2</v>
      </c>
    </row>
    <row r="8" spans="1:6" x14ac:dyDescent="0.25">
      <c r="A8" t="s">
        <v>98</v>
      </c>
      <c r="B8" t="s">
        <v>143</v>
      </c>
      <c r="C8" t="s">
        <v>89</v>
      </c>
      <c r="D8" t="s">
        <v>125</v>
      </c>
      <c r="E8" s="3">
        <v>9.6681449876825365E-3</v>
      </c>
      <c r="F8" s="3">
        <v>1.5866010644051576E-2</v>
      </c>
    </row>
    <row r="9" spans="1:6" x14ac:dyDescent="0.25">
      <c r="A9" t="s">
        <v>98</v>
      </c>
      <c r="B9" t="s">
        <v>149</v>
      </c>
      <c r="C9" t="s">
        <v>89</v>
      </c>
      <c r="D9" t="s">
        <v>125</v>
      </c>
      <c r="E9" s="3">
        <v>-4.6252139387617797E-3</v>
      </c>
      <c r="F9" s="3">
        <v>2.6714376558375108E-2</v>
      </c>
    </row>
    <row r="10" spans="1:6" x14ac:dyDescent="0.25">
      <c r="A10" t="s">
        <v>98</v>
      </c>
      <c r="B10" t="s">
        <v>104</v>
      </c>
      <c r="C10" t="s">
        <v>89</v>
      </c>
      <c r="D10" t="s">
        <v>125</v>
      </c>
      <c r="E10" s="3">
        <v>-3.7554102452526786E-2</v>
      </c>
      <c r="F10" s="3">
        <v>7.6764259100186638E-2</v>
      </c>
    </row>
    <row r="11" spans="1:6" x14ac:dyDescent="0.25">
      <c r="A11" t="s">
        <v>98</v>
      </c>
      <c r="B11" t="s">
        <v>165</v>
      </c>
      <c r="C11" t="s">
        <v>89</v>
      </c>
      <c r="D11" t="s">
        <v>125</v>
      </c>
      <c r="E11" s="3">
        <v>1.876096772971142E-2</v>
      </c>
      <c r="F11" s="3">
        <v>1.1794034249697549E-2</v>
      </c>
    </row>
    <row r="12" spans="1:6" x14ac:dyDescent="0.25">
      <c r="A12" t="s">
        <v>98</v>
      </c>
      <c r="B12" t="s">
        <v>614</v>
      </c>
      <c r="C12" t="s">
        <v>89</v>
      </c>
      <c r="D12" t="s">
        <v>125</v>
      </c>
      <c r="E12" s="3">
        <v>8.7733264909953812E-3</v>
      </c>
      <c r="F12" s="3">
        <v>6.7269937968540416E-3</v>
      </c>
    </row>
    <row r="13" spans="1:6" x14ac:dyDescent="0.25">
      <c r="A13" t="s">
        <v>143</v>
      </c>
      <c r="B13" t="s">
        <v>149</v>
      </c>
      <c r="C13" t="s">
        <v>89</v>
      </c>
      <c r="D13" t="s">
        <v>125</v>
      </c>
      <c r="E13" s="3">
        <v>4.2842391451383299E-2</v>
      </c>
      <c r="F13" s="3">
        <v>-2.6274207413712836E-2</v>
      </c>
    </row>
    <row r="14" spans="1:6" x14ac:dyDescent="0.25">
      <c r="A14" t="s">
        <v>143</v>
      </c>
      <c r="B14" t="s">
        <v>104</v>
      </c>
      <c r="C14" t="s">
        <v>89</v>
      </c>
      <c r="D14" t="s">
        <v>125</v>
      </c>
      <c r="E14" s="3">
        <v>1.665660973058411E-3</v>
      </c>
      <c r="F14" s="3">
        <v>2.7296595916769417E-2</v>
      </c>
    </row>
    <row r="15" spans="1:6" x14ac:dyDescent="0.25">
      <c r="A15" t="s">
        <v>143</v>
      </c>
      <c r="B15" t="s">
        <v>165</v>
      </c>
      <c r="C15" t="s">
        <v>89</v>
      </c>
      <c r="D15" t="s">
        <v>125</v>
      </c>
      <c r="E15" s="3">
        <v>7.0951964765232661E-2</v>
      </c>
      <c r="F15" s="3">
        <v>-4.7649530836005038E-2</v>
      </c>
    </row>
    <row r="16" spans="1:6" x14ac:dyDescent="0.25">
      <c r="A16" t="s">
        <v>143</v>
      </c>
      <c r="B16" t="s">
        <v>614</v>
      </c>
      <c r="C16" t="s">
        <v>89</v>
      </c>
      <c r="D16" t="s">
        <v>125</v>
      </c>
      <c r="E16" s="3">
        <v>6.2487493362282598E-2</v>
      </c>
      <c r="F16" s="3">
        <v>-5.1342294735257421E-2</v>
      </c>
    </row>
    <row r="17" spans="1:6" x14ac:dyDescent="0.25">
      <c r="A17" t="s">
        <v>149</v>
      </c>
      <c r="B17" t="s">
        <v>104</v>
      </c>
      <c r="C17" t="s">
        <v>89</v>
      </c>
      <c r="D17" t="s">
        <v>125</v>
      </c>
      <c r="E17" s="3">
        <v>-1.2062733195098083E-2</v>
      </c>
      <c r="F17" s="3">
        <v>3.7447831314581015E-2</v>
      </c>
    </row>
    <row r="18" spans="1:6" x14ac:dyDescent="0.25">
      <c r="A18" t="s">
        <v>149</v>
      </c>
      <c r="B18" t="s">
        <v>165</v>
      </c>
      <c r="C18" t="s">
        <v>89</v>
      </c>
      <c r="D18" t="s">
        <v>125</v>
      </c>
      <c r="E18" s="3">
        <v>5.6669013849553002E-2</v>
      </c>
      <c r="F18" s="3">
        <v>-3.1508786114144871E-2</v>
      </c>
    </row>
    <row r="19" spans="1:6" x14ac:dyDescent="0.25">
      <c r="A19" t="s">
        <v>149</v>
      </c>
      <c r="B19" t="s">
        <v>614</v>
      </c>
      <c r="C19" t="s">
        <v>89</v>
      </c>
      <c r="D19" t="s">
        <v>125</v>
      </c>
      <c r="E19" s="3">
        <v>4.4952587834723251E-2</v>
      </c>
      <c r="F19" s="3">
        <v>-3.5893389704137912E-2</v>
      </c>
    </row>
    <row r="20" spans="1:6" x14ac:dyDescent="0.25">
      <c r="A20" t="s">
        <v>104</v>
      </c>
      <c r="B20" t="s">
        <v>165</v>
      </c>
      <c r="C20" t="s">
        <v>89</v>
      </c>
      <c r="D20" t="s">
        <v>125</v>
      </c>
      <c r="E20" s="3">
        <v>1.2239546311445554E-2</v>
      </c>
      <c r="F20" s="3">
        <v>1.9903288504677374E-2</v>
      </c>
    </row>
    <row r="21" spans="1:6" x14ac:dyDescent="0.25">
      <c r="A21" t="s">
        <v>104</v>
      </c>
      <c r="B21" t="s">
        <v>614</v>
      </c>
      <c r="C21" t="s">
        <v>89</v>
      </c>
      <c r="D21" t="s">
        <v>125</v>
      </c>
      <c r="E21" s="3">
        <v>2.9958367156782961E-3</v>
      </c>
      <c r="F21" s="3">
        <v>1.5532857438195324E-2</v>
      </c>
    </row>
    <row r="22" spans="1:6" x14ac:dyDescent="0.25">
      <c r="A22" t="s">
        <v>165</v>
      </c>
      <c r="B22" t="s">
        <v>614</v>
      </c>
      <c r="C22" t="s">
        <v>89</v>
      </c>
      <c r="D22" t="s">
        <v>125</v>
      </c>
      <c r="E22" s="3">
        <v>7.8086267056074021E-2</v>
      </c>
      <c r="F22" s="3">
        <v>-6.4116510169345942E-2</v>
      </c>
    </row>
    <row r="23" spans="1:6" x14ac:dyDescent="0.25">
      <c r="A23" t="s">
        <v>138</v>
      </c>
      <c r="B23" t="s">
        <v>98</v>
      </c>
      <c r="C23" t="s">
        <v>89</v>
      </c>
      <c r="D23" t="s">
        <v>86</v>
      </c>
      <c r="E23" s="3">
        <v>8.1798858644032857E-2</v>
      </c>
      <c r="F23" s="3">
        <v>-8.6115514904625268E-2</v>
      </c>
    </row>
    <row r="24" spans="1:6" x14ac:dyDescent="0.25">
      <c r="A24" t="s">
        <v>138</v>
      </c>
      <c r="B24" t="s">
        <v>143</v>
      </c>
      <c r="C24" t="s">
        <v>89</v>
      </c>
      <c r="D24" t="s">
        <v>86</v>
      </c>
      <c r="E24" s="3">
        <v>0.14730088533347069</v>
      </c>
      <c r="F24" s="3">
        <v>-0.14109753805613995</v>
      </c>
    </row>
    <row r="25" spans="1:6" x14ac:dyDescent="0.25">
      <c r="A25" t="s">
        <v>138</v>
      </c>
      <c r="B25" t="s">
        <v>149</v>
      </c>
      <c r="C25" t="s">
        <v>89</v>
      </c>
      <c r="D25" t="s">
        <v>86</v>
      </c>
      <c r="E25" s="3">
        <v>0.12700519227970203</v>
      </c>
      <c r="F25" s="3">
        <v>-0.1256127422747032</v>
      </c>
    </row>
    <row r="26" spans="1:6" x14ac:dyDescent="0.25">
      <c r="A26" t="s">
        <v>138</v>
      </c>
      <c r="B26" t="s">
        <v>104</v>
      </c>
      <c r="C26" t="s">
        <v>89</v>
      </c>
      <c r="D26" t="s">
        <v>86</v>
      </c>
      <c r="E26" s="3">
        <v>7.5771712488964249E-2</v>
      </c>
      <c r="F26" s="3">
        <v>-7.9091564270906689E-2</v>
      </c>
    </row>
    <row r="27" spans="1:6" x14ac:dyDescent="0.25">
      <c r="A27" t="s">
        <v>138</v>
      </c>
      <c r="B27" t="s">
        <v>165</v>
      </c>
      <c r="C27" t="s">
        <v>89</v>
      </c>
      <c r="D27" t="s">
        <v>86</v>
      </c>
      <c r="E27" s="3">
        <v>0.15474262460251398</v>
      </c>
      <c r="F27" s="3">
        <v>-0.15219839558486575</v>
      </c>
    </row>
    <row r="28" spans="1:6" x14ac:dyDescent="0.25">
      <c r="A28" t="s">
        <v>138</v>
      </c>
      <c r="B28" t="s">
        <v>614</v>
      </c>
      <c r="C28" t="s">
        <v>89</v>
      </c>
      <c r="D28" t="s">
        <v>86</v>
      </c>
      <c r="E28" s="3">
        <v>0.12894761783526373</v>
      </c>
      <c r="F28" s="3">
        <v>-0.15514247476120141</v>
      </c>
    </row>
    <row r="29" spans="1:6" x14ac:dyDescent="0.25">
      <c r="A29" t="s">
        <v>98</v>
      </c>
      <c r="B29" t="s">
        <v>143</v>
      </c>
      <c r="C29" t="s">
        <v>89</v>
      </c>
      <c r="D29" t="s">
        <v>86</v>
      </c>
      <c r="E29" s="3">
        <v>9.0167591115647955E-2</v>
      </c>
      <c r="F29" s="3">
        <v>-7.177958184765787E-2</v>
      </c>
    </row>
    <row r="30" spans="1:6" x14ac:dyDescent="0.25">
      <c r="A30" t="s">
        <v>98</v>
      </c>
      <c r="B30" t="s">
        <v>149</v>
      </c>
      <c r="C30" t="s">
        <v>89</v>
      </c>
      <c r="D30" t="s">
        <v>86</v>
      </c>
      <c r="E30" s="3">
        <v>7.1539480536465055E-2</v>
      </c>
      <c r="F30" s="3">
        <v>-5.7550603768519004E-2</v>
      </c>
    </row>
    <row r="31" spans="1:6" x14ac:dyDescent="0.25">
      <c r="A31" t="s">
        <v>98</v>
      </c>
      <c r="B31" t="s">
        <v>104</v>
      </c>
      <c r="C31" t="s">
        <v>89</v>
      </c>
      <c r="D31" t="s">
        <v>86</v>
      </c>
      <c r="E31" s="3">
        <v>2.6071497521356568E-2</v>
      </c>
      <c r="F31" s="3">
        <v>-6.7027346032407786E-3</v>
      </c>
    </row>
    <row r="32" spans="1:6" x14ac:dyDescent="0.25">
      <c r="A32" t="s">
        <v>98</v>
      </c>
      <c r="B32" t="s">
        <v>165</v>
      </c>
      <c r="C32" t="s">
        <v>89</v>
      </c>
      <c r="D32" t="s">
        <v>86</v>
      </c>
      <c r="E32" s="3">
        <v>0.10195228824650554</v>
      </c>
      <c r="F32" s="3">
        <v>-7.898752360419467E-2</v>
      </c>
    </row>
    <row r="33" spans="1:6" x14ac:dyDescent="0.25">
      <c r="A33" t="s">
        <v>98</v>
      </c>
      <c r="B33" t="s">
        <v>614</v>
      </c>
      <c r="C33" t="s">
        <v>89</v>
      </c>
      <c r="D33" t="s">
        <v>86</v>
      </c>
      <c r="E33" s="3">
        <v>9.4199913539514402E-2</v>
      </c>
      <c r="F33" s="3">
        <v>-8.859063899775102E-2</v>
      </c>
    </row>
    <row r="34" spans="1:6" x14ac:dyDescent="0.25">
      <c r="A34" t="s">
        <v>143</v>
      </c>
      <c r="B34" t="s">
        <v>149</v>
      </c>
      <c r="C34" t="s">
        <v>89</v>
      </c>
      <c r="D34" t="s">
        <v>86</v>
      </c>
      <c r="E34" s="3">
        <v>0.13226188431778971</v>
      </c>
      <c r="F34" s="3">
        <v>-0.1113004099240664</v>
      </c>
    </row>
    <row r="35" spans="1:6" x14ac:dyDescent="0.25">
      <c r="A35" t="s">
        <v>143</v>
      </c>
      <c r="B35" t="s">
        <v>104</v>
      </c>
      <c r="C35" t="s">
        <v>89</v>
      </c>
      <c r="D35" t="s">
        <v>86</v>
      </c>
      <c r="E35" s="3">
        <v>8.0715200618747179E-2</v>
      </c>
      <c r="F35" s="3">
        <v>-6.1792303677192573E-2</v>
      </c>
    </row>
    <row r="36" spans="1:6" x14ac:dyDescent="0.25">
      <c r="A36" t="s">
        <v>143</v>
      </c>
      <c r="B36" t="s">
        <v>165</v>
      </c>
      <c r="C36" t="s">
        <v>89</v>
      </c>
      <c r="D36" t="s">
        <v>86</v>
      </c>
      <c r="E36" s="3">
        <v>0.16188035584086446</v>
      </c>
      <c r="F36" s="3">
        <v>-0.13541699880163319</v>
      </c>
    </row>
    <row r="37" spans="1:6" x14ac:dyDescent="0.25">
      <c r="A37" t="s">
        <v>143</v>
      </c>
      <c r="B37" t="s">
        <v>614</v>
      </c>
      <c r="C37" t="s">
        <v>89</v>
      </c>
      <c r="D37" t="s">
        <v>86</v>
      </c>
      <c r="E37" s="3">
        <v>0.16125567229857252</v>
      </c>
      <c r="F37" s="3">
        <v>-0.14311658442967293</v>
      </c>
    </row>
    <row r="38" spans="1:6" x14ac:dyDescent="0.25">
      <c r="A38" t="s">
        <v>149</v>
      </c>
      <c r="B38" t="s">
        <v>104</v>
      </c>
      <c r="C38" t="s">
        <v>89</v>
      </c>
      <c r="D38" t="s">
        <v>86</v>
      </c>
      <c r="E38" s="3">
        <v>6.2410919311600033E-2</v>
      </c>
      <c r="F38" s="3">
        <v>-4.8080032286961727E-2</v>
      </c>
    </row>
    <row r="39" spans="1:6" x14ac:dyDescent="0.25">
      <c r="A39" t="s">
        <v>149</v>
      </c>
      <c r="B39" t="s">
        <v>165</v>
      </c>
      <c r="C39" t="s">
        <v>89</v>
      </c>
      <c r="D39" t="s">
        <v>86</v>
      </c>
      <c r="E39" s="3">
        <v>0.14920067660216219</v>
      </c>
      <c r="F39" s="3">
        <v>-0.1189675688700948</v>
      </c>
    </row>
    <row r="40" spans="1:6" x14ac:dyDescent="0.25">
      <c r="A40" t="s">
        <v>149</v>
      </c>
      <c r="B40" t="s">
        <v>614</v>
      </c>
      <c r="C40" t="s">
        <v>89</v>
      </c>
      <c r="D40" t="s">
        <v>86</v>
      </c>
      <c r="E40" s="3">
        <v>0.14054898798924603</v>
      </c>
      <c r="F40" s="3">
        <v>-0.12779404323049257</v>
      </c>
    </row>
    <row r="41" spans="1:6" x14ac:dyDescent="0.25">
      <c r="A41" t="s">
        <v>104</v>
      </c>
      <c r="B41" t="s">
        <v>165</v>
      </c>
      <c r="C41" t="s">
        <v>89</v>
      </c>
      <c r="D41" t="s">
        <v>86</v>
      </c>
      <c r="E41" s="3">
        <v>9.0553923634511591E-2</v>
      </c>
      <c r="F41" s="3">
        <v>-7.2345359900859246E-2</v>
      </c>
    </row>
    <row r="42" spans="1:6" x14ac:dyDescent="0.25">
      <c r="A42" t="s">
        <v>104</v>
      </c>
      <c r="B42" t="s">
        <v>614</v>
      </c>
      <c r="C42" t="s">
        <v>89</v>
      </c>
      <c r="D42" t="s">
        <v>86</v>
      </c>
      <c r="E42" s="3">
        <v>8.77064393248215E-2</v>
      </c>
      <c r="F42" s="3">
        <v>-8.1684183885377293E-2</v>
      </c>
    </row>
    <row r="43" spans="1:6" x14ac:dyDescent="0.25">
      <c r="A43" t="s">
        <v>165</v>
      </c>
      <c r="B43" t="s">
        <v>614</v>
      </c>
      <c r="C43" t="s">
        <v>89</v>
      </c>
      <c r="D43" t="s">
        <v>86</v>
      </c>
      <c r="E43" s="3">
        <v>0.16895992655088821</v>
      </c>
      <c r="F43" s="3">
        <v>-0.15413393108826615</v>
      </c>
    </row>
    <row r="44" spans="1:6" x14ac:dyDescent="0.25">
      <c r="A44" t="s">
        <v>138</v>
      </c>
      <c r="B44" t="s">
        <v>98</v>
      </c>
      <c r="C44" t="s">
        <v>89</v>
      </c>
      <c r="D44" t="s">
        <v>92</v>
      </c>
      <c r="E44" s="3">
        <v>0.10075769191546019</v>
      </c>
      <c r="F44" s="3">
        <v>-9.1206934072268153E-2</v>
      </c>
    </row>
    <row r="45" spans="1:6" x14ac:dyDescent="0.25">
      <c r="A45" t="s">
        <v>138</v>
      </c>
      <c r="B45" t="s">
        <v>143</v>
      </c>
      <c r="C45" t="s">
        <v>89</v>
      </c>
      <c r="D45" t="s">
        <v>92</v>
      </c>
      <c r="E45" s="3">
        <v>0.16877476039584099</v>
      </c>
      <c r="F45" s="3">
        <v>-0.1423831963809141</v>
      </c>
    </row>
    <row r="46" spans="1:6" x14ac:dyDescent="0.25">
      <c r="A46" t="s">
        <v>138</v>
      </c>
      <c r="B46" t="s">
        <v>149</v>
      </c>
      <c r="C46" t="s">
        <v>89</v>
      </c>
      <c r="D46" t="s">
        <v>92</v>
      </c>
      <c r="E46" s="3">
        <v>0.14787443646736931</v>
      </c>
      <c r="F46" s="3">
        <v>-0.12968496759617124</v>
      </c>
    </row>
    <row r="47" spans="1:6" x14ac:dyDescent="0.25">
      <c r="A47" t="s">
        <v>138</v>
      </c>
      <c r="B47" t="s">
        <v>104</v>
      </c>
      <c r="C47" t="s">
        <v>89</v>
      </c>
      <c r="D47" t="s">
        <v>92</v>
      </c>
      <c r="E47" s="3">
        <v>9.5008698429822541E-2</v>
      </c>
      <c r="F47" s="3">
        <v>-8.2683916759525106E-2</v>
      </c>
    </row>
    <row r="48" spans="1:6" x14ac:dyDescent="0.25">
      <c r="A48" t="s">
        <v>138</v>
      </c>
      <c r="B48" t="s">
        <v>165</v>
      </c>
      <c r="C48" t="s">
        <v>89</v>
      </c>
      <c r="D48" t="s">
        <v>92</v>
      </c>
      <c r="E48" s="3">
        <v>0.18352383284464507</v>
      </c>
      <c r="F48" s="3">
        <v>-0.1478937360241051</v>
      </c>
    </row>
    <row r="49" spans="1:6" x14ac:dyDescent="0.25">
      <c r="A49" t="s">
        <v>138</v>
      </c>
      <c r="B49" t="s">
        <v>614</v>
      </c>
      <c r="C49" t="s">
        <v>89</v>
      </c>
      <c r="D49" t="s">
        <v>92</v>
      </c>
      <c r="E49" s="3">
        <v>0.17266882750253687</v>
      </c>
      <c r="F49" s="3">
        <v>-0.155526648877548</v>
      </c>
    </row>
    <row r="50" spans="1:6" x14ac:dyDescent="0.25">
      <c r="A50" t="s">
        <v>98</v>
      </c>
      <c r="B50" t="s">
        <v>143</v>
      </c>
      <c r="C50" t="s">
        <v>89</v>
      </c>
      <c r="D50" t="s">
        <v>92</v>
      </c>
      <c r="E50" s="3">
        <v>7.0457492812459194E-2</v>
      </c>
      <c r="F50" s="3">
        <v>-8.2561824978093112E-2</v>
      </c>
    </row>
    <row r="51" spans="1:6" x14ac:dyDescent="0.25">
      <c r="A51" t="s">
        <v>98</v>
      </c>
      <c r="B51" t="s">
        <v>149</v>
      </c>
      <c r="C51" t="s">
        <v>89</v>
      </c>
      <c r="D51" t="s">
        <v>92</v>
      </c>
      <c r="E51" s="3">
        <v>5.278271440171195E-2</v>
      </c>
      <c r="F51" s="3">
        <v>-6.8691386464086207E-2</v>
      </c>
    </row>
    <row r="52" spans="1:6" x14ac:dyDescent="0.25">
      <c r="A52" t="s">
        <v>98</v>
      </c>
      <c r="B52" t="s">
        <v>104</v>
      </c>
      <c r="C52" t="s">
        <v>89</v>
      </c>
      <c r="D52" t="s">
        <v>92</v>
      </c>
      <c r="E52" s="3">
        <v>1.1583552068791275E-2</v>
      </c>
      <c r="F52" s="3">
        <v>-2.0327552744833999E-2</v>
      </c>
    </row>
    <row r="53" spans="1:6" x14ac:dyDescent="0.25">
      <c r="A53" t="s">
        <v>98</v>
      </c>
      <c r="B53" t="s">
        <v>165</v>
      </c>
      <c r="C53" t="s">
        <v>89</v>
      </c>
      <c r="D53" t="s">
        <v>92</v>
      </c>
      <c r="E53" s="3">
        <v>0.10954053974505545</v>
      </c>
      <c r="F53" s="3">
        <v>-9.5124888475091318E-2</v>
      </c>
    </row>
    <row r="54" spans="1:6" x14ac:dyDescent="0.25">
      <c r="A54" t="s">
        <v>98</v>
      </c>
      <c r="B54" t="s">
        <v>614</v>
      </c>
      <c r="C54" t="s">
        <v>89</v>
      </c>
      <c r="D54" t="s">
        <v>92</v>
      </c>
      <c r="E54" s="3">
        <v>0.11269681629971307</v>
      </c>
      <c r="F54" s="3">
        <v>-9.7994596293748154E-2</v>
      </c>
    </row>
    <row r="55" spans="1:6" x14ac:dyDescent="0.25">
      <c r="A55" t="s">
        <v>143</v>
      </c>
      <c r="B55" t="s">
        <v>149</v>
      </c>
      <c r="C55" t="s">
        <v>89</v>
      </c>
      <c r="D55" t="s">
        <v>92</v>
      </c>
      <c r="E55" s="3">
        <v>0.11116498567552144</v>
      </c>
      <c r="F55" s="3">
        <v>-0.12077937250261639</v>
      </c>
    </row>
    <row r="56" spans="1:6" x14ac:dyDescent="0.25">
      <c r="A56" t="s">
        <v>143</v>
      </c>
      <c r="B56" t="s">
        <v>104</v>
      </c>
      <c r="C56" t="s">
        <v>89</v>
      </c>
      <c r="D56" t="s">
        <v>92</v>
      </c>
      <c r="E56" s="3">
        <v>6.2645807071254139E-2</v>
      </c>
      <c r="F56" s="3">
        <v>-7.1745330978908478E-2</v>
      </c>
    </row>
    <row r="57" spans="1:6" x14ac:dyDescent="0.25">
      <c r="A57" t="s">
        <v>143</v>
      </c>
      <c r="B57" t="s">
        <v>165</v>
      </c>
      <c r="C57" t="s">
        <v>89</v>
      </c>
      <c r="D57" t="s">
        <v>92</v>
      </c>
      <c r="E57" s="3">
        <v>0.17885683917017481</v>
      </c>
      <c r="F57" s="3">
        <v>-0.14768379055462361</v>
      </c>
    </row>
    <row r="58" spans="1:6" x14ac:dyDescent="0.25">
      <c r="A58" t="s">
        <v>143</v>
      </c>
      <c r="B58" t="s">
        <v>614</v>
      </c>
      <c r="C58" t="s">
        <v>89</v>
      </c>
      <c r="D58" t="s">
        <v>92</v>
      </c>
      <c r="E58" s="3">
        <v>0.18233482625012659</v>
      </c>
      <c r="F58" s="3">
        <v>-0.14839593022985947</v>
      </c>
    </row>
    <row r="59" spans="1:6" x14ac:dyDescent="0.25">
      <c r="A59" t="s">
        <v>149</v>
      </c>
      <c r="B59" t="s">
        <v>104</v>
      </c>
      <c r="C59" t="s">
        <v>89</v>
      </c>
      <c r="D59" t="s">
        <v>92</v>
      </c>
      <c r="E59" s="3">
        <v>4.5353712943835778E-2</v>
      </c>
      <c r="F59" s="3">
        <v>-5.8309350672582805E-2</v>
      </c>
    </row>
    <row r="60" spans="1:6" x14ac:dyDescent="0.25">
      <c r="A60" t="s">
        <v>149</v>
      </c>
      <c r="B60" t="s">
        <v>165</v>
      </c>
      <c r="C60" t="s">
        <v>89</v>
      </c>
      <c r="D60" t="s">
        <v>92</v>
      </c>
      <c r="E60" s="3">
        <v>0.15751759256417841</v>
      </c>
      <c r="F60" s="3">
        <v>-0.13318700967941074</v>
      </c>
    </row>
    <row r="61" spans="1:6" x14ac:dyDescent="0.25">
      <c r="A61" t="s">
        <v>149</v>
      </c>
      <c r="B61" t="s">
        <v>614</v>
      </c>
      <c r="C61" t="s">
        <v>89</v>
      </c>
      <c r="D61" t="s">
        <v>92</v>
      </c>
      <c r="E61" s="3">
        <v>0.16108638599198893</v>
      </c>
      <c r="F61" s="3">
        <v>-0.13594845619451812</v>
      </c>
    </row>
    <row r="62" spans="1:6" x14ac:dyDescent="0.25">
      <c r="A62" t="s">
        <v>104</v>
      </c>
      <c r="B62" t="s">
        <v>165</v>
      </c>
      <c r="C62" t="s">
        <v>89</v>
      </c>
      <c r="D62" t="s">
        <v>92</v>
      </c>
      <c r="E62" s="3">
        <v>0.10350848699003357</v>
      </c>
      <c r="F62" s="3">
        <v>-8.7032658359932735E-2</v>
      </c>
    </row>
    <row r="63" spans="1:6" x14ac:dyDescent="0.25">
      <c r="A63" t="s">
        <v>104</v>
      </c>
      <c r="B63" t="s">
        <v>614</v>
      </c>
      <c r="C63" t="s">
        <v>89</v>
      </c>
      <c r="D63" t="s">
        <v>92</v>
      </c>
      <c r="E63" s="3">
        <v>0.10707719295051965</v>
      </c>
      <c r="F63" s="3">
        <v>-8.9954006942759318E-2</v>
      </c>
    </row>
    <row r="64" spans="1:6" x14ac:dyDescent="0.25">
      <c r="A64" t="s">
        <v>165</v>
      </c>
      <c r="B64" t="s">
        <v>614</v>
      </c>
      <c r="C64" t="s">
        <v>89</v>
      </c>
      <c r="D64" t="s">
        <v>92</v>
      </c>
      <c r="E64" s="3">
        <v>0.19191509541461726</v>
      </c>
      <c r="F64" s="3">
        <v>-0.15476907207452548</v>
      </c>
    </row>
    <row r="65" spans="1:6" x14ac:dyDescent="0.25">
      <c r="A65" t="s">
        <v>138</v>
      </c>
      <c r="B65" t="s">
        <v>98</v>
      </c>
      <c r="C65" t="s">
        <v>89</v>
      </c>
      <c r="D65" t="s">
        <v>121</v>
      </c>
      <c r="E65" s="3">
        <v>2.2956667073974563E-2</v>
      </c>
      <c r="F65" s="3">
        <v>-5.8543943060079817E-4</v>
      </c>
    </row>
    <row r="66" spans="1:6" x14ac:dyDescent="0.25">
      <c r="A66" t="s">
        <v>138</v>
      </c>
      <c r="B66" t="s">
        <v>143</v>
      </c>
      <c r="C66" t="s">
        <v>89</v>
      </c>
      <c r="D66" t="s">
        <v>121</v>
      </c>
      <c r="E66" s="3">
        <v>7.9634083271131834E-2</v>
      </c>
      <c r="F66" s="3">
        <v>-5.8514724558805742E-2</v>
      </c>
    </row>
    <row r="67" spans="1:6" x14ac:dyDescent="0.25">
      <c r="A67" t="s">
        <v>138</v>
      </c>
      <c r="B67" t="s">
        <v>149</v>
      </c>
      <c r="C67" t="s">
        <v>89</v>
      </c>
      <c r="D67" t="s">
        <v>121</v>
      </c>
      <c r="E67" s="3">
        <v>6.1583819015434582E-2</v>
      </c>
      <c r="F67" s="3">
        <v>-4.3828392596315158E-2</v>
      </c>
    </row>
    <row r="68" spans="1:6" x14ac:dyDescent="0.25">
      <c r="A68" t="s">
        <v>138</v>
      </c>
      <c r="B68" t="s">
        <v>104</v>
      </c>
      <c r="C68" t="s">
        <v>89</v>
      </c>
      <c r="D68" t="s">
        <v>121</v>
      </c>
      <c r="E68" s="3">
        <v>1.7618204762590267E-2</v>
      </c>
      <c r="F68" s="3">
        <v>7.4947096795807133E-3</v>
      </c>
    </row>
    <row r="69" spans="1:6" x14ac:dyDescent="0.25">
      <c r="A69" t="s">
        <v>138</v>
      </c>
      <c r="B69" t="s">
        <v>165</v>
      </c>
      <c r="C69" t="s">
        <v>89</v>
      </c>
      <c r="D69" t="s">
        <v>121</v>
      </c>
      <c r="E69" s="3">
        <v>9.1268170489168826E-2</v>
      </c>
      <c r="F69" s="3">
        <v>-6.5455538469202795E-2</v>
      </c>
    </row>
    <row r="70" spans="1:6" x14ac:dyDescent="0.25">
      <c r="A70" t="s">
        <v>138</v>
      </c>
      <c r="B70" t="s">
        <v>614</v>
      </c>
      <c r="C70" t="s">
        <v>89</v>
      </c>
      <c r="D70" t="s">
        <v>121</v>
      </c>
      <c r="E70" s="3">
        <v>8.2512796345437733E-2</v>
      </c>
      <c r="F70" s="3">
        <v>-7.5047444758553433E-2</v>
      </c>
    </row>
    <row r="71" spans="1:6" x14ac:dyDescent="0.25">
      <c r="A71" t="s">
        <v>98</v>
      </c>
      <c r="B71" t="s">
        <v>143</v>
      </c>
      <c r="C71" t="s">
        <v>89</v>
      </c>
      <c r="D71" t="s">
        <v>121</v>
      </c>
      <c r="E71" s="3">
        <v>8.8085883654029362E-4</v>
      </c>
      <c r="F71" s="3">
        <v>7.9881452084974436E-3</v>
      </c>
    </row>
    <row r="72" spans="1:6" x14ac:dyDescent="0.25">
      <c r="A72" t="s">
        <v>98</v>
      </c>
      <c r="B72" t="s">
        <v>149</v>
      </c>
      <c r="C72" t="s">
        <v>89</v>
      </c>
      <c r="D72" t="s">
        <v>121</v>
      </c>
      <c r="E72" s="3">
        <v>-1.2666061005521742E-2</v>
      </c>
      <c r="F72" s="3">
        <v>2.1413781358905926E-2</v>
      </c>
    </row>
    <row r="73" spans="1:6" x14ac:dyDescent="0.25">
      <c r="A73" t="s">
        <v>98</v>
      </c>
      <c r="B73" t="s">
        <v>104</v>
      </c>
      <c r="C73" t="s">
        <v>89</v>
      </c>
      <c r="D73" t="s">
        <v>121</v>
      </c>
      <c r="E73" s="3">
        <v>-4.3404853292491427E-2</v>
      </c>
      <c r="F73" s="3">
        <v>7.1013663234530733E-2</v>
      </c>
    </row>
    <row r="74" spans="1:6" x14ac:dyDescent="0.25">
      <c r="A74" t="s">
        <v>98</v>
      </c>
      <c r="B74" t="s">
        <v>165</v>
      </c>
      <c r="C74" t="s">
        <v>89</v>
      </c>
      <c r="D74" t="s">
        <v>121</v>
      </c>
      <c r="E74" s="3">
        <v>3.1613467412916374E-2</v>
      </c>
      <c r="F74" s="3">
        <v>-5.3381567544873998E-3</v>
      </c>
    </row>
    <row r="75" spans="1:6" x14ac:dyDescent="0.25">
      <c r="A75" t="s">
        <v>98</v>
      </c>
      <c r="B75" t="s">
        <v>614</v>
      </c>
      <c r="C75" t="s">
        <v>89</v>
      </c>
      <c r="D75" t="s">
        <v>121</v>
      </c>
      <c r="E75" s="3">
        <v>3.2377244064415361E-2</v>
      </c>
      <c r="F75" s="3">
        <v>-6.9394405319294639E-3</v>
      </c>
    </row>
    <row r="76" spans="1:6" x14ac:dyDescent="0.25">
      <c r="A76" t="s">
        <v>143</v>
      </c>
      <c r="B76" t="s">
        <v>149</v>
      </c>
      <c r="C76" t="s">
        <v>89</v>
      </c>
      <c r="D76" t="s">
        <v>121</v>
      </c>
      <c r="E76" s="3">
        <v>3.305711412383347E-2</v>
      </c>
      <c r="F76" s="3">
        <v>-3.4108250005572993E-2</v>
      </c>
    </row>
    <row r="77" spans="1:6" x14ac:dyDescent="0.25">
      <c r="A77" t="s">
        <v>143</v>
      </c>
      <c r="B77" t="s">
        <v>104</v>
      </c>
      <c r="C77" t="s">
        <v>89</v>
      </c>
      <c r="D77" t="s">
        <v>121</v>
      </c>
      <c r="E77" s="3">
        <v>-6.1244990727437609E-3</v>
      </c>
      <c r="F77" s="3">
        <v>1.8990246829011292E-2</v>
      </c>
    </row>
    <row r="78" spans="1:6" x14ac:dyDescent="0.25">
      <c r="A78" t="s">
        <v>143</v>
      </c>
      <c r="B78" t="s">
        <v>165</v>
      </c>
      <c r="C78" t="s">
        <v>89</v>
      </c>
      <c r="D78" t="s">
        <v>121</v>
      </c>
      <c r="E78" s="3">
        <v>9.0173003727747392E-2</v>
      </c>
      <c r="F78" s="3">
        <v>-6.2801378246592043E-2</v>
      </c>
    </row>
    <row r="79" spans="1:6" x14ac:dyDescent="0.25">
      <c r="A79" t="s">
        <v>143</v>
      </c>
      <c r="B79" t="s">
        <v>614</v>
      </c>
      <c r="C79" t="s">
        <v>89</v>
      </c>
      <c r="D79" t="s">
        <v>121</v>
      </c>
      <c r="E79" s="3">
        <v>9.1019681098146843E-2</v>
      </c>
      <c r="F79" s="3">
        <v>-6.430688793884376E-2</v>
      </c>
    </row>
    <row r="80" spans="1:6" x14ac:dyDescent="0.25">
      <c r="A80" t="s">
        <v>149</v>
      </c>
      <c r="B80" t="s">
        <v>104</v>
      </c>
      <c r="C80" t="s">
        <v>89</v>
      </c>
      <c r="D80" t="s">
        <v>121</v>
      </c>
      <c r="E80" s="3">
        <v>-1.9040362812770717E-2</v>
      </c>
      <c r="F80" s="3">
        <v>3.1628680683815358E-2</v>
      </c>
    </row>
    <row r="81" spans="1:6" x14ac:dyDescent="0.25">
      <c r="A81" t="s">
        <v>149</v>
      </c>
      <c r="B81" t="s">
        <v>165</v>
      </c>
      <c r="C81" t="s">
        <v>89</v>
      </c>
      <c r="D81" t="s">
        <v>121</v>
      </c>
      <c r="E81" s="3">
        <v>7.1550697075926983E-2</v>
      </c>
      <c r="F81" s="3">
        <v>-4.8218920750267236E-2</v>
      </c>
    </row>
    <row r="82" spans="1:6" x14ac:dyDescent="0.25">
      <c r="A82" t="s">
        <v>149</v>
      </c>
      <c r="B82" t="s">
        <v>614</v>
      </c>
      <c r="C82" t="s">
        <v>89</v>
      </c>
      <c r="D82" t="s">
        <v>121</v>
      </c>
      <c r="E82" s="3">
        <v>7.2385447828512556E-2</v>
      </c>
      <c r="F82" s="3">
        <v>-4.9730014460494076E-2</v>
      </c>
    </row>
    <row r="83" spans="1:6" x14ac:dyDescent="0.25">
      <c r="A83" t="s">
        <v>104</v>
      </c>
      <c r="B83" t="s">
        <v>165</v>
      </c>
      <c r="C83" t="s">
        <v>89</v>
      </c>
      <c r="D83" t="s">
        <v>121</v>
      </c>
      <c r="E83" s="3">
        <v>2.5840000808249719E-2</v>
      </c>
      <c r="F83" s="3">
        <v>2.4855590153040064E-3</v>
      </c>
    </row>
    <row r="84" spans="1:6" x14ac:dyDescent="0.25">
      <c r="A84" t="s">
        <v>104</v>
      </c>
      <c r="B84" t="s">
        <v>614</v>
      </c>
      <c r="C84" t="s">
        <v>89</v>
      </c>
      <c r="D84" t="s">
        <v>121</v>
      </c>
      <c r="E84" s="3">
        <v>2.6696188607841898E-2</v>
      </c>
      <c r="F84" s="3">
        <v>1.1462086221174506E-3</v>
      </c>
    </row>
    <row r="85" spans="1:6" x14ac:dyDescent="0.25">
      <c r="A85" t="s">
        <v>165</v>
      </c>
      <c r="B85" t="s">
        <v>614</v>
      </c>
      <c r="C85" t="s">
        <v>89</v>
      </c>
      <c r="D85" t="s">
        <v>121</v>
      </c>
      <c r="E85" s="3">
        <v>9.9126757585008635E-2</v>
      </c>
      <c r="F85" s="3">
        <v>-7.2424144790931594E-2</v>
      </c>
    </row>
    <row r="86" spans="1:6" x14ac:dyDescent="0.25">
      <c r="A86" t="s">
        <v>138</v>
      </c>
      <c r="B86" t="s">
        <v>98</v>
      </c>
      <c r="C86" t="s">
        <v>89</v>
      </c>
      <c r="D86" t="s">
        <v>117</v>
      </c>
      <c r="E86" s="3">
        <v>4.614330069614711E-2</v>
      </c>
      <c r="F86" s="3">
        <v>-2.931761370014857E-2</v>
      </c>
    </row>
    <row r="87" spans="1:6" x14ac:dyDescent="0.25">
      <c r="A87" t="s">
        <v>138</v>
      </c>
      <c r="B87" t="s">
        <v>143</v>
      </c>
      <c r="C87" t="s">
        <v>89</v>
      </c>
      <c r="D87" t="s">
        <v>117</v>
      </c>
      <c r="E87" s="3">
        <v>0.10737410438160469</v>
      </c>
      <c r="F87" s="3">
        <v>-8.5362935059146661E-2</v>
      </c>
    </row>
    <row r="88" spans="1:6" x14ac:dyDescent="0.25">
      <c r="A88" t="s">
        <v>138</v>
      </c>
      <c r="B88" t="s">
        <v>149</v>
      </c>
      <c r="C88" t="s">
        <v>89</v>
      </c>
      <c r="D88" t="s">
        <v>117</v>
      </c>
      <c r="E88" s="3">
        <v>8.7999608565153098E-2</v>
      </c>
      <c r="F88" s="3">
        <v>-7.1573625403401148E-2</v>
      </c>
    </row>
    <row r="89" spans="1:6" x14ac:dyDescent="0.25">
      <c r="A89" t="s">
        <v>138</v>
      </c>
      <c r="B89" t="s">
        <v>104</v>
      </c>
      <c r="C89" t="s">
        <v>89</v>
      </c>
      <c r="D89" t="s">
        <v>117</v>
      </c>
      <c r="E89" s="3">
        <v>4.0548423058516636E-2</v>
      </c>
      <c r="F89" s="3">
        <v>-2.1039203058434652E-2</v>
      </c>
    </row>
    <row r="90" spans="1:6" x14ac:dyDescent="0.25">
      <c r="A90" t="s">
        <v>138</v>
      </c>
      <c r="B90" t="s">
        <v>165</v>
      </c>
      <c r="C90" t="s">
        <v>89</v>
      </c>
      <c r="D90" t="s">
        <v>117</v>
      </c>
      <c r="E90" s="3">
        <v>0.12051852854890144</v>
      </c>
      <c r="F90" s="3">
        <v>-9.1878206964262799E-2</v>
      </c>
    </row>
    <row r="91" spans="1:6" x14ac:dyDescent="0.25">
      <c r="A91" t="s">
        <v>138</v>
      </c>
      <c r="B91" t="s">
        <v>614</v>
      </c>
      <c r="C91" t="s">
        <v>89</v>
      </c>
      <c r="D91" t="s">
        <v>117</v>
      </c>
      <c r="E91" s="3">
        <v>0.11059127284588574</v>
      </c>
      <c r="F91" s="3">
        <v>-0.10099099044397389</v>
      </c>
    </row>
    <row r="92" spans="1:6" x14ac:dyDescent="0.25">
      <c r="A92" t="s">
        <v>98</v>
      </c>
      <c r="B92" t="s">
        <v>143</v>
      </c>
      <c r="C92" t="s">
        <v>89</v>
      </c>
      <c r="D92" t="s">
        <v>117</v>
      </c>
      <c r="E92" s="3">
        <v>2.0377385061053244E-2</v>
      </c>
      <c r="F92" s="3">
        <v>-2.0229639234486119E-2</v>
      </c>
    </row>
    <row r="93" spans="1:6" x14ac:dyDescent="0.25">
      <c r="A93" t="s">
        <v>98</v>
      </c>
      <c r="B93" t="s">
        <v>149</v>
      </c>
      <c r="C93" t="s">
        <v>89</v>
      </c>
      <c r="D93" t="s">
        <v>117</v>
      </c>
      <c r="E93" s="3">
        <v>5.1520974177437645E-3</v>
      </c>
      <c r="F93" s="3">
        <v>-5.7859359988901016E-3</v>
      </c>
    </row>
    <row r="94" spans="1:6" x14ac:dyDescent="0.25">
      <c r="A94" t="s">
        <v>98</v>
      </c>
      <c r="B94" t="s">
        <v>104</v>
      </c>
      <c r="C94" t="s">
        <v>89</v>
      </c>
      <c r="D94" t="s">
        <v>117</v>
      </c>
      <c r="E94" s="3">
        <v>-2.9097049235935132E-2</v>
      </c>
      <c r="F94" s="3">
        <v>4.404343601655375E-2</v>
      </c>
    </row>
    <row r="95" spans="1:6" x14ac:dyDescent="0.25">
      <c r="A95" t="s">
        <v>98</v>
      </c>
      <c r="B95" t="s">
        <v>165</v>
      </c>
      <c r="C95" t="s">
        <v>89</v>
      </c>
      <c r="D95" t="s">
        <v>117</v>
      </c>
      <c r="E95" s="3">
        <v>5.381963053622249E-2</v>
      </c>
      <c r="F95" s="3">
        <v>-3.3880454185928832E-2</v>
      </c>
    </row>
    <row r="96" spans="1:6" x14ac:dyDescent="0.25">
      <c r="A96" t="s">
        <v>98</v>
      </c>
      <c r="B96" t="s">
        <v>614</v>
      </c>
      <c r="C96" t="s">
        <v>89</v>
      </c>
      <c r="D96" t="s">
        <v>117</v>
      </c>
      <c r="E96" s="3">
        <v>5.6547797729319671E-2</v>
      </c>
      <c r="F96" s="3">
        <v>-3.7394983883307031E-2</v>
      </c>
    </row>
    <row r="97" spans="1:6" x14ac:dyDescent="0.25">
      <c r="A97" t="s">
        <v>143</v>
      </c>
      <c r="B97" t="s">
        <v>149</v>
      </c>
      <c r="C97" t="s">
        <v>89</v>
      </c>
      <c r="D97" t="s">
        <v>117</v>
      </c>
      <c r="E97" s="3">
        <v>5.5328596666549462E-2</v>
      </c>
      <c r="F97" s="3">
        <v>-6.1474275954713331E-2</v>
      </c>
    </row>
    <row r="98" spans="1:6" x14ac:dyDescent="0.25">
      <c r="A98" t="s">
        <v>143</v>
      </c>
      <c r="B98" t="s">
        <v>104</v>
      </c>
      <c r="C98" t="s">
        <v>89</v>
      </c>
      <c r="D98" t="s">
        <v>117</v>
      </c>
      <c r="E98" s="3">
        <v>1.2759058937346024E-2</v>
      </c>
      <c r="F98" s="3">
        <v>-8.9446147430381484E-3</v>
      </c>
    </row>
    <row r="99" spans="1:6" x14ac:dyDescent="0.25">
      <c r="A99" t="s">
        <v>143</v>
      </c>
      <c r="B99" t="s">
        <v>165</v>
      </c>
      <c r="C99" t="s">
        <v>89</v>
      </c>
      <c r="D99" t="s">
        <v>117</v>
      </c>
      <c r="E99" s="3">
        <v>0.11655709682378862</v>
      </c>
      <c r="F99" s="3">
        <v>-9.1666894667314924E-2</v>
      </c>
    </row>
    <row r="100" spans="1:6" x14ac:dyDescent="0.25">
      <c r="A100" t="s">
        <v>143</v>
      </c>
      <c r="B100" t="s">
        <v>614</v>
      </c>
      <c r="C100" t="s">
        <v>89</v>
      </c>
      <c r="D100" t="s">
        <v>117</v>
      </c>
      <c r="E100" s="3">
        <v>0.11971668163477664</v>
      </c>
      <c r="F100" s="3">
        <v>-9.2773584883295707E-2</v>
      </c>
    </row>
    <row r="101" spans="1:6" x14ac:dyDescent="0.25">
      <c r="A101" t="s">
        <v>149</v>
      </c>
      <c r="B101" t="s">
        <v>104</v>
      </c>
      <c r="C101" t="s">
        <v>89</v>
      </c>
      <c r="D101" t="s">
        <v>117</v>
      </c>
      <c r="E101" s="3">
        <v>-1.8064856437128296E-3</v>
      </c>
      <c r="F101" s="3">
        <v>4.7383618045101494E-3</v>
      </c>
    </row>
    <row r="102" spans="1:6" x14ac:dyDescent="0.25">
      <c r="A102" t="s">
        <v>149</v>
      </c>
      <c r="B102" t="s">
        <v>165</v>
      </c>
      <c r="C102" t="s">
        <v>89</v>
      </c>
      <c r="D102" t="s">
        <v>117</v>
      </c>
      <c r="E102" s="3">
        <v>9.6714934933570695E-2</v>
      </c>
      <c r="F102" s="3">
        <v>-7.5788096140865902E-2</v>
      </c>
    </row>
    <row r="103" spans="1:6" x14ac:dyDescent="0.25">
      <c r="A103" t="s">
        <v>149</v>
      </c>
      <c r="B103" t="s">
        <v>614</v>
      </c>
      <c r="C103" t="s">
        <v>89</v>
      </c>
      <c r="D103" t="s">
        <v>117</v>
      </c>
      <c r="E103" s="3">
        <v>9.9770004753422015E-2</v>
      </c>
      <c r="F103" s="3">
        <v>-7.9124195844191642E-2</v>
      </c>
    </row>
    <row r="104" spans="1:6" x14ac:dyDescent="0.25">
      <c r="A104" t="s">
        <v>104</v>
      </c>
      <c r="B104" t="s">
        <v>165</v>
      </c>
      <c r="C104" t="s">
        <v>89</v>
      </c>
      <c r="D104" t="s">
        <v>117</v>
      </c>
      <c r="E104" s="3">
        <v>4.7861462780921571E-2</v>
      </c>
      <c r="F104" s="3">
        <v>-2.5938845489753726E-2</v>
      </c>
    </row>
    <row r="105" spans="1:6" x14ac:dyDescent="0.25">
      <c r="A105" t="s">
        <v>104</v>
      </c>
      <c r="B105" t="s">
        <v>614</v>
      </c>
      <c r="C105" t="s">
        <v>89</v>
      </c>
      <c r="D105" t="s">
        <v>117</v>
      </c>
      <c r="E105" s="3">
        <v>5.0715316653682757E-2</v>
      </c>
      <c r="F105" s="3">
        <v>-2.9288168941955184E-2</v>
      </c>
    </row>
    <row r="106" spans="1:6" x14ac:dyDescent="0.25">
      <c r="A106" t="s">
        <v>165</v>
      </c>
      <c r="B106" t="s">
        <v>614</v>
      </c>
      <c r="C106" t="s">
        <v>89</v>
      </c>
      <c r="D106" t="s">
        <v>117</v>
      </c>
      <c r="E106" s="3">
        <v>0.12808578213941707</v>
      </c>
      <c r="F106" s="3">
        <v>-0.1002527027794573</v>
      </c>
    </row>
    <row r="107" spans="1:6" x14ac:dyDescent="0.25">
      <c r="A107" t="s">
        <v>138</v>
      </c>
      <c r="B107" t="s">
        <v>98</v>
      </c>
      <c r="C107" t="s">
        <v>125</v>
      </c>
      <c r="D107" t="s">
        <v>86</v>
      </c>
      <c r="E107" s="3">
        <v>-1.602227208494518E-2</v>
      </c>
      <c r="F107" s="3">
        <v>-8.5470024077756723E-3</v>
      </c>
    </row>
    <row r="108" spans="1:6" x14ac:dyDescent="0.25">
      <c r="A108" t="s">
        <v>138</v>
      </c>
      <c r="B108" t="s">
        <v>143</v>
      </c>
      <c r="C108" t="s">
        <v>125</v>
      </c>
      <c r="D108" t="s">
        <v>86</v>
      </c>
      <c r="E108" s="3">
        <v>2.3211279405136009E-2</v>
      </c>
      <c r="F108" s="3">
        <v>-7.5774335662552872E-2</v>
      </c>
    </row>
    <row r="109" spans="1:6" x14ac:dyDescent="0.25">
      <c r="A109" t="s">
        <v>138</v>
      </c>
      <c r="B109" t="s">
        <v>149</v>
      </c>
      <c r="C109" t="s">
        <v>125</v>
      </c>
      <c r="D109" t="s">
        <v>86</v>
      </c>
      <c r="E109" s="3">
        <v>1.5771855439317445E-2</v>
      </c>
      <c r="F109" s="3">
        <v>-5.5192945137528815E-2</v>
      </c>
    </row>
    <row r="110" spans="1:6" x14ac:dyDescent="0.25">
      <c r="A110" t="s">
        <v>138</v>
      </c>
      <c r="B110" t="s">
        <v>104</v>
      </c>
      <c r="C110" t="s">
        <v>125</v>
      </c>
      <c r="D110" t="s">
        <v>86</v>
      </c>
      <c r="E110" s="3">
        <v>-2.1895312067037875E-2</v>
      </c>
      <c r="F110" s="3">
        <v>-4.7897980703381915E-3</v>
      </c>
    </row>
    <row r="111" spans="1:6" x14ac:dyDescent="0.25">
      <c r="A111" t="s">
        <v>138</v>
      </c>
      <c r="B111" t="s">
        <v>165</v>
      </c>
      <c r="C111" t="s">
        <v>125</v>
      </c>
      <c r="D111" t="s">
        <v>86</v>
      </c>
      <c r="E111" s="3">
        <v>2.98249368848372E-2</v>
      </c>
      <c r="F111" s="3">
        <v>-0.11224409411021599</v>
      </c>
    </row>
    <row r="112" spans="1:6" x14ac:dyDescent="0.25">
      <c r="A112" t="s">
        <v>138</v>
      </c>
      <c r="B112" t="s">
        <v>614</v>
      </c>
      <c r="C112" t="s">
        <v>125</v>
      </c>
      <c r="D112" t="s">
        <v>86</v>
      </c>
      <c r="E112" s="3">
        <v>-1.521239389772111E-3</v>
      </c>
      <c r="F112" s="3">
        <v>-0.11784116430579664</v>
      </c>
    </row>
    <row r="113" spans="1:6" x14ac:dyDescent="0.25">
      <c r="A113" t="s">
        <v>98</v>
      </c>
      <c r="B113" t="s">
        <v>143</v>
      </c>
      <c r="C113" t="s">
        <v>125</v>
      </c>
      <c r="D113" t="s">
        <v>86</v>
      </c>
      <c r="E113" s="3">
        <v>-1.5419972020503103E-3</v>
      </c>
      <c r="F113" s="3">
        <v>7.9057610148696722E-3</v>
      </c>
    </row>
    <row r="114" spans="1:6" x14ac:dyDescent="0.25">
      <c r="A114" t="s">
        <v>98</v>
      </c>
      <c r="B114" t="s">
        <v>149</v>
      </c>
      <c r="C114" t="s">
        <v>125</v>
      </c>
      <c r="D114" t="s">
        <v>86</v>
      </c>
      <c r="E114" s="3">
        <v>-1.5394381754736827E-2</v>
      </c>
      <c r="F114" s="3">
        <v>2.3537726536771719E-2</v>
      </c>
    </row>
    <row r="115" spans="1:6" x14ac:dyDescent="0.25">
      <c r="A115" t="s">
        <v>98</v>
      </c>
      <c r="B115" t="s">
        <v>104</v>
      </c>
      <c r="C115" t="s">
        <v>125</v>
      </c>
      <c r="D115" t="s">
        <v>86</v>
      </c>
      <c r="E115" s="3">
        <v>-4.6942633372909159E-2</v>
      </c>
      <c r="F115" s="3">
        <v>7.4953594183796435E-2</v>
      </c>
    </row>
    <row r="116" spans="1:6" x14ac:dyDescent="0.25">
      <c r="A116" t="s">
        <v>98</v>
      </c>
      <c r="B116" t="s">
        <v>165</v>
      </c>
      <c r="C116" t="s">
        <v>125</v>
      </c>
      <c r="D116" t="s">
        <v>86</v>
      </c>
      <c r="E116" s="3">
        <v>1.0068316133807764E-2</v>
      </c>
      <c r="F116" s="3">
        <v>-5.397272848534973E-3</v>
      </c>
    </row>
    <row r="117" spans="1:6" x14ac:dyDescent="0.25">
      <c r="A117" t="s">
        <v>98</v>
      </c>
      <c r="B117" t="s">
        <v>614</v>
      </c>
      <c r="C117" t="s">
        <v>125</v>
      </c>
      <c r="D117" t="s">
        <v>86</v>
      </c>
      <c r="E117" s="3">
        <v>-7.0721890129531312E-3</v>
      </c>
      <c r="F117" s="3">
        <v>-1.219168680440591E-2</v>
      </c>
    </row>
    <row r="118" spans="1:6" x14ac:dyDescent="0.25">
      <c r="A118" t="s">
        <v>143</v>
      </c>
      <c r="B118" t="s">
        <v>149</v>
      </c>
      <c r="C118" t="s">
        <v>125</v>
      </c>
      <c r="D118" t="s">
        <v>86</v>
      </c>
      <c r="E118" s="3">
        <v>2.9558712975867762E-2</v>
      </c>
      <c r="F118" s="3">
        <v>-3.8295929613332114E-2</v>
      </c>
    </row>
    <row r="119" spans="1:6" x14ac:dyDescent="0.25">
      <c r="A119" t="s">
        <v>143</v>
      </c>
      <c r="B119" t="s">
        <v>104</v>
      </c>
      <c r="C119" t="s">
        <v>125</v>
      </c>
      <c r="D119" t="s">
        <v>86</v>
      </c>
      <c r="E119" s="3">
        <v>-9.3066530629103139E-3</v>
      </c>
      <c r="F119" s="3">
        <v>1.8442297537406394E-2</v>
      </c>
    </row>
    <row r="120" spans="1:6" x14ac:dyDescent="0.25">
      <c r="A120" t="s">
        <v>143</v>
      </c>
      <c r="B120" t="s">
        <v>165</v>
      </c>
      <c r="C120" t="s">
        <v>125</v>
      </c>
      <c r="D120" t="s">
        <v>86</v>
      </c>
      <c r="E120" s="3">
        <v>5.4266880404775175E-2</v>
      </c>
      <c r="F120" s="3">
        <v>-7.2917383897593169E-2</v>
      </c>
    </row>
    <row r="121" spans="1:6" x14ac:dyDescent="0.25">
      <c r="A121" t="s">
        <v>143</v>
      </c>
      <c r="B121" t="s">
        <v>614</v>
      </c>
      <c r="C121" t="s">
        <v>125</v>
      </c>
      <c r="D121" t="s">
        <v>86</v>
      </c>
      <c r="E121" s="3">
        <v>3.4057774811220798E-2</v>
      </c>
      <c r="F121" s="3">
        <v>-7.9220243039484967E-2</v>
      </c>
    </row>
    <row r="122" spans="1:6" x14ac:dyDescent="0.25">
      <c r="A122" t="s">
        <v>149</v>
      </c>
      <c r="B122" t="s">
        <v>104</v>
      </c>
      <c r="C122" t="s">
        <v>125</v>
      </c>
      <c r="D122" t="s">
        <v>86</v>
      </c>
      <c r="E122" s="3">
        <v>-2.2602732771314457E-2</v>
      </c>
      <c r="F122" s="3">
        <v>3.3454348960127667E-2</v>
      </c>
    </row>
    <row r="123" spans="1:6" x14ac:dyDescent="0.25">
      <c r="A123" t="s">
        <v>149</v>
      </c>
      <c r="B123" t="s">
        <v>165</v>
      </c>
      <c r="C123" t="s">
        <v>125</v>
      </c>
      <c r="D123" t="s">
        <v>86</v>
      </c>
      <c r="E123" s="3">
        <v>4.6220771534099619E-2</v>
      </c>
      <c r="F123" s="3">
        <v>-5.2402260964076519E-2</v>
      </c>
    </row>
    <row r="124" spans="1:6" x14ac:dyDescent="0.25">
      <c r="A124" t="s">
        <v>149</v>
      </c>
      <c r="B124" t="s">
        <v>614</v>
      </c>
      <c r="C124" t="s">
        <v>125</v>
      </c>
      <c r="D124" t="s">
        <v>86</v>
      </c>
      <c r="E124" s="3">
        <v>2.6355142087360645E-2</v>
      </c>
      <c r="F124" s="3">
        <v>-5.8794906003242164E-2</v>
      </c>
    </row>
    <row r="125" spans="1:6" x14ac:dyDescent="0.25">
      <c r="A125" t="s">
        <v>104</v>
      </c>
      <c r="B125" t="s">
        <v>165</v>
      </c>
      <c r="C125" t="s">
        <v>125</v>
      </c>
      <c r="D125" t="s">
        <v>86</v>
      </c>
      <c r="E125" s="3">
        <v>3.6001695093088454E-3</v>
      </c>
      <c r="F125" s="3">
        <v>-1.8601904435337491E-3</v>
      </c>
    </row>
    <row r="126" spans="1:6" x14ac:dyDescent="0.25">
      <c r="A126" t="s">
        <v>104</v>
      </c>
      <c r="B126" t="s">
        <v>614</v>
      </c>
      <c r="C126" t="s">
        <v>125</v>
      </c>
      <c r="D126" t="s">
        <v>86</v>
      </c>
      <c r="E126" s="3">
        <v>-1.3550808748062318E-2</v>
      </c>
      <c r="F126" s="3">
        <v>-8.5487627282392897E-3</v>
      </c>
    </row>
    <row r="127" spans="1:6" x14ac:dyDescent="0.25">
      <c r="A127" t="s">
        <v>165</v>
      </c>
      <c r="B127" t="s">
        <v>614</v>
      </c>
      <c r="C127" t="s">
        <v>125</v>
      </c>
      <c r="D127" t="s">
        <v>86</v>
      </c>
      <c r="E127" s="3">
        <v>4.1116522702670411E-2</v>
      </c>
      <c r="F127" s="3">
        <v>-0.11561644663176793</v>
      </c>
    </row>
    <row r="128" spans="1:6" x14ac:dyDescent="0.25">
      <c r="A128" t="s">
        <v>138</v>
      </c>
      <c r="B128" t="s">
        <v>98</v>
      </c>
      <c r="C128" t="s">
        <v>125</v>
      </c>
      <c r="D128" t="s">
        <v>92</v>
      </c>
      <c r="E128" s="3">
        <v>4.7782586363752516E-3</v>
      </c>
      <c r="F128" s="3">
        <v>-7.1543347326781803E-3</v>
      </c>
    </row>
    <row r="129" spans="1:6" x14ac:dyDescent="0.25">
      <c r="A129" t="s">
        <v>138</v>
      </c>
      <c r="B129" t="s">
        <v>143</v>
      </c>
      <c r="C129" t="s">
        <v>125</v>
      </c>
      <c r="D129" t="s">
        <v>92</v>
      </c>
      <c r="E129" s="3">
        <v>5.7970023592973874E-2</v>
      </c>
      <c r="F129" s="3">
        <v>-6.2622414154545558E-2</v>
      </c>
    </row>
    <row r="130" spans="1:6" x14ac:dyDescent="0.25">
      <c r="A130" t="s">
        <v>138</v>
      </c>
      <c r="B130" t="s">
        <v>149</v>
      </c>
      <c r="C130" t="s">
        <v>125</v>
      </c>
      <c r="D130" t="s">
        <v>92</v>
      </c>
      <c r="E130" s="3">
        <v>4.0615416169331731E-2</v>
      </c>
      <c r="F130" s="3">
        <v>-4.832192068426483E-2</v>
      </c>
    </row>
    <row r="131" spans="1:6" x14ac:dyDescent="0.25">
      <c r="A131" t="s">
        <v>138</v>
      </c>
      <c r="B131" t="s">
        <v>104</v>
      </c>
      <c r="C131" t="s">
        <v>125</v>
      </c>
      <c r="D131" t="s">
        <v>92</v>
      </c>
      <c r="E131" s="3">
        <v>-3.4351498621271181E-4</v>
      </c>
      <c r="F131" s="3">
        <v>1.820339762222678E-3</v>
      </c>
    </row>
    <row r="132" spans="1:6" x14ac:dyDescent="0.25">
      <c r="A132" t="s">
        <v>138</v>
      </c>
      <c r="B132" t="s">
        <v>165</v>
      </c>
      <c r="C132" t="s">
        <v>125</v>
      </c>
      <c r="D132" t="s">
        <v>92</v>
      </c>
      <c r="E132" s="3">
        <v>7.3439364943846924E-2</v>
      </c>
      <c r="F132" s="3">
        <v>-7.5355462486295793E-2</v>
      </c>
    </row>
    <row r="133" spans="1:6" x14ac:dyDescent="0.25">
      <c r="A133" t="s">
        <v>138</v>
      </c>
      <c r="B133" t="s">
        <v>614</v>
      </c>
      <c r="C133" t="s">
        <v>125</v>
      </c>
      <c r="D133" t="s">
        <v>92</v>
      </c>
      <c r="E133" s="3">
        <v>4.8162262019283308E-2</v>
      </c>
      <c r="F133" s="3">
        <v>-7.8898000284898268E-2</v>
      </c>
    </row>
    <row r="134" spans="1:6" x14ac:dyDescent="0.25">
      <c r="A134" t="s">
        <v>98</v>
      </c>
      <c r="B134" t="s">
        <v>143</v>
      </c>
      <c r="C134" t="s">
        <v>125</v>
      </c>
      <c r="D134" t="s">
        <v>92</v>
      </c>
      <c r="E134" s="3">
        <v>1.4975668053408192E-2</v>
      </c>
      <c r="F134" s="3">
        <v>5.3264130921026887E-4</v>
      </c>
    </row>
    <row r="135" spans="1:6" x14ac:dyDescent="0.25">
      <c r="A135" t="s">
        <v>98</v>
      </c>
      <c r="B135" t="s">
        <v>149</v>
      </c>
      <c r="C135" t="s">
        <v>125</v>
      </c>
      <c r="D135" t="s">
        <v>92</v>
      </c>
      <c r="E135" s="3">
        <v>2.2957286322536352E-4</v>
      </c>
      <c r="F135" s="3">
        <v>1.1210479916748672E-2</v>
      </c>
    </row>
    <row r="136" spans="1:6" x14ac:dyDescent="0.25">
      <c r="A136" t="s">
        <v>98</v>
      </c>
      <c r="B136" t="s">
        <v>104</v>
      </c>
      <c r="C136" t="s">
        <v>125</v>
      </c>
      <c r="D136" t="s">
        <v>92</v>
      </c>
      <c r="E136" s="3">
        <v>-3.3349014275863245E-2</v>
      </c>
      <c r="F136" s="3">
        <v>6.0939131484529452E-2</v>
      </c>
    </row>
    <row r="137" spans="1:6" x14ac:dyDescent="0.25">
      <c r="A137" t="s">
        <v>98</v>
      </c>
      <c r="B137" t="s">
        <v>165</v>
      </c>
      <c r="C137" t="s">
        <v>125</v>
      </c>
      <c r="D137" t="s">
        <v>92</v>
      </c>
      <c r="E137" s="3">
        <v>2.5245016959691086E-2</v>
      </c>
      <c r="F137" s="3">
        <v>-3.4144680461419274E-3</v>
      </c>
    </row>
    <row r="138" spans="1:6" x14ac:dyDescent="0.25">
      <c r="A138" t="s">
        <v>98</v>
      </c>
      <c r="B138" t="s">
        <v>614</v>
      </c>
      <c r="C138" t="s">
        <v>125</v>
      </c>
      <c r="D138" t="s">
        <v>92</v>
      </c>
      <c r="E138" s="3">
        <v>1.4198241030299014E-2</v>
      </c>
      <c r="F138" s="3">
        <v>-8.299067431533802E-3</v>
      </c>
    </row>
    <row r="139" spans="1:6" x14ac:dyDescent="0.25">
      <c r="A139" t="s">
        <v>143</v>
      </c>
      <c r="B139" t="s">
        <v>149</v>
      </c>
      <c r="C139" t="s">
        <v>125</v>
      </c>
      <c r="D139" t="s">
        <v>92</v>
      </c>
      <c r="E139" s="3">
        <v>4.9437127925665125E-2</v>
      </c>
      <c r="F139" s="3">
        <v>-4.1046769820815843E-2</v>
      </c>
    </row>
    <row r="140" spans="1:6" x14ac:dyDescent="0.25">
      <c r="A140" t="s">
        <v>143</v>
      </c>
      <c r="B140" t="s">
        <v>104</v>
      </c>
      <c r="C140" t="s">
        <v>125</v>
      </c>
      <c r="D140" t="s">
        <v>92</v>
      </c>
      <c r="E140" s="3">
        <v>7.1950453825581212E-3</v>
      </c>
      <c r="F140" s="3">
        <v>1.1996119163302232E-2</v>
      </c>
    </row>
    <row r="141" spans="1:6" x14ac:dyDescent="0.25">
      <c r="A141" t="s">
        <v>143</v>
      </c>
      <c r="B141" t="s">
        <v>165</v>
      </c>
      <c r="C141" t="s">
        <v>125</v>
      </c>
      <c r="D141" t="s">
        <v>92</v>
      </c>
      <c r="E141" s="3">
        <v>7.9839767840643061E-2</v>
      </c>
      <c r="F141" s="3">
        <v>-6.108995369768816E-2</v>
      </c>
    </row>
    <row r="142" spans="1:6" x14ac:dyDescent="0.25">
      <c r="A142" t="s">
        <v>143</v>
      </c>
      <c r="B142" t="s">
        <v>614</v>
      </c>
      <c r="C142" t="s">
        <v>125</v>
      </c>
      <c r="D142" t="s">
        <v>92</v>
      </c>
      <c r="E142" s="3">
        <v>6.9660675883136791E-2</v>
      </c>
      <c r="F142" s="3">
        <v>-6.5545633903605016E-2</v>
      </c>
    </row>
    <row r="143" spans="1:6" x14ac:dyDescent="0.25">
      <c r="A143" t="s">
        <v>149</v>
      </c>
      <c r="B143" t="s">
        <v>104</v>
      </c>
      <c r="C143" t="s">
        <v>125</v>
      </c>
      <c r="D143" t="s">
        <v>92</v>
      </c>
      <c r="E143" s="3">
        <v>-7.0838997005654297E-3</v>
      </c>
      <c r="F143" s="3">
        <v>2.2075564527588409E-2</v>
      </c>
    </row>
    <row r="144" spans="1:6" x14ac:dyDescent="0.25">
      <c r="A144" t="s">
        <v>149</v>
      </c>
      <c r="B144" t="s">
        <v>165</v>
      </c>
      <c r="C144" t="s">
        <v>125</v>
      </c>
      <c r="D144" t="s">
        <v>92</v>
      </c>
      <c r="E144" s="3">
        <v>6.4543132432096834E-2</v>
      </c>
      <c r="F144" s="3">
        <v>-4.6037106009374107E-2</v>
      </c>
    </row>
    <row r="145" spans="1:6" x14ac:dyDescent="0.25">
      <c r="A145" t="s">
        <v>149</v>
      </c>
      <c r="B145" t="s">
        <v>614</v>
      </c>
      <c r="C145" t="s">
        <v>125</v>
      </c>
      <c r="D145" t="s">
        <v>92</v>
      </c>
      <c r="E145" s="3">
        <v>5.1636648223671561E-2</v>
      </c>
      <c r="F145" s="3">
        <v>-5.0327700810308795E-2</v>
      </c>
    </row>
    <row r="146" spans="1:6" x14ac:dyDescent="0.25">
      <c r="A146" t="s">
        <v>104</v>
      </c>
      <c r="B146" t="s">
        <v>165</v>
      </c>
      <c r="C146" t="s">
        <v>125</v>
      </c>
      <c r="D146" t="s">
        <v>92</v>
      </c>
      <c r="E146" s="3">
        <v>1.9025813382647444E-2</v>
      </c>
      <c r="F146" s="3">
        <v>4.7506836596874491E-3</v>
      </c>
    </row>
    <row r="147" spans="1:6" x14ac:dyDescent="0.25">
      <c r="A147" t="s">
        <v>104</v>
      </c>
      <c r="B147" t="s">
        <v>614</v>
      </c>
      <c r="C147" t="s">
        <v>125</v>
      </c>
      <c r="D147" t="s">
        <v>92</v>
      </c>
      <c r="E147" s="3">
        <v>8.8043579217383927E-3</v>
      </c>
      <c r="F147" s="3">
        <v>4.0952068104904704E-4</v>
      </c>
    </row>
    <row r="148" spans="1:6" x14ac:dyDescent="0.25">
      <c r="A148" t="s">
        <v>165</v>
      </c>
      <c r="B148" t="s">
        <v>614</v>
      </c>
      <c r="C148" t="s">
        <v>125</v>
      </c>
      <c r="D148" t="s">
        <v>92</v>
      </c>
      <c r="E148" s="3">
        <v>8.537430049161604E-2</v>
      </c>
      <c r="F148" s="3">
        <v>-7.7937985105848262E-2</v>
      </c>
    </row>
    <row r="149" spans="1:6" x14ac:dyDescent="0.25">
      <c r="A149" t="s">
        <v>138</v>
      </c>
      <c r="B149" t="s">
        <v>98</v>
      </c>
      <c r="C149" t="s">
        <v>125</v>
      </c>
      <c r="D149" t="s">
        <v>121</v>
      </c>
      <c r="E149" s="3">
        <v>-4.8482201453193652E-2</v>
      </c>
      <c r="F149" s="3">
        <v>8.3606974518534993E-2</v>
      </c>
    </row>
    <row r="150" spans="1:6" x14ac:dyDescent="0.25">
      <c r="A150" t="s">
        <v>138</v>
      </c>
      <c r="B150" t="s">
        <v>143</v>
      </c>
      <c r="C150" t="s">
        <v>125</v>
      </c>
      <c r="D150" t="s">
        <v>121</v>
      </c>
      <c r="E150" s="3">
        <v>-1.02393144163095E-2</v>
      </c>
      <c r="F150" s="3">
        <v>2.7227097243809839E-2</v>
      </c>
    </row>
    <row r="151" spans="1:6" x14ac:dyDescent="0.25">
      <c r="A151" t="s">
        <v>138</v>
      </c>
      <c r="B151" t="s">
        <v>149</v>
      </c>
      <c r="C151" t="s">
        <v>125</v>
      </c>
      <c r="D151" t="s">
        <v>121</v>
      </c>
      <c r="E151" s="3">
        <v>-2.3267393904342584E-2</v>
      </c>
      <c r="F151" s="3">
        <v>4.1771836793360884E-2</v>
      </c>
    </row>
    <row r="152" spans="1:6" x14ac:dyDescent="0.25">
      <c r="A152" t="s">
        <v>138</v>
      </c>
      <c r="B152" t="s">
        <v>104</v>
      </c>
      <c r="C152" t="s">
        <v>125</v>
      </c>
      <c r="D152" t="s">
        <v>121</v>
      </c>
      <c r="E152" s="3">
        <v>-5.2701536591513914E-2</v>
      </c>
      <c r="F152" s="3">
        <v>9.1734440611147605E-2</v>
      </c>
    </row>
    <row r="153" spans="1:6" x14ac:dyDescent="0.25">
      <c r="A153" t="s">
        <v>138</v>
      </c>
      <c r="B153" t="s">
        <v>165</v>
      </c>
      <c r="C153" t="s">
        <v>125</v>
      </c>
      <c r="D153" t="s">
        <v>121</v>
      </c>
      <c r="E153" s="3">
        <v>1.3139241068045593E-3</v>
      </c>
      <c r="F153" s="3">
        <v>1.3278878728879784E-2</v>
      </c>
    </row>
    <row r="154" spans="1:6" x14ac:dyDescent="0.25">
      <c r="A154" t="s">
        <v>138</v>
      </c>
      <c r="B154" t="s">
        <v>614</v>
      </c>
      <c r="C154" t="s">
        <v>125</v>
      </c>
      <c r="D154" t="s">
        <v>121</v>
      </c>
      <c r="E154" s="3">
        <v>-1.8160954885125036E-2</v>
      </c>
      <c r="F154" s="3">
        <v>6.9383378165833176E-3</v>
      </c>
    </row>
    <row r="155" spans="1:6" x14ac:dyDescent="0.25">
      <c r="A155" t="s">
        <v>98</v>
      </c>
      <c r="B155" t="s">
        <v>143</v>
      </c>
      <c r="C155" t="s">
        <v>125</v>
      </c>
      <c r="D155" t="s">
        <v>121</v>
      </c>
      <c r="E155" s="3">
        <v>-4.1028925573892316E-2</v>
      </c>
      <c r="F155" s="3">
        <v>9.4575579448292757E-2</v>
      </c>
    </row>
    <row r="156" spans="1:6" x14ac:dyDescent="0.25">
      <c r="A156" t="s">
        <v>98</v>
      </c>
      <c r="B156" t="s">
        <v>149</v>
      </c>
      <c r="C156" t="s">
        <v>125</v>
      </c>
      <c r="D156" t="s">
        <v>121</v>
      </c>
      <c r="E156" s="3">
        <v>-5.1223440310282822E-2</v>
      </c>
      <c r="F156" s="3">
        <v>9.6789823637284222E-2</v>
      </c>
    </row>
    <row r="157" spans="1:6" x14ac:dyDescent="0.25">
      <c r="A157" t="s">
        <v>98</v>
      </c>
      <c r="B157" t="s">
        <v>104</v>
      </c>
      <c r="C157" t="s">
        <v>125</v>
      </c>
      <c r="D157" t="s">
        <v>121</v>
      </c>
      <c r="E157" s="3">
        <v>-7.370052639655135E-2</v>
      </c>
      <c r="F157" s="3">
        <v>0.14439911942482031</v>
      </c>
    </row>
    <row r="158" spans="1:6" x14ac:dyDescent="0.25">
      <c r="A158" t="s">
        <v>98</v>
      </c>
      <c r="B158" t="s">
        <v>165</v>
      </c>
      <c r="C158" t="s">
        <v>125</v>
      </c>
      <c r="D158" t="s">
        <v>121</v>
      </c>
      <c r="E158" s="3">
        <v>-3.4280519276831733E-2</v>
      </c>
      <c r="F158" s="3">
        <v>9.0441617151411302E-2</v>
      </c>
    </row>
    <row r="159" spans="1:6" x14ac:dyDescent="0.25">
      <c r="A159" t="s">
        <v>98</v>
      </c>
      <c r="B159" t="s">
        <v>614</v>
      </c>
      <c r="C159" t="s">
        <v>125</v>
      </c>
      <c r="D159" t="s">
        <v>121</v>
      </c>
      <c r="E159" s="3">
        <v>-4.1910217850368733E-2</v>
      </c>
      <c r="F159" s="3">
        <v>8.2271731458738118E-2</v>
      </c>
    </row>
    <row r="160" spans="1:6" x14ac:dyDescent="0.25">
      <c r="A160" t="s">
        <v>143</v>
      </c>
      <c r="B160" t="s">
        <v>149</v>
      </c>
      <c r="C160" t="s">
        <v>125</v>
      </c>
      <c r="D160" t="s">
        <v>121</v>
      </c>
      <c r="E160" s="3">
        <v>-1.6429856055263356E-2</v>
      </c>
      <c r="F160" s="3">
        <v>5.2650631728929032E-2</v>
      </c>
    </row>
    <row r="161" spans="1:6" x14ac:dyDescent="0.25">
      <c r="A161" t="s">
        <v>143</v>
      </c>
      <c r="B161" t="s">
        <v>104</v>
      </c>
      <c r="C161" t="s">
        <v>125</v>
      </c>
      <c r="D161" t="s">
        <v>121</v>
      </c>
      <c r="E161" s="3">
        <v>-4.7318047841300753E-2</v>
      </c>
      <c r="F161" s="3">
        <v>0.10561822187314135</v>
      </c>
    </row>
    <row r="162" spans="1:6" x14ac:dyDescent="0.25">
      <c r="A162" t="s">
        <v>143</v>
      </c>
      <c r="B162" t="s">
        <v>165</v>
      </c>
      <c r="C162" t="s">
        <v>125</v>
      </c>
      <c r="D162" t="s">
        <v>121</v>
      </c>
      <c r="E162" s="3">
        <v>6.2055501322701018E-3</v>
      </c>
      <c r="F162" s="3">
        <v>3.059644227823477E-2</v>
      </c>
    </row>
    <row r="163" spans="1:6" x14ac:dyDescent="0.25">
      <c r="A163" t="s">
        <v>143</v>
      </c>
      <c r="B163" t="s">
        <v>614</v>
      </c>
      <c r="C163" t="s">
        <v>125</v>
      </c>
      <c r="D163" t="s">
        <v>121</v>
      </c>
      <c r="E163" s="3">
        <v>-1.4558074658616443E-3</v>
      </c>
      <c r="F163" s="3">
        <v>2.3714856142781848E-2</v>
      </c>
    </row>
    <row r="164" spans="1:6" x14ac:dyDescent="0.25">
      <c r="A164" t="s">
        <v>149</v>
      </c>
      <c r="B164" t="s">
        <v>104</v>
      </c>
      <c r="C164" t="s">
        <v>125</v>
      </c>
      <c r="D164" t="s">
        <v>121</v>
      </c>
      <c r="E164" s="3">
        <v>-5.6886005243760702E-2</v>
      </c>
      <c r="F164" s="3">
        <v>0.10703146294078714</v>
      </c>
    </row>
    <row r="165" spans="1:6" x14ac:dyDescent="0.25">
      <c r="A165" t="s">
        <v>149</v>
      </c>
      <c r="B165" t="s">
        <v>165</v>
      </c>
      <c r="C165" t="s">
        <v>125</v>
      </c>
      <c r="D165" t="s">
        <v>121</v>
      </c>
      <c r="E165" s="3">
        <v>-5.7605255020194146E-3</v>
      </c>
      <c r="F165" s="3">
        <v>4.7185679587754104E-2</v>
      </c>
    </row>
    <row r="166" spans="1:6" x14ac:dyDescent="0.25">
      <c r="A166" t="s">
        <v>149</v>
      </c>
      <c r="B166" t="s">
        <v>614</v>
      </c>
      <c r="C166" t="s">
        <v>125</v>
      </c>
      <c r="D166" t="s">
        <v>121</v>
      </c>
      <c r="E166" s="3">
        <v>-1.5234629284893081E-2</v>
      </c>
      <c r="F166" s="3">
        <v>3.9518719033090011E-2</v>
      </c>
    </row>
    <row r="167" spans="1:6" x14ac:dyDescent="0.25">
      <c r="A167" t="s">
        <v>104</v>
      </c>
      <c r="B167" t="s">
        <v>165</v>
      </c>
      <c r="C167" t="s">
        <v>125</v>
      </c>
      <c r="D167" t="s">
        <v>121</v>
      </c>
      <c r="E167" s="3">
        <v>-3.9566094540886276E-2</v>
      </c>
      <c r="F167" s="3">
        <v>9.8038829864849075E-2</v>
      </c>
    </row>
    <row r="168" spans="1:6" x14ac:dyDescent="0.25">
      <c r="A168" t="s">
        <v>104</v>
      </c>
      <c r="B168" t="s">
        <v>614</v>
      </c>
      <c r="C168" t="s">
        <v>125</v>
      </c>
      <c r="D168" t="s">
        <v>121</v>
      </c>
      <c r="E168" s="3">
        <v>-4.6647680132232514E-2</v>
      </c>
      <c r="F168" s="3">
        <v>9.0594627144697182E-2</v>
      </c>
    </row>
    <row r="169" spans="1:6" x14ac:dyDescent="0.25">
      <c r="A169" t="s">
        <v>165</v>
      </c>
      <c r="B169" t="s">
        <v>614</v>
      </c>
      <c r="C169" t="s">
        <v>125</v>
      </c>
      <c r="D169" t="s">
        <v>121</v>
      </c>
      <c r="E169" s="3">
        <v>1.0420954481471928E-2</v>
      </c>
      <c r="F169" s="3">
        <v>1.0092169133691986E-2</v>
      </c>
    </row>
    <row r="170" spans="1:6" x14ac:dyDescent="0.25">
      <c r="A170" t="s">
        <v>138</v>
      </c>
      <c r="B170" t="s">
        <v>98</v>
      </c>
      <c r="C170" t="s">
        <v>125</v>
      </c>
      <c r="D170" t="s">
        <v>117</v>
      </c>
      <c r="E170" s="3">
        <v>-3.3669451223949043E-2</v>
      </c>
      <c r="F170" s="3">
        <v>5.72798021496288E-2</v>
      </c>
    </row>
    <row r="171" spans="1:6" x14ac:dyDescent="0.25">
      <c r="A171" t="s">
        <v>138</v>
      </c>
      <c r="B171" t="s">
        <v>143</v>
      </c>
      <c r="C171" t="s">
        <v>125</v>
      </c>
      <c r="D171" t="s">
        <v>117</v>
      </c>
      <c r="E171" s="3">
        <v>9.9253747812962367E-3</v>
      </c>
      <c r="F171" s="3">
        <v>5.377324019231744E-4</v>
      </c>
    </row>
    <row r="172" spans="1:6" x14ac:dyDescent="0.25">
      <c r="A172" t="s">
        <v>138</v>
      </c>
      <c r="B172" t="s">
        <v>149</v>
      </c>
      <c r="C172" t="s">
        <v>125</v>
      </c>
      <c r="D172" t="s">
        <v>117</v>
      </c>
      <c r="E172" s="3">
        <v>-4.9146478067921273E-3</v>
      </c>
      <c r="F172" s="3">
        <v>1.5258683128719863E-2</v>
      </c>
    </row>
    <row r="173" spans="1:6" x14ac:dyDescent="0.25">
      <c r="A173" t="s">
        <v>138</v>
      </c>
      <c r="B173" t="s">
        <v>104</v>
      </c>
      <c r="C173" t="s">
        <v>125</v>
      </c>
      <c r="D173" t="s">
        <v>117</v>
      </c>
      <c r="E173" s="3">
        <v>-3.839060983418463E-2</v>
      </c>
      <c r="F173" s="3">
        <v>6.5999598248525637E-2</v>
      </c>
    </row>
    <row r="174" spans="1:6" x14ac:dyDescent="0.25">
      <c r="A174" t="s">
        <v>138</v>
      </c>
      <c r="B174" t="s">
        <v>165</v>
      </c>
      <c r="C174" t="s">
        <v>125</v>
      </c>
      <c r="D174" t="s">
        <v>117</v>
      </c>
      <c r="E174" s="3">
        <v>2.2392407253044727E-2</v>
      </c>
      <c r="F174" s="3">
        <v>-1.27148860302983E-2</v>
      </c>
    </row>
    <row r="175" spans="1:6" x14ac:dyDescent="0.25">
      <c r="A175" t="s">
        <v>138</v>
      </c>
      <c r="B175" t="s">
        <v>614</v>
      </c>
      <c r="C175" t="s">
        <v>125</v>
      </c>
      <c r="D175" t="s">
        <v>117</v>
      </c>
      <c r="E175" s="3">
        <v>1.4641526312572928E-3</v>
      </c>
      <c r="F175" s="3">
        <v>-1.7795477484496225E-2</v>
      </c>
    </row>
    <row r="176" spans="1:6" x14ac:dyDescent="0.25">
      <c r="A176" t="s">
        <v>98</v>
      </c>
      <c r="B176" t="s">
        <v>143</v>
      </c>
      <c r="C176" t="s">
        <v>125</v>
      </c>
      <c r="D176" t="s">
        <v>117</v>
      </c>
      <c r="E176" s="3">
        <v>-2.5078366089298101E-2</v>
      </c>
      <c r="F176" s="3">
        <v>6.5135653351098277E-2</v>
      </c>
    </row>
    <row r="177" spans="1:6" x14ac:dyDescent="0.25">
      <c r="A177" t="s">
        <v>98</v>
      </c>
      <c r="B177" t="s">
        <v>149</v>
      </c>
      <c r="C177" t="s">
        <v>125</v>
      </c>
      <c r="D177" t="s">
        <v>117</v>
      </c>
      <c r="E177" s="3">
        <v>-3.709999741596845E-2</v>
      </c>
      <c r="F177" s="3">
        <v>7.5829557813612614E-2</v>
      </c>
    </row>
    <row r="178" spans="1:6" x14ac:dyDescent="0.25">
      <c r="A178" t="s">
        <v>98</v>
      </c>
      <c r="B178" t="s">
        <v>104</v>
      </c>
      <c r="C178" t="s">
        <v>125</v>
      </c>
      <c r="D178" t="s">
        <v>117</v>
      </c>
      <c r="E178" s="3">
        <v>-6.3262914838744994E-2</v>
      </c>
      <c r="F178" s="3">
        <v>0.1246141449898453</v>
      </c>
    </row>
    <row r="179" spans="1:6" x14ac:dyDescent="0.25">
      <c r="A179" t="s">
        <v>98</v>
      </c>
      <c r="B179" t="s">
        <v>165</v>
      </c>
      <c r="C179" t="s">
        <v>125</v>
      </c>
      <c r="D179" t="s">
        <v>117</v>
      </c>
      <c r="E179" s="3">
        <v>-1.7357885587587538E-2</v>
      </c>
      <c r="F179" s="3">
        <v>6.1567073656137838E-2</v>
      </c>
    </row>
    <row r="180" spans="1:6" x14ac:dyDescent="0.25">
      <c r="A180" t="s">
        <v>98</v>
      </c>
      <c r="B180" t="s">
        <v>614</v>
      </c>
      <c r="C180" t="s">
        <v>125</v>
      </c>
      <c r="D180" t="s">
        <v>117</v>
      </c>
      <c r="E180" s="3">
        <v>-2.591737857782897E-2</v>
      </c>
      <c r="F180" s="3">
        <v>5.5203632905745703E-2</v>
      </c>
    </row>
    <row r="181" spans="1:6" x14ac:dyDescent="0.25">
      <c r="A181" t="s">
        <v>143</v>
      </c>
      <c r="B181" t="s">
        <v>149</v>
      </c>
      <c r="C181" t="s">
        <v>125</v>
      </c>
      <c r="D181" t="s">
        <v>117</v>
      </c>
      <c r="E181" s="3">
        <v>2.8079648806625113E-3</v>
      </c>
      <c r="F181" s="3">
        <v>2.2910918797813595E-2</v>
      </c>
    </row>
    <row r="182" spans="1:6" x14ac:dyDescent="0.25">
      <c r="A182" t="s">
        <v>143</v>
      </c>
      <c r="B182" t="s">
        <v>104</v>
      </c>
      <c r="C182" t="s">
        <v>125</v>
      </c>
      <c r="D182" t="s">
        <v>117</v>
      </c>
      <c r="E182" s="3">
        <v>-3.2129155126181391E-2</v>
      </c>
      <c r="F182" s="3">
        <v>7.6604979356073633E-2</v>
      </c>
    </row>
    <row r="183" spans="1:6" x14ac:dyDescent="0.25">
      <c r="A183" t="s">
        <v>143</v>
      </c>
      <c r="B183" t="s">
        <v>165</v>
      </c>
      <c r="C183" t="s">
        <v>125</v>
      </c>
      <c r="D183" t="s">
        <v>117</v>
      </c>
      <c r="E183" s="3">
        <v>2.8116055710220911E-2</v>
      </c>
      <c r="F183" s="3">
        <v>2.511581032106025E-3</v>
      </c>
    </row>
    <row r="184" spans="1:6" x14ac:dyDescent="0.25">
      <c r="A184" t="s">
        <v>143</v>
      </c>
      <c r="B184" t="s">
        <v>614</v>
      </c>
      <c r="C184" t="s">
        <v>125</v>
      </c>
      <c r="D184" t="s">
        <v>117</v>
      </c>
      <c r="E184" s="3">
        <v>2.0155523845670903E-2</v>
      </c>
      <c r="F184" s="3">
        <v>-3.5515666833965676E-3</v>
      </c>
    </row>
    <row r="185" spans="1:6" x14ac:dyDescent="0.25">
      <c r="A185" t="s">
        <v>149</v>
      </c>
      <c r="B185" t="s">
        <v>104</v>
      </c>
      <c r="C185" t="s">
        <v>125</v>
      </c>
      <c r="D185" t="s">
        <v>117</v>
      </c>
      <c r="E185" s="3">
        <v>-4.346797736798548E-2</v>
      </c>
      <c r="F185" s="3">
        <v>8.6444443041042596E-2</v>
      </c>
    </row>
    <row r="186" spans="1:6" x14ac:dyDescent="0.25">
      <c r="A186" t="s">
        <v>149</v>
      </c>
      <c r="B186" t="s">
        <v>165</v>
      </c>
      <c r="C186" t="s">
        <v>125</v>
      </c>
      <c r="D186" t="s">
        <v>117</v>
      </c>
      <c r="E186" s="3">
        <v>1.4935807256462319E-2</v>
      </c>
      <c r="F186" s="3">
        <v>1.7954246294070442E-2</v>
      </c>
    </row>
    <row r="187" spans="1:6" x14ac:dyDescent="0.25">
      <c r="A187" t="s">
        <v>149</v>
      </c>
      <c r="B187" t="s">
        <v>614</v>
      </c>
      <c r="C187" t="s">
        <v>125</v>
      </c>
      <c r="D187" t="s">
        <v>117</v>
      </c>
      <c r="E187" s="3">
        <v>4.5653824517376401E-3</v>
      </c>
      <c r="F187" s="3">
        <v>1.2102981970846194E-2</v>
      </c>
    </row>
    <row r="188" spans="1:6" x14ac:dyDescent="0.25">
      <c r="A188" t="s">
        <v>104</v>
      </c>
      <c r="B188" t="s">
        <v>165</v>
      </c>
      <c r="C188" t="s">
        <v>125</v>
      </c>
      <c r="D188" t="s">
        <v>117</v>
      </c>
      <c r="E188" s="3">
        <v>-2.3117011376758617E-2</v>
      </c>
      <c r="F188" s="3">
        <v>6.9445579390560508E-2</v>
      </c>
    </row>
    <row r="189" spans="1:6" x14ac:dyDescent="0.25">
      <c r="A189" t="s">
        <v>104</v>
      </c>
      <c r="B189" t="s">
        <v>614</v>
      </c>
      <c r="C189" t="s">
        <v>125</v>
      </c>
      <c r="D189" t="s">
        <v>117</v>
      </c>
      <c r="E189" s="3">
        <v>-3.1009453277097518E-2</v>
      </c>
      <c r="F189" s="3">
        <v>6.3613405659350808E-2</v>
      </c>
    </row>
    <row r="190" spans="1:6" x14ac:dyDescent="0.25">
      <c r="A190" t="s">
        <v>165</v>
      </c>
      <c r="B190" t="s">
        <v>614</v>
      </c>
      <c r="C190" t="s">
        <v>125</v>
      </c>
      <c r="D190" t="s">
        <v>117</v>
      </c>
      <c r="E190" s="3">
        <v>3.3196763206620572E-2</v>
      </c>
      <c r="F190" s="3">
        <v>-1.6831470543463234E-2</v>
      </c>
    </row>
    <row r="191" spans="1:6" x14ac:dyDescent="0.25">
      <c r="A191" t="s">
        <v>138</v>
      </c>
      <c r="B191" t="s">
        <v>98</v>
      </c>
      <c r="C191" t="s">
        <v>86</v>
      </c>
      <c r="D191" t="s">
        <v>92</v>
      </c>
      <c r="E191" s="3">
        <v>8.8454084754569923E-2</v>
      </c>
      <c r="F191" s="3">
        <v>-0.10036198358836007</v>
      </c>
    </row>
    <row r="192" spans="1:6" x14ac:dyDescent="0.25">
      <c r="A192" t="s">
        <v>138</v>
      </c>
      <c r="B192" t="s">
        <v>143</v>
      </c>
      <c r="C192" t="s">
        <v>86</v>
      </c>
      <c r="D192" t="s">
        <v>92</v>
      </c>
      <c r="E192" s="3">
        <v>0.15572599741727089</v>
      </c>
      <c r="F192" s="3">
        <v>-0.15332687409013984</v>
      </c>
    </row>
    <row r="193" spans="1:6" x14ac:dyDescent="0.25">
      <c r="A193" t="s">
        <v>138</v>
      </c>
      <c r="B193" t="s">
        <v>149</v>
      </c>
      <c r="C193" t="s">
        <v>86</v>
      </c>
      <c r="D193" t="s">
        <v>92</v>
      </c>
      <c r="E193" s="3">
        <v>0.13492526233040453</v>
      </c>
      <c r="F193" s="3">
        <v>-0.13870667974052017</v>
      </c>
    </row>
    <row r="194" spans="1:6" x14ac:dyDescent="0.25">
      <c r="A194" t="s">
        <v>138</v>
      </c>
      <c r="B194" t="s">
        <v>104</v>
      </c>
      <c r="C194" t="s">
        <v>86</v>
      </c>
      <c r="D194" t="s">
        <v>92</v>
      </c>
      <c r="E194" s="3">
        <v>8.268661386403231E-2</v>
      </c>
      <c r="F194" s="3">
        <v>-9.3241673855763763E-2</v>
      </c>
    </row>
    <row r="195" spans="1:6" x14ac:dyDescent="0.25">
      <c r="A195" t="s">
        <v>138</v>
      </c>
      <c r="B195" t="s">
        <v>165</v>
      </c>
      <c r="C195" t="s">
        <v>86</v>
      </c>
      <c r="D195" t="s">
        <v>92</v>
      </c>
      <c r="E195" s="3">
        <v>0.16294526193921366</v>
      </c>
      <c r="F195" s="3">
        <v>-0.16350526127084378</v>
      </c>
    </row>
    <row r="196" spans="1:6" x14ac:dyDescent="0.25">
      <c r="A196" t="s">
        <v>138</v>
      </c>
      <c r="B196" t="s">
        <v>614</v>
      </c>
      <c r="C196" t="s">
        <v>86</v>
      </c>
      <c r="D196" t="s">
        <v>92</v>
      </c>
      <c r="E196" s="3">
        <v>0.13342567763106747</v>
      </c>
      <c r="F196" s="3">
        <v>-0.16633285025664407</v>
      </c>
    </row>
    <row r="197" spans="1:6" x14ac:dyDescent="0.25">
      <c r="A197" t="s">
        <v>98</v>
      </c>
      <c r="B197" t="s">
        <v>143</v>
      </c>
      <c r="C197" t="s">
        <v>86</v>
      </c>
      <c r="D197" t="s">
        <v>92</v>
      </c>
      <c r="E197" s="3">
        <v>9.7115486910855975E-2</v>
      </c>
      <c r="F197" s="3">
        <v>-8.6237574107012827E-2</v>
      </c>
    </row>
    <row r="198" spans="1:6" x14ac:dyDescent="0.25">
      <c r="A198" t="s">
        <v>98</v>
      </c>
      <c r="B198" t="s">
        <v>149</v>
      </c>
      <c r="C198" t="s">
        <v>86</v>
      </c>
      <c r="D198" t="s">
        <v>92</v>
      </c>
      <c r="E198" s="3">
        <v>7.8016195531826898E-2</v>
      </c>
      <c r="F198" s="3">
        <v>-7.2076261117212104E-2</v>
      </c>
    </row>
    <row r="199" spans="1:6" x14ac:dyDescent="0.25">
      <c r="A199" t="s">
        <v>98</v>
      </c>
      <c r="B199" t="s">
        <v>104</v>
      </c>
      <c r="C199" t="s">
        <v>86</v>
      </c>
      <c r="D199" t="s">
        <v>92</v>
      </c>
      <c r="E199" s="3">
        <v>3.1878669143557054E-2</v>
      </c>
      <c r="F199" s="3">
        <v>-2.2088023977182625E-2</v>
      </c>
    </row>
    <row r="200" spans="1:6" x14ac:dyDescent="0.25">
      <c r="A200" t="s">
        <v>98</v>
      </c>
      <c r="B200" t="s">
        <v>165</v>
      </c>
      <c r="C200" t="s">
        <v>86</v>
      </c>
      <c r="D200" t="s">
        <v>92</v>
      </c>
      <c r="E200" s="3">
        <v>0.11015745955246231</v>
      </c>
      <c r="F200" s="3">
        <v>-9.3134882654209855E-2</v>
      </c>
    </row>
    <row r="201" spans="1:6" x14ac:dyDescent="0.25">
      <c r="A201" t="s">
        <v>98</v>
      </c>
      <c r="B201" t="s">
        <v>614</v>
      </c>
      <c r="C201" t="s">
        <v>86</v>
      </c>
      <c r="D201" t="s">
        <v>92</v>
      </c>
      <c r="E201" s="3">
        <v>0.1008591990847777</v>
      </c>
      <c r="F201" s="3">
        <v>-0.10232628921083683</v>
      </c>
    </row>
    <row r="202" spans="1:6" x14ac:dyDescent="0.25">
      <c r="A202" t="s">
        <v>143</v>
      </c>
      <c r="B202" t="s">
        <v>149</v>
      </c>
      <c r="C202" t="s">
        <v>86</v>
      </c>
      <c r="D202" t="s">
        <v>92</v>
      </c>
      <c r="E202" s="3">
        <v>0.14078924429416423</v>
      </c>
      <c r="F202" s="3">
        <v>-0.12488295427285909</v>
      </c>
    </row>
    <row r="203" spans="1:6" x14ac:dyDescent="0.25">
      <c r="A203" t="s">
        <v>143</v>
      </c>
      <c r="B203" t="s">
        <v>104</v>
      </c>
      <c r="C203" t="s">
        <v>86</v>
      </c>
      <c r="D203" t="s">
        <v>92</v>
      </c>
      <c r="E203" s="3">
        <v>8.8130875730248637E-2</v>
      </c>
      <c r="F203" s="3">
        <v>-7.6346191568984895E-2</v>
      </c>
    </row>
    <row r="204" spans="1:6" x14ac:dyDescent="0.25">
      <c r="A204" t="s">
        <v>143</v>
      </c>
      <c r="B204" t="s">
        <v>165</v>
      </c>
      <c r="C204" t="s">
        <v>86</v>
      </c>
      <c r="D204" t="s">
        <v>92</v>
      </c>
      <c r="E204" s="3">
        <v>0.17250520889271409</v>
      </c>
      <c r="F204" s="3">
        <v>-0.14729694363052603</v>
      </c>
    </row>
    <row r="205" spans="1:6" x14ac:dyDescent="0.25">
      <c r="A205" t="s">
        <v>143</v>
      </c>
      <c r="B205" t="s">
        <v>614</v>
      </c>
      <c r="C205" t="s">
        <v>86</v>
      </c>
      <c r="D205" t="s">
        <v>92</v>
      </c>
      <c r="E205" s="3">
        <v>0.16982396327260224</v>
      </c>
      <c r="F205" s="3">
        <v>-0.15543043457038644</v>
      </c>
    </row>
    <row r="206" spans="1:6" x14ac:dyDescent="0.25">
      <c r="A206" t="s">
        <v>149</v>
      </c>
      <c r="B206" t="s">
        <v>104</v>
      </c>
      <c r="C206" t="s">
        <v>86</v>
      </c>
      <c r="D206" t="s">
        <v>92</v>
      </c>
      <c r="E206" s="3">
        <v>6.922276174971756E-2</v>
      </c>
      <c r="F206" s="3">
        <v>-6.2582057089004273E-2</v>
      </c>
    </row>
    <row r="207" spans="1:6" x14ac:dyDescent="0.25">
      <c r="A207" t="s">
        <v>149</v>
      </c>
      <c r="B207" t="s">
        <v>165</v>
      </c>
      <c r="C207" t="s">
        <v>86</v>
      </c>
      <c r="D207" t="s">
        <v>92</v>
      </c>
      <c r="E207" s="3">
        <v>0.15896642084170509</v>
      </c>
      <c r="F207" s="3">
        <v>-0.13209740358159161</v>
      </c>
    </row>
    <row r="208" spans="1:6" x14ac:dyDescent="0.25">
      <c r="A208" t="s">
        <v>149</v>
      </c>
      <c r="B208" t="s">
        <v>614</v>
      </c>
      <c r="C208" t="s">
        <v>86</v>
      </c>
      <c r="D208" t="s">
        <v>92</v>
      </c>
      <c r="E208" s="3">
        <v>0.14865756273528813</v>
      </c>
      <c r="F208" s="3">
        <v>-0.14051582092409182</v>
      </c>
    </row>
    <row r="209" spans="1:6" x14ac:dyDescent="0.25">
      <c r="A209" t="s">
        <v>104</v>
      </c>
      <c r="B209" t="s">
        <v>165</v>
      </c>
      <c r="C209" t="s">
        <v>86</v>
      </c>
      <c r="D209" t="s">
        <v>92</v>
      </c>
      <c r="E209" s="3">
        <v>9.9141997513618491E-2</v>
      </c>
      <c r="F209" s="3">
        <v>-8.6514107788644184E-2</v>
      </c>
    </row>
    <row r="210" spans="1:6" x14ac:dyDescent="0.25">
      <c r="A210" t="s">
        <v>104</v>
      </c>
      <c r="B210" t="s">
        <v>614</v>
      </c>
      <c r="C210" t="s">
        <v>86</v>
      </c>
      <c r="D210" t="s">
        <v>92</v>
      </c>
      <c r="E210" s="3">
        <v>9.4986492883884638E-2</v>
      </c>
      <c r="F210" s="3">
        <v>-9.5550336032665745E-2</v>
      </c>
    </row>
    <row r="211" spans="1:6" x14ac:dyDescent="0.25">
      <c r="A211" t="s">
        <v>165</v>
      </c>
      <c r="B211" t="s">
        <v>614</v>
      </c>
      <c r="C211" t="s">
        <v>86</v>
      </c>
      <c r="D211" t="s">
        <v>92</v>
      </c>
      <c r="E211" s="3">
        <v>0.17725552073168249</v>
      </c>
      <c r="F211" s="3">
        <v>-0.1654671382568258</v>
      </c>
    </row>
    <row r="212" spans="1:6" x14ac:dyDescent="0.25">
      <c r="A212" t="s">
        <v>138</v>
      </c>
      <c r="B212" t="s">
        <v>98</v>
      </c>
      <c r="C212" t="s">
        <v>86</v>
      </c>
      <c r="D212" t="s">
        <v>121</v>
      </c>
      <c r="E212" s="3">
        <v>1.3216982099959418E-2</v>
      </c>
      <c r="F212" s="3">
        <v>-1.385565787046239E-2</v>
      </c>
    </row>
    <row r="213" spans="1:6" x14ac:dyDescent="0.25">
      <c r="A213" t="s">
        <v>138</v>
      </c>
      <c r="B213" t="s">
        <v>143</v>
      </c>
      <c r="C213" t="s">
        <v>86</v>
      </c>
      <c r="D213" t="s">
        <v>121</v>
      </c>
      <c r="E213" s="3">
        <v>6.8624421126156687E-2</v>
      </c>
      <c r="F213" s="3">
        <v>-7.4379914096568911E-2</v>
      </c>
    </row>
    <row r="214" spans="1:6" x14ac:dyDescent="0.25">
      <c r="A214" t="s">
        <v>138</v>
      </c>
      <c r="B214" t="s">
        <v>149</v>
      </c>
      <c r="C214" t="s">
        <v>86</v>
      </c>
      <c r="D214" t="s">
        <v>121</v>
      </c>
      <c r="E214" s="3">
        <v>5.0827347598425276E-2</v>
      </c>
      <c r="F214" s="3">
        <v>-5.7383946855219192E-2</v>
      </c>
    </row>
    <row r="215" spans="1:6" x14ac:dyDescent="0.25">
      <c r="A215" t="s">
        <v>138</v>
      </c>
      <c r="B215" t="s">
        <v>104</v>
      </c>
      <c r="C215" t="s">
        <v>86</v>
      </c>
      <c r="D215" t="s">
        <v>121</v>
      </c>
      <c r="E215" s="3">
        <v>7.930504118525819E-3</v>
      </c>
      <c r="F215" s="3">
        <v>-7.4434226541170156E-3</v>
      </c>
    </row>
    <row r="216" spans="1:6" x14ac:dyDescent="0.25">
      <c r="A216" t="s">
        <v>138</v>
      </c>
      <c r="B216" t="s">
        <v>165</v>
      </c>
      <c r="C216" t="s">
        <v>86</v>
      </c>
      <c r="D216" t="s">
        <v>121</v>
      </c>
      <c r="E216" s="3">
        <v>7.4731304011068839E-2</v>
      </c>
      <c r="F216" s="3">
        <v>-8.7648375635320158E-2</v>
      </c>
    </row>
    <row r="217" spans="1:6" x14ac:dyDescent="0.25">
      <c r="A217" t="s">
        <v>138</v>
      </c>
      <c r="B217" t="s">
        <v>614</v>
      </c>
      <c r="C217" t="s">
        <v>86</v>
      </c>
      <c r="D217" t="s">
        <v>121</v>
      </c>
      <c r="E217" s="3">
        <v>4.8955587119407701E-2</v>
      </c>
      <c r="F217" s="3">
        <v>-9.2947259619486966E-2</v>
      </c>
    </row>
    <row r="218" spans="1:6" x14ac:dyDescent="0.25">
      <c r="A218" t="s">
        <v>98</v>
      </c>
      <c r="B218" t="s">
        <v>143</v>
      </c>
      <c r="C218" t="s">
        <v>86</v>
      </c>
      <c r="D218" t="s">
        <v>121</v>
      </c>
      <c r="E218" s="3">
        <v>2.0220174358940246E-2</v>
      </c>
      <c r="F218" s="3">
        <v>4.6251437376887417E-3</v>
      </c>
    </row>
    <row r="219" spans="1:6" x14ac:dyDescent="0.25">
      <c r="A219" t="s">
        <v>98</v>
      </c>
      <c r="B219" t="s">
        <v>149</v>
      </c>
      <c r="C219" t="s">
        <v>86</v>
      </c>
      <c r="D219" t="s">
        <v>121</v>
      </c>
      <c r="E219" s="3">
        <v>5.1571833582254173E-3</v>
      </c>
      <c r="F219" s="3">
        <v>1.9514833622657324E-2</v>
      </c>
    </row>
    <row r="220" spans="1:6" x14ac:dyDescent="0.25">
      <c r="A220" t="s">
        <v>98</v>
      </c>
      <c r="B220" t="s">
        <v>104</v>
      </c>
      <c r="C220" t="s">
        <v>86</v>
      </c>
      <c r="D220" t="s">
        <v>121</v>
      </c>
      <c r="E220" s="3">
        <v>-3.0036874109103981E-2</v>
      </c>
      <c r="F220" s="3">
        <v>7.0930289976899208E-2</v>
      </c>
    </row>
    <row r="221" spans="1:6" x14ac:dyDescent="0.25">
      <c r="A221" t="s">
        <v>98</v>
      </c>
      <c r="B221" t="s">
        <v>165</v>
      </c>
      <c r="C221" t="s">
        <v>86</v>
      </c>
      <c r="D221" t="s">
        <v>121</v>
      </c>
      <c r="E221" s="3">
        <v>2.9766693224940272E-2</v>
      </c>
      <c r="F221" s="3">
        <v>-3.3174795990040251E-3</v>
      </c>
    </row>
    <row r="222" spans="1:6" x14ac:dyDescent="0.25">
      <c r="A222" t="s">
        <v>98</v>
      </c>
      <c r="B222" t="s">
        <v>614</v>
      </c>
      <c r="C222" t="s">
        <v>86</v>
      </c>
      <c r="D222" t="s">
        <v>121</v>
      </c>
      <c r="E222" s="3">
        <v>2.299696535672574E-2</v>
      </c>
      <c r="F222" s="3">
        <v>-1.6365869474945949E-2</v>
      </c>
    </row>
    <row r="223" spans="1:6" x14ac:dyDescent="0.25">
      <c r="A223" t="s">
        <v>143</v>
      </c>
      <c r="B223" t="s">
        <v>149</v>
      </c>
      <c r="C223" t="s">
        <v>86</v>
      </c>
      <c r="D223" t="s">
        <v>121</v>
      </c>
      <c r="E223" s="3">
        <v>5.5720065212441383E-2</v>
      </c>
      <c r="F223" s="3">
        <v>-3.862826807948927E-2</v>
      </c>
    </row>
    <row r="224" spans="1:6" x14ac:dyDescent="0.25">
      <c r="A224" t="s">
        <v>143</v>
      </c>
      <c r="B224" t="s">
        <v>104</v>
      </c>
      <c r="C224" t="s">
        <v>86</v>
      </c>
      <c r="D224" t="s">
        <v>121</v>
      </c>
      <c r="E224" s="3">
        <v>1.2114773215403385E-2</v>
      </c>
      <c r="F224" s="3">
        <v>1.442501117944095E-2</v>
      </c>
    </row>
    <row r="225" spans="1:6" x14ac:dyDescent="0.25">
      <c r="A225" t="s">
        <v>143</v>
      </c>
      <c r="B225" t="s">
        <v>165</v>
      </c>
      <c r="C225" t="s">
        <v>86</v>
      </c>
      <c r="D225" t="s">
        <v>121</v>
      </c>
      <c r="E225" s="3">
        <v>8.4424165615994307E-2</v>
      </c>
      <c r="F225" s="3">
        <v>-6.6064771018841562E-2</v>
      </c>
    </row>
    <row r="226" spans="1:6" x14ac:dyDescent="0.25">
      <c r="A226" t="s">
        <v>143</v>
      </c>
      <c r="B226" t="s">
        <v>614</v>
      </c>
      <c r="C226" t="s">
        <v>86</v>
      </c>
      <c r="D226" t="s">
        <v>121</v>
      </c>
      <c r="E226" s="3">
        <v>8.0447229683089316E-2</v>
      </c>
      <c r="F226" s="3">
        <v>-7.7182706372987464E-2</v>
      </c>
    </row>
    <row r="227" spans="1:6" x14ac:dyDescent="0.25">
      <c r="A227" t="s">
        <v>149</v>
      </c>
      <c r="B227" t="s">
        <v>104</v>
      </c>
      <c r="C227" t="s">
        <v>86</v>
      </c>
      <c r="D227" t="s">
        <v>121</v>
      </c>
      <c r="E227" s="3">
        <v>-2.4400946915761196E-3</v>
      </c>
      <c r="F227" s="3">
        <v>2.8654814852736299E-2</v>
      </c>
    </row>
    <row r="228" spans="1:6" x14ac:dyDescent="0.25">
      <c r="A228" t="s">
        <v>149</v>
      </c>
      <c r="B228" t="s">
        <v>165</v>
      </c>
      <c r="C228" t="s">
        <v>86</v>
      </c>
      <c r="D228" t="s">
        <v>121</v>
      </c>
      <c r="E228" s="3">
        <v>6.9964509439949418E-2</v>
      </c>
      <c r="F228" s="3">
        <v>-4.7367999824923623E-2</v>
      </c>
    </row>
    <row r="229" spans="1:6" x14ac:dyDescent="0.25">
      <c r="A229" t="s">
        <v>149</v>
      </c>
      <c r="B229" t="s">
        <v>614</v>
      </c>
      <c r="C229" t="s">
        <v>86</v>
      </c>
      <c r="D229" t="s">
        <v>121</v>
      </c>
      <c r="E229" s="3">
        <v>6.2050625400865367E-2</v>
      </c>
      <c r="F229" s="3">
        <v>-5.9700426617169289E-2</v>
      </c>
    </row>
    <row r="230" spans="1:6" x14ac:dyDescent="0.25">
      <c r="A230" t="s">
        <v>104</v>
      </c>
      <c r="B230" t="s">
        <v>165</v>
      </c>
      <c r="C230" t="s">
        <v>86</v>
      </c>
      <c r="D230" t="s">
        <v>121</v>
      </c>
      <c r="E230" s="3">
        <v>2.0073372051332194E-2</v>
      </c>
      <c r="F230" s="3">
        <v>2.7360141567031593E-3</v>
      </c>
    </row>
    <row r="231" spans="1:6" x14ac:dyDescent="0.25">
      <c r="A231" t="s">
        <v>104</v>
      </c>
      <c r="B231" t="s">
        <v>614</v>
      </c>
      <c r="C231" t="s">
        <v>86</v>
      </c>
      <c r="D231" t="s">
        <v>121</v>
      </c>
      <c r="E231" s="3">
        <v>1.719293685344947E-2</v>
      </c>
      <c r="F231" s="3">
        <v>-9.8570430509724027E-3</v>
      </c>
    </row>
    <row r="232" spans="1:6" x14ac:dyDescent="0.25">
      <c r="A232" t="s">
        <v>165</v>
      </c>
      <c r="B232" t="s">
        <v>614</v>
      </c>
      <c r="C232" t="s">
        <v>86</v>
      </c>
      <c r="D232" t="s">
        <v>121</v>
      </c>
      <c r="E232" s="3">
        <v>8.6733798578164267E-2</v>
      </c>
      <c r="F232" s="3">
        <v>-9.0375135613135954E-2</v>
      </c>
    </row>
    <row r="233" spans="1:6" x14ac:dyDescent="0.25">
      <c r="A233" t="s">
        <v>138</v>
      </c>
      <c r="B233" t="s">
        <v>98</v>
      </c>
      <c r="C233" t="s">
        <v>86</v>
      </c>
      <c r="D233" t="s">
        <v>117</v>
      </c>
      <c r="E233" s="3">
        <v>3.5639751004743869E-2</v>
      </c>
      <c r="F233" s="3">
        <v>-3.9317553929142268E-2</v>
      </c>
    </row>
    <row r="234" spans="1:6" x14ac:dyDescent="0.25">
      <c r="A234" t="s">
        <v>138</v>
      </c>
      <c r="B234" t="s">
        <v>143</v>
      </c>
      <c r="C234" t="s">
        <v>86</v>
      </c>
      <c r="D234" t="s">
        <v>117</v>
      </c>
      <c r="E234" s="3">
        <v>9.5904429119011925E-2</v>
      </c>
      <c r="F234" s="3">
        <v>-9.8097582782776666E-2</v>
      </c>
    </row>
    <row r="235" spans="1:6" x14ac:dyDescent="0.25">
      <c r="A235" t="s">
        <v>138</v>
      </c>
      <c r="B235" t="s">
        <v>149</v>
      </c>
      <c r="C235" t="s">
        <v>86</v>
      </c>
      <c r="D235" t="s">
        <v>117</v>
      </c>
      <c r="E235" s="3">
        <v>7.6665517485969448E-2</v>
      </c>
      <c r="F235" s="3">
        <v>-8.1787027504475363E-2</v>
      </c>
    </row>
    <row r="236" spans="1:6" x14ac:dyDescent="0.25">
      <c r="A236" t="s">
        <v>138</v>
      </c>
      <c r="B236" t="s">
        <v>104</v>
      </c>
      <c r="C236" t="s">
        <v>86</v>
      </c>
      <c r="D236" t="s">
        <v>117</v>
      </c>
      <c r="E236" s="3">
        <v>3.0070888573361487E-2</v>
      </c>
      <c r="F236" s="3">
        <v>-3.258762229416523E-2</v>
      </c>
    </row>
    <row r="237" spans="1:6" x14ac:dyDescent="0.25">
      <c r="A237" t="s">
        <v>138</v>
      </c>
      <c r="B237" t="s">
        <v>165</v>
      </c>
      <c r="C237" t="s">
        <v>86</v>
      </c>
      <c r="D237" t="s">
        <v>117</v>
      </c>
      <c r="E237" s="3">
        <v>0.10242187630471639</v>
      </c>
      <c r="F237" s="3">
        <v>-0.11068511826237137</v>
      </c>
    </row>
    <row r="238" spans="1:6" x14ac:dyDescent="0.25">
      <c r="A238" t="s">
        <v>138</v>
      </c>
      <c r="B238" t="s">
        <v>614</v>
      </c>
      <c r="C238" t="s">
        <v>86</v>
      </c>
      <c r="D238" t="s">
        <v>117</v>
      </c>
      <c r="E238" s="3">
        <v>7.6338344647514322E-2</v>
      </c>
      <c r="F238" s="3">
        <v>-0.11503530033254097</v>
      </c>
    </row>
    <row r="239" spans="1:6" x14ac:dyDescent="0.25">
      <c r="A239" t="s">
        <v>98</v>
      </c>
      <c r="B239" t="s">
        <v>143</v>
      </c>
      <c r="C239" t="s">
        <v>86</v>
      </c>
      <c r="D239" t="s">
        <v>117</v>
      </c>
      <c r="E239" s="3">
        <v>4.3558368989148805E-2</v>
      </c>
      <c r="F239" s="3">
        <v>-2.4032086414365827E-2</v>
      </c>
    </row>
    <row r="240" spans="1:6" x14ac:dyDescent="0.25">
      <c r="A240" t="s">
        <v>98</v>
      </c>
      <c r="B240" t="s">
        <v>149</v>
      </c>
      <c r="C240" t="s">
        <v>86</v>
      </c>
      <c r="D240" t="s">
        <v>117</v>
      </c>
      <c r="E240" s="3">
        <v>2.666484982936651E-2</v>
      </c>
      <c r="F240" s="3">
        <v>-9.2310402028933369E-3</v>
      </c>
    </row>
    <row r="241" spans="1:6" x14ac:dyDescent="0.25">
      <c r="A241" t="s">
        <v>98</v>
      </c>
      <c r="B241" t="s">
        <v>104</v>
      </c>
      <c r="C241" t="s">
        <v>86</v>
      </c>
      <c r="D241" t="s">
        <v>117</v>
      </c>
      <c r="E241" s="3">
        <v>-1.2593213171931045E-2</v>
      </c>
      <c r="F241" s="3">
        <v>4.2388782357350774E-2</v>
      </c>
    </row>
    <row r="242" spans="1:6" x14ac:dyDescent="0.25">
      <c r="A242" t="s">
        <v>98</v>
      </c>
      <c r="B242" t="s">
        <v>165</v>
      </c>
      <c r="C242" t="s">
        <v>86</v>
      </c>
      <c r="D242" t="s">
        <v>117</v>
      </c>
      <c r="E242" s="3">
        <v>5.4327827984419208E-2</v>
      </c>
      <c r="F242" s="3">
        <v>-3.1429777926918978E-2</v>
      </c>
    </row>
    <row r="243" spans="1:6" x14ac:dyDescent="0.25">
      <c r="A243" t="s">
        <v>98</v>
      </c>
      <c r="B243" t="s">
        <v>614</v>
      </c>
      <c r="C243" t="s">
        <v>86</v>
      </c>
      <c r="D243" t="s">
        <v>117</v>
      </c>
      <c r="E243" s="3">
        <v>4.7125105845396253E-2</v>
      </c>
      <c r="F243" s="3">
        <v>-4.2766800586907405E-2</v>
      </c>
    </row>
    <row r="244" spans="1:6" x14ac:dyDescent="0.25">
      <c r="A244" t="s">
        <v>143</v>
      </c>
      <c r="B244" t="s">
        <v>149</v>
      </c>
      <c r="C244" t="s">
        <v>86</v>
      </c>
      <c r="D244" t="s">
        <v>117</v>
      </c>
      <c r="E244" s="3">
        <v>8.2107005498253699E-2</v>
      </c>
      <c r="F244" s="3">
        <v>-6.6135060114276556E-2</v>
      </c>
    </row>
    <row r="245" spans="1:6" x14ac:dyDescent="0.25">
      <c r="A245" t="s">
        <v>143</v>
      </c>
      <c r="B245" t="s">
        <v>104</v>
      </c>
      <c r="C245" t="s">
        <v>86</v>
      </c>
      <c r="D245" t="s">
        <v>117</v>
      </c>
      <c r="E245" s="3">
        <v>3.4871146608653869E-2</v>
      </c>
      <c r="F245" s="3">
        <v>-1.3991899468863533E-2</v>
      </c>
    </row>
    <row r="246" spans="1:6" x14ac:dyDescent="0.25">
      <c r="A246" t="s">
        <v>143</v>
      </c>
      <c r="B246" t="s">
        <v>165</v>
      </c>
      <c r="C246" t="s">
        <v>86</v>
      </c>
      <c r="D246" t="s">
        <v>117</v>
      </c>
      <c r="E246" s="3">
        <v>0.11078505367073113</v>
      </c>
      <c r="F246" s="3">
        <v>-9.1213596375725486E-2</v>
      </c>
    </row>
    <row r="247" spans="1:6" x14ac:dyDescent="0.25">
      <c r="A247" t="s">
        <v>143</v>
      </c>
      <c r="B247" t="s">
        <v>614</v>
      </c>
      <c r="C247" t="s">
        <v>86</v>
      </c>
      <c r="D247" t="s">
        <v>117</v>
      </c>
      <c r="E247" s="3">
        <v>0.10964369027463849</v>
      </c>
      <c r="F247" s="3">
        <v>-0.10174602322368764</v>
      </c>
    </row>
    <row r="248" spans="1:6" x14ac:dyDescent="0.25">
      <c r="A248" t="s">
        <v>149</v>
      </c>
      <c r="B248" t="s">
        <v>104</v>
      </c>
      <c r="C248" t="s">
        <v>86</v>
      </c>
      <c r="D248" t="s">
        <v>117</v>
      </c>
      <c r="E248" s="3">
        <v>1.8502240555826471E-2</v>
      </c>
      <c r="F248" s="3">
        <v>8.1645679136876925E-5</v>
      </c>
    </row>
    <row r="249" spans="1:6" x14ac:dyDescent="0.25">
      <c r="A249" t="s">
        <v>149</v>
      </c>
      <c r="B249" t="s">
        <v>165</v>
      </c>
      <c r="C249" t="s">
        <v>86</v>
      </c>
      <c r="D249" t="s">
        <v>117</v>
      </c>
      <c r="E249" s="3">
        <v>9.801791208939159E-2</v>
      </c>
      <c r="F249" s="3">
        <v>-7.4331710596698353E-2</v>
      </c>
    </row>
    <row r="250" spans="1:6" x14ac:dyDescent="0.25">
      <c r="A250" t="s">
        <v>149</v>
      </c>
      <c r="B250" t="s">
        <v>614</v>
      </c>
      <c r="C250" t="s">
        <v>86</v>
      </c>
      <c r="D250" t="s">
        <v>117</v>
      </c>
      <c r="E250" s="3">
        <v>8.9874899334619229E-2</v>
      </c>
      <c r="F250" s="3">
        <v>-8.517331341227527E-2</v>
      </c>
    </row>
    <row r="251" spans="1:6" x14ac:dyDescent="0.25">
      <c r="A251" t="s">
        <v>104</v>
      </c>
      <c r="B251" t="s">
        <v>165</v>
      </c>
      <c r="C251" t="s">
        <v>86</v>
      </c>
      <c r="D251" t="s">
        <v>117</v>
      </c>
      <c r="E251" s="3">
        <v>4.410616906053258E-2</v>
      </c>
      <c r="F251" s="3">
        <v>-2.519181848962404E-2</v>
      </c>
    </row>
    <row r="252" spans="1:6" x14ac:dyDescent="0.25">
      <c r="A252" t="s">
        <v>104</v>
      </c>
      <c r="B252" t="s">
        <v>614</v>
      </c>
      <c r="C252" t="s">
        <v>86</v>
      </c>
      <c r="D252" t="s">
        <v>117</v>
      </c>
      <c r="E252" s="3">
        <v>4.130385585945337E-2</v>
      </c>
      <c r="F252" s="3">
        <v>-3.644929434150046E-2</v>
      </c>
    </row>
    <row r="253" spans="1:6" x14ac:dyDescent="0.25">
      <c r="A253" t="s">
        <v>165</v>
      </c>
      <c r="B253" t="s">
        <v>614</v>
      </c>
      <c r="C253" t="s">
        <v>86</v>
      </c>
      <c r="D253" t="s">
        <v>117</v>
      </c>
      <c r="E253" s="3">
        <v>0.11654804540125868</v>
      </c>
      <c r="F253" s="3">
        <v>-0.11436684908119354</v>
      </c>
    </row>
    <row r="254" spans="1:6" x14ac:dyDescent="0.25">
      <c r="A254" t="s">
        <v>138</v>
      </c>
      <c r="B254" t="s">
        <v>98</v>
      </c>
      <c r="C254" t="s">
        <v>92</v>
      </c>
      <c r="D254" t="s">
        <v>121</v>
      </c>
      <c r="E254" s="3">
        <v>2.8511291189442706E-2</v>
      </c>
      <c r="F254" s="3">
        <v>-1.8042349209596964E-2</v>
      </c>
    </row>
    <row r="255" spans="1:6" x14ac:dyDescent="0.25">
      <c r="A255" t="s">
        <v>138</v>
      </c>
      <c r="B255" t="s">
        <v>143</v>
      </c>
      <c r="C255" t="s">
        <v>92</v>
      </c>
      <c r="D255" t="s">
        <v>121</v>
      </c>
      <c r="E255" s="3">
        <v>8.6653701605202915E-2</v>
      </c>
      <c r="F255" s="3">
        <v>-7.3482402345931536E-2</v>
      </c>
    </row>
    <row r="256" spans="1:6" x14ac:dyDescent="0.25">
      <c r="A256" t="s">
        <v>138</v>
      </c>
      <c r="B256" t="s">
        <v>149</v>
      </c>
      <c r="C256" t="s">
        <v>92</v>
      </c>
      <c r="D256" t="s">
        <v>121</v>
      </c>
      <c r="E256" s="3">
        <v>6.8082499805393493E-2</v>
      </c>
      <c r="F256" s="3">
        <v>-5.9387269106128127E-2</v>
      </c>
    </row>
    <row r="257" spans="1:6" x14ac:dyDescent="0.25">
      <c r="A257" t="s">
        <v>138</v>
      </c>
      <c r="B257" t="s">
        <v>104</v>
      </c>
      <c r="C257" t="s">
        <v>92</v>
      </c>
      <c r="D257" t="s">
        <v>121</v>
      </c>
      <c r="E257" s="3">
        <v>2.3280435410704375E-2</v>
      </c>
      <c r="F257" s="3">
        <v>-9.6427837379641224E-3</v>
      </c>
    </row>
    <row r="258" spans="1:6" x14ac:dyDescent="0.25">
      <c r="A258" t="s">
        <v>138</v>
      </c>
      <c r="B258" t="s">
        <v>165</v>
      </c>
      <c r="C258" t="s">
        <v>92</v>
      </c>
      <c r="D258" t="s">
        <v>121</v>
      </c>
      <c r="E258" s="3">
        <v>9.9605962509558832E-2</v>
      </c>
      <c r="F258" s="3">
        <v>-8.0130220549353731E-2</v>
      </c>
    </row>
    <row r="259" spans="1:6" x14ac:dyDescent="0.25">
      <c r="A259" t="s">
        <v>138</v>
      </c>
      <c r="B259" t="s">
        <v>614</v>
      </c>
      <c r="C259" t="s">
        <v>92</v>
      </c>
      <c r="D259" t="s">
        <v>121</v>
      </c>
      <c r="E259" s="3">
        <v>8.9353463930924942E-2</v>
      </c>
      <c r="F259" s="3">
        <v>-8.9447123003851048E-2</v>
      </c>
    </row>
    <row r="260" spans="1:6" x14ac:dyDescent="0.25">
      <c r="A260" t="s">
        <v>98</v>
      </c>
      <c r="B260" t="s">
        <v>143</v>
      </c>
      <c r="C260" t="s">
        <v>92</v>
      </c>
      <c r="D260" t="s">
        <v>121</v>
      </c>
      <c r="E260" s="3">
        <v>7.295073294990323E-3</v>
      </c>
      <c r="F260" s="3">
        <v>-5.846626474867167E-3</v>
      </c>
    </row>
    <row r="261" spans="1:6" x14ac:dyDescent="0.25">
      <c r="A261" t="s">
        <v>98</v>
      </c>
      <c r="B261" t="s">
        <v>149</v>
      </c>
      <c r="C261" t="s">
        <v>92</v>
      </c>
      <c r="D261" t="s">
        <v>121</v>
      </c>
      <c r="E261" s="3">
        <v>-6.7512970481515555E-3</v>
      </c>
      <c r="F261" s="3">
        <v>7.5121741017160626E-3</v>
      </c>
    </row>
    <row r="262" spans="1:6" x14ac:dyDescent="0.25">
      <c r="A262" t="s">
        <v>98</v>
      </c>
      <c r="B262" t="s">
        <v>104</v>
      </c>
      <c r="C262" t="s">
        <v>92</v>
      </c>
      <c r="D262" t="s">
        <v>121</v>
      </c>
      <c r="E262" s="3">
        <v>-3.8352059888094939E-2</v>
      </c>
      <c r="F262" s="3">
        <v>5.6969843499608486E-2</v>
      </c>
    </row>
    <row r="263" spans="1:6" x14ac:dyDescent="0.25">
      <c r="A263" t="s">
        <v>98</v>
      </c>
      <c r="B263" t="s">
        <v>165</v>
      </c>
      <c r="C263" t="s">
        <v>92</v>
      </c>
      <c r="D263" t="s">
        <v>121</v>
      </c>
      <c r="E263" s="3">
        <v>3.884711492144563E-2</v>
      </c>
      <c r="F263" s="3">
        <v>-1.8893932503901034E-2</v>
      </c>
    </row>
    <row r="264" spans="1:6" x14ac:dyDescent="0.25">
      <c r="A264" t="s">
        <v>98</v>
      </c>
      <c r="B264" t="s">
        <v>614</v>
      </c>
      <c r="C264" t="s">
        <v>92</v>
      </c>
      <c r="D264" t="s">
        <v>121</v>
      </c>
      <c r="E264" s="3">
        <v>3.7912968001779596E-2</v>
      </c>
      <c r="F264" s="3">
        <v>-2.2167840626521607E-2</v>
      </c>
    </row>
    <row r="265" spans="1:6" x14ac:dyDescent="0.25">
      <c r="A265" t="s">
        <v>143</v>
      </c>
      <c r="B265" t="s">
        <v>149</v>
      </c>
      <c r="C265" t="s">
        <v>92</v>
      </c>
      <c r="D265" t="s">
        <v>121</v>
      </c>
      <c r="E265" s="3">
        <v>4.0765172063975674E-2</v>
      </c>
      <c r="F265" s="3">
        <v>-4.7632748145481685E-2</v>
      </c>
    </row>
    <row r="266" spans="1:6" x14ac:dyDescent="0.25">
      <c r="A266" t="s">
        <v>143</v>
      </c>
      <c r="B266" t="s">
        <v>104</v>
      </c>
      <c r="C266" t="s">
        <v>92</v>
      </c>
      <c r="D266" t="s">
        <v>121</v>
      </c>
      <c r="E266" s="3">
        <v>4.3750479576713797E-4</v>
      </c>
      <c r="F266" s="3">
        <v>5.125818986089048E-3</v>
      </c>
    </row>
    <row r="267" spans="1:6" x14ac:dyDescent="0.25">
      <c r="A267" t="s">
        <v>143</v>
      </c>
      <c r="B267" t="s">
        <v>165</v>
      </c>
      <c r="C267" t="s">
        <v>92</v>
      </c>
      <c r="D267" t="s">
        <v>121</v>
      </c>
      <c r="E267" s="3">
        <v>9.9247609186982971E-2</v>
      </c>
      <c r="F267" s="3">
        <v>-7.5922846721877962E-2</v>
      </c>
    </row>
    <row r="268" spans="1:6" x14ac:dyDescent="0.25">
      <c r="A268" t="s">
        <v>143</v>
      </c>
      <c r="B268" t="s">
        <v>614</v>
      </c>
      <c r="C268" t="s">
        <v>92</v>
      </c>
      <c r="D268" t="s">
        <v>121</v>
      </c>
      <c r="E268" s="3">
        <v>9.8139530074278197E-2</v>
      </c>
      <c r="F268" s="3">
        <v>-7.8715565345288896E-2</v>
      </c>
    </row>
    <row r="269" spans="1:6" x14ac:dyDescent="0.25">
      <c r="A269" t="s">
        <v>149</v>
      </c>
      <c r="B269" t="s">
        <v>104</v>
      </c>
      <c r="C269" t="s">
        <v>92</v>
      </c>
      <c r="D269" t="s">
        <v>121</v>
      </c>
      <c r="E269" s="3">
        <v>-1.3062303914409129E-2</v>
      </c>
      <c r="F269" s="3">
        <v>1.7792893124540521E-2</v>
      </c>
    </row>
    <row r="270" spans="1:6" x14ac:dyDescent="0.25">
      <c r="A270" t="s">
        <v>149</v>
      </c>
      <c r="B270" t="s">
        <v>165</v>
      </c>
      <c r="C270" t="s">
        <v>92</v>
      </c>
      <c r="D270" t="s">
        <v>121</v>
      </c>
      <c r="E270" s="3">
        <v>8.0015015732992467E-2</v>
      </c>
      <c r="F270" s="3">
        <v>-6.1216572722614992E-2</v>
      </c>
    </row>
    <row r="271" spans="1:6" x14ac:dyDescent="0.25">
      <c r="A271" t="s">
        <v>149</v>
      </c>
      <c r="B271" t="s">
        <v>614</v>
      </c>
      <c r="C271" t="s">
        <v>92</v>
      </c>
      <c r="D271" t="s">
        <v>121</v>
      </c>
      <c r="E271" s="3">
        <v>7.901682116254688E-2</v>
      </c>
      <c r="F271" s="3">
        <v>-6.4254610073134433E-2</v>
      </c>
    </row>
    <row r="272" spans="1:6" x14ac:dyDescent="0.25">
      <c r="A272" t="s">
        <v>104</v>
      </c>
      <c r="B272" t="s">
        <v>165</v>
      </c>
      <c r="C272" t="s">
        <v>92</v>
      </c>
      <c r="D272" t="s">
        <v>121</v>
      </c>
      <c r="E272" s="3">
        <v>3.3349011088646352E-2</v>
      </c>
      <c r="F272" s="3">
        <v>-1.1024196339484038E-2</v>
      </c>
    </row>
    <row r="273" spans="1:6" x14ac:dyDescent="0.25">
      <c r="A273" t="s">
        <v>104</v>
      </c>
      <c r="B273" t="s">
        <v>614</v>
      </c>
      <c r="C273" t="s">
        <v>92</v>
      </c>
      <c r="D273" t="s">
        <v>121</v>
      </c>
      <c r="E273" s="3">
        <v>3.2644913707965934E-2</v>
      </c>
      <c r="F273" s="3">
        <v>-1.4140884864364267E-2</v>
      </c>
    </row>
    <row r="274" spans="1:6" x14ac:dyDescent="0.25">
      <c r="A274" t="s">
        <v>165</v>
      </c>
      <c r="B274" t="s">
        <v>614</v>
      </c>
      <c r="C274" t="s">
        <v>92</v>
      </c>
      <c r="D274" t="s">
        <v>121</v>
      </c>
      <c r="E274" s="3">
        <v>0.10751480365260019</v>
      </c>
      <c r="F274" s="3">
        <v>-8.641352694799867E-2</v>
      </c>
    </row>
    <row r="275" spans="1:6" x14ac:dyDescent="0.25">
      <c r="A275" t="s">
        <v>138</v>
      </c>
      <c r="B275" t="s">
        <v>98</v>
      </c>
      <c r="C275" t="s">
        <v>92</v>
      </c>
      <c r="D275" t="s">
        <v>117</v>
      </c>
      <c r="E275" s="3">
        <v>4.9892033471269609E-2</v>
      </c>
      <c r="F275" s="3">
        <v>-4.5475568032821212E-2</v>
      </c>
    </row>
    <row r="276" spans="1:6" x14ac:dyDescent="0.25">
      <c r="A276" t="s">
        <v>138</v>
      </c>
      <c r="B276" t="s">
        <v>143</v>
      </c>
      <c r="C276" t="s">
        <v>92</v>
      </c>
      <c r="D276" t="s">
        <v>117</v>
      </c>
      <c r="E276" s="3">
        <v>0.11231951386298641</v>
      </c>
      <c r="F276" s="3">
        <v>-9.913897479649747E-2</v>
      </c>
    </row>
    <row r="277" spans="1:6" x14ac:dyDescent="0.25">
      <c r="A277" t="s">
        <v>138</v>
      </c>
      <c r="B277" t="s">
        <v>149</v>
      </c>
      <c r="C277" t="s">
        <v>92</v>
      </c>
      <c r="D277" t="s">
        <v>117</v>
      </c>
      <c r="E277" s="3">
        <v>9.2485771489168866E-2</v>
      </c>
      <c r="F277" s="3">
        <v>-8.5853850774737617E-2</v>
      </c>
    </row>
    <row r="278" spans="1:6" x14ac:dyDescent="0.25">
      <c r="A278" t="s">
        <v>138</v>
      </c>
      <c r="B278" t="s">
        <v>104</v>
      </c>
      <c r="C278" t="s">
        <v>92</v>
      </c>
      <c r="D278" t="s">
        <v>117</v>
      </c>
      <c r="E278" s="3">
        <v>4.4650616310524194E-2</v>
      </c>
      <c r="F278" s="3">
        <v>-3.7173814288600171E-2</v>
      </c>
    </row>
    <row r="279" spans="1:6" x14ac:dyDescent="0.25">
      <c r="A279" t="s">
        <v>138</v>
      </c>
      <c r="B279" t="s">
        <v>165</v>
      </c>
      <c r="C279" t="s">
        <v>92</v>
      </c>
      <c r="D279" t="s">
        <v>117</v>
      </c>
      <c r="E279" s="3">
        <v>0.12841952826237008</v>
      </c>
      <c r="F279" s="3">
        <v>-0.1053295132793387</v>
      </c>
    </row>
    <row r="280" spans="1:6" x14ac:dyDescent="0.25">
      <c r="A280" t="s">
        <v>138</v>
      </c>
      <c r="B280" t="s">
        <v>614</v>
      </c>
      <c r="C280" t="s">
        <v>92</v>
      </c>
      <c r="D280" t="s">
        <v>117</v>
      </c>
      <c r="E280" s="3">
        <v>0.1144460197270348</v>
      </c>
      <c r="F280" s="3">
        <v>-0.11408545150559321</v>
      </c>
    </row>
    <row r="281" spans="1:6" x14ac:dyDescent="0.25">
      <c r="A281" t="s">
        <v>98</v>
      </c>
      <c r="B281" t="s">
        <v>143</v>
      </c>
      <c r="C281" t="s">
        <v>92</v>
      </c>
      <c r="D281" t="s">
        <v>117</v>
      </c>
      <c r="E281" s="3">
        <v>2.5853009004334598E-2</v>
      </c>
      <c r="F281" s="3">
        <v>-3.4747467340532412E-2</v>
      </c>
    </row>
    <row r="282" spans="1:6" x14ac:dyDescent="0.25">
      <c r="A282" t="s">
        <v>98</v>
      </c>
      <c r="B282" t="s">
        <v>149</v>
      </c>
      <c r="C282" t="s">
        <v>92</v>
      </c>
      <c r="D282" t="s">
        <v>117</v>
      </c>
      <c r="E282" s="3">
        <v>1.0188129843687777E-2</v>
      </c>
      <c r="F282" s="3">
        <v>-2.0359424783465807E-2</v>
      </c>
    </row>
    <row r="283" spans="1:6" x14ac:dyDescent="0.25">
      <c r="A283" t="s">
        <v>98</v>
      </c>
      <c r="B283" t="s">
        <v>104</v>
      </c>
      <c r="C283" t="s">
        <v>92</v>
      </c>
      <c r="D283" t="s">
        <v>117</v>
      </c>
      <c r="E283" s="3">
        <v>-2.4604348281339269E-2</v>
      </c>
      <c r="F283" s="3">
        <v>2.8848995046458825E-2</v>
      </c>
    </row>
    <row r="284" spans="1:6" x14ac:dyDescent="0.25">
      <c r="A284" t="s">
        <v>98</v>
      </c>
      <c r="B284" t="s">
        <v>165</v>
      </c>
      <c r="C284" t="s">
        <v>92</v>
      </c>
      <c r="D284" t="s">
        <v>117</v>
      </c>
      <c r="E284" s="3">
        <v>5.9869336684024499E-2</v>
      </c>
      <c r="F284" s="3">
        <v>-4.8009341994519616E-2</v>
      </c>
    </row>
    <row r="285" spans="1:6" x14ac:dyDescent="0.25">
      <c r="A285" t="s">
        <v>98</v>
      </c>
      <c r="B285" t="s">
        <v>614</v>
      </c>
      <c r="C285" t="s">
        <v>92</v>
      </c>
      <c r="D285" t="s">
        <v>117</v>
      </c>
      <c r="E285" s="3">
        <v>5.996074970405138E-2</v>
      </c>
      <c r="F285" s="3">
        <v>-5.1350314480659076E-2</v>
      </c>
    </row>
    <row r="286" spans="1:6" x14ac:dyDescent="0.25">
      <c r="A286" t="s">
        <v>143</v>
      </c>
      <c r="B286" t="s">
        <v>149</v>
      </c>
      <c r="C286" t="s">
        <v>92</v>
      </c>
      <c r="D286" t="s">
        <v>117</v>
      </c>
      <c r="E286" s="3">
        <v>6.2059997745097517E-2</v>
      </c>
      <c r="F286" s="3">
        <v>-7.541025444844246E-2</v>
      </c>
    </row>
    <row r="287" spans="1:6" x14ac:dyDescent="0.25">
      <c r="A287" t="s">
        <v>143</v>
      </c>
      <c r="B287" t="s">
        <v>104</v>
      </c>
      <c r="C287" t="s">
        <v>92</v>
      </c>
      <c r="D287" t="s">
        <v>117</v>
      </c>
      <c r="E287" s="3">
        <v>1.8657315888418624E-2</v>
      </c>
      <c r="F287" s="3">
        <v>-2.3747349892171699E-2</v>
      </c>
    </row>
    <row r="288" spans="1:6" x14ac:dyDescent="0.25">
      <c r="A288" t="s">
        <v>143</v>
      </c>
      <c r="B288" t="s">
        <v>165</v>
      </c>
      <c r="C288" t="s">
        <v>92</v>
      </c>
      <c r="D288" t="s">
        <v>117</v>
      </c>
      <c r="E288" s="3">
        <v>0.1243204774325839</v>
      </c>
      <c r="F288" s="3">
        <v>-0.10481489818524914</v>
      </c>
    </row>
    <row r="289" spans="1:6" x14ac:dyDescent="0.25">
      <c r="A289" t="s">
        <v>143</v>
      </c>
      <c r="B289" t="s">
        <v>614</v>
      </c>
      <c r="C289" t="s">
        <v>92</v>
      </c>
      <c r="D289" t="s">
        <v>117</v>
      </c>
      <c r="E289" s="3">
        <v>0.12446252928774995</v>
      </c>
      <c r="F289" s="3">
        <v>-0.10586162438112753</v>
      </c>
    </row>
    <row r="290" spans="1:6" x14ac:dyDescent="0.25">
      <c r="A290" t="s">
        <v>149</v>
      </c>
      <c r="B290" t="s">
        <v>104</v>
      </c>
      <c r="C290" t="s">
        <v>92</v>
      </c>
      <c r="D290" t="s">
        <v>117</v>
      </c>
      <c r="E290" s="3">
        <v>3.5427653262821018E-3</v>
      </c>
      <c r="F290" s="3">
        <v>-1.0017206318783167E-2</v>
      </c>
    </row>
    <row r="291" spans="1:6" x14ac:dyDescent="0.25">
      <c r="A291" t="s">
        <v>149</v>
      </c>
      <c r="B291" t="s">
        <v>165</v>
      </c>
      <c r="C291" t="s">
        <v>92</v>
      </c>
      <c r="D291" t="s">
        <v>117</v>
      </c>
      <c r="E291" s="3">
        <v>0.10392274989914835</v>
      </c>
      <c r="F291" s="3">
        <v>-8.9075093859131038E-2</v>
      </c>
    </row>
    <row r="292" spans="1:6" x14ac:dyDescent="0.25">
      <c r="A292" t="s">
        <v>149</v>
      </c>
      <c r="B292" t="s">
        <v>614</v>
      </c>
      <c r="C292" t="s">
        <v>92</v>
      </c>
      <c r="D292" t="s">
        <v>117</v>
      </c>
      <c r="E292" s="3">
        <v>0.10408793602268707</v>
      </c>
      <c r="F292" s="3">
        <v>-9.2278789622389834E-2</v>
      </c>
    </row>
    <row r="293" spans="1:6" x14ac:dyDescent="0.25">
      <c r="A293" t="s">
        <v>104</v>
      </c>
      <c r="B293" t="s">
        <v>165</v>
      </c>
      <c r="C293" t="s">
        <v>92</v>
      </c>
      <c r="D293" t="s">
        <v>117</v>
      </c>
      <c r="E293" s="3">
        <v>5.4451582192230147E-2</v>
      </c>
      <c r="F293" s="3">
        <v>-4.0256873861877762E-2</v>
      </c>
    </row>
    <row r="294" spans="1:6" x14ac:dyDescent="0.25">
      <c r="A294" t="s">
        <v>104</v>
      </c>
      <c r="B294" t="s">
        <v>614</v>
      </c>
      <c r="C294" t="s">
        <v>92</v>
      </c>
      <c r="D294" t="s">
        <v>117</v>
      </c>
      <c r="E294" s="3">
        <v>5.4824304350946762E-2</v>
      </c>
      <c r="F294" s="3">
        <v>-4.3554158501583007E-2</v>
      </c>
    </row>
    <row r="295" spans="1:6" x14ac:dyDescent="0.25">
      <c r="A295" t="s">
        <v>165</v>
      </c>
      <c r="B295" t="s">
        <v>614</v>
      </c>
      <c r="C295" t="s">
        <v>92</v>
      </c>
      <c r="D295" t="s">
        <v>117</v>
      </c>
      <c r="E295" s="3">
        <v>0.13572751781316278</v>
      </c>
      <c r="F295" s="3">
        <v>-0.11292323326160611</v>
      </c>
    </row>
    <row r="296" spans="1:6" x14ac:dyDescent="0.25">
      <c r="A296" t="s">
        <v>138</v>
      </c>
      <c r="B296" t="s">
        <v>98</v>
      </c>
      <c r="C296" t="s">
        <v>121</v>
      </c>
      <c r="D296" t="s">
        <v>117</v>
      </c>
      <c r="E296" s="3">
        <v>-1.4819635062716968E-2</v>
      </c>
      <c r="F296" s="3">
        <v>4.7440149188109626E-2</v>
      </c>
    </row>
    <row r="297" spans="1:6" x14ac:dyDescent="0.25">
      <c r="A297" t="s">
        <v>138</v>
      </c>
      <c r="B297" t="s">
        <v>143</v>
      </c>
      <c r="C297" t="s">
        <v>121</v>
      </c>
      <c r="D297" t="s">
        <v>117</v>
      </c>
      <c r="E297" s="3">
        <v>3.4136853381307064E-2</v>
      </c>
      <c r="F297" s="3">
        <v>-9.8809387011355998E-3</v>
      </c>
    </row>
    <row r="298" spans="1:6" x14ac:dyDescent="0.25">
      <c r="A298" t="s">
        <v>138</v>
      </c>
      <c r="B298" t="s">
        <v>149</v>
      </c>
      <c r="C298" t="s">
        <v>121</v>
      </c>
      <c r="D298" t="s">
        <v>117</v>
      </c>
      <c r="E298" s="3">
        <v>1.7982677785397777E-2</v>
      </c>
      <c r="F298" s="3">
        <v>4.6013006034013593E-3</v>
      </c>
    </row>
    <row r="299" spans="1:6" x14ac:dyDescent="0.25">
      <c r="A299" t="s">
        <v>138</v>
      </c>
      <c r="B299" t="s">
        <v>104</v>
      </c>
      <c r="C299" t="s">
        <v>121</v>
      </c>
      <c r="D299" t="s">
        <v>117</v>
      </c>
      <c r="E299" s="3">
        <v>-1.961177483637562E-2</v>
      </c>
      <c r="F299" s="3">
        <v>5.5326179581458412E-2</v>
      </c>
    </row>
    <row r="300" spans="1:6" x14ac:dyDescent="0.25">
      <c r="A300" t="s">
        <v>138</v>
      </c>
      <c r="B300" t="s">
        <v>165</v>
      </c>
      <c r="C300" t="s">
        <v>121</v>
      </c>
      <c r="D300" t="s">
        <v>117</v>
      </c>
      <c r="E300" s="3">
        <v>4.48744624144293E-2</v>
      </c>
      <c r="F300" s="3">
        <v>-1.7120308306760701E-2</v>
      </c>
    </row>
    <row r="301" spans="1:6" x14ac:dyDescent="0.25">
      <c r="A301" t="s">
        <v>138</v>
      </c>
      <c r="B301" t="s">
        <v>614</v>
      </c>
      <c r="C301" t="s">
        <v>121</v>
      </c>
      <c r="D301" t="s">
        <v>117</v>
      </c>
      <c r="E301" s="3">
        <v>3.6072189712452102E-2</v>
      </c>
      <c r="F301" s="3">
        <v>-2.7874957192053407E-2</v>
      </c>
    </row>
    <row r="302" spans="1:6" x14ac:dyDescent="0.25">
      <c r="A302" t="s">
        <v>98</v>
      </c>
      <c r="B302" t="s">
        <v>143</v>
      </c>
      <c r="C302" t="s">
        <v>121</v>
      </c>
      <c r="D302" t="s">
        <v>117</v>
      </c>
      <c r="E302" s="3">
        <v>-3.1447722248605703E-2</v>
      </c>
      <c r="F302" s="3">
        <v>5.9227400190783319E-2</v>
      </c>
    </row>
    <row r="303" spans="1:6" x14ac:dyDescent="0.25">
      <c r="A303" t="s">
        <v>98</v>
      </c>
      <c r="B303" t="s">
        <v>149</v>
      </c>
      <c r="C303" t="s">
        <v>121</v>
      </c>
      <c r="D303" t="s">
        <v>117</v>
      </c>
      <c r="E303" s="3">
        <v>-4.2728130080574106E-2</v>
      </c>
      <c r="F303" s="3">
        <v>7.2536992618720653E-2</v>
      </c>
    </row>
    <row r="304" spans="1:6" x14ac:dyDescent="0.25">
      <c r="A304" t="s">
        <v>98</v>
      </c>
      <c r="B304" t="s">
        <v>104</v>
      </c>
      <c r="C304" t="s">
        <v>121</v>
      </c>
      <c r="D304" t="s">
        <v>117</v>
      </c>
      <c r="E304" s="3">
        <v>-6.7125025345058723E-2</v>
      </c>
      <c r="F304" s="3">
        <v>0.12116965893486736</v>
      </c>
    </row>
    <row r="305" spans="1:6" x14ac:dyDescent="0.25">
      <c r="A305" t="s">
        <v>98</v>
      </c>
      <c r="B305" t="s">
        <v>165</v>
      </c>
      <c r="C305" t="s">
        <v>121</v>
      </c>
      <c r="D305" t="s">
        <v>117</v>
      </c>
      <c r="E305" s="3">
        <v>-6.3427005684599941E-3</v>
      </c>
      <c r="F305" s="3">
        <v>4.631785137639477E-2</v>
      </c>
    </row>
    <row r="306" spans="1:6" x14ac:dyDescent="0.25">
      <c r="A306" t="s">
        <v>98</v>
      </c>
      <c r="B306" t="s">
        <v>614</v>
      </c>
      <c r="C306" t="s">
        <v>121</v>
      </c>
      <c r="D306" t="s">
        <v>117</v>
      </c>
      <c r="E306" s="3">
        <v>-7.0865786454187146E-3</v>
      </c>
      <c r="F306" s="3">
        <v>4.2252190516615773E-2</v>
      </c>
    </row>
    <row r="307" spans="1:6" x14ac:dyDescent="0.25">
      <c r="A307" t="s">
        <v>143</v>
      </c>
      <c r="B307" t="s">
        <v>149</v>
      </c>
      <c r="C307" t="s">
        <v>121</v>
      </c>
      <c r="D307" t="s">
        <v>117</v>
      </c>
      <c r="E307" s="3">
        <v>-4.6351789293428147E-3</v>
      </c>
      <c r="F307" s="3">
        <v>1.6650998423346275E-2</v>
      </c>
    </row>
    <row r="308" spans="1:6" x14ac:dyDescent="0.25">
      <c r="A308" t="s">
        <v>143</v>
      </c>
      <c r="B308" t="s">
        <v>104</v>
      </c>
      <c r="C308" t="s">
        <v>121</v>
      </c>
      <c r="D308" t="s">
        <v>117</v>
      </c>
      <c r="E308" s="3">
        <v>-3.7714916054143108E-2</v>
      </c>
      <c r="F308" s="3">
        <v>7.0272527061046197E-2</v>
      </c>
    </row>
    <row r="309" spans="1:6" x14ac:dyDescent="0.25">
      <c r="A309" t="s">
        <v>143</v>
      </c>
      <c r="B309" t="s">
        <v>165</v>
      </c>
      <c r="C309" t="s">
        <v>121</v>
      </c>
      <c r="D309" t="s">
        <v>117</v>
      </c>
      <c r="E309" s="3">
        <v>4.4934639642293411E-2</v>
      </c>
      <c r="F309" s="3">
        <v>-1.2684779753038444E-2</v>
      </c>
    </row>
    <row r="310" spans="1:6" x14ac:dyDescent="0.25">
      <c r="A310" t="s">
        <v>143</v>
      </c>
      <c r="B310" t="s">
        <v>614</v>
      </c>
      <c r="C310" t="s">
        <v>121</v>
      </c>
      <c r="D310" t="s">
        <v>117</v>
      </c>
      <c r="E310" s="3">
        <v>4.407337116129012E-2</v>
      </c>
      <c r="F310" s="3">
        <v>-1.6358455607645039E-2</v>
      </c>
    </row>
    <row r="311" spans="1:6" x14ac:dyDescent="0.25">
      <c r="A311" t="s">
        <v>149</v>
      </c>
      <c r="B311" t="s">
        <v>104</v>
      </c>
      <c r="C311" t="s">
        <v>121</v>
      </c>
      <c r="D311" t="s">
        <v>117</v>
      </c>
      <c r="E311" s="3">
        <v>-4.8267011590237607E-2</v>
      </c>
      <c r="F311" s="3">
        <v>8.2630784792098344E-2</v>
      </c>
    </row>
    <row r="312" spans="1:6" x14ac:dyDescent="0.25">
      <c r="A312" t="s">
        <v>149</v>
      </c>
      <c r="B312" t="s">
        <v>165</v>
      </c>
      <c r="C312" t="s">
        <v>121</v>
      </c>
      <c r="D312" t="s">
        <v>117</v>
      </c>
      <c r="E312" s="3">
        <v>2.8124959863620846E-2</v>
      </c>
      <c r="F312" s="3">
        <v>2.3674727423101949E-3</v>
      </c>
    </row>
    <row r="313" spans="1:6" x14ac:dyDescent="0.25">
      <c r="A313" t="s">
        <v>149</v>
      </c>
      <c r="B313" t="s">
        <v>614</v>
      </c>
      <c r="C313" t="s">
        <v>121</v>
      </c>
      <c r="D313" t="s">
        <v>117</v>
      </c>
      <c r="E313" s="3">
        <v>2.7213450924361227E-2</v>
      </c>
      <c r="F313" s="3">
        <v>-1.381320385831164E-3</v>
      </c>
    </row>
    <row r="314" spans="1:6" x14ac:dyDescent="0.25">
      <c r="A314" t="s">
        <v>104</v>
      </c>
      <c r="B314" t="s">
        <v>165</v>
      </c>
      <c r="C314" t="s">
        <v>121</v>
      </c>
      <c r="D314" t="s">
        <v>117</v>
      </c>
      <c r="E314" s="3">
        <v>-1.1477047341339058E-2</v>
      </c>
      <c r="F314" s="3">
        <v>5.3768492889661457E-2</v>
      </c>
    </row>
    <row r="315" spans="1:6" x14ac:dyDescent="0.25">
      <c r="A315" t="s">
        <v>104</v>
      </c>
      <c r="B315" t="s">
        <v>614</v>
      </c>
      <c r="C315" t="s">
        <v>121</v>
      </c>
      <c r="D315" t="s">
        <v>117</v>
      </c>
      <c r="E315" s="3">
        <v>-1.2197422804762284E-2</v>
      </c>
      <c r="F315" s="3">
        <v>5.0035670115526731E-2</v>
      </c>
    </row>
    <row r="316" spans="1:6" x14ac:dyDescent="0.25">
      <c r="A316" t="s">
        <v>165</v>
      </c>
      <c r="B316" t="s">
        <v>614</v>
      </c>
      <c r="C316" t="s">
        <v>121</v>
      </c>
      <c r="D316" t="s">
        <v>117</v>
      </c>
      <c r="E316" s="3">
        <v>5.163371179527021E-2</v>
      </c>
      <c r="F316" s="3">
        <v>-2.4747448036564756E-2</v>
      </c>
    </row>
  </sheetData>
  <autoFilter ref="A1:F785"/>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501"/>
  <sheetViews>
    <sheetView topLeftCell="A334" workbookViewId="0">
      <selection activeCell="K354" sqref="K354"/>
    </sheetView>
  </sheetViews>
  <sheetFormatPr defaultRowHeight="15" x14ac:dyDescent="0.25"/>
  <cols>
    <col min="1" max="1" width="24.28515625" bestFit="1" customWidth="1"/>
    <col min="2" max="2" width="6.140625" bestFit="1" customWidth="1"/>
    <col min="3" max="3" width="12.140625" bestFit="1" customWidth="1"/>
    <col min="4" max="4" width="7.140625" bestFit="1" customWidth="1"/>
    <col min="5" max="5" width="5.28515625" bestFit="1" customWidth="1"/>
    <col min="6" max="8" width="6" bestFit="1" customWidth="1"/>
    <col min="9" max="9" width="9" bestFit="1" customWidth="1"/>
    <col min="10" max="10" width="15.42578125" bestFit="1" customWidth="1"/>
    <col min="11" max="11" width="25.28515625" bestFit="1" customWidth="1"/>
    <col min="12" max="12" width="5" bestFit="1" customWidth="1"/>
    <col min="13" max="13" width="6" bestFit="1" customWidth="1"/>
    <col min="14" max="14" width="5.5703125" bestFit="1" customWidth="1"/>
    <col min="15" max="15" width="6" bestFit="1" customWidth="1"/>
    <col min="16" max="16" width="9" bestFit="1" customWidth="1"/>
    <col min="17" max="17" width="7.140625" bestFit="1" customWidth="1"/>
    <col min="18" max="18" width="8.42578125" bestFit="1" customWidth="1"/>
    <col min="19" max="19" width="7" bestFit="1" customWidth="1"/>
  </cols>
  <sheetData>
    <row r="1" spans="1:19" x14ac:dyDescent="0.25">
      <c r="A1" t="s">
        <v>0</v>
      </c>
      <c r="B1" t="s">
        <v>1</v>
      </c>
      <c r="C1" t="s">
        <v>404</v>
      </c>
      <c r="D1" t="s">
        <v>498</v>
      </c>
      <c r="E1" t="s">
        <v>480</v>
      </c>
      <c r="F1" t="s">
        <v>8946</v>
      </c>
      <c r="G1" t="s">
        <v>3</v>
      </c>
      <c r="H1" t="s">
        <v>8</v>
      </c>
      <c r="I1" t="s">
        <v>9</v>
      </c>
      <c r="J1" t="s">
        <v>11</v>
      </c>
      <c r="K1" t="s">
        <v>1003</v>
      </c>
      <c r="L1" t="s">
        <v>1135</v>
      </c>
      <c r="M1" t="s">
        <v>1136</v>
      </c>
      <c r="N1" t="s">
        <v>780</v>
      </c>
      <c r="O1" t="s">
        <v>835</v>
      </c>
      <c r="P1" t="s">
        <v>9</v>
      </c>
      <c r="Q1" t="s">
        <v>498</v>
      </c>
      <c r="R1" t="s">
        <v>1150</v>
      </c>
      <c r="S1" t="s">
        <v>10</v>
      </c>
    </row>
    <row r="2" spans="1:19" x14ac:dyDescent="0.25">
      <c r="A2" t="s">
        <v>104</v>
      </c>
      <c r="B2">
        <v>1</v>
      </c>
      <c r="C2" t="s">
        <v>503</v>
      </c>
      <c r="D2" t="s">
        <v>471</v>
      </c>
      <c r="E2">
        <v>13.2</v>
      </c>
      <c r="G2">
        <v>13.2</v>
      </c>
      <c r="H2">
        <v>0</v>
      </c>
      <c r="I2">
        <v>0</v>
      </c>
      <c r="J2" t="s">
        <v>515</v>
      </c>
      <c r="K2" t="str">
        <f>A2&amp;B2</f>
        <v>A.J. Green1</v>
      </c>
      <c r="L2" s="21" t="str">
        <f>IF(ISERROR(MATCH($A2,'F Proj'!$B$1:$B$7669,0)),IF(ISERROR(MATCH($A2,'D Proj'!$B$1:$B$513,0)),IF(ISERROR(MATCH($A2,'K Proj'!$B$1:$B$508,0)),"?","K"),"D"),"FLEX")</f>
        <v>FLEX</v>
      </c>
      <c r="M2" s="21">
        <f>MATCH(L2,Pos,0)</f>
        <v>1</v>
      </c>
      <c r="N2" s="21">
        <f>CHOOSE($M2,MATCH($A2&amp;$B2,'F Proj'!$P$1:$P$7669,0),MATCH($A2&amp;$B2,'D Proj'!$X$1:$X$513,0),MATCH($A2&amp;$B2,'K Proj'!$T$1:$T$508,0))</f>
        <v>741</v>
      </c>
      <c r="O2">
        <f>CHOOSE(M2,INDEX('F Proj'!$D$1:$D$7669,N2),INDEX('D Proj'!$T$1:$T$513,N2),INDEX('K Proj'!$L$1:$L$508,N2))</f>
        <v>12.65</v>
      </c>
      <c r="P2">
        <f>CHOOSE(M2,INDEX('F Proj'!$J$1:$J$7669,N2),INDEX('D Proj'!$N$1:$N$513,N2),INDEX('K Proj'!$P$1:$P$508,N2))</f>
        <v>45.024099999999997</v>
      </c>
      <c r="Q2" t="str">
        <f>IFERROR(LEFT(D2,SEARCH("-",D2)-1),D2)</f>
        <v>WR</v>
      </c>
      <c r="R2" t="str">
        <f>IF(L2="FLEX",INDEX('F Proj'!$F$1:$F$7669,N2),Q2)</f>
        <v>WR</v>
      </c>
      <c r="S2" t="str">
        <f>IF((Week+Half_Week-1)&gt;=VALUE(RIGHT(C2,LEN(C2)-SEARCH("-",C2))),LEFT(C2,SEARCH("-",C2)-1),"")</f>
        <v>devon</v>
      </c>
    </row>
    <row r="3" spans="1:19" x14ac:dyDescent="0.25">
      <c r="A3" t="s">
        <v>104</v>
      </c>
      <c r="B3">
        <v>2</v>
      </c>
      <c r="C3" t="s">
        <v>633</v>
      </c>
      <c r="D3" t="s">
        <v>471</v>
      </c>
      <c r="E3">
        <v>24.9</v>
      </c>
      <c r="G3">
        <v>24.9</v>
      </c>
      <c r="H3">
        <v>0</v>
      </c>
      <c r="I3">
        <v>0</v>
      </c>
      <c r="J3" t="s">
        <v>688</v>
      </c>
      <c r="K3" t="str">
        <f t="shared" ref="K3:K66" si="0">A3&amp;B3</f>
        <v>A.J. Green2</v>
      </c>
      <c r="L3" s="21" t="str">
        <f>IF(ISERROR(MATCH($A3,'F Proj'!$B$1:$B$7669,0)),IF(ISERROR(MATCH($A3,'D Proj'!$B$1:$B$513,0)),IF(ISERROR(MATCH($A3,'K Proj'!$B$1:$B$508,0)),"?","K"),"D"),"FLEX")</f>
        <v>FLEX</v>
      </c>
      <c r="M3" s="21">
        <f>MATCH(L3,Pos,0)</f>
        <v>1</v>
      </c>
      <c r="N3" s="21">
        <f>CHOOSE($M3,MATCH($A3&amp;$B3,'F Proj'!$P$1:$P$7669,0),MATCH($A3&amp;$B3,'D Proj'!$X$1:$X$513,0),MATCH($A3&amp;$B3,'K Proj'!$T$1:$T$508,0))</f>
        <v>957</v>
      </c>
      <c r="O3">
        <f>CHOOSE(M3,INDEX('F Proj'!$D$1:$D$7669,N3),INDEX('D Proj'!$T$1:$T$513,N3),INDEX('K Proj'!$L$1:$L$508,N3))</f>
        <v>10.69</v>
      </c>
      <c r="P3">
        <f>CHOOSE(M3,INDEX('F Proj'!$J$1:$J$7669,N3),INDEX('D Proj'!$N$1:$N$513,N3),INDEX('K Proj'!$P$1:$P$508,N3))</f>
        <v>53.5824</v>
      </c>
      <c r="Q3" t="str">
        <f t="shared" ref="Q3:Q66" si="1">IFERROR(LEFT(D3,SEARCH("-",D3)-1),D3)</f>
        <v>WR</v>
      </c>
      <c r="R3" t="str">
        <f>IF(L3="FLEX",INDEX('F Proj'!$F$1:$F$7669,N3),Q3)</f>
        <v>WR</v>
      </c>
      <c r="S3" t="str">
        <f>IF((Week+Half_Week-1)&gt;=VALUE(RIGHT(C3,LEN(C3)-SEARCH("-",C3))),LEFT(C3,SEARCH("-",C3)-1),"")</f>
        <v>devon</v>
      </c>
    </row>
    <row r="4" spans="1:19" x14ac:dyDescent="0.25">
      <c r="A4" t="s">
        <v>104</v>
      </c>
      <c r="B4">
        <v>3</v>
      </c>
      <c r="C4" t="s">
        <v>811</v>
      </c>
      <c r="D4" t="s">
        <v>471</v>
      </c>
      <c r="E4">
        <v>5.8</v>
      </c>
      <c r="G4">
        <v>5.8</v>
      </c>
      <c r="H4">
        <v>0</v>
      </c>
      <c r="I4">
        <v>0</v>
      </c>
      <c r="J4" t="s">
        <v>4265</v>
      </c>
      <c r="K4" t="str">
        <f t="shared" si="0"/>
        <v>A.J. Green3</v>
      </c>
      <c r="L4" s="21" t="str">
        <f>IF(ISERROR(MATCH($A4,'F Proj'!$B$1:$B$7669,0)),IF(ISERROR(MATCH($A4,'D Proj'!$B$1:$B$513,0)),IF(ISERROR(MATCH($A4,'K Proj'!$B$1:$B$508,0)),"?","K"),"D"),"FLEX")</f>
        <v>FLEX</v>
      </c>
      <c r="M4" s="21">
        <f>MATCH(L4,Pos,0)</f>
        <v>1</v>
      </c>
      <c r="N4" s="21">
        <f>CHOOSE($M4,MATCH($A4&amp;$B4,'F Proj'!$P$1:$P$7669,0),MATCH($A4&amp;$B4,'D Proj'!$X$1:$X$513,0),MATCH($A4&amp;$B4,'K Proj'!$T$1:$T$508,0))</f>
        <v>821</v>
      </c>
      <c r="O4">
        <f>CHOOSE(M4,INDEX('F Proj'!$D$1:$D$7669,N4),INDEX('D Proj'!$T$1:$T$513,N4),INDEX('K Proj'!$L$1:$L$508,N4))</f>
        <v>11.96</v>
      </c>
      <c r="P4">
        <f>CHOOSE(M4,INDEX('F Proj'!$J$1:$J$7669,N4),INDEX('D Proj'!$N$1:$N$513,N4),INDEX('K Proj'!$P$1:$P$508,N4))</f>
        <v>43.692100000000003</v>
      </c>
      <c r="Q4" t="str">
        <f t="shared" si="1"/>
        <v>WR</v>
      </c>
      <c r="R4" t="str">
        <f>IF(L4="FLEX",INDEX('F Proj'!$F$1:$F$7669,N4),Q4)</f>
        <v>WR</v>
      </c>
      <c r="S4" t="str">
        <f>IF((Week+Half_Week-1)&gt;=VALUE(RIGHT(C4,LEN(C4)-SEARCH("-",C4))),LEFT(C4,SEARCH("-",C4)-1),"")</f>
        <v>devon</v>
      </c>
    </row>
    <row r="5" spans="1:19" x14ac:dyDescent="0.25">
      <c r="A5" t="s">
        <v>104</v>
      </c>
      <c r="B5">
        <v>4</v>
      </c>
      <c r="C5" t="s">
        <v>863</v>
      </c>
      <c r="D5" t="s">
        <v>471</v>
      </c>
      <c r="E5">
        <v>13.8</v>
      </c>
      <c r="G5">
        <v>13.8</v>
      </c>
      <c r="H5">
        <v>0</v>
      </c>
      <c r="I5">
        <v>0</v>
      </c>
      <c r="J5" t="s">
        <v>4779</v>
      </c>
      <c r="K5" t="str">
        <f t="shared" si="0"/>
        <v>A.J. Green4</v>
      </c>
      <c r="L5" s="21" t="str">
        <f>IF(ISERROR(MATCH($A5,'F Proj'!$B$1:$B$7669,0)),IF(ISERROR(MATCH($A5,'D Proj'!$B$1:$B$513,0)),IF(ISERROR(MATCH($A5,'K Proj'!$B$1:$B$508,0)),"?","K"),"D"),"FLEX")</f>
        <v>FLEX</v>
      </c>
      <c r="M5" s="21">
        <f>MATCH(L5,Pos,0)</f>
        <v>1</v>
      </c>
      <c r="N5" s="21">
        <f>CHOOSE($M5,MATCH($A5&amp;$B5,'F Proj'!$P$1:$P$7669,0),MATCH($A5&amp;$B5,'D Proj'!$X$1:$X$513,0),MATCH($A5&amp;$B5,'K Proj'!$T$1:$T$508,0))</f>
        <v>1162</v>
      </c>
      <c r="O5">
        <f>CHOOSE(M5,INDEX('F Proj'!$D$1:$D$7669,N5),INDEX('D Proj'!$T$1:$T$513,N5),INDEX('K Proj'!$L$1:$L$508,N5))</f>
        <v>9.6</v>
      </c>
      <c r="P5">
        <f>CHOOSE(M5,INDEX('F Proj'!$J$1:$J$7669,N5),INDEX('D Proj'!$N$1:$N$513,N5),INDEX('K Proj'!$P$1:$P$508,N5))</f>
        <v>32.49</v>
      </c>
      <c r="Q5" t="str">
        <f t="shared" si="1"/>
        <v>WR</v>
      </c>
      <c r="R5" t="str">
        <f>IF(L5="FLEX",INDEX('F Proj'!$F$1:$F$7669,N5),Q5)</f>
        <v>WR</v>
      </c>
      <c r="S5" t="str">
        <f>IF((Week+Half_Week-1)&gt;=VALUE(RIGHT(C5,LEN(C5)-SEARCH("-",C5))),LEFT(C5,SEARCH("-",C5)-1),"")</f>
        <v>devon</v>
      </c>
    </row>
    <row r="6" spans="1:19" x14ac:dyDescent="0.25">
      <c r="A6" t="s">
        <v>104</v>
      </c>
      <c r="B6">
        <v>5</v>
      </c>
      <c r="C6" t="s">
        <v>885</v>
      </c>
      <c r="D6" t="s">
        <v>471</v>
      </c>
      <c r="E6" t="s">
        <v>8947</v>
      </c>
      <c r="G6">
        <v>11.17</v>
      </c>
      <c r="H6">
        <v>7.33</v>
      </c>
      <c r="I6">
        <v>53.728900000000003</v>
      </c>
      <c r="J6" t="s">
        <v>8948</v>
      </c>
      <c r="K6" t="str">
        <f t="shared" si="0"/>
        <v>A.J. Green5</v>
      </c>
      <c r="L6" s="21" t="str">
        <f>IF(ISERROR(MATCH($A6,'F Proj'!$B$1:$B$7669,0)),IF(ISERROR(MATCH($A6,'D Proj'!$B$1:$B$513,0)),IF(ISERROR(MATCH($A6,'K Proj'!$B$1:$B$508,0)),"?","K"),"D"),"FLEX")</f>
        <v>FLEX</v>
      </c>
      <c r="M6" s="21">
        <f>MATCH(L6,Pos,0)</f>
        <v>1</v>
      </c>
      <c r="N6" s="21">
        <f>CHOOSE($M6,MATCH($A6&amp;$B6,'F Proj'!$P$1:$P$7669,0),MATCH($A6&amp;$B6,'D Proj'!$X$1:$X$513,0),MATCH($A6&amp;$B6,'K Proj'!$T$1:$T$508,0))</f>
        <v>906</v>
      </c>
      <c r="O6">
        <f>CHOOSE(M6,INDEX('F Proj'!$D$1:$D$7669,N6),INDEX('D Proj'!$T$1:$T$513,N6),INDEX('K Proj'!$L$1:$L$508,N6))</f>
        <v>11.17</v>
      </c>
      <c r="P6">
        <f>CHOOSE(M6,INDEX('F Proj'!$J$1:$J$7669,N6),INDEX('D Proj'!$N$1:$N$513,N6),INDEX('K Proj'!$P$1:$P$508,N6))</f>
        <v>53.728900000000003</v>
      </c>
      <c r="Q6" t="str">
        <f t="shared" si="1"/>
        <v>WR</v>
      </c>
      <c r="R6" t="str">
        <f>IF(L6="FLEX",INDEX('F Proj'!$F$1:$F$7669,N6),Q6)</f>
        <v>WR</v>
      </c>
      <c r="S6" t="str">
        <f>IF((Week+Half_Week-1)&gt;=VALUE(RIGHT(C6,LEN(C6)-SEARCH("-",C6))),LEFT(C6,SEARCH("-",C6)-1),"")</f>
        <v/>
      </c>
    </row>
    <row r="7" spans="1:19" x14ac:dyDescent="0.25">
      <c r="A7" t="s">
        <v>13</v>
      </c>
      <c r="B7">
        <v>1</v>
      </c>
      <c r="C7" t="s">
        <v>502</v>
      </c>
      <c r="D7" t="s">
        <v>467</v>
      </c>
      <c r="E7">
        <v>24.9</v>
      </c>
      <c r="G7">
        <v>24.9</v>
      </c>
      <c r="H7">
        <v>0</v>
      </c>
      <c r="I7">
        <v>0</v>
      </c>
      <c r="J7" t="s">
        <v>572</v>
      </c>
      <c r="K7" t="str">
        <f t="shared" si="0"/>
        <v>Aaron Rodgers1</v>
      </c>
      <c r="L7" s="21" t="str">
        <f>IF(ISERROR(MATCH($A7,'F Proj'!$B$1:$B$7669,0)),IF(ISERROR(MATCH($A7,'D Proj'!$B$1:$B$513,0)),IF(ISERROR(MATCH($A7,'K Proj'!$B$1:$B$508,0)),"?","K"),"D"),"FLEX")</f>
        <v>FLEX</v>
      </c>
      <c r="M7" s="21">
        <f>MATCH(L7,Pos,0)</f>
        <v>1</v>
      </c>
      <c r="N7" s="21">
        <f>CHOOSE($M7,MATCH($A7&amp;$B7,'F Proj'!$P$1:$P$7669,0),MATCH($A7&amp;$B7,'D Proj'!$X$1:$X$513,0),MATCH($A7&amp;$B7,'K Proj'!$T$1:$T$508,0))</f>
        <v>39</v>
      </c>
      <c r="O7">
        <f>CHOOSE(M7,INDEX('F Proj'!$D$1:$D$7669,N7),INDEX('D Proj'!$T$1:$T$513,N7),INDEX('K Proj'!$L$1:$L$508,N7))</f>
        <v>22.36</v>
      </c>
      <c r="P7">
        <f>CHOOSE(M7,INDEX('F Proj'!$J$1:$J$7669,N7),INDEX('D Proj'!$N$1:$N$513,N7),INDEX('K Proj'!$P$1:$P$508,N7))</f>
        <v>82.81</v>
      </c>
      <c r="Q7" t="str">
        <f t="shared" si="1"/>
        <v>QB</v>
      </c>
      <c r="R7" t="str">
        <f>IF(L7="FLEX",INDEX('F Proj'!$F$1:$F$7669,N7),Q7)</f>
        <v>QB</v>
      </c>
      <c r="S7" t="str">
        <f>IF((Week+Half_Week-1)&gt;=VALUE(RIGHT(C7,LEN(C7)-SEARCH("-",C7))),LEFT(C7,SEARCH("-",C7)-1),"")</f>
        <v>cory</v>
      </c>
    </row>
    <row r="8" spans="1:19" x14ac:dyDescent="0.25">
      <c r="A8" t="s">
        <v>13</v>
      </c>
      <c r="B8">
        <v>2</v>
      </c>
      <c r="C8" t="s">
        <v>618</v>
      </c>
      <c r="D8" t="s">
        <v>467</v>
      </c>
      <c r="E8">
        <v>16</v>
      </c>
      <c r="G8">
        <v>16</v>
      </c>
      <c r="H8">
        <v>0</v>
      </c>
      <c r="I8">
        <v>0</v>
      </c>
      <c r="J8" t="s">
        <v>619</v>
      </c>
      <c r="K8" t="str">
        <f t="shared" si="0"/>
        <v>Aaron Rodgers2</v>
      </c>
      <c r="L8" s="21" t="str">
        <f>IF(ISERROR(MATCH($A8,'F Proj'!$B$1:$B$7669,0)),IF(ISERROR(MATCH($A8,'D Proj'!$B$1:$B$513,0)),IF(ISERROR(MATCH($A8,'K Proj'!$B$1:$B$508,0)),"?","K"),"D"),"FLEX")</f>
        <v>FLEX</v>
      </c>
      <c r="M8" s="21">
        <f>MATCH(L8,Pos,0)</f>
        <v>1</v>
      </c>
      <c r="N8" s="21">
        <f>CHOOSE($M8,MATCH($A8&amp;$B8,'F Proj'!$P$1:$P$7669,0),MATCH($A8&amp;$B8,'D Proj'!$X$1:$X$513,0),MATCH($A8&amp;$B8,'K Proj'!$T$1:$T$508,0))</f>
        <v>171</v>
      </c>
      <c r="O8">
        <f>CHOOSE(M8,INDEX('F Proj'!$D$1:$D$7669,N8),INDEX('D Proj'!$T$1:$T$513,N8),INDEX('K Proj'!$L$1:$L$508,N8))</f>
        <v>19.52</v>
      </c>
      <c r="P8">
        <f>CHOOSE(M8,INDEX('F Proj'!$J$1:$J$7669,N8),INDEX('D Proj'!$N$1:$N$513,N8),INDEX('K Proj'!$P$1:$P$508,N8))</f>
        <v>77.264099999999999</v>
      </c>
      <c r="Q8" t="str">
        <f t="shared" si="1"/>
        <v>QB</v>
      </c>
      <c r="R8" t="str">
        <f>IF(L8="FLEX",INDEX('F Proj'!$F$1:$F$7669,N8),Q8)</f>
        <v>QB</v>
      </c>
      <c r="S8" t="str">
        <f>IF((Week+Half_Week-1)&gt;=VALUE(RIGHT(C8,LEN(C8)-SEARCH("-",C8))),LEFT(C8,SEARCH("-",C8)-1),"")</f>
        <v>cory</v>
      </c>
    </row>
    <row r="9" spans="1:19" x14ac:dyDescent="0.25">
      <c r="A9" t="s">
        <v>13</v>
      </c>
      <c r="B9">
        <v>3</v>
      </c>
      <c r="C9" t="s">
        <v>803</v>
      </c>
      <c r="D9" t="s">
        <v>467</v>
      </c>
      <c r="E9">
        <v>19.899999999999999</v>
      </c>
      <c r="G9">
        <v>19.899999999999999</v>
      </c>
      <c r="H9">
        <v>0</v>
      </c>
      <c r="I9">
        <v>0</v>
      </c>
      <c r="J9" t="s">
        <v>4266</v>
      </c>
      <c r="K9" t="str">
        <f t="shared" si="0"/>
        <v>Aaron Rodgers3</v>
      </c>
      <c r="L9" s="21" t="str">
        <f>IF(ISERROR(MATCH($A9,'F Proj'!$B$1:$B$7669,0)),IF(ISERROR(MATCH($A9,'D Proj'!$B$1:$B$513,0)),IF(ISERROR(MATCH($A9,'K Proj'!$B$1:$B$508,0)),"?","K"),"D"),"FLEX")</f>
        <v>FLEX</v>
      </c>
      <c r="M9" s="21">
        <f>MATCH(L9,Pos,0)</f>
        <v>1</v>
      </c>
      <c r="N9" s="21">
        <f>CHOOSE($M9,MATCH($A9&amp;$B9,'F Proj'!$P$1:$P$7669,0),MATCH($A9&amp;$B9,'D Proj'!$X$1:$X$513,0),MATCH($A9&amp;$B9,'K Proj'!$T$1:$T$508,0))</f>
        <v>99</v>
      </c>
      <c r="O9">
        <f>CHOOSE(M9,INDEX('F Proj'!$D$1:$D$7669,N9),INDEX('D Proj'!$T$1:$T$513,N9),INDEX('K Proj'!$L$1:$L$508,N9))</f>
        <v>20.7</v>
      </c>
      <c r="P9">
        <f>CHOOSE(M9,INDEX('F Proj'!$J$1:$J$7669,N9),INDEX('D Proj'!$N$1:$N$513,N9),INDEX('K Proj'!$P$1:$P$508,N9))</f>
        <v>63.043599999999998</v>
      </c>
      <c r="Q9" t="str">
        <f t="shared" si="1"/>
        <v>QB</v>
      </c>
      <c r="R9" t="str">
        <f>IF(L9="FLEX",INDEX('F Proj'!$F$1:$F$7669,N9),Q9)</f>
        <v>QB</v>
      </c>
      <c r="S9" t="str">
        <f>IF((Week+Half_Week-1)&gt;=VALUE(RIGHT(C9,LEN(C9)-SEARCH("-",C9))),LEFT(C9,SEARCH("-",C9)-1),"")</f>
        <v>cory</v>
      </c>
    </row>
    <row r="10" spans="1:19" x14ac:dyDescent="0.25">
      <c r="A10" t="s">
        <v>13</v>
      </c>
      <c r="B10">
        <v>4</v>
      </c>
      <c r="C10" t="s">
        <v>858</v>
      </c>
      <c r="D10" t="s">
        <v>467</v>
      </c>
      <c r="E10">
        <v>15</v>
      </c>
      <c r="G10">
        <v>15</v>
      </c>
      <c r="H10">
        <v>0</v>
      </c>
      <c r="I10">
        <v>0</v>
      </c>
      <c r="J10" t="s">
        <v>4749</v>
      </c>
      <c r="K10" t="str">
        <f t="shared" si="0"/>
        <v>Aaron Rodgers4</v>
      </c>
      <c r="L10" s="21" t="str">
        <f>IF(ISERROR(MATCH($A10,'F Proj'!$B$1:$B$7669,0)),IF(ISERROR(MATCH($A10,'D Proj'!$B$1:$B$513,0)),IF(ISERROR(MATCH($A10,'K Proj'!$B$1:$B$508,0)),"?","K"),"D"),"FLEX")</f>
        <v>FLEX</v>
      </c>
      <c r="M10" s="21">
        <f>MATCH(L10,Pos,0)</f>
        <v>1</v>
      </c>
      <c r="N10" s="21">
        <f>CHOOSE($M10,MATCH($A10&amp;$B10,'F Proj'!$P$1:$P$7669,0),MATCH($A10&amp;$B10,'D Proj'!$X$1:$X$513,0),MATCH($A10&amp;$B10,'K Proj'!$T$1:$T$508,0))</f>
        <v>35</v>
      </c>
      <c r="O10">
        <f>CHOOSE(M10,INDEX('F Proj'!$D$1:$D$7669,N10),INDEX('D Proj'!$T$1:$T$513,N10),INDEX('K Proj'!$L$1:$L$508,N10))</f>
        <v>22.61</v>
      </c>
      <c r="P10">
        <f>CHOOSE(M10,INDEX('F Proj'!$J$1:$J$7669,N10),INDEX('D Proj'!$N$1:$N$513,N10),INDEX('K Proj'!$P$1:$P$508,N10))</f>
        <v>50.41</v>
      </c>
      <c r="Q10" t="str">
        <f t="shared" si="1"/>
        <v>QB</v>
      </c>
      <c r="R10" t="str">
        <f>IF(L10="FLEX",INDEX('F Proj'!$F$1:$F$7669,N10),Q10)</f>
        <v>QB</v>
      </c>
      <c r="S10" t="str">
        <f>IF((Week+Half_Week-1)&gt;=VALUE(RIGHT(C10,LEN(C10)-SEARCH("-",C10))),LEFT(C10,SEARCH("-",C10)-1),"")</f>
        <v>cory</v>
      </c>
    </row>
    <row r="11" spans="1:19" x14ac:dyDescent="0.25">
      <c r="A11" t="s">
        <v>13</v>
      </c>
      <c r="B11">
        <v>5</v>
      </c>
      <c r="C11" t="s">
        <v>883</v>
      </c>
      <c r="D11" t="s">
        <v>467</v>
      </c>
      <c r="E11" t="s">
        <v>8947</v>
      </c>
      <c r="G11">
        <v>21.59</v>
      </c>
      <c r="H11">
        <v>8.4</v>
      </c>
      <c r="I11">
        <v>70.56</v>
      </c>
      <c r="J11" t="s">
        <v>8949</v>
      </c>
      <c r="K11" t="str">
        <f t="shared" si="0"/>
        <v>Aaron Rodgers5</v>
      </c>
      <c r="L11" s="21" t="str">
        <f>IF(ISERROR(MATCH($A11,'F Proj'!$B$1:$B$7669,0)),IF(ISERROR(MATCH($A11,'D Proj'!$B$1:$B$513,0)),IF(ISERROR(MATCH($A11,'K Proj'!$B$1:$B$508,0)),"?","K"),"D"),"FLEX")</f>
        <v>FLEX</v>
      </c>
      <c r="M11" s="21">
        <f>MATCH(L11,Pos,0)</f>
        <v>1</v>
      </c>
      <c r="N11" s="21">
        <f>CHOOSE($M11,MATCH($A11&amp;$B11,'F Proj'!$P$1:$P$7669,0),MATCH($A11&amp;$B11,'D Proj'!$X$1:$X$513,0),MATCH($A11&amp;$B11,'K Proj'!$T$1:$T$508,0))</f>
        <v>56</v>
      </c>
      <c r="O11">
        <f>CHOOSE(M11,INDEX('F Proj'!$D$1:$D$7669,N11),INDEX('D Proj'!$T$1:$T$513,N11),INDEX('K Proj'!$L$1:$L$508,N11))</f>
        <v>21.59</v>
      </c>
      <c r="P11">
        <f>CHOOSE(M11,INDEX('F Proj'!$J$1:$J$7669,N11),INDEX('D Proj'!$N$1:$N$513,N11),INDEX('K Proj'!$P$1:$P$508,N11))</f>
        <v>70.56</v>
      </c>
      <c r="Q11" t="str">
        <f t="shared" si="1"/>
        <v>QB</v>
      </c>
      <c r="R11" t="str">
        <f>IF(L11="FLEX",INDEX('F Proj'!$F$1:$F$7669,N11),Q11)</f>
        <v>QB</v>
      </c>
      <c r="S11" t="str">
        <f>IF((Week+Half_Week-1)&gt;=VALUE(RIGHT(C11,LEN(C11)-SEARCH("-",C11))),LEFT(C11,SEARCH("-",C11)-1),"")</f>
        <v/>
      </c>
    </row>
    <row r="12" spans="1:19" x14ac:dyDescent="0.25">
      <c r="A12" t="s">
        <v>191</v>
      </c>
      <c r="B12">
        <v>1</v>
      </c>
      <c r="C12" t="s">
        <v>500</v>
      </c>
      <c r="D12" t="s">
        <v>472</v>
      </c>
      <c r="E12">
        <v>10.199999999999999</v>
      </c>
      <c r="G12">
        <v>10.199999999999999</v>
      </c>
      <c r="H12">
        <v>0</v>
      </c>
      <c r="I12">
        <v>0</v>
      </c>
      <c r="J12" t="s">
        <v>512</v>
      </c>
      <c r="K12" t="str">
        <f t="shared" si="0"/>
        <v>Adam Thielen1</v>
      </c>
      <c r="L12" s="21" t="str">
        <f>IF(ISERROR(MATCH($A12,'F Proj'!$B$1:$B$7669,0)),IF(ISERROR(MATCH($A12,'D Proj'!$B$1:$B$513,0)),IF(ISERROR(MATCH($A12,'K Proj'!$B$1:$B$508,0)),"?","K"),"D"),"FLEX")</f>
        <v>FLEX</v>
      </c>
      <c r="M12" s="21">
        <f>MATCH(L12,Pos,0)</f>
        <v>1</v>
      </c>
      <c r="N12" s="21">
        <f>CHOOSE($M12,MATCH($A12&amp;$B12,'F Proj'!$P$1:$P$7669,0),MATCH($A12&amp;$B12,'D Proj'!$X$1:$X$513,0),MATCH($A12&amp;$B12,'K Proj'!$T$1:$T$508,0))</f>
        <v>919</v>
      </c>
      <c r="O12">
        <f>CHOOSE(M12,INDEX('F Proj'!$D$1:$D$7669,N12),INDEX('D Proj'!$T$1:$T$513,N12),INDEX('K Proj'!$L$1:$L$508,N12))</f>
        <v>11.05</v>
      </c>
      <c r="P12">
        <f>CHOOSE(M12,INDEX('F Proj'!$J$1:$J$7669,N12),INDEX('D Proj'!$N$1:$N$513,N12),INDEX('K Proj'!$P$1:$P$508,N12))</f>
        <v>60.372900000000001</v>
      </c>
      <c r="Q12" t="str">
        <f t="shared" si="1"/>
        <v>WR</v>
      </c>
      <c r="R12" t="str">
        <f>IF(L12="FLEX",INDEX('F Proj'!$F$1:$F$7669,N12),Q12)</f>
        <v>WR</v>
      </c>
      <c r="S12" t="str">
        <f>IF((Week+Half_Week-1)&gt;=VALUE(RIGHT(C12,LEN(C12)-SEARCH("-",C12))),LEFT(C12,SEARCH("-",C12)-1),"")</f>
        <v>seth</v>
      </c>
    </row>
    <row r="13" spans="1:19" x14ac:dyDescent="0.25">
      <c r="A13" t="s">
        <v>191</v>
      </c>
      <c r="B13">
        <v>2</v>
      </c>
      <c r="C13" t="s">
        <v>630</v>
      </c>
      <c r="D13" t="s">
        <v>472</v>
      </c>
      <c r="E13">
        <v>19.100000000000001</v>
      </c>
      <c r="G13">
        <v>19.100000000000001</v>
      </c>
      <c r="H13">
        <v>0</v>
      </c>
      <c r="I13">
        <v>0</v>
      </c>
      <c r="J13" t="s">
        <v>690</v>
      </c>
      <c r="K13" t="str">
        <f t="shared" si="0"/>
        <v>Adam Thielen2</v>
      </c>
      <c r="L13" s="21" t="str">
        <f>IF(ISERROR(MATCH($A13,'F Proj'!$B$1:$B$7669,0)),IF(ISERROR(MATCH($A13,'D Proj'!$B$1:$B$513,0)),IF(ISERROR(MATCH($A13,'K Proj'!$B$1:$B$508,0)),"?","K"),"D"),"FLEX")</f>
        <v>FLEX</v>
      </c>
      <c r="M13" s="21">
        <f>MATCH(L13,Pos,0)</f>
        <v>1</v>
      </c>
      <c r="N13" s="21">
        <f>CHOOSE($M13,MATCH($A13&amp;$B13,'F Proj'!$P$1:$P$7669,0),MATCH($A13&amp;$B13,'D Proj'!$X$1:$X$513,0),MATCH($A13&amp;$B13,'K Proj'!$T$1:$T$508,0))</f>
        <v>1061</v>
      </c>
      <c r="O13">
        <f>CHOOSE(M13,INDEX('F Proj'!$D$1:$D$7669,N13),INDEX('D Proj'!$T$1:$T$513,N13),INDEX('K Proj'!$L$1:$L$508,N13))</f>
        <v>10.029999999999999</v>
      </c>
      <c r="P13">
        <f>CHOOSE(M13,INDEX('F Proj'!$J$1:$J$7669,N13),INDEX('D Proj'!$N$1:$N$513,N13),INDEX('K Proj'!$P$1:$P$508,N13))</f>
        <v>57.002499999999998</v>
      </c>
      <c r="Q13" t="str">
        <f t="shared" si="1"/>
        <v>WR</v>
      </c>
      <c r="R13" t="str">
        <f>IF(L13="FLEX",INDEX('F Proj'!$F$1:$F$7669,N13),Q13)</f>
        <v>WR</v>
      </c>
      <c r="S13" t="str">
        <f>IF((Week+Half_Week-1)&gt;=VALUE(RIGHT(C13,LEN(C13)-SEARCH("-",C13))),LEFT(C13,SEARCH("-",C13)-1),"")</f>
        <v>seth</v>
      </c>
    </row>
    <row r="14" spans="1:19" x14ac:dyDescent="0.25">
      <c r="A14" t="s">
        <v>191</v>
      </c>
      <c r="B14">
        <v>3</v>
      </c>
      <c r="C14" t="s">
        <v>808</v>
      </c>
      <c r="D14" t="s">
        <v>472</v>
      </c>
      <c r="E14">
        <v>10.5</v>
      </c>
      <c r="G14">
        <v>10.5</v>
      </c>
      <c r="H14">
        <v>0</v>
      </c>
      <c r="I14">
        <v>0</v>
      </c>
      <c r="J14" t="s">
        <v>4267</v>
      </c>
      <c r="K14" t="str">
        <f t="shared" si="0"/>
        <v>Adam Thielen3</v>
      </c>
      <c r="L14" s="21" t="str">
        <f>IF(ISERROR(MATCH($A14,'F Proj'!$B$1:$B$7669,0)),IF(ISERROR(MATCH($A14,'D Proj'!$B$1:$B$513,0)),IF(ISERROR(MATCH($A14,'K Proj'!$B$1:$B$508,0)),"?","K"),"D"),"FLEX")</f>
        <v>FLEX</v>
      </c>
      <c r="M14" s="21">
        <f>MATCH(L14,Pos,0)</f>
        <v>1</v>
      </c>
      <c r="N14" s="21">
        <f>CHOOSE($M14,MATCH($A14&amp;$B14,'F Proj'!$P$1:$P$7669,0),MATCH($A14&amp;$B14,'D Proj'!$X$1:$X$513,0),MATCH($A14&amp;$B14,'K Proj'!$T$1:$T$508,0))</f>
        <v>882</v>
      </c>
      <c r="O14">
        <f>CHOOSE(M14,INDEX('F Proj'!$D$1:$D$7669,N14),INDEX('D Proj'!$T$1:$T$513,N14),INDEX('K Proj'!$L$1:$L$508,N14))</f>
        <v>11.35</v>
      </c>
      <c r="P14">
        <f>CHOOSE(M14,INDEX('F Proj'!$J$1:$J$7669,N14),INDEX('D Proj'!$N$1:$N$513,N14),INDEX('K Proj'!$P$1:$P$508,N14))</f>
        <v>42.380099999999999</v>
      </c>
      <c r="Q14" t="str">
        <f t="shared" si="1"/>
        <v>WR</v>
      </c>
      <c r="R14" t="str">
        <f>IF(L14="FLEX",INDEX('F Proj'!$F$1:$F$7669,N14),Q14)</f>
        <v>WR</v>
      </c>
      <c r="S14" t="str">
        <f>IF((Week+Half_Week-1)&gt;=VALUE(RIGHT(C14,LEN(C14)-SEARCH("-",C14))),LEFT(C14,SEARCH("-",C14)-1),"")</f>
        <v>seth</v>
      </c>
    </row>
    <row r="15" spans="1:19" x14ac:dyDescent="0.25">
      <c r="A15" t="s">
        <v>191</v>
      </c>
      <c r="B15">
        <v>4</v>
      </c>
      <c r="C15" t="s">
        <v>857</v>
      </c>
      <c r="D15" t="s">
        <v>472</v>
      </c>
      <c r="E15">
        <v>19.5</v>
      </c>
      <c r="G15">
        <v>19.5</v>
      </c>
      <c r="H15">
        <v>0</v>
      </c>
      <c r="I15">
        <v>0</v>
      </c>
      <c r="J15" t="s">
        <v>4750</v>
      </c>
      <c r="K15" t="str">
        <f t="shared" si="0"/>
        <v>Adam Thielen4</v>
      </c>
      <c r="L15" s="21" t="str">
        <f>IF(ISERROR(MATCH($A15,'F Proj'!$B$1:$B$7669,0)),IF(ISERROR(MATCH($A15,'D Proj'!$B$1:$B$513,0)),IF(ISERROR(MATCH($A15,'K Proj'!$B$1:$B$508,0)),"?","K"),"D"),"FLEX")</f>
        <v>FLEX</v>
      </c>
      <c r="M15" s="21">
        <f>MATCH(L15,Pos,0)</f>
        <v>1</v>
      </c>
      <c r="N15" s="21">
        <f>CHOOSE($M15,MATCH($A15&amp;$B15,'F Proj'!$P$1:$P$7669,0),MATCH($A15&amp;$B15,'D Proj'!$X$1:$X$513,0),MATCH($A15&amp;$B15,'K Proj'!$T$1:$T$508,0))</f>
        <v>1121</v>
      </c>
      <c r="O15">
        <f>CHOOSE(M15,INDEX('F Proj'!$D$1:$D$7669,N15),INDEX('D Proj'!$T$1:$T$513,N15),INDEX('K Proj'!$L$1:$L$508,N15))</f>
        <v>9.7799999999999994</v>
      </c>
      <c r="P15">
        <f>CHOOSE(M15,INDEX('F Proj'!$J$1:$J$7669,N15),INDEX('D Proj'!$N$1:$N$513,N15),INDEX('K Proj'!$P$1:$P$508,N15))</f>
        <v>26.419599999999999</v>
      </c>
      <c r="Q15" t="str">
        <f t="shared" si="1"/>
        <v>WR</v>
      </c>
      <c r="R15" t="str">
        <f>IF(L15="FLEX",INDEX('F Proj'!$F$1:$F$7669,N15),Q15)</f>
        <v>WR</v>
      </c>
      <c r="S15" t="str">
        <f>IF((Week+Half_Week-1)&gt;=VALUE(RIGHT(C15,LEN(C15)-SEARCH("-",C15))),LEFT(C15,SEARCH("-",C15)-1),"")</f>
        <v>seth</v>
      </c>
    </row>
    <row r="16" spans="1:19" x14ac:dyDescent="0.25">
      <c r="A16" t="s">
        <v>191</v>
      </c>
      <c r="B16">
        <v>5</v>
      </c>
      <c r="C16" t="s">
        <v>882</v>
      </c>
      <c r="D16" t="s">
        <v>472</v>
      </c>
      <c r="E16" t="s">
        <v>8947</v>
      </c>
      <c r="G16">
        <v>12.27</v>
      </c>
      <c r="H16">
        <v>7.11</v>
      </c>
      <c r="I16">
        <v>50.552100000000003</v>
      </c>
      <c r="J16" t="s">
        <v>8950</v>
      </c>
      <c r="K16" t="str">
        <f t="shared" si="0"/>
        <v>Adam Thielen5</v>
      </c>
      <c r="L16" s="21" t="str">
        <f>IF(ISERROR(MATCH($A16,'F Proj'!$B$1:$B$7669,0)),IF(ISERROR(MATCH($A16,'D Proj'!$B$1:$B$513,0)),IF(ISERROR(MATCH($A16,'K Proj'!$B$1:$B$508,0)),"?","K"),"D"),"FLEX")</f>
        <v>FLEX</v>
      </c>
      <c r="M16" s="21">
        <f>MATCH(L16,Pos,0)</f>
        <v>1</v>
      </c>
      <c r="N16" s="21">
        <f>CHOOSE($M16,MATCH($A16&amp;$B16,'F Proj'!$P$1:$P$7669,0),MATCH($A16&amp;$B16,'D Proj'!$X$1:$X$513,0),MATCH($A16&amp;$B16,'K Proj'!$T$1:$T$508,0))</f>
        <v>786</v>
      </c>
      <c r="O16">
        <f>CHOOSE(M16,INDEX('F Proj'!$D$1:$D$7669,N16),INDEX('D Proj'!$T$1:$T$513,N16),INDEX('K Proj'!$L$1:$L$508,N16))</f>
        <v>12.27</v>
      </c>
      <c r="P16">
        <f>CHOOSE(M16,INDEX('F Proj'!$J$1:$J$7669,N16),INDEX('D Proj'!$N$1:$N$513,N16),INDEX('K Proj'!$P$1:$P$508,N16))</f>
        <v>50.552100000000003</v>
      </c>
      <c r="Q16" t="str">
        <f t="shared" si="1"/>
        <v>WR</v>
      </c>
      <c r="R16" t="str">
        <f>IF(L16="FLEX",INDEX('F Proj'!$F$1:$F$7669,N16),Q16)</f>
        <v>WR</v>
      </c>
      <c r="S16" t="str">
        <f>IF((Week+Half_Week-1)&gt;=VALUE(RIGHT(C16,LEN(C16)-SEARCH("-",C16))),LEFT(C16,SEARCH("-",C16)-1),"")</f>
        <v/>
      </c>
    </row>
    <row r="17" spans="1:19" x14ac:dyDescent="0.25">
      <c r="A17" t="s">
        <v>158</v>
      </c>
      <c r="B17">
        <v>2</v>
      </c>
      <c r="C17" t="s">
        <v>623</v>
      </c>
      <c r="D17" t="s">
        <v>466</v>
      </c>
      <c r="E17">
        <v>5</v>
      </c>
      <c r="G17">
        <v>5</v>
      </c>
      <c r="H17">
        <v>0</v>
      </c>
      <c r="I17">
        <v>0</v>
      </c>
      <c r="J17" t="s">
        <v>656</v>
      </c>
      <c r="K17" t="str">
        <f t="shared" si="0"/>
        <v>Adrian Peterson2</v>
      </c>
      <c r="L17" s="21" t="str">
        <f>IF(ISERROR(MATCH($A17,'F Proj'!$B$1:$B$7669,0)),IF(ISERROR(MATCH($A17,'D Proj'!$B$1:$B$513,0)),IF(ISERROR(MATCH($A17,'K Proj'!$B$1:$B$508,0)),"?","K"),"D"),"FLEX")</f>
        <v>FLEX</v>
      </c>
      <c r="M17" s="21">
        <f>MATCH(L17,Pos,0)</f>
        <v>1</v>
      </c>
      <c r="N17" s="21">
        <f>CHOOSE($M17,MATCH($A17&amp;$B17,'F Proj'!$P$1:$P$7669,0),MATCH($A17&amp;$B17,'D Proj'!$X$1:$X$513,0),MATCH($A17&amp;$B17,'K Proj'!$T$1:$T$508,0))</f>
        <v>1203</v>
      </c>
      <c r="O17">
        <f>CHOOSE(M17,INDEX('F Proj'!$D$1:$D$7669,N17),INDEX('D Proj'!$T$1:$T$513,N17),INDEX('K Proj'!$L$1:$L$508,N17))</f>
        <v>9.35</v>
      </c>
      <c r="P17">
        <f>CHOOSE(M17,INDEX('F Proj'!$J$1:$J$7669,N17),INDEX('D Proj'!$N$1:$N$513,N17),INDEX('K Proj'!$P$1:$P$508,N17))</f>
        <v>74.132099999999994</v>
      </c>
      <c r="Q17" t="str">
        <f t="shared" si="1"/>
        <v>WR/RB</v>
      </c>
      <c r="R17" t="str">
        <f>IF(L17="FLEX",INDEX('F Proj'!$F$1:$F$7669,N17),Q17)</f>
        <v>RB</v>
      </c>
      <c r="S17" t="str">
        <f>IF((Week+Half_Week-1)&gt;=VALUE(RIGHT(C17,LEN(C17)-SEARCH("-",C17))),LEFT(C17,SEARCH("-",C17)-1),"")</f>
        <v>comp</v>
      </c>
    </row>
    <row r="18" spans="1:19" x14ac:dyDescent="0.25">
      <c r="A18" t="s">
        <v>158</v>
      </c>
      <c r="B18">
        <v>3</v>
      </c>
      <c r="C18" t="s">
        <v>805</v>
      </c>
      <c r="D18" t="s">
        <v>469</v>
      </c>
      <c r="E18">
        <v>24</v>
      </c>
      <c r="G18">
        <v>24</v>
      </c>
      <c r="H18">
        <v>0</v>
      </c>
      <c r="I18">
        <v>0</v>
      </c>
      <c r="J18" t="s">
        <v>4268</v>
      </c>
      <c r="K18" t="str">
        <f t="shared" si="0"/>
        <v>Adrian Peterson3</v>
      </c>
      <c r="L18" s="21" t="str">
        <f>IF(ISERROR(MATCH($A18,'F Proj'!$B$1:$B$7669,0)),IF(ISERROR(MATCH($A18,'D Proj'!$B$1:$B$513,0)),IF(ISERROR(MATCH($A18,'K Proj'!$B$1:$B$508,0)),"?","K"),"D"),"FLEX")</f>
        <v>FLEX</v>
      </c>
      <c r="M18" s="21">
        <f>MATCH(L18,Pos,0)</f>
        <v>1</v>
      </c>
      <c r="N18" s="21">
        <f>CHOOSE($M18,MATCH($A18&amp;$B18,'F Proj'!$P$1:$P$7669,0),MATCH($A18&amp;$B18,'D Proj'!$X$1:$X$513,0),MATCH($A18&amp;$B18,'K Proj'!$T$1:$T$508,0))</f>
        <v>1210</v>
      </c>
      <c r="O18">
        <f>CHOOSE(M18,INDEX('F Proj'!$D$1:$D$7669,N18),INDEX('D Proj'!$T$1:$T$513,N18),INDEX('K Proj'!$L$1:$L$508,N18))</f>
        <v>9.32</v>
      </c>
      <c r="P18">
        <f>CHOOSE(M18,INDEX('F Proj'!$J$1:$J$7669,N18),INDEX('D Proj'!$N$1:$N$513,N18),INDEX('K Proj'!$P$1:$P$508,N18))</f>
        <v>19.272099999999998</v>
      </c>
      <c r="Q18" t="str">
        <f t="shared" si="1"/>
        <v>RB</v>
      </c>
      <c r="R18" t="str">
        <f>IF(L18="FLEX",INDEX('F Proj'!$F$1:$F$7669,N18),Q18)</f>
        <v>RB</v>
      </c>
      <c r="S18" t="str">
        <f>IF((Week+Half_Week-1)&gt;=VALUE(RIGHT(C18,LEN(C18)-SEARCH("-",C18))),LEFT(C18,SEARCH("-",C18)-1),"")</f>
        <v>comp</v>
      </c>
    </row>
    <row r="19" spans="1:19" x14ac:dyDescent="0.25">
      <c r="A19" t="s">
        <v>158</v>
      </c>
      <c r="B19">
        <v>5</v>
      </c>
      <c r="C19" t="s">
        <v>887</v>
      </c>
      <c r="D19" t="s">
        <v>469</v>
      </c>
      <c r="E19" t="s">
        <v>8947</v>
      </c>
      <c r="G19">
        <v>9.69</v>
      </c>
      <c r="H19">
        <v>9.25</v>
      </c>
      <c r="I19">
        <v>85.5625</v>
      </c>
      <c r="J19" t="s">
        <v>8951</v>
      </c>
      <c r="K19" t="str">
        <f t="shared" si="0"/>
        <v>Adrian Peterson5</v>
      </c>
      <c r="L19" s="21" t="str">
        <f>IF(ISERROR(MATCH($A19,'F Proj'!$B$1:$B$7669,0)),IF(ISERROR(MATCH($A19,'D Proj'!$B$1:$B$513,0)),IF(ISERROR(MATCH($A19,'K Proj'!$B$1:$B$508,0)),"?","K"),"D"),"FLEX")</f>
        <v>FLEX</v>
      </c>
      <c r="M19" s="21">
        <f>MATCH(L19,Pos,0)</f>
        <v>1</v>
      </c>
      <c r="N19" s="21">
        <f>CHOOSE($M19,MATCH($A19&amp;$B19,'F Proj'!$P$1:$P$7669,0),MATCH($A19&amp;$B19,'D Proj'!$X$1:$X$513,0),MATCH($A19&amp;$B19,'K Proj'!$T$1:$T$508,0))</f>
        <v>1142</v>
      </c>
      <c r="O19">
        <f>CHOOSE(M19,INDEX('F Proj'!$D$1:$D$7669,N19),INDEX('D Proj'!$T$1:$T$513,N19),INDEX('K Proj'!$L$1:$L$508,N19))</f>
        <v>9.69</v>
      </c>
      <c r="P19">
        <f>CHOOSE(M19,INDEX('F Proj'!$J$1:$J$7669,N19),INDEX('D Proj'!$N$1:$N$513,N19),INDEX('K Proj'!$P$1:$P$508,N19))</f>
        <v>85.5625</v>
      </c>
      <c r="Q19" t="str">
        <f t="shared" si="1"/>
        <v>RB</v>
      </c>
      <c r="R19" t="str">
        <f>IF(L19="FLEX",INDEX('F Proj'!$F$1:$F$7669,N19),Q19)</f>
        <v>RB</v>
      </c>
      <c r="S19" t="str">
        <f>IF((Week+Half_Week-1)&gt;=VALUE(RIGHT(C19,LEN(C19)-SEARCH("-",C19))),LEFT(C19,SEARCH("-",C19)-1),"")</f>
        <v/>
      </c>
    </row>
    <row r="20" spans="1:19" x14ac:dyDescent="0.25">
      <c r="A20" t="s">
        <v>796</v>
      </c>
      <c r="B20">
        <v>1</v>
      </c>
      <c r="C20" t="s">
        <v>500</v>
      </c>
      <c r="D20" t="s">
        <v>466</v>
      </c>
      <c r="E20">
        <v>5.9</v>
      </c>
      <c r="G20">
        <v>5.9</v>
      </c>
      <c r="H20">
        <v>0</v>
      </c>
      <c r="I20">
        <v>0</v>
      </c>
      <c r="J20" t="s">
        <v>533</v>
      </c>
      <c r="K20" t="str">
        <f t="shared" si="0"/>
        <v>Alex Collins1</v>
      </c>
      <c r="L20" s="21" t="str">
        <f>IF(ISERROR(MATCH($A20,'F Proj'!$B$1:$B$7669,0)),IF(ISERROR(MATCH($A20,'D Proj'!$B$1:$B$513,0)),IF(ISERROR(MATCH($A20,'K Proj'!$B$1:$B$508,0)),"?","K"),"D"),"FLEX")</f>
        <v>FLEX</v>
      </c>
      <c r="M20" s="21">
        <f>MATCH(L20,Pos,0)</f>
        <v>1</v>
      </c>
      <c r="N20" s="21">
        <f>CHOOSE($M20,MATCH($A20&amp;$B20,'F Proj'!$P$1:$P$7669,0),MATCH($A20&amp;$B20,'D Proj'!$X$1:$X$513,0),MATCH($A20&amp;$B20,'K Proj'!$T$1:$T$508,0))</f>
        <v>1025</v>
      </c>
      <c r="O20">
        <f>CHOOSE(M20,INDEX('F Proj'!$D$1:$D$7669,N20),INDEX('D Proj'!$T$1:$T$513,N20),INDEX('K Proj'!$L$1:$L$508,N20))</f>
        <v>10.28</v>
      </c>
      <c r="P20">
        <f>CHOOSE(M20,INDEX('F Proj'!$J$1:$J$7669,N20),INDEX('D Proj'!$N$1:$N$513,N20),INDEX('K Proj'!$P$1:$P$508,N20))</f>
        <v>80.6404</v>
      </c>
      <c r="Q20" t="str">
        <f t="shared" si="1"/>
        <v>WR/RB</v>
      </c>
      <c r="R20" t="str">
        <f>IF(L20="FLEX",INDEX('F Proj'!$F$1:$F$7669,N20),Q20)</f>
        <v>RB</v>
      </c>
      <c r="S20" t="str">
        <f>IF((Week+Half_Week-1)&gt;=VALUE(RIGHT(C20,LEN(C20)-SEARCH("-",C20))),LEFT(C20,SEARCH("-",C20)-1),"")</f>
        <v>seth</v>
      </c>
    </row>
    <row r="21" spans="1:19" x14ac:dyDescent="0.25">
      <c r="A21" t="s">
        <v>796</v>
      </c>
      <c r="B21">
        <v>2</v>
      </c>
      <c r="C21" t="s">
        <v>630</v>
      </c>
      <c r="D21" t="s">
        <v>468</v>
      </c>
      <c r="E21">
        <v>9</v>
      </c>
      <c r="G21">
        <v>9</v>
      </c>
      <c r="H21">
        <v>0</v>
      </c>
      <c r="I21">
        <v>0</v>
      </c>
      <c r="J21" t="s">
        <v>635</v>
      </c>
      <c r="K21" t="str">
        <f t="shared" si="0"/>
        <v>Alex Collins2</v>
      </c>
      <c r="L21" s="21" t="str">
        <f>IF(ISERROR(MATCH($A21,'F Proj'!$B$1:$B$7669,0)),IF(ISERROR(MATCH($A21,'D Proj'!$B$1:$B$513,0)),IF(ISERROR(MATCH($A21,'K Proj'!$B$1:$B$508,0)),"?","K"),"D"),"FLEX")</f>
        <v>FLEX</v>
      </c>
      <c r="M21" s="21">
        <f>MATCH(L21,Pos,0)</f>
        <v>1</v>
      </c>
      <c r="N21" s="21">
        <f>CHOOSE($M21,MATCH($A21&amp;$B21,'F Proj'!$P$1:$P$7669,0),MATCH($A21&amp;$B21,'D Proj'!$X$1:$X$513,0),MATCH($A21&amp;$B21,'K Proj'!$T$1:$T$508,0))</f>
        <v>1505</v>
      </c>
      <c r="O21">
        <f>CHOOSE(M21,INDEX('F Proj'!$D$1:$D$7669,N21),INDEX('D Proj'!$T$1:$T$513,N21),INDEX('K Proj'!$L$1:$L$508,N21))</f>
        <v>8.1</v>
      </c>
      <c r="P21">
        <f>CHOOSE(M21,INDEX('F Proj'!$J$1:$J$7669,N21),INDEX('D Proj'!$N$1:$N$513,N21),INDEX('K Proj'!$P$1:$P$508,N21))</f>
        <v>48.163600000000002</v>
      </c>
      <c r="Q21" t="str">
        <f t="shared" si="1"/>
        <v>RB</v>
      </c>
      <c r="R21" t="str">
        <f>IF(L21="FLEX",INDEX('F Proj'!$F$1:$F$7669,N21),Q21)</f>
        <v>RB</v>
      </c>
      <c r="S21" t="str">
        <f>IF((Week+Half_Week-1)&gt;=VALUE(RIGHT(C21,LEN(C21)-SEARCH("-",C21))),LEFT(C21,SEARCH("-",C21)-1),"")</f>
        <v>seth</v>
      </c>
    </row>
    <row r="22" spans="1:19" x14ac:dyDescent="0.25">
      <c r="A22" t="s">
        <v>796</v>
      </c>
      <c r="B22">
        <v>3</v>
      </c>
      <c r="C22" t="s">
        <v>808</v>
      </c>
      <c r="D22" t="s">
        <v>468</v>
      </c>
      <c r="E22">
        <v>13.4</v>
      </c>
      <c r="G22">
        <v>13.4</v>
      </c>
      <c r="H22">
        <v>0</v>
      </c>
      <c r="I22">
        <v>0</v>
      </c>
      <c r="J22" t="s">
        <v>4269</v>
      </c>
      <c r="K22" t="str">
        <f t="shared" si="0"/>
        <v>Alex Collins3</v>
      </c>
      <c r="L22" s="21" t="str">
        <f>IF(ISERROR(MATCH($A22,'F Proj'!$B$1:$B$7669,0)),IF(ISERROR(MATCH($A22,'D Proj'!$B$1:$B$513,0)),IF(ISERROR(MATCH($A22,'K Proj'!$B$1:$B$508,0)),"?","K"),"D"),"FLEX")</f>
        <v>FLEX</v>
      </c>
      <c r="M22" s="21">
        <f>MATCH(L22,Pos,0)</f>
        <v>1</v>
      </c>
      <c r="N22" s="21">
        <f>CHOOSE($M22,MATCH($A22&amp;$B22,'F Proj'!$P$1:$P$7669,0),MATCH($A22&amp;$B22,'D Proj'!$X$1:$X$513,0),MATCH($A22&amp;$B22,'K Proj'!$T$1:$T$508,0))</f>
        <v>1091</v>
      </c>
      <c r="O22">
        <f>CHOOSE(M22,INDEX('F Proj'!$D$1:$D$7669,N22),INDEX('D Proj'!$T$1:$T$513,N22),INDEX('K Proj'!$L$1:$L$508,N22))</f>
        <v>9.93</v>
      </c>
      <c r="P22">
        <f>CHOOSE(M22,INDEX('F Proj'!$J$1:$J$7669,N22),INDEX('D Proj'!$N$1:$N$513,N22),INDEX('K Proj'!$P$1:$P$508,N22))</f>
        <v>41.473599999999998</v>
      </c>
      <c r="Q22" t="str">
        <f t="shared" si="1"/>
        <v>RB</v>
      </c>
      <c r="R22" t="str">
        <f>IF(L22="FLEX",INDEX('F Proj'!$F$1:$F$7669,N22),Q22)</f>
        <v>RB</v>
      </c>
      <c r="S22" t="str">
        <f>IF((Week+Half_Week-1)&gt;=VALUE(RIGHT(C22,LEN(C22)-SEARCH("-",C22))),LEFT(C22,SEARCH("-",C22)-1),"")</f>
        <v>seth</v>
      </c>
    </row>
    <row r="23" spans="1:19" x14ac:dyDescent="0.25">
      <c r="A23" t="s">
        <v>796</v>
      </c>
      <c r="B23">
        <v>4</v>
      </c>
      <c r="C23" t="s">
        <v>857</v>
      </c>
      <c r="D23" t="s">
        <v>469</v>
      </c>
      <c r="E23">
        <v>8.5</v>
      </c>
      <c r="G23">
        <v>8.5</v>
      </c>
      <c r="H23">
        <v>0</v>
      </c>
      <c r="I23">
        <v>0</v>
      </c>
      <c r="J23" t="s">
        <v>4797</v>
      </c>
      <c r="K23" t="str">
        <f t="shared" si="0"/>
        <v>Alex Collins4</v>
      </c>
      <c r="L23" s="21" t="str">
        <f>IF(ISERROR(MATCH($A23,'F Proj'!$B$1:$B$7669,0)),IF(ISERROR(MATCH($A23,'D Proj'!$B$1:$B$513,0)),IF(ISERROR(MATCH($A23,'K Proj'!$B$1:$B$508,0)),"?","K"),"D"),"FLEX")</f>
        <v>FLEX</v>
      </c>
      <c r="M23" s="21">
        <f>MATCH(L23,Pos,0)</f>
        <v>1</v>
      </c>
      <c r="N23" s="21">
        <f>CHOOSE($M23,MATCH($A23&amp;$B23,'F Proj'!$P$1:$P$7669,0),MATCH($A23&amp;$B23,'D Proj'!$X$1:$X$513,0),MATCH($A23&amp;$B23,'K Proj'!$T$1:$T$508,0))</f>
        <v>1077</v>
      </c>
      <c r="O23">
        <f>CHOOSE(M23,INDEX('F Proj'!$D$1:$D$7669,N23),INDEX('D Proj'!$T$1:$T$513,N23),INDEX('K Proj'!$L$1:$L$508,N23))</f>
        <v>9.9700000000000006</v>
      </c>
      <c r="P23">
        <f>CHOOSE(M23,INDEX('F Proj'!$J$1:$J$7669,N23),INDEX('D Proj'!$N$1:$N$513,N23),INDEX('K Proj'!$P$1:$P$508,N23))</f>
        <v>46.376100000000001</v>
      </c>
      <c r="Q23" t="str">
        <f t="shared" si="1"/>
        <v>RB</v>
      </c>
      <c r="R23" t="str">
        <f>IF(L23="FLEX",INDEX('F Proj'!$F$1:$F$7669,N23),Q23)</f>
        <v>RB</v>
      </c>
      <c r="S23" t="str">
        <f>IF((Week+Half_Week-1)&gt;=VALUE(RIGHT(C23,LEN(C23)-SEARCH("-",C23))),LEFT(C23,SEARCH("-",C23)-1),"")</f>
        <v>seth</v>
      </c>
    </row>
    <row r="24" spans="1:19" x14ac:dyDescent="0.25">
      <c r="A24" t="s">
        <v>796</v>
      </c>
      <c r="B24">
        <v>5</v>
      </c>
      <c r="C24" t="s">
        <v>882</v>
      </c>
      <c r="D24" t="s">
        <v>468</v>
      </c>
      <c r="E24" t="s">
        <v>8947</v>
      </c>
      <c r="G24">
        <v>3.67</v>
      </c>
      <c r="H24">
        <v>3.33</v>
      </c>
      <c r="I24">
        <v>11.088900000000001</v>
      </c>
      <c r="J24" t="s">
        <v>8952</v>
      </c>
      <c r="K24" t="str">
        <f t="shared" si="0"/>
        <v>Alex Collins5</v>
      </c>
      <c r="L24" s="21" t="str">
        <f>IF(ISERROR(MATCH($A24,'F Proj'!$B$1:$B$7669,0)),IF(ISERROR(MATCH($A24,'D Proj'!$B$1:$B$513,0)),IF(ISERROR(MATCH($A24,'K Proj'!$B$1:$B$508,0)),"?","K"),"D"),"FLEX")</f>
        <v>FLEX</v>
      </c>
      <c r="M24" s="21">
        <f>MATCH(L24,Pos,0)</f>
        <v>1</v>
      </c>
      <c r="N24" s="21">
        <f>CHOOSE($M24,MATCH($A24&amp;$B24,'F Proj'!$P$1:$P$7669,0),MATCH($A24&amp;$B24,'D Proj'!$X$1:$X$513,0),MATCH($A24&amp;$B24,'K Proj'!$T$1:$T$508,0))</f>
        <v>3192</v>
      </c>
      <c r="O24">
        <f>CHOOSE(M24,INDEX('F Proj'!$D$1:$D$7669,N24),INDEX('D Proj'!$T$1:$T$513,N24),INDEX('K Proj'!$L$1:$L$508,N24))</f>
        <v>3.67</v>
      </c>
      <c r="P24">
        <f>CHOOSE(M24,INDEX('F Proj'!$J$1:$J$7669,N24),INDEX('D Proj'!$N$1:$N$513,N24),INDEX('K Proj'!$P$1:$P$508,N24))</f>
        <v>11.088900000000001</v>
      </c>
      <c r="Q24" t="str">
        <f t="shared" si="1"/>
        <v>RB</v>
      </c>
      <c r="R24" t="str">
        <f>IF(L24="FLEX",INDEX('F Proj'!$F$1:$F$7669,N24),Q24)</f>
        <v>RB</v>
      </c>
      <c r="S24" t="str">
        <f>IF((Week+Half_Week-1)&gt;=VALUE(RIGHT(C24,LEN(C24)-SEARCH("-",C24))),LEFT(C24,SEARCH("-",C24)-1),"")</f>
        <v/>
      </c>
    </row>
    <row r="25" spans="1:19" x14ac:dyDescent="0.25">
      <c r="A25" t="s">
        <v>95</v>
      </c>
      <c r="B25">
        <v>1</v>
      </c>
      <c r="C25" t="s">
        <v>505</v>
      </c>
      <c r="D25" t="s">
        <v>467</v>
      </c>
      <c r="E25">
        <v>19.600000000000001</v>
      </c>
      <c r="G25">
        <v>19.600000000000001</v>
      </c>
      <c r="H25">
        <v>0</v>
      </c>
      <c r="I25">
        <v>0</v>
      </c>
      <c r="J25" t="s">
        <v>550</v>
      </c>
      <c r="K25" t="str">
        <f t="shared" si="0"/>
        <v>Alex Smith1</v>
      </c>
      <c r="L25" s="21" t="str">
        <f>IF(ISERROR(MATCH($A25,'F Proj'!$B$1:$B$7669,0)),IF(ISERROR(MATCH($A25,'D Proj'!$B$1:$B$513,0)),IF(ISERROR(MATCH($A25,'K Proj'!$B$1:$B$508,0)),"?","K"),"D"),"FLEX")</f>
        <v>FLEX</v>
      </c>
      <c r="M25" s="21">
        <f>MATCH(L25,Pos,0)</f>
        <v>1</v>
      </c>
      <c r="N25" s="21">
        <f>CHOOSE($M25,MATCH($A25&amp;$B25,'F Proj'!$P$1:$P$7669,0),MATCH($A25&amp;$B25,'D Proj'!$X$1:$X$513,0),MATCH($A25&amp;$B25,'K Proj'!$T$1:$T$508,0))</f>
        <v>489</v>
      </c>
      <c r="O25">
        <f>CHOOSE(M25,INDEX('F Proj'!$D$1:$D$7669,N25),INDEX('D Proj'!$T$1:$T$513,N25),INDEX('K Proj'!$L$1:$L$508,N25))</f>
        <v>14.97</v>
      </c>
      <c r="P25">
        <f>CHOOSE(M25,INDEX('F Proj'!$J$1:$J$7669,N25),INDEX('D Proj'!$N$1:$N$513,N25),INDEX('K Proj'!$P$1:$P$508,N25))</f>
        <v>52.5625</v>
      </c>
      <c r="Q25" t="str">
        <f t="shared" si="1"/>
        <v>QB</v>
      </c>
      <c r="R25" t="str">
        <f>IF(L25="FLEX",INDEX('F Proj'!$F$1:$F$7669,N25),Q25)</f>
        <v>QB</v>
      </c>
      <c r="S25" t="str">
        <f>IF((Week+Half_Week-1)&gt;=VALUE(RIGHT(C25,LEN(C25)-SEARCH("-",C25))),LEFT(C25,SEARCH("-",C25)-1),"")</f>
        <v>matty</v>
      </c>
    </row>
    <row r="26" spans="1:19" x14ac:dyDescent="0.25">
      <c r="A26" t="s">
        <v>95</v>
      </c>
      <c r="B26">
        <v>2</v>
      </c>
      <c r="C26" t="s">
        <v>636</v>
      </c>
      <c r="D26" t="s">
        <v>467</v>
      </c>
      <c r="E26">
        <v>13.1</v>
      </c>
      <c r="G26">
        <v>13.1</v>
      </c>
      <c r="H26">
        <v>0</v>
      </c>
      <c r="I26">
        <v>0</v>
      </c>
      <c r="J26" t="s">
        <v>677</v>
      </c>
      <c r="K26" t="str">
        <f t="shared" si="0"/>
        <v>Alex Smith2</v>
      </c>
      <c r="L26" s="21" t="str">
        <f>IF(ISERROR(MATCH($A26,'F Proj'!$B$1:$B$7669,0)),IF(ISERROR(MATCH($A26,'D Proj'!$B$1:$B$513,0)),IF(ISERROR(MATCH($A26,'K Proj'!$B$1:$B$508,0)),"?","K"),"D"),"FLEX")</f>
        <v>FLEX</v>
      </c>
      <c r="M26" s="21">
        <f>MATCH(L26,Pos,0)</f>
        <v>1</v>
      </c>
      <c r="N26" s="21">
        <f>CHOOSE($M26,MATCH($A26&amp;$B26,'F Proj'!$P$1:$P$7669,0),MATCH($A26&amp;$B26,'D Proj'!$X$1:$X$513,0),MATCH($A26&amp;$B26,'K Proj'!$T$1:$T$508,0))</f>
        <v>121</v>
      </c>
      <c r="O26">
        <f>CHOOSE(M26,INDEX('F Proj'!$D$1:$D$7669,N26),INDEX('D Proj'!$T$1:$T$513,N26),INDEX('K Proj'!$L$1:$L$508,N26))</f>
        <v>20.239999999999998</v>
      </c>
      <c r="P26">
        <f>CHOOSE(M26,INDEX('F Proj'!$J$1:$J$7669,N26),INDEX('D Proj'!$N$1:$N$513,N26),INDEX('K Proj'!$P$1:$P$508,N26))</f>
        <v>45.024099999999997</v>
      </c>
      <c r="Q26" t="str">
        <f t="shared" si="1"/>
        <v>QB</v>
      </c>
      <c r="R26" t="str">
        <f>IF(L26="FLEX",INDEX('F Proj'!$F$1:$F$7669,N26),Q26)</f>
        <v>QB</v>
      </c>
      <c r="S26" t="str">
        <f>IF((Week+Half_Week-1)&gt;=VALUE(RIGHT(C26,LEN(C26)-SEARCH("-",C26))),LEFT(C26,SEARCH("-",C26)-1),"")</f>
        <v>matty</v>
      </c>
    </row>
    <row r="27" spans="1:19" x14ac:dyDescent="0.25">
      <c r="A27" t="s">
        <v>212</v>
      </c>
      <c r="B27">
        <v>2</v>
      </c>
      <c r="C27" t="s">
        <v>630</v>
      </c>
      <c r="D27" t="s">
        <v>469</v>
      </c>
      <c r="E27">
        <v>8</v>
      </c>
      <c r="G27">
        <v>8</v>
      </c>
      <c r="H27">
        <v>0</v>
      </c>
      <c r="I27">
        <v>0</v>
      </c>
      <c r="J27" t="s">
        <v>631</v>
      </c>
      <c r="K27" t="str">
        <f t="shared" si="0"/>
        <v>Alfred Morris2</v>
      </c>
      <c r="L27" s="21" t="str">
        <f>IF(ISERROR(MATCH($A27,'F Proj'!$B$1:$B$7669,0)),IF(ISERROR(MATCH($A27,'D Proj'!$B$1:$B$513,0)),IF(ISERROR(MATCH($A27,'K Proj'!$B$1:$B$508,0)),"?","K"),"D"),"FLEX")</f>
        <v>FLEX</v>
      </c>
      <c r="M27" s="21">
        <f>MATCH(L27,Pos,0)</f>
        <v>1</v>
      </c>
      <c r="N27" s="21">
        <f>CHOOSE($M27,MATCH($A27&amp;$B27,'F Proj'!$P$1:$P$7669,0),MATCH($A27&amp;$B27,'D Proj'!$X$1:$X$513,0),MATCH($A27&amp;$B27,'K Proj'!$T$1:$T$508,0))</f>
        <v>1679</v>
      </c>
      <c r="O27">
        <f>CHOOSE(M27,INDEX('F Proj'!$D$1:$D$7669,N27),INDEX('D Proj'!$T$1:$T$513,N27),INDEX('K Proj'!$L$1:$L$508,N27))</f>
        <v>7.48</v>
      </c>
      <c r="P27">
        <f>CHOOSE(M27,INDEX('F Proj'!$J$1:$J$7669,N27),INDEX('D Proj'!$N$1:$N$513,N27),INDEX('K Proj'!$P$1:$P$508,N27))</f>
        <v>44.355600000000003</v>
      </c>
      <c r="Q27" t="str">
        <f t="shared" si="1"/>
        <v>RB</v>
      </c>
      <c r="R27" t="str">
        <f>IF(L27="FLEX",INDEX('F Proj'!$F$1:$F$7669,N27),Q27)</f>
        <v>RB</v>
      </c>
      <c r="S27" t="str">
        <f>IF((Week+Half_Week-1)&gt;=VALUE(RIGHT(C27,LEN(C27)-SEARCH("-",C27))),LEFT(C27,SEARCH("-",C27)-1),"")</f>
        <v>seth</v>
      </c>
    </row>
    <row r="28" spans="1:19" x14ac:dyDescent="0.25">
      <c r="A28" t="s">
        <v>212</v>
      </c>
      <c r="B28">
        <v>3</v>
      </c>
      <c r="C28" t="s">
        <v>808</v>
      </c>
      <c r="D28" t="s">
        <v>466</v>
      </c>
      <c r="E28">
        <v>12.7</v>
      </c>
      <c r="G28">
        <v>12.7</v>
      </c>
      <c r="H28">
        <v>0</v>
      </c>
      <c r="I28">
        <v>0</v>
      </c>
      <c r="J28" t="s">
        <v>4270</v>
      </c>
      <c r="K28" t="str">
        <f t="shared" si="0"/>
        <v>Alfred Morris3</v>
      </c>
      <c r="L28" s="21" t="str">
        <f>IF(ISERROR(MATCH($A28,'F Proj'!$B$1:$B$7669,0)),IF(ISERROR(MATCH($A28,'D Proj'!$B$1:$B$513,0)),IF(ISERROR(MATCH($A28,'K Proj'!$B$1:$B$508,0)),"?","K"),"D"),"FLEX")</f>
        <v>FLEX</v>
      </c>
      <c r="M28" s="21">
        <f>MATCH(L28,Pos,0)</f>
        <v>1</v>
      </c>
      <c r="N28" s="21">
        <f>CHOOSE($M28,MATCH($A28&amp;$B28,'F Proj'!$P$1:$P$7669,0),MATCH($A28&amp;$B28,'D Proj'!$X$1:$X$513,0),MATCH($A28&amp;$B28,'K Proj'!$T$1:$T$508,0))</f>
        <v>1429</v>
      </c>
      <c r="O28">
        <f>CHOOSE(M28,INDEX('F Proj'!$D$1:$D$7669,N28),INDEX('D Proj'!$T$1:$T$513,N28),INDEX('K Proj'!$L$1:$L$508,N28))</f>
        <v>8.35</v>
      </c>
      <c r="P28">
        <f>CHOOSE(M28,INDEX('F Proj'!$J$1:$J$7669,N28),INDEX('D Proj'!$N$1:$N$513,N28),INDEX('K Proj'!$P$1:$P$508,N28))</f>
        <v>47.059600000000003</v>
      </c>
      <c r="Q28" t="str">
        <f t="shared" si="1"/>
        <v>WR/RB</v>
      </c>
      <c r="R28" t="str">
        <f>IF(L28="FLEX",INDEX('F Proj'!$F$1:$F$7669,N28),Q28)</f>
        <v>RB</v>
      </c>
      <c r="S28" t="str">
        <f>IF((Week+Half_Week-1)&gt;=VALUE(RIGHT(C28,LEN(C28)-SEARCH("-",C28))),LEFT(C28,SEARCH("-",C28)-1),"")</f>
        <v>seth</v>
      </c>
    </row>
    <row r="29" spans="1:19" x14ac:dyDescent="0.25">
      <c r="A29" t="s">
        <v>252</v>
      </c>
      <c r="B29">
        <v>1</v>
      </c>
      <c r="C29" t="s">
        <v>503</v>
      </c>
      <c r="D29" t="s">
        <v>466</v>
      </c>
      <c r="E29">
        <v>2</v>
      </c>
      <c r="G29">
        <v>2</v>
      </c>
      <c r="H29">
        <v>0</v>
      </c>
      <c r="I29">
        <v>0</v>
      </c>
      <c r="J29" t="s">
        <v>540</v>
      </c>
      <c r="K29" t="str">
        <f t="shared" si="0"/>
        <v>Allen Hurns1</v>
      </c>
      <c r="L29" s="21" t="str">
        <f>IF(ISERROR(MATCH($A29,'F Proj'!$B$1:$B$7669,0)),IF(ISERROR(MATCH($A29,'D Proj'!$B$1:$B$513,0)),IF(ISERROR(MATCH($A29,'K Proj'!$B$1:$B$508,0)),"?","K"),"D"),"FLEX")</f>
        <v>FLEX</v>
      </c>
      <c r="M29" s="21">
        <f>MATCH(L29,Pos,0)</f>
        <v>1</v>
      </c>
      <c r="N29" s="21">
        <f>CHOOSE($M29,MATCH($A29&amp;$B29,'F Proj'!$P$1:$P$7669,0),MATCH($A29&amp;$B29,'D Proj'!$X$1:$X$513,0),MATCH($A29&amp;$B29,'K Proj'!$T$1:$T$508,0))</f>
        <v>2816</v>
      </c>
      <c r="O29">
        <f>CHOOSE(M29,INDEX('F Proj'!$D$1:$D$7669,N29),INDEX('D Proj'!$T$1:$T$513,N29),INDEX('K Proj'!$L$1:$L$508,N29))</f>
        <v>4.5</v>
      </c>
      <c r="P29">
        <f>CHOOSE(M29,INDEX('F Proj'!$J$1:$J$7669,N29),INDEX('D Proj'!$N$1:$N$513,N29),INDEX('K Proj'!$P$1:$P$508,N29))</f>
        <v>9.9224999999999994</v>
      </c>
      <c r="Q29" t="str">
        <f t="shared" si="1"/>
        <v>WR/RB</v>
      </c>
      <c r="R29" t="str">
        <f>IF(L29="FLEX",INDEX('F Proj'!$F$1:$F$7669,N29),Q29)</f>
        <v>WR</v>
      </c>
      <c r="S29" t="str">
        <f>IF((Week+Half_Week-1)&gt;=VALUE(RIGHT(C29,LEN(C29)-SEARCH("-",C29))),LEFT(C29,SEARCH("-",C29)-1),"")</f>
        <v>devon</v>
      </c>
    </row>
    <row r="30" spans="1:19" x14ac:dyDescent="0.25">
      <c r="A30" t="s">
        <v>119</v>
      </c>
      <c r="B30">
        <v>1</v>
      </c>
      <c r="C30" t="s">
        <v>1649</v>
      </c>
      <c r="D30" t="s">
        <v>471</v>
      </c>
      <c r="E30">
        <v>6.1</v>
      </c>
      <c r="G30">
        <v>6.1</v>
      </c>
      <c r="H30">
        <v>0</v>
      </c>
      <c r="I30">
        <v>0</v>
      </c>
      <c r="J30" t="s">
        <v>1650</v>
      </c>
      <c r="K30" t="str">
        <f t="shared" si="0"/>
        <v>Allen Robinson1</v>
      </c>
      <c r="L30" s="21" t="str">
        <f>IF(ISERROR(MATCH($A30,'F Proj'!$B$1:$B$7669,0)),IF(ISERROR(MATCH($A30,'D Proj'!$B$1:$B$513,0)),IF(ISERROR(MATCH($A30,'K Proj'!$B$1:$B$508,0)),"?","K"),"D"),"FLEX")</f>
        <v>FLEX</v>
      </c>
      <c r="M30" s="21">
        <f>MATCH(L30,Pos,0)</f>
        <v>1</v>
      </c>
      <c r="N30" s="21">
        <f>CHOOSE($M30,MATCH($A30&amp;$B30,'F Proj'!$P$1:$P$7669,0),MATCH($A30&amp;$B30,'D Proj'!$X$1:$X$513,0),MATCH($A30&amp;$B30,'K Proj'!$T$1:$T$508,0))</f>
        <v>1372</v>
      </c>
      <c r="O30">
        <f>CHOOSE(M30,INDEX('F Proj'!$D$1:$D$7669,N30),INDEX('D Proj'!$T$1:$T$513,N30),INDEX('K Proj'!$L$1:$L$508,N30))</f>
        <v>8.56</v>
      </c>
      <c r="P30">
        <f>CHOOSE(M30,INDEX('F Proj'!$J$1:$J$7669,N30),INDEX('D Proj'!$N$1:$N$513,N30),INDEX('K Proj'!$P$1:$P$508,N30))</f>
        <v>33.988900000000001</v>
      </c>
      <c r="Q30" t="str">
        <f t="shared" si="1"/>
        <v>WR</v>
      </c>
      <c r="R30" t="str">
        <f>IF(L30="FLEX",INDEX('F Proj'!$F$1:$F$7669,N30),Q30)</f>
        <v>WR</v>
      </c>
      <c r="S30" t="str">
        <f>IF((Week+Half_Week-1)&gt;=VALUE(RIGHT(C30,LEN(C30)-SEARCH("-",C30))),LEFT(C30,SEARCH("-",C30)-1),"")</f>
        <v>lucas</v>
      </c>
    </row>
    <row r="31" spans="1:19" x14ac:dyDescent="0.25">
      <c r="A31" t="s">
        <v>119</v>
      </c>
      <c r="B31">
        <v>2</v>
      </c>
      <c r="C31" t="s">
        <v>1651</v>
      </c>
      <c r="D31" t="s">
        <v>471</v>
      </c>
      <c r="E31">
        <v>8.3000000000000007</v>
      </c>
      <c r="G31">
        <v>8.3000000000000007</v>
      </c>
      <c r="H31">
        <v>0</v>
      </c>
      <c r="I31">
        <v>0</v>
      </c>
      <c r="J31" t="s">
        <v>1652</v>
      </c>
      <c r="K31" t="str">
        <f t="shared" si="0"/>
        <v>Allen Robinson2</v>
      </c>
      <c r="L31" s="21" t="str">
        <f>IF(ISERROR(MATCH($A31,'F Proj'!$B$1:$B$7669,0)),IF(ISERROR(MATCH($A31,'D Proj'!$B$1:$B$513,0)),IF(ISERROR(MATCH($A31,'K Proj'!$B$1:$B$508,0)),"?","K"),"D"),"FLEX")</f>
        <v>FLEX</v>
      </c>
      <c r="M31" s="21">
        <f>MATCH(L31,Pos,0)</f>
        <v>1</v>
      </c>
      <c r="N31" s="21">
        <f>CHOOSE($M31,MATCH($A31&amp;$B31,'F Proj'!$P$1:$P$7669,0),MATCH($A31&amp;$B31,'D Proj'!$X$1:$X$513,0),MATCH($A31&amp;$B31,'K Proj'!$T$1:$T$508,0))</f>
        <v>1404</v>
      </c>
      <c r="O31">
        <f>CHOOSE(M31,INDEX('F Proj'!$D$1:$D$7669,N31),INDEX('D Proj'!$T$1:$T$513,N31),INDEX('K Proj'!$L$1:$L$508,N31))</f>
        <v>8.4600000000000009</v>
      </c>
      <c r="P31">
        <f>CHOOSE(M31,INDEX('F Proj'!$J$1:$J$7669,N31),INDEX('D Proj'!$N$1:$N$513,N31),INDEX('K Proj'!$P$1:$P$508,N31))</f>
        <v>31.024899999999999</v>
      </c>
      <c r="Q31" t="str">
        <f t="shared" si="1"/>
        <v>WR</v>
      </c>
      <c r="R31" t="str">
        <f>IF(L31="FLEX",INDEX('F Proj'!$F$1:$F$7669,N31),Q31)</f>
        <v>WR</v>
      </c>
      <c r="S31" t="str">
        <f>IF((Week+Half_Week-1)&gt;=VALUE(RIGHT(C31,LEN(C31)-SEARCH("-",C31))),LEFT(C31,SEARCH("-",C31)-1),"")</f>
        <v>lucas</v>
      </c>
    </row>
    <row r="32" spans="1:19" x14ac:dyDescent="0.25">
      <c r="A32" t="s">
        <v>119</v>
      </c>
      <c r="B32">
        <v>3</v>
      </c>
      <c r="C32" t="s">
        <v>1721</v>
      </c>
      <c r="D32" t="s">
        <v>471</v>
      </c>
      <c r="E32">
        <v>5</v>
      </c>
      <c r="G32">
        <v>5</v>
      </c>
      <c r="H32">
        <v>0</v>
      </c>
      <c r="I32">
        <v>0</v>
      </c>
      <c r="J32" t="s">
        <v>4271</v>
      </c>
      <c r="K32" t="str">
        <f t="shared" si="0"/>
        <v>Allen Robinson3</v>
      </c>
      <c r="L32" s="21" t="str">
        <f>IF(ISERROR(MATCH($A32,'F Proj'!$B$1:$B$7669,0)),IF(ISERROR(MATCH($A32,'D Proj'!$B$1:$B$513,0)),IF(ISERROR(MATCH($A32,'K Proj'!$B$1:$B$508,0)),"?","K"),"D"),"FLEX")</f>
        <v>FLEX</v>
      </c>
      <c r="M32" s="21">
        <f>MATCH(L32,Pos,0)</f>
        <v>1</v>
      </c>
      <c r="N32" s="21">
        <f>CHOOSE($M32,MATCH($A32&amp;$B32,'F Proj'!$P$1:$P$7669,0),MATCH($A32&amp;$B32,'D Proj'!$X$1:$X$513,0),MATCH($A32&amp;$B32,'K Proj'!$T$1:$T$508,0))</f>
        <v>1417</v>
      </c>
      <c r="O32">
        <f>CHOOSE(M32,INDEX('F Proj'!$D$1:$D$7669,N32),INDEX('D Proj'!$T$1:$T$513,N32),INDEX('K Proj'!$L$1:$L$508,N32))</f>
        <v>8.4</v>
      </c>
      <c r="P32">
        <f>CHOOSE(M32,INDEX('F Proj'!$J$1:$J$7669,N32),INDEX('D Proj'!$N$1:$N$513,N32),INDEX('K Proj'!$P$1:$P$508,N32))</f>
        <v>34.81</v>
      </c>
      <c r="Q32" t="str">
        <f t="shared" si="1"/>
        <v>WR</v>
      </c>
      <c r="R32" t="str">
        <f>IF(L32="FLEX",INDEX('F Proj'!$F$1:$F$7669,N32),Q32)</f>
        <v>WR</v>
      </c>
      <c r="S32" t="str">
        <f>IF((Week+Half_Week-1)&gt;=VALUE(RIGHT(C32,LEN(C32)-SEARCH("-",C32))),LEFT(C32,SEARCH("-",C32)-1),"")</f>
        <v>lucas</v>
      </c>
    </row>
    <row r="33" spans="1:19" x14ac:dyDescent="0.25">
      <c r="A33" t="s">
        <v>119</v>
      </c>
      <c r="B33">
        <v>4</v>
      </c>
      <c r="C33" t="s">
        <v>1722</v>
      </c>
      <c r="D33" t="s">
        <v>471</v>
      </c>
      <c r="E33">
        <v>8.3000000000000007</v>
      </c>
      <c r="G33">
        <v>8.3000000000000007</v>
      </c>
      <c r="H33">
        <v>0</v>
      </c>
      <c r="I33">
        <v>0</v>
      </c>
      <c r="J33" t="s">
        <v>4754</v>
      </c>
      <c r="K33" t="str">
        <f t="shared" si="0"/>
        <v>Allen Robinson4</v>
      </c>
      <c r="L33" s="21" t="str">
        <f>IF(ISERROR(MATCH($A33,'F Proj'!$B$1:$B$7669,0)),IF(ISERROR(MATCH($A33,'D Proj'!$B$1:$B$513,0)),IF(ISERROR(MATCH($A33,'K Proj'!$B$1:$B$508,0)),"?","K"),"D"),"FLEX")</f>
        <v>FLEX</v>
      </c>
      <c r="M33" s="21">
        <f>MATCH(L33,Pos,0)</f>
        <v>1</v>
      </c>
      <c r="N33" s="21">
        <f>CHOOSE($M33,MATCH($A33&amp;$B33,'F Proj'!$P$1:$P$7669,0),MATCH($A33&amp;$B33,'D Proj'!$X$1:$X$513,0),MATCH($A33&amp;$B33,'K Proj'!$T$1:$T$508,0))</f>
        <v>1617</v>
      </c>
      <c r="O33">
        <f>CHOOSE(M33,INDEX('F Proj'!$D$1:$D$7669,N33),INDEX('D Proj'!$T$1:$T$513,N33),INDEX('K Proj'!$L$1:$L$508,N33))</f>
        <v>7.7</v>
      </c>
      <c r="P33">
        <f>CHOOSE(M33,INDEX('F Proj'!$J$1:$J$7669,N33),INDEX('D Proj'!$N$1:$N$513,N33),INDEX('K Proj'!$P$1:$P$508,N33))</f>
        <v>26.01</v>
      </c>
      <c r="Q33" t="str">
        <f t="shared" si="1"/>
        <v>WR</v>
      </c>
      <c r="R33" t="str">
        <f>IF(L33="FLEX",INDEX('F Proj'!$F$1:$F$7669,N33),Q33)</f>
        <v>WR</v>
      </c>
      <c r="S33" t="str">
        <f>IF((Week+Half_Week-1)&gt;=VALUE(RIGHT(C33,LEN(C33)-SEARCH("-",C33))),LEFT(C33,SEARCH("-",C33)-1),"")</f>
        <v>lucas</v>
      </c>
    </row>
    <row r="34" spans="1:19" x14ac:dyDescent="0.25">
      <c r="A34" t="s">
        <v>126</v>
      </c>
      <c r="B34">
        <v>5</v>
      </c>
      <c r="C34" t="s">
        <v>885</v>
      </c>
      <c r="D34" t="s">
        <v>473</v>
      </c>
      <c r="E34" t="s">
        <v>8947</v>
      </c>
      <c r="G34">
        <v>9.19</v>
      </c>
      <c r="H34">
        <v>7.24</v>
      </c>
      <c r="I34">
        <v>52.4176</v>
      </c>
      <c r="J34" t="s">
        <v>8954</v>
      </c>
      <c r="K34" t="str">
        <f t="shared" si="0"/>
        <v>Alshon Jeffery5</v>
      </c>
      <c r="L34" s="21" t="str">
        <f>IF(ISERROR(MATCH($A34,'F Proj'!$B$1:$B$7669,0)),IF(ISERROR(MATCH($A34,'D Proj'!$B$1:$B$513,0)),IF(ISERROR(MATCH($A34,'K Proj'!$B$1:$B$508,0)),"?","K"),"D"),"FLEX")</f>
        <v>FLEX</v>
      </c>
      <c r="M34" s="21">
        <f>MATCH(L34,Pos,0)</f>
        <v>1</v>
      </c>
      <c r="N34" s="21">
        <f>CHOOSE($M34,MATCH($A34&amp;$B34,'F Proj'!$P$1:$P$7669,0),MATCH($A34&amp;$B34,'D Proj'!$X$1:$X$513,0),MATCH($A34&amp;$B34,'K Proj'!$T$1:$T$508,0))</f>
        <v>1236</v>
      </c>
      <c r="O34">
        <f>CHOOSE(M34,INDEX('F Proj'!$D$1:$D$7669,N34),INDEX('D Proj'!$T$1:$T$513,N34),INDEX('K Proj'!$L$1:$L$508,N34))</f>
        <v>9.19</v>
      </c>
      <c r="P34">
        <f>CHOOSE(M34,INDEX('F Proj'!$J$1:$J$7669,N34),INDEX('D Proj'!$N$1:$N$513,N34),INDEX('K Proj'!$P$1:$P$508,N34))</f>
        <v>52.4176</v>
      </c>
      <c r="Q34" t="str">
        <f t="shared" si="1"/>
        <v>WR</v>
      </c>
      <c r="R34" t="str">
        <f>IF(L34="FLEX",INDEX('F Proj'!$F$1:$F$7669,N34),Q34)</f>
        <v>WR</v>
      </c>
      <c r="S34" t="str">
        <f>IF((Week+Half_Week-1)&gt;=VALUE(RIGHT(C34,LEN(C34)-SEARCH("-",C34))),LEFT(C34,SEARCH("-",C34)-1),"")</f>
        <v/>
      </c>
    </row>
    <row r="35" spans="1:19" x14ac:dyDescent="0.25">
      <c r="A35" t="s">
        <v>257</v>
      </c>
      <c r="B35">
        <v>1</v>
      </c>
      <c r="C35" t="s">
        <v>507</v>
      </c>
      <c r="D35" t="s">
        <v>468</v>
      </c>
      <c r="E35">
        <v>34.1</v>
      </c>
      <c r="G35">
        <v>34.1</v>
      </c>
      <c r="H35">
        <v>0</v>
      </c>
      <c r="I35">
        <v>0</v>
      </c>
      <c r="J35" t="s">
        <v>535</v>
      </c>
      <c r="K35" t="str">
        <f t="shared" si="0"/>
        <v>Alvin Kamara1</v>
      </c>
      <c r="L35" s="21" t="str">
        <f>IF(ISERROR(MATCH($A35,'F Proj'!$B$1:$B$7669,0)),IF(ISERROR(MATCH($A35,'D Proj'!$B$1:$B$513,0)),IF(ISERROR(MATCH($A35,'K Proj'!$B$1:$B$508,0)),"?","K"),"D"),"FLEX")</f>
        <v>FLEX</v>
      </c>
      <c r="M35" s="21">
        <f>MATCH(L35,Pos,0)</f>
        <v>1</v>
      </c>
      <c r="N35" s="21">
        <f>CHOOSE($M35,MATCH($A35&amp;$B35,'F Proj'!$P$1:$P$7669,0),MATCH($A35&amp;$B35,'D Proj'!$X$1:$X$513,0),MATCH($A35&amp;$B35,'K Proj'!$T$1:$T$508,0))</f>
        <v>191</v>
      </c>
      <c r="O35">
        <f>CHOOSE(M35,INDEX('F Proj'!$D$1:$D$7669,N35),INDEX('D Proj'!$T$1:$T$513,N35),INDEX('K Proj'!$L$1:$L$508,N35))</f>
        <v>19.29</v>
      </c>
      <c r="P35">
        <f>CHOOSE(M35,INDEX('F Proj'!$J$1:$J$7669,N35),INDEX('D Proj'!$N$1:$N$513,N35),INDEX('K Proj'!$P$1:$P$508,N35))</f>
        <v>66.259600000000006</v>
      </c>
      <c r="Q35" t="str">
        <f t="shared" si="1"/>
        <v>RB</v>
      </c>
      <c r="R35" t="str">
        <f>IF(L35="FLEX",INDEX('F Proj'!$F$1:$F$7669,N35),Q35)</f>
        <v>RB</v>
      </c>
      <c r="S35" t="str">
        <f>IF((Week+Half_Week-1)&gt;=VALUE(RIGHT(C35,LEN(C35)-SEARCH("-",C35))),LEFT(C35,SEARCH("-",C35)-1),"")</f>
        <v>aj</v>
      </c>
    </row>
    <row r="36" spans="1:19" x14ac:dyDescent="0.25">
      <c r="A36" t="s">
        <v>257</v>
      </c>
      <c r="B36">
        <v>2</v>
      </c>
      <c r="C36" t="s">
        <v>625</v>
      </c>
      <c r="D36" t="s">
        <v>468</v>
      </c>
      <c r="E36">
        <v>11.9</v>
      </c>
      <c r="G36">
        <v>11.9</v>
      </c>
      <c r="H36">
        <v>0</v>
      </c>
      <c r="I36">
        <v>0</v>
      </c>
      <c r="J36" t="s">
        <v>657</v>
      </c>
      <c r="K36" t="str">
        <f t="shared" si="0"/>
        <v>Alvin Kamara2</v>
      </c>
      <c r="L36" s="21" t="str">
        <f>IF(ISERROR(MATCH($A36,'F Proj'!$B$1:$B$7669,0)),IF(ISERROR(MATCH($A36,'D Proj'!$B$1:$B$513,0)),IF(ISERROR(MATCH($A36,'K Proj'!$B$1:$B$508,0)),"?","K"),"D"),"FLEX")</f>
        <v>FLEX</v>
      </c>
      <c r="M36" s="21">
        <f>MATCH(L36,Pos,0)</f>
        <v>1</v>
      </c>
      <c r="N36" s="21">
        <f>CHOOSE($M36,MATCH($A36&amp;$B36,'F Proj'!$P$1:$P$7669,0),MATCH($A36&amp;$B36,'D Proj'!$X$1:$X$513,0),MATCH($A36&amp;$B36,'K Proj'!$T$1:$T$508,0))</f>
        <v>247</v>
      </c>
      <c r="O36">
        <f>CHOOSE(M36,INDEX('F Proj'!$D$1:$D$7669,N36),INDEX('D Proj'!$T$1:$T$513,N36),INDEX('K Proj'!$L$1:$L$508,N36))</f>
        <v>18.489999999999998</v>
      </c>
      <c r="P36">
        <f>CHOOSE(M36,INDEX('F Proj'!$J$1:$J$7669,N36),INDEX('D Proj'!$N$1:$N$513,N36),INDEX('K Proj'!$P$1:$P$508,N36))</f>
        <v>72.590400000000002</v>
      </c>
      <c r="Q36" t="str">
        <f t="shared" si="1"/>
        <v>RB</v>
      </c>
      <c r="R36" t="str">
        <f>IF(L36="FLEX",INDEX('F Proj'!$F$1:$F$7669,N36),Q36)</f>
        <v>RB</v>
      </c>
      <c r="S36" t="str">
        <f>IF((Week+Half_Week-1)&gt;=VALUE(RIGHT(C36,LEN(C36)-SEARCH("-",C36))),LEFT(C36,SEARCH("-",C36)-1),"")</f>
        <v>aj</v>
      </c>
    </row>
    <row r="37" spans="1:19" x14ac:dyDescent="0.25">
      <c r="A37" t="s">
        <v>257</v>
      </c>
      <c r="B37">
        <v>3</v>
      </c>
      <c r="C37" t="s">
        <v>806</v>
      </c>
      <c r="D37" t="s">
        <v>468</v>
      </c>
      <c r="E37">
        <v>19</v>
      </c>
      <c r="G37">
        <v>19</v>
      </c>
      <c r="H37">
        <v>0</v>
      </c>
      <c r="I37">
        <v>0</v>
      </c>
      <c r="J37" t="s">
        <v>4272</v>
      </c>
      <c r="K37" t="str">
        <f t="shared" si="0"/>
        <v>Alvin Kamara3</v>
      </c>
      <c r="L37" s="21" t="str">
        <f>IF(ISERROR(MATCH($A37,'F Proj'!$B$1:$B$7669,0)),IF(ISERROR(MATCH($A37,'D Proj'!$B$1:$B$513,0)),IF(ISERROR(MATCH($A37,'K Proj'!$B$1:$B$508,0)),"?","K"),"D"),"FLEX")</f>
        <v>FLEX</v>
      </c>
      <c r="M37" s="21">
        <f>MATCH(L37,Pos,0)</f>
        <v>1</v>
      </c>
      <c r="N37" s="21">
        <f>CHOOSE($M37,MATCH($A37&amp;$B37,'F Proj'!$P$1:$P$7669,0),MATCH($A37&amp;$B37,'D Proj'!$X$1:$X$513,0),MATCH($A37&amp;$B37,'K Proj'!$T$1:$T$508,0))</f>
        <v>391</v>
      </c>
      <c r="O37">
        <f>CHOOSE(M37,INDEX('F Proj'!$D$1:$D$7669,N37),INDEX('D Proj'!$T$1:$T$513,N37),INDEX('K Proj'!$L$1:$L$508,N37))</f>
        <v>16.059999999999999</v>
      </c>
      <c r="P37">
        <f>CHOOSE(M37,INDEX('F Proj'!$J$1:$J$7669,N37),INDEX('D Proj'!$N$1:$N$513,N37),INDEX('K Proj'!$P$1:$P$508,N37))</f>
        <v>76.212900000000005</v>
      </c>
      <c r="Q37" t="str">
        <f t="shared" si="1"/>
        <v>RB</v>
      </c>
      <c r="R37" t="str">
        <f>IF(L37="FLEX",INDEX('F Proj'!$F$1:$F$7669,N37),Q37)</f>
        <v>RB</v>
      </c>
      <c r="S37" t="str">
        <f>IF((Week+Half_Week-1)&gt;=VALUE(RIGHT(C37,LEN(C37)-SEARCH("-",C37))),LEFT(C37,SEARCH("-",C37)-1),"")</f>
        <v>aj</v>
      </c>
    </row>
    <row r="38" spans="1:19" x14ac:dyDescent="0.25">
      <c r="A38" t="s">
        <v>257</v>
      </c>
      <c r="B38">
        <v>4</v>
      </c>
      <c r="C38" t="s">
        <v>866</v>
      </c>
      <c r="D38" t="s">
        <v>468</v>
      </c>
      <c r="E38">
        <v>36.1</v>
      </c>
      <c r="G38">
        <v>36.1</v>
      </c>
      <c r="H38">
        <v>0</v>
      </c>
      <c r="I38">
        <v>0</v>
      </c>
      <c r="J38" t="s">
        <v>4755</v>
      </c>
      <c r="K38" t="str">
        <f t="shared" si="0"/>
        <v>Alvin Kamara4</v>
      </c>
      <c r="L38" s="21" t="str">
        <f>IF(ISERROR(MATCH($A38,'F Proj'!$B$1:$B$7669,0)),IF(ISERROR(MATCH($A38,'D Proj'!$B$1:$B$513,0)),IF(ISERROR(MATCH($A38,'K Proj'!$B$1:$B$508,0)),"?","K"),"D"),"FLEX")</f>
        <v>FLEX</v>
      </c>
      <c r="M38" s="21">
        <f>MATCH(L38,Pos,0)</f>
        <v>1</v>
      </c>
      <c r="N38" s="21">
        <f>CHOOSE($M38,MATCH($A38&amp;$B38,'F Proj'!$P$1:$P$7669,0),MATCH($A38&amp;$B38,'D Proj'!$X$1:$X$513,0),MATCH($A38&amp;$B38,'K Proj'!$T$1:$T$508,0))</f>
        <v>293</v>
      </c>
      <c r="O38">
        <f>CHOOSE(M38,INDEX('F Proj'!$D$1:$D$7669,N38),INDEX('D Proj'!$T$1:$T$513,N38),INDEX('K Proj'!$L$1:$L$508,N38))</f>
        <v>17.7</v>
      </c>
      <c r="P38">
        <f>CHOOSE(M38,INDEX('F Proj'!$J$1:$J$7669,N38),INDEX('D Proj'!$N$1:$N$513,N38),INDEX('K Proj'!$P$1:$P$508,N38))</f>
        <v>60.528399999999998</v>
      </c>
      <c r="Q38" t="str">
        <f t="shared" si="1"/>
        <v>RB</v>
      </c>
      <c r="R38" t="str">
        <f>IF(L38="FLEX",INDEX('F Proj'!$F$1:$F$7669,N38),Q38)</f>
        <v>RB</v>
      </c>
      <c r="S38" t="str">
        <f>IF((Week+Half_Week-1)&gt;=VALUE(RIGHT(C38,LEN(C38)-SEARCH("-",C38))),LEFT(C38,SEARCH("-",C38)-1),"")</f>
        <v>aj</v>
      </c>
    </row>
    <row r="39" spans="1:19" x14ac:dyDescent="0.25">
      <c r="A39" t="s">
        <v>257</v>
      </c>
      <c r="B39">
        <v>5</v>
      </c>
      <c r="C39" t="s">
        <v>890</v>
      </c>
      <c r="D39" t="s">
        <v>469</v>
      </c>
      <c r="E39" t="s">
        <v>8947</v>
      </c>
      <c r="G39">
        <v>17.45</v>
      </c>
      <c r="H39">
        <v>8.42</v>
      </c>
      <c r="I39">
        <v>70.8964</v>
      </c>
      <c r="J39" t="s">
        <v>9007</v>
      </c>
      <c r="K39" t="str">
        <f t="shared" si="0"/>
        <v>Alvin Kamara5</v>
      </c>
      <c r="L39" s="21" t="str">
        <f>IF(ISERROR(MATCH($A39,'F Proj'!$B$1:$B$7669,0)),IF(ISERROR(MATCH($A39,'D Proj'!$B$1:$B$513,0)),IF(ISERROR(MATCH($A39,'K Proj'!$B$1:$B$508,0)),"?","K"),"D"),"FLEX")</f>
        <v>FLEX</v>
      </c>
      <c r="M39" s="21">
        <f>MATCH(L39,Pos,0)</f>
        <v>1</v>
      </c>
      <c r="N39" s="21">
        <f>CHOOSE($M39,MATCH($A39&amp;$B39,'F Proj'!$P$1:$P$7669,0),MATCH($A39&amp;$B39,'D Proj'!$X$1:$X$513,0),MATCH($A39&amp;$B39,'K Proj'!$T$1:$T$508,0))</f>
        <v>307</v>
      </c>
      <c r="O39">
        <f>CHOOSE(M39,INDEX('F Proj'!$D$1:$D$7669,N39),INDEX('D Proj'!$T$1:$T$513,N39),INDEX('K Proj'!$L$1:$L$508,N39))</f>
        <v>17.45</v>
      </c>
      <c r="P39">
        <f>CHOOSE(M39,INDEX('F Proj'!$J$1:$J$7669,N39),INDEX('D Proj'!$N$1:$N$513,N39),INDEX('K Proj'!$P$1:$P$508,N39))</f>
        <v>70.8964</v>
      </c>
      <c r="Q39" t="str">
        <f t="shared" si="1"/>
        <v>RB</v>
      </c>
      <c r="R39" t="str">
        <f>IF(L39="FLEX",INDEX('F Proj'!$F$1:$F$7669,N39),Q39)</f>
        <v>RB</v>
      </c>
      <c r="S39" t="str">
        <f>IF((Week+Half_Week-1)&gt;=VALUE(RIGHT(C39,LEN(C39)-SEARCH("-",C39))),LEFT(C39,SEARCH("-",C39)-1),"")</f>
        <v/>
      </c>
    </row>
    <row r="40" spans="1:19" x14ac:dyDescent="0.25">
      <c r="A40" t="s">
        <v>103</v>
      </c>
      <c r="B40">
        <v>1</v>
      </c>
      <c r="C40" t="s">
        <v>506</v>
      </c>
      <c r="D40" t="s">
        <v>473</v>
      </c>
      <c r="E40">
        <v>1.8</v>
      </c>
      <c r="G40">
        <v>1.8</v>
      </c>
      <c r="H40">
        <v>0</v>
      </c>
      <c r="I40">
        <v>0</v>
      </c>
      <c r="J40" t="s">
        <v>518</v>
      </c>
      <c r="K40" t="str">
        <f t="shared" si="0"/>
        <v>Amari Cooper1</v>
      </c>
      <c r="L40" s="21" t="str">
        <f>IF(ISERROR(MATCH($A40,'F Proj'!$B$1:$B$7669,0)),IF(ISERROR(MATCH($A40,'D Proj'!$B$1:$B$513,0)),IF(ISERROR(MATCH($A40,'K Proj'!$B$1:$B$508,0)),"?","K"),"D"),"FLEX")</f>
        <v>FLEX</v>
      </c>
      <c r="M40" s="21">
        <f>MATCH(L40,Pos,0)</f>
        <v>1</v>
      </c>
      <c r="N40" s="21">
        <f>CHOOSE($M40,MATCH($A40&amp;$B40,'F Proj'!$P$1:$P$7669,0),MATCH($A40&amp;$B40,'D Proj'!$X$1:$X$513,0),MATCH($A40&amp;$B40,'K Proj'!$T$1:$T$508,0))</f>
        <v>1430</v>
      </c>
      <c r="O40">
        <f>CHOOSE(M40,INDEX('F Proj'!$D$1:$D$7669,N40),INDEX('D Proj'!$T$1:$T$513,N40),INDEX('K Proj'!$L$1:$L$508,N40))</f>
        <v>8.35</v>
      </c>
      <c r="P40">
        <f>CHOOSE(M40,INDEX('F Proj'!$J$1:$J$7669,N40),INDEX('D Proj'!$N$1:$N$513,N40),INDEX('K Proj'!$P$1:$P$508,N40))</f>
        <v>60.528399999999998</v>
      </c>
      <c r="Q40" t="str">
        <f t="shared" si="1"/>
        <v>WR</v>
      </c>
      <c r="R40" t="str">
        <f>IF(L40="FLEX",INDEX('F Proj'!$F$1:$F$7669,N40),Q40)</f>
        <v>WR</v>
      </c>
      <c r="S40" t="str">
        <f>IF((Week+Half_Week-1)&gt;=VALUE(RIGHT(C40,LEN(C40)-SEARCH("-",C40))),LEFT(C40,SEARCH("-",C40)-1),"")</f>
        <v>comp</v>
      </c>
    </row>
    <row r="41" spans="1:19" x14ac:dyDescent="0.25">
      <c r="A41" t="s">
        <v>103</v>
      </c>
      <c r="B41">
        <v>3</v>
      </c>
      <c r="C41" t="s">
        <v>805</v>
      </c>
      <c r="D41" t="s">
        <v>466</v>
      </c>
      <c r="E41">
        <v>1.7</v>
      </c>
      <c r="G41">
        <v>1.7</v>
      </c>
      <c r="H41">
        <v>0</v>
      </c>
      <c r="I41">
        <v>0</v>
      </c>
      <c r="J41" t="s">
        <v>4273</v>
      </c>
      <c r="K41" t="str">
        <f t="shared" si="0"/>
        <v>Amari Cooper3</v>
      </c>
      <c r="L41" s="21" t="str">
        <f>IF(ISERROR(MATCH($A41,'F Proj'!$B$1:$B$7669,0)),IF(ISERROR(MATCH($A41,'D Proj'!$B$1:$B$513,0)),IF(ISERROR(MATCH($A41,'K Proj'!$B$1:$B$508,0)),"?","K"),"D"),"FLEX")</f>
        <v>FLEX</v>
      </c>
      <c r="M41" s="21">
        <f>MATCH(L41,Pos,0)</f>
        <v>1</v>
      </c>
      <c r="N41" s="21">
        <f>CHOOSE($M41,MATCH($A41&amp;$B41,'F Proj'!$P$1:$P$7669,0),MATCH($A41&amp;$B41,'D Proj'!$X$1:$X$513,0),MATCH($A41&amp;$B41,'K Proj'!$T$1:$T$508,0))</f>
        <v>1453</v>
      </c>
      <c r="O41">
        <f>CHOOSE(M41,INDEX('F Proj'!$D$1:$D$7669,N41),INDEX('D Proj'!$T$1:$T$513,N41),INDEX('K Proj'!$L$1:$L$508,N41))</f>
        <v>8.25</v>
      </c>
      <c r="P41">
        <f>CHOOSE(M41,INDEX('F Proj'!$J$1:$J$7669,N41),INDEX('D Proj'!$N$1:$N$513,N41),INDEX('K Proj'!$P$1:$P$508,N41))</f>
        <v>52.4176</v>
      </c>
      <c r="Q41" t="str">
        <f t="shared" si="1"/>
        <v>WR/RB</v>
      </c>
      <c r="R41" t="str">
        <f>IF(L41="FLEX",INDEX('F Proj'!$F$1:$F$7669,N41),Q41)</f>
        <v>WR</v>
      </c>
      <c r="S41" t="str">
        <f>IF((Week+Half_Week-1)&gt;=VALUE(RIGHT(C41,LEN(C41)-SEARCH("-",C41))),LEFT(C41,SEARCH("-",C41)-1),"")</f>
        <v>comp</v>
      </c>
    </row>
    <row r="42" spans="1:19" x14ac:dyDescent="0.25">
      <c r="A42" t="s">
        <v>103</v>
      </c>
      <c r="B42">
        <v>5</v>
      </c>
      <c r="C42" t="s">
        <v>887</v>
      </c>
      <c r="D42" t="s">
        <v>466</v>
      </c>
      <c r="E42" t="s">
        <v>8947</v>
      </c>
      <c r="G42">
        <v>9.01</v>
      </c>
      <c r="H42">
        <v>6.08</v>
      </c>
      <c r="I42">
        <v>36.9664</v>
      </c>
      <c r="J42" t="s">
        <v>8958</v>
      </c>
      <c r="K42" t="str">
        <f t="shared" si="0"/>
        <v>Amari Cooper5</v>
      </c>
      <c r="L42" s="21" t="str">
        <f>IF(ISERROR(MATCH($A42,'F Proj'!$B$1:$B$7669,0)),IF(ISERROR(MATCH($A42,'D Proj'!$B$1:$B$513,0)),IF(ISERROR(MATCH($A42,'K Proj'!$B$1:$B$508,0)),"?","K"),"D"),"FLEX")</f>
        <v>FLEX</v>
      </c>
      <c r="M42" s="21">
        <f>MATCH(L42,Pos,0)</f>
        <v>1</v>
      </c>
      <c r="N42" s="21">
        <f>CHOOSE($M42,MATCH($A42&amp;$B42,'F Proj'!$P$1:$P$7669,0),MATCH($A42&amp;$B42,'D Proj'!$X$1:$X$513,0),MATCH($A42&amp;$B42,'K Proj'!$T$1:$T$508,0))</f>
        <v>1268</v>
      </c>
      <c r="O42">
        <f>CHOOSE(M42,INDEX('F Proj'!$D$1:$D$7669,N42),INDEX('D Proj'!$T$1:$T$513,N42),INDEX('K Proj'!$L$1:$L$508,N42))</f>
        <v>9.01</v>
      </c>
      <c r="P42">
        <f>CHOOSE(M42,INDEX('F Proj'!$J$1:$J$7669,N42),INDEX('D Proj'!$N$1:$N$513,N42),INDEX('K Proj'!$P$1:$P$508,N42))</f>
        <v>36.9664</v>
      </c>
      <c r="Q42" t="str">
        <f t="shared" si="1"/>
        <v>WR/RB</v>
      </c>
      <c r="R42" t="str">
        <f>IF(L42="FLEX",INDEX('F Proj'!$F$1:$F$7669,N42),Q42)</f>
        <v>WR</v>
      </c>
      <c r="S42" t="str">
        <f>IF((Week+Half_Week-1)&gt;=VALUE(RIGHT(C42,LEN(C42)-SEARCH("-",C42))),LEFT(C42,SEARCH("-",C42)-1),"")</f>
        <v/>
      </c>
    </row>
    <row r="43" spans="1:19" x14ac:dyDescent="0.25">
      <c r="A43" t="s">
        <v>33</v>
      </c>
      <c r="B43">
        <v>1</v>
      </c>
      <c r="C43" t="s">
        <v>506</v>
      </c>
      <c r="D43" t="s">
        <v>467</v>
      </c>
      <c r="E43">
        <v>19.5</v>
      </c>
      <c r="G43">
        <v>19.5</v>
      </c>
      <c r="H43">
        <v>0</v>
      </c>
      <c r="I43">
        <v>0</v>
      </c>
      <c r="J43" t="s">
        <v>558</v>
      </c>
      <c r="K43" t="str">
        <f t="shared" si="0"/>
        <v>Andrew Luck1</v>
      </c>
      <c r="L43" s="21" t="str">
        <f>IF(ISERROR(MATCH($A43,'F Proj'!$B$1:$B$7669,0)),IF(ISERROR(MATCH($A43,'D Proj'!$B$1:$B$513,0)),IF(ISERROR(MATCH($A43,'K Proj'!$B$1:$B$508,0)),"?","K"),"D"),"FLEX")</f>
        <v>FLEX</v>
      </c>
      <c r="M43" s="21">
        <f>MATCH(L43,Pos,0)</f>
        <v>1</v>
      </c>
      <c r="N43" s="21">
        <f>CHOOSE($M43,MATCH($A43&amp;$B43,'F Proj'!$P$1:$P$7669,0),MATCH($A43&amp;$B43,'D Proj'!$X$1:$X$513,0),MATCH($A43&amp;$B43,'K Proj'!$T$1:$T$508,0))</f>
        <v>275</v>
      </c>
      <c r="O43">
        <f>CHOOSE(M43,INDEX('F Proj'!$D$1:$D$7669,N43),INDEX('D Proj'!$T$1:$T$513,N43),INDEX('K Proj'!$L$1:$L$508,N43))</f>
        <v>18.05</v>
      </c>
      <c r="P43">
        <f>CHOOSE(M43,INDEX('F Proj'!$J$1:$J$7669,N43),INDEX('D Proj'!$N$1:$N$513,N43),INDEX('K Proj'!$P$1:$P$508,N43))</f>
        <v>54.76</v>
      </c>
      <c r="Q43" t="str">
        <f t="shared" si="1"/>
        <v>QB</v>
      </c>
      <c r="R43" t="str">
        <f>IF(L43="FLEX",INDEX('F Proj'!$F$1:$F$7669,N43),Q43)</f>
        <v>QB</v>
      </c>
      <c r="S43" t="str">
        <f>IF((Week+Half_Week-1)&gt;=VALUE(RIGHT(C43,LEN(C43)-SEARCH("-",C43))),LEFT(C43,SEARCH("-",C43)-1),"")</f>
        <v>comp</v>
      </c>
    </row>
    <row r="44" spans="1:19" x14ac:dyDescent="0.25">
      <c r="A44" t="s">
        <v>33</v>
      </c>
      <c r="B44">
        <v>2</v>
      </c>
      <c r="C44" t="s">
        <v>623</v>
      </c>
      <c r="D44" t="s">
        <v>467</v>
      </c>
      <c r="E44">
        <v>11.4</v>
      </c>
      <c r="G44">
        <v>11.4</v>
      </c>
      <c r="H44">
        <v>0</v>
      </c>
      <c r="I44">
        <v>0</v>
      </c>
      <c r="J44" t="s">
        <v>676</v>
      </c>
      <c r="K44" t="str">
        <f t="shared" si="0"/>
        <v>Andrew Luck2</v>
      </c>
      <c r="L44" s="21" t="str">
        <f>IF(ISERROR(MATCH($A44,'F Proj'!$B$1:$B$7669,0)),IF(ISERROR(MATCH($A44,'D Proj'!$B$1:$B$513,0)),IF(ISERROR(MATCH($A44,'K Proj'!$B$1:$B$508,0)),"?","K"),"D"),"FLEX")</f>
        <v>FLEX</v>
      </c>
      <c r="M44" s="21">
        <f>MATCH(L44,Pos,0)</f>
        <v>1</v>
      </c>
      <c r="N44" s="21">
        <f>CHOOSE($M44,MATCH($A44&amp;$B44,'F Proj'!$P$1:$P$7669,0),MATCH($A44&amp;$B44,'D Proj'!$X$1:$X$513,0),MATCH($A44&amp;$B44,'K Proj'!$T$1:$T$508,0))</f>
        <v>406</v>
      </c>
      <c r="O44">
        <f>CHOOSE(M44,INDEX('F Proj'!$D$1:$D$7669,N44),INDEX('D Proj'!$T$1:$T$513,N44),INDEX('K Proj'!$L$1:$L$508,N44))</f>
        <v>15.88</v>
      </c>
      <c r="P44">
        <f>CHOOSE(M44,INDEX('F Proj'!$J$1:$J$7669,N44),INDEX('D Proj'!$N$1:$N$513,N44),INDEX('K Proj'!$P$1:$P$508,N44))</f>
        <v>77.44</v>
      </c>
      <c r="Q44" t="str">
        <f t="shared" si="1"/>
        <v>QB</v>
      </c>
      <c r="R44" t="str">
        <f>IF(L44="FLEX",INDEX('F Proj'!$F$1:$F$7669,N44),Q44)</f>
        <v>QB</v>
      </c>
      <c r="S44" t="str">
        <f>IF((Week+Half_Week-1)&gt;=VALUE(RIGHT(C44,LEN(C44)-SEARCH("-",C44))),LEFT(C44,SEARCH("-",C44)-1),"")</f>
        <v>comp</v>
      </c>
    </row>
    <row r="45" spans="1:19" x14ac:dyDescent="0.25">
      <c r="A45" t="s">
        <v>33</v>
      </c>
      <c r="B45">
        <v>3</v>
      </c>
      <c r="C45" t="s">
        <v>805</v>
      </c>
      <c r="D45" t="s">
        <v>467</v>
      </c>
      <c r="E45">
        <v>13.9</v>
      </c>
      <c r="G45">
        <v>13.9</v>
      </c>
      <c r="H45">
        <v>0</v>
      </c>
      <c r="I45">
        <v>0</v>
      </c>
      <c r="J45" t="s">
        <v>4274</v>
      </c>
      <c r="K45" t="str">
        <f t="shared" si="0"/>
        <v>Andrew Luck3</v>
      </c>
      <c r="L45" s="21" t="str">
        <f>IF(ISERROR(MATCH($A45,'F Proj'!$B$1:$B$7669,0)),IF(ISERROR(MATCH($A45,'D Proj'!$B$1:$B$513,0)),IF(ISERROR(MATCH($A45,'K Proj'!$B$1:$B$508,0)),"?","K"),"D"),"FLEX")</f>
        <v>FLEX</v>
      </c>
      <c r="M45" s="21">
        <f>MATCH(L45,Pos,0)</f>
        <v>1</v>
      </c>
      <c r="N45" s="21">
        <f>CHOOSE($M45,MATCH($A45&amp;$B45,'F Proj'!$P$1:$P$7669,0),MATCH($A45&amp;$B45,'D Proj'!$X$1:$X$513,0),MATCH($A45&amp;$B45,'K Proj'!$T$1:$T$508,0))</f>
        <v>550</v>
      </c>
      <c r="O45">
        <f>CHOOSE(M45,INDEX('F Proj'!$D$1:$D$7669,N45),INDEX('D Proj'!$T$1:$T$513,N45),INDEX('K Proj'!$L$1:$L$508,N45))</f>
        <v>14.26</v>
      </c>
      <c r="P45">
        <f>CHOOSE(M45,INDEX('F Proj'!$J$1:$J$7669,N45),INDEX('D Proj'!$N$1:$N$513,N45),INDEX('K Proj'!$P$1:$P$508,N45))</f>
        <v>57.002499999999998</v>
      </c>
      <c r="Q45" t="str">
        <f t="shared" si="1"/>
        <v>QB</v>
      </c>
      <c r="R45" t="str">
        <f>IF(L45="FLEX",INDEX('F Proj'!$F$1:$F$7669,N45),Q45)</f>
        <v>QB</v>
      </c>
      <c r="S45" t="str">
        <f>IF((Week+Half_Week-1)&gt;=VALUE(RIGHT(C45,LEN(C45)-SEARCH("-",C45))),LEFT(C45,SEARCH("-",C45)-1),"")</f>
        <v>comp</v>
      </c>
    </row>
    <row r="46" spans="1:19" x14ac:dyDescent="0.25">
      <c r="A46" t="s">
        <v>96</v>
      </c>
      <c r="B46">
        <v>1</v>
      </c>
      <c r="C46" t="s">
        <v>506</v>
      </c>
      <c r="D46" t="s">
        <v>471</v>
      </c>
      <c r="E46">
        <v>15.3</v>
      </c>
      <c r="G46">
        <v>15.3</v>
      </c>
      <c r="H46">
        <v>0</v>
      </c>
      <c r="I46">
        <v>0</v>
      </c>
      <c r="J46" t="s">
        <v>532</v>
      </c>
      <c r="K46" t="str">
        <f t="shared" si="0"/>
        <v>Antonio Brown1</v>
      </c>
      <c r="L46" s="21" t="str">
        <f>IF(ISERROR(MATCH($A46,'F Proj'!$B$1:$B$7669,0)),IF(ISERROR(MATCH($A46,'D Proj'!$B$1:$B$513,0)),IF(ISERROR(MATCH($A46,'K Proj'!$B$1:$B$508,0)),"?","K"),"D"),"FLEX")</f>
        <v>FLEX</v>
      </c>
      <c r="M46" s="21">
        <f>MATCH(L46,Pos,0)</f>
        <v>1</v>
      </c>
      <c r="N46" s="21">
        <f>CHOOSE($M46,MATCH($A46&amp;$B46,'F Proj'!$P$1:$P$7669,0),MATCH($A46&amp;$B46,'D Proj'!$X$1:$X$513,0),MATCH($A46&amp;$B46,'K Proj'!$T$1:$T$508,0))</f>
        <v>697</v>
      </c>
      <c r="O46">
        <f>CHOOSE(M46,INDEX('F Proj'!$D$1:$D$7669,N46),INDEX('D Proj'!$T$1:$T$513,N46),INDEX('K Proj'!$L$1:$L$508,N46))</f>
        <v>12.94</v>
      </c>
      <c r="P46">
        <f>CHOOSE(M46,INDEX('F Proj'!$J$1:$J$7669,N46),INDEX('D Proj'!$N$1:$N$513,N46),INDEX('K Proj'!$P$1:$P$508,N46))</f>
        <v>54.612099999999998</v>
      </c>
      <c r="Q46" t="str">
        <f t="shared" si="1"/>
        <v>WR</v>
      </c>
      <c r="R46" t="str">
        <f>IF(L46="FLEX",INDEX('F Proj'!$F$1:$F$7669,N46),Q46)</f>
        <v>WR</v>
      </c>
      <c r="S46" t="str">
        <f>IF((Week+Half_Week-1)&gt;=VALUE(RIGHT(C46,LEN(C46)-SEARCH("-",C46))),LEFT(C46,SEARCH("-",C46)-1),"")</f>
        <v>comp</v>
      </c>
    </row>
    <row r="47" spans="1:19" x14ac:dyDescent="0.25">
      <c r="A47" t="s">
        <v>96</v>
      </c>
      <c r="B47">
        <v>2</v>
      </c>
      <c r="C47" t="s">
        <v>623</v>
      </c>
      <c r="D47" t="s">
        <v>471</v>
      </c>
      <c r="E47">
        <v>6.7</v>
      </c>
      <c r="G47">
        <v>6.7</v>
      </c>
      <c r="H47">
        <v>0</v>
      </c>
      <c r="I47">
        <v>0</v>
      </c>
      <c r="J47" t="s">
        <v>627</v>
      </c>
      <c r="K47" t="str">
        <f t="shared" si="0"/>
        <v>Antonio Brown2</v>
      </c>
      <c r="L47" s="21" t="str">
        <f>IF(ISERROR(MATCH($A47,'F Proj'!$B$1:$B$7669,0)),IF(ISERROR(MATCH($A47,'D Proj'!$B$1:$B$513,0)),IF(ISERROR(MATCH($A47,'K Proj'!$B$1:$B$508,0)),"?","K"),"D"),"FLEX")</f>
        <v>FLEX</v>
      </c>
      <c r="M47" s="21">
        <f>MATCH(L47,Pos,0)</f>
        <v>1</v>
      </c>
      <c r="N47" s="21">
        <f>CHOOSE($M47,MATCH($A47&amp;$B47,'F Proj'!$P$1:$P$7669,0),MATCH($A47&amp;$B47,'D Proj'!$X$1:$X$513,0),MATCH($A47&amp;$B47,'K Proj'!$T$1:$T$508,0))</f>
        <v>508</v>
      </c>
      <c r="O47">
        <f>CHOOSE(M47,INDEX('F Proj'!$D$1:$D$7669,N47),INDEX('D Proj'!$T$1:$T$513,N47),INDEX('K Proj'!$L$1:$L$508,N47))</f>
        <v>14.65</v>
      </c>
      <c r="P47">
        <f>CHOOSE(M47,INDEX('F Proj'!$J$1:$J$7669,N47),INDEX('D Proj'!$N$1:$N$513,N47),INDEX('K Proj'!$P$1:$P$508,N47))</f>
        <v>64.802499999999995</v>
      </c>
      <c r="Q47" t="str">
        <f t="shared" si="1"/>
        <v>WR</v>
      </c>
      <c r="R47" t="str">
        <f>IF(L47="FLEX",INDEX('F Proj'!$F$1:$F$7669,N47),Q47)</f>
        <v>WR</v>
      </c>
      <c r="S47" t="str">
        <f>IF((Week+Half_Week-1)&gt;=VALUE(RIGHT(C47,LEN(C47)-SEARCH("-",C47))),LEFT(C47,SEARCH("-",C47)-1),"")</f>
        <v>comp</v>
      </c>
    </row>
    <row r="48" spans="1:19" x14ac:dyDescent="0.25">
      <c r="A48" t="s">
        <v>96</v>
      </c>
      <c r="B48">
        <v>3</v>
      </c>
      <c r="C48" t="s">
        <v>805</v>
      </c>
      <c r="D48" t="s">
        <v>471</v>
      </c>
      <c r="E48">
        <v>11</v>
      </c>
      <c r="G48">
        <v>11</v>
      </c>
      <c r="H48">
        <v>0</v>
      </c>
      <c r="I48">
        <v>0</v>
      </c>
      <c r="J48" t="s">
        <v>4275</v>
      </c>
      <c r="K48" t="str">
        <f t="shared" si="0"/>
        <v>Antonio Brown3</v>
      </c>
      <c r="L48" s="21" t="str">
        <f>IF(ISERROR(MATCH($A48,'F Proj'!$B$1:$B$7669,0)),IF(ISERROR(MATCH($A48,'D Proj'!$B$1:$B$513,0)),IF(ISERROR(MATCH($A48,'K Proj'!$B$1:$B$508,0)),"?","K"),"D"),"FLEX")</f>
        <v>FLEX</v>
      </c>
      <c r="M48" s="21">
        <f>MATCH(L48,Pos,0)</f>
        <v>1</v>
      </c>
      <c r="N48" s="21">
        <f>CHOOSE($M48,MATCH($A48&amp;$B48,'F Proj'!$P$1:$P$7669,0),MATCH($A48&amp;$B48,'D Proj'!$X$1:$X$513,0),MATCH($A48&amp;$B48,'K Proj'!$T$1:$T$508,0))</f>
        <v>456</v>
      </c>
      <c r="O48">
        <f>CHOOSE(M48,INDEX('F Proj'!$D$1:$D$7669,N48),INDEX('D Proj'!$T$1:$T$513,N48),INDEX('K Proj'!$L$1:$L$508,N48))</f>
        <v>15.35</v>
      </c>
      <c r="P48">
        <f>CHOOSE(M48,INDEX('F Proj'!$J$1:$J$7669,N48),INDEX('D Proj'!$N$1:$N$513,N48),INDEX('K Proj'!$P$1:$P$508,N48))</f>
        <v>74.822500000000005</v>
      </c>
      <c r="Q48" t="str">
        <f t="shared" si="1"/>
        <v>WR</v>
      </c>
      <c r="R48" t="str">
        <f>IF(L48="FLEX",INDEX('F Proj'!$F$1:$F$7669,N48),Q48)</f>
        <v>WR</v>
      </c>
      <c r="S48" t="str">
        <f>IF((Week+Half_Week-1)&gt;=VALUE(RIGHT(C48,LEN(C48)-SEARCH("-",C48))),LEFT(C48,SEARCH("-",C48)-1),"")</f>
        <v>comp</v>
      </c>
    </row>
    <row r="49" spans="1:19" x14ac:dyDescent="0.25">
      <c r="A49" t="s">
        <v>96</v>
      </c>
      <c r="B49">
        <v>4</v>
      </c>
      <c r="C49" t="s">
        <v>860</v>
      </c>
      <c r="D49" t="s">
        <v>471</v>
      </c>
      <c r="E49">
        <v>12.2</v>
      </c>
      <c r="G49">
        <v>12.2</v>
      </c>
      <c r="H49">
        <v>0</v>
      </c>
      <c r="I49">
        <v>0</v>
      </c>
      <c r="J49" t="s">
        <v>4758</v>
      </c>
      <c r="K49" t="str">
        <f t="shared" si="0"/>
        <v>Antonio Brown4</v>
      </c>
      <c r="L49" s="21" t="str">
        <f>IF(ISERROR(MATCH($A49,'F Proj'!$B$1:$B$7669,0)),IF(ISERROR(MATCH($A49,'D Proj'!$B$1:$B$513,0)),IF(ISERROR(MATCH($A49,'K Proj'!$B$1:$B$508,0)),"?","K"),"D"),"FLEX")</f>
        <v>FLEX</v>
      </c>
      <c r="M49" s="21">
        <f>MATCH(L49,Pos,0)</f>
        <v>1</v>
      </c>
      <c r="N49" s="21">
        <f>CHOOSE($M49,MATCH($A49&amp;$B49,'F Proj'!$P$1:$P$7669,0),MATCH($A49&amp;$B49,'D Proj'!$X$1:$X$513,0),MATCH($A49&amp;$B49,'K Proj'!$T$1:$T$508,0))</f>
        <v>410</v>
      </c>
      <c r="O49">
        <f>CHOOSE(M49,INDEX('F Proj'!$D$1:$D$7669,N49),INDEX('D Proj'!$T$1:$T$513,N49),INDEX('K Proj'!$L$1:$L$508,N49))</f>
        <v>15.87</v>
      </c>
      <c r="P49">
        <f>CHOOSE(M49,INDEX('F Proj'!$J$1:$J$7669,N49),INDEX('D Proj'!$N$1:$N$513,N49),INDEX('K Proj'!$P$1:$P$508,N49))</f>
        <v>66.096900000000005</v>
      </c>
      <c r="Q49" t="str">
        <f t="shared" si="1"/>
        <v>WR</v>
      </c>
      <c r="R49" t="str">
        <f>IF(L49="FLEX",INDEX('F Proj'!$F$1:$F$7669,N49),Q49)</f>
        <v>WR</v>
      </c>
      <c r="S49" t="str">
        <f>IF((Week+Half_Week-1)&gt;=VALUE(RIGHT(C49,LEN(C49)-SEARCH("-",C49))),LEFT(C49,SEARCH("-",C49)-1),"")</f>
        <v>comp</v>
      </c>
    </row>
    <row r="50" spans="1:19" x14ac:dyDescent="0.25">
      <c r="A50" t="s">
        <v>96</v>
      </c>
      <c r="B50">
        <v>5</v>
      </c>
      <c r="C50" t="s">
        <v>887</v>
      </c>
      <c r="D50" t="s">
        <v>471</v>
      </c>
      <c r="E50" t="s">
        <v>8947</v>
      </c>
      <c r="G50">
        <v>15.59</v>
      </c>
      <c r="H50">
        <v>7.78</v>
      </c>
      <c r="I50">
        <v>60.528399999999998</v>
      </c>
      <c r="J50" t="s">
        <v>8956</v>
      </c>
      <c r="K50" t="str">
        <f t="shared" si="0"/>
        <v>Antonio Brown5</v>
      </c>
      <c r="L50" s="21" t="str">
        <f>IF(ISERROR(MATCH($A50,'F Proj'!$B$1:$B$7669,0)),IF(ISERROR(MATCH($A50,'D Proj'!$B$1:$B$513,0)),IF(ISERROR(MATCH($A50,'K Proj'!$B$1:$B$508,0)),"?","K"),"D"),"FLEX")</f>
        <v>FLEX</v>
      </c>
      <c r="M50" s="21">
        <f>MATCH(L50,Pos,0)</f>
        <v>1</v>
      </c>
      <c r="N50" s="21">
        <f>CHOOSE($M50,MATCH($A50&amp;$B50,'F Proj'!$P$1:$P$7669,0),MATCH($A50&amp;$B50,'D Proj'!$X$1:$X$513,0),MATCH($A50&amp;$B50,'K Proj'!$T$1:$T$508,0))</f>
        <v>435</v>
      </c>
      <c r="O50">
        <f>CHOOSE(M50,INDEX('F Proj'!$D$1:$D$7669,N50),INDEX('D Proj'!$T$1:$T$513,N50),INDEX('K Proj'!$L$1:$L$508,N50))</f>
        <v>15.59</v>
      </c>
      <c r="P50">
        <f>CHOOSE(M50,INDEX('F Proj'!$J$1:$J$7669,N50),INDEX('D Proj'!$N$1:$N$513,N50),INDEX('K Proj'!$P$1:$P$508,N50))</f>
        <v>60.528399999999998</v>
      </c>
      <c r="Q50" t="str">
        <f t="shared" si="1"/>
        <v>WR</v>
      </c>
      <c r="R50" t="str">
        <f>IF(L50="FLEX",INDEX('F Proj'!$F$1:$F$7669,N50),Q50)</f>
        <v>WR</v>
      </c>
      <c r="S50" t="str">
        <f>IF((Week+Half_Week-1)&gt;=VALUE(RIGHT(C50,LEN(C50)-SEARCH("-",C50))),LEFT(C50,SEARCH("-",C50)-1),"")</f>
        <v/>
      </c>
    </row>
    <row r="51" spans="1:19" x14ac:dyDescent="0.25">
      <c r="A51" t="s">
        <v>1419</v>
      </c>
      <c r="B51">
        <v>4</v>
      </c>
      <c r="C51" t="s">
        <v>865</v>
      </c>
      <c r="D51" t="s">
        <v>473</v>
      </c>
      <c r="E51">
        <v>5.4</v>
      </c>
      <c r="G51">
        <v>5.4</v>
      </c>
      <c r="H51">
        <v>0</v>
      </c>
      <c r="I51">
        <v>0</v>
      </c>
      <c r="J51" t="s">
        <v>4819</v>
      </c>
      <c r="K51" t="str">
        <f t="shared" si="0"/>
        <v>Antonio Callaway4</v>
      </c>
      <c r="L51" s="21" t="str">
        <f>IF(ISERROR(MATCH($A51,'F Proj'!$B$1:$B$7669,0)),IF(ISERROR(MATCH($A51,'D Proj'!$B$1:$B$513,0)),IF(ISERROR(MATCH($A51,'K Proj'!$B$1:$B$508,0)),"?","K"),"D"),"FLEX")</f>
        <v>FLEX</v>
      </c>
      <c r="M51" s="21">
        <f>MATCH(L51,Pos,0)</f>
        <v>1</v>
      </c>
      <c r="N51" s="21">
        <f>CHOOSE($M51,MATCH($A51&amp;$B51,'F Proj'!$P$1:$P$7669,0),MATCH($A51&amp;$B51,'D Proj'!$X$1:$X$513,0),MATCH($A51&amp;$B51,'K Proj'!$T$1:$T$508,0))</f>
        <v>2025</v>
      </c>
      <c r="O51">
        <f>CHOOSE(M51,INDEX('F Proj'!$D$1:$D$7669,N51),INDEX('D Proj'!$T$1:$T$513,N51),INDEX('K Proj'!$L$1:$L$508,N51))</f>
        <v>6.42</v>
      </c>
      <c r="P51">
        <f>CHOOSE(M51,INDEX('F Proj'!$J$1:$J$7669,N51),INDEX('D Proj'!$N$1:$N$513,N51),INDEX('K Proj'!$P$1:$P$508,N51))</f>
        <v>22.657599999999999</v>
      </c>
      <c r="Q51" t="str">
        <f t="shared" si="1"/>
        <v>WR</v>
      </c>
      <c r="R51" t="str">
        <f>IF(L51="FLEX",INDEX('F Proj'!$F$1:$F$7669,N51),Q51)</f>
        <v>WR</v>
      </c>
      <c r="S51" t="str">
        <f>IF((Week+Half_Week-1)&gt;=VALUE(RIGHT(C51,LEN(C51)-SEARCH("-",C51))),LEFT(C51,SEARCH("-",C51)-1),"")</f>
        <v>chad</v>
      </c>
    </row>
    <row r="52" spans="1:19" x14ac:dyDescent="0.25">
      <c r="A52" t="s">
        <v>211</v>
      </c>
      <c r="B52">
        <v>5</v>
      </c>
      <c r="C52" t="s">
        <v>887</v>
      </c>
      <c r="D52" t="s">
        <v>475</v>
      </c>
      <c r="E52" t="s">
        <v>8947</v>
      </c>
      <c r="G52">
        <v>4.21</v>
      </c>
      <c r="H52">
        <v>4.66</v>
      </c>
      <c r="I52">
        <v>21.715599999999998</v>
      </c>
      <c r="J52" t="s">
        <v>9023</v>
      </c>
      <c r="K52" t="str">
        <f t="shared" si="0"/>
        <v>Austin Hooper5</v>
      </c>
      <c r="L52" s="21" t="str">
        <f>IF(ISERROR(MATCH($A52,'F Proj'!$B$1:$B$7669,0)),IF(ISERROR(MATCH($A52,'D Proj'!$B$1:$B$513,0)),IF(ISERROR(MATCH($A52,'K Proj'!$B$1:$B$508,0)),"?","K"),"D"),"FLEX")</f>
        <v>FLEX</v>
      </c>
      <c r="M52" s="21">
        <f>MATCH(L52,Pos,0)</f>
        <v>1</v>
      </c>
      <c r="N52" s="21">
        <f>CHOOSE($M52,MATCH($A52&amp;$B52,'F Proj'!$P$1:$P$7669,0),MATCH($A52&amp;$B52,'D Proj'!$X$1:$X$513,0),MATCH($A52&amp;$B52,'K Proj'!$T$1:$T$508,0))</f>
        <v>2947</v>
      </c>
      <c r="O52">
        <f>CHOOSE(M52,INDEX('F Proj'!$D$1:$D$7669,N52),INDEX('D Proj'!$T$1:$T$513,N52),INDEX('K Proj'!$L$1:$L$508,N52))</f>
        <v>4.21</v>
      </c>
      <c r="P52">
        <f>CHOOSE(M52,INDEX('F Proj'!$J$1:$J$7669,N52),INDEX('D Proj'!$N$1:$N$513,N52),INDEX('K Proj'!$P$1:$P$508,N52))</f>
        <v>21.715599999999998</v>
      </c>
      <c r="Q52" t="str">
        <f t="shared" si="1"/>
        <v>TE</v>
      </c>
      <c r="R52" t="str">
        <f>IF(L52="FLEX",INDEX('F Proj'!$F$1:$F$7669,N52),Q52)</f>
        <v>TE</v>
      </c>
      <c r="S52" t="str">
        <f>IF((Week+Half_Week-1)&gt;=VALUE(RIGHT(C52,LEN(C52)-SEARCH("-",C52))),LEFT(C52,SEARCH("-",C52)-1),"")</f>
        <v/>
      </c>
    </row>
    <row r="53" spans="1:19" x14ac:dyDescent="0.25">
      <c r="A53" t="s">
        <v>65</v>
      </c>
      <c r="B53">
        <v>2</v>
      </c>
      <c r="C53" t="s">
        <v>1651</v>
      </c>
      <c r="D53" t="s">
        <v>467</v>
      </c>
      <c r="E53">
        <v>39</v>
      </c>
      <c r="G53">
        <v>39</v>
      </c>
      <c r="H53">
        <v>0</v>
      </c>
      <c r="I53">
        <v>0</v>
      </c>
      <c r="J53" t="s">
        <v>1666</v>
      </c>
      <c r="K53" t="str">
        <f t="shared" si="0"/>
        <v>Ben Roethlisberger2</v>
      </c>
      <c r="L53" s="21" t="str">
        <f>IF(ISERROR(MATCH($A53,'F Proj'!$B$1:$B$7669,0)),IF(ISERROR(MATCH($A53,'D Proj'!$B$1:$B$513,0)),IF(ISERROR(MATCH($A53,'K Proj'!$B$1:$B$508,0)),"?","K"),"D"),"FLEX")</f>
        <v>FLEX</v>
      </c>
      <c r="M53" s="21">
        <f>MATCH(L53,Pos,0)</f>
        <v>1</v>
      </c>
      <c r="N53" s="21">
        <f>CHOOSE($M53,MATCH($A53&amp;$B53,'F Proj'!$P$1:$P$7669,0),MATCH($A53&amp;$B53,'D Proj'!$X$1:$X$513,0),MATCH($A53&amp;$B53,'K Proj'!$T$1:$T$508,0))</f>
        <v>213</v>
      </c>
      <c r="O53">
        <f>CHOOSE(M53,INDEX('F Proj'!$D$1:$D$7669,N53),INDEX('D Proj'!$T$1:$T$513,N53),INDEX('K Proj'!$L$1:$L$508,N53))</f>
        <v>18.920000000000002</v>
      </c>
      <c r="P53">
        <f>CHOOSE(M53,INDEX('F Proj'!$J$1:$J$7669,N53),INDEX('D Proj'!$N$1:$N$513,N53),INDEX('K Proj'!$P$1:$P$508,N53))</f>
        <v>52.852899999999998</v>
      </c>
      <c r="Q53" t="str">
        <f t="shared" si="1"/>
        <v>QB</v>
      </c>
      <c r="R53" t="str">
        <f>IF(L53="FLEX",INDEX('F Proj'!$F$1:$F$7669,N53),Q53)</f>
        <v>QB</v>
      </c>
      <c r="S53" t="str">
        <f>IF((Week+Half_Week-1)&gt;=VALUE(RIGHT(C53,LEN(C53)-SEARCH("-",C53))),LEFT(C53,SEARCH("-",C53)-1),"")</f>
        <v>lucas</v>
      </c>
    </row>
    <row r="54" spans="1:19" x14ac:dyDescent="0.25">
      <c r="A54" t="s">
        <v>139</v>
      </c>
      <c r="B54">
        <v>2</v>
      </c>
      <c r="C54" t="s">
        <v>618</v>
      </c>
      <c r="D54" t="s">
        <v>466</v>
      </c>
      <c r="E54">
        <v>14</v>
      </c>
      <c r="G54">
        <v>14</v>
      </c>
      <c r="H54">
        <v>0</v>
      </c>
      <c r="I54">
        <v>0</v>
      </c>
      <c r="J54" t="s">
        <v>649</v>
      </c>
      <c r="K54" t="str">
        <f t="shared" si="0"/>
        <v>Bilal Powell2</v>
      </c>
      <c r="L54" s="21" t="str">
        <f>IF(ISERROR(MATCH($A54,'F Proj'!$B$1:$B$7669,0)),IF(ISERROR(MATCH($A54,'D Proj'!$B$1:$B$513,0)),IF(ISERROR(MATCH($A54,'K Proj'!$B$1:$B$508,0)),"?","K"),"D"),"FLEX")</f>
        <v>FLEX</v>
      </c>
      <c r="M54" s="21">
        <f>MATCH(L54,Pos,0)</f>
        <v>1</v>
      </c>
      <c r="N54" s="21">
        <f>CHOOSE($M54,MATCH($A54&amp;$B54,'F Proj'!$P$1:$P$7669,0),MATCH($A54&amp;$B54,'D Proj'!$X$1:$X$513,0),MATCH($A54&amp;$B54,'K Proj'!$T$1:$T$508,0))</f>
        <v>2194</v>
      </c>
      <c r="O54">
        <f>CHOOSE(M54,INDEX('F Proj'!$D$1:$D$7669,N54),INDEX('D Proj'!$T$1:$T$513,N54),INDEX('K Proj'!$L$1:$L$508,N54))</f>
        <v>5.95</v>
      </c>
      <c r="P54">
        <f>CHOOSE(M54,INDEX('F Proj'!$J$1:$J$7669,N54),INDEX('D Proj'!$N$1:$N$513,N54),INDEX('K Proj'!$P$1:$P$508,N54))</f>
        <v>20.430399999999999</v>
      </c>
      <c r="Q54" t="str">
        <f t="shared" si="1"/>
        <v>WR/RB</v>
      </c>
      <c r="R54" t="str">
        <f>IF(L54="FLEX",INDEX('F Proj'!$F$1:$F$7669,N54),Q54)</f>
        <v>RB</v>
      </c>
      <c r="S54" t="str">
        <f>IF((Week+Half_Week-1)&gt;=VALUE(RIGHT(C54,LEN(C54)-SEARCH("-",C54))),LEFT(C54,SEARCH("-",C54)-1),"")</f>
        <v>cory</v>
      </c>
    </row>
    <row r="55" spans="1:19" x14ac:dyDescent="0.25">
      <c r="A55" t="s">
        <v>139</v>
      </c>
      <c r="B55">
        <v>3</v>
      </c>
      <c r="C55" t="s">
        <v>803</v>
      </c>
      <c r="D55" t="s">
        <v>466</v>
      </c>
      <c r="E55">
        <v>7.3</v>
      </c>
      <c r="G55">
        <v>7.3</v>
      </c>
      <c r="H55">
        <v>0</v>
      </c>
      <c r="I55">
        <v>0</v>
      </c>
      <c r="J55" t="s">
        <v>4276</v>
      </c>
      <c r="K55" t="str">
        <f t="shared" si="0"/>
        <v>Bilal Powell3</v>
      </c>
      <c r="L55" s="21" t="str">
        <f>IF(ISERROR(MATCH($A55,'F Proj'!$B$1:$B$7669,0)),IF(ISERROR(MATCH($A55,'D Proj'!$B$1:$B$513,0)),IF(ISERROR(MATCH($A55,'K Proj'!$B$1:$B$508,0)),"?","K"),"D"),"FLEX")</f>
        <v>FLEX</v>
      </c>
      <c r="M55" s="21">
        <f>MATCH(L55,Pos,0)</f>
        <v>1</v>
      </c>
      <c r="N55" s="21">
        <f>CHOOSE($M55,MATCH($A55&amp;$B55,'F Proj'!$P$1:$P$7669,0),MATCH($A55&amp;$B55,'D Proj'!$X$1:$X$513,0),MATCH($A55&amp;$B55,'K Proj'!$T$1:$T$508,0))</f>
        <v>1858</v>
      </c>
      <c r="O55">
        <f>CHOOSE(M55,INDEX('F Proj'!$D$1:$D$7669,N55),INDEX('D Proj'!$T$1:$T$513,N55),INDEX('K Proj'!$L$1:$L$508,N55))</f>
        <v>6.92</v>
      </c>
      <c r="P55">
        <f>CHOOSE(M55,INDEX('F Proj'!$J$1:$J$7669,N55),INDEX('D Proj'!$N$1:$N$513,N55),INDEX('K Proj'!$P$1:$P$508,N55))</f>
        <v>34.339599999999997</v>
      </c>
      <c r="Q55" t="str">
        <f t="shared" si="1"/>
        <v>WR/RB</v>
      </c>
      <c r="R55" t="str">
        <f>IF(L55="FLEX",INDEX('F Proj'!$F$1:$F$7669,N55),Q55)</f>
        <v>RB</v>
      </c>
      <c r="S55" t="str">
        <f>IF((Week+Half_Week-1)&gt;=VALUE(RIGHT(C55,LEN(C55)-SEARCH("-",C55))),LEFT(C55,SEARCH("-",C55)-1),"")</f>
        <v>cory</v>
      </c>
    </row>
    <row r="56" spans="1:19" x14ac:dyDescent="0.25">
      <c r="A56" t="s">
        <v>108</v>
      </c>
      <c r="B56">
        <v>1</v>
      </c>
      <c r="C56" t="s">
        <v>508</v>
      </c>
      <c r="D56" t="s">
        <v>473</v>
      </c>
      <c r="E56">
        <v>9.3000000000000007</v>
      </c>
      <c r="G56">
        <v>9.3000000000000007</v>
      </c>
      <c r="H56">
        <v>0</v>
      </c>
      <c r="I56">
        <v>0</v>
      </c>
      <c r="J56" t="s">
        <v>549</v>
      </c>
      <c r="K56" t="str">
        <f t="shared" si="0"/>
        <v>Brandin Cooks1</v>
      </c>
      <c r="L56" s="21" t="str">
        <f>IF(ISERROR(MATCH($A56,'F Proj'!$B$1:$B$7669,0)),IF(ISERROR(MATCH($A56,'D Proj'!$B$1:$B$513,0)),IF(ISERROR(MATCH($A56,'K Proj'!$B$1:$B$508,0)),"?","K"),"D"),"FLEX")</f>
        <v>FLEX</v>
      </c>
      <c r="M56" s="21">
        <f>MATCH(L56,Pos,0)</f>
        <v>1</v>
      </c>
      <c r="N56" s="21">
        <f>CHOOSE($M56,MATCH($A56&amp;$B56,'F Proj'!$P$1:$P$7669,0),MATCH($A56&amp;$B56,'D Proj'!$X$1:$X$513,0),MATCH($A56&amp;$B56,'K Proj'!$T$1:$T$508,0))</f>
        <v>1351</v>
      </c>
      <c r="O56">
        <f>CHOOSE(M56,INDEX('F Proj'!$D$1:$D$7669,N56),INDEX('D Proj'!$T$1:$T$513,N56),INDEX('K Proj'!$L$1:$L$508,N56))</f>
        <v>8.64</v>
      </c>
      <c r="P56">
        <f>CHOOSE(M56,INDEX('F Proj'!$J$1:$J$7669,N56),INDEX('D Proj'!$N$1:$N$513,N56),INDEX('K Proj'!$P$1:$P$508,N56))</f>
        <v>26.625599999999999</v>
      </c>
      <c r="Q56" t="str">
        <f t="shared" si="1"/>
        <v>WR</v>
      </c>
      <c r="R56" t="str">
        <f>IF(L56="FLEX",INDEX('F Proj'!$F$1:$F$7669,N56),Q56)</f>
        <v>WR</v>
      </c>
      <c r="S56" t="str">
        <f>IF((Week+Half_Week-1)&gt;=VALUE(RIGHT(C56,LEN(C56)-SEARCH("-",C56))),LEFT(C56,SEARCH("-",C56)-1),"")</f>
        <v>perry</v>
      </c>
    </row>
    <row r="57" spans="1:19" x14ac:dyDescent="0.25">
      <c r="A57" t="s">
        <v>108</v>
      </c>
      <c r="B57">
        <v>2</v>
      </c>
      <c r="C57" t="s">
        <v>616</v>
      </c>
      <c r="D57" t="s">
        <v>473</v>
      </c>
      <c r="E57">
        <v>15.9</v>
      </c>
      <c r="G57">
        <v>15.9</v>
      </c>
      <c r="H57">
        <v>0</v>
      </c>
      <c r="I57">
        <v>0</v>
      </c>
      <c r="J57" t="s">
        <v>632</v>
      </c>
      <c r="K57" t="str">
        <f t="shared" si="0"/>
        <v>Brandin Cooks2</v>
      </c>
      <c r="L57" s="21" t="str">
        <f>IF(ISERROR(MATCH($A57,'F Proj'!$B$1:$B$7669,0)),IF(ISERROR(MATCH($A57,'D Proj'!$B$1:$B$513,0)),IF(ISERROR(MATCH($A57,'K Proj'!$B$1:$B$508,0)),"?","K"),"D"),"FLEX")</f>
        <v>FLEX</v>
      </c>
      <c r="M57" s="21">
        <f>MATCH(L57,Pos,0)</f>
        <v>1</v>
      </c>
      <c r="N57" s="21">
        <f>CHOOSE($M57,MATCH($A57&amp;$B57,'F Proj'!$P$1:$P$7669,0),MATCH($A57&amp;$B57,'D Proj'!$X$1:$X$513,0),MATCH($A57&amp;$B57,'K Proj'!$T$1:$T$508,0))</f>
        <v>1125</v>
      </c>
      <c r="O57">
        <f>CHOOSE(M57,INDEX('F Proj'!$D$1:$D$7669,N57),INDEX('D Proj'!$T$1:$T$513,N57),INDEX('K Proj'!$L$1:$L$508,N57))</f>
        <v>9.77</v>
      </c>
      <c r="P57">
        <f>CHOOSE(M57,INDEX('F Proj'!$J$1:$J$7669,N57),INDEX('D Proj'!$N$1:$N$513,N57),INDEX('K Proj'!$P$1:$P$508,N57))</f>
        <v>46.5124</v>
      </c>
      <c r="Q57" t="str">
        <f t="shared" si="1"/>
        <v>WR</v>
      </c>
      <c r="R57" t="str">
        <f>IF(L57="FLEX",INDEX('F Proj'!$F$1:$F$7669,N57),Q57)</f>
        <v>WR</v>
      </c>
      <c r="S57" t="str">
        <f>IF((Week+Half_Week-1)&gt;=VALUE(RIGHT(C57,LEN(C57)-SEARCH("-",C57))),LEFT(C57,SEARCH("-",C57)-1),"")</f>
        <v>perry</v>
      </c>
    </row>
    <row r="58" spans="1:19" x14ac:dyDescent="0.25">
      <c r="A58" t="s">
        <v>108</v>
      </c>
      <c r="B58">
        <v>3</v>
      </c>
      <c r="C58" t="s">
        <v>809</v>
      </c>
      <c r="D58" t="s">
        <v>472</v>
      </c>
      <c r="E58">
        <v>9</v>
      </c>
      <c r="G58">
        <v>9</v>
      </c>
      <c r="H58">
        <v>0</v>
      </c>
      <c r="I58">
        <v>0</v>
      </c>
      <c r="J58" t="s">
        <v>4277</v>
      </c>
      <c r="K58" t="str">
        <f t="shared" si="0"/>
        <v>Brandin Cooks3</v>
      </c>
      <c r="L58" s="21" t="str">
        <f>IF(ISERROR(MATCH($A58,'F Proj'!$B$1:$B$7669,0)),IF(ISERROR(MATCH($A58,'D Proj'!$B$1:$B$513,0)),IF(ISERROR(MATCH($A58,'K Proj'!$B$1:$B$508,0)),"?","K"),"D"),"FLEX")</f>
        <v>FLEX</v>
      </c>
      <c r="M58" s="21">
        <f>MATCH(L58,Pos,0)</f>
        <v>1</v>
      </c>
      <c r="N58" s="21">
        <f>CHOOSE($M58,MATCH($A58&amp;$B58,'F Proj'!$P$1:$P$7669,0),MATCH($A58&amp;$B58,'D Proj'!$X$1:$X$513,0),MATCH($A58&amp;$B58,'K Proj'!$T$1:$T$508,0))</f>
        <v>1083</v>
      </c>
      <c r="O58">
        <f>CHOOSE(M58,INDEX('F Proj'!$D$1:$D$7669,N58),INDEX('D Proj'!$T$1:$T$513,N58),INDEX('K Proj'!$L$1:$L$508,N58))</f>
        <v>9.9600000000000009</v>
      </c>
      <c r="P58">
        <f>CHOOSE(M58,INDEX('F Proj'!$J$1:$J$7669,N58),INDEX('D Proj'!$N$1:$N$513,N58),INDEX('K Proj'!$P$1:$P$508,N58))</f>
        <v>27.7729</v>
      </c>
      <c r="Q58" t="str">
        <f t="shared" si="1"/>
        <v>WR</v>
      </c>
      <c r="R58" t="str">
        <f>IF(L58="FLEX",INDEX('F Proj'!$F$1:$F$7669,N58),Q58)</f>
        <v>WR</v>
      </c>
      <c r="S58" t="str">
        <f>IF((Week+Half_Week-1)&gt;=VALUE(RIGHT(C58,LEN(C58)-SEARCH("-",C58))),LEFT(C58,SEARCH("-",C58)-1),"")</f>
        <v>perry</v>
      </c>
    </row>
    <row r="59" spans="1:19" x14ac:dyDescent="0.25">
      <c r="A59" t="s">
        <v>108</v>
      </c>
      <c r="B59">
        <v>4</v>
      </c>
      <c r="C59" t="s">
        <v>862</v>
      </c>
      <c r="D59" t="s">
        <v>472</v>
      </c>
      <c r="E59">
        <v>18.600000000000001</v>
      </c>
      <c r="G59">
        <v>18.600000000000001</v>
      </c>
      <c r="H59">
        <v>0</v>
      </c>
      <c r="I59">
        <v>0</v>
      </c>
      <c r="J59" t="s">
        <v>4760</v>
      </c>
      <c r="K59" t="str">
        <f t="shared" si="0"/>
        <v>Brandin Cooks4</v>
      </c>
      <c r="L59" s="21" t="str">
        <f>IF(ISERROR(MATCH($A59,'F Proj'!$B$1:$B$7669,0)),IF(ISERROR(MATCH($A59,'D Proj'!$B$1:$B$513,0)),IF(ISERROR(MATCH($A59,'K Proj'!$B$1:$B$508,0)),"?","K"),"D"),"FLEX")</f>
        <v>FLEX</v>
      </c>
      <c r="M59" s="21">
        <f>MATCH(L59,Pos,0)</f>
        <v>1</v>
      </c>
      <c r="N59" s="21">
        <f>CHOOSE($M59,MATCH($A59&amp;$B59,'F Proj'!$P$1:$P$7669,0),MATCH($A59&amp;$B59,'D Proj'!$X$1:$X$513,0),MATCH($A59&amp;$B59,'K Proj'!$T$1:$T$508,0))</f>
        <v>944</v>
      </c>
      <c r="O59">
        <f>CHOOSE(M59,INDEX('F Proj'!$D$1:$D$7669,N59),INDEX('D Proj'!$T$1:$T$513,N59),INDEX('K Proj'!$L$1:$L$508,N59))</f>
        <v>10.84</v>
      </c>
      <c r="P59">
        <f>CHOOSE(M59,INDEX('F Proj'!$J$1:$J$7669,N59),INDEX('D Proj'!$N$1:$N$513,N59),INDEX('K Proj'!$P$1:$P$508,N59))</f>
        <v>51.696100000000001</v>
      </c>
      <c r="Q59" t="str">
        <f t="shared" si="1"/>
        <v>WR</v>
      </c>
      <c r="R59" t="str">
        <f>IF(L59="FLEX",INDEX('F Proj'!$F$1:$F$7669,N59),Q59)</f>
        <v>WR</v>
      </c>
      <c r="S59" t="str">
        <f>IF((Week+Half_Week-1)&gt;=VALUE(RIGHT(C59,LEN(C59)-SEARCH("-",C59))),LEFT(C59,SEARCH("-",C59)-1),"")</f>
        <v>perry</v>
      </c>
    </row>
    <row r="60" spans="1:19" x14ac:dyDescent="0.25">
      <c r="A60" t="s">
        <v>108</v>
      </c>
      <c r="B60">
        <v>5</v>
      </c>
      <c r="C60" t="s">
        <v>889</v>
      </c>
      <c r="D60" t="s">
        <v>472</v>
      </c>
      <c r="E60" t="s">
        <v>8947</v>
      </c>
      <c r="G60">
        <v>12.13</v>
      </c>
      <c r="H60">
        <v>7.33</v>
      </c>
      <c r="I60">
        <v>53.728900000000003</v>
      </c>
      <c r="J60" t="s">
        <v>8957</v>
      </c>
      <c r="K60" t="str">
        <f t="shared" si="0"/>
        <v>Brandin Cooks5</v>
      </c>
      <c r="L60" s="21" t="str">
        <f>IF(ISERROR(MATCH($A60,'F Proj'!$B$1:$B$7669,0)),IF(ISERROR(MATCH($A60,'D Proj'!$B$1:$B$513,0)),IF(ISERROR(MATCH($A60,'K Proj'!$B$1:$B$508,0)),"?","K"),"D"),"FLEX")</f>
        <v>FLEX</v>
      </c>
      <c r="M60" s="21">
        <f>MATCH(L60,Pos,0)</f>
        <v>1</v>
      </c>
      <c r="N60" s="21">
        <f>CHOOSE($M60,MATCH($A60&amp;$B60,'F Proj'!$P$1:$P$7669,0),MATCH($A60&amp;$B60,'D Proj'!$X$1:$X$513,0),MATCH($A60&amp;$B60,'K Proj'!$T$1:$T$508,0))</f>
        <v>803</v>
      </c>
      <c r="O60">
        <f>CHOOSE(M60,INDEX('F Proj'!$D$1:$D$7669,N60),INDEX('D Proj'!$T$1:$T$513,N60),INDEX('K Proj'!$L$1:$L$508,N60))</f>
        <v>12.13</v>
      </c>
      <c r="P60">
        <f>CHOOSE(M60,INDEX('F Proj'!$J$1:$J$7669,N60),INDEX('D Proj'!$N$1:$N$513,N60),INDEX('K Proj'!$P$1:$P$508,N60))</f>
        <v>53.728900000000003</v>
      </c>
      <c r="Q60" t="str">
        <f t="shared" si="1"/>
        <v>WR</v>
      </c>
      <c r="R60" t="str">
        <f>IF(L60="FLEX",INDEX('F Proj'!$F$1:$F$7669,N60),Q60)</f>
        <v>WR</v>
      </c>
      <c r="S60" t="str">
        <f>IF((Week+Half_Week-1)&gt;=VALUE(RIGHT(C60,LEN(C60)-SEARCH("-",C60))),LEFT(C60,SEARCH("-",C60)-1),"")</f>
        <v/>
      </c>
    </row>
    <row r="61" spans="1:19" x14ac:dyDescent="0.25">
      <c r="A61" t="s">
        <v>1422</v>
      </c>
      <c r="B61">
        <v>4</v>
      </c>
      <c r="C61" t="s">
        <v>860</v>
      </c>
      <c r="D61" t="s">
        <v>466</v>
      </c>
      <c r="E61">
        <v>17.5</v>
      </c>
      <c r="G61">
        <v>17.5</v>
      </c>
      <c r="H61">
        <v>0</v>
      </c>
      <c r="I61">
        <v>0</v>
      </c>
      <c r="J61" t="s">
        <v>4756</v>
      </c>
      <c r="K61" t="str">
        <f t="shared" si="0"/>
        <v>Calvin Ridley4</v>
      </c>
      <c r="L61" s="21" t="str">
        <f>IF(ISERROR(MATCH($A61,'F Proj'!$B$1:$B$7669,0)),IF(ISERROR(MATCH($A61,'D Proj'!$B$1:$B$513,0)),IF(ISERROR(MATCH($A61,'K Proj'!$B$1:$B$508,0)),"?","K"),"D"),"FLEX")</f>
        <v>FLEX</v>
      </c>
      <c r="M61" s="21">
        <f>MATCH(L61,Pos,0)</f>
        <v>1</v>
      </c>
      <c r="N61" s="21">
        <f>CHOOSE($M61,MATCH($A61&amp;$B61,'F Proj'!$P$1:$P$7669,0),MATCH($A61&amp;$B61,'D Proj'!$X$1:$X$513,0),MATCH($A61&amp;$B61,'K Proj'!$T$1:$T$508,0))</f>
        <v>1891</v>
      </c>
      <c r="O61">
        <f>CHOOSE(M61,INDEX('F Proj'!$D$1:$D$7669,N61),INDEX('D Proj'!$T$1:$T$513,N61),INDEX('K Proj'!$L$1:$L$508,N61))</f>
        <v>6.83</v>
      </c>
      <c r="P61">
        <f>CHOOSE(M61,INDEX('F Proj'!$J$1:$J$7669,N61),INDEX('D Proj'!$N$1:$N$513,N61),INDEX('K Proj'!$P$1:$P$508,N61))</f>
        <v>18.5761</v>
      </c>
      <c r="Q61" t="str">
        <f t="shared" si="1"/>
        <v>WR/RB</v>
      </c>
      <c r="R61" t="str">
        <f>IF(L61="FLEX",INDEX('F Proj'!$F$1:$F$7669,N61),Q61)</f>
        <v>WR</v>
      </c>
      <c r="S61" t="str">
        <f>IF((Week+Half_Week-1)&gt;=VALUE(RIGHT(C61,LEN(C61)-SEARCH("-",C61))),LEFT(C61,SEARCH("-",C61)-1),"")</f>
        <v>comp</v>
      </c>
    </row>
    <row r="62" spans="1:19" x14ac:dyDescent="0.25">
      <c r="A62" t="s">
        <v>1422</v>
      </c>
      <c r="B62">
        <v>5</v>
      </c>
      <c r="C62" t="s">
        <v>887</v>
      </c>
      <c r="D62" t="s">
        <v>473</v>
      </c>
      <c r="E62" t="s">
        <v>8947</v>
      </c>
      <c r="G62">
        <v>7.75</v>
      </c>
      <c r="H62">
        <v>5.54</v>
      </c>
      <c r="I62">
        <v>30.691600000000001</v>
      </c>
      <c r="J62" t="s">
        <v>8974</v>
      </c>
      <c r="K62" t="str">
        <f t="shared" si="0"/>
        <v>Calvin Ridley5</v>
      </c>
      <c r="L62" s="21" t="str">
        <f>IF(ISERROR(MATCH($A62,'F Proj'!$B$1:$B$7669,0)),IF(ISERROR(MATCH($A62,'D Proj'!$B$1:$B$513,0)),IF(ISERROR(MATCH($A62,'K Proj'!$B$1:$B$508,0)),"?","K"),"D"),"FLEX")</f>
        <v>FLEX</v>
      </c>
      <c r="M62" s="21">
        <f>MATCH(L62,Pos,0)</f>
        <v>1</v>
      </c>
      <c r="N62" s="21">
        <f>CHOOSE($M62,MATCH($A62&amp;$B62,'F Proj'!$P$1:$P$7669,0),MATCH($A62&amp;$B62,'D Proj'!$X$1:$X$513,0),MATCH($A62&amp;$B62,'K Proj'!$T$1:$T$508,0))</f>
        <v>1607</v>
      </c>
      <c r="O62">
        <f>CHOOSE(M62,INDEX('F Proj'!$D$1:$D$7669,N62),INDEX('D Proj'!$T$1:$T$513,N62),INDEX('K Proj'!$L$1:$L$508,N62))</f>
        <v>7.75</v>
      </c>
      <c r="P62">
        <f>CHOOSE(M62,INDEX('F Proj'!$J$1:$J$7669,N62),INDEX('D Proj'!$N$1:$N$513,N62),INDEX('K Proj'!$P$1:$P$508,N62))</f>
        <v>30.691600000000001</v>
      </c>
      <c r="Q62" t="str">
        <f t="shared" si="1"/>
        <v>WR</v>
      </c>
      <c r="R62" t="str">
        <f>IF(L62="FLEX",INDEX('F Proj'!$F$1:$F$7669,N62),Q62)</f>
        <v>WR</v>
      </c>
      <c r="S62" t="str">
        <f>IF((Week+Half_Week-1)&gt;=VALUE(RIGHT(C62,LEN(C62)-SEARCH("-",C62))),LEFT(C62,SEARCH("-",C62)-1),"")</f>
        <v/>
      </c>
    </row>
    <row r="63" spans="1:19" x14ac:dyDescent="0.25">
      <c r="A63" t="s">
        <v>39</v>
      </c>
      <c r="B63">
        <v>1</v>
      </c>
      <c r="C63" t="s">
        <v>503</v>
      </c>
      <c r="D63" t="s">
        <v>467</v>
      </c>
      <c r="E63">
        <v>18.2</v>
      </c>
      <c r="G63">
        <v>18.2</v>
      </c>
      <c r="H63">
        <v>0</v>
      </c>
      <c r="I63">
        <v>0</v>
      </c>
      <c r="J63" t="s">
        <v>562</v>
      </c>
      <c r="K63" t="str">
        <f t="shared" si="0"/>
        <v>Cam Newton1</v>
      </c>
      <c r="L63" s="21" t="str">
        <f>IF(ISERROR(MATCH($A63,'F Proj'!$B$1:$B$7669,0)),IF(ISERROR(MATCH($A63,'D Proj'!$B$1:$B$513,0)),IF(ISERROR(MATCH($A63,'K Proj'!$B$1:$B$508,0)),"?","K"),"D"),"FLEX")</f>
        <v>FLEX</v>
      </c>
      <c r="M63" s="21">
        <f>MATCH(L63,Pos,0)</f>
        <v>1</v>
      </c>
      <c r="N63" s="21">
        <f>CHOOSE($M63,MATCH($A63&amp;$B63,'F Proj'!$P$1:$P$7669,0),MATCH($A63&amp;$B63,'D Proj'!$X$1:$X$513,0),MATCH($A63&amp;$B63,'K Proj'!$T$1:$T$508,0))</f>
        <v>143</v>
      </c>
      <c r="O63">
        <f>CHOOSE(M63,INDEX('F Proj'!$D$1:$D$7669,N63),INDEX('D Proj'!$T$1:$T$513,N63),INDEX('K Proj'!$L$1:$L$508,N63))</f>
        <v>19.87</v>
      </c>
      <c r="P63">
        <f>CHOOSE(M63,INDEX('F Proj'!$J$1:$J$7669,N63),INDEX('D Proj'!$N$1:$N$513,N63),INDEX('K Proj'!$P$1:$P$508,N63))</f>
        <v>48.302500000000002</v>
      </c>
      <c r="Q63" t="str">
        <f t="shared" si="1"/>
        <v>QB</v>
      </c>
      <c r="R63" t="str">
        <f>IF(L63="FLEX",INDEX('F Proj'!$F$1:$F$7669,N63),Q63)</f>
        <v>QB</v>
      </c>
      <c r="S63" t="str">
        <f>IF((Week+Half_Week-1)&gt;=VALUE(RIGHT(C63,LEN(C63)-SEARCH("-",C63))),LEFT(C63,SEARCH("-",C63)-1),"")</f>
        <v>devon</v>
      </c>
    </row>
    <row r="64" spans="1:19" x14ac:dyDescent="0.25">
      <c r="A64" t="s">
        <v>39</v>
      </c>
      <c r="B64">
        <v>2</v>
      </c>
      <c r="C64" t="s">
        <v>633</v>
      </c>
      <c r="D64" t="s">
        <v>467</v>
      </c>
      <c r="E64">
        <v>27.6</v>
      </c>
      <c r="G64">
        <v>27.6</v>
      </c>
      <c r="H64">
        <v>0</v>
      </c>
      <c r="I64">
        <v>0</v>
      </c>
      <c r="J64" t="s">
        <v>644</v>
      </c>
      <c r="K64" t="str">
        <f t="shared" si="0"/>
        <v>Cam Newton2</v>
      </c>
      <c r="L64" s="21" t="str">
        <f>IF(ISERROR(MATCH($A64,'F Proj'!$B$1:$B$7669,0)),IF(ISERROR(MATCH($A64,'D Proj'!$B$1:$B$513,0)),IF(ISERROR(MATCH($A64,'K Proj'!$B$1:$B$508,0)),"?","K"),"D"),"FLEX")</f>
        <v>FLEX</v>
      </c>
      <c r="M64" s="21">
        <f>MATCH(L64,Pos,0)</f>
        <v>1</v>
      </c>
      <c r="N64" s="21">
        <f>CHOOSE($M64,MATCH($A64&amp;$B64,'F Proj'!$P$1:$P$7669,0),MATCH($A64&amp;$B64,'D Proj'!$X$1:$X$513,0),MATCH($A64&amp;$B64,'K Proj'!$T$1:$T$508,0))</f>
        <v>267</v>
      </c>
      <c r="O64">
        <f>CHOOSE(M64,INDEX('F Proj'!$D$1:$D$7669,N64),INDEX('D Proj'!$T$1:$T$513,N64),INDEX('K Proj'!$L$1:$L$508,N64))</f>
        <v>18.22</v>
      </c>
      <c r="P64">
        <f>CHOOSE(M64,INDEX('F Proj'!$J$1:$J$7669,N64),INDEX('D Proj'!$N$1:$N$513,N64),INDEX('K Proj'!$P$1:$P$508,N64))</f>
        <v>49.984900000000003</v>
      </c>
      <c r="Q64" t="str">
        <f t="shared" si="1"/>
        <v>QB</v>
      </c>
      <c r="R64" t="str">
        <f>IF(L64="FLEX",INDEX('F Proj'!$F$1:$F$7669,N64),Q64)</f>
        <v>QB</v>
      </c>
      <c r="S64" t="str">
        <f>IF((Week+Half_Week-1)&gt;=VALUE(RIGHT(C64,LEN(C64)-SEARCH("-",C64))),LEFT(C64,SEARCH("-",C64)-1),"")</f>
        <v>devon</v>
      </c>
    </row>
    <row r="65" spans="1:19" x14ac:dyDescent="0.25">
      <c r="A65" t="s">
        <v>39</v>
      </c>
      <c r="B65">
        <v>3</v>
      </c>
      <c r="C65" t="s">
        <v>811</v>
      </c>
      <c r="D65" t="s">
        <v>467</v>
      </c>
      <c r="E65">
        <v>29.6</v>
      </c>
      <c r="G65">
        <v>29.6</v>
      </c>
      <c r="H65">
        <v>0</v>
      </c>
      <c r="I65">
        <v>0</v>
      </c>
      <c r="J65" t="s">
        <v>4278</v>
      </c>
      <c r="K65" t="str">
        <f t="shared" si="0"/>
        <v>Cam Newton3</v>
      </c>
      <c r="L65" s="21" t="str">
        <f>IF(ISERROR(MATCH($A65,'F Proj'!$B$1:$B$7669,0)),IF(ISERROR(MATCH($A65,'D Proj'!$B$1:$B$513,0)),IF(ISERROR(MATCH($A65,'K Proj'!$B$1:$B$508,0)),"?","K"),"D"),"FLEX")</f>
        <v>FLEX</v>
      </c>
      <c r="M65" s="21">
        <f>MATCH(L65,Pos,0)</f>
        <v>1</v>
      </c>
      <c r="N65" s="21">
        <f>CHOOSE($M65,MATCH($A65&amp;$B65,'F Proj'!$P$1:$P$7669,0),MATCH($A65&amp;$B65,'D Proj'!$X$1:$X$513,0),MATCH($A65&amp;$B65,'K Proj'!$T$1:$T$508,0))</f>
        <v>126</v>
      </c>
      <c r="O65">
        <f>CHOOSE(M65,INDEX('F Proj'!$D$1:$D$7669,N65),INDEX('D Proj'!$T$1:$T$513,N65),INDEX('K Proj'!$L$1:$L$508,N65))</f>
        <v>20.18</v>
      </c>
      <c r="P65">
        <f>CHOOSE(M65,INDEX('F Proj'!$J$1:$J$7669,N65),INDEX('D Proj'!$N$1:$N$513,N65),INDEX('K Proj'!$P$1:$P$508,N65))</f>
        <v>65.61</v>
      </c>
      <c r="Q65" t="str">
        <f t="shared" si="1"/>
        <v>QB</v>
      </c>
      <c r="R65" t="str">
        <f>IF(L65="FLEX",INDEX('F Proj'!$F$1:$F$7669,N65),Q65)</f>
        <v>QB</v>
      </c>
      <c r="S65" t="str">
        <f>IF((Week+Half_Week-1)&gt;=VALUE(RIGHT(C65,LEN(C65)-SEARCH("-",C65))),LEFT(C65,SEARCH("-",C65)-1),"")</f>
        <v>devon</v>
      </c>
    </row>
    <row r="66" spans="1:19" x14ac:dyDescent="0.25">
      <c r="A66" t="s">
        <v>130</v>
      </c>
      <c r="B66">
        <v>1</v>
      </c>
      <c r="C66" t="s">
        <v>502</v>
      </c>
      <c r="D66" t="s">
        <v>468</v>
      </c>
      <c r="E66">
        <v>12.5</v>
      </c>
      <c r="G66">
        <v>12.5</v>
      </c>
      <c r="H66">
        <v>0</v>
      </c>
      <c r="I66">
        <v>0</v>
      </c>
      <c r="J66" t="s">
        <v>536</v>
      </c>
      <c r="K66" t="str">
        <f t="shared" si="0"/>
        <v>Carlos Hyde1</v>
      </c>
      <c r="L66" s="21" t="str">
        <f>IF(ISERROR(MATCH($A66,'F Proj'!$B$1:$B$7669,0)),IF(ISERROR(MATCH($A66,'D Proj'!$B$1:$B$513,0)),IF(ISERROR(MATCH($A66,'K Proj'!$B$1:$B$508,0)),"?","K"),"D"),"FLEX")</f>
        <v>FLEX</v>
      </c>
      <c r="M66" s="21">
        <f>MATCH(L66,Pos,0)</f>
        <v>1</v>
      </c>
      <c r="N66" s="21">
        <f>CHOOSE($M66,MATCH($A66&amp;$B66,'F Proj'!$P$1:$P$7669,0),MATCH($A66&amp;$B66,'D Proj'!$X$1:$X$513,0),MATCH($A66&amp;$B66,'K Proj'!$T$1:$T$508,0))</f>
        <v>1366</v>
      </c>
      <c r="O66">
        <f>CHOOSE(M66,INDEX('F Proj'!$D$1:$D$7669,N66),INDEX('D Proj'!$T$1:$T$513,N66),INDEX('K Proj'!$L$1:$L$508,N66))</f>
        <v>8.59</v>
      </c>
      <c r="P66">
        <f>CHOOSE(M66,INDEX('F Proj'!$J$1:$J$7669,N66),INDEX('D Proj'!$N$1:$N$513,N66),INDEX('K Proj'!$P$1:$P$508,N66))</f>
        <v>23.136099999999999</v>
      </c>
      <c r="Q66" t="str">
        <f t="shared" si="1"/>
        <v>RB</v>
      </c>
      <c r="R66" t="str">
        <f>IF(L66="FLEX",INDEX('F Proj'!$F$1:$F$7669,N66),Q66)</f>
        <v>RB</v>
      </c>
      <c r="S66" t="str">
        <f>IF((Week+Half_Week-1)&gt;=VALUE(RIGHT(C66,LEN(C66)-SEARCH("-",C66))),LEFT(C66,SEARCH("-",C66)-1),"")</f>
        <v>cory</v>
      </c>
    </row>
    <row r="67" spans="1:19" x14ac:dyDescent="0.25">
      <c r="A67" t="s">
        <v>130</v>
      </c>
      <c r="B67">
        <v>2</v>
      </c>
      <c r="C67" t="s">
        <v>618</v>
      </c>
      <c r="D67" t="s">
        <v>468</v>
      </c>
      <c r="E67">
        <v>11</v>
      </c>
      <c r="G67">
        <v>11</v>
      </c>
      <c r="H67">
        <v>0</v>
      </c>
      <c r="I67">
        <v>0</v>
      </c>
      <c r="J67" t="s">
        <v>671</v>
      </c>
      <c r="K67" t="str">
        <f t="shared" ref="K67:K130" si="2">A67&amp;B67</f>
        <v>Carlos Hyde2</v>
      </c>
      <c r="L67" s="21" t="str">
        <f>IF(ISERROR(MATCH($A67,'F Proj'!$B$1:$B$7669,0)),IF(ISERROR(MATCH($A67,'D Proj'!$B$1:$B$513,0)),IF(ISERROR(MATCH($A67,'K Proj'!$B$1:$B$508,0)),"?","K"),"D"),"FLEX")</f>
        <v>FLEX</v>
      </c>
      <c r="M67" s="21">
        <f>MATCH(L67,Pos,0)</f>
        <v>1</v>
      </c>
      <c r="N67" s="21">
        <f>CHOOSE($M67,MATCH($A67&amp;$B67,'F Proj'!$P$1:$P$7669,0),MATCH($A67&amp;$B67,'D Proj'!$X$1:$X$513,0),MATCH($A67&amp;$B67,'K Proj'!$T$1:$T$508,0))</f>
        <v>1062</v>
      </c>
      <c r="O67">
        <f>CHOOSE(M67,INDEX('F Proj'!$D$1:$D$7669,N67),INDEX('D Proj'!$T$1:$T$513,N67),INDEX('K Proj'!$L$1:$L$508,N67))</f>
        <v>10.029999999999999</v>
      </c>
      <c r="P67">
        <f>CHOOSE(M67,INDEX('F Proj'!$J$1:$J$7669,N67),INDEX('D Proj'!$N$1:$N$513,N67),INDEX('K Proj'!$P$1:$P$508,N67))</f>
        <v>40.195599999999999</v>
      </c>
      <c r="Q67" t="str">
        <f t="shared" ref="Q67:Q130" si="3">IFERROR(LEFT(D67,SEARCH("-",D67)-1),D67)</f>
        <v>RB</v>
      </c>
      <c r="R67" t="str">
        <f>IF(L67="FLEX",INDEX('F Proj'!$F$1:$F$7669,N67),Q67)</f>
        <v>RB</v>
      </c>
      <c r="S67" t="str">
        <f>IF((Week+Half_Week-1)&gt;=VALUE(RIGHT(C67,LEN(C67)-SEARCH("-",C67))),LEFT(C67,SEARCH("-",C67)-1),"")</f>
        <v>cory</v>
      </c>
    </row>
    <row r="68" spans="1:19" x14ac:dyDescent="0.25">
      <c r="A68" t="s">
        <v>130</v>
      </c>
      <c r="B68">
        <v>3</v>
      </c>
      <c r="C68" t="s">
        <v>803</v>
      </c>
      <c r="D68" t="s">
        <v>468</v>
      </c>
      <c r="E68">
        <v>22.3</v>
      </c>
      <c r="G68">
        <v>22.3</v>
      </c>
      <c r="H68">
        <v>0</v>
      </c>
      <c r="I68">
        <v>0</v>
      </c>
      <c r="J68" t="s">
        <v>4279</v>
      </c>
      <c r="K68" t="str">
        <f t="shared" si="2"/>
        <v>Carlos Hyde3</v>
      </c>
      <c r="L68" s="21" t="str">
        <f>IF(ISERROR(MATCH($A68,'F Proj'!$B$1:$B$7669,0)),IF(ISERROR(MATCH($A68,'D Proj'!$B$1:$B$513,0)),IF(ISERROR(MATCH($A68,'K Proj'!$B$1:$B$508,0)),"?","K"),"D"),"FLEX")</f>
        <v>FLEX</v>
      </c>
      <c r="M68" s="21">
        <f>MATCH(L68,Pos,0)</f>
        <v>1</v>
      </c>
      <c r="N68" s="21">
        <f>CHOOSE($M68,MATCH($A68&amp;$B68,'F Proj'!$P$1:$P$7669,0),MATCH($A68&amp;$B68,'D Proj'!$X$1:$X$513,0),MATCH($A68&amp;$B68,'K Proj'!$T$1:$T$508,0))</f>
        <v>899</v>
      </c>
      <c r="O68">
        <f>CHOOSE(M68,INDEX('F Proj'!$D$1:$D$7669,N68),INDEX('D Proj'!$T$1:$T$513,N68),INDEX('K Proj'!$L$1:$L$508,N68))</f>
        <v>11.24</v>
      </c>
      <c r="P68">
        <f>CHOOSE(M68,INDEX('F Proj'!$J$1:$J$7669,N68),INDEX('D Proj'!$N$1:$N$513,N68),INDEX('K Proj'!$P$1:$P$508,N68))</f>
        <v>31.472100000000001</v>
      </c>
      <c r="Q68" t="str">
        <f t="shared" si="3"/>
        <v>RB</v>
      </c>
      <c r="R68" t="str">
        <f>IF(L68="FLEX",INDEX('F Proj'!$F$1:$F$7669,N68),Q68)</f>
        <v>RB</v>
      </c>
      <c r="S68" t="str">
        <f>IF((Week+Half_Week-1)&gt;=VALUE(RIGHT(C68,LEN(C68)-SEARCH("-",C68))),LEFT(C68,SEARCH("-",C68)-1),"")</f>
        <v>cory</v>
      </c>
    </row>
    <row r="69" spans="1:19" x14ac:dyDescent="0.25">
      <c r="A69" t="s">
        <v>130</v>
      </c>
      <c r="B69">
        <v>4</v>
      </c>
      <c r="C69" t="s">
        <v>858</v>
      </c>
      <c r="D69" t="s">
        <v>468</v>
      </c>
      <c r="E69">
        <v>14.2</v>
      </c>
      <c r="G69">
        <v>14.2</v>
      </c>
      <c r="H69">
        <v>0</v>
      </c>
      <c r="I69">
        <v>0</v>
      </c>
      <c r="J69" t="s">
        <v>4761</v>
      </c>
      <c r="K69" t="str">
        <f t="shared" si="2"/>
        <v>Carlos Hyde4</v>
      </c>
      <c r="L69" s="21" t="str">
        <f>IF(ISERROR(MATCH($A69,'F Proj'!$B$1:$B$7669,0)),IF(ISERROR(MATCH($A69,'D Proj'!$B$1:$B$513,0)),IF(ISERROR(MATCH($A69,'K Proj'!$B$1:$B$508,0)),"?","K"),"D"),"FLEX")</f>
        <v>FLEX</v>
      </c>
      <c r="M69" s="21">
        <f>MATCH(L69,Pos,0)</f>
        <v>1</v>
      </c>
      <c r="N69" s="21">
        <f>CHOOSE($M69,MATCH($A69&amp;$B69,'F Proj'!$P$1:$P$7669,0),MATCH($A69&amp;$B69,'D Proj'!$X$1:$X$513,0),MATCH($A69&amp;$B69,'K Proj'!$T$1:$T$508,0))</f>
        <v>853</v>
      </c>
      <c r="O69">
        <f>CHOOSE(M69,INDEX('F Proj'!$D$1:$D$7669,N69),INDEX('D Proj'!$T$1:$T$513,N69),INDEX('K Proj'!$L$1:$L$508,N69))</f>
        <v>11.7</v>
      </c>
      <c r="P69">
        <f>CHOOSE(M69,INDEX('F Proj'!$J$1:$J$7669,N69),INDEX('D Proj'!$N$1:$N$513,N69),INDEX('K Proj'!$P$1:$P$508,N69))</f>
        <v>54.612099999999998</v>
      </c>
      <c r="Q69" t="str">
        <f t="shared" si="3"/>
        <v>RB</v>
      </c>
      <c r="R69" t="str">
        <f>IF(L69="FLEX",INDEX('F Proj'!$F$1:$F$7669,N69),Q69)</f>
        <v>RB</v>
      </c>
      <c r="S69" t="str">
        <f>IF((Week+Half_Week-1)&gt;=VALUE(RIGHT(C69,LEN(C69)-SEARCH("-",C69))),LEFT(C69,SEARCH("-",C69)-1),"")</f>
        <v>cory</v>
      </c>
    </row>
    <row r="70" spans="1:19" x14ac:dyDescent="0.25">
      <c r="A70" t="s">
        <v>130</v>
      </c>
      <c r="B70">
        <v>5</v>
      </c>
      <c r="C70" t="s">
        <v>883</v>
      </c>
      <c r="D70" t="s">
        <v>468</v>
      </c>
      <c r="E70" t="s">
        <v>8947</v>
      </c>
      <c r="G70">
        <v>10.39</v>
      </c>
      <c r="H70">
        <v>5.67</v>
      </c>
      <c r="I70">
        <v>32.148899999999998</v>
      </c>
      <c r="J70" t="s">
        <v>8959</v>
      </c>
      <c r="K70" t="str">
        <f t="shared" si="2"/>
        <v>Carlos Hyde5</v>
      </c>
      <c r="L70" s="21" t="str">
        <f>IF(ISERROR(MATCH($A70,'F Proj'!$B$1:$B$7669,0)),IF(ISERROR(MATCH($A70,'D Proj'!$B$1:$B$513,0)),IF(ISERROR(MATCH($A70,'K Proj'!$B$1:$B$508,0)),"?","K"),"D"),"FLEX")</f>
        <v>FLEX</v>
      </c>
      <c r="M70" s="21">
        <f>MATCH(L70,Pos,0)</f>
        <v>1</v>
      </c>
      <c r="N70" s="21">
        <f>CHOOSE($M70,MATCH($A70&amp;$B70,'F Proj'!$P$1:$P$7669,0),MATCH($A70&amp;$B70,'D Proj'!$X$1:$X$513,0),MATCH($A70&amp;$B70,'K Proj'!$T$1:$T$508,0))</f>
        <v>1003</v>
      </c>
      <c r="O70">
        <f>CHOOSE(M70,INDEX('F Proj'!$D$1:$D$7669,N70),INDEX('D Proj'!$T$1:$T$513,N70),INDEX('K Proj'!$L$1:$L$508,N70))</f>
        <v>10.39</v>
      </c>
      <c r="P70">
        <f>CHOOSE(M70,INDEX('F Proj'!$J$1:$J$7669,N70),INDEX('D Proj'!$N$1:$N$513,N70),INDEX('K Proj'!$P$1:$P$508,N70))</f>
        <v>32.148899999999998</v>
      </c>
      <c r="Q70" t="str">
        <f t="shared" si="3"/>
        <v>RB</v>
      </c>
      <c r="R70" t="str">
        <f>IF(L70="FLEX",INDEX('F Proj'!$F$1:$F$7669,N70),Q70)</f>
        <v>RB</v>
      </c>
      <c r="S70" t="str">
        <f>IF((Week+Half_Week-1)&gt;=VALUE(RIGHT(C70,LEN(C70)-SEARCH("-",C70))),LEFT(C70,SEARCH("-",C70)-1),"")</f>
        <v/>
      </c>
    </row>
    <row r="71" spans="1:19" x14ac:dyDescent="0.25">
      <c r="A71" t="s">
        <v>80</v>
      </c>
      <c r="B71">
        <v>3</v>
      </c>
      <c r="C71" t="s">
        <v>809</v>
      </c>
      <c r="D71" t="s">
        <v>467</v>
      </c>
      <c r="E71">
        <v>11.2</v>
      </c>
      <c r="G71">
        <v>11.2</v>
      </c>
      <c r="H71">
        <v>0</v>
      </c>
      <c r="I71">
        <v>0</v>
      </c>
      <c r="J71" t="s">
        <v>4280</v>
      </c>
      <c r="K71" t="str">
        <f t="shared" si="2"/>
        <v>Carson Wentz3</v>
      </c>
      <c r="L71" s="21" t="str">
        <f>IF(ISERROR(MATCH($A71,'F Proj'!$B$1:$B$7669,0)),IF(ISERROR(MATCH($A71,'D Proj'!$B$1:$B$513,0)),IF(ISERROR(MATCH($A71,'K Proj'!$B$1:$B$508,0)),"?","K"),"D"),"FLEX")</f>
        <v>FLEX</v>
      </c>
      <c r="M71" s="21">
        <f>MATCH(L71,Pos,0)</f>
        <v>1</v>
      </c>
      <c r="N71" s="21">
        <f>CHOOSE($M71,MATCH($A71&amp;$B71,'F Proj'!$P$1:$P$7669,0),MATCH($A71&amp;$B71,'D Proj'!$X$1:$X$513,0),MATCH($A71&amp;$B71,'K Proj'!$T$1:$T$508,0))</f>
        <v>172</v>
      </c>
      <c r="O71">
        <f>CHOOSE(M71,INDEX('F Proj'!$D$1:$D$7669,N71),INDEX('D Proj'!$T$1:$T$513,N71),INDEX('K Proj'!$L$1:$L$508,N71))</f>
        <v>19.52</v>
      </c>
      <c r="P71">
        <f>CHOOSE(M71,INDEX('F Proj'!$J$1:$J$7669,N71),INDEX('D Proj'!$N$1:$N$513,N71),INDEX('K Proj'!$P$1:$P$508,N71))</f>
        <v>66.422499999999999</v>
      </c>
      <c r="Q71" t="str">
        <f t="shared" si="3"/>
        <v>QB</v>
      </c>
      <c r="R71" t="str">
        <f>IF(L71="FLEX",INDEX('F Proj'!$F$1:$F$7669,N71),Q71)</f>
        <v>QB</v>
      </c>
      <c r="S71" t="str">
        <f>IF((Week+Half_Week-1)&gt;=VALUE(RIGHT(C71,LEN(C71)-SEARCH("-",C71))),LEFT(C71,SEARCH("-",C71)-1),"")</f>
        <v>perry</v>
      </c>
    </row>
    <row r="72" spans="1:19" x14ac:dyDescent="0.25">
      <c r="A72" t="s">
        <v>80</v>
      </c>
      <c r="B72">
        <v>4</v>
      </c>
      <c r="C72" t="s">
        <v>862</v>
      </c>
      <c r="D72" t="s">
        <v>467</v>
      </c>
      <c r="E72">
        <v>20.7</v>
      </c>
      <c r="G72">
        <v>20.7</v>
      </c>
      <c r="H72">
        <v>0</v>
      </c>
      <c r="I72">
        <v>0</v>
      </c>
      <c r="J72" t="s">
        <v>4762</v>
      </c>
      <c r="K72" t="str">
        <f t="shared" si="2"/>
        <v>Carson Wentz4</v>
      </c>
      <c r="L72" s="21" t="str">
        <f>IF(ISERROR(MATCH($A72,'F Proj'!$B$1:$B$7669,0)),IF(ISERROR(MATCH($A72,'D Proj'!$B$1:$B$513,0)),IF(ISERROR(MATCH($A72,'K Proj'!$B$1:$B$508,0)),"?","K"),"D"),"FLEX")</f>
        <v>FLEX</v>
      </c>
      <c r="M72" s="21">
        <f>MATCH(L72,Pos,0)</f>
        <v>1</v>
      </c>
      <c r="N72" s="21">
        <f>CHOOSE($M72,MATCH($A72&amp;$B72,'F Proj'!$P$1:$P$7669,0),MATCH($A72&amp;$B72,'D Proj'!$X$1:$X$513,0),MATCH($A72&amp;$B72,'K Proj'!$T$1:$T$508,0))</f>
        <v>146</v>
      </c>
      <c r="O72">
        <f>CHOOSE(M72,INDEX('F Proj'!$D$1:$D$7669,N72),INDEX('D Proj'!$T$1:$T$513,N72),INDEX('K Proj'!$L$1:$L$508,N72))</f>
        <v>19.86</v>
      </c>
      <c r="P72">
        <f>CHOOSE(M72,INDEX('F Proj'!$J$1:$J$7669,N72),INDEX('D Proj'!$N$1:$N$513,N72),INDEX('K Proj'!$P$1:$P$508,N72))</f>
        <v>70.392099999999999</v>
      </c>
      <c r="Q72" t="str">
        <f t="shared" si="3"/>
        <v>QB</v>
      </c>
      <c r="R72" t="str">
        <f>IF(L72="FLEX",INDEX('F Proj'!$F$1:$F$7669,N72),Q72)</f>
        <v>QB</v>
      </c>
      <c r="S72" t="str">
        <f>IF((Week+Half_Week-1)&gt;=VALUE(RIGHT(C72,LEN(C72)-SEARCH("-",C72))),LEFT(C72,SEARCH("-",C72)-1),"")</f>
        <v>perry</v>
      </c>
    </row>
    <row r="73" spans="1:19" x14ac:dyDescent="0.25">
      <c r="A73" t="s">
        <v>80</v>
      </c>
      <c r="B73">
        <v>5</v>
      </c>
      <c r="C73" t="s">
        <v>889</v>
      </c>
      <c r="D73" t="s">
        <v>467</v>
      </c>
      <c r="E73" t="s">
        <v>8947</v>
      </c>
      <c r="G73">
        <v>19.39</v>
      </c>
      <c r="H73">
        <v>8.24</v>
      </c>
      <c r="I73">
        <v>67.897599999999997</v>
      </c>
      <c r="J73" t="s">
        <v>8960</v>
      </c>
      <c r="K73" t="str">
        <f t="shared" si="2"/>
        <v>Carson Wentz5</v>
      </c>
      <c r="L73" s="21" t="str">
        <f>IF(ISERROR(MATCH($A73,'F Proj'!$B$1:$B$7669,0)),IF(ISERROR(MATCH($A73,'D Proj'!$B$1:$B$513,0)),IF(ISERROR(MATCH($A73,'K Proj'!$B$1:$B$508,0)),"?","K"),"D"),"FLEX")</f>
        <v>FLEX</v>
      </c>
      <c r="M73" s="21">
        <f>MATCH(L73,Pos,0)</f>
        <v>1</v>
      </c>
      <c r="N73" s="21">
        <f>CHOOSE($M73,MATCH($A73&amp;$B73,'F Proj'!$P$1:$P$7669,0),MATCH($A73&amp;$B73,'D Proj'!$X$1:$X$513,0),MATCH($A73&amp;$B73,'K Proj'!$T$1:$T$508,0))</f>
        <v>186</v>
      </c>
      <c r="O73">
        <f>CHOOSE(M73,INDEX('F Proj'!$D$1:$D$7669,N73),INDEX('D Proj'!$T$1:$T$513,N73),INDEX('K Proj'!$L$1:$L$508,N73))</f>
        <v>19.39</v>
      </c>
      <c r="P73">
        <f>CHOOSE(M73,INDEX('F Proj'!$J$1:$J$7669,N73),INDEX('D Proj'!$N$1:$N$513,N73),INDEX('K Proj'!$P$1:$P$508,N73))</f>
        <v>67.897599999999997</v>
      </c>
      <c r="Q73" t="str">
        <f t="shared" si="3"/>
        <v>QB</v>
      </c>
      <c r="R73" t="str">
        <f>IF(L73="FLEX",INDEX('F Proj'!$F$1:$F$7669,N73),Q73)</f>
        <v>QB</v>
      </c>
      <c r="S73" t="str">
        <f>IF((Week+Half_Week-1)&gt;=VALUE(RIGHT(C73,LEN(C73)-SEARCH("-",C73))),LEFT(C73,SEARCH("-",C73)-1),"")</f>
        <v/>
      </c>
    </row>
    <row r="74" spans="1:19" x14ac:dyDescent="0.25">
      <c r="A74" t="s">
        <v>834</v>
      </c>
      <c r="B74">
        <v>5</v>
      </c>
      <c r="C74" t="s">
        <v>1723</v>
      </c>
      <c r="D74" t="s">
        <v>469</v>
      </c>
      <c r="E74" t="s">
        <v>8947</v>
      </c>
      <c r="G74">
        <v>7.35</v>
      </c>
      <c r="H74">
        <v>5.54</v>
      </c>
      <c r="I74">
        <v>30.691600000000001</v>
      </c>
      <c r="J74" t="s">
        <v>9012</v>
      </c>
      <c r="K74" t="str">
        <f t="shared" si="2"/>
        <v>Chris Carson5</v>
      </c>
      <c r="L74" s="21" t="str">
        <f>IF(ISERROR(MATCH($A74,'F Proj'!$B$1:$B$7669,0)),IF(ISERROR(MATCH($A74,'D Proj'!$B$1:$B$513,0)),IF(ISERROR(MATCH($A74,'K Proj'!$B$1:$B$508,0)),"?","K"),"D"),"FLEX")</f>
        <v>FLEX</v>
      </c>
      <c r="M74" s="21">
        <f>MATCH(L74,Pos,0)</f>
        <v>1</v>
      </c>
      <c r="N74" s="21">
        <f>CHOOSE($M74,MATCH($A74&amp;$B74,'F Proj'!$P$1:$P$7669,0),MATCH($A74&amp;$B74,'D Proj'!$X$1:$X$513,0),MATCH($A74&amp;$B74,'K Proj'!$T$1:$T$508,0))</f>
        <v>1718</v>
      </c>
      <c r="O74">
        <f>CHOOSE(M74,INDEX('F Proj'!$D$1:$D$7669,N74),INDEX('D Proj'!$T$1:$T$513,N74),INDEX('K Proj'!$L$1:$L$508,N74))</f>
        <v>7.35</v>
      </c>
      <c r="P74">
        <f>CHOOSE(M74,INDEX('F Proj'!$J$1:$J$7669,N74),INDEX('D Proj'!$N$1:$N$513,N74),INDEX('K Proj'!$P$1:$P$508,N74))</f>
        <v>30.691600000000001</v>
      </c>
      <c r="Q74" t="str">
        <f t="shared" si="3"/>
        <v>RB</v>
      </c>
      <c r="R74" t="str">
        <f>IF(L74="FLEX",INDEX('F Proj'!$F$1:$F$7669,N74),Q74)</f>
        <v>RB</v>
      </c>
      <c r="S74" t="str">
        <f>IF((Week+Half_Week-1)&gt;=VALUE(RIGHT(C74,LEN(C74)-SEARCH("-",C74))),LEFT(C74,SEARCH("-",C74)-1),"")</f>
        <v/>
      </c>
    </row>
    <row r="75" spans="1:19" x14ac:dyDescent="0.25">
      <c r="A75" t="s">
        <v>159</v>
      </c>
      <c r="B75">
        <v>1</v>
      </c>
      <c r="C75" t="s">
        <v>508</v>
      </c>
      <c r="D75" t="s">
        <v>472</v>
      </c>
      <c r="E75">
        <v>1.1000000000000001</v>
      </c>
      <c r="G75">
        <v>1.1000000000000001</v>
      </c>
      <c r="H75">
        <v>0</v>
      </c>
      <c r="I75">
        <v>0</v>
      </c>
      <c r="J75" t="s">
        <v>580</v>
      </c>
      <c r="K75" t="str">
        <f t="shared" si="2"/>
        <v>Chris Hogan1</v>
      </c>
      <c r="L75" s="21" t="str">
        <f>IF(ISERROR(MATCH($A75,'F Proj'!$B$1:$B$7669,0)),IF(ISERROR(MATCH($A75,'D Proj'!$B$1:$B$513,0)),IF(ISERROR(MATCH($A75,'K Proj'!$B$1:$B$508,0)),"?","K"),"D"),"FLEX")</f>
        <v>FLEX</v>
      </c>
      <c r="M75" s="21">
        <f>MATCH(L75,Pos,0)</f>
        <v>1</v>
      </c>
      <c r="N75" s="21">
        <f>CHOOSE($M75,MATCH($A75&amp;$B75,'F Proj'!$P$1:$P$7669,0),MATCH($A75&amp;$B75,'D Proj'!$X$1:$X$513,0),MATCH($A75&amp;$B75,'K Proj'!$T$1:$T$508,0))</f>
        <v>982</v>
      </c>
      <c r="O75">
        <f>CHOOSE(M75,INDEX('F Proj'!$D$1:$D$7669,N75),INDEX('D Proj'!$T$1:$T$513,N75),INDEX('K Proj'!$L$1:$L$508,N75))</f>
        <v>10.52</v>
      </c>
      <c r="P75">
        <f>CHOOSE(M75,INDEX('F Proj'!$J$1:$J$7669,N75),INDEX('D Proj'!$N$1:$N$513,N75),INDEX('K Proj'!$P$1:$P$508,N75))</f>
        <v>41.2164</v>
      </c>
      <c r="Q75" t="str">
        <f t="shared" si="3"/>
        <v>WR</v>
      </c>
      <c r="R75" t="str">
        <f>IF(L75="FLEX",INDEX('F Proj'!$F$1:$F$7669,N75),Q75)</f>
        <v>WR</v>
      </c>
      <c r="S75" t="str">
        <f>IF((Week+Half_Week-1)&gt;=VALUE(RIGHT(C75,LEN(C75)-SEARCH("-",C75))),LEFT(C75,SEARCH("-",C75)-1),"")</f>
        <v>perry</v>
      </c>
    </row>
    <row r="76" spans="1:19" x14ac:dyDescent="0.25">
      <c r="A76" t="s">
        <v>159</v>
      </c>
      <c r="B76">
        <v>2</v>
      </c>
      <c r="C76" t="s">
        <v>616</v>
      </c>
      <c r="D76" t="s">
        <v>472</v>
      </c>
      <c r="E76">
        <v>16.2</v>
      </c>
      <c r="G76">
        <v>16.2</v>
      </c>
      <c r="H76">
        <v>0</v>
      </c>
      <c r="I76">
        <v>0</v>
      </c>
      <c r="J76" t="s">
        <v>646</v>
      </c>
      <c r="K76" t="str">
        <f t="shared" si="2"/>
        <v>Chris Hogan2</v>
      </c>
      <c r="L76" s="21" t="str">
        <f>IF(ISERROR(MATCH($A76,'F Proj'!$B$1:$B$7669,0)),IF(ISERROR(MATCH($A76,'D Proj'!$B$1:$B$513,0)),IF(ISERROR(MATCH($A76,'K Proj'!$B$1:$B$508,0)),"?","K"),"D"),"FLEX")</f>
        <v>FLEX</v>
      </c>
      <c r="M76" s="21">
        <f>MATCH(L76,Pos,0)</f>
        <v>1</v>
      </c>
      <c r="N76" s="21">
        <f>CHOOSE($M76,MATCH($A76&amp;$B76,'F Proj'!$P$1:$P$7669,0),MATCH($A76&amp;$B76,'D Proj'!$X$1:$X$513,0),MATCH($A76&amp;$B76,'K Proj'!$T$1:$T$508,0))</f>
        <v>1173</v>
      </c>
      <c r="O76">
        <f>CHOOSE(M76,INDEX('F Proj'!$D$1:$D$7669,N76),INDEX('D Proj'!$T$1:$T$513,N76),INDEX('K Proj'!$L$1:$L$508,N76))</f>
        <v>9.5500000000000007</v>
      </c>
      <c r="P76">
        <f>CHOOSE(M76,INDEX('F Proj'!$J$1:$J$7669,N76),INDEX('D Proj'!$N$1:$N$513,N76),INDEX('K Proj'!$P$1:$P$508,N76))</f>
        <v>47.196899999999999</v>
      </c>
      <c r="Q76" t="str">
        <f t="shared" si="3"/>
        <v>WR</v>
      </c>
      <c r="R76" t="str">
        <f>IF(L76="FLEX",INDEX('F Proj'!$F$1:$F$7669,N76),Q76)</f>
        <v>WR</v>
      </c>
      <c r="S76" t="str">
        <f>IF((Week+Half_Week-1)&gt;=VALUE(RIGHT(C76,LEN(C76)-SEARCH("-",C76))),LEFT(C76,SEARCH("-",C76)-1),"")</f>
        <v>perry</v>
      </c>
    </row>
    <row r="77" spans="1:19" x14ac:dyDescent="0.25">
      <c r="A77" t="s">
        <v>159</v>
      </c>
      <c r="B77">
        <v>4</v>
      </c>
      <c r="C77" t="s">
        <v>862</v>
      </c>
      <c r="D77" t="s">
        <v>466</v>
      </c>
      <c r="E77">
        <v>2.5</v>
      </c>
      <c r="G77">
        <v>2.5</v>
      </c>
      <c r="H77">
        <v>0</v>
      </c>
      <c r="I77">
        <v>0</v>
      </c>
      <c r="J77" t="s">
        <v>4809</v>
      </c>
      <c r="K77" t="str">
        <f t="shared" si="2"/>
        <v>Chris Hogan4</v>
      </c>
      <c r="L77" s="21" t="str">
        <f>IF(ISERROR(MATCH($A77,'F Proj'!$B$1:$B$7669,0)),IF(ISERROR(MATCH($A77,'D Proj'!$B$1:$B$513,0)),IF(ISERROR(MATCH($A77,'K Proj'!$B$1:$B$508,0)),"?","K"),"D"),"FLEX")</f>
        <v>FLEX</v>
      </c>
      <c r="M77" s="21">
        <f>MATCH(L77,Pos,0)</f>
        <v>1</v>
      </c>
      <c r="N77" s="21">
        <f>CHOOSE($M77,MATCH($A77&amp;$B77,'F Proj'!$P$1:$P$7669,0),MATCH($A77&amp;$B77,'D Proj'!$X$1:$X$513,0),MATCH($A77&amp;$B77,'K Proj'!$T$1:$T$508,0))</f>
        <v>2202</v>
      </c>
      <c r="O77">
        <f>CHOOSE(M77,INDEX('F Proj'!$D$1:$D$7669,N77),INDEX('D Proj'!$T$1:$T$513,N77),INDEX('K Proj'!$L$1:$L$508,N77))</f>
        <v>5.93</v>
      </c>
      <c r="P77">
        <f>CHOOSE(M77,INDEX('F Proj'!$J$1:$J$7669,N77),INDEX('D Proj'!$N$1:$N$513,N77),INDEX('K Proj'!$P$1:$P$508,N77))</f>
        <v>17.4724</v>
      </c>
      <c r="Q77" t="str">
        <f t="shared" si="3"/>
        <v>WR/RB</v>
      </c>
      <c r="R77" t="str">
        <f>IF(L77="FLEX",INDEX('F Proj'!$F$1:$F$7669,N77),Q77)</f>
        <v>WR</v>
      </c>
      <c r="S77" t="str">
        <f>IF((Week+Half_Week-1)&gt;=VALUE(RIGHT(C77,LEN(C77)-SEARCH("-",C77))),LEFT(C77,SEARCH("-",C77)-1),"")</f>
        <v>perry</v>
      </c>
    </row>
    <row r="78" spans="1:19" x14ac:dyDescent="0.25">
      <c r="A78" t="s">
        <v>112</v>
      </c>
      <c r="B78">
        <v>1</v>
      </c>
      <c r="C78" t="s">
        <v>503</v>
      </c>
      <c r="D78" t="s">
        <v>469</v>
      </c>
      <c r="E78">
        <v>7.5</v>
      </c>
      <c r="G78">
        <v>7.5</v>
      </c>
      <c r="H78">
        <v>0</v>
      </c>
      <c r="I78">
        <v>0</v>
      </c>
      <c r="J78" t="s">
        <v>542</v>
      </c>
      <c r="K78" t="str">
        <f t="shared" si="2"/>
        <v>Christian McCaffrey1</v>
      </c>
      <c r="L78" s="21" t="str">
        <f>IF(ISERROR(MATCH($A78,'F Proj'!$B$1:$B$7669,0)),IF(ISERROR(MATCH($A78,'D Proj'!$B$1:$B$513,0)),IF(ISERROR(MATCH($A78,'K Proj'!$B$1:$B$508,0)),"?","K"),"D"),"FLEX")</f>
        <v>FLEX</v>
      </c>
      <c r="M78" s="21">
        <f>MATCH(L78,Pos,0)</f>
        <v>1</v>
      </c>
      <c r="N78" s="21">
        <f>CHOOSE($M78,MATCH($A78&amp;$B78,'F Proj'!$P$1:$P$7669,0),MATCH($A78&amp;$B78,'D Proj'!$X$1:$X$513,0),MATCH($A78&amp;$B78,'K Proj'!$T$1:$T$508,0))</f>
        <v>566</v>
      </c>
      <c r="O78">
        <f>CHOOSE(M78,INDEX('F Proj'!$D$1:$D$7669,N78),INDEX('D Proj'!$T$1:$T$513,N78),INDEX('K Proj'!$L$1:$L$508,N78))</f>
        <v>14.11</v>
      </c>
      <c r="P78">
        <f>CHOOSE(M78,INDEX('F Proj'!$J$1:$J$7669,N78),INDEX('D Proj'!$N$1:$N$513,N78),INDEX('K Proj'!$P$1:$P$508,N78))</f>
        <v>34.692100000000003</v>
      </c>
      <c r="Q78" t="str">
        <f t="shared" si="3"/>
        <v>RB</v>
      </c>
      <c r="R78" t="str">
        <f>IF(L78="FLEX",INDEX('F Proj'!$F$1:$F$7669,N78),Q78)</f>
        <v>RB</v>
      </c>
      <c r="S78" t="str">
        <f>IF((Week+Half_Week-1)&gt;=VALUE(RIGHT(C78,LEN(C78)-SEARCH("-",C78))),LEFT(C78,SEARCH("-",C78)-1),"")</f>
        <v>devon</v>
      </c>
    </row>
    <row r="79" spans="1:19" x14ac:dyDescent="0.25">
      <c r="A79" t="s">
        <v>112</v>
      </c>
      <c r="B79">
        <v>2</v>
      </c>
      <c r="C79" t="s">
        <v>633</v>
      </c>
      <c r="D79" t="s">
        <v>469</v>
      </c>
      <c r="E79">
        <v>13.9</v>
      </c>
      <c r="G79">
        <v>13.9</v>
      </c>
      <c r="H79">
        <v>0</v>
      </c>
      <c r="I79">
        <v>0</v>
      </c>
      <c r="J79" t="s">
        <v>634</v>
      </c>
      <c r="K79" t="str">
        <f t="shared" si="2"/>
        <v>Christian McCaffrey2</v>
      </c>
      <c r="L79" s="21" t="str">
        <f>IF(ISERROR(MATCH($A79,'F Proj'!$B$1:$B$7669,0)),IF(ISERROR(MATCH($A79,'D Proj'!$B$1:$B$513,0)),IF(ISERROR(MATCH($A79,'K Proj'!$B$1:$B$508,0)),"?","K"),"D"),"FLEX")</f>
        <v>FLEX</v>
      </c>
      <c r="M79" s="21">
        <f>MATCH(L79,Pos,0)</f>
        <v>1</v>
      </c>
      <c r="N79" s="21">
        <f>CHOOSE($M79,MATCH($A79&amp;$B79,'F Proj'!$P$1:$P$7669,0),MATCH($A79&amp;$B79,'D Proj'!$X$1:$X$513,0),MATCH($A79&amp;$B79,'K Proj'!$T$1:$T$508,0))</f>
        <v>774</v>
      </c>
      <c r="O79">
        <f>CHOOSE(M79,INDEX('F Proj'!$D$1:$D$7669,N79),INDEX('D Proj'!$T$1:$T$513,N79),INDEX('K Proj'!$L$1:$L$508,N79))</f>
        <v>12.35</v>
      </c>
      <c r="P79">
        <f>CHOOSE(M79,INDEX('F Proj'!$J$1:$J$7669,N79),INDEX('D Proj'!$N$1:$N$513,N79),INDEX('K Proj'!$P$1:$P$508,N79))</f>
        <v>40.195599999999999</v>
      </c>
      <c r="Q79" t="str">
        <f t="shared" si="3"/>
        <v>RB</v>
      </c>
      <c r="R79" t="str">
        <f>IF(L79="FLEX",INDEX('F Proj'!$F$1:$F$7669,N79),Q79)</f>
        <v>RB</v>
      </c>
      <c r="S79" t="str">
        <f>IF((Week+Half_Week-1)&gt;=VALUE(RIGHT(C79,LEN(C79)-SEARCH("-",C79))),LEFT(C79,SEARCH("-",C79)-1),"")</f>
        <v>devon</v>
      </c>
    </row>
    <row r="80" spans="1:19" x14ac:dyDescent="0.25">
      <c r="A80" t="s">
        <v>112</v>
      </c>
      <c r="B80">
        <v>3</v>
      </c>
      <c r="C80" t="s">
        <v>811</v>
      </c>
      <c r="D80" t="s">
        <v>468</v>
      </c>
      <c r="E80">
        <v>19.399999999999999</v>
      </c>
      <c r="G80">
        <v>19.399999999999999</v>
      </c>
      <c r="H80">
        <v>0</v>
      </c>
      <c r="I80">
        <v>0</v>
      </c>
      <c r="J80" t="s">
        <v>4281</v>
      </c>
      <c r="K80" t="str">
        <f t="shared" si="2"/>
        <v>Christian McCaffrey3</v>
      </c>
      <c r="L80" s="21" t="str">
        <f>IF(ISERROR(MATCH($A80,'F Proj'!$B$1:$B$7669,0)),IF(ISERROR(MATCH($A80,'D Proj'!$B$1:$B$513,0)),IF(ISERROR(MATCH($A80,'K Proj'!$B$1:$B$508,0)),"?","K"),"D"),"FLEX")</f>
        <v>FLEX</v>
      </c>
      <c r="M80" s="21">
        <f>MATCH(L80,Pos,0)</f>
        <v>1</v>
      </c>
      <c r="N80" s="21">
        <f>CHOOSE($M80,MATCH($A80&amp;$B80,'F Proj'!$P$1:$P$7669,0),MATCH($A80&amp;$B80,'D Proj'!$X$1:$X$513,0),MATCH($A80&amp;$B80,'K Proj'!$T$1:$T$508,0))</f>
        <v>672</v>
      </c>
      <c r="O80">
        <f>CHOOSE(M80,INDEX('F Proj'!$D$1:$D$7669,N80),INDEX('D Proj'!$T$1:$T$513,N80),INDEX('K Proj'!$L$1:$L$508,N80))</f>
        <v>13.11</v>
      </c>
      <c r="P80">
        <f>CHOOSE(M80,INDEX('F Proj'!$J$1:$J$7669,N80),INDEX('D Proj'!$N$1:$N$513,N80),INDEX('K Proj'!$P$1:$P$508,N80))</f>
        <v>46.376100000000001</v>
      </c>
      <c r="Q80" t="str">
        <f t="shared" si="3"/>
        <v>RB</v>
      </c>
      <c r="R80" t="str">
        <f>IF(L80="FLEX",INDEX('F Proj'!$F$1:$F$7669,N80),Q80)</f>
        <v>RB</v>
      </c>
      <c r="S80" t="str">
        <f>IF((Week+Half_Week-1)&gt;=VALUE(RIGHT(C80,LEN(C80)-SEARCH("-",C80))),LEFT(C80,SEARCH("-",C80)-1),"")</f>
        <v>devon</v>
      </c>
    </row>
    <row r="81" spans="1:19" x14ac:dyDescent="0.25">
      <c r="A81" t="s">
        <v>112</v>
      </c>
      <c r="B81">
        <v>5</v>
      </c>
      <c r="C81" t="s">
        <v>885</v>
      </c>
      <c r="D81" t="s">
        <v>468</v>
      </c>
      <c r="E81" t="s">
        <v>8947</v>
      </c>
      <c r="G81">
        <v>15.54</v>
      </c>
      <c r="H81">
        <v>7.47</v>
      </c>
      <c r="I81">
        <v>55.800899999999999</v>
      </c>
      <c r="J81" t="s">
        <v>8961</v>
      </c>
      <c r="K81" t="str">
        <f t="shared" si="2"/>
        <v>Christian McCaffrey5</v>
      </c>
      <c r="L81" s="21" t="str">
        <f>IF(ISERROR(MATCH($A81,'F Proj'!$B$1:$B$7669,0)),IF(ISERROR(MATCH($A81,'D Proj'!$B$1:$B$513,0)),IF(ISERROR(MATCH($A81,'K Proj'!$B$1:$B$508,0)),"?","K"),"D"),"FLEX")</f>
        <v>FLEX</v>
      </c>
      <c r="M81" s="21">
        <f>MATCH(L81,Pos,0)</f>
        <v>1</v>
      </c>
      <c r="N81" s="21">
        <f>CHOOSE($M81,MATCH($A81&amp;$B81,'F Proj'!$P$1:$P$7669,0),MATCH($A81&amp;$B81,'D Proj'!$X$1:$X$513,0),MATCH($A81&amp;$B81,'K Proj'!$T$1:$T$508,0))</f>
        <v>443</v>
      </c>
      <c r="O81">
        <f>CHOOSE(M81,INDEX('F Proj'!$D$1:$D$7669,N81),INDEX('D Proj'!$T$1:$T$513,N81),INDEX('K Proj'!$L$1:$L$508,N81))</f>
        <v>15.54</v>
      </c>
      <c r="P81">
        <f>CHOOSE(M81,INDEX('F Proj'!$J$1:$J$7669,N81),INDEX('D Proj'!$N$1:$N$513,N81),INDEX('K Proj'!$P$1:$P$508,N81))</f>
        <v>55.800899999999999</v>
      </c>
      <c r="Q81" t="str">
        <f t="shared" si="3"/>
        <v>RB</v>
      </c>
      <c r="R81" t="str">
        <f>IF(L81="FLEX",INDEX('F Proj'!$F$1:$F$7669,N81),Q81)</f>
        <v>RB</v>
      </c>
      <c r="S81" t="str">
        <f>IF((Week+Half_Week-1)&gt;=VALUE(RIGHT(C81,LEN(C81)-SEARCH("-",C81))),LEFT(C81,SEARCH("-",C81)-1),"")</f>
        <v/>
      </c>
    </row>
    <row r="82" spans="1:19" x14ac:dyDescent="0.25">
      <c r="A82" t="s">
        <v>256</v>
      </c>
      <c r="B82">
        <v>1</v>
      </c>
      <c r="C82" t="s">
        <v>1649</v>
      </c>
      <c r="D82" t="s">
        <v>473</v>
      </c>
      <c r="E82">
        <v>12.8</v>
      </c>
      <c r="G82">
        <v>12.8</v>
      </c>
      <c r="H82">
        <v>0</v>
      </c>
      <c r="I82">
        <v>0</v>
      </c>
      <c r="J82" t="s">
        <v>1655</v>
      </c>
      <c r="K82" t="str">
        <f t="shared" si="2"/>
        <v>Cooper Kupp1</v>
      </c>
      <c r="L82" s="21" t="str">
        <f>IF(ISERROR(MATCH($A82,'F Proj'!$B$1:$B$7669,0)),IF(ISERROR(MATCH($A82,'D Proj'!$B$1:$B$513,0)),IF(ISERROR(MATCH($A82,'K Proj'!$B$1:$B$508,0)),"?","K"),"D"),"FLEX")</f>
        <v>FLEX</v>
      </c>
      <c r="M82" s="21">
        <f>MATCH(L82,Pos,0)</f>
        <v>1</v>
      </c>
      <c r="N82" s="21">
        <f>CHOOSE($M82,MATCH($A82&amp;$B82,'F Proj'!$P$1:$P$7669,0),MATCH($A82&amp;$B82,'D Proj'!$X$1:$X$513,0),MATCH($A82&amp;$B82,'K Proj'!$T$1:$T$508,0))</f>
        <v>1646</v>
      </c>
      <c r="O82">
        <f>CHOOSE(M82,INDEX('F Proj'!$D$1:$D$7669,N82),INDEX('D Proj'!$T$1:$T$513,N82),INDEX('K Proj'!$L$1:$L$508,N82))</f>
        <v>7.59</v>
      </c>
      <c r="P82">
        <f>CHOOSE(M82,INDEX('F Proj'!$J$1:$J$7669,N82),INDEX('D Proj'!$N$1:$N$513,N82),INDEX('K Proj'!$P$1:$P$508,N82))</f>
        <v>31.584399999999999</v>
      </c>
      <c r="Q82" t="str">
        <f t="shared" si="3"/>
        <v>WR</v>
      </c>
      <c r="R82" t="str">
        <f>IF(L82="FLEX",INDEX('F Proj'!$F$1:$F$7669,N82),Q82)</f>
        <v>WR</v>
      </c>
      <c r="S82" t="str">
        <f>IF((Week+Half_Week-1)&gt;=VALUE(RIGHT(C82,LEN(C82)-SEARCH("-",C82))),LEFT(C82,SEARCH("-",C82)-1),"")</f>
        <v>lucas</v>
      </c>
    </row>
    <row r="83" spans="1:19" x14ac:dyDescent="0.25">
      <c r="A83" t="s">
        <v>256</v>
      </c>
      <c r="B83">
        <v>2</v>
      </c>
      <c r="C83" t="s">
        <v>1651</v>
      </c>
      <c r="D83" t="s">
        <v>472</v>
      </c>
      <c r="E83">
        <v>6.3</v>
      </c>
      <c r="G83">
        <v>6.3</v>
      </c>
      <c r="H83">
        <v>0</v>
      </c>
      <c r="I83">
        <v>0</v>
      </c>
      <c r="J83" t="s">
        <v>1658</v>
      </c>
      <c r="K83" t="str">
        <f t="shared" si="2"/>
        <v>Cooper Kupp2</v>
      </c>
      <c r="L83" s="21" t="str">
        <f>IF(ISERROR(MATCH($A83,'F Proj'!$B$1:$B$7669,0)),IF(ISERROR(MATCH($A83,'D Proj'!$B$1:$B$513,0)),IF(ISERROR(MATCH($A83,'K Proj'!$B$1:$B$508,0)),"?","K"),"D"),"FLEX")</f>
        <v>FLEX</v>
      </c>
      <c r="M83" s="21">
        <f>MATCH(L83,Pos,0)</f>
        <v>1</v>
      </c>
      <c r="N83" s="21">
        <f>CHOOSE($M83,MATCH($A83&amp;$B83,'F Proj'!$P$1:$P$7669,0),MATCH($A83&amp;$B83,'D Proj'!$X$1:$X$513,0),MATCH($A83&amp;$B83,'K Proj'!$T$1:$T$508,0))</f>
        <v>2284</v>
      </c>
      <c r="O83">
        <f>CHOOSE(M83,INDEX('F Proj'!$D$1:$D$7669,N83),INDEX('D Proj'!$T$1:$T$513,N83),INDEX('K Proj'!$L$1:$L$508,N83))</f>
        <v>5.72</v>
      </c>
      <c r="P83">
        <f>CHOOSE(M83,INDEX('F Proj'!$J$1:$J$7669,N83),INDEX('D Proj'!$N$1:$N$513,N83),INDEX('K Proj'!$P$1:$P$508,N83))</f>
        <v>22.09</v>
      </c>
      <c r="Q83" t="str">
        <f t="shared" si="3"/>
        <v>WR</v>
      </c>
      <c r="R83" t="str">
        <f>IF(L83="FLEX",INDEX('F Proj'!$F$1:$F$7669,N83),Q83)</f>
        <v>WR</v>
      </c>
      <c r="S83" t="str">
        <f>IF((Week+Half_Week-1)&gt;=VALUE(RIGHT(C83,LEN(C83)-SEARCH("-",C83))),LEFT(C83,SEARCH("-",C83)-1),"")</f>
        <v>lucas</v>
      </c>
    </row>
    <row r="84" spans="1:19" x14ac:dyDescent="0.25">
      <c r="A84" t="s">
        <v>256</v>
      </c>
      <c r="B84">
        <v>3</v>
      </c>
      <c r="C84" t="s">
        <v>1721</v>
      </c>
      <c r="D84" t="s">
        <v>472</v>
      </c>
      <c r="E84">
        <v>12.8</v>
      </c>
      <c r="G84">
        <v>12.8</v>
      </c>
      <c r="H84">
        <v>0</v>
      </c>
      <c r="I84">
        <v>0</v>
      </c>
      <c r="J84" t="s">
        <v>4282</v>
      </c>
      <c r="K84" t="str">
        <f t="shared" si="2"/>
        <v>Cooper Kupp3</v>
      </c>
      <c r="L84" s="21" t="str">
        <f>IF(ISERROR(MATCH($A84,'F Proj'!$B$1:$B$7669,0)),IF(ISERROR(MATCH($A84,'D Proj'!$B$1:$B$513,0)),IF(ISERROR(MATCH($A84,'K Proj'!$B$1:$B$508,0)),"?","K"),"D"),"FLEX")</f>
        <v>FLEX</v>
      </c>
      <c r="M84" s="21">
        <f>MATCH(L84,Pos,0)</f>
        <v>1</v>
      </c>
      <c r="N84" s="21">
        <f>CHOOSE($M84,MATCH($A84&amp;$B84,'F Proj'!$P$1:$P$7669,0),MATCH($A84&amp;$B84,'D Proj'!$X$1:$X$513,0),MATCH($A84&amp;$B84,'K Proj'!$T$1:$T$508,0))</f>
        <v>2175</v>
      </c>
      <c r="O84">
        <f>CHOOSE(M84,INDEX('F Proj'!$D$1:$D$7669,N84),INDEX('D Proj'!$T$1:$T$513,N84),INDEX('K Proj'!$L$1:$L$508,N84))</f>
        <v>6</v>
      </c>
      <c r="P84">
        <f>CHOOSE(M84,INDEX('F Proj'!$J$1:$J$7669,N84),INDEX('D Proj'!$N$1:$N$513,N84),INDEX('K Proj'!$P$1:$P$508,N84))</f>
        <v>12.040900000000001</v>
      </c>
      <c r="Q84" t="str">
        <f t="shared" si="3"/>
        <v>WR</v>
      </c>
      <c r="R84" t="str">
        <f>IF(L84="FLEX",INDEX('F Proj'!$F$1:$F$7669,N84),Q84)</f>
        <v>WR</v>
      </c>
      <c r="S84" t="str">
        <f>IF((Week+Half_Week-1)&gt;=VALUE(RIGHT(C84,LEN(C84)-SEARCH("-",C84))),LEFT(C84,SEARCH("-",C84)-1),"")</f>
        <v>lucas</v>
      </c>
    </row>
    <row r="85" spans="1:19" x14ac:dyDescent="0.25">
      <c r="A85" t="s">
        <v>256</v>
      </c>
      <c r="B85">
        <v>4</v>
      </c>
      <c r="C85" t="s">
        <v>1722</v>
      </c>
      <c r="D85" t="s">
        <v>472</v>
      </c>
      <c r="E85">
        <v>28.2</v>
      </c>
      <c r="G85">
        <v>28.2</v>
      </c>
      <c r="H85">
        <v>0</v>
      </c>
      <c r="I85">
        <v>0</v>
      </c>
      <c r="J85" t="s">
        <v>4763</v>
      </c>
      <c r="K85" t="str">
        <f t="shared" si="2"/>
        <v>Cooper Kupp4</v>
      </c>
      <c r="L85" s="21" t="str">
        <f>IF(ISERROR(MATCH($A85,'F Proj'!$B$1:$B$7669,0)),IF(ISERROR(MATCH($A85,'D Proj'!$B$1:$B$513,0)),IF(ISERROR(MATCH($A85,'K Proj'!$B$1:$B$508,0)),"?","K"),"D"),"FLEX")</f>
        <v>FLEX</v>
      </c>
      <c r="M85" s="21">
        <f>MATCH(L85,Pos,0)</f>
        <v>1</v>
      </c>
      <c r="N85" s="21">
        <f>CHOOSE($M85,MATCH($A85&amp;$B85,'F Proj'!$P$1:$P$7669,0),MATCH($A85&amp;$B85,'D Proj'!$X$1:$X$513,0),MATCH($A85&amp;$B85,'K Proj'!$T$1:$T$508,0))</f>
        <v>1531</v>
      </c>
      <c r="O85">
        <f>CHOOSE(M85,INDEX('F Proj'!$D$1:$D$7669,N85),INDEX('D Proj'!$T$1:$T$513,N85),INDEX('K Proj'!$L$1:$L$508,N85))</f>
        <v>8.02</v>
      </c>
      <c r="P85">
        <f>CHOOSE(M85,INDEX('F Proj'!$J$1:$J$7669,N85),INDEX('D Proj'!$N$1:$N$513,N85),INDEX('K Proj'!$P$1:$P$508,N85))</f>
        <v>24.403600000000001</v>
      </c>
      <c r="Q85" t="str">
        <f t="shared" si="3"/>
        <v>WR</v>
      </c>
      <c r="R85" t="str">
        <f>IF(L85="FLEX",INDEX('F Proj'!$F$1:$F$7669,N85),Q85)</f>
        <v>WR</v>
      </c>
      <c r="S85" t="str">
        <f>IF((Week+Half_Week-1)&gt;=VALUE(RIGHT(C85,LEN(C85)-SEARCH("-",C85))),LEFT(C85,SEARCH("-",C85)-1),"")</f>
        <v>lucas</v>
      </c>
    </row>
    <row r="86" spans="1:19" x14ac:dyDescent="0.25">
      <c r="A86" t="s">
        <v>256</v>
      </c>
      <c r="B86">
        <v>5</v>
      </c>
      <c r="C86" t="s">
        <v>1723</v>
      </c>
      <c r="D86" t="s">
        <v>471</v>
      </c>
      <c r="E86" t="s">
        <v>8947</v>
      </c>
      <c r="G86">
        <v>9.57</v>
      </c>
      <c r="H86">
        <v>5.69</v>
      </c>
      <c r="I86">
        <v>32.376100000000001</v>
      </c>
      <c r="J86" t="s">
        <v>8953</v>
      </c>
      <c r="K86" t="str">
        <f t="shared" si="2"/>
        <v>Cooper Kupp5</v>
      </c>
      <c r="L86" s="21" t="str">
        <f>IF(ISERROR(MATCH($A86,'F Proj'!$B$1:$B$7669,0)),IF(ISERROR(MATCH($A86,'D Proj'!$B$1:$B$513,0)),IF(ISERROR(MATCH($A86,'K Proj'!$B$1:$B$508,0)),"?","K"),"D"),"FLEX")</f>
        <v>FLEX</v>
      </c>
      <c r="M86" s="21">
        <f>MATCH(L86,Pos,0)</f>
        <v>1</v>
      </c>
      <c r="N86" s="21">
        <f>CHOOSE($M86,MATCH($A86&amp;$B86,'F Proj'!$P$1:$P$7669,0),MATCH($A86&amp;$B86,'D Proj'!$X$1:$X$513,0),MATCH($A86&amp;$B86,'K Proj'!$T$1:$T$508,0))</f>
        <v>1167</v>
      </c>
      <c r="O86">
        <f>CHOOSE(M86,INDEX('F Proj'!$D$1:$D$7669,N86),INDEX('D Proj'!$T$1:$T$513,N86),INDEX('K Proj'!$L$1:$L$508,N86))</f>
        <v>9.57</v>
      </c>
      <c r="P86">
        <f>CHOOSE(M86,INDEX('F Proj'!$J$1:$J$7669,N86),INDEX('D Proj'!$N$1:$N$513,N86),INDEX('K Proj'!$P$1:$P$508,N86))</f>
        <v>32.376100000000001</v>
      </c>
      <c r="Q86" t="str">
        <f t="shared" si="3"/>
        <v>WR</v>
      </c>
      <c r="R86" t="str">
        <f>IF(L86="FLEX",INDEX('F Proj'!$F$1:$F$7669,N86),Q86)</f>
        <v>WR</v>
      </c>
      <c r="S86" t="str">
        <f>IF((Week+Half_Week-1)&gt;=VALUE(RIGHT(C86,LEN(C86)-SEARCH("-",C86))),LEFT(C86,SEARCH("-",C86)-1),"")</f>
        <v/>
      </c>
    </row>
    <row r="87" spans="1:19" x14ac:dyDescent="0.25">
      <c r="A87" t="s">
        <v>171</v>
      </c>
      <c r="B87">
        <v>2</v>
      </c>
      <c r="C87" t="s">
        <v>636</v>
      </c>
      <c r="D87" t="s">
        <v>473</v>
      </c>
      <c r="E87">
        <v>5.5</v>
      </c>
      <c r="G87">
        <v>5.5</v>
      </c>
      <c r="H87">
        <v>0</v>
      </c>
      <c r="I87">
        <v>0</v>
      </c>
      <c r="J87" t="s">
        <v>665</v>
      </c>
      <c r="K87" t="str">
        <f t="shared" si="2"/>
        <v>Corey Davis2</v>
      </c>
      <c r="L87" s="21" t="str">
        <f>IF(ISERROR(MATCH($A87,'F Proj'!$B$1:$B$7669,0)),IF(ISERROR(MATCH($A87,'D Proj'!$B$1:$B$513,0)),IF(ISERROR(MATCH($A87,'K Proj'!$B$1:$B$508,0)),"?","K"),"D"),"FLEX")</f>
        <v>FLEX</v>
      </c>
      <c r="M87" s="21">
        <f>MATCH(L87,Pos,0)</f>
        <v>1</v>
      </c>
      <c r="N87" s="21">
        <f>CHOOSE($M87,MATCH($A87&amp;$B87,'F Proj'!$P$1:$P$7669,0),MATCH($A87&amp;$B87,'D Proj'!$X$1:$X$513,0),MATCH($A87&amp;$B87,'K Proj'!$T$1:$T$508,0))</f>
        <v>1454</v>
      </c>
      <c r="O87">
        <f>CHOOSE(M87,INDEX('F Proj'!$D$1:$D$7669,N87),INDEX('D Proj'!$T$1:$T$513,N87),INDEX('K Proj'!$L$1:$L$508,N87))</f>
        <v>8.25</v>
      </c>
      <c r="P87">
        <f>CHOOSE(M87,INDEX('F Proj'!$J$1:$J$7669,N87),INDEX('D Proj'!$N$1:$N$513,N87),INDEX('K Proj'!$P$1:$P$508,N87))</f>
        <v>51.84</v>
      </c>
      <c r="Q87" t="str">
        <f t="shared" si="3"/>
        <v>WR</v>
      </c>
      <c r="R87" t="str">
        <f>IF(L87="FLEX",INDEX('F Proj'!$F$1:$F$7669,N87),Q87)</f>
        <v>WR</v>
      </c>
      <c r="S87" t="str">
        <f>IF((Week+Half_Week-1)&gt;=VALUE(RIGHT(C87,LEN(C87)-SEARCH("-",C87))),LEFT(C87,SEARCH("-",C87)-1),"")</f>
        <v>matty</v>
      </c>
    </row>
    <row r="88" spans="1:19" x14ac:dyDescent="0.25">
      <c r="A88" t="s">
        <v>171</v>
      </c>
      <c r="B88">
        <v>3</v>
      </c>
      <c r="C88" t="s">
        <v>812</v>
      </c>
      <c r="D88" t="s">
        <v>473</v>
      </c>
      <c r="E88">
        <v>3.4</v>
      </c>
      <c r="G88">
        <v>3.4</v>
      </c>
      <c r="H88">
        <v>0</v>
      </c>
      <c r="I88">
        <v>0</v>
      </c>
      <c r="J88" t="s">
        <v>4283</v>
      </c>
      <c r="K88" t="str">
        <f t="shared" si="2"/>
        <v>Corey Davis3</v>
      </c>
      <c r="L88" s="21" t="str">
        <f>IF(ISERROR(MATCH($A88,'F Proj'!$B$1:$B$7669,0)),IF(ISERROR(MATCH($A88,'D Proj'!$B$1:$B$513,0)),IF(ISERROR(MATCH($A88,'K Proj'!$B$1:$B$508,0)),"?","K"),"D"),"FLEX")</f>
        <v>FLEX</v>
      </c>
      <c r="M88" s="21">
        <f>MATCH(L88,Pos,0)</f>
        <v>1</v>
      </c>
      <c r="N88" s="21">
        <f>CHOOSE($M88,MATCH($A88&amp;$B88,'F Proj'!$P$1:$P$7669,0),MATCH($A88&amp;$B88,'D Proj'!$X$1:$X$513,0),MATCH($A88&amp;$B88,'K Proj'!$T$1:$T$508,0))</f>
        <v>1527</v>
      </c>
      <c r="O88">
        <f>CHOOSE(M88,INDEX('F Proj'!$D$1:$D$7669,N88),INDEX('D Proj'!$T$1:$T$513,N88),INDEX('K Proj'!$L$1:$L$508,N88))</f>
        <v>8.0299999999999994</v>
      </c>
      <c r="P88">
        <f>CHOOSE(M88,INDEX('F Proj'!$J$1:$J$7669,N88),INDEX('D Proj'!$N$1:$N$513,N88),INDEX('K Proj'!$P$1:$P$508,N88))</f>
        <v>58.216900000000003</v>
      </c>
      <c r="Q88" t="str">
        <f t="shared" si="3"/>
        <v>WR</v>
      </c>
      <c r="R88" t="str">
        <f>IF(L88="FLEX",INDEX('F Proj'!$F$1:$F$7669,N88),Q88)</f>
        <v>WR</v>
      </c>
      <c r="S88" t="str">
        <f>IF((Week+Half_Week-1)&gt;=VALUE(RIGHT(C88,LEN(C88)-SEARCH("-",C88))),LEFT(C88,SEARCH("-",C88)-1),"")</f>
        <v>matty</v>
      </c>
    </row>
    <row r="89" spans="1:19" x14ac:dyDescent="0.25">
      <c r="A89" t="s">
        <v>171</v>
      </c>
      <c r="B89">
        <v>4</v>
      </c>
      <c r="C89" t="s">
        <v>864</v>
      </c>
      <c r="D89" t="s">
        <v>466</v>
      </c>
      <c r="E89">
        <v>22.1</v>
      </c>
      <c r="G89">
        <v>22.1</v>
      </c>
      <c r="H89">
        <v>0</v>
      </c>
      <c r="I89">
        <v>0</v>
      </c>
      <c r="J89" t="s">
        <v>4777</v>
      </c>
      <c r="K89" t="str">
        <f t="shared" si="2"/>
        <v>Corey Davis4</v>
      </c>
      <c r="L89" s="21" t="str">
        <f>IF(ISERROR(MATCH($A89,'F Proj'!$B$1:$B$7669,0)),IF(ISERROR(MATCH($A89,'D Proj'!$B$1:$B$513,0)),IF(ISERROR(MATCH($A89,'K Proj'!$B$1:$B$508,0)),"?","K"),"D"),"FLEX")</f>
        <v>FLEX</v>
      </c>
      <c r="M89" s="21">
        <f>MATCH(L89,Pos,0)</f>
        <v>1</v>
      </c>
      <c r="N89" s="21">
        <f>CHOOSE($M89,MATCH($A89&amp;$B89,'F Proj'!$P$1:$P$7669,0),MATCH($A89&amp;$B89,'D Proj'!$X$1:$X$513,0),MATCH($A89&amp;$B89,'K Proj'!$T$1:$T$508,0))</f>
        <v>1431</v>
      </c>
      <c r="O89">
        <f>CHOOSE(M89,INDEX('F Proj'!$D$1:$D$7669,N89),INDEX('D Proj'!$T$1:$T$513,N89),INDEX('K Proj'!$L$1:$L$508,N89))</f>
        <v>8.35</v>
      </c>
      <c r="P89">
        <f>CHOOSE(M89,INDEX('F Proj'!$J$1:$J$7669,N89),INDEX('D Proj'!$N$1:$N$513,N89),INDEX('K Proj'!$P$1:$P$508,N89))</f>
        <v>49</v>
      </c>
      <c r="Q89" t="str">
        <f t="shared" si="3"/>
        <v>WR/RB</v>
      </c>
      <c r="R89" t="str">
        <f>IF(L89="FLEX",INDEX('F Proj'!$F$1:$F$7669,N89),Q89)</f>
        <v>WR</v>
      </c>
      <c r="S89" t="str">
        <f>IF((Week+Half_Week-1)&gt;=VALUE(RIGHT(C89,LEN(C89)-SEARCH("-",C89))),LEFT(C89,SEARCH("-",C89)-1),"")</f>
        <v>matty</v>
      </c>
    </row>
    <row r="90" spans="1:19" x14ac:dyDescent="0.25">
      <c r="A90" t="s">
        <v>171</v>
      </c>
      <c r="B90">
        <v>5</v>
      </c>
      <c r="C90" t="s">
        <v>891</v>
      </c>
      <c r="D90" t="s">
        <v>466</v>
      </c>
      <c r="E90" t="s">
        <v>8947</v>
      </c>
      <c r="G90">
        <v>9.16</v>
      </c>
      <c r="H90">
        <v>7.63</v>
      </c>
      <c r="I90">
        <v>58.216900000000003</v>
      </c>
      <c r="J90" t="s">
        <v>8963</v>
      </c>
      <c r="K90" t="str">
        <f t="shared" si="2"/>
        <v>Corey Davis5</v>
      </c>
      <c r="L90" s="21" t="str">
        <f>IF(ISERROR(MATCH($A90,'F Proj'!$B$1:$B$7669,0)),IF(ISERROR(MATCH($A90,'D Proj'!$B$1:$B$513,0)),IF(ISERROR(MATCH($A90,'K Proj'!$B$1:$B$508,0)),"?","K"),"D"),"FLEX")</f>
        <v>FLEX</v>
      </c>
      <c r="M90" s="21">
        <f>MATCH(L90,Pos,0)</f>
        <v>1</v>
      </c>
      <c r="N90" s="21">
        <f>CHOOSE($M90,MATCH($A90&amp;$B90,'F Proj'!$P$1:$P$7669,0),MATCH($A90&amp;$B90,'D Proj'!$X$1:$X$513,0),MATCH($A90&amp;$B90,'K Proj'!$T$1:$T$508,0))</f>
        <v>1242</v>
      </c>
      <c r="O90">
        <f>CHOOSE(M90,INDEX('F Proj'!$D$1:$D$7669,N90),INDEX('D Proj'!$T$1:$T$513,N90),INDEX('K Proj'!$L$1:$L$508,N90))</f>
        <v>9.16</v>
      </c>
      <c r="P90">
        <f>CHOOSE(M90,INDEX('F Proj'!$J$1:$J$7669,N90),INDEX('D Proj'!$N$1:$N$513,N90),INDEX('K Proj'!$P$1:$P$508,N90))</f>
        <v>58.216900000000003</v>
      </c>
      <c r="Q90" t="str">
        <f t="shared" si="3"/>
        <v>WR/RB</v>
      </c>
      <c r="R90" t="str">
        <f>IF(L90="FLEX",INDEX('F Proj'!$F$1:$F$7669,N90),Q90)</f>
        <v>WR</v>
      </c>
      <c r="S90" t="str">
        <f>IF((Week+Half_Week-1)&gt;=VALUE(RIGHT(C90,LEN(C90)-SEARCH("-",C90))),LEFT(C90,SEARCH("-",C90)-1),"")</f>
        <v/>
      </c>
    </row>
    <row r="91" spans="1:19" x14ac:dyDescent="0.25">
      <c r="A91" t="s">
        <v>127</v>
      </c>
      <c r="B91">
        <v>1</v>
      </c>
      <c r="C91" t="s">
        <v>508</v>
      </c>
      <c r="D91" t="s">
        <v>468</v>
      </c>
      <c r="E91">
        <v>7.5</v>
      </c>
      <c r="G91">
        <v>7.5</v>
      </c>
      <c r="H91">
        <v>0</v>
      </c>
      <c r="I91">
        <v>0</v>
      </c>
      <c r="J91" t="s">
        <v>554</v>
      </c>
      <c r="K91" t="str">
        <f t="shared" si="2"/>
        <v>Dalvin Cook1</v>
      </c>
      <c r="L91" s="21" t="str">
        <f>IF(ISERROR(MATCH($A91,'F Proj'!$B$1:$B$7669,0)),IF(ISERROR(MATCH($A91,'D Proj'!$B$1:$B$513,0)),IF(ISERROR(MATCH($A91,'K Proj'!$B$1:$B$508,0)),"?","K"),"D"),"FLEX")</f>
        <v>FLEX</v>
      </c>
      <c r="M91" s="21">
        <f>MATCH(L91,Pos,0)</f>
        <v>1</v>
      </c>
      <c r="N91" s="21">
        <f>CHOOSE($M91,MATCH($A91&amp;$B91,'F Proj'!$P$1:$P$7669,0),MATCH($A91&amp;$B91,'D Proj'!$X$1:$X$513,0),MATCH($A91&amp;$B91,'K Proj'!$T$1:$T$508,0))</f>
        <v>641</v>
      </c>
      <c r="O91">
        <f>CHOOSE(M91,INDEX('F Proj'!$D$1:$D$7669,N91),INDEX('D Proj'!$T$1:$T$513,N91),INDEX('K Proj'!$L$1:$L$508,N91))</f>
        <v>13.38</v>
      </c>
      <c r="P91">
        <f>CHOOSE(M91,INDEX('F Proj'!$J$1:$J$7669,N91),INDEX('D Proj'!$N$1:$N$513,N91),INDEX('K Proj'!$P$1:$P$508,N91))</f>
        <v>60.372900000000001</v>
      </c>
      <c r="Q91" t="str">
        <f t="shared" si="3"/>
        <v>RB</v>
      </c>
      <c r="R91" t="str">
        <f>IF(L91="FLEX",INDEX('F Proj'!$F$1:$F$7669,N91),Q91)</f>
        <v>RB</v>
      </c>
      <c r="S91" t="str">
        <f>IF((Week+Half_Week-1)&gt;=VALUE(RIGHT(C91,LEN(C91)-SEARCH("-",C91))),LEFT(C91,SEARCH("-",C91)-1),"")</f>
        <v>perry</v>
      </c>
    </row>
    <row r="92" spans="1:19" x14ac:dyDescent="0.25">
      <c r="A92" t="s">
        <v>127</v>
      </c>
      <c r="B92">
        <v>2</v>
      </c>
      <c r="C92" t="s">
        <v>616</v>
      </c>
      <c r="D92" t="s">
        <v>468</v>
      </c>
      <c r="E92">
        <v>9</v>
      </c>
      <c r="G92">
        <v>9</v>
      </c>
      <c r="H92">
        <v>0</v>
      </c>
      <c r="I92">
        <v>0</v>
      </c>
      <c r="J92" t="s">
        <v>695</v>
      </c>
      <c r="K92" t="str">
        <f t="shared" si="2"/>
        <v>Dalvin Cook2</v>
      </c>
      <c r="L92" s="21" t="str">
        <f>IF(ISERROR(MATCH($A92,'F Proj'!$B$1:$B$7669,0)),IF(ISERROR(MATCH($A92,'D Proj'!$B$1:$B$513,0)),IF(ISERROR(MATCH($A92,'K Proj'!$B$1:$B$508,0)),"?","K"),"D"),"FLEX")</f>
        <v>FLEX</v>
      </c>
      <c r="M92" s="21">
        <f>MATCH(L92,Pos,0)</f>
        <v>1</v>
      </c>
      <c r="N92" s="21">
        <f>CHOOSE($M92,MATCH($A92&amp;$B92,'F Proj'!$P$1:$P$7669,0),MATCH($A92&amp;$B92,'D Proj'!$X$1:$X$513,0),MATCH($A92&amp;$B92,'K Proj'!$T$1:$T$508,0))</f>
        <v>734</v>
      </c>
      <c r="O92">
        <f>CHOOSE(M92,INDEX('F Proj'!$D$1:$D$7669,N92),INDEX('D Proj'!$T$1:$T$513,N92),INDEX('K Proj'!$L$1:$L$508,N92))</f>
        <v>12.7</v>
      </c>
      <c r="P92">
        <f>CHOOSE(M92,INDEX('F Proj'!$J$1:$J$7669,N92),INDEX('D Proj'!$N$1:$N$513,N92),INDEX('K Proj'!$P$1:$P$508,N92))</f>
        <v>63.680399999999999</v>
      </c>
      <c r="Q92" t="str">
        <f t="shared" si="3"/>
        <v>RB</v>
      </c>
      <c r="R92" t="str">
        <f>IF(L92="FLEX",INDEX('F Proj'!$F$1:$F$7669,N92),Q92)</f>
        <v>RB</v>
      </c>
      <c r="S92" t="str">
        <f>IF((Week+Half_Week-1)&gt;=VALUE(RIGHT(C92,LEN(C92)-SEARCH("-",C92))),LEFT(C92,SEARCH("-",C92)-1),"")</f>
        <v>perry</v>
      </c>
    </row>
    <row r="93" spans="1:19" x14ac:dyDescent="0.25">
      <c r="A93" t="s">
        <v>127</v>
      </c>
      <c r="B93">
        <v>4</v>
      </c>
      <c r="C93" t="s">
        <v>863</v>
      </c>
      <c r="D93" t="s">
        <v>466</v>
      </c>
      <c r="E93">
        <v>2</v>
      </c>
      <c r="G93">
        <v>2</v>
      </c>
      <c r="H93">
        <v>0</v>
      </c>
      <c r="I93">
        <v>0</v>
      </c>
      <c r="J93" t="s">
        <v>4748</v>
      </c>
      <c r="K93" t="str">
        <f t="shared" si="2"/>
        <v>Dalvin Cook4</v>
      </c>
      <c r="L93" s="21" t="str">
        <f>IF(ISERROR(MATCH($A93,'F Proj'!$B$1:$B$7669,0)),IF(ISERROR(MATCH($A93,'D Proj'!$B$1:$B$513,0)),IF(ISERROR(MATCH($A93,'K Proj'!$B$1:$B$508,0)),"?","K"),"D"),"FLEX")</f>
        <v>FLEX</v>
      </c>
      <c r="M93" s="21">
        <f>MATCH(L93,Pos,0)</f>
        <v>1</v>
      </c>
      <c r="N93" s="21">
        <f>CHOOSE($M93,MATCH($A93&amp;$B93,'F Proj'!$P$1:$P$7669,0),MATCH($A93&amp;$B93,'D Proj'!$X$1:$X$513,0),MATCH($A93&amp;$B93,'K Proj'!$T$1:$T$508,0))</f>
        <v>1514</v>
      </c>
      <c r="O93">
        <f>CHOOSE(M93,INDEX('F Proj'!$D$1:$D$7669,N93),INDEX('D Proj'!$T$1:$T$513,N93),INDEX('K Proj'!$L$1:$L$508,N93))</f>
        <v>8.07</v>
      </c>
      <c r="P93">
        <f>CHOOSE(M93,INDEX('F Proj'!$J$1:$J$7669,N93),INDEX('D Proj'!$N$1:$N$513,N93),INDEX('K Proj'!$P$1:$P$508,N93))</f>
        <v>24.206399999999999</v>
      </c>
      <c r="Q93" t="str">
        <f t="shared" si="3"/>
        <v>WR/RB</v>
      </c>
      <c r="R93" t="str">
        <f>IF(L93="FLEX",INDEX('F Proj'!$F$1:$F$7669,N93),Q93)</f>
        <v>RB</v>
      </c>
      <c r="S93" t="str">
        <f>IF((Week+Half_Week-1)&gt;=VALUE(RIGHT(C93,LEN(C93)-SEARCH("-",C93))),LEFT(C93,SEARCH("-",C93)-1),"")</f>
        <v>devon</v>
      </c>
    </row>
    <row r="94" spans="1:19" x14ac:dyDescent="0.25">
      <c r="A94" t="s">
        <v>135</v>
      </c>
      <c r="B94">
        <v>1</v>
      </c>
      <c r="C94" t="s">
        <v>508</v>
      </c>
      <c r="D94" t="s">
        <v>471</v>
      </c>
      <c r="E94">
        <v>14.8</v>
      </c>
      <c r="G94">
        <v>14.8</v>
      </c>
      <c r="H94">
        <v>0</v>
      </c>
      <c r="I94">
        <v>0</v>
      </c>
      <c r="J94" t="s">
        <v>524</v>
      </c>
      <c r="K94" t="str">
        <f t="shared" si="2"/>
        <v>Davante Adams1</v>
      </c>
      <c r="L94" s="21" t="str">
        <f>IF(ISERROR(MATCH($A94,'F Proj'!$B$1:$B$7669,0)),IF(ISERROR(MATCH($A94,'D Proj'!$B$1:$B$513,0)),IF(ISERROR(MATCH($A94,'K Proj'!$B$1:$B$508,0)),"?","K"),"D"),"FLEX")</f>
        <v>FLEX</v>
      </c>
      <c r="M94" s="21">
        <f>MATCH(L94,Pos,0)</f>
        <v>1</v>
      </c>
      <c r="N94" s="21">
        <f>CHOOSE($M94,MATCH($A94&amp;$B94,'F Proj'!$P$1:$P$7669,0),MATCH($A94&amp;$B94,'D Proj'!$X$1:$X$513,0),MATCH($A94&amp;$B94,'K Proj'!$T$1:$T$508,0))</f>
        <v>1074</v>
      </c>
      <c r="O94">
        <f>CHOOSE(M94,INDEX('F Proj'!$D$1:$D$7669,N94),INDEX('D Proj'!$T$1:$T$513,N94),INDEX('K Proj'!$L$1:$L$508,N94))</f>
        <v>9.99</v>
      </c>
      <c r="P94">
        <f>CHOOSE(M94,INDEX('F Proj'!$J$1:$J$7669,N94),INDEX('D Proj'!$N$1:$N$513,N94),INDEX('K Proj'!$P$1:$P$508,N94))</f>
        <v>39.69</v>
      </c>
      <c r="Q94" t="str">
        <f t="shared" si="3"/>
        <v>WR</v>
      </c>
      <c r="R94" t="str">
        <f>IF(L94="FLEX",INDEX('F Proj'!$F$1:$F$7669,N94),Q94)</f>
        <v>WR</v>
      </c>
      <c r="S94" t="str">
        <f>IF((Week+Half_Week-1)&gt;=VALUE(RIGHT(C94,LEN(C94)-SEARCH("-",C94))),LEFT(C94,SEARCH("-",C94)-1),"")</f>
        <v>perry</v>
      </c>
    </row>
    <row r="95" spans="1:19" x14ac:dyDescent="0.25">
      <c r="A95" t="s">
        <v>135</v>
      </c>
      <c r="B95">
        <v>2</v>
      </c>
      <c r="C95" t="s">
        <v>616</v>
      </c>
      <c r="D95" t="s">
        <v>471</v>
      </c>
      <c r="E95">
        <v>12.4</v>
      </c>
      <c r="G95">
        <v>12.4</v>
      </c>
      <c r="H95">
        <v>0</v>
      </c>
      <c r="I95">
        <v>0</v>
      </c>
      <c r="J95" t="s">
        <v>617</v>
      </c>
      <c r="K95" t="str">
        <f t="shared" si="2"/>
        <v>Davante Adams2</v>
      </c>
      <c r="L95" s="21" t="str">
        <f>IF(ISERROR(MATCH($A95,'F Proj'!$B$1:$B$7669,0)),IF(ISERROR(MATCH($A95,'D Proj'!$B$1:$B$513,0)),IF(ISERROR(MATCH($A95,'K Proj'!$B$1:$B$508,0)),"?","K"),"D"),"FLEX")</f>
        <v>FLEX</v>
      </c>
      <c r="M95" s="21">
        <f>MATCH(L95,Pos,0)</f>
        <v>1</v>
      </c>
      <c r="N95" s="21">
        <f>CHOOSE($M95,MATCH($A95&amp;$B95,'F Proj'!$P$1:$P$7669,0),MATCH($A95&amp;$B95,'D Proj'!$X$1:$X$513,0),MATCH($A95&amp;$B95,'K Proj'!$T$1:$T$508,0))</f>
        <v>1139</v>
      </c>
      <c r="O95">
        <f>CHOOSE(M95,INDEX('F Proj'!$D$1:$D$7669,N95),INDEX('D Proj'!$T$1:$T$513,N95),INDEX('K Proj'!$L$1:$L$508,N95))</f>
        <v>9.7100000000000009</v>
      </c>
      <c r="P95">
        <f>CHOOSE(M95,INDEX('F Proj'!$J$1:$J$7669,N95),INDEX('D Proj'!$N$1:$N$513,N95),INDEX('K Proj'!$P$1:$P$508,N95))</f>
        <v>29.4849</v>
      </c>
      <c r="Q95" t="str">
        <f t="shared" si="3"/>
        <v>WR</v>
      </c>
      <c r="R95" t="str">
        <f>IF(L95="FLEX",INDEX('F Proj'!$F$1:$F$7669,N95),Q95)</f>
        <v>WR</v>
      </c>
      <c r="S95" t="str">
        <f>IF((Week+Half_Week-1)&gt;=VALUE(RIGHT(C95,LEN(C95)-SEARCH("-",C95))),LEFT(C95,SEARCH("-",C95)-1),"")</f>
        <v>perry</v>
      </c>
    </row>
    <row r="96" spans="1:19" x14ac:dyDescent="0.25">
      <c r="A96" t="s">
        <v>135</v>
      </c>
      <c r="B96">
        <v>3</v>
      </c>
      <c r="C96" t="s">
        <v>809</v>
      </c>
      <c r="D96" t="s">
        <v>471</v>
      </c>
      <c r="E96">
        <v>11.2</v>
      </c>
      <c r="G96">
        <v>11.2</v>
      </c>
      <c r="H96">
        <v>0</v>
      </c>
      <c r="I96">
        <v>0</v>
      </c>
      <c r="J96" t="s">
        <v>4284</v>
      </c>
      <c r="K96" t="str">
        <f t="shared" si="2"/>
        <v>Davante Adams3</v>
      </c>
      <c r="L96" s="21" t="str">
        <f>IF(ISERROR(MATCH($A96,'F Proj'!$B$1:$B$7669,0)),IF(ISERROR(MATCH($A96,'D Proj'!$B$1:$B$513,0)),IF(ISERROR(MATCH($A96,'K Proj'!$B$1:$B$508,0)),"?","K"),"D"),"FLEX")</f>
        <v>FLEX</v>
      </c>
      <c r="M96" s="21">
        <f>MATCH(L96,Pos,0)</f>
        <v>1</v>
      </c>
      <c r="N96" s="21">
        <f>CHOOSE($M96,MATCH($A96&amp;$B96,'F Proj'!$P$1:$P$7669,0),MATCH($A96&amp;$B96,'D Proj'!$X$1:$X$513,0),MATCH($A96&amp;$B96,'K Proj'!$T$1:$T$508,0))</f>
        <v>884</v>
      </c>
      <c r="O96">
        <f>CHOOSE(M96,INDEX('F Proj'!$D$1:$D$7669,N96),INDEX('D Proj'!$T$1:$T$513,N96),INDEX('K Proj'!$L$1:$L$508,N96))</f>
        <v>11.35</v>
      </c>
      <c r="P96">
        <f>CHOOSE(M96,INDEX('F Proj'!$J$1:$J$7669,N96),INDEX('D Proj'!$N$1:$N$513,N96),INDEX('K Proj'!$P$1:$P$508,N96))</f>
        <v>50.8369</v>
      </c>
      <c r="Q96" t="str">
        <f t="shared" si="3"/>
        <v>WR</v>
      </c>
      <c r="R96" t="str">
        <f>IF(L96="FLEX",INDEX('F Proj'!$F$1:$F$7669,N96),Q96)</f>
        <v>WR</v>
      </c>
      <c r="S96" t="str">
        <f>IF((Week+Half_Week-1)&gt;=VALUE(RIGHT(C96,LEN(C96)-SEARCH("-",C96))),LEFT(C96,SEARCH("-",C96)-1),"")</f>
        <v>perry</v>
      </c>
    </row>
    <row r="97" spans="1:19" x14ac:dyDescent="0.25">
      <c r="A97" t="s">
        <v>135</v>
      </c>
      <c r="B97">
        <v>4</v>
      </c>
      <c r="C97" t="s">
        <v>862</v>
      </c>
      <c r="D97" t="s">
        <v>471</v>
      </c>
      <c r="E97">
        <v>8.1</v>
      </c>
      <c r="G97">
        <v>8.1</v>
      </c>
      <c r="H97">
        <v>0</v>
      </c>
      <c r="I97">
        <v>0</v>
      </c>
      <c r="J97" t="s">
        <v>4766</v>
      </c>
      <c r="K97" t="str">
        <f t="shared" si="2"/>
        <v>Davante Adams4</v>
      </c>
      <c r="L97" s="21" t="str">
        <f>IF(ISERROR(MATCH($A97,'F Proj'!$B$1:$B$7669,0)),IF(ISERROR(MATCH($A97,'D Proj'!$B$1:$B$513,0)),IF(ISERROR(MATCH($A97,'K Proj'!$B$1:$B$508,0)),"?","K"),"D"),"FLEX")</f>
        <v>FLEX</v>
      </c>
      <c r="M97" s="21">
        <f>MATCH(L97,Pos,0)</f>
        <v>1</v>
      </c>
      <c r="N97" s="21">
        <f>CHOOSE($M97,MATCH($A97&amp;$B97,'F Proj'!$P$1:$P$7669,0),MATCH($A97&amp;$B97,'D Proj'!$X$1:$X$513,0),MATCH($A97&amp;$B97,'K Proj'!$T$1:$T$508,0))</f>
        <v>832</v>
      </c>
      <c r="O97">
        <f>CHOOSE(M97,INDEX('F Proj'!$D$1:$D$7669,N97),INDEX('D Proj'!$T$1:$T$513,N97),INDEX('K Proj'!$L$1:$L$508,N97))</f>
        <v>11.85</v>
      </c>
      <c r="P97">
        <f>CHOOSE(M97,INDEX('F Proj'!$J$1:$J$7669,N97),INDEX('D Proj'!$N$1:$N$513,N97),INDEX('K Proj'!$P$1:$P$508,N97))</f>
        <v>55.800899999999999</v>
      </c>
      <c r="Q97" t="str">
        <f t="shared" si="3"/>
        <v>WR</v>
      </c>
      <c r="R97" t="str">
        <f>IF(L97="FLEX",INDEX('F Proj'!$F$1:$F$7669,N97),Q97)</f>
        <v>WR</v>
      </c>
      <c r="S97" t="str">
        <f>IF((Week+Half_Week-1)&gt;=VALUE(RIGHT(C97,LEN(C97)-SEARCH("-",C97))),LEFT(C97,SEARCH("-",C97)-1),"")</f>
        <v>perry</v>
      </c>
    </row>
    <row r="98" spans="1:19" x14ac:dyDescent="0.25">
      <c r="A98" t="s">
        <v>135</v>
      </c>
      <c r="B98">
        <v>5</v>
      </c>
      <c r="C98" t="s">
        <v>889</v>
      </c>
      <c r="D98" t="s">
        <v>471</v>
      </c>
      <c r="E98" t="s">
        <v>8947</v>
      </c>
      <c r="G98">
        <v>6.53</v>
      </c>
      <c r="H98">
        <v>3.51</v>
      </c>
      <c r="I98">
        <v>12.3201</v>
      </c>
      <c r="J98" t="s">
        <v>8965</v>
      </c>
      <c r="K98" t="str">
        <f t="shared" si="2"/>
        <v>Davante Adams5</v>
      </c>
      <c r="L98" s="21" t="str">
        <f>IF(ISERROR(MATCH($A98,'F Proj'!$B$1:$B$7669,0)),IF(ISERROR(MATCH($A98,'D Proj'!$B$1:$B$513,0)),IF(ISERROR(MATCH($A98,'K Proj'!$B$1:$B$508,0)),"?","K"),"D"),"FLEX")</f>
        <v>FLEX</v>
      </c>
      <c r="M98" s="21">
        <f>MATCH(L98,Pos,0)</f>
        <v>1</v>
      </c>
      <c r="N98" s="21">
        <f>CHOOSE($M98,MATCH($A98&amp;$B98,'F Proj'!$P$1:$P$7669,0),MATCH($A98&amp;$B98,'D Proj'!$X$1:$X$513,0),MATCH($A98&amp;$B98,'K Proj'!$T$1:$T$508,0))</f>
        <v>1981</v>
      </c>
      <c r="O98">
        <f>CHOOSE(M98,INDEX('F Proj'!$D$1:$D$7669,N98),INDEX('D Proj'!$T$1:$T$513,N98),INDEX('K Proj'!$L$1:$L$508,N98))</f>
        <v>6.53</v>
      </c>
      <c r="P98">
        <f>CHOOSE(M98,INDEX('F Proj'!$J$1:$J$7669,N98),INDEX('D Proj'!$N$1:$N$513,N98),INDEX('K Proj'!$P$1:$P$508,N98))</f>
        <v>12.3201</v>
      </c>
      <c r="Q98" t="str">
        <f t="shared" si="3"/>
        <v>WR</v>
      </c>
      <c r="R98" t="str">
        <f>IF(L98="FLEX",INDEX('F Proj'!$F$1:$F$7669,N98),Q98)</f>
        <v>WR</v>
      </c>
      <c r="S98" t="str">
        <f>IF((Week+Half_Week-1)&gt;=VALUE(RIGHT(C98,LEN(C98)-SEARCH("-",C98))),LEFT(C98,SEARCH("-",C98)-1),"")</f>
        <v/>
      </c>
    </row>
    <row r="99" spans="1:19" x14ac:dyDescent="0.25">
      <c r="A99" t="s">
        <v>45</v>
      </c>
      <c r="B99">
        <v>1</v>
      </c>
      <c r="C99" t="s">
        <v>505</v>
      </c>
      <c r="D99" t="s">
        <v>468</v>
      </c>
      <c r="E99">
        <v>12.7</v>
      </c>
      <c r="G99">
        <v>12.7</v>
      </c>
      <c r="H99">
        <v>0</v>
      </c>
      <c r="I99">
        <v>0</v>
      </c>
      <c r="J99" t="s">
        <v>525</v>
      </c>
      <c r="K99" t="str">
        <f t="shared" si="2"/>
        <v>David Johnson1</v>
      </c>
      <c r="L99" s="21" t="str">
        <f>IF(ISERROR(MATCH($A99,'F Proj'!$B$1:$B$7669,0)),IF(ISERROR(MATCH($A99,'D Proj'!$B$1:$B$513,0)),IF(ISERROR(MATCH($A99,'K Proj'!$B$1:$B$508,0)),"?","K"),"D"),"FLEX")</f>
        <v>FLEX</v>
      </c>
      <c r="M99" s="21">
        <f>MATCH(L99,Pos,0)</f>
        <v>1</v>
      </c>
      <c r="N99" s="21">
        <f>CHOOSE($M99,MATCH($A99&amp;$B99,'F Proj'!$P$1:$P$7669,0),MATCH($A99&amp;$B99,'D Proj'!$X$1:$X$513,0),MATCH($A99&amp;$B99,'K Proj'!$T$1:$T$508,0))</f>
        <v>251</v>
      </c>
      <c r="O99">
        <f>CHOOSE(M99,INDEX('F Proj'!$D$1:$D$7669,N99),INDEX('D Proj'!$T$1:$T$513,N99),INDEX('K Proj'!$L$1:$L$508,N99))</f>
        <v>18.440000000000001</v>
      </c>
      <c r="P99">
        <f>CHOOSE(M99,INDEX('F Proj'!$J$1:$J$7669,N99),INDEX('D Proj'!$N$1:$N$513,N99),INDEX('K Proj'!$P$1:$P$508,N99))</f>
        <v>85.192899999999995</v>
      </c>
      <c r="Q99" t="str">
        <f t="shared" si="3"/>
        <v>RB</v>
      </c>
      <c r="R99" t="str">
        <f>IF(L99="FLEX",INDEX('F Proj'!$F$1:$F$7669,N99),Q99)</f>
        <v>RB</v>
      </c>
      <c r="S99" t="str">
        <f>IF((Week+Half_Week-1)&gt;=VALUE(RIGHT(C99,LEN(C99)-SEARCH("-",C99))),LEFT(C99,SEARCH("-",C99)-1),"")</f>
        <v>matty</v>
      </c>
    </row>
    <row r="100" spans="1:19" x14ac:dyDescent="0.25">
      <c r="A100" t="s">
        <v>45</v>
      </c>
      <c r="B100">
        <v>2</v>
      </c>
      <c r="C100" t="s">
        <v>636</v>
      </c>
      <c r="D100" t="s">
        <v>468</v>
      </c>
      <c r="E100">
        <v>5.0999999999999996</v>
      </c>
      <c r="G100">
        <v>5.0999999999999996</v>
      </c>
      <c r="H100">
        <v>0</v>
      </c>
      <c r="I100">
        <v>0</v>
      </c>
      <c r="J100" t="s">
        <v>669</v>
      </c>
      <c r="K100" t="str">
        <f t="shared" si="2"/>
        <v>David Johnson2</v>
      </c>
      <c r="L100" s="21" t="str">
        <f>IF(ISERROR(MATCH($A100,'F Proj'!$B$1:$B$7669,0)),IF(ISERROR(MATCH($A100,'D Proj'!$B$1:$B$513,0)),IF(ISERROR(MATCH($A100,'K Proj'!$B$1:$B$508,0)),"?","K"),"D"),"FLEX")</f>
        <v>FLEX</v>
      </c>
      <c r="M100" s="21">
        <f>MATCH(L100,Pos,0)</f>
        <v>1</v>
      </c>
      <c r="N100" s="21">
        <f>CHOOSE($M100,MATCH($A100&amp;$B100,'F Proj'!$P$1:$P$7669,0),MATCH($A100&amp;$B100,'D Proj'!$X$1:$X$513,0),MATCH($A100&amp;$B100,'K Proj'!$T$1:$T$508,0))</f>
        <v>495</v>
      </c>
      <c r="O100">
        <f>CHOOSE(M100,INDEX('F Proj'!$D$1:$D$7669,N100),INDEX('D Proj'!$T$1:$T$513,N100),INDEX('K Proj'!$L$1:$L$508,N100))</f>
        <v>14.9</v>
      </c>
      <c r="P100">
        <f>CHOOSE(M100,INDEX('F Proj'!$J$1:$J$7669,N100),INDEX('D Proj'!$N$1:$N$513,N100),INDEX('K Proj'!$P$1:$P$508,N100))</f>
        <v>94.672899999999998</v>
      </c>
      <c r="Q100" t="str">
        <f t="shared" si="3"/>
        <v>RB</v>
      </c>
      <c r="R100" t="str">
        <f>IF(L100="FLEX",INDEX('F Proj'!$F$1:$F$7669,N100),Q100)</f>
        <v>RB</v>
      </c>
      <c r="S100" t="str">
        <f>IF((Week+Half_Week-1)&gt;=VALUE(RIGHT(C100,LEN(C100)-SEARCH("-",C100))),LEFT(C100,SEARCH("-",C100)-1),"")</f>
        <v>matty</v>
      </c>
    </row>
    <row r="101" spans="1:19" x14ac:dyDescent="0.25">
      <c r="A101" t="s">
        <v>45</v>
      </c>
      <c r="B101">
        <v>3</v>
      </c>
      <c r="C101" t="s">
        <v>812</v>
      </c>
      <c r="D101" t="s">
        <v>468</v>
      </c>
      <c r="E101">
        <v>12.1</v>
      </c>
      <c r="G101">
        <v>12.1</v>
      </c>
      <c r="H101">
        <v>0</v>
      </c>
      <c r="I101">
        <v>0</v>
      </c>
      <c r="J101" t="s">
        <v>4285</v>
      </c>
      <c r="K101" t="str">
        <f t="shared" si="2"/>
        <v>David Johnson3</v>
      </c>
      <c r="L101" s="21" t="str">
        <f>IF(ISERROR(MATCH($A101,'F Proj'!$B$1:$B$7669,0)),IF(ISERROR(MATCH($A101,'D Proj'!$B$1:$B$513,0)),IF(ISERROR(MATCH($A101,'K Proj'!$B$1:$B$508,0)),"?","K"),"D"),"FLEX")</f>
        <v>FLEX</v>
      </c>
      <c r="M101" s="21">
        <f>MATCH(L101,Pos,0)</f>
        <v>1</v>
      </c>
      <c r="N101" s="21">
        <f>CHOOSE($M101,MATCH($A101&amp;$B101,'F Proj'!$P$1:$P$7669,0),MATCH($A101&amp;$B101,'D Proj'!$X$1:$X$513,0),MATCH($A101&amp;$B101,'K Proj'!$T$1:$T$508,0))</f>
        <v>885</v>
      </c>
      <c r="O101">
        <f>CHOOSE(M101,INDEX('F Proj'!$D$1:$D$7669,N101),INDEX('D Proj'!$T$1:$T$513,N101),INDEX('K Proj'!$L$1:$L$508,N101))</f>
        <v>11.35</v>
      </c>
      <c r="P101">
        <f>CHOOSE(M101,INDEX('F Proj'!$J$1:$J$7669,N101),INDEX('D Proj'!$N$1:$N$513,N101),INDEX('K Proj'!$P$1:$P$508,N101))</f>
        <v>33.988900000000001</v>
      </c>
      <c r="Q101" t="str">
        <f t="shared" si="3"/>
        <v>RB</v>
      </c>
      <c r="R101" t="str">
        <f>IF(L101="FLEX",INDEX('F Proj'!$F$1:$F$7669,N101),Q101)</f>
        <v>RB</v>
      </c>
      <c r="S101" t="str">
        <f>IF((Week+Half_Week-1)&gt;=VALUE(RIGHT(C101,LEN(C101)-SEARCH("-",C101))),LEFT(C101,SEARCH("-",C101)-1),"")</f>
        <v>matty</v>
      </c>
    </row>
    <row r="102" spans="1:19" x14ac:dyDescent="0.25">
      <c r="A102" t="s">
        <v>45</v>
      </c>
      <c r="B102">
        <v>4</v>
      </c>
      <c r="C102" t="s">
        <v>864</v>
      </c>
      <c r="D102" t="s">
        <v>468</v>
      </c>
      <c r="E102">
        <v>15.2</v>
      </c>
      <c r="G102">
        <v>15.2</v>
      </c>
      <c r="H102">
        <v>0</v>
      </c>
      <c r="I102">
        <v>0</v>
      </c>
      <c r="J102" t="s">
        <v>4767</v>
      </c>
      <c r="K102" t="str">
        <f t="shared" si="2"/>
        <v>David Johnson4</v>
      </c>
      <c r="L102" s="21" t="str">
        <f>IF(ISERROR(MATCH($A102,'F Proj'!$B$1:$B$7669,0)),IF(ISERROR(MATCH($A102,'D Proj'!$B$1:$B$513,0)),IF(ISERROR(MATCH($A102,'K Proj'!$B$1:$B$508,0)),"?","K"),"D"),"FLEX")</f>
        <v>FLEX</v>
      </c>
      <c r="M102" s="21">
        <f>MATCH(L102,Pos,0)</f>
        <v>1</v>
      </c>
      <c r="N102" s="21">
        <f>CHOOSE($M102,MATCH($A102&amp;$B102,'F Proj'!$P$1:$P$7669,0),MATCH($A102&amp;$B102,'D Proj'!$X$1:$X$513,0),MATCH($A102&amp;$B102,'K Proj'!$T$1:$T$508,0))</f>
        <v>954</v>
      </c>
      <c r="O102">
        <f>CHOOSE(M102,INDEX('F Proj'!$D$1:$D$7669,N102),INDEX('D Proj'!$T$1:$T$513,N102),INDEX('K Proj'!$L$1:$L$508,N102))</f>
        <v>10.72</v>
      </c>
      <c r="P102">
        <f>CHOOSE(M102,INDEX('F Proj'!$J$1:$J$7669,N102),INDEX('D Proj'!$N$1:$N$513,N102),INDEX('K Proj'!$P$1:$P$508,N102))</f>
        <v>66.422499999999999</v>
      </c>
      <c r="Q102" t="str">
        <f t="shared" si="3"/>
        <v>RB</v>
      </c>
      <c r="R102" t="str">
        <f>IF(L102="FLEX",INDEX('F Proj'!$F$1:$F$7669,N102),Q102)</f>
        <v>RB</v>
      </c>
      <c r="S102" t="str">
        <f>IF((Week+Half_Week-1)&gt;=VALUE(RIGHT(C102,LEN(C102)-SEARCH("-",C102))),LEFT(C102,SEARCH("-",C102)-1),"")</f>
        <v>matty</v>
      </c>
    </row>
    <row r="103" spans="1:19" x14ac:dyDescent="0.25">
      <c r="A103" t="s">
        <v>45</v>
      </c>
      <c r="B103">
        <v>5</v>
      </c>
      <c r="C103" t="s">
        <v>891</v>
      </c>
      <c r="D103" t="s">
        <v>468</v>
      </c>
      <c r="E103" t="s">
        <v>8947</v>
      </c>
      <c r="G103">
        <v>14.08</v>
      </c>
      <c r="H103">
        <v>8.1300000000000008</v>
      </c>
      <c r="I103">
        <v>66.096900000000005</v>
      </c>
      <c r="J103" t="s">
        <v>8966</v>
      </c>
      <c r="K103" t="str">
        <f t="shared" si="2"/>
        <v>David Johnson5</v>
      </c>
      <c r="L103" s="21" t="str">
        <f>IF(ISERROR(MATCH($A103,'F Proj'!$B$1:$B$7669,0)),IF(ISERROR(MATCH($A103,'D Proj'!$B$1:$B$513,0)),IF(ISERROR(MATCH($A103,'K Proj'!$B$1:$B$508,0)),"?","K"),"D"),"FLEX")</f>
        <v>FLEX</v>
      </c>
      <c r="M103" s="21">
        <f>MATCH(L103,Pos,0)</f>
        <v>1</v>
      </c>
      <c r="N103" s="21">
        <f>CHOOSE($M103,MATCH($A103&amp;$B103,'F Proj'!$P$1:$P$7669,0),MATCH($A103&amp;$B103,'D Proj'!$X$1:$X$513,0),MATCH($A103&amp;$B103,'K Proj'!$T$1:$T$508,0))</f>
        <v>571</v>
      </c>
      <c r="O103">
        <f>CHOOSE(M103,INDEX('F Proj'!$D$1:$D$7669,N103),INDEX('D Proj'!$T$1:$T$513,N103),INDEX('K Proj'!$L$1:$L$508,N103))</f>
        <v>14.08</v>
      </c>
      <c r="P103">
        <f>CHOOSE(M103,INDEX('F Proj'!$J$1:$J$7669,N103),INDEX('D Proj'!$N$1:$N$513,N103),INDEX('K Proj'!$P$1:$P$508,N103))</f>
        <v>66.096900000000005</v>
      </c>
      <c r="Q103" t="str">
        <f t="shared" si="3"/>
        <v>RB</v>
      </c>
      <c r="R103" t="str">
        <f>IF(L103="FLEX",INDEX('F Proj'!$F$1:$F$7669,N103),Q103)</f>
        <v>RB</v>
      </c>
      <c r="S103" t="str">
        <f>IF((Week+Half_Week-1)&gt;=VALUE(RIGHT(C103,LEN(C103)-SEARCH("-",C103))),LEFT(C103,SEARCH("-",C103)-1),"")</f>
        <v/>
      </c>
    </row>
    <row r="104" spans="1:19" x14ac:dyDescent="0.25">
      <c r="A104" t="s">
        <v>215</v>
      </c>
      <c r="B104">
        <v>1</v>
      </c>
      <c r="C104" t="s">
        <v>501</v>
      </c>
      <c r="D104" t="s">
        <v>475</v>
      </c>
      <c r="E104">
        <v>1.3</v>
      </c>
      <c r="G104">
        <v>1.3</v>
      </c>
      <c r="H104">
        <v>0</v>
      </c>
      <c r="I104">
        <v>0</v>
      </c>
      <c r="J104" t="s">
        <v>571</v>
      </c>
      <c r="K104" t="str">
        <f t="shared" si="2"/>
        <v>David Njoku1</v>
      </c>
      <c r="L104" s="21" t="str">
        <f>IF(ISERROR(MATCH($A104,'F Proj'!$B$1:$B$7669,0)),IF(ISERROR(MATCH($A104,'D Proj'!$B$1:$B$513,0)),IF(ISERROR(MATCH($A104,'K Proj'!$B$1:$B$508,0)),"?","K"),"D"),"FLEX")</f>
        <v>FLEX</v>
      </c>
      <c r="M104" s="21">
        <f>MATCH(L104,Pos,0)</f>
        <v>1</v>
      </c>
      <c r="N104" s="21">
        <f>CHOOSE($M104,MATCH($A104&amp;$B104,'F Proj'!$P$1:$P$7669,0),MATCH($A104&amp;$B104,'D Proj'!$X$1:$X$513,0),MATCH($A104&amp;$B104,'K Proj'!$T$1:$T$508,0))</f>
        <v>2989</v>
      </c>
      <c r="O104">
        <f>CHOOSE(M104,INDEX('F Proj'!$D$1:$D$7669,N104),INDEX('D Proj'!$T$1:$T$513,N104),INDEX('K Proj'!$L$1:$L$508,N104))</f>
        <v>4.12</v>
      </c>
      <c r="P104">
        <f>CHOOSE(M104,INDEX('F Proj'!$J$1:$J$7669,N104),INDEX('D Proj'!$N$1:$N$513,N104),INDEX('K Proj'!$P$1:$P$508,N104))</f>
        <v>17.808399999999999</v>
      </c>
      <c r="Q104" t="str">
        <f t="shared" si="3"/>
        <v>TE</v>
      </c>
      <c r="R104" t="str">
        <f>IF(L104="FLEX",INDEX('F Proj'!$F$1:$F$7669,N104),Q104)</f>
        <v>TE</v>
      </c>
      <c r="S104" t="str">
        <f>IF((Week+Half_Week-1)&gt;=VALUE(RIGHT(C104,LEN(C104)-SEARCH("-",C104))),LEFT(C104,SEARCH("-",C104)-1),"")</f>
        <v>chad</v>
      </c>
    </row>
    <row r="105" spans="1:19" x14ac:dyDescent="0.25">
      <c r="A105" t="s">
        <v>215</v>
      </c>
      <c r="B105">
        <v>2</v>
      </c>
      <c r="C105" t="s">
        <v>638</v>
      </c>
      <c r="D105" t="s">
        <v>475</v>
      </c>
      <c r="E105">
        <v>2</v>
      </c>
      <c r="G105">
        <v>2</v>
      </c>
      <c r="H105">
        <v>0</v>
      </c>
      <c r="I105">
        <v>0</v>
      </c>
      <c r="J105" t="s">
        <v>694</v>
      </c>
      <c r="K105" t="str">
        <f t="shared" si="2"/>
        <v>David Njoku2</v>
      </c>
      <c r="L105" s="21" t="str">
        <f>IF(ISERROR(MATCH($A105,'F Proj'!$B$1:$B$7669,0)),IF(ISERROR(MATCH($A105,'D Proj'!$B$1:$B$513,0)),IF(ISERROR(MATCH($A105,'K Proj'!$B$1:$B$508,0)),"?","K"),"D"),"FLEX")</f>
        <v>FLEX</v>
      </c>
      <c r="M105" s="21">
        <f>MATCH(L105,Pos,0)</f>
        <v>1</v>
      </c>
      <c r="N105" s="21">
        <f>CHOOSE($M105,MATCH($A105&amp;$B105,'F Proj'!$P$1:$P$7669,0),MATCH($A105&amp;$B105,'D Proj'!$X$1:$X$513,0),MATCH($A105&amp;$B105,'K Proj'!$T$1:$T$508,0))</f>
        <v>2529</v>
      </c>
      <c r="O105">
        <f>CHOOSE(M105,INDEX('F Proj'!$D$1:$D$7669,N105),INDEX('D Proj'!$T$1:$T$513,N105),INDEX('K Proj'!$L$1:$L$508,N105))</f>
        <v>5.14</v>
      </c>
      <c r="P105">
        <f>CHOOSE(M105,INDEX('F Proj'!$J$1:$J$7669,N105),INDEX('D Proj'!$N$1:$N$513,N105),INDEX('K Proj'!$P$1:$P$508,N105))</f>
        <v>27.6676</v>
      </c>
      <c r="Q105" t="str">
        <f t="shared" si="3"/>
        <v>TE</v>
      </c>
      <c r="R105" t="str">
        <f>IF(L105="FLEX",INDEX('F Proj'!$F$1:$F$7669,N105),Q105)</f>
        <v>TE</v>
      </c>
      <c r="S105" t="str">
        <f>IF((Week+Half_Week-1)&gt;=VALUE(RIGHT(C105,LEN(C105)-SEARCH("-",C105))),LEFT(C105,SEARCH("-",C105)-1),"")</f>
        <v>chad</v>
      </c>
    </row>
    <row r="106" spans="1:19" x14ac:dyDescent="0.25">
      <c r="A106" t="s">
        <v>215</v>
      </c>
      <c r="B106">
        <v>3</v>
      </c>
      <c r="C106" t="s">
        <v>810</v>
      </c>
      <c r="D106" t="s">
        <v>475</v>
      </c>
      <c r="E106">
        <v>3.6</v>
      </c>
      <c r="G106">
        <v>3.6</v>
      </c>
      <c r="H106">
        <v>0</v>
      </c>
      <c r="I106">
        <v>0</v>
      </c>
      <c r="J106" t="s">
        <v>4286</v>
      </c>
      <c r="K106" t="str">
        <f t="shared" si="2"/>
        <v>David Njoku3</v>
      </c>
      <c r="L106" s="21" t="str">
        <f>IF(ISERROR(MATCH($A106,'F Proj'!$B$1:$B$7669,0)),IF(ISERROR(MATCH($A106,'D Proj'!$B$1:$B$513,0)),IF(ISERROR(MATCH($A106,'K Proj'!$B$1:$B$508,0)),"?","K"),"D"),"FLEX")</f>
        <v>FLEX</v>
      </c>
      <c r="M106" s="21">
        <f>MATCH(L106,Pos,0)</f>
        <v>1</v>
      </c>
      <c r="N106" s="21">
        <f>CHOOSE($M106,MATCH($A106&amp;$B106,'F Proj'!$P$1:$P$7669,0),MATCH($A106&amp;$B106,'D Proj'!$X$1:$X$513,0),MATCH($A106&amp;$B106,'K Proj'!$T$1:$T$508,0))</f>
        <v>2844</v>
      </c>
      <c r="O106">
        <f>CHOOSE(M106,INDEX('F Proj'!$D$1:$D$7669,N106),INDEX('D Proj'!$T$1:$T$513,N106),INDEX('K Proj'!$L$1:$L$508,N106))</f>
        <v>4.43</v>
      </c>
      <c r="P106">
        <f>CHOOSE(M106,INDEX('F Proj'!$J$1:$J$7669,N106),INDEX('D Proj'!$N$1:$N$513,N106),INDEX('K Proj'!$P$1:$P$508,N106))</f>
        <v>22.372900000000001</v>
      </c>
      <c r="Q106" t="str">
        <f t="shared" si="3"/>
        <v>TE</v>
      </c>
      <c r="R106" t="str">
        <f>IF(L106="FLEX",INDEX('F Proj'!$F$1:$F$7669,N106),Q106)</f>
        <v>TE</v>
      </c>
      <c r="S106" t="str">
        <f>IF((Week+Half_Week-1)&gt;=VALUE(RIGHT(C106,LEN(C106)-SEARCH("-",C106))),LEFT(C106,SEARCH("-",C106)-1),"")</f>
        <v>chad</v>
      </c>
    </row>
    <row r="107" spans="1:19" x14ac:dyDescent="0.25">
      <c r="A107" t="s">
        <v>215</v>
      </c>
      <c r="B107">
        <v>4</v>
      </c>
      <c r="C107" t="s">
        <v>865</v>
      </c>
      <c r="D107" t="s">
        <v>475</v>
      </c>
      <c r="E107">
        <v>5.2</v>
      </c>
      <c r="G107">
        <v>5.2</v>
      </c>
      <c r="H107">
        <v>0</v>
      </c>
      <c r="I107">
        <v>0</v>
      </c>
      <c r="J107" t="s">
        <v>4768</v>
      </c>
      <c r="K107" t="str">
        <f t="shared" si="2"/>
        <v>David Njoku4</v>
      </c>
      <c r="L107" s="21" t="str">
        <f>IF(ISERROR(MATCH($A107,'F Proj'!$B$1:$B$7669,0)),IF(ISERROR(MATCH($A107,'D Proj'!$B$1:$B$513,0)),IF(ISERROR(MATCH($A107,'K Proj'!$B$1:$B$508,0)),"?","K"),"D"),"FLEX")</f>
        <v>FLEX</v>
      </c>
      <c r="M107" s="21">
        <f>MATCH(L107,Pos,0)</f>
        <v>1</v>
      </c>
      <c r="N107" s="21">
        <f>CHOOSE($M107,MATCH($A107&amp;$B107,'F Proj'!$P$1:$P$7669,0),MATCH($A107&amp;$B107,'D Proj'!$X$1:$X$513,0),MATCH($A107&amp;$B107,'K Proj'!$T$1:$T$508,0))</f>
        <v>2220</v>
      </c>
      <c r="O107">
        <f>CHOOSE(M107,INDEX('F Proj'!$D$1:$D$7669,N107),INDEX('D Proj'!$T$1:$T$513,N107),INDEX('K Proj'!$L$1:$L$508,N107))</f>
        <v>5.89</v>
      </c>
      <c r="P107">
        <f>CHOOSE(M107,INDEX('F Proj'!$J$1:$J$7669,N107),INDEX('D Proj'!$N$1:$N$513,N107),INDEX('K Proj'!$P$1:$P$508,N107))</f>
        <v>12.8881</v>
      </c>
      <c r="Q107" t="str">
        <f t="shared" si="3"/>
        <v>TE</v>
      </c>
      <c r="R107" t="str">
        <f>IF(L107="FLEX",INDEX('F Proj'!$F$1:$F$7669,N107),Q107)</f>
        <v>TE</v>
      </c>
      <c r="S107" t="str">
        <f>IF((Week+Half_Week-1)&gt;=VALUE(RIGHT(C107,LEN(C107)-SEARCH("-",C107))),LEFT(C107,SEARCH("-",C107)-1),"")</f>
        <v>chad</v>
      </c>
    </row>
    <row r="108" spans="1:19" x14ac:dyDescent="0.25">
      <c r="A108" t="s">
        <v>120</v>
      </c>
      <c r="B108">
        <v>1</v>
      </c>
      <c r="C108" t="s">
        <v>507</v>
      </c>
      <c r="D108" t="s">
        <v>471</v>
      </c>
      <c r="E108">
        <v>7.1</v>
      </c>
      <c r="G108">
        <v>7.1</v>
      </c>
      <c r="H108">
        <v>0</v>
      </c>
      <c r="I108">
        <v>0</v>
      </c>
      <c r="J108" t="s">
        <v>575</v>
      </c>
      <c r="K108" t="str">
        <f t="shared" si="2"/>
        <v>DeAndre Hopkins1</v>
      </c>
      <c r="L108" s="21" t="str">
        <f>IF(ISERROR(MATCH($A108,'F Proj'!$B$1:$B$7669,0)),IF(ISERROR(MATCH($A108,'D Proj'!$B$1:$B$513,0)),IF(ISERROR(MATCH($A108,'K Proj'!$B$1:$B$508,0)),"?","K"),"D"),"FLEX")</f>
        <v>FLEX</v>
      </c>
      <c r="M108" s="21">
        <f>MATCH(L108,Pos,0)</f>
        <v>1</v>
      </c>
      <c r="N108" s="21">
        <f>CHOOSE($M108,MATCH($A108&amp;$B108,'F Proj'!$P$1:$P$7669,0),MATCH($A108&amp;$B108,'D Proj'!$X$1:$X$513,0),MATCH($A108&amp;$B108,'K Proj'!$T$1:$T$508,0))</f>
        <v>488</v>
      </c>
      <c r="O108">
        <f>CHOOSE(M108,INDEX('F Proj'!$D$1:$D$7669,N108),INDEX('D Proj'!$T$1:$T$513,N108),INDEX('K Proj'!$L$1:$L$508,N108))</f>
        <v>14.98</v>
      </c>
      <c r="P108">
        <f>CHOOSE(M108,INDEX('F Proj'!$J$1:$J$7669,N108),INDEX('D Proj'!$N$1:$N$513,N108),INDEX('K Proj'!$P$1:$P$508,N108))</f>
        <v>43.56</v>
      </c>
      <c r="Q108" t="str">
        <f t="shared" si="3"/>
        <v>WR</v>
      </c>
      <c r="R108" t="str">
        <f>IF(L108="FLEX",INDEX('F Proj'!$F$1:$F$7669,N108),Q108)</f>
        <v>WR</v>
      </c>
      <c r="S108" t="str">
        <f>IF((Week+Half_Week-1)&gt;=VALUE(RIGHT(C108,LEN(C108)-SEARCH("-",C108))),LEFT(C108,SEARCH("-",C108)-1),"")</f>
        <v>aj</v>
      </c>
    </row>
    <row r="109" spans="1:19" x14ac:dyDescent="0.25">
      <c r="A109" t="s">
        <v>120</v>
      </c>
      <c r="B109">
        <v>2</v>
      </c>
      <c r="C109" t="s">
        <v>625</v>
      </c>
      <c r="D109" t="s">
        <v>471</v>
      </c>
      <c r="E109">
        <v>17</v>
      </c>
      <c r="G109">
        <v>17</v>
      </c>
      <c r="H109">
        <v>0</v>
      </c>
      <c r="I109">
        <v>0</v>
      </c>
      <c r="J109" t="s">
        <v>683</v>
      </c>
      <c r="K109" t="str">
        <f t="shared" si="2"/>
        <v>DeAndre Hopkins2</v>
      </c>
      <c r="L109" s="21" t="str">
        <f>IF(ISERROR(MATCH($A109,'F Proj'!$B$1:$B$7669,0)),IF(ISERROR(MATCH($A109,'D Proj'!$B$1:$B$513,0)),IF(ISERROR(MATCH($A109,'K Proj'!$B$1:$B$508,0)),"?","K"),"D"),"FLEX")</f>
        <v>FLEX</v>
      </c>
      <c r="M109" s="21">
        <f>MATCH(L109,Pos,0)</f>
        <v>1</v>
      </c>
      <c r="N109" s="21">
        <f>CHOOSE($M109,MATCH($A109&amp;$B109,'F Proj'!$P$1:$P$7669,0),MATCH($A109&amp;$B109,'D Proj'!$X$1:$X$513,0),MATCH($A109&amp;$B109,'K Proj'!$T$1:$T$508,0))</f>
        <v>769</v>
      </c>
      <c r="O109">
        <f>CHOOSE(M109,INDEX('F Proj'!$D$1:$D$7669,N109),INDEX('D Proj'!$T$1:$T$513,N109),INDEX('K Proj'!$L$1:$L$508,N109))</f>
        <v>12.4</v>
      </c>
      <c r="P109">
        <f>CHOOSE(M109,INDEX('F Proj'!$J$1:$J$7669,N109),INDEX('D Proj'!$N$1:$N$513,N109),INDEX('K Proj'!$P$1:$P$508,N109))</f>
        <v>49.984900000000003</v>
      </c>
      <c r="Q109" t="str">
        <f t="shared" si="3"/>
        <v>WR</v>
      </c>
      <c r="R109" t="str">
        <f>IF(L109="FLEX",INDEX('F Proj'!$F$1:$F$7669,N109),Q109)</f>
        <v>WR</v>
      </c>
      <c r="S109" t="str">
        <f>IF((Week+Half_Week-1)&gt;=VALUE(RIGHT(C109,LEN(C109)-SEARCH("-",C109))),LEFT(C109,SEARCH("-",C109)-1),"")</f>
        <v>aj</v>
      </c>
    </row>
    <row r="110" spans="1:19" x14ac:dyDescent="0.25">
      <c r="A110" t="s">
        <v>120</v>
      </c>
      <c r="B110">
        <v>3</v>
      </c>
      <c r="C110" t="s">
        <v>806</v>
      </c>
      <c r="D110" t="s">
        <v>471</v>
      </c>
      <c r="E110">
        <v>8.6</v>
      </c>
      <c r="G110">
        <v>8.6</v>
      </c>
      <c r="H110">
        <v>0</v>
      </c>
      <c r="I110">
        <v>0</v>
      </c>
      <c r="J110" t="s">
        <v>4287</v>
      </c>
      <c r="K110" t="str">
        <f t="shared" si="2"/>
        <v>DeAndre Hopkins3</v>
      </c>
      <c r="L110" s="21" t="str">
        <f>IF(ISERROR(MATCH($A110,'F Proj'!$B$1:$B$7669,0)),IF(ISERROR(MATCH($A110,'D Proj'!$B$1:$B$513,0)),IF(ISERROR(MATCH($A110,'K Proj'!$B$1:$B$508,0)),"?","K"),"D"),"FLEX")</f>
        <v>FLEX</v>
      </c>
      <c r="M110" s="21">
        <f>MATCH(L110,Pos,0)</f>
        <v>1</v>
      </c>
      <c r="N110" s="21">
        <f>CHOOSE($M110,MATCH($A110&amp;$B110,'F Proj'!$P$1:$P$7669,0),MATCH($A110&amp;$B110,'D Proj'!$X$1:$X$513,0),MATCH($A110&amp;$B110,'K Proj'!$T$1:$T$508,0))</f>
        <v>684</v>
      </c>
      <c r="O110">
        <f>CHOOSE(M110,INDEX('F Proj'!$D$1:$D$7669,N110),INDEX('D Proj'!$T$1:$T$513,N110),INDEX('K Proj'!$L$1:$L$508,N110))</f>
        <v>13.01</v>
      </c>
      <c r="P110">
        <f>CHOOSE(M110,INDEX('F Proj'!$J$1:$J$7669,N110),INDEX('D Proj'!$N$1:$N$513,N110),INDEX('K Proj'!$P$1:$P$508,N110))</f>
        <v>64</v>
      </c>
      <c r="Q110" t="str">
        <f t="shared" si="3"/>
        <v>WR</v>
      </c>
      <c r="R110" t="str">
        <f>IF(L110="FLEX",INDEX('F Proj'!$F$1:$F$7669,N110),Q110)</f>
        <v>WR</v>
      </c>
      <c r="S110" t="str">
        <f>IF((Week+Half_Week-1)&gt;=VALUE(RIGHT(C110,LEN(C110)-SEARCH("-",C110))),LEFT(C110,SEARCH("-",C110)-1),"")</f>
        <v>aj</v>
      </c>
    </row>
    <row r="111" spans="1:19" x14ac:dyDescent="0.25">
      <c r="A111" t="s">
        <v>120</v>
      </c>
      <c r="B111">
        <v>4</v>
      </c>
      <c r="C111" t="s">
        <v>866</v>
      </c>
      <c r="D111" t="s">
        <v>471</v>
      </c>
      <c r="E111">
        <v>22.9</v>
      </c>
      <c r="G111">
        <v>22.9</v>
      </c>
      <c r="H111">
        <v>0</v>
      </c>
      <c r="I111">
        <v>0</v>
      </c>
      <c r="J111" t="s">
        <v>4769</v>
      </c>
      <c r="K111" t="str">
        <f t="shared" si="2"/>
        <v>DeAndre Hopkins4</v>
      </c>
      <c r="L111" s="21" t="str">
        <f>IF(ISERROR(MATCH($A111,'F Proj'!$B$1:$B$7669,0)),IF(ISERROR(MATCH($A111,'D Proj'!$B$1:$B$513,0)),IF(ISERROR(MATCH($A111,'K Proj'!$B$1:$B$508,0)),"?","K"),"D"),"FLEX")</f>
        <v>FLEX</v>
      </c>
      <c r="M111" s="21">
        <f>MATCH(L111,Pos,0)</f>
        <v>1</v>
      </c>
      <c r="N111" s="21">
        <f>CHOOSE($M111,MATCH($A111&amp;$B111,'F Proj'!$P$1:$P$7669,0),MATCH($A111&amp;$B111,'D Proj'!$X$1:$X$513,0),MATCH($A111&amp;$B111,'K Proj'!$T$1:$T$508,0))</f>
        <v>521</v>
      </c>
      <c r="O111">
        <f>CHOOSE(M111,INDEX('F Proj'!$D$1:$D$7669,N111),INDEX('D Proj'!$T$1:$T$513,N111),INDEX('K Proj'!$L$1:$L$508,N111))</f>
        <v>14.53</v>
      </c>
      <c r="P111">
        <f>CHOOSE(M111,INDEX('F Proj'!$J$1:$J$7669,N111),INDEX('D Proj'!$N$1:$N$513,N111),INDEX('K Proj'!$P$1:$P$508,N111))</f>
        <v>51.552399999999999</v>
      </c>
      <c r="Q111" t="str">
        <f t="shared" si="3"/>
        <v>WR</v>
      </c>
      <c r="R111" t="str">
        <f>IF(L111="FLEX",INDEX('F Proj'!$F$1:$F$7669,N111),Q111)</f>
        <v>WR</v>
      </c>
      <c r="S111" t="str">
        <f>IF((Week+Half_Week-1)&gt;=VALUE(RIGHT(C111,LEN(C111)-SEARCH("-",C111))),LEFT(C111,SEARCH("-",C111)-1),"")</f>
        <v>aj</v>
      </c>
    </row>
    <row r="112" spans="1:19" x14ac:dyDescent="0.25">
      <c r="A112" t="s">
        <v>120</v>
      </c>
      <c r="B112">
        <v>5</v>
      </c>
      <c r="C112" t="s">
        <v>888</v>
      </c>
      <c r="D112" t="s">
        <v>471</v>
      </c>
      <c r="E112" t="s">
        <v>8947</v>
      </c>
      <c r="G112">
        <v>15.31</v>
      </c>
      <c r="H112">
        <v>7.38</v>
      </c>
      <c r="I112">
        <v>54.464399999999998</v>
      </c>
      <c r="J112" t="s">
        <v>8967</v>
      </c>
      <c r="K112" t="str">
        <f t="shared" si="2"/>
        <v>DeAndre Hopkins5</v>
      </c>
      <c r="L112" s="21" t="str">
        <f>IF(ISERROR(MATCH($A112,'F Proj'!$B$1:$B$7669,0)),IF(ISERROR(MATCH($A112,'D Proj'!$B$1:$B$513,0)),IF(ISERROR(MATCH($A112,'K Proj'!$B$1:$B$508,0)),"?","K"),"D"),"FLEX")</f>
        <v>FLEX</v>
      </c>
      <c r="M112" s="21">
        <f>MATCH(L112,Pos,0)</f>
        <v>1</v>
      </c>
      <c r="N112" s="21">
        <f>CHOOSE($M112,MATCH($A112&amp;$B112,'F Proj'!$P$1:$P$7669,0),MATCH($A112&amp;$B112,'D Proj'!$X$1:$X$513,0),MATCH($A112&amp;$B112,'K Proj'!$T$1:$T$508,0))</f>
        <v>460</v>
      </c>
      <c r="O112">
        <f>CHOOSE(M112,INDEX('F Proj'!$D$1:$D$7669,N112),INDEX('D Proj'!$T$1:$T$513,N112),INDEX('K Proj'!$L$1:$L$508,N112))</f>
        <v>15.31</v>
      </c>
      <c r="P112">
        <f>CHOOSE(M112,INDEX('F Proj'!$J$1:$J$7669,N112),INDEX('D Proj'!$N$1:$N$513,N112),INDEX('K Proj'!$P$1:$P$508,N112))</f>
        <v>54.464399999999998</v>
      </c>
      <c r="Q112" t="str">
        <f t="shared" si="3"/>
        <v>WR</v>
      </c>
      <c r="R112" t="str">
        <f>IF(L112="FLEX",INDEX('F Proj'!$F$1:$F$7669,N112),Q112)</f>
        <v>WR</v>
      </c>
      <c r="S112" t="str">
        <f>IF((Week+Half_Week-1)&gt;=VALUE(RIGHT(C112,LEN(C112)-SEARCH("-",C112))),LEFT(C112,SEARCH("-",C112)-1),"")</f>
        <v/>
      </c>
    </row>
    <row r="113" spans="1:19" x14ac:dyDescent="0.25">
      <c r="A113" t="s">
        <v>165</v>
      </c>
      <c r="B113">
        <v>1</v>
      </c>
      <c r="C113" t="s">
        <v>506</v>
      </c>
      <c r="D113" t="s">
        <v>475</v>
      </c>
      <c r="E113">
        <v>5.2</v>
      </c>
      <c r="G113">
        <v>5.2</v>
      </c>
      <c r="H113">
        <v>0</v>
      </c>
      <c r="I113">
        <v>0</v>
      </c>
      <c r="J113" t="s">
        <v>579</v>
      </c>
      <c r="K113" t="str">
        <f t="shared" si="2"/>
        <v>Delanie Walker1</v>
      </c>
      <c r="L113" s="21" t="str">
        <f>IF(ISERROR(MATCH($A113,'F Proj'!$B$1:$B$7669,0)),IF(ISERROR(MATCH($A113,'D Proj'!$B$1:$B$513,0)),IF(ISERROR(MATCH($A113,'K Proj'!$B$1:$B$508,0)),"?","K"),"D"),"FLEX")</f>
        <v>?</v>
      </c>
      <c r="M113" s="21">
        <f>MATCH(L113,Pos,0)</f>
        <v>2</v>
      </c>
      <c r="N113" s="21" t="e">
        <f>CHOOSE($M113,MATCH($A113&amp;$B113,'F Proj'!$P$1:$P$7669,0),MATCH($A113&amp;$B113,'D Proj'!$X$1:$X$513,0),MATCH($A113&amp;$B113,'K Proj'!$T$1:$T$508,0))</f>
        <v>#N/A</v>
      </c>
      <c r="O113" t="e">
        <f>CHOOSE(M113,INDEX('F Proj'!$D$1:$D$7669,N113),INDEX('D Proj'!$T$1:$T$513,N113),INDEX('K Proj'!$L$1:$L$508,N113))</f>
        <v>#N/A</v>
      </c>
      <c r="P113" t="e">
        <f>CHOOSE(M113,INDEX('F Proj'!$J$1:$J$7669,N113),INDEX('D Proj'!$N$1:$N$513,N113),INDEX('K Proj'!$P$1:$P$508,N113))</f>
        <v>#N/A</v>
      </c>
      <c r="Q113" t="str">
        <f t="shared" si="3"/>
        <v>TE</v>
      </c>
      <c r="R113" t="str">
        <f>IF(L113="FLEX",INDEX('F Proj'!$F$1:$F$7669,N113),Q113)</f>
        <v>TE</v>
      </c>
      <c r="S113" t="str">
        <f>IF((Week+Half_Week-1)&gt;=VALUE(RIGHT(C113,LEN(C113)-SEARCH("-",C113))),LEFT(C113,SEARCH("-",C113)-1),"")</f>
        <v>comp</v>
      </c>
    </row>
    <row r="114" spans="1:19" x14ac:dyDescent="0.25">
      <c r="A114" t="s">
        <v>136</v>
      </c>
      <c r="B114">
        <v>1</v>
      </c>
      <c r="C114" t="s">
        <v>503</v>
      </c>
      <c r="D114" t="s">
        <v>473</v>
      </c>
      <c r="E114">
        <v>12.3</v>
      </c>
      <c r="G114">
        <v>12.3</v>
      </c>
      <c r="H114">
        <v>0</v>
      </c>
      <c r="I114">
        <v>0</v>
      </c>
      <c r="J114" t="s">
        <v>526</v>
      </c>
      <c r="K114" t="str">
        <f t="shared" si="2"/>
        <v>Demaryius Thomas1</v>
      </c>
      <c r="L114" s="21" t="str">
        <f>IF(ISERROR(MATCH($A114,'F Proj'!$B$1:$B$7669,0)),IF(ISERROR(MATCH($A114,'D Proj'!$B$1:$B$513,0)),IF(ISERROR(MATCH($A114,'K Proj'!$B$1:$B$508,0)),"?","K"),"D"),"FLEX")</f>
        <v>FLEX</v>
      </c>
      <c r="M114" s="21">
        <f>MATCH(L114,Pos,0)</f>
        <v>1</v>
      </c>
      <c r="N114" s="21">
        <f>CHOOSE($M114,MATCH($A114&amp;$B114,'F Proj'!$P$1:$P$7669,0),MATCH($A114&amp;$B114,'D Proj'!$X$1:$X$513,0),MATCH($A114&amp;$B114,'K Proj'!$T$1:$T$508,0))</f>
        <v>1329</v>
      </c>
      <c r="O114">
        <f>CHOOSE(M114,INDEX('F Proj'!$D$1:$D$7669,N114),INDEX('D Proj'!$T$1:$T$513,N114),INDEX('K Proj'!$L$1:$L$508,N114))</f>
        <v>8.73</v>
      </c>
      <c r="P114">
        <f>CHOOSE(M114,INDEX('F Proj'!$J$1:$J$7669,N114),INDEX('D Proj'!$N$1:$N$513,N114),INDEX('K Proj'!$P$1:$P$508,N114))</f>
        <v>22.278400000000001</v>
      </c>
      <c r="Q114" t="str">
        <f t="shared" si="3"/>
        <v>WR</v>
      </c>
      <c r="R114" t="str">
        <f>IF(L114="FLEX",INDEX('F Proj'!$F$1:$F$7669,N114),Q114)</f>
        <v>WR</v>
      </c>
      <c r="S114" t="str">
        <f>IF((Week+Half_Week-1)&gt;=VALUE(RIGHT(C114,LEN(C114)-SEARCH("-",C114))),LEFT(C114,SEARCH("-",C114)-1),"")</f>
        <v>devon</v>
      </c>
    </row>
    <row r="115" spans="1:19" x14ac:dyDescent="0.25">
      <c r="A115" t="s">
        <v>136</v>
      </c>
      <c r="B115">
        <v>2</v>
      </c>
      <c r="C115" t="s">
        <v>633</v>
      </c>
      <c r="D115" t="s">
        <v>473</v>
      </c>
      <c r="E115">
        <v>1.8</v>
      </c>
      <c r="G115">
        <v>1.8</v>
      </c>
      <c r="H115">
        <v>0</v>
      </c>
      <c r="I115">
        <v>0</v>
      </c>
      <c r="J115" t="s">
        <v>674</v>
      </c>
      <c r="K115" t="str">
        <f t="shared" si="2"/>
        <v>Demaryius Thomas2</v>
      </c>
      <c r="L115" s="21" t="str">
        <f>IF(ISERROR(MATCH($A115,'F Proj'!$B$1:$B$7669,0)),IF(ISERROR(MATCH($A115,'D Proj'!$B$1:$B$513,0)),IF(ISERROR(MATCH($A115,'K Proj'!$B$1:$B$508,0)),"?","K"),"D"),"FLEX")</f>
        <v>FLEX</v>
      </c>
      <c r="M115" s="21">
        <f>MATCH(L115,Pos,0)</f>
        <v>1</v>
      </c>
      <c r="N115" s="21">
        <f>CHOOSE($M115,MATCH($A115&amp;$B115,'F Proj'!$P$1:$P$7669,0),MATCH($A115&amp;$B115,'D Proj'!$X$1:$X$513,0),MATCH($A115&amp;$B115,'K Proj'!$T$1:$T$508,0))</f>
        <v>1133</v>
      </c>
      <c r="O115">
        <f>CHOOSE(M115,INDEX('F Proj'!$D$1:$D$7669,N115),INDEX('D Proj'!$T$1:$T$513,N115),INDEX('K Proj'!$L$1:$L$508,N115))</f>
        <v>9.74</v>
      </c>
      <c r="P115">
        <f>CHOOSE(M115,INDEX('F Proj'!$J$1:$J$7669,N115),INDEX('D Proj'!$N$1:$N$513,N115),INDEX('K Proj'!$P$1:$P$508,N115))</f>
        <v>21.529599999999999</v>
      </c>
      <c r="Q115" t="str">
        <f t="shared" si="3"/>
        <v>WR</v>
      </c>
      <c r="R115" t="str">
        <f>IF(L115="FLEX",INDEX('F Proj'!$F$1:$F$7669,N115),Q115)</f>
        <v>WR</v>
      </c>
      <c r="S115" t="str">
        <f>IF((Week+Half_Week-1)&gt;=VALUE(RIGHT(C115,LEN(C115)-SEARCH("-",C115))),LEFT(C115,SEARCH("-",C115)-1),"")</f>
        <v>devon</v>
      </c>
    </row>
    <row r="116" spans="1:19" x14ac:dyDescent="0.25">
      <c r="A116" t="s">
        <v>136</v>
      </c>
      <c r="B116">
        <v>3</v>
      </c>
      <c r="C116" t="s">
        <v>811</v>
      </c>
      <c r="D116" t="s">
        <v>473</v>
      </c>
      <c r="E116">
        <v>6.3</v>
      </c>
      <c r="G116">
        <v>6.3</v>
      </c>
      <c r="H116">
        <v>0</v>
      </c>
      <c r="I116">
        <v>0</v>
      </c>
      <c r="J116" t="s">
        <v>4288</v>
      </c>
      <c r="K116" t="str">
        <f t="shared" si="2"/>
        <v>Demaryius Thomas3</v>
      </c>
      <c r="L116" s="21" t="str">
        <f>IF(ISERROR(MATCH($A116,'F Proj'!$B$1:$B$7669,0)),IF(ISERROR(MATCH($A116,'D Proj'!$B$1:$B$513,0)),IF(ISERROR(MATCH($A116,'K Proj'!$B$1:$B$508,0)),"?","K"),"D"),"FLEX")</f>
        <v>FLEX</v>
      </c>
      <c r="M116" s="21">
        <f>MATCH(L116,Pos,0)</f>
        <v>1</v>
      </c>
      <c r="N116" s="21">
        <f>CHOOSE($M116,MATCH($A116&amp;$B116,'F Proj'!$P$1:$P$7669,0),MATCH($A116&amp;$B116,'D Proj'!$X$1:$X$513,0),MATCH($A116&amp;$B116,'K Proj'!$T$1:$T$508,0))</f>
        <v>1390</v>
      </c>
      <c r="O116">
        <f>CHOOSE(M116,INDEX('F Proj'!$D$1:$D$7669,N116),INDEX('D Proj'!$T$1:$T$513,N116),INDEX('K Proj'!$L$1:$L$508,N116))</f>
        <v>8.51</v>
      </c>
      <c r="P116">
        <f>CHOOSE(M116,INDEX('F Proj'!$J$1:$J$7669,N116),INDEX('D Proj'!$N$1:$N$513,N116),INDEX('K Proj'!$P$1:$P$508,N116))</f>
        <v>25.704899999999999</v>
      </c>
      <c r="Q116" t="str">
        <f t="shared" si="3"/>
        <v>WR</v>
      </c>
      <c r="R116" t="str">
        <f>IF(L116="FLEX",INDEX('F Proj'!$F$1:$F$7669,N116),Q116)</f>
        <v>WR</v>
      </c>
      <c r="S116" t="str">
        <f>IF((Week+Half_Week-1)&gt;=VALUE(RIGHT(C116,LEN(C116)-SEARCH("-",C116))),LEFT(C116,SEARCH("-",C116)-1),"")</f>
        <v>devon</v>
      </c>
    </row>
    <row r="117" spans="1:19" x14ac:dyDescent="0.25">
      <c r="A117" t="s">
        <v>136</v>
      </c>
      <c r="B117">
        <v>4</v>
      </c>
      <c r="C117" t="s">
        <v>863</v>
      </c>
      <c r="D117" t="s">
        <v>473</v>
      </c>
      <c r="E117">
        <v>2.4</v>
      </c>
      <c r="G117">
        <v>2.4</v>
      </c>
      <c r="H117">
        <v>0</v>
      </c>
      <c r="I117">
        <v>0</v>
      </c>
      <c r="J117" t="s">
        <v>4780</v>
      </c>
      <c r="K117" t="str">
        <f t="shared" si="2"/>
        <v>Demaryius Thomas4</v>
      </c>
      <c r="L117" s="21" t="str">
        <f>IF(ISERROR(MATCH($A117,'F Proj'!$B$1:$B$7669,0)),IF(ISERROR(MATCH($A117,'D Proj'!$B$1:$B$513,0)),IF(ISERROR(MATCH($A117,'K Proj'!$B$1:$B$508,0)),"?","K"),"D"),"FLEX")</f>
        <v>FLEX</v>
      </c>
      <c r="M117" s="21">
        <f>MATCH(L117,Pos,0)</f>
        <v>1</v>
      </c>
      <c r="N117" s="21">
        <f>CHOOSE($M117,MATCH($A117&amp;$B117,'F Proj'!$P$1:$P$7669,0),MATCH($A117&amp;$B117,'D Proj'!$X$1:$X$513,0),MATCH($A117&amp;$B117,'K Proj'!$T$1:$T$508,0))</f>
        <v>1317</v>
      </c>
      <c r="O117">
        <f>CHOOSE(M117,INDEX('F Proj'!$D$1:$D$7669,N117),INDEX('D Proj'!$T$1:$T$513,N117),INDEX('K Proj'!$L$1:$L$508,N117))</f>
        <v>8.7799999999999994</v>
      </c>
      <c r="P117">
        <f>CHOOSE(M117,INDEX('F Proj'!$J$1:$J$7669,N117),INDEX('D Proj'!$N$1:$N$513,N117),INDEX('K Proj'!$P$1:$P$508,N117))</f>
        <v>15.2881</v>
      </c>
      <c r="Q117" t="str">
        <f t="shared" si="3"/>
        <v>WR</v>
      </c>
      <c r="R117" t="str">
        <f>IF(L117="FLEX",INDEX('F Proj'!$F$1:$F$7669,N117),Q117)</f>
        <v>WR</v>
      </c>
      <c r="S117" t="str">
        <f>IF((Week+Half_Week-1)&gt;=VALUE(RIGHT(C117,LEN(C117)-SEARCH("-",C117))),LEFT(C117,SEARCH("-",C117)-1),"")</f>
        <v>devon</v>
      </c>
    </row>
    <row r="118" spans="1:19" x14ac:dyDescent="0.25">
      <c r="A118" t="s">
        <v>136</v>
      </c>
      <c r="B118">
        <v>5</v>
      </c>
      <c r="C118" t="s">
        <v>885</v>
      </c>
      <c r="D118" t="s">
        <v>466</v>
      </c>
      <c r="E118" t="s">
        <v>8947</v>
      </c>
      <c r="G118">
        <v>7.92</v>
      </c>
      <c r="H118">
        <v>4.88</v>
      </c>
      <c r="I118">
        <v>23.814399999999999</v>
      </c>
      <c r="J118" t="s">
        <v>8964</v>
      </c>
      <c r="K118" t="str">
        <f t="shared" si="2"/>
        <v>Demaryius Thomas5</v>
      </c>
      <c r="L118" s="21" t="str">
        <f>IF(ISERROR(MATCH($A118,'F Proj'!$B$1:$B$7669,0)),IF(ISERROR(MATCH($A118,'D Proj'!$B$1:$B$513,0)),IF(ISERROR(MATCH($A118,'K Proj'!$B$1:$B$508,0)),"?","K"),"D"),"FLEX")</f>
        <v>FLEX</v>
      </c>
      <c r="M118" s="21">
        <f>MATCH(L118,Pos,0)</f>
        <v>1</v>
      </c>
      <c r="N118" s="21">
        <f>CHOOSE($M118,MATCH($A118&amp;$B118,'F Proj'!$P$1:$P$7669,0),MATCH($A118&amp;$B118,'D Proj'!$X$1:$X$513,0),MATCH($A118&amp;$B118,'K Proj'!$T$1:$T$508,0))</f>
        <v>1564</v>
      </c>
      <c r="O118">
        <f>CHOOSE(M118,INDEX('F Proj'!$D$1:$D$7669,N118),INDEX('D Proj'!$T$1:$T$513,N118),INDEX('K Proj'!$L$1:$L$508,N118))</f>
        <v>7.92</v>
      </c>
      <c r="P118">
        <f>CHOOSE(M118,INDEX('F Proj'!$J$1:$J$7669,N118),INDEX('D Proj'!$N$1:$N$513,N118),INDEX('K Proj'!$P$1:$P$508,N118))</f>
        <v>23.814399999999999</v>
      </c>
      <c r="Q118" t="str">
        <f t="shared" si="3"/>
        <v>WR/RB</v>
      </c>
      <c r="R118" t="str">
        <f>IF(L118="FLEX",INDEX('F Proj'!$F$1:$F$7669,N118),Q118)</f>
        <v>WR</v>
      </c>
      <c r="S118" t="str">
        <f>IF((Week+Half_Week-1)&gt;=VALUE(RIGHT(C118,LEN(C118)-SEARCH("-",C118))),LEFT(C118,SEARCH("-",C118)-1),"")</f>
        <v/>
      </c>
    </row>
    <row r="119" spans="1:19" x14ac:dyDescent="0.25">
      <c r="A119" t="s">
        <v>201</v>
      </c>
      <c r="B119">
        <v>1</v>
      </c>
      <c r="C119" t="s">
        <v>500</v>
      </c>
      <c r="D119" t="s">
        <v>469</v>
      </c>
      <c r="E119">
        <v>3.1</v>
      </c>
      <c r="G119">
        <v>3.1</v>
      </c>
      <c r="H119">
        <v>0</v>
      </c>
      <c r="I119">
        <v>0</v>
      </c>
      <c r="J119" t="s">
        <v>552</v>
      </c>
      <c r="K119" t="str">
        <f t="shared" si="2"/>
        <v>Derrick Henry1</v>
      </c>
      <c r="L119" s="21" t="str">
        <f>IF(ISERROR(MATCH($A119,'F Proj'!$B$1:$B$7669,0)),IF(ISERROR(MATCH($A119,'D Proj'!$B$1:$B$513,0)),IF(ISERROR(MATCH($A119,'K Proj'!$B$1:$B$508,0)),"?","K"),"D"),"FLEX")</f>
        <v>FLEX</v>
      </c>
      <c r="M119" s="21">
        <f>MATCH(L119,Pos,0)</f>
        <v>1</v>
      </c>
      <c r="N119" s="21">
        <f>CHOOSE($M119,MATCH($A119&amp;$B119,'F Proj'!$P$1:$P$7669,0),MATCH($A119&amp;$B119,'D Proj'!$X$1:$X$513,0),MATCH($A119&amp;$B119,'K Proj'!$T$1:$T$508,0))</f>
        <v>1195</v>
      </c>
      <c r="O119">
        <f>CHOOSE(M119,INDEX('F Proj'!$D$1:$D$7669,N119),INDEX('D Proj'!$T$1:$T$513,N119),INDEX('K Proj'!$L$1:$L$508,N119))</f>
        <v>9.4</v>
      </c>
      <c r="P119">
        <f>CHOOSE(M119,INDEX('F Proj'!$J$1:$J$7669,N119),INDEX('D Proj'!$N$1:$N$513,N119),INDEX('K Proj'!$P$1:$P$508,N119))</f>
        <v>32.035600000000002</v>
      </c>
      <c r="Q119" t="str">
        <f t="shared" si="3"/>
        <v>RB</v>
      </c>
      <c r="R119" t="str">
        <f>IF(L119="FLEX",INDEX('F Proj'!$F$1:$F$7669,N119),Q119)</f>
        <v>RB</v>
      </c>
      <c r="S119" t="str">
        <f>IF((Week+Half_Week-1)&gt;=VALUE(RIGHT(C119,LEN(C119)-SEARCH("-",C119))),LEFT(C119,SEARCH("-",C119)-1),"")</f>
        <v>seth</v>
      </c>
    </row>
    <row r="120" spans="1:19" x14ac:dyDescent="0.25">
      <c r="A120" t="s">
        <v>201</v>
      </c>
      <c r="B120">
        <v>5</v>
      </c>
      <c r="C120" t="s">
        <v>882</v>
      </c>
      <c r="D120" t="s">
        <v>466</v>
      </c>
      <c r="E120" t="s">
        <v>8947</v>
      </c>
      <c r="G120">
        <v>10.029999999999999</v>
      </c>
      <c r="H120">
        <v>7.77</v>
      </c>
      <c r="I120">
        <v>60.372900000000001</v>
      </c>
      <c r="J120" t="s">
        <v>8968</v>
      </c>
      <c r="K120" t="str">
        <f t="shared" si="2"/>
        <v>Derrick Henry5</v>
      </c>
      <c r="L120" s="21" t="str">
        <f>IF(ISERROR(MATCH($A120,'F Proj'!$B$1:$B$7669,0)),IF(ISERROR(MATCH($A120,'D Proj'!$B$1:$B$513,0)),IF(ISERROR(MATCH($A120,'K Proj'!$B$1:$B$508,0)),"?","K"),"D"),"FLEX")</f>
        <v>FLEX</v>
      </c>
      <c r="M120" s="21">
        <f>MATCH(L120,Pos,0)</f>
        <v>1</v>
      </c>
      <c r="N120" s="21">
        <f>CHOOSE($M120,MATCH($A120&amp;$B120,'F Proj'!$P$1:$P$7669,0),MATCH($A120&amp;$B120,'D Proj'!$X$1:$X$513,0),MATCH($A120&amp;$B120,'K Proj'!$T$1:$T$508,0))</f>
        <v>1063</v>
      </c>
      <c r="O120">
        <f>CHOOSE(M120,INDEX('F Proj'!$D$1:$D$7669,N120),INDEX('D Proj'!$T$1:$T$513,N120),INDEX('K Proj'!$L$1:$L$508,N120))</f>
        <v>10.029999999999999</v>
      </c>
      <c r="P120">
        <f>CHOOSE(M120,INDEX('F Proj'!$J$1:$J$7669,N120),INDEX('D Proj'!$N$1:$N$513,N120),INDEX('K Proj'!$P$1:$P$508,N120))</f>
        <v>60.372900000000001</v>
      </c>
      <c r="Q120" t="str">
        <f t="shared" si="3"/>
        <v>WR/RB</v>
      </c>
      <c r="R120" t="str">
        <f>IF(L120="FLEX",INDEX('F Proj'!$F$1:$F$7669,N120),Q120)</f>
        <v>RB</v>
      </c>
      <c r="S120" t="str">
        <f>IF((Week+Half_Week-1)&gt;=VALUE(RIGHT(C120,LEN(C120)-SEARCH("-",C120))),LEFT(C120,SEARCH("-",C120)-1),"")</f>
        <v/>
      </c>
    </row>
    <row r="121" spans="1:19" x14ac:dyDescent="0.25">
      <c r="A121" t="s">
        <v>179</v>
      </c>
      <c r="B121">
        <v>1</v>
      </c>
      <c r="C121" t="s">
        <v>501</v>
      </c>
      <c r="D121" t="s">
        <v>467</v>
      </c>
      <c r="E121">
        <v>11</v>
      </c>
      <c r="G121">
        <v>11</v>
      </c>
      <c r="H121">
        <v>0</v>
      </c>
      <c r="I121">
        <v>0</v>
      </c>
      <c r="J121" t="s">
        <v>520</v>
      </c>
      <c r="K121" t="str">
        <f t="shared" si="2"/>
        <v>Deshaun Watson1</v>
      </c>
      <c r="L121" s="21" t="str">
        <f>IF(ISERROR(MATCH($A121,'F Proj'!$B$1:$B$7669,0)),IF(ISERROR(MATCH($A121,'D Proj'!$B$1:$B$513,0)),IF(ISERROR(MATCH($A121,'K Proj'!$B$1:$B$508,0)),"?","K"),"D"),"FLEX")</f>
        <v>FLEX</v>
      </c>
      <c r="M121" s="21">
        <f>MATCH(L121,Pos,0)</f>
        <v>1</v>
      </c>
      <c r="N121" s="21">
        <f>CHOOSE($M121,MATCH($A121&amp;$B121,'F Proj'!$P$1:$P$7669,0),MATCH($A121&amp;$B121,'D Proj'!$X$1:$X$513,0),MATCH($A121&amp;$B121,'K Proj'!$T$1:$T$508,0))</f>
        <v>198</v>
      </c>
      <c r="O121">
        <f>CHOOSE(M121,INDEX('F Proj'!$D$1:$D$7669,N121),INDEX('D Proj'!$T$1:$T$513,N121),INDEX('K Proj'!$L$1:$L$508,N121))</f>
        <v>19.16</v>
      </c>
      <c r="P121">
        <f>CHOOSE(M121,INDEX('F Proj'!$J$1:$J$7669,N121),INDEX('D Proj'!$N$1:$N$513,N121),INDEX('K Proj'!$P$1:$P$508,N121))</f>
        <v>49.140099999999997</v>
      </c>
      <c r="Q121" t="str">
        <f t="shared" si="3"/>
        <v>QB</v>
      </c>
      <c r="R121" t="str">
        <f>IF(L121="FLEX",INDEX('F Proj'!$F$1:$F$7669,N121),Q121)</f>
        <v>QB</v>
      </c>
      <c r="S121" t="str">
        <f>IF((Week+Half_Week-1)&gt;=VALUE(RIGHT(C121,LEN(C121)-SEARCH("-",C121))),LEFT(C121,SEARCH("-",C121)-1),"")</f>
        <v>chad</v>
      </c>
    </row>
    <row r="122" spans="1:19" x14ac:dyDescent="0.25">
      <c r="A122" t="s">
        <v>179</v>
      </c>
      <c r="B122">
        <v>2</v>
      </c>
      <c r="C122" t="s">
        <v>638</v>
      </c>
      <c r="D122" t="s">
        <v>467</v>
      </c>
      <c r="E122">
        <v>22.8</v>
      </c>
      <c r="G122">
        <v>22.8</v>
      </c>
      <c r="H122">
        <v>0</v>
      </c>
      <c r="I122">
        <v>0</v>
      </c>
      <c r="J122" t="s">
        <v>655</v>
      </c>
      <c r="K122" t="str">
        <f t="shared" si="2"/>
        <v>Deshaun Watson2</v>
      </c>
      <c r="L122" s="21" t="str">
        <f>IF(ISERROR(MATCH($A122,'F Proj'!$B$1:$B$7669,0)),IF(ISERROR(MATCH($A122,'D Proj'!$B$1:$B$513,0)),IF(ISERROR(MATCH($A122,'K Proj'!$B$1:$B$508,0)),"?","K"),"D"),"FLEX")</f>
        <v>FLEX</v>
      </c>
      <c r="M122" s="21">
        <f>MATCH(L122,Pos,0)</f>
        <v>1</v>
      </c>
      <c r="N122" s="21">
        <f>CHOOSE($M122,MATCH($A122&amp;$B122,'F Proj'!$P$1:$P$7669,0),MATCH($A122&amp;$B122,'D Proj'!$X$1:$X$513,0),MATCH($A122&amp;$B122,'K Proj'!$T$1:$T$508,0))</f>
        <v>212</v>
      </c>
      <c r="O122">
        <f>CHOOSE(M122,INDEX('F Proj'!$D$1:$D$7669,N122),INDEX('D Proj'!$T$1:$T$513,N122),INDEX('K Proj'!$L$1:$L$508,N122))</f>
        <v>18.95</v>
      </c>
      <c r="P122">
        <f>CHOOSE(M122,INDEX('F Proj'!$J$1:$J$7669,N122),INDEX('D Proj'!$N$1:$N$513,N122),INDEX('K Proj'!$P$1:$P$508,N122))</f>
        <v>44.355600000000003</v>
      </c>
      <c r="Q122" t="str">
        <f t="shared" si="3"/>
        <v>QB</v>
      </c>
      <c r="R122" t="str">
        <f>IF(L122="FLEX",INDEX('F Proj'!$F$1:$F$7669,N122),Q122)</f>
        <v>QB</v>
      </c>
      <c r="S122" t="str">
        <f>IF((Week+Half_Week-1)&gt;=VALUE(RIGHT(C122,LEN(C122)-SEARCH("-",C122))),LEFT(C122,SEARCH("-",C122)-1),"")</f>
        <v>chad</v>
      </c>
    </row>
    <row r="123" spans="1:19" x14ac:dyDescent="0.25">
      <c r="A123" t="s">
        <v>179</v>
      </c>
      <c r="B123">
        <v>3</v>
      </c>
      <c r="C123" t="s">
        <v>810</v>
      </c>
      <c r="D123" t="s">
        <v>467</v>
      </c>
      <c r="E123">
        <v>25</v>
      </c>
      <c r="G123">
        <v>25</v>
      </c>
      <c r="H123">
        <v>0</v>
      </c>
      <c r="I123">
        <v>0</v>
      </c>
      <c r="J123" t="s">
        <v>4289</v>
      </c>
      <c r="K123" t="str">
        <f t="shared" si="2"/>
        <v>Deshaun Watson3</v>
      </c>
      <c r="L123" s="21" t="str">
        <f>IF(ISERROR(MATCH($A123,'F Proj'!$B$1:$B$7669,0)),IF(ISERROR(MATCH($A123,'D Proj'!$B$1:$B$513,0)),IF(ISERROR(MATCH($A123,'K Proj'!$B$1:$B$508,0)),"?","K"),"D"),"FLEX")</f>
        <v>FLEX</v>
      </c>
      <c r="M123" s="21">
        <f>MATCH(L123,Pos,0)</f>
        <v>1</v>
      </c>
      <c r="N123" s="21">
        <f>CHOOSE($M123,MATCH($A123&amp;$B123,'F Proj'!$P$1:$P$7669,0),MATCH($A123&amp;$B123,'D Proj'!$X$1:$X$513,0),MATCH($A123&amp;$B123,'K Proj'!$T$1:$T$508,0))</f>
        <v>161</v>
      </c>
      <c r="O123">
        <f>CHOOSE(M123,INDEX('F Proj'!$D$1:$D$7669,N123),INDEX('D Proj'!$T$1:$T$513,N123),INDEX('K Proj'!$L$1:$L$508,N123))</f>
        <v>19.66</v>
      </c>
      <c r="P123">
        <f>CHOOSE(M123,INDEX('F Proj'!$J$1:$J$7669,N123),INDEX('D Proj'!$N$1:$N$513,N123),INDEX('K Proj'!$P$1:$P$508,N123))</f>
        <v>54.169600000000003</v>
      </c>
      <c r="Q123" t="str">
        <f t="shared" si="3"/>
        <v>QB</v>
      </c>
      <c r="R123" t="str">
        <f>IF(L123="FLEX",INDEX('F Proj'!$F$1:$F$7669,N123),Q123)</f>
        <v>QB</v>
      </c>
      <c r="S123" t="str">
        <f>IF((Week+Half_Week-1)&gt;=VALUE(RIGHT(C123,LEN(C123)-SEARCH("-",C123))),LEFT(C123,SEARCH("-",C123)-1),"")</f>
        <v>chad</v>
      </c>
    </row>
    <row r="124" spans="1:19" x14ac:dyDescent="0.25">
      <c r="A124" t="s">
        <v>179</v>
      </c>
      <c r="B124">
        <v>4</v>
      </c>
      <c r="C124" t="s">
        <v>865</v>
      </c>
      <c r="D124" t="s">
        <v>467</v>
      </c>
      <c r="E124">
        <v>31.1</v>
      </c>
      <c r="G124">
        <v>31.1</v>
      </c>
      <c r="H124">
        <v>0</v>
      </c>
      <c r="I124">
        <v>0</v>
      </c>
      <c r="J124" t="s">
        <v>4771</v>
      </c>
      <c r="K124" t="str">
        <f t="shared" si="2"/>
        <v>Deshaun Watson4</v>
      </c>
      <c r="L124" s="21" t="str">
        <f>IF(ISERROR(MATCH($A124,'F Proj'!$B$1:$B$7669,0)),IF(ISERROR(MATCH($A124,'D Proj'!$B$1:$B$513,0)),IF(ISERROR(MATCH($A124,'K Proj'!$B$1:$B$508,0)),"?","K"),"D"),"FLEX")</f>
        <v>FLEX</v>
      </c>
      <c r="M124" s="21">
        <f>MATCH(L124,Pos,0)</f>
        <v>1</v>
      </c>
      <c r="N124" s="21">
        <f>CHOOSE($M124,MATCH($A124&amp;$B124,'F Proj'!$P$1:$P$7669,0),MATCH($A124&amp;$B124,'D Proj'!$X$1:$X$513,0),MATCH($A124&amp;$B124,'K Proj'!$T$1:$T$508,0))</f>
        <v>42</v>
      </c>
      <c r="O124">
        <f>CHOOSE(M124,INDEX('F Proj'!$D$1:$D$7669,N124),INDEX('D Proj'!$T$1:$T$513,N124),INDEX('K Proj'!$L$1:$L$508,N124))</f>
        <v>22.18</v>
      </c>
      <c r="P124">
        <f>CHOOSE(M124,INDEX('F Proj'!$J$1:$J$7669,N124),INDEX('D Proj'!$N$1:$N$513,N124),INDEX('K Proj'!$P$1:$P$508,N124))</f>
        <v>67.239999999999995</v>
      </c>
      <c r="Q124" t="str">
        <f t="shared" si="3"/>
        <v>QB</v>
      </c>
      <c r="R124" t="str">
        <f>IF(L124="FLEX",INDEX('F Proj'!$F$1:$F$7669,N124),Q124)</f>
        <v>QB</v>
      </c>
      <c r="S124" t="str">
        <f>IF((Week+Half_Week-1)&gt;=VALUE(RIGHT(C124,LEN(C124)-SEARCH("-",C124))),LEFT(C124,SEARCH("-",C124)-1),"")</f>
        <v>chad</v>
      </c>
    </row>
    <row r="125" spans="1:19" x14ac:dyDescent="0.25">
      <c r="A125" t="s">
        <v>179</v>
      </c>
      <c r="B125">
        <v>5</v>
      </c>
      <c r="C125" t="s">
        <v>886</v>
      </c>
      <c r="D125" t="s">
        <v>467</v>
      </c>
      <c r="E125" t="s">
        <v>8947</v>
      </c>
      <c r="G125">
        <v>23.21</v>
      </c>
      <c r="H125">
        <v>8.49</v>
      </c>
      <c r="I125">
        <v>72.080100000000002</v>
      </c>
      <c r="J125" t="s">
        <v>8969</v>
      </c>
      <c r="K125" t="str">
        <f t="shared" si="2"/>
        <v>Deshaun Watson5</v>
      </c>
      <c r="L125" s="21" t="str">
        <f>IF(ISERROR(MATCH($A125,'F Proj'!$B$1:$B$7669,0)),IF(ISERROR(MATCH($A125,'D Proj'!$B$1:$B$513,0)),IF(ISERROR(MATCH($A125,'K Proj'!$B$1:$B$508,0)),"?","K"),"D"),"FLEX")</f>
        <v>FLEX</v>
      </c>
      <c r="M125" s="21">
        <f>MATCH(L125,Pos,0)</f>
        <v>1</v>
      </c>
      <c r="N125" s="21">
        <f>CHOOSE($M125,MATCH($A125&amp;$B125,'F Proj'!$P$1:$P$7669,0),MATCH($A125&amp;$B125,'D Proj'!$X$1:$X$513,0),MATCH($A125&amp;$B125,'K Proj'!$T$1:$T$508,0))</f>
        <v>22</v>
      </c>
      <c r="O125">
        <f>CHOOSE(M125,INDEX('F Proj'!$D$1:$D$7669,N125),INDEX('D Proj'!$T$1:$T$513,N125),INDEX('K Proj'!$L$1:$L$508,N125))</f>
        <v>23.21</v>
      </c>
      <c r="P125">
        <f>CHOOSE(M125,INDEX('F Proj'!$J$1:$J$7669,N125),INDEX('D Proj'!$N$1:$N$513,N125),INDEX('K Proj'!$P$1:$P$508,N125))</f>
        <v>72.080100000000002</v>
      </c>
      <c r="Q125" t="str">
        <f t="shared" si="3"/>
        <v>QB</v>
      </c>
      <c r="R125" t="str">
        <f>IF(L125="FLEX",INDEX('F Proj'!$F$1:$F$7669,N125),Q125)</f>
        <v>QB</v>
      </c>
      <c r="S125" t="str">
        <f>IF((Week+Half_Week-1)&gt;=VALUE(RIGHT(C125,LEN(C125)-SEARCH("-",C125))),LEFT(C125,SEARCH("-",C125)-1),"")</f>
        <v/>
      </c>
    </row>
    <row r="126" spans="1:19" x14ac:dyDescent="0.25">
      <c r="A126" t="s">
        <v>251</v>
      </c>
      <c r="B126">
        <v>2</v>
      </c>
      <c r="C126" t="s">
        <v>638</v>
      </c>
      <c r="D126" t="s">
        <v>472</v>
      </c>
      <c r="E126">
        <v>7.7</v>
      </c>
      <c r="G126">
        <v>7.7</v>
      </c>
      <c r="H126">
        <v>0</v>
      </c>
      <c r="I126">
        <v>0</v>
      </c>
      <c r="J126" t="s">
        <v>647</v>
      </c>
      <c r="K126" t="str">
        <f t="shared" si="2"/>
        <v>Devin Funchess2</v>
      </c>
      <c r="L126" s="21" t="str">
        <f>IF(ISERROR(MATCH($A126,'F Proj'!$B$1:$B$7669,0)),IF(ISERROR(MATCH($A126,'D Proj'!$B$1:$B$513,0)),IF(ISERROR(MATCH($A126,'K Proj'!$B$1:$B$508,0)),"?","K"),"D"),"FLEX")</f>
        <v>FLEX</v>
      </c>
      <c r="M126" s="21">
        <f>MATCH(L126,Pos,0)</f>
        <v>1</v>
      </c>
      <c r="N126" s="21">
        <f>CHOOSE($M126,MATCH($A126&amp;$B126,'F Proj'!$P$1:$P$7669,0),MATCH($A126&amp;$B126,'D Proj'!$X$1:$X$513,0),MATCH($A126&amp;$B126,'K Proj'!$T$1:$T$508,0))</f>
        <v>1612</v>
      </c>
      <c r="O126">
        <f>CHOOSE(M126,INDEX('F Proj'!$D$1:$D$7669,N126),INDEX('D Proj'!$T$1:$T$513,N126),INDEX('K Proj'!$L$1:$L$508,N126))</f>
        <v>7.73</v>
      </c>
      <c r="P126">
        <f>CHOOSE(M126,INDEX('F Proj'!$J$1:$J$7669,N126),INDEX('D Proj'!$N$1:$N$513,N126),INDEX('K Proj'!$P$1:$P$508,N126))</f>
        <v>30.360099999999999</v>
      </c>
      <c r="Q126" t="str">
        <f t="shared" si="3"/>
        <v>WR</v>
      </c>
      <c r="R126" t="str">
        <f>IF(L126="FLEX",INDEX('F Proj'!$F$1:$F$7669,N126),Q126)</f>
        <v>WR</v>
      </c>
      <c r="S126" t="str">
        <f>IF((Week+Half_Week-1)&gt;=VALUE(RIGHT(C126,LEN(C126)-SEARCH("-",C126))),LEFT(C126,SEARCH("-",C126)-1),"")</f>
        <v>chad</v>
      </c>
    </row>
    <row r="127" spans="1:19" x14ac:dyDescent="0.25">
      <c r="A127" t="s">
        <v>251</v>
      </c>
      <c r="B127">
        <v>3</v>
      </c>
      <c r="C127" t="s">
        <v>810</v>
      </c>
      <c r="D127" t="s">
        <v>472</v>
      </c>
      <c r="E127">
        <v>12.7</v>
      </c>
      <c r="G127">
        <v>12.7</v>
      </c>
      <c r="H127">
        <v>0</v>
      </c>
      <c r="I127">
        <v>0</v>
      </c>
      <c r="J127" t="s">
        <v>4290</v>
      </c>
      <c r="K127" t="str">
        <f t="shared" si="2"/>
        <v>Devin Funchess3</v>
      </c>
      <c r="L127" s="21" t="str">
        <f>IF(ISERROR(MATCH($A127,'F Proj'!$B$1:$B$7669,0)),IF(ISERROR(MATCH($A127,'D Proj'!$B$1:$B$513,0)),IF(ISERROR(MATCH($A127,'K Proj'!$B$1:$B$508,0)),"?","K"),"D"),"FLEX")</f>
        <v>FLEX</v>
      </c>
      <c r="M127" s="21">
        <f>MATCH(L127,Pos,0)</f>
        <v>1</v>
      </c>
      <c r="N127" s="21">
        <f>CHOOSE($M127,MATCH($A127&amp;$B127,'F Proj'!$P$1:$P$7669,0),MATCH($A127&amp;$B127,'D Proj'!$X$1:$X$513,0),MATCH($A127&amp;$B127,'K Proj'!$T$1:$T$508,0))</f>
        <v>1451</v>
      </c>
      <c r="O127">
        <f>CHOOSE(M127,INDEX('F Proj'!$D$1:$D$7669,N127),INDEX('D Proj'!$T$1:$T$513,N127),INDEX('K Proj'!$L$1:$L$508,N127))</f>
        <v>8.26</v>
      </c>
      <c r="P127">
        <f>CHOOSE(M127,INDEX('F Proj'!$J$1:$J$7669,N127),INDEX('D Proj'!$N$1:$N$513,N127),INDEX('K Proj'!$P$1:$P$508,N127))</f>
        <v>19.6249</v>
      </c>
      <c r="Q127" t="str">
        <f t="shared" si="3"/>
        <v>WR</v>
      </c>
      <c r="R127" t="str">
        <f>IF(L127="FLEX",INDEX('F Proj'!$F$1:$F$7669,N127),Q127)</f>
        <v>WR</v>
      </c>
      <c r="S127" t="str">
        <f>IF((Week+Half_Week-1)&gt;=VALUE(RIGHT(C127,LEN(C127)-SEARCH("-",C127))),LEFT(C127,SEARCH("-",C127)-1),"")</f>
        <v>chad</v>
      </c>
    </row>
    <row r="128" spans="1:19" x14ac:dyDescent="0.25">
      <c r="A128" t="s">
        <v>251</v>
      </c>
      <c r="B128">
        <v>5</v>
      </c>
      <c r="C128" t="s">
        <v>886</v>
      </c>
      <c r="D128" t="s">
        <v>466</v>
      </c>
      <c r="E128" t="s">
        <v>8947</v>
      </c>
      <c r="G128">
        <v>9.5299999999999994</v>
      </c>
      <c r="H128">
        <v>6.25</v>
      </c>
      <c r="I128">
        <v>39.0625</v>
      </c>
      <c r="J128" t="s">
        <v>8988</v>
      </c>
      <c r="K128" t="str">
        <f t="shared" si="2"/>
        <v>Devin Funchess5</v>
      </c>
      <c r="L128" s="21" t="str">
        <f>IF(ISERROR(MATCH($A128,'F Proj'!$B$1:$B$7669,0)),IF(ISERROR(MATCH($A128,'D Proj'!$B$1:$B$513,0)),IF(ISERROR(MATCH($A128,'K Proj'!$B$1:$B$508,0)),"?","K"),"D"),"FLEX")</f>
        <v>FLEX</v>
      </c>
      <c r="M128" s="21">
        <f>MATCH(L128,Pos,0)</f>
        <v>1</v>
      </c>
      <c r="N128" s="21">
        <f>CHOOSE($M128,MATCH($A128&amp;$B128,'F Proj'!$P$1:$P$7669,0),MATCH($A128&amp;$B128,'D Proj'!$X$1:$X$513,0),MATCH($A128&amp;$B128,'K Proj'!$T$1:$T$508,0))</f>
        <v>1176</v>
      </c>
      <c r="O128">
        <f>CHOOSE(M128,INDEX('F Proj'!$D$1:$D$7669,N128),INDEX('D Proj'!$T$1:$T$513,N128),INDEX('K Proj'!$L$1:$L$508,N128))</f>
        <v>9.5299999999999994</v>
      </c>
      <c r="P128">
        <f>CHOOSE(M128,INDEX('F Proj'!$J$1:$J$7669,N128),INDEX('D Proj'!$N$1:$N$513,N128),INDEX('K Proj'!$P$1:$P$508,N128))</f>
        <v>39.0625</v>
      </c>
      <c r="Q128" t="str">
        <f t="shared" si="3"/>
        <v>WR/RB</v>
      </c>
      <c r="R128" t="str">
        <f>IF(L128="FLEX",INDEX('F Proj'!$F$1:$F$7669,N128),Q128)</f>
        <v>WR</v>
      </c>
      <c r="S128" t="str">
        <f>IF((Week+Half_Week-1)&gt;=VALUE(RIGHT(C128,LEN(C128)-SEARCH("-",C128))),LEFT(C128,SEARCH("-",C128)-1),"")</f>
        <v/>
      </c>
    </row>
    <row r="129" spans="1:19" x14ac:dyDescent="0.25">
      <c r="A129" t="s">
        <v>90</v>
      </c>
      <c r="B129">
        <v>1</v>
      </c>
      <c r="C129" t="s">
        <v>506</v>
      </c>
      <c r="D129" t="s">
        <v>468</v>
      </c>
      <c r="E129">
        <v>5</v>
      </c>
      <c r="G129">
        <v>5</v>
      </c>
      <c r="H129">
        <v>0</v>
      </c>
      <c r="I129">
        <v>0</v>
      </c>
      <c r="J129" t="s">
        <v>577</v>
      </c>
      <c r="K129" t="str">
        <f t="shared" si="2"/>
        <v>Devonta Freeman1</v>
      </c>
      <c r="L129" s="21" t="str">
        <f>IF(ISERROR(MATCH($A129,'F Proj'!$B$1:$B$7669,0)),IF(ISERROR(MATCH($A129,'D Proj'!$B$1:$B$513,0)),IF(ISERROR(MATCH($A129,'K Proj'!$B$1:$B$508,0)),"?","K"),"D"),"FLEX")</f>
        <v>FLEX</v>
      </c>
      <c r="M129" s="21">
        <f>MATCH(L129,Pos,0)</f>
        <v>1</v>
      </c>
      <c r="N129" s="21">
        <f>CHOOSE($M129,MATCH($A129&amp;$B129,'F Proj'!$P$1:$P$7669,0),MATCH($A129&amp;$B129,'D Proj'!$X$1:$X$513,0),MATCH($A129&amp;$B129,'K Proj'!$T$1:$T$508,0))</f>
        <v>1004</v>
      </c>
      <c r="O129">
        <f>CHOOSE(M129,INDEX('F Proj'!$D$1:$D$7669,N129),INDEX('D Proj'!$T$1:$T$513,N129),INDEX('K Proj'!$L$1:$L$508,N129))</f>
        <v>10.38</v>
      </c>
      <c r="P129">
        <f>CHOOSE(M129,INDEX('F Proj'!$J$1:$J$7669,N129),INDEX('D Proj'!$N$1:$N$513,N129),INDEX('K Proj'!$P$1:$P$508,N129))</f>
        <v>36.723599999999998</v>
      </c>
      <c r="Q129" t="str">
        <f t="shared" si="3"/>
        <v>RB</v>
      </c>
      <c r="R129" t="str">
        <f>IF(L129="FLEX",INDEX('F Proj'!$F$1:$F$7669,N129),Q129)</f>
        <v>RB</v>
      </c>
      <c r="S129" t="str">
        <f>IF((Week+Half_Week-1)&gt;=VALUE(RIGHT(C129,LEN(C129)-SEARCH("-",C129))),LEFT(C129,SEARCH("-",C129)-1),"")</f>
        <v>comp</v>
      </c>
    </row>
    <row r="130" spans="1:19" x14ac:dyDescent="0.25">
      <c r="A130" t="s">
        <v>90</v>
      </c>
      <c r="B130">
        <v>5</v>
      </c>
      <c r="C130" t="s">
        <v>888</v>
      </c>
      <c r="D130" t="s">
        <v>466</v>
      </c>
      <c r="E130" t="s">
        <v>8947</v>
      </c>
      <c r="G130">
        <v>8.9499999999999993</v>
      </c>
      <c r="H130">
        <v>8.76</v>
      </c>
      <c r="I130">
        <v>76.7376</v>
      </c>
      <c r="J130" t="s">
        <v>8978</v>
      </c>
      <c r="K130" t="str">
        <f t="shared" si="2"/>
        <v>Devonta Freeman5</v>
      </c>
      <c r="L130" s="21" t="str">
        <f>IF(ISERROR(MATCH($A130,'F Proj'!$B$1:$B$7669,0)),IF(ISERROR(MATCH($A130,'D Proj'!$B$1:$B$513,0)),IF(ISERROR(MATCH($A130,'K Proj'!$B$1:$B$508,0)),"?","K"),"D"),"FLEX")</f>
        <v>FLEX</v>
      </c>
      <c r="M130" s="21">
        <f>MATCH(L130,Pos,0)</f>
        <v>1</v>
      </c>
      <c r="N130" s="21">
        <f>CHOOSE($M130,MATCH($A130&amp;$B130,'F Proj'!$P$1:$P$7669,0),MATCH($A130&amp;$B130,'D Proj'!$X$1:$X$513,0),MATCH($A130&amp;$B130,'K Proj'!$T$1:$T$508,0))</f>
        <v>1282</v>
      </c>
      <c r="O130">
        <f>CHOOSE(M130,INDEX('F Proj'!$D$1:$D$7669,N130),INDEX('D Proj'!$T$1:$T$513,N130),INDEX('K Proj'!$L$1:$L$508,N130))</f>
        <v>8.9499999999999993</v>
      </c>
      <c r="P130">
        <f>CHOOSE(M130,INDEX('F Proj'!$J$1:$J$7669,N130),INDEX('D Proj'!$N$1:$N$513,N130),INDEX('K Proj'!$P$1:$P$508,N130))</f>
        <v>76.7376</v>
      </c>
      <c r="Q130" t="str">
        <f t="shared" si="3"/>
        <v>WR/RB</v>
      </c>
      <c r="R130" t="str">
        <f>IF(L130="FLEX",INDEX('F Proj'!$F$1:$F$7669,N130),Q130)</f>
        <v>RB</v>
      </c>
      <c r="S130" t="str">
        <f>IF((Week+Half_Week-1)&gt;=VALUE(RIGHT(C130,LEN(C130)-SEARCH("-",C130))),LEFT(C130,SEARCH("-",C130)-1),"")</f>
        <v/>
      </c>
    </row>
    <row r="131" spans="1:19" x14ac:dyDescent="0.25">
      <c r="A131" t="s">
        <v>207</v>
      </c>
      <c r="B131">
        <v>1</v>
      </c>
      <c r="C131" t="s">
        <v>501</v>
      </c>
      <c r="D131" t="s">
        <v>466</v>
      </c>
      <c r="E131">
        <v>17</v>
      </c>
      <c r="G131">
        <v>17</v>
      </c>
      <c r="H131">
        <v>0</v>
      </c>
      <c r="I131">
        <v>0</v>
      </c>
      <c r="J131" t="s">
        <v>569</v>
      </c>
      <c r="K131" t="str">
        <f t="shared" ref="K131:K194" si="4">A131&amp;B131</f>
        <v>Dion Lewis1</v>
      </c>
      <c r="L131" s="21" t="str">
        <f>IF(ISERROR(MATCH($A131,'F Proj'!$B$1:$B$7669,0)),IF(ISERROR(MATCH($A131,'D Proj'!$B$1:$B$513,0)),IF(ISERROR(MATCH($A131,'K Proj'!$B$1:$B$508,0)),"?","K"),"D"),"FLEX")</f>
        <v>FLEX</v>
      </c>
      <c r="M131" s="21">
        <f>MATCH(L131,Pos,0)</f>
        <v>1</v>
      </c>
      <c r="N131" s="21">
        <f>CHOOSE($M131,MATCH($A131&amp;$B131,'F Proj'!$P$1:$P$7669,0),MATCH($A131&amp;$B131,'D Proj'!$X$1:$X$513,0),MATCH($A131&amp;$B131,'K Proj'!$T$1:$T$508,0))</f>
        <v>1882</v>
      </c>
      <c r="O131">
        <f>CHOOSE(M131,INDEX('F Proj'!$D$1:$D$7669,N131),INDEX('D Proj'!$T$1:$T$513,N131),INDEX('K Proj'!$L$1:$L$508,N131))</f>
        <v>6.85</v>
      </c>
      <c r="P131">
        <f>CHOOSE(M131,INDEX('F Proj'!$J$1:$J$7669,N131),INDEX('D Proj'!$N$1:$N$513,N131),INDEX('K Proj'!$P$1:$P$508,N131))</f>
        <v>28.622499999999999</v>
      </c>
      <c r="Q131" t="str">
        <f t="shared" ref="Q131:Q194" si="5">IFERROR(LEFT(D131,SEARCH("-",D131)-1),D131)</f>
        <v>WR/RB</v>
      </c>
      <c r="R131" t="str">
        <f>IF(L131="FLEX",INDEX('F Proj'!$F$1:$F$7669,N131),Q131)</f>
        <v>RB</v>
      </c>
      <c r="S131" t="str">
        <f>IF((Week+Half_Week-1)&gt;=VALUE(RIGHT(C131,LEN(C131)-SEARCH("-",C131))),LEFT(C131,SEARCH("-",C131)-1),"")</f>
        <v>chad</v>
      </c>
    </row>
    <row r="132" spans="1:19" x14ac:dyDescent="0.25">
      <c r="A132" t="s">
        <v>207</v>
      </c>
      <c r="B132">
        <v>2</v>
      </c>
      <c r="C132" t="s">
        <v>638</v>
      </c>
      <c r="D132" t="s">
        <v>466</v>
      </c>
      <c r="E132">
        <v>4.3</v>
      </c>
      <c r="G132">
        <v>4.3</v>
      </c>
      <c r="H132">
        <v>0</v>
      </c>
      <c r="I132">
        <v>0</v>
      </c>
      <c r="J132" t="s">
        <v>670</v>
      </c>
      <c r="K132" t="str">
        <f t="shared" si="4"/>
        <v>Dion Lewis2</v>
      </c>
      <c r="L132" s="21" t="str">
        <f>IF(ISERROR(MATCH($A132,'F Proj'!$B$1:$B$7669,0)),IF(ISERROR(MATCH($A132,'D Proj'!$B$1:$B$513,0)),IF(ISERROR(MATCH($A132,'K Proj'!$B$1:$B$508,0)),"?","K"),"D"),"FLEX")</f>
        <v>FLEX</v>
      </c>
      <c r="M132" s="21">
        <f>MATCH(L132,Pos,0)</f>
        <v>1</v>
      </c>
      <c r="N132" s="21">
        <f>CHOOSE($M132,MATCH($A132&amp;$B132,'F Proj'!$P$1:$P$7669,0),MATCH($A132&amp;$B132,'D Proj'!$X$1:$X$513,0),MATCH($A132&amp;$B132,'K Proj'!$T$1:$T$508,0))</f>
        <v>1525</v>
      </c>
      <c r="O132">
        <f>CHOOSE(M132,INDEX('F Proj'!$D$1:$D$7669,N132),INDEX('D Proj'!$T$1:$T$513,N132),INDEX('K Proj'!$L$1:$L$508,N132))</f>
        <v>8.0399999999999991</v>
      </c>
      <c r="P132">
        <f>CHOOSE(M132,INDEX('F Proj'!$J$1:$J$7669,N132),INDEX('D Proj'!$N$1:$N$513,N132),INDEX('K Proj'!$P$1:$P$508,N132))</f>
        <v>32.947600000000001</v>
      </c>
      <c r="Q132" t="str">
        <f t="shared" si="5"/>
        <v>WR/RB</v>
      </c>
      <c r="R132" t="str">
        <f>IF(L132="FLEX",INDEX('F Proj'!$F$1:$F$7669,N132),Q132)</f>
        <v>RB</v>
      </c>
      <c r="S132" t="str">
        <f>IF((Week+Half_Week-1)&gt;=VALUE(RIGHT(C132,LEN(C132)-SEARCH("-",C132))),LEFT(C132,SEARCH("-",C132)-1),"")</f>
        <v>chad</v>
      </c>
    </row>
    <row r="133" spans="1:19" x14ac:dyDescent="0.25">
      <c r="A133" t="s">
        <v>207</v>
      </c>
      <c r="B133">
        <v>3</v>
      </c>
      <c r="C133" t="s">
        <v>810</v>
      </c>
      <c r="D133" t="s">
        <v>466</v>
      </c>
      <c r="E133">
        <v>4</v>
      </c>
      <c r="G133">
        <v>4</v>
      </c>
      <c r="H133">
        <v>0</v>
      </c>
      <c r="I133">
        <v>0</v>
      </c>
      <c r="J133" t="s">
        <v>4291</v>
      </c>
      <c r="K133" t="str">
        <f t="shared" si="4"/>
        <v>Dion Lewis3</v>
      </c>
      <c r="L133" s="21" t="str">
        <f>IF(ISERROR(MATCH($A133,'F Proj'!$B$1:$B$7669,0)),IF(ISERROR(MATCH($A133,'D Proj'!$B$1:$B$513,0)),IF(ISERROR(MATCH($A133,'K Proj'!$B$1:$B$508,0)),"?","K"),"D"),"FLEX")</f>
        <v>FLEX</v>
      </c>
      <c r="M133" s="21">
        <f>MATCH(L133,Pos,0)</f>
        <v>1</v>
      </c>
      <c r="N133" s="21">
        <f>CHOOSE($M133,MATCH($A133&amp;$B133,'F Proj'!$P$1:$P$7669,0),MATCH($A133&amp;$B133,'D Proj'!$X$1:$X$513,0),MATCH($A133&amp;$B133,'K Proj'!$T$1:$T$508,0))</f>
        <v>1296</v>
      </c>
      <c r="O133">
        <f>CHOOSE(M133,INDEX('F Proj'!$D$1:$D$7669,N133),INDEX('D Proj'!$T$1:$T$513,N133),INDEX('K Proj'!$L$1:$L$508,N133))</f>
        <v>8.89</v>
      </c>
      <c r="P133">
        <f>CHOOSE(M133,INDEX('F Proj'!$J$1:$J$7669,N133),INDEX('D Proj'!$N$1:$N$513,N133),INDEX('K Proj'!$P$1:$P$508,N133))</f>
        <v>18.232900000000001</v>
      </c>
      <c r="Q133" t="str">
        <f t="shared" si="5"/>
        <v>WR/RB</v>
      </c>
      <c r="R133" t="str">
        <f>IF(L133="FLEX",INDEX('F Proj'!$F$1:$F$7669,N133),Q133)</f>
        <v>RB</v>
      </c>
      <c r="S133" t="str">
        <f>IF((Week+Half_Week-1)&gt;=VALUE(RIGHT(C133,LEN(C133)-SEARCH("-",C133))),LEFT(C133,SEARCH("-",C133)-1),"")</f>
        <v>chad</v>
      </c>
    </row>
    <row r="134" spans="1:19" x14ac:dyDescent="0.25">
      <c r="A134" t="s">
        <v>207</v>
      </c>
      <c r="B134">
        <v>4</v>
      </c>
      <c r="C134" t="s">
        <v>865</v>
      </c>
      <c r="D134" t="s">
        <v>466</v>
      </c>
      <c r="E134">
        <v>6.6</v>
      </c>
      <c r="G134">
        <v>6.6</v>
      </c>
      <c r="H134">
        <v>0</v>
      </c>
      <c r="I134">
        <v>0</v>
      </c>
      <c r="J134" t="s">
        <v>4773</v>
      </c>
      <c r="K134" t="str">
        <f t="shared" si="4"/>
        <v>Dion Lewis4</v>
      </c>
      <c r="L134" s="21" t="str">
        <f>IF(ISERROR(MATCH($A134,'F Proj'!$B$1:$B$7669,0)),IF(ISERROR(MATCH($A134,'D Proj'!$B$1:$B$513,0)),IF(ISERROR(MATCH($A134,'K Proj'!$B$1:$B$508,0)),"?","K"),"D"),"FLEX")</f>
        <v>FLEX</v>
      </c>
      <c r="M134" s="21">
        <f>MATCH(L134,Pos,0)</f>
        <v>1</v>
      </c>
      <c r="N134" s="21">
        <f>CHOOSE($M134,MATCH($A134&amp;$B134,'F Proj'!$P$1:$P$7669,0),MATCH($A134&amp;$B134,'D Proj'!$X$1:$X$513,0),MATCH($A134&amp;$B134,'K Proj'!$T$1:$T$508,0))</f>
        <v>1406</v>
      </c>
      <c r="O134">
        <f>CHOOSE(M134,INDEX('F Proj'!$D$1:$D$7669,N134),INDEX('D Proj'!$T$1:$T$513,N134),INDEX('K Proj'!$L$1:$L$508,N134))</f>
        <v>8.4499999999999993</v>
      </c>
      <c r="P134">
        <f>CHOOSE(M134,INDEX('F Proj'!$J$1:$J$7669,N134),INDEX('D Proj'!$N$1:$N$513,N134),INDEX('K Proj'!$P$1:$P$508,N134))</f>
        <v>34.222499999999997</v>
      </c>
      <c r="Q134" t="str">
        <f t="shared" si="5"/>
        <v>WR/RB</v>
      </c>
      <c r="R134" t="str">
        <f>IF(L134="FLEX",INDEX('F Proj'!$F$1:$F$7669,N134),Q134)</f>
        <v>RB</v>
      </c>
      <c r="S134" t="str">
        <f>IF((Week+Half_Week-1)&gt;=VALUE(RIGHT(C134,LEN(C134)-SEARCH("-",C134))),LEFT(C134,SEARCH("-",C134)-1),"")</f>
        <v>chad</v>
      </c>
    </row>
    <row r="135" spans="1:19" x14ac:dyDescent="0.25">
      <c r="A135" t="s">
        <v>207</v>
      </c>
      <c r="B135">
        <v>5</v>
      </c>
      <c r="C135" t="s">
        <v>886</v>
      </c>
      <c r="D135" t="s">
        <v>469</v>
      </c>
      <c r="E135" t="s">
        <v>8947</v>
      </c>
      <c r="G135">
        <v>8.2799999999999994</v>
      </c>
      <c r="H135">
        <v>6.44</v>
      </c>
      <c r="I135">
        <v>41.473599999999998</v>
      </c>
      <c r="J135" t="s">
        <v>8971</v>
      </c>
      <c r="K135" t="str">
        <f t="shared" si="4"/>
        <v>Dion Lewis5</v>
      </c>
      <c r="L135" s="21" t="str">
        <f>IF(ISERROR(MATCH($A135,'F Proj'!$B$1:$B$7669,0)),IF(ISERROR(MATCH($A135,'D Proj'!$B$1:$B$513,0)),IF(ISERROR(MATCH($A135,'K Proj'!$B$1:$B$508,0)),"?","K"),"D"),"FLEX")</f>
        <v>FLEX</v>
      </c>
      <c r="M135" s="21">
        <f>MATCH(L135,Pos,0)</f>
        <v>1</v>
      </c>
      <c r="N135" s="21">
        <f>CHOOSE($M135,MATCH($A135&amp;$B135,'F Proj'!$P$1:$P$7669,0),MATCH($A135&amp;$B135,'D Proj'!$X$1:$X$513,0),MATCH($A135&amp;$B135,'K Proj'!$T$1:$T$508,0))</f>
        <v>1447</v>
      </c>
      <c r="O135">
        <f>CHOOSE(M135,INDEX('F Proj'!$D$1:$D$7669,N135),INDEX('D Proj'!$T$1:$T$513,N135),INDEX('K Proj'!$L$1:$L$508,N135))</f>
        <v>8.2799999999999994</v>
      </c>
      <c r="P135">
        <f>CHOOSE(M135,INDEX('F Proj'!$J$1:$J$7669,N135),INDEX('D Proj'!$N$1:$N$513,N135),INDEX('K Proj'!$P$1:$P$508,N135))</f>
        <v>41.473599999999998</v>
      </c>
      <c r="Q135" t="str">
        <f t="shared" si="5"/>
        <v>RB</v>
      </c>
      <c r="R135" t="str">
        <f>IF(L135="FLEX",INDEX('F Proj'!$F$1:$F$7669,N135),Q135)</f>
        <v>RB</v>
      </c>
      <c r="S135" t="str">
        <f>IF((Week+Half_Week-1)&gt;=VALUE(RIGHT(C135,LEN(C135)-SEARCH("-",C135))),LEFT(C135,SEARCH("-",C135)-1),"")</f>
        <v/>
      </c>
    </row>
    <row r="136" spans="1:19" x14ac:dyDescent="0.25">
      <c r="A136" t="s">
        <v>105</v>
      </c>
      <c r="B136">
        <v>1</v>
      </c>
      <c r="C136" t="s">
        <v>501</v>
      </c>
      <c r="D136" t="s">
        <v>472</v>
      </c>
      <c r="E136">
        <v>0</v>
      </c>
      <c r="G136">
        <v>0</v>
      </c>
      <c r="H136">
        <v>0</v>
      </c>
      <c r="I136">
        <v>0</v>
      </c>
      <c r="J136" t="s">
        <v>553</v>
      </c>
      <c r="K136" t="str">
        <f t="shared" si="4"/>
        <v>Doug Baldwin1</v>
      </c>
      <c r="L136" s="21" t="str">
        <f>IF(ISERROR(MATCH($A136,'F Proj'!$B$1:$B$7669,0)),IF(ISERROR(MATCH($A136,'D Proj'!$B$1:$B$513,0)),IF(ISERROR(MATCH($A136,'K Proj'!$B$1:$B$508,0)),"?","K"),"D"),"FLEX")</f>
        <v>FLEX</v>
      </c>
      <c r="M136" s="21">
        <f>MATCH(L136,Pos,0)</f>
        <v>1</v>
      </c>
      <c r="N136" s="21">
        <f>CHOOSE($M136,MATCH($A136&amp;$B136,'F Proj'!$P$1:$P$7669,0),MATCH($A136&amp;$B136,'D Proj'!$X$1:$X$513,0),MATCH($A136&amp;$B136,'K Proj'!$T$1:$T$508,0))</f>
        <v>1218</v>
      </c>
      <c r="O136">
        <f>CHOOSE(M136,INDEX('F Proj'!$D$1:$D$7669,N136),INDEX('D Proj'!$T$1:$T$513,N136),INDEX('K Proj'!$L$1:$L$508,N136))</f>
        <v>9.27</v>
      </c>
      <c r="P136">
        <f>CHOOSE(M136,INDEX('F Proj'!$J$1:$J$7669,N136),INDEX('D Proj'!$N$1:$N$513,N136),INDEX('K Proj'!$P$1:$P$508,N136))</f>
        <v>29.9209</v>
      </c>
      <c r="Q136" t="str">
        <f t="shared" si="5"/>
        <v>WR</v>
      </c>
      <c r="R136" t="str">
        <f>IF(L136="FLEX",INDEX('F Proj'!$F$1:$F$7669,N136),Q136)</f>
        <v>WR</v>
      </c>
      <c r="S136" t="str">
        <f>IF((Week+Half_Week-1)&gt;=VALUE(RIGHT(C136,LEN(C136)-SEARCH("-",C136))),LEFT(C136,SEARCH("-",C136)-1),"")</f>
        <v>chad</v>
      </c>
    </row>
    <row r="137" spans="1:19" x14ac:dyDescent="0.25">
      <c r="A137" t="s">
        <v>105</v>
      </c>
      <c r="B137">
        <v>5</v>
      </c>
      <c r="C137" t="s">
        <v>886</v>
      </c>
      <c r="D137" t="s">
        <v>472</v>
      </c>
      <c r="E137" t="s">
        <v>8947</v>
      </c>
      <c r="G137">
        <v>9.06</v>
      </c>
      <c r="H137">
        <v>7.42</v>
      </c>
      <c r="I137">
        <v>55.056399999999996</v>
      </c>
      <c r="J137" t="s">
        <v>8972</v>
      </c>
      <c r="K137" t="str">
        <f t="shared" si="4"/>
        <v>Doug Baldwin5</v>
      </c>
      <c r="L137" s="21" t="str">
        <f>IF(ISERROR(MATCH($A137,'F Proj'!$B$1:$B$7669,0)),IF(ISERROR(MATCH($A137,'D Proj'!$B$1:$B$513,0)),IF(ISERROR(MATCH($A137,'K Proj'!$B$1:$B$508,0)),"?","K"),"D"),"FLEX")</f>
        <v>FLEX</v>
      </c>
      <c r="M137" s="21">
        <f>MATCH(L137,Pos,0)</f>
        <v>1</v>
      </c>
      <c r="N137" s="21">
        <f>CHOOSE($M137,MATCH($A137&amp;$B137,'F Proj'!$P$1:$P$7669,0),MATCH($A137&amp;$B137,'D Proj'!$X$1:$X$513,0),MATCH($A137&amp;$B137,'K Proj'!$T$1:$T$508,0))</f>
        <v>1263</v>
      </c>
      <c r="O137">
        <f>CHOOSE(M137,INDEX('F Proj'!$D$1:$D$7669,N137),INDEX('D Proj'!$T$1:$T$513,N137),INDEX('K Proj'!$L$1:$L$508,N137))</f>
        <v>9.06</v>
      </c>
      <c r="P137">
        <f>CHOOSE(M137,INDEX('F Proj'!$J$1:$J$7669,N137),INDEX('D Proj'!$N$1:$N$513,N137),INDEX('K Proj'!$P$1:$P$508,N137))</f>
        <v>55.056399999999996</v>
      </c>
      <c r="Q137" t="str">
        <f t="shared" si="5"/>
        <v>WR</v>
      </c>
      <c r="R137" t="str">
        <f>IF(L137="FLEX",INDEX('F Proj'!$F$1:$F$7669,N137),Q137)</f>
        <v>WR</v>
      </c>
      <c r="S137" t="str">
        <f>IF((Week+Half_Week-1)&gt;=VALUE(RIGHT(C137,LEN(C137)-SEARCH("-",C137))),LEFT(C137,SEARCH("-",C137)-1),"")</f>
        <v/>
      </c>
    </row>
    <row r="138" spans="1:19" x14ac:dyDescent="0.25">
      <c r="A138" t="s">
        <v>21</v>
      </c>
      <c r="B138">
        <v>1</v>
      </c>
      <c r="C138" t="s">
        <v>504</v>
      </c>
      <c r="D138" t="s">
        <v>467</v>
      </c>
      <c r="E138">
        <v>31.6</v>
      </c>
      <c r="G138">
        <v>31.6</v>
      </c>
      <c r="H138">
        <v>0</v>
      </c>
      <c r="I138">
        <v>0</v>
      </c>
      <c r="J138" t="s">
        <v>578</v>
      </c>
      <c r="K138" t="str">
        <f t="shared" si="4"/>
        <v>Drew Brees1</v>
      </c>
      <c r="L138" s="21" t="str">
        <f>IF(ISERROR(MATCH($A138,'F Proj'!$B$1:$B$7669,0)),IF(ISERROR(MATCH($A138,'D Proj'!$B$1:$B$513,0)),IF(ISERROR(MATCH($A138,'K Proj'!$B$1:$B$508,0)),"?","K"),"D"),"FLEX")</f>
        <v>FLEX</v>
      </c>
      <c r="M138" s="21">
        <f>MATCH(L138,Pos,0)</f>
        <v>1</v>
      </c>
      <c r="N138" s="21">
        <f>CHOOSE($M138,MATCH($A138&amp;$B138,'F Proj'!$P$1:$P$7669,0),MATCH($A138&amp;$B138,'D Proj'!$X$1:$X$513,0),MATCH($A138&amp;$B138,'K Proj'!$T$1:$T$508,0))</f>
        <v>9</v>
      </c>
      <c r="O138">
        <f>CHOOSE(M138,INDEX('F Proj'!$D$1:$D$7669,N138),INDEX('D Proj'!$T$1:$T$513,N138),INDEX('K Proj'!$L$1:$L$508,N138))</f>
        <v>24.06</v>
      </c>
      <c r="P138">
        <f>CHOOSE(M138,INDEX('F Proj'!$J$1:$J$7669,N138),INDEX('D Proj'!$N$1:$N$513,N138),INDEX('K Proj'!$P$1:$P$508,N138))</f>
        <v>56.700899999999997</v>
      </c>
      <c r="Q138" t="str">
        <f t="shared" si="5"/>
        <v>QB</v>
      </c>
      <c r="R138" t="str">
        <f>IF(L138="FLEX",INDEX('F Proj'!$F$1:$F$7669,N138),Q138)</f>
        <v>QB</v>
      </c>
      <c r="S138" t="str">
        <f>IF((Week+Half_Week-1)&gt;=VALUE(RIGHT(C138,LEN(C138)-SEARCH("-",C138))),LEFT(C138,SEARCH("-",C138)-1),"")</f>
        <v>scott</v>
      </c>
    </row>
    <row r="139" spans="1:19" x14ac:dyDescent="0.25">
      <c r="A139" t="s">
        <v>21</v>
      </c>
      <c r="B139">
        <v>2</v>
      </c>
      <c r="C139" t="s">
        <v>628</v>
      </c>
      <c r="D139" t="s">
        <v>467</v>
      </c>
      <c r="E139">
        <v>17.600000000000001</v>
      </c>
      <c r="G139">
        <v>17.600000000000001</v>
      </c>
      <c r="H139">
        <v>0</v>
      </c>
      <c r="I139">
        <v>0</v>
      </c>
      <c r="J139" t="s">
        <v>693</v>
      </c>
      <c r="K139" t="str">
        <f t="shared" si="4"/>
        <v>Drew Brees2</v>
      </c>
      <c r="L139" s="21" t="str">
        <f>IF(ISERROR(MATCH($A139,'F Proj'!$B$1:$B$7669,0)),IF(ISERROR(MATCH($A139,'D Proj'!$B$1:$B$513,0)),IF(ISERROR(MATCH($A139,'K Proj'!$B$1:$B$508,0)),"?","K"),"D"),"FLEX")</f>
        <v>FLEX</v>
      </c>
      <c r="M139" s="21">
        <f>MATCH(L139,Pos,0)</f>
        <v>1</v>
      </c>
      <c r="N139" s="21">
        <f>CHOOSE($M139,MATCH($A139&amp;$B139,'F Proj'!$P$1:$P$7669,0),MATCH($A139&amp;$B139,'D Proj'!$X$1:$X$513,0),MATCH($A139&amp;$B139,'K Proj'!$T$1:$T$508,0))</f>
        <v>12</v>
      </c>
      <c r="O139">
        <f>CHOOSE(M139,INDEX('F Proj'!$D$1:$D$7669,N139),INDEX('D Proj'!$T$1:$T$513,N139),INDEX('K Proj'!$L$1:$L$508,N139))</f>
        <v>23.92</v>
      </c>
      <c r="P139">
        <f>CHOOSE(M139,INDEX('F Proj'!$J$1:$J$7669,N139),INDEX('D Proj'!$N$1:$N$513,N139),INDEX('K Proj'!$P$1:$P$508,N139))</f>
        <v>40.068899999999999</v>
      </c>
      <c r="Q139" t="str">
        <f t="shared" si="5"/>
        <v>QB</v>
      </c>
      <c r="R139" t="str">
        <f>IF(L139="FLEX",INDEX('F Proj'!$F$1:$F$7669,N139),Q139)</f>
        <v>QB</v>
      </c>
      <c r="S139" t="str">
        <f>IF((Week+Half_Week-1)&gt;=VALUE(RIGHT(C139,LEN(C139)-SEARCH("-",C139))),LEFT(C139,SEARCH("-",C139)-1),"")</f>
        <v>scott</v>
      </c>
    </row>
    <row r="140" spans="1:19" x14ac:dyDescent="0.25">
      <c r="A140" t="s">
        <v>21</v>
      </c>
      <c r="B140">
        <v>4</v>
      </c>
      <c r="C140" t="s">
        <v>861</v>
      </c>
      <c r="D140" t="s">
        <v>467</v>
      </c>
      <c r="E140">
        <v>8.6</v>
      </c>
      <c r="G140">
        <v>8.6</v>
      </c>
      <c r="H140">
        <v>0</v>
      </c>
      <c r="I140">
        <v>0</v>
      </c>
      <c r="J140" t="s">
        <v>4814</v>
      </c>
      <c r="K140" t="str">
        <f t="shared" si="4"/>
        <v>Drew Brees4</v>
      </c>
      <c r="L140" s="21" t="str">
        <f>IF(ISERROR(MATCH($A140,'F Proj'!$B$1:$B$7669,0)),IF(ISERROR(MATCH($A140,'D Proj'!$B$1:$B$513,0)),IF(ISERROR(MATCH($A140,'K Proj'!$B$1:$B$508,0)),"?","K"),"D"),"FLEX")</f>
        <v>FLEX</v>
      </c>
      <c r="M140" s="21">
        <f>MATCH(L140,Pos,0)</f>
        <v>1</v>
      </c>
      <c r="N140" s="21">
        <f>CHOOSE($M140,MATCH($A140&amp;$B140,'F Proj'!$P$1:$P$7669,0),MATCH($A140&amp;$B140,'D Proj'!$X$1:$X$513,0),MATCH($A140&amp;$B140,'K Proj'!$T$1:$T$508,0))</f>
        <v>33</v>
      </c>
      <c r="O140">
        <f>CHOOSE(M140,INDEX('F Proj'!$D$1:$D$7669,N140),INDEX('D Proj'!$T$1:$T$513,N140),INDEX('K Proj'!$L$1:$L$508,N140))</f>
        <v>22.68</v>
      </c>
      <c r="P140">
        <f>CHOOSE(M140,INDEX('F Proj'!$J$1:$J$7669,N140),INDEX('D Proj'!$N$1:$N$513,N140),INDEX('K Proj'!$P$1:$P$508,N140))</f>
        <v>57.002499999999998</v>
      </c>
      <c r="Q140" t="str">
        <f t="shared" si="5"/>
        <v>QB</v>
      </c>
      <c r="R140" t="str">
        <f>IF(L140="FLEX",INDEX('F Proj'!$F$1:$F$7669,N140),Q140)</f>
        <v>QB</v>
      </c>
      <c r="S140" t="str">
        <f>IF((Week+Half_Week-1)&gt;=VALUE(RIGHT(C140,LEN(C140)-SEARCH("-",C140))),LEFT(C140,SEARCH("-",C140)-1),"")</f>
        <v>scott</v>
      </c>
    </row>
    <row r="141" spans="1:19" x14ac:dyDescent="0.25">
      <c r="A141" t="s">
        <v>21</v>
      </c>
      <c r="B141">
        <v>5</v>
      </c>
      <c r="C141" t="s">
        <v>890</v>
      </c>
      <c r="D141" t="s">
        <v>467</v>
      </c>
      <c r="E141" t="s">
        <v>8947</v>
      </c>
      <c r="G141">
        <v>21.26</v>
      </c>
      <c r="H141">
        <v>8.0399999999999991</v>
      </c>
      <c r="I141">
        <v>64.641599999999997</v>
      </c>
      <c r="J141" t="s">
        <v>8973</v>
      </c>
      <c r="K141" t="str">
        <f t="shared" si="4"/>
        <v>Drew Brees5</v>
      </c>
      <c r="L141" s="21" t="str">
        <f>IF(ISERROR(MATCH($A141,'F Proj'!$B$1:$B$7669,0)),IF(ISERROR(MATCH($A141,'D Proj'!$B$1:$B$513,0)),IF(ISERROR(MATCH($A141,'K Proj'!$B$1:$B$508,0)),"?","K"),"D"),"FLEX")</f>
        <v>FLEX</v>
      </c>
      <c r="M141" s="21">
        <f>MATCH(L141,Pos,0)</f>
        <v>1</v>
      </c>
      <c r="N141" s="21">
        <f>CHOOSE($M141,MATCH($A141&amp;$B141,'F Proj'!$P$1:$P$7669,0),MATCH($A141&amp;$B141,'D Proj'!$X$1:$X$513,0),MATCH($A141&amp;$B141,'K Proj'!$T$1:$T$508,0))</f>
        <v>74</v>
      </c>
      <c r="O141">
        <f>CHOOSE(M141,INDEX('F Proj'!$D$1:$D$7669,N141),INDEX('D Proj'!$T$1:$T$513,N141),INDEX('K Proj'!$L$1:$L$508,N141))</f>
        <v>21.26</v>
      </c>
      <c r="P141">
        <f>CHOOSE(M141,INDEX('F Proj'!$J$1:$J$7669,N141),INDEX('D Proj'!$N$1:$N$513,N141),INDEX('K Proj'!$P$1:$P$508,N141))</f>
        <v>64.641599999999997</v>
      </c>
      <c r="Q141" t="str">
        <f t="shared" si="5"/>
        <v>QB</v>
      </c>
      <c r="R141" t="str">
        <f>IF(L141="FLEX",INDEX('F Proj'!$F$1:$F$7669,N141),Q141)</f>
        <v>QB</v>
      </c>
      <c r="S141" t="str">
        <f>IF((Week+Half_Week-1)&gt;=VALUE(RIGHT(C141,LEN(C141)-SEARCH("-",C141))),LEFT(C141,SEARCH("-",C141)-1),"")</f>
        <v/>
      </c>
    </row>
    <row r="142" spans="1:19" x14ac:dyDescent="0.25">
      <c r="A142" t="s">
        <v>149</v>
      </c>
      <c r="B142">
        <v>2</v>
      </c>
      <c r="C142" t="s">
        <v>623</v>
      </c>
      <c r="D142" t="s">
        <v>473</v>
      </c>
      <c r="E142">
        <v>9.6</v>
      </c>
      <c r="G142">
        <v>9.6</v>
      </c>
      <c r="H142">
        <v>0</v>
      </c>
      <c r="I142">
        <v>0</v>
      </c>
      <c r="J142" t="s">
        <v>641</v>
      </c>
      <c r="K142" t="str">
        <f t="shared" si="4"/>
        <v>Emmanuel Sanders2</v>
      </c>
      <c r="L142" s="21" t="str">
        <f>IF(ISERROR(MATCH($A142,'F Proj'!$B$1:$B$7669,0)),IF(ISERROR(MATCH($A142,'D Proj'!$B$1:$B$513,0)),IF(ISERROR(MATCH($A142,'K Proj'!$B$1:$B$508,0)),"?","K"),"D"),"FLEX")</f>
        <v>FLEX</v>
      </c>
      <c r="M142" s="21">
        <f>MATCH(L142,Pos,0)</f>
        <v>1</v>
      </c>
      <c r="N142" s="21">
        <f>CHOOSE($M142,MATCH($A142&amp;$B142,'F Proj'!$P$1:$P$7669,0),MATCH($A142&amp;$B142,'D Proj'!$X$1:$X$513,0),MATCH($A142&amp;$B142,'K Proj'!$T$1:$T$508,0))</f>
        <v>1297</v>
      </c>
      <c r="O142">
        <f>CHOOSE(M142,INDEX('F Proj'!$D$1:$D$7669,N142),INDEX('D Proj'!$T$1:$T$513,N142),INDEX('K Proj'!$L$1:$L$508,N142))</f>
        <v>8.89</v>
      </c>
      <c r="P142">
        <f>CHOOSE(M142,INDEX('F Proj'!$J$1:$J$7669,N142),INDEX('D Proj'!$N$1:$N$513,N142),INDEX('K Proj'!$P$1:$P$508,N142))</f>
        <v>36.240400000000001</v>
      </c>
      <c r="Q142" t="str">
        <f t="shared" si="5"/>
        <v>WR</v>
      </c>
      <c r="R142" t="str">
        <f>IF(L142="FLEX",INDEX('F Proj'!$F$1:$F$7669,N142),Q142)</f>
        <v>WR</v>
      </c>
      <c r="S142" t="str">
        <f>IF((Week+Half_Week-1)&gt;=VALUE(RIGHT(C142,LEN(C142)-SEARCH("-",C142))),LEFT(C142,SEARCH("-",C142)-1),"")</f>
        <v>comp</v>
      </c>
    </row>
    <row r="143" spans="1:19" x14ac:dyDescent="0.25">
      <c r="A143" t="s">
        <v>149</v>
      </c>
      <c r="B143">
        <v>3</v>
      </c>
      <c r="C143" t="s">
        <v>805</v>
      </c>
      <c r="D143" t="s">
        <v>473</v>
      </c>
      <c r="E143">
        <v>13.3</v>
      </c>
      <c r="G143">
        <v>13.3</v>
      </c>
      <c r="H143">
        <v>0</v>
      </c>
      <c r="I143">
        <v>0</v>
      </c>
      <c r="J143" t="s">
        <v>4292</v>
      </c>
      <c r="K143" t="str">
        <f t="shared" si="4"/>
        <v>Emmanuel Sanders3</v>
      </c>
      <c r="L143" s="21" t="str">
        <f>IF(ISERROR(MATCH($A143,'F Proj'!$B$1:$B$7669,0)),IF(ISERROR(MATCH($A143,'D Proj'!$B$1:$B$513,0)),IF(ISERROR(MATCH($A143,'K Proj'!$B$1:$B$508,0)),"?","K"),"D"),"FLEX")</f>
        <v>FLEX</v>
      </c>
      <c r="M143" s="21">
        <f>MATCH(L143,Pos,0)</f>
        <v>1</v>
      </c>
      <c r="N143" s="21">
        <f>CHOOSE($M143,MATCH($A143&amp;$B143,'F Proj'!$P$1:$P$7669,0),MATCH($A143&amp;$B143,'D Proj'!$X$1:$X$513,0),MATCH($A143&amp;$B143,'K Proj'!$T$1:$T$508,0))</f>
        <v>1342</v>
      </c>
      <c r="O143">
        <f>CHOOSE(M143,INDEX('F Proj'!$D$1:$D$7669,N143),INDEX('D Proj'!$T$1:$T$513,N143),INDEX('K Proj'!$L$1:$L$508,N143))</f>
        <v>8.67</v>
      </c>
      <c r="P143">
        <f>CHOOSE(M143,INDEX('F Proj'!$J$1:$J$7669,N143),INDEX('D Proj'!$N$1:$N$513,N143),INDEX('K Proj'!$P$1:$P$508,N143))</f>
        <v>41.088099999999997</v>
      </c>
      <c r="Q143" t="str">
        <f t="shared" si="5"/>
        <v>WR</v>
      </c>
      <c r="R143" t="str">
        <f>IF(L143="FLEX",INDEX('F Proj'!$F$1:$F$7669,N143),Q143)</f>
        <v>WR</v>
      </c>
      <c r="S143" t="str">
        <f>IF((Week+Half_Week-1)&gt;=VALUE(RIGHT(C143,LEN(C143)-SEARCH("-",C143))),LEFT(C143,SEARCH("-",C143)-1),"")</f>
        <v>comp</v>
      </c>
    </row>
    <row r="144" spans="1:19" x14ac:dyDescent="0.25">
      <c r="A144" t="s">
        <v>149</v>
      </c>
      <c r="B144">
        <v>4</v>
      </c>
      <c r="C144" t="s">
        <v>860</v>
      </c>
      <c r="D144" t="s">
        <v>473</v>
      </c>
      <c r="E144">
        <v>6.3</v>
      </c>
      <c r="G144">
        <v>6.3</v>
      </c>
      <c r="H144">
        <v>0</v>
      </c>
      <c r="I144">
        <v>0</v>
      </c>
      <c r="J144" t="s">
        <v>4774</v>
      </c>
      <c r="K144" t="str">
        <f t="shared" si="4"/>
        <v>Emmanuel Sanders4</v>
      </c>
      <c r="L144" s="21" t="str">
        <f>IF(ISERROR(MATCH($A144,'F Proj'!$B$1:$B$7669,0)),IF(ISERROR(MATCH($A144,'D Proj'!$B$1:$B$513,0)),IF(ISERROR(MATCH($A144,'K Proj'!$B$1:$B$508,0)),"?","K"),"D"),"FLEX")</f>
        <v>FLEX</v>
      </c>
      <c r="M144" s="21">
        <f>MATCH(L144,Pos,0)</f>
        <v>1</v>
      </c>
      <c r="N144" s="21">
        <f>CHOOSE($M144,MATCH($A144&amp;$B144,'F Proj'!$P$1:$P$7669,0),MATCH($A144&amp;$B144,'D Proj'!$X$1:$X$513,0),MATCH($A144&amp;$B144,'K Proj'!$T$1:$T$508,0))</f>
        <v>1092</v>
      </c>
      <c r="O144">
        <f>CHOOSE(M144,INDEX('F Proj'!$D$1:$D$7669,N144),INDEX('D Proj'!$T$1:$T$513,N144),INDEX('K Proj'!$L$1:$L$508,N144))</f>
        <v>9.93</v>
      </c>
      <c r="P144">
        <f>CHOOSE(M144,INDEX('F Proj'!$J$1:$J$7669,N144),INDEX('D Proj'!$N$1:$N$513,N144),INDEX('K Proj'!$P$1:$P$508,N144))</f>
        <v>29.593599999999999</v>
      </c>
      <c r="Q144" t="str">
        <f t="shared" si="5"/>
        <v>WR</v>
      </c>
      <c r="R144" t="str">
        <f>IF(L144="FLEX",INDEX('F Proj'!$F$1:$F$7669,N144),Q144)</f>
        <v>WR</v>
      </c>
      <c r="S144" t="str">
        <f>IF((Week+Half_Week-1)&gt;=VALUE(RIGHT(C144,LEN(C144)-SEARCH("-",C144))),LEFT(C144,SEARCH("-",C144)-1),"")</f>
        <v>comp</v>
      </c>
    </row>
    <row r="145" spans="1:19" x14ac:dyDescent="0.25">
      <c r="A145" t="s">
        <v>149</v>
      </c>
      <c r="B145">
        <v>5</v>
      </c>
      <c r="C145" t="s">
        <v>887</v>
      </c>
      <c r="D145" t="s">
        <v>472</v>
      </c>
      <c r="E145" t="s">
        <v>8947</v>
      </c>
      <c r="G145">
        <v>8.33</v>
      </c>
      <c r="H145">
        <v>4.21</v>
      </c>
      <c r="I145">
        <v>17.7241</v>
      </c>
      <c r="J145" t="s">
        <v>8955</v>
      </c>
      <c r="K145" t="str">
        <f t="shared" si="4"/>
        <v>Emmanuel Sanders5</v>
      </c>
      <c r="L145" s="21" t="str">
        <f>IF(ISERROR(MATCH($A145,'F Proj'!$B$1:$B$7669,0)),IF(ISERROR(MATCH($A145,'D Proj'!$B$1:$B$513,0)),IF(ISERROR(MATCH($A145,'K Proj'!$B$1:$B$508,0)),"?","K"),"D"),"FLEX")</f>
        <v>FLEX</v>
      </c>
      <c r="M145" s="21">
        <f>MATCH(L145,Pos,0)</f>
        <v>1</v>
      </c>
      <c r="N145" s="21">
        <f>CHOOSE($M145,MATCH($A145&amp;$B145,'F Proj'!$P$1:$P$7669,0),MATCH($A145&amp;$B145,'D Proj'!$X$1:$X$513,0),MATCH($A145&amp;$B145,'K Proj'!$T$1:$T$508,0))</f>
        <v>1432</v>
      </c>
      <c r="O145">
        <f>CHOOSE(M145,INDEX('F Proj'!$D$1:$D$7669,N145),INDEX('D Proj'!$T$1:$T$513,N145),INDEX('K Proj'!$L$1:$L$508,N145))</f>
        <v>8.33</v>
      </c>
      <c r="P145">
        <f>CHOOSE(M145,INDEX('F Proj'!$J$1:$J$7669,N145),INDEX('D Proj'!$N$1:$N$513,N145),INDEX('K Proj'!$P$1:$P$508,N145))</f>
        <v>17.7241</v>
      </c>
      <c r="Q145" t="str">
        <f t="shared" si="5"/>
        <v>WR</v>
      </c>
      <c r="R145" t="str">
        <f>IF(L145="FLEX",INDEX('F Proj'!$F$1:$F$7669,N145),Q145)</f>
        <v>WR</v>
      </c>
      <c r="S145" t="str">
        <f>IF((Week+Half_Week-1)&gt;=VALUE(RIGHT(C145,LEN(C145)-SEARCH("-",C145))),LEFT(C145,SEARCH("-",C145)-1),"")</f>
        <v/>
      </c>
    </row>
    <row r="146" spans="1:19" x14ac:dyDescent="0.25">
      <c r="A146" t="s">
        <v>178</v>
      </c>
      <c r="B146">
        <v>4</v>
      </c>
      <c r="C146" t="s">
        <v>863</v>
      </c>
      <c r="D146" t="s">
        <v>475</v>
      </c>
      <c r="E146">
        <v>10</v>
      </c>
      <c r="G146">
        <v>10</v>
      </c>
      <c r="H146">
        <v>0</v>
      </c>
      <c r="I146">
        <v>0</v>
      </c>
      <c r="J146" t="s">
        <v>4801</v>
      </c>
      <c r="K146" t="str">
        <f t="shared" si="4"/>
        <v>Eric Ebron4</v>
      </c>
      <c r="L146" s="21" t="str">
        <f>IF(ISERROR(MATCH($A146,'F Proj'!$B$1:$B$7669,0)),IF(ISERROR(MATCH($A146,'D Proj'!$B$1:$B$513,0)),IF(ISERROR(MATCH($A146,'K Proj'!$B$1:$B$508,0)),"?","K"),"D"),"FLEX")</f>
        <v>FLEX</v>
      </c>
      <c r="M146" s="21">
        <f>MATCH(L146,Pos,0)</f>
        <v>1</v>
      </c>
      <c r="N146" s="21">
        <f>CHOOSE($M146,MATCH($A146&amp;$B146,'F Proj'!$P$1:$P$7669,0),MATCH($A146&amp;$B146,'D Proj'!$X$1:$X$513,0),MATCH($A146&amp;$B146,'K Proj'!$T$1:$T$508,0))</f>
        <v>2395</v>
      </c>
      <c r="O146">
        <f>CHOOSE(M146,INDEX('F Proj'!$D$1:$D$7669,N146),INDEX('D Proj'!$T$1:$T$513,N146),INDEX('K Proj'!$L$1:$L$508,N146))</f>
        <v>5.46</v>
      </c>
      <c r="P146">
        <f>CHOOSE(M146,INDEX('F Proj'!$J$1:$J$7669,N146),INDEX('D Proj'!$N$1:$N$513,N146),INDEX('K Proj'!$P$1:$P$508,N146))</f>
        <v>16.160399999999999</v>
      </c>
      <c r="Q146" t="str">
        <f t="shared" si="5"/>
        <v>TE</v>
      </c>
      <c r="R146" t="str">
        <f>IF(L146="FLEX",INDEX('F Proj'!$F$1:$F$7669,N146),Q146)</f>
        <v>TE</v>
      </c>
      <c r="S146" t="str">
        <f>IF((Week+Half_Week-1)&gt;=VALUE(RIGHT(C146,LEN(C146)-SEARCH("-",C146))),LEFT(C146,SEARCH("-",C146)-1),"")</f>
        <v>devon</v>
      </c>
    </row>
    <row r="147" spans="1:19" x14ac:dyDescent="0.25">
      <c r="A147" t="s">
        <v>178</v>
      </c>
      <c r="B147">
        <v>5</v>
      </c>
      <c r="C147" t="s">
        <v>885</v>
      </c>
      <c r="D147" t="s">
        <v>475</v>
      </c>
      <c r="E147">
        <v>22.5</v>
      </c>
      <c r="G147">
        <v>22.5</v>
      </c>
      <c r="H147">
        <v>0</v>
      </c>
      <c r="I147">
        <v>0</v>
      </c>
      <c r="J147" t="s">
        <v>8975</v>
      </c>
      <c r="K147" t="str">
        <f t="shared" si="4"/>
        <v>Eric Ebron5</v>
      </c>
      <c r="L147" s="21" t="str">
        <f>IF(ISERROR(MATCH($A147,'F Proj'!$B$1:$B$7669,0)),IF(ISERROR(MATCH($A147,'D Proj'!$B$1:$B$513,0)),IF(ISERROR(MATCH($A147,'K Proj'!$B$1:$B$508,0)),"?","K"),"D"),"FLEX")</f>
        <v>FLEX</v>
      </c>
      <c r="M147" s="21">
        <f>MATCH(L147,Pos,0)</f>
        <v>1</v>
      </c>
      <c r="N147" s="21">
        <f>CHOOSE($M147,MATCH($A147&amp;$B147,'F Proj'!$P$1:$P$7669,0),MATCH($A147&amp;$B147,'D Proj'!$X$1:$X$513,0),MATCH($A147&amp;$B147,'K Proj'!$T$1:$T$508,0))</f>
        <v>2116</v>
      </c>
      <c r="O147">
        <f>CHOOSE(M147,INDEX('F Proj'!$D$1:$D$7669,N147),INDEX('D Proj'!$T$1:$T$513,N147),INDEX('K Proj'!$L$1:$L$508,N147))</f>
        <v>6.17</v>
      </c>
      <c r="P147">
        <f>CHOOSE(M147,INDEX('F Proj'!$J$1:$J$7669,N147),INDEX('D Proj'!$N$1:$N$513,N147),INDEX('K Proj'!$P$1:$P$508,N147))</f>
        <v>16.892099999999999</v>
      </c>
      <c r="Q147" t="str">
        <f t="shared" si="5"/>
        <v>TE</v>
      </c>
      <c r="R147" t="str">
        <f>IF(L147="FLEX",INDEX('F Proj'!$F$1:$F$7669,N147),Q147)</f>
        <v>TE</v>
      </c>
      <c r="S147" t="str">
        <f>IF((Week+Half_Week-1)&gt;=VALUE(RIGHT(C147,LEN(C147)-SEARCH("-",C147))),LEFT(C147,SEARCH("-",C147)-1),"")</f>
        <v/>
      </c>
    </row>
    <row r="148" spans="1:19" x14ac:dyDescent="0.25">
      <c r="A148" t="s">
        <v>235</v>
      </c>
      <c r="B148">
        <v>3</v>
      </c>
      <c r="C148" t="s">
        <v>811</v>
      </c>
      <c r="D148" t="s">
        <v>475</v>
      </c>
      <c r="E148">
        <v>1.9</v>
      </c>
      <c r="G148">
        <v>1.9</v>
      </c>
      <c r="H148">
        <v>0</v>
      </c>
      <c r="I148">
        <v>0</v>
      </c>
      <c r="J148" t="s">
        <v>4293</v>
      </c>
      <c r="K148" t="str">
        <f t="shared" si="4"/>
        <v>Evan Engram3</v>
      </c>
      <c r="L148" s="21" t="str">
        <f>IF(ISERROR(MATCH($A148,'F Proj'!$B$1:$B$7669,0)),IF(ISERROR(MATCH($A148,'D Proj'!$B$1:$B$513,0)),IF(ISERROR(MATCH($A148,'K Proj'!$B$1:$B$508,0)),"?","K"),"D"),"FLEX")</f>
        <v>FLEX</v>
      </c>
      <c r="M148" s="21">
        <f>MATCH(L148,Pos,0)</f>
        <v>1</v>
      </c>
      <c r="N148" s="21">
        <f>CHOOSE($M148,MATCH($A148&amp;$B148,'F Proj'!$P$1:$P$7669,0),MATCH($A148&amp;$B148,'D Proj'!$X$1:$X$513,0),MATCH($A148&amp;$B148,'K Proj'!$T$1:$T$508,0))</f>
        <v>1746</v>
      </c>
      <c r="O148">
        <f>CHOOSE(M148,INDEX('F Proj'!$D$1:$D$7669,N148),INDEX('D Proj'!$T$1:$T$513,N148),INDEX('K Proj'!$L$1:$L$508,N148))</f>
        <v>7.25</v>
      </c>
      <c r="P148">
        <f>CHOOSE(M148,INDEX('F Proj'!$J$1:$J$7669,N148),INDEX('D Proj'!$N$1:$N$513,N148),INDEX('K Proj'!$P$1:$P$508,N148))</f>
        <v>20.611599999999999</v>
      </c>
      <c r="Q148" t="str">
        <f t="shared" si="5"/>
        <v>TE</v>
      </c>
      <c r="R148" t="str">
        <f>IF(L148="FLEX",INDEX('F Proj'!$F$1:$F$7669,N148),Q148)</f>
        <v>TE</v>
      </c>
      <c r="S148" t="str">
        <f>IF((Week+Half_Week-1)&gt;=VALUE(RIGHT(C148,LEN(C148)-SEARCH("-",C148))),LEFT(C148,SEARCH("-",C148)-1),"")</f>
        <v>devon</v>
      </c>
    </row>
    <row r="149" spans="1:19" x14ac:dyDescent="0.25">
      <c r="A149" t="s">
        <v>57</v>
      </c>
      <c r="B149">
        <v>1</v>
      </c>
      <c r="C149" t="s">
        <v>503</v>
      </c>
      <c r="D149" t="s">
        <v>468</v>
      </c>
      <c r="E149">
        <v>14.6</v>
      </c>
      <c r="G149">
        <v>14.6</v>
      </c>
      <c r="H149">
        <v>0</v>
      </c>
      <c r="I149">
        <v>0</v>
      </c>
      <c r="J149" t="s">
        <v>528</v>
      </c>
      <c r="K149" t="str">
        <f t="shared" si="4"/>
        <v>Ezekiel Elliott1</v>
      </c>
      <c r="L149" s="21" t="str">
        <f>IF(ISERROR(MATCH($A149,'F Proj'!$B$1:$B$7669,0)),IF(ISERROR(MATCH($A149,'D Proj'!$B$1:$B$513,0)),IF(ISERROR(MATCH($A149,'K Proj'!$B$1:$B$508,0)),"?","K"),"D"),"FLEX")</f>
        <v>FLEX</v>
      </c>
      <c r="M149" s="21">
        <f>MATCH(L149,Pos,0)</f>
        <v>1</v>
      </c>
      <c r="N149" s="21">
        <f>CHOOSE($M149,MATCH($A149&amp;$B149,'F Proj'!$P$1:$P$7669,0),MATCH($A149&amp;$B149,'D Proj'!$X$1:$X$513,0),MATCH($A149&amp;$B149,'K Proj'!$T$1:$T$508,0))</f>
        <v>524</v>
      </c>
      <c r="O149">
        <f>CHOOSE(M149,INDEX('F Proj'!$D$1:$D$7669,N149),INDEX('D Proj'!$T$1:$T$513,N149),INDEX('K Proj'!$L$1:$L$508,N149))</f>
        <v>14.51</v>
      </c>
      <c r="P149">
        <f>CHOOSE(M149,INDEX('F Proj'!$J$1:$J$7669,N149),INDEX('D Proj'!$N$1:$N$513,N149),INDEX('K Proj'!$P$1:$P$508,N149))</f>
        <v>41.602499999999999</v>
      </c>
      <c r="Q149" t="str">
        <f t="shared" si="5"/>
        <v>RB</v>
      </c>
      <c r="R149" t="str">
        <f>IF(L149="FLEX",INDEX('F Proj'!$F$1:$F$7669,N149),Q149)</f>
        <v>RB</v>
      </c>
      <c r="S149" t="str">
        <f>IF((Week+Half_Week-1)&gt;=VALUE(RIGHT(C149,LEN(C149)-SEARCH("-",C149))),LEFT(C149,SEARCH("-",C149)-1),"")</f>
        <v>devon</v>
      </c>
    </row>
    <row r="150" spans="1:19" x14ac:dyDescent="0.25">
      <c r="A150" t="s">
        <v>57</v>
      </c>
      <c r="B150">
        <v>2</v>
      </c>
      <c r="C150" t="s">
        <v>633</v>
      </c>
      <c r="D150" t="s">
        <v>468</v>
      </c>
      <c r="E150">
        <v>14.7</v>
      </c>
      <c r="G150">
        <v>14.7</v>
      </c>
      <c r="H150">
        <v>0</v>
      </c>
      <c r="I150">
        <v>0</v>
      </c>
      <c r="J150" t="s">
        <v>651</v>
      </c>
      <c r="K150" t="str">
        <f t="shared" si="4"/>
        <v>Ezekiel Elliott2</v>
      </c>
      <c r="L150" s="21" t="str">
        <f>IF(ISERROR(MATCH($A150,'F Proj'!$B$1:$B$7669,0)),IF(ISERROR(MATCH($A150,'D Proj'!$B$1:$B$513,0)),IF(ISERROR(MATCH($A150,'K Proj'!$B$1:$B$508,0)),"?","K"),"D"),"FLEX")</f>
        <v>FLEX</v>
      </c>
      <c r="M150" s="21">
        <f>MATCH(L150,Pos,0)</f>
        <v>1</v>
      </c>
      <c r="N150" s="21">
        <f>CHOOSE($M150,MATCH($A150&amp;$B150,'F Proj'!$P$1:$P$7669,0),MATCH($A150&amp;$B150,'D Proj'!$X$1:$X$513,0),MATCH($A150&amp;$B150,'K Proj'!$T$1:$T$508,0))</f>
        <v>342</v>
      </c>
      <c r="O150">
        <f>CHOOSE(M150,INDEX('F Proj'!$D$1:$D$7669,N150),INDEX('D Proj'!$T$1:$T$513,N150),INDEX('K Proj'!$L$1:$L$508,N150))</f>
        <v>16.97</v>
      </c>
      <c r="P150">
        <f>CHOOSE(M150,INDEX('F Proj'!$J$1:$J$7669,N150),INDEX('D Proj'!$N$1:$N$513,N150),INDEX('K Proj'!$P$1:$P$508,N150))</f>
        <v>62.41</v>
      </c>
      <c r="Q150" t="str">
        <f t="shared" si="5"/>
        <v>RB</v>
      </c>
      <c r="R150" t="str">
        <f>IF(L150="FLEX",INDEX('F Proj'!$F$1:$F$7669,N150),Q150)</f>
        <v>RB</v>
      </c>
      <c r="S150" t="str">
        <f>IF((Week+Half_Week-1)&gt;=VALUE(RIGHT(C150,LEN(C150)-SEARCH("-",C150))),LEFT(C150,SEARCH("-",C150)-1),"")</f>
        <v>devon</v>
      </c>
    </row>
    <row r="151" spans="1:19" x14ac:dyDescent="0.25">
      <c r="A151" t="s">
        <v>57</v>
      </c>
      <c r="B151">
        <v>3</v>
      </c>
      <c r="C151" t="s">
        <v>809</v>
      </c>
      <c r="D151" t="s">
        <v>469</v>
      </c>
      <c r="E151">
        <v>11.8</v>
      </c>
      <c r="G151">
        <v>11.8</v>
      </c>
      <c r="H151">
        <v>0</v>
      </c>
      <c r="I151">
        <v>0</v>
      </c>
      <c r="J151" t="s">
        <v>4294</v>
      </c>
      <c r="K151" t="str">
        <f t="shared" si="4"/>
        <v>Ezekiel Elliott3</v>
      </c>
      <c r="L151" s="21" t="str">
        <f>IF(ISERROR(MATCH($A151,'F Proj'!$B$1:$B$7669,0)),IF(ISERROR(MATCH($A151,'D Proj'!$B$1:$B$513,0)),IF(ISERROR(MATCH($A151,'K Proj'!$B$1:$B$508,0)),"?","K"),"D"),"FLEX")</f>
        <v>FLEX</v>
      </c>
      <c r="M151" s="21">
        <f>MATCH(L151,Pos,0)</f>
        <v>1</v>
      </c>
      <c r="N151" s="21">
        <f>CHOOSE($M151,MATCH($A151&amp;$B151,'F Proj'!$P$1:$P$7669,0),MATCH($A151&amp;$B151,'D Proj'!$X$1:$X$513,0),MATCH($A151&amp;$B151,'K Proj'!$T$1:$T$508,0))</f>
        <v>299</v>
      </c>
      <c r="O151">
        <f>CHOOSE(M151,INDEX('F Proj'!$D$1:$D$7669,N151),INDEX('D Proj'!$T$1:$T$513,N151),INDEX('K Proj'!$L$1:$L$508,N151))</f>
        <v>17.57</v>
      </c>
      <c r="P151">
        <f>CHOOSE(M151,INDEX('F Proj'!$J$1:$J$7669,N151),INDEX('D Proj'!$N$1:$N$513,N151),INDEX('K Proj'!$P$1:$P$508,N151))</f>
        <v>108.78489999999999</v>
      </c>
      <c r="Q151" t="str">
        <f t="shared" si="5"/>
        <v>RB</v>
      </c>
      <c r="R151" t="str">
        <f>IF(L151="FLEX",INDEX('F Proj'!$F$1:$F$7669,N151),Q151)</f>
        <v>RB</v>
      </c>
      <c r="S151" t="str">
        <f>IF((Week+Half_Week-1)&gt;=VALUE(RIGHT(C151,LEN(C151)-SEARCH("-",C151))),LEFT(C151,SEARCH("-",C151)-1),"")</f>
        <v>perry</v>
      </c>
    </row>
    <row r="152" spans="1:19" x14ac:dyDescent="0.25">
      <c r="A152" t="s">
        <v>57</v>
      </c>
      <c r="B152">
        <v>4</v>
      </c>
      <c r="C152" t="s">
        <v>862</v>
      </c>
      <c r="D152" t="s">
        <v>469</v>
      </c>
      <c r="E152">
        <v>30</v>
      </c>
      <c r="G152">
        <v>30</v>
      </c>
      <c r="H152">
        <v>0</v>
      </c>
      <c r="I152">
        <v>0</v>
      </c>
      <c r="J152" t="s">
        <v>4775</v>
      </c>
      <c r="K152" t="str">
        <f t="shared" si="4"/>
        <v>Ezekiel Elliott4</v>
      </c>
      <c r="L152" s="21" t="str">
        <f>IF(ISERROR(MATCH($A152,'F Proj'!$B$1:$B$7669,0)),IF(ISERROR(MATCH($A152,'D Proj'!$B$1:$B$513,0)),IF(ISERROR(MATCH($A152,'K Proj'!$B$1:$B$508,0)),"?","K"),"D"),"FLEX")</f>
        <v>FLEX</v>
      </c>
      <c r="M152" s="21">
        <f>MATCH(L152,Pos,0)</f>
        <v>1</v>
      </c>
      <c r="N152" s="21">
        <f>CHOOSE($M152,MATCH($A152&amp;$B152,'F Proj'!$P$1:$P$7669,0),MATCH($A152&amp;$B152,'D Proj'!$X$1:$X$513,0),MATCH($A152&amp;$B152,'K Proj'!$T$1:$T$508,0))</f>
        <v>281</v>
      </c>
      <c r="O152">
        <f>CHOOSE(M152,INDEX('F Proj'!$D$1:$D$7669,N152),INDEX('D Proj'!$T$1:$T$513,N152),INDEX('K Proj'!$L$1:$L$508,N152))</f>
        <v>17.93</v>
      </c>
      <c r="P152">
        <f>CHOOSE(M152,INDEX('F Proj'!$J$1:$J$7669,N152),INDEX('D Proj'!$N$1:$N$513,N152),INDEX('K Proj'!$P$1:$P$508,N152))</f>
        <v>74.476900000000001</v>
      </c>
      <c r="Q152" t="str">
        <f t="shared" si="5"/>
        <v>RB</v>
      </c>
      <c r="R152" t="str">
        <f>IF(L152="FLEX",INDEX('F Proj'!$F$1:$F$7669,N152),Q152)</f>
        <v>RB</v>
      </c>
      <c r="S152" t="str">
        <f>IF((Week+Half_Week-1)&gt;=VALUE(RIGHT(C152,LEN(C152)-SEARCH("-",C152))),LEFT(C152,SEARCH("-",C152)-1),"")</f>
        <v>perry</v>
      </c>
    </row>
    <row r="153" spans="1:19" x14ac:dyDescent="0.25">
      <c r="A153" t="s">
        <v>57</v>
      </c>
      <c r="B153">
        <v>5</v>
      </c>
      <c r="C153" t="s">
        <v>889</v>
      </c>
      <c r="D153" t="s">
        <v>469</v>
      </c>
      <c r="E153" t="s">
        <v>8947</v>
      </c>
      <c r="G153">
        <v>17.41</v>
      </c>
      <c r="H153">
        <v>8.6199999999999992</v>
      </c>
      <c r="I153">
        <v>74.304400000000001</v>
      </c>
      <c r="J153" t="s">
        <v>8976</v>
      </c>
      <c r="K153" t="str">
        <f t="shared" si="4"/>
        <v>Ezekiel Elliott5</v>
      </c>
      <c r="L153" s="21" t="str">
        <f>IF(ISERROR(MATCH($A153,'F Proj'!$B$1:$B$7669,0)),IF(ISERROR(MATCH($A153,'D Proj'!$B$1:$B$513,0)),IF(ISERROR(MATCH($A153,'K Proj'!$B$1:$B$508,0)),"?","K"),"D"),"FLEX")</f>
        <v>FLEX</v>
      </c>
      <c r="M153" s="21">
        <f>MATCH(L153,Pos,0)</f>
        <v>1</v>
      </c>
      <c r="N153" s="21">
        <f>CHOOSE($M153,MATCH($A153&amp;$B153,'F Proj'!$P$1:$P$7669,0),MATCH($A153&amp;$B153,'D Proj'!$X$1:$X$513,0),MATCH($A153&amp;$B153,'K Proj'!$T$1:$T$508,0))</f>
        <v>314</v>
      </c>
      <c r="O153">
        <f>CHOOSE(M153,INDEX('F Proj'!$D$1:$D$7669,N153),INDEX('D Proj'!$T$1:$T$513,N153),INDEX('K Proj'!$L$1:$L$508,N153))</f>
        <v>17.41</v>
      </c>
      <c r="P153">
        <f>CHOOSE(M153,INDEX('F Proj'!$J$1:$J$7669,N153),INDEX('D Proj'!$N$1:$N$513,N153),INDEX('K Proj'!$P$1:$P$508,N153))</f>
        <v>74.304400000000001</v>
      </c>
      <c r="Q153" t="str">
        <f t="shared" si="5"/>
        <v>RB</v>
      </c>
      <c r="R153" t="str">
        <f>IF(L153="FLEX",INDEX('F Proj'!$F$1:$F$7669,N153),Q153)</f>
        <v>RB</v>
      </c>
      <c r="S153" t="str">
        <f>IF((Week+Half_Week-1)&gt;=VALUE(RIGHT(C153,LEN(C153)-SEARCH("-",C153))),LEFT(C153,SEARCH("-",C153)-1),"")</f>
        <v/>
      </c>
    </row>
    <row r="154" spans="1:19" x14ac:dyDescent="0.25">
      <c r="A154" t="s">
        <v>264</v>
      </c>
      <c r="B154">
        <v>2</v>
      </c>
      <c r="C154" t="s">
        <v>625</v>
      </c>
      <c r="D154" t="s">
        <v>475</v>
      </c>
      <c r="E154">
        <v>2.2000000000000002</v>
      </c>
      <c r="G154">
        <v>2.2000000000000002</v>
      </c>
      <c r="H154">
        <v>0</v>
      </c>
      <c r="I154">
        <v>0</v>
      </c>
      <c r="J154" t="s">
        <v>654</v>
      </c>
      <c r="K154" t="str">
        <f t="shared" si="4"/>
        <v>George Kittle2</v>
      </c>
      <c r="L154" s="21" t="str">
        <f>IF(ISERROR(MATCH($A154,'F Proj'!$B$1:$B$7669,0)),IF(ISERROR(MATCH($A154,'D Proj'!$B$1:$B$513,0)),IF(ISERROR(MATCH($A154,'K Proj'!$B$1:$B$508,0)),"?","K"),"D"),"FLEX")</f>
        <v>FLEX</v>
      </c>
      <c r="M154" s="21">
        <f>MATCH(L154,Pos,0)</f>
        <v>1</v>
      </c>
      <c r="N154" s="21">
        <f>CHOOSE($M154,MATCH($A154&amp;$B154,'F Proj'!$P$1:$P$7669,0),MATCH($A154&amp;$B154,'D Proj'!$X$1:$X$513,0),MATCH($A154&amp;$B154,'K Proj'!$T$1:$T$508,0))</f>
        <v>1752</v>
      </c>
      <c r="O154">
        <f>CHOOSE(M154,INDEX('F Proj'!$D$1:$D$7669,N154),INDEX('D Proj'!$T$1:$T$513,N154),INDEX('K Proj'!$L$1:$L$508,N154))</f>
        <v>7.23</v>
      </c>
      <c r="P154">
        <f>CHOOSE(M154,INDEX('F Proj'!$J$1:$J$7669,N154),INDEX('D Proj'!$N$1:$N$513,N154),INDEX('K Proj'!$P$1:$P$508,N154))</f>
        <v>39.564100000000003</v>
      </c>
      <c r="Q154" t="str">
        <f t="shared" si="5"/>
        <v>TE</v>
      </c>
      <c r="R154" t="str">
        <f>IF(L154="FLEX",INDEX('F Proj'!$F$1:$F$7669,N154),Q154)</f>
        <v>TE</v>
      </c>
      <c r="S154" t="str">
        <f>IF((Week+Half_Week-1)&gt;=VALUE(RIGHT(C154,LEN(C154)-SEARCH("-",C154))),LEFT(C154,SEARCH("-",C154)-1),"")</f>
        <v>aj</v>
      </c>
    </row>
    <row r="155" spans="1:19" x14ac:dyDescent="0.25">
      <c r="A155" t="s">
        <v>264</v>
      </c>
      <c r="B155">
        <v>3</v>
      </c>
      <c r="C155" t="s">
        <v>806</v>
      </c>
      <c r="D155" t="s">
        <v>475</v>
      </c>
      <c r="E155">
        <v>9.9</v>
      </c>
      <c r="G155">
        <v>9.9</v>
      </c>
      <c r="H155">
        <v>0</v>
      </c>
      <c r="I155">
        <v>0</v>
      </c>
      <c r="J155" t="s">
        <v>4295</v>
      </c>
      <c r="K155" t="str">
        <f t="shared" si="4"/>
        <v>George Kittle3</v>
      </c>
      <c r="L155" s="21" t="str">
        <f>IF(ISERROR(MATCH($A155,'F Proj'!$B$1:$B$7669,0)),IF(ISERROR(MATCH($A155,'D Proj'!$B$1:$B$513,0)),IF(ISERROR(MATCH($A155,'K Proj'!$B$1:$B$508,0)),"?","K"),"D"),"FLEX")</f>
        <v>FLEX</v>
      </c>
      <c r="M155" s="21">
        <f>MATCH(L155,Pos,0)</f>
        <v>1</v>
      </c>
      <c r="N155" s="21">
        <f>CHOOSE($M155,MATCH($A155&amp;$B155,'F Proj'!$P$1:$P$7669,0),MATCH($A155&amp;$B155,'D Proj'!$X$1:$X$513,0),MATCH($A155&amp;$B155,'K Proj'!$T$1:$T$508,0))</f>
        <v>1907</v>
      </c>
      <c r="O155">
        <f>CHOOSE(M155,INDEX('F Proj'!$D$1:$D$7669,N155),INDEX('D Proj'!$T$1:$T$513,N155),INDEX('K Proj'!$L$1:$L$508,N155))</f>
        <v>6.78</v>
      </c>
      <c r="P155">
        <f>CHOOSE(M155,INDEX('F Proj'!$J$1:$J$7669,N155),INDEX('D Proj'!$N$1:$N$513,N155),INDEX('K Proj'!$P$1:$P$508,N155))</f>
        <v>20.3401</v>
      </c>
      <c r="Q155" t="str">
        <f t="shared" si="5"/>
        <v>TE</v>
      </c>
      <c r="R155" t="str">
        <f>IF(L155="FLEX",INDEX('F Proj'!$F$1:$F$7669,N155),Q155)</f>
        <v>TE</v>
      </c>
      <c r="S155" t="str">
        <f>IF((Week+Half_Week-1)&gt;=VALUE(RIGHT(C155,LEN(C155)-SEARCH("-",C155))),LEFT(C155,SEARCH("-",C155)-1),"")</f>
        <v>aj</v>
      </c>
    </row>
    <row r="156" spans="1:19" x14ac:dyDescent="0.25">
      <c r="A156" t="s">
        <v>264</v>
      </c>
      <c r="B156">
        <v>4</v>
      </c>
      <c r="C156" t="s">
        <v>866</v>
      </c>
      <c r="D156" t="s">
        <v>475</v>
      </c>
      <c r="E156">
        <v>18.5</v>
      </c>
      <c r="G156">
        <v>18.5</v>
      </c>
      <c r="H156">
        <v>0</v>
      </c>
      <c r="I156">
        <v>0</v>
      </c>
      <c r="J156" t="s">
        <v>4776</v>
      </c>
      <c r="K156" t="str">
        <f t="shared" si="4"/>
        <v>George Kittle4</v>
      </c>
      <c r="L156" s="21" t="str">
        <f>IF(ISERROR(MATCH($A156,'F Proj'!$B$1:$B$7669,0)),IF(ISERROR(MATCH($A156,'D Proj'!$B$1:$B$513,0)),IF(ISERROR(MATCH($A156,'K Proj'!$B$1:$B$508,0)),"?","K"),"D"),"FLEX")</f>
        <v>FLEX</v>
      </c>
      <c r="M156" s="21">
        <f>MATCH(L156,Pos,0)</f>
        <v>1</v>
      </c>
      <c r="N156" s="21">
        <f>CHOOSE($M156,MATCH($A156&amp;$B156,'F Proj'!$P$1:$P$7669,0),MATCH($A156&amp;$B156,'D Proj'!$X$1:$X$513,0),MATCH($A156&amp;$B156,'K Proj'!$T$1:$T$508,0))</f>
        <v>2514</v>
      </c>
      <c r="O156">
        <f>CHOOSE(M156,INDEX('F Proj'!$D$1:$D$7669,N156),INDEX('D Proj'!$T$1:$T$513,N156),INDEX('K Proj'!$L$1:$L$508,N156))</f>
        <v>5.18</v>
      </c>
      <c r="P156">
        <f>CHOOSE(M156,INDEX('F Proj'!$J$1:$J$7669,N156),INDEX('D Proj'!$N$1:$N$513,N156),INDEX('K Proj'!$P$1:$P$508,N156))</f>
        <v>14.364100000000001</v>
      </c>
      <c r="Q156" t="str">
        <f t="shared" si="5"/>
        <v>TE</v>
      </c>
      <c r="R156" t="str">
        <f>IF(L156="FLEX",INDEX('F Proj'!$F$1:$F$7669,N156),Q156)</f>
        <v>TE</v>
      </c>
      <c r="S156" t="str">
        <f>IF((Week+Half_Week-1)&gt;=VALUE(RIGHT(C156,LEN(C156)-SEARCH("-",C156))),LEFT(C156,SEARCH("-",C156)-1),"")</f>
        <v>aj</v>
      </c>
    </row>
    <row r="157" spans="1:19" x14ac:dyDescent="0.25">
      <c r="A157" t="s">
        <v>264</v>
      </c>
      <c r="B157">
        <v>5</v>
      </c>
      <c r="C157" t="s">
        <v>890</v>
      </c>
      <c r="D157" t="s">
        <v>475</v>
      </c>
      <c r="E157" t="s">
        <v>8947</v>
      </c>
      <c r="G157">
        <v>6.15</v>
      </c>
      <c r="H157">
        <v>4.43</v>
      </c>
      <c r="I157">
        <v>19.6249</v>
      </c>
      <c r="J157" t="s">
        <v>9027</v>
      </c>
      <c r="K157" t="str">
        <f t="shared" si="4"/>
        <v>George Kittle5</v>
      </c>
      <c r="L157" s="21" t="str">
        <f>IF(ISERROR(MATCH($A157,'F Proj'!$B$1:$B$7669,0)),IF(ISERROR(MATCH($A157,'D Proj'!$B$1:$B$513,0)),IF(ISERROR(MATCH($A157,'K Proj'!$B$1:$B$508,0)),"?","K"),"D"),"FLEX")</f>
        <v>FLEX</v>
      </c>
      <c r="M157" s="21">
        <f>MATCH(L157,Pos,0)</f>
        <v>1</v>
      </c>
      <c r="N157" s="21">
        <f>CHOOSE($M157,MATCH($A157&amp;$B157,'F Proj'!$P$1:$P$7669,0),MATCH($A157&amp;$B157,'D Proj'!$X$1:$X$513,0),MATCH($A157&amp;$B157,'K Proj'!$T$1:$T$508,0))</f>
        <v>2126</v>
      </c>
      <c r="O157">
        <f>CHOOSE(M157,INDEX('F Proj'!$D$1:$D$7669,N157),INDEX('D Proj'!$T$1:$T$513,N157),INDEX('K Proj'!$L$1:$L$508,N157))</f>
        <v>6.15</v>
      </c>
      <c r="P157">
        <f>CHOOSE(M157,INDEX('F Proj'!$J$1:$J$7669,N157),INDEX('D Proj'!$N$1:$N$513,N157),INDEX('K Proj'!$P$1:$P$508,N157))</f>
        <v>19.6249</v>
      </c>
      <c r="Q157" t="str">
        <f t="shared" si="5"/>
        <v>TE</v>
      </c>
      <c r="R157" t="str">
        <f>IF(L157="FLEX",INDEX('F Proj'!$F$1:$F$7669,N157),Q157)</f>
        <v>TE</v>
      </c>
      <c r="S157" t="str">
        <f>IF((Week+Half_Week-1)&gt;=VALUE(RIGHT(C157,LEN(C157)-SEARCH("-",C157))),LEFT(C157,SEARCH("-",C157)-1),"")</f>
        <v/>
      </c>
    </row>
    <row r="158" spans="1:19" x14ac:dyDescent="0.25">
      <c r="A158" t="s">
        <v>271</v>
      </c>
      <c r="B158">
        <v>3</v>
      </c>
      <c r="C158" t="s">
        <v>812</v>
      </c>
      <c r="D158" t="s">
        <v>466</v>
      </c>
      <c r="E158">
        <v>13.6</v>
      </c>
      <c r="G158">
        <v>13.6</v>
      </c>
      <c r="H158">
        <v>0</v>
      </c>
      <c r="I158">
        <v>0</v>
      </c>
      <c r="J158" t="s">
        <v>4296</v>
      </c>
      <c r="K158" t="str">
        <f t="shared" si="4"/>
        <v>Geronimo Allison3</v>
      </c>
      <c r="L158" s="21" t="str">
        <f>IF(ISERROR(MATCH($A158,'F Proj'!$B$1:$B$7669,0)),IF(ISERROR(MATCH($A158,'D Proj'!$B$1:$B$513,0)),IF(ISERROR(MATCH($A158,'K Proj'!$B$1:$B$508,0)),"?","K"),"D"),"FLEX")</f>
        <v>FLEX</v>
      </c>
      <c r="M158" s="21">
        <f>MATCH(L158,Pos,0)</f>
        <v>1</v>
      </c>
      <c r="N158" s="21">
        <f>CHOOSE($M158,MATCH($A158&amp;$B158,'F Proj'!$P$1:$P$7669,0),MATCH($A158&amp;$B158,'D Proj'!$X$1:$X$513,0),MATCH($A158&amp;$B158,'K Proj'!$T$1:$T$508,0))</f>
        <v>2291</v>
      </c>
      <c r="O158">
        <f>CHOOSE(M158,INDEX('F Proj'!$D$1:$D$7669,N158),INDEX('D Proj'!$T$1:$T$513,N158),INDEX('K Proj'!$L$1:$L$508,N158))</f>
        <v>5.71</v>
      </c>
      <c r="P158">
        <f>CHOOSE(M158,INDEX('F Proj'!$J$1:$J$7669,N158),INDEX('D Proj'!$N$1:$N$513,N158),INDEX('K Proj'!$P$1:$P$508,N158))</f>
        <v>26.01</v>
      </c>
      <c r="Q158" t="str">
        <f t="shared" si="5"/>
        <v>WR/RB</v>
      </c>
      <c r="R158" t="str">
        <f>IF(L158="FLEX",INDEX('F Proj'!$F$1:$F$7669,N158),Q158)</f>
        <v>WR</v>
      </c>
      <c r="S158" t="str">
        <f>IF((Week+Half_Week-1)&gt;=VALUE(RIGHT(C158,LEN(C158)-SEARCH("-",C158))),LEFT(C158,SEARCH("-",C158)-1),"")</f>
        <v>matty</v>
      </c>
    </row>
    <row r="159" spans="1:19" x14ac:dyDescent="0.25">
      <c r="A159" t="s">
        <v>196</v>
      </c>
      <c r="B159">
        <v>3</v>
      </c>
      <c r="C159" t="s">
        <v>806</v>
      </c>
      <c r="D159" t="s">
        <v>469</v>
      </c>
      <c r="E159">
        <v>14.6</v>
      </c>
      <c r="G159">
        <v>14.6</v>
      </c>
      <c r="H159">
        <v>0</v>
      </c>
      <c r="I159">
        <v>0</v>
      </c>
      <c r="J159" t="s">
        <v>4297</v>
      </c>
      <c r="K159" t="str">
        <f t="shared" si="4"/>
        <v>Giovani Bernard3</v>
      </c>
      <c r="L159" s="21" t="str">
        <f>IF(ISERROR(MATCH($A159,'F Proj'!$B$1:$B$7669,0)),IF(ISERROR(MATCH($A159,'D Proj'!$B$1:$B$513,0)),IF(ISERROR(MATCH($A159,'K Proj'!$B$1:$B$508,0)),"?","K"),"D"),"FLEX")</f>
        <v>FLEX</v>
      </c>
      <c r="M159" s="21">
        <f>MATCH(L159,Pos,0)</f>
        <v>1</v>
      </c>
      <c r="N159" s="21">
        <f>CHOOSE($M159,MATCH($A159&amp;$B159,'F Proj'!$P$1:$P$7669,0),MATCH($A159&amp;$B159,'D Proj'!$X$1:$X$513,0),MATCH($A159&amp;$B159,'K Proj'!$T$1:$T$508,0))</f>
        <v>1075</v>
      </c>
      <c r="O159">
        <f>CHOOSE(M159,INDEX('F Proj'!$D$1:$D$7669,N159),INDEX('D Proj'!$T$1:$T$513,N159),INDEX('K Proj'!$L$1:$L$508,N159))</f>
        <v>9.99</v>
      </c>
      <c r="P159">
        <f>CHOOSE(M159,INDEX('F Proj'!$J$1:$J$7669,N159),INDEX('D Proj'!$N$1:$N$513,N159),INDEX('K Proj'!$P$1:$P$508,N159))</f>
        <v>40.322499999999998</v>
      </c>
      <c r="Q159" t="str">
        <f t="shared" si="5"/>
        <v>RB</v>
      </c>
      <c r="R159" t="str">
        <f>IF(L159="FLEX",INDEX('F Proj'!$F$1:$F$7669,N159),Q159)</f>
        <v>RB</v>
      </c>
      <c r="S159" t="str">
        <f>IF((Week+Half_Week-1)&gt;=VALUE(RIGHT(C159,LEN(C159)-SEARCH("-",C159))),LEFT(C159,SEARCH("-",C159)-1),"")</f>
        <v>aj</v>
      </c>
    </row>
    <row r="160" spans="1:19" x14ac:dyDescent="0.25">
      <c r="A160" t="s">
        <v>196</v>
      </c>
      <c r="B160">
        <v>4</v>
      </c>
      <c r="C160" t="s">
        <v>866</v>
      </c>
      <c r="D160" t="s">
        <v>469</v>
      </c>
      <c r="E160">
        <v>21.6</v>
      </c>
      <c r="G160">
        <v>21.6</v>
      </c>
      <c r="H160">
        <v>0</v>
      </c>
      <c r="I160">
        <v>0</v>
      </c>
      <c r="J160" t="s">
        <v>4778</v>
      </c>
      <c r="K160" t="str">
        <f t="shared" si="4"/>
        <v>Giovani Bernard4</v>
      </c>
      <c r="L160" s="21" t="str">
        <f>IF(ISERROR(MATCH($A160,'F Proj'!$B$1:$B$7669,0)),IF(ISERROR(MATCH($A160,'D Proj'!$B$1:$B$513,0)),IF(ISERROR(MATCH($A160,'K Proj'!$B$1:$B$508,0)),"?","K"),"D"),"FLEX")</f>
        <v>FLEX</v>
      </c>
      <c r="M160" s="21">
        <f>MATCH(L160,Pos,0)</f>
        <v>1</v>
      </c>
      <c r="N160" s="21">
        <f>CHOOSE($M160,MATCH($A160&amp;$B160,'F Proj'!$P$1:$P$7669,0),MATCH($A160&amp;$B160,'D Proj'!$X$1:$X$513,0),MATCH($A160&amp;$B160,'K Proj'!$T$1:$T$508,0))</f>
        <v>859</v>
      </c>
      <c r="O160">
        <f>CHOOSE(M160,INDEX('F Proj'!$D$1:$D$7669,N160),INDEX('D Proj'!$T$1:$T$513,N160),INDEX('K Proj'!$L$1:$L$508,N160))</f>
        <v>11.66</v>
      </c>
      <c r="P160">
        <f>CHOOSE(M160,INDEX('F Proj'!$J$1:$J$7669,N160),INDEX('D Proj'!$N$1:$N$513,N160),INDEX('K Proj'!$P$1:$P$508,N160))</f>
        <v>61.779600000000002</v>
      </c>
      <c r="Q160" t="str">
        <f t="shared" si="5"/>
        <v>RB</v>
      </c>
      <c r="R160" t="str">
        <f>IF(L160="FLEX",INDEX('F Proj'!$F$1:$F$7669,N160),Q160)</f>
        <v>RB</v>
      </c>
      <c r="S160" t="str">
        <f>IF((Week+Half_Week-1)&gt;=VALUE(RIGHT(C160,LEN(C160)-SEARCH("-",C160))),LEFT(C160,SEARCH("-",C160)-1),"")</f>
        <v>aj</v>
      </c>
    </row>
    <row r="161" spans="1:19" x14ac:dyDescent="0.25">
      <c r="A161" t="s">
        <v>122</v>
      </c>
      <c r="B161">
        <v>1</v>
      </c>
      <c r="C161" t="s">
        <v>503</v>
      </c>
      <c r="D161" t="s">
        <v>472</v>
      </c>
      <c r="E161">
        <v>13.9</v>
      </c>
      <c r="G161">
        <v>13.9</v>
      </c>
      <c r="H161">
        <v>0</v>
      </c>
      <c r="I161">
        <v>0</v>
      </c>
      <c r="J161" t="s">
        <v>513</v>
      </c>
      <c r="K161" t="str">
        <f t="shared" si="4"/>
        <v>Golden Tate1</v>
      </c>
      <c r="L161" s="21" t="str">
        <f>IF(ISERROR(MATCH($A161,'F Proj'!$B$1:$B$7669,0)),IF(ISERROR(MATCH($A161,'D Proj'!$B$1:$B$513,0)),IF(ISERROR(MATCH($A161,'K Proj'!$B$1:$B$508,0)),"?","K"),"D"),"FLEX")</f>
        <v>FLEX</v>
      </c>
      <c r="M161" s="21">
        <f>MATCH(L161,Pos,0)</f>
        <v>1</v>
      </c>
      <c r="N161" s="21">
        <f>CHOOSE($M161,MATCH($A161&amp;$B161,'F Proj'!$P$1:$P$7669,0),MATCH($A161&amp;$B161,'D Proj'!$X$1:$X$513,0),MATCH($A161&amp;$B161,'K Proj'!$T$1:$T$508,0))</f>
        <v>1112</v>
      </c>
      <c r="O161">
        <f>CHOOSE(M161,INDEX('F Proj'!$D$1:$D$7669,N161),INDEX('D Proj'!$T$1:$T$513,N161),INDEX('K Proj'!$L$1:$L$508,N161))</f>
        <v>9.82</v>
      </c>
      <c r="P161">
        <f>CHOOSE(M161,INDEX('F Proj'!$J$1:$J$7669,N161),INDEX('D Proj'!$N$1:$N$513,N161),INDEX('K Proj'!$P$1:$P$508,N161))</f>
        <v>49.561599999999999</v>
      </c>
      <c r="Q161" t="str">
        <f t="shared" si="5"/>
        <v>WR</v>
      </c>
      <c r="R161" t="str">
        <f>IF(L161="FLEX",INDEX('F Proj'!$F$1:$F$7669,N161),Q161)</f>
        <v>WR</v>
      </c>
      <c r="S161" t="str">
        <f>IF((Week+Half_Week-1)&gt;=VALUE(RIGHT(C161,LEN(C161)-SEARCH("-",C161))),LEFT(C161,SEARCH("-",C161)-1),"")</f>
        <v>devon</v>
      </c>
    </row>
    <row r="162" spans="1:19" x14ac:dyDescent="0.25">
      <c r="A162" t="s">
        <v>122</v>
      </c>
      <c r="B162">
        <v>2</v>
      </c>
      <c r="C162" t="s">
        <v>633</v>
      </c>
      <c r="D162" t="s">
        <v>472</v>
      </c>
      <c r="E162">
        <v>11.8</v>
      </c>
      <c r="G162">
        <v>11.8</v>
      </c>
      <c r="H162">
        <v>0</v>
      </c>
      <c r="I162">
        <v>0</v>
      </c>
      <c r="J162" t="s">
        <v>679</v>
      </c>
      <c r="K162" t="str">
        <f t="shared" si="4"/>
        <v>Golden Tate2</v>
      </c>
      <c r="L162" s="21" t="str">
        <f>IF(ISERROR(MATCH($A162,'F Proj'!$B$1:$B$7669,0)),IF(ISERROR(MATCH($A162,'D Proj'!$B$1:$B$513,0)),IF(ISERROR(MATCH($A162,'K Proj'!$B$1:$B$508,0)),"?","K"),"D"),"FLEX")</f>
        <v>FLEX</v>
      </c>
      <c r="M162" s="21">
        <f>MATCH(L162,Pos,0)</f>
        <v>1</v>
      </c>
      <c r="N162" s="21">
        <f>CHOOSE($M162,MATCH($A162&amp;$B162,'F Proj'!$P$1:$P$7669,0),MATCH($A162&amp;$B162,'D Proj'!$X$1:$X$513,0),MATCH($A162&amp;$B162,'K Proj'!$T$1:$T$508,0))</f>
        <v>1201</v>
      </c>
      <c r="O162">
        <f>CHOOSE(M162,INDEX('F Proj'!$D$1:$D$7669,N162),INDEX('D Proj'!$T$1:$T$513,N162),INDEX('K Proj'!$L$1:$L$508,N162))</f>
        <v>9.36</v>
      </c>
      <c r="P162">
        <f>CHOOSE(M162,INDEX('F Proj'!$J$1:$J$7669,N162),INDEX('D Proj'!$N$1:$N$513,N162),INDEX('K Proj'!$P$1:$P$508,N162))</f>
        <v>37.699599999999997</v>
      </c>
      <c r="Q162" t="str">
        <f t="shared" si="5"/>
        <v>WR</v>
      </c>
      <c r="R162" t="str">
        <f>IF(L162="FLEX",INDEX('F Proj'!$F$1:$F$7669,N162),Q162)</f>
        <v>WR</v>
      </c>
      <c r="S162" t="str">
        <f>IF((Week+Half_Week-1)&gt;=VALUE(RIGHT(C162,LEN(C162)-SEARCH("-",C162))),LEFT(C162,SEARCH("-",C162)-1),"")</f>
        <v>devon</v>
      </c>
    </row>
    <row r="163" spans="1:19" x14ac:dyDescent="0.25">
      <c r="A163" t="s">
        <v>122</v>
      </c>
      <c r="B163">
        <v>3</v>
      </c>
      <c r="C163" t="s">
        <v>811</v>
      </c>
      <c r="D163" t="s">
        <v>472</v>
      </c>
      <c r="E163">
        <v>6.9</v>
      </c>
      <c r="G163">
        <v>6.9</v>
      </c>
      <c r="H163">
        <v>0</v>
      </c>
      <c r="I163">
        <v>0</v>
      </c>
      <c r="J163" t="s">
        <v>4298</v>
      </c>
      <c r="K163" t="str">
        <f t="shared" si="4"/>
        <v>Golden Tate3</v>
      </c>
      <c r="L163" s="21" t="str">
        <f>IF(ISERROR(MATCH($A163,'F Proj'!$B$1:$B$7669,0)),IF(ISERROR(MATCH($A163,'D Proj'!$B$1:$B$513,0)),IF(ISERROR(MATCH($A163,'K Proj'!$B$1:$B$508,0)),"?","K"),"D"),"FLEX")</f>
        <v>FLEX</v>
      </c>
      <c r="M163" s="21">
        <f>MATCH(L163,Pos,0)</f>
        <v>1</v>
      </c>
      <c r="N163" s="21">
        <f>CHOOSE($M163,MATCH($A163&amp;$B163,'F Proj'!$P$1:$P$7669,0),MATCH($A163&amp;$B163,'D Proj'!$X$1:$X$513,0),MATCH($A163&amp;$B163,'K Proj'!$T$1:$T$508,0))</f>
        <v>939</v>
      </c>
      <c r="O163">
        <f>CHOOSE(M163,INDEX('F Proj'!$D$1:$D$7669,N163),INDEX('D Proj'!$T$1:$T$513,N163),INDEX('K Proj'!$L$1:$L$508,N163))</f>
        <v>10.87</v>
      </c>
      <c r="P163">
        <f>CHOOSE(M163,INDEX('F Proj'!$J$1:$J$7669,N163),INDEX('D Proj'!$N$1:$N$513,N163),INDEX('K Proj'!$P$1:$P$508,N163))</f>
        <v>37.4544</v>
      </c>
      <c r="Q163" t="str">
        <f t="shared" si="5"/>
        <v>WR</v>
      </c>
      <c r="R163" t="str">
        <f>IF(L163="FLEX",INDEX('F Proj'!$F$1:$F$7669,N163),Q163)</f>
        <v>WR</v>
      </c>
      <c r="S163" t="str">
        <f>IF((Week+Half_Week-1)&gt;=VALUE(RIGHT(C163,LEN(C163)-SEARCH("-",C163))),LEFT(C163,SEARCH("-",C163)-1),"")</f>
        <v>devon</v>
      </c>
    </row>
    <row r="164" spans="1:19" x14ac:dyDescent="0.25">
      <c r="A164" t="s">
        <v>122</v>
      </c>
      <c r="B164">
        <v>4</v>
      </c>
      <c r="C164" t="s">
        <v>863</v>
      </c>
      <c r="D164" t="s">
        <v>472</v>
      </c>
      <c r="E164">
        <v>25.2</v>
      </c>
      <c r="G164">
        <v>25.2</v>
      </c>
      <c r="H164">
        <v>0</v>
      </c>
      <c r="I164">
        <v>0</v>
      </c>
      <c r="J164" t="s">
        <v>4770</v>
      </c>
      <c r="K164" t="str">
        <f t="shared" si="4"/>
        <v>Golden Tate4</v>
      </c>
      <c r="L164" s="21" t="str">
        <f>IF(ISERROR(MATCH($A164,'F Proj'!$B$1:$B$7669,0)),IF(ISERROR(MATCH($A164,'D Proj'!$B$1:$B$513,0)),IF(ISERROR(MATCH($A164,'K Proj'!$B$1:$B$508,0)),"?","K"),"D"),"FLEX")</f>
        <v>FLEX</v>
      </c>
      <c r="M164" s="21">
        <f>MATCH(L164,Pos,0)</f>
        <v>1</v>
      </c>
      <c r="N164" s="21">
        <f>CHOOSE($M164,MATCH($A164&amp;$B164,'F Proj'!$P$1:$P$7669,0),MATCH($A164&amp;$B164,'D Proj'!$X$1:$X$513,0),MATCH($A164&amp;$B164,'K Proj'!$T$1:$T$508,0))</f>
        <v>988</v>
      </c>
      <c r="O164">
        <f>CHOOSE(M164,INDEX('F Proj'!$D$1:$D$7669,N164),INDEX('D Proj'!$T$1:$T$513,N164),INDEX('K Proj'!$L$1:$L$508,N164))</f>
        <v>10.5</v>
      </c>
      <c r="P164">
        <f>CHOOSE(M164,INDEX('F Proj'!$J$1:$J$7669,N164),INDEX('D Proj'!$N$1:$N$513,N164),INDEX('K Proj'!$P$1:$P$508,N164))</f>
        <v>43.0336</v>
      </c>
      <c r="Q164" t="str">
        <f t="shared" si="5"/>
        <v>WR</v>
      </c>
      <c r="R164" t="str">
        <f>IF(L164="FLEX",INDEX('F Proj'!$F$1:$F$7669,N164),Q164)</f>
        <v>WR</v>
      </c>
      <c r="S164" t="str">
        <f>IF((Week+Half_Week-1)&gt;=VALUE(RIGHT(C164,LEN(C164)-SEARCH("-",C164))),LEFT(C164,SEARCH("-",C164)-1),"")</f>
        <v>devon</v>
      </c>
    </row>
    <row r="165" spans="1:19" x14ac:dyDescent="0.25">
      <c r="A165" t="s">
        <v>122</v>
      </c>
      <c r="B165">
        <v>5</v>
      </c>
      <c r="C165" t="s">
        <v>885</v>
      </c>
      <c r="D165" t="s">
        <v>472</v>
      </c>
      <c r="E165" t="s">
        <v>8947</v>
      </c>
      <c r="G165">
        <v>11.58</v>
      </c>
      <c r="H165">
        <v>6.59</v>
      </c>
      <c r="I165">
        <v>43.428100000000001</v>
      </c>
      <c r="J165" t="s">
        <v>8979</v>
      </c>
      <c r="K165" t="str">
        <f t="shared" si="4"/>
        <v>Golden Tate5</v>
      </c>
      <c r="L165" s="21" t="str">
        <f>IF(ISERROR(MATCH($A165,'F Proj'!$B$1:$B$7669,0)),IF(ISERROR(MATCH($A165,'D Proj'!$B$1:$B$513,0)),IF(ISERROR(MATCH($A165,'K Proj'!$B$1:$B$508,0)),"?","K"),"D"),"FLEX")</f>
        <v>FLEX</v>
      </c>
      <c r="M165" s="21">
        <f>MATCH(L165,Pos,0)</f>
        <v>1</v>
      </c>
      <c r="N165" s="21">
        <f>CHOOSE($M165,MATCH($A165&amp;$B165,'F Proj'!$P$1:$P$7669,0),MATCH($A165&amp;$B165,'D Proj'!$X$1:$X$513,0),MATCH($A165&amp;$B165,'K Proj'!$T$1:$T$508,0))</f>
        <v>865</v>
      </c>
      <c r="O165">
        <f>CHOOSE(M165,INDEX('F Proj'!$D$1:$D$7669,N165),INDEX('D Proj'!$T$1:$T$513,N165),INDEX('K Proj'!$L$1:$L$508,N165))</f>
        <v>11.58</v>
      </c>
      <c r="P165">
        <f>CHOOSE(M165,INDEX('F Proj'!$J$1:$J$7669,N165),INDEX('D Proj'!$N$1:$N$513,N165),INDEX('K Proj'!$P$1:$P$508,N165))</f>
        <v>43.428100000000001</v>
      </c>
      <c r="Q165" t="str">
        <f t="shared" si="5"/>
        <v>WR</v>
      </c>
      <c r="R165" t="str">
        <f>IF(L165="FLEX",INDEX('F Proj'!$F$1:$F$7669,N165),Q165)</f>
        <v>WR</v>
      </c>
      <c r="S165" t="str">
        <f>IF((Week+Half_Week-1)&gt;=VALUE(RIGHT(C165,LEN(C165)-SEARCH("-",C165))),LEFT(C165,SEARCH("-",C165)-1),"")</f>
        <v/>
      </c>
    </row>
    <row r="166" spans="1:19" x14ac:dyDescent="0.25">
      <c r="A166" t="s">
        <v>141</v>
      </c>
      <c r="B166">
        <v>1</v>
      </c>
      <c r="C166" t="s">
        <v>507</v>
      </c>
      <c r="D166" t="s">
        <v>475</v>
      </c>
      <c r="E166">
        <v>3.3</v>
      </c>
      <c r="G166">
        <v>3.3</v>
      </c>
      <c r="H166">
        <v>0</v>
      </c>
      <c r="I166">
        <v>0</v>
      </c>
      <c r="J166" t="s">
        <v>544</v>
      </c>
      <c r="K166" t="str">
        <f t="shared" si="4"/>
        <v>Greg Olsen1</v>
      </c>
      <c r="L166" s="21" t="str">
        <f>IF(ISERROR(MATCH($A166,'F Proj'!$B$1:$B$7669,0)),IF(ISERROR(MATCH($A166,'D Proj'!$B$1:$B$513,0)),IF(ISERROR(MATCH($A166,'K Proj'!$B$1:$B$508,0)),"?","K"),"D"),"FLEX")</f>
        <v>FLEX</v>
      </c>
      <c r="M166" s="21">
        <f>MATCH(L166,Pos,0)</f>
        <v>1</v>
      </c>
      <c r="N166" s="21">
        <f>CHOOSE($M166,MATCH($A166&amp;$B166,'F Proj'!$P$1:$P$7669,0),MATCH($A166&amp;$B166,'D Proj'!$X$1:$X$513,0),MATCH($A166&amp;$B166,'K Proj'!$T$1:$T$508,0))</f>
        <v>1183</v>
      </c>
      <c r="O166">
        <f>CHOOSE(M166,INDEX('F Proj'!$D$1:$D$7669,N166),INDEX('D Proj'!$T$1:$T$513,N166),INDEX('K Proj'!$L$1:$L$508,N166))</f>
        <v>9.51</v>
      </c>
      <c r="P166">
        <f>CHOOSE(M166,INDEX('F Proj'!$J$1:$J$7669,N166),INDEX('D Proj'!$N$1:$N$513,N166),INDEX('K Proj'!$P$1:$P$508,N166))</f>
        <v>45.5625</v>
      </c>
      <c r="Q166" t="str">
        <f t="shared" si="5"/>
        <v>TE</v>
      </c>
      <c r="R166" t="str">
        <f>IF(L166="FLEX",INDEX('F Proj'!$F$1:$F$7669,N166),Q166)</f>
        <v>TE</v>
      </c>
      <c r="S166" t="str">
        <f>IF((Week+Half_Week-1)&gt;=VALUE(RIGHT(C166,LEN(C166)-SEARCH("-",C166))),LEFT(C166,SEARCH("-",C166)-1),"")</f>
        <v>aj</v>
      </c>
    </row>
    <row r="167" spans="1:19" x14ac:dyDescent="0.25">
      <c r="A167" t="s">
        <v>189</v>
      </c>
      <c r="B167">
        <v>1</v>
      </c>
      <c r="C167" t="s">
        <v>503</v>
      </c>
      <c r="D167" t="s">
        <v>475</v>
      </c>
      <c r="E167">
        <v>4</v>
      </c>
      <c r="G167">
        <v>4</v>
      </c>
      <c r="H167">
        <v>0</v>
      </c>
      <c r="I167">
        <v>0</v>
      </c>
      <c r="J167" t="s">
        <v>541</v>
      </c>
      <c r="K167" t="str">
        <f t="shared" si="4"/>
        <v>Jack Doyle1</v>
      </c>
      <c r="L167" s="21" t="str">
        <f>IF(ISERROR(MATCH($A167,'F Proj'!$B$1:$B$7669,0)),IF(ISERROR(MATCH($A167,'D Proj'!$B$1:$B$513,0)),IF(ISERROR(MATCH($A167,'K Proj'!$B$1:$B$508,0)),"?","K"),"D"),"FLEX")</f>
        <v>FLEX</v>
      </c>
      <c r="M167" s="21">
        <f>MATCH(L167,Pos,0)</f>
        <v>1</v>
      </c>
      <c r="N167" s="21">
        <f>CHOOSE($M167,MATCH($A167&amp;$B167,'F Proj'!$P$1:$P$7669,0),MATCH($A167&amp;$B167,'D Proj'!$X$1:$X$513,0),MATCH($A167&amp;$B167,'K Proj'!$T$1:$T$508,0))</f>
        <v>2222</v>
      </c>
      <c r="O167">
        <f>CHOOSE(M167,INDEX('F Proj'!$D$1:$D$7669,N167),INDEX('D Proj'!$T$1:$T$513,N167),INDEX('K Proj'!$L$1:$L$508,N167))</f>
        <v>5.89</v>
      </c>
      <c r="P167">
        <f>CHOOSE(M167,INDEX('F Proj'!$J$1:$J$7669,N167),INDEX('D Proj'!$N$1:$N$513,N167),INDEX('K Proj'!$P$1:$P$508,N167))</f>
        <v>17.7241</v>
      </c>
      <c r="Q167" t="str">
        <f t="shared" si="5"/>
        <v>TE</v>
      </c>
      <c r="R167" t="str">
        <f>IF(L167="FLEX",INDEX('F Proj'!$F$1:$F$7669,N167),Q167)</f>
        <v>TE</v>
      </c>
      <c r="S167" t="str">
        <f>IF((Week+Half_Week-1)&gt;=VALUE(RIGHT(C167,LEN(C167)-SEARCH("-",C167))),LEFT(C167,SEARCH("-",C167)-1),"")</f>
        <v>devon</v>
      </c>
    </row>
    <row r="168" spans="1:19" x14ac:dyDescent="0.25">
      <c r="A168" t="s">
        <v>189</v>
      </c>
      <c r="B168">
        <v>2</v>
      </c>
      <c r="C168" t="s">
        <v>633</v>
      </c>
      <c r="D168" t="s">
        <v>475</v>
      </c>
      <c r="E168">
        <v>2</v>
      </c>
      <c r="G168">
        <v>2</v>
      </c>
      <c r="H168">
        <v>0</v>
      </c>
      <c r="I168">
        <v>0</v>
      </c>
      <c r="J168" t="s">
        <v>660</v>
      </c>
      <c r="K168" t="str">
        <f t="shared" si="4"/>
        <v>Jack Doyle2</v>
      </c>
      <c r="L168" s="21" t="str">
        <f>IF(ISERROR(MATCH($A168,'F Proj'!$B$1:$B$7669,0)),IF(ISERROR(MATCH($A168,'D Proj'!$B$1:$B$513,0)),IF(ISERROR(MATCH($A168,'K Proj'!$B$1:$B$508,0)),"?","K"),"D"),"FLEX")</f>
        <v>FLEX</v>
      </c>
      <c r="M168" s="21">
        <f>MATCH(L168,Pos,0)</f>
        <v>1</v>
      </c>
      <c r="N168" s="21">
        <f>CHOOSE($M168,MATCH($A168&amp;$B168,'F Proj'!$P$1:$P$7669,0),MATCH($A168&amp;$B168,'D Proj'!$X$1:$X$513,0),MATCH($A168&amp;$B168,'K Proj'!$T$1:$T$508,0))</f>
        <v>2538</v>
      </c>
      <c r="O168">
        <f>CHOOSE(M168,INDEX('F Proj'!$D$1:$D$7669,N168),INDEX('D Proj'!$T$1:$T$513,N168),INDEX('K Proj'!$L$1:$L$508,N168))</f>
        <v>5.12</v>
      </c>
      <c r="P168">
        <f>CHOOSE(M168,INDEX('F Proj'!$J$1:$J$7669,N168),INDEX('D Proj'!$N$1:$N$513,N168),INDEX('K Proj'!$P$1:$P$508,N168))</f>
        <v>14.364100000000001</v>
      </c>
      <c r="Q168" t="str">
        <f t="shared" si="5"/>
        <v>TE</v>
      </c>
      <c r="R168" t="str">
        <f>IF(L168="FLEX",INDEX('F Proj'!$F$1:$F$7669,N168),Q168)</f>
        <v>TE</v>
      </c>
      <c r="S168" t="str">
        <f>IF((Week+Half_Week-1)&gt;=VALUE(RIGHT(C168,LEN(C168)-SEARCH("-",C168))),LEFT(C168,SEARCH("-",C168)-1),"")</f>
        <v>devon</v>
      </c>
    </row>
    <row r="169" spans="1:19" x14ac:dyDescent="0.25">
      <c r="A169" t="s">
        <v>205</v>
      </c>
      <c r="B169">
        <v>2</v>
      </c>
      <c r="C169" t="s">
        <v>625</v>
      </c>
      <c r="D169" t="s">
        <v>466</v>
      </c>
      <c r="E169">
        <v>7.1</v>
      </c>
      <c r="G169">
        <v>7.1</v>
      </c>
      <c r="H169">
        <v>0</v>
      </c>
      <c r="I169">
        <v>0</v>
      </c>
      <c r="J169" t="s">
        <v>626</v>
      </c>
      <c r="K169" t="str">
        <f t="shared" si="4"/>
        <v>Jamaal Williams2</v>
      </c>
      <c r="L169" s="21" t="str">
        <f>IF(ISERROR(MATCH($A169,'F Proj'!$B$1:$B$7669,0)),IF(ISERROR(MATCH($A169,'D Proj'!$B$1:$B$513,0)),IF(ISERROR(MATCH($A169,'K Proj'!$B$1:$B$508,0)),"?","K"),"D"),"FLEX")</f>
        <v>FLEX</v>
      </c>
      <c r="M169" s="21">
        <f>MATCH(L169,Pos,0)</f>
        <v>1</v>
      </c>
      <c r="N169" s="21">
        <f>CHOOSE($M169,MATCH($A169&amp;$B169,'F Proj'!$P$1:$P$7669,0),MATCH($A169&amp;$B169,'D Proj'!$X$1:$X$513,0),MATCH($A169&amp;$B169,'K Proj'!$T$1:$T$508,0))</f>
        <v>1069</v>
      </c>
      <c r="O169">
        <f>CHOOSE(M169,INDEX('F Proj'!$D$1:$D$7669,N169),INDEX('D Proj'!$T$1:$T$513,N169),INDEX('K Proj'!$L$1:$L$508,N169))</f>
        <v>10</v>
      </c>
      <c r="P169">
        <f>CHOOSE(M169,INDEX('F Proj'!$J$1:$J$7669,N169),INDEX('D Proj'!$N$1:$N$513,N169),INDEX('K Proj'!$P$1:$P$508,N169))</f>
        <v>31.922499999999999</v>
      </c>
      <c r="Q169" t="str">
        <f t="shared" si="5"/>
        <v>WR/RB</v>
      </c>
      <c r="R169" t="str">
        <f>IF(L169="FLEX",INDEX('F Proj'!$F$1:$F$7669,N169),Q169)</f>
        <v>RB</v>
      </c>
      <c r="S169" t="str">
        <f>IF((Week+Half_Week-1)&gt;=VALUE(RIGHT(C169,LEN(C169)-SEARCH("-",C169))),LEFT(C169,SEARCH("-",C169)-1),"")</f>
        <v>aj</v>
      </c>
    </row>
    <row r="170" spans="1:19" x14ac:dyDescent="0.25">
      <c r="A170" t="s">
        <v>298</v>
      </c>
      <c r="B170">
        <v>1</v>
      </c>
      <c r="C170" t="s">
        <v>507</v>
      </c>
      <c r="D170" t="s">
        <v>466</v>
      </c>
      <c r="E170">
        <v>29.2</v>
      </c>
      <c r="G170">
        <v>29.2</v>
      </c>
      <c r="H170">
        <v>0</v>
      </c>
      <c r="I170">
        <v>0</v>
      </c>
      <c r="J170" t="s">
        <v>559</v>
      </c>
      <c r="K170" t="str">
        <f t="shared" si="4"/>
        <v>James Conner1</v>
      </c>
      <c r="L170" s="21" t="str">
        <f>IF(ISERROR(MATCH($A170,'F Proj'!$B$1:$B$7669,0)),IF(ISERROR(MATCH($A170,'D Proj'!$B$1:$B$513,0)),IF(ISERROR(MATCH($A170,'K Proj'!$B$1:$B$508,0)),"?","K"),"D"),"FLEX")</f>
        <v>FLEX</v>
      </c>
      <c r="M170" s="21">
        <f>MATCH(L170,Pos,0)</f>
        <v>1</v>
      </c>
      <c r="N170" s="21">
        <f>CHOOSE($M170,MATCH($A170&amp;$B170,'F Proj'!$P$1:$P$7669,0),MATCH($A170&amp;$B170,'D Proj'!$X$1:$X$513,0),MATCH($A170&amp;$B170,'K Proj'!$T$1:$T$508,0))</f>
        <v>685</v>
      </c>
      <c r="O170">
        <f>CHOOSE(M170,INDEX('F Proj'!$D$1:$D$7669,N170),INDEX('D Proj'!$T$1:$T$513,N170),INDEX('K Proj'!$L$1:$L$508,N170))</f>
        <v>13.01</v>
      </c>
      <c r="P170">
        <f>CHOOSE(M170,INDEX('F Proj'!$J$1:$J$7669,N170),INDEX('D Proj'!$N$1:$N$513,N170),INDEX('K Proj'!$P$1:$P$508,N170))</f>
        <v>78.499600000000001</v>
      </c>
      <c r="Q170" t="str">
        <f t="shared" si="5"/>
        <v>WR/RB</v>
      </c>
      <c r="R170" t="str">
        <f>IF(L170="FLEX",INDEX('F Proj'!$F$1:$F$7669,N170),Q170)</f>
        <v>RB</v>
      </c>
      <c r="S170" t="str">
        <f>IF((Week+Half_Week-1)&gt;=VALUE(RIGHT(C170,LEN(C170)-SEARCH("-",C170))),LEFT(C170,SEARCH("-",C170)-1),"")</f>
        <v>aj</v>
      </c>
    </row>
    <row r="171" spans="1:19" x14ac:dyDescent="0.25">
      <c r="A171" t="s">
        <v>298</v>
      </c>
      <c r="B171">
        <v>2</v>
      </c>
      <c r="C171" t="s">
        <v>625</v>
      </c>
      <c r="D171" t="s">
        <v>469</v>
      </c>
      <c r="E171">
        <v>14.5</v>
      </c>
      <c r="G171">
        <v>14.5</v>
      </c>
      <c r="H171">
        <v>0</v>
      </c>
      <c r="I171">
        <v>0</v>
      </c>
      <c r="J171" t="s">
        <v>652</v>
      </c>
      <c r="K171" t="str">
        <f t="shared" si="4"/>
        <v>James Conner2</v>
      </c>
      <c r="L171" s="21" t="str">
        <f>IF(ISERROR(MATCH($A171,'F Proj'!$B$1:$B$7669,0)),IF(ISERROR(MATCH($A171,'D Proj'!$B$1:$B$513,0)),IF(ISERROR(MATCH($A171,'K Proj'!$B$1:$B$508,0)),"?","K"),"D"),"FLEX")</f>
        <v>FLEX</v>
      </c>
      <c r="M171" s="21">
        <f>MATCH(L171,Pos,0)</f>
        <v>1</v>
      </c>
      <c r="N171" s="21">
        <f>CHOOSE($M171,MATCH($A171&amp;$B171,'F Proj'!$P$1:$P$7669,0),MATCH($A171&amp;$B171,'D Proj'!$X$1:$X$513,0),MATCH($A171&amp;$B171,'K Proj'!$T$1:$T$508,0))</f>
        <v>607</v>
      </c>
      <c r="O171">
        <f>CHOOSE(M171,INDEX('F Proj'!$D$1:$D$7669,N171),INDEX('D Proj'!$T$1:$T$513,N171),INDEX('K Proj'!$L$1:$L$508,N171))</f>
        <v>13.69</v>
      </c>
      <c r="P171">
        <f>CHOOSE(M171,INDEX('F Proj'!$J$1:$J$7669,N171),INDEX('D Proj'!$N$1:$N$513,N171),INDEX('K Proj'!$P$1:$P$508,N171))</f>
        <v>70.392099999999999</v>
      </c>
      <c r="Q171" t="str">
        <f t="shared" si="5"/>
        <v>RB</v>
      </c>
      <c r="R171" t="str">
        <f>IF(L171="FLEX",INDEX('F Proj'!$F$1:$F$7669,N171),Q171)</f>
        <v>RB</v>
      </c>
      <c r="S171" t="str">
        <f>IF((Week+Half_Week-1)&gt;=VALUE(RIGHT(C171,LEN(C171)-SEARCH("-",C171))),LEFT(C171,SEARCH("-",C171)-1),"")</f>
        <v>aj</v>
      </c>
    </row>
    <row r="172" spans="1:19" x14ac:dyDescent="0.25">
      <c r="A172" t="s">
        <v>298</v>
      </c>
      <c r="B172">
        <v>3</v>
      </c>
      <c r="C172" t="s">
        <v>806</v>
      </c>
      <c r="D172" t="s">
        <v>466</v>
      </c>
      <c r="E172">
        <v>9.5</v>
      </c>
      <c r="G172">
        <v>9.5</v>
      </c>
      <c r="H172">
        <v>0</v>
      </c>
      <c r="I172">
        <v>0</v>
      </c>
      <c r="J172" t="s">
        <v>4299</v>
      </c>
      <c r="K172" t="str">
        <f t="shared" si="4"/>
        <v>James Conner3</v>
      </c>
      <c r="L172" s="21" t="str">
        <f>IF(ISERROR(MATCH($A172,'F Proj'!$B$1:$B$7669,0)),IF(ISERROR(MATCH($A172,'D Proj'!$B$1:$B$513,0)),IF(ISERROR(MATCH($A172,'K Proj'!$B$1:$B$508,0)),"?","K"),"D"),"FLEX")</f>
        <v>FLEX</v>
      </c>
      <c r="M172" s="21">
        <f>MATCH(L172,Pos,0)</f>
        <v>1</v>
      </c>
      <c r="N172" s="21">
        <f>CHOOSE($M172,MATCH($A172&amp;$B172,'F Proj'!$P$1:$P$7669,0),MATCH($A172&amp;$B172,'D Proj'!$X$1:$X$513,0),MATCH($A172&amp;$B172,'K Proj'!$T$1:$T$508,0))</f>
        <v>683</v>
      </c>
      <c r="O172">
        <f>CHOOSE(M172,INDEX('F Proj'!$D$1:$D$7669,N172),INDEX('D Proj'!$T$1:$T$513,N172),INDEX('K Proj'!$L$1:$L$508,N172))</f>
        <v>13.02</v>
      </c>
      <c r="P172">
        <f>CHOOSE(M172,INDEX('F Proj'!$J$1:$J$7669,N172),INDEX('D Proj'!$N$1:$N$513,N172),INDEX('K Proj'!$P$1:$P$508,N172))</f>
        <v>144.7209</v>
      </c>
      <c r="Q172" t="str">
        <f t="shared" si="5"/>
        <v>WR/RB</v>
      </c>
      <c r="R172" t="str">
        <f>IF(L172="FLEX",INDEX('F Proj'!$F$1:$F$7669,N172),Q172)</f>
        <v>RB</v>
      </c>
      <c r="S172" t="str">
        <f>IF((Week+Half_Week-1)&gt;=VALUE(RIGHT(C172,LEN(C172)-SEARCH("-",C172))),LEFT(C172,SEARCH("-",C172)-1),"")</f>
        <v>aj</v>
      </c>
    </row>
    <row r="173" spans="1:19" x14ac:dyDescent="0.25">
      <c r="A173" t="s">
        <v>298</v>
      </c>
      <c r="B173">
        <v>4</v>
      </c>
      <c r="C173" t="s">
        <v>866</v>
      </c>
      <c r="D173" t="s">
        <v>466</v>
      </c>
      <c r="E173">
        <v>6.4</v>
      </c>
      <c r="G173">
        <v>6.4</v>
      </c>
      <c r="H173">
        <v>0</v>
      </c>
      <c r="I173">
        <v>0</v>
      </c>
      <c r="J173" t="s">
        <v>4781</v>
      </c>
      <c r="K173" t="str">
        <f t="shared" si="4"/>
        <v>James Conner4</v>
      </c>
      <c r="L173" s="21" t="str">
        <f>IF(ISERROR(MATCH($A173,'F Proj'!$B$1:$B$7669,0)),IF(ISERROR(MATCH($A173,'D Proj'!$B$1:$B$513,0)),IF(ISERROR(MATCH($A173,'K Proj'!$B$1:$B$508,0)),"?","K"),"D"),"FLEX")</f>
        <v>FLEX</v>
      </c>
      <c r="M173" s="21">
        <f>MATCH(L173,Pos,0)</f>
        <v>1</v>
      </c>
      <c r="N173" s="21">
        <f>CHOOSE($M173,MATCH($A173&amp;$B173,'F Proj'!$P$1:$P$7669,0),MATCH($A173&amp;$B173,'D Proj'!$X$1:$X$513,0),MATCH($A173&amp;$B173,'K Proj'!$T$1:$T$508,0))</f>
        <v>824</v>
      </c>
      <c r="O173">
        <f>CHOOSE(M173,INDEX('F Proj'!$D$1:$D$7669,N173),INDEX('D Proj'!$T$1:$T$513,N173),INDEX('K Proj'!$L$1:$L$508,N173))</f>
        <v>11.91</v>
      </c>
      <c r="P173">
        <f>CHOOSE(M173,INDEX('F Proj'!$J$1:$J$7669,N173),INDEX('D Proj'!$N$1:$N$513,N173),INDEX('K Proj'!$P$1:$P$508,N173))</f>
        <v>80.460899999999995</v>
      </c>
      <c r="Q173" t="str">
        <f t="shared" si="5"/>
        <v>WR/RB</v>
      </c>
      <c r="R173" t="str">
        <f>IF(L173="FLEX",INDEX('F Proj'!$F$1:$F$7669,N173),Q173)</f>
        <v>RB</v>
      </c>
      <c r="S173" t="str">
        <f>IF((Week+Half_Week-1)&gt;=VALUE(RIGHT(C173,LEN(C173)-SEARCH("-",C173))),LEFT(C173,SEARCH("-",C173)-1),"")</f>
        <v>aj</v>
      </c>
    </row>
    <row r="174" spans="1:19" x14ac:dyDescent="0.25">
      <c r="A174" t="s">
        <v>298</v>
      </c>
      <c r="B174">
        <v>5</v>
      </c>
      <c r="C174" t="s">
        <v>888</v>
      </c>
      <c r="D174" t="s">
        <v>468</v>
      </c>
      <c r="E174" t="s">
        <v>8947</v>
      </c>
      <c r="G174">
        <v>13.33</v>
      </c>
      <c r="H174">
        <v>8.66</v>
      </c>
      <c r="I174">
        <v>74.995599999999996</v>
      </c>
      <c r="J174" t="s">
        <v>8980</v>
      </c>
      <c r="K174" t="str">
        <f t="shared" si="4"/>
        <v>James Conner5</v>
      </c>
      <c r="L174" s="21" t="str">
        <f>IF(ISERROR(MATCH($A174,'F Proj'!$B$1:$B$7669,0)),IF(ISERROR(MATCH($A174,'D Proj'!$B$1:$B$513,0)),IF(ISERROR(MATCH($A174,'K Proj'!$B$1:$B$508,0)),"?","K"),"D"),"FLEX")</f>
        <v>FLEX</v>
      </c>
      <c r="M174" s="21">
        <f>MATCH(L174,Pos,0)</f>
        <v>1</v>
      </c>
      <c r="N174" s="21">
        <f>CHOOSE($M174,MATCH($A174&amp;$B174,'F Proj'!$P$1:$P$7669,0),MATCH($A174&amp;$B174,'D Proj'!$X$1:$X$513,0),MATCH($A174&amp;$B174,'K Proj'!$T$1:$T$508,0))</f>
        <v>647</v>
      </c>
      <c r="O174">
        <f>CHOOSE(M174,INDEX('F Proj'!$D$1:$D$7669,N174),INDEX('D Proj'!$T$1:$T$513,N174),INDEX('K Proj'!$L$1:$L$508,N174))</f>
        <v>13.33</v>
      </c>
      <c r="P174">
        <f>CHOOSE(M174,INDEX('F Proj'!$J$1:$J$7669,N174),INDEX('D Proj'!$N$1:$N$513,N174),INDEX('K Proj'!$P$1:$P$508,N174))</f>
        <v>74.995599999999996</v>
      </c>
      <c r="Q174" t="str">
        <f t="shared" si="5"/>
        <v>RB</v>
      </c>
      <c r="R174" t="str">
        <f>IF(L174="FLEX",INDEX('F Proj'!$F$1:$F$7669,N174),Q174)</f>
        <v>RB</v>
      </c>
      <c r="S174" t="str">
        <f>IF((Week+Half_Week-1)&gt;=VALUE(RIGHT(C174,LEN(C174)-SEARCH("-",C174))),LEFT(C174,SEARCH("-",C174)-1),"")</f>
        <v/>
      </c>
    </row>
    <row r="175" spans="1:19" x14ac:dyDescent="0.25">
      <c r="A175" t="s">
        <v>193</v>
      </c>
      <c r="B175">
        <v>3</v>
      </c>
      <c r="C175" t="s">
        <v>803</v>
      </c>
      <c r="D175" t="s">
        <v>469</v>
      </c>
      <c r="E175">
        <v>11.1</v>
      </c>
      <c r="G175">
        <v>11.1</v>
      </c>
      <c r="H175">
        <v>0</v>
      </c>
      <c r="I175">
        <v>0</v>
      </c>
      <c r="J175" t="s">
        <v>4300</v>
      </c>
      <c r="K175" t="str">
        <f t="shared" si="4"/>
        <v>James White3</v>
      </c>
      <c r="L175" s="21" t="str">
        <f>IF(ISERROR(MATCH($A175,'F Proj'!$B$1:$B$7669,0)),IF(ISERROR(MATCH($A175,'D Proj'!$B$1:$B$513,0)),IF(ISERROR(MATCH($A175,'K Proj'!$B$1:$B$508,0)),"?","K"),"D"),"FLEX")</f>
        <v>FLEX</v>
      </c>
      <c r="M175" s="21">
        <f>MATCH(L175,Pos,0)</f>
        <v>1</v>
      </c>
      <c r="N175" s="21">
        <f>CHOOSE($M175,MATCH($A175&amp;$B175,'F Proj'!$P$1:$P$7669,0),MATCH($A175&amp;$B175,'D Proj'!$X$1:$X$513,0),MATCH($A175&amp;$B175,'K Proj'!$T$1:$T$508,0))</f>
        <v>1900</v>
      </c>
      <c r="O175">
        <f>CHOOSE(M175,INDEX('F Proj'!$D$1:$D$7669,N175),INDEX('D Proj'!$T$1:$T$513,N175),INDEX('K Proj'!$L$1:$L$508,N175))</f>
        <v>6.8</v>
      </c>
      <c r="P175">
        <f>CHOOSE(M175,INDEX('F Proj'!$J$1:$J$7669,N175),INDEX('D Proj'!$N$1:$N$513,N175),INDEX('K Proj'!$P$1:$P$508,N175))</f>
        <v>19.009599999999999</v>
      </c>
      <c r="Q175" t="str">
        <f t="shared" si="5"/>
        <v>RB</v>
      </c>
      <c r="R175" t="str">
        <f>IF(L175="FLEX",INDEX('F Proj'!$F$1:$F$7669,N175),Q175)</f>
        <v>RB</v>
      </c>
      <c r="S175" t="str">
        <f>IF((Week+Half_Week-1)&gt;=VALUE(RIGHT(C175,LEN(C175)-SEARCH("-",C175))),LEFT(C175,SEARCH("-",C175)-1),"")</f>
        <v>cory</v>
      </c>
    </row>
    <row r="176" spans="1:19" x14ac:dyDescent="0.25">
      <c r="A176" t="s">
        <v>193</v>
      </c>
      <c r="B176">
        <v>4</v>
      </c>
      <c r="C176" t="s">
        <v>858</v>
      </c>
      <c r="D176" t="s">
        <v>469</v>
      </c>
      <c r="E176">
        <v>23.2</v>
      </c>
      <c r="G176">
        <v>23.2</v>
      </c>
      <c r="H176">
        <v>0</v>
      </c>
      <c r="I176">
        <v>0</v>
      </c>
      <c r="J176" t="s">
        <v>4782</v>
      </c>
      <c r="K176" t="str">
        <f t="shared" si="4"/>
        <v>James White4</v>
      </c>
      <c r="L176" s="21" t="str">
        <f>IF(ISERROR(MATCH($A176,'F Proj'!$B$1:$B$7669,0)),IF(ISERROR(MATCH($A176,'D Proj'!$B$1:$B$513,0)),IF(ISERROR(MATCH($A176,'K Proj'!$B$1:$B$508,0)),"?","K"),"D"),"FLEX")</f>
        <v>FLEX</v>
      </c>
      <c r="M176" s="21">
        <f>MATCH(L176,Pos,0)</f>
        <v>1</v>
      </c>
      <c r="N176" s="21">
        <f>CHOOSE($M176,MATCH($A176&amp;$B176,'F Proj'!$P$1:$P$7669,0),MATCH($A176&amp;$B176,'D Proj'!$X$1:$X$513,0),MATCH($A176&amp;$B176,'K Proj'!$T$1:$T$508,0))</f>
        <v>2124</v>
      </c>
      <c r="O176">
        <f>CHOOSE(M176,INDEX('F Proj'!$D$1:$D$7669,N176),INDEX('D Proj'!$T$1:$T$513,N176),INDEX('K Proj'!$L$1:$L$508,N176))</f>
        <v>6.16</v>
      </c>
      <c r="P176">
        <f>CHOOSE(M176,INDEX('F Proj'!$J$1:$J$7669,N176),INDEX('D Proj'!$N$1:$N$513,N176),INDEX('K Proj'!$P$1:$P$508,N176))</f>
        <v>16</v>
      </c>
      <c r="Q176" t="str">
        <f t="shared" si="5"/>
        <v>RB</v>
      </c>
      <c r="R176" t="str">
        <f>IF(L176="FLEX",INDEX('F Proj'!$F$1:$F$7669,N176),Q176)</f>
        <v>RB</v>
      </c>
      <c r="S176" t="str">
        <f>IF((Week+Half_Week-1)&gt;=VALUE(RIGHT(C176,LEN(C176)-SEARCH("-",C176))),LEFT(C176,SEARCH("-",C176)-1),"")</f>
        <v>cory</v>
      </c>
    </row>
    <row r="177" spans="1:19" x14ac:dyDescent="0.25">
      <c r="A177" t="s">
        <v>193</v>
      </c>
      <c r="B177">
        <v>5</v>
      </c>
      <c r="C177" t="s">
        <v>883</v>
      </c>
      <c r="D177" t="s">
        <v>469</v>
      </c>
      <c r="E177">
        <v>13.7</v>
      </c>
      <c r="G177">
        <v>13.7</v>
      </c>
      <c r="H177">
        <v>0</v>
      </c>
      <c r="I177">
        <v>0</v>
      </c>
      <c r="J177" t="s">
        <v>8981</v>
      </c>
      <c r="K177" t="str">
        <f t="shared" si="4"/>
        <v>James White5</v>
      </c>
      <c r="L177" s="21" t="str">
        <f>IF(ISERROR(MATCH($A177,'F Proj'!$B$1:$B$7669,0)),IF(ISERROR(MATCH($A177,'D Proj'!$B$1:$B$513,0)),IF(ISERROR(MATCH($A177,'K Proj'!$B$1:$B$508,0)),"?","K"),"D"),"FLEX")</f>
        <v>FLEX</v>
      </c>
      <c r="M177" s="21">
        <f>MATCH(L177,Pos,0)</f>
        <v>1</v>
      </c>
      <c r="N177" s="21">
        <f>CHOOSE($M177,MATCH($A177&amp;$B177,'F Proj'!$P$1:$P$7669,0),MATCH($A177&amp;$B177,'D Proj'!$X$1:$X$513,0),MATCH($A177&amp;$B177,'K Proj'!$T$1:$T$508,0))</f>
        <v>1015</v>
      </c>
      <c r="O177">
        <f>CHOOSE(M177,INDEX('F Proj'!$D$1:$D$7669,N177),INDEX('D Proj'!$T$1:$T$513,N177),INDEX('K Proj'!$L$1:$L$508,N177))</f>
        <v>10.33</v>
      </c>
      <c r="P177">
        <f>CHOOSE(M177,INDEX('F Proj'!$J$1:$J$7669,N177),INDEX('D Proj'!$N$1:$N$513,N177),INDEX('K Proj'!$P$1:$P$508,N177))</f>
        <v>29.4849</v>
      </c>
      <c r="Q177" t="str">
        <f t="shared" si="5"/>
        <v>RB</v>
      </c>
      <c r="R177" t="str">
        <f>IF(L177="FLEX",INDEX('F Proj'!$F$1:$F$7669,N177),Q177)</f>
        <v>RB</v>
      </c>
      <c r="S177" t="str">
        <f>IF((Week+Half_Week-1)&gt;=VALUE(RIGHT(C177,LEN(C177)-SEARCH("-",C177))),LEFT(C177,SEARCH("-",C177)-1),"")</f>
        <v/>
      </c>
    </row>
    <row r="178" spans="1:19" x14ac:dyDescent="0.25">
      <c r="A178" t="s">
        <v>137</v>
      </c>
      <c r="B178">
        <v>2</v>
      </c>
      <c r="C178" t="s">
        <v>1651</v>
      </c>
      <c r="D178" t="s">
        <v>473</v>
      </c>
      <c r="E178">
        <v>3.7</v>
      </c>
      <c r="G178">
        <v>3.7</v>
      </c>
      <c r="H178">
        <v>0</v>
      </c>
      <c r="I178">
        <v>0</v>
      </c>
      <c r="J178" t="s">
        <v>1656</v>
      </c>
      <c r="K178" t="str">
        <f t="shared" si="4"/>
        <v>Jamison Crowder2</v>
      </c>
      <c r="L178" s="21" t="str">
        <f>IF(ISERROR(MATCH($A178,'F Proj'!$B$1:$B$7669,0)),IF(ISERROR(MATCH($A178,'D Proj'!$B$1:$B$513,0)),IF(ISERROR(MATCH($A178,'K Proj'!$B$1:$B$508,0)),"?","K"),"D"),"FLEX")</f>
        <v>FLEX</v>
      </c>
      <c r="M178" s="21">
        <f>MATCH(L178,Pos,0)</f>
        <v>1</v>
      </c>
      <c r="N178" s="21">
        <f>CHOOSE($M178,MATCH($A178&amp;$B178,'F Proj'!$P$1:$P$7669,0),MATCH($A178&amp;$B178,'D Proj'!$X$1:$X$513,0),MATCH($A178&amp;$B178,'K Proj'!$T$1:$T$508,0))</f>
        <v>1990</v>
      </c>
      <c r="O178">
        <f>CHOOSE(M178,INDEX('F Proj'!$D$1:$D$7669,N178),INDEX('D Proj'!$T$1:$T$513,N178),INDEX('K Proj'!$L$1:$L$508,N178))</f>
        <v>6.51</v>
      </c>
      <c r="P178">
        <f>CHOOSE(M178,INDEX('F Proj'!$J$1:$J$7669,N178),INDEX('D Proj'!$N$1:$N$513,N178),INDEX('K Proj'!$P$1:$P$508,N178))</f>
        <v>26.112100000000002</v>
      </c>
      <c r="Q178" t="str">
        <f t="shared" si="5"/>
        <v>WR</v>
      </c>
      <c r="R178" t="str">
        <f>IF(L178="FLEX",INDEX('F Proj'!$F$1:$F$7669,N178),Q178)</f>
        <v>WR</v>
      </c>
      <c r="S178" t="str">
        <f>IF((Week+Half_Week-1)&gt;=VALUE(RIGHT(C178,LEN(C178)-SEARCH("-",C178))),LEFT(C178,SEARCH("-",C178)-1),"")</f>
        <v>lucas</v>
      </c>
    </row>
    <row r="179" spans="1:19" x14ac:dyDescent="0.25">
      <c r="A179" t="s">
        <v>137</v>
      </c>
      <c r="B179">
        <v>5</v>
      </c>
      <c r="C179" t="s">
        <v>1723</v>
      </c>
      <c r="D179" t="s">
        <v>472</v>
      </c>
      <c r="E179" t="s">
        <v>8947</v>
      </c>
      <c r="G179">
        <v>6.48</v>
      </c>
      <c r="H179">
        <v>4.3899999999999997</v>
      </c>
      <c r="I179">
        <v>19.272099999999998</v>
      </c>
      <c r="J179" t="s">
        <v>8962</v>
      </c>
      <c r="K179" t="str">
        <f t="shared" si="4"/>
        <v>Jamison Crowder5</v>
      </c>
      <c r="L179" s="21" t="str">
        <f>IF(ISERROR(MATCH($A179,'F Proj'!$B$1:$B$7669,0)),IF(ISERROR(MATCH($A179,'D Proj'!$B$1:$B$513,0)),IF(ISERROR(MATCH($A179,'K Proj'!$B$1:$B$508,0)),"?","K"),"D"),"FLEX")</f>
        <v>FLEX</v>
      </c>
      <c r="M179" s="21">
        <f>MATCH(L179,Pos,0)</f>
        <v>1</v>
      </c>
      <c r="N179" s="21">
        <f>CHOOSE($M179,MATCH($A179&amp;$B179,'F Proj'!$P$1:$P$7669,0),MATCH($A179&amp;$B179,'D Proj'!$X$1:$X$513,0),MATCH($A179&amp;$B179,'K Proj'!$T$1:$T$508,0))</f>
        <v>2005</v>
      </c>
      <c r="O179">
        <f>CHOOSE(M179,INDEX('F Proj'!$D$1:$D$7669,N179),INDEX('D Proj'!$T$1:$T$513,N179),INDEX('K Proj'!$L$1:$L$508,N179))</f>
        <v>6.48</v>
      </c>
      <c r="P179">
        <f>CHOOSE(M179,INDEX('F Proj'!$J$1:$J$7669,N179),INDEX('D Proj'!$N$1:$N$513,N179),INDEX('K Proj'!$P$1:$P$508,N179))</f>
        <v>19.272099999999998</v>
      </c>
      <c r="Q179" t="str">
        <f t="shared" si="5"/>
        <v>WR</v>
      </c>
      <c r="R179" t="str">
        <f>IF(L179="FLEX",INDEX('F Proj'!$F$1:$F$7669,N179),Q179)</f>
        <v>WR</v>
      </c>
      <c r="S179" t="str">
        <f>IF((Week+Half_Week-1)&gt;=VALUE(RIGHT(C179,LEN(C179)-SEARCH("-",C179))),LEFT(C179,SEARCH("-",C179)-1),"")</f>
        <v/>
      </c>
    </row>
    <row r="180" spans="1:19" x14ac:dyDescent="0.25">
      <c r="A180" t="s">
        <v>208</v>
      </c>
      <c r="B180">
        <v>5</v>
      </c>
      <c r="C180" t="s">
        <v>886</v>
      </c>
      <c r="D180" t="s">
        <v>475</v>
      </c>
      <c r="E180" t="s">
        <v>8947</v>
      </c>
      <c r="G180">
        <v>7.48</v>
      </c>
      <c r="H180">
        <v>4.43</v>
      </c>
      <c r="I180">
        <v>19.6249</v>
      </c>
      <c r="J180" t="s">
        <v>8982</v>
      </c>
      <c r="K180" t="str">
        <f t="shared" si="4"/>
        <v>Jared Cook5</v>
      </c>
      <c r="L180" s="21" t="str">
        <f>IF(ISERROR(MATCH($A180,'F Proj'!$B$1:$B$7669,0)),IF(ISERROR(MATCH($A180,'D Proj'!$B$1:$B$513,0)),IF(ISERROR(MATCH($A180,'K Proj'!$B$1:$B$508,0)),"?","K"),"D"),"FLEX")</f>
        <v>FLEX</v>
      </c>
      <c r="M180" s="21">
        <f>MATCH(L180,Pos,0)</f>
        <v>1</v>
      </c>
      <c r="N180" s="21">
        <f>CHOOSE($M180,MATCH($A180&amp;$B180,'F Proj'!$P$1:$P$7669,0),MATCH($A180&amp;$B180,'D Proj'!$X$1:$X$513,0),MATCH($A180&amp;$B180,'K Proj'!$T$1:$T$508,0))</f>
        <v>1681</v>
      </c>
      <c r="O180">
        <f>CHOOSE(M180,INDEX('F Proj'!$D$1:$D$7669,N180),INDEX('D Proj'!$T$1:$T$513,N180),INDEX('K Proj'!$L$1:$L$508,N180))</f>
        <v>7.48</v>
      </c>
      <c r="P180">
        <f>CHOOSE(M180,INDEX('F Proj'!$J$1:$J$7669,N180),INDEX('D Proj'!$N$1:$N$513,N180),INDEX('K Proj'!$P$1:$P$508,N180))</f>
        <v>19.6249</v>
      </c>
      <c r="Q180" t="str">
        <f t="shared" si="5"/>
        <v>TE</v>
      </c>
      <c r="R180" t="str">
        <f>IF(L180="FLEX",INDEX('F Proj'!$F$1:$F$7669,N180),Q180)</f>
        <v>TE</v>
      </c>
      <c r="S180" t="str">
        <f>IF((Week+Half_Week-1)&gt;=VALUE(RIGHT(C180,LEN(C180)-SEARCH("-",C180))),LEFT(C180,SEARCH("-",C180)-1),"")</f>
        <v/>
      </c>
    </row>
    <row r="181" spans="1:19" x14ac:dyDescent="0.25">
      <c r="A181" t="s">
        <v>134</v>
      </c>
      <c r="B181">
        <v>1</v>
      </c>
      <c r="C181" t="s">
        <v>502</v>
      </c>
      <c r="D181" t="s">
        <v>473</v>
      </c>
      <c r="E181">
        <v>10.6</v>
      </c>
      <c r="G181">
        <v>10.6</v>
      </c>
      <c r="H181">
        <v>0</v>
      </c>
      <c r="I181">
        <v>0</v>
      </c>
      <c r="J181" t="s">
        <v>573</v>
      </c>
      <c r="K181" t="str">
        <f t="shared" si="4"/>
        <v>Jarvis Landry1</v>
      </c>
      <c r="L181" s="21" t="str">
        <f>IF(ISERROR(MATCH($A181,'F Proj'!$B$1:$B$7669,0)),IF(ISERROR(MATCH($A181,'D Proj'!$B$1:$B$513,0)),IF(ISERROR(MATCH($A181,'K Proj'!$B$1:$B$508,0)),"?","K"),"D"),"FLEX")</f>
        <v>FLEX</v>
      </c>
      <c r="M181" s="21">
        <f>MATCH(L181,Pos,0)</f>
        <v>1</v>
      </c>
      <c r="N181" s="21">
        <f>CHOOSE($M181,MATCH($A181&amp;$B181,'F Proj'!$P$1:$P$7669,0),MATCH($A181&amp;$B181,'D Proj'!$X$1:$X$513,0),MATCH($A181&amp;$B181,'K Proj'!$T$1:$T$508,0))</f>
        <v>1398</v>
      </c>
      <c r="O181">
        <f>CHOOSE(M181,INDEX('F Proj'!$D$1:$D$7669,N181),INDEX('D Proj'!$T$1:$T$513,N181),INDEX('K Proj'!$L$1:$L$508,N181))</f>
        <v>8.49</v>
      </c>
      <c r="P181">
        <f>CHOOSE(M181,INDEX('F Proj'!$J$1:$J$7669,N181),INDEX('D Proj'!$N$1:$N$513,N181),INDEX('K Proj'!$P$1:$P$508,N181))</f>
        <v>34.81</v>
      </c>
      <c r="Q181" t="str">
        <f t="shared" si="5"/>
        <v>WR</v>
      </c>
      <c r="R181" t="str">
        <f>IF(L181="FLEX",INDEX('F Proj'!$F$1:$F$7669,N181),Q181)</f>
        <v>WR</v>
      </c>
      <c r="S181" t="str">
        <f>IF((Week+Half_Week-1)&gt;=VALUE(RIGHT(C181,LEN(C181)-SEARCH("-",C181))),LEFT(C181,SEARCH("-",C181)-1),"")</f>
        <v>cory</v>
      </c>
    </row>
    <row r="182" spans="1:19" x14ac:dyDescent="0.25">
      <c r="A182" t="s">
        <v>134</v>
      </c>
      <c r="B182">
        <v>2</v>
      </c>
      <c r="C182" t="s">
        <v>618</v>
      </c>
      <c r="D182" t="s">
        <v>473</v>
      </c>
      <c r="E182">
        <v>6.9</v>
      </c>
      <c r="G182">
        <v>6.9</v>
      </c>
      <c r="H182">
        <v>0</v>
      </c>
      <c r="I182">
        <v>0</v>
      </c>
      <c r="J182" t="s">
        <v>687</v>
      </c>
      <c r="K182" t="str">
        <f t="shared" si="4"/>
        <v>Jarvis Landry2</v>
      </c>
      <c r="L182" s="21" t="str">
        <f>IF(ISERROR(MATCH($A182,'F Proj'!$B$1:$B$7669,0)),IF(ISERROR(MATCH($A182,'D Proj'!$B$1:$B$513,0)),IF(ISERROR(MATCH($A182,'K Proj'!$B$1:$B$508,0)),"?","K"),"D"),"FLEX")</f>
        <v>FLEX</v>
      </c>
      <c r="M182" s="21">
        <f>MATCH(L182,Pos,0)</f>
        <v>1</v>
      </c>
      <c r="N182" s="21">
        <f>CHOOSE($M182,MATCH($A182&amp;$B182,'F Proj'!$P$1:$P$7669,0),MATCH($A182&amp;$B182,'D Proj'!$X$1:$X$513,0),MATCH($A182&amp;$B182,'K Proj'!$T$1:$T$508,0))</f>
        <v>953</v>
      </c>
      <c r="O182">
        <f>CHOOSE(M182,INDEX('F Proj'!$D$1:$D$7669,N182),INDEX('D Proj'!$T$1:$T$513,N182),INDEX('K Proj'!$L$1:$L$508,N182))</f>
        <v>10.74</v>
      </c>
      <c r="P182">
        <f>CHOOSE(M182,INDEX('F Proj'!$J$1:$J$7669,N182),INDEX('D Proj'!$N$1:$N$513,N182),INDEX('K Proj'!$P$1:$P$508,N182))</f>
        <v>47.886400000000002</v>
      </c>
      <c r="Q182" t="str">
        <f t="shared" si="5"/>
        <v>WR</v>
      </c>
      <c r="R182" t="str">
        <f>IF(L182="FLEX",INDEX('F Proj'!$F$1:$F$7669,N182),Q182)</f>
        <v>WR</v>
      </c>
      <c r="S182" t="str">
        <f>IF((Week+Half_Week-1)&gt;=VALUE(RIGHT(C182,LEN(C182)-SEARCH("-",C182))),LEFT(C182,SEARCH("-",C182)-1),"")</f>
        <v>cory</v>
      </c>
    </row>
    <row r="183" spans="1:19" x14ac:dyDescent="0.25">
      <c r="A183" t="s">
        <v>134</v>
      </c>
      <c r="B183">
        <v>3</v>
      </c>
      <c r="C183" t="s">
        <v>803</v>
      </c>
      <c r="D183" t="s">
        <v>473</v>
      </c>
      <c r="E183">
        <v>12.3</v>
      </c>
      <c r="G183">
        <v>12.3</v>
      </c>
      <c r="H183">
        <v>0</v>
      </c>
      <c r="I183">
        <v>0</v>
      </c>
      <c r="J183" t="s">
        <v>4301</v>
      </c>
      <c r="K183" t="str">
        <f t="shared" si="4"/>
        <v>Jarvis Landry3</v>
      </c>
      <c r="L183" s="21" t="str">
        <f>IF(ISERROR(MATCH($A183,'F Proj'!$B$1:$B$7669,0)),IF(ISERROR(MATCH($A183,'D Proj'!$B$1:$B$513,0)),IF(ISERROR(MATCH($A183,'K Proj'!$B$1:$B$508,0)),"?","K"),"D"),"FLEX")</f>
        <v>FLEX</v>
      </c>
      <c r="M183" s="21">
        <f>MATCH(L183,Pos,0)</f>
        <v>1</v>
      </c>
      <c r="N183" s="21">
        <f>CHOOSE($M183,MATCH($A183&amp;$B183,'F Proj'!$P$1:$P$7669,0),MATCH($A183&amp;$B183,'D Proj'!$X$1:$X$513,0),MATCH($A183&amp;$B183,'K Proj'!$T$1:$T$508,0))</f>
        <v>1172</v>
      </c>
      <c r="O183">
        <f>CHOOSE(M183,INDEX('F Proj'!$D$1:$D$7669,N183),INDEX('D Proj'!$T$1:$T$513,N183),INDEX('K Proj'!$L$1:$L$508,N183))</f>
        <v>9.56</v>
      </c>
      <c r="P183">
        <f>CHOOSE(M183,INDEX('F Proj'!$J$1:$J$7669,N183),INDEX('D Proj'!$N$1:$N$513,N183),INDEX('K Proj'!$P$1:$P$508,N183))</f>
        <v>34.222499999999997</v>
      </c>
      <c r="Q183" t="str">
        <f t="shared" si="5"/>
        <v>WR</v>
      </c>
      <c r="R183" t="str">
        <f>IF(L183="FLEX",INDEX('F Proj'!$F$1:$F$7669,N183),Q183)</f>
        <v>WR</v>
      </c>
      <c r="S183" t="str">
        <f>IF((Week+Half_Week-1)&gt;=VALUE(RIGHT(C183,LEN(C183)-SEARCH("-",C183))),LEFT(C183,SEARCH("-",C183)-1),"")</f>
        <v>cory</v>
      </c>
    </row>
    <row r="184" spans="1:19" x14ac:dyDescent="0.25">
      <c r="A184" t="s">
        <v>134</v>
      </c>
      <c r="B184">
        <v>4</v>
      </c>
      <c r="C184" t="s">
        <v>858</v>
      </c>
      <c r="D184" t="s">
        <v>473</v>
      </c>
      <c r="E184">
        <v>9.4</v>
      </c>
      <c r="G184">
        <v>9.4</v>
      </c>
      <c r="H184">
        <v>0</v>
      </c>
      <c r="I184">
        <v>0</v>
      </c>
      <c r="J184" t="s">
        <v>4783</v>
      </c>
      <c r="K184" t="str">
        <f t="shared" si="4"/>
        <v>Jarvis Landry4</v>
      </c>
      <c r="L184" s="21" t="str">
        <f>IF(ISERROR(MATCH($A184,'F Proj'!$B$1:$B$7669,0)),IF(ISERROR(MATCH($A184,'D Proj'!$B$1:$B$513,0)),IF(ISERROR(MATCH($A184,'K Proj'!$B$1:$B$508,0)),"?","K"),"D"),"FLEX")</f>
        <v>FLEX</v>
      </c>
      <c r="M184" s="21">
        <f>MATCH(L184,Pos,0)</f>
        <v>1</v>
      </c>
      <c r="N184" s="21">
        <f>CHOOSE($M184,MATCH($A184&amp;$B184,'F Proj'!$P$1:$P$7669,0),MATCH($A184&amp;$B184,'D Proj'!$X$1:$X$513,0),MATCH($A184&amp;$B184,'K Proj'!$T$1:$T$508,0))</f>
        <v>1134</v>
      </c>
      <c r="O184">
        <f>CHOOSE(M184,INDEX('F Proj'!$D$1:$D$7669,N184),INDEX('D Proj'!$T$1:$T$513,N184),INDEX('K Proj'!$L$1:$L$508,N184))</f>
        <v>9.74</v>
      </c>
      <c r="P184">
        <f>CHOOSE(M184,INDEX('F Proj'!$J$1:$J$7669,N184),INDEX('D Proj'!$N$1:$N$513,N184),INDEX('K Proj'!$P$1:$P$508,N184))</f>
        <v>41.344900000000003</v>
      </c>
      <c r="Q184" t="str">
        <f t="shared" si="5"/>
        <v>WR</v>
      </c>
      <c r="R184" t="str">
        <f>IF(L184="FLEX",INDEX('F Proj'!$F$1:$F$7669,N184),Q184)</f>
        <v>WR</v>
      </c>
      <c r="S184" t="str">
        <f>IF((Week+Half_Week-1)&gt;=VALUE(RIGHT(C184,LEN(C184)-SEARCH("-",C184))),LEFT(C184,SEARCH("-",C184)-1),"")</f>
        <v>cory</v>
      </c>
    </row>
    <row r="185" spans="1:19" x14ac:dyDescent="0.25">
      <c r="A185" t="s">
        <v>134</v>
      </c>
      <c r="B185">
        <v>5</v>
      </c>
      <c r="C185" t="s">
        <v>883</v>
      </c>
      <c r="D185" t="s">
        <v>473</v>
      </c>
      <c r="E185" t="s">
        <v>8947</v>
      </c>
      <c r="G185">
        <v>9.6199999999999992</v>
      </c>
      <c r="H185">
        <v>5.36</v>
      </c>
      <c r="I185">
        <v>28.729600000000001</v>
      </c>
      <c r="J185" t="s">
        <v>8983</v>
      </c>
      <c r="K185" t="str">
        <f t="shared" si="4"/>
        <v>Jarvis Landry5</v>
      </c>
      <c r="L185" s="21" t="str">
        <f>IF(ISERROR(MATCH($A185,'F Proj'!$B$1:$B$7669,0)),IF(ISERROR(MATCH($A185,'D Proj'!$B$1:$B$513,0)),IF(ISERROR(MATCH($A185,'K Proj'!$B$1:$B$508,0)),"?","K"),"D"),"FLEX")</f>
        <v>FLEX</v>
      </c>
      <c r="M185" s="21">
        <f>MATCH(L185,Pos,0)</f>
        <v>1</v>
      </c>
      <c r="N185" s="21">
        <f>CHOOSE($M185,MATCH($A185&amp;$B185,'F Proj'!$P$1:$P$7669,0),MATCH($A185&amp;$B185,'D Proj'!$X$1:$X$513,0),MATCH($A185&amp;$B185,'K Proj'!$T$1:$T$508,0))</f>
        <v>1156</v>
      </c>
      <c r="O185">
        <f>CHOOSE(M185,INDEX('F Proj'!$D$1:$D$7669,N185),INDEX('D Proj'!$T$1:$T$513,N185),INDEX('K Proj'!$L$1:$L$508,N185))</f>
        <v>9.6199999999999992</v>
      </c>
      <c r="P185">
        <f>CHOOSE(M185,INDEX('F Proj'!$J$1:$J$7669,N185),INDEX('D Proj'!$N$1:$N$513,N185),INDEX('K Proj'!$P$1:$P$508,N185))</f>
        <v>28.729600000000001</v>
      </c>
      <c r="Q185" t="str">
        <f t="shared" si="5"/>
        <v>WR</v>
      </c>
      <c r="R185" t="str">
        <f>IF(L185="FLEX",INDEX('F Proj'!$F$1:$F$7669,N185),Q185)</f>
        <v>WR</v>
      </c>
      <c r="S185" t="str">
        <f>IF((Week+Half_Week-1)&gt;=VALUE(RIGHT(C185,LEN(C185)-SEARCH("-",C185))),LEFT(C185,SEARCH("-",C185)-1),"")</f>
        <v/>
      </c>
    </row>
    <row r="186" spans="1:19" x14ac:dyDescent="0.25">
      <c r="A186" t="s">
        <v>89</v>
      </c>
      <c r="B186">
        <v>1</v>
      </c>
      <c r="C186" t="s">
        <v>505</v>
      </c>
      <c r="D186" t="s">
        <v>466</v>
      </c>
      <c r="E186">
        <v>20.2</v>
      </c>
      <c r="G186">
        <v>20.2</v>
      </c>
      <c r="H186">
        <v>0</v>
      </c>
      <c r="I186">
        <v>0</v>
      </c>
      <c r="J186" t="s">
        <v>517</v>
      </c>
      <c r="K186" t="str">
        <f t="shared" si="4"/>
        <v>Jay Ajayi1</v>
      </c>
      <c r="L186" s="21" t="str">
        <f>IF(ISERROR(MATCH($A186,'F Proj'!$B$1:$B$7669,0)),IF(ISERROR(MATCH($A186,'D Proj'!$B$1:$B$513,0)),IF(ISERROR(MATCH($A186,'K Proj'!$B$1:$B$508,0)),"?","K"),"D"),"FLEX")</f>
        <v>FLEX</v>
      </c>
      <c r="M186" s="21">
        <f>MATCH(L186,Pos,0)</f>
        <v>1</v>
      </c>
      <c r="N186" s="21">
        <f>CHOOSE($M186,MATCH($A186&amp;$B186,'F Proj'!$P$1:$P$7669,0),MATCH($A186&amp;$B186,'D Proj'!$X$1:$X$513,0),MATCH($A186&amp;$B186,'K Proj'!$T$1:$T$508,0))</f>
        <v>1256</v>
      </c>
      <c r="O186">
        <f>CHOOSE(M186,INDEX('F Proj'!$D$1:$D$7669,N186),INDEX('D Proj'!$T$1:$T$513,N186),INDEX('K Proj'!$L$1:$L$508,N186))</f>
        <v>9.09</v>
      </c>
      <c r="P186">
        <f>CHOOSE(M186,INDEX('F Proj'!$J$1:$J$7669,N186),INDEX('D Proj'!$N$1:$N$513,N186),INDEX('K Proj'!$P$1:$P$508,N186))</f>
        <v>32.035600000000002</v>
      </c>
      <c r="Q186" t="str">
        <f t="shared" si="5"/>
        <v>WR/RB</v>
      </c>
      <c r="R186" t="str">
        <f>IF(L186="FLEX",INDEX('F Proj'!$F$1:$F$7669,N186),Q186)</f>
        <v>RB</v>
      </c>
      <c r="S186" t="str">
        <f>IF((Week+Half_Week-1)&gt;=VALUE(RIGHT(C186,LEN(C186)-SEARCH("-",C186))),LEFT(C186,SEARCH("-",C186)-1),"")</f>
        <v>matty</v>
      </c>
    </row>
    <row r="187" spans="1:19" x14ac:dyDescent="0.25">
      <c r="A187" t="s">
        <v>89</v>
      </c>
      <c r="B187">
        <v>2</v>
      </c>
      <c r="C187" t="s">
        <v>636</v>
      </c>
      <c r="D187" t="s">
        <v>466</v>
      </c>
      <c r="E187">
        <v>8.6999999999999993</v>
      </c>
      <c r="G187">
        <v>8.6999999999999993</v>
      </c>
      <c r="H187">
        <v>0</v>
      </c>
      <c r="I187">
        <v>0</v>
      </c>
      <c r="J187" t="s">
        <v>637</v>
      </c>
      <c r="K187" t="str">
        <f t="shared" si="4"/>
        <v>Jay Ajayi2</v>
      </c>
      <c r="L187" s="21" t="str">
        <f>IF(ISERROR(MATCH($A187,'F Proj'!$B$1:$B$7669,0)),IF(ISERROR(MATCH($A187,'D Proj'!$B$1:$B$513,0)),IF(ISERROR(MATCH($A187,'K Proj'!$B$1:$B$508,0)),"?","K"),"D"),"FLEX")</f>
        <v>FLEX</v>
      </c>
      <c r="M187" s="21">
        <f>MATCH(L187,Pos,0)</f>
        <v>1</v>
      </c>
      <c r="N187" s="21">
        <f>CHOOSE($M187,MATCH($A187&amp;$B187,'F Proj'!$P$1:$P$7669,0),MATCH($A187&amp;$B187,'D Proj'!$X$1:$X$513,0),MATCH($A187&amp;$B187,'K Proj'!$T$1:$T$508,0))</f>
        <v>1032</v>
      </c>
      <c r="O187">
        <f>CHOOSE(M187,INDEX('F Proj'!$D$1:$D$7669,N187),INDEX('D Proj'!$T$1:$T$513,N187),INDEX('K Proj'!$L$1:$L$508,N187))</f>
        <v>10.24</v>
      </c>
      <c r="P187">
        <f>CHOOSE(M187,INDEX('F Proj'!$J$1:$J$7669,N187),INDEX('D Proj'!$N$1:$N$513,N187),INDEX('K Proj'!$P$1:$P$508,N187))</f>
        <v>42.640900000000002</v>
      </c>
      <c r="Q187" t="str">
        <f t="shared" si="5"/>
        <v>WR/RB</v>
      </c>
      <c r="R187" t="str">
        <f>IF(L187="FLEX",INDEX('F Proj'!$F$1:$F$7669,N187),Q187)</f>
        <v>RB</v>
      </c>
      <c r="S187" t="str">
        <f>IF((Week+Half_Week-1)&gt;=VALUE(RIGHT(C187,LEN(C187)-SEARCH("-",C187))),LEFT(C187,SEARCH("-",C187)-1),"")</f>
        <v>matty</v>
      </c>
    </row>
    <row r="188" spans="1:19" x14ac:dyDescent="0.25">
      <c r="A188" t="s">
        <v>333</v>
      </c>
      <c r="B188">
        <v>1</v>
      </c>
      <c r="C188" t="s">
        <v>508</v>
      </c>
      <c r="D188" t="s">
        <v>467</v>
      </c>
      <c r="E188">
        <v>9</v>
      </c>
      <c r="G188">
        <v>9</v>
      </c>
      <c r="H188">
        <v>0</v>
      </c>
      <c r="I188">
        <v>0</v>
      </c>
      <c r="J188" t="s">
        <v>563</v>
      </c>
      <c r="K188" t="str">
        <f t="shared" si="4"/>
        <v>Jimmy Garoppolo1</v>
      </c>
      <c r="L188" s="21" t="str">
        <f>IF(ISERROR(MATCH($A188,'F Proj'!$B$1:$B$7669,0)),IF(ISERROR(MATCH($A188,'D Proj'!$B$1:$B$513,0)),IF(ISERROR(MATCH($A188,'K Proj'!$B$1:$B$508,0)),"?","K"),"D"),"FLEX")</f>
        <v>?</v>
      </c>
      <c r="M188" s="21">
        <f>MATCH(L188,Pos,0)</f>
        <v>2</v>
      </c>
      <c r="N188" s="21" t="e">
        <f>CHOOSE($M188,MATCH($A188&amp;$B188,'F Proj'!$P$1:$P$7669,0),MATCH($A188&amp;$B188,'D Proj'!$X$1:$X$513,0),MATCH($A188&amp;$B188,'K Proj'!$T$1:$T$508,0))</f>
        <v>#N/A</v>
      </c>
      <c r="O188" t="e">
        <f>CHOOSE(M188,INDEX('F Proj'!$D$1:$D$7669,N188),INDEX('D Proj'!$T$1:$T$513,N188),INDEX('K Proj'!$L$1:$L$508,N188))</f>
        <v>#N/A</v>
      </c>
      <c r="P188" t="e">
        <f>CHOOSE(M188,INDEX('F Proj'!$J$1:$J$7669,N188),INDEX('D Proj'!$N$1:$N$513,N188),INDEX('K Proj'!$P$1:$P$508,N188))</f>
        <v>#N/A</v>
      </c>
      <c r="Q188" t="str">
        <f t="shared" si="5"/>
        <v>QB</v>
      </c>
      <c r="R188" t="str">
        <f>IF(L188="FLEX",INDEX('F Proj'!$F$1:$F$7669,N188),Q188)</f>
        <v>QB</v>
      </c>
      <c r="S188" t="str">
        <f>IF((Week+Half_Week-1)&gt;=VALUE(RIGHT(C188,LEN(C188)-SEARCH("-",C188))),LEFT(C188,SEARCH("-",C188)-1),"")</f>
        <v>perry</v>
      </c>
    </row>
    <row r="189" spans="1:19" x14ac:dyDescent="0.25">
      <c r="A189" t="s">
        <v>333</v>
      </c>
      <c r="B189">
        <v>2</v>
      </c>
      <c r="C189" t="s">
        <v>616</v>
      </c>
      <c r="D189" t="s">
        <v>467</v>
      </c>
      <c r="E189">
        <v>16.600000000000001</v>
      </c>
      <c r="G189">
        <v>16.600000000000001</v>
      </c>
      <c r="H189">
        <v>0</v>
      </c>
      <c r="I189">
        <v>0</v>
      </c>
      <c r="J189" t="s">
        <v>648</v>
      </c>
      <c r="K189" t="str">
        <f t="shared" si="4"/>
        <v>Jimmy Garoppolo2</v>
      </c>
      <c r="L189" s="21" t="str">
        <f>IF(ISERROR(MATCH($A189,'F Proj'!$B$1:$B$7669,0)),IF(ISERROR(MATCH($A189,'D Proj'!$B$1:$B$513,0)),IF(ISERROR(MATCH($A189,'K Proj'!$B$1:$B$508,0)),"?","K"),"D"),"FLEX")</f>
        <v>?</v>
      </c>
      <c r="M189" s="21">
        <f>MATCH(L189,Pos,0)</f>
        <v>2</v>
      </c>
      <c r="N189" s="21" t="e">
        <f>CHOOSE($M189,MATCH($A189&amp;$B189,'F Proj'!$P$1:$P$7669,0),MATCH($A189&amp;$B189,'D Proj'!$X$1:$X$513,0),MATCH($A189&amp;$B189,'K Proj'!$T$1:$T$508,0))</f>
        <v>#N/A</v>
      </c>
      <c r="O189" t="e">
        <f>CHOOSE(M189,INDEX('F Proj'!$D$1:$D$7669,N189),INDEX('D Proj'!$T$1:$T$513,N189),INDEX('K Proj'!$L$1:$L$508,N189))</f>
        <v>#N/A</v>
      </c>
      <c r="P189" t="e">
        <f>CHOOSE(M189,INDEX('F Proj'!$J$1:$J$7669,N189),INDEX('D Proj'!$N$1:$N$513,N189),INDEX('K Proj'!$P$1:$P$508,N189))</f>
        <v>#N/A</v>
      </c>
      <c r="Q189" t="str">
        <f t="shared" si="5"/>
        <v>QB</v>
      </c>
      <c r="R189" t="str">
        <f>IF(L189="FLEX",INDEX('F Proj'!$F$1:$F$7669,N189),Q189)</f>
        <v>QB</v>
      </c>
      <c r="S189" t="str">
        <f>IF((Week+Half_Week-1)&gt;=VALUE(RIGHT(C189,LEN(C189)-SEARCH("-",C189))),LEFT(C189,SEARCH("-",C189)-1),"")</f>
        <v>perry</v>
      </c>
    </row>
    <row r="190" spans="1:19" x14ac:dyDescent="0.25">
      <c r="A190" t="s">
        <v>162</v>
      </c>
      <c r="B190">
        <v>1</v>
      </c>
      <c r="C190" t="s">
        <v>500</v>
      </c>
      <c r="D190" t="s">
        <v>475</v>
      </c>
      <c r="E190">
        <v>0.8</v>
      </c>
      <c r="G190">
        <v>0.8</v>
      </c>
      <c r="H190">
        <v>0</v>
      </c>
      <c r="I190">
        <v>0</v>
      </c>
      <c r="J190" t="s">
        <v>551</v>
      </c>
      <c r="K190" t="str">
        <f t="shared" si="4"/>
        <v>Jimmy Graham1</v>
      </c>
      <c r="L190" s="21" t="str">
        <f>IF(ISERROR(MATCH($A190,'F Proj'!$B$1:$B$7669,0)),IF(ISERROR(MATCH($A190,'D Proj'!$B$1:$B$513,0)),IF(ISERROR(MATCH($A190,'K Proj'!$B$1:$B$508,0)),"?","K"),"D"),"FLEX")</f>
        <v>FLEX</v>
      </c>
      <c r="M190" s="21">
        <f>MATCH(L190,Pos,0)</f>
        <v>1</v>
      </c>
      <c r="N190" s="21">
        <f>CHOOSE($M190,MATCH($A190&amp;$B190,'F Proj'!$P$1:$P$7669,0),MATCH($A190&amp;$B190,'D Proj'!$X$1:$X$513,0),MATCH($A190&amp;$B190,'K Proj'!$T$1:$T$508,0))</f>
        <v>1576</v>
      </c>
      <c r="O190">
        <f>CHOOSE(M190,INDEX('F Proj'!$D$1:$D$7669,N190),INDEX('D Proj'!$T$1:$T$513,N190),INDEX('K Proj'!$L$1:$L$508,N190))</f>
        <v>7.89</v>
      </c>
      <c r="P190">
        <f>CHOOSE(M190,INDEX('F Proj'!$J$1:$J$7669,N190),INDEX('D Proj'!$N$1:$N$513,N190),INDEX('K Proj'!$P$1:$P$508,N190))</f>
        <v>30.1401</v>
      </c>
      <c r="Q190" t="str">
        <f t="shared" si="5"/>
        <v>TE</v>
      </c>
      <c r="R190" t="str">
        <f>IF(L190="FLEX",INDEX('F Proj'!$F$1:$F$7669,N190),Q190)</f>
        <v>TE</v>
      </c>
      <c r="S190" t="str">
        <f>IF((Week+Half_Week-1)&gt;=VALUE(RIGHT(C190,LEN(C190)-SEARCH("-",C190))),LEFT(C190,SEARCH("-",C190)-1),"")</f>
        <v>seth</v>
      </c>
    </row>
    <row r="191" spans="1:19" x14ac:dyDescent="0.25">
      <c r="A191" t="s">
        <v>162</v>
      </c>
      <c r="B191">
        <v>2</v>
      </c>
      <c r="C191" t="s">
        <v>630</v>
      </c>
      <c r="D191" t="s">
        <v>475</v>
      </c>
      <c r="E191">
        <v>9.5</v>
      </c>
      <c r="G191">
        <v>9.5</v>
      </c>
      <c r="H191">
        <v>0</v>
      </c>
      <c r="I191">
        <v>0</v>
      </c>
      <c r="J191" t="s">
        <v>642</v>
      </c>
      <c r="K191" t="str">
        <f t="shared" si="4"/>
        <v>Jimmy Graham2</v>
      </c>
      <c r="L191" s="21" t="str">
        <f>IF(ISERROR(MATCH($A191,'F Proj'!$B$1:$B$7669,0)),IF(ISERROR(MATCH($A191,'D Proj'!$B$1:$B$513,0)),IF(ISERROR(MATCH($A191,'K Proj'!$B$1:$B$508,0)),"?","K"),"D"),"FLEX")</f>
        <v>FLEX</v>
      </c>
      <c r="M191" s="21">
        <f>MATCH(L191,Pos,0)</f>
        <v>1</v>
      </c>
      <c r="N191" s="21">
        <f>CHOOSE($M191,MATCH($A191&amp;$B191,'F Proj'!$P$1:$P$7669,0),MATCH($A191&amp;$B191,'D Proj'!$X$1:$X$513,0),MATCH($A191&amp;$B191,'K Proj'!$T$1:$T$508,0))</f>
        <v>1892</v>
      </c>
      <c r="O191">
        <f>CHOOSE(M191,INDEX('F Proj'!$D$1:$D$7669,N191),INDEX('D Proj'!$T$1:$T$513,N191),INDEX('K Proj'!$L$1:$L$508,N191))</f>
        <v>6.83</v>
      </c>
      <c r="P191">
        <f>CHOOSE(M191,INDEX('F Proj'!$J$1:$J$7669,N191),INDEX('D Proj'!$N$1:$N$513,N191),INDEX('K Proj'!$P$1:$P$508,N191))</f>
        <v>27.04</v>
      </c>
      <c r="Q191" t="str">
        <f t="shared" si="5"/>
        <v>TE</v>
      </c>
      <c r="R191" t="str">
        <f>IF(L191="FLEX",INDEX('F Proj'!$F$1:$F$7669,N191),Q191)</f>
        <v>TE</v>
      </c>
      <c r="S191" t="str">
        <f>IF((Week+Half_Week-1)&gt;=VALUE(RIGHT(C191,LEN(C191)-SEARCH("-",C191))),LEFT(C191,SEARCH("-",C191)-1),"")</f>
        <v>seth</v>
      </c>
    </row>
    <row r="192" spans="1:19" x14ac:dyDescent="0.25">
      <c r="A192" t="s">
        <v>162</v>
      </c>
      <c r="B192">
        <v>3</v>
      </c>
      <c r="C192" t="s">
        <v>808</v>
      </c>
      <c r="D192" t="s">
        <v>475</v>
      </c>
      <c r="E192">
        <v>4.5</v>
      </c>
      <c r="G192">
        <v>4.5</v>
      </c>
      <c r="H192">
        <v>0</v>
      </c>
      <c r="I192">
        <v>0</v>
      </c>
      <c r="J192" t="s">
        <v>4302</v>
      </c>
      <c r="K192" t="str">
        <f t="shared" si="4"/>
        <v>Jimmy Graham3</v>
      </c>
      <c r="L192" s="21" t="str">
        <f>IF(ISERROR(MATCH($A192,'F Proj'!$B$1:$B$7669,0)),IF(ISERROR(MATCH($A192,'D Proj'!$B$1:$B$513,0)),IF(ISERROR(MATCH($A192,'K Proj'!$B$1:$B$508,0)),"?","K"),"D"),"FLEX")</f>
        <v>FLEX</v>
      </c>
      <c r="M192" s="21">
        <f>MATCH(L192,Pos,0)</f>
        <v>1</v>
      </c>
      <c r="N192" s="21">
        <f>CHOOSE($M192,MATCH($A192&amp;$B192,'F Proj'!$P$1:$P$7669,0),MATCH($A192&amp;$B192,'D Proj'!$X$1:$X$513,0),MATCH($A192&amp;$B192,'K Proj'!$T$1:$T$508,0))</f>
        <v>1487</v>
      </c>
      <c r="O192">
        <f>CHOOSE(M192,INDEX('F Proj'!$D$1:$D$7669,N192),INDEX('D Proj'!$T$1:$T$513,N192),INDEX('K Proj'!$L$1:$L$508,N192))</f>
        <v>8.15</v>
      </c>
      <c r="P192">
        <f>CHOOSE(M192,INDEX('F Proj'!$J$1:$J$7669,N192),INDEX('D Proj'!$N$1:$N$513,N192),INDEX('K Proj'!$P$1:$P$508,N192))</f>
        <v>35.880099999999999</v>
      </c>
      <c r="Q192" t="str">
        <f t="shared" si="5"/>
        <v>TE</v>
      </c>
      <c r="R192" t="str">
        <f>IF(L192="FLEX",INDEX('F Proj'!$F$1:$F$7669,N192),Q192)</f>
        <v>TE</v>
      </c>
      <c r="S192" t="str">
        <f>IF((Week+Half_Week-1)&gt;=VALUE(RIGHT(C192,LEN(C192)-SEARCH("-",C192))),LEFT(C192,SEARCH("-",C192)-1),"")</f>
        <v>seth</v>
      </c>
    </row>
    <row r="193" spans="1:19" x14ac:dyDescent="0.25">
      <c r="A193" t="s">
        <v>162</v>
      </c>
      <c r="B193">
        <v>4</v>
      </c>
      <c r="C193" t="s">
        <v>857</v>
      </c>
      <c r="D193" t="s">
        <v>475</v>
      </c>
      <c r="E193">
        <v>8.1</v>
      </c>
      <c r="G193">
        <v>8.1</v>
      </c>
      <c r="H193">
        <v>0</v>
      </c>
      <c r="I193">
        <v>0</v>
      </c>
      <c r="J193" t="s">
        <v>4784</v>
      </c>
      <c r="K193" t="str">
        <f t="shared" si="4"/>
        <v>Jimmy Graham4</v>
      </c>
      <c r="L193" s="21" t="str">
        <f>IF(ISERROR(MATCH($A193,'F Proj'!$B$1:$B$7669,0)),IF(ISERROR(MATCH($A193,'D Proj'!$B$1:$B$513,0)),IF(ISERROR(MATCH($A193,'K Proj'!$B$1:$B$508,0)),"?","K"),"D"),"FLEX")</f>
        <v>FLEX</v>
      </c>
      <c r="M193" s="21">
        <f>MATCH(L193,Pos,0)</f>
        <v>1</v>
      </c>
      <c r="N193" s="21">
        <f>CHOOSE($M193,MATCH($A193&amp;$B193,'F Proj'!$P$1:$P$7669,0),MATCH($A193&amp;$B193,'D Proj'!$X$1:$X$513,0),MATCH($A193&amp;$B193,'K Proj'!$T$1:$T$508,0))</f>
        <v>1546</v>
      </c>
      <c r="O193">
        <f>CHOOSE(M193,INDEX('F Proj'!$D$1:$D$7669,N193),INDEX('D Proj'!$T$1:$T$513,N193),INDEX('K Proj'!$L$1:$L$508,N193))</f>
        <v>7.97</v>
      </c>
      <c r="P193">
        <f>CHOOSE(M193,INDEX('F Proj'!$J$1:$J$7669,N193),INDEX('D Proj'!$N$1:$N$513,N193),INDEX('K Proj'!$P$1:$P$508,N193))</f>
        <v>39.312899999999999</v>
      </c>
      <c r="Q193" t="str">
        <f t="shared" si="5"/>
        <v>TE</v>
      </c>
      <c r="R193" t="str">
        <f>IF(L193="FLEX",INDEX('F Proj'!$F$1:$F$7669,N193),Q193)</f>
        <v>TE</v>
      </c>
      <c r="S193" t="str">
        <f>IF((Week+Half_Week-1)&gt;=VALUE(RIGHT(C193,LEN(C193)-SEARCH("-",C193))),LEFT(C193,SEARCH("-",C193)-1),"")</f>
        <v>seth</v>
      </c>
    </row>
    <row r="194" spans="1:19" x14ac:dyDescent="0.25">
      <c r="A194" t="s">
        <v>162</v>
      </c>
      <c r="B194">
        <v>5</v>
      </c>
      <c r="C194" t="s">
        <v>882</v>
      </c>
      <c r="D194" t="s">
        <v>475</v>
      </c>
      <c r="E194" t="s">
        <v>8947</v>
      </c>
      <c r="G194">
        <v>8.65</v>
      </c>
      <c r="H194">
        <v>6.6</v>
      </c>
      <c r="I194">
        <v>43.56</v>
      </c>
      <c r="J194" t="s">
        <v>8984</v>
      </c>
      <c r="K194" t="str">
        <f t="shared" si="4"/>
        <v>Jimmy Graham5</v>
      </c>
      <c r="L194" s="21" t="str">
        <f>IF(ISERROR(MATCH($A194,'F Proj'!$B$1:$B$7669,0)),IF(ISERROR(MATCH($A194,'D Proj'!$B$1:$B$513,0)),IF(ISERROR(MATCH($A194,'K Proj'!$B$1:$B$508,0)),"?","K"),"D"),"FLEX")</f>
        <v>FLEX</v>
      </c>
      <c r="M194" s="21">
        <f>MATCH(L194,Pos,0)</f>
        <v>1</v>
      </c>
      <c r="N194" s="21">
        <f>CHOOSE($M194,MATCH($A194&amp;$B194,'F Proj'!$P$1:$P$7669,0),MATCH($A194&amp;$B194,'D Proj'!$X$1:$X$513,0),MATCH($A194&amp;$B194,'K Proj'!$T$1:$T$508,0))</f>
        <v>1347</v>
      </c>
      <c r="O194">
        <f>CHOOSE(M194,INDEX('F Proj'!$D$1:$D$7669,N194),INDEX('D Proj'!$T$1:$T$513,N194),INDEX('K Proj'!$L$1:$L$508,N194))</f>
        <v>8.65</v>
      </c>
      <c r="P194">
        <f>CHOOSE(M194,INDEX('F Proj'!$J$1:$J$7669,N194),INDEX('D Proj'!$N$1:$N$513,N194),INDEX('K Proj'!$P$1:$P$508,N194))</f>
        <v>43.56</v>
      </c>
      <c r="Q194" t="str">
        <f t="shared" si="5"/>
        <v>TE</v>
      </c>
      <c r="R194" t="str">
        <f>IF(L194="FLEX",INDEX('F Proj'!$F$1:$F$7669,N194),Q194)</f>
        <v>TE</v>
      </c>
      <c r="S194" t="str">
        <f>IF((Week+Half_Week-1)&gt;=VALUE(RIGHT(C194,LEN(C194)-SEARCH("-",C194))),LEFT(C194,SEARCH("-",C194)-1),"")</f>
        <v/>
      </c>
    </row>
    <row r="195" spans="1:19" x14ac:dyDescent="0.25">
      <c r="A195" t="s">
        <v>123</v>
      </c>
      <c r="B195">
        <v>1</v>
      </c>
      <c r="C195" t="s">
        <v>504</v>
      </c>
      <c r="D195" t="s">
        <v>466</v>
      </c>
      <c r="E195">
        <v>20.9</v>
      </c>
      <c r="G195">
        <v>20.9</v>
      </c>
      <c r="H195">
        <v>0</v>
      </c>
      <c r="I195">
        <v>0</v>
      </c>
      <c r="J195" t="s">
        <v>547</v>
      </c>
      <c r="K195" t="str">
        <f t="shared" ref="K195:K258" si="6">A195&amp;B195</f>
        <v>Joe Mixon1</v>
      </c>
      <c r="L195" s="21" t="str">
        <f>IF(ISERROR(MATCH($A195,'F Proj'!$B$1:$B$7669,0)),IF(ISERROR(MATCH($A195,'D Proj'!$B$1:$B$513,0)),IF(ISERROR(MATCH($A195,'K Proj'!$B$1:$B$508,0)),"?","K"),"D"),"FLEX")</f>
        <v>FLEX</v>
      </c>
      <c r="M195" s="21">
        <f>MATCH(L195,Pos,0)</f>
        <v>1</v>
      </c>
      <c r="N195" s="21">
        <f>CHOOSE($M195,MATCH($A195&amp;$B195,'F Proj'!$P$1:$P$7669,0),MATCH($A195&amp;$B195,'D Proj'!$X$1:$X$513,0),MATCH($A195&amp;$B195,'K Proj'!$T$1:$T$508,0))</f>
        <v>698</v>
      </c>
      <c r="O195">
        <f>CHOOSE(M195,INDEX('F Proj'!$D$1:$D$7669,N195),INDEX('D Proj'!$T$1:$T$513,N195),INDEX('K Proj'!$L$1:$L$508,N195))</f>
        <v>12.94</v>
      </c>
      <c r="P195">
        <f>CHOOSE(M195,INDEX('F Proj'!$J$1:$J$7669,N195),INDEX('D Proj'!$N$1:$N$513,N195),INDEX('K Proj'!$P$1:$P$508,N195))</f>
        <v>29.593599999999999</v>
      </c>
      <c r="Q195" t="str">
        <f t="shared" ref="Q195:Q258" si="7">IFERROR(LEFT(D195,SEARCH("-",D195)-1),D195)</f>
        <v>WR/RB</v>
      </c>
      <c r="R195" t="str">
        <f>IF(L195="FLEX",INDEX('F Proj'!$F$1:$F$7669,N195),Q195)</f>
        <v>RB</v>
      </c>
      <c r="S195" t="str">
        <f>IF((Week+Half_Week-1)&gt;=VALUE(RIGHT(C195,LEN(C195)-SEARCH("-",C195))),LEFT(C195,SEARCH("-",C195)-1),"")</f>
        <v>scott</v>
      </c>
    </row>
    <row r="196" spans="1:19" x14ac:dyDescent="0.25">
      <c r="A196" t="s">
        <v>123</v>
      </c>
      <c r="B196">
        <v>2</v>
      </c>
      <c r="C196" t="s">
        <v>628</v>
      </c>
      <c r="D196" t="s">
        <v>466</v>
      </c>
      <c r="E196">
        <v>8.6999999999999993</v>
      </c>
      <c r="G196">
        <v>8.6999999999999993</v>
      </c>
      <c r="H196">
        <v>0</v>
      </c>
      <c r="I196">
        <v>0</v>
      </c>
      <c r="J196" t="s">
        <v>663</v>
      </c>
      <c r="K196" t="str">
        <f t="shared" si="6"/>
        <v>Joe Mixon2</v>
      </c>
      <c r="L196" s="21" t="str">
        <f>IF(ISERROR(MATCH($A196,'F Proj'!$B$1:$B$7669,0)),IF(ISERROR(MATCH($A196,'D Proj'!$B$1:$B$513,0)),IF(ISERROR(MATCH($A196,'K Proj'!$B$1:$B$508,0)),"?","K"),"D"),"FLEX")</f>
        <v>FLEX</v>
      </c>
      <c r="M196" s="21">
        <f>MATCH(L196,Pos,0)</f>
        <v>1</v>
      </c>
      <c r="N196" s="21">
        <f>CHOOSE($M196,MATCH($A196&amp;$B196,'F Proj'!$P$1:$P$7669,0),MATCH($A196&amp;$B196,'D Proj'!$X$1:$X$513,0),MATCH($A196&amp;$B196,'K Proj'!$T$1:$T$508,0))</f>
        <v>1039</v>
      </c>
      <c r="O196">
        <f>CHOOSE(M196,INDEX('F Proj'!$D$1:$D$7669,N196),INDEX('D Proj'!$T$1:$T$513,N196),INDEX('K Proj'!$L$1:$L$508,N196))</f>
        <v>10.18</v>
      </c>
      <c r="P196">
        <f>CHOOSE(M196,INDEX('F Proj'!$J$1:$J$7669,N196),INDEX('D Proj'!$N$1:$N$513,N196),INDEX('K Proj'!$P$1:$P$508,N196))</f>
        <v>30.1401</v>
      </c>
      <c r="Q196" t="str">
        <f t="shared" si="7"/>
        <v>WR/RB</v>
      </c>
      <c r="R196" t="str">
        <f>IF(L196="FLEX",INDEX('F Proj'!$F$1:$F$7669,N196),Q196)</f>
        <v>RB</v>
      </c>
      <c r="S196" t="str">
        <f>IF((Week+Half_Week-1)&gt;=VALUE(RIGHT(C196,LEN(C196)-SEARCH("-",C196))),LEFT(C196,SEARCH("-",C196)-1),"")</f>
        <v>scott</v>
      </c>
    </row>
    <row r="197" spans="1:19" x14ac:dyDescent="0.25">
      <c r="A197" t="s">
        <v>123</v>
      </c>
      <c r="B197">
        <v>5</v>
      </c>
      <c r="C197" t="s">
        <v>888</v>
      </c>
      <c r="D197" t="s">
        <v>469</v>
      </c>
      <c r="E197" t="s">
        <v>8947</v>
      </c>
      <c r="G197">
        <v>11.78</v>
      </c>
      <c r="H197">
        <v>15.47</v>
      </c>
      <c r="I197">
        <v>239.32089999999999</v>
      </c>
      <c r="J197" t="s">
        <v>8995</v>
      </c>
      <c r="K197" t="str">
        <f t="shared" si="6"/>
        <v>Joe Mixon5</v>
      </c>
      <c r="L197" s="21" t="str">
        <f>IF(ISERROR(MATCH($A197,'F Proj'!$B$1:$B$7669,0)),IF(ISERROR(MATCH($A197,'D Proj'!$B$1:$B$513,0)),IF(ISERROR(MATCH($A197,'K Proj'!$B$1:$B$508,0)),"?","K"),"D"),"FLEX")</f>
        <v>FLEX</v>
      </c>
      <c r="M197" s="21">
        <f>MATCH(L197,Pos,0)</f>
        <v>1</v>
      </c>
      <c r="N197" s="21">
        <f>CHOOSE($M197,MATCH($A197&amp;$B197,'F Proj'!$P$1:$P$7669,0),MATCH($A197&amp;$B197,'D Proj'!$X$1:$X$513,0),MATCH($A197&amp;$B197,'K Proj'!$T$1:$T$508,0))</f>
        <v>838</v>
      </c>
      <c r="O197">
        <f>CHOOSE(M197,INDEX('F Proj'!$D$1:$D$7669,N197),INDEX('D Proj'!$T$1:$T$513,N197),INDEX('K Proj'!$L$1:$L$508,N197))</f>
        <v>11.78</v>
      </c>
      <c r="P197">
        <f>CHOOSE(M197,INDEX('F Proj'!$J$1:$J$7669,N197),INDEX('D Proj'!$N$1:$N$513,N197),INDEX('K Proj'!$P$1:$P$508,N197))</f>
        <v>239.32089999999999</v>
      </c>
      <c r="Q197" t="str">
        <f t="shared" si="7"/>
        <v>RB</v>
      </c>
      <c r="R197" t="str">
        <f>IF(L197="FLEX",INDEX('F Proj'!$F$1:$F$7669,N197),Q197)</f>
        <v>RB</v>
      </c>
      <c r="S197" t="str">
        <f>IF((Week+Half_Week-1)&gt;=VALUE(RIGHT(C197,LEN(C197)-SEARCH("-",C197))),LEFT(C197,SEARCH("-",C197)-1),"")</f>
        <v/>
      </c>
    </row>
    <row r="198" spans="1:19" x14ac:dyDescent="0.25">
      <c r="A198" t="s">
        <v>185</v>
      </c>
      <c r="B198">
        <v>4</v>
      </c>
      <c r="C198" t="s">
        <v>861</v>
      </c>
      <c r="D198" t="s">
        <v>473</v>
      </c>
      <c r="E198">
        <v>17.899999999999999</v>
      </c>
      <c r="G198">
        <v>17.899999999999999</v>
      </c>
      <c r="H198">
        <v>0</v>
      </c>
      <c r="I198">
        <v>0</v>
      </c>
      <c r="J198" t="s">
        <v>4792</v>
      </c>
      <c r="K198" t="str">
        <f t="shared" si="6"/>
        <v>John Brown4</v>
      </c>
      <c r="L198" s="21" t="str">
        <f>IF(ISERROR(MATCH($A198,'F Proj'!$B$1:$B$7669,0)),IF(ISERROR(MATCH($A198,'D Proj'!$B$1:$B$513,0)),IF(ISERROR(MATCH($A198,'K Proj'!$B$1:$B$508,0)),"?","K"),"D"),"FLEX")</f>
        <v>FLEX</v>
      </c>
      <c r="M198" s="21">
        <f>MATCH(L198,Pos,0)</f>
        <v>1</v>
      </c>
      <c r="N198" s="21">
        <f>CHOOSE($M198,MATCH($A198&amp;$B198,'F Proj'!$P$1:$P$7669,0),MATCH($A198&amp;$B198,'D Proj'!$X$1:$X$513,0),MATCH($A198&amp;$B198,'K Proj'!$T$1:$T$508,0))</f>
        <v>1884</v>
      </c>
      <c r="O198">
        <f>CHOOSE(M198,INDEX('F Proj'!$D$1:$D$7669,N198),INDEX('D Proj'!$T$1:$T$513,N198),INDEX('K Proj'!$L$1:$L$508,N198))</f>
        <v>6.85</v>
      </c>
      <c r="P198">
        <f>CHOOSE(M198,INDEX('F Proj'!$J$1:$J$7669,N198),INDEX('D Proj'!$N$1:$N$513,N198),INDEX('K Proj'!$P$1:$P$508,N198))</f>
        <v>28.302399999999999</v>
      </c>
      <c r="Q198" t="str">
        <f t="shared" si="7"/>
        <v>WR</v>
      </c>
      <c r="R198" t="str">
        <f>IF(L198="FLEX",INDEX('F Proj'!$F$1:$F$7669,N198),Q198)</f>
        <v>WR</v>
      </c>
      <c r="S198" t="str">
        <f>IF((Week+Half_Week-1)&gt;=VALUE(RIGHT(C198,LEN(C198)-SEARCH("-",C198))),LEFT(C198,SEARCH("-",C198)-1),"")</f>
        <v>scott</v>
      </c>
    </row>
    <row r="199" spans="1:19" x14ac:dyDescent="0.25">
      <c r="A199" t="s">
        <v>185</v>
      </c>
      <c r="B199">
        <v>5</v>
      </c>
      <c r="C199" t="s">
        <v>890</v>
      </c>
      <c r="D199" t="s">
        <v>473</v>
      </c>
      <c r="E199" t="s">
        <v>8947</v>
      </c>
      <c r="G199">
        <v>8.4499999999999993</v>
      </c>
      <c r="H199">
        <v>6.79</v>
      </c>
      <c r="I199">
        <v>46.104100000000003</v>
      </c>
      <c r="J199" t="s">
        <v>8985</v>
      </c>
      <c r="K199" t="str">
        <f t="shared" si="6"/>
        <v>John Brown5</v>
      </c>
      <c r="L199" s="21" t="str">
        <f>IF(ISERROR(MATCH($A199,'F Proj'!$B$1:$B$7669,0)),IF(ISERROR(MATCH($A199,'D Proj'!$B$1:$B$513,0)),IF(ISERROR(MATCH($A199,'K Proj'!$B$1:$B$508,0)),"?","K"),"D"),"FLEX")</f>
        <v>FLEX</v>
      </c>
      <c r="M199" s="21">
        <f>MATCH(L199,Pos,0)</f>
        <v>1</v>
      </c>
      <c r="N199" s="21">
        <f>CHOOSE($M199,MATCH($A199&amp;$B199,'F Proj'!$P$1:$P$7669,0),MATCH($A199&amp;$B199,'D Proj'!$X$1:$X$513,0),MATCH($A199&amp;$B199,'K Proj'!$T$1:$T$508,0))</f>
        <v>1407</v>
      </c>
      <c r="O199">
        <f>CHOOSE(M199,INDEX('F Proj'!$D$1:$D$7669,N199),INDEX('D Proj'!$T$1:$T$513,N199),INDEX('K Proj'!$L$1:$L$508,N199))</f>
        <v>8.4499999999999993</v>
      </c>
      <c r="P199">
        <f>CHOOSE(M199,INDEX('F Proj'!$J$1:$J$7669,N199),INDEX('D Proj'!$N$1:$N$513,N199),INDEX('K Proj'!$P$1:$P$508,N199))</f>
        <v>46.104100000000003</v>
      </c>
      <c r="Q199" t="str">
        <f t="shared" si="7"/>
        <v>WR</v>
      </c>
      <c r="R199" t="str">
        <f>IF(L199="FLEX",INDEX('F Proj'!$F$1:$F$7669,N199),Q199)</f>
        <v>WR</v>
      </c>
      <c r="S199" t="str">
        <f>IF((Week+Half_Week-1)&gt;=VALUE(RIGHT(C199,LEN(C199)-SEARCH("-",C199))),LEFT(C199,SEARCH("-",C199)-1),"")</f>
        <v/>
      </c>
    </row>
    <row r="200" spans="1:19" x14ac:dyDescent="0.25">
      <c r="A200" t="s">
        <v>97</v>
      </c>
      <c r="B200">
        <v>1</v>
      </c>
      <c r="C200" t="s">
        <v>501</v>
      </c>
      <c r="D200" t="s">
        <v>469</v>
      </c>
      <c r="E200">
        <v>10.7</v>
      </c>
      <c r="G200">
        <v>10.7</v>
      </c>
      <c r="H200">
        <v>0</v>
      </c>
      <c r="I200">
        <v>0</v>
      </c>
      <c r="J200" t="s">
        <v>539</v>
      </c>
      <c r="K200" t="str">
        <f t="shared" si="6"/>
        <v>Jordan Howard1</v>
      </c>
      <c r="L200" s="21" t="str">
        <f>IF(ISERROR(MATCH($A200,'F Proj'!$B$1:$B$7669,0)),IF(ISERROR(MATCH($A200,'D Proj'!$B$1:$B$513,0)),IF(ISERROR(MATCH($A200,'K Proj'!$B$1:$B$508,0)),"?","K"),"D"),"FLEX")</f>
        <v>FLEX</v>
      </c>
      <c r="M200" s="21">
        <f>MATCH(L200,Pos,0)</f>
        <v>1</v>
      </c>
      <c r="N200" s="21">
        <f>CHOOSE($M200,MATCH($A200&amp;$B200,'F Proj'!$P$1:$P$7669,0),MATCH($A200&amp;$B200,'D Proj'!$X$1:$X$513,0),MATCH($A200&amp;$B200,'K Proj'!$T$1:$T$508,0))</f>
        <v>758</v>
      </c>
      <c r="O200">
        <f>CHOOSE(M200,INDEX('F Proj'!$D$1:$D$7669,N200),INDEX('D Proj'!$T$1:$T$513,N200),INDEX('K Proj'!$L$1:$L$508,N200))</f>
        <v>12.47</v>
      </c>
      <c r="P200">
        <f>CHOOSE(M200,INDEX('F Proj'!$J$1:$J$7669,N200),INDEX('D Proj'!$N$1:$N$513,N200),INDEX('K Proj'!$P$1:$P$508,N200))</f>
        <v>67.568399999999997</v>
      </c>
      <c r="Q200" t="str">
        <f t="shared" si="7"/>
        <v>RB</v>
      </c>
      <c r="R200" t="str">
        <f>IF(L200="FLEX",INDEX('F Proj'!$F$1:$F$7669,N200),Q200)</f>
        <v>RB</v>
      </c>
      <c r="S200" t="str">
        <f>IF((Week+Half_Week-1)&gt;=VALUE(RIGHT(C200,LEN(C200)-SEARCH("-",C200))),LEFT(C200,SEARCH("-",C200)-1),"")</f>
        <v>chad</v>
      </c>
    </row>
    <row r="201" spans="1:19" x14ac:dyDescent="0.25">
      <c r="A201" t="s">
        <v>97</v>
      </c>
      <c r="B201">
        <v>2</v>
      </c>
      <c r="C201" t="s">
        <v>638</v>
      </c>
      <c r="D201" t="s">
        <v>469</v>
      </c>
      <c r="E201">
        <v>6.8</v>
      </c>
      <c r="G201">
        <v>6.8</v>
      </c>
      <c r="H201">
        <v>0</v>
      </c>
      <c r="I201">
        <v>0</v>
      </c>
      <c r="J201" t="s">
        <v>639</v>
      </c>
      <c r="K201" t="str">
        <f t="shared" si="6"/>
        <v>Jordan Howard2</v>
      </c>
      <c r="L201" s="21" t="str">
        <f>IF(ISERROR(MATCH($A201,'F Proj'!$B$1:$B$7669,0)),IF(ISERROR(MATCH($A201,'D Proj'!$B$1:$B$513,0)),IF(ISERROR(MATCH($A201,'K Proj'!$B$1:$B$508,0)),"?","K"),"D"),"FLEX")</f>
        <v>FLEX</v>
      </c>
      <c r="M201" s="21">
        <f>MATCH(L201,Pos,0)</f>
        <v>1</v>
      </c>
      <c r="N201" s="21">
        <f>CHOOSE($M201,MATCH($A201&amp;$B201,'F Proj'!$P$1:$P$7669,0),MATCH($A201&amp;$B201,'D Proj'!$X$1:$X$513,0),MATCH($A201&amp;$B201,'K Proj'!$T$1:$T$508,0))</f>
        <v>830</v>
      </c>
      <c r="O201">
        <f>CHOOSE(M201,INDEX('F Proj'!$D$1:$D$7669,N201),INDEX('D Proj'!$T$1:$T$513,N201),INDEX('K Proj'!$L$1:$L$508,N201))</f>
        <v>11.86</v>
      </c>
      <c r="P201">
        <f>CHOOSE(M201,INDEX('F Proj'!$J$1:$J$7669,N201),INDEX('D Proj'!$N$1:$N$513,N201),INDEX('K Proj'!$P$1:$P$508,N201))</f>
        <v>43.692100000000003</v>
      </c>
      <c r="Q201" t="str">
        <f t="shared" si="7"/>
        <v>RB</v>
      </c>
      <c r="R201" t="str">
        <f>IF(L201="FLEX",INDEX('F Proj'!$F$1:$F$7669,N201),Q201)</f>
        <v>RB</v>
      </c>
      <c r="S201" t="str">
        <f>IF((Week+Half_Week-1)&gt;=VALUE(RIGHT(C201,LEN(C201)-SEARCH("-",C201))),LEFT(C201,SEARCH("-",C201)-1),"")</f>
        <v>chad</v>
      </c>
    </row>
    <row r="202" spans="1:19" x14ac:dyDescent="0.25">
      <c r="A202" t="s">
        <v>97</v>
      </c>
      <c r="B202">
        <v>3</v>
      </c>
      <c r="C202" t="s">
        <v>810</v>
      </c>
      <c r="D202" t="s">
        <v>469</v>
      </c>
      <c r="E202">
        <v>14.1</v>
      </c>
      <c r="G202">
        <v>14.1</v>
      </c>
      <c r="H202">
        <v>0</v>
      </c>
      <c r="I202">
        <v>0</v>
      </c>
      <c r="J202" t="s">
        <v>4303</v>
      </c>
      <c r="K202" t="str">
        <f t="shared" si="6"/>
        <v>Jordan Howard3</v>
      </c>
      <c r="L202" s="21" t="str">
        <f>IF(ISERROR(MATCH($A202,'F Proj'!$B$1:$B$7669,0)),IF(ISERROR(MATCH($A202,'D Proj'!$B$1:$B$513,0)),IF(ISERROR(MATCH($A202,'K Proj'!$B$1:$B$508,0)),"?","K"),"D"),"FLEX")</f>
        <v>FLEX</v>
      </c>
      <c r="M202" s="21">
        <f>MATCH(L202,Pos,0)</f>
        <v>1</v>
      </c>
      <c r="N202" s="21">
        <f>CHOOSE($M202,MATCH($A202&amp;$B202,'F Proj'!$P$1:$P$7669,0),MATCH($A202&amp;$B202,'D Proj'!$X$1:$X$513,0),MATCH($A202&amp;$B202,'K Proj'!$T$1:$T$508,0))</f>
        <v>814</v>
      </c>
      <c r="O202">
        <f>CHOOSE(M202,INDEX('F Proj'!$D$1:$D$7669,N202),INDEX('D Proj'!$T$1:$T$513,N202),INDEX('K Proj'!$L$1:$L$508,N202))</f>
        <v>12.03</v>
      </c>
      <c r="P202">
        <f>CHOOSE(M202,INDEX('F Proj'!$J$1:$J$7669,N202),INDEX('D Proj'!$N$1:$N$513,N202),INDEX('K Proj'!$P$1:$P$508,N202))</f>
        <v>41.088099999999997</v>
      </c>
      <c r="Q202" t="str">
        <f t="shared" si="7"/>
        <v>RB</v>
      </c>
      <c r="R202" t="str">
        <f>IF(L202="FLEX",INDEX('F Proj'!$F$1:$F$7669,N202),Q202)</f>
        <v>RB</v>
      </c>
      <c r="S202" t="str">
        <f>IF((Week+Half_Week-1)&gt;=VALUE(RIGHT(C202,LEN(C202)-SEARCH("-",C202))),LEFT(C202,SEARCH("-",C202)-1),"")</f>
        <v>chad</v>
      </c>
    </row>
    <row r="203" spans="1:19" x14ac:dyDescent="0.25">
      <c r="A203" t="s">
        <v>97</v>
      </c>
      <c r="B203">
        <v>4</v>
      </c>
      <c r="C203" t="s">
        <v>865</v>
      </c>
      <c r="D203" t="s">
        <v>469</v>
      </c>
      <c r="E203">
        <v>2.5</v>
      </c>
      <c r="G203">
        <v>2.5</v>
      </c>
      <c r="H203">
        <v>0</v>
      </c>
      <c r="I203">
        <v>0</v>
      </c>
      <c r="J203" t="s">
        <v>4785</v>
      </c>
      <c r="K203" t="str">
        <f t="shared" si="6"/>
        <v>Jordan Howard4</v>
      </c>
      <c r="L203" s="21" t="str">
        <f>IF(ISERROR(MATCH($A203,'F Proj'!$B$1:$B$7669,0)),IF(ISERROR(MATCH($A203,'D Proj'!$B$1:$B$513,0)),IF(ISERROR(MATCH($A203,'K Proj'!$B$1:$B$508,0)),"?","K"),"D"),"FLEX")</f>
        <v>FLEX</v>
      </c>
      <c r="M203" s="21">
        <f>MATCH(L203,Pos,0)</f>
        <v>1</v>
      </c>
      <c r="N203" s="21">
        <f>CHOOSE($M203,MATCH($A203&amp;$B203,'F Proj'!$P$1:$P$7669,0),MATCH($A203&amp;$B203,'D Proj'!$X$1:$X$513,0),MATCH($A203&amp;$B203,'K Proj'!$T$1:$T$508,0))</f>
        <v>603</v>
      </c>
      <c r="O203">
        <f>CHOOSE(M203,INDEX('F Proj'!$D$1:$D$7669,N203),INDEX('D Proj'!$T$1:$T$513,N203),INDEX('K Proj'!$L$1:$L$508,N203))</f>
        <v>13.71</v>
      </c>
      <c r="P203">
        <f>CHOOSE(M203,INDEX('F Proj'!$J$1:$J$7669,N203),INDEX('D Proj'!$N$1:$N$513,N203),INDEX('K Proj'!$P$1:$P$508,N203))</f>
        <v>71.064899999999994</v>
      </c>
      <c r="Q203" t="str">
        <f t="shared" si="7"/>
        <v>RB</v>
      </c>
      <c r="R203" t="str">
        <f>IF(L203="FLEX",INDEX('F Proj'!$F$1:$F$7669,N203),Q203)</f>
        <v>RB</v>
      </c>
      <c r="S203" t="str">
        <f>IF((Week+Half_Week-1)&gt;=VALUE(RIGHT(C203,LEN(C203)-SEARCH("-",C203))),LEFT(C203,SEARCH("-",C203)-1),"")</f>
        <v>chad</v>
      </c>
    </row>
    <row r="204" spans="1:19" x14ac:dyDescent="0.25">
      <c r="A204" t="s">
        <v>118</v>
      </c>
      <c r="B204">
        <v>1</v>
      </c>
      <c r="C204" t="s">
        <v>505</v>
      </c>
      <c r="D204" t="s">
        <v>475</v>
      </c>
      <c r="E204">
        <v>10.8</v>
      </c>
      <c r="G204">
        <v>10.8</v>
      </c>
      <c r="H204">
        <v>0</v>
      </c>
      <c r="I204">
        <v>0</v>
      </c>
      <c r="J204" t="s">
        <v>527</v>
      </c>
      <c r="K204" t="str">
        <f t="shared" si="6"/>
        <v>Jordan Reed1</v>
      </c>
      <c r="L204" s="21" t="str">
        <f>IF(ISERROR(MATCH($A204,'F Proj'!$B$1:$B$7669,0)),IF(ISERROR(MATCH($A204,'D Proj'!$B$1:$B$513,0)),IF(ISERROR(MATCH($A204,'K Proj'!$B$1:$B$508,0)),"?","K"),"D"),"FLEX")</f>
        <v>FLEX</v>
      </c>
      <c r="M204" s="21">
        <f>MATCH(L204,Pos,0)</f>
        <v>1</v>
      </c>
      <c r="N204" s="21">
        <f>CHOOSE($M204,MATCH($A204&amp;$B204,'F Proj'!$P$1:$P$7669,0),MATCH($A204&amp;$B204,'D Proj'!$X$1:$X$513,0),MATCH($A204&amp;$B204,'K Proj'!$T$1:$T$508,0))</f>
        <v>2422</v>
      </c>
      <c r="O204">
        <f>CHOOSE(M204,INDEX('F Proj'!$D$1:$D$7669,N204),INDEX('D Proj'!$T$1:$T$513,N204),INDEX('K Proj'!$L$1:$L$508,N204))</f>
        <v>5.41</v>
      </c>
      <c r="P204">
        <f>CHOOSE(M204,INDEX('F Proj'!$J$1:$J$7669,N204),INDEX('D Proj'!$N$1:$N$513,N204),INDEX('K Proj'!$P$1:$P$508,N204))</f>
        <v>21.3444</v>
      </c>
      <c r="Q204" t="str">
        <f t="shared" si="7"/>
        <v>TE</v>
      </c>
      <c r="R204" t="str">
        <f>IF(L204="FLEX",INDEX('F Proj'!$F$1:$F$7669,N204),Q204)</f>
        <v>TE</v>
      </c>
      <c r="S204" t="str">
        <f>IF((Week+Half_Week-1)&gt;=VALUE(RIGHT(C204,LEN(C204)-SEARCH("-",C204))),LEFT(C204,SEARCH("-",C204)-1),"")</f>
        <v>matty</v>
      </c>
    </row>
    <row r="205" spans="1:19" x14ac:dyDescent="0.25">
      <c r="A205" t="s">
        <v>118</v>
      </c>
      <c r="B205">
        <v>2</v>
      </c>
      <c r="C205" t="s">
        <v>636</v>
      </c>
      <c r="D205" t="s">
        <v>475</v>
      </c>
      <c r="E205">
        <v>3.5</v>
      </c>
      <c r="G205">
        <v>3.5</v>
      </c>
      <c r="H205">
        <v>0</v>
      </c>
      <c r="I205">
        <v>0</v>
      </c>
      <c r="J205" t="s">
        <v>675</v>
      </c>
      <c r="K205" t="str">
        <f t="shared" si="6"/>
        <v>Jordan Reed2</v>
      </c>
      <c r="L205" s="21" t="str">
        <f>IF(ISERROR(MATCH($A205,'F Proj'!$B$1:$B$7669,0)),IF(ISERROR(MATCH($A205,'D Proj'!$B$1:$B$513,0)),IF(ISERROR(MATCH($A205,'K Proj'!$B$1:$B$508,0)),"?","K"),"D"),"FLEX")</f>
        <v>FLEX</v>
      </c>
      <c r="M205" s="21">
        <f>MATCH(L205,Pos,0)</f>
        <v>1</v>
      </c>
      <c r="N205" s="21">
        <f>CHOOSE($M205,MATCH($A205&amp;$B205,'F Proj'!$P$1:$P$7669,0),MATCH($A205&amp;$B205,'D Proj'!$X$1:$X$513,0),MATCH($A205&amp;$B205,'K Proj'!$T$1:$T$508,0))</f>
        <v>1801</v>
      </c>
      <c r="O205">
        <f>CHOOSE(M205,INDEX('F Proj'!$D$1:$D$7669,N205),INDEX('D Proj'!$T$1:$T$513,N205),INDEX('K Proj'!$L$1:$L$508,N205))</f>
        <v>7.1</v>
      </c>
      <c r="P205">
        <f>CHOOSE(M205,INDEX('F Proj'!$J$1:$J$7669,N205),INDEX('D Proj'!$N$1:$N$513,N205),INDEX('K Proj'!$P$1:$P$508,N205))</f>
        <v>35.640900000000002</v>
      </c>
      <c r="Q205" t="str">
        <f t="shared" si="7"/>
        <v>TE</v>
      </c>
      <c r="R205" t="str">
        <f>IF(L205="FLEX",INDEX('F Proj'!$F$1:$F$7669,N205),Q205)</f>
        <v>TE</v>
      </c>
      <c r="S205" t="str">
        <f>IF((Week+Half_Week-1)&gt;=VALUE(RIGHT(C205,LEN(C205)-SEARCH("-",C205))),LEFT(C205,SEARCH("-",C205)-1),"")</f>
        <v>matty</v>
      </c>
    </row>
    <row r="206" spans="1:19" x14ac:dyDescent="0.25">
      <c r="A206" t="s">
        <v>118</v>
      </c>
      <c r="B206">
        <v>3</v>
      </c>
      <c r="C206" t="s">
        <v>812</v>
      </c>
      <c r="D206" t="s">
        <v>475</v>
      </c>
      <c r="E206">
        <v>6.5</v>
      </c>
      <c r="G206">
        <v>6.5</v>
      </c>
      <c r="H206">
        <v>0</v>
      </c>
      <c r="I206">
        <v>0</v>
      </c>
      <c r="J206" t="s">
        <v>4304</v>
      </c>
      <c r="K206" t="str">
        <f t="shared" si="6"/>
        <v>Jordan Reed3</v>
      </c>
      <c r="L206" s="21" t="str">
        <f>IF(ISERROR(MATCH($A206,'F Proj'!$B$1:$B$7669,0)),IF(ISERROR(MATCH($A206,'D Proj'!$B$1:$B$513,0)),IF(ISERROR(MATCH($A206,'K Proj'!$B$1:$B$508,0)),"?","K"),"D"),"FLEX")</f>
        <v>FLEX</v>
      </c>
      <c r="M206" s="21">
        <f>MATCH(L206,Pos,0)</f>
        <v>1</v>
      </c>
      <c r="N206" s="21">
        <f>CHOOSE($M206,MATCH($A206&amp;$B206,'F Proj'!$P$1:$P$7669,0),MATCH($A206&amp;$B206,'D Proj'!$X$1:$X$513,0),MATCH($A206&amp;$B206,'K Proj'!$T$1:$T$508,0))</f>
        <v>2044</v>
      </c>
      <c r="O206">
        <f>CHOOSE(M206,INDEX('F Proj'!$D$1:$D$7669,N206),INDEX('D Proj'!$T$1:$T$513,N206),INDEX('K Proj'!$L$1:$L$508,N206))</f>
        <v>6.39</v>
      </c>
      <c r="P206">
        <f>CHOOSE(M206,INDEX('F Proj'!$J$1:$J$7669,N206),INDEX('D Proj'!$N$1:$N$513,N206),INDEX('K Proj'!$P$1:$P$508,N206))</f>
        <v>21.3444</v>
      </c>
      <c r="Q206" t="str">
        <f t="shared" si="7"/>
        <v>TE</v>
      </c>
      <c r="R206" t="str">
        <f>IF(L206="FLEX",INDEX('F Proj'!$F$1:$F$7669,N206),Q206)</f>
        <v>TE</v>
      </c>
      <c r="S206" t="str">
        <f>IF((Week+Half_Week-1)&gt;=VALUE(RIGHT(C206,LEN(C206)-SEARCH("-",C206))),LEFT(C206,SEARCH("-",C206)-1),"")</f>
        <v>matty</v>
      </c>
    </row>
    <row r="207" spans="1:19" x14ac:dyDescent="0.25">
      <c r="A207" t="s">
        <v>118</v>
      </c>
      <c r="B207">
        <v>5</v>
      </c>
      <c r="C207" t="s">
        <v>891</v>
      </c>
      <c r="D207" t="s">
        <v>475</v>
      </c>
      <c r="E207" t="s">
        <v>8947</v>
      </c>
      <c r="G207">
        <v>7.57</v>
      </c>
      <c r="H207">
        <v>5.73</v>
      </c>
      <c r="I207">
        <v>32.832900000000002</v>
      </c>
      <c r="J207" t="s">
        <v>9025</v>
      </c>
      <c r="K207" t="str">
        <f t="shared" si="6"/>
        <v>Jordan Reed5</v>
      </c>
      <c r="L207" s="21" t="str">
        <f>IF(ISERROR(MATCH($A207,'F Proj'!$B$1:$B$7669,0)),IF(ISERROR(MATCH($A207,'D Proj'!$B$1:$B$513,0)),IF(ISERROR(MATCH($A207,'K Proj'!$B$1:$B$508,0)),"?","K"),"D"),"FLEX")</f>
        <v>FLEX</v>
      </c>
      <c r="M207" s="21">
        <f>MATCH(L207,Pos,0)</f>
        <v>1</v>
      </c>
      <c r="N207" s="21">
        <f>CHOOSE($M207,MATCH($A207&amp;$B207,'F Proj'!$P$1:$P$7669,0),MATCH($A207&amp;$B207,'D Proj'!$X$1:$X$513,0),MATCH($A207&amp;$B207,'K Proj'!$T$1:$T$508,0))</f>
        <v>1652</v>
      </c>
      <c r="O207">
        <f>CHOOSE(M207,INDEX('F Proj'!$D$1:$D$7669,N207),INDEX('D Proj'!$T$1:$T$513,N207),INDEX('K Proj'!$L$1:$L$508,N207))</f>
        <v>7.57</v>
      </c>
      <c r="P207">
        <f>CHOOSE(M207,INDEX('F Proj'!$J$1:$J$7669,N207),INDEX('D Proj'!$N$1:$N$513,N207),INDEX('K Proj'!$P$1:$P$508,N207))</f>
        <v>32.832900000000002</v>
      </c>
      <c r="Q207" t="str">
        <f t="shared" si="7"/>
        <v>TE</v>
      </c>
      <c r="R207" t="str">
        <f>IF(L207="FLEX",INDEX('F Proj'!$F$1:$F$7669,N207),Q207)</f>
        <v>TE</v>
      </c>
      <c r="S207" t="str">
        <f>IF((Week+Half_Week-1)&gt;=VALUE(RIGHT(C207,LEN(C207)-SEARCH("-",C207))),LEFT(C207,SEARCH("-",C207)-1),"")</f>
        <v/>
      </c>
    </row>
    <row r="208" spans="1:19" x14ac:dyDescent="0.25">
      <c r="A208" t="s">
        <v>1388</v>
      </c>
      <c r="B208">
        <v>1</v>
      </c>
      <c r="C208" t="s">
        <v>508</v>
      </c>
      <c r="D208" t="s">
        <v>469</v>
      </c>
      <c r="E208">
        <v>6.1</v>
      </c>
      <c r="G208">
        <v>6.1</v>
      </c>
      <c r="H208">
        <v>0</v>
      </c>
      <c r="I208">
        <v>0</v>
      </c>
      <c r="J208" t="s">
        <v>564</v>
      </c>
      <c r="K208" t="str">
        <f t="shared" si="6"/>
        <v>Jordan Wilkins1</v>
      </c>
      <c r="L208" s="21" t="str">
        <f>IF(ISERROR(MATCH($A208,'F Proj'!$B$1:$B$7669,0)),IF(ISERROR(MATCH($A208,'D Proj'!$B$1:$B$513,0)),IF(ISERROR(MATCH($A208,'K Proj'!$B$1:$B$508,0)),"?","K"),"D"),"FLEX")</f>
        <v>FLEX</v>
      </c>
      <c r="M208" s="21">
        <f>MATCH(L208,Pos,0)</f>
        <v>1</v>
      </c>
      <c r="N208" s="21">
        <f>CHOOSE($M208,MATCH($A208&amp;$B208,'F Proj'!$P$1:$P$7669,0),MATCH($A208&amp;$B208,'D Proj'!$X$1:$X$513,0),MATCH($A208&amp;$B208,'K Proj'!$T$1:$T$508,0))</f>
        <v>1501</v>
      </c>
      <c r="O208">
        <f>CHOOSE(M208,INDEX('F Proj'!$D$1:$D$7669,N208),INDEX('D Proj'!$T$1:$T$513,N208),INDEX('K Proj'!$L$1:$L$508,N208))</f>
        <v>8.11</v>
      </c>
      <c r="P208">
        <f>CHOOSE(M208,INDEX('F Proj'!$J$1:$J$7669,N208),INDEX('D Proj'!$N$1:$N$513,N208),INDEX('K Proj'!$P$1:$P$508,N208))</f>
        <v>36.4816</v>
      </c>
      <c r="Q208" t="str">
        <f t="shared" si="7"/>
        <v>RB</v>
      </c>
      <c r="R208" t="str">
        <f>IF(L208="FLEX",INDEX('F Proj'!$F$1:$F$7669,N208),Q208)</f>
        <v>RB</v>
      </c>
      <c r="S208" t="str">
        <f>IF((Week+Half_Week-1)&gt;=VALUE(RIGHT(C208,LEN(C208)-SEARCH("-",C208))),LEFT(C208,SEARCH("-",C208)-1),"")</f>
        <v>perry</v>
      </c>
    </row>
    <row r="209" spans="1:19" x14ac:dyDescent="0.25">
      <c r="A209" t="s">
        <v>98</v>
      </c>
      <c r="B209">
        <v>4</v>
      </c>
      <c r="C209" t="s">
        <v>857</v>
      </c>
      <c r="D209" t="s">
        <v>473</v>
      </c>
      <c r="E209">
        <v>12.8</v>
      </c>
      <c r="G209">
        <v>12.8</v>
      </c>
      <c r="H209">
        <v>0</v>
      </c>
      <c r="I209">
        <v>0</v>
      </c>
      <c r="J209" t="s">
        <v>4811</v>
      </c>
      <c r="K209" t="str">
        <f t="shared" si="6"/>
        <v>Jordy Nelson4</v>
      </c>
      <c r="L209" s="21" t="str">
        <f>IF(ISERROR(MATCH($A209,'F Proj'!$B$1:$B$7669,0)),IF(ISERROR(MATCH($A209,'D Proj'!$B$1:$B$513,0)),IF(ISERROR(MATCH($A209,'K Proj'!$B$1:$B$508,0)),"?","K"),"D"),"FLEX")</f>
        <v>FLEX</v>
      </c>
      <c r="M209" s="21">
        <f>MATCH(L209,Pos,0)</f>
        <v>1</v>
      </c>
      <c r="N209" s="21">
        <f>CHOOSE($M209,MATCH($A209&amp;$B209,'F Proj'!$P$1:$P$7669,0),MATCH($A209&amp;$B209,'D Proj'!$X$1:$X$513,0),MATCH($A209&amp;$B209,'K Proj'!$T$1:$T$508,0))</f>
        <v>1821</v>
      </c>
      <c r="O209">
        <f>CHOOSE(M209,INDEX('F Proj'!$D$1:$D$7669,N209),INDEX('D Proj'!$T$1:$T$513,N209),INDEX('K Proj'!$L$1:$L$508,N209))</f>
        <v>7.03</v>
      </c>
      <c r="P209">
        <f>CHOOSE(M209,INDEX('F Proj'!$J$1:$J$7669,N209),INDEX('D Proj'!$N$1:$N$513,N209),INDEX('K Proj'!$P$1:$P$508,N209))</f>
        <v>25.200399999999998</v>
      </c>
      <c r="Q209" t="str">
        <f t="shared" si="7"/>
        <v>WR</v>
      </c>
      <c r="R209" t="str">
        <f>IF(L209="FLEX",INDEX('F Proj'!$F$1:$F$7669,N209),Q209)</f>
        <v>WR</v>
      </c>
      <c r="S209" t="str">
        <f>IF((Week+Half_Week-1)&gt;=VALUE(RIGHT(C209,LEN(C209)-SEARCH("-",C209))),LEFT(C209,SEARCH("-",C209)-1),"")</f>
        <v>seth</v>
      </c>
    </row>
    <row r="210" spans="1:19" x14ac:dyDescent="0.25">
      <c r="A210" t="s">
        <v>98</v>
      </c>
      <c r="B210">
        <v>5</v>
      </c>
      <c r="C210" t="s">
        <v>882</v>
      </c>
      <c r="D210" t="s">
        <v>473</v>
      </c>
      <c r="E210" t="s">
        <v>8947</v>
      </c>
      <c r="G210">
        <v>7.46</v>
      </c>
      <c r="H210">
        <v>6.72</v>
      </c>
      <c r="I210">
        <v>45.1584</v>
      </c>
      <c r="J210" t="s">
        <v>8986</v>
      </c>
      <c r="K210" t="str">
        <f t="shared" si="6"/>
        <v>Jordy Nelson5</v>
      </c>
      <c r="L210" s="21" t="str">
        <f>IF(ISERROR(MATCH($A210,'F Proj'!$B$1:$B$7669,0)),IF(ISERROR(MATCH($A210,'D Proj'!$B$1:$B$513,0)),IF(ISERROR(MATCH($A210,'K Proj'!$B$1:$B$508,0)),"?","K"),"D"),"FLEX")</f>
        <v>FLEX</v>
      </c>
      <c r="M210" s="21">
        <f>MATCH(L210,Pos,0)</f>
        <v>1</v>
      </c>
      <c r="N210" s="21">
        <f>CHOOSE($M210,MATCH($A210&amp;$B210,'F Proj'!$P$1:$P$7669,0),MATCH($A210&amp;$B210,'D Proj'!$X$1:$X$513,0),MATCH($A210&amp;$B210,'K Proj'!$T$1:$T$508,0))</f>
        <v>1687</v>
      </c>
      <c r="O210">
        <f>CHOOSE(M210,INDEX('F Proj'!$D$1:$D$7669,N210),INDEX('D Proj'!$T$1:$T$513,N210),INDEX('K Proj'!$L$1:$L$508,N210))</f>
        <v>7.46</v>
      </c>
      <c r="P210">
        <f>CHOOSE(M210,INDEX('F Proj'!$J$1:$J$7669,N210),INDEX('D Proj'!$N$1:$N$513,N210),INDEX('K Proj'!$P$1:$P$508,N210))</f>
        <v>45.1584</v>
      </c>
      <c r="Q210" t="str">
        <f t="shared" si="7"/>
        <v>WR</v>
      </c>
      <c r="R210" t="str">
        <f>IF(L210="FLEX",INDEX('F Proj'!$F$1:$F$7669,N210),Q210)</f>
        <v>WR</v>
      </c>
      <c r="S210" t="str">
        <f>IF((Week+Half_Week-1)&gt;=VALUE(RIGHT(C210,LEN(C210)-SEARCH("-",C210))),LEFT(C210,SEARCH("-",C210)-1),"")</f>
        <v/>
      </c>
    </row>
    <row r="211" spans="1:19" x14ac:dyDescent="0.25">
      <c r="A211" t="s">
        <v>230</v>
      </c>
      <c r="B211">
        <v>1</v>
      </c>
      <c r="C211" t="s">
        <v>502</v>
      </c>
      <c r="D211" t="s">
        <v>466</v>
      </c>
      <c r="E211">
        <v>1.1000000000000001</v>
      </c>
      <c r="G211">
        <v>1.1000000000000001</v>
      </c>
      <c r="H211">
        <v>0</v>
      </c>
      <c r="I211">
        <v>0</v>
      </c>
      <c r="J211" t="s">
        <v>568</v>
      </c>
      <c r="K211" t="str">
        <f t="shared" si="6"/>
        <v>Josh Doctson1</v>
      </c>
      <c r="L211" s="21" t="str">
        <f>IF(ISERROR(MATCH($A211,'F Proj'!$B$1:$B$7669,0)),IF(ISERROR(MATCH($A211,'D Proj'!$B$1:$B$513,0)),IF(ISERROR(MATCH($A211,'K Proj'!$B$1:$B$508,0)),"?","K"),"D"),"FLEX")</f>
        <v>FLEX</v>
      </c>
      <c r="M211" s="21">
        <f>MATCH(L211,Pos,0)</f>
        <v>1</v>
      </c>
      <c r="N211" s="21">
        <f>CHOOSE($M211,MATCH($A211&amp;$B211,'F Proj'!$P$1:$P$7669,0),MATCH($A211&amp;$B211,'D Proj'!$X$1:$X$513,0),MATCH($A211&amp;$B211,'K Proj'!$T$1:$T$508,0))</f>
        <v>2871</v>
      </c>
      <c r="O211">
        <f>CHOOSE(M211,INDEX('F Proj'!$D$1:$D$7669,N211),INDEX('D Proj'!$T$1:$T$513,N211),INDEX('K Proj'!$L$1:$L$508,N211))</f>
        <v>4.37</v>
      </c>
      <c r="P211">
        <f>CHOOSE(M211,INDEX('F Proj'!$J$1:$J$7669,N211),INDEX('D Proj'!$N$1:$N$513,N211),INDEX('K Proj'!$P$1:$P$508,N211))</f>
        <v>14.212899999999999</v>
      </c>
      <c r="Q211" t="str">
        <f t="shared" si="7"/>
        <v>WR/RB</v>
      </c>
      <c r="R211" t="str">
        <f>IF(L211="FLEX",INDEX('F Proj'!$F$1:$F$7669,N211),Q211)</f>
        <v>WR</v>
      </c>
      <c r="S211" t="str">
        <f>IF((Week+Half_Week-1)&gt;=VALUE(RIGHT(C211,LEN(C211)-SEARCH("-",C211))),LEFT(C211,SEARCH("-",C211)-1),"")</f>
        <v>cory</v>
      </c>
    </row>
    <row r="212" spans="1:19" x14ac:dyDescent="0.25">
      <c r="A212" t="s">
        <v>1158</v>
      </c>
      <c r="B212">
        <v>1</v>
      </c>
      <c r="C212" t="s">
        <v>501</v>
      </c>
      <c r="D212" t="s">
        <v>473</v>
      </c>
      <c r="E212">
        <v>7.7</v>
      </c>
      <c r="G212">
        <v>7.7</v>
      </c>
      <c r="H212">
        <v>0</v>
      </c>
      <c r="I212">
        <v>0</v>
      </c>
      <c r="J212" t="s">
        <v>510</v>
      </c>
      <c r="K212" t="str">
        <f t="shared" si="6"/>
        <v>Josh Gordon1</v>
      </c>
      <c r="L212" s="21" t="str">
        <f>IF(ISERROR(MATCH($A212,'F Proj'!$B$1:$B$7669,0)),IF(ISERROR(MATCH($A212,'D Proj'!$B$1:$B$513,0)),IF(ISERROR(MATCH($A212,'K Proj'!$B$1:$B$508,0)),"?","K"),"D"),"FLEX")</f>
        <v>FLEX</v>
      </c>
      <c r="M212" s="21">
        <f>MATCH(L212,Pos,0)</f>
        <v>1</v>
      </c>
      <c r="N212" s="21">
        <f>CHOOSE($M212,MATCH($A212&amp;$B212,'F Proj'!$P$1:$P$7669,0),MATCH($A212&amp;$B212,'D Proj'!$X$1:$X$513,0),MATCH($A212&amp;$B212,'K Proj'!$T$1:$T$508,0))</f>
        <v>2859</v>
      </c>
      <c r="O212">
        <f>CHOOSE(M212,INDEX('F Proj'!$D$1:$D$7669,N212),INDEX('D Proj'!$T$1:$T$513,N212),INDEX('K Proj'!$L$1:$L$508,N212))</f>
        <v>4.4000000000000004</v>
      </c>
      <c r="P212">
        <f>CHOOSE(M212,INDEX('F Proj'!$J$1:$J$7669,N212),INDEX('D Proj'!$N$1:$N$513,N212),INDEX('K Proj'!$P$1:$P$508,N212))</f>
        <v>15.6816</v>
      </c>
      <c r="Q212" t="str">
        <f t="shared" si="7"/>
        <v>WR</v>
      </c>
      <c r="R212" t="str">
        <f>IF(L212="FLEX",INDEX('F Proj'!$F$1:$F$7669,N212),Q212)</f>
        <v>WR</v>
      </c>
      <c r="S212" t="str">
        <f>IF((Week+Half_Week-1)&gt;=VALUE(RIGHT(C212,LEN(C212)-SEARCH("-",C212))),LEFT(C212,SEARCH("-",C212)-1),"")</f>
        <v>chad</v>
      </c>
    </row>
    <row r="213" spans="1:19" x14ac:dyDescent="0.25">
      <c r="A213" t="s">
        <v>1105</v>
      </c>
      <c r="B213">
        <v>1</v>
      </c>
      <c r="C213" t="s">
        <v>504</v>
      </c>
      <c r="D213" t="s">
        <v>471</v>
      </c>
      <c r="E213">
        <v>11.9</v>
      </c>
      <c r="G213">
        <v>11.9</v>
      </c>
      <c r="H213">
        <v>0</v>
      </c>
      <c r="I213">
        <v>0</v>
      </c>
      <c r="J213" t="s">
        <v>548</v>
      </c>
      <c r="K213" t="str">
        <f t="shared" si="6"/>
        <v>JuJu Smith-Schuster1</v>
      </c>
      <c r="L213" s="21" t="str">
        <f>IF(ISERROR(MATCH($A213,'F Proj'!$B$1:$B$7669,0)),IF(ISERROR(MATCH($A213,'D Proj'!$B$1:$B$513,0)),IF(ISERROR(MATCH($A213,'K Proj'!$B$1:$B$508,0)),"?","K"),"D"),"FLEX")</f>
        <v>FLEX</v>
      </c>
      <c r="M213" s="21">
        <f>MATCH(L213,Pos,0)</f>
        <v>1</v>
      </c>
      <c r="N213" s="21">
        <f>CHOOSE($M213,MATCH($A213&amp;$B213,'F Proj'!$P$1:$P$7669,0),MATCH($A213&amp;$B213,'D Proj'!$X$1:$X$513,0),MATCH($A213&amp;$B213,'K Proj'!$T$1:$T$508,0))</f>
        <v>1895</v>
      </c>
      <c r="O213">
        <f>CHOOSE(M213,INDEX('F Proj'!$D$1:$D$7669,N213),INDEX('D Proj'!$T$1:$T$513,N213),INDEX('K Proj'!$L$1:$L$508,N213))</f>
        <v>6.82</v>
      </c>
      <c r="P213">
        <f>CHOOSE(M213,INDEX('F Proj'!$J$1:$J$7669,N213),INDEX('D Proj'!$N$1:$N$513,N213),INDEX('K Proj'!$P$1:$P$508,N213))</f>
        <v>26.8324</v>
      </c>
      <c r="Q213" t="str">
        <f t="shared" si="7"/>
        <v>WR</v>
      </c>
      <c r="R213" t="str">
        <f>IF(L213="FLEX",INDEX('F Proj'!$F$1:$F$7669,N213),Q213)</f>
        <v>WR</v>
      </c>
      <c r="S213" t="str">
        <f>IF((Week+Half_Week-1)&gt;=VALUE(RIGHT(C213,LEN(C213)-SEARCH("-",C213))),LEFT(C213,SEARCH("-",C213)-1),"")</f>
        <v>scott</v>
      </c>
    </row>
    <row r="214" spans="1:19" x14ac:dyDescent="0.25">
      <c r="A214" t="s">
        <v>1105</v>
      </c>
      <c r="B214">
        <v>2</v>
      </c>
      <c r="C214" t="s">
        <v>628</v>
      </c>
      <c r="D214" t="s">
        <v>471</v>
      </c>
      <c r="E214">
        <v>18.100000000000001</v>
      </c>
      <c r="G214">
        <v>18.100000000000001</v>
      </c>
      <c r="H214">
        <v>0</v>
      </c>
      <c r="I214">
        <v>0</v>
      </c>
      <c r="J214" t="s">
        <v>664</v>
      </c>
      <c r="K214" t="str">
        <f t="shared" si="6"/>
        <v>JuJu Smith-Schuster2</v>
      </c>
      <c r="L214" s="21" t="str">
        <f>IF(ISERROR(MATCH($A214,'F Proj'!$B$1:$B$7669,0)),IF(ISERROR(MATCH($A214,'D Proj'!$B$1:$B$513,0)),IF(ISERROR(MATCH($A214,'K Proj'!$B$1:$B$508,0)),"?","K"),"D"),"FLEX")</f>
        <v>FLEX</v>
      </c>
      <c r="M214" s="21">
        <f>MATCH(L214,Pos,0)</f>
        <v>1</v>
      </c>
      <c r="N214" s="21">
        <f>CHOOSE($M214,MATCH($A214&amp;$B214,'F Proj'!$P$1:$P$7669,0),MATCH($A214&amp;$B214,'D Proj'!$X$1:$X$513,0),MATCH($A214&amp;$B214,'K Proj'!$T$1:$T$508,0))</f>
        <v>1254</v>
      </c>
      <c r="O214">
        <f>CHOOSE(M214,INDEX('F Proj'!$D$1:$D$7669,N214),INDEX('D Proj'!$T$1:$T$513,N214),INDEX('K Proj'!$L$1:$L$508,N214))</f>
        <v>9.1</v>
      </c>
      <c r="P214">
        <f>CHOOSE(M214,INDEX('F Proj'!$J$1:$J$7669,N214),INDEX('D Proj'!$N$1:$N$513,N214),INDEX('K Proj'!$P$1:$P$508,N214))</f>
        <v>30.802499999999998</v>
      </c>
      <c r="Q214" t="str">
        <f t="shared" si="7"/>
        <v>WR</v>
      </c>
      <c r="R214" t="str">
        <f>IF(L214="FLEX",INDEX('F Proj'!$F$1:$F$7669,N214),Q214)</f>
        <v>WR</v>
      </c>
      <c r="S214" t="str">
        <f>IF((Week+Half_Week-1)&gt;=VALUE(RIGHT(C214,LEN(C214)-SEARCH("-",C214))),LEFT(C214,SEARCH("-",C214)-1),"")</f>
        <v>scott</v>
      </c>
    </row>
    <row r="215" spans="1:19" x14ac:dyDescent="0.25">
      <c r="A215" t="s">
        <v>1105</v>
      </c>
      <c r="B215">
        <v>3</v>
      </c>
      <c r="C215" t="s">
        <v>807</v>
      </c>
      <c r="D215" t="s">
        <v>471</v>
      </c>
      <c r="E215">
        <v>11.6</v>
      </c>
      <c r="G215">
        <v>11.6</v>
      </c>
      <c r="H215">
        <v>0</v>
      </c>
      <c r="I215">
        <v>0</v>
      </c>
      <c r="J215" t="s">
        <v>4305</v>
      </c>
      <c r="K215" t="str">
        <f t="shared" si="6"/>
        <v>JuJu Smith-Schuster3</v>
      </c>
      <c r="L215" s="21" t="str">
        <f>IF(ISERROR(MATCH($A215,'F Proj'!$B$1:$B$7669,0)),IF(ISERROR(MATCH($A215,'D Proj'!$B$1:$B$513,0)),IF(ISERROR(MATCH($A215,'K Proj'!$B$1:$B$508,0)),"?","K"),"D"),"FLEX")</f>
        <v>FLEX</v>
      </c>
      <c r="M215" s="21">
        <f>MATCH(L215,Pos,0)</f>
        <v>1</v>
      </c>
      <c r="N215" s="21">
        <f>CHOOSE($M215,MATCH($A215&amp;$B215,'F Proj'!$P$1:$P$7669,0),MATCH($A215&amp;$B215,'D Proj'!$X$1:$X$513,0),MATCH($A215&amp;$B215,'K Proj'!$T$1:$T$508,0))</f>
        <v>1022</v>
      </c>
      <c r="O215">
        <f>CHOOSE(M215,INDEX('F Proj'!$D$1:$D$7669,N215),INDEX('D Proj'!$T$1:$T$513,N215),INDEX('K Proj'!$L$1:$L$508,N215))</f>
        <v>10.3</v>
      </c>
      <c r="P215">
        <f>CHOOSE(M215,INDEX('F Proj'!$J$1:$J$7669,N215),INDEX('D Proj'!$N$1:$N$513,N215),INDEX('K Proj'!$P$1:$P$508,N215))</f>
        <v>37.21</v>
      </c>
      <c r="Q215" t="str">
        <f t="shared" si="7"/>
        <v>WR</v>
      </c>
      <c r="R215" t="str">
        <f>IF(L215="FLEX",INDEX('F Proj'!$F$1:$F$7669,N215),Q215)</f>
        <v>WR</v>
      </c>
      <c r="S215" t="str">
        <f>IF((Week+Half_Week-1)&gt;=VALUE(RIGHT(C215,LEN(C215)-SEARCH("-",C215))),LEFT(C215,SEARCH("-",C215)-1),"")</f>
        <v>scott</v>
      </c>
    </row>
    <row r="216" spans="1:19" x14ac:dyDescent="0.25">
      <c r="A216" t="s">
        <v>1105</v>
      </c>
      <c r="B216">
        <v>4</v>
      </c>
      <c r="C216" t="s">
        <v>861</v>
      </c>
      <c r="D216" t="s">
        <v>471</v>
      </c>
      <c r="E216">
        <v>6</v>
      </c>
      <c r="G216">
        <v>6</v>
      </c>
      <c r="H216">
        <v>0</v>
      </c>
      <c r="I216">
        <v>0</v>
      </c>
      <c r="J216" t="s">
        <v>4787</v>
      </c>
      <c r="K216" t="str">
        <f t="shared" si="6"/>
        <v>JuJu Smith-Schuster4</v>
      </c>
      <c r="L216" s="21" t="str">
        <f>IF(ISERROR(MATCH($A216,'F Proj'!$B$1:$B$7669,0)),IF(ISERROR(MATCH($A216,'D Proj'!$B$1:$B$513,0)),IF(ISERROR(MATCH($A216,'K Proj'!$B$1:$B$508,0)),"?","K"),"D"),"FLEX")</f>
        <v>FLEX</v>
      </c>
      <c r="M216" s="21">
        <f>MATCH(L216,Pos,0)</f>
        <v>1</v>
      </c>
      <c r="N216" s="21">
        <f>CHOOSE($M216,MATCH($A216&amp;$B216,'F Proj'!$P$1:$P$7669,0),MATCH($A216&amp;$B216,'D Proj'!$X$1:$X$513,0),MATCH($A216&amp;$B216,'K Proj'!$T$1:$T$508,0))</f>
        <v>1001</v>
      </c>
      <c r="O216">
        <f>CHOOSE(M216,INDEX('F Proj'!$D$1:$D$7669,N216),INDEX('D Proj'!$T$1:$T$513,N216),INDEX('K Proj'!$L$1:$L$508,N216))</f>
        <v>10.4</v>
      </c>
      <c r="P216">
        <f>CHOOSE(M216,INDEX('F Proj'!$J$1:$J$7669,N216),INDEX('D Proj'!$N$1:$N$513,N216),INDEX('K Proj'!$P$1:$P$508,N216))</f>
        <v>32.604100000000003</v>
      </c>
      <c r="Q216" t="str">
        <f t="shared" si="7"/>
        <v>WR</v>
      </c>
      <c r="R216" t="str">
        <f>IF(L216="FLEX",INDEX('F Proj'!$F$1:$F$7669,N216),Q216)</f>
        <v>WR</v>
      </c>
      <c r="S216" t="str">
        <f>IF((Week+Half_Week-1)&gt;=VALUE(RIGHT(C216,LEN(C216)-SEARCH("-",C216))),LEFT(C216,SEARCH("-",C216)-1),"")</f>
        <v>scott</v>
      </c>
    </row>
    <row r="217" spans="1:19" x14ac:dyDescent="0.25">
      <c r="A217" t="s">
        <v>1105</v>
      </c>
      <c r="B217">
        <v>5</v>
      </c>
      <c r="C217" t="s">
        <v>890</v>
      </c>
      <c r="D217" t="s">
        <v>471</v>
      </c>
      <c r="E217" t="s">
        <v>8947</v>
      </c>
      <c r="G217">
        <v>11.35</v>
      </c>
      <c r="H217">
        <v>7.36</v>
      </c>
      <c r="I217">
        <v>54.169600000000003</v>
      </c>
      <c r="J217" t="s">
        <v>8987</v>
      </c>
      <c r="K217" t="str">
        <f t="shared" si="6"/>
        <v>JuJu Smith-Schuster5</v>
      </c>
      <c r="L217" s="21" t="str">
        <f>IF(ISERROR(MATCH($A217,'F Proj'!$B$1:$B$7669,0)),IF(ISERROR(MATCH($A217,'D Proj'!$B$1:$B$513,0)),IF(ISERROR(MATCH($A217,'K Proj'!$B$1:$B$508,0)),"?","K"),"D"),"FLEX")</f>
        <v>FLEX</v>
      </c>
      <c r="M217" s="21">
        <f>MATCH(L217,Pos,0)</f>
        <v>1</v>
      </c>
      <c r="N217" s="21">
        <f>CHOOSE($M217,MATCH($A217&amp;$B217,'F Proj'!$P$1:$P$7669,0),MATCH($A217&amp;$B217,'D Proj'!$X$1:$X$513,0),MATCH($A217&amp;$B217,'K Proj'!$T$1:$T$508,0))</f>
        <v>886</v>
      </c>
      <c r="O217">
        <f>CHOOSE(M217,INDEX('F Proj'!$D$1:$D$7669,N217),INDEX('D Proj'!$T$1:$T$513,N217),INDEX('K Proj'!$L$1:$L$508,N217))</f>
        <v>11.35</v>
      </c>
      <c r="P217">
        <f>CHOOSE(M217,INDEX('F Proj'!$J$1:$J$7669,N217),INDEX('D Proj'!$N$1:$N$513,N217),INDEX('K Proj'!$P$1:$P$508,N217))</f>
        <v>54.169600000000003</v>
      </c>
      <c r="Q217" t="str">
        <f t="shared" si="7"/>
        <v>WR</v>
      </c>
      <c r="R217" t="str">
        <f>IF(L217="FLEX",INDEX('F Proj'!$F$1:$F$7669,N217),Q217)</f>
        <v>WR</v>
      </c>
      <c r="S217" t="str">
        <f>IF((Week+Half_Week-1)&gt;=VALUE(RIGHT(C217,LEN(C217)-SEARCH("-",C217))),LEFT(C217,SEARCH("-",C217)-1),"")</f>
        <v/>
      </c>
    </row>
    <row r="218" spans="1:19" x14ac:dyDescent="0.25">
      <c r="A218" t="s">
        <v>1330</v>
      </c>
      <c r="B218">
        <v>5</v>
      </c>
      <c r="C218" t="s">
        <v>886</v>
      </c>
      <c r="D218" t="s">
        <v>473</v>
      </c>
      <c r="E218">
        <v>5.7</v>
      </c>
      <c r="G218">
        <v>5.7</v>
      </c>
      <c r="H218">
        <v>0</v>
      </c>
      <c r="I218">
        <v>0</v>
      </c>
      <c r="J218" t="s">
        <v>8970</v>
      </c>
      <c r="K218" t="str">
        <f t="shared" si="6"/>
        <v>Julian Edelman5</v>
      </c>
      <c r="L218" s="21" t="str">
        <f>IF(ISERROR(MATCH($A218,'F Proj'!$B$1:$B$7669,0)),IF(ISERROR(MATCH($A218,'D Proj'!$B$1:$B$513,0)),IF(ISERROR(MATCH($A218,'K Proj'!$B$1:$B$508,0)),"?","K"),"D"),"FLEX")</f>
        <v>FLEX</v>
      </c>
      <c r="M218" s="21">
        <f>MATCH(L218,Pos,0)</f>
        <v>1</v>
      </c>
      <c r="N218" s="21">
        <f>CHOOSE($M218,MATCH($A218&amp;$B218,'F Proj'!$P$1:$P$7669,0),MATCH($A218&amp;$B218,'D Proj'!$X$1:$X$513,0),MATCH($A218&amp;$B218,'K Proj'!$T$1:$T$508,0))</f>
        <v>1118</v>
      </c>
      <c r="O218">
        <f>CHOOSE(M218,INDEX('F Proj'!$D$1:$D$7669,N218),INDEX('D Proj'!$T$1:$T$513,N218),INDEX('K Proj'!$L$1:$L$508,N218))</f>
        <v>9.81</v>
      </c>
      <c r="P218">
        <f>CHOOSE(M218,INDEX('F Proj'!$J$1:$J$7669,N218),INDEX('D Proj'!$N$1:$N$513,N218),INDEX('K Proj'!$P$1:$P$508,N218))</f>
        <v>44.488900000000001</v>
      </c>
      <c r="Q218" t="str">
        <f t="shared" si="7"/>
        <v>WR</v>
      </c>
      <c r="R218" t="str">
        <f>IF(L218="FLEX",INDEX('F Proj'!$F$1:$F$7669,N218),Q218)</f>
        <v>WR</v>
      </c>
      <c r="S218" t="str">
        <f>IF((Week+Half_Week-1)&gt;=VALUE(RIGHT(C218,LEN(C218)-SEARCH("-",C218))),LEFT(C218,SEARCH("-",C218)-1),"")</f>
        <v/>
      </c>
    </row>
    <row r="219" spans="1:19" x14ac:dyDescent="0.25">
      <c r="A219" t="s">
        <v>93</v>
      </c>
      <c r="B219">
        <v>1</v>
      </c>
      <c r="C219" t="s">
        <v>502</v>
      </c>
      <c r="D219" t="s">
        <v>471</v>
      </c>
      <c r="E219">
        <v>18</v>
      </c>
      <c r="G219">
        <v>18</v>
      </c>
      <c r="H219">
        <v>0</v>
      </c>
      <c r="I219">
        <v>0</v>
      </c>
      <c r="J219" t="s">
        <v>566</v>
      </c>
      <c r="K219" t="str">
        <f t="shared" si="6"/>
        <v>Julio Jones1</v>
      </c>
      <c r="L219" s="21" t="str">
        <f>IF(ISERROR(MATCH($A219,'F Proj'!$B$1:$B$7669,0)),IF(ISERROR(MATCH($A219,'D Proj'!$B$1:$B$513,0)),IF(ISERROR(MATCH($A219,'K Proj'!$B$1:$B$508,0)),"?","K"),"D"),"FLEX")</f>
        <v>FLEX</v>
      </c>
      <c r="M219" s="21">
        <f>MATCH(L219,Pos,0)</f>
        <v>1</v>
      </c>
      <c r="N219" s="21">
        <f>CHOOSE($M219,MATCH($A219&amp;$B219,'F Proj'!$P$1:$P$7669,0),MATCH($A219&amp;$B219,'D Proj'!$X$1:$X$513,0),MATCH($A219&amp;$B219,'K Proj'!$T$1:$T$508,0))</f>
        <v>1104</v>
      </c>
      <c r="O219">
        <f>CHOOSE(M219,INDEX('F Proj'!$D$1:$D$7669,N219),INDEX('D Proj'!$T$1:$T$513,N219),INDEX('K Proj'!$L$1:$L$508,N219))</f>
        <v>9.8699999999999992</v>
      </c>
      <c r="P219">
        <f>CHOOSE(M219,INDEX('F Proj'!$J$1:$J$7669,N219),INDEX('D Proj'!$N$1:$N$513,N219),INDEX('K Proj'!$P$1:$P$508,N219))</f>
        <v>66.096900000000005</v>
      </c>
      <c r="Q219" t="str">
        <f t="shared" si="7"/>
        <v>WR</v>
      </c>
      <c r="R219" t="str">
        <f>IF(L219="FLEX",INDEX('F Proj'!$F$1:$F$7669,N219),Q219)</f>
        <v>WR</v>
      </c>
      <c r="S219" t="str">
        <f>IF((Week+Half_Week-1)&gt;=VALUE(RIGHT(C219,LEN(C219)-SEARCH("-",C219))),LEFT(C219,SEARCH("-",C219)-1),"")</f>
        <v>cory</v>
      </c>
    </row>
    <row r="220" spans="1:19" x14ac:dyDescent="0.25">
      <c r="A220" t="s">
        <v>93</v>
      </c>
      <c r="B220">
        <v>2</v>
      </c>
      <c r="C220" t="s">
        <v>618</v>
      </c>
      <c r="D220" t="s">
        <v>471</v>
      </c>
      <c r="E220">
        <v>6.4</v>
      </c>
      <c r="G220">
        <v>6.4</v>
      </c>
      <c r="H220">
        <v>0</v>
      </c>
      <c r="I220">
        <v>0</v>
      </c>
      <c r="J220" t="s">
        <v>662</v>
      </c>
      <c r="K220" t="str">
        <f t="shared" si="6"/>
        <v>Julio Jones2</v>
      </c>
      <c r="L220" s="21" t="str">
        <f>IF(ISERROR(MATCH($A220,'F Proj'!$B$1:$B$7669,0)),IF(ISERROR(MATCH($A220,'D Proj'!$B$1:$B$513,0)),IF(ISERROR(MATCH($A220,'K Proj'!$B$1:$B$508,0)),"?","K"),"D"),"FLEX")</f>
        <v>FLEX</v>
      </c>
      <c r="M220" s="21">
        <f>MATCH(L220,Pos,0)</f>
        <v>1</v>
      </c>
      <c r="N220" s="21">
        <f>CHOOSE($M220,MATCH($A220&amp;$B220,'F Proj'!$P$1:$P$7669,0),MATCH($A220&amp;$B220,'D Proj'!$X$1:$X$513,0),MATCH($A220&amp;$B220,'K Proj'!$T$1:$T$508,0))</f>
        <v>840</v>
      </c>
      <c r="O220">
        <f>CHOOSE(M220,INDEX('F Proj'!$D$1:$D$7669,N220),INDEX('D Proj'!$T$1:$T$513,N220),INDEX('K Proj'!$L$1:$L$508,N220))</f>
        <v>11.77</v>
      </c>
      <c r="P220">
        <f>CHOOSE(M220,INDEX('F Proj'!$J$1:$J$7669,N220),INDEX('D Proj'!$N$1:$N$513,N220),INDEX('K Proj'!$P$1:$P$508,N220))</f>
        <v>78.145600000000002</v>
      </c>
      <c r="Q220" t="str">
        <f t="shared" si="7"/>
        <v>WR</v>
      </c>
      <c r="R220" t="str">
        <f>IF(L220="FLEX",INDEX('F Proj'!$F$1:$F$7669,N220),Q220)</f>
        <v>WR</v>
      </c>
      <c r="S220" t="str">
        <f>IF((Week+Half_Week-1)&gt;=VALUE(RIGHT(C220,LEN(C220)-SEARCH("-",C220))),LEFT(C220,SEARCH("-",C220)-1),"")</f>
        <v>cory</v>
      </c>
    </row>
    <row r="221" spans="1:19" x14ac:dyDescent="0.25">
      <c r="A221" t="s">
        <v>93</v>
      </c>
      <c r="B221">
        <v>3</v>
      </c>
      <c r="C221" t="s">
        <v>803</v>
      </c>
      <c r="D221" t="s">
        <v>471</v>
      </c>
      <c r="E221">
        <v>9.6</v>
      </c>
      <c r="G221">
        <v>9.6</v>
      </c>
      <c r="H221">
        <v>0</v>
      </c>
      <c r="I221">
        <v>0</v>
      </c>
      <c r="J221" t="s">
        <v>4306</v>
      </c>
      <c r="K221" t="str">
        <f t="shared" si="6"/>
        <v>Julio Jones3</v>
      </c>
      <c r="L221" s="21" t="str">
        <f>IF(ISERROR(MATCH($A221,'F Proj'!$B$1:$B$7669,0)),IF(ISERROR(MATCH($A221,'D Proj'!$B$1:$B$513,0)),IF(ISERROR(MATCH($A221,'K Proj'!$B$1:$B$508,0)),"?","K"),"D"),"FLEX")</f>
        <v>FLEX</v>
      </c>
      <c r="M221" s="21">
        <f>MATCH(L221,Pos,0)</f>
        <v>1</v>
      </c>
      <c r="N221" s="21">
        <f>CHOOSE($M221,MATCH($A221&amp;$B221,'F Proj'!$P$1:$P$7669,0),MATCH($A221&amp;$B221,'D Proj'!$X$1:$X$513,0),MATCH($A221&amp;$B221,'K Proj'!$T$1:$T$508,0))</f>
        <v>549</v>
      </c>
      <c r="O221">
        <f>CHOOSE(M221,INDEX('F Proj'!$D$1:$D$7669,N221),INDEX('D Proj'!$T$1:$T$513,N221),INDEX('K Proj'!$L$1:$L$508,N221))</f>
        <v>14.27</v>
      </c>
      <c r="P221">
        <f>CHOOSE(M221,INDEX('F Proj'!$J$1:$J$7669,N221),INDEX('D Proj'!$N$1:$N$513,N221),INDEX('K Proj'!$P$1:$P$508,N221))</f>
        <v>63.361600000000003</v>
      </c>
      <c r="Q221" t="str">
        <f t="shared" si="7"/>
        <v>WR</v>
      </c>
      <c r="R221" t="str">
        <f>IF(L221="FLEX",INDEX('F Proj'!$F$1:$F$7669,N221),Q221)</f>
        <v>WR</v>
      </c>
      <c r="S221" t="str">
        <f>IF((Week+Half_Week-1)&gt;=VALUE(RIGHT(C221,LEN(C221)-SEARCH("-",C221))),LEFT(C221,SEARCH("-",C221)-1),"")</f>
        <v>cory</v>
      </c>
    </row>
    <row r="222" spans="1:19" x14ac:dyDescent="0.25">
      <c r="A222" t="s">
        <v>93</v>
      </c>
      <c r="B222">
        <v>4</v>
      </c>
      <c r="C222" t="s">
        <v>858</v>
      </c>
      <c r="D222" t="s">
        <v>471</v>
      </c>
      <c r="E222">
        <v>17.3</v>
      </c>
      <c r="G222">
        <v>17.3</v>
      </c>
      <c r="H222">
        <v>0</v>
      </c>
      <c r="I222">
        <v>0</v>
      </c>
      <c r="J222" t="s">
        <v>4788</v>
      </c>
      <c r="K222" t="str">
        <f t="shared" si="6"/>
        <v>Julio Jones4</v>
      </c>
      <c r="L222" s="21" t="str">
        <f>IF(ISERROR(MATCH($A222,'F Proj'!$B$1:$B$7669,0)),IF(ISERROR(MATCH($A222,'D Proj'!$B$1:$B$513,0)),IF(ISERROR(MATCH($A222,'K Proj'!$B$1:$B$508,0)),"?","K"),"D"),"FLEX")</f>
        <v>FLEX</v>
      </c>
      <c r="M222" s="21">
        <f>MATCH(L222,Pos,0)</f>
        <v>1</v>
      </c>
      <c r="N222" s="21">
        <f>CHOOSE($M222,MATCH($A222&amp;$B222,'F Proj'!$P$1:$P$7669,0),MATCH($A222&amp;$B222,'D Proj'!$X$1:$X$513,0),MATCH($A222&amp;$B222,'K Proj'!$T$1:$T$508,0))</f>
        <v>608</v>
      </c>
      <c r="O222">
        <f>CHOOSE(M222,INDEX('F Proj'!$D$1:$D$7669,N222),INDEX('D Proj'!$T$1:$T$513,N222),INDEX('K Proj'!$L$1:$L$508,N222))</f>
        <v>13.69</v>
      </c>
      <c r="P222">
        <f>CHOOSE(M222,INDEX('F Proj'!$J$1:$J$7669,N222),INDEX('D Proj'!$N$1:$N$513,N222),INDEX('K Proj'!$P$1:$P$508,N222))</f>
        <v>61.779600000000002</v>
      </c>
      <c r="Q222" t="str">
        <f t="shared" si="7"/>
        <v>WR</v>
      </c>
      <c r="R222" t="str">
        <f>IF(L222="FLEX",INDEX('F Proj'!$F$1:$F$7669,N222),Q222)</f>
        <v>WR</v>
      </c>
      <c r="S222" t="str">
        <f>IF((Week+Half_Week-1)&gt;=VALUE(RIGHT(C222,LEN(C222)-SEARCH("-",C222))),LEFT(C222,SEARCH("-",C222)-1),"")</f>
        <v>cory</v>
      </c>
    </row>
    <row r="223" spans="1:19" x14ac:dyDescent="0.25">
      <c r="A223" t="s">
        <v>93</v>
      </c>
      <c r="B223">
        <v>5</v>
      </c>
      <c r="C223" t="s">
        <v>883</v>
      </c>
      <c r="D223" t="s">
        <v>471</v>
      </c>
      <c r="E223" t="s">
        <v>8947</v>
      </c>
      <c r="G223">
        <v>14.17</v>
      </c>
      <c r="H223">
        <v>7.98</v>
      </c>
      <c r="I223">
        <v>63.680399999999999</v>
      </c>
      <c r="J223" t="s">
        <v>8989</v>
      </c>
      <c r="K223" t="str">
        <f t="shared" si="6"/>
        <v>Julio Jones5</v>
      </c>
      <c r="L223" s="21" t="str">
        <f>IF(ISERROR(MATCH($A223,'F Proj'!$B$1:$B$7669,0)),IF(ISERROR(MATCH($A223,'D Proj'!$B$1:$B$513,0)),IF(ISERROR(MATCH($A223,'K Proj'!$B$1:$B$508,0)),"?","K"),"D"),"FLEX")</f>
        <v>FLEX</v>
      </c>
      <c r="M223" s="21">
        <f>MATCH(L223,Pos,0)</f>
        <v>1</v>
      </c>
      <c r="N223" s="21">
        <f>CHOOSE($M223,MATCH($A223&amp;$B223,'F Proj'!$P$1:$P$7669,0),MATCH($A223&amp;$B223,'D Proj'!$X$1:$X$513,0),MATCH($A223&amp;$B223,'K Proj'!$T$1:$T$508,0))</f>
        <v>558</v>
      </c>
      <c r="O223">
        <f>CHOOSE(M223,INDEX('F Proj'!$D$1:$D$7669,N223),INDEX('D Proj'!$T$1:$T$513,N223),INDEX('K Proj'!$L$1:$L$508,N223))</f>
        <v>14.17</v>
      </c>
      <c r="P223">
        <f>CHOOSE(M223,INDEX('F Proj'!$J$1:$J$7669,N223),INDEX('D Proj'!$N$1:$N$513,N223),INDEX('K Proj'!$P$1:$P$508,N223))</f>
        <v>63.680399999999999</v>
      </c>
      <c r="Q223" t="str">
        <f t="shared" si="7"/>
        <v>WR</v>
      </c>
      <c r="R223" t="str">
        <f>IF(L223="FLEX",INDEX('F Proj'!$F$1:$F$7669,N223),Q223)</f>
        <v>WR</v>
      </c>
      <c r="S223" t="str">
        <f>IF((Week+Half_Week-1)&gt;=VALUE(RIGHT(C223,LEN(C223)-SEARCH("-",C223))),LEFT(C223,SEARCH("-",C223)-1),"")</f>
        <v/>
      </c>
    </row>
    <row r="224" spans="1:19" x14ac:dyDescent="0.25">
      <c r="A224" t="s">
        <v>115</v>
      </c>
      <c r="B224">
        <v>1</v>
      </c>
      <c r="C224" t="s">
        <v>504</v>
      </c>
      <c r="D224" t="s">
        <v>468</v>
      </c>
      <c r="E224">
        <v>4.9000000000000004</v>
      </c>
      <c r="G224">
        <v>4.9000000000000004</v>
      </c>
      <c r="H224">
        <v>0</v>
      </c>
      <c r="I224">
        <v>0</v>
      </c>
      <c r="J224" t="s">
        <v>531</v>
      </c>
      <c r="K224" t="str">
        <f t="shared" si="6"/>
        <v>Kareem Hunt1</v>
      </c>
      <c r="L224" s="21" t="str">
        <f>IF(ISERROR(MATCH($A224,'F Proj'!$B$1:$B$7669,0)),IF(ISERROR(MATCH($A224,'D Proj'!$B$1:$B$513,0)),IF(ISERROR(MATCH($A224,'K Proj'!$B$1:$B$508,0)),"?","K"),"D"),"FLEX")</f>
        <v>FLEX</v>
      </c>
      <c r="M224" s="21">
        <f>MATCH(L224,Pos,0)</f>
        <v>1</v>
      </c>
      <c r="N224" s="21">
        <f>CHOOSE($M224,MATCH($A224&amp;$B224,'F Proj'!$P$1:$P$7669,0),MATCH($A224&amp;$B224,'D Proj'!$X$1:$X$513,0),MATCH($A224&amp;$B224,'K Proj'!$T$1:$T$508,0))</f>
        <v>599</v>
      </c>
      <c r="O224">
        <f>CHOOSE(M224,INDEX('F Proj'!$D$1:$D$7669,N224),INDEX('D Proj'!$T$1:$T$513,N224),INDEX('K Proj'!$L$1:$L$508,N224))</f>
        <v>13.73</v>
      </c>
      <c r="P224">
        <f>CHOOSE(M224,INDEX('F Proj'!$J$1:$J$7669,N224),INDEX('D Proj'!$N$1:$N$513,N224),INDEX('K Proj'!$P$1:$P$508,N224))</f>
        <v>96.432400000000001</v>
      </c>
      <c r="Q224" t="str">
        <f t="shared" si="7"/>
        <v>RB</v>
      </c>
      <c r="R224" t="str">
        <f>IF(L224="FLEX",INDEX('F Proj'!$F$1:$F$7669,N224),Q224)</f>
        <v>RB</v>
      </c>
      <c r="S224" t="str">
        <f>IF((Week+Half_Week-1)&gt;=VALUE(RIGHT(C224,LEN(C224)-SEARCH("-",C224))),LEFT(C224,SEARCH("-",C224)-1),"")</f>
        <v>scott</v>
      </c>
    </row>
    <row r="225" spans="1:19" x14ac:dyDescent="0.25">
      <c r="A225" t="s">
        <v>115</v>
      </c>
      <c r="B225">
        <v>2</v>
      </c>
      <c r="C225" t="s">
        <v>628</v>
      </c>
      <c r="D225" t="s">
        <v>468</v>
      </c>
      <c r="E225">
        <v>14</v>
      </c>
      <c r="G225">
        <v>14</v>
      </c>
      <c r="H225">
        <v>0</v>
      </c>
      <c r="I225">
        <v>0</v>
      </c>
      <c r="J225" t="s">
        <v>645</v>
      </c>
      <c r="K225" t="str">
        <f t="shared" si="6"/>
        <v>Kareem Hunt2</v>
      </c>
      <c r="L225" s="21" t="str">
        <f>IF(ISERROR(MATCH($A225,'F Proj'!$B$1:$B$7669,0)),IF(ISERROR(MATCH($A225,'D Proj'!$B$1:$B$513,0)),IF(ISERROR(MATCH($A225,'K Proj'!$B$1:$B$508,0)),"?","K"),"D"),"FLEX")</f>
        <v>FLEX</v>
      </c>
      <c r="M225" s="21">
        <f>MATCH(L225,Pos,0)</f>
        <v>1</v>
      </c>
      <c r="N225" s="21">
        <f>CHOOSE($M225,MATCH($A225&amp;$B225,'F Proj'!$P$1:$P$7669,0),MATCH($A225&amp;$B225,'D Proj'!$X$1:$X$513,0),MATCH($A225&amp;$B225,'K Proj'!$T$1:$T$508,0))</f>
        <v>720</v>
      </c>
      <c r="O225">
        <f>CHOOSE(M225,INDEX('F Proj'!$D$1:$D$7669,N225),INDEX('D Proj'!$T$1:$T$513,N225),INDEX('K Proj'!$L$1:$L$508,N225))</f>
        <v>12.81</v>
      </c>
      <c r="P225">
        <f>CHOOSE(M225,INDEX('F Proj'!$J$1:$J$7669,N225),INDEX('D Proj'!$N$1:$N$513,N225),INDEX('K Proj'!$P$1:$P$508,N225))</f>
        <v>76.212900000000005</v>
      </c>
      <c r="Q225" t="str">
        <f t="shared" si="7"/>
        <v>RB</v>
      </c>
      <c r="R225" t="str">
        <f>IF(L225="FLEX",INDEX('F Proj'!$F$1:$F$7669,N225),Q225)</f>
        <v>RB</v>
      </c>
      <c r="S225" t="str">
        <f>IF((Week+Half_Week-1)&gt;=VALUE(RIGHT(C225,LEN(C225)-SEARCH("-",C225))),LEFT(C225,SEARCH("-",C225)-1),"")</f>
        <v>scott</v>
      </c>
    </row>
    <row r="226" spans="1:19" x14ac:dyDescent="0.25">
      <c r="A226" t="s">
        <v>115</v>
      </c>
      <c r="B226">
        <v>3</v>
      </c>
      <c r="C226" t="s">
        <v>807</v>
      </c>
      <c r="D226" t="s">
        <v>468</v>
      </c>
      <c r="E226">
        <v>16.399999999999999</v>
      </c>
      <c r="G226">
        <v>16.399999999999999</v>
      </c>
      <c r="H226">
        <v>0</v>
      </c>
      <c r="I226">
        <v>0</v>
      </c>
      <c r="J226" t="s">
        <v>4307</v>
      </c>
      <c r="K226" t="str">
        <f t="shared" si="6"/>
        <v>Kareem Hunt3</v>
      </c>
      <c r="L226" s="21" t="str">
        <f>IF(ISERROR(MATCH($A226,'F Proj'!$B$1:$B$7669,0)),IF(ISERROR(MATCH($A226,'D Proj'!$B$1:$B$513,0)),IF(ISERROR(MATCH($A226,'K Proj'!$B$1:$B$508,0)),"?","K"),"D"),"FLEX")</f>
        <v>FLEX</v>
      </c>
      <c r="M226" s="21">
        <f>MATCH(L226,Pos,0)</f>
        <v>1</v>
      </c>
      <c r="N226" s="21">
        <f>CHOOSE($M226,MATCH($A226&amp;$B226,'F Proj'!$P$1:$P$7669,0),MATCH($A226&amp;$B226,'D Proj'!$X$1:$X$513,0),MATCH($A226&amp;$B226,'K Proj'!$T$1:$T$508,0))</f>
        <v>515</v>
      </c>
      <c r="O226">
        <f>CHOOSE(M226,INDEX('F Proj'!$D$1:$D$7669,N226),INDEX('D Proj'!$T$1:$T$513,N226),INDEX('K Proj'!$L$1:$L$508,N226))</f>
        <v>14.6</v>
      </c>
      <c r="P226">
        <f>CHOOSE(M226,INDEX('F Proj'!$J$1:$J$7669,N226),INDEX('D Proj'!$N$1:$N$513,N226),INDEX('K Proj'!$P$1:$P$508,N226))</f>
        <v>53.436100000000003</v>
      </c>
      <c r="Q226" t="str">
        <f t="shared" si="7"/>
        <v>RB</v>
      </c>
      <c r="R226" t="str">
        <f>IF(L226="FLEX",INDEX('F Proj'!$F$1:$F$7669,N226),Q226)</f>
        <v>RB</v>
      </c>
      <c r="S226" t="str">
        <f>IF((Week+Half_Week-1)&gt;=VALUE(RIGHT(C226,LEN(C226)-SEARCH("-",C226))),LEFT(C226,SEARCH("-",C226)-1),"")</f>
        <v>scott</v>
      </c>
    </row>
    <row r="227" spans="1:19" x14ac:dyDescent="0.25">
      <c r="A227" t="s">
        <v>115</v>
      </c>
      <c r="B227">
        <v>4</v>
      </c>
      <c r="C227" t="s">
        <v>861</v>
      </c>
      <c r="D227" t="s">
        <v>468</v>
      </c>
      <c r="E227">
        <v>23.5</v>
      </c>
      <c r="G227">
        <v>23.5</v>
      </c>
      <c r="H227">
        <v>0</v>
      </c>
      <c r="I227">
        <v>0</v>
      </c>
      <c r="J227" t="s">
        <v>4789</v>
      </c>
      <c r="K227" t="str">
        <f t="shared" si="6"/>
        <v>Kareem Hunt4</v>
      </c>
      <c r="L227" s="21" t="str">
        <f>IF(ISERROR(MATCH($A227,'F Proj'!$B$1:$B$7669,0)),IF(ISERROR(MATCH($A227,'D Proj'!$B$1:$B$513,0)),IF(ISERROR(MATCH($A227,'K Proj'!$B$1:$B$508,0)),"?","K"),"D"),"FLEX")</f>
        <v>FLEX</v>
      </c>
      <c r="M227" s="21">
        <f>MATCH(L227,Pos,0)</f>
        <v>1</v>
      </c>
      <c r="N227" s="21">
        <f>CHOOSE($M227,MATCH($A227&amp;$B227,'F Proj'!$P$1:$P$7669,0),MATCH($A227&amp;$B227,'D Proj'!$X$1:$X$513,0),MATCH($A227&amp;$B227,'K Proj'!$T$1:$T$508,0))</f>
        <v>825</v>
      </c>
      <c r="O227">
        <f>CHOOSE(M227,INDEX('F Proj'!$D$1:$D$7669,N227),INDEX('D Proj'!$T$1:$T$513,N227),INDEX('K Proj'!$L$1:$L$508,N227))</f>
        <v>11.91</v>
      </c>
      <c r="P227">
        <f>CHOOSE(M227,INDEX('F Proj'!$J$1:$J$7669,N227),INDEX('D Proj'!$N$1:$N$513,N227),INDEX('K Proj'!$P$1:$P$508,N227))</f>
        <v>90.630399999999995</v>
      </c>
      <c r="Q227" t="str">
        <f t="shared" si="7"/>
        <v>RB</v>
      </c>
      <c r="R227" t="str">
        <f>IF(L227="FLEX",INDEX('F Proj'!$F$1:$F$7669,N227),Q227)</f>
        <v>RB</v>
      </c>
      <c r="S227" t="str">
        <f>IF((Week+Half_Week-1)&gt;=VALUE(RIGHT(C227,LEN(C227)-SEARCH("-",C227))),LEFT(C227,SEARCH("-",C227)-1),"")</f>
        <v>scott</v>
      </c>
    </row>
    <row r="228" spans="1:19" x14ac:dyDescent="0.25">
      <c r="A228" t="s">
        <v>115</v>
      </c>
      <c r="B228">
        <v>5</v>
      </c>
      <c r="C228" t="s">
        <v>890</v>
      </c>
      <c r="D228" t="s">
        <v>468</v>
      </c>
      <c r="E228" t="s">
        <v>8947</v>
      </c>
      <c r="G228">
        <v>15.45</v>
      </c>
      <c r="H228">
        <v>8.51</v>
      </c>
      <c r="I228">
        <v>72.420100000000005</v>
      </c>
      <c r="J228" t="s">
        <v>8990</v>
      </c>
      <c r="K228" t="str">
        <f t="shared" si="6"/>
        <v>Kareem Hunt5</v>
      </c>
      <c r="L228" s="21" t="str">
        <f>IF(ISERROR(MATCH($A228,'F Proj'!$B$1:$B$7669,0)),IF(ISERROR(MATCH($A228,'D Proj'!$B$1:$B$513,0)),IF(ISERROR(MATCH($A228,'K Proj'!$B$1:$B$508,0)),"?","K"),"D"),"FLEX")</f>
        <v>FLEX</v>
      </c>
      <c r="M228" s="21">
        <f>MATCH(L228,Pos,0)</f>
        <v>1</v>
      </c>
      <c r="N228" s="21">
        <f>CHOOSE($M228,MATCH($A228&amp;$B228,'F Proj'!$P$1:$P$7669,0),MATCH($A228&amp;$B228,'D Proj'!$X$1:$X$513,0),MATCH($A228&amp;$B228,'K Proj'!$T$1:$T$508,0))</f>
        <v>451</v>
      </c>
      <c r="O228">
        <f>CHOOSE(M228,INDEX('F Proj'!$D$1:$D$7669,N228),INDEX('D Proj'!$T$1:$T$513,N228),INDEX('K Proj'!$L$1:$L$508,N228))</f>
        <v>15.45</v>
      </c>
      <c r="P228">
        <f>CHOOSE(M228,INDEX('F Proj'!$J$1:$J$7669,N228),INDEX('D Proj'!$N$1:$N$513,N228),INDEX('K Proj'!$P$1:$P$508,N228))</f>
        <v>72.420100000000005</v>
      </c>
      <c r="Q228" t="str">
        <f t="shared" si="7"/>
        <v>RB</v>
      </c>
      <c r="R228" t="str">
        <f>IF(L228="FLEX",INDEX('F Proj'!$F$1:$F$7669,N228),Q228)</f>
        <v>RB</v>
      </c>
      <c r="S228" t="str">
        <f>IF((Week+Half_Week-1)&gt;=VALUE(RIGHT(C228,LEN(C228)-SEARCH("-",C228))),LEFT(C228,SEARCH("-",C228)-1),"")</f>
        <v/>
      </c>
    </row>
    <row r="229" spans="1:19" x14ac:dyDescent="0.25">
      <c r="A229" t="s">
        <v>1368</v>
      </c>
      <c r="B229">
        <v>1</v>
      </c>
      <c r="C229" t="s">
        <v>504</v>
      </c>
      <c r="D229" t="s">
        <v>473</v>
      </c>
      <c r="E229">
        <v>5.4</v>
      </c>
      <c r="G229">
        <v>5.4</v>
      </c>
      <c r="H229">
        <v>0</v>
      </c>
      <c r="I229">
        <v>0</v>
      </c>
      <c r="J229" t="s">
        <v>537</v>
      </c>
      <c r="K229" t="str">
        <f t="shared" si="6"/>
        <v>Keelan Cole1</v>
      </c>
      <c r="L229" s="21" t="str">
        <f>IF(ISERROR(MATCH($A229,'F Proj'!$B$1:$B$7669,0)),IF(ISERROR(MATCH($A229,'D Proj'!$B$1:$B$513,0)),IF(ISERROR(MATCH($A229,'K Proj'!$B$1:$B$508,0)),"?","K"),"D"),"FLEX")</f>
        <v>FLEX</v>
      </c>
      <c r="M229" s="21">
        <f>MATCH(L229,Pos,0)</f>
        <v>1</v>
      </c>
      <c r="N229" s="21">
        <f>CHOOSE($M229,MATCH($A229&amp;$B229,'F Proj'!$P$1:$P$7669,0),MATCH($A229&amp;$B229,'D Proj'!$X$1:$X$513,0),MATCH($A229&amp;$B229,'K Proj'!$T$1:$T$508,0))</f>
        <v>1987</v>
      </c>
      <c r="O229">
        <f>CHOOSE(M229,INDEX('F Proj'!$D$1:$D$7669,N229),INDEX('D Proj'!$T$1:$T$513,N229),INDEX('K Proj'!$L$1:$L$508,N229))</f>
        <v>6.52</v>
      </c>
      <c r="P229">
        <f>CHOOSE(M229,INDEX('F Proj'!$J$1:$J$7669,N229),INDEX('D Proj'!$N$1:$N$513,N229),INDEX('K Proj'!$P$1:$P$508,N229))</f>
        <v>26.214400000000001</v>
      </c>
      <c r="Q229" t="str">
        <f t="shared" si="7"/>
        <v>WR</v>
      </c>
      <c r="R229" t="str">
        <f>IF(L229="FLEX",INDEX('F Proj'!$F$1:$F$7669,N229),Q229)</f>
        <v>WR</v>
      </c>
      <c r="S229" t="str">
        <f>IF((Week+Half_Week-1)&gt;=VALUE(RIGHT(C229,LEN(C229)-SEARCH("-",C229))),LEFT(C229,SEARCH("-",C229)-1),"")</f>
        <v>scott</v>
      </c>
    </row>
    <row r="230" spans="1:19" x14ac:dyDescent="0.25">
      <c r="A230" t="s">
        <v>1368</v>
      </c>
      <c r="B230">
        <v>3</v>
      </c>
      <c r="C230" t="s">
        <v>807</v>
      </c>
      <c r="D230" t="s">
        <v>466</v>
      </c>
      <c r="E230">
        <v>4</v>
      </c>
      <c r="G230">
        <v>4</v>
      </c>
      <c r="H230">
        <v>0</v>
      </c>
      <c r="I230">
        <v>0</v>
      </c>
      <c r="J230" t="s">
        <v>4308</v>
      </c>
      <c r="K230" t="str">
        <f t="shared" si="6"/>
        <v>Keelan Cole3</v>
      </c>
      <c r="L230" s="21" t="str">
        <f>IF(ISERROR(MATCH($A230,'F Proj'!$B$1:$B$7669,0)),IF(ISERROR(MATCH($A230,'D Proj'!$B$1:$B$513,0)),IF(ISERROR(MATCH($A230,'K Proj'!$B$1:$B$508,0)),"?","K"),"D"),"FLEX")</f>
        <v>FLEX</v>
      </c>
      <c r="M230" s="21">
        <f>MATCH(L230,Pos,0)</f>
        <v>1</v>
      </c>
      <c r="N230" s="21">
        <f>CHOOSE($M230,MATCH($A230&amp;$B230,'F Proj'!$P$1:$P$7669,0),MATCH($A230&amp;$B230,'D Proj'!$X$1:$X$513,0),MATCH($A230&amp;$B230,'K Proj'!$T$1:$T$508,0))</f>
        <v>1726</v>
      </c>
      <c r="O230">
        <f>CHOOSE(M230,INDEX('F Proj'!$D$1:$D$7669,N230),INDEX('D Proj'!$T$1:$T$513,N230),INDEX('K Proj'!$L$1:$L$508,N230))</f>
        <v>7.32</v>
      </c>
      <c r="P230">
        <f>CHOOSE(M230,INDEX('F Proj'!$J$1:$J$7669,N230),INDEX('D Proj'!$N$1:$N$513,N230),INDEX('K Proj'!$P$1:$P$508,N230))</f>
        <v>25.704899999999999</v>
      </c>
      <c r="Q230" t="str">
        <f t="shared" si="7"/>
        <v>WR/RB</v>
      </c>
      <c r="R230" t="str">
        <f>IF(L230="FLEX",INDEX('F Proj'!$F$1:$F$7669,N230),Q230)</f>
        <v>WR</v>
      </c>
      <c r="S230" t="str">
        <f>IF((Week+Half_Week-1)&gt;=VALUE(RIGHT(C230,LEN(C230)-SEARCH("-",C230))),LEFT(C230,SEARCH("-",C230)-1),"")</f>
        <v>scott</v>
      </c>
    </row>
    <row r="231" spans="1:19" x14ac:dyDescent="0.25">
      <c r="A231" t="s">
        <v>154</v>
      </c>
      <c r="B231">
        <v>1</v>
      </c>
      <c r="C231" t="s">
        <v>501</v>
      </c>
      <c r="D231" t="s">
        <v>471</v>
      </c>
      <c r="E231">
        <v>16.8</v>
      </c>
      <c r="G231">
        <v>16.8</v>
      </c>
      <c r="H231">
        <v>0</v>
      </c>
      <c r="I231">
        <v>0</v>
      </c>
      <c r="J231" t="s">
        <v>529</v>
      </c>
      <c r="K231" t="str">
        <f t="shared" si="6"/>
        <v>Keenan Allen1</v>
      </c>
      <c r="L231" s="21" t="str">
        <f>IF(ISERROR(MATCH($A231,'F Proj'!$B$1:$B$7669,0)),IF(ISERROR(MATCH($A231,'D Proj'!$B$1:$B$513,0)),IF(ISERROR(MATCH($A231,'K Proj'!$B$1:$B$508,0)),"?","K"),"D"),"FLEX")</f>
        <v>FLEX</v>
      </c>
      <c r="M231" s="21">
        <f>MATCH(L231,Pos,0)</f>
        <v>1</v>
      </c>
      <c r="N231" s="21">
        <f>CHOOSE($M231,MATCH($A231&amp;$B231,'F Proj'!$P$1:$P$7669,0),MATCH($A231&amp;$B231,'D Proj'!$X$1:$X$513,0),MATCH($A231&amp;$B231,'K Proj'!$T$1:$T$508,0))</f>
        <v>879</v>
      </c>
      <c r="O231">
        <f>CHOOSE(M231,INDEX('F Proj'!$D$1:$D$7669,N231),INDEX('D Proj'!$T$1:$T$513,N231),INDEX('K Proj'!$L$1:$L$508,N231))</f>
        <v>11.4</v>
      </c>
      <c r="P231">
        <f>CHOOSE(M231,INDEX('F Proj'!$J$1:$J$7669,N231),INDEX('D Proj'!$N$1:$N$513,N231),INDEX('K Proj'!$P$1:$P$508,N231))</f>
        <v>37.332099999999997</v>
      </c>
      <c r="Q231" t="str">
        <f t="shared" si="7"/>
        <v>WR</v>
      </c>
      <c r="R231" t="str">
        <f>IF(L231="FLEX",INDEX('F Proj'!$F$1:$F$7669,N231),Q231)</f>
        <v>WR</v>
      </c>
      <c r="S231" t="str">
        <f>IF((Week+Half_Week-1)&gt;=VALUE(RIGHT(C231,LEN(C231)-SEARCH("-",C231))),LEFT(C231,SEARCH("-",C231)-1),"")</f>
        <v>chad</v>
      </c>
    </row>
    <row r="232" spans="1:19" x14ac:dyDescent="0.25">
      <c r="A232" t="s">
        <v>154</v>
      </c>
      <c r="B232">
        <v>2</v>
      </c>
      <c r="C232" t="s">
        <v>638</v>
      </c>
      <c r="D232" t="s">
        <v>471</v>
      </c>
      <c r="E232">
        <v>6.7</v>
      </c>
      <c r="G232">
        <v>6.7</v>
      </c>
      <c r="H232">
        <v>0</v>
      </c>
      <c r="I232">
        <v>0</v>
      </c>
      <c r="J232" t="s">
        <v>681</v>
      </c>
      <c r="K232" t="str">
        <f t="shared" si="6"/>
        <v>Keenan Allen2</v>
      </c>
      <c r="L232" s="21" t="str">
        <f>IF(ISERROR(MATCH($A232,'F Proj'!$B$1:$B$7669,0)),IF(ISERROR(MATCH($A232,'D Proj'!$B$1:$B$513,0)),IF(ISERROR(MATCH($A232,'K Proj'!$B$1:$B$508,0)),"?","K"),"D"),"FLEX")</f>
        <v>FLEX</v>
      </c>
      <c r="M232" s="21">
        <f>MATCH(L232,Pos,0)</f>
        <v>1</v>
      </c>
      <c r="N232" s="21">
        <f>CHOOSE($M232,MATCH($A232&amp;$B232,'F Proj'!$P$1:$P$7669,0),MATCH($A232&amp;$B232,'D Proj'!$X$1:$X$513,0),MATCH($A232&amp;$B232,'K Proj'!$T$1:$T$508,0))</f>
        <v>998</v>
      </c>
      <c r="O232">
        <f>CHOOSE(M232,INDEX('F Proj'!$D$1:$D$7669,N232),INDEX('D Proj'!$T$1:$T$513,N232),INDEX('K Proj'!$L$1:$L$508,N232))</f>
        <v>10.42</v>
      </c>
      <c r="P232">
        <f>CHOOSE(M232,INDEX('F Proj'!$J$1:$J$7669,N232),INDEX('D Proj'!$N$1:$N$513,N232),INDEX('K Proj'!$P$1:$P$508,N232))</f>
        <v>38.44</v>
      </c>
      <c r="Q232" t="str">
        <f t="shared" si="7"/>
        <v>WR</v>
      </c>
      <c r="R232" t="str">
        <f>IF(L232="FLEX",INDEX('F Proj'!$F$1:$F$7669,N232),Q232)</f>
        <v>WR</v>
      </c>
      <c r="S232" t="str">
        <f>IF((Week+Half_Week-1)&gt;=VALUE(RIGHT(C232,LEN(C232)-SEARCH("-",C232))),LEFT(C232,SEARCH("-",C232)-1),"")</f>
        <v>chad</v>
      </c>
    </row>
    <row r="233" spans="1:19" x14ac:dyDescent="0.25">
      <c r="A233" t="s">
        <v>154</v>
      </c>
      <c r="B233">
        <v>3</v>
      </c>
      <c r="C233" t="s">
        <v>810</v>
      </c>
      <c r="D233" t="s">
        <v>471</v>
      </c>
      <c r="E233">
        <v>2.4</v>
      </c>
      <c r="G233">
        <v>2.4</v>
      </c>
      <c r="H233">
        <v>0</v>
      </c>
      <c r="I233">
        <v>0</v>
      </c>
      <c r="J233" t="s">
        <v>4309</v>
      </c>
      <c r="K233" t="str">
        <f t="shared" si="6"/>
        <v>Keenan Allen3</v>
      </c>
      <c r="L233" s="21" t="str">
        <f>IF(ISERROR(MATCH($A233,'F Proj'!$B$1:$B$7669,0)),IF(ISERROR(MATCH($A233,'D Proj'!$B$1:$B$513,0)),IF(ISERROR(MATCH($A233,'K Proj'!$B$1:$B$508,0)),"?","K"),"D"),"FLEX")</f>
        <v>FLEX</v>
      </c>
      <c r="M233" s="21">
        <f>MATCH(L233,Pos,0)</f>
        <v>1</v>
      </c>
      <c r="N233" s="21">
        <f>CHOOSE($M233,MATCH($A233&amp;$B233,'F Proj'!$P$1:$P$7669,0),MATCH($A233&amp;$B233,'D Proj'!$X$1:$X$513,0),MATCH($A233&amp;$B233,'K Proj'!$T$1:$T$508,0))</f>
        <v>806</v>
      </c>
      <c r="O233">
        <f>CHOOSE(M233,INDEX('F Proj'!$D$1:$D$7669,N233),INDEX('D Proj'!$T$1:$T$513,N233),INDEX('K Proj'!$L$1:$L$508,N233))</f>
        <v>12.12</v>
      </c>
      <c r="P233">
        <f>CHOOSE(M233,INDEX('F Proj'!$J$1:$J$7669,N233),INDEX('D Proj'!$N$1:$N$513,N233),INDEX('K Proj'!$P$1:$P$508,N233))</f>
        <v>68.0625</v>
      </c>
      <c r="Q233" t="str">
        <f t="shared" si="7"/>
        <v>WR</v>
      </c>
      <c r="R233" t="str">
        <f>IF(L233="FLEX",INDEX('F Proj'!$F$1:$F$7669,N233),Q233)</f>
        <v>WR</v>
      </c>
      <c r="S233" t="str">
        <f>IF((Week+Half_Week-1)&gt;=VALUE(RIGHT(C233,LEN(C233)-SEARCH("-",C233))),LEFT(C233,SEARCH("-",C233)-1),"")</f>
        <v>chad</v>
      </c>
    </row>
    <row r="234" spans="1:19" x14ac:dyDescent="0.25">
      <c r="A234" t="s">
        <v>154</v>
      </c>
      <c r="B234">
        <v>4</v>
      </c>
      <c r="C234" t="s">
        <v>865</v>
      </c>
      <c r="D234" t="s">
        <v>471</v>
      </c>
      <c r="E234">
        <v>6.3</v>
      </c>
      <c r="G234">
        <v>6.3</v>
      </c>
      <c r="H234">
        <v>0</v>
      </c>
      <c r="I234">
        <v>0</v>
      </c>
      <c r="J234" t="s">
        <v>4791</v>
      </c>
      <c r="K234" t="str">
        <f t="shared" si="6"/>
        <v>Keenan Allen4</v>
      </c>
      <c r="L234" s="21" t="str">
        <f>IF(ISERROR(MATCH($A234,'F Proj'!$B$1:$B$7669,0)),IF(ISERROR(MATCH($A234,'D Proj'!$B$1:$B$513,0)),IF(ISERROR(MATCH($A234,'K Proj'!$B$1:$B$508,0)),"?","K"),"D"),"FLEX")</f>
        <v>FLEX</v>
      </c>
      <c r="M234" s="21">
        <f>MATCH(L234,Pos,0)</f>
        <v>1</v>
      </c>
      <c r="N234" s="21">
        <f>CHOOSE($M234,MATCH($A234&amp;$B234,'F Proj'!$P$1:$P$7669,0),MATCH($A234&amp;$B234,'D Proj'!$X$1:$X$513,0),MATCH($A234&amp;$B234,'K Proj'!$T$1:$T$508,0))</f>
        <v>430</v>
      </c>
      <c r="O234">
        <f>CHOOSE(M234,INDEX('F Proj'!$D$1:$D$7669,N234),INDEX('D Proj'!$T$1:$T$513,N234),INDEX('K Proj'!$L$1:$L$508,N234))</f>
        <v>15.62</v>
      </c>
      <c r="P234">
        <f>CHOOSE(M234,INDEX('F Proj'!$J$1:$J$7669,N234),INDEX('D Proj'!$N$1:$N$513,N234),INDEX('K Proj'!$P$1:$P$508,N234))</f>
        <v>42.902500000000003</v>
      </c>
      <c r="Q234" t="str">
        <f t="shared" si="7"/>
        <v>WR</v>
      </c>
      <c r="R234" t="str">
        <f>IF(L234="FLEX",INDEX('F Proj'!$F$1:$F$7669,N234),Q234)</f>
        <v>WR</v>
      </c>
      <c r="S234" t="str">
        <f>IF((Week+Half_Week-1)&gt;=VALUE(RIGHT(C234,LEN(C234)-SEARCH("-",C234))),LEFT(C234,SEARCH("-",C234)-1),"")</f>
        <v>chad</v>
      </c>
    </row>
    <row r="235" spans="1:19" x14ac:dyDescent="0.25">
      <c r="A235" t="s">
        <v>154</v>
      </c>
      <c r="B235">
        <v>5</v>
      </c>
      <c r="C235" t="s">
        <v>886</v>
      </c>
      <c r="D235" t="s">
        <v>471</v>
      </c>
      <c r="E235" t="s">
        <v>8947</v>
      </c>
      <c r="G235">
        <v>15.17</v>
      </c>
      <c r="H235">
        <v>6.83</v>
      </c>
      <c r="I235">
        <v>46.648899999999998</v>
      </c>
      <c r="J235" t="s">
        <v>8991</v>
      </c>
      <c r="K235" t="str">
        <f t="shared" si="6"/>
        <v>Keenan Allen5</v>
      </c>
      <c r="L235" s="21" t="str">
        <f>IF(ISERROR(MATCH($A235,'F Proj'!$B$1:$B$7669,0)),IF(ISERROR(MATCH($A235,'D Proj'!$B$1:$B$513,0)),IF(ISERROR(MATCH($A235,'K Proj'!$B$1:$B$508,0)),"?","K"),"D"),"FLEX")</f>
        <v>FLEX</v>
      </c>
      <c r="M235" s="21">
        <f>MATCH(L235,Pos,0)</f>
        <v>1</v>
      </c>
      <c r="N235" s="21">
        <f>CHOOSE($M235,MATCH($A235&amp;$B235,'F Proj'!$P$1:$P$7669,0),MATCH($A235&amp;$B235,'D Proj'!$X$1:$X$513,0),MATCH($A235&amp;$B235,'K Proj'!$T$1:$T$508,0))</f>
        <v>472</v>
      </c>
      <c r="O235">
        <f>CHOOSE(M235,INDEX('F Proj'!$D$1:$D$7669,N235),INDEX('D Proj'!$T$1:$T$513,N235),INDEX('K Proj'!$L$1:$L$508,N235))</f>
        <v>15.17</v>
      </c>
      <c r="P235">
        <f>CHOOSE(M235,INDEX('F Proj'!$J$1:$J$7669,N235),INDEX('D Proj'!$N$1:$N$513,N235),INDEX('K Proj'!$P$1:$P$508,N235))</f>
        <v>46.648899999999998</v>
      </c>
      <c r="Q235" t="str">
        <f t="shared" si="7"/>
        <v>WR</v>
      </c>
      <c r="R235" t="str">
        <f>IF(L235="FLEX",INDEX('F Proj'!$F$1:$F$7669,N235),Q235)</f>
        <v>WR</v>
      </c>
      <c r="S235" t="str">
        <f>IF((Week+Half_Week-1)&gt;=VALUE(RIGHT(C235,LEN(C235)-SEARCH("-",C235))),LEFT(C235,SEARCH("-",C235)-1),"")</f>
        <v/>
      </c>
    </row>
    <row r="236" spans="1:19" x14ac:dyDescent="0.25">
      <c r="A236" t="s">
        <v>195</v>
      </c>
      <c r="B236">
        <v>2</v>
      </c>
      <c r="C236" t="s">
        <v>628</v>
      </c>
      <c r="D236" t="s">
        <v>473</v>
      </c>
      <c r="E236">
        <v>14.9</v>
      </c>
      <c r="G236">
        <v>14.9</v>
      </c>
      <c r="H236">
        <v>0</v>
      </c>
      <c r="I236">
        <v>0</v>
      </c>
      <c r="J236" t="s">
        <v>653</v>
      </c>
      <c r="K236" t="str">
        <f t="shared" si="6"/>
        <v>Kenny Golladay2</v>
      </c>
      <c r="L236" s="21" t="str">
        <f>IF(ISERROR(MATCH($A236,'F Proj'!$B$1:$B$7669,0)),IF(ISERROR(MATCH($A236,'D Proj'!$B$1:$B$513,0)),IF(ISERROR(MATCH($A236,'K Proj'!$B$1:$B$508,0)),"?","K"),"D"),"FLEX")</f>
        <v>FLEX</v>
      </c>
      <c r="M236" s="21">
        <f>MATCH(L236,Pos,0)</f>
        <v>1</v>
      </c>
      <c r="N236" s="21">
        <f>CHOOSE($M236,MATCH($A236&amp;$B236,'F Proj'!$P$1:$P$7669,0),MATCH($A236&amp;$B236,'D Proj'!$X$1:$X$513,0),MATCH($A236&amp;$B236,'K Proj'!$T$1:$T$508,0))</f>
        <v>2151</v>
      </c>
      <c r="O236">
        <f>CHOOSE(M236,INDEX('F Proj'!$D$1:$D$7669,N236),INDEX('D Proj'!$T$1:$T$513,N236),INDEX('K Proj'!$L$1:$L$508,N236))</f>
        <v>6.07</v>
      </c>
      <c r="P236">
        <f>CHOOSE(M236,INDEX('F Proj'!$J$1:$J$7669,N236),INDEX('D Proj'!$N$1:$N$513,N236),INDEX('K Proj'!$P$1:$P$508,N236))</f>
        <v>45.024099999999997</v>
      </c>
      <c r="Q236" t="str">
        <f t="shared" si="7"/>
        <v>WR</v>
      </c>
      <c r="R236" t="str">
        <f>IF(L236="FLEX",INDEX('F Proj'!$F$1:$F$7669,N236),Q236)</f>
        <v>WR</v>
      </c>
      <c r="S236" t="str">
        <f>IF((Week+Half_Week-1)&gt;=VALUE(RIGHT(C236,LEN(C236)-SEARCH("-",C236))),LEFT(C236,SEARCH("-",C236)-1),"")</f>
        <v>scott</v>
      </c>
    </row>
    <row r="237" spans="1:19" x14ac:dyDescent="0.25">
      <c r="A237" t="s">
        <v>195</v>
      </c>
      <c r="B237">
        <v>3</v>
      </c>
      <c r="C237" t="s">
        <v>807</v>
      </c>
      <c r="D237" t="s">
        <v>473</v>
      </c>
      <c r="E237">
        <v>11.3</v>
      </c>
      <c r="G237">
        <v>11.3</v>
      </c>
      <c r="H237">
        <v>0</v>
      </c>
      <c r="I237">
        <v>0</v>
      </c>
      <c r="J237" t="s">
        <v>4310</v>
      </c>
      <c r="K237" t="str">
        <f t="shared" si="6"/>
        <v>Kenny Golladay3</v>
      </c>
      <c r="L237" s="21" t="str">
        <f>IF(ISERROR(MATCH($A237,'F Proj'!$B$1:$B$7669,0)),IF(ISERROR(MATCH($A237,'D Proj'!$B$1:$B$513,0)),IF(ISERROR(MATCH($A237,'K Proj'!$B$1:$B$508,0)),"?","K"),"D"),"FLEX")</f>
        <v>FLEX</v>
      </c>
      <c r="M237" s="21">
        <f>MATCH(L237,Pos,0)</f>
        <v>1</v>
      </c>
      <c r="N237" s="21">
        <f>CHOOSE($M237,MATCH($A237&amp;$B237,'F Proj'!$P$1:$P$7669,0),MATCH($A237&amp;$B237,'D Proj'!$X$1:$X$513,0),MATCH($A237&amp;$B237,'K Proj'!$T$1:$T$508,0))</f>
        <v>1640</v>
      </c>
      <c r="O237">
        <f>CHOOSE(M237,INDEX('F Proj'!$D$1:$D$7669,N237),INDEX('D Proj'!$T$1:$T$513,N237),INDEX('K Proj'!$L$1:$L$508,N237))</f>
        <v>7.62</v>
      </c>
      <c r="P237">
        <f>CHOOSE(M237,INDEX('F Proj'!$J$1:$J$7669,N237),INDEX('D Proj'!$N$1:$N$513,N237),INDEX('K Proj'!$P$1:$P$508,N237))</f>
        <v>33.756100000000004</v>
      </c>
      <c r="Q237" t="str">
        <f t="shared" si="7"/>
        <v>WR</v>
      </c>
      <c r="R237" t="str">
        <f>IF(L237="FLEX",INDEX('F Proj'!$F$1:$F$7669,N237),Q237)</f>
        <v>WR</v>
      </c>
      <c r="S237" t="str">
        <f>IF((Week+Half_Week-1)&gt;=VALUE(RIGHT(C237,LEN(C237)-SEARCH("-",C237))),LEFT(C237,SEARCH("-",C237)-1),"")</f>
        <v>scott</v>
      </c>
    </row>
    <row r="238" spans="1:19" x14ac:dyDescent="0.25">
      <c r="A238" t="s">
        <v>195</v>
      </c>
      <c r="B238">
        <v>4</v>
      </c>
      <c r="C238" t="s">
        <v>861</v>
      </c>
      <c r="D238" t="s">
        <v>472</v>
      </c>
      <c r="E238">
        <v>7.4</v>
      </c>
      <c r="G238">
        <v>7.4</v>
      </c>
      <c r="H238">
        <v>0</v>
      </c>
      <c r="I238">
        <v>0</v>
      </c>
      <c r="J238" t="s">
        <v>4805</v>
      </c>
      <c r="K238" t="str">
        <f t="shared" si="6"/>
        <v>Kenny Golladay4</v>
      </c>
      <c r="L238" s="21" t="str">
        <f>IF(ISERROR(MATCH($A238,'F Proj'!$B$1:$B$7669,0)),IF(ISERROR(MATCH($A238,'D Proj'!$B$1:$B$513,0)),IF(ISERROR(MATCH($A238,'K Proj'!$B$1:$B$508,0)),"?","K"),"D"),"FLEX")</f>
        <v>FLEX</v>
      </c>
      <c r="M238" s="21">
        <f>MATCH(L238,Pos,0)</f>
        <v>1</v>
      </c>
      <c r="N238" s="21">
        <f>CHOOSE($M238,MATCH($A238&amp;$B238,'F Proj'!$P$1:$P$7669,0),MATCH($A238&amp;$B238,'D Proj'!$X$1:$X$513,0),MATCH($A238&amp;$B238,'K Proj'!$T$1:$T$508,0))</f>
        <v>1333</v>
      </c>
      <c r="O238">
        <f>CHOOSE(M238,INDEX('F Proj'!$D$1:$D$7669,N238),INDEX('D Proj'!$T$1:$T$513,N238),INDEX('K Proj'!$L$1:$L$508,N238))</f>
        <v>8.69</v>
      </c>
      <c r="P238">
        <f>CHOOSE(M238,INDEX('F Proj'!$J$1:$J$7669,N238),INDEX('D Proj'!$N$1:$N$513,N238),INDEX('K Proj'!$P$1:$P$508,N238))</f>
        <v>53.29</v>
      </c>
      <c r="Q238" t="str">
        <f t="shared" si="7"/>
        <v>WR</v>
      </c>
      <c r="R238" t="str">
        <f>IF(L238="FLEX",INDEX('F Proj'!$F$1:$F$7669,N238),Q238)</f>
        <v>WR</v>
      </c>
      <c r="S238" t="str">
        <f>IF((Week+Half_Week-1)&gt;=VALUE(RIGHT(C238,LEN(C238)-SEARCH("-",C238))),LEFT(C238,SEARCH("-",C238)-1),"")</f>
        <v>scott</v>
      </c>
    </row>
    <row r="239" spans="1:19" x14ac:dyDescent="0.25">
      <c r="A239" t="s">
        <v>195</v>
      </c>
      <c r="B239">
        <v>5</v>
      </c>
      <c r="C239" t="s">
        <v>890</v>
      </c>
      <c r="D239" t="s">
        <v>472</v>
      </c>
      <c r="E239" t="s">
        <v>8947</v>
      </c>
      <c r="G239">
        <v>8.16</v>
      </c>
      <c r="H239">
        <v>7.63</v>
      </c>
      <c r="I239">
        <v>58.216900000000003</v>
      </c>
      <c r="J239" t="s">
        <v>8992</v>
      </c>
      <c r="K239" t="str">
        <f t="shared" si="6"/>
        <v>Kenny Golladay5</v>
      </c>
      <c r="L239" s="21" t="str">
        <f>IF(ISERROR(MATCH($A239,'F Proj'!$B$1:$B$7669,0)),IF(ISERROR(MATCH($A239,'D Proj'!$B$1:$B$513,0)),IF(ISERROR(MATCH($A239,'K Proj'!$B$1:$B$508,0)),"?","K"),"D"),"FLEX")</f>
        <v>FLEX</v>
      </c>
      <c r="M239" s="21">
        <f>MATCH(L239,Pos,0)</f>
        <v>1</v>
      </c>
      <c r="N239" s="21">
        <f>CHOOSE($M239,MATCH($A239&amp;$B239,'F Proj'!$P$1:$P$7669,0),MATCH($A239&amp;$B239,'D Proj'!$X$1:$X$513,0),MATCH($A239&amp;$B239,'K Proj'!$T$1:$T$508,0))</f>
        <v>1483</v>
      </c>
      <c r="O239">
        <f>CHOOSE(M239,INDEX('F Proj'!$D$1:$D$7669,N239),INDEX('D Proj'!$T$1:$T$513,N239),INDEX('K Proj'!$L$1:$L$508,N239))</f>
        <v>8.16</v>
      </c>
      <c r="P239">
        <f>CHOOSE(M239,INDEX('F Proj'!$J$1:$J$7669,N239),INDEX('D Proj'!$N$1:$N$513,N239),INDEX('K Proj'!$P$1:$P$508,N239))</f>
        <v>58.216900000000003</v>
      </c>
      <c r="Q239" t="str">
        <f t="shared" si="7"/>
        <v>WR</v>
      </c>
      <c r="R239" t="str">
        <f>IF(L239="FLEX",INDEX('F Proj'!$F$1:$F$7669,N239),Q239)</f>
        <v>WR</v>
      </c>
      <c r="S239" t="str">
        <f>IF((Week+Half_Week-1)&gt;=VALUE(RIGHT(C239,LEN(C239)-SEARCH("-",C239))),LEFT(C239,SEARCH("-",C239)-1),"")</f>
        <v/>
      </c>
    </row>
    <row r="240" spans="1:19" x14ac:dyDescent="0.25">
      <c r="A240" t="s">
        <v>220</v>
      </c>
      <c r="B240">
        <v>1</v>
      </c>
      <c r="C240" t="s">
        <v>506</v>
      </c>
      <c r="D240" t="s">
        <v>466</v>
      </c>
      <c r="E240">
        <v>22.6</v>
      </c>
      <c r="G240">
        <v>22.6</v>
      </c>
      <c r="H240">
        <v>0</v>
      </c>
      <c r="I240">
        <v>0</v>
      </c>
      <c r="J240" t="s">
        <v>555</v>
      </c>
      <c r="K240" t="str">
        <f t="shared" si="6"/>
        <v>Kenny Stills1</v>
      </c>
      <c r="L240" s="21" t="str">
        <f>IF(ISERROR(MATCH($A240,'F Proj'!$B$1:$B$7669,0)),IF(ISERROR(MATCH($A240,'D Proj'!$B$1:$B$513,0)),IF(ISERROR(MATCH($A240,'K Proj'!$B$1:$B$508,0)),"?","K"),"D"),"FLEX")</f>
        <v>FLEX</v>
      </c>
      <c r="M240" s="21">
        <f>MATCH(L240,Pos,0)</f>
        <v>1</v>
      </c>
      <c r="N240" s="21">
        <f>CHOOSE($M240,MATCH($A240&amp;$B240,'F Proj'!$P$1:$P$7669,0),MATCH($A240&amp;$B240,'D Proj'!$X$1:$X$513,0),MATCH($A240&amp;$B240,'K Proj'!$T$1:$T$508,0))</f>
        <v>1661</v>
      </c>
      <c r="O240">
        <f>CHOOSE(M240,INDEX('F Proj'!$D$1:$D$7669,N240),INDEX('D Proj'!$T$1:$T$513,N240),INDEX('K Proj'!$L$1:$L$508,N240))</f>
        <v>7.53</v>
      </c>
      <c r="P240">
        <f>CHOOSE(M240,INDEX('F Proj'!$J$1:$J$7669,N240),INDEX('D Proj'!$N$1:$N$513,N240),INDEX('K Proj'!$P$1:$P$508,N240))</f>
        <v>41.860900000000001</v>
      </c>
      <c r="Q240" t="str">
        <f t="shared" si="7"/>
        <v>WR/RB</v>
      </c>
      <c r="R240" t="str">
        <f>IF(L240="FLEX",INDEX('F Proj'!$F$1:$F$7669,N240),Q240)</f>
        <v>WR</v>
      </c>
      <c r="S240" t="str">
        <f>IF((Week+Half_Week-1)&gt;=VALUE(RIGHT(C240,LEN(C240)-SEARCH("-",C240))),LEFT(C240,SEARCH("-",C240)-1),"")</f>
        <v>comp</v>
      </c>
    </row>
    <row r="241" spans="1:19" x14ac:dyDescent="0.25">
      <c r="A241" t="s">
        <v>290</v>
      </c>
      <c r="B241">
        <v>1</v>
      </c>
      <c r="C241" t="s">
        <v>1649</v>
      </c>
      <c r="D241" t="s">
        <v>469</v>
      </c>
      <c r="E241">
        <v>6.6</v>
      </c>
      <c r="G241">
        <v>6.6</v>
      </c>
      <c r="H241">
        <v>0</v>
      </c>
      <c r="I241">
        <v>0</v>
      </c>
      <c r="J241" t="s">
        <v>1653</v>
      </c>
      <c r="K241" t="str">
        <f t="shared" si="6"/>
        <v>Kenyan Drake1</v>
      </c>
      <c r="L241" s="21" t="str">
        <f>IF(ISERROR(MATCH($A241,'F Proj'!$B$1:$B$7669,0)),IF(ISERROR(MATCH($A241,'D Proj'!$B$1:$B$513,0)),IF(ISERROR(MATCH($A241,'K Proj'!$B$1:$B$508,0)),"?","K"),"D"),"FLEX")</f>
        <v>FLEX</v>
      </c>
      <c r="M241" s="21">
        <f>MATCH(L241,Pos,0)</f>
        <v>1</v>
      </c>
      <c r="N241" s="21">
        <f>CHOOSE($M241,MATCH($A241&amp;$B241,'F Proj'!$P$1:$P$7669,0),MATCH($A241&amp;$B241,'D Proj'!$X$1:$X$513,0),MATCH($A241&amp;$B241,'K Proj'!$T$1:$T$508,0))</f>
        <v>1199</v>
      </c>
      <c r="O241">
        <f>CHOOSE(M241,INDEX('F Proj'!$D$1:$D$7669,N241),INDEX('D Proj'!$T$1:$T$513,N241),INDEX('K Proj'!$L$1:$L$508,N241))</f>
        <v>9.3800000000000008</v>
      </c>
      <c r="P241">
        <f>CHOOSE(M241,INDEX('F Proj'!$J$1:$J$7669,N241),INDEX('D Proj'!$N$1:$N$513,N241),INDEX('K Proj'!$P$1:$P$508,N241))</f>
        <v>33.0625</v>
      </c>
      <c r="Q241" t="str">
        <f t="shared" si="7"/>
        <v>RB</v>
      </c>
      <c r="R241" t="str">
        <f>IF(L241="FLEX",INDEX('F Proj'!$F$1:$F$7669,N241),Q241)</f>
        <v>RB</v>
      </c>
      <c r="S241" t="str">
        <f>IF((Week+Half_Week-1)&gt;=VALUE(RIGHT(C241,LEN(C241)-SEARCH("-",C241))),LEFT(C241,SEARCH("-",C241)-1),"")</f>
        <v>lucas</v>
      </c>
    </row>
    <row r="242" spans="1:19" x14ac:dyDescent="0.25">
      <c r="A242" t="s">
        <v>290</v>
      </c>
      <c r="B242">
        <v>2</v>
      </c>
      <c r="C242" t="s">
        <v>1651</v>
      </c>
      <c r="D242" t="s">
        <v>469</v>
      </c>
      <c r="E242">
        <v>13</v>
      </c>
      <c r="G242">
        <v>13</v>
      </c>
      <c r="H242">
        <v>0</v>
      </c>
      <c r="I242">
        <v>0</v>
      </c>
      <c r="J242" t="s">
        <v>1654</v>
      </c>
      <c r="K242" t="str">
        <f t="shared" si="6"/>
        <v>Kenyan Drake2</v>
      </c>
      <c r="L242" s="21" t="str">
        <f>IF(ISERROR(MATCH($A242,'F Proj'!$B$1:$B$7669,0)),IF(ISERROR(MATCH($A242,'D Proj'!$B$1:$B$513,0)),IF(ISERROR(MATCH($A242,'K Proj'!$B$1:$B$508,0)),"?","K"),"D"),"FLEX")</f>
        <v>FLEX</v>
      </c>
      <c r="M242" s="21">
        <f>MATCH(L242,Pos,0)</f>
        <v>1</v>
      </c>
      <c r="N242" s="21">
        <f>CHOOSE($M242,MATCH($A242&amp;$B242,'F Proj'!$P$1:$P$7669,0),MATCH($A242&amp;$B242,'D Proj'!$X$1:$X$513,0),MATCH($A242&amp;$B242,'K Proj'!$T$1:$T$508,0))</f>
        <v>1237</v>
      </c>
      <c r="O242">
        <f>CHOOSE(M242,INDEX('F Proj'!$D$1:$D$7669,N242),INDEX('D Proj'!$T$1:$T$513,N242),INDEX('K Proj'!$L$1:$L$508,N242))</f>
        <v>9.19</v>
      </c>
      <c r="P242">
        <f>CHOOSE(M242,INDEX('F Proj'!$J$1:$J$7669,N242),INDEX('D Proj'!$N$1:$N$513,N242),INDEX('K Proj'!$P$1:$P$508,N242))</f>
        <v>46.5124</v>
      </c>
      <c r="Q242" t="str">
        <f t="shared" si="7"/>
        <v>RB</v>
      </c>
      <c r="R242" t="str">
        <f>IF(L242="FLEX",INDEX('F Proj'!$F$1:$F$7669,N242),Q242)</f>
        <v>RB</v>
      </c>
      <c r="S242" t="str">
        <f>IF((Week+Half_Week-1)&gt;=VALUE(RIGHT(C242,LEN(C242)-SEARCH("-",C242))),LEFT(C242,SEARCH("-",C242)-1),"")</f>
        <v>lucas</v>
      </c>
    </row>
    <row r="243" spans="1:19" x14ac:dyDescent="0.25">
      <c r="A243" t="s">
        <v>290</v>
      </c>
      <c r="B243">
        <v>3</v>
      </c>
      <c r="C243" t="s">
        <v>1721</v>
      </c>
      <c r="D243" t="s">
        <v>469</v>
      </c>
      <c r="E243">
        <v>1</v>
      </c>
      <c r="G243">
        <v>1</v>
      </c>
      <c r="H243">
        <v>0</v>
      </c>
      <c r="I243">
        <v>0</v>
      </c>
      <c r="J243" t="s">
        <v>4311</v>
      </c>
      <c r="K243" t="str">
        <f t="shared" si="6"/>
        <v>Kenyan Drake3</v>
      </c>
      <c r="L243" s="21" t="str">
        <f>IF(ISERROR(MATCH($A243,'F Proj'!$B$1:$B$7669,0)),IF(ISERROR(MATCH($A243,'D Proj'!$B$1:$B$513,0)),IF(ISERROR(MATCH($A243,'K Proj'!$B$1:$B$508,0)),"?","K"),"D"),"FLEX")</f>
        <v>FLEX</v>
      </c>
      <c r="M243" s="21">
        <f>MATCH(L243,Pos,0)</f>
        <v>1</v>
      </c>
      <c r="N243" s="21">
        <f>CHOOSE($M243,MATCH($A243&amp;$B243,'F Proj'!$P$1:$P$7669,0),MATCH($A243&amp;$B243,'D Proj'!$X$1:$X$513,0),MATCH($A243&amp;$B243,'K Proj'!$T$1:$T$508,0))</f>
        <v>1047</v>
      </c>
      <c r="O243">
        <f>CHOOSE(M243,INDEX('F Proj'!$D$1:$D$7669,N243),INDEX('D Proj'!$T$1:$T$513,N243),INDEX('K Proj'!$L$1:$L$508,N243))</f>
        <v>10.16</v>
      </c>
      <c r="P243">
        <f>CHOOSE(M243,INDEX('F Proj'!$J$1:$J$7669,N243),INDEX('D Proj'!$N$1:$N$513,N243),INDEX('K Proj'!$P$1:$P$508,N243))</f>
        <v>37.4544</v>
      </c>
      <c r="Q243" t="str">
        <f t="shared" si="7"/>
        <v>RB</v>
      </c>
      <c r="R243" t="str">
        <f>IF(L243="FLEX",INDEX('F Proj'!$F$1:$F$7669,N243),Q243)</f>
        <v>RB</v>
      </c>
      <c r="S243" t="str">
        <f>IF((Week+Half_Week-1)&gt;=VALUE(RIGHT(C243,LEN(C243)-SEARCH("-",C243))),LEFT(C243,SEARCH("-",C243)-1),"")</f>
        <v>lucas</v>
      </c>
    </row>
    <row r="244" spans="1:19" x14ac:dyDescent="0.25">
      <c r="A244" t="s">
        <v>43</v>
      </c>
      <c r="B244">
        <v>2</v>
      </c>
      <c r="C244" t="s">
        <v>625</v>
      </c>
      <c r="D244" t="s">
        <v>467</v>
      </c>
      <c r="E244">
        <v>33.5</v>
      </c>
      <c r="G244">
        <v>33.5</v>
      </c>
      <c r="H244">
        <v>0</v>
      </c>
      <c r="I244">
        <v>0</v>
      </c>
      <c r="J244" t="s">
        <v>685</v>
      </c>
      <c r="K244" t="str">
        <f t="shared" si="6"/>
        <v>Kirk Cousins2</v>
      </c>
      <c r="L244" s="21" t="str">
        <f>IF(ISERROR(MATCH($A244,'F Proj'!$B$1:$B$7669,0)),IF(ISERROR(MATCH($A244,'D Proj'!$B$1:$B$513,0)),IF(ISERROR(MATCH($A244,'K Proj'!$B$1:$B$508,0)),"?","K"),"D"),"FLEX")</f>
        <v>FLEX</v>
      </c>
      <c r="M244" s="21">
        <f>MATCH(L244,Pos,0)</f>
        <v>1</v>
      </c>
      <c r="N244" s="21">
        <f>CHOOSE($M244,MATCH($A244&amp;$B244,'F Proj'!$P$1:$P$7669,0),MATCH($A244&amp;$B244,'D Proj'!$X$1:$X$513,0),MATCH($A244&amp;$B244,'K Proj'!$T$1:$T$508,0))</f>
        <v>261</v>
      </c>
      <c r="O244">
        <f>CHOOSE(M244,INDEX('F Proj'!$D$1:$D$7669,N244),INDEX('D Proj'!$T$1:$T$513,N244),INDEX('K Proj'!$L$1:$L$508,N244))</f>
        <v>18.32</v>
      </c>
      <c r="P244">
        <f>CHOOSE(M244,INDEX('F Proj'!$J$1:$J$7669,N244),INDEX('D Proj'!$N$1:$N$513,N244),INDEX('K Proj'!$P$1:$P$508,N244))</f>
        <v>39.69</v>
      </c>
      <c r="Q244" t="str">
        <f t="shared" si="7"/>
        <v>QB</v>
      </c>
      <c r="R244" t="str">
        <f>IF(L244="FLEX",INDEX('F Proj'!$F$1:$F$7669,N244),Q244)</f>
        <v>QB</v>
      </c>
      <c r="S244" t="str">
        <f>IF((Week+Half_Week-1)&gt;=VALUE(RIGHT(C244,LEN(C244)-SEARCH("-",C244))),LEFT(C244,SEARCH("-",C244)-1),"")</f>
        <v>aj</v>
      </c>
    </row>
    <row r="245" spans="1:19" x14ac:dyDescent="0.25">
      <c r="A245" t="s">
        <v>43</v>
      </c>
      <c r="B245">
        <v>3</v>
      </c>
      <c r="C245" t="s">
        <v>806</v>
      </c>
      <c r="D245" t="s">
        <v>467</v>
      </c>
      <c r="E245">
        <v>10</v>
      </c>
      <c r="G245">
        <v>10</v>
      </c>
      <c r="H245">
        <v>0</v>
      </c>
      <c r="I245">
        <v>0</v>
      </c>
      <c r="J245" t="s">
        <v>4312</v>
      </c>
      <c r="K245" t="str">
        <f t="shared" si="6"/>
        <v>Kirk Cousins3</v>
      </c>
      <c r="L245" s="21" t="str">
        <f>IF(ISERROR(MATCH($A245,'F Proj'!$B$1:$B$7669,0)),IF(ISERROR(MATCH($A245,'D Proj'!$B$1:$B$513,0)),IF(ISERROR(MATCH($A245,'K Proj'!$B$1:$B$508,0)),"?","K"),"D"),"FLEX")</f>
        <v>FLEX</v>
      </c>
      <c r="M245" s="21">
        <f>MATCH(L245,Pos,0)</f>
        <v>1</v>
      </c>
      <c r="N245" s="21">
        <f>CHOOSE($M245,MATCH($A245&amp;$B245,'F Proj'!$P$1:$P$7669,0),MATCH($A245&amp;$B245,'D Proj'!$X$1:$X$513,0),MATCH($A245&amp;$B245,'K Proj'!$T$1:$T$508,0))</f>
        <v>302</v>
      </c>
      <c r="O245">
        <f>CHOOSE(M245,INDEX('F Proj'!$D$1:$D$7669,N245),INDEX('D Proj'!$T$1:$T$513,N245),INDEX('K Proj'!$L$1:$L$508,N245))</f>
        <v>17.54</v>
      </c>
      <c r="P245">
        <f>CHOOSE(M245,INDEX('F Proj'!$J$1:$J$7669,N245),INDEX('D Proj'!$N$1:$N$513,N245),INDEX('K Proj'!$P$1:$P$508,N245))</f>
        <v>44.355600000000003</v>
      </c>
      <c r="Q245" t="str">
        <f t="shared" si="7"/>
        <v>QB</v>
      </c>
      <c r="R245" t="str">
        <f>IF(L245="FLEX",INDEX('F Proj'!$F$1:$F$7669,N245),Q245)</f>
        <v>QB</v>
      </c>
      <c r="S245" t="str">
        <f>IF((Week+Half_Week-1)&gt;=VALUE(RIGHT(C245,LEN(C245)-SEARCH("-",C245))),LEFT(C245,SEARCH("-",C245)-1),"")</f>
        <v>aj</v>
      </c>
    </row>
    <row r="246" spans="1:19" x14ac:dyDescent="0.25">
      <c r="A246" t="s">
        <v>181</v>
      </c>
      <c r="B246">
        <v>1</v>
      </c>
      <c r="C246" t="s">
        <v>502</v>
      </c>
      <c r="D246" t="s">
        <v>475</v>
      </c>
      <c r="E246">
        <v>7.1</v>
      </c>
      <c r="G246">
        <v>7.1</v>
      </c>
      <c r="H246">
        <v>0</v>
      </c>
      <c r="I246">
        <v>0</v>
      </c>
      <c r="J246" t="s">
        <v>538</v>
      </c>
      <c r="K246" t="str">
        <f t="shared" si="6"/>
        <v>Kyle Rudolph1</v>
      </c>
      <c r="L246" s="21" t="str">
        <f>IF(ISERROR(MATCH($A246,'F Proj'!$B$1:$B$7669,0)),IF(ISERROR(MATCH($A246,'D Proj'!$B$1:$B$513,0)),IF(ISERROR(MATCH($A246,'K Proj'!$B$1:$B$508,0)),"?","K"),"D"),"FLEX")</f>
        <v>FLEX</v>
      </c>
      <c r="M246" s="21">
        <f>MATCH(L246,Pos,0)</f>
        <v>1</v>
      </c>
      <c r="N246" s="21">
        <f>CHOOSE($M246,MATCH($A246&amp;$B246,'F Proj'!$P$1:$P$7669,0),MATCH($A246&amp;$B246,'D Proj'!$X$1:$X$513,0),MATCH($A246&amp;$B246,'K Proj'!$T$1:$T$508,0))</f>
        <v>1763</v>
      </c>
      <c r="O246">
        <f>CHOOSE(M246,INDEX('F Proj'!$D$1:$D$7669,N246),INDEX('D Proj'!$T$1:$T$513,N246),INDEX('K Proj'!$L$1:$L$508,N246))</f>
        <v>7.2</v>
      </c>
      <c r="P246">
        <f>CHOOSE(M246,INDEX('F Proj'!$J$1:$J$7669,N246),INDEX('D Proj'!$N$1:$N$513,N246),INDEX('K Proj'!$P$1:$P$508,N246))</f>
        <v>25</v>
      </c>
      <c r="Q246" t="str">
        <f t="shared" si="7"/>
        <v>TE</v>
      </c>
      <c r="R246" t="str">
        <f>IF(L246="FLEX",INDEX('F Proj'!$F$1:$F$7669,N246),Q246)</f>
        <v>TE</v>
      </c>
      <c r="S246" t="str">
        <f>IF((Week+Half_Week-1)&gt;=VALUE(RIGHT(C246,LEN(C246)-SEARCH("-",C246))),LEFT(C246,SEARCH("-",C246)-1),"")</f>
        <v>cory</v>
      </c>
    </row>
    <row r="247" spans="1:19" x14ac:dyDescent="0.25">
      <c r="A247" t="s">
        <v>181</v>
      </c>
      <c r="B247">
        <v>2</v>
      </c>
      <c r="C247" t="s">
        <v>618</v>
      </c>
      <c r="D247" t="s">
        <v>475</v>
      </c>
      <c r="E247">
        <v>7.2</v>
      </c>
      <c r="G247">
        <v>7.2</v>
      </c>
      <c r="H247">
        <v>0</v>
      </c>
      <c r="I247">
        <v>0</v>
      </c>
      <c r="J247" t="s">
        <v>667</v>
      </c>
      <c r="K247" t="str">
        <f t="shared" si="6"/>
        <v>Kyle Rudolph2</v>
      </c>
      <c r="L247" s="21" t="str">
        <f>IF(ISERROR(MATCH($A247,'F Proj'!$B$1:$B$7669,0)),IF(ISERROR(MATCH($A247,'D Proj'!$B$1:$B$513,0)),IF(ISERROR(MATCH($A247,'K Proj'!$B$1:$B$508,0)),"?","K"),"D"),"FLEX")</f>
        <v>FLEX</v>
      </c>
      <c r="M247" s="21">
        <f>MATCH(L247,Pos,0)</f>
        <v>1</v>
      </c>
      <c r="N247" s="21">
        <f>CHOOSE($M247,MATCH($A247&amp;$B247,'F Proj'!$P$1:$P$7669,0),MATCH($A247&amp;$B247,'D Proj'!$X$1:$X$513,0),MATCH($A247&amp;$B247,'K Proj'!$T$1:$T$508,0))</f>
        <v>2074</v>
      </c>
      <c r="O247">
        <f>CHOOSE(M247,INDEX('F Proj'!$D$1:$D$7669,N247),INDEX('D Proj'!$T$1:$T$513,N247),INDEX('K Proj'!$L$1:$L$508,N247))</f>
        <v>6.29</v>
      </c>
      <c r="P247">
        <f>CHOOSE(M247,INDEX('F Proj'!$J$1:$J$7669,N247),INDEX('D Proj'!$N$1:$N$513,N247),INDEX('K Proj'!$P$1:$P$508,N247))</f>
        <v>21.252099999999999</v>
      </c>
      <c r="Q247" t="str">
        <f t="shared" si="7"/>
        <v>TE</v>
      </c>
      <c r="R247" t="str">
        <f>IF(L247="FLEX",INDEX('F Proj'!$F$1:$F$7669,N247),Q247)</f>
        <v>TE</v>
      </c>
      <c r="S247" t="str">
        <f>IF((Week+Half_Week-1)&gt;=VALUE(RIGHT(C247,LEN(C247)-SEARCH("-",C247))),LEFT(C247,SEARCH("-",C247)-1),"")</f>
        <v>cory</v>
      </c>
    </row>
    <row r="248" spans="1:19" x14ac:dyDescent="0.25">
      <c r="A248" t="s">
        <v>181</v>
      </c>
      <c r="B248">
        <v>3</v>
      </c>
      <c r="C248" t="s">
        <v>803</v>
      </c>
      <c r="D248" t="s">
        <v>475</v>
      </c>
      <c r="E248">
        <v>10.8</v>
      </c>
      <c r="G248">
        <v>10.8</v>
      </c>
      <c r="H248">
        <v>0</v>
      </c>
      <c r="I248">
        <v>0</v>
      </c>
      <c r="J248" t="s">
        <v>4313</v>
      </c>
      <c r="K248" t="str">
        <f t="shared" si="6"/>
        <v>Kyle Rudolph3</v>
      </c>
      <c r="L248" s="21" t="str">
        <f>IF(ISERROR(MATCH($A248,'F Proj'!$B$1:$B$7669,0)),IF(ISERROR(MATCH($A248,'D Proj'!$B$1:$B$513,0)),IF(ISERROR(MATCH($A248,'K Proj'!$B$1:$B$508,0)),"?","K"),"D"),"FLEX")</f>
        <v>FLEX</v>
      </c>
      <c r="M248" s="21">
        <f>MATCH(L248,Pos,0)</f>
        <v>1</v>
      </c>
      <c r="N248" s="21">
        <f>CHOOSE($M248,MATCH($A248&amp;$B248,'F Proj'!$P$1:$P$7669,0),MATCH($A248&amp;$B248,'D Proj'!$X$1:$X$513,0),MATCH($A248&amp;$B248,'K Proj'!$T$1:$T$508,0))</f>
        <v>1789</v>
      </c>
      <c r="O248">
        <f>CHOOSE(M248,INDEX('F Proj'!$D$1:$D$7669,N248),INDEX('D Proj'!$T$1:$T$513,N248),INDEX('K Proj'!$L$1:$L$508,N248))</f>
        <v>7.14</v>
      </c>
      <c r="P248">
        <f>CHOOSE(M248,INDEX('F Proj'!$J$1:$J$7669,N248),INDEX('D Proj'!$N$1:$N$513,N248),INDEX('K Proj'!$P$1:$P$508,N248))</f>
        <v>15.366400000000001</v>
      </c>
      <c r="Q248" t="str">
        <f t="shared" si="7"/>
        <v>TE</v>
      </c>
      <c r="R248" t="str">
        <f>IF(L248="FLEX",INDEX('F Proj'!$F$1:$F$7669,N248),Q248)</f>
        <v>TE</v>
      </c>
      <c r="S248" t="str">
        <f>IF((Week+Half_Week-1)&gt;=VALUE(RIGHT(C248,LEN(C248)-SEARCH("-",C248))),LEFT(C248,SEARCH("-",C248)-1),"")</f>
        <v>cory</v>
      </c>
    </row>
    <row r="249" spans="1:19" x14ac:dyDescent="0.25">
      <c r="A249" t="s">
        <v>181</v>
      </c>
      <c r="B249">
        <v>4</v>
      </c>
      <c r="C249" t="s">
        <v>858</v>
      </c>
      <c r="D249" t="s">
        <v>475</v>
      </c>
      <c r="E249">
        <v>5.7</v>
      </c>
      <c r="G249">
        <v>5.7</v>
      </c>
      <c r="H249">
        <v>0</v>
      </c>
      <c r="I249">
        <v>0</v>
      </c>
      <c r="J249" t="s">
        <v>4795</v>
      </c>
      <c r="K249" t="str">
        <f t="shared" si="6"/>
        <v>Kyle Rudolph4</v>
      </c>
      <c r="L249" s="21" t="str">
        <f>IF(ISERROR(MATCH($A249,'F Proj'!$B$1:$B$7669,0)),IF(ISERROR(MATCH($A249,'D Proj'!$B$1:$B$513,0)),IF(ISERROR(MATCH($A249,'K Proj'!$B$1:$B$508,0)),"?","K"),"D"),"FLEX")</f>
        <v>FLEX</v>
      </c>
      <c r="M249" s="21">
        <f>MATCH(L249,Pos,0)</f>
        <v>1</v>
      </c>
      <c r="N249" s="21">
        <f>CHOOSE($M249,MATCH($A249&amp;$B249,'F Proj'!$P$1:$P$7669,0),MATCH($A249&amp;$B249,'D Proj'!$X$1:$X$513,0),MATCH($A249&amp;$B249,'K Proj'!$T$1:$T$508,0))</f>
        <v>2018</v>
      </c>
      <c r="O249">
        <f>CHOOSE(M249,INDEX('F Proj'!$D$1:$D$7669,N249),INDEX('D Proj'!$T$1:$T$513,N249),INDEX('K Proj'!$L$1:$L$508,N249))</f>
        <v>6.44</v>
      </c>
      <c r="P249">
        <f>CHOOSE(M249,INDEX('F Proj'!$J$1:$J$7669,N249),INDEX('D Proj'!$N$1:$N$513,N249),INDEX('K Proj'!$P$1:$P$508,N249))</f>
        <v>16.2409</v>
      </c>
      <c r="Q249" t="str">
        <f t="shared" si="7"/>
        <v>TE</v>
      </c>
      <c r="R249" t="str">
        <f>IF(L249="FLEX",INDEX('F Proj'!$F$1:$F$7669,N249),Q249)</f>
        <v>TE</v>
      </c>
      <c r="S249" t="str">
        <f>IF((Week+Half_Week-1)&gt;=VALUE(RIGHT(C249,LEN(C249)-SEARCH("-",C249))),LEFT(C249,SEARCH("-",C249)-1),"")</f>
        <v>cory</v>
      </c>
    </row>
    <row r="250" spans="1:19" x14ac:dyDescent="0.25">
      <c r="A250" t="s">
        <v>181</v>
      </c>
      <c r="B250">
        <v>5</v>
      </c>
      <c r="C250" t="s">
        <v>883</v>
      </c>
      <c r="D250" t="s">
        <v>475</v>
      </c>
      <c r="E250" t="s">
        <v>8947</v>
      </c>
      <c r="G250">
        <v>6.37</v>
      </c>
      <c r="H250">
        <v>4.13</v>
      </c>
      <c r="I250">
        <v>17.056899999999999</v>
      </c>
      <c r="J250" t="s">
        <v>8993</v>
      </c>
      <c r="K250" t="str">
        <f t="shared" si="6"/>
        <v>Kyle Rudolph5</v>
      </c>
      <c r="L250" s="21" t="str">
        <f>IF(ISERROR(MATCH($A250,'F Proj'!$B$1:$B$7669,0)),IF(ISERROR(MATCH($A250,'D Proj'!$B$1:$B$513,0)),IF(ISERROR(MATCH($A250,'K Proj'!$B$1:$B$508,0)),"?","K"),"D"),"FLEX")</f>
        <v>FLEX</v>
      </c>
      <c r="M250" s="21">
        <f>MATCH(L250,Pos,0)</f>
        <v>1</v>
      </c>
      <c r="N250" s="21">
        <f>CHOOSE($M250,MATCH($A250&amp;$B250,'F Proj'!$P$1:$P$7669,0),MATCH($A250&amp;$B250,'D Proj'!$X$1:$X$513,0),MATCH($A250&amp;$B250,'K Proj'!$T$1:$T$508,0))</f>
        <v>2050</v>
      </c>
      <c r="O250">
        <f>CHOOSE(M250,INDEX('F Proj'!$D$1:$D$7669,N250),INDEX('D Proj'!$T$1:$T$513,N250),INDEX('K Proj'!$L$1:$L$508,N250))</f>
        <v>6.37</v>
      </c>
      <c r="P250">
        <f>CHOOSE(M250,INDEX('F Proj'!$J$1:$J$7669,N250),INDEX('D Proj'!$N$1:$N$513,N250),INDEX('K Proj'!$P$1:$P$508,N250))</f>
        <v>17.056899999999999</v>
      </c>
      <c r="Q250" t="str">
        <f t="shared" si="7"/>
        <v>TE</v>
      </c>
      <c r="R250" t="str">
        <f>IF(L250="FLEX",INDEX('F Proj'!$F$1:$F$7669,N250),Q250)</f>
        <v>TE</v>
      </c>
      <c r="S250" t="str">
        <f>IF((Week+Half_Week-1)&gt;=VALUE(RIGHT(C250,LEN(C250)-SEARCH("-",C250))),LEFT(C250,SEARCH("-",C250)-1),"")</f>
        <v/>
      </c>
    </row>
    <row r="251" spans="1:19" x14ac:dyDescent="0.25">
      <c r="A251" t="s">
        <v>99</v>
      </c>
      <c r="B251">
        <v>1</v>
      </c>
      <c r="C251" t="s">
        <v>507</v>
      </c>
      <c r="D251" t="s">
        <v>469</v>
      </c>
      <c r="E251">
        <v>10.9</v>
      </c>
      <c r="G251">
        <v>10.9</v>
      </c>
      <c r="H251">
        <v>0</v>
      </c>
      <c r="I251">
        <v>0</v>
      </c>
      <c r="J251" t="s">
        <v>519</v>
      </c>
      <c r="K251" t="str">
        <f t="shared" si="6"/>
        <v>Lamar Miller1</v>
      </c>
      <c r="L251" s="21" t="str">
        <f>IF(ISERROR(MATCH($A251,'F Proj'!$B$1:$B$7669,0)),IF(ISERROR(MATCH($A251,'D Proj'!$B$1:$B$513,0)),IF(ISERROR(MATCH($A251,'K Proj'!$B$1:$B$508,0)),"?","K"),"D"),"FLEX")</f>
        <v>FLEX</v>
      </c>
      <c r="M251" s="21">
        <f>MATCH(L251,Pos,0)</f>
        <v>1</v>
      </c>
      <c r="N251" s="21">
        <f>CHOOSE($M251,MATCH($A251&amp;$B251,'F Proj'!$P$1:$P$7669,0),MATCH($A251&amp;$B251,'D Proj'!$X$1:$X$513,0),MATCH($A251&amp;$B251,'K Proj'!$T$1:$T$508,0))</f>
        <v>1035</v>
      </c>
      <c r="O251">
        <f>CHOOSE(M251,INDEX('F Proj'!$D$1:$D$7669,N251),INDEX('D Proj'!$T$1:$T$513,N251),INDEX('K Proj'!$L$1:$L$508,N251))</f>
        <v>10.23</v>
      </c>
      <c r="P251">
        <f>CHOOSE(M251,INDEX('F Proj'!$J$1:$J$7669,N251),INDEX('D Proj'!$N$1:$N$513,N251),INDEX('K Proj'!$P$1:$P$508,N251))</f>
        <v>32.376100000000001</v>
      </c>
      <c r="Q251" t="str">
        <f t="shared" si="7"/>
        <v>RB</v>
      </c>
      <c r="R251" t="str">
        <f>IF(L251="FLEX",INDEX('F Proj'!$F$1:$F$7669,N251),Q251)</f>
        <v>RB</v>
      </c>
      <c r="S251" t="str">
        <f>IF((Week+Half_Week-1)&gt;=VALUE(RIGHT(C251,LEN(C251)-SEARCH("-",C251))),LEFT(C251,SEARCH("-",C251)-1),"")</f>
        <v>aj</v>
      </c>
    </row>
    <row r="252" spans="1:19" x14ac:dyDescent="0.25">
      <c r="A252" t="s">
        <v>99</v>
      </c>
      <c r="B252">
        <v>2</v>
      </c>
      <c r="C252" t="s">
        <v>623</v>
      </c>
      <c r="D252" t="s">
        <v>469</v>
      </c>
      <c r="E252">
        <v>7</v>
      </c>
      <c r="G252">
        <v>7</v>
      </c>
      <c r="H252">
        <v>0</v>
      </c>
      <c r="I252">
        <v>0</v>
      </c>
      <c r="J252" t="s">
        <v>689</v>
      </c>
      <c r="K252" t="str">
        <f t="shared" si="6"/>
        <v>Lamar Miller2</v>
      </c>
      <c r="L252" s="21" t="str">
        <f>IF(ISERROR(MATCH($A252,'F Proj'!$B$1:$B$7669,0)),IF(ISERROR(MATCH($A252,'D Proj'!$B$1:$B$513,0)),IF(ISERROR(MATCH($A252,'K Proj'!$B$1:$B$508,0)),"?","K"),"D"),"FLEX")</f>
        <v>FLEX</v>
      </c>
      <c r="M252" s="21">
        <f>MATCH(L252,Pos,0)</f>
        <v>1</v>
      </c>
      <c r="N252" s="21">
        <f>CHOOSE($M252,MATCH($A252&amp;$B252,'F Proj'!$P$1:$P$7669,0),MATCH($A252&amp;$B252,'D Proj'!$X$1:$X$513,0),MATCH($A252&amp;$B252,'K Proj'!$T$1:$T$508,0))</f>
        <v>893</v>
      </c>
      <c r="O252">
        <f>CHOOSE(M252,INDEX('F Proj'!$D$1:$D$7669,N252),INDEX('D Proj'!$T$1:$T$513,N252),INDEX('K Proj'!$L$1:$L$508,N252))</f>
        <v>11.29</v>
      </c>
      <c r="P252">
        <f>CHOOSE(M252,INDEX('F Proj'!$J$1:$J$7669,N252),INDEX('D Proj'!$N$1:$N$513,N252),INDEX('K Proj'!$P$1:$P$508,N252))</f>
        <v>39.816099999999999</v>
      </c>
      <c r="Q252" t="str">
        <f t="shared" si="7"/>
        <v>RB</v>
      </c>
      <c r="R252" t="str">
        <f>IF(L252="FLEX",INDEX('F Proj'!$F$1:$F$7669,N252),Q252)</f>
        <v>RB</v>
      </c>
      <c r="S252" t="str">
        <f>IF((Week+Half_Week-1)&gt;=VALUE(RIGHT(C252,LEN(C252)-SEARCH("-",C252))),LEFT(C252,SEARCH("-",C252)-1),"")</f>
        <v>comp</v>
      </c>
    </row>
    <row r="253" spans="1:19" x14ac:dyDescent="0.25">
      <c r="A253" t="s">
        <v>99</v>
      </c>
      <c r="B253">
        <v>3</v>
      </c>
      <c r="C253" t="s">
        <v>805</v>
      </c>
      <c r="D253" t="s">
        <v>468</v>
      </c>
      <c r="E253">
        <v>9.1</v>
      </c>
      <c r="G253">
        <v>9.1</v>
      </c>
      <c r="H253">
        <v>0</v>
      </c>
      <c r="I253">
        <v>0</v>
      </c>
      <c r="J253" t="s">
        <v>4314</v>
      </c>
      <c r="K253" t="str">
        <f t="shared" si="6"/>
        <v>Lamar Miller3</v>
      </c>
      <c r="L253" s="21" t="str">
        <f>IF(ISERROR(MATCH($A253,'F Proj'!$B$1:$B$7669,0)),IF(ISERROR(MATCH($A253,'D Proj'!$B$1:$B$513,0)),IF(ISERROR(MATCH($A253,'K Proj'!$B$1:$B$508,0)),"?","K"),"D"),"FLEX")</f>
        <v>FLEX</v>
      </c>
      <c r="M253" s="21">
        <f>MATCH(L253,Pos,0)</f>
        <v>1</v>
      </c>
      <c r="N253" s="21">
        <f>CHOOSE($M253,MATCH($A253&amp;$B253,'F Proj'!$P$1:$P$7669,0),MATCH($A253&amp;$B253,'D Proj'!$X$1:$X$513,0),MATCH($A253&amp;$B253,'K Proj'!$T$1:$T$508,0))</f>
        <v>881</v>
      </c>
      <c r="O253">
        <f>CHOOSE(M253,INDEX('F Proj'!$D$1:$D$7669,N253),INDEX('D Proj'!$T$1:$T$513,N253),INDEX('K Proj'!$L$1:$L$508,N253))</f>
        <v>11.37</v>
      </c>
      <c r="P253">
        <f>CHOOSE(M253,INDEX('F Proj'!$J$1:$J$7669,N253),INDEX('D Proj'!$N$1:$N$513,N253),INDEX('K Proj'!$P$1:$P$508,N253))</f>
        <v>46.24</v>
      </c>
      <c r="Q253" t="str">
        <f t="shared" si="7"/>
        <v>RB</v>
      </c>
      <c r="R253" t="str">
        <f>IF(L253="FLEX",INDEX('F Proj'!$F$1:$F$7669,N253),Q253)</f>
        <v>RB</v>
      </c>
      <c r="S253" t="str">
        <f>IF((Week+Half_Week-1)&gt;=VALUE(RIGHT(C253,LEN(C253)-SEARCH("-",C253))),LEFT(C253,SEARCH("-",C253)-1),"")</f>
        <v>comp</v>
      </c>
    </row>
    <row r="254" spans="1:19" x14ac:dyDescent="0.25">
      <c r="A254" t="s">
        <v>99</v>
      </c>
      <c r="B254">
        <v>4</v>
      </c>
      <c r="C254" t="s">
        <v>860</v>
      </c>
      <c r="D254" t="s">
        <v>469</v>
      </c>
      <c r="E254">
        <v>4.9000000000000004</v>
      </c>
      <c r="G254">
        <v>4.9000000000000004</v>
      </c>
      <c r="H254">
        <v>0</v>
      </c>
      <c r="I254">
        <v>0</v>
      </c>
      <c r="J254" t="s">
        <v>4751</v>
      </c>
      <c r="K254" t="str">
        <f t="shared" si="6"/>
        <v>Lamar Miller4</v>
      </c>
      <c r="L254" s="21" t="str">
        <f>IF(ISERROR(MATCH($A254,'F Proj'!$B$1:$B$7669,0)),IF(ISERROR(MATCH($A254,'D Proj'!$B$1:$B$513,0)),IF(ISERROR(MATCH($A254,'K Proj'!$B$1:$B$508,0)),"?","K"),"D"),"FLEX")</f>
        <v>FLEX</v>
      </c>
      <c r="M254" s="21">
        <f>MATCH(L254,Pos,0)</f>
        <v>1</v>
      </c>
      <c r="N254" s="21">
        <f>CHOOSE($M254,MATCH($A254&amp;$B254,'F Proj'!$P$1:$P$7669,0),MATCH($A254&amp;$B254,'D Proj'!$X$1:$X$513,0),MATCH($A254&amp;$B254,'K Proj'!$T$1:$T$508,0))</f>
        <v>858</v>
      </c>
      <c r="O254">
        <f>CHOOSE(M254,INDEX('F Proj'!$D$1:$D$7669,N254),INDEX('D Proj'!$T$1:$T$513,N254),INDEX('K Proj'!$L$1:$L$508,N254))</f>
        <v>11.68</v>
      </c>
      <c r="P254">
        <f>CHOOSE(M254,INDEX('F Proj'!$J$1:$J$7669,N254),INDEX('D Proj'!$N$1:$N$513,N254),INDEX('K Proj'!$P$1:$P$508,N254))</f>
        <v>55.204900000000002</v>
      </c>
      <c r="Q254" t="str">
        <f t="shared" si="7"/>
        <v>RB</v>
      </c>
      <c r="R254" t="str">
        <f>IF(L254="FLEX",INDEX('F Proj'!$F$1:$F$7669,N254),Q254)</f>
        <v>RB</v>
      </c>
      <c r="S254" t="str">
        <f>IF((Week+Half_Week-1)&gt;=VALUE(RIGHT(C254,LEN(C254)-SEARCH("-",C254))),LEFT(C254,SEARCH("-",C254)-1),"")</f>
        <v>comp</v>
      </c>
    </row>
    <row r="255" spans="1:19" x14ac:dyDescent="0.25">
      <c r="A255" t="s">
        <v>99</v>
      </c>
      <c r="B255">
        <v>5</v>
      </c>
      <c r="C255" t="s">
        <v>887</v>
      </c>
      <c r="D255" t="s">
        <v>468</v>
      </c>
      <c r="E255" t="s">
        <v>8947</v>
      </c>
      <c r="G255">
        <v>11.82</v>
      </c>
      <c r="H255">
        <v>6.41</v>
      </c>
      <c r="I255">
        <v>41.088099999999997</v>
      </c>
      <c r="J255" t="s">
        <v>8994</v>
      </c>
      <c r="K255" t="str">
        <f t="shared" si="6"/>
        <v>Lamar Miller5</v>
      </c>
      <c r="L255" s="21" t="str">
        <f>IF(ISERROR(MATCH($A255,'F Proj'!$B$1:$B$7669,0)),IF(ISERROR(MATCH($A255,'D Proj'!$B$1:$B$513,0)),IF(ISERROR(MATCH($A255,'K Proj'!$B$1:$B$508,0)),"?","K"),"D"),"FLEX")</f>
        <v>FLEX</v>
      </c>
      <c r="M255" s="21">
        <f>MATCH(L255,Pos,0)</f>
        <v>1</v>
      </c>
      <c r="N255" s="21">
        <f>CHOOSE($M255,MATCH($A255&amp;$B255,'F Proj'!$P$1:$P$7669,0),MATCH($A255&amp;$B255,'D Proj'!$X$1:$X$513,0),MATCH($A255&amp;$B255,'K Proj'!$T$1:$T$508,0))</f>
        <v>836</v>
      </c>
      <c r="O255">
        <f>CHOOSE(M255,INDEX('F Proj'!$D$1:$D$7669,N255),INDEX('D Proj'!$T$1:$T$513,N255),INDEX('K Proj'!$L$1:$L$508,N255))</f>
        <v>11.82</v>
      </c>
      <c r="P255">
        <f>CHOOSE(M255,INDEX('F Proj'!$J$1:$J$7669,N255),INDEX('D Proj'!$N$1:$N$513,N255),INDEX('K Proj'!$P$1:$P$508,N255))</f>
        <v>41.088099999999997</v>
      </c>
      <c r="Q255" t="str">
        <f t="shared" si="7"/>
        <v>RB</v>
      </c>
      <c r="R255" t="str">
        <f>IF(L255="FLEX",INDEX('F Proj'!$F$1:$F$7669,N255),Q255)</f>
        <v>RB</v>
      </c>
      <c r="S255" t="str">
        <f>IF((Week+Half_Week-1)&gt;=VALUE(RIGHT(C255,LEN(C255)-SEARCH("-",C255))),LEFT(C255,SEARCH("-",C255)-1),"")</f>
        <v/>
      </c>
    </row>
    <row r="256" spans="1:19" x14ac:dyDescent="0.25">
      <c r="A256" t="s">
        <v>140</v>
      </c>
      <c r="B256">
        <v>1</v>
      </c>
      <c r="C256" t="s">
        <v>500</v>
      </c>
      <c r="D256" t="s">
        <v>473</v>
      </c>
      <c r="E256">
        <v>7.6</v>
      </c>
      <c r="G256">
        <v>7.6</v>
      </c>
      <c r="H256">
        <v>0</v>
      </c>
      <c r="I256">
        <v>0</v>
      </c>
      <c r="J256" t="s">
        <v>574</v>
      </c>
      <c r="K256" t="str">
        <f t="shared" si="6"/>
        <v>Larry Fitzgerald1</v>
      </c>
      <c r="L256" s="21" t="str">
        <f>IF(ISERROR(MATCH($A256,'F Proj'!$B$1:$B$7669,0)),IF(ISERROR(MATCH($A256,'D Proj'!$B$1:$B$513,0)),IF(ISERROR(MATCH($A256,'K Proj'!$B$1:$B$508,0)),"?","K"),"D"),"FLEX")</f>
        <v>FLEX</v>
      </c>
      <c r="M256" s="21">
        <f>MATCH(L256,Pos,0)</f>
        <v>1</v>
      </c>
      <c r="N256" s="21">
        <f>CHOOSE($M256,MATCH($A256&amp;$B256,'F Proj'!$P$1:$P$7669,0),MATCH($A256&amp;$B256,'D Proj'!$X$1:$X$513,0),MATCH($A256&amp;$B256,'K Proj'!$T$1:$T$508,0))</f>
        <v>1238</v>
      </c>
      <c r="O256">
        <f>CHOOSE(M256,INDEX('F Proj'!$D$1:$D$7669,N256),INDEX('D Proj'!$T$1:$T$513,N256),INDEX('K Proj'!$L$1:$L$508,N256))</f>
        <v>9.18</v>
      </c>
      <c r="P256">
        <f>CHOOSE(M256,INDEX('F Proj'!$J$1:$J$7669,N256),INDEX('D Proj'!$N$1:$N$513,N256),INDEX('K Proj'!$P$1:$P$508,N256))</f>
        <v>23.522500000000001</v>
      </c>
      <c r="Q256" t="str">
        <f t="shared" si="7"/>
        <v>WR</v>
      </c>
      <c r="R256" t="str">
        <f>IF(L256="FLEX",INDEX('F Proj'!$F$1:$F$7669,N256),Q256)</f>
        <v>WR</v>
      </c>
      <c r="S256" t="str">
        <f>IF((Week+Half_Week-1)&gt;=VALUE(RIGHT(C256,LEN(C256)-SEARCH("-",C256))),LEFT(C256,SEARCH("-",C256)-1),"")</f>
        <v>seth</v>
      </c>
    </row>
    <row r="257" spans="1:19" x14ac:dyDescent="0.25">
      <c r="A257" t="s">
        <v>140</v>
      </c>
      <c r="B257">
        <v>2</v>
      </c>
      <c r="C257" t="s">
        <v>630</v>
      </c>
      <c r="D257" t="s">
        <v>473</v>
      </c>
      <c r="E257">
        <v>2.8</v>
      </c>
      <c r="G257">
        <v>2.8</v>
      </c>
      <c r="H257">
        <v>0</v>
      </c>
      <c r="I257">
        <v>0</v>
      </c>
      <c r="J257" t="s">
        <v>650</v>
      </c>
      <c r="K257" t="str">
        <f t="shared" si="6"/>
        <v>Larry Fitzgerald2</v>
      </c>
      <c r="L257" s="21" t="str">
        <f>IF(ISERROR(MATCH($A257,'F Proj'!$B$1:$B$7669,0)),IF(ISERROR(MATCH($A257,'D Proj'!$B$1:$B$513,0)),IF(ISERROR(MATCH($A257,'K Proj'!$B$1:$B$508,0)),"?","K"),"D"),"FLEX")</f>
        <v>FLEX</v>
      </c>
      <c r="M257" s="21">
        <f>MATCH(L257,Pos,0)</f>
        <v>1</v>
      </c>
      <c r="N257" s="21">
        <f>CHOOSE($M257,MATCH($A257&amp;$B257,'F Proj'!$P$1:$P$7669,0),MATCH($A257&amp;$B257,'D Proj'!$X$1:$X$513,0),MATCH($A257&amp;$B257,'K Proj'!$T$1:$T$508,0))</f>
        <v>1356</v>
      </c>
      <c r="O257">
        <f>CHOOSE(M257,INDEX('F Proj'!$D$1:$D$7669,N257),INDEX('D Proj'!$T$1:$T$513,N257),INDEX('K Proj'!$L$1:$L$508,N257))</f>
        <v>8.6300000000000008</v>
      </c>
      <c r="P257">
        <f>CHOOSE(M257,INDEX('F Proj'!$J$1:$J$7669,N257),INDEX('D Proj'!$N$1:$N$513,N257),INDEX('K Proj'!$P$1:$P$508,N257))</f>
        <v>23.04</v>
      </c>
      <c r="Q257" t="str">
        <f t="shared" si="7"/>
        <v>WR</v>
      </c>
      <c r="R257" t="str">
        <f>IF(L257="FLEX",INDEX('F Proj'!$F$1:$F$7669,N257),Q257)</f>
        <v>WR</v>
      </c>
      <c r="S257" t="str">
        <f>IF((Week+Half_Week-1)&gt;=VALUE(RIGHT(C257,LEN(C257)-SEARCH("-",C257))),LEFT(C257,SEARCH("-",C257)-1),"")</f>
        <v>seth</v>
      </c>
    </row>
    <row r="258" spans="1:19" x14ac:dyDescent="0.25">
      <c r="A258" t="s">
        <v>140</v>
      </c>
      <c r="B258">
        <v>4</v>
      </c>
      <c r="C258" t="s">
        <v>857</v>
      </c>
      <c r="D258" t="s">
        <v>466</v>
      </c>
      <c r="E258">
        <v>2.8</v>
      </c>
      <c r="G258">
        <v>2.8</v>
      </c>
      <c r="H258">
        <v>0</v>
      </c>
      <c r="I258">
        <v>0</v>
      </c>
      <c r="J258" t="s">
        <v>4753</v>
      </c>
      <c r="K258" t="str">
        <f t="shared" si="6"/>
        <v>Larry Fitzgerald4</v>
      </c>
      <c r="L258" s="21" t="str">
        <f>IF(ISERROR(MATCH($A258,'F Proj'!$B$1:$B$7669,0)),IF(ISERROR(MATCH($A258,'D Proj'!$B$1:$B$513,0)),IF(ISERROR(MATCH($A258,'K Proj'!$B$1:$B$508,0)),"?","K"),"D"),"FLEX")</f>
        <v>FLEX</v>
      </c>
      <c r="M258" s="21">
        <f>MATCH(L258,Pos,0)</f>
        <v>1</v>
      </c>
      <c r="N258" s="21">
        <f>CHOOSE($M258,MATCH($A258&amp;$B258,'F Proj'!$P$1:$P$7669,0),MATCH($A258&amp;$B258,'D Proj'!$X$1:$X$513,0),MATCH($A258&amp;$B258,'K Proj'!$T$1:$T$508,0))</f>
        <v>1794</v>
      </c>
      <c r="O258">
        <f>CHOOSE(M258,INDEX('F Proj'!$D$1:$D$7669,N258),INDEX('D Proj'!$T$1:$T$513,N258),INDEX('K Proj'!$L$1:$L$508,N258))</f>
        <v>7.12</v>
      </c>
      <c r="P258">
        <f>CHOOSE(M258,INDEX('F Proj'!$J$1:$J$7669,N258),INDEX('D Proj'!$N$1:$N$513,N258),INDEX('K Proj'!$P$1:$P$508,N258))</f>
        <v>13.764099999999999</v>
      </c>
      <c r="Q258" t="str">
        <f t="shared" si="7"/>
        <v>WR/RB</v>
      </c>
      <c r="R258" t="str">
        <f>IF(L258="FLEX",INDEX('F Proj'!$F$1:$F$7669,N258),Q258)</f>
        <v>WR</v>
      </c>
      <c r="S258" t="str">
        <f>IF((Week+Half_Week-1)&gt;=VALUE(RIGHT(C258,LEN(C258)-SEARCH("-",C258))),LEFT(C258,SEARCH("-",C258)-1),"")</f>
        <v>seth</v>
      </c>
    </row>
    <row r="259" spans="1:19" x14ac:dyDescent="0.25">
      <c r="A259" t="s">
        <v>187</v>
      </c>
      <c r="B259">
        <v>3</v>
      </c>
      <c r="C259" t="s">
        <v>808</v>
      </c>
      <c r="D259" t="s">
        <v>469</v>
      </c>
      <c r="E259">
        <v>3.1</v>
      </c>
      <c r="G259">
        <v>3.1</v>
      </c>
      <c r="H259">
        <v>0</v>
      </c>
      <c r="I259">
        <v>0</v>
      </c>
      <c r="J259" t="s">
        <v>4315</v>
      </c>
      <c r="K259" t="str">
        <f t="shared" ref="K259:K322" si="8">A259&amp;B259</f>
        <v>Latavius Murray3</v>
      </c>
      <c r="L259" s="21" t="str">
        <f>IF(ISERROR(MATCH($A259,'F Proj'!$B$1:$B$7669,0)),IF(ISERROR(MATCH($A259,'D Proj'!$B$1:$B$513,0)),IF(ISERROR(MATCH($A259,'K Proj'!$B$1:$B$508,0)),"?","K"),"D"),"FLEX")</f>
        <v>FLEX</v>
      </c>
      <c r="M259" s="21">
        <f>MATCH(L259,Pos,0)</f>
        <v>1</v>
      </c>
      <c r="N259" s="21">
        <f>CHOOSE($M259,MATCH($A259&amp;$B259,'F Proj'!$P$1:$P$7669,0),MATCH($A259&amp;$B259,'D Proj'!$X$1:$X$513,0),MATCH($A259&amp;$B259,'K Proj'!$T$1:$T$508,0))</f>
        <v>839</v>
      </c>
      <c r="O259">
        <f>CHOOSE(M259,INDEX('F Proj'!$D$1:$D$7669,N259),INDEX('D Proj'!$T$1:$T$513,N259),INDEX('K Proj'!$L$1:$L$508,N259))</f>
        <v>11.78</v>
      </c>
      <c r="P259">
        <f>CHOOSE(M259,INDEX('F Proj'!$J$1:$J$7669,N259),INDEX('D Proj'!$N$1:$N$513,N259),INDEX('K Proj'!$P$1:$P$508,N259))</f>
        <v>78.676900000000003</v>
      </c>
      <c r="Q259" t="str">
        <f t="shared" ref="Q259:Q322" si="9">IFERROR(LEFT(D259,SEARCH("-",D259)-1),D259)</f>
        <v>RB</v>
      </c>
      <c r="R259" t="str">
        <f>IF(L259="FLEX",INDEX('F Proj'!$F$1:$F$7669,N259),Q259)</f>
        <v>RB</v>
      </c>
      <c r="S259" t="str">
        <f>IF((Week+Half_Week-1)&gt;=VALUE(RIGHT(C259,LEN(C259)-SEARCH("-",C259))),LEFT(C259,SEARCH("-",C259)-1),"")</f>
        <v>seth</v>
      </c>
    </row>
    <row r="260" spans="1:19" x14ac:dyDescent="0.25">
      <c r="A260" t="s">
        <v>111</v>
      </c>
      <c r="B260">
        <v>1</v>
      </c>
      <c r="C260" t="s">
        <v>500</v>
      </c>
      <c r="D260" t="s">
        <v>468</v>
      </c>
      <c r="E260">
        <v>5.5</v>
      </c>
      <c r="G260">
        <v>5.5</v>
      </c>
      <c r="H260">
        <v>0</v>
      </c>
      <c r="I260">
        <v>0</v>
      </c>
      <c r="J260" t="s">
        <v>556</v>
      </c>
      <c r="K260" t="str">
        <f t="shared" si="8"/>
        <v>Leonard Fournette1</v>
      </c>
      <c r="L260" s="21" t="str">
        <f>IF(ISERROR(MATCH($A260,'F Proj'!$B$1:$B$7669,0)),IF(ISERROR(MATCH($A260,'D Proj'!$B$1:$B$513,0)),IF(ISERROR(MATCH($A260,'K Proj'!$B$1:$B$508,0)),"?","K"),"D"),"FLEX")</f>
        <v>FLEX</v>
      </c>
      <c r="M260" s="21">
        <f>MATCH(L260,Pos,0)</f>
        <v>1</v>
      </c>
      <c r="N260" s="21">
        <f>CHOOSE($M260,MATCH($A260&amp;$B260,'F Proj'!$P$1:$P$7669,0),MATCH($A260&amp;$B260,'D Proj'!$X$1:$X$513,0),MATCH($A260&amp;$B260,'K Proj'!$T$1:$T$508,0))</f>
        <v>855</v>
      </c>
      <c r="O260">
        <f>CHOOSE(M260,INDEX('F Proj'!$D$1:$D$7669,N260),INDEX('D Proj'!$T$1:$T$513,N260),INDEX('K Proj'!$L$1:$L$508,N260))</f>
        <v>11.69</v>
      </c>
      <c r="P260">
        <f>CHOOSE(M260,INDEX('F Proj'!$J$1:$J$7669,N260),INDEX('D Proj'!$N$1:$N$513,N260),INDEX('K Proj'!$P$1:$P$508,N260))</f>
        <v>64.480900000000005</v>
      </c>
      <c r="Q260" t="str">
        <f t="shared" si="9"/>
        <v>RB</v>
      </c>
      <c r="R260" t="str">
        <f>IF(L260="FLEX",INDEX('F Proj'!$F$1:$F$7669,N260),Q260)</f>
        <v>RB</v>
      </c>
      <c r="S260" t="str">
        <f>IF((Week+Half_Week-1)&gt;=VALUE(RIGHT(C260,LEN(C260)-SEARCH("-",C260))),LEFT(C260,SEARCH("-",C260)-1),"")</f>
        <v>seth</v>
      </c>
    </row>
    <row r="261" spans="1:19" x14ac:dyDescent="0.25">
      <c r="A261" t="s">
        <v>111</v>
      </c>
      <c r="B261">
        <v>4</v>
      </c>
      <c r="C261" t="s">
        <v>857</v>
      </c>
      <c r="D261" t="s">
        <v>468</v>
      </c>
      <c r="E261">
        <v>3.5</v>
      </c>
      <c r="G261">
        <v>3.5</v>
      </c>
      <c r="H261">
        <v>0</v>
      </c>
      <c r="I261">
        <v>0</v>
      </c>
      <c r="J261" t="s">
        <v>4752</v>
      </c>
      <c r="K261" t="str">
        <f t="shared" si="8"/>
        <v>Leonard Fournette4</v>
      </c>
      <c r="L261" s="21" t="str">
        <f>IF(ISERROR(MATCH($A261,'F Proj'!$B$1:$B$7669,0)),IF(ISERROR(MATCH($A261,'D Proj'!$B$1:$B$513,0)),IF(ISERROR(MATCH($A261,'K Proj'!$B$1:$B$508,0)),"?","K"),"D"),"FLEX")</f>
        <v>FLEX</v>
      </c>
      <c r="M261" s="21">
        <f>MATCH(L261,Pos,0)</f>
        <v>1</v>
      </c>
      <c r="N261" s="21">
        <f>CHOOSE($M261,MATCH($A261&amp;$B261,'F Proj'!$P$1:$P$7669,0),MATCH($A261&amp;$B261,'D Proj'!$X$1:$X$513,0),MATCH($A261&amp;$B261,'K Proj'!$T$1:$T$508,0))</f>
        <v>860</v>
      </c>
      <c r="O261">
        <f>CHOOSE(M261,INDEX('F Proj'!$D$1:$D$7669,N261),INDEX('D Proj'!$T$1:$T$513,N261),INDEX('K Proj'!$L$1:$L$508,N261))</f>
        <v>11.65</v>
      </c>
      <c r="P261">
        <f>CHOOSE(M261,INDEX('F Proj'!$J$1:$J$7669,N261),INDEX('D Proj'!$N$1:$N$513,N261),INDEX('K Proj'!$P$1:$P$508,N261))</f>
        <v>92.16</v>
      </c>
      <c r="Q261" t="str">
        <f t="shared" si="9"/>
        <v>RB</v>
      </c>
      <c r="R261" t="str">
        <f>IF(L261="FLEX",INDEX('F Proj'!$F$1:$F$7669,N261),Q261)</f>
        <v>RB</v>
      </c>
      <c r="S261" t="str">
        <f>IF((Week+Half_Week-1)&gt;=VALUE(RIGHT(C261,LEN(C261)-SEARCH("-",C261))),LEFT(C261,SEARCH("-",C261)-1),"")</f>
        <v>seth</v>
      </c>
    </row>
    <row r="262" spans="1:19" x14ac:dyDescent="0.25">
      <c r="A262" t="s">
        <v>81</v>
      </c>
      <c r="B262">
        <v>1</v>
      </c>
      <c r="C262" t="s">
        <v>504</v>
      </c>
      <c r="D262" t="s">
        <v>469</v>
      </c>
      <c r="E262">
        <v>2.1</v>
      </c>
      <c r="G262">
        <v>2.1</v>
      </c>
      <c r="H262">
        <v>0</v>
      </c>
      <c r="I262">
        <v>0</v>
      </c>
      <c r="J262" t="s">
        <v>543</v>
      </c>
      <c r="K262" t="str">
        <f t="shared" si="8"/>
        <v>LeSean McCoy1</v>
      </c>
      <c r="L262" s="21" t="str">
        <f>IF(ISERROR(MATCH($A262,'F Proj'!$B$1:$B$7669,0)),IF(ISERROR(MATCH($A262,'D Proj'!$B$1:$B$513,0)),IF(ISERROR(MATCH($A262,'K Proj'!$B$1:$B$508,0)),"?","K"),"D"),"FLEX")</f>
        <v>FLEX</v>
      </c>
      <c r="M262" s="21">
        <f>MATCH(L262,Pos,0)</f>
        <v>1</v>
      </c>
      <c r="N262" s="21">
        <f>CHOOSE($M262,MATCH($A262&amp;$B262,'F Proj'!$P$1:$P$7669,0),MATCH($A262&amp;$B262,'D Proj'!$X$1:$X$513,0),MATCH($A262&amp;$B262,'K Proj'!$T$1:$T$508,0))</f>
        <v>991</v>
      </c>
      <c r="O262">
        <f>CHOOSE(M262,INDEX('F Proj'!$D$1:$D$7669,N262),INDEX('D Proj'!$T$1:$T$513,N262),INDEX('K Proj'!$L$1:$L$508,N262))</f>
        <v>10.49</v>
      </c>
      <c r="P262">
        <f>CHOOSE(M262,INDEX('F Proj'!$J$1:$J$7669,N262),INDEX('D Proj'!$N$1:$N$513,N262),INDEX('K Proj'!$P$1:$P$508,N262))</f>
        <v>57.912100000000002</v>
      </c>
      <c r="Q262" t="str">
        <f t="shared" si="9"/>
        <v>RB</v>
      </c>
      <c r="R262" t="str">
        <f>IF(L262="FLEX",INDEX('F Proj'!$F$1:$F$7669,N262),Q262)</f>
        <v>RB</v>
      </c>
      <c r="S262" t="str">
        <f>IF((Week+Half_Week-1)&gt;=VALUE(RIGHT(C262,LEN(C262)-SEARCH("-",C262))),LEFT(C262,SEARCH("-",C262)-1),"")</f>
        <v>scott</v>
      </c>
    </row>
    <row r="263" spans="1:19" x14ac:dyDescent="0.25">
      <c r="A263" t="s">
        <v>81</v>
      </c>
      <c r="B263">
        <v>2</v>
      </c>
      <c r="C263" t="s">
        <v>628</v>
      </c>
      <c r="D263" t="s">
        <v>469</v>
      </c>
      <c r="E263">
        <v>6.8</v>
      </c>
      <c r="G263">
        <v>6.8</v>
      </c>
      <c r="H263">
        <v>0</v>
      </c>
      <c r="I263">
        <v>0</v>
      </c>
      <c r="J263" t="s">
        <v>659</v>
      </c>
      <c r="K263" t="str">
        <f t="shared" si="8"/>
        <v>LeSean McCoy2</v>
      </c>
      <c r="L263" s="21" t="str">
        <f>IF(ISERROR(MATCH($A263,'F Proj'!$B$1:$B$7669,0)),IF(ISERROR(MATCH($A263,'D Proj'!$B$1:$B$513,0)),IF(ISERROR(MATCH($A263,'K Proj'!$B$1:$B$508,0)),"?","K"),"D"),"FLEX")</f>
        <v>FLEX</v>
      </c>
      <c r="M263" s="21">
        <f>MATCH(L263,Pos,0)</f>
        <v>1</v>
      </c>
      <c r="N263" s="21">
        <f>CHOOSE($M263,MATCH($A263&amp;$B263,'F Proj'!$P$1:$P$7669,0),MATCH($A263&amp;$B263,'D Proj'!$X$1:$X$513,0),MATCH($A263&amp;$B263,'K Proj'!$T$1:$T$508,0))</f>
        <v>983</v>
      </c>
      <c r="O263">
        <f>CHOOSE(M263,INDEX('F Proj'!$D$1:$D$7669,N263),INDEX('D Proj'!$T$1:$T$513,N263),INDEX('K Proj'!$L$1:$L$508,N263))</f>
        <v>10.52</v>
      </c>
      <c r="P263">
        <f>CHOOSE(M263,INDEX('F Proj'!$J$1:$J$7669,N263),INDEX('D Proj'!$N$1:$N$513,N263),INDEX('K Proj'!$P$1:$P$508,N263))</f>
        <v>52.4176</v>
      </c>
      <c r="Q263" t="str">
        <f t="shared" si="9"/>
        <v>RB</v>
      </c>
      <c r="R263" t="str">
        <f>IF(L263="FLEX",INDEX('F Proj'!$F$1:$F$7669,N263),Q263)</f>
        <v>RB</v>
      </c>
      <c r="S263" t="str">
        <f>IF((Week+Half_Week-1)&gt;=VALUE(RIGHT(C263,LEN(C263)-SEARCH("-",C263))),LEFT(C263,SEARCH("-",C263)-1),"")</f>
        <v>scott</v>
      </c>
    </row>
    <row r="264" spans="1:19" x14ac:dyDescent="0.25">
      <c r="A264" t="s">
        <v>4236</v>
      </c>
      <c r="B264">
        <v>5</v>
      </c>
      <c r="C264" t="s">
        <v>888</v>
      </c>
      <c r="D264" t="s">
        <v>473</v>
      </c>
      <c r="E264" t="s">
        <v>8947</v>
      </c>
      <c r="G264">
        <v>6.82</v>
      </c>
      <c r="H264">
        <v>9.36</v>
      </c>
      <c r="I264">
        <v>87.6096</v>
      </c>
      <c r="J264" t="s">
        <v>9002</v>
      </c>
      <c r="K264" t="str">
        <f t="shared" si="8"/>
        <v>Marquez Valdes-Scantling5</v>
      </c>
      <c r="L264" s="21" t="str">
        <f>IF(ISERROR(MATCH($A264,'F Proj'!$B$1:$B$7669,0)),IF(ISERROR(MATCH($A264,'D Proj'!$B$1:$B$513,0)),IF(ISERROR(MATCH($A264,'K Proj'!$B$1:$B$508,0)),"?","K"),"D"),"FLEX")</f>
        <v>FLEX</v>
      </c>
      <c r="M264" s="21">
        <f>MATCH(L264,Pos,0)</f>
        <v>1</v>
      </c>
      <c r="N264" s="21">
        <f>CHOOSE($M264,MATCH($A264&amp;$B264,'F Proj'!$P$1:$P$7669,0),MATCH($A264&amp;$B264,'D Proj'!$X$1:$X$513,0),MATCH($A264&amp;$B264,'K Proj'!$T$1:$T$508,0))</f>
        <v>1896</v>
      </c>
      <c r="O264">
        <f>CHOOSE(M264,INDEX('F Proj'!$D$1:$D$7669,N264),INDEX('D Proj'!$T$1:$T$513,N264),INDEX('K Proj'!$L$1:$L$508,N264))</f>
        <v>6.82</v>
      </c>
      <c r="P264">
        <f>CHOOSE(M264,INDEX('F Proj'!$J$1:$J$7669,N264),INDEX('D Proj'!$N$1:$N$513,N264),INDEX('K Proj'!$P$1:$P$508,N264))</f>
        <v>87.6096</v>
      </c>
      <c r="Q264" t="str">
        <f t="shared" si="9"/>
        <v>WR</v>
      </c>
      <c r="R264" t="str">
        <f>IF(L264="FLEX",INDEX('F Proj'!$F$1:$F$7669,N264),Q264)</f>
        <v>WR</v>
      </c>
      <c r="S264" t="str">
        <f>IF((Week+Half_Week-1)&gt;=VALUE(RIGHT(C264,LEN(C264)-SEARCH("-",C264))),LEFT(C264,SEARCH("-",C264)-1),"")</f>
        <v/>
      </c>
    </row>
    <row r="265" spans="1:19" x14ac:dyDescent="0.25">
      <c r="A265" t="s">
        <v>255</v>
      </c>
      <c r="B265">
        <v>1</v>
      </c>
      <c r="C265" t="s">
        <v>1649</v>
      </c>
      <c r="D265" t="s">
        <v>472</v>
      </c>
      <c r="E265">
        <v>0</v>
      </c>
      <c r="G265">
        <v>0</v>
      </c>
      <c r="H265">
        <v>0</v>
      </c>
      <c r="I265">
        <v>0</v>
      </c>
      <c r="J265" t="s">
        <v>1657</v>
      </c>
      <c r="K265" t="str">
        <f t="shared" si="8"/>
        <v>Marquise Goodwin1</v>
      </c>
      <c r="L265" s="21" t="str">
        <f>IF(ISERROR(MATCH($A265,'F Proj'!$B$1:$B$7669,0)),IF(ISERROR(MATCH($A265,'D Proj'!$B$1:$B$513,0)),IF(ISERROR(MATCH($A265,'K Proj'!$B$1:$B$508,0)),"?","K"),"D"),"FLEX")</f>
        <v>FLEX</v>
      </c>
      <c r="M265" s="21">
        <f>MATCH(L265,Pos,0)</f>
        <v>1</v>
      </c>
      <c r="N265" s="21">
        <f>CHOOSE($M265,MATCH($A265&amp;$B265,'F Proj'!$P$1:$P$7669,0),MATCH($A265&amp;$B265,'D Proj'!$X$1:$X$513,0),MATCH($A265&amp;$B265,'K Proj'!$T$1:$T$508,0))</f>
        <v>1933</v>
      </c>
      <c r="O265">
        <f>CHOOSE(M265,INDEX('F Proj'!$D$1:$D$7669,N265),INDEX('D Proj'!$T$1:$T$513,N265),INDEX('K Proj'!$L$1:$L$508,N265))</f>
        <v>6.69</v>
      </c>
      <c r="P265">
        <f>CHOOSE(M265,INDEX('F Proj'!$J$1:$J$7669,N265),INDEX('D Proj'!$N$1:$N$513,N265),INDEX('K Proj'!$P$1:$P$508,N265))</f>
        <v>33.756100000000004</v>
      </c>
      <c r="Q265" t="str">
        <f t="shared" si="9"/>
        <v>WR</v>
      </c>
      <c r="R265" t="str">
        <f>IF(L265="FLEX",INDEX('F Proj'!$F$1:$F$7669,N265),Q265)</f>
        <v>WR</v>
      </c>
      <c r="S265" t="str">
        <f>IF((Week+Half_Week-1)&gt;=VALUE(RIGHT(C265,LEN(C265)-SEARCH("-",C265))),LEFT(C265,SEARCH("-",C265)-1),"")</f>
        <v>lucas</v>
      </c>
    </row>
    <row r="266" spans="1:19" x14ac:dyDescent="0.25">
      <c r="A266" t="s">
        <v>132</v>
      </c>
      <c r="B266">
        <v>3</v>
      </c>
      <c r="C266" t="s">
        <v>807</v>
      </c>
      <c r="D266" t="s">
        <v>469</v>
      </c>
      <c r="E266">
        <v>14.6</v>
      </c>
      <c r="G266">
        <v>14.6</v>
      </c>
      <c r="H266">
        <v>0</v>
      </c>
      <c r="I266">
        <v>0</v>
      </c>
      <c r="J266" t="s">
        <v>4316</v>
      </c>
      <c r="K266" t="str">
        <f t="shared" si="8"/>
        <v>Marshawn Lynch3</v>
      </c>
      <c r="L266" s="21" t="str">
        <f>IF(ISERROR(MATCH($A266,'F Proj'!$B$1:$B$7669,0)),IF(ISERROR(MATCH($A266,'D Proj'!$B$1:$B$513,0)),IF(ISERROR(MATCH($A266,'K Proj'!$B$1:$B$508,0)),"?","K"),"D"),"FLEX")</f>
        <v>FLEX</v>
      </c>
      <c r="M266" s="21">
        <f>MATCH(L266,Pos,0)</f>
        <v>1</v>
      </c>
      <c r="N266" s="21">
        <f>CHOOSE($M266,MATCH($A266&amp;$B266,'F Proj'!$P$1:$P$7669,0),MATCH($A266&amp;$B266,'D Proj'!$X$1:$X$513,0),MATCH($A266&amp;$B266,'K Proj'!$T$1:$T$508,0))</f>
        <v>1202</v>
      </c>
      <c r="O266">
        <f>CHOOSE(M266,INDEX('F Proj'!$D$1:$D$7669,N266),INDEX('D Proj'!$T$1:$T$513,N266),INDEX('K Proj'!$L$1:$L$508,N266))</f>
        <v>9.36</v>
      </c>
      <c r="P266">
        <f>CHOOSE(M266,INDEX('F Proj'!$J$1:$J$7669,N266),INDEX('D Proj'!$N$1:$N$513,N266),INDEX('K Proj'!$P$1:$P$508,N266))</f>
        <v>60.372900000000001</v>
      </c>
      <c r="Q266" t="str">
        <f t="shared" si="9"/>
        <v>RB</v>
      </c>
      <c r="R266" t="str">
        <f>IF(L266="FLEX",INDEX('F Proj'!$F$1:$F$7669,N266),Q266)</f>
        <v>RB</v>
      </c>
      <c r="S266" t="str">
        <f>IF((Week+Half_Week-1)&gt;=VALUE(RIGHT(C266,LEN(C266)-SEARCH("-",C266))),LEFT(C266,SEARCH("-",C266)-1),"")</f>
        <v>scott</v>
      </c>
    </row>
    <row r="267" spans="1:19" x14ac:dyDescent="0.25">
      <c r="A267" t="s">
        <v>132</v>
      </c>
      <c r="B267">
        <v>4</v>
      </c>
      <c r="C267" t="s">
        <v>861</v>
      </c>
      <c r="D267" t="s">
        <v>469</v>
      </c>
      <c r="E267">
        <v>15.7</v>
      </c>
      <c r="G267">
        <v>15.7</v>
      </c>
      <c r="H267">
        <v>0</v>
      </c>
      <c r="I267">
        <v>0</v>
      </c>
      <c r="J267" t="s">
        <v>4798</v>
      </c>
      <c r="K267" t="str">
        <f t="shared" si="8"/>
        <v>Marshawn Lynch4</v>
      </c>
      <c r="L267" s="21" t="str">
        <f>IF(ISERROR(MATCH($A267,'F Proj'!$B$1:$B$7669,0)),IF(ISERROR(MATCH($A267,'D Proj'!$B$1:$B$513,0)),IF(ISERROR(MATCH($A267,'K Proj'!$B$1:$B$508,0)),"?","K"),"D"),"FLEX")</f>
        <v>FLEX</v>
      </c>
      <c r="M267" s="21">
        <f>MATCH(L267,Pos,0)</f>
        <v>1</v>
      </c>
      <c r="N267" s="21">
        <f>CHOOSE($M267,MATCH($A267&amp;$B267,'F Proj'!$P$1:$P$7669,0),MATCH($A267&amp;$B267,'D Proj'!$X$1:$X$513,0),MATCH($A267&amp;$B267,'K Proj'!$T$1:$T$508,0))</f>
        <v>1011</v>
      </c>
      <c r="O267">
        <f>CHOOSE(M267,INDEX('F Proj'!$D$1:$D$7669,N267),INDEX('D Proj'!$T$1:$T$513,N267),INDEX('K Proj'!$L$1:$L$508,N267))</f>
        <v>10.35</v>
      </c>
      <c r="P267">
        <f>CHOOSE(M267,INDEX('F Proj'!$J$1:$J$7669,N267),INDEX('D Proj'!$N$1:$N$513,N267),INDEX('K Proj'!$P$1:$P$508,N267))</f>
        <v>66.422499999999999</v>
      </c>
      <c r="Q267" t="str">
        <f t="shared" si="9"/>
        <v>RB</v>
      </c>
      <c r="R267" t="str">
        <f>IF(L267="FLEX",INDEX('F Proj'!$F$1:$F$7669,N267),Q267)</f>
        <v>RB</v>
      </c>
      <c r="S267" t="str">
        <f>IF((Week+Half_Week-1)&gt;=VALUE(RIGHT(C267,LEN(C267)-SEARCH("-",C267))),LEFT(C267,SEARCH("-",C267)-1),"")</f>
        <v>scott</v>
      </c>
    </row>
    <row r="268" spans="1:19" x14ac:dyDescent="0.25">
      <c r="A268" t="s">
        <v>132</v>
      </c>
      <c r="B268">
        <v>5</v>
      </c>
      <c r="C268" t="s">
        <v>890</v>
      </c>
      <c r="D268" t="s">
        <v>466</v>
      </c>
      <c r="E268" t="s">
        <v>8947</v>
      </c>
      <c r="G268">
        <v>10.88</v>
      </c>
      <c r="H268">
        <v>7.63</v>
      </c>
      <c r="I268">
        <v>58.216900000000003</v>
      </c>
      <c r="J268" t="s">
        <v>8996</v>
      </c>
      <c r="K268" t="str">
        <f t="shared" si="8"/>
        <v>Marshawn Lynch5</v>
      </c>
      <c r="L268" s="21" t="str">
        <f>IF(ISERROR(MATCH($A268,'F Proj'!$B$1:$B$7669,0)),IF(ISERROR(MATCH($A268,'D Proj'!$B$1:$B$513,0)),IF(ISERROR(MATCH($A268,'K Proj'!$B$1:$B$508,0)),"?","K"),"D"),"FLEX")</f>
        <v>FLEX</v>
      </c>
      <c r="M268" s="21">
        <f>MATCH(L268,Pos,0)</f>
        <v>1</v>
      </c>
      <c r="N268" s="21">
        <f>CHOOSE($M268,MATCH($A268&amp;$B268,'F Proj'!$P$1:$P$7669,0),MATCH($A268&amp;$B268,'D Proj'!$X$1:$X$513,0),MATCH($A268&amp;$B268,'K Proj'!$T$1:$T$508,0))</f>
        <v>938</v>
      </c>
      <c r="O268">
        <f>CHOOSE(M268,INDEX('F Proj'!$D$1:$D$7669,N268),INDEX('D Proj'!$T$1:$T$513,N268),INDEX('K Proj'!$L$1:$L$508,N268))</f>
        <v>10.88</v>
      </c>
      <c r="P268">
        <f>CHOOSE(M268,INDEX('F Proj'!$J$1:$J$7669,N268),INDEX('D Proj'!$N$1:$N$513,N268),INDEX('K Proj'!$P$1:$P$508,N268))</f>
        <v>58.216900000000003</v>
      </c>
      <c r="Q268" t="str">
        <f t="shared" si="9"/>
        <v>WR/RB</v>
      </c>
      <c r="R268" t="str">
        <f>IF(L268="FLEX",INDEX('F Proj'!$F$1:$F$7669,N268),Q268)</f>
        <v>RB</v>
      </c>
      <c r="S268" t="str">
        <f>IF((Week+Half_Week-1)&gt;=VALUE(RIGHT(C268,LEN(C268)-SEARCH("-",C268))),LEFT(C268,SEARCH("-",C268)-1),"")</f>
        <v/>
      </c>
    </row>
    <row r="269" spans="1:19" x14ac:dyDescent="0.25">
      <c r="A269" t="s">
        <v>613</v>
      </c>
      <c r="B269">
        <v>1</v>
      </c>
      <c r="C269" t="s">
        <v>505</v>
      </c>
      <c r="D269" t="s">
        <v>473</v>
      </c>
      <c r="E269">
        <v>5.4</v>
      </c>
      <c r="G269">
        <v>5.4</v>
      </c>
      <c r="H269">
        <v>0</v>
      </c>
      <c r="I269">
        <v>0</v>
      </c>
      <c r="J269" t="s">
        <v>534</v>
      </c>
      <c r="K269" t="str">
        <f t="shared" si="8"/>
        <v>Marvin Jones Jr.1</v>
      </c>
      <c r="L269" s="21" t="str">
        <f>IF(ISERROR(MATCH($A269,'F Proj'!$B$1:$B$7669,0)),IF(ISERROR(MATCH($A269,'D Proj'!$B$1:$B$513,0)),IF(ISERROR(MATCH($A269,'K Proj'!$B$1:$B$508,0)),"?","K"),"D"),"FLEX")</f>
        <v>FLEX</v>
      </c>
      <c r="M269" s="21">
        <f>MATCH(L269,Pos,0)</f>
        <v>1</v>
      </c>
      <c r="N269" s="21">
        <f>CHOOSE($M269,MATCH($A269&amp;$B269,'F Proj'!$P$1:$P$7669,0),MATCH($A269&amp;$B269,'D Proj'!$X$1:$X$513,0),MATCH($A269&amp;$B269,'K Proj'!$T$1:$T$508,0))</f>
        <v>1206</v>
      </c>
      <c r="O269">
        <f>CHOOSE(M269,INDEX('F Proj'!$D$1:$D$7669,N269),INDEX('D Proj'!$T$1:$T$513,N269),INDEX('K Proj'!$L$1:$L$508,N269))</f>
        <v>9.35</v>
      </c>
      <c r="P269">
        <f>CHOOSE(M269,INDEX('F Proj'!$J$1:$J$7669,N269),INDEX('D Proj'!$N$1:$N$513,N269),INDEX('K Proj'!$P$1:$P$508,N269))</f>
        <v>38.937600000000003</v>
      </c>
      <c r="Q269" t="str">
        <f t="shared" si="9"/>
        <v>WR</v>
      </c>
      <c r="R269" t="str">
        <f>IF(L269="FLEX",INDEX('F Proj'!$F$1:$F$7669,N269),Q269)</f>
        <v>WR</v>
      </c>
      <c r="S269" t="str">
        <f>IF((Week+Half_Week-1)&gt;=VALUE(RIGHT(C269,LEN(C269)-SEARCH("-",C269))),LEFT(C269,SEARCH("-",C269)-1),"")</f>
        <v>matty</v>
      </c>
    </row>
    <row r="270" spans="1:19" x14ac:dyDescent="0.25">
      <c r="A270" t="s">
        <v>613</v>
      </c>
      <c r="B270">
        <v>2</v>
      </c>
      <c r="C270" t="s">
        <v>636</v>
      </c>
      <c r="D270" t="s">
        <v>472</v>
      </c>
      <c r="E270">
        <v>11.4</v>
      </c>
      <c r="G270">
        <v>11.4</v>
      </c>
      <c r="H270">
        <v>0</v>
      </c>
      <c r="I270">
        <v>0</v>
      </c>
      <c r="J270" t="s">
        <v>697</v>
      </c>
      <c r="K270" t="str">
        <f t="shared" si="8"/>
        <v>Marvin Jones Jr.2</v>
      </c>
      <c r="L270" s="21" t="str">
        <f>IF(ISERROR(MATCH($A270,'F Proj'!$B$1:$B$7669,0)),IF(ISERROR(MATCH($A270,'D Proj'!$B$1:$B$513,0)),IF(ISERROR(MATCH($A270,'K Proj'!$B$1:$B$508,0)),"?","K"),"D"),"FLEX")</f>
        <v>FLEX</v>
      </c>
      <c r="M270" s="21">
        <f>MATCH(L270,Pos,0)</f>
        <v>1</v>
      </c>
      <c r="N270" s="21">
        <f>CHOOSE($M270,MATCH($A270&amp;$B270,'F Proj'!$P$1:$P$7669,0),MATCH($A270&amp;$B270,'D Proj'!$X$1:$X$513,0),MATCH($A270&amp;$B270,'K Proj'!$T$1:$T$508,0))</f>
        <v>1328</v>
      </c>
      <c r="O270">
        <f>CHOOSE(M270,INDEX('F Proj'!$D$1:$D$7669,N270),INDEX('D Proj'!$T$1:$T$513,N270),INDEX('K Proj'!$L$1:$L$508,N270))</f>
        <v>8.74</v>
      </c>
      <c r="P270">
        <f>CHOOSE(M270,INDEX('F Proj'!$J$1:$J$7669,N270),INDEX('D Proj'!$N$1:$N$513,N270),INDEX('K Proj'!$P$1:$P$508,N270))</f>
        <v>33.988900000000001</v>
      </c>
      <c r="Q270" t="str">
        <f t="shared" si="9"/>
        <v>WR</v>
      </c>
      <c r="R270" t="str">
        <f>IF(L270="FLEX",INDEX('F Proj'!$F$1:$F$7669,N270),Q270)</f>
        <v>WR</v>
      </c>
      <c r="S270" t="str">
        <f>IF((Week+Half_Week-1)&gt;=VALUE(RIGHT(C270,LEN(C270)-SEARCH("-",C270))),LEFT(C270,SEARCH("-",C270)-1),"")</f>
        <v>matty</v>
      </c>
    </row>
    <row r="271" spans="1:19" x14ac:dyDescent="0.25">
      <c r="A271" t="s">
        <v>613</v>
      </c>
      <c r="B271">
        <v>3</v>
      </c>
      <c r="C271" t="s">
        <v>812</v>
      </c>
      <c r="D271" t="s">
        <v>472</v>
      </c>
      <c r="E271">
        <v>12.9</v>
      </c>
      <c r="G271">
        <v>12.9</v>
      </c>
      <c r="H271">
        <v>0</v>
      </c>
      <c r="I271">
        <v>0</v>
      </c>
      <c r="J271" t="s">
        <v>4317</v>
      </c>
      <c r="K271" t="str">
        <f t="shared" si="8"/>
        <v>Marvin Jones Jr.3</v>
      </c>
      <c r="L271" s="21" t="str">
        <f>IF(ISERROR(MATCH($A271,'F Proj'!$B$1:$B$7669,0)),IF(ISERROR(MATCH($A271,'D Proj'!$B$1:$B$513,0)),IF(ISERROR(MATCH($A271,'K Proj'!$B$1:$B$508,0)),"?","K"),"D"),"FLEX")</f>
        <v>FLEX</v>
      </c>
      <c r="M271" s="21">
        <f>MATCH(L271,Pos,0)</f>
        <v>1</v>
      </c>
      <c r="N271" s="21">
        <f>CHOOSE($M271,MATCH($A271&amp;$B271,'F Proj'!$P$1:$P$7669,0),MATCH($A271&amp;$B271,'D Proj'!$X$1:$X$513,0),MATCH($A271&amp;$B271,'K Proj'!$T$1:$T$508,0))</f>
        <v>1153</v>
      </c>
      <c r="O271">
        <f>CHOOSE(M271,INDEX('F Proj'!$D$1:$D$7669,N271),INDEX('D Proj'!$T$1:$T$513,N271),INDEX('K Proj'!$L$1:$L$508,N271))</f>
        <v>9.6300000000000008</v>
      </c>
      <c r="P271">
        <f>CHOOSE(M271,INDEX('F Proj'!$J$1:$J$7669,N271),INDEX('D Proj'!$N$1:$N$513,N271),INDEX('K Proj'!$P$1:$P$508,N271))</f>
        <v>31.024899999999999</v>
      </c>
      <c r="Q271" t="str">
        <f t="shared" si="9"/>
        <v>WR</v>
      </c>
      <c r="R271" t="str">
        <f>IF(L271="FLEX",INDEX('F Proj'!$F$1:$F$7669,N271),Q271)</f>
        <v>WR</v>
      </c>
      <c r="S271" t="str">
        <f>IF((Week+Half_Week-1)&gt;=VALUE(RIGHT(C271,LEN(C271)-SEARCH("-",C271))),LEFT(C271,SEARCH("-",C271)-1),"")</f>
        <v>matty</v>
      </c>
    </row>
    <row r="272" spans="1:19" x14ac:dyDescent="0.25">
      <c r="A272" t="s">
        <v>613</v>
      </c>
      <c r="B272">
        <v>4</v>
      </c>
      <c r="C272" t="s">
        <v>864</v>
      </c>
      <c r="D272" t="s">
        <v>473</v>
      </c>
      <c r="E272">
        <v>5.6</v>
      </c>
      <c r="G272">
        <v>5.6</v>
      </c>
      <c r="H272">
        <v>0</v>
      </c>
      <c r="I272">
        <v>0</v>
      </c>
      <c r="J272" t="s">
        <v>4764</v>
      </c>
      <c r="K272" t="str">
        <f t="shared" si="8"/>
        <v>Marvin Jones Jr.4</v>
      </c>
      <c r="L272" s="21" t="str">
        <f>IF(ISERROR(MATCH($A272,'F Proj'!$B$1:$B$7669,0)),IF(ISERROR(MATCH($A272,'D Proj'!$B$1:$B$513,0)),IF(ISERROR(MATCH($A272,'K Proj'!$B$1:$B$508,0)),"?","K"),"D"),"FLEX")</f>
        <v>FLEX</v>
      </c>
      <c r="M272" s="21">
        <f>MATCH(L272,Pos,0)</f>
        <v>1</v>
      </c>
      <c r="N272" s="21">
        <f>CHOOSE($M272,MATCH($A272&amp;$B272,'F Proj'!$P$1:$P$7669,0),MATCH($A272&amp;$B272,'D Proj'!$X$1:$X$513,0),MATCH($A272&amp;$B272,'K Proj'!$T$1:$T$508,0))</f>
        <v>1462</v>
      </c>
      <c r="O272">
        <f>CHOOSE(M272,INDEX('F Proj'!$D$1:$D$7669,N272),INDEX('D Proj'!$T$1:$T$513,N272),INDEX('K Proj'!$L$1:$L$508,N272))</f>
        <v>8.23</v>
      </c>
      <c r="P272">
        <f>CHOOSE(M272,INDEX('F Proj'!$J$1:$J$7669,N272),INDEX('D Proj'!$N$1:$N$513,N272),INDEX('K Proj'!$P$1:$P$508,N272))</f>
        <v>27.352900000000002</v>
      </c>
      <c r="Q272" t="str">
        <f t="shared" si="9"/>
        <v>WR</v>
      </c>
      <c r="R272" t="str">
        <f>IF(L272="FLEX",INDEX('F Proj'!$F$1:$F$7669,N272),Q272)</f>
        <v>WR</v>
      </c>
      <c r="S272" t="str">
        <f>IF((Week+Half_Week-1)&gt;=VALUE(RIGHT(C272,LEN(C272)-SEARCH("-",C272))),LEFT(C272,SEARCH("-",C272)-1),"")</f>
        <v>matty</v>
      </c>
    </row>
    <row r="273" spans="1:19" x14ac:dyDescent="0.25">
      <c r="A273" t="s">
        <v>613</v>
      </c>
      <c r="B273">
        <v>5</v>
      </c>
      <c r="C273" t="s">
        <v>891</v>
      </c>
      <c r="D273" t="s">
        <v>473</v>
      </c>
      <c r="E273" t="s">
        <v>8947</v>
      </c>
      <c r="G273">
        <v>8.4499999999999993</v>
      </c>
      <c r="H273">
        <v>5.37</v>
      </c>
      <c r="I273">
        <v>28.8369</v>
      </c>
      <c r="J273" t="s">
        <v>8997</v>
      </c>
      <c r="K273" t="str">
        <f t="shared" si="8"/>
        <v>Marvin Jones Jr.5</v>
      </c>
      <c r="L273" s="21" t="str">
        <f>IF(ISERROR(MATCH($A273,'F Proj'!$B$1:$B$7669,0)),IF(ISERROR(MATCH($A273,'D Proj'!$B$1:$B$513,0)),IF(ISERROR(MATCH($A273,'K Proj'!$B$1:$B$508,0)),"?","K"),"D"),"FLEX")</f>
        <v>FLEX</v>
      </c>
      <c r="M273" s="21">
        <f>MATCH(L273,Pos,0)</f>
        <v>1</v>
      </c>
      <c r="N273" s="21">
        <f>CHOOSE($M273,MATCH($A273&amp;$B273,'F Proj'!$P$1:$P$7669,0),MATCH($A273&amp;$B273,'D Proj'!$X$1:$X$513,0),MATCH($A273&amp;$B273,'K Proj'!$T$1:$T$508,0))</f>
        <v>1408</v>
      </c>
      <c r="O273">
        <f>CHOOSE(M273,INDEX('F Proj'!$D$1:$D$7669,N273),INDEX('D Proj'!$T$1:$T$513,N273),INDEX('K Proj'!$L$1:$L$508,N273))</f>
        <v>8.4499999999999993</v>
      </c>
      <c r="P273">
        <f>CHOOSE(M273,INDEX('F Proj'!$J$1:$J$7669,N273),INDEX('D Proj'!$N$1:$N$513,N273),INDEX('K Proj'!$P$1:$P$508,N273))</f>
        <v>28.8369</v>
      </c>
      <c r="Q273" t="str">
        <f t="shared" si="9"/>
        <v>WR</v>
      </c>
      <c r="R273" t="str">
        <f>IF(L273="FLEX",INDEX('F Proj'!$F$1:$F$7669,N273),Q273)</f>
        <v>WR</v>
      </c>
      <c r="S273" t="str">
        <f>IF((Week+Half_Week-1)&gt;=VALUE(RIGHT(C273,LEN(C273)-SEARCH("-",C273))),LEFT(C273,SEARCH("-",C273)-1),"")</f>
        <v/>
      </c>
    </row>
    <row r="274" spans="1:19" x14ac:dyDescent="0.25">
      <c r="A274" t="s">
        <v>228</v>
      </c>
      <c r="B274">
        <v>3</v>
      </c>
      <c r="C274" t="s">
        <v>809</v>
      </c>
      <c r="D274" t="s">
        <v>468</v>
      </c>
      <c r="E274">
        <v>11.7</v>
      </c>
      <c r="G274">
        <v>11.7</v>
      </c>
      <c r="H274">
        <v>0</v>
      </c>
      <c r="I274">
        <v>0</v>
      </c>
      <c r="J274" t="s">
        <v>4318</v>
      </c>
      <c r="K274" t="str">
        <f t="shared" si="8"/>
        <v>Matt Breida3</v>
      </c>
      <c r="L274" s="21" t="str">
        <f>IF(ISERROR(MATCH($A274,'F Proj'!$B$1:$B$7669,0)),IF(ISERROR(MATCH($A274,'D Proj'!$B$1:$B$513,0)),IF(ISERROR(MATCH($A274,'K Proj'!$B$1:$B$508,0)),"?","K"),"D"),"FLEX")</f>
        <v>FLEX</v>
      </c>
      <c r="M274" s="21">
        <f>MATCH(L274,Pos,0)</f>
        <v>1</v>
      </c>
      <c r="N274" s="21">
        <f>CHOOSE($M274,MATCH($A274&amp;$B274,'F Proj'!$P$1:$P$7669,0),MATCH($A274&amp;$B274,'D Proj'!$X$1:$X$513,0),MATCH($A274&amp;$B274,'K Proj'!$T$1:$T$508,0))</f>
        <v>1228</v>
      </c>
      <c r="O274">
        <f>CHOOSE(M274,INDEX('F Proj'!$D$1:$D$7669,N274),INDEX('D Proj'!$T$1:$T$513,N274),INDEX('K Proj'!$L$1:$L$508,N274))</f>
        <v>9.23</v>
      </c>
      <c r="P274">
        <f>CHOOSE(M274,INDEX('F Proj'!$J$1:$J$7669,N274),INDEX('D Proj'!$N$1:$N$513,N274),INDEX('K Proj'!$P$1:$P$508,N274))</f>
        <v>41.2164</v>
      </c>
      <c r="Q274" t="str">
        <f t="shared" si="9"/>
        <v>RB</v>
      </c>
      <c r="R274" t="str">
        <f>IF(L274="FLEX",INDEX('F Proj'!$F$1:$F$7669,N274),Q274)</f>
        <v>RB</v>
      </c>
      <c r="S274" t="str">
        <f>IF((Week+Half_Week-1)&gt;=VALUE(RIGHT(C274,LEN(C274)-SEARCH("-",C274))),LEFT(C274,SEARCH("-",C274)-1),"")</f>
        <v>perry</v>
      </c>
    </row>
    <row r="275" spans="1:19" x14ac:dyDescent="0.25">
      <c r="A275" t="s">
        <v>228</v>
      </c>
      <c r="B275">
        <v>5</v>
      </c>
      <c r="C275" t="s">
        <v>889</v>
      </c>
      <c r="D275" t="s">
        <v>466</v>
      </c>
      <c r="E275" t="s">
        <v>8947</v>
      </c>
      <c r="G275">
        <v>8.0500000000000007</v>
      </c>
      <c r="H275">
        <v>6</v>
      </c>
      <c r="I275">
        <v>36</v>
      </c>
      <c r="J275" t="s">
        <v>8998</v>
      </c>
      <c r="K275" t="str">
        <f t="shared" si="8"/>
        <v>Matt Breida5</v>
      </c>
      <c r="L275" s="21" t="str">
        <f>IF(ISERROR(MATCH($A275,'F Proj'!$B$1:$B$7669,0)),IF(ISERROR(MATCH($A275,'D Proj'!$B$1:$B$513,0)),IF(ISERROR(MATCH($A275,'K Proj'!$B$1:$B$508,0)),"?","K"),"D"),"FLEX")</f>
        <v>FLEX</v>
      </c>
      <c r="M275" s="21">
        <f>MATCH(L275,Pos,0)</f>
        <v>1</v>
      </c>
      <c r="N275" s="21">
        <f>CHOOSE($M275,MATCH($A275&amp;$B275,'F Proj'!$P$1:$P$7669,0),MATCH($A275&amp;$B275,'D Proj'!$X$1:$X$513,0),MATCH($A275&amp;$B275,'K Proj'!$T$1:$T$508,0))</f>
        <v>1520</v>
      </c>
      <c r="O275">
        <f>CHOOSE(M275,INDEX('F Proj'!$D$1:$D$7669,N275),INDEX('D Proj'!$T$1:$T$513,N275),INDEX('K Proj'!$L$1:$L$508,N275))</f>
        <v>8.0500000000000007</v>
      </c>
      <c r="P275">
        <f>CHOOSE(M275,INDEX('F Proj'!$J$1:$J$7669,N275),INDEX('D Proj'!$N$1:$N$513,N275),INDEX('K Proj'!$P$1:$P$508,N275))</f>
        <v>36</v>
      </c>
      <c r="Q275" t="str">
        <f t="shared" si="9"/>
        <v>WR/RB</v>
      </c>
      <c r="R275" t="str">
        <f>IF(L275="FLEX",INDEX('F Proj'!$F$1:$F$7669,N275),Q275)</f>
        <v>RB</v>
      </c>
      <c r="S275" t="str">
        <f>IF((Week+Half_Week-1)&gt;=VALUE(RIGHT(C275,LEN(C275)-SEARCH("-",C275))),LEFT(C275,SEARCH("-",C275)-1),"")</f>
        <v/>
      </c>
    </row>
    <row r="276" spans="1:19" x14ac:dyDescent="0.25">
      <c r="A276" t="s">
        <v>26</v>
      </c>
      <c r="B276">
        <v>4</v>
      </c>
      <c r="C276" t="s">
        <v>863</v>
      </c>
      <c r="D276" t="s">
        <v>467</v>
      </c>
      <c r="E276">
        <v>29.3</v>
      </c>
      <c r="G276">
        <v>29.3</v>
      </c>
      <c r="H276">
        <v>0</v>
      </c>
      <c r="I276">
        <v>0</v>
      </c>
      <c r="J276" t="s">
        <v>4808</v>
      </c>
      <c r="K276" t="str">
        <f t="shared" si="8"/>
        <v>Matt Ryan4</v>
      </c>
      <c r="L276" s="21" t="str">
        <f>IF(ISERROR(MATCH($A276,'F Proj'!$B$1:$B$7669,0)),IF(ISERROR(MATCH($A276,'D Proj'!$B$1:$B$513,0)),IF(ISERROR(MATCH($A276,'K Proj'!$B$1:$B$508,0)),"?","K"),"D"),"FLEX")</f>
        <v>FLEX</v>
      </c>
      <c r="M276" s="21">
        <f>MATCH(L276,Pos,0)</f>
        <v>1</v>
      </c>
      <c r="N276" s="21">
        <f>CHOOSE($M276,MATCH($A276&amp;$B276,'F Proj'!$P$1:$P$7669,0),MATCH($A276&amp;$B276,'D Proj'!$X$1:$X$513,0),MATCH($A276&amp;$B276,'K Proj'!$T$1:$T$508,0))</f>
        <v>206</v>
      </c>
      <c r="O276">
        <f>CHOOSE(M276,INDEX('F Proj'!$D$1:$D$7669,N276),INDEX('D Proj'!$T$1:$T$513,N276),INDEX('K Proj'!$L$1:$L$508,N276))</f>
        <v>19.04</v>
      </c>
      <c r="P276">
        <f>CHOOSE(M276,INDEX('F Proj'!$J$1:$J$7669,N276),INDEX('D Proj'!$N$1:$N$513,N276),INDEX('K Proj'!$P$1:$P$508,N276))</f>
        <v>52.128399999999999</v>
      </c>
      <c r="Q276" t="str">
        <f t="shared" si="9"/>
        <v>QB</v>
      </c>
      <c r="R276" t="str">
        <f>IF(L276="FLEX",INDEX('F Proj'!$F$1:$F$7669,N276),Q276)</f>
        <v>QB</v>
      </c>
      <c r="S276" t="str">
        <f>IF((Week+Half_Week-1)&gt;=VALUE(RIGHT(C276,LEN(C276)-SEARCH("-",C276))),LEFT(C276,SEARCH("-",C276)-1),"")</f>
        <v>devon</v>
      </c>
    </row>
    <row r="277" spans="1:19" x14ac:dyDescent="0.25">
      <c r="A277" t="s">
        <v>26</v>
      </c>
      <c r="B277">
        <v>5</v>
      </c>
      <c r="C277" t="s">
        <v>885</v>
      </c>
      <c r="D277" t="s">
        <v>467</v>
      </c>
      <c r="E277" t="s">
        <v>8947</v>
      </c>
      <c r="G277">
        <v>21.48</v>
      </c>
      <c r="H277">
        <v>9.01</v>
      </c>
      <c r="I277">
        <v>81.180099999999996</v>
      </c>
      <c r="J277" t="s">
        <v>8999</v>
      </c>
      <c r="K277" t="str">
        <f t="shared" si="8"/>
        <v>Matt Ryan5</v>
      </c>
      <c r="L277" s="21" t="str">
        <f>IF(ISERROR(MATCH($A277,'F Proj'!$B$1:$B$7669,0)),IF(ISERROR(MATCH($A277,'D Proj'!$B$1:$B$513,0)),IF(ISERROR(MATCH($A277,'K Proj'!$B$1:$B$508,0)),"?","K"),"D"),"FLEX")</f>
        <v>FLEX</v>
      </c>
      <c r="M277" s="21">
        <f>MATCH(L277,Pos,0)</f>
        <v>1</v>
      </c>
      <c r="N277" s="21">
        <f>CHOOSE($M277,MATCH($A277&amp;$B277,'F Proj'!$P$1:$P$7669,0),MATCH($A277&amp;$B277,'D Proj'!$X$1:$X$513,0),MATCH($A277&amp;$B277,'K Proj'!$T$1:$T$508,0))</f>
        <v>64</v>
      </c>
      <c r="O277">
        <f>CHOOSE(M277,INDEX('F Proj'!$D$1:$D$7669,N277),INDEX('D Proj'!$T$1:$T$513,N277),INDEX('K Proj'!$L$1:$L$508,N277))</f>
        <v>21.48</v>
      </c>
      <c r="P277">
        <f>CHOOSE(M277,INDEX('F Proj'!$J$1:$J$7669,N277),INDEX('D Proj'!$N$1:$N$513,N277),INDEX('K Proj'!$P$1:$P$508,N277))</f>
        <v>81.180099999999996</v>
      </c>
      <c r="Q277" t="str">
        <f t="shared" si="9"/>
        <v>QB</v>
      </c>
      <c r="R277" t="str">
        <f>IF(L277="FLEX",INDEX('F Proj'!$F$1:$F$7669,N277),Q277)</f>
        <v>QB</v>
      </c>
      <c r="S277" t="str">
        <f>IF((Week+Half_Week-1)&gt;=VALUE(RIGHT(C277,LEN(C277)-SEARCH("-",C277))),LEFT(C277,SEARCH("-",C277)-1),"")</f>
        <v/>
      </c>
    </row>
    <row r="278" spans="1:19" x14ac:dyDescent="0.25">
      <c r="A278" t="s">
        <v>70</v>
      </c>
      <c r="B278">
        <v>1</v>
      </c>
      <c r="C278" t="s">
        <v>507</v>
      </c>
      <c r="D278" t="s">
        <v>467</v>
      </c>
      <c r="E278">
        <v>8</v>
      </c>
      <c r="G278">
        <v>8</v>
      </c>
      <c r="H278">
        <v>0</v>
      </c>
      <c r="I278">
        <v>0</v>
      </c>
      <c r="J278" t="s">
        <v>530</v>
      </c>
      <c r="K278" t="str">
        <f t="shared" si="8"/>
        <v>Matthew Stafford1</v>
      </c>
      <c r="L278" s="21" t="str">
        <f>IF(ISERROR(MATCH($A278,'F Proj'!$B$1:$B$7669,0)),IF(ISERROR(MATCH($A278,'D Proj'!$B$1:$B$513,0)),IF(ISERROR(MATCH($A278,'K Proj'!$B$1:$B$508,0)),"?","K"),"D"),"FLEX")</f>
        <v>FLEX</v>
      </c>
      <c r="M278" s="21">
        <f>MATCH(L278,Pos,0)</f>
        <v>1</v>
      </c>
      <c r="N278" s="21">
        <f>CHOOSE($M278,MATCH($A278&amp;$B278,'F Proj'!$P$1:$P$7669,0),MATCH($A278&amp;$B278,'D Proj'!$X$1:$X$513,0),MATCH($A278&amp;$B278,'K Proj'!$T$1:$T$508,0))</f>
        <v>142</v>
      </c>
      <c r="O278">
        <f>CHOOSE(M278,INDEX('F Proj'!$D$1:$D$7669,N278),INDEX('D Proj'!$T$1:$T$513,N278),INDEX('K Proj'!$L$1:$L$508,N278))</f>
        <v>19.89</v>
      </c>
      <c r="P278">
        <f>CHOOSE(M278,INDEX('F Proj'!$J$1:$J$7669,N278),INDEX('D Proj'!$N$1:$N$513,N278),INDEX('K Proj'!$P$1:$P$508,N278))</f>
        <v>52.852899999999998</v>
      </c>
      <c r="Q278" t="str">
        <f t="shared" si="9"/>
        <v>QB</v>
      </c>
      <c r="R278" t="str">
        <f>IF(L278="FLEX",INDEX('F Proj'!$F$1:$F$7669,N278),Q278)</f>
        <v>QB</v>
      </c>
      <c r="S278" t="str">
        <f>IF((Week+Half_Week-1)&gt;=VALUE(RIGHT(C278,LEN(C278)-SEARCH("-",C278))),LEFT(C278,SEARCH("-",C278)-1),"")</f>
        <v>aj</v>
      </c>
    </row>
    <row r="279" spans="1:19" x14ac:dyDescent="0.25">
      <c r="A279" t="s">
        <v>70</v>
      </c>
      <c r="B279">
        <v>4</v>
      </c>
      <c r="C279" t="s">
        <v>866</v>
      </c>
      <c r="D279" t="s">
        <v>467</v>
      </c>
      <c r="E279">
        <v>20.8</v>
      </c>
      <c r="G279">
        <v>20.8</v>
      </c>
      <c r="H279">
        <v>0</v>
      </c>
      <c r="I279">
        <v>0</v>
      </c>
      <c r="J279" t="s">
        <v>4794</v>
      </c>
      <c r="K279" t="str">
        <f t="shared" si="8"/>
        <v>Matthew Stafford4</v>
      </c>
      <c r="L279" s="21" t="str">
        <f>IF(ISERROR(MATCH($A279,'F Proj'!$B$1:$B$7669,0)),IF(ISERROR(MATCH($A279,'D Proj'!$B$1:$B$513,0)),IF(ISERROR(MATCH($A279,'K Proj'!$B$1:$B$508,0)),"?","K"),"D"),"FLEX")</f>
        <v>FLEX</v>
      </c>
      <c r="M279" s="21">
        <f>MATCH(L279,Pos,0)</f>
        <v>1</v>
      </c>
      <c r="N279" s="21">
        <f>CHOOSE($M279,MATCH($A279&amp;$B279,'F Proj'!$P$1:$P$7669,0),MATCH($A279&amp;$B279,'D Proj'!$X$1:$X$513,0),MATCH($A279&amp;$B279,'K Proj'!$T$1:$T$508,0))</f>
        <v>285</v>
      </c>
      <c r="O279">
        <f>CHOOSE(M279,INDEX('F Proj'!$D$1:$D$7669,N279),INDEX('D Proj'!$T$1:$T$513,N279),INDEX('K Proj'!$L$1:$L$508,N279))</f>
        <v>17.78</v>
      </c>
      <c r="P279">
        <f>CHOOSE(M279,INDEX('F Proj'!$J$1:$J$7669,N279),INDEX('D Proj'!$N$1:$N$513,N279),INDEX('K Proj'!$P$1:$P$508,N279))</f>
        <v>73.102500000000006</v>
      </c>
      <c r="Q279" t="str">
        <f t="shared" si="9"/>
        <v>QB</v>
      </c>
      <c r="R279" t="str">
        <f>IF(L279="FLEX",INDEX('F Proj'!$F$1:$F$7669,N279),Q279)</f>
        <v>QB</v>
      </c>
      <c r="S279" t="str">
        <f>IF((Week+Half_Week-1)&gt;=VALUE(RIGHT(C279,LEN(C279)-SEARCH("-",C279))),LEFT(C279,SEARCH("-",C279)-1),"")</f>
        <v>aj</v>
      </c>
    </row>
    <row r="280" spans="1:19" x14ac:dyDescent="0.25">
      <c r="A280" t="s">
        <v>70</v>
      </c>
      <c r="B280">
        <v>5</v>
      </c>
      <c r="C280" t="s">
        <v>888</v>
      </c>
      <c r="D280" t="s">
        <v>467</v>
      </c>
      <c r="E280" t="s">
        <v>8947</v>
      </c>
      <c r="G280">
        <v>19.37</v>
      </c>
      <c r="H280">
        <v>9.2200000000000006</v>
      </c>
      <c r="I280">
        <v>85.008399999999995</v>
      </c>
      <c r="J280" t="s">
        <v>9000</v>
      </c>
      <c r="K280" t="str">
        <f t="shared" si="8"/>
        <v>Matthew Stafford5</v>
      </c>
      <c r="L280" s="21" t="str">
        <f>IF(ISERROR(MATCH($A280,'F Proj'!$B$1:$B$7669,0)),IF(ISERROR(MATCH($A280,'D Proj'!$B$1:$B$513,0)),IF(ISERROR(MATCH($A280,'K Proj'!$B$1:$B$508,0)),"?","K"),"D"),"FLEX")</f>
        <v>FLEX</v>
      </c>
      <c r="M280" s="21">
        <f>MATCH(L280,Pos,0)</f>
        <v>1</v>
      </c>
      <c r="N280" s="21">
        <f>CHOOSE($M280,MATCH($A280&amp;$B280,'F Proj'!$P$1:$P$7669,0),MATCH($A280&amp;$B280,'D Proj'!$X$1:$X$513,0),MATCH($A280&amp;$B280,'K Proj'!$T$1:$T$508,0))</f>
        <v>187</v>
      </c>
      <c r="O280">
        <f>CHOOSE(M280,INDEX('F Proj'!$D$1:$D$7669,N280),INDEX('D Proj'!$T$1:$T$513,N280),INDEX('K Proj'!$L$1:$L$508,N280))</f>
        <v>19.37</v>
      </c>
      <c r="P280">
        <f>CHOOSE(M280,INDEX('F Proj'!$J$1:$J$7669,N280),INDEX('D Proj'!$N$1:$N$513,N280),INDEX('K Proj'!$P$1:$P$508,N280))</f>
        <v>85.008399999999995</v>
      </c>
      <c r="Q280" t="str">
        <f t="shared" si="9"/>
        <v>QB</v>
      </c>
      <c r="R280" t="str">
        <f>IF(L280="FLEX",INDEX('F Proj'!$F$1:$F$7669,N280),Q280)</f>
        <v>QB</v>
      </c>
      <c r="S280" t="str">
        <f>IF((Week+Half_Week-1)&gt;=VALUE(RIGHT(C280,LEN(C280)-SEARCH("-",C280))),LEFT(C280,SEARCH("-",C280)-1),"")</f>
        <v/>
      </c>
    </row>
    <row r="281" spans="1:19" x14ac:dyDescent="0.25">
      <c r="A281" t="s">
        <v>92</v>
      </c>
      <c r="B281">
        <v>1</v>
      </c>
      <c r="C281" t="s">
        <v>505</v>
      </c>
      <c r="D281" t="s">
        <v>469</v>
      </c>
      <c r="E281">
        <v>18.600000000000001</v>
      </c>
      <c r="G281">
        <v>18.600000000000001</v>
      </c>
      <c r="H281">
        <v>0</v>
      </c>
      <c r="I281">
        <v>0</v>
      </c>
      <c r="J281" t="s">
        <v>521</v>
      </c>
      <c r="K281" t="str">
        <f t="shared" si="8"/>
        <v>Melvin Gordon1</v>
      </c>
      <c r="L281" s="21" t="str">
        <f>IF(ISERROR(MATCH($A281,'F Proj'!$B$1:$B$7669,0)),IF(ISERROR(MATCH($A281,'D Proj'!$B$1:$B$513,0)),IF(ISERROR(MATCH($A281,'K Proj'!$B$1:$B$508,0)),"?","K"),"D"),"FLEX")</f>
        <v>FLEX</v>
      </c>
      <c r="M281" s="21">
        <f>MATCH(L281,Pos,0)</f>
        <v>1</v>
      </c>
      <c r="N281" s="21">
        <f>CHOOSE($M281,MATCH($A281&amp;$B281,'F Proj'!$P$1:$P$7669,0),MATCH($A281&amp;$B281,'D Proj'!$X$1:$X$513,0),MATCH($A281&amp;$B281,'K Proj'!$T$1:$T$508,0))</f>
        <v>359</v>
      </c>
      <c r="O281">
        <f>CHOOSE(M281,INDEX('F Proj'!$D$1:$D$7669,N281),INDEX('D Proj'!$T$1:$T$513,N281),INDEX('K Proj'!$L$1:$L$508,N281))</f>
        <v>16.66</v>
      </c>
      <c r="P281">
        <f>CHOOSE(M281,INDEX('F Proj'!$J$1:$J$7669,N281),INDEX('D Proj'!$N$1:$N$513,N281),INDEX('K Proj'!$P$1:$P$508,N281))</f>
        <v>85.008399999999995</v>
      </c>
      <c r="Q281" t="str">
        <f t="shared" si="9"/>
        <v>RB</v>
      </c>
      <c r="R281" t="str">
        <f>IF(L281="FLEX",INDEX('F Proj'!$F$1:$F$7669,N281),Q281)</f>
        <v>RB</v>
      </c>
      <c r="S281" t="str">
        <f>IF((Week+Half_Week-1)&gt;=VALUE(RIGHT(C281,LEN(C281)-SEARCH("-",C281))),LEFT(C281,SEARCH("-",C281)-1),"")</f>
        <v>matty</v>
      </c>
    </row>
    <row r="282" spans="1:19" x14ac:dyDescent="0.25">
      <c r="A282" t="s">
        <v>92</v>
      </c>
      <c r="B282">
        <v>2</v>
      </c>
      <c r="C282" t="s">
        <v>636</v>
      </c>
      <c r="D282" t="s">
        <v>469</v>
      </c>
      <c r="E282">
        <v>24.6</v>
      </c>
      <c r="G282">
        <v>24.6</v>
      </c>
      <c r="H282">
        <v>0</v>
      </c>
      <c r="I282">
        <v>0</v>
      </c>
      <c r="J282" t="s">
        <v>678</v>
      </c>
      <c r="K282" t="str">
        <f t="shared" si="8"/>
        <v>Melvin Gordon2</v>
      </c>
      <c r="L282" s="21" t="str">
        <f>IF(ISERROR(MATCH($A282,'F Proj'!$B$1:$B$7669,0)),IF(ISERROR(MATCH($A282,'D Proj'!$B$1:$B$513,0)),IF(ISERROR(MATCH($A282,'K Proj'!$B$1:$B$508,0)),"?","K"),"D"),"FLEX")</f>
        <v>FLEX</v>
      </c>
      <c r="M282" s="21">
        <f>MATCH(L282,Pos,0)</f>
        <v>1</v>
      </c>
      <c r="N282" s="21">
        <f>CHOOSE($M282,MATCH($A282&amp;$B282,'F Proj'!$P$1:$P$7669,0),MATCH($A282&amp;$B282,'D Proj'!$X$1:$X$513,0),MATCH($A282&amp;$B282,'K Proj'!$T$1:$T$508,0))</f>
        <v>396</v>
      </c>
      <c r="O282">
        <f>CHOOSE(M282,INDEX('F Proj'!$D$1:$D$7669,N282),INDEX('D Proj'!$T$1:$T$513,N282),INDEX('K Proj'!$L$1:$L$508,N282))</f>
        <v>16.010000000000002</v>
      </c>
      <c r="P282">
        <f>CHOOSE(M282,INDEX('F Proj'!$J$1:$J$7669,N282),INDEX('D Proj'!$N$1:$N$513,N282),INDEX('K Proj'!$P$1:$P$508,N282))</f>
        <v>84.456100000000006</v>
      </c>
      <c r="Q282" t="str">
        <f t="shared" si="9"/>
        <v>RB</v>
      </c>
      <c r="R282" t="str">
        <f>IF(L282="FLEX",INDEX('F Proj'!$F$1:$F$7669,N282),Q282)</f>
        <v>RB</v>
      </c>
      <c r="S282" t="str">
        <f>IF((Week+Half_Week-1)&gt;=VALUE(RIGHT(C282,LEN(C282)-SEARCH("-",C282))),LEFT(C282,SEARCH("-",C282)-1),"")</f>
        <v>matty</v>
      </c>
    </row>
    <row r="283" spans="1:19" x14ac:dyDescent="0.25">
      <c r="A283" t="s">
        <v>92</v>
      </c>
      <c r="B283">
        <v>3</v>
      </c>
      <c r="C283" t="s">
        <v>812</v>
      </c>
      <c r="D283" t="s">
        <v>469</v>
      </c>
      <c r="E283">
        <v>14.4</v>
      </c>
      <c r="G283">
        <v>14.4</v>
      </c>
      <c r="H283">
        <v>0</v>
      </c>
      <c r="I283">
        <v>0</v>
      </c>
      <c r="J283" t="s">
        <v>4319</v>
      </c>
      <c r="K283" t="str">
        <f t="shared" si="8"/>
        <v>Melvin Gordon3</v>
      </c>
      <c r="L283" s="21" t="str">
        <f>IF(ISERROR(MATCH($A283,'F Proj'!$B$1:$B$7669,0)),IF(ISERROR(MATCH($A283,'D Proj'!$B$1:$B$513,0)),IF(ISERROR(MATCH($A283,'K Proj'!$B$1:$B$508,0)),"?","K"),"D"),"FLEX")</f>
        <v>FLEX</v>
      </c>
      <c r="M283" s="21">
        <f>MATCH(L283,Pos,0)</f>
        <v>1</v>
      </c>
      <c r="N283" s="21">
        <f>CHOOSE($M283,MATCH($A283&amp;$B283,'F Proj'!$P$1:$P$7669,0),MATCH($A283&amp;$B283,'D Proj'!$X$1:$X$513,0),MATCH($A283&amp;$B283,'K Proj'!$T$1:$T$508,0))</f>
        <v>450</v>
      </c>
      <c r="O283">
        <f>CHOOSE(M283,INDEX('F Proj'!$D$1:$D$7669,N283),INDEX('D Proj'!$T$1:$T$513,N283),INDEX('K Proj'!$L$1:$L$508,N283))</f>
        <v>15.47</v>
      </c>
      <c r="P283">
        <f>CHOOSE(M283,INDEX('F Proj'!$J$1:$J$7669,N283),INDEX('D Proj'!$N$1:$N$513,N283),INDEX('K Proj'!$P$1:$P$508,N283))</f>
        <v>61.779600000000002</v>
      </c>
      <c r="Q283" t="str">
        <f t="shared" si="9"/>
        <v>RB</v>
      </c>
      <c r="R283" t="str">
        <f>IF(L283="FLEX",INDEX('F Proj'!$F$1:$F$7669,N283),Q283)</f>
        <v>RB</v>
      </c>
      <c r="S283" t="str">
        <f>IF((Week+Half_Week-1)&gt;=VALUE(RIGHT(C283,LEN(C283)-SEARCH("-",C283))),LEFT(C283,SEARCH("-",C283)-1),"")</f>
        <v>matty</v>
      </c>
    </row>
    <row r="284" spans="1:19" x14ac:dyDescent="0.25">
      <c r="A284" t="s">
        <v>92</v>
      </c>
      <c r="B284">
        <v>4</v>
      </c>
      <c r="C284" t="s">
        <v>864</v>
      </c>
      <c r="D284" t="s">
        <v>469</v>
      </c>
      <c r="E284">
        <v>23.9</v>
      </c>
      <c r="G284">
        <v>23.9</v>
      </c>
      <c r="H284">
        <v>0</v>
      </c>
      <c r="I284">
        <v>0</v>
      </c>
      <c r="J284" t="s">
        <v>4802</v>
      </c>
      <c r="K284" t="str">
        <f t="shared" si="8"/>
        <v>Melvin Gordon4</v>
      </c>
      <c r="L284" s="21" t="str">
        <f>IF(ISERROR(MATCH($A284,'F Proj'!$B$1:$B$7669,0)),IF(ISERROR(MATCH($A284,'D Proj'!$B$1:$B$513,0)),IF(ISERROR(MATCH($A284,'K Proj'!$B$1:$B$508,0)),"?","K"),"D"),"FLEX")</f>
        <v>FLEX</v>
      </c>
      <c r="M284" s="21">
        <f>MATCH(L284,Pos,0)</f>
        <v>1</v>
      </c>
      <c r="N284" s="21">
        <f>CHOOSE($M284,MATCH($A284&amp;$B284,'F Proj'!$P$1:$P$7669,0),MATCH($A284&amp;$B284,'D Proj'!$X$1:$X$513,0),MATCH($A284&amp;$B284,'K Proj'!$T$1:$T$508,0))</f>
        <v>284</v>
      </c>
      <c r="O284">
        <f>CHOOSE(M284,INDEX('F Proj'!$D$1:$D$7669,N284),INDEX('D Proj'!$T$1:$T$513,N284),INDEX('K Proj'!$L$1:$L$508,N284))</f>
        <v>17.79</v>
      </c>
      <c r="P284">
        <f>CHOOSE(M284,INDEX('F Proj'!$J$1:$J$7669,N284),INDEX('D Proj'!$N$1:$N$513,N284),INDEX('K Proj'!$P$1:$P$508,N284))</f>
        <v>60.84</v>
      </c>
      <c r="Q284" t="str">
        <f t="shared" si="9"/>
        <v>RB</v>
      </c>
      <c r="R284" t="str">
        <f>IF(L284="FLEX",INDEX('F Proj'!$F$1:$F$7669,N284),Q284)</f>
        <v>RB</v>
      </c>
      <c r="S284" t="str">
        <f>IF((Week+Half_Week-1)&gt;=VALUE(RIGHT(C284,LEN(C284)-SEARCH("-",C284))),LEFT(C284,SEARCH("-",C284)-1),"")</f>
        <v>matty</v>
      </c>
    </row>
    <row r="285" spans="1:19" x14ac:dyDescent="0.25">
      <c r="A285" t="s">
        <v>92</v>
      </c>
      <c r="B285">
        <v>5</v>
      </c>
      <c r="C285" t="s">
        <v>891</v>
      </c>
      <c r="D285" t="s">
        <v>469</v>
      </c>
      <c r="E285" t="s">
        <v>8947</v>
      </c>
      <c r="G285">
        <v>17.71</v>
      </c>
      <c r="H285">
        <v>7.52</v>
      </c>
      <c r="I285">
        <v>56.550400000000003</v>
      </c>
      <c r="J285" t="s">
        <v>9001</v>
      </c>
      <c r="K285" t="str">
        <f t="shared" si="8"/>
        <v>Melvin Gordon5</v>
      </c>
      <c r="L285" s="21" t="str">
        <f>IF(ISERROR(MATCH($A285,'F Proj'!$B$1:$B$7669,0)),IF(ISERROR(MATCH($A285,'D Proj'!$B$1:$B$513,0)),IF(ISERROR(MATCH($A285,'K Proj'!$B$1:$B$508,0)),"?","K"),"D"),"FLEX")</f>
        <v>FLEX</v>
      </c>
      <c r="M285" s="21">
        <f>MATCH(L285,Pos,0)</f>
        <v>1</v>
      </c>
      <c r="N285" s="21">
        <f>CHOOSE($M285,MATCH($A285&amp;$B285,'F Proj'!$P$1:$P$7669,0),MATCH($A285&amp;$B285,'D Proj'!$X$1:$X$513,0),MATCH($A285&amp;$B285,'K Proj'!$T$1:$T$508,0))</f>
        <v>291</v>
      </c>
      <c r="O285">
        <f>CHOOSE(M285,INDEX('F Proj'!$D$1:$D$7669,N285),INDEX('D Proj'!$T$1:$T$513,N285),INDEX('K Proj'!$L$1:$L$508,N285))</f>
        <v>17.71</v>
      </c>
      <c r="P285">
        <f>CHOOSE(M285,INDEX('F Proj'!$J$1:$J$7669,N285),INDEX('D Proj'!$N$1:$N$513,N285),INDEX('K Proj'!$P$1:$P$508,N285))</f>
        <v>56.550400000000003</v>
      </c>
      <c r="Q285" t="str">
        <f t="shared" si="9"/>
        <v>RB</v>
      </c>
      <c r="R285" t="str">
        <f>IF(L285="FLEX",INDEX('F Proj'!$F$1:$F$7669,N285),Q285)</f>
        <v>RB</v>
      </c>
      <c r="S285" t="str">
        <f>IF((Week+Half_Week-1)&gt;=VALUE(RIGHT(C285,LEN(C285)-SEARCH("-",C285))),LEFT(C285,SEARCH("-",C285)-1),"")</f>
        <v/>
      </c>
    </row>
    <row r="286" spans="1:19" x14ac:dyDescent="0.25">
      <c r="A286" t="s">
        <v>110</v>
      </c>
      <c r="B286">
        <v>1</v>
      </c>
      <c r="C286" t="s">
        <v>502</v>
      </c>
      <c r="D286" t="s">
        <v>472</v>
      </c>
      <c r="E286">
        <v>22</v>
      </c>
      <c r="G286">
        <v>22</v>
      </c>
      <c r="H286">
        <v>0</v>
      </c>
      <c r="I286">
        <v>0</v>
      </c>
      <c r="J286" t="s">
        <v>511</v>
      </c>
      <c r="K286" t="str">
        <f t="shared" si="8"/>
        <v>Michael Thomas1</v>
      </c>
      <c r="L286" s="21" t="str">
        <f>IF(ISERROR(MATCH($A286,'F Proj'!$B$1:$B$7669,0)),IF(ISERROR(MATCH($A286,'D Proj'!$B$1:$B$513,0)),IF(ISERROR(MATCH($A286,'K Proj'!$B$1:$B$508,0)),"?","K"),"D"),"FLEX")</f>
        <v>FLEX</v>
      </c>
      <c r="M286" s="21">
        <f>MATCH(L286,Pos,0)</f>
        <v>1</v>
      </c>
      <c r="N286" s="21">
        <f>CHOOSE($M286,MATCH($A286&amp;$B286,'F Proj'!$P$1:$P$7669,0),MATCH($A286&amp;$B286,'D Proj'!$X$1:$X$513,0),MATCH($A286&amp;$B286,'K Proj'!$T$1:$T$508,0))</f>
        <v>831</v>
      </c>
      <c r="O286">
        <f>CHOOSE(M286,INDEX('F Proj'!$D$1:$D$7669,N286),INDEX('D Proj'!$T$1:$T$513,N286),INDEX('K Proj'!$L$1:$L$508,N286))</f>
        <v>11.86</v>
      </c>
      <c r="P286">
        <f>CHOOSE(M286,INDEX('F Proj'!$J$1:$J$7669,N286),INDEX('D Proj'!$N$1:$N$513,N286),INDEX('K Proj'!$P$1:$P$508,N286))</f>
        <v>42.902500000000003</v>
      </c>
      <c r="Q286" t="str">
        <f t="shared" si="9"/>
        <v>WR</v>
      </c>
      <c r="R286" t="str">
        <f>IF(L286="FLEX",INDEX('F Proj'!$F$1:$F$7669,N286),Q286)</f>
        <v>WR</v>
      </c>
      <c r="S286" t="str">
        <f>IF((Week+Half_Week-1)&gt;=VALUE(RIGHT(C286,LEN(C286)-SEARCH("-",C286))),LEFT(C286,SEARCH("-",C286)-1),"")</f>
        <v>cory</v>
      </c>
    </row>
    <row r="287" spans="1:19" x14ac:dyDescent="0.25">
      <c r="A287" t="s">
        <v>110</v>
      </c>
      <c r="B287">
        <v>2</v>
      </c>
      <c r="C287" t="s">
        <v>618</v>
      </c>
      <c r="D287" t="s">
        <v>472</v>
      </c>
      <c r="E287">
        <v>18.899999999999999</v>
      </c>
      <c r="G287">
        <v>18.899999999999999</v>
      </c>
      <c r="H287">
        <v>0</v>
      </c>
      <c r="I287">
        <v>0</v>
      </c>
      <c r="J287" t="s">
        <v>622</v>
      </c>
      <c r="K287" t="str">
        <f t="shared" si="8"/>
        <v>Michael Thomas2</v>
      </c>
      <c r="L287" s="21" t="str">
        <f>IF(ISERROR(MATCH($A287,'F Proj'!$B$1:$B$7669,0)),IF(ISERROR(MATCH($A287,'D Proj'!$B$1:$B$513,0)),IF(ISERROR(MATCH($A287,'K Proj'!$B$1:$B$508,0)),"?","K"),"D"),"FLEX")</f>
        <v>FLEX</v>
      </c>
      <c r="M287" s="21">
        <f>MATCH(L287,Pos,0)</f>
        <v>1</v>
      </c>
      <c r="N287" s="21">
        <f>CHOOSE($M287,MATCH($A287&amp;$B287,'F Proj'!$P$1:$P$7669,0),MATCH($A287&amp;$B287,'D Proj'!$X$1:$X$513,0),MATCH($A287&amp;$B287,'K Proj'!$T$1:$T$508,0))</f>
        <v>690</v>
      </c>
      <c r="O287">
        <f>CHOOSE(M287,INDEX('F Proj'!$D$1:$D$7669,N287),INDEX('D Proj'!$T$1:$T$513,N287),INDEX('K Proj'!$L$1:$L$508,N287))</f>
        <v>12.97</v>
      </c>
      <c r="P287">
        <f>CHOOSE(M287,INDEX('F Proj'!$J$1:$J$7669,N287),INDEX('D Proj'!$N$1:$N$513,N287),INDEX('K Proj'!$P$1:$P$508,N287))</f>
        <v>38.192399999999999</v>
      </c>
      <c r="Q287" t="str">
        <f t="shared" si="9"/>
        <v>WR</v>
      </c>
      <c r="R287" t="str">
        <f>IF(L287="FLEX",INDEX('F Proj'!$F$1:$F$7669,N287),Q287)</f>
        <v>WR</v>
      </c>
      <c r="S287" t="str">
        <f>IF((Week+Half_Week-1)&gt;=VALUE(RIGHT(C287,LEN(C287)-SEARCH("-",C287))),LEFT(C287,SEARCH("-",C287)-1),"")</f>
        <v>cory</v>
      </c>
    </row>
    <row r="288" spans="1:19" x14ac:dyDescent="0.25">
      <c r="A288" t="s">
        <v>110</v>
      </c>
      <c r="B288">
        <v>3</v>
      </c>
      <c r="C288" t="s">
        <v>803</v>
      </c>
      <c r="D288" t="s">
        <v>472</v>
      </c>
      <c r="E288">
        <v>12.9</v>
      </c>
      <c r="G288">
        <v>12.9</v>
      </c>
      <c r="H288">
        <v>0</v>
      </c>
      <c r="I288">
        <v>0</v>
      </c>
      <c r="J288" t="s">
        <v>4320</v>
      </c>
      <c r="K288" t="str">
        <f t="shared" si="8"/>
        <v>Michael Thomas3</v>
      </c>
      <c r="L288" s="21" t="str">
        <f>IF(ISERROR(MATCH($A288,'F Proj'!$B$1:$B$7669,0)),IF(ISERROR(MATCH($A288,'D Proj'!$B$1:$B$513,0)),IF(ISERROR(MATCH($A288,'K Proj'!$B$1:$B$508,0)),"?","K"),"D"),"FLEX")</f>
        <v>FLEX</v>
      </c>
      <c r="M288" s="21">
        <f>MATCH(L288,Pos,0)</f>
        <v>1</v>
      </c>
      <c r="N288" s="21">
        <f>CHOOSE($M288,MATCH($A288&amp;$B288,'F Proj'!$P$1:$P$7669,0),MATCH($A288&amp;$B288,'D Proj'!$X$1:$X$513,0),MATCH($A288&amp;$B288,'K Proj'!$T$1:$T$508,0))</f>
        <v>600</v>
      </c>
      <c r="O288">
        <f>CHOOSE(M288,INDEX('F Proj'!$D$1:$D$7669,N288),INDEX('D Proj'!$T$1:$T$513,N288),INDEX('K Proj'!$L$1:$L$508,N288))</f>
        <v>13.73</v>
      </c>
      <c r="P288">
        <f>CHOOSE(M288,INDEX('F Proj'!$J$1:$J$7669,N288),INDEX('D Proj'!$N$1:$N$513,N288),INDEX('K Proj'!$P$1:$P$508,N288))</f>
        <v>56.550400000000003</v>
      </c>
      <c r="Q288" t="str">
        <f t="shared" si="9"/>
        <v>WR</v>
      </c>
      <c r="R288" t="str">
        <f>IF(L288="FLEX",INDEX('F Proj'!$F$1:$F$7669,N288),Q288)</f>
        <v>WR</v>
      </c>
      <c r="S288" t="str">
        <f>IF((Week+Half_Week-1)&gt;=VALUE(RIGHT(C288,LEN(C288)-SEARCH("-",C288))),LEFT(C288,SEARCH("-",C288)-1),"")</f>
        <v>cory</v>
      </c>
    </row>
    <row r="289" spans="1:19" x14ac:dyDescent="0.25">
      <c r="A289" t="s">
        <v>110</v>
      </c>
      <c r="B289">
        <v>4</v>
      </c>
      <c r="C289" t="s">
        <v>858</v>
      </c>
      <c r="D289" t="s">
        <v>472</v>
      </c>
      <c r="E289">
        <v>4.7</v>
      </c>
      <c r="G289">
        <v>4.7</v>
      </c>
      <c r="H289">
        <v>0</v>
      </c>
      <c r="I289">
        <v>0</v>
      </c>
      <c r="J289" t="s">
        <v>4803</v>
      </c>
      <c r="K289" t="str">
        <f t="shared" si="8"/>
        <v>Michael Thomas4</v>
      </c>
      <c r="L289" s="21" t="str">
        <f>IF(ISERROR(MATCH($A289,'F Proj'!$B$1:$B$7669,0)),IF(ISERROR(MATCH($A289,'D Proj'!$B$1:$B$513,0)),IF(ISERROR(MATCH($A289,'K Proj'!$B$1:$B$508,0)),"?","K"),"D"),"FLEX")</f>
        <v>FLEX</v>
      </c>
      <c r="M289" s="21">
        <f>MATCH(L289,Pos,0)</f>
        <v>1</v>
      </c>
      <c r="N289" s="21">
        <f>CHOOSE($M289,MATCH($A289&amp;$B289,'F Proj'!$P$1:$P$7669,0),MATCH($A289&amp;$B289,'D Proj'!$X$1:$X$513,0),MATCH($A289&amp;$B289,'K Proj'!$T$1:$T$508,0))</f>
        <v>478</v>
      </c>
      <c r="O289">
        <f>CHOOSE(M289,INDEX('F Proj'!$D$1:$D$7669,N289),INDEX('D Proj'!$T$1:$T$513,N289),INDEX('K Proj'!$L$1:$L$508,N289))</f>
        <v>15.1</v>
      </c>
      <c r="P289">
        <f>CHOOSE(M289,INDEX('F Proj'!$J$1:$J$7669,N289),INDEX('D Proj'!$N$1:$N$513,N289),INDEX('K Proj'!$P$1:$P$508,N289))</f>
        <v>62.252099999999999</v>
      </c>
      <c r="Q289" t="str">
        <f t="shared" si="9"/>
        <v>WR</v>
      </c>
      <c r="R289" t="str">
        <f>IF(L289="FLEX",INDEX('F Proj'!$F$1:$F$7669,N289),Q289)</f>
        <v>WR</v>
      </c>
      <c r="S289" t="str">
        <f>IF((Week+Half_Week-1)&gt;=VALUE(RIGHT(C289,LEN(C289)-SEARCH("-",C289))),LEFT(C289,SEARCH("-",C289)-1),"")</f>
        <v>cory</v>
      </c>
    </row>
    <row r="290" spans="1:19" x14ac:dyDescent="0.25">
      <c r="A290" t="s">
        <v>110</v>
      </c>
      <c r="B290">
        <v>5</v>
      </c>
      <c r="C290" t="s">
        <v>883</v>
      </c>
      <c r="D290" t="s">
        <v>472</v>
      </c>
      <c r="E290" t="s">
        <v>8947</v>
      </c>
      <c r="G290">
        <v>13.45</v>
      </c>
      <c r="H290">
        <v>7.2</v>
      </c>
      <c r="I290">
        <v>51.84</v>
      </c>
      <c r="J290" t="s">
        <v>9003</v>
      </c>
      <c r="K290" t="str">
        <f t="shared" si="8"/>
        <v>Michael Thomas5</v>
      </c>
      <c r="L290" s="21" t="str">
        <f>IF(ISERROR(MATCH($A290,'F Proj'!$B$1:$B$7669,0)),IF(ISERROR(MATCH($A290,'D Proj'!$B$1:$B$513,0)),IF(ISERROR(MATCH($A290,'K Proj'!$B$1:$B$508,0)),"?","K"),"D"),"FLEX")</f>
        <v>FLEX</v>
      </c>
      <c r="M290" s="21">
        <f>MATCH(L290,Pos,0)</f>
        <v>1</v>
      </c>
      <c r="N290" s="21">
        <f>CHOOSE($M290,MATCH($A290&amp;$B290,'F Proj'!$P$1:$P$7669,0),MATCH($A290&amp;$B290,'D Proj'!$X$1:$X$513,0),MATCH($A290&amp;$B290,'K Proj'!$T$1:$T$508,0))</f>
        <v>630</v>
      </c>
      <c r="O290">
        <f>CHOOSE(M290,INDEX('F Proj'!$D$1:$D$7669,N290),INDEX('D Proj'!$T$1:$T$513,N290),INDEX('K Proj'!$L$1:$L$508,N290))</f>
        <v>13.45</v>
      </c>
      <c r="P290">
        <f>CHOOSE(M290,INDEX('F Proj'!$J$1:$J$7669,N290),INDEX('D Proj'!$N$1:$N$513,N290),INDEX('K Proj'!$P$1:$P$508,N290))</f>
        <v>51.84</v>
      </c>
      <c r="Q290" t="str">
        <f t="shared" si="9"/>
        <v>WR</v>
      </c>
      <c r="R290" t="str">
        <f>IF(L290="FLEX",INDEX('F Proj'!$F$1:$F$7669,N290),Q290)</f>
        <v>WR</v>
      </c>
      <c r="S290" t="str">
        <f>IF((Week+Half_Week-1)&gt;=VALUE(RIGHT(C290,LEN(C290)-SEARCH("-",C290))),LEFT(C290,SEARCH("-",C290)-1),"")</f>
        <v/>
      </c>
    </row>
    <row r="291" spans="1:19" x14ac:dyDescent="0.25">
      <c r="A291" t="s">
        <v>100</v>
      </c>
      <c r="B291">
        <v>1</v>
      </c>
      <c r="C291" t="s">
        <v>507</v>
      </c>
      <c r="D291" t="s">
        <v>472</v>
      </c>
      <c r="E291">
        <v>20.7</v>
      </c>
      <c r="G291">
        <v>20.7</v>
      </c>
      <c r="H291">
        <v>0</v>
      </c>
      <c r="I291">
        <v>0</v>
      </c>
      <c r="J291" t="s">
        <v>565</v>
      </c>
      <c r="K291" t="str">
        <f t="shared" si="8"/>
        <v>Mike Evans1</v>
      </c>
      <c r="L291" s="21" t="str">
        <f>IF(ISERROR(MATCH($A291,'F Proj'!$B$1:$B$7669,0)),IF(ISERROR(MATCH($A291,'D Proj'!$B$1:$B$513,0)),IF(ISERROR(MATCH($A291,'K Proj'!$B$1:$B$508,0)),"?","K"),"D"),"FLEX")</f>
        <v>FLEX</v>
      </c>
      <c r="M291" s="21">
        <f>MATCH(L291,Pos,0)</f>
        <v>1</v>
      </c>
      <c r="N291" s="21">
        <f>CHOOSE($M291,MATCH($A291&amp;$B291,'F Proj'!$P$1:$P$7669,0),MATCH($A291&amp;$B291,'D Proj'!$X$1:$X$513,0),MATCH($A291&amp;$B291,'K Proj'!$T$1:$T$508,0))</f>
        <v>775</v>
      </c>
      <c r="O291">
        <f>CHOOSE(M291,INDEX('F Proj'!$D$1:$D$7669,N291),INDEX('D Proj'!$T$1:$T$513,N291),INDEX('K Proj'!$L$1:$L$508,N291))</f>
        <v>12.34</v>
      </c>
      <c r="P291">
        <f>CHOOSE(M291,INDEX('F Proj'!$J$1:$J$7669,N291),INDEX('D Proj'!$N$1:$N$513,N291),INDEX('K Proj'!$P$1:$P$508,N291))</f>
        <v>67.4041</v>
      </c>
      <c r="Q291" t="str">
        <f t="shared" si="9"/>
        <v>WR</v>
      </c>
      <c r="R291" t="str">
        <f>IF(L291="FLEX",INDEX('F Proj'!$F$1:$F$7669,N291),Q291)</f>
        <v>WR</v>
      </c>
      <c r="S291" t="str">
        <f>IF((Week+Half_Week-1)&gt;=VALUE(RIGHT(C291,LEN(C291)-SEARCH("-",C291))),LEFT(C291,SEARCH("-",C291)-1),"")</f>
        <v>aj</v>
      </c>
    </row>
    <row r="292" spans="1:19" x14ac:dyDescent="0.25">
      <c r="A292" t="s">
        <v>100</v>
      </c>
      <c r="B292">
        <v>2</v>
      </c>
      <c r="C292" t="s">
        <v>625</v>
      </c>
      <c r="D292" t="s">
        <v>472</v>
      </c>
      <c r="E292">
        <v>12.3</v>
      </c>
      <c r="G292">
        <v>12.3</v>
      </c>
      <c r="H292">
        <v>0</v>
      </c>
      <c r="I292">
        <v>0</v>
      </c>
      <c r="J292" t="s">
        <v>680</v>
      </c>
      <c r="K292" t="str">
        <f t="shared" si="8"/>
        <v>Mike Evans2</v>
      </c>
      <c r="L292" s="21" t="str">
        <f>IF(ISERROR(MATCH($A292,'F Proj'!$B$1:$B$7669,0)),IF(ISERROR(MATCH($A292,'D Proj'!$B$1:$B$513,0)),IF(ISERROR(MATCH($A292,'K Proj'!$B$1:$B$508,0)),"?","K"),"D"),"FLEX")</f>
        <v>FLEX</v>
      </c>
      <c r="M292" s="21">
        <f>MATCH(L292,Pos,0)</f>
        <v>1</v>
      </c>
      <c r="N292" s="21">
        <f>CHOOSE($M292,MATCH($A292&amp;$B292,'F Proj'!$P$1:$P$7669,0),MATCH($A292&amp;$B292,'D Proj'!$X$1:$X$513,0),MATCH($A292&amp;$B292,'K Proj'!$T$1:$T$508,0))</f>
        <v>962</v>
      </c>
      <c r="O292">
        <f>CHOOSE(M292,INDEX('F Proj'!$D$1:$D$7669,N292),INDEX('D Proj'!$T$1:$T$513,N292),INDEX('K Proj'!$L$1:$L$508,N292))</f>
        <v>10.67</v>
      </c>
      <c r="P292">
        <f>CHOOSE(M292,INDEX('F Proj'!$J$1:$J$7669,N292),INDEX('D Proj'!$N$1:$N$513,N292),INDEX('K Proj'!$P$1:$P$508,N292))</f>
        <v>42.380099999999999</v>
      </c>
      <c r="Q292" t="str">
        <f t="shared" si="9"/>
        <v>WR</v>
      </c>
      <c r="R292" t="str">
        <f>IF(L292="FLEX",INDEX('F Proj'!$F$1:$F$7669,N292),Q292)</f>
        <v>WR</v>
      </c>
      <c r="S292" t="str">
        <f>IF((Week+Half_Week-1)&gt;=VALUE(RIGHT(C292,LEN(C292)-SEARCH("-",C292))),LEFT(C292,SEARCH("-",C292)-1),"")</f>
        <v>aj</v>
      </c>
    </row>
    <row r="293" spans="1:19" x14ac:dyDescent="0.25">
      <c r="A293" t="s">
        <v>100</v>
      </c>
      <c r="B293">
        <v>3</v>
      </c>
      <c r="C293" t="s">
        <v>806</v>
      </c>
      <c r="D293" t="s">
        <v>472</v>
      </c>
      <c r="E293">
        <v>19.7</v>
      </c>
      <c r="G293">
        <v>19.7</v>
      </c>
      <c r="H293">
        <v>0</v>
      </c>
      <c r="I293">
        <v>0</v>
      </c>
      <c r="J293" t="s">
        <v>4321</v>
      </c>
      <c r="K293" t="str">
        <f t="shared" si="8"/>
        <v>Mike Evans3</v>
      </c>
      <c r="L293" s="21" t="str">
        <f>IF(ISERROR(MATCH($A293,'F Proj'!$B$1:$B$7669,0)),IF(ISERROR(MATCH($A293,'D Proj'!$B$1:$B$513,0)),IF(ISERROR(MATCH($A293,'K Proj'!$B$1:$B$508,0)),"?","K"),"D"),"FLEX")</f>
        <v>FLEX</v>
      </c>
      <c r="M293" s="21">
        <f>MATCH(L293,Pos,0)</f>
        <v>1</v>
      </c>
      <c r="N293" s="21">
        <f>CHOOSE($M293,MATCH($A293&amp;$B293,'F Proj'!$P$1:$P$7669,0),MATCH($A293&amp;$B293,'D Proj'!$X$1:$X$513,0),MATCH($A293&amp;$B293,'K Proj'!$T$1:$T$508,0))</f>
        <v>623</v>
      </c>
      <c r="O293">
        <f>CHOOSE(M293,INDEX('F Proj'!$D$1:$D$7669,N293),INDEX('D Proj'!$T$1:$T$513,N293),INDEX('K Proj'!$L$1:$L$508,N293))</f>
        <v>13.54</v>
      </c>
      <c r="P293">
        <f>CHOOSE(M293,INDEX('F Proj'!$J$1:$J$7669,N293),INDEX('D Proj'!$N$1:$N$513,N293),INDEX('K Proj'!$P$1:$P$508,N293))</f>
        <v>78.145600000000002</v>
      </c>
      <c r="Q293" t="str">
        <f t="shared" si="9"/>
        <v>WR</v>
      </c>
      <c r="R293" t="str">
        <f>IF(L293="FLEX",INDEX('F Proj'!$F$1:$F$7669,N293),Q293)</f>
        <v>WR</v>
      </c>
      <c r="S293" t="str">
        <f>IF((Week+Half_Week-1)&gt;=VALUE(RIGHT(C293,LEN(C293)-SEARCH("-",C293))),LEFT(C293,SEARCH("-",C293)-1),"")</f>
        <v>aj</v>
      </c>
    </row>
    <row r="294" spans="1:19" x14ac:dyDescent="0.25">
      <c r="A294" t="s">
        <v>100</v>
      </c>
      <c r="B294">
        <v>4</v>
      </c>
      <c r="C294" t="s">
        <v>866</v>
      </c>
      <c r="D294" t="s">
        <v>472</v>
      </c>
      <c r="E294">
        <v>5.9</v>
      </c>
      <c r="G294">
        <v>5.9</v>
      </c>
      <c r="H294">
        <v>0</v>
      </c>
      <c r="I294">
        <v>0</v>
      </c>
      <c r="J294" t="s">
        <v>4804</v>
      </c>
      <c r="K294" t="str">
        <f t="shared" si="8"/>
        <v>Mike Evans4</v>
      </c>
      <c r="L294" s="21" t="str">
        <f>IF(ISERROR(MATCH($A294,'F Proj'!$B$1:$B$7669,0)),IF(ISERROR(MATCH($A294,'D Proj'!$B$1:$B$513,0)),IF(ISERROR(MATCH($A294,'K Proj'!$B$1:$B$508,0)),"?","K"),"D"),"FLEX")</f>
        <v>FLEX</v>
      </c>
      <c r="M294" s="21">
        <f>MATCH(L294,Pos,0)</f>
        <v>1</v>
      </c>
      <c r="N294" s="21">
        <f>CHOOSE($M294,MATCH($A294&amp;$B294,'F Proj'!$P$1:$P$7669,0),MATCH($A294&amp;$B294,'D Proj'!$X$1:$X$513,0),MATCH($A294&amp;$B294,'K Proj'!$T$1:$T$508,0))</f>
        <v>868</v>
      </c>
      <c r="O294">
        <f>CHOOSE(M294,INDEX('F Proj'!$D$1:$D$7669,N294),INDEX('D Proj'!$T$1:$T$513,N294),INDEX('K Proj'!$L$1:$L$508,N294))</f>
        <v>11.57</v>
      </c>
      <c r="P294">
        <f>CHOOSE(M294,INDEX('F Proj'!$J$1:$J$7669,N294),INDEX('D Proj'!$N$1:$N$513,N294),INDEX('K Proj'!$P$1:$P$508,N294))</f>
        <v>55.950400000000002</v>
      </c>
      <c r="Q294" t="str">
        <f t="shared" si="9"/>
        <v>WR</v>
      </c>
      <c r="R294" t="str">
        <f>IF(L294="FLEX",INDEX('F Proj'!$F$1:$F$7669,N294),Q294)</f>
        <v>WR</v>
      </c>
      <c r="S294" t="str">
        <f>IF((Week+Half_Week-1)&gt;=VALUE(RIGHT(C294,LEN(C294)-SEARCH("-",C294))),LEFT(C294,SEARCH("-",C294)-1),"")</f>
        <v>aj</v>
      </c>
    </row>
    <row r="295" spans="1:19" x14ac:dyDescent="0.25">
      <c r="A295" t="s">
        <v>240</v>
      </c>
      <c r="B295">
        <v>1</v>
      </c>
      <c r="C295" t="s">
        <v>504</v>
      </c>
      <c r="D295" t="s">
        <v>472</v>
      </c>
      <c r="E295">
        <v>5.5</v>
      </c>
      <c r="G295">
        <v>5.5</v>
      </c>
      <c r="H295">
        <v>0</v>
      </c>
      <c r="I295">
        <v>0</v>
      </c>
      <c r="J295" t="s">
        <v>567</v>
      </c>
      <c r="K295" t="str">
        <f t="shared" si="8"/>
        <v>Nelson Agholor1</v>
      </c>
      <c r="L295" s="21" t="str">
        <f>IF(ISERROR(MATCH($A295,'F Proj'!$B$1:$B$7669,0)),IF(ISERROR(MATCH($A295,'D Proj'!$B$1:$B$513,0)),IF(ISERROR(MATCH($A295,'K Proj'!$B$1:$B$508,0)),"?","K"),"D"),"FLEX")</f>
        <v>FLEX</v>
      </c>
      <c r="M295" s="21">
        <f>MATCH(L295,Pos,0)</f>
        <v>1</v>
      </c>
      <c r="N295" s="21">
        <f>CHOOSE($M295,MATCH($A295&amp;$B295,'F Proj'!$P$1:$P$7669,0),MATCH($A295&amp;$B295,'D Proj'!$X$1:$X$513,0),MATCH($A295&amp;$B295,'K Proj'!$T$1:$T$508,0))</f>
        <v>1395</v>
      </c>
      <c r="O295">
        <f>CHOOSE(M295,INDEX('F Proj'!$D$1:$D$7669,N295),INDEX('D Proj'!$T$1:$T$513,N295),INDEX('K Proj'!$L$1:$L$508,N295))</f>
        <v>8.5</v>
      </c>
      <c r="P295">
        <f>CHOOSE(M295,INDEX('F Proj'!$J$1:$J$7669,N295),INDEX('D Proj'!$N$1:$N$513,N295),INDEX('K Proj'!$P$1:$P$508,N295))</f>
        <v>49.702500000000001</v>
      </c>
      <c r="Q295" t="str">
        <f t="shared" si="9"/>
        <v>WR</v>
      </c>
      <c r="R295" t="str">
        <f>IF(L295="FLEX",INDEX('F Proj'!$F$1:$F$7669,N295),Q295)</f>
        <v>WR</v>
      </c>
      <c r="S295" t="str">
        <f>IF((Week+Half_Week-1)&gt;=VALUE(RIGHT(C295,LEN(C295)-SEARCH("-",C295))),LEFT(C295,SEARCH("-",C295)-1),"")</f>
        <v>scott</v>
      </c>
    </row>
    <row r="296" spans="1:19" x14ac:dyDescent="0.25">
      <c r="A296" t="s">
        <v>240</v>
      </c>
      <c r="B296">
        <v>2</v>
      </c>
      <c r="C296" t="s">
        <v>628</v>
      </c>
      <c r="D296" t="s">
        <v>472</v>
      </c>
      <c r="E296">
        <v>15</v>
      </c>
      <c r="G296">
        <v>15</v>
      </c>
      <c r="H296">
        <v>0</v>
      </c>
      <c r="I296">
        <v>0</v>
      </c>
      <c r="J296" t="s">
        <v>682</v>
      </c>
      <c r="K296" t="str">
        <f t="shared" si="8"/>
        <v>Nelson Agholor2</v>
      </c>
      <c r="L296" s="21" t="str">
        <f>IF(ISERROR(MATCH($A296,'F Proj'!$B$1:$B$7669,0)),IF(ISERROR(MATCH($A296,'D Proj'!$B$1:$B$513,0)),IF(ISERROR(MATCH($A296,'K Proj'!$B$1:$B$508,0)),"?","K"),"D"),"FLEX")</f>
        <v>FLEX</v>
      </c>
      <c r="M296" s="21">
        <f>MATCH(L296,Pos,0)</f>
        <v>1</v>
      </c>
      <c r="N296" s="21">
        <f>CHOOSE($M296,MATCH($A296&amp;$B296,'F Proj'!$P$1:$P$7669,0),MATCH($A296&amp;$B296,'D Proj'!$X$1:$X$513,0),MATCH($A296&amp;$B296,'K Proj'!$T$1:$T$508,0))</f>
        <v>1335</v>
      </c>
      <c r="O296">
        <f>CHOOSE(M296,INDEX('F Proj'!$D$1:$D$7669,N296),INDEX('D Proj'!$T$1:$T$513,N296),INDEX('K Proj'!$L$1:$L$508,N296))</f>
        <v>8.69</v>
      </c>
      <c r="P296">
        <f>CHOOSE(M296,INDEX('F Proj'!$J$1:$J$7669,N296),INDEX('D Proj'!$N$1:$N$513,N296),INDEX('K Proj'!$P$1:$P$508,N296))</f>
        <v>47.472099999999998</v>
      </c>
      <c r="Q296" t="str">
        <f t="shared" si="9"/>
        <v>WR</v>
      </c>
      <c r="R296" t="str">
        <f>IF(L296="FLEX",INDEX('F Proj'!$F$1:$F$7669,N296),Q296)</f>
        <v>WR</v>
      </c>
      <c r="S296" t="str">
        <f>IF((Week+Half_Week-1)&gt;=VALUE(RIGHT(C296,LEN(C296)-SEARCH("-",C296))),LEFT(C296,SEARCH("-",C296)-1),"")</f>
        <v>scott</v>
      </c>
    </row>
    <row r="297" spans="1:19" x14ac:dyDescent="0.25">
      <c r="A297" t="s">
        <v>240</v>
      </c>
      <c r="B297">
        <v>3</v>
      </c>
      <c r="C297" t="s">
        <v>807</v>
      </c>
      <c r="D297" t="s">
        <v>472</v>
      </c>
      <c r="E297">
        <v>2.4</v>
      </c>
      <c r="G297">
        <v>2.4</v>
      </c>
      <c r="H297">
        <v>0</v>
      </c>
      <c r="I297">
        <v>0</v>
      </c>
      <c r="J297" t="s">
        <v>4322</v>
      </c>
      <c r="K297" t="str">
        <f t="shared" si="8"/>
        <v>Nelson Agholor3</v>
      </c>
      <c r="L297" s="21" t="str">
        <f>IF(ISERROR(MATCH($A297,'F Proj'!$B$1:$B$7669,0)),IF(ISERROR(MATCH($A297,'D Proj'!$B$1:$B$513,0)),IF(ISERROR(MATCH($A297,'K Proj'!$B$1:$B$508,0)),"?","K"),"D"),"FLEX")</f>
        <v>FLEX</v>
      </c>
      <c r="M297" s="21">
        <f>MATCH(L297,Pos,0)</f>
        <v>1</v>
      </c>
      <c r="N297" s="21">
        <f>CHOOSE($M297,MATCH($A297&amp;$B297,'F Proj'!$P$1:$P$7669,0),MATCH($A297&amp;$B297,'D Proj'!$X$1:$X$513,0),MATCH($A297&amp;$B297,'K Proj'!$T$1:$T$508,0))</f>
        <v>1135</v>
      </c>
      <c r="O297">
        <f>CHOOSE(M297,INDEX('F Proj'!$D$1:$D$7669,N297),INDEX('D Proj'!$T$1:$T$513,N297),INDEX('K Proj'!$L$1:$L$508,N297))</f>
        <v>9.74</v>
      </c>
      <c r="P297">
        <f>CHOOSE(M297,INDEX('F Proj'!$J$1:$J$7669,N297),INDEX('D Proj'!$N$1:$N$513,N297),INDEX('K Proj'!$P$1:$P$508,N297))</f>
        <v>39.438400000000001</v>
      </c>
      <c r="Q297" t="str">
        <f t="shared" si="9"/>
        <v>WR</v>
      </c>
      <c r="R297" t="str">
        <f>IF(L297="FLEX",INDEX('F Proj'!$F$1:$F$7669,N297),Q297)</f>
        <v>WR</v>
      </c>
      <c r="S297" t="str">
        <f>IF((Week+Half_Week-1)&gt;=VALUE(RIGHT(C297,LEN(C297)-SEARCH("-",C297))),LEFT(C297,SEARCH("-",C297)-1),"")</f>
        <v>scott</v>
      </c>
    </row>
    <row r="298" spans="1:19" x14ac:dyDescent="0.25">
      <c r="A298" t="s">
        <v>86</v>
      </c>
      <c r="B298">
        <v>1</v>
      </c>
      <c r="C298" t="s">
        <v>500</v>
      </c>
      <c r="D298" t="s">
        <v>471</v>
      </c>
      <c r="E298">
        <v>11</v>
      </c>
      <c r="G298">
        <v>11</v>
      </c>
      <c r="H298">
        <v>0</v>
      </c>
      <c r="I298">
        <v>0</v>
      </c>
      <c r="J298" t="s">
        <v>546</v>
      </c>
      <c r="K298" t="str">
        <f t="shared" si="8"/>
        <v>Odell Beckham Jr.1</v>
      </c>
      <c r="L298" s="21" t="str">
        <f>IF(ISERROR(MATCH($A298,'F Proj'!$B$1:$B$7669,0)),IF(ISERROR(MATCH($A298,'D Proj'!$B$1:$B$513,0)),IF(ISERROR(MATCH($A298,'K Proj'!$B$1:$B$508,0)),"?","K"),"D"),"FLEX")</f>
        <v>FLEX</v>
      </c>
      <c r="M298" s="21">
        <f>MATCH(L298,Pos,0)</f>
        <v>1</v>
      </c>
      <c r="N298" s="21">
        <f>CHOOSE($M298,MATCH($A298&amp;$B298,'F Proj'!$P$1:$P$7669,0),MATCH($A298&amp;$B298,'D Proj'!$X$1:$X$513,0),MATCH($A298&amp;$B298,'K Proj'!$T$1:$T$508,0))</f>
        <v>1247</v>
      </c>
      <c r="O298">
        <f>CHOOSE(M298,INDEX('F Proj'!$D$1:$D$7669,N298),INDEX('D Proj'!$T$1:$T$513,N298),INDEX('K Proj'!$L$1:$L$508,N298))</f>
        <v>9.16</v>
      </c>
      <c r="P298">
        <f>CHOOSE(M298,INDEX('F Proj'!$J$1:$J$7669,N298),INDEX('D Proj'!$N$1:$N$513,N298),INDEX('K Proj'!$P$1:$P$508,N298))</f>
        <v>37.822499999999998</v>
      </c>
      <c r="Q298" t="str">
        <f t="shared" si="9"/>
        <v>WR</v>
      </c>
      <c r="R298" t="str">
        <f>IF(L298="FLEX",INDEX('F Proj'!$F$1:$F$7669,N298),Q298)</f>
        <v>WR</v>
      </c>
      <c r="S298" t="str">
        <f>IF((Week+Half_Week-1)&gt;=VALUE(RIGHT(C298,LEN(C298)-SEARCH("-",C298))),LEFT(C298,SEARCH("-",C298)-1),"")</f>
        <v>seth</v>
      </c>
    </row>
    <row r="299" spans="1:19" x14ac:dyDescent="0.25">
      <c r="A299" t="s">
        <v>86</v>
      </c>
      <c r="B299">
        <v>2</v>
      </c>
      <c r="C299" t="s">
        <v>630</v>
      </c>
      <c r="D299" t="s">
        <v>471</v>
      </c>
      <c r="E299">
        <v>5.0999999999999996</v>
      </c>
      <c r="G299">
        <v>5.0999999999999996</v>
      </c>
      <c r="H299">
        <v>0</v>
      </c>
      <c r="I299">
        <v>0</v>
      </c>
      <c r="J299" t="s">
        <v>661</v>
      </c>
      <c r="K299" t="str">
        <f t="shared" si="8"/>
        <v>Odell Beckham Jr.2</v>
      </c>
      <c r="L299" s="21" t="str">
        <f>IF(ISERROR(MATCH($A299,'F Proj'!$B$1:$B$7669,0)),IF(ISERROR(MATCH($A299,'D Proj'!$B$1:$B$513,0)),IF(ISERROR(MATCH($A299,'K Proj'!$B$1:$B$508,0)),"?","K"),"D"),"FLEX")</f>
        <v>FLEX</v>
      </c>
      <c r="M299" s="21">
        <f>MATCH(L299,Pos,0)</f>
        <v>1</v>
      </c>
      <c r="N299" s="21">
        <f>CHOOSE($M299,MATCH($A299&amp;$B299,'F Proj'!$P$1:$P$7669,0),MATCH($A299&amp;$B299,'D Proj'!$X$1:$X$513,0),MATCH($A299&amp;$B299,'K Proj'!$T$1:$T$508,0))</f>
        <v>816</v>
      </c>
      <c r="O299">
        <f>CHOOSE(M299,INDEX('F Proj'!$D$1:$D$7669,N299),INDEX('D Proj'!$T$1:$T$513,N299),INDEX('K Proj'!$L$1:$L$508,N299))</f>
        <v>12.02</v>
      </c>
      <c r="P299">
        <f>CHOOSE(M299,INDEX('F Proj'!$J$1:$J$7669,N299),INDEX('D Proj'!$N$1:$N$513,N299),INDEX('K Proj'!$P$1:$P$508,N299))</f>
        <v>58.522500000000001</v>
      </c>
      <c r="Q299" t="str">
        <f t="shared" si="9"/>
        <v>WR</v>
      </c>
      <c r="R299" t="str">
        <f>IF(L299="FLEX",INDEX('F Proj'!$F$1:$F$7669,N299),Q299)</f>
        <v>WR</v>
      </c>
      <c r="S299" t="str">
        <f>IF((Week+Half_Week-1)&gt;=VALUE(RIGHT(C299,LEN(C299)-SEARCH("-",C299))),LEFT(C299,SEARCH("-",C299)-1),"")</f>
        <v>seth</v>
      </c>
    </row>
    <row r="300" spans="1:19" x14ac:dyDescent="0.25">
      <c r="A300" t="s">
        <v>86</v>
      </c>
      <c r="B300">
        <v>3</v>
      </c>
      <c r="C300" t="s">
        <v>808</v>
      </c>
      <c r="D300" t="s">
        <v>471</v>
      </c>
      <c r="E300">
        <v>10.9</v>
      </c>
      <c r="G300">
        <v>10.9</v>
      </c>
      <c r="H300">
        <v>0</v>
      </c>
      <c r="I300">
        <v>0</v>
      </c>
      <c r="J300" t="s">
        <v>4323</v>
      </c>
      <c r="K300" t="str">
        <f t="shared" si="8"/>
        <v>Odell Beckham Jr.3</v>
      </c>
      <c r="L300" s="21" t="str">
        <f>IF(ISERROR(MATCH($A300,'F Proj'!$B$1:$B$7669,0)),IF(ISERROR(MATCH($A300,'D Proj'!$B$1:$B$513,0)),IF(ISERROR(MATCH($A300,'K Proj'!$B$1:$B$508,0)),"?","K"),"D"),"FLEX")</f>
        <v>FLEX</v>
      </c>
      <c r="M300" s="21">
        <f>MATCH(L300,Pos,0)</f>
        <v>1</v>
      </c>
      <c r="N300" s="21">
        <f>CHOOSE($M300,MATCH($A300&amp;$B300,'F Proj'!$P$1:$P$7669,0),MATCH($A300&amp;$B300,'D Proj'!$X$1:$X$513,0),MATCH($A300&amp;$B300,'K Proj'!$T$1:$T$508,0))</f>
        <v>536</v>
      </c>
      <c r="O300">
        <f>CHOOSE(M300,INDEX('F Proj'!$D$1:$D$7669,N300),INDEX('D Proj'!$T$1:$T$513,N300),INDEX('K Proj'!$L$1:$L$508,N300))</f>
        <v>14.39</v>
      </c>
      <c r="P300">
        <f>CHOOSE(M300,INDEX('F Proj'!$J$1:$J$7669,N300),INDEX('D Proj'!$N$1:$N$513,N300),INDEX('K Proj'!$P$1:$P$508,N300))</f>
        <v>78.854399999999998</v>
      </c>
      <c r="Q300" t="str">
        <f t="shared" si="9"/>
        <v>WR</v>
      </c>
      <c r="R300" t="str">
        <f>IF(L300="FLEX",INDEX('F Proj'!$F$1:$F$7669,N300),Q300)</f>
        <v>WR</v>
      </c>
      <c r="S300" t="str">
        <f>IF((Week+Half_Week-1)&gt;=VALUE(RIGHT(C300,LEN(C300)-SEARCH("-",C300))),LEFT(C300,SEARCH("-",C300)-1),"")</f>
        <v>seth</v>
      </c>
    </row>
    <row r="301" spans="1:19" x14ac:dyDescent="0.25">
      <c r="A301" t="s">
        <v>86</v>
      </c>
      <c r="B301">
        <v>4</v>
      </c>
      <c r="C301" t="s">
        <v>857</v>
      </c>
      <c r="D301" t="s">
        <v>471</v>
      </c>
      <c r="E301">
        <v>7</v>
      </c>
      <c r="G301">
        <v>7</v>
      </c>
      <c r="H301">
        <v>0</v>
      </c>
      <c r="I301">
        <v>0</v>
      </c>
      <c r="J301" t="s">
        <v>4806</v>
      </c>
      <c r="K301" t="str">
        <f t="shared" si="8"/>
        <v>Odell Beckham Jr.4</v>
      </c>
      <c r="L301" s="21" t="str">
        <f>IF(ISERROR(MATCH($A301,'F Proj'!$B$1:$B$7669,0)),IF(ISERROR(MATCH($A301,'D Proj'!$B$1:$B$513,0)),IF(ISERROR(MATCH($A301,'K Proj'!$B$1:$B$508,0)),"?","K"),"D"),"FLEX")</f>
        <v>FLEX</v>
      </c>
      <c r="M301" s="21">
        <f>MATCH(L301,Pos,0)</f>
        <v>1</v>
      </c>
      <c r="N301" s="21">
        <f>CHOOSE($M301,MATCH($A301&amp;$B301,'F Proj'!$P$1:$P$7669,0),MATCH($A301&amp;$B301,'D Proj'!$X$1:$X$513,0),MATCH($A301&amp;$B301,'K Proj'!$T$1:$T$508,0))</f>
        <v>487</v>
      </c>
      <c r="O301">
        <f>CHOOSE(M301,INDEX('F Proj'!$D$1:$D$7669,N301),INDEX('D Proj'!$T$1:$T$513,N301),INDEX('K Proj'!$L$1:$L$508,N301))</f>
        <v>14.99</v>
      </c>
      <c r="P301">
        <f>CHOOSE(M301,INDEX('F Proj'!$J$1:$J$7669,N301),INDEX('D Proj'!$N$1:$N$513,N301),INDEX('K Proj'!$P$1:$P$508,N301))</f>
        <v>66.748900000000006</v>
      </c>
      <c r="Q301" t="str">
        <f t="shared" si="9"/>
        <v>WR</v>
      </c>
      <c r="R301" t="str">
        <f>IF(L301="FLEX",INDEX('F Proj'!$F$1:$F$7669,N301),Q301)</f>
        <v>WR</v>
      </c>
      <c r="S301" t="str">
        <f>IF((Week+Half_Week-1)&gt;=VALUE(RIGHT(C301,LEN(C301)-SEARCH("-",C301))),LEFT(C301,SEARCH("-",C301)-1),"")</f>
        <v>seth</v>
      </c>
    </row>
    <row r="302" spans="1:19" x14ac:dyDescent="0.25">
      <c r="A302" t="s">
        <v>86</v>
      </c>
      <c r="B302">
        <v>5</v>
      </c>
      <c r="C302" t="s">
        <v>882</v>
      </c>
      <c r="D302" t="s">
        <v>471</v>
      </c>
      <c r="E302" t="s">
        <v>8947</v>
      </c>
      <c r="G302">
        <v>12.21</v>
      </c>
      <c r="H302">
        <v>7.52</v>
      </c>
      <c r="I302">
        <v>56.550400000000003</v>
      </c>
      <c r="J302" t="s">
        <v>9004</v>
      </c>
      <c r="K302" t="str">
        <f t="shared" si="8"/>
        <v>Odell Beckham Jr.5</v>
      </c>
      <c r="L302" s="21" t="str">
        <f>IF(ISERROR(MATCH($A302,'F Proj'!$B$1:$B$7669,0)),IF(ISERROR(MATCH($A302,'D Proj'!$B$1:$B$513,0)),IF(ISERROR(MATCH($A302,'K Proj'!$B$1:$B$508,0)),"?","K"),"D"),"FLEX")</f>
        <v>FLEX</v>
      </c>
      <c r="M302" s="21">
        <f>MATCH(L302,Pos,0)</f>
        <v>1</v>
      </c>
      <c r="N302" s="21">
        <f>CHOOSE($M302,MATCH($A302&amp;$B302,'F Proj'!$P$1:$P$7669,0),MATCH($A302&amp;$B302,'D Proj'!$X$1:$X$513,0),MATCH($A302&amp;$B302,'K Proj'!$T$1:$T$508,0))</f>
        <v>796</v>
      </c>
      <c r="O302">
        <f>CHOOSE(M302,INDEX('F Proj'!$D$1:$D$7669,N302),INDEX('D Proj'!$T$1:$T$513,N302),INDEX('K Proj'!$L$1:$L$508,N302))</f>
        <v>12.21</v>
      </c>
      <c r="P302">
        <f>CHOOSE(M302,INDEX('F Proj'!$J$1:$J$7669,N302),INDEX('D Proj'!$N$1:$N$513,N302),INDEX('K Proj'!$P$1:$P$508,N302))</f>
        <v>56.550400000000003</v>
      </c>
      <c r="Q302" t="str">
        <f t="shared" si="9"/>
        <v>WR</v>
      </c>
      <c r="R302" t="str">
        <f>IF(L302="FLEX",INDEX('F Proj'!$F$1:$F$7669,N302),Q302)</f>
        <v>WR</v>
      </c>
      <c r="S302" t="str">
        <f>IF((Week+Half_Week-1)&gt;=VALUE(RIGHT(C302,LEN(C302)-SEARCH("-",C302))),LEFT(C302,SEARCH("-",C302)-1),"")</f>
        <v/>
      </c>
    </row>
    <row r="303" spans="1:19" x14ac:dyDescent="0.25">
      <c r="A303" t="s">
        <v>302</v>
      </c>
      <c r="B303">
        <v>3</v>
      </c>
      <c r="C303" t="s">
        <v>812</v>
      </c>
      <c r="D303" t="s">
        <v>467</v>
      </c>
      <c r="E303">
        <v>25.3</v>
      </c>
      <c r="G303">
        <v>25.3</v>
      </c>
      <c r="H303">
        <v>0</v>
      </c>
      <c r="I303">
        <v>0</v>
      </c>
      <c r="J303" t="s">
        <v>4324</v>
      </c>
      <c r="K303" t="str">
        <f t="shared" si="8"/>
        <v>Patrick Mahomes3</v>
      </c>
      <c r="L303" s="21" t="str">
        <f>IF(ISERROR(MATCH($A303,'F Proj'!$B$1:$B$7669,0)),IF(ISERROR(MATCH($A303,'D Proj'!$B$1:$B$513,0)),IF(ISERROR(MATCH($A303,'K Proj'!$B$1:$B$508,0)),"?","K"),"D"),"FLEX")</f>
        <v>FLEX</v>
      </c>
      <c r="M303" s="21">
        <f>MATCH(L303,Pos,0)</f>
        <v>1</v>
      </c>
      <c r="N303" s="21">
        <f>CHOOSE($M303,MATCH($A303&amp;$B303,'F Proj'!$P$1:$P$7669,0),MATCH($A303&amp;$B303,'D Proj'!$X$1:$X$513,0),MATCH($A303&amp;$B303,'K Proj'!$T$1:$T$508,0))</f>
        <v>122</v>
      </c>
      <c r="O303">
        <f>CHOOSE(M303,INDEX('F Proj'!$D$1:$D$7669,N303),INDEX('D Proj'!$T$1:$T$513,N303),INDEX('K Proj'!$L$1:$L$508,N303))</f>
        <v>20.22</v>
      </c>
      <c r="P303">
        <f>CHOOSE(M303,INDEX('F Proj'!$J$1:$J$7669,N303),INDEX('D Proj'!$N$1:$N$513,N303),INDEX('K Proj'!$P$1:$P$508,N303))</f>
        <v>36.240400000000001</v>
      </c>
      <c r="Q303" t="str">
        <f t="shared" si="9"/>
        <v>QB</v>
      </c>
      <c r="R303" t="str">
        <f>IF(L303="FLEX",INDEX('F Proj'!$F$1:$F$7669,N303),Q303)</f>
        <v>QB</v>
      </c>
      <c r="S303" t="str">
        <f>IF((Week+Half_Week-1)&gt;=VALUE(RIGHT(C303,LEN(C303)-SEARCH("-",C303))),LEFT(C303,SEARCH("-",C303)-1),"")</f>
        <v>matty</v>
      </c>
    </row>
    <row r="304" spans="1:19" x14ac:dyDescent="0.25">
      <c r="A304" t="s">
        <v>302</v>
      </c>
      <c r="B304">
        <v>4</v>
      </c>
      <c r="C304" t="s">
        <v>864</v>
      </c>
      <c r="D304" t="s">
        <v>467</v>
      </c>
      <c r="E304">
        <v>22.9</v>
      </c>
      <c r="G304">
        <v>22.9</v>
      </c>
      <c r="H304">
        <v>0</v>
      </c>
      <c r="I304">
        <v>0</v>
      </c>
      <c r="J304" t="s">
        <v>4807</v>
      </c>
      <c r="K304" t="str">
        <f t="shared" si="8"/>
        <v>Patrick Mahomes4</v>
      </c>
      <c r="L304" s="21" t="str">
        <f>IF(ISERROR(MATCH($A304,'F Proj'!$B$1:$B$7669,0)),IF(ISERROR(MATCH($A304,'D Proj'!$B$1:$B$513,0)),IF(ISERROR(MATCH($A304,'K Proj'!$B$1:$B$508,0)),"?","K"),"D"),"FLEX")</f>
        <v>FLEX</v>
      </c>
      <c r="M304" s="21">
        <f>MATCH(L304,Pos,0)</f>
        <v>1</v>
      </c>
      <c r="N304" s="21">
        <f>CHOOSE($M304,MATCH($A304&amp;$B304,'F Proj'!$P$1:$P$7669,0),MATCH($A304&amp;$B304,'D Proj'!$X$1:$X$513,0),MATCH($A304&amp;$B304,'K Proj'!$T$1:$T$508,0))</f>
        <v>48</v>
      </c>
      <c r="O304">
        <f>CHOOSE(M304,INDEX('F Proj'!$D$1:$D$7669,N304),INDEX('D Proj'!$T$1:$T$513,N304),INDEX('K Proj'!$L$1:$L$508,N304))</f>
        <v>21.9</v>
      </c>
      <c r="P304">
        <f>CHOOSE(M304,INDEX('F Proj'!$J$1:$J$7669,N304),INDEX('D Proj'!$N$1:$N$513,N304),INDEX('K Proj'!$P$1:$P$508,N304))</f>
        <v>71.064899999999994</v>
      </c>
      <c r="Q304" t="str">
        <f t="shared" si="9"/>
        <v>QB</v>
      </c>
      <c r="R304" t="str">
        <f>IF(L304="FLEX",INDEX('F Proj'!$F$1:$F$7669,N304),Q304)</f>
        <v>QB</v>
      </c>
      <c r="S304" t="str">
        <f>IF((Week+Half_Week-1)&gt;=VALUE(RIGHT(C304,LEN(C304)-SEARCH("-",C304))),LEFT(C304,SEARCH("-",C304)-1),"")</f>
        <v>matty</v>
      </c>
    </row>
    <row r="305" spans="1:19" x14ac:dyDescent="0.25">
      <c r="A305" t="s">
        <v>302</v>
      </c>
      <c r="B305">
        <v>5</v>
      </c>
      <c r="C305" t="s">
        <v>891</v>
      </c>
      <c r="D305" t="s">
        <v>467</v>
      </c>
      <c r="E305" t="s">
        <v>8947</v>
      </c>
      <c r="G305">
        <v>20.13</v>
      </c>
      <c r="H305">
        <v>8.64</v>
      </c>
      <c r="I305">
        <v>74.649600000000007</v>
      </c>
      <c r="J305" t="s">
        <v>9008</v>
      </c>
      <c r="K305" t="str">
        <f t="shared" si="8"/>
        <v>Patrick Mahomes5</v>
      </c>
      <c r="L305" s="21" t="str">
        <f>IF(ISERROR(MATCH($A305,'F Proj'!$B$1:$B$7669,0)),IF(ISERROR(MATCH($A305,'D Proj'!$B$1:$B$513,0)),IF(ISERROR(MATCH($A305,'K Proj'!$B$1:$B$508,0)),"?","K"),"D"),"FLEX")</f>
        <v>FLEX</v>
      </c>
      <c r="M305" s="21">
        <f>MATCH(L305,Pos,0)</f>
        <v>1</v>
      </c>
      <c r="N305" s="21">
        <f>CHOOSE($M305,MATCH($A305&amp;$B305,'F Proj'!$P$1:$P$7669,0),MATCH($A305&amp;$B305,'D Proj'!$X$1:$X$513,0),MATCH($A305&amp;$B305,'K Proj'!$T$1:$T$508,0))</f>
        <v>130</v>
      </c>
      <c r="O305">
        <f>CHOOSE(M305,INDEX('F Proj'!$D$1:$D$7669,N305),INDEX('D Proj'!$T$1:$T$513,N305),INDEX('K Proj'!$L$1:$L$508,N305))</f>
        <v>20.13</v>
      </c>
      <c r="P305">
        <f>CHOOSE(M305,INDEX('F Proj'!$J$1:$J$7669,N305),INDEX('D Proj'!$N$1:$N$513,N305),INDEX('K Proj'!$P$1:$P$508,N305))</f>
        <v>74.649600000000007</v>
      </c>
      <c r="Q305" t="str">
        <f t="shared" si="9"/>
        <v>QB</v>
      </c>
      <c r="R305" t="str">
        <f>IF(L305="FLEX",INDEX('F Proj'!$F$1:$F$7669,N305),Q305)</f>
        <v>QB</v>
      </c>
      <c r="S305" t="str">
        <f>IF((Week+Half_Week-1)&gt;=VALUE(RIGHT(C305,LEN(C305)-SEARCH("-",C305))),LEFT(C305,SEARCH("-",C305)-1),"")</f>
        <v/>
      </c>
    </row>
    <row r="306" spans="1:19" x14ac:dyDescent="0.25">
      <c r="A306" t="s">
        <v>355</v>
      </c>
      <c r="B306">
        <v>3</v>
      </c>
      <c r="C306" t="s">
        <v>811</v>
      </c>
      <c r="D306" t="s">
        <v>469</v>
      </c>
      <c r="E306">
        <v>3.3</v>
      </c>
      <c r="G306">
        <v>3.3</v>
      </c>
      <c r="H306">
        <v>0</v>
      </c>
      <c r="I306">
        <v>0</v>
      </c>
      <c r="J306" t="s">
        <v>4325</v>
      </c>
      <c r="K306" t="str">
        <f t="shared" si="8"/>
        <v>Peyton Barber3</v>
      </c>
      <c r="L306" s="21" t="str">
        <f>IF(ISERROR(MATCH($A306,'F Proj'!$B$1:$B$7669,0)),IF(ISERROR(MATCH($A306,'D Proj'!$B$1:$B$513,0)),IF(ISERROR(MATCH($A306,'K Proj'!$B$1:$B$508,0)),"?","K"),"D"),"FLEX")</f>
        <v>FLEX</v>
      </c>
      <c r="M306" s="21">
        <f>MATCH(L306,Pos,0)</f>
        <v>1</v>
      </c>
      <c r="N306" s="21">
        <f>CHOOSE($M306,MATCH($A306&amp;$B306,'F Proj'!$P$1:$P$7669,0),MATCH($A306&amp;$B306,'D Proj'!$X$1:$X$513,0),MATCH($A306&amp;$B306,'K Proj'!$T$1:$T$508,0))</f>
        <v>1513</v>
      </c>
      <c r="O306">
        <f>CHOOSE(M306,INDEX('F Proj'!$D$1:$D$7669,N306),INDEX('D Proj'!$T$1:$T$513,N306),INDEX('K Proj'!$L$1:$L$508,N306))</f>
        <v>8.08</v>
      </c>
      <c r="P306">
        <f>CHOOSE(M306,INDEX('F Proj'!$J$1:$J$7669,N306),INDEX('D Proj'!$N$1:$N$513,N306),INDEX('K Proj'!$P$1:$P$508,N306))</f>
        <v>28.196100000000001</v>
      </c>
      <c r="Q306" t="str">
        <f t="shared" si="9"/>
        <v>RB</v>
      </c>
      <c r="R306" t="str">
        <f>IF(L306="FLEX",INDEX('F Proj'!$F$1:$F$7669,N306),Q306)</f>
        <v>RB</v>
      </c>
      <c r="S306" t="str">
        <f>IF((Week+Half_Week-1)&gt;=VALUE(RIGHT(C306,LEN(C306)-SEARCH("-",C306))),LEFT(C306,SEARCH("-",C306)-1),"")</f>
        <v>devon</v>
      </c>
    </row>
    <row r="307" spans="1:19" x14ac:dyDescent="0.25">
      <c r="A307" t="s">
        <v>355</v>
      </c>
      <c r="B307">
        <v>4</v>
      </c>
      <c r="C307" t="s">
        <v>863</v>
      </c>
      <c r="D307" t="s">
        <v>468</v>
      </c>
      <c r="E307">
        <v>3</v>
      </c>
      <c r="G307">
        <v>3</v>
      </c>
      <c r="H307">
        <v>0</v>
      </c>
      <c r="I307">
        <v>0</v>
      </c>
      <c r="J307" t="s">
        <v>4765</v>
      </c>
      <c r="K307" t="str">
        <f t="shared" si="8"/>
        <v>Peyton Barber4</v>
      </c>
      <c r="L307" s="21" t="str">
        <f>IF(ISERROR(MATCH($A307,'F Proj'!$B$1:$B$7669,0)),IF(ISERROR(MATCH($A307,'D Proj'!$B$1:$B$513,0)),IF(ISERROR(MATCH($A307,'K Proj'!$B$1:$B$508,0)),"?","K"),"D"),"FLEX")</f>
        <v>FLEX</v>
      </c>
      <c r="M307" s="21">
        <f>MATCH(L307,Pos,0)</f>
        <v>1</v>
      </c>
      <c r="N307" s="21">
        <f>CHOOSE($M307,MATCH($A307&amp;$B307,'F Proj'!$P$1:$P$7669,0),MATCH($A307&amp;$B307,'D Proj'!$X$1:$X$513,0),MATCH($A307&amp;$B307,'K Proj'!$T$1:$T$508,0))</f>
        <v>1410</v>
      </c>
      <c r="O307">
        <f>CHOOSE(M307,INDEX('F Proj'!$D$1:$D$7669,N307),INDEX('D Proj'!$T$1:$T$513,N307),INDEX('K Proj'!$L$1:$L$508,N307))</f>
        <v>8.4499999999999993</v>
      </c>
      <c r="P307">
        <f>CHOOSE(M307,INDEX('F Proj'!$J$1:$J$7669,N307),INDEX('D Proj'!$N$1:$N$513,N307),INDEX('K Proj'!$P$1:$P$508,N307))</f>
        <v>33.988900000000001</v>
      </c>
      <c r="Q307" t="str">
        <f t="shared" si="9"/>
        <v>RB</v>
      </c>
      <c r="R307" t="str">
        <f>IF(L307="FLEX",INDEX('F Proj'!$F$1:$F$7669,N307),Q307)</f>
        <v>RB</v>
      </c>
      <c r="S307" t="str">
        <f>IF((Week+Half_Week-1)&gt;=VALUE(RIGHT(C307,LEN(C307)-SEARCH("-",C307))),LEFT(C307,SEARCH("-",C307)-1),"")</f>
        <v>devon</v>
      </c>
    </row>
    <row r="308" spans="1:19" x14ac:dyDescent="0.25">
      <c r="A308" t="s">
        <v>67</v>
      </c>
      <c r="B308">
        <v>4</v>
      </c>
      <c r="C308" t="s">
        <v>860</v>
      </c>
      <c r="D308" t="s">
        <v>467</v>
      </c>
      <c r="E308">
        <v>21.7</v>
      </c>
      <c r="G308">
        <v>21.7</v>
      </c>
      <c r="H308">
        <v>0</v>
      </c>
      <c r="I308">
        <v>0</v>
      </c>
      <c r="J308" t="s">
        <v>4757</v>
      </c>
      <c r="K308" t="str">
        <f t="shared" si="8"/>
        <v>Philip Rivers4</v>
      </c>
      <c r="L308" s="21" t="str">
        <f>IF(ISERROR(MATCH($A308,'F Proj'!$B$1:$B$7669,0)),IF(ISERROR(MATCH($A308,'D Proj'!$B$1:$B$513,0)),IF(ISERROR(MATCH($A308,'K Proj'!$B$1:$B$508,0)),"?","K"),"D"),"FLEX")</f>
        <v>FLEX</v>
      </c>
      <c r="M308" s="21">
        <f>MATCH(L308,Pos,0)</f>
        <v>1</v>
      </c>
      <c r="N308" s="21">
        <f>CHOOSE($M308,MATCH($A308&amp;$B308,'F Proj'!$P$1:$P$7669,0),MATCH($A308&amp;$B308,'D Proj'!$X$1:$X$513,0),MATCH($A308&amp;$B308,'K Proj'!$T$1:$T$508,0))</f>
        <v>59</v>
      </c>
      <c r="O308">
        <f>CHOOSE(M308,INDEX('F Proj'!$D$1:$D$7669,N308),INDEX('D Proj'!$T$1:$T$513,N308),INDEX('K Proj'!$L$1:$L$508,N308))</f>
        <v>21.56</v>
      </c>
      <c r="P308">
        <f>CHOOSE(M308,INDEX('F Proj'!$J$1:$J$7669,N308),INDEX('D Proj'!$N$1:$N$513,N308),INDEX('K Proj'!$P$1:$P$508,N308))</f>
        <v>43.0336</v>
      </c>
      <c r="Q308" t="str">
        <f t="shared" si="9"/>
        <v>QB</v>
      </c>
      <c r="R308" t="str">
        <f>IF(L308="FLEX",INDEX('F Proj'!$F$1:$F$7669,N308),Q308)</f>
        <v>QB</v>
      </c>
      <c r="S308" t="str">
        <f>IF((Week+Half_Week-1)&gt;=VALUE(RIGHT(C308,LEN(C308)-SEARCH("-",C308))),LEFT(C308,SEARCH("-",C308)-1),"")</f>
        <v>comp</v>
      </c>
    </row>
    <row r="309" spans="1:19" x14ac:dyDescent="0.25">
      <c r="A309" t="s">
        <v>67</v>
      </c>
      <c r="B309">
        <v>5</v>
      </c>
      <c r="C309" t="s">
        <v>887</v>
      </c>
      <c r="D309" t="s">
        <v>467</v>
      </c>
      <c r="E309" t="s">
        <v>8947</v>
      </c>
      <c r="G309">
        <v>21.4</v>
      </c>
      <c r="H309">
        <v>8.51</v>
      </c>
      <c r="I309">
        <v>72.420100000000005</v>
      </c>
      <c r="J309" t="s">
        <v>9009</v>
      </c>
      <c r="K309" t="str">
        <f t="shared" si="8"/>
        <v>Philip Rivers5</v>
      </c>
      <c r="L309" s="21" t="str">
        <f>IF(ISERROR(MATCH($A309,'F Proj'!$B$1:$B$7669,0)),IF(ISERROR(MATCH($A309,'D Proj'!$B$1:$B$513,0)),IF(ISERROR(MATCH($A309,'K Proj'!$B$1:$B$508,0)),"?","K"),"D"),"FLEX")</f>
        <v>FLEX</v>
      </c>
      <c r="M309" s="21">
        <f>MATCH(L309,Pos,0)</f>
        <v>1</v>
      </c>
      <c r="N309" s="21">
        <f>CHOOSE($M309,MATCH($A309&amp;$B309,'F Proj'!$P$1:$P$7669,0),MATCH($A309&amp;$B309,'D Proj'!$X$1:$X$513,0),MATCH($A309&amp;$B309,'K Proj'!$T$1:$T$508,0))</f>
        <v>66</v>
      </c>
      <c r="O309">
        <f>CHOOSE(M309,INDEX('F Proj'!$D$1:$D$7669,N309),INDEX('D Proj'!$T$1:$T$513,N309),INDEX('K Proj'!$L$1:$L$508,N309))</f>
        <v>21.4</v>
      </c>
      <c r="P309">
        <f>CHOOSE(M309,INDEX('F Proj'!$J$1:$J$7669,N309),INDEX('D Proj'!$N$1:$N$513,N309),INDEX('K Proj'!$P$1:$P$508,N309))</f>
        <v>72.420100000000005</v>
      </c>
      <c r="Q309" t="str">
        <f t="shared" si="9"/>
        <v>QB</v>
      </c>
      <c r="R309" t="str">
        <f>IF(L309="FLEX",INDEX('F Proj'!$F$1:$F$7669,N309),Q309)</f>
        <v>QB</v>
      </c>
      <c r="S309" t="str">
        <f>IF((Week+Half_Week-1)&gt;=VALUE(RIGHT(C309,LEN(C309)-SEARCH("-",C309))),LEFT(C309,SEARCH("-",C309)-1),"")</f>
        <v/>
      </c>
    </row>
    <row r="310" spans="1:19" x14ac:dyDescent="0.25">
      <c r="A310" t="s">
        <v>3533</v>
      </c>
      <c r="B310">
        <v>2</v>
      </c>
      <c r="C310" t="s">
        <v>616</v>
      </c>
      <c r="D310" t="s">
        <v>469</v>
      </c>
      <c r="E310">
        <v>11.1</v>
      </c>
      <c r="G310">
        <v>11.1</v>
      </c>
      <c r="H310">
        <v>0</v>
      </c>
      <c r="I310">
        <v>0</v>
      </c>
      <c r="J310" t="s">
        <v>691</v>
      </c>
      <c r="K310" t="str">
        <f t="shared" si="8"/>
        <v>Phillip Lindsay2</v>
      </c>
      <c r="L310" s="21" t="str">
        <f>IF(ISERROR(MATCH($A310,'F Proj'!$B$1:$B$7669,0)),IF(ISERROR(MATCH($A310,'D Proj'!$B$1:$B$513,0)),IF(ISERROR(MATCH($A310,'K Proj'!$B$1:$B$508,0)),"?","K"),"D"),"FLEX")</f>
        <v>FLEX</v>
      </c>
      <c r="M310" s="21">
        <f>MATCH(L310,Pos,0)</f>
        <v>1</v>
      </c>
      <c r="N310" s="21">
        <f>CHOOSE($M310,MATCH($A310&amp;$B310,'F Proj'!$P$1:$P$7669,0),MATCH($A310&amp;$B310,'D Proj'!$X$1:$X$513,0),MATCH($A310&amp;$B310,'K Proj'!$T$1:$T$508,0))</f>
        <v>2400</v>
      </c>
      <c r="O310">
        <f>CHOOSE(M310,INDEX('F Proj'!$D$1:$D$7669,N310),INDEX('D Proj'!$T$1:$T$513,N310),INDEX('K Proj'!$L$1:$L$508,N310))</f>
        <v>5.46</v>
      </c>
      <c r="P310">
        <f>CHOOSE(M310,INDEX('F Proj'!$J$1:$J$7669,N310),INDEX('D Proj'!$N$1:$N$513,N310),INDEX('K Proj'!$P$1:$P$508,N310))</f>
        <v>19.6249</v>
      </c>
      <c r="Q310" t="str">
        <f t="shared" si="9"/>
        <v>RB</v>
      </c>
      <c r="R310" t="str">
        <f>IF(L310="FLEX",INDEX('F Proj'!$F$1:$F$7669,N310),Q310)</f>
        <v>RB</v>
      </c>
      <c r="S310" t="str">
        <f>IF((Week+Half_Week-1)&gt;=VALUE(RIGHT(C310,LEN(C310)-SEARCH("-",C310))),LEFT(C310,SEARCH("-",C310)-1),"")</f>
        <v>perry</v>
      </c>
    </row>
    <row r="311" spans="1:19" x14ac:dyDescent="0.25">
      <c r="A311" t="s">
        <v>3533</v>
      </c>
      <c r="B311">
        <v>3</v>
      </c>
      <c r="C311" t="s">
        <v>809</v>
      </c>
      <c r="D311" t="s">
        <v>466</v>
      </c>
      <c r="E311">
        <v>2</v>
      </c>
      <c r="G311">
        <v>2</v>
      </c>
      <c r="H311">
        <v>0</v>
      </c>
      <c r="I311">
        <v>0</v>
      </c>
      <c r="J311" t="s">
        <v>4326</v>
      </c>
      <c r="K311" t="str">
        <f t="shared" si="8"/>
        <v>Phillip Lindsay3</v>
      </c>
      <c r="L311" s="21" t="str">
        <f>IF(ISERROR(MATCH($A311,'F Proj'!$B$1:$B$7669,0)),IF(ISERROR(MATCH($A311,'D Proj'!$B$1:$B$513,0)),IF(ISERROR(MATCH($A311,'K Proj'!$B$1:$B$508,0)),"?","K"),"D"),"FLEX")</f>
        <v>FLEX</v>
      </c>
      <c r="M311" s="21">
        <f>MATCH(L311,Pos,0)</f>
        <v>1</v>
      </c>
      <c r="N311" s="21">
        <f>CHOOSE($M311,MATCH($A311&amp;$B311,'F Proj'!$P$1:$P$7669,0),MATCH($A311&amp;$B311,'D Proj'!$X$1:$X$513,0),MATCH($A311&amp;$B311,'K Proj'!$T$1:$T$508,0))</f>
        <v>1729</v>
      </c>
      <c r="O311">
        <f>CHOOSE(M311,INDEX('F Proj'!$D$1:$D$7669,N311),INDEX('D Proj'!$T$1:$T$513,N311),INDEX('K Proj'!$L$1:$L$508,N311))</f>
        <v>7.31</v>
      </c>
      <c r="P311">
        <f>CHOOSE(M311,INDEX('F Proj'!$J$1:$J$7669,N311),INDEX('D Proj'!$N$1:$N$513,N311),INDEX('K Proj'!$P$1:$P$508,N311))</f>
        <v>34.81</v>
      </c>
      <c r="Q311" t="str">
        <f t="shared" si="9"/>
        <v>WR/RB</v>
      </c>
      <c r="R311" t="str">
        <f>IF(L311="FLEX",INDEX('F Proj'!$F$1:$F$7669,N311),Q311)</f>
        <v>RB</v>
      </c>
      <c r="S311" t="str">
        <f>IF((Week+Half_Week-1)&gt;=VALUE(RIGHT(C311,LEN(C311)-SEARCH("-",C311))),LEFT(C311,SEARCH("-",C311)-1),"")</f>
        <v>perry</v>
      </c>
    </row>
    <row r="312" spans="1:19" x14ac:dyDescent="0.25">
      <c r="A312" t="s">
        <v>3533</v>
      </c>
      <c r="B312">
        <v>4</v>
      </c>
      <c r="C312" t="s">
        <v>862</v>
      </c>
      <c r="D312" t="s">
        <v>468</v>
      </c>
      <c r="E312">
        <v>13.9</v>
      </c>
      <c r="G312">
        <v>13.9</v>
      </c>
      <c r="H312">
        <v>0</v>
      </c>
      <c r="I312">
        <v>0</v>
      </c>
      <c r="J312" t="s">
        <v>4800</v>
      </c>
      <c r="K312" t="str">
        <f t="shared" si="8"/>
        <v>Phillip Lindsay4</v>
      </c>
      <c r="L312" s="21" t="str">
        <f>IF(ISERROR(MATCH($A312,'F Proj'!$B$1:$B$7669,0)),IF(ISERROR(MATCH($A312,'D Proj'!$B$1:$B$513,0)),IF(ISERROR(MATCH($A312,'K Proj'!$B$1:$B$508,0)),"?","K"),"D"),"FLEX")</f>
        <v>FLEX</v>
      </c>
      <c r="M312" s="21">
        <f>MATCH(L312,Pos,0)</f>
        <v>1</v>
      </c>
      <c r="N312" s="21">
        <f>CHOOSE($M312,MATCH($A312&amp;$B312,'F Proj'!$P$1:$P$7669,0),MATCH($A312&amp;$B312,'D Proj'!$X$1:$X$513,0),MATCH($A312&amp;$B312,'K Proj'!$T$1:$T$508,0))</f>
        <v>1484</v>
      </c>
      <c r="O312">
        <f>CHOOSE(M312,INDEX('F Proj'!$D$1:$D$7669,N312),INDEX('D Proj'!$T$1:$T$513,N312),INDEX('K Proj'!$L$1:$L$508,N312))</f>
        <v>8.16</v>
      </c>
      <c r="P312">
        <f>CHOOSE(M312,INDEX('F Proj'!$J$1:$J$7669,N312),INDEX('D Proj'!$N$1:$N$513,N312),INDEX('K Proj'!$P$1:$P$508,N312))</f>
        <v>31.696899999999999</v>
      </c>
      <c r="Q312" t="str">
        <f t="shared" si="9"/>
        <v>RB</v>
      </c>
      <c r="R312" t="str">
        <f>IF(L312="FLEX",INDEX('F Proj'!$F$1:$F$7669,N312),Q312)</f>
        <v>RB</v>
      </c>
      <c r="S312" t="str">
        <f>IF((Week+Half_Week-1)&gt;=VALUE(RIGHT(C312,LEN(C312)-SEARCH("-",C312))),LEFT(C312,SEARCH("-",C312)-1),"")</f>
        <v>perry</v>
      </c>
    </row>
    <row r="313" spans="1:19" x14ac:dyDescent="0.25">
      <c r="A313" t="s">
        <v>3533</v>
      </c>
      <c r="B313">
        <v>5</v>
      </c>
      <c r="C313" t="s">
        <v>889</v>
      </c>
      <c r="D313" t="s">
        <v>468</v>
      </c>
      <c r="E313" t="s">
        <v>8947</v>
      </c>
      <c r="G313">
        <v>7.95</v>
      </c>
      <c r="H313">
        <v>6.99</v>
      </c>
      <c r="I313">
        <v>48.860100000000003</v>
      </c>
      <c r="J313" t="s">
        <v>9010</v>
      </c>
      <c r="K313" t="str">
        <f t="shared" si="8"/>
        <v>Phillip Lindsay5</v>
      </c>
      <c r="L313" s="21" t="str">
        <f>IF(ISERROR(MATCH($A313,'F Proj'!$B$1:$B$7669,0)),IF(ISERROR(MATCH($A313,'D Proj'!$B$1:$B$513,0)),IF(ISERROR(MATCH($A313,'K Proj'!$B$1:$B$508,0)),"?","K"),"D"),"FLEX")</f>
        <v>FLEX</v>
      </c>
      <c r="M313" s="21">
        <f>MATCH(L313,Pos,0)</f>
        <v>1</v>
      </c>
      <c r="N313" s="21">
        <f>CHOOSE($M313,MATCH($A313&amp;$B313,'F Proj'!$P$1:$P$7669,0),MATCH($A313&amp;$B313,'D Proj'!$X$1:$X$513,0),MATCH($A313&amp;$B313,'K Proj'!$T$1:$T$508,0))</f>
        <v>1556</v>
      </c>
      <c r="O313">
        <f>CHOOSE(M313,INDEX('F Proj'!$D$1:$D$7669,N313),INDEX('D Proj'!$T$1:$T$513,N313),INDEX('K Proj'!$L$1:$L$508,N313))</f>
        <v>7.95</v>
      </c>
      <c r="P313">
        <f>CHOOSE(M313,INDEX('F Proj'!$J$1:$J$7669,N313),INDEX('D Proj'!$N$1:$N$513,N313),INDEX('K Proj'!$P$1:$P$508,N313))</f>
        <v>48.860100000000003</v>
      </c>
      <c r="Q313" t="str">
        <f t="shared" si="9"/>
        <v>RB</v>
      </c>
      <c r="R313" t="str">
        <f>IF(L313="FLEX",INDEX('F Proj'!$F$1:$F$7669,N313),Q313)</f>
        <v>RB</v>
      </c>
      <c r="S313" t="str">
        <f>IF((Week+Half_Week-1)&gt;=VALUE(RIGHT(C313,LEN(C313)-SEARCH("-",C313))),LEFT(C313,SEARCH("-",C313)-1),"")</f>
        <v/>
      </c>
    </row>
    <row r="314" spans="1:19" x14ac:dyDescent="0.25">
      <c r="A314" t="s">
        <v>1372</v>
      </c>
      <c r="B314">
        <v>3</v>
      </c>
      <c r="C314" t="s">
        <v>1721</v>
      </c>
      <c r="D314" t="s">
        <v>473</v>
      </c>
      <c r="E314">
        <v>5.7</v>
      </c>
      <c r="G314">
        <v>5.7</v>
      </c>
      <c r="H314">
        <v>0</v>
      </c>
      <c r="I314">
        <v>0</v>
      </c>
      <c r="J314" t="s">
        <v>4327</v>
      </c>
      <c r="K314" t="str">
        <f t="shared" si="8"/>
        <v>Quincy Enunwa3</v>
      </c>
      <c r="L314" s="21" t="str">
        <f>IF(ISERROR(MATCH($A314,'F Proj'!$B$1:$B$7669,0)),IF(ISERROR(MATCH($A314,'D Proj'!$B$1:$B$513,0)),IF(ISERROR(MATCH($A314,'K Proj'!$B$1:$B$508,0)),"?","K"),"D"),"FLEX")</f>
        <v>FLEX</v>
      </c>
      <c r="M314" s="21">
        <f>MATCH(L314,Pos,0)</f>
        <v>1</v>
      </c>
      <c r="N314" s="21">
        <f>CHOOSE($M314,MATCH($A314&amp;$B314,'F Proj'!$P$1:$P$7669,0),MATCH($A314&amp;$B314,'D Proj'!$X$1:$X$513,0),MATCH($A314&amp;$B314,'K Proj'!$T$1:$T$508,0))</f>
        <v>1116</v>
      </c>
      <c r="O314">
        <f>CHOOSE(M314,INDEX('F Proj'!$D$1:$D$7669,N314),INDEX('D Proj'!$T$1:$T$513,N314),INDEX('K Proj'!$L$1:$L$508,N314))</f>
        <v>9.82</v>
      </c>
      <c r="P314">
        <f>CHOOSE(M314,INDEX('F Proj'!$J$1:$J$7669,N314),INDEX('D Proj'!$N$1:$N$513,N314),INDEX('K Proj'!$P$1:$P$508,N314))</f>
        <v>34.222499999999997</v>
      </c>
      <c r="Q314" t="str">
        <f t="shared" si="9"/>
        <v>WR</v>
      </c>
      <c r="R314" t="str">
        <f>IF(L314="FLEX",INDEX('F Proj'!$F$1:$F$7669,N314),Q314)</f>
        <v>WR</v>
      </c>
      <c r="S314" t="str">
        <f>IF((Week+Half_Week-1)&gt;=VALUE(RIGHT(C314,LEN(C314)-SEARCH("-",C314))),LEFT(C314,SEARCH("-",C314)-1),"")</f>
        <v>lucas</v>
      </c>
    </row>
    <row r="315" spans="1:19" x14ac:dyDescent="0.25">
      <c r="A315" t="s">
        <v>1372</v>
      </c>
      <c r="B315">
        <v>4</v>
      </c>
      <c r="C315" t="s">
        <v>1722</v>
      </c>
      <c r="D315" t="s">
        <v>473</v>
      </c>
      <c r="E315">
        <v>6.6</v>
      </c>
      <c r="G315">
        <v>6.6</v>
      </c>
      <c r="H315">
        <v>0</v>
      </c>
      <c r="I315">
        <v>0</v>
      </c>
      <c r="J315" t="s">
        <v>4810</v>
      </c>
      <c r="K315" t="str">
        <f t="shared" si="8"/>
        <v>Quincy Enunwa4</v>
      </c>
      <c r="L315" s="21" t="str">
        <f>IF(ISERROR(MATCH($A315,'F Proj'!$B$1:$B$7669,0)),IF(ISERROR(MATCH($A315,'D Proj'!$B$1:$B$513,0)),IF(ISERROR(MATCH($A315,'K Proj'!$B$1:$B$508,0)),"?","K"),"D"),"FLEX")</f>
        <v>FLEX</v>
      </c>
      <c r="M315" s="21">
        <f>MATCH(L315,Pos,0)</f>
        <v>1</v>
      </c>
      <c r="N315" s="21">
        <f>CHOOSE($M315,MATCH($A315&amp;$B315,'F Proj'!$P$1:$P$7669,0),MATCH($A315&amp;$B315,'D Proj'!$X$1:$X$513,0),MATCH($A315&amp;$B315,'K Proj'!$T$1:$T$508,0))</f>
        <v>1488</v>
      </c>
      <c r="O315">
        <f>CHOOSE(M315,INDEX('F Proj'!$D$1:$D$7669,N315),INDEX('D Proj'!$T$1:$T$513,N315),INDEX('K Proj'!$L$1:$L$508,N315))</f>
        <v>8.15</v>
      </c>
      <c r="P315">
        <f>CHOOSE(M315,INDEX('F Proj'!$J$1:$J$7669,N315),INDEX('D Proj'!$N$1:$N$513,N315),INDEX('K Proj'!$P$1:$P$508,N315))</f>
        <v>42.510399999999997</v>
      </c>
      <c r="Q315" t="str">
        <f t="shared" si="9"/>
        <v>WR</v>
      </c>
      <c r="R315" t="str">
        <f>IF(L315="FLEX",INDEX('F Proj'!$F$1:$F$7669,N315),Q315)</f>
        <v>WR</v>
      </c>
      <c r="S315" t="str">
        <f>IF((Week+Half_Week-1)&gt;=VALUE(RIGHT(C315,LEN(C315)-SEARCH("-",C315))),LEFT(C315,SEARCH("-",C315)-1),"")</f>
        <v>lucas</v>
      </c>
    </row>
    <row r="316" spans="1:19" x14ac:dyDescent="0.25">
      <c r="A316" t="s">
        <v>1372</v>
      </c>
      <c r="B316">
        <v>5</v>
      </c>
      <c r="C316" t="s">
        <v>1723</v>
      </c>
      <c r="D316" t="s">
        <v>473</v>
      </c>
      <c r="E316" t="s">
        <v>8947</v>
      </c>
      <c r="G316">
        <v>8.65</v>
      </c>
      <c r="H316">
        <v>4.97</v>
      </c>
      <c r="I316">
        <v>24.700900000000001</v>
      </c>
      <c r="J316" t="s">
        <v>9011</v>
      </c>
      <c r="K316" t="str">
        <f t="shared" si="8"/>
        <v>Quincy Enunwa5</v>
      </c>
      <c r="L316" s="21" t="str">
        <f>IF(ISERROR(MATCH($A316,'F Proj'!$B$1:$B$7669,0)),IF(ISERROR(MATCH($A316,'D Proj'!$B$1:$B$513,0)),IF(ISERROR(MATCH($A316,'K Proj'!$B$1:$B$508,0)),"?","K"),"D"),"FLEX")</f>
        <v>FLEX</v>
      </c>
      <c r="M316" s="21">
        <f>MATCH(L316,Pos,0)</f>
        <v>1</v>
      </c>
      <c r="N316" s="21">
        <f>CHOOSE($M316,MATCH($A316&amp;$B316,'F Proj'!$P$1:$P$7669,0),MATCH($A316&amp;$B316,'D Proj'!$X$1:$X$513,0),MATCH($A316&amp;$B316,'K Proj'!$T$1:$T$508,0))</f>
        <v>1349</v>
      </c>
      <c r="O316">
        <f>CHOOSE(M316,INDEX('F Proj'!$D$1:$D$7669,N316),INDEX('D Proj'!$T$1:$T$513,N316),INDEX('K Proj'!$L$1:$L$508,N316))</f>
        <v>8.65</v>
      </c>
      <c r="P316">
        <f>CHOOSE(M316,INDEX('F Proj'!$J$1:$J$7669,N316),INDEX('D Proj'!$N$1:$N$513,N316),INDEX('K Proj'!$P$1:$P$508,N316))</f>
        <v>24.700900000000001</v>
      </c>
      <c r="Q316" t="str">
        <f t="shared" si="9"/>
        <v>WR</v>
      </c>
      <c r="R316" t="str">
        <f>IF(L316="FLEX",INDEX('F Proj'!$F$1:$F$7669,N316),Q316)</f>
        <v>WR</v>
      </c>
      <c r="S316" t="str">
        <f>IF((Week+Half_Week-1)&gt;=VALUE(RIGHT(C316,LEN(C316)-SEARCH("-",C316))),LEFT(C316,SEARCH("-",C316)-1),"")</f>
        <v/>
      </c>
    </row>
    <row r="317" spans="1:19" x14ac:dyDescent="0.25">
      <c r="A317" t="s">
        <v>166</v>
      </c>
      <c r="B317">
        <v>2</v>
      </c>
      <c r="C317" t="s">
        <v>630</v>
      </c>
      <c r="D317" t="s">
        <v>466</v>
      </c>
      <c r="E317">
        <v>3</v>
      </c>
      <c r="G317">
        <v>3</v>
      </c>
      <c r="H317">
        <v>0</v>
      </c>
      <c r="I317">
        <v>0</v>
      </c>
      <c r="J317" t="s">
        <v>672</v>
      </c>
      <c r="K317" t="str">
        <f t="shared" si="8"/>
        <v>Randall Cobb2</v>
      </c>
      <c r="L317" s="21" t="str">
        <f>IF(ISERROR(MATCH($A317,'F Proj'!$B$1:$B$7669,0)),IF(ISERROR(MATCH($A317,'D Proj'!$B$1:$B$513,0)),IF(ISERROR(MATCH($A317,'K Proj'!$B$1:$B$508,0)),"?","K"),"D"),"FLEX")</f>
        <v>FLEX</v>
      </c>
      <c r="M317" s="21">
        <f>MATCH(L317,Pos,0)</f>
        <v>1</v>
      </c>
      <c r="N317" s="21">
        <f>CHOOSE($M317,MATCH($A317&amp;$B317,'F Proj'!$P$1:$P$7669,0),MATCH($A317&amp;$B317,'D Proj'!$X$1:$X$513,0),MATCH($A317&amp;$B317,'K Proj'!$T$1:$T$508,0))</f>
        <v>1521</v>
      </c>
      <c r="O317">
        <f>CHOOSE(M317,INDEX('F Proj'!$D$1:$D$7669,N317),INDEX('D Proj'!$T$1:$T$513,N317),INDEX('K Proj'!$L$1:$L$508,N317))</f>
        <v>8.0500000000000007</v>
      </c>
      <c r="P317">
        <f>CHOOSE(M317,INDEX('F Proj'!$J$1:$J$7669,N317),INDEX('D Proj'!$N$1:$N$513,N317),INDEX('K Proj'!$P$1:$P$508,N317))</f>
        <v>27.457599999999999</v>
      </c>
      <c r="Q317" t="str">
        <f t="shared" si="9"/>
        <v>WR/RB</v>
      </c>
      <c r="R317" t="str">
        <f>IF(L317="FLEX",INDEX('F Proj'!$F$1:$F$7669,N317),Q317)</f>
        <v>WR</v>
      </c>
      <c r="S317" t="str">
        <f>IF((Week+Half_Week-1)&gt;=VALUE(RIGHT(C317,LEN(C317)-SEARCH("-",C317))),LEFT(C317,SEARCH("-",C317)-1),"")</f>
        <v>seth</v>
      </c>
    </row>
    <row r="318" spans="1:19" x14ac:dyDescent="0.25">
      <c r="A318" t="s">
        <v>166</v>
      </c>
      <c r="B318">
        <v>3</v>
      </c>
      <c r="C318" t="s">
        <v>808</v>
      </c>
      <c r="D318" t="s">
        <v>473</v>
      </c>
      <c r="E318">
        <v>0.2</v>
      </c>
      <c r="G318">
        <v>0.2</v>
      </c>
      <c r="H318">
        <v>0</v>
      </c>
      <c r="I318">
        <v>0</v>
      </c>
      <c r="J318" t="s">
        <v>4328</v>
      </c>
      <c r="K318" t="str">
        <f t="shared" si="8"/>
        <v>Randall Cobb3</v>
      </c>
      <c r="L318" s="21" t="str">
        <f>IF(ISERROR(MATCH($A318,'F Proj'!$B$1:$B$7669,0)),IF(ISERROR(MATCH($A318,'D Proj'!$B$1:$B$513,0)),IF(ISERROR(MATCH($A318,'K Proj'!$B$1:$B$508,0)),"?","K"),"D"),"FLEX")</f>
        <v>FLEX</v>
      </c>
      <c r="M318" s="21">
        <f>MATCH(L318,Pos,0)</f>
        <v>1</v>
      </c>
      <c r="N318" s="21">
        <f>CHOOSE($M318,MATCH($A318&amp;$B318,'F Proj'!$P$1:$P$7669,0),MATCH($A318&amp;$B318,'D Proj'!$X$1:$X$513,0),MATCH($A318&amp;$B318,'K Proj'!$T$1:$T$508,0))</f>
        <v>1565</v>
      </c>
      <c r="O318">
        <f>CHOOSE(M318,INDEX('F Proj'!$D$1:$D$7669,N318),INDEX('D Proj'!$T$1:$T$513,N318),INDEX('K Proj'!$L$1:$L$508,N318))</f>
        <v>7.92</v>
      </c>
      <c r="P318">
        <f>CHOOSE(M318,INDEX('F Proj'!$J$1:$J$7669,N318),INDEX('D Proj'!$N$1:$N$513,N318),INDEX('K Proj'!$P$1:$P$508,N318))</f>
        <v>29.811599999999999</v>
      </c>
      <c r="Q318" t="str">
        <f t="shared" si="9"/>
        <v>WR</v>
      </c>
      <c r="R318" t="str">
        <f>IF(L318="FLEX",INDEX('F Proj'!$F$1:$F$7669,N318),Q318)</f>
        <v>WR</v>
      </c>
      <c r="S318" t="str">
        <f>IF((Week+Half_Week-1)&gt;=VALUE(RIGHT(C318,LEN(C318)-SEARCH("-",C318))),LEFT(C318,SEARCH("-",C318)-1),"")</f>
        <v>seth</v>
      </c>
    </row>
    <row r="319" spans="1:19" x14ac:dyDescent="0.25">
      <c r="A319" t="s">
        <v>1336</v>
      </c>
      <c r="B319">
        <v>4</v>
      </c>
      <c r="C319" t="s">
        <v>1722</v>
      </c>
      <c r="D319" t="s">
        <v>469</v>
      </c>
      <c r="E319">
        <v>4.9000000000000004</v>
      </c>
      <c r="G319">
        <v>4.9000000000000004</v>
      </c>
      <c r="H319">
        <v>0</v>
      </c>
      <c r="I319">
        <v>0</v>
      </c>
      <c r="J319" t="s">
        <v>4793</v>
      </c>
      <c r="K319" t="str">
        <f t="shared" si="8"/>
        <v>Rashaad Penny4</v>
      </c>
      <c r="L319" s="21" t="str">
        <f>IF(ISERROR(MATCH($A319,'F Proj'!$B$1:$B$7669,0)),IF(ISERROR(MATCH($A319,'D Proj'!$B$1:$B$513,0)),IF(ISERROR(MATCH($A319,'K Proj'!$B$1:$B$508,0)),"?","K"),"D"),"FLEX")</f>
        <v>FLEX</v>
      </c>
      <c r="M319" s="21">
        <f>MATCH(L319,Pos,0)</f>
        <v>1</v>
      </c>
      <c r="N319" s="21">
        <f>CHOOSE($M319,MATCH($A319&amp;$B319,'F Proj'!$P$1:$P$7669,0),MATCH($A319&amp;$B319,'D Proj'!$X$1:$X$513,0),MATCH($A319&amp;$B319,'K Proj'!$T$1:$T$508,0))</f>
        <v>1399</v>
      </c>
      <c r="O319">
        <f>CHOOSE(M319,INDEX('F Proj'!$D$1:$D$7669,N319),INDEX('D Proj'!$T$1:$T$513,N319),INDEX('K Proj'!$L$1:$L$508,N319))</f>
        <v>8.49</v>
      </c>
      <c r="P319">
        <f>CHOOSE(M319,INDEX('F Proj'!$J$1:$J$7669,N319),INDEX('D Proj'!$N$1:$N$513,N319),INDEX('K Proj'!$P$1:$P$508,N319))</f>
        <v>43.0336</v>
      </c>
      <c r="Q319" t="str">
        <f t="shared" si="9"/>
        <v>RB</v>
      </c>
      <c r="R319" t="str">
        <f>IF(L319="FLEX",INDEX('F Proj'!$F$1:$F$7669,N319),Q319)</f>
        <v>RB</v>
      </c>
      <c r="S319" t="str">
        <f>IF((Week+Half_Week-1)&gt;=VALUE(RIGHT(C319,LEN(C319)-SEARCH("-",C319))),LEFT(C319,SEARCH("-",C319)-1),"")</f>
        <v>lucas</v>
      </c>
    </row>
    <row r="320" spans="1:19" x14ac:dyDescent="0.25">
      <c r="A320" t="s">
        <v>236</v>
      </c>
      <c r="B320">
        <v>1</v>
      </c>
      <c r="C320" t="s">
        <v>502</v>
      </c>
      <c r="D320" t="s">
        <v>469</v>
      </c>
      <c r="E320">
        <v>6.9</v>
      </c>
      <c r="G320">
        <v>6.9</v>
      </c>
      <c r="H320">
        <v>0</v>
      </c>
      <c r="I320">
        <v>0</v>
      </c>
      <c r="J320" t="s">
        <v>514</v>
      </c>
      <c r="K320" t="str">
        <f t="shared" si="8"/>
        <v>Rex Burkhead1</v>
      </c>
      <c r="L320" s="21" t="str">
        <f>IF(ISERROR(MATCH($A320,'F Proj'!$B$1:$B$7669,0)),IF(ISERROR(MATCH($A320,'D Proj'!$B$1:$B$513,0)),IF(ISERROR(MATCH($A320,'K Proj'!$B$1:$B$508,0)),"?","K"),"D"),"FLEX")</f>
        <v>?</v>
      </c>
      <c r="M320" s="21">
        <f>MATCH(L320,Pos,0)</f>
        <v>2</v>
      </c>
      <c r="N320" s="21" t="e">
        <f>CHOOSE($M320,MATCH($A320&amp;$B320,'F Proj'!$P$1:$P$7669,0),MATCH($A320&amp;$B320,'D Proj'!$X$1:$X$513,0),MATCH($A320&amp;$B320,'K Proj'!$T$1:$T$508,0))</f>
        <v>#N/A</v>
      </c>
      <c r="O320" t="e">
        <f>CHOOSE(M320,INDEX('F Proj'!$D$1:$D$7669,N320),INDEX('D Proj'!$T$1:$T$513,N320),INDEX('K Proj'!$L$1:$L$508,N320))</f>
        <v>#N/A</v>
      </c>
      <c r="P320" t="e">
        <f>CHOOSE(M320,INDEX('F Proj'!$J$1:$J$7669,N320),INDEX('D Proj'!$N$1:$N$513,N320),INDEX('K Proj'!$P$1:$P$508,N320))</f>
        <v>#N/A</v>
      </c>
      <c r="Q320" t="str">
        <f t="shared" si="9"/>
        <v>RB</v>
      </c>
      <c r="R320" t="str">
        <f>IF(L320="FLEX",INDEX('F Proj'!$F$1:$F$7669,N320),Q320)</f>
        <v>RB</v>
      </c>
      <c r="S320" t="str">
        <f>IF((Week+Half_Week-1)&gt;=VALUE(RIGHT(C320,LEN(C320)-SEARCH("-",C320))),LEFT(C320,SEARCH("-",C320)-1),"")</f>
        <v>cory</v>
      </c>
    </row>
    <row r="321" spans="1:19" x14ac:dyDescent="0.25">
      <c r="A321" t="s">
        <v>236</v>
      </c>
      <c r="B321">
        <v>2</v>
      </c>
      <c r="C321" t="s">
        <v>618</v>
      </c>
      <c r="D321" t="s">
        <v>469</v>
      </c>
      <c r="E321">
        <v>2.2000000000000002</v>
      </c>
      <c r="G321">
        <v>2.2000000000000002</v>
      </c>
      <c r="H321">
        <v>0</v>
      </c>
      <c r="I321">
        <v>0</v>
      </c>
      <c r="J321" t="s">
        <v>668</v>
      </c>
      <c r="K321" t="str">
        <f t="shared" si="8"/>
        <v>Rex Burkhead2</v>
      </c>
      <c r="L321" s="21" t="str">
        <f>IF(ISERROR(MATCH($A321,'F Proj'!$B$1:$B$7669,0)),IF(ISERROR(MATCH($A321,'D Proj'!$B$1:$B$513,0)),IF(ISERROR(MATCH($A321,'K Proj'!$B$1:$B$508,0)),"?","K"),"D"),"FLEX")</f>
        <v>?</v>
      </c>
      <c r="M321" s="21">
        <f>MATCH(L321,Pos,0)</f>
        <v>2</v>
      </c>
      <c r="N321" s="21" t="e">
        <f>CHOOSE($M321,MATCH($A321&amp;$B321,'F Proj'!$P$1:$P$7669,0),MATCH($A321&amp;$B321,'D Proj'!$X$1:$X$513,0),MATCH($A321&amp;$B321,'K Proj'!$T$1:$T$508,0))</f>
        <v>#N/A</v>
      </c>
      <c r="O321" t="e">
        <f>CHOOSE(M321,INDEX('F Proj'!$D$1:$D$7669,N321),INDEX('D Proj'!$T$1:$T$513,N321),INDEX('K Proj'!$L$1:$L$508,N321))</f>
        <v>#N/A</v>
      </c>
      <c r="P321" t="e">
        <f>CHOOSE(M321,INDEX('F Proj'!$J$1:$J$7669,N321),INDEX('D Proj'!$N$1:$N$513,N321),INDEX('K Proj'!$P$1:$P$508,N321))</f>
        <v>#N/A</v>
      </c>
      <c r="Q321" t="str">
        <f t="shared" si="9"/>
        <v>RB</v>
      </c>
      <c r="R321" t="str">
        <f>IF(L321="FLEX",INDEX('F Proj'!$F$1:$F$7669,N321),Q321)</f>
        <v>RB</v>
      </c>
      <c r="S321" t="str">
        <f>IF((Week+Half_Week-1)&gt;=VALUE(RIGHT(C321,LEN(C321)-SEARCH("-",C321))),LEFT(C321,SEARCH("-",C321)-1),"")</f>
        <v>cory</v>
      </c>
    </row>
    <row r="322" spans="1:19" x14ac:dyDescent="0.25">
      <c r="A322" t="s">
        <v>113</v>
      </c>
      <c r="B322">
        <v>1</v>
      </c>
      <c r="C322" t="s">
        <v>1649</v>
      </c>
      <c r="D322" t="s">
        <v>475</v>
      </c>
      <c r="E322">
        <v>16.3</v>
      </c>
      <c r="G322">
        <v>16.3</v>
      </c>
      <c r="H322">
        <v>0</v>
      </c>
      <c r="I322">
        <v>0</v>
      </c>
      <c r="J322" t="s">
        <v>1659</v>
      </c>
      <c r="K322" t="str">
        <f t="shared" si="8"/>
        <v>Rob Gronkowski1</v>
      </c>
      <c r="L322" s="21" t="str">
        <f>IF(ISERROR(MATCH($A322,'F Proj'!$B$1:$B$7669,0)),IF(ISERROR(MATCH($A322,'D Proj'!$B$1:$B$513,0)),IF(ISERROR(MATCH($A322,'K Proj'!$B$1:$B$508,0)),"?","K"),"D"),"FLEX")</f>
        <v>FLEX</v>
      </c>
      <c r="M322" s="21">
        <f>MATCH(L322,Pos,0)</f>
        <v>1</v>
      </c>
      <c r="N322" s="21">
        <f>CHOOSE($M322,MATCH($A322&amp;$B322,'F Proj'!$P$1:$P$7669,0),MATCH($A322&amp;$B322,'D Proj'!$X$1:$X$513,0),MATCH($A322&amp;$B322,'K Proj'!$T$1:$T$508,0))</f>
        <v>751</v>
      </c>
      <c r="O322">
        <f>CHOOSE(M322,INDEX('F Proj'!$D$1:$D$7669,N322),INDEX('D Proj'!$T$1:$T$513,N322),INDEX('K Proj'!$L$1:$L$508,N322))</f>
        <v>12.53</v>
      </c>
      <c r="P322">
        <f>CHOOSE(M322,INDEX('F Proj'!$J$1:$J$7669,N322),INDEX('D Proj'!$N$1:$N$513,N322),INDEX('K Proj'!$P$1:$P$508,N322))</f>
        <v>38.44</v>
      </c>
      <c r="Q322" t="str">
        <f t="shared" si="9"/>
        <v>TE</v>
      </c>
      <c r="R322" t="str">
        <f>IF(L322="FLEX",INDEX('F Proj'!$F$1:$F$7669,N322),Q322)</f>
        <v>TE</v>
      </c>
      <c r="S322" t="str">
        <f>IF((Week+Half_Week-1)&gt;=VALUE(RIGHT(C322,LEN(C322)-SEARCH("-",C322))),LEFT(C322,SEARCH("-",C322)-1),"")</f>
        <v>lucas</v>
      </c>
    </row>
    <row r="323" spans="1:19" x14ac:dyDescent="0.25">
      <c r="A323" t="s">
        <v>113</v>
      </c>
      <c r="B323">
        <v>2</v>
      </c>
      <c r="C323" t="s">
        <v>1651</v>
      </c>
      <c r="D323" t="s">
        <v>475</v>
      </c>
      <c r="E323">
        <v>1.5</v>
      </c>
      <c r="G323">
        <v>1.5</v>
      </c>
      <c r="H323">
        <v>0</v>
      </c>
      <c r="I323">
        <v>0</v>
      </c>
      <c r="J323" t="s">
        <v>1660</v>
      </c>
      <c r="K323" t="str">
        <f t="shared" ref="K323:K386" si="10">A323&amp;B323</f>
        <v>Rob Gronkowski2</v>
      </c>
      <c r="L323" s="21" t="str">
        <f>IF(ISERROR(MATCH($A323,'F Proj'!$B$1:$B$7669,0)),IF(ISERROR(MATCH($A323,'D Proj'!$B$1:$B$513,0)),IF(ISERROR(MATCH($A323,'K Proj'!$B$1:$B$508,0)),"?","K"),"D"),"FLEX")</f>
        <v>FLEX</v>
      </c>
      <c r="M323" s="21">
        <f>MATCH(L323,Pos,0)</f>
        <v>1</v>
      </c>
      <c r="N323" s="21">
        <f>CHOOSE($M323,MATCH($A323&amp;$B323,'F Proj'!$P$1:$P$7669,0),MATCH($A323&amp;$B323,'D Proj'!$X$1:$X$513,0),MATCH($A323&amp;$B323,'K Proj'!$T$1:$T$508,0))</f>
        <v>1275</v>
      </c>
      <c r="O323">
        <f>CHOOSE(M323,INDEX('F Proj'!$D$1:$D$7669,N323),INDEX('D Proj'!$T$1:$T$513,N323),INDEX('K Proj'!$L$1:$L$508,N323))</f>
        <v>8.9700000000000006</v>
      </c>
      <c r="P323">
        <f>CHOOSE(M323,INDEX('F Proj'!$J$1:$J$7669,N323),INDEX('D Proj'!$N$1:$N$513,N323),INDEX('K Proj'!$P$1:$P$508,N323))</f>
        <v>35.640900000000002</v>
      </c>
      <c r="Q323" t="str">
        <f t="shared" ref="Q323:Q386" si="11">IFERROR(LEFT(D323,SEARCH("-",D323)-1),D323)</f>
        <v>TE</v>
      </c>
      <c r="R323" t="str">
        <f>IF(L323="FLEX",INDEX('F Proj'!$F$1:$F$7669,N323),Q323)</f>
        <v>TE</v>
      </c>
      <c r="S323" t="str">
        <f>IF((Week+Half_Week-1)&gt;=VALUE(RIGHT(C323,LEN(C323)-SEARCH("-",C323))),LEFT(C323,SEARCH("-",C323)-1),"")</f>
        <v>lucas</v>
      </c>
    </row>
    <row r="324" spans="1:19" x14ac:dyDescent="0.25">
      <c r="A324" t="s">
        <v>113</v>
      </c>
      <c r="B324">
        <v>3</v>
      </c>
      <c r="C324" t="s">
        <v>1721</v>
      </c>
      <c r="D324" t="s">
        <v>475</v>
      </c>
      <c r="E324">
        <v>5.0999999999999996</v>
      </c>
      <c r="G324">
        <v>5.0999999999999996</v>
      </c>
      <c r="H324">
        <v>0</v>
      </c>
      <c r="I324">
        <v>0</v>
      </c>
      <c r="J324" t="s">
        <v>4329</v>
      </c>
      <c r="K324" t="str">
        <f t="shared" si="10"/>
        <v>Rob Gronkowski3</v>
      </c>
      <c r="L324" s="21" t="str">
        <f>IF(ISERROR(MATCH($A324,'F Proj'!$B$1:$B$7669,0)),IF(ISERROR(MATCH($A324,'D Proj'!$B$1:$B$513,0)),IF(ISERROR(MATCH($A324,'K Proj'!$B$1:$B$508,0)),"?","K"),"D"),"FLEX")</f>
        <v>FLEX</v>
      </c>
      <c r="M324" s="21">
        <f>MATCH(L324,Pos,0)</f>
        <v>1</v>
      </c>
      <c r="N324" s="21">
        <f>CHOOSE($M324,MATCH($A324&amp;$B324,'F Proj'!$P$1:$P$7669,0),MATCH($A324&amp;$B324,'D Proj'!$X$1:$X$513,0),MATCH($A324&amp;$B324,'K Proj'!$T$1:$T$508,0))</f>
        <v>752</v>
      </c>
      <c r="O324">
        <f>CHOOSE(M324,INDEX('F Proj'!$D$1:$D$7669,N324),INDEX('D Proj'!$T$1:$T$513,N324),INDEX('K Proj'!$L$1:$L$508,N324))</f>
        <v>12.52</v>
      </c>
      <c r="P324">
        <f>CHOOSE(M324,INDEX('F Proj'!$J$1:$J$7669,N324),INDEX('D Proj'!$N$1:$N$513,N324),INDEX('K Proj'!$P$1:$P$508,N324))</f>
        <v>40.96</v>
      </c>
      <c r="Q324" t="str">
        <f t="shared" si="11"/>
        <v>TE</v>
      </c>
      <c r="R324" t="str">
        <f>IF(L324="FLEX",INDEX('F Proj'!$F$1:$F$7669,N324),Q324)</f>
        <v>TE</v>
      </c>
      <c r="S324" t="str">
        <f>IF((Week+Half_Week-1)&gt;=VALUE(RIGHT(C324,LEN(C324)-SEARCH("-",C324))),LEFT(C324,SEARCH("-",C324)-1),"")</f>
        <v>lucas</v>
      </c>
    </row>
    <row r="325" spans="1:19" x14ac:dyDescent="0.25">
      <c r="A325" t="s">
        <v>113</v>
      </c>
      <c r="B325">
        <v>4</v>
      </c>
      <c r="C325" t="s">
        <v>1722</v>
      </c>
      <c r="D325" t="s">
        <v>475</v>
      </c>
      <c r="E325">
        <v>4.4000000000000004</v>
      </c>
      <c r="G325">
        <v>4.4000000000000004</v>
      </c>
      <c r="H325">
        <v>0</v>
      </c>
      <c r="I325">
        <v>0</v>
      </c>
      <c r="J325" t="s">
        <v>4812</v>
      </c>
      <c r="K325" t="str">
        <f t="shared" si="10"/>
        <v>Rob Gronkowski4</v>
      </c>
      <c r="L325" s="21" t="str">
        <f>IF(ISERROR(MATCH($A325,'F Proj'!$B$1:$B$7669,0)),IF(ISERROR(MATCH($A325,'D Proj'!$B$1:$B$513,0)),IF(ISERROR(MATCH($A325,'K Proj'!$B$1:$B$508,0)),"?","K"),"D"),"FLEX")</f>
        <v>FLEX</v>
      </c>
      <c r="M325" s="21">
        <f>MATCH(L325,Pos,0)</f>
        <v>1</v>
      </c>
      <c r="N325" s="21">
        <f>CHOOSE($M325,MATCH($A325&amp;$B325,'F Proj'!$P$1:$P$7669,0),MATCH($A325&amp;$B325,'D Proj'!$X$1:$X$513,0),MATCH($A325&amp;$B325,'K Proj'!$T$1:$T$508,0))</f>
        <v>949</v>
      </c>
      <c r="O325">
        <f>CHOOSE(M325,INDEX('F Proj'!$D$1:$D$7669,N325),INDEX('D Proj'!$T$1:$T$513,N325),INDEX('K Proj'!$L$1:$L$508,N325))</f>
        <v>10.78</v>
      </c>
      <c r="P325">
        <f>CHOOSE(M325,INDEX('F Proj'!$J$1:$J$7669,N325),INDEX('D Proj'!$N$1:$N$513,N325),INDEX('K Proj'!$P$1:$P$508,N325))</f>
        <v>32.718400000000003</v>
      </c>
      <c r="Q325" t="str">
        <f t="shared" si="11"/>
        <v>TE</v>
      </c>
      <c r="R325" t="str">
        <f>IF(L325="FLEX",INDEX('F Proj'!$F$1:$F$7669,N325),Q325)</f>
        <v>TE</v>
      </c>
      <c r="S325" t="str">
        <f>IF((Week+Half_Week-1)&gt;=VALUE(RIGHT(C325,LEN(C325)-SEARCH("-",C325))),LEFT(C325,SEARCH("-",C325)-1),"")</f>
        <v>lucas</v>
      </c>
    </row>
    <row r="326" spans="1:19" x14ac:dyDescent="0.25">
      <c r="A326" t="s">
        <v>113</v>
      </c>
      <c r="B326">
        <v>5</v>
      </c>
      <c r="C326" t="s">
        <v>1723</v>
      </c>
      <c r="D326" t="s">
        <v>475</v>
      </c>
      <c r="E326">
        <v>7.5</v>
      </c>
      <c r="G326">
        <v>7.5</v>
      </c>
      <c r="H326">
        <v>0</v>
      </c>
      <c r="I326">
        <v>0</v>
      </c>
      <c r="J326" t="s">
        <v>9013</v>
      </c>
      <c r="K326" t="str">
        <f t="shared" si="10"/>
        <v>Rob Gronkowski5</v>
      </c>
      <c r="L326" s="21" t="str">
        <f>IF(ISERROR(MATCH($A326,'F Proj'!$B$1:$B$7669,0)),IF(ISERROR(MATCH($A326,'D Proj'!$B$1:$B$513,0)),IF(ISERROR(MATCH($A326,'K Proj'!$B$1:$B$508,0)),"?","K"),"D"),"FLEX")</f>
        <v>FLEX</v>
      </c>
      <c r="M326" s="21">
        <f>MATCH(L326,Pos,0)</f>
        <v>1</v>
      </c>
      <c r="N326" s="21">
        <f>CHOOSE($M326,MATCH($A326&amp;$B326,'F Proj'!$P$1:$P$7669,0),MATCH($A326&amp;$B326,'D Proj'!$X$1:$X$513,0),MATCH($A326&amp;$B326,'K Proj'!$T$1:$T$508,0))</f>
        <v>971</v>
      </c>
      <c r="O326">
        <f>CHOOSE(M326,INDEX('F Proj'!$D$1:$D$7669,N326),INDEX('D Proj'!$T$1:$T$513,N326),INDEX('K Proj'!$L$1:$L$508,N326))</f>
        <v>10.62</v>
      </c>
      <c r="P326">
        <f>CHOOSE(M326,INDEX('F Proj'!$J$1:$J$7669,N326),INDEX('D Proj'!$N$1:$N$513,N326),INDEX('K Proj'!$P$1:$P$508,N326))</f>
        <v>40.576900000000002</v>
      </c>
      <c r="Q326" t="str">
        <f t="shared" si="11"/>
        <v>TE</v>
      </c>
      <c r="R326" t="str">
        <f>IF(L326="FLEX",INDEX('F Proj'!$F$1:$F$7669,N326),Q326)</f>
        <v>TE</v>
      </c>
      <c r="S326" t="str">
        <f>IF((Week+Half_Week-1)&gt;=VALUE(RIGHT(C326,LEN(C326)-SEARCH("-",C326))),LEFT(C326,SEARCH("-",C326)-1),"")</f>
        <v/>
      </c>
    </row>
    <row r="327" spans="1:19" x14ac:dyDescent="0.25">
      <c r="A327" t="s">
        <v>203</v>
      </c>
      <c r="B327">
        <v>1</v>
      </c>
      <c r="C327" t="s">
        <v>508</v>
      </c>
      <c r="D327" t="s">
        <v>466</v>
      </c>
      <c r="E327">
        <v>9.1999999999999993</v>
      </c>
      <c r="G327">
        <v>9.1999999999999993</v>
      </c>
      <c r="H327">
        <v>0</v>
      </c>
      <c r="I327">
        <v>0</v>
      </c>
      <c r="J327" t="s">
        <v>522</v>
      </c>
      <c r="K327" t="str">
        <f t="shared" si="10"/>
        <v>Robby Anderson1</v>
      </c>
      <c r="L327" s="21" t="str">
        <f>IF(ISERROR(MATCH($A327,'F Proj'!$B$1:$B$7669,0)),IF(ISERROR(MATCH($A327,'D Proj'!$B$1:$B$513,0)),IF(ISERROR(MATCH($A327,'K Proj'!$B$1:$B$508,0)),"?","K"),"D"),"FLEX")</f>
        <v>FLEX</v>
      </c>
      <c r="M327" s="21">
        <f>MATCH(L327,Pos,0)</f>
        <v>1</v>
      </c>
      <c r="N327" s="21">
        <f>CHOOSE($M327,MATCH($A327&amp;$B327,'F Proj'!$P$1:$P$7669,0),MATCH($A327&amp;$B327,'D Proj'!$X$1:$X$513,0),MATCH($A327&amp;$B327,'K Proj'!$T$1:$T$508,0))</f>
        <v>1923</v>
      </c>
      <c r="O327">
        <f>CHOOSE(M327,INDEX('F Proj'!$D$1:$D$7669,N327),INDEX('D Proj'!$T$1:$T$513,N327),INDEX('K Proj'!$L$1:$L$508,N327))</f>
        <v>6.73</v>
      </c>
      <c r="P327">
        <f>CHOOSE(M327,INDEX('F Proj'!$J$1:$J$7669,N327),INDEX('D Proj'!$N$1:$N$513,N327),INDEX('K Proj'!$P$1:$P$508,N327))</f>
        <v>26.8324</v>
      </c>
      <c r="Q327" t="str">
        <f t="shared" si="11"/>
        <v>WR/RB</v>
      </c>
      <c r="R327" t="str">
        <f>IF(L327="FLEX",INDEX('F Proj'!$F$1:$F$7669,N327),Q327)</f>
        <v>WR</v>
      </c>
      <c r="S327" t="str">
        <f>IF((Week+Half_Week-1)&gt;=VALUE(RIGHT(C327,LEN(C327)-SEARCH("-",C327))),LEFT(C327,SEARCH("-",C327)-1),"")</f>
        <v>perry</v>
      </c>
    </row>
    <row r="328" spans="1:19" x14ac:dyDescent="0.25">
      <c r="A328" t="s">
        <v>203</v>
      </c>
      <c r="B328">
        <v>2</v>
      </c>
      <c r="C328" t="s">
        <v>616</v>
      </c>
      <c r="D328" t="s">
        <v>466</v>
      </c>
      <c r="E328">
        <v>0.7</v>
      </c>
      <c r="G328">
        <v>0.7</v>
      </c>
      <c r="H328">
        <v>0</v>
      </c>
      <c r="I328">
        <v>0</v>
      </c>
      <c r="J328" t="s">
        <v>621</v>
      </c>
      <c r="K328" t="str">
        <f t="shared" si="10"/>
        <v>Robby Anderson2</v>
      </c>
      <c r="L328" s="21" t="str">
        <f>IF(ISERROR(MATCH($A328,'F Proj'!$B$1:$B$7669,0)),IF(ISERROR(MATCH($A328,'D Proj'!$B$1:$B$513,0)),IF(ISERROR(MATCH($A328,'K Proj'!$B$1:$B$508,0)),"?","K"),"D"),"FLEX")</f>
        <v>FLEX</v>
      </c>
      <c r="M328" s="21">
        <f>MATCH(L328,Pos,0)</f>
        <v>1</v>
      </c>
      <c r="N328" s="21">
        <f>CHOOSE($M328,MATCH($A328&amp;$B328,'F Proj'!$P$1:$P$7669,0),MATCH($A328&amp;$B328,'D Proj'!$X$1:$X$513,0),MATCH($A328&amp;$B328,'K Proj'!$T$1:$T$508,0))</f>
        <v>1864</v>
      </c>
      <c r="O328">
        <f>CHOOSE(M328,INDEX('F Proj'!$D$1:$D$7669,N328),INDEX('D Proj'!$T$1:$T$513,N328),INDEX('K Proj'!$L$1:$L$508,N328))</f>
        <v>6.91</v>
      </c>
      <c r="P328">
        <f>CHOOSE(M328,INDEX('F Proj'!$J$1:$J$7669,N328),INDEX('D Proj'!$N$1:$N$513,N328),INDEX('K Proj'!$P$1:$P$508,N328))</f>
        <v>27.6676</v>
      </c>
      <c r="Q328" t="str">
        <f t="shared" si="11"/>
        <v>WR/RB</v>
      </c>
      <c r="R328" t="str">
        <f>IF(L328="FLEX",INDEX('F Proj'!$F$1:$F$7669,N328),Q328)</f>
        <v>WR</v>
      </c>
      <c r="S328" t="str">
        <f>IF((Week+Half_Week-1)&gt;=VALUE(RIGHT(C328,LEN(C328)-SEARCH("-",C328))),LEFT(C328,SEARCH("-",C328)-1),"")</f>
        <v>perry</v>
      </c>
    </row>
    <row r="329" spans="1:19" x14ac:dyDescent="0.25">
      <c r="A329" t="s">
        <v>248</v>
      </c>
      <c r="B329">
        <v>1</v>
      </c>
      <c r="C329" t="s">
        <v>505</v>
      </c>
      <c r="D329" t="s">
        <v>472</v>
      </c>
      <c r="E329">
        <v>4.3</v>
      </c>
      <c r="G329">
        <v>4.3</v>
      </c>
      <c r="H329">
        <v>0</v>
      </c>
      <c r="I329">
        <v>0</v>
      </c>
      <c r="J329" t="s">
        <v>576</v>
      </c>
      <c r="K329" t="str">
        <f t="shared" si="10"/>
        <v>Robert Woods1</v>
      </c>
      <c r="L329" s="21" t="str">
        <f>IF(ISERROR(MATCH($A329,'F Proj'!$B$1:$B$7669,0)),IF(ISERROR(MATCH($A329,'D Proj'!$B$1:$B$513,0)),IF(ISERROR(MATCH($A329,'K Proj'!$B$1:$B$508,0)),"?","K"),"D"),"FLEX")</f>
        <v>FLEX</v>
      </c>
      <c r="M329" s="21">
        <f>MATCH(L329,Pos,0)</f>
        <v>1</v>
      </c>
      <c r="N329" s="21">
        <f>CHOOSE($M329,MATCH($A329&amp;$B329,'F Proj'!$P$1:$P$7669,0),MATCH($A329&amp;$B329,'D Proj'!$X$1:$X$513,0),MATCH($A329&amp;$B329,'K Proj'!$T$1:$T$508,0))</f>
        <v>1491</v>
      </c>
      <c r="O329">
        <f>CHOOSE(M329,INDEX('F Proj'!$D$1:$D$7669,N329),INDEX('D Proj'!$T$1:$T$513,N329),INDEX('K Proj'!$L$1:$L$508,N329))</f>
        <v>8.14</v>
      </c>
      <c r="P329">
        <f>CHOOSE(M329,INDEX('F Proj'!$J$1:$J$7669,N329),INDEX('D Proj'!$N$1:$N$513,N329),INDEX('K Proj'!$P$1:$P$508,N329))</f>
        <v>30.0304</v>
      </c>
      <c r="Q329" t="str">
        <f t="shared" si="11"/>
        <v>WR</v>
      </c>
      <c r="R329" t="str">
        <f>IF(L329="FLEX",INDEX('F Proj'!$F$1:$F$7669,N329),Q329)</f>
        <v>WR</v>
      </c>
      <c r="S329" t="str">
        <f>IF((Week+Half_Week-1)&gt;=VALUE(RIGHT(C329,LEN(C329)-SEARCH("-",C329))),LEFT(C329,SEARCH("-",C329)-1),"")</f>
        <v>matty</v>
      </c>
    </row>
    <row r="330" spans="1:19" x14ac:dyDescent="0.25">
      <c r="A330" t="s">
        <v>248</v>
      </c>
      <c r="B330">
        <v>4</v>
      </c>
      <c r="C330" t="s">
        <v>864</v>
      </c>
      <c r="D330" t="s">
        <v>472</v>
      </c>
      <c r="E330">
        <v>16.100000000000001</v>
      </c>
      <c r="G330">
        <v>16.100000000000001</v>
      </c>
      <c r="H330">
        <v>0</v>
      </c>
      <c r="I330">
        <v>0</v>
      </c>
      <c r="J330" t="s">
        <v>4799</v>
      </c>
      <c r="K330" t="str">
        <f t="shared" si="10"/>
        <v>Robert Woods4</v>
      </c>
      <c r="L330" s="21" t="str">
        <f>IF(ISERROR(MATCH($A330,'F Proj'!$B$1:$B$7669,0)),IF(ISERROR(MATCH($A330,'D Proj'!$B$1:$B$513,0)),IF(ISERROR(MATCH($A330,'K Proj'!$B$1:$B$508,0)),"?","K"),"D"),"FLEX")</f>
        <v>FLEX</v>
      </c>
      <c r="M330" s="21">
        <f>MATCH(L330,Pos,0)</f>
        <v>1</v>
      </c>
      <c r="N330" s="21">
        <f>CHOOSE($M330,MATCH($A330&amp;$B330,'F Proj'!$P$1:$P$7669,0),MATCH($A330&amp;$B330,'D Proj'!$X$1:$X$513,0),MATCH($A330&amp;$B330,'K Proj'!$T$1:$T$508,0))</f>
        <v>1350</v>
      </c>
      <c r="O330">
        <f>CHOOSE(M330,INDEX('F Proj'!$D$1:$D$7669,N330),INDEX('D Proj'!$T$1:$T$513,N330),INDEX('K Proj'!$L$1:$L$508,N330))</f>
        <v>8.65</v>
      </c>
      <c r="P330">
        <f>CHOOSE(M330,INDEX('F Proj'!$J$1:$J$7669,N330),INDEX('D Proj'!$N$1:$N$513,N330),INDEX('K Proj'!$P$1:$P$508,N330))</f>
        <v>22.372900000000001</v>
      </c>
      <c r="Q330" t="str">
        <f t="shared" si="11"/>
        <v>WR</v>
      </c>
      <c r="R330" t="str">
        <f>IF(L330="FLEX",INDEX('F Proj'!$F$1:$F$7669,N330),Q330)</f>
        <v>WR</v>
      </c>
      <c r="S330" t="str">
        <f>IF((Week+Half_Week-1)&gt;=VALUE(RIGHT(C330,LEN(C330)-SEARCH("-",C330))),LEFT(C330,SEARCH("-",C330)-1),"")</f>
        <v>matty</v>
      </c>
    </row>
    <row r="331" spans="1:19" x14ac:dyDescent="0.25">
      <c r="A331" t="s">
        <v>248</v>
      </c>
      <c r="B331">
        <v>5</v>
      </c>
      <c r="C331" t="s">
        <v>891</v>
      </c>
      <c r="D331" t="s">
        <v>472</v>
      </c>
      <c r="E331" t="s">
        <v>8947</v>
      </c>
      <c r="G331">
        <v>10.16</v>
      </c>
      <c r="H331">
        <v>6.44</v>
      </c>
      <c r="I331">
        <v>41.473599999999998</v>
      </c>
      <c r="J331" t="s">
        <v>9014</v>
      </c>
      <c r="K331" t="str">
        <f t="shared" si="10"/>
        <v>Robert Woods5</v>
      </c>
      <c r="L331" s="21" t="str">
        <f>IF(ISERROR(MATCH($A331,'F Proj'!$B$1:$B$7669,0)),IF(ISERROR(MATCH($A331,'D Proj'!$B$1:$B$513,0)),IF(ISERROR(MATCH($A331,'K Proj'!$B$1:$B$508,0)),"?","K"),"D"),"FLEX")</f>
        <v>FLEX</v>
      </c>
      <c r="M331" s="21">
        <f>MATCH(L331,Pos,0)</f>
        <v>1</v>
      </c>
      <c r="N331" s="21">
        <f>CHOOSE($M331,MATCH($A331&amp;$B331,'F Proj'!$P$1:$P$7669,0),MATCH($A331&amp;$B331,'D Proj'!$X$1:$X$513,0),MATCH($A331&amp;$B331,'K Proj'!$T$1:$T$508,0))</f>
        <v>1048</v>
      </c>
      <c r="O331">
        <f>CHOOSE(M331,INDEX('F Proj'!$D$1:$D$7669,N331),INDEX('D Proj'!$T$1:$T$513,N331),INDEX('K Proj'!$L$1:$L$508,N331))</f>
        <v>10.16</v>
      </c>
      <c r="P331">
        <f>CHOOSE(M331,INDEX('F Proj'!$J$1:$J$7669,N331),INDEX('D Proj'!$N$1:$N$513,N331),INDEX('K Proj'!$P$1:$P$508,N331))</f>
        <v>41.473599999999998</v>
      </c>
      <c r="Q331" t="str">
        <f t="shared" si="11"/>
        <v>WR</v>
      </c>
      <c r="R331" t="str">
        <f>IF(L331="FLEX",INDEX('F Proj'!$F$1:$F$7669,N331),Q331)</f>
        <v>WR</v>
      </c>
      <c r="S331" t="str">
        <f>IF((Week+Half_Week-1)&gt;=VALUE(RIGHT(C331,LEN(C331)-SEARCH("-",C331))),LEFT(C331,SEARCH("-",C331)-1),"")</f>
        <v/>
      </c>
    </row>
    <row r="332" spans="1:19" x14ac:dyDescent="0.25">
      <c r="A332" t="s">
        <v>1346</v>
      </c>
      <c r="B332">
        <v>1</v>
      </c>
      <c r="C332" t="s">
        <v>506</v>
      </c>
      <c r="D332" t="s">
        <v>469</v>
      </c>
      <c r="E332">
        <v>7.1</v>
      </c>
      <c r="G332">
        <v>7.1</v>
      </c>
      <c r="H332">
        <v>0</v>
      </c>
      <c r="I332">
        <v>0</v>
      </c>
      <c r="J332" t="s">
        <v>523</v>
      </c>
      <c r="K332" t="str">
        <f t="shared" si="10"/>
        <v>Royce Freeman1</v>
      </c>
      <c r="L332" s="21" t="str">
        <f>IF(ISERROR(MATCH($A332,'F Proj'!$B$1:$B$7669,0)),IF(ISERROR(MATCH($A332,'D Proj'!$B$1:$B$513,0)),IF(ISERROR(MATCH($A332,'K Proj'!$B$1:$B$508,0)),"?","K"),"D"),"FLEX")</f>
        <v>FLEX</v>
      </c>
      <c r="M332" s="21">
        <f>MATCH(L332,Pos,0)</f>
        <v>1</v>
      </c>
      <c r="N332" s="21">
        <f>CHOOSE($M332,MATCH($A332&amp;$B332,'F Proj'!$P$1:$P$7669,0),MATCH($A332&amp;$B332,'D Proj'!$X$1:$X$513,0),MATCH($A332&amp;$B332,'K Proj'!$T$1:$T$508,0))</f>
        <v>1761</v>
      </c>
      <c r="O332">
        <f>CHOOSE(M332,INDEX('F Proj'!$D$1:$D$7669,N332),INDEX('D Proj'!$T$1:$T$513,N332),INDEX('K Proj'!$L$1:$L$508,N332))</f>
        <v>7.22</v>
      </c>
      <c r="P332">
        <f>CHOOSE(M332,INDEX('F Proj'!$J$1:$J$7669,N332),INDEX('D Proj'!$N$1:$N$513,N332),INDEX('K Proj'!$P$1:$P$508,N332))</f>
        <v>22.278400000000001</v>
      </c>
      <c r="Q332" t="str">
        <f t="shared" si="11"/>
        <v>RB</v>
      </c>
      <c r="R332" t="str">
        <f>IF(L332="FLEX",INDEX('F Proj'!$F$1:$F$7669,N332),Q332)</f>
        <v>RB</v>
      </c>
      <c r="S332" t="str">
        <f>IF((Week+Half_Week-1)&gt;=VALUE(RIGHT(C332,LEN(C332)-SEARCH("-",C332))),LEFT(C332,SEARCH("-",C332)-1),"")</f>
        <v>comp</v>
      </c>
    </row>
    <row r="333" spans="1:19" x14ac:dyDescent="0.25">
      <c r="A333" t="s">
        <v>1346</v>
      </c>
      <c r="B333">
        <v>2</v>
      </c>
      <c r="C333" t="s">
        <v>623</v>
      </c>
      <c r="D333" t="s">
        <v>468</v>
      </c>
      <c r="E333">
        <v>8.8000000000000007</v>
      </c>
      <c r="G333">
        <v>8.8000000000000007</v>
      </c>
      <c r="H333">
        <v>0</v>
      </c>
      <c r="I333">
        <v>0</v>
      </c>
      <c r="J333" t="s">
        <v>643</v>
      </c>
      <c r="K333" t="str">
        <f t="shared" si="10"/>
        <v>Royce Freeman2</v>
      </c>
      <c r="L333" s="21" t="str">
        <f>IF(ISERROR(MATCH($A333,'F Proj'!$B$1:$B$7669,0)),IF(ISERROR(MATCH($A333,'D Proj'!$B$1:$B$513,0)),IF(ISERROR(MATCH($A333,'K Proj'!$B$1:$B$508,0)),"?","K"),"D"),"FLEX")</f>
        <v>FLEX</v>
      </c>
      <c r="M333" s="21">
        <f>MATCH(L333,Pos,0)</f>
        <v>1</v>
      </c>
      <c r="N333" s="21">
        <f>CHOOSE($M333,MATCH($A333&amp;$B333,'F Proj'!$P$1:$P$7669,0),MATCH($A333&amp;$B333,'D Proj'!$X$1:$X$513,0),MATCH($A333&amp;$B333,'K Proj'!$T$1:$T$508,0))</f>
        <v>1597</v>
      </c>
      <c r="O333">
        <f>CHOOSE(M333,INDEX('F Proj'!$D$1:$D$7669,N333),INDEX('D Proj'!$T$1:$T$513,N333),INDEX('K Proj'!$L$1:$L$508,N333))</f>
        <v>7.79</v>
      </c>
      <c r="P333">
        <f>CHOOSE(M333,INDEX('F Proj'!$J$1:$J$7669,N333),INDEX('D Proj'!$N$1:$N$513,N333),INDEX('K Proj'!$P$1:$P$508,N333))</f>
        <v>19.272099999999998</v>
      </c>
      <c r="Q333" t="str">
        <f t="shared" si="11"/>
        <v>RB</v>
      </c>
      <c r="R333" t="str">
        <f>IF(L333="FLEX",INDEX('F Proj'!$F$1:$F$7669,N333),Q333)</f>
        <v>RB</v>
      </c>
      <c r="S333" t="str">
        <f>IF((Week+Half_Week-1)&gt;=VALUE(RIGHT(C333,LEN(C333)-SEARCH("-",C333))),LEFT(C333,SEARCH("-",C333)-1),"")</f>
        <v>comp</v>
      </c>
    </row>
    <row r="334" spans="1:19" x14ac:dyDescent="0.25">
      <c r="A334" t="s">
        <v>1346</v>
      </c>
      <c r="B334">
        <v>4</v>
      </c>
      <c r="C334" t="s">
        <v>860</v>
      </c>
      <c r="D334" t="s">
        <v>468</v>
      </c>
      <c r="E334">
        <v>12.7</v>
      </c>
      <c r="G334">
        <v>12.7</v>
      </c>
      <c r="H334">
        <v>0</v>
      </c>
      <c r="I334">
        <v>0</v>
      </c>
      <c r="J334" t="s">
        <v>4796</v>
      </c>
      <c r="K334" t="str">
        <f t="shared" si="10"/>
        <v>Royce Freeman4</v>
      </c>
      <c r="L334" s="21" t="str">
        <f>IF(ISERROR(MATCH($A334,'F Proj'!$B$1:$B$7669,0)),IF(ISERROR(MATCH($A334,'D Proj'!$B$1:$B$513,0)),IF(ISERROR(MATCH($A334,'K Proj'!$B$1:$B$508,0)),"?","K"),"D"),"FLEX")</f>
        <v>FLEX</v>
      </c>
      <c r="M334" s="21">
        <f>MATCH(L334,Pos,0)</f>
        <v>1</v>
      </c>
      <c r="N334" s="21">
        <f>CHOOSE($M334,MATCH($A334&amp;$B334,'F Proj'!$P$1:$P$7669,0),MATCH($A334&amp;$B334,'D Proj'!$X$1:$X$513,0),MATCH($A334&amp;$B334,'K Proj'!$T$1:$T$508,0))</f>
        <v>1888</v>
      </c>
      <c r="O334">
        <f>CHOOSE(M334,INDEX('F Proj'!$D$1:$D$7669,N334),INDEX('D Proj'!$T$1:$T$513,N334),INDEX('K Proj'!$L$1:$L$508,N334))</f>
        <v>6.84</v>
      </c>
      <c r="P334">
        <f>CHOOSE(M334,INDEX('F Proj'!$J$1:$J$7669,N334),INDEX('D Proj'!$N$1:$N$513,N334),INDEX('K Proj'!$P$1:$P$508,N334))</f>
        <v>33.524099999999997</v>
      </c>
      <c r="Q334" t="str">
        <f t="shared" si="11"/>
        <v>RB</v>
      </c>
      <c r="R334" t="str">
        <f>IF(L334="FLEX",INDEX('F Proj'!$F$1:$F$7669,N334),Q334)</f>
        <v>RB</v>
      </c>
      <c r="S334" t="str">
        <f>IF((Week+Half_Week-1)&gt;=VALUE(RIGHT(C334,LEN(C334)-SEARCH("-",C334))),LEFT(C334,SEARCH("-",C334)-1),"")</f>
        <v>comp</v>
      </c>
    </row>
    <row r="335" spans="1:19" x14ac:dyDescent="0.25">
      <c r="A335" t="s">
        <v>53</v>
      </c>
      <c r="B335">
        <v>1</v>
      </c>
      <c r="C335" t="s">
        <v>500</v>
      </c>
      <c r="D335" t="s">
        <v>467</v>
      </c>
      <c r="E335">
        <v>20.399999999999999</v>
      </c>
      <c r="G335">
        <v>20.399999999999999</v>
      </c>
      <c r="H335">
        <v>0</v>
      </c>
      <c r="I335">
        <v>0</v>
      </c>
      <c r="J335" t="s">
        <v>509</v>
      </c>
      <c r="K335" t="str">
        <f t="shared" si="10"/>
        <v>Russell Wilson1</v>
      </c>
      <c r="L335" s="21" t="str">
        <f>IF(ISERROR(MATCH($A335,'F Proj'!$B$1:$B$7669,0)),IF(ISERROR(MATCH($A335,'D Proj'!$B$1:$B$513,0)),IF(ISERROR(MATCH($A335,'K Proj'!$B$1:$B$508,0)),"?","K"),"D"),"FLEX")</f>
        <v>FLEX</v>
      </c>
      <c r="M335" s="21">
        <f>MATCH(L335,Pos,0)</f>
        <v>1</v>
      </c>
      <c r="N335" s="21">
        <f>CHOOSE($M335,MATCH($A335&amp;$B335,'F Proj'!$P$1:$P$7669,0),MATCH($A335&amp;$B335,'D Proj'!$X$1:$X$513,0),MATCH($A335&amp;$B335,'K Proj'!$T$1:$T$508,0))</f>
        <v>211</v>
      </c>
      <c r="O335">
        <f>CHOOSE(M335,INDEX('F Proj'!$D$1:$D$7669,N335),INDEX('D Proj'!$T$1:$T$513,N335),INDEX('K Proj'!$L$1:$L$508,N335))</f>
        <v>18.96</v>
      </c>
      <c r="P335">
        <f>CHOOSE(M335,INDEX('F Proj'!$J$1:$J$7669,N335),INDEX('D Proj'!$N$1:$N$513,N335),INDEX('K Proj'!$P$1:$P$508,N335))</f>
        <v>60.372900000000001</v>
      </c>
      <c r="Q335" t="str">
        <f t="shared" si="11"/>
        <v>QB</v>
      </c>
      <c r="R335" t="str">
        <f>IF(L335="FLEX",INDEX('F Proj'!$F$1:$F$7669,N335),Q335)</f>
        <v>QB</v>
      </c>
      <c r="S335" t="str">
        <f>IF((Week+Half_Week-1)&gt;=VALUE(RIGHT(C335,LEN(C335)-SEARCH("-",C335))),LEFT(C335,SEARCH("-",C335)-1),"")</f>
        <v>seth</v>
      </c>
    </row>
    <row r="336" spans="1:19" x14ac:dyDescent="0.25">
      <c r="A336" t="s">
        <v>53</v>
      </c>
      <c r="B336">
        <v>2</v>
      </c>
      <c r="C336" t="s">
        <v>630</v>
      </c>
      <c r="D336" t="s">
        <v>467</v>
      </c>
      <c r="E336">
        <v>14.7</v>
      </c>
      <c r="G336">
        <v>14.7</v>
      </c>
      <c r="H336">
        <v>0</v>
      </c>
      <c r="I336">
        <v>0</v>
      </c>
      <c r="J336" t="s">
        <v>666</v>
      </c>
      <c r="K336" t="str">
        <f t="shared" si="10"/>
        <v>Russell Wilson2</v>
      </c>
      <c r="L336" s="21" t="str">
        <f>IF(ISERROR(MATCH($A336,'F Proj'!$B$1:$B$7669,0)),IF(ISERROR(MATCH($A336,'D Proj'!$B$1:$B$513,0)),IF(ISERROR(MATCH($A336,'K Proj'!$B$1:$B$508,0)),"?","K"),"D"),"FLEX")</f>
        <v>FLEX</v>
      </c>
      <c r="M336" s="21">
        <f>MATCH(L336,Pos,0)</f>
        <v>1</v>
      </c>
      <c r="N336" s="21">
        <f>CHOOSE($M336,MATCH($A336&amp;$B336,'F Proj'!$P$1:$P$7669,0),MATCH($A336&amp;$B336,'D Proj'!$X$1:$X$513,0),MATCH($A336&amp;$B336,'K Proj'!$T$1:$T$508,0))</f>
        <v>237</v>
      </c>
      <c r="O336">
        <f>CHOOSE(M336,INDEX('F Proj'!$D$1:$D$7669,N336),INDEX('D Proj'!$T$1:$T$513,N336),INDEX('K Proj'!$L$1:$L$508,N336))</f>
        <v>18.59</v>
      </c>
      <c r="P336">
        <f>CHOOSE(M336,INDEX('F Proj'!$J$1:$J$7669,N336),INDEX('D Proj'!$N$1:$N$513,N336),INDEX('K Proj'!$P$1:$P$508,N336))</f>
        <v>55.651600000000002</v>
      </c>
      <c r="Q336" t="str">
        <f t="shared" si="11"/>
        <v>QB</v>
      </c>
      <c r="R336" t="str">
        <f>IF(L336="FLEX",INDEX('F Proj'!$F$1:$F$7669,N336),Q336)</f>
        <v>QB</v>
      </c>
      <c r="S336" t="str">
        <f>IF((Week+Half_Week-1)&gt;=VALUE(RIGHT(C336,LEN(C336)-SEARCH("-",C336))),LEFT(C336,SEARCH("-",C336)-1),"")</f>
        <v>seth</v>
      </c>
    </row>
    <row r="337" spans="1:19" x14ac:dyDescent="0.25">
      <c r="A337" t="s">
        <v>53</v>
      </c>
      <c r="B337">
        <v>3</v>
      </c>
      <c r="C337" t="s">
        <v>808</v>
      </c>
      <c r="D337" t="s">
        <v>467</v>
      </c>
      <c r="E337">
        <v>15.6</v>
      </c>
      <c r="G337">
        <v>15.6</v>
      </c>
      <c r="H337">
        <v>0</v>
      </c>
      <c r="I337">
        <v>0</v>
      </c>
      <c r="J337" t="s">
        <v>4330</v>
      </c>
      <c r="K337" t="str">
        <f t="shared" si="10"/>
        <v>Russell Wilson3</v>
      </c>
      <c r="L337" s="21" t="str">
        <f>IF(ISERROR(MATCH($A337,'F Proj'!$B$1:$B$7669,0)),IF(ISERROR(MATCH($A337,'D Proj'!$B$1:$B$513,0)),IF(ISERROR(MATCH($A337,'K Proj'!$B$1:$B$508,0)),"?","K"),"D"),"FLEX")</f>
        <v>FLEX</v>
      </c>
      <c r="M337" s="21">
        <f>MATCH(L337,Pos,0)</f>
        <v>1</v>
      </c>
      <c r="N337" s="21">
        <f>CHOOSE($M337,MATCH($A337&amp;$B337,'F Proj'!$P$1:$P$7669,0),MATCH($A337&amp;$B337,'D Proj'!$X$1:$X$513,0),MATCH($A337&amp;$B337,'K Proj'!$T$1:$T$508,0))</f>
        <v>200</v>
      </c>
      <c r="O337">
        <f>CHOOSE(M337,INDEX('F Proj'!$D$1:$D$7669,N337),INDEX('D Proj'!$T$1:$T$513,N337),INDEX('K Proj'!$L$1:$L$508,N337))</f>
        <v>19.149999999999999</v>
      </c>
      <c r="P337">
        <f>CHOOSE(M337,INDEX('F Proj'!$J$1:$J$7669,N337),INDEX('D Proj'!$N$1:$N$513,N337),INDEX('K Proj'!$P$1:$P$508,N337))</f>
        <v>49.702500000000001</v>
      </c>
      <c r="Q337" t="str">
        <f t="shared" si="11"/>
        <v>QB</v>
      </c>
      <c r="R337" t="str">
        <f>IF(L337="FLEX",INDEX('F Proj'!$F$1:$F$7669,N337),Q337)</f>
        <v>QB</v>
      </c>
      <c r="S337" t="str">
        <f>IF((Week+Half_Week-1)&gt;=VALUE(RIGHT(C337,LEN(C337)-SEARCH("-",C337))),LEFT(C337,SEARCH("-",C337)-1),"")</f>
        <v>seth</v>
      </c>
    </row>
    <row r="338" spans="1:19" x14ac:dyDescent="0.25">
      <c r="A338" t="s">
        <v>53</v>
      </c>
      <c r="B338">
        <v>4</v>
      </c>
      <c r="C338" t="s">
        <v>857</v>
      </c>
      <c r="D338" t="s">
        <v>467</v>
      </c>
      <c r="E338">
        <v>9</v>
      </c>
      <c r="G338">
        <v>9</v>
      </c>
      <c r="H338">
        <v>0</v>
      </c>
      <c r="I338">
        <v>0</v>
      </c>
      <c r="J338" t="s">
        <v>4813</v>
      </c>
      <c r="K338" t="str">
        <f t="shared" si="10"/>
        <v>Russell Wilson4</v>
      </c>
      <c r="L338" s="21" t="str">
        <f>IF(ISERROR(MATCH($A338,'F Proj'!$B$1:$B$7669,0)),IF(ISERROR(MATCH($A338,'D Proj'!$B$1:$B$513,0)),IF(ISERROR(MATCH($A338,'K Proj'!$B$1:$B$508,0)),"?","K"),"D"),"FLEX")</f>
        <v>FLEX</v>
      </c>
      <c r="M338" s="21">
        <f>MATCH(L338,Pos,0)</f>
        <v>1</v>
      </c>
      <c r="N338" s="21">
        <f>CHOOSE($M338,MATCH($A338&amp;$B338,'F Proj'!$P$1:$P$7669,0),MATCH($A338&amp;$B338,'D Proj'!$X$1:$X$513,0),MATCH($A338&amp;$B338,'K Proj'!$T$1:$T$508,0))</f>
        <v>230</v>
      </c>
      <c r="O338">
        <f>CHOOSE(M338,INDEX('F Proj'!$D$1:$D$7669,N338),INDEX('D Proj'!$T$1:$T$513,N338),INDEX('K Proj'!$L$1:$L$508,N338))</f>
        <v>18.649999999999999</v>
      </c>
      <c r="P338">
        <f>CHOOSE(M338,INDEX('F Proj'!$J$1:$J$7669,N338),INDEX('D Proj'!$N$1:$N$513,N338),INDEX('K Proj'!$P$1:$P$508,N338))</f>
        <v>59.444099999999999</v>
      </c>
      <c r="Q338" t="str">
        <f t="shared" si="11"/>
        <v>QB</v>
      </c>
      <c r="R338" t="str">
        <f>IF(L338="FLEX",INDEX('F Proj'!$F$1:$F$7669,N338),Q338)</f>
        <v>QB</v>
      </c>
      <c r="S338" t="str">
        <f>IF((Week+Half_Week-1)&gt;=VALUE(RIGHT(C338,LEN(C338)-SEARCH("-",C338))),LEFT(C338,SEARCH("-",C338)-1),"")</f>
        <v>seth</v>
      </c>
    </row>
    <row r="339" spans="1:19" x14ac:dyDescent="0.25">
      <c r="A339" t="s">
        <v>53</v>
      </c>
      <c r="B339">
        <v>5</v>
      </c>
      <c r="C339" t="s">
        <v>882</v>
      </c>
      <c r="D339" t="s">
        <v>467</v>
      </c>
      <c r="E339" t="s">
        <v>8947</v>
      </c>
      <c r="G339">
        <v>16.690000000000001</v>
      </c>
      <c r="H339">
        <v>7.13</v>
      </c>
      <c r="I339">
        <v>50.8369</v>
      </c>
      <c r="J339" t="s">
        <v>9015</v>
      </c>
      <c r="K339" t="str">
        <f t="shared" si="10"/>
        <v>Russell Wilson5</v>
      </c>
      <c r="L339" s="21" t="str">
        <f>IF(ISERROR(MATCH($A339,'F Proj'!$B$1:$B$7669,0)),IF(ISERROR(MATCH($A339,'D Proj'!$B$1:$B$513,0)),IF(ISERROR(MATCH($A339,'K Proj'!$B$1:$B$508,0)),"?","K"),"D"),"FLEX")</f>
        <v>FLEX</v>
      </c>
      <c r="M339" s="21">
        <f>MATCH(L339,Pos,0)</f>
        <v>1</v>
      </c>
      <c r="N339" s="21">
        <f>CHOOSE($M339,MATCH($A339&amp;$B339,'F Proj'!$P$1:$P$7669,0),MATCH($A339&amp;$B339,'D Proj'!$X$1:$X$513,0),MATCH($A339&amp;$B339,'K Proj'!$T$1:$T$508,0))</f>
        <v>357</v>
      </c>
      <c r="O339">
        <f>CHOOSE(M339,INDEX('F Proj'!$D$1:$D$7669,N339),INDEX('D Proj'!$T$1:$T$513,N339),INDEX('K Proj'!$L$1:$L$508,N339))</f>
        <v>16.690000000000001</v>
      </c>
      <c r="P339">
        <f>CHOOSE(M339,INDEX('F Proj'!$J$1:$J$7669,N339),INDEX('D Proj'!$N$1:$N$513,N339),INDEX('K Proj'!$P$1:$P$508,N339))</f>
        <v>50.8369</v>
      </c>
      <c r="Q339" t="str">
        <f t="shared" si="11"/>
        <v>QB</v>
      </c>
      <c r="R339" t="str">
        <f>IF(L339="FLEX",INDEX('F Proj'!$F$1:$F$7669,N339),Q339)</f>
        <v>QB</v>
      </c>
      <c r="S339" t="str">
        <f>IF((Week+Half_Week-1)&gt;=VALUE(RIGHT(C339,LEN(C339)-SEARCH("-",C339))),LEFT(C339,SEARCH("-",C339)-1),"")</f>
        <v/>
      </c>
    </row>
    <row r="340" spans="1:19" x14ac:dyDescent="0.25">
      <c r="A340" t="s">
        <v>314</v>
      </c>
      <c r="B340">
        <v>3</v>
      </c>
      <c r="C340" t="s">
        <v>807</v>
      </c>
      <c r="D340" t="s">
        <v>467</v>
      </c>
      <c r="E340">
        <v>25.1</v>
      </c>
      <c r="G340">
        <v>25.1</v>
      </c>
      <c r="H340">
        <v>0</v>
      </c>
      <c r="I340">
        <v>0</v>
      </c>
      <c r="J340" t="s">
        <v>4331</v>
      </c>
      <c r="K340" t="str">
        <f t="shared" si="10"/>
        <v>Ryan Fitzpatrick3</v>
      </c>
      <c r="L340" s="21" t="str">
        <f>IF(ISERROR(MATCH($A340,'F Proj'!$B$1:$B$7669,0)),IF(ISERROR(MATCH($A340,'D Proj'!$B$1:$B$513,0)),IF(ISERROR(MATCH($A340,'K Proj'!$B$1:$B$508,0)),"?","K"),"D"),"FLEX")</f>
        <v>FLEX</v>
      </c>
      <c r="M340" s="21">
        <f>MATCH(L340,Pos,0)</f>
        <v>1</v>
      </c>
      <c r="N340" s="21">
        <f>CHOOSE($M340,MATCH($A340&amp;$B340,'F Proj'!$P$1:$P$7669,0),MATCH($A340&amp;$B340,'D Proj'!$X$1:$X$513,0),MATCH($A340&amp;$B340,'K Proj'!$T$1:$T$508,0))</f>
        <v>147</v>
      </c>
      <c r="O340">
        <f>CHOOSE(M340,INDEX('F Proj'!$D$1:$D$7669,N340),INDEX('D Proj'!$T$1:$T$513,N340),INDEX('K Proj'!$L$1:$L$508,N340))</f>
        <v>19.86</v>
      </c>
      <c r="P340">
        <f>CHOOSE(M340,INDEX('F Proj'!$J$1:$J$7669,N340),INDEX('D Proj'!$N$1:$N$513,N340),INDEX('K Proj'!$P$1:$P$508,N340))</f>
        <v>35.046399999999998</v>
      </c>
      <c r="Q340" t="str">
        <f t="shared" si="11"/>
        <v>QB</v>
      </c>
      <c r="R340" t="str">
        <f>IF(L340="FLEX",INDEX('F Proj'!$F$1:$F$7669,N340),Q340)</f>
        <v>QB</v>
      </c>
      <c r="S340" t="str">
        <f>IF((Week+Half_Week-1)&gt;=VALUE(RIGHT(C340,LEN(C340)-SEARCH("-",C340))),LEFT(C340,SEARCH("-",C340)-1),"")</f>
        <v>scott</v>
      </c>
    </row>
    <row r="341" spans="1:19" x14ac:dyDescent="0.25">
      <c r="A341" t="s">
        <v>125</v>
      </c>
      <c r="B341">
        <v>4</v>
      </c>
      <c r="C341" t="s">
        <v>861</v>
      </c>
      <c r="D341" t="s">
        <v>466</v>
      </c>
      <c r="E341">
        <v>0</v>
      </c>
      <c r="G341">
        <v>0</v>
      </c>
      <c r="H341">
        <v>0</v>
      </c>
      <c r="I341">
        <v>0</v>
      </c>
      <c r="J341" t="s">
        <v>4790</v>
      </c>
      <c r="K341" t="str">
        <f t="shared" si="10"/>
        <v>Sammy Watkins4</v>
      </c>
      <c r="L341" s="21" t="str">
        <f>IF(ISERROR(MATCH($A341,'F Proj'!$B$1:$B$7669,0)),IF(ISERROR(MATCH($A341,'D Proj'!$B$1:$B$513,0)),IF(ISERROR(MATCH($A341,'K Proj'!$B$1:$B$508,0)),"?","K"),"D"),"FLEX")</f>
        <v>FLEX</v>
      </c>
      <c r="M341" s="21">
        <f>MATCH(L341,Pos,0)</f>
        <v>1</v>
      </c>
      <c r="N341" s="21">
        <f>CHOOSE($M341,MATCH($A341&amp;$B341,'F Proj'!$P$1:$P$7669,0),MATCH($A341&amp;$B341,'D Proj'!$X$1:$X$513,0),MATCH($A341&amp;$B341,'K Proj'!$T$1:$T$508,0))</f>
        <v>1439</v>
      </c>
      <c r="O341">
        <f>CHOOSE(M341,INDEX('F Proj'!$D$1:$D$7669,N341),INDEX('D Proj'!$T$1:$T$513,N341),INDEX('K Proj'!$L$1:$L$508,N341))</f>
        <v>8.31</v>
      </c>
      <c r="P341">
        <f>CHOOSE(M341,INDEX('F Proj'!$J$1:$J$7669,N341),INDEX('D Proj'!$N$1:$N$513,N341),INDEX('K Proj'!$P$1:$P$508,N341))</f>
        <v>44.488900000000001</v>
      </c>
      <c r="Q341" t="str">
        <f t="shared" si="11"/>
        <v>WR/RB</v>
      </c>
      <c r="R341" t="str">
        <f>IF(L341="FLEX",INDEX('F Proj'!$F$1:$F$7669,N341),Q341)</f>
        <v>WR</v>
      </c>
      <c r="S341" t="str">
        <f>IF((Week+Half_Week-1)&gt;=VALUE(RIGHT(C341,LEN(C341)-SEARCH("-",C341))),LEFT(C341,SEARCH("-",C341)-1),"")</f>
        <v>scott</v>
      </c>
    </row>
    <row r="342" spans="1:19" x14ac:dyDescent="0.25">
      <c r="A342" t="s">
        <v>1288</v>
      </c>
      <c r="B342">
        <v>1</v>
      </c>
      <c r="C342" t="s">
        <v>1649</v>
      </c>
      <c r="D342" t="s">
        <v>468</v>
      </c>
      <c r="E342">
        <v>18.8</v>
      </c>
      <c r="G342">
        <v>18.8</v>
      </c>
      <c r="H342">
        <v>0</v>
      </c>
      <c r="I342">
        <v>0</v>
      </c>
      <c r="J342" t="s">
        <v>1661</v>
      </c>
      <c r="K342" t="str">
        <f t="shared" si="10"/>
        <v>Saquon Barkley1</v>
      </c>
      <c r="L342" s="21" t="str">
        <f>IF(ISERROR(MATCH($A342,'F Proj'!$B$1:$B$7669,0)),IF(ISERROR(MATCH($A342,'D Proj'!$B$1:$B$513,0)),IF(ISERROR(MATCH($A342,'K Proj'!$B$1:$B$508,0)),"?","K"),"D"),"FLEX")</f>
        <v>FLEX</v>
      </c>
      <c r="M342" s="21">
        <f>MATCH(L342,Pos,0)</f>
        <v>1</v>
      </c>
      <c r="N342" s="21">
        <f>CHOOSE($M342,MATCH($A342&amp;$B342,'F Proj'!$P$1:$P$7669,0),MATCH($A342&amp;$B342,'D Proj'!$X$1:$X$513,0),MATCH($A342&amp;$B342,'K Proj'!$T$1:$T$508,0))</f>
        <v>528</v>
      </c>
      <c r="O342">
        <f>CHOOSE(M342,INDEX('F Proj'!$D$1:$D$7669,N342),INDEX('D Proj'!$T$1:$T$513,N342),INDEX('K Proj'!$L$1:$L$508,N342))</f>
        <v>14.48</v>
      </c>
      <c r="P342">
        <f>CHOOSE(M342,INDEX('F Proj'!$J$1:$J$7669,N342),INDEX('D Proj'!$N$1:$N$513,N342),INDEX('K Proj'!$P$1:$P$508,N342))</f>
        <v>58.064399999999999</v>
      </c>
      <c r="Q342" t="str">
        <f t="shared" si="11"/>
        <v>RB</v>
      </c>
      <c r="R342" t="str">
        <f>IF(L342="FLEX",INDEX('F Proj'!$F$1:$F$7669,N342),Q342)</f>
        <v>RB</v>
      </c>
      <c r="S342" t="str">
        <f>IF((Week+Half_Week-1)&gt;=VALUE(RIGHT(C342,LEN(C342)-SEARCH("-",C342))),LEFT(C342,SEARCH("-",C342)-1),"")</f>
        <v>lucas</v>
      </c>
    </row>
    <row r="343" spans="1:19" x14ac:dyDescent="0.25">
      <c r="A343" t="s">
        <v>1288</v>
      </c>
      <c r="B343">
        <v>2</v>
      </c>
      <c r="C343" t="s">
        <v>1651</v>
      </c>
      <c r="D343" t="s">
        <v>468</v>
      </c>
      <c r="E343">
        <v>10.8</v>
      </c>
      <c r="G343">
        <v>10.8</v>
      </c>
      <c r="H343">
        <v>0</v>
      </c>
      <c r="I343">
        <v>0</v>
      </c>
      <c r="J343" t="s">
        <v>1662</v>
      </c>
      <c r="K343" t="str">
        <f t="shared" si="10"/>
        <v>Saquon Barkley2</v>
      </c>
      <c r="L343" s="21" t="str">
        <f>IF(ISERROR(MATCH($A343,'F Proj'!$B$1:$B$7669,0)),IF(ISERROR(MATCH($A343,'D Proj'!$B$1:$B$513,0)),IF(ISERROR(MATCH($A343,'K Proj'!$B$1:$B$508,0)),"?","K"),"D"),"FLEX")</f>
        <v>FLEX</v>
      </c>
      <c r="M343" s="21">
        <f>MATCH(L343,Pos,0)</f>
        <v>1</v>
      </c>
      <c r="N343" s="21">
        <f>CHOOSE($M343,MATCH($A343&amp;$B343,'F Proj'!$P$1:$P$7669,0),MATCH($A343&amp;$B343,'D Proj'!$X$1:$X$513,0),MATCH($A343&amp;$B343,'K Proj'!$T$1:$T$508,0))</f>
        <v>652</v>
      </c>
      <c r="O343">
        <f>CHOOSE(M343,INDEX('F Proj'!$D$1:$D$7669,N343),INDEX('D Proj'!$T$1:$T$513,N343),INDEX('K Proj'!$L$1:$L$508,N343))</f>
        <v>13.28</v>
      </c>
      <c r="P343">
        <f>CHOOSE(M343,INDEX('F Proj'!$J$1:$J$7669,N343),INDEX('D Proj'!$N$1:$N$513,N343),INDEX('K Proj'!$P$1:$P$508,N343))</f>
        <v>48.441600000000001</v>
      </c>
      <c r="Q343" t="str">
        <f t="shared" si="11"/>
        <v>RB</v>
      </c>
      <c r="R343" t="str">
        <f>IF(L343="FLEX",INDEX('F Proj'!$F$1:$F$7669,N343),Q343)</f>
        <v>RB</v>
      </c>
      <c r="S343" t="str">
        <f>IF((Week+Half_Week-1)&gt;=VALUE(RIGHT(C343,LEN(C343)-SEARCH("-",C343))),LEFT(C343,SEARCH("-",C343)-1),"")</f>
        <v>lucas</v>
      </c>
    </row>
    <row r="344" spans="1:19" x14ac:dyDescent="0.25">
      <c r="A344" t="s">
        <v>1288</v>
      </c>
      <c r="B344">
        <v>3</v>
      </c>
      <c r="C344" t="s">
        <v>1721</v>
      </c>
      <c r="D344" t="s">
        <v>468</v>
      </c>
      <c r="E344">
        <v>17.7</v>
      </c>
      <c r="G344">
        <v>17.7</v>
      </c>
      <c r="H344">
        <v>0</v>
      </c>
      <c r="I344">
        <v>0</v>
      </c>
      <c r="J344" t="s">
        <v>4332</v>
      </c>
      <c r="K344" t="str">
        <f t="shared" si="10"/>
        <v>Saquon Barkley3</v>
      </c>
      <c r="L344" s="21" t="str">
        <f>IF(ISERROR(MATCH($A344,'F Proj'!$B$1:$B$7669,0)),IF(ISERROR(MATCH($A344,'D Proj'!$B$1:$B$513,0)),IF(ISERROR(MATCH($A344,'K Proj'!$B$1:$B$508,0)),"?","K"),"D"),"FLEX")</f>
        <v>FLEX</v>
      </c>
      <c r="M344" s="21">
        <f>MATCH(L344,Pos,0)</f>
        <v>1</v>
      </c>
      <c r="N344" s="21">
        <f>CHOOSE($M344,MATCH($A344&amp;$B344,'F Proj'!$P$1:$P$7669,0),MATCH($A344&amp;$B344,'D Proj'!$X$1:$X$513,0),MATCH($A344&amp;$B344,'K Proj'!$T$1:$T$508,0))</f>
        <v>584</v>
      </c>
      <c r="O344">
        <f>CHOOSE(M344,INDEX('F Proj'!$D$1:$D$7669,N344),INDEX('D Proj'!$T$1:$T$513,N344),INDEX('K Proj'!$L$1:$L$508,N344))</f>
        <v>13.92</v>
      </c>
      <c r="P344">
        <f>CHOOSE(M344,INDEX('F Proj'!$J$1:$J$7669,N344),INDEX('D Proj'!$N$1:$N$513,N344),INDEX('K Proj'!$P$1:$P$508,N344))</f>
        <v>71.740899999999996</v>
      </c>
      <c r="Q344" t="str">
        <f t="shared" si="11"/>
        <v>RB</v>
      </c>
      <c r="R344" t="str">
        <f>IF(L344="FLEX",INDEX('F Proj'!$F$1:$F$7669,N344),Q344)</f>
        <v>RB</v>
      </c>
      <c r="S344" t="str">
        <f>IF((Week+Half_Week-1)&gt;=VALUE(RIGHT(C344,LEN(C344)-SEARCH("-",C344))),LEFT(C344,SEARCH("-",C344)-1),"")</f>
        <v>lucas</v>
      </c>
    </row>
    <row r="345" spans="1:19" x14ac:dyDescent="0.25">
      <c r="A345" t="s">
        <v>1288</v>
      </c>
      <c r="B345">
        <v>4</v>
      </c>
      <c r="C345" t="s">
        <v>1722</v>
      </c>
      <c r="D345" t="s">
        <v>468</v>
      </c>
      <c r="E345">
        <v>16</v>
      </c>
      <c r="G345">
        <v>16</v>
      </c>
      <c r="H345">
        <v>0</v>
      </c>
      <c r="I345">
        <v>0</v>
      </c>
      <c r="J345" t="s">
        <v>4815</v>
      </c>
      <c r="K345" t="str">
        <f t="shared" si="10"/>
        <v>Saquon Barkley4</v>
      </c>
      <c r="L345" s="21" t="str">
        <f>IF(ISERROR(MATCH($A345,'F Proj'!$B$1:$B$7669,0)),IF(ISERROR(MATCH($A345,'D Proj'!$B$1:$B$513,0)),IF(ISERROR(MATCH($A345,'K Proj'!$B$1:$B$508,0)),"?","K"),"D"),"FLEX")</f>
        <v>FLEX</v>
      </c>
      <c r="M345" s="21">
        <f>MATCH(L345,Pos,0)</f>
        <v>1</v>
      </c>
      <c r="N345" s="21">
        <f>CHOOSE($M345,MATCH($A345&amp;$B345,'F Proj'!$P$1:$P$7669,0),MATCH($A345&amp;$B345,'D Proj'!$X$1:$X$513,0),MATCH($A345&amp;$B345,'K Proj'!$T$1:$T$508,0))</f>
        <v>555</v>
      </c>
      <c r="O345">
        <f>CHOOSE(M345,INDEX('F Proj'!$D$1:$D$7669,N345),INDEX('D Proj'!$T$1:$T$513,N345),INDEX('K Proj'!$L$1:$L$508,N345))</f>
        <v>14.22</v>
      </c>
      <c r="P345">
        <f>CHOOSE(M345,INDEX('F Proj'!$J$1:$J$7669,N345),INDEX('D Proj'!$N$1:$N$513,N345),INDEX('K Proj'!$P$1:$P$508,N345))</f>
        <v>73.444900000000004</v>
      </c>
      <c r="Q345" t="str">
        <f t="shared" si="11"/>
        <v>RB</v>
      </c>
      <c r="R345" t="str">
        <f>IF(L345="FLEX",INDEX('F Proj'!$F$1:$F$7669,N345),Q345)</f>
        <v>RB</v>
      </c>
      <c r="S345" t="str">
        <f>IF((Week+Half_Week-1)&gt;=VALUE(RIGHT(C345,LEN(C345)-SEARCH("-",C345))),LEFT(C345,SEARCH("-",C345)-1),"")</f>
        <v>lucas</v>
      </c>
    </row>
    <row r="346" spans="1:19" x14ac:dyDescent="0.25">
      <c r="A346" t="s">
        <v>1288</v>
      </c>
      <c r="B346">
        <v>5</v>
      </c>
      <c r="C346" t="s">
        <v>1723</v>
      </c>
      <c r="D346" t="s">
        <v>468</v>
      </c>
      <c r="E346" t="s">
        <v>8947</v>
      </c>
      <c r="G346">
        <v>13.37</v>
      </c>
      <c r="H346">
        <v>8.27</v>
      </c>
      <c r="I346">
        <v>68.392899999999997</v>
      </c>
      <c r="J346" t="s">
        <v>9016</v>
      </c>
      <c r="K346" t="str">
        <f t="shared" si="10"/>
        <v>Saquon Barkley5</v>
      </c>
      <c r="L346" s="21" t="str">
        <f>IF(ISERROR(MATCH($A346,'F Proj'!$B$1:$B$7669,0)),IF(ISERROR(MATCH($A346,'D Proj'!$B$1:$B$513,0)),IF(ISERROR(MATCH($A346,'K Proj'!$B$1:$B$508,0)),"?","K"),"D"),"FLEX")</f>
        <v>FLEX</v>
      </c>
      <c r="M346" s="21">
        <f>MATCH(L346,Pos,0)</f>
        <v>1</v>
      </c>
      <c r="N346" s="21">
        <f>CHOOSE($M346,MATCH($A346&amp;$B346,'F Proj'!$P$1:$P$7669,0),MATCH($A346&amp;$B346,'D Proj'!$X$1:$X$513,0),MATCH($A346&amp;$B346,'K Proj'!$T$1:$T$508,0))</f>
        <v>643</v>
      </c>
      <c r="O346">
        <f>CHOOSE(M346,INDEX('F Proj'!$D$1:$D$7669,N346),INDEX('D Proj'!$T$1:$T$513,N346),INDEX('K Proj'!$L$1:$L$508,N346))</f>
        <v>13.37</v>
      </c>
      <c r="P346">
        <f>CHOOSE(M346,INDEX('F Proj'!$J$1:$J$7669,N346),INDEX('D Proj'!$N$1:$N$513,N346),INDEX('K Proj'!$P$1:$P$508,N346))</f>
        <v>68.392899999999997</v>
      </c>
      <c r="Q346" t="str">
        <f t="shared" si="11"/>
        <v>RB</v>
      </c>
      <c r="R346" t="str">
        <f>IF(L346="FLEX",INDEX('F Proj'!$F$1:$F$7669,N346),Q346)</f>
        <v>RB</v>
      </c>
      <c r="S346" t="str">
        <f>IF((Week+Half_Week-1)&gt;=VALUE(RIGHT(C346,LEN(C346)-SEARCH("-",C346))),LEFT(C346,SEARCH("-",C346)-1),"")</f>
        <v/>
      </c>
    </row>
    <row r="347" spans="1:19" x14ac:dyDescent="0.25">
      <c r="A347" t="s">
        <v>1352</v>
      </c>
      <c r="B347">
        <v>3</v>
      </c>
      <c r="C347" t="s">
        <v>811</v>
      </c>
      <c r="D347" t="s">
        <v>466</v>
      </c>
      <c r="E347">
        <v>4.9000000000000004</v>
      </c>
      <c r="G347">
        <v>4.9000000000000004</v>
      </c>
      <c r="H347">
        <v>0</v>
      </c>
      <c r="I347">
        <v>0</v>
      </c>
      <c r="J347" t="s">
        <v>4333</v>
      </c>
      <c r="K347" t="str">
        <f t="shared" si="10"/>
        <v>Sony Michel3</v>
      </c>
      <c r="L347" s="21" t="str">
        <f>IF(ISERROR(MATCH($A347,'F Proj'!$B$1:$B$7669,0)),IF(ISERROR(MATCH($A347,'D Proj'!$B$1:$B$513,0)),IF(ISERROR(MATCH($A347,'K Proj'!$B$1:$B$508,0)),"?","K"),"D"),"FLEX")</f>
        <v>FLEX</v>
      </c>
      <c r="M347" s="21">
        <f>MATCH(L347,Pos,0)</f>
        <v>1</v>
      </c>
      <c r="N347" s="21">
        <f>CHOOSE($M347,MATCH($A347&amp;$B347,'F Proj'!$P$1:$P$7669,0),MATCH($A347&amp;$B347,'D Proj'!$X$1:$X$513,0),MATCH($A347&amp;$B347,'K Proj'!$T$1:$T$508,0))</f>
        <v>1723</v>
      </c>
      <c r="O347">
        <f>CHOOSE(M347,INDEX('F Proj'!$D$1:$D$7669,N347),INDEX('D Proj'!$T$1:$T$513,N347),INDEX('K Proj'!$L$1:$L$508,N347))</f>
        <v>7.34</v>
      </c>
      <c r="P347">
        <f>CHOOSE(M347,INDEX('F Proj'!$J$1:$J$7669,N347),INDEX('D Proj'!$N$1:$N$513,N347),INDEX('K Proj'!$P$1:$P$508,N347))</f>
        <v>62.726399999999998</v>
      </c>
      <c r="Q347" t="str">
        <f t="shared" si="11"/>
        <v>WR/RB</v>
      </c>
      <c r="R347" t="str">
        <f>IF(L347="FLEX",INDEX('F Proj'!$F$1:$F$7669,N347),Q347)</f>
        <v>RB</v>
      </c>
      <c r="S347" t="str">
        <f>IF((Week+Half_Week-1)&gt;=VALUE(RIGHT(C347,LEN(C347)-SEARCH("-",C347))),LEFT(C347,SEARCH("-",C347)-1),"")</f>
        <v>devon</v>
      </c>
    </row>
    <row r="348" spans="1:19" x14ac:dyDescent="0.25">
      <c r="A348" t="s">
        <v>1352</v>
      </c>
      <c r="B348">
        <v>4</v>
      </c>
      <c r="C348" t="s">
        <v>863</v>
      </c>
      <c r="D348" t="s">
        <v>469</v>
      </c>
      <c r="E348">
        <v>17.2</v>
      </c>
      <c r="G348">
        <v>17.2</v>
      </c>
      <c r="H348">
        <v>0</v>
      </c>
      <c r="I348">
        <v>0</v>
      </c>
      <c r="J348" t="s">
        <v>4816</v>
      </c>
      <c r="K348" t="str">
        <f t="shared" si="10"/>
        <v>Sony Michel4</v>
      </c>
      <c r="L348" s="21" t="str">
        <f>IF(ISERROR(MATCH($A348,'F Proj'!$B$1:$B$7669,0)),IF(ISERROR(MATCH($A348,'D Proj'!$B$1:$B$513,0)),IF(ISERROR(MATCH($A348,'K Proj'!$B$1:$B$508,0)),"?","K"),"D"),"FLEX")</f>
        <v>FLEX</v>
      </c>
      <c r="M348" s="21">
        <f>MATCH(L348,Pos,0)</f>
        <v>1</v>
      </c>
      <c r="N348" s="21">
        <f>CHOOSE($M348,MATCH($A348&amp;$B348,'F Proj'!$P$1:$P$7669,0),MATCH($A348&amp;$B348,'D Proj'!$X$1:$X$513,0),MATCH($A348&amp;$B348,'K Proj'!$T$1:$T$508,0))</f>
        <v>1853</v>
      </c>
      <c r="O348">
        <f>CHOOSE(M348,INDEX('F Proj'!$D$1:$D$7669,N348),INDEX('D Proj'!$T$1:$T$513,N348),INDEX('K Proj'!$L$1:$L$508,N348))</f>
        <v>6.94</v>
      </c>
      <c r="P348">
        <f>CHOOSE(M348,INDEX('F Proj'!$J$1:$J$7669,N348),INDEX('D Proj'!$N$1:$N$513,N348),INDEX('K Proj'!$P$1:$P$508,N348))</f>
        <v>34.456899999999997</v>
      </c>
      <c r="Q348" t="str">
        <f t="shared" si="11"/>
        <v>RB</v>
      </c>
      <c r="R348" t="str">
        <f>IF(L348="FLEX",INDEX('F Proj'!$F$1:$F$7669,N348),Q348)</f>
        <v>RB</v>
      </c>
      <c r="S348" t="str">
        <f>IF((Week+Half_Week-1)&gt;=VALUE(RIGHT(C348,LEN(C348)-SEARCH("-",C348))),LEFT(C348,SEARCH("-",C348)-1),"")</f>
        <v>devon</v>
      </c>
    </row>
    <row r="349" spans="1:19" x14ac:dyDescent="0.25">
      <c r="A349" t="s">
        <v>1352</v>
      </c>
      <c r="B349">
        <v>5</v>
      </c>
      <c r="C349" t="s">
        <v>885</v>
      </c>
      <c r="D349" t="s">
        <v>469</v>
      </c>
      <c r="E349">
        <v>17</v>
      </c>
      <c r="G349">
        <v>17</v>
      </c>
      <c r="H349">
        <v>0</v>
      </c>
      <c r="I349">
        <v>0</v>
      </c>
      <c r="J349" t="s">
        <v>9017</v>
      </c>
      <c r="K349" t="str">
        <f t="shared" si="10"/>
        <v>Sony Michel5</v>
      </c>
      <c r="L349" s="21" t="str">
        <f>IF(ISERROR(MATCH($A349,'F Proj'!$B$1:$B$7669,0)),IF(ISERROR(MATCH($A349,'D Proj'!$B$1:$B$513,0)),IF(ISERROR(MATCH($A349,'K Proj'!$B$1:$B$508,0)),"?","K"),"D"),"FLEX")</f>
        <v>FLEX</v>
      </c>
      <c r="M349" s="21">
        <f>MATCH(L349,Pos,0)</f>
        <v>1</v>
      </c>
      <c r="N349" s="21">
        <f>CHOOSE($M349,MATCH($A349&amp;$B349,'F Proj'!$P$1:$P$7669,0),MATCH($A349&amp;$B349,'D Proj'!$X$1:$X$513,0),MATCH($A349&amp;$B349,'K Proj'!$T$1:$T$508,0))</f>
        <v>793</v>
      </c>
      <c r="O349">
        <f>CHOOSE(M349,INDEX('F Proj'!$D$1:$D$7669,N349),INDEX('D Proj'!$T$1:$T$513,N349),INDEX('K Proj'!$L$1:$L$508,N349))</f>
        <v>12.22</v>
      </c>
      <c r="P349">
        <f>CHOOSE(M349,INDEX('F Proj'!$J$1:$J$7669,N349),INDEX('D Proj'!$N$1:$N$513,N349),INDEX('K Proj'!$P$1:$P$508,N349))</f>
        <v>57.304900000000004</v>
      </c>
      <c r="Q349" t="str">
        <f t="shared" si="11"/>
        <v>RB</v>
      </c>
      <c r="R349" t="str">
        <f>IF(L349="FLEX",INDEX('F Proj'!$F$1:$F$7669,N349),Q349)</f>
        <v>RB</v>
      </c>
      <c r="S349" t="str">
        <f>IF((Week+Half_Week-1)&gt;=VALUE(RIGHT(C349,LEN(C349)-SEARCH("-",C349))),LEFT(C349,SEARCH("-",C349)-1),"")</f>
        <v/>
      </c>
    </row>
    <row r="350" spans="1:19" x14ac:dyDescent="0.25">
      <c r="A350" t="s">
        <v>133</v>
      </c>
      <c r="B350">
        <v>1</v>
      </c>
      <c r="C350" t="s">
        <v>507</v>
      </c>
      <c r="D350" t="s">
        <v>473</v>
      </c>
      <c r="E350">
        <v>11.1</v>
      </c>
      <c r="G350">
        <v>11.1</v>
      </c>
      <c r="H350">
        <v>0</v>
      </c>
      <c r="I350">
        <v>0</v>
      </c>
      <c r="J350" t="s">
        <v>560</v>
      </c>
      <c r="K350" t="str">
        <f t="shared" si="10"/>
        <v>Stefon Diggs1</v>
      </c>
      <c r="L350" s="21" t="str">
        <f>IF(ISERROR(MATCH($A350,'F Proj'!$B$1:$B$7669,0)),IF(ISERROR(MATCH($A350,'D Proj'!$B$1:$B$513,0)),IF(ISERROR(MATCH($A350,'K Proj'!$B$1:$B$508,0)),"?","K"),"D"),"FLEX")</f>
        <v>FLEX</v>
      </c>
      <c r="M350" s="21">
        <f>MATCH(L350,Pos,0)</f>
        <v>1</v>
      </c>
      <c r="N350" s="21">
        <f>CHOOSE($M350,MATCH($A350&amp;$B350,'F Proj'!$P$1:$P$7669,0),MATCH($A350&amp;$B350,'D Proj'!$X$1:$X$513,0),MATCH($A350&amp;$B350,'K Proj'!$T$1:$T$508,0))</f>
        <v>959</v>
      </c>
      <c r="O350">
        <f>CHOOSE(M350,INDEX('F Proj'!$D$1:$D$7669,N350),INDEX('D Proj'!$T$1:$T$513,N350),INDEX('K Proj'!$L$1:$L$508,N350))</f>
        <v>10.69</v>
      </c>
      <c r="P350">
        <f>CHOOSE(M350,INDEX('F Proj'!$J$1:$J$7669,N350),INDEX('D Proj'!$N$1:$N$513,N350),INDEX('K Proj'!$P$1:$P$508,N350))</f>
        <v>54.169600000000003</v>
      </c>
      <c r="Q350" t="str">
        <f t="shared" si="11"/>
        <v>WR</v>
      </c>
      <c r="R350" t="str">
        <f>IF(L350="FLEX",INDEX('F Proj'!$F$1:$F$7669,N350),Q350)</f>
        <v>WR</v>
      </c>
      <c r="S350" t="str">
        <f>IF((Week+Half_Week-1)&gt;=VALUE(RIGHT(C350,LEN(C350)-SEARCH("-",C350))),LEFT(C350,SEARCH("-",C350)-1),"")</f>
        <v>aj</v>
      </c>
    </row>
    <row r="351" spans="1:19" x14ac:dyDescent="0.25">
      <c r="A351" t="s">
        <v>133</v>
      </c>
      <c r="B351">
        <v>2</v>
      </c>
      <c r="C351" t="s">
        <v>625</v>
      </c>
      <c r="D351" t="s">
        <v>473</v>
      </c>
      <c r="E351">
        <v>26.9</v>
      </c>
      <c r="G351">
        <v>26.9</v>
      </c>
      <c r="H351">
        <v>0</v>
      </c>
      <c r="I351">
        <v>0</v>
      </c>
      <c r="J351" t="s">
        <v>686</v>
      </c>
      <c r="K351" t="str">
        <f t="shared" si="10"/>
        <v>Stefon Diggs2</v>
      </c>
      <c r="L351" s="21" t="str">
        <f>IF(ISERROR(MATCH($A351,'F Proj'!$B$1:$B$7669,0)),IF(ISERROR(MATCH($A351,'D Proj'!$B$1:$B$513,0)),IF(ISERROR(MATCH($A351,'K Proj'!$B$1:$B$508,0)),"?","K"),"D"),"FLEX")</f>
        <v>FLEX</v>
      </c>
      <c r="M351" s="21">
        <f>MATCH(L351,Pos,0)</f>
        <v>1</v>
      </c>
      <c r="N351" s="21">
        <f>CHOOSE($M351,MATCH($A351&amp;$B351,'F Proj'!$P$1:$P$7669,0),MATCH($A351&amp;$B351,'D Proj'!$X$1:$X$513,0),MATCH($A351&amp;$B351,'K Proj'!$T$1:$T$508,0))</f>
        <v>1150</v>
      </c>
      <c r="O351">
        <f>CHOOSE(M351,INDEX('F Proj'!$D$1:$D$7669,N351),INDEX('D Proj'!$T$1:$T$513,N351),INDEX('K Proj'!$L$1:$L$508,N351))</f>
        <v>9.65</v>
      </c>
      <c r="P351">
        <f>CHOOSE(M351,INDEX('F Proj'!$J$1:$J$7669,N351),INDEX('D Proj'!$N$1:$N$513,N351),INDEX('K Proj'!$P$1:$P$508,N351))</f>
        <v>39.816099999999999</v>
      </c>
      <c r="Q351" t="str">
        <f t="shared" si="11"/>
        <v>WR</v>
      </c>
      <c r="R351" t="str">
        <f>IF(L351="FLEX",INDEX('F Proj'!$F$1:$F$7669,N351),Q351)</f>
        <v>WR</v>
      </c>
      <c r="S351" t="str">
        <f>IF((Week+Half_Week-1)&gt;=VALUE(RIGHT(C351,LEN(C351)-SEARCH("-",C351))),LEFT(C351,SEARCH("-",C351)-1),"")</f>
        <v>aj</v>
      </c>
    </row>
    <row r="352" spans="1:19" x14ac:dyDescent="0.25">
      <c r="A352" t="s">
        <v>133</v>
      </c>
      <c r="B352">
        <v>3</v>
      </c>
      <c r="C352" t="s">
        <v>806</v>
      </c>
      <c r="D352" t="s">
        <v>473</v>
      </c>
      <c r="E352">
        <v>1.7</v>
      </c>
      <c r="G352">
        <v>1.7</v>
      </c>
      <c r="H352">
        <v>0</v>
      </c>
      <c r="I352">
        <v>0</v>
      </c>
      <c r="J352" t="s">
        <v>4334</v>
      </c>
      <c r="K352" t="str">
        <f t="shared" si="10"/>
        <v>Stefon Diggs3</v>
      </c>
      <c r="L352" s="21" t="str">
        <f>IF(ISERROR(MATCH($A352,'F Proj'!$B$1:$B$7669,0)),IF(ISERROR(MATCH($A352,'D Proj'!$B$1:$B$513,0)),IF(ISERROR(MATCH($A352,'K Proj'!$B$1:$B$508,0)),"?","K"),"D"),"FLEX")</f>
        <v>FLEX</v>
      </c>
      <c r="M352" s="21">
        <f>MATCH(L352,Pos,0)</f>
        <v>1</v>
      </c>
      <c r="N352" s="21">
        <f>CHOOSE($M352,MATCH($A352&amp;$B352,'F Proj'!$P$1:$P$7669,0),MATCH($A352&amp;$B352,'D Proj'!$X$1:$X$513,0),MATCH($A352&amp;$B352,'K Proj'!$T$1:$T$508,0))</f>
        <v>926</v>
      </c>
      <c r="O352">
        <f>CHOOSE(M352,INDEX('F Proj'!$D$1:$D$7669,N352),INDEX('D Proj'!$T$1:$T$513,N352),INDEX('K Proj'!$L$1:$L$508,N352))</f>
        <v>10.95</v>
      </c>
      <c r="P352">
        <f>CHOOSE(M352,INDEX('F Proj'!$J$1:$J$7669,N352),INDEX('D Proj'!$N$1:$N$513,N352),INDEX('K Proj'!$P$1:$P$508,N352))</f>
        <v>55.3536</v>
      </c>
      <c r="Q352" t="str">
        <f t="shared" si="11"/>
        <v>WR</v>
      </c>
      <c r="R352" t="str">
        <f>IF(L352="FLEX",INDEX('F Proj'!$F$1:$F$7669,N352),Q352)</f>
        <v>WR</v>
      </c>
      <c r="S352" t="str">
        <f>IF((Week+Half_Week-1)&gt;=VALUE(RIGHT(C352,LEN(C352)-SEARCH("-",C352))),LEFT(C352,SEARCH("-",C352)-1),"")</f>
        <v>aj</v>
      </c>
    </row>
    <row r="353" spans="1:19" x14ac:dyDescent="0.25">
      <c r="A353" t="s">
        <v>133</v>
      </c>
      <c r="B353">
        <v>4</v>
      </c>
      <c r="C353" t="s">
        <v>866</v>
      </c>
      <c r="D353" t="s">
        <v>473</v>
      </c>
      <c r="E353">
        <v>12.3</v>
      </c>
      <c r="G353">
        <v>12.3</v>
      </c>
      <c r="H353">
        <v>0</v>
      </c>
      <c r="I353">
        <v>0</v>
      </c>
      <c r="J353" t="s">
        <v>4817</v>
      </c>
      <c r="K353" t="str">
        <f t="shared" si="10"/>
        <v>Stefon Diggs4</v>
      </c>
      <c r="L353" s="21" t="str">
        <f>IF(ISERROR(MATCH($A353,'F Proj'!$B$1:$B$7669,0)),IF(ISERROR(MATCH($A353,'D Proj'!$B$1:$B$513,0)),IF(ISERROR(MATCH($A353,'K Proj'!$B$1:$B$508,0)),"?","K"),"D"),"FLEX")</f>
        <v>FLEX</v>
      </c>
      <c r="M353" s="21">
        <f>MATCH(L353,Pos,0)</f>
        <v>1</v>
      </c>
      <c r="N353" s="21">
        <f>CHOOSE($M353,MATCH($A353&amp;$B353,'F Proj'!$P$1:$P$7669,0),MATCH($A353&amp;$B353,'D Proj'!$X$1:$X$513,0),MATCH($A353&amp;$B353,'K Proj'!$T$1:$T$508,0))</f>
        <v>942</v>
      </c>
      <c r="O353">
        <f>CHOOSE(M353,INDEX('F Proj'!$D$1:$D$7669,N353),INDEX('D Proj'!$T$1:$T$513,N353),INDEX('K Proj'!$L$1:$L$508,N353))</f>
        <v>10.86</v>
      </c>
      <c r="P353">
        <f>CHOOSE(M353,INDEX('F Proj'!$J$1:$J$7669,N353),INDEX('D Proj'!$N$1:$N$513,N353),INDEX('K Proj'!$P$1:$P$508,N353))</f>
        <v>42.640900000000002</v>
      </c>
      <c r="Q353" t="str">
        <f t="shared" si="11"/>
        <v>WR</v>
      </c>
      <c r="R353" t="str">
        <f>IF(L353="FLEX",INDEX('F Proj'!$F$1:$F$7669,N353),Q353)</f>
        <v>WR</v>
      </c>
      <c r="S353" t="str">
        <f>IF((Week+Half_Week-1)&gt;=VALUE(RIGHT(C353,LEN(C353)-SEARCH("-",C353))),LEFT(C353,SEARCH("-",C353)-1),"")</f>
        <v>aj</v>
      </c>
    </row>
    <row r="354" spans="1:19" x14ac:dyDescent="0.25">
      <c r="A354" t="s">
        <v>133</v>
      </c>
      <c r="B354">
        <v>5</v>
      </c>
      <c r="C354" t="s">
        <v>888</v>
      </c>
      <c r="D354" t="s">
        <v>472</v>
      </c>
      <c r="E354" t="s">
        <v>8947</v>
      </c>
      <c r="G354">
        <v>10.38</v>
      </c>
      <c r="H354">
        <v>7.12</v>
      </c>
      <c r="I354">
        <v>50.694400000000002</v>
      </c>
      <c r="J354" t="s">
        <v>9018</v>
      </c>
      <c r="K354" t="str">
        <f t="shared" si="10"/>
        <v>Stefon Diggs5</v>
      </c>
      <c r="L354" s="21" t="str">
        <f>IF(ISERROR(MATCH($A354,'F Proj'!$B$1:$B$7669,0)),IF(ISERROR(MATCH($A354,'D Proj'!$B$1:$B$513,0)),IF(ISERROR(MATCH($A354,'K Proj'!$B$1:$B$508,0)),"?","K"),"D"),"FLEX")</f>
        <v>FLEX</v>
      </c>
      <c r="M354" s="21">
        <f>MATCH(L354,Pos,0)</f>
        <v>1</v>
      </c>
      <c r="N354" s="21">
        <f>CHOOSE($M354,MATCH($A354&amp;$B354,'F Proj'!$P$1:$P$7669,0),MATCH($A354&amp;$B354,'D Proj'!$X$1:$X$513,0),MATCH($A354&amp;$B354,'K Proj'!$T$1:$T$508,0))</f>
        <v>1007</v>
      </c>
      <c r="O354">
        <f>CHOOSE(M354,INDEX('F Proj'!$D$1:$D$7669,N354),INDEX('D Proj'!$T$1:$T$513,N354),INDEX('K Proj'!$L$1:$L$508,N354))</f>
        <v>10.38</v>
      </c>
      <c r="P354">
        <f>CHOOSE(M354,INDEX('F Proj'!$J$1:$J$7669,N354),INDEX('D Proj'!$N$1:$N$513,N354),INDEX('K Proj'!$P$1:$P$508,N354))</f>
        <v>50.694400000000002</v>
      </c>
      <c r="Q354" t="str">
        <f t="shared" si="11"/>
        <v>WR</v>
      </c>
      <c r="R354" t="str">
        <f>IF(L354="FLEX",INDEX('F Proj'!$F$1:$F$7669,N354),Q354)</f>
        <v>WR</v>
      </c>
      <c r="S354" t="str">
        <f>IF((Week+Half_Week-1)&gt;=VALUE(RIGHT(C354,LEN(C354)-SEARCH("-",C354))),LEFT(C354,SEARCH("-",C354)-1),"")</f>
        <v/>
      </c>
    </row>
    <row r="355" spans="1:19" x14ac:dyDescent="0.25">
      <c r="A355" t="s">
        <v>245</v>
      </c>
      <c r="B355">
        <v>2</v>
      </c>
      <c r="C355" t="s">
        <v>633</v>
      </c>
      <c r="D355" t="s">
        <v>466</v>
      </c>
      <c r="E355">
        <v>7.1</v>
      </c>
      <c r="G355">
        <v>7.1</v>
      </c>
      <c r="H355">
        <v>0</v>
      </c>
      <c r="I355">
        <v>0</v>
      </c>
      <c r="J355" t="s">
        <v>673</v>
      </c>
      <c r="K355" t="str">
        <f t="shared" si="10"/>
        <v>T.J. Yeldon2</v>
      </c>
      <c r="L355" s="21" t="str">
        <f>IF(ISERROR(MATCH($A355,'F Proj'!$B$1:$B$7669,0)),IF(ISERROR(MATCH($A355,'D Proj'!$B$1:$B$513,0)),IF(ISERROR(MATCH($A355,'K Proj'!$B$1:$B$508,0)),"?","K"),"D"),"FLEX")</f>
        <v>FLEX</v>
      </c>
      <c r="M355" s="21">
        <f>MATCH(L355,Pos,0)</f>
        <v>1</v>
      </c>
      <c r="N355" s="21">
        <f>CHOOSE($M355,MATCH($A355&amp;$B355,'F Proj'!$P$1:$P$7669,0),MATCH($A355&amp;$B355,'D Proj'!$X$1:$X$513,0),MATCH($A355&amp;$B355,'K Proj'!$T$1:$T$508,0))</f>
        <v>828</v>
      </c>
      <c r="O355">
        <f>CHOOSE(M355,INDEX('F Proj'!$D$1:$D$7669,N355),INDEX('D Proj'!$T$1:$T$513,N355),INDEX('K Proj'!$L$1:$L$508,N355))</f>
        <v>11.89</v>
      </c>
      <c r="P355">
        <f>CHOOSE(M355,INDEX('F Proj'!$J$1:$J$7669,N355),INDEX('D Proj'!$N$1:$N$513,N355),INDEX('K Proj'!$P$1:$P$508,N355))</f>
        <v>116.64</v>
      </c>
      <c r="Q355" t="str">
        <f t="shared" si="11"/>
        <v>WR/RB</v>
      </c>
      <c r="R355" t="str">
        <f>IF(L355="FLEX",INDEX('F Proj'!$F$1:$F$7669,N355),Q355)</f>
        <v>RB</v>
      </c>
      <c r="S355" t="str">
        <f>IF((Week+Half_Week-1)&gt;=VALUE(RIGHT(C355,LEN(C355)-SEARCH("-",C355))),LEFT(C355,SEARCH("-",C355)-1),"")</f>
        <v>devon</v>
      </c>
    </row>
    <row r="356" spans="1:19" x14ac:dyDescent="0.25">
      <c r="A356" t="s">
        <v>245</v>
      </c>
      <c r="B356">
        <v>5</v>
      </c>
      <c r="C356" t="s">
        <v>882</v>
      </c>
      <c r="D356" t="s">
        <v>469</v>
      </c>
      <c r="E356" t="s">
        <v>8947</v>
      </c>
      <c r="G356">
        <v>12.09</v>
      </c>
      <c r="H356">
        <v>8.02</v>
      </c>
      <c r="I356">
        <v>64.320400000000006</v>
      </c>
      <c r="J356" t="s">
        <v>9019</v>
      </c>
      <c r="K356" t="str">
        <f t="shared" si="10"/>
        <v>T.J. Yeldon5</v>
      </c>
      <c r="L356" s="21" t="str">
        <f>IF(ISERROR(MATCH($A356,'F Proj'!$B$1:$B$7669,0)),IF(ISERROR(MATCH($A356,'D Proj'!$B$1:$B$513,0)),IF(ISERROR(MATCH($A356,'K Proj'!$B$1:$B$508,0)),"?","K"),"D"),"FLEX")</f>
        <v>FLEX</v>
      </c>
      <c r="M356" s="21">
        <f>MATCH(L356,Pos,0)</f>
        <v>1</v>
      </c>
      <c r="N356" s="21">
        <f>CHOOSE($M356,MATCH($A356&amp;$B356,'F Proj'!$P$1:$P$7669,0),MATCH($A356&amp;$B356,'D Proj'!$X$1:$X$513,0),MATCH($A356&amp;$B356,'K Proj'!$T$1:$T$508,0))</f>
        <v>808</v>
      </c>
      <c r="O356">
        <f>CHOOSE(M356,INDEX('F Proj'!$D$1:$D$7669,N356),INDEX('D Proj'!$T$1:$T$513,N356),INDEX('K Proj'!$L$1:$L$508,N356))</f>
        <v>12.09</v>
      </c>
      <c r="P356">
        <f>CHOOSE(M356,INDEX('F Proj'!$J$1:$J$7669,N356),INDEX('D Proj'!$N$1:$N$513,N356),INDEX('K Proj'!$P$1:$P$508,N356))</f>
        <v>64.320400000000006</v>
      </c>
      <c r="Q356" t="str">
        <f t="shared" si="11"/>
        <v>RB</v>
      </c>
      <c r="R356" t="str">
        <f>IF(L356="FLEX",INDEX('F Proj'!$F$1:$F$7669,N356),Q356)</f>
        <v>RB</v>
      </c>
      <c r="S356" t="str">
        <f>IF((Week+Half_Week-1)&gt;=VALUE(RIGHT(C356,LEN(C356)-SEARCH("-",C356))),LEFT(C356,SEARCH("-",C356)-1),"")</f>
        <v/>
      </c>
    </row>
    <row r="357" spans="1:19" x14ac:dyDescent="0.25">
      <c r="A357" t="s">
        <v>107</v>
      </c>
      <c r="B357">
        <v>1</v>
      </c>
      <c r="C357" t="s">
        <v>506</v>
      </c>
      <c r="D357" t="s">
        <v>472</v>
      </c>
      <c r="E357">
        <v>10.6</v>
      </c>
      <c r="G357">
        <v>10.6</v>
      </c>
      <c r="H357">
        <v>0</v>
      </c>
      <c r="I357">
        <v>0</v>
      </c>
      <c r="J357" t="s">
        <v>570</v>
      </c>
      <c r="K357" t="str">
        <f t="shared" si="10"/>
        <v>T.Y. Hilton1</v>
      </c>
      <c r="L357" s="21" t="str">
        <f>IF(ISERROR(MATCH($A357,'F Proj'!$B$1:$B$7669,0)),IF(ISERROR(MATCH($A357,'D Proj'!$B$1:$B$513,0)),IF(ISERROR(MATCH($A357,'K Proj'!$B$1:$B$508,0)),"?","K"),"D"),"FLEX")</f>
        <v>FLEX</v>
      </c>
      <c r="M357" s="21">
        <f>MATCH(L357,Pos,0)</f>
        <v>1</v>
      </c>
      <c r="N357" s="21">
        <f>CHOOSE($M357,MATCH($A357&amp;$B357,'F Proj'!$P$1:$P$7669,0),MATCH($A357&amp;$B357,'D Proj'!$X$1:$X$513,0),MATCH($A357&amp;$B357,'K Proj'!$T$1:$T$508,0))</f>
        <v>1132</v>
      </c>
      <c r="O357">
        <f>CHOOSE(M357,INDEX('F Proj'!$D$1:$D$7669,N357),INDEX('D Proj'!$T$1:$T$513,N357),INDEX('K Proj'!$L$1:$L$508,N357))</f>
        <v>9.75</v>
      </c>
      <c r="P357">
        <f>CHOOSE(M357,INDEX('F Proj'!$J$1:$J$7669,N357),INDEX('D Proj'!$N$1:$N$513,N357),INDEX('K Proj'!$P$1:$P$508,N357))</f>
        <v>31.472100000000001</v>
      </c>
      <c r="Q357" t="str">
        <f t="shared" si="11"/>
        <v>WR</v>
      </c>
      <c r="R357" t="str">
        <f>IF(L357="FLEX",INDEX('F Proj'!$F$1:$F$7669,N357),Q357)</f>
        <v>WR</v>
      </c>
      <c r="S357" t="str">
        <f>IF((Week+Half_Week-1)&gt;=VALUE(RIGHT(C357,LEN(C357)-SEARCH("-",C357))),LEFT(C357,SEARCH("-",C357)-1),"")</f>
        <v>comp</v>
      </c>
    </row>
    <row r="358" spans="1:19" x14ac:dyDescent="0.25">
      <c r="A358" t="s">
        <v>107</v>
      </c>
      <c r="B358">
        <v>2</v>
      </c>
      <c r="C358" t="s">
        <v>623</v>
      </c>
      <c r="D358" t="s">
        <v>472</v>
      </c>
      <c r="E358">
        <v>14.3</v>
      </c>
      <c r="G358">
        <v>14.3</v>
      </c>
      <c r="H358">
        <v>0</v>
      </c>
      <c r="I358">
        <v>0</v>
      </c>
      <c r="J358" t="s">
        <v>624</v>
      </c>
      <c r="K358" t="str">
        <f t="shared" si="10"/>
        <v>T.Y. Hilton2</v>
      </c>
      <c r="L358" s="21" t="str">
        <f>IF(ISERROR(MATCH($A358,'F Proj'!$B$1:$B$7669,0)),IF(ISERROR(MATCH($A358,'D Proj'!$B$1:$B$513,0)),IF(ISERROR(MATCH($A358,'K Proj'!$B$1:$B$508,0)),"?","K"),"D"),"FLEX")</f>
        <v>FLEX</v>
      </c>
      <c r="M358" s="21">
        <f>MATCH(L358,Pos,0)</f>
        <v>1</v>
      </c>
      <c r="N358" s="21">
        <f>CHOOSE($M358,MATCH($A358&amp;$B358,'F Proj'!$P$1:$P$7669,0),MATCH($A358&amp;$B358,'D Proj'!$X$1:$X$513,0),MATCH($A358&amp;$B358,'K Proj'!$T$1:$T$508,0))</f>
        <v>1124</v>
      </c>
      <c r="O358">
        <f>CHOOSE(M358,INDEX('F Proj'!$D$1:$D$7669,N358),INDEX('D Proj'!$T$1:$T$513,N358),INDEX('K Proj'!$L$1:$L$508,N358))</f>
        <v>9.7799999999999994</v>
      </c>
      <c r="P358">
        <f>CHOOSE(M358,INDEX('F Proj'!$J$1:$J$7669,N358),INDEX('D Proj'!$N$1:$N$513,N358),INDEX('K Proj'!$P$1:$P$508,N358))</f>
        <v>36.360900000000001</v>
      </c>
      <c r="Q358" t="str">
        <f t="shared" si="11"/>
        <v>WR</v>
      </c>
      <c r="R358" t="str">
        <f>IF(L358="FLEX",INDEX('F Proj'!$F$1:$F$7669,N358),Q358)</f>
        <v>WR</v>
      </c>
      <c r="S358" t="str">
        <f>IF((Week+Half_Week-1)&gt;=VALUE(RIGHT(C358,LEN(C358)-SEARCH("-",C358))),LEFT(C358,SEARCH("-",C358)-1),"")</f>
        <v>comp</v>
      </c>
    </row>
    <row r="359" spans="1:19" x14ac:dyDescent="0.25">
      <c r="A359" t="s">
        <v>107</v>
      </c>
      <c r="B359">
        <v>3</v>
      </c>
      <c r="C359" t="s">
        <v>805</v>
      </c>
      <c r="D359" t="s">
        <v>472</v>
      </c>
      <c r="E359">
        <v>5</v>
      </c>
      <c r="G359">
        <v>5</v>
      </c>
      <c r="H359">
        <v>0</v>
      </c>
      <c r="I359">
        <v>0</v>
      </c>
      <c r="J359" t="s">
        <v>4335</v>
      </c>
      <c r="K359" t="str">
        <f t="shared" si="10"/>
        <v>T.Y. Hilton3</v>
      </c>
      <c r="L359" s="21" t="str">
        <f>IF(ISERROR(MATCH($A359,'F Proj'!$B$1:$B$7669,0)),IF(ISERROR(MATCH($A359,'D Proj'!$B$1:$B$513,0)),IF(ISERROR(MATCH($A359,'K Proj'!$B$1:$B$508,0)),"?","K"),"D"),"FLEX")</f>
        <v>FLEX</v>
      </c>
      <c r="M359" s="21">
        <f>MATCH(L359,Pos,0)</f>
        <v>1</v>
      </c>
      <c r="N359" s="21">
        <f>CHOOSE($M359,MATCH($A359&amp;$B359,'F Proj'!$P$1:$P$7669,0),MATCH($A359&amp;$B359,'D Proj'!$X$1:$X$513,0),MATCH($A359&amp;$B359,'K Proj'!$T$1:$T$508,0))</f>
        <v>1080</v>
      </c>
      <c r="O359">
        <f>CHOOSE(M359,INDEX('F Proj'!$D$1:$D$7669,N359),INDEX('D Proj'!$T$1:$T$513,N359),INDEX('K Proj'!$L$1:$L$508,N359))</f>
        <v>9.9700000000000006</v>
      </c>
      <c r="P359">
        <f>CHOOSE(M359,INDEX('F Proj'!$J$1:$J$7669,N359),INDEX('D Proj'!$N$1:$N$513,N359),INDEX('K Proj'!$P$1:$P$508,N359))</f>
        <v>58.675600000000003</v>
      </c>
      <c r="Q359" t="str">
        <f t="shared" si="11"/>
        <v>WR</v>
      </c>
      <c r="R359" t="str">
        <f>IF(L359="FLEX",INDEX('F Proj'!$F$1:$F$7669,N359),Q359)</f>
        <v>WR</v>
      </c>
      <c r="S359" t="str">
        <f>IF((Week+Half_Week-1)&gt;=VALUE(RIGHT(C359,LEN(C359)-SEARCH("-",C359))),LEFT(C359,SEARCH("-",C359)-1),"")</f>
        <v>comp</v>
      </c>
    </row>
    <row r="360" spans="1:19" x14ac:dyDescent="0.25">
      <c r="A360" t="s">
        <v>107</v>
      </c>
      <c r="B360">
        <v>4</v>
      </c>
      <c r="C360" t="s">
        <v>860</v>
      </c>
      <c r="D360" t="s">
        <v>472</v>
      </c>
      <c r="E360">
        <v>11.5</v>
      </c>
      <c r="G360">
        <v>11.5</v>
      </c>
      <c r="H360">
        <v>0</v>
      </c>
      <c r="I360">
        <v>0</v>
      </c>
      <c r="J360" t="s">
        <v>4818</v>
      </c>
      <c r="K360" t="str">
        <f t="shared" si="10"/>
        <v>T.Y. Hilton4</v>
      </c>
      <c r="L360" s="21" t="str">
        <f>IF(ISERROR(MATCH($A360,'F Proj'!$B$1:$B$7669,0)),IF(ISERROR(MATCH($A360,'D Proj'!$B$1:$B$513,0)),IF(ISERROR(MATCH($A360,'K Proj'!$B$1:$B$508,0)),"?","K"),"D"),"FLEX")</f>
        <v>FLEX</v>
      </c>
      <c r="M360" s="21">
        <f>MATCH(L360,Pos,0)</f>
        <v>1</v>
      </c>
      <c r="N360" s="21">
        <f>CHOOSE($M360,MATCH($A360&amp;$B360,'F Proj'!$P$1:$P$7669,0),MATCH($A360&amp;$B360,'D Proj'!$X$1:$X$513,0),MATCH($A360&amp;$B360,'K Proj'!$T$1:$T$508,0))</f>
        <v>848</v>
      </c>
      <c r="O360">
        <f>CHOOSE(M360,INDEX('F Proj'!$D$1:$D$7669,N360),INDEX('D Proj'!$T$1:$T$513,N360),INDEX('K Proj'!$L$1:$L$508,N360))</f>
        <v>11.74</v>
      </c>
      <c r="P360">
        <f>CHOOSE(M360,INDEX('F Proj'!$J$1:$J$7669,N360),INDEX('D Proj'!$N$1:$N$513,N360),INDEX('K Proj'!$P$1:$P$508,N360))</f>
        <v>54.464399999999998</v>
      </c>
      <c r="Q360" t="str">
        <f t="shared" si="11"/>
        <v>WR</v>
      </c>
      <c r="R360" t="str">
        <f>IF(L360="FLEX",INDEX('F Proj'!$F$1:$F$7669,N360),Q360)</f>
        <v>WR</v>
      </c>
      <c r="S360" t="str">
        <f>IF((Week+Half_Week-1)&gt;=VALUE(RIGHT(C360,LEN(C360)-SEARCH("-",C360))),LEFT(C360,SEARCH("-",C360)-1),"")</f>
        <v>comp</v>
      </c>
    </row>
    <row r="361" spans="1:19" x14ac:dyDescent="0.25">
      <c r="A361" t="s">
        <v>168</v>
      </c>
      <c r="B361">
        <v>3</v>
      </c>
      <c r="C361" t="s">
        <v>810</v>
      </c>
      <c r="D361" t="s">
        <v>473</v>
      </c>
      <c r="E361">
        <v>9.1999999999999993</v>
      </c>
      <c r="G361">
        <v>9.1999999999999993</v>
      </c>
      <c r="H361">
        <v>0</v>
      </c>
      <c r="I361">
        <v>0</v>
      </c>
      <c r="J361" t="s">
        <v>4336</v>
      </c>
      <c r="K361" t="str">
        <f t="shared" si="10"/>
        <v>Ted Ginn Jr.3</v>
      </c>
      <c r="L361" s="21" t="str">
        <f>IF(ISERROR(MATCH($A361,'F Proj'!$B$1:$B$7669,0)),IF(ISERROR(MATCH($A361,'D Proj'!$B$1:$B$513,0)),IF(ISERROR(MATCH($A361,'K Proj'!$B$1:$B$508,0)),"?","K"),"D"),"FLEX")</f>
        <v>FLEX</v>
      </c>
      <c r="M361" s="21">
        <f>MATCH(L361,Pos,0)</f>
        <v>1</v>
      </c>
      <c r="N361" s="21">
        <f>CHOOSE($M361,MATCH($A361&amp;$B361,'F Proj'!$P$1:$P$7669,0),MATCH($A361&amp;$B361,'D Proj'!$X$1:$X$513,0),MATCH($A361&amp;$B361,'K Proj'!$T$1:$T$508,0))</f>
        <v>2178</v>
      </c>
      <c r="O361">
        <f>CHOOSE(M361,INDEX('F Proj'!$D$1:$D$7669,N361),INDEX('D Proj'!$T$1:$T$513,N361),INDEX('K Proj'!$L$1:$L$508,N361))</f>
        <v>6</v>
      </c>
      <c r="P361">
        <f>CHOOSE(M361,INDEX('F Proj'!$J$1:$J$7669,N361),INDEX('D Proj'!$N$1:$N$513,N361),INDEX('K Proj'!$P$1:$P$508,N361))</f>
        <v>26.728899999999999</v>
      </c>
      <c r="Q361" t="str">
        <f t="shared" si="11"/>
        <v>WR</v>
      </c>
      <c r="R361" t="str">
        <f>IF(L361="FLEX",INDEX('F Proj'!$F$1:$F$7669,N361),Q361)</f>
        <v>WR</v>
      </c>
      <c r="S361" t="str">
        <f>IF((Week+Half_Week-1)&gt;=VALUE(RIGHT(C361,LEN(C361)-SEARCH("-",C361))),LEFT(C361,SEARCH("-",C361)-1),"")</f>
        <v>chad</v>
      </c>
    </row>
    <row r="362" spans="1:19" x14ac:dyDescent="0.25">
      <c r="A362" t="s">
        <v>145</v>
      </c>
      <c r="B362">
        <v>1</v>
      </c>
      <c r="C362" t="s">
        <v>1649</v>
      </c>
      <c r="D362" t="s">
        <v>466</v>
      </c>
      <c r="E362">
        <v>10.5</v>
      </c>
      <c r="G362">
        <v>10.5</v>
      </c>
      <c r="H362">
        <v>0</v>
      </c>
      <c r="I362">
        <v>0</v>
      </c>
      <c r="J362" t="s">
        <v>1663</v>
      </c>
      <c r="K362" t="str">
        <f t="shared" si="10"/>
        <v>Tevin Coleman1</v>
      </c>
      <c r="L362" s="21" t="str">
        <f>IF(ISERROR(MATCH($A362,'F Proj'!$B$1:$B$7669,0)),IF(ISERROR(MATCH($A362,'D Proj'!$B$1:$B$513,0)),IF(ISERROR(MATCH($A362,'K Proj'!$B$1:$B$508,0)),"?","K"),"D"),"FLEX")</f>
        <v>FLEX</v>
      </c>
      <c r="M362" s="21">
        <f>MATCH(L362,Pos,0)</f>
        <v>1</v>
      </c>
      <c r="N362" s="21">
        <f>CHOOSE($M362,MATCH($A362&amp;$B362,'F Proj'!$P$1:$P$7669,0),MATCH($A362&amp;$B362,'D Proj'!$X$1:$X$513,0),MATCH($A362&amp;$B362,'K Proj'!$T$1:$T$508,0))</f>
        <v>2144</v>
      </c>
      <c r="O362">
        <f>CHOOSE(M362,INDEX('F Proj'!$D$1:$D$7669,N362),INDEX('D Proj'!$T$1:$T$513,N362),INDEX('K Proj'!$L$1:$L$508,N362))</f>
        <v>6.1</v>
      </c>
      <c r="P362">
        <f>CHOOSE(M362,INDEX('F Proj'!$J$1:$J$7669,N362),INDEX('D Proj'!$N$1:$N$513,N362),INDEX('K Proj'!$P$1:$P$508,N362))</f>
        <v>18.662400000000002</v>
      </c>
      <c r="Q362" t="str">
        <f t="shared" si="11"/>
        <v>WR/RB</v>
      </c>
      <c r="R362" t="str">
        <f>IF(L362="FLEX",INDEX('F Proj'!$F$1:$F$7669,N362),Q362)</f>
        <v>RB</v>
      </c>
      <c r="S362" t="str">
        <f>IF((Week+Half_Week-1)&gt;=VALUE(RIGHT(C362,LEN(C362)-SEARCH("-",C362))),LEFT(C362,SEARCH("-",C362)-1),"")</f>
        <v>lucas</v>
      </c>
    </row>
    <row r="363" spans="1:19" x14ac:dyDescent="0.25">
      <c r="A363" t="s">
        <v>145</v>
      </c>
      <c r="B363">
        <v>2</v>
      </c>
      <c r="C363" t="s">
        <v>1651</v>
      </c>
      <c r="D363" t="s">
        <v>466</v>
      </c>
      <c r="E363">
        <v>12.5</v>
      </c>
      <c r="G363">
        <v>12.5</v>
      </c>
      <c r="H363">
        <v>0</v>
      </c>
      <c r="I363">
        <v>0</v>
      </c>
      <c r="J363" t="s">
        <v>1664</v>
      </c>
      <c r="K363" t="str">
        <f t="shared" si="10"/>
        <v>Tevin Coleman2</v>
      </c>
      <c r="L363" s="21" t="str">
        <f>IF(ISERROR(MATCH($A363,'F Proj'!$B$1:$B$7669,0)),IF(ISERROR(MATCH($A363,'D Proj'!$B$1:$B$513,0)),IF(ISERROR(MATCH($A363,'K Proj'!$B$1:$B$508,0)),"?","K"),"D"),"FLEX")</f>
        <v>FLEX</v>
      </c>
      <c r="M363" s="21">
        <f>MATCH(L363,Pos,0)</f>
        <v>1</v>
      </c>
      <c r="N363" s="21">
        <f>CHOOSE($M363,MATCH($A363&amp;$B363,'F Proj'!$P$1:$P$7669,0),MATCH($A363&amp;$B363,'D Proj'!$X$1:$X$513,0),MATCH($A363&amp;$B363,'K Proj'!$T$1:$T$508,0))</f>
        <v>718</v>
      </c>
      <c r="O363">
        <f>CHOOSE(M363,INDEX('F Proj'!$D$1:$D$7669,N363),INDEX('D Proj'!$T$1:$T$513,N363),INDEX('K Proj'!$L$1:$L$508,N363))</f>
        <v>12.82</v>
      </c>
      <c r="P363">
        <f>CHOOSE(M363,INDEX('F Proj'!$J$1:$J$7669,N363),INDEX('D Proj'!$N$1:$N$513,N363),INDEX('K Proj'!$P$1:$P$508,N363))</f>
        <v>67.4041</v>
      </c>
      <c r="Q363" t="str">
        <f t="shared" si="11"/>
        <v>WR/RB</v>
      </c>
      <c r="R363" t="str">
        <f>IF(L363="FLEX",INDEX('F Proj'!$F$1:$F$7669,N363),Q363)</f>
        <v>RB</v>
      </c>
      <c r="S363" t="str">
        <f>IF((Week+Half_Week-1)&gt;=VALUE(RIGHT(C363,LEN(C363)-SEARCH("-",C363))),LEFT(C363,SEARCH("-",C363)-1),"")</f>
        <v>lucas</v>
      </c>
    </row>
    <row r="364" spans="1:19" x14ac:dyDescent="0.25">
      <c r="A364" t="s">
        <v>145</v>
      </c>
      <c r="B364">
        <v>3</v>
      </c>
      <c r="C364" t="s">
        <v>1721</v>
      </c>
      <c r="D364" t="s">
        <v>466</v>
      </c>
      <c r="E364">
        <v>10.7</v>
      </c>
      <c r="G364">
        <v>10.7</v>
      </c>
      <c r="H364">
        <v>0</v>
      </c>
      <c r="I364">
        <v>0</v>
      </c>
      <c r="J364" t="s">
        <v>4337</v>
      </c>
      <c r="K364" t="str">
        <f t="shared" si="10"/>
        <v>Tevin Coleman3</v>
      </c>
      <c r="L364" s="21" t="str">
        <f>IF(ISERROR(MATCH($A364,'F Proj'!$B$1:$B$7669,0)),IF(ISERROR(MATCH($A364,'D Proj'!$B$1:$B$513,0)),IF(ISERROR(MATCH($A364,'K Proj'!$B$1:$B$508,0)),"?","K"),"D"),"FLEX")</f>
        <v>FLEX</v>
      </c>
      <c r="M364" s="21">
        <f>MATCH(L364,Pos,0)</f>
        <v>1</v>
      </c>
      <c r="N364" s="21">
        <f>CHOOSE($M364,MATCH($A364&amp;$B364,'F Proj'!$P$1:$P$7669,0),MATCH($A364&amp;$B364,'D Proj'!$X$1:$X$513,0),MATCH($A364&amp;$B364,'K Proj'!$T$1:$T$508,0))</f>
        <v>663</v>
      </c>
      <c r="O364">
        <f>CHOOSE(M364,INDEX('F Proj'!$D$1:$D$7669,N364),INDEX('D Proj'!$T$1:$T$513,N364),INDEX('K Proj'!$L$1:$L$508,N364))</f>
        <v>13.19</v>
      </c>
      <c r="P364">
        <f>CHOOSE(M364,INDEX('F Proj'!$J$1:$J$7669,N364),INDEX('D Proj'!$N$1:$N$513,N364),INDEX('K Proj'!$P$1:$P$508,N364))</f>
        <v>73.616399999999999</v>
      </c>
      <c r="Q364" t="str">
        <f t="shared" si="11"/>
        <v>WR/RB</v>
      </c>
      <c r="R364" t="str">
        <f>IF(L364="FLEX",INDEX('F Proj'!$F$1:$F$7669,N364),Q364)</f>
        <v>RB</v>
      </c>
      <c r="S364" t="str">
        <f>IF((Week+Half_Week-1)&gt;=VALUE(RIGHT(C364,LEN(C364)-SEARCH("-",C364))),LEFT(C364,SEARCH("-",C364)-1),"")</f>
        <v>lucas</v>
      </c>
    </row>
    <row r="365" spans="1:19" x14ac:dyDescent="0.25">
      <c r="A365" t="s">
        <v>145</v>
      </c>
      <c r="B365">
        <v>4</v>
      </c>
      <c r="C365" t="s">
        <v>1722</v>
      </c>
      <c r="D365" t="s">
        <v>466</v>
      </c>
      <c r="E365">
        <v>7.7</v>
      </c>
      <c r="G365">
        <v>7.7</v>
      </c>
      <c r="H365">
        <v>0</v>
      </c>
      <c r="I365">
        <v>0</v>
      </c>
      <c r="J365" t="s">
        <v>4820</v>
      </c>
      <c r="K365" t="str">
        <f t="shared" si="10"/>
        <v>Tevin Coleman4</v>
      </c>
      <c r="L365" s="21" t="str">
        <f>IF(ISERROR(MATCH($A365,'F Proj'!$B$1:$B$7669,0)),IF(ISERROR(MATCH($A365,'D Proj'!$B$1:$B$513,0)),IF(ISERROR(MATCH($A365,'K Proj'!$B$1:$B$508,0)),"?","K"),"D"),"FLEX")</f>
        <v>FLEX</v>
      </c>
      <c r="M365" s="21">
        <f>MATCH(L365,Pos,0)</f>
        <v>1</v>
      </c>
      <c r="N365" s="21">
        <f>CHOOSE($M365,MATCH($A365&amp;$B365,'F Proj'!$P$1:$P$7669,0),MATCH($A365&amp;$B365,'D Proj'!$X$1:$X$513,0),MATCH($A365&amp;$B365,'K Proj'!$T$1:$T$508,0))</f>
        <v>689</v>
      </c>
      <c r="O365">
        <f>CHOOSE(M365,INDEX('F Proj'!$D$1:$D$7669,N365),INDEX('D Proj'!$T$1:$T$513,N365),INDEX('K Proj'!$L$1:$L$508,N365))</f>
        <v>12.99</v>
      </c>
      <c r="P365">
        <f>CHOOSE(M365,INDEX('F Proj'!$J$1:$J$7669,N365),INDEX('D Proj'!$N$1:$N$513,N365),INDEX('K Proj'!$P$1:$P$508,N365))</f>
        <v>100.6009</v>
      </c>
      <c r="Q365" t="str">
        <f t="shared" si="11"/>
        <v>WR/RB</v>
      </c>
      <c r="R365" t="str">
        <f>IF(L365="FLEX",INDEX('F Proj'!$F$1:$F$7669,N365),Q365)</f>
        <v>RB</v>
      </c>
      <c r="S365" t="str">
        <f>IF((Week+Half_Week-1)&gt;=VALUE(RIGHT(C365,LEN(C365)-SEARCH("-",C365))),LEFT(C365,SEARCH("-",C365)-1),"")</f>
        <v>lucas</v>
      </c>
    </row>
    <row r="366" spans="1:19" x14ac:dyDescent="0.25">
      <c r="A366" t="s">
        <v>145</v>
      </c>
      <c r="B366">
        <v>5</v>
      </c>
      <c r="C366" t="s">
        <v>1723</v>
      </c>
      <c r="D366" t="s">
        <v>466</v>
      </c>
      <c r="E366" t="s">
        <v>8947</v>
      </c>
      <c r="G366">
        <v>7.55</v>
      </c>
      <c r="H366">
        <v>5.86</v>
      </c>
      <c r="I366">
        <v>34.339599999999997</v>
      </c>
      <c r="J366" t="s">
        <v>9020</v>
      </c>
      <c r="K366" t="str">
        <f t="shared" si="10"/>
        <v>Tevin Coleman5</v>
      </c>
      <c r="L366" s="21" t="str">
        <f>IF(ISERROR(MATCH($A366,'F Proj'!$B$1:$B$7669,0)),IF(ISERROR(MATCH($A366,'D Proj'!$B$1:$B$513,0)),IF(ISERROR(MATCH($A366,'K Proj'!$B$1:$B$508,0)),"?","K"),"D"),"FLEX")</f>
        <v>FLEX</v>
      </c>
      <c r="M366" s="21">
        <f>MATCH(L366,Pos,0)</f>
        <v>1</v>
      </c>
      <c r="N366" s="21">
        <f>CHOOSE($M366,MATCH($A366&amp;$B366,'F Proj'!$P$1:$P$7669,0),MATCH($A366&amp;$B366,'D Proj'!$X$1:$X$513,0),MATCH($A366&amp;$B366,'K Proj'!$T$1:$T$508,0))</f>
        <v>1656</v>
      </c>
      <c r="O366">
        <f>CHOOSE(M366,INDEX('F Proj'!$D$1:$D$7669,N366),INDEX('D Proj'!$T$1:$T$513,N366),INDEX('K Proj'!$L$1:$L$508,N366))</f>
        <v>7.55</v>
      </c>
      <c r="P366">
        <f>CHOOSE(M366,INDEX('F Proj'!$J$1:$J$7669,N366),INDEX('D Proj'!$N$1:$N$513,N366),INDEX('K Proj'!$P$1:$P$508,N366))</f>
        <v>34.339599999999997</v>
      </c>
      <c r="Q366" t="str">
        <f t="shared" si="11"/>
        <v>WR/RB</v>
      </c>
      <c r="R366" t="str">
        <f>IF(L366="FLEX",INDEX('F Proj'!$F$1:$F$7669,N366),Q366)</f>
        <v>RB</v>
      </c>
      <c r="S366" t="str">
        <f>IF((Week+Half_Week-1)&gt;=VALUE(RIGHT(C366,LEN(C366)-SEARCH("-",C366))),LEFT(C366,SEARCH("-",C366)-1),"")</f>
        <v/>
      </c>
    </row>
    <row r="367" spans="1:19" x14ac:dyDescent="0.25">
      <c r="A367" t="s">
        <v>1100</v>
      </c>
      <c r="B367">
        <v>1</v>
      </c>
      <c r="C367" t="s">
        <v>501</v>
      </c>
      <c r="D367" t="s">
        <v>468</v>
      </c>
      <c r="E367">
        <v>20.7</v>
      </c>
      <c r="G367">
        <v>20.7</v>
      </c>
      <c r="H367">
        <v>0</v>
      </c>
      <c r="I367">
        <v>0</v>
      </c>
      <c r="J367" t="s">
        <v>557</v>
      </c>
      <c r="K367" t="str">
        <f t="shared" si="10"/>
        <v>Todd Gurley II1</v>
      </c>
      <c r="L367" s="21" t="str">
        <f>IF(ISERROR(MATCH($A367,'F Proj'!$B$1:$B$7669,0)),IF(ISERROR(MATCH($A367,'D Proj'!$B$1:$B$513,0)),IF(ISERROR(MATCH($A367,'K Proj'!$B$1:$B$508,0)),"?","K"),"D"),"FLEX")</f>
        <v>FLEX</v>
      </c>
      <c r="M367" s="21">
        <f>MATCH(L367,Pos,0)</f>
        <v>1</v>
      </c>
      <c r="N367" s="21">
        <f>CHOOSE($M367,MATCH($A367&amp;$B367,'F Proj'!$P$1:$P$7669,0),MATCH($A367&amp;$B367,'D Proj'!$X$1:$X$513,0),MATCH($A367&amp;$B367,'K Proj'!$T$1:$T$508,0))</f>
        <v>210</v>
      </c>
      <c r="O367">
        <f>CHOOSE(M367,INDEX('F Proj'!$D$1:$D$7669,N367),INDEX('D Proj'!$T$1:$T$513,N367),INDEX('K Proj'!$L$1:$L$508,N367))</f>
        <v>18.98</v>
      </c>
      <c r="P367">
        <f>CHOOSE(M367,INDEX('F Proj'!$J$1:$J$7669,N367),INDEX('D Proj'!$N$1:$N$513,N367),INDEX('K Proj'!$P$1:$P$508,N367))</f>
        <v>72.080100000000002</v>
      </c>
      <c r="Q367" t="str">
        <f t="shared" si="11"/>
        <v>RB</v>
      </c>
      <c r="R367" t="str">
        <f>IF(L367="FLEX",INDEX('F Proj'!$F$1:$F$7669,N367),Q367)</f>
        <v>RB</v>
      </c>
      <c r="S367" t="str">
        <f>IF((Week+Half_Week-1)&gt;=VALUE(RIGHT(C367,LEN(C367)-SEARCH("-",C367))),LEFT(C367,SEARCH("-",C367)-1),"")</f>
        <v>chad</v>
      </c>
    </row>
    <row r="368" spans="1:19" x14ac:dyDescent="0.25">
      <c r="A368" t="s">
        <v>1100</v>
      </c>
      <c r="B368">
        <v>2</v>
      </c>
      <c r="C368" t="s">
        <v>638</v>
      </c>
      <c r="D368" t="s">
        <v>468</v>
      </c>
      <c r="E368">
        <v>29.3</v>
      </c>
      <c r="G368">
        <v>29.3</v>
      </c>
      <c r="H368">
        <v>0</v>
      </c>
      <c r="I368">
        <v>0</v>
      </c>
      <c r="J368" t="s">
        <v>692</v>
      </c>
      <c r="K368" t="str">
        <f t="shared" si="10"/>
        <v>Todd Gurley II2</v>
      </c>
      <c r="L368" s="21" t="str">
        <f>IF(ISERROR(MATCH($A368,'F Proj'!$B$1:$B$7669,0)),IF(ISERROR(MATCH($A368,'D Proj'!$B$1:$B$513,0)),IF(ISERROR(MATCH($A368,'K Proj'!$B$1:$B$508,0)),"?","K"),"D"),"FLEX")</f>
        <v>FLEX</v>
      </c>
      <c r="M368" s="21">
        <f>MATCH(L368,Pos,0)</f>
        <v>1</v>
      </c>
      <c r="N368" s="21">
        <f>CHOOSE($M368,MATCH($A368&amp;$B368,'F Proj'!$P$1:$P$7669,0),MATCH($A368&amp;$B368,'D Proj'!$X$1:$X$513,0),MATCH($A368&amp;$B368,'K Proj'!$T$1:$T$508,0))</f>
        <v>292</v>
      </c>
      <c r="O368">
        <f>CHOOSE(M368,INDEX('F Proj'!$D$1:$D$7669,N368),INDEX('D Proj'!$T$1:$T$513,N368),INDEX('K Proj'!$L$1:$L$508,N368))</f>
        <v>17.71</v>
      </c>
      <c r="P368">
        <f>CHOOSE(M368,INDEX('F Proj'!$J$1:$J$7669,N368),INDEX('D Proj'!$N$1:$N$513,N368),INDEX('K Proj'!$P$1:$P$508,N368))</f>
        <v>73.444900000000004</v>
      </c>
      <c r="Q368" t="str">
        <f t="shared" si="11"/>
        <v>RB</v>
      </c>
      <c r="R368" t="str">
        <f>IF(L368="FLEX",INDEX('F Proj'!$F$1:$F$7669,N368),Q368)</f>
        <v>RB</v>
      </c>
      <c r="S368" t="str">
        <f>IF((Week+Half_Week-1)&gt;=VALUE(RIGHT(C368,LEN(C368)-SEARCH("-",C368))),LEFT(C368,SEARCH("-",C368)-1),"")</f>
        <v>chad</v>
      </c>
    </row>
    <row r="369" spans="1:19" x14ac:dyDescent="0.25">
      <c r="A369" t="s">
        <v>1100</v>
      </c>
      <c r="B369">
        <v>3</v>
      </c>
      <c r="C369" t="s">
        <v>810</v>
      </c>
      <c r="D369" t="s">
        <v>468</v>
      </c>
      <c r="E369">
        <v>19.600000000000001</v>
      </c>
      <c r="G369">
        <v>19.600000000000001</v>
      </c>
      <c r="H369">
        <v>0</v>
      </c>
      <c r="I369">
        <v>0</v>
      </c>
      <c r="J369" t="s">
        <v>4338</v>
      </c>
      <c r="K369" t="str">
        <f t="shared" si="10"/>
        <v>Todd Gurley II3</v>
      </c>
      <c r="L369" s="21" t="str">
        <f>IF(ISERROR(MATCH($A369,'F Proj'!$B$1:$B$7669,0)),IF(ISERROR(MATCH($A369,'D Proj'!$B$1:$B$513,0)),IF(ISERROR(MATCH($A369,'K Proj'!$B$1:$B$508,0)),"?","K"),"D"),"FLEX")</f>
        <v>FLEX</v>
      </c>
      <c r="M369" s="21">
        <f>MATCH(L369,Pos,0)</f>
        <v>1</v>
      </c>
      <c r="N369" s="21">
        <f>CHOOSE($M369,MATCH($A369&amp;$B369,'F Proj'!$P$1:$P$7669,0),MATCH($A369&amp;$B369,'D Proj'!$X$1:$X$513,0),MATCH($A369&amp;$B369,'K Proj'!$T$1:$T$508,0))</f>
        <v>144</v>
      </c>
      <c r="O369">
        <f>CHOOSE(M369,INDEX('F Proj'!$D$1:$D$7669,N369),INDEX('D Proj'!$T$1:$T$513,N369),INDEX('K Proj'!$L$1:$L$508,N369))</f>
        <v>19.87</v>
      </c>
      <c r="P369">
        <f>CHOOSE(M369,INDEX('F Proj'!$J$1:$J$7669,N369),INDEX('D Proj'!$N$1:$N$513,N369),INDEX('K Proj'!$P$1:$P$508,N369))</f>
        <v>84.456100000000006</v>
      </c>
      <c r="Q369" t="str">
        <f t="shared" si="11"/>
        <v>RB</v>
      </c>
      <c r="R369" t="str">
        <f>IF(L369="FLEX",INDEX('F Proj'!$F$1:$F$7669,N369),Q369)</f>
        <v>RB</v>
      </c>
      <c r="S369" t="str">
        <f>IF((Week+Half_Week-1)&gt;=VALUE(RIGHT(C369,LEN(C369)-SEARCH("-",C369))),LEFT(C369,SEARCH("-",C369)-1),"")</f>
        <v>chad</v>
      </c>
    </row>
    <row r="370" spans="1:19" x14ac:dyDescent="0.25">
      <c r="A370" t="s">
        <v>1100</v>
      </c>
      <c r="B370">
        <v>4</v>
      </c>
      <c r="C370" t="s">
        <v>865</v>
      </c>
      <c r="D370" t="s">
        <v>468</v>
      </c>
      <c r="E370">
        <v>21.6</v>
      </c>
      <c r="G370">
        <v>21.6</v>
      </c>
      <c r="H370">
        <v>0</v>
      </c>
      <c r="I370">
        <v>0</v>
      </c>
      <c r="J370" t="s">
        <v>4821</v>
      </c>
      <c r="K370" t="str">
        <f t="shared" si="10"/>
        <v>Todd Gurley II4</v>
      </c>
      <c r="L370" s="21" t="str">
        <f>IF(ISERROR(MATCH($A370,'F Proj'!$B$1:$B$7669,0)),IF(ISERROR(MATCH($A370,'D Proj'!$B$1:$B$513,0)),IF(ISERROR(MATCH($A370,'K Proj'!$B$1:$B$508,0)),"?","K"),"D"),"FLEX")</f>
        <v>FLEX</v>
      </c>
      <c r="M370" s="21">
        <f>MATCH(L370,Pos,0)</f>
        <v>1</v>
      </c>
      <c r="N370" s="21">
        <f>CHOOSE($M370,MATCH($A370&amp;$B370,'F Proj'!$P$1:$P$7669,0),MATCH($A370&amp;$B370,'D Proj'!$X$1:$X$513,0),MATCH($A370&amp;$B370,'K Proj'!$T$1:$T$508,0))</f>
        <v>259</v>
      </c>
      <c r="O370">
        <f>CHOOSE(M370,INDEX('F Proj'!$D$1:$D$7669,N370),INDEX('D Proj'!$T$1:$T$513,N370),INDEX('K Proj'!$L$1:$L$508,N370))</f>
        <v>18.36</v>
      </c>
      <c r="P370">
        <f>CHOOSE(M370,INDEX('F Proj'!$J$1:$J$7669,N370),INDEX('D Proj'!$N$1:$N$513,N370),INDEX('K Proj'!$P$1:$P$508,N370))</f>
        <v>73.102500000000006</v>
      </c>
      <c r="Q370" t="str">
        <f t="shared" si="11"/>
        <v>RB</v>
      </c>
      <c r="R370" t="str">
        <f>IF(L370="FLEX",INDEX('F Proj'!$F$1:$F$7669,N370),Q370)</f>
        <v>RB</v>
      </c>
      <c r="S370" t="str">
        <f>IF((Week+Half_Week-1)&gt;=VALUE(RIGHT(C370,LEN(C370)-SEARCH("-",C370))),LEFT(C370,SEARCH("-",C370)-1),"")</f>
        <v>chad</v>
      </c>
    </row>
    <row r="371" spans="1:19" x14ac:dyDescent="0.25">
      <c r="A371" t="s">
        <v>1100</v>
      </c>
      <c r="B371">
        <v>5</v>
      </c>
      <c r="C371" t="s">
        <v>886</v>
      </c>
      <c r="D371" t="s">
        <v>468</v>
      </c>
      <c r="E371" t="s">
        <v>8947</v>
      </c>
      <c r="G371">
        <v>18.43</v>
      </c>
      <c r="H371">
        <v>8.49</v>
      </c>
      <c r="I371">
        <v>72.080100000000002</v>
      </c>
      <c r="J371" t="s">
        <v>9021</v>
      </c>
      <c r="K371" t="str">
        <f t="shared" si="10"/>
        <v>Todd Gurley II5</v>
      </c>
      <c r="L371" s="21" t="str">
        <f>IF(ISERROR(MATCH($A371,'F Proj'!$B$1:$B$7669,0)),IF(ISERROR(MATCH($A371,'D Proj'!$B$1:$B$513,0)),IF(ISERROR(MATCH($A371,'K Proj'!$B$1:$B$508,0)),"?","K"),"D"),"FLEX")</f>
        <v>FLEX</v>
      </c>
      <c r="M371" s="21">
        <f>MATCH(L371,Pos,0)</f>
        <v>1</v>
      </c>
      <c r="N371" s="21">
        <f>CHOOSE($M371,MATCH($A371&amp;$B371,'F Proj'!$P$1:$P$7669,0),MATCH($A371&amp;$B371,'D Proj'!$X$1:$X$513,0),MATCH($A371&amp;$B371,'K Proj'!$T$1:$T$508,0))</f>
        <v>253</v>
      </c>
      <c r="O371">
        <f>CHOOSE(M371,INDEX('F Proj'!$D$1:$D$7669,N371),INDEX('D Proj'!$T$1:$T$513,N371),INDEX('K Proj'!$L$1:$L$508,N371))</f>
        <v>18.43</v>
      </c>
      <c r="P371">
        <f>CHOOSE(M371,INDEX('F Proj'!$J$1:$J$7669,N371),INDEX('D Proj'!$N$1:$N$513,N371),INDEX('K Proj'!$P$1:$P$508,N371))</f>
        <v>72.080100000000002</v>
      </c>
      <c r="Q371" t="str">
        <f t="shared" si="11"/>
        <v>RB</v>
      </c>
      <c r="R371" t="str">
        <f>IF(L371="FLEX",INDEX('F Proj'!$F$1:$F$7669,N371),Q371)</f>
        <v>RB</v>
      </c>
      <c r="S371" t="str">
        <f>IF((Week+Half_Week-1)&gt;=VALUE(RIGHT(C371,LEN(C371)-SEARCH("-",C371))),LEFT(C371,SEARCH("-",C371)-1),"")</f>
        <v/>
      </c>
    </row>
    <row r="372" spans="1:19" x14ac:dyDescent="0.25">
      <c r="A372" t="s">
        <v>18</v>
      </c>
      <c r="B372">
        <v>1</v>
      </c>
      <c r="C372" t="s">
        <v>1649</v>
      </c>
      <c r="D372" t="s">
        <v>467</v>
      </c>
      <c r="E372">
        <v>21.3</v>
      </c>
      <c r="G372">
        <v>21.3</v>
      </c>
      <c r="H372">
        <v>0</v>
      </c>
      <c r="I372">
        <v>0</v>
      </c>
      <c r="J372" t="s">
        <v>1665</v>
      </c>
      <c r="K372" t="str">
        <f t="shared" si="10"/>
        <v>Tom Brady1</v>
      </c>
      <c r="L372" s="21" t="str">
        <f>IF(ISERROR(MATCH($A372,'F Proj'!$B$1:$B$7669,0)),IF(ISERROR(MATCH($A372,'D Proj'!$B$1:$B$513,0)),IF(ISERROR(MATCH($A372,'K Proj'!$B$1:$B$508,0)),"?","K"),"D"),"FLEX")</f>
        <v>FLEX</v>
      </c>
      <c r="M372" s="21">
        <f>MATCH(L372,Pos,0)</f>
        <v>1</v>
      </c>
      <c r="N372" s="21">
        <f>CHOOSE($M372,MATCH($A372&amp;$B372,'F Proj'!$P$1:$P$7669,0),MATCH($A372&amp;$B372,'D Proj'!$X$1:$X$513,0),MATCH($A372&amp;$B372,'K Proj'!$T$1:$T$508,0))</f>
        <v>24</v>
      </c>
      <c r="O372">
        <f>CHOOSE(M372,INDEX('F Proj'!$D$1:$D$7669,N372),INDEX('D Proj'!$T$1:$T$513,N372),INDEX('K Proj'!$L$1:$L$508,N372))</f>
        <v>23.16</v>
      </c>
      <c r="P372">
        <f>CHOOSE(M372,INDEX('F Proj'!$J$1:$J$7669,N372),INDEX('D Proj'!$N$1:$N$513,N372),INDEX('K Proj'!$P$1:$P$508,N372))</f>
        <v>57.912100000000002</v>
      </c>
      <c r="Q372" t="str">
        <f t="shared" si="11"/>
        <v>QB</v>
      </c>
      <c r="R372" t="str">
        <f>IF(L372="FLEX",INDEX('F Proj'!$F$1:$F$7669,N372),Q372)</f>
        <v>QB</v>
      </c>
      <c r="S372" t="str">
        <f>IF((Week+Half_Week-1)&gt;=VALUE(RIGHT(C372,LEN(C372)-SEARCH("-",C372))),LEFT(C372,SEARCH("-",C372)-1),"")</f>
        <v>lucas</v>
      </c>
    </row>
    <row r="373" spans="1:19" x14ac:dyDescent="0.25">
      <c r="A373" t="s">
        <v>18</v>
      </c>
      <c r="B373">
        <v>3</v>
      </c>
      <c r="C373" t="s">
        <v>1721</v>
      </c>
      <c r="D373" t="s">
        <v>467</v>
      </c>
      <c r="E373">
        <v>7.5</v>
      </c>
      <c r="G373">
        <v>7.5</v>
      </c>
      <c r="H373">
        <v>0</v>
      </c>
      <c r="I373">
        <v>0</v>
      </c>
      <c r="J373" t="s">
        <v>4339</v>
      </c>
      <c r="K373" t="str">
        <f t="shared" si="10"/>
        <v>Tom Brady3</v>
      </c>
      <c r="L373" s="21" t="str">
        <f>IF(ISERROR(MATCH($A373,'F Proj'!$B$1:$B$7669,0)),IF(ISERROR(MATCH($A373,'D Proj'!$B$1:$B$513,0)),IF(ISERROR(MATCH($A373,'K Proj'!$B$1:$B$508,0)),"?","K"),"D"),"FLEX")</f>
        <v>FLEX</v>
      </c>
      <c r="M373" s="21">
        <f>MATCH(L373,Pos,0)</f>
        <v>1</v>
      </c>
      <c r="N373" s="21">
        <f>CHOOSE($M373,MATCH($A373&amp;$B373,'F Proj'!$P$1:$P$7669,0),MATCH($A373&amp;$B373,'D Proj'!$X$1:$X$513,0),MATCH($A373&amp;$B373,'K Proj'!$T$1:$T$508,0))</f>
        <v>111</v>
      </c>
      <c r="O373">
        <f>CHOOSE(M373,INDEX('F Proj'!$D$1:$D$7669,N373),INDEX('D Proj'!$T$1:$T$513,N373),INDEX('K Proj'!$L$1:$L$508,N373))</f>
        <v>20.41</v>
      </c>
      <c r="P373">
        <f>CHOOSE(M373,INDEX('F Proj'!$J$1:$J$7669,N373),INDEX('D Proj'!$N$1:$N$513,N373),INDEX('K Proj'!$P$1:$P$508,N373))</f>
        <v>39.942399999999999</v>
      </c>
      <c r="Q373" t="str">
        <f t="shared" si="11"/>
        <v>QB</v>
      </c>
      <c r="R373" t="str">
        <f>IF(L373="FLEX",INDEX('F Proj'!$F$1:$F$7669,N373),Q373)</f>
        <v>QB</v>
      </c>
      <c r="S373" t="str">
        <f>IF((Week+Half_Week-1)&gt;=VALUE(RIGHT(C373,LEN(C373)-SEARCH("-",C373))),LEFT(C373,SEARCH("-",C373)-1),"")</f>
        <v>lucas</v>
      </c>
    </row>
    <row r="374" spans="1:19" x14ac:dyDescent="0.25">
      <c r="A374" t="s">
        <v>18</v>
      </c>
      <c r="B374">
        <v>4</v>
      </c>
      <c r="C374" t="s">
        <v>1722</v>
      </c>
      <c r="D374" t="s">
        <v>467</v>
      </c>
      <c r="E374">
        <v>19</v>
      </c>
      <c r="G374">
        <v>19</v>
      </c>
      <c r="H374">
        <v>0</v>
      </c>
      <c r="I374">
        <v>0</v>
      </c>
      <c r="J374" t="s">
        <v>4822</v>
      </c>
      <c r="K374" t="str">
        <f t="shared" si="10"/>
        <v>Tom Brady4</v>
      </c>
      <c r="L374" s="21" t="str">
        <f>IF(ISERROR(MATCH($A374,'F Proj'!$B$1:$B$7669,0)),IF(ISERROR(MATCH($A374,'D Proj'!$B$1:$B$513,0)),IF(ISERROR(MATCH($A374,'K Proj'!$B$1:$B$508,0)),"?","K"),"D"),"FLEX")</f>
        <v>FLEX</v>
      </c>
      <c r="M374" s="21">
        <f>MATCH(L374,Pos,0)</f>
        <v>1</v>
      </c>
      <c r="N374" s="21">
        <f>CHOOSE($M374,MATCH($A374&amp;$B374,'F Proj'!$P$1:$P$7669,0),MATCH($A374&amp;$B374,'D Proj'!$X$1:$X$513,0),MATCH($A374&amp;$B374,'K Proj'!$T$1:$T$508,0))</f>
        <v>67</v>
      </c>
      <c r="O374">
        <f>CHOOSE(M374,INDEX('F Proj'!$D$1:$D$7669,N374),INDEX('D Proj'!$T$1:$T$513,N374),INDEX('K Proj'!$L$1:$L$508,N374))</f>
        <v>21.4</v>
      </c>
      <c r="P374">
        <f>CHOOSE(M374,INDEX('F Proj'!$J$1:$J$7669,N374),INDEX('D Proj'!$N$1:$N$513,N374),INDEX('K Proj'!$P$1:$P$508,N374))</f>
        <v>50.126399999999997</v>
      </c>
      <c r="Q374" t="str">
        <f t="shared" si="11"/>
        <v>QB</v>
      </c>
      <c r="R374" t="str">
        <f>IF(L374="FLEX",INDEX('F Proj'!$F$1:$F$7669,N374),Q374)</f>
        <v>QB</v>
      </c>
      <c r="S374" t="str">
        <f>IF((Week+Half_Week-1)&gt;=VALUE(RIGHT(C374,LEN(C374)-SEARCH("-",C374))),LEFT(C374,SEARCH("-",C374)-1),"")</f>
        <v>lucas</v>
      </c>
    </row>
    <row r="375" spans="1:19" x14ac:dyDescent="0.25">
      <c r="A375" t="s">
        <v>18</v>
      </c>
      <c r="B375">
        <v>5</v>
      </c>
      <c r="C375" t="s">
        <v>1723</v>
      </c>
      <c r="D375" t="s">
        <v>467</v>
      </c>
      <c r="E375">
        <v>27.5</v>
      </c>
      <c r="G375">
        <v>27.5</v>
      </c>
      <c r="H375">
        <v>0</v>
      </c>
      <c r="I375">
        <v>0</v>
      </c>
      <c r="J375" t="s">
        <v>9022</v>
      </c>
      <c r="K375" t="str">
        <f t="shared" si="10"/>
        <v>Tom Brady5</v>
      </c>
      <c r="L375" s="21" t="str">
        <f>IF(ISERROR(MATCH($A375,'F Proj'!$B$1:$B$7669,0)),IF(ISERROR(MATCH($A375,'D Proj'!$B$1:$B$513,0)),IF(ISERROR(MATCH($A375,'K Proj'!$B$1:$B$508,0)),"?","K"),"D"),"FLEX")</f>
        <v>FLEX</v>
      </c>
      <c r="M375" s="21">
        <f>MATCH(L375,Pos,0)</f>
        <v>1</v>
      </c>
      <c r="N375" s="21">
        <f>CHOOSE($M375,MATCH($A375&amp;$B375,'F Proj'!$P$1:$P$7669,0),MATCH($A375&amp;$B375,'D Proj'!$X$1:$X$513,0),MATCH($A375&amp;$B375,'K Proj'!$T$1:$T$508,0))</f>
        <v>30</v>
      </c>
      <c r="O375">
        <f>CHOOSE(M375,INDEX('F Proj'!$D$1:$D$7669,N375),INDEX('D Proj'!$T$1:$T$513,N375),INDEX('K Proj'!$L$1:$L$508,N375))</f>
        <v>22.87</v>
      </c>
      <c r="P375">
        <f>CHOOSE(M375,INDEX('F Proj'!$J$1:$J$7669,N375),INDEX('D Proj'!$N$1:$N$513,N375),INDEX('K Proj'!$P$1:$P$508,N375))</f>
        <v>64.641599999999997</v>
      </c>
      <c r="Q375" t="str">
        <f t="shared" si="11"/>
        <v>QB</v>
      </c>
      <c r="R375" t="str">
        <f>IF(L375="FLEX",INDEX('F Proj'!$F$1:$F$7669,N375),Q375)</f>
        <v>QB</v>
      </c>
      <c r="S375" t="str">
        <f>IF((Week+Half_Week-1)&gt;=VALUE(RIGHT(C375,LEN(C375)-SEARCH("-",C375))),LEFT(C375,SEARCH("-",C375)-1),"")</f>
        <v/>
      </c>
    </row>
    <row r="376" spans="1:19" x14ac:dyDescent="0.25">
      <c r="A376" t="s">
        <v>151</v>
      </c>
      <c r="B376">
        <v>1</v>
      </c>
      <c r="C376" t="s">
        <v>504</v>
      </c>
      <c r="D376" t="s">
        <v>475</v>
      </c>
      <c r="E376">
        <v>0.6</v>
      </c>
      <c r="G376">
        <v>0.6</v>
      </c>
      <c r="H376">
        <v>0</v>
      </c>
      <c r="I376">
        <v>0</v>
      </c>
      <c r="J376" t="s">
        <v>516</v>
      </c>
      <c r="K376" t="str">
        <f t="shared" si="10"/>
        <v>Travis Kelce1</v>
      </c>
      <c r="L376" s="21" t="str">
        <f>IF(ISERROR(MATCH($A376,'F Proj'!$B$1:$B$7669,0)),IF(ISERROR(MATCH($A376,'D Proj'!$B$1:$B$513,0)),IF(ISERROR(MATCH($A376,'K Proj'!$B$1:$B$508,0)),"?","K"),"D"),"FLEX")</f>
        <v>FLEX</v>
      </c>
      <c r="M376" s="21">
        <f>MATCH(L376,Pos,0)</f>
        <v>1</v>
      </c>
      <c r="N376" s="21">
        <f>CHOOSE($M376,MATCH($A376&amp;$B376,'F Proj'!$P$1:$P$7669,0),MATCH($A376&amp;$B376,'D Proj'!$X$1:$X$513,0),MATCH($A376&amp;$B376,'K Proj'!$T$1:$T$508,0))</f>
        <v>1233</v>
      </c>
      <c r="O376">
        <f>CHOOSE(M376,INDEX('F Proj'!$D$1:$D$7669,N376),INDEX('D Proj'!$T$1:$T$513,N376),INDEX('K Proj'!$L$1:$L$508,N376))</f>
        <v>9.2100000000000009</v>
      </c>
      <c r="P376">
        <f>CHOOSE(M376,INDEX('F Proj'!$J$1:$J$7669,N376),INDEX('D Proj'!$N$1:$N$513,N376),INDEX('K Proj'!$P$1:$P$508,N376))</f>
        <v>36.240400000000001</v>
      </c>
      <c r="Q376" t="str">
        <f t="shared" si="11"/>
        <v>TE</v>
      </c>
      <c r="R376" t="str">
        <f>IF(L376="FLEX",INDEX('F Proj'!$F$1:$F$7669,N376),Q376)</f>
        <v>TE</v>
      </c>
      <c r="S376" t="str">
        <f>IF((Week+Half_Week-1)&gt;=VALUE(RIGHT(C376,LEN(C376)-SEARCH("-",C376))),LEFT(C376,SEARCH("-",C376)-1),"")</f>
        <v>scott</v>
      </c>
    </row>
    <row r="377" spans="1:19" x14ac:dyDescent="0.25">
      <c r="A377" t="s">
        <v>151</v>
      </c>
      <c r="B377">
        <v>2</v>
      </c>
      <c r="C377" t="s">
        <v>628</v>
      </c>
      <c r="D377" t="s">
        <v>475</v>
      </c>
      <c r="E377">
        <v>22.9</v>
      </c>
      <c r="G377">
        <v>22.9</v>
      </c>
      <c r="H377">
        <v>0</v>
      </c>
      <c r="I377">
        <v>0</v>
      </c>
      <c r="J377" t="s">
        <v>629</v>
      </c>
      <c r="K377" t="str">
        <f t="shared" si="10"/>
        <v>Travis Kelce2</v>
      </c>
      <c r="L377" s="21" t="str">
        <f>IF(ISERROR(MATCH($A377,'F Proj'!$B$1:$B$7669,0)),IF(ISERROR(MATCH($A377,'D Proj'!$B$1:$B$513,0)),IF(ISERROR(MATCH($A377,'K Proj'!$B$1:$B$508,0)),"?","K"),"D"),"FLEX")</f>
        <v>FLEX</v>
      </c>
      <c r="M377" s="21">
        <f>MATCH(L377,Pos,0)</f>
        <v>1</v>
      </c>
      <c r="N377" s="21">
        <f>CHOOSE($M377,MATCH($A377&amp;$B377,'F Proj'!$P$1:$P$7669,0),MATCH($A377&amp;$B377,'D Proj'!$X$1:$X$513,0),MATCH($A377&amp;$B377,'K Proj'!$T$1:$T$508,0))</f>
        <v>1415</v>
      </c>
      <c r="O377">
        <f>CHOOSE(M377,INDEX('F Proj'!$D$1:$D$7669,N377),INDEX('D Proj'!$T$1:$T$513,N377),INDEX('K Proj'!$L$1:$L$508,N377))</f>
        <v>8.43</v>
      </c>
      <c r="P377">
        <f>CHOOSE(M377,INDEX('F Proj'!$J$1:$J$7669,N377),INDEX('D Proj'!$N$1:$N$513,N377),INDEX('K Proj'!$P$1:$P$508,N377))</f>
        <v>35.402500000000003</v>
      </c>
      <c r="Q377" t="str">
        <f t="shared" si="11"/>
        <v>TE</v>
      </c>
      <c r="R377" t="str">
        <f>IF(L377="FLEX",INDEX('F Proj'!$F$1:$F$7669,N377),Q377)</f>
        <v>TE</v>
      </c>
      <c r="S377" t="str">
        <f>IF((Week+Half_Week-1)&gt;=VALUE(RIGHT(C377,LEN(C377)-SEARCH("-",C377))),LEFT(C377,SEARCH("-",C377)-1),"")</f>
        <v>scott</v>
      </c>
    </row>
    <row r="378" spans="1:19" x14ac:dyDescent="0.25">
      <c r="A378" t="s">
        <v>151</v>
      </c>
      <c r="B378">
        <v>3</v>
      </c>
      <c r="C378" t="s">
        <v>807</v>
      </c>
      <c r="D378" t="s">
        <v>475</v>
      </c>
      <c r="E378">
        <v>11.4</v>
      </c>
      <c r="G378">
        <v>11.4</v>
      </c>
      <c r="H378">
        <v>0</v>
      </c>
      <c r="I378">
        <v>0</v>
      </c>
      <c r="J378" t="s">
        <v>4340</v>
      </c>
      <c r="K378" t="str">
        <f t="shared" si="10"/>
        <v>Travis Kelce3</v>
      </c>
      <c r="L378" s="21" t="str">
        <f>IF(ISERROR(MATCH($A378,'F Proj'!$B$1:$B$7669,0)),IF(ISERROR(MATCH($A378,'D Proj'!$B$1:$B$513,0)),IF(ISERROR(MATCH($A378,'K Proj'!$B$1:$B$508,0)),"?","K"),"D"),"FLEX")</f>
        <v>FLEX</v>
      </c>
      <c r="M378" s="21">
        <f>MATCH(L378,Pos,0)</f>
        <v>1</v>
      </c>
      <c r="N378" s="21">
        <f>CHOOSE($M378,MATCH($A378&amp;$B378,'F Proj'!$P$1:$P$7669,0),MATCH($A378&amp;$B378,'D Proj'!$X$1:$X$513,0),MATCH($A378&amp;$B378,'K Proj'!$T$1:$T$508,0))</f>
        <v>1044</v>
      </c>
      <c r="O378">
        <f>CHOOSE(M378,INDEX('F Proj'!$D$1:$D$7669,N378),INDEX('D Proj'!$T$1:$T$513,N378),INDEX('K Proj'!$L$1:$L$508,N378))</f>
        <v>10.17</v>
      </c>
      <c r="P378">
        <f>CHOOSE(M378,INDEX('F Proj'!$J$1:$J$7669,N378),INDEX('D Proj'!$N$1:$N$513,N378),INDEX('K Proj'!$P$1:$P$508,N378))</f>
        <v>44.089599999999997</v>
      </c>
      <c r="Q378" t="str">
        <f t="shared" si="11"/>
        <v>TE</v>
      </c>
      <c r="R378" t="str">
        <f>IF(L378="FLEX",INDEX('F Proj'!$F$1:$F$7669,N378),Q378)</f>
        <v>TE</v>
      </c>
      <c r="S378" t="str">
        <f>IF((Week+Half_Week-1)&gt;=VALUE(RIGHT(C378,LEN(C378)-SEARCH("-",C378))),LEFT(C378,SEARCH("-",C378)-1),"")</f>
        <v>scott</v>
      </c>
    </row>
    <row r="379" spans="1:19" x14ac:dyDescent="0.25">
      <c r="A379" t="s">
        <v>151</v>
      </c>
      <c r="B379">
        <v>4</v>
      </c>
      <c r="C379" t="s">
        <v>861</v>
      </c>
      <c r="D379" t="s">
        <v>475</v>
      </c>
      <c r="E379">
        <v>13.8</v>
      </c>
      <c r="G379">
        <v>13.8</v>
      </c>
      <c r="H379">
        <v>0</v>
      </c>
      <c r="I379">
        <v>0</v>
      </c>
      <c r="J379" t="s">
        <v>4823</v>
      </c>
      <c r="K379" t="str">
        <f t="shared" si="10"/>
        <v>Travis Kelce4</v>
      </c>
      <c r="L379" s="21" t="str">
        <f>IF(ISERROR(MATCH($A379,'F Proj'!$B$1:$B$7669,0)),IF(ISERROR(MATCH($A379,'D Proj'!$B$1:$B$513,0)),IF(ISERROR(MATCH($A379,'K Proj'!$B$1:$B$508,0)),"?","K"),"D"),"FLEX")</f>
        <v>FLEX</v>
      </c>
      <c r="M379" s="21">
        <f>MATCH(L379,Pos,0)</f>
        <v>1</v>
      </c>
      <c r="N379" s="21">
        <f>CHOOSE($M379,MATCH($A379&amp;$B379,'F Proj'!$P$1:$P$7669,0),MATCH($A379&amp;$B379,'D Proj'!$X$1:$X$513,0),MATCH($A379&amp;$B379,'K Proj'!$T$1:$T$508,0))</f>
        <v>952</v>
      </c>
      <c r="O379">
        <f>CHOOSE(M379,INDEX('F Proj'!$D$1:$D$7669,N379),INDEX('D Proj'!$T$1:$T$513,N379),INDEX('K Proj'!$L$1:$L$508,N379))</f>
        <v>10.75</v>
      </c>
      <c r="P379">
        <f>CHOOSE(M379,INDEX('F Proj'!$J$1:$J$7669,N379),INDEX('D Proj'!$N$1:$N$513,N379),INDEX('K Proj'!$P$1:$P$508,N379))</f>
        <v>33.0625</v>
      </c>
      <c r="Q379" t="str">
        <f t="shared" si="11"/>
        <v>TE</v>
      </c>
      <c r="R379" t="str">
        <f>IF(L379="FLEX",INDEX('F Proj'!$F$1:$F$7669,N379),Q379)</f>
        <v>TE</v>
      </c>
      <c r="S379" t="str">
        <f>IF((Week+Half_Week-1)&gt;=VALUE(RIGHT(C379,LEN(C379)-SEARCH("-",C379))),LEFT(C379,SEARCH("-",C379)-1),"")</f>
        <v>scott</v>
      </c>
    </row>
    <row r="380" spans="1:19" x14ac:dyDescent="0.25">
      <c r="A380" t="s">
        <v>151</v>
      </c>
      <c r="B380">
        <v>5</v>
      </c>
      <c r="C380" t="s">
        <v>888</v>
      </c>
      <c r="D380" t="s">
        <v>475</v>
      </c>
      <c r="E380" t="s">
        <v>8947</v>
      </c>
      <c r="G380">
        <v>10.91</v>
      </c>
      <c r="H380">
        <v>5.8</v>
      </c>
      <c r="I380">
        <v>33.64</v>
      </c>
      <c r="J380" t="s">
        <v>8977</v>
      </c>
      <c r="K380" t="str">
        <f t="shared" si="10"/>
        <v>Travis Kelce5</v>
      </c>
      <c r="L380" s="21" t="str">
        <f>IF(ISERROR(MATCH($A380,'F Proj'!$B$1:$B$7669,0)),IF(ISERROR(MATCH($A380,'D Proj'!$B$1:$B$513,0)),IF(ISERROR(MATCH($A380,'K Proj'!$B$1:$B$508,0)),"?","K"),"D"),"FLEX")</f>
        <v>FLEX</v>
      </c>
      <c r="M380" s="21">
        <f>MATCH(L380,Pos,0)</f>
        <v>1</v>
      </c>
      <c r="N380" s="21">
        <f>CHOOSE($M380,MATCH($A380&amp;$B380,'F Proj'!$P$1:$P$7669,0),MATCH($A380&amp;$B380,'D Proj'!$X$1:$X$513,0),MATCH($A380&amp;$B380,'K Proj'!$T$1:$T$508,0))</f>
        <v>933</v>
      </c>
      <c r="O380">
        <f>CHOOSE(M380,INDEX('F Proj'!$D$1:$D$7669,N380),INDEX('D Proj'!$T$1:$T$513,N380),INDEX('K Proj'!$L$1:$L$508,N380))</f>
        <v>10.91</v>
      </c>
      <c r="P380">
        <f>CHOOSE(M380,INDEX('F Proj'!$J$1:$J$7669,N380),INDEX('D Proj'!$N$1:$N$513,N380),INDEX('K Proj'!$P$1:$P$508,N380))</f>
        <v>33.64</v>
      </c>
      <c r="Q380" t="str">
        <f t="shared" si="11"/>
        <v>TE</v>
      </c>
      <c r="R380" t="str">
        <f>IF(L380="FLEX",INDEX('F Proj'!$F$1:$F$7669,N380),Q380)</f>
        <v>TE</v>
      </c>
      <c r="S380" t="str">
        <f>IF((Week+Half_Week-1)&gt;=VALUE(RIGHT(C380,LEN(C380)-SEARCH("-",C380))),LEFT(C380,SEARCH("-",C380)-1),"")</f>
        <v/>
      </c>
    </row>
    <row r="381" spans="1:19" x14ac:dyDescent="0.25">
      <c r="A381" t="s">
        <v>313</v>
      </c>
      <c r="B381">
        <v>2</v>
      </c>
      <c r="C381" t="s">
        <v>623</v>
      </c>
      <c r="D381" t="s">
        <v>475</v>
      </c>
      <c r="E381">
        <v>8.1999999999999993</v>
      </c>
      <c r="G381">
        <v>8.1999999999999993</v>
      </c>
      <c r="H381">
        <v>0</v>
      </c>
      <c r="I381">
        <v>0</v>
      </c>
      <c r="J381" t="s">
        <v>658</v>
      </c>
      <c r="K381" t="str">
        <f t="shared" si="10"/>
        <v>Trey Burton2</v>
      </c>
      <c r="L381" s="21" t="str">
        <f>IF(ISERROR(MATCH($A381,'F Proj'!$B$1:$B$7669,0)),IF(ISERROR(MATCH($A381,'D Proj'!$B$1:$B$513,0)),IF(ISERROR(MATCH($A381,'K Proj'!$B$1:$B$508,0)),"?","K"),"D"),"FLEX")</f>
        <v>FLEX</v>
      </c>
      <c r="M381" s="21">
        <f>MATCH(L381,Pos,0)</f>
        <v>1</v>
      </c>
      <c r="N381" s="21">
        <f>CHOOSE($M381,MATCH($A381&amp;$B381,'F Proj'!$P$1:$P$7669,0),MATCH($A381&amp;$B381,'D Proj'!$X$1:$X$513,0),MATCH($A381&amp;$B381,'K Proj'!$T$1:$T$508,0))</f>
        <v>2002</v>
      </c>
      <c r="O381">
        <f>CHOOSE(M381,INDEX('F Proj'!$D$1:$D$7669,N381),INDEX('D Proj'!$T$1:$T$513,N381),INDEX('K Proj'!$L$1:$L$508,N381))</f>
        <v>6.49</v>
      </c>
      <c r="P381">
        <f>CHOOSE(M381,INDEX('F Proj'!$J$1:$J$7669,N381),INDEX('D Proj'!$N$1:$N$513,N381),INDEX('K Proj'!$P$1:$P$508,N381))</f>
        <v>29.811599999999999</v>
      </c>
      <c r="Q381" t="str">
        <f t="shared" si="11"/>
        <v>TE</v>
      </c>
      <c r="R381" t="str">
        <f>IF(L381="FLEX",INDEX('F Proj'!$F$1:$F$7669,N381),Q381)</f>
        <v>TE</v>
      </c>
      <c r="S381" t="str">
        <f>IF((Week+Half_Week-1)&gt;=VALUE(RIGHT(C381,LEN(C381)-SEARCH("-",C381))),LEFT(C381,SEARCH("-",C381)-1),"")</f>
        <v>comp</v>
      </c>
    </row>
    <row r="382" spans="1:19" x14ac:dyDescent="0.25">
      <c r="A382" t="s">
        <v>313</v>
      </c>
      <c r="B382">
        <v>3</v>
      </c>
      <c r="C382" t="s">
        <v>805</v>
      </c>
      <c r="D382" t="s">
        <v>475</v>
      </c>
      <c r="E382">
        <v>5.5</v>
      </c>
      <c r="G382">
        <v>5.5</v>
      </c>
      <c r="H382">
        <v>0</v>
      </c>
      <c r="I382">
        <v>0</v>
      </c>
      <c r="J382" t="s">
        <v>4341</v>
      </c>
      <c r="K382" t="str">
        <f t="shared" si="10"/>
        <v>Trey Burton3</v>
      </c>
      <c r="L382" s="21" t="str">
        <f>IF(ISERROR(MATCH($A382,'F Proj'!$B$1:$B$7669,0)),IF(ISERROR(MATCH($A382,'D Proj'!$B$1:$B$513,0)),IF(ISERROR(MATCH($A382,'K Proj'!$B$1:$B$508,0)),"?","K"),"D"),"FLEX")</f>
        <v>FLEX</v>
      </c>
      <c r="M382" s="21">
        <f>MATCH(L382,Pos,0)</f>
        <v>1</v>
      </c>
      <c r="N382" s="21">
        <f>CHOOSE($M382,MATCH($A382&amp;$B382,'F Proj'!$P$1:$P$7669,0),MATCH($A382&amp;$B382,'D Proj'!$X$1:$X$513,0),MATCH($A382&amp;$B382,'K Proj'!$T$1:$T$508,0))</f>
        <v>2344</v>
      </c>
      <c r="O382">
        <f>CHOOSE(M382,INDEX('F Proj'!$D$1:$D$7669,N382),INDEX('D Proj'!$T$1:$T$513,N382),INDEX('K Proj'!$L$1:$L$508,N382))</f>
        <v>5.6</v>
      </c>
      <c r="P382">
        <f>CHOOSE(M382,INDEX('F Proj'!$J$1:$J$7669,N382),INDEX('D Proj'!$N$1:$N$513,N382),INDEX('K Proj'!$P$1:$P$508,N382))</f>
        <v>25.200399999999998</v>
      </c>
      <c r="Q382" t="str">
        <f t="shared" si="11"/>
        <v>TE</v>
      </c>
      <c r="R382" t="str">
        <f>IF(L382="FLEX",INDEX('F Proj'!$F$1:$F$7669,N382),Q382)</f>
        <v>TE</v>
      </c>
      <c r="S382" t="str">
        <f>IF((Week+Half_Week-1)&gt;=VALUE(RIGHT(C382,LEN(C382)-SEARCH("-",C382))),LEFT(C382,SEARCH("-",C382)-1),"")</f>
        <v>comp</v>
      </c>
    </row>
    <row r="383" spans="1:19" x14ac:dyDescent="0.25">
      <c r="A383" t="s">
        <v>313</v>
      </c>
      <c r="B383">
        <v>4</v>
      </c>
      <c r="C383" t="s">
        <v>860</v>
      </c>
      <c r="D383" t="s">
        <v>475</v>
      </c>
      <c r="E383">
        <v>14.6</v>
      </c>
      <c r="G383">
        <v>14.6</v>
      </c>
      <c r="H383">
        <v>0</v>
      </c>
      <c r="I383">
        <v>0</v>
      </c>
      <c r="J383" t="s">
        <v>4824</v>
      </c>
      <c r="K383" t="str">
        <f t="shared" si="10"/>
        <v>Trey Burton4</v>
      </c>
      <c r="L383" s="21" t="str">
        <f>IF(ISERROR(MATCH($A383,'F Proj'!$B$1:$B$7669,0)),IF(ISERROR(MATCH($A383,'D Proj'!$B$1:$B$513,0)),IF(ISERROR(MATCH($A383,'K Proj'!$B$1:$B$508,0)),"?","K"),"D"),"FLEX")</f>
        <v>FLEX</v>
      </c>
      <c r="M383" s="21">
        <f>MATCH(L383,Pos,0)</f>
        <v>1</v>
      </c>
      <c r="N383" s="21">
        <f>CHOOSE($M383,MATCH($A383&amp;$B383,'F Proj'!$P$1:$P$7669,0),MATCH($A383&amp;$B383,'D Proj'!$X$1:$X$513,0),MATCH($A383&amp;$B383,'K Proj'!$T$1:$T$508,0))</f>
        <v>2562</v>
      </c>
      <c r="O383">
        <f>CHOOSE(M383,INDEX('F Proj'!$D$1:$D$7669,N383),INDEX('D Proj'!$T$1:$T$513,N383),INDEX('K Proj'!$L$1:$L$508,N383))</f>
        <v>5.0599999999999996</v>
      </c>
      <c r="P383">
        <f>CHOOSE(M383,INDEX('F Proj'!$J$1:$J$7669,N383),INDEX('D Proj'!$N$1:$N$513,N383),INDEX('K Proj'!$P$1:$P$508,N383))</f>
        <v>16.2409</v>
      </c>
      <c r="Q383" t="str">
        <f t="shared" si="11"/>
        <v>TE</v>
      </c>
      <c r="R383" t="str">
        <f>IF(L383="FLEX",INDEX('F Proj'!$F$1:$F$7669,N383),Q383)</f>
        <v>TE</v>
      </c>
      <c r="S383" t="str">
        <f>IF((Week+Half_Week-1)&gt;=VALUE(RIGHT(C383,LEN(C383)-SEARCH("-",C383))),LEFT(C383,SEARCH("-",C383)-1),"")</f>
        <v>comp</v>
      </c>
    </row>
    <row r="384" spans="1:19" x14ac:dyDescent="0.25">
      <c r="A384" t="s">
        <v>221</v>
      </c>
      <c r="B384">
        <v>4</v>
      </c>
      <c r="C384" t="s">
        <v>858</v>
      </c>
      <c r="D384" t="s">
        <v>466</v>
      </c>
      <c r="E384">
        <v>10</v>
      </c>
      <c r="G384">
        <v>10</v>
      </c>
      <c r="H384">
        <v>0</v>
      </c>
      <c r="I384">
        <v>0</v>
      </c>
      <c r="J384" t="s">
        <v>4759</v>
      </c>
      <c r="K384" t="str">
        <f t="shared" si="10"/>
        <v>Tyler Boyd4</v>
      </c>
      <c r="L384" s="21" t="str">
        <f>IF(ISERROR(MATCH($A384,'F Proj'!$B$1:$B$7669,0)),IF(ISERROR(MATCH($A384,'D Proj'!$B$1:$B$513,0)),IF(ISERROR(MATCH($A384,'K Proj'!$B$1:$B$508,0)),"?","K"),"D"),"FLEX")</f>
        <v>FLEX</v>
      </c>
      <c r="M384" s="21">
        <f>MATCH(L384,Pos,0)</f>
        <v>1</v>
      </c>
      <c r="N384" s="21">
        <f>CHOOSE($M384,MATCH($A384&amp;$B384,'F Proj'!$P$1:$P$7669,0),MATCH($A384&amp;$B384,'D Proj'!$X$1:$X$513,0),MATCH($A384&amp;$B384,'K Proj'!$T$1:$T$508,0))</f>
        <v>1716</v>
      </c>
      <c r="O384">
        <f>CHOOSE(M384,INDEX('F Proj'!$D$1:$D$7669,N384),INDEX('D Proj'!$T$1:$T$513,N384),INDEX('K Proj'!$L$1:$L$508,N384))</f>
        <v>7.36</v>
      </c>
      <c r="P384">
        <f>CHOOSE(M384,INDEX('F Proj'!$J$1:$J$7669,N384),INDEX('D Proj'!$N$1:$N$513,N384),INDEX('K Proj'!$P$1:$P$508,N384))</f>
        <v>35.640900000000002</v>
      </c>
      <c r="Q384" t="str">
        <f t="shared" si="11"/>
        <v>WR/RB</v>
      </c>
      <c r="R384" t="str">
        <f>IF(L384="FLEX",INDEX('F Proj'!$F$1:$F$7669,N384),Q384)</f>
        <v>WR</v>
      </c>
      <c r="S384" t="str">
        <f>IF((Week+Half_Week-1)&gt;=VALUE(RIGHT(C384,LEN(C384)-SEARCH("-",C384))),LEFT(C384,SEARCH("-",C384)-1),"")</f>
        <v>cory</v>
      </c>
    </row>
    <row r="385" spans="1:19" x14ac:dyDescent="0.25">
      <c r="A385" t="s">
        <v>221</v>
      </c>
      <c r="B385">
        <v>5</v>
      </c>
      <c r="C385" t="s">
        <v>883</v>
      </c>
      <c r="D385" t="s">
        <v>466</v>
      </c>
      <c r="E385" t="s">
        <v>8947</v>
      </c>
      <c r="G385">
        <v>8.0500000000000007</v>
      </c>
      <c r="H385">
        <v>4.45</v>
      </c>
      <c r="I385">
        <v>19.802499999999998</v>
      </c>
      <c r="J385" t="s">
        <v>9024</v>
      </c>
      <c r="K385" t="str">
        <f t="shared" si="10"/>
        <v>Tyler Boyd5</v>
      </c>
      <c r="L385" s="21" t="str">
        <f>IF(ISERROR(MATCH($A385,'F Proj'!$B$1:$B$7669,0)),IF(ISERROR(MATCH($A385,'D Proj'!$B$1:$B$513,0)),IF(ISERROR(MATCH($A385,'K Proj'!$B$1:$B$508,0)),"?","K"),"D"),"FLEX")</f>
        <v>FLEX</v>
      </c>
      <c r="M385" s="21">
        <f>MATCH(L385,Pos,0)</f>
        <v>1</v>
      </c>
      <c r="N385" s="21">
        <f>CHOOSE($M385,MATCH($A385&amp;$B385,'F Proj'!$P$1:$P$7669,0),MATCH($A385&amp;$B385,'D Proj'!$X$1:$X$513,0),MATCH($A385&amp;$B385,'K Proj'!$T$1:$T$508,0))</f>
        <v>1522</v>
      </c>
      <c r="O385">
        <f>CHOOSE(M385,INDEX('F Proj'!$D$1:$D$7669,N385),INDEX('D Proj'!$T$1:$T$513,N385),INDEX('K Proj'!$L$1:$L$508,N385))</f>
        <v>8.0500000000000007</v>
      </c>
      <c r="P385">
        <f>CHOOSE(M385,INDEX('F Proj'!$J$1:$J$7669,N385),INDEX('D Proj'!$N$1:$N$513,N385),INDEX('K Proj'!$P$1:$P$508,N385))</f>
        <v>19.802499999999998</v>
      </c>
      <c r="Q385" t="str">
        <f t="shared" si="11"/>
        <v>WR/RB</v>
      </c>
      <c r="R385" t="str">
        <f>IF(L385="FLEX",INDEX('F Proj'!$F$1:$F$7669,N385),Q385)</f>
        <v>WR</v>
      </c>
      <c r="S385" t="str">
        <f>IF((Week+Half_Week-1)&gt;=VALUE(RIGHT(C385,LEN(C385)-SEARCH("-",C385))),LEFT(C385,SEARCH("-",C385)-1),"")</f>
        <v/>
      </c>
    </row>
    <row r="386" spans="1:19" x14ac:dyDescent="0.25">
      <c r="A386" t="s">
        <v>129</v>
      </c>
      <c r="B386">
        <v>4</v>
      </c>
      <c r="C386" t="s">
        <v>864</v>
      </c>
      <c r="D386" t="s">
        <v>475</v>
      </c>
      <c r="E386">
        <v>9.8000000000000007</v>
      </c>
      <c r="G386">
        <v>9.8000000000000007</v>
      </c>
      <c r="H386">
        <v>0</v>
      </c>
      <c r="I386">
        <v>0</v>
      </c>
      <c r="J386" t="s">
        <v>4786</v>
      </c>
      <c r="K386" t="str">
        <f t="shared" si="10"/>
        <v>Tyler Eifert4</v>
      </c>
      <c r="L386" s="21" t="str">
        <f>IF(ISERROR(MATCH($A386,'F Proj'!$B$1:$B$7669,0)),IF(ISERROR(MATCH($A386,'D Proj'!$B$1:$B$513,0)),IF(ISERROR(MATCH($A386,'K Proj'!$B$1:$B$508,0)),"?","K"),"D"),"FLEX")</f>
        <v>?</v>
      </c>
      <c r="M386" s="21">
        <f>MATCH(L386,Pos,0)</f>
        <v>2</v>
      </c>
      <c r="N386" s="21" t="e">
        <f>CHOOSE($M386,MATCH($A386&amp;$B386,'F Proj'!$P$1:$P$7669,0),MATCH($A386&amp;$B386,'D Proj'!$X$1:$X$513,0),MATCH($A386&amp;$B386,'K Proj'!$T$1:$T$508,0))</f>
        <v>#N/A</v>
      </c>
      <c r="O386" t="e">
        <f>CHOOSE(M386,INDEX('F Proj'!$D$1:$D$7669,N386),INDEX('D Proj'!$T$1:$T$513,N386),INDEX('K Proj'!$L$1:$L$508,N386))</f>
        <v>#N/A</v>
      </c>
      <c r="P386" t="e">
        <f>CHOOSE(M386,INDEX('F Proj'!$J$1:$J$7669,N386),INDEX('D Proj'!$N$1:$N$513,N386),INDEX('K Proj'!$P$1:$P$508,N386))</f>
        <v>#N/A</v>
      </c>
      <c r="Q386" t="str">
        <f t="shared" si="11"/>
        <v>TE</v>
      </c>
      <c r="R386" t="str">
        <f>IF(L386="FLEX",INDEX('F Proj'!$F$1:$F$7669,N386),Q386)</f>
        <v>TE</v>
      </c>
      <c r="S386" t="str">
        <f>IF((Week+Half_Week-1)&gt;=VALUE(RIGHT(C386,LEN(C386)-SEARCH("-",C386))),LEFT(C386,SEARCH("-",C386)-1),"")</f>
        <v>matty</v>
      </c>
    </row>
    <row r="387" spans="1:19" x14ac:dyDescent="0.25">
      <c r="A387" t="s">
        <v>180</v>
      </c>
      <c r="B387">
        <v>2</v>
      </c>
      <c r="C387" t="s">
        <v>638</v>
      </c>
      <c r="D387" t="s">
        <v>473</v>
      </c>
      <c r="E387">
        <v>12</v>
      </c>
      <c r="G387">
        <v>12</v>
      </c>
      <c r="H387">
        <v>0</v>
      </c>
      <c r="I387">
        <v>0</v>
      </c>
      <c r="J387" t="s">
        <v>684</v>
      </c>
      <c r="K387" t="str">
        <f t="shared" ref="K387:K450" si="12">A387&amp;B387</f>
        <v>Tyler Lockett2</v>
      </c>
      <c r="L387" s="21" t="str">
        <f>IF(ISERROR(MATCH($A387,'F Proj'!$B$1:$B$7669,0)),IF(ISERROR(MATCH($A387,'D Proj'!$B$1:$B$513,0)),IF(ISERROR(MATCH($A387,'K Proj'!$B$1:$B$508,0)),"?","K"),"D"),"FLEX")</f>
        <v>FLEX</v>
      </c>
      <c r="M387" s="21">
        <f>MATCH(L387,Pos,0)</f>
        <v>1</v>
      </c>
      <c r="N387" s="21">
        <f>CHOOSE($M387,MATCH($A387&amp;$B387,'F Proj'!$P$1:$P$7669,0),MATCH($A387&amp;$B387,'D Proj'!$X$1:$X$513,0),MATCH($A387&amp;$B387,'K Proj'!$T$1:$T$508,0))</f>
        <v>2637</v>
      </c>
      <c r="O387">
        <f>CHOOSE(M387,INDEX('F Proj'!$D$1:$D$7669,N387),INDEX('D Proj'!$T$1:$T$513,N387),INDEX('K Proj'!$L$1:$L$508,N387))</f>
        <v>4.87</v>
      </c>
      <c r="P387">
        <f>CHOOSE(M387,INDEX('F Proj'!$J$1:$J$7669,N387),INDEX('D Proj'!$N$1:$N$513,N387),INDEX('K Proj'!$P$1:$P$508,N387))</f>
        <v>13.8384</v>
      </c>
      <c r="Q387" t="str">
        <f t="shared" ref="Q387:Q450" si="13">IFERROR(LEFT(D387,SEARCH("-",D387)-1),D387)</f>
        <v>WR</v>
      </c>
      <c r="R387" t="str">
        <f>IF(L387="FLEX",INDEX('F Proj'!$F$1:$F$7669,N387),Q387)</f>
        <v>WR</v>
      </c>
      <c r="S387" t="str">
        <f>IF((Week+Half_Week-1)&gt;=VALUE(RIGHT(C387,LEN(C387)-SEARCH("-",C387))),LEFT(C387,SEARCH("-",C387)-1),"")</f>
        <v>chad</v>
      </c>
    </row>
    <row r="388" spans="1:19" x14ac:dyDescent="0.25">
      <c r="A388" t="s">
        <v>180</v>
      </c>
      <c r="B388">
        <v>4</v>
      </c>
      <c r="C388" t="s">
        <v>865</v>
      </c>
      <c r="D388" t="s">
        <v>472</v>
      </c>
      <c r="E388">
        <v>5.3</v>
      </c>
      <c r="G388">
        <v>5.3</v>
      </c>
      <c r="H388">
        <v>0</v>
      </c>
      <c r="I388">
        <v>0</v>
      </c>
      <c r="J388" t="s">
        <v>4772</v>
      </c>
      <c r="K388" t="str">
        <f t="shared" si="12"/>
        <v>Tyler Lockett4</v>
      </c>
      <c r="L388" s="21" t="str">
        <f>IF(ISERROR(MATCH($A388,'F Proj'!$B$1:$B$7669,0)),IF(ISERROR(MATCH($A388,'D Proj'!$B$1:$B$513,0)),IF(ISERROR(MATCH($A388,'K Proj'!$B$1:$B$508,0)),"?","K"),"D"),"FLEX")</f>
        <v>FLEX</v>
      </c>
      <c r="M388" s="21">
        <f>MATCH(L388,Pos,0)</f>
        <v>1</v>
      </c>
      <c r="N388" s="21">
        <f>CHOOSE($M388,MATCH($A388&amp;$B388,'F Proj'!$P$1:$P$7669,0),MATCH($A388&amp;$B388,'D Proj'!$X$1:$X$513,0),MATCH($A388&amp;$B388,'K Proj'!$T$1:$T$508,0))</f>
        <v>1535</v>
      </c>
      <c r="O388">
        <f>CHOOSE(M388,INDEX('F Proj'!$D$1:$D$7669,N388),INDEX('D Proj'!$T$1:$T$513,N388),INDEX('K Proj'!$L$1:$L$508,N388))</f>
        <v>8.02</v>
      </c>
      <c r="P388">
        <f>CHOOSE(M388,INDEX('F Proj'!$J$1:$J$7669,N388),INDEX('D Proj'!$N$1:$N$513,N388),INDEX('K Proj'!$P$1:$P$508,N388))</f>
        <v>33.524099999999997</v>
      </c>
      <c r="Q388" t="str">
        <f t="shared" si="13"/>
        <v>WR</v>
      </c>
      <c r="R388" t="str">
        <f>IF(L388="FLEX",INDEX('F Proj'!$F$1:$F$7669,N388),Q388)</f>
        <v>WR</v>
      </c>
      <c r="S388" t="str">
        <f>IF((Week+Half_Week-1)&gt;=VALUE(RIGHT(C388,LEN(C388)-SEARCH("-",C388))),LEFT(C388,SEARCH("-",C388)-1),"")</f>
        <v>chad</v>
      </c>
    </row>
    <row r="389" spans="1:19" x14ac:dyDescent="0.25">
      <c r="A389" t="s">
        <v>124</v>
      </c>
      <c r="B389">
        <v>1</v>
      </c>
      <c r="C389" t="s">
        <v>505</v>
      </c>
      <c r="D389" t="s">
        <v>471</v>
      </c>
      <c r="E389">
        <v>35.299999999999997</v>
      </c>
      <c r="G389">
        <v>35.299999999999997</v>
      </c>
      <c r="H389">
        <v>0</v>
      </c>
      <c r="I389">
        <v>0</v>
      </c>
      <c r="J389" t="s">
        <v>545</v>
      </c>
      <c r="K389" t="str">
        <f t="shared" si="12"/>
        <v>Tyreek Hill1</v>
      </c>
      <c r="L389" s="21" t="str">
        <f>IF(ISERROR(MATCH($A389,'F Proj'!$B$1:$B$7669,0)),IF(ISERROR(MATCH($A389,'D Proj'!$B$1:$B$513,0)),IF(ISERROR(MATCH($A389,'K Proj'!$B$1:$B$508,0)),"?","K"),"D"),"FLEX")</f>
        <v>FLEX</v>
      </c>
      <c r="M389" s="21">
        <f>MATCH(L389,Pos,0)</f>
        <v>1</v>
      </c>
      <c r="N389" s="21">
        <f>CHOOSE($M389,MATCH($A389&amp;$B389,'F Proj'!$P$1:$P$7669,0),MATCH($A389&amp;$B389,'D Proj'!$X$1:$X$513,0),MATCH($A389&amp;$B389,'K Proj'!$T$1:$T$508,0))</f>
        <v>1331</v>
      </c>
      <c r="O389">
        <f>CHOOSE(M389,INDEX('F Proj'!$D$1:$D$7669,N389),INDEX('D Proj'!$T$1:$T$513,N389),INDEX('K Proj'!$L$1:$L$508,N389))</f>
        <v>8.7100000000000009</v>
      </c>
      <c r="P389">
        <f>CHOOSE(M389,INDEX('F Proj'!$J$1:$J$7669,N389),INDEX('D Proj'!$N$1:$N$513,N389),INDEX('K Proj'!$P$1:$P$508,N389))</f>
        <v>35.880099999999999</v>
      </c>
      <c r="Q389" t="str">
        <f t="shared" si="13"/>
        <v>WR</v>
      </c>
      <c r="R389" t="str">
        <f>IF(L389="FLEX",INDEX('F Proj'!$F$1:$F$7669,N389),Q389)</f>
        <v>WR</v>
      </c>
      <c r="S389" t="str">
        <f>IF((Week+Half_Week-1)&gt;=VALUE(RIGHT(C389,LEN(C389)-SEARCH("-",C389))),LEFT(C389,SEARCH("-",C389)-1),"")</f>
        <v>matty</v>
      </c>
    </row>
    <row r="390" spans="1:19" x14ac:dyDescent="0.25">
      <c r="A390" t="s">
        <v>124</v>
      </c>
      <c r="B390">
        <v>2</v>
      </c>
      <c r="C390" t="s">
        <v>636</v>
      </c>
      <c r="D390" t="s">
        <v>471</v>
      </c>
      <c r="E390">
        <v>15</v>
      </c>
      <c r="G390">
        <v>15</v>
      </c>
      <c r="H390">
        <v>0</v>
      </c>
      <c r="I390">
        <v>0</v>
      </c>
      <c r="J390" t="s">
        <v>640</v>
      </c>
      <c r="K390" t="str">
        <f t="shared" si="12"/>
        <v>Tyreek Hill2</v>
      </c>
      <c r="L390" s="21" t="str">
        <f>IF(ISERROR(MATCH($A390,'F Proj'!$B$1:$B$7669,0)),IF(ISERROR(MATCH($A390,'D Proj'!$B$1:$B$513,0)),IF(ISERROR(MATCH($A390,'K Proj'!$B$1:$B$508,0)),"?","K"),"D"),"FLEX")</f>
        <v>FLEX</v>
      </c>
      <c r="M390" s="21">
        <f>MATCH(L390,Pos,0)</f>
        <v>1</v>
      </c>
      <c r="N390" s="21">
        <f>CHOOSE($M390,MATCH($A390&amp;$B390,'F Proj'!$P$1:$P$7669,0),MATCH($A390&amp;$B390,'D Proj'!$X$1:$X$513,0),MATCH($A390&amp;$B390,'K Proj'!$T$1:$T$508,0))</f>
        <v>945</v>
      </c>
      <c r="O390">
        <f>CHOOSE(M390,INDEX('F Proj'!$D$1:$D$7669,N390),INDEX('D Proj'!$T$1:$T$513,N390),INDEX('K Proj'!$L$1:$L$508,N390))</f>
        <v>10.84</v>
      </c>
      <c r="P390">
        <f>CHOOSE(M390,INDEX('F Proj'!$J$1:$J$7669,N390),INDEX('D Proj'!$N$1:$N$513,N390),INDEX('K Proj'!$P$1:$P$508,N390))</f>
        <v>36.4816</v>
      </c>
      <c r="Q390" t="str">
        <f t="shared" si="13"/>
        <v>WR</v>
      </c>
      <c r="R390" t="str">
        <f>IF(L390="FLEX",INDEX('F Proj'!$F$1:$F$7669,N390),Q390)</f>
        <v>WR</v>
      </c>
      <c r="S390" t="str">
        <f>IF((Week+Half_Week-1)&gt;=VALUE(RIGHT(C390,LEN(C390)-SEARCH("-",C390))),LEFT(C390,SEARCH("-",C390)-1),"")</f>
        <v>matty</v>
      </c>
    </row>
    <row r="391" spans="1:19" x14ac:dyDescent="0.25">
      <c r="A391" t="s">
        <v>124</v>
      </c>
      <c r="B391">
        <v>3</v>
      </c>
      <c r="C391" t="s">
        <v>812</v>
      </c>
      <c r="D391" t="s">
        <v>471</v>
      </c>
      <c r="E391">
        <v>5.6</v>
      </c>
      <c r="G391">
        <v>5.6</v>
      </c>
      <c r="H391">
        <v>0</v>
      </c>
      <c r="I391">
        <v>0</v>
      </c>
      <c r="J391" t="s">
        <v>4342</v>
      </c>
      <c r="K391" t="str">
        <f t="shared" si="12"/>
        <v>Tyreek Hill3</v>
      </c>
      <c r="L391" s="21" t="str">
        <f>IF(ISERROR(MATCH($A391,'F Proj'!$B$1:$B$7669,0)),IF(ISERROR(MATCH($A391,'D Proj'!$B$1:$B$513,0)),IF(ISERROR(MATCH($A391,'K Proj'!$B$1:$B$508,0)),"?","K"),"D"),"FLEX")</f>
        <v>FLEX</v>
      </c>
      <c r="M391" s="21">
        <f>MATCH(L391,Pos,0)</f>
        <v>1</v>
      </c>
      <c r="N391" s="21">
        <f>CHOOSE($M391,MATCH($A391&amp;$B391,'F Proj'!$P$1:$P$7669,0),MATCH($A391&amp;$B391,'D Proj'!$X$1:$X$513,0),MATCH($A391&amp;$B391,'K Proj'!$T$1:$T$508,0))</f>
        <v>587</v>
      </c>
      <c r="O391">
        <f>CHOOSE(M391,INDEX('F Proj'!$D$1:$D$7669,N391),INDEX('D Proj'!$T$1:$T$513,N391),INDEX('K Proj'!$L$1:$L$508,N391))</f>
        <v>13.88</v>
      </c>
      <c r="P391">
        <f>CHOOSE(M391,INDEX('F Proj'!$J$1:$J$7669,N391),INDEX('D Proj'!$N$1:$N$513,N391),INDEX('K Proj'!$P$1:$P$508,N391))</f>
        <v>68.392899999999997</v>
      </c>
      <c r="Q391" t="str">
        <f t="shared" si="13"/>
        <v>WR</v>
      </c>
      <c r="R391" t="str">
        <f>IF(L391="FLEX",INDEX('F Proj'!$F$1:$F$7669,N391),Q391)</f>
        <v>WR</v>
      </c>
      <c r="S391" t="str">
        <f>IF((Week+Half_Week-1)&gt;=VALUE(RIGHT(C391,LEN(C391)-SEARCH("-",C391))),LEFT(C391,SEARCH("-",C391)-1),"")</f>
        <v>matty</v>
      </c>
    </row>
    <row r="392" spans="1:19" x14ac:dyDescent="0.25">
      <c r="A392" t="s">
        <v>124</v>
      </c>
      <c r="B392">
        <v>4</v>
      </c>
      <c r="C392" t="s">
        <v>864</v>
      </c>
      <c r="D392" t="s">
        <v>471</v>
      </c>
      <c r="E392">
        <v>5.6</v>
      </c>
      <c r="G392">
        <v>5.6</v>
      </c>
      <c r="H392">
        <v>0</v>
      </c>
      <c r="I392">
        <v>0</v>
      </c>
      <c r="J392" t="s">
        <v>4825</v>
      </c>
      <c r="K392" t="str">
        <f t="shared" si="12"/>
        <v>Tyreek Hill4</v>
      </c>
      <c r="L392" s="21" t="str">
        <f>IF(ISERROR(MATCH($A392,'F Proj'!$B$1:$B$7669,0)),IF(ISERROR(MATCH($A392,'D Proj'!$B$1:$B$513,0)),IF(ISERROR(MATCH($A392,'K Proj'!$B$1:$B$508,0)),"?","K"),"D"),"FLEX")</f>
        <v>FLEX</v>
      </c>
      <c r="M392" s="21">
        <f>MATCH(L392,Pos,0)</f>
        <v>1</v>
      </c>
      <c r="N392" s="21">
        <f>CHOOSE($M392,MATCH($A392&amp;$B392,'F Proj'!$P$1:$P$7669,0),MATCH($A392&amp;$B392,'D Proj'!$X$1:$X$513,0),MATCH($A392&amp;$B392,'K Proj'!$T$1:$T$508,0))</f>
        <v>934</v>
      </c>
      <c r="O392">
        <f>CHOOSE(M392,INDEX('F Proj'!$D$1:$D$7669,N392),INDEX('D Proj'!$T$1:$T$513,N392),INDEX('K Proj'!$L$1:$L$508,N392))</f>
        <v>10.91</v>
      </c>
      <c r="P392">
        <f>CHOOSE(M392,INDEX('F Proj'!$J$1:$J$7669,N392),INDEX('D Proj'!$N$1:$N$513,N392),INDEX('K Proj'!$P$1:$P$508,N392))</f>
        <v>53.5824</v>
      </c>
      <c r="Q392" t="str">
        <f t="shared" si="13"/>
        <v>WR</v>
      </c>
      <c r="R392" t="str">
        <f>IF(L392="FLEX",INDEX('F Proj'!$F$1:$F$7669,N392),Q392)</f>
        <v>WR</v>
      </c>
      <c r="S392" t="str">
        <f>IF((Week+Half_Week-1)&gt;=VALUE(RIGHT(C392,LEN(C392)-SEARCH("-",C392))),LEFT(C392,SEARCH("-",C392)-1),"")</f>
        <v>matty</v>
      </c>
    </row>
    <row r="393" spans="1:19" x14ac:dyDescent="0.25">
      <c r="A393" t="s">
        <v>124</v>
      </c>
      <c r="B393">
        <v>5</v>
      </c>
      <c r="C393" t="s">
        <v>891</v>
      </c>
      <c r="D393" t="s">
        <v>471</v>
      </c>
      <c r="E393" t="s">
        <v>8947</v>
      </c>
      <c r="G393">
        <v>11.83</v>
      </c>
      <c r="H393">
        <v>8.1199999999999992</v>
      </c>
      <c r="I393">
        <v>65.934399999999997</v>
      </c>
      <c r="J393" t="s">
        <v>9026</v>
      </c>
      <c r="K393" t="str">
        <f t="shared" si="12"/>
        <v>Tyreek Hill5</v>
      </c>
      <c r="L393" s="21" t="str">
        <f>IF(ISERROR(MATCH($A393,'F Proj'!$B$1:$B$7669,0)),IF(ISERROR(MATCH($A393,'D Proj'!$B$1:$B$513,0)),IF(ISERROR(MATCH($A393,'K Proj'!$B$1:$B$508,0)),"?","K"),"D"),"FLEX")</f>
        <v>FLEX</v>
      </c>
      <c r="M393" s="21">
        <f>MATCH(L393,Pos,0)</f>
        <v>1</v>
      </c>
      <c r="N393" s="21">
        <f>CHOOSE($M393,MATCH($A393&amp;$B393,'F Proj'!$P$1:$P$7669,0),MATCH($A393&amp;$B393,'D Proj'!$X$1:$X$513,0),MATCH($A393&amp;$B393,'K Proj'!$T$1:$T$508,0))</f>
        <v>835</v>
      </c>
      <c r="O393">
        <f>CHOOSE(M393,INDEX('F Proj'!$D$1:$D$7669,N393),INDEX('D Proj'!$T$1:$T$513,N393),INDEX('K Proj'!$L$1:$L$508,N393))</f>
        <v>11.83</v>
      </c>
      <c r="P393">
        <f>CHOOSE(M393,INDEX('F Proj'!$J$1:$J$7669,N393),INDEX('D Proj'!$N$1:$N$513,N393),INDEX('K Proj'!$P$1:$P$508,N393))</f>
        <v>65.934399999999997</v>
      </c>
      <c r="Q393" t="str">
        <f t="shared" si="13"/>
        <v>WR</v>
      </c>
      <c r="R393" t="str">
        <f>IF(L393="FLEX",INDEX('F Proj'!$F$1:$F$7669,N393),Q393)</f>
        <v>WR</v>
      </c>
      <c r="S393" t="str">
        <f>IF((Week+Half_Week-1)&gt;=VALUE(RIGHT(C393,LEN(C393)-SEARCH("-",C393))),LEFT(C393,SEARCH("-",C393)-1),"")</f>
        <v/>
      </c>
    </row>
    <row r="394" spans="1:19" x14ac:dyDescent="0.25">
      <c r="A394" t="s">
        <v>266</v>
      </c>
      <c r="B394">
        <v>3</v>
      </c>
      <c r="C394" t="s">
        <v>809</v>
      </c>
      <c r="D394" t="s">
        <v>473</v>
      </c>
      <c r="E394">
        <v>16.100000000000001</v>
      </c>
      <c r="G394">
        <v>16.100000000000001</v>
      </c>
      <c r="H394">
        <v>0</v>
      </c>
      <c r="I394">
        <v>0</v>
      </c>
      <c r="J394" t="s">
        <v>4343</v>
      </c>
      <c r="K394" t="str">
        <f t="shared" si="12"/>
        <v>Will Fuller V3</v>
      </c>
      <c r="L394" s="21" t="str">
        <f>IF(ISERROR(MATCH($A394,'F Proj'!$B$1:$B$7669,0)),IF(ISERROR(MATCH($A394,'D Proj'!$B$1:$B$513,0)),IF(ISERROR(MATCH($A394,'K Proj'!$B$1:$B$508,0)),"?","K"),"D"),"FLEX")</f>
        <v>FLEX</v>
      </c>
      <c r="M394" s="21">
        <f>MATCH(L394,Pos,0)</f>
        <v>1</v>
      </c>
      <c r="N394" s="21">
        <f>CHOOSE($M394,MATCH($A394&amp;$B394,'F Proj'!$P$1:$P$7669,0),MATCH($A394&amp;$B394,'D Proj'!$X$1:$X$513,0),MATCH($A394&amp;$B394,'K Proj'!$T$1:$T$508,0))</f>
        <v>1785</v>
      </c>
      <c r="O394">
        <f>CHOOSE(M394,INDEX('F Proj'!$D$1:$D$7669,N394),INDEX('D Proj'!$T$1:$T$513,N394),INDEX('K Proj'!$L$1:$L$508,N394))</f>
        <v>7.16</v>
      </c>
      <c r="P394">
        <f>CHOOSE(M394,INDEX('F Proj'!$J$1:$J$7669,N394),INDEX('D Proj'!$N$1:$N$513,N394),INDEX('K Proj'!$P$1:$P$508,N394))</f>
        <v>39.816099999999999</v>
      </c>
      <c r="Q394" t="str">
        <f t="shared" si="13"/>
        <v>WR</v>
      </c>
      <c r="R394" t="str">
        <f>IF(L394="FLEX",INDEX('F Proj'!$F$1:$F$7669,N394),Q394)</f>
        <v>WR</v>
      </c>
      <c r="S394" t="str">
        <f>IF((Week+Half_Week-1)&gt;=VALUE(RIGHT(C394,LEN(C394)-SEARCH("-",C394))),LEFT(C394,SEARCH("-",C394)-1),"")</f>
        <v>perry</v>
      </c>
    </row>
    <row r="395" spans="1:19" x14ac:dyDescent="0.25">
      <c r="A395" t="s">
        <v>266</v>
      </c>
      <c r="B395">
        <v>4</v>
      </c>
      <c r="C395" t="s">
        <v>862</v>
      </c>
      <c r="D395" t="s">
        <v>473</v>
      </c>
      <c r="E395">
        <v>10.9</v>
      </c>
      <c r="G395">
        <v>10.9</v>
      </c>
      <c r="H395">
        <v>0</v>
      </c>
      <c r="I395">
        <v>0</v>
      </c>
      <c r="J395" t="s">
        <v>4826</v>
      </c>
      <c r="K395" t="str">
        <f t="shared" si="12"/>
        <v>Will Fuller V4</v>
      </c>
      <c r="L395" s="21" t="str">
        <f>IF(ISERROR(MATCH($A395,'F Proj'!$B$1:$B$7669,0)),IF(ISERROR(MATCH($A395,'D Proj'!$B$1:$B$513,0)),IF(ISERROR(MATCH($A395,'K Proj'!$B$1:$B$508,0)),"?","K"),"D"),"FLEX")</f>
        <v>FLEX</v>
      </c>
      <c r="M395" s="21">
        <f>MATCH(L395,Pos,0)</f>
        <v>1</v>
      </c>
      <c r="N395" s="21">
        <f>CHOOSE($M395,MATCH($A395&amp;$B395,'F Proj'!$P$1:$P$7669,0),MATCH($A395&amp;$B395,'D Proj'!$X$1:$X$513,0),MATCH($A395&amp;$B395,'K Proj'!$T$1:$T$508,0))</f>
        <v>1187</v>
      </c>
      <c r="O395">
        <f>CHOOSE(M395,INDEX('F Proj'!$D$1:$D$7669,N395),INDEX('D Proj'!$T$1:$T$513,N395),INDEX('K Proj'!$L$1:$L$508,N395))</f>
        <v>9.48</v>
      </c>
      <c r="P395">
        <f>CHOOSE(M395,INDEX('F Proj'!$J$1:$J$7669,N395),INDEX('D Proj'!$N$1:$N$513,N395),INDEX('K Proj'!$P$1:$P$508,N395))</f>
        <v>48.5809</v>
      </c>
      <c r="Q395" t="str">
        <f t="shared" si="13"/>
        <v>WR</v>
      </c>
      <c r="R395" t="str">
        <f>IF(L395="FLEX",INDEX('F Proj'!$F$1:$F$7669,N395),Q395)</f>
        <v>WR</v>
      </c>
      <c r="S395" t="str">
        <f>IF((Week+Half_Week-1)&gt;=VALUE(RIGHT(C395,LEN(C395)-SEARCH("-",C395))),LEFT(C395,SEARCH("-",C395)-1),"")</f>
        <v>perry</v>
      </c>
    </row>
    <row r="396" spans="1:19" x14ac:dyDescent="0.25">
      <c r="A396" t="s">
        <v>266</v>
      </c>
      <c r="B396">
        <v>5</v>
      </c>
      <c r="C396" t="s">
        <v>889</v>
      </c>
      <c r="D396" t="s">
        <v>473</v>
      </c>
      <c r="E396" t="s">
        <v>8947</v>
      </c>
      <c r="G396">
        <v>8.69</v>
      </c>
      <c r="H396">
        <v>6.8</v>
      </c>
      <c r="I396">
        <v>46.24</v>
      </c>
      <c r="J396" t="s">
        <v>9028</v>
      </c>
      <c r="K396" t="str">
        <f t="shared" si="12"/>
        <v>Will Fuller V5</v>
      </c>
      <c r="L396" s="21" t="str">
        <f>IF(ISERROR(MATCH($A396,'F Proj'!$B$1:$B$7669,0)),IF(ISERROR(MATCH($A396,'D Proj'!$B$1:$B$513,0)),IF(ISERROR(MATCH($A396,'K Proj'!$B$1:$B$508,0)),"?","K"),"D"),"FLEX")</f>
        <v>FLEX</v>
      </c>
      <c r="M396" s="21">
        <f>MATCH(L396,Pos,0)</f>
        <v>1</v>
      </c>
      <c r="N396" s="21">
        <f>CHOOSE($M396,MATCH($A396&amp;$B396,'F Proj'!$P$1:$P$7669,0),MATCH($A396&amp;$B396,'D Proj'!$X$1:$X$513,0),MATCH($A396&amp;$B396,'K Proj'!$T$1:$T$508,0))</f>
        <v>1337</v>
      </c>
      <c r="O396">
        <f>CHOOSE(M396,INDEX('F Proj'!$D$1:$D$7669,N396),INDEX('D Proj'!$T$1:$T$513,N396),INDEX('K Proj'!$L$1:$L$508,N396))</f>
        <v>8.69</v>
      </c>
      <c r="P396">
        <f>CHOOSE(M396,INDEX('F Proj'!$J$1:$J$7669,N396),INDEX('D Proj'!$N$1:$N$513,N396),INDEX('K Proj'!$P$1:$P$508,N396))</f>
        <v>46.24</v>
      </c>
      <c r="Q396" t="str">
        <f t="shared" si="13"/>
        <v>WR</v>
      </c>
      <c r="R396" t="str">
        <f>IF(L396="FLEX",INDEX('F Proj'!$F$1:$F$7669,N396),Q396)</f>
        <v>WR</v>
      </c>
      <c r="S396" t="str">
        <f>IF((Week+Half_Week-1)&gt;=VALUE(RIGHT(C396,LEN(C396)-SEARCH("-",C396))),LEFT(C396,SEARCH("-",C396)-1),"")</f>
        <v/>
      </c>
    </row>
    <row r="397" spans="1:19" x14ac:dyDescent="0.25">
      <c r="A397" t="s">
        <v>177</v>
      </c>
      <c r="B397">
        <v>1</v>
      </c>
      <c r="C397" t="s">
        <v>508</v>
      </c>
      <c r="D397" t="s">
        <v>475</v>
      </c>
      <c r="E397">
        <v>4.8</v>
      </c>
      <c r="G397">
        <v>4.8</v>
      </c>
      <c r="H397">
        <v>0</v>
      </c>
      <c r="I397">
        <v>0</v>
      </c>
      <c r="J397" t="s">
        <v>561</v>
      </c>
      <c r="K397" t="str">
        <f t="shared" si="12"/>
        <v>Zach Ertz1</v>
      </c>
      <c r="L397" s="21" t="str">
        <f>IF(ISERROR(MATCH($A397,'F Proj'!$B$1:$B$7669,0)),IF(ISERROR(MATCH($A397,'D Proj'!$B$1:$B$513,0)),IF(ISERROR(MATCH($A397,'K Proj'!$B$1:$B$508,0)),"?","K"),"D"),"FLEX")</f>
        <v>FLEX</v>
      </c>
      <c r="M397" s="21">
        <f>MATCH(L397,Pos,0)</f>
        <v>1</v>
      </c>
      <c r="N397" s="21">
        <f>CHOOSE($M397,MATCH($A397&amp;$B397,'F Proj'!$P$1:$P$7669,0),MATCH($A397&amp;$B397,'D Proj'!$X$1:$X$513,0),MATCH($A397&amp;$B397,'K Proj'!$T$1:$T$508,0))</f>
        <v>1046</v>
      </c>
      <c r="O397">
        <f>CHOOSE(M397,INDEX('F Proj'!$D$1:$D$7669,N397),INDEX('D Proj'!$T$1:$T$513,N397),INDEX('K Proj'!$L$1:$L$508,N397))</f>
        <v>10.17</v>
      </c>
      <c r="P397">
        <f>CHOOSE(M397,INDEX('F Proj'!$J$1:$J$7669,N397),INDEX('D Proj'!$N$1:$N$513,N397),INDEX('K Proj'!$P$1:$P$508,N397))</f>
        <v>38.688400000000001</v>
      </c>
      <c r="Q397" t="str">
        <f t="shared" si="13"/>
        <v>TE</v>
      </c>
      <c r="R397" t="str">
        <f>IF(L397="FLEX",INDEX('F Proj'!$F$1:$F$7669,N397),Q397)</f>
        <v>TE</v>
      </c>
      <c r="S397" t="str">
        <f>IF((Week+Half_Week-1)&gt;=VALUE(RIGHT(C397,LEN(C397)-SEARCH("-",C397))),LEFT(C397,SEARCH("-",C397)-1),"")</f>
        <v>perry</v>
      </c>
    </row>
    <row r="398" spans="1:19" x14ac:dyDescent="0.25">
      <c r="A398" t="s">
        <v>177</v>
      </c>
      <c r="B398">
        <v>2</v>
      </c>
      <c r="C398" t="s">
        <v>616</v>
      </c>
      <c r="D398" t="s">
        <v>475</v>
      </c>
      <c r="E398">
        <v>9.4</v>
      </c>
      <c r="G398">
        <v>9.4</v>
      </c>
      <c r="H398">
        <v>0</v>
      </c>
      <c r="I398">
        <v>0</v>
      </c>
      <c r="J398" t="s">
        <v>696</v>
      </c>
      <c r="K398" t="str">
        <f t="shared" si="12"/>
        <v>Zach Ertz2</v>
      </c>
      <c r="L398" s="21" t="str">
        <f>IF(ISERROR(MATCH($A398,'F Proj'!$B$1:$B$7669,0)),IF(ISERROR(MATCH($A398,'D Proj'!$B$1:$B$513,0)),IF(ISERROR(MATCH($A398,'K Proj'!$B$1:$B$508,0)),"?","K"),"D"),"FLEX")</f>
        <v>FLEX</v>
      </c>
      <c r="M398" s="21">
        <f>MATCH(L398,Pos,0)</f>
        <v>1</v>
      </c>
      <c r="N398" s="21">
        <f>CHOOSE($M398,MATCH($A398&amp;$B398,'F Proj'!$P$1:$P$7669,0),MATCH($A398&amp;$B398,'D Proj'!$X$1:$X$513,0),MATCH($A398&amp;$B398,'K Proj'!$T$1:$T$508,0))</f>
        <v>1299</v>
      </c>
      <c r="O398">
        <f>CHOOSE(M398,INDEX('F Proj'!$D$1:$D$7669,N398),INDEX('D Proj'!$T$1:$T$513,N398),INDEX('K Proj'!$L$1:$L$508,N398))</f>
        <v>8.89</v>
      </c>
      <c r="P398">
        <f>CHOOSE(M398,INDEX('F Proj'!$J$1:$J$7669,N398),INDEX('D Proj'!$N$1:$N$513,N398),INDEX('K Proj'!$P$1:$P$508,N398))</f>
        <v>26.728899999999999</v>
      </c>
      <c r="Q398" t="str">
        <f t="shared" si="13"/>
        <v>TE</v>
      </c>
      <c r="R398" t="str">
        <f>IF(L398="FLEX",INDEX('F Proj'!$F$1:$F$7669,N398),Q398)</f>
        <v>TE</v>
      </c>
      <c r="S398" t="str">
        <f>IF((Week+Half_Week-1)&gt;=VALUE(RIGHT(C398,LEN(C398)-SEARCH("-",C398))),LEFT(C398,SEARCH("-",C398)-1),"")</f>
        <v>perry</v>
      </c>
    </row>
    <row r="399" spans="1:19" x14ac:dyDescent="0.25">
      <c r="A399" t="s">
        <v>177</v>
      </c>
      <c r="B399">
        <v>3</v>
      </c>
      <c r="C399" t="s">
        <v>809</v>
      </c>
      <c r="D399" t="s">
        <v>475</v>
      </c>
      <c r="E399">
        <v>7.3</v>
      </c>
      <c r="G399">
        <v>7.3</v>
      </c>
      <c r="H399">
        <v>0</v>
      </c>
      <c r="I399">
        <v>0</v>
      </c>
      <c r="J399" t="s">
        <v>4344</v>
      </c>
      <c r="K399" t="str">
        <f t="shared" si="12"/>
        <v>Zach Ertz3</v>
      </c>
      <c r="L399" s="21" t="str">
        <f>IF(ISERROR(MATCH($A399,'F Proj'!$B$1:$B$7669,0)),IF(ISERROR(MATCH($A399,'D Proj'!$B$1:$B$513,0)),IF(ISERROR(MATCH($A399,'K Proj'!$B$1:$B$508,0)),"?","K"),"D"),"FLEX")</f>
        <v>FLEX</v>
      </c>
      <c r="M399" s="21">
        <f>MATCH(L399,Pos,0)</f>
        <v>1</v>
      </c>
      <c r="N399" s="21">
        <f>CHOOSE($M399,MATCH($A399&amp;$B399,'F Proj'!$P$1:$P$7669,0),MATCH($A399&amp;$B399,'D Proj'!$X$1:$X$513,0),MATCH($A399&amp;$B399,'K Proj'!$T$1:$T$508,0))</f>
        <v>1249</v>
      </c>
      <c r="O399">
        <f>CHOOSE(M399,INDEX('F Proj'!$D$1:$D$7669,N399),INDEX('D Proj'!$T$1:$T$513,N399),INDEX('K Proj'!$L$1:$L$508,N399))</f>
        <v>9.15</v>
      </c>
      <c r="P399">
        <f>CHOOSE(M399,INDEX('F Proj'!$J$1:$J$7669,N399),INDEX('D Proj'!$N$1:$N$513,N399),INDEX('K Proj'!$P$1:$P$508,N399))</f>
        <v>29.052099999999999</v>
      </c>
      <c r="Q399" t="str">
        <f t="shared" si="13"/>
        <v>TE</v>
      </c>
      <c r="R399" t="str">
        <f>IF(L399="FLEX",INDEX('F Proj'!$F$1:$F$7669,N399),Q399)</f>
        <v>TE</v>
      </c>
      <c r="S399" t="str">
        <f>IF((Week+Half_Week-1)&gt;=VALUE(RIGHT(C399,LEN(C399)-SEARCH("-",C399))),LEFT(C399,SEARCH("-",C399)-1),"")</f>
        <v>perry</v>
      </c>
    </row>
    <row r="400" spans="1:19" x14ac:dyDescent="0.25">
      <c r="A400" t="s">
        <v>177</v>
      </c>
      <c r="B400">
        <v>4</v>
      </c>
      <c r="C400" t="s">
        <v>862</v>
      </c>
      <c r="D400" t="s">
        <v>475</v>
      </c>
      <c r="E400">
        <v>11.2</v>
      </c>
      <c r="G400">
        <v>11.2</v>
      </c>
      <c r="H400">
        <v>0</v>
      </c>
      <c r="I400">
        <v>0</v>
      </c>
      <c r="J400" t="s">
        <v>4827</v>
      </c>
      <c r="K400" t="str">
        <f t="shared" si="12"/>
        <v>Zach Ertz4</v>
      </c>
      <c r="L400" s="21" t="str">
        <f>IF(ISERROR(MATCH($A400,'F Proj'!$B$1:$B$7669,0)),IF(ISERROR(MATCH($A400,'D Proj'!$B$1:$B$513,0)),IF(ISERROR(MATCH($A400,'K Proj'!$B$1:$B$508,0)),"?","K"),"D"),"FLEX")</f>
        <v>FLEX</v>
      </c>
      <c r="M400" s="21">
        <f>MATCH(L400,Pos,0)</f>
        <v>1</v>
      </c>
      <c r="N400" s="21">
        <f>CHOOSE($M400,MATCH($A400&amp;$B400,'F Proj'!$P$1:$P$7669,0),MATCH($A400&amp;$B400,'D Proj'!$X$1:$X$513,0),MATCH($A400&amp;$B400,'K Proj'!$T$1:$T$508,0))</f>
        <v>1198</v>
      </c>
      <c r="O400">
        <f>CHOOSE(M400,INDEX('F Proj'!$D$1:$D$7669,N400),INDEX('D Proj'!$T$1:$T$513,N400),INDEX('K Proj'!$L$1:$L$508,N400))</f>
        <v>9.39</v>
      </c>
      <c r="P400">
        <f>CHOOSE(M400,INDEX('F Proj'!$J$1:$J$7669,N400),INDEX('D Proj'!$N$1:$N$513,N400),INDEX('K Proj'!$P$1:$P$508,N400))</f>
        <v>23.619599999999998</v>
      </c>
      <c r="Q400" t="str">
        <f t="shared" si="13"/>
        <v>TE</v>
      </c>
      <c r="R400" t="str">
        <f>IF(L400="FLEX",INDEX('F Proj'!$F$1:$F$7669,N400),Q400)</f>
        <v>TE</v>
      </c>
      <c r="S400" t="str">
        <f>IF((Week+Half_Week-1)&gt;=VALUE(RIGHT(C400,LEN(C400)-SEARCH("-",C400))),LEFT(C400,SEARCH("-",C400)-1),"")</f>
        <v>perry</v>
      </c>
    </row>
    <row r="401" spans="1:19" x14ac:dyDescent="0.25">
      <c r="A401" t="s">
        <v>177</v>
      </c>
      <c r="B401">
        <v>5</v>
      </c>
      <c r="C401" t="s">
        <v>889</v>
      </c>
      <c r="D401" t="s">
        <v>475</v>
      </c>
      <c r="E401" t="s">
        <v>8947</v>
      </c>
      <c r="G401">
        <v>9.61</v>
      </c>
      <c r="H401">
        <v>5.22</v>
      </c>
      <c r="I401">
        <v>27.2484</v>
      </c>
      <c r="J401" t="s">
        <v>9029</v>
      </c>
      <c r="K401" t="str">
        <f t="shared" si="12"/>
        <v>Zach Ertz5</v>
      </c>
      <c r="L401" s="21" t="str">
        <f>IF(ISERROR(MATCH($A401,'F Proj'!$B$1:$B$7669,0)),IF(ISERROR(MATCH($A401,'D Proj'!$B$1:$B$513,0)),IF(ISERROR(MATCH($A401,'K Proj'!$B$1:$B$508,0)),"?","K"),"D"),"FLEX")</f>
        <v>FLEX</v>
      </c>
      <c r="M401" s="21">
        <f>MATCH(L401,Pos,0)</f>
        <v>1</v>
      </c>
      <c r="N401" s="21">
        <f>CHOOSE($M401,MATCH($A401&amp;$B401,'F Proj'!$P$1:$P$7669,0),MATCH($A401&amp;$B401,'D Proj'!$X$1:$X$513,0),MATCH($A401&amp;$B401,'K Proj'!$T$1:$T$508,0))</f>
        <v>1161</v>
      </c>
      <c r="O401">
        <f>CHOOSE(M401,INDEX('F Proj'!$D$1:$D$7669,N401),INDEX('D Proj'!$T$1:$T$513,N401),INDEX('K Proj'!$L$1:$L$508,N401))</f>
        <v>9.61</v>
      </c>
      <c r="P401">
        <f>CHOOSE(M401,INDEX('F Proj'!$J$1:$J$7669,N401),INDEX('D Proj'!$N$1:$N$513,N401),INDEX('K Proj'!$P$1:$P$508,N401))</f>
        <v>27.2484</v>
      </c>
      <c r="Q401" t="str">
        <f t="shared" si="13"/>
        <v>TE</v>
      </c>
      <c r="R401" t="str">
        <f>IF(L401="FLEX",INDEX('F Proj'!$F$1:$F$7669,N401),Q401)</f>
        <v>TE</v>
      </c>
      <c r="S401" t="str">
        <f>IF((Week+Half_Week-1)&gt;=VALUE(RIGHT(C401,LEN(C401)-SEARCH("-",C401))),LEFT(C401,SEARCH("-",C401)-1),"")</f>
        <v/>
      </c>
    </row>
    <row r="402" spans="1:19" x14ac:dyDescent="0.25">
      <c r="A402" t="s">
        <v>451</v>
      </c>
      <c r="B402">
        <v>5</v>
      </c>
      <c r="C402" t="s">
        <v>888</v>
      </c>
      <c r="D402" t="s">
        <v>478</v>
      </c>
      <c r="E402" t="s">
        <v>8947</v>
      </c>
      <c r="G402">
        <v>8.64</v>
      </c>
      <c r="H402">
        <v>4.8899999999999997</v>
      </c>
      <c r="I402">
        <v>23.912099999999999</v>
      </c>
      <c r="J402" t="s">
        <v>9035</v>
      </c>
      <c r="K402" t="str">
        <f t="shared" si="12"/>
        <v>Cairo Santos5</v>
      </c>
      <c r="L402" s="21" t="str">
        <f>IF(ISERROR(MATCH($A402,'F Proj'!$B$1:$B$7669,0)),IF(ISERROR(MATCH($A402,'D Proj'!$B$1:$B$513,0)),IF(ISERROR(MATCH($A402,'K Proj'!$B$1:$B$508,0)),"?","K"),"D"),"FLEX")</f>
        <v>K</v>
      </c>
      <c r="M402" s="21">
        <f>MATCH(L402,Pos,0)</f>
        <v>3</v>
      </c>
      <c r="N402" s="21">
        <f>CHOOSE($M402,MATCH($A402&amp;$B402,'F Proj'!$P$1:$P$7669,0),MATCH($A402&amp;$B402,'D Proj'!$X$1:$X$513,0),MATCH($A402&amp;$B402,'K Proj'!$T$1:$T$508,0))</f>
        <v>183</v>
      </c>
      <c r="O402">
        <f>CHOOSE(M402,INDEX('F Proj'!$D$1:$D$7669,N402),INDEX('D Proj'!$T$1:$T$513,N402),INDEX('K Proj'!$L$1:$L$508,N402))</f>
        <v>7.41</v>
      </c>
      <c r="P402">
        <f>CHOOSE(M402,INDEX('F Proj'!$J$1:$J$7669,N402),INDEX('D Proj'!$N$1:$N$513,N402),INDEX('K Proj'!$P$1:$P$508,N402))</f>
        <v>23.912099999999999</v>
      </c>
      <c r="Q402" t="str">
        <f t="shared" si="13"/>
        <v>K</v>
      </c>
      <c r="R402" t="str">
        <f>IF(L402="FLEX",INDEX('F Proj'!$F$1:$F$7669,N402),Q402)</f>
        <v>K</v>
      </c>
      <c r="S402" t="str">
        <f>IF((Week+Half_Week-1)&gt;=VALUE(RIGHT(C402,LEN(C402)-SEARCH("-",C402))),LEFT(C402,SEARCH("-",C402)-1),"")</f>
        <v/>
      </c>
    </row>
    <row r="403" spans="1:19" x14ac:dyDescent="0.25">
      <c r="A403" t="s">
        <v>455</v>
      </c>
      <c r="B403">
        <v>1</v>
      </c>
      <c r="C403" t="s">
        <v>508</v>
      </c>
      <c r="D403" t="s">
        <v>478</v>
      </c>
      <c r="E403">
        <v>0</v>
      </c>
      <c r="G403">
        <v>0</v>
      </c>
      <c r="H403">
        <v>0</v>
      </c>
      <c r="I403">
        <v>0</v>
      </c>
      <c r="J403" t="s">
        <v>581</v>
      </c>
      <c r="K403" t="str">
        <f t="shared" si="12"/>
        <v>Chris Boswell1</v>
      </c>
      <c r="L403" s="21" t="str">
        <f>IF(ISERROR(MATCH($A403,'F Proj'!$B$1:$B$7669,0)),IF(ISERROR(MATCH($A403,'D Proj'!$B$1:$B$513,0)),IF(ISERROR(MATCH($A403,'K Proj'!$B$1:$B$508,0)),"?","K"),"D"),"FLEX")</f>
        <v>K</v>
      </c>
      <c r="M403" s="21">
        <f>MATCH(L403,Pos,0)</f>
        <v>3</v>
      </c>
      <c r="N403" s="21">
        <f>CHOOSE($M403,MATCH($A403&amp;$B403,'F Proj'!$P$1:$P$7669,0),MATCH($A403&amp;$B403,'D Proj'!$X$1:$X$513,0),MATCH($A403&amp;$B403,'K Proj'!$T$1:$T$508,0))</f>
        <v>100</v>
      </c>
      <c r="O403">
        <f>CHOOSE(M403,INDEX('F Proj'!$D$1:$D$7669,N403),INDEX('D Proj'!$T$1:$T$513,N403),INDEX('K Proj'!$L$1:$L$508,N403))</f>
        <v>7.99</v>
      </c>
      <c r="P403">
        <f>CHOOSE(M403,INDEX('F Proj'!$J$1:$J$7669,N403),INDEX('D Proj'!$N$1:$N$513,N403),INDEX('K Proj'!$P$1:$P$508,N403))</f>
        <v>14.7456</v>
      </c>
      <c r="Q403" t="str">
        <f t="shared" si="13"/>
        <v>K</v>
      </c>
      <c r="R403" t="str">
        <f>IF(L403="FLEX",INDEX('F Proj'!$F$1:$F$7669,N403),Q403)</f>
        <v>K</v>
      </c>
      <c r="S403" t="str">
        <f>IF((Week+Half_Week-1)&gt;=VALUE(RIGHT(C403,LEN(C403)-SEARCH("-",C403))),LEFT(C403,SEARCH("-",C403)-1),"")</f>
        <v>perry</v>
      </c>
    </row>
    <row r="404" spans="1:19" x14ac:dyDescent="0.25">
      <c r="A404" t="s">
        <v>455</v>
      </c>
      <c r="B404">
        <v>2</v>
      </c>
      <c r="C404" t="s">
        <v>616</v>
      </c>
      <c r="D404" t="s">
        <v>478</v>
      </c>
      <c r="E404">
        <v>-1</v>
      </c>
      <c r="G404">
        <v>-1</v>
      </c>
      <c r="H404">
        <v>0</v>
      </c>
      <c r="I404">
        <v>0</v>
      </c>
      <c r="J404" t="s">
        <v>699</v>
      </c>
      <c r="K404" t="str">
        <f t="shared" si="12"/>
        <v>Chris Boswell2</v>
      </c>
      <c r="L404" s="21" t="str">
        <f>IF(ISERROR(MATCH($A404,'F Proj'!$B$1:$B$7669,0)),IF(ISERROR(MATCH($A404,'D Proj'!$B$1:$B$513,0)),IF(ISERROR(MATCH($A404,'K Proj'!$B$1:$B$508,0)),"?","K"),"D"),"FLEX")</f>
        <v>K</v>
      </c>
      <c r="M404" s="21">
        <f>MATCH(L404,Pos,0)</f>
        <v>3</v>
      </c>
      <c r="N404" s="21">
        <f>CHOOSE($M404,MATCH($A404&amp;$B404,'F Proj'!$P$1:$P$7669,0),MATCH($A404&amp;$B404,'D Proj'!$X$1:$X$513,0),MATCH($A404&amp;$B404,'K Proj'!$T$1:$T$508,0))</f>
        <v>83</v>
      </c>
      <c r="O404">
        <f>CHOOSE(M404,INDEX('F Proj'!$D$1:$D$7669,N404),INDEX('D Proj'!$T$1:$T$513,N404),INDEX('K Proj'!$L$1:$L$508,N404))</f>
        <v>8.1199999999999992</v>
      </c>
      <c r="P404">
        <f>CHOOSE(M404,INDEX('F Proj'!$J$1:$J$7669,N404),INDEX('D Proj'!$N$1:$N$513,N404),INDEX('K Proj'!$P$1:$P$508,N404))</f>
        <v>16.974399999999999</v>
      </c>
      <c r="Q404" t="str">
        <f t="shared" si="13"/>
        <v>K</v>
      </c>
      <c r="R404" t="str">
        <f>IF(L404="FLEX",INDEX('F Proj'!$F$1:$F$7669,N404),Q404)</f>
        <v>K</v>
      </c>
      <c r="S404" t="str">
        <f>IF((Week+Half_Week-1)&gt;=VALUE(RIGHT(C404,LEN(C404)-SEARCH("-",C404))),LEFT(C404,SEARCH("-",C404)-1),"")</f>
        <v>perry</v>
      </c>
    </row>
    <row r="405" spans="1:19" x14ac:dyDescent="0.25">
      <c r="A405" t="s">
        <v>455</v>
      </c>
      <c r="B405">
        <v>3</v>
      </c>
      <c r="C405" t="s">
        <v>809</v>
      </c>
      <c r="D405" t="s">
        <v>478</v>
      </c>
      <c r="E405">
        <v>2</v>
      </c>
      <c r="G405">
        <v>2</v>
      </c>
      <c r="H405">
        <v>0</v>
      </c>
      <c r="I405">
        <v>0</v>
      </c>
      <c r="J405" t="s">
        <v>4345</v>
      </c>
      <c r="K405" t="str">
        <f t="shared" si="12"/>
        <v>Chris Boswell3</v>
      </c>
      <c r="L405" s="21" t="str">
        <f>IF(ISERROR(MATCH($A405,'F Proj'!$B$1:$B$7669,0)),IF(ISERROR(MATCH($A405,'D Proj'!$B$1:$B$513,0)),IF(ISERROR(MATCH($A405,'K Proj'!$B$1:$B$508,0)),"?","K"),"D"),"FLEX")</f>
        <v>K</v>
      </c>
      <c r="M405" s="21">
        <f>MATCH(L405,Pos,0)</f>
        <v>3</v>
      </c>
      <c r="N405" s="21">
        <f>CHOOSE($M405,MATCH($A405&amp;$B405,'F Proj'!$P$1:$P$7669,0),MATCH($A405&amp;$B405,'D Proj'!$X$1:$X$513,0),MATCH($A405&amp;$B405,'K Proj'!$T$1:$T$508,0))</f>
        <v>126</v>
      </c>
      <c r="O405">
        <f>CHOOSE(M405,INDEX('F Proj'!$D$1:$D$7669,N405),INDEX('D Proj'!$T$1:$T$513,N405),INDEX('K Proj'!$L$1:$L$508,N405))</f>
        <v>7.75</v>
      </c>
      <c r="P405">
        <f>CHOOSE(M405,INDEX('F Proj'!$J$1:$J$7669,N405),INDEX('D Proj'!$N$1:$N$513,N405),INDEX('K Proj'!$P$1:$P$508,N405))</f>
        <v>12.3904</v>
      </c>
      <c r="Q405" t="str">
        <f t="shared" si="13"/>
        <v>K</v>
      </c>
      <c r="R405" t="str">
        <f>IF(L405="FLEX",INDEX('F Proj'!$F$1:$F$7669,N405),Q405)</f>
        <v>K</v>
      </c>
      <c r="S405" t="str">
        <f>IF((Week+Half_Week-1)&gt;=VALUE(RIGHT(C405,LEN(C405)-SEARCH("-",C405))),LEFT(C405,SEARCH("-",C405)-1),"")</f>
        <v>perry</v>
      </c>
    </row>
    <row r="406" spans="1:19" x14ac:dyDescent="0.25">
      <c r="A406" t="s">
        <v>445</v>
      </c>
      <c r="B406">
        <v>3</v>
      </c>
      <c r="C406" t="s">
        <v>806</v>
      </c>
      <c r="D406" t="s">
        <v>478</v>
      </c>
      <c r="E406">
        <v>0</v>
      </c>
      <c r="G406">
        <v>0</v>
      </c>
      <c r="H406">
        <v>0</v>
      </c>
      <c r="I406">
        <v>0</v>
      </c>
      <c r="J406" t="s">
        <v>4346</v>
      </c>
      <c r="K406" t="str">
        <f t="shared" si="12"/>
        <v>Dan Bailey3</v>
      </c>
      <c r="L406" s="21" t="str">
        <f>IF(ISERROR(MATCH($A406,'F Proj'!$B$1:$B$7669,0)),IF(ISERROR(MATCH($A406,'D Proj'!$B$1:$B$513,0)),IF(ISERROR(MATCH($A406,'K Proj'!$B$1:$B$508,0)),"?","K"),"D"),"FLEX")</f>
        <v>K</v>
      </c>
      <c r="M406" s="21">
        <f>MATCH(L406,Pos,0)</f>
        <v>3</v>
      </c>
      <c r="N406" s="21">
        <f>CHOOSE($M406,MATCH($A406&amp;$B406,'F Proj'!$P$1:$P$7669,0),MATCH($A406&amp;$B406,'D Proj'!$X$1:$X$513,0),MATCH($A406&amp;$B406,'K Proj'!$T$1:$T$508,0))</f>
        <v>211</v>
      </c>
      <c r="O406">
        <f>CHOOSE(M406,INDEX('F Proj'!$D$1:$D$7669,N406),INDEX('D Proj'!$T$1:$T$513,N406),INDEX('K Proj'!$L$1:$L$508,N406))</f>
        <v>7.27</v>
      </c>
      <c r="P406">
        <f>CHOOSE(M406,INDEX('F Proj'!$J$1:$J$7669,N406),INDEX('D Proj'!$N$1:$N$513,N406),INDEX('K Proj'!$P$1:$P$508,N406))</f>
        <v>18.232900000000001</v>
      </c>
      <c r="Q406" t="str">
        <f t="shared" si="13"/>
        <v>K</v>
      </c>
      <c r="R406" t="str">
        <f>IF(L406="FLEX",INDEX('F Proj'!$F$1:$F$7669,N406),Q406)</f>
        <v>K</v>
      </c>
      <c r="S406" t="str">
        <f>IF((Week+Half_Week-1)&gt;=VALUE(RIGHT(C406,LEN(C406)-SEARCH("-",C406))),LEFT(C406,SEARCH("-",C406)-1),"")</f>
        <v>aj</v>
      </c>
    </row>
    <row r="407" spans="1:19" x14ac:dyDescent="0.25">
      <c r="A407" t="s">
        <v>456</v>
      </c>
      <c r="B407">
        <v>1</v>
      </c>
      <c r="C407" t="s">
        <v>507</v>
      </c>
      <c r="D407" t="s">
        <v>478</v>
      </c>
      <c r="E407">
        <v>4</v>
      </c>
      <c r="G407">
        <v>4</v>
      </c>
      <c r="H407">
        <v>0</v>
      </c>
      <c r="I407">
        <v>0</v>
      </c>
      <c r="J407" t="s">
        <v>582</v>
      </c>
      <c r="K407" t="str">
        <f t="shared" si="12"/>
        <v>Graham Gano1</v>
      </c>
      <c r="L407" s="21" t="str">
        <f>IF(ISERROR(MATCH($A407,'F Proj'!$B$1:$B$7669,0)),IF(ISERROR(MATCH($A407,'D Proj'!$B$1:$B$513,0)),IF(ISERROR(MATCH($A407,'K Proj'!$B$1:$B$508,0)),"?","K"),"D"),"FLEX")</f>
        <v>K</v>
      </c>
      <c r="M407" s="21">
        <f>MATCH(L407,Pos,0)</f>
        <v>3</v>
      </c>
      <c r="N407" s="21">
        <f>CHOOSE($M407,MATCH($A407&amp;$B407,'F Proj'!$P$1:$P$7669,0),MATCH($A407&amp;$B407,'D Proj'!$X$1:$X$513,0),MATCH($A407&amp;$B407,'K Proj'!$T$1:$T$508,0))</f>
        <v>67</v>
      </c>
      <c r="O407">
        <f>CHOOSE(M407,INDEX('F Proj'!$D$1:$D$7669,N407),INDEX('D Proj'!$T$1:$T$513,N407),INDEX('K Proj'!$L$1:$L$508,N407))</f>
        <v>8.27</v>
      </c>
      <c r="P407">
        <f>CHOOSE(M407,INDEX('F Proj'!$J$1:$J$7669,N407),INDEX('D Proj'!$N$1:$N$513,N407),INDEX('K Proj'!$P$1:$P$508,N407))</f>
        <v>22.372900000000001</v>
      </c>
      <c r="Q407" t="str">
        <f t="shared" si="13"/>
        <v>K</v>
      </c>
      <c r="R407" t="str">
        <f>IF(L407="FLEX",INDEX('F Proj'!$F$1:$F$7669,N407),Q407)</f>
        <v>K</v>
      </c>
      <c r="S407" t="str">
        <f>IF((Week+Half_Week-1)&gt;=VALUE(RIGHT(C407,LEN(C407)-SEARCH("-",C407))),LEFT(C407,SEARCH("-",C407)-1),"")</f>
        <v>aj</v>
      </c>
    </row>
    <row r="408" spans="1:19" x14ac:dyDescent="0.25">
      <c r="A408" t="s">
        <v>464</v>
      </c>
      <c r="B408">
        <v>1</v>
      </c>
      <c r="C408" t="s">
        <v>504</v>
      </c>
      <c r="D408" t="s">
        <v>478</v>
      </c>
      <c r="E408">
        <v>14</v>
      </c>
      <c r="G408">
        <v>14</v>
      </c>
      <c r="H408">
        <v>0</v>
      </c>
      <c r="I408">
        <v>0</v>
      </c>
      <c r="J408" t="s">
        <v>585</v>
      </c>
      <c r="K408" t="str">
        <f t="shared" si="12"/>
        <v>Greg Zuerlein1</v>
      </c>
      <c r="L408" s="21" t="str">
        <f>IF(ISERROR(MATCH($A408,'F Proj'!$B$1:$B$7669,0)),IF(ISERROR(MATCH($A408,'D Proj'!$B$1:$B$513,0)),IF(ISERROR(MATCH($A408,'K Proj'!$B$1:$B$508,0)),"?","K"),"D"),"FLEX")</f>
        <v>K</v>
      </c>
      <c r="M408" s="21">
        <f>MATCH(L408,Pos,0)</f>
        <v>3</v>
      </c>
      <c r="N408" s="21">
        <f>CHOOSE($M408,MATCH($A408&amp;$B408,'F Proj'!$P$1:$P$7669,0),MATCH($A408&amp;$B408,'D Proj'!$X$1:$X$513,0),MATCH($A408&amp;$B408,'K Proj'!$T$1:$T$508,0))</f>
        <v>8</v>
      </c>
      <c r="O408">
        <f>CHOOSE(M408,INDEX('F Proj'!$D$1:$D$7669,N408),INDEX('D Proj'!$T$1:$T$513,N408),INDEX('K Proj'!$L$1:$L$508,N408))</f>
        <v>9.24</v>
      </c>
      <c r="P408">
        <f>CHOOSE(M408,INDEX('F Proj'!$J$1:$J$7669,N408),INDEX('D Proj'!$N$1:$N$513,N408),INDEX('K Proj'!$P$1:$P$508,N408))</f>
        <v>12.602499999999999</v>
      </c>
      <c r="Q408" t="str">
        <f t="shared" si="13"/>
        <v>K</v>
      </c>
      <c r="R408" t="str">
        <f>IF(L408="FLEX",INDEX('F Proj'!$F$1:$F$7669,N408),Q408)</f>
        <v>K</v>
      </c>
      <c r="S408" t="str">
        <f>IF((Week+Half_Week-1)&gt;=VALUE(RIGHT(C408,LEN(C408)-SEARCH("-",C408))),LEFT(C408,SEARCH("-",C408)-1),"")</f>
        <v>scott</v>
      </c>
    </row>
    <row r="409" spans="1:19" x14ac:dyDescent="0.25">
      <c r="A409" t="s">
        <v>464</v>
      </c>
      <c r="B409">
        <v>2</v>
      </c>
      <c r="C409" t="s">
        <v>628</v>
      </c>
      <c r="D409" t="s">
        <v>478</v>
      </c>
      <c r="E409">
        <v>0</v>
      </c>
      <c r="G409">
        <v>0</v>
      </c>
      <c r="H409">
        <v>0</v>
      </c>
      <c r="I409">
        <v>0</v>
      </c>
      <c r="J409" t="s">
        <v>702</v>
      </c>
      <c r="K409" t="str">
        <f t="shared" si="12"/>
        <v>Greg Zuerlein2</v>
      </c>
      <c r="L409" s="21" t="str">
        <f>IF(ISERROR(MATCH($A409,'F Proj'!$B$1:$B$7669,0)),IF(ISERROR(MATCH($A409,'D Proj'!$B$1:$B$513,0)),IF(ISERROR(MATCH($A409,'K Proj'!$B$1:$B$508,0)),"?","K"),"D"),"FLEX")</f>
        <v>K</v>
      </c>
      <c r="M409" s="21">
        <f>MATCH(L409,Pos,0)</f>
        <v>3</v>
      </c>
      <c r="N409" s="21">
        <f>CHOOSE($M409,MATCH($A409&amp;$B409,'F Proj'!$P$1:$P$7669,0),MATCH($A409&amp;$B409,'D Proj'!$X$1:$X$513,0),MATCH($A409&amp;$B409,'K Proj'!$T$1:$T$508,0))</f>
        <v>2</v>
      </c>
      <c r="O409">
        <f>CHOOSE(M409,INDEX('F Proj'!$D$1:$D$7669,N409),INDEX('D Proj'!$T$1:$T$513,N409),INDEX('K Proj'!$L$1:$L$508,N409))</f>
        <v>10.08</v>
      </c>
      <c r="P409">
        <f>CHOOSE(M409,INDEX('F Proj'!$J$1:$J$7669,N409),INDEX('D Proj'!$N$1:$N$513,N409),INDEX('K Proj'!$P$1:$P$508,N409))</f>
        <v>32.718400000000003</v>
      </c>
      <c r="Q409" t="str">
        <f t="shared" si="13"/>
        <v>K</v>
      </c>
      <c r="R409" t="str">
        <f>IF(L409="FLEX",INDEX('F Proj'!$F$1:$F$7669,N409),Q409)</f>
        <v>K</v>
      </c>
      <c r="S409" t="str">
        <f>IF((Week+Half_Week-1)&gt;=VALUE(RIGHT(C409,LEN(C409)-SEARCH("-",C409))),LEFT(C409,SEARCH("-",C409)-1),"")</f>
        <v>scott</v>
      </c>
    </row>
    <row r="410" spans="1:19" x14ac:dyDescent="0.25">
      <c r="A410" t="s">
        <v>1108</v>
      </c>
      <c r="B410">
        <v>1</v>
      </c>
      <c r="C410" t="s">
        <v>500</v>
      </c>
      <c r="D410" t="s">
        <v>478</v>
      </c>
      <c r="E410">
        <v>9</v>
      </c>
      <c r="G410">
        <v>9</v>
      </c>
      <c r="H410">
        <v>0</v>
      </c>
      <c r="I410">
        <v>0</v>
      </c>
      <c r="J410" t="s">
        <v>586</v>
      </c>
      <c r="K410" t="str">
        <f t="shared" si="12"/>
        <v>Harrison Butker1</v>
      </c>
      <c r="L410" s="21" t="str">
        <f>IF(ISERROR(MATCH($A410,'F Proj'!$B$1:$B$7669,0)),IF(ISERROR(MATCH($A410,'D Proj'!$B$1:$B$513,0)),IF(ISERROR(MATCH($A410,'K Proj'!$B$1:$B$508,0)),"?","K"),"D"),"FLEX")</f>
        <v>K</v>
      </c>
      <c r="M410" s="21">
        <f>MATCH(L410,Pos,0)</f>
        <v>3</v>
      </c>
      <c r="N410" s="21">
        <f>CHOOSE($M410,MATCH($A410&amp;$B410,'F Proj'!$P$1:$P$7669,0),MATCH($A410&amp;$B410,'D Proj'!$X$1:$X$513,0),MATCH($A410&amp;$B410,'K Proj'!$T$1:$T$508,0))</f>
        <v>192</v>
      </c>
      <c r="O410">
        <f>CHOOSE(M410,INDEX('F Proj'!$D$1:$D$7669,N410),INDEX('D Proj'!$T$1:$T$513,N410),INDEX('K Proj'!$L$1:$L$508,N410))</f>
        <v>7.36</v>
      </c>
      <c r="P410">
        <f>CHOOSE(M410,INDEX('F Proj'!$J$1:$J$7669,N410),INDEX('D Proj'!$N$1:$N$513,N410),INDEX('K Proj'!$P$1:$P$508,N410))</f>
        <v>12.602499999999999</v>
      </c>
      <c r="Q410" t="str">
        <f t="shared" si="13"/>
        <v>K</v>
      </c>
      <c r="R410" t="str">
        <f>IF(L410="FLEX",INDEX('F Proj'!$F$1:$F$7669,N410),Q410)</f>
        <v>K</v>
      </c>
      <c r="S410" t="str">
        <f>IF((Week+Half_Week-1)&gt;=VALUE(RIGHT(C410,LEN(C410)-SEARCH("-",C410))),LEFT(C410,SEARCH("-",C410)-1),"")</f>
        <v>seth</v>
      </c>
    </row>
    <row r="411" spans="1:19" x14ac:dyDescent="0.25">
      <c r="A411" t="s">
        <v>1108</v>
      </c>
      <c r="B411">
        <v>2</v>
      </c>
      <c r="C411" t="s">
        <v>630</v>
      </c>
      <c r="D411" t="s">
        <v>478</v>
      </c>
      <c r="E411">
        <v>6</v>
      </c>
      <c r="G411">
        <v>6</v>
      </c>
      <c r="H411">
        <v>0</v>
      </c>
      <c r="I411">
        <v>0</v>
      </c>
      <c r="J411" t="s">
        <v>701</v>
      </c>
      <c r="K411" t="str">
        <f t="shared" si="12"/>
        <v>Harrison Butker2</v>
      </c>
      <c r="L411" s="21" t="str">
        <f>IF(ISERROR(MATCH($A411,'F Proj'!$B$1:$B$7669,0)),IF(ISERROR(MATCH($A411,'D Proj'!$B$1:$B$513,0)),IF(ISERROR(MATCH($A411,'K Proj'!$B$1:$B$508,0)),"?","K"),"D"),"FLEX")</f>
        <v>K</v>
      </c>
      <c r="M411" s="21">
        <f>MATCH(L411,Pos,0)</f>
        <v>3</v>
      </c>
      <c r="N411" s="21">
        <f>CHOOSE($M411,MATCH($A411&amp;$B411,'F Proj'!$P$1:$P$7669,0),MATCH($A411&amp;$B411,'D Proj'!$X$1:$X$513,0),MATCH($A411&amp;$B411,'K Proj'!$T$1:$T$508,0))</f>
        <v>193</v>
      </c>
      <c r="O411">
        <f>CHOOSE(M411,INDEX('F Proj'!$D$1:$D$7669,N411),INDEX('D Proj'!$T$1:$T$513,N411),INDEX('K Proj'!$L$1:$L$508,N411))</f>
        <v>7.36</v>
      </c>
      <c r="P411">
        <f>CHOOSE(M411,INDEX('F Proj'!$J$1:$J$7669,N411),INDEX('D Proj'!$N$1:$N$513,N411),INDEX('K Proj'!$P$1:$P$508,N411))</f>
        <v>10.4976</v>
      </c>
      <c r="Q411" t="str">
        <f t="shared" si="13"/>
        <v>K</v>
      </c>
      <c r="R411" t="str">
        <f>IF(L411="FLEX",INDEX('F Proj'!$F$1:$F$7669,N411),Q411)</f>
        <v>K</v>
      </c>
      <c r="S411" t="str">
        <f>IF((Week+Half_Week-1)&gt;=VALUE(RIGHT(C411,LEN(C411)-SEARCH("-",C411))),LEFT(C411,SEARCH("-",C411)-1),"")</f>
        <v>seth</v>
      </c>
    </row>
    <row r="412" spans="1:19" x14ac:dyDescent="0.25">
      <c r="A412" t="s">
        <v>1108</v>
      </c>
      <c r="B412">
        <v>3</v>
      </c>
      <c r="C412" t="s">
        <v>808</v>
      </c>
      <c r="D412" t="s">
        <v>478</v>
      </c>
      <c r="E412">
        <v>8</v>
      </c>
      <c r="G412">
        <v>8</v>
      </c>
      <c r="H412">
        <v>0</v>
      </c>
      <c r="I412">
        <v>0</v>
      </c>
      <c r="J412" t="s">
        <v>4347</v>
      </c>
      <c r="K412" t="str">
        <f t="shared" si="12"/>
        <v>Harrison Butker3</v>
      </c>
      <c r="L412" s="21" t="str">
        <f>IF(ISERROR(MATCH($A412,'F Proj'!$B$1:$B$7669,0)),IF(ISERROR(MATCH($A412,'D Proj'!$B$1:$B$513,0)),IF(ISERROR(MATCH($A412,'K Proj'!$B$1:$B$508,0)),"?","K"),"D"),"FLEX")</f>
        <v>K</v>
      </c>
      <c r="M412" s="21">
        <f>MATCH(L412,Pos,0)</f>
        <v>3</v>
      </c>
      <c r="N412" s="21">
        <f>CHOOSE($M412,MATCH($A412&amp;$B412,'F Proj'!$P$1:$P$7669,0),MATCH($A412&amp;$B412,'D Proj'!$X$1:$X$513,0),MATCH($A412&amp;$B412,'K Proj'!$T$1:$T$508,0))</f>
        <v>65</v>
      </c>
      <c r="O412">
        <f>CHOOSE(M412,INDEX('F Proj'!$D$1:$D$7669,N412),INDEX('D Proj'!$T$1:$T$513,N412),INDEX('K Proj'!$L$1:$L$508,N412))</f>
        <v>8.3000000000000007</v>
      </c>
      <c r="P412">
        <f>CHOOSE(M412,INDEX('F Proj'!$J$1:$J$7669,N412),INDEX('D Proj'!$N$1:$N$513,N412),INDEX('K Proj'!$P$1:$P$508,N412))</f>
        <v>14.5161</v>
      </c>
      <c r="Q412" t="str">
        <f t="shared" si="13"/>
        <v>K</v>
      </c>
      <c r="R412" t="str">
        <f>IF(L412="FLEX",INDEX('F Proj'!$F$1:$F$7669,N412),Q412)</f>
        <v>K</v>
      </c>
      <c r="S412" t="str">
        <f>IF((Week+Half_Week-1)&gt;=VALUE(RIGHT(C412,LEN(C412)-SEARCH("-",C412))),LEFT(C412,SEARCH("-",C412)-1),"")</f>
        <v>seth</v>
      </c>
    </row>
    <row r="413" spans="1:19" x14ac:dyDescent="0.25">
      <c r="A413" t="s">
        <v>1108</v>
      </c>
      <c r="B413">
        <v>4</v>
      </c>
      <c r="C413" t="s">
        <v>857</v>
      </c>
      <c r="D413" t="s">
        <v>478</v>
      </c>
      <c r="E413">
        <v>9</v>
      </c>
      <c r="G413">
        <v>9</v>
      </c>
      <c r="H413">
        <v>0</v>
      </c>
      <c r="I413">
        <v>0</v>
      </c>
      <c r="J413" t="s">
        <v>4830</v>
      </c>
      <c r="K413" t="str">
        <f t="shared" si="12"/>
        <v>Harrison Butker4</v>
      </c>
      <c r="L413" s="21" t="str">
        <f>IF(ISERROR(MATCH($A413,'F Proj'!$B$1:$B$7669,0)),IF(ISERROR(MATCH($A413,'D Proj'!$B$1:$B$513,0)),IF(ISERROR(MATCH($A413,'K Proj'!$B$1:$B$508,0)),"?","K"),"D"),"FLEX")</f>
        <v>K</v>
      </c>
      <c r="M413" s="21">
        <f>MATCH(L413,Pos,0)</f>
        <v>3</v>
      </c>
      <c r="N413" s="21">
        <f>CHOOSE($M413,MATCH($A413&amp;$B413,'F Proj'!$P$1:$P$7669,0),MATCH($A413&amp;$B413,'D Proj'!$X$1:$X$513,0),MATCH($A413&amp;$B413,'K Proj'!$T$1:$T$508,0))</f>
        <v>88</v>
      </c>
      <c r="O413">
        <f>CHOOSE(M413,INDEX('F Proj'!$D$1:$D$7669,N413),INDEX('D Proj'!$T$1:$T$513,N413),INDEX('K Proj'!$L$1:$L$508,N413))</f>
        <v>8.09</v>
      </c>
      <c r="P413">
        <f>CHOOSE(M413,INDEX('F Proj'!$J$1:$J$7669,N413),INDEX('D Proj'!$N$1:$N$513,N413),INDEX('K Proj'!$P$1:$P$508,N413))</f>
        <v>20.1601</v>
      </c>
      <c r="Q413" t="str">
        <f t="shared" si="13"/>
        <v>K</v>
      </c>
      <c r="R413" t="str">
        <f>IF(L413="FLEX",INDEX('F Proj'!$F$1:$F$7669,N413),Q413)</f>
        <v>K</v>
      </c>
      <c r="S413" t="str">
        <f>IF((Week+Half_Week-1)&gt;=VALUE(RIGHT(C413,LEN(C413)-SEARCH("-",C413))),LEFT(C413,SEARCH("-",C413)-1),"")</f>
        <v>seth</v>
      </c>
    </row>
    <row r="414" spans="1:19" x14ac:dyDescent="0.25">
      <c r="A414" t="s">
        <v>1108</v>
      </c>
      <c r="B414">
        <v>5</v>
      </c>
      <c r="C414" t="s">
        <v>882</v>
      </c>
      <c r="D414" t="s">
        <v>478</v>
      </c>
      <c r="E414" t="s">
        <v>8947</v>
      </c>
      <c r="G414">
        <v>8.1199999999999992</v>
      </c>
      <c r="H414">
        <v>4.25</v>
      </c>
      <c r="I414">
        <v>18.0625</v>
      </c>
      <c r="J414" t="s">
        <v>9030</v>
      </c>
      <c r="K414" t="str">
        <f t="shared" si="12"/>
        <v>Harrison Butker5</v>
      </c>
      <c r="L414" s="21" t="str">
        <f>IF(ISERROR(MATCH($A414,'F Proj'!$B$1:$B$7669,0)),IF(ISERROR(MATCH($A414,'D Proj'!$B$1:$B$513,0)),IF(ISERROR(MATCH($A414,'K Proj'!$B$1:$B$508,0)),"?","K"),"D"),"FLEX")</f>
        <v>K</v>
      </c>
      <c r="M414" s="21">
        <f>MATCH(L414,Pos,0)</f>
        <v>3</v>
      </c>
      <c r="N414" s="21">
        <f>CHOOSE($M414,MATCH($A414&amp;$B414,'F Proj'!$P$1:$P$7669,0),MATCH($A414&amp;$B414,'D Proj'!$X$1:$X$513,0),MATCH($A414&amp;$B414,'K Proj'!$T$1:$T$508,0))</f>
        <v>214</v>
      </c>
      <c r="O414">
        <f>CHOOSE(M414,INDEX('F Proj'!$D$1:$D$7669,N414),INDEX('D Proj'!$T$1:$T$513,N414),INDEX('K Proj'!$L$1:$L$508,N414))</f>
        <v>7.25</v>
      </c>
      <c r="P414">
        <f>CHOOSE(M414,INDEX('F Proj'!$J$1:$J$7669,N414),INDEX('D Proj'!$N$1:$N$513,N414),INDEX('K Proj'!$P$1:$P$508,N414))</f>
        <v>18.0625</v>
      </c>
      <c r="Q414" t="str">
        <f t="shared" si="13"/>
        <v>K</v>
      </c>
      <c r="R414" t="str">
        <f>IF(L414="FLEX",INDEX('F Proj'!$F$1:$F$7669,N414),Q414)</f>
        <v>K</v>
      </c>
      <c r="S414" t="str">
        <f>IF((Week+Half_Week-1)&gt;=VALUE(RIGHT(C414,LEN(C414)-SEARCH("-",C414))),LEFT(C414,SEARCH("-",C414)-1),"")</f>
        <v/>
      </c>
    </row>
    <row r="415" spans="1:19" x14ac:dyDescent="0.25">
      <c r="A415" t="s">
        <v>998</v>
      </c>
      <c r="B415">
        <v>2</v>
      </c>
      <c r="C415" t="s">
        <v>625</v>
      </c>
      <c r="D415" t="s">
        <v>478</v>
      </c>
      <c r="E415">
        <v>0</v>
      </c>
      <c r="G415">
        <v>0</v>
      </c>
      <c r="H415">
        <v>0</v>
      </c>
      <c r="I415">
        <v>0</v>
      </c>
      <c r="J415" t="s">
        <v>705</v>
      </c>
      <c r="K415" t="str">
        <f t="shared" si="12"/>
        <v>Jake Elliott2</v>
      </c>
      <c r="L415" s="21" t="str">
        <f>IF(ISERROR(MATCH($A415,'F Proj'!$B$1:$B$7669,0)),IF(ISERROR(MATCH($A415,'D Proj'!$B$1:$B$513,0)),IF(ISERROR(MATCH($A415,'K Proj'!$B$1:$B$508,0)),"?","K"),"D"),"FLEX")</f>
        <v>K</v>
      </c>
      <c r="M415" s="21">
        <f>MATCH(L415,Pos,0)</f>
        <v>3</v>
      </c>
      <c r="N415" s="21">
        <f>CHOOSE($M415,MATCH($A415&amp;$B415,'F Proj'!$P$1:$P$7669,0),MATCH($A415&amp;$B415,'D Proj'!$X$1:$X$513,0),MATCH($A415&amp;$B415,'K Proj'!$T$1:$T$508,0))</f>
        <v>81</v>
      </c>
      <c r="O415">
        <f>CHOOSE(M415,INDEX('F Proj'!$D$1:$D$7669,N415),INDEX('D Proj'!$T$1:$T$513,N415),INDEX('K Proj'!$L$1:$L$508,N415))</f>
        <v>8.15</v>
      </c>
      <c r="P415">
        <f>CHOOSE(M415,INDEX('F Proj'!$J$1:$J$7669,N415),INDEX('D Proj'!$N$1:$N$513,N415),INDEX('K Proj'!$P$1:$P$508,N415))</f>
        <v>18.748899999999999</v>
      </c>
      <c r="Q415" t="str">
        <f t="shared" si="13"/>
        <v>K</v>
      </c>
      <c r="R415" t="str">
        <f>IF(L415="FLEX",INDEX('F Proj'!$F$1:$F$7669,N415),Q415)</f>
        <v>K</v>
      </c>
      <c r="S415" t="str">
        <f>IF((Week+Half_Week-1)&gt;=VALUE(RIGHT(C415,LEN(C415)-SEARCH("-",C415))),LEFT(C415,SEARCH("-",C415)-1),"")</f>
        <v>aj</v>
      </c>
    </row>
    <row r="416" spans="1:19" x14ac:dyDescent="0.25">
      <c r="A416" t="s">
        <v>1119</v>
      </c>
      <c r="B416">
        <v>5</v>
      </c>
      <c r="C416" t="s">
        <v>890</v>
      </c>
      <c r="D416" t="s">
        <v>478</v>
      </c>
      <c r="E416" t="s">
        <v>8947</v>
      </c>
      <c r="G416">
        <v>7.93</v>
      </c>
      <c r="H416">
        <v>3.66</v>
      </c>
      <c r="I416">
        <v>13.3956</v>
      </c>
      <c r="J416" t="s">
        <v>9036</v>
      </c>
      <c r="K416" t="str">
        <f t="shared" si="12"/>
        <v>Josh Lambo5</v>
      </c>
      <c r="L416" s="21" t="str">
        <f>IF(ISERROR(MATCH($A416,'F Proj'!$B$1:$B$7669,0)),IF(ISERROR(MATCH($A416,'D Proj'!$B$1:$B$513,0)),IF(ISERROR(MATCH($A416,'K Proj'!$B$1:$B$508,0)),"?","K"),"D"),"FLEX")</f>
        <v>K</v>
      </c>
      <c r="M416" s="21">
        <f>MATCH(L416,Pos,0)</f>
        <v>3</v>
      </c>
      <c r="N416" s="21">
        <f>CHOOSE($M416,MATCH($A416&amp;$B416,'F Proj'!$P$1:$P$7669,0),MATCH($A416&amp;$B416,'D Proj'!$X$1:$X$513,0),MATCH($A416&amp;$B416,'K Proj'!$T$1:$T$508,0))</f>
        <v>220</v>
      </c>
      <c r="O416">
        <f>CHOOSE(M416,INDEX('F Proj'!$D$1:$D$7669,N416),INDEX('D Proj'!$T$1:$T$513,N416),INDEX('K Proj'!$L$1:$L$508,N416))</f>
        <v>7.21</v>
      </c>
      <c r="P416">
        <f>CHOOSE(M416,INDEX('F Proj'!$J$1:$J$7669,N416),INDEX('D Proj'!$N$1:$N$513,N416),INDEX('K Proj'!$P$1:$P$508,N416))</f>
        <v>13.3956</v>
      </c>
      <c r="Q416" t="str">
        <f t="shared" si="13"/>
        <v>K</v>
      </c>
      <c r="R416" t="str">
        <f>IF(L416="FLEX",INDEX('F Proj'!$F$1:$F$7669,N416),Q416)</f>
        <v>K</v>
      </c>
      <c r="S416" t="str">
        <f>IF((Week+Half_Week-1)&gt;=VALUE(RIGHT(C416,LEN(C416)-SEARCH("-",C416))),LEFT(C416,SEARCH("-",C416)-1),"")</f>
        <v/>
      </c>
    </row>
    <row r="417" spans="1:19" x14ac:dyDescent="0.25">
      <c r="A417" t="s">
        <v>447</v>
      </c>
      <c r="B417">
        <v>1</v>
      </c>
      <c r="C417" t="s">
        <v>501</v>
      </c>
      <c r="D417" t="s">
        <v>478</v>
      </c>
      <c r="E417">
        <v>12</v>
      </c>
      <c r="G417">
        <v>12</v>
      </c>
      <c r="H417">
        <v>0</v>
      </c>
      <c r="I417">
        <v>0</v>
      </c>
      <c r="J417" t="s">
        <v>584</v>
      </c>
      <c r="K417" t="str">
        <f t="shared" si="12"/>
        <v>Justin Tucker1</v>
      </c>
      <c r="L417" s="21" t="str">
        <f>IF(ISERROR(MATCH($A417,'F Proj'!$B$1:$B$7669,0)),IF(ISERROR(MATCH($A417,'D Proj'!$B$1:$B$513,0)),IF(ISERROR(MATCH($A417,'K Proj'!$B$1:$B$508,0)),"?","K"),"D"),"FLEX")</f>
        <v>K</v>
      </c>
      <c r="M417" s="21">
        <f>MATCH(L417,Pos,0)</f>
        <v>3</v>
      </c>
      <c r="N417" s="21">
        <f>CHOOSE($M417,MATCH($A417&amp;$B417,'F Proj'!$P$1:$P$7669,0),MATCH($A417&amp;$B417,'D Proj'!$X$1:$X$513,0),MATCH($A417&amp;$B417,'K Proj'!$T$1:$T$508,0))</f>
        <v>16</v>
      </c>
      <c r="O417">
        <f>CHOOSE(M417,INDEX('F Proj'!$D$1:$D$7669,N417),INDEX('D Proj'!$T$1:$T$513,N417),INDEX('K Proj'!$L$1:$L$508,N417))</f>
        <v>8.93</v>
      </c>
      <c r="P417">
        <f>CHOOSE(M417,INDEX('F Proj'!$J$1:$J$7669,N417),INDEX('D Proj'!$N$1:$N$513,N417),INDEX('K Proj'!$P$1:$P$508,N417))</f>
        <v>35.760399999999997</v>
      </c>
      <c r="Q417" t="str">
        <f t="shared" si="13"/>
        <v>K</v>
      </c>
      <c r="R417" t="str">
        <f>IF(L417="FLEX",INDEX('F Proj'!$F$1:$F$7669,N417),Q417)</f>
        <v>K</v>
      </c>
      <c r="S417" t="str">
        <f>IF((Week+Half_Week-1)&gt;=VALUE(RIGHT(C417,LEN(C417)-SEARCH("-",C417))),LEFT(C417,SEARCH("-",C417)-1),"")</f>
        <v>chad</v>
      </c>
    </row>
    <row r="418" spans="1:19" x14ac:dyDescent="0.25">
      <c r="A418" t="s">
        <v>447</v>
      </c>
      <c r="B418">
        <v>2</v>
      </c>
      <c r="C418" t="s">
        <v>638</v>
      </c>
      <c r="D418" t="s">
        <v>478</v>
      </c>
      <c r="E418">
        <v>7</v>
      </c>
      <c r="G418">
        <v>7</v>
      </c>
      <c r="H418">
        <v>0</v>
      </c>
      <c r="I418">
        <v>0</v>
      </c>
      <c r="J418" t="s">
        <v>706</v>
      </c>
      <c r="K418" t="str">
        <f t="shared" si="12"/>
        <v>Justin Tucker2</v>
      </c>
      <c r="L418" s="21" t="str">
        <f>IF(ISERROR(MATCH($A418,'F Proj'!$B$1:$B$7669,0)),IF(ISERROR(MATCH($A418,'D Proj'!$B$1:$B$513,0)),IF(ISERROR(MATCH($A418,'K Proj'!$B$1:$B$508,0)),"?","K"),"D"),"FLEX")</f>
        <v>K</v>
      </c>
      <c r="M418" s="21">
        <f>MATCH(L418,Pos,0)</f>
        <v>3</v>
      </c>
      <c r="N418" s="21">
        <f>CHOOSE($M418,MATCH($A418&amp;$B418,'F Proj'!$P$1:$P$7669,0),MATCH($A418&amp;$B418,'D Proj'!$X$1:$X$513,0),MATCH($A418&amp;$B418,'K Proj'!$T$1:$T$508,0))</f>
        <v>20</v>
      </c>
      <c r="O418">
        <f>CHOOSE(M418,INDEX('F Proj'!$D$1:$D$7669,N418),INDEX('D Proj'!$T$1:$T$513,N418),INDEX('K Proj'!$L$1:$L$508,N418))</f>
        <v>8.81</v>
      </c>
      <c r="P418">
        <f>CHOOSE(M418,INDEX('F Proj'!$J$1:$J$7669,N418),INDEX('D Proj'!$N$1:$N$513,N418),INDEX('K Proj'!$P$1:$P$508,N418))</f>
        <v>28.408899999999999</v>
      </c>
      <c r="Q418" t="str">
        <f t="shared" si="13"/>
        <v>K</v>
      </c>
      <c r="R418" t="str">
        <f>IF(L418="FLEX",INDEX('F Proj'!$F$1:$F$7669,N418),Q418)</f>
        <v>K</v>
      </c>
      <c r="S418" t="str">
        <f>IF((Week+Half_Week-1)&gt;=VALUE(RIGHT(C418,LEN(C418)-SEARCH("-",C418))),LEFT(C418,SEARCH("-",C418)-1),"")</f>
        <v>chad</v>
      </c>
    </row>
    <row r="419" spans="1:19" x14ac:dyDescent="0.25">
      <c r="A419" t="s">
        <v>447</v>
      </c>
      <c r="B419">
        <v>3</v>
      </c>
      <c r="C419" t="s">
        <v>810</v>
      </c>
      <c r="D419" t="s">
        <v>478</v>
      </c>
      <c r="E419">
        <v>10</v>
      </c>
      <c r="G419">
        <v>10</v>
      </c>
      <c r="H419">
        <v>0</v>
      </c>
      <c r="I419">
        <v>0</v>
      </c>
      <c r="J419" t="s">
        <v>4348</v>
      </c>
      <c r="K419" t="str">
        <f t="shared" si="12"/>
        <v>Justin Tucker3</v>
      </c>
      <c r="L419" s="21" t="str">
        <f>IF(ISERROR(MATCH($A419,'F Proj'!$B$1:$B$7669,0)),IF(ISERROR(MATCH($A419,'D Proj'!$B$1:$B$513,0)),IF(ISERROR(MATCH($A419,'K Proj'!$B$1:$B$508,0)),"?","K"),"D"),"FLEX")</f>
        <v>K</v>
      </c>
      <c r="M419" s="21">
        <f>MATCH(L419,Pos,0)</f>
        <v>3</v>
      </c>
      <c r="N419" s="21">
        <f>CHOOSE($M419,MATCH($A419&amp;$B419,'F Proj'!$P$1:$P$7669,0),MATCH($A419&amp;$B419,'D Proj'!$X$1:$X$513,0),MATCH($A419&amp;$B419,'K Proj'!$T$1:$T$508,0))</f>
        <v>49</v>
      </c>
      <c r="O419">
        <f>CHOOSE(M419,INDEX('F Proj'!$D$1:$D$7669,N419),INDEX('D Proj'!$T$1:$T$513,N419),INDEX('K Proj'!$L$1:$L$508,N419))</f>
        <v>8.4499999999999993</v>
      </c>
      <c r="P419">
        <f>CHOOSE(M419,INDEX('F Proj'!$J$1:$J$7669,N419),INDEX('D Proj'!$N$1:$N$513,N419),INDEX('K Proj'!$P$1:$P$508,N419))</f>
        <v>29.593599999999999</v>
      </c>
      <c r="Q419" t="str">
        <f t="shared" si="13"/>
        <v>K</v>
      </c>
      <c r="R419" t="str">
        <f>IF(L419="FLEX",INDEX('F Proj'!$F$1:$F$7669,N419),Q419)</f>
        <v>K</v>
      </c>
      <c r="S419" t="str">
        <f>IF((Week+Half_Week-1)&gt;=VALUE(RIGHT(C419,LEN(C419)-SEARCH("-",C419))),LEFT(C419,SEARCH("-",C419)-1),"")</f>
        <v>chad</v>
      </c>
    </row>
    <row r="420" spans="1:19" x14ac:dyDescent="0.25">
      <c r="A420" t="s">
        <v>447</v>
      </c>
      <c r="B420">
        <v>4</v>
      </c>
      <c r="C420" t="s">
        <v>865</v>
      </c>
      <c r="D420" t="s">
        <v>478</v>
      </c>
      <c r="E420">
        <v>16</v>
      </c>
      <c r="G420">
        <v>16</v>
      </c>
      <c r="H420">
        <v>0</v>
      </c>
      <c r="I420">
        <v>0</v>
      </c>
      <c r="J420" t="s">
        <v>4831</v>
      </c>
      <c r="K420" t="str">
        <f t="shared" si="12"/>
        <v>Justin Tucker4</v>
      </c>
      <c r="L420" s="21" t="str">
        <f>IF(ISERROR(MATCH($A420,'F Proj'!$B$1:$B$7669,0)),IF(ISERROR(MATCH($A420,'D Proj'!$B$1:$B$513,0)),IF(ISERROR(MATCH($A420,'K Proj'!$B$1:$B$508,0)),"?","K"),"D"),"FLEX")</f>
        <v>K</v>
      </c>
      <c r="M420" s="21">
        <f>MATCH(L420,Pos,0)</f>
        <v>3</v>
      </c>
      <c r="N420" s="21">
        <f>CHOOSE($M420,MATCH($A420&amp;$B420,'F Proj'!$P$1:$P$7669,0),MATCH($A420&amp;$B420,'D Proj'!$X$1:$X$513,0),MATCH($A420&amp;$B420,'K Proj'!$T$1:$T$508,0))</f>
        <v>47</v>
      </c>
      <c r="O420">
        <f>CHOOSE(M420,INDEX('F Proj'!$D$1:$D$7669,N420),INDEX('D Proj'!$T$1:$T$513,N420),INDEX('K Proj'!$L$1:$L$508,N420))</f>
        <v>8.4700000000000006</v>
      </c>
      <c r="P420">
        <f>CHOOSE(M420,INDEX('F Proj'!$J$1:$J$7669,N420),INDEX('D Proj'!$N$1:$N$513,N420),INDEX('K Proj'!$P$1:$P$508,N420))</f>
        <v>21.529599999999999</v>
      </c>
      <c r="Q420" t="str">
        <f t="shared" si="13"/>
        <v>K</v>
      </c>
      <c r="R420" t="str">
        <f>IF(L420="FLEX",INDEX('F Proj'!$F$1:$F$7669,N420),Q420)</f>
        <v>K</v>
      </c>
      <c r="S420" t="str">
        <f>IF((Week+Half_Week-1)&gt;=VALUE(RIGHT(C420,LEN(C420)-SEARCH("-",C420))),LEFT(C420,SEARCH("-",C420)-1),"")</f>
        <v>chad</v>
      </c>
    </row>
    <row r="421" spans="1:19" x14ac:dyDescent="0.25">
      <c r="A421" t="s">
        <v>447</v>
      </c>
      <c r="B421">
        <v>5</v>
      </c>
      <c r="C421" t="s">
        <v>886</v>
      </c>
      <c r="D421" t="s">
        <v>478</v>
      </c>
      <c r="E421" t="s">
        <v>8947</v>
      </c>
      <c r="G421">
        <v>9.31</v>
      </c>
      <c r="H421">
        <v>4.8499999999999996</v>
      </c>
      <c r="I421">
        <v>23.522500000000001</v>
      </c>
      <c r="J421" t="s">
        <v>9031</v>
      </c>
      <c r="K421" t="str">
        <f t="shared" si="12"/>
        <v>Justin Tucker5</v>
      </c>
      <c r="L421" s="21" t="str">
        <f>IF(ISERROR(MATCH($A421,'F Proj'!$B$1:$B$7669,0)),IF(ISERROR(MATCH($A421,'D Proj'!$B$1:$B$513,0)),IF(ISERROR(MATCH($A421,'K Proj'!$B$1:$B$508,0)),"?","K"),"D"),"FLEX")</f>
        <v>K</v>
      </c>
      <c r="M421" s="21">
        <f>MATCH(L421,Pos,0)</f>
        <v>3</v>
      </c>
      <c r="N421" s="21">
        <f>CHOOSE($M421,MATCH($A421&amp;$B421,'F Proj'!$P$1:$P$7669,0),MATCH($A421&amp;$B421,'D Proj'!$X$1:$X$513,0),MATCH($A421&amp;$B421,'K Proj'!$T$1:$T$508,0))</f>
        <v>30</v>
      </c>
      <c r="O421">
        <f>CHOOSE(M421,INDEX('F Proj'!$D$1:$D$7669,N421),INDEX('D Proj'!$T$1:$T$513,N421),INDEX('K Proj'!$L$1:$L$508,N421))</f>
        <v>8.68</v>
      </c>
      <c r="P421">
        <f>CHOOSE(M421,INDEX('F Proj'!$J$1:$J$7669,N421),INDEX('D Proj'!$N$1:$N$513,N421),INDEX('K Proj'!$P$1:$P$508,N421))</f>
        <v>23.522500000000001</v>
      </c>
      <c r="Q421" t="str">
        <f t="shared" si="13"/>
        <v>K</v>
      </c>
      <c r="R421" t="str">
        <f>IF(L421="FLEX",INDEX('F Proj'!$F$1:$F$7669,N421),Q421)</f>
        <v>K</v>
      </c>
      <c r="S421" t="str">
        <f>IF((Week+Half_Week-1)&gt;=VALUE(RIGHT(C421,LEN(C421)-SEARCH("-",C421))),LEFT(C421,SEARCH("-",C421)-1),"")</f>
        <v/>
      </c>
    </row>
    <row r="422" spans="1:19" x14ac:dyDescent="0.25">
      <c r="A422" t="s">
        <v>444</v>
      </c>
      <c r="B422">
        <v>4</v>
      </c>
      <c r="C422" t="s">
        <v>862</v>
      </c>
      <c r="D422" t="s">
        <v>478</v>
      </c>
      <c r="E422">
        <v>13</v>
      </c>
      <c r="G422">
        <v>13</v>
      </c>
      <c r="H422">
        <v>0</v>
      </c>
      <c r="I422">
        <v>0</v>
      </c>
      <c r="J422" t="s">
        <v>4828</v>
      </c>
      <c r="K422" t="str">
        <f t="shared" si="12"/>
        <v>Mason Crosby4</v>
      </c>
      <c r="L422" s="21" t="str">
        <f>IF(ISERROR(MATCH($A422,'F Proj'!$B$1:$B$7669,0)),IF(ISERROR(MATCH($A422,'D Proj'!$B$1:$B$513,0)),IF(ISERROR(MATCH($A422,'K Proj'!$B$1:$B$508,0)),"?","K"),"D"),"FLEX")</f>
        <v>K</v>
      </c>
      <c r="M422" s="21">
        <f>MATCH(L422,Pos,0)</f>
        <v>3</v>
      </c>
      <c r="N422" s="21">
        <f>CHOOSE($M422,MATCH($A422&amp;$B422,'F Proj'!$P$1:$P$7669,0),MATCH($A422&amp;$B422,'D Proj'!$X$1:$X$513,0),MATCH($A422&amp;$B422,'K Proj'!$T$1:$T$508,0))</f>
        <v>190</v>
      </c>
      <c r="O422">
        <f>CHOOSE(M422,INDEX('F Proj'!$D$1:$D$7669,N422),INDEX('D Proj'!$T$1:$T$513,N422),INDEX('K Proj'!$L$1:$L$508,N422))</f>
        <v>7.37</v>
      </c>
      <c r="P422">
        <f>CHOOSE(M422,INDEX('F Proj'!$J$1:$J$7669,N422),INDEX('D Proj'!$N$1:$N$513,N422),INDEX('K Proj'!$P$1:$P$508,N422))</f>
        <v>16</v>
      </c>
      <c r="Q422" t="str">
        <f t="shared" si="13"/>
        <v>K</v>
      </c>
      <c r="R422" t="str">
        <f>IF(L422="FLEX",INDEX('F Proj'!$F$1:$F$7669,N422),Q422)</f>
        <v>K</v>
      </c>
      <c r="S422" t="str">
        <f>IF((Week+Half_Week-1)&gt;=VALUE(RIGHT(C422,LEN(C422)-SEARCH("-",C422))),LEFT(C422,SEARCH("-",C422)-1),"")</f>
        <v>perry</v>
      </c>
    </row>
    <row r="423" spans="1:19" x14ac:dyDescent="0.25">
      <c r="A423" t="s">
        <v>444</v>
      </c>
      <c r="B423">
        <v>5</v>
      </c>
      <c r="C423" t="s">
        <v>889</v>
      </c>
      <c r="D423" t="s">
        <v>478</v>
      </c>
      <c r="E423" t="s">
        <v>8947</v>
      </c>
      <c r="G423">
        <v>10.47</v>
      </c>
      <c r="H423">
        <v>5.13</v>
      </c>
      <c r="I423">
        <v>26.3169</v>
      </c>
      <c r="J423" t="s">
        <v>9032</v>
      </c>
      <c r="K423" t="str">
        <f t="shared" si="12"/>
        <v>Mason Crosby5</v>
      </c>
      <c r="L423" s="21" t="str">
        <f>IF(ISERROR(MATCH($A423,'F Proj'!$B$1:$B$7669,0)),IF(ISERROR(MATCH($A423,'D Proj'!$B$1:$B$513,0)),IF(ISERROR(MATCH($A423,'K Proj'!$B$1:$B$508,0)),"?","K"),"D"),"FLEX")</f>
        <v>K</v>
      </c>
      <c r="M423" s="21">
        <f>MATCH(L423,Pos,0)</f>
        <v>3</v>
      </c>
      <c r="N423" s="21">
        <f>CHOOSE($M423,MATCH($A423&amp;$B423,'F Proj'!$P$1:$P$7669,0),MATCH($A423&amp;$B423,'D Proj'!$X$1:$X$513,0),MATCH($A423&amp;$B423,'K Proj'!$T$1:$T$508,0))</f>
        <v>7</v>
      </c>
      <c r="O423">
        <f>CHOOSE(M423,INDEX('F Proj'!$D$1:$D$7669,N423),INDEX('D Proj'!$T$1:$T$513,N423),INDEX('K Proj'!$L$1:$L$508,N423))</f>
        <v>9.24</v>
      </c>
      <c r="P423">
        <f>CHOOSE(M423,INDEX('F Proj'!$J$1:$J$7669,N423),INDEX('D Proj'!$N$1:$N$513,N423),INDEX('K Proj'!$P$1:$P$508,N423))</f>
        <v>26.3169</v>
      </c>
      <c r="Q423" t="str">
        <f t="shared" si="13"/>
        <v>K</v>
      </c>
      <c r="R423" t="str">
        <f>IF(L423="FLEX",INDEX('F Proj'!$F$1:$F$7669,N423),Q423)</f>
        <v>K</v>
      </c>
      <c r="S423" t="str">
        <f>IF((Week+Half_Week-1)&gt;=VALUE(RIGHT(C423,LEN(C423)-SEARCH("-",C423))),LEFT(C423,SEARCH("-",C423)-1),"")</f>
        <v/>
      </c>
    </row>
    <row r="424" spans="1:19" x14ac:dyDescent="0.25">
      <c r="A424" t="s">
        <v>449</v>
      </c>
      <c r="B424">
        <v>1</v>
      </c>
      <c r="C424" t="s">
        <v>1649</v>
      </c>
      <c r="D424" t="s">
        <v>478</v>
      </c>
      <c r="E424">
        <v>7</v>
      </c>
      <c r="G424">
        <v>7</v>
      </c>
      <c r="H424">
        <v>0</v>
      </c>
      <c r="I424">
        <v>0</v>
      </c>
      <c r="J424" t="s">
        <v>1667</v>
      </c>
      <c r="K424" t="str">
        <f t="shared" si="12"/>
        <v>Matt Bryant1</v>
      </c>
      <c r="L424" s="21" t="str">
        <f>IF(ISERROR(MATCH($A424,'F Proj'!$B$1:$B$7669,0)),IF(ISERROR(MATCH($A424,'D Proj'!$B$1:$B$513,0)),IF(ISERROR(MATCH($A424,'K Proj'!$B$1:$B$508,0)),"?","K"),"D"),"FLEX")</f>
        <v>K</v>
      </c>
      <c r="M424" s="21">
        <f>MATCH(L424,Pos,0)</f>
        <v>3</v>
      </c>
      <c r="N424" s="21">
        <f>CHOOSE($M424,MATCH($A424&amp;$B424,'F Proj'!$P$1:$P$7669,0),MATCH($A424&amp;$B424,'D Proj'!$X$1:$X$513,0),MATCH($A424&amp;$B424,'K Proj'!$T$1:$T$508,0))</f>
        <v>121</v>
      </c>
      <c r="O424">
        <f>CHOOSE(M424,INDEX('F Proj'!$D$1:$D$7669,N424),INDEX('D Proj'!$T$1:$T$513,N424),INDEX('K Proj'!$L$1:$L$508,N424))</f>
        <v>7.81</v>
      </c>
      <c r="P424">
        <f>CHOOSE(M424,INDEX('F Proj'!$J$1:$J$7669,N424),INDEX('D Proj'!$N$1:$N$513,N424),INDEX('K Proj'!$P$1:$P$508,N424))</f>
        <v>11.696400000000001</v>
      </c>
      <c r="Q424" t="str">
        <f t="shared" si="13"/>
        <v>K</v>
      </c>
      <c r="R424" t="str">
        <f>IF(L424="FLEX",INDEX('F Proj'!$F$1:$F$7669,N424),Q424)</f>
        <v>K</v>
      </c>
      <c r="S424" t="str">
        <f>IF((Week+Half_Week-1)&gt;=VALUE(RIGHT(C424,LEN(C424)-SEARCH("-",C424))),LEFT(C424,SEARCH("-",C424)-1),"")</f>
        <v>lucas</v>
      </c>
    </row>
    <row r="425" spans="1:19" x14ac:dyDescent="0.25">
      <c r="A425" t="s">
        <v>449</v>
      </c>
      <c r="B425">
        <v>2</v>
      </c>
      <c r="C425" t="s">
        <v>1651</v>
      </c>
      <c r="D425" t="s">
        <v>478</v>
      </c>
      <c r="E425">
        <v>8</v>
      </c>
      <c r="G425">
        <v>8</v>
      </c>
      <c r="H425">
        <v>0</v>
      </c>
      <c r="I425">
        <v>0</v>
      </c>
      <c r="J425" t="s">
        <v>1668</v>
      </c>
      <c r="K425" t="str">
        <f t="shared" si="12"/>
        <v>Matt Bryant2</v>
      </c>
      <c r="L425" s="21" t="str">
        <f>IF(ISERROR(MATCH($A425,'F Proj'!$B$1:$B$7669,0)),IF(ISERROR(MATCH($A425,'D Proj'!$B$1:$B$513,0)),IF(ISERROR(MATCH($A425,'K Proj'!$B$1:$B$508,0)),"?","K"),"D"),"FLEX")</f>
        <v>K</v>
      </c>
      <c r="M425" s="21">
        <f>MATCH(L425,Pos,0)</f>
        <v>3</v>
      </c>
      <c r="N425" s="21">
        <f>CHOOSE($M425,MATCH($A425&amp;$B425,'F Proj'!$P$1:$P$7669,0),MATCH($A425&amp;$B425,'D Proj'!$X$1:$X$513,0),MATCH($A425&amp;$B425,'K Proj'!$T$1:$T$508,0))</f>
        <v>37</v>
      </c>
      <c r="O425">
        <f>CHOOSE(M425,INDEX('F Proj'!$D$1:$D$7669,N425),INDEX('D Proj'!$T$1:$T$513,N425),INDEX('K Proj'!$L$1:$L$508,N425))</f>
        <v>8.59</v>
      </c>
      <c r="P425">
        <f>CHOOSE(M425,INDEX('F Proj'!$J$1:$J$7669,N425),INDEX('D Proj'!$N$1:$N$513,N425),INDEX('K Proj'!$P$1:$P$508,N425))</f>
        <v>16.728100000000001</v>
      </c>
      <c r="Q425" t="str">
        <f t="shared" si="13"/>
        <v>K</v>
      </c>
      <c r="R425" t="str">
        <f>IF(L425="FLEX",INDEX('F Proj'!$F$1:$F$7669,N425),Q425)</f>
        <v>K</v>
      </c>
      <c r="S425" t="str">
        <f>IF((Week+Half_Week-1)&gt;=VALUE(RIGHT(C425,LEN(C425)-SEARCH("-",C425))),LEFT(C425,SEARCH("-",C425)-1),"")</f>
        <v>lucas</v>
      </c>
    </row>
    <row r="426" spans="1:19" x14ac:dyDescent="0.25">
      <c r="A426" t="s">
        <v>449</v>
      </c>
      <c r="B426">
        <v>3</v>
      </c>
      <c r="C426" t="s">
        <v>1721</v>
      </c>
      <c r="D426" t="s">
        <v>478</v>
      </c>
      <c r="E426">
        <v>3</v>
      </c>
      <c r="G426">
        <v>3</v>
      </c>
      <c r="H426">
        <v>0</v>
      </c>
      <c r="I426">
        <v>0</v>
      </c>
      <c r="J426" t="s">
        <v>4349</v>
      </c>
      <c r="K426" t="str">
        <f t="shared" si="12"/>
        <v>Matt Bryant3</v>
      </c>
      <c r="L426" s="21" t="str">
        <f>IF(ISERROR(MATCH($A426,'F Proj'!$B$1:$B$7669,0)),IF(ISERROR(MATCH($A426,'D Proj'!$B$1:$B$513,0)),IF(ISERROR(MATCH($A426,'K Proj'!$B$1:$B$508,0)),"?","K"),"D"),"FLEX")</f>
        <v>K</v>
      </c>
      <c r="M426" s="21">
        <f>MATCH(L426,Pos,0)</f>
        <v>3</v>
      </c>
      <c r="N426" s="21">
        <f>CHOOSE($M426,MATCH($A426&amp;$B426,'F Proj'!$P$1:$P$7669,0),MATCH($A426&amp;$B426,'D Proj'!$X$1:$X$513,0),MATCH($A426&amp;$B426,'K Proj'!$T$1:$T$508,0))</f>
        <v>61</v>
      </c>
      <c r="O426">
        <f>CHOOSE(M426,INDEX('F Proj'!$D$1:$D$7669,N426),INDEX('D Proj'!$T$1:$T$513,N426),INDEX('K Proj'!$L$1:$L$508,N426))</f>
        <v>8.35</v>
      </c>
      <c r="P426">
        <f>CHOOSE(M426,INDEX('F Proj'!$J$1:$J$7669,N426),INDEX('D Proj'!$N$1:$N$513,N426),INDEX('K Proj'!$P$1:$P$508,N426))</f>
        <v>25.100100000000001</v>
      </c>
      <c r="Q426" t="str">
        <f t="shared" si="13"/>
        <v>K</v>
      </c>
      <c r="R426" t="str">
        <f>IF(L426="FLEX",INDEX('F Proj'!$F$1:$F$7669,N426),Q426)</f>
        <v>K</v>
      </c>
      <c r="S426" t="str">
        <f>IF((Week+Half_Week-1)&gt;=VALUE(RIGHT(C426,LEN(C426)-SEARCH("-",C426))),LEFT(C426,SEARCH("-",C426)-1),"")</f>
        <v>lucas</v>
      </c>
    </row>
    <row r="427" spans="1:19" x14ac:dyDescent="0.25">
      <c r="A427" t="s">
        <v>449</v>
      </c>
      <c r="B427">
        <v>4</v>
      </c>
      <c r="C427" t="s">
        <v>1722</v>
      </c>
      <c r="D427" t="s">
        <v>478</v>
      </c>
      <c r="E427">
        <v>14</v>
      </c>
      <c r="G427">
        <v>14</v>
      </c>
      <c r="H427">
        <v>0</v>
      </c>
      <c r="I427">
        <v>0</v>
      </c>
      <c r="J427" t="s">
        <v>4833</v>
      </c>
      <c r="K427" t="str">
        <f t="shared" si="12"/>
        <v>Matt Bryant4</v>
      </c>
      <c r="L427" s="21" t="str">
        <f>IF(ISERROR(MATCH($A427,'F Proj'!$B$1:$B$7669,0)),IF(ISERROR(MATCH($A427,'D Proj'!$B$1:$B$513,0)),IF(ISERROR(MATCH($A427,'K Proj'!$B$1:$B$508,0)),"?","K"),"D"),"FLEX")</f>
        <v>K</v>
      </c>
      <c r="M427" s="21">
        <f>MATCH(L427,Pos,0)</f>
        <v>3</v>
      </c>
      <c r="N427" s="21">
        <f>CHOOSE($M427,MATCH($A427&amp;$B427,'F Proj'!$P$1:$P$7669,0),MATCH($A427&amp;$B427,'D Proj'!$X$1:$X$513,0),MATCH($A427&amp;$B427,'K Proj'!$T$1:$T$508,0))</f>
        <v>55</v>
      </c>
      <c r="O427">
        <f>CHOOSE(M427,INDEX('F Proj'!$D$1:$D$7669,N427),INDEX('D Proj'!$T$1:$T$513,N427),INDEX('K Proj'!$L$1:$L$508,N427))</f>
        <v>8.41</v>
      </c>
      <c r="P427">
        <f>CHOOSE(M427,INDEX('F Proj'!$J$1:$J$7669,N427),INDEX('D Proj'!$N$1:$N$513,N427),INDEX('K Proj'!$P$1:$P$508,N427))</f>
        <v>23.232399999999998</v>
      </c>
      <c r="Q427" t="str">
        <f t="shared" si="13"/>
        <v>K</v>
      </c>
      <c r="R427" t="str">
        <f>IF(L427="FLEX",INDEX('F Proj'!$F$1:$F$7669,N427),Q427)</f>
        <v>K</v>
      </c>
      <c r="S427" t="str">
        <f>IF((Week+Half_Week-1)&gt;=VALUE(RIGHT(C427,LEN(C427)-SEARCH("-",C427))),LEFT(C427,SEARCH("-",C427)-1),"")</f>
        <v>lucas</v>
      </c>
    </row>
    <row r="428" spans="1:19" x14ac:dyDescent="0.25">
      <c r="A428" t="s">
        <v>449</v>
      </c>
      <c r="B428">
        <v>5</v>
      </c>
      <c r="C428" t="s">
        <v>1723</v>
      </c>
      <c r="D428" t="s">
        <v>478</v>
      </c>
      <c r="E428" t="s">
        <v>8947</v>
      </c>
      <c r="G428">
        <v>8.99</v>
      </c>
      <c r="H428">
        <v>3.24</v>
      </c>
      <c r="I428">
        <v>10.4976</v>
      </c>
      <c r="J428" t="s">
        <v>9033</v>
      </c>
      <c r="K428" t="str">
        <f t="shared" si="12"/>
        <v>Matt Bryant5</v>
      </c>
      <c r="L428" s="21" t="str">
        <f>IF(ISERROR(MATCH($A428,'F Proj'!$B$1:$B$7669,0)),IF(ISERROR(MATCH($A428,'D Proj'!$B$1:$B$513,0)),IF(ISERROR(MATCH($A428,'K Proj'!$B$1:$B$508,0)),"?","K"),"D"),"FLEX")</f>
        <v>K</v>
      </c>
      <c r="M428" s="21">
        <f>MATCH(L428,Pos,0)</f>
        <v>3</v>
      </c>
      <c r="N428" s="21">
        <f>CHOOSE($M428,MATCH($A428&amp;$B428,'F Proj'!$P$1:$P$7669,0),MATCH($A428&amp;$B428,'D Proj'!$X$1:$X$513,0),MATCH($A428&amp;$B428,'K Proj'!$T$1:$T$508,0))</f>
        <v>48</v>
      </c>
      <c r="O428">
        <f>CHOOSE(M428,INDEX('F Proj'!$D$1:$D$7669,N428),INDEX('D Proj'!$T$1:$T$513,N428),INDEX('K Proj'!$L$1:$L$508,N428))</f>
        <v>8.4499999999999993</v>
      </c>
      <c r="P428">
        <f>CHOOSE(M428,INDEX('F Proj'!$J$1:$J$7669,N428),INDEX('D Proj'!$N$1:$N$513,N428),INDEX('K Proj'!$P$1:$P$508,N428))</f>
        <v>10.4976</v>
      </c>
      <c r="Q428" t="str">
        <f t="shared" si="13"/>
        <v>K</v>
      </c>
      <c r="R428" t="str">
        <f>IF(L428="FLEX",INDEX('F Proj'!$F$1:$F$7669,N428),Q428)</f>
        <v>K</v>
      </c>
      <c r="S428" t="str">
        <f>IF((Week+Half_Week-1)&gt;=VALUE(RIGHT(C428,LEN(C428)-SEARCH("-",C428))),LEFT(C428,SEARCH("-",C428)-1),"")</f>
        <v/>
      </c>
    </row>
    <row r="429" spans="1:19" x14ac:dyDescent="0.25">
      <c r="A429" t="s">
        <v>450</v>
      </c>
      <c r="B429">
        <v>1</v>
      </c>
      <c r="C429" t="s">
        <v>503</v>
      </c>
      <c r="D429" t="s">
        <v>478</v>
      </c>
      <c r="E429">
        <v>-1</v>
      </c>
      <c r="G429">
        <v>-1</v>
      </c>
      <c r="H429">
        <v>0</v>
      </c>
      <c r="I429">
        <v>0</v>
      </c>
      <c r="J429" t="s">
        <v>587</v>
      </c>
      <c r="K429" t="str">
        <f t="shared" si="12"/>
        <v>Matt Prater1</v>
      </c>
      <c r="L429" s="21" t="str">
        <f>IF(ISERROR(MATCH($A429,'F Proj'!$B$1:$B$7669,0)),IF(ISERROR(MATCH($A429,'D Proj'!$B$1:$B$513,0)),IF(ISERROR(MATCH($A429,'K Proj'!$B$1:$B$508,0)),"?","K"),"D"),"FLEX")</f>
        <v>K</v>
      </c>
      <c r="M429" s="21">
        <f>MATCH(L429,Pos,0)</f>
        <v>3</v>
      </c>
      <c r="N429" s="21">
        <f>CHOOSE($M429,MATCH($A429&amp;$B429,'F Proj'!$P$1:$P$7669,0),MATCH($A429&amp;$B429,'D Proj'!$X$1:$X$513,0),MATCH($A429&amp;$B429,'K Proj'!$T$1:$T$508,0))</f>
        <v>51</v>
      </c>
      <c r="O429">
        <f>CHOOSE(M429,INDEX('F Proj'!$D$1:$D$7669,N429),INDEX('D Proj'!$T$1:$T$513,N429),INDEX('K Proj'!$L$1:$L$508,N429))</f>
        <v>8.44</v>
      </c>
      <c r="P429">
        <f>CHOOSE(M429,INDEX('F Proj'!$J$1:$J$7669,N429),INDEX('D Proj'!$N$1:$N$513,N429),INDEX('K Proj'!$P$1:$P$508,N429))</f>
        <v>20.702500000000001</v>
      </c>
      <c r="Q429" t="str">
        <f t="shared" si="13"/>
        <v>K</v>
      </c>
      <c r="R429" t="str">
        <f>IF(L429="FLEX",INDEX('F Proj'!$F$1:$F$7669,N429),Q429)</f>
        <v>K</v>
      </c>
      <c r="S429" t="str">
        <f>IF((Week+Half_Week-1)&gt;=VALUE(RIGHT(C429,LEN(C429)-SEARCH("-",C429))),LEFT(C429,SEARCH("-",C429)-1),"")</f>
        <v>devon</v>
      </c>
    </row>
    <row r="430" spans="1:19" x14ac:dyDescent="0.25">
      <c r="A430" t="s">
        <v>450</v>
      </c>
      <c r="B430">
        <v>2</v>
      </c>
      <c r="C430" t="s">
        <v>633</v>
      </c>
      <c r="D430" t="s">
        <v>478</v>
      </c>
      <c r="E430">
        <v>10</v>
      </c>
      <c r="G430">
        <v>10</v>
      </c>
      <c r="H430">
        <v>0</v>
      </c>
      <c r="I430">
        <v>0</v>
      </c>
      <c r="J430" t="s">
        <v>700</v>
      </c>
      <c r="K430" t="str">
        <f t="shared" si="12"/>
        <v>Matt Prater2</v>
      </c>
      <c r="L430" s="21" t="str">
        <f>IF(ISERROR(MATCH($A430,'F Proj'!$B$1:$B$7669,0)),IF(ISERROR(MATCH($A430,'D Proj'!$B$1:$B$513,0)),IF(ISERROR(MATCH($A430,'K Proj'!$B$1:$B$508,0)),"?","K"),"D"),"FLEX")</f>
        <v>K</v>
      </c>
      <c r="M430" s="21">
        <f>MATCH(L430,Pos,0)</f>
        <v>3</v>
      </c>
      <c r="N430" s="21">
        <f>CHOOSE($M430,MATCH($A430&amp;$B430,'F Proj'!$P$1:$P$7669,0),MATCH($A430&amp;$B430,'D Proj'!$X$1:$X$513,0),MATCH($A430&amp;$B430,'K Proj'!$T$1:$T$508,0))</f>
        <v>202</v>
      </c>
      <c r="O430">
        <f>CHOOSE(M430,INDEX('F Proj'!$D$1:$D$7669,N430),INDEX('D Proj'!$T$1:$T$513,N430),INDEX('K Proj'!$L$1:$L$508,N430))</f>
        <v>7.32</v>
      </c>
      <c r="P430">
        <f>CHOOSE(M430,INDEX('F Proj'!$J$1:$J$7669,N430),INDEX('D Proj'!$N$1:$N$513,N430),INDEX('K Proj'!$P$1:$P$508,N430))</f>
        <v>14.5161</v>
      </c>
      <c r="Q430" t="str">
        <f t="shared" si="13"/>
        <v>K</v>
      </c>
      <c r="R430" t="str">
        <f>IF(L430="FLEX",INDEX('F Proj'!$F$1:$F$7669,N430),Q430)</f>
        <v>K</v>
      </c>
      <c r="S430" t="str">
        <f>IF((Week+Half_Week-1)&gt;=VALUE(RIGHT(C430,LEN(C430)-SEARCH("-",C430))),LEFT(C430,SEARCH("-",C430)-1),"")</f>
        <v>devon</v>
      </c>
    </row>
    <row r="431" spans="1:19" x14ac:dyDescent="0.25">
      <c r="A431" t="s">
        <v>450</v>
      </c>
      <c r="B431">
        <v>3</v>
      </c>
      <c r="C431" t="s">
        <v>811</v>
      </c>
      <c r="D431" t="s">
        <v>478</v>
      </c>
      <c r="E431">
        <v>14</v>
      </c>
      <c r="G431">
        <v>14</v>
      </c>
      <c r="H431">
        <v>0</v>
      </c>
      <c r="I431">
        <v>0</v>
      </c>
      <c r="J431" t="s">
        <v>4350</v>
      </c>
      <c r="K431" t="str">
        <f t="shared" si="12"/>
        <v>Matt Prater3</v>
      </c>
      <c r="L431" s="21" t="str">
        <f>IF(ISERROR(MATCH($A431,'F Proj'!$B$1:$B$7669,0)),IF(ISERROR(MATCH($A431,'D Proj'!$B$1:$B$513,0)),IF(ISERROR(MATCH($A431,'K Proj'!$B$1:$B$508,0)),"?","K"),"D"),"FLEX")</f>
        <v>K</v>
      </c>
      <c r="M431" s="21">
        <f>MATCH(L431,Pos,0)</f>
        <v>3</v>
      </c>
      <c r="N431" s="21">
        <f>CHOOSE($M431,MATCH($A431&amp;$B431,'F Proj'!$P$1:$P$7669,0),MATCH($A431&amp;$B431,'D Proj'!$X$1:$X$513,0),MATCH($A431&amp;$B431,'K Proj'!$T$1:$T$508,0))</f>
        <v>216</v>
      </c>
      <c r="O431">
        <f>CHOOSE(M431,INDEX('F Proj'!$D$1:$D$7669,N431),INDEX('D Proj'!$T$1:$T$513,N431),INDEX('K Proj'!$L$1:$L$508,N431))</f>
        <v>7.22</v>
      </c>
      <c r="P431">
        <f>CHOOSE(M431,INDEX('F Proj'!$J$1:$J$7669,N431),INDEX('D Proj'!$N$1:$N$513,N431),INDEX('K Proj'!$P$1:$P$508,N431))</f>
        <v>18.0625</v>
      </c>
      <c r="Q431" t="str">
        <f t="shared" si="13"/>
        <v>K</v>
      </c>
      <c r="R431" t="str">
        <f>IF(L431="FLEX",INDEX('F Proj'!$F$1:$F$7669,N431),Q431)</f>
        <v>K</v>
      </c>
      <c r="S431" t="str">
        <f>IF((Week+Half_Week-1)&gt;=VALUE(RIGHT(C431,LEN(C431)-SEARCH("-",C431))),LEFT(C431,SEARCH("-",C431)-1),"")</f>
        <v>devon</v>
      </c>
    </row>
    <row r="432" spans="1:19" x14ac:dyDescent="0.25">
      <c r="A432" t="s">
        <v>450</v>
      </c>
      <c r="B432">
        <v>4</v>
      </c>
      <c r="C432" t="s">
        <v>863</v>
      </c>
      <c r="D432" t="s">
        <v>478</v>
      </c>
      <c r="E432">
        <v>6</v>
      </c>
      <c r="G432">
        <v>6</v>
      </c>
      <c r="H432">
        <v>0</v>
      </c>
      <c r="I432">
        <v>0</v>
      </c>
      <c r="J432" t="s">
        <v>4832</v>
      </c>
      <c r="K432" t="str">
        <f t="shared" si="12"/>
        <v>Matt Prater4</v>
      </c>
      <c r="L432" s="21" t="str">
        <f>IF(ISERROR(MATCH($A432,'F Proj'!$B$1:$B$7669,0)),IF(ISERROR(MATCH($A432,'D Proj'!$B$1:$B$513,0)),IF(ISERROR(MATCH($A432,'K Proj'!$B$1:$B$508,0)),"?","K"),"D"),"FLEX")</f>
        <v>K</v>
      </c>
      <c r="M432" s="21">
        <f>MATCH(L432,Pos,0)</f>
        <v>3</v>
      </c>
      <c r="N432" s="21">
        <f>CHOOSE($M432,MATCH($A432&amp;$B432,'F Proj'!$P$1:$P$7669,0),MATCH($A432&amp;$B432,'D Proj'!$X$1:$X$513,0),MATCH($A432&amp;$B432,'K Proj'!$T$1:$T$508,0))</f>
        <v>314</v>
      </c>
      <c r="O432">
        <f>CHOOSE(M432,INDEX('F Proj'!$D$1:$D$7669,N432),INDEX('D Proj'!$T$1:$T$513,N432),INDEX('K Proj'!$L$1:$L$508,N432))</f>
        <v>6.83</v>
      </c>
      <c r="P432">
        <f>CHOOSE(M432,INDEX('F Proj'!$J$1:$J$7669,N432),INDEX('D Proj'!$N$1:$N$513,N432),INDEX('K Proj'!$P$1:$P$508,N432))</f>
        <v>22.657599999999999</v>
      </c>
      <c r="Q432" t="str">
        <f t="shared" si="13"/>
        <v>K</v>
      </c>
      <c r="R432" t="str">
        <f>IF(L432="FLEX",INDEX('F Proj'!$F$1:$F$7669,N432),Q432)</f>
        <v>K</v>
      </c>
      <c r="S432" t="str">
        <f>IF((Week+Half_Week-1)&gt;=VALUE(RIGHT(C432,LEN(C432)-SEARCH("-",C432))),LEFT(C432,SEARCH("-",C432)-1),"")</f>
        <v>devon</v>
      </c>
    </row>
    <row r="433" spans="1:19" x14ac:dyDescent="0.25">
      <c r="A433" t="s">
        <v>450</v>
      </c>
      <c r="B433">
        <v>5</v>
      </c>
      <c r="C433" t="s">
        <v>885</v>
      </c>
      <c r="D433" t="s">
        <v>478</v>
      </c>
      <c r="E433" t="s">
        <v>8947</v>
      </c>
      <c r="G433">
        <v>7.58</v>
      </c>
      <c r="H433">
        <v>4.28</v>
      </c>
      <c r="I433">
        <v>18.3184</v>
      </c>
      <c r="J433" t="s">
        <v>9034</v>
      </c>
      <c r="K433" t="str">
        <f t="shared" si="12"/>
        <v>Matt Prater5</v>
      </c>
      <c r="L433" s="21" t="str">
        <f>IF(ISERROR(MATCH($A433,'F Proj'!$B$1:$B$7669,0)),IF(ISERROR(MATCH($A433,'D Proj'!$B$1:$B$513,0)),IF(ISERROR(MATCH($A433,'K Proj'!$B$1:$B$508,0)),"?","K"),"D"),"FLEX")</f>
        <v>K</v>
      </c>
      <c r="M433" s="21">
        <f>MATCH(L433,Pos,0)</f>
        <v>3</v>
      </c>
      <c r="N433" s="21">
        <f>CHOOSE($M433,MATCH($A433&amp;$B433,'F Proj'!$P$1:$P$7669,0),MATCH($A433&amp;$B433,'D Proj'!$X$1:$X$513,0),MATCH($A433&amp;$B433,'K Proj'!$T$1:$T$508,0))</f>
        <v>330</v>
      </c>
      <c r="O433">
        <f>CHOOSE(M433,INDEX('F Proj'!$D$1:$D$7669,N433),INDEX('D Proj'!$T$1:$T$513,N433),INDEX('K Proj'!$L$1:$L$508,N433))</f>
        <v>6.75</v>
      </c>
      <c r="P433">
        <f>CHOOSE(M433,INDEX('F Proj'!$J$1:$J$7669,N433),INDEX('D Proj'!$N$1:$N$513,N433),INDEX('K Proj'!$P$1:$P$508,N433))</f>
        <v>18.3184</v>
      </c>
      <c r="Q433" t="str">
        <f t="shared" si="13"/>
        <v>K</v>
      </c>
      <c r="R433" t="str">
        <f>IF(L433="FLEX",INDEX('F Proj'!$F$1:$F$7669,N433),Q433)</f>
        <v>K</v>
      </c>
      <c r="S433" t="str">
        <f>IF((Week+Half_Week-1)&gt;=VALUE(RIGHT(C433,LEN(C433)-SEARCH("-",C433))),LEFT(C433,SEARCH("-",C433)-1),"")</f>
        <v/>
      </c>
    </row>
    <row r="434" spans="1:19" x14ac:dyDescent="0.25">
      <c r="A434" t="s">
        <v>452</v>
      </c>
      <c r="B434">
        <v>1</v>
      </c>
      <c r="C434" t="s">
        <v>505</v>
      </c>
      <c r="D434" t="s">
        <v>478</v>
      </c>
      <c r="E434">
        <v>11</v>
      </c>
      <c r="G434">
        <v>11</v>
      </c>
      <c r="H434">
        <v>0</v>
      </c>
      <c r="I434">
        <v>0</v>
      </c>
      <c r="J434" t="s">
        <v>583</v>
      </c>
      <c r="K434" t="str">
        <f t="shared" si="12"/>
        <v>Robbie Gould1</v>
      </c>
      <c r="L434" s="21" t="str">
        <f>IF(ISERROR(MATCH($A434,'F Proj'!$B$1:$B$7669,0)),IF(ISERROR(MATCH($A434,'D Proj'!$B$1:$B$513,0)),IF(ISERROR(MATCH($A434,'K Proj'!$B$1:$B$508,0)),"?","K"),"D"),"FLEX")</f>
        <v>K</v>
      </c>
      <c r="M434" s="21">
        <f>MATCH(L434,Pos,0)</f>
        <v>3</v>
      </c>
      <c r="N434" s="21">
        <f>CHOOSE($M434,MATCH($A434&amp;$B434,'F Proj'!$P$1:$P$7669,0),MATCH($A434&amp;$B434,'D Proj'!$X$1:$X$513,0),MATCH($A434&amp;$B434,'K Proj'!$T$1:$T$508,0))</f>
        <v>116</v>
      </c>
      <c r="O434">
        <f>CHOOSE(M434,INDEX('F Proj'!$D$1:$D$7669,N434),INDEX('D Proj'!$T$1:$T$513,N434),INDEX('K Proj'!$L$1:$L$508,N434))</f>
        <v>7.86</v>
      </c>
      <c r="P434">
        <f>CHOOSE(M434,INDEX('F Proj'!$J$1:$J$7669,N434),INDEX('D Proj'!$N$1:$N$513,N434),INDEX('K Proj'!$P$1:$P$508,N434))</f>
        <v>24.403600000000001</v>
      </c>
      <c r="Q434" t="str">
        <f t="shared" si="13"/>
        <v>K</v>
      </c>
      <c r="R434" t="str">
        <f>IF(L434="FLEX",INDEX('F Proj'!$F$1:$F$7669,N434),Q434)</f>
        <v>K</v>
      </c>
      <c r="S434" t="str">
        <f>IF((Week+Half_Week-1)&gt;=VALUE(RIGHT(C434,LEN(C434)-SEARCH("-",C434))),LEFT(C434,SEARCH("-",C434)-1),"")</f>
        <v>matty</v>
      </c>
    </row>
    <row r="435" spans="1:19" x14ac:dyDescent="0.25">
      <c r="A435" t="s">
        <v>452</v>
      </c>
      <c r="B435">
        <v>2</v>
      </c>
      <c r="C435" t="s">
        <v>636</v>
      </c>
      <c r="D435" t="s">
        <v>478</v>
      </c>
      <c r="E435">
        <v>14</v>
      </c>
      <c r="G435">
        <v>14</v>
      </c>
      <c r="H435">
        <v>0</v>
      </c>
      <c r="I435">
        <v>0</v>
      </c>
      <c r="J435" t="s">
        <v>698</v>
      </c>
      <c r="K435" t="str">
        <f t="shared" si="12"/>
        <v>Robbie Gould2</v>
      </c>
      <c r="L435" s="21" t="str">
        <f>IF(ISERROR(MATCH($A435,'F Proj'!$B$1:$B$7669,0)),IF(ISERROR(MATCH($A435,'D Proj'!$B$1:$B$513,0)),IF(ISERROR(MATCH($A435,'K Proj'!$B$1:$B$508,0)),"?","K"),"D"),"FLEX")</f>
        <v>K</v>
      </c>
      <c r="M435" s="21">
        <f>MATCH(L435,Pos,0)</f>
        <v>3</v>
      </c>
      <c r="N435" s="21">
        <f>CHOOSE($M435,MATCH($A435&amp;$B435,'F Proj'!$P$1:$P$7669,0),MATCH($A435&amp;$B435,'D Proj'!$X$1:$X$513,0),MATCH($A435&amp;$B435,'K Proj'!$T$1:$T$508,0))</f>
        <v>9</v>
      </c>
      <c r="O435">
        <f>CHOOSE(M435,INDEX('F Proj'!$D$1:$D$7669,N435),INDEX('D Proj'!$T$1:$T$513,N435),INDEX('K Proj'!$L$1:$L$508,N435))</f>
        <v>9.18</v>
      </c>
      <c r="P435">
        <f>CHOOSE(M435,INDEX('F Proj'!$J$1:$J$7669,N435),INDEX('D Proj'!$N$1:$N$513,N435),INDEX('K Proj'!$P$1:$P$508,N435))</f>
        <v>32.718400000000003</v>
      </c>
      <c r="Q435" t="str">
        <f t="shared" si="13"/>
        <v>K</v>
      </c>
      <c r="R435" t="str">
        <f>IF(L435="FLEX",INDEX('F Proj'!$F$1:$F$7669,N435),Q435)</f>
        <v>K</v>
      </c>
      <c r="S435" t="str">
        <f>IF((Week+Half_Week-1)&gt;=VALUE(RIGHT(C435,LEN(C435)-SEARCH("-",C435))),LEFT(C435,SEARCH("-",C435)-1),"")</f>
        <v>matty</v>
      </c>
    </row>
    <row r="436" spans="1:19" x14ac:dyDescent="0.25">
      <c r="A436" t="s">
        <v>452</v>
      </c>
      <c r="B436">
        <v>3</v>
      </c>
      <c r="C436" t="s">
        <v>812</v>
      </c>
      <c r="D436" t="s">
        <v>478</v>
      </c>
      <c r="E436">
        <v>6</v>
      </c>
      <c r="G436">
        <v>6</v>
      </c>
      <c r="H436">
        <v>0</v>
      </c>
      <c r="I436">
        <v>0</v>
      </c>
      <c r="J436" t="s">
        <v>4351</v>
      </c>
      <c r="K436" t="str">
        <f t="shared" si="12"/>
        <v>Robbie Gould3</v>
      </c>
      <c r="L436" s="21" t="str">
        <f>IF(ISERROR(MATCH($A436,'F Proj'!$B$1:$B$7669,0)),IF(ISERROR(MATCH($A436,'D Proj'!$B$1:$B$513,0)),IF(ISERROR(MATCH($A436,'K Proj'!$B$1:$B$508,0)),"?","K"),"D"),"FLEX")</f>
        <v>K</v>
      </c>
      <c r="M436" s="21">
        <f>MATCH(L436,Pos,0)</f>
        <v>3</v>
      </c>
      <c r="N436" s="21">
        <f>CHOOSE($M436,MATCH($A436&amp;$B436,'F Proj'!$P$1:$P$7669,0),MATCH($A436&amp;$B436,'D Proj'!$X$1:$X$513,0),MATCH($A436&amp;$B436,'K Proj'!$T$1:$T$508,0))</f>
        <v>95</v>
      </c>
      <c r="O436">
        <f>CHOOSE(M436,INDEX('F Proj'!$D$1:$D$7669,N436),INDEX('D Proj'!$T$1:$T$513,N436),INDEX('K Proj'!$L$1:$L$508,N436))</f>
        <v>8.0299999999999994</v>
      </c>
      <c r="P436">
        <f>CHOOSE(M436,INDEX('F Proj'!$J$1:$J$7669,N436),INDEX('D Proj'!$N$1:$N$513,N436),INDEX('K Proj'!$P$1:$P$508,N436))</f>
        <v>27.7729</v>
      </c>
      <c r="Q436" t="str">
        <f t="shared" si="13"/>
        <v>K</v>
      </c>
      <c r="R436" t="str">
        <f>IF(L436="FLEX",INDEX('F Proj'!$F$1:$F$7669,N436),Q436)</f>
        <v>K</v>
      </c>
      <c r="S436" t="str">
        <f>IF((Week+Half_Week-1)&gt;=VALUE(RIGHT(C436,LEN(C436)-SEARCH("-",C436))),LEFT(C436,SEARCH("-",C436)-1),"")</f>
        <v>matty</v>
      </c>
    </row>
    <row r="437" spans="1:19" x14ac:dyDescent="0.25">
      <c r="A437" t="s">
        <v>452</v>
      </c>
      <c r="B437">
        <v>4</v>
      </c>
      <c r="C437" t="s">
        <v>864</v>
      </c>
      <c r="D437" t="s">
        <v>478</v>
      </c>
      <c r="E437">
        <v>9</v>
      </c>
      <c r="G437">
        <v>9</v>
      </c>
      <c r="H437">
        <v>0</v>
      </c>
      <c r="I437">
        <v>0</v>
      </c>
      <c r="J437" t="s">
        <v>4834</v>
      </c>
      <c r="K437" t="str">
        <f t="shared" si="12"/>
        <v>Robbie Gould4</v>
      </c>
      <c r="L437" s="21" t="str">
        <f>IF(ISERROR(MATCH($A437,'F Proj'!$B$1:$B$7669,0)),IF(ISERROR(MATCH($A437,'D Proj'!$B$1:$B$513,0)),IF(ISERROR(MATCH($A437,'K Proj'!$B$1:$B$508,0)),"?","K"),"D"),"FLEX")</f>
        <v>K</v>
      </c>
      <c r="M437" s="21">
        <f>MATCH(L437,Pos,0)</f>
        <v>3</v>
      </c>
      <c r="N437" s="21">
        <f>CHOOSE($M437,MATCH($A437&amp;$B437,'F Proj'!$P$1:$P$7669,0),MATCH($A437&amp;$B437,'D Proj'!$X$1:$X$513,0),MATCH($A437&amp;$B437,'K Proj'!$T$1:$T$508,0))</f>
        <v>187</v>
      </c>
      <c r="O437">
        <f>CHOOSE(M437,INDEX('F Proj'!$D$1:$D$7669,N437),INDEX('D Proj'!$T$1:$T$513,N437),INDEX('K Proj'!$L$1:$L$508,N437))</f>
        <v>7.39</v>
      </c>
      <c r="P437">
        <f>CHOOSE(M437,INDEX('F Proj'!$J$1:$J$7669,N437),INDEX('D Proj'!$N$1:$N$513,N437),INDEX('K Proj'!$P$1:$P$508,N437))</f>
        <v>10.956099999999999</v>
      </c>
      <c r="Q437" t="str">
        <f t="shared" si="13"/>
        <v>K</v>
      </c>
      <c r="R437" t="str">
        <f>IF(L437="FLEX",INDEX('F Proj'!$F$1:$F$7669,N437),Q437)</f>
        <v>K</v>
      </c>
      <c r="S437" t="str">
        <f>IF((Week+Half_Week-1)&gt;=VALUE(RIGHT(C437,LEN(C437)-SEARCH("-",C437))),LEFT(C437,SEARCH("-",C437)-1),"")</f>
        <v>matty</v>
      </c>
    </row>
    <row r="438" spans="1:19" x14ac:dyDescent="0.25">
      <c r="A438" t="s">
        <v>452</v>
      </c>
      <c r="B438">
        <v>5</v>
      </c>
      <c r="C438" t="s">
        <v>891</v>
      </c>
      <c r="D438" t="s">
        <v>478</v>
      </c>
      <c r="E438" t="s">
        <v>8947</v>
      </c>
      <c r="G438">
        <v>9.3000000000000007</v>
      </c>
      <c r="H438">
        <v>5.66</v>
      </c>
      <c r="I438">
        <v>32.035600000000002</v>
      </c>
      <c r="J438" t="s">
        <v>9037</v>
      </c>
      <c r="K438" t="str">
        <f t="shared" si="12"/>
        <v>Robbie Gould5</v>
      </c>
      <c r="L438" s="21" t="str">
        <f>IF(ISERROR(MATCH($A438,'F Proj'!$B$1:$B$7669,0)),IF(ISERROR(MATCH($A438,'D Proj'!$B$1:$B$513,0)),IF(ISERROR(MATCH($A438,'K Proj'!$B$1:$B$508,0)),"?","K"),"D"),"FLEX")</f>
        <v>K</v>
      </c>
      <c r="M438" s="21">
        <f>MATCH(L438,Pos,0)</f>
        <v>3</v>
      </c>
      <c r="N438" s="21">
        <f>CHOOSE($M438,MATCH($A438&amp;$B438,'F Proj'!$P$1:$P$7669,0),MATCH($A438&amp;$B438,'D Proj'!$X$1:$X$513,0),MATCH($A438&amp;$B438,'K Proj'!$T$1:$T$508,0))</f>
        <v>34</v>
      </c>
      <c r="O438">
        <f>CHOOSE(M438,INDEX('F Proj'!$D$1:$D$7669,N438),INDEX('D Proj'!$T$1:$T$513,N438),INDEX('K Proj'!$L$1:$L$508,N438))</f>
        <v>8.64</v>
      </c>
      <c r="P438">
        <f>CHOOSE(M438,INDEX('F Proj'!$J$1:$J$7669,N438),INDEX('D Proj'!$N$1:$N$513,N438),INDEX('K Proj'!$P$1:$P$508,N438))</f>
        <v>32.035600000000002</v>
      </c>
      <c r="Q438" t="str">
        <f t="shared" si="13"/>
        <v>K</v>
      </c>
      <c r="R438" t="str">
        <f>IF(L438="FLEX",INDEX('F Proj'!$F$1:$F$7669,N438),Q438)</f>
        <v>K</v>
      </c>
      <c r="S438" t="str">
        <f>IF((Week+Half_Week-1)&gt;=VALUE(RIGHT(C438,LEN(C438)-SEARCH("-",C438))),LEFT(C438,SEARCH("-",C438)-1),"")</f>
        <v/>
      </c>
    </row>
    <row r="439" spans="1:19" x14ac:dyDescent="0.25">
      <c r="A439" t="s">
        <v>453</v>
      </c>
      <c r="B439">
        <v>4</v>
      </c>
      <c r="C439" t="s">
        <v>866</v>
      </c>
      <c r="D439" t="s">
        <v>478</v>
      </c>
      <c r="E439">
        <v>9</v>
      </c>
      <c r="G439">
        <v>9</v>
      </c>
      <c r="H439">
        <v>0</v>
      </c>
      <c r="I439">
        <v>0</v>
      </c>
      <c r="J439" t="s">
        <v>4829</v>
      </c>
      <c r="K439" t="str">
        <f t="shared" si="12"/>
        <v>Ryan Succop4</v>
      </c>
      <c r="L439" s="21" t="str">
        <f>IF(ISERROR(MATCH($A439,'F Proj'!$B$1:$B$7669,0)),IF(ISERROR(MATCH($A439,'D Proj'!$B$1:$B$513,0)),IF(ISERROR(MATCH($A439,'K Proj'!$B$1:$B$508,0)),"?","K"),"D"),"FLEX")</f>
        <v>K</v>
      </c>
      <c r="M439" s="21">
        <f>MATCH(L439,Pos,0)</f>
        <v>3</v>
      </c>
      <c r="N439" s="21">
        <f>CHOOSE($M439,MATCH($A439&amp;$B439,'F Proj'!$P$1:$P$7669,0),MATCH($A439&amp;$B439,'D Proj'!$X$1:$X$513,0),MATCH($A439&amp;$B439,'K Proj'!$T$1:$T$508,0))</f>
        <v>358</v>
      </c>
      <c r="O439">
        <f>CHOOSE(M439,INDEX('F Proj'!$D$1:$D$7669,N439),INDEX('D Proj'!$T$1:$T$513,N439),INDEX('K Proj'!$L$1:$L$508,N439))</f>
        <v>6.6</v>
      </c>
      <c r="P439">
        <f>CHOOSE(M439,INDEX('F Proj'!$J$1:$J$7669,N439),INDEX('D Proj'!$N$1:$N$513,N439),INDEX('K Proj'!$P$1:$P$508,N439))</f>
        <v>18.922499999999999</v>
      </c>
      <c r="Q439" t="str">
        <f t="shared" si="13"/>
        <v>K</v>
      </c>
      <c r="R439" t="str">
        <f>IF(L439="FLEX",INDEX('F Proj'!$F$1:$F$7669,N439),Q439)</f>
        <v>K</v>
      </c>
      <c r="S439" t="str">
        <f>IF((Week+Half_Week-1)&gt;=VALUE(RIGHT(C439,LEN(C439)-SEARCH("-",C439))),LEFT(C439,SEARCH("-",C439)-1),"")</f>
        <v>aj</v>
      </c>
    </row>
    <row r="440" spans="1:19" x14ac:dyDescent="0.25">
      <c r="A440" t="s">
        <v>3892</v>
      </c>
      <c r="B440">
        <v>3</v>
      </c>
      <c r="C440" t="s">
        <v>807</v>
      </c>
      <c r="D440" t="s">
        <v>478</v>
      </c>
      <c r="E440">
        <v>2</v>
      </c>
      <c r="G440">
        <v>2</v>
      </c>
      <c r="H440">
        <v>0</v>
      </c>
      <c r="I440">
        <v>0</v>
      </c>
      <c r="J440" t="s">
        <v>4352</v>
      </c>
      <c r="K440" t="str">
        <f t="shared" si="12"/>
        <v>Sam Ficken3</v>
      </c>
      <c r="L440" s="21" t="str">
        <f>IF(ISERROR(MATCH($A440,'F Proj'!$B$1:$B$7669,0)),IF(ISERROR(MATCH($A440,'D Proj'!$B$1:$B$513,0)),IF(ISERROR(MATCH($A440,'K Proj'!$B$1:$B$508,0)),"?","K"),"D"),"FLEX")</f>
        <v>?</v>
      </c>
      <c r="M440" s="21">
        <f>MATCH(L440,Pos,0)</f>
        <v>2</v>
      </c>
      <c r="N440" s="21" t="e">
        <f>CHOOSE($M440,MATCH($A440&amp;$B440,'F Proj'!$P$1:$P$7669,0),MATCH($A440&amp;$B440,'D Proj'!$X$1:$X$513,0),MATCH($A440&amp;$B440,'K Proj'!$T$1:$T$508,0))</f>
        <v>#N/A</v>
      </c>
      <c r="O440" t="e">
        <f>CHOOSE(M440,INDEX('F Proj'!$D$1:$D$7669,N440),INDEX('D Proj'!$T$1:$T$513,N440),INDEX('K Proj'!$L$1:$L$508,N440))</f>
        <v>#N/A</v>
      </c>
      <c r="P440" t="e">
        <f>CHOOSE(M440,INDEX('F Proj'!$J$1:$J$7669,N440),INDEX('D Proj'!$N$1:$N$513,N440),INDEX('K Proj'!$P$1:$P$508,N440))</f>
        <v>#N/A</v>
      </c>
      <c r="Q440" t="str">
        <f t="shared" si="13"/>
        <v>K</v>
      </c>
      <c r="R440" t="str">
        <f>IF(L440="FLEX",INDEX('F Proj'!$F$1:$F$7669,N440),Q440)</f>
        <v>K</v>
      </c>
      <c r="S440" t="str">
        <f>IF((Week+Half_Week-1)&gt;=VALUE(RIGHT(C440,LEN(C440)-SEARCH("-",C440))),LEFT(C440,SEARCH("-",C440)-1),"")</f>
        <v>scott</v>
      </c>
    </row>
    <row r="441" spans="1:19" x14ac:dyDescent="0.25">
      <c r="A441" t="s">
        <v>3892</v>
      </c>
      <c r="B441">
        <v>4</v>
      </c>
      <c r="C441" t="s">
        <v>861</v>
      </c>
      <c r="D441" t="s">
        <v>478</v>
      </c>
      <c r="E441">
        <v>5</v>
      </c>
      <c r="G441">
        <v>5</v>
      </c>
      <c r="H441">
        <v>0</v>
      </c>
      <c r="I441">
        <v>0</v>
      </c>
      <c r="J441" t="s">
        <v>4835</v>
      </c>
      <c r="K441" t="str">
        <f t="shared" si="12"/>
        <v>Sam Ficken4</v>
      </c>
      <c r="L441" s="21" t="str">
        <f>IF(ISERROR(MATCH($A441,'F Proj'!$B$1:$B$7669,0)),IF(ISERROR(MATCH($A441,'D Proj'!$B$1:$B$513,0)),IF(ISERROR(MATCH($A441,'K Proj'!$B$1:$B$508,0)),"?","K"),"D"),"FLEX")</f>
        <v>?</v>
      </c>
      <c r="M441" s="21">
        <f>MATCH(L441,Pos,0)</f>
        <v>2</v>
      </c>
      <c r="N441" s="21" t="e">
        <f>CHOOSE($M441,MATCH($A441&amp;$B441,'F Proj'!$P$1:$P$7669,0),MATCH($A441&amp;$B441,'D Proj'!$X$1:$X$513,0),MATCH($A441&amp;$B441,'K Proj'!$T$1:$T$508,0))</f>
        <v>#N/A</v>
      </c>
      <c r="O441" t="e">
        <f>CHOOSE(M441,INDEX('F Proj'!$D$1:$D$7669,N441),INDEX('D Proj'!$T$1:$T$513,N441),INDEX('K Proj'!$L$1:$L$508,N441))</f>
        <v>#N/A</v>
      </c>
      <c r="P441" t="e">
        <f>CHOOSE(M441,INDEX('F Proj'!$J$1:$J$7669,N441),INDEX('D Proj'!$N$1:$N$513,N441),INDEX('K Proj'!$P$1:$P$508,N441))</f>
        <v>#N/A</v>
      </c>
      <c r="Q441" t="str">
        <f t="shared" si="13"/>
        <v>K</v>
      </c>
      <c r="R441" t="str">
        <f>IF(L441="FLEX",INDEX('F Proj'!$F$1:$F$7669,N441),Q441)</f>
        <v>K</v>
      </c>
      <c r="S441" t="str">
        <f>IF((Week+Half_Week-1)&gt;=VALUE(RIGHT(C441,LEN(C441)-SEARCH("-",C441))),LEFT(C441,SEARCH("-",C441)-1),"")</f>
        <v>scott</v>
      </c>
    </row>
    <row r="442" spans="1:19" x14ac:dyDescent="0.25">
      <c r="A442" t="s">
        <v>446</v>
      </c>
      <c r="B442">
        <v>1</v>
      </c>
      <c r="C442" t="s">
        <v>506</v>
      </c>
      <c r="D442" t="s">
        <v>478</v>
      </c>
      <c r="E442">
        <v>9</v>
      </c>
      <c r="G442">
        <v>9</v>
      </c>
      <c r="H442">
        <v>0</v>
      </c>
      <c r="I442">
        <v>0</v>
      </c>
      <c r="J442" t="s">
        <v>589</v>
      </c>
      <c r="K442" t="str">
        <f t="shared" si="12"/>
        <v>Stephen Gostkowski1</v>
      </c>
      <c r="L442" s="21" t="str">
        <f>IF(ISERROR(MATCH($A442,'F Proj'!$B$1:$B$7669,0)),IF(ISERROR(MATCH($A442,'D Proj'!$B$1:$B$513,0)),IF(ISERROR(MATCH($A442,'K Proj'!$B$1:$B$508,0)),"?","K"),"D"),"FLEX")</f>
        <v>K</v>
      </c>
      <c r="M442" s="21">
        <f>MATCH(L442,Pos,0)</f>
        <v>3</v>
      </c>
      <c r="N442" s="21">
        <f>CHOOSE($M442,MATCH($A442&amp;$B442,'F Proj'!$P$1:$P$7669,0),MATCH($A442&amp;$B442,'D Proj'!$X$1:$X$513,0),MATCH($A442&amp;$B442,'K Proj'!$T$1:$T$508,0))</f>
        <v>60</v>
      </c>
      <c r="O442">
        <f>CHOOSE(M442,INDEX('F Proj'!$D$1:$D$7669,N442),INDEX('D Proj'!$T$1:$T$513,N442),INDEX('K Proj'!$L$1:$L$508,N442))</f>
        <v>8.3699999999999992</v>
      </c>
      <c r="P442">
        <f>CHOOSE(M442,INDEX('F Proj'!$J$1:$J$7669,N442),INDEX('D Proj'!$N$1:$N$513,N442),INDEX('K Proj'!$P$1:$P$508,N442))</f>
        <v>14.44</v>
      </c>
      <c r="Q442" t="str">
        <f t="shared" si="13"/>
        <v>K</v>
      </c>
      <c r="R442" t="str">
        <f>IF(L442="FLEX",INDEX('F Proj'!$F$1:$F$7669,N442),Q442)</f>
        <v>K</v>
      </c>
      <c r="S442" t="str">
        <f>IF((Week+Half_Week-1)&gt;=VALUE(RIGHT(C442,LEN(C442)-SEARCH("-",C442))),LEFT(C442,SEARCH("-",C442)-1),"")</f>
        <v>comp</v>
      </c>
    </row>
    <row r="443" spans="1:19" x14ac:dyDescent="0.25">
      <c r="A443" t="s">
        <v>446</v>
      </c>
      <c r="B443">
        <v>2</v>
      </c>
      <c r="C443" t="s">
        <v>623</v>
      </c>
      <c r="D443" t="s">
        <v>478</v>
      </c>
      <c r="E443">
        <v>6</v>
      </c>
      <c r="G443">
        <v>6</v>
      </c>
      <c r="H443">
        <v>0</v>
      </c>
      <c r="I443">
        <v>0</v>
      </c>
      <c r="J443" t="s">
        <v>704</v>
      </c>
      <c r="K443" t="str">
        <f t="shared" si="12"/>
        <v>Stephen Gostkowski2</v>
      </c>
      <c r="L443" s="21" t="str">
        <f>IF(ISERROR(MATCH($A443,'F Proj'!$B$1:$B$7669,0)),IF(ISERROR(MATCH($A443,'D Proj'!$B$1:$B$513,0)),IF(ISERROR(MATCH($A443,'K Proj'!$B$1:$B$508,0)),"?","K"),"D"),"FLEX")</f>
        <v>K</v>
      </c>
      <c r="M443" s="21">
        <f>MATCH(L443,Pos,0)</f>
        <v>3</v>
      </c>
      <c r="N443" s="21">
        <f>CHOOSE($M443,MATCH($A443&amp;$B443,'F Proj'!$P$1:$P$7669,0),MATCH($A443&amp;$B443,'D Proj'!$X$1:$X$513,0),MATCH($A443&amp;$B443,'K Proj'!$T$1:$T$508,0))</f>
        <v>131</v>
      </c>
      <c r="O443">
        <f>CHOOSE(M443,INDEX('F Proj'!$D$1:$D$7669,N443),INDEX('D Proj'!$T$1:$T$513,N443),INDEX('K Proj'!$L$1:$L$508,N443))</f>
        <v>7.72</v>
      </c>
      <c r="P443">
        <f>CHOOSE(M443,INDEX('F Proj'!$J$1:$J$7669,N443),INDEX('D Proj'!$N$1:$N$513,N443),INDEX('K Proj'!$P$1:$P$508,N443))</f>
        <v>19.096900000000002</v>
      </c>
      <c r="Q443" t="str">
        <f t="shared" si="13"/>
        <v>K</v>
      </c>
      <c r="R443" t="str">
        <f>IF(L443="FLEX",INDEX('F Proj'!$F$1:$F$7669,N443),Q443)</f>
        <v>K</v>
      </c>
      <c r="S443" t="str">
        <f>IF((Week+Half_Week-1)&gt;=VALUE(RIGHT(C443,LEN(C443)-SEARCH("-",C443))),LEFT(C443,SEARCH("-",C443)-1),"")</f>
        <v>comp</v>
      </c>
    </row>
    <row r="444" spans="1:19" x14ac:dyDescent="0.25">
      <c r="A444" t="s">
        <v>446</v>
      </c>
      <c r="B444">
        <v>3</v>
      </c>
      <c r="C444" t="s">
        <v>805</v>
      </c>
      <c r="D444" t="s">
        <v>478</v>
      </c>
      <c r="E444">
        <v>4</v>
      </c>
      <c r="G444">
        <v>4</v>
      </c>
      <c r="H444">
        <v>0</v>
      </c>
      <c r="I444">
        <v>0</v>
      </c>
      <c r="J444" t="s">
        <v>4353</v>
      </c>
      <c r="K444" t="str">
        <f t="shared" si="12"/>
        <v>Stephen Gostkowski3</v>
      </c>
      <c r="L444" s="21" t="str">
        <f>IF(ISERROR(MATCH($A444,'F Proj'!$B$1:$B$7669,0)),IF(ISERROR(MATCH($A444,'D Proj'!$B$1:$B$513,0)),IF(ISERROR(MATCH($A444,'K Proj'!$B$1:$B$508,0)),"?","K"),"D"),"FLEX")</f>
        <v>K</v>
      </c>
      <c r="M444" s="21">
        <f>MATCH(L444,Pos,0)</f>
        <v>3</v>
      </c>
      <c r="N444" s="21">
        <f>CHOOSE($M444,MATCH($A444&amp;$B444,'F Proj'!$P$1:$P$7669,0),MATCH($A444&amp;$B444,'D Proj'!$X$1:$X$513,0),MATCH($A444&amp;$B444,'K Proj'!$T$1:$T$508,0))</f>
        <v>23</v>
      </c>
      <c r="O444">
        <f>CHOOSE(M444,INDEX('F Proj'!$D$1:$D$7669,N444),INDEX('D Proj'!$T$1:$T$513,N444),INDEX('K Proj'!$L$1:$L$508,N444))</f>
        <v>8.74</v>
      </c>
      <c r="P444">
        <f>CHOOSE(M444,INDEX('F Proj'!$J$1:$J$7669,N444),INDEX('D Proj'!$N$1:$N$513,N444),INDEX('K Proj'!$P$1:$P$508,N444))</f>
        <v>18.0625</v>
      </c>
      <c r="Q444" t="str">
        <f t="shared" si="13"/>
        <v>K</v>
      </c>
      <c r="R444" t="str">
        <f>IF(L444="FLEX",INDEX('F Proj'!$F$1:$F$7669,N444),Q444)</f>
        <v>K</v>
      </c>
      <c r="S444" t="str">
        <f>IF((Week+Half_Week-1)&gt;=VALUE(RIGHT(C444,LEN(C444)-SEARCH("-",C444))),LEFT(C444,SEARCH("-",C444)-1),"")</f>
        <v>comp</v>
      </c>
    </row>
    <row r="445" spans="1:19" x14ac:dyDescent="0.25">
      <c r="A445" t="s">
        <v>446</v>
      </c>
      <c r="B445">
        <v>4</v>
      </c>
      <c r="C445" t="s">
        <v>860</v>
      </c>
      <c r="D445" t="s">
        <v>478</v>
      </c>
      <c r="E445">
        <v>8</v>
      </c>
      <c r="G445">
        <v>8</v>
      </c>
      <c r="H445">
        <v>0</v>
      </c>
      <c r="I445">
        <v>0</v>
      </c>
      <c r="J445" t="s">
        <v>4836</v>
      </c>
      <c r="K445" t="str">
        <f t="shared" si="12"/>
        <v>Stephen Gostkowski4</v>
      </c>
      <c r="L445" s="21" t="str">
        <f>IF(ISERROR(MATCH($A445,'F Proj'!$B$1:$B$7669,0)),IF(ISERROR(MATCH($A445,'D Proj'!$B$1:$B$513,0)),IF(ISERROR(MATCH($A445,'K Proj'!$B$1:$B$508,0)),"?","K"),"D"),"FLEX")</f>
        <v>K</v>
      </c>
      <c r="M445" s="21">
        <f>MATCH(L445,Pos,0)</f>
        <v>3</v>
      </c>
      <c r="N445" s="21">
        <f>CHOOSE($M445,MATCH($A445&amp;$B445,'F Proj'!$P$1:$P$7669,0),MATCH($A445&amp;$B445,'D Proj'!$X$1:$X$513,0),MATCH($A445&amp;$B445,'K Proj'!$T$1:$T$508,0))</f>
        <v>52</v>
      </c>
      <c r="O445">
        <f>CHOOSE(M445,INDEX('F Proj'!$D$1:$D$7669,N445),INDEX('D Proj'!$T$1:$T$513,N445),INDEX('K Proj'!$L$1:$L$508,N445))</f>
        <v>8.44</v>
      </c>
      <c r="P445">
        <f>CHOOSE(M445,INDEX('F Proj'!$J$1:$J$7669,N445),INDEX('D Proj'!$N$1:$N$513,N445),INDEX('K Proj'!$P$1:$P$508,N445))</f>
        <v>21.529599999999999</v>
      </c>
      <c r="Q445" t="str">
        <f t="shared" si="13"/>
        <v>K</v>
      </c>
      <c r="R445" t="str">
        <f>IF(L445="FLEX",INDEX('F Proj'!$F$1:$F$7669,N445),Q445)</f>
        <v>K</v>
      </c>
      <c r="S445" t="str">
        <f>IF((Week+Half_Week-1)&gt;=VALUE(RIGHT(C445,LEN(C445)-SEARCH("-",C445))),LEFT(C445,SEARCH("-",C445)-1),"")</f>
        <v>comp</v>
      </c>
    </row>
    <row r="446" spans="1:19" x14ac:dyDescent="0.25">
      <c r="A446" t="s">
        <v>446</v>
      </c>
      <c r="B446">
        <v>5</v>
      </c>
      <c r="C446" t="s">
        <v>887</v>
      </c>
      <c r="D446" t="s">
        <v>478</v>
      </c>
      <c r="E446">
        <v>9</v>
      </c>
      <c r="G446">
        <v>9</v>
      </c>
      <c r="H446">
        <v>0</v>
      </c>
      <c r="I446">
        <v>0</v>
      </c>
      <c r="J446" t="s">
        <v>9038</v>
      </c>
      <c r="K446" t="str">
        <f t="shared" si="12"/>
        <v>Stephen Gostkowski5</v>
      </c>
      <c r="L446" s="21" t="str">
        <f>IF(ISERROR(MATCH($A446,'F Proj'!$B$1:$B$7669,0)),IF(ISERROR(MATCH($A446,'D Proj'!$B$1:$B$513,0)),IF(ISERROR(MATCH($A446,'K Proj'!$B$1:$B$508,0)),"?","K"),"D"),"FLEX")</f>
        <v>K</v>
      </c>
      <c r="M446" s="21">
        <f>MATCH(L446,Pos,0)</f>
        <v>3</v>
      </c>
      <c r="N446" s="21">
        <f>CHOOSE($M446,MATCH($A446&amp;$B446,'F Proj'!$P$1:$P$7669,0),MATCH($A446&amp;$B446,'D Proj'!$X$1:$X$513,0),MATCH($A446&amp;$B446,'K Proj'!$T$1:$T$508,0))</f>
        <v>50</v>
      </c>
      <c r="O446">
        <f>CHOOSE(M446,INDEX('F Proj'!$D$1:$D$7669,N446),INDEX('D Proj'!$T$1:$T$513,N446),INDEX('K Proj'!$L$1:$L$508,N446))</f>
        <v>8.4499999999999993</v>
      </c>
      <c r="P446">
        <f>CHOOSE(M446,INDEX('F Proj'!$J$1:$J$7669,N446),INDEX('D Proj'!$N$1:$N$513,N446),INDEX('K Proj'!$P$1:$P$508,N446))</f>
        <v>16.3216</v>
      </c>
      <c r="Q446" t="str">
        <f t="shared" si="13"/>
        <v>K</v>
      </c>
      <c r="R446" t="str">
        <f>IF(L446="FLEX",INDEX('F Proj'!$F$1:$F$7669,N446),Q446)</f>
        <v>K</v>
      </c>
      <c r="S446" t="str">
        <f>IF((Week+Half_Week-1)&gt;=VALUE(RIGHT(C446,LEN(C446)-SEARCH("-",C446))),LEFT(C446,SEARCH("-",C446)-1),"")</f>
        <v/>
      </c>
    </row>
    <row r="447" spans="1:19" x14ac:dyDescent="0.25">
      <c r="A447" t="s">
        <v>462</v>
      </c>
      <c r="B447">
        <v>1</v>
      </c>
      <c r="C447" t="s">
        <v>502</v>
      </c>
      <c r="D447" t="s">
        <v>478</v>
      </c>
      <c r="E447">
        <v>6</v>
      </c>
      <c r="G447">
        <v>6</v>
      </c>
      <c r="H447">
        <v>0</v>
      </c>
      <c r="I447">
        <v>0</v>
      </c>
      <c r="J447" t="s">
        <v>588</v>
      </c>
      <c r="K447" t="str">
        <f t="shared" si="12"/>
        <v>Wil Lutz1</v>
      </c>
      <c r="L447" s="21" t="str">
        <f>IF(ISERROR(MATCH($A447,'F Proj'!$B$1:$B$7669,0)),IF(ISERROR(MATCH($A447,'D Proj'!$B$1:$B$513,0)),IF(ISERROR(MATCH($A447,'K Proj'!$B$1:$B$508,0)),"?","K"),"D"),"FLEX")</f>
        <v>K</v>
      </c>
      <c r="M447" s="21">
        <f>MATCH(L447,Pos,0)</f>
        <v>3</v>
      </c>
      <c r="N447" s="21">
        <f>CHOOSE($M447,MATCH($A447&amp;$B447,'F Proj'!$P$1:$P$7669,0),MATCH($A447&amp;$B447,'D Proj'!$X$1:$X$513,0),MATCH($A447&amp;$B447,'K Proj'!$T$1:$T$508,0))</f>
        <v>6</v>
      </c>
      <c r="O447">
        <f>CHOOSE(M447,INDEX('F Proj'!$D$1:$D$7669,N447),INDEX('D Proj'!$T$1:$T$513,N447),INDEX('K Proj'!$L$1:$L$508,N447))</f>
        <v>9.3000000000000007</v>
      </c>
      <c r="P447">
        <f>CHOOSE(M447,INDEX('F Proj'!$J$1:$J$7669,N447),INDEX('D Proj'!$N$1:$N$513,N447),INDEX('K Proj'!$P$1:$P$508,N447))</f>
        <v>15.602499999999999</v>
      </c>
      <c r="Q447" t="str">
        <f t="shared" si="13"/>
        <v>K</v>
      </c>
      <c r="R447" t="str">
        <f>IF(L447="FLEX",INDEX('F Proj'!$F$1:$F$7669,N447),Q447)</f>
        <v>K</v>
      </c>
      <c r="S447" t="str">
        <f>IF((Week+Half_Week-1)&gt;=VALUE(RIGHT(C447,LEN(C447)-SEARCH("-",C447))),LEFT(C447,SEARCH("-",C447)-1),"")</f>
        <v>cory</v>
      </c>
    </row>
    <row r="448" spans="1:19" x14ac:dyDescent="0.25">
      <c r="A448" t="s">
        <v>462</v>
      </c>
      <c r="B448">
        <v>2</v>
      </c>
      <c r="C448" t="s">
        <v>618</v>
      </c>
      <c r="D448" t="s">
        <v>478</v>
      </c>
      <c r="E448">
        <v>5</v>
      </c>
      <c r="G448">
        <v>5</v>
      </c>
      <c r="H448">
        <v>0</v>
      </c>
      <c r="I448">
        <v>0</v>
      </c>
      <c r="J448" t="s">
        <v>703</v>
      </c>
      <c r="K448" t="str">
        <f t="shared" si="12"/>
        <v>Wil Lutz2</v>
      </c>
      <c r="L448" s="21" t="str">
        <f>IF(ISERROR(MATCH($A448,'F Proj'!$B$1:$B$7669,0)),IF(ISERROR(MATCH($A448,'D Proj'!$B$1:$B$513,0)),IF(ISERROR(MATCH($A448,'K Proj'!$B$1:$B$508,0)),"?","K"),"D"),"FLEX")</f>
        <v>K</v>
      </c>
      <c r="M448" s="21">
        <f>MATCH(L448,Pos,0)</f>
        <v>3</v>
      </c>
      <c r="N448" s="21">
        <f>CHOOSE($M448,MATCH($A448&amp;$B448,'F Proj'!$P$1:$P$7669,0),MATCH($A448&amp;$B448,'D Proj'!$X$1:$X$513,0),MATCH($A448&amp;$B448,'K Proj'!$T$1:$T$508,0))</f>
        <v>5</v>
      </c>
      <c r="O448">
        <f>CHOOSE(M448,INDEX('F Proj'!$D$1:$D$7669,N448),INDEX('D Proj'!$T$1:$T$513,N448),INDEX('K Proj'!$L$1:$L$508,N448))</f>
        <v>9.64</v>
      </c>
      <c r="P448">
        <f>CHOOSE(M448,INDEX('F Proj'!$J$1:$J$7669,N448),INDEX('D Proj'!$N$1:$N$513,N448),INDEX('K Proj'!$P$1:$P$508,N448))</f>
        <v>19.096900000000002</v>
      </c>
      <c r="Q448" t="str">
        <f t="shared" si="13"/>
        <v>K</v>
      </c>
      <c r="R448" t="str">
        <f>IF(L448="FLEX",INDEX('F Proj'!$F$1:$F$7669,N448),Q448)</f>
        <v>K</v>
      </c>
      <c r="S448" t="str">
        <f>IF((Week+Half_Week-1)&gt;=VALUE(RIGHT(C448,LEN(C448)-SEARCH("-",C448))),LEFT(C448,SEARCH("-",C448)-1),"")</f>
        <v>cory</v>
      </c>
    </row>
    <row r="449" spans="1:19" x14ac:dyDescent="0.25">
      <c r="A449" t="s">
        <v>462</v>
      </c>
      <c r="B449">
        <v>3</v>
      </c>
      <c r="C449" t="s">
        <v>803</v>
      </c>
      <c r="D449" t="s">
        <v>478</v>
      </c>
      <c r="E449">
        <v>15</v>
      </c>
      <c r="G449">
        <v>15</v>
      </c>
      <c r="H449">
        <v>0</v>
      </c>
      <c r="I449">
        <v>0</v>
      </c>
      <c r="J449" t="s">
        <v>4354</v>
      </c>
      <c r="K449" t="str">
        <f t="shared" si="12"/>
        <v>Wil Lutz3</v>
      </c>
      <c r="L449" s="21" t="str">
        <f>IF(ISERROR(MATCH($A449,'F Proj'!$B$1:$B$7669,0)),IF(ISERROR(MATCH($A449,'D Proj'!$B$1:$B$513,0)),IF(ISERROR(MATCH($A449,'K Proj'!$B$1:$B$508,0)),"?","K"),"D"),"FLEX")</f>
        <v>K</v>
      </c>
      <c r="M449" s="21">
        <f>MATCH(L449,Pos,0)</f>
        <v>3</v>
      </c>
      <c r="N449" s="21">
        <f>CHOOSE($M449,MATCH($A449&amp;$B449,'F Proj'!$P$1:$P$7669,0),MATCH($A449&amp;$B449,'D Proj'!$X$1:$X$513,0),MATCH($A449&amp;$B449,'K Proj'!$T$1:$T$508,0))</f>
        <v>39</v>
      </c>
      <c r="O449">
        <f>CHOOSE(M449,INDEX('F Proj'!$D$1:$D$7669,N449),INDEX('D Proj'!$T$1:$T$513,N449),INDEX('K Proj'!$L$1:$L$508,N449))</f>
        <v>8.5399999999999991</v>
      </c>
      <c r="P449">
        <f>CHOOSE(M449,INDEX('F Proj'!$J$1:$J$7669,N449),INDEX('D Proj'!$N$1:$N$513,N449),INDEX('K Proj'!$P$1:$P$508,N449))</f>
        <v>15.366400000000001</v>
      </c>
      <c r="Q449" t="str">
        <f t="shared" si="13"/>
        <v>K</v>
      </c>
      <c r="R449" t="str">
        <f>IF(L449="FLEX",INDEX('F Proj'!$F$1:$F$7669,N449),Q449)</f>
        <v>K</v>
      </c>
      <c r="S449" t="str">
        <f>IF((Week+Half_Week-1)&gt;=VALUE(RIGHT(C449,LEN(C449)-SEARCH("-",C449))),LEFT(C449,SEARCH("-",C449)-1),"")</f>
        <v>cory</v>
      </c>
    </row>
    <row r="450" spans="1:19" x14ac:dyDescent="0.25">
      <c r="A450" t="s">
        <v>462</v>
      </c>
      <c r="B450">
        <v>4</v>
      </c>
      <c r="C450" t="s">
        <v>858</v>
      </c>
      <c r="D450" t="s">
        <v>478</v>
      </c>
      <c r="E450">
        <v>16</v>
      </c>
      <c r="G450">
        <v>16</v>
      </c>
      <c r="H450">
        <v>0</v>
      </c>
      <c r="I450">
        <v>0</v>
      </c>
      <c r="J450" t="s">
        <v>4837</v>
      </c>
      <c r="K450" t="str">
        <f t="shared" si="12"/>
        <v>Wil Lutz4</v>
      </c>
      <c r="L450" s="21" t="str">
        <f>IF(ISERROR(MATCH($A450,'F Proj'!$B$1:$B$7669,0)),IF(ISERROR(MATCH($A450,'D Proj'!$B$1:$B$513,0)),IF(ISERROR(MATCH($A450,'K Proj'!$B$1:$B$508,0)),"?","K"),"D"),"FLEX")</f>
        <v>K</v>
      </c>
      <c r="M450" s="21">
        <f>MATCH(L450,Pos,0)</f>
        <v>3</v>
      </c>
      <c r="N450" s="21">
        <f>CHOOSE($M450,MATCH($A450&amp;$B450,'F Proj'!$P$1:$P$7669,0),MATCH($A450&amp;$B450,'D Proj'!$X$1:$X$513,0),MATCH($A450&amp;$B450,'K Proj'!$T$1:$T$508,0))</f>
        <v>28</v>
      </c>
      <c r="O450">
        <f>CHOOSE(M450,INDEX('F Proj'!$D$1:$D$7669,N450),INDEX('D Proj'!$T$1:$T$513,N450),INDEX('K Proj'!$L$1:$L$508,N450))</f>
        <v>8.6999999999999993</v>
      </c>
      <c r="P450">
        <f>CHOOSE(M450,INDEX('F Proj'!$J$1:$J$7669,N450),INDEX('D Proj'!$N$1:$N$513,N450),INDEX('K Proj'!$P$1:$P$508,N450))</f>
        <v>15.366400000000001</v>
      </c>
      <c r="Q450" t="str">
        <f t="shared" si="13"/>
        <v>K</v>
      </c>
      <c r="R450" t="str">
        <f>IF(L450="FLEX",INDEX('F Proj'!$F$1:$F$7669,N450),Q450)</f>
        <v>K</v>
      </c>
      <c r="S450" t="str">
        <f>IF((Week+Half_Week-1)&gt;=VALUE(RIGHT(C450,LEN(C450)-SEARCH("-",C450))),LEFT(C450,SEARCH("-",C450)-1),"")</f>
        <v>cory</v>
      </c>
    </row>
    <row r="451" spans="1:19" x14ac:dyDescent="0.25">
      <c r="A451" t="s">
        <v>462</v>
      </c>
      <c r="B451">
        <v>5</v>
      </c>
      <c r="C451" t="s">
        <v>883</v>
      </c>
      <c r="D451" t="s">
        <v>478</v>
      </c>
      <c r="E451" t="s">
        <v>8947</v>
      </c>
      <c r="G451">
        <v>9.3800000000000008</v>
      </c>
      <c r="H451">
        <v>4.2</v>
      </c>
      <c r="I451">
        <v>17.64</v>
      </c>
      <c r="J451" t="s">
        <v>9039</v>
      </c>
      <c r="K451" t="str">
        <f t="shared" ref="K451:K501" si="14">A451&amp;B451</f>
        <v>Wil Lutz5</v>
      </c>
      <c r="L451" s="21" t="str">
        <f>IF(ISERROR(MATCH($A451,'F Proj'!$B$1:$B$7669,0)),IF(ISERROR(MATCH($A451,'D Proj'!$B$1:$B$513,0)),IF(ISERROR(MATCH($A451,'K Proj'!$B$1:$B$508,0)),"?","K"),"D"),"FLEX")</f>
        <v>K</v>
      </c>
      <c r="M451" s="21">
        <f>MATCH(L451,Pos,0)</f>
        <v>3</v>
      </c>
      <c r="N451" s="21">
        <f>CHOOSE($M451,MATCH($A451&amp;$B451,'F Proj'!$P$1:$P$7669,0),MATCH($A451&amp;$B451,'D Proj'!$X$1:$X$513,0),MATCH($A451&amp;$B451,'K Proj'!$T$1:$T$508,0))</f>
        <v>43</v>
      </c>
      <c r="O451">
        <f>CHOOSE(M451,INDEX('F Proj'!$D$1:$D$7669,N451),INDEX('D Proj'!$T$1:$T$513,N451),INDEX('K Proj'!$L$1:$L$508,N451))</f>
        <v>8.49</v>
      </c>
      <c r="P451">
        <f>CHOOSE(M451,INDEX('F Proj'!$J$1:$J$7669,N451),INDEX('D Proj'!$N$1:$N$513,N451),INDEX('K Proj'!$P$1:$P$508,N451))</f>
        <v>17.64</v>
      </c>
      <c r="Q451" t="str">
        <f t="shared" ref="Q451:Q501" si="15">IFERROR(LEFT(D451,SEARCH("-",D451)-1),D451)</f>
        <v>K</v>
      </c>
      <c r="R451" t="str">
        <f>IF(L451="FLEX",INDEX('F Proj'!$F$1:$F$7669,N451),Q451)</f>
        <v>K</v>
      </c>
      <c r="S451" t="str">
        <f>IF((Week+Half_Week-1)&gt;=VALUE(RIGHT(C451,LEN(C451)-SEARCH("-",C451))),LEFT(C451,SEARCH("-",C451)-1),"")</f>
        <v/>
      </c>
    </row>
    <row r="452" spans="1:19" x14ac:dyDescent="0.25">
      <c r="A452" t="s">
        <v>416</v>
      </c>
      <c r="B452">
        <v>3</v>
      </c>
      <c r="C452" t="s">
        <v>806</v>
      </c>
      <c r="D452" t="s">
        <v>477</v>
      </c>
      <c r="E452">
        <v>15</v>
      </c>
      <c r="G452">
        <v>15</v>
      </c>
      <c r="H452">
        <v>0</v>
      </c>
      <c r="I452">
        <v>0</v>
      </c>
      <c r="J452" t="s">
        <v>4355</v>
      </c>
      <c r="K452" t="str">
        <f t="shared" si="14"/>
        <v>Bears D/ST3</v>
      </c>
      <c r="L452" s="21" t="str">
        <f>IF(ISERROR(MATCH($A452,'F Proj'!$B$1:$B$7669,0)),IF(ISERROR(MATCH($A452,'D Proj'!$B$1:$B$513,0)),IF(ISERROR(MATCH($A452,'K Proj'!$B$1:$B$508,0)),"?","K"),"D"),"FLEX")</f>
        <v>D</v>
      </c>
      <c r="M452" s="21">
        <f>MATCH(L452,Pos,0)</f>
        <v>2</v>
      </c>
      <c r="N452" s="21">
        <f>CHOOSE($M452,MATCH($A452&amp;$B452,'F Proj'!$P$1:$P$7669,0),MATCH($A452&amp;$B452,'D Proj'!$X$1:$X$513,0),MATCH($A452&amp;$B452,'K Proj'!$T$1:$T$508,0))</f>
        <v>52</v>
      </c>
      <c r="O452">
        <f>CHOOSE(M452,INDEX('F Proj'!$D$1:$D$7669,N452),INDEX('D Proj'!$T$1:$T$513,N452),INDEX('K Proj'!$L$1:$L$508,N452))</f>
        <v>8.1999999999999993</v>
      </c>
      <c r="P452">
        <f>CHOOSE(M452,INDEX('F Proj'!$J$1:$J$7669,N452),INDEX('D Proj'!$N$1:$N$513,N452),INDEX('K Proj'!$P$1:$P$508,N452))</f>
        <v>28.8369</v>
      </c>
      <c r="Q452" t="str">
        <f t="shared" si="15"/>
        <v>D/ST</v>
      </c>
      <c r="R452" t="str">
        <f>IF(L452="FLEX",INDEX('F Proj'!$F$1:$F$7669,N452),Q452)</f>
        <v>D/ST</v>
      </c>
      <c r="S452" t="str">
        <f>IF((Week+Half_Week-1)&gt;=VALUE(RIGHT(C452,LEN(C452)-SEARCH("-",C452))),LEFT(C452,SEARCH("-",C452)-1),"")</f>
        <v>aj</v>
      </c>
    </row>
    <row r="453" spans="1:19" x14ac:dyDescent="0.25">
      <c r="A453" t="s">
        <v>416</v>
      </c>
      <c r="B453">
        <v>4</v>
      </c>
      <c r="C453" t="s">
        <v>1722</v>
      </c>
      <c r="D453" t="s">
        <v>477</v>
      </c>
      <c r="E453">
        <v>13</v>
      </c>
      <c r="G453">
        <v>13</v>
      </c>
      <c r="H453">
        <v>0</v>
      </c>
      <c r="I453">
        <v>0</v>
      </c>
      <c r="J453" t="s">
        <v>4839</v>
      </c>
      <c r="K453" t="str">
        <f t="shared" si="14"/>
        <v>Bears D/ST4</v>
      </c>
      <c r="L453" s="21" t="str">
        <f>IF(ISERROR(MATCH($A453,'F Proj'!$B$1:$B$7669,0)),IF(ISERROR(MATCH($A453,'D Proj'!$B$1:$B$513,0)),IF(ISERROR(MATCH($A453,'K Proj'!$B$1:$B$508,0)),"?","K"),"D"),"FLEX")</f>
        <v>D</v>
      </c>
      <c r="M453" s="21">
        <f>MATCH(L453,Pos,0)</f>
        <v>2</v>
      </c>
      <c r="N453" s="21">
        <f>CHOOSE($M453,MATCH($A453&amp;$B453,'F Proj'!$P$1:$P$7669,0),MATCH($A453&amp;$B453,'D Proj'!$X$1:$X$513,0),MATCH($A453&amp;$B453,'K Proj'!$T$1:$T$508,0))</f>
        <v>233</v>
      </c>
      <c r="O453">
        <f>CHOOSE(M453,INDEX('F Proj'!$D$1:$D$7669,N453),INDEX('D Proj'!$T$1:$T$513,N453),INDEX('K Proj'!$L$1:$L$508,N453))</f>
        <v>6.36</v>
      </c>
      <c r="P453">
        <f>CHOOSE(M453,INDEX('F Proj'!$J$1:$J$7669,N453),INDEX('D Proj'!$N$1:$N$513,N453),INDEX('K Proj'!$P$1:$P$508,N453))</f>
        <v>29.702500000000001</v>
      </c>
      <c r="Q453" t="str">
        <f t="shared" si="15"/>
        <v>D/ST</v>
      </c>
      <c r="R453" t="str">
        <f>IF(L453="FLEX",INDEX('F Proj'!$F$1:$F$7669,N453),Q453)</f>
        <v>D/ST</v>
      </c>
      <c r="S453" t="str">
        <f>IF((Week+Half_Week-1)&gt;=VALUE(RIGHT(C453,LEN(C453)-SEARCH("-",C453))),LEFT(C453,SEARCH("-",C453)-1),"")</f>
        <v>lucas</v>
      </c>
    </row>
    <row r="454" spans="1:19" x14ac:dyDescent="0.25">
      <c r="A454" t="s">
        <v>412</v>
      </c>
      <c r="B454">
        <v>1</v>
      </c>
      <c r="C454" t="s">
        <v>1649</v>
      </c>
      <c r="D454" t="s">
        <v>477</v>
      </c>
      <c r="E454">
        <v>12</v>
      </c>
      <c r="G454">
        <v>12</v>
      </c>
      <c r="H454">
        <v>0</v>
      </c>
      <c r="I454">
        <v>0</v>
      </c>
      <c r="J454" t="s">
        <v>1669</v>
      </c>
      <c r="K454" t="str">
        <f t="shared" si="14"/>
        <v>Broncos D/ST1</v>
      </c>
      <c r="L454" s="21" t="str">
        <f>IF(ISERROR(MATCH($A454,'F Proj'!$B$1:$B$7669,0)),IF(ISERROR(MATCH($A454,'D Proj'!$B$1:$B$513,0)),IF(ISERROR(MATCH($A454,'K Proj'!$B$1:$B$508,0)),"?","K"),"D"),"FLEX")</f>
        <v>D</v>
      </c>
      <c r="M454" s="21">
        <f>MATCH(L454,Pos,0)</f>
        <v>2</v>
      </c>
      <c r="N454" s="21">
        <f>CHOOSE($M454,MATCH($A454&amp;$B454,'F Proj'!$P$1:$P$7669,0),MATCH($A454&amp;$B454,'D Proj'!$X$1:$X$513,0),MATCH($A454&amp;$B454,'K Proj'!$T$1:$T$508,0))</f>
        <v>329</v>
      </c>
      <c r="O454">
        <f>CHOOSE(M454,INDEX('F Proj'!$D$1:$D$7669,N454),INDEX('D Proj'!$T$1:$T$513,N454),INDEX('K Proj'!$L$1:$L$508,N454))</f>
        <v>5.31</v>
      </c>
      <c r="P454">
        <f>CHOOSE(M454,INDEX('F Proj'!$J$1:$J$7669,N454),INDEX('D Proj'!$N$1:$N$513,N454),INDEX('K Proj'!$P$1:$P$508,N454))</f>
        <v>39.312899999999999</v>
      </c>
      <c r="Q454" t="str">
        <f t="shared" si="15"/>
        <v>D/ST</v>
      </c>
      <c r="R454" t="str">
        <f>IF(L454="FLEX",INDEX('F Proj'!$F$1:$F$7669,N454),Q454)</f>
        <v>D/ST</v>
      </c>
      <c r="S454" t="str">
        <f>IF((Week+Half_Week-1)&gt;=VALUE(RIGHT(C454,LEN(C454)-SEARCH("-",C454))),LEFT(C454,SEARCH("-",C454)-1),"")</f>
        <v>lucas</v>
      </c>
    </row>
    <row r="455" spans="1:19" x14ac:dyDescent="0.25">
      <c r="A455" t="s">
        <v>412</v>
      </c>
      <c r="B455">
        <v>2</v>
      </c>
      <c r="C455" t="s">
        <v>1651</v>
      </c>
      <c r="D455" t="s">
        <v>477</v>
      </c>
      <c r="E455">
        <v>2</v>
      </c>
      <c r="G455">
        <v>2</v>
      </c>
      <c r="H455">
        <v>0</v>
      </c>
      <c r="I455">
        <v>0</v>
      </c>
      <c r="J455" t="s">
        <v>1670</v>
      </c>
      <c r="K455" t="str">
        <f t="shared" si="14"/>
        <v>Broncos D/ST2</v>
      </c>
      <c r="L455" s="21" t="str">
        <f>IF(ISERROR(MATCH($A455,'F Proj'!$B$1:$B$7669,0)),IF(ISERROR(MATCH($A455,'D Proj'!$B$1:$B$513,0)),IF(ISERROR(MATCH($A455,'K Proj'!$B$1:$B$508,0)),"?","K"),"D"),"FLEX")</f>
        <v>D</v>
      </c>
      <c r="M455" s="21">
        <f>MATCH(L455,Pos,0)</f>
        <v>2</v>
      </c>
      <c r="N455" s="21">
        <f>CHOOSE($M455,MATCH($A455&amp;$B455,'F Proj'!$P$1:$P$7669,0),MATCH($A455&amp;$B455,'D Proj'!$X$1:$X$513,0),MATCH($A455&amp;$B455,'K Proj'!$T$1:$T$508,0))</f>
        <v>30</v>
      </c>
      <c r="O455">
        <f>CHOOSE(M455,INDEX('F Proj'!$D$1:$D$7669,N455),INDEX('D Proj'!$T$1:$T$513,N455),INDEX('K Proj'!$L$1:$L$508,N455))</f>
        <v>8.74</v>
      </c>
      <c r="P455">
        <f>CHOOSE(M455,INDEX('F Proj'!$J$1:$J$7669,N455),INDEX('D Proj'!$N$1:$N$513,N455),INDEX('K Proj'!$P$1:$P$508,N455))</f>
        <v>44.222499999999997</v>
      </c>
      <c r="Q455" t="str">
        <f t="shared" si="15"/>
        <v>D/ST</v>
      </c>
      <c r="R455" t="str">
        <f>IF(L455="FLEX",INDEX('F Proj'!$F$1:$F$7669,N455),Q455)</f>
        <v>D/ST</v>
      </c>
      <c r="S455" t="str">
        <f>IF((Week+Half_Week-1)&gt;=VALUE(RIGHT(C455,LEN(C455)-SEARCH("-",C455))),LEFT(C455,SEARCH("-",C455)-1),"")</f>
        <v>lucas</v>
      </c>
    </row>
    <row r="456" spans="1:19" x14ac:dyDescent="0.25">
      <c r="A456" t="s">
        <v>412</v>
      </c>
      <c r="B456">
        <v>3</v>
      </c>
      <c r="C456" t="s">
        <v>1721</v>
      </c>
      <c r="D456" t="s">
        <v>477</v>
      </c>
      <c r="E456">
        <v>6</v>
      </c>
      <c r="G456">
        <v>6</v>
      </c>
      <c r="H456">
        <v>0</v>
      </c>
      <c r="I456">
        <v>0</v>
      </c>
      <c r="J456" t="s">
        <v>4356</v>
      </c>
      <c r="K456" t="str">
        <f t="shared" si="14"/>
        <v>Broncos D/ST3</v>
      </c>
      <c r="L456" s="21" t="str">
        <f>IF(ISERROR(MATCH($A456,'F Proj'!$B$1:$B$7669,0)),IF(ISERROR(MATCH($A456,'D Proj'!$B$1:$B$513,0)),IF(ISERROR(MATCH($A456,'K Proj'!$B$1:$B$508,0)),"?","K"),"D"),"FLEX")</f>
        <v>D</v>
      </c>
      <c r="M456" s="21">
        <f>MATCH(L456,Pos,0)</f>
        <v>2</v>
      </c>
      <c r="N456" s="21">
        <f>CHOOSE($M456,MATCH($A456&amp;$B456,'F Proj'!$P$1:$P$7669,0),MATCH($A456&amp;$B456,'D Proj'!$X$1:$X$513,0),MATCH($A456&amp;$B456,'K Proj'!$T$1:$T$508,0))</f>
        <v>264</v>
      </c>
      <c r="O456">
        <f>CHOOSE(M456,INDEX('F Proj'!$D$1:$D$7669,N456),INDEX('D Proj'!$T$1:$T$513,N456),INDEX('K Proj'!$L$1:$L$508,N456))</f>
        <v>6.04</v>
      </c>
      <c r="P456">
        <f>CHOOSE(M456,INDEX('F Proj'!$J$1:$J$7669,N456),INDEX('D Proj'!$N$1:$N$513,N456),INDEX('K Proj'!$P$1:$P$508,N456))</f>
        <v>17.056899999999999</v>
      </c>
      <c r="Q456" t="str">
        <f t="shared" si="15"/>
        <v>D/ST</v>
      </c>
      <c r="R456" t="str">
        <f>IF(L456="FLEX",INDEX('F Proj'!$F$1:$F$7669,N456),Q456)</f>
        <v>D/ST</v>
      </c>
      <c r="S456" t="str">
        <f>IF((Week+Half_Week-1)&gt;=VALUE(RIGHT(C456,LEN(C456)-SEARCH("-",C456))),LEFT(C456,SEARCH("-",C456)-1),"")</f>
        <v>lucas</v>
      </c>
    </row>
    <row r="457" spans="1:19" x14ac:dyDescent="0.25">
      <c r="A457" t="s">
        <v>412</v>
      </c>
      <c r="B457">
        <v>5</v>
      </c>
      <c r="C457" t="s">
        <v>886</v>
      </c>
      <c r="D457" t="s">
        <v>477</v>
      </c>
      <c r="E457" t="s">
        <v>8947</v>
      </c>
      <c r="G457">
        <v>6.22</v>
      </c>
      <c r="H457">
        <v>4.6500000000000004</v>
      </c>
      <c r="I457">
        <v>21.622499999999999</v>
      </c>
      <c r="J457" t="s">
        <v>9041</v>
      </c>
      <c r="K457" t="str">
        <f t="shared" si="14"/>
        <v>Broncos D/ST5</v>
      </c>
      <c r="L457" s="21" t="str">
        <f>IF(ISERROR(MATCH($A457,'F Proj'!$B$1:$B$7669,0)),IF(ISERROR(MATCH($A457,'D Proj'!$B$1:$B$513,0)),IF(ISERROR(MATCH($A457,'K Proj'!$B$1:$B$508,0)),"?","K"),"D"),"FLEX")</f>
        <v>D</v>
      </c>
      <c r="M457" s="21">
        <f>MATCH(L457,Pos,0)</f>
        <v>2</v>
      </c>
      <c r="N457" s="21">
        <f>CHOOSE($M457,MATCH($A457&amp;$B457,'F Proj'!$P$1:$P$7669,0),MATCH($A457&amp;$B457,'D Proj'!$X$1:$X$513,0),MATCH($A457&amp;$B457,'K Proj'!$T$1:$T$508,0))</f>
        <v>251</v>
      </c>
      <c r="O457">
        <f>CHOOSE(M457,INDEX('F Proj'!$D$1:$D$7669,N457),INDEX('D Proj'!$T$1:$T$513,N457),INDEX('K Proj'!$L$1:$L$508,N457))</f>
        <v>6.22</v>
      </c>
      <c r="P457">
        <f>CHOOSE(M457,INDEX('F Proj'!$J$1:$J$7669,N457),INDEX('D Proj'!$N$1:$N$513,N457),INDEX('K Proj'!$P$1:$P$508,N457))</f>
        <v>21.622499999999999</v>
      </c>
      <c r="Q457" t="str">
        <f t="shared" si="15"/>
        <v>D/ST</v>
      </c>
      <c r="R457" t="str">
        <f>IF(L457="FLEX",INDEX('F Proj'!$F$1:$F$7669,N457),Q457)</f>
        <v>D/ST</v>
      </c>
      <c r="S457" t="str">
        <f>IF((Week+Half_Week-1)&gt;=VALUE(RIGHT(C457,LEN(C457)-SEARCH("-",C457))),LEFT(C457,SEARCH("-",C457)-1),"")</f>
        <v/>
      </c>
    </row>
    <row r="458" spans="1:19" x14ac:dyDescent="0.25">
      <c r="A458" t="s">
        <v>434</v>
      </c>
      <c r="B458">
        <v>4</v>
      </c>
      <c r="C458" t="s">
        <v>864</v>
      </c>
      <c r="D458" t="s">
        <v>477</v>
      </c>
      <c r="E458">
        <v>-3</v>
      </c>
      <c r="G458">
        <v>-3</v>
      </c>
      <c r="H458">
        <v>0</v>
      </c>
      <c r="I458">
        <v>0</v>
      </c>
      <c r="J458" t="s">
        <v>4845</v>
      </c>
      <c r="K458" t="str">
        <f t="shared" si="14"/>
        <v>Browns D/ST4</v>
      </c>
      <c r="L458" s="21" t="str">
        <f>IF(ISERROR(MATCH($A458,'F Proj'!$B$1:$B$7669,0)),IF(ISERROR(MATCH($A458,'D Proj'!$B$1:$B$513,0)),IF(ISERROR(MATCH($A458,'K Proj'!$B$1:$B$508,0)),"?","K"),"D"),"FLEX")</f>
        <v>D</v>
      </c>
      <c r="M458" s="21">
        <f>MATCH(L458,Pos,0)</f>
        <v>2</v>
      </c>
      <c r="N458" s="21">
        <f>CHOOSE($M458,MATCH($A458&amp;$B458,'F Proj'!$P$1:$P$7669,0),MATCH($A458&amp;$B458,'D Proj'!$X$1:$X$513,0),MATCH($A458&amp;$B458,'K Proj'!$T$1:$T$508,0))</f>
        <v>202</v>
      </c>
      <c r="O458">
        <f>CHOOSE(M458,INDEX('F Proj'!$D$1:$D$7669,N458),INDEX('D Proj'!$T$1:$T$513,N458),INDEX('K Proj'!$L$1:$L$508,N458))</f>
        <v>6.7</v>
      </c>
      <c r="P458">
        <f>CHOOSE(M458,INDEX('F Proj'!$J$1:$J$7669,N458),INDEX('D Proj'!$N$1:$N$513,N458),INDEX('K Proj'!$P$1:$P$508,N458))</f>
        <v>32.947600000000001</v>
      </c>
      <c r="Q458" t="str">
        <f t="shared" si="15"/>
        <v>D/ST</v>
      </c>
      <c r="R458" t="str">
        <f>IF(L458="FLEX",INDEX('F Proj'!$F$1:$F$7669,N458),Q458)</f>
        <v>D/ST</v>
      </c>
      <c r="S458" t="str">
        <f>IF((Week+Half_Week-1)&gt;=VALUE(RIGHT(C458,LEN(C458)-SEARCH("-",C458))),LEFT(C458,SEARCH("-",C458)-1),"")</f>
        <v>matty</v>
      </c>
    </row>
    <row r="459" spans="1:19" x14ac:dyDescent="0.25">
      <c r="A459" t="s">
        <v>434</v>
      </c>
      <c r="B459">
        <v>5</v>
      </c>
      <c r="C459" t="s">
        <v>891</v>
      </c>
      <c r="D459" t="s">
        <v>477</v>
      </c>
      <c r="E459" t="s">
        <v>8947</v>
      </c>
      <c r="G459">
        <v>5.83</v>
      </c>
      <c r="H459">
        <v>5.6</v>
      </c>
      <c r="I459">
        <v>31.36</v>
      </c>
      <c r="J459" t="s">
        <v>9042</v>
      </c>
      <c r="K459" t="str">
        <f t="shared" si="14"/>
        <v>Browns D/ST5</v>
      </c>
      <c r="L459" s="21" t="str">
        <f>IF(ISERROR(MATCH($A459,'F Proj'!$B$1:$B$7669,0)),IF(ISERROR(MATCH($A459,'D Proj'!$B$1:$B$513,0)),IF(ISERROR(MATCH($A459,'K Proj'!$B$1:$B$508,0)),"?","K"),"D"),"FLEX")</f>
        <v>D</v>
      </c>
      <c r="M459" s="21">
        <f>MATCH(L459,Pos,0)</f>
        <v>2</v>
      </c>
      <c r="N459" s="21">
        <f>CHOOSE($M459,MATCH($A459&amp;$B459,'F Proj'!$P$1:$P$7669,0),MATCH($A459&amp;$B459,'D Proj'!$X$1:$X$513,0),MATCH($A459&amp;$B459,'K Proj'!$T$1:$T$508,0))</f>
        <v>285</v>
      </c>
      <c r="O459">
        <f>CHOOSE(M459,INDEX('F Proj'!$D$1:$D$7669,N459),INDEX('D Proj'!$T$1:$T$513,N459),INDEX('K Proj'!$L$1:$L$508,N459))</f>
        <v>5.83</v>
      </c>
      <c r="P459">
        <f>CHOOSE(M459,INDEX('F Proj'!$J$1:$J$7669,N459),INDEX('D Proj'!$N$1:$N$513,N459),INDEX('K Proj'!$P$1:$P$508,N459))</f>
        <v>31.36</v>
      </c>
      <c r="Q459" t="str">
        <f t="shared" si="15"/>
        <v>D/ST</v>
      </c>
      <c r="R459" t="str">
        <f>IF(L459="FLEX",INDEX('F Proj'!$F$1:$F$7669,N459),Q459)</f>
        <v>D/ST</v>
      </c>
      <c r="S459" t="str">
        <f>IF((Week+Half_Week-1)&gt;=VALUE(RIGHT(C459,LEN(C459)-SEARCH("-",C459))),LEFT(C459,SEARCH("-",C459)-1),"")</f>
        <v/>
      </c>
    </row>
    <row r="460" spans="1:19" x14ac:dyDescent="0.25">
      <c r="A460" t="s">
        <v>409</v>
      </c>
      <c r="B460">
        <v>3</v>
      </c>
      <c r="C460" t="s">
        <v>803</v>
      </c>
      <c r="D460" t="s">
        <v>477</v>
      </c>
      <c r="E460">
        <v>8</v>
      </c>
      <c r="G460">
        <v>8</v>
      </c>
      <c r="H460">
        <v>0</v>
      </c>
      <c r="I460">
        <v>0</v>
      </c>
      <c r="J460" t="s">
        <v>4357</v>
      </c>
      <c r="K460" t="str">
        <f t="shared" si="14"/>
        <v>Cardinals D/ST3</v>
      </c>
      <c r="L460" s="21" t="str">
        <f>IF(ISERROR(MATCH($A460,'F Proj'!$B$1:$B$7669,0)),IF(ISERROR(MATCH($A460,'D Proj'!$B$1:$B$513,0)),IF(ISERROR(MATCH($A460,'K Proj'!$B$1:$B$508,0)),"?","K"),"D"),"FLEX")</f>
        <v>D</v>
      </c>
      <c r="M460" s="21">
        <f>MATCH(L460,Pos,0)</f>
        <v>2</v>
      </c>
      <c r="N460" s="21">
        <f>CHOOSE($M460,MATCH($A460&amp;$B460,'F Proj'!$P$1:$P$7669,0),MATCH($A460&amp;$B460,'D Proj'!$X$1:$X$513,0),MATCH($A460&amp;$B460,'K Proj'!$T$1:$T$508,0))</f>
        <v>281</v>
      </c>
      <c r="O460">
        <f>CHOOSE(M460,INDEX('F Proj'!$D$1:$D$7669,N460),INDEX('D Proj'!$T$1:$T$513,N460),INDEX('K Proj'!$L$1:$L$508,N460))</f>
        <v>5.87</v>
      </c>
      <c r="P460">
        <f>CHOOSE(M460,INDEX('F Proj'!$J$1:$J$7669,N460),INDEX('D Proj'!$N$1:$N$513,N460),INDEX('K Proj'!$P$1:$P$508,N460))</f>
        <v>19.096900000000002</v>
      </c>
      <c r="Q460" t="str">
        <f t="shared" si="15"/>
        <v>D/ST</v>
      </c>
      <c r="R460" t="str">
        <f>IF(L460="FLEX",INDEX('F Proj'!$F$1:$F$7669,N460),Q460)</f>
        <v>D/ST</v>
      </c>
      <c r="S460" t="str">
        <f>IF((Week+Half_Week-1)&gt;=VALUE(RIGHT(C460,LEN(C460)-SEARCH("-",C460))),LEFT(C460,SEARCH("-",C460)-1),"")</f>
        <v>cory</v>
      </c>
    </row>
    <row r="461" spans="1:19" x14ac:dyDescent="0.25">
      <c r="A461" t="s">
        <v>421</v>
      </c>
      <c r="B461">
        <v>2</v>
      </c>
      <c r="C461" t="s">
        <v>638</v>
      </c>
      <c r="D461" t="s">
        <v>477</v>
      </c>
      <c r="E461">
        <v>11</v>
      </c>
      <c r="G461">
        <v>11</v>
      </c>
      <c r="H461">
        <v>0</v>
      </c>
      <c r="I461">
        <v>0</v>
      </c>
      <c r="J461" t="s">
        <v>712</v>
      </c>
      <c r="K461" t="str">
        <f t="shared" si="14"/>
        <v>Chargers D/ST2</v>
      </c>
      <c r="L461" s="21" t="str">
        <f>IF(ISERROR(MATCH($A461,'F Proj'!$B$1:$B$7669,0)),IF(ISERROR(MATCH($A461,'D Proj'!$B$1:$B$513,0)),IF(ISERROR(MATCH($A461,'K Proj'!$B$1:$B$508,0)),"?","K"),"D"),"FLEX")</f>
        <v>D</v>
      </c>
      <c r="M461" s="21">
        <f>MATCH(L461,Pos,0)</f>
        <v>2</v>
      </c>
      <c r="N461" s="21">
        <f>CHOOSE($M461,MATCH($A461&amp;$B461,'F Proj'!$P$1:$P$7669,0),MATCH($A461&amp;$B461,'D Proj'!$X$1:$X$513,0),MATCH($A461&amp;$B461,'K Proj'!$T$1:$T$508,0))</f>
        <v>32</v>
      </c>
      <c r="O461">
        <f>CHOOSE(M461,INDEX('F Proj'!$D$1:$D$7669,N461),INDEX('D Proj'!$T$1:$T$513,N461),INDEX('K Proj'!$L$1:$L$508,N461))</f>
        <v>8.69</v>
      </c>
      <c r="P461">
        <f>CHOOSE(M461,INDEX('F Proj'!$J$1:$J$7669,N461),INDEX('D Proj'!$N$1:$N$513,N461),INDEX('K Proj'!$P$1:$P$508,N461))</f>
        <v>67.897599999999997</v>
      </c>
      <c r="Q461" t="str">
        <f t="shared" si="15"/>
        <v>D/ST</v>
      </c>
      <c r="R461" t="str">
        <f>IF(L461="FLEX",INDEX('F Proj'!$F$1:$F$7669,N461),Q461)</f>
        <v>D/ST</v>
      </c>
      <c r="S461" t="str">
        <f>IF((Week+Half_Week-1)&gt;=VALUE(RIGHT(C461,LEN(C461)-SEARCH("-",C461))),LEFT(C461,SEARCH("-",C461)-1),"")</f>
        <v>chad</v>
      </c>
    </row>
    <row r="462" spans="1:19" x14ac:dyDescent="0.25">
      <c r="A462" t="s">
        <v>421</v>
      </c>
      <c r="B462">
        <v>4</v>
      </c>
      <c r="C462" t="s">
        <v>858</v>
      </c>
      <c r="D462" t="s">
        <v>477</v>
      </c>
      <c r="E462">
        <v>4</v>
      </c>
      <c r="G462">
        <v>4</v>
      </c>
      <c r="H462">
        <v>0</v>
      </c>
      <c r="I462">
        <v>0</v>
      </c>
      <c r="J462" t="s">
        <v>4840</v>
      </c>
      <c r="K462" t="str">
        <f t="shared" si="14"/>
        <v>Chargers D/ST4</v>
      </c>
      <c r="L462" s="21" t="str">
        <f>IF(ISERROR(MATCH($A462,'F Proj'!$B$1:$B$7669,0)),IF(ISERROR(MATCH($A462,'D Proj'!$B$1:$B$513,0)),IF(ISERROR(MATCH($A462,'K Proj'!$B$1:$B$508,0)),"?","K"),"D"),"FLEX")</f>
        <v>D</v>
      </c>
      <c r="M462" s="21">
        <f>MATCH(L462,Pos,0)</f>
        <v>2</v>
      </c>
      <c r="N462" s="21">
        <f>CHOOSE($M462,MATCH($A462&amp;$B462,'F Proj'!$P$1:$P$7669,0),MATCH($A462&amp;$B462,'D Proj'!$X$1:$X$513,0),MATCH($A462&amp;$B462,'K Proj'!$T$1:$T$508,0))</f>
        <v>114</v>
      </c>
      <c r="O462">
        <f>CHOOSE(M462,INDEX('F Proj'!$D$1:$D$7669,N462),INDEX('D Proj'!$T$1:$T$513,N462),INDEX('K Proj'!$L$1:$L$508,N462))</f>
        <v>7.44</v>
      </c>
      <c r="P462">
        <f>CHOOSE(M462,INDEX('F Proj'!$J$1:$J$7669,N462),INDEX('D Proj'!$N$1:$N$513,N462),INDEX('K Proj'!$P$1:$P$508,N462))</f>
        <v>59.752899999999997</v>
      </c>
      <c r="Q462" t="str">
        <f t="shared" si="15"/>
        <v>D/ST</v>
      </c>
      <c r="R462" t="str">
        <f>IF(L462="FLEX",INDEX('F Proj'!$F$1:$F$7669,N462),Q462)</f>
        <v>D/ST</v>
      </c>
      <c r="S462" t="str">
        <f>IF((Week+Half_Week-1)&gt;=VALUE(RIGHT(C462,LEN(C462)-SEARCH("-",C462))),LEFT(C462,SEARCH("-",C462)-1),"")</f>
        <v>cory</v>
      </c>
    </row>
    <row r="463" spans="1:19" x14ac:dyDescent="0.25">
      <c r="A463" t="s">
        <v>426</v>
      </c>
      <c r="B463">
        <v>3</v>
      </c>
      <c r="C463" t="s">
        <v>810</v>
      </c>
      <c r="D463" t="s">
        <v>477</v>
      </c>
      <c r="E463">
        <v>4</v>
      </c>
      <c r="G463">
        <v>4</v>
      </c>
      <c r="H463">
        <v>0</v>
      </c>
      <c r="I463">
        <v>0</v>
      </c>
      <c r="J463" t="s">
        <v>4358</v>
      </c>
      <c r="K463" t="str">
        <f t="shared" si="14"/>
        <v>Cowboys D/ST3</v>
      </c>
      <c r="L463" s="21" t="str">
        <f>IF(ISERROR(MATCH($A463,'F Proj'!$B$1:$B$7669,0)),IF(ISERROR(MATCH($A463,'D Proj'!$B$1:$B$513,0)),IF(ISERROR(MATCH($A463,'K Proj'!$B$1:$B$508,0)),"?","K"),"D"),"FLEX")</f>
        <v>D</v>
      </c>
      <c r="M463" s="21">
        <f>MATCH(L463,Pos,0)</f>
        <v>2</v>
      </c>
      <c r="N463" s="21">
        <f>CHOOSE($M463,MATCH($A463&amp;$B463,'F Proj'!$P$1:$P$7669,0),MATCH($A463&amp;$B463,'D Proj'!$X$1:$X$513,0),MATCH($A463&amp;$B463,'K Proj'!$T$1:$T$508,0))</f>
        <v>194</v>
      </c>
      <c r="O463">
        <f>CHOOSE(M463,INDEX('F Proj'!$D$1:$D$7669,N463),INDEX('D Proj'!$T$1:$T$513,N463),INDEX('K Proj'!$L$1:$L$508,N463))</f>
        <v>6.77</v>
      </c>
      <c r="P463">
        <f>CHOOSE(M463,INDEX('F Proj'!$J$1:$J$7669,N463),INDEX('D Proj'!$N$1:$N$513,N463),INDEX('K Proj'!$P$1:$P$508,N463))</f>
        <v>30.1401</v>
      </c>
      <c r="Q463" t="str">
        <f t="shared" si="15"/>
        <v>D/ST</v>
      </c>
      <c r="R463" t="str">
        <f>IF(L463="FLEX",INDEX('F Proj'!$F$1:$F$7669,N463),Q463)</f>
        <v>D/ST</v>
      </c>
      <c r="S463" t="str">
        <f>IF((Week+Half_Week-1)&gt;=VALUE(RIGHT(C463,LEN(C463)-SEARCH("-",C463))),LEFT(C463,SEARCH("-",C463)-1),"")</f>
        <v>chad</v>
      </c>
    </row>
    <row r="464" spans="1:19" x14ac:dyDescent="0.25">
      <c r="A464" t="s">
        <v>414</v>
      </c>
      <c r="B464">
        <v>1</v>
      </c>
      <c r="C464" t="s">
        <v>506</v>
      </c>
      <c r="D464" t="s">
        <v>477</v>
      </c>
      <c r="E464">
        <v>11</v>
      </c>
      <c r="G464">
        <v>11</v>
      </c>
      <c r="H464">
        <v>0</v>
      </c>
      <c r="I464">
        <v>0</v>
      </c>
      <c r="J464" t="s">
        <v>596</v>
      </c>
      <c r="K464" t="str">
        <f t="shared" si="14"/>
        <v>Eagles D/ST1</v>
      </c>
      <c r="L464" s="21" t="str">
        <f>IF(ISERROR(MATCH($A464,'F Proj'!$B$1:$B$7669,0)),IF(ISERROR(MATCH($A464,'D Proj'!$B$1:$B$513,0)),IF(ISERROR(MATCH($A464,'K Proj'!$B$1:$B$508,0)),"?","K"),"D"),"FLEX")</f>
        <v>D</v>
      </c>
      <c r="M464" s="21">
        <f>MATCH(L464,Pos,0)</f>
        <v>2</v>
      </c>
      <c r="N464" s="21">
        <f>CHOOSE($M464,MATCH($A464&amp;$B464,'F Proj'!$P$1:$P$7669,0),MATCH($A464&amp;$B464,'D Proj'!$X$1:$X$513,0),MATCH($A464&amp;$B464,'K Proj'!$T$1:$T$508,0))</f>
        <v>381</v>
      </c>
      <c r="O464">
        <f>CHOOSE(M464,INDEX('F Proj'!$D$1:$D$7669,N464),INDEX('D Proj'!$T$1:$T$513,N464),INDEX('K Proj'!$L$1:$L$508,N464))</f>
        <v>4.7</v>
      </c>
      <c r="P464">
        <f>CHOOSE(M464,INDEX('F Proj'!$J$1:$J$7669,N464),INDEX('D Proj'!$N$1:$N$513,N464),INDEX('K Proj'!$P$1:$P$508,N464))</f>
        <v>24.3049</v>
      </c>
      <c r="Q464" t="str">
        <f t="shared" si="15"/>
        <v>D/ST</v>
      </c>
      <c r="R464" t="str">
        <f>IF(L464="FLEX",INDEX('F Proj'!$F$1:$F$7669,N464),Q464)</f>
        <v>D/ST</v>
      </c>
      <c r="S464" t="str">
        <f>IF((Week+Half_Week-1)&gt;=VALUE(RIGHT(C464,LEN(C464)-SEARCH("-",C464))),LEFT(C464,SEARCH("-",C464)-1),"")</f>
        <v>comp</v>
      </c>
    </row>
    <row r="465" spans="1:19" x14ac:dyDescent="0.25">
      <c r="A465" t="s">
        <v>414</v>
      </c>
      <c r="B465">
        <v>2</v>
      </c>
      <c r="C465" t="s">
        <v>623</v>
      </c>
      <c r="D465" t="s">
        <v>477</v>
      </c>
      <c r="E465">
        <v>3</v>
      </c>
      <c r="G465">
        <v>3</v>
      </c>
      <c r="H465">
        <v>0</v>
      </c>
      <c r="I465">
        <v>0</v>
      </c>
      <c r="J465" t="s">
        <v>708</v>
      </c>
      <c r="K465" t="str">
        <f t="shared" si="14"/>
        <v>Eagles D/ST2</v>
      </c>
      <c r="L465" s="21" t="str">
        <f>IF(ISERROR(MATCH($A465,'F Proj'!$B$1:$B$7669,0)),IF(ISERROR(MATCH($A465,'D Proj'!$B$1:$B$513,0)),IF(ISERROR(MATCH($A465,'K Proj'!$B$1:$B$508,0)),"?","K"),"D"),"FLEX")</f>
        <v>D</v>
      </c>
      <c r="M465" s="21">
        <f>MATCH(L465,Pos,0)</f>
        <v>2</v>
      </c>
      <c r="N465" s="21">
        <f>CHOOSE($M465,MATCH($A465&amp;$B465,'F Proj'!$P$1:$P$7669,0),MATCH($A465&amp;$B465,'D Proj'!$X$1:$X$513,0),MATCH($A465&amp;$B465,'K Proj'!$T$1:$T$508,0))</f>
        <v>151</v>
      </c>
      <c r="O465">
        <f>CHOOSE(M465,INDEX('F Proj'!$D$1:$D$7669,N465),INDEX('D Proj'!$T$1:$T$513,N465),INDEX('K Proj'!$L$1:$L$508,N465))</f>
        <v>7.14</v>
      </c>
      <c r="P465">
        <f>CHOOSE(M465,INDEX('F Proj'!$J$1:$J$7669,N465),INDEX('D Proj'!$N$1:$N$513,N465),INDEX('K Proj'!$P$1:$P$508,N465))</f>
        <v>46.922499999999999</v>
      </c>
      <c r="Q465" t="str">
        <f t="shared" si="15"/>
        <v>D/ST</v>
      </c>
      <c r="R465" t="str">
        <f>IF(L465="FLEX",INDEX('F Proj'!$F$1:$F$7669,N465),Q465)</f>
        <v>D/ST</v>
      </c>
      <c r="S465" t="str">
        <f>IF((Week+Half_Week-1)&gt;=VALUE(RIGHT(C465,LEN(C465)-SEARCH("-",C465))),LEFT(C465,SEARCH("-",C465)-1),"")</f>
        <v>comp</v>
      </c>
    </row>
    <row r="466" spans="1:19" x14ac:dyDescent="0.25">
      <c r="A466" t="s">
        <v>414</v>
      </c>
      <c r="B466">
        <v>3</v>
      </c>
      <c r="C466" t="s">
        <v>805</v>
      </c>
      <c r="D466" t="s">
        <v>477</v>
      </c>
      <c r="E466">
        <v>5</v>
      </c>
      <c r="G466">
        <v>5</v>
      </c>
      <c r="H466">
        <v>0</v>
      </c>
      <c r="I466">
        <v>0</v>
      </c>
      <c r="J466" t="s">
        <v>4359</v>
      </c>
      <c r="K466" t="str">
        <f t="shared" si="14"/>
        <v>Eagles D/ST3</v>
      </c>
      <c r="L466" s="21" t="str">
        <f>IF(ISERROR(MATCH($A466,'F Proj'!$B$1:$B$7669,0)),IF(ISERROR(MATCH($A466,'D Proj'!$B$1:$B$513,0)),IF(ISERROR(MATCH($A466,'K Proj'!$B$1:$B$508,0)),"?","K"),"D"),"FLEX")</f>
        <v>D</v>
      </c>
      <c r="M466" s="21">
        <f>MATCH(L466,Pos,0)</f>
        <v>2</v>
      </c>
      <c r="N466" s="21">
        <f>CHOOSE($M466,MATCH($A466&amp;$B466,'F Proj'!$P$1:$P$7669,0),MATCH($A466&amp;$B466,'D Proj'!$X$1:$X$513,0),MATCH($A466&amp;$B466,'K Proj'!$T$1:$T$508,0))</f>
        <v>188</v>
      </c>
      <c r="O466">
        <f>CHOOSE(M466,INDEX('F Proj'!$D$1:$D$7669,N466),INDEX('D Proj'!$T$1:$T$513,N466),INDEX('K Proj'!$L$1:$L$508,N466))</f>
        <v>6.85</v>
      </c>
      <c r="P466">
        <f>CHOOSE(M466,INDEX('F Proj'!$J$1:$J$7669,N466),INDEX('D Proj'!$N$1:$N$513,N466),INDEX('K Proj'!$P$1:$P$508,N466))</f>
        <v>36</v>
      </c>
      <c r="Q466" t="str">
        <f t="shared" si="15"/>
        <v>D/ST</v>
      </c>
      <c r="R466" t="str">
        <f>IF(L466="FLEX",INDEX('F Proj'!$F$1:$F$7669,N466),Q466)</f>
        <v>D/ST</v>
      </c>
      <c r="S466" t="str">
        <f>IF((Week+Half_Week-1)&gt;=VALUE(RIGHT(C466,LEN(C466)-SEARCH("-",C466))),LEFT(C466,SEARCH("-",C466)-1),"")</f>
        <v>comp</v>
      </c>
    </row>
    <row r="467" spans="1:19" x14ac:dyDescent="0.25">
      <c r="A467" t="s">
        <v>414</v>
      </c>
      <c r="B467">
        <v>4</v>
      </c>
      <c r="C467" t="s">
        <v>860</v>
      </c>
      <c r="D467" t="s">
        <v>477</v>
      </c>
      <c r="E467">
        <v>4</v>
      </c>
      <c r="G467">
        <v>4</v>
      </c>
      <c r="H467">
        <v>0</v>
      </c>
      <c r="I467">
        <v>0</v>
      </c>
      <c r="J467" t="s">
        <v>4843</v>
      </c>
      <c r="K467" t="str">
        <f t="shared" si="14"/>
        <v>Eagles D/ST4</v>
      </c>
      <c r="L467" s="21" t="str">
        <f>IF(ISERROR(MATCH($A467,'F Proj'!$B$1:$B$7669,0)),IF(ISERROR(MATCH($A467,'D Proj'!$B$1:$B$513,0)),IF(ISERROR(MATCH($A467,'K Proj'!$B$1:$B$508,0)),"?","K"),"D"),"FLEX")</f>
        <v>D</v>
      </c>
      <c r="M467" s="21">
        <f>MATCH(L467,Pos,0)</f>
        <v>2</v>
      </c>
      <c r="N467" s="21">
        <f>CHOOSE($M467,MATCH($A467&amp;$B467,'F Proj'!$P$1:$P$7669,0),MATCH($A467&amp;$B467,'D Proj'!$X$1:$X$513,0),MATCH($A467&amp;$B467,'K Proj'!$T$1:$T$508,0))</f>
        <v>212</v>
      </c>
      <c r="O467">
        <f>CHOOSE(M467,INDEX('F Proj'!$D$1:$D$7669,N467),INDEX('D Proj'!$T$1:$T$513,N467),INDEX('K Proj'!$L$1:$L$508,N467))</f>
        <v>6.58</v>
      </c>
      <c r="P467">
        <f>CHOOSE(M467,INDEX('F Proj'!$J$1:$J$7669,N467),INDEX('D Proj'!$N$1:$N$513,N467),INDEX('K Proj'!$P$1:$P$508,N467))</f>
        <v>49.702500000000001</v>
      </c>
      <c r="Q467" t="str">
        <f t="shared" si="15"/>
        <v>D/ST</v>
      </c>
      <c r="R467" t="str">
        <f>IF(L467="FLEX",INDEX('F Proj'!$F$1:$F$7669,N467),Q467)</f>
        <v>D/ST</v>
      </c>
      <c r="S467" t="str">
        <f>IF((Week+Half_Week-1)&gt;=VALUE(RIGHT(C467,LEN(C467)-SEARCH("-",C467))),LEFT(C467,SEARCH("-",C467)-1),"")</f>
        <v>comp</v>
      </c>
    </row>
    <row r="468" spans="1:19" x14ac:dyDescent="0.25">
      <c r="A468" t="s">
        <v>414</v>
      </c>
      <c r="B468">
        <v>5</v>
      </c>
      <c r="C468" t="s">
        <v>887</v>
      </c>
      <c r="D468" t="s">
        <v>477</v>
      </c>
      <c r="E468" t="s">
        <v>8947</v>
      </c>
      <c r="G468">
        <v>6.91</v>
      </c>
      <c r="H468">
        <v>5.22</v>
      </c>
      <c r="I468">
        <v>27.2484</v>
      </c>
      <c r="J468" t="s">
        <v>9044</v>
      </c>
      <c r="K468" t="str">
        <f t="shared" si="14"/>
        <v>Eagles D/ST5</v>
      </c>
      <c r="L468" s="21" t="str">
        <f>IF(ISERROR(MATCH($A468,'F Proj'!$B$1:$B$7669,0)),IF(ISERROR(MATCH($A468,'D Proj'!$B$1:$B$513,0)),IF(ISERROR(MATCH($A468,'K Proj'!$B$1:$B$508,0)),"?","K"),"D"),"FLEX")</f>
        <v>D</v>
      </c>
      <c r="M468" s="21">
        <f>MATCH(L468,Pos,0)</f>
        <v>2</v>
      </c>
      <c r="N468" s="21">
        <f>CHOOSE($M468,MATCH($A468&amp;$B468,'F Proj'!$P$1:$P$7669,0),MATCH($A468&amp;$B468,'D Proj'!$X$1:$X$513,0),MATCH($A468&amp;$B468,'K Proj'!$T$1:$T$508,0))</f>
        <v>183</v>
      </c>
      <c r="O468">
        <f>CHOOSE(M468,INDEX('F Proj'!$D$1:$D$7669,N468),INDEX('D Proj'!$T$1:$T$513,N468),INDEX('K Proj'!$L$1:$L$508,N468))</f>
        <v>6.91</v>
      </c>
      <c r="P468">
        <f>CHOOSE(M468,INDEX('F Proj'!$J$1:$J$7669,N468),INDEX('D Proj'!$N$1:$N$513,N468),INDEX('K Proj'!$P$1:$P$508,N468))</f>
        <v>27.2484</v>
      </c>
      <c r="Q468" t="str">
        <f t="shared" si="15"/>
        <v>D/ST</v>
      </c>
      <c r="R468" t="str">
        <f>IF(L468="FLEX",INDEX('F Proj'!$F$1:$F$7669,N468),Q468)</f>
        <v>D/ST</v>
      </c>
      <c r="S468" t="str">
        <f>IF((Week+Half_Week-1)&gt;=VALUE(RIGHT(C468,LEN(C468)-SEARCH("-",C468))),LEFT(C468,SEARCH("-",C468)-1),"")</f>
        <v/>
      </c>
    </row>
    <row r="469" spans="1:19" x14ac:dyDescent="0.25">
      <c r="A469" t="s">
        <v>419</v>
      </c>
      <c r="B469">
        <v>1</v>
      </c>
      <c r="C469" t="s">
        <v>503</v>
      </c>
      <c r="D469" t="s">
        <v>477</v>
      </c>
      <c r="E469">
        <v>13</v>
      </c>
      <c r="G469">
        <v>13</v>
      </c>
      <c r="H469">
        <v>0</v>
      </c>
      <c r="I469">
        <v>0</v>
      </c>
      <c r="J469" t="s">
        <v>592</v>
      </c>
      <c r="K469" t="str">
        <f t="shared" si="14"/>
        <v>Jaguars D/ST1</v>
      </c>
      <c r="L469" s="21" t="str">
        <f>IF(ISERROR(MATCH($A469,'F Proj'!$B$1:$B$7669,0)),IF(ISERROR(MATCH($A469,'D Proj'!$B$1:$B$513,0)),IF(ISERROR(MATCH($A469,'K Proj'!$B$1:$B$508,0)),"?","K"),"D"),"FLEX")</f>
        <v>D</v>
      </c>
      <c r="M469" s="21">
        <f>MATCH(L469,Pos,0)</f>
        <v>2</v>
      </c>
      <c r="N469" s="21">
        <f>CHOOSE($M469,MATCH($A469&amp;$B469,'F Proj'!$P$1:$P$7669,0),MATCH($A469&amp;$B469,'D Proj'!$X$1:$X$513,0),MATCH($A469&amp;$B469,'K Proj'!$T$1:$T$508,0))</f>
        <v>9</v>
      </c>
      <c r="O469">
        <f>CHOOSE(M469,INDEX('F Proj'!$D$1:$D$7669,N469),INDEX('D Proj'!$T$1:$T$513,N469),INDEX('K Proj'!$L$1:$L$508,N469))</f>
        <v>10.38</v>
      </c>
      <c r="P469">
        <f>CHOOSE(M469,INDEX('F Proj'!$J$1:$J$7669,N469),INDEX('D Proj'!$N$1:$N$513,N469),INDEX('K Proj'!$P$1:$P$508,N469))</f>
        <v>49.561599999999999</v>
      </c>
      <c r="Q469" t="str">
        <f t="shared" si="15"/>
        <v>D/ST</v>
      </c>
      <c r="R469" t="str">
        <f>IF(L469="FLEX",INDEX('F Proj'!$F$1:$F$7669,N469),Q469)</f>
        <v>D/ST</v>
      </c>
      <c r="S469" t="str">
        <f>IF((Week+Half_Week-1)&gt;=VALUE(RIGHT(C469,LEN(C469)-SEARCH("-",C469))),LEFT(C469,SEARCH("-",C469)-1),"")</f>
        <v>devon</v>
      </c>
    </row>
    <row r="470" spans="1:19" x14ac:dyDescent="0.25">
      <c r="A470" t="s">
        <v>419</v>
      </c>
      <c r="B470">
        <v>2</v>
      </c>
      <c r="C470" t="s">
        <v>633</v>
      </c>
      <c r="D470" t="s">
        <v>477</v>
      </c>
      <c r="E470">
        <v>4</v>
      </c>
      <c r="G470">
        <v>4</v>
      </c>
      <c r="H470">
        <v>0</v>
      </c>
      <c r="I470">
        <v>0</v>
      </c>
      <c r="J470" t="s">
        <v>707</v>
      </c>
      <c r="K470" t="str">
        <f t="shared" si="14"/>
        <v>Jaguars D/ST2</v>
      </c>
      <c r="L470" s="21" t="str">
        <f>IF(ISERROR(MATCH($A470,'F Proj'!$B$1:$B$7669,0)),IF(ISERROR(MATCH($A470,'D Proj'!$B$1:$B$513,0)),IF(ISERROR(MATCH($A470,'K Proj'!$B$1:$B$508,0)),"?","K"),"D"),"FLEX")</f>
        <v>D</v>
      </c>
      <c r="M470" s="21">
        <f>MATCH(L470,Pos,0)</f>
        <v>2</v>
      </c>
      <c r="N470" s="21">
        <f>CHOOSE($M470,MATCH($A470&amp;$B470,'F Proj'!$P$1:$P$7669,0),MATCH($A470&amp;$B470,'D Proj'!$X$1:$X$513,0),MATCH($A470&amp;$B470,'K Proj'!$T$1:$T$508,0))</f>
        <v>392</v>
      </c>
      <c r="O470">
        <f>CHOOSE(M470,INDEX('F Proj'!$D$1:$D$7669,N470),INDEX('D Proj'!$T$1:$T$513,N470),INDEX('K Proj'!$L$1:$L$508,N470))</f>
        <v>4.58</v>
      </c>
      <c r="P470">
        <f>CHOOSE(M470,INDEX('F Proj'!$J$1:$J$7669,N470),INDEX('D Proj'!$N$1:$N$513,N470),INDEX('K Proj'!$P$1:$P$508,N470))</f>
        <v>31.248100000000001</v>
      </c>
      <c r="Q470" t="str">
        <f t="shared" si="15"/>
        <v>D/ST</v>
      </c>
      <c r="R470" t="str">
        <f>IF(L470="FLEX",INDEX('F Proj'!$F$1:$F$7669,N470),Q470)</f>
        <v>D/ST</v>
      </c>
      <c r="S470" t="str">
        <f>IF((Week+Half_Week-1)&gt;=VALUE(RIGHT(C470,LEN(C470)-SEARCH("-",C470))),LEFT(C470,SEARCH("-",C470)-1),"")</f>
        <v>devon</v>
      </c>
    </row>
    <row r="471" spans="1:19" x14ac:dyDescent="0.25">
      <c r="A471" t="s">
        <v>419</v>
      </c>
      <c r="B471">
        <v>3</v>
      </c>
      <c r="C471" t="s">
        <v>811</v>
      </c>
      <c r="D471" t="s">
        <v>477</v>
      </c>
      <c r="E471">
        <v>8</v>
      </c>
      <c r="G471">
        <v>8</v>
      </c>
      <c r="H471">
        <v>0</v>
      </c>
      <c r="I471">
        <v>0</v>
      </c>
      <c r="J471" t="s">
        <v>4360</v>
      </c>
      <c r="K471" t="str">
        <f t="shared" si="14"/>
        <v>Jaguars D/ST3</v>
      </c>
      <c r="L471" s="21" t="str">
        <f>IF(ISERROR(MATCH($A471,'F Proj'!$B$1:$B$7669,0)),IF(ISERROR(MATCH($A471,'D Proj'!$B$1:$B$513,0)),IF(ISERROR(MATCH($A471,'K Proj'!$B$1:$B$508,0)),"?","K"),"D"),"FLEX")</f>
        <v>D</v>
      </c>
      <c r="M471" s="21">
        <f>MATCH(L471,Pos,0)</f>
        <v>2</v>
      </c>
      <c r="N471" s="21">
        <f>CHOOSE($M471,MATCH($A471&amp;$B471,'F Proj'!$P$1:$P$7669,0),MATCH($A471&amp;$B471,'D Proj'!$X$1:$X$513,0),MATCH($A471&amp;$B471,'K Proj'!$T$1:$T$508,0))</f>
        <v>36</v>
      </c>
      <c r="O471">
        <f>CHOOSE(M471,INDEX('F Proj'!$D$1:$D$7669,N471),INDEX('D Proj'!$T$1:$T$513,N471),INDEX('K Proj'!$L$1:$L$508,N471))</f>
        <v>8.57</v>
      </c>
      <c r="P471">
        <f>CHOOSE(M471,INDEX('F Proj'!$J$1:$J$7669,N471),INDEX('D Proj'!$N$1:$N$513,N471),INDEX('K Proj'!$P$1:$P$508,N471))</f>
        <v>20.976400000000002</v>
      </c>
      <c r="Q471" t="str">
        <f t="shared" si="15"/>
        <v>D/ST</v>
      </c>
      <c r="R471" t="str">
        <f>IF(L471="FLEX",INDEX('F Proj'!$F$1:$F$7669,N471),Q471)</f>
        <v>D/ST</v>
      </c>
      <c r="S471" t="str">
        <f>IF((Week+Half_Week-1)&gt;=VALUE(RIGHT(C471,LEN(C471)-SEARCH("-",C471))),LEFT(C471,SEARCH("-",C471)-1),"")</f>
        <v>devon</v>
      </c>
    </row>
    <row r="472" spans="1:19" x14ac:dyDescent="0.25">
      <c r="A472" t="s">
        <v>419</v>
      </c>
      <c r="B472">
        <v>4</v>
      </c>
      <c r="C472" t="s">
        <v>863</v>
      </c>
      <c r="D472" t="s">
        <v>477</v>
      </c>
      <c r="E472">
        <v>11</v>
      </c>
      <c r="G472">
        <v>11</v>
      </c>
      <c r="H472">
        <v>0</v>
      </c>
      <c r="I472">
        <v>0</v>
      </c>
      <c r="J472" t="s">
        <v>4841</v>
      </c>
      <c r="K472" t="str">
        <f t="shared" si="14"/>
        <v>Jaguars D/ST4</v>
      </c>
      <c r="L472" s="21" t="str">
        <f>IF(ISERROR(MATCH($A472,'F Proj'!$B$1:$B$7669,0)),IF(ISERROR(MATCH($A472,'D Proj'!$B$1:$B$513,0)),IF(ISERROR(MATCH($A472,'K Proj'!$B$1:$B$508,0)),"?","K"),"D"),"FLEX")</f>
        <v>D</v>
      </c>
      <c r="M472" s="21">
        <f>MATCH(L472,Pos,0)</f>
        <v>2</v>
      </c>
      <c r="N472" s="21">
        <f>CHOOSE($M472,MATCH($A472&amp;$B472,'F Proj'!$P$1:$P$7669,0),MATCH($A472&amp;$B472,'D Proj'!$X$1:$X$513,0),MATCH($A472&amp;$B472,'K Proj'!$T$1:$T$508,0))</f>
        <v>57</v>
      </c>
      <c r="O472">
        <f>CHOOSE(M472,INDEX('F Proj'!$D$1:$D$7669,N472),INDEX('D Proj'!$T$1:$T$513,N472),INDEX('K Proj'!$L$1:$L$508,N472))</f>
        <v>8.14</v>
      </c>
      <c r="P472">
        <f>CHOOSE(M472,INDEX('F Proj'!$J$1:$J$7669,N472),INDEX('D Proj'!$N$1:$N$513,N472),INDEX('K Proj'!$P$1:$P$508,N472))</f>
        <v>28.302399999999999</v>
      </c>
      <c r="Q472" t="str">
        <f t="shared" si="15"/>
        <v>D/ST</v>
      </c>
      <c r="R472" t="str">
        <f>IF(L472="FLEX",INDEX('F Proj'!$F$1:$F$7669,N472),Q472)</f>
        <v>D/ST</v>
      </c>
      <c r="S472" t="str">
        <f>IF((Week+Half_Week-1)&gt;=VALUE(RIGHT(C472,LEN(C472)-SEARCH("-",C472))),LEFT(C472,SEARCH("-",C472)-1),"")</f>
        <v>devon</v>
      </c>
    </row>
    <row r="473" spans="1:19" x14ac:dyDescent="0.25">
      <c r="A473" t="s">
        <v>419</v>
      </c>
      <c r="B473">
        <v>5</v>
      </c>
      <c r="C473" t="s">
        <v>885</v>
      </c>
      <c r="D473" t="s">
        <v>477</v>
      </c>
      <c r="E473" t="s">
        <v>8947</v>
      </c>
      <c r="G473">
        <v>5.5</v>
      </c>
      <c r="H473">
        <v>6.56</v>
      </c>
      <c r="I473">
        <v>43.0336</v>
      </c>
      <c r="J473" t="s">
        <v>9045</v>
      </c>
      <c r="K473" t="str">
        <f t="shared" si="14"/>
        <v>Jaguars D/ST5</v>
      </c>
      <c r="L473" s="21" t="str">
        <f>IF(ISERROR(MATCH($A473,'F Proj'!$B$1:$B$7669,0)),IF(ISERROR(MATCH($A473,'D Proj'!$B$1:$B$513,0)),IF(ISERROR(MATCH($A473,'K Proj'!$B$1:$B$508,0)),"?","K"),"D"),"FLEX")</f>
        <v>D</v>
      </c>
      <c r="M473" s="21">
        <f>MATCH(L473,Pos,0)</f>
        <v>2</v>
      </c>
      <c r="N473" s="21">
        <f>CHOOSE($M473,MATCH($A473&amp;$B473,'F Proj'!$P$1:$P$7669,0),MATCH($A473&amp;$B473,'D Proj'!$X$1:$X$513,0),MATCH($A473&amp;$B473,'K Proj'!$T$1:$T$508,0))</f>
        <v>313</v>
      </c>
      <c r="O473">
        <f>CHOOSE(M473,INDEX('F Proj'!$D$1:$D$7669,N473),INDEX('D Proj'!$T$1:$T$513,N473),INDEX('K Proj'!$L$1:$L$508,N473))</f>
        <v>5.5</v>
      </c>
      <c r="P473">
        <f>CHOOSE(M473,INDEX('F Proj'!$J$1:$J$7669,N473),INDEX('D Proj'!$N$1:$N$513,N473),INDEX('K Proj'!$P$1:$P$508,N473))</f>
        <v>43.0336</v>
      </c>
      <c r="Q473" t="str">
        <f t="shared" si="15"/>
        <v>D/ST</v>
      </c>
      <c r="R473" t="str">
        <f>IF(L473="FLEX",INDEX('F Proj'!$F$1:$F$7669,N473),Q473)</f>
        <v>D/ST</v>
      </c>
      <c r="S473" t="str">
        <f>IF((Week+Half_Week-1)&gt;=VALUE(RIGHT(C473,LEN(C473)-SEARCH("-",C473))),LEFT(C473,SEARCH("-",C473)-1),"")</f>
        <v/>
      </c>
    </row>
    <row r="474" spans="1:19" x14ac:dyDescent="0.25">
      <c r="A474" t="s">
        <v>435</v>
      </c>
      <c r="B474">
        <v>1</v>
      </c>
      <c r="C474" t="s">
        <v>501</v>
      </c>
      <c r="D474" t="s">
        <v>477</v>
      </c>
      <c r="E474">
        <v>9</v>
      </c>
      <c r="G474">
        <v>9</v>
      </c>
      <c r="H474">
        <v>0</v>
      </c>
      <c r="I474">
        <v>0</v>
      </c>
      <c r="J474" t="s">
        <v>594</v>
      </c>
      <c r="K474" t="str">
        <f t="shared" si="14"/>
        <v>Lions D/ST1</v>
      </c>
      <c r="L474" s="21" t="str">
        <f>IF(ISERROR(MATCH($A474,'F Proj'!$B$1:$B$7669,0)),IF(ISERROR(MATCH($A474,'D Proj'!$B$1:$B$513,0)),IF(ISERROR(MATCH($A474,'K Proj'!$B$1:$B$508,0)),"?","K"),"D"),"FLEX")</f>
        <v>D</v>
      </c>
      <c r="M474" s="21">
        <f>MATCH(L474,Pos,0)</f>
        <v>2</v>
      </c>
      <c r="N474" s="21">
        <f>CHOOSE($M474,MATCH($A474&amp;$B474,'F Proj'!$P$1:$P$7669,0),MATCH($A474&amp;$B474,'D Proj'!$X$1:$X$513,0),MATCH($A474&amp;$B474,'K Proj'!$T$1:$T$508,0))</f>
        <v>170</v>
      </c>
      <c r="O474">
        <f>CHOOSE(M474,INDEX('F Proj'!$D$1:$D$7669,N474),INDEX('D Proj'!$T$1:$T$513,N474),INDEX('K Proj'!$L$1:$L$508,N474))</f>
        <v>6.98</v>
      </c>
      <c r="P474">
        <f>CHOOSE(M474,INDEX('F Proj'!$J$1:$J$7669,N474),INDEX('D Proj'!$N$1:$N$513,N474),INDEX('K Proj'!$P$1:$P$508,N474))</f>
        <v>34.692100000000003</v>
      </c>
      <c r="Q474" t="str">
        <f t="shared" si="15"/>
        <v>D/ST</v>
      </c>
      <c r="R474" t="str">
        <f>IF(L474="FLEX",INDEX('F Proj'!$F$1:$F$7669,N474),Q474)</f>
        <v>D/ST</v>
      </c>
      <c r="S474" t="str">
        <f>IF((Week+Half_Week-1)&gt;=VALUE(RIGHT(C474,LEN(C474)-SEARCH("-",C474))),LEFT(C474,SEARCH("-",C474)-1),"")</f>
        <v>chad</v>
      </c>
    </row>
    <row r="475" spans="1:19" x14ac:dyDescent="0.25">
      <c r="A475" t="s">
        <v>9005</v>
      </c>
      <c r="B475">
        <v>2</v>
      </c>
      <c r="C475" t="s">
        <v>616</v>
      </c>
      <c r="D475" t="s">
        <v>477</v>
      </c>
      <c r="E475">
        <v>0</v>
      </c>
      <c r="F475" t="s">
        <v>9006</v>
      </c>
      <c r="G475">
        <v>0</v>
      </c>
      <c r="H475">
        <v>0</v>
      </c>
      <c r="I475">
        <v>0</v>
      </c>
      <c r="J475" t="s">
        <v>713</v>
      </c>
      <c r="K475" t="str">
        <f t="shared" si="14"/>
        <v>OPEN SLOT2</v>
      </c>
      <c r="L475" s="21" t="str">
        <f>IF(ISERROR(MATCH($A475,'F Proj'!$B$1:$B$7669,0)),IF(ISERROR(MATCH($A475,'D Proj'!$B$1:$B$513,0)),IF(ISERROR(MATCH($A475,'K Proj'!$B$1:$B$508,0)),"?","K"),"D"),"FLEX")</f>
        <v>?</v>
      </c>
      <c r="M475" s="21">
        <f>MATCH(L475,Pos,0)</f>
        <v>2</v>
      </c>
      <c r="N475" s="21" t="e">
        <f>CHOOSE($M475,MATCH($A475&amp;$B475,'F Proj'!$P$1:$P$7669,0),MATCH($A475&amp;$B475,'D Proj'!$X$1:$X$513,0),MATCH($A475&amp;$B475,'K Proj'!$T$1:$T$508,0))</f>
        <v>#N/A</v>
      </c>
      <c r="O475" t="e">
        <f>CHOOSE(M475,INDEX('F Proj'!$D$1:$D$7669,N475),INDEX('D Proj'!$T$1:$T$513,N475),INDEX('K Proj'!$L$1:$L$508,N475))</f>
        <v>#N/A</v>
      </c>
      <c r="P475" t="e">
        <f>CHOOSE(M475,INDEX('F Proj'!$J$1:$J$7669,N475),INDEX('D Proj'!$N$1:$N$513,N475),INDEX('K Proj'!$P$1:$P$508,N475))</f>
        <v>#N/A</v>
      </c>
      <c r="Q475" t="str">
        <f t="shared" si="15"/>
        <v>D/ST</v>
      </c>
      <c r="R475" t="str">
        <f>IF(L475="FLEX",INDEX('F Proj'!$F$1:$F$7669,N475),Q475)</f>
        <v>D/ST</v>
      </c>
      <c r="S475" t="str">
        <f>IF((Week+Half_Week-1)&gt;=VALUE(RIGHT(C475,LEN(C475)-SEARCH("-",C475))),LEFT(C475,SEARCH("-",C475)-1),"")</f>
        <v>perry</v>
      </c>
    </row>
    <row r="476" spans="1:19" x14ac:dyDescent="0.25">
      <c r="A476" t="s">
        <v>425</v>
      </c>
      <c r="B476">
        <v>4</v>
      </c>
      <c r="C476" t="s">
        <v>866</v>
      </c>
      <c r="D476" t="s">
        <v>477</v>
      </c>
      <c r="E476">
        <v>21</v>
      </c>
      <c r="G476">
        <v>21</v>
      </c>
      <c r="H476">
        <v>0</v>
      </c>
      <c r="I476">
        <v>0</v>
      </c>
      <c r="J476" t="s">
        <v>4838</v>
      </c>
      <c r="K476" t="str">
        <f t="shared" si="14"/>
        <v>Packers D/ST4</v>
      </c>
      <c r="L476" s="21" t="str">
        <f>IF(ISERROR(MATCH($A476,'F Proj'!$B$1:$B$7669,0)),IF(ISERROR(MATCH($A476,'D Proj'!$B$1:$B$513,0)),IF(ISERROR(MATCH($A476,'K Proj'!$B$1:$B$508,0)),"?","K"),"D"),"FLEX")</f>
        <v>D</v>
      </c>
      <c r="M476" s="21">
        <f>MATCH(L476,Pos,0)</f>
        <v>2</v>
      </c>
      <c r="N476" s="21">
        <f>CHOOSE($M476,MATCH($A476&amp;$B476,'F Proj'!$P$1:$P$7669,0),MATCH($A476&amp;$B476,'D Proj'!$X$1:$X$513,0),MATCH($A476&amp;$B476,'K Proj'!$T$1:$T$508,0))</f>
        <v>44</v>
      </c>
      <c r="O476">
        <f>CHOOSE(M476,INDEX('F Proj'!$D$1:$D$7669,N476),INDEX('D Proj'!$T$1:$T$513,N476),INDEX('K Proj'!$L$1:$L$508,N476))</f>
        <v>8.36</v>
      </c>
      <c r="P476">
        <f>CHOOSE(M476,INDEX('F Proj'!$J$1:$J$7669,N476),INDEX('D Proj'!$N$1:$N$513,N476),INDEX('K Proj'!$P$1:$P$508,N476))</f>
        <v>52.852899999999998</v>
      </c>
      <c r="Q476" t="str">
        <f t="shared" si="15"/>
        <v>D/ST</v>
      </c>
      <c r="R476" t="str">
        <f>IF(L476="FLEX",INDEX('F Proj'!$F$1:$F$7669,N476),Q476)</f>
        <v>D/ST</v>
      </c>
      <c r="S476" t="str">
        <f>IF((Week+Half_Week-1)&gt;=VALUE(RIGHT(C476,LEN(C476)-SEARCH("-",C476))),LEFT(C476,SEARCH("-",C476)-1),"")</f>
        <v>aj</v>
      </c>
    </row>
    <row r="477" spans="1:19" x14ac:dyDescent="0.25">
      <c r="A477" t="s">
        <v>413</v>
      </c>
      <c r="B477">
        <v>5</v>
      </c>
      <c r="C477" t="s">
        <v>883</v>
      </c>
      <c r="D477" t="s">
        <v>477</v>
      </c>
      <c r="E477" t="s">
        <v>8947</v>
      </c>
      <c r="G477">
        <v>7.66</v>
      </c>
      <c r="H477">
        <v>5.01</v>
      </c>
      <c r="I477">
        <v>25.100100000000001</v>
      </c>
      <c r="J477" t="s">
        <v>9043</v>
      </c>
      <c r="K477" t="str">
        <f t="shared" si="14"/>
        <v>Panthers D/ST5</v>
      </c>
      <c r="L477" s="21" t="str">
        <f>IF(ISERROR(MATCH($A477,'F Proj'!$B$1:$B$7669,0)),IF(ISERROR(MATCH($A477,'D Proj'!$B$1:$B$513,0)),IF(ISERROR(MATCH($A477,'K Proj'!$B$1:$B$508,0)),"?","K"),"D"),"FLEX")</f>
        <v>D</v>
      </c>
      <c r="M477" s="21">
        <f>MATCH(L477,Pos,0)</f>
        <v>2</v>
      </c>
      <c r="N477" s="21">
        <f>CHOOSE($M477,MATCH($A477&amp;$B477,'F Proj'!$P$1:$P$7669,0),MATCH($A477&amp;$B477,'D Proj'!$X$1:$X$513,0),MATCH($A477&amp;$B477,'K Proj'!$T$1:$T$508,0))</f>
        <v>85</v>
      </c>
      <c r="O477">
        <f>CHOOSE(M477,INDEX('F Proj'!$D$1:$D$7669,N477),INDEX('D Proj'!$T$1:$T$513,N477),INDEX('K Proj'!$L$1:$L$508,N477))</f>
        <v>7.66</v>
      </c>
      <c r="P477">
        <f>CHOOSE(M477,INDEX('F Proj'!$J$1:$J$7669,N477),INDEX('D Proj'!$N$1:$N$513,N477),INDEX('K Proj'!$P$1:$P$508,N477))</f>
        <v>25.100100000000001</v>
      </c>
      <c r="Q477" t="str">
        <f t="shared" si="15"/>
        <v>D/ST</v>
      </c>
      <c r="R477" t="str">
        <f>IF(L477="FLEX",INDEX('F Proj'!$F$1:$F$7669,N477),Q477)</f>
        <v>D/ST</v>
      </c>
      <c r="S477" t="str">
        <f>IF((Week+Half_Week-1)&gt;=VALUE(RIGHT(C477,LEN(C477)-SEARCH("-",C477))),LEFT(C477,SEARCH("-",C477)-1),"")</f>
        <v/>
      </c>
    </row>
    <row r="478" spans="1:19" x14ac:dyDescent="0.25">
      <c r="A478" t="s">
        <v>415</v>
      </c>
      <c r="B478">
        <v>1</v>
      </c>
      <c r="C478" t="s">
        <v>505</v>
      </c>
      <c r="D478" t="s">
        <v>477</v>
      </c>
      <c r="E478">
        <v>7</v>
      </c>
      <c r="G478">
        <v>7</v>
      </c>
      <c r="H478">
        <v>0</v>
      </c>
      <c r="I478">
        <v>0</v>
      </c>
      <c r="J478" t="s">
        <v>597</v>
      </c>
      <c r="K478" t="str">
        <f t="shared" si="14"/>
        <v>Patriots D/ST1</v>
      </c>
      <c r="L478" s="21" t="str">
        <f>IF(ISERROR(MATCH($A478,'F Proj'!$B$1:$B$7669,0)),IF(ISERROR(MATCH($A478,'D Proj'!$B$1:$B$513,0)),IF(ISERROR(MATCH($A478,'K Proj'!$B$1:$B$508,0)),"?","K"),"D"),"FLEX")</f>
        <v>D</v>
      </c>
      <c r="M478" s="21">
        <f>MATCH(L478,Pos,0)</f>
        <v>2</v>
      </c>
      <c r="N478" s="21">
        <f>CHOOSE($M478,MATCH($A478&amp;$B478,'F Proj'!$P$1:$P$7669,0),MATCH($A478&amp;$B478,'D Proj'!$X$1:$X$513,0),MATCH($A478&amp;$B478,'K Proj'!$T$1:$T$508,0))</f>
        <v>101</v>
      </c>
      <c r="O478">
        <f>CHOOSE(M478,INDEX('F Proj'!$D$1:$D$7669,N478),INDEX('D Proj'!$T$1:$T$513,N478),INDEX('K Proj'!$L$1:$L$508,N478))</f>
        <v>7.54</v>
      </c>
      <c r="P478">
        <f>CHOOSE(M478,INDEX('F Proj'!$J$1:$J$7669,N478),INDEX('D Proj'!$N$1:$N$513,N478),INDEX('K Proj'!$P$1:$P$508,N478))</f>
        <v>33.64</v>
      </c>
      <c r="Q478" t="str">
        <f t="shared" si="15"/>
        <v>D/ST</v>
      </c>
      <c r="R478" t="str">
        <f>IF(L478="FLEX",INDEX('F Proj'!$F$1:$F$7669,N478),Q478)</f>
        <v>D/ST</v>
      </c>
      <c r="S478" t="str">
        <f>IF((Week+Half_Week-1)&gt;=VALUE(RIGHT(C478,LEN(C478)-SEARCH("-",C478))),LEFT(C478,SEARCH("-",C478)-1),"")</f>
        <v>matty</v>
      </c>
    </row>
    <row r="479" spans="1:19" x14ac:dyDescent="0.25">
      <c r="A479" t="s">
        <v>415</v>
      </c>
      <c r="B479">
        <v>2</v>
      </c>
      <c r="C479" t="s">
        <v>636</v>
      </c>
      <c r="D479" t="s">
        <v>477</v>
      </c>
      <c r="E479">
        <v>-2</v>
      </c>
      <c r="G479">
        <v>-2</v>
      </c>
      <c r="H479">
        <v>0</v>
      </c>
      <c r="I479">
        <v>0</v>
      </c>
      <c r="J479" t="s">
        <v>715</v>
      </c>
      <c r="K479" t="str">
        <f t="shared" si="14"/>
        <v>Patriots D/ST2</v>
      </c>
      <c r="L479" s="21" t="str">
        <f>IF(ISERROR(MATCH($A479,'F Proj'!$B$1:$B$7669,0)),IF(ISERROR(MATCH($A479,'D Proj'!$B$1:$B$513,0)),IF(ISERROR(MATCH($A479,'K Proj'!$B$1:$B$508,0)),"?","K"),"D"),"FLEX")</f>
        <v>D</v>
      </c>
      <c r="M479" s="21">
        <f>MATCH(L479,Pos,0)</f>
        <v>2</v>
      </c>
      <c r="N479" s="21">
        <f>CHOOSE($M479,MATCH($A479&amp;$B479,'F Proj'!$P$1:$P$7669,0),MATCH($A479&amp;$B479,'D Proj'!$X$1:$X$513,0),MATCH($A479&amp;$B479,'K Proj'!$T$1:$T$508,0))</f>
        <v>314</v>
      </c>
      <c r="O479">
        <f>CHOOSE(M479,INDEX('F Proj'!$D$1:$D$7669,N479),INDEX('D Proj'!$T$1:$T$513,N479),INDEX('K Proj'!$L$1:$L$508,N479))</f>
        <v>5.47</v>
      </c>
      <c r="P479">
        <f>CHOOSE(M479,INDEX('F Proj'!$J$1:$J$7669,N479),INDEX('D Proj'!$N$1:$N$513,N479),INDEX('K Proj'!$P$1:$P$508,N479))</f>
        <v>43.824399999999997</v>
      </c>
      <c r="Q479" t="str">
        <f t="shared" si="15"/>
        <v>D/ST</v>
      </c>
      <c r="R479" t="str">
        <f>IF(L479="FLEX",INDEX('F Proj'!$F$1:$F$7669,N479),Q479)</f>
        <v>D/ST</v>
      </c>
      <c r="S479" t="str">
        <f>IF((Week+Half_Week-1)&gt;=VALUE(RIGHT(C479,LEN(C479)-SEARCH("-",C479))),LEFT(C479,SEARCH("-",C479)-1),"")</f>
        <v>matty</v>
      </c>
    </row>
    <row r="480" spans="1:19" x14ac:dyDescent="0.25">
      <c r="A480" t="s">
        <v>420</v>
      </c>
      <c r="B480">
        <v>1</v>
      </c>
      <c r="C480" t="s">
        <v>504</v>
      </c>
      <c r="D480" t="s">
        <v>477</v>
      </c>
      <c r="E480">
        <v>15</v>
      </c>
      <c r="G480">
        <v>15</v>
      </c>
      <c r="H480">
        <v>0</v>
      </c>
      <c r="I480">
        <v>0</v>
      </c>
      <c r="J480" t="s">
        <v>593</v>
      </c>
      <c r="K480" t="str">
        <f t="shared" si="14"/>
        <v>Rams D/ST1</v>
      </c>
      <c r="L480" s="21" t="str">
        <f>IF(ISERROR(MATCH($A480,'F Proj'!$B$1:$B$7669,0)),IF(ISERROR(MATCH($A480,'D Proj'!$B$1:$B$513,0)),IF(ISERROR(MATCH($A480,'K Proj'!$B$1:$B$508,0)),"?","K"),"D"),"FLEX")</f>
        <v>D</v>
      </c>
      <c r="M480" s="21">
        <f>MATCH(L480,Pos,0)</f>
        <v>2</v>
      </c>
      <c r="N480" s="21">
        <f>CHOOSE($M480,MATCH($A480&amp;$B480,'F Proj'!$P$1:$P$7669,0),MATCH($A480&amp;$B480,'D Proj'!$X$1:$X$513,0),MATCH($A480&amp;$B480,'K Proj'!$T$1:$T$508,0))</f>
        <v>61</v>
      </c>
      <c r="O480">
        <f>CHOOSE(M480,INDEX('F Proj'!$D$1:$D$7669,N480),INDEX('D Proj'!$T$1:$T$513,N480),INDEX('K Proj'!$L$1:$L$508,N480))</f>
        <v>8.08</v>
      </c>
      <c r="P480">
        <f>CHOOSE(M480,INDEX('F Proj'!$J$1:$J$7669,N480),INDEX('D Proj'!$N$1:$N$513,N480),INDEX('K Proj'!$P$1:$P$508,N480))</f>
        <v>33.4084</v>
      </c>
      <c r="Q480" t="str">
        <f t="shared" si="15"/>
        <v>D/ST</v>
      </c>
      <c r="R480" t="str">
        <f>IF(L480="FLEX",INDEX('F Proj'!$F$1:$F$7669,N480),Q480)</f>
        <v>D/ST</v>
      </c>
      <c r="S480" t="str">
        <f>IF((Week+Half_Week-1)&gt;=VALUE(RIGHT(C480,LEN(C480)-SEARCH("-",C480))),LEFT(C480,SEARCH("-",C480)-1),"")</f>
        <v>scott</v>
      </c>
    </row>
    <row r="481" spans="1:19" x14ac:dyDescent="0.25">
      <c r="A481" t="s">
        <v>420</v>
      </c>
      <c r="B481">
        <v>2</v>
      </c>
      <c r="C481" t="s">
        <v>628</v>
      </c>
      <c r="D481" t="s">
        <v>477</v>
      </c>
      <c r="E481">
        <v>11</v>
      </c>
      <c r="G481">
        <v>11</v>
      </c>
      <c r="H481">
        <v>0</v>
      </c>
      <c r="I481">
        <v>0</v>
      </c>
      <c r="J481" t="s">
        <v>710</v>
      </c>
      <c r="K481" t="str">
        <f t="shared" si="14"/>
        <v>Rams D/ST2</v>
      </c>
      <c r="L481" s="21" t="str">
        <f>IF(ISERROR(MATCH($A481,'F Proj'!$B$1:$B$7669,0)),IF(ISERROR(MATCH($A481,'D Proj'!$B$1:$B$513,0)),IF(ISERROR(MATCH($A481,'K Proj'!$B$1:$B$508,0)),"?","K"),"D"),"FLEX")</f>
        <v>D</v>
      </c>
      <c r="M481" s="21">
        <f>MATCH(L481,Pos,0)</f>
        <v>2</v>
      </c>
      <c r="N481" s="21">
        <f>CHOOSE($M481,MATCH($A481&amp;$B481,'F Proj'!$P$1:$P$7669,0),MATCH($A481&amp;$B481,'D Proj'!$X$1:$X$513,0),MATCH($A481&amp;$B481,'K Proj'!$T$1:$T$508,0))</f>
        <v>5</v>
      </c>
      <c r="O481">
        <f>CHOOSE(M481,INDEX('F Proj'!$D$1:$D$7669,N481),INDEX('D Proj'!$T$1:$T$513,N481),INDEX('K Proj'!$L$1:$L$508,N481))</f>
        <v>11.98</v>
      </c>
      <c r="P481">
        <f>CHOOSE(M481,INDEX('F Proj'!$J$1:$J$7669,N481),INDEX('D Proj'!$N$1:$N$513,N481),INDEX('K Proj'!$P$1:$P$508,N481))</f>
        <v>41.473599999999998</v>
      </c>
      <c r="Q481" t="str">
        <f t="shared" si="15"/>
        <v>D/ST</v>
      </c>
      <c r="R481" t="str">
        <f>IF(L481="FLEX",INDEX('F Proj'!$F$1:$F$7669,N481),Q481)</f>
        <v>D/ST</v>
      </c>
      <c r="S481" t="str">
        <f>IF((Week+Half_Week-1)&gt;=VALUE(RIGHT(C481,LEN(C481)-SEARCH("-",C481))),LEFT(C481,SEARCH("-",C481)-1),"")</f>
        <v>scott</v>
      </c>
    </row>
    <row r="482" spans="1:19" x14ac:dyDescent="0.25">
      <c r="A482" t="s">
        <v>420</v>
      </c>
      <c r="B482">
        <v>3</v>
      </c>
      <c r="C482" t="s">
        <v>807</v>
      </c>
      <c r="D482" t="s">
        <v>477</v>
      </c>
      <c r="E482">
        <v>13</v>
      </c>
      <c r="G482">
        <v>13</v>
      </c>
      <c r="H482">
        <v>0</v>
      </c>
      <c r="I482">
        <v>0</v>
      </c>
      <c r="J482" t="s">
        <v>4361</v>
      </c>
      <c r="K482" t="str">
        <f t="shared" si="14"/>
        <v>Rams D/ST3</v>
      </c>
      <c r="L482" s="21" t="str">
        <f>IF(ISERROR(MATCH($A482,'F Proj'!$B$1:$B$7669,0)),IF(ISERROR(MATCH($A482,'D Proj'!$B$1:$B$513,0)),IF(ISERROR(MATCH($A482,'K Proj'!$B$1:$B$508,0)),"?","K"),"D"),"FLEX")</f>
        <v>D</v>
      </c>
      <c r="M482" s="21">
        <f>MATCH(L482,Pos,0)</f>
        <v>2</v>
      </c>
      <c r="N482" s="21">
        <f>CHOOSE($M482,MATCH($A482&amp;$B482,'F Proj'!$P$1:$P$7669,0),MATCH($A482&amp;$B482,'D Proj'!$X$1:$X$513,0),MATCH($A482&amp;$B482,'K Proj'!$T$1:$T$508,0))</f>
        <v>176</v>
      </c>
      <c r="O482">
        <f>CHOOSE(M482,INDEX('F Proj'!$D$1:$D$7669,N482),INDEX('D Proj'!$T$1:$T$513,N482),INDEX('K Proj'!$L$1:$L$508,N482))</f>
        <v>6.96</v>
      </c>
      <c r="P482">
        <f>CHOOSE(M482,INDEX('F Proj'!$J$1:$J$7669,N482),INDEX('D Proj'!$N$1:$N$513,N482),INDEX('K Proj'!$P$1:$P$508,N482))</f>
        <v>77.088399999999993</v>
      </c>
      <c r="Q482" t="str">
        <f t="shared" si="15"/>
        <v>D/ST</v>
      </c>
      <c r="R482" t="str">
        <f>IF(L482="FLEX",INDEX('F Proj'!$F$1:$F$7669,N482),Q482)</f>
        <v>D/ST</v>
      </c>
      <c r="S482" t="str">
        <f>IF((Week+Half_Week-1)&gt;=VALUE(RIGHT(C482,LEN(C482)-SEARCH("-",C482))),LEFT(C482,SEARCH("-",C482)-1),"")</f>
        <v>scott</v>
      </c>
    </row>
    <row r="483" spans="1:19" x14ac:dyDescent="0.25">
      <c r="A483" t="s">
        <v>420</v>
      </c>
      <c r="B483">
        <v>4</v>
      </c>
      <c r="C483" t="s">
        <v>861</v>
      </c>
      <c r="D483" t="s">
        <v>477</v>
      </c>
      <c r="E483">
        <v>2</v>
      </c>
      <c r="G483">
        <v>2</v>
      </c>
      <c r="H483">
        <v>0</v>
      </c>
      <c r="I483">
        <v>0</v>
      </c>
      <c r="J483" t="s">
        <v>4844</v>
      </c>
      <c r="K483" t="str">
        <f t="shared" si="14"/>
        <v>Rams D/ST4</v>
      </c>
      <c r="L483" s="21" t="str">
        <f>IF(ISERROR(MATCH($A483,'F Proj'!$B$1:$B$7669,0)),IF(ISERROR(MATCH($A483,'D Proj'!$B$1:$B$513,0)),IF(ISERROR(MATCH($A483,'K Proj'!$B$1:$B$508,0)),"?","K"),"D"),"FLEX")</f>
        <v>D</v>
      </c>
      <c r="M483" s="21">
        <f>MATCH(L483,Pos,0)</f>
        <v>2</v>
      </c>
      <c r="N483" s="21">
        <f>CHOOSE($M483,MATCH($A483&amp;$B483,'F Proj'!$P$1:$P$7669,0),MATCH($A483&amp;$B483,'D Proj'!$X$1:$X$513,0),MATCH($A483&amp;$B483,'K Proj'!$T$1:$T$508,0))</f>
        <v>78</v>
      </c>
      <c r="O483">
        <f>CHOOSE(M483,INDEX('F Proj'!$D$1:$D$7669,N483),INDEX('D Proj'!$T$1:$T$513,N483),INDEX('K Proj'!$L$1:$L$508,N483))</f>
        <v>7.82</v>
      </c>
      <c r="P483">
        <f>CHOOSE(M483,INDEX('F Proj'!$J$1:$J$7669,N483),INDEX('D Proj'!$N$1:$N$513,N483),INDEX('K Proj'!$P$1:$P$508,N483))</f>
        <v>49.420900000000003</v>
      </c>
      <c r="Q483" t="str">
        <f t="shared" si="15"/>
        <v>D/ST</v>
      </c>
      <c r="R483" t="str">
        <f>IF(L483="FLEX",INDEX('F Proj'!$F$1:$F$7669,N483),Q483)</f>
        <v>D/ST</v>
      </c>
      <c r="S483" t="str">
        <f>IF((Week+Half_Week-1)&gt;=VALUE(RIGHT(C483,LEN(C483)-SEARCH("-",C483))),LEFT(C483,SEARCH("-",C483)-1),"")</f>
        <v>scott</v>
      </c>
    </row>
    <row r="484" spans="1:19" x14ac:dyDescent="0.25">
      <c r="A484" t="s">
        <v>420</v>
      </c>
      <c r="B484">
        <v>5</v>
      </c>
      <c r="C484" t="s">
        <v>890</v>
      </c>
      <c r="D484" t="s">
        <v>477</v>
      </c>
      <c r="E484" t="s">
        <v>8947</v>
      </c>
      <c r="G484">
        <v>7.48</v>
      </c>
      <c r="H484">
        <v>5.7</v>
      </c>
      <c r="I484">
        <v>32.49</v>
      </c>
      <c r="J484" t="s">
        <v>9046</v>
      </c>
      <c r="K484" t="str">
        <f t="shared" si="14"/>
        <v>Rams D/ST5</v>
      </c>
      <c r="L484" s="21" t="str">
        <f>IF(ISERROR(MATCH($A484,'F Proj'!$B$1:$B$7669,0)),IF(ISERROR(MATCH($A484,'D Proj'!$B$1:$B$513,0)),IF(ISERROR(MATCH($A484,'K Proj'!$B$1:$B$508,0)),"?","K"),"D"),"FLEX")</f>
        <v>D</v>
      </c>
      <c r="M484" s="21">
        <f>MATCH(L484,Pos,0)</f>
        <v>2</v>
      </c>
      <c r="N484" s="21">
        <f>CHOOSE($M484,MATCH($A484&amp;$B484,'F Proj'!$P$1:$P$7669,0),MATCH($A484&amp;$B484,'D Proj'!$X$1:$X$513,0),MATCH($A484&amp;$B484,'K Proj'!$T$1:$T$508,0))</f>
        <v>107</v>
      </c>
      <c r="O484">
        <f>CHOOSE(M484,INDEX('F Proj'!$D$1:$D$7669,N484),INDEX('D Proj'!$T$1:$T$513,N484),INDEX('K Proj'!$L$1:$L$508,N484))</f>
        <v>7.48</v>
      </c>
      <c r="P484">
        <f>CHOOSE(M484,INDEX('F Proj'!$J$1:$J$7669,N484),INDEX('D Proj'!$N$1:$N$513,N484),INDEX('K Proj'!$P$1:$P$508,N484))</f>
        <v>32.49</v>
      </c>
      <c r="Q484" t="str">
        <f t="shared" si="15"/>
        <v>D/ST</v>
      </c>
      <c r="R484" t="str">
        <f>IF(L484="FLEX",INDEX('F Proj'!$F$1:$F$7669,N484),Q484)</f>
        <v>D/ST</v>
      </c>
      <c r="S484" t="str">
        <f>IF((Week+Half_Week-1)&gt;=VALUE(RIGHT(C484,LEN(C484)-SEARCH("-",C484))),LEFT(C484,SEARCH("-",C484)-1),"")</f>
        <v/>
      </c>
    </row>
    <row r="485" spans="1:19" x14ac:dyDescent="0.25">
      <c r="A485" t="s">
        <v>411</v>
      </c>
      <c r="B485">
        <v>1</v>
      </c>
      <c r="C485" t="s">
        <v>507</v>
      </c>
      <c r="D485" t="s">
        <v>477</v>
      </c>
      <c r="E485">
        <v>17</v>
      </c>
      <c r="G485">
        <v>17</v>
      </c>
      <c r="H485">
        <v>0</v>
      </c>
      <c r="I485">
        <v>0</v>
      </c>
      <c r="J485" t="s">
        <v>591</v>
      </c>
      <c r="K485" t="str">
        <f t="shared" si="14"/>
        <v>Ravens D/ST1</v>
      </c>
      <c r="L485" s="21" t="str">
        <f>IF(ISERROR(MATCH($A485,'F Proj'!$B$1:$B$7669,0)),IF(ISERROR(MATCH($A485,'D Proj'!$B$1:$B$513,0)),IF(ISERROR(MATCH($A485,'K Proj'!$B$1:$B$508,0)),"?","K"),"D"),"FLEX")</f>
        <v>D</v>
      </c>
      <c r="M485" s="21">
        <f>MATCH(L485,Pos,0)</f>
        <v>2</v>
      </c>
      <c r="N485" s="21">
        <f>CHOOSE($M485,MATCH($A485&amp;$B485,'F Proj'!$P$1:$P$7669,0),MATCH($A485&amp;$B485,'D Proj'!$X$1:$X$513,0),MATCH($A485&amp;$B485,'K Proj'!$T$1:$T$508,0))</f>
        <v>6</v>
      </c>
      <c r="O485">
        <f>CHOOSE(M485,INDEX('F Proj'!$D$1:$D$7669,N485),INDEX('D Proj'!$T$1:$T$513,N485),INDEX('K Proj'!$L$1:$L$508,N485))</f>
        <v>10.85</v>
      </c>
      <c r="P485">
        <f>CHOOSE(M485,INDEX('F Proj'!$J$1:$J$7669,N485),INDEX('D Proj'!$N$1:$N$513,N485),INDEX('K Proj'!$P$1:$P$508,N485))</f>
        <v>29.052099999999999</v>
      </c>
      <c r="Q485" t="str">
        <f t="shared" si="15"/>
        <v>D/ST</v>
      </c>
      <c r="R485" t="str">
        <f>IF(L485="FLEX",INDEX('F Proj'!$F$1:$F$7669,N485),Q485)</f>
        <v>D/ST</v>
      </c>
      <c r="S485" t="str">
        <f>IF((Week+Half_Week-1)&gt;=VALUE(RIGHT(C485,LEN(C485)-SEARCH("-",C485))),LEFT(C485,SEARCH("-",C485)-1),"")</f>
        <v>aj</v>
      </c>
    </row>
    <row r="486" spans="1:19" x14ac:dyDescent="0.25">
      <c r="A486" t="s">
        <v>411</v>
      </c>
      <c r="B486">
        <v>2</v>
      </c>
      <c r="C486" t="s">
        <v>625</v>
      </c>
      <c r="D486" t="s">
        <v>477</v>
      </c>
      <c r="E486">
        <v>-2</v>
      </c>
      <c r="G486">
        <v>-2</v>
      </c>
      <c r="H486">
        <v>0</v>
      </c>
      <c r="I486">
        <v>0</v>
      </c>
      <c r="J486" t="s">
        <v>711</v>
      </c>
      <c r="K486" t="str">
        <f t="shared" si="14"/>
        <v>Ravens D/ST2</v>
      </c>
      <c r="L486" s="21" t="str">
        <f>IF(ISERROR(MATCH($A486,'F Proj'!$B$1:$B$7669,0)),IF(ISERROR(MATCH($A486,'D Proj'!$B$1:$B$513,0)),IF(ISERROR(MATCH($A486,'K Proj'!$B$1:$B$508,0)),"?","K"),"D"),"FLEX")</f>
        <v>D</v>
      </c>
      <c r="M486" s="21">
        <f>MATCH(L486,Pos,0)</f>
        <v>2</v>
      </c>
      <c r="N486" s="21">
        <f>CHOOSE($M486,MATCH($A486&amp;$B486,'F Proj'!$P$1:$P$7669,0),MATCH($A486&amp;$B486,'D Proj'!$X$1:$X$513,0),MATCH($A486&amp;$B486,'K Proj'!$T$1:$T$508,0))</f>
        <v>167</v>
      </c>
      <c r="O486">
        <f>CHOOSE(M486,INDEX('F Proj'!$D$1:$D$7669,N486),INDEX('D Proj'!$T$1:$T$513,N486),INDEX('K Proj'!$L$1:$L$508,N486))</f>
        <v>7</v>
      </c>
      <c r="P486">
        <f>CHOOSE(M486,INDEX('F Proj'!$J$1:$J$7669,N486),INDEX('D Proj'!$N$1:$N$513,N486),INDEX('K Proj'!$P$1:$P$508,N486))</f>
        <v>36.120100000000001</v>
      </c>
      <c r="Q486" t="str">
        <f t="shared" si="15"/>
        <v>D/ST</v>
      </c>
      <c r="R486" t="str">
        <f>IF(L486="FLEX",INDEX('F Proj'!$F$1:$F$7669,N486),Q486)</f>
        <v>D/ST</v>
      </c>
      <c r="S486" t="str">
        <f>IF((Week+Half_Week-1)&gt;=VALUE(RIGHT(C486,LEN(C486)-SEARCH("-",C486))),LEFT(C486,SEARCH("-",C486)-1),"")</f>
        <v>aj</v>
      </c>
    </row>
    <row r="487" spans="1:19" x14ac:dyDescent="0.25">
      <c r="A487" t="s">
        <v>411</v>
      </c>
      <c r="B487">
        <v>3</v>
      </c>
      <c r="C487" t="s">
        <v>812</v>
      </c>
      <c r="D487" t="s">
        <v>477</v>
      </c>
      <c r="E487">
        <v>8</v>
      </c>
      <c r="G487">
        <v>8</v>
      </c>
      <c r="H487">
        <v>0</v>
      </c>
      <c r="I487">
        <v>0</v>
      </c>
      <c r="J487" t="s">
        <v>4362</v>
      </c>
      <c r="K487" t="str">
        <f t="shared" si="14"/>
        <v>Ravens D/ST3</v>
      </c>
      <c r="L487" s="21" t="str">
        <f>IF(ISERROR(MATCH($A487,'F Proj'!$B$1:$B$7669,0)),IF(ISERROR(MATCH($A487,'D Proj'!$B$1:$B$513,0)),IF(ISERROR(MATCH($A487,'K Proj'!$B$1:$B$508,0)),"?","K"),"D"),"FLEX")</f>
        <v>D</v>
      </c>
      <c r="M487" s="21">
        <f>MATCH(L487,Pos,0)</f>
        <v>2</v>
      </c>
      <c r="N487" s="21">
        <f>CHOOSE($M487,MATCH($A487&amp;$B487,'F Proj'!$P$1:$P$7669,0),MATCH($A487&amp;$B487,'D Proj'!$X$1:$X$513,0),MATCH($A487&amp;$B487,'K Proj'!$T$1:$T$508,0))</f>
        <v>162</v>
      </c>
      <c r="O487">
        <f>CHOOSE(M487,INDEX('F Proj'!$D$1:$D$7669,N487),INDEX('D Proj'!$T$1:$T$513,N487),INDEX('K Proj'!$L$1:$L$508,N487))</f>
        <v>7.03</v>
      </c>
      <c r="P487">
        <f>CHOOSE(M487,INDEX('F Proj'!$J$1:$J$7669,N487),INDEX('D Proj'!$N$1:$N$513,N487),INDEX('K Proj'!$P$1:$P$508,N487))</f>
        <v>20.611599999999999</v>
      </c>
      <c r="Q487" t="str">
        <f t="shared" si="15"/>
        <v>D/ST</v>
      </c>
      <c r="R487" t="str">
        <f>IF(L487="FLEX",INDEX('F Proj'!$F$1:$F$7669,N487),Q487)</f>
        <v>D/ST</v>
      </c>
      <c r="S487" t="str">
        <f>IF((Week+Half_Week-1)&gt;=VALUE(RIGHT(C487,LEN(C487)-SEARCH("-",C487))),LEFT(C487,SEARCH("-",C487)-1),"")</f>
        <v>matty</v>
      </c>
    </row>
    <row r="488" spans="1:19" x14ac:dyDescent="0.25">
      <c r="A488" t="s">
        <v>411</v>
      </c>
      <c r="B488">
        <v>5</v>
      </c>
      <c r="C488" t="s">
        <v>1723</v>
      </c>
      <c r="D488" t="s">
        <v>477</v>
      </c>
      <c r="E488" t="s">
        <v>8947</v>
      </c>
      <c r="G488">
        <v>10.18</v>
      </c>
      <c r="H488">
        <v>3.86</v>
      </c>
      <c r="I488">
        <v>14.8996</v>
      </c>
      <c r="J488" t="s">
        <v>9040</v>
      </c>
      <c r="K488" t="str">
        <f t="shared" si="14"/>
        <v>Ravens D/ST5</v>
      </c>
      <c r="L488" s="21" t="str">
        <f>IF(ISERROR(MATCH($A488,'F Proj'!$B$1:$B$7669,0)),IF(ISERROR(MATCH($A488,'D Proj'!$B$1:$B$513,0)),IF(ISERROR(MATCH($A488,'K Proj'!$B$1:$B$508,0)),"?","K"),"D"),"FLEX")</f>
        <v>D</v>
      </c>
      <c r="M488" s="21">
        <f>MATCH(L488,Pos,0)</f>
        <v>2</v>
      </c>
      <c r="N488" s="21">
        <f>CHOOSE($M488,MATCH($A488&amp;$B488,'F Proj'!$P$1:$P$7669,0),MATCH($A488&amp;$B488,'D Proj'!$X$1:$X$513,0),MATCH($A488&amp;$B488,'K Proj'!$T$1:$T$508,0))</f>
        <v>10</v>
      </c>
      <c r="O488">
        <f>CHOOSE(M488,INDEX('F Proj'!$D$1:$D$7669,N488),INDEX('D Proj'!$T$1:$T$513,N488),INDEX('K Proj'!$L$1:$L$508,N488))</f>
        <v>10.18</v>
      </c>
      <c r="P488">
        <f>CHOOSE(M488,INDEX('F Proj'!$J$1:$J$7669,N488),INDEX('D Proj'!$N$1:$N$513,N488),INDEX('K Proj'!$P$1:$P$508,N488))</f>
        <v>14.8996</v>
      </c>
      <c r="Q488" t="str">
        <f t="shared" si="15"/>
        <v>D/ST</v>
      </c>
      <c r="R488" t="str">
        <f>IF(L488="FLEX",INDEX('F Proj'!$F$1:$F$7669,N488),Q488)</f>
        <v>D/ST</v>
      </c>
      <c r="S488" t="str">
        <f>IF((Week+Half_Week-1)&gt;=VALUE(RIGHT(C488,LEN(C488)-SEARCH("-",C488))),LEFT(C488,SEARCH("-",C488)-1),"")</f>
        <v/>
      </c>
    </row>
    <row r="489" spans="1:19" x14ac:dyDescent="0.25">
      <c r="A489" t="s">
        <v>431</v>
      </c>
      <c r="B489">
        <v>1</v>
      </c>
      <c r="C489" t="s">
        <v>508</v>
      </c>
      <c r="D489" t="s">
        <v>477</v>
      </c>
      <c r="E489">
        <v>-9</v>
      </c>
      <c r="G489">
        <v>-9</v>
      </c>
      <c r="H489">
        <v>0</v>
      </c>
      <c r="I489">
        <v>0</v>
      </c>
      <c r="J489" t="s">
        <v>598</v>
      </c>
      <c r="K489" t="str">
        <f t="shared" si="14"/>
        <v>Saints D/ST1</v>
      </c>
      <c r="L489" s="21" t="str">
        <f>IF(ISERROR(MATCH($A489,'F Proj'!$B$1:$B$7669,0)),IF(ISERROR(MATCH($A489,'D Proj'!$B$1:$B$513,0)),IF(ISERROR(MATCH($A489,'K Proj'!$B$1:$B$508,0)),"?","K"),"D"),"FLEX")</f>
        <v>D</v>
      </c>
      <c r="M489" s="21">
        <f>MATCH(L489,Pos,0)</f>
        <v>2</v>
      </c>
      <c r="N489" s="21">
        <f>CHOOSE($M489,MATCH($A489&amp;$B489,'F Proj'!$P$1:$P$7669,0),MATCH($A489&amp;$B489,'D Proj'!$X$1:$X$513,0),MATCH($A489&amp;$B489,'K Proj'!$T$1:$T$508,0))</f>
        <v>69</v>
      </c>
      <c r="O489">
        <f>CHOOSE(M489,INDEX('F Proj'!$D$1:$D$7669,N489),INDEX('D Proj'!$T$1:$T$513,N489),INDEX('K Proj'!$L$1:$L$508,N489))</f>
        <v>7.98</v>
      </c>
      <c r="P489">
        <f>CHOOSE(M489,INDEX('F Proj'!$J$1:$J$7669,N489),INDEX('D Proj'!$N$1:$N$513,N489),INDEX('K Proj'!$P$1:$P$508,N489))</f>
        <v>33.0625</v>
      </c>
      <c r="Q489" t="str">
        <f t="shared" si="15"/>
        <v>D/ST</v>
      </c>
      <c r="R489" t="str">
        <f>IF(L489="FLEX",INDEX('F Proj'!$F$1:$F$7669,N489),Q489)</f>
        <v>D/ST</v>
      </c>
      <c r="S489" t="str">
        <f>IF((Week+Half_Week-1)&gt;=VALUE(RIGHT(C489,LEN(C489)-SEARCH("-",C489))),LEFT(C489,SEARCH("-",C489)-1),"")</f>
        <v>perry</v>
      </c>
    </row>
    <row r="490" spans="1:19" x14ac:dyDescent="0.25">
      <c r="A490" t="s">
        <v>407</v>
      </c>
      <c r="B490">
        <v>4</v>
      </c>
      <c r="C490" t="s">
        <v>865</v>
      </c>
      <c r="D490" t="s">
        <v>477</v>
      </c>
      <c r="E490">
        <v>6</v>
      </c>
      <c r="G490">
        <v>6</v>
      </c>
      <c r="H490">
        <v>0</v>
      </c>
      <c r="I490">
        <v>0</v>
      </c>
      <c r="J490" t="s">
        <v>4842</v>
      </c>
      <c r="K490" t="str">
        <f t="shared" si="14"/>
        <v>Seahawks D/ST4</v>
      </c>
      <c r="L490" s="21" t="str">
        <f>IF(ISERROR(MATCH($A490,'F Proj'!$B$1:$B$7669,0)),IF(ISERROR(MATCH($A490,'D Proj'!$B$1:$B$513,0)),IF(ISERROR(MATCH($A490,'K Proj'!$B$1:$B$508,0)),"?","K"),"D"),"FLEX")</f>
        <v>D</v>
      </c>
      <c r="M490" s="21">
        <f>MATCH(L490,Pos,0)</f>
        <v>2</v>
      </c>
      <c r="N490" s="21">
        <f>CHOOSE($M490,MATCH($A490&amp;$B490,'F Proj'!$P$1:$P$7669,0),MATCH($A490&amp;$B490,'D Proj'!$X$1:$X$513,0),MATCH($A490&amp;$B490,'K Proj'!$T$1:$T$508,0))</f>
        <v>73</v>
      </c>
      <c r="O490">
        <f>CHOOSE(M490,INDEX('F Proj'!$D$1:$D$7669,N490),INDEX('D Proj'!$T$1:$T$513,N490),INDEX('K Proj'!$L$1:$L$508,N490))</f>
        <v>7.88</v>
      </c>
      <c r="P490">
        <f>CHOOSE(M490,INDEX('F Proj'!$J$1:$J$7669,N490),INDEX('D Proj'!$N$1:$N$513,N490),INDEX('K Proj'!$P$1:$P$508,N490))</f>
        <v>20.702500000000001</v>
      </c>
      <c r="Q490" t="str">
        <f t="shared" si="15"/>
        <v>D/ST</v>
      </c>
      <c r="R490" t="str">
        <f>IF(L490="FLEX",INDEX('F Proj'!$F$1:$F$7669,N490),Q490)</f>
        <v>D/ST</v>
      </c>
      <c r="S490" t="str">
        <f>IF((Week+Half_Week-1)&gt;=VALUE(RIGHT(C490,LEN(C490)-SEARCH("-",C490))),LEFT(C490,SEARCH("-",C490)-1),"")</f>
        <v>chad</v>
      </c>
    </row>
    <row r="491" spans="1:19" x14ac:dyDescent="0.25">
      <c r="A491" t="s">
        <v>405</v>
      </c>
      <c r="B491">
        <v>3</v>
      </c>
      <c r="C491" t="s">
        <v>809</v>
      </c>
      <c r="D491" t="s">
        <v>477</v>
      </c>
      <c r="E491">
        <v>3</v>
      </c>
      <c r="G491">
        <v>3</v>
      </c>
      <c r="H491">
        <v>0</v>
      </c>
      <c r="I491">
        <v>0</v>
      </c>
      <c r="J491" t="s">
        <v>4363</v>
      </c>
      <c r="K491" t="str">
        <f t="shared" si="14"/>
        <v>Texans D/ST3</v>
      </c>
      <c r="L491" s="21" t="str">
        <f>IF(ISERROR(MATCH($A491,'F Proj'!$B$1:$B$7669,0)),IF(ISERROR(MATCH($A491,'D Proj'!$B$1:$B$513,0)),IF(ISERROR(MATCH($A491,'K Proj'!$B$1:$B$508,0)),"?","K"),"D"),"FLEX")</f>
        <v>D</v>
      </c>
      <c r="M491" s="21">
        <f>MATCH(L491,Pos,0)</f>
        <v>2</v>
      </c>
      <c r="N491" s="21">
        <f>CHOOSE($M491,MATCH($A491&amp;$B491,'F Proj'!$P$1:$P$7669,0),MATCH($A491&amp;$B491,'D Proj'!$X$1:$X$513,0),MATCH($A491&amp;$B491,'K Proj'!$T$1:$T$508,0))</f>
        <v>63</v>
      </c>
      <c r="O491">
        <f>CHOOSE(M491,INDEX('F Proj'!$D$1:$D$7669,N491),INDEX('D Proj'!$T$1:$T$513,N491),INDEX('K Proj'!$L$1:$L$508,N491))</f>
        <v>8.0399999999999991</v>
      </c>
      <c r="P491">
        <f>CHOOSE(M491,INDEX('F Proj'!$J$1:$J$7669,N491),INDEX('D Proj'!$N$1:$N$513,N491),INDEX('K Proj'!$P$1:$P$508,N491))</f>
        <v>36.360900000000001</v>
      </c>
      <c r="Q491" t="str">
        <f t="shared" si="15"/>
        <v>D/ST</v>
      </c>
      <c r="R491" t="str">
        <f>IF(L491="FLEX",INDEX('F Proj'!$F$1:$F$7669,N491),Q491)</f>
        <v>D/ST</v>
      </c>
      <c r="S491" t="str">
        <f>IF((Week+Half_Week-1)&gt;=VALUE(RIGHT(C491,LEN(C491)-SEARCH("-",C491))),LEFT(C491,SEARCH("-",C491)-1),"")</f>
        <v>perry</v>
      </c>
    </row>
    <row r="492" spans="1:19" x14ac:dyDescent="0.25">
      <c r="A492" t="s">
        <v>405</v>
      </c>
      <c r="B492">
        <v>4</v>
      </c>
      <c r="C492" t="s">
        <v>862</v>
      </c>
      <c r="D492" t="s">
        <v>477</v>
      </c>
      <c r="E492">
        <v>8</v>
      </c>
      <c r="G492">
        <v>8</v>
      </c>
      <c r="H492">
        <v>0</v>
      </c>
      <c r="I492">
        <v>0</v>
      </c>
      <c r="J492" t="s">
        <v>4846</v>
      </c>
      <c r="K492" t="str">
        <f t="shared" si="14"/>
        <v>Texans D/ST4</v>
      </c>
      <c r="L492" s="21" t="str">
        <f>IF(ISERROR(MATCH($A492,'F Proj'!$B$1:$B$7669,0)),IF(ISERROR(MATCH($A492,'D Proj'!$B$1:$B$513,0)),IF(ISERROR(MATCH($A492,'K Proj'!$B$1:$B$508,0)),"?","K"),"D"),"FLEX")</f>
        <v>D</v>
      </c>
      <c r="M492" s="21">
        <f>MATCH(L492,Pos,0)</f>
        <v>2</v>
      </c>
      <c r="N492" s="21">
        <f>CHOOSE($M492,MATCH($A492&amp;$B492,'F Proj'!$P$1:$P$7669,0),MATCH($A492&amp;$B492,'D Proj'!$X$1:$X$513,0),MATCH($A492&amp;$B492,'K Proj'!$T$1:$T$508,0))</f>
        <v>177</v>
      </c>
      <c r="O492">
        <f>CHOOSE(M492,INDEX('F Proj'!$D$1:$D$7669,N492),INDEX('D Proj'!$T$1:$T$513,N492),INDEX('K Proj'!$L$1:$L$508,N492))</f>
        <v>6.95</v>
      </c>
      <c r="P492">
        <f>CHOOSE(M492,INDEX('F Proj'!$J$1:$J$7669,N492),INDEX('D Proj'!$N$1:$N$513,N492),INDEX('K Proj'!$P$1:$P$508,N492))</f>
        <v>27.6676</v>
      </c>
      <c r="Q492" t="str">
        <f t="shared" si="15"/>
        <v>D/ST</v>
      </c>
      <c r="R492" t="str">
        <f>IF(L492="FLEX",INDEX('F Proj'!$F$1:$F$7669,N492),Q492)</f>
        <v>D/ST</v>
      </c>
      <c r="S492" t="str">
        <f>IF((Week+Half_Week-1)&gt;=VALUE(RIGHT(C492,LEN(C492)-SEARCH("-",C492))),LEFT(C492,SEARCH("-",C492)-1),"")</f>
        <v>perry</v>
      </c>
    </row>
    <row r="493" spans="1:19" x14ac:dyDescent="0.25">
      <c r="A493" t="s">
        <v>405</v>
      </c>
      <c r="B493">
        <v>5</v>
      </c>
      <c r="C493" t="s">
        <v>889</v>
      </c>
      <c r="D493" t="s">
        <v>477</v>
      </c>
      <c r="E493" t="s">
        <v>8947</v>
      </c>
      <c r="G493">
        <v>6.46</v>
      </c>
      <c r="H493">
        <v>9.25</v>
      </c>
      <c r="I493">
        <v>85.5625</v>
      </c>
      <c r="J493" t="s">
        <v>9047</v>
      </c>
      <c r="K493" t="str">
        <f t="shared" si="14"/>
        <v>Texans D/ST5</v>
      </c>
      <c r="L493" s="21" t="str">
        <f>IF(ISERROR(MATCH($A493,'F Proj'!$B$1:$B$7669,0)),IF(ISERROR(MATCH($A493,'D Proj'!$B$1:$B$513,0)),IF(ISERROR(MATCH($A493,'K Proj'!$B$1:$B$508,0)),"?","K"),"D"),"FLEX")</f>
        <v>D</v>
      </c>
      <c r="M493" s="21">
        <f>MATCH(L493,Pos,0)</f>
        <v>2</v>
      </c>
      <c r="N493" s="21">
        <f>CHOOSE($M493,MATCH($A493&amp;$B493,'F Proj'!$P$1:$P$7669,0),MATCH($A493&amp;$B493,'D Proj'!$X$1:$X$513,0),MATCH($A493&amp;$B493,'K Proj'!$T$1:$T$508,0))</f>
        <v>226</v>
      </c>
      <c r="O493">
        <f>CHOOSE(M493,INDEX('F Proj'!$D$1:$D$7669,N493),INDEX('D Proj'!$T$1:$T$513,N493),INDEX('K Proj'!$L$1:$L$508,N493))</f>
        <v>6.46</v>
      </c>
      <c r="P493">
        <f>CHOOSE(M493,INDEX('F Proj'!$J$1:$J$7669,N493),INDEX('D Proj'!$N$1:$N$513,N493),INDEX('K Proj'!$P$1:$P$508,N493))</f>
        <v>85.5625</v>
      </c>
      <c r="Q493" t="str">
        <f t="shared" si="15"/>
        <v>D/ST</v>
      </c>
      <c r="R493" t="str">
        <f>IF(L493="FLEX",INDEX('F Proj'!$F$1:$F$7669,N493),Q493)</f>
        <v>D/ST</v>
      </c>
      <c r="S493" t="str">
        <f>IF((Week+Half_Week-1)&gt;=VALUE(RIGHT(C493,LEN(C493)-SEARCH("-",C493))),LEFT(C493,SEARCH("-",C493)-1),"")</f>
        <v/>
      </c>
    </row>
    <row r="494" spans="1:19" x14ac:dyDescent="0.25">
      <c r="A494" t="s">
        <v>427</v>
      </c>
      <c r="B494">
        <v>1</v>
      </c>
      <c r="C494" t="s">
        <v>502</v>
      </c>
      <c r="D494" t="s">
        <v>477</v>
      </c>
      <c r="E494">
        <v>11</v>
      </c>
      <c r="G494">
        <v>11</v>
      </c>
      <c r="H494">
        <v>0</v>
      </c>
      <c r="I494">
        <v>0</v>
      </c>
      <c r="J494" t="s">
        <v>595</v>
      </c>
      <c r="K494" t="str">
        <f t="shared" si="14"/>
        <v>Titans D/ST1</v>
      </c>
      <c r="L494" s="21" t="str">
        <f>IF(ISERROR(MATCH($A494,'F Proj'!$B$1:$B$7669,0)),IF(ISERROR(MATCH($A494,'D Proj'!$B$1:$B$513,0)),IF(ISERROR(MATCH($A494,'K Proj'!$B$1:$B$508,0)),"?","K"),"D"),"FLEX")</f>
        <v>D</v>
      </c>
      <c r="M494" s="21">
        <f>MATCH(L494,Pos,0)</f>
        <v>2</v>
      </c>
      <c r="N494" s="21">
        <f>CHOOSE($M494,MATCH($A494&amp;$B494,'F Proj'!$P$1:$P$7669,0),MATCH($A494&amp;$B494,'D Proj'!$X$1:$X$513,0),MATCH($A494&amp;$B494,'K Proj'!$T$1:$T$508,0))</f>
        <v>96</v>
      </c>
      <c r="O494">
        <f>CHOOSE(M494,INDEX('F Proj'!$D$1:$D$7669,N494),INDEX('D Proj'!$T$1:$T$513,N494),INDEX('K Proj'!$L$1:$L$508,N494))</f>
        <v>7.56</v>
      </c>
      <c r="P494">
        <f>CHOOSE(M494,INDEX('F Proj'!$J$1:$J$7669,N494),INDEX('D Proj'!$N$1:$N$513,N494),INDEX('K Proj'!$P$1:$P$508,N494))</f>
        <v>31.584399999999999</v>
      </c>
      <c r="Q494" t="str">
        <f t="shared" si="15"/>
        <v>D/ST</v>
      </c>
      <c r="R494" t="str">
        <f>IF(L494="FLEX",INDEX('F Proj'!$F$1:$F$7669,N494),Q494)</f>
        <v>D/ST</v>
      </c>
      <c r="S494" t="str">
        <f>IF((Week+Half_Week-1)&gt;=VALUE(RIGHT(C494,LEN(C494)-SEARCH("-",C494))),LEFT(C494,SEARCH("-",C494)-1),"")</f>
        <v>cory</v>
      </c>
    </row>
    <row r="495" spans="1:19" x14ac:dyDescent="0.25">
      <c r="A495" t="s">
        <v>427</v>
      </c>
      <c r="B495">
        <v>2</v>
      </c>
      <c r="C495" t="s">
        <v>618</v>
      </c>
      <c r="D495" t="s">
        <v>477</v>
      </c>
      <c r="E495">
        <v>4</v>
      </c>
      <c r="G495">
        <v>4</v>
      </c>
      <c r="H495">
        <v>0</v>
      </c>
      <c r="I495">
        <v>0</v>
      </c>
      <c r="J495" t="s">
        <v>709</v>
      </c>
      <c r="K495" t="str">
        <f t="shared" si="14"/>
        <v>Titans D/ST2</v>
      </c>
      <c r="L495" s="21" t="str">
        <f>IF(ISERROR(MATCH($A495,'F Proj'!$B$1:$B$7669,0)),IF(ISERROR(MATCH($A495,'D Proj'!$B$1:$B$513,0)),IF(ISERROR(MATCH($A495,'K Proj'!$B$1:$B$508,0)),"?","K"),"D"),"FLEX")</f>
        <v>D</v>
      </c>
      <c r="M495" s="21">
        <f>MATCH(L495,Pos,0)</f>
        <v>2</v>
      </c>
      <c r="N495" s="21">
        <f>CHOOSE($M495,MATCH($A495&amp;$B495,'F Proj'!$P$1:$P$7669,0),MATCH($A495&amp;$B495,'D Proj'!$X$1:$X$513,0),MATCH($A495&amp;$B495,'K Proj'!$T$1:$T$508,0))</f>
        <v>173</v>
      </c>
      <c r="O495">
        <f>CHOOSE(M495,INDEX('F Proj'!$D$1:$D$7669,N495),INDEX('D Proj'!$T$1:$T$513,N495),INDEX('K Proj'!$L$1:$L$508,N495))</f>
        <v>6.96</v>
      </c>
      <c r="P495">
        <f>CHOOSE(M495,INDEX('F Proj'!$J$1:$J$7669,N495),INDEX('D Proj'!$N$1:$N$513,N495),INDEX('K Proj'!$P$1:$P$508,N495))</f>
        <v>27.5625</v>
      </c>
      <c r="Q495" t="str">
        <f t="shared" si="15"/>
        <v>D/ST</v>
      </c>
      <c r="R495" t="str">
        <f>IF(L495="FLEX",INDEX('F Proj'!$F$1:$F$7669,N495),Q495)</f>
        <v>D/ST</v>
      </c>
      <c r="S495" t="str">
        <f>IF((Week+Half_Week-1)&gt;=VALUE(RIGHT(C495,LEN(C495)-SEARCH("-",C495))),LEFT(C495,SEARCH("-",C495)-1),"")</f>
        <v>cory</v>
      </c>
    </row>
    <row r="496" spans="1:19" x14ac:dyDescent="0.25">
      <c r="A496" t="s">
        <v>427</v>
      </c>
      <c r="B496">
        <v>5</v>
      </c>
      <c r="C496" t="s">
        <v>888</v>
      </c>
      <c r="D496" t="s">
        <v>477</v>
      </c>
      <c r="E496" t="s">
        <v>8947</v>
      </c>
      <c r="G496">
        <v>7.16</v>
      </c>
      <c r="H496">
        <v>6.11</v>
      </c>
      <c r="I496">
        <v>37.332099999999997</v>
      </c>
      <c r="J496" t="s">
        <v>9048</v>
      </c>
      <c r="K496" t="str">
        <f t="shared" si="14"/>
        <v>Titans D/ST5</v>
      </c>
      <c r="L496" s="21" t="str">
        <f>IF(ISERROR(MATCH($A496,'F Proj'!$B$1:$B$7669,0)),IF(ISERROR(MATCH($A496,'D Proj'!$B$1:$B$513,0)),IF(ISERROR(MATCH($A496,'K Proj'!$B$1:$B$508,0)),"?","K"),"D"),"FLEX")</f>
        <v>D</v>
      </c>
      <c r="M496" s="21">
        <f>MATCH(L496,Pos,0)</f>
        <v>2</v>
      </c>
      <c r="N496" s="21">
        <f>CHOOSE($M496,MATCH($A496&amp;$B496,'F Proj'!$P$1:$P$7669,0),MATCH($A496&amp;$B496,'D Proj'!$X$1:$X$513,0),MATCH($A496&amp;$B496,'K Proj'!$T$1:$T$508,0))</f>
        <v>148</v>
      </c>
      <c r="O496">
        <f>CHOOSE(M496,INDEX('F Proj'!$D$1:$D$7669,N496),INDEX('D Proj'!$T$1:$T$513,N496),INDEX('K Proj'!$L$1:$L$508,N496))</f>
        <v>7.16</v>
      </c>
      <c r="P496">
        <f>CHOOSE(M496,INDEX('F Proj'!$J$1:$J$7669,N496),INDEX('D Proj'!$N$1:$N$513,N496),INDEX('K Proj'!$P$1:$P$508,N496))</f>
        <v>37.332099999999997</v>
      </c>
      <c r="Q496" t="str">
        <f t="shared" si="15"/>
        <v>D/ST</v>
      </c>
      <c r="R496" t="str">
        <f>IF(L496="FLEX",INDEX('F Proj'!$F$1:$F$7669,N496),Q496)</f>
        <v>D/ST</v>
      </c>
      <c r="S496" t="str">
        <f>IF((Week+Half_Week-1)&gt;=VALUE(RIGHT(C496,LEN(C496)-SEARCH("-",C496))),LEFT(C496,SEARCH("-",C496)-1),"")</f>
        <v/>
      </c>
    </row>
    <row r="497" spans="1:19" x14ac:dyDescent="0.25">
      <c r="A497" t="s">
        <v>406</v>
      </c>
      <c r="B497">
        <v>1</v>
      </c>
      <c r="C497" t="s">
        <v>500</v>
      </c>
      <c r="D497" t="s">
        <v>477</v>
      </c>
      <c r="E497">
        <v>18</v>
      </c>
      <c r="G497">
        <v>18</v>
      </c>
      <c r="H497">
        <v>0</v>
      </c>
      <c r="I497">
        <v>0</v>
      </c>
      <c r="J497" t="s">
        <v>590</v>
      </c>
      <c r="K497" t="str">
        <f t="shared" si="14"/>
        <v>Vikings D/ST1</v>
      </c>
      <c r="L497" s="21" t="str">
        <f>IF(ISERROR(MATCH($A497,'F Proj'!$B$1:$B$7669,0)),IF(ISERROR(MATCH($A497,'D Proj'!$B$1:$B$513,0)),IF(ISERROR(MATCH($A497,'K Proj'!$B$1:$B$508,0)),"?","K"),"D"),"FLEX")</f>
        <v>D</v>
      </c>
      <c r="M497" s="21">
        <f>MATCH(L497,Pos,0)</f>
        <v>2</v>
      </c>
      <c r="N497" s="21">
        <f>CHOOSE($M497,MATCH($A497&amp;$B497,'F Proj'!$P$1:$P$7669,0),MATCH($A497&amp;$B497,'D Proj'!$X$1:$X$513,0),MATCH($A497&amp;$B497,'K Proj'!$T$1:$T$508,0))</f>
        <v>11</v>
      </c>
      <c r="O497">
        <f>CHOOSE(M497,INDEX('F Proj'!$D$1:$D$7669,N497),INDEX('D Proj'!$T$1:$T$513,N497),INDEX('K Proj'!$L$1:$L$508,N497))</f>
        <v>9.58</v>
      </c>
      <c r="P497">
        <f>CHOOSE(M497,INDEX('F Proj'!$J$1:$J$7669,N497),INDEX('D Proj'!$N$1:$N$513,N497),INDEX('K Proj'!$P$1:$P$508,N497))</f>
        <v>51.408900000000003</v>
      </c>
      <c r="Q497" t="str">
        <f t="shared" si="15"/>
        <v>D/ST</v>
      </c>
      <c r="R497" t="str">
        <f>IF(L497="FLEX",INDEX('F Proj'!$F$1:$F$7669,N497),Q497)</f>
        <v>D/ST</v>
      </c>
      <c r="S497" t="str">
        <f>IF((Week+Half_Week-1)&gt;=VALUE(RIGHT(C497,LEN(C497)-SEARCH("-",C497))),LEFT(C497,SEARCH("-",C497)-1),"")</f>
        <v>seth</v>
      </c>
    </row>
    <row r="498" spans="1:19" x14ac:dyDescent="0.25">
      <c r="A498" t="s">
        <v>406</v>
      </c>
      <c r="B498">
        <v>2</v>
      </c>
      <c r="C498" t="s">
        <v>630</v>
      </c>
      <c r="D498" t="s">
        <v>477</v>
      </c>
      <c r="E498">
        <v>2</v>
      </c>
      <c r="G498">
        <v>2</v>
      </c>
      <c r="H498">
        <v>0</v>
      </c>
      <c r="I498">
        <v>0</v>
      </c>
      <c r="J498" t="s">
        <v>714</v>
      </c>
      <c r="K498" t="str">
        <f t="shared" si="14"/>
        <v>Vikings D/ST2</v>
      </c>
      <c r="L498" s="21" t="str">
        <f>IF(ISERROR(MATCH($A498,'F Proj'!$B$1:$B$7669,0)),IF(ISERROR(MATCH($A498,'D Proj'!$B$1:$B$513,0)),IF(ISERROR(MATCH($A498,'K Proj'!$B$1:$B$508,0)),"?","K"),"D"),"FLEX")</f>
        <v>D</v>
      </c>
      <c r="M498" s="21">
        <f>MATCH(L498,Pos,0)</f>
        <v>2</v>
      </c>
      <c r="N498" s="21">
        <f>CHOOSE($M498,MATCH($A498&amp;$B498,'F Proj'!$P$1:$P$7669,0),MATCH($A498&amp;$B498,'D Proj'!$X$1:$X$513,0),MATCH($A498&amp;$B498,'K Proj'!$T$1:$T$508,0))</f>
        <v>55</v>
      </c>
      <c r="O498">
        <f>CHOOSE(M498,INDEX('F Proj'!$D$1:$D$7669,N498),INDEX('D Proj'!$T$1:$T$513,N498),INDEX('K Proj'!$L$1:$L$508,N498))</f>
        <v>8.15</v>
      </c>
      <c r="P498">
        <f>CHOOSE(M498,INDEX('F Proj'!$J$1:$J$7669,N498),INDEX('D Proj'!$N$1:$N$513,N498),INDEX('K Proj'!$P$1:$P$508,N498))</f>
        <v>43.164900000000003</v>
      </c>
      <c r="Q498" t="str">
        <f t="shared" si="15"/>
        <v>D/ST</v>
      </c>
      <c r="R498" t="str">
        <f>IF(L498="FLEX",INDEX('F Proj'!$F$1:$F$7669,N498),Q498)</f>
        <v>D/ST</v>
      </c>
      <c r="S498" t="str">
        <f>IF((Week+Half_Week-1)&gt;=VALUE(RIGHT(C498,LEN(C498)-SEARCH("-",C498))),LEFT(C498,SEARCH("-",C498)-1),"")</f>
        <v>seth</v>
      </c>
    </row>
    <row r="499" spans="1:19" x14ac:dyDescent="0.25">
      <c r="A499" t="s">
        <v>406</v>
      </c>
      <c r="B499">
        <v>3</v>
      </c>
      <c r="C499" t="s">
        <v>808</v>
      </c>
      <c r="D499" t="s">
        <v>477</v>
      </c>
      <c r="E499">
        <v>5</v>
      </c>
      <c r="G499">
        <v>5</v>
      </c>
      <c r="H499">
        <v>0</v>
      </c>
      <c r="I499">
        <v>0</v>
      </c>
      <c r="J499" t="s">
        <v>4364</v>
      </c>
      <c r="K499" t="str">
        <f t="shared" si="14"/>
        <v>Vikings D/ST3</v>
      </c>
      <c r="L499" s="21" t="str">
        <f>IF(ISERROR(MATCH($A499,'F Proj'!$B$1:$B$7669,0)),IF(ISERROR(MATCH($A499,'D Proj'!$B$1:$B$513,0)),IF(ISERROR(MATCH($A499,'K Proj'!$B$1:$B$508,0)),"?","K"),"D"),"FLEX")</f>
        <v>D</v>
      </c>
      <c r="M499" s="21">
        <f>MATCH(L499,Pos,0)</f>
        <v>2</v>
      </c>
      <c r="N499" s="21">
        <f>CHOOSE($M499,MATCH($A499&amp;$B499,'F Proj'!$P$1:$P$7669,0),MATCH($A499&amp;$B499,'D Proj'!$X$1:$X$513,0),MATCH($A499&amp;$B499,'K Proj'!$T$1:$T$508,0))</f>
        <v>4</v>
      </c>
      <c r="O499">
        <f>CHOOSE(M499,INDEX('F Proj'!$D$1:$D$7669,N499),INDEX('D Proj'!$T$1:$T$513,N499),INDEX('K Proj'!$L$1:$L$508,N499))</f>
        <v>12.54</v>
      </c>
      <c r="P499">
        <f>CHOOSE(M499,INDEX('F Proj'!$J$1:$J$7669,N499),INDEX('D Proj'!$N$1:$N$513,N499),INDEX('K Proj'!$P$1:$P$508,N499))</f>
        <v>36.9664</v>
      </c>
      <c r="Q499" t="str">
        <f t="shared" si="15"/>
        <v>D/ST</v>
      </c>
      <c r="R499" t="str">
        <f>IF(L499="FLEX",INDEX('F Proj'!$F$1:$F$7669,N499),Q499)</f>
        <v>D/ST</v>
      </c>
      <c r="S499" t="str">
        <f>IF((Week+Half_Week-1)&gt;=VALUE(RIGHT(C499,LEN(C499)-SEARCH("-",C499))),LEFT(C499,SEARCH("-",C499)-1),"")</f>
        <v>seth</v>
      </c>
    </row>
    <row r="500" spans="1:19" x14ac:dyDescent="0.25">
      <c r="A500" t="s">
        <v>406</v>
      </c>
      <c r="B500">
        <v>4</v>
      </c>
      <c r="C500" t="s">
        <v>857</v>
      </c>
      <c r="D500" t="s">
        <v>477</v>
      </c>
      <c r="E500">
        <v>-9</v>
      </c>
      <c r="G500">
        <v>-9</v>
      </c>
      <c r="H500">
        <v>0</v>
      </c>
      <c r="I500">
        <v>0</v>
      </c>
      <c r="J500" t="s">
        <v>4847</v>
      </c>
      <c r="K500" t="str">
        <f t="shared" si="14"/>
        <v>Vikings D/ST4</v>
      </c>
      <c r="L500" s="21" t="str">
        <f>IF(ISERROR(MATCH($A500,'F Proj'!$B$1:$B$7669,0)),IF(ISERROR(MATCH($A500,'D Proj'!$B$1:$B$513,0)),IF(ISERROR(MATCH($A500,'K Proj'!$B$1:$B$508,0)),"?","K"),"D"),"FLEX")</f>
        <v>D</v>
      </c>
      <c r="M500" s="21">
        <f>MATCH(L500,Pos,0)</f>
        <v>2</v>
      </c>
      <c r="N500" s="21">
        <f>CHOOSE($M500,MATCH($A500&amp;$B500,'F Proj'!$P$1:$P$7669,0),MATCH($A500&amp;$B500,'D Proj'!$X$1:$X$513,0),MATCH($A500&amp;$B500,'K Proj'!$T$1:$T$508,0))</f>
        <v>385</v>
      </c>
      <c r="O500">
        <f>CHOOSE(M500,INDEX('F Proj'!$D$1:$D$7669,N500),INDEX('D Proj'!$T$1:$T$513,N500),INDEX('K Proj'!$L$1:$L$508,N500))</f>
        <v>4.68</v>
      </c>
      <c r="P500">
        <f>CHOOSE(M500,INDEX('F Proj'!$J$1:$J$7669,N500),INDEX('D Proj'!$N$1:$N$513,N500),INDEX('K Proj'!$P$1:$P$508,N500))</f>
        <v>33.0625</v>
      </c>
      <c r="Q500" t="str">
        <f t="shared" si="15"/>
        <v>D/ST</v>
      </c>
      <c r="R500" t="str">
        <f>IF(L500="FLEX",INDEX('F Proj'!$F$1:$F$7669,N500),Q500)</f>
        <v>D/ST</v>
      </c>
      <c r="S500" t="str">
        <f>IF((Week+Half_Week-1)&gt;=VALUE(RIGHT(C500,LEN(C500)-SEARCH("-",C500))),LEFT(C500,SEARCH("-",C500)-1),"")</f>
        <v>seth</v>
      </c>
    </row>
    <row r="501" spans="1:19" x14ac:dyDescent="0.25">
      <c r="A501" t="s">
        <v>406</v>
      </c>
      <c r="B501">
        <v>5</v>
      </c>
      <c r="C501" t="s">
        <v>882</v>
      </c>
      <c r="D501" t="s">
        <v>477</v>
      </c>
      <c r="E501" t="s">
        <v>8947</v>
      </c>
      <c r="G501">
        <v>5.9</v>
      </c>
      <c r="H501">
        <v>4.68</v>
      </c>
      <c r="I501">
        <v>21.9024</v>
      </c>
      <c r="J501" t="s">
        <v>9049</v>
      </c>
      <c r="K501" t="str">
        <f t="shared" si="14"/>
        <v>Vikings D/ST5</v>
      </c>
      <c r="L501" s="21" t="str">
        <f>IF(ISERROR(MATCH($A501,'F Proj'!$B$1:$B$7669,0)),IF(ISERROR(MATCH($A501,'D Proj'!$B$1:$B$513,0)),IF(ISERROR(MATCH($A501,'K Proj'!$B$1:$B$508,0)),"?","K"),"D"),"FLEX")</f>
        <v>D</v>
      </c>
      <c r="M501" s="21">
        <f>MATCH(L501,Pos,0)</f>
        <v>2</v>
      </c>
      <c r="N501" s="21">
        <f>CHOOSE($M501,MATCH($A501&amp;$B501,'F Proj'!$P$1:$P$7669,0),MATCH($A501&amp;$B501,'D Proj'!$X$1:$X$513,0),MATCH($A501&amp;$B501,'K Proj'!$T$1:$T$508,0))</f>
        <v>278</v>
      </c>
      <c r="O501">
        <f>CHOOSE(M501,INDEX('F Proj'!$D$1:$D$7669,N501),INDEX('D Proj'!$T$1:$T$513,N501),INDEX('K Proj'!$L$1:$L$508,N501))</f>
        <v>5.9</v>
      </c>
      <c r="P501">
        <f>CHOOSE(M501,INDEX('F Proj'!$J$1:$J$7669,N501),INDEX('D Proj'!$N$1:$N$513,N501),INDEX('K Proj'!$P$1:$P$508,N501))</f>
        <v>21.9024</v>
      </c>
      <c r="Q501" t="str">
        <f t="shared" si="15"/>
        <v>D/ST</v>
      </c>
      <c r="R501" t="str">
        <f>IF(L501="FLEX",INDEX('F Proj'!$F$1:$F$7669,N501),Q501)</f>
        <v>D/ST</v>
      </c>
      <c r="S501" t="str">
        <f>IF((Week+Half_Week-1)&gt;=VALUE(RIGHT(C501,LEN(C501)-SEARCH("-",C501))),LEFT(C501,SEARCH("-",C501)-1),"")</f>
        <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T19"/>
  <sheetViews>
    <sheetView workbookViewId="0">
      <selection activeCell="A79" sqref="A79"/>
    </sheetView>
  </sheetViews>
  <sheetFormatPr defaultRowHeight="15" x14ac:dyDescent="0.25"/>
  <cols>
    <col min="2" max="7" width="6.28515625" hidden="1" customWidth="1"/>
    <col min="8" max="12" width="14.85546875" customWidth="1"/>
    <col min="13" max="13" width="4.28515625" customWidth="1"/>
    <col min="14" max="18" width="6.85546875" bestFit="1" customWidth="1"/>
    <col min="19" max="19" width="4.42578125" customWidth="1"/>
    <col min="20" max="20" width="6.28515625" customWidth="1"/>
  </cols>
  <sheetData>
    <row r="1" spans="1:20" x14ac:dyDescent="0.25">
      <c r="A1" t="s">
        <v>899</v>
      </c>
      <c r="B1">
        <v>1</v>
      </c>
      <c r="C1">
        <v>2</v>
      </c>
      <c r="D1">
        <v>3</v>
      </c>
      <c r="E1">
        <v>4</v>
      </c>
      <c r="F1">
        <v>5</v>
      </c>
      <c r="H1" t="s">
        <v>1006</v>
      </c>
      <c r="I1" t="s">
        <v>1007</v>
      </c>
      <c r="J1" t="s">
        <v>1008</v>
      </c>
      <c r="K1" t="s">
        <v>1009</v>
      </c>
      <c r="L1" t="s">
        <v>1010</v>
      </c>
      <c r="N1" t="s">
        <v>1011</v>
      </c>
      <c r="O1" t="s">
        <v>1012</v>
      </c>
      <c r="P1" t="s">
        <v>1013</v>
      </c>
      <c r="Q1" t="s">
        <v>1014</v>
      </c>
      <c r="R1" t="s">
        <v>1015</v>
      </c>
      <c r="T1" t="s">
        <v>492</v>
      </c>
    </row>
    <row r="2" spans="1:20" x14ac:dyDescent="0.25">
      <c r="A2">
        <v>1</v>
      </c>
      <c r="B2">
        <f>MATCH($A2&amp;"-"&amp;B$1,'K Proj'!$V$2:$V$508,0)</f>
        <v>2</v>
      </c>
      <c r="C2">
        <f>MATCH($A2&amp;"-"&amp;C$1,'K Proj'!$V$2:$V$508,0)</f>
        <v>53</v>
      </c>
      <c r="D2">
        <f>MATCH($A2&amp;"-"&amp;D$1,'K Proj'!$V$2:$V$508,0)</f>
        <v>95</v>
      </c>
      <c r="E2">
        <f>MATCH($A2&amp;"-"&amp;E$1,'K Proj'!$V$2:$V$508,0)</f>
        <v>183</v>
      </c>
      <c r="F2">
        <f>MATCH($A2&amp;"-"&amp;F$1,'K Proj'!$V$2:$V$508,0)</f>
        <v>204</v>
      </c>
      <c r="H2" t="str">
        <f>INDEX('K Proj'!$B$2:$B$508,B2)</f>
        <v>Caleb Sturgis</v>
      </c>
      <c r="I2" t="str">
        <f>INDEX('K Proj'!$B$2:$B$508,C2)</f>
        <v>Josh Lambo</v>
      </c>
      <c r="J2" t="str">
        <f>INDEX('K Proj'!$B$2:$B$508,D2)</f>
        <v>Jake Elliott</v>
      </c>
      <c r="K2" t="str">
        <f>INDEX('K Proj'!$B$2:$B$508,E2)</f>
        <v>Ryan Succop</v>
      </c>
      <c r="L2" t="str">
        <f>INDEX('K Proj'!$B$2:$B$508,F2)</f>
        <v>Daniel Carlson</v>
      </c>
      <c r="N2">
        <v>11</v>
      </c>
      <c r="O2">
        <v>9</v>
      </c>
      <c r="P2">
        <v>11</v>
      </c>
      <c r="Q2">
        <v>0</v>
      </c>
      <c r="R2">
        <v>2</v>
      </c>
      <c r="T2" s="2">
        <f>AVERAGE(N2:R2)</f>
        <v>6.6</v>
      </c>
    </row>
    <row r="3" spans="1:20" x14ac:dyDescent="0.25">
      <c r="A3">
        <f>A2+1</f>
        <v>2</v>
      </c>
      <c r="B3">
        <f>MATCH($A3&amp;"-"&amp;B$1,'K Proj'!$V$2:$V$508,0)</f>
        <v>69</v>
      </c>
      <c r="C3">
        <f>MATCH($A3&amp;"-"&amp;C$1,'K Proj'!$V$2:$V$508,0)</f>
        <v>121</v>
      </c>
      <c r="D3">
        <f>MATCH($A3&amp;"-"&amp;D$1,'K Proj'!$V$2:$V$508,0)</f>
        <v>170</v>
      </c>
      <c r="E3">
        <f>MATCH($A3&amp;"-"&amp;E$1,'K Proj'!$V$2:$V$508,0)</f>
        <v>209</v>
      </c>
      <c r="F3">
        <f>MATCH($A3&amp;"-"&amp;F$1,'K Proj'!$V$2:$V$508,0)</f>
        <v>276</v>
      </c>
      <c r="H3" t="str">
        <f>INDEX('K Proj'!$B$2:$B$508,B3)</f>
        <v>Cody Parkey</v>
      </c>
      <c r="I3" t="str">
        <f>INDEX('K Proj'!$B$2:$B$508,C3)</f>
        <v>Josh Lambo</v>
      </c>
      <c r="J3" t="str">
        <f>INDEX('K Proj'!$B$2:$B$508,D3)</f>
        <v>Caleb Sturgis</v>
      </c>
      <c r="K3" t="str">
        <f>INDEX('K Proj'!$B$2:$B$508,E3)</f>
        <v>Graham Gano</v>
      </c>
      <c r="L3" t="str">
        <f>INDEX('K Proj'!$B$2:$B$508,F3)</f>
        <v>Stephen Hauschka</v>
      </c>
      <c r="N3">
        <v>9</v>
      </c>
      <c r="O3">
        <v>5</v>
      </c>
      <c r="P3">
        <v>4</v>
      </c>
      <c r="Q3">
        <v>7</v>
      </c>
      <c r="R3">
        <v>15</v>
      </c>
      <c r="T3" s="2">
        <f t="shared" ref="T3:T18" si="0">AVERAGE(N3:R3)</f>
        <v>8</v>
      </c>
    </row>
    <row r="4" spans="1:20" x14ac:dyDescent="0.25">
      <c r="A4">
        <f t="shared" ref="A4:A18" si="1">A3+1</f>
        <v>3</v>
      </c>
      <c r="B4">
        <f>MATCH($A4&amp;"-"&amp;B$1,'K Proj'!$V$2:$V$508,0)</f>
        <v>11</v>
      </c>
      <c r="C4">
        <f>MATCH($A4&amp;"-"&amp;C$1,'K Proj'!$V$2:$V$508,0)</f>
        <v>57</v>
      </c>
      <c r="D4">
        <f>MATCH($A4&amp;"-"&amp;D$1,'K Proj'!$V$2:$V$508,0)</f>
        <v>79</v>
      </c>
      <c r="E4">
        <f>MATCH($A4&amp;"-"&amp;E$1,'K Proj'!$V$2:$V$508,0)</f>
        <v>112</v>
      </c>
      <c r="F4">
        <f>MATCH($A4&amp;"-"&amp;F$1,'K Proj'!$V$2:$V$508,0)</f>
        <v>149</v>
      </c>
      <c r="H4" t="str">
        <f>INDEX('K Proj'!$B$2:$B$508,B4)</f>
        <v>Josh Lambo</v>
      </c>
      <c r="I4" t="str">
        <f>INDEX('K Proj'!$B$2:$B$508,C4)</f>
        <v>Graham Gano</v>
      </c>
      <c r="J4" t="str">
        <f>INDEX('K Proj'!$B$2:$B$508,D4)</f>
        <v>Jake Elliott</v>
      </c>
      <c r="K4" t="str">
        <f>INDEX('K Proj'!$B$2:$B$508,E4)</f>
        <v>Cody Parkey</v>
      </c>
      <c r="L4" t="str">
        <f>INDEX('K Proj'!$B$2:$B$508,F4)</f>
        <v>Chandler Catanzaro</v>
      </c>
      <c r="N4">
        <v>16</v>
      </c>
      <c r="O4">
        <v>4</v>
      </c>
      <c r="P4">
        <v>19</v>
      </c>
      <c r="Q4">
        <v>8</v>
      </c>
      <c r="R4">
        <v>-1</v>
      </c>
      <c r="T4" s="2">
        <f t="shared" si="0"/>
        <v>9.1999999999999993</v>
      </c>
    </row>
    <row r="5" spans="1:20" x14ac:dyDescent="0.25">
      <c r="A5">
        <f t="shared" si="1"/>
        <v>4</v>
      </c>
      <c r="B5">
        <f>MATCH($A5&amp;"-"&amp;B$1,'K Proj'!$V$2:$V$508,0)</f>
        <v>41</v>
      </c>
      <c r="C5">
        <f>MATCH($A5&amp;"-"&amp;C$1,'K Proj'!$V$2:$V$508,0)</f>
        <v>62</v>
      </c>
      <c r="D5">
        <f>MATCH($A5&amp;"-"&amp;D$1,'K Proj'!$V$2:$V$508,0)</f>
        <v>126</v>
      </c>
      <c r="E5">
        <f>MATCH($A5&amp;"-"&amp;E$1,'K Proj'!$V$2:$V$508,0)</f>
        <v>158</v>
      </c>
      <c r="F5">
        <f>MATCH($A5&amp;"-"&amp;F$1,'K Proj'!$V$2:$V$508,0)</f>
        <v>185</v>
      </c>
      <c r="H5" t="str">
        <f>INDEX('K Proj'!$B$2:$B$508,B5)</f>
        <v>Josh Lambo</v>
      </c>
      <c r="I5" t="str">
        <f>INDEX('K Proj'!$B$2:$B$508,C5)</f>
        <v>Caleb Sturgis</v>
      </c>
      <c r="J5" t="str">
        <f>INDEX('K Proj'!$B$2:$B$508,D5)</f>
        <v>Chris Boswell</v>
      </c>
      <c r="K5" t="str">
        <f>INDEX('K Proj'!$B$2:$B$508,E5)</f>
        <v>Cody Parkey</v>
      </c>
      <c r="L5" t="str">
        <f>INDEX('K Proj'!$B$2:$B$508,F5)</f>
        <v>Sebastian Janikowski</v>
      </c>
      <c r="N5">
        <v>0</v>
      </c>
      <c r="O5">
        <v>5</v>
      </c>
      <c r="P5">
        <v>8</v>
      </c>
      <c r="Q5">
        <v>15</v>
      </c>
      <c r="R5">
        <v>2</v>
      </c>
      <c r="T5" s="2">
        <f t="shared" si="0"/>
        <v>6</v>
      </c>
    </row>
    <row r="6" spans="1:20" x14ac:dyDescent="0.25">
      <c r="A6">
        <f t="shared" si="1"/>
        <v>5</v>
      </c>
      <c r="B6">
        <f>MATCH($A6&amp;"-"&amp;B$1,'K Proj'!$V$2:$V$508,0)</f>
        <v>21</v>
      </c>
      <c r="C6">
        <f>MATCH($A6&amp;"-"&amp;C$1,'K Proj'!$V$2:$V$508,0)</f>
        <v>92</v>
      </c>
      <c r="D6">
        <f>MATCH($A6&amp;"-"&amp;D$1,'K Proj'!$V$2:$V$508,0)</f>
        <v>101</v>
      </c>
      <c r="E6">
        <f>MATCH($A6&amp;"-"&amp;E$1,'K Proj'!$V$2:$V$508,0)</f>
        <v>116</v>
      </c>
      <c r="F6">
        <f>MATCH($A6&amp;"-"&amp;F$1,'K Proj'!$V$2:$V$508,0)</f>
        <v>193</v>
      </c>
      <c r="H6" t="str">
        <f>INDEX('K Proj'!$B$2:$B$508,B6)</f>
        <v>Graham Gano</v>
      </c>
      <c r="I6" t="str">
        <f>INDEX('K Proj'!$B$2:$B$508,C6)</f>
        <v>Randy Bullock</v>
      </c>
      <c r="J6" t="str">
        <f>INDEX('K Proj'!$B$2:$B$508,D6)</f>
        <v>Caleb Sturgis</v>
      </c>
      <c r="K6" t="str">
        <f>INDEX('K Proj'!$B$2:$B$508,E6)</f>
        <v>Chris Boswell</v>
      </c>
      <c r="L6" t="str">
        <f>INDEX('K Proj'!$B$2:$B$508,F6)</f>
        <v>Ka'imi Fairbairn</v>
      </c>
      <c r="N6">
        <v>4</v>
      </c>
      <c r="O6">
        <v>10</v>
      </c>
      <c r="P6">
        <v>5</v>
      </c>
      <c r="Q6">
        <v>-7</v>
      </c>
      <c r="T6" s="2">
        <f t="shared" si="0"/>
        <v>3</v>
      </c>
    </row>
    <row r="7" spans="1:20" x14ac:dyDescent="0.25">
      <c r="A7">
        <f t="shared" si="1"/>
        <v>6</v>
      </c>
      <c r="B7">
        <f>MATCH($A7&amp;"-"&amp;B$1,'K Proj'!$V$2:$V$508,0)</f>
        <v>88</v>
      </c>
      <c r="C7">
        <f>MATCH($A7&amp;"-"&amp;C$1,'K Proj'!$V$2:$V$508,0)</f>
        <v>127</v>
      </c>
      <c r="D7">
        <f>MATCH($A7&amp;"-"&amp;D$1,'K Proj'!$V$2:$V$508,0)</f>
        <v>156</v>
      </c>
      <c r="E7">
        <f>MATCH($A7&amp;"-"&amp;E$1,'K Proj'!$V$2:$V$508,0)</f>
        <v>159</v>
      </c>
      <c r="F7">
        <f>MATCH($A7&amp;"-"&amp;F$1,'K Proj'!$V$2:$V$508,0)</f>
        <v>174</v>
      </c>
      <c r="H7" t="str">
        <f>INDEX('K Proj'!$B$2:$B$508,B7)</f>
        <v>Sebastian Janikowski</v>
      </c>
      <c r="I7" t="str">
        <f>INDEX('K Proj'!$B$2:$B$508,C7)</f>
        <v>Jason Myers</v>
      </c>
      <c r="J7" t="str">
        <f>INDEX('K Proj'!$B$2:$B$508,D7)</f>
        <v>Randy Bullock</v>
      </c>
      <c r="K7" t="str">
        <f>INDEX('K Proj'!$B$2:$B$508,E7)</f>
        <v>Caleb Sturgis</v>
      </c>
      <c r="L7" t="str">
        <f>INDEX('K Proj'!$B$2:$B$508,F7)</f>
        <v>Graham Gano</v>
      </c>
      <c r="T7" s="2" t="e">
        <f t="shared" si="0"/>
        <v>#DIV/0!</v>
      </c>
    </row>
    <row r="8" spans="1:20" x14ac:dyDescent="0.25">
      <c r="A8">
        <f t="shared" si="1"/>
        <v>7</v>
      </c>
      <c r="B8">
        <f>MATCH($A8&amp;"-"&amp;B$1,'K Proj'!$V$2:$V$508,0)</f>
        <v>65</v>
      </c>
      <c r="C8">
        <f>MATCH($A8&amp;"-"&amp;C$1,'K Proj'!$V$2:$V$508,0)</f>
        <v>85</v>
      </c>
      <c r="D8">
        <f>MATCH($A8&amp;"-"&amp;D$1,'K Proj'!$V$2:$V$508,0)</f>
        <v>167</v>
      </c>
      <c r="E8">
        <f>MATCH($A8&amp;"-"&amp;E$1,'K Proj'!$V$2:$V$508,0)</f>
        <v>188</v>
      </c>
      <c r="F8">
        <f>MATCH($A8&amp;"-"&amp;F$1,'K Proj'!$V$2:$V$508,0)</f>
        <v>205</v>
      </c>
      <c r="H8" t="str">
        <f>INDEX('K Proj'!$B$2:$B$508,B8)</f>
        <v>Caleb Sturgis</v>
      </c>
      <c r="I8" t="str">
        <f>INDEX('K Proj'!$B$2:$B$508,C8)</f>
        <v>Cody Parkey</v>
      </c>
      <c r="J8" t="str">
        <f>INDEX('K Proj'!$B$2:$B$508,D8)</f>
        <v>Brett Maher</v>
      </c>
      <c r="K8" t="str">
        <f>INDEX('K Proj'!$B$2:$B$508,E8)</f>
        <v>Ryan Succop</v>
      </c>
      <c r="L8" t="str">
        <f>INDEX('K Proj'!$B$2:$B$508,F8)</f>
        <v>Dustin Hopkins</v>
      </c>
      <c r="T8" s="2" t="e">
        <f t="shared" si="0"/>
        <v>#DIV/0!</v>
      </c>
    </row>
    <row r="9" spans="1:20" x14ac:dyDescent="0.25">
      <c r="A9">
        <f t="shared" si="1"/>
        <v>8</v>
      </c>
      <c r="B9">
        <f>MATCH($A9&amp;"-"&amp;B$1,'K Proj'!$V$2:$V$508,0)</f>
        <v>72</v>
      </c>
      <c r="C9">
        <f>MATCH($A9&amp;"-"&amp;C$1,'K Proj'!$V$2:$V$508,0)</f>
        <v>75</v>
      </c>
      <c r="D9">
        <f>MATCH($A9&amp;"-"&amp;D$1,'K Proj'!$V$2:$V$508,0)</f>
        <v>160</v>
      </c>
      <c r="E9">
        <f>MATCH($A9&amp;"-"&amp;E$1,'K Proj'!$V$2:$V$508,0)</f>
        <v>172</v>
      </c>
      <c r="F9">
        <f>MATCH($A9&amp;"-"&amp;F$1,'K Proj'!$V$2:$V$508,0)</f>
        <v>178</v>
      </c>
      <c r="H9" t="str">
        <f>INDEX('K Proj'!$B$2:$B$508,B9)</f>
        <v>Greg Zuerlein</v>
      </c>
      <c r="I9" t="str">
        <f>INDEX('K Proj'!$B$2:$B$508,C9)</f>
        <v>Randy Bullock</v>
      </c>
      <c r="J9" t="str">
        <f>INDEX('K Proj'!$B$2:$B$508,D9)</f>
        <v>Chandler Catanzaro</v>
      </c>
      <c r="K9" t="str">
        <f>INDEX('K Proj'!$B$2:$B$508,E9)</f>
        <v>Matt McCrane</v>
      </c>
      <c r="L9" t="str">
        <f>INDEX('K Proj'!$B$2:$B$508,F9)</f>
        <v>Stephen Hauschka</v>
      </c>
      <c r="T9" s="2" t="e">
        <f t="shared" si="0"/>
        <v>#DIV/0!</v>
      </c>
    </row>
    <row r="10" spans="1:20" x14ac:dyDescent="0.25">
      <c r="A10">
        <f t="shared" si="1"/>
        <v>9</v>
      </c>
      <c r="B10">
        <f>MATCH($A10&amp;"-"&amp;B$1,'K Proj'!$V$2:$V$508,0)</f>
        <v>24</v>
      </c>
      <c r="C10">
        <f>MATCH($A10&amp;"-"&amp;C$1,'K Proj'!$V$2:$V$508,0)</f>
        <v>67</v>
      </c>
      <c r="D10">
        <f>MATCH($A10&amp;"-"&amp;D$1,'K Proj'!$V$2:$V$508,0)</f>
        <v>138</v>
      </c>
      <c r="E10">
        <f>MATCH($A10&amp;"-"&amp;E$1,'K Proj'!$V$2:$V$508,0)</f>
        <v>203</v>
      </c>
      <c r="F10">
        <f>MATCH($A10&amp;"-"&amp;F$1,'K Proj'!$V$2:$V$508,0)</f>
        <v>214</v>
      </c>
      <c r="H10" t="str">
        <f>INDEX('K Proj'!$B$2:$B$508,B10)</f>
        <v>Graham Gano</v>
      </c>
      <c r="I10" t="str">
        <f>INDEX('K Proj'!$B$2:$B$508,C10)</f>
        <v>Greg Zuerlein</v>
      </c>
      <c r="J10" t="str">
        <f>INDEX('K Proj'!$B$2:$B$508,D10)</f>
        <v>Dustin Hopkins</v>
      </c>
      <c r="K10" t="str">
        <f>INDEX('K Proj'!$B$2:$B$508,E10)</f>
        <v>Ka'imi Fairbairn</v>
      </c>
      <c r="L10" t="str">
        <f>INDEX('K Proj'!$B$2:$B$508,F10)</f>
        <v>Ryan Succop</v>
      </c>
      <c r="T10" s="2" t="e">
        <f t="shared" si="0"/>
        <v>#DIV/0!</v>
      </c>
    </row>
    <row r="11" spans="1:20" x14ac:dyDescent="0.25">
      <c r="A11">
        <f t="shared" si="1"/>
        <v>10</v>
      </c>
      <c r="B11">
        <f>MATCH($A11&amp;"-"&amp;B$1,'K Proj'!$V$2:$V$508,0)</f>
        <v>35</v>
      </c>
      <c r="C11">
        <f>MATCH($A11&amp;"-"&amp;C$1,'K Proj'!$V$2:$V$508,0)</f>
        <v>45</v>
      </c>
      <c r="D11">
        <f>MATCH($A11&amp;"-"&amp;D$1,'K Proj'!$V$2:$V$508,0)</f>
        <v>93</v>
      </c>
      <c r="E11">
        <f>MATCH($A11&amp;"-"&amp;E$1,'K Proj'!$V$2:$V$508,0)</f>
        <v>118</v>
      </c>
      <c r="F11">
        <f>MATCH($A11&amp;"-"&amp;F$1,'K Proj'!$V$2:$V$508,0)</f>
        <v>157</v>
      </c>
      <c r="H11" t="str">
        <f>INDEX('K Proj'!$B$2:$B$508,B11)</f>
        <v>Caleb Sturgis</v>
      </c>
      <c r="I11" t="str">
        <f>INDEX('K Proj'!$B$2:$B$508,C11)</f>
        <v>Greg Zuerlein</v>
      </c>
      <c r="J11" t="str">
        <f>INDEX('K Proj'!$B$2:$B$508,D11)</f>
        <v>Cody Parkey</v>
      </c>
      <c r="K11" t="str">
        <f>INDEX('K Proj'!$B$2:$B$508,E11)</f>
        <v>Chandler Catanzaro</v>
      </c>
      <c r="L11" t="str">
        <f>INDEX('K Proj'!$B$2:$B$508,F11)</f>
        <v>Graham Gano</v>
      </c>
      <c r="T11" s="2" t="e">
        <f t="shared" si="0"/>
        <v>#DIV/0!</v>
      </c>
    </row>
    <row r="12" spans="1:20" x14ac:dyDescent="0.25">
      <c r="A12">
        <f t="shared" si="1"/>
        <v>11</v>
      </c>
      <c r="B12">
        <f>MATCH($A12&amp;"-"&amp;B$1,'K Proj'!$V$2:$V$508,0)</f>
        <v>39</v>
      </c>
      <c r="C12">
        <f>MATCH($A12&amp;"-"&amp;C$1,'K Proj'!$V$2:$V$508,0)</f>
        <v>89</v>
      </c>
      <c r="D12">
        <f>MATCH($A12&amp;"-"&amp;D$1,'K Proj'!$V$2:$V$508,0)</f>
        <v>96</v>
      </c>
      <c r="E12">
        <f>MATCH($A12&amp;"-"&amp;E$1,'K Proj'!$V$2:$V$508,0)</f>
        <v>107</v>
      </c>
      <c r="F12">
        <f>MATCH($A12&amp;"-"&amp;F$1,'K Proj'!$V$2:$V$508,0)</f>
        <v>173</v>
      </c>
      <c r="H12" t="str">
        <f>INDEX('K Proj'!$B$2:$B$508,B12)</f>
        <v>Graham Gano</v>
      </c>
      <c r="I12" t="str">
        <f>INDEX('K Proj'!$B$2:$B$508,C12)</f>
        <v>Brett Maher</v>
      </c>
      <c r="J12" t="str">
        <f>INDEX('K Proj'!$B$2:$B$508,D12)</f>
        <v>Sebastian Janikowski</v>
      </c>
      <c r="K12" t="str">
        <f>INDEX('K Proj'!$B$2:$B$508,E12)</f>
        <v>Greg Zuerlein</v>
      </c>
      <c r="L12" t="str">
        <f>INDEX('K Proj'!$B$2:$B$508,F12)</f>
        <v>Ryan Succop</v>
      </c>
      <c r="T12" s="2" t="e">
        <f t="shared" si="0"/>
        <v>#DIV/0!</v>
      </c>
    </row>
    <row r="13" spans="1:20" x14ac:dyDescent="0.25">
      <c r="A13">
        <f t="shared" si="1"/>
        <v>12</v>
      </c>
      <c r="B13">
        <f>MATCH($A13&amp;"-"&amp;B$1,'K Proj'!$V$2:$V$508,0)</f>
        <v>110</v>
      </c>
      <c r="C13">
        <f>MATCH($A13&amp;"-"&amp;C$1,'K Proj'!$V$2:$V$508,0)</f>
        <v>111</v>
      </c>
      <c r="D13">
        <f>MATCH($A13&amp;"-"&amp;D$1,'K Proj'!$V$2:$V$508,0)</f>
        <v>124</v>
      </c>
      <c r="E13">
        <f>MATCH($A13&amp;"-"&amp;E$1,'K Proj'!$V$2:$V$508,0)</f>
        <v>142</v>
      </c>
      <c r="F13">
        <f>MATCH($A13&amp;"-"&amp;F$1,'K Proj'!$V$2:$V$508,0)</f>
        <v>151</v>
      </c>
      <c r="H13" t="str">
        <f>INDEX('K Proj'!$B$2:$B$508,B13)</f>
        <v>Brett Maher</v>
      </c>
      <c r="I13" t="str">
        <f>INDEX('K Proj'!$B$2:$B$508,C13)</f>
        <v>Jason Myers</v>
      </c>
      <c r="J13" t="str">
        <f>INDEX('K Proj'!$B$2:$B$508,D13)</f>
        <v>Chandler Catanzaro</v>
      </c>
      <c r="K13" t="str">
        <f>INDEX('K Proj'!$B$2:$B$508,E13)</f>
        <v>Cody Parkey</v>
      </c>
      <c r="L13" t="str">
        <f>INDEX('K Proj'!$B$2:$B$508,F13)</f>
        <v>Ka'imi Fairbairn</v>
      </c>
      <c r="T13" s="2" t="e">
        <f t="shared" si="0"/>
        <v>#DIV/0!</v>
      </c>
    </row>
    <row r="14" spans="1:20" x14ac:dyDescent="0.25">
      <c r="A14">
        <f t="shared" si="1"/>
        <v>13</v>
      </c>
      <c r="B14">
        <f>MATCH($A14&amp;"-"&amp;B$1,'K Proj'!$V$2:$V$508,0)</f>
        <v>43</v>
      </c>
      <c r="C14">
        <f>MATCH($A14&amp;"-"&amp;C$1,'K Proj'!$V$2:$V$508,0)</f>
        <v>63</v>
      </c>
      <c r="D14">
        <f>MATCH($A14&amp;"-"&amp;D$1,'K Proj'!$V$2:$V$508,0)</f>
        <v>68</v>
      </c>
      <c r="E14">
        <f>MATCH($A14&amp;"-"&amp;E$1,'K Proj'!$V$2:$V$508,0)</f>
        <v>98</v>
      </c>
      <c r="F14">
        <f>MATCH($A14&amp;"-"&amp;F$1,'K Proj'!$V$2:$V$508,0)</f>
        <v>146</v>
      </c>
      <c r="H14" t="str">
        <f>INDEX('K Proj'!$B$2:$B$508,B14)</f>
        <v>Matt McCrane</v>
      </c>
      <c r="I14" t="str">
        <f>INDEX('K Proj'!$B$2:$B$508,C14)</f>
        <v>Brett Maher</v>
      </c>
      <c r="J14" t="str">
        <f>INDEX('K Proj'!$B$2:$B$508,D14)</f>
        <v>Graham Gano</v>
      </c>
      <c r="K14" t="str">
        <f>INDEX('K Proj'!$B$2:$B$508,E14)</f>
        <v>Sebastian Janikowski</v>
      </c>
      <c r="L14" t="str">
        <f>INDEX('K Proj'!$B$2:$B$508,F14)</f>
        <v>Caleb Sturgis</v>
      </c>
      <c r="T14" s="2" t="e">
        <f t="shared" si="0"/>
        <v>#DIV/0!</v>
      </c>
    </row>
    <row r="15" spans="1:20" x14ac:dyDescent="0.25">
      <c r="A15">
        <f t="shared" si="1"/>
        <v>14</v>
      </c>
      <c r="B15">
        <f>MATCH($A15&amp;"-"&amp;B$1,'K Proj'!$V$2:$V$508,0)</f>
        <v>91</v>
      </c>
      <c r="C15">
        <f>MATCH($A15&amp;"-"&amp;C$1,'K Proj'!$V$2:$V$508,0)</f>
        <v>122</v>
      </c>
      <c r="D15">
        <f>MATCH($A15&amp;"-"&amp;D$1,'K Proj'!$V$2:$V$508,0)</f>
        <v>131</v>
      </c>
      <c r="E15">
        <f>MATCH($A15&amp;"-"&amp;E$1,'K Proj'!$V$2:$V$508,0)</f>
        <v>134</v>
      </c>
      <c r="F15">
        <f>MATCH($A15&amp;"-"&amp;F$1,'K Proj'!$V$2:$V$508,0)</f>
        <v>168</v>
      </c>
      <c r="H15" t="str">
        <f>INDEX('K Proj'!$B$2:$B$508,B15)</f>
        <v>Caleb Sturgis</v>
      </c>
      <c r="I15" t="str">
        <f>INDEX('K Proj'!$B$2:$B$508,C15)</f>
        <v>Chandler Catanzaro</v>
      </c>
      <c r="J15" t="str">
        <f>INDEX('K Proj'!$B$2:$B$508,D15)</f>
        <v>Cody Parkey</v>
      </c>
      <c r="K15" t="str">
        <f>INDEX('K Proj'!$B$2:$B$508,E15)</f>
        <v>Chris Boswell</v>
      </c>
      <c r="L15" t="str">
        <f>INDEX('K Proj'!$B$2:$B$508,F15)</f>
        <v>Greg Zuerlein</v>
      </c>
      <c r="T15" s="2" t="e">
        <f t="shared" si="0"/>
        <v>#DIV/0!</v>
      </c>
    </row>
    <row r="16" spans="1:20" x14ac:dyDescent="0.25">
      <c r="A16">
        <f t="shared" si="1"/>
        <v>15</v>
      </c>
      <c r="B16">
        <f>MATCH($A16&amp;"-"&amp;B$1,'K Proj'!$V$2:$V$508,0)</f>
        <v>17</v>
      </c>
      <c r="C16">
        <f>MATCH($A16&amp;"-"&amp;C$1,'K Proj'!$V$2:$V$508,0)</f>
        <v>28</v>
      </c>
      <c r="D16">
        <f>MATCH($A16&amp;"-"&amp;D$1,'K Proj'!$V$2:$V$508,0)</f>
        <v>90</v>
      </c>
      <c r="E16">
        <f>MATCH($A16&amp;"-"&amp;E$1,'K Proj'!$V$2:$V$508,0)</f>
        <v>113</v>
      </c>
      <c r="F16">
        <f>MATCH($A16&amp;"-"&amp;F$1,'K Proj'!$V$2:$V$508,0)</f>
        <v>117</v>
      </c>
      <c r="H16" t="str">
        <f>INDEX('K Proj'!$B$2:$B$508,B16)</f>
        <v>Graham Gano</v>
      </c>
      <c r="I16" t="str">
        <f>INDEX('K Proj'!$B$2:$B$508,C16)</f>
        <v>Caleb Sturgis</v>
      </c>
      <c r="J16" t="str">
        <f>INDEX('K Proj'!$B$2:$B$508,D16)</f>
        <v>Brett Maher</v>
      </c>
      <c r="K16" t="str">
        <f>INDEX('K Proj'!$B$2:$B$508,E16)</f>
        <v>Cody Parkey</v>
      </c>
      <c r="L16" t="str">
        <f>INDEX('K Proj'!$B$2:$B$508,F16)</f>
        <v>Greg Zuerlein</v>
      </c>
      <c r="T16" s="2" t="e">
        <f t="shared" si="0"/>
        <v>#DIV/0!</v>
      </c>
    </row>
    <row r="17" spans="1:20" x14ac:dyDescent="0.25">
      <c r="A17">
        <f t="shared" si="1"/>
        <v>16</v>
      </c>
      <c r="B17">
        <f>MATCH($A17&amp;"-"&amp;B$1,'K Proj'!$V$2:$V$508,0)</f>
        <v>40</v>
      </c>
      <c r="C17">
        <f>MATCH($A17&amp;"-"&amp;C$1,'K Proj'!$V$2:$V$508,0)</f>
        <v>61</v>
      </c>
      <c r="D17">
        <f>MATCH($A17&amp;"-"&amp;D$1,'K Proj'!$V$2:$V$508,0)</f>
        <v>83</v>
      </c>
      <c r="E17">
        <f>MATCH($A17&amp;"-"&amp;E$1,'K Proj'!$V$2:$V$508,0)</f>
        <v>119</v>
      </c>
      <c r="F17">
        <f>MATCH($A17&amp;"-"&amp;F$1,'K Proj'!$V$2:$V$508,0)</f>
        <v>163</v>
      </c>
      <c r="H17" t="str">
        <f>INDEX('K Proj'!$B$2:$B$508,B17)</f>
        <v>Brett Maher</v>
      </c>
      <c r="I17" t="str">
        <f>INDEX('K Proj'!$B$2:$B$508,C17)</f>
        <v>Graham Gano</v>
      </c>
      <c r="J17" t="str">
        <f>INDEX('K Proj'!$B$2:$B$508,D17)</f>
        <v>Sebastian Janikowski</v>
      </c>
      <c r="K17" t="str">
        <f>INDEX('K Proj'!$B$2:$B$508,E17)</f>
        <v>Jason Myers</v>
      </c>
      <c r="L17" t="str">
        <f>INDEX('K Proj'!$B$2:$B$508,F17)</f>
        <v>Jake Elliott</v>
      </c>
      <c r="T17" s="2" t="e">
        <f t="shared" si="0"/>
        <v>#DIV/0!</v>
      </c>
    </row>
    <row r="18" spans="1:20" x14ac:dyDescent="0.25">
      <c r="A18">
        <f t="shared" si="1"/>
        <v>17</v>
      </c>
      <c r="B18">
        <f>MATCH($A18&amp;"-"&amp;B$1,'K Proj'!$V$2:$V$508,0)</f>
        <v>52</v>
      </c>
      <c r="C18">
        <f>MATCH($A18&amp;"-"&amp;C$1,'K Proj'!$V$2:$V$508,0)</f>
        <v>58</v>
      </c>
      <c r="D18">
        <f>MATCH($A18&amp;"-"&amp;D$1,'K Proj'!$V$2:$V$508,0)</f>
        <v>71</v>
      </c>
      <c r="E18">
        <f>MATCH($A18&amp;"-"&amp;E$1,'K Proj'!$V$2:$V$508,0)</f>
        <v>100</v>
      </c>
      <c r="F18">
        <f>MATCH($A18&amp;"-"&amp;F$1,'K Proj'!$V$2:$V$508,0)</f>
        <v>109</v>
      </c>
      <c r="H18" t="str">
        <f>INDEX('K Proj'!$B$2:$B$508,B18)</f>
        <v>Greg Zuerlein</v>
      </c>
      <c r="I18" t="str">
        <f>INDEX('K Proj'!$B$2:$B$508,C18)</f>
        <v>Graham Gano</v>
      </c>
      <c r="J18" t="str">
        <f>INDEX('K Proj'!$B$2:$B$508,D18)</f>
        <v>Brett Maher</v>
      </c>
      <c r="K18" t="str">
        <f>INDEX('K Proj'!$B$2:$B$508,E18)</f>
        <v>Matt McCrane</v>
      </c>
      <c r="L18" t="str">
        <f>INDEX('K Proj'!$B$2:$B$508,F18)</f>
        <v>Ryan Succop</v>
      </c>
      <c r="T18" s="2" t="e">
        <f t="shared" si="0"/>
        <v>#DIV/0!</v>
      </c>
    </row>
    <row r="19" spans="1:20" x14ac:dyDescent="0.25">
      <c r="N19" s="2">
        <f>AVERAGE(N2:N18)</f>
        <v>8</v>
      </c>
      <c r="T19" s="2">
        <f>AVERAGE(N2:R18)</f>
        <v>6.708333333333333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R102"/>
  <sheetViews>
    <sheetView zoomScale="60" zoomScaleNormal="60" workbookViewId="0"/>
  </sheetViews>
  <sheetFormatPr defaultRowHeight="15" x14ac:dyDescent="0.25"/>
  <cols>
    <col min="4" max="4" width="6.7109375" customWidth="1"/>
    <col min="8" max="8" width="12.28515625" bestFit="1" customWidth="1"/>
    <col min="9" max="9" width="14.85546875" bestFit="1" customWidth="1"/>
    <col min="10" max="11" width="14.85546875" customWidth="1"/>
    <col min="13" max="13" width="9.42578125" bestFit="1" customWidth="1"/>
  </cols>
  <sheetData>
    <row r="1" spans="1:18" x14ac:dyDescent="0.25">
      <c r="A1" t="s">
        <v>892</v>
      </c>
      <c r="B1" t="s">
        <v>893</v>
      </c>
      <c r="C1" t="s">
        <v>894</v>
      </c>
      <c r="H1" t="s">
        <v>898</v>
      </c>
      <c r="I1" t="s">
        <v>1023</v>
      </c>
      <c r="J1" s="57">
        <v>0.95</v>
      </c>
      <c r="K1" s="57" t="s">
        <v>1028</v>
      </c>
      <c r="M1" t="s">
        <v>895</v>
      </c>
      <c r="N1" t="s">
        <v>896</v>
      </c>
      <c r="O1" t="s">
        <v>897</v>
      </c>
      <c r="Q1" t="s">
        <v>1031</v>
      </c>
      <c r="R1" t="s">
        <v>1032</v>
      </c>
    </row>
    <row r="2" spans="1:18" x14ac:dyDescent="0.25">
      <c r="A2" s="56">
        <v>1</v>
      </c>
      <c r="B2" s="2">
        <f>(A2-1)*100</f>
        <v>0</v>
      </c>
      <c r="C2" s="2">
        <f>(A2)*100</f>
        <v>100</v>
      </c>
      <c r="D2" s="58">
        <f>(A2^2)*$M$2+A2*$N$2+$O$2</f>
        <v>25</v>
      </c>
      <c r="E2" s="57">
        <f>1.5-A2</f>
        <v>0.5</v>
      </c>
      <c r="F2" s="2">
        <f>ROUND((-(A2^2)+A2*2-0.75)*100,1)</f>
        <v>25</v>
      </c>
      <c r="G2" s="2">
        <f>INDEX($F$2:$F$102,A2*100+1)</f>
        <v>-75</v>
      </c>
      <c r="H2" s="3">
        <f>-INDEX($F$2:$F$102,A2*100+1)/(-INDEX($F$2:$F$102,A2*100+1)+F2)</f>
        <v>0.75</v>
      </c>
      <c r="I2" s="61">
        <f>F2*$N$5+($N$6-$N$5)*G2</f>
        <v>-1000</v>
      </c>
      <c r="J2" s="61">
        <f>F2*$N$8+($N$6-$N$8)*G2</f>
        <v>-153.02395485313059</v>
      </c>
      <c r="K2" s="11">
        <f>$N$10*F2+(1-$N$10)*G2</f>
        <v>8.6999999999999975</v>
      </c>
      <c r="M2">
        <v>-100</v>
      </c>
      <c r="N2">
        <f>M2*-2</f>
        <v>200</v>
      </c>
      <c r="O2">
        <v>-75</v>
      </c>
      <c r="Q2">
        <v>15</v>
      </c>
      <c r="R2" s="3">
        <f>1/(1+EXP(-$N$12*Q2))</f>
        <v>0.11450812504039588</v>
      </c>
    </row>
    <row r="3" spans="1:18" x14ac:dyDescent="0.25">
      <c r="A3" s="57">
        <f>A2-0.01</f>
        <v>0.99</v>
      </c>
      <c r="B3" s="2">
        <f t="shared" ref="B3:B66" si="0">(A3-1)*100</f>
        <v>-1.0000000000000009</v>
      </c>
      <c r="C3" s="2">
        <f>(A3)*100</f>
        <v>99</v>
      </c>
      <c r="D3" s="58">
        <f t="shared" ref="D3:D33" si="1">(A3^2)*$M$2+A3*$N$2+$O$2</f>
        <v>24.990000000000009</v>
      </c>
      <c r="E3" s="57">
        <f t="shared" ref="E3:E52" si="2">1.5-A3</f>
        <v>0.51</v>
      </c>
      <c r="F3" s="2">
        <f t="shared" ref="F3:F66" si="3">ROUND((-(A3^2)+A3*2-0.75)*100,1)</f>
        <v>25</v>
      </c>
      <c r="G3" s="2">
        <f t="shared" ref="G3:G66" si="4">INDEX($F$2:$F$102,A3*100+1)</f>
        <v>-73</v>
      </c>
      <c r="H3" s="3">
        <f t="shared" ref="H3:H33" si="5">-INDEX($F$2:$F$102,A3*100+1)/(-INDEX($F$2:$F$102,A3*100+1)+F3)</f>
        <v>0.74489795918367352</v>
      </c>
      <c r="I3" s="61">
        <f t="shared" ref="I3:I66" si="6">F3*$N$5+($N$6-$N$5)*G3</f>
        <v>-942</v>
      </c>
      <c r="J3" s="61">
        <f t="shared" ref="J3:J66" si="7">F3*$N$8+($N$6-$N$8)*G3</f>
        <v>-111.96347575606796</v>
      </c>
      <c r="K3" s="11">
        <f t="shared" ref="K3:K66" si="8">$N$10*F3+(1-$N$10)*G3</f>
        <v>9.025999999999998</v>
      </c>
      <c r="Q3">
        <f>Q2-0.5</f>
        <v>14.5</v>
      </c>
      <c r="R3" s="3">
        <f t="shared" ref="R3:R62" si="9">1/(1+EXP(-$N$12*Q3))</f>
        <v>0.12160543169859428</v>
      </c>
    </row>
    <row r="4" spans="1:18" x14ac:dyDescent="0.25">
      <c r="A4" s="57">
        <f t="shared" ref="A4:A52" si="10">A3-0.01</f>
        <v>0.98</v>
      </c>
      <c r="B4" s="2">
        <f t="shared" si="0"/>
        <v>-2.0000000000000018</v>
      </c>
      <c r="C4" s="2">
        <f t="shared" ref="C4:C52" si="11">(A4)*100</f>
        <v>98</v>
      </c>
      <c r="D4" s="58">
        <f t="shared" si="1"/>
        <v>24.960000000000008</v>
      </c>
      <c r="E4" s="57">
        <f t="shared" si="2"/>
        <v>0.52</v>
      </c>
      <c r="F4" s="2">
        <f t="shared" si="3"/>
        <v>25</v>
      </c>
      <c r="G4" s="2">
        <f t="shared" si="4"/>
        <v>-71</v>
      </c>
      <c r="H4" s="3">
        <f t="shared" si="5"/>
        <v>0.73958333333333337</v>
      </c>
      <c r="I4" s="61">
        <f t="shared" si="6"/>
        <v>-884</v>
      </c>
      <c r="J4" s="61">
        <f t="shared" si="7"/>
        <v>-70.902996659005339</v>
      </c>
      <c r="K4" s="11">
        <f t="shared" si="8"/>
        <v>9.3519999999999985</v>
      </c>
      <c r="M4" t="s">
        <v>1024</v>
      </c>
      <c r="N4" s="3">
        <f>N5/N6</f>
        <v>0.61842105263157898</v>
      </c>
      <c r="Q4">
        <f t="shared" ref="Q4:Q66" si="12">Q3-0.5</f>
        <v>14</v>
      </c>
      <c r="R4" s="3">
        <f t="shared" si="9"/>
        <v>0.12907851125109632</v>
      </c>
    </row>
    <row r="5" spans="1:18" x14ac:dyDescent="0.25">
      <c r="A5" s="57">
        <f t="shared" si="10"/>
        <v>0.97</v>
      </c>
      <c r="B5" s="2">
        <f t="shared" si="0"/>
        <v>-3.0000000000000027</v>
      </c>
      <c r="C5" s="2">
        <f t="shared" si="11"/>
        <v>97</v>
      </c>
      <c r="D5" s="58">
        <f t="shared" si="1"/>
        <v>24.910000000000011</v>
      </c>
      <c r="E5" s="57">
        <f t="shared" si="2"/>
        <v>0.53</v>
      </c>
      <c r="F5" s="2">
        <f t="shared" si="3"/>
        <v>24.9</v>
      </c>
      <c r="G5" s="2">
        <f t="shared" si="4"/>
        <v>-69.099999999999994</v>
      </c>
      <c r="H5" s="3">
        <f t="shared" si="5"/>
        <v>0.73510638297872333</v>
      </c>
      <c r="I5" s="61">
        <f t="shared" si="6"/>
        <v>-833.59999999999991</v>
      </c>
      <c r="J5" s="61">
        <f t="shared" si="7"/>
        <v>-37.44251756194285</v>
      </c>
      <c r="K5" s="11">
        <f t="shared" si="8"/>
        <v>9.5779999999999959</v>
      </c>
      <c r="M5" t="s">
        <v>1025</v>
      </c>
      <c r="N5">
        <v>47</v>
      </c>
      <c r="Q5">
        <f t="shared" si="12"/>
        <v>13.5</v>
      </c>
      <c r="R5" s="3">
        <f t="shared" si="9"/>
        <v>0.13693924240692409</v>
      </c>
    </row>
    <row r="6" spans="1:18" x14ac:dyDescent="0.25">
      <c r="A6" s="57">
        <f t="shared" si="10"/>
        <v>0.96</v>
      </c>
      <c r="B6" s="2">
        <f t="shared" si="0"/>
        <v>-4.0000000000000036</v>
      </c>
      <c r="C6" s="2">
        <f t="shared" si="11"/>
        <v>96</v>
      </c>
      <c r="D6" s="58">
        <f t="shared" si="1"/>
        <v>24.840000000000003</v>
      </c>
      <c r="E6" s="57">
        <f t="shared" si="2"/>
        <v>0.54</v>
      </c>
      <c r="F6" s="2">
        <f t="shared" si="3"/>
        <v>24.8</v>
      </c>
      <c r="G6" s="2">
        <f t="shared" si="4"/>
        <v>-67.2</v>
      </c>
      <c r="H6" s="3">
        <f t="shared" si="5"/>
        <v>0.73043478260869565</v>
      </c>
      <c r="I6" s="61">
        <f t="shared" si="6"/>
        <v>-783.2</v>
      </c>
      <c r="J6" s="61">
        <f t="shared" si="7"/>
        <v>-3.9820384648801337</v>
      </c>
      <c r="K6" s="11">
        <f t="shared" si="8"/>
        <v>9.8039999999999967</v>
      </c>
      <c r="M6" t="s">
        <v>782</v>
      </c>
      <c r="N6">
        <v>76</v>
      </c>
      <c r="Q6">
        <f t="shared" si="12"/>
        <v>13</v>
      </c>
      <c r="R6" s="3">
        <f t="shared" si="9"/>
        <v>0.14519887315248911</v>
      </c>
    </row>
    <row r="7" spans="1:18" x14ac:dyDescent="0.25">
      <c r="A7" s="57">
        <f t="shared" si="10"/>
        <v>0.95</v>
      </c>
      <c r="B7" s="2">
        <f t="shared" si="0"/>
        <v>-5.0000000000000044</v>
      </c>
      <c r="C7" s="2">
        <f t="shared" si="11"/>
        <v>95</v>
      </c>
      <c r="D7" s="58">
        <f t="shared" si="1"/>
        <v>24.75</v>
      </c>
      <c r="E7" s="57">
        <f t="shared" si="2"/>
        <v>0.55000000000000004</v>
      </c>
      <c r="F7" s="2">
        <f t="shared" si="3"/>
        <v>24.8</v>
      </c>
      <c r="G7" s="2">
        <f t="shared" si="4"/>
        <v>-65.3</v>
      </c>
      <c r="H7" s="3">
        <f t="shared" si="5"/>
        <v>0.7247502774694784</v>
      </c>
      <c r="I7" s="61">
        <f t="shared" si="6"/>
        <v>-728.09999999999968</v>
      </c>
      <c r="J7" s="61">
        <f t="shared" si="7"/>
        <v>35.025416677329531</v>
      </c>
      <c r="K7" s="11">
        <f t="shared" si="8"/>
        <v>10.113699999999998</v>
      </c>
      <c r="M7" t="s">
        <v>1026</v>
      </c>
      <c r="N7" s="2">
        <f>SQRT(N4*(1-N4)*N6)</f>
        <v>4.2348802257343463</v>
      </c>
      <c r="Q7">
        <f t="shared" si="12"/>
        <v>12.5</v>
      </c>
      <c r="R7" s="3">
        <f t="shared" si="9"/>
        <v>0.15386787420848203</v>
      </c>
    </row>
    <row r="8" spans="1:18" x14ac:dyDescent="0.25">
      <c r="A8" s="57">
        <f t="shared" si="10"/>
        <v>0.94</v>
      </c>
      <c r="B8" s="2">
        <f t="shared" si="0"/>
        <v>-6.0000000000000053</v>
      </c>
      <c r="C8" s="2">
        <f t="shared" si="11"/>
        <v>94</v>
      </c>
      <c r="D8" s="58">
        <f t="shared" si="1"/>
        <v>24.64</v>
      </c>
      <c r="E8" s="57">
        <f t="shared" si="2"/>
        <v>0.56000000000000005</v>
      </c>
      <c r="F8" s="2">
        <f t="shared" si="3"/>
        <v>24.6</v>
      </c>
      <c r="G8" s="2">
        <f t="shared" si="4"/>
        <v>-63.4</v>
      </c>
      <c r="H8" s="3">
        <f t="shared" si="5"/>
        <v>0.72045454545454546</v>
      </c>
      <c r="I8" s="61">
        <f t="shared" si="6"/>
        <v>-682.39999999999986</v>
      </c>
      <c r="J8" s="61">
        <f t="shared" si="7"/>
        <v>62.938919729245299</v>
      </c>
      <c r="K8" s="11">
        <f t="shared" si="8"/>
        <v>10.255999999999997</v>
      </c>
      <c r="M8" t="s">
        <v>1027</v>
      </c>
      <c r="N8" s="11">
        <f>(N5+N7*2)</f>
        <v>55.469760451468694</v>
      </c>
      <c r="Q8">
        <f t="shared" si="12"/>
        <v>12</v>
      </c>
      <c r="R8" s="3">
        <f t="shared" si="9"/>
        <v>0.16295578340693256</v>
      </c>
    </row>
    <row r="9" spans="1:18" x14ac:dyDescent="0.25">
      <c r="A9" s="57">
        <f t="shared" si="10"/>
        <v>0.92999999999999994</v>
      </c>
      <c r="B9" s="2">
        <f t="shared" si="0"/>
        <v>-7.0000000000000062</v>
      </c>
      <c r="C9" s="2">
        <f t="shared" si="11"/>
        <v>93</v>
      </c>
      <c r="D9" s="58">
        <f t="shared" si="1"/>
        <v>24.510000000000005</v>
      </c>
      <c r="E9" s="57">
        <f t="shared" si="2"/>
        <v>0.57000000000000006</v>
      </c>
      <c r="F9" s="2">
        <f t="shared" si="3"/>
        <v>24.5</v>
      </c>
      <c r="G9" s="2">
        <f t="shared" si="4"/>
        <v>-61.5</v>
      </c>
      <c r="H9" s="3">
        <f t="shared" si="5"/>
        <v>0.71511627906976749</v>
      </c>
      <c r="I9" s="61">
        <f t="shared" si="6"/>
        <v>-632</v>
      </c>
      <c r="J9" s="61">
        <f t="shared" si="7"/>
        <v>96.399398826307788</v>
      </c>
      <c r="K9" s="11">
        <f t="shared" si="8"/>
        <v>10.481999999999998</v>
      </c>
      <c r="Q9">
        <f t="shared" si="12"/>
        <v>11.5</v>
      </c>
      <c r="R9" s="3">
        <f t="shared" si="9"/>
        <v>0.17247104218345399</v>
      </c>
    </row>
    <row r="10" spans="1:18" x14ac:dyDescent="0.25">
      <c r="A10" s="57">
        <f t="shared" si="10"/>
        <v>0.91999999999999993</v>
      </c>
      <c r="B10" s="2">
        <f t="shared" si="0"/>
        <v>-8.0000000000000071</v>
      </c>
      <c r="C10" s="2">
        <f t="shared" si="11"/>
        <v>92</v>
      </c>
      <c r="D10" s="58">
        <f t="shared" si="1"/>
        <v>24.360000000000014</v>
      </c>
      <c r="E10" s="57">
        <f t="shared" si="2"/>
        <v>0.58000000000000007</v>
      </c>
      <c r="F10" s="2">
        <f t="shared" si="3"/>
        <v>24.4</v>
      </c>
      <c r="G10" s="2">
        <f t="shared" si="4"/>
        <v>-59.6</v>
      </c>
      <c r="H10" s="3">
        <f t="shared" si="5"/>
        <v>0.70952380952380956</v>
      </c>
      <c r="I10" s="61">
        <f t="shared" si="6"/>
        <v>-581.60000000000014</v>
      </c>
      <c r="J10" s="61">
        <f t="shared" si="7"/>
        <v>129.85987792337028</v>
      </c>
      <c r="K10" s="11">
        <f t="shared" si="8"/>
        <v>10.707999999999997</v>
      </c>
      <c r="M10" t="s">
        <v>1029</v>
      </c>
      <c r="N10" s="3">
        <v>0.83699999999999997</v>
      </c>
      <c r="Q10">
        <f t="shared" si="12"/>
        <v>11</v>
      </c>
      <c r="R10" s="3">
        <f t="shared" si="9"/>
        <v>0.18242082574011409</v>
      </c>
    </row>
    <row r="11" spans="1:18" x14ac:dyDescent="0.25">
      <c r="A11" s="57">
        <f t="shared" si="10"/>
        <v>0.90999999999999992</v>
      </c>
      <c r="B11" s="2">
        <f t="shared" si="0"/>
        <v>-9.0000000000000071</v>
      </c>
      <c r="C11" s="2">
        <f t="shared" si="11"/>
        <v>90.999999999999986</v>
      </c>
      <c r="D11" s="58">
        <f t="shared" si="1"/>
        <v>24.189999999999984</v>
      </c>
      <c r="E11" s="57">
        <f t="shared" si="2"/>
        <v>0.59000000000000008</v>
      </c>
      <c r="F11" s="2">
        <f t="shared" si="3"/>
        <v>24.2</v>
      </c>
      <c r="G11" s="2">
        <f t="shared" si="4"/>
        <v>-57.8</v>
      </c>
      <c r="H11" s="3">
        <f t="shared" si="5"/>
        <v>0.70487804878048776</v>
      </c>
      <c r="I11" s="61">
        <f t="shared" si="6"/>
        <v>-538.79999999999995</v>
      </c>
      <c r="J11" s="61">
        <f t="shared" si="7"/>
        <v>155.72035702043308</v>
      </c>
      <c r="K11" s="11">
        <f t="shared" si="8"/>
        <v>10.833999999999996</v>
      </c>
      <c r="Q11">
        <f t="shared" si="12"/>
        <v>10.5</v>
      </c>
      <c r="R11" s="3">
        <f t="shared" si="9"/>
        <v>0.19281086881565557</v>
      </c>
    </row>
    <row r="12" spans="1:18" x14ac:dyDescent="0.25">
      <c r="A12" s="57">
        <f t="shared" si="10"/>
        <v>0.89999999999999991</v>
      </c>
      <c r="B12" s="2">
        <f t="shared" si="0"/>
        <v>-10.000000000000009</v>
      </c>
      <c r="C12" s="2">
        <f t="shared" si="11"/>
        <v>89.999999999999986</v>
      </c>
      <c r="D12" s="58">
        <f t="shared" si="1"/>
        <v>23.999999999999986</v>
      </c>
      <c r="E12" s="57">
        <f t="shared" si="2"/>
        <v>0.60000000000000009</v>
      </c>
      <c r="F12" s="2">
        <f t="shared" si="3"/>
        <v>24</v>
      </c>
      <c r="G12" s="2">
        <f t="shared" si="4"/>
        <v>-56</v>
      </c>
      <c r="H12" s="3">
        <f t="shared" si="5"/>
        <v>0.7</v>
      </c>
      <c r="I12" s="61">
        <f t="shared" si="6"/>
        <v>-496</v>
      </c>
      <c r="J12" s="61">
        <f t="shared" si="7"/>
        <v>181.58083611749566</v>
      </c>
      <c r="K12" s="11">
        <f t="shared" si="8"/>
        <v>10.959999999999999</v>
      </c>
      <c r="M12" t="s">
        <v>1030</v>
      </c>
      <c r="N12">
        <v>-0.1363665</v>
      </c>
      <c r="Q12">
        <f t="shared" si="12"/>
        <v>10</v>
      </c>
      <c r="R12" s="3">
        <f t="shared" si="9"/>
        <v>0.20364528939244972</v>
      </c>
    </row>
    <row r="13" spans="1:18" x14ac:dyDescent="0.25">
      <c r="A13" s="57">
        <f t="shared" si="10"/>
        <v>0.8899999999999999</v>
      </c>
      <c r="B13" s="2">
        <f t="shared" si="0"/>
        <v>-11.000000000000011</v>
      </c>
      <c r="C13" s="2">
        <f t="shared" si="11"/>
        <v>88.999999999999986</v>
      </c>
      <c r="D13" s="58">
        <f t="shared" si="1"/>
        <v>23.789999999999992</v>
      </c>
      <c r="E13" s="57">
        <f t="shared" si="2"/>
        <v>0.6100000000000001</v>
      </c>
      <c r="F13" s="2">
        <f t="shared" si="3"/>
        <v>23.8</v>
      </c>
      <c r="G13" s="2">
        <f t="shared" si="4"/>
        <v>-54.2</v>
      </c>
      <c r="H13" s="3">
        <f t="shared" si="5"/>
        <v>0.69487179487179496</v>
      </c>
      <c r="I13" s="61">
        <f t="shared" si="6"/>
        <v>-453.20000000000005</v>
      </c>
      <c r="J13" s="61">
        <f t="shared" si="7"/>
        <v>207.44131521455824</v>
      </c>
      <c r="K13" s="11">
        <f t="shared" si="8"/>
        <v>11.085999999999999</v>
      </c>
      <c r="Q13">
        <f t="shared" si="12"/>
        <v>9.5</v>
      </c>
      <c r="R13" s="3">
        <f t="shared" si="9"/>
        <v>0.21492641306157428</v>
      </c>
    </row>
    <row r="14" spans="1:18" x14ac:dyDescent="0.25">
      <c r="A14" s="57">
        <f t="shared" si="10"/>
        <v>0.87999999999999989</v>
      </c>
      <c r="B14" s="2">
        <f t="shared" si="0"/>
        <v>-12.000000000000011</v>
      </c>
      <c r="C14" s="2">
        <f t="shared" si="11"/>
        <v>87.999999999999986</v>
      </c>
      <c r="D14" s="58">
        <f t="shared" si="1"/>
        <v>23.559999999999988</v>
      </c>
      <c r="E14" s="57">
        <f t="shared" si="2"/>
        <v>0.62000000000000011</v>
      </c>
      <c r="F14" s="2">
        <f t="shared" si="3"/>
        <v>23.6</v>
      </c>
      <c r="G14" s="2">
        <f t="shared" si="4"/>
        <v>-52.4</v>
      </c>
      <c r="H14" s="3">
        <f t="shared" si="5"/>
        <v>0.68947368421052635</v>
      </c>
      <c r="I14" s="61">
        <f t="shared" si="6"/>
        <v>-410.39999999999986</v>
      </c>
      <c r="J14" s="61">
        <f t="shared" si="7"/>
        <v>233.30179431162082</v>
      </c>
      <c r="K14" s="11">
        <f t="shared" si="8"/>
        <v>11.211999999999998</v>
      </c>
      <c r="Q14">
        <f t="shared" si="12"/>
        <v>9</v>
      </c>
      <c r="R14" s="3">
        <f t="shared" si="9"/>
        <v>0.22665460114422747</v>
      </c>
    </row>
    <row r="15" spans="1:18" x14ac:dyDescent="0.25">
      <c r="A15" s="57">
        <f t="shared" si="10"/>
        <v>0.86999999999999988</v>
      </c>
      <c r="B15" s="2">
        <f t="shared" si="0"/>
        <v>-13.000000000000011</v>
      </c>
      <c r="C15" s="2">
        <f t="shared" si="11"/>
        <v>86.999999999999986</v>
      </c>
      <c r="D15" s="58">
        <f t="shared" si="1"/>
        <v>23.309999999999988</v>
      </c>
      <c r="E15" s="57">
        <f t="shared" si="2"/>
        <v>0.63000000000000012</v>
      </c>
      <c r="F15" s="2">
        <f t="shared" si="3"/>
        <v>23.3</v>
      </c>
      <c r="G15" s="2">
        <f t="shared" si="4"/>
        <v>-50.7</v>
      </c>
      <c r="H15" s="3">
        <f t="shared" si="5"/>
        <v>0.68513513513513513</v>
      </c>
      <c r="I15" s="61">
        <f t="shared" si="6"/>
        <v>-375.20000000000005</v>
      </c>
      <c r="J15" s="61">
        <f t="shared" si="7"/>
        <v>251.56227340868327</v>
      </c>
      <c r="K15" s="11">
        <f t="shared" si="8"/>
        <v>11.237999999999996</v>
      </c>
      <c r="N15" s="2">
        <f>208/N6</f>
        <v>2.736842105263158</v>
      </c>
      <c r="Q15">
        <f t="shared" si="12"/>
        <v>8.5</v>
      </c>
      <c r="R15" s="3">
        <f t="shared" si="9"/>
        <v>0.23882808601248068</v>
      </c>
    </row>
    <row r="16" spans="1:18" x14ac:dyDescent="0.25">
      <c r="A16" s="57">
        <f t="shared" si="10"/>
        <v>0.85999999999999988</v>
      </c>
      <c r="B16" s="2">
        <f t="shared" si="0"/>
        <v>-14.000000000000012</v>
      </c>
      <c r="C16" s="2">
        <f t="shared" si="11"/>
        <v>85.999999999999986</v>
      </c>
      <c r="D16" s="58">
        <f t="shared" si="1"/>
        <v>23.039999999999992</v>
      </c>
      <c r="E16" s="57">
        <f t="shared" si="2"/>
        <v>0.64000000000000012</v>
      </c>
      <c r="F16" s="2">
        <f t="shared" si="3"/>
        <v>23</v>
      </c>
      <c r="G16" s="2">
        <f t="shared" si="4"/>
        <v>-49</v>
      </c>
      <c r="H16" s="3">
        <f t="shared" si="5"/>
        <v>0.68055555555555558</v>
      </c>
      <c r="I16" s="61">
        <f t="shared" si="6"/>
        <v>-340</v>
      </c>
      <c r="J16" s="61">
        <f t="shared" si="7"/>
        <v>269.82275250574594</v>
      </c>
      <c r="K16" s="11">
        <f t="shared" si="8"/>
        <v>11.263999999999996</v>
      </c>
      <c r="Q16">
        <f t="shared" si="12"/>
        <v>8</v>
      </c>
      <c r="R16" s="3">
        <f t="shared" si="9"/>
        <v>0.25144281734643759</v>
      </c>
    </row>
    <row r="17" spans="1:18" x14ac:dyDescent="0.25">
      <c r="A17" s="57">
        <f t="shared" si="10"/>
        <v>0.84999999999999987</v>
      </c>
      <c r="B17" s="2">
        <f t="shared" si="0"/>
        <v>-15.000000000000014</v>
      </c>
      <c r="C17" s="2">
        <f t="shared" si="11"/>
        <v>84.999999999999986</v>
      </c>
      <c r="D17" s="58">
        <f t="shared" si="1"/>
        <v>22.749999999999986</v>
      </c>
      <c r="E17" s="57">
        <f t="shared" si="2"/>
        <v>0.65000000000000013</v>
      </c>
      <c r="F17" s="2">
        <f t="shared" si="3"/>
        <v>22.8</v>
      </c>
      <c r="G17" s="2">
        <f t="shared" si="4"/>
        <v>-47.3</v>
      </c>
      <c r="H17" s="3">
        <f t="shared" si="5"/>
        <v>0.6747503566333809</v>
      </c>
      <c r="I17" s="61">
        <f t="shared" si="6"/>
        <v>-300.09999999999968</v>
      </c>
      <c r="J17" s="61">
        <f t="shared" si="7"/>
        <v>293.63020764795556</v>
      </c>
      <c r="K17" s="11">
        <f t="shared" si="8"/>
        <v>11.373699999999999</v>
      </c>
      <c r="Q17">
        <f t="shared" si="12"/>
        <v>7.5</v>
      </c>
      <c r="R17" s="3">
        <f t="shared" si="9"/>
        <v>0.26449232328829703</v>
      </c>
    </row>
    <row r="18" spans="1:18" x14ac:dyDescent="0.25">
      <c r="A18" s="57">
        <f t="shared" si="10"/>
        <v>0.83999999999999986</v>
      </c>
      <c r="B18" s="2">
        <f t="shared" si="0"/>
        <v>-16.000000000000014</v>
      </c>
      <c r="C18" s="2">
        <f t="shared" si="11"/>
        <v>83.999999999999986</v>
      </c>
      <c r="D18" s="58">
        <f t="shared" si="1"/>
        <v>22.439999999999998</v>
      </c>
      <c r="E18" s="57">
        <f t="shared" si="2"/>
        <v>0.66000000000000014</v>
      </c>
      <c r="F18" s="2">
        <f t="shared" si="3"/>
        <v>22.4</v>
      </c>
      <c r="G18" s="2">
        <f t="shared" si="4"/>
        <v>-45.6</v>
      </c>
      <c r="H18" s="3">
        <f t="shared" si="5"/>
        <v>0.67058823529411771</v>
      </c>
      <c r="I18" s="61">
        <f t="shared" si="6"/>
        <v>-269.60000000000014</v>
      </c>
      <c r="J18" s="61">
        <f t="shared" si="7"/>
        <v>306.34371069987117</v>
      </c>
      <c r="K18" s="11">
        <f t="shared" si="8"/>
        <v>11.315999999999997</v>
      </c>
      <c r="Q18">
        <f t="shared" si="12"/>
        <v>7</v>
      </c>
      <c r="R18" s="3">
        <f t="shared" si="9"/>
        <v>0.2779675905863464</v>
      </c>
    </row>
    <row r="19" spans="1:18" x14ac:dyDescent="0.25">
      <c r="A19" s="57">
        <f t="shared" si="10"/>
        <v>0.82999999999999985</v>
      </c>
      <c r="B19" s="2">
        <f t="shared" si="0"/>
        <v>-17.000000000000014</v>
      </c>
      <c r="C19" s="2">
        <f t="shared" si="11"/>
        <v>82.999999999999986</v>
      </c>
      <c r="D19" s="58">
        <f t="shared" si="1"/>
        <v>22.11</v>
      </c>
      <c r="E19" s="57">
        <f t="shared" si="2"/>
        <v>0.67000000000000015</v>
      </c>
      <c r="F19" s="2">
        <f t="shared" si="3"/>
        <v>22.1</v>
      </c>
      <c r="G19" s="2">
        <f t="shared" si="4"/>
        <v>-43.9</v>
      </c>
      <c r="H19" s="3">
        <f t="shared" si="5"/>
        <v>0.66515151515151516</v>
      </c>
      <c r="I19" s="61">
        <f t="shared" si="6"/>
        <v>-234.39999999999986</v>
      </c>
      <c r="J19" s="61">
        <f t="shared" si="7"/>
        <v>324.60418979693407</v>
      </c>
      <c r="K19" s="11">
        <f t="shared" si="8"/>
        <v>11.342000000000001</v>
      </c>
      <c r="Q19">
        <f t="shared" si="12"/>
        <v>6.5</v>
      </c>
      <c r="R19" s="3">
        <f t="shared" si="9"/>
        <v>0.29185696784408038</v>
      </c>
    </row>
    <row r="20" spans="1:18" x14ac:dyDescent="0.25">
      <c r="A20" s="57">
        <f t="shared" si="10"/>
        <v>0.81999999999999984</v>
      </c>
      <c r="B20" s="2">
        <f t="shared" si="0"/>
        <v>-18.000000000000014</v>
      </c>
      <c r="C20" s="2">
        <f t="shared" si="11"/>
        <v>81.999999999999986</v>
      </c>
      <c r="D20" s="58">
        <f t="shared" si="1"/>
        <v>21.759999999999991</v>
      </c>
      <c r="E20" s="57">
        <f t="shared" si="2"/>
        <v>0.68000000000000016</v>
      </c>
      <c r="F20" s="2">
        <f t="shared" si="3"/>
        <v>21.8</v>
      </c>
      <c r="G20" s="2">
        <f t="shared" si="4"/>
        <v>-42.2</v>
      </c>
      <c r="H20" s="3">
        <f t="shared" si="5"/>
        <v>0.65937500000000004</v>
      </c>
      <c r="I20" s="61">
        <f t="shared" si="6"/>
        <v>-199.20000000000005</v>
      </c>
      <c r="J20" s="61">
        <f t="shared" si="7"/>
        <v>342.86466889399651</v>
      </c>
      <c r="K20" s="11">
        <f t="shared" si="8"/>
        <v>11.367999999999999</v>
      </c>
      <c r="Q20">
        <f t="shared" si="12"/>
        <v>6</v>
      </c>
      <c r="R20" s="3">
        <f t="shared" si="9"/>
        <v>0.30614609588399211</v>
      </c>
    </row>
    <row r="21" spans="1:18" x14ac:dyDescent="0.25">
      <c r="A21" s="57">
        <f t="shared" si="10"/>
        <v>0.80999999999999983</v>
      </c>
      <c r="B21" s="2">
        <f t="shared" si="0"/>
        <v>-19.000000000000018</v>
      </c>
      <c r="C21" s="2">
        <f t="shared" si="11"/>
        <v>80.999999999999986</v>
      </c>
      <c r="D21" s="58">
        <f t="shared" si="1"/>
        <v>21.39</v>
      </c>
      <c r="E21" s="57">
        <f t="shared" si="2"/>
        <v>0.69000000000000017</v>
      </c>
      <c r="F21" s="2">
        <f t="shared" si="3"/>
        <v>21.4</v>
      </c>
      <c r="G21" s="2">
        <f t="shared" si="4"/>
        <v>-40.6</v>
      </c>
      <c r="H21" s="3">
        <f t="shared" si="5"/>
        <v>0.65483870967741942</v>
      </c>
      <c r="I21" s="61">
        <f t="shared" si="6"/>
        <v>-171.60000000000014</v>
      </c>
      <c r="J21" s="61">
        <f t="shared" si="7"/>
        <v>353.52514799105882</v>
      </c>
      <c r="K21" s="11">
        <f t="shared" si="8"/>
        <v>11.293999999999997</v>
      </c>
      <c r="Q21">
        <f t="shared" si="12"/>
        <v>5.5</v>
      </c>
      <c r="R21" s="3">
        <f t="shared" si="9"/>
        <v>0.32081786898814024</v>
      </c>
    </row>
    <row r="22" spans="1:18" x14ac:dyDescent="0.25">
      <c r="A22" s="57">
        <f t="shared" si="10"/>
        <v>0.79999999999999982</v>
      </c>
      <c r="B22" s="2">
        <f t="shared" si="0"/>
        <v>-20.000000000000018</v>
      </c>
      <c r="C22" s="2">
        <f t="shared" si="11"/>
        <v>79.999999999999986</v>
      </c>
      <c r="D22" s="58">
        <f t="shared" si="1"/>
        <v>21</v>
      </c>
      <c r="E22" s="57">
        <f t="shared" si="2"/>
        <v>0.70000000000000018</v>
      </c>
      <c r="F22" s="2">
        <f t="shared" si="3"/>
        <v>21</v>
      </c>
      <c r="G22" s="2">
        <f t="shared" si="4"/>
        <v>-39</v>
      </c>
      <c r="H22" s="3">
        <f t="shared" si="5"/>
        <v>0.65</v>
      </c>
      <c r="I22" s="61">
        <f t="shared" si="6"/>
        <v>-144</v>
      </c>
      <c r="J22" s="61">
        <f t="shared" si="7"/>
        <v>364.18562708812158</v>
      </c>
      <c r="K22" s="11">
        <f t="shared" si="8"/>
        <v>11.219999999999997</v>
      </c>
      <c r="Q22">
        <f t="shared" si="12"/>
        <v>5</v>
      </c>
      <c r="R22" s="3">
        <f t="shared" si="9"/>
        <v>0.33585243037923257</v>
      </c>
    </row>
    <row r="23" spans="1:18" x14ac:dyDescent="0.25">
      <c r="A23" s="57">
        <f t="shared" si="10"/>
        <v>0.78999999999999981</v>
      </c>
      <c r="B23" s="2">
        <f t="shared" si="0"/>
        <v>-21.000000000000018</v>
      </c>
      <c r="C23" s="2">
        <f t="shared" si="11"/>
        <v>78.999999999999986</v>
      </c>
      <c r="D23" s="58">
        <f t="shared" si="1"/>
        <v>20.590000000000003</v>
      </c>
      <c r="E23" s="57">
        <f t="shared" si="2"/>
        <v>0.71000000000000019</v>
      </c>
      <c r="F23" s="2">
        <f t="shared" si="3"/>
        <v>20.6</v>
      </c>
      <c r="G23" s="2">
        <f t="shared" si="4"/>
        <v>-37.4</v>
      </c>
      <c r="H23" s="3">
        <f t="shared" si="5"/>
        <v>0.64482758620689651</v>
      </c>
      <c r="I23" s="61">
        <f t="shared" si="6"/>
        <v>-116.39999999999986</v>
      </c>
      <c r="J23" s="61">
        <f t="shared" si="7"/>
        <v>374.84610618518445</v>
      </c>
      <c r="K23" s="11">
        <f t="shared" si="8"/>
        <v>11.145999999999999</v>
      </c>
      <c r="Q23">
        <f t="shared" si="12"/>
        <v>4.5</v>
      </c>
      <c r="R23" s="3">
        <f t="shared" si="9"/>
        <v>0.351227204753777</v>
      </c>
    </row>
    <row r="24" spans="1:18" x14ac:dyDescent="0.25">
      <c r="A24" s="57">
        <f t="shared" si="10"/>
        <v>0.7799999999999998</v>
      </c>
      <c r="B24" s="2">
        <f t="shared" si="0"/>
        <v>-22.000000000000021</v>
      </c>
      <c r="C24" s="2">
        <f t="shared" si="11"/>
        <v>77.999999999999986</v>
      </c>
      <c r="D24" s="58">
        <f t="shared" si="1"/>
        <v>20.159999999999997</v>
      </c>
      <c r="E24" s="57">
        <f t="shared" si="2"/>
        <v>0.7200000000000002</v>
      </c>
      <c r="F24" s="2">
        <f t="shared" si="3"/>
        <v>20.2</v>
      </c>
      <c r="G24" s="2">
        <f t="shared" si="4"/>
        <v>-35.799999999999997</v>
      </c>
      <c r="H24" s="3">
        <f t="shared" si="5"/>
        <v>0.63928571428571423</v>
      </c>
      <c r="I24" s="61">
        <f t="shared" si="6"/>
        <v>-88.799999999999841</v>
      </c>
      <c r="J24" s="61">
        <f t="shared" si="7"/>
        <v>385.50658528224699</v>
      </c>
      <c r="K24" s="11">
        <f t="shared" si="8"/>
        <v>11.071999999999999</v>
      </c>
      <c r="Q24">
        <f t="shared" si="12"/>
        <v>4</v>
      </c>
      <c r="R24" s="3">
        <f t="shared" si="9"/>
        <v>0.36691696997726619</v>
      </c>
    </row>
    <row r="25" spans="1:18" x14ac:dyDescent="0.25">
      <c r="A25" s="57">
        <f t="shared" si="10"/>
        <v>0.7699999999999998</v>
      </c>
      <c r="B25" s="2">
        <f t="shared" si="0"/>
        <v>-23.000000000000021</v>
      </c>
      <c r="C25" s="2">
        <f t="shared" si="11"/>
        <v>76.999999999999986</v>
      </c>
      <c r="D25" s="58">
        <f t="shared" si="1"/>
        <v>19.710000000000008</v>
      </c>
      <c r="E25" s="57">
        <f t="shared" si="2"/>
        <v>0.7300000000000002</v>
      </c>
      <c r="F25" s="2">
        <f t="shared" si="3"/>
        <v>19.7</v>
      </c>
      <c r="G25" s="2">
        <f t="shared" si="4"/>
        <v>-34.299999999999997</v>
      </c>
      <c r="H25" s="3">
        <f t="shared" si="5"/>
        <v>0.63518518518518519</v>
      </c>
      <c r="I25" s="61">
        <f t="shared" si="6"/>
        <v>-68.799999999999955</v>
      </c>
      <c r="J25" s="61">
        <f t="shared" si="7"/>
        <v>388.56706437930939</v>
      </c>
      <c r="K25" s="11">
        <f t="shared" si="8"/>
        <v>10.897999999999996</v>
      </c>
      <c r="Q25">
        <f t="shared" si="12"/>
        <v>3.5</v>
      </c>
      <c r="R25" s="3">
        <f t="shared" si="9"/>
        <v>0.38289396921295071</v>
      </c>
    </row>
    <row r="26" spans="1:18" x14ac:dyDescent="0.25">
      <c r="A26" s="57">
        <f t="shared" si="10"/>
        <v>0.75999999999999979</v>
      </c>
      <c r="B26" s="2">
        <f t="shared" si="0"/>
        <v>-24.000000000000021</v>
      </c>
      <c r="C26" s="2">
        <f t="shared" si="11"/>
        <v>75.999999999999972</v>
      </c>
      <c r="D26" s="58">
        <f t="shared" si="1"/>
        <v>19.239999999999981</v>
      </c>
      <c r="E26" s="57">
        <f t="shared" si="2"/>
        <v>0.74000000000000021</v>
      </c>
      <c r="F26" s="2">
        <f t="shared" si="3"/>
        <v>19.2</v>
      </c>
      <c r="G26" s="2">
        <f t="shared" si="4"/>
        <v>-32.799999999999997</v>
      </c>
      <c r="H26" s="3">
        <f t="shared" si="5"/>
        <v>0.63076923076923075</v>
      </c>
      <c r="I26" s="61">
        <f t="shared" si="6"/>
        <v>-48.799999999999955</v>
      </c>
      <c r="J26" s="61">
        <f t="shared" si="7"/>
        <v>391.62754347637213</v>
      </c>
      <c r="K26" s="11">
        <f t="shared" si="8"/>
        <v>10.723999999999998</v>
      </c>
      <c r="Q26">
        <f t="shared" si="12"/>
        <v>3</v>
      </c>
      <c r="R26" s="3">
        <f t="shared" si="9"/>
        <v>0.39912806380151378</v>
      </c>
    </row>
    <row r="27" spans="1:18" x14ac:dyDescent="0.25">
      <c r="A27" s="57">
        <f t="shared" si="10"/>
        <v>0.74999999999999978</v>
      </c>
      <c r="B27" s="2">
        <f t="shared" si="0"/>
        <v>-25.000000000000021</v>
      </c>
      <c r="C27" s="2">
        <f t="shared" si="11"/>
        <v>74.999999999999972</v>
      </c>
      <c r="D27" s="58">
        <f t="shared" si="1"/>
        <v>18.749999999999972</v>
      </c>
      <c r="E27" s="57">
        <f t="shared" si="2"/>
        <v>0.75000000000000022</v>
      </c>
      <c r="F27" s="2">
        <f t="shared" si="3"/>
        <v>18.8</v>
      </c>
      <c r="G27" s="2">
        <f t="shared" si="4"/>
        <v>-31.3</v>
      </c>
      <c r="H27" s="3">
        <f t="shared" si="5"/>
        <v>0.62475049900199597</v>
      </c>
      <c r="I27" s="61">
        <f t="shared" si="6"/>
        <v>-24.100000000000023</v>
      </c>
      <c r="J27" s="61">
        <f t="shared" si="7"/>
        <v>400.23499861858159</v>
      </c>
      <c r="K27" s="11">
        <f t="shared" si="8"/>
        <v>10.633699999999997</v>
      </c>
      <c r="Q27">
        <f t="shared" si="12"/>
        <v>2.5</v>
      </c>
      <c r="R27" s="3">
        <f t="shared" si="9"/>
        <v>0.41558692616809623</v>
      </c>
    </row>
    <row r="28" spans="1:18" x14ac:dyDescent="0.25">
      <c r="A28" s="57">
        <f t="shared" si="10"/>
        <v>0.73999999999999977</v>
      </c>
      <c r="B28" s="2">
        <f t="shared" si="0"/>
        <v>-26.000000000000021</v>
      </c>
      <c r="C28" s="2">
        <f t="shared" si="11"/>
        <v>73.999999999999972</v>
      </c>
      <c r="D28" s="58">
        <f t="shared" si="1"/>
        <v>18.239999999999981</v>
      </c>
      <c r="E28" s="57">
        <f t="shared" si="2"/>
        <v>0.76000000000000023</v>
      </c>
      <c r="F28" s="2">
        <f t="shared" si="3"/>
        <v>18.2</v>
      </c>
      <c r="G28" s="2">
        <f t="shared" si="4"/>
        <v>-29.8</v>
      </c>
      <c r="H28" s="3">
        <f t="shared" si="5"/>
        <v>0.62083333333333335</v>
      </c>
      <c r="I28" s="61">
        <f t="shared" si="6"/>
        <v>-8.8000000000000682</v>
      </c>
      <c r="J28" s="61">
        <f t="shared" si="7"/>
        <v>397.74850167049726</v>
      </c>
      <c r="K28" s="11">
        <f t="shared" si="8"/>
        <v>10.375999999999998</v>
      </c>
      <c r="Q28">
        <f t="shared" si="12"/>
        <v>2</v>
      </c>
      <c r="R28" s="3">
        <f t="shared" si="9"/>
        <v>0.43223627094212447</v>
      </c>
    </row>
    <row r="29" spans="1:18" x14ac:dyDescent="0.25">
      <c r="A29" s="57">
        <f t="shared" si="10"/>
        <v>0.72999999999999976</v>
      </c>
      <c r="B29" s="2">
        <f t="shared" si="0"/>
        <v>-27.000000000000025</v>
      </c>
      <c r="C29" s="2">
        <f t="shared" si="11"/>
        <v>72.999999999999972</v>
      </c>
      <c r="D29" s="58">
        <f t="shared" si="1"/>
        <v>17.70999999999998</v>
      </c>
      <c r="E29" s="57">
        <f t="shared" si="2"/>
        <v>0.77000000000000024</v>
      </c>
      <c r="F29" s="2">
        <f t="shared" si="3"/>
        <v>17.7</v>
      </c>
      <c r="G29" s="2">
        <f t="shared" si="4"/>
        <v>-28.3</v>
      </c>
      <c r="H29" s="3">
        <f t="shared" si="5"/>
        <v>0.61521739130434783</v>
      </c>
      <c r="I29" s="61">
        <f t="shared" si="6"/>
        <v>11.199999999999932</v>
      </c>
      <c r="J29" s="61">
        <f t="shared" si="7"/>
        <v>400.80898076755989</v>
      </c>
      <c r="K29" s="11">
        <f t="shared" si="8"/>
        <v>10.201999999999998</v>
      </c>
      <c r="Q29">
        <f t="shared" si="12"/>
        <v>1.5</v>
      </c>
      <c r="R29" s="3">
        <f t="shared" si="9"/>
        <v>0.44904012137657151</v>
      </c>
    </row>
    <row r="30" spans="1:18" x14ac:dyDescent="0.25">
      <c r="A30" s="57">
        <f t="shared" si="10"/>
        <v>0.71999999999999975</v>
      </c>
      <c r="B30" s="2">
        <f t="shared" si="0"/>
        <v>-28.000000000000025</v>
      </c>
      <c r="C30" s="2">
        <f t="shared" si="11"/>
        <v>71.999999999999972</v>
      </c>
      <c r="D30" s="58">
        <f t="shared" si="1"/>
        <v>17.159999999999982</v>
      </c>
      <c r="E30" s="57">
        <f t="shared" si="2"/>
        <v>0.78000000000000025</v>
      </c>
      <c r="F30" s="2">
        <f t="shared" si="3"/>
        <v>17.2</v>
      </c>
      <c r="G30" s="2">
        <f t="shared" si="4"/>
        <v>-26.8</v>
      </c>
      <c r="H30" s="3">
        <f t="shared" si="5"/>
        <v>0.60909090909090913</v>
      </c>
      <c r="I30" s="61">
        <f t="shared" si="6"/>
        <v>31.199999999999932</v>
      </c>
      <c r="J30" s="61">
        <f t="shared" si="7"/>
        <v>403.86945986462251</v>
      </c>
      <c r="K30" s="11">
        <f t="shared" si="8"/>
        <v>10.027999999999997</v>
      </c>
      <c r="Q30">
        <f t="shared" si="12"/>
        <v>1</v>
      </c>
      <c r="R30" s="3">
        <f t="shared" si="9"/>
        <v>0.46596110709260596</v>
      </c>
    </row>
    <row r="31" spans="1:18" x14ac:dyDescent="0.25">
      <c r="A31" s="57">
        <f t="shared" si="10"/>
        <v>0.70999999999999974</v>
      </c>
      <c r="B31" s="2">
        <f t="shared" si="0"/>
        <v>-29.000000000000025</v>
      </c>
      <c r="C31" s="2">
        <f t="shared" si="11"/>
        <v>70.999999999999972</v>
      </c>
      <c r="D31" s="58">
        <f t="shared" si="1"/>
        <v>16.589999999999975</v>
      </c>
      <c r="E31" s="57">
        <f t="shared" si="2"/>
        <v>0.79000000000000026</v>
      </c>
      <c r="F31" s="2">
        <f t="shared" si="3"/>
        <v>16.600000000000001</v>
      </c>
      <c r="G31" s="2">
        <f t="shared" si="4"/>
        <v>-25.4</v>
      </c>
      <c r="H31" s="3">
        <f t="shared" si="5"/>
        <v>0.60476190476190472</v>
      </c>
      <c r="I31" s="61">
        <f t="shared" si="6"/>
        <v>43.600000000000136</v>
      </c>
      <c r="J31" s="61">
        <f t="shared" si="7"/>
        <v>399.32993896168534</v>
      </c>
      <c r="K31" s="11">
        <f t="shared" si="8"/>
        <v>9.7540000000000013</v>
      </c>
      <c r="Q31">
        <f t="shared" si="12"/>
        <v>0.5</v>
      </c>
      <c r="R31" s="3">
        <f t="shared" si="9"/>
        <v>0.4829607882001431</v>
      </c>
    </row>
    <row r="32" spans="1:18" x14ac:dyDescent="0.25">
      <c r="A32" s="57">
        <f t="shared" si="10"/>
        <v>0.69999999999999973</v>
      </c>
      <c r="B32" s="2">
        <f t="shared" si="0"/>
        <v>-30.000000000000028</v>
      </c>
      <c r="C32" s="2">
        <f t="shared" si="11"/>
        <v>69.999999999999972</v>
      </c>
      <c r="D32" s="58">
        <f t="shared" si="1"/>
        <v>15.999999999999986</v>
      </c>
      <c r="E32" s="57">
        <f t="shared" si="2"/>
        <v>0.80000000000000027</v>
      </c>
      <c r="F32" s="2">
        <f t="shared" si="3"/>
        <v>16</v>
      </c>
      <c r="G32" s="2">
        <f t="shared" si="4"/>
        <v>-24</v>
      </c>
      <c r="H32" s="3">
        <f t="shared" si="5"/>
        <v>0.6</v>
      </c>
      <c r="I32" s="61">
        <f t="shared" si="6"/>
        <v>56</v>
      </c>
      <c r="J32" s="61">
        <f t="shared" si="7"/>
        <v>394.79041805874778</v>
      </c>
      <c r="K32" s="11">
        <f t="shared" si="8"/>
        <v>9.4799999999999986</v>
      </c>
      <c r="Q32">
        <f t="shared" si="12"/>
        <v>0</v>
      </c>
      <c r="R32" s="3">
        <f t="shared" si="9"/>
        <v>0.5</v>
      </c>
    </row>
    <row r="33" spans="1:18" x14ac:dyDescent="0.25">
      <c r="A33" s="57">
        <f t="shared" si="10"/>
        <v>0.68999999999999972</v>
      </c>
      <c r="B33" s="2">
        <f t="shared" si="0"/>
        <v>-31.000000000000028</v>
      </c>
      <c r="C33" s="2">
        <f t="shared" si="11"/>
        <v>68.999999999999972</v>
      </c>
      <c r="D33" s="58">
        <f t="shared" si="1"/>
        <v>15.389999999999986</v>
      </c>
      <c r="E33" s="57">
        <f t="shared" si="2"/>
        <v>0.81000000000000028</v>
      </c>
      <c r="F33" s="2">
        <f t="shared" si="3"/>
        <v>15.4</v>
      </c>
      <c r="G33" s="2">
        <f t="shared" si="4"/>
        <v>-22.6</v>
      </c>
      <c r="H33" s="3">
        <f t="shared" si="5"/>
        <v>0.59473684210526323</v>
      </c>
      <c r="I33" s="61">
        <f t="shared" si="6"/>
        <v>68.399999999999977</v>
      </c>
      <c r="J33" s="61">
        <f t="shared" si="7"/>
        <v>390.25089715581032</v>
      </c>
      <c r="K33" s="11">
        <f t="shared" si="8"/>
        <v>9.2059999999999977</v>
      </c>
      <c r="Q33">
        <f t="shared" si="12"/>
        <v>-0.5</v>
      </c>
      <c r="R33" s="3">
        <f t="shared" si="9"/>
        <v>0.5170392117998569</v>
      </c>
    </row>
    <row r="34" spans="1:18" x14ac:dyDescent="0.25">
      <c r="A34" s="57">
        <f t="shared" si="10"/>
        <v>0.67999999999999972</v>
      </c>
      <c r="B34" s="2">
        <f t="shared" si="0"/>
        <v>-32.000000000000028</v>
      </c>
      <c r="C34" s="2">
        <f t="shared" si="11"/>
        <v>67.999999999999972</v>
      </c>
      <c r="D34" s="58">
        <f t="shared" ref="D34:D52" si="13">(A34^2)*$M$2+A34*$N$2+$O$2</f>
        <v>14.759999999999991</v>
      </c>
      <c r="E34" s="57">
        <f t="shared" si="2"/>
        <v>0.82000000000000028</v>
      </c>
      <c r="F34" s="2">
        <f t="shared" si="3"/>
        <v>14.8</v>
      </c>
      <c r="G34" s="2">
        <f t="shared" si="4"/>
        <v>-21.2</v>
      </c>
      <c r="H34" s="3">
        <f t="shared" ref="H34:H65" si="14">-INDEX($F$2:$F$102,A34*100+1)/(-INDEX($F$2:$F$102,A34*100+1)+F34)</f>
        <v>0.58888888888888891</v>
      </c>
      <c r="I34" s="61">
        <f t="shared" si="6"/>
        <v>80.800000000000068</v>
      </c>
      <c r="J34" s="61">
        <f t="shared" si="7"/>
        <v>385.71137625287309</v>
      </c>
      <c r="K34" s="11">
        <f t="shared" si="8"/>
        <v>8.9320000000000004</v>
      </c>
      <c r="Q34">
        <f t="shared" si="12"/>
        <v>-1</v>
      </c>
      <c r="R34" s="3">
        <f t="shared" si="9"/>
        <v>0.53403889290739404</v>
      </c>
    </row>
    <row r="35" spans="1:18" x14ac:dyDescent="0.25">
      <c r="A35" s="57">
        <f t="shared" si="10"/>
        <v>0.66999999999999971</v>
      </c>
      <c r="B35" s="2">
        <f t="shared" si="0"/>
        <v>-33.000000000000028</v>
      </c>
      <c r="C35" s="2">
        <f t="shared" si="11"/>
        <v>66.999999999999972</v>
      </c>
      <c r="D35" s="58">
        <f t="shared" si="13"/>
        <v>14.109999999999985</v>
      </c>
      <c r="E35" s="57">
        <f t="shared" si="2"/>
        <v>0.83000000000000029</v>
      </c>
      <c r="F35" s="2">
        <f t="shared" si="3"/>
        <v>14.1</v>
      </c>
      <c r="G35" s="2">
        <f t="shared" si="4"/>
        <v>-19.899999999999999</v>
      </c>
      <c r="H35" s="3">
        <f t="shared" si="14"/>
        <v>0.58529411764705874</v>
      </c>
      <c r="I35" s="61">
        <f t="shared" si="6"/>
        <v>85.600000000000023</v>
      </c>
      <c r="J35" s="61">
        <f t="shared" si="7"/>
        <v>373.57185534993562</v>
      </c>
      <c r="K35" s="11">
        <f t="shared" si="8"/>
        <v>8.5579999999999981</v>
      </c>
      <c r="Q35">
        <f t="shared" si="12"/>
        <v>-1.5</v>
      </c>
      <c r="R35" s="3">
        <f t="shared" si="9"/>
        <v>0.55095987862342843</v>
      </c>
    </row>
    <row r="36" spans="1:18" x14ac:dyDescent="0.25">
      <c r="A36" s="57">
        <f t="shared" si="10"/>
        <v>0.6599999999999997</v>
      </c>
      <c r="B36" s="2">
        <f t="shared" si="0"/>
        <v>-34.000000000000028</v>
      </c>
      <c r="C36" s="2">
        <f t="shared" si="11"/>
        <v>65.999999999999972</v>
      </c>
      <c r="D36" s="58">
        <f t="shared" si="13"/>
        <v>13.439999999999984</v>
      </c>
      <c r="E36" s="57">
        <f t="shared" si="2"/>
        <v>0.8400000000000003</v>
      </c>
      <c r="F36" s="2">
        <f t="shared" si="3"/>
        <v>13.4</v>
      </c>
      <c r="G36" s="2">
        <f t="shared" si="4"/>
        <v>-18.600000000000001</v>
      </c>
      <c r="H36" s="3">
        <f t="shared" si="14"/>
        <v>0.58125000000000004</v>
      </c>
      <c r="I36" s="61">
        <f t="shared" si="6"/>
        <v>90.399999999999977</v>
      </c>
      <c r="J36" s="61">
        <f t="shared" si="7"/>
        <v>361.4323344469982</v>
      </c>
      <c r="K36" s="11">
        <f t="shared" si="8"/>
        <v>8.1839999999999993</v>
      </c>
      <c r="Q36">
        <f t="shared" si="12"/>
        <v>-2</v>
      </c>
      <c r="R36" s="3">
        <f t="shared" si="9"/>
        <v>0.56776372905787553</v>
      </c>
    </row>
    <row r="37" spans="1:18" x14ac:dyDescent="0.25">
      <c r="A37" s="57">
        <f t="shared" si="10"/>
        <v>0.64999999999999969</v>
      </c>
      <c r="B37" s="2">
        <f t="shared" si="0"/>
        <v>-35.000000000000028</v>
      </c>
      <c r="C37" s="2">
        <f t="shared" si="11"/>
        <v>64.999999999999972</v>
      </c>
      <c r="D37" s="58">
        <f t="shared" si="13"/>
        <v>12.749999999999986</v>
      </c>
      <c r="E37" s="57">
        <f t="shared" si="2"/>
        <v>0.85000000000000031</v>
      </c>
      <c r="F37" s="2">
        <f t="shared" si="3"/>
        <v>12.8</v>
      </c>
      <c r="G37" s="2">
        <f t="shared" si="4"/>
        <v>-17.3</v>
      </c>
      <c r="H37" s="3">
        <f t="shared" si="14"/>
        <v>0.57475083056478404</v>
      </c>
      <c r="I37" s="61">
        <f t="shared" si="6"/>
        <v>99.899999999999977</v>
      </c>
      <c r="J37" s="61">
        <f t="shared" si="7"/>
        <v>354.83978958920778</v>
      </c>
      <c r="K37" s="11">
        <f t="shared" si="8"/>
        <v>7.8936999999999991</v>
      </c>
      <c r="Q37">
        <f t="shared" si="12"/>
        <v>-2.5</v>
      </c>
      <c r="R37" s="3">
        <f t="shared" si="9"/>
        <v>0.58441307383190366</v>
      </c>
    </row>
    <row r="38" spans="1:18" x14ac:dyDescent="0.25">
      <c r="A38" s="57">
        <f t="shared" si="10"/>
        <v>0.63999999999999968</v>
      </c>
      <c r="B38" s="2">
        <f t="shared" si="0"/>
        <v>-36.000000000000028</v>
      </c>
      <c r="C38" s="2">
        <f t="shared" si="11"/>
        <v>63.999999999999972</v>
      </c>
      <c r="D38" s="58">
        <f t="shared" si="13"/>
        <v>12.039999999999992</v>
      </c>
      <c r="E38" s="57">
        <f t="shared" si="2"/>
        <v>0.86000000000000032</v>
      </c>
      <c r="F38" s="2">
        <f t="shared" si="3"/>
        <v>12</v>
      </c>
      <c r="G38" s="2">
        <f t="shared" si="4"/>
        <v>-16</v>
      </c>
      <c r="H38" s="3">
        <f t="shared" si="14"/>
        <v>0.5714285714285714</v>
      </c>
      <c r="I38" s="61">
        <f t="shared" si="6"/>
        <v>100</v>
      </c>
      <c r="J38" s="61">
        <f t="shared" si="7"/>
        <v>337.15329264112347</v>
      </c>
      <c r="K38" s="11">
        <f t="shared" si="8"/>
        <v>7.4359999999999999</v>
      </c>
      <c r="Q38">
        <f t="shared" si="12"/>
        <v>-3</v>
      </c>
      <c r="R38" s="3">
        <f t="shared" si="9"/>
        <v>0.60087193619848622</v>
      </c>
    </row>
    <row r="39" spans="1:18" x14ac:dyDescent="0.25">
      <c r="A39" s="57">
        <f t="shared" si="10"/>
        <v>0.62999999999999967</v>
      </c>
      <c r="B39" s="2">
        <f t="shared" si="0"/>
        <v>-37.000000000000036</v>
      </c>
      <c r="C39" s="2">
        <f t="shared" si="11"/>
        <v>62.999999999999964</v>
      </c>
      <c r="D39" s="58">
        <f t="shared" si="13"/>
        <v>11.309999999999974</v>
      </c>
      <c r="E39" s="57">
        <f t="shared" si="2"/>
        <v>0.87000000000000033</v>
      </c>
      <c r="F39" s="2">
        <f t="shared" si="3"/>
        <v>11.3</v>
      </c>
      <c r="G39" s="2">
        <f t="shared" si="4"/>
        <v>-14.7</v>
      </c>
      <c r="H39" s="3">
        <f t="shared" si="14"/>
        <v>0.56538461538461537</v>
      </c>
      <c r="I39" s="61">
        <f t="shared" si="6"/>
        <v>104.80000000000007</v>
      </c>
      <c r="J39" s="61">
        <f t="shared" si="7"/>
        <v>325.01377173818611</v>
      </c>
      <c r="K39" s="11">
        <f t="shared" si="8"/>
        <v>7.0619999999999994</v>
      </c>
      <c r="Q39">
        <f t="shared" si="12"/>
        <v>-3.5</v>
      </c>
      <c r="R39" s="3">
        <f t="shared" si="9"/>
        <v>0.61710603078704929</v>
      </c>
    </row>
    <row r="40" spans="1:18" x14ac:dyDescent="0.25">
      <c r="A40" s="57">
        <f t="shared" si="10"/>
        <v>0.61999999999999966</v>
      </c>
      <c r="B40" s="2">
        <f t="shared" si="0"/>
        <v>-38.000000000000036</v>
      </c>
      <c r="C40" s="2">
        <f t="shared" si="11"/>
        <v>61.999999999999964</v>
      </c>
      <c r="D40" s="58">
        <f t="shared" si="13"/>
        <v>10.559999999999974</v>
      </c>
      <c r="E40" s="57">
        <f t="shared" si="2"/>
        <v>0.88000000000000034</v>
      </c>
      <c r="F40" s="2">
        <f t="shared" si="3"/>
        <v>10.6</v>
      </c>
      <c r="G40" s="2">
        <f t="shared" si="4"/>
        <v>-13.4</v>
      </c>
      <c r="H40" s="3">
        <f t="shared" si="14"/>
        <v>0.55833333333333335</v>
      </c>
      <c r="I40" s="61">
        <f t="shared" si="6"/>
        <v>109.59999999999997</v>
      </c>
      <c r="J40" s="61">
        <f t="shared" si="7"/>
        <v>312.87425083524863</v>
      </c>
      <c r="K40" s="11">
        <f t="shared" si="8"/>
        <v>6.6879999999999988</v>
      </c>
      <c r="Q40">
        <f t="shared" si="12"/>
        <v>-4</v>
      </c>
      <c r="R40" s="3">
        <f t="shared" si="9"/>
        <v>0.63308303002273381</v>
      </c>
    </row>
    <row r="41" spans="1:18" x14ac:dyDescent="0.25">
      <c r="A41" s="57">
        <f t="shared" si="10"/>
        <v>0.60999999999999965</v>
      </c>
      <c r="B41" s="2">
        <f t="shared" si="0"/>
        <v>-39.000000000000036</v>
      </c>
      <c r="C41" s="2">
        <f t="shared" si="11"/>
        <v>60.999999999999964</v>
      </c>
      <c r="D41" s="58">
        <f t="shared" si="13"/>
        <v>9.7899999999999636</v>
      </c>
      <c r="E41" s="57">
        <f t="shared" si="2"/>
        <v>0.89000000000000035</v>
      </c>
      <c r="F41" s="2">
        <f t="shared" si="3"/>
        <v>9.8000000000000007</v>
      </c>
      <c r="G41" s="2">
        <f t="shared" si="4"/>
        <v>-12.2</v>
      </c>
      <c r="H41" s="3">
        <f t="shared" si="14"/>
        <v>0.55454545454545456</v>
      </c>
      <c r="I41" s="61">
        <f t="shared" si="6"/>
        <v>106.80000000000007</v>
      </c>
      <c r="J41" s="61">
        <f t="shared" si="7"/>
        <v>293.1347299323113</v>
      </c>
      <c r="K41" s="11">
        <f t="shared" si="8"/>
        <v>6.2140000000000004</v>
      </c>
      <c r="Q41">
        <f t="shared" si="12"/>
        <v>-4.5</v>
      </c>
      <c r="R41" s="3">
        <f t="shared" si="9"/>
        <v>0.648772795246223</v>
      </c>
    </row>
    <row r="42" spans="1:18" x14ac:dyDescent="0.25">
      <c r="A42" s="57">
        <f t="shared" si="10"/>
        <v>0.59999999999999964</v>
      </c>
      <c r="B42" s="2">
        <f t="shared" si="0"/>
        <v>-40.000000000000036</v>
      </c>
      <c r="C42" s="2">
        <f t="shared" si="11"/>
        <v>59.999999999999964</v>
      </c>
      <c r="D42" s="58">
        <f t="shared" si="13"/>
        <v>8.9999999999999716</v>
      </c>
      <c r="E42" s="57">
        <f t="shared" si="2"/>
        <v>0.90000000000000036</v>
      </c>
      <c r="F42" s="2">
        <f t="shared" si="3"/>
        <v>9</v>
      </c>
      <c r="G42" s="2">
        <f t="shared" si="4"/>
        <v>-11</v>
      </c>
      <c r="H42" s="3">
        <f t="shared" si="14"/>
        <v>0.55000000000000004</v>
      </c>
      <c r="I42" s="61">
        <f t="shared" si="6"/>
        <v>104</v>
      </c>
      <c r="J42" s="61">
        <f t="shared" si="7"/>
        <v>273.39520902937386</v>
      </c>
      <c r="K42" s="11">
        <f t="shared" si="8"/>
        <v>5.7399999999999993</v>
      </c>
      <c r="Q42">
        <f t="shared" si="12"/>
        <v>-5</v>
      </c>
      <c r="R42" s="3">
        <f t="shared" si="9"/>
        <v>0.66414756962076749</v>
      </c>
    </row>
    <row r="43" spans="1:18" x14ac:dyDescent="0.25">
      <c r="A43" s="57">
        <f t="shared" si="10"/>
        <v>0.58999999999999964</v>
      </c>
      <c r="B43" s="2">
        <f t="shared" si="0"/>
        <v>-41.000000000000036</v>
      </c>
      <c r="C43" s="2">
        <f t="shared" si="11"/>
        <v>58.999999999999964</v>
      </c>
      <c r="D43" s="58">
        <f t="shared" si="13"/>
        <v>8.1899999999999693</v>
      </c>
      <c r="E43" s="57">
        <f t="shared" si="2"/>
        <v>0.91000000000000036</v>
      </c>
      <c r="F43" s="2">
        <f t="shared" si="3"/>
        <v>8.1999999999999993</v>
      </c>
      <c r="G43" s="2">
        <f t="shared" si="4"/>
        <v>-9.8000000000000007</v>
      </c>
      <c r="H43" s="3">
        <f t="shared" si="14"/>
        <v>0.54444444444444451</v>
      </c>
      <c r="I43" s="61">
        <f t="shared" si="6"/>
        <v>101.19999999999993</v>
      </c>
      <c r="J43" s="61">
        <f t="shared" si="7"/>
        <v>253.65568812643647</v>
      </c>
      <c r="K43" s="11">
        <f t="shared" si="8"/>
        <v>5.2659999999999991</v>
      </c>
      <c r="Q43">
        <f t="shared" si="12"/>
        <v>-5.5</v>
      </c>
      <c r="R43" s="3">
        <f t="shared" si="9"/>
        <v>0.67918213101185987</v>
      </c>
    </row>
    <row r="44" spans="1:18" x14ac:dyDescent="0.25">
      <c r="A44" s="57">
        <f t="shared" si="10"/>
        <v>0.57999999999999963</v>
      </c>
      <c r="B44" s="2">
        <f t="shared" si="0"/>
        <v>-42.000000000000036</v>
      </c>
      <c r="C44" s="2">
        <f t="shared" si="11"/>
        <v>57.999999999999964</v>
      </c>
      <c r="D44" s="58">
        <f t="shared" si="13"/>
        <v>7.359999999999971</v>
      </c>
      <c r="E44" s="57">
        <f t="shared" si="2"/>
        <v>0.92000000000000037</v>
      </c>
      <c r="F44" s="2">
        <f t="shared" si="3"/>
        <v>7.4</v>
      </c>
      <c r="G44" s="2">
        <f t="shared" si="4"/>
        <v>-8.6</v>
      </c>
      <c r="H44" s="3">
        <f t="shared" si="14"/>
        <v>0.53749999999999998</v>
      </c>
      <c r="I44" s="61">
        <f t="shared" si="6"/>
        <v>98.400000000000034</v>
      </c>
      <c r="J44" s="61">
        <f t="shared" si="7"/>
        <v>233.91616722349914</v>
      </c>
      <c r="K44" s="11">
        <f t="shared" si="8"/>
        <v>4.7919999999999998</v>
      </c>
      <c r="Q44">
        <f t="shared" si="12"/>
        <v>-6</v>
      </c>
      <c r="R44" s="3">
        <f t="shared" si="9"/>
        <v>0.69385390411600789</v>
      </c>
    </row>
    <row r="45" spans="1:18" x14ac:dyDescent="0.25">
      <c r="A45" s="57">
        <f t="shared" si="10"/>
        <v>0.56999999999999962</v>
      </c>
      <c r="B45" s="2">
        <f t="shared" si="0"/>
        <v>-43.000000000000036</v>
      </c>
      <c r="C45" s="2">
        <f t="shared" si="11"/>
        <v>56.999999999999964</v>
      </c>
      <c r="D45" s="58">
        <f t="shared" si="13"/>
        <v>6.5099999999999625</v>
      </c>
      <c r="E45" s="57">
        <f t="shared" si="2"/>
        <v>0.93000000000000038</v>
      </c>
      <c r="F45" s="2">
        <f t="shared" si="3"/>
        <v>6.5</v>
      </c>
      <c r="G45" s="2">
        <f t="shared" si="4"/>
        <v>-7.5</v>
      </c>
      <c r="H45" s="3">
        <f t="shared" si="14"/>
        <v>0.5357142857142857</v>
      </c>
      <c r="I45" s="61">
        <f t="shared" si="6"/>
        <v>88</v>
      </c>
      <c r="J45" s="61">
        <f t="shared" si="7"/>
        <v>206.57664632056174</v>
      </c>
      <c r="K45" s="11">
        <f t="shared" si="8"/>
        <v>4.218</v>
      </c>
      <c r="Q45">
        <f t="shared" si="12"/>
        <v>-6.5</v>
      </c>
      <c r="R45" s="3">
        <f t="shared" si="9"/>
        <v>0.70814303215591967</v>
      </c>
    </row>
    <row r="46" spans="1:18" x14ac:dyDescent="0.25">
      <c r="A46" s="57">
        <f t="shared" si="10"/>
        <v>0.55999999999999961</v>
      </c>
      <c r="B46" s="2">
        <f t="shared" si="0"/>
        <v>-44.000000000000043</v>
      </c>
      <c r="C46" s="2">
        <f t="shared" si="11"/>
        <v>55.999999999999957</v>
      </c>
      <c r="D46" s="58">
        <f t="shared" si="13"/>
        <v>5.6399999999999579</v>
      </c>
      <c r="E46" s="57">
        <f t="shared" si="2"/>
        <v>0.94000000000000039</v>
      </c>
      <c r="F46" s="2">
        <f t="shared" si="3"/>
        <v>5.6</v>
      </c>
      <c r="G46" s="2">
        <f t="shared" si="4"/>
        <v>-6.4</v>
      </c>
      <c r="H46" s="3">
        <f t="shared" si="14"/>
        <v>0.53333333333333333</v>
      </c>
      <c r="I46" s="61">
        <f t="shared" si="6"/>
        <v>77.599999999999966</v>
      </c>
      <c r="J46" s="61">
        <f t="shared" si="7"/>
        <v>179.2371254176243</v>
      </c>
      <c r="K46" s="11">
        <f t="shared" si="8"/>
        <v>3.6439999999999992</v>
      </c>
      <c r="Q46">
        <f t="shared" si="12"/>
        <v>-7</v>
      </c>
      <c r="R46" s="3">
        <f t="shared" si="9"/>
        <v>0.72203240941365354</v>
      </c>
    </row>
    <row r="47" spans="1:18" x14ac:dyDescent="0.25">
      <c r="A47" s="57">
        <f t="shared" si="10"/>
        <v>0.5499999999999996</v>
      </c>
      <c r="B47" s="2">
        <f t="shared" si="0"/>
        <v>-45.000000000000043</v>
      </c>
      <c r="C47" s="2">
        <f t="shared" si="11"/>
        <v>54.999999999999957</v>
      </c>
      <c r="D47" s="58">
        <f t="shared" si="13"/>
        <v>4.7499999999999574</v>
      </c>
      <c r="E47" s="57">
        <f t="shared" si="2"/>
        <v>0.9500000000000004</v>
      </c>
      <c r="F47" s="2">
        <f t="shared" si="3"/>
        <v>4.7</v>
      </c>
      <c r="G47" s="2">
        <f t="shared" si="4"/>
        <v>-5.3</v>
      </c>
      <c r="H47" s="3">
        <f t="shared" si="14"/>
        <v>0.53</v>
      </c>
      <c r="I47" s="61">
        <f t="shared" si="6"/>
        <v>67.200000000000017</v>
      </c>
      <c r="J47" s="61">
        <f t="shared" si="7"/>
        <v>151.89760451468698</v>
      </c>
      <c r="K47" s="11">
        <f t="shared" si="8"/>
        <v>3.07</v>
      </c>
      <c r="Q47">
        <f t="shared" si="12"/>
        <v>-7.5</v>
      </c>
      <c r="R47" s="3">
        <f t="shared" si="9"/>
        <v>0.73550767671170292</v>
      </c>
    </row>
    <row r="48" spans="1:18" x14ac:dyDescent="0.25">
      <c r="A48" s="57">
        <f t="shared" si="10"/>
        <v>0.53999999999999959</v>
      </c>
      <c r="B48" s="2">
        <f t="shared" si="0"/>
        <v>-46.000000000000043</v>
      </c>
      <c r="C48" s="2">
        <f t="shared" si="11"/>
        <v>53.999999999999957</v>
      </c>
      <c r="D48" s="58">
        <f t="shared" si="13"/>
        <v>3.8399999999999608</v>
      </c>
      <c r="E48" s="57">
        <f t="shared" si="2"/>
        <v>0.96000000000000041</v>
      </c>
      <c r="F48" s="2">
        <f t="shared" si="3"/>
        <v>3.8</v>
      </c>
      <c r="G48" s="2">
        <f t="shared" si="4"/>
        <v>-4.2</v>
      </c>
      <c r="H48" s="3">
        <f t="shared" si="14"/>
        <v>0.52500000000000002</v>
      </c>
      <c r="I48" s="61">
        <f t="shared" si="6"/>
        <v>56.799999999999983</v>
      </c>
      <c r="J48" s="61">
        <f t="shared" si="7"/>
        <v>124.55808361174954</v>
      </c>
      <c r="K48" s="11">
        <f t="shared" si="8"/>
        <v>2.4959999999999996</v>
      </c>
      <c r="Q48">
        <f t="shared" si="12"/>
        <v>-8</v>
      </c>
      <c r="R48" s="3">
        <f t="shared" si="9"/>
        <v>0.74855718265356253</v>
      </c>
    </row>
    <row r="49" spans="1:18" x14ac:dyDescent="0.25">
      <c r="A49" s="57">
        <f t="shared" si="10"/>
        <v>0.52999999999999958</v>
      </c>
      <c r="B49" s="2">
        <f t="shared" si="0"/>
        <v>-47.000000000000043</v>
      </c>
      <c r="C49" s="2">
        <f t="shared" si="11"/>
        <v>52.999999999999957</v>
      </c>
      <c r="D49" s="58">
        <f t="shared" si="13"/>
        <v>2.9099999999999682</v>
      </c>
      <c r="E49" s="57">
        <f t="shared" si="2"/>
        <v>0.97000000000000042</v>
      </c>
      <c r="F49" s="2">
        <f t="shared" si="3"/>
        <v>2.9</v>
      </c>
      <c r="G49" s="2">
        <f t="shared" si="4"/>
        <v>-3.1</v>
      </c>
      <c r="H49" s="3">
        <f t="shared" si="14"/>
        <v>0.51666666666666672</v>
      </c>
      <c r="I49" s="61">
        <f t="shared" si="6"/>
        <v>46.399999999999977</v>
      </c>
      <c r="J49" s="61">
        <f t="shared" si="7"/>
        <v>97.218562708812158</v>
      </c>
      <c r="K49" s="11">
        <f t="shared" si="8"/>
        <v>1.9219999999999997</v>
      </c>
      <c r="Q49">
        <f t="shared" si="12"/>
        <v>-8.5</v>
      </c>
      <c r="R49" s="3">
        <f t="shared" si="9"/>
        <v>0.76117191398751938</v>
      </c>
    </row>
    <row r="50" spans="1:18" x14ac:dyDescent="0.25">
      <c r="A50" s="57">
        <f t="shared" si="10"/>
        <v>0.51999999999999957</v>
      </c>
      <c r="B50" s="2">
        <f t="shared" si="0"/>
        <v>-48.000000000000043</v>
      </c>
      <c r="C50" s="2">
        <f t="shared" si="11"/>
        <v>51.999999999999957</v>
      </c>
      <c r="D50" s="58">
        <f t="shared" si="13"/>
        <v>1.9599999999999653</v>
      </c>
      <c r="E50" s="57">
        <f t="shared" si="2"/>
        <v>0.98000000000000043</v>
      </c>
      <c r="F50" s="2">
        <f t="shared" si="3"/>
        <v>2</v>
      </c>
      <c r="G50" s="2">
        <f t="shared" si="4"/>
        <v>-2</v>
      </c>
      <c r="H50" s="3">
        <f t="shared" si="14"/>
        <v>0.5</v>
      </c>
      <c r="I50" s="61">
        <f t="shared" si="6"/>
        <v>36</v>
      </c>
      <c r="J50" s="61">
        <f t="shared" si="7"/>
        <v>69.879041805874778</v>
      </c>
      <c r="K50" s="11">
        <f t="shared" si="8"/>
        <v>1.3479999999999999</v>
      </c>
      <c r="Q50">
        <f t="shared" si="12"/>
        <v>-9</v>
      </c>
      <c r="R50" s="3">
        <f t="shared" si="9"/>
        <v>0.77334539885577247</v>
      </c>
    </row>
    <row r="51" spans="1:18" x14ac:dyDescent="0.25">
      <c r="A51" s="57">
        <f t="shared" si="10"/>
        <v>0.50999999999999956</v>
      </c>
      <c r="B51" s="2">
        <f t="shared" si="0"/>
        <v>-49.000000000000043</v>
      </c>
      <c r="C51" s="2">
        <f t="shared" si="11"/>
        <v>50.999999999999957</v>
      </c>
      <c r="D51" s="58">
        <f t="shared" si="13"/>
        <v>0.98999999999995225</v>
      </c>
      <c r="E51" s="57">
        <f t="shared" si="2"/>
        <v>0.99000000000000044</v>
      </c>
      <c r="F51" s="2">
        <f t="shared" si="3"/>
        <v>1</v>
      </c>
      <c r="G51" s="2">
        <f t="shared" si="4"/>
        <v>-1</v>
      </c>
      <c r="H51" s="3">
        <f t="shared" si="14"/>
        <v>0.5</v>
      </c>
      <c r="I51" s="61">
        <f t="shared" si="6"/>
        <v>18</v>
      </c>
      <c r="J51" s="61">
        <f t="shared" si="7"/>
        <v>34.939520902937389</v>
      </c>
      <c r="K51" s="11">
        <f t="shared" si="8"/>
        <v>0.67399999999999993</v>
      </c>
      <c r="Q51">
        <f t="shared" si="12"/>
        <v>-9.5</v>
      </c>
      <c r="R51" s="3">
        <f t="shared" si="9"/>
        <v>0.78507358693842566</v>
      </c>
    </row>
    <row r="52" spans="1:18" x14ac:dyDescent="0.25">
      <c r="A52" s="57">
        <f t="shared" si="10"/>
        <v>0.49999999999999956</v>
      </c>
      <c r="B52" s="2">
        <f t="shared" si="0"/>
        <v>-50.000000000000043</v>
      </c>
      <c r="C52" s="2">
        <f t="shared" si="11"/>
        <v>49.999999999999957</v>
      </c>
      <c r="D52" s="58">
        <f t="shared" si="13"/>
        <v>0</v>
      </c>
      <c r="E52" s="57">
        <f t="shared" si="2"/>
        <v>1.0000000000000004</v>
      </c>
      <c r="F52" s="2">
        <f t="shared" si="3"/>
        <v>0</v>
      </c>
      <c r="G52" s="2">
        <f t="shared" si="4"/>
        <v>0</v>
      </c>
      <c r="H52" s="3" t="e">
        <f t="shared" si="14"/>
        <v>#DIV/0!</v>
      </c>
      <c r="I52" s="61">
        <f t="shared" si="6"/>
        <v>0</v>
      </c>
      <c r="J52" s="61">
        <f t="shared" si="7"/>
        <v>0</v>
      </c>
      <c r="K52" s="11">
        <f t="shared" si="8"/>
        <v>0</v>
      </c>
      <c r="Q52">
        <f t="shared" si="12"/>
        <v>-10</v>
      </c>
      <c r="R52" s="3">
        <f t="shared" si="9"/>
        <v>0.79635471060755025</v>
      </c>
    </row>
    <row r="53" spans="1:18" x14ac:dyDescent="0.25">
      <c r="A53" s="57">
        <f t="shared" ref="A53:A71" si="15">A52-0.01</f>
        <v>0.48999999999999955</v>
      </c>
      <c r="B53" s="2">
        <f t="shared" si="0"/>
        <v>-51.000000000000043</v>
      </c>
      <c r="C53" s="2">
        <f t="shared" ref="C53:C71" si="16">(A53)*100</f>
        <v>48.999999999999957</v>
      </c>
      <c r="D53" s="58">
        <f t="shared" ref="D53:D70" si="17">(A53^2)*$M$2+A53*$N$2+$O$2</f>
        <v>-1.0100000000000477</v>
      </c>
      <c r="E53" s="57">
        <f t="shared" ref="E53:E71" si="18">1.5-A53</f>
        <v>1.0100000000000005</v>
      </c>
      <c r="F53" s="2">
        <f t="shared" si="3"/>
        <v>-1</v>
      </c>
      <c r="G53" s="2">
        <f t="shared" si="4"/>
        <v>1</v>
      </c>
      <c r="H53" s="3">
        <f t="shared" si="14"/>
        <v>0.5</v>
      </c>
      <c r="I53" s="61">
        <f t="shared" si="6"/>
        <v>-18</v>
      </c>
      <c r="J53" s="61">
        <f t="shared" si="7"/>
        <v>-34.939520902937389</v>
      </c>
      <c r="K53" s="11">
        <f t="shared" si="8"/>
        <v>-0.67399999999999993</v>
      </c>
      <c r="Q53">
        <f t="shared" si="12"/>
        <v>-10.5</v>
      </c>
      <c r="R53" s="3">
        <f t="shared" si="9"/>
        <v>0.80718913118434443</v>
      </c>
    </row>
    <row r="54" spans="1:18" x14ac:dyDescent="0.25">
      <c r="A54" s="57">
        <f t="shared" si="15"/>
        <v>0.47999999999999954</v>
      </c>
      <c r="B54" s="2">
        <f t="shared" si="0"/>
        <v>-52.000000000000043</v>
      </c>
      <c r="C54" s="2">
        <f t="shared" si="16"/>
        <v>47.999999999999957</v>
      </c>
      <c r="D54" s="58">
        <f t="shared" si="17"/>
        <v>-2.0400000000000489</v>
      </c>
      <c r="E54" s="57">
        <f t="shared" si="18"/>
        <v>1.0200000000000005</v>
      </c>
      <c r="F54" s="2">
        <f t="shared" si="3"/>
        <v>-2</v>
      </c>
      <c r="G54" s="2">
        <f t="shared" si="4"/>
        <v>2</v>
      </c>
      <c r="H54" s="3">
        <f t="shared" si="14"/>
        <v>0.5</v>
      </c>
      <c r="I54" s="61">
        <f t="shared" si="6"/>
        <v>-36</v>
      </c>
      <c r="J54" s="61">
        <f t="shared" si="7"/>
        <v>-69.879041805874778</v>
      </c>
      <c r="K54" s="11">
        <f t="shared" si="8"/>
        <v>-1.3479999999999999</v>
      </c>
      <c r="Q54">
        <f t="shared" si="12"/>
        <v>-11</v>
      </c>
      <c r="R54" s="3">
        <f t="shared" si="9"/>
        <v>0.81757917425988591</v>
      </c>
    </row>
    <row r="55" spans="1:18" x14ac:dyDescent="0.25">
      <c r="A55" s="57">
        <f t="shared" si="15"/>
        <v>0.46999999999999953</v>
      </c>
      <c r="B55" s="2">
        <f t="shared" si="0"/>
        <v>-53.00000000000005</v>
      </c>
      <c r="C55" s="2">
        <f t="shared" si="16"/>
        <v>46.99999999999995</v>
      </c>
      <c r="D55" s="58">
        <f t="shared" si="17"/>
        <v>-3.0900000000000603</v>
      </c>
      <c r="E55" s="57">
        <f t="shared" si="18"/>
        <v>1.0300000000000005</v>
      </c>
      <c r="F55" s="2">
        <f t="shared" si="3"/>
        <v>-3.1</v>
      </c>
      <c r="G55" s="2">
        <f t="shared" si="4"/>
        <v>2.9</v>
      </c>
      <c r="H55" s="3">
        <f t="shared" si="14"/>
        <v>0.48333333333333334</v>
      </c>
      <c r="I55" s="61">
        <f t="shared" si="6"/>
        <v>-61.600000000000023</v>
      </c>
      <c r="J55" s="61">
        <f t="shared" si="7"/>
        <v>-112.41856270881217</v>
      </c>
      <c r="K55" s="11">
        <f t="shared" si="8"/>
        <v>-2.1219999999999999</v>
      </c>
      <c r="Q55">
        <f t="shared" si="12"/>
        <v>-11.5</v>
      </c>
      <c r="R55" s="3">
        <f t="shared" si="9"/>
        <v>0.82752895781654601</v>
      </c>
    </row>
    <row r="56" spans="1:18" x14ac:dyDescent="0.25">
      <c r="A56" s="57">
        <f t="shared" si="15"/>
        <v>0.45999999999999952</v>
      </c>
      <c r="B56" s="2">
        <f t="shared" si="0"/>
        <v>-54.00000000000005</v>
      </c>
      <c r="C56" s="2">
        <f t="shared" si="16"/>
        <v>45.99999999999995</v>
      </c>
      <c r="D56" s="58">
        <f t="shared" si="17"/>
        <v>-4.1600000000000534</v>
      </c>
      <c r="E56" s="57">
        <f t="shared" si="18"/>
        <v>1.0400000000000005</v>
      </c>
      <c r="F56" s="2">
        <f t="shared" si="3"/>
        <v>-4.2</v>
      </c>
      <c r="G56" s="2">
        <f t="shared" si="4"/>
        <v>3.8</v>
      </c>
      <c r="H56" s="3">
        <f t="shared" si="14"/>
        <v>0.47499999999999998</v>
      </c>
      <c r="I56" s="61">
        <f t="shared" si="6"/>
        <v>-87.200000000000017</v>
      </c>
      <c r="J56" s="61">
        <f t="shared" si="7"/>
        <v>-154.95808361174957</v>
      </c>
      <c r="K56" s="11">
        <f t="shared" si="8"/>
        <v>-2.8959999999999999</v>
      </c>
      <c r="Q56">
        <f t="shared" si="12"/>
        <v>-12</v>
      </c>
      <c r="R56" s="3">
        <f t="shared" si="9"/>
        <v>0.83704421659306738</v>
      </c>
    </row>
    <row r="57" spans="1:18" x14ac:dyDescent="0.25">
      <c r="A57" s="57">
        <f t="shared" si="15"/>
        <v>0.44999999999999951</v>
      </c>
      <c r="B57" s="2">
        <f t="shared" si="0"/>
        <v>-55.00000000000005</v>
      </c>
      <c r="C57" s="2">
        <f t="shared" si="16"/>
        <v>44.99999999999995</v>
      </c>
      <c r="D57" s="58">
        <f t="shared" si="17"/>
        <v>-5.2500000000000568</v>
      </c>
      <c r="E57" s="57">
        <f t="shared" si="18"/>
        <v>1.0500000000000005</v>
      </c>
      <c r="F57" s="2">
        <f t="shared" si="3"/>
        <v>-5.3</v>
      </c>
      <c r="G57" s="2">
        <f t="shared" si="4"/>
        <v>4.7</v>
      </c>
      <c r="H57" s="3">
        <f t="shared" si="14"/>
        <v>0.47000000000000003</v>
      </c>
      <c r="I57" s="61">
        <f t="shared" si="6"/>
        <v>-112.79999999999998</v>
      </c>
      <c r="J57" s="61">
        <f t="shared" si="7"/>
        <v>-197.49760451468691</v>
      </c>
      <c r="K57" s="11">
        <f t="shared" si="8"/>
        <v>-3.6699999999999995</v>
      </c>
      <c r="Q57">
        <f t="shared" si="12"/>
        <v>-12.5</v>
      </c>
      <c r="R57" s="3">
        <f t="shared" si="9"/>
        <v>0.84613212579151797</v>
      </c>
    </row>
    <row r="58" spans="1:18" x14ac:dyDescent="0.25">
      <c r="A58" s="57">
        <f t="shared" si="15"/>
        <v>0.4399999999999995</v>
      </c>
      <c r="B58" s="2">
        <f t="shared" si="0"/>
        <v>-56.00000000000005</v>
      </c>
      <c r="C58" s="2">
        <f t="shared" si="16"/>
        <v>43.99999999999995</v>
      </c>
      <c r="D58" s="58">
        <f t="shared" si="17"/>
        <v>-6.3600000000000563</v>
      </c>
      <c r="E58" s="57">
        <f t="shared" si="18"/>
        <v>1.0600000000000005</v>
      </c>
      <c r="F58" s="2">
        <f t="shared" si="3"/>
        <v>-6.4</v>
      </c>
      <c r="G58" s="2">
        <f t="shared" si="4"/>
        <v>5.6</v>
      </c>
      <c r="H58" s="3">
        <f t="shared" si="14"/>
        <v>0.46666666666666662</v>
      </c>
      <c r="I58" s="61">
        <f t="shared" si="6"/>
        <v>-138.40000000000003</v>
      </c>
      <c r="J58" s="61">
        <f t="shared" si="7"/>
        <v>-240.0371254176244</v>
      </c>
      <c r="K58" s="11">
        <f t="shared" si="8"/>
        <v>-4.444</v>
      </c>
      <c r="Q58">
        <f t="shared" si="12"/>
        <v>-13</v>
      </c>
      <c r="R58" s="3">
        <f t="shared" si="9"/>
        <v>0.85480112684751075</v>
      </c>
    </row>
    <row r="59" spans="1:18" x14ac:dyDescent="0.25">
      <c r="A59" s="57">
        <f t="shared" si="15"/>
        <v>0.42999999999999949</v>
      </c>
      <c r="B59" s="2">
        <f t="shared" si="0"/>
        <v>-57.00000000000005</v>
      </c>
      <c r="C59" s="2">
        <f t="shared" si="16"/>
        <v>42.99999999999995</v>
      </c>
      <c r="D59" s="58">
        <f t="shared" si="17"/>
        <v>-7.4900000000000517</v>
      </c>
      <c r="E59" s="57">
        <f t="shared" si="18"/>
        <v>1.0700000000000005</v>
      </c>
      <c r="F59" s="2">
        <f t="shared" si="3"/>
        <v>-7.5</v>
      </c>
      <c r="G59" s="2">
        <f t="shared" si="4"/>
        <v>6.5</v>
      </c>
      <c r="H59" s="3">
        <f t="shared" si="14"/>
        <v>0.4642857142857143</v>
      </c>
      <c r="I59" s="61">
        <f t="shared" si="6"/>
        <v>-164</v>
      </c>
      <c r="J59" s="61">
        <f t="shared" si="7"/>
        <v>-282.57664632056174</v>
      </c>
      <c r="K59" s="11">
        <f t="shared" si="8"/>
        <v>-5.218</v>
      </c>
      <c r="Q59">
        <f t="shared" si="12"/>
        <v>-13.5</v>
      </c>
      <c r="R59" s="3">
        <f t="shared" si="9"/>
        <v>0.86306075759307588</v>
      </c>
    </row>
    <row r="60" spans="1:18" x14ac:dyDescent="0.25">
      <c r="A60" s="57">
        <f t="shared" si="15"/>
        <v>0.41999999999999948</v>
      </c>
      <c r="B60" s="2">
        <f t="shared" si="0"/>
        <v>-58.00000000000005</v>
      </c>
      <c r="C60" s="2">
        <f t="shared" si="16"/>
        <v>41.99999999999995</v>
      </c>
      <c r="D60" s="58">
        <f t="shared" si="17"/>
        <v>-8.6400000000000574</v>
      </c>
      <c r="E60" s="57">
        <f t="shared" si="18"/>
        <v>1.0800000000000005</v>
      </c>
      <c r="F60" s="2">
        <f t="shared" si="3"/>
        <v>-8.6</v>
      </c>
      <c r="G60" s="2">
        <f t="shared" si="4"/>
        <v>7.4</v>
      </c>
      <c r="H60" s="3">
        <f t="shared" si="14"/>
        <v>0.46250000000000002</v>
      </c>
      <c r="I60" s="61">
        <f t="shared" si="6"/>
        <v>-189.59999999999997</v>
      </c>
      <c r="J60" s="61">
        <f t="shared" si="7"/>
        <v>-325.11616722349908</v>
      </c>
      <c r="K60" s="11">
        <f t="shared" si="8"/>
        <v>-5.9919999999999991</v>
      </c>
      <c r="Q60">
        <f t="shared" si="12"/>
        <v>-14</v>
      </c>
      <c r="R60" s="3">
        <f t="shared" si="9"/>
        <v>0.87092148874890363</v>
      </c>
    </row>
    <row r="61" spans="1:18" x14ac:dyDescent="0.25">
      <c r="A61" s="57">
        <f t="shared" si="15"/>
        <v>0.40999999999999948</v>
      </c>
      <c r="B61" s="2">
        <f t="shared" si="0"/>
        <v>-59.00000000000005</v>
      </c>
      <c r="C61" s="2">
        <f t="shared" si="16"/>
        <v>40.99999999999995</v>
      </c>
      <c r="D61" s="58">
        <f t="shared" si="17"/>
        <v>-9.8100000000000591</v>
      </c>
      <c r="E61" s="57">
        <f t="shared" si="18"/>
        <v>1.0900000000000005</v>
      </c>
      <c r="F61" s="2">
        <f t="shared" si="3"/>
        <v>-9.8000000000000007</v>
      </c>
      <c r="G61" s="2">
        <f t="shared" si="4"/>
        <v>8.1999999999999993</v>
      </c>
      <c r="H61" s="3">
        <f t="shared" si="14"/>
        <v>0.45555555555555549</v>
      </c>
      <c r="I61" s="61">
        <f t="shared" si="6"/>
        <v>-222.80000000000004</v>
      </c>
      <c r="J61" s="61">
        <f t="shared" si="7"/>
        <v>-375.25568812643655</v>
      </c>
      <c r="K61" s="11">
        <f t="shared" si="8"/>
        <v>-6.8659999999999997</v>
      </c>
      <c r="Q61">
        <f t="shared" si="12"/>
        <v>-14.5</v>
      </c>
      <c r="R61" s="3">
        <f t="shared" si="9"/>
        <v>0.87839456830140561</v>
      </c>
    </row>
    <row r="62" spans="1:18" x14ac:dyDescent="0.25">
      <c r="A62" s="57">
        <f t="shared" si="15"/>
        <v>0.39999999999999947</v>
      </c>
      <c r="B62" s="2">
        <f t="shared" si="0"/>
        <v>-60.000000000000057</v>
      </c>
      <c r="C62" s="2">
        <f t="shared" si="16"/>
        <v>39.999999999999943</v>
      </c>
      <c r="D62" s="58">
        <f t="shared" si="17"/>
        <v>-11.000000000000071</v>
      </c>
      <c r="E62" s="57">
        <f t="shared" si="18"/>
        <v>1.1000000000000005</v>
      </c>
      <c r="F62" s="2">
        <f t="shared" si="3"/>
        <v>-11</v>
      </c>
      <c r="G62" s="2">
        <f t="shared" si="4"/>
        <v>9</v>
      </c>
      <c r="H62" s="3">
        <f t="shared" si="14"/>
        <v>0.45</v>
      </c>
      <c r="I62" s="61">
        <f t="shared" si="6"/>
        <v>-256</v>
      </c>
      <c r="J62" s="61">
        <f t="shared" si="7"/>
        <v>-425.39520902937392</v>
      </c>
      <c r="K62" s="11">
        <f t="shared" si="8"/>
        <v>-7.7399999999999984</v>
      </c>
      <c r="Q62">
        <f t="shared" si="12"/>
        <v>-15</v>
      </c>
      <c r="R62" s="3">
        <f t="shared" si="9"/>
        <v>0.88549187495960402</v>
      </c>
    </row>
    <row r="63" spans="1:18" x14ac:dyDescent="0.25">
      <c r="A63" s="57">
        <f t="shared" si="15"/>
        <v>0.38999999999999946</v>
      </c>
      <c r="B63" s="2">
        <f t="shared" si="0"/>
        <v>-61.000000000000057</v>
      </c>
      <c r="C63" s="2">
        <f t="shared" si="16"/>
        <v>38.999999999999943</v>
      </c>
      <c r="D63" s="58">
        <f t="shared" si="17"/>
        <v>-12.210000000000072</v>
      </c>
      <c r="E63" s="57">
        <f t="shared" si="18"/>
        <v>1.1100000000000005</v>
      </c>
      <c r="F63" s="2">
        <f t="shared" si="3"/>
        <v>-12.2</v>
      </c>
      <c r="G63" s="2">
        <f t="shared" si="4"/>
        <v>9.8000000000000007</v>
      </c>
      <c r="H63" s="3">
        <f t="shared" si="14"/>
        <v>0.44545454545454549</v>
      </c>
      <c r="I63" s="61">
        <f t="shared" si="6"/>
        <v>-289.19999999999993</v>
      </c>
      <c r="J63" s="61">
        <f t="shared" si="7"/>
        <v>-475.53472993231122</v>
      </c>
      <c r="K63" s="11">
        <f t="shared" si="8"/>
        <v>-8.613999999999999</v>
      </c>
      <c r="Q63">
        <f t="shared" si="12"/>
        <v>-15.5</v>
      </c>
      <c r="R63" s="3">
        <f>1/(1+EXP(-$N$12*Q63))</f>
        <v>0.89222578155428822</v>
      </c>
    </row>
    <row r="64" spans="1:18" x14ac:dyDescent="0.25">
      <c r="A64" s="57">
        <f t="shared" si="15"/>
        <v>0.37999999999999945</v>
      </c>
      <c r="B64" s="2">
        <f t="shared" si="0"/>
        <v>-62.000000000000057</v>
      </c>
      <c r="C64" s="2">
        <f t="shared" si="16"/>
        <v>37.999999999999943</v>
      </c>
      <c r="D64" s="58">
        <f t="shared" si="17"/>
        <v>-13.440000000000069</v>
      </c>
      <c r="E64" s="57">
        <f t="shared" si="18"/>
        <v>1.1200000000000006</v>
      </c>
      <c r="F64" s="2">
        <f t="shared" si="3"/>
        <v>-13.4</v>
      </c>
      <c r="G64" s="2">
        <f t="shared" si="4"/>
        <v>10.6</v>
      </c>
      <c r="H64" s="3">
        <f t="shared" si="14"/>
        <v>0.44166666666666665</v>
      </c>
      <c r="I64" s="61">
        <f t="shared" si="6"/>
        <v>-322.40000000000009</v>
      </c>
      <c r="J64" s="61">
        <f t="shared" si="7"/>
        <v>-525.6742508352487</v>
      </c>
      <c r="K64" s="11">
        <f t="shared" si="8"/>
        <v>-9.4879999999999995</v>
      </c>
      <c r="Q64">
        <f t="shared" si="12"/>
        <v>-16</v>
      </c>
      <c r="R64" s="3">
        <f>1/(1+EXP(-$N$12*Q64))</f>
        <v>0.89860902894188821</v>
      </c>
    </row>
    <row r="65" spans="1:18" x14ac:dyDescent="0.25">
      <c r="A65" s="57">
        <f t="shared" si="15"/>
        <v>0.36999999999999944</v>
      </c>
      <c r="B65" s="2">
        <f t="shared" si="0"/>
        <v>-63.000000000000057</v>
      </c>
      <c r="C65" s="2">
        <f t="shared" si="16"/>
        <v>36.999999999999943</v>
      </c>
      <c r="D65" s="58">
        <f t="shared" si="17"/>
        <v>-14.690000000000069</v>
      </c>
      <c r="E65" s="57">
        <f t="shared" si="18"/>
        <v>1.1300000000000006</v>
      </c>
      <c r="F65" s="2">
        <f t="shared" si="3"/>
        <v>-14.7</v>
      </c>
      <c r="G65" s="2">
        <f t="shared" si="4"/>
        <v>11.3</v>
      </c>
      <c r="H65" s="3">
        <f t="shared" si="14"/>
        <v>0.43461538461538463</v>
      </c>
      <c r="I65" s="61">
        <f t="shared" si="6"/>
        <v>-363.19999999999993</v>
      </c>
      <c r="J65" s="61">
        <f t="shared" si="7"/>
        <v>-583.41377173818603</v>
      </c>
      <c r="K65" s="11">
        <f t="shared" si="8"/>
        <v>-10.461999999999998</v>
      </c>
      <c r="Q65">
        <f t="shared" si="12"/>
        <v>-16.5</v>
      </c>
      <c r="R65" s="3">
        <f>1/(1+EXP(-$N$12*Q65))</f>
        <v>0.90465461071084008</v>
      </c>
    </row>
    <row r="66" spans="1:18" x14ac:dyDescent="0.25">
      <c r="A66" s="57">
        <f t="shared" si="15"/>
        <v>0.35999999999999943</v>
      </c>
      <c r="B66" s="2">
        <f t="shared" si="0"/>
        <v>-64.000000000000057</v>
      </c>
      <c r="C66" s="2">
        <f t="shared" si="16"/>
        <v>35.999999999999943</v>
      </c>
      <c r="D66" s="58">
        <f t="shared" si="17"/>
        <v>-15.960000000000072</v>
      </c>
      <c r="E66" s="57">
        <f t="shared" si="18"/>
        <v>1.1400000000000006</v>
      </c>
      <c r="F66" s="2">
        <f t="shared" si="3"/>
        <v>-16</v>
      </c>
      <c r="G66" s="2">
        <f t="shared" si="4"/>
        <v>12</v>
      </c>
      <c r="H66" s="3">
        <f t="shared" ref="H66:H102" si="19">-INDEX($F$2:$F$102,A66*100+1)/(-INDEX($F$2:$F$102,A66*100+1)+F66)</f>
        <v>0.42857142857142855</v>
      </c>
      <c r="I66" s="61">
        <f t="shared" si="6"/>
        <v>-404</v>
      </c>
      <c r="J66" s="61">
        <f t="shared" si="7"/>
        <v>-641.15329264112347</v>
      </c>
      <c r="K66" s="11">
        <f t="shared" si="8"/>
        <v>-11.436</v>
      </c>
      <c r="Q66">
        <f t="shared" si="12"/>
        <v>-17</v>
      </c>
      <c r="R66" s="3">
        <f>1/(1+EXP(-$N$12*Q66))</f>
        <v>0.91037566875987219</v>
      </c>
    </row>
    <row r="67" spans="1:18" x14ac:dyDescent="0.25">
      <c r="A67" s="57">
        <f t="shared" si="15"/>
        <v>0.34999999999999942</v>
      </c>
      <c r="B67" s="2">
        <f t="shared" ref="B67:B102" si="20">(A67-1)*100</f>
        <v>-65.000000000000057</v>
      </c>
      <c r="C67" s="2">
        <f t="shared" si="16"/>
        <v>34.999999999999943</v>
      </c>
      <c r="D67" s="58">
        <f t="shared" si="17"/>
        <v>-17.250000000000071</v>
      </c>
      <c r="E67" s="57">
        <f t="shared" si="18"/>
        <v>1.1500000000000006</v>
      </c>
      <c r="F67" s="2">
        <f t="shared" ref="F67:F102" si="21">ROUND((-(A67^2)+A67*2-0.75)*100,1)</f>
        <v>-17.3</v>
      </c>
      <c r="G67" s="2">
        <f t="shared" ref="G67:G102" si="22">INDEX($F$2:$F$102,A67*100+1)</f>
        <v>12.8</v>
      </c>
      <c r="H67" s="3">
        <f t="shared" si="19"/>
        <v>0.42524916943521596</v>
      </c>
      <c r="I67" s="61">
        <f t="shared" ref="I67:I102" si="23">F67*$N$5+($N$6-$N$5)*G67</f>
        <v>-441.9</v>
      </c>
      <c r="J67" s="61">
        <f t="shared" ref="J67:J102" si="24">F67*$N$8+($N$6-$N$8)*G67</f>
        <v>-696.83978958920761</v>
      </c>
      <c r="K67" s="11">
        <f t="shared" ref="K67:K102" si="25">$N$10*F67+(1-$N$10)*G67</f>
        <v>-12.393699999999999</v>
      </c>
    </row>
    <row r="68" spans="1:18" x14ac:dyDescent="0.25">
      <c r="A68" s="57">
        <f t="shared" si="15"/>
        <v>0.33999999999999941</v>
      </c>
      <c r="B68" s="2">
        <f t="shared" si="20"/>
        <v>-66.000000000000057</v>
      </c>
      <c r="C68" s="2">
        <f t="shared" si="16"/>
        <v>33.999999999999943</v>
      </c>
      <c r="D68" s="58">
        <f t="shared" si="17"/>
        <v>-18.560000000000073</v>
      </c>
      <c r="E68" s="57">
        <f t="shared" si="18"/>
        <v>1.1600000000000006</v>
      </c>
      <c r="F68" s="2">
        <f t="shared" si="21"/>
        <v>-18.600000000000001</v>
      </c>
      <c r="G68" s="2">
        <f t="shared" si="22"/>
        <v>13.4</v>
      </c>
      <c r="H68" s="3">
        <f t="shared" si="19"/>
        <v>0.41875000000000001</v>
      </c>
      <c r="I68" s="61">
        <f t="shared" si="23"/>
        <v>-485.6</v>
      </c>
      <c r="J68" s="61">
        <f t="shared" si="24"/>
        <v>-756.63233444699836</v>
      </c>
      <c r="K68" s="11">
        <f t="shared" si="25"/>
        <v>-13.384</v>
      </c>
    </row>
    <row r="69" spans="1:18" x14ac:dyDescent="0.25">
      <c r="A69" s="57">
        <f t="shared" si="15"/>
        <v>0.3299999999999994</v>
      </c>
      <c r="B69" s="2">
        <f t="shared" si="20"/>
        <v>-67.000000000000057</v>
      </c>
      <c r="C69" s="2">
        <f t="shared" si="16"/>
        <v>32.999999999999943</v>
      </c>
      <c r="D69" s="58">
        <f t="shared" si="17"/>
        <v>-19.890000000000072</v>
      </c>
      <c r="E69" s="57">
        <f t="shared" si="18"/>
        <v>1.1700000000000006</v>
      </c>
      <c r="F69" s="2">
        <f t="shared" si="21"/>
        <v>-19.899999999999999</v>
      </c>
      <c r="G69" s="2">
        <f t="shared" si="22"/>
        <v>14.1</v>
      </c>
      <c r="H69" s="3">
        <f t="shared" si="19"/>
        <v>0.41470588235294115</v>
      </c>
      <c r="I69" s="61">
        <f t="shared" si="23"/>
        <v>-526.4</v>
      </c>
      <c r="J69" s="61">
        <f t="shared" si="24"/>
        <v>-814.37185534993569</v>
      </c>
      <c r="K69" s="11">
        <f t="shared" si="25"/>
        <v>-14.357999999999997</v>
      </c>
    </row>
    <row r="70" spans="1:18" x14ac:dyDescent="0.25">
      <c r="A70" s="57">
        <f t="shared" si="15"/>
        <v>0.3199999999999994</v>
      </c>
      <c r="B70" s="2">
        <f t="shared" si="20"/>
        <v>-68.000000000000057</v>
      </c>
      <c r="C70" s="2">
        <f t="shared" si="16"/>
        <v>31.99999999999994</v>
      </c>
      <c r="D70" s="58">
        <f t="shared" si="17"/>
        <v>-21.24000000000008</v>
      </c>
      <c r="E70" s="57">
        <f t="shared" si="18"/>
        <v>1.1800000000000006</v>
      </c>
      <c r="F70" s="2">
        <f t="shared" si="21"/>
        <v>-21.2</v>
      </c>
      <c r="G70" s="2">
        <f t="shared" si="22"/>
        <v>14.8</v>
      </c>
      <c r="H70" s="3">
        <f t="shared" si="19"/>
        <v>0.41111111111111115</v>
      </c>
      <c r="I70" s="61">
        <f t="shared" si="23"/>
        <v>-567.19999999999993</v>
      </c>
      <c r="J70" s="61">
        <f t="shared" si="24"/>
        <v>-872.1113762528729</v>
      </c>
      <c r="K70" s="11">
        <f t="shared" si="25"/>
        <v>-15.331999999999997</v>
      </c>
    </row>
    <row r="71" spans="1:18" x14ac:dyDescent="0.25">
      <c r="A71" s="57">
        <f t="shared" si="15"/>
        <v>0.30999999999999939</v>
      </c>
      <c r="B71" s="2">
        <f t="shared" si="20"/>
        <v>-69.000000000000057</v>
      </c>
      <c r="C71" s="2">
        <f t="shared" si="16"/>
        <v>30.99999999999994</v>
      </c>
      <c r="D71" s="58">
        <f>(A71^2)*$M$2+A71*$N$2+$O$2</f>
        <v>-22.610000000000085</v>
      </c>
      <c r="E71" s="57">
        <f t="shared" si="18"/>
        <v>1.1900000000000006</v>
      </c>
      <c r="F71" s="2">
        <f t="shared" si="21"/>
        <v>-22.6</v>
      </c>
      <c r="G71" s="2">
        <f t="shared" si="22"/>
        <v>15.4</v>
      </c>
      <c r="H71" s="3">
        <f t="shared" si="19"/>
        <v>0.40526315789473683</v>
      </c>
      <c r="I71" s="61">
        <f t="shared" si="23"/>
        <v>-615.6</v>
      </c>
      <c r="J71" s="61">
        <f t="shared" si="24"/>
        <v>-937.45089715581048</v>
      </c>
      <c r="K71" s="11">
        <f t="shared" si="25"/>
        <v>-16.405999999999999</v>
      </c>
    </row>
    <row r="72" spans="1:18" x14ac:dyDescent="0.25">
      <c r="A72" s="57">
        <f t="shared" ref="A72:A101" si="26">A71-0.01</f>
        <v>0.29999999999999938</v>
      </c>
      <c r="B72" s="2">
        <f t="shared" si="20"/>
        <v>-70.000000000000057</v>
      </c>
      <c r="C72" s="2">
        <f t="shared" ref="C72:C101" si="27">(A72)*100</f>
        <v>29.999999999999936</v>
      </c>
      <c r="D72" s="58">
        <f t="shared" ref="D72:D84" si="28">(A72^2)*$M$2+A72*$N$2+$O$2</f>
        <v>-24.000000000000092</v>
      </c>
      <c r="E72" s="57">
        <f t="shared" ref="E72:E101" si="29">1.5-A72</f>
        <v>1.2000000000000006</v>
      </c>
      <c r="F72" s="2">
        <f t="shared" si="21"/>
        <v>-24</v>
      </c>
      <c r="G72" s="2">
        <f t="shared" si="22"/>
        <v>16</v>
      </c>
      <c r="H72" s="3">
        <f t="shared" si="19"/>
        <v>0.4</v>
      </c>
      <c r="I72" s="61">
        <f t="shared" si="23"/>
        <v>-664</v>
      </c>
      <c r="J72" s="61">
        <f t="shared" si="24"/>
        <v>-1002.7904180587478</v>
      </c>
      <c r="K72" s="11">
        <f t="shared" si="25"/>
        <v>-17.48</v>
      </c>
    </row>
    <row r="73" spans="1:18" x14ac:dyDescent="0.25">
      <c r="A73" s="57">
        <f t="shared" si="26"/>
        <v>0.28999999999999937</v>
      </c>
      <c r="B73" s="2">
        <f t="shared" si="20"/>
        <v>-71.000000000000057</v>
      </c>
      <c r="C73" s="2">
        <f t="shared" si="27"/>
        <v>28.999999999999936</v>
      </c>
      <c r="D73" s="58">
        <f t="shared" si="28"/>
        <v>-25.410000000000089</v>
      </c>
      <c r="E73" s="57">
        <f t="shared" si="29"/>
        <v>1.2100000000000006</v>
      </c>
      <c r="F73" s="2">
        <f t="shared" si="21"/>
        <v>-25.4</v>
      </c>
      <c r="G73" s="2">
        <f t="shared" si="22"/>
        <v>16.600000000000001</v>
      </c>
      <c r="H73" s="3">
        <f t="shared" si="19"/>
        <v>0.39523809523809528</v>
      </c>
      <c r="I73" s="61">
        <f t="shared" si="23"/>
        <v>-712.39999999999986</v>
      </c>
      <c r="J73" s="61">
        <f t="shared" si="24"/>
        <v>-1068.1299389616852</v>
      </c>
      <c r="K73" s="11">
        <f t="shared" si="25"/>
        <v>-18.553999999999998</v>
      </c>
    </row>
    <row r="74" spans="1:18" x14ac:dyDescent="0.25">
      <c r="A74" s="57">
        <f t="shared" si="26"/>
        <v>0.27999999999999936</v>
      </c>
      <c r="B74" s="2">
        <f t="shared" si="20"/>
        <v>-72.000000000000057</v>
      </c>
      <c r="C74" s="2">
        <f t="shared" si="27"/>
        <v>27.999999999999936</v>
      </c>
      <c r="D74" s="58">
        <f t="shared" si="28"/>
        <v>-26.840000000000089</v>
      </c>
      <c r="E74" s="57">
        <f t="shared" si="29"/>
        <v>1.2200000000000006</v>
      </c>
      <c r="F74" s="2">
        <f t="shared" si="21"/>
        <v>-26.8</v>
      </c>
      <c r="G74" s="2">
        <f t="shared" si="22"/>
        <v>17.2</v>
      </c>
      <c r="H74" s="3">
        <f t="shared" si="19"/>
        <v>0.39090909090909087</v>
      </c>
      <c r="I74" s="61">
        <f t="shared" si="23"/>
        <v>-760.80000000000018</v>
      </c>
      <c r="J74" s="61">
        <f t="shared" si="24"/>
        <v>-1133.4694598646224</v>
      </c>
      <c r="K74" s="11">
        <f t="shared" si="25"/>
        <v>-19.628</v>
      </c>
    </row>
    <row r="75" spans="1:18" x14ac:dyDescent="0.25">
      <c r="A75" s="57">
        <f t="shared" si="26"/>
        <v>0.26999999999999935</v>
      </c>
      <c r="B75" s="2">
        <f t="shared" si="20"/>
        <v>-73.000000000000071</v>
      </c>
      <c r="C75" s="2">
        <f t="shared" si="27"/>
        <v>26.999999999999936</v>
      </c>
      <c r="D75" s="58">
        <f t="shared" si="28"/>
        <v>-28.290000000000092</v>
      </c>
      <c r="E75" s="57">
        <f t="shared" si="29"/>
        <v>1.2300000000000006</v>
      </c>
      <c r="F75" s="2">
        <f t="shared" si="21"/>
        <v>-28.3</v>
      </c>
      <c r="G75" s="2">
        <f t="shared" si="22"/>
        <v>17.7</v>
      </c>
      <c r="H75" s="3">
        <f t="shared" si="19"/>
        <v>0.38478260869565217</v>
      </c>
      <c r="I75" s="61">
        <f t="shared" si="23"/>
        <v>-816.80000000000018</v>
      </c>
      <c r="J75" s="61">
        <f t="shared" si="24"/>
        <v>-1206.40898076756</v>
      </c>
      <c r="K75" s="11">
        <f t="shared" si="25"/>
        <v>-20.802</v>
      </c>
    </row>
    <row r="76" spans="1:18" x14ac:dyDescent="0.25">
      <c r="A76" s="57">
        <f t="shared" si="26"/>
        <v>0.25999999999999934</v>
      </c>
      <c r="B76" s="2">
        <f t="shared" si="20"/>
        <v>-74.000000000000071</v>
      </c>
      <c r="C76" s="2">
        <f t="shared" si="27"/>
        <v>25.999999999999936</v>
      </c>
      <c r="D76" s="58">
        <f t="shared" si="28"/>
        <v>-29.76000000000009</v>
      </c>
      <c r="E76" s="57">
        <f t="shared" si="29"/>
        <v>1.2400000000000007</v>
      </c>
      <c r="F76" s="2">
        <f t="shared" si="21"/>
        <v>-29.8</v>
      </c>
      <c r="G76" s="2">
        <f t="shared" si="22"/>
        <v>18.2</v>
      </c>
      <c r="H76" s="3">
        <f t="shared" si="19"/>
        <v>0.37916666666666665</v>
      </c>
      <c r="I76" s="61">
        <f t="shared" si="23"/>
        <v>-872.80000000000018</v>
      </c>
      <c r="J76" s="61">
        <f t="shared" si="24"/>
        <v>-1279.3485016704974</v>
      </c>
      <c r="K76" s="11">
        <f t="shared" si="25"/>
        <v>-21.975999999999999</v>
      </c>
    </row>
    <row r="77" spans="1:18" x14ac:dyDescent="0.25">
      <c r="A77" s="57">
        <f t="shared" si="26"/>
        <v>0.24999999999999933</v>
      </c>
      <c r="B77" s="2">
        <f t="shared" si="20"/>
        <v>-75.000000000000071</v>
      </c>
      <c r="C77" s="2">
        <f t="shared" si="27"/>
        <v>24.999999999999932</v>
      </c>
      <c r="D77" s="58">
        <f t="shared" si="28"/>
        <v>-31.250000000000099</v>
      </c>
      <c r="E77" s="57">
        <f t="shared" si="29"/>
        <v>1.2500000000000007</v>
      </c>
      <c r="F77" s="2">
        <f t="shared" si="21"/>
        <v>-31.3</v>
      </c>
      <c r="G77" s="2">
        <f t="shared" si="22"/>
        <v>18.8</v>
      </c>
      <c r="H77" s="3">
        <f t="shared" si="19"/>
        <v>0.37524950099800397</v>
      </c>
      <c r="I77" s="61">
        <f t="shared" si="23"/>
        <v>-925.90000000000009</v>
      </c>
      <c r="J77" s="61">
        <f t="shared" si="24"/>
        <v>-1350.2349986185818</v>
      </c>
      <c r="K77" s="11">
        <f t="shared" si="25"/>
        <v>-23.133699999999997</v>
      </c>
    </row>
    <row r="78" spans="1:18" x14ac:dyDescent="0.25">
      <c r="A78" s="57">
        <f t="shared" si="26"/>
        <v>0.23999999999999932</v>
      </c>
      <c r="B78" s="2">
        <f t="shared" si="20"/>
        <v>-76.000000000000071</v>
      </c>
      <c r="C78" s="2">
        <f t="shared" si="27"/>
        <v>23.999999999999932</v>
      </c>
      <c r="D78" s="58">
        <f t="shared" si="28"/>
        <v>-32.760000000000105</v>
      </c>
      <c r="E78" s="57">
        <f t="shared" si="29"/>
        <v>1.2600000000000007</v>
      </c>
      <c r="F78" s="2">
        <f t="shared" si="21"/>
        <v>-32.799999999999997</v>
      </c>
      <c r="G78" s="2">
        <f t="shared" si="22"/>
        <v>19.2</v>
      </c>
      <c r="H78" s="3">
        <f t="shared" si="19"/>
        <v>0.3692307692307692</v>
      </c>
      <c r="I78" s="61">
        <f t="shared" si="23"/>
        <v>-984.8</v>
      </c>
      <c r="J78" s="61">
        <f t="shared" si="24"/>
        <v>-1425.2275434763721</v>
      </c>
      <c r="K78" s="11">
        <f t="shared" si="25"/>
        <v>-24.323999999999998</v>
      </c>
    </row>
    <row r="79" spans="1:18" x14ac:dyDescent="0.25">
      <c r="A79" s="57">
        <f t="shared" si="26"/>
        <v>0.22999999999999932</v>
      </c>
      <c r="B79" s="2">
        <f t="shared" si="20"/>
        <v>-77.000000000000071</v>
      </c>
      <c r="C79" s="2">
        <f t="shared" si="27"/>
        <v>22.999999999999932</v>
      </c>
      <c r="D79" s="58">
        <f t="shared" si="28"/>
        <v>-34.290000000000106</v>
      </c>
      <c r="E79" s="57">
        <f t="shared" si="29"/>
        <v>1.2700000000000007</v>
      </c>
      <c r="F79" s="2">
        <f t="shared" si="21"/>
        <v>-34.299999999999997</v>
      </c>
      <c r="G79" s="2">
        <f t="shared" si="22"/>
        <v>19.7</v>
      </c>
      <c r="H79" s="3">
        <f t="shared" si="19"/>
        <v>0.36481481481481481</v>
      </c>
      <c r="I79" s="61">
        <f t="shared" si="23"/>
        <v>-1040.8</v>
      </c>
      <c r="J79" s="61">
        <f t="shared" si="24"/>
        <v>-1498.1670643793093</v>
      </c>
      <c r="K79" s="11">
        <f t="shared" si="25"/>
        <v>-25.497999999999994</v>
      </c>
    </row>
    <row r="80" spans="1:18" x14ac:dyDescent="0.25">
      <c r="A80" s="57">
        <f t="shared" si="26"/>
        <v>0.21999999999999931</v>
      </c>
      <c r="B80" s="2">
        <f t="shared" si="20"/>
        <v>-78.000000000000071</v>
      </c>
      <c r="C80" s="2">
        <f t="shared" si="27"/>
        <v>21.999999999999929</v>
      </c>
      <c r="D80" s="58">
        <f t="shared" si="28"/>
        <v>-35.84000000000011</v>
      </c>
      <c r="E80" s="57">
        <f t="shared" si="29"/>
        <v>1.2800000000000007</v>
      </c>
      <c r="F80" s="2">
        <f t="shared" si="21"/>
        <v>-35.799999999999997</v>
      </c>
      <c r="G80" s="2">
        <f t="shared" si="22"/>
        <v>20.2</v>
      </c>
      <c r="H80" s="3">
        <f t="shared" si="19"/>
        <v>0.36071428571428571</v>
      </c>
      <c r="I80" s="61">
        <f t="shared" si="23"/>
        <v>-1096.8</v>
      </c>
      <c r="J80" s="61">
        <f t="shared" si="24"/>
        <v>-1571.1065852822467</v>
      </c>
      <c r="K80" s="11">
        <f t="shared" si="25"/>
        <v>-26.671999999999997</v>
      </c>
    </row>
    <row r="81" spans="1:11" x14ac:dyDescent="0.25">
      <c r="A81" s="57">
        <f t="shared" si="26"/>
        <v>0.2099999999999993</v>
      </c>
      <c r="B81" s="2">
        <f t="shared" si="20"/>
        <v>-79.000000000000071</v>
      </c>
      <c r="C81" s="2">
        <f t="shared" si="27"/>
        <v>20.999999999999929</v>
      </c>
      <c r="D81" s="58">
        <f t="shared" si="28"/>
        <v>-37.41000000000011</v>
      </c>
      <c r="E81" s="57">
        <f t="shared" si="29"/>
        <v>1.2900000000000007</v>
      </c>
      <c r="F81" s="2">
        <f t="shared" si="21"/>
        <v>-37.4</v>
      </c>
      <c r="G81" s="2">
        <f t="shared" si="22"/>
        <v>20.6</v>
      </c>
      <c r="H81" s="3">
        <f t="shared" si="19"/>
        <v>0.35517241379310349</v>
      </c>
      <c r="I81" s="61">
        <f t="shared" si="23"/>
        <v>-1160.3999999999999</v>
      </c>
      <c r="J81" s="61">
        <f t="shared" si="24"/>
        <v>-1651.6461061851842</v>
      </c>
      <c r="K81" s="11">
        <f t="shared" si="25"/>
        <v>-27.945999999999998</v>
      </c>
    </row>
    <row r="82" spans="1:11" x14ac:dyDescent="0.25">
      <c r="A82" s="57">
        <f t="shared" si="26"/>
        <v>0.19999999999999929</v>
      </c>
      <c r="B82" s="2">
        <f t="shared" si="20"/>
        <v>-80.000000000000071</v>
      </c>
      <c r="C82" s="2">
        <f t="shared" si="27"/>
        <v>19.999999999999929</v>
      </c>
      <c r="D82" s="58">
        <f t="shared" si="28"/>
        <v>-39.000000000000114</v>
      </c>
      <c r="E82" s="57">
        <f t="shared" si="29"/>
        <v>1.3000000000000007</v>
      </c>
      <c r="F82" s="2">
        <f t="shared" si="21"/>
        <v>-39</v>
      </c>
      <c r="G82" s="2">
        <f t="shared" si="22"/>
        <v>21</v>
      </c>
      <c r="H82" s="3">
        <f t="shared" si="19"/>
        <v>0.35</v>
      </c>
      <c r="I82" s="61">
        <f t="shared" si="23"/>
        <v>-1224</v>
      </c>
      <c r="J82" s="61">
        <f t="shared" si="24"/>
        <v>-1732.1856270881215</v>
      </c>
      <c r="K82" s="11">
        <f t="shared" si="25"/>
        <v>-29.22</v>
      </c>
    </row>
    <row r="83" spans="1:11" x14ac:dyDescent="0.25">
      <c r="A83" s="57">
        <f t="shared" si="26"/>
        <v>0.18999999999999928</v>
      </c>
      <c r="B83" s="2">
        <f t="shared" si="20"/>
        <v>-81.000000000000071</v>
      </c>
      <c r="C83" s="2">
        <f t="shared" si="27"/>
        <v>18.999999999999929</v>
      </c>
      <c r="D83" s="58">
        <f t="shared" si="28"/>
        <v>-40.610000000000113</v>
      </c>
      <c r="E83" s="57">
        <f t="shared" si="29"/>
        <v>1.3100000000000007</v>
      </c>
      <c r="F83" s="2">
        <f t="shared" si="21"/>
        <v>-40.6</v>
      </c>
      <c r="G83" s="2">
        <f t="shared" si="22"/>
        <v>21.4</v>
      </c>
      <c r="H83" s="3">
        <f t="shared" si="19"/>
        <v>0.34516129032258064</v>
      </c>
      <c r="I83" s="61">
        <f t="shared" si="23"/>
        <v>-1287.6000000000001</v>
      </c>
      <c r="J83" s="61">
        <f t="shared" si="24"/>
        <v>-1812.7251479910592</v>
      </c>
      <c r="K83" s="11">
        <f t="shared" si="25"/>
        <v>-30.494</v>
      </c>
    </row>
    <row r="84" spans="1:11" x14ac:dyDescent="0.25">
      <c r="A84" s="57">
        <f t="shared" si="26"/>
        <v>0.17999999999999927</v>
      </c>
      <c r="B84" s="2">
        <f t="shared" si="20"/>
        <v>-82.000000000000071</v>
      </c>
      <c r="C84" s="2">
        <f t="shared" si="27"/>
        <v>17.999999999999929</v>
      </c>
      <c r="D84" s="58">
        <f t="shared" si="28"/>
        <v>-42.240000000000116</v>
      </c>
      <c r="E84" s="57">
        <f t="shared" si="29"/>
        <v>1.3200000000000007</v>
      </c>
      <c r="F84" s="2">
        <f t="shared" si="21"/>
        <v>-42.2</v>
      </c>
      <c r="G84" s="2">
        <f t="shared" si="22"/>
        <v>21.8</v>
      </c>
      <c r="H84" s="3">
        <f t="shared" si="19"/>
        <v>0.34062500000000001</v>
      </c>
      <c r="I84" s="61">
        <f t="shared" si="23"/>
        <v>-1351.2</v>
      </c>
      <c r="J84" s="61">
        <f t="shared" si="24"/>
        <v>-1893.2646688939965</v>
      </c>
      <c r="K84" s="11">
        <f t="shared" si="25"/>
        <v>-31.768000000000004</v>
      </c>
    </row>
    <row r="85" spans="1:11" x14ac:dyDescent="0.25">
      <c r="A85" s="57">
        <f t="shared" si="26"/>
        <v>0.16999999999999926</v>
      </c>
      <c r="B85" s="2">
        <f t="shared" si="20"/>
        <v>-83.000000000000071</v>
      </c>
      <c r="C85" s="2">
        <f t="shared" si="27"/>
        <v>16.999999999999925</v>
      </c>
      <c r="D85" s="58">
        <f>(A85^2)*$M$2+A85*$N$2+$O$2</f>
        <v>-43.890000000000128</v>
      </c>
      <c r="E85" s="57">
        <f t="shared" si="29"/>
        <v>1.3300000000000007</v>
      </c>
      <c r="F85" s="2">
        <f t="shared" si="21"/>
        <v>-43.9</v>
      </c>
      <c r="G85" s="2">
        <f t="shared" si="22"/>
        <v>22.1</v>
      </c>
      <c r="H85" s="3">
        <f t="shared" si="19"/>
        <v>0.3348484848484849</v>
      </c>
      <c r="I85" s="61">
        <f t="shared" si="23"/>
        <v>-1422.3999999999996</v>
      </c>
      <c r="J85" s="61">
        <f t="shared" si="24"/>
        <v>-1981.4041897969339</v>
      </c>
      <c r="K85" s="11">
        <f t="shared" si="25"/>
        <v>-33.141999999999996</v>
      </c>
    </row>
    <row r="86" spans="1:11" x14ac:dyDescent="0.25">
      <c r="A86" s="57">
        <f t="shared" si="26"/>
        <v>0.15999999999999925</v>
      </c>
      <c r="B86" s="2">
        <f t="shared" si="20"/>
        <v>-84.000000000000071</v>
      </c>
      <c r="C86" s="2">
        <f t="shared" si="27"/>
        <v>15.999999999999925</v>
      </c>
      <c r="D86" s="58">
        <f t="shared" ref="D86:D92" si="30">(A86^2)*$M$2+A86*$N$2+$O$2</f>
        <v>-45.56000000000013</v>
      </c>
      <c r="E86" s="57">
        <f t="shared" si="29"/>
        <v>1.3400000000000007</v>
      </c>
      <c r="F86" s="2">
        <f t="shared" si="21"/>
        <v>-45.6</v>
      </c>
      <c r="G86" s="2">
        <f t="shared" si="22"/>
        <v>22.4</v>
      </c>
      <c r="H86" s="3">
        <f t="shared" si="19"/>
        <v>0.32941176470588235</v>
      </c>
      <c r="I86" s="61">
        <f t="shared" si="23"/>
        <v>-1493.6000000000004</v>
      </c>
      <c r="J86" s="61">
        <f t="shared" si="24"/>
        <v>-2069.5437106998711</v>
      </c>
      <c r="K86" s="11">
        <f t="shared" si="25"/>
        <v>-34.515999999999998</v>
      </c>
    </row>
    <row r="87" spans="1:11" x14ac:dyDescent="0.25">
      <c r="A87" s="57">
        <f t="shared" si="26"/>
        <v>0.14999999999999925</v>
      </c>
      <c r="B87" s="2">
        <f t="shared" si="20"/>
        <v>-85.000000000000071</v>
      </c>
      <c r="C87" s="2">
        <f t="shared" si="27"/>
        <v>14.999999999999925</v>
      </c>
      <c r="D87" s="58">
        <f t="shared" si="30"/>
        <v>-47.250000000000128</v>
      </c>
      <c r="E87" s="57">
        <f t="shared" si="29"/>
        <v>1.3500000000000008</v>
      </c>
      <c r="F87" s="2">
        <f t="shared" si="21"/>
        <v>-47.3</v>
      </c>
      <c r="G87" s="2">
        <f t="shared" si="22"/>
        <v>22.8</v>
      </c>
      <c r="H87" s="3">
        <f t="shared" si="19"/>
        <v>0.32524964336661916</v>
      </c>
      <c r="I87" s="61">
        <f t="shared" si="23"/>
        <v>-1561.8999999999999</v>
      </c>
      <c r="J87" s="61">
        <f t="shared" si="24"/>
        <v>-2155.6302076479556</v>
      </c>
      <c r="K87" s="11">
        <f t="shared" si="25"/>
        <v>-35.873699999999992</v>
      </c>
    </row>
    <row r="88" spans="1:11" x14ac:dyDescent="0.25">
      <c r="A88" s="57">
        <f t="shared" si="26"/>
        <v>0.13999999999999924</v>
      </c>
      <c r="B88" s="2">
        <f t="shared" si="20"/>
        <v>-86.000000000000071</v>
      </c>
      <c r="C88" s="2">
        <f t="shared" si="27"/>
        <v>13.999999999999924</v>
      </c>
      <c r="D88" s="58">
        <f t="shared" si="30"/>
        <v>-48.960000000000136</v>
      </c>
      <c r="E88" s="57">
        <f t="shared" si="29"/>
        <v>1.3600000000000008</v>
      </c>
      <c r="F88" s="2">
        <f t="shared" si="21"/>
        <v>-49</v>
      </c>
      <c r="G88" s="2">
        <f t="shared" si="22"/>
        <v>23</v>
      </c>
      <c r="H88" s="3">
        <f t="shared" si="19"/>
        <v>0.31944444444444442</v>
      </c>
      <c r="I88" s="61">
        <f t="shared" si="23"/>
        <v>-1636</v>
      </c>
      <c r="J88" s="61">
        <f t="shared" si="24"/>
        <v>-2245.8227525057459</v>
      </c>
      <c r="K88" s="11">
        <f t="shared" si="25"/>
        <v>-37.263999999999996</v>
      </c>
    </row>
    <row r="89" spans="1:11" x14ac:dyDescent="0.25">
      <c r="A89" s="57">
        <f t="shared" si="26"/>
        <v>0.12999999999999923</v>
      </c>
      <c r="B89" s="2">
        <f t="shared" si="20"/>
        <v>-87.000000000000071</v>
      </c>
      <c r="C89" s="2">
        <f t="shared" si="27"/>
        <v>12.999999999999922</v>
      </c>
      <c r="D89" s="58">
        <f t="shared" si="30"/>
        <v>-50.69000000000014</v>
      </c>
      <c r="E89" s="57">
        <f t="shared" si="29"/>
        <v>1.3700000000000008</v>
      </c>
      <c r="F89" s="2">
        <f t="shared" si="21"/>
        <v>-50.7</v>
      </c>
      <c r="G89" s="2">
        <f t="shared" si="22"/>
        <v>23.3</v>
      </c>
      <c r="H89" s="3">
        <f t="shared" si="19"/>
        <v>0.31486486486486487</v>
      </c>
      <c r="I89" s="61">
        <f t="shared" si="23"/>
        <v>-1707.2</v>
      </c>
      <c r="J89" s="61">
        <f t="shared" si="24"/>
        <v>-2333.9622734086834</v>
      </c>
      <c r="K89" s="11">
        <f t="shared" si="25"/>
        <v>-38.638000000000005</v>
      </c>
    </row>
    <row r="90" spans="1:11" x14ac:dyDescent="0.25">
      <c r="A90" s="57">
        <f t="shared" si="26"/>
        <v>0.11999999999999923</v>
      </c>
      <c r="B90" s="2">
        <f t="shared" si="20"/>
        <v>-88.000000000000085</v>
      </c>
      <c r="C90" s="2">
        <f t="shared" si="27"/>
        <v>11.999999999999924</v>
      </c>
      <c r="D90" s="58">
        <f t="shared" si="30"/>
        <v>-52.440000000000133</v>
      </c>
      <c r="E90" s="57">
        <f t="shared" si="29"/>
        <v>1.3800000000000008</v>
      </c>
      <c r="F90" s="2">
        <f t="shared" si="21"/>
        <v>-52.4</v>
      </c>
      <c r="G90" s="2">
        <f t="shared" si="22"/>
        <v>23.6</v>
      </c>
      <c r="H90" s="3">
        <f t="shared" si="19"/>
        <v>0.31052631578947371</v>
      </c>
      <c r="I90" s="61">
        <f t="shared" si="23"/>
        <v>-1778.3999999999996</v>
      </c>
      <c r="J90" s="61">
        <f t="shared" si="24"/>
        <v>-2422.1017943116208</v>
      </c>
      <c r="K90" s="11">
        <f t="shared" si="25"/>
        <v>-40.011999999999993</v>
      </c>
    </row>
    <row r="91" spans="1:11" x14ac:dyDescent="0.25">
      <c r="A91" s="57">
        <f t="shared" si="26"/>
        <v>0.10999999999999924</v>
      </c>
      <c r="B91" s="2">
        <f t="shared" si="20"/>
        <v>-89.000000000000085</v>
      </c>
      <c r="C91" s="2">
        <f t="shared" si="27"/>
        <v>10.999999999999924</v>
      </c>
      <c r="D91" s="58">
        <f t="shared" si="30"/>
        <v>-54.210000000000136</v>
      </c>
      <c r="E91" s="57">
        <f t="shared" si="29"/>
        <v>1.3900000000000008</v>
      </c>
      <c r="F91" s="2">
        <f t="shared" si="21"/>
        <v>-54.2</v>
      </c>
      <c r="G91" s="2">
        <f t="shared" si="22"/>
        <v>23.8</v>
      </c>
      <c r="H91" s="3">
        <f t="shared" si="19"/>
        <v>0.30512820512820515</v>
      </c>
      <c r="I91" s="61">
        <f t="shared" si="23"/>
        <v>-1857.2</v>
      </c>
      <c r="J91" s="61">
        <f t="shared" si="24"/>
        <v>-2517.8413152145581</v>
      </c>
      <c r="K91" s="11">
        <f t="shared" si="25"/>
        <v>-41.485999999999997</v>
      </c>
    </row>
    <row r="92" spans="1:11" x14ac:dyDescent="0.25">
      <c r="A92" s="57">
        <f t="shared" si="26"/>
        <v>9.9999999999999242E-2</v>
      </c>
      <c r="B92" s="2">
        <f t="shared" si="20"/>
        <v>-90.000000000000085</v>
      </c>
      <c r="C92" s="2">
        <f t="shared" si="27"/>
        <v>9.9999999999999236</v>
      </c>
      <c r="D92" s="58">
        <f t="shared" si="30"/>
        <v>-56.000000000000142</v>
      </c>
      <c r="E92" s="57">
        <f t="shared" si="29"/>
        <v>1.4000000000000008</v>
      </c>
      <c r="F92" s="2">
        <f t="shared" si="21"/>
        <v>-56</v>
      </c>
      <c r="G92" s="2">
        <f t="shared" si="22"/>
        <v>24</v>
      </c>
      <c r="H92" s="3">
        <f t="shared" si="19"/>
        <v>0.3</v>
      </c>
      <c r="I92" s="61">
        <f t="shared" si="23"/>
        <v>-1936</v>
      </c>
      <c r="J92" s="61">
        <f t="shared" si="24"/>
        <v>-2613.5808361174954</v>
      </c>
      <c r="K92" s="11">
        <f t="shared" si="25"/>
        <v>-42.96</v>
      </c>
    </row>
    <row r="93" spans="1:11" x14ac:dyDescent="0.25">
      <c r="A93" s="57">
        <f t="shared" si="26"/>
        <v>8.9999999999999247E-2</v>
      </c>
      <c r="B93" s="2">
        <f t="shared" si="20"/>
        <v>-91.000000000000085</v>
      </c>
      <c r="C93" s="2">
        <f t="shared" si="27"/>
        <v>8.9999999999999254</v>
      </c>
      <c r="D93" s="58">
        <f>(A93^2)*$M$2+A93*$N$2+$O$2</f>
        <v>-57.810000000000137</v>
      </c>
      <c r="E93" s="57">
        <f t="shared" si="29"/>
        <v>1.4100000000000008</v>
      </c>
      <c r="F93" s="2">
        <f t="shared" si="21"/>
        <v>-57.8</v>
      </c>
      <c r="G93" s="2">
        <f t="shared" si="22"/>
        <v>24.2</v>
      </c>
      <c r="H93" s="3">
        <f t="shared" si="19"/>
        <v>0.29512195121951218</v>
      </c>
      <c r="I93" s="61">
        <f t="shared" si="23"/>
        <v>-2014.8</v>
      </c>
      <c r="J93" s="61">
        <f t="shared" si="24"/>
        <v>-2709.3203570204328</v>
      </c>
      <c r="K93" s="11">
        <f t="shared" si="25"/>
        <v>-44.433999999999997</v>
      </c>
    </row>
    <row r="94" spans="1:11" x14ac:dyDescent="0.25">
      <c r="A94" s="57">
        <f t="shared" si="26"/>
        <v>7.9999999999999252E-2</v>
      </c>
      <c r="B94" s="2">
        <f t="shared" si="20"/>
        <v>-92.000000000000071</v>
      </c>
      <c r="C94" s="2">
        <f t="shared" si="27"/>
        <v>7.9999999999999254</v>
      </c>
      <c r="D94" s="58">
        <f t="shared" ref="D94:D100" si="31">(A94^2)*$M$2+A94*$N$2+$O$2</f>
        <v>-59.640000000000136</v>
      </c>
      <c r="E94" s="57">
        <f t="shared" si="29"/>
        <v>1.4200000000000008</v>
      </c>
      <c r="F94" s="2">
        <f t="shared" si="21"/>
        <v>-59.6</v>
      </c>
      <c r="G94" s="2">
        <f t="shared" si="22"/>
        <v>24.4</v>
      </c>
      <c r="H94" s="3">
        <f t="shared" si="19"/>
        <v>0.29047619047619044</v>
      </c>
      <c r="I94" s="61">
        <f t="shared" si="23"/>
        <v>-2093.6000000000004</v>
      </c>
      <c r="J94" s="61">
        <f t="shared" si="24"/>
        <v>-2805.0598779233705</v>
      </c>
      <c r="K94" s="11">
        <f t="shared" si="25"/>
        <v>-45.907999999999994</v>
      </c>
    </row>
    <row r="95" spans="1:11" x14ac:dyDescent="0.25">
      <c r="A95" s="57">
        <f t="shared" si="26"/>
        <v>6.9999999999999257E-2</v>
      </c>
      <c r="B95" s="2">
        <f t="shared" si="20"/>
        <v>-93.000000000000071</v>
      </c>
      <c r="C95" s="2">
        <f t="shared" si="27"/>
        <v>6.9999999999999254</v>
      </c>
      <c r="D95" s="58">
        <f t="shared" si="31"/>
        <v>-61.490000000000137</v>
      </c>
      <c r="E95" s="57">
        <f t="shared" si="29"/>
        <v>1.4300000000000008</v>
      </c>
      <c r="F95" s="2">
        <f t="shared" si="21"/>
        <v>-61.5</v>
      </c>
      <c r="G95" s="2">
        <f t="shared" si="22"/>
        <v>24.5</v>
      </c>
      <c r="H95" s="3">
        <f t="shared" si="19"/>
        <v>0.28488372093023256</v>
      </c>
      <c r="I95" s="61">
        <f t="shared" si="23"/>
        <v>-2180</v>
      </c>
      <c r="J95" s="61">
        <f t="shared" si="24"/>
        <v>-2908.3993988263073</v>
      </c>
      <c r="K95" s="11">
        <f t="shared" si="25"/>
        <v>-47.481999999999999</v>
      </c>
    </row>
    <row r="96" spans="1:11" x14ac:dyDescent="0.25">
      <c r="A96" s="57">
        <f t="shared" si="26"/>
        <v>5.9999999999999255E-2</v>
      </c>
      <c r="B96" s="2">
        <f t="shared" si="20"/>
        <v>-94.000000000000071</v>
      </c>
      <c r="C96" s="2">
        <f t="shared" si="27"/>
        <v>5.9999999999999254</v>
      </c>
      <c r="D96" s="58">
        <f t="shared" si="31"/>
        <v>-63.360000000000142</v>
      </c>
      <c r="E96" s="57">
        <f t="shared" si="29"/>
        <v>1.4400000000000008</v>
      </c>
      <c r="F96" s="2">
        <f t="shared" si="21"/>
        <v>-63.4</v>
      </c>
      <c r="G96" s="2">
        <f t="shared" si="22"/>
        <v>24.6</v>
      </c>
      <c r="H96" s="3">
        <f t="shared" si="19"/>
        <v>0.27954545454545454</v>
      </c>
      <c r="I96" s="61">
        <f t="shared" si="23"/>
        <v>-2266.3999999999996</v>
      </c>
      <c r="J96" s="61">
        <f t="shared" si="24"/>
        <v>-3011.738919729245</v>
      </c>
      <c r="K96" s="11">
        <f t="shared" si="25"/>
        <v>-49.055999999999997</v>
      </c>
    </row>
    <row r="97" spans="1:11" x14ac:dyDescent="0.25">
      <c r="A97" s="57">
        <f t="shared" si="26"/>
        <v>4.9999999999999253E-2</v>
      </c>
      <c r="B97" s="2">
        <f t="shared" si="20"/>
        <v>-95.000000000000071</v>
      </c>
      <c r="C97" s="2">
        <f t="shared" si="27"/>
        <v>4.9999999999999254</v>
      </c>
      <c r="D97" s="58">
        <f t="shared" si="31"/>
        <v>-65.250000000000142</v>
      </c>
      <c r="E97" s="57">
        <f t="shared" si="29"/>
        <v>1.4500000000000008</v>
      </c>
      <c r="F97" s="2">
        <f t="shared" si="21"/>
        <v>-65.3</v>
      </c>
      <c r="G97" s="2">
        <f t="shared" si="22"/>
        <v>24.8</v>
      </c>
      <c r="H97" s="3">
        <f t="shared" si="19"/>
        <v>0.27524972253052166</v>
      </c>
      <c r="I97" s="61">
        <f t="shared" si="23"/>
        <v>-2349.8999999999996</v>
      </c>
      <c r="J97" s="61">
        <f t="shared" si="24"/>
        <v>-3113.0254166773288</v>
      </c>
      <c r="K97" s="11">
        <f t="shared" si="25"/>
        <v>-50.613699999999994</v>
      </c>
    </row>
    <row r="98" spans="1:11" x14ac:dyDescent="0.25">
      <c r="A98" s="57">
        <f t="shared" si="26"/>
        <v>3.9999999999999251E-2</v>
      </c>
      <c r="B98" s="2">
        <f t="shared" si="20"/>
        <v>-96.000000000000071</v>
      </c>
      <c r="C98" s="2">
        <f t="shared" si="27"/>
        <v>3.9999999999999249</v>
      </c>
      <c r="D98" s="58">
        <f t="shared" si="31"/>
        <v>-67.160000000000139</v>
      </c>
      <c r="E98" s="57">
        <f t="shared" si="29"/>
        <v>1.4600000000000009</v>
      </c>
      <c r="F98" s="2">
        <f t="shared" si="21"/>
        <v>-67.2</v>
      </c>
      <c r="G98" s="2">
        <f t="shared" si="22"/>
        <v>24.8</v>
      </c>
      <c r="H98" s="3">
        <f t="shared" si="19"/>
        <v>0.26956521739130435</v>
      </c>
      <c r="I98" s="61">
        <f t="shared" si="23"/>
        <v>-2439.1999999999998</v>
      </c>
      <c r="J98" s="61">
        <f t="shared" si="24"/>
        <v>-3218.41796153512</v>
      </c>
      <c r="K98" s="11">
        <f t="shared" si="25"/>
        <v>-52.204000000000001</v>
      </c>
    </row>
    <row r="99" spans="1:11" x14ac:dyDescent="0.25">
      <c r="A99" s="57">
        <f t="shared" si="26"/>
        <v>2.9999999999999249E-2</v>
      </c>
      <c r="B99" s="2">
        <f t="shared" si="20"/>
        <v>-97.000000000000071</v>
      </c>
      <c r="C99" s="2">
        <f t="shared" si="27"/>
        <v>2.9999999999999249</v>
      </c>
      <c r="D99" s="58">
        <f t="shared" si="31"/>
        <v>-69.090000000000146</v>
      </c>
      <c r="E99" s="57">
        <f t="shared" si="29"/>
        <v>1.4700000000000006</v>
      </c>
      <c r="F99" s="2">
        <f t="shared" si="21"/>
        <v>-69.099999999999994</v>
      </c>
      <c r="G99" s="2">
        <f t="shared" si="22"/>
        <v>24.9</v>
      </c>
      <c r="H99" s="3">
        <f t="shared" si="19"/>
        <v>0.26489361702127656</v>
      </c>
      <c r="I99" s="61">
        <f t="shared" si="23"/>
        <v>-2525.6</v>
      </c>
      <c r="J99" s="61">
        <f t="shared" si="24"/>
        <v>-3321.7574824380567</v>
      </c>
      <c r="K99" s="11">
        <f t="shared" si="25"/>
        <v>-53.777999999999992</v>
      </c>
    </row>
    <row r="100" spans="1:11" x14ac:dyDescent="0.25">
      <c r="A100" s="57">
        <f t="shared" si="26"/>
        <v>1.9999999999999248E-2</v>
      </c>
      <c r="B100" s="2">
        <f t="shared" si="20"/>
        <v>-98.000000000000071</v>
      </c>
      <c r="C100" s="2">
        <f t="shared" si="27"/>
        <v>1.9999999999999247</v>
      </c>
      <c r="D100" s="58">
        <f t="shared" si="31"/>
        <v>-71.040000000000148</v>
      </c>
      <c r="E100" s="57">
        <f t="shared" si="29"/>
        <v>1.4800000000000006</v>
      </c>
      <c r="F100" s="2">
        <f t="shared" si="21"/>
        <v>-71</v>
      </c>
      <c r="G100" s="2">
        <f t="shared" si="22"/>
        <v>25</v>
      </c>
      <c r="H100" s="3">
        <f t="shared" si="19"/>
        <v>0.26041666666666669</v>
      </c>
      <c r="I100" s="61">
        <f t="shared" si="23"/>
        <v>-2612</v>
      </c>
      <c r="J100" s="61">
        <f t="shared" si="24"/>
        <v>-3425.0970033409949</v>
      </c>
      <c r="K100" s="11">
        <f t="shared" si="25"/>
        <v>-55.351999999999997</v>
      </c>
    </row>
    <row r="101" spans="1:11" x14ac:dyDescent="0.25">
      <c r="A101" s="57">
        <f t="shared" si="26"/>
        <v>9.9999999999992473E-3</v>
      </c>
      <c r="B101" s="2">
        <f t="shared" si="20"/>
        <v>-99.000000000000071</v>
      </c>
      <c r="C101" s="2">
        <f t="shared" si="27"/>
        <v>0.99999999999992473</v>
      </c>
      <c r="D101" s="58">
        <f>(A101^2)*$M$2+A101*$N$2+$O$2</f>
        <v>-73.010000000000147</v>
      </c>
      <c r="E101" s="57">
        <f t="shared" si="29"/>
        <v>1.4900000000000007</v>
      </c>
      <c r="F101" s="2">
        <f t="shared" si="21"/>
        <v>-73</v>
      </c>
      <c r="G101" s="2">
        <f t="shared" si="22"/>
        <v>25</v>
      </c>
      <c r="H101" s="3">
        <f t="shared" si="19"/>
        <v>0.25510204081632654</v>
      </c>
      <c r="I101" s="61">
        <f t="shared" si="23"/>
        <v>-2706</v>
      </c>
      <c r="J101" s="61">
        <f t="shared" si="24"/>
        <v>-3536.036524243932</v>
      </c>
      <c r="K101" s="11">
        <f t="shared" si="25"/>
        <v>-57.025999999999996</v>
      </c>
    </row>
    <row r="102" spans="1:11" x14ac:dyDescent="0.25">
      <c r="A102" s="57">
        <f>A101-0.01</f>
        <v>-7.5286998857393428E-16</v>
      </c>
      <c r="B102" s="2">
        <f t="shared" si="20"/>
        <v>-100.00000000000007</v>
      </c>
      <c r="C102" s="2">
        <f>(A102)*100</f>
        <v>-7.5286998857393428E-14</v>
      </c>
      <c r="D102" s="58">
        <f>(A102^2)*$M$2+A102*$N$2+$O$2</f>
        <v>-75.000000000000156</v>
      </c>
      <c r="E102" s="57">
        <f>1.5-A102</f>
        <v>1.5000000000000007</v>
      </c>
      <c r="F102" s="2">
        <f t="shared" si="21"/>
        <v>-75</v>
      </c>
      <c r="G102" s="2">
        <f t="shared" si="22"/>
        <v>25</v>
      </c>
      <c r="H102" s="3">
        <f t="shared" si="19"/>
        <v>0.25</v>
      </c>
      <c r="I102" s="61">
        <f t="shared" si="23"/>
        <v>-2800</v>
      </c>
      <c r="J102" s="61">
        <f t="shared" si="24"/>
        <v>-3646.9760451468696</v>
      </c>
      <c r="K102" s="11">
        <f t="shared" si="25"/>
        <v>-58.699999999999996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S145"/>
  <sheetViews>
    <sheetView workbookViewId="0">
      <selection activeCell="B35" sqref="B35"/>
    </sheetView>
  </sheetViews>
  <sheetFormatPr defaultRowHeight="15" x14ac:dyDescent="0.25"/>
  <cols>
    <col min="1" max="1" width="20.5703125" bestFit="1" customWidth="1"/>
    <col min="2" max="2" width="15.7109375" bestFit="1" customWidth="1"/>
    <col min="3" max="3" width="15.7109375" customWidth="1"/>
    <col min="4" max="4" width="15.42578125" customWidth="1"/>
    <col min="5" max="5" width="13.5703125" customWidth="1"/>
    <col min="6" max="19" width="8.7109375" customWidth="1"/>
    <col min="20" max="20" width="20.7109375" customWidth="1"/>
    <col min="21" max="21" width="20.7109375" bestFit="1" customWidth="1"/>
    <col min="22" max="22" width="20.42578125" bestFit="1" customWidth="1"/>
  </cols>
  <sheetData>
    <row r="1" spans="1:19" x14ac:dyDescent="0.25">
      <c r="B1">
        <v>1</v>
      </c>
      <c r="C1">
        <f>B1+1</f>
        <v>2</v>
      </c>
      <c r="D1">
        <f t="shared" ref="D1:K1" si="0">C1+1</f>
        <v>3</v>
      </c>
      <c r="E1">
        <f t="shared" si="0"/>
        <v>4</v>
      </c>
      <c r="F1">
        <f t="shared" si="0"/>
        <v>5</v>
      </c>
      <c r="G1">
        <f t="shared" si="0"/>
        <v>6</v>
      </c>
      <c r="H1">
        <f t="shared" si="0"/>
        <v>7</v>
      </c>
      <c r="I1">
        <f t="shared" si="0"/>
        <v>8</v>
      </c>
      <c r="J1">
        <f t="shared" si="0"/>
        <v>9</v>
      </c>
      <c r="K1">
        <f t="shared" si="0"/>
        <v>10</v>
      </c>
      <c r="L1">
        <f>K1+1</f>
        <v>11</v>
      </c>
      <c r="M1">
        <f>L1+1</f>
        <v>12</v>
      </c>
      <c r="N1">
        <f>M1+1</f>
        <v>13</v>
      </c>
    </row>
    <row r="2" spans="1:19" x14ac:dyDescent="0.25">
      <c r="A2" t="s">
        <v>20</v>
      </c>
      <c r="B2" s="2">
        <f>SUMIF(Finals!$C$2:$C$501,$A2&amp;"-"&amp;B$1,Finals!$O$2:$O$501)</f>
        <v>109.58999999999997</v>
      </c>
      <c r="C2" s="2">
        <f>SUMIF(Finals!$C$2:$C$501,$A2&amp;"-"&amp;C$1,Finals!$O$2:$O$501)</f>
        <v>111.78</v>
      </c>
      <c r="D2" s="2" t="e">
        <f>SUMIF(Finals!$C$2:$C$501,$A2&amp;"-"&amp;D$1,Finals!$O$2:$O$501)</f>
        <v>#N/A</v>
      </c>
      <c r="E2" s="2" t="e">
        <f>SUMIF(Finals!$C$2:$C$501,$A2&amp;"-"&amp;E$1,Finals!$O$2:$O$501)</f>
        <v>#N/A</v>
      </c>
      <c r="F2" s="2">
        <f>SUMIF(Finals!$C$2:$C$501,$A2&amp;"-"&amp;F$1,Finals!$O$2:$O$501)</f>
        <v>113.83999999999999</v>
      </c>
      <c r="G2" s="2">
        <f>SUMIF(Finals!$C$2:$C$501,$A2&amp;"-"&amp;G$1,Finals!$O$2:$O$501)</f>
        <v>0</v>
      </c>
      <c r="H2" s="2">
        <f>SUMIF(Finals!$C$2:$C$501,$A2&amp;"-"&amp;H$1,Finals!$O$2:$O$501)</f>
        <v>0</v>
      </c>
      <c r="I2" s="2">
        <f>SUMIF(Finals!$C$2:$C$501,$A2&amp;"-"&amp;I$1,Finals!$O$2:$O$501)</f>
        <v>0</v>
      </c>
      <c r="J2" s="2">
        <f>SUMIF(Finals!$C$2:$C$501,$A2&amp;"-"&amp;J$1,Finals!$O$2:$O$501)</f>
        <v>0</v>
      </c>
      <c r="K2" s="2">
        <f>SUMIF(Finals!$C$2:$C$501,$A2&amp;"-"&amp;K$1,Finals!$O$2:$O$501)</f>
        <v>0</v>
      </c>
      <c r="L2" s="2">
        <f>SUMIF(Finals!$C$2:$C$501,$A2&amp;"-"&amp;L$1,Finals!$O$2:$O$501)</f>
        <v>0</v>
      </c>
      <c r="M2" s="2">
        <f>SUMIF(Finals!$C$2:$C$501,$A2&amp;"-"&amp;M$1,Finals!$O$2:$O$501)</f>
        <v>0</v>
      </c>
      <c r="N2" s="2">
        <f>SUMIF(Finals!$C$2:$C$501,$A2&amp;"-"&amp;N$1,Finals!$O$2:$O$501)</f>
        <v>0</v>
      </c>
      <c r="O2" s="2" t="e">
        <f>SUM(B2:N2)</f>
        <v>#N/A</v>
      </c>
      <c r="Q2" t="s">
        <v>1137</v>
      </c>
      <c r="R2" s="2" t="e">
        <f>AVERAGE(B2:N11)</f>
        <v>#N/A</v>
      </c>
      <c r="S2" s="2" t="e">
        <f>SUM(B2:N11)</f>
        <v>#N/A</v>
      </c>
    </row>
    <row r="3" spans="1:19" x14ac:dyDescent="0.25">
      <c r="A3" t="s">
        <v>16</v>
      </c>
      <c r="B3" s="2" t="e">
        <f>SUMIF(Finals!$C$2:$C$501,$A3&amp;"-"&amp;B$1,Finals!$O$2:$O$501)</f>
        <v>#N/A</v>
      </c>
      <c r="C3" s="2" t="e">
        <f>SUMIF(Finals!$C$2:$C$501,$A3&amp;"-"&amp;C$1,Finals!$O$2:$O$501)</f>
        <v>#N/A</v>
      </c>
      <c r="D3" s="2">
        <f>SUMIF(Finals!$C$2:$C$501,$A3&amp;"-"&amp;D$1,Finals!$O$2:$O$501)</f>
        <v>104.77000000000001</v>
      </c>
      <c r="E3" s="2">
        <f>SUMIF(Finals!$C$2:$C$501,$A3&amp;"-"&amp;E$1,Finals!$O$2:$O$501)</f>
        <v>108.94</v>
      </c>
      <c r="F3" s="2">
        <f>SUMIF(Finals!$C$2:$C$501,$A3&amp;"-"&amp;F$1,Finals!$O$2:$O$501)</f>
        <v>110.11999999999999</v>
      </c>
      <c r="G3" s="2">
        <f>SUMIF(Finals!$C$2:$C$501,$A3&amp;"-"&amp;G$1,Finals!$O$2:$O$501)</f>
        <v>0</v>
      </c>
      <c r="H3" s="2">
        <f>SUMIF(Finals!$C$2:$C$501,$A3&amp;"-"&amp;H$1,Finals!$O$2:$O$501)</f>
        <v>0</v>
      </c>
      <c r="I3" s="2">
        <f>SUMIF(Finals!$C$2:$C$501,$A3&amp;"-"&amp;I$1,Finals!$O$2:$O$501)</f>
        <v>0</v>
      </c>
      <c r="J3" s="2">
        <f>SUMIF(Finals!$C$2:$C$501,$A3&amp;"-"&amp;J$1,Finals!$O$2:$O$501)</f>
        <v>0</v>
      </c>
      <c r="K3" s="2">
        <f>SUMIF(Finals!$C$2:$C$501,$A3&amp;"-"&amp;K$1,Finals!$O$2:$O$501)</f>
        <v>0</v>
      </c>
      <c r="L3" s="2">
        <f>SUMIF(Finals!$C$2:$C$501,$A3&amp;"-"&amp;L$1,Finals!$O$2:$O$501)</f>
        <v>0</v>
      </c>
      <c r="M3" s="2">
        <f>SUMIF(Finals!$C$2:$C$501,$A3&amp;"-"&amp;M$1,Finals!$O$2:$O$501)</f>
        <v>0</v>
      </c>
      <c r="N3" s="2">
        <f>SUMIF(Finals!$C$2:$C$501,$A3&amp;"-"&amp;N$1,Finals!$O$2:$O$501)</f>
        <v>0</v>
      </c>
      <c r="O3" s="2" t="e">
        <f t="shared" ref="O3:O11" si="1">SUM(B3:N3)</f>
        <v>#N/A</v>
      </c>
      <c r="Q3" t="s">
        <v>8</v>
      </c>
      <c r="R3" s="2" t="e">
        <f>SQRT(SUMSQ(B14:N23)/COUNT(B14:N23)^2)</f>
        <v>#N/A</v>
      </c>
      <c r="S3" s="2" t="e">
        <f>SQRT(SUMSQ(B14:N23))</f>
        <v>#N/A</v>
      </c>
    </row>
    <row r="4" spans="1:19" x14ac:dyDescent="0.25">
      <c r="A4" t="s">
        <v>55</v>
      </c>
      <c r="B4" s="2">
        <f>SUMIF(Finals!$C$2:$C$501,$A4&amp;"-"&amp;B$1,Finals!$O$2:$O$501)</f>
        <v>129.06</v>
      </c>
      <c r="C4" s="2">
        <f>SUMIF(Finals!$C$2:$C$501,$A4&amp;"-"&amp;C$1,Finals!$O$2:$O$501)</f>
        <v>115.60000000000001</v>
      </c>
      <c r="D4" s="2">
        <f>SUMIF(Finals!$C$2:$C$501,$A4&amp;"-"&amp;D$1,Finals!$O$2:$O$501)</f>
        <v>116.36</v>
      </c>
      <c r="E4" s="2">
        <f>SUMIF(Finals!$C$2:$C$501,$A4&amp;"-"&amp;E$1,Finals!$O$2:$O$501)</f>
        <v>116.14999999999998</v>
      </c>
      <c r="F4" s="2">
        <f>SUMIF(Finals!$C$2:$C$501,$A4&amp;"-"&amp;F$1,Finals!$O$2:$O$501)</f>
        <v>111.41999999999999</v>
      </c>
      <c r="G4" s="2">
        <f>SUMIF(Finals!$C$2:$C$501,$A4&amp;"-"&amp;G$1,Finals!$O$2:$O$501)</f>
        <v>0</v>
      </c>
      <c r="H4" s="2">
        <f>SUMIF(Finals!$C$2:$C$501,$A4&amp;"-"&amp;H$1,Finals!$O$2:$O$501)</f>
        <v>0</v>
      </c>
      <c r="I4" s="2">
        <f>SUMIF(Finals!$C$2:$C$501,$A4&amp;"-"&amp;I$1,Finals!$O$2:$O$501)</f>
        <v>0</v>
      </c>
      <c r="J4" s="2">
        <f>SUMIF(Finals!$C$2:$C$501,$A4&amp;"-"&amp;J$1,Finals!$O$2:$O$501)</f>
        <v>0</v>
      </c>
      <c r="K4" s="2">
        <f>SUMIF(Finals!$C$2:$C$501,$A4&amp;"-"&amp;K$1,Finals!$O$2:$O$501)</f>
        <v>0</v>
      </c>
      <c r="L4" s="2">
        <f>SUMIF(Finals!$C$2:$C$501,$A4&amp;"-"&amp;L$1,Finals!$O$2:$O$501)</f>
        <v>0</v>
      </c>
      <c r="M4" s="2">
        <f>SUMIF(Finals!$C$2:$C$501,$A4&amp;"-"&amp;M$1,Finals!$O$2:$O$501)</f>
        <v>0</v>
      </c>
      <c r="N4" s="2">
        <f>SUMIF(Finals!$C$2:$C$501,$A4&amp;"-"&amp;N$1,Finals!$O$2:$O$501)</f>
        <v>0</v>
      </c>
      <c r="O4" s="2">
        <f t="shared" si="1"/>
        <v>588.59</v>
      </c>
      <c r="Q4" t="s">
        <v>896</v>
      </c>
      <c r="R4" s="2">
        <f>AVERAGE(B26:N35)</f>
        <v>33.885384615384609</v>
      </c>
      <c r="S4" s="2">
        <f>SUM(B26:N35)</f>
        <v>4405.0999999999995</v>
      </c>
    </row>
    <row r="5" spans="1:19" x14ac:dyDescent="0.25">
      <c r="A5" t="s">
        <v>35</v>
      </c>
      <c r="B5" s="2">
        <f>SUMIF(Finals!$C$2:$C$501,$A5&amp;"-"&amp;B$1,Finals!$O$2:$O$501)</f>
        <v>108.89999999999999</v>
      </c>
      <c r="C5" s="2">
        <f>SUMIF(Finals!$C$2:$C$501,$A5&amp;"-"&amp;C$1,Finals!$O$2:$O$501)</f>
        <v>106.24</v>
      </c>
      <c r="D5" s="2">
        <f>SUMIF(Finals!$C$2:$C$501,$A5&amp;"-"&amp;D$1,Finals!$O$2:$O$501)</f>
        <v>103.09</v>
      </c>
      <c r="E5" s="2">
        <f>SUMIF(Finals!$C$2:$C$501,$A5&amp;"-"&amp;E$1,Finals!$O$2:$O$501)</f>
        <v>91.81</v>
      </c>
      <c r="F5" s="2">
        <f>SUMIF(Finals!$C$2:$C$501,$A5&amp;"-"&amp;F$1,Finals!$O$2:$O$501)</f>
        <v>107.52</v>
      </c>
      <c r="G5" s="2">
        <f>SUMIF(Finals!$C$2:$C$501,$A5&amp;"-"&amp;G$1,Finals!$O$2:$O$501)</f>
        <v>0</v>
      </c>
      <c r="H5" s="2">
        <f>SUMIF(Finals!$C$2:$C$501,$A5&amp;"-"&amp;H$1,Finals!$O$2:$O$501)</f>
        <v>0</v>
      </c>
      <c r="I5" s="2">
        <f>SUMIF(Finals!$C$2:$C$501,$A5&amp;"-"&amp;I$1,Finals!$O$2:$O$501)</f>
        <v>0</v>
      </c>
      <c r="J5" s="2">
        <f>SUMIF(Finals!$C$2:$C$501,$A5&amp;"-"&amp;J$1,Finals!$O$2:$O$501)</f>
        <v>0</v>
      </c>
      <c r="K5" s="2">
        <f>SUMIF(Finals!$C$2:$C$501,$A5&amp;"-"&amp;K$1,Finals!$O$2:$O$501)</f>
        <v>0</v>
      </c>
      <c r="L5" s="2">
        <f>SUMIF(Finals!$C$2:$C$501,$A5&amp;"-"&amp;L$1,Finals!$O$2:$O$501)</f>
        <v>0</v>
      </c>
      <c r="M5" s="2">
        <f>SUMIF(Finals!$C$2:$C$501,$A5&amp;"-"&amp;M$1,Finals!$O$2:$O$501)</f>
        <v>0</v>
      </c>
      <c r="N5" s="2">
        <f>SUMIF(Finals!$C$2:$C$501,$A5&amp;"-"&amp;N$1,Finals!$O$2:$O$501)</f>
        <v>0</v>
      </c>
      <c r="O5" s="2">
        <f t="shared" si="1"/>
        <v>517.56000000000006</v>
      </c>
      <c r="Q5" t="s">
        <v>1138</v>
      </c>
      <c r="R5" s="3" t="e">
        <f>_xlfn.NORM.DIST(R4,R2,R3,TRUE)</f>
        <v>#N/A</v>
      </c>
      <c r="S5" s="3" t="e">
        <f>_xlfn.NORM.DIST(S4,S2,S3,TRUE)</f>
        <v>#N/A</v>
      </c>
    </row>
    <row r="6" spans="1:19" x14ac:dyDescent="0.25">
      <c r="A6" t="s">
        <v>27</v>
      </c>
      <c r="B6" s="2" t="e">
        <f>SUMIF(Finals!$C$2:$C$501,$A6&amp;"-"&amp;B$1,Finals!$O$2:$O$501)</f>
        <v>#N/A</v>
      </c>
      <c r="C6" s="2">
        <f>SUMIF(Finals!$C$2:$C$501,$A6&amp;"-"&amp;C$1,Finals!$O$2:$O$501)</f>
        <v>98.98</v>
      </c>
      <c r="D6" s="2">
        <f>SUMIF(Finals!$C$2:$C$501,$A6&amp;"-"&amp;D$1,Finals!$O$2:$O$501)</f>
        <v>98.379999999999981</v>
      </c>
      <c r="E6" s="2">
        <f>SUMIF(Finals!$C$2:$C$501,$A6&amp;"-"&amp;E$1,Finals!$O$2:$O$501)</f>
        <v>104.52999999999999</v>
      </c>
      <c r="F6" s="2">
        <f>SUMIF(Finals!$C$2:$C$501,$A6&amp;"-"&amp;F$1,Finals!$O$2:$O$501)</f>
        <v>103.16000000000001</v>
      </c>
      <c r="G6" s="2">
        <f>SUMIF(Finals!$C$2:$C$501,$A6&amp;"-"&amp;G$1,Finals!$O$2:$O$501)</f>
        <v>0</v>
      </c>
      <c r="H6" s="2">
        <f>SUMIF(Finals!$C$2:$C$501,$A6&amp;"-"&amp;H$1,Finals!$O$2:$O$501)</f>
        <v>0</v>
      </c>
      <c r="I6" s="2">
        <f>SUMIF(Finals!$C$2:$C$501,$A6&amp;"-"&amp;I$1,Finals!$O$2:$O$501)</f>
        <v>0</v>
      </c>
      <c r="J6" s="2">
        <f>SUMIF(Finals!$C$2:$C$501,$A6&amp;"-"&amp;J$1,Finals!$O$2:$O$501)</f>
        <v>0</v>
      </c>
      <c r="K6" s="2">
        <f>SUMIF(Finals!$C$2:$C$501,$A6&amp;"-"&amp;K$1,Finals!$O$2:$O$501)</f>
        <v>0</v>
      </c>
      <c r="L6" s="2">
        <f>SUMIF(Finals!$C$2:$C$501,$A6&amp;"-"&amp;L$1,Finals!$O$2:$O$501)</f>
        <v>0</v>
      </c>
      <c r="M6" s="2">
        <f>SUMIF(Finals!$C$2:$C$501,$A6&amp;"-"&amp;M$1,Finals!$O$2:$O$501)</f>
        <v>0</v>
      </c>
      <c r="N6" s="2">
        <f>SUMIF(Finals!$C$2:$C$501,$A6&amp;"-"&amp;N$1,Finals!$O$2:$O$501)</f>
        <v>0</v>
      </c>
      <c r="O6" s="2" t="e">
        <f t="shared" si="1"/>
        <v>#N/A</v>
      </c>
    </row>
    <row r="7" spans="1:19" x14ac:dyDescent="0.25">
      <c r="A7" t="s">
        <v>62</v>
      </c>
      <c r="B7" s="2">
        <f>SUMIF(Finals!$C$2:$C$501,$A7&amp;"-"&amp;B$1,Finals!$O$2:$O$501)</f>
        <v>102.56000000000002</v>
      </c>
      <c r="C7" s="2">
        <f>SUMIF(Finals!$C$2:$C$501,$A7&amp;"-"&amp;C$1,Finals!$O$2:$O$501)</f>
        <v>102.22</v>
      </c>
      <c r="D7" s="2">
        <f>SUMIF(Finals!$C$2:$C$501,$A7&amp;"-"&amp;D$1,Finals!$O$2:$O$501)</f>
        <v>106.48</v>
      </c>
      <c r="E7" s="2">
        <f>SUMIF(Finals!$C$2:$C$501,$A7&amp;"-"&amp;E$1,Finals!$O$2:$O$501)</f>
        <v>114.99999999999999</v>
      </c>
      <c r="F7" s="2">
        <f>SUMIF(Finals!$C$2:$C$501,$A7&amp;"-"&amp;F$1,Finals!$O$2:$O$501)</f>
        <v>115.87</v>
      </c>
      <c r="G7" s="2">
        <f>SUMIF(Finals!$C$2:$C$501,$A7&amp;"-"&amp;G$1,Finals!$O$2:$O$501)</f>
        <v>0</v>
      </c>
      <c r="H7" s="2">
        <f>SUMIF(Finals!$C$2:$C$501,$A7&amp;"-"&amp;H$1,Finals!$O$2:$O$501)</f>
        <v>0</v>
      </c>
      <c r="I7" s="2">
        <f>SUMIF(Finals!$C$2:$C$501,$A7&amp;"-"&amp;I$1,Finals!$O$2:$O$501)</f>
        <v>0</v>
      </c>
      <c r="J7" s="2">
        <f>SUMIF(Finals!$C$2:$C$501,$A7&amp;"-"&amp;J$1,Finals!$O$2:$O$501)</f>
        <v>0</v>
      </c>
      <c r="K7" s="2">
        <f>SUMIF(Finals!$C$2:$C$501,$A7&amp;"-"&amp;K$1,Finals!$O$2:$O$501)</f>
        <v>0</v>
      </c>
      <c r="L7" s="2">
        <f>SUMIF(Finals!$C$2:$C$501,$A7&amp;"-"&amp;L$1,Finals!$O$2:$O$501)</f>
        <v>0</v>
      </c>
      <c r="M7" s="2">
        <f>SUMIF(Finals!$C$2:$C$501,$A7&amp;"-"&amp;M$1,Finals!$O$2:$O$501)</f>
        <v>0</v>
      </c>
      <c r="N7" s="2">
        <f>SUMIF(Finals!$C$2:$C$501,$A7&amp;"-"&amp;N$1,Finals!$O$2:$O$501)</f>
        <v>0</v>
      </c>
      <c r="O7" s="2">
        <f t="shared" si="1"/>
        <v>542.13000000000011</v>
      </c>
    </row>
    <row r="8" spans="1:19" x14ac:dyDescent="0.25">
      <c r="A8" t="s">
        <v>1648</v>
      </c>
      <c r="B8" s="2">
        <f>SUMIF(Finals!$C$2:$C$501,$A8&amp;"-"&amp;B$1,Finals!$O$2:$O$501)</f>
        <v>101.61</v>
      </c>
      <c r="C8" s="2">
        <f>SUMIF(Finals!$C$2:$C$501,$A8&amp;"-"&amp;C$1,Finals!$O$2:$O$501)</f>
        <v>101.2</v>
      </c>
      <c r="D8" s="2">
        <f>SUMIF(Finals!$C$2:$C$501,$A8&amp;"-"&amp;D$1,Finals!$O$2:$O$501)</f>
        <v>108.81</v>
      </c>
      <c r="E8" s="2">
        <f>SUMIF(Finals!$C$2:$C$501,$A8&amp;"-"&amp;E$1,Finals!$O$2:$O$501)</f>
        <v>106.52</v>
      </c>
      <c r="F8" s="2">
        <f>SUMIF(Finals!$C$2:$C$501,$A8&amp;"-"&amp;F$1,Finals!$O$2:$O$501)</f>
        <v>105.09</v>
      </c>
      <c r="G8" s="2">
        <f>SUMIF(Finals!$C$2:$C$501,$A8&amp;"-"&amp;G$1,Finals!$O$2:$O$501)</f>
        <v>0</v>
      </c>
      <c r="H8" s="2">
        <f>SUMIF(Finals!$C$2:$C$501,$A8&amp;"-"&amp;H$1,Finals!$O$2:$O$501)</f>
        <v>0</v>
      </c>
      <c r="I8" s="2">
        <f>SUMIF(Finals!$C$2:$C$501,$A8&amp;"-"&amp;I$1,Finals!$O$2:$O$501)</f>
        <v>0</v>
      </c>
      <c r="J8" s="2">
        <f>SUMIF(Finals!$C$2:$C$501,$A8&amp;"-"&amp;J$1,Finals!$O$2:$O$501)</f>
        <v>0</v>
      </c>
      <c r="K8" s="2">
        <f>SUMIF(Finals!$C$2:$C$501,$A8&amp;"-"&amp;K$1,Finals!$O$2:$O$501)</f>
        <v>0</v>
      </c>
      <c r="L8" s="2">
        <f>SUMIF(Finals!$C$2:$C$501,$A8&amp;"-"&amp;L$1,Finals!$O$2:$O$501)</f>
        <v>0</v>
      </c>
      <c r="M8" s="2">
        <f>SUMIF(Finals!$C$2:$C$501,$A8&amp;"-"&amp;M$1,Finals!$O$2:$O$501)</f>
        <v>0</v>
      </c>
      <c r="N8" s="2">
        <f>SUMIF(Finals!$C$2:$C$501,$A8&amp;"-"&amp;N$1,Finals!$O$2:$O$501)</f>
        <v>0</v>
      </c>
      <c r="O8" s="2">
        <f t="shared" si="1"/>
        <v>523.23</v>
      </c>
    </row>
    <row r="9" spans="1:19" x14ac:dyDescent="0.25">
      <c r="A9" t="s">
        <v>23</v>
      </c>
      <c r="B9" s="2" t="e">
        <f>SUMIF(Finals!$C$2:$C$501,$A9&amp;"-"&amp;B$1,Finals!$O$2:$O$501)</f>
        <v>#N/A</v>
      </c>
      <c r="C9" s="2" t="e">
        <f>SUMIF(Finals!$C$2:$C$501,$A9&amp;"-"&amp;C$1,Finals!$O$2:$O$501)</f>
        <v>#N/A</v>
      </c>
      <c r="D9" s="2">
        <f>SUMIF(Finals!$C$2:$C$501,$A9&amp;"-"&amp;D$1,Finals!$O$2:$O$501)</f>
        <v>107.03999999999999</v>
      </c>
      <c r="E9" s="2">
        <f>SUMIF(Finals!$C$2:$C$501,$A9&amp;"-"&amp;E$1,Finals!$O$2:$O$501)</f>
        <v>107.76</v>
      </c>
      <c r="F9" s="2">
        <f>SUMIF(Finals!$C$2:$C$501,$A9&amp;"-"&amp;F$1,Finals!$O$2:$O$501)</f>
        <v>105.46</v>
      </c>
      <c r="G9" s="2">
        <f>SUMIF(Finals!$C$2:$C$501,$A9&amp;"-"&amp;G$1,Finals!$O$2:$O$501)</f>
        <v>0</v>
      </c>
      <c r="H9" s="2">
        <f>SUMIF(Finals!$C$2:$C$501,$A9&amp;"-"&amp;H$1,Finals!$O$2:$O$501)</f>
        <v>0</v>
      </c>
      <c r="I9" s="2">
        <f>SUMIF(Finals!$C$2:$C$501,$A9&amp;"-"&amp;I$1,Finals!$O$2:$O$501)</f>
        <v>0</v>
      </c>
      <c r="J9" s="2">
        <f>SUMIF(Finals!$C$2:$C$501,$A9&amp;"-"&amp;J$1,Finals!$O$2:$O$501)</f>
        <v>0</v>
      </c>
      <c r="K9" s="2">
        <f>SUMIF(Finals!$C$2:$C$501,$A9&amp;"-"&amp;K$1,Finals!$O$2:$O$501)</f>
        <v>0</v>
      </c>
      <c r="L9" s="2">
        <f>SUMIF(Finals!$C$2:$C$501,$A9&amp;"-"&amp;L$1,Finals!$O$2:$O$501)</f>
        <v>0</v>
      </c>
      <c r="M9" s="2">
        <f>SUMIF(Finals!$C$2:$C$501,$A9&amp;"-"&amp;M$1,Finals!$O$2:$O$501)</f>
        <v>0</v>
      </c>
      <c r="N9" s="2">
        <f>SUMIF(Finals!$C$2:$C$501,$A9&amp;"-"&amp;N$1,Finals!$O$2:$O$501)</f>
        <v>0</v>
      </c>
      <c r="O9" s="2" t="e">
        <f t="shared" si="1"/>
        <v>#N/A</v>
      </c>
    </row>
    <row r="10" spans="1:19" x14ac:dyDescent="0.25">
      <c r="A10" t="s">
        <v>49</v>
      </c>
      <c r="B10" s="2">
        <f>SUMIF(Finals!$C$2:$C$501,$A10&amp;"-"&amp;B$1,Finals!$O$2:$O$501)</f>
        <v>106.17000000000002</v>
      </c>
      <c r="C10" s="2">
        <f>SUMIF(Finals!$C$2:$C$501,$A10&amp;"-"&amp;C$1,Finals!$O$2:$O$501)</f>
        <v>110.97</v>
      </c>
      <c r="D10" s="2">
        <f>SUMIF(Finals!$C$2:$C$501,$A10&amp;"-"&amp;D$1,Finals!$O$2:$O$501)</f>
        <v>105.74</v>
      </c>
      <c r="E10" s="2" t="e">
        <f>SUMIF(Finals!$C$2:$C$501,$A10&amp;"-"&amp;E$1,Finals!$O$2:$O$501)</f>
        <v>#N/A</v>
      </c>
      <c r="F10" s="2">
        <f>SUMIF(Finals!$C$2:$C$501,$A10&amp;"-"&amp;F$1,Finals!$O$2:$O$501)</f>
        <v>113.56</v>
      </c>
      <c r="G10" s="2">
        <f>SUMIF(Finals!$C$2:$C$501,$A10&amp;"-"&amp;G$1,Finals!$O$2:$O$501)</f>
        <v>0</v>
      </c>
      <c r="H10" s="2">
        <f>SUMIF(Finals!$C$2:$C$501,$A10&amp;"-"&amp;H$1,Finals!$O$2:$O$501)</f>
        <v>0</v>
      </c>
      <c r="I10" s="2">
        <f>SUMIF(Finals!$C$2:$C$501,$A10&amp;"-"&amp;I$1,Finals!$O$2:$O$501)</f>
        <v>0</v>
      </c>
      <c r="J10" s="2">
        <f>SUMIF(Finals!$C$2:$C$501,$A10&amp;"-"&amp;J$1,Finals!$O$2:$O$501)</f>
        <v>0</v>
      </c>
      <c r="K10" s="2">
        <f>SUMIF(Finals!$C$2:$C$501,$A10&amp;"-"&amp;K$1,Finals!$O$2:$O$501)</f>
        <v>0</v>
      </c>
      <c r="L10" s="2">
        <f>SUMIF(Finals!$C$2:$C$501,$A10&amp;"-"&amp;L$1,Finals!$O$2:$O$501)</f>
        <v>0</v>
      </c>
      <c r="M10" s="2">
        <f>SUMIF(Finals!$C$2:$C$501,$A10&amp;"-"&amp;M$1,Finals!$O$2:$O$501)</f>
        <v>0</v>
      </c>
      <c r="N10" s="2">
        <f>SUMIF(Finals!$C$2:$C$501,$A10&amp;"-"&amp;N$1,Finals!$O$2:$O$501)</f>
        <v>0</v>
      </c>
      <c r="O10" s="2" t="e">
        <f t="shared" si="1"/>
        <v>#N/A</v>
      </c>
    </row>
    <row r="11" spans="1:19" x14ac:dyDescent="0.25">
      <c r="A11" t="s">
        <v>44</v>
      </c>
      <c r="B11" s="2">
        <f>SUMIF(Finals!$C$2:$C$501,$A11&amp;"-"&amp;B$1,Finals!$O$2:$O$501)</f>
        <v>104.54999999999998</v>
      </c>
      <c r="C11" s="2">
        <f>SUMIF(Finals!$C$2:$C$501,$A11&amp;"-"&amp;C$1,Finals!$O$2:$O$501)</f>
        <v>95.240000000000009</v>
      </c>
      <c r="D11" s="2">
        <f>SUMIF(Finals!$C$2:$C$501,$A11&amp;"-"&amp;D$1,Finals!$O$2:$O$501)</f>
        <v>111.86000000000001</v>
      </c>
      <c r="E11" s="2">
        <f>SUMIF(Finals!$C$2:$C$501,$A11&amp;"-"&amp;E$1,Finals!$O$2:$O$501)</f>
        <v>99.93</v>
      </c>
      <c r="F11" s="2">
        <f>SUMIF(Finals!$C$2:$C$501,$A11&amp;"-"&amp;F$1,Finals!$O$2:$O$501)</f>
        <v>96.220000000000013</v>
      </c>
      <c r="G11" s="2">
        <f>SUMIF(Finals!$C$2:$C$501,$A11&amp;"-"&amp;G$1,Finals!$O$2:$O$501)</f>
        <v>0</v>
      </c>
      <c r="H11" s="2">
        <f>SUMIF(Finals!$C$2:$C$501,$A11&amp;"-"&amp;H$1,Finals!$O$2:$O$501)</f>
        <v>0</v>
      </c>
      <c r="I11" s="2">
        <f>SUMIF(Finals!$C$2:$C$501,$A11&amp;"-"&amp;I$1,Finals!$O$2:$O$501)</f>
        <v>0</v>
      </c>
      <c r="J11" s="2">
        <f>SUMIF(Finals!$C$2:$C$501,$A11&amp;"-"&amp;J$1,Finals!$O$2:$O$501)</f>
        <v>0</v>
      </c>
      <c r="K11" s="2">
        <f>SUMIF(Finals!$C$2:$C$501,$A11&amp;"-"&amp;K$1,Finals!$O$2:$O$501)</f>
        <v>0</v>
      </c>
      <c r="L11" s="2">
        <f>SUMIF(Finals!$C$2:$C$501,$A11&amp;"-"&amp;L$1,Finals!$O$2:$O$501)</f>
        <v>0</v>
      </c>
      <c r="M11" s="2">
        <f>SUMIF(Finals!$C$2:$C$501,$A11&amp;"-"&amp;M$1,Finals!$O$2:$O$501)</f>
        <v>0</v>
      </c>
      <c r="N11" s="2">
        <f>SUMIF(Finals!$C$2:$C$501,$A11&amp;"-"&amp;N$1,Finals!$O$2:$O$501)</f>
        <v>0</v>
      </c>
      <c r="O11" s="2">
        <f t="shared" si="1"/>
        <v>507.8</v>
      </c>
    </row>
    <row r="13" spans="1:19" x14ac:dyDescent="0.25">
      <c r="B13">
        <v>1</v>
      </c>
      <c r="C13">
        <f>B13+1</f>
        <v>2</v>
      </c>
      <c r="D13">
        <f t="shared" ref="D13:K13" si="2">C13+1</f>
        <v>3</v>
      </c>
      <c r="E13">
        <f t="shared" si="2"/>
        <v>4</v>
      </c>
      <c r="F13">
        <f t="shared" si="2"/>
        <v>5</v>
      </c>
      <c r="G13">
        <f t="shared" si="2"/>
        <v>6</v>
      </c>
      <c r="H13">
        <f t="shared" si="2"/>
        <v>7</v>
      </c>
      <c r="I13">
        <f t="shared" si="2"/>
        <v>8</v>
      </c>
      <c r="J13">
        <f t="shared" si="2"/>
        <v>9</v>
      </c>
      <c r="K13">
        <f t="shared" si="2"/>
        <v>10</v>
      </c>
      <c r="L13">
        <f>K13+1</f>
        <v>11</v>
      </c>
      <c r="M13">
        <f>L13+1</f>
        <v>12</v>
      </c>
      <c r="N13">
        <f>M13+1</f>
        <v>13</v>
      </c>
    </row>
    <row r="14" spans="1:19" x14ac:dyDescent="0.25">
      <c r="A14" t="s">
        <v>20</v>
      </c>
      <c r="B14" s="2">
        <f>SQRT(SUMIF(Finals!$C$2:$C$501,$A14&amp;"-"&amp;B$1,Finals!$P$2:$P$501))</f>
        <v>20.631034874673642</v>
      </c>
      <c r="C14" s="2">
        <f>SQRT(SUMIF(Finals!$C$2:$C$501,$A14&amp;"-"&amp;C$1,Finals!$P$2:$P$501))</f>
        <v>20.778178457218043</v>
      </c>
      <c r="D14" s="2" t="e">
        <f>SQRT(SUMIF(Finals!$C$2:$C$501,$A14&amp;"-"&amp;D$1,Finals!$P$2:$P$501))</f>
        <v>#N/A</v>
      </c>
      <c r="E14" s="2" t="e">
        <f>SQRT(SUMIF(Finals!$C$2:$C$501,$A14&amp;"-"&amp;E$1,Finals!$P$2:$P$501))</f>
        <v>#N/A</v>
      </c>
      <c r="F14" s="2">
        <f>SQRT(SUMIF(Finals!$C$2:$C$501,$A14&amp;"-"&amp;F$1,Finals!$P$2:$P$501))</f>
        <v>22.139920957401813</v>
      </c>
      <c r="G14" s="2">
        <f>SQRT(SUMIF(Finals!$C$2:$C$501,$A14&amp;"-"&amp;G$1,Finals!$P$2:$P$501))</f>
        <v>0</v>
      </c>
      <c r="H14" s="2">
        <f>SQRT(SUMIF(Finals!$C$2:$C$501,$A14&amp;"-"&amp;H$1,Finals!$P$2:$P$501))</f>
        <v>0</v>
      </c>
      <c r="I14" s="2">
        <f>SQRT(SUMIF(Finals!$C$2:$C$501,$A14&amp;"-"&amp;I$1,Finals!$P$2:$P$501))</f>
        <v>0</v>
      </c>
      <c r="J14" s="2">
        <f>SQRT(SUMIF(Finals!$C$2:$C$501,$A14&amp;"-"&amp;J$1,Finals!$P$2:$P$501))</f>
        <v>0</v>
      </c>
      <c r="K14" s="2">
        <f>SQRT(SUMIF(Finals!$C$2:$C$501,$A14&amp;"-"&amp;K$1,Finals!$P$2:$P$501))</f>
        <v>0</v>
      </c>
      <c r="L14" s="2">
        <f>SQRT(SUMIF(Finals!$C$2:$C$501,$A14&amp;"-"&amp;L$1,Finals!$P$2:$P$501))</f>
        <v>0</v>
      </c>
      <c r="M14" s="2">
        <f>SQRT(SUMIF(Finals!$C$2:$C$501,$A14&amp;"-"&amp;M$1,Finals!$P$2:$P$501))</f>
        <v>0</v>
      </c>
      <c r="N14" s="2">
        <f>SQRT(SUMIF(Finals!$C$2:$C$501,$A14&amp;"-"&amp;N$1,Finals!$P$2:$P$501))</f>
        <v>0</v>
      </c>
      <c r="O14" s="2" t="e">
        <f>SQRT(SUMSQ(B14:N14))</f>
        <v>#N/A</v>
      </c>
      <c r="Q14" s="2"/>
    </row>
    <row r="15" spans="1:19" x14ac:dyDescent="0.25">
      <c r="A15" t="s">
        <v>16</v>
      </c>
      <c r="B15" s="2" t="e">
        <f>SQRT(SUMIF(Finals!$C$2:$C$501,$A15&amp;"-"&amp;B$1,Finals!$P$2:$P$501))</f>
        <v>#N/A</v>
      </c>
      <c r="C15" s="2" t="e">
        <f>SQRT(SUMIF(Finals!$C$2:$C$501,$A15&amp;"-"&amp;C$1,Finals!$P$2:$P$501))</f>
        <v>#N/A</v>
      </c>
      <c r="D15" s="2">
        <f>SQRT(SUMIF(Finals!$C$2:$C$501,$A15&amp;"-"&amp;D$1,Finals!$P$2:$P$501))</f>
        <v>18.757107986040918</v>
      </c>
      <c r="E15" s="2">
        <f>SQRT(SUMIF(Finals!$C$2:$C$501,$A15&amp;"-"&amp;E$1,Finals!$P$2:$P$501))</f>
        <v>20.332235489488113</v>
      </c>
      <c r="F15" s="2">
        <f>SQRT(SUMIF(Finals!$C$2:$C$501,$A15&amp;"-"&amp;F$1,Finals!$P$2:$P$501))</f>
        <v>18.869109676929646</v>
      </c>
      <c r="G15" s="2">
        <f>SQRT(SUMIF(Finals!$C$2:$C$501,$A15&amp;"-"&amp;G$1,Finals!$P$2:$P$501))</f>
        <v>0</v>
      </c>
      <c r="H15" s="2">
        <f>SQRT(SUMIF(Finals!$C$2:$C$501,$A15&amp;"-"&amp;H$1,Finals!$P$2:$P$501))</f>
        <v>0</v>
      </c>
      <c r="I15" s="2">
        <f>SQRT(SUMIF(Finals!$C$2:$C$501,$A15&amp;"-"&amp;I$1,Finals!$P$2:$P$501))</f>
        <v>0</v>
      </c>
      <c r="J15" s="2">
        <f>SQRT(SUMIF(Finals!$C$2:$C$501,$A15&amp;"-"&amp;J$1,Finals!$P$2:$P$501))</f>
        <v>0</v>
      </c>
      <c r="K15" s="2">
        <f>SQRT(SUMIF(Finals!$C$2:$C$501,$A15&amp;"-"&amp;K$1,Finals!$P$2:$P$501))</f>
        <v>0</v>
      </c>
      <c r="L15" s="2">
        <f>SQRT(SUMIF(Finals!$C$2:$C$501,$A15&amp;"-"&amp;L$1,Finals!$P$2:$P$501))</f>
        <v>0</v>
      </c>
      <c r="M15" s="2">
        <f>SQRT(SUMIF(Finals!$C$2:$C$501,$A15&amp;"-"&amp;M$1,Finals!$P$2:$P$501))</f>
        <v>0</v>
      </c>
      <c r="N15" s="2">
        <f>SQRT(SUMIF(Finals!$C$2:$C$501,$A15&amp;"-"&amp;N$1,Finals!$P$2:$P$501))</f>
        <v>0</v>
      </c>
      <c r="O15" s="2" t="e">
        <f t="shared" ref="O15:O23" si="3">SQRT(SUMSQ(B15:N15))</f>
        <v>#N/A</v>
      </c>
    </row>
    <row r="16" spans="1:19" x14ac:dyDescent="0.25">
      <c r="A16" t="s">
        <v>55</v>
      </c>
      <c r="B16" s="2">
        <f>SQRT(SUMIF(Finals!$C$2:$C$501,$A16&amp;"-"&amp;B$1,Finals!$P$2:$P$501))</f>
        <v>22.183538942197661</v>
      </c>
      <c r="C16" s="2">
        <f>SQRT(SUMIF(Finals!$C$2:$C$501,$A16&amp;"-"&amp;C$1,Finals!$P$2:$P$501))</f>
        <v>21.004980361809434</v>
      </c>
      <c r="D16" s="2">
        <f>SQRT(SUMIF(Finals!$C$2:$C$501,$A16&amp;"-"&amp;D$1,Finals!$P$2:$P$501))</f>
        <v>23.885581424784281</v>
      </c>
      <c r="E16" s="2">
        <f>SQRT(SUMIF(Finals!$C$2:$C$501,$A16&amp;"-"&amp;E$1,Finals!$P$2:$P$501))</f>
        <v>22.63083294976126</v>
      </c>
      <c r="F16" s="2">
        <f>SQRT(SUMIF(Finals!$C$2:$C$501,$A16&amp;"-"&amp;F$1,Finals!$P$2:$P$501))</f>
        <v>27.635395781497323</v>
      </c>
      <c r="G16" s="2">
        <f>SQRT(SUMIF(Finals!$C$2:$C$501,$A16&amp;"-"&amp;G$1,Finals!$P$2:$P$501))</f>
        <v>0</v>
      </c>
      <c r="H16" s="2">
        <f>SQRT(SUMIF(Finals!$C$2:$C$501,$A16&amp;"-"&amp;H$1,Finals!$P$2:$P$501))</f>
        <v>0</v>
      </c>
      <c r="I16" s="2">
        <f>SQRT(SUMIF(Finals!$C$2:$C$501,$A16&amp;"-"&amp;I$1,Finals!$P$2:$P$501))</f>
        <v>0</v>
      </c>
      <c r="J16" s="2">
        <f>SQRT(SUMIF(Finals!$C$2:$C$501,$A16&amp;"-"&amp;J$1,Finals!$P$2:$P$501))</f>
        <v>0</v>
      </c>
      <c r="K16" s="2">
        <f>SQRT(SUMIF(Finals!$C$2:$C$501,$A16&amp;"-"&amp;K$1,Finals!$P$2:$P$501))</f>
        <v>0</v>
      </c>
      <c r="L16" s="2">
        <f>SQRT(SUMIF(Finals!$C$2:$C$501,$A16&amp;"-"&amp;L$1,Finals!$P$2:$P$501))</f>
        <v>0</v>
      </c>
      <c r="M16" s="2">
        <f>SQRT(SUMIF(Finals!$C$2:$C$501,$A16&amp;"-"&amp;M$1,Finals!$P$2:$P$501))</f>
        <v>0</v>
      </c>
      <c r="N16" s="2">
        <f>SQRT(SUMIF(Finals!$C$2:$C$501,$A16&amp;"-"&amp;N$1,Finals!$P$2:$P$501))</f>
        <v>0</v>
      </c>
      <c r="O16" s="2">
        <f t="shared" si="3"/>
        <v>52.722948513906161</v>
      </c>
      <c r="Q16" s="2"/>
    </row>
    <row r="17" spans="1:15" x14ac:dyDescent="0.25">
      <c r="A17" t="s">
        <v>35</v>
      </c>
      <c r="B17" s="2">
        <f>SQRT(SUMIF(Finals!$C$2:$C$501,$A17&amp;"-"&amp;B$1,Finals!$P$2:$P$501))</f>
        <v>18.422049288827775</v>
      </c>
      <c r="C17" s="2">
        <f>SQRT(SUMIF(Finals!$C$2:$C$501,$A17&amp;"-"&amp;C$1,Finals!$P$2:$P$501))</f>
        <v>21.027848201848897</v>
      </c>
      <c r="D17" s="2">
        <f>SQRT(SUMIF(Finals!$C$2:$C$501,$A17&amp;"-"&amp;D$1,Finals!$P$2:$P$501))</f>
        <v>19.220054630515495</v>
      </c>
      <c r="E17" s="2">
        <f>SQRT(SUMIF(Finals!$C$2:$C$501,$A17&amp;"-"&amp;E$1,Finals!$P$2:$P$501))</f>
        <v>17.398640751506996</v>
      </c>
      <c r="F17" s="2">
        <f>SQRT(SUMIF(Finals!$C$2:$C$501,$A17&amp;"-"&amp;F$1,Finals!$P$2:$P$501))</f>
        <v>21.116794264281687</v>
      </c>
      <c r="G17" s="2">
        <f>SQRT(SUMIF(Finals!$C$2:$C$501,$A17&amp;"-"&amp;G$1,Finals!$P$2:$P$501))</f>
        <v>0</v>
      </c>
      <c r="H17" s="2">
        <f>SQRT(SUMIF(Finals!$C$2:$C$501,$A17&amp;"-"&amp;H$1,Finals!$P$2:$P$501))</f>
        <v>0</v>
      </c>
      <c r="I17" s="2">
        <f>SQRT(SUMIF(Finals!$C$2:$C$501,$A17&amp;"-"&amp;I$1,Finals!$P$2:$P$501))</f>
        <v>0</v>
      </c>
      <c r="J17" s="2">
        <f>SQRT(SUMIF(Finals!$C$2:$C$501,$A17&amp;"-"&amp;J$1,Finals!$P$2:$P$501))</f>
        <v>0</v>
      </c>
      <c r="K17" s="2">
        <f>SQRT(SUMIF(Finals!$C$2:$C$501,$A17&amp;"-"&amp;K$1,Finals!$P$2:$P$501))</f>
        <v>0</v>
      </c>
      <c r="L17" s="2">
        <f>SQRT(SUMIF(Finals!$C$2:$C$501,$A17&amp;"-"&amp;L$1,Finals!$P$2:$P$501))</f>
        <v>0</v>
      </c>
      <c r="M17" s="2">
        <f>SQRT(SUMIF(Finals!$C$2:$C$501,$A17&amp;"-"&amp;M$1,Finals!$P$2:$P$501))</f>
        <v>0</v>
      </c>
      <c r="N17" s="2">
        <f>SQRT(SUMIF(Finals!$C$2:$C$501,$A17&amp;"-"&amp;N$1,Finals!$P$2:$P$501))</f>
        <v>0</v>
      </c>
      <c r="O17" s="2">
        <f t="shared" si="3"/>
        <v>43.584223062938726</v>
      </c>
    </row>
    <row r="18" spans="1:15" x14ac:dyDescent="0.25">
      <c r="A18" t="s">
        <v>27</v>
      </c>
      <c r="B18" s="2" t="e">
        <f>SQRT(SUMIF(Finals!$C$2:$C$501,$A18&amp;"-"&amp;B$1,Finals!$P$2:$P$501))</f>
        <v>#N/A</v>
      </c>
      <c r="C18" s="2">
        <f>SQRT(SUMIF(Finals!$C$2:$C$501,$A18&amp;"-"&amp;C$1,Finals!$P$2:$P$501))</f>
        <v>21.068818191820821</v>
      </c>
      <c r="D18" s="2">
        <f>SQRT(SUMIF(Finals!$C$2:$C$501,$A18&amp;"-"&amp;D$1,Finals!$P$2:$P$501))</f>
        <v>20.70703503643146</v>
      </c>
      <c r="E18" s="2">
        <f>SQRT(SUMIF(Finals!$C$2:$C$501,$A18&amp;"-"&amp;E$1,Finals!$P$2:$P$501))</f>
        <v>19.696867771298056</v>
      </c>
      <c r="F18" s="2">
        <f>SQRT(SUMIF(Finals!$C$2:$C$501,$A18&amp;"-"&amp;F$1,Finals!$P$2:$P$501))</f>
        <v>20.255043816294251</v>
      </c>
      <c r="G18" s="2">
        <f>SQRT(SUMIF(Finals!$C$2:$C$501,$A18&amp;"-"&amp;G$1,Finals!$P$2:$P$501))</f>
        <v>0</v>
      </c>
      <c r="H18" s="2">
        <f>SQRT(SUMIF(Finals!$C$2:$C$501,$A18&amp;"-"&amp;H$1,Finals!$P$2:$P$501))</f>
        <v>0</v>
      </c>
      <c r="I18" s="2">
        <f>SQRT(SUMIF(Finals!$C$2:$C$501,$A18&amp;"-"&amp;I$1,Finals!$P$2:$P$501))</f>
        <v>0</v>
      </c>
      <c r="J18" s="2">
        <f>SQRT(SUMIF(Finals!$C$2:$C$501,$A18&amp;"-"&amp;J$1,Finals!$P$2:$P$501))</f>
        <v>0</v>
      </c>
      <c r="K18" s="2">
        <f>SQRT(SUMIF(Finals!$C$2:$C$501,$A18&amp;"-"&amp;K$1,Finals!$P$2:$P$501))</f>
        <v>0</v>
      </c>
      <c r="L18" s="2">
        <f>SQRT(SUMIF(Finals!$C$2:$C$501,$A18&amp;"-"&amp;L$1,Finals!$P$2:$P$501))</f>
        <v>0</v>
      </c>
      <c r="M18" s="2">
        <f>SQRT(SUMIF(Finals!$C$2:$C$501,$A18&amp;"-"&amp;M$1,Finals!$P$2:$P$501))</f>
        <v>0</v>
      </c>
      <c r="N18" s="2">
        <f>SQRT(SUMIF(Finals!$C$2:$C$501,$A18&amp;"-"&amp;N$1,Finals!$P$2:$P$501))</f>
        <v>0</v>
      </c>
      <c r="O18" s="2" t="e">
        <f t="shared" si="3"/>
        <v>#N/A</v>
      </c>
    </row>
    <row r="19" spans="1:15" x14ac:dyDescent="0.25">
      <c r="A19" t="s">
        <v>62</v>
      </c>
      <c r="B19" s="2">
        <f>SQRT(SUMIF(Finals!$C$2:$C$501,$A19&amp;"-"&amp;B$1,Finals!$P$2:$P$501))</f>
        <v>19.713107314677714</v>
      </c>
      <c r="C19" s="2">
        <f>SQRT(SUMIF(Finals!$C$2:$C$501,$A19&amp;"-"&amp;C$1,Finals!$P$2:$P$501))</f>
        <v>20.026302704193803</v>
      </c>
      <c r="D19" s="2">
        <f>SQRT(SUMIF(Finals!$C$2:$C$501,$A19&amp;"-"&amp;D$1,Finals!$P$2:$P$501))</f>
        <v>19.861258771789871</v>
      </c>
      <c r="E19" s="2">
        <f>SQRT(SUMIF(Finals!$C$2:$C$501,$A19&amp;"-"&amp;E$1,Finals!$P$2:$P$501))</f>
        <v>19.995857070903462</v>
      </c>
      <c r="F19" s="2">
        <f>SQRT(SUMIF(Finals!$C$2:$C$501,$A19&amp;"-"&amp;F$1,Finals!$P$2:$P$501))</f>
        <v>20.872479488551427</v>
      </c>
      <c r="G19" s="2">
        <f>SQRT(SUMIF(Finals!$C$2:$C$501,$A19&amp;"-"&amp;G$1,Finals!$P$2:$P$501))</f>
        <v>0</v>
      </c>
      <c r="H19" s="2">
        <f>SQRT(SUMIF(Finals!$C$2:$C$501,$A19&amp;"-"&amp;H$1,Finals!$P$2:$P$501))</f>
        <v>0</v>
      </c>
      <c r="I19" s="2">
        <f>SQRT(SUMIF(Finals!$C$2:$C$501,$A19&amp;"-"&amp;I$1,Finals!$P$2:$P$501))</f>
        <v>0</v>
      </c>
      <c r="J19" s="2">
        <f>SQRT(SUMIF(Finals!$C$2:$C$501,$A19&amp;"-"&amp;J$1,Finals!$P$2:$P$501))</f>
        <v>0</v>
      </c>
      <c r="K19" s="2">
        <f>SQRT(SUMIF(Finals!$C$2:$C$501,$A19&amp;"-"&amp;K$1,Finals!$P$2:$P$501))</f>
        <v>0</v>
      </c>
      <c r="L19" s="2">
        <f>SQRT(SUMIF(Finals!$C$2:$C$501,$A19&amp;"-"&amp;L$1,Finals!$P$2:$P$501))</f>
        <v>0</v>
      </c>
      <c r="M19" s="2">
        <f>SQRT(SUMIF(Finals!$C$2:$C$501,$A19&amp;"-"&amp;M$1,Finals!$P$2:$P$501))</f>
        <v>0</v>
      </c>
      <c r="N19" s="2">
        <f>SQRT(SUMIF(Finals!$C$2:$C$501,$A19&amp;"-"&amp;N$1,Finals!$P$2:$P$501))</f>
        <v>0</v>
      </c>
      <c r="O19" s="2">
        <f t="shared" si="3"/>
        <v>44.940223630952261</v>
      </c>
    </row>
    <row r="20" spans="1:15" x14ac:dyDescent="0.25">
      <c r="A20" t="s">
        <v>1648</v>
      </c>
      <c r="B20" s="2">
        <f>SQRT(SUMIF(Finals!$C$2:$C$501,$A20&amp;"-"&amp;B$1,Finals!$P$2:$P$501))</f>
        <v>18.880680602139321</v>
      </c>
      <c r="C20" s="2">
        <f>SQRT(SUMIF(Finals!$C$2:$C$501,$A20&amp;"-"&amp;C$1,Finals!$P$2:$P$501))</f>
        <v>19.774465858778587</v>
      </c>
      <c r="D20" s="2">
        <f>SQRT(SUMIF(Finals!$C$2:$C$501,$A20&amp;"-"&amp;D$1,Finals!$P$2:$P$501))</f>
        <v>19.67090491055254</v>
      </c>
      <c r="E20" s="2">
        <f>SQRT(SUMIF(Finals!$C$2:$C$501,$A20&amp;"-"&amp;E$1,Finals!$P$2:$P$501))</f>
        <v>21.113576201108138</v>
      </c>
      <c r="F20" s="2">
        <f>SQRT(SUMIF(Finals!$C$2:$C$501,$A20&amp;"-"&amp;F$1,Finals!$P$2:$P$501))</f>
        <v>18.449631432633009</v>
      </c>
      <c r="G20" s="2">
        <f>SQRT(SUMIF(Finals!$C$2:$C$501,$A20&amp;"-"&amp;G$1,Finals!$P$2:$P$501))</f>
        <v>0</v>
      </c>
      <c r="H20" s="2">
        <f>SQRT(SUMIF(Finals!$C$2:$C$501,$A20&amp;"-"&amp;H$1,Finals!$P$2:$P$501))</f>
        <v>0</v>
      </c>
      <c r="I20" s="2">
        <f>SQRT(SUMIF(Finals!$C$2:$C$501,$A20&amp;"-"&amp;I$1,Finals!$P$2:$P$501))</f>
        <v>0</v>
      </c>
      <c r="J20" s="2">
        <f>SQRT(SUMIF(Finals!$C$2:$C$501,$A20&amp;"-"&amp;J$1,Finals!$P$2:$P$501))</f>
        <v>0</v>
      </c>
      <c r="K20" s="2">
        <f>SQRT(SUMIF(Finals!$C$2:$C$501,$A20&amp;"-"&amp;K$1,Finals!$P$2:$P$501))</f>
        <v>0</v>
      </c>
      <c r="L20" s="2">
        <f>SQRT(SUMIF(Finals!$C$2:$C$501,$A20&amp;"-"&amp;L$1,Finals!$P$2:$P$501))</f>
        <v>0</v>
      </c>
      <c r="M20" s="2">
        <f>SQRT(SUMIF(Finals!$C$2:$C$501,$A20&amp;"-"&amp;M$1,Finals!$P$2:$P$501))</f>
        <v>0</v>
      </c>
      <c r="N20" s="2">
        <f>SQRT(SUMIF(Finals!$C$2:$C$501,$A20&amp;"-"&amp;N$1,Finals!$P$2:$P$501))</f>
        <v>0</v>
      </c>
      <c r="O20" s="2">
        <f t="shared" si="3"/>
        <v>43.824948374185219</v>
      </c>
    </row>
    <row r="21" spans="1:15" x14ac:dyDescent="0.25">
      <c r="A21" t="s">
        <v>23</v>
      </c>
      <c r="B21" s="2" t="e">
        <f>SQRT(SUMIF(Finals!$C$2:$C$501,$A21&amp;"-"&amp;B$1,Finals!$P$2:$P$501))</f>
        <v>#N/A</v>
      </c>
      <c r="C21" s="2" t="e">
        <f>SQRT(SUMIF(Finals!$C$2:$C$501,$A21&amp;"-"&amp;C$1,Finals!$P$2:$P$501))</f>
        <v>#N/A</v>
      </c>
      <c r="D21" s="2">
        <f>SQRT(SUMIF(Finals!$C$2:$C$501,$A21&amp;"-"&amp;D$1,Finals!$P$2:$P$501))</f>
        <v>21.153323615923814</v>
      </c>
      <c r="E21" s="2">
        <f>SQRT(SUMIF(Finals!$C$2:$C$501,$A21&amp;"-"&amp;E$1,Finals!$P$2:$P$501))</f>
        <v>20.430452760523934</v>
      </c>
      <c r="F21" s="2">
        <f>SQRT(SUMIF(Finals!$C$2:$C$501,$A21&amp;"-"&amp;F$1,Finals!$P$2:$P$501))</f>
        <v>21.874160555321886</v>
      </c>
      <c r="G21" s="2">
        <f>SQRT(SUMIF(Finals!$C$2:$C$501,$A21&amp;"-"&amp;G$1,Finals!$P$2:$P$501))</f>
        <v>0</v>
      </c>
      <c r="H21" s="2">
        <f>SQRT(SUMIF(Finals!$C$2:$C$501,$A21&amp;"-"&amp;H$1,Finals!$P$2:$P$501))</f>
        <v>0</v>
      </c>
      <c r="I21" s="2">
        <f>SQRT(SUMIF(Finals!$C$2:$C$501,$A21&amp;"-"&amp;I$1,Finals!$P$2:$P$501))</f>
        <v>0</v>
      </c>
      <c r="J21" s="2">
        <f>SQRT(SUMIF(Finals!$C$2:$C$501,$A21&amp;"-"&amp;J$1,Finals!$P$2:$P$501))</f>
        <v>0</v>
      </c>
      <c r="K21" s="2">
        <f>SQRT(SUMIF(Finals!$C$2:$C$501,$A21&amp;"-"&amp;K$1,Finals!$P$2:$P$501))</f>
        <v>0</v>
      </c>
      <c r="L21" s="2">
        <f>SQRT(SUMIF(Finals!$C$2:$C$501,$A21&amp;"-"&amp;L$1,Finals!$P$2:$P$501))</f>
        <v>0</v>
      </c>
      <c r="M21" s="2">
        <f>SQRT(SUMIF(Finals!$C$2:$C$501,$A21&amp;"-"&amp;M$1,Finals!$P$2:$P$501))</f>
        <v>0</v>
      </c>
      <c r="N21" s="2">
        <f>SQRT(SUMIF(Finals!$C$2:$C$501,$A21&amp;"-"&amp;N$1,Finals!$P$2:$P$501))</f>
        <v>0</v>
      </c>
      <c r="O21" s="2" t="e">
        <f t="shared" si="3"/>
        <v>#N/A</v>
      </c>
    </row>
    <row r="22" spans="1:15" x14ac:dyDescent="0.25">
      <c r="A22" t="s">
        <v>49</v>
      </c>
      <c r="B22" s="2">
        <f>SQRT(SUMIF(Finals!$C$2:$C$501,$A22&amp;"-"&amp;B$1,Finals!$P$2:$P$501))</f>
        <v>20.953173983909931</v>
      </c>
      <c r="C22" s="2">
        <f>SQRT(SUMIF(Finals!$C$2:$C$501,$A22&amp;"-"&amp;C$1,Finals!$P$2:$P$501))</f>
        <v>22.389466273227683</v>
      </c>
      <c r="D22" s="2">
        <f>SQRT(SUMIF(Finals!$C$2:$C$501,$A22&amp;"-"&amp;D$1,Finals!$P$2:$P$501))</f>
        <v>19.631161453159109</v>
      </c>
      <c r="E22" s="2" t="e">
        <f>SQRT(SUMIF(Finals!$C$2:$C$501,$A22&amp;"-"&amp;E$1,Finals!$P$2:$P$501))</f>
        <v>#N/A</v>
      </c>
      <c r="F22" s="2">
        <f>SQRT(SUMIF(Finals!$C$2:$C$501,$A22&amp;"-"&amp;F$1,Finals!$P$2:$P$501))</f>
        <v>22.090432318087394</v>
      </c>
      <c r="G22" s="2">
        <f>SQRT(SUMIF(Finals!$C$2:$C$501,$A22&amp;"-"&amp;G$1,Finals!$P$2:$P$501))</f>
        <v>0</v>
      </c>
      <c r="H22" s="2">
        <f>SQRT(SUMIF(Finals!$C$2:$C$501,$A22&amp;"-"&amp;H$1,Finals!$P$2:$P$501))</f>
        <v>0</v>
      </c>
      <c r="I22" s="2">
        <f>SQRT(SUMIF(Finals!$C$2:$C$501,$A22&amp;"-"&amp;I$1,Finals!$P$2:$P$501))</f>
        <v>0</v>
      </c>
      <c r="J22" s="2">
        <f>SQRT(SUMIF(Finals!$C$2:$C$501,$A22&amp;"-"&amp;J$1,Finals!$P$2:$P$501))</f>
        <v>0</v>
      </c>
      <c r="K22" s="2">
        <f>SQRT(SUMIF(Finals!$C$2:$C$501,$A22&amp;"-"&amp;K$1,Finals!$P$2:$P$501))</f>
        <v>0</v>
      </c>
      <c r="L22" s="2">
        <f>SQRT(SUMIF(Finals!$C$2:$C$501,$A22&amp;"-"&amp;L$1,Finals!$P$2:$P$501))</f>
        <v>0</v>
      </c>
      <c r="M22" s="2">
        <f>SQRT(SUMIF(Finals!$C$2:$C$501,$A22&amp;"-"&amp;M$1,Finals!$P$2:$P$501))</f>
        <v>0</v>
      </c>
      <c r="N22" s="2">
        <f>SQRT(SUMIF(Finals!$C$2:$C$501,$A22&amp;"-"&amp;N$1,Finals!$P$2:$P$501))</f>
        <v>0</v>
      </c>
      <c r="O22" s="2" t="e">
        <f t="shared" si="3"/>
        <v>#N/A</v>
      </c>
    </row>
    <row r="23" spans="1:15" x14ac:dyDescent="0.25">
      <c r="A23" t="s">
        <v>44</v>
      </c>
      <c r="B23" s="2">
        <f>SQRT(SUMIF(Finals!$C$2:$C$501,$A23&amp;"-"&amp;B$1,Finals!$P$2:$P$501))</f>
        <v>21.293172614713853</v>
      </c>
      <c r="C23" s="2">
        <f>SQRT(SUMIF(Finals!$C$2:$C$501,$A23&amp;"-"&amp;C$1,Finals!$P$2:$P$501))</f>
        <v>19.871987822057459</v>
      </c>
      <c r="D23" s="2">
        <f>SQRT(SUMIF(Finals!$C$2:$C$501,$A23&amp;"-"&amp;D$1,Finals!$P$2:$P$501))</f>
        <v>21.338259066756127</v>
      </c>
      <c r="E23" s="2">
        <f>SQRT(SUMIF(Finals!$C$2:$C$501,$A23&amp;"-"&amp;E$1,Finals!$P$2:$P$501))</f>
        <v>20.558421632022242</v>
      </c>
      <c r="F23" s="2">
        <f>SQRT(SUMIF(Finals!$C$2:$C$501,$A23&amp;"-"&amp;F$1,Finals!$P$2:$P$501))</f>
        <v>20.552491333169321</v>
      </c>
      <c r="G23" s="2">
        <f>SQRT(SUMIF(Finals!$C$2:$C$501,$A23&amp;"-"&amp;G$1,Finals!$P$2:$P$501))</f>
        <v>0</v>
      </c>
      <c r="H23" s="2">
        <f>SQRT(SUMIF(Finals!$C$2:$C$501,$A23&amp;"-"&amp;H$1,Finals!$P$2:$P$501))</f>
        <v>0</v>
      </c>
      <c r="I23" s="2">
        <f>SQRT(SUMIF(Finals!$C$2:$C$501,$A23&amp;"-"&amp;I$1,Finals!$P$2:$P$501))</f>
        <v>0</v>
      </c>
      <c r="J23" s="2">
        <f>SQRT(SUMIF(Finals!$C$2:$C$501,$A23&amp;"-"&amp;J$1,Finals!$P$2:$P$501))</f>
        <v>0</v>
      </c>
      <c r="K23" s="2">
        <f>SQRT(SUMIF(Finals!$C$2:$C$501,$A23&amp;"-"&amp;K$1,Finals!$P$2:$P$501))</f>
        <v>0</v>
      </c>
      <c r="L23" s="2">
        <f>SQRT(SUMIF(Finals!$C$2:$C$501,$A23&amp;"-"&amp;L$1,Finals!$P$2:$P$501))</f>
        <v>0</v>
      </c>
      <c r="M23" s="2">
        <f>SQRT(SUMIF(Finals!$C$2:$C$501,$A23&amp;"-"&amp;M$1,Finals!$P$2:$P$501))</f>
        <v>0</v>
      </c>
      <c r="N23" s="2">
        <f>SQRT(SUMIF(Finals!$C$2:$C$501,$A23&amp;"-"&amp;N$1,Finals!$P$2:$P$501))</f>
        <v>0</v>
      </c>
      <c r="O23" s="2">
        <f t="shared" si="3"/>
        <v>46.353748499986494</v>
      </c>
    </row>
    <row r="25" spans="1:15" x14ac:dyDescent="0.25">
      <c r="B25">
        <v>1</v>
      </c>
      <c r="C25">
        <f>B25+1</f>
        <v>2</v>
      </c>
      <c r="D25">
        <f t="shared" ref="D25:K25" si="4">C25+1</f>
        <v>3</v>
      </c>
      <c r="E25">
        <f t="shared" si="4"/>
        <v>4</v>
      </c>
      <c r="F25">
        <f t="shared" si="4"/>
        <v>5</v>
      </c>
      <c r="G25">
        <f t="shared" si="4"/>
        <v>6</v>
      </c>
      <c r="H25">
        <f t="shared" si="4"/>
        <v>7</v>
      </c>
      <c r="I25">
        <f t="shared" si="4"/>
        <v>8</v>
      </c>
      <c r="J25">
        <f t="shared" si="4"/>
        <v>9</v>
      </c>
      <c r="K25">
        <f t="shared" si="4"/>
        <v>10</v>
      </c>
      <c r="L25">
        <f>K25+1</f>
        <v>11</v>
      </c>
      <c r="M25">
        <f>L25+1</f>
        <v>12</v>
      </c>
      <c r="N25">
        <f>M25+1</f>
        <v>13</v>
      </c>
    </row>
    <row r="26" spans="1:15" x14ac:dyDescent="0.25">
      <c r="A26" t="s">
        <v>20</v>
      </c>
      <c r="B26" s="23">
        <f>SUMIF(Finals!$C$2:$C$501,$A26&amp;"-"&amp;B$1,Finals!$E$2:$E$501)</f>
        <v>111.9</v>
      </c>
      <c r="C26" s="23">
        <f>SUMIF(Finals!$C$2:$C$501,$A26&amp;"-"&amp;C$1,Finals!$E$2:$E$501)</f>
        <v>129</v>
      </c>
      <c r="D26" s="23">
        <f>SUMIF(Finals!$C$2:$C$501,$A26&amp;"-"&amp;D$1,Finals!$E$2:$E$501)</f>
        <v>111.80000000000001</v>
      </c>
      <c r="E26" s="23">
        <f>SUMIF(Finals!$C$2:$C$501,$A26&amp;"-"&amp;E$1,Finals!$E$2:$E$501)</f>
        <v>99.899999999999991</v>
      </c>
      <c r="F26" s="23">
        <f>SUMIF(Finals!$C$2:$C$501,$A26&amp;"-"&amp;F$1,Finals!$E$2:$E$501)</f>
        <v>0</v>
      </c>
      <c r="G26" s="23">
        <f>SUMIF(Finals!$C$2:$C$501,$A26&amp;"-"&amp;G$1,Finals!$E$2:$E$501)</f>
        <v>0</v>
      </c>
      <c r="H26" s="23">
        <f>SUMIF(Finals!$C$2:$C$501,$A26&amp;"-"&amp;H$1,Finals!$E$2:$E$501)</f>
        <v>0</v>
      </c>
      <c r="I26" s="23">
        <f>SUMIF(Finals!$C$2:$C$501,$A26&amp;"-"&amp;I$1,Finals!$E$2:$E$501)</f>
        <v>0</v>
      </c>
      <c r="J26" s="23">
        <f>SUMIF(Finals!$C$2:$C$501,$A26&amp;"-"&amp;J$1,Finals!$E$2:$E$501)</f>
        <v>0</v>
      </c>
      <c r="K26" s="23">
        <f>SUMIF(Finals!$C$2:$C$501,$A26&amp;"-"&amp;K$1,Finals!$E$2:$E$501)</f>
        <v>0</v>
      </c>
      <c r="L26" s="23">
        <f>SUMIF(Finals!$C$2:$C$501,$A26&amp;"-"&amp;L$1,Finals!$E$2:$E$501)</f>
        <v>0</v>
      </c>
      <c r="M26" s="23">
        <f>SUMIF(Finals!$C$2:$C$501,$A26&amp;"-"&amp;M$1,Finals!$E$2:$E$501)</f>
        <v>0</v>
      </c>
      <c r="N26" s="23">
        <f>SUMIF(Finals!$C$2:$C$501,$A26&amp;"-"&amp;N$1,Finals!$E$2:$E$501)</f>
        <v>0</v>
      </c>
      <c r="O26" s="2">
        <f>SUM(B26:N26)</f>
        <v>452.6</v>
      </c>
    </row>
    <row r="27" spans="1:15" x14ac:dyDescent="0.25">
      <c r="A27" t="s">
        <v>16</v>
      </c>
      <c r="B27" s="23">
        <f>SUMIF(Finals!$C$2:$C$501,$A27&amp;"-"&amp;B$1,Finals!$E$2:$E$501)</f>
        <v>120.1</v>
      </c>
      <c r="C27" s="23">
        <f>SUMIF(Finals!$C$2:$C$501,$A27&amp;"-"&amp;C$1,Finals!$E$2:$E$501)</f>
        <v>91.600000000000009</v>
      </c>
      <c r="D27" s="23">
        <f>SUMIF(Finals!$C$2:$C$501,$A27&amp;"-"&amp;D$1,Finals!$E$2:$E$501)</f>
        <v>129.19999999999999</v>
      </c>
      <c r="E27" s="23">
        <f>SUMIF(Finals!$C$2:$C$501,$A27&amp;"-"&amp;E$1,Finals!$E$2:$E$501)</f>
        <v>119.5</v>
      </c>
      <c r="F27" s="23">
        <f>SUMIF(Finals!$C$2:$C$501,$A27&amp;"-"&amp;F$1,Finals!$E$2:$E$501)</f>
        <v>13.7</v>
      </c>
      <c r="G27" s="23">
        <f>SUMIF(Finals!$C$2:$C$501,$A27&amp;"-"&amp;G$1,Finals!$E$2:$E$501)</f>
        <v>0</v>
      </c>
      <c r="H27" s="23">
        <f>SUMIF(Finals!$C$2:$C$501,$A27&amp;"-"&amp;H$1,Finals!$E$2:$E$501)</f>
        <v>0</v>
      </c>
      <c r="I27" s="23">
        <f>SUMIF(Finals!$C$2:$C$501,$A27&amp;"-"&amp;I$1,Finals!$E$2:$E$501)</f>
        <v>0</v>
      </c>
      <c r="J27" s="23">
        <f>SUMIF(Finals!$C$2:$C$501,$A27&amp;"-"&amp;J$1,Finals!$E$2:$E$501)</f>
        <v>0</v>
      </c>
      <c r="K27" s="23">
        <f>SUMIF(Finals!$C$2:$C$501,$A27&amp;"-"&amp;K$1,Finals!$E$2:$E$501)</f>
        <v>0</v>
      </c>
      <c r="L27" s="23">
        <f>SUMIF(Finals!$C$2:$C$501,$A27&amp;"-"&amp;L$1,Finals!$E$2:$E$501)</f>
        <v>0</v>
      </c>
      <c r="M27" s="23">
        <f>SUMIF(Finals!$C$2:$C$501,$A27&amp;"-"&amp;M$1,Finals!$E$2:$E$501)</f>
        <v>0</v>
      </c>
      <c r="N27" s="23">
        <f>SUMIF(Finals!$C$2:$C$501,$A27&amp;"-"&amp;N$1,Finals!$E$2:$E$501)</f>
        <v>0</v>
      </c>
      <c r="O27" s="2">
        <f t="shared" ref="O27:O35" si="5">SUM(B27:N27)</f>
        <v>474.09999999999997</v>
      </c>
    </row>
    <row r="28" spans="1:15" x14ac:dyDescent="0.25">
      <c r="A28" t="s">
        <v>55</v>
      </c>
      <c r="B28" s="23">
        <f>SUMIF(Finals!$C$2:$C$501,$A28&amp;"-"&amp;B$1,Finals!$E$2:$E$501)</f>
        <v>145.4</v>
      </c>
      <c r="C28" s="23">
        <f>SUMIF(Finals!$C$2:$C$501,$A28&amp;"-"&amp;C$1,Finals!$E$2:$E$501)</f>
        <v>123.39999999999998</v>
      </c>
      <c r="D28" s="23">
        <f>SUMIF(Finals!$C$2:$C$501,$A28&amp;"-"&amp;D$1,Finals!$E$2:$E$501)</f>
        <v>108</v>
      </c>
      <c r="E28" s="23">
        <f>SUMIF(Finals!$C$2:$C$501,$A28&amp;"-"&amp;E$1,Finals!$E$2:$E$501)</f>
        <v>174.5</v>
      </c>
      <c r="F28" s="23">
        <f>SUMIF(Finals!$C$2:$C$501,$A28&amp;"-"&amp;F$1,Finals!$E$2:$E$501)</f>
        <v>0</v>
      </c>
      <c r="G28" s="23">
        <f>SUMIF(Finals!$C$2:$C$501,$A28&amp;"-"&amp;G$1,Finals!$E$2:$E$501)</f>
        <v>0</v>
      </c>
      <c r="H28" s="23">
        <f>SUMIF(Finals!$C$2:$C$501,$A28&amp;"-"&amp;H$1,Finals!$E$2:$E$501)</f>
        <v>0</v>
      </c>
      <c r="I28" s="23">
        <f>SUMIF(Finals!$C$2:$C$501,$A28&amp;"-"&amp;I$1,Finals!$E$2:$E$501)</f>
        <v>0</v>
      </c>
      <c r="J28" s="23">
        <f>SUMIF(Finals!$C$2:$C$501,$A28&amp;"-"&amp;J$1,Finals!$E$2:$E$501)</f>
        <v>0</v>
      </c>
      <c r="K28" s="23">
        <f>SUMIF(Finals!$C$2:$C$501,$A28&amp;"-"&amp;K$1,Finals!$E$2:$E$501)</f>
        <v>0</v>
      </c>
      <c r="L28" s="23">
        <f>SUMIF(Finals!$C$2:$C$501,$A28&amp;"-"&amp;L$1,Finals!$E$2:$E$501)</f>
        <v>0</v>
      </c>
      <c r="M28" s="23">
        <f>SUMIF(Finals!$C$2:$C$501,$A28&amp;"-"&amp;M$1,Finals!$E$2:$E$501)</f>
        <v>0</v>
      </c>
      <c r="N28" s="23">
        <f>SUMIF(Finals!$C$2:$C$501,$A28&amp;"-"&amp;N$1,Finals!$E$2:$E$501)</f>
        <v>0</v>
      </c>
      <c r="O28" s="2">
        <f t="shared" si="5"/>
        <v>551.29999999999995</v>
      </c>
    </row>
    <row r="29" spans="1:15" x14ac:dyDescent="0.25">
      <c r="A29" t="s">
        <v>35</v>
      </c>
      <c r="B29" s="23">
        <f>SUMIF(Finals!$C$2:$C$501,$A29&amp;"-"&amp;B$1,Finals!$E$2:$E$501)</f>
        <v>97.7</v>
      </c>
      <c r="C29" s="23">
        <f>SUMIF(Finals!$C$2:$C$501,$A29&amp;"-"&amp;C$1,Finals!$E$2:$E$501)</f>
        <v>117.8</v>
      </c>
      <c r="D29" s="23">
        <f>SUMIF(Finals!$C$2:$C$501,$A29&amp;"-"&amp;D$1,Finals!$E$2:$E$501)</f>
        <v>100.1</v>
      </c>
      <c r="E29" s="23">
        <f>SUMIF(Finals!$C$2:$C$501,$A29&amp;"-"&amp;E$1,Finals!$E$2:$E$501)</f>
        <v>119.9</v>
      </c>
      <c r="F29" s="23">
        <f>SUMIF(Finals!$C$2:$C$501,$A29&amp;"-"&amp;F$1,Finals!$E$2:$E$501)</f>
        <v>39.5</v>
      </c>
      <c r="G29" s="23">
        <f>SUMIF(Finals!$C$2:$C$501,$A29&amp;"-"&amp;G$1,Finals!$E$2:$E$501)</f>
        <v>0</v>
      </c>
      <c r="H29" s="23">
        <f>SUMIF(Finals!$C$2:$C$501,$A29&amp;"-"&amp;H$1,Finals!$E$2:$E$501)</f>
        <v>0</v>
      </c>
      <c r="I29" s="23">
        <f>SUMIF(Finals!$C$2:$C$501,$A29&amp;"-"&amp;I$1,Finals!$E$2:$E$501)</f>
        <v>0</v>
      </c>
      <c r="J29" s="23">
        <f>SUMIF(Finals!$C$2:$C$501,$A29&amp;"-"&amp;J$1,Finals!$E$2:$E$501)</f>
        <v>0</v>
      </c>
      <c r="K29" s="23">
        <f>SUMIF(Finals!$C$2:$C$501,$A29&amp;"-"&amp;K$1,Finals!$E$2:$E$501)</f>
        <v>0</v>
      </c>
      <c r="L29" s="23">
        <f>SUMIF(Finals!$C$2:$C$501,$A29&amp;"-"&amp;L$1,Finals!$E$2:$E$501)</f>
        <v>0</v>
      </c>
      <c r="M29" s="23">
        <f>SUMIF(Finals!$C$2:$C$501,$A29&amp;"-"&amp;M$1,Finals!$E$2:$E$501)</f>
        <v>0</v>
      </c>
      <c r="N29" s="23">
        <f>SUMIF(Finals!$C$2:$C$501,$A29&amp;"-"&amp;N$1,Finals!$E$2:$E$501)</f>
        <v>0</v>
      </c>
      <c r="O29" s="2">
        <f t="shared" si="5"/>
        <v>475</v>
      </c>
    </row>
    <row r="30" spans="1:15" x14ac:dyDescent="0.25">
      <c r="A30" t="s">
        <v>27</v>
      </c>
      <c r="B30" s="23">
        <f>SUMIF(Finals!$C$2:$C$501,$A30&amp;"-"&amp;B$1,Finals!$E$2:$E$501)</f>
        <v>107.1</v>
      </c>
      <c r="C30" s="23">
        <f>SUMIF(Finals!$C$2:$C$501,$A30&amp;"-"&amp;C$1,Finals!$E$2:$E$501)</f>
        <v>80</v>
      </c>
      <c r="D30" s="23">
        <f>SUMIF(Finals!$C$2:$C$501,$A30&amp;"-"&amp;D$1,Finals!$E$2:$E$501)</f>
        <v>92.5</v>
      </c>
      <c r="E30" s="23">
        <f>SUMIF(Finals!$C$2:$C$501,$A30&amp;"-"&amp;E$1,Finals!$E$2:$E$501)</f>
        <v>113.39999999999999</v>
      </c>
      <c r="F30" s="23">
        <f>SUMIF(Finals!$C$2:$C$501,$A30&amp;"-"&amp;F$1,Finals!$E$2:$E$501)</f>
        <v>9</v>
      </c>
      <c r="G30" s="23">
        <f>SUMIF(Finals!$C$2:$C$501,$A30&amp;"-"&amp;G$1,Finals!$E$2:$E$501)</f>
        <v>0</v>
      </c>
      <c r="H30" s="23">
        <f>SUMIF(Finals!$C$2:$C$501,$A30&amp;"-"&amp;H$1,Finals!$E$2:$E$501)</f>
        <v>0</v>
      </c>
      <c r="I30" s="23">
        <f>SUMIF(Finals!$C$2:$C$501,$A30&amp;"-"&amp;I$1,Finals!$E$2:$E$501)</f>
        <v>0</v>
      </c>
      <c r="J30" s="23">
        <f>SUMIF(Finals!$C$2:$C$501,$A30&amp;"-"&amp;J$1,Finals!$E$2:$E$501)</f>
        <v>0</v>
      </c>
      <c r="K30" s="23">
        <f>SUMIF(Finals!$C$2:$C$501,$A30&amp;"-"&amp;K$1,Finals!$E$2:$E$501)</f>
        <v>0</v>
      </c>
      <c r="L30" s="23">
        <f>SUMIF(Finals!$C$2:$C$501,$A30&amp;"-"&amp;L$1,Finals!$E$2:$E$501)</f>
        <v>0</v>
      </c>
      <c r="M30" s="23">
        <f>SUMIF(Finals!$C$2:$C$501,$A30&amp;"-"&amp;M$1,Finals!$E$2:$E$501)</f>
        <v>0</v>
      </c>
      <c r="N30" s="23">
        <f>SUMIF(Finals!$C$2:$C$501,$A30&amp;"-"&amp;N$1,Finals!$E$2:$E$501)</f>
        <v>0</v>
      </c>
      <c r="O30" s="2">
        <f t="shared" si="5"/>
        <v>402</v>
      </c>
    </row>
    <row r="31" spans="1:15" x14ac:dyDescent="0.25">
      <c r="A31" t="s">
        <v>62</v>
      </c>
      <c r="B31" s="23">
        <f>SUMIF(Finals!$C$2:$C$501,$A31&amp;"-"&amp;B$1,Finals!$E$2:$E$501)</f>
        <v>106.2</v>
      </c>
      <c r="C31" s="23">
        <f>SUMIF(Finals!$C$2:$C$501,$A31&amp;"-"&amp;C$1,Finals!$E$2:$E$501)</f>
        <v>109.6</v>
      </c>
      <c r="D31" s="23">
        <f>SUMIF(Finals!$C$2:$C$501,$A31&amp;"-"&amp;D$1,Finals!$E$2:$E$501)</f>
        <v>104.6</v>
      </c>
      <c r="E31" s="23">
        <f>SUMIF(Finals!$C$2:$C$501,$A31&amp;"-"&amp;E$1,Finals!$E$2:$E$501)</f>
        <v>106</v>
      </c>
      <c r="F31" s="23">
        <f>SUMIF(Finals!$C$2:$C$501,$A31&amp;"-"&amp;F$1,Finals!$E$2:$E$501)</f>
        <v>5.7</v>
      </c>
      <c r="G31" s="23">
        <f>SUMIF(Finals!$C$2:$C$501,$A31&amp;"-"&amp;G$1,Finals!$E$2:$E$501)</f>
        <v>0</v>
      </c>
      <c r="H31" s="23">
        <f>SUMIF(Finals!$C$2:$C$501,$A31&amp;"-"&amp;H$1,Finals!$E$2:$E$501)</f>
        <v>0</v>
      </c>
      <c r="I31" s="23">
        <f>SUMIF(Finals!$C$2:$C$501,$A31&amp;"-"&amp;I$1,Finals!$E$2:$E$501)</f>
        <v>0</v>
      </c>
      <c r="J31" s="23">
        <f>SUMIF(Finals!$C$2:$C$501,$A31&amp;"-"&amp;J$1,Finals!$E$2:$E$501)</f>
        <v>0</v>
      </c>
      <c r="K31" s="23">
        <f>SUMIF(Finals!$C$2:$C$501,$A31&amp;"-"&amp;K$1,Finals!$E$2:$E$501)</f>
        <v>0</v>
      </c>
      <c r="L31" s="23">
        <f>SUMIF(Finals!$C$2:$C$501,$A31&amp;"-"&amp;L$1,Finals!$E$2:$E$501)</f>
        <v>0</v>
      </c>
      <c r="M31" s="23">
        <f>SUMIF(Finals!$C$2:$C$501,$A31&amp;"-"&amp;M$1,Finals!$E$2:$E$501)</f>
        <v>0</v>
      </c>
      <c r="N31" s="23">
        <f>SUMIF(Finals!$C$2:$C$501,$A31&amp;"-"&amp;N$1,Finals!$E$2:$E$501)</f>
        <v>0</v>
      </c>
      <c r="O31" s="2">
        <f t="shared" si="5"/>
        <v>432.09999999999997</v>
      </c>
    </row>
    <row r="32" spans="1:15" x14ac:dyDescent="0.25">
      <c r="A32" t="s">
        <v>1648</v>
      </c>
      <c r="B32" s="23">
        <f>SUMIF(Finals!$C$2:$C$501,$A32&amp;"-"&amp;B$1,Finals!$E$2:$E$501)</f>
        <v>111.39999999999999</v>
      </c>
      <c r="C32" s="23">
        <f>SUMIF(Finals!$C$2:$C$501,$A32&amp;"-"&amp;C$1,Finals!$E$2:$E$501)</f>
        <v>105.1</v>
      </c>
      <c r="D32" s="23">
        <f>SUMIF(Finals!$C$2:$C$501,$A32&amp;"-"&amp;D$1,Finals!$E$2:$E$501)</f>
        <v>74.5</v>
      </c>
      <c r="E32" s="23">
        <f>SUMIF(Finals!$C$2:$C$501,$A32&amp;"-"&amp;E$1,Finals!$E$2:$E$501)</f>
        <v>122.10000000000001</v>
      </c>
      <c r="F32" s="23">
        <f>SUMIF(Finals!$C$2:$C$501,$A32&amp;"-"&amp;F$1,Finals!$E$2:$E$501)</f>
        <v>35</v>
      </c>
      <c r="G32" s="23">
        <f>SUMIF(Finals!$C$2:$C$501,$A32&amp;"-"&amp;G$1,Finals!$E$2:$E$501)</f>
        <v>0</v>
      </c>
      <c r="H32" s="23">
        <f>SUMIF(Finals!$C$2:$C$501,$A32&amp;"-"&amp;H$1,Finals!$E$2:$E$501)</f>
        <v>0</v>
      </c>
      <c r="I32" s="23">
        <f>SUMIF(Finals!$C$2:$C$501,$A32&amp;"-"&amp;I$1,Finals!$E$2:$E$501)</f>
        <v>0</v>
      </c>
      <c r="J32" s="23">
        <f>SUMIF(Finals!$C$2:$C$501,$A32&amp;"-"&amp;J$1,Finals!$E$2:$E$501)</f>
        <v>0</v>
      </c>
      <c r="K32" s="23">
        <f>SUMIF(Finals!$C$2:$C$501,$A32&amp;"-"&amp;K$1,Finals!$E$2:$E$501)</f>
        <v>0</v>
      </c>
      <c r="L32" s="23">
        <f>SUMIF(Finals!$C$2:$C$501,$A32&amp;"-"&amp;L$1,Finals!$E$2:$E$501)</f>
        <v>0</v>
      </c>
      <c r="M32" s="23">
        <f>SUMIF(Finals!$C$2:$C$501,$A32&amp;"-"&amp;M$1,Finals!$E$2:$E$501)</f>
        <v>0</v>
      </c>
      <c r="N32" s="23">
        <f>SUMIF(Finals!$C$2:$C$501,$A32&amp;"-"&amp;N$1,Finals!$E$2:$E$501)</f>
        <v>0</v>
      </c>
      <c r="O32" s="2">
        <f t="shared" si="5"/>
        <v>448.1</v>
      </c>
    </row>
    <row r="33" spans="1:15" x14ac:dyDescent="0.25">
      <c r="A33" t="s">
        <v>23</v>
      </c>
      <c r="B33" s="23">
        <f>SUMIF(Finals!$C$2:$C$501,$A33&amp;"-"&amp;B$1,Finals!$E$2:$E$501)</f>
        <v>52.8</v>
      </c>
      <c r="C33" s="23">
        <f>SUMIF(Finals!$C$2:$C$501,$A33&amp;"-"&amp;C$1,Finals!$E$2:$E$501)</f>
        <v>90.3</v>
      </c>
      <c r="D33" s="23">
        <f>SUMIF(Finals!$C$2:$C$501,$A33&amp;"-"&amp;D$1,Finals!$E$2:$E$501)</f>
        <v>85.3</v>
      </c>
      <c r="E33" s="23">
        <f>SUMIF(Finals!$C$2:$C$501,$A33&amp;"-"&amp;E$1,Finals!$E$2:$E$501)</f>
        <v>136.90000000000003</v>
      </c>
      <c r="F33" s="23">
        <f>SUMIF(Finals!$C$2:$C$501,$A33&amp;"-"&amp;F$1,Finals!$E$2:$E$501)</f>
        <v>0</v>
      </c>
      <c r="G33" s="23">
        <f>SUMIF(Finals!$C$2:$C$501,$A33&amp;"-"&amp;G$1,Finals!$E$2:$E$501)</f>
        <v>0</v>
      </c>
      <c r="H33" s="23">
        <f>SUMIF(Finals!$C$2:$C$501,$A33&amp;"-"&amp;H$1,Finals!$E$2:$E$501)</f>
        <v>0</v>
      </c>
      <c r="I33" s="23">
        <f>SUMIF(Finals!$C$2:$C$501,$A33&amp;"-"&amp;I$1,Finals!$E$2:$E$501)</f>
        <v>0</v>
      </c>
      <c r="J33" s="23">
        <f>SUMIF(Finals!$C$2:$C$501,$A33&amp;"-"&amp;J$1,Finals!$E$2:$E$501)</f>
        <v>0</v>
      </c>
      <c r="K33" s="23">
        <f>SUMIF(Finals!$C$2:$C$501,$A33&amp;"-"&amp;K$1,Finals!$E$2:$E$501)</f>
        <v>0</v>
      </c>
      <c r="L33" s="23">
        <f>SUMIF(Finals!$C$2:$C$501,$A33&amp;"-"&amp;L$1,Finals!$E$2:$E$501)</f>
        <v>0</v>
      </c>
      <c r="M33" s="23">
        <f>SUMIF(Finals!$C$2:$C$501,$A33&amp;"-"&amp;M$1,Finals!$E$2:$E$501)</f>
        <v>0</v>
      </c>
      <c r="N33" s="23">
        <f>SUMIF(Finals!$C$2:$C$501,$A33&amp;"-"&amp;N$1,Finals!$E$2:$E$501)</f>
        <v>0</v>
      </c>
      <c r="O33" s="2">
        <f t="shared" si="5"/>
        <v>365.3</v>
      </c>
    </row>
    <row r="34" spans="1:15" x14ac:dyDescent="0.25">
      <c r="A34" t="s">
        <v>49</v>
      </c>
      <c r="B34" s="23">
        <f>SUMIF(Finals!$C$2:$C$501,$A34&amp;"-"&amp;B$1,Finals!$E$2:$E$501)</f>
        <v>144.9</v>
      </c>
      <c r="C34" s="23">
        <f>SUMIF(Finals!$C$2:$C$501,$A34&amp;"-"&amp;C$1,Finals!$E$2:$E$501)</f>
        <v>98.9</v>
      </c>
      <c r="D34" s="23">
        <f>SUMIF(Finals!$C$2:$C$501,$A34&amp;"-"&amp;D$1,Finals!$E$2:$E$501)</f>
        <v>107.8</v>
      </c>
      <c r="E34" s="23">
        <f>SUMIF(Finals!$C$2:$C$501,$A34&amp;"-"&amp;E$1,Finals!$E$2:$E$501)</f>
        <v>127.19999999999999</v>
      </c>
      <c r="F34" s="23">
        <f>SUMIF(Finals!$C$2:$C$501,$A34&amp;"-"&amp;F$1,Finals!$E$2:$E$501)</f>
        <v>0</v>
      </c>
      <c r="G34" s="23">
        <f>SUMIF(Finals!$C$2:$C$501,$A34&amp;"-"&amp;G$1,Finals!$E$2:$E$501)</f>
        <v>0</v>
      </c>
      <c r="H34" s="23">
        <f>SUMIF(Finals!$C$2:$C$501,$A34&amp;"-"&amp;H$1,Finals!$E$2:$E$501)</f>
        <v>0</v>
      </c>
      <c r="I34" s="23">
        <f>SUMIF(Finals!$C$2:$C$501,$A34&amp;"-"&amp;I$1,Finals!$E$2:$E$501)</f>
        <v>0</v>
      </c>
      <c r="J34" s="23">
        <f>SUMIF(Finals!$C$2:$C$501,$A34&amp;"-"&amp;J$1,Finals!$E$2:$E$501)</f>
        <v>0</v>
      </c>
      <c r="K34" s="23">
        <f>SUMIF(Finals!$C$2:$C$501,$A34&amp;"-"&amp;K$1,Finals!$E$2:$E$501)</f>
        <v>0</v>
      </c>
      <c r="L34" s="23">
        <f>SUMIF(Finals!$C$2:$C$501,$A34&amp;"-"&amp;L$1,Finals!$E$2:$E$501)</f>
        <v>0</v>
      </c>
      <c r="M34" s="23">
        <f>SUMIF(Finals!$C$2:$C$501,$A34&amp;"-"&amp;M$1,Finals!$E$2:$E$501)</f>
        <v>0</v>
      </c>
      <c r="N34" s="23">
        <f>SUMIF(Finals!$C$2:$C$501,$A34&amp;"-"&amp;N$1,Finals!$E$2:$E$501)</f>
        <v>0</v>
      </c>
      <c r="O34" s="2">
        <f t="shared" si="5"/>
        <v>478.8</v>
      </c>
    </row>
    <row r="35" spans="1:15" x14ac:dyDescent="0.25">
      <c r="A35" t="s">
        <v>44</v>
      </c>
      <c r="B35" s="23">
        <f>SUMIF(Finals!$C$2:$C$501,$A35&amp;"-"&amp;B$1,Finals!$E$2:$E$501)</f>
        <v>91.5</v>
      </c>
      <c r="C35" s="23">
        <f>SUMIF(Finals!$C$2:$C$501,$A35&amp;"-"&amp;C$1,Finals!$E$2:$E$501)</f>
        <v>79.2</v>
      </c>
      <c r="D35" s="23">
        <f>SUMIF(Finals!$C$2:$C$501,$A35&amp;"-"&amp;D$1,Finals!$E$2:$E$501)</f>
        <v>83.899999999999991</v>
      </c>
      <c r="E35" s="23">
        <f>SUMIF(Finals!$C$2:$C$501,$A35&amp;"-"&amp;E$1,Finals!$E$2:$E$501)</f>
        <v>71.2</v>
      </c>
      <c r="F35" s="23">
        <f>SUMIF(Finals!$C$2:$C$501,$A35&amp;"-"&amp;F$1,Finals!$E$2:$E$501)</f>
        <v>0</v>
      </c>
      <c r="G35" s="23">
        <f>SUMIF(Finals!$C$2:$C$501,$A35&amp;"-"&amp;G$1,Finals!$E$2:$E$501)</f>
        <v>0</v>
      </c>
      <c r="H35" s="23">
        <f>SUMIF(Finals!$C$2:$C$501,$A35&amp;"-"&amp;H$1,Finals!$E$2:$E$501)</f>
        <v>0</v>
      </c>
      <c r="I35" s="23">
        <f>SUMIF(Finals!$C$2:$C$501,$A35&amp;"-"&amp;I$1,Finals!$E$2:$E$501)</f>
        <v>0</v>
      </c>
      <c r="J35" s="23">
        <f>SUMIF(Finals!$C$2:$C$501,$A35&amp;"-"&amp;J$1,Finals!$E$2:$E$501)</f>
        <v>0</v>
      </c>
      <c r="K35" s="23">
        <f>SUMIF(Finals!$C$2:$C$501,$A35&amp;"-"&amp;K$1,Finals!$E$2:$E$501)</f>
        <v>0</v>
      </c>
      <c r="L35" s="23">
        <f>SUMIF(Finals!$C$2:$C$501,$A35&amp;"-"&amp;L$1,Finals!$E$2:$E$501)</f>
        <v>0</v>
      </c>
      <c r="M35" s="23">
        <f>SUMIF(Finals!$C$2:$C$501,$A35&amp;"-"&amp;M$1,Finals!$E$2:$E$501)</f>
        <v>0</v>
      </c>
      <c r="N35" s="23">
        <f>SUMIF(Finals!$C$2:$C$501,$A35&amp;"-"&amp;N$1,Finals!$E$2:$E$501)</f>
        <v>0</v>
      </c>
      <c r="O35" s="2">
        <f t="shared" si="5"/>
        <v>325.79999999999995</v>
      </c>
    </row>
    <row r="37" spans="1:15" x14ac:dyDescent="0.25">
      <c r="B37">
        <v>1</v>
      </c>
      <c r="C37">
        <f t="shared" ref="C37:N37" si="6">B37+1</f>
        <v>2</v>
      </c>
      <c r="D37">
        <f t="shared" si="6"/>
        <v>3</v>
      </c>
      <c r="E37">
        <f t="shared" si="6"/>
        <v>4</v>
      </c>
      <c r="F37">
        <f t="shared" si="6"/>
        <v>5</v>
      </c>
      <c r="G37">
        <f t="shared" si="6"/>
        <v>6</v>
      </c>
      <c r="H37">
        <f t="shared" si="6"/>
        <v>7</v>
      </c>
      <c r="I37">
        <f t="shared" si="6"/>
        <v>8</v>
      </c>
      <c r="J37">
        <f t="shared" si="6"/>
        <v>9</v>
      </c>
      <c r="K37">
        <f t="shared" si="6"/>
        <v>10</v>
      </c>
      <c r="L37">
        <f t="shared" si="6"/>
        <v>11</v>
      </c>
      <c r="M37">
        <f t="shared" si="6"/>
        <v>12</v>
      </c>
      <c r="N37">
        <f t="shared" si="6"/>
        <v>13</v>
      </c>
    </row>
    <row r="38" spans="1:15" x14ac:dyDescent="0.25">
      <c r="A38" t="s">
        <v>20</v>
      </c>
      <c r="B38" s="11">
        <f>B26-B2</f>
        <v>2.3100000000000307</v>
      </c>
      <c r="C38" s="11">
        <f t="shared" ref="C38:J38" si="7">C26-C2</f>
        <v>17.22</v>
      </c>
      <c r="D38" s="11" t="e">
        <f t="shared" si="7"/>
        <v>#N/A</v>
      </c>
      <c r="E38" s="11" t="e">
        <f t="shared" si="7"/>
        <v>#N/A</v>
      </c>
      <c r="F38" s="11">
        <f t="shared" si="7"/>
        <v>-113.83999999999999</v>
      </c>
      <c r="G38" s="11">
        <f t="shared" si="7"/>
        <v>0</v>
      </c>
      <c r="H38" s="11">
        <f t="shared" si="7"/>
        <v>0</v>
      </c>
      <c r="I38" s="11">
        <f t="shared" si="7"/>
        <v>0</v>
      </c>
      <c r="J38" s="11">
        <f t="shared" si="7"/>
        <v>0</v>
      </c>
      <c r="K38" s="11">
        <f t="shared" ref="K38:N47" si="8">K26-K2</f>
        <v>0</v>
      </c>
      <c r="L38" s="11">
        <f t="shared" si="8"/>
        <v>0</v>
      </c>
      <c r="M38" s="11">
        <f t="shared" si="8"/>
        <v>0</v>
      </c>
      <c r="N38" s="11">
        <f t="shared" si="8"/>
        <v>0</v>
      </c>
    </row>
    <row r="39" spans="1:15" x14ac:dyDescent="0.25">
      <c r="A39" t="s">
        <v>16</v>
      </c>
      <c r="B39" s="11" t="e">
        <f t="shared" ref="B39:J47" si="9">B27-B3</f>
        <v>#N/A</v>
      </c>
      <c r="C39" s="11" t="e">
        <f t="shared" si="9"/>
        <v>#N/A</v>
      </c>
      <c r="D39" s="11">
        <f t="shared" si="9"/>
        <v>24.429999999999978</v>
      </c>
      <c r="E39" s="11">
        <f t="shared" si="9"/>
        <v>10.560000000000002</v>
      </c>
      <c r="F39" s="11">
        <f t="shared" si="9"/>
        <v>-96.419999999999987</v>
      </c>
      <c r="G39" s="11">
        <f t="shared" si="9"/>
        <v>0</v>
      </c>
      <c r="H39" s="11">
        <f t="shared" si="9"/>
        <v>0</v>
      </c>
      <c r="I39" s="11">
        <f t="shared" si="9"/>
        <v>0</v>
      </c>
      <c r="J39" s="11">
        <f t="shared" si="9"/>
        <v>0</v>
      </c>
      <c r="K39" s="11">
        <f t="shared" si="8"/>
        <v>0</v>
      </c>
      <c r="L39" s="11">
        <f t="shared" si="8"/>
        <v>0</v>
      </c>
      <c r="M39" s="11">
        <f t="shared" si="8"/>
        <v>0</v>
      </c>
      <c r="N39" s="11">
        <f t="shared" si="8"/>
        <v>0</v>
      </c>
    </row>
    <row r="40" spans="1:15" x14ac:dyDescent="0.25">
      <c r="A40" t="s">
        <v>55</v>
      </c>
      <c r="B40" s="11">
        <f t="shared" si="9"/>
        <v>16.340000000000003</v>
      </c>
      <c r="C40" s="11">
        <f t="shared" si="9"/>
        <v>7.7999999999999687</v>
      </c>
      <c r="D40" s="11">
        <f t="shared" si="9"/>
        <v>-8.36</v>
      </c>
      <c r="E40" s="11">
        <f t="shared" si="9"/>
        <v>58.350000000000023</v>
      </c>
      <c r="F40" s="11">
        <f t="shared" si="9"/>
        <v>-111.41999999999999</v>
      </c>
      <c r="G40" s="11">
        <f t="shared" si="9"/>
        <v>0</v>
      </c>
      <c r="H40" s="11">
        <f t="shared" si="9"/>
        <v>0</v>
      </c>
      <c r="I40" s="11">
        <f t="shared" si="9"/>
        <v>0</v>
      </c>
      <c r="J40" s="11">
        <f t="shared" si="9"/>
        <v>0</v>
      </c>
      <c r="K40" s="11">
        <f t="shared" si="8"/>
        <v>0</v>
      </c>
      <c r="L40" s="11">
        <f t="shared" si="8"/>
        <v>0</v>
      </c>
      <c r="M40" s="11">
        <f t="shared" si="8"/>
        <v>0</v>
      </c>
      <c r="N40" s="11">
        <f t="shared" si="8"/>
        <v>0</v>
      </c>
    </row>
    <row r="41" spans="1:15" x14ac:dyDescent="0.25">
      <c r="A41" t="s">
        <v>35</v>
      </c>
      <c r="B41" s="11">
        <f t="shared" si="9"/>
        <v>-11.199999999999989</v>
      </c>
      <c r="C41" s="11">
        <f t="shared" si="9"/>
        <v>11.560000000000002</v>
      </c>
      <c r="D41" s="11">
        <f t="shared" si="9"/>
        <v>-2.9900000000000091</v>
      </c>
      <c r="E41" s="11">
        <f t="shared" si="9"/>
        <v>28.090000000000003</v>
      </c>
      <c r="F41" s="11">
        <f t="shared" si="9"/>
        <v>-68.02</v>
      </c>
      <c r="G41" s="11">
        <f t="shared" si="9"/>
        <v>0</v>
      </c>
      <c r="H41" s="11">
        <f t="shared" si="9"/>
        <v>0</v>
      </c>
      <c r="I41" s="11">
        <f t="shared" si="9"/>
        <v>0</v>
      </c>
      <c r="J41" s="11">
        <f t="shared" si="9"/>
        <v>0</v>
      </c>
      <c r="K41" s="11">
        <f t="shared" si="8"/>
        <v>0</v>
      </c>
      <c r="L41" s="11">
        <f t="shared" si="8"/>
        <v>0</v>
      </c>
      <c r="M41" s="11">
        <f t="shared" si="8"/>
        <v>0</v>
      </c>
      <c r="N41" s="11">
        <f t="shared" si="8"/>
        <v>0</v>
      </c>
    </row>
    <row r="42" spans="1:15" x14ac:dyDescent="0.25">
      <c r="A42" t="s">
        <v>27</v>
      </c>
      <c r="B42" s="11" t="e">
        <f t="shared" si="9"/>
        <v>#N/A</v>
      </c>
      <c r="C42" s="11">
        <f t="shared" si="9"/>
        <v>-18.980000000000004</v>
      </c>
      <c r="D42" s="11">
        <f t="shared" si="9"/>
        <v>-5.8799999999999812</v>
      </c>
      <c r="E42" s="11">
        <f t="shared" si="9"/>
        <v>8.8700000000000045</v>
      </c>
      <c r="F42" s="11">
        <f t="shared" si="9"/>
        <v>-94.160000000000011</v>
      </c>
      <c r="G42" s="11">
        <f t="shared" si="9"/>
        <v>0</v>
      </c>
      <c r="H42" s="11">
        <f t="shared" si="9"/>
        <v>0</v>
      </c>
      <c r="I42" s="11">
        <f t="shared" si="9"/>
        <v>0</v>
      </c>
      <c r="J42" s="11">
        <f t="shared" si="9"/>
        <v>0</v>
      </c>
      <c r="K42" s="11">
        <f t="shared" si="8"/>
        <v>0</v>
      </c>
      <c r="L42" s="11">
        <f t="shared" si="8"/>
        <v>0</v>
      </c>
      <c r="M42" s="11">
        <f t="shared" si="8"/>
        <v>0</v>
      </c>
      <c r="N42" s="11">
        <f t="shared" si="8"/>
        <v>0</v>
      </c>
    </row>
    <row r="43" spans="1:15" x14ac:dyDescent="0.25">
      <c r="A43" t="s">
        <v>62</v>
      </c>
      <c r="B43" s="11">
        <f t="shared" si="9"/>
        <v>3.6399999999999864</v>
      </c>
      <c r="C43" s="11">
        <f t="shared" si="9"/>
        <v>7.3799999999999955</v>
      </c>
      <c r="D43" s="11">
        <f t="shared" si="9"/>
        <v>-1.8800000000000097</v>
      </c>
      <c r="E43" s="11">
        <f t="shared" si="9"/>
        <v>-8.9999999999999858</v>
      </c>
      <c r="F43" s="11">
        <f t="shared" si="9"/>
        <v>-110.17</v>
      </c>
      <c r="G43" s="11">
        <f t="shared" si="9"/>
        <v>0</v>
      </c>
      <c r="H43" s="11">
        <f t="shared" si="9"/>
        <v>0</v>
      </c>
      <c r="I43" s="11">
        <f t="shared" si="9"/>
        <v>0</v>
      </c>
      <c r="J43" s="11">
        <f t="shared" si="9"/>
        <v>0</v>
      </c>
      <c r="K43" s="11">
        <f t="shared" si="8"/>
        <v>0</v>
      </c>
      <c r="L43" s="11">
        <f t="shared" si="8"/>
        <v>0</v>
      </c>
      <c r="M43" s="11">
        <f t="shared" si="8"/>
        <v>0</v>
      </c>
      <c r="N43" s="11">
        <f t="shared" si="8"/>
        <v>0</v>
      </c>
    </row>
    <row r="44" spans="1:15" x14ac:dyDescent="0.25">
      <c r="A44" t="s">
        <v>1648</v>
      </c>
      <c r="B44" s="11">
        <f t="shared" si="9"/>
        <v>9.789999999999992</v>
      </c>
      <c r="C44" s="11">
        <f t="shared" si="9"/>
        <v>3.8999999999999915</v>
      </c>
      <c r="D44" s="11">
        <f t="shared" si="9"/>
        <v>-34.31</v>
      </c>
      <c r="E44" s="11">
        <f t="shared" si="9"/>
        <v>15.580000000000013</v>
      </c>
      <c r="F44" s="11">
        <f t="shared" si="9"/>
        <v>-70.09</v>
      </c>
      <c r="G44" s="11">
        <f t="shared" si="9"/>
        <v>0</v>
      </c>
      <c r="H44" s="11">
        <f t="shared" si="9"/>
        <v>0</v>
      </c>
      <c r="I44" s="11">
        <f t="shared" si="9"/>
        <v>0</v>
      </c>
      <c r="J44" s="11">
        <f t="shared" si="9"/>
        <v>0</v>
      </c>
      <c r="K44" s="11">
        <f t="shared" si="8"/>
        <v>0</v>
      </c>
      <c r="L44" s="11">
        <f t="shared" si="8"/>
        <v>0</v>
      </c>
      <c r="M44" s="11">
        <f t="shared" si="8"/>
        <v>0</v>
      </c>
      <c r="N44" s="11">
        <f t="shared" si="8"/>
        <v>0</v>
      </c>
    </row>
    <row r="45" spans="1:15" x14ac:dyDescent="0.25">
      <c r="A45" t="s">
        <v>23</v>
      </c>
      <c r="B45" s="11" t="e">
        <f t="shared" si="9"/>
        <v>#N/A</v>
      </c>
      <c r="C45" s="11" t="e">
        <f t="shared" si="9"/>
        <v>#N/A</v>
      </c>
      <c r="D45" s="11">
        <f t="shared" si="9"/>
        <v>-21.739999999999995</v>
      </c>
      <c r="E45" s="11">
        <f t="shared" si="9"/>
        <v>29.140000000000029</v>
      </c>
      <c r="F45" s="11">
        <f t="shared" si="9"/>
        <v>-105.46</v>
      </c>
      <c r="G45" s="11">
        <f t="shared" si="9"/>
        <v>0</v>
      </c>
      <c r="H45" s="11">
        <f t="shared" si="9"/>
        <v>0</v>
      </c>
      <c r="I45" s="11">
        <f t="shared" si="9"/>
        <v>0</v>
      </c>
      <c r="J45" s="11">
        <f t="shared" si="9"/>
        <v>0</v>
      </c>
      <c r="K45" s="11">
        <f t="shared" si="8"/>
        <v>0</v>
      </c>
      <c r="L45" s="11">
        <f t="shared" si="8"/>
        <v>0</v>
      </c>
      <c r="M45" s="11">
        <f t="shared" si="8"/>
        <v>0</v>
      </c>
      <c r="N45" s="11">
        <f t="shared" si="8"/>
        <v>0</v>
      </c>
    </row>
    <row r="46" spans="1:15" x14ac:dyDescent="0.25">
      <c r="A46" t="s">
        <v>49</v>
      </c>
      <c r="B46" s="11">
        <f t="shared" si="9"/>
        <v>38.72999999999999</v>
      </c>
      <c r="C46" s="11">
        <f t="shared" si="9"/>
        <v>-12.069999999999993</v>
      </c>
      <c r="D46" s="11">
        <f t="shared" si="9"/>
        <v>2.0600000000000023</v>
      </c>
      <c r="E46" s="11" t="e">
        <f t="shared" si="9"/>
        <v>#N/A</v>
      </c>
      <c r="F46" s="11">
        <f t="shared" si="9"/>
        <v>-113.56</v>
      </c>
      <c r="G46" s="11">
        <f t="shared" si="9"/>
        <v>0</v>
      </c>
      <c r="H46" s="11">
        <f t="shared" si="9"/>
        <v>0</v>
      </c>
      <c r="I46" s="11">
        <f t="shared" si="9"/>
        <v>0</v>
      </c>
      <c r="J46" s="11">
        <f t="shared" si="9"/>
        <v>0</v>
      </c>
      <c r="K46" s="11">
        <f t="shared" si="8"/>
        <v>0</v>
      </c>
      <c r="L46" s="11">
        <f t="shared" si="8"/>
        <v>0</v>
      </c>
      <c r="M46" s="11">
        <f t="shared" si="8"/>
        <v>0</v>
      </c>
      <c r="N46" s="11">
        <f t="shared" si="8"/>
        <v>0</v>
      </c>
    </row>
    <row r="47" spans="1:15" x14ac:dyDescent="0.25">
      <c r="A47" t="s">
        <v>44</v>
      </c>
      <c r="B47" s="11">
        <f t="shared" si="9"/>
        <v>-13.049999999999983</v>
      </c>
      <c r="C47" s="11">
        <f t="shared" si="9"/>
        <v>-16.040000000000006</v>
      </c>
      <c r="D47" s="11">
        <f t="shared" si="9"/>
        <v>-27.960000000000022</v>
      </c>
      <c r="E47" s="11">
        <f t="shared" si="9"/>
        <v>-28.730000000000004</v>
      </c>
      <c r="F47" s="11">
        <f t="shared" si="9"/>
        <v>-96.220000000000013</v>
      </c>
      <c r="G47" s="11">
        <f t="shared" si="9"/>
        <v>0</v>
      </c>
      <c r="H47" s="11">
        <f t="shared" si="9"/>
        <v>0</v>
      </c>
      <c r="I47" s="11">
        <f t="shared" si="9"/>
        <v>0</v>
      </c>
      <c r="J47" s="11">
        <f t="shared" si="9"/>
        <v>0</v>
      </c>
      <c r="K47" s="11">
        <f t="shared" si="8"/>
        <v>0</v>
      </c>
      <c r="L47" s="11">
        <f t="shared" si="8"/>
        <v>0</v>
      </c>
      <c r="M47" s="11">
        <f t="shared" si="8"/>
        <v>0</v>
      </c>
      <c r="N47" s="11">
        <f t="shared" si="8"/>
        <v>0</v>
      </c>
    </row>
    <row r="49" spans="1:18" x14ac:dyDescent="0.25">
      <c r="B49">
        <v>1</v>
      </c>
      <c r="C49">
        <f>B49+1</f>
        <v>2</v>
      </c>
      <c r="D49">
        <f t="shared" ref="D49:K49" si="10">C49+1</f>
        <v>3</v>
      </c>
      <c r="E49">
        <f t="shared" si="10"/>
        <v>4</v>
      </c>
      <c r="F49">
        <f t="shared" si="10"/>
        <v>5</v>
      </c>
      <c r="G49">
        <f t="shared" si="10"/>
        <v>6</v>
      </c>
      <c r="H49">
        <f t="shared" si="10"/>
        <v>7</v>
      </c>
      <c r="I49">
        <f t="shared" si="10"/>
        <v>8</v>
      </c>
      <c r="J49">
        <f t="shared" si="10"/>
        <v>9</v>
      </c>
      <c r="K49">
        <f t="shared" si="10"/>
        <v>10</v>
      </c>
      <c r="L49">
        <f>K49+1</f>
        <v>11</v>
      </c>
      <c r="M49">
        <f>L49+1</f>
        <v>12</v>
      </c>
      <c r="N49">
        <f>M49+1</f>
        <v>13</v>
      </c>
    </row>
    <row r="50" spans="1:18" x14ac:dyDescent="0.25">
      <c r="A50" t="s">
        <v>20</v>
      </c>
      <c r="B50" s="3">
        <f>_xlfn.NORM.DIST(B26,B2,B14,TRUE)</f>
        <v>0.54457530841662116</v>
      </c>
      <c r="C50" s="3">
        <f t="shared" ref="C50:H50" si="11">_xlfn.NORM.DIST(C26,C2,C14,TRUE)</f>
        <v>0.79637820904204393</v>
      </c>
      <c r="D50" s="3" t="e">
        <f t="shared" si="11"/>
        <v>#N/A</v>
      </c>
      <c r="E50" s="3" t="e">
        <f t="shared" si="11"/>
        <v>#N/A</v>
      </c>
      <c r="F50" s="3">
        <f t="shared" si="11"/>
        <v>1.3602813188222691E-7</v>
      </c>
      <c r="G50" s="3" t="e">
        <f t="shared" si="11"/>
        <v>#NUM!</v>
      </c>
      <c r="H50" s="3" t="e">
        <f t="shared" si="11"/>
        <v>#NUM!</v>
      </c>
      <c r="I50" s="3" t="e">
        <f t="shared" ref="I50:O50" si="12">_xlfn.NORM.DIST(I26,I2,I14,TRUE)</f>
        <v>#NUM!</v>
      </c>
      <c r="J50" s="3" t="e">
        <f t="shared" si="12"/>
        <v>#NUM!</v>
      </c>
      <c r="K50" s="3" t="e">
        <f t="shared" si="12"/>
        <v>#NUM!</v>
      </c>
      <c r="L50" s="3" t="e">
        <f t="shared" si="12"/>
        <v>#NUM!</v>
      </c>
      <c r="M50" s="3" t="e">
        <f t="shared" si="12"/>
        <v>#NUM!</v>
      </c>
      <c r="N50" s="3" t="e">
        <f t="shared" si="12"/>
        <v>#NUM!</v>
      </c>
      <c r="O50" s="3" t="e">
        <f t="shared" si="12"/>
        <v>#N/A</v>
      </c>
      <c r="P50" s="9" t="e">
        <f t="shared" ref="P50:P59" si="13">AVERAGE(B50:N50)</f>
        <v>#N/A</v>
      </c>
    </row>
    <row r="51" spans="1:18" x14ac:dyDescent="0.25">
      <c r="A51" t="s">
        <v>16</v>
      </c>
      <c r="B51" s="3" t="e">
        <f t="shared" ref="B51:I51" si="14">_xlfn.NORM.DIST(B27,B3,B15,TRUE)</f>
        <v>#N/A</v>
      </c>
      <c r="C51" s="3" t="e">
        <f t="shared" si="14"/>
        <v>#N/A</v>
      </c>
      <c r="D51" s="3">
        <f t="shared" si="14"/>
        <v>0.90361692154018258</v>
      </c>
      <c r="E51" s="3">
        <f t="shared" si="14"/>
        <v>0.69824942955068348</v>
      </c>
      <c r="F51" s="3">
        <f t="shared" si="14"/>
        <v>1.6113139653357345E-7</v>
      </c>
      <c r="G51" s="3" t="e">
        <f t="shared" si="14"/>
        <v>#NUM!</v>
      </c>
      <c r="H51" s="3" t="e">
        <f t="shared" si="14"/>
        <v>#NUM!</v>
      </c>
      <c r="I51" s="3" t="e">
        <f t="shared" si="14"/>
        <v>#NUM!</v>
      </c>
      <c r="J51" s="3" t="e">
        <f t="shared" ref="J51:O59" si="15">_xlfn.NORM.DIST(J27,J3,J15,TRUE)</f>
        <v>#NUM!</v>
      </c>
      <c r="K51" s="3" t="e">
        <f t="shared" si="15"/>
        <v>#NUM!</v>
      </c>
      <c r="L51" s="3" t="e">
        <f t="shared" si="15"/>
        <v>#NUM!</v>
      </c>
      <c r="M51" s="3" t="e">
        <f t="shared" si="15"/>
        <v>#NUM!</v>
      </c>
      <c r="N51" s="3" t="e">
        <f t="shared" si="15"/>
        <v>#NUM!</v>
      </c>
      <c r="O51" s="3" t="e">
        <f t="shared" si="15"/>
        <v>#N/A</v>
      </c>
      <c r="P51" s="9" t="e">
        <f t="shared" si="13"/>
        <v>#N/A</v>
      </c>
    </row>
    <row r="52" spans="1:18" x14ac:dyDescent="0.25">
      <c r="A52" t="s">
        <v>55</v>
      </c>
      <c r="B52" s="3">
        <f t="shared" ref="B52:I52" si="16">_xlfn.NORM.DIST(B28,B4,B16,TRUE)</f>
        <v>0.76931176970480197</v>
      </c>
      <c r="C52" s="3">
        <f t="shared" si="16"/>
        <v>0.64480803344056248</v>
      </c>
      <c r="D52" s="3">
        <f t="shared" si="16"/>
        <v>0.36316861829296709</v>
      </c>
      <c r="E52" s="3">
        <f t="shared" si="16"/>
        <v>0.99503619838497392</v>
      </c>
      <c r="F52" s="3">
        <f t="shared" si="16"/>
        <v>2.7677297998729814E-5</v>
      </c>
      <c r="G52" s="3" t="e">
        <f t="shared" si="16"/>
        <v>#NUM!</v>
      </c>
      <c r="H52" s="3" t="e">
        <f t="shared" si="16"/>
        <v>#NUM!</v>
      </c>
      <c r="I52" s="3" t="e">
        <f t="shared" si="16"/>
        <v>#NUM!</v>
      </c>
      <c r="J52" s="3" t="e">
        <f t="shared" si="15"/>
        <v>#NUM!</v>
      </c>
      <c r="K52" s="3" t="e">
        <f t="shared" si="15"/>
        <v>#NUM!</v>
      </c>
      <c r="L52" s="3" t="e">
        <f t="shared" si="15"/>
        <v>#NUM!</v>
      </c>
      <c r="M52" s="3" t="e">
        <f t="shared" si="15"/>
        <v>#NUM!</v>
      </c>
      <c r="N52" s="3" t="e">
        <f t="shared" si="15"/>
        <v>#NUM!</v>
      </c>
      <c r="O52" s="3">
        <f t="shared" si="15"/>
        <v>0.23969558021943632</v>
      </c>
      <c r="P52" s="9" t="e">
        <f t="shared" si="13"/>
        <v>#NUM!</v>
      </c>
    </row>
    <row r="53" spans="1:18" x14ac:dyDescent="0.25">
      <c r="A53" t="s">
        <v>35</v>
      </c>
      <c r="B53" s="3">
        <f t="shared" ref="B53:I53" si="17">_xlfn.NORM.DIST(B29,B5,B17,TRUE)</f>
        <v>0.27160464517949795</v>
      </c>
      <c r="C53" s="3">
        <f t="shared" si="17"/>
        <v>0.70875360003388588</v>
      </c>
      <c r="D53" s="3">
        <f t="shared" si="17"/>
        <v>0.43818729712471582</v>
      </c>
      <c r="E53" s="3">
        <f t="shared" si="17"/>
        <v>0.94678983452209342</v>
      </c>
      <c r="F53" s="3">
        <f t="shared" si="17"/>
        <v>6.3842469499406963E-4</v>
      </c>
      <c r="G53" s="3" t="e">
        <f t="shared" si="17"/>
        <v>#NUM!</v>
      </c>
      <c r="H53" s="3" t="e">
        <f t="shared" si="17"/>
        <v>#NUM!</v>
      </c>
      <c r="I53" s="3" t="e">
        <f t="shared" si="17"/>
        <v>#NUM!</v>
      </c>
      <c r="J53" s="3" t="e">
        <f t="shared" si="15"/>
        <v>#NUM!</v>
      </c>
      <c r="K53" s="3" t="e">
        <f t="shared" si="15"/>
        <v>#NUM!</v>
      </c>
      <c r="L53" s="3" t="e">
        <f t="shared" si="15"/>
        <v>#NUM!</v>
      </c>
      <c r="M53" s="3" t="e">
        <f t="shared" si="15"/>
        <v>#NUM!</v>
      </c>
      <c r="N53" s="3" t="e">
        <f t="shared" si="15"/>
        <v>#NUM!</v>
      </c>
      <c r="O53" s="3">
        <f t="shared" si="15"/>
        <v>0.16440833883493311</v>
      </c>
      <c r="P53" s="9" t="e">
        <f t="shared" si="13"/>
        <v>#NUM!</v>
      </c>
    </row>
    <row r="54" spans="1:18" x14ac:dyDescent="0.25">
      <c r="A54" t="s">
        <v>27</v>
      </c>
      <c r="B54" s="3" t="e">
        <f t="shared" ref="B54:I54" si="18">_xlfn.NORM.DIST(B30,B6,B18,TRUE)</f>
        <v>#N/A</v>
      </c>
      <c r="C54" s="3">
        <f t="shared" si="18"/>
        <v>0.18383208169254911</v>
      </c>
      <c r="D54" s="3">
        <f t="shared" si="18"/>
        <v>0.3882199560935185</v>
      </c>
      <c r="E54" s="3">
        <f t="shared" si="18"/>
        <v>0.67376208919613534</v>
      </c>
      <c r="F54" s="3">
        <f t="shared" si="18"/>
        <v>1.6700171567128624E-6</v>
      </c>
      <c r="G54" s="3" t="e">
        <f t="shared" si="18"/>
        <v>#NUM!</v>
      </c>
      <c r="H54" s="3" t="e">
        <f t="shared" si="18"/>
        <v>#NUM!</v>
      </c>
      <c r="I54" s="3" t="e">
        <f t="shared" si="18"/>
        <v>#NUM!</v>
      </c>
      <c r="J54" s="3" t="e">
        <f t="shared" si="15"/>
        <v>#NUM!</v>
      </c>
      <c r="K54" s="3" t="e">
        <f t="shared" si="15"/>
        <v>#NUM!</v>
      </c>
      <c r="L54" s="3" t="e">
        <f t="shared" si="15"/>
        <v>#NUM!</v>
      </c>
      <c r="M54" s="3" t="e">
        <f t="shared" si="15"/>
        <v>#NUM!</v>
      </c>
      <c r="N54" s="3" t="e">
        <f t="shared" si="15"/>
        <v>#NUM!</v>
      </c>
      <c r="O54" s="3" t="e">
        <f t="shared" si="15"/>
        <v>#N/A</v>
      </c>
      <c r="P54" s="9" t="e">
        <f t="shared" si="13"/>
        <v>#N/A</v>
      </c>
    </row>
    <row r="55" spans="1:18" x14ac:dyDescent="0.25">
      <c r="A55" t="s">
        <v>62</v>
      </c>
      <c r="B55" s="3">
        <f t="shared" ref="B55:I55" si="19">_xlfn.NORM.DIST(B31,B7,B19,TRUE)</f>
        <v>0.57324771439205513</v>
      </c>
      <c r="C55" s="3">
        <f t="shared" si="19"/>
        <v>0.64375550012418992</v>
      </c>
      <c r="D55" s="3">
        <f t="shared" si="19"/>
        <v>0.4622937802003067</v>
      </c>
      <c r="E55" s="3">
        <f t="shared" si="19"/>
        <v>0.32632160718316094</v>
      </c>
      <c r="F55" s="3">
        <f t="shared" si="19"/>
        <v>6.5214534549624508E-8</v>
      </c>
      <c r="G55" s="3" t="e">
        <f t="shared" si="19"/>
        <v>#NUM!</v>
      </c>
      <c r="H55" s="3" t="e">
        <f t="shared" si="19"/>
        <v>#NUM!</v>
      </c>
      <c r="I55" s="3" t="e">
        <f t="shared" si="19"/>
        <v>#NUM!</v>
      </c>
      <c r="J55" s="3" t="e">
        <f t="shared" si="15"/>
        <v>#NUM!</v>
      </c>
      <c r="K55" s="3" t="e">
        <f t="shared" si="15"/>
        <v>#NUM!</v>
      </c>
      <c r="L55" s="3" t="e">
        <f t="shared" si="15"/>
        <v>#NUM!</v>
      </c>
      <c r="M55" s="3" t="e">
        <f t="shared" si="15"/>
        <v>#NUM!</v>
      </c>
      <c r="N55" s="3" t="e">
        <f t="shared" si="15"/>
        <v>#NUM!</v>
      </c>
      <c r="O55" s="3">
        <f t="shared" si="15"/>
        <v>7.1753411459200027E-3</v>
      </c>
      <c r="P55" s="9" t="e">
        <f t="shared" si="13"/>
        <v>#NUM!</v>
      </c>
    </row>
    <row r="56" spans="1:18" x14ac:dyDescent="0.25">
      <c r="A56" t="s">
        <v>1648</v>
      </c>
      <c r="B56" s="3">
        <f t="shared" ref="B56:I56" si="20">_xlfn.NORM.DIST(B32,B8,B20,TRUE)</f>
        <v>0.69795205114213354</v>
      </c>
      <c r="C56" s="3">
        <f t="shared" si="20"/>
        <v>0.57817388966513117</v>
      </c>
      <c r="D56" s="3">
        <f t="shared" si="20"/>
        <v>4.0562076755787317E-2</v>
      </c>
      <c r="E56" s="3">
        <f t="shared" si="20"/>
        <v>0.76971659461323483</v>
      </c>
      <c r="F56" s="3">
        <f t="shared" si="20"/>
        <v>7.2642925899432374E-5</v>
      </c>
      <c r="G56" s="3" t="e">
        <f t="shared" si="20"/>
        <v>#NUM!</v>
      </c>
      <c r="H56" s="3" t="e">
        <f t="shared" si="20"/>
        <v>#NUM!</v>
      </c>
      <c r="I56" s="3" t="e">
        <f t="shared" si="20"/>
        <v>#NUM!</v>
      </c>
      <c r="J56" s="3" t="e">
        <f t="shared" si="15"/>
        <v>#NUM!</v>
      </c>
      <c r="K56" s="3" t="e">
        <f t="shared" si="15"/>
        <v>#NUM!</v>
      </c>
      <c r="L56" s="3" t="e">
        <f t="shared" si="15"/>
        <v>#NUM!</v>
      </c>
      <c r="M56" s="3" t="e">
        <f t="shared" si="15"/>
        <v>#NUM!</v>
      </c>
      <c r="N56" s="3" t="e">
        <f t="shared" si="15"/>
        <v>#NUM!</v>
      </c>
      <c r="O56" s="3">
        <f t="shared" si="15"/>
        <v>4.3234955615249919E-2</v>
      </c>
      <c r="P56" s="9" t="e">
        <f t="shared" si="13"/>
        <v>#NUM!</v>
      </c>
    </row>
    <row r="57" spans="1:18" x14ac:dyDescent="0.25">
      <c r="A57" t="s">
        <v>23</v>
      </c>
      <c r="B57" s="3" t="e">
        <f t="shared" ref="B57:I57" si="21">_xlfn.NORM.DIST(B33,B9,B21,TRUE)</f>
        <v>#N/A</v>
      </c>
      <c r="C57" s="3" t="e">
        <f t="shared" si="21"/>
        <v>#N/A</v>
      </c>
      <c r="D57" s="3">
        <f t="shared" si="21"/>
        <v>0.15203737247511032</v>
      </c>
      <c r="E57" s="3">
        <f t="shared" si="21"/>
        <v>0.92310943705320414</v>
      </c>
      <c r="F57" s="3">
        <f t="shared" si="21"/>
        <v>7.134374066100024E-7</v>
      </c>
      <c r="G57" s="3" t="e">
        <f t="shared" si="21"/>
        <v>#NUM!</v>
      </c>
      <c r="H57" s="3" t="e">
        <f t="shared" si="21"/>
        <v>#NUM!</v>
      </c>
      <c r="I57" s="3" t="e">
        <f t="shared" si="21"/>
        <v>#NUM!</v>
      </c>
      <c r="J57" s="3" t="e">
        <f t="shared" si="15"/>
        <v>#NUM!</v>
      </c>
      <c r="K57" s="3" t="e">
        <f t="shared" si="15"/>
        <v>#NUM!</v>
      </c>
      <c r="L57" s="3" t="e">
        <f t="shared" si="15"/>
        <v>#NUM!</v>
      </c>
      <c r="M57" s="3" t="e">
        <f t="shared" si="15"/>
        <v>#NUM!</v>
      </c>
      <c r="N57" s="3" t="e">
        <f t="shared" si="15"/>
        <v>#NUM!</v>
      </c>
      <c r="O57" s="3" t="e">
        <f t="shared" si="15"/>
        <v>#N/A</v>
      </c>
      <c r="P57" s="9" t="e">
        <f t="shared" si="13"/>
        <v>#N/A</v>
      </c>
    </row>
    <row r="58" spans="1:18" x14ac:dyDescent="0.25">
      <c r="A58" t="s">
        <v>49</v>
      </c>
      <c r="B58" s="3">
        <f t="shared" ref="B58:I58" si="22">_xlfn.NORM.DIST(B34,B10,B22,TRUE)</f>
        <v>0.96772827912773263</v>
      </c>
      <c r="C58" s="3">
        <f t="shared" si="22"/>
        <v>0.29491141268143567</v>
      </c>
      <c r="D58" s="3">
        <f t="shared" si="22"/>
        <v>0.54178638917105693</v>
      </c>
      <c r="E58" s="3" t="e">
        <f t="shared" si="22"/>
        <v>#N/A</v>
      </c>
      <c r="F58" s="3">
        <f t="shared" si="22"/>
        <v>1.3686780797710192E-7</v>
      </c>
      <c r="G58" s="3" t="e">
        <f t="shared" si="22"/>
        <v>#NUM!</v>
      </c>
      <c r="H58" s="3" t="e">
        <f t="shared" si="22"/>
        <v>#NUM!</v>
      </c>
      <c r="I58" s="3" t="e">
        <f t="shared" si="22"/>
        <v>#NUM!</v>
      </c>
      <c r="J58" s="3" t="e">
        <f t="shared" si="15"/>
        <v>#NUM!</v>
      </c>
      <c r="K58" s="3" t="e">
        <f t="shared" si="15"/>
        <v>#NUM!</v>
      </c>
      <c r="L58" s="3" t="e">
        <f t="shared" si="15"/>
        <v>#NUM!</v>
      </c>
      <c r="M58" s="3" t="e">
        <f t="shared" si="15"/>
        <v>#NUM!</v>
      </c>
      <c r="N58" s="3" t="e">
        <f t="shared" si="15"/>
        <v>#NUM!</v>
      </c>
      <c r="O58" s="3" t="e">
        <f t="shared" si="15"/>
        <v>#N/A</v>
      </c>
      <c r="P58" s="9" t="e">
        <f t="shared" si="13"/>
        <v>#N/A</v>
      </c>
    </row>
    <row r="59" spans="1:18" x14ac:dyDescent="0.25">
      <c r="A59" t="s">
        <v>44</v>
      </c>
      <c r="B59" s="3">
        <f t="shared" ref="B59:I59" si="23">_xlfn.NORM.DIST(B35,B11,B23,TRUE)</f>
        <v>0.26998032294451479</v>
      </c>
      <c r="C59" s="3">
        <f t="shared" si="23"/>
        <v>0.20978532311286519</v>
      </c>
      <c r="D59" s="3">
        <f t="shared" si="23"/>
        <v>9.5043387141311206E-2</v>
      </c>
      <c r="E59" s="3">
        <f t="shared" si="23"/>
        <v>8.1134514617648312E-2</v>
      </c>
      <c r="F59" s="3">
        <f t="shared" si="23"/>
        <v>1.4227303717625371E-6</v>
      </c>
      <c r="G59" s="3" t="e">
        <f t="shared" si="23"/>
        <v>#NUM!</v>
      </c>
      <c r="H59" s="3" t="e">
        <f t="shared" si="23"/>
        <v>#NUM!</v>
      </c>
      <c r="I59" s="3" t="e">
        <f t="shared" si="23"/>
        <v>#NUM!</v>
      </c>
      <c r="J59" s="3" t="e">
        <f t="shared" si="15"/>
        <v>#NUM!</v>
      </c>
      <c r="K59" s="3" t="e">
        <f t="shared" si="15"/>
        <v>#NUM!</v>
      </c>
      <c r="L59" s="3" t="e">
        <f t="shared" si="15"/>
        <v>#NUM!</v>
      </c>
      <c r="M59" s="3" t="e">
        <f t="shared" si="15"/>
        <v>#NUM!</v>
      </c>
      <c r="N59" s="3" t="e">
        <f t="shared" si="15"/>
        <v>#NUM!</v>
      </c>
      <c r="O59" s="3">
        <f t="shared" si="15"/>
        <v>4.3126339304770167E-5</v>
      </c>
      <c r="P59" s="9" t="e">
        <f t="shared" si="13"/>
        <v>#NUM!</v>
      </c>
    </row>
    <row r="61" spans="1:18" x14ac:dyDescent="0.25">
      <c r="B61">
        <v>1</v>
      </c>
      <c r="C61">
        <f>B61+1</f>
        <v>2</v>
      </c>
      <c r="D61">
        <f t="shared" ref="D61:K61" si="24">C61+1</f>
        <v>3</v>
      </c>
      <c r="E61">
        <f t="shared" si="24"/>
        <v>4</v>
      </c>
      <c r="F61">
        <f t="shared" si="24"/>
        <v>5</v>
      </c>
      <c r="G61">
        <f t="shared" si="24"/>
        <v>6</v>
      </c>
      <c r="H61">
        <f t="shared" si="24"/>
        <v>7</v>
      </c>
      <c r="I61">
        <f t="shared" si="24"/>
        <v>8</v>
      </c>
      <c r="J61">
        <f t="shared" si="24"/>
        <v>9</v>
      </c>
      <c r="K61">
        <f t="shared" si="24"/>
        <v>10</v>
      </c>
      <c r="L61">
        <f>K61+1</f>
        <v>11</v>
      </c>
      <c r="M61">
        <f>L61+1</f>
        <v>12</v>
      </c>
      <c r="N61">
        <f>M61+1</f>
        <v>13</v>
      </c>
    </row>
    <row r="62" spans="1:18" x14ac:dyDescent="0.25">
      <c r="A62" t="s">
        <v>20</v>
      </c>
      <c r="B62" s="3">
        <f>_xlfn.NORM.DIST(B2-INDEX(B$2:B$11,INDEX(Scores!$AA$2:$AA$131,MATCH($A62&amp;"-"&amp;B$61,Scores!$AB$2:$AB$131,0))),0,SQRT(SUMSQ(B14,INDEX(B$14:B$23,INDEX(Scores!$AA$2:$AA$131,MATCH($A62&amp;"-"&amp;B$61,Scores!$AB$2:$AB$131,0))))),TRUE)</f>
        <v>0.26021145946457946</v>
      </c>
      <c r="C62" s="3">
        <f>_xlfn.NORM.DIST(C2-INDEX(C$2:C$11,INDEX(Scores!$AA$2:$AA$131,MATCH($A62&amp;"-"&amp;C$61,Scores!$AB$2:$AB$131,0))),0,SQRT(SUMSQ(C14,INDEX(C$14:C$23,INDEX(Scores!$AA$2:$AA$131,MATCH($A62&amp;"-"&amp;C$61,Scores!$AB$2:$AB$131,0))))),TRUE)</f>
        <v>0.57432793294264395</v>
      </c>
      <c r="D62" s="3" t="e">
        <f>_xlfn.NORM.DIST(D2-INDEX(D$2:D$11,INDEX(Scores!$AA$2:$AA$131,MATCH($A62&amp;"-"&amp;D$61,Scores!$AB$2:$AB$131,0))),0,SQRT(SUMSQ(D14,INDEX(D$14:D$23,INDEX(Scores!$AA$2:$AA$131,MATCH($A62&amp;"-"&amp;D$61,Scores!$AB$2:$AB$131,0))))),TRUE)</f>
        <v>#N/A</v>
      </c>
      <c r="E62" s="3" t="e">
        <f>_xlfn.NORM.DIST(E2-INDEX(E$2:E$11,INDEX(Scores!$AA$2:$AA$131,MATCH($A62&amp;"-"&amp;E$61,Scores!$AB$2:$AB$131,0))),0,SQRT(SUMSQ(E14,INDEX(E$14:E$23,INDEX(Scores!$AA$2:$AA$131,MATCH($A62&amp;"-"&amp;E$61,Scores!$AB$2:$AB$131,0))))),TRUE)</f>
        <v>#N/A</v>
      </c>
      <c r="F62" s="3">
        <f>_xlfn.NORM.DIST(F2-INDEX(F$2:F$11,INDEX(Scores!$AA$2:$AA$131,MATCH($A62&amp;"-"&amp;F$61,Scores!$AB$2:$AB$131,0))),0,SQRT(SUMSQ(F14,INDEX(F$14:F$23,INDEX(Scores!$AA$2:$AA$131,MATCH($A62&amp;"-"&amp;F$61,Scores!$AB$2:$AB$131,0))))),TRUE)</f>
        <v>0.61928886041543774</v>
      </c>
      <c r="G62" s="3" t="e">
        <f>_xlfn.NORM.DIST(G2-INDEX(G$2:G$11,INDEX(Scores!$AA$2:$AA$131,MATCH($A62&amp;"-"&amp;G$61,Scores!$AB$2:$AB$131,0))),0,SQRT(SUMSQ(G14,INDEX(G$14:G$23,INDEX(Scores!$AA$2:$AA$131,MATCH($A62&amp;"-"&amp;G$61,Scores!$AB$2:$AB$131,0))))),TRUE)</f>
        <v>#NUM!</v>
      </c>
      <c r="H62" s="3" t="e">
        <f>_xlfn.NORM.DIST(H2-INDEX(H$2:H$11,INDEX(Scores!$AA$2:$AA$131,MATCH($A62&amp;"-"&amp;H$61,Scores!$AB$2:$AB$131,0))),0,SQRT(SUMSQ(H14,INDEX(H$14:H$23,INDEX(Scores!$AA$2:$AA$131,MATCH($A62&amp;"-"&amp;H$61,Scores!$AB$2:$AB$131,0))))),TRUE)</f>
        <v>#NUM!</v>
      </c>
      <c r="I62" s="3" t="e">
        <f>_xlfn.NORM.DIST(I2-INDEX(I$2:I$11,INDEX(Scores!$AA$2:$AA$131,MATCH($A62&amp;"-"&amp;I$61,Scores!$AB$2:$AB$131,0))),0,SQRT(SUMSQ(I14,INDEX(I$14:I$23,INDEX(Scores!$AA$2:$AA$131,MATCH($A62&amp;"-"&amp;I$61,Scores!$AB$2:$AB$131,0))))),TRUE)</f>
        <v>#NUM!</v>
      </c>
      <c r="J62" s="3" t="e">
        <f>_xlfn.NORM.DIST(J2-INDEX(J$2:J$11,INDEX(Scores!$AA$2:$AA$131,MATCH($A62&amp;"-"&amp;J$61,Scores!$AB$2:$AB$131,0))),0,SQRT(SUMSQ(J14,INDEX(J$14:J$23,INDEX(Scores!$AA$2:$AA$131,MATCH($A62&amp;"-"&amp;J$61,Scores!$AB$2:$AB$131,0))))),TRUE)</f>
        <v>#NUM!</v>
      </c>
      <c r="K62" s="3" t="e">
        <f>_xlfn.NORM.DIST(K2-INDEX(K$2:K$11,INDEX(Scores!$AA$2:$AA$131,MATCH($A62&amp;"-"&amp;K$61,Scores!$AB$2:$AB$131,0))),0,SQRT(SUMSQ(K14,INDEX(K$14:K$23,INDEX(Scores!$AA$2:$AA$131,MATCH($A62&amp;"-"&amp;K$61,Scores!$AB$2:$AB$131,0))))),TRUE)</f>
        <v>#NUM!</v>
      </c>
      <c r="L62" s="3" t="e">
        <f>_xlfn.NORM.DIST(L2-INDEX(L$2:L$11,INDEX(Scores!$AA$2:$AA$131,MATCH($A62&amp;"-"&amp;L$61,Scores!$AB$2:$AB$131,0))),0,SQRT(SUMSQ(L14,INDEX(L$14:L$23,INDEX(Scores!$AA$2:$AA$131,MATCH($A62&amp;"-"&amp;L$61,Scores!$AB$2:$AB$131,0))))),TRUE)</f>
        <v>#NUM!</v>
      </c>
      <c r="M62" s="3" t="e">
        <f>_xlfn.NORM.DIST(M2-INDEX(M$2:M$11,INDEX(Scores!$AA$2:$AA$131,MATCH($A62&amp;"-"&amp;M$61,Scores!$AB$2:$AB$131,0))),0,SQRT(SUMSQ(M14,INDEX(M$14:M$23,INDEX(Scores!$AA$2:$AA$131,MATCH($A62&amp;"-"&amp;M$61,Scores!$AB$2:$AB$131,0))))),TRUE)</f>
        <v>#NUM!</v>
      </c>
      <c r="N62" s="3" t="e">
        <f>_xlfn.NORM.DIST(N2-INDEX(N$2:N$11,INDEX(Scores!$AA$2:$AA$131,MATCH($A62&amp;"-"&amp;N$61,Scores!$AB$2:$AB$131,0))),0,SQRT(SUMSQ(N14,INDEX(N$14:N$23,INDEX(Scores!$AA$2:$AA$131,MATCH($A62&amp;"-"&amp;N$61,Scores!$AB$2:$AB$131,0))))),TRUE)</f>
        <v>#NUM!</v>
      </c>
      <c r="O62" s="11" t="e">
        <f>SUM(B62:N62)</f>
        <v>#N/A</v>
      </c>
      <c r="P62" s="2">
        <f>Scores!P24</f>
        <v>2.6085362620675348</v>
      </c>
      <c r="Q62" s="2" t="e">
        <f>O62-P62</f>
        <v>#N/A</v>
      </c>
      <c r="R62">
        <f>COUNTIF(B62:N62,"&gt;0.5")</f>
        <v>2</v>
      </c>
    </row>
    <row r="63" spans="1:18" x14ac:dyDescent="0.25">
      <c r="A63" t="s">
        <v>16</v>
      </c>
      <c r="B63" s="3" t="e">
        <f>_xlfn.NORM.DIST(B3-INDEX(B$2:B$11,INDEX(Scores!$AA$2:$AA$131,MATCH($A63&amp;"-"&amp;B$61,Scores!$AB$2:$AB$131,0))),0,SQRT(SUMSQ(B15,INDEX(B$14:B$23,INDEX(Scores!$AA$2:$AA$131,MATCH($A63&amp;"-"&amp;B$61,Scores!$AB$2:$AB$131,0))))),TRUE)</f>
        <v>#N/A</v>
      </c>
      <c r="C63" s="3" t="e">
        <f>_xlfn.NORM.DIST(C3-INDEX(C$2:C$11,INDEX(Scores!$AA$2:$AA$131,MATCH($A63&amp;"-"&amp;C$61,Scores!$AB$2:$AB$131,0))),0,SQRT(SUMSQ(C15,INDEX(C$14:C$23,INDEX(Scores!$AA$2:$AA$131,MATCH($A63&amp;"-"&amp;C$61,Scores!$AB$2:$AB$131,0))))),TRUE)</f>
        <v>#N/A</v>
      </c>
      <c r="D63" s="3">
        <f>_xlfn.NORM.DIST(D3-INDEX(D$2:D$11,INDEX(Scores!$AA$2:$AA$131,MATCH($A63&amp;"-"&amp;D$61,Scores!$AB$2:$AB$131,0))),0,SQRT(SUMSQ(D15,INDEX(D$14:D$23,INDEX(Scores!$AA$2:$AA$131,MATCH($A63&amp;"-"&amp;D$61,Scores!$AB$2:$AB$131,0))))),TRUE)</f>
        <v>0.44092020653915392</v>
      </c>
      <c r="E63" s="3" t="e">
        <f>_xlfn.NORM.DIST(E3-INDEX(E$2:E$11,INDEX(Scores!$AA$2:$AA$131,MATCH($A63&amp;"-"&amp;E$61,Scores!$AB$2:$AB$131,0))),0,SQRT(SUMSQ(E15,INDEX(E$14:E$23,INDEX(Scores!$AA$2:$AA$131,MATCH($A63&amp;"-"&amp;E$61,Scores!$AB$2:$AB$131,0))))),TRUE)</f>
        <v>#N/A</v>
      </c>
      <c r="F63" s="3">
        <f>_xlfn.NORM.DIST(F3-INDEX(F$2:F$11,INDEX(Scores!$AA$2:$AA$131,MATCH($A63&amp;"-"&amp;F$61,Scores!$AB$2:$AB$131,0))),0,SQRT(SUMSQ(F15,INDEX(F$14:F$23,INDEX(Scores!$AA$2:$AA$131,MATCH($A63&amp;"-"&amp;F$61,Scores!$AB$2:$AB$131,0))))),TRUE)</f>
        <v>0.53657603677733223</v>
      </c>
      <c r="G63" s="3" t="e">
        <f>_xlfn.NORM.DIST(G3-INDEX(G$2:G$11,INDEX(Scores!$AA$2:$AA$131,MATCH($A63&amp;"-"&amp;G$61,Scores!$AB$2:$AB$131,0))),0,SQRT(SUMSQ(G15,INDEX(G$14:G$23,INDEX(Scores!$AA$2:$AA$131,MATCH($A63&amp;"-"&amp;G$61,Scores!$AB$2:$AB$131,0))))),TRUE)</f>
        <v>#NUM!</v>
      </c>
      <c r="H63" s="3" t="e">
        <f>_xlfn.NORM.DIST(H3-INDEX(H$2:H$11,INDEX(Scores!$AA$2:$AA$131,MATCH($A63&amp;"-"&amp;H$61,Scores!$AB$2:$AB$131,0))),0,SQRT(SUMSQ(H15,INDEX(H$14:H$23,INDEX(Scores!$AA$2:$AA$131,MATCH($A63&amp;"-"&amp;H$61,Scores!$AB$2:$AB$131,0))))),TRUE)</f>
        <v>#NUM!</v>
      </c>
      <c r="I63" s="3" t="e">
        <f>_xlfn.NORM.DIST(I3-INDEX(I$2:I$11,INDEX(Scores!$AA$2:$AA$131,MATCH($A63&amp;"-"&amp;I$61,Scores!$AB$2:$AB$131,0))),0,SQRT(SUMSQ(I15,INDEX(I$14:I$23,INDEX(Scores!$AA$2:$AA$131,MATCH($A63&amp;"-"&amp;I$61,Scores!$AB$2:$AB$131,0))))),TRUE)</f>
        <v>#NUM!</v>
      </c>
      <c r="J63" s="3" t="e">
        <f>_xlfn.NORM.DIST(J3-INDEX(J$2:J$11,INDEX(Scores!$AA$2:$AA$131,MATCH($A63&amp;"-"&amp;J$61,Scores!$AB$2:$AB$131,0))),0,SQRT(SUMSQ(J15,INDEX(J$14:J$23,INDEX(Scores!$AA$2:$AA$131,MATCH($A63&amp;"-"&amp;J$61,Scores!$AB$2:$AB$131,0))))),TRUE)</f>
        <v>#NUM!</v>
      </c>
      <c r="K63" s="3" t="e">
        <f>_xlfn.NORM.DIST(K3-INDEX(K$2:K$11,INDEX(Scores!$AA$2:$AA$131,MATCH($A63&amp;"-"&amp;K$61,Scores!$AB$2:$AB$131,0))),0,SQRT(SUMSQ(K15,INDEX(K$14:K$23,INDEX(Scores!$AA$2:$AA$131,MATCH($A63&amp;"-"&amp;K$61,Scores!$AB$2:$AB$131,0))))),TRUE)</f>
        <v>#NUM!</v>
      </c>
      <c r="L63" s="3" t="e">
        <f>_xlfn.NORM.DIST(L3-INDEX(L$2:L$11,INDEX(Scores!$AA$2:$AA$131,MATCH($A63&amp;"-"&amp;L$61,Scores!$AB$2:$AB$131,0))),0,SQRT(SUMSQ(L15,INDEX(L$14:L$23,INDEX(Scores!$AA$2:$AA$131,MATCH($A63&amp;"-"&amp;L$61,Scores!$AB$2:$AB$131,0))))),TRUE)</f>
        <v>#NUM!</v>
      </c>
      <c r="M63" s="3" t="e">
        <f>_xlfn.NORM.DIST(M3-INDEX(M$2:M$11,INDEX(Scores!$AA$2:$AA$131,MATCH($A63&amp;"-"&amp;M$61,Scores!$AB$2:$AB$131,0))),0,SQRT(SUMSQ(M15,INDEX(M$14:M$23,INDEX(Scores!$AA$2:$AA$131,MATCH($A63&amp;"-"&amp;M$61,Scores!$AB$2:$AB$131,0))))),TRUE)</f>
        <v>#NUM!</v>
      </c>
      <c r="N63" s="3" t="e">
        <f>_xlfn.NORM.DIST(N3-INDEX(N$2:N$11,INDEX(Scores!$AA$2:$AA$131,MATCH($A63&amp;"-"&amp;N$61,Scores!$AB$2:$AB$131,0))),0,SQRT(SUMSQ(N15,INDEX(N$14:N$23,INDEX(Scores!$AA$2:$AA$131,MATCH($A63&amp;"-"&amp;N$61,Scores!$AB$2:$AB$131,0))))),TRUE)</f>
        <v>#NUM!</v>
      </c>
      <c r="O63" s="11" t="e">
        <f t="shared" ref="O63:O71" si="25">SUM(B63:N63)</f>
        <v>#N/A</v>
      </c>
      <c r="P63" s="2">
        <f>Scores!P25</f>
        <v>4.2841110674947132</v>
      </c>
      <c r="Q63" s="2" t="e">
        <f t="shared" ref="Q63:Q71" si="26">O63-P63</f>
        <v>#N/A</v>
      </c>
      <c r="R63">
        <f t="shared" ref="R63:R71" si="27">COUNTIF(B63:N63,"&gt;0.5")</f>
        <v>1</v>
      </c>
    </row>
    <row r="64" spans="1:18" x14ac:dyDescent="0.25">
      <c r="A64" t="s">
        <v>55</v>
      </c>
      <c r="B64" s="3">
        <f>_xlfn.NORM.DIST(B4-INDEX(B$2:B$11,INDEX(Scores!$AA$2:$AA$131,MATCH($A64&amp;"-"&amp;B$61,Scores!$AB$2:$AB$131,0))),0,SQRT(SUMSQ(B16,INDEX(B$14:B$23,INDEX(Scores!$AA$2:$AA$131,MATCH($A64&amp;"-"&amp;B$61,Scores!$AB$2:$AB$131,0))))),TRUE)</f>
        <v>0.73978854053542054</v>
      </c>
      <c r="C64" s="3">
        <f>_xlfn.NORM.DIST(C4-INDEX(C$2:C$11,INDEX(Scores!$AA$2:$AA$131,MATCH($A64&amp;"-"&amp;C$61,Scores!$AB$2:$AB$131,0))),0,SQRT(SUMSQ(C16,INDEX(C$14:C$23,INDEX(Scores!$AA$2:$AA$131,MATCH($A64&amp;"-"&amp;C$61,Scores!$AB$2:$AB$131,0))))),TRUE)</f>
        <v>0.67761272462542199</v>
      </c>
      <c r="D64" s="3">
        <f>_xlfn.NORM.DIST(D4-INDEX(D$2:D$11,INDEX(Scores!$AA$2:$AA$131,MATCH($A64&amp;"-"&amp;D$61,Scores!$AB$2:$AB$131,0))),0,SQRT(SUMSQ(D16,INDEX(D$14:D$23,INDEX(Scores!$AA$2:$AA$131,MATCH($A64&amp;"-"&amp;D$61,Scores!$AB$2:$AB$131,0))))),TRUE)</f>
        <v>0.55586699826820474</v>
      </c>
      <c r="E64" s="3">
        <f>_xlfn.NORM.DIST(E4-INDEX(E$2:E$11,INDEX(Scores!$AA$2:$AA$131,MATCH($A64&amp;"-"&amp;E$61,Scores!$AB$2:$AB$131,0))),0,SQRT(SUMSQ(E16,INDEX(E$14:E$23,INDEX(Scores!$AA$2:$AA$131,MATCH($A64&amp;"-"&amp;E$61,Scores!$AB$2:$AB$131,0))))),TRUE)</f>
        <v>0.65073562261209306</v>
      </c>
      <c r="F64" s="3">
        <f>_xlfn.NORM.DIST(F4-INDEX(F$2:F$11,INDEX(Scores!$AA$2:$AA$131,MATCH($A64&amp;"-"&amp;F$61,Scores!$AB$2:$AB$131,0))),0,SQRT(SUMSQ(F16,INDEX(F$14:F$23,INDEX(Scores!$AA$2:$AA$131,MATCH($A64&amp;"-"&amp;F$61,Scores!$AB$2:$AB$131,0))))),TRUE)</f>
        <v>0.47588381796987245</v>
      </c>
      <c r="G64" s="3" t="e">
        <f>_xlfn.NORM.DIST(G4-INDEX(G$2:G$11,INDEX(Scores!$AA$2:$AA$131,MATCH($A64&amp;"-"&amp;G$61,Scores!$AB$2:$AB$131,0))),0,SQRT(SUMSQ(G16,INDEX(G$14:G$23,INDEX(Scores!$AA$2:$AA$131,MATCH($A64&amp;"-"&amp;G$61,Scores!$AB$2:$AB$131,0))))),TRUE)</f>
        <v>#NUM!</v>
      </c>
      <c r="H64" s="3" t="e">
        <f>_xlfn.NORM.DIST(H4-INDEX(H$2:H$11,INDEX(Scores!$AA$2:$AA$131,MATCH($A64&amp;"-"&amp;H$61,Scores!$AB$2:$AB$131,0))),0,SQRT(SUMSQ(H16,INDEX(H$14:H$23,INDEX(Scores!$AA$2:$AA$131,MATCH($A64&amp;"-"&amp;H$61,Scores!$AB$2:$AB$131,0))))),TRUE)</f>
        <v>#NUM!</v>
      </c>
      <c r="I64" s="3" t="e">
        <f>_xlfn.NORM.DIST(I4-INDEX(I$2:I$11,INDEX(Scores!$AA$2:$AA$131,MATCH($A64&amp;"-"&amp;I$61,Scores!$AB$2:$AB$131,0))),0,SQRT(SUMSQ(I16,INDEX(I$14:I$23,INDEX(Scores!$AA$2:$AA$131,MATCH($A64&amp;"-"&amp;I$61,Scores!$AB$2:$AB$131,0))))),TRUE)</f>
        <v>#NUM!</v>
      </c>
      <c r="J64" s="3" t="e">
        <f>_xlfn.NORM.DIST(J4-INDEX(J$2:J$11,INDEX(Scores!$AA$2:$AA$131,MATCH($A64&amp;"-"&amp;J$61,Scores!$AB$2:$AB$131,0))),0,SQRT(SUMSQ(J16,INDEX(J$14:J$23,INDEX(Scores!$AA$2:$AA$131,MATCH($A64&amp;"-"&amp;J$61,Scores!$AB$2:$AB$131,0))))),TRUE)</f>
        <v>#NUM!</v>
      </c>
      <c r="K64" s="3" t="e">
        <f>_xlfn.NORM.DIST(K4-INDEX(K$2:K$11,INDEX(Scores!$AA$2:$AA$131,MATCH($A64&amp;"-"&amp;K$61,Scores!$AB$2:$AB$131,0))),0,SQRT(SUMSQ(K16,INDEX(K$14:K$23,INDEX(Scores!$AA$2:$AA$131,MATCH($A64&amp;"-"&amp;K$61,Scores!$AB$2:$AB$131,0))))),TRUE)</f>
        <v>#NUM!</v>
      </c>
      <c r="L64" s="3" t="e">
        <f>_xlfn.NORM.DIST(L4-INDEX(L$2:L$11,INDEX(Scores!$AA$2:$AA$131,MATCH($A64&amp;"-"&amp;L$61,Scores!$AB$2:$AB$131,0))),0,SQRT(SUMSQ(L16,INDEX(L$14:L$23,INDEX(Scores!$AA$2:$AA$131,MATCH($A64&amp;"-"&amp;L$61,Scores!$AB$2:$AB$131,0))))),TRUE)</f>
        <v>#NUM!</v>
      </c>
      <c r="M64" s="3" t="e">
        <f>_xlfn.NORM.DIST(M4-INDEX(M$2:M$11,INDEX(Scores!$AA$2:$AA$131,MATCH($A64&amp;"-"&amp;M$61,Scores!$AB$2:$AB$131,0))),0,SQRT(SUMSQ(M16,INDEX(M$14:M$23,INDEX(Scores!$AA$2:$AA$131,MATCH($A64&amp;"-"&amp;M$61,Scores!$AB$2:$AB$131,0))))),TRUE)</f>
        <v>#NUM!</v>
      </c>
      <c r="N64" s="3" t="e">
        <f>_xlfn.NORM.DIST(N4-INDEX(N$2:N$11,INDEX(Scores!$AA$2:$AA$131,MATCH($A64&amp;"-"&amp;N$61,Scores!$AB$2:$AB$131,0))),0,SQRT(SUMSQ(N16,INDEX(N$14:N$23,INDEX(Scores!$AA$2:$AA$131,MATCH($A64&amp;"-"&amp;N$61,Scores!$AB$2:$AB$131,0))))),TRUE)</f>
        <v>#NUM!</v>
      </c>
      <c r="O64" s="11" t="e">
        <f>SUM(B64:N64)</f>
        <v>#NUM!</v>
      </c>
      <c r="P64" s="2">
        <f>Scores!P26</f>
        <v>4.4823023063303999</v>
      </c>
      <c r="Q64" s="2" t="e">
        <f t="shared" si="26"/>
        <v>#NUM!</v>
      </c>
      <c r="R64">
        <f t="shared" si="27"/>
        <v>4</v>
      </c>
    </row>
    <row r="65" spans="1:18" x14ac:dyDescent="0.25">
      <c r="A65" t="s">
        <v>35</v>
      </c>
      <c r="B65" s="3">
        <f>_xlfn.NORM.DIST(B5-INDEX(B$2:B$11,INDEX(Scores!$AA$2:$AA$131,MATCH($A65&amp;"-"&amp;B$61,Scores!$AB$2:$AB$131,0))),0,SQRT(SUMSQ(B17,INDEX(B$14:B$23,INDEX(Scores!$AA$2:$AA$131,MATCH($A65&amp;"-"&amp;B$61,Scores!$AB$2:$AB$131,0))))),TRUE)</f>
        <v>0.60886272246397466</v>
      </c>
      <c r="C65" s="3">
        <f>_xlfn.NORM.DIST(C5-INDEX(C$2:C$11,INDEX(Scores!$AA$2:$AA$131,MATCH($A65&amp;"-"&amp;C$61,Scores!$AB$2:$AB$131,0))),0,SQRT(SUMSQ(C17,INDEX(C$14:C$23,INDEX(Scores!$AA$2:$AA$131,MATCH($A65&amp;"-"&amp;C$61,Scores!$AB$2:$AB$131,0))))),TRUE)</f>
        <v>0.42567206705735605</v>
      </c>
      <c r="D65" s="3">
        <f>_xlfn.NORM.DIST(D5-INDEX(D$2:D$11,INDEX(Scores!$AA$2:$AA$131,MATCH($A65&amp;"-"&amp;D$61,Scores!$AB$2:$AB$131,0))),0,SQRT(SUMSQ(D17,INDEX(D$14:D$23,INDEX(Scores!$AA$2:$AA$131,MATCH($A65&amp;"-"&amp;D$61,Scores!$AB$2:$AB$131,0))))),TRUE)</f>
        <v>0.45118994362819792</v>
      </c>
      <c r="E65" s="3">
        <f>_xlfn.NORM.DIST(E5-INDEX(E$2:E$11,INDEX(Scores!$AA$2:$AA$131,MATCH($A65&amp;"-"&amp;E$61,Scores!$AB$2:$AB$131,0))),0,SQRT(SUMSQ(E17,INDEX(E$14:E$23,INDEX(Scores!$AA$2:$AA$131,MATCH($A65&amp;"-"&amp;E$61,Scores!$AB$2:$AB$131,0))))),TRUE)</f>
        <v>0.27613116949556488</v>
      </c>
      <c r="F65" s="3">
        <f>_xlfn.NORM.DIST(F5-INDEX(F$2:F$11,INDEX(Scores!$AA$2:$AA$131,MATCH($A65&amp;"-"&amp;F$61,Scores!$AB$2:$AB$131,0))),0,SQRT(SUMSQ(F17,INDEX(F$14:F$23,INDEX(Scores!$AA$2:$AA$131,MATCH($A65&amp;"-"&amp;F$61,Scores!$AB$2:$AB$131,0))))),TRUE)</f>
        <v>0.46342396322266777</v>
      </c>
      <c r="G65" s="3" t="e">
        <f>_xlfn.NORM.DIST(G5-INDEX(G$2:G$11,INDEX(Scores!$AA$2:$AA$131,MATCH($A65&amp;"-"&amp;G$61,Scores!$AB$2:$AB$131,0))),0,SQRT(SUMSQ(G17,INDEX(G$14:G$23,INDEX(Scores!$AA$2:$AA$131,MATCH($A65&amp;"-"&amp;G$61,Scores!$AB$2:$AB$131,0))))),TRUE)</f>
        <v>#NUM!</v>
      </c>
      <c r="H65" s="3" t="e">
        <f>_xlfn.NORM.DIST(H5-INDEX(H$2:H$11,INDEX(Scores!$AA$2:$AA$131,MATCH($A65&amp;"-"&amp;H$61,Scores!$AB$2:$AB$131,0))),0,SQRT(SUMSQ(H17,INDEX(H$14:H$23,INDEX(Scores!$AA$2:$AA$131,MATCH($A65&amp;"-"&amp;H$61,Scores!$AB$2:$AB$131,0))))),TRUE)</f>
        <v>#NUM!</v>
      </c>
      <c r="I65" s="3" t="e">
        <f>_xlfn.NORM.DIST(I5-INDEX(I$2:I$11,INDEX(Scores!$AA$2:$AA$131,MATCH($A65&amp;"-"&amp;I$61,Scores!$AB$2:$AB$131,0))),0,SQRT(SUMSQ(I17,INDEX(I$14:I$23,INDEX(Scores!$AA$2:$AA$131,MATCH($A65&amp;"-"&amp;I$61,Scores!$AB$2:$AB$131,0))))),TRUE)</f>
        <v>#NUM!</v>
      </c>
      <c r="J65" s="3" t="e">
        <f>_xlfn.NORM.DIST(J5-INDEX(J$2:J$11,INDEX(Scores!$AA$2:$AA$131,MATCH($A65&amp;"-"&amp;J$61,Scores!$AB$2:$AB$131,0))),0,SQRT(SUMSQ(J17,INDEX(J$14:J$23,INDEX(Scores!$AA$2:$AA$131,MATCH($A65&amp;"-"&amp;J$61,Scores!$AB$2:$AB$131,0))))),TRUE)</f>
        <v>#NUM!</v>
      </c>
      <c r="K65" s="3" t="e">
        <f>_xlfn.NORM.DIST(K5-INDEX(K$2:K$11,INDEX(Scores!$AA$2:$AA$131,MATCH($A65&amp;"-"&amp;K$61,Scores!$AB$2:$AB$131,0))),0,SQRT(SUMSQ(K17,INDEX(K$14:K$23,INDEX(Scores!$AA$2:$AA$131,MATCH($A65&amp;"-"&amp;K$61,Scores!$AB$2:$AB$131,0))))),TRUE)</f>
        <v>#NUM!</v>
      </c>
      <c r="L65" s="3" t="e">
        <f>_xlfn.NORM.DIST(L5-INDEX(L$2:L$11,INDEX(Scores!$AA$2:$AA$131,MATCH($A65&amp;"-"&amp;L$61,Scores!$AB$2:$AB$131,0))),0,SQRT(SUMSQ(L17,INDEX(L$14:L$23,INDEX(Scores!$AA$2:$AA$131,MATCH($A65&amp;"-"&amp;L$61,Scores!$AB$2:$AB$131,0))))),TRUE)</f>
        <v>#NUM!</v>
      </c>
      <c r="M65" s="3" t="e">
        <f>_xlfn.NORM.DIST(M5-INDEX(M$2:M$11,INDEX(Scores!$AA$2:$AA$131,MATCH($A65&amp;"-"&amp;M$61,Scores!$AB$2:$AB$131,0))),0,SQRT(SUMSQ(M17,INDEX(M$14:M$23,INDEX(Scores!$AA$2:$AA$131,MATCH($A65&amp;"-"&amp;M$61,Scores!$AB$2:$AB$131,0))))),TRUE)</f>
        <v>#NUM!</v>
      </c>
      <c r="N65" s="3" t="e">
        <f>_xlfn.NORM.DIST(N5-INDEX(N$2:N$11,INDEX(Scores!$AA$2:$AA$131,MATCH($A65&amp;"-"&amp;N$61,Scores!$AB$2:$AB$131,0))),0,SQRT(SUMSQ(N17,INDEX(N$14:N$23,INDEX(Scores!$AA$2:$AA$131,MATCH($A65&amp;"-"&amp;N$61,Scores!$AB$2:$AB$131,0))))),TRUE)</f>
        <v>#NUM!</v>
      </c>
      <c r="O65" s="11" t="e">
        <f>SUM(B65:N65)</f>
        <v>#NUM!</v>
      </c>
      <c r="P65" s="2">
        <f>Scores!P27</f>
        <v>0.71588893250528685</v>
      </c>
      <c r="Q65" s="2" t="e">
        <f t="shared" si="26"/>
        <v>#NUM!</v>
      </c>
      <c r="R65">
        <f t="shared" si="27"/>
        <v>1</v>
      </c>
    </row>
    <row r="66" spans="1:18" x14ac:dyDescent="0.25">
      <c r="A66" t="s">
        <v>27</v>
      </c>
      <c r="B66" s="3" t="e">
        <f>_xlfn.NORM.DIST(B6-INDEX(B$2:B$11,INDEX(Scores!$AA$2:$AA$131,MATCH($A66&amp;"-"&amp;B$61,Scores!$AB$2:$AB$131,0))),0,SQRT(SUMSQ(B18,INDEX(B$14:B$23,INDEX(Scores!$AA$2:$AA$131,MATCH($A66&amp;"-"&amp;B$61,Scores!$AB$2:$AB$131,0))))),TRUE)</f>
        <v>#N/A</v>
      </c>
      <c r="C66" s="3" t="e">
        <f>_xlfn.NORM.DIST(C6-INDEX(C$2:C$11,INDEX(Scores!$AA$2:$AA$131,MATCH($A66&amp;"-"&amp;C$61,Scores!$AB$2:$AB$131,0))),0,SQRT(SUMSQ(C18,INDEX(C$14:C$23,INDEX(Scores!$AA$2:$AA$131,MATCH($A66&amp;"-"&amp;C$61,Scores!$AB$2:$AB$131,0))))),TRUE)</f>
        <v>#N/A</v>
      </c>
      <c r="D66" s="3">
        <f>_xlfn.NORM.DIST(D6-INDEX(D$2:D$11,INDEX(Scores!$AA$2:$AA$131,MATCH($A66&amp;"-"&amp;D$61,Scores!$AB$2:$AB$131,0))),0,SQRT(SUMSQ(D18,INDEX(D$14:D$23,INDEX(Scores!$AA$2:$AA$131,MATCH($A66&amp;"-"&amp;D$61,Scores!$AB$2:$AB$131,0))))),TRUE)</f>
        <v>0.39822586773880109</v>
      </c>
      <c r="E66" s="3">
        <f>_xlfn.NORM.DIST(E6-INDEX(E$2:E$11,INDEX(Scores!$AA$2:$AA$131,MATCH($A66&amp;"-"&amp;E$61,Scores!$AB$2:$AB$131,0))),0,SQRT(SUMSQ(E18,INDEX(E$14:E$23,INDEX(Scores!$AA$2:$AA$131,MATCH($A66&amp;"-"&amp;E$61,Scores!$AB$2:$AB$131,0))))),TRUE)</f>
        <v>0.34926437738790694</v>
      </c>
      <c r="F66" s="3">
        <f>_xlfn.NORM.DIST(F6-INDEX(F$2:F$11,INDEX(Scores!$AA$2:$AA$131,MATCH($A66&amp;"-"&amp;F$61,Scores!$AB$2:$AB$131,0))),0,SQRT(SUMSQ(F18,INDEX(F$14:F$23,INDEX(Scores!$AA$2:$AA$131,MATCH($A66&amp;"-"&amp;F$61,Scores!$AB$2:$AB$131,0))))),TRUE)</f>
        <v>0.33105654283812946</v>
      </c>
      <c r="G66" s="3" t="e">
        <f>_xlfn.NORM.DIST(G6-INDEX(G$2:G$11,INDEX(Scores!$AA$2:$AA$131,MATCH($A66&amp;"-"&amp;G$61,Scores!$AB$2:$AB$131,0))),0,SQRT(SUMSQ(G18,INDEX(G$14:G$23,INDEX(Scores!$AA$2:$AA$131,MATCH($A66&amp;"-"&amp;G$61,Scores!$AB$2:$AB$131,0))))),TRUE)</f>
        <v>#NUM!</v>
      </c>
      <c r="H66" s="3" t="e">
        <f>_xlfn.NORM.DIST(H6-INDEX(H$2:H$11,INDEX(Scores!$AA$2:$AA$131,MATCH($A66&amp;"-"&amp;H$61,Scores!$AB$2:$AB$131,0))),0,SQRT(SUMSQ(H18,INDEX(H$14:H$23,INDEX(Scores!$AA$2:$AA$131,MATCH($A66&amp;"-"&amp;H$61,Scores!$AB$2:$AB$131,0))))),TRUE)</f>
        <v>#NUM!</v>
      </c>
      <c r="I66" s="3" t="e">
        <f>_xlfn.NORM.DIST(I6-INDEX(I$2:I$11,INDEX(Scores!$AA$2:$AA$131,MATCH($A66&amp;"-"&amp;I$61,Scores!$AB$2:$AB$131,0))),0,SQRT(SUMSQ(I18,INDEX(I$14:I$23,INDEX(Scores!$AA$2:$AA$131,MATCH($A66&amp;"-"&amp;I$61,Scores!$AB$2:$AB$131,0))))),TRUE)</f>
        <v>#NUM!</v>
      </c>
      <c r="J66" s="3" t="e">
        <f>_xlfn.NORM.DIST(J6-INDEX(J$2:J$11,INDEX(Scores!$AA$2:$AA$131,MATCH($A66&amp;"-"&amp;J$61,Scores!$AB$2:$AB$131,0))),0,SQRT(SUMSQ(J18,INDEX(J$14:J$23,INDEX(Scores!$AA$2:$AA$131,MATCH($A66&amp;"-"&amp;J$61,Scores!$AB$2:$AB$131,0))))),TRUE)</f>
        <v>#NUM!</v>
      </c>
      <c r="K66" s="3" t="e">
        <f>_xlfn.NORM.DIST(K6-INDEX(K$2:K$11,INDEX(Scores!$AA$2:$AA$131,MATCH($A66&amp;"-"&amp;K$61,Scores!$AB$2:$AB$131,0))),0,SQRT(SUMSQ(K18,INDEX(K$14:K$23,INDEX(Scores!$AA$2:$AA$131,MATCH($A66&amp;"-"&amp;K$61,Scores!$AB$2:$AB$131,0))))),TRUE)</f>
        <v>#NUM!</v>
      </c>
      <c r="L66" s="3" t="e">
        <f>_xlfn.NORM.DIST(L6-INDEX(L$2:L$11,INDEX(Scores!$AA$2:$AA$131,MATCH($A66&amp;"-"&amp;L$61,Scores!$AB$2:$AB$131,0))),0,SQRT(SUMSQ(L18,INDEX(L$14:L$23,INDEX(Scores!$AA$2:$AA$131,MATCH($A66&amp;"-"&amp;L$61,Scores!$AB$2:$AB$131,0))))),TRUE)</f>
        <v>#NUM!</v>
      </c>
      <c r="M66" s="3" t="e">
        <f>_xlfn.NORM.DIST(M6-INDEX(M$2:M$11,INDEX(Scores!$AA$2:$AA$131,MATCH($A66&amp;"-"&amp;M$61,Scores!$AB$2:$AB$131,0))),0,SQRT(SUMSQ(M18,INDEX(M$14:M$23,INDEX(Scores!$AA$2:$AA$131,MATCH($A66&amp;"-"&amp;M$61,Scores!$AB$2:$AB$131,0))))),TRUE)</f>
        <v>#NUM!</v>
      </c>
      <c r="N66" s="3" t="e">
        <f>_xlfn.NORM.DIST(N6-INDEX(N$2:N$11,INDEX(Scores!$AA$2:$AA$131,MATCH($A66&amp;"-"&amp;N$61,Scores!$AB$2:$AB$131,0))),0,SQRT(SUMSQ(N18,INDEX(N$14:N$23,INDEX(Scores!$AA$2:$AA$131,MATCH($A66&amp;"-"&amp;N$61,Scores!$AB$2:$AB$131,0))))),TRUE)</f>
        <v>#NUM!</v>
      </c>
      <c r="O66" s="11" t="e">
        <f t="shared" si="25"/>
        <v>#N/A</v>
      </c>
      <c r="P66" s="2">
        <f>Scores!P28</f>
        <v>1.3783643363841536</v>
      </c>
      <c r="Q66" s="2" t="e">
        <f t="shared" si="26"/>
        <v>#N/A</v>
      </c>
      <c r="R66">
        <f t="shared" si="27"/>
        <v>0</v>
      </c>
    </row>
    <row r="67" spans="1:18" x14ac:dyDescent="0.25">
      <c r="A67" t="s">
        <v>62</v>
      </c>
      <c r="B67" s="3">
        <f>_xlfn.NORM.DIST(B7-INDEX(B$2:B$11,INDEX(Scores!$AA$2:$AA$131,MATCH($A67&amp;"-"&amp;B$61,Scores!$AB$2:$AB$131,0))),0,SQRT(SUMSQ(B19,INDEX(B$14:B$23,INDEX(Scores!$AA$2:$AA$131,MATCH($A67&amp;"-"&amp;B$61,Scores!$AB$2:$AB$131,0))))),TRUE)</f>
        <v>0.45007047448638193</v>
      </c>
      <c r="C67" s="3">
        <f>_xlfn.NORM.DIST(C7-INDEX(C$2:C$11,INDEX(Scores!$AA$2:$AA$131,MATCH($A67&amp;"-"&amp;C$61,Scores!$AB$2:$AB$131,0))),0,SQRT(SUMSQ(C19,INDEX(C$14:C$23,INDEX(Scores!$AA$2:$AA$131,MATCH($A67&amp;"-"&amp;C$61,Scores!$AB$2:$AB$131,0))))),TRUE)</f>
        <v>0.32238727537457806</v>
      </c>
      <c r="D67" s="3">
        <f>_xlfn.NORM.DIST(D7-INDEX(D$2:D$11,INDEX(Scores!$AA$2:$AA$131,MATCH($A67&amp;"-"&amp;D$61,Scores!$AB$2:$AB$131,0))),0,SQRT(SUMSQ(D19,INDEX(D$14:D$23,INDEX(Scores!$AA$2:$AA$131,MATCH($A67&amp;"-"&amp;D$61,Scores!$AB$2:$AB$131,0))))),TRUE)</f>
        <v>0.54881005637180214</v>
      </c>
      <c r="E67" s="3">
        <f>_xlfn.NORM.DIST(E7-INDEX(E$2:E$11,INDEX(Scores!$AA$2:$AA$131,MATCH($A67&amp;"-"&amp;E$61,Scores!$AB$2:$AB$131,0))),0,SQRT(SUMSQ(E19,INDEX(E$14:E$23,INDEX(Scores!$AA$2:$AA$131,MATCH($A67&amp;"-"&amp;E$61,Scores!$AB$2:$AB$131,0))))),TRUE)</f>
        <v>0.70037253086469953</v>
      </c>
      <c r="F67" s="3">
        <f>_xlfn.NORM.DIST(F7-INDEX(F$2:F$11,INDEX(Scores!$AA$2:$AA$131,MATCH($A67&amp;"-"&amp;F$61,Scores!$AB$2:$AB$131,0))),0,SQRT(SUMSQ(F19,INDEX(F$14:F$23,INDEX(Scores!$AA$2:$AA$131,MATCH($A67&amp;"-"&amp;F$61,Scores!$AB$2:$AB$131,0))))),TRUE)</f>
        <v>0.66894345716187054</v>
      </c>
      <c r="G67" s="3" t="e">
        <f>_xlfn.NORM.DIST(G7-INDEX(G$2:G$11,INDEX(Scores!$AA$2:$AA$131,MATCH($A67&amp;"-"&amp;G$61,Scores!$AB$2:$AB$131,0))),0,SQRT(SUMSQ(G19,INDEX(G$14:G$23,INDEX(Scores!$AA$2:$AA$131,MATCH($A67&amp;"-"&amp;G$61,Scores!$AB$2:$AB$131,0))))),TRUE)</f>
        <v>#NUM!</v>
      </c>
      <c r="H67" s="3" t="e">
        <f>_xlfn.NORM.DIST(H7-INDEX(H$2:H$11,INDEX(Scores!$AA$2:$AA$131,MATCH($A67&amp;"-"&amp;H$61,Scores!$AB$2:$AB$131,0))),0,SQRT(SUMSQ(H19,INDEX(H$14:H$23,INDEX(Scores!$AA$2:$AA$131,MATCH($A67&amp;"-"&amp;H$61,Scores!$AB$2:$AB$131,0))))),TRUE)</f>
        <v>#NUM!</v>
      </c>
      <c r="I67" s="3" t="e">
        <f>_xlfn.NORM.DIST(I7-INDEX(I$2:I$11,INDEX(Scores!$AA$2:$AA$131,MATCH($A67&amp;"-"&amp;I$61,Scores!$AB$2:$AB$131,0))),0,SQRT(SUMSQ(I19,INDEX(I$14:I$23,INDEX(Scores!$AA$2:$AA$131,MATCH($A67&amp;"-"&amp;I$61,Scores!$AB$2:$AB$131,0))))),TRUE)</f>
        <v>#NUM!</v>
      </c>
      <c r="J67" s="3" t="e">
        <f>_xlfn.NORM.DIST(J7-INDEX(J$2:J$11,INDEX(Scores!$AA$2:$AA$131,MATCH($A67&amp;"-"&amp;J$61,Scores!$AB$2:$AB$131,0))),0,SQRT(SUMSQ(J19,INDEX(J$14:J$23,INDEX(Scores!$AA$2:$AA$131,MATCH($A67&amp;"-"&amp;J$61,Scores!$AB$2:$AB$131,0))))),TRUE)</f>
        <v>#NUM!</v>
      </c>
      <c r="K67" s="3" t="e">
        <f>_xlfn.NORM.DIST(K7-INDEX(K$2:K$11,INDEX(Scores!$AA$2:$AA$131,MATCH($A67&amp;"-"&amp;K$61,Scores!$AB$2:$AB$131,0))),0,SQRT(SUMSQ(K19,INDEX(K$14:K$23,INDEX(Scores!$AA$2:$AA$131,MATCH($A67&amp;"-"&amp;K$61,Scores!$AB$2:$AB$131,0))))),TRUE)</f>
        <v>#NUM!</v>
      </c>
      <c r="L67" s="3" t="e">
        <f>_xlfn.NORM.DIST(L7-INDEX(L$2:L$11,INDEX(Scores!$AA$2:$AA$131,MATCH($A67&amp;"-"&amp;L$61,Scores!$AB$2:$AB$131,0))),0,SQRT(SUMSQ(L19,INDEX(L$14:L$23,INDEX(Scores!$AA$2:$AA$131,MATCH($A67&amp;"-"&amp;L$61,Scores!$AB$2:$AB$131,0))))),TRUE)</f>
        <v>#NUM!</v>
      </c>
      <c r="M67" s="3" t="e">
        <f>_xlfn.NORM.DIST(M7-INDEX(M$2:M$11,INDEX(Scores!$AA$2:$AA$131,MATCH($A67&amp;"-"&amp;M$61,Scores!$AB$2:$AB$131,0))),0,SQRT(SUMSQ(M19,INDEX(M$14:M$23,INDEX(Scores!$AA$2:$AA$131,MATCH($A67&amp;"-"&amp;M$61,Scores!$AB$2:$AB$131,0))))),TRUE)</f>
        <v>#NUM!</v>
      </c>
      <c r="N67" s="3" t="e">
        <f>_xlfn.NORM.DIST(N7-INDEX(N$2:N$11,INDEX(Scores!$AA$2:$AA$131,MATCH($A67&amp;"-"&amp;N$61,Scores!$AB$2:$AB$131,0))),0,SQRT(SUMSQ(N19,INDEX(N$14:N$23,INDEX(Scores!$AA$2:$AA$131,MATCH($A67&amp;"-"&amp;N$61,Scores!$AB$2:$AB$131,0))))),TRUE)</f>
        <v>#NUM!</v>
      </c>
      <c r="O67" s="11" t="e">
        <f t="shared" si="25"/>
        <v>#NUM!</v>
      </c>
      <c r="P67" s="2">
        <f>Scores!P29</f>
        <v>2.6216356636158462</v>
      </c>
      <c r="Q67" s="2" t="e">
        <f t="shared" si="26"/>
        <v>#NUM!</v>
      </c>
      <c r="R67">
        <f t="shared" si="27"/>
        <v>3</v>
      </c>
    </row>
    <row r="68" spans="1:18" x14ac:dyDescent="0.25">
      <c r="A68" t="s">
        <v>1648</v>
      </c>
      <c r="B68" s="3">
        <f>_xlfn.NORM.DIST(B8-INDEX(B$2:B$11,INDEX(Scores!$AA$2:$AA$131,MATCH($A68&amp;"-"&amp;B$61,Scores!$AB$2:$AB$131,0))),0,SQRT(SUMSQ(B20,INDEX(B$14:B$23,INDEX(Scores!$AA$2:$AA$131,MATCH($A68&amp;"-"&amp;B$61,Scores!$AB$2:$AB$131,0))))),TRUE)</f>
        <v>0.39113727753602534</v>
      </c>
      <c r="C68" s="3" t="e">
        <f>_xlfn.NORM.DIST(C8-INDEX(C$2:C$11,INDEX(Scores!$AA$2:$AA$131,MATCH($A68&amp;"-"&amp;C$61,Scores!$AB$2:$AB$131,0))),0,SQRT(SUMSQ(C20,INDEX(C$14:C$23,INDEX(Scores!$AA$2:$AA$131,MATCH($A68&amp;"-"&amp;C$61,Scores!$AB$2:$AB$131,0))))),TRUE)</f>
        <v>#N/A</v>
      </c>
      <c r="D68" s="3">
        <f>_xlfn.NORM.DIST(D8-INDEX(D$2:D$11,INDEX(Scores!$AA$2:$AA$131,MATCH($A68&amp;"-"&amp;D$61,Scores!$AB$2:$AB$131,0))),0,SQRT(SUMSQ(D20,INDEX(D$14:D$23,INDEX(Scores!$AA$2:$AA$131,MATCH($A68&amp;"-"&amp;D$61,Scores!$AB$2:$AB$131,0))))),TRUE)</f>
        <v>0.55907979346084602</v>
      </c>
      <c r="E68" s="3" t="e">
        <f>_xlfn.NORM.DIST(E8-INDEX(E$2:E$11,INDEX(Scores!$AA$2:$AA$131,MATCH($A68&amp;"-"&amp;E$61,Scores!$AB$2:$AB$131,0))),0,SQRT(SUMSQ(E20,INDEX(E$14:E$23,INDEX(Scores!$AA$2:$AA$131,MATCH($A68&amp;"-"&amp;E$61,Scores!$AB$2:$AB$131,0))))),TRUE)</f>
        <v>#N/A</v>
      </c>
      <c r="F68" s="3">
        <f>_xlfn.NORM.DIST(F8-INDEX(F$2:F$11,INDEX(Scores!$AA$2:$AA$131,MATCH($A68&amp;"-"&amp;F$61,Scores!$AB$2:$AB$131,0))),0,SQRT(SUMSQ(F20,INDEX(F$14:F$23,INDEX(Scores!$AA$2:$AA$131,MATCH($A68&amp;"-"&amp;F$61,Scores!$AB$2:$AB$131,0))))),TRUE)</f>
        <v>0.38071113958456226</v>
      </c>
      <c r="G68" s="3" t="e">
        <f>_xlfn.NORM.DIST(G8-INDEX(G$2:G$11,INDEX(Scores!$AA$2:$AA$131,MATCH($A68&amp;"-"&amp;G$61,Scores!$AB$2:$AB$131,0))),0,SQRT(SUMSQ(G20,INDEX(G$14:G$23,INDEX(Scores!$AA$2:$AA$131,MATCH($A68&amp;"-"&amp;G$61,Scores!$AB$2:$AB$131,0))))),TRUE)</f>
        <v>#NUM!</v>
      </c>
      <c r="H68" s="3" t="e">
        <f>_xlfn.NORM.DIST(H8-INDEX(H$2:H$11,INDEX(Scores!$AA$2:$AA$131,MATCH($A68&amp;"-"&amp;H$61,Scores!$AB$2:$AB$131,0))),0,SQRT(SUMSQ(H20,INDEX(H$14:H$23,INDEX(Scores!$AA$2:$AA$131,MATCH($A68&amp;"-"&amp;H$61,Scores!$AB$2:$AB$131,0))))),TRUE)</f>
        <v>#NUM!</v>
      </c>
      <c r="I68" s="3" t="e">
        <f>_xlfn.NORM.DIST(I8-INDEX(I$2:I$11,INDEX(Scores!$AA$2:$AA$131,MATCH($A68&amp;"-"&amp;I$61,Scores!$AB$2:$AB$131,0))),0,SQRT(SUMSQ(I20,INDEX(I$14:I$23,INDEX(Scores!$AA$2:$AA$131,MATCH($A68&amp;"-"&amp;I$61,Scores!$AB$2:$AB$131,0))))),TRUE)</f>
        <v>#NUM!</v>
      </c>
      <c r="J68" s="3" t="e">
        <f>_xlfn.NORM.DIST(J8-INDEX(J$2:J$11,INDEX(Scores!$AA$2:$AA$131,MATCH($A68&amp;"-"&amp;J$61,Scores!$AB$2:$AB$131,0))),0,SQRT(SUMSQ(J20,INDEX(J$14:J$23,INDEX(Scores!$AA$2:$AA$131,MATCH($A68&amp;"-"&amp;J$61,Scores!$AB$2:$AB$131,0))))),TRUE)</f>
        <v>#NUM!</v>
      </c>
      <c r="K68" s="3" t="e">
        <f>_xlfn.NORM.DIST(K8-INDEX(K$2:K$11,INDEX(Scores!$AA$2:$AA$131,MATCH($A68&amp;"-"&amp;K$61,Scores!$AB$2:$AB$131,0))),0,SQRT(SUMSQ(K20,INDEX(K$14:K$23,INDEX(Scores!$AA$2:$AA$131,MATCH($A68&amp;"-"&amp;K$61,Scores!$AB$2:$AB$131,0))))),TRUE)</f>
        <v>#NUM!</v>
      </c>
      <c r="L68" s="3" t="e">
        <f>_xlfn.NORM.DIST(L8-INDEX(L$2:L$11,INDEX(Scores!$AA$2:$AA$131,MATCH($A68&amp;"-"&amp;L$61,Scores!$AB$2:$AB$131,0))),0,SQRT(SUMSQ(L20,INDEX(L$14:L$23,INDEX(Scores!$AA$2:$AA$131,MATCH($A68&amp;"-"&amp;L$61,Scores!$AB$2:$AB$131,0))))),TRUE)</f>
        <v>#NUM!</v>
      </c>
      <c r="M68" s="3" t="e">
        <f>_xlfn.NORM.DIST(M8-INDEX(M$2:M$11,INDEX(Scores!$AA$2:$AA$131,MATCH($A68&amp;"-"&amp;M$61,Scores!$AB$2:$AB$131,0))),0,SQRT(SUMSQ(M20,INDEX(M$14:M$23,INDEX(Scores!$AA$2:$AA$131,MATCH($A68&amp;"-"&amp;M$61,Scores!$AB$2:$AB$131,0))))),TRUE)</f>
        <v>#NUM!</v>
      </c>
      <c r="N68" s="3" t="e">
        <f>_xlfn.NORM.DIST(N8-INDEX(N$2:N$11,INDEX(Scores!$AA$2:$AA$131,MATCH($A68&amp;"-"&amp;N$61,Scores!$AB$2:$AB$131,0))),0,SQRT(SUMSQ(N20,INDEX(N$14:N$23,INDEX(Scores!$AA$2:$AA$131,MATCH($A68&amp;"-"&amp;N$61,Scores!$AB$2:$AB$131,0))))),TRUE)</f>
        <v>#NUM!</v>
      </c>
      <c r="O68" s="11" t="e">
        <f t="shared" si="25"/>
        <v>#N/A</v>
      </c>
      <c r="P68" s="2">
        <f>Scores!P30</f>
        <v>2.3914637379324652</v>
      </c>
      <c r="Q68" s="2" t="e">
        <f t="shared" si="26"/>
        <v>#N/A</v>
      </c>
      <c r="R68">
        <f t="shared" si="27"/>
        <v>1</v>
      </c>
    </row>
    <row r="69" spans="1:18" x14ac:dyDescent="0.25">
      <c r="A69" t="s">
        <v>23</v>
      </c>
      <c r="B69" s="3" t="e">
        <f>_xlfn.NORM.DIST(B9-INDEX(B$2:B$11,INDEX(Scores!$AA$2:$AA$131,MATCH($A69&amp;"-"&amp;B$61,Scores!$AB$2:$AB$131,0))),0,SQRT(SUMSQ(B21,INDEX(B$14:B$23,INDEX(Scores!$AA$2:$AA$131,MATCH($A69&amp;"-"&amp;B$61,Scores!$AB$2:$AB$131,0))))),TRUE)</f>
        <v>#N/A</v>
      </c>
      <c r="C69" s="3" t="e">
        <f>_xlfn.NORM.DIST(C9-INDEX(C$2:C$11,INDEX(Scores!$AA$2:$AA$131,MATCH($A69&amp;"-"&amp;C$61,Scores!$AB$2:$AB$131,0))),0,SQRT(SUMSQ(C21,INDEX(C$14:C$23,INDEX(Scores!$AA$2:$AA$131,MATCH($A69&amp;"-"&amp;C$61,Scores!$AB$2:$AB$131,0))))),TRUE)</f>
        <v>#N/A</v>
      </c>
      <c r="D69" s="3" t="e">
        <f>_xlfn.NORM.DIST(D9-INDEX(D$2:D$11,INDEX(Scores!$AA$2:$AA$131,MATCH($A69&amp;"-"&amp;D$61,Scores!$AB$2:$AB$131,0))),0,SQRT(SUMSQ(D21,INDEX(D$14:D$23,INDEX(Scores!$AA$2:$AA$131,MATCH($A69&amp;"-"&amp;D$61,Scores!$AB$2:$AB$131,0))))),TRUE)</f>
        <v>#N/A</v>
      </c>
      <c r="E69" s="3">
        <f>_xlfn.NORM.DIST(E9-INDEX(E$2:E$11,INDEX(Scores!$AA$2:$AA$131,MATCH($A69&amp;"-"&amp;E$61,Scores!$AB$2:$AB$131,0))),0,SQRT(SUMSQ(E21,INDEX(E$14:E$23,INDEX(Scores!$AA$2:$AA$131,MATCH($A69&amp;"-"&amp;E$61,Scores!$AB$2:$AB$131,0))))),TRUE)</f>
        <v>0.72386883050443518</v>
      </c>
      <c r="F69" s="3">
        <f>_xlfn.NORM.DIST(F9-INDEX(F$2:F$11,INDEX(Scores!$AA$2:$AA$131,MATCH($A69&amp;"-"&amp;F$61,Scores!$AB$2:$AB$131,0))),0,SQRT(SUMSQ(F21,INDEX(F$14:F$23,INDEX(Scores!$AA$2:$AA$131,MATCH($A69&amp;"-"&amp;F$61,Scores!$AB$2:$AB$131,0))))),TRUE)</f>
        <v>0.62090133841607731</v>
      </c>
      <c r="G69" s="3" t="e">
        <f>_xlfn.NORM.DIST(G9-INDEX(G$2:G$11,INDEX(Scores!$AA$2:$AA$131,MATCH($A69&amp;"-"&amp;G$61,Scores!$AB$2:$AB$131,0))),0,SQRT(SUMSQ(G21,INDEX(G$14:G$23,INDEX(Scores!$AA$2:$AA$131,MATCH($A69&amp;"-"&amp;G$61,Scores!$AB$2:$AB$131,0))))),TRUE)</f>
        <v>#NUM!</v>
      </c>
      <c r="H69" s="3" t="e">
        <f>_xlfn.NORM.DIST(H9-INDEX(H$2:H$11,INDEX(Scores!$AA$2:$AA$131,MATCH($A69&amp;"-"&amp;H$61,Scores!$AB$2:$AB$131,0))),0,SQRT(SUMSQ(H21,INDEX(H$14:H$23,INDEX(Scores!$AA$2:$AA$131,MATCH($A69&amp;"-"&amp;H$61,Scores!$AB$2:$AB$131,0))))),TRUE)</f>
        <v>#NUM!</v>
      </c>
      <c r="I69" s="3" t="e">
        <f>_xlfn.NORM.DIST(I9-INDEX(I$2:I$11,INDEX(Scores!$AA$2:$AA$131,MATCH($A69&amp;"-"&amp;I$61,Scores!$AB$2:$AB$131,0))),0,SQRT(SUMSQ(I21,INDEX(I$14:I$23,INDEX(Scores!$AA$2:$AA$131,MATCH($A69&amp;"-"&amp;I$61,Scores!$AB$2:$AB$131,0))))),TRUE)</f>
        <v>#NUM!</v>
      </c>
      <c r="J69" s="3" t="e">
        <f>_xlfn.NORM.DIST(J9-INDEX(J$2:J$11,INDEX(Scores!$AA$2:$AA$131,MATCH($A69&amp;"-"&amp;J$61,Scores!$AB$2:$AB$131,0))),0,SQRT(SUMSQ(J21,INDEX(J$14:J$23,INDEX(Scores!$AA$2:$AA$131,MATCH($A69&amp;"-"&amp;J$61,Scores!$AB$2:$AB$131,0))))),TRUE)</f>
        <v>#NUM!</v>
      </c>
      <c r="K69" s="3" t="e">
        <f>_xlfn.NORM.DIST(K9-INDEX(K$2:K$11,INDEX(Scores!$AA$2:$AA$131,MATCH($A69&amp;"-"&amp;K$61,Scores!$AB$2:$AB$131,0))),0,SQRT(SUMSQ(K21,INDEX(K$14:K$23,INDEX(Scores!$AA$2:$AA$131,MATCH($A69&amp;"-"&amp;K$61,Scores!$AB$2:$AB$131,0))))),TRUE)</f>
        <v>#NUM!</v>
      </c>
      <c r="L69" s="3" t="e">
        <f>_xlfn.NORM.DIST(L9-INDEX(L$2:L$11,INDEX(Scores!$AA$2:$AA$131,MATCH($A69&amp;"-"&amp;L$61,Scores!$AB$2:$AB$131,0))),0,SQRT(SUMSQ(L21,INDEX(L$14:L$23,INDEX(Scores!$AA$2:$AA$131,MATCH($A69&amp;"-"&amp;L$61,Scores!$AB$2:$AB$131,0))))),TRUE)</f>
        <v>#NUM!</v>
      </c>
      <c r="M69" s="3" t="e">
        <f>_xlfn.NORM.DIST(M9-INDEX(M$2:M$11,INDEX(Scores!$AA$2:$AA$131,MATCH($A69&amp;"-"&amp;M$61,Scores!$AB$2:$AB$131,0))),0,SQRT(SUMSQ(M21,INDEX(M$14:M$23,INDEX(Scores!$AA$2:$AA$131,MATCH($A69&amp;"-"&amp;M$61,Scores!$AB$2:$AB$131,0))))),TRUE)</f>
        <v>#NUM!</v>
      </c>
      <c r="N69" s="3" t="e">
        <f>_xlfn.NORM.DIST(N9-INDEX(N$2:N$11,INDEX(Scores!$AA$2:$AA$131,MATCH($A69&amp;"-"&amp;N$61,Scores!$AB$2:$AB$131,0))),0,SQRT(SUMSQ(N21,INDEX(N$14:N$23,INDEX(Scores!$AA$2:$AA$131,MATCH($A69&amp;"-"&amp;N$61,Scores!$AB$2:$AB$131,0))))),TRUE)</f>
        <v>#NUM!</v>
      </c>
      <c r="O69" s="11" t="e">
        <f t="shared" si="25"/>
        <v>#N/A</v>
      </c>
      <c r="P69" s="2">
        <f>Scores!P31</f>
        <v>1.6254563237774768</v>
      </c>
      <c r="Q69" s="2" t="e">
        <f t="shared" si="26"/>
        <v>#N/A</v>
      </c>
      <c r="R69">
        <f t="shared" si="27"/>
        <v>2</v>
      </c>
    </row>
    <row r="70" spans="1:18" x14ac:dyDescent="0.25">
      <c r="A70" t="s">
        <v>49</v>
      </c>
      <c r="B70" s="3">
        <f>_xlfn.NORM.DIST(B10-INDEX(B$2:B$11,INDEX(Scores!$AA$2:$AA$131,MATCH($A70&amp;"-"&amp;B$61,Scores!$AB$2:$AB$131,0))),0,SQRT(SUMSQ(B22,INDEX(B$14:B$23,INDEX(Scores!$AA$2:$AA$131,MATCH($A70&amp;"-"&amp;B$61,Scores!$AB$2:$AB$131,0))))),TRUE)</f>
        <v>0.54992952551361807</v>
      </c>
      <c r="C70" s="3">
        <f>_xlfn.NORM.DIST(C10-INDEX(C$2:C$11,INDEX(Scores!$AA$2:$AA$131,MATCH($A70&amp;"-"&amp;C$61,Scores!$AB$2:$AB$131,0))),0,SQRT(SUMSQ(C22,INDEX(C$14:C$23,INDEX(Scores!$AA$2:$AA$131,MATCH($A70&amp;"-"&amp;C$61,Scores!$AB$2:$AB$131,0))))),TRUE)</f>
        <v>0.70036425574615735</v>
      </c>
      <c r="D70" s="3">
        <f>_xlfn.NORM.DIST(D10-INDEX(D$2:D$11,INDEX(Scores!$AA$2:$AA$131,MATCH($A70&amp;"-"&amp;D$61,Scores!$AB$2:$AB$131,0))),0,SQRT(SUMSQ(D22,INDEX(D$14:D$23,INDEX(Scores!$AA$2:$AA$131,MATCH($A70&amp;"-"&amp;D$61,Scores!$AB$2:$AB$131,0))))),TRUE)</f>
        <v>0.60177413226119891</v>
      </c>
      <c r="E70" s="3" t="e">
        <f>_xlfn.NORM.DIST(E10-INDEX(E$2:E$11,INDEX(Scores!$AA$2:$AA$131,MATCH($A70&amp;"-"&amp;E$61,Scores!$AB$2:$AB$131,0))),0,SQRT(SUMSQ(E22,INDEX(E$14:E$23,INDEX(Scores!$AA$2:$AA$131,MATCH($A70&amp;"-"&amp;E$61,Scores!$AB$2:$AB$131,0))))),TRUE)</f>
        <v>#N/A</v>
      </c>
      <c r="F70" s="3">
        <f>_xlfn.NORM.DIST(F10-INDEX(F$2:F$11,INDEX(Scores!$AA$2:$AA$131,MATCH($A70&amp;"-"&amp;F$61,Scores!$AB$2:$AB$131,0))),0,SQRT(SUMSQ(F22,INDEX(F$14:F$23,INDEX(Scores!$AA$2:$AA$131,MATCH($A70&amp;"-"&amp;F$61,Scores!$AB$2:$AB$131,0))))),TRUE)</f>
        <v>0.52411618203012755</v>
      </c>
      <c r="G70" s="3" t="e">
        <f>_xlfn.NORM.DIST(G10-INDEX(G$2:G$11,INDEX(Scores!$AA$2:$AA$131,MATCH($A70&amp;"-"&amp;G$61,Scores!$AB$2:$AB$131,0))),0,SQRT(SUMSQ(G22,INDEX(G$14:G$23,INDEX(Scores!$AA$2:$AA$131,MATCH($A70&amp;"-"&amp;G$61,Scores!$AB$2:$AB$131,0))))),TRUE)</f>
        <v>#NUM!</v>
      </c>
      <c r="H70" s="3" t="e">
        <f>_xlfn.NORM.DIST(H10-INDEX(H$2:H$11,INDEX(Scores!$AA$2:$AA$131,MATCH($A70&amp;"-"&amp;H$61,Scores!$AB$2:$AB$131,0))),0,SQRT(SUMSQ(H22,INDEX(H$14:H$23,INDEX(Scores!$AA$2:$AA$131,MATCH($A70&amp;"-"&amp;H$61,Scores!$AB$2:$AB$131,0))))),TRUE)</f>
        <v>#NUM!</v>
      </c>
      <c r="I70" s="3" t="e">
        <f>_xlfn.NORM.DIST(I10-INDEX(I$2:I$11,INDEX(Scores!$AA$2:$AA$131,MATCH($A70&amp;"-"&amp;I$61,Scores!$AB$2:$AB$131,0))),0,SQRT(SUMSQ(I22,INDEX(I$14:I$23,INDEX(Scores!$AA$2:$AA$131,MATCH($A70&amp;"-"&amp;I$61,Scores!$AB$2:$AB$131,0))))),TRUE)</f>
        <v>#NUM!</v>
      </c>
      <c r="J70" s="3" t="e">
        <f>_xlfn.NORM.DIST(J10-INDEX(J$2:J$11,INDEX(Scores!$AA$2:$AA$131,MATCH($A70&amp;"-"&amp;J$61,Scores!$AB$2:$AB$131,0))),0,SQRT(SUMSQ(J22,INDEX(J$14:J$23,INDEX(Scores!$AA$2:$AA$131,MATCH($A70&amp;"-"&amp;J$61,Scores!$AB$2:$AB$131,0))))),TRUE)</f>
        <v>#NUM!</v>
      </c>
      <c r="K70" s="3" t="e">
        <f>_xlfn.NORM.DIST(K10-INDEX(K$2:K$11,INDEX(Scores!$AA$2:$AA$131,MATCH($A70&amp;"-"&amp;K$61,Scores!$AB$2:$AB$131,0))),0,SQRT(SUMSQ(K22,INDEX(K$14:K$23,INDEX(Scores!$AA$2:$AA$131,MATCH($A70&amp;"-"&amp;K$61,Scores!$AB$2:$AB$131,0))))),TRUE)</f>
        <v>#NUM!</v>
      </c>
      <c r="L70" s="3" t="e">
        <f>_xlfn.NORM.DIST(L10-INDEX(L$2:L$11,INDEX(Scores!$AA$2:$AA$131,MATCH($A70&amp;"-"&amp;L$61,Scores!$AB$2:$AB$131,0))),0,SQRT(SUMSQ(L22,INDEX(L$14:L$23,INDEX(Scores!$AA$2:$AA$131,MATCH($A70&amp;"-"&amp;L$61,Scores!$AB$2:$AB$131,0))))),TRUE)</f>
        <v>#NUM!</v>
      </c>
      <c r="M70" s="3" t="e">
        <f>_xlfn.NORM.DIST(M10-INDEX(M$2:M$11,INDEX(Scores!$AA$2:$AA$131,MATCH($A70&amp;"-"&amp;M$61,Scores!$AB$2:$AB$131,0))),0,SQRT(SUMSQ(M22,INDEX(M$14:M$23,INDEX(Scores!$AA$2:$AA$131,MATCH($A70&amp;"-"&amp;M$61,Scores!$AB$2:$AB$131,0))))),TRUE)</f>
        <v>#NUM!</v>
      </c>
      <c r="N70" s="3" t="e">
        <f>_xlfn.NORM.DIST(N10-INDEX(N$2:N$11,INDEX(Scores!$AA$2:$AA$131,MATCH($A70&amp;"-"&amp;N$61,Scores!$AB$2:$AB$131,0))),0,SQRT(SUMSQ(N22,INDEX(N$14:N$23,INDEX(Scores!$AA$2:$AA$131,MATCH($A70&amp;"-"&amp;N$61,Scores!$AB$2:$AB$131,0))))),TRUE)</f>
        <v>#NUM!</v>
      </c>
      <c r="O70" s="11" t="e">
        <f t="shared" si="25"/>
        <v>#N/A</v>
      </c>
      <c r="P70" s="2">
        <f>Scores!P32</f>
        <v>4.5176976936696001</v>
      </c>
      <c r="Q70" s="2" t="e">
        <f t="shared" si="26"/>
        <v>#N/A</v>
      </c>
      <c r="R70">
        <f t="shared" si="27"/>
        <v>4</v>
      </c>
    </row>
    <row r="71" spans="1:18" x14ac:dyDescent="0.25">
      <c r="A71" t="s">
        <v>44</v>
      </c>
      <c r="B71" s="3" t="e">
        <f>_xlfn.NORM.DIST(B11-INDEX(B$2:B$11,INDEX(Scores!$AA$2:$AA$131,MATCH($A71&amp;"-"&amp;B$61,Scores!$AB$2:$AB$131,0))),0,SQRT(SUMSQ(B23,INDEX(B$14:B$23,INDEX(Scores!$AA$2:$AA$131,MATCH($A71&amp;"-"&amp;B$61,Scores!$AB$2:$AB$131,0))))),TRUE)</f>
        <v>#N/A</v>
      </c>
      <c r="C71" s="3">
        <f>_xlfn.NORM.DIST(C11-INDEX(C$2:C$11,INDEX(Scores!$AA$2:$AA$131,MATCH($A71&amp;"-"&amp;C$61,Scores!$AB$2:$AB$131,0))),0,SQRT(SUMSQ(C23,INDEX(C$14:C$23,INDEX(Scores!$AA$2:$AA$131,MATCH($A71&amp;"-"&amp;C$61,Scores!$AB$2:$AB$131,0))))),TRUE)</f>
        <v>0.29963574425384265</v>
      </c>
      <c r="D71" s="3">
        <f>_xlfn.NORM.DIST(D11-INDEX(D$2:D$11,INDEX(Scores!$AA$2:$AA$131,MATCH($A71&amp;"-"&amp;D$61,Scores!$AB$2:$AB$131,0))),0,SQRT(SUMSQ(D23,INDEX(D$14:D$23,INDEX(Scores!$AA$2:$AA$131,MATCH($A71&amp;"-"&amp;D$61,Scores!$AB$2:$AB$131,0))))),TRUE)</f>
        <v>0.44413300173179521</v>
      </c>
      <c r="E71" s="3">
        <f>_xlfn.NORM.DIST(E11-INDEX(E$2:E$11,INDEX(Scores!$AA$2:$AA$131,MATCH($A71&amp;"-"&amp;E$61,Scores!$AB$2:$AB$131,0))),0,SQRT(SUMSQ(E23,INDEX(E$14:E$23,INDEX(Scores!$AA$2:$AA$131,MATCH($A71&amp;"-"&amp;E$61,Scores!$AB$2:$AB$131,0))))),TRUE)</f>
        <v>0.29962746913530047</v>
      </c>
      <c r="F71" s="3">
        <f>_xlfn.NORM.DIST(F11-INDEX(F$2:F$11,INDEX(Scores!$AA$2:$AA$131,MATCH($A71&amp;"-"&amp;F$61,Scores!$AB$2:$AB$131,0))),0,SQRT(SUMSQ(F23,INDEX(F$14:F$23,INDEX(Scores!$AA$2:$AA$131,MATCH($A71&amp;"-"&amp;F$61,Scores!$AB$2:$AB$131,0))))),TRUE)</f>
        <v>0.37909866158392275</v>
      </c>
      <c r="G71" s="3" t="e">
        <f>_xlfn.NORM.DIST(G11-INDEX(G$2:G$11,INDEX(Scores!$AA$2:$AA$131,MATCH($A71&amp;"-"&amp;G$61,Scores!$AB$2:$AB$131,0))),0,SQRT(SUMSQ(G23,INDEX(G$14:G$23,INDEX(Scores!$AA$2:$AA$131,MATCH($A71&amp;"-"&amp;G$61,Scores!$AB$2:$AB$131,0))))),TRUE)</f>
        <v>#NUM!</v>
      </c>
      <c r="H71" s="3" t="e">
        <f>_xlfn.NORM.DIST(H11-INDEX(H$2:H$11,INDEX(Scores!$AA$2:$AA$131,MATCH($A71&amp;"-"&amp;H$61,Scores!$AB$2:$AB$131,0))),0,SQRT(SUMSQ(H23,INDEX(H$14:H$23,INDEX(Scores!$AA$2:$AA$131,MATCH($A71&amp;"-"&amp;H$61,Scores!$AB$2:$AB$131,0))))),TRUE)</f>
        <v>#NUM!</v>
      </c>
      <c r="I71" s="3" t="e">
        <f>_xlfn.NORM.DIST(I11-INDEX(I$2:I$11,INDEX(Scores!$AA$2:$AA$131,MATCH($A71&amp;"-"&amp;I$61,Scores!$AB$2:$AB$131,0))),0,SQRT(SUMSQ(I23,INDEX(I$14:I$23,INDEX(Scores!$AA$2:$AA$131,MATCH($A71&amp;"-"&amp;I$61,Scores!$AB$2:$AB$131,0))))),TRUE)</f>
        <v>#NUM!</v>
      </c>
      <c r="J71" s="3" t="e">
        <f>_xlfn.NORM.DIST(J11-INDEX(J$2:J$11,INDEX(Scores!$AA$2:$AA$131,MATCH($A71&amp;"-"&amp;J$61,Scores!$AB$2:$AB$131,0))),0,SQRT(SUMSQ(J23,INDEX(J$14:J$23,INDEX(Scores!$AA$2:$AA$131,MATCH($A71&amp;"-"&amp;J$61,Scores!$AB$2:$AB$131,0))))),TRUE)</f>
        <v>#NUM!</v>
      </c>
      <c r="K71" s="3" t="e">
        <f>_xlfn.NORM.DIST(K11-INDEX(K$2:K$11,INDEX(Scores!$AA$2:$AA$131,MATCH($A71&amp;"-"&amp;K$61,Scores!$AB$2:$AB$131,0))),0,SQRT(SUMSQ(K23,INDEX(K$14:K$23,INDEX(Scores!$AA$2:$AA$131,MATCH($A71&amp;"-"&amp;K$61,Scores!$AB$2:$AB$131,0))))),TRUE)</f>
        <v>#NUM!</v>
      </c>
      <c r="L71" s="3" t="e">
        <f>_xlfn.NORM.DIST(L11-INDEX(L$2:L$11,INDEX(Scores!$AA$2:$AA$131,MATCH($A71&amp;"-"&amp;L$61,Scores!$AB$2:$AB$131,0))),0,SQRT(SUMSQ(L23,INDEX(L$14:L$23,INDEX(Scores!$AA$2:$AA$131,MATCH($A71&amp;"-"&amp;L$61,Scores!$AB$2:$AB$131,0))))),TRUE)</f>
        <v>#NUM!</v>
      </c>
      <c r="M71" s="3" t="e">
        <f>_xlfn.NORM.DIST(M11-INDEX(M$2:M$11,INDEX(Scores!$AA$2:$AA$131,MATCH($A71&amp;"-"&amp;M$61,Scores!$AB$2:$AB$131,0))),0,SQRT(SUMSQ(M23,INDEX(M$14:M$23,INDEX(Scores!$AA$2:$AA$131,MATCH($A71&amp;"-"&amp;M$61,Scores!$AB$2:$AB$131,0))))),TRUE)</f>
        <v>#NUM!</v>
      </c>
      <c r="N71" s="3" t="e">
        <f>_xlfn.NORM.DIST(N11-INDEX(N$2:N$11,INDEX(Scores!$AA$2:$AA$131,MATCH($A71&amp;"-"&amp;N$61,Scores!$AB$2:$AB$131,0))),0,SQRT(SUMSQ(N23,INDEX(N$14:N$23,INDEX(Scores!$AA$2:$AA$131,MATCH($A71&amp;"-"&amp;N$61,Scores!$AB$2:$AB$131,0))))),TRUE)</f>
        <v>#NUM!</v>
      </c>
      <c r="O71" s="11" t="e">
        <f t="shared" si="25"/>
        <v>#N/A</v>
      </c>
      <c r="P71" s="2">
        <f>Scores!P33</f>
        <v>0.3745436762225231</v>
      </c>
      <c r="Q71" s="2" t="e">
        <f t="shared" si="26"/>
        <v>#N/A</v>
      </c>
      <c r="R71">
        <f t="shared" si="27"/>
        <v>0</v>
      </c>
    </row>
    <row r="73" spans="1:18" x14ac:dyDescent="0.25">
      <c r="B73" s="9">
        <f>IF(Scores!B24=1,B62,1-B62)</f>
        <v>0.73978854053542054</v>
      </c>
      <c r="C73" s="9">
        <f>IF(Scores!C24=1,C62,1-C62)</f>
        <v>0.57432793294264395</v>
      </c>
      <c r="D73" s="9" t="e">
        <f>IF(Scores!D24=1,D62,1-D62)</f>
        <v>#N/A</v>
      </c>
      <c r="E73" s="9" t="e">
        <f>IF(Scores!E24=1,E62,1-E62)</f>
        <v>#N/A</v>
      </c>
      <c r="F73" s="9">
        <f>IF(Scores!F24=1,F62,1-F62)</f>
        <v>0.38071113958456226</v>
      </c>
      <c r="G73" s="9" t="e">
        <f>IF(Scores!G24=1,G62,1-G62)</f>
        <v>#NUM!</v>
      </c>
      <c r="H73" s="9" t="e">
        <f>IF(Scores!H24=1,H62,1-H62)</f>
        <v>#NUM!</v>
      </c>
      <c r="I73" s="9" t="e">
        <f>IF(Scores!I24=1,I62,1-I62)</f>
        <v>#NUM!</v>
      </c>
      <c r="J73" s="9" t="e">
        <f>IF(Scores!J24=1,J62,1-J62)</f>
        <v>#NUM!</v>
      </c>
      <c r="K73" s="9" t="e">
        <f>IF(Scores!K24=1,K62,1-K62)</f>
        <v>#NUM!</v>
      </c>
      <c r="L73" s="9" t="e">
        <f>IF(Scores!L24=1,L62,1-L62)</f>
        <v>#NUM!</v>
      </c>
      <c r="M73" s="9" t="e">
        <f>IF(Scores!M24=1,M62,1-M62)</f>
        <v>#NUM!</v>
      </c>
      <c r="N73" s="9" t="e">
        <f>IF(Scores!N24=1,N62,1-N62)</f>
        <v>#NUM!</v>
      </c>
      <c r="R73">
        <f>COUNTIF(B73:N82,"&gt;.5")/2</f>
        <v>13.5</v>
      </c>
    </row>
    <row r="74" spans="1:18" x14ac:dyDescent="0.25">
      <c r="B74" s="9" t="e">
        <f>IF(Scores!B25=1,B63,1-B63)</f>
        <v>#N/A</v>
      </c>
      <c r="C74" s="9" t="e">
        <f>IF(Scores!C25=1,C63,1-C63)</f>
        <v>#N/A</v>
      </c>
      <c r="D74" s="9">
        <f>IF(Scores!D25=1,D63,1-D63)</f>
        <v>0.44092020653915392</v>
      </c>
      <c r="E74" s="9" t="e">
        <f>IF(Scores!E25=1,E63,1-E63)</f>
        <v>#N/A</v>
      </c>
      <c r="F74" s="9">
        <f>IF(Scores!F25=1,F63,1-F63)</f>
        <v>0.46342396322266777</v>
      </c>
      <c r="G74" s="9" t="e">
        <f>IF(Scores!G25=1,G63,1-G63)</f>
        <v>#NUM!</v>
      </c>
      <c r="H74" s="9" t="e">
        <f>IF(Scores!H25=1,H63,1-H63)</f>
        <v>#NUM!</v>
      </c>
      <c r="I74" s="9" t="e">
        <f>IF(Scores!I25=1,I63,1-I63)</f>
        <v>#NUM!</v>
      </c>
      <c r="J74" s="9" t="e">
        <f>IF(Scores!J25=1,J63,1-J63)</f>
        <v>#NUM!</v>
      </c>
      <c r="K74" s="9" t="e">
        <f>IF(Scores!K25=1,K63,1-K63)</f>
        <v>#NUM!</v>
      </c>
      <c r="L74" s="9" t="e">
        <f>IF(Scores!L25=1,L63,1-L63)</f>
        <v>#NUM!</v>
      </c>
      <c r="M74" s="9" t="e">
        <f>IF(Scores!M25=1,M63,1-M63)</f>
        <v>#NUM!</v>
      </c>
      <c r="N74" s="9" t="e">
        <f>IF(Scores!N25=1,N63,1-N63)</f>
        <v>#NUM!</v>
      </c>
    </row>
    <row r="75" spans="1:18" x14ac:dyDescent="0.25">
      <c r="B75" s="9">
        <f>IF(Scores!B26=1,B64,1-B64)</f>
        <v>0.73978854053542054</v>
      </c>
      <c r="C75" s="9">
        <f>IF(Scores!C26=1,C64,1-C64)</f>
        <v>0.67761272462542199</v>
      </c>
      <c r="D75" s="9">
        <f>IF(Scores!D26=1,D64,1-D64)</f>
        <v>0.55586699826820474</v>
      </c>
      <c r="E75" s="9">
        <f>IF(Scores!E26=1,E64,1-E64)</f>
        <v>0.65073562261209306</v>
      </c>
      <c r="F75" s="9">
        <f>IF(Scores!F26=1,F64,1-F64)</f>
        <v>0.52411618203012755</v>
      </c>
      <c r="G75" s="9" t="e">
        <f>IF(Scores!G26=1,G64,1-G64)</f>
        <v>#NUM!</v>
      </c>
      <c r="H75" s="9" t="e">
        <f>IF(Scores!H26=1,H64,1-H64)</f>
        <v>#NUM!</v>
      </c>
      <c r="I75" s="9" t="e">
        <f>IF(Scores!I26=1,I64,1-I64)</f>
        <v>#NUM!</v>
      </c>
      <c r="J75" s="9" t="e">
        <f>IF(Scores!J26=1,J64,1-J64)</f>
        <v>#NUM!</v>
      </c>
      <c r="K75" s="9" t="e">
        <f>IF(Scores!K26=1,K64,1-K64)</f>
        <v>#NUM!</v>
      </c>
      <c r="L75" s="9" t="e">
        <f>IF(Scores!L26=1,L64,1-L64)</f>
        <v>#NUM!</v>
      </c>
      <c r="M75" s="9" t="e">
        <f>IF(Scores!M26=1,M64,1-M64)</f>
        <v>#NUM!</v>
      </c>
      <c r="N75" s="9" t="e">
        <f>IF(Scores!N26=1,N64,1-N64)</f>
        <v>#NUM!</v>
      </c>
    </row>
    <row r="76" spans="1:18" x14ac:dyDescent="0.25">
      <c r="B76" s="9">
        <f>IF(Scores!B27=1,B65,1-B65)</f>
        <v>0.39113727753602534</v>
      </c>
      <c r="C76" s="9">
        <f>IF(Scores!C27=1,C65,1-C65)</f>
        <v>0.57432793294264395</v>
      </c>
      <c r="D76" s="9">
        <f>IF(Scores!D27=1,D65,1-D65)</f>
        <v>0.54881005637180214</v>
      </c>
      <c r="E76" s="9">
        <f>IF(Scores!E27=1,E65,1-E65)</f>
        <v>0.72386883050443518</v>
      </c>
      <c r="F76" s="9">
        <f>IF(Scores!F27=1,F65,1-F65)</f>
        <v>0.53657603677733223</v>
      </c>
      <c r="G76" s="9" t="e">
        <f>IF(Scores!G27=1,G65,1-G65)</f>
        <v>#NUM!</v>
      </c>
      <c r="H76" s="9" t="e">
        <f>IF(Scores!H27=1,H65,1-H65)</f>
        <v>#NUM!</v>
      </c>
      <c r="I76" s="9" t="e">
        <f>IF(Scores!I27=1,I65,1-I65)</f>
        <v>#NUM!</v>
      </c>
      <c r="J76" s="9" t="e">
        <f>IF(Scores!J27=1,J65,1-J65)</f>
        <v>#NUM!</v>
      </c>
      <c r="K76" s="9" t="e">
        <f>IF(Scores!K27=1,K65,1-K65)</f>
        <v>#NUM!</v>
      </c>
      <c r="L76" s="9" t="e">
        <f>IF(Scores!L27=1,L65,1-L65)</f>
        <v>#NUM!</v>
      </c>
      <c r="M76" s="9" t="e">
        <f>IF(Scores!M27=1,M65,1-M65)</f>
        <v>#NUM!</v>
      </c>
      <c r="N76" s="9" t="e">
        <f>IF(Scores!N27=1,N65,1-N65)</f>
        <v>#NUM!</v>
      </c>
    </row>
    <row r="77" spans="1:18" x14ac:dyDescent="0.25">
      <c r="B77" s="9" t="e">
        <f>IF(Scores!B28=1,B66,1-B66)</f>
        <v>#N/A</v>
      </c>
      <c r="C77" s="9" t="e">
        <f>IF(Scores!C28=1,C66,1-C66)</f>
        <v>#N/A</v>
      </c>
      <c r="D77" s="9">
        <f>IF(Scores!D28=1,D66,1-D66)</f>
        <v>0.60177413226119891</v>
      </c>
      <c r="E77" s="9">
        <f>IF(Scores!E28=1,E66,1-E66)</f>
        <v>0.65073562261209306</v>
      </c>
      <c r="F77" s="9">
        <f>IF(Scores!F28=1,F66,1-F66)</f>
        <v>0.66894345716187054</v>
      </c>
      <c r="G77" s="9" t="e">
        <f>IF(Scores!G28=1,G66,1-G66)</f>
        <v>#NUM!</v>
      </c>
      <c r="H77" s="9" t="e">
        <f>IF(Scores!H28=1,H66,1-H66)</f>
        <v>#NUM!</v>
      </c>
      <c r="I77" s="9" t="e">
        <f>IF(Scores!I28=1,I66,1-I66)</f>
        <v>#NUM!</v>
      </c>
      <c r="J77" s="9" t="e">
        <f>IF(Scores!J28=1,J66,1-J66)</f>
        <v>#NUM!</v>
      </c>
      <c r="K77" s="9" t="e">
        <f>IF(Scores!K28=1,K66,1-K66)</f>
        <v>#NUM!</v>
      </c>
      <c r="L77" s="9" t="e">
        <f>IF(Scores!L28=1,L66,1-L66)</f>
        <v>#NUM!</v>
      </c>
      <c r="M77" s="9" t="e">
        <f>IF(Scores!M28=1,M66,1-M66)</f>
        <v>#NUM!</v>
      </c>
      <c r="N77" s="9" t="e">
        <f>IF(Scores!N28=1,N66,1-N66)</f>
        <v>#NUM!</v>
      </c>
    </row>
    <row r="78" spans="1:18" x14ac:dyDescent="0.25">
      <c r="B78" s="9">
        <f>IF(Scores!B29=1,B67,1-B67)</f>
        <v>0.54992952551361807</v>
      </c>
      <c r="C78" s="9">
        <f>IF(Scores!C29=1,C67,1-C67)</f>
        <v>0.67761272462542199</v>
      </c>
      <c r="D78" s="9">
        <f>IF(Scores!D29=1,D67,1-D67)</f>
        <v>0.54881005637180214</v>
      </c>
      <c r="E78" s="9">
        <f>IF(Scores!E29=1,E67,1-E67)</f>
        <v>0.70037253086469953</v>
      </c>
      <c r="F78" s="9">
        <f>IF(Scores!F29=1,F67,1-F67)</f>
        <v>0.33105654283812946</v>
      </c>
      <c r="G78" s="9" t="e">
        <f>IF(Scores!G29=1,G67,1-G67)</f>
        <v>#NUM!</v>
      </c>
      <c r="H78" s="9" t="e">
        <f>IF(Scores!H29=1,H67,1-H67)</f>
        <v>#NUM!</v>
      </c>
      <c r="I78" s="9" t="e">
        <f>IF(Scores!I29=1,I67,1-I67)</f>
        <v>#NUM!</v>
      </c>
      <c r="J78" s="9" t="e">
        <f>IF(Scores!J29=1,J67,1-J67)</f>
        <v>#NUM!</v>
      </c>
      <c r="K78" s="9" t="e">
        <f>IF(Scores!K29=1,K67,1-K67)</f>
        <v>#NUM!</v>
      </c>
      <c r="L78" s="9" t="e">
        <f>IF(Scores!L29=1,L67,1-L67)</f>
        <v>#NUM!</v>
      </c>
      <c r="M78" s="9" t="e">
        <f>IF(Scores!M29=1,M67,1-M67)</f>
        <v>#NUM!</v>
      </c>
      <c r="N78" s="9" t="e">
        <f>IF(Scores!N29=1,N67,1-N67)</f>
        <v>#NUM!</v>
      </c>
    </row>
    <row r="79" spans="1:18" x14ac:dyDescent="0.25">
      <c r="B79" s="9">
        <f>IF(Scores!B30=1,B68,1-B68)</f>
        <v>0.39113727753602534</v>
      </c>
      <c r="C79" s="9" t="e">
        <f>IF(Scores!C30=1,C68,1-C68)</f>
        <v>#N/A</v>
      </c>
      <c r="D79" s="9">
        <f>IF(Scores!D30=1,D68,1-D68)</f>
        <v>0.44092020653915398</v>
      </c>
      <c r="E79" s="9" t="e">
        <f>IF(Scores!E30=1,E68,1-E68)</f>
        <v>#N/A</v>
      </c>
      <c r="F79" s="9">
        <f>IF(Scores!F30=1,F68,1-F68)</f>
        <v>0.61928886041543774</v>
      </c>
      <c r="G79" s="9" t="e">
        <f>IF(Scores!G30=1,G68,1-G68)</f>
        <v>#NUM!</v>
      </c>
      <c r="H79" s="9" t="e">
        <f>IF(Scores!H30=1,H68,1-H68)</f>
        <v>#NUM!</v>
      </c>
      <c r="I79" s="9" t="e">
        <f>IF(Scores!I30=1,I68,1-I68)</f>
        <v>#NUM!</v>
      </c>
      <c r="J79" s="9" t="e">
        <f>IF(Scores!J30=1,J68,1-J68)</f>
        <v>#NUM!</v>
      </c>
      <c r="K79" s="9" t="e">
        <f>IF(Scores!K30=1,K68,1-K68)</f>
        <v>#NUM!</v>
      </c>
      <c r="L79" s="9" t="e">
        <f>IF(Scores!L30=1,L68,1-L68)</f>
        <v>#NUM!</v>
      </c>
      <c r="M79" s="9" t="e">
        <f>IF(Scores!M30=1,M68,1-M68)</f>
        <v>#NUM!</v>
      </c>
      <c r="N79" s="9" t="e">
        <f>IF(Scores!N30=1,N68,1-N68)</f>
        <v>#NUM!</v>
      </c>
    </row>
    <row r="80" spans="1:18" x14ac:dyDescent="0.25">
      <c r="B80" s="9" t="e">
        <f>IF(Scores!B31=1,B69,1-B69)</f>
        <v>#N/A</v>
      </c>
      <c r="C80" s="9" t="e">
        <f>IF(Scores!C31=1,C69,1-C69)</f>
        <v>#N/A</v>
      </c>
      <c r="D80" s="9" t="e">
        <f>IF(Scores!D31=1,D69,1-D69)</f>
        <v>#N/A</v>
      </c>
      <c r="E80" s="9">
        <f>IF(Scores!E31=1,E69,1-E69)</f>
        <v>0.72386883050443518</v>
      </c>
      <c r="F80" s="9">
        <f>IF(Scores!F31=1,F69,1-F69)</f>
        <v>0.37909866158392269</v>
      </c>
      <c r="G80" s="9" t="e">
        <f>IF(Scores!G31=1,G69,1-G69)</f>
        <v>#NUM!</v>
      </c>
      <c r="H80" s="9" t="e">
        <f>IF(Scores!H31=1,H69,1-H69)</f>
        <v>#NUM!</v>
      </c>
      <c r="I80" s="9" t="e">
        <f>IF(Scores!I31=1,I69,1-I69)</f>
        <v>#NUM!</v>
      </c>
      <c r="J80" s="9" t="e">
        <f>IF(Scores!J31=1,J69,1-J69)</f>
        <v>#NUM!</v>
      </c>
      <c r="K80" s="9" t="e">
        <f>IF(Scores!K31=1,K69,1-K69)</f>
        <v>#NUM!</v>
      </c>
      <c r="L80" s="9" t="e">
        <f>IF(Scores!L31=1,L69,1-L69)</f>
        <v>#NUM!</v>
      </c>
      <c r="M80" s="9" t="e">
        <f>IF(Scores!M31=1,M69,1-M69)</f>
        <v>#NUM!</v>
      </c>
      <c r="N80" s="9" t="e">
        <f>IF(Scores!N31=1,N69,1-N69)</f>
        <v>#NUM!</v>
      </c>
    </row>
    <row r="81" spans="2:15" x14ac:dyDescent="0.25">
      <c r="B81" s="9">
        <f>IF(Scores!B32=1,B70,1-B70)</f>
        <v>0.54992952551361807</v>
      </c>
      <c r="C81" s="9">
        <f>IF(Scores!C32=1,C70,1-C70)</f>
        <v>0.70036425574615735</v>
      </c>
      <c r="D81" s="9">
        <f>IF(Scores!D32=1,D70,1-D70)</f>
        <v>0.60177413226119891</v>
      </c>
      <c r="E81" s="9" t="e">
        <f>IF(Scores!E32=1,E70,1-E70)</f>
        <v>#N/A</v>
      </c>
      <c r="F81" s="9">
        <f>IF(Scores!F32=1,F70,1-F70)</f>
        <v>0.47588381796987245</v>
      </c>
      <c r="G81" s="9" t="e">
        <f>IF(Scores!G32=1,G70,1-G70)</f>
        <v>#NUM!</v>
      </c>
      <c r="H81" s="9" t="e">
        <f>IF(Scores!H32=1,H70,1-H70)</f>
        <v>#NUM!</v>
      </c>
      <c r="I81" s="9" t="e">
        <f>IF(Scores!I32=1,I70,1-I70)</f>
        <v>#NUM!</v>
      </c>
      <c r="J81" s="9" t="e">
        <f>IF(Scores!J32=1,J70,1-J70)</f>
        <v>#NUM!</v>
      </c>
      <c r="K81" s="9" t="e">
        <f>IF(Scores!K32=1,K70,1-K70)</f>
        <v>#NUM!</v>
      </c>
      <c r="L81" s="9" t="e">
        <f>IF(Scores!L32=1,L70,1-L70)</f>
        <v>#NUM!</v>
      </c>
      <c r="M81" s="9" t="e">
        <f>IF(Scores!M32=1,M70,1-M70)</f>
        <v>#NUM!</v>
      </c>
      <c r="N81" s="9" t="e">
        <f>IF(Scores!N32=1,N70,1-N70)</f>
        <v>#NUM!</v>
      </c>
    </row>
    <row r="82" spans="2:15" x14ac:dyDescent="0.25">
      <c r="B82" s="9" t="e">
        <f>IF(Scores!B33=1,B71,1-B71)</f>
        <v>#N/A</v>
      </c>
      <c r="C82" s="9">
        <f>IF(Scores!C33=1,C71,1-C71)</f>
        <v>0.70036425574615735</v>
      </c>
      <c r="D82" s="9">
        <f>IF(Scores!D33=1,D71,1-D71)</f>
        <v>0.55586699826820474</v>
      </c>
      <c r="E82" s="9">
        <f>IF(Scores!E33=1,E71,1-E71)</f>
        <v>0.70037253086469953</v>
      </c>
      <c r="F82" s="9">
        <f>IF(Scores!F33=1,F71,1-F71)</f>
        <v>0.62090133841607731</v>
      </c>
      <c r="G82" s="9" t="e">
        <f>IF(Scores!G33=1,G71,1-G71)</f>
        <v>#NUM!</v>
      </c>
      <c r="H82" s="9" t="e">
        <f>IF(Scores!H33=1,H71,1-H71)</f>
        <v>#NUM!</v>
      </c>
      <c r="I82" s="9" t="e">
        <f>IF(Scores!I33=1,I71,1-I71)</f>
        <v>#NUM!</v>
      </c>
      <c r="J82" s="9" t="e">
        <f>IF(Scores!J33=1,J71,1-J71)</f>
        <v>#NUM!</v>
      </c>
      <c r="K82" s="9" t="e">
        <f>IF(Scores!K33=1,K71,1-K71)</f>
        <v>#NUM!</v>
      </c>
      <c r="L82" s="9" t="e">
        <f>IF(Scores!L33=1,L71,1-L71)</f>
        <v>#NUM!</v>
      </c>
      <c r="M82" s="9" t="e">
        <f>IF(Scores!M33=1,M71,1-M71)</f>
        <v>#NUM!</v>
      </c>
      <c r="N82" s="9" t="e">
        <f>IF(Scores!N33=1,N71,1-N71)</f>
        <v>#NUM!</v>
      </c>
    </row>
    <row r="83" spans="2:15" x14ac:dyDescent="0.25">
      <c r="B83" s="9"/>
      <c r="C83" s="9"/>
      <c r="D83" s="9"/>
      <c r="E83" s="9"/>
      <c r="F83" s="9"/>
      <c r="G83" s="9"/>
      <c r="H83" s="9"/>
      <c r="I83" s="9"/>
      <c r="J83" s="9"/>
      <c r="K83" s="9"/>
      <c r="L83" s="9"/>
      <c r="M83" s="9"/>
      <c r="N83" s="9"/>
    </row>
    <row r="84" spans="2:15" x14ac:dyDescent="0.25">
      <c r="B84" s="2">
        <f>ROUND((-(B73^2)+B73*2-0.75)*100,1)</f>
        <v>18.2</v>
      </c>
      <c r="C84" s="2">
        <f t="shared" ref="C84:I84" si="28">ROUND((-(C73^2)+C73*2-0.75)*100,1)</f>
        <v>6.9</v>
      </c>
      <c r="D84" s="2" t="e">
        <f t="shared" si="28"/>
        <v>#N/A</v>
      </c>
      <c r="E84" s="2" t="e">
        <f t="shared" si="28"/>
        <v>#N/A</v>
      </c>
      <c r="F84" s="2">
        <f t="shared" si="28"/>
        <v>-13.4</v>
      </c>
      <c r="G84" s="2" t="e">
        <f t="shared" si="28"/>
        <v>#NUM!</v>
      </c>
      <c r="H84" s="2" t="e">
        <f t="shared" si="28"/>
        <v>#NUM!</v>
      </c>
      <c r="I84" s="2" t="e">
        <f t="shared" si="28"/>
        <v>#NUM!</v>
      </c>
      <c r="J84" s="2" t="e">
        <f t="shared" ref="J84:N93" si="29">ROUND((-(J73^2)+J73*2-0.75)*100,1)</f>
        <v>#NUM!</v>
      </c>
      <c r="K84" s="2" t="e">
        <f t="shared" si="29"/>
        <v>#NUM!</v>
      </c>
      <c r="L84" s="2" t="e">
        <f t="shared" si="29"/>
        <v>#NUM!</v>
      </c>
      <c r="M84" s="2" t="e">
        <f t="shared" si="29"/>
        <v>#NUM!</v>
      </c>
      <c r="N84" s="2" t="e">
        <f t="shared" si="29"/>
        <v>#NUM!</v>
      </c>
      <c r="O84" s="2" t="e">
        <f>SUM(B84:N84)</f>
        <v>#N/A</v>
      </c>
    </row>
    <row r="85" spans="2:15" x14ac:dyDescent="0.25">
      <c r="B85" s="2" t="e">
        <f t="shared" ref="B85:I91" si="30">ROUND((-(B74^2)+B74*2-0.75)*100,1)</f>
        <v>#N/A</v>
      </c>
      <c r="C85" s="2" t="e">
        <f t="shared" si="30"/>
        <v>#N/A</v>
      </c>
      <c r="D85" s="2">
        <f t="shared" si="30"/>
        <v>-6.3</v>
      </c>
      <c r="E85" s="2" t="e">
        <f t="shared" si="30"/>
        <v>#N/A</v>
      </c>
      <c r="F85" s="2">
        <f t="shared" si="30"/>
        <v>-3.8</v>
      </c>
      <c r="G85" s="2" t="e">
        <f t="shared" si="30"/>
        <v>#NUM!</v>
      </c>
      <c r="H85" s="2" t="e">
        <f>ROUND((-(H74^2)+H74*2-0.75)*100,1)</f>
        <v>#NUM!</v>
      </c>
      <c r="I85" s="2" t="e">
        <f t="shared" si="30"/>
        <v>#NUM!</v>
      </c>
      <c r="J85" s="2" t="e">
        <f t="shared" si="29"/>
        <v>#NUM!</v>
      </c>
      <c r="K85" s="2" t="e">
        <f t="shared" si="29"/>
        <v>#NUM!</v>
      </c>
      <c r="L85" s="2" t="e">
        <f t="shared" si="29"/>
        <v>#NUM!</v>
      </c>
      <c r="M85" s="2" t="e">
        <f t="shared" si="29"/>
        <v>#NUM!</v>
      </c>
      <c r="N85" s="2" t="e">
        <f t="shared" si="29"/>
        <v>#NUM!</v>
      </c>
      <c r="O85" s="2" t="e">
        <f t="shared" ref="O85:O93" si="31">SUM(B85:N85)</f>
        <v>#N/A</v>
      </c>
    </row>
    <row r="86" spans="2:15" x14ac:dyDescent="0.25">
      <c r="B86" s="2">
        <f t="shared" ref="B86:G86" si="32">ROUND((-(B75^2)+B75*2-0.75)*100,1)</f>
        <v>18.2</v>
      </c>
      <c r="C86" s="2">
        <f t="shared" si="32"/>
        <v>14.6</v>
      </c>
      <c r="D86" s="2">
        <f t="shared" si="32"/>
        <v>5.3</v>
      </c>
      <c r="E86" s="2">
        <f t="shared" si="32"/>
        <v>12.8</v>
      </c>
      <c r="F86" s="2">
        <f t="shared" si="32"/>
        <v>2.4</v>
      </c>
      <c r="G86" s="2" t="e">
        <f t="shared" si="32"/>
        <v>#NUM!</v>
      </c>
      <c r="H86" s="2" t="e">
        <f>ROUND((-(H75^2)+H75*2-0.75)*100,1)</f>
        <v>#NUM!</v>
      </c>
      <c r="I86" s="2" t="e">
        <f>ROUND((-(I75^2)+I75*2-0.75)*100,1)</f>
        <v>#NUM!</v>
      </c>
      <c r="J86" s="2" t="e">
        <f t="shared" si="29"/>
        <v>#NUM!</v>
      </c>
      <c r="K86" s="2" t="e">
        <f t="shared" si="29"/>
        <v>#NUM!</v>
      </c>
      <c r="L86" s="2" t="e">
        <f t="shared" si="29"/>
        <v>#NUM!</v>
      </c>
      <c r="M86" s="2" t="e">
        <f t="shared" si="29"/>
        <v>#NUM!</v>
      </c>
      <c r="N86" s="2" t="e">
        <f t="shared" si="29"/>
        <v>#NUM!</v>
      </c>
      <c r="O86" s="2" t="e">
        <f>SUM(B86:N86)</f>
        <v>#NUM!</v>
      </c>
    </row>
    <row r="87" spans="2:15" x14ac:dyDescent="0.25">
      <c r="B87" s="2">
        <f t="shared" si="30"/>
        <v>-12.1</v>
      </c>
      <c r="C87" s="2">
        <f t="shared" si="30"/>
        <v>6.9</v>
      </c>
      <c r="D87" s="2">
        <f t="shared" si="30"/>
        <v>4.5999999999999996</v>
      </c>
      <c r="E87" s="2">
        <f t="shared" si="30"/>
        <v>17.399999999999999</v>
      </c>
      <c r="F87" s="2">
        <f t="shared" si="30"/>
        <v>3.5</v>
      </c>
      <c r="G87" s="2" t="e">
        <f t="shared" si="30"/>
        <v>#NUM!</v>
      </c>
      <c r="H87" s="2" t="e">
        <f t="shared" si="30"/>
        <v>#NUM!</v>
      </c>
      <c r="I87" s="2" t="e">
        <f t="shared" si="30"/>
        <v>#NUM!</v>
      </c>
      <c r="J87" s="2" t="e">
        <f t="shared" si="29"/>
        <v>#NUM!</v>
      </c>
      <c r="K87" s="2" t="e">
        <f t="shared" si="29"/>
        <v>#NUM!</v>
      </c>
      <c r="L87" s="2" t="e">
        <f t="shared" si="29"/>
        <v>#NUM!</v>
      </c>
      <c r="M87" s="2" t="e">
        <f t="shared" si="29"/>
        <v>#NUM!</v>
      </c>
      <c r="N87" s="2" t="e">
        <f t="shared" si="29"/>
        <v>#NUM!</v>
      </c>
      <c r="O87" s="2" t="e">
        <f t="shared" si="31"/>
        <v>#NUM!</v>
      </c>
    </row>
    <row r="88" spans="2:15" x14ac:dyDescent="0.25">
      <c r="B88" s="2" t="e">
        <f t="shared" si="30"/>
        <v>#N/A</v>
      </c>
      <c r="C88" s="2" t="e">
        <f t="shared" si="30"/>
        <v>#N/A</v>
      </c>
      <c r="D88" s="2">
        <f t="shared" si="30"/>
        <v>9.1</v>
      </c>
      <c r="E88" s="2">
        <f t="shared" si="30"/>
        <v>12.8</v>
      </c>
      <c r="F88" s="2">
        <f t="shared" si="30"/>
        <v>14</v>
      </c>
      <c r="G88" s="2" t="e">
        <f t="shared" si="30"/>
        <v>#NUM!</v>
      </c>
      <c r="H88" s="2" t="e">
        <f t="shared" si="30"/>
        <v>#NUM!</v>
      </c>
      <c r="I88" s="2" t="e">
        <f t="shared" si="30"/>
        <v>#NUM!</v>
      </c>
      <c r="J88" s="2" t="e">
        <f t="shared" si="29"/>
        <v>#NUM!</v>
      </c>
      <c r="K88" s="2" t="e">
        <f t="shared" si="29"/>
        <v>#NUM!</v>
      </c>
      <c r="L88" s="2" t="e">
        <f t="shared" si="29"/>
        <v>#NUM!</v>
      </c>
      <c r="M88" s="2" t="e">
        <f t="shared" si="29"/>
        <v>#NUM!</v>
      </c>
      <c r="N88" s="2" t="e">
        <f t="shared" si="29"/>
        <v>#NUM!</v>
      </c>
      <c r="O88" s="2" t="e">
        <f t="shared" si="31"/>
        <v>#N/A</v>
      </c>
    </row>
    <row r="89" spans="2:15" x14ac:dyDescent="0.25">
      <c r="B89" s="2">
        <f t="shared" si="30"/>
        <v>4.7</v>
      </c>
      <c r="C89" s="2">
        <f t="shared" si="30"/>
        <v>14.6</v>
      </c>
      <c r="D89" s="2">
        <f t="shared" si="30"/>
        <v>4.5999999999999996</v>
      </c>
      <c r="E89" s="2">
        <f t="shared" si="30"/>
        <v>16</v>
      </c>
      <c r="F89" s="2">
        <f t="shared" si="30"/>
        <v>-19.7</v>
      </c>
      <c r="G89" s="2" t="e">
        <f t="shared" si="30"/>
        <v>#NUM!</v>
      </c>
      <c r="H89" s="2" t="e">
        <f t="shared" si="30"/>
        <v>#NUM!</v>
      </c>
      <c r="I89" s="2" t="e">
        <f>ROUND((-(I78^2)+I78*2-0.75)*100,1)</f>
        <v>#NUM!</v>
      </c>
      <c r="J89" s="2" t="e">
        <f t="shared" si="29"/>
        <v>#NUM!</v>
      </c>
      <c r="K89" s="2" t="e">
        <f t="shared" si="29"/>
        <v>#NUM!</v>
      </c>
      <c r="L89" s="2" t="e">
        <f t="shared" si="29"/>
        <v>#NUM!</v>
      </c>
      <c r="M89" s="2" t="e">
        <f t="shared" si="29"/>
        <v>#NUM!</v>
      </c>
      <c r="N89" s="2" t="e">
        <f t="shared" si="29"/>
        <v>#NUM!</v>
      </c>
      <c r="O89" s="2" t="e">
        <f t="shared" si="31"/>
        <v>#NUM!</v>
      </c>
    </row>
    <row r="90" spans="2:15" x14ac:dyDescent="0.25">
      <c r="B90" s="2">
        <f t="shared" si="30"/>
        <v>-12.1</v>
      </c>
      <c r="C90" s="2" t="e">
        <f t="shared" si="30"/>
        <v>#N/A</v>
      </c>
      <c r="D90" s="2">
        <f t="shared" si="30"/>
        <v>-6.3</v>
      </c>
      <c r="E90" s="2" t="e">
        <f t="shared" si="30"/>
        <v>#N/A</v>
      </c>
      <c r="F90" s="2">
        <f t="shared" si="30"/>
        <v>10.5</v>
      </c>
      <c r="G90" s="2" t="e">
        <f t="shared" si="30"/>
        <v>#NUM!</v>
      </c>
      <c r="H90" s="2" t="e">
        <f>ROUND((-(H79^2)+H79*2-0.75)*100,1)</f>
        <v>#NUM!</v>
      </c>
      <c r="I90" s="2" t="e">
        <f t="shared" si="30"/>
        <v>#NUM!</v>
      </c>
      <c r="J90" s="2" t="e">
        <f t="shared" si="29"/>
        <v>#NUM!</v>
      </c>
      <c r="K90" s="2" t="e">
        <f t="shared" si="29"/>
        <v>#NUM!</v>
      </c>
      <c r="L90" s="2" t="e">
        <f t="shared" si="29"/>
        <v>#NUM!</v>
      </c>
      <c r="M90" s="2" t="e">
        <f t="shared" si="29"/>
        <v>#NUM!</v>
      </c>
      <c r="N90" s="2" t="e">
        <f t="shared" si="29"/>
        <v>#NUM!</v>
      </c>
      <c r="O90" s="2" t="e">
        <f t="shared" si="31"/>
        <v>#N/A</v>
      </c>
    </row>
    <row r="91" spans="2:15" x14ac:dyDescent="0.25">
      <c r="B91" s="2" t="e">
        <f t="shared" si="30"/>
        <v>#N/A</v>
      </c>
      <c r="C91" s="2" t="e">
        <f t="shared" si="30"/>
        <v>#N/A</v>
      </c>
      <c r="D91" s="2" t="e">
        <f t="shared" si="30"/>
        <v>#N/A</v>
      </c>
      <c r="E91" s="2">
        <f t="shared" si="30"/>
        <v>17.399999999999999</v>
      </c>
      <c r="F91" s="2">
        <f>ROUND((-(F80^2)+F80*2-0.75)*100,1)</f>
        <v>-13.6</v>
      </c>
      <c r="G91" s="2" t="e">
        <f t="shared" si="30"/>
        <v>#NUM!</v>
      </c>
      <c r="H91" s="2" t="e">
        <f t="shared" si="30"/>
        <v>#NUM!</v>
      </c>
      <c r="I91" s="2" t="e">
        <f t="shared" si="30"/>
        <v>#NUM!</v>
      </c>
      <c r="J91" s="2" t="e">
        <f t="shared" si="29"/>
        <v>#NUM!</v>
      </c>
      <c r="K91" s="2" t="e">
        <f t="shared" si="29"/>
        <v>#NUM!</v>
      </c>
      <c r="L91" s="2" t="e">
        <f t="shared" si="29"/>
        <v>#NUM!</v>
      </c>
      <c r="M91" s="2" t="e">
        <f t="shared" si="29"/>
        <v>#NUM!</v>
      </c>
      <c r="N91" s="2" t="e">
        <f t="shared" si="29"/>
        <v>#NUM!</v>
      </c>
      <c r="O91" s="2" t="e">
        <f t="shared" si="31"/>
        <v>#N/A</v>
      </c>
    </row>
    <row r="92" spans="2:15" x14ac:dyDescent="0.25">
      <c r="B92" s="2">
        <f>ROUND((-(B81^2)+B81*2-0.75)*100,1)</f>
        <v>4.7</v>
      </c>
      <c r="C92" s="2">
        <f t="shared" ref="C92:I92" si="33">ROUND((-(C81^2)+C81*2-0.75)*100,1)</f>
        <v>16</v>
      </c>
      <c r="D92" s="2">
        <f t="shared" si="33"/>
        <v>9.1</v>
      </c>
      <c r="E92" s="2" t="e">
        <f t="shared" si="33"/>
        <v>#N/A</v>
      </c>
      <c r="F92" s="2">
        <f t="shared" si="33"/>
        <v>-2.5</v>
      </c>
      <c r="G92" s="2" t="e">
        <f t="shared" si="33"/>
        <v>#NUM!</v>
      </c>
      <c r="H92" s="2" t="e">
        <f t="shared" si="33"/>
        <v>#NUM!</v>
      </c>
      <c r="I92" s="2" t="e">
        <f t="shared" si="33"/>
        <v>#NUM!</v>
      </c>
      <c r="J92" s="2" t="e">
        <f t="shared" si="29"/>
        <v>#NUM!</v>
      </c>
      <c r="K92" s="2" t="e">
        <f t="shared" si="29"/>
        <v>#NUM!</v>
      </c>
      <c r="L92" s="2" t="e">
        <f t="shared" si="29"/>
        <v>#NUM!</v>
      </c>
      <c r="M92" s="2" t="e">
        <f t="shared" si="29"/>
        <v>#NUM!</v>
      </c>
      <c r="N92" s="2" t="e">
        <f t="shared" si="29"/>
        <v>#NUM!</v>
      </c>
      <c r="O92" s="2" t="e">
        <f t="shared" si="31"/>
        <v>#N/A</v>
      </c>
    </row>
    <row r="93" spans="2:15" x14ac:dyDescent="0.25">
      <c r="B93" s="2" t="e">
        <f>ROUND((-(B82^2)+B82*2-0.75)*100,1)</f>
        <v>#N/A</v>
      </c>
      <c r="C93" s="2">
        <f t="shared" ref="C93:I93" si="34">ROUND((-(C82^2)+C82*2-0.75)*100,1)</f>
        <v>16</v>
      </c>
      <c r="D93" s="2">
        <f t="shared" si="34"/>
        <v>5.3</v>
      </c>
      <c r="E93" s="2">
        <f t="shared" si="34"/>
        <v>16</v>
      </c>
      <c r="F93" s="2">
        <f t="shared" si="34"/>
        <v>10.6</v>
      </c>
      <c r="G93" s="2" t="e">
        <f t="shared" si="34"/>
        <v>#NUM!</v>
      </c>
      <c r="H93" s="2" t="e">
        <f t="shared" si="34"/>
        <v>#NUM!</v>
      </c>
      <c r="I93" s="2" t="e">
        <f t="shared" si="34"/>
        <v>#NUM!</v>
      </c>
      <c r="J93" s="2" t="e">
        <f t="shared" si="29"/>
        <v>#NUM!</v>
      </c>
      <c r="K93" s="2" t="e">
        <f t="shared" si="29"/>
        <v>#NUM!</v>
      </c>
      <c r="L93" s="2" t="e">
        <f t="shared" si="29"/>
        <v>#NUM!</v>
      </c>
      <c r="M93" s="2" t="e">
        <f t="shared" si="29"/>
        <v>#NUM!</v>
      </c>
      <c r="N93" s="2" t="e">
        <f t="shared" si="29"/>
        <v>#NUM!</v>
      </c>
      <c r="O93" s="2" t="e">
        <f t="shared" si="31"/>
        <v>#N/A</v>
      </c>
    </row>
    <row r="97" spans="1:5" x14ac:dyDescent="0.25">
      <c r="A97" s="18" t="s">
        <v>1150</v>
      </c>
      <c r="B97" t="s">
        <v>47</v>
      </c>
    </row>
    <row r="99" spans="1:5" x14ac:dyDescent="0.25">
      <c r="A99" s="18" t="s">
        <v>716</v>
      </c>
      <c r="B99" s="2" t="s">
        <v>1153</v>
      </c>
      <c r="C99" s="2" t="s">
        <v>1152</v>
      </c>
      <c r="D99" s="2" t="s">
        <v>1151</v>
      </c>
      <c r="E99" s="2" t="s">
        <v>1154</v>
      </c>
    </row>
    <row r="100" spans="1:5" x14ac:dyDescent="0.25">
      <c r="A100" s="156" t="s">
        <v>257</v>
      </c>
      <c r="B100" s="2">
        <v>29.559999999999988</v>
      </c>
      <c r="C100" s="2">
        <v>17.885000000000002</v>
      </c>
      <c r="D100" s="2">
        <v>25.274999999999999</v>
      </c>
      <c r="E100" s="2">
        <v>16.600942744314253</v>
      </c>
    </row>
    <row r="101" spans="1:5" x14ac:dyDescent="0.25">
      <c r="A101" s="156" t="s">
        <v>1100</v>
      </c>
      <c r="B101" s="2">
        <v>16.28</v>
      </c>
      <c r="C101" s="2">
        <v>18.73</v>
      </c>
      <c r="D101" s="2">
        <v>22.8</v>
      </c>
      <c r="E101" s="2">
        <v>17.409296367171191</v>
      </c>
    </row>
    <row r="102" spans="1:5" x14ac:dyDescent="0.25">
      <c r="A102" s="156" t="s">
        <v>92</v>
      </c>
      <c r="B102" s="2">
        <v>15.570000000000007</v>
      </c>
      <c r="C102" s="2">
        <v>16.482499999999998</v>
      </c>
      <c r="D102" s="2">
        <v>20.375</v>
      </c>
      <c r="E102" s="2">
        <v>17.090468103595057</v>
      </c>
    </row>
    <row r="103" spans="1:5" x14ac:dyDescent="0.25">
      <c r="A103" s="156" t="s">
        <v>196</v>
      </c>
      <c r="B103" s="2">
        <v>14.550000000000004</v>
      </c>
      <c r="C103" s="2">
        <v>10.824999999999999</v>
      </c>
      <c r="D103" s="2">
        <v>18.100000000000001</v>
      </c>
      <c r="E103" s="2">
        <v>10.104558377286956</v>
      </c>
    </row>
    <row r="104" spans="1:5" x14ac:dyDescent="0.25">
      <c r="A104" s="156" t="s">
        <v>57</v>
      </c>
      <c r="B104" s="2">
        <v>4.1199999999999903</v>
      </c>
      <c r="C104" s="2">
        <v>16.745000000000001</v>
      </c>
      <c r="D104" s="2">
        <v>17.774999999999999</v>
      </c>
      <c r="E104" s="2">
        <v>16.94916812117928</v>
      </c>
    </row>
    <row r="105" spans="1:5" x14ac:dyDescent="0.25">
      <c r="A105" s="156" t="s">
        <v>193</v>
      </c>
      <c r="B105" s="2">
        <v>21.339999999999996</v>
      </c>
      <c r="C105" s="2">
        <v>6.48</v>
      </c>
      <c r="D105" s="2">
        <v>17.149999999999999</v>
      </c>
      <c r="E105" s="2">
        <v>5.916891075556487</v>
      </c>
    </row>
    <row r="106" spans="1:5" x14ac:dyDescent="0.25">
      <c r="A106" s="156" t="s">
        <v>132</v>
      </c>
      <c r="B106" s="2">
        <v>10.589999999999996</v>
      </c>
      <c r="C106" s="2">
        <v>9.8550000000000004</v>
      </c>
      <c r="D106" s="2">
        <v>15.149999999999999</v>
      </c>
      <c r="E106" s="2">
        <v>11.260346353465332</v>
      </c>
    </row>
    <row r="107" spans="1:5" x14ac:dyDescent="0.25">
      <c r="A107" s="156" t="s">
        <v>130</v>
      </c>
      <c r="B107" s="2">
        <v>18.439999999999998</v>
      </c>
      <c r="C107" s="2">
        <v>10.39</v>
      </c>
      <c r="D107" s="2">
        <v>15</v>
      </c>
      <c r="E107" s="2">
        <v>12.223579672092786</v>
      </c>
    </row>
    <row r="108" spans="1:5" x14ac:dyDescent="0.25">
      <c r="A108" s="156" t="s">
        <v>298</v>
      </c>
      <c r="B108" s="2"/>
      <c r="C108" s="2"/>
      <c r="D108" s="2"/>
      <c r="E108" s="2"/>
    </row>
    <row r="109" spans="1:5" x14ac:dyDescent="0.25">
      <c r="A109" s="111" t="s">
        <v>55</v>
      </c>
      <c r="B109" s="2">
        <v>7.9699999999999989</v>
      </c>
      <c r="C109" s="2">
        <v>12.907499999999999</v>
      </c>
      <c r="D109" s="2">
        <v>14.899999999999999</v>
      </c>
      <c r="E109" s="2">
        <v>19.340979809720086</v>
      </c>
    </row>
    <row r="110" spans="1:5" x14ac:dyDescent="0.25">
      <c r="A110" s="156" t="s">
        <v>123</v>
      </c>
      <c r="B110" s="2">
        <v>6.48</v>
      </c>
      <c r="C110" s="2">
        <v>11.559999999999999</v>
      </c>
      <c r="D110" s="2">
        <v>14.799999999999999</v>
      </c>
      <c r="E110" s="2">
        <v>7.7287579856015673</v>
      </c>
    </row>
    <row r="111" spans="1:5" x14ac:dyDescent="0.25">
      <c r="A111" s="156" t="s">
        <v>115</v>
      </c>
      <c r="B111" s="2">
        <v>5.75</v>
      </c>
      <c r="C111" s="2">
        <v>13.262499999999999</v>
      </c>
      <c r="D111" s="2">
        <v>14.7</v>
      </c>
      <c r="E111" s="2">
        <v>17.796398512058559</v>
      </c>
    </row>
    <row r="112" spans="1:5" x14ac:dyDescent="0.25">
      <c r="A112" s="156" t="s">
        <v>158</v>
      </c>
      <c r="B112" s="2">
        <v>10.329999999999998</v>
      </c>
      <c r="C112" s="2">
        <v>9.3350000000000009</v>
      </c>
      <c r="D112" s="2">
        <v>14.5</v>
      </c>
      <c r="E112" s="2">
        <v>9.6645848332972886</v>
      </c>
    </row>
    <row r="113" spans="1:5" x14ac:dyDescent="0.25">
      <c r="A113" s="156" t="s">
        <v>89</v>
      </c>
      <c r="B113" s="2">
        <v>9.57</v>
      </c>
      <c r="C113" s="2">
        <v>9.6649999999999991</v>
      </c>
      <c r="D113" s="2">
        <v>14.45</v>
      </c>
      <c r="E113" s="2">
        <v>8.6415565727477599</v>
      </c>
    </row>
    <row r="114" spans="1:5" x14ac:dyDescent="0.25">
      <c r="A114" s="156" t="s">
        <v>112</v>
      </c>
      <c r="B114" s="2">
        <v>1.2299999999999969</v>
      </c>
      <c r="C114" s="2">
        <v>13.19</v>
      </c>
      <c r="D114" s="2">
        <v>13.6</v>
      </c>
      <c r="E114" s="2">
        <v>11.011984380664549</v>
      </c>
    </row>
    <row r="115" spans="1:5" x14ac:dyDescent="0.25">
      <c r="A115" s="156" t="s">
        <v>228</v>
      </c>
      <c r="B115" s="2"/>
      <c r="C115" s="2"/>
      <c r="D115" s="2"/>
      <c r="E115" s="2"/>
    </row>
    <row r="116" spans="1:5" x14ac:dyDescent="0.25">
      <c r="A116" s="111" t="s">
        <v>23</v>
      </c>
      <c r="B116" s="2">
        <v>2.4699999999999989</v>
      </c>
      <c r="C116" s="2">
        <v>9.23</v>
      </c>
      <c r="D116" s="2">
        <v>11.7</v>
      </c>
      <c r="E116" s="2">
        <v>6.42</v>
      </c>
    </row>
    <row r="117" spans="1:5" x14ac:dyDescent="0.25">
      <c r="A117" s="156" t="s">
        <v>45</v>
      </c>
      <c r="B117" s="2">
        <v>-10.310000000000002</v>
      </c>
      <c r="C117" s="2">
        <v>13.852499999999999</v>
      </c>
      <c r="D117" s="2">
        <v>11.274999999999999</v>
      </c>
      <c r="E117" s="2">
        <v>16.741481415932103</v>
      </c>
    </row>
    <row r="118" spans="1:5" x14ac:dyDescent="0.25">
      <c r="A118" s="156" t="s">
        <v>1352</v>
      </c>
      <c r="B118" s="2"/>
      <c r="C118" s="2"/>
      <c r="D118" s="2"/>
      <c r="E118" s="2"/>
    </row>
    <row r="119" spans="1:5" x14ac:dyDescent="0.25">
      <c r="A119" s="111" t="s">
        <v>35</v>
      </c>
      <c r="B119" s="2">
        <v>7.82</v>
      </c>
      <c r="C119" s="2">
        <v>7.1400000000000006</v>
      </c>
      <c r="D119" s="2">
        <v>11.05</v>
      </c>
      <c r="E119" s="2">
        <v>9.8581590573494005</v>
      </c>
    </row>
    <row r="120" spans="1:5" x14ac:dyDescent="0.25">
      <c r="A120" s="156" t="s">
        <v>139</v>
      </c>
      <c r="B120" s="2">
        <v>8.43</v>
      </c>
      <c r="C120" s="2">
        <v>6.4350000000000005</v>
      </c>
      <c r="D120" s="2">
        <v>10.65</v>
      </c>
      <c r="E120" s="2">
        <v>7.4006756448313551</v>
      </c>
    </row>
    <row r="121" spans="1:5" x14ac:dyDescent="0.25">
      <c r="A121" s="156" t="s">
        <v>212</v>
      </c>
      <c r="B121" s="2">
        <v>4.8699999999999992</v>
      </c>
      <c r="C121" s="2">
        <v>7.915</v>
      </c>
      <c r="D121" s="2">
        <v>10.35</v>
      </c>
      <c r="E121" s="2">
        <v>9.5611296403720001</v>
      </c>
    </row>
    <row r="122" spans="1:5" x14ac:dyDescent="0.25">
      <c r="A122" s="156" t="s">
        <v>1346</v>
      </c>
      <c r="B122" s="2"/>
      <c r="C122" s="2"/>
      <c r="D122" s="2"/>
      <c r="E122" s="2"/>
    </row>
    <row r="123" spans="1:5" x14ac:dyDescent="0.25">
      <c r="A123" s="111" t="s">
        <v>27</v>
      </c>
      <c r="B123" s="2">
        <v>6.7500000000000036</v>
      </c>
      <c r="C123" s="2">
        <v>7.2833333333333323</v>
      </c>
      <c r="D123" s="2">
        <v>9.5333333333333332</v>
      </c>
      <c r="E123" s="2">
        <v>8.6645600003693204</v>
      </c>
    </row>
    <row r="124" spans="1:5" x14ac:dyDescent="0.25">
      <c r="A124" s="156" t="s">
        <v>796</v>
      </c>
      <c r="B124" s="2">
        <v>-1.480000000000004</v>
      </c>
      <c r="C124" s="2">
        <v>9.57</v>
      </c>
      <c r="D124" s="2">
        <v>9.1999999999999993</v>
      </c>
      <c r="E124" s="2">
        <v>14.71916098152337</v>
      </c>
    </row>
    <row r="125" spans="1:5" x14ac:dyDescent="0.25">
      <c r="A125" s="156" t="s">
        <v>3533</v>
      </c>
      <c r="B125" s="2"/>
      <c r="C125" s="2"/>
      <c r="D125" s="2"/>
      <c r="E125" s="2"/>
    </row>
    <row r="126" spans="1:5" x14ac:dyDescent="0.25">
      <c r="A126" s="111" t="s">
        <v>23</v>
      </c>
      <c r="B126" s="2">
        <v>6.07</v>
      </c>
      <c r="C126" s="2">
        <v>6.9766666666666666</v>
      </c>
      <c r="D126" s="2">
        <v>9</v>
      </c>
      <c r="E126" s="2">
        <v>9.2807219546757249</v>
      </c>
    </row>
    <row r="127" spans="1:5" x14ac:dyDescent="0.25">
      <c r="A127" s="156" t="s">
        <v>97</v>
      </c>
      <c r="B127" s="2">
        <v>-15.969999999999999</v>
      </c>
      <c r="C127" s="2">
        <v>12.5175</v>
      </c>
      <c r="D127" s="2">
        <v>8.5250000000000004</v>
      </c>
      <c r="E127" s="2">
        <v>14.947023114988482</v>
      </c>
    </row>
    <row r="128" spans="1:5" x14ac:dyDescent="0.25">
      <c r="A128" s="156" t="s">
        <v>207</v>
      </c>
      <c r="B128" s="2">
        <v>-0.32999999999999829</v>
      </c>
      <c r="C128" s="2">
        <v>8.0574999999999992</v>
      </c>
      <c r="D128" s="2">
        <v>7.9749999999999996</v>
      </c>
      <c r="E128" s="2">
        <v>10.678272332170593</v>
      </c>
    </row>
    <row r="129" spans="1:5" x14ac:dyDescent="0.25">
      <c r="A129" s="156" t="s">
        <v>99</v>
      </c>
      <c r="B129" s="2">
        <v>-12.669999999999995</v>
      </c>
      <c r="C129" s="2">
        <v>11.142499999999998</v>
      </c>
      <c r="D129" s="2">
        <v>7.9749999999999996</v>
      </c>
      <c r="E129" s="2">
        <v>13.177143089456075</v>
      </c>
    </row>
    <row r="130" spans="1:5" x14ac:dyDescent="0.25">
      <c r="A130" s="156" t="s">
        <v>245</v>
      </c>
      <c r="B130" s="2"/>
      <c r="C130" s="2"/>
      <c r="D130" s="2"/>
      <c r="E130" s="2"/>
    </row>
    <row r="131" spans="1:5" x14ac:dyDescent="0.25">
      <c r="A131" s="111" t="s">
        <v>35</v>
      </c>
      <c r="B131" s="2">
        <v>-4.7900000000000009</v>
      </c>
      <c r="C131" s="2">
        <v>11.89</v>
      </c>
      <c r="D131" s="2">
        <v>7.1</v>
      </c>
      <c r="E131" s="2">
        <v>10.8</v>
      </c>
    </row>
    <row r="132" spans="1:5" x14ac:dyDescent="0.25">
      <c r="A132" s="156" t="s">
        <v>205</v>
      </c>
      <c r="B132" s="2">
        <v>-2.9000000000000004</v>
      </c>
      <c r="C132" s="2">
        <v>10</v>
      </c>
      <c r="D132" s="2">
        <v>7.1</v>
      </c>
      <c r="E132" s="2">
        <v>5.65</v>
      </c>
    </row>
    <row r="133" spans="1:5" x14ac:dyDescent="0.25">
      <c r="A133" s="156" t="s">
        <v>127</v>
      </c>
      <c r="B133" s="2">
        <v>-15.649999999999999</v>
      </c>
      <c r="C133" s="2">
        <v>11.383333333333333</v>
      </c>
      <c r="D133" s="2">
        <v>6.166666666666667</v>
      </c>
      <c r="E133" s="2">
        <v>12.176193986628171</v>
      </c>
    </row>
    <row r="134" spans="1:5" x14ac:dyDescent="0.25">
      <c r="A134" s="156" t="s">
        <v>1388</v>
      </c>
      <c r="B134" s="2"/>
      <c r="C134" s="2"/>
      <c r="D134" s="2"/>
      <c r="E134" s="2"/>
    </row>
    <row r="135" spans="1:5" x14ac:dyDescent="0.25">
      <c r="A135" s="111" t="s">
        <v>23</v>
      </c>
      <c r="B135" s="2">
        <v>-2.0099999999999998</v>
      </c>
      <c r="C135" s="2">
        <v>8.11</v>
      </c>
      <c r="D135" s="2">
        <v>6.1</v>
      </c>
      <c r="E135" s="2">
        <v>6.04</v>
      </c>
    </row>
    <row r="136" spans="1:5" x14ac:dyDescent="0.25">
      <c r="A136" s="156" t="s">
        <v>90</v>
      </c>
      <c r="B136" s="2">
        <v>-5.3800000000000008</v>
      </c>
      <c r="C136" s="2">
        <v>10.38</v>
      </c>
      <c r="D136" s="2">
        <v>5</v>
      </c>
      <c r="E136" s="2">
        <v>6.06</v>
      </c>
    </row>
    <row r="137" spans="1:5" x14ac:dyDescent="0.25">
      <c r="A137" s="156" t="s">
        <v>236</v>
      </c>
      <c r="B137" s="2"/>
      <c r="C137" s="2"/>
      <c r="D137" s="2"/>
      <c r="E137" s="2"/>
    </row>
    <row r="138" spans="1:5" x14ac:dyDescent="0.25">
      <c r="A138" s="111" t="s">
        <v>16</v>
      </c>
      <c r="B138" s="2" t="e">
        <v>#N/A</v>
      </c>
      <c r="C138" s="2" t="e">
        <v>#N/A</v>
      </c>
      <c r="D138" s="2">
        <v>4.5500000000000007</v>
      </c>
      <c r="E138" s="2" t="e">
        <v>#N/A</v>
      </c>
    </row>
    <row r="139" spans="1:5" x14ac:dyDescent="0.25">
      <c r="A139" s="156" t="s">
        <v>111</v>
      </c>
      <c r="B139" s="2">
        <v>-14.34</v>
      </c>
      <c r="C139" s="2">
        <v>11.67</v>
      </c>
      <c r="D139" s="2">
        <v>4.5</v>
      </c>
      <c r="E139" s="2">
        <v>12.515626232833897</v>
      </c>
    </row>
    <row r="140" spans="1:5" x14ac:dyDescent="0.25">
      <c r="A140" s="156" t="s">
        <v>81</v>
      </c>
      <c r="B140" s="2">
        <v>-12.109999999999998</v>
      </c>
      <c r="C140" s="2">
        <v>10.504999999999999</v>
      </c>
      <c r="D140" s="2">
        <v>4.45</v>
      </c>
      <c r="E140" s="2">
        <v>10.503794552446273</v>
      </c>
    </row>
    <row r="141" spans="1:5" x14ac:dyDescent="0.25">
      <c r="A141" s="156" t="s">
        <v>355</v>
      </c>
      <c r="B141" s="2"/>
      <c r="C141" s="2"/>
      <c r="D141" s="2"/>
      <c r="E141" s="2"/>
    </row>
    <row r="142" spans="1:5" x14ac:dyDescent="0.25">
      <c r="A142" s="111" t="s">
        <v>35</v>
      </c>
      <c r="B142" s="2">
        <v>-10.23</v>
      </c>
      <c r="C142" s="2">
        <v>8.2650000000000006</v>
      </c>
      <c r="D142" s="2">
        <v>3.15</v>
      </c>
      <c r="E142" s="2">
        <v>7.885746635544411</v>
      </c>
    </row>
    <row r="143" spans="1:5" x14ac:dyDescent="0.25">
      <c r="A143" s="156" t="s">
        <v>187</v>
      </c>
      <c r="B143" s="2">
        <v>-8.68</v>
      </c>
      <c r="C143" s="2">
        <v>11.78</v>
      </c>
      <c r="D143" s="2">
        <v>3.1</v>
      </c>
      <c r="E143" s="2">
        <v>8.870000000000001</v>
      </c>
    </row>
    <row r="144" spans="1:5" x14ac:dyDescent="0.25">
      <c r="A144" s="156" t="s">
        <v>201</v>
      </c>
      <c r="B144" s="2">
        <v>-6.3000000000000007</v>
      </c>
      <c r="C144" s="2">
        <v>9.4</v>
      </c>
      <c r="D144" s="2">
        <v>3.1</v>
      </c>
      <c r="E144" s="2">
        <v>5.66</v>
      </c>
    </row>
    <row r="145" spans="1:5" x14ac:dyDescent="0.25">
      <c r="A145" s="156" t="s">
        <v>717</v>
      </c>
      <c r="B145" s="2" t="e">
        <v>#N/A</v>
      </c>
      <c r="C145" s="2" t="e">
        <v>#N/A</v>
      </c>
      <c r="D145" s="2">
        <v>12.332258064516134</v>
      </c>
      <c r="E145" s="2" t="e">
        <v>#N/A</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D1476"/>
  <sheetViews>
    <sheetView workbookViewId="0">
      <selection activeCell="J12" sqref="J12"/>
    </sheetView>
  </sheetViews>
  <sheetFormatPr defaultRowHeight="15" x14ac:dyDescent="0.25"/>
  <cols>
    <col min="1" max="1" width="22.28515625" bestFit="1" customWidth="1"/>
    <col min="2" max="2" width="6.140625" bestFit="1" customWidth="1"/>
    <col min="3" max="3" width="12.140625" bestFit="1" customWidth="1"/>
    <col min="4" max="4" width="7.140625" bestFit="1" customWidth="1"/>
    <col min="5" max="5" width="5.28515625" bestFit="1" customWidth="1"/>
    <col min="6" max="6" width="6" bestFit="1" customWidth="1"/>
    <col min="7" max="7" width="9" bestFit="1" customWidth="1"/>
    <col min="8" max="8" width="7.140625" bestFit="1" customWidth="1"/>
    <col min="9" max="9" width="8.42578125" bestFit="1" customWidth="1"/>
    <col min="10" max="10" width="7" bestFit="1" customWidth="1"/>
    <col min="11" max="11" width="12.140625" bestFit="1" customWidth="1"/>
    <col min="12" max="12" width="12.42578125" bestFit="1" customWidth="1"/>
    <col min="17" max="17" width="11.5703125" bestFit="1" customWidth="1"/>
    <col min="18" max="18" width="10.140625" bestFit="1" customWidth="1"/>
    <col min="28" max="28" width="26" bestFit="1" customWidth="1"/>
    <col min="29" max="29" width="16.28515625" style="2" customWidth="1"/>
    <col min="30" max="41" width="5.28515625" customWidth="1"/>
    <col min="42" max="42" width="14.85546875" customWidth="1"/>
    <col min="43" max="54" width="5.28515625" customWidth="1"/>
    <col min="55" max="55" width="15.85546875" bestFit="1" customWidth="1"/>
    <col min="56" max="56" width="19.85546875" customWidth="1"/>
  </cols>
  <sheetData>
    <row r="1" spans="1:56" x14ac:dyDescent="0.25">
      <c r="A1" t="s">
        <v>0</v>
      </c>
      <c r="B1" t="s">
        <v>1</v>
      </c>
      <c r="C1" t="s">
        <v>404</v>
      </c>
      <c r="D1" t="s">
        <v>498</v>
      </c>
      <c r="E1" t="s">
        <v>480</v>
      </c>
      <c r="F1" t="s">
        <v>835</v>
      </c>
      <c r="G1" t="s">
        <v>9</v>
      </c>
      <c r="H1" t="s">
        <v>498</v>
      </c>
      <c r="I1" t="s">
        <v>1150</v>
      </c>
      <c r="J1" t="s">
        <v>10</v>
      </c>
      <c r="K1" t="s">
        <v>1191</v>
      </c>
      <c r="L1" t="s">
        <v>1192</v>
      </c>
      <c r="M1" t="s">
        <v>1206</v>
      </c>
      <c r="N1" t="s">
        <v>750</v>
      </c>
      <c r="O1" t="s">
        <v>1193</v>
      </c>
      <c r="P1" t="s">
        <v>1194</v>
      </c>
      <c r="Q1" t="s">
        <v>1195</v>
      </c>
      <c r="R1" t="s">
        <v>1196</v>
      </c>
      <c r="S1" t="s">
        <v>1197</v>
      </c>
      <c r="T1" t="s">
        <v>1203</v>
      </c>
      <c r="U1" t="s">
        <v>1202</v>
      </c>
      <c r="V1" t="s">
        <v>1204</v>
      </c>
      <c r="W1" t="s">
        <v>1205</v>
      </c>
      <c r="AC1" s="18" t="s">
        <v>1200</v>
      </c>
    </row>
    <row r="2" spans="1:56" x14ac:dyDescent="0.25">
      <c r="A2" t="s">
        <v>248</v>
      </c>
      <c r="B2">
        <v>10</v>
      </c>
      <c r="C2" t="s">
        <v>972</v>
      </c>
      <c r="D2" t="s">
        <v>472</v>
      </c>
      <c r="E2">
        <v>29</v>
      </c>
      <c r="F2">
        <v>8.01</v>
      </c>
      <c r="G2">
        <v>23.814399999999999</v>
      </c>
      <c r="H2" t="s">
        <v>87</v>
      </c>
      <c r="I2" t="s">
        <v>87</v>
      </c>
      <c r="J2" t="s">
        <v>49</v>
      </c>
      <c r="K2">
        <f t="shared" ref="K2:K65" si="0">SUMIF($C$2:$C$1301,$C2,$F$2:$F$1301)</f>
        <v>80.72</v>
      </c>
      <c r="L2">
        <f t="shared" ref="L2:L65" si="1">SUMIF($C$2:$C$1301,$C2,$G$2:$G$1301)</f>
        <v>274.11410000000001</v>
      </c>
      <c r="M2" t="str">
        <f t="shared" ref="M2:M65" si="2">N2&amp;"-"&amp;B2</f>
        <v>seth-10</v>
      </c>
      <c r="N2" t="str">
        <f>INDEX(Scores!$A$2:$A$11,INDEX(Scores!$AA$2:$AA$131,MATCH(C2,Scores!$AB$2:$AB$131,0)))</f>
        <v>seth</v>
      </c>
      <c r="O2">
        <f t="shared" ref="O2:O65" si="3">SUMIF($C$2:$C$1301,$M2,$F$2:$F$1301)</f>
        <v>104.52999999999999</v>
      </c>
      <c r="P2">
        <f t="shared" ref="P2:P65" si="4">SUMIF($C$2:$C$1301,$M2,$G$2:$G$1301)</f>
        <v>446.11959999999999</v>
      </c>
      <c r="Q2" s="3">
        <f t="shared" ref="Q2:Q65" si="5">_xlfn.NORM.DIST(0,$O2-$K2,SQRT($L2+$P2),TRUE)</f>
        <v>0.18748498770897654</v>
      </c>
      <c r="R2" s="3">
        <f t="shared" ref="R2:R65" si="6">_xlfn.NORM.DIST(0,$O2-$K2-($E2-$F2),SQRT($L2+$P2-$G2),TRUE)</f>
        <v>0.45745016596749155</v>
      </c>
      <c r="S2" s="9">
        <f t="shared" ref="S2:S65" si="7">R2-Q2</f>
        <v>0.26996517825851502</v>
      </c>
      <c r="T2">
        <f t="shared" ref="T2:T65" si="8">SUMIF($C$2:$C$1301,$C2,$E$2:$E$1301)</f>
        <v>84</v>
      </c>
      <c r="U2">
        <f t="shared" ref="U2:U65" si="9">SUMIF($C$2:$C$1301,$M2,$E$2:$E$1301)</f>
        <v>80</v>
      </c>
      <c r="V2" s="3">
        <f t="shared" ref="V2:V65" si="10">_xlfn.NORM.DIST(0,U2-T2+E2-F2,SQRT(G2),TRUE)</f>
        <v>2.4925348384184599E-4</v>
      </c>
      <c r="W2" s="9">
        <f t="shared" ref="W2:W65" si="11">IFERROR(IF(U2&gt;T2,0,1)-V2,0)</f>
        <v>0.99975074651615814</v>
      </c>
      <c r="AC2" t="s">
        <v>1199</v>
      </c>
      <c r="AP2" t="s">
        <v>1208</v>
      </c>
      <c r="BC2" t="s">
        <v>1207</v>
      </c>
      <c r="BD2" t="s">
        <v>1209</v>
      </c>
    </row>
    <row r="3" spans="1:56" x14ac:dyDescent="0.25">
      <c r="A3" t="s">
        <v>613</v>
      </c>
      <c r="B3">
        <v>12</v>
      </c>
      <c r="C3" t="s">
        <v>982</v>
      </c>
      <c r="D3" t="s">
        <v>472</v>
      </c>
      <c r="E3">
        <v>22</v>
      </c>
      <c r="F3">
        <v>8.23</v>
      </c>
      <c r="G3">
        <v>27.457599999999999</v>
      </c>
      <c r="H3" t="s">
        <v>87</v>
      </c>
      <c r="I3" t="s">
        <v>87</v>
      </c>
      <c r="J3" t="s">
        <v>44</v>
      </c>
      <c r="K3">
        <f t="shared" si="0"/>
        <v>102.15</v>
      </c>
      <c r="L3">
        <f t="shared" si="1"/>
        <v>468.55759999999998</v>
      </c>
      <c r="M3" t="str">
        <f t="shared" si="2"/>
        <v>chad-12</v>
      </c>
      <c r="N3" t="str">
        <f>INDEX(Scores!$A$2:$A$11,INDEX(Scores!$AA$2:$AA$131,MATCH(C3,Scores!$AB$2:$AB$131,0)))</f>
        <v>chad</v>
      </c>
      <c r="O3">
        <f t="shared" si="3"/>
        <v>115.8</v>
      </c>
      <c r="P3">
        <f t="shared" si="4"/>
        <v>455.64659999999998</v>
      </c>
      <c r="Q3" s="3">
        <f t="shared" si="5"/>
        <v>0.3267149551815689</v>
      </c>
      <c r="R3" s="3">
        <f t="shared" si="6"/>
        <v>0.50159865695043793</v>
      </c>
      <c r="S3" s="9">
        <f t="shared" si="7"/>
        <v>0.17488370176886903</v>
      </c>
      <c r="T3">
        <f t="shared" si="8"/>
        <v>95</v>
      </c>
      <c r="U3">
        <f t="shared" si="9"/>
        <v>92</v>
      </c>
      <c r="V3" s="3">
        <f t="shared" si="10"/>
        <v>1.9922918719592474E-2</v>
      </c>
      <c r="W3" s="9">
        <f t="shared" si="11"/>
        <v>0.98007708128040749</v>
      </c>
      <c r="AB3" s="18" t="s">
        <v>716</v>
      </c>
      <c r="AC3">
        <v>1</v>
      </c>
      <c r="AD3">
        <v>2</v>
      </c>
      <c r="AE3">
        <v>3</v>
      </c>
      <c r="AF3">
        <v>4</v>
      </c>
      <c r="AG3">
        <v>5</v>
      </c>
      <c r="AH3">
        <v>6</v>
      </c>
      <c r="AI3">
        <v>7</v>
      </c>
      <c r="AJ3">
        <v>8</v>
      </c>
      <c r="AK3">
        <v>9</v>
      </c>
      <c r="AL3">
        <v>10</v>
      </c>
      <c r="AM3">
        <v>11</v>
      </c>
      <c r="AN3">
        <v>12</v>
      </c>
      <c r="AO3">
        <v>13</v>
      </c>
      <c r="AP3">
        <v>1</v>
      </c>
      <c r="AQ3">
        <v>2</v>
      </c>
      <c r="AR3">
        <v>3</v>
      </c>
      <c r="AS3">
        <v>4</v>
      </c>
      <c r="AT3">
        <v>5</v>
      </c>
      <c r="AU3">
        <v>6</v>
      </c>
      <c r="AV3">
        <v>7</v>
      </c>
      <c r="AW3">
        <v>8</v>
      </c>
      <c r="AX3">
        <v>9</v>
      </c>
      <c r="AY3">
        <v>10</v>
      </c>
      <c r="AZ3">
        <v>11</v>
      </c>
      <c r="BA3">
        <v>12</v>
      </c>
      <c r="BB3">
        <v>13</v>
      </c>
    </row>
    <row r="4" spans="1:56" x14ac:dyDescent="0.25">
      <c r="A4" t="s">
        <v>124</v>
      </c>
      <c r="B4">
        <v>13</v>
      </c>
      <c r="C4" t="s">
        <v>975</v>
      </c>
      <c r="D4" t="s">
        <v>466</v>
      </c>
      <c r="E4">
        <v>30</v>
      </c>
      <c r="F4">
        <v>10.07</v>
      </c>
      <c r="G4">
        <v>29.9209</v>
      </c>
      <c r="H4" t="s">
        <v>466</v>
      </c>
      <c r="I4" t="s">
        <v>87</v>
      </c>
      <c r="J4" t="s">
        <v>49</v>
      </c>
      <c r="K4">
        <f t="shared" si="0"/>
        <v>88.16</v>
      </c>
      <c r="L4">
        <f t="shared" si="1"/>
        <v>330.99250000000001</v>
      </c>
      <c r="M4" t="str">
        <f t="shared" si="2"/>
        <v>aj-13</v>
      </c>
      <c r="N4" t="str">
        <f>INDEX(Scores!$A$2:$A$11,INDEX(Scores!$AA$2:$AA$131,MATCH(C4,Scores!$AB$2:$AB$131,0)))</f>
        <v>aj</v>
      </c>
      <c r="O4">
        <f t="shared" si="3"/>
        <v>116.54</v>
      </c>
      <c r="P4">
        <f t="shared" si="4"/>
        <v>371.12040000000002</v>
      </c>
      <c r="Q4" s="3">
        <f t="shared" si="5"/>
        <v>0.14207393469061222</v>
      </c>
      <c r="R4" s="3">
        <f t="shared" si="6"/>
        <v>0.37224271777202833</v>
      </c>
      <c r="S4" s="9">
        <f t="shared" si="7"/>
        <v>0.23016878308141611</v>
      </c>
      <c r="T4">
        <f t="shared" si="8"/>
        <v>117</v>
      </c>
      <c r="U4">
        <f t="shared" si="9"/>
        <v>108</v>
      </c>
      <c r="V4" s="3">
        <f t="shared" si="10"/>
        <v>2.2849016336737488E-2</v>
      </c>
      <c r="W4" s="9">
        <f t="shared" si="11"/>
        <v>0.97715098366326247</v>
      </c>
      <c r="AB4" s="156" t="s">
        <v>55</v>
      </c>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row>
    <row r="5" spans="1:56" x14ac:dyDescent="0.25">
      <c r="A5" t="s">
        <v>450</v>
      </c>
      <c r="B5">
        <v>3</v>
      </c>
      <c r="C5" t="s">
        <v>805</v>
      </c>
      <c r="D5" t="s">
        <v>478</v>
      </c>
      <c r="E5">
        <v>19</v>
      </c>
      <c r="F5">
        <v>7.63</v>
      </c>
      <c r="G5">
        <v>16.483599999999999</v>
      </c>
      <c r="H5" t="s">
        <v>478</v>
      </c>
      <c r="I5" t="s">
        <v>478</v>
      </c>
      <c r="J5" t="s">
        <v>27</v>
      </c>
      <c r="K5">
        <f t="shared" si="0"/>
        <v>105.02</v>
      </c>
      <c r="L5">
        <f t="shared" si="1"/>
        <v>401.60159999999996</v>
      </c>
      <c r="M5" t="str">
        <f t="shared" si="2"/>
        <v>matty-3</v>
      </c>
      <c r="N5" t="str">
        <f>INDEX(Scores!$A$2:$A$11,INDEX(Scores!$AA$2:$AA$131,MATCH(C5,Scores!$AB$2:$AB$131,0)))</f>
        <v>matty</v>
      </c>
      <c r="O5">
        <f t="shared" si="3"/>
        <v>116.17999999999999</v>
      </c>
      <c r="P5">
        <f t="shared" si="4"/>
        <v>478.31470000000002</v>
      </c>
      <c r="Q5" s="3">
        <f t="shared" si="5"/>
        <v>0.35337614783800875</v>
      </c>
      <c r="R5" s="3">
        <f t="shared" si="6"/>
        <v>0.50285109322099542</v>
      </c>
      <c r="S5" s="9">
        <f t="shared" si="7"/>
        <v>0.14947494538298667</v>
      </c>
      <c r="T5">
        <f t="shared" si="8"/>
        <v>85</v>
      </c>
      <c r="U5">
        <f t="shared" si="9"/>
        <v>81</v>
      </c>
      <c r="V5" s="3">
        <f t="shared" si="10"/>
        <v>3.4741141581157486E-2</v>
      </c>
      <c r="W5" s="9">
        <f t="shared" si="11"/>
        <v>0.96525885841884251</v>
      </c>
      <c r="AB5" s="111" t="s">
        <v>124</v>
      </c>
      <c r="AC5" s="22"/>
      <c r="AD5" s="22"/>
      <c r="AE5" s="22"/>
      <c r="AF5" s="22"/>
      <c r="AG5" s="22">
        <v>2.5851301619195022E-2</v>
      </c>
      <c r="AH5" s="22"/>
      <c r="AI5" s="22"/>
      <c r="AJ5" s="22"/>
      <c r="AK5" s="22"/>
      <c r="AL5" s="22"/>
      <c r="AM5" s="22"/>
      <c r="AN5" s="22"/>
      <c r="AO5" s="22">
        <v>0.23016878308141611</v>
      </c>
      <c r="AP5" s="22"/>
      <c r="AQ5" s="22"/>
      <c r="AR5" s="22"/>
      <c r="AS5" s="22"/>
      <c r="AT5" s="22">
        <v>-0.14347647365371893</v>
      </c>
      <c r="AU5" s="22"/>
      <c r="AV5" s="22"/>
      <c r="AW5" s="22"/>
      <c r="AX5" s="22"/>
      <c r="AY5" s="22"/>
      <c r="AZ5" s="22"/>
      <c r="BA5" s="22"/>
      <c r="BB5" s="22">
        <v>0.97715098366326247</v>
      </c>
      <c r="BC5" s="22">
        <v>0.25602008470061111</v>
      </c>
      <c r="BD5" s="22">
        <v>0.83367451000954351</v>
      </c>
    </row>
    <row r="6" spans="1:56" x14ac:dyDescent="0.25">
      <c r="A6" t="s">
        <v>258</v>
      </c>
      <c r="B6">
        <v>8</v>
      </c>
      <c r="C6" t="s">
        <v>970</v>
      </c>
      <c r="D6" t="s">
        <v>469</v>
      </c>
      <c r="E6">
        <v>20</v>
      </c>
      <c r="F6">
        <v>8.4600000000000009</v>
      </c>
      <c r="G6">
        <v>37.945599999999999</v>
      </c>
      <c r="H6" t="s">
        <v>47</v>
      </c>
      <c r="I6" t="s">
        <v>47</v>
      </c>
      <c r="J6" t="s">
        <v>49</v>
      </c>
      <c r="K6">
        <f t="shared" si="0"/>
        <v>88.500000000000014</v>
      </c>
      <c r="L6">
        <f t="shared" si="1"/>
        <v>351.30459999999999</v>
      </c>
      <c r="M6" t="str">
        <f t="shared" si="2"/>
        <v>cory-8</v>
      </c>
      <c r="N6" t="str">
        <f>INDEX(Scores!$A$2:$A$11,INDEX(Scores!$AA$2:$AA$131,MATCH(C6,Scores!$AB$2:$AB$131,0)))</f>
        <v>cory</v>
      </c>
      <c r="O6">
        <f t="shared" si="3"/>
        <v>106.3</v>
      </c>
      <c r="P6">
        <f t="shared" si="4"/>
        <v>423.11159999999995</v>
      </c>
      <c r="Q6" s="3">
        <f t="shared" si="5"/>
        <v>0.2612046893481158</v>
      </c>
      <c r="R6" s="3">
        <f t="shared" si="6"/>
        <v>0.40878445381901651</v>
      </c>
      <c r="S6" s="9">
        <f t="shared" si="7"/>
        <v>0.14757976447090071</v>
      </c>
      <c r="T6">
        <f t="shared" si="8"/>
        <v>107</v>
      </c>
      <c r="U6">
        <f t="shared" si="9"/>
        <v>106</v>
      </c>
      <c r="V6" s="3">
        <f t="shared" si="10"/>
        <v>4.3536960385981267E-2</v>
      </c>
      <c r="W6" s="9">
        <f t="shared" si="11"/>
        <v>0.95646303961401868</v>
      </c>
      <c r="AB6" s="111" t="s">
        <v>213</v>
      </c>
      <c r="AC6" s="22"/>
      <c r="AD6" s="22"/>
      <c r="AE6" s="22"/>
      <c r="AF6" s="22"/>
      <c r="AG6" s="22"/>
      <c r="AH6" s="22"/>
      <c r="AI6" s="22"/>
      <c r="AJ6" s="22"/>
      <c r="AK6" s="22"/>
      <c r="AL6" s="22"/>
      <c r="AM6" s="22"/>
      <c r="AN6" s="22"/>
      <c r="AO6" s="22">
        <v>0.12134520273024144</v>
      </c>
      <c r="AP6" s="22"/>
      <c r="AQ6" s="22"/>
      <c r="AR6" s="22"/>
      <c r="AS6" s="22"/>
      <c r="AT6" s="22"/>
      <c r="AU6" s="22"/>
      <c r="AV6" s="22"/>
      <c r="AW6" s="22"/>
      <c r="AX6" s="22"/>
      <c r="AY6" s="22"/>
      <c r="AZ6" s="22"/>
      <c r="BA6" s="22"/>
      <c r="BB6" s="22">
        <v>0.79069167001429586</v>
      </c>
      <c r="BC6" s="22">
        <v>0.12134520273024144</v>
      </c>
      <c r="BD6" s="22">
        <v>0.79069167001429586</v>
      </c>
    </row>
    <row r="7" spans="1:56" x14ac:dyDescent="0.25">
      <c r="A7" t="s">
        <v>151</v>
      </c>
      <c r="B7">
        <v>8</v>
      </c>
      <c r="C7" t="s">
        <v>946</v>
      </c>
      <c r="D7" t="s">
        <v>475</v>
      </c>
      <c r="E7">
        <v>19</v>
      </c>
      <c r="F7">
        <v>7.67</v>
      </c>
      <c r="G7">
        <v>23.814399999999999</v>
      </c>
      <c r="H7" t="s">
        <v>114</v>
      </c>
      <c r="I7" t="s">
        <v>114</v>
      </c>
      <c r="J7" t="s">
        <v>62</v>
      </c>
      <c r="K7">
        <f t="shared" si="0"/>
        <v>94.88</v>
      </c>
      <c r="L7">
        <f t="shared" si="1"/>
        <v>320.65749999999997</v>
      </c>
      <c r="M7" t="str">
        <f t="shared" si="2"/>
        <v>scott-8</v>
      </c>
      <c r="N7" t="str">
        <f>INDEX(Scores!$A$2:$A$11,INDEX(Scores!$AA$2:$AA$131,MATCH(C7,Scores!$AB$2:$AB$131,0)))</f>
        <v>scott</v>
      </c>
      <c r="O7">
        <f t="shared" si="3"/>
        <v>113.35000000000001</v>
      </c>
      <c r="P7">
        <f t="shared" si="4"/>
        <v>416.81729999999993</v>
      </c>
      <c r="Q7" s="3">
        <f t="shared" si="5"/>
        <v>0.24821039531278949</v>
      </c>
      <c r="R7" s="3">
        <f t="shared" si="6"/>
        <v>0.39463012083357141</v>
      </c>
      <c r="S7" s="9">
        <f t="shared" si="7"/>
        <v>0.14641972552078192</v>
      </c>
      <c r="T7">
        <f t="shared" si="8"/>
        <v>78</v>
      </c>
      <c r="U7">
        <f t="shared" si="9"/>
        <v>75</v>
      </c>
      <c r="V7" s="3">
        <f t="shared" si="10"/>
        <v>4.391407330759757E-2</v>
      </c>
      <c r="W7" s="9">
        <f t="shared" si="11"/>
        <v>0.95608592669240244</v>
      </c>
      <c r="AB7" s="111" t="s">
        <v>1100</v>
      </c>
      <c r="AC7" s="22"/>
      <c r="AD7" s="22">
        <v>0.14164073766279262</v>
      </c>
      <c r="AE7" s="22"/>
      <c r="AF7" s="22"/>
      <c r="AG7" s="22"/>
      <c r="AH7" s="22"/>
      <c r="AI7" s="22"/>
      <c r="AJ7" s="22"/>
      <c r="AK7" s="22"/>
      <c r="AL7" s="22">
        <v>-5.4314088286453066E-2</v>
      </c>
      <c r="AM7" s="22"/>
      <c r="AN7" s="22"/>
      <c r="AO7" s="22"/>
      <c r="AP7" s="22"/>
      <c r="AQ7" s="22">
        <v>0.52122644604487001</v>
      </c>
      <c r="AR7" s="22"/>
      <c r="AS7" s="22"/>
      <c r="AT7" s="22"/>
      <c r="AU7" s="22"/>
      <c r="AV7" s="22"/>
      <c r="AW7" s="22"/>
      <c r="AX7" s="22"/>
      <c r="AY7" s="22">
        <v>9.6389277401320861E-4</v>
      </c>
      <c r="AZ7" s="22"/>
      <c r="BA7" s="22"/>
      <c r="BB7" s="22"/>
      <c r="BC7" s="22">
        <v>8.7326649376339549E-2</v>
      </c>
      <c r="BD7" s="22">
        <v>0.52219033881888322</v>
      </c>
    </row>
    <row r="8" spans="1:56" x14ac:dyDescent="0.25">
      <c r="A8" t="s">
        <v>447</v>
      </c>
      <c r="B8">
        <v>7</v>
      </c>
      <c r="C8" t="s">
        <v>953</v>
      </c>
      <c r="D8" t="s">
        <v>478</v>
      </c>
      <c r="E8">
        <v>14</v>
      </c>
      <c r="F8">
        <v>6.69</v>
      </c>
      <c r="G8">
        <v>11.833600000000001</v>
      </c>
      <c r="H8" t="s">
        <v>478</v>
      </c>
      <c r="I8" t="s">
        <v>478</v>
      </c>
      <c r="J8" t="s">
        <v>40</v>
      </c>
      <c r="K8">
        <f t="shared" si="0"/>
        <v>91.929999999999993</v>
      </c>
      <c r="L8">
        <f t="shared" si="1"/>
        <v>386.72199999999998</v>
      </c>
      <c r="M8" t="e">
        <f t="shared" si="2"/>
        <v>#N/A</v>
      </c>
      <c r="N8" t="e">
        <f>INDEX(Scores!$A$2:$A$11,INDEX(Scores!$AA$2:$AA$131,MATCH(C8,Scores!$AB$2:$AB$131,0)))</f>
        <v>#N/A</v>
      </c>
      <c r="O8">
        <f t="shared" si="3"/>
        <v>0</v>
      </c>
      <c r="P8">
        <f t="shared" si="4"/>
        <v>0</v>
      </c>
      <c r="Q8" s="3">
        <f t="shared" si="5"/>
        <v>0.99999852839643777</v>
      </c>
      <c r="R8" s="3">
        <f t="shared" si="6"/>
        <v>0.99999985162092286</v>
      </c>
      <c r="S8" s="9">
        <f t="shared" si="7"/>
        <v>1.3232244850946984E-6</v>
      </c>
      <c r="T8">
        <f t="shared" si="8"/>
        <v>75</v>
      </c>
      <c r="U8">
        <f t="shared" si="9"/>
        <v>0</v>
      </c>
      <c r="V8" s="3">
        <f t="shared" si="10"/>
        <v>1</v>
      </c>
      <c r="W8" s="9">
        <f t="shared" si="11"/>
        <v>0</v>
      </c>
      <c r="AB8" s="111" t="s">
        <v>57</v>
      </c>
      <c r="AC8" s="22"/>
      <c r="AD8" s="22"/>
      <c r="AE8" s="22"/>
      <c r="AF8" s="22"/>
      <c r="AG8" s="22"/>
      <c r="AH8" s="22"/>
      <c r="AI8" s="22">
        <v>0.32556357856135698</v>
      </c>
      <c r="AJ8" s="22"/>
      <c r="AK8" s="22"/>
      <c r="AL8" s="22"/>
      <c r="AM8" s="22"/>
      <c r="AN8" s="22"/>
      <c r="AO8" s="22"/>
      <c r="AP8" s="22"/>
      <c r="AQ8" s="22"/>
      <c r="AR8" s="22"/>
      <c r="AS8" s="22"/>
      <c r="AT8" s="22"/>
      <c r="AU8" s="22"/>
      <c r="AV8" s="22">
        <v>0.41808952221534446</v>
      </c>
      <c r="AW8" s="22"/>
      <c r="AX8" s="22"/>
      <c r="AY8" s="22"/>
      <c r="AZ8" s="22"/>
      <c r="BA8" s="22"/>
      <c r="BB8" s="22"/>
      <c r="BC8" s="22">
        <v>0.32556357856135698</v>
      </c>
      <c r="BD8" s="22">
        <v>0.41808952221534446</v>
      </c>
    </row>
    <row r="9" spans="1:56" x14ac:dyDescent="0.25">
      <c r="A9" t="s">
        <v>179</v>
      </c>
      <c r="B9">
        <v>8</v>
      </c>
      <c r="C9" t="s">
        <v>970</v>
      </c>
      <c r="D9" t="s">
        <v>467</v>
      </c>
      <c r="E9">
        <v>32</v>
      </c>
      <c r="F9">
        <v>17.2</v>
      </c>
      <c r="G9">
        <v>83.905600000000007</v>
      </c>
      <c r="H9" t="s">
        <v>15</v>
      </c>
      <c r="I9" t="s">
        <v>15</v>
      </c>
      <c r="J9" t="s">
        <v>49</v>
      </c>
      <c r="K9">
        <f t="shared" si="0"/>
        <v>88.500000000000014</v>
      </c>
      <c r="L9">
        <f t="shared" si="1"/>
        <v>351.30459999999999</v>
      </c>
      <c r="M9" t="str">
        <f t="shared" si="2"/>
        <v>cory-8</v>
      </c>
      <c r="N9" t="str">
        <f>INDEX(Scores!$A$2:$A$11,INDEX(Scores!$AA$2:$AA$131,MATCH(C9,Scores!$AB$2:$AB$131,0)))</f>
        <v>cory</v>
      </c>
      <c r="O9">
        <f t="shared" si="3"/>
        <v>106.3</v>
      </c>
      <c r="P9">
        <f t="shared" si="4"/>
        <v>423.11159999999995</v>
      </c>
      <c r="Q9" s="3">
        <f t="shared" si="5"/>
        <v>0.2612046893481158</v>
      </c>
      <c r="R9" s="3">
        <f t="shared" si="6"/>
        <v>0.45455317533947109</v>
      </c>
      <c r="S9" s="9">
        <f t="shared" si="7"/>
        <v>0.19334848599135529</v>
      </c>
      <c r="T9">
        <f t="shared" si="8"/>
        <v>107</v>
      </c>
      <c r="U9">
        <f t="shared" si="9"/>
        <v>106</v>
      </c>
      <c r="V9" s="3">
        <f t="shared" si="10"/>
        <v>6.5962992893280184E-2</v>
      </c>
      <c r="W9" s="9">
        <f t="shared" si="11"/>
        <v>0.93403700710671977</v>
      </c>
      <c r="AB9" s="111" t="s">
        <v>151</v>
      </c>
      <c r="AC9" s="22"/>
      <c r="AD9" s="22">
        <v>0.1147467955289887</v>
      </c>
      <c r="AE9" s="22"/>
      <c r="AF9" s="22"/>
      <c r="AG9" s="22"/>
      <c r="AH9" s="22"/>
      <c r="AI9" s="22"/>
      <c r="AJ9" s="22"/>
      <c r="AK9" s="22"/>
      <c r="AL9" s="22"/>
      <c r="AM9" s="22"/>
      <c r="AN9" s="22"/>
      <c r="AO9" s="22"/>
      <c r="AP9" s="22"/>
      <c r="AQ9" s="22">
        <v>0.39374738124895514</v>
      </c>
      <c r="AR9" s="22"/>
      <c r="AS9" s="22"/>
      <c r="AT9" s="22"/>
      <c r="AU9" s="22"/>
      <c r="AV9" s="22"/>
      <c r="AW9" s="22"/>
      <c r="AX9" s="22"/>
      <c r="AY9" s="22"/>
      <c r="AZ9" s="22"/>
      <c r="BA9" s="22"/>
      <c r="BB9" s="22"/>
      <c r="BC9" s="22">
        <v>0.1147467955289887</v>
      </c>
      <c r="BD9" s="22">
        <v>0.39374738124895514</v>
      </c>
    </row>
    <row r="10" spans="1:56" x14ac:dyDescent="0.25">
      <c r="A10" t="s">
        <v>180</v>
      </c>
      <c r="B10">
        <v>8</v>
      </c>
      <c r="C10" t="s">
        <v>970</v>
      </c>
      <c r="D10" t="s">
        <v>473</v>
      </c>
      <c r="E10">
        <v>12</v>
      </c>
      <c r="F10">
        <v>5.43</v>
      </c>
      <c r="G10">
        <v>14.137600000000001</v>
      </c>
      <c r="H10" t="s">
        <v>87</v>
      </c>
      <c r="I10" t="s">
        <v>87</v>
      </c>
      <c r="J10" t="s">
        <v>49</v>
      </c>
      <c r="K10">
        <f t="shared" si="0"/>
        <v>88.500000000000014</v>
      </c>
      <c r="L10">
        <f t="shared" si="1"/>
        <v>351.30459999999999</v>
      </c>
      <c r="M10" t="str">
        <f t="shared" si="2"/>
        <v>cory-8</v>
      </c>
      <c r="N10" t="str">
        <f>INDEX(Scores!$A$2:$A$11,INDEX(Scores!$AA$2:$AA$131,MATCH(C10,Scores!$AB$2:$AB$131,0)))</f>
        <v>cory</v>
      </c>
      <c r="O10">
        <f t="shared" si="3"/>
        <v>106.3</v>
      </c>
      <c r="P10">
        <f t="shared" si="4"/>
        <v>423.11159999999995</v>
      </c>
      <c r="Q10" s="3">
        <f t="shared" si="5"/>
        <v>0.2612046893481158</v>
      </c>
      <c r="R10" s="3">
        <f t="shared" si="6"/>
        <v>0.34190107561576721</v>
      </c>
      <c r="S10" s="9">
        <f t="shared" si="7"/>
        <v>8.069638626765141E-2</v>
      </c>
      <c r="T10">
        <f t="shared" si="8"/>
        <v>107</v>
      </c>
      <c r="U10">
        <f t="shared" si="9"/>
        <v>106</v>
      </c>
      <c r="V10" s="3">
        <f t="shared" si="10"/>
        <v>6.9252273934131331E-2</v>
      </c>
      <c r="W10" s="9">
        <f t="shared" si="11"/>
        <v>0.93074772606586864</v>
      </c>
      <c r="AB10" s="111" t="s">
        <v>220</v>
      </c>
      <c r="AC10" s="22"/>
      <c r="AD10" s="22"/>
      <c r="AE10" s="22"/>
      <c r="AF10" s="22"/>
      <c r="AG10" s="22"/>
      <c r="AH10" s="22"/>
      <c r="AI10" s="22"/>
      <c r="AJ10" s="22"/>
      <c r="AK10" s="22"/>
      <c r="AL10" s="22"/>
      <c r="AM10" s="22"/>
      <c r="AN10" s="22"/>
      <c r="AO10" s="22">
        <v>4.7944977174300962E-2</v>
      </c>
      <c r="AP10" s="22"/>
      <c r="AQ10" s="22"/>
      <c r="AR10" s="22"/>
      <c r="AS10" s="22"/>
      <c r="AT10" s="22"/>
      <c r="AU10" s="22"/>
      <c r="AV10" s="22"/>
      <c r="AW10" s="22"/>
      <c r="AX10" s="22"/>
      <c r="AY10" s="22"/>
      <c r="AZ10" s="22"/>
      <c r="BA10" s="22"/>
      <c r="BB10" s="22">
        <v>0.18995862351717763</v>
      </c>
      <c r="BC10" s="22">
        <v>4.7944977174300962E-2</v>
      </c>
      <c r="BD10" s="22">
        <v>0.18995862351717763</v>
      </c>
    </row>
    <row r="11" spans="1:56" x14ac:dyDescent="0.25">
      <c r="A11" t="s">
        <v>96</v>
      </c>
      <c r="B11">
        <v>11</v>
      </c>
      <c r="C11" t="s">
        <v>941</v>
      </c>
      <c r="D11" t="s">
        <v>471</v>
      </c>
      <c r="E11">
        <v>32</v>
      </c>
      <c r="F11">
        <v>14.44</v>
      </c>
      <c r="G11">
        <v>33.64</v>
      </c>
      <c r="H11" t="s">
        <v>87</v>
      </c>
      <c r="I11" t="s">
        <v>87</v>
      </c>
      <c r="J11" t="s">
        <v>27</v>
      </c>
      <c r="K11">
        <f t="shared" si="0"/>
        <v>98.580000000000013</v>
      </c>
      <c r="L11">
        <f t="shared" si="1"/>
        <v>364.4375</v>
      </c>
      <c r="M11" t="str">
        <f t="shared" si="2"/>
        <v>matty-11</v>
      </c>
      <c r="N11" t="str">
        <f>INDEX(Scores!$A$2:$A$11,INDEX(Scores!$AA$2:$AA$131,MATCH(C11,Scores!$AB$2:$AB$131,0)))</f>
        <v>matty</v>
      </c>
      <c r="O11">
        <f t="shared" si="3"/>
        <v>88.670000000000016</v>
      </c>
      <c r="P11">
        <f t="shared" si="4"/>
        <v>334.39179999999999</v>
      </c>
      <c r="Q11" s="3">
        <f t="shared" si="5"/>
        <v>0.64612380466415886</v>
      </c>
      <c r="R11" s="3">
        <f t="shared" si="6"/>
        <v>0.85658224530758398</v>
      </c>
      <c r="S11" s="9">
        <f t="shared" si="7"/>
        <v>0.21045844064342512</v>
      </c>
      <c r="T11">
        <f t="shared" si="8"/>
        <v>111</v>
      </c>
      <c r="U11">
        <f t="shared" si="9"/>
        <v>102</v>
      </c>
      <c r="V11" s="3">
        <f t="shared" si="10"/>
        <v>6.9990462001772877E-2</v>
      </c>
      <c r="W11" s="9">
        <f t="shared" si="11"/>
        <v>0.93000953799822716</v>
      </c>
      <c r="AB11" s="111" t="s">
        <v>107</v>
      </c>
      <c r="AC11" s="22"/>
      <c r="AD11" s="22"/>
      <c r="AE11" s="22"/>
      <c r="AF11" s="22"/>
      <c r="AG11" s="22"/>
      <c r="AH11" s="22"/>
      <c r="AI11" s="22">
        <v>-0.10858354236691947</v>
      </c>
      <c r="AJ11" s="22"/>
      <c r="AK11" s="22"/>
      <c r="AL11" s="22"/>
      <c r="AM11" s="22"/>
      <c r="AN11" s="22"/>
      <c r="AO11" s="22">
        <v>1.1807028262199731E-2</v>
      </c>
      <c r="AP11" s="22"/>
      <c r="AQ11" s="22"/>
      <c r="AR11" s="22"/>
      <c r="AS11" s="22"/>
      <c r="AT11" s="22"/>
      <c r="AU11" s="22"/>
      <c r="AV11" s="22">
        <v>3.1471403261207342E-10</v>
      </c>
      <c r="AW11" s="22"/>
      <c r="AX11" s="22"/>
      <c r="AY11" s="22"/>
      <c r="AZ11" s="22"/>
      <c r="BA11" s="22"/>
      <c r="BB11" s="22">
        <v>0.17993067326732859</v>
      </c>
      <c r="BC11" s="22">
        <v>-9.6776514104719741E-2</v>
      </c>
      <c r="BD11" s="22">
        <v>0.17993067358204262</v>
      </c>
    </row>
    <row r="12" spans="1:56" x14ac:dyDescent="0.25">
      <c r="A12" t="s">
        <v>426</v>
      </c>
      <c r="B12">
        <v>7</v>
      </c>
      <c r="C12" t="s">
        <v>913</v>
      </c>
      <c r="D12" t="s">
        <v>477</v>
      </c>
      <c r="E12">
        <v>16</v>
      </c>
      <c r="F12">
        <v>5.38</v>
      </c>
      <c r="G12">
        <v>24.8004</v>
      </c>
      <c r="H12" t="s">
        <v>477</v>
      </c>
      <c r="I12" t="s">
        <v>477</v>
      </c>
      <c r="J12" t="s">
        <v>16</v>
      </c>
      <c r="K12">
        <f t="shared" si="0"/>
        <v>86.09</v>
      </c>
      <c r="L12">
        <f t="shared" si="1"/>
        <v>350.80079999999998</v>
      </c>
      <c r="M12" t="str">
        <f t="shared" si="2"/>
        <v>seth-7</v>
      </c>
      <c r="N12" t="str">
        <f>INDEX(Scores!$A$2:$A$11,INDEX(Scores!$AA$2:$AA$131,MATCH(C12,Scores!$AB$2:$AB$131,0)))</f>
        <v>seth</v>
      </c>
      <c r="O12">
        <f t="shared" si="3"/>
        <v>96.25</v>
      </c>
      <c r="P12">
        <f t="shared" si="4"/>
        <v>294.3</v>
      </c>
      <c r="Q12" s="3">
        <f t="shared" si="5"/>
        <v>0.34457149944219723</v>
      </c>
      <c r="R12" s="3">
        <f t="shared" si="6"/>
        <v>0.50736787375799564</v>
      </c>
      <c r="S12" s="9">
        <f t="shared" si="7"/>
        <v>0.16279637431579841</v>
      </c>
      <c r="T12">
        <f t="shared" si="8"/>
        <v>85</v>
      </c>
      <c r="U12">
        <f t="shared" si="9"/>
        <v>81</v>
      </c>
      <c r="V12" s="3">
        <f t="shared" si="10"/>
        <v>9.1871659619545132E-2</v>
      </c>
      <c r="W12" s="9">
        <f t="shared" si="11"/>
        <v>0.90812834038045487</v>
      </c>
      <c r="AB12" s="111" t="s">
        <v>100</v>
      </c>
      <c r="AC12" s="22"/>
      <c r="AD12" s="22">
        <v>1.7083166558342633E-2</v>
      </c>
      <c r="AE12" s="22"/>
      <c r="AF12" s="22"/>
      <c r="AG12" s="22"/>
      <c r="AH12" s="22"/>
      <c r="AI12" s="22"/>
      <c r="AJ12" s="22"/>
      <c r="AK12" s="22">
        <v>-0.16808468423560086</v>
      </c>
      <c r="AL12" s="22"/>
      <c r="AM12" s="22"/>
      <c r="AN12" s="22"/>
      <c r="AO12" s="22"/>
      <c r="AP12" s="22"/>
      <c r="AQ12" s="22">
        <v>0.16471874661484409</v>
      </c>
      <c r="AR12" s="22"/>
      <c r="AS12" s="22"/>
      <c r="AT12" s="22"/>
      <c r="AU12" s="22"/>
      <c r="AV12" s="22"/>
      <c r="AW12" s="22"/>
      <c r="AX12" s="22">
        <v>1.574016086762775E-4</v>
      </c>
      <c r="AY12" s="22"/>
      <c r="AZ12" s="22"/>
      <c r="BA12" s="22"/>
      <c r="BB12" s="22"/>
      <c r="BC12" s="22">
        <v>-0.15100151767725822</v>
      </c>
      <c r="BD12" s="22">
        <v>0.16487614822352037</v>
      </c>
    </row>
    <row r="13" spans="1:56" x14ac:dyDescent="0.25">
      <c r="A13" t="s">
        <v>92</v>
      </c>
      <c r="B13">
        <v>5</v>
      </c>
      <c r="C13" t="s">
        <v>888</v>
      </c>
      <c r="D13" t="s">
        <v>469</v>
      </c>
      <c r="E13">
        <v>27</v>
      </c>
      <c r="F13">
        <v>13.36</v>
      </c>
      <c r="G13">
        <v>72.931600000000003</v>
      </c>
      <c r="H13" t="s">
        <v>47</v>
      </c>
      <c r="I13" t="s">
        <v>47</v>
      </c>
      <c r="J13" t="s">
        <v>55</v>
      </c>
      <c r="K13">
        <f t="shared" si="0"/>
        <v>117.25999999999999</v>
      </c>
      <c r="L13">
        <f t="shared" si="1"/>
        <v>422.9941</v>
      </c>
      <c r="M13" t="str">
        <f t="shared" si="2"/>
        <v>matty-5</v>
      </c>
      <c r="N13" t="str">
        <f>INDEX(Scores!$A$2:$A$11,INDEX(Scores!$AA$2:$AA$131,MATCH(C13,Scores!$AB$2:$AB$131,0)))</f>
        <v>matty</v>
      </c>
      <c r="O13">
        <f t="shared" si="3"/>
        <v>99.23</v>
      </c>
      <c r="P13">
        <f t="shared" si="4"/>
        <v>364.64739999999995</v>
      </c>
      <c r="Q13" s="3">
        <f t="shared" si="5"/>
        <v>0.73970568419743477</v>
      </c>
      <c r="R13" s="3">
        <f t="shared" si="6"/>
        <v>0.88191835106811611</v>
      </c>
      <c r="S13" s="9">
        <f t="shared" si="7"/>
        <v>0.14221266687068135</v>
      </c>
      <c r="T13">
        <f t="shared" si="8"/>
        <v>110</v>
      </c>
      <c r="U13">
        <f t="shared" si="9"/>
        <v>106</v>
      </c>
      <c r="V13" s="3">
        <f t="shared" si="10"/>
        <v>0.12948992054932165</v>
      </c>
      <c r="W13" s="9">
        <f t="shared" si="11"/>
        <v>0.87051007945067838</v>
      </c>
      <c r="AB13" s="111" t="s">
        <v>257</v>
      </c>
      <c r="AC13" s="22"/>
      <c r="AD13" s="22"/>
      <c r="AE13" s="22"/>
      <c r="AF13" s="22"/>
      <c r="AG13" s="22"/>
      <c r="AH13" s="22"/>
      <c r="AI13" s="22"/>
      <c r="AJ13" s="22"/>
      <c r="AK13" s="22">
        <v>0.2009455972159323</v>
      </c>
      <c r="AL13" s="22"/>
      <c r="AM13" s="22"/>
      <c r="AN13" s="22"/>
      <c r="AO13" s="22"/>
      <c r="AP13" s="22"/>
      <c r="AQ13" s="22"/>
      <c r="AR13" s="22"/>
      <c r="AS13" s="22"/>
      <c r="AT13" s="22"/>
      <c r="AU13" s="22"/>
      <c r="AV13" s="22"/>
      <c r="AW13" s="22"/>
      <c r="AX13" s="22">
        <v>0.15965101402560611</v>
      </c>
      <c r="AY13" s="22"/>
      <c r="AZ13" s="22"/>
      <c r="BA13" s="22"/>
      <c r="BB13" s="22"/>
      <c r="BC13" s="22">
        <v>0.2009455972159323</v>
      </c>
      <c r="BD13" s="22">
        <v>0.15965101402560611</v>
      </c>
    </row>
    <row r="14" spans="1:56" x14ac:dyDescent="0.25">
      <c r="A14" t="s">
        <v>258</v>
      </c>
      <c r="B14">
        <v>5</v>
      </c>
      <c r="C14" t="s">
        <v>889</v>
      </c>
      <c r="D14" t="s">
        <v>469</v>
      </c>
      <c r="E14">
        <v>20</v>
      </c>
      <c r="F14">
        <v>6.97</v>
      </c>
      <c r="G14">
        <v>39.187600000000003</v>
      </c>
      <c r="H14" t="s">
        <v>47</v>
      </c>
      <c r="I14" t="s">
        <v>47</v>
      </c>
      <c r="J14" t="s">
        <v>23</v>
      </c>
      <c r="K14">
        <f t="shared" si="0"/>
        <v>97.27</v>
      </c>
      <c r="L14">
        <f t="shared" si="1"/>
        <v>430.39269999999999</v>
      </c>
      <c r="M14" t="str">
        <f t="shared" si="2"/>
        <v>seth-5</v>
      </c>
      <c r="N14" t="str">
        <f>INDEX(Scores!$A$2:$A$11,INDEX(Scores!$AA$2:$AA$131,MATCH(C14,Scores!$AB$2:$AB$131,0)))</f>
        <v>seth</v>
      </c>
      <c r="O14">
        <f t="shared" si="3"/>
        <v>98.72999999999999</v>
      </c>
      <c r="P14">
        <f t="shared" si="4"/>
        <v>396.28840000000002</v>
      </c>
      <c r="Q14" s="3">
        <f t="shared" si="5"/>
        <v>0.47975082605670671</v>
      </c>
      <c r="R14" s="3">
        <f t="shared" si="6"/>
        <v>0.6599390203743527</v>
      </c>
      <c r="S14" s="9">
        <f t="shared" si="7"/>
        <v>0.18018819431764599</v>
      </c>
      <c r="T14">
        <f t="shared" si="8"/>
        <v>96</v>
      </c>
      <c r="U14">
        <f t="shared" si="9"/>
        <v>90</v>
      </c>
      <c r="V14" s="3">
        <f t="shared" si="10"/>
        <v>0.13071806878117043</v>
      </c>
      <c r="W14" s="9">
        <f t="shared" si="11"/>
        <v>0.86928193121882957</v>
      </c>
      <c r="AB14" s="111" t="s">
        <v>258</v>
      </c>
      <c r="AC14" s="22"/>
      <c r="AD14" s="22"/>
      <c r="AE14" s="22"/>
      <c r="AF14" s="22"/>
      <c r="AG14" s="22"/>
      <c r="AH14" s="22"/>
      <c r="AI14" s="22"/>
      <c r="AJ14" s="22"/>
      <c r="AK14" s="22"/>
      <c r="AL14" s="22"/>
      <c r="AM14" s="22"/>
      <c r="AN14" s="22"/>
      <c r="AO14" s="22">
        <v>-5.8121795390532471E-3</v>
      </c>
      <c r="AP14" s="22"/>
      <c r="AQ14" s="22"/>
      <c r="AR14" s="22"/>
      <c r="AS14" s="22"/>
      <c r="AT14" s="22"/>
      <c r="AU14" s="22"/>
      <c r="AV14" s="22"/>
      <c r="AW14" s="22"/>
      <c r="AX14" s="22"/>
      <c r="AY14" s="22"/>
      <c r="AZ14" s="22"/>
      <c r="BA14" s="22"/>
      <c r="BB14" s="22">
        <v>9.5781354528266971E-2</v>
      </c>
      <c r="BC14" s="22">
        <v>-5.8121795390532471E-3</v>
      </c>
      <c r="BD14" s="22">
        <v>9.5781354528266971E-2</v>
      </c>
    </row>
    <row r="15" spans="1:56" x14ac:dyDescent="0.25">
      <c r="A15" t="s">
        <v>415</v>
      </c>
      <c r="B15">
        <v>12</v>
      </c>
      <c r="C15" t="s">
        <v>934</v>
      </c>
      <c r="D15" t="s">
        <v>477</v>
      </c>
      <c r="E15">
        <v>18</v>
      </c>
      <c r="F15">
        <v>7.22</v>
      </c>
      <c r="G15">
        <v>29.16</v>
      </c>
      <c r="H15" t="s">
        <v>477</v>
      </c>
      <c r="I15" t="s">
        <v>477</v>
      </c>
      <c r="J15" t="s">
        <v>35</v>
      </c>
      <c r="K15">
        <f t="shared" si="0"/>
        <v>99.070000000000007</v>
      </c>
      <c r="L15">
        <f t="shared" si="1"/>
        <v>350.10639999999995</v>
      </c>
      <c r="M15" t="str">
        <f t="shared" si="2"/>
        <v>matty-12</v>
      </c>
      <c r="N15" t="str">
        <f>INDEX(Scores!$A$2:$A$11,INDEX(Scores!$AA$2:$AA$131,MATCH(C15,Scores!$AB$2:$AB$131,0)))</f>
        <v>matty</v>
      </c>
      <c r="O15">
        <f t="shared" si="3"/>
        <v>94.28</v>
      </c>
      <c r="P15">
        <f t="shared" si="4"/>
        <v>371.05129999999997</v>
      </c>
      <c r="Q15" s="3">
        <f t="shared" si="5"/>
        <v>0.57078356677741682</v>
      </c>
      <c r="R15" s="3">
        <f t="shared" si="6"/>
        <v>0.72303572280685324</v>
      </c>
      <c r="S15" s="9">
        <f t="shared" si="7"/>
        <v>0.15225215602943643</v>
      </c>
      <c r="T15">
        <f t="shared" si="8"/>
        <v>80</v>
      </c>
      <c r="U15">
        <f t="shared" si="9"/>
        <v>75</v>
      </c>
      <c r="V15" s="3">
        <f t="shared" si="10"/>
        <v>0.14222631534081975</v>
      </c>
      <c r="W15" s="9">
        <f t="shared" si="11"/>
        <v>0.85777368465918025</v>
      </c>
      <c r="AB15" s="111" t="s">
        <v>71</v>
      </c>
      <c r="AC15" s="22"/>
      <c r="AD15" s="22"/>
      <c r="AE15" s="22"/>
      <c r="AF15" s="22"/>
      <c r="AG15" s="22"/>
      <c r="AH15" s="22"/>
      <c r="AI15" s="22"/>
      <c r="AJ15" s="22"/>
      <c r="AK15" s="22"/>
      <c r="AL15" s="22"/>
      <c r="AM15" s="22"/>
      <c r="AN15" s="22"/>
      <c r="AO15" s="22">
        <v>-2.6554989352689864E-2</v>
      </c>
      <c r="AP15" s="22"/>
      <c r="AQ15" s="22"/>
      <c r="AR15" s="22"/>
      <c r="AS15" s="22"/>
      <c r="AT15" s="22"/>
      <c r="AU15" s="22"/>
      <c r="AV15" s="22"/>
      <c r="AW15" s="22"/>
      <c r="AX15" s="22"/>
      <c r="AY15" s="22"/>
      <c r="AZ15" s="22"/>
      <c r="BA15" s="22"/>
      <c r="BB15" s="22">
        <v>9.4650107930359106E-2</v>
      </c>
      <c r="BC15" s="22">
        <v>-2.6554989352689864E-2</v>
      </c>
      <c r="BD15" s="22">
        <v>9.4650107930359106E-2</v>
      </c>
    </row>
    <row r="16" spans="1:56" x14ac:dyDescent="0.25">
      <c r="A16" t="s">
        <v>135</v>
      </c>
      <c r="B16">
        <v>10</v>
      </c>
      <c r="C16" t="s">
        <v>972</v>
      </c>
      <c r="D16" t="s">
        <v>471</v>
      </c>
      <c r="E16">
        <v>15</v>
      </c>
      <c r="F16">
        <v>6.71</v>
      </c>
      <c r="G16">
        <v>16.728100000000001</v>
      </c>
      <c r="H16" t="s">
        <v>87</v>
      </c>
      <c r="I16" t="s">
        <v>87</v>
      </c>
      <c r="J16" t="s">
        <v>49</v>
      </c>
      <c r="K16">
        <f t="shared" si="0"/>
        <v>80.72</v>
      </c>
      <c r="L16">
        <f t="shared" si="1"/>
        <v>274.11410000000001</v>
      </c>
      <c r="M16" t="str">
        <f t="shared" si="2"/>
        <v>seth-10</v>
      </c>
      <c r="N16" t="str">
        <f>INDEX(Scores!$A$2:$A$11,INDEX(Scores!$AA$2:$AA$131,MATCH(C16,Scores!$AB$2:$AB$131,0)))</f>
        <v>seth</v>
      </c>
      <c r="O16">
        <f t="shared" si="3"/>
        <v>104.52999999999999</v>
      </c>
      <c r="P16">
        <f t="shared" si="4"/>
        <v>446.11959999999999</v>
      </c>
      <c r="Q16" s="3">
        <f t="shared" si="5"/>
        <v>0.18748498770897654</v>
      </c>
      <c r="R16" s="3">
        <f t="shared" si="6"/>
        <v>0.27922763026996711</v>
      </c>
      <c r="S16" s="9">
        <f t="shared" si="7"/>
        <v>9.1742642560990573E-2</v>
      </c>
      <c r="T16">
        <f t="shared" si="8"/>
        <v>84</v>
      </c>
      <c r="U16">
        <f t="shared" si="9"/>
        <v>80</v>
      </c>
      <c r="V16" s="3">
        <f t="shared" si="10"/>
        <v>0.14711212903930834</v>
      </c>
      <c r="W16" s="9">
        <f t="shared" si="11"/>
        <v>0.85288787096069163</v>
      </c>
      <c r="AB16" s="111" t="s">
        <v>175</v>
      </c>
      <c r="AC16" s="22"/>
      <c r="AD16" s="22">
        <v>1.5811254792894525E-2</v>
      </c>
      <c r="AE16" s="22"/>
      <c r="AF16" s="22"/>
      <c r="AG16" s="22"/>
      <c r="AH16" s="22"/>
      <c r="AI16" s="22"/>
      <c r="AJ16" s="22"/>
      <c r="AK16" s="22"/>
      <c r="AL16" s="22">
        <v>-1.2841019019968258E-2</v>
      </c>
      <c r="AM16" s="22"/>
      <c r="AN16" s="22"/>
      <c r="AO16" s="22"/>
      <c r="AP16" s="22"/>
      <c r="AQ16" s="22">
        <v>8.8643987274542146E-2</v>
      </c>
      <c r="AR16" s="22"/>
      <c r="AS16" s="22"/>
      <c r="AT16" s="22"/>
      <c r="AU16" s="22"/>
      <c r="AV16" s="22"/>
      <c r="AW16" s="22"/>
      <c r="AX16" s="22"/>
      <c r="AY16" s="22">
        <v>8.8799639570424915E-6</v>
      </c>
      <c r="AZ16" s="22"/>
      <c r="BA16" s="22"/>
      <c r="BB16" s="22"/>
      <c r="BC16" s="22">
        <v>2.9702357729262663E-3</v>
      </c>
      <c r="BD16" s="22">
        <v>8.8652867238499189E-2</v>
      </c>
    </row>
    <row r="17" spans="1:56" x14ac:dyDescent="0.25">
      <c r="A17" t="s">
        <v>132</v>
      </c>
      <c r="B17">
        <v>12</v>
      </c>
      <c r="C17" t="s">
        <v>982</v>
      </c>
      <c r="D17" t="s">
        <v>469</v>
      </c>
      <c r="E17">
        <v>16</v>
      </c>
      <c r="F17">
        <v>8.6199999999999992</v>
      </c>
      <c r="G17">
        <v>21.068100000000001</v>
      </c>
      <c r="H17" t="s">
        <v>47</v>
      </c>
      <c r="I17" t="s">
        <v>47</v>
      </c>
      <c r="J17" t="s">
        <v>44</v>
      </c>
      <c r="K17">
        <f t="shared" si="0"/>
        <v>102.15</v>
      </c>
      <c r="L17">
        <f t="shared" si="1"/>
        <v>468.55759999999998</v>
      </c>
      <c r="M17" t="str">
        <f t="shared" si="2"/>
        <v>chad-12</v>
      </c>
      <c r="N17" t="str">
        <f>INDEX(Scores!$A$2:$A$11,INDEX(Scores!$AA$2:$AA$131,MATCH(C17,Scores!$AB$2:$AB$131,0)))</f>
        <v>chad</v>
      </c>
      <c r="O17">
        <f t="shared" si="3"/>
        <v>115.8</v>
      </c>
      <c r="P17">
        <f t="shared" si="4"/>
        <v>455.64659999999998</v>
      </c>
      <c r="Q17" s="3">
        <f t="shared" si="5"/>
        <v>0.3267149551815689</v>
      </c>
      <c r="R17" s="3">
        <f t="shared" si="6"/>
        <v>0.41736588522496298</v>
      </c>
      <c r="S17" s="9">
        <f t="shared" si="7"/>
        <v>9.0650930043394085E-2</v>
      </c>
      <c r="T17">
        <f t="shared" si="8"/>
        <v>95</v>
      </c>
      <c r="U17">
        <f t="shared" si="9"/>
        <v>92</v>
      </c>
      <c r="V17" s="3">
        <f t="shared" si="10"/>
        <v>0.16997896882890592</v>
      </c>
      <c r="W17" s="9">
        <f t="shared" si="11"/>
        <v>0.83002103117109405</v>
      </c>
      <c r="AB17" s="111" t="s">
        <v>407</v>
      </c>
      <c r="AC17" s="22"/>
      <c r="AD17" s="22">
        <v>-1.5014798442390009E-2</v>
      </c>
      <c r="AE17" s="22"/>
      <c r="AF17" s="22"/>
      <c r="AG17" s="22"/>
      <c r="AH17" s="22"/>
      <c r="AI17" s="22"/>
      <c r="AJ17" s="22"/>
      <c r="AK17" s="22"/>
      <c r="AL17" s="22">
        <v>2.2526987014120758E-2</v>
      </c>
      <c r="AM17" s="22"/>
      <c r="AN17" s="22"/>
      <c r="AO17" s="22"/>
      <c r="AP17" s="22"/>
      <c r="AQ17" s="22">
        <v>7.0241195652558486E-2</v>
      </c>
      <c r="AR17" s="22"/>
      <c r="AS17" s="22"/>
      <c r="AT17" s="22"/>
      <c r="AU17" s="22"/>
      <c r="AV17" s="22"/>
      <c r="AW17" s="22"/>
      <c r="AX17" s="22"/>
      <c r="AY17" s="22">
        <v>1.2755465486586903E-3</v>
      </c>
      <c r="AZ17" s="22"/>
      <c r="BA17" s="22"/>
      <c r="BB17" s="22"/>
      <c r="BC17" s="22">
        <v>7.5121885717307491E-3</v>
      </c>
      <c r="BD17" s="22">
        <v>7.1516742201217176E-2</v>
      </c>
    </row>
    <row r="18" spans="1:56" x14ac:dyDescent="0.25">
      <c r="A18" t="s">
        <v>140</v>
      </c>
      <c r="B18">
        <v>3</v>
      </c>
      <c r="C18" t="s">
        <v>806</v>
      </c>
      <c r="D18" t="s">
        <v>473</v>
      </c>
      <c r="E18">
        <v>20</v>
      </c>
      <c r="F18">
        <v>8.2799999999999994</v>
      </c>
      <c r="G18">
        <v>16.809999999999999</v>
      </c>
      <c r="H18" t="s">
        <v>87</v>
      </c>
      <c r="I18" t="s">
        <v>87</v>
      </c>
      <c r="J18" t="s">
        <v>55</v>
      </c>
      <c r="K18">
        <f t="shared" si="0"/>
        <v>107.31</v>
      </c>
      <c r="L18">
        <f t="shared" si="1"/>
        <v>425.77620000000002</v>
      </c>
      <c r="M18" t="str">
        <f t="shared" si="2"/>
        <v>seth-3</v>
      </c>
      <c r="N18" t="str">
        <f>INDEX(Scores!$A$2:$A$11,INDEX(Scores!$AA$2:$AA$131,MATCH(C18,Scores!$AB$2:$AB$131,0)))</f>
        <v>seth</v>
      </c>
      <c r="O18">
        <f t="shared" si="3"/>
        <v>94.54</v>
      </c>
      <c r="P18">
        <f t="shared" si="4"/>
        <v>356.43470000000002</v>
      </c>
      <c r="Q18" s="3">
        <f t="shared" si="5"/>
        <v>0.6760180870914847</v>
      </c>
      <c r="R18" s="3">
        <f t="shared" si="6"/>
        <v>0.8119772051320987</v>
      </c>
      <c r="S18" s="9">
        <f t="shared" si="7"/>
        <v>0.135959118040614</v>
      </c>
      <c r="T18">
        <f t="shared" si="8"/>
        <v>96</v>
      </c>
      <c r="U18">
        <f t="shared" si="9"/>
        <v>88</v>
      </c>
      <c r="V18" s="3">
        <f t="shared" si="10"/>
        <v>0.1821195740811529</v>
      </c>
      <c r="W18" s="9">
        <f t="shared" si="11"/>
        <v>0.81788042591884713</v>
      </c>
      <c r="AB18" s="111" t="s">
        <v>80</v>
      </c>
      <c r="AC18" s="22"/>
      <c r="AD18" s="22"/>
      <c r="AE18" s="22"/>
      <c r="AF18" s="22"/>
      <c r="AG18" s="22"/>
      <c r="AH18" s="22"/>
      <c r="AI18" s="22"/>
      <c r="AJ18" s="22"/>
      <c r="AK18" s="22">
        <v>6.0558648615528732E-2</v>
      </c>
      <c r="AL18" s="22"/>
      <c r="AM18" s="22"/>
      <c r="AN18" s="22"/>
      <c r="AO18" s="22"/>
      <c r="AP18" s="22"/>
      <c r="AQ18" s="22"/>
      <c r="AR18" s="22"/>
      <c r="AS18" s="22"/>
      <c r="AT18" s="22"/>
      <c r="AU18" s="22"/>
      <c r="AV18" s="22"/>
      <c r="AW18" s="22"/>
      <c r="AX18" s="22">
        <v>3.8005966511139744E-2</v>
      </c>
      <c r="AY18" s="22"/>
      <c r="AZ18" s="22"/>
      <c r="BA18" s="22"/>
      <c r="BB18" s="22"/>
      <c r="BC18" s="22">
        <v>6.0558648615528732E-2</v>
      </c>
      <c r="BD18" s="22">
        <v>3.8005966511139744E-2</v>
      </c>
    </row>
    <row r="19" spans="1:56" x14ac:dyDescent="0.25">
      <c r="A19" t="s">
        <v>101</v>
      </c>
      <c r="B19">
        <v>5</v>
      </c>
      <c r="C19" t="s">
        <v>885</v>
      </c>
      <c r="D19" t="s">
        <v>469</v>
      </c>
      <c r="E19">
        <v>13</v>
      </c>
      <c r="F19">
        <v>5.03</v>
      </c>
      <c r="G19">
        <v>12.3904</v>
      </c>
      <c r="H19" t="s">
        <v>47</v>
      </c>
      <c r="I19" t="s">
        <v>47</v>
      </c>
      <c r="J19" t="s">
        <v>35</v>
      </c>
      <c r="K19">
        <f t="shared" si="0"/>
        <v>93.5</v>
      </c>
      <c r="L19">
        <f t="shared" si="1"/>
        <v>346.9006</v>
      </c>
      <c r="M19" t="str">
        <f t="shared" si="2"/>
        <v>cory-5</v>
      </c>
      <c r="N19" t="str">
        <f>INDEX(Scores!$A$2:$A$11,INDEX(Scores!$AA$2:$AA$131,MATCH(C19,Scores!$AB$2:$AB$131,0)))</f>
        <v>cory</v>
      </c>
      <c r="O19">
        <f t="shared" si="3"/>
        <v>109.91</v>
      </c>
      <c r="P19">
        <f t="shared" si="4"/>
        <v>349.51409999999998</v>
      </c>
      <c r="Q19" s="3">
        <f t="shared" si="5"/>
        <v>0.26702544199612877</v>
      </c>
      <c r="R19" s="3">
        <f t="shared" si="6"/>
        <v>0.37345905481709896</v>
      </c>
      <c r="S19" s="9">
        <f t="shared" si="7"/>
        <v>0.10643361282097019</v>
      </c>
      <c r="T19">
        <f t="shared" si="8"/>
        <v>105</v>
      </c>
      <c r="U19">
        <f t="shared" si="9"/>
        <v>100</v>
      </c>
      <c r="V19" s="3">
        <f t="shared" si="10"/>
        <v>0.19940456047137278</v>
      </c>
      <c r="W19" s="9">
        <f t="shared" si="11"/>
        <v>0.80059543952862722</v>
      </c>
      <c r="AB19" s="111" t="s">
        <v>455</v>
      </c>
      <c r="AC19" s="22"/>
      <c r="AD19" s="22"/>
      <c r="AE19" s="22"/>
      <c r="AF19" s="22"/>
      <c r="AG19" s="22"/>
      <c r="AH19" s="22"/>
      <c r="AI19" s="22"/>
      <c r="AJ19" s="22"/>
      <c r="AK19" s="22"/>
      <c r="AL19" s="22"/>
      <c r="AM19" s="22"/>
      <c r="AN19" s="22"/>
      <c r="AO19" s="22">
        <v>3.026710650486325E-2</v>
      </c>
      <c r="AP19" s="22"/>
      <c r="AQ19" s="22"/>
      <c r="AR19" s="22"/>
      <c r="AS19" s="22"/>
      <c r="AT19" s="22"/>
      <c r="AU19" s="22"/>
      <c r="AV19" s="22"/>
      <c r="AW19" s="22"/>
      <c r="AX19" s="22"/>
      <c r="AY19" s="22"/>
      <c r="AZ19" s="22"/>
      <c r="BA19" s="22"/>
      <c r="BB19" s="22">
        <v>3.2472422765511988E-2</v>
      </c>
      <c r="BC19" s="22">
        <v>3.026710650486325E-2</v>
      </c>
      <c r="BD19" s="22">
        <v>3.2472422765511988E-2</v>
      </c>
    </row>
    <row r="20" spans="1:56" x14ac:dyDescent="0.25">
      <c r="A20" t="s">
        <v>117</v>
      </c>
      <c r="B20">
        <v>8</v>
      </c>
      <c r="C20" t="s">
        <v>946</v>
      </c>
      <c r="D20" t="s">
        <v>469</v>
      </c>
      <c r="E20">
        <v>15</v>
      </c>
      <c r="F20">
        <v>7.74</v>
      </c>
      <c r="G20">
        <v>26.214400000000001</v>
      </c>
      <c r="H20" t="s">
        <v>47</v>
      </c>
      <c r="I20" t="s">
        <v>47</v>
      </c>
      <c r="J20" t="s">
        <v>62</v>
      </c>
      <c r="K20">
        <f t="shared" si="0"/>
        <v>94.88</v>
      </c>
      <c r="L20">
        <f t="shared" si="1"/>
        <v>320.65749999999997</v>
      </c>
      <c r="M20" t="str">
        <f t="shared" si="2"/>
        <v>scott-8</v>
      </c>
      <c r="N20" t="str">
        <f>INDEX(Scores!$A$2:$A$11,INDEX(Scores!$AA$2:$AA$131,MATCH(C20,Scores!$AB$2:$AB$131,0)))</f>
        <v>scott</v>
      </c>
      <c r="O20">
        <f t="shared" si="3"/>
        <v>113.35000000000001</v>
      </c>
      <c r="P20">
        <f t="shared" si="4"/>
        <v>416.81729999999993</v>
      </c>
      <c r="Q20" s="3">
        <f t="shared" si="5"/>
        <v>0.24821039531278949</v>
      </c>
      <c r="R20" s="3">
        <f t="shared" si="6"/>
        <v>0.33712187687606393</v>
      </c>
      <c r="S20" s="9">
        <f t="shared" si="7"/>
        <v>8.8911481563274442E-2</v>
      </c>
      <c r="T20">
        <f t="shared" si="8"/>
        <v>78</v>
      </c>
      <c r="U20">
        <f t="shared" si="9"/>
        <v>75</v>
      </c>
      <c r="V20" s="3">
        <f t="shared" si="10"/>
        <v>0.2026956528360401</v>
      </c>
      <c r="W20" s="9">
        <f t="shared" si="11"/>
        <v>0.79730434716395993</v>
      </c>
      <c r="AB20" s="111" t="s">
        <v>405</v>
      </c>
      <c r="AC20" s="22"/>
      <c r="AD20" s="22"/>
      <c r="AE20" s="22"/>
      <c r="AF20" s="22"/>
      <c r="AG20" s="22"/>
      <c r="AH20" s="22"/>
      <c r="AI20" s="22"/>
      <c r="AJ20" s="22"/>
      <c r="AK20" s="22"/>
      <c r="AL20" s="22"/>
      <c r="AM20" s="22"/>
      <c r="AN20" s="22"/>
      <c r="AO20" s="22">
        <v>-3.2742485125918167E-2</v>
      </c>
      <c r="AP20" s="22"/>
      <c r="AQ20" s="22"/>
      <c r="AR20" s="22"/>
      <c r="AS20" s="22"/>
      <c r="AT20" s="22"/>
      <c r="AU20" s="22"/>
      <c r="AV20" s="22"/>
      <c r="AW20" s="22"/>
      <c r="AX20" s="22"/>
      <c r="AY20" s="22"/>
      <c r="AZ20" s="22"/>
      <c r="BA20" s="22"/>
      <c r="BB20" s="22">
        <v>2.8482649427844842E-2</v>
      </c>
      <c r="BC20" s="22">
        <v>-3.2742485125918167E-2</v>
      </c>
      <c r="BD20" s="22">
        <v>2.8482649427844842E-2</v>
      </c>
    </row>
    <row r="21" spans="1:56" x14ac:dyDescent="0.25">
      <c r="A21" t="s">
        <v>213</v>
      </c>
      <c r="B21">
        <v>13</v>
      </c>
      <c r="C21" t="s">
        <v>975</v>
      </c>
      <c r="D21" t="s">
        <v>475</v>
      </c>
      <c r="E21">
        <v>15</v>
      </c>
      <c r="F21">
        <v>3.25</v>
      </c>
      <c r="G21">
        <v>11.56</v>
      </c>
      <c r="H21" t="s">
        <v>114</v>
      </c>
      <c r="I21" t="s">
        <v>114</v>
      </c>
      <c r="J21" t="s">
        <v>49</v>
      </c>
      <c r="K21">
        <f t="shared" si="0"/>
        <v>88.16</v>
      </c>
      <c r="L21">
        <f t="shared" si="1"/>
        <v>330.99250000000001</v>
      </c>
      <c r="M21" t="str">
        <f t="shared" si="2"/>
        <v>aj-13</v>
      </c>
      <c r="N21" t="str">
        <f>INDEX(Scores!$A$2:$A$11,INDEX(Scores!$AA$2:$AA$131,MATCH(C21,Scores!$AB$2:$AB$131,0)))</f>
        <v>aj</v>
      </c>
      <c r="O21">
        <f t="shared" si="3"/>
        <v>116.54</v>
      </c>
      <c r="P21">
        <f t="shared" si="4"/>
        <v>371.12040000000002</v>
      </c>
      <c r="Q21" s="3">
        <f t="shared" si="5"/>
        <v>0.14207393469061222</v>
      </c>
      <c r="R21" s="3">
        <f t="shared" si="6"/>
        <v>0.26341913742085366</v>
      </c>
      <c r="S21" s="9">
        <f t="shared" si="7"/>
        <v>0.12134520273024144</v>
      </c>
      <c r="T21">
        <f t="shared" si="8"/>
        <v>117</v>
      </c>
      <c r="U21">
        <f t="shared" si="9"/>
        <v>108</v>
      </c>
      <c r="V21" s="3">
        <f t="shared" si="10"/>
        <v>0.20930832998570412</v>
      </c>
      <c r="W21" s="9">
        <f t="shared" si="11"/>
        <v>0.79069167001429586</v>
      </c>
      <c r="AB21" s="111" t="s">
        <v>127</v>
      </c>
      <c r="AC21" s="22"/>
      <c r="AD21" s="22">
        <v>-6.7128065196014997E-2</v>
      </c>
      <c r="AE21" s="22"/>
      <c r="AF21" s="22"/>
      <c r="AG21" s="22"/>
      <c r="AH21" s="22"/>
      <c r="AI21" s="22"/>
      <c r="AJ21" s="22"/>
      <c r="AK21" s="22"/>
      <c r="AL21" s="22"/>
      <c r="AM21" s="22"/>
      <c r="AN21" s="22"/>
      <c r="AO21" s="22"/>
      <c r="AP21" s="22"/>
      <c r="AQ21" s="22">
        <v>1.759433098066554E-2</v>
      </c>
      <c r="AR21" s="22"/>
      <c r="AS21" s="22"/>
      <c r="AT21" s="22"/>
      <c r="AU21" s="22"/>
      <c r="AV21" s="22"/>
      <c r="AW21" s="22"/>
      <c r="AX21" s="22"/>
      <c r="AY21" s="22"/>
      <c r="AZ21" s="22"/>
      <c r="BA21" s="22"/>
      <c r="BB21" s="22"/>
      <c r="BC21" s="22">
        <v>-6.7128065196014997E-2</v>
      </c>
      <c r="BD21" s="22">
        <v>1.759433098066554E-2</v>
      </c>
    </row>
    <row r="22" spans="1:56" x14ac:dyDescent="0.25">
      <c r="A22" t="s">
        <v>85</v>
      </c>
      <c r="B22">
        <v>3</v>
      </c>
      <c r="C22" t="s">
        <v>805</v>
      </c>
      <c r="D22" t="s">
        <v>468</v>
      </c>
      <c r="E22">
        <v>17</v>
      </c>
      <c r="F22">
        <v>9.4600000000000009</v>
      </c>
      <c r="G22">
        <v>29.16</v>
      </c>
      <c r="H22" t="s">
        <v>47</v>
      </c>
      <c r="I22" t="s">
        <v>47</v>
      </c>
      <c r="J22" t="s">
        <v>27</v>
      </c>
      <c r="K22">
        <f t="shared" si="0"/>
        <v>105.02</v>
      </c>
      <c r="L22">
        <f t="shared" si="1"/>
        <v>401.60159999999996</v>
      </c>
      <c r="M22" t="str">
        <f t="shared" si="2"/>
        <v>matty-3</v>
      </c>
      <c r="N22" t="str">
        <f>INDEX(Scores!$A$2:$A$11,INDEX(Scores!$AA$2:$AA$131,MATCH(C22,Scores!$AB$2:$AB$131,0)))</f>
        <v>matty</v>
      </c>
      <c r="O22">
        <f t="shared" si="3"/>
        <v>116.17999999999999</v>
      </c>
      <c r="P22">
        <f t="shared" si="4"/>
        <v>478.31470000000002</v>
      </c>
      <c r="Q22" s="3">
        <f t="shared" si="5"/>
        <v>0.35337614783800875</v>
      </c>
      <c r="R22" s="3">
        <f t="shared" si="6"/>
        <v>0.450614179861203</v>
      </c>
      <c r="S22" s="9">
        <f t="shared" si="7"/>
        <v>9.7238032023194254E-2</v>
      </c>
      <c r="T22">
        <f t="shared" si="8"/>
        <v>85</v>
      </c>
      <c r="U22">
        <f t="shared" si="9"/>
        <v>81</v>
      </c>
      <c r="V22" s="3">
        <f t="shared" si="10"/>
        <v>0.25605506491947627</v>
      </c>
      <c r="W22" s="9">
        <f t="shared" si="11"/>
        <v>0.74394493508052373</v>
      </c>
      <c r="AB22" s="111" t="s">
        <v>145</v>
      </c>
      <c r="AC22" s="22"/>
      <c r="AD22" s="22"/>
      <c r="AE22" s="22"/>
      <c r="AF22" s="22"/>
      <c r="AG22" s="22"/>
      <c r="AH22" s="22"/>
      <c r="AI22" s="22"/>
      <c r="AJ22" s="22"/>
      <c r="AK22" s="22"/>
      <c r="AL22" s="22"/>
      <c r="AM22" s="22"/>
      <c r="AN22" s="22"/>
      <c r="AO22" s="22">
        <v>-3.5541824745053713E-2</v>
      </c>
      <c r="AP22" s="22"/>
      <c r="AQ22" s="22"/>
      <c r="AR22" s="22"/>
      <c r="AS22" s="22"/>
      <c r="AT22" s="22"/>
      <c r="AU22" s="22"/>
      <c r="AV22" s="22"/>
      <c r="AW22" s="22"/>
      <c r="AX22" s="22"/>
      <c r="AY22" s="22"/>
      <c r="AZ22" s="22"/>
      <c r="BA22" s="22"/>
      <c r="BB22" s="22">
        <v>1.4333556044253015E-2</v>
      </c>
      <c r="BC22" s="22">
        <v>-3.5541824745053713E-2</v>
      </c>
      <c r="BD22" s="22">
        <v>1.4333556044253015E-2</v>
      </c>
    </row>
    <row r="23" spans="1:56" x14ac:dyDescent="0.25">
      <c r="A23" t="s">
        <v>53</v>
      </c>
      <c r="B23">
        <v>3</v>
      </c>
      <c r="C23" t="s">
        <v>806</v>
      </c>
      <c r="D23" t="s">
        <v>467</v>
      </c>
      <c r="E23">
        <v>32</v>
      </c>
      <c r="F23">
        <v>19.16</v>
      </c>
      <c r="G23">
        <v>71.740899999999996</v>
      </c>
      <c r="H23" t="s">
        <v>15</v>
      </c>
      <c r="I23" t="s">
        <v>15</v>
      </c>
      <c r="J23" t="s">
        <v>55</v>
      </c>
      <c r="K23">
        <f t="shared" si="0"/>
        <v>107.31</v>
      </c>
      <c r="L23">
        <f t="shared" si="1"/>
        <v>425.77620000000002</v>
      </c>
      <c r="M23" t="str">
        <f t="shared" si="2"/>
        <v>seth-3</v>
      </c>
      <c r="N23" t="str">
        <f>INDEX(Scores!$A$2:$A$11,INDEX(Scores!$AA$2:$AA$131,MATCH(C23,Scores!$AB$2:$AB$131,0)))</f>
        <v>seth</v>
      </c>
      <c r="O23">
        <f t="shared" si="3"/>
        <v>94.54</v>
      </c>
      <c r="P23">
        <f t="shared" si="4"/>
        <v>356.43470000000002</v>
      </c>
      <c r="Q23" s="3">
        <f t="shared" si="5"/>
        <v>0.6760180870914847</v>
      </c>
      <c r="R23" s="3">
        <f t="shared" si="6"/>
        <v>0.83167569560495513</v>
      </c>
      <c r="S23" s="9">
        <f t="shared" si="7"/>
        <v>0.15565760851347044</v>
      </c>
      <c r="T23">
        <f t="shared" si="8"/>
        <v>96</v>
      </c>
      <c r="U23">
        <f t="shared" si="9"/>
        <v>88</v>
      </c>
      <c r="V23" s="3">
        <f t="shared" si="10"/>
        <v>0.28385458309867628</v>
      </c>
      <c r="W23" s="9">
        <f t="shared" si="11"/>
        <v>0.71614541690132372</v>
      </c>
      <c r="AB23" s="111" t="s">
        <v>105</v>
      </c>
      <c r="AC23" s="22"/>
      <c r="AD23" s="22">
        <v>-9.036847778918139E-2</v>
      </c>
      <c r="AE23" s="22"/>
      <c r="AF23" s="22"/>
      <c r="AG23" s="22"/>
      <c r="AH23" s="22"/>
      <c r="AI23" s="22"/>
      <c r="AJ23" s="22"/>
      <c r="AK23" s="22"/>
      <c r="AL23" s="22">
        <v>-1.8112884793928863E-2</v>
      </c>
      <c r="AM23" s="22"/>
      <c r="AN23" s="22"/>
      <c r="AO23" s="22"/>
      <c r="AP23" s="22"/>
      <c r="AQ23" s="22">
        <v>7.5255420959815522E-3</v>
      </c>
      <c r="AR23" s="22"/>
      <c r="AS23" s="22"/>
      <c r="AT23" s="22"/>
      <c r="AU23" s="22"/>
      <c r="AV23" s="22"/>
      <c r="AW23" s="22"/>
      <c r="AX23" s="22"/>
      <c r="AY23" s="22">
        <v>6.1607289008136501E-4</v>
      </c>
      <c r="AZ23" s="22"/>
      <c r="BA23" s="22"/>
      <c r="BB23" s="22"/>
      <c r="BC23" s="22">
        <v>-0.10848136258311025</v>
      </c>
      <c r="BD23" s="22">
        <v>8.1416149860629172E-3</v>
      </c>
    </row>
    <row r="24" spans="1:56" x14ac:dyDescent="0.25">
      <c r="A24" t="s">
        <v>107</v>
      </c>
      <c r="B24">
        <v>5</v>
      </c>
      <c r="C24" t="s">
        <v>885</v>
      </c>
      <c r="D24" t="s">
        <v>471</v>
      </c>
      <c r="E24">
        <v>17</v>
      </c>
      <c r="F24">
        <v>9.3800000000000008</v>
      </c>
      <c r="G24">
        <v>21.715599999999998</v>
      </c>
      <c r="H24" t="s">
        <v>87</v>
      </c>
      <c r="I24" t="s">
        <v>87</v>
      </c>
      <c r="J24" t="s">
        <v>35</v>
      </c>
      <c r="K24">
        <f t="shared" si="0"/>
        <v>93.5</v>
      </c>
      <c r="L24">
        <f t="shared" si="1"/>
        <v>346.9006</v>
      </c>
      <c r="M24" t="str">
        <f t="shared" si="2"/>
        <v>cory-5</v>
      </c>
      <c r="N24" t="str">
        <f>INDEX(Scores!$A$2:$A$11,INDEX(Scores!$AA$2:$AA$131,MATCH(C24,Scores!$AB$2:$AB$131,0)))</f>
        <v>cory</v>
      </c>
      <c r="O24">
        <f t="shared" si="3"/>
        <v>109.91</v>
      </c>
      <c r="P24">
        <f t="shared" si="4"/>
        <v>349.51409999999998</v>
      </c>
      <c r="Q24" s="3">
        <f t="shared" si="5"/>
        <v>0.26702544199612877</v>
      </c>
      <c r="R24" s="3">
        <f t="shared" si="6"/>
        <v>0.36752987274363413</v>
      </c>
      <c r="S24" s="9">
        <f t="shared" si="7"/>
        <v>0.10050443074750537</v>
      </c>
      <c r="T24">
        <f t="shared" si="8"/>
        <v>105</v>
      </c>
      <c r="U24">
        <f t="shared" si="9"/>
        <v>100</v>
      </c>
      <c r="V24" s="3">
        <f t="shared" si="10"/>
        <v>0.28697906267603029</v>
      </c>
      <c r="W24" s="9">
        <f t="shared" si="11"/>
        <v>0.71302093732396976</v>
      </c>
      <c r="AB24" s="111" t="s">
        <v>118</v>
      </c>
      <c r="AC24" s="22"/>
      <c r="AD24" s="22"/>
      <c r="AE24" s="22"/>
      <c r="AF24" s="22"/>
      <c r="AG24" s="22"/>
      <c r="AH24" s="22"/>
      <c r="AI24" s="22">
        <v>0.17244062790753645</v>
      </c>
      <c r="AJ24" s="22"/>
      <c r="AK24" s="22"/>
      <c r="AL24" s="22"/>
      <c r="AM24" s="22"/>
      <c r="AN24" s="22"/>
      <c r="AO24" s="22"/>
      <c r="AP24" s="22"/>
      <c r="AQ24" s="22"/>
      <c r="AR24" s="22"/>
      <c r="AS24" s="22"/>
      <c r="AT24" s="22"/>
      <c r="AU24" s="22"/>
      <c r="AV24" s="22">
        <v>7.5556006080841343E-3</v>
      </c>
      <c r="AW24" s="22"/>
      <c r="AX24" s="22"/>
      <c r="AY24" s="22"/>
      <c r="AZ24" s="22"/>
      <c r="BA24" s="22"/>
      <c r="BB24" s="22"/>
      <c r="BC24" s="22">
        <v>0.17244062790753645</v>
      </c>
      <c r="BD24" s="22">
        <v>7.5556006080841343E-3</v>
      </c>
    </row>
    <row r="25" spans="1:56" x14ac:dyDescent="0.25">
      <c r="A25" t="s">
        <v>446</v>
      </c>
      <c r="B25">
        <v>11</v>
      </c>
      <c r="C25" t="s">
        <v>941</v>
      </c>
      <c r="D25" t="s">
        <v>478</v>
      </c>
      <c r="E25">
        <v>20</v>
      </c>
      <c r="F25">
        <v>8.5399999999999991</v>
      </c>
      <c r="G25">
        <v>20.1601</v>
      </c>
      <c r="H25" t="s">
        <v>478</v>
      </c>
      <c r="I25" t="s">
        <v>478</v>
      </c>
      <c r="J25" t="s">
        <v>27</v>
      </c>
      <c r="K25">
        <f t="shared" si="0"/>
        <v>98.580000000000013</v>
      </c>
      <c r="L25">
        <f t="shared" si="1"/>
        <v>364.4375</v>
      </c>
      <c r="M25" t="str">
        <f t="shared" si="2"/>
        <v>matty-11</v>
      </c>
      <c r="N25" t="str">
        <f>INDEX(Scores!$A$2:$A$11,INDEX(Scores!$AA$2:$AA$131,MATCH(C25,Scores!$AB$2:$AB$131,0)))</f>
        <v>matty</v>
      </c>
      <c r="O25">
        <f t="shared" si="3"/>
        <v>88.670000000000016</v>
      </c>
      <c r="P25">
        <f t="shared" si="4"/>
        <v>334.39179999999999</v>
      </c>
      <c r="Q25" s="3">
        <f t="shared" si="5"/>
        <v>0.64612380466415886</v>
      </c>
      <c r="R25" s="3">
        <f t="shared" si="6"/>
        <v>0.79397892191072561</v>
      </c>
      <c r="S25" s="9">
        <f t="shared" si="7"/>
        <v>0.14785511724656675</v>
      </c>
      <c r="T25">
        <f t="shared" si="8"/>
        <v>111</v>
      </c>
      <c r="U25">
        <f t="shared" si="9"/>
        <v>102</v>
      </c>
      <c r="V25" s="3">
        <f t="shared" si="10"/>
        <v>0.29188571364100879</v>
      </c>
      <c r="W25" s="9">
        <f t="shared" si="11"/>
        <v>0.70811428635899121</v>
      </c>
      <c r="AB25" s="111" t="s">
        <v>115</v>
      </c>
      <c r="AC25" s="22">
        <v>0.27688937427642368</v>
      </c>
      <c r="AD25" s="22"/>
      <c r="AE25" s="22"/>
      <c r="AF25" s="22"/>
      <c r="AG25" s="22"/>
      <c r="AH25" s="22"/>
      <c r="AI25" s="22"/>
      <c r="AJ25" s="22"/>
      <c r="AK25" s="22"/>
      <c r="AL25" s="22"/>
      <c r="AM25" s="22"/>
      <c r="AN25" s="22"/>
      <c r="AO25" s="22"/>
      <c r="AP25" s="22">
        <v>6.4373963901228626E-3</v>
      </c>
      <c r="AQ25" s="22"/>
      <c r="AR25" s="22"/>
      <c r="AS25" s="22"/>
      <c r="AT25" s="22"/>
      <c r="AU25" s="22"/>
      <c r="AV25" s="22"/>
      <c r="AW25" s="22"/>
      <c r="AX25" s="22"/>
      <c r="AY25" s="22"/>
      <c r="AZ25" s="22"/>
      <c r="BA25" s="22"/>
      <c r="BB25" s="22"/>
      <c r="BC25" s="22">
        <v>0.27688937427642368</v>
      </c>
      <c r="BD25" s="22">
        <v>6.4373963901228626E-3</v>
      </c>
    </row>
    <row r="26" spans="1:56" x14ac:dyDescent="0.25">
      <c r="A26" t="s">
        <v>446</v>
      </c>
      <c r="B26">
        <v>5</v>
      </c>
      <c r="C26" t="s">
        <v>888</v>
      </c>
      <c r="D26" t="s">
        <v>478</v>
      </c>
      <c r="E26">
        <v>15</v>
      </c>
      <c r="F26">
        <v>8.9600000000000009</v>
      </c>
      <c r="G26">
        <v>14.5161</v>
      </c>
      <c r="H26" t="s">
        <v>478</v>
      </c>
      <c r="I26" t="s">
        <v>478</v>
      </c>
      <c r="J26" t="s">
        <v>55</v>
      </c>
      <c r="K26">
        <f t="shared" si="0"/>
        <v>117.25999999999999</v>
      </c>
      <c r="L26">
        <f t="shared" si="1"/>
        <v>422.9941</v>
      </c>
      <c r="M26" t="str">
        <f t="shared" si="2"/>
        <v>matty-5</v>
      </c>
      <c r="N26" t="str">
        <f>INDEX(Scores!$A$2:$A$11,INDEX(Scores!$AA$2:$AA$131,MATCH(C26,Scores!$AB$2:$AB$131,0)))</f>
        <v>matty</v>
      </c>
      <c r="O26">
        <f t="shared" si="3"/>
        <v>99.23</v>
      </c>
      <c r="P26">
        <f t="shared" si="4"/>
        <v>364.64739999999995</v>
      </c>
      <c r="Q26" s="3">
        <f t="shared" si="5"/>
        <v>0.73970568419743477</v>
      </c>
      <c r="R26" s="3">
        <f t="shared" si="6"/>
        <v>0.80666373974506889</v>
      </c>
      <c r="S26" s="9">
        <f t="shared" si="7"/>
        <v>6.6958055547634121E-2</v>
      </c>
      <c r="T26">
        <f t="shared" si="8"/>
        <v>110</v>
      </c>
      <c r="U26">
        <f t="shared" si="9"/>
        <v>106</v>
      </c>
      <c r="V26" s="3">
        <f t="shared" si="10"/>
        <v>0.29617521349528408</v>
      </c>
      <c r="W26" s="9">
        <f t="shared" si="11"/>
        <v>0.70382478650471592</v>
      </c>
      <c r="AB26" s="111" t="s">
        <v>61</v>
      </c>
      <c r="AC26" s="22"/>
      <c r="AD26" s="22">
        <v>-8.7745417717619234E-2</v>
      </c>
      <c r="AE26" s="22"/>
      <c r="AF26" s="22"/>
      <c r="AG26" s="22"/>
      <c r="AH26" s="22"/>
      <c r="AI26" s="22"/>
      <c r="AJ26" s="22"/>
      <c r="AK26" s="22"/>
      <c r="AL26" s="22"/>
      <c r="AM26" s="22"/>
      <c r="AN26" s="22"/>
      <c r="AO26" s="22"/>
      <c r="AP26" s="22"/>
      <c r="AQ26" s="22">
        <v>5.0713176938904647E-3</v>
      </c>
      <c r="AR26" s="22"/>
      <c r="AS26" s="22"/>
      <c r="AT26" s="22"/>
      <c r="AU26" s="22"/>
      <c r="AV26" s="22"/>
      <c r="AW26" s="22"/>
      <c r="AX26" s="22"/>
      <c r="AY26" s="22"/>
      <c r="AZ26" s="22"/>
      <c r="BA26" s="22"/>
      <c r="BB26" s="22"/>
      <c r="BC26" s="22">
        <v>-8.7745417717619234E-2</v>
      </c>
      <c r="BD26" s="22">
        <v>5.0713176938904647E-3</v>
      </c>
    </row>
    <row r="27" spans="1:56" x14ac:dyDescent="0.25">
      <c r="A27" t="s">
        <v>145</v>
      </c>
      <c r="B27">
        <v>10</v>
      </c>
      <c r="C27" t="s">
        <v>972</v>
      </c>
      <c r="D27" t="s">
        <v>468</v>
      </c>
      <c r="E27">
        <v>14</v>
      </c>
      <c r="F27">
        <v>7.19</v>
      </c>
      <c r="G27">
        <v>28.944400000000002</v>
      </c>
      <c r="H27" t="s">
        <v>47</v>
      </c>
      <c r="I27" t="s">
        <v>47</v>
      </c>
      <c r="J27" t="s">
        <v>49</v>
      </c>
      <c r="K27">
        <f t="shared" si="0"/>
        <v>80.72</v>
      </c>
      <c r="L27">
        <f t="shared" si="1"/>
        <v>274.11410000000001</v>
      </c>
      <c r="M27" t="str">
        <f t="shared" si="2"/>
        <v>seth-10</v>
      </c>
      <c r="N27" t="str">
        <f>INDEX(Scores!$A$2:$A$11,INDEX(Scores!$AA$2:$AA$131,MATCH(C27,Scores!$AB$2:$AB$131,0)))</f>
        <v>seth</v>
      </c>
      <c r="O27">
        <f t="shared" si="3"/>
        <v>104.52999999999999</v>
      </c>
      <c r="P27">
        <f t="shared" si="4"/>
        <v>446.11959999999999</v>
      </c>
      <c r="Q27" s="3">
        <f t="shared" si="5"/>
        <v>0.18748498770897654</v>
      </c>
      <c r="R27" s="3">
        <f t="shared" si="6"/>
        <v>0.2589534751795734</v>
      </c>
      <c r="S27" s="9">
        <f t="shared" si="7"/>
        <v>7.1468487470596864E-2</v>
      </c>
      <c r="T27">
        <f t="shared" si="8"/>
        <v>84</v>
      </c>
      <c r="U27">
        <f t="shared" si="9"/>
        <v>80</v>
      </c>
      <c r="V27" s="3">
        <f t="shared" si="10"/>
        <v>0.30072905245431197</v>
      </c>
      <c r="W27" s="9">
        <f t="shared" si="11"/>
        <v>0.69927094754568797</v>
      </c>
      <c r="AB27" s="111" t="s">
        <v>95</v>
      </c>
      <c r="AC27" s="22"/>
      <c r="AD27" s="22"/>
      <c r="AE27" s="22"/>
      <c r="AF27" s="22"/>
      <c r="AG27" s="22"/>
      <c r="AH27" s="22"/>
      <c r="AI27" s="22">
        <v>6.7863002337308909E-2</v>
      </c>
      <c r="AJ27" s="22"/>
      <c r="AK27" s="22"/>
      <c r="AL27" s="22"/>
      <c r="AM27" s="22"/>
      <c r="AN27" s="22"/>
      <c r="AO27" s="22"/>
      <c r="AP27" s="22"/>
      <c r="AQ27" s="22"/>
      <c r="AR27" s="22"/>
      <c r="AS27" s="22"/>
      <c r="AT27" s="22"/>
      <c r="AU27" s="22"/>
      <c r="AV27" s="22">
        <v>4.1884539520876674E-3</v>
      </c>
      <c r="AW27" s="22"/>
      <c r="AX27" s="22"/>
      <c r="AY27" s="22"/>
      <c r="AZ27" s="22"/>
      <c r="BA27" s="22"/>
      <c r="BB27" s="22"/>
      <c r="BC27" s="22">
        <v>6.7863002337308909E-2</v>
      </c>
      <c r="BD27" s="22">
        <v>4.1884539520876674E-3</v>
      </c>
    </row>
    <row r="28" spans="1:56" x14ac:dyDescent="0.25">
      <c r="A28" t="s">
        <v>413</v>
      </c>
      <c r="B28">
        <v>12</v>
      </c>
      <c r="C28" t="s">
        <v>982</v>
      </c>
      <c r="D28" t="s">
        <v>477</v>
      </c>
      <c r="E28">
        <v>16</v>
      </c>
      <c r="F28">
        <v>9.81</v>
      </c>
      <c r="G28">
        <v>37.699599999999997</v>
      </c>
      <c r="H28" t="s">
        <v>477</v>
      </c>
      <c r="I28" t="s">
        <v>477</v>
      </c>
      <c r="J28" t="s">
        <v>44</v>
      </c>
      <c r="K28">
        <f t="shared" si="0"/>
        <v>102.15</v>
      </c>
      <c r="L28">
        <f t="shared" si="1"/>
        <v>468.55759999999998</v>
      </c>
      <c r="M28" t="str">
        <f t="shared" si="2"/>
        <v>chad-12</v>
      </c>
      <c r="N28" t="str">
        <f>INDEX(Scores!$A$2:$A$11,INDEX(Scores!$AA$2:$AA$131,MATCH(C28,Scores!$AB$2:$AB$131,0)))</f>
        <v>chad</v>
      </c>
      <c r="O28">
        <f t="shared" si="3"/>
        <v>115.8</v>
      </c>
      <c r="P28">
        <f t="shared" si="4"/>
        <v>455.64659999999998</v>
      </c>
      <c r="Q28" s="3">
        <f t="shared" si="5"/>
        <v>0.3267149551815689</v>
      </c>
      <c r="R28" s="3">
        <f t="shared" si="6"/>
        <v>0.40108014633423494</v>
      </c>
      <c r="S28" s="9">
        <f t="shared" si="7"/>
        <v>7.4365191152666044E-2</v>
      </c>
      <c r="T28">
        <f t="shared" si="8"/>
        <v>95</v>
      </c>
      <c r="U28">
        <f t="shared" si="9"/>
        <v>92</v>
      </c>
      <c r="V28" s="3">
        <f t="shared" si="10"/>
        <v>0.30169072805283237</v>
      </c>
      <c r="W28" s="9">
        <f t="shared" si="11"/>
        <v>0.69830927194716763</v>
      </c>
      <c r="AB28" s="111" t="s">
        <v>130</v>
      </c>
      <c r="AC28" s="22"/>
      <c r="AD28" s="22"/>
      <c r="AE28" s="22"/>
      <c r="AF28" s="22"/>
      <c r="AG28" s="22"/>
      <c r="AH28" s="22"/>
      <c r="AI28" s="22"/>
      <c r="AJ28" s="22"/>
      <c r="AK28" s="22">
        <v>1.3896750599066199E-2</v>
      </c>
      <c r="AL28" s="22"/>
      <c r="AM28" s="22"/>
      <c r="AN28" s="22"/>
      <c r="AO28" s="22"/>
      <c r="AP28" s="22"/>
      <c r="AQ28" s="22"/>
      <c r="AR28" s="22"/>
      <c r="AS28" s="22"/>
      <c r="AT28" s="22"/>
      <c r="AU28" s="22"/>
      <c r="AV28" s="22"/>
      <c r="AW28" s="22"/>
      <c r="AX28" s="22">
        <v>4.166936754930628E-3</v>
      </c>
      <c r="AY28" s="22"/>
      <c r="AZ28" s="22"/>
      <c r="BA28" s="22"/>
      <c r="BB28" s="22"/>
      <c r="BC28" s="22">
        <v>1.3896750599066199E-2</v>
      </c>
      <c r="BD28" s="22">
        <v>4.166936754930628E-3</v>
      </c>
    </row>
    <row r="29" spans="1:56" x14ac:dyDescent="0.25">
      <c r="A29" t="s">
        <v>427</v>
      </c>
      <c r="B29">
        <v>7</v>
      </c>
      <c r="C29" t="s">
        <v>953</v>
      </c>
      <c r="D29" t="s">
        <v>477</v>
      </c>
      <c r="E29">
        <v>13</v>
      </c>
      <c r="F29">
        <v>8</v>
      </c>
      <c r="G29">
        <v>37.822499999999998</v>
      </c>
      <c r="H29" t="s">
        <v>477</v>
      </c>
      <c r="I29" t="s">
        <v>477</v>
      </c>
      <c r="J29" t="s">
        <v>40</v>
      </c>
      <c r="K29">
        <f t="shared" si="0"/>
        <v>91.929999999999993</v>
      </c>
      <c r="L29">
        <f t="shared" si="1"/>
        <v>386.72199999999998</v>
      </c>
      <c r="M29" t="e">
        <f t="shared" si="2"/>
        <v>#N/A</v>
      </c>
      <c r="N29" t="e">
        <f>INDEX(Scores!$A$2:$A$11,INDEX(Scores!$AA$2:$AA$131,MATCH(C29,Scores!$AB$2:$AB$131,0)))</f>
        <v>#N/A</v>
      </c>
      <c r="O29">
        <f t="shared" si="3"/>
        <v>0</v>
      </c>
      <c r="P29">
        <f t="shared" si="4"/>
        <v>0</v>
      </c>
      <c r="Q29" s="3">
        <f t="shared" si="5"/>
        <v>0.99999852839643777</v>
      </c>
      <c r="R29" s="3">
        <f t="shared" si="6"/>
        <v>0.99999989445195081</v>
      </c>
      <c r="S29" s="9">
        <f t="shared" si="7"/>
        <v>1.3660555130412533E-6</v>
      </c>
      <c r="T29">
        <f t="shared" si="8"/>
        <v>75</v>
      </c>
      <c r="U29">
        <f t="shared" si="9"/>
        <v>0</v>
      </c>
      <c r="V29" s="3">
        <f t="shared" si="10"/>
        <v>1</v>
      </c>
      <c r="W29" s="9">
        <f t="shared" si="11"/>
        <v>0</v>
      </c>
      <c r="AB29" s="111" t="s">
        <v>462</v>
      </c>
      <c r="AC29" s="22"/>
      <c r="AD29" s="22">
        <v>-1.7658645798038441E-2</v>
      </c>
      <c r="AE29" s="22"/>
      <c r="AF29" s="22"/>
      <c r="AG29" s="22"/>
      <c r="AH29" s="22"/>
      <c r="AI29" s="22"/>
      <c r="AJ29" s="22"/>
      <c r="AK29" s="22"/>
      <c r="AL29" s="22"/>
      <c r="AM29" s="22">
        <v>0.13470857938251307</v>
      </c>
      <c r="AN29" s="22"/>
      <c r="AO29" s="22"/>
      <c r="AP29" s="22"/>
      <c r="AQ29" s="22">
        <v>3.5003757550416958E-3</v>
      </c>
      <c r="AR29" s="22"/>
      <c r="AS29" s="22"/>
      <c r="AT29" s="22"/>
      <c r="AU29" s="22"/>
      <c r="AV29" s="22"/>
      <c r="AW29" s="22"/>
      <c r="AX29" s="22"/>
      <c r="AY29" s="22"/>
      <c r="AZ29" s="22">
        <v>-1.441985166866834E-16</v>
      </c>
      <c r="BA29" s="22"/>
      <c r="BB29" s="22"/>
      <c r="BC29" s="22">
        <v>0.11704993358447463</v>
      </c>
      <c r="BD29" s="22">
        <v>3.5003757550415519E-3</v>
      </c>
    </row>
    <row r="30" spans="1:56" x14ac:dyDescent="0.25">
      <c r="A30" t="s">
        <v>126</v>
      </c>
      <c r="B30">
        <v>9</v>
      </c>
      <c r="C30" t="s">
        <v>915</v>
      </c>
      <c r="D30" t="s">
        <v>472</v>
      </c>
      <c r="E30">
        <v>20</v>
      </c>
      <c r="F30">
        <v>9.56</v>
      </c>
      <c r="G30">
        <v>46.104100000000003</v>
      </c>
      <c r="H30" t="s">
        <v>87</v>
      </c>
      <c r="I30" t="s">
        <v>87</v>
      </c>
      <c r="J30" t="s">
        <v>16</v>
      </c>
      <c r="K30">
        <f t="shared" si="0"/>
        <v>90.69</v>
      </c>
      <c r="L30">
        <f t="shared" si="1"/>
        <v>356.05790000000002</v>
      </c>
      <c r="M30" t="str">
        <f t="shared" si="2"/>
        <v>devon-9</v>
      </c>
      <c r="N30" t="str">
        <f>INDEX(Scores!$A$2:$A$11,INDEX(Scores!$AA$2:$AA$131,MATCH(C30,Scores!$AB$2:$AB$131,0)))</f>
        <v>devon</v>
      </c>
      <c r="O30">
        <f t="shared" si="3"/>
        <v>104.66</v>
      </c>
      <c r="P30">
        <f t="shared" si="4"/>
        <v>474.51049999999998</v>
      </c>
      <c r="Q30" s="3">
        <f t="shared" si="5"/>
        <v>0.31393045538359282</v>
      </c>
      <c r="R30" s="3">
        <f t="shared" si="6"/>
        <v>0.44985246033633486</v>
      </c>
      <c r="S30" s="9">
        <f t="shared" si="7"/>
        <v>0.13592200495274204</v>
      </c>
      <c r="T30">
        <f t="shared" si="8"/>
        <v>89</v>
      </c>
      <c r="U30">
        <f t="shared" si="9"/>
        <v>81</v>
      </c>
      <c r="V30" s="3">
        <f t="shared" si="10"/>
        <v>0.35966589350716294</v>
      </c>
      <c r="W30" s="9">
        <f t="shared" si="11"/>
        <v>0.64033410649283706</v>
      </c>
      <c r="AB30" s="111" t="s">
        <v>117</v>
      </c>
      <c r="AC30" s="22"/>
      <c r="AD30" s="22"/>
      <c r="AE30" s="22"/>
      <c r="AF30" s="22"/>
      <c r="AG30" s="22"/>
      <c r="AH30" s="22"/>
      <c r="AI30" s="22"/>
      <c r="AJ30" s="22"/>
      <c r="AK30" s="22"/>
      <c r="AL30" s="22">
        <v>9.6563612495371542E-2</v>
      </c>
      <c r="AM30" s="22"/>
      <c r="AN30" s="22"/>
      <c r="AO30" s="22"/>
      <c r="AP30" s="22"/>
      <c r="AQ30" s="22"/>
      <c r="AR30" s="22"/>
      <c r="AS30" s="22"/>
      <c r="AT30" s="22"/>
      <c r="AU30" s="22"/>
      <c r="AV30" s="22"/>
      <c r="AW30" s="22"/>
      <c r="AX30" s="22"/>
      <c r="AY30" s="22">
        <v>3.0372002662886199E-3</v>
      </c>
      <c r="AZ30" s="22"/>
      <c r="BA30" s="22"/>
      <c r="BB30" s="22"/>
      <c r="BC30" s="22">
        <v>9.6563612495371542E-2</v>
      </c>
      <c r="BD30" s="22">
        <v>3.0372002662886199E-3</v>
      </c>
    </row>
    <row r="31" spans="1:56" x14ac:dyDescent="0.25">
      <c r="A31" t="s">
        <v>177</v>
      </c>
      <c r="B31">
        <v>7</v>
      </c>
      <c r="C31" t="s">
        <v>913</v>
      </c>
      <c r="D31" t="s">
        <v>475</v>
      </c>
      <c r="E31">
        <v>14</v>
      </c>
      <c r="F31">
        <v>8.1999999999999993</v>
      </c>
      <c r="G31">
        <v>26.8324</v>
      </c>
      <c r="H31" t="s">
        <v>114</v>
      </c>
      <c r="I31" t="s">
        <v>114</v>
      </c>
      <c r="J31" t="s">
        <v>16</v>
      </c>
      <c r="K31">
        <f t="shared" si="0"/>
        <v>86.09</v>
      </c>
      <c r="L31">
        <f t="shared" si="1"/>
        <v>350.80079999999998</v>
      </c>
      <c r="M31" t="str">
        <f t="shared" si="2"/>
        <v>seth-7</v>
      </c>
      <c r="N31" t="str">
        <f>INDEX(Scores!$A$2:$A$11,INDEX(Scores!$AA$2:$AA$131,MATCH(C31,Scores!$AB$2:$AB$131,0)))</f>
        <v>seth</v>
      </c>
      <c r="O31">
        <f t="shared" si="3"/>
        <v>96.25</v>
      </c>
      <c r="P31">
        <f t="shared" si="4"/>
        <v>294.3</v>
      </c>
      <c r="Q31" s="3">
        <f t="shared" si="5"/>
        <v>0.34457149944219723</v>
      </c>
      <c r="R31" s="3">
        <f t="shared" si="6"/>
        <v>0.43040355116767842</v>
      </c>
      <c r="S31" s="9">
        <f t="shared" si="7"/>
        <v>8.5832051725481195E-2</v>
      </c>
      <c r="T31">
        <f t="shared" si="8"/>
        <v>85</v>
      </c>
      <c r="U31">
        <f t="shared" si="9"/>
        <v>81</v>
      </c>
      <c r="V31" s="3">
        <f t="shared" si="10"/>
        <v>0.36411148442917385</v>
      </c>
      <c r="W31" s="9">
        <f t="shared" si="11"/>
        <v>0.63588851557082615</v>
      </c>
      <c r="AB31" s="111" t="s">
        <v>280</v>
      </c>
      <c r="AC31" s="22"/>
      <c r="AD31" s="22"/>
      <c r="AE31" s="22"/>
      <c r="AF31" s="22"/>
      <c r="AG31" s="22"/>
      <c r="AH31" s="22"/>
      <c r="AI31" s="22"/>
      <c r="AJ31" s="22"/>
      <c r="AK31" s="22">
        <v>4.5172084184450401E-2</v>
      </c>
      <c r="AL31" s="22"/>
      <c r="AM31" s="22"/>
      <c r="AN31" s="22"/>
      <c r="AO31" s="22"/>
      <c r="AP31" s="22"/>
      <c r="AQ31" s="22"/>
      <c r="AR31" s="22"/>
      <c r="AS31" s="22"/>
      <c r="AT31" s="22"/>
      <c r="AU31" s="22"/>
      <c r="AV31" s="22"/>
      <c r="AW31" s="22"/>
      <c r="AX31" s="22">
        <v>2.4014492566734047E-3</v>
      </c>
      <c r="AY31" s="22"/>
      <c r="AZ31" s="22"/>
      <c r="BA31" s="22"/>
      <c r="BB31" s="22"/>
      <c r="BC31" s="22">
        <v>4.5172084184450401E-2</v>
      </c>
      <c r="BD31" s="22">
        <v>2.4014492566734047E-3</v>
      </c>
    </row>
    <row r="32" spans="1:56" x14ac:dyDescent="0.25">
      <c r="A32" t="s">
        <v>281</v>
      </c>
      <c r="B32">
        <v>5</v>
      </c>
      <c r="C32" t="s">
        <v>889</v>
      </c>
      <c r="D32" t="s">
        <v>466</v>
      </c>
      <c r="E32">
        <v>18</v>
      </c>
      <c r="F32">
        <v>9.08</v>
      </c>
      <c r="G32">
        <v>74.822500000000005</v>
      </c>
      <c r="H32" t="s">
        <v>466</v>
      </c>
      <c r="I32" t="s">
        <v>47</v>
      </c>
      <c r="J32" t="s">
        <v>23</v>
      </c>
      <c r="K32">
        <f t="shared" si="0"/>
        <v>97.27</v>
      </c>
      <c r="L32">
        <f t="shared" si="1"/>
        <v>430.39269999999999</v>
      </c>
      <c r="M32" t="str">
        <f t="shared" si="2"/>
        <v>seth-5</v>
      </c>
      <c r="N32" t="str">
        <f>INDEX(Scores!$A$2:$A$11,INDEX(Scores!$AA$2:$AA$131,MATCH(C32,Scores!$AB$2:$AB$131,0)))</f>
        <v>seth</v>
      </c>
      <c r="O32">
        <f t="shared" si="3"/>
        <v>98.72999999999999</v>
      </c>
      <c r="P32">
        <f t="shared" si="4"/>
        <v>396.28840000000002</v>
      </c>
      <c r="Q32" s="3">
        <f t="shared" si="5"/>
        <v>0.47975082605670671</v>
      </c>
      <c r="R32" s="3">
        <f t="shared" si="6"/>
        <v>0.60721351394403866</v>
      </c>
      <c r="S32" s="9">
        <f t="shared" si="7"/>
        <v>0.12746268788733195</v>
      </c>
      <c r="T32">
        <f t="shared" si="8"/>
        <v>96</v>
      </c>
      <c r="U32">
        <f t="shared" si="9"/>
        <v>90</v>
      </c>
      <c r="V32" s="3">
        <f t="shared" si="10"/>
        <v>0.36784277691096123</v>
      </c>
      <c r="W32" s="9">
        <f t="shared" si="11"/>
        <v>0.63215722308903877</v>
      </c>
      <c r="AB32" s="111" t="s">
        <v>464</v>
      </c>
      <c r="AC32" s="22"/>
      <c r="AD32" s="22"/>
      <c r="AE32" s="22"/>
      <c r="AF32" s="22"/>
      <c r="AG32" s="22"/>
      <c r="AH32" s="22"/>
      <c r="AI32" s="22"/>
      <c r="AJ32" s="22"/>
      <c r="AK32" s="22"/>
      <c r="AL32" s="22">
        <v>0.12595686639795906</v>
      </c>
      <c r="AM32" s="22"/>
      <c r="AN32" s="22"/>
      <c r="AO32" s="22"/>
      <c r="AP32" s="22"/>
      <c r="AQ32" s="22"/>
      <c r="AR32" s="22"/>
      <c r="AS32" s="22"/>
      <c r="AT32" s="22"/>
      <c r="AU32" s="22"/>
      <c r="AV32" s="22"/>
      <c r="AW32" s="22"/>
      <c r="AX32" s="22"/>
      <c r="AY32" s="22">
        <v>1.7836858293767133E-3</v>
      </c>
      <c r="AZ32" s="22"/>
      <c r="BA32" s="22"/>
      <c r="BB32" s="22"/>
      <c r="BC32" s="22">
        <v>0.12595686639795906</v>
      </c>
      <c r="BD32" s="22">
        <v>1.7836858293767133E-3</v>
      </c>
    </row>
    <row r="33" spans="1:56" x14ac:dyDescent="0.25">
      <c r="A33" t="s">
        <v>95</v>
      </c>
      <c r="B33">
        <v>5</v>
      </c>
      <c r="C33" t="s">
        <v>885</v>
      </c>
      <c r="D33" t="s">
        <v>467</v>
      </c>
      <c r="E33">
        <v>25</v>
      </c>
      <c r="F33">
        <v>17</v>
      </c>
      <c r="G33">
        <v>79.923599999999993</v>
      </c>
      <c r="H33" t="s">
        <v>15</v>
      </c>
      <c r="I33" t="s">
        <v>15</v>
      </c>
      <c r="J33" t="s">
        <v>35</v>
      </c>
      <c r="K33">
        <f t="shared" si="0"/>
        <v>93.5</v>
      </c>
      <c r="L33">
        <f t="shared" si="1"/>
        <v>346.9006</v>
      </c>
      <c r="M33" t="str">
        <f t="shared" si="2"/>
        <v>cory-5</v>
      </c>
      <c r="N33" t="str">
        <f>INDEX(Scores!$A$2:$A$11,INDEX(Scores!$AA$2:$AA$131,MATCH(C33,Scores!$AB$2:$AB$131,0)))</f>
        <v>cory</v>
      </c>
      <c r="O33">
        <f t="shared" si="3"/>
        <v>109.91</v>
      </c>
      <c r="P33">
        <f t="shared" si="4"/>
        <v>349.51409999999998</v>
      </c>
      <c r="Q33" s="3">
        <f t="shared" si="5"/>
        <v>0.26702544199612877</v>
      </c>
      <c r="R33" s="3">
        <f t="shared" si="6"/>
        <v>0.36741276027731462</v>
      </c>
      <c r="S33" s="9">
        <f t="shared" si="7"/>
        <v>0.10038731828118586</v>
      </c>
      <c r="T33">
        <f t="shared" si="8"/>
        <v>105</v>
      </c>
      <c r="U33">
        <f t="shared" si="9"/>
        <v>100</v>
      </c>
      <c r="V33" s="3">
        <f t="shared" si="10"/>
        <v>0.36859739781392842</v>
      </c>
      <c r="W33" s="9">
        <f t="shared" si="11"/>
        <v>0.63140260218607158</v>
      </c>
      <c r="AB33" s="111" t="s">
        <v>203</v>
      </c>
      <c r="AC33" s="22"/>
      <c r="AD33" s="22"/>
      <c r="AE33" s="22"/>
      <c r="AF33" s="22"/>
      <c r="AG33" s="22"/>
      <c r="AH33" s="22"/>
      <c r="AI33" s="22"/>
      <c r="AJ33" s="22"/>
      <c r="AK33" s="22">
        <v>2.9464899884431905E-2</v>
      </c>
      <c r="AL33" s="22"/>
      <c r="AM33" s="22"/>
      <c r="AN33" s="22"/>
      <c r="AO33" s="22"/>
      <c r="AP33" s="22"/>
      <c r="AQ33" s="22"/>
      <c r="AR33" s="22"/>
      <c r="AS33" s="22"/>
      <c r="AT33" s="22"/>
      <c r="AU33" s="22"/>
      <c r="AV33" s="22"/>
      <c r="AW33" s="22"/>
      <c r="AX33" s="22">
        <v>7.6027755200225311E-4</v>
      </c>
      <c r="AY33" s="22"/>
      <c r="AZ33" s="22"/>
      <c r="BA33" s="22"/>
      <c r="BB33" s="22"/>
      <c r="BC33" s="22">
        <v>2.9464899884431905E-2</v>
      </c>
      <c r="BD33" s="22">
        <v>7.6027755200225311E-4</v>
      </c>
    </row>
    <row r="34" spans="1:56" x14ac:dyDescent="0.25">
      <c r="A34" t="s">
        <v>145</v>
      </c>
      <c r="B34">
        <v>8</v>
      </c>
      <c r="C34" t="s">
        <v>970</v>
      </c>
      <c r="D34" t="s">
        <v>468</v>
      </c>
      <c r="E34">
        <v>10</v>
      </c>
      <c r="F34">
        <v>7.56</v>
      </c>
      <c r="G34">
        <v>29.811599999999999</v>
      </c>
      <c r="H34" t="s">
        <v>47</v>
      </c>
      <c r="I34" t="s">
        <v>47</v>
      </c>
      <c r="J34" t="s">
        <v>49</v>
      </c>
      <c r="K34">
        <f t="shared" si="0"/>
        <v>88.500000000000014</v>
      </c>
      <c r="L34">
        <f t="shared" si="1"/>
        <v>351.30459999999999</v>
      </c>
      <c r="M34" t="str">
        <f t="shared" si="2"/>
        <v>cory-8</v>
      </c>
      <c r="N34" t="str">
        <f>INDEX(Scores!$A$2:$A$11,INDEX(Scores!$AA$2:$AA$131,MATCH(C34,Scores!$AB$2:$AB$131,0)))</f>
        <v>cory</v>
      </c>
      <c r="O34">
        <f t="shared" si="3"/>
        <v>106.3</v>
      </c>
      <c r="P34">
        <f t="shared" si="4"/>
        <v>423.11159999999995</v>
      </c>
      <c r="Q34" s="3">
        <f t="shared" si="5"/>
        <v>0.2612046893481158</v>
      </c>
      <c r="R34" s="3">
        <f t="shared" si="6"/>
        <v>0.28675276569049923</v>
      </c>
      <c r="S34" s="9">
        <f t="shared" si="7"/>
        <v>2.554807634238343E-2</v>
      </c>
      <c r="T34">
        <f t="shared" si="8"/>
        <v>107</v>
      </c>
      <c r="U34">
        <f t="shared" si="9"/>
        <v>106</v>
      </c>
      <c r="V34" s="3">
        <f t="shared" si="10"/>
        <v>0.3959915750573616</v>
      </c>
      <c r="W34" s="9">
        <f t="shared" si="11"/>
        <v>0.6040084249426384</v>
      </c>
      <c r="AB34" s="111" t="s">
        <v>167</v>
      </c>
      <c r="AC34" s="22"/>
      <c r="AD34" s="22">
        <v>-7.2752492282250447E-2</v>
      </c>
      <c r="AE34" s="22"/>
      <c r="AF34" s="22"/>
      <c r="AG34" s="22"/>
      <c r="AH34" s="22"/>
      <c r="AI34" s="22"/>
      <c r="AJ34" s="22"/>
      <c r="AK34" s="22"/>
      <c r="AL34" s="22"/>
      <c r="AM34" s="22"/>
      <c r="AN34" s="22"/>
      <c r="AO34" s="22"/>
      <c r="AP34" s="22"/>
      <c r="AQ34" s="22">
        <v>7.2911441789380582E-4</v>
      </c>
      <c r="AR34" s="22"/>
      <c r="AS34" s="22"/>
      <c r="AT34" s="22"/>
      <c r="AU34" s="22"/>
      <c r="AV34" s="22"/>
      <c r="AW34" s="22"/>
      <c r="AX34" s="22"/>
      <c r="AY34" s="22"/>
      <c r="AZ34" s="22"/>
      <c r="BA34" s="22"/>
      <c r="BB34" s="22"/>
      <c r="BC34" s="22">
        <v>-7.2752492282250447E-2</v>
      </c>
      <c r="BD34" s="22">
        <v>7.2911441789380582E-4</v>
      </c>
    </row>
    <row r="35" spans="1:56" x14ac:dyDescent="0.25">
      <c r="A35" t="s">
        <v>1107</v>
      </c>
      <c r="B35">
        <v>8</v>
      </c>
      <c r="C35" t="s">
        <v>946</v>
      </c>
      <c r="D35" t="s">
        <v>478</v>
      </c>
      <c r="E35">
        <v>11</v>
      </c>
      <c r="F35">
        <v>7.06</v>
      </c>
      <c r="G35">
        <v>20.25</v>
      </c>
      <c r="H35" t="s">
        <v>478</v>
      </c>
      <c r="I35" t="s">
        <v>478</v>
      </c>
      <c r="J35" t="s">
        <v>62</v>
      </c>
      <c r="K35">
        <f t="shared" si="0"/>
        <v>94.88</v>
      </c>
      <c r="L35">
        <f t="shared" si="1"/>
        <v>320.65749999999997</v>
      </c>
      <c r="M35" t="str">
        <f t="shared" si="2"/>
        <v>scott-8</v>
      </c>
      <c r="N35" t="str">
        <f>INDEX(Scores!$A$2:$A$11,INDEX(Scores!$AA$2:$AA$131,MATCH(C35,Scores!$AB$2:$AB$131,0)))</f>
        <v>scott</v>
      </c>
      <c r="O35">
        <f t="shared" si="3"/>
        <v>113.35000000000001</v>
      </c>
      <c r="P35">
        <f t="shared" si="4"/>
        <v>416.81729999999993</v>
      </c>
      <c r="Q35" s="3">
        <f t="shared" si="5"/>
        <v>0.24821039531278949</v>
      </c>
      <c r="R35" s="3">
        <f t="shared" si="6"/>
        <v>0.29372061178725228</v>
      </c>
      <c r="S35" s="9">
        <f t="shared" si="7"/>
        <v>4.5510216474462795E-2</v>
      </c>
      <c r="T35">
        <f t="shared" si="8"/>
        <v>78</v>
      </c>
      <c r="U35">
        <f t="shared" si="9"/>
        <v>75</v>
      </c>
      <c r="V35" s="3">
        <f t="shared" si="10"/>
        <v>0.41726748910535727</v>
      </c>
      <c r="W35" s="9">
        <f t="shared" si="11"/>
        <v>0.58273251089464273</v>
      </c>
      <c r="AB35" s="111" t="s">
        <v>21</v>
      </c>
      <c r="AC35" s="22"/>
      <c r="AD35" s="22"/>
      <c r="AE35" s="22"/>
      <c r="AF35" s="22"/>
      <c r="AG35" s="22"/>
      <c r="AH35" s="22"/>
      <c r="AI35" s="22"/>
      <c r="AJ35" s="22"/>
      <c r="AK35" s="22"/>
      <c r="AL35" s="22">
        <v>-0.10898365378215735</v>
      </c>
      <c r="AM35" s="22"/>
      <c r="AN35" s="22"/>
      <c r="AO35" s="22"/>
      <c r="AP35" s="22"/>
      <c r="AQ35" s="22"/>
      <c r="AR35" s="22"/>
      <c r="AS35" s="22"/>
      <c r="AT35" s="22"/>
      <c r="AU35" s="22"/>
      <c r="AV35" s="22"/>
      <c r="AW35" s="22"/>
      <c r="AX35" s="22"/>
      <c r="AY35" s="22">
        <v>7.0285555879145978E-4</v>
      </c>
      <c r="AZ35" s="22"/>
      <c r="BA35" s="22"/>
      <c r="BB35" s="22"/>
      <c r="BC35" s="22">
        <v>-0.10898365378215735</v>
      </c>
      <c r="BD35" s="22">
        <v>7.0285555879145978E-4</v>
      </c>
    </row>
    <row r="36" spans="1:56" x14ac:dyDescent="0.25">
      <c r="A36" t="s">
        <v>1100</v>
      </c>
      <c r="B36">
        <v>4</v>
      </c>
      <c r="C36" t="s">
        <v>865</v>
      </c>
      <c r="D36" t="s">
        <v>468</v>
      </c>
      <c r="E36">
        <v>27</v>
      </c>
      <c r="F36">
        <v>13.63</v>
      </c>
      <c r="G36">
        <v>49.984900000000003</v>
      </c>
      <c r="H36" t="s">
        <v>47</v>
      </c>
      <c r="I36" t="s">
        <v>47</v>
      </c>
      <c r="J36" t="s">
        <v>62</v>
      </c>
      <c r="K36">
        <f t="shared" si="0"/>
        <v>99.8</v>
      </c>
      <c r="L36">
        <f t="shared" si="1"/>
        <v>351.46400000000006</v>
      </c>
      <c r="M36" t="str">
        <f t="shared" si="2"/>
        <v>seth-4</v>
      </c>
      <c r="N36" t="str">
        <f>INDEX(Scores!$A$2:$A$11,INDEX(Scores!$AA$2:$AA$131,MATCH(C36,Scores!$AB$2:$AB$131,0)))</f>
        <v>seth</v>
      </c>
      <c r="O36">
        <f t="shared" si="3"/>
        <v>104.32</v>
      </c>
      <c r="P36">
        <f t="shared" si="4"/>
        <v>390.96559999999999</v>
      </c>
      <c r="Q36" s="3">
        <f t="shared" si="5"/>
        <v>0.43412317323121657</v>
      </c>
      <c r="R36" s="3">
        <f t="shared" si="6"/>
        <v>0.63168463962134058</v>
      </c>
      <c r="S36" s="9">
        <f t="shared" si="7"/>
        <v>0.19756146639012401</v>
      </c>
      <c r="T36">
        <f t="shared" si="8"/>
        <v>123</v>
      </c>
      <c r="U36">
        <f t="shared" si="9"/>
        <v>111</v>
      </c>
      <c r="V36" s="3">
        <f t="shared" si="10"/>
        <v>0.42317543622573017</v>
      </c>
      <c r="W36" s="9">
        <f t="shared" si="11"/>
        <v>0.57682456377426983</v>
      </c>
      <c r="AB36" s="111" t="s">
        <v>108</v>
      </c>
      <c r="AC36" s="22"/>
      <c r="AD36" s="22"/>
      <c r="AE36" s="22"/>
      <c r="AF36" s="22"/>
      <c r="AG36" s="22"/>
      <c r="AH36" s="22"/>
      <c r="AI36" s="22"/>
      <c r="AJ36" s="22"/>
      <c r="AK36" s="22"/>
      <c r="AL36" s="22">
        <v>-6.4676032396114358E-2</v>
      </c>
      <c r="AM36" s="22"/>
      <c r="AN36" s="22"/>
      <c r="AO36" s="22"/>
      <c r="AP36" s="22"/>
      <c r="AQ36" s="22"/>
      <c r="AR36" s="22"/>
      <c r="AS36" s="22"/>
      <c r="AT36" s="22"/>
      <c r="AU36" s="22"/>
      <c r="AV36" s="22"/>
      <c r="AW36" s="22"/>
      <c r="AX36" s="22"/>
      <c r="AY36" s="22">
        <v>4.8590043457119592E-4</v>
      </c>
      <c r="AZ36" s="22"/>
      <c r="BA36" s="22"/>
      <c r="BB36" s="22"/>
      <c r="BC36" s="22">
        <v>-6.4676032396114358E-2</v>
      </c>
      <c r="BD36" s="22">
        <v>4.8590043457119592E-4</v>
      </c>
    </row>
    <row r="37" spans="1:56" x14ac:dyDescent="0.25">
      <c r="A37" t="s">
        <v>202</v>
      </c>
      <c r="B37">
        <v>7</v>
      </c>
      <c r="C37" t="s">
        <v>953</v>
      </c>
      <c r="D37" t="s">
        <v>468</v>
      </c>
      <c r="E37">
        <v>11</v>
      </c>
      <c r="F37">
        <v>7.93</v>
      </c>
      <c r="G37">
        <v>50.126399999999997</v>
      </c>
      <c r="H37" t="s">
        <v>47</v>
      </c>
      <c r="I37" t="s">
        <v>47</v>
      </c>
      <c r="J37" t="s">
        <v>40</v>
      </c>
      <c r="K37">
        <f t="shared" si="0"/>
        <v>91.929999999999993</v>
      </c>
      <c r="L37">
        <f t="shared" si="1"/>
        <v>386.72199999999998</v>
      </c>
      <c r="M37" t="e">
        <f t="shared" si="2"/>
        <v>#N/A</v>
      </c>
      <c r="N37" t="e">
        <f>INDEX(Scores!$A$2:$A$11,INDEX(Scores!$AA$2:$AA$131,MATCH(C37,Scores!$AB$2:$AB$131,0)))</f>
        <v>#N/A</v>
      </c>
      <c r="O37">
        <f t="shared" si="3"/>
        <v>0</v>
      </c>
      <c r="P37">
        <f t="shared" si="4"/>
        <v>0</v>
      </c>
      <c r="Q37" s="3">
        <f t="shared" si="5"/>
        <v>0.99999852839643777</v>
      </c>
      <c r="R37" s="3">
        <f t="shared" si="6"/>
        <v>0.9999998879139762</v>
      </c>
      <c r="S37" s="9">
        <f t="shared" si="7"/>
        <v>1.3595175384351066E-6</v>
      </c>
      <c r="T37">
        <f t="shared" si="8"/>
        <v>75</v>
      </c>
      <c r="U37">
        <f t="shared" si="9"/>
        <v>0</v>
      </c>
      <c r="V37" s="3">
        <f t="shared" si="10"/>
        <v>1</v>
      </c>
      <c r="W37" s="9">
        <f t="shared" si="11"/>
        <v>0</v>
      </c>
      <c r="AB37" s="111" t="s">
        <v>436</v>
      </c>
      <c r="AC37" s="22"/>
      <c r="AD37" s="22"/>
      <c r="AE37" s="22"/>
      <c r="AF37" s="22"/>
      <c r="AG37" s="22"/>
      <c r="AH37" s="22"/>
      <c r="AI37" s="22"/>
      <c r="AJ37" s="22"/>
      <c r="AK37" s="22">
        <v>-7.0920148970025632E-2</v>
      </c>
      <c r="AL37" s="22"/>
      <c r="AM37" s="22"/>
      <c r="AN37" s="22"/>
      <c r="AO37" s="22"/>
      <c r="AP37" s="22"/>
      <c r="AQ37" s="22"/>
      <c r="AR37" s="22"/>
      <c r="AS37" s="22"/>
      <c r="AT37" s="22"/>
      <c r="AU37" s="22"/>
      <c r="AV37" s="22"/>
      <c r="AW37" s="22"/>
      <c r="AX37" s="22">
        <v>2.6788016659484715E-4</v>
      </c>
      <c r="AY37" s="22"/>
      <c r="AZ37" s="22"/>
      <c r="BA37" s="22"/>
      <c r="BB37" s="22"/>
      <c r="BC37" s="22">
        <v>-7.0920148970025632E-2</v>
      </c>
      <c r="BD37" s="22">
        <v>2.6788016659484715E-4</v>
      </c>
    </row>
    <row r="38" spans="1:56" x14ac:dyDescent="0.25">
      <c r="A38" t="s">
        <v>116</v>
      </c>
      <c r="B38">
        <v>5</v>
      </c>
      <c r="C38" t="s">
        <v>885</v>
      </c>
      <c r="D38" t="s">
        <v>472</v>
      </c>
      <c r="E38">
        <v>14</v>
      </c>
      <c r="F38">
        <v>8.26</v>
      </c>
      <c r="G38">
        <v>25.100100000000001</v>
      </c>
      <c r="H38" t="s">
        <v>87</v>
      </c>
      <c r="I38" t="s">
        <v>87</v>
      </c>
      <c r="J38" t="s">
        <v>35</v>
      </c>
      <c r="K38">
        <f t="shared" si="0"/>
        <v>93.5</v>
      </c>
      <c r="L38">
        <f t="shared" si="1"/>
        <v>346.9006</v>
      </c>
      <c r="M38" t="str">
        <f t="shared" si="2"/>
        <v>cory-5</v>
      </c>
      <c r="N38" t="str">
        <f>INDEX(Scores!$A$2:$A$11,INDEX(Scores!$AA$2:$AA$131,MATCH(C38,Scores!$AB$2:$AB$131,0)))</f>
        <v>cory</v>
      </c>
      <c r="O38">
        <f t="shared" si="3"/>
        <v>109.91</v>
      </c>
      <c r="P38">
        <f t="shared" si="4"/>
        <v>349.51409999999998</v>
      </c>
      <c r="Q38" s="3">
        <f t="shared" si="5"/>
        <v>0.26702544199612877</v>
      </c>
      <c r="R38" s="3">
        <f t="shared" si="6"/>
        <v>0.34023778697564305</v>
      </c>
      <c r="S38" s="9">
        <f t="shared" si="7"/>
        <v>7.3212344979514288E-2</v>
      </c>
      <c r="T38">
        <f t="shared" si="8"/>
        <v>105</v>
      </c>
      <c r="U38">
        <f t="shared" si="9"/>
        <v>100</v>
      </c>
      <c r="V38" s="3">
        <f t="shared" si="10"/>
        <v>0.44128795421592831</v>
      </c>
      <c r="W38" s="9">
        <f t="shared" si="11"/>
        <v>0.55871204578407174</v>
      </c>
      <c r="AB38" s="111" t="s">
        <v>133</v>
      </c>
      <c r="AC38" s="22"/>
      <c r="AD38" s="22"/>
      <c r="AE38" s="22"/>
      <c r="AF38" s="22"/>
      <c r="AG38" s="22"/>
      <c r="AH38" s="22"/>
      <c r="AI38" s="22"/>
      <c r="AJ38" s="22"/>
      <c r="AK38" s="22"/>
      <c r="AL38" s="22">
        <v>5.8487342352532945E-2</v>
      </c>
      <c r="AM38" s="22"/>
      <c r="AN38" s="22"/>
      <c r="AO38" s="22"/>
      <c r="AP38" s="22"/>
      <c r="AQ38" s="22"/>
      <c r="AR38" s="22"/>
      <c r="AS38" s="22"/>
      <c r="AT38" s="22"/>
      <c r="AU38" s="22"/>
      <c r="AV38" s="22"/>
      <c r="AW38" s="22"/>
      <c r="AX38" s="22"/>
      <c r="AY38" s="22">
        <v>2.4276692307811931E-4</v>
      </c>
      <c r="AZ38" s="22"/>
      <c r="BA38" s="22"/>
      <c r="BB38" s="22"/>
      <c r="BC38" s="22">
        <v>5.8487342352532945E-2</v>
      </c>
      <c r="BD38" s="22">
        <v>2.4276692307811931E-4</v>
      </c>
    </row>
    <row r="39" spans="1:56" x14ac:dyDescent="0.25">
      <c r="A39" t="s">
        <v>411</v>
      </c>
      <c r="B39">
        <v>5</v>
      </c>
      <c r="C39" t="s">
        <v>888</v>
      </c>
      <c r="D39" t="s">
        <v>477</v>
      </c>
      <c r="E39">
        <v>14</v>
      </c>
      <c r="F39">
        <v>9.1300000000000008</v>
      </c>
      <c r="G39">
        <v>48.5809</v>
      </c>
      <c r="H39" t="s">
        <v>477</v>
      </c>
      <c r="I39" t="s">
        <v>477</v>
      </c>
      <c r="J39" t="s">
        <v>55</v>
      </c>
      <c r="K39">
        <f t="shared" si="0"/>
        <v>117.25999999999999</v>
      </c>
      <c r="L39">
        <f t="shared" si="1"/>
        <v>422.9941</v>
      </c>
      <c r="M39" t="str">
        <f t="shared" si="2"/>
        <v>matty-5</v>
      </c>
      <c r="N39" t="str">
        <f>INDEX(Scores!$A$2:$A$11,INDEX(Scores!$AA$2:$AA$131,MATCH(C39,Scores!$AB$2:$AB$131,0)))</f>
        <v>matty</v>
      </c>
      <c r="O39">
        <f t="shared" si="3"/>
        <v>99.23</v>
      </c>
      <c r="P39">
        <f t="shared" si="4"/>
        <v>364.64739999999995</v>
      </c>
      <c r="Q39" s="3">
        <f t="shared" si="5"/>
        <v>0.73970568419743477</v>
      </c>
      <c r="R39" s="3">
        <f t="shared" si="6"/>
        <v>0.80020552556081659</v>
      </c>
      <c r="S39" s="9">
        <f t="shared" si="7"/>
        <v>6.0499841363381823E-2</v>
      </c>
      <c r="T39">
        <f t="shared" si="8"/>
        <v>110</v>
      </c>
      <c r="U39">
        <f t="shared" si="9"/>
        <v>106</v>
      </c>
      <c r="V39" s="3">
        <f t="shared" si="10"/>
        <v>0.45033276550735168</v>
      </c>
      <c r="W39" s="9">
        <f t="shared" si="11"/>
        <v>0.54966723449264832</v>
      </c>
      <c r="AB39" s="111" t="s">
        <v>106</v>
      </c>
      <c r="AC39" s="22"/>
      <c r="AD39" s="22"/>
      <c r="AE39" s="22"/>
      <c r="AF39" s="22"/>
      <c r="AG39" s="22"/>
      <c r="AH39" s="22"/>
      <c r="AI39" s="22"/>
      <c r="AJ39" s="22"/>
      <c r="AK39" s="22">
        <v>-4.201742559370808E-2</v>
      </c>
      <c r="AL39" s="22"/>
      <c r="AM39" s="22"/>
      <c r="AN39" s="22"/>
      <c r="AO39" s="22"/>
      <c r="AP39" s="22"/>
      <c r="AQ39" s="22"/>
      <c r="AR39" s="22"/>
      <c r="AS39" s="22"/>
      <c r="AT39" s="22"/>
      <c r="AU39" s="22"/>
      <c r="AV39" s="22"/>
      <c r="AW39" s="22"/>
      <c r="AX39" s="22">
        <v>3.4199810561186261E-5</v>
      </c>
      <c r="AY39" s="22"/>
      <c r="AZ39" s="22"/>
      <c r="BA39" s="22"/>
      <c r="BB39" s="22"/>
      <c r="BC39" s="22">
        <v>-4.201742559370808E-2</v>
      </c>
      <c r="BD39" s="22">
        <v>3.4199810561186261E-5</v>
      </c>
    </row>
    <row r="40" spans="1:56" x14ac:dyDescent="0.25">
      <c r="A40" t="s">
        <v>134</v>
      </c>
      <c r="B40">
        <v>7</v>
      </c>
      <c r="C40" t="s">
        <v>913</v>
      </c>
      <c r="D40" t="s">
        <v>472</v>
      </c>
      <c r="E40">
        <v>15</v>
      </c>
      <c r="F40">
        <v>10.64</v>
      </c>
      <c r="G40">
        <v>36.120100000000001</v>
      </c>
      <c r="H40" t="s">
        <v>87</v>
      </c>
      <c r="I40" t="s">
        <v>87</v>
      </c>
      <c r="J40" t="s">
        <v>16</v>
      </c>
      <c r="K40">
        <f t="shared" si="0"/>
        <v>86.09</v>
      </c>
      <c r="L40">
        <f t="shared" si="1"/>
        <v>350.80079999999998</v>
      </c>
      <c r="M40" t="str">
        <f t="shared" si="2"/>
        <v>seth-7</v>
      </c>
      <c r="N40" t="str">
        <f>INDEX(Scores!$A$2:$A$11,INDEX(Scores!$AA$2:$AA$131,MATCH(C40,Scores!$AB$2:$AB$131,0)))</f>
        <v>seth</v>
      </c>
      <c r="O40">
        <f t="shared" si="3"/>
        <v>96.25</v>
      </c>
      <c r="P40">
        <f t="shared" si="4"/>
        <v>294.3</v>
      </c>
      <c r="Q40" s="3">
        <f t="shared" si="5"/>
        <v>0.34457149944219723</v>
      </c>
      <c r="R40" s="3">
        <f t="shared" si="6"/>
        <v>0.40709210930997003</v>
      </c>
      <c r="S40" s="9">
        <f t="shared" si="7"/>
        <v>6.2520609867772803E-2</v>
      </c>
      <c r="T40">
        <f t="shared" si="8"/>
        <v>85</v>
      </c>
      <c r="U40">
        <f t="shared" si="9"/>
        <v>81</v>
      </c>
      <c r="V40" s="3">
        <f t="shared" si="10"/>
        <v>0.47611757368754609</v>
      </c>
      <c r="W40" s="9">
        <f t="shared" si="11"/>
        <v>0.52388242631245396</v>
      </c>
      <c r="AB40" s="111" t="s">
        <v>189</v>
      </c>
      <c r="AC40" s="22"/>
      <c r="AD40" s="22"/>
      <c r="AE40" s="22"/>
      <c r="AF40" s="22"/>
      <c r="AG40" s="22"/>
      <c r="AH40" s="22"/>
      <c r="AI40" s="22"/>
      <c r="AJ40" s="22"/>
      <c r="AK40" s="22">
        <v>-5.3811910908604377E-3</v>
      </c>
      <c r="AL40" s="22"/>
      <c r="AM40" s="22"/>
      <c r="AN40" s="22"/>
      <c r="AO40" s="22"/>
      <c r="AP40" s="22"/>
      <c r="AQ40" s="22"/>
      <c r="AR40" s="22"/>
      <c r="AS40" s="22"/>
      <c r="AT40" s="22"/>
      <c r="AU40" s="22"/>
      <c r="AV40" s="22"/>
      <c r="AW40" s="22"/>
      <c r="AX40" s="22">
        <v>2.5574425158159109E-5</v>
      </c>
      <c r="AY40" s="22"/>
      <c r="AZ40" s="22"/>
      <c r="BA40" s="22"/>
      <c r="BB40" s="22"/>
      <c r="BC40" s="22">
        <v>-5.3811910908604377E-3</v>
      </c>
      <c r="BD40" s="22">
        <v>2.5574425158159109E-5</v>
      </c>
    </row>
    <row r="41" spans="1:56" x14ac:dyDescent="0.25">
      <c r="A41" t="s">
        <v>1100</v>
      </c>
      <c r="B41">
        <v>2</v>
      </c>
      <c r="C41" t="s">
        <v>638</v>
      </c>
      <c r="D41" t="s">
        <v>468</v>
      </c>
      <c r="E41">
        <v>22</v>
      </c>
      <c r="F41">
        <v>12.72</v>
      </c>
      <c r="G41">
        <v>27.6676</v>
      </c>
      <c r="H41" t="s">
        <v>47</v>
      </c>
      <c r="I41" t="s">
        <v>47</v>
      </c>
      <c r="J41" t="s">
        <v>62</v>
      </c>
      <c r="K41">
        <f t="shared" si="0"/>
        <v>102.72000000000001</v>
      </c>
      <c r="L41">
        <f t="shared" si="1"/>
        <v>348.54960000000005</v>
      </c>
      <c r="M41" t="str">
        <f t="shared" si="2"/>
        <v>aj-2</v>
      </c>
      <c r="N41" t="str">
        <f>INDEX(Scores!$A$2:$A$11,INDEX(Scores!$AA$2:$AA$131,MATCH(C41,Scores!$AB$2:$AB$131,0)))</f>
        <v>aj</v>
      </c>
      <c r="O41">
        <f t="shared" si="3"/>
        <v>103.77999999999999</v>
      </c>
      <c r="P41">
        <f t="shared" si="4"/>
        <v>338.9511</v>
      </c>
      <c r="Q41" s="3">
        <f t="shared" si="5"/>
        <v>0.48387643490903587</v>
      </c>
      <c r="R41" s="3">
        <f t="shared" si="6"/>
        <v>0.62551717257182848</v>
      </c>
      <c r="S41" s="9">
        <f t="shared" si="7"/>
        <v>0.14164073766279262</v>
      </c>
      <c r="T41">
        <f t="shared" si="8"/>
        <v>99</v>
      </c>
      <c r="U41">
        <f t="shared" si="9"/>
        <v>90</v>
      </c>
      <c r="V41" s="3">
        <f t="shared" si="10"/>
        <v>0.47877355395512999</v>
      </c>
      <c r="W41" s="9">
        <f t="shared" si="11"/>
        <v>0.52122644604487001</v>
      </c>
      <c r="AB41" s="111" t="s">
        <v>418</v>
      </c>
      <c r="AC41" s="22"/>
      <c r="AD41" s="22"/>
      <c r="AE41" s="22"/>
      <c r="AF41" s="22"/>
      <c r="AG41" s="22"/>
      <c r="AH41" s="22"/>
      <c r="AI41" s="22">
        <v>-6.3949737898939429E-2</v>
      </c>
      <c r="AJ41" s="22"/>
      <c r="AK41" s="22"/>
      <c r="AL41" s="22"/>
      <c r="AM41" s="22"/>
      <c r="AN41" s="22"/>
      <c r="AO41" s="22"/>
      <c r="AP41" s="22"/>
      <c r="AQ41" s="22"/>
      <c r="AR41" s="22"/>
      <c r="AS41" s="22"/>
      <c r="AT41" s="22"/>
      <c r="AU41" s="22"/>
      <c r="AV41" s="22">
        <v>2.3148279089113544E-6</v>
      </c>
      <c r="AW41" s="22"/>
      <c r="AX41" s="22"/>
      <c r="AY41" s="22"/>
      <c r="AZ41" s="22"/>
      <c r="BA41" s="22"/>
      <c r="BB41" s="22"/>
      <c r="BC41" s="22">
        <v>-6.3949737898939429E-2</v>
      </c>
      <c r="BD41" s="22">
        <v>2.3148279089113544E-6</v>
      </c>
    </row>
    <row r="42" spans="1:56" x14ac:dyDescent="0.25">
      <c r="A42" t="s">
        <v>86</v>
      </c>
      <c r="B42">
        <v>3</v>
      </c>
      <c r="C42" t="s">
        <v>806</v>
      </c>
      <c r="D42" t="s">
        <v>471</v>
      </c>
      <c r="E42">
        <v>19</v>
      </c>
      <c r="F42">
        <v>10.66</v>
      </c>
      <c r="G42">
        <v>55.950400000000002</v>
      </c>
      <c r="H42" t="s">
        <v>87</v>
      </c>
      <c r="I42" t="s">
        <v>87</v>
      </c>
      <c r="J42" t="s">
        <v>55</v>
      </c>
      <c r="K42">
        <f t="shared" si="0"/>
        <v>107.31</v>
      </c>
      <c r="L42">
        <f t="shared" si="1"/>
        <v>425.77620000000002</v>
      </c>
      <c r="M42" t="str">
        <f t="shared" si="2"/>
        <v>seth-3</v>
      </c>
      <c r="N42" t="str">
        <f>INDEX(Scores!$A$2:$A$11,INDEX(Scores!$AA$2:$AA$131,MATCH(C42,Scores!$AB$2:$AB$131,0)))</f>
        <v>seth</v>
      </c>
      <c r="O42">
        <f t="shared" si="3"/>
        <v>94.54</v>
      </c>
      <c r="P42">
        <f t="shared" si="4"/>
        <v>356.43470000000002</v>
      </c>
      <c r="Q42" s="3">
        <f t="shared" si="5"/>
        <v>0.6760180870914847</v>
      </c>
      <c r="R42" s="3">
        <f t="shared" si="6"/>
        <v>0.78328187486650069</v>
      </c>
      <c r="S42" s="9">
        <f t="shared" si="7"/>
        <v>0.107263787775016</v>
      </c>
      <c r="T42">
        <f t="shared" si="8"/>
        <v>96</v>
      </c>
      <c r="U42">
        <f t="shared" si="9"/>
        <v>88</v>
      </c>
      <c r="V42" s="3">
        <f t="shared" si="10"/>
        <v>0.48187250244781349</v>
      </c>
      <c r="W42" s="9">
        <f t="shared" si="11"/>
        <v>0.51812749755218657</v>
      </c>
      <c r="AB42" s="111" t="s">
        <v>131</v>
      </c>
      <c r="AC42" s="22"/>
      <c r="AD42" s="22"/>
      <c r="AE42" s="22"/>
      <c r="AF42" s="22"/>
      <c r="AG42" s="22"/>
      <c r="AH42" s="22"/>
      <c r="AI42" s="22">
        <v>-8.1485397818620242E-2</v>
      </c>
      <c r="AJ42" s="22"/>
      <c r="AK42" s="22"/>
      <c r="AL42" s="22"/>
      <c r="AM42" s="22"/>
      <c r="AN42" s="22"/>
      <c r="AO42" s="22"/>
      <c r="AP42" s="22"/>
      <c r="AQ42" s="22"/>
      <c r="AR42" s="22"/>
      <c r="AS42" s="22"/>
      <c r="AT42" s="22"/>
      <c r="AU42" s="22"/>
      <c r="AV42" s="22">
        <v>2.1251077958472919E-6</v>
      </c>
      <c r="AW42" s="22"/>
      <c r="AX42" s="22"/>
      <c r="AY42" s="22"/>
      <c r="AZ42" s="22"/>
      <c r="BA42" s="22"/>
      <c r="BB42" s="22"/>
      <c r="BC42" s="22">
        <v>-8.1485397818620242E-2</v>
      </c>
      <c r="BD42" s="22">
        <v>2.1251077958472919E-6</v>
      </c>
    </row>
    <row r="43" spans="1:56" x14ac:dyDescent="0.25">
      <c r="A43" t="s">
        <v>450</v>
      </c>
      <c r="B43">
        <v>12</v>
      </c>
      <c r="C43" t="s">
        <v>934</v>
      </c>
      <c r="D43" t="s">
        <v>478</v>
      </c>
      <c r="E43">
        <v>13</v>
      </c>
      <c r="F43">
        <v>7.89</v>
      </c>
      <c r="G43">
        <v>14.364100000000001</v>
      </c>
      <c r="H43" t="s">
        <v>478</v>
      </c>
      <c r="I43" t="s">
        <v>478</v>
      </c>
      <c r="J43" t="s">
        <v>35</v>
      </c>
      <c r="K43">
        <f t="shared" si="0"/>
        <v>99.070000000000007</v>
      </c>
      <c r="L43">
        <f t="shared" si="1"/>
        <v>350.10639999999995</v>
      </c>
      <c r="M43" t="str">
        <f t="shared" si="2"/>
        <v>matty-12</v>
      </c>
      <c r="N43" t="str">
        <f>INDEX(Scores!$A$2:$A$11,INDEX(Scores!$AA$2:$AA$131,MATCH(C43,Scores!$AB$2:$AB$131,0)))</f>
        <v>matty</v>
      </c>
      <c r="O43">
        <f t="shared" si="3"/>
        <v>94.28</v>
      </c>
      <c r="P43">
        <f t="shared" si="4"/>
        <v>371.05129999999997</v>
      </c>
      <c r="Q43" s="3">
        <f t="shared" si="5"/>
        <v>0.57078356677741682</v>
      </c>
      <c r="R43" s="3">
        <f t="shared" si="6"/>
        <v>0.64519584024019028</v>
      </c>
      <c r="S43" s="9">
        <f t="shared" si="7"/>
        <v>7.4412273462773459E-2</v>
      </c>
      <c r="T43">
        <f t="shared" si="8"/>
        <v>80</v>
      </c>
      <c r="U43">
        <f t="shared" si="9"/>
        <v>75</v>
      </c>
      <c r="V43" s="3">
        <f t="shared" si="10"/>
        <v>0.48842282572035989</v>
      </c>
      <c r="W43" s="9">
        <f t="shared" si="11"/>
        <v>0.51157717427964011</v>
      </c>
      <c r="AB43" s="111" t="s">
        <v>998</v>
      </c>
      <c r="AC43" s="22"/>
      <c r="AD43" s="22"/>
      <c r="AE43" s="22"/>
      <c r="AF43" s="22"/>
      <c r="AG43" s="22"/>
      <c r="AH43" s="22"/>
      <c r="AI43" s="22"/>
      <c r="AJ43" s="22"/>
      <c r="AK43" s="22">
        <v>2.508867076039456E-2</v>
      </c>
      <c r="AL43" s="22"/>
      <c r="AM43" s="22"/>
      <c r="AN43" s="22"/>
      <c r="AO43" s="22"/>
      <c r="AP43" s="22"/>
      <c r="AQ43" s="22"/>
      <c r="AR43" s="22"/>
      <c r="AS43" s="22"/>
      <c r="AT43" s="22"/>
      <c r="AU43" s="22"/>
      <c r="AV43" s="22"/>
      <c r="AW43" s="22"/>
      <c r="AX43" s="22">
        <v>1.1183533483727359E-6</v>
      </c>
      <c r="AY43" s="22"/>
      <c r="AZ43" s="22"/>
      <c r="BA43" s="22"/>
      <c r="BB43" s="22"/>
      <c r="BC43" s="22">
        <v>2.508867076039456E-2</v>
      </c>
      <c r="BD43" s="22">
        <v>1.1183533483727359E-6</v>
      </c>
    </row>
    <row r="44" spans="1:56" x14ac:dyDescent="0.25">
      <c r="A44" t="s">
        <v>285</v>
      </c>
      <c r="B44">
        <v>7</v>
      </c>
      <c r="C44" t="s">
        <v>953</v>
      </c>
      <c r="D44" t="s">
        <v>466</v>
      </c>
      <c r="E44">
        <v>7</v>
      </c>
      <c r="F44">
        <v>4.97</v>
      </c>
      <c r="G44">
        <v>11.022399999999999</v>
      </c>
      <c r="H44" t="s">
        <v>466</v>
      </c>
      <c r="I44" t="s">
        <v>47</v>
      </c>
      <c r="J44" t="s">
        <v>40</v>
      </c>
      <c r="K44">
        <f t="shared" si="0"/>
        <v>91.929999999999993</v>
      </c>
      <c r="L44">
        <f t="shared" si="1"/>
        <v>386.72199999999998</v>
      </c>
      <c r="M44" t="e">
        <f t="shared" si="2"/>
        <v>#N/A</v>
      </c>
      <c r="N44" t="e">
        <f>INDEX(Scores!$A$2:$A$11,INDEX(Scores!$AA$2:$AA$131,MATCH(C44,Scores!$AB$2:$AB$131,0)))</f>
        <v>#N/A</v>
      </c>
      <c r="O44">
        <f t="shared" si="3"/>
        <v>0</v>
      </c>
      <c r="P44">
        <f t="shared" si="4"/>
        <v>0</v>
      </c>
      <c r="Q44" s="3">
        <f t="shared" si="5"/>
        <v>0.99999852839643777</v>
      </c>
      <c r="R44" s="3">
        <f t="shared" si="6"/>
        <v>0.99999937503443348</v>
      </c>
      <c r="S44" s="9">
        <f t="shared" si="7"/>
        <v>8.4663799571060849E-7</v>
      </c>
      <c r="T44">
        <f t="shared" si="8"/>
        <v>75</v>
      </c>
      <c r="U44">
        <f t="shared" si="9"/>
        <v>0</v>
      </c>
      <c r="V44" s="3">
        <f t="shared" si="10"/>
        <v>1</v>
      </c>
      <c r="W44" s="9">
        <f t="shared" si="11"/>
        <v>0</v>
      </c>
      <c r="AB44" s="111" t="s">
        <v>101</v>
      </c>
      <c r="AC44" s="22"/>
      <c r="AD44" s="22"/>
      <c r="AE44" s="22"/>
      <c r="AF44" s="22"/>
      <c r="AG44" s="22"/>
      <c r="AH44" s="22"/>
      <c r="AI44" s="22">
        <v>-3.5534476034367213E-2</v>
      </c>
      <c r="AJ44" s="22"/>
      <c r="AK44" s="22"/>
      <c r="AL44" s="22"/>
      <c r="AM44" s="22"/>
      <c r="AN44" s="22"/>
      <c r="AO44" s="22"/>
      <c r="AP44" s="22"/>
      <c r="AQ44" s="22"/>
      <c r="AR44" s="22"/>
      <c r="AS44" s="22"/>
      <c r="AT44" s="22"/>
      <c r="AU44" s="22"/>
      <c r="AV44" s="22">
        <v>8.8266833131456224E-7</v>
      </c>
      <c r="AW44" s="22"/>
      <c r="AX44" s="22"/>
      <c r="AY44" s="22"/>
      <c r="AZ44" s="22"/>
      <c r="BA44" s="22"/>
      <c r="BB44" s="22"/>
      <c r="BC44" s="22">
        <v>-3.5534476034367213E-2</v>
      </c>
      <c r="BD44" s="22">
        <v>8.8266833131456224E-7</v>
      </c>
    </row>
    <row r="45" spans="1:56" x14ac:dyDescent="0.25">
      <c r="A45" t="s">
        <v>406</v>
      </c>
      <c r="B45">
        <v>8</v>
      </c>
      <c r="C45" t="s">
        <v>970</v>
      </c>
      <c r="D45" t="s">
        <v>477</v>
      </c>
      <c r="E45">
        <v>10</v>
      </c>
      <c r="F45">
        <v>9.1</v>
      </c>
      <c r="G45">
        <v>43.824399999999997</v>
      </c>
      <c r="H45" t="s">
        <v>477</v>
      </c>
      <c r="I45" t="s">
        <v>477</v>
      </c>
      <c r="J45" t="s">
        <v>49</v>
      </c>
      <c r="K45">
        <f t="shared" si="0"/>
        <v>88.500000000000014</v>
      </c>
      <c r="L45">
        <f t="shared" si="1"/>
        <v>351.30459999999999</v>
      </c>
      <c r="M45" t="str">
        <f t="shared" si="2"/>
        <v>cory-8</v>
      </c>
      <c r="N45" t="str">
        <f>INDEX(Scores!$A$2:$A$11,INDEX(Scores!$AA$2:$AA$131,MATCH(C45,Scores!$AB$2:$AB$131,0)))</f>
        <v>cory</v>
      </c>
      <c r="O45">
        <f t="shared" si="3"/>
        <v>106.3</v>
      </c>
      <c r="P45">
        <f t="shared" si="4"/>
        <v>423.11159999999995</v>
      </c>
      <c r="Q45" s="3">
        <f t="shared" si="5"/>
        <v>0.2612046893481158</v>
      </c>
      <c r="R45" s="3">
        <f t="shared" si="6"/>
        <v>0.26590557013789939</v>
      </c>
      <c r="S45" s="9">
        <f t="shared" si="7"/>
        <v>4.7008807897835903E-3</v>
      </c>
      <c r="T45">
        <f t="shared" si="8"/>
        <v>107</v>
      </c>
      <c r="U45">
        <f t="shared" si="9"/>
        <v>106</v>
      </c>
      <c r="V45" s="3">
        <f t="shared" si="10"/>
        <v>0.50602608925861969</v>
      </c>
      <c r="W45" s="9">
        <f t="shared" si="11"/>
        <v>0.49397391074138031</v>
      </c>
      <c r="AB45" s="111" t="s">
        <v>123</v>
      </c>
      <c r="AC45" s="22"/>
      <c r="AD45" s="22"/>
      <c r="AE45" s="22"/>
      <c r="AF45" s="22">
        <v>-6.0052013389213788E-2</v>
      </c>
      <c r="AG45" s="22"/>
      <c r="AH45" s="22"/>
      <c r="AI45" s="22"/>
      <c r="AJ45" s="22"/>
      <c r="AK45" s="22"/>
      <c r="AL45" s="22"/>
      <c r="AM45" s="22"/>
      <c r="AN45" s="22">
        <v>0.17331367635480777</v>
      </c>
      <c r="AO45" s="22"/>
      <c r="AP45" s="22"/>
      <c r="AQ45" s="22"/>
      <c r="AR45" s="22"/>
      <c r="AS45" s="22">
        <v>-6.1129146444985343E-12</v>
      </c>
      <c r="AT45" s="22"/>
      <c r="AU45" s="22"/>
      <c r="AV45" s="22"/>
      <c r="AW45" s="22"/>
      <c r="AX45" s="22"/>
      <c r="AY45" s="22"/>
      <c r="AZ45" s="22"/>
      <c r="BA45" s="22">
        <v>1.5391900498595845E-7</v>
      </c>
      <c r="BB45" s="22"/>
      <c r="BC45" s="22">
        <v>0.11326166296559398</v>
      </c>
      <c r="BD45" s="22">
        <v>1.5391289207131394E-7</v>
      </c>
    </row>
    <row r="46" spans="1:56" x14ac:dyDescent="0.25">
      <c r="A46" t="s">
        <v>93</v>
      </c>
      <c r="B46">
        <v>7</v>
      </c>
      <c r="C46" t="s">
        <v>913</v>
      </c>
      <c r="D46" t="s">
        <v>471</v>
      </c>
      <c r="E46">
        <v>15</v>
      </c>
      <c r="F46">
        <v>11.36</v>
      </c>
      <c r="G46">
        <v>77.264099999999999</v>
      </c>
      <c r="H46" t="s">
        <v>87</v>
      </c>
      <c r="I46" t="s">
        <v>87</v>
      </c>
      <c r="J46" t="s">
        <v>16</v>
      </c>
      <c r="K46">
        <f t="shared" si="0"/>
        <v>86.09</v>
      </c>
      <c r="L46">
        <f t="shared" si="1"/>
        <v>350.80079999999998</v>
      </c>
      <c r="M46" t="str">
        <f t="shared" si="2"/>
        <v>seth-7</v>
      </c>
      <c r="N46" t="str">
        <f>INDEX(Scores!$A$2:$A$11,INDEX(Scores!$AA$2:$AA$131,MATCH(C46,Scores!$AB$2:$AB$131,0)))</f>
        <v>seth</v>
      </c>
      <c r="O46">
        <f t="shared" si="3"/>
        <v>96.25</v>
      </c>
      <c r="P46">
        <f t="shared" si="4"/>
        <v>294.3</v>
      </c>
      <c r="Q46" s="3">
        <f t="shared" si="5"/>
        <v>0.34457149944219723</v>
      </c>
      <c r="R46" s="3">
        <f t="shared" si="6"/>
        <v>0.39219122978724857</v>
      </c>
      <c r="S46" s="9">
        <f t="shared" si="7"/>
        <v>4.7619730345051348E-2</v>
      </c>
      <c r="T46">
        <f t="shared" si="8"/>
        <v>85</v>
      </c>
      <c r="U46">
        <f t="shared" si="9"/>
        <v>81</v>
      </c>
      <c r="V46" s="3">
        <f t="shared" si="10"/>
        <v>0.51633436641245534</v>
      </c>
      <c r="W46" s="9">
        <f t="shared" si="11"/>
        <v>0.48366563358754466</v>
      </c>
      <c r="AB46" s="111" t="s">
        <v>246</v>
      </c>
      <c r="AC46" s="22"/>
      <c r="AD46" s="22"/>
      <c r="AE46" s="22"/>
      <c r="AF46" s="22"/>
      <c r="AG46" s="22"/>
      <c r="AH46" s="22"/>
      <c r="AI46" s="22">
        <v>-8.9724376787596594E-3</v>
      </c>
      <c r="AJ46" s="22"/>
      <c r="AK46" s="22"/>
      <c r="AL46" s="22"/>
      <c r="AM46" s="22"/>
      <c r="AN46" s="22"/>
      <c r="AO46" s="22"/>
      <c r="AP46" s="22"/>
      <c r="AQ46" s="22"/>
      <c r="AR46" s="22"/>
      <c r="AS46" s="22"/>
      <c r="AT46" s="22"/>
      <c r="AU46" s="22"/>
      <c r="AV46" s="22">
        <v>4.3084035450391411E-8</v>
      </c>
      <c r="AW46" s="22"/>
      <c r="AX46" s="22"/>
      <c r="AY46" s="22"/>
      <c r="AZ46" s="22"/>
      <c r="BA46" s="22"/>
      <c r="BB46" s="22"/>
      <c r="BC46" s="22">
        <v>-8.9724376787596594E-3</v>
      </c>
      <c r="BD46" s="22">
        <v>4.3084035450391411E-8</v>
      </c>
    </row>
    <row r="47" spans="1:56" x14ac:dyDescent="0.25">
      <c r="A47" t="s">
        <v>407</v>
      </c>
      <c r="B47">
        <v>4</v>
      </c>
      <c r="C47" t="s">
        <v>865</v>
      </c>
      <c r="D47" t="s">
        <v>477</v>
      </c>
      <c r="E47">
        <v>22</v>
      </c>
      <c r="F47">
        <v>10.42</v>
      </c>
      <c r="G47">
        <v>71.402500000000003</v>
      </c>
      <c r="H47" t="s">
        <v>477</v>
      </c>
      <c r="I47" t="s">
        <v>477</v>
      </c>
      <c r="J47" t="s">
        <v>62</v>
      </c>
      <c r="K47">
        <f t="shared" si="0"/>
        <v>99.8</v>
      </c>
      <c r="L47">
        <f t="shared" si="1"/>
        <v>351.46400000000006</v>
      </c>
      <c r="M47" t="str">
        <f t="shared" si="2"/>
        <v>seth-4</v>
      </c>
      <c r="N47" t="str">
        <f>INDEX(Scores!$A$2:$A$11,INDEX(Scores!$AA$2:$AA$131,MATCH(C47,Scores!$AB$2:$AB$131,0)))</f>
        <v>seth</v>
      </c>
      <c r="O47">
        <f t="shared" si="3"/>
        <v>104.32</v>
      </c>
      <c r="P47">
        <f t="shared" si="4"/>
        <v>390.96559999999999</v>
      </c>
      <c r="Q47" s="3">
        <f t="shared" si="5"/>
        <v>0.43412317323121657</v>
      </c>
      <c r="R47" s="3">
        <f t="shared" si="6"/>
        <v>0.60739764647347227</v>
      </c>
      <c r="S47" s="9">
        <f t="shared" si="7"/>
        <v>0.1732744732422557</v>
      </c>
      <c r="T47">
        <f t="shared" si="8"/>
        <v>123</v>
      </c>
      <c r="U47">
        <f t="shared" si="9"/>
        <v>111</v>
      </c>
      <c r="V47" s="3">
        <f t="shared" si="10"/>
        <v>0.51982092215335274</v>
      </c>
      <c r="W47" s="9">
        <f t="shared" si="11"/>
        <v>0.48017907784664726</v>
      </c>
      <c r="AB47" s="111" t="s">
        <v>116</v>
      </c>
      <c r="AC47" s="22"/>
      <c r="AD47" s="22"/>
      <c r="AE47" s="22"/>
      <c r="AF47" s="22"/>
      <c r="AG47" s="22"/>
      <c r="AH47" s="22"/>
      <c r="AI47" s="22">
        <v>-2.0020019394877131E-2</v>
      </c>
      <c r="AJ47" s="22"/>
      <c r="AK47" s="22"/>
      <c r="AL47" s="22"/>
      <c r="AM47" s="22"/>
      <c r="AN47" s="22"/>
      <c r="AO47" s="22"/>
      <c r="AP47" s="22"/>
      <c r="AQ47" s="22"/>
      <c r="AR47" s="22"/>
      <c r="AS47" s="22"/>
      <c r="AT47" s="22"/>
      <c r="AU47" s="22"/>
      <c r="AV47" s="22">
        <v>7.5706232394168183E-9</v>
      </c>
      <c r="AW47" s="22"/>
      <c r="AX47" s="22"/>
      <c r="AY47" s="22"/>
      <c r="AZ47" s="22"/>
      <c r="BA47" s="22"/>
      <c r="BB47" s="22"/>
      <c r="BC47" s="22">
        <v>-2.0020019394877131E-2</v>
      </c>
      <c r="BD47" s="22">
        <v>7.5706232394168183E-9</v>
      </c>
    </row>
    <row r="48" spans="1:56" x14ac:dyDescent="0.25">
      <c r="A48" t="s">
        <v>796</v>
      </c>
      <c r="B48">
        <v>12</v>
      </c>
      <c r="C48" t="s">
        <v>934</v>
      </c>
      <c r="D48" t="s">
        <v>469</v>
      </c>
      <c r="E48">
        <v>12</v>
      </c>
      <c r="F48">
        <v>7.37</v>
      </c>
      <c r="G48">
        <v>32.49</v>
      </c>
      <c r="H48" t="s">
        <v>47</v>
      </c>
      <c r="I48" t="s">
        <v>47</v>
      </c>
      <c r="J48" t="s">
        <v>35</v>
      </c>
      <c r="K48">
        <f t="shared" si="0"/>
        <v>99.070000000000007</v>
      </c>
      <c r="L48">
        <f t="shared" si="1"/>
        <v>350.10639999999995</v>
      </c>
      <c r="M48" t="str">
        <f t="shared" si="2"/>
        <v>matty-12</v>
      </c>
      <c r="N48" t="str">
        <f>INDEX(Scores!$A$2:$A$11,INDEX(Scores!$AA$2:$AA$131,MATCH(C48,Scores!$AB$2:$AB$131,0)))</f>
        <v>matty</v>
      </c>
      <c r="O48">
        <f t="shared" si="3"/>
        <v>94.28</v>
      </c>
      <c r="P48">
        <f t="shared" si="4"/>
        <v>371.05129999999997</v>
      </c>
      <c r="Q48" s="3">
        <f t="shared" si="5"/>
        <v>0.57078356677741682</v>
      </c>
      <c r="R48" s="3">
        <f t="shared" si="6"/>
        <v>0.6401874901176785</v>
      </c>
      <c r="S48" s="9">
        <f t="shared" si="7"/>
        <v>6.9403923340261686E-2</v>
      </c>
      <c r="T48">
        <f t="shared" si="8"/>
        <v>80</v>
      </c>
      <c r="U48">
        <f t="shared" si="9"/>
        <v>75</v>
      </c>
      <c r="V48" s="3">
        <f t="shared" si="10"/>
        <v>0.52587807868425929</v>
      </c>
      <c r="W48" s="9">
        <f t="shared" si="11"/>
        <v>0.47412192131574071</v>
      </c>
      <c r="AB48" s="111" t="s">
        <v>90</v>
      </c>
      <c r="AC48" s="22">
        <v>-8.2351925655929303E-2</v>
      </c>
      <c r="AD48" s="22"/>
      <c r="AE48" s="22"/>
      <c r="AF48" s="22"/>
      <c r="AG48" s="22"/>
      <c r="AH48" s="22"/>
      <c r="AI48" s="22"/>
      <c r="AJ48" s="22"/>
      <c r="AK48" s="22"/>
      <c r="AL48" s="22"/>
      <c r="AM48" s="22"/>
      <c r="AN48" s="22"/>
      <c r="AO48" s="22"/>
      <c r="AP48" s="22">
        <v>2.7871460694939287E-10</v>
      </c>
      <c r="AQ48" s="22"/>
      <c r="AR48" s="22"/>
      <c r="AS48" s="22"/>
      <c r="AT48" s="22"/>
      <c r="AU48" s="22"/>
      <c r="AV48" s="22"/>
      <c r="AW48" s="22"/>
      <c r="AX48" s="22"/>
      <c r="AY48" s="22"/>
      <c r="AZ48" s="22"/>
      <c r="BA48" s="22"/>
      <c r="BB48" s="22"/>
      <c r="BC48" s="22">
        <v>-8.2351925655929303E-2</v>
      </c>
      <c r="BD48" s="22">
        <v>2.7871460694939287E-10</v>
      </c>
    </row>
    <row r="49" spans="1:56" x14ac:dyDescent="0.25">
      <c r="A49" t="s">
        <v>96</v>
      </c>
      <c r="B49">
        <v>3</v>
      </c>
      <c r="C49" t="s">
        <v>805</v>
      </c>
      <c r="D49" t="s">
        <v>471</v>
      </c>
      <c r="E49">
        <v>17</v>
      </c>
      <c r="F49">
        <v>13.68</v>
      </c>
      <c r="G49">
        <v>77.264099999999999</v>
      </c>
      <c r="H49" t="s">
        <v>87</v>
      </c>
      <c r="I49" t="s">
        <v>87</v>
      </c>
      <c r="J49" t="s">
        <v>27</v>
      </c>
      <c r="K49">
        <f t="shared" si="0"/>
        <v>105.02</v>
      </c>
      <c r="L49">
        <f t="shared" si="1"/>
        <v>401.60159999999996</v>
      </c>
      <c r="M49" t="str">
        <f t="shared" si="2"/>
        <v>matty-3</v>
      </c>
      <c r="N49" t="str">
        <f>INDEX(Scores!$A$2:$A$11,INDEX(Scores!$AA$2:$AA$131,MATCH(C49,Scores!$AB$2:$AB$131,0)))</f>
        <v>matty</v>
      </c>
      <c r="O49">
        <f t="shared" si="3"/>
        <v>116.17999999999999</v>
      </c>
      <c r="P49">
        <f t="shared" si="4"/>
        <v>478.31470000000002</v>
      </c>
      <c r="Q49" s="3">
        <f t="shared" si="5"/>
        <v>0.35337614783800875</v>
      </c>
      <c r="R49" s="3">
        <f t="shared" si="6"/>
        <v>0.39099466662086163</v>
      </c>
      <c r="S49" s="9">
        <f t="shared" si="7"/>
        <v>3.7618518782852883E-2</v>
      </c>
      <c r="T49">
        <f t="shared" si="8"/>
        <v>85</v>
      </c>
      <c r="U49">
        <f t="shared" si="9"/>
        <v>81</v>
      </c>
      <c r="V49" s="3">
        <f t="shared" si="10"/>
        <v>0.53083167302171474</v>
      </c>
      <c r="W49" s="9">
        <f t="shared" si="11"/>
        <v>0.46916832697828526</v>
      </c>
      <c r="AB49" s="111" t="s">
        <v>199</v>
      </c>
      <c r="AC49" s="22"/>
      <c r="AD49" s="22"/>
      <c r="AE49" s="22"/>
      <c r="AF49" s="22"/>
      <c r="AG49" s="22"/>
      <c r="AH49" s="22"/>
      <c r="AI49" s="22"/>
      <c r="AJ49" s="22"/>
      <c r="AK49" s="22"/>
      <c r="AL49" s="22">
        <v>-7.3315348505718081E-2</v>
      </c>
      <c r="AM49" s="22"/>
      <c r="AN49" s="22"/>
      <c r="AO49" s="22"/>
      <c r="AP49" s="22"/>
      <c r="AQ49" s="22"/>
      <c r="AR49" s="22"/>
      <c r="AS49" s="22"/>
      <c r="AT49" s="22"/>
      <c r="AU49" s="22"/>
      <c r="AV49" s="22"/>
      <c r="AW49" s="22"/>
      <c r="AX49" s="22"/>
      <c r="AY49" s="22">
        <v>6.8996031110657441E-11</v>
      </c>
      <c r="AZ49" s="22"/>
      <c r="BA49" s="22"/>
      <c r="BB49" s="22"/>
      <c r="BC49" s="22">
        <v>-7.3315348505718081E-2</v>
      </c>
      <c r="BD49" s="22">
        <v>6.8996031110657441E-11</v>
      </c>
    </row>
    <row r="50" spans="1:56" x14ac:dyDescent="0.25">
      <c r="A50" t="s">
        <v>80</v>
      </c>
      <c r="B50">
        <v>7</v>
      </c>
      <c r="C50" t="s">
        <v>961</v>
      </c>
      <c r="D50" t="s">
        <v>467</v>
      </c>
      <c r="E50">
        <v>30</v>
      </c>
      <c r="F50">
        <v>17.61</v>
      </c>
      <c r="G50">
        <v>58.216900000000003</v>
      </c>
      <c r="H50" t="s">
        <v>15</v>
      </c>
      <c r="I50" t="s">
        <v>15</v>
      </c>
      <c r="J50" t="s">
        <v>23</v>
      </c>
      <c r="K50">
        <f t="shared" si="0"/>
        <v>103.81000000000002</v>
      </c>
      <c r="L50">
        <f t="shared" si="1"/>
        <v>404.20889999999997</v>
      </c>
      <c r="M50" t="str">
        <f t="shared" si="2"/>
        <v>chad-7</v>
      </c>
      <c r="N50" t="str">
        <f>INDEX(Scores!$A$2:$A$11,INDEX(Scores!$AA$2:$AA$131,MATCH(C50,Scores!$AB$2:$AB$131,0)))</f>
        <v>chad</v>
      </c>
      <c r="O50">
        <f t="shared" si="3"/>
        <v>99.759999999999991</v>
      </c>
      <c r="P50">
        <f t="shared" si="4"/>
        <v>339.923</v>
      </c>
      <c r="Q50" s="3">
        <f t="shared" si="5"/>
        <v>0.55901290364123501</v>
      </c>
      <c r="R50" s="3">
        <f t="shared" si="6"/>
        <v>0.73490663941686973</v>
      </c>
      <c r="S50" s="9">
        <f t="shared" si="7"/>
        <v>0.17589373577563472</v>
      </c>
      <c r="T50">
        <f t="shared" si="8"/>
        <v>115</v>
      </c>
      <c r="U50">
        <f t="shared" si="9"/>
        <v>102</v>
      </c>
      <c r="V50" s="3">
        <f t="shared" si="10"/>
        <v>0.53186052438414544</v>
      </c>
      <c r="W50" s="9">
        <f t="shared" si="11"/>
        <v>0.46813947561585456</v>
      </c>
      <c r="AB50" s="111" t="s">
        <v>97</v>
      </c>
      <c r="AC50" s="22">
        <v>-1.6789501204364288E-2</v>
      </c>
      <c r="AD50" s="22"/>
      <c r="AE50" s="22"/>
      <c r="AF50" s="22"/>
      <c r="AG50" s="22"/>
      <c r="AH50" s="22"/>
      <c r="AI50" s="22"/>
      <c r="AJ50" s="22"/>
      <c r="AK50" s="22"/>
      <c r="AL50" s="22"/>
      <c r="AM50" s="22"/>
      <c r="AN50" s="22"/>
      <c r="AO50" s="22"/>
      <c r="AP50" s="22">
        <v>7.0926597928178126E-12</v>
      </c>
      <c r="AQ50" s="22"/>
      <c r="AR50" s="22"/>
      <c r="AS50" s="22"/>
      <c r="AT50" s="22"/>
      <c r="AU50" s="22"/>
      <c r="AV50" s="22"/>
      <c r="AW50" s="22"/>
      <c r="AX50" s="22"/>
      <c r="AY50" s="22"/>
      <c r="AZ50" s="22"/>
      <c r="BA50" s="22"/>
      <c r="BB50" s="22"/>
      <c r="BC50" s="22">
        <v>-1.6789501204364288E-2</v>
      </c>
      <c r="BD50" s="22">
        <v>7.0926597928178126E-12</v>
      </c>
    </row>
    <row r="51" spans="1:56" x14ac:dyDescent="0.25">
      <c r="A51" t="s">
        <v>96</v>
      </c>
      <c r="B51">
        <v>1</v>
      </c>
      <c r="C51" t="s">
        <v>506</v>
      </c>
      <c r="D51" t="s">
        <v>471</v>
      </c>
      <c r="E51">
        <v>18</v>
      </c>
      <c r="F51">
        <v>13.37</v>
      </c>
      <c r="G51">
        <v>83.539599999999993</v>
      </c>
      <c r="H51" t="s">
        <v>87</v>
      </c>
      <c r="I51" t="s">
        <v>87</v>
      </c>
      <c r="J51" t="s">
        <v>27</v>
      </c>
      <c r="K51">
        <f t="shared" si="0"/>
        <v>110.7</v>
      </c>
      <c r="L51">
        <f t="shared" si="1"/>
        <v>433.44330000000002</v>
      </c>
      <c r="M51" t="str">
        <f t="shared" si="2"/>
        <v>seth-1</v>
      </c>
      <c r="N51" t="str">
        <f>INDEX(Scores!$A$2:$A$11,INDEX(Scores!$AA$2:$AA$131,MATCH(C51,Scores!$AB$2:$AB$131,0)))</f>
        <v>seth</v>
      </c>
      <c r="O51">
        <f t="shared" si="3"/>
        <v>111.07</v>
      </c>
      <c r="P51">
        <f t="shared" si="4"/>
        <v>422.00569999999999</v>
      </c>
      <c r="Q51" s="3">
        <f t="shared" si="5"/>
        <v>0.49495335047896771</v>
      </c>
      <c r="R51" s="3">
        <f t="shared" si="6"/>
        <v>0.56093088045975126</v>
      </c>
      <c r="S51" s="9">
        <f t="shared" si="7"/>
        <v>6.5977529980783545E-2</v>
      </c>
      <c r="T51">
        <f t="shared" si="8"/>
        <v>77</v>
      </c>
      <c r="U51">
        <f t="shared" si="9"/>
        <v>71</v>
      </c>
      <c r="V51" s="3">
        <f t="shared" si="10"/>
        <v>0.55957453235195875</v>
      </c>
      <c r="W51" s="9">
        <f t="shared" si="11"/>
        <v>0.44042546764804125</v>
      </c>
      <c r="AB51" s="111" t="s">
        <v>207</v>
      </c>
      <c r="AC51" s="22"/>
      <c r="AD51" s="22"/>
      <c r="AE51" s="22"/>
      <c r="AF51" s="22"/>
      <c r="AG51" s="22"/>
      <c r="AH51" s="22"/>
      <c r="AI51" s="22"/>
      <c r="AJ51" s="22"/>
      <c r="AK51" s="22"/>
      <c r="AL51" s="22"/>
      <c r="AM51" s="22"/>
      <c r="AN51" s="22">
        <v>5.0227432656222537E-2</v>
      </c>
      <c r="AO51" s="22"/>
      <c r="AP51" s="22"/>
      <c r="AQ51" s="22"/>
      <c r="AR51" s="22"/>
      <c r="AS51" s="22"/>
      <c r="AT51" s="22"/>
      <c r="AU51" s="22"/>
      <c r="AV51" s="22"/>
      <c r="AW51" s="22"/>
      <c r="AX51" s="22"/>
      <c r="AY51" s="22"/>
      <c r="AZ51" s="22"/>
      <c r="BA51" s="22">
        <v>1.1057821325266559E-13</v>
      </c>
      <c r="BB51" s="22"/>
      <c r="BC51" s="22">
        <v>5.0227432656222537E-2</v>
      </c>
      <c r="BD51" s="22">
        <v>1.1057821325266559E-13</v>
      </c>
    </row>
    <row r="52" spans="1:56" x14ac:dyDescent="0.25">
      <c r="A52" t="s">
        <v>151</v>
      </c>
      <c r="B52">
        <v>13</v>
      </c>
      <c r="C52" t="s">
        <v>951</v>
      </c>
      <c r="D52" t="s">
        <v>475</v>
      </c>
      <c r="E52">
        <v>21</v>
      </c>
      <c r="F52">
        <v>7.74</v>
      </c>
      <c r="G52">
        <v>23.328900000000001</v>
      </c>
      <c r="H52" t="s">
        <v>114</v>
      </c>
      <c r="I52" t="s">
        <v>114</v>
      </c>
      <c r="J52" t="s">
        <v>62</v>
      </c>
      <c r="K52">
        <f t="shared" si="0"/>
        <v>113.35</v>
      </c>
      <c r="L52">
        <f t="shared" si="1"/>
        <v>486.24799999999993</v>
      </c>
      <c r="M52" t="str">
        <f t="shared" si="2"/>
        <v>comp-13</v>
      </c>
      <c r="N52" t="str">
        <f>INDEX(Scores!$A$2:$A$11,INDEX(Scores!$AA$2:$AA$131,MATCH(C52,Scores!$AB$2:$AB$131,0)))</f>
        <v>comp</v>
      </c>
      <c r="O52">
        <f t="shared" si="3"/>
        <v>104.63999999999999</v>
      </c>
      <c r="P52">
        <f t="shared" si="4"/>
        <v>400.33339999999998</v>
      </c>
      <c r="Q52" s="3">
        <f t="shared" si="5"/>
        <v>0.6150563098213474</v>
      </c>
      <c r="R52" s="3">
        <f t="shared" si="6"/>
        <v>0.77269696462901838</v>
      </c>
      <c r="S52" s="9">
        <f t="shared" si="7"/>
        <v>0.15764065480767098</v>
      </c>
      <c r="T52">
        <f t="shared" si="8"/>
        <v>95</v>
      </c>
      <c r="U52">
        <f t="shared" si="9"/>
        <v>81</v>
      </c>
      <c r="V52" s="3">
        <f t="shared" si="10"/>
        <v>0.56088331301900385</v>
      </c>
      <c r="W52" s="9">
        <f t="shared" si="11"/>
        <v>0.43911668698099615</v>
      </c>
      <c r="AB52" s="111" t="s">
        <v>162</v>
      </c>
      <c r="AC52" s="22"/>
      <c r="AD52" s="22"/>
      <c r="AE52" s="22"/>
      <c r="AF52" s="22">
        <v>-4.5182062540057855E-3</v>
      </c>
      <c r="AG52" s="22"/>
      <c r="AH52" s="22"/>
      <c r="AI52" s="22"/>
      <c r="AJ52" s="22"/>
      <c r="AK52" s="22"/>
      <c r="AL52" s="22"/>
      <c r="AM52" s="22"/>
      <c r="AN52" s="22">
        <v>2.1355884299793848E-2</v>
      </c>
      <c r="AO52" s="22"/>
      <c r="AP52" s="22"/>
      <c r="AQ52" s="22"/>
      <c r="AR52" s="22"/>
      <c r="AS52" s="22">
        <v>-3.8487166741807852E-17</v>
      </c>
      <c r="AT52" s="22"/>
      <c r="AU52" s="22"/>
      <c r="AV52" s="22"/>
      <c r="AW52" s="22"/>
      <c r="AX52" s="22"/>
      <c r="AY52" s="22"/>
      <c r="AZ52" s="22"/>
      <c r="BA52" s="22">
        <v>5.595524044110789E-14</v>
      </c>
      <c r="BB52" s="22"/>
      <c r="BC52" s="22">
        <v>1.6837678045788063E-2</v>
      </c>
      <c r="BD52" s="22">
        <v>5.5916753274366082E-14</v>
      </c>
    </row>
    <row r="53" spans="1:56" x14ac:dyDescent="0.25">
      <c r="A53" t="s">
        <v>112</v>
      </c>
      <c r="B53">
        <v>10</v>
      </c>
      <c r="C53" t="s">
        <v>932</v>
      </c>
      <c r="D53" t="s">
        <v>466</v>
      </c>
      <c r="E53">
        <v>16</v>
      </c>
      <c r="F53">
        <v>11.41</v>
      </c>
      <c r="G53">
        <v>60.528399999999998</v>
      </c>
      <c r="H53" t="s">
        <v>466</v>
      </c>
      <c r="I53" t="s">
        <v>47</v>
      </c>
      <c r="J53" t="s">
        <v>35</v>
      </c>
      <c r="K53">
        <f t="shared" si="0"/>
        <v>101.66000000000001</v>
      </c>
      <c r="L53">
        <f t="shared" si="1"/>
        <v>359.87040000000002</v>
      </c>
      <c r="M53" t="str">
        <f t="shared" si="2"/>
        <v>lucas-10</v>
      </c>
      <c r="N53" t="str">
        <f>INDEX(Scores!$A$2:$A$11,INDEX(Scores!$AA$2:$AA$131,MATCH(C53,Scores!$AB$2:$AB$131,0)))</f>
        <v>lucas</v>
      </c>
      <c r="O53">
        <f t="shared" si="3"/>
        <v>0</v>
      </c>
      <c r="P53">
        <f t="shared" si="4"/>
        <v>0</v>
      </c>
      <c r="Q53" s="3">
        <f t="shared" si="5"/>
        <v>0.99999995813888032</v>
      </c>
      <c r="R53" s="3">
        <f t="shared" si="6"/>
        <v>0.99999999959020158</v>
      </c>
      <c r="S53" s="9">
        <f t="shared" si="7"/>
        <v>4.1451321264318608E-8</v>
      </c>
      <c r="T53">
        <f t="shared" si="8"/>
        <v>97</v>
      </c>
      <c r="U53">
        <f t="shared" si="9"/>
        <v>0</v>
      </c>
      <c r="V53" s="3">
        <f t="shared" si="10"/>
        <v>1</v>
      </c>
      <c r="W53" s="9">
        <f t="shared" si="11"/>
        <v>0</v>
      </c>
      <c r="AB53" s="111" t="s">
        <v>413</v>
      </c>
      <c r="AC53" s="22">
        <v>5.5624561026616282E-2</v>
      </c>
      <c r="AD53" s="22"/>
      <c r="AE53" s="22"/>
      <c r="AF53" s="22"/>
      <c r="AG53" s="22"/>
      <c r="AH53" s="22"/>
      <c r="AI53" s="22"/>
      <c r="AJ53" s="22"/>
      <c r="AK53" s="22"/>
      <c r="AL53" s="22"/>
      <c r="AM53" s="22"/>
      <c r="AN53" s="22"/>
      <c r="AO53" s="22"/>
      <c r="AP53" s="22">
        <v>3.4861002973229915E-14</v>
      </c>
      <c r="AQ53" s="22"/>
      <c r="AR53" s="22"/>
      <c r="AS53" s="22"/>
      <c r="AT53" s="22"/>
      <c r="AU53" s="22"/>
      <c r="AV53" s="22"/>
      <c r="AW53" s="22"/>
      <c r="AX53" s="22"/>
      <c r="AY53" s="22"/>
      <c r="AZ53" s="22"/>
      <c r="BA53" s="22"/>
      <c r="BB53" s="22"/>
      <c r="BC53" s="22">
        <v>5.5624561026616282E-2</v>
      </c>
      <c r="BD53" s="22">
        <v>3.4861002973229915E-14</v>
      </c>
    </row>
    <row r="54" spans="1:56" x14ac:dyDescent="0.25">
      <c r="A54" t="s">
        <v>213</v>
      </c>
      <c r="B54">
        <v>8</v>
      </c>
      <c r="C54" t="s">
        <v>970</v>
      </c>
      <c r="D54" t="s">
        <v>475</v>
      </c>
      <c r="E54">
        <v>6</v>
      </c>
      <c r="F54">
        <v>5.88</v>
      </c>
      <c r="G54">
        <v>19.1844</v>
      </c>
      <c r="H54" t="s">
        <v>114</v>
      </c>
      <c r="I54" t="s">
        <v>114</v>
      </c>
      <c r="J54" t="s">
        <v>49</v>
      </c>
      <c r="K54">
        <f t="shared" si="0"/>
        <v>88.500000000000014</v>
      </c>
      <c r="L54">
        <f t="shared" si="1"/>
        <v>351.30459999999999</v>
      </c>
      <c r="M54" t="str">
        <f t="shared" si="2"/>
        <v>cory-8</v>
      </c>
      <c r="N54" t="str">
        <f>INDEX(Scores!$A$2:$A$11,INDEX(Scores!$AA$2:$AA$131,MATCH(C54,Scores!$AB$2:$AB$131,0)))</f>
        <v>cory</v>
      </c>
      <c r="O54">
        <f t="shared" si="3"/>
        <v>106.3</v>
      </c>
      <c r="P54">
        <f t="shared" si="4"/>
        <v>423.11159999999995</v>
      </c>
      <c r="Q54" s="3">
        <f t="shared" si="5"/>
        <v>0.2612046893481158</v>
      </c>
      <c r="R54" s="3">
        <f t="shared" si="6"/>
        <v>0.26000099805129517</v>
      </c>
      <c r="S54" s="9">
        <f t="shared" si="7"/>
        <v>-1.2036912968206304E-3</v>
      </c>
      <c r="T54">
        <f t="shared" si="8"/>
        <v>107</v>
      </c>
      <c r="U54">
        <f t="shared" si="9"/>
        <v>106</v>
      </c>
      <c r="V54" s="3">
        <f t="shared" si="10"/>
        <v>0.57961679339356864</v>
      </c>
      <c r="W54" s="9">
        <f t="shared" si="11"/>
        <v>0.42038320660643136</v>
      </c>
      <c r="AB54" s="111" t="s">
        <v>406</v>
      </c>
      <c r="AC54" s="22"/>
      <c r="AD54" s="22"/>
      <c r="AE54" s="22"/>
      <c r="AF54" s="22"/>
      <c r="AG54" s="22"/>
      <c r="AH54" s="22"/>
      <c r="AI54" s="22"/>
      <c r="AJ54" s="22"/>
      <c r="AK54" s="22"/>
      <c r="AL54" s="22"/>
      <c r="AM54" s="22"/>
      <c r="AN54" s="22">
        <v>1.7514240616805066E-2</v>
      </c>
      <c r="AO54" s="22"/>
      <c r="AP54" s="22"/>
      <c r="AQ54" s="22"/>
      <c r="AR54" s="22"/>
      <c r="AS54" s="22"/>
      <c r="AT54" s="22"/>
      <c r="AU54" s="22"/>
      <c r="AV54" s="22"/>
      <c r="AW54" s="22"/>
      <c r="AX54" s="22"/>
      <c r="AY54" s="22"/>
      <c r="AZ54" s="22"/>
      <c r="BA54" s="22">
        <v>4.7739590058881731E-15</v>
      </c>
      <c r="BB54" s="22"/>
      <c r="BC54" s="22">
        <v>1.7514240616805066E-2</v>
      </c>
      <c r="BD54" s="22">
        <v>4.7739590058881731E-15</v>
      </c>
    </row>
    <row r="55" spans="1:56" x14ac:dyDescent="0.25">
      <c r="A55" t="s">
        <v>67</v>
      </c>
      <c r="B55">
        <v>5</v>
      </c>
      <c r="C55" t="s">
        <v>889</v>
      </c>
      <c r="D55" t="s">
        <v>467</v>
      </c>
      <c r="E55">
        <v>20</v>
      </c>
      <c r="F55">
        <v>15.34</v>
      </c>
      <c r="G55">
        <v>43.824399999999997</v>
      </c>
      <c r="H55" t="s">
        <v>15</v>
      </c>
      <c r="I55" t="s">
        <v>15</v>
      </c>
      <c r="J55" t="s">
        <v>23</v>
      </c>
      <c r="K55">
        <f t="shared" si="0"/>
        <v>97.27</v>
      </c>
      <c r="L55">
        <f t="shared" si="1"/>
        <v>430.39269999999999</v>
      </c>
      <c r="M55" t="str">
        <f t="shared" si="2"/>
        <v>seth-5</v>
      </c>
      <c r="N55" t="str">
        <f>INDEX(Scores!$A$2:$A$11,INDEX(Scores!$AA$2:$AA$131,MATCH(C55,Scores!$AB$2:$AB$131,0)))</f>
        <v>seth</v>
      </c>
      <c r="O55">
        <f t="shared" si="3"/>
        <v>98.72999999999999</v>
      </c>
      <c r="P55">
        <f t="shared" si="4"/>
        <v>396.28840000000002</v>
      </c>
      <c r="Q55" s="3">
        <f t="shared" si="5"/>
        <v>0.47975082605670671</v>
      </c>
      <c r="R55" s="3">
        <f t="shared" si="6"/>
        <v>0.54552741050944875</v>
      </c>
      <c r="S55" s="9">
        <f t="shared" si="7"/>
        <v>6.5776584452742037E-2</v>
      </c>
      <c r="T55">
        <f t="shared" si="8"/>
        <v>96</v>
      </c>
      <c r="U55">
        <f t="shared" si="9"/>
        <v>90</v>
      </c>
      <c r="V55" s="3">
        <f t="shared" si="10"/>
        <v>0.58020459842230254</v>
      </c>
      <c r="W55" s="9">
        <f t="shared" si="11"/>
        <v>0.41979540157769746</v>
      </c>
      <c r="AB55" s="111" t="s">
        <v>211</v>
      </c>
      <c r="AC55" s="22">
        <v>0.15120453966408742</v>
      </c>
      <c r="AD55" s="22"/>
      <c r="AE55" s="22"/>
      <c r="AF55" s="22"/>
      <c r="AG55" s="22"/>
      <c r="AH55" s="22"/>
      <c r="AI55" s="22"/>
      <c r="AJ55" s="22"/>
      <c r="AK55" s="22"/>
      <c r="AL55" s="22"/>
      <c r="AM55" s="22"/>
      <c r="AN55" s="22"/>
      <c r="AO55" s="22"/>
      <c r="AP55" s="22">
        <v>3.219646771412954E-15</v>
      </c>
      <c r="AQ55" s="22"/>
      <c r="AR55" s="22"/>
      <c r="AS55" s="22"/>
      <c r="AT55" s="22"/>
      <c r="AU55" s="22"/>
      <c r="AV55" s="22"/>
      <c r="AW55" s="22"/>
      <c r="AX55" s="22"/>
      <c r="AY55" s="22"/>
      <c r="AZ55" s="22"/>
      <c r="BA55" s="22"/>
      <c r="BB55" s="22"/>
      <c r="BC55" s="22">
        <v>0.15120453966408742</v>
      </c>
      <c r="BD55" s="22">
        <v>3.219646771412954E-15</v>
      </c>
    </row>
    <row r="56" spans="1:56" x14ac:dyDescent="0.25">
      <c r="A56" t="s">
        <v>57</v>
      </c>
      <c r="B56">
        <v>7</v>
      </c>
      <c r="C56" t="s">
        <v>929</v>
      </c>
      <c r="D56" t="s">
        <v>468</v>
      </c>
      <c r="E56">
        <v>39</v>
      </c>
      <c r="F56">
        <v>16.89</v>
      </c>
      <c r="G56">
        <v>83.539599999999993</v>
      </c>
      <c r="H56" t="s">
        <v>47</v>
      </c>
      <c r="I56" t="s">
        <v>47</v>
      </c>
      <c r="J56" t="s">
        <v>35</v>
      </c>
      <c r="K56">
        <f t="shared" si="0"/>
        <v>106.81</v>
      </c>
      <c r="L56">
        <f t="shared" si="1"/>
        <v>351.64060000000001</v>
      </c>
      <c r="M56" t="str">
        <f t="shared" si="2"/>
        <v>aj-7</v>
      </c>
      <c r="N56" t="str">
        <f>INDEX(Scores!$A$2:$A$11,INDEX(Scores!$AA$2:$AA$131,MATCH(C56,Scores!$AB$2:$AB$131,0)))</f>
        <v>aj</v>
      </c>
      <c r="O56">
        <f t="shared" si="3"/>
        <v>114.01999999999998</v>
      </c>
      <c r="P56">
        <f t="shared" si="4"/>
        <v>381.58529999999996</v>
      </c>
      <c r="Q56" s="3">
        <f t="shared" si="5"/>
        <v>0.39501702421215146</v>
      </c>
      <c r="R56" s="3">
        <f t="shared" si="6"/>
        <v>0.72058060277350844</v>
      </c>
      <c r="S56" s="9">
        <f t="shared" si="7"/>
        <v>0.32556357856135698</v>
      </c>
      <c r="T56">
        <f t="shared" si="8"/>
        <v>117</v>
      </c>
      <c r="U56">
        <f t="shared" si="9"/>
        <v>93</v>
      </c>
      <c r="V56" s="3">
        <f t="shared" si="10"/>
        <v>0.58191047778465554</v>
      </c>
      <c r="W56" s="9">
        <f t="shared" si="11"/>
        <v>0.41808952221534446</v>
      </c>
      <c r="AB56" s="111" t="s">
        <v>122</v>
      </c>
      <c r="AC56" s="22">
        <v>2.4295122615792919E-2</v>
      </c>
      <c r="AD56" s="22"/>
      <c r="AE56" s="22"/>
      <c r="AF56" s="22"/>
      <c r="AG56" s="22"/>
      <c r="AH56" s="22"/>
      <c r="AI56" s="22"/>
      <c r="AJ56" s="22"/>
      <c r="AK56" s="22"/>
      <c r="AL56" s="22"/>
      <c r="AM56" s="22"/>
      <c r="AN56" s="22"/>
      <c r="AO56" s="22"/>
      <c r="AP56" s="22">
        <v>0</v>
      </c>
      <c r="AQ56" s="22"/>
      <c r="AR56" s="22"/>
      <c r="AS56" s="22"/>
      <c r="AT56" s="22"/>
      <c r="AU56" s="22"/>
      <c r="AV56" s="22"/>
      <c r="AW56" s="22"/>
      <c r="AX56" s="22"/>
      <c r="AY56" s="22"/>
      <c r="AZ56" s="22"/>
      <c r="BA56" s="22"/>
      <c r="BB56" s="22"/>
      <c r="BC56" s="22">
        <v>2.4295122615792919E-2</v>
      </c>
      <c r="BD56" s="22">
        <v>0</v>
      </c>
    </row>
    <row r="57" spans="1:56" x14ac:dyDescent="0.25">
      <c r="A57" t="s">
        <v>151</v>
      </c>
      <c r="B57">
        <v>2</v>
      </c>
      <c r="C57" t="s">
        <v>638</v>
      </c>
      <c r="D57" t="s">
        <v>475</v>
      </c>
      <c r="E57">
        <v>16</v>
      </c>
      <c r="F57">
        <v>8.5500000000000007</v>
      </c>
      <c r="G57">
        <v>33.0625</v>
      </c>
      <c r="H57" t="s">
        <v>114</v>
      </c>
      <c r="I57" t="s">
        <v>114</v>
      </c>
      <c r="J57" t="s">
        <v>62</v>
      </c>
      <c r="K57">
        <f t="shared" si="0"/>
        <v>102.72000000000001</v>
      </c>
      <c r="L57">
        <f t="shared" si="1"/>
        <v>348.54960000000005</v>
      </c>
      <c r="M57" t="str">
        <f t="shared" si="2"/>
        <v>aj-2</v>
      </c>
      <c r="N57" t="str">
        <f>INDEX(Scores!$A$2:$A$11,INDEX(Scores!$AA$2:$AA$131,MATCH(C57,Scores!$AB$2:$AB$131,0)))</f>
        <v>aj</v>
      </c>
      <c r="O57">
        <f t="shared" si="3"/>
        <v>103.77999999999999</v>
      </c>
      <c r="P57">
        <f t="shared" si="4"/>
        <v>338.9511</v>
      </c>
      <c r="Q57" s="3">
        <f t="shared" si="5"/>
        <v>0.48387643490903587</v>
      </c>
      <c r="R57" s="3">
        <f t="shared" si="6"/>
        <v>0.59862323043802457</v>
      </c>
      <c r="S57" s="9">
        <f t="shared" si="7"/>
        <v>0.1147467955289887</v>
      </c>
      <c r="T57">
        <f t="shared" si="8"/>
        <v>99</v>
      </c>
      <c r="U57">
        <f t="shared" si="9"/>
        <v>90</v>
      </c>
      <c r="V57" s="3">
        <f t="shared" si="10"/>
        <v>0.60625261875104486</v>
      </c>
      <c r="W57" s="9">
        <f t="shared" si="11"/>
        <v>0.39374738124895514</v>
      </c>
      <c r="AB57" s="111" t="s">
        <v>446</v>
      </c>
      <c r="AC57" s="22"/>
      <c r="AD57" s="22"/>
      <c r="AE57" s="22"/>
      <c r="AF57" s="22"/>
      <c r="AG57" s="22"/>
      <c r="AH57" s="22"/>
      <c r="AI57" s="22"/>
      <c r="AJ57" s="22"/>
      <c r="AK57" s="22"/>
      <c r="AL57" s="22"/>
      <c r="AM57" s="22"/>
      <c r="AN57" s="22">
        <v>-4.8695936119578787E-2</v>
      </c>
      <c r="AO57" s="22"/>
      <c r="AP57" s="22"/>
      <c r="AQ57" s="22"/>
      <c r="AR57" s="22"/>
      <c r="AS57" s="22"/>
      <c r="AT57" s="22"/>
      <c r="AU57" s="22"/>
      <c r="AV57" s="22"/>
      <c r="AW57" s="22"/>
      <c r="AX57" s="22"/>
      <c r="AY57" s="22"/>
      <c r="AZ57" s="22"/>
      <c r="BA57" s="22">
        <v>0</v>
      </c>
      <c r="BB57" s="22"/>
      <c r="BC57" s="22">
        <v>-4.8695936119578787E-2</v>
      </c>
      <c r="BD57" s="22">
        <v>0</v>
      </c>
    </row>
    <row r="58" spans="1:56" x14ac:dyDescent="0.25">
      <c r="A58" t="s">
        <v>462</v>
      </c>
      <c r="B58">
        <v>12</v>
      </c>
      <c r="C58" t="s">
        <v>982</v>
      </c>
      <c r="D58" t="s">
        <v>478</v>
      </c>
      <c r="E58">
        <v>10</v>
      </c>
      <c r="F58">
        <v>8.3800000000000008</v>
      </c>
      <c r="G58">
        <v>21.16</v>
      </c>
      <c r="H58" t="s">
        <v>478</v>
      </c>
      <c r="I58" t="s">
        <v>478</v>
      </c>
      <c r="J58" t="s">
        <v>44</v>
      </c>
      <c r="K58">
        <f t="shared" si="0"/>
        <v>102.15</v>
      </c>
      <c r="L58">
        <f t="shared" si="1"/>
        <v>468.55759999999998</v>
      </c>
      <c r="M58" t="str">
        <f t="shared" si="2"/>
        <v>chad-12</v>
      </c>
      <c r="N58" t="str">
        <f>INDEX(Scores!$A$2:$A$11,INDEX(Scores!$AA$2:$AA$131,MATCH(C58,Scores!$AB$2:$AB$131,0)))</f>
        <v>chad</v>
      </c>
      <c r="O58">
        <f t="shared" si="3"/>
        <v>115.8</v>
      </c>
      <c r="P58">
        <f t="shared" si="4"/>
        <v>455.64659999999998</v>
      </c>
      <c r="Q58" s="3">
        <f t="shared" si="5"/>
        <v>0.3267149551815689</v>
      </c>
      <c r="R58" s="3">
        <f t="shared" si="6"/>
        <v>0.34445911764318715</v>
      </c>
      <c r="S58" s="9">
        <f t="shared" si="7"/>
        <v>1.7744162461618251E-2</v>
      </c>
      <c r="T58">
        <f t="shared" si="8"/>
        <v>95</v>
      </c>
      <c r="U58">
        <f t="shared" si="9"/>
        <v>92</v>
      </c>
      <c r="V58" s="3">
        <f t="shared" si="10"/>
        <v>0.61791142218895279</v>
      </c>
      <c r="W58" s="9">
        <f t="shared" si="11"/>
        <v>0.38208857781104721</v>
      </c>
      <c r="AB58" s="111" t="s">
        <v>18</v>
      </c>
      <c r="AC58" s="22">
        <v>-0.13279904791830432</v>
      </c>
      <c r="AD58" s="22"/>
      <c r="AE58" s="22"/>
      <c r="AF58" s="22"/>
      <c r="AG58" s="22"/>
      <c r="AH58" s="22"/>
      <c r="AI58" s="22"/>
      <c r="AJ58" s="22"/>
      <c r="AK58" s="22"/>
      <c r="AL58" s="22"/>
      <c r="AM58" s="22"/>
      <c r="AN58" s="22"/>
      <c r="AO58" s="22"/>
      <c r="AP58" s="22">
        <v>0</v>
      </c>
      <c r="AQ58" s="22"/>
      <c r="AR58" s="22"/>
      <c r="AS58" s="22"/>
      <c r="AT58" s="22"/>
      <c r="AU58" s="22"/>
      <c r="AV58" s="22"/>
      <c r="AW58" s="22"/>
      <c r="AX58" s="22"/>
      <c r="AY58" s="22"/>
      <c r="AZ58" s="22"/>
      <c r="BA58" s="22"/>
      <c r="BB58" s="22"/>
      <c r="BC58" s="22">
        <v>-0.13279904791830432</v>
      </c>
      <c r="BD58" s="22">
        <v>0</v>
      </c>
    </row>
    <row r="59" spans="1:56" x14ac:dyDescent="0.25">
      <c r="A59" t="s">
        <v>407</v>
      </c>
      <c r="B59">
        <v>8</v>
      </c>
      <c r="C59" t="s">
        <v>946</v>
      </c>
      <c r="D59" t="s">
        <v>477</v>
      </c>
      <c r="E59">
        <v>8</v>
      </c>
      <c r="F59">
        <v>6.52</v>
      </c>
      <c r="G59">
        <v>25.300899999999999</v>
      </c>
      <c r="H59" t="s">
        <v>477</v>
      </c>
      <c r="I59" t="s">
        <v>477</v>
      </c>
      <c r="J59" t="s">
        <v>62</v>
      </c>
      <c r="K59">
        <f t="shared" si="0"/>
        <v>94.88</v>
      </c>
      <c r="L59">
        <f t="shared" si="1"/>
        <v>320.65749999999997</v>
      </c>
      <c r="M59" t="str">
        <f t="shared" si="2"/>
        <v>scott-8</v>
      </c>
      <c r="N59" t="str">
        <f>INDEX(Scores!$A$2:$A$11,INDEX(Scores!$AA$2:$AA$131,MATCH(C59,Scores!$AB$2:$AB$131,0)))</f>
        <v>scott</v>
      </c>
      <c r="O59">
        <f t="shared" si="3"/>
        <v>113.35000000000001</v>
      </c>
      <c r="P59">
        <f t="shared" si="4"/>
        <v>416.81729999999993</v>
      </c>
      <c r="Q59" s="3">
        <f t="shared" si="5"/>
        <v>0.24821039531278949</v>
      </c>
      <c r="R59" s="3">
        <f t="shared" si="6"/>
        <v>0.26217661128414826</v>
      </c>
      <c r="S59" s="9">
        <f t="shared" si="7"/>
        <v>1.3966215971358775E-2</v>
      </c>
      <c r="T59">
        <f t="shared" si="8"/>
        <v>78</v>
      </c>
      <c r="U59">
        <f t="shared" si="9"/>
        <v>75</v>
      </c>
      <c r="V59" s="3">
        <f t="shared" si="10"/>
        <v>0.61874519689034391</v>
      </c>
      <c r="W59" s="9">
        <f t="shared" si="11"/>
        <v>0.38125480310965609</v>
      </c>
      <c r="AB59" s="111" t="s">
        <v>153</v>
      </c>
      <c r="AC59" s="22"/>
      <c r="AD59" s="22"/>
      <c r="AE59" s="22"/>
      <c r="AF59" s="22"/>
      <c r="AG59" s="22"/>
      <c r="AH59" s="22"/>
      <c r="AI59" s="22"/>
      <c r="AJ59" s="22"/>
      <c r="AK59" s="22"/>
      <c r="AL59" s="22"/>
      <c r="AM59" s="22"/>
      <c r="AN59" s="22">
        <v>-1.2730799554228067E-2</v>
      </c>
      <c r="AO59" s="22"/>
      <c r="AP59" s="22"/>
      <c r="AQ59" s="22"/>
      <c r="AR59" s="22"/>
      <c r="AS59" s="22"/>
      <c r="AT59" s="22"/>
      <c r="AU59" s="22"/>
      <c r="AV59" s="22"/>
      <c r="AW59" s="22"/>
      <c r="AX59" s="22"/>
      <c r="AY59" s="22"/>
      <c r="AZ59" s="22"/>
      <c r="BA59" s="22">
        <v>0</v>
      </c>
      <c r="BB59" s="22"/>
      <c r="BC59" s="22">
        <v>-1.2730799554228067E-2</v>
      </c>
      <c r="BD59" s="22">
        <v>0</v>
      </c>
    </row>
    <row r="60" spans="1:56" x14ac:dyDescent="0.25">
      <c r="A60" t="s">
        <v>86</v>
      </c>
      <c r="B60">
        <v>5</v>
      </c>
      <c r="C60" t="s">
        <v>888</v>
      </c>
      <c r="D60" t="s">
        <v>471</v>
      </c>
      <c r="E60">
        <v>15</v>
      </c>
      <c r="F60">
        <v>12.91</v>
      </c>
      <c r="G60">
        <v>39.69</v>
      </c>
      <c r="H60" t="s">
        <v>87</v>
      </c>
      <c r="I60" t="s">
        <v>87</v>
      </c>
      <c r="J60" t="s">
        <v>55</v>
      </c>
      <c r="K60">
        <f t="shared" si="0"/>
        <v>117.25999999999999</v>
      </c>
      <c r="L60">
        <f t="shared" si="1"/>
        <v>422.9941</v>
      </c>
      <c r="M60" t="str">
        <f t="shared" si="2"/>
        <v>matty-5</v>
      </c>
      <c r="N60" t="str">
        <f>INDEX(Scores!$A$2:$A$11,INDEX(Scores!$AA$2:$AA$131,MATCH(C60,Scores!$AB$2:$AB$131,0)))</f>
        <v>matty</v>
      </c>
      <c r="O60">
        <f t="shared" si="3"/>
        <v>99.23</v>
      </c>
      <c r="P60">
        <f t="shared" si="4"/>
        <v>364.64739999999995</v>
      </c>
      <c r="Q60" s="3">
        <f t="shared" si="5"/>
        <v>0.73970568419743477</v>
      </c>
      <c r="R60" s="3">
        <f t="shared" si="6"/>
        <v>0.76903845802056137</v>
      </c>
      <c r="S60" s="9">
        <f t="shared" si="7"/>
        <v>2.9332773823126601E-2</v>
      </c>
      <c r="T60">
        <f t="shared" si="8"/>
        <v>110</v>
      </c>
      <c r="U60">
        <f t="shared" si="9"/>
        <v>106</v>
      </c>
      <c r="V60" s="3">
        <f t="shared" si="10"/>
        <v>0.61912159875944028</v>
      </c>
      <c r="W60" s="9">
        <f t="shared" si="11"/>
        <v>0.38087840124055972</v>
      </c>
      <c r="AB60" s="111" t="s">
        <v>184</v>
      </c>
      <c r="AC60" s="22">
        <v>-9.6183812128385671E-2</v>
      </c>
      <c r="AD60" s="22"/>
      <c r="AE60" s="22"/>
      <c r="AF60" s="22"/>
      <c r="AG60" s="22"/>
      <c r="AH60" s="22"/>
      <c r="AI60" s="22"/>
      <c r="AJ60" s="22"/>
      <c r="AK60" s="22"/>
      <c r="AL60" s="22"/>
      <c r="AM60" s="22"/>
      <c r="AN60" s="22"/>
      <c r="AO60" s="22"/>
      <c r="AP60" s="22">
        <v>0</v>
      </c>
      <c r="AQ60" s="22"/>
      <c r="AR60" s="22"/>
      <c r="AS60" s="22"/>
      <c r="AT60" s="22"/>
      <c r="AU60" s="22"/>
      <c r="AV60" s="22"/>
      <c r="AW60" s="22"/>
      <c r="AX60" s="22"/>
      <c r="AY60" s="22"/>
      <c r="AZ60" s="22"/>
      <c r="BA60" s="22"/>
      <c r="BB60" s="22"/>
      <c r="BC60" s="22">
        <v>-9.6183812128385671E-2</v>
      </c>
      <c r="BD60" s="22">
        <v>0</v>
      </c>
    </row>
    <row r="61" spans="1:56" x14ac:dyDescent="0.25">
      <c r="A61" t="s">
        <v>172</v>
      </c>
      <c r="B61">
        <v>7</v>
      </c>
      <c r="C61" t="s">
        <v>913</v>
      </c>
      <c r="D61" t="s">
        <v>468</v>
      </c>
      <c r="E61">
        <v>8</v>
      </c>
      <c r="F61">
        <v>5.43</v>
      </c>
      <c r="G61">
        <v>21.3444</v>
      </c>
      <c r="H61" t="s">
        <v>47</v>
      </c>
      <c r="I61" t="s">
        <v>47</v>
      </c>
      <c r="J61" t="s">
        <v>16</v>
      </c>
      <c r="K61">
        <f t="shared" si="0"/>
        <v>86.09</v>
      </c>
      <c r="L61">
        <f t="shared" si="1"/>
        <v>350.80079999999998</v>
      </c>
      <c r="M61" t="str">
        <f t="shared" si="2"/>
        <v>seth-7</v>
      </c>
      <c r="N61" t="str">
        <f>INDEX(Scores!$A$2:$A$11,INDEX(Scores!$AA$2:$AA$131,MATCH(C61,Scores!$AB$2:$AB$131,0)))</f>
        <v>seth</v>
      </c>
      <c r="O61">
        <f t="shared" si="3"/>
        <v>96.25</v>
      </c>
      <c r="P61">
        <f t="shared" si="4"/>
        <v>294.3</v>
      </c>
      <c r="Q61" s="3">
        <f t="shared" si="5"/>
        <v>0.34457149944219723</v>
      </c>
      <c r="R61" s="3">
        <f t="shared" si="6"/>
        <v>0.3806010876659689</v>
      </c>
      <c r="S61" s="9">
        <f t="shared" si="7"/>
        <v>3.6029588223771669E-2</v>
      </c>
      <c r="T61">
        <f t="shared" si="8"/>
        <v>85</v>
      </c>
      <c r="U61">
        <f t="shared" si="9"/>
        <v>81</v>
      </c>
      <c r="V61" s="3">
        <f t="shared" si="10"/>
        <v>0.62153844829531113</v>
      </c>
      <c r="W61" s="9">
        <f t="shared" si="11"/>
        <v>0.37846155170468887</v>
      </c>
      <c r="AB61" s="111" t="s">
        <v>444</v>
      </c>
      <c r="AC61" s="22">
        <v>-9.5786531378129203E-3</v>
      </c>
      <c r="AD61" s="22"/>
      <c r="AE61" s="22"/>
      <c r="AF61" s="22"/>
      <c r="AG61" s="22"/>
      <c r="AH61" s="22"/>
      <c r="AI61" s="22"/>
      <c r="AJ61" s="22"/>
      <c r="AK61" s="22"/>
      <c r="AL61" s="22"/>
      <c r="AM61" s="22"/>
      <c r="AN61" s="22"/>
      <c r="AO61" s="22"/>
      <c r="AP61" s="22">
        <v>0</v>
      </c>
      <c r="AQ61" s="22"/>
      <c r="AR61" s="22"/>
      <c r="AS61" s="22"/>
      <c r="AT61" s="22"/>
      <c r="AU61" s="22"/>
      <c r="AV61" s="22"/>
      <c r="AW61" s="22"/>
      <c r="AX61" s="22"/>
      <c r="AY61" s="22"/>
      <c r="AZ61" s="22"/>
      <c r="BA61" s="22"/>
      <c r="BB61" s="22"/>
      <c r="BC61" s="22">
        <v>-9.5786531378129203E-3</v>
      </c>
      <c r="BD61" s="22">
        <v>0</v>
      </c>
    </row>
    <row r="62" spans="1:56" x14ac:dyDescent="0.25">
      <c r="A62" t="s">
        <v>163</v>
      </c>
      <c r="B62">
        <v>5</v>
      </c>
      <c r="C62" t="s">
        <v>885</v>
      </c>
      <c r="D62" t="s">
        <v>473</v>
      </c>
      <c r="E62">
        <v>10</v>
      </c>
      <c r="F62">
        <v>6.73</v>
      </c>
      <c r="G62">
        <v>30.360099999999999</v>
      </c>
      <c r="H62" t="s">
        <v>87</v>
      </c>
      <c r="I62" t="s">
        <v>87</v>
      </c>
      <c r="J62" t="s">
        <v>35</v>
      </c>
      <c r="K62">
        <f t="shared" si="0"/>
        <v>93.5</v>
      </c>
      <c r="L62">
        <f t="shared" si="1"/>
        <v>346.9006</v>
      </c>
      <c r="M62" t="str">
        <f t="shared" si="2"/>
        <v>cory-5</v>
      </c>
      <c r="N62" t="str">
        <f>INDEX(Scores!$A$2:$A$11,INDEX(Scores!$AA$2:$AA$131,MATCH(C62,Scores!$AB$2:$AB$131,0)))</f>
        <v>cory</v>
      </c>
      <c r="O62">
        <f t="shared" si="3"/>
        <v>109.91</v>
      </c>
      <c r="P62">
        <f t="shared" si="4"/>
        <v>349.51409999999998</v>
      </c>
      <c r="Q62" s="3">
        <f t="shared" si="5"/>
        <v>0.26702544199612877</v>
      </c>
      <c r="R62" s="3">
        <f t="shared" si="6"/>
        <v>0.30532572052804174</v>
      </c>
      <c r="S62" s="9">
        <f t="shared" si="7"/>
        <v>3.8300278531912979E-2</v>
      </c>
      <c r="T62">
        <f t="shared" si="8"/>
        <v>105</v>
      </c>
      <c r="U62">
        <f t="shared" si="9"/>
        <v>100</v>
      </c>
      <c r="V62" s="3">
        <f t="shared" si="10"/>
        <v>0.62322983170444213</v>
      </c>
      <c r="W62" s="9">
        <f t="shared" si="11"/>
        <v>0.37677016829555787</v>
      </c>
      <c r="AB62" s="111" t="s">
        <v>150</v>
      </c>
      <c r="AC62" s="22">
        <v>-8.6984258530945602E-2</v>
      </c>
      <c r="AD62" s="22"/>
      <c r="AE62" s="22"/>
      <c r="AF62" s="22"/>
      <c r="AG62" s="22"/>
      <c r="AH62" s="22"/>
      <c r="AI62" s="22"/>
      <c r="AJ62" s="22"/>
      <c r="AK62" s="22"/>
      <c r="AL62" s="22"/>
      <c r="AM62" s="22"/>
      <c r="AN62" s="22"/>
      <c r="AO62" s="22"/>
      <c r="AP62" s="22">
        <v>0</v>
      </c>
      <c r="AQ62" s="22"/>
      <c r="AR62" s="22"/>
      <c r="AS62" s="22"/>
      <c r="AT62" s="22"/>
      <c r="AU62" s="22"/>
      <c r="AV62" s="22"/>
      <c r="AW62" s="22"/>
      <c r="AX62" s="22"/>
      <c r="AY62" s="22"/>
      <c r="AZ62" s="22"/>
      <c r="BA62" s="22"/>
      <c r="BB62" s="22"/>
      <c r="BC62" s="22">
        <v>-8.6984258530945602E-2</v>
      </c>
      <c r="BD62" s="22">
        <v>0</v>
      </c>
    </row>
    <row r="63" spans="1:56" x14ac:dyDescent="0.25">
      <c r="A63" t="s">
        <v>149</v>
      </c>
      <c r="B63">
        <v>2</v>
      </c>
      <c r="C63" t="s">
        <v>630</v>
      </c>
      <c r="D63" t="s">
        <v>473</v>
      </c>
      <c r="E63">
        <v>18</v>
      </c>
      <c r="F63">
        <v>7.73</v>
      </c>
      <c r="G63">
        <v>21.715599999999998</v>
      </c>
      <c r="H63" t="s">
        <v>87</v>
      </c>
      <c r="I63" t="s">
        <v>87</v>
      </c>
      <c r="J63" t="s">
        <v>44</v>
      </c>
      <c r="K63">
        <f t="shared" si="0"/>
        <v>91.78</v>
      </c>
      <c r="L63">
        <f t="shared" si="1"/>
        <v>333.71719999999993</v>
      </c>
      <c r="M63" t="str">
        <f t="shared" si="2"/>
        <v>matty-2</v>
      </c>
      <c r="N63" t="str">
        <f>INDEX(Scores!$A$2:$A$11,INDEX(Scores!$AA$2:$AA$131,MATCH(C63,Scores!$AB$2:$AB$131,0)))</f>
        <v>matty</v>
      </c>
      <c r="O63">
        <f t="shared" si="3"/>
        <v>101.3</v>
      </c>
      <c r="P63">
        <f t="shared" si="4"/>
        <v>329.14109999999999</v>
      </c>
      <c r="Q63" s="3">
        <f t="shared" si="5"/>
        <v>0.35577854462426967</v>
      </c>
      <c r="R63" s="3">
        <f t="shared" si="6"/>
        <v>0.5118149116408679</v>
      </c>
      <c r="S63" s="9">
        <f t="shared" si="7"/>
        <v>0.15603636701659823</v>
      </c>
      <c r="T63">
        <f t="shared" si="8"/>
        <v>82</v>
      </c>
      <c r="U63">
        <f t="shared" si="9"/>
        <v>70</v>
      </c>
      <c r="V63" s="3">
        <f t="shared" si="10"/>
        <v>0.64477233467930439</v>
      </c>
      <c r="W63" s="9">
        <f t="shared" si="11"/>
        <v>0.35522766532069561</v>
      </c>
      <c r="AB63" s="111" t="s">
        <v>450</v>
      </c>
      <c r="AC63" s="22"/>
      <c r="AD63" s="22"/>
      <c r="AE63" s="22"/>
      <c r="AF63" s="22">
        <v>-4.7469483267868873E-2</v>
      </c>
      <c r="AG63" s="22"/>
      <c r="AH63" s="22"/>
      <c r="AI63" s="22"/>
      <c r="AJ63" s="22"/>
      <c r="AK63" s="22"/>
      <c r="AL63" s="22"/>
      <c r="AM63" s="22"/>
      <c r="AN63" s="22"/>
      <c r="AO63" s="22"/>
      <c r="AP63" s="22"/>
      <c r="AQ63" s="22"/>
      <c r="AR63" s="22"/>
      <c r="AS63" s="22">
        <v>-3.9975269509647411E-12</v>
      </c>
      <c r="AT63" s="22"/>
      <c r="AU63" s="22"/>
      <c r="AV63" s="22"/>
      <c r="AW63" s="22"/>
      <c r="AX63" s="22"/>
      <c r="AY63" s="22"/>
      <c r="AZ63" s="22"/>
      <c r="BA63" s="22"/>
      <c r="BB63" s="22"/>
      <c r="BC63" s="22">
        <v>-4.7469483267868873E-2</v>
      </c>
      <c r="BD63" s="22">
        <v>-3.9975269509647411E-12</v>
      </c>
    </row>
    <row r="64" spans="1:56" x14ac:dyDescent="0.25">
      <c r="A64" t="s">
        <v>247</v>
      </c>
      <c r="B64">
        <v>5</v>
      </c>
      <c r="C64" t="s">
        <v>888</v>
      </c>
      <c r="D64" t="s">
        <v>475</v>
      </c>
      <c r="E64">
        <v>8</v>
      </c>
      <c r="F64">
        <v>5.99</v>
      </c>
      <c r="G64">
        <v>27.144100000000002</v>
      </c>
      <c r="H64" t="s">
        <v>114</v>
      </c>
      <c r="I64" t="s">
        <v>114</v>
      </c>
      <c r="J64" t="s">
        <v>55</v>
      </c>
      <c r="K64">
        <f t="shared" si="0"/>
        <v>117.25999999999999</v>
      </c>
      <c r="L64">
        <f t="shared" si="1"/>
        <v>422.9941</v>
      </c>
      <c r="M64" t="str">
        <f t="shared" si="2"/>
        <v>matty-5</v>
      </c>
      <c r="N64" t="str">
        <f>INDEX(Scores!$A$2:$A$11,INDEX(Scores!$AA$2:$AA$131,MATCH(C64,Scores!$AB$2:$AB$131,0)))</f>
        <v>matty</v>
      </c>
      <c r="O64">
        <f t="shared" si="3"/>
        <v>99.23</v>
      </c>
      <c r="P64">
        <f t="shared" si="4"/>
        <v>364.64739999999995</v>
      </c>
      <c r="Q64" s="3">
        <f t="shared" si="5"/>
        <v>0.73970568419743477</v>
      </c>
      <c r="R64" s="3">
        <f t="shared" si="6"/>
        <v>0.76629188867288967</v>
      </c>
      <c r="S64" s="9">
        <f t="shared" si="7"/>
        <v>2.65862044754549E-2</v>
      </c>
      <c r="T64">
        <f t="shared" si="8"/>
        <v>110</v>
      </c>
      <c r="U64">
        <f t="shared" si="9"/>
        <v>106</v>
      </c>
      <c r="V64" s="3">
        <f t="shared" si="10"/>
        <v>0.64875365696974574</v>
      </c>
      <c r="W64" s="9">
        <f t="shared" si="11"/>
        <v>0.35124634303025426</v>
      </c>
      <c r="AB64" s="111" t="s">
        <v>120</v>
      </c>
      <c r="AC64" s="22"/>
      <c r="AD64" s="22"/>
      <c r="AE64" s="22"/>
      <c r="AF64" s="22">
        <v>5.6738720720331481E-2</v>
      </c>
      <c r="AG64" s="22"/>
      <c r="AH64" s="22"/>
      <c r="AI64" s="22"/>
      <c r="AJ64" s="22"/>
      <c r="AK64" s="22"/>
      <c r="AL64" s="22"/>
      <c r="AM64" s="22"/>
      <c r="AN64" s="22">
        <v>1.1824520673372085E-2</v>
      </c>
      <c r="AO64" s="22"/>
      <c r="AP64" s="22"/>
      <c r="AQ64" s="22"/>
      <c r="AR64" s="22"/>
      <c r="AS64" s="22">
        <v>-1.9047342078837029E-9</v>
      </c>
      <c r="AT64" s="22"/>
      <c r="AU64" s="22"/>
      <c r="AV64" s="22"/>
      <c r="AW64" s="22"/>
      <c r="AX64" s="22"/>
      <c r="AY64" s="22"/>
      <c r="AZ64" s="22"/>
      <c r="BA64" s="22">
        <v>1.3641643370476686E-11</v>
      </c>
      <c r="BB64" s="22"/>
      <c r="BC64" s="22">
        <v>6.8563241393703567E-2</v>
      </c>
      <c r="BD64" s="22">
        <v>-1.8910925645132262E-9</v>
      </c>
    </row>
    <row r="65" spans="1:56" x14ac:dyDescent="0.25">
      <c r="A65" t="s">
        <v>418</v>
      </c>
      <c r="B65">
        <v>1</v>
      </c>
      <c r="C65" t="s">
        <v>503</v>
      </c>
      <c r="D65" t="s">
        <v>477</v>
      </c>
      <c r="E65">
        <v>10</v>
      </c>
      <c r="F65">
        <v>9.09</v>
      </c>
      <c r="G65">
        <v>56.100099999999998</v>
      </c>
      <c r="H65" t="s">
        <v>477</v>
      </c>
      <c r="I65" t="s">
        <v>477</v>
      </c>
      <c r="J65" t="s">
        <v>35</v>
      </c>
      <c r="K65">
        <f t="shared" si="0"/>
        <v>101.69</v>
      </c>
      <c r="L65">
        <f t="shared" si="1"/>
        <v>390.77570000000003</v>
      </c>
      <c r="M65" t="str">
        <f t="shared" si="2"/>
        <v>lucas-1</v>
      </c>
      <c r="N65" t="str">
        <f>INDEX(Scores!$A$2:$A$11,INDEX(Scores!$AA$2:$AA$131,MATCH(C65,Scores!$AB$2:$AB$131,0)))</f>
        <v>lucas</v>
      </c>
      <c r="O65">
        <f t="shared" si="3"/>
        <v>0</v>
      </c>
      <c r="P65">
        <f t="shared" si="4"/>
        <v>0</v>
      </c>
      <c r="Q65" s="3">
        <f t="shared" si="5"/>
        <v>0.99999986563981569</v>
      </c>
      <c r="R65" s="3">
        <f t="shared" si="6"/>
        <v>0.99999998978694149</v>
      </c>
      <c r="S65" s="9">
        <f t="shared" si="7"/>
        <v>1.2414712580177678E-7</v>
      </c>
      <c r="T65">
        <f t="shared" si="8"/>
        <v>75</v>
      </c>
      <c r="U65">
        <f t="shared" si="9"/>
        <v>0</v>
      </c>
      <c r="V65" s="3">
        <f t="shared" si="10"/>
        <v>1</v>
      </c>
      <c r="W65" s="9">
        <f t="shared" si="11"/>
        <v>0</v>
      </c>
      <c r="AB65" s="111" t="s">
        <v>422</v>
      </c>
      <c r="AC65" s="22"/>
      <c r="AD65" s="22"/>
      <c r="AE65" s="22"/>
      <c r="AF65" s="22">
        <v>-3.923778215722451E-2</v>
      </c>
      <c r="AG65" s="22"/>
      <c r="AH65" s="22"/>
      <c r="AI65" s="22"/>
      <c r="AJ65" s="22"/>
      <c r="AK65" s="22"/>
      <c r="AL65" s="22"/>
      <c r="AM65" s="22"/>
      <c r="AN65" s="22"/>
      <c r="AO65" s="22"/>
      <c r="AP65" s="22"/>
      <c r="AQ65" s="22"/>
      <c r="AR65" s="22"/>
      <c r="AS65" s="22">
        <v>-8.809993576574846E-9</v>
      </c>
      <c r="AT65" s="22"/>
      <c r="AU65" s="22"/>
      <c r="AV65" s="22"/>
      <c r="AW65" s="22"/>
      <c r="AX65" s="22"/>
      <c r="AY65" s="22"/>
      <c r="AZ65" s="22"/>
      <c r="BA65" s="22"/>
      <c r="BB65" s="22"/>
      <c r="BC65" s="22">
        <v>-3.923778215722451E-2</v>
      </c>
      <c r="BD65" s="22">
        <v>-8.809993576574846E-9</v>
      </c>
    </row>
    <row r="66" spans="1:56" x14ac:dyDescent="0.25">
      <c r="A66" t="s">
        <v>219</v>
      </c>
      <c r="B66">
        <v>7</v>
      </c>
      <c r="C66" t="s">
        <v>913</v>
      </c>
      <c r="D66" t="s">
        <v>473</v>
      </c>
      <c r="E66">
        <v>8</v>
      </c>
      <c r="F66">
        <v>5.71</v>
      </c>
      <c r="G66">
        <v>13.3225</v>
      </c>
      <c r="H66" t="s">
        <v>87</v>
      </c>
      <c r="I66" t="s">
        <v>87</v>
      </c>
      <c r="J66" t="s">
        <v>16</v>
      </c>
      <c r="K66">
        <f t="shared" ref="K66:K129" si="12">SUMIF($C$2:$C$1301,$C66,$F$2:$F$1301)</f>
        <v>86.09</v>
      </c>
      <c r="L66">
        <f t="shared" ref="L66:L129" si="13">SUMIF($C$2:$C$1301,$C66,$G$2:$G$1301)</f>
        <v>350.80079999999998</v>
      </c>
      <c r="M66" t="str">
        <f t="shared" ref="M66:M129" si="14">N66&amp;"-"&amp;B66</f>
        <v>seth-7</v>
      </c>
      <c r="N66" t="str">
        <f>INDEX(Scores!$A$2:$A$11,INDEX(Scores!$AA$2:$AA$131,MATCH(C66,Scores!$AB$2:$AB$131,0)))</f>
        <v>seth</v>
      </c>
      <c r="O66">
        <f t="shared" ref="O66:O129" si="15">SUMIF($C$2:$C$1301,$M66,$F$2:$F$1301)</f>
        <v>96.25</v>
      </c>
      <c r="P66">
        <f t="shared" ref="P66:P129" si="16">SUMIF($C$2:$C$1301,$M66,$G$2:$G$1301)</f>
        <v>294.3</v>
      </c>
      <c r="Q66" s="3">
        <f t="shared" ref="Q66:Q129" si="17">_xlfn.NORM.DIST(0,$O66-$K66,SQRT($L66+$P66),TRUE)</f>
        <v>0.34457149944219723</v>
      </c>
      <c r="R66" s="3">
        <f t="shared" ref="R66:R129" si="18">_xlfn.NORM.DIST(0,$O66-$K66-($E66-$F66),SQRT($L66+$P66-$G66),TRUE)</f>
        <v>0.3770997943019998</v>
      </c>
      <c r="S66" s="9">
        <f t="shared" ref="S66:S129" si="19">R66-Q66</f>
        <v>3.2528294859802576E-2</v>
      </c>
      <c r="T66">
        <f t="shared" ref="T66:T129" si="20">SUMIF($C$2:$C$1301,$C66,$E$2:$E$1301)</f>
        <v>85</v>
      </c>
      <c r="U66">
        <f t="shared" ref="U66:U129" si="21">SUMIF($C$2:$C$1301,$M66,$E$2:$E$1301)</f>
        <v>81</v>
      </c>
      <c r="V66" s="3">
        <f t="shared" ref="V66:V129" si="22">_xlfn.NORM.DIST(0,U66-T66+E66-F66,SQRT(G66),TRUE)</f>
        <v>0.68028401602782207</v>
      </c>
      <c r="W66" s="9">
        <f t="shared" ref="W66:W129" si="23">IFERROR(IF(U66&gt;T66,0,1)-V66,0)</f>
        <v>0.31971598397217793</v>
      </c>
      <c r="AB66" s="111" t="s">
        <v>449</v>
      </c>
      <c r="AC66" s="22"/>
      <c r="AD66" s="22"/>
      <c r="AE66" s="22"/>
      <c r="AF66" s="22"/>
      <c r="AG66" s="22"/>
      <c r="AH66" s="22">
        <v>-3.8514812410288146E-2</v>
      </c>
      <c r="AI66" s="22"/>
      <c r="AJ66" s="22"/>
      <c r="AK66" s="22"/>
      <c r="AL66" s="22"/>
      <c r="AM66" s="22"/>
      <c r="AN66" s="22"/>
      <c r="AO66" s="22"/>
      <c r="AP66" s="22"/>
      <c r="AQ66" s="22"/>
      <c r="AR66" s="22"/>
      <c r="AS66" s="22"/>
      <c r="AT66" s="22"/>
      <c r="AU66" s="22">
        <v>-1.9649012693505091E-7</v>
      </c>
      <c r="AV66" s="22"/>
      <c r="AW66" s="22"/>
      <c r="AX66" s="22"/>
      <c r="AY66" s="22"/>
      <c r="AZ66" s="22"/>
      <c r="BA66" s="22"/>
      <c r="BB66" s="22"/>
      <c r="BC66" s="22">
        <v>-3.8514812410288146E-2</v>
      </c>
      <c r="BD66" s="22">
        <v>-1.9649012693505091E-7</v>
      </c>
    </row>
    <row r="67" spans="1:56" x14ac:dyDescent="0.25">
      <c r="A67" t="s">
        <v>71</v>
      </c>
      <c r="B67">
        <v>1</v>
      </c>
      <c r="C67" t="s">
        <v>503</v>
      </c>
      <c r="D67" t="s">
        <v>467</v>
      </c>
      <c r="E67">
        <v>18</v>
      </c>
      <c r="F67">
        <v>17.899999999999999</v>
      </c>
      <c r="G67">
        <v>63.8401</v>
      </c>
      <c r="H67" t="s">
        <v>15</v>
      </c>
      <c r="I67" t="s">
        <v>15</v>
      </c>
      <c r="J67" t="s">
        <v>35</v>
      </c>
      <c r="K67">
        <f t="shared" si="12"/>
        <v>101.69</v>
      </c>
      <c r="L67">
        <f t="shared" si="13"/>
        <v>390.77570000000003</v>
      </c>
      <c r="M67" t="str">
        <f t="shared" si="14"/>
        <v>lucas-1</v>
      </c>
      <c r="N67" t="str">
        <f>INDEX(Scores!$A$2:$A$11,INDEX(Scores!$AA$2:$AA$131,MATCH(C67,Scores!$AB$2:$AB$131,0)))</f>
        <v>lucas</v>
      </c>
      <c r="O67">
        <f t="shared" si="15"/>
        <v>0</v>
      </c>
      <c r="P67">
        <f t="shared" si="16"/>
        <v>0</v>
      </c>
      <c r="Q67" s="3">
        <f t="shared" si="17"/>
        <v>0.99999986563981569</v>
      </c>
      <c r="R67" s="3">
        <f t="shared" si="18"/>
        <v>0.9999999909662024</v>
      </c>
      <c r="S67" s="9">
        <f t="shared" si="19"/>
        <v>1.2532638671292062E-7</v>
      </c>
      <c r="T67">
        <f t="shared" si="20"/>
        <v>75</v>
      </c>
      <c r="U67">
        <f t="shared" si="21"/>
        <v>0</v>
      </c>
      <c r="V67" s="3">
        <f t="shared" si="22"/>
        <v>1</v>
      </c>
      <c r="W67" s="9">
        <f t="shared" si="23"/>
        <v>0</v>
      </c>
      <c r="AB67" s="111" t="s">
        <v>186</v>
      </c>
      <c r="AC67" s="22"/>
      <c r="AD67" s="22"/>
      <c r="AE67" s="22"/>
      <c r="AF67" s="22">
        <v>-6.0558824798183419E-2</v>
      </c>
      <c r="AG67" s="22"/>
      <c r="AH67" s="22"/>
      <c r="AI67" s="22"/>
      <c r="AJ67" s="22"/>
      <c r="AK67" s="22"/>
      <c r="AL67" s="22"/>
      <c r="AM67" s="22"/>
      <c r="AN67" s="22"/>
      <c r="AO67" s="22"/>
      <c r="AP67" s="22"/>
      <c r="AQ67" s="22"/>
      <c r="AR67" s="22"/>
      <c r="AS67" s="22">
        <v>-1.1814802696284285E-6</v>
      </c>
      <c r="AT67" s="22"/>
      <c r="AU67" s="22"/>
      <c r="AV67" s="22"/>
      <c r="AW67" s="22"/>
      <c r="AX67" s="22"/>
      <c r="AY67" s="22"/>
      <c r="AZ67" s="22"/>
      <c r="BA67" s="22"/>
      <c r="BB67" s="22"/>
      <c r="BC67" s="22">
        <v>-6.0558824798183419E-2</v>
      </c>
      <c r="BD67" s="22">
        <v>-1.1814802696284285E-6</v>
      </c>
    </row>
    <row r="68" spans="1:56" x14ac:dyDescent="0.25">
      <c r="A68" t="s">
        <v>57</v>
      </c>
      <c r="B68">
        <v>4</v>
      </c>
      <c r="C68" t="s">
        <v>863</v>
      </c>
      <c r="D68" t="s">
        <v>468</v>
      </c>
      <c r="E68">
        <v>25</v>
      </c>
      <c r="F68">
        <v>18.149999999999999</v>
      </c>
      <c r="G68">
        <v>101.60639999999999</v>
      </c>
      <c r="H68" t="s">
        <v>47</v>
      </c>
      <c r="I68" t="s">
        <v>47</v>
      </c>
      <c r="J68" t="s">
        <v>35</v>
      </c>
      <c r="K68">
        <f t="shared" si="12"/>
        <v>99.78</v>
      </c>
      <c r="L68">
        <f t="shared" si="13"/>
        <v>369.21209999999996</v>
      </c>
      <c r="M68" t="str">
        <f t="shared" si="14"/>
        <v>perry-4</v>
      </c>
      <c r="N68" t="str">
        <f>INDEX(Scores!$A$2:$A$11,INDEX(Scores!$AA$2:$AA$131,MATCH(C68,Scores!$AB$2:$AB$131,0)))</f>
        <v>perry</v>
      </c>
      <c r="O68">
        <f t="shared" si="15"/>
        <v>111.07000000000001</v>
      </c>
      <c r="P68">
        <f t="shared" si="16"/>
        <v>406.62959999999998</v>
      </c>
      <c r="Q68" s="3">
        <f t="shared" si="17"/>
        <v>0.34261794725331807</v>
      </c>
      <c r="R68" s="3">
        <f t="shared" si="18"/>
        <v>0.43211480591725426</v>
      </c>
      <c r="S68" s="9">
        <f t="shared" si="19"/>
        <v>8.9496858663936196E-2</v>
      </c>
      <c r="T68">
        <f t="shared" si="20"/>
        <v>84</v>
      </c>
      <c r="U68">
        <f t="shared" si="21"/>
        <v>72</v>
      </c>
      <c r="V68" s="3">
        <f t="shared" si="22"/>
        <v>0.69529390550233006</v>
      </c>
      <c r="W68" s="9">
        <f t="shared" si="23"/>
        <v>0.30470609449766994</v>
      </c>
      <c r="AB68" s="111" t="s">
        <v>177</v>
      </c>
      <c r="AC68" s="22"/>
      <c r="AD68" s="22"/>
      <c r="AE68" s="22"/>
      <c r="AF68" s="22"/>
      <c r="AG68" s="22"/>
      <c r="AH68" s="22">
        <v>7.0392427423696835E-2</v>
      </c>
      <c r="AI68" s="22"/>
      <c r="AJ68" s="22"/>
      <c r="AK68" s="22"/>
      <c r="AL68" s="22"/>
      <c r="AM68" s="22"/>
      <c r="AN68" s="22"/>
      <c r="AO68" s="22"/>
      <c r="AP68" s="22"/>
      <c r="AQ68" s="22"/>
      <c r="AR68" s="22"/>
      <c r="AS68" s="22"/>
      <c r="AT68" s="22"/>
      <c r="AU68" s="22">
        <v>-1.2549197429263619E-5</v>
      </c>
      <c r="AV68" s="22"/>
      <c r="AW68" s="22"/>
      <c r="AX68" s="22"/>
      <c r="AY68" s="22"/>
      <c r="AZ68" s="22"/>
      <c r="BA68" s="22"/>
      <c r="BB68" s="22"/>
      <c r="BC68" s="22">
        <v>7.0392427423696835E-2</v>
      </c>
      <c r="BD68" s="22">
        <v>-1.2549197429263619E-5</v>
      </c>
    </row>
    <row r="69" spans="1:56" x14ac:dyDescent="0.25">
      <c r="A69" t="s">
        <v>159</v>
      </c>
      <c r="B69">
        <v>7</v>
      </c>
      <c r="C69" t="s">
        <v>953</v>
      </c>
      <c r="D69" t="s">
        <v>472</v>
      </c>
      <c r="E69">
        <v>7</v>
      </c>
      <c r="F69">
        <v>8.5299999999999994</v>
      </c>
      <c r="G69">
        <v>44.089599999999997</v>
      </c>
      <c r="H69" t="s">
        <v>87</v>
      </c>
      <c r="I69" t="s">
        <v>87</v>
      </c>
      <c r="J69" t="s">
        <v>40</v>
      </c>
      <c r="K69">
        <f t="shared" si="12"/>
        <v>91.929999999999993</v>
      </c>
      <c r="L69">
        <f t="shared" si="13"/>
        <v>386.72199999999998</v>
      </c>
      <c r="M69" t="e">
        <f t="shared" si="14"/>
        <v>#N/A</v>
      </c>
      <c r="N69" t="e">
        <f>INDEX(Scores!$A$2:$A$11,INDEX(Scores!$AA$2:$AA$131,MATCH(C69,Scores!$AB$2:$AB$131,0)))</f>
        <v>#N/A</v>
      </c>
      <c r="O69">
        <f t="shared" si="15"/>
        <v>0</v>
      </c>
      <c r="P69">
        <f t="shared" si="16"/>
        <v>0</v>
      </c>
      <c r="Q69" s="3">
        <f t="shared" si="17"/>
        <v>0.99999852839643777</v>
      </c>
      <c r="R69" s="3">
        <f t="shared" si="18"/>
        <v>0.99999947958836388</v>
      </c>
      <c r="S69" s="9">
        <f t="shared" si="19"/>
        <v>9.5119192611292647E-7</v>
      </c>
      <c r="T69">
        <f t="shared" si="20"/>
        <v>75</v>
      </c>
      <c r="U69">
        <f t="shared" si="21"/>
        <v>0</v>
      </c>
      <c r="V69" s="3">
        <f t="shared" si="22"/>
        <v>1</v>
      </c>
      <c r="W69" s="9">
        <f t="shared" si="23"/>
        <v>0</v>
      </c>
      <c r="AB69" s="111" t="s">
        <v>134</v>
      </c>
      <c r="AC69" s="22"/>
      <c r="AD69" s="22"/>
      <c r="AE69" s="22"/>
      <c r="AF69" s="22"/>
      <c r="AG69" s="22"/>
      <c r="AH69" s="22">
        <v>4.8074762765296986E-2</v>
      </c>
      <c r="AI69" s="22"/>
      <c r="AJ69" s="22"/>
      <c r="AK69" s="22"/>
      <c r="AL69" s="22"/>
      <c r="AM69" s="22"/>
      <c r="AN69" s="22"/>
      <c r="AO69" s="22"/>
      <c r="AP69" s="22"/>
      <c r="AQ69" s="22"/>
      <c r="AR69" s="22"/>
      <c r="AS69" s="22"/>
      <c r="AT69" s="22"/>
      <c r="AU69" s="22">
        <v>-1.6590480773821482E-5</v>
      </c>
      <c r="AV69" s="22"/>
      <c r="AW69" s="22"/>
      <c r="AX69" s="22"/>
      <c r="AY69" s="22"/>
      <c r="AZ69" s="22"/>
      <c r="BA69" s="22"/>
      <c r="BB69" s="22"/>
      <c r="BC69" s="22">
        <v>4.8074762765296986E-2</v>
      </c>
      <c r="BD69" s="22">
        <v>-1.6590480773821482E-5</v>
      </c>
    </row>
    <row r="70" spans="1:56" x14ac:dyDescent="0.25">
      <c r="A70" t="s">
        <v>99</v>
      </c>
      <c r="B70">
        <v>4</v>
      </c>
      <c r="C70" t="s">
        <v>858</v>
      </c>
      <c r="D70" t="s">
        <v>469</v>
      </c>
      <c r="E70">
        <v>24</v>
      </c>
      <c r="F70">
        <v>11.43</v>
      </c>
      <c r="G70">
        <v>34.81</v>
      </c>
      <c r="H70" t="s">
        <v>47</v>
      </c>
      <c r="I70" t="s">
        <v>47</v>
      </c>
      <c r="J70" t="s">
        <v>16</v>
      </c>
      <c r="K70">
        <f t="shared" si="12"/>
        <v>115.58999999999999</v>
      </c>
      <c r="L70">
        <f t="shared" si="13"/>
        <v>432.42160000000007</v>
      </c>
      <c r="M70" t="str">
        <f t="shared" si="14"/>
        <v>scott-4</v>
      </c>
      <c r="N70" t="str">
        <f>INDEX(Scores!$A$2:$A$11,INDEX(Scores!$AA$2:$AA$131,MATCH(C70,Scores!$AB$2:$AB$131,0)))</f>
        <v>scott</v>
      </c>
      <c r="O70">
        <f t="shared" si="15"/>
        <v>113.07</v>
      </c>
      <c r="P70">
        <f t="shared" si="16"/>
        <v>452.41279999999995</v>
      </c>
      <c r="Q70" s="3">
        <f t="shared" si="17"/>
        <v>0.53375673014127667</v>
      </c>
      <c r="R70" s="3">
        <f t="shared" si="18"/>
        <v>0.69762269101055951</v>
      </c>
      <c r="S70" s="9">
        <f t="shared" si="19"/>
        <v>0.16386596086928285</v>
      </c>
      <c r="T70">
        <f t="shared" si="20"/>
        <v>104</v>
      </c>
      <c r="U70">
        <f t="shared" si="21"/>
        <v>88</v>
      </c>
      <c r="V70" s="3">
        <f t="shared" si="22"/>
        <v>0.7194997043750645</v>
      </c>
      <c r="W70" s="9">
        <f t="shared" si="23"/>
        <v>0.2805002956249355</v>
      </c>
      <c r="AB70" s="111" t="s">
        <v>613</v>
      </c>
      <c r="AC70" s="22"/>
      <c r="AD70" s="22"/>
      <c r="AE70" s="22"/>
      <c r="AF70" s="22"/>
      <c r="AG70" s="22"/>
      <c r="AH70" s="22"/>
      <c r="AI70" s="22"/>
      <c r="AJ70" s="22"/>
      <c r="AK70" s="22"/>
      <c r="AL70" s="22"/>
      <c r="AM70" s="22">
        <v>6.4136260136436751E-2</v>
      </c>
      <c r="AN70" s="22"/>
      <c r="AO70" s="22"/>
      <c r="AP70" s="22"/>
      <c r="AQ70" s="22"/>
      <c r="AR70" s="22"/>
      <c r="AS70" s="22"/>
      <c r="AT70" s="22"/>
      <c r="AU70" s="22"/>
      <c r="AV70" s="22"/>
      <c r="AW70" s="22"/>
      <c r="AX70" s="22"/>
      <c r="AY70" s="22"/>
      <c r="AZ70" s="22">
        <v>-1.8075566229131405E-5</v>
      </c>
      <c r="BA70" s="22"/>
      <c r="BB70" s="22"/>
      <c r="BC70" s="22">
        <v>6.4136260136436751E-2</v>
      </c>
      <c r="BD70" s="22">
        <v>-1.8075566229131405E-5</v>
      </c>
    </row>
    <row r="71" spans="1:56" x14ac:dyDescent="0.25">
      <c r="A71" t="s">
        <v>110</v>
      </c>
      <c r="B71">
        <v>3</v>
      </c>
      <c r="C71" t="s">
        <v>806</v>
      </c>
      <c r="D71" t="s">
        <v>472</v>
      </c>
      <c r="E71">
        <v>14</v>
      </c>
      <c r="F71">
        <v>9.83</v>
      </c>
      <c r="G71">
        <v>42.25</v>
      </c>
      <c r="H71" t="s">
        <v>87</v>
      </c>
      <c r="I71" t="s">
        <v>87</v>
      </c>
      <c r="J71" t="s">
        <v>55</v>
      </c>
      <c r="K71">
        <f t="shared" si="12"/>
        <v>107.31</v>
      </c>
      <c r="L71">
        <f t="shared" si="13"/>
        <v>425.77620000000002</v>
      </c>
      <c r="M71" t="str">
        <f t="shared" si="14"/>
        <v>seth-3</v>
      </c>
      <c r="N71" t="str">
        <f>INDEX(Scores!$A$2:$A$11,INDEX(Scores!$AA$2:$AA$131,MATCH(C71,Scores!$AB$2:$AB$131,0)))</f>
        <v>seth</v>
      </c>
      <c r="O71">
        <f t="shared" si="15"/>
        <v>94.54</v>
      </c>
      <c r="P71">
        <f t="shared" si="16"/>
        <v>356.43470000000002</v>
      </c>
      <c r="Q71" s="3">
        <f t="shared" si="17"/>
        <v>0.6760180870914847</v>
      </c>
      <c r="R71" s="3">
        <f t="shared" si="18"/>
        <v>0.73327336762623752</v>
      </c>
      <c r="S71" s="9">
        <f t="shared" si="19"/>
        <v>5.7255280534752817E-2</v>
      </c>
      <c r="T71">
        <f t="shared" si="20"/>
        <v>96</v>
      </c>
      <c r="U71">
        <f t="shared" si="21"/>
        <v>88</v>
      </c>
      <c r="V71" s="3">
        <f t="shared" si="22"/>
        <v>0.72214676044227599</v>
      </c>
      <c r="W71" s="9">
        <f t="shared" si="23"/>
        <v>0.27785323955772401</v>
      </c>
      <c r="AB71" s="111" t="s">
        <v>219</v>
      </c>
      <c r="AC71" s="22"/>
      <c r="AD71" s="22"/>
      <c r="AE71" s="22"/>
      <c r="AF71" s="22"/>
      <c r="AG71" s="22"/>
      <c r="AH71" s="22">
        <v>8.0665287227641436E-3</v>
      </c>
      <c r="AI71" s="22"/>
      <c r="AJ71" s="22"/>
      <c r="AK71" s="22"/>
      <c r="AL71" s="22"/>
      <c r="AM71" s="22"/>
      <c r="AN71" s="22"/>
      <c r="AO71" s="22"/>
      <c r="AP71" s="22"/>
      <c r="AQ71" s="22"/>
      <c r="AR71" s="22"/>
      <c r="AS71" s="22"/>
      <c r="AT71" s="22"/>
      <c r="AU71" s="22">
        <v>-6.7315468100542081E-5</v>
      </c>
      <c r="AV71" s="22"/>
      <c r="AW71" s="22"/>
      <c r="AX71" s="22"/>
      <c r="AY71" s="22"/>
      <c r="AZ71" s="22"/>
      <c r="BA71" s="22"/>
      <c r="BB71" s="22"/>
      <c r="BC71" s="22">
        <v>8.0665287227641436E-3</v>
      </c>
      <c r="BD71" s="22">
        <v>-6.7315468100542081E-5</v>
      </c>
    </row>
    <row r="72" spans="1:56" x14ac:dyDescent="0.25">
      <c r="A72" t="s">
        <v>450</v>
      </c>
      <c r="B72">
        <v>8</v>
      </c>
      <c r="C72" t="s">
        <v>930</v>
      </c>
      <c r="D72" t="s">
        <v>478</v>
      </c>
      <c r="E72">
        <v>18</v>
      </c>
      <c r="F72">
        <v>5.39</v>
      </c>
      <c r="G72">
        <v>16</v>
      </c>
      <c r="H72" t="s">
        <v>478</v>
      </c>
      <c r="I72" t="s">
        <v>478</v>
      </c>
      <c r="J72" t="s">
        <v>35</v>
      </c>
      <c r="K72">
        <f t="shared" si="12"/>
        <v>102.43</v>
      </c>
      <c r="L72">
        <f t="shared" si="13"/>
        <v>452.86560000000003</v>
      </c>
      <c r="M72" t="str">
        <f t="shared" si="14"/>
        <v>seth-8</v>
      </c>
      <c r="N72" t="str">
        <f>INDEX(Scores!$A$2:$A$11,INDEX(Scores!$AA$2:$AA$131,MATCH(C72,Scores!$AB$2:$AB$131,0)))</f>
        <v>seth</v>
      </c>
      <c r="O72">
        <f t="shared" si="15"/>
        <v>96.57</v>
      </c>
      <c r="P72">
        <f t="shared" si="16"/>
        <v>368.03749999999997</v>
      </c>
      <c r="Q72" s="3">
        <f t="shared" si="17"/>
        <v>0.58102934018980379</v>
      </c>
      <c r="R72" s="3">
        <f t="shared" si="18"/>
        <v>0.74248358173162265</v>
      </c>
      <c r="S72" s="9">
        <f t="shared" si="19"/>
        <v>0.16145424154181887</v>
      </c>
      <c r="T72">
        <f t="shared" si="20"/>
        <v>100</v>
      </c>
      <c r="U72">
        <f t="shared" si="21"/>
        <v>85</v>
      </c>
      <c r="V72" s="3">
        <f t="shared" si="22"/>
        <v>0.72491319650279973</v>
      </c>
      <c r="W72" s="9">
        <f t="shared" si="23"/>
        <v>0.27508680349720027</v>
      </c>
      <c r="AB72" s="111" t="s">
        <v>172</v>
      </c>
      <c r="AC72" s="22"/>
      <c r="AD72" s="22"/>
      <c r="AE72" s="22"/>
      <c r="AF72" s="22"/>
      <c r="AG72" s="22"/>
      <c r="AH72" s="22">
        <v>-3.1383564726108482E-3</v>
      </c>
      <c r="AI72" s="22"/>
      <c r="AJ72" s="22"/>
      <c r="AK72" s="22"/>
      <c r="AL72" s="22"/>
      <c r="AM72" s="22"/>
      <c r="AN72" s="22"/>
      <c r="AO72" s="22"/>
      <c r="AP72" s="22"/>
      <c r="AQ72" s="22"/>
      <c r="AR72" s="22"/>
      <c r="AS72" s="22"/>
      <c r="AT72" s="22"/>
      <c r="AU72" s="22">
        <v>-1.8383508303428277E-4</v>
      </c>
      <c r="AV72" s="22"/>
      <c r="AW72" s="22"/>
      <c r="AX72" s="22"/>
      <c r="AY72" s="22"/>
      <c r="AZ72" s="22"/>
      <c r="BA72" s="22"/>
      <c r="BB72" s="22"/>
      <c r="BC72" s="22">
        <v>-3.1383564726108482E-3</v>
      </c>
      <c r="BD72" s="22">
        <v>-1.8383508303428277E-4</v>
      </c>
    </row>
    <row r="73" spans="1:56" x14ac:dyDescent="0.25">
      <c r="A73" t="s">
        <v>405</v>
      </c>
      <c r="B73">
        <v>6</v>
      </c>
      <c r="C73" t="s">
        <v>968</v>
      </c>
      <c r="D73" t="s">
        <v>477</v>
      </c>
      <c r="E73">
        <v>23</v>
      </c>
      <c r="F73">
        <v>9.9600000000000009</v>
      </c>
      <c r="G73">
        <v>43.824399999999997</v>
      </c>
      <c r="H73" t="s">
        <v>477</v>
      </c>
      <c r="I73" t="s">
        <v>477</v>
      </c>
      <c r="J73" t="s">
        <v>49</v>
      </c>
      <c r="K73">
        <f t="shared" si="12"/>
        <v>109.91000000000001</v>
      </c>
      <c r="L73">
        <f t="shared" si="13"/>
        <v>387.28550000000001</v>
      </c>
      <c r="M73" t="str">
        <f t="shared" si="14"/>
        <v>perry-6</v>
      </c>
      <c r="N73" t="str">
        <f>INDEX(Scores!$A$2:$A$11,INDEX(Scores!$AA$2:$AA$131,MATCH(C73,Scores!$AB$2:$AB$131,0)))</f>
        <v>perry</v>
      </c>
      <c r="O73">
        <f t="shared" si="15"/>
        <v>88.72</v>
      </c>
      <c r="P73">
        <f t="shared" si="16"/>
        <v>407.6961</v>
      </c>
      <c r="Q73" s="3">
        <f t="shared" si="17"/>
        <v>0.77383629678575794</v>
      </c>
      <c r="R73" s="3">
        <f t="shared" si="18"/>
        <v>0.89415644104384273</v>
      </c>
      <c r="S73" s="9">
        <f t="shared" si="19"/>
        <v>0.12032014425808479</v>
      </c>
      <c r="T73">
        <f t="shared" si="20"/>
        <v>119</v>
      </c>
      <c r="U73">
        <f t="shared" si="21"/>
        <v>102</v>
      </c>
      <c r="V73" s="3">
        <f t="shared" si="22"/>
        <v>0.72514252147218106</v>
      </c>
      <c r="W73" s="9">
        <f t="shared" si="23"/>
        <v>0.27485747852781894</v>
      </c>
      <c r="AB73" s="111" t="s">
        <v>99</v>
      </c>
      <c r="AC73" s="22"/>
      <c r="AD73" s="22"/>
      <c r="AE73" s="22"/>
      <c r="AF73" s="22"/>
      <c r="AG73" s="22"/>
      <c r="AH73" s="22">
        <v>-4.0357819519966531E-2</v>
      </c>
      <c r="AI73" s="22"/>
      <c r="AJ73" s="22"/>
      <c r="AK73" s="22"/>
      <c r="AL73" s="22"/>
      <c r="AM73" s="22"/>
      <c r="AN73" s="22"/>
      <c r="AO73" s="22"/>
      <c r="AP73" s="22"/>
      <c r="AQ73" s="22"/>
      <c r="AR73" s="22"/>
      <c r="AS73" s="22"/>
      <c r="AT73" s="22"/>
      <c r="AU73" s="22">
        <v>-2.0977364827718767E-4</v>
      </c>
      <c r="AV73" s="22"/>
      <c r="AW73" s="22"/>
      <c r="AX73" s="22"/>
      <c r="AY73" s="22"/>
      <c r="AZ73" s="22"/>
      <c r="BA73" s="22"/>
      <c r="BB73" s="22"/>
      <c r="BC73" s="22">
        <v>-4.0357819519966531E-2</v>
      </c>
      <c r="BD73" s="22">
        <v>-2.0977364827718767E-4</v>
      </c>
    </row>
    <row r="74" spans="1:56" x14ac:dyDescent="0.25">
      <c r="A74" t="s">
        <v>95</v>
      </c>
      <c r="B74">
        <v>4</v>
      </c>
      <c r="C74" t="s">
        <v>863</v>
      </c>
      <c r="D74" t="s">
        <v>467</v>
      </c>
      <c r="E74">
        <v>26</v>
      </c>
      <c r="F74">
        <v>17.84</v>
      </c>
      <c r="G74">
        <v>39.0625</v>
      </c>
      <c r="H74" t="s">
        <v>15</v>
      </c>
      <c r="I74" t="s">
        <v>15</v>
      </c>
      <c r="J74" t="s">
        <v>35</v>
      </c>
      <c r="K74">
        <f t="shared" si="12"/>
        <v>99.78</v>
      </c>
      <c r="L74">
        <f t="shared" si="13"/>
        <v>369.21209999999996</v>
      </c>
      <c r="M74" t="str">
        <f t="shared" si="14"/>
        <v>perry-4</v>
      </c>
      <c r="N74" t="str">
        <f>INDEX(Scores!$A$2:$A$11,INDEX(Scores!$AA$2:$AA$131,MATCH(C74,Scores!$AB$2:$AB$131,0)))</f>
        <v>perry</v>
      </c>
      <c r="O74">
        <f t="shared" si="15"/>
        <v>111.07000000000001</v>
      </c>
      <c r="P74">
        <f t="shared" si="16"/>
        <v>406.62959999999998</v>
      </c>
      <c r="Q74" s="3">
        <f t="shared" si="17"/>
        <v>0.34261794725331807</v>
      </c>
      <c r="R74" s="3">
        <f t="shared" si="18"/>
        <v>0.45409879212017673</v>
      </c>
      <c r="S74" s="9">
        <f t="shared" si="19"/>
        <v>0.11148084486685866</v>
      </c>
      <c r="T74">
        <f t="shared" si="20"/>
        <v>84</v>
      </c>
      <c r="U74">
        <f t="shared" si="21"/>
        <v>72</v>
      </c>
      <c r="V74" s="3">
        <f t="shared" si="22"/>
        <v>0.73052448210907261</v>
      </c>
      <c r="W74" s="9">
        <f t="shared" si="23"/>
        <v>0.26947551789092739</v>
      </c>
      <c r="AB74" s="111" t="s">
        <v>85</v>
      </c>
      <c r="AC74" s="22"/>
      <c r="AD74" s="22"/>
      <c r="AE74" s="22"/>
      <c r="AF74" s="22">
        <v>-0.11194035105319397</v>
      </c>
      <c r="AG74" s="22"/>
      <c r="AH74" s="22"/>
      <c r="AI74" s="22"/>
      <c r="AJ74" s="22"/>
      <c r="AK74" s="22"/>
      <c r="AL74" s="22"/>
      <c r="AM74" s="22"/>
      <c r="AN74" s="22">
        <v>-6.7653054936628321E-4</v>
      </c>
      <c r="AO74" s="22"/>
      <c r="AP74" s="22"/>
      <c r="AQ74" s="22"/>
      <c r="AR74" s="22"/>
      <c r="AS74" s="22">
        <v>-5.4530885768974593E-4</v>
      </c>
      <c r="AT74" s="22"/>
      <c r="AU74" s="22"/>
      <c r="AV74" s="22"/>
      <c r="AW74" s="22"/>
      <c r="AX74" s="22"/>
      <c r="AY74" s="22"/>
      <c r="AZ74" s="22"/>
      <c r="BA74" s="22">
        <v>2.828631773255097E-10</v>
      </c>
      <c r="BB74" s="22"/>
      <c r="BC74" s="22">
        <v>-0.11261688160256025</v>
      </c>
      <c r="BD74" s="22">
        <v>-5.4530857482656861E-4</v>
      </c>
    </row>
    <row r="75" spans="1:56" x14ac:dyDescent="0.25">
      <c r="A75" t="s">
        <v>613</v>
      </c>
      <c r="B75">
        <v>9</v>
      </c>
      <c r="C75" t="s">
        <v>979</v>
      </c>
      <c r="D75" t="s">
        <v>472</v>
      </c>
      <c r="E75">
        <v>22</v>
      </c>
      <c r="F75">
        <v>7.08</v>
      </c>
      <c r="G75">
        <v>24.403600000000001</v>
      </c>
      <c r="H75" t="s">
        <v>87</v>
      </c>
      <c r="I75" t="s">
        <v>87</v>
      </c>
      <c r="J75" t="s">
        <v>44</v>
      </c>
      <c r="K75">
        <f t="shared" si="12"/>
        <v>92.559999999999988</v>
      </c>
      <c r="L75">
        <f t="shared" si="13"/>
        <v>350.31569999999999</v>
      </c>
      <c r="M75" t="str">
        <f t="shared" si="14"/>
        <v>comp-9</v>
      </c>
      <c r="N75" t="str">
        <f>INDEX(Scores!$A$2:$A$11,INDEX(Scores!$AA$2:$AA$131,MATCH(C75,Scores!$AB$2:$AB$131,0)))</f>
        <v>comp</v>
      </c>
      <c r="O75">
        <f t="shared" si="15"/>
        <v>80.800000000000011</v>
      </c>
      <c r="P75">
        <f t="shared" si="16"/>
        <v>290.44450000000001</v>
      </c>
      <c r="Q75" s="3">
        <f t="shared" si="17"/>
        <v>0.67888350653659379</v>
      </c>
      <c r="R75" s="3">
        <f t="shared" si="18"/>
        <v>0.85873579904384134</v>
      </c>
      <c r="S75" s="9">
        <f t="shared" si="19"/>
        <v>0.17985229250724755</v>
      </c>
      <c r="T75">
        <f t="shared" si="20"/>
        <v>95</v>
      </c>
      <c r="U75">
        <f t="shared" si="21"/>
        <v>77</v>
      </c>
      <c r="V75" s="3">
        <f t="shared" si="22"/>
        <v>0.73351601459690308</v>
      </c>
      <c r="W75" s="9">
        <f t="shared" si="23"/>
        <v>0.26648398540309692</v>
      </c>
      <c r="AB75" s="111" t="s">
        <v>414</v>
      </c>
      <c r="AC75" s="22"/>
      <c r="AD75" s="22"/>
      <c r="AE75" s="22"/>
      <c r="AF75" s="22"/>
      <c r="AG75" s="22"/>
      <c r="AH75" s="22">
        <v>1.9238206447514838E-2</v>
      </c>
      <c r="AI75" s="22"/>
      <c r="AJ75" s="22"/>
      <c r="AK75" s="22"/>
      <c r="AL75" s="22"/>
      <c r="AM75" s="22"/>
      <c r="AN75" s="22"/>
      <c r="AO75" s="22"/>
      <c r="AP75" s="22"/>
      <c r="AQ75" s="22"/>
      <c r="AR75" s="22"/>
      <c r="AS75" s="22"/>
      <c r="AT75" s="22"/>
      <c r="AU75" s="22">
        <v>-5.5024133224643038E-4</v>
      </c>
      <c r="AV75" s="22"/>
      <c r="AW75" s="22"/>
      <c r="AX75" s="22"/>
      <c r="AY75" s="22"/>
      <c r="AZ75" s="22"/>
      <c r="BA75" s="22"/>
      <c r="BB75" s="22"/>
      <c r="BC75" s="22">
        <v>1.9238206447514838E-2</v>
      </c>
      <c r="BD75" s="22">
        <v>-5.5024133224643038E-4</v>
      </c>
    </row>
    <row r="76" spans="1:56" x14ac:dyDescent="0.25">
      <c r="A76" t="s">
        <v>313</v>
      </c>
      <c r="B76">
        <v>9</v>
      </c>
      <c r="C76" t="s">
        <v>915</v>
      </c>
      <c r="D76" t="s">
        <v>475</v>
      </c>
      <c r="E76">
        <v>10</v>
      </c>
      <c r="F76">
        <v>5.36</v>
      </c>
      <c r="G76">
        <v>27.5625</v>
      </c>
      <c r="H76" t="s">
        <v>114</v>
      </c>
      <c r="I76" t="s">
        <v>114</v>
      </c>
      <c r="J76" t="s">
        <v>16</v>
      </c>
      <c r="K76">
        <f t="shared" si="12"/>
        <v>90.69</v>
      </c>
      <c r="L76">
        <f t="shared" si="13"/>
        <v>356.05790000000002</v>
      </c>
      <c r="M76" t="str">
        <f t="shared" si="14"/>
        <v>devon-9</v>
      </c>
      <c r="N76" t="str">
        <f>INDEX(Scores!$A$2:$A$11,INDEX(Scores!$AA$2:$AA$131,MATCH(C76,Scores!$AB$2:$AB$131,0)))</f>
        <v>devon</v>
      </c>
      <c r="O76">
        <f t="shared" si="15"/>
        <v>104.66</v>
      </c>
      <c r="P76">
        <f t="shared" si="16"/>
        <v>474.51049999999998</v>
      </c>
      <c r="Q76" s="3">
        <f t="shared" si="17"/>
        <v>0.31393045538359282</v>
      </c>
      <c r="R76" s="3">
        <f t="shared" si="18"/>
        <v>0.37098437161547537</v>
      </c>
      <c r="S76" s="9">
        <f t="shared" si="19"/>
        <v>5.7053916231882551E-2</v>
      </c>
      <c r="T76">
        <f t="shared" si="20"/>
        <v>89</v>
      </c>
      <c r="U76">
        <f t="shared" si="21"/>
        <v>81</v>
      </c>
      <c r="V76" s="3">
        <f t="shared" si="22"/>
        <v>0.73891370030713843</v>
      </c>
      <c r="W76" s="9">
        <f t="shared" si="23"/>
        <v>0.26108629969286157</v>
      </c>
      <c r="AB76" s="111" t="s">
        <v>179</v>
      </c>
      <c r="AC76" s="22"/>
      <c r="AD76" s="22"/>
      <c r="AE76" s="22"/>
      <c r="AF76" s="22"/>
      <c r="AG76" s="22">
        <v>0.24485255497448377</v>
      </c>
      <c r="AH76" s="22"/>
      <c r="AI76" s="22"/>
      <c r="AJ76" s="22"/>
      <c r="AK76" s="22"/>
      <c r="AL76" s="22"/>
      <c r="AM76" s="22"/>
      <c r="AN76" s="22"/>
      <c r="AO76" s="22"/>
      <c r="AP76" s="22"/>
      <c r="AQ76" s="22"/>
      <c r="AR76" s="22"/>
      <c r="AS76" s="22"/>
      <c r="AT76" s="22">
        <v>-9.2705850545250507E-4</v>
      </c>
      <c r="AU76" s="22"/>
      <c r="AV76" s="22"/>
      <c r="AW76" s="22"/>
      <c r="AX76" s="22"/>
      <c r="AY76" s="22"/>
      <c r="AZ76" s="22"/>
      <c r="BA76" s="22"/>
      <c r="BB76" s="22"/>
      <c r="BC76" s="22">
        <v>0.24485255497448377</v>
      </c>
      <c r="BD76" s="22">
        <v>-9.2705850545250507E-4</v>
      </c>
    </row>
    <row r="77" spans="1:56" x14ac:dyDescent="0.25">
      <c r="A77" t="s">
        <v>162</v>
      </c>
      <c r="B77">
        <v>11</v>
      </c>
      <c r="C77" t="s">
        <v>941</v>
      </c>
      <c r="D77" t="s">
        <v>475</v>
      </c>
      <c r="E77">
        <v>13</v>
      </c>
      <c r="F77">
        <v>7.92</v>
      </c>
      <c r="G77">
        <v>35.2836</v>
      </c>
      <c r="H77" t="s">
        <v>114</v>
      </c>
      <c r="I77" t="s">
        <v>114</v>
      </c>
      <c r="J77" t="s">
        <v>27</v>
      </c>
      <c r="K77">
        <f t="shared" si="12"/>
        <v>98.580000000000013</v>
      </c>
      <c r="L77">
        <f t="shared" si="13"/>
        <v>364.4375</v>
      </c>
      <c r="M77" t="str">
        <f t="shared" si="14"/>
        <v>matty-11</v>
      </c>
      <c r="N77" t="str">
        <f>INDEX(Scores!$A$2:$A$11,INDEX(Scores!$AA$2:$AA$131,MATCH(C77,Scores!$AB$2:$AB$131,0)))</f>
        <v>matty</v>
      </c>
      <c r="O77">
        <f t="shared" si="15"/>
        <v>88.670000000000016</v>
      </c>
      <c r="P77">
        <f t="shared" si="16"/>
        <v>334.39179999999999</v>
      </c>
      <c r="Q77" s="3">
        <f t="shared" si="17"/>
        <v>0.64612380466415886</v>
      </c>
      <c r="R77" s="3">
        <f t="shared" si="18"/>
        <v>0.71969103795409528</v>
      </c>
      <c r="S77" s="9">
        <f t="shared" si="19"/>
        <v>7.3567233289936418E-2</v>
      </c>
      <c r="T77">
        <f t="shared" si="20"/>
        <v>111</v>
      </c>
      <c r="U77">
        <f t="shared" si="21"/>
        <v>102</v>
      </c>
      <c r="V77" s="3">
        <f t="shared" si="22"/>
        <v>0.74535147785836475</v>
      </c>
      <c r="W77" s="9">
        <f t="shared" si="23"/>
        <v>0.25464852214163525</v>
      </c>
      <c r="AB77" s="111" t="s">
        <v>103</v>
      </c>
      <c r="AC77" s="22"/>
      <c r="AD77" s="22"/>
      <c r="AE77" s="22"/>
      <c r="AF77" s="22">
        <v>-0.11490103418341446</v>
      </c>
      <c r="AG77" s="22"/>
      <c r="AH77" s="22"/>
      <c r="AI77" s="22"/>
      <c r="AJ77" s="22"/>
      <c r="AK77" s="22"/>
      <c r="AL77" s="22"/>
      <c r="AM77" s="22"/>
      <c r="AN77" s="22"/>
      <c r="AO77" s="22"/>
      <c r="AP77" s="22"/>
      <c r="AQ77" s="22"/>
      <c r="AR77" s="22"/>
      <c r="AS77" s="22">
        <v>-1.3664037761453689E-3</v>
      </c>
      <c r="AT77" s="22"/>
      <c r="AU77" s="22"/>
      <c r="AV77" s="22"/>
      <c r="AW77" s="22"/>
      <c r="AX77" s="22"/>
      <c r="AY77" s="22"/>
      <c r="AZ77" s="22"/>
      <c r="BA77" s="22"/>
      <c r="BB77" s="22"/>
      <c r="BC77" s="22">
        <v>-0.11490103418341446</v>
      </c>
      <c r="BD77" s="22">
        <v>-1.3664037761453689E-3</v>
      </c>
    </row>
    <row r="78" spans="1:56" x14ac:dyDescent="0.25">
      <c r="A78" t="s">
        <v>151</v>
      </c>
      <c r="B78">
        <v>4</v>
      </c>
      <c r="C78" t="s">
        <v>865</v>
      </c>
      <c r="D78" t="s">
        <v>475</v>
      </c>
      <c r="E78">
        <v>17</v>
      </c>
      <c r="F78">
        <v>8.1</v>
      </c>
      <c r="G78">
        <v>21.996099999999998</v>
      </c>
      <c r="H78" t="s">
        <v>114</v>
      </c>
      <c r="I78" t="s">
        <v>114</v>
      </c>
      <c r="J78" t="s">
        <v>62</v>
      </c>
      <c r="K78">
        <f t="shared" si="12"/>
        <v>99.8</v>
      </c>
      <c r="L78">
        <f t="shared" si="13"/>
        <v>351.46400000000006</v>
      </c>
      <c r="M78" t="str">
        <f t="shared" si="14"/>
        <v>seth-4</v>
      </c>
      <c r="N78" t="str">
        <f>INDEX(Scores!$A$2:$A$11,INDEX(Scores!$AA$2:$AA$131,MATCH(C78,Scores!$AB$2:$AB$131,0)))</f>
        <v>seth</v>
      </c>
      <c r="O78">
        <f t="shared" si="15"/>
        <v>104.32</v>
      </c>
      <c r="P78">
        <f t="shared" si="16"/>
        <v>390.96559999999999</v>
      </c>
      <c r="Q78" s="3">
        <f t="shared" si="17"/>
        <v>0.43412317323121657</v>
      </c>
      <c r="R78" s="3">
        <f t="shared" si="18"/>
        <v>0.56481315708179824</v>
      </c>
      <c r="S78" s="9">
        <f t="shared" si="19"/>
        <v>0.13068998385058167</v>
      </c>
      <c r="T78">
        <f t="shared" si="20"/>
        <v>123</v>
      </c>
      <c r="U78">
        <f t="shared" si="21"/>
        <v>111</v>
      </c>
      <c r="V78" s="3">
        <f t="shared" si="22"/>
        <v>0.74568768994261103</v>
      </c>
      <c r="W78" s="9">
        <f t="shared" si="23"/>
        <v>0.25431231005738897</v>
      </c>
      <c r="AB78" s="111" t="s">
        <v>96</v>
      </c>
      <c r="AC78" s="22"/>
      <c r="AD78" s="22"/>
      <c r="AE78" s="22"/>
      <c r="AF78" s="22">
        <v>-0.12303877262856441</v>
      </c>
      <c r="AG78" s="22"/>
      <c r="AH78" s="22"/>
      <c r="AI78" s="22"/>
      <c r="AJ78" s="22"/>
      <c r="AK78" s="22"/>
      <c r="AL78" s="22"/>
      <c r="AM78" s="22"/>
      <c r="AN78" s="22">
        <v>0.20833336060758523</v>
      </c>
      <c r="AO78" s="22"/>
      <c r="AP78" s="22"/>
      <c r="AQ78" s="22"/>
      <c r="AR78" s="22"/>
      <c r="AS78" s="22">
        <v>-1.9321862554496205E-3</v>
      </c>
      <c r="AT78" s="22"/>
      <c r="AU78" s="22"/>
      <c r="AV78" s="22"/>
      <c r="AW78" s="22"/>
      <c r="AX78" s="22"/>
      <c r="AY78" s="22"/>
      <c r="AZ78" s="22"/>
      <c r="BA78" s="22">
        <v>1.3077095758162738E-4</v>
      </c>
      <c r="BB78" s="22"/>
      <c r="BC78" s="22">
        <v>8.5294587979020814E-2</v>
      </c>
      <c r="BD78" s="22">
        <v>-1.8014152978679931E-3</v>
      </c>
    </row>
    <row r="79" spans="1:56" x14ac:dyDescent="0.25">
      <c r="A79" t="s">
        <v>212</v>
      </c>
      <c r="B79">
        <v>12</v>
      </c>
      <c r="C79" t="s">
        <v>982</v>
      </c>
      <c r="D79" t="s">
        <v>466</v>
      </c>
      <c r="E79">
        <v>4</v>
      </c>
      <c r="F79">
        <v>9.81</v>
      </c>
      <c r="G79">
        <v>163.84</v>
      </c>
      <c r="H79" t="s">
        <v>466</v>
      </c>
      <c r="I79" t="s">
        <v>47</v>
      </c>
      <c r="J79" t="s">
        <v>44</v>
      </c>
      <c r="K79">
        <f t="shared" si="12"/>
        <v>102.15</v>
      </c>
      <c r="L79">
        <f t="shared" si="13"/>
        <v>468.55759999999998</v>
      </c>
      <c r="M79" t="str">
        <f t="shared" si="14"/>
        <v>chad-12</v>
      </c>
      <c r="N79" t="str">
        <f>INDEX(Scores!$A$2:$A$11,INDEX(Scores!$AA$2:$AA$131,MATCH(C79,Scores!$AB$2:$AB$131,0)))</f>
        <v>chad</v>
      </c>
      <c r="O79">
        <f t="shared" si="15"/>
        <v>115.8</v>
      </c>
      <c r="P79">
        <f t="shared" si="16"/>
        <v>455.64659999999998</v>
      </c>
      <c r="Q79" s="3">
        <f t="shared" si="17"/>
        <v>0.3267149551815689</v>
      </c>
      <c r="R79" s="3">
        <f t="shared" si="18"/>
        <v>0.24018135266773605</v>
      </c>
      <c r="S79" s="9">
        <f t="shared" si="19"/>
        <v>-8.6533602513832852E-2</v>
      </c>
      <c r="T79">
        <f t="shared" si="20"/>
        <v>95</v>
      </c>
      <c r="U79">
        <f t="shared" si="21"/>
        <v>92</v>
      </c>
      <c r="V79" s="3">
        <f t="shared" si="22"/>
        <v>0.75436215659702111</v>
      </c>
      <c r="W79" s="9">
        <f t="shared" si="23"/>
        <v>0.24563784340297889</v>
      </c>
      <c r="AB79" s="111" t="s">
        <v>206</v>
      </c>
      <c r="AC79" s="22"/>
      <c r="AD79" s="22"/>
      <c r="AE79" s="22"/>
      <c r="AF79" s="22"/>
      <c r="AG79" s="22"/>
      <c r="AH79" s="22"/>
      <c r="AI79" s="22"/>
      <c r="AJ79" s="22"/>
      <c r="AK79" s="22"/>
      <c r="AL79" s="22"/>
      <c r="AM79" s="22">
        <v>-9.1647874464377832E-2</v>
      </c>
      <c r="AN79" s="22"/>
      <c r="AO79" s="22"/>
      <c r="AP79" s="22"/>
      <c r="AQ79" s="22"/>
      <c r="AR79" s="22"/>
      <c r="AS79" s="22"/>
      <c r="AT79" s="22"/>
      <c r="AU79" s="22"/>
      <c r="AV79" s="22"/>
      <c r="AW79" s="22"/>
      <c r="AX79" s="22"/>
      <c r="AY79" s="22"/>
      <c r="AZ79" s="22">
        <v>-3.1144319404963726E-3</v>
      </c>
      <c r="BA79" s="22"/>
      <c r="BB79" s="22"/>
      <c r="BC79" s="22">
        <v>-9.1647874464377832E-2</v>
      </c>
      <c r="BD79" s="22">
        <v>-3.1144319404963726E-3</v>
      </c>
    </row>
    <row r="80" spans="1:56" x14ac:dyDescent="0.25">
      <c r="A80" t="s">
        <v>110</v>
      </c>
      <c r="B80">
        <v>8</v>
      </c>
      <c r="C80" t="s">
        <v>970</v>
      </c>
      <c r="D80" t="s">
        <v>472</v>
      </c>
      <c r="E80">
        <v>7</v>
      </c>
      <c r="F80">
        <v>10.39</v>
      </c>
      <c r="G80">
        <v>39.312899999999999</v>
      </c>
      <c r="H80" t="s">
        <v>87</v>
      </c>
      <c r="I80" t="s">
        <v>87</v>
      </c>
      <c r="J80" t="s">
        <v>49</v>
      </c>
      <c r="K80">
        <f t="shared" si="12"/>
        <v>88.500000000000014</v>
      </c>
      <c r="L80">
        <f t="shared" si="13"/>
        <v>351.30459999999999</v>
      </c>
      <c r="M80" t="str">
        <f t="shared" si="14"/>
        <v>cory-8</v>
      </c>
      <c r="N80" t="str">
        <f>INDEX(Scores!$A$2:$A$11,INDEX(Scores!$AA$2:$AA$131,MATCH(C80,Scores!$AB$2:$AB$131,0)))</f>
        <v>cory</v>
      </c>
      <c r="O80">
        <f t="shared" si="15"/>
        <v>106.3</v>
      </c>
      <c r="P80">
        <f t="shared" si="16"/>
        <v>423.11159999999995</v>
      </c>
      <c r="Q80" s="3">
        <f t="shared" si="17"/>
        <v>0.2612046893481158</v>
      </c>
      <c r="R80" s="3">
        <f t="shared" si="18"/>
        <v>0.2172395389763393</v>
      </c>
      <c r="S80" s="9">
        <f t="shared" si="19"/>
        <v>-4.3965150371776507E-2</v>
      </c>
      <c r="T80">
        <f t="shared" si="20"/>
        <v>107</v>
      </c>
      <c r="U80">
        <f t="shared" si="21"/>
        <v>106</v>
      </c>
      <c r="V80" s="3">
        <f t="shared" si="22"/>
        <v>0.75808614626213422</v>
      </c>
      <c r="W80" s="9">
        <f t="shared" si="23"/>
        <v>0.24191385373786578</v>
      </c>
      <c r="AB80" s="111" t="s">
        <v>132</v>
      </c>
      <c r="AC80" s="22"/>
      <c r="AD80" s="22"/>
      <c r="AE80" s="22"/>
      <c r="AF80" s="22"/>
      <c r="AG80" s="22"/>
      <c r="AH80" s="22"/>
      <c r="AI80" s="22"/>
      <c r="AJ80" s="22"/>
      <c r="AK80" s="22"/>
      <c r="AL80" s="22"/>
      <c r="AM80" s="22">
        <v>-5.0872388290210568E-2</v>
      </c>
      <c r="AN80" s="22"/>
      <c r="AO80" s="22"/>
      <c r="AP80" s="22"/>
      <c r="AQ80" s="22"/>
      <c r="AR80" s="22"/>
      <c r="AS80" s="22"/>
      <c r="AT80" s="22"/>
      <c r="AU80" s="22"/>
      <c r="AV80" s="22"/>
      <c r="AW80" s="22"/>
      <c r="AX80" s="22"/>
      <c r="AY80" s="22"/>
      <c r="AZ80" s="22">
        <v>-4.2008709320588335E-3</v>
      </c>
      <c r="BA80" s="22"/>
      <c r="BB80" s="22"/>
      <c r="BC80" s="22">
        <v>-5.0872388290210568E-2</v>
      </c>
      <c r="BD80" s="22">
        <v>-4.2008709320588335E-3</v>
      </c>
    </row>
    <row r="81" spans="1:56" x14ac:dyDescent="0.25">
      <c r="A81" t="s">
        <v>131</v>
      </c>
      <c r="B81">
        <v>1</v>
      </c>
      <c r="C81" t="s">
        <v>503</v>
      </c>
      <c r="D81" t="s">
        <v>469</v>
      </c>
      <c r="E81">
        <v>8</v>
      </c>
      <c r="F81">
        <v>7.82</v>
      </c>
      <c r="G81">
        <v>29.593599999999999</v>
      </c>
      <c r="H81" t="s">
        <v>47</v>
      </c>
      <c r="I81" t="s">
        <v>47</v>
      </c>
      <c r="J81" t="s">
        <v>35</v>
      </c>
      <c r="K81">
        <f t="shared" si="12"/>
        <v>101.69</v>
      </c>
      <c r="L81">
        <f t="shared" si="13"/>
        <v>390.77570000000003</v>
      </c>
      <c r="M81" t="str">
        <f t="shared" si="14"/>
        <v>lucas-1</v>
      </c>
      <c r="N81" t="str">
        <f>INDEX(Scores!$A$2:$A$11,INDEX(Scores!$AA$2:$AA$131,MATCH(C81,Scores!$AB$2:$AB$131,0)))</f>
        <v>lucas</v>
      </c>
      <c r="O81">
        <f t="shared" si="15"/>
        <v>0</v>
      </c>
      <c r="P81">
        <f t="shared" si="16"/>
        <v>0</v>
      </c>
      <c r="Q81" s="3">
        <f t="shared" si="17"/>
        <v>0.99999986563981569</v>
      </c>
      <c r="R81" s="3">
        <f t="shared" si="18"/>
        <v>0.99999995844131984</v>
      </c>
      <c r="S81" s="9">
        <f t="shared" si="19"/>
        <v>9.2801504147921321E-8</v>
      </c>
      <c r="T81">
        <f t="shared" si="20"/>
        <v>75</v>
      </c>
      <c r="U81">
        <f t="shared" si="21"/>
        <v>0</v>
      </c>
      <c r="V81" s="3">
        <f t="shared" si="22"/>
        <v>1</v>
      </c>
      <c r="W81" s="9">
        <f t="shared" si="23"/>
        <v>0</v>
      </c>
      <c r="AB81" s="111" t="s">
        <v>43</v>
      </c>
      <c r="AC81" s="22"/>
      <c r="AD81" s="22"/>
      <c r="AE81" s="22">
        <v>9.8724863932329265E-2</v>
      </c>
      <c r="AF81" s="22"/>
      <c r="AG81" s="22"/>
      <c r="AH81" s="22"/>
      <c r="AI81" s="22"/>
      <c r="AJ81" s="22"/>
      <c r="AK81" s="22"/>
      <c r="AL81" s="22"/>
      <c r="AM81" s="22">
        <v>0.10054092826486638</v>
      </c>
      <c r="AN81" s="22"/>
      <c r="AO81" s="22"/>
      <c r="AP81" s="22"/>
      <c r="AQ81" s="22"/>
      <c r="AR81" s="22">
        <v>-5.929934109497703E-3</v>
      </c>
      <c r="AS81" s="22"/>
      <c r="AT81" s="22"/>
      <c r="AU81" s="22"/>
      <c r="AV81" s="22"/>
      <c r="AW81" s="22"/>
      <c r="AX81" s="22"/>
      <c r="AY81" s="22"/>
      <c r="AZ81" s="22">
        <v>-2.9776217401653938E-5</v>
      </c>
      <c r="BA81" s="22"/>
      <c r="BB81" s="22"/>
      <c r="BC81" s="22">
        <v>0.19926579219719565</v>
      </c>
      <c r="BD81" s="22">
        <v>-5.9597103268993566E-3</v>
      </c>
    </row>
    <row r="82" spans="1:56" x14ac:dyDescent="0.25">
      <c r="A82" t="s">
        <v>410</v>
      </c>
      <c r="B82">
        <v>5</v>
      </c>
      <c r="C82" t="s">
        <v>885</v>
      </c>
      <c r="D82" t="s">
        <v>477</v>
      </c>
      <c r="E82">
        <v>9</v>
      </c>
      <c r="F82">
        <v>8.9499999999999993</v>
      </c>
      <c r="G82">
        <v>48.860100000000003</v>
      </c>
      <c r="H82" t="s">
        <v>477</v>
      </c>
      <c r="I82" t="s">
        <v>477</v>
      </c>
      <c r="J82" t="s">
        <v>35</v>
      </c>
      <c r="K82">
        <f t="shared" si="12"/>
        <v>93.5</v>
      </c>
      <c r="L82">
        <f t="shared" si="13"/>
        <v>346.9006</v>
      </c>
      <c r="M82" t="str">
        <f t="shared" si="14"/>
        <v>cory-5</v>
      </c>
      <c r="N82" t="str">
        <f>INDEX(Scores!$A$2:$A$11,INDEX(Scores!$AA$2:$AA$131,MATCH(C82,Scores!$AB$2:$AB$131,0)))</f>
        <v>cory</v>
      </c>
      <c r="O82">
        <f t="shared" si="15"/>
        <v>109.91</v>
      </c>
      <c r="P82">
        <f t="shared" si="16"/>
        <v>349.51409999999998</v>
      </c>
      <c r="Q82" s="3">
        <f t="shared" si="17"/>
        <v>0.26702544199612877</v>
      </c>
      <c r="R82" s="3">
        <f t="shared" si="18"/>
        <v>0.26014368915548858</v>
      </c>
      <c r="S82" s="9">
        <f t="shared" si="19"/>
        <v>-6.8817528406401873E-3</v>
      </c>
      <c r="T82">
        <f t="shared" si="20"/>
        <v>105</v>
      </c>
      <c r="U82">
        <f t="shared" si="21"/>
        <v>100</v>
      </c>
      <c r="V82" s="3">
        <f t="shared" si="22"/>
        <v>0.76057534292549445</v>
      </c>
      <c r="W82" s="9">
        <f t="shared" si="23"/>
        <v>0.23942465707450555</v>
      </c>
      <c r="AB82" s="111" t="s">
        <v>212</v>
      </c>
      <c r="AC82" s="22"/>
      <c r="AD82" s="22"/>
      <c r="AE82" s="22"/>
      <c r="AF82" s="22"/>
      <c r="AG82" s="22"/>
      <c r="AH82" s="22"/>
      <c r="AI82" s="22"/>
      <c r="AJ82" s="22"/>
      <c r="AK82" s="22"/>
      <c r="AL82" s="22"/>
      <c r="AM82" s="22">
        <v>-1.0643562810056406E-2</v>
      </c>
      <c r="AN82" s="22"/>
      <c r="AO82" s="22"/>
      <c r="AP82" s="22"/>
      <c r="AQ82" s="22"/>
      <c r="AR82" s="22"/>
      <c r="AS82" s="22"/>
      <c r="AT82" s="22"/>
      <c r="AU82" s="22"/>
      <c r="AV82" s="22"/>
      <c r="AW82" s="22"/>
      <c r="AX82" s="22"/>
      <c r="AY82" s="22"/>
      <c r="AZ82" s="22">
        <v>-6.2542947914631065E-3</v>
      </c>
      <c r="BA82" s="22"/>
      <c r="BB82" s="22"/>
      <c r="BC82" s="22">
        <v>-1.0643562810056406E-2</v>
      </c>
      <c r="BD82" s="22">
        <v>-6.2542947914631065E-3</v>
      </c>
    </row>
    <row r="83" spans="1:56" x14ac:dyDescent="0.25">
      <c r="A83" t="s">
        <v>998</v>
      </c>
      <c r="B83">
        <v>5</v>
      </c>
      <c r="C83" t="s">
        <v>889</v>
      </c>
      <c r="D83" t="s">
        <v>478</v>
      </c>
      <c r="E83">
        <v>10</v>
      </c>
      <c r="F83">
        <v>7.65</v>
      </c>
      <c r="G83">
        <v>25.704899999999999</v>
      </c>
      <c r="H83" t="s">
        <v>478</v>
      </c>
      <c r="I83" t="s">
        <v>478</v>
      </c>
      <c r="J83" t="s">
        <v>23</v>
      </c>
      <c r="K83">
        <f t="shared" si="12"/>
        <v>97.27</v>
      </c>
      <c r="L83">
        <f t="shared" si="13"/>
        <v>430.39269999999999</v>
      </c>
      <c r="M83" t="str">
        <f t="shared" si="14"/>
        <v>seth-5</v>
      </c>
      <c r="N83" t="str">
        <f>INDEX(Scores!$A$2:$A$11,INDEX(Scores!$AA$2:$AA$131,MATCH(C83,Scores!$AB$2:$AB$131,0)))</f>
        <v>seth</v>
      </c>
      <c r="O83">
        <f t="shared" si="15"/>
        <v>98.72999999999999</v>
      </c>
      <c r="P83">
        <f t="shared" si="16"/>
        <v>396.28840000000002</v>
      </c>
      <c r="Q83" s="3">
        <f t="shared" si="17"/>
        <v>0.47975082605670671</v>
      </c>
      <c r="R83" s="3">
        <f t="shared" si="18"/>
        <v>0.51254349875407379</v>
      </c>
      <c r="S83" s="9">
        <f t="shared" si="19"/>
        <v>3.2792672697367076E-2</v>
      </c>
      <c r="T83">
        <f t="shared" si="20"/>
        <v>96</v>
      </c>
      <c r="U83">
        <f t="shared" si="21"/>
        <v>90</v>
      </c>
      <c r="V83" s="3">
        <f t="shared" si="22"/>
        <v>0.76421321346303517</v>
      </c>
      <c r="W83" s="9">
        <f t="shared" si="23"/>
        <v>0.23578678653696483</v>
      </c>
      <c r="AB83" s="111" t="s">
        <v>410</v>
      </c>
      <c r="AC83" s="22"/>
      <c r="AD83" s="22"/>
      <c r="AE83" s="22"/>
      <c r="AF83" s="22"/>
      <c r="AG83" s="22"/>
      <c r="AH83" s="22"/>
      <c r="AI83" s="22"/>
      <c r="AJ83" s="22"/>
      <c r="AK83" s="22"/>
      <c r="AL83" s="22"/>
      <c r="AM83" s="22">
        <v>-4.5664395055110052E-2</v>
      </c>
      <c r="AN83" s="22"/>
      <c r="AO83" s="22"/>
      <c r="AP83" s="22"/>
      <c r="AQ83" s="22"/>
      <c r="AR83" s="22"/>
      <c r="AS83" s="22"/>
      <c r="AT83" s="22"/>
      <c r="AU83" s="22"/>
      <c r="AV83" s="22"/>
      <c r="AW83" s="22"/>
      <c r="AX83" s="22"/>
      <c r="AY83" s="22"/>
      <c r="AZ83" s="22">
        <v>-6.8393335790325957E-3</v>
      </c>
      <c r="BA83" s="22"/>
      <c r="BB83" s="22"/>
      <c r="BC83" s="22">
        <v>-4.5664395055110052E-2</v>
      </c>
      <c r="BD83" s="22">
        <v>-6.8393335790325957E-3</v>
      </c>
    </row>
    <row r="84" spans="1:56" x14ac:dyDescent="0.25">
      <c r="A84" t="s">
        <v>134</v>
      </c>
      <c r="B84">
        <v>10</v>
      </c>
      <c r="C84" t="s">
        <v>932</v>
      </c>
      <c r="D84" t="s">
        <v>472</v>
      </c>
      <c r="E84">
        <v>10</v>
      </c>
      <c r="F84">
        <v>7.57</v>
      </c>
      <c r="G84">
        <v>20.520900000000001</v>
      </c>
      <c r="H84" t="s">
        <v>87</v>
      </c>
      <c r="I84" t="s">
        <v>87</v>
      </c>
      <c r="J84" t="s">
        <v>35</v>
      </c>
      <c r="K84">
        <f t="shared" si="12"/>
        <v>101.66000000000001</v>
      </c>
      <c r="L84">
        <f t="shared" si="13"/>
        <v>359.87040000000002</v>
      </c>
      <c r="M84" t="str">
        <f t="shared" si="14"/>
        <v>lucas-10</v>
      </c>
      <c r="N84" t="str">
        <f>INDEX(Scores!$A$2:$A$11,INDEX(Scores!$AA$2:$AA$131,MATCH(C84,Scores!$AB$2:$AB$131,0)))</f>
        <v>lucas</v>
      </c>
      <c r="O84">
        <f t="shared" si="15"/>
        <v>0</v>
      </c>
      <c r="P84">
        <f t="shared" si="16"/>
        <v>0</v>
      </c>
      <c r="Q84" s="3">
        <f t="shared" si="17"/>
        <v>0.99999995813888032</v>
      </c>
      <c r="R84" s="3">
        <f t="shared" si="18"/>
        <v>0.99999999200001499</v>
      </c>
      <c r="S84" s="9">
        <f t="shared" si="19"/>
        <v>3.3861134673962567E-8</v>
      </c>
      <c r="T84">
        <f t="shared" si="20"/>
        <v>97</v>
      </c>
      <c r="U84">
        <f t="shared" si="21"/>
        <v>0</v>
      </c>
      <c r="V84" s="3">
        <f t="shared" si="22"/>
        <v>1</v>
      </c>
      <c r="W84" s="9">
        <f t="shared" si="23"/>
        <v>0</v>
      </c>
      <c r="AB84" s="111" t="s">
        <v>111</v>
      </c>
      <c r="AC84" s="22"/>
      <c r="AD84" s="22"/>
      <c r="AE84" s="22"/>
      <c r="AF84" s="22"/>
      <c r="AG84" s="22"/>
      <c r="AH84" s="22">
        <v>5.4193338618146847E-2</v>
      </c>
      <c r="AI84" s="22"/>
      <c r="AJ84" s="22"/>
      <c r="AK84" s="22"/>
      <c r="AL84" s="22"/>
      <c r="AM84" s="22"/>
      <c r="AN84" s="22"/>
      <c r="AO84" s="22"/>
      <c r="AP84" s="22"/>
      <c r="AQ84" s="22"/>
      <c r="AR84" s="22"/>
      <c r="AS84" s="22"/>
      <c r="AT84" s="22"/>
      <c r="AU84" s="22">
        <v>-7.2821023470858301E-3</v>
      </c>
      <c r="AV84" s="22"/>
      <c r="AW84" s="22"/>
      <c r="AX84" s="22"/>
      <c r="AY84" s="22"/>
      <c r="AZ84" s="22"/>
      <c r="BA84" s="22"/>
      <c r="BB84" s="22"/>
      <c r="BC84" s="22">
        <v>5.4193338618146847E-2</v>
      </c>
      <c r="BD84" s="22">
        <v>-7.2821023470858301E-3</v>
      </c>
    </row>
    <row r="85" spans="1:56" x14ac:dyDescent="0.25">
      <c r="A85" t="s">
        <v>106</v>
      </c>
      <c r="B85">
        <v>5</v>
      </c>
      <c r="C85" t="s">
        <v>889</v>
      </c>
      <c r="D85" t="s">
        <v>471</v>
      </c>
      <c r="E85">
        <v>11</v>
      </c>
      <c r="F85">
        <v>11.59</v>
      </c>
      <c r="G85">
        <v>69.388900000000007</v>
      </c>
      <c r="H85" t="s">
        <v>87</v>
      </c>
      <c r="I85" t="s">
        <v>87</v>
      </c>
      <c r="J85" t="s">
        <v>23</v>
      </c>
      <c r="K85">
        <f t="shared" si="12"/>
        <v>97.27</v>
      </c>
      <c r="L85">
        <f t="shared" si="13"/>
        <v>430.39269999999999</v>
      </c>
      <c r="M85" t="str">
        <f t="shared" si="14"/>
        <v>seth-5</v>
      </c>
      <c r="N85" t="str">
        <f>INDEX(Scores!$A$2:$A$11,INDEX(Scores!$AA$2:$AA$131,MATCH(C85,Scores!$AB$2:$AB$131,0)))</f>
        <v>seth</v>
      </c>
      <c r="O85">
        <f t="shared" si="15"/>
        <v>98.72999999999999</v>
      </c>
      <c r="P85">
        <f t="shared" si="16"/>
        <v>396.28840000000002</v>
      </c>
      <c r="Q85" s="3">
        <f t="shared" si="17"/>
        <v>0.47975082605670671</v>
      </c>
      <c r="R85" s="3">
        <f t="shared" si="18"/>
        <v>0.47030860133287455</v>
      </c>
      <c r="S85" s="9">
        <f t="shared" si="19"/>
        <v>-9.4422247238321599E-3</v>
      </c>
      <c r="T85">
        <f t="shared" si="20"/>
        <v>96</v>
      </c>
      <c r="U85">
        <f t="shared" si="21"/>
        <v>90</v>
      </c>
      <c r="V85" s="3">
        <f t="shared" si="22"/>
        <v>0.78556197866379751</v>
      </c>
      <c r="W85" s="9">
        <f t="shared" si="23"/>
        <v>0.21443802133620249</v>
      </c>
      <c r="AB85" s="111" t="s">
        <v>26</v>
      </c>
      <c r="AC85" s="22"/>
      <c r="AD85" s="22"/>
      <c r="AE85" s="22"/>
      <c r="AF85" s="22">
        <v>-0.16547294344469321</v>
      </c>
      <c r="AG85" s="22"/>
      <c r="AH85" s="22"/>
      <c r="AI85" s="22"/>
      <c r="AJ85" s="22"/>
      <c r="AK85" s="22"/>
      <c r="AL85" s="22"/>
      <c r="AM85" s="22"/>
      <c r="AN85" s="22">
        <v>-6.0098215087204532E-2</v>
      </c>
      <c r="AO85" s="22"/>
      <c r="AP85" s="22"/>
      <c r="AQ85" s="22"/>
      <c r="AR85" s="22"/>
      <c r="AS85" s="22">
        <v>-8.0702772330680794E-3</v>
      </c>
      <c r="AT85" s="22"/>
      <c r="AU85" s="22"/>
      <c r="AV85" s="22"/>
      <c r="AW85" s="22"/>
      <c r="AX85" s="22"/>
      <c r="AY85" s="22"/>
      <c r="AZ85" s="22"/>
      <c r="BA85" s="22">
        <v>1.2029377494116034E-11</v>
      </c>
      <c r="BB85" s="22"/>
      <c r="BC85" s="22">
        <v>-0.22557115853189774</v>
      </c>
      <c r="BD85" s="22">
        <v>-8.0702772210387019E-3</v>
      </c>
    </row>
    <row r="86" spans="1:56" x14ac:dyDescent="0.25">
      <c r="A86" t="s">
        <v>409</v>
      </c>
      <c r="B86">
        <v>9</v>
      </c>
      <c r="C86" t="s">
        <v>915</v>
      </c>
      <c r="D86" t="s">
        <v>477</v>
      </c>
      <c r="E86">
        <v>12</v>
      </c>
      <c r="F86">
        <v>9.34</v>
      </c>
      <c r="G86">
        <v>45.292900000000003</v>
      </c>
      <c r="H86" t="s">
        <v>477</v>
      </c>
      <c r="I86" t="s">
        <v>477</v>
      </c>
      <c r="J86" t="s">
        <v>16</v>
      </c>
      <c r="K86">
        <f t="shared" si="12"/>
        <v>90.69</v>
      </c>
      <c r="L86">
        <f t="shared" si="13"/>
        <v>356.05790000000002</v>
      </c>
      <c r="M86" t="str">
        <f t="shared" si="14"/>
        <v>devon-9</v>
      </c>
      <c r="N86" t="str">
        <f>INDEX(Scores!$A$2:$A$11,INDEX(Scores!$AA$2:$AA$131,MATCH(C86,Scores!$AB$2:$AB$131,0)))</f>
        <v>devon</v>
      </c>
      <c r="O86">
        <f t="shared" si="15"/>
        <v>104.66</v>
      </c>
      <c r="P86">
        <f t="shared" si="16"/>
        <v>474.51049999999998</v>
      </c>
      <c r="Q86" s="3">
        <f t="shared" si="17"/>
        <v>0.31393045538359282</v>
      </c>
      <c r="R86" s="3">
        <f t="shared" si="18"/>
        <v>0.34325329816181815</v>
      </c>
      <c r="S86" s="9">
        <f t="shared" si="19"/>
        <v>2.9322842778225333E-2</v>
      </c>
      <c r="T86">
        <f t="shared" si="20"/>
        <v>89</v>
      </c>
      <c r="U86">
        <f t="shared" si="21"/>
        <v>81</v>
      </c>
      <c r="V86" s="3">
        <f t="shared" si="22"/>
        <v>0.7862456817657959</v>
      </c>
      <c r="W86" s="9">
        <f t="shared" si="23"/>
        <v>0.2137543182342041</v>
      </c>
      <c r="AB86" s="111" t="s">
        <v>104</v>
      </c>
      <c r="AC86" s="22"/>
      <c r="AD86" s="22"/>
      <c r="AE86" s="22">
        <v>7.6583372848813613E-2</v>
      </c>
      <c r="AF86" s="22"/>
      <c r="AG86" s="22"/>
      <c r="AH86" s="22"/>
      <c r="AI86" s="22"/>
      <c r="AJ86" s="22"/>
      <c r="AK86" s="22"/>
      <c r="AL86" s="22"/>
      <c r="AM86" s="22">
        <v>3.3101792490352611E-3</v>
      </c>
      <c r="AN86" s="22"/>
      <c r="AO86" s="22"/>
      <c r="AP86" s="22"/>
      <c r="AQ86" s="22"/>
      <c r="AR86" s="22">
        <v>-1.6515764713242884E-2</v>
      </c>
      <c r="AS86" s="22"/>
      <c r="AT86" s="22"/>
      <c r="AU86" s="22"/>
      <c r="AV86" s="22"/>
      <c r="AW86" s="22"/>
      <c r="AX86" s="22"/>
      <c r="AY86" s="22"/>
      <c r="AZ86" s="22">
        <v>-1.4722106491557018E-4</v>
      </c>
      <c r="BA86" s="22"/>
      <c r="BB86" s="22"/>
      <c r="BC86" s="22">
        <v>7.9893552097848874E-2</v>
      </c>
      <c r="BD86" s="22">
        <v>-1.6662985778158453E-2</v>
      </c>
    </row>
    <row r="87" spans="1:56" x14ac:dyDescent="0.25">
      <c r="A87" t="s">
        <v>57</v>
      </c>
      <c r="B87">
        <v>8</v>
      </c>
      <c r="C87" t="s">
        <v>930</v>
      </c>
      <c r="D87" t="s">
        <v>468</v>
      </c>
      <c r="E87">
        <v>25</v>
      </c>
      <c r="F87">
        <v>17.41</v>
      </c>
      <c r="G87">
        <v>84.272400000000005</v>
      </c>
      <c r="H87" t="s">
        <v>47</v>
      </c>
      <c r="I87" t="s">
        <v>47</v>
      </c>
      <c r="J87" t="s">
        <v>35</v>
      </c>
      <c r="K87">
        <f t="shared" si="12"/>
        <v>102.43</v>
      </c>
      <c r="L87">
        <f t="shared" si="13"/>
        <v>452.86560000000003</v>
      </c>
      <c r="M87" t="str">
        <f t="shared" si="14"/>
        <v>seth-8</v>
      </c>
      <c r="N87" t="str">
        <f>INDEX(Scores!$A$2:$A$11,INDEX(Scores!$AA$2:$AA$131,MATCH(C87,Scores!$AB$2:$AB$131,0)))</f>
        <v>seth</v>
      </c>
      <c r="O87">
        <f t="shared" si="15"/>
        <v>96.57</v>
      </c>
      <c r="P87">
        <f t="shared" si="16"/>
        <v>368.03749999999997</v>
      </c>
      <c r="Q87" s="3">
        <f t="shared" si="17"/>
        <v>0.58102934018980379</v>
      </c>
      <c r="R87" s="3">
        <f t="shared" si="18"/>
        <v>0.68989801602655776</v>
      </c>
      <c r="S87" s="9">
        <f t="shared" si="19"/>
        <v>0.10886867583675397</v>
      </c>
      <c r="T87">
        <f t="shared" si="20"/>
        <v>100</v>
      </c>
      <c r="U87">
        <f t="shared" si="21"/>
        <v>85</v>
      </c>
      <c r="V87" s="3">
        <f t="shared" si="22"/>
        <v>0.7902213551367725</v>
      </c>
      <c r="W87" s="9">
        <f t="shared" si="23"/>
        <v>0.2097786448632275</v>
      </c>
      <c r="AB87" s="111" t="s">
        <v>135</v>
      </c>
      <c r="AC87" s="22"/>
      <c r="AD87" s="22"/>
      <c r="AE87" s="22"/>
      <c r="AF87" s="22"/>
      <c r="AG87" s="22">
        <v>0.10109489181653586</v>
      </c>
      <c r="AH87" s="22"/>
      <c r="AI87" s="22"/>
      <c r="AJ87" s="22"/>
      <c r="AK87" s="22"/>
      <c r="AL87" s="22"/>
      <c r="AM87" s="22"/>
      <c r="AN87" s="22"/>
      <c r="AO87" s="22">
        <v>-4.5636752377354331E-2</v>
      </c>
      <c r="AP87" s="22"/>
      <c r="AQ87" s="22"/>
      <c r="AR87" s="22"/>
      <c r="AS87" s="22"/>
      <c r="AT87" s="22">
        <v>-2.3455836829648562E-2</v>
      </c>
      <c r="AU87" s="22"/>
      <c r="AV87" s="22"/>
      <c r="AW87" s="22"/>
      <c r="AX87" s="22"/>
      <c r="AY87" s="22"/>
      <c r="AZ87" s="22"/>
      <c r="BA87" s="22"/>
      <c r="BB87" s="22">
        <v>1.3590641765990341E-3</v>
      </c>
      <c r="BC87" s="22">
        <v>5.5458139439181528E-2</v>
      </c>
      <c r="BD87" s="22">
        <v>-2.2096772653049528E-2</v>
      </c>
    </row>
    <row r="88" spans="1:56" x14ac:dyDescent="0.25">
      <c r="A88" t="s">
        <v>410</v>
      </c>
      <c r="B88">
        <v>8</v>
      </c>
      <c r="C88" t="s">
        <v>930</v>
      </c>
      <c r="D88" t="s">
        <v>477</v>
      </c>
      <c r="E88">
        <v>18</v>
      </c>
      <c r="F88">
        <v>7.76</v>
      </c>
      <c r="G88">
        <v>33.872399999999999</v>
      </c>
      <c r="H88" t="s">
        <v>477</v>
      </c>
      <c r="I88" t="s">
        <v>477</v>
      </c>
      <c r="J88" t="s">
        <v>35</v>
      </c>
      <c r="K88">
        <f t="shared" si="12"/>
        <v>102.43</v>
      </c>
      <c r="L88">
        <f t="shared" si="13"/>
        <v>452.86560000000003</v>
      </c>
      <c r="M88" t="str">
        <f t="shared" si="14"/>
        <v>seth-8</v>
      </c>
      <c r="N88" t="str">
        <f>INDEX(Scores!$A$2:$A$11,INDEX(Scores!$AA$2:$AA$131,MATCH(C88,Scores!$AB$2:$AB$131,0)))</f>
        <v>seth</v>
      </c>
      <c r="O88">
        <f t="shared" si="15"/>
        <v>96.57</v>
      </c>
      <c r="P88">
        <f t="shared" si="16"/>
        <v>368.03749999999997</v>
      </c>
      <c r="Q88" s="3">
        <f t="shared" si="17"/>
        <v>0.58102934018980379</v>
      </c>
      <c r="R88" s="3">
        <f t="shared" si="18"/>
        <v>0.71697949774473757</v>
      </c>
      <c r="S88" s="9">
        <f t="shared" si="19"/>
        <v>0.13595015755493378</v>
      </c>
      <c r="T88">
        <f t="shared" si="20"/>
        <v>100</v>
      </c>
      <c r="U88">
        <f t="shared" si="21"/>
        <v>85</v>
      </c>
      <c r="V88" s="3">
        <f t="shared" si="22"/>
        <v>0.79328412211023158</v>
      </c>
      <c r="W88" s="9">
        <f t="shared" si="23"/>
        <v>0.20671587788976842</v>
      </c>
      <c r="AB88" s="111" t="s">
        <v>445</v>
      </c>
      <c r="AC88" s="22"/>
      <c r="AD88" s="22"/>
      <c r="AE88" s="22">
        <v>-2.6766108416735324E-2</v>
      </c>
      <c r="AF88" s="22"/>
      <c r="AG88" s="22"/>
      <c r="AH88" s="22"/>
      <c r="AI88" s="22">
        <v>-9.1754404952163859E-2</v>
      </c>
      <c r="AJ88" s="22"/>
      <c r="AK88" s="22"/>
      <c r="AL88" s="22"/>
      <c r="AM88" s="22"/>
      <c r="AN88" s="22"/>
      <c r="AO88" s="22"/>
      <c r="AP88" s="22"/>
      <c r="AQ88" s="22"/>
      <c r="AR88" s="22">
        <v>-5.2153304259475571E-2</v>
      </c>
      <c r="AS88" s="22"/>
      <c r="AT88" s="22"/>
      <c r="AU88" s="22"/>
      <c r="AV88" s="22">
        <v>0</v>
      </c>
      <c r="AW88" s="22"/>
      <c r="AX88" s="22"/>
      <c r="AY88" s="22"/>
      <c r="AZ88" s="22"/>
      <c r="BA88" s="22"/>
      <c r="BB88" s="22"/>
      <c r="BC88" s="22">
        <v>-0.11852051336889918</v>
      </c>
      <c r="BD88" s="22">
        <v>-5.2153304259475571E-2</v>
      </c>
    </row>
    <row r="89" spans="1:56" x14ac:dyDescent="0.25">
      <c r="A89" t="s">
        <v>103</v>
      </c>
      <c r="B89">
        <v>1</v>
      </c>
      <c r="C89" t="s">
        <v>506</v>
      </c>
      <c r="D89" t="s">
        <v>472</v>
      </c>
      <c r="E89">
        <v>12</v>
      </c>
      <c r="F89">
        <v>11.35</v>
      </c>
      <c r="G89">
        <v>42.510399999999997</v>
      </c>
      <c r="H89" t="s">
        <v>87</v>
      </c>
      <c r="I89" t="s">
        <v>87</v>
      </c>
      <c r="J89" t="s">
        <v>27</v>
      </c>
      <c r="K89">
        <f t="shared" si="12"/>
        <v>110.7</v>
      </c>
      <c r="L89">
        <f t="shared" si="13"/>
        <v>433.44330000000002</v>
      </c>
      <c r="M89" t="str">
        <f t="shared" si="14"/>
        <v>seth-1</v>
      </c>
      <c r="N89" t="str">
        <f>INDEX(Scores!$A$2:$A$11,INDEX(Scores!$AA$2:$AA$131,MATCH(C89,Scores!$AB$2:$AB$131,0)))</f>
        <v>seth</v>
      </c>
      <c r="O89">
        <f t="shared" si="15"/>
        <v>111.07</v>
      </c>
      <c r="P89">
        <f t="shared" si="16"/>
        <v>422.00569999999999</v>
      </c>
      <c r="Q89" s="3">
        <f t="shared" si="17"/>
        <v>0.49495335047896771</v>
      </c>
      <c r="R89" s="3">
        <f t="shared" si="18"/>
        <v>0.50391770962897686</v>
      </c>
      <c r="S89" s="9">
        <f t="shared" si="19"/>
        <v>8.9643591500091491E-3</v>
      </c>
      <c r="T89">
        <f t="shared" si="20"/>
        <v>77</v>
      </c>
      <c r="U89">
        <f t="shared" si="21"/>
        <v>71</v>
      </c>
      <c r="V89" s="3">
        <f t="shared" si="22"/>
        <v>0.79404929282179504</v>
      </c>
      <c r="W89" s="9">
        <f t="shared" si="23"/>
        <v>0.20595070717820496</v>
      </c>
      <c r="AB89" s="111" t="s">
        <v>93</v>
      </c>
      <c r="AC89" s="22"/>
      <c r="AD89" s="22"/>
      <c r="AE89" s="22"/>
      <c r="AF89" s="22"/>
      <c r="AG89" s="22"/>
      <c r="AH89" s="22">
        <v>-7.4215100048027782E-2</v>
      </c>
      <c r="AI89" s="22"/>
      <c r="AJ89" s="22"/>
      <c r="AK89" s="22"/>
      <c r="AL89" s="22"/>
      <c r="AM89" s="22"/>
      <c r="AN89" s="22"/>
      <c r="AO89" s="22"/>
      <c r="AP89" s="22"/>
      <c r="AQ89" s="22"/>
      <c r="AR89" s="22"/>
      <c r="AS89" s="22"/>
      <c r="AT89" s="22"/>
      <c r="AU89" s="22">
        <v>-5.7759489145530842E-2</v>
      </c>
      <c r="AV89" s="22"/>
      <c r="AW89" s="22"/>
      <c r="AX89" s="22"/>
      <c r="AY89" s="22"/>
      <c r="AZ89" s="22"/>
      <c r="BA89" s="22"/>
      <c r="BB89" s="22"/>
      <c r="BC89" s="22">
        <v>-7.4215100048027782E-2</v>
      </c>
      <c r="BD89" s="22">
        <v>-5.7759489145530842E-2</v>
      </c>
    </row>
    <row r="90" spans="1:56" x14ac:dyDescent="0.25">
      <c r="A90" t="s">
        <v>110</v>
      </c>
      <c r="B90">
        <v>10</v>
      </c>
      <c r="C90" t="s">
        <v>932</v>
      </c>
      <c r="D90" t="s">
        <v>473</v>
      </c>
      <c r="E90">
        <v>11</v>
      </c>
      <c r="F90">
        <v>10.26</v>
      </c>
      <c r="G90">
        <v>40.96</v>
      </c>
      <c r="H90" t="s">
        <v>87</v>
      </c>
      <c r="I90" t="s">
        <v>87</v>
      </c>
      <c r="J90" t="s">
        <v>35</v>
      </c>
      <c r="K90">
        <f t="shared" si="12"/>
        <v>101.66000000000001</v>
      </c>
      <c r="L90">
        <f t="shared" si="13"/>
        <v>359.87040000000002</v>
      </c>
      <c r="M90" t="str">
        <f t="shared" si="14"/>
        <v>lucas-10</v>
      </c>
      <c r="N90" t="str">
        <f>INDEX(Scores!$A$2:$A$11,INDEX(Scores!$AA$2:$AA$131,MATCH(C90,Scores!$AB$2:$AB$131,0)))</f>
        <v>lucas</v>
      </c>
      <c r="O90">
        <f t="shared" si="15"/>
        <v>0</v>
      </c>
      <c r="P90">
        <f t="shared" si="16"/>
        <v>0</v>
      </c>
      <c r="Q90" s="3">
        <f t="shared" si="17"/>
        <v>0.99999995813888032</v>
      </c>
      <c r="R90" s="3">
        <f t="shared" si="18"/>
        <v>0.99999999509856052</v>
      </c>
      <c r="S90" s="9">
        <f t="shared" si="19"/>
        <v>3.6959680205228551E-8</v>
      </c>
      <c r="T90">
        <f t="shared" si="20"/>
        <v>97</v>
      </c>
      <c r="U90">
        <f t="shared" si="21"/>
        <v>0</v>
      </c>
      <c r="V90" s="3">
        <f t="shared" si="22"/>
        <v>1</v>
      </c>
      <c r="W90" s="9">
        <f t="shared" si="23"/>
        <v>0</v>
      </c>
      <c r="AB90" s="111" t="s">
        <v>98</v>
      </c>
      <c r="AC90" s="22"/>
      <c r="AD90" s="22"/>
      <c r="AE90" s="22">
        <v>7.5489895164657317E-2</v>
      </c>
      <c r="AF90" s="22"/>
      <c r="AG90" s="22"/>
      <c r="AH90" s="22"/>
      <c r="AI90" s="22"/>
      <c r="AJ90" s="22"/>
      <c r="AK90" s="22"/>
      <c r="AL90" s="22"/>
      <c r="AM90" s="22">
        <v>-6.2851974808931454E-2</v>
      </c>
      <c r="AN90" s="22"/>
      <c r="AO90" s="22"/>
      <c r="AP90" s="22"/>
      <c r="AQ90" s="22"/>
      <c r="AR90" s="22">
        <v>-7.9598605350410565E-2</v>
      </c>
      <c r="AS90" s="22"/>
      <c r="AT90" s="22"/>
      <c r="AU90" s="22"/>
      <c r="AV90" s="22"/>
      <c r="AW90" s="22"/>
      <c r="AX90" s="22"/>
      <c r="AY90" s="22"/>
      <c r="AZ90" s="22">
        <v>-3.0194164117114663E-4</v>
      </c>
      <c r="BA90" s="22"/>
      <c r="BB90" s="22"/>
      <c r="BC90" s="22">
        <v>1.2637920355725862E-2</v>
      </c>
      <c r="BD90" s="22">
        <v>-7.9900546991581708E-2</v>
      </c>
    </row>
    <row r="91" spans="1:56" x14ac:dyDescent="0.25">
      <c r="A91" t="s">
        <v>411</v>
      </c>
      <c r="B91">
        <v>11</v>
      </c>
      <c r="C91" t="s">
        <v>925</v>
      </c>
      <c r="D91" t="s">
        <v>477</v>
      </c>
      <c r="E91">
        <v>23</v>
      </c>
      <c r="F91">
        <v>8.1</v>
      </c>
      <c r="G91">
        <v>37.945599999999999</v>
      </c>
      <c r="H91" t="s">
        <v>477</v>
      </c>
      <c r="I91" t="s">
        <v>477</v>
      </c>
      <c r="J91" t="s">
        <v>55</v>
      </c>
      <c r="K91">
        <f t="shared" si="12"/>
        <v>110.11</v>
      </c>
      <c r="L91">
        <f t="shared" si="13"/>
        <v>412.79880000000003</v>
      </c>
      <c r="M91" t="str">
        <f t="shared" si="14"/>
        <v>seth-11</v>
      </c>
      <c r="N91" t="str">
        <f>INDEX(Scores!$A$2:$A$11,INDEX(Scores!$AA$2:$AA$131,MATCH(C91,Scores!$AB$2:$AB$131,0)))</f>
        <v>seth</v>
      </c>
      <c r="O91">
        <f t="shared" si="15"/>
        <v>98.329999999999984</v>
      </c>
      <c r="P91">
        <f t="shared" si="16"/>
        <v>378.70709999999997</v>
      </c>
      <c r="Q91" s="3">
        <f t="shared" si="17"/>
        <v>0.66228767586387005</v>
      </c>
      <c r="R91" s="3">
        <f t="shared" si="18"/>
        <v>0.83445276613935837</v>
      </c>
      <c r="S91" s="9">
        <f t="shared" si="19"/>
        <v>0.17216509027548832</v>
      </c>
      <c r="T91">
        <f t="shared" si="20"/>
        <v>131</v>
      </c>
      <c r="U91">
        <f t="shared" si="21"/>
        <v>111</v>
      </c>
      <c r="V91" s="3">
        <f t="shared" si="22"/>
        <v>0.79614268464639981</v>
      </c>
      <c r="W91" s="9">
        <f t="shared" si="23"/>
        <v>0.20385731535360019</v>
      </c>
      <c r="AB91" s="111" t="s">
        <v>138</v>
      </c>
      <c r="AC91" s="22"/>
      <c r="AD91" s="22"/>
      <c r="AE91" s="22">
        <v>-1.3634072054093727E-2</v>
      </c>
      <c r="AF91" s="22"/>
      <c r="AG91" s="22"/>
      <c r="AH91" s="22"/>
      <c r="AI91" s="22"/>
      <c r="AJ91" s="22"/>
      <c r="AK91" s="22"/>
      <c r="AL91" s="22"/>
      <c r="AM91" s="22">
        <v>0.12278197371976568</v>
      </c>
      <c r="AN91" s="22"/>
      <c r="AO91" s="22"/>
      <c r="AP91" s="22"/>
      <c r="AQ91" s="22"/>
      <c r="AR91" s="22">
        <v>-8.3562194895427613E-2</v>
      </c>
      <c r="AS91" s="22"/>
      <c r="AT91" s="22"/>
      <c r="AU91" s="22"/>
      <c r="AV91" s="22"/>
      <c r="AW91" s="22"/>
      <c r="AX91" s="22"/>
      <c r="AY91" s="22"/>
      <c r="AZ91" s="22">
        <v>-1.0292184152230526E-4</v>
      </c>
      <c r="BA91" s="22"/>
      <c r="BB91" s="22"/>
      <c r="BC91" s="22">
        <v>0.10914790166567195</v>
      </c>
      <c r="BD91" s="22">
        <v>-8.3665116736949915E-2</v>
      </c>
    </row>
    <row r="92" spans="1:56" x14ac:dyDescent="0.25">
      <c r="A92" t="s">
        <v>456</v>
      </c>
      <c r="B92">
        <v>8</v>
      </c>
      <c r="C92" t="s">
        <v>970</v>
      </c>
      <c r="D92" t="s">
        <v>478</v>
      </c>
      <c r="E92">
        <v>5</v>
      </c>
      <c r="F92">
        <v>7.06</v>
      </c>
      <c r="G92">
        <v>12.25</v>
      </c>
      <c r="H92" t="s">
        <v>478</v>
      </c>
      <c r="I92" t="s">
        <v>478</v>
      </c>
      <c r="J92" t="s">
        <v>49</v>
      </c>
      <c r="K92">
        <f t="shared" si="12"/>
        <v>88.500000000000014</v>
      </c>
      <c r="L92">
        <f t="shared" si="13"/>
        <v>351.30459999999999</v>
      </c>
      <c r="M92" t="str">
        <f t="shared" si="14"/>
        <v>cory-8</v>
      </c>
      <c r="N92" t="str">
        <f>INDEX(Scores!$A$2:$A$11,INDEX(Scores!$AA$2:$AA$131,MATCH(C92,Scores!$AB$2:$AB$131,0)))</f>
        <v>cory</v>
      </c>
      <c r="O92">
        <f t="shared" si="15"/>
        <v>106.3</v>
      </c>
      <c r="P92">
        <f t="shared" si="16"/>
        <v>423.11159999999995</v>
      </c>
      <c r="Q92" s="3">
        <f t="shared" si="17"/>
        <v>0.2612046893481158</v>
      </c>
      <c r="R92" s="3">
        <f t="shared" si="18"/>
        <v>0.23595542732520369</v>
      </c>
      <c r="S92" s="9">
        <f t="shared" si="19"/>
        <v>-2.5249262022912111E-2</v>
      </c>
      <c r="T92">
        <f t="shared" si="20"/>
        <v>107</v>
      </c>
      <c r="U92">
        <f t="shared" si="21"/>
        <v>106</v>
      </c>
      <c r="V92" s="3">
        <f t="shared" si="22"/>
        <v>0.80901866142596401</v>
      </c>
      <c r="W92" s="9">
        <f t="shared" si="23"/>
        <v>0.19098133857403599</v>
      </c>
      <c r="AB92" s="111" t="s">
        <v>149</v>
      </c>
      <c r="AC92" s="22"/>
      <c r="AD92" s="22"/>
      <c r="AE92" s="22">
        <v>-2.3621793757533371E-2</v>
      </c>
      <c r="AF92" s="22"/>
      <c r="AG92" s="22"/>
      <c r="AH92" s="22"/>
      <c r="AI92" s="22"/>
      <c r="AJ92" s="22"/>
      <c r="AK92" s="22"/>
      <c r="AL92" s="22"/>
      <c r="AM92" s="22"/>
      <c r="AN92" s="22"/>
      <c r="AO92" s="22"/>
      <c r="AP92" s="22"/>
      <c r="AQ92" s="22"/>
      <c r="AR92" s="22">
        <v>-0.12586291428559235</v>
      </c>
      <c r="AS92" s="22"/>
      <c r="AT92" s="22"/>
      <c r="AU92" s="22"/>
      <c r="AV92" s="22"/>
      <c r="AW92" s="22"/>
      <c r="AX92" s="22"/>
      <c r="AY92" s="22"/>
      <c r="AZ92" s="22"/>
      <c r="BA92" s="22"/>
      <c r="BB92" s="22"/>
      <c r="BC92" s="22">
        <v>-2.3621793757533371E-2</v>
      </c>
      <c r="BD92" s="22">
        <v>-0.12586291428559235</v>
      </c>
    </row>
    <row r="93" spans="1:56" x14ac:dyDescent="0.25">
      <c r="A93" t="s">
        <v>220</v>
      </c>
      <c r="B93">
        <v>13</v>
      </c>
      <c r="C93" t="s">
        <v>975</v>
      </c>
      <c r="D93" t="s">
        <v>473</v>
      </c>
      <c r="E93">
        <v>13</v>
      </c>
      <c r="F93">
        <v>7.6</v>
      </c>
      <c r="G93">
        <v>16.809999999999999</v>
      </c>
      <c r="H93" t="s">
        <v>87</v>
      </c>
      <c r="I93" t="s">
        <v>87</v>
      </c>
      <c r="J93" t="s">
        <v>49</v>
      </c>
      <c r="K93">
        <f t="shared" si="12"/>
        <v>88.16</v>
      </c>
      <c r="L93">
        <f t="shared" si="13"/>
        <v>330.99250000000001</v>
      </c>
      <c r="M93" t="str">
        <f t="shared" si="14"/>
        <v>aj-13</v>
      </c>
      <c r="N93" t="str">
        <f>INDEX(Scores!$A$2:$A$11,INDEX(Scores!$AA$2:$AA$131,MATCH(C93,Scores!$AB$2:$AB$131,0)))</f>
        <v>aj</v>
      </c>
      <c r="O93">
        <f t="shared" si="15"/>
        <v>116.54</v>
      </c>
      <c r="P93">
        <f t="shared" si="16"/>
        <v>371.12040000000002</v>
      </c>
      <c r="Q93" s="3">
        <f t="shared" si="17"/>
        <v>0.14207393469061222</v>
      </c>
      <c r="R93" s="3">
        <f t="shared" si="18"/>
        <v>0.19001891186491318</v>
      </c>
      <c r="S93" s="9">
        <f t="shared" si="19"/>
        <v>4.7944977174300962E-2</v>
      </c>
      <c r="T93">
        <f t="shared" si="20"/>
        <v>117</v>
      </c>
      <c r="U93">
        <f t="shared" si="21"/>
        <v>108</v>
      </c>
      <c r="V93" s="3">
        <f t="shared" si="22"/>
        <v>0.81004137648282237</v>
      </c>
      <c r="W93" s="9">
        <f t="shared" si="23"/>
        <v>0.18995862351717763</v>
      </c>
      <c r="AB93" s="111" t="s">
        <v>437</v>
      </c>
      <c r="AC93" s="22"/>
      <c r="AD93" s="22"/>
      <c r="AE93" s="22">
        <v>-4.4675169145060478E-2</v>
      </c>
      <c r="AF93" s="22"/>
      <c r="AG93" s="22"/>
      <c r="AH93" s="22"/>
      <c r="AI93" s="22"/>
      <c r="AJ93" s="22"/>
      <c r="AK93" s="22"/>
      <c r="AL93" s="22"/>
      <c r="AM93" s="22"/>
      <c r="AN93" s="22"/>
      <c r="AO93" s="22"/>
      <c r="AP93" s="22"/>
      <c r="AQ93" s="22"/>
      <c r="AR93" s="22">
        <v>-0.18441647687160795</v>
      </c>
      <c r="AS93" s="22"/>
      <c r="AT93" s="22"/>
      <c r="AU93" s="22"/>
      <c r="AV93" s="22"/>
      <c r="AW93" s="22"/>
      <c r="AX93" s="22"/>
      <c r="AY93" s="22"/>
      <c r="AZ93" s="22"/>
      <c r="BA93" s="22"/>
      <c r="BB93" s="22"/>
      <c r="BC93" s="22">
        <v>-4.4675169145060478E-2</v>
      </c>
      <c r="BD93" s="22">
        <v>-0.18441647687160795</v>
      </c>
    </row>
    <row r="94" spans="1:56" x14ac:dyDescent="0.25">
      <c r="A94" t="s">
        <v>132</v>
      </c>
      <c r="B94">
        <v>1</v>
      </c>
      <c r="C94" t="s">
        <v>503</v>
      </c>
      <c r="D94" t="s">
        <v>466</v>
      </c>
      <c r="E94">
        <v>8</v>
      </c>
      <c r="F94">
        <v>8.91</v>
      </c>
      <c r="G94">
        <v>29.9209</v>
      </c>
      <c r="H94" t="s">
        <v>466</v>
      </c>
      <c r="I94" t="s">
        <v>47</v>
      </c>
      <c r="J94" t="s">
        <v>35</v>
      </c>
      <c r="K94">
        <f t="shared" si="12"/>
        <v>101.69</v>
      </c>
      <c r="L94">
        <f t="shared" si="13"/>
        <v>390.77570000000003</v>
      </c>
      <c r="M94" t="str">
        <f t="shared" si="14"/>
        <v>lucas-1</v>
      </c>
      <c r="N94" t="str">
        <f>INDEX(Scores!$A$2:$A$11,INDEX(Scores!$AA$2:$AA$131,MATCH(C94,Scores!$AB$2:$AB$131,0)))</f>
        <v>lucas</v>
      </c>
      <c r="O94">
        <f t="shared" si="15"/>
        <v>0</v>
      </c>
      <c r="P94">
        <f t="shared" si="16"/>
        <v>0</v>
      </c>
      <c r="Q94" s="3">
        <f t="shared" si="17"/>
        <v>0.99999986563981569</v>
      </c>
      <c r="R94" s="3">
        <f t="shared" si="18"/>
        <v>0.99999994374916201</v>
      </c>
      <c r="S94" s="9">
        <f t="shared" si="19"/>
        <v>7.8109346324239937E-8</v>
      </c>
      <c r="T94">
        <f t="shared" si="20"/>
        <v>75</v>
      </c>
      <c r="U94">
        <f t="shared" si="21"/>
        <v>0</v>
      </c>
      <c r="V94" s="3">
        <f t="shared" si="22"/>
        <v>1</v>
      </c>
      <c r="W94" s="9">
        <f t="shared" si="23"/>
        <v>0</v>
      </c>
      <c r="AB94" s="111" t="s">
        <v>176</v>
      </c>
      <c r="AC94" s="22"/>
      <c r="AD94" s="22"/>
      <c r="AE94" s="22"/>
      <c r="AF94" s="22"/>
      <c r="AG94" s="22">
        <v>-1.0363367362249354E-2</v>
      </c>
      <c r="AH94" s="22"/>
      <c r="AI94" s="22"/>
      <c r="AJ94" s="22"/>
      <c r="AK94" s="22"/>
      <c r="AL94" s="22"/>
      <c r="AM94" s="22"/>
      <c r="AN94" s="22"/>
      <c r="AO94" s="22"/>
      <c r="AP94" s="22"/>
      <c r="AQ94" s="22"/>
      <c r="AR94" s="22"/>
      <c r="AS94" s="22"/>
      <c r="AT94" s="22">
        <v>-0.2013708565580922</v>
      </c>
      <c r="AU94" s="22"/>
      <c r="AV94" s="22"/>
      <c r="AW94" s="22"/>
      <c r="AX94" s="22"/>
      <c r="AY94" s="22"/>
      <c r="AZ94" s="22"/>
      <c r="BA94" s="22"/>
      <c r="BB94" s="22"/>
      <c r="BC94" s="22">
        <v>-1.0363367362249354E-2</v>
      </c>
      <c r="BD94" s="22">
        <v>-0.2013708565580922</v>
      </c>
    </row>
    <row r="95" spans="1:56" x14ac:dyDescent="0.25">
      <c r="A95" t="s">
        <v>112</v>
      </c>
      <c r="B95">
        <v>8</v>
      </c>
      <c r="C95" t="s">
        <v>970</v>
      </c>
      <c r="D95" t="s">
        <v>466</v>
      </c>
      <c r="E95">
        <v>4</v>
      </c>
      <c r="F95">
        <v>8.44</v>
      </c>
      <c r="G95">
        <v>36.240400000000001</v>
      </c>
      <c r="H95" t="s">
        <v>466</v>
      </c>
      <c r="I95" t="s">
        <v>47</v>
      </c>
      <c r="J95" t="s">
        <v>49</v>
      </c>
      <c r="K95">
        <f t="shared" si="12"/>
        <v>88.500000000000014</v>
      </c>
      <c r="L95">
        <f t="shared" si="13"/>
        <v>351.30459999999999</v>
      </c>
      <c r="M95" t="str">
        <f t="shared" si="14"/>
        <v>cory-8</v>
      </c>
      <c r="N95" t="str">
        <f>INDEX(Scores!$A$2:$A$11,INDEX(Scores!$AA$2:$AA$131,MATCH(C95,Scores!$AB$2:$AB$131,0)))</f>
        <v>cory</v>
      </c>
      <c r="O95">
        <f t="shared" si="15"/>
        <v>106.3</v>
      </c>
      <c r="P95">
        <f t="shared" si="16"/>
        <v>423.11159999999995</v>
      </c>
      <c r="Q95" s="3">
        <f t="shared" si="17"/>
        <v>0.2612046893481158</v>
      </c>
      <c r="R95" s="3">
        <f t="shared" si="18"/>
        <v>0.20651640162130394</v>
      </c>
      <c r="S95" s="9">
        <f t="shared" si="19"/>
        <v>-5.4688287726811863E-2</v>
      </c>
      <c r="T95">
        <f t="shared" si="20"/>
        <v>107</v>
      </c>
      <c r="U95">
        <f t="shared" si="21"/>
        <v>106</v>
      </c>
      <c r="V95" s="3">
        <f t="shared" si="22"/>
        <v>0.81691067967654685</v>
      </c>
      <c r="W95" s="9">
        <f t="shared" si="23"/>
        <v>0.18308932032345315</v>
      </c>
      <c r="AB95" s="111" t="s">
        <v>155</v>
      </c>
      <c r="AC95" s="22"/>
      <c r="AD95" s="22"/>
      <c r="AE95" s="22">
        <v>-5.7630149275542775E-2</v>
      </c>
      <c r="AF95" s="22"/>
      <c r="AG95" s="22"/>
      <c r="AH95" s="22"/>
      <c r="AI95" s="22"/>
      <c r="AJ95" s="22"/>
      <c r="AK95" s="22"/>
      <c r="AL95" s="22"/>
      <c r="AM95" s="22"/>
      <c r="AN95" s="22"/>
      <c r="AO95" s="22"/>
      <c r="AP95" s="22"/>
      <c r="AQ95" s="22"/>
      <c r="AR95" s="22">
        <v>-0.20154805484470964</v>
      </c>
      <c r="AS95" s="22"/>
      <c r="AT95" s="22"/>
      <c r="AU95" s="22"/>
      <c r="AV95" s="22"/>
      <c r="AW95" s="22"/>
      <c r="AX95" s="22"/>
      <c r="AY95" s="22"/>
      <c r="AZ95" s="22"/>
      <c r="BA95" s="22"/>
      <c r="BB95" s="22"/>
      <c r="BC95" s="22">
        <v>-5.7630149275542775E-2</v>
      </c>
      <c r="BD95" s="22">
        <v>-0.20154805484470964</v>
      </c>
    </row>
    <row r="96" spans="1:56" x14ac:dyDescent="0.25">
      <c r="A96" t="s">
        <v>107</v>
      </c>
      <c r="B96">
        <v>13</v>
      </c>
      <c r="C96" t="s">
        <v>975</v>
      </c>
      <c r="D96" t="s">
        <v>472</v>
      </c>
      <c r="E96">
        <v>11</v>
      </c>
      <c r="F96">
        <v>8.6199999999999992</v>
      </c>
      <c r="G96">
        <v>52.2729</v>
      </c>
      <c r="H96" t="s">
        <v>87</v>
      </c>
      <c r="I96" t="s">
        <v>87</v>
      </c>
      <c r="J96" t="s">
        <v>49</v>
      </c>
      <c r="K96">
        <f t="shared" si="12"/>
        <v>88.16</v>
      </c>
      <c r="L96">
        <f t="shared" si="13"/>
        <v>330.99250000000001</v>
      </c>
      <c r="M96" t="str">
        <f t="shared" si="14"/>
        <v>aj-13</v>
      </c>
      <c r="N96" t="str">
        <f>INDEX(Scores!$A$2:$A$11,INDEX(Scores!$AA$2:$AA$131,MATCH(C96,Scores!$AB$2:$AB$131,0)))</f>
        <v>aj</v>
      </c>
      <c r="O96">
        <f t="shared" si="15"/>
        <v>116.54</v>
      </c>
      <c r="P96">
        <f t="shared" si="16"/>
        <v>371.12040000000002</v>
      </c>
      <c r="Q96" s="3">
        <f t="shared" si="17"/>
        <v>0.14207393469061222</v>
      </c>
      <c r="R96" s="3">
        <f t="shared" si="18"/>
        <v>0.15388096295281195</v>
      </c>
      <c r="S96" s="9">
        <f t="shared" si="19"/>
        <v>1.1807028262199731E-2</v>
      </c>
      <c r="T96">
        <f t="shared" si="20"/>
        <v>117</v>
      </c>
      <c r="U96">
        <f t="shared" si="21"/>
        <v>108</v>
      </c>
      <c r="V96" s="3">
        <f t="shared" si="22"/>
        <v>0.82006932673267141</v>
      </c>
      <c r="W96" s="9">
        <f t="shared" si="23"/>
        <v>0.17993067326732859</v>
      </c>
      <c r="AB96" s="111" t="s">
        <v>165</v>
      </c>
      <c r="AC96" s="22"/>
      <c r="AD96" s="22"/>
      <c r="AE96" s="22">
        <v>-5.5184441753902247E-2</v>
      </c>
      <c r="AF96" s="22"/>
      <c r="AG96" s="22"/>
      <c r="AH96" s="22"/>
      <c r="AI96" s="22"/>
      <c r="AJ96" s="22"/>
      <c r="AK96" s="22"/>
      <c r="AL96" s="22"/>
      <c r="AM96" s="22"/>
      <c r="AN96" s="22"/>
      <c r="AO96" s="22"/>
      <c r="AP96" s="22"/>
      <c r="AQ96" s="22"/>
      <c r="AR96" s="22">
        <v>-0.20925387013068855</v>
      </c>
      <c r="AS96" s="22"/>
      <c r="AT96" s="22"/>
      <c r="AU96" s="22"/>
      <c r="AV96" s="22"/>
      <c r="AW96" s="22"/>
      <c r="AX96" s="22"/>
      <c r="AY96" s="22"/>
      <c r="AZ96" s="22"/>
      <c r="BA96" s="22"/>
      <c r="BB96" s="22"/>
      <c r="BC96" s="22">
        <v>-5.5184441753902247E-2</v>
      </c>
      <c r="BD96" s="22">
        <v>-0.20925387013068855</v>
      </c>
    </row>
    <row r="97" spans="1:56" x14ac:dyDescent="0.25">
      <c r="A97" t="s">
        <v>57</v>
      </c>
      <c r="B97">
        <v>1</v>
      </c>
      <c r="C97" t="s">
        <v>503</v>
      </c>
      <c r="D97" t="s">
        <v>468</v>
      </c>
      <c r="E97">
        <v>13</v>
      </c>
      <c r="F97">
        <v>16.72</v>
      </c>
      <c r="G97">
        <v>70.8964</v>
      </c>
      <c r="H97" t="s">
        <v>47</v>
      </c>
      <c r="I97" t="s">
        <v>47</v>
      </c>
      <c r="J97" t="s">
        <v>35</v>
      </c>
      <c r="K97">
        <f t="shared" si="12"/>
        <v>101.69</v>
      </c>
      <c r="L97">
        <f t="shared" si="13"/>
        <v>390.77570000000003</v>
      </c>
      <c r="M97" t="str">
        <f t="shared" si="14"/>
        <v>lucas-1</v>
      </c>
      <c r="N97" t="str">
        <f>INDEX(Scores!$A$2:$A$11,INDEX(Scores!$AA$2:$AA$131,MATCH(C97,Scores!$AB$2:$AB$131,0)))</f>
        <v>lucas</v>
      </c>
      <c r="O97">
        <f t="shared" si="15"/>
        <v>0</v>
      </c>
      <c r="P97">
        <f t="shared" si="16"/>
        <v>0</v>
      </c>
      <c r="Q97" s="3">
        <f t="shared" si="17"/>
        <v>0.99999986563981569</v>
      </c>
      <c r="R97" s="3">
        <f t="shared" si="18"/>
        <v>0.9999999784582646</v>
      </c>
      <c r="S97" s="9">
        <f t="shared" si="19"/>
        <v>1.1281844891630755E-7</v>
      </c>
      <c r="T97">
        <f t="shared" si="20"/>
        <v>75</v>
      </c>
      <c r="U97">
        <f t="shared" si="21"/>
        <v>0</v>
      </c>
      <c r="V97" s="3">
        <f t="shared" si="22"/>
        <v>1</v>
      </c>
      <c r="W97" s="9">
        <f t="shared" si="23"/>
        <v>0</v>
      </c>
      <c r="AB97" s="111" t="s">
        <v>456</v>
      </c>
      <c r="AC97" s="22"/>
      <c r="AD97" s="22"/>
      <c r="AE97" s="22"/>
      <c r="AF97" s="22"/>
      <c r="AG97" s="22">
        <v>-1.1660961523731472E-2</v>
      </c>
      <c r="AH97" s="22"/>
      <c r="AI97" s="22"/>
      <c r="AJ97" s="22"/>
      <c r="AK97" s="22"/>
      <c r="AL97" s="22"/>
      <c r="AM97" s="22"/>
      <c r="AN97" s="22"/>
      <c r="AO97" s="22"/>
      <c r="AP97" s="22"/>
      <c r="AQ97" s="22"/>
      <c r="AR97" s="22"/>
      <c r="AS97" s="22"/>
      <c r="AT97" s="22">
        <v>-0.21673979772363569</v>
      </c>
      <c r="AU97" s="22"/>
      <c r="AV97" s="22"/>
      <c r="AW97" s="22"/>
      <c r="AX97" s="22"/>
      <c r="AY97" s="22"/>
      <c r="AZ97" s="22"/>
      <c r="BA97" s="22"/>
      <c r="BB97" s="22"/>
      <c r="BC97" s="22">
        <v>-1.1660961523731472E-2</v>
      </c>
      <c r="BD97" s="22">
        <v>-0.21673979772363569</v>
      </c>
    </row>
    <row r="98" spans="1:56" x14ac:dyDescent="0.25">
      <c r="A98" t="s">
        <v>133</v>
      </c>
      <c r="B98">
        <v>1</v>
      </c>
      <c r="C98" t="s">
        <v>502</v>
      </c>
      <c r="D98" t="s">
        <v>473</v>
      </c>
      <c r="E98">
        <v>21</v>
      </c>
      <c r="F98">
        <v>9.98</v>
      </c>
      <c r="G98">
        <v>56.100099999999998</v>
      </c>
      <c r="H98" t="s">
        <v>87</v>
      </c>
      <c r="I98" t="s">
        <v>87</v>
      </c>
      <c r="J98" t="s">
        <v>16</v>
      </c>
      <c r="K98">
        <f t="shared" si="12"/>
        <v>105.11000000000001</v>
      </c>
      <c r="L98">
        <f t="shared" si="13"/>
        <v>445.52289999999994</v>
      </c>
      <c r="M98" t="str">
        <f t="shared" si="14"/>
        <v>perry-1</v>
      </c>
      <c r="N98" t="str">
        <f>INDEX(Scores!$A$2:$A$11,INDEX(Scores!$AA$2:$AA$131,MATCH(C98,Scores!$AB$2:$AB$131,0)))</f>
        <v>perry</v>
      </c>
      <c r="O98">
        <f t="shared" si="15"/>
        <v>94.44</v>
      </c>
      <c r="P98">
        <f t="shared" si="16"/>
        <v>399.28809999999999</v>
      </c>
      <c r="Q98" s="3">
        <f t="shared" si="17"/>
        <v>0.64322786671093812</v>
      </c>
      <c r="R98" s="3">
        <f t="shared" si="18"/>
        <v>0.78003930194984439</v>
      </c>
      <c r="S98" s="9">
        <f t="shared" si="19"/>
        <v>0.13681143523890626</v>
      </c>
      <c r="T98">
        <f t="shared" si="20"/>
        <v>100</v>
      </c>
      <c r="U98">
        <f t="shared" si="21"/>
        <v>82</v>
      </c>
      <c r="V98" s="3">
        <f t="shared" si="22"/>
        <v>0.82430827683999008</v>
      </c>
      <c r="W98" s="9">
        <f t="shared" si="23"/>
        <v>0.17569172316000992</v>
      </c>
      <c r="AB98" s="111" t="s">
        <v>112</v>
      </c>
      <c r="AC98" s="22"/>
      <c r="AD98" s="22"/>
      <c r="AE98" s="22"/>
      <c r="AF98" s="22"/>
      <c r="AG98" s="22">
        <v>-1.6677678505344018E-2</v>
      </c>
      <c r="AH98" s="22"/>
      <c r="AI98" s="22"/>
      <c r="AJ98" s="22"/>
      <c r="AK98" s="22"/>
      <c r="AL98" s="22"/>
      <c r="AM98" s="22"/>
      <c r="AN98" s="22"/>
      <c r="AO98" s="22"/>
      <c r="AP98" s="22"/>
      <c r="AQ98" s="22"/>
      <c r="AR98" s="22"/>
      <c r="AS98" s="22"/>
      <c r="AT98" s="22">
        <v>-0.33266113471756381</v>
      </c>
      <c r="AU98" s="22"/>
      <c r="AV98" s="22"/>
      <c r="AW98" s="22"/>
      <c r="AX98" s="22"/>
      <c r="AY98" s="22"/>
      <c r="AZ98" s="22"/>
      <c r="BA98" s="22"/>
      <c r="BB98" s="22"/>
      <c r="BC98" s="22">
        <v>-1.6677678505344018E-2</v>
      </c>
      <c r="BD98" s="22">
        <v>-0.33266113471756381</v>
      </c>
    </row>
    <row r="99" spans="1:56" x14ac:dyDescent="0.25">
      <c r="A99" t="s">
        <v>120</v>
      </c>
      <c r="B99">
        <v>1</v>
      </c>
      <c r="C99" t="s">
        <v>506</v>
      </c>
      <c r="D99" t="s">
        <v>473</v>
      </c>
      <c r="E99">
        <v>11</v>
      </c>
      <c r="F99">
        <v>10.94</v>
      </c>
      <c r="G99">
        <v>39.438400000000001</v>
      </c>
      <c r="H99" t="s">
        <v>87</v>
      </c>
      <c r="I99" t="s">
        <v>87</v>
      </c>
      <c r="J99" t="s">
        <v>27</v>
      </c>
      <c r="K99">
        <f t="shared" si="12"/>
        <v>110.7</v>
      </c>
      <c r="L99">
        <f t="shared" si="13"/>
        <v>433.44330000000002</v>
      </c>
      <c r="M99" t="str">
        <f t="shared" si="14"/>
        <v>seth-1</v>
      </c>
      <c r="N99" t="str">
        <f>INDEX(Scores!$A$2:$A$11,INDEX(Scores!$AA$2:$AA$131,MATCH(C99,Scores!$AB$2:$AB$131,0)))</f>
        <v>seth</v>
      </c>
      <c r="O99">
        <f t="shared" si="15"/>
        <v>111.07</v>
      </c>
      <c r="P99">
        <f t="shared" si="16"/>
        <v>422.00569999999999</v>
      </c>
      <c r="Q99" s="3">
        <f t="shared" si="17"/>
        <v>0.49495335047896771</v>
      </c>
      <c r="R99" s="3">
        <f t="shared" si="18"/>
        <v>0.49567072338789914</v>
      </c>
      <c r="S99" s="9">
        <f t="shared" si="19"/>
        <v>7.1737290893142402E-4</v>
      </c>
      <c r="T99">
        <f t="shared" si="20"/>
        <v>77</v>
      </c>
      <c r="U99">
        <f t="shared" si="21"/>
        <v>71</v>
      </c>
      <c r="V99" s="3">
        <f t="shared" si="22"/>
        <v>0.82788996863187281</v>
      </c>
      <c r="W99" s="9">
        <f t="shared" si="23"/>
        <v>0.17211003136812719</v>
      </c>
      <c r="AB99" s="111" t="s">
        <v>128</v>
      </c>
      <c r="AC99" s="22"/>
      <c r="AD99" s="22"/>
      <c r="AE99" s="22"/>
      <c r="AF99" s="22"/>
      <c r="AG99" s="22">
        <v>-3.0574328796761224E-2</v>
      </c>
      <c r="AH99" s="22"/>
      <c r="AI99" s="22"/>
      <c r="AJ99" s="22"/>
      <c r="AK99" s="22"/>
      <c r="AL99" s="22"/>
      <c r="AM99" s="22"/>
      <c r="AN99" s="22"/>
      <c r="AO99" s="22"/>
      <c r="AP99" s="22"/>
      <c r="AQ99" s="22"/>
      <c r="AR99" s="22"/>
      <c r="AS99" s="22"/>
      <c r="AT99" s="22">
        <v>-0.3754115446688735</v>
      </c>
      <c r="AU99" s="22"/>
      <c r="AV99" s="22"/>
      <c r="AW99" s="22"/>
      <c r="AX99" s="22"/>
      <c r="AY99" s="22"/>
      <c r="AZ99" s="22"/>
      <c r="BA99" s="22"/>
      <c r="BB99" s="22"/>
      <c r="BC99" s="22">
        <v>-3.0574328796761224E-2</v>
      </c>
      <c r="BD99" s="22">
        <v>-0.3754115446688735</v>
      </c>
    </row>
    <row r="100" spans="1:56" x14ac:dyDescent="0.25">
      <c r="A100" t="s">
        <v>100</v>
      </c>
      <c r="B100">
        <v>2</v>
      </c>
      <c r="C100" t="s">
        <v>638</v>
      </c>
      <c r="D100" t="s">
        <v>466</v>
      </c>
      <c r="E100">
        <v>15</v>
      </c>
      <c r="F100">
        <v>13.88</v>
      </c>
      <c r="G100">
        <v>65.2864</v>
      </c>
      <c r="H100" t="s">
        <v>466</v>
      </c>
      <c r="I100" t="s">
        <v>87</v>
      </c>
      <c r="J100" t="s">
        <v>62</v>
      </c>
      <c r="K100">
        <f t="shared" si="12"/>
        <v>102.72000000000001</v>
      </c>
      <c r="L100">
        <f t="shared" si="13"/>
        <v>348.54960000000005</v>
      </c>
      <c r="M100" t="str">
        <f t="shared" si="14"/>
        <v>aj-2</v>
      </c>
      <c r="N100" t="str">
        <f>INDEX(Scores!$A$2:$A$11,INDEX(Scores!$AA$2:$AA$131,MATCH(C100,Scores!$AB$2:$AB$131,0)))</f>
        <v>aj</v>
      </c>
      <c r="O100">
        <f t="shared" si="15"/>
        <v>103.77999999999999</v>
      </c>
      <c r="P100">
        <f t="shared" si="16"/>
        <v>338.9511</v>
      </c>
      <c r="Q100" s="3">
        <f t="shared" si="17"/>
        <v>0.48387643490903587</v>
      </c>
      <c r="R100" s="3">
        <f t="shared" si="18"/>
        <v>0.5009596014673785</v>
      </c>
      <c r="S100" s="9">
        <f t="shared" si="19"/>
        <v>1.7083166558342633E-2</v>
      </c>
      <c r="T100">
        <f t="shared" si="20"/>
        <v>99</v>
      </c>
      <c r="U100">
        <f t="shared" si="21"/>
        <v>90</v>
      </c>
      <c r="V100" s="3">
        <f t="shared" si="22"/>
        <v>0.83528125338515591</v>
      </c>
      <c r="W100" s="9">
        <f t="shared" si="23"/>
        <v>0.16471874661484409</v>
      </c>
      <c r="AB100" s="111" t="s">
        <v>338</v>
      </c>
      <c r="AC100" s="22"/>
      <c r="AD100" s="22"/>
      <c r="AE100" s="22"/>
      <c r="AF100" s="22"/>
      <c r="AG100" s="22">
        <v>-3.7303089771877018E-2</v>
      </c>
      <c r="AH100" s="22"/>
      <c r="AI100" s="22"/>
      <c r="AJ100" s="22"/>
      <c r="AK100" s="22"/>
      <c r="AL100" s="22"/>
      <c r="AM100" s="22"/>
      <c r="AN100" s="22"/>
      <c r="AO100" s="22"/>
      <c r="AP100" s="22"/>
      <c r="AQ100" s="22"/>
      <c r="AR100" s="22"/>
      <c r="AS100" s="22"/>
      <c r="AT100" s="22">
        <v>-0.42122611810641142</v>
      </c>
      <c r="AU100" s="22"/>
      <c r="AV100" s="22"/>
      <c r="AW100" s="22"/>
      <c r="AX100" s="22"/>
      <c r="AY100" s="22"/>
      <c r="AZ100" s="22"/>
      <c r="BA100" s="22"/>
      <c r="BB100" s="22"/>
      <c r="BC100" s="22">
        <v>-3.7303089771877018E-2</v>
      </c>
      <c r="BD100" s="22">
        <v>-0.42122611810641142</v>
      </c>
    </row>
    <row r="101" spans="1:56" x14ac:dyDescent="0.25">
      <c r="A101" t="s">
        <v>257</v>
      </c>
      <c r="B101">
        <v>9</v>
      </c>
      <c r="C101" t="s">
        <v>963</v>
      </c>
      <c r="D101" t="s">
        <v>466</v>
      </c>
      <c r="E101">
        <v>24</v>
      </c>
      <c r="F101">
        <v>9.85</v>
      </c>
      <c r="G101">
        <v>23.716899999999999</v>
      </c>
      <c r="H101" t="s">
        <v>466</v>
      </c>
      <c r="I101" t="s">
        <v>47</v>
      </c>
      <c r="J101" t="s">
        <v>23</v>
      </c>
      <c r="K101">
        <f t="shared" si="12"/>
        <v>98.35</v>
      </c>
      <c r="L101">
        <f t="shared" si="13"/>
        <v>385.97739999999999</v>
      </c>
      <c r="M101" t="str">
        <f t="shared" si="14"/>
        <v>aj-9</v>
      </c>
      <c r="N101" t="str">
        <f>INDEX(Scores!$A$2:$A$11,INDEX(Scores!$AA$2:$AA$131,MATCH(C101,Scores!$AB$2:$AB$131,0)))</f>
        <v>aj</v>
      </c>
      <c r="O101">
        <f t="shared" si="15"/>
        <v>102.03999999999999</v>
      </c>
      <c r="P101">
        <f t="shared" si="16"/>
        <v>392.2131</v>
      </c>
      <c r="Q101" s="3">
        <f t="shared" si="17"/>
        <v>0.4473827117902357</v>
      </c>
      <c r="R101" s="3">
        <f t="shared" si="18"/>
        <v>0.648328309006168</v>
      </c>
      <c r="S101" s="9">
        <f t="shared" si="19"/>
        <v>0.2009455972159323</v>
      </c>
      <c r="T101">
        <f t="shared" si="20"/>
        <v>105</v>
      </c>
      <c r="U101">
        <f t="shared" si="21"/>
        <v>86</v>
      </c>
      <c r="V101" s="3">
        <f t="shared" si="22"/>
        <v>0.84034898597439389</v>
      </c>
      <c r="W101" s="9">
        <f t="shared" si="23"/>
        <v>0.15965101402560611</v>
      </c>
      <c r="AB101" s="111" t="s">
        <v>435</v>
      </c>
      <c r="AC101" s="22"/>
      <c r="AD101" s="22"/>
      <c r="AE101" s="22"/>
      <c r="AF101" s="22"/>
      <c r="AG101" s="22">
        <v>-5.6584099620190065E-2</v>
      </c>
      <c r="AH101" s="22"/>
      <c r="AI101" s="22"/>
      <c r="AJ101" s="22"/>
      <c r="AK101" s="22"/>
      <c r="AL101" s="22"/>
      <c r="AM101" s="22"/>
      <c r="AN101" s="22"/>
      <c r="AO101" s="22"/>
      <c r="AP101" s="22"/>
      <c r="AQ101" s="22"/>
      <c r="AR101" s="22"/>
      <c r="AS101" s="22"/>
      <c r="AT101" s="22">
        <v>-0.54948184291112068</v>
      </c>
      <c r="AU101" s="22"/>
      <c r="AV101" s="22"/>
      <c r="AW101" s="22"/>
      <c r="AX101" s="22"/>
      <c r="AY101" s="22"/>
      <c r="AZ101" s="22"/>
      <c r="BA101" s="22"/>
      <c r="BB101" s="22"/>
      <c r="BC101" s="22">
        <v>-5.6584099620190065E-2</v>
      </c>
      <c r="BD101" s="22">
        <v>-0.54948184291112068</v>
      </c>
    </row>
    <row r="102" spans="1:56" x14ac:dyDescent="0.25">
      <c r="A102" t="s">
        <v>83</v>
      </c>
      <c r="B102">
        <v>10</v>
      </c>
      <c r="C102" t="s">
        <v>964</v>
      </c>
      <c r="D102" t="s">
        <v>467</v>
      </c>
      <c r="E102">
        <v>26</v>
      </c>
      <c r="F102">
        <v>18.88</v>
      </c>
      <c r="G102">
        <v>60.996099999999998</v>
      </c>
      <c r="H102" t="s">
        <v>15</v>
      </c>
      <c r="I102" t="s">
        <v>15</v>
      </c>
      <c r="J102" t="s">
        <v>23</v>
      </c>
      <c r="K102">
        <f t="shared" si="12"/>
        <v>103.49</v>
      </c>
      <c r="L102">
        <f t="shared" si="13"/>
        <v>345.28400000000005</v>
      </c>
      <c r="M102" t="str">
        <f t="shared" si="14"/>
        <v>cory-10</v>
      </c>
      <c r="N102" t="str">
        <f>INDEX(Scores!$A$2:$A$11,INDEX(Scores!$AA$2:$AA$131,MATCH(C102,Scores!$AB$2:$AB$131,0)))</f>
        <v>cory</v>
      </c>
      <c r="O102">
        <f t="shared" si="15"/>
        <v>93.17</v>
      </c>
      <c r="P102">
        <f t="shared" si="16"/>
        <v>328.34589999999997</v>
      </c>
      <c r="Q102" s="3">
        <f t="shared" si="17"/>
        <v>0.65454511164456886</v>
      </c>
      <c r="R102" s="3">
        <f t="shared" si="18"/>
        <v>0.75947209987192743</v>
      </c>
      <c r="S102" s="9">
        <f t="shared" si="19"/>
        <v>0.10492698822735858</v>
      </c>
      <c r="T102">
        <f t="shared" si="20"/>
        <v>106</v>
      </c>
      <c r="U102">
        <f t="shared" si="21"/>
        <v>91</v>
      </c>
      <c r="V102" s="3">
        <f t="shared" si="22"/>
        <v>0.84350377877297045</v>
      </c>
      <c r="W102" s="9">
        <f t="shared" si="23"/>
        <v>0.15649622122702955</v>
      </c>
      <c r="AB102" s="111" t="s">
        <v>13</v>
      </c>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row>
    <row r="103" spans="1:56" x14ac:dyDescent="0.25">
      <c r="A103" t="s">
        <v>116</v>
      </c>
      <c r="B103">
        <v>1</v>
      </c>
      <c r="C103" t="s">
        <v>503</v>
      </c>
      <c r="D103" t="s">
        <v>472</v>
      </c>
      <c r="E103">
        <v>8</v>
      </c>
      <c r="F103">
        <v>10.53</v>
      </c>
      <c r="G103">
        <v>41.7316</v>
      </c>
      <c r="H103" t="s">
        <v>87</v>
      </c>
      <c r="I103" t="s">
        <v>87</v>
      </c>
      <c r="J103" t="s">
        <v>35</v>
      </c>
      <c r="K103">
        <f t="shared" si="12"/>
        <v>101.69</v>
      </c>
      <c r="L103">
        <f t="shared" si="13"/>
        <v>390.77570000000003</v>
      </c>
      <c r="M103" t="str">
        <f t="shared" si="14"/>
        <v>lucas-1</v>
      </c>
      <c r="N103" t="str">
        <f>INDEX(Scores!$A$2:$A$11,INDEX(Scores!$AA$2:$AA$131,MATCH(C103,Scores!$AB$2:$AB$131,0)))</f>
        <v>lucas</v>
      </c>
      <c r="O103">
        <f t="shared" si="15"/>
        <v>0</v>
      </c>
      <c r="P103">
        <f t="shared" si="16"/>
        <v>0</v>
      </c>
      <c r="Q103" s="3">
        <f t="shared" si="17"/>
        <v>0.99999986563981569</v>
      </c>
      <c r="R103" s="3">
        <f t="shared" si="18"/>
        <v>0.9999999444541976</v>
      </c>
      <c r="S103" s="9">
        <f t="shared" si="19"/>
        <v>7.8814381909708686E-8</v>
      </c>
      <c r="T103">
        <f t="shared" si="20"/>
        <v>75</v>
      </c>
      <c r="U103">
        <f t="shared" si="21"/>
        <v>0</v>
      </c>
      <c r="V103" s="3">
        <f t="shared" si="22"/>
        <v>1</v>
      </c>
      <c r="W103" s="9">
        <f t="shared" si="23"/>
        <v>0</v>
      </c>
      <c r="AB103" s="112" t="s">
        <v>16</v>
      </c>
      <c r="AC103" s="22"/>
      <c r="AD103" s="22"/>
      <c r="AE103" s="22"/>
      <c r="AF103" s="22"/>
      <c r="AG103" s="22"/>
      <c r="AH103" s="22">
        <v>-0.2540908431861445</v>
      </c>
      <c r="AI103" s="22"/>
      <c r="AJ103" s="22"/>
      <c r="AK103" s="22"/>
      <c r="AL103" s="22"/>
      <c r="AM103" s="22"/>
      <c r="AN103" s="22"/>
      <c r="AO103" s="22"/>
      <c r="AP103" s="22"/>
      <c r="AQ103" s="22"/>
      <c r="AR103" s="22"/>
      <c r="AS103" s="22"/>
      <c r="AT103" s="22"/>
      <c r="AU103" s="22">
        <v>-0.5950311213424182</v>
      </c>
      <c r="AV103" s="22"/>
      <c r="AW103" s="22"/>
      <c r="AX103" s="22"/>
      <c r="AY103" s="22"/>
      <c r="AZ103" s="22"/>
      <c r="BA103" s="22"/>
      <c r="BB103" s="22"/>
      <c r="BC103" s="22">
        <v>-0.2540908431861445</v>
      </c>
      <c r="BD103" s="22">
        <v>-0.5950311213424182</v>
      </c>
    </row>
    <row r="104" spans="1:56" x14ac:dyDescent="0.25">
      <c r="A104" t="s">
        <v>235</v>
      </c>
      <c r="B104">
        <v>10</v>
      </c>
      <c r="C104" t="s">
        <v>932</v>
      </c>
      <c r="D104" t="s">
        <v>475</v>
      </c>
      <c r="E104">
        <v>9</v>
      </c>
      <c r="F104">
        <v>8.23</v>
      </c>
      <c r="G104">
        <v>26.522500000000001</v>
      </c>
      <c r="H104" t="s">
        <v>114</v>
      </c>
      <c r="I104" t="s">
        <v>114</v>
      </c>
      <c r="J104" t="s">
        <v>35</v>
      </c>
      <c r="K104">
        <f t="shared" si="12"/>
        <v>101.66000000000001</v>
      </c>
      <c r="L104">
        <f t="shared" si="13"/>
        <v>359.87040000000002</v>
      </c>
      <c r="M104" t="str">
        <f t="shared" si="14"/>
        <v>lucas-10</v>
      </c>
      <c r="N104" t="str">
        <f>INDEX(Scores!$A$2:$A$11,INDEX(Scores!$AA$2:$AA$131,MATCH(C104,Scores!$AB$2:$AB$131,0)))</f>
        <v>lucas</v>
      </c>
      <c r="O104">
        <f t="shared" si="15"/>
        <v>0</v>
      </c>
      <c r="P104">
        <f t="shared" si="16"/>
        <v>0</v>
      </c>
      <c r="Q104" s="3">
        <f t="shared" si="17"/>
        <v>0.99999995813888032</v>
      </c>
      <c r="R104" s="3">
        <f t="shared" si="18"/>
        <v>0.99999998989532912</v>
      </c>
      <c r="S104" s="9">
        <f t="shared" si="19"/>
        <v>3.1756448803932358E-8</v>
      </c>
      <c r="T104">
        <f t="shared" si="20"/>
        <v>97</v>
      </c>
      <c r="U104">
        <f t="shared" si="21"/>
        <v>0</v>
      </c>
      <c r="V104" s="3">
        <f t="shared" si="22"/>
        <v>1</v>
      </c>
      <c r="W104" s="9">
        <f t="shared" si="23"/>
        <v>0</v>
      </c>
      <c r="AB104" s="111" t="s">
        <v>1201</v>
      </c>
      <c r="AC104" s="22"/>
      <c r="AD104" s="22"/>
      <c r="AE104" s="22"/>
      <c r="AF104" s="22"/>
      <c r="AG104" s="22"/>
      <c r="AH104" s="22">
        <v>-0.2540908431861445</v>
      </c>
      <c r="AI104" s="22"/>
      <c r="AJ104" s="22"/>
      <c r="AK104" s="22"/>
      <c r="AL104" s="22"/>
      <c r="AM104" s="22"/>
      <c r="AN104" s="22"/>
      <c r="AO104" s="22"/>
      <c r="AP104" s="22"/>
      <c r="AQ104" s="22"/>
      <c r="AR104" s="22"/>
      <c r="AS104" s="22"/>
      <c r="AT104" s="22"/>
      <c r="AU104" s="22">
        <v>-0.5950311213424182</v>
      </c>
      <c r="AV104" s="22"/>
      <c r="AW104" s="22"/>
      <c r="AX104" s="22"/>
      <c r="AY104" s="22"/>
      <c r="AZ104" s="22"/>
      <c r="BA104" s="22"/>
      <c r="BB104" s="22"/>
      <c r="BC104" s="22">
        <v>-0.2540908431861445</v>
      </c>
      <c r="BD104" s="22">
        <v>-0.5950311213424182</v>
      </c>
    </row>
    <row r="105" spans="1:56" x14ac:dyDescent="0.25">
      <c r="A105" t="s">
        <v>187</v>
      </c>
      <c r="B105">
        <v>8</v>
      </c>
      <c r="C105" t="s">
        <v>946</v>
      </c>
      <c r="D105" t="s">
        <v>468</v>
      </c>
      <c r="E105">
        <v>3</v>
      </c>
      <c r="F105">
        <v>7.75</v>
      </c>
      <c r="G105">
        <v>56.851599999999998</v>
      </c>
      <c r="H105" t="s">
        <v>47</v>
      </c>
      <c r="I105" t="s">
        <v>47</v>
      </c>
      <c r="J105" t="s">
        <v>62</v>
      </c>
      <c r="K105">
        <f t="shared" si="12"/>
        <v>94.88</v>
      </c>
      <c r="L105">
        <f t="shared" si="13"/>
        <v>320.65749999999997</v>
      </c>
      <c r="M105" t="str">
        <f t="shared" si="14"/>
        <v>scott-8</v>
      </c>
      <c r="N105" t="str">
        <f>INDEX(Scores!$A$2:$A$11,INDEX(Scores!$AA$2:$AA$131,MATCH(C105,Scores!$AB$2:$AB$131,0)))</f>
        <v>scott</v>
      </c>
      <c r="O105">
        <f t="shared" si="15"/>
        <v>113.35000000000001</v>
      </c>
      <c r="P105">
        <f t="shared" si="16"/>
        <v>416.81729999999993</v>
      </c>
      <c r="Q105" s="3">
        <f t="shared" si="17"/>
        <v>0.24821039531278949</v>
      </c>
      <c r="R105" s="3">
        <f t="shared" si="18"/>
        <v>0.18672258042908252</v>
      </c>
      <c r="S105" s="9">
        <f t="shared" si="19"/>
        <v>-6.148781488370697E-2</v>
      </c>
      <c r="T105">
        <f t="shared" si="20"/>
        <v>78</v>
      </c>
      <c r="U105">
        <f t="shared" si="21"/>
        <v>75</v>
      </c>
      <c r="V105" s="3">
        <f t="shared" si="22"/>
        <v>0.84799014701805697</v>
      </c>
      <c r="W105" s="9">
        <f t="shared" si="23"/>
        <v>0.15200985298194303</v>
      </c>
      <c r="AB105" s="111" t="s">
        <v>143</v>
      </c>
      <c r="AC105" s="22"/>
      <c r="AD105" s="22"/>
      <c r="AE105" s="22">
        <v>-0.11797007668372078</v>
      </c>
      <c r="AF105" s="22"/>
      <c r="AG105" s="22"/>
      <c r="AH105" s="22"/>
      <c r="AI105" s="22"/>
      <c r="AJ105" s="22"/>
      <c r="AK105" s="22"/>
      <c r="AL105" s="22"/>
      <c r="AM105" s="22"/>
      <c r="AN105" s="22"/>
      <c r="AO105" s="22"/>
      <c r="AP105" s="22"/>
      <c r="AQ105" s="22"/>
      <c r="AR105" s="22">
        <v>-0.60619732371186763</v>
      </c>
      <c r="AS105" s="22"/>
      <c r="AT105" s="22"/>
      <c r="AU105" s="22"/>
      <c r="AV105" s="22"/>
      <c r="AW105" s="22"/>
      <c r="AX105" s="22"/>
      <c r="AY105" s="22"/>
      <c r="AZ105" s="22"/>
      <c r="BA105" s="22"/>
      <c r="BB105" s="22"/>
      <c r="BC105" s="22">
        <v>-0.11797007668372078</v>
      </c>
      <c r="BD105" s="22">
        <v>-0.60619732371186763</v>
      </c>
    </row>
    <row r="106" spans="1:56" x14ac:dyDescent="0.25">
      <c r="A106" t="s">
        <v>435</v>
      </c>
      <c r="B106">
        <v>10</v>
      </c>
      <c r="C106" t="s">
        <v>932</v>
      </c>
      <c r="D106" t="s">
        <v>477</v>
      </c>
      <c r="E106">
        <v>11</v>
      </c>
      <c r="F106">
        <v>11.88</v>
      </c>
      <c r="G106">
        <v>43.0336</v>
      </c>
      <c r="H106" t="s">
        <v>477</v>
      </c>
      <c r="I106" t="s">
        <v>477</v>
      </c>
      <c r="J106" t="s">
        <v>35</v>
      </c>
      <c r="K106">
        <f t="shared" si="12"/>
        <v>101.66000000000001</v>
      </c>
      <c r="L106">
        <f t="shared" si="13"/>
        <v>359.87040000000002</v>
      </c>
      <c r="M106" t="str">
        <f t="shared" si="14"/>
        <v>lucas-10</v>
      </c>
      <c r="N106" t="str">
        <f>INDEX(Scores!$A$2:$A$11,INDEX(Scores!$AA$2:$AA$131,MATCH(C106,Scores!$AB$2:$AB$131,0)))</f>
        <v>lucas</v>
      </c>
      <c r="O106">
        <f t="shared" si="15"/>
        <v>0</v>
      </c>
      <c r="P106">
        <f t="shared" si="16"/>
        <v>0</v>
      </c>
      <c r="Q106" s="3">
        <f t="shared" si="17"/>
        <v>0.99999995813888032</v>
      </c>
      <c r="R106" s="3">
        <f t="shared" si="18"/>
        <v>0.99999999251148253</v>
      </c>
      <c r="S106" s="9">
        <f t="shared" si="19"/>
        <v>3.4372602208954106E-8</v>
      </c>
      <c r="T106">
        <f t="shared" si="20"/>
        <v>97</v>
      </c>
      <c r="U106">
        <f t="shared" si="21"/>
        <v>0</v>
      </c>
      <c r="V106" s="3">
        <f t="shared" si="22"/>
        <v>1</v>
      </c>
      <c r="W106" s="9">
        <f t="shared" si="23"/>
        <v>0</v>
      </c>
      <c r="AB106" s="111" t="s">
        <v>48</v>
      </c>
      <c r="AC106" s="22"/>
      <c r="AD106" s="22"/>
      <c r="AE106" s="22"/>
      <c r="AF106" s="22"/>
      <c r="AG106" s="22">
        <v>-0.11233861540582318</v>
      </c>
      <c r="AH106" s="22"/>
      <c r="AI106" s="22"/>
      <c r="AJ106" s="22"/>
      <c r="AK106" s="22"/>
      <c r="AL106" s="22"/>
      <c r="AM106" s="22"/>
      <c r="AN106" s="22"/>
      <c r="AO106" s="22"/>
      <c r="AP106" s="22"/>
      <c r="AQ106" s="22"/>
      <c r="AR106" s="22"/>
      <c r="AS106" s="22"/>
      <c r="AT106" s="22">
        <v>-0.77188647429835677</v>
      </c>
      <c r="AU106" s="22"/>
      <c r="AV106" s="22"/>
      <c r="AW106" s="22"/>
      <c r="AX106" s="22"/>
      <c r="AY106" s="22"/>
      <c r="AZ106" s="22"/>
      <c r="BA106" s="22"/>
      <c r="BB106" s="22"/>
      <c r="BC106" s="22">
        <v>-0.11233861540582318</v>
      </c>
      <c r="BD106" s="22">
        <v>-0.77188647429835677</v>
      </c>
    </row>
    <row r="107" spans="1:56" x14ac:dyDescent="0.25">
      <c r="A107" t="s">
        <v>48</v>
      </c>
      <c r="B107">
        <v>6</v>
      </c>
      <c r="C107" t="s">
        <v>968</v>
      </c>
      <c r="D107" t="s">
        <v>468</v>
      </c>
      <c r="E107">
        <v>24</v>
      </c>
      <c r="F107">
        <v>17.28</v>
      </c>
      <c r="G107">
        <v>95.0625</v>
      </c>
      <c r="H107" t="s">
        <v>47</v>
      </c>
      <c r="I107" t="s">
        <v>47</v>
      </c>
      <c r="J107" t="s">
        <v>49</v>
      </c>
      <c r="K107">
        <f t="shared" si="12"/>
        <v>109.91000000000001</v>
      </c>
      <c r="L107">
        <f t="shared" si="13"/>
        <v>387.28550000000001</v>
      </c>
      <c r="M107" t="str">
        <f t="shared" si="14"/>
        <v>perry-6</v>
      </c>
      <c r="N107" t="str">
        <f>INDEX(Scores!$A$2:$A$11,INDEX(Scores!$AA$2:$AA$131,MATCH(C107,Scores!$AB$2:$AB$131,0)))</f>
        <v>perry</v>
      </c>
      <c r="O107">
        <f t="shared" si="15"/>
        <v>88.72</v>
      </c>
      <c r="P107">
        <f t="shared" si="16"/>
        <v>407.6961</v>
      </c>
      <c r="Q107" s="3">
        <f t="shared" si="17"/>
        <v>0.77383629678575794</v>
      </c>
      <c r="R107" s="3">
        <f t="shared" si="18"/>
        <v>0.85427814639807065</v>
      </c>
      <c r="S107" s="9">
        <f t="shared" si="19"/>
        <v>8.044184961231271E-2</v>
      </c>
      <c r="T107">
        <f t="shared" si="20"/>
        <v>119</v>
      </c>
      <c r="U107">
        <f t="shared" si="21"/>
        <v>102</v>
      </c>
      <c r="V107" s="3">
        <f t="shared" si="22"/>
        <v>0.85414070115937424</v>
      </c>
      <c r="W107" s="9">
        <f t="shared" si="23"/>
        <v>0.14585929884062576</v>
      </c>
      <c r="AB107" s="156" t="s">
        <v>1210</v>
      </c>
      <c r="AC107" s="22">
        <v>8.3326399007178198E-2</v>
      </c>
      <c r="AD107" s="22">
        <v>-6.1385942682476047E-2</v>
      </c>
      <c r="AE107" s="22">
        <v>-8.8683679140788507E-2</v>
      </c>
      <c r="AF107" s="22">
        <v>-0.6704506904560309</v>
      </c>
      <c r="AG107" s="22">
        <v>9.6296607424238345E-2</v>
      </c>
      <c r="AH107" s="22">
        <v>-0.21035166765961816</v>
      </c>
      <c r="AI107" s="22">
        <v>0.15556719266155533</v>
      </c>
      <c r="AJ107" s="22"/>
      <c r="AK107" s="22">
        <v>8.8723201369609095E-2</v>
      </c>
      <c r="AL107" s="22">
        <v>-2.8708218524355678E-2</v>
      </c>
      <c r="AM107" s="22">
        <v>0.16379772532393083</v>
      </c>
      <c r="AN107" s="22">
        <v>0.36036763389820886</v>
      </c>
      <c r="AO107" s="22">
        <v>0.29524486661295218</v>
      </c>
      <c r="AP107" s="22">
        <v>6.43739667596821E-3</v>
      </c>
      <c r="AQ107" s="22">
        <v>1.2729984377792429</v>
      </c>
      <c r="AR107" s="22">
        <v>-1.5650384431725206</v>
      </c>
      <c r="AS107" s="22">
        <v>-1.1915368327460709E-2</v>
      </c>
      <c r="AT107" s="22">
        <v>-3.0366371379728743</v>
      </c>
      <c r="AU107" s="22">
        <v>-0.66111321453502347</v>
      </c>
      <c r="AV107" s="22">
        <v>0.42983895034892505</v>
      </c>
      <c r="AW107" s="22"/>
      <c r="AX107" s="22">
        <v>0.20547181846469098</v>
      </c>
      <c r="AY107" s="22">
        <v>9.1168012578124458E-3</v>
      </c>
      <c r="AZ107" s="22">
        <v>-2.1008867574290865E-2</v>
      </c>
      <c r="BA107" s="22">
        <v>1.3092518529211894E-4</v>
      </c>
      <c r="BB107" s="22">
        <v>2.4048111053348995</v>
      </c>
      <c r="BC107" s="22">
        <v>0.18374342783440351</v>
      </c>
      <c r="BD107" s="22">
        <v>-0.96690759653533809</v>
      </c>
    </row>
    <row r="108" spans="1:56" x14ac:dyDescent="0.25">
      <c r="A108" t="s">
        <v>130</v>
      </c>
      <c r="B108">
        <v>2</v>
      </c>
      <c r="C108" t="s">
        <v>630</v>
      </c>
      <c r="D108" t="s">
        <v>468</v>
      </c>
      <c r="E108">
        <v>13</v>
      </c>
      <c r="F108">
        <v>8.85</v>
      </c>
      <c r="G108">
        <v>54.464399999999998</v>
      </c>
      <c r="H108" t="s">
        <v>47</v>
      </c>
      <c r="I108" t="s">
        <v>47</v>
      </c>
      <c r="J108" t="s">
        <v>44</v>
      </c>
      <c r="K108">
        <f t="shared" si="12"/>
        <v>91.78</v>
      </c>
      <c r="L108">
        <f t="shared" si="13"/>
        <v>333.71719999999993</v>
      </c>
      <c r="M108" t="str">
        <f t="shared" si="14"/>
        <v>matty-2</v>
      </c>
      <c r="N108" t="str">
        <f>INDEX(Scores!$A$2:$A$11,INDEX(Scores!$AA$2:$AA$131,MATCH(C108,Scores!$AB$2:$AB$131,0)))</f>
        <v>matty</v>
      </c>
      <c r="O108">
        <f t="shared" si="15"/>
        <v>101.3</v>
      </c>
      <c r="P108">
        <f t="shared" si="16"/>
        <v>329.14109999999999</v>
      </c>
      <c r="Q108" s="3">
        <f t="shared" si="17"/>
        <v>0.35577854462426967</v>
      </c>
      <c r="R108" s="3">
        <f t="shared" si="18"/>
        <v>0.41382685571476074</v>
      </c>
      <c r="S108" s="9">
        <f t="shared" si="19"/>
        <v>5.8048311090491078E-2</v>
      </c>
      <c r="T108">
        <f t="shared" si="20"/>
        <v>82</v>
      </c>
      <c r="U108">
        <f t="shared" si="21"/>
        <v>70</v>
      </c>
      <c r="V108" s="3">
        <f t="shared" si="22"/>
        <v>0.85626443337284797</v>
      </c>
      <c r="W108" s="9">
        <f t="shared" si="23"/>
        <v>0.14373556662715203</v>
      </c>
      <c r="AB108" s="156" t="s">
        <v>62</v>
      </c>
      <c r="AC108" s="22">
        <v>-0.28419927247802085</v>
      </c>
      <c r="AD108" s="22">
        <v>-0.20936446521858781</v>
      </c>
      <c r="AE108" s="22">
        <v>-0.65412064059297081</v>
      </c>
      <c r="AF108" s="22">
        <v>9.1999735418536899E-2</v>
      </c>
      <c r="AG108" s="22">
        <v>0.33130649732693507</v>
      </c>
      <c r="AH108" s="22"/>
      <c r="AI108" s="22">
        <v>0.16827781258232249</v>
      </c>
      <c r="AJ108" s="22">
        <v>-0.44292297292135518</v>
      </c>
      <c r="AK108" s="22">
        <v>-0.38141685174780832</v>
      </c>
      <c r="AL108" s="22">
        <v>-0.40405516844001821</v>
      </c>
      <c r="AM108" s="22">
        <v>0.37154485928829467</v>
      </c>
      <c r="AN108" s="22">
        <v>-9.027616172257516E-2</v>
      </c>
      <c r="AO108" s="22">
        <v>-0.30058286187632061</v>
      </c>
      <c r="AP108" s="22">
        <v>-0.41220993747671081</v>
      </c>
      <c r="AQ108" s="22">
        <v>-1.4849728576273291</v>
      </c>
      <c r="AR108" s="22">
        <v>-9.1145204546060074E-9</v>
      </c>
      <c r="AS108" s="22">
        <v>-0.64158383625747795</v>
      </c>
      <c r="AT108" s="22">
        <v>1.5385082097196801E-10</v>
      </c>
      <c r="AU108" s="22"/>
      <c r="AV108" s="22">
        <v>0.72578885402036053</v>
      </c>
      <c r="AW108" s="22">
        <v>-5.4874014580952721</v>
      </c>
      <c r="AX108" s="22">
        <v>-5.8690694207210091E-13</v>
      </c>
      <c r="AY108" s="22">
        <v>-0.28739114265053034</v>
      </c>
      <c r="AZ108" s="22">
        <v>1.2359759879418397E-2</v>
      </c>
      <c r="BA108" s="22">
        <v>3.4760039072303117</v>
      </c>
      <c r="BB108" s="22">
        <v>-1.0376531307018739</v>
      </c>
      <c r="BC108" s="22">
        <v>-1.803809490381568</v>
      </c>
      <c r="BD108" s="22">
        <v>-5.1370598506403606</v>
      </c>
    </row>
    <row r="109" spans="1:56" x14ac:dyDescent="0.25">
      <c r="A109" t="s">
        <v>186</v>
      </c>
      <c r="B109">
        <v>3</v>
      </c>
      <c r="C109" t="s">
        <v>805</v>
      </c>
      <c r="D109" t="s">
        <v>469</v>
      </c>
      <c r="E109">
        <v>5</v>
      </c>
      <c r="F109">
        <v>9.69</v>
      </c>
      <c r="G109">
        <v>66.585599999999999</v>
      </c>
      <c r="H109" t="s">
        <v>47</v>
      </c>
      <c r="I109" t="s">
        <v>47</v>
      </c>
      <c r="J109" t="s">
        <v>27</v>
      </c>
      <c r="K109">
        <f t="shared" si="12"/>
        <v>105.02</v>
      </c>
      <c r="L109">
        <f t="shared" si="13"/>
        <v>401.60159999999996</v>
      </c>
      <c r="M109" t="str">
        <f t="shared" si="14"/>
        <v>matty-3</v>
      </c>
      <c r="N109" t="str">
        <f>INDEX(Scores!$A$2:$A$11,INDEX(Scores!$AA$2:$AA$131,MATCH(C109,Scores!$AB$2:$AB$131,0)))</f>
        <v>matty</v>
      </c>
      <c r="O109">
        <f t="shared" si="15"/>
        <v>116.17999999999999</v>
      </c>
      <c r="P109">
        <f t="shared" si="16"/>
        <v>478.31470000000002</v>
      </c>
      <c r="Q109" s="3">
        <f t="shared" si="17"/>
        <v>0.35337614783800875</v>
      </c>
      <c r="R109" s="3">
        <f t="shared" si="18"/>
        <v>0.28918379291834928</v>
      </c>
      <c r="S109" s="9">
        <f t="shared" si="19"/>
        <v>-6.4192354919659467E-2</v>
      </c>
      <c r="T109">
        <f t="shared" si="20"/>
        <v>85</v>
      </c>
      <c r="U109">
        <f t="shared" si="21"/>
        <v>81</v>
      </c>
      <c r="V109" s="3">
        <f t="shared" si="22"/>
        <v>0.85655094344136484</v>
      </c>
      <c r="W109" s="9">
        <f t="shared" si="23"/>
        <v>0.14344905655863516</v>
      </c>
      <c r="AB109" s="156" t="s">
        <v>27</v>
      </c>
      <c r="AC109" s="22">
        <v>-0.5577789397097771</v>
      </c>
      <c r="AD109" s="22">
        <v>-9.1853682792848224E-2</v>
      </c>
      <c r="AE109" s="22">
        <v>-0.42974180048101462</v>
      </c>
      <c r="AF109" s="22">
        <v>-0.46818755963693648</v>
      </c>
      <c r="AG109" s="22">
        <v>-0.48078879323015794</v>
      </c>
      <c r="AH109" s="22">
        <v>-0.42642460620863809</v>
      </c>
      <c r="AI109" s="22"/>
      <c r="AJ109" s="22">
        <v>-0.44124055095299242</v>
      </c>
      <c r="AK109" s="22">
        <v>1.4743997149150312E-3</v>
      </c>
      <c r="AL109" s="22">
        <v>-0.51631926347707213</v>
      </c>
      <c r="AM109" s="22">
        <v>0.18170141700839443</v>
      </c>
      <c r="AN109" s="22">
        <v>-0.37805467031435613</v>
      </c>
      <c r="AO109" s="22">
        <v>-0.25109656879284492</v>
      </c>
      <c r="AP109" s="22">
        <v>-3.9679982420725599</v>
      </c>
      <c r="AQ109" s="22">
        <v>9.217876824696436E-5</v>
      </c>
      <c r="AR109" s="22">
        <v>-4.7234923274778104</v>
      </c>
      <c r="AS109" s="22">
        <v>5.0254925274439977E-5</v>
      </c>
      <c r="AT109" s="22">
        <v>-9.8525725319177203E-6</v>
      </c>
      <c r="AU109" s="22">
        <v>-0.28883629740203404</v>
      </c>
      <c r="AV109" s="22"/>
      <c r="AW109" s="22">
        <v>-3.5374193204852815E-3</v>
      </c>
      <c r="AX109" s="22">
        <v>0.43535027139661198</v>
      </c>
      <c r="AY109" s="22">
        <v>-2.4954294295478674E-12</v>
      </c>
      <c r="AZ109" s="22">
        <v>-1.1343363096182963</v>
      </c>
      <c r="BA109" s="22">
        <v>-2.3346238597591067E-4</v>
      </c>
      <c r="BB109" s="22">
        <v>0.61409885443765277</v>
      </c>
      <c r="BC109" s="22">
        <v>-3.858310618873328</v>
      </c>
      <c r="BD109" s="22">
        <v>-9.0688523513244039</v>
      </c>
    </row>
    <row r="110" spans="1:56" x14ac:dyDescent="0.25">
      <c r="A110" t="s">
        <v>257</v>
      </c>
      <c r="B110">
        <v>10</v>
      </c>
      <c r="C110" t="s">
        <v>964</v>
      </c>
      <c r="D110" t="s">
        <v>466</v>
      </c>
      <c r="E110">
        <v>19</v>
      </c>
      <c r="F110">
        <v>10.41</v>
      </c>
      <c r="G110">
        <v>34.692100000000003</v>
      </c>
      <c r="H110" t="s">
        <v>466</v>
      </c>
      <c r="I110" t="s">
        <v>47</v>
      </c>
      <c r="J110" t="s">
        <v>23</v>
      </c>
      <c r="K110">
        <f t="shared" si="12"/>
        <v>103.49</v>
      </c>
      <c r="L110">
        <f t="shared" si="13"/>
        <v>345.28400000000005</v>
      </c>
      <c r="M110" t="str">
        <f t="shared" si="14"/>
        <v>cory-10</v>
      </c>
      <c r="N110" t="str">
        <f>INDEX(Scores!$A$2:$A$11,INDEX(Scores!$AA$2:$AA$131,MATCH(C110,Scores!$AB$2:$AB$131,0)))</f>
        <v>cory</v>
      </c>
      <c r="O110">
        <f t="shared" si="15"/>
        <v>93.17</v>
      </c>
      <c r="P110">
        <f t="shared" si="16"/>
        <v>328.34589999999997</v>
      </c>
      <c r="Q110" s="3">
        <f t="shared" si="17"/>
        <v>0.65454511164456886</v>
      </c>
      <c r="R110" s="3">
        <f t="shared" si="18"/>
        <v>0.77280142081296066</v>
      </c>
      <c r="S110" s="9">
        <f t="shared" si="19"/>
        <v>0.1182563091683918</v>
      </c>
      <c r="T110">
        <f t="shared" si="20"/>
        <v>106</v>
      </c>
      <c r="U110">
        <f t="shared" si="21"/>
        <v>91</v>
      </c>
      <c r="V110" s="3">
        <f t="shared" si="22"/>
        <v>0.8617653953898825</v>
      </c>
      <c r="W110" s="9">
        <f t="shared" si="23"/>
        <v>0.1382346046101175</v>
      </c>
      <c r="AB110" s="156" t="s">
        <v>16</v>
      </c>
      <c r="AC110" s="22">
        <v>-0.17331927997572349</v>
      </c>
      <c r="AD110" s="22">
        <v>-0.57788233501406217</v>
      </c>
      <c r="AE110" s="22"/>
      <c r="AF110" s="22">
        <v>-0.3440581109556598</v>
      </c>
      <c r="AG110" s="22">
        <v>0.14438270996147098</v>
      </c>
      <c r="AH110" s="22">
        <v>-7.2673593250802138E-2</v>
      </c>
      <c r="AI110" s="22">
        <v>-0.224057769692103</v>
      </c>
      <c r="AJ110" s="22">
        <v>0.23716074889887434</v>
      </c>
      <c r="AK110" s="22">
        <v>-0.27529084817710536</v>
      </c>
      <c r="AL110" s="22">
        <v>3.6246599264358248E-2</v>
      </c>
      <c r="AM110" s="22">
        <v>-0.12724789463991054</v>
      </c>
      <c r="AN110" s="22"/>
      <c r="AO110" s="22">
        <v>-0.58686261132879891</v>
      </c>
      <c r="AP110" s="22">
        <v>-0.28207856587493696</v>
      </c>
      <c r="AQ110" s="22">
        <v>-4.6178543377927064E-3</v>
      </c>
      <c r="AR110" s="22"/>
      <c r="AS110" s="22">
        <v>-0.54770485589430495</v>
      </c>
      <c r="AT110" s="22">
        <v>3.4399502551423993</v>
      </c>
      <c r="AU110" s="22">
        <v>0.25421502895643266</v>
      </c>
      <c r="AV110" s="22">
        <v>-3.6683691946782364</v>
      </c>
      <c r="AW110" s="22">
        <v>5.0192750306920191</v>
      </c>
      <c r="AX110" s="22">
        <v>-2.379320138673048</v>
      </c>
      <c r="AY110" s="22">
        <v>0.35854984849401417</v>
      </c>
      <c r="AZ110" s="22">
        <v>-1.6043466770446504E-3</v>
      </c>
      <c r="BA110" s="22"/>
      <c r="BB110" s="22">
        <v>-0.40211711692541141</v>
      </c>
      <c r="BC110" s="22">
        <v>-1.9636023849094619</v>
      </c>
      <c r="BD110" s="22">
        <v>1.7861780902240894</v>
      </c>
    </row>
    <row r="111" spans="1:56" x14ac:dyDescent="0.25">
      <c r="A111" t="s">
        <v>120</v>
      </c>
      <c r="B111">
        <v>3</v>
      </c>
      <c r="C111" t="s">
        <v>805</v>
      </c>
      <c r="D111" t="s">
        <v>473</v>
      </c>
      <c r="E111">
        <v>7</v>
      </c>
      <c r="F111">
        <v>9.8800000000000008</v>
      </c>
      <c r="G111">
        <v>39.438400000000001</v>
      </c>
      <c r="H111" t="s">
        <v>87</v>
      </c>
      <c r="I111" t="s">
        <v>87</v>
      </c>
      <c r="J111" t="s">
        <v>27</v>
      </c>
      <c r="K111">
        <f t="shared" si="12"/>
        <v>105.02</v>
      </c>
      <c r="L111">
        <f t="shared" si="13"/>
        <v>401.60159999999996</v>
      </c>
      <c r="M111" t="str">
        <f t="shared" si="14"/>
        <v>matty-3</v>
      </c>
      <c r="N111" t="str">
        <f>INDEX(Scores!$A$2:$A$11,INDEX(Scores!$AA$2:$AA$131,MATCH(C111,Scores!$AB$2:$AB$131,0)))</f>
        <v>matty</v>
      </c>
      <c r="O111">
        <f t="shared" si="15"/>
        <v>116.17999999999999</v>
      </c>
      <c r="P111">
        <f t="shared" si="16"/>
        <v>478.31470000000002</v>
      </c>
      <c r="Q111" s="3">
        <f t="shared" si="17"/>
        <v>0.35337614783800875</v>
      </c>
      <c r="R111" s="3">
        <f t="shared" si="18"/>
        <v>0.31409064636454281</v>
      </c>
      <c r="S111" s="9">
        <f t="shared" si="19"/>
        <v>-3.9285501473465934E-2</v>
      </c>
      <c r="T111">
        <f t="shared" si="20"/>
        <v>85</v>
      </c>
      <c r="U111">
        <f t="shared" si="21"/>
        <v>81</v>
      </c>
      <c r="V111" s="3">
        <f t="shared" si="22"/>
        <v>0.86336024105770148</v>
      </c>
      <c r="W111" s="9">
        <f t="shared" si="23"/>
        <v>0.13663975894229852</v>
      </c>
      <c r="AB111" s="156" t="s">
        <v>35</v>
      </c>
      <c r="AC111" s="22"/>
      <c r="AD111" s="22">
        <v>4.9134852379973171E-2</v>
      </c>
      <c r="AE111" s="22">
        <v>0.32340133257447912</v>
      </c>
      <c r="AF111" s="22">
        <v>-0.52131576341118424</v>
      </c>
      <c r="AG111" s="22">
        <v>-0.16875169550308922</v>
      </c>
      <c r="AH111" s="22">
        <v>-0.20035503340712929</v>
      </c>
      <c r="AI111" s="22">
        <v>-0.30133424549677035</v>
      </c>
      <c r="AJ111" s="22">
        <v>-0.16659074490914794</v>
      </c>
      <c r="AK111" s="22">
        <v>-8.043927507024734E-3</v>
      </c>
      <c r="AL111" s="22"/>
      <c r="AM111" s="22">
        <v>0.21796532731884738</v>
      </c>
      <c r="AN111" s="22">
        <v>-0.28934706468224985</v>
      </c>
      <c r="AO111" s="22">
        <v>-0.12981517135905274</v>
      </c>
      <c r="AP111" s="22"/>
      <c r="AQ111" s="22">
        <v>-9.5141048155827242E-6</v>
      </c>
      <c r="AR111" s="22">
        <v>6.0844083105138225E-9</v>
      </c>
      <c r="AS111" s="22">
        <v>-1.4081125018555321</v>
      </c>
      <c r="AT111" s="22">
        <v>-3.55103824275003</v>
      </c>
      <c r="AU111" s="22">
        <v>8.2838270090246025E-2</v>
      </c>
      <c r="AV111" s="22">
        <v>-2.9042678515233091E-2</v>
      </c>
      <c r="AW111" s="22">
        <v>-0.53846788177785587</v>
      </c>
      <c r="AX111" s="22">
        <v>1.5410819346641602</v>
      </c>
      <c r="AY111" s="22"/>
      <c r="AZ111" s="22">
        <v>8.9794864499559424E-7</v>
      </c>
      <c r="BA111" s="22">
        <v>-3.4430702139046225</v>
      </c>
      <c r="BB111" s="22">
        <v>-4.2849350068960561E-4</v>
      </c>
      <c r="BC111" s="22">
        <v>-1.1950521340023486</v>
      </c>
      <c r="BD111" s="22">
        <v>-7.3462484176213181</v>
      </c>
    </row>
    <row r="112" spans="1:56" x14ac:dyDescent="0.25">
      <c r="A112" t="s">
        <v>427</v>
      </c>
      <c r="B112">
        <v>10</v>
      </c>
      <c r="C112" t="s">
        <v>972</v>
      </c>
      <c r="D112" t="s">
        <v>477</v>
      </c>
      <c r="E112">
        <v>5</v>
      </c>
      <c r="F112">
        <v>5.83</v>
      </c>
      <c r="G112">
        <v>19.096900000000002</v>
      </c>
      <c r="H112" t="s">
        <v>477</v>
      </c>
      <c r="I112" t="s">
        <v>477</v>
      </c>
      <c r="J112" t="s">
        <v>49</v>
      </c>
      <c r="K112">
        <f t="shared" si="12"/>
        <v>80.72</v>
      </c>
      <c r="L112">
        <f t="shared" si="13"/>
        <v>274.11410000000001</v>
      </c>
      <c r="M112" t="str">
        <f t="shared" si="14"/>
        <v>seth-10</v>
      </c>
      <c r="N112" t="str">
        <f>INDEX(Scores!$A$2:$A$11,INDEX(Scores!$AA$2:$AA$131,MATCH(C112,Scores!$AB$2:$AB$131,0)))</f>
        <v>seth</v>
      </c>
      <c r="O112">
        <f t="shared" si="15"/>
        <v>104.52999999999999</v>
      </c>
      <c r="P112">
        <f t="shared" si="16"/>
        <v>446.11959999999999</v>
      </c>
      <c r="Q112" s="3">
        <f t="shared" si="17"/>
        <v>0.18748498770897654</v>
      </c>
      <c r="R112" s="3">
        <f t="shared" si="18"/>
        <v>0.17604341116486091</v>
      </c>
      <c r="S112" s="9">
        <f t="shared" si="19"/>
        <v>-1.1441576544115623E-2</v>
      </c>
      <c r="T112">
        <f t="shared" si="20"/>
        <v>84</v>
      </c>
      <c r="U112">
        <f t="shared" si="21"/>
        <v>80</v>
      </c>
      <c r="V112" s="3">
        <f t="shared" si="22"/>
        <v>0.86547721150690915</v>
      </c>
      <c r="W112" s="9">
        <f t="shared" si="23"/>
        <v>0.13452278849309085</v>
      </c>
      <c r="AB112" s="156" t="s">
        <v>49</v>
      </c>
      <c r="AC112" s="22">
        <v>-9.365681777801993E-2</v>
      </c>
      <c r="AD112" s="22">
        <v>-0.13179437199321165</v>
      </c>
      <c r="AE112" s="22">
        <v>-0.24766415630921987</v>
      </c>
      <c r="AF112" s="22"/>
      <c r="AG112" s="22">
        <v>-0.10469962611709438</v>
      </c>
      <c r="AH112" s="22">
        <v>0.1506709944314647</v>
      </c>
      <c r="AI112" s="22">
        <v>-0.27420288476304011</v>
      </c>
      <c r="AJ112" s="22">
        <v>-4.9233804722786934E-2</v>
      </c>
      <c r="AK112" s="22">
        <v>0.40941495842351483</v>
      </c>
      <c r="AL112" s="22">
        <v>-0.34166454930259205</v>
      </c>
      <c r="AM112" s="22">
        <v>0.1325054002700875</v>
      </c>
      <c r="AN112" s="22">
        <v>-0.2936931953966066</v>
      </c>
      <c r="AO112" s="22">
        <v>-4.847017412026855E-2</v>
      </c>
      <c r="AP112" s="22">
        <v>8.3702176205190382E-3</v>
      </c>
      <c r="AQ112" s="22">
        <v>0.65099402438003617</v>
      </c>
      <c r="AR112" s="22">
        <v>2.6351478491250835</v>
      </c>
      <c r="AS112" s="22"/>
      <c r="AT112" s="22">
        <v>3.0860800128437926</v>
      </c>
      <c r="AU112" s="22">
        <v>-0.28398900551033446</v>
      </c>
      <c r="AV112" s="22">
        <v>0.11584861110331368</v>
      </c>
      <c r="AW112" s="22">
        <v>-4.6883311513058388</v>
      </c>
      <c r="AX112" s="22">
        <v>4.0902836673240017E-12</v>
      </c>
      <c r="AY112" s="22">
        <v>-4.6924669761489382</v>
      </c>
      <c r="AZ112" s="22">
        <v>2.2345519981680515</v>
      </c>
      <c r="BA112" s="22">
        <v>2.2070235186115892</v>
      </c>
      <c r="BB112" s="22">
        <v>-1.5241829255334876</v>
      </c>
      <c r="BC112" s="22">
        <v>-0.89248822737777311</v>
      </c>
      <c r="BD112" s="22">
        <v>-0.2509538266421234</v>
      </c>
    </row>
    <row r="113" spans="1:56" x14ac:dyDescent="0.25">
      <c r="A113" t="s">
        <v>191</v>
      </c>
      <c r="B113">
        <v>7</v>
      </c>
      <c r="C113" t="s">
        <v>953</v>
      </c>
      <c r="D113" t="s">
        <v>471</v>
      </c>
      <c r="E113">
        <v>4</v>
      </c>
      <c r="F113">
        <v>7.53</v>
      </c>
      <c r="G113">
        <v>25</v>
      </c>
      <c r="H113" t="s">
        <v>87</v>
      </c>
      <c r="I113" t="s">
        <v>87</v>
      </c>
      <c r="J113" t="s">
        <v>40</v>
      </c>
      <c r="K113">
        <f t="shared" si="12"/>
        <v>91.929999999999993</v>
      </c>
      <c r="L113">
        <f t="shared" si="13"/>
        <v>386.72199999999998</v>
      </c>
      <c r="M113" t="e">
        <f t="shared" si="14"/>
        <v>#N/A</v>
      </c>
      <c r="N113" t="e">
        <f>INDEX(Scores!$A$2:$A$11,INDEX(Scores!$AA$2:$AA$131,MATCH(C113,Scores!$AB$2:$AB$131,0)))</f>
        <v>#N/A</v>
      </c>
      <c r="O113">
        <f t="shared" si="15"/>
        <v>0</v>
      </c>
      <c r="P113">
        <f t="shared" si="16"/>
        <v>0</v>
      </c>
      <c r="Q113" s="3">
        <f t="shared" si="17"/>
        <v>0.99999852839643777</v>
      </c>
      <c r="R113" s="3">
        <f t="shared" si="18"/>
        <v>0.99999832404102063</v>
      </c>
      <c r="S113" s="9">
        <f t="shared" si="19"/>
        <v>-2.0435541714380889E-7</v>
      </c>
      <c r="T113">
        <f t="shared" si="20"/>
        <v>75</v>
      </c>
      <c r="U113">
        <f t="shared" si="21"/>
        <v>0</v>
      </c>
      <c r="V113" s="3">
        <f t="shared" si="22"/>
        <v>1</v>
      </c>
      <c r="W113" s="9">
        <f t="shared" si="23"/>
        <v>0</v>
      </c>
      <c r="AB113" s="156" t="s">
        <v>23</v>
      </c>
      <c r="AC113" s="22">
        <v>-7.4231796307556941E-2</v>
      </c>
      <c r="AD113" s="22"/>
      <c r="AE113" s="22">
        <v>0.25922314010525904</v>
      </c>
      <c r="AF113" s="22">
        <v>-0.21641279412144546</v>
      </c>
      <c r="AG113" s="22">
        <v>-0.12995570607116524</v>
      </c>
      <c r="AH113" s="22">
        <v>9.3757982483830937E-2</v>
      </c>
      <c r="AI113" s="22">
        <v>3.4127178892430887E-2</v>
      </c>
      <c r="AJ113" s="22">
        <v>0.17579487384288361</v>
      </c>
      <c r="AK113" s="22">
        <v>-0.22369108152112493</v>
      </c>
      <c r="AL113" s="22">
        <v>-5.4170962377920961E-2</v>
      </c>
      <c r="AM113" s="22"/>
      <c r="AN113" s="22">
        <v>-0.28039684599822245</v>
      </c>
      <c r="AO113" s="22">
        <v>0.50382802016943251</v>
      </c>
      <c r="AP113" s="22">
        <v>0.24936468787713595</v>
      </c>
      <c r="AQ113" s="22"/>
      <c r="AR113" s="22">
        <v>4.6955504206032894E-2</v>
      </c>
      <c r="AS113" s="22">
        <v>0.59947416011393007</v>
      </c>
      <c r="AT113" s="22">
        <v>-2.5045329249672728</v>
      </c>
      <c r="AU113" s="22">
        <v>0.44103624192892787</v>
      </c>
      <c r="AV113" s="22">
        <v>-0.60751176375290872</v>
      </c>
      <c r="AW113" s="22">
        <v>1.9969452983093827E-2</v>
      </c>
      <c r="AX113" s="22">
        <v>-0.32410725142403418</v>
      </c>
      <c r="AY113" s="22">
        <v>-0.23878018347788599</v>
      </c>
      <c r="AZ113" s="22"/>
      <c r="BA113" s="22">
        <v>-1.1145873696415569E-3</v>
      </c>
      <c r="BB113" s="22">
        <v>2.7802849102623206E-2</v>
      </c>
      <c r="BC113" s="22">
        <v>8.7872009096401027E-2</v>
      </c>
      <c r="BD113" s="22">
        <v>-2.2914438147799991</v>
      </c>
    </row>
    <row r="114" spans="1:56" x14ac:dyDescent="0.25">
      <c r="A114" t="s">
        <v>93</v>
      </c>
      <c r="B114">
        <v>9</v>
      </c>
      <c r="C114" t="s">
        <v>915</v>
      </c>
      <c r="D114" t="s">
        <v>471</v>
      </c>
      <c r="E114">
        <v>11</v>
      </c>
      <c r="F114">
        <v>11.32</v>
      </c>
      <c r="G114">
        <v>56.400100000000002</v>
      </c>
      <c r="H114" t="s">
        <v>87</v>
      </c>
      <c r="I114" t="s">
        <v>87</v>
      </c>
      <c r="J114" t="s">
        <v>16</v>
      </c>
      <c r="K114">
        <f t="shared" si="12"/>
        <v>90.69</v>
      </c>
      <c r="L114">
        <f t="shared" si="13"/>
        <v>356.05790000000002</v>
      </c>
      <c r="M114" t="str">
        <f t="shared" si="14"/>
        <v>devon-9</v>
      </c>
      <c r="N114" t="str">
        <f>INDEX(Scores!$A$2:$A$11,INDEX(Scores!$AA$2:$AA$131,MATCH(C114,Scores!$AB$2:$AB$131,0)))</f>
        <v>devon</v>
      </c>
      <c r="O114">
        <f t="shared" si="15"/>
        <v>104.66</v>
      </c>
      <c r="P114">
        <f t="shared" si="16"/>
        <v>474.51049999999998</v>
      </c>
      <c r="Q114" s="3">
        <f t="shared" si="17"/>
        <v>0.31393045538359282</v>
      </c>
      <c r="R114" s="3">
        <f t="shared" si="18"/>
        <v>0.30377017251314675</v>
      </c>
      <c r="S114" s="9">
        <f t="shared" si="19"/>
        <v>-1.0160282870446069E-2</v>
      </c>
      <c r="T114">
        <f t="shared" si="20"/>
        <v>89</v>
      </c>
      <c r="U114">
        <f t="shared" si="21"/>
        <v>81</v>
      </c>
      <c r="V114" s="3">
        <f t="shared" si="22"/>
        <v>0.86603803611348729</v>
      </c>
      <c r="W114" s="9">
        <f t="shared" si="23"/>
        <v>0.13396196388651271</v>
      </c>
      <c r="AB114" s="156" t="s">
        <v>20</v>
      </c>
      <c r="AC114" s="22">
        <v>-0.24234241643532414</v>
      </c>
      <c r="AD114" s="22">
        <v>0.56472638149608456</v>
      </c>
      <c r="AE114" s="22">
        <v>4.4516048798768915E-3</v>
      </c>
      <c r="AF114" s="22">
        <v>-0.16005474964169764</v>
      </c>
      <c r="AG114" s="22"/>
      <c r="AH114" s="22">
        <v>0.50160822994859178</v>
      </c>
      <c r="AI114" s="22">
        <v>-0.20805624380217969</v>
      </c>
      <c r="AJ114" s="22">
        <v>-0.17272822444177599</v>
      </c>
      <c r="AK114" s="22"/>
      <c r="AL114" s="22">
        <v>0.45573706192642094</v>
      </c>
      <c r="AM114" s="22">
        <v>-0.31491517879394948</v>
      </c>
      <c r="AN114" s="22">
        <v>0.13671118965418139</v>
      </c>
      <c r="AO114" s="22">
        <v>-0.28900509760492493</v>
      </c>
      <c r="AP114" s="22">
        <v>-3.1324466010196935E-7</v>
      </c>
      <c r="AQ114" s="22">
        <v>4.7016832918970186E-3</v>
      </c>
      <c r="AR114" s="22">
        <v>-2.2086088177022205E-3</v>
      </c>
      <c r="AS114" s="22">
        <v>0.41924710071976334</v>
      </c>
      <c r="AT114" s="22"/>
      <c r="AU114" s="22">
        <v>1.6112032343141847E-3</v>
      </c>
      <c r="AV114" s="22">
        <v>-7.4443251493634122E-2</v>
      </c>
      <c r="AW114" s="22">
        <v>3.0689919329683208</v>
      </c>
      <c r="AX114" s="22"/>
      <c r="AY114" s="22">
        <v>0</v>
      </c>
      <c r="AZ114" s="22">
        <v>-3.7931126297713817E-5</v>
      </c>
      <c r="BA114" s="22">
        <v>1.267431372774519E-4</v>
      </c>
      <c r="BB114" s="22">
        <v>8.8510410701479025E-2</v>
      </c>
      <c r="BC114" s="22">
        <v>0.27613255718530366</v>
      </c>
      <c r="BD114" s="22">
        <v>3.5064989693707576</v>
      </c>
    </row>
    <row r="115" spans="1:56" x14ac:dyDescent="0.25">
      <c r="A115" t="s">
        <v>112</v>
      </c>
      <c r="B115">
        <v>12</v>
      </c>
      <c r="C115" t="s">
        <v>934</v>
      </c>
      <c r="D115" t="s">
        <v>468</v>
      </c>
      <c r="E115">
        <v>9</v>
      </c>
      <c r="F115">
        <v>9.91</v>
      </c>
      <c r="G115">
        <v>27.984100000000002</v>
      </c>
      <c r="H115" t="s">
        <v>47</v>
      </c>
      <c r="I115" t="s">
        <v>47</v>
      </c>
      <c r="J115" t="s">
        <v>35</v>
      </c>
      <c r="K115">
        <f t="shared" si="12"/>
        <v>99.070000000000007</v>
      </c>
      <c r="L115">
        <f t="shared" si="13"/>
        <v>350.10639999999995</v>
      </c>
      <c r="M115" t="str">
        <f t="shared" si="14"/>
        <v>matty-12</v>
      </c>
      <c r="N115" t="str">
        <f>INDEX(Scores!$A$2:$A$11,INDEX(Scores!$AA$2:$AA$131,MATCH(C115,Scores!$AB$2:$AB$131,0)))</f>
        <v>matty</v>
      </c>
      <c r="O115">
        <f t="shared" si="15"/>
        <v>94.28</v>
      </c>
      <c r="P115">
        <f t="shared" si="16"/>
        <v>371.05129999999997</v>
      </c>
      <c r="Q115" s="3">
        <f t="shared" si="17"/>
        <v>0.57078356677741682</v>
      </c>
      <c r="R115" s="3">
        <f t="shared" si="18"/>
        <v>0.55858022721598966</v>
      </c>
      <c r="S115" s="9">
        <f t="shared" si="19"/>
        <v>-1.2203339561427162E-2</v>
      </c>
      <c r="T115">
        <f t="shared" si="20"/>
        <v>80</v>
      </c>
      <c r="U115">
        <f t="shared" si="21"/>
        <v>75</v>
      </c>
      <c r="V115" s="3">
        <f t="shared" si="22"/>
        <v>0.86804607453851923</v>
      </c>
      <c r="W115" s="9">
        <f t="shared" si="23"/>
        <v>0.13195392546148077</v>
      </c>
      <c r="AB115" s="156" t="s">
        <v>44</v>
      </c>
      <c r="AC115" s="22">
        <v>-0.46334513693873869</v>
      </c>
      <c r="AD115" s="22">
        <v>-0.45409599244251464</v>
      </c>
      <c r="AE115" s="22">
        <v>-0.20057143728805216</v>
      </c>
      <c r="AF115" s="22">
        <v>0.33603355187003892</v>
      </c>
      <c r="AG115" s="22">
        <v>-1.5811306139660863E-2</v>
      </c>
      <c r="AH115" s="22">
        <v>-0.13907023468995949</v>
      </c>
      <c r="AI115" s="22">
        <v>3.6644232724122872E-4</v>
      </c>
      <c r="AJ115" s="22">
        <v>-4.4124492160654338E-2</v>
      </c>
      <c r="AK115" s="22">
        <v>-5.3413236016371018E-2</v>
      </c>
      <c r="AL115" s="22">
        <v>9.9448777088400636E-2</v>
      </c>
      <c r="AM115" s="22">
        <v>0.27031744630937549</v>
      </c>
      <c r="AN115" s="22">
        <v>-0.2769156084660801</v>
      </c>
      <c r="AO115" s="22"/>
      <c r="AP115" s="22">
        <v>1.0976214783316074</v>
      </c>
      <c r="AQ115" s="22">
        <v>-0.95977190891103248</v>
      </c>
      <c r="AR115" s="22">
        <v>2.4411218780666584</v>
      </c>
      <c r="AS115" s="22">
        <v>1.3700797731549819</v>
      </c>
      <c r="AT115" s="22">
        <v>2.5228234033841686</v>
      </c>
      <c r="AU115" s="22">
        <v>-7.6293611261199381E-4</v>
      </c>
      <c r="AV115" s="22">
        <v>3.4738307241758486</v>
      </c>
      <c r="AW115" s="22">
        <v>0.72325646188080184</v>
      </c>
      <c r="AX115" s="22">
        <v>-0.14995242018272642</v>
      </c>
      <c r="AY115" s="22">
        <v>2.9479399956298291</v>
      </c>
      <c r="AZ115" s="22">
        <v>0.27336079839015959</v>
      </c>
      <c r="BA115" s="22">
        <v>-4.9554898617362522</v>
      </c>
      <c r="BB115" s="22"/>
      <c r="BC115" s="22">
        <v>-0.94118122654697511</v>
      </c>
      <c r="BD115" s="22">
        <v>8.7840573860714315</v>
      </c>
    </row>
    <row r="116" spans="1:56" x14ac:dyDescent="0.25">
      <c r="A116" t="s">
        <v>48</v>
      </c>
      <c r="B116">
        <v>4</v>
      </c>
      <c r="C116" t="s">
        <v>864</v>
      </c>
      <c r="D116" t="s">
        <v>468</v>
      </c>
      <c r="E116">
        <v>30</v>
      </c>
      <c r="F116">
        <v>17.82</v>
      </c>
      <c r="G116">
        <v>87.6096</v>
      </c>
      <c r="H116" t="s">
        <v>47</v>
      </c>
      <c r="I116" t="s">
        <v>47</v>
      </c>
      <c r="J116" t="s">
        <v>49</v>
      </c>
      <c r="K116">
        <f t="shared" si="12"/>
        <v>109.71999999999998</v>
      </c>
      <c r="L116">
        <f t="shared" si="13"/>
        <v>421.03860000000003</v>
      </c>
      <c r="M116" t="str">
        <f t="shared" si="14"/>
        <v>lucas-4</v>
      </c>
      <c r="N116" t="str">
        <f>INDEX(Scores!$A$2:$A$11,INDEX(Scores!$AA$2:$AA$131,MATCH(C116,Scores!$AB$2:$AB$131,0)))</f>
        <v>lucas</v>
      </c>
      <c r="O116">
        <f t="shared" si="15"/>
        <v>0</v>
      </c>
      <c r="P116">
        <f t="shared" si="16"/>
        <v>0</v>
      </c>
      <c r="Q116" s="3">
        <f t="shared" si="17"/>
        <v>0.99999995533253605</v>
      </c>
      <c r="R116" s="3">
        <f t="shared" si="18"/>
        <v>0.99999999998770395</v>
      </c>
      <c r="S116" s="9">
        <f t="shared" si="19"/>
        <v>4.4655167896756609E-8</v>
      </c>
      <c r="T116">
        <f t="shared" si="20"/>
        <v>92</v>
      </c>
      <c r="U116">
        <f t="shared" si="21"/>
        <v>0</v>
      </c>
      <c r="V116" s="3">
        <f t="shared" si="22"/>
        <v>1</v>
      </c>
      <c r="W116" s="9">
        <f t="shared" si="23"/>
        <v>0</v>
      </c>
      <c r="AB116" s="156" t="s">
        <v>1671</v>
      </c>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c r="BB116" s="22"/>
      <c r="BC116" s="22"/>
      <c r="BD116" s="22"/>
    </row>
    <row r="117" spans="1:56" x14ac:dyDescent="0.25">
      <c r="A117" t="s">
        <v>163</v>
      </c>
      <c r="B117">
        <v>10</v>
      </c>
      <c r="C117" t="s">
        <v>932</v>
      </c>
      <c r="D117" t="s">
        <v>471</v>
      </c>
      <c r="E117">
        <v>8</v>
      </c>
      <c r="F117">
        <v>8.4499999999999993</v>
      </c>
      <c r="G117">
        <v>30.691600000000001</v>
      </c>
      <c r="H117" t="s">
        <v>87</v>
      </c>
      <c r="I117" t="s">
        <v>87</v>
      </c>
      <c r="J117" t="s">
        <v>35</v>
      </c>
      <c r="K117">
        <f t="shared" si="12"/>
        <v>101.66000000000001</v>
      </c>
      <c r="L117">
        <f t="shared" si="13"/>
        <v>359.87040000000002</v>
      </c>
      <c r="M117" t="str">
        <f t="shared" si="14"/>
        <v>lucas-10</v>
      </c>
      <c r="N117" t="str">
        <f>INDEX(Scores!$A$2:$A$11,INDEX(Scores!$AA$2:$AA$131,MATCH(C117,Scores!$AB$2:$AB$131,0)))</f>
        <v>lucas</v>
      </c>
      <c r="O117">
        <f t="shared" si="15"/>
        <v>0</v>
      </c>
      <c r="P117">
        <f t="shared" si="16"/>
        <v>0</v>
      </c>
      <c r="Q117" s="3">
        <f t="shared" si="17"/>
        <v>0.99999995813888032</v>
      </c>
      <c r="R117" s="3">
        <f t="shared" si="18"/>
        <v>0.99999998786102007</v>
      </c>
      <c r="S117" s="9">
        <f t="shared" si="19"/>
        <v>2.9722139749388532E-8</v>
      </c>
      <c r="T117">
        <f t="shared" si="20"/>
        <v>97</v>
      </c>
      <c r="U117">
        <f t="shared" si="21"/>
        <v>0</v>
      </c>
      <c r="V117" s="3">
        <f t="shared" si="22"/>
        <v>1</v>
      </c>
      <c r="W117" s="9">
        <f t="shared" si="23"/>
        <v>0</v>
      </c>
      <c r="AB117" s="111" t="s">
        <v>113</v>
      </c>
      <c r="AC117" s="22">
        <v>5.3398521160374912E-9</v>
      </c>
      <c r="AD117" s="22">
        <v>1.0878019052196208E-7</v>
      </c>
      <c r="AE117" s="22">
        <v>5.1574599446713165E-7</v>
      </c>
      <c r="AF117" s="22">
        <v>2.8538862606453108E-8</v>
      </c>
      <c r="AG117" s="22"/>
      <c r="AH117" s="22">
        <v>3.3796041490896656E-6</v>
      </c>
      <c r="AI117" s="22">
        <v>-3.5635366657515988E-8</v>
      </c>
      <c r="AJ117" s="22">
        <v>7.0744287872237521E-8</v>
      </c>
      <c r="AK117" s="22"/>
      <c r="AL117" s="22">
        <v>9.0910650119013781E-8</v>
      </c>
      <c r="AM117" s="22">
        <v>-7.4901565949581084E-8</v>
      </c>
      <c r="AN117" s="22">
        <v>3.524187826009495E-7</v>
      </c>
      <c r="AO117" s="22">
        <v>2.7912904424498564E-6</v>
      </c>
      <c r="AP117" s="22">
        <v>0</v>
      </c>
      <c r="AQ117" s="22">
        <v>3.2654740023119189E-9</v>
      </c>
      <c r="AR117" s="22">
        <v>2.7683124681487925E-8</v>
      </c>
      <c r="AS117" s="22">
        <v>0</v>
      </c>
      <c r="AT117" s="22"/>
      <c r="AU117" s="22">
        <v>0</v>
      </c>
      <c r="AV117" s="22">
        <v>0</v>
      </c>
      <c r="AW117" s="22">
        <v>0</v>
      </c>
      <c r="AX117" s="22"/>
      <c r="AY117" s="22">
        <v>0</v>
      </c>
      <c r="AZ117" s="22">
        <v>1.354472090042691E-14</v>
      </c>
      <c r="BA117" s="22">
        <v>0</v>
      </c>
      <c r="BB117" s="22">
        <v>0</v>
      </c>
      <c r="BC117" s="22">
        <v>7.23283627923621E-6</v>
      </c>
      <c r="BD117" s="22">
        <v>3.0948612228520744E-8</v>
      </c>
    </row>
    <row r="118" spans="1:56" x14ac:dyDescent="0.25">
      <c r="A118" t="s">
        <v>251</v>
      </c>
      <c r="B118">
        <v>7</v>
      </c>
      <c r="C118" t="s">
        <v>953</v>
      </c>
      <c r="D118" t="s">
        <v>473</v>
      </c>
      <c r="E118">
        <v>4</v>
      </c>
      <c r="F118">
        <v>8.3699999999999992</v>
      </c>
      <c r="G118">
        <v>29.593599999999999</v>
      </c>
      <c r="H118" t="s">
        <v>87</v>
      </c>
      <c r="I118" t="s">
        <v>87</v>
      </c>
      <c r="J118" t="s">
        <v>40</v>
      </c>
      <c r="K118">
        <f t="shared" si="12"/>
        <v>91.929999999999993</v>
      </c>
      <c r="L118">
        <f t="shared" si="13"/>
        <v>386.72199999999998</v>
      </c>
      <c r="M118" t="e">
        <f t="shared" si="14"/>
        <v>#N/A</v>
      </c>
      <c r="N118" t="e">
        <f>INDEX(Scores!$A$2:$A$11,INDEX(Scores!$AA$2:$AA$131,MATCH(C118,Scores!$AB$2:$AB$131,0)))</f>
        <v>#N/A</v>
      </c>
      <c r="O118">
        <f t="shared" si="15"/>
        <v>0</v>
      </c>
      <c r="P118">
        <f t="shared" si="16"/>
        <v>0</v>
      </c>
      <c r="Q118" s="3">
        <f t="shared" si="17"/>
        <v>0.99999852839643777</v>
      </c>
      <c r="R118" s="3">
        <f t="shared" si="18"/>
        <v>0.99999820087892566</v>
      </c>
      <c r="S118" s="9">
        <f t="shared" si="19"/>
        <v>-3.2751751211090863E-7</v>
      </c>
      <c r="T118">
        <f t="shared" si="20"/>
        <v>75</v>
      </c>
      <c r="U118">
        <f t="shared" si="21"/>
        <v>0</v>
      </c>
      <c r="V118" s="3">
        <f t="shared" si="22"/>
        <v>1</v>
      </c>
      <c r="W118" s="9">
        <f t="shared" si="23"/>
        <v>0</v>
      </c>
      <c r="AB118" s="111" t="s">
        <v>191</v>
      </c>
      <c r="AC118" s="22">
        <v>3.2045842424111015E-8</v>
      </c>
      <c r="AD118" s="22">
        <v>-4.8841853117487233E-8</v>
      </c>
      <c r="AE118" s="22">
        <v>3.3847026947864123E-7</v>
      </c>
      <c r="AF118" s="22">
        <v>-5.6237203782671941E-9</v>
      </c>
      <c r="AG118" s="22">
        <v>-6.5735064662675313E-6</v>
      </c>
      <c r="AH118" s="22">
        <v>1.7784639216866793E-6</v>
      </c>
      <c r="AI118" s="22">
        <v>-2.0435541714380889E-7</v>
      </c>
      <c r="AJ118" s="22">
        <v>7.3894977914434889E-8</v>
      </c>
      <c r="AK118" s="22"/>
      <c r="AL118" s="22">
        <v>1.8329725670618302E-7</v>
      </c>
      <c r="AM118" s="22">
        <v>1.6296899707501922E-7</v>
      </c>
      <c r="AN118" s="22">
        <v>1.8148645009041786E-7</v>
      </c>
      <c r="AO118" s="22">
        <v>-5.5608850912935992E-7</v>
      </c>
      <c r="AP118" s="22">
        <v>0</v>
      </c>
      <c r="AQ118" s="22">
        <v>0</v>
      </c>
      <c r="AR118" s="22">
        <v>0</v>
      </c>
      <c r="AS118" s="22">
        <v>0</v>
      </c>
      <c r="AT118" s="22">
        <v>0</v>
      </c>
      <c r="AU118" s="22">
        <v>0</v>
      </c>
      <c r="AV118" s="22">
        <v>0</v>
      </c>
      <c r="AW118" s="22">
        <v>0</v>
      </c>
      <c r="AX118" s="22"/>
      <c r="AY118" s="22">
        <v>0</v>
      </c>
      <c r="AZ118" s="22">
        <v>4.9169968097118044E-10</v>
      </c>
      <c r="BA118" s="22">
        <v>0</v>
      </c>
      <c r="BB118" s="22">
        <v>0</v>
      </c>
      <c r="BC118" s="22">
        <v>-4.637788250660968E-6</v>
      </c>
      <c r="BD118" s="22">
        <v>4.9169968097118044E-10</v>
      </c>
    </row>
    <row r="119" spans="1:56" x14ac:dyDescent="0.25">
      <c r="A119" t="s">
        <v>92</v>
      </c>
      <c r="B119">
        <v>6</v>
      </c>
      <c r="C119" t="s">
        <v>920</v>
      </c>
      <c r="D119" t="s">
        <v>466</v>
      </c>
      <c r="E119">
        <v>26</v>
      </c>
      <c r="F119">
        <v>17.190000000000001</v>
      </c>
      <c r="G119">
        <v>74.649600000000007</v>
      </c>
      <c r="H119" t="s">
        <v>466</v>
      </c>
      <c r="I119" t="s">
        <v>47</v>
      </c>
      <c r="J119" t="s">
        <v>55</v>
      </c>
      <c r="K119">
        <f t="shared" si="12"/>
        <v>108.8</v>
      </c>
      <c r="L119">
        <f t="shared" si="13"/>
        <v>404.29040000000003</v>
      </c>
      <c r="M119" t="str">
        <f t="shared" si="14"/>
        <v>cory-6</v>
      </c>
      <c r="N119" t="str">
        <f>INDEX(Scores!$A$2:$A$11,INDEX(Scores!$AA$2:$AA$131,MATCH(C119,Scores!$AB$2:$AB$131,0)))</f>
        <v>cory</v>
      </c>
      <c r="O119">
        <f t="shared" si="15"/>
        <v>102.10000000000001</v>
      </c>
      <c r="P119">
        <f t="shared" si="16"/>
        <v>445.16630000000004</v>
      </c>
      <c r="Q119" s="3">
        <f t="shared" si="17"/>
        <v>0.59090810623639012</v>
      </c>
      <c r="R119" s="3">
        <f t="shared" si="18"/>
        <v>0.71130631175621373</v>
      </c>
      <c r="S119" s="9">
        <f t="shared" si="19"/>
        <v>0.12039820551982361</v>
      </c>
      <c r="T119">
        <f t="shared" si="20"/>
        <v>104</v>
      </c>
      <c r="U119">
        <f t="shared" si="21"/>
        <v>85</v>
      </c>
      <c r="V119" s="3">
        <f t="shared" si="22"/>
        <v>0.88088016390563717</v>
      </c>
      <c r="W119" s="9">
        <f t="shared" si="23"/>
        <v>0.11911983609436283</v>
      </c>
      <c r="AB119" s="111" t="s">
        <v>81</v>
      </c>
      <c r="AC119" s="22">
        <v>3.1001890610227179E-8</v>
      </c>
      <c r="AD119" s="22">
        <v>-9.1403034696568852E-8</v>
      </c>
      <c r="AE119" s="22">
        <v>7.7373143336778583E-8</v>
      </c>
      <c r="AF119" s="22">
        <v>1.5865400659897944E-8</v>
      </c>
      <c r="AG119" s="22">
        <v>5.6327239393860751E-6</v>
      </c>
      <c r="AH119" s="22"/>
      <c r="AI119" s="22"/>
      <c r="AJ119" s="22"/>
      <c r="AK119" s="22"/>
      <c r="AL119" s="22"/>
      <c r="AM119" s="22"/>
      <c r="AN119" s="22"/>
      <c r="AO119" s="22"/>
      <c r="AP119" s="22">
        <v>0</v>
      </c>
      <c r="AQ119" s="22">
        <v>0</v>
      </c>
      <c r="AR119" s="22">
        <v>4.829470157119431E-14</v>
      </c>
      <c r="AS119" s="22">
        <v>0</v>
      </c>
      <c r="AT119" s="22">
        <v>0</v>
      </c>
      <c r="AU119" s="22"/>
      <c r="AV119" s="22"/>
      <c r="AW119" s="22"/>
      <c r="AX119" s="22"/>
      <c r="AY119" s="22"/>
      <c r="AZ119" s="22"/>
      <c r="BA119" s="22"/>
      <c r="BB119" s="22"/>
      <c r="BC119" s="22">
        <v>5.6655613392964099E-6</v>
      </c>
      <c r="BD119" s="22">
        <v>4.829470157119431E-14</v>
      </c>
    </row>
    <row r="120" spans="1:56" x14ac:dyDescent="0.25">
      <c r="A120" t="s">
        <v>411</v>
      </c>
      <c r="B120">
        <v>6</v>
      </c>
      <c r="C120" t="s">
        <v>920</v>
      </c>
      <c r="D120" t="s">
        <v>477</v>
      </c>
      <c r="E120">
        <v>20</v>
      </c>
      <c r="F120">
        <v>8.6199999999999992</v>
      </c>
      <c r="G120">
        <v>41.7316</v>
      </c>
      <c r="H120" t="s">
        <v>477</v>
      </c>
      <c r="I120" t="s">
        <v>477</v>
      </c>
      <c r="J120" t="s">
        <v>55</v>
      </c>
      <c r="K120">
        <f t="shared" si="12"/>
        <v>108.8</v>
      </c>
      <c r="L120">
        <f t="shared" si="13"/>
        <v>404.29040000000003</v>
      </c>
      <c r="M120" t="str">
        <f t="shared" si="14"/>
        <v>cory-6</v>
      </c>
      <c r="N120" t="str">
        <f>INDEX(Scores!$A$2:$A$11,INDEX(Scores!$AA$2:$AA$131,MATCH(C120,Scores!$AB$2:$AB$131,0)))</f>
        <v>cory</v>
      </c>
      <c r="O120">
        <f t="shared" si="15"/>
        <v>102.10000000000001</v>
      </c>
      <c r="P120">
        <f t="shared" si="16"/>
        <v>445.16630000000004</v>
      </c>
      <c r="Q120" s="3">
        <f t="shared" si="17"/>
        <v>0.59090810623639012</v>
      </c>
      <c r="R120" s="3">
        <f t="shared" si="18"/>
        <v>0.737664062069046</v>
      </c>
      <c r="S120" s="9">
        <f t="shared" si="19"/>
        <v>0.14675595583265588</v>
      </c>
      <c r="T120">
        <f t="shared" si="20"/>
        <v>104</v>
      </c>
      <c r="U120">
        <f t="shared" si="21"/>
        <v>85</v>
      </c>
      <c r="V120" s="3">
        <f t="shared" si="22"/>
        <v>0.88091367596051073</v>
      </c>
      <c r="W120" s="9">
        <f t="shared" si="23"/>
        <v>0.11908632403948927</v>
      </c>
      <c r="AB120" s="111" t="s">
        <v>59</v>
      </c>
      <c r="AC120" s="22"/>
      <c r="AD120" s="22"/>
      <c r="AE120" s="22"/>
      <c r="AF120" s="22">
        <v>2.8289148579219159E-8</v>
      </c>
      <c r="AG120" s="22">
        <v>1.0573364529253837E-5</v>
      </c>
      <c r="AH120" s="22"/>
      <c r="AI120" s="22"/>
      <c r="AJ120" s="22">
        <v>-1.6478720066270824E-7</v>
      </c>
      <c r="AK120" s="22">
        <v>5.1979277615465946E-7</v>
      </c>
      <c r="AL120" s="22">
        <v>7.825253978133162E-8</v>
      </c>
      <c r="AM120" s="22">
        <v>-9.3196937147599357E-6</v>
      </c>
      <c r="AN120" s="22">
        <v>-7.9361556981627501E-7</v>
      </c>
      <c r="AO120" s="22">
        <v>2.5822904166084015E-6</v>
      </c>
      <c r="AP120" s="22"/>
      <c r="AQ120" s="22"/>
      <c r="AR120" s="22"/>
      <c r="AS120" s="22">
        <v>0</v>
      </c>
      <c r="AT120" s="22">
        <v>0</v>
      </c>
      <c r="AU120" s="22"/>
      <c r="AV120" s="22"/>
      <c r="AW120" s="22">
        <v>0</v>
      </c>
      <c r="AX120" s="22">
        <v>0</v>
      </c>
      <c r="AY120" s="22">
        <v>0</v>
      </c>
      <c r="AZ120" s="22">
        <v>0</v>
      </c>
      <c r="BA120" s="22">
        <v>0</v>
      </c>
      <c r="BB120" s="22">
        <v>1.8873791418627661E-15</v>
      </c>
      <c r="BC120" s="22">
        <v>3.5038929251385298E-6</v>
      </c>
      <c r="BD120" s="22">
        <v>1.8873791418627661E-15</v>
      </c>
    </row>
    <row r="121" spans="1:56" x14ac:dyDescent="0.25">
      <c r="A121" t="s">
        <v>120</v>
      </c>
      <c r="B121">
        <v>11</v>
      </c>
      <c r="C121" t="s">
        <v>941</v>
      </c>
      <c r="D121" t="s">
        <v>472</v>
      </c>
      <c r="E121">
        <v>13</v>
      </c>
      <c r="F121">
        <v>11.57</v>
      </c>
      <c r="G121">
        <v>40.7044</v>
      </c>
      <c r="H121" t="s">
        <v>87</v>
      </c>
      <c r="I121" t="s">
        <v>87</v>
      </c>
      <c r="J121" t="s">
        <v>27</v>
      </c>
      <c r="K121">
        <f t="shared" si="12"/>
        <v>98.580000000000013</v>
      </c>
      <c r="L121">
        <f t="shared" si="13"/>
        <v>364.4375</v>
      </c>
      <c r="M121" t="str">
        <f t="shared" si="14"/>
        <v>matty-11</v>
      </c>
      <c r="N121" t="str">
        <f>INDEX(Scores!$A$2:$A$11,INDEX(Scores!$AA$2:$AA$131,MATCH(C121,Scores!$AB$2:$AB$131,0)))</f>
        <v>matty</v>
      </c>
      <c r="O121">
        <f t="shared" si="15"/>
        <v>88.670000000000016</v>
      </c>
      <c r="P121">
        <f t="shared" si="16"/>
        <v>334.39179999999999</v>
      </c>
      <c r="Q121" s="3">
        <f t="shared" si="17"/>
        <v>0.64612380466415886</v>
      </c>
      <c r="R121" s="3">
        <f t="shared" si="18"/>
        <v>0.67076888371615351</v>
      </c>
      <c r="S121" s="9">
        <f t="shared" si="19"/>
        <v>2.4645079051994645E-2</v>
      </c>
      <c r="T121">
        <f t="shared" si="20"/>
        <v>111</v>
      </c>
      <c r="U121">
        <f t="shared" si="21"/>
        <v>102</v>
      </c>
      <c r="V121" s="3">
        <f t="shared" si="22"/>
        <v>0.88229157023586513</v>
      </c>
      <c r="W121" s="9">
        <f t="shared" si="23"/>
        <v>0.11770842976413487</v>
      </c>
      <c r="AB121" s="111" t="s">
        <v>417</v>
      </c>
      <c r="AC121" s="22"/>
      <c r="AD121" s="22"/>
      <c r="AE121" s="22"/>
      <c r="AF121" s="22">
        <v>1.7071131730439504E-8</v>
      </c>
      <c r="AG121" s="22">
        <v>1.0370638815260236E-5</v>
      </c>
      <c r="AH121" s="22"/>
      <c r="AI121" s="22"/>
      <c r="AJ121" s="22">
        <v>7.4635199243111572E-8</v>
      </c>
      <c r="AK121" s="22">
        <v>-1.5599077018979557E-7</v>
      </c>
      <c r="AL121" s="22">
        <v>-2.3659520453911398E-8</v>
      </c>
      <c r="AM121" s="22">
        <v>1.3268509402308837E-7</v>
      </c>
      <c r="AN121" s="22">
        <v>-2.1270352612567933E-7</v>
      </c>
      <c r="AO121" s="22">
        <v>1.4158649500606302E-6</v>
      </c>
      <c r="AP121" s="22"/>
      <c r="AQ121" s="22"/>
      <c r="AR121" s="22"/>
      <c r="AS121" s="22">
        <v>0</v>
      </c>
      <c r="AT121" s="22">
        <v>0</v>
      </c>
      <c r="AU121" s="22"/>
      <c r="AV121" s="22"/>
      <c r="AW121" s="22">
        <v>0</v>
      </c>
      <c r="AX121" s="22">
        <v>0</v>
      </c>
      <c r="AY121" s="22">
        <v>0</v>
      </c>
      <c r="AZ121" s="22">
        <v>2.2204460492503131E-16</v>
      </c>
      <c r="BA121" s="22">
        <v>0</v>
      </c>
      <c r="BB121" s="22">
        <v>0</v>
      </c>
      <c r="BC121" s="22">
        <v>1.1618541373548119E-5</v>
      </c>
      <c r="BD121" s="22">
        <v>2.2204460492503131E-16</v>
      </c>
    </row>
    <row r="122" spans="1:56" x14ac:dyDescent="0.25">
      <c r="A122" t="s">
        <v>113</v>
      </c>
      <c r="B122">
        <v>7</v>
      </c>
      <c r="C122" t="s">
        <v>953</v>
      </c>
      <c r="D122" t="s">
        <v>475</v>
      </c>
      <c r="E122">
        <v>5</v>
      </c>
      <c r="F122">
        <v>11.98</v>
      </c>
      <c r="G122">
        <v>55.800899999999999</v>
      </c>
      <c r="H122" t="s">
        <v>114</v>
      </c>
      <c r="I122" t="s">
        <v>114</v>
      </c>
      <c r="J122" t="s">
        <v>40</v>
      </c>
      <c r="K122">
        <f t="shared" si="12"/>
        <v>91.929999999999993</v>
      </c>
      <c r="L122">
        <f t="shared" si="13"/>
        <v>386.72199999999998</v>
      </c>
      <c r="M122" t="e">
        <f t="shared" si="14"/>
        <v>#N/A</v>
      </c>
      <c r="N122" t="e">
        <f>INDEX(Scores!$A$2:$A$11,INDEX(Scores!$AA$2:$AA$131,MATCH(C122,Scores!$AB$2:$AB$131,0)))</f>
        <v>#N/A</v>
      </c>
      <c r="O122">
        <f t="shared" si="15"/>
        <v>0</v>
      </c>
      <c r="P122">
        <f t="shared" si="16"/>
        <v>0</v>
      </c>
      <c r="Q122" s="3">
        <f t="shared" si="17"/>
        <v>0.99999852839643777</v>
      </c>
      <c r="R122" s="3">
        <f t="shared" si="18"/>
        <v>0.99999849276107111</v>
      </c>
      <c r="S122" s="9">
        <f t="shared" si="19"/>
        <v>-3.5635366657515988E-8</v>
      </c>
      <c r="T122">
        <f t="shared" si="20"/>
        <v>75</v>
      </c>
      <c r="U122">
        <f t="shared" si="21"/>
        <v>0</v>
      </c>
      <c r="V122" s="3">
        <f t="shared" si="22"/>
        <v>1</v>
      </c>
      <c r="W122" s="9">
        <f t="shared" si="23"/>
        <v>0</v>
      </c>
      <c r="AB122" s="111" t="s">
        <v>202</v>
      </c>
      <c r="AC122" s="22"/>
      <c r="AD122" s="22"/>
      <c r="AE122" s="22"/>
      <c r="AF122" s="22">
        <v>-5.6182919427882894E-8</v>
      </c>
      <c r="AG122" s="22"/>
      <c r="AH122" s="22">
        <v>3.1707169250161371E-6</v>
      </c>
      <c r="AI122" s="22">
        <v>1.3595175384351066E-6</v>
      </c>
      <c r="AJ122" s="22">
        <v>4.3151567430399496E-8</v>
      </c>
      <c r="AK122" s="22">
        <v>7.050822592447048E-8</v>
      </c>
      <c r="AL122" s="22">
        <v>7.7527608111083168E-8</v>
      </c>
      <c r="AM122" s="22">
        <v>1.3224882999818277E-7</v>
      </c>
      <c r="AN122" s="22"/>
      <c r="AO122" s="22"/>
      <c r="AP122" s="22"/>
      <c r="AQ122" s="22"/>
      <c r="AR122" s="22"/>
      <c r="AS122" s="22">
        <v>0</v>
      </c>
      <c r="AT122" s="22"/>
      <c r="AU122" s="22">
        <v>0</v>
      </c>
      <c r="AV122" s="22">
        <v>0</v>
      </c>
      <c r="AW122" s="22">
        <v>0</v>
      </c>
      <c r="AX122" s="22">
        <v>0</v>
      </c>
      <c r="AY122" s="22">
        <v>0</v>
      </c>
      <c r="AZ122" s="22">
        <v>1.1102230246251565E-16</v>
      </c>
      <c r="BA122" s="22"/>
      <c r="BB122" s="22"/>
      <c r="BC122" s="22">
        <v>4.7974877754874967E-6</v>
      </c>
      <c r="BD122" s="22">
        <v>1.1102230246251565E-16</v>
      </c>
    </row>
    <row r="123" spans="1:56" x14ac:dyDescent="0.25">
      <c r="A123" t="s">
        <v>158</v>
      </c>
      <c r="B123">
        <v>7</v>
      </c>
      <c r="C123" t="s">
        <v>953</v>
      </c>
      <c r="D123" t="s">
        <v>469</v>
      </c>
      <c r="E123">
        <v>3</v>
      </c>
      <c r="F123">
        <v>10.19</v>
      </c>
      <c r="G123">
        <v>57.912100000000002</v>
      </c>
      <c r="H123" t="s">
        <v>47</v>
      </c>
      <c r="I123" t="s">
        <v>47</v>
      </c>
      <c r="J123" t="s">
        <v>40</v>
      </c>
      <c r="K123">
        <f t="shared" si="12"/>
        <v>91.929999999999993</v>
      </c>
      <c r="L123">
        <f t="shared" si="13"/>
        <v>386.72199999999998</v>
      </c>
      <c r="M123" t="e">
        <f t="shared" si="14"/>
        <v>#N/A</v>
      </c>
      <c r="N123" t="e">
        <f>INDEX(Scores!$A$2:$A$11,INDEX(Scores!$AA$2:$AA$131,MATCH(C123,Scores!$AB$2:$AB$131,0)))</f>
        <v>#N/A</v>
      </c>
      <c r="O123">
        <f t="shared" si="15"/>
        <v>0</v>
      </c>
      <c r="P123">
        <f t="shared" si="16"/>
        <v>0</v>
      </c>
      <c r="Q123" s="3">
        <f t="shared" si="17"/>
        <v>0.99999852839643777</v>
      </c>
      <c r="R123" s="3">
        <f t="shared" si="18"/>
        <v>0.99999851741445667</v>
      </c>
      <c r="S123" s="9">
        <f t="shared" si="19"/>
        <v>-1.0981981102275995E-8</v>
      </c>
      <c r="T123">
        <f t="shared" si="20"/>
        <v>75</v>
      </c>
      <c r="U123">
        <f t="shared" si="21"/>
        <v>0</v>
      </c>
      <c r="V123" s="3">
        <f t="shared" si="22"/>
        <v>1</v>
      </c>
      <c r="W123" s="9">
        <f t="shared" si="23"/>
        <v>0</v>
      </c>
      <c r="AB123" s="111" t="s">
        <v>39</v>
      </c>
      <c r="AC123" s="22">
        <v>-9.2988542421679199E-9</v>
      </c>
      <c r="AD123" s="22">
        <v>-1.7302110788541825E-7</v>
      </c>
      <c r="AE123" s="22">
        <v>-3.4290381092372257E-6</v>
      </c>
      <c r="AF123" s="22"/>
      <c r="AG123" s="22"/>
      <c r="AH123" s="22">
        <v>3.2512611394253099E-6</v>
      </c>
      <c r="AI123" s="22">
        <v>-1.677444613656931E-6</v>
      </c>
      <c r="AJ123" s="22"/>
      <c r="AK123" s="22"/>
      <c r="AL123" s="22"/>
      <c r="AM123" s="22"/>
      <c r="AN123" s="22"/>
      <c r="AO123" s="22"/>
      <c r="AP123" s="22">
        <v>0</v>
      </c>
      <c r="AQ123" s="22">
        <v>0</v>
      </c>
      <c r="AR123" s="22">
        <v>0</v>
      </c>
      <c r="AS123" s="22"/>
      <c r="AT123" s="22"/>
      <c r="AU123" s="22">
        <v>0</v>
      </c>
      <c r="AV123" s="22">
        <v>0</v>
      </c>
      <c r="AW123" s="22"/>
      <c r="AX123" s="22"/>
      <c r="AY123" s="22"/>
      <c r="AZ123" s="22"/>
      <c r="BA123" s="22"/>
      <c r="BB123" s="22"/>
      <c r="BC123" s="22">
        <v>-2.037541545596433E-6</v>
      </c>
      <c r="BD123" s="22">
        <v>0</v>
      </c>
    </row>
    <row r="124" spans="1:56" x14ac:dyDescent="0.25">
      <c r="A124" t="s">
        <v>192</v>
      </c>
      <c r="B124">
        <v>9</v>
      </c>
      <c r="C124" t="s">
        <v>915</v>
      </c>
      <c r="D124" t="s">
        <v>473</v>
      </c>
      <c r="E124">
        <v>7</v>
      </c>
      <c r="F124">
        <v>6.3</v>
      </c>
      <c r="G124">
        <v>36.360900000000001</v>
      </c>
      <c r="H124" t="s">
        <v>87</v>
      </c>
      <c r="I124" t="s">
        <v>87</v>
      </c>
      <c r="J124" t="s">
        <v>16</v>
      </c>
      <c r="K124">
        <f t="shared" si="12"/>
        <v>90.69</v>
      </c>
      <c r="L124">
        <f t="shared" si="13"/>
        <v>356.05790000000002</v>
      </c>
      <c r="M124" t="str">
        <f t="shared" si="14"/>
        <v>devon-9</v>
      </c>
      <c r="N124" t="str">
        <f>INDEX(Scores!$A$2:$A$11,INDEX(Scores!$AA$2:$AA$131,MATCH(C124,Scores!$AB$2:$AB$131,0)))</f>
        <v>devon</v>
      </c>
      <c r="O124">
        <f t="shared" si="15"/>
        <v>104.66</v>
      </c>
      <c r="P124">
        <f t="shared" si="16"/>
        <v>474.51049999999998</v>
      </c>
      <c r="Q124" s="3">
        <f t="shared" si="17"/>
        <v>0.31393045538359282</v>
      </c>
      <c r="R124" s="3">
        <f t="shared" si="18"/>
        <v>0.31886565998863814</v>
      </c>
      <c r="S124" s="9">
        <f t="shared" si="19"/>
        <v>4.935204605045318E-3</v>
      </c>
      <c r="T124">
        <f t="shared" si="20"/>
        <v>89</v>
      </c>
      <c r="U124">
        <f t="shared" si="21"/>
        <v>81</v>
      </c>
      <c r="V124" s="3">
        <f t="shared" si="22"/>
        <v>0.88697823499307227</v>
      </c>
      <c r="W124" s="9">
        <f t="shared" si="23"/>
        <v>0.11302176500692773</v>
      </c>
      <c r="AB124" s="111" t="s">
        <v>458</v>
      </c>
      <c r="AC124" s="22"/>
      <c r="AD124" s="22"/>
      <c r="AE124" s="22"/>
      <c r="AF124" s="22"/>
      <c r="AG124" s="22"/>
      <c r="AH124" s="22"/>
      <c r="AI124" s="22"/>
      <c r="AJ124" s="22"/>
      <c r="AK124" s="22"/>
      <c r="AL124" s="22">
        <v>1.4009016569005439E-7</v>
      </c>
      <c r="AM124" s="22">
        <v>-3.439370886981763E-7</v>
      </c>
      <c r="AN124" s="22">
        <v>-8.291016287964581E-7</v>
      </c>
      <c r="AO124" s="22">
        <v>-7.1922154453174514E-6</v>
      </c>
      <c r="AP124" s="22"/>
      <c r="AQ124" s="22"/>
      <c r="AR124" s="22"/>
      <c r="AS124" s="22"/>
      <c r="AT124" s="22"/>
      <c r="AU124" s="22"/>
      <c r="AV124" s="22"/>
      <c r="AW124" s="22"/>
      <c r="AX124" s="22"/>
      <c r="AY124" s="22">
        <v>0</v>
      </c>
      <c r="AZ124" s="22">
        <v>0</v>
      </c>
      <c r="BA124" s="22">
        <v>0</v>
      </c>
      <c r="BB124" s="22">
        <v>0</v>
      </c>
      <c r="BC124" s="22">
        <v>-8.2251639971220314E-6</v>
      </c>
      <c r="BD124" s="22">
        <v>0</v>
      </c>
    </row>
    <row r="125" spans="1:56" x14ac:dyDescent="0.25">
      <c r="A125" t="s">
        <v>412</v>
      </c>
      <c r="B125">
        <v>1</v>
      </c>
      <c r="C125" t="s">
        <v>506</v>
      </c>
      <c r="D125" t="s">
        <v>477</v>
      </c>
      <c r="E125">
        <v>7</v>
      </c>
      <c r="F125">
        <v>8.7200000000000006</v>
      </c>
      <c r="G125">
        <v>39.942399999999999</v>
      </c>
      <c r="H125" t="s">
        <v>477</v>
      </c>
      <c r="I125" t="s">
        <v>477</v>
      </c>
      <c r="J125" t="s">
        <v>27</v>
      </c>
      <c r="K125">
        <f t="shared" si="12"/>
        <v>110.7</v>
      </c>
      <c r="L125">
        <f t="shared" si="13"/>
        <v>433.44330000000002</v>
      </c>
      <c r="M125" t="str">
        <f t="shared" si="14"/>
        <v>seth-1</v>
      </c>
      <c r="N125" t="str">
        <f>INDEX(Scores!$A$2:$A$11,INDEX(Scores!$AA$2:$AA$131,MATCH(C125,Scores!$AB$2:$AB$131,0)))</f>
        <v>seth</v>
      </c>
      <c r="O125">
        <f t="shared" si="15"/>
        <v>111.07</v>
      </c>
      <c r="P125">
        <f t="shared" si="16"/>
        <v>422.00569999999999</v>
      </c>
      <c r="Q125" s="3">
        <f t="shared" si="17"/>
        <v>0.49495335047896771</v>
      </c>
      <c r="R125" s="3">
        <f t="shared" si="18"/>
        <v>0.47082874939953645</v>
      </c>
      <c r="S125" s="9">
        <f t="shared" si="19"/>
        <v>-2.4124601079431263E-2</v>
      </c>
      <c r="T125">
        <f t="shared" si="20"/>
        <v>77</v>
      </c>
      <c r="U125">
        <f t="shared" si="21"/>
        <v>71</v>
      </c>
      <c r="V125" s="3">
        <f t="shared" si="22"/>
        <v>0.88905520948848538</v>
      </c>
      <c r="W125" s="9">
        <f t="shared" si="23"/>
        <v>0.11094479051151462</v>
      </c>
      <c r="AB125" s="111" t="s">
        <v>256</v>
      </c>
      <c r="AC125" s="22"/>
      <c r="AD125" s="22"/>
      <c r="AE125" s="22"/>
      <c r="AF125" s="22"/>
      <c r="AG125" s="22"/>
      <c r="AH125" s="22"/>
      <c r="AI125" s="22"/>
      <c r="AJ125" s="22"/>
      <c r="AK125" s="22">
        <v>1.4754687138740508E-7</v>
      </c>
      <c r="AL125" s="22">
        <v>3.5491354188899038E-8</v>
      </c>
      <c r="AM125" s="22">
        <v>3.9283492569985867E-8</v>
      </c>
      <c r="AN125" s="22">
        <v>3.089093353336736E-7</v>
      </c>
      <c r="AO125" s="22">
        <v>1.7262605886969595E-6</v>
      </c>
      <c r="AP125" s="22"/>
      <c r="AQ125" s="22"/>
      <c r="AR125" s="22"/>
      <c r="AS125" s="22"/>
      <c r="AT125" s="22"/>
      <c r="AU125" s="22"/>
      <c r="AV125" s="22"/>
      <c r="AW125" s="22"/>
      <c r="AX125" s="22">
        <v>0</v>
      </c>
      <c r="AY125" s="22">
        <v>0</v>
      </c>
      <c r="AZ125" s="22">
        <v>0</v>
      </c>
      <c r="BA125" s="22">
        <v>0</v>
      </c>
      <c r="BB125" s="22">
        <v>0</v>
      </c>
      <c r="BC125" s="22">
        <v>2.2574916421769231E-6</v>
      </c>
      <c r="BD125" s="22">
        <v>0</v>
      </c>
    </row>
    <row r="126" spans="1:56" x14ac:dyDescent="0.25">
      <c r="A126" t="s">
        <v>450</v>
      </c>
      <c r="B126">
        <v>10</v>
      </c>
      <c r="C126" t="s">
        <v>932</v>
      </c>
      <c r="D126" t="s">
        <v>478</v>
      </c>
      <c r="E126">
        <v>9</v>
      </c>
      <c r="F126">
        <v>7.92</v>
      </c>
      <c r="G126">
        <v>15.840400000000001</v>
      </c>
      <c r="H126" t="s">
        <v>478</v>
      </c>
      <c r="I126" t="s">
        <v>478</v>
      </c>
      <c r="J126" t="s">
        <v>35</v>
      </c>
      <c r="K126">
        <f t="shared" si="12"/>
        <v>101.66000000000001</v>
      </c>
      <c r="L126">
        <f t="shared" si="13"/>
        <v>359.87040000000002</v>
      </c>
      <c r="M126" t="str">
        <f t="shared" si="14"/>
        <v>lucas-10</v>
      </c>
      <c r="N126" t="str">
        <f>INDEX(Scores!$A$2:$A$11,INDEX(Scores!$AA$2:$AA$131,MATCH(C126,Scores!$AB$2:$AB$131,0)))</f>
        <v>lucas</v>
      </c>
      <c r="O126">
        <f t="shared" si="15"/>
        <v>0</v>
      </c>
      <c r="P126">
        <f t="shared" si="16"/>
        <v>0</v>
      </c>
      <c r="Q126" s="3">
        <f t="shared" si="17"/>
        <v>0.99999995813888032</v>
      </c>
      <c r="R126" s="3">
        <f t="shared" si="18"/>
        <v>0.99999998480093222</v>
      </c>
      <c r="S126" s="9">
        <f t="shared" si="19"/>
        <v>2.6662051899606354E-8</v>
      </c>
      <c r="T126">
        <f t="shared" si="20"/>
        <v>97</v>
      </c>
      <c r="U126">
        <f t="shared" si="21"/>
        <v>0</v>
      </c>
      <c r="V126" s="3">
        <f t="shared" si="22"/>
        <v>1</v>
      </c>
      <c r="W126" s="9">
        <f t="shared" si="23"/>
        <v>0</v>
      </c>
      <c r="AB126" s="111" t="s">
        <v>223</v>
      </c>
      <c r="AC126" s="22"/>
      <c r="AD126" s="22"/>
      <c r="AE126" s="22"/>
      <c r="AF126" s="22"/>
      <c r="AG126" s="22"/>
      <c r="AH126" s="22"/>
      <c r="AI126" s="22"/>
      <c r="AJ126" s="22"/>
      <c r="AK126" s="22">
        <v>-5.460001006873938E-9</v>
      </c>
      <c r="AL126" s="22">
        <v>4.8713632017083341E-9</v>
      </c>
      <c r="AM126" s="22">
        <v>2.2268528798718989E-8</v>
      </c>
      <c r="AN126" s="22">
        <v>2.1320163290372562E-7</v>
      </c>
      <c r="AO126" s="22">
        <v>-1.9682541880783333E-6</v>
      </c>
      <c r="AP126" s="22"/>
      <c r="AQ126" s="22"/>
      <c r="AR126" s="22"/>
      <c r="AS126" s="22"/>
      <c r="AT126" s="22"/>
      <c r="AU126" s="22"/>
      <c r="AV126" s="22"/>
      <c r="AW126" s="22"/>
      <c r="AX126" s="22">
        <v>0</v>
      </c>
      <c r="AY126" s="22">
        <v>0</v>
      </c>
      <c r="AZ126" s="22">
        <v>0</v>
      </c>
      <c r="BA126" s="22">
        <v>0</v>
      </c>
      <c r="BB126" s="22">
        <v>0</v>
      </c>
      <c r="BC126" s="22">
        <v>-1.7333726641810543E-6</v>
      </c>
      <c r="BD126" s="22">
        <v>0</v>
      </c>
    </row>
    <row r="127" spans="1:56" x14ac:dyDescent="0.25">
      <c r="A127" t="s">
        <v>419</v>
      </c>
      <c r="B127">
        <v>7</v>
      </c>
      <c r="C127" t="s">
        <v>905</v>
      </c>
      <c r="D127" t="s">
        <v>477</v>
      </c>
      <c r="E127">
        <v>17</v>
      </c>
      <c r="F127">
        <v>8.51</v>
      </c>
      <c r="G127">
        <v>46.24</v>
      </c>
      <c r="H127" t="s">
        <v>477</v>
      </c>
      <c r="I127" t="s">
        <v>477</v>
      </c>
      <c r="J127" t="s">
        <v>20</v>
      </c>
      <c r="K127">
        <f t="shared" si="12"/>
        <v>114.48000000000002</v>
      </c>
      <c r="L127">
        <f t="shared" si="13"/>
        <v>430.3667999999999</v>
      </c>
      <c r="M127" t="str">
        <f t="shared" si="14"/>
        <v>matty-7</v>
      </c>
      <c r="N127" t="str">
        <f>INDEX(Scores!$A$2:$A$11,INDEX(Scores!$AA$2:$AA$131,MATCH(C127,Scores!$AB$2:$AB$131,0)))</f>
        <v>matty</v>
      </c>
      <c r="O127">
        <f t="shared" si="15"/>
        <v>87.490000000000009</v>
      </c>
      <c r="P127">
        <f t="shared" si="16"/>
        <v>277.88929999999999</v>
      </c>
      <c r="Q127" s="3">
        <f t="shared" si="17"/>
        <v>0.84474748784368747</v>
      </c>
      <c r="R127" s="3">
        <f t="shared" si="18"/>
        <v>0.9160453143170072</v>
      </c>
      <c r="S127" s="9">
        <f t="shared" si="19"/>
        <v>7.1297826473319725E-2</v>
      </c>
      <c r="T127">
        <f t="shared" si="20"/>
        <v>82</v>
      </c>
      <c r="U127">
        <f t="shared" si="21"/>
        <v>65</v>
      </c>
      <c r="V127" s="3">
        <f t="shared" si="22"/>
        <v>0.89461858110736003</v>
      </c>
      <c r="W127" s="9">
        <f t="shared" si="23"/>
        <v>0.10538141889263997</v>
      </c>
      <c r="AB127" s="111" t="s">
        <v>285</v>
      </c>
      <c r="AC127" s="22"/>
      <c r="AD127" s="22"/>
      <c r="AE127" s="22"/>
      <c r="AF127" s="22"/>
      <c r="AG127" s="22">
        <v>-9.8056894995979249E-6</v>
      </c>
      <c r="AH127" s="22">
        <v>2.0378519540731332E-6</v>
      </c>
      <c r="AI127" s="22">
        <v>8.4663799571060849E-7</v>
      </c>
      <c r="AJ127" s="22">
        <v>4.296714462004303E-8</v>
      </c>
      <c r="AK127" s="22"/>
      <c r="AL127" s="22"/>
      <c r="AM127" s="22"/>
      <c r="AN127" s="22"/>
      <c r="AO127" s="22"/>
      <c r="AP127" s="22"/>
      <c r="AQ127" s="22"/>
      <c r="AR127" s="22"/>
      <c r="AS127" s="22"/>
      <c r="AT127" s="22">
        <v>0</v>
      </c>
      <c r="AU127" s="22">
        <v>0</v>
      </c>
      <c r="AV127" s="22">
        <v>0</v>
      </c>
      <c r="AW127" s="22">
        <v>0</v>
      </c>
      <c r="AX127" s="22"/>
      <c r="AY127" s="22"/>
      <c r="AZ127" s="22"/>
      <c r="BA127" s="22"/>
      <c r="BB127" s="22"/>
      <c r="BC127" s="22">
        <v>-6.8782324051941401E-6</v>
      </c>
      <c r="BD127" s="22">
        <v>0</v>
      </c>
    </row>
    <row r="128" spans="1:56" x14ac:dyDescent="0.25">
      <c r="A128" t="s">
        <v>201</v>
      </c>
      <c r="B128">
        <v>9</v>
      </c>
      <c r="C128" t="s">
        <v>915</v>
      </c>
      <c r="D128" t="s">
        <v>469</v>
      </c>
      <c r="E128">
        <v>9</v>
      </c>
      <c r="F128">
        <v>7.19</v>
      </c>
      <c r="G128">
        <v>24.3049</v>
      </c>
      <c r="H128" t="s">
        <v>47</v>
      </c>
      <c r="I128" t="s">
        <v>47</v>
      </c>
      <c r="J128" t="s">
        <v>16</v>
      </c>
      <c r="K128">
        <f t="shared" si="12"/>
        <v>90.69</v>
      </c>
      <c r="L128">
        <f t="shared" si="13"/>
        <v>356.05790000000002</v>
      </c>
      <c r="M128" t="str">
        <f t="shared" si="14"/>
        <v>devon-9</v>
      </c>
      <c r="N128" t="str">
        <f>INDEX(Scores!$A$2:$A$11,INDEX(Scores!$AA$2:$AA$131,MATCH(C128,Scores!$AB$2:$AB$131,0)))</f>
        <v>devon</v>
      </c>
      <c r="O128">
        <f t="shared" si="15"/>
        <v>104.66</v>
      </c>
      <c r="P128">
        <f t="shared" si="16"/>
        <v>474.51049999999998</v>
      </c>
      <c r="Q128" s="3">
        <f t="shared" si="17"/>
        <v>0.31393045538359282</v>
      </c>
      <c r="R128" s="3">
        <f t="shared" si="18"/>
        <v>0.33423538285442805</v>
      </c>
      <c r="S128" s="9">
        <f t="shared" si="19"/>
        <v>2.0304927470835232E-2</v>
      </c>
      <c r="T128">
        <f t="shared" si="20"/>
        <v>89</v>
      </c>
      <c r="U128">
        <f t="shared" si="21"/>
        <v>81</v>
      </c>
      <c r="V128" s="3">
        <f t="shared" si="22"/>
        <v>0.89536551099074713</v>
      </c>
      <c r="W128" s="9">
        <f t="shared" si="23"/>
        <v>0.10463448900925287</v>
      </c>
      <c r="AB128" s="111" t="s">
        <v>159</v>
      </c>
      <c r="AC128" s="22"/>
      <c r="AD128" s="22"/>
      <c r="AE128" s="22"/>
      <c r="AF128" s="22">
        <v>2.8407979413280771E-8</v>
      </c>
      <c r="AG128" s="22">
        <v>9.5949330239930575E-6</v>
      </c>
      <c r="AH128" s="22">
        <v>-3.4437166035461431E-6</v>
      </c>
      <c r="AI128" s="22">
        <v>9.5119192611292647E-7</v>
      </c>
      <c r="AJ128" s="22">
        <v>3.9034427024020601E-8</v>
      </c>
      <c r="AK128" s="22"/>
      <c r="AL128" s="22"/>
      <c r="AM128" s="22"/>
      <c r="AN128" s="22"/>
      <c r="AO128" s="22"/>
      <c r="AP128" s="22"/>
      <c r="AQ128" s="22"/>
      <c r="AR128" s="22"/>
      <c r="AS128" s="22">
        <v>0</v>
      </c>
      <c r="AT128" s="22">
        <v>0</v>
      </c>
      <c r="AU128" s="22">
        <v>0</v>
      </c>
      <c r="AV128" s="22">
        <v>0</v>
      </c>
      <c r="AW128" s="22">
        <v>0</v>
      </c>
      <c r="AX128" s="22"/>
      <c r="AY128" s="22"/>
      <c r="AZ128" s="22"/>
      <c r="BA128" s="22"/>
      <c r="BB128" s="22"/>
      <c r="BC128" s="22">
        <v>7.1698507529971423E-6</v>
      </c>
      <c r="BD128" s="22">
        <v>0</v>
      </c>
    </row>
    <row r="129" spans="1:56" x14ac:dyDescent="0.25">
      <c r="A129" t="s">
        <v>65</v>
      </c>
      <c r="B129">
        <v>10</v>
      </c>
      <c r="C129" t="s">
        <v>932</v>
      </c>
      <c r="D129" t="s">
        <v>467</v>
      </c>
      <c r="E129">
        <v>17</v>
      </c>
      <c r="F129">
        <v>19.84</v>
      </c>
      <c r="G129">
        <v>48.302500000000002</v>
      </c>
      <c r="H129" t="s">
        <v>15</v>
      </c>
      <c r="I129" t="s">
        <v>15</v>
      </c>
      <c r="J129" t="s">
        <v>35</v>
      </c>
      <c r="K129">
        <f t="shared" si="12"/>
        <v>101.66000000000001</v>
      </c>
      <c r="L129">
        <f t="shared" si="13"/>
        <v>359.87040000000002</v>
      </c>
      <c r="M129" t="str">
        <f t="shared" si="14"/>
        <v>lucas-10</v>
      </c>
      <c r="N129" t="str">
        <f>INDEX(Scores!$A$2:$A$11,INDEX(Scores!$AA$2:$AA$131,MATCH(C129,Scores!$AB$2:$AB$131,0)))</f>
        <v>lucas</v>
      </c>
      <c r="O129">
        <f t="shared" si="15"/>
        <v>0</v>
      </c>
      <c r="P129">
        <f t="shared" si="16"/>
        <v>0</v>
      </c>
      <c r="Q129" s="3">
        <f t="shared" si="17"/>
        <v>0.99999995813888032</v>
      </c>
      <c r="R129" s="3">
        <f t="shared" si="18"/>
        <v>0.99999998918671851</v>
      </c>
      <c r="S129" s="9">
        <f t="shared" si="19"/>
        <v>3.1047838189302013E-8</v>
      </c>
      <c r="T129">
        <f t="shared" si="20"/>
        <v>97</v>
      </c>
      <c r="U129">
        <f t="shared" si="21"/>
        <v>0</v>
      </c>
      <c r="V129" s="3">
        <f t="shared" si="22"/>
        <v>1</v>
      </c>
      <c r="W129" s="9">
        <f t="shared" si="23"/>
        <v>0</v>
      </c>
      <c r="AB129" s="111" t="s">
        <v>206</v>
      </c>
      <c r="AC129" s="22"/>
      <c r="AD129" s="22"/>
      <c r="AE129" s="22"/>
      <c r="AF129" s="22"/>
      <c r="AG129" s="22">
        <v>7.4673133831915095E-7</v>
      </c>
      <c r="AH129" s="22"/>
      <c r="AI129" s="22"/>
      <c r="AJ129" s="22"/>
      <c r="AK129" s="22">
        <v>-9.4560671815013819E-7</v>
      </c>
      <c r="AL129" s="22"/>
      <c r="AM129" s="22"/>
      <c r="AN129" s="22"/>
      <c r="AO129" s="22"/>
      <c r="AP129" s="22"/>
      <c r="AQ129" s="22"/>
      <c r="AR129" s="22"/>
      <c r="AS129" s="22"/>
      <c r="AT129" s="22">
        <v>0</v>
      </c>
      <c r="AU129" s="22"/>
      <c r="AV129" s="22"/>
      <c r="AW129" s="22"/>
      <c r="AX129" s="22">
        <v>0</v>
      </c>
      <c r="AY129" s="22"/>
      <c r="AZ129" s="22"/>
      <c r="BA129" s="22"/>
      <c r="BB129" s="22"/>
      <c r="BC129" s="22">
        <v>-1.9887537983098724E-7</v>
      </c>
      <c r="BD129" s="22">
        <v>0</v>
      </c>
    </row>
    <row r="130" spans="1:56" x14ac:dyDescent="0.25">
      <c r="A130" t="s">
        <v>61</v>
      </c>
      <c r="B130">
        <v>5</v>
      </c>
      <c r="C130" t="s">
        <v>888</v>
      </c>
      <c r="D130" t="s">
        <v>467</v>
      </c>
      <c r="E130">
        <v>18</v>
      </c>
      <c r="F130">
        <v>21.72</v>
      </c>
      <c r="G130">
        <v>36.602499999999999</v>
      </c>
      <c r="H130" t="s">
        <v>15</v>
      </c>
      <c r="I130" t="s">
        <v>15</v>
      </c>
      <c r="J130" t="s">
        <v>55</v>
      </c>
      <c r="K130">
        <f t="shared" ref="K130:K193" si="24">SUMIF($C$2:$C$1301,$C130,$F$2:$F$1301)</f>
        <v>117.25999999999999</v>
      </c>
      <c r="L130">
        <f t="shared" ref="L130:L193" si="25">SUMIF($C$2:$C$1301,$C130,$G$2:$G$1301)</f>
        <v>422.9941</v>
      </c>
      <c r="M130" t="str">
        <f t="shared" ref="M130:M193" si="26">N130&amp;"-"&amp;B130</f>
        <v>matty-5</v>
      </c>
      <c r="N130" t="str">
        <f>INDEX(Scores!$A$2:$A$11,INDEX(Scores!$AA$2:$AA$131,MATCH(C130,Scores!$AB$2:$AB$131,0)))</f>
        <v>matty</v>
      </c>
      <c r="O130">
        <f t="shared" ref="O130:O193" si="27">SUMIF($C$2:$C$1301,$M130,$F$2:$F$1301)</f>
        <v>99.23</v>
      </c>
      <c r="P130">
        <f t="shared" ref="P130:P193" si="28">SUMIF($C$2:$C$1301,$M130,$G$2:$G$1301)</f>
        <v>364.64739999999995</v>
      </c>
      <c r="Q130" s="3">
        <f t="shared" ref="Q130:Q193" si="29">_xlfn.NORM.DIST(0,$O130-$K130,SQRT($L130+$P130),TRUE)</f>
        <v>0.73970568419743477</v>
      </c>
      <c r="R130" s="3">
        <f t="shared" ref="R130:R193" si="30">_xlfn.NORM.DIST(0,$O130-$K130-($E130-$F130),SQRT($L130+$P130-$G130),TRUE)</f>
        <v>0.69922253755004071</v>
      </c>
      <c r="S130" s="9">
        <f t="shared" ref="S130:S193" si="31">R130-Q130</f>
        <v>-4.0483146647394053E-2</v>
      </c>
      <c r="T130">
        <f t="shared" ref="T130:T193" si="32">SUMIF($C$2:$C$1301,$C130,$E$2:$E$1301)</f>
        <v>110</v>
      </c>
      <c r="U130">
        <f t="shared" ref="U130:U193" si="33">SUMIF($C$2:$C$1301,$M130,$E$2:$E$1301)</f>
        <v>106</v>
      </c>
      <c r="V130" s="3">
        <f t="shared" ref="V130:V193" si="34">_xlfn.NORM.DIST(0,U130-T130+E130-F130,SQRT(G130),TRUE)</f>
        <v>0.89902808326031325</v>
      </c>
      <c r="W130" s="9">
        <f t="shared" ref="W130:W193" si="35">IFERROR(IF(U130&gt;T130,0,1)-V130,0)</f>
        <v>0.10097191673968675</v>
      </c>
      <c r="AB130" s="111" t="s">
        <v>447</v>
      </c>
      <c r="AC130" s="22">
        <v>2.4406108800612003E-8</v>
      </c>
      <c r="AD130" s="22">
        <v>-1.2066550836298262E-7</v>
      </c>
      <c r="AE130" s="22">
        <v>-7.8703831785098544E-7</v>
      </c>
      <c r="AF130" s="22">
        <v>-2.8806113161472524E-8</v>
      </c>
      <c r="AG130" s="22">
        <v>9.1004053666132734E-6</v>
      </c>
      <c r="AH130" s="22">
        <v>2.8139886482092535E-6</v>
      </c>
      <c r="AI130" s="22">
        <v>1.3232244850946984E-6</v>
      </c>
      <c r="AJ130" s="22">
        <v>6.1862645006627304E-8</v>
      </c>
      <c r="AK130" s="22">
        <v>4.2612930706287244E-7</v>
      </c>
      <c r="AL130" s="22"/>
      <c r="AM130" s="22"/>
      <c r="AN130" s="22"/>
      <c r="AO130" s="22"/>
      <c r="AP130" s="22">
        <v>0</v>
      </c>
      <c r="AQ130" s="22">
        <v>0</v>
      </c>
      <c r="AR130" s="22">
        <v>0</v>
      </c>
      <c r="AS130" s="22">
        <v>0</v>
      </c>
      <c r="AT130" s="22">
        <v>0</v>
      </c>
      <c r="AU130" s="22">
        <v>0</v>
      </c>
      <c r="AV130" s="22">
        <v>0</v>
      </c>
      <c r="AW130" s="22">
        <v>0</v>
      </c>
      <c r="AX130" s="22">
        <v>0</v>
      </c>
      <c r="AY130" s="22"/>
      <c r="AZ130" s="22"/>
      <c r="BA130" s="22"/>
      <c r="BB130" s="22"/>
      <c r="BC130" s="22">
        <v>1.2813506621411896E-5</v>
      </c>
      <c r="BD130" s="22">
        <v>0</v>
      </c>
    </row>
    <row r="131" spans="1:56" x14ac:dyDescent="0.25">
      <c r="A131" t="s">
        <v>63</v>
      </c>
      <c r="B131">
        <v>7</v>
      </c>
      <c r="C131" t="s">
        <v>913</v>
      </c>
      <c r="D131" t="s">
        <v>467</v>
      </c>
      <c r="E131">
        <v>9</v>
      </c>
      <c r="F131">
        <v>13.86</v>
      </c>
      <c r="G131">
        <v>46.922499999999999</v>
      </c>
      <c r="H131" t="s">
        <v>15</v>
      </c>
      <c r="I131" t="s">
        <v>15</v>
      </c>
      <c r="J131" t="s">
        <v>16</v>
      </c>
      <c r="K131">
        <f t="shared" si="24"/>
        <v>86.09</v>
      </c>
      <c r="L131">
        <f t="shared" si="25"/>
        <v>350.80079999999998</v>
      </c>
      <c r="M131" t="str">
        <f t="shared" si="26"/>
        <v>seth-7</v>
      </c>
      <c r="N131" t="str">
        <f>INDEX(Scores!$A$2:$A$11,INDEX(Scores!$AA$2:$AA$131,MATCH(C131,Scores!$AB$2:$AB$131,0)))</f>
        <v>seth</v>
      </c>
      <c r="O131">
        <f t="shared" si="27"/>
        <v>96.25</v>
      </c>
      <c r="P131">
        <f t="shared" si="28"/>
        <v>294.3</v>
      </c>
      <c r="Q131" s="3">
        <f t="shared" si="29"/>
        <v>0.34457149944219723</v>
      </c>
      <c r="R131" s="3">
        <f t="shared" si="30"/>
        <v>0.26956737908938633</v>
      </c>
      <c r="S131" s="9">
        <f t="shared" si="31"/>
        <v>-7.5004120352810899E-2</v>
      </c>
      <c r="T131">
        <f t="shared" si="32"/>
        <v>85</v>
      </c>
      <c r="U131">
        <f t="shared" si="33"/>
        <v>81</v>
      </c>
      <c r="V131" s="3">
        <f t="shared" si="34"/>
        <v>0.90206892361924607</v>
      </c>
      <c r="W131" s="9">
        <f t="shared" si="35"/>
        <v>9.7931076380753934E-2</v>
      </c>
      <c r="AB131" s="111" t="s">
        <v>136</v>
      </c>
      <c r="AC131" s="22">
        <v>-1.0974954278708537E-10</v>
      </c>
      <c r="AD131" s="22">
        <v>2.2487445905383652E-8</v>
      </c>
      <c r="AE131" s="22">
        <v>3.1228940844396647E-7</v>
      </c>
      <c r="AF131" s="22">
        <v>-7.9050020973525648E-8</v>
      </c>
      <c r="AG131" s="22"/>
      <c r="AH131" s="22">
        <v>2.9464411925861356E-6</v>
      </c>
      <c r="AI131" s="22"/>
      <c r="AJ131" s="22"/>
      <c r="AK131" s="22"/>
      <c r="AL131" s="22"/>
      <c r="AM131" s="22"/>
      <c r="AN131" s="22"/>
      <c r="AO131" s="22"/>
      <c r="AP131" s="22">
        <v>0</v>
      </c>
      <c r="AQ131" s="22">
        <v>0</v>
      </c>
      <c r="AR131" s="22">
        <v>0</v>
      </c>
      <c r="AS131" s="22">
        <v>0</v>
      </c>
      <c r="AT131" s="22"/>
      <c r="AU131" s="22">
        <v>0</v>
      </c>
      <c r="AV131" s="22"/>
      <c r="AW131" s="22"/>
      <c r="AX131" s="22"/>
      <c r="AY131" s="22"/>
      <c r="AZ131" s="22"/>
      <c r="BA131" s="22"/>
      <c r="BB131" s="22"/>
      <c r="BC131" s="22">
        <v>3.202058276419173E-6</v>
      </c>
      <c r="BD131" s="22">
        <v>0</v>
      </c>
    </row>
    <row r="132" spans="1:56" x14ac:dyDescent="0.25">
      <c r="A132" t="s">
        <v>121</v>
      </c>
      <c r="B132">
        <v>11</v>
      </c>
      <c r="C132" t="s">
        <v>941</v>
      </c>
      <c r="D132" t="s">
        <v>469</v>
      </c>
      <c r="E132">
        <v>9</v>
      </c>
      <c r="F132">
        <v>7.26</v>
      </c>
      <c r="G132">
        <v>31.36</v>
      </c>
      <c r="H132" t="s">
        <v>47</v>
      </c>
      <c r="I132" t="s">
        <v>47</v>
      </c>
      <c r="J132" t="s">
        <v>27</v>
      </c>
      <c r="K132">
        <f t="shared" si="24"/>
        <v>98.580000000000013</v>
      </c>
      <c r="L132">
        <f t="shared" si="25"/>
        <v>364.4375</v>
      </c>
      <c r="M132" t="str">
        <f t="shared" si="26"/>
        <v>matty-11</v>
      </c>
      <c r="N132" t="str">
        <f>INDEX(Scores!$A$2:$A$11,INDEX(Scores!$AA$2:$AA$131,MATCH(C132,Scores!$AB$2:$AB$131,0)))</f>
        <v>matty</v>
      </c>
      <c r="O132">
        <f t="shared" si="27"/>
        <v>88.670000000000016</v>
      </c>
      <c r="P132">
        <f t="shared" si="28"/>
        <v>334.39179999999999</v>
      </c>
      <c r="Q132" s="3">
        <f t="shared" si="29"/>
        <v>0.64612380466415886</v>
      </c>
      <c r="R132" s="3">
        <f t="shared" si="30"/>
        <v>0.67398042922296753</v>
      </c>
      <c r="S132" s="9">
        <f t="shared" si="31"/>
        <v>2.7856624558808663E-2</v>
      </c>
      <c r="T132">
        <f t="shared" si="32"/>
        <v>111</v>
      </c>
      <c r="U132">
        <f t="shared" si="33"/>
        <v>102</v>
      </c>
      <c r="V132" s="3">
        <f t="shared" si="34"/>
        <v>0.90258606304721667</v>
      </c>
      <c r="W132" s="9">
        <f t="shared" si="35"/>
        <v>9.7413936952783331E-2</v>
      </c>
      <c r="AB132" s="111" t="s">
        <v>195</v>
      </c>
      <c r="AC132" s="22"/>
      <c r="AD132" s="22"/>
      <c r="AE132" s="22">
        <v>-6.803799335042271E-8</v>
      </c>
      <c r="AF132" s="22"/>
      <c r="AG132" s="22"/>
      <c r="AH132" s="22"/>
      <c r="AI132" s="22"/>
      <c r="AJ132" s="22"/>
      <c r="AK132" s="22"/>
      <c r="AL132" s="22"/>
      <c r="AM132" s="22"/>
      <c r="AN132" s="22"/>
      <c r="AO132" s="22"/>
      <c r="AP132" s="22"/>
      <c r="AQ132" s="22"/>
      <c r="AR132" s="22">
        <v>0</v>
      </c>
      <c r="AS132" s="22"/>
      <c r="AT132" s="22"/>
      <c r="AU132" s="22"/>
      <c r="AV132" s="22"/>
      <c r="AW132" s="22"/>
      <c r="AX132" s="22"/>
      <c r="AY132" s="22"/>
      <c r="AZ132" s="22"/>
      <c r="BA132" s="22"/>
      <c r="BB132" s="22"/>
      <c r="BC132" s="22">
        <v>-6.803799335042271E-8</v>
      </c>
      <c r="BD132" s="22">
        <v>0</v>
      </c>
    </row>
    <row r="133" spans="1:56" x14ac:dyDescent="0.25">
      <c r="A133" t="s">
        <v>258</v>
      </c>
      <c r="B133">
        <v>13</v>
      </c>
      <c r="C133" t="s">
        <v>975</v>
      </c>
      <c r="D133" t="s">
        <v>469</v>
      </c>
      <c r="E133">
        <v>10</v>
      </c>
      <c r="F133">
        <v>9.75</v>
      </c>
      <c r="G133">
        <v>44.89</v>
      </c>
      <c r="H133" t="s">
        <v>47</v>
      </c>
      <c r="I133" t="s">
        <v>47</v>
      </c>
      <c r="J133" t="s">
        <v>49</v>
      </c>
      <c r="K133">
        <f t="shared" si="24"/>
        <v>88.16</v>
      </c>
      <c r="L133">
        <f t="shared" si="25"/>
        <v>330.99250000000001</v>
      </c>
      <c r="M133" t="str">
        <f t="shared" si="26"/>
        <v>aj-13</v>
      </c>
      <c r="N133" t="str">
        <f>INDEX(Scores!$A$2:$A$11,INDEX(Scores!$AA$2:$AA$131,MATCH(C133,Scores!$AB$2:$AB$131,0)))</f>
        <v>aj</v>
      </c>
      <c r="O133">
        <f t="shared" si="27"/>
        <v>116.54</v>
      </c>
      <c r="P133">
        <f t="shared" si="28"/>
        <v>371.12040000000002</v>
      </c>
      <c r="Q133" s="3">
        <f t="shared" si="29"/>
        <v>0.14207393469061222</v>
      </c>
      <c r="R133" s="3">
        <f t="shared" si="30"/>
        <v>0.13626175515155897</v>
      </c>
      <c r="S133" s="9">
        <f t="shared" si="31"/>
        <v>-5.8121795390532471E-3</v>
      </c>
      <c r="T133">
        <f t="shared" si="32"/>
        <v>117</v>
      </c>
      <c r="U133">
        <f t="shared" si="33"/>
        <v>108</v>
      </c>
      <c r="V133" s="3">
        <f t="shared" si="34"/>
        <v>0.90421864547173303</v>
      </c>
      <c r="W133" s="9">
        <f t="shared" si="35"/>
        <v>9.5781354528266971E-2</v>
      </c>
      <c r="AB133" s="111" t="s">
        <v>140</v>
      </c>
      <c r="AC133" s="22">
        <v>7.7532741338259825E-9</v>
      </c>
      <c r="AD133" s="22">
        <v>-1.6321146134590236E-7</v>
      </c>
      <c r="AE133" s="22"/>
      <c r="AF133" s="22"/>
      <c r="AG133" s="22"/>
      <c r="AH133" s="22"/>
      <c r="AI133" s="22"/>
      <c r="AJ133" s="22"/>
      <c r="AK133" s="22"/>
      <c r="AL133" s="22"/>
      <c r="AM133" s="22"/>
      <c r="AN133" s="22"/>
      <c r="AO133" s="22"/>
      <c r="AP133" s="22">
        <v>0</v>
      </c>
      <c r="AQ133" s="22">
        <v>0</v>
      </c>
      <c r="AR133" s="22"/>
      <c r="AS133" s="22"/>
      <c r="AT133" s="22"/>
      <c r="AU133" s="22"/>
      <c r="AV133" s="22"/>
      <c r="AW133" s="22"/>
      <c r="AX133" s="22"/>
      <c r="AY133" s="22"/>
      <c r="AZ133" s="22"/>
      <c r="BA133" s="22"/>
      <c r="BB133" s="22"/>
      <c r="BC133" s="22">
        <v>-1.5545818721207638E-7</v>
      </c>
      <c r="BD133" s="22">
        <v>0</v>
      </c>
    </row>
    <row r="134" spans="1:56" x14ac:dyDescent="0.25">
      <c r="A134" t="s">
        <v>43</v>
      </c>
      <c r="B134">
        <v>12</v>
      </c>
      <c r="C134" t="s">
        <v>982</v>
      </c>
      <c r="D134" t="s">
        <v>467</v>
      </c>
      <c r="E134">
        <v>15</v>
      </c>
      <c r="F134">
        <v>21.25</v>
      </c>
      <c r="G134">
        <v>49.702500000000001</v>
      </c>
      <c r="H134" t="s">
        <v>15</v>
      </c>
      <c r="I134" t="s">
        <v>15</v>
      </c>
      <c r="J134" t="s">
        <v>44</v>
      </c>
      <c r="K134">
        <f t="shared" si="24"/>
        <v>102.15</v>
      </c>
      <c r="L134">
        <f t="shared" si="25"/>
        <v>468.55759999999998</v>
      </c>
      <c r="M134" t="str">
        <f t="shared" si="26"/>
        <v>chad-12</v>
      </c>
      <c r="N134" t="str">
        <f>INDEX(Scores!$A$2:$A$11,INDEX(Scores!$AA$2:$AA$131,MATCH(C134,Scores!$AB$2:$AB$131,0)))</f>
        <v>chad</v>
      </c>
      <c r="O134">
        <f t="shared" si="27"/>
        <v>115.8</v>
      </c>
      <c r="P134">
        <f t="shared" si="28"/>
        <v>455.64659999999998</v>
      </c>
      <c r="Q134" s="3">
        <f t="shared" si="29"/>
        <v>0.3267149551815689</v>
      </c>
      <c r="R134" s="3">
        <f t="shared" si="30"/>
        <v>0.25049450430692743</v>
      </c>
      <c r="S134" s="9">
        <f t="shared" si="31"/>
        <v>-7.6220450874641466E-2</v>
      </c>
      <c r="T134">
        <f t="shared" si="32"/>
        <v>95</v>
      </c>
      <c r="U134">
        <f t="shared" si="33"/>
        <v>92</v>
      </c>
      <c r="V134" s="3">
        <f t="shared" si="34"/>
        <v>0.90524950421650474</v>
      </c>
      <c r="W134" s="9">
        <f t="shared" si="35"/>
        <v>9.4750495783495259E-2</v>
      </c>
      <c r="AB134" s="111" t="s">
        <v>415</v>
      </c>
      <c r="AC134" s="22">
        <v>-2.8374250982121652E-7</v>
      </c>
      <c r="AD134" s="22"/>
      <c r="AE134" s="22"/>
      <c r="AF134" s="22"/>
      <c r="AG134" s="22"/>
      <c r="AH134" s="22"/>
      <c r="AI134" s="22"/>
      <c r="AJ134" s="22"/>
      <c r="AK134" s="22"/>
      <c r="AL134" s="22"/>
      <c r="AM134" s="22"/>
      <c r="AN134" s="22"/>
      <c r="AO134" s="22"/>
      <c r="AP134" s="22">
        <v>0</v>
      </c>
      <c r="AQ134" s="22"/>
      <c r="AR134" s="22"/>
      <c r="AS134" s="22"/>
      <c r="AT134" s="22"/>
      <c r="AU134" s="22"/>
      <c r="AV134" s="22"/>
      <c r="AW134" s="22"/>
      <c r="AX134" s="22"/>
      <c r="AY134" s="22"/>
      <c r="AZ134" s="22"/>
      <c r="BA134" s="22"/>
      <c r="BB134" s="22"/>
      <c r="BC134" s="22">
        <v>-2.8374250982121652E-7</v>
      </c>
      <c r="BD134" s="22">
        <v>0</v>
      </c>
    </row>
    <row r="135" spans="1:56" x14ac:dyDescent="0.25">
      <c r="A135" t="s">
        <v>71</v>
      </c>
      <c r="B135">
        <v>13</v>
      </c>
      <c r="C135" t="s">
        <v>975</v>
      </c>
      <c r="D135" t="s">
        <v>467</v>
      </c>
      <c r="E135">
        <v>15</v>
      </c>
      <c r="F135">
        <v>16.79</v>
      </c>
      <c r="G135">
        <v>67.568399999999997</v>
      </c>
      <c r="H135" t="s">
        <v>15</v>
      </c>
      <c r="I135" t="s">
        <v>15</v>
      </c>
      <c r="J135" t="s">
        <v>49</v>
      </c>
      <c r="K135">
        <f t="shared" si="24"/>
        <v>88.16</v>
      </c>
      <c r="L135">
        <f t="shared" si="25"/>
        <v>330.99250000000001</v>
      </c>
      <c r="M135" t="str">
        <f t="shared" si="26"/>
        <v>aj-13</v>
      </c>
      <c r="N135" t="str">
        <f>INDEX(Scores!$A$2:$A$11,INDEX(Scores!$AA$2:$AA$131,MATCH(C135,Scores!$AB$2:$AB$131,0)))</f>
        <v>aj</v>
      </c>
      <c r="O135">
        <f t="shared" si="27"/>
        <v>116.54</v>
      </c>
      <c r="P135">
        <f t="shared" si="28"/>
        <v>371.12040000000002</v>
      </c>
      <c r="Q135" s="3">
        <f t="shared" si="29"/>
        <v>0.14207393469061222</v>
      </c>
      <c r="R135" s="3">
        <f t="shared" si="30"/>
        <v>0.11551894533792235</v>
      </c>
      <c r="S135" s="9">
        <f t="shared" si="31"/>
        <v>-2.6554989352689864E-2</v>
      </c>
      <c r="T135">
        <f t="shared" si="32"/>
        <v>117</v>
      </c>
      <c r="U135">
        <f t="shared" si="33"/>
        <v>108</v>
      </c>
      <c r="V135" s="3">
        <f t="shared" si="34"/>
        <v>0.90534989206964089</v>
      </c>
      <c r="W135" s="9">
        <f t="shared" si="35"/>
        <v>9.4650107930359106E-2</v>
      </c>
      <c r="AB135" s="111" t="s">
        <v>251</v>
      </c>
      <c r="AC135" s="22"/>
      <c r="AD135" s="22"/>
      <c r="AE135" s="22"/>
      <c r="AF135" s="22"/>
      <c r="AG135" s="22"/>
      <c r="AH135" s="22"/>
      <c r="AI135" s="22">
        <v>-3.2751751211090863E-7</v>
      </c>
      <c r="AJ135" s="22">
        <v>-2.1485973655810398E-7</v>
      </c>
      <c r="AK135" s="22">
        <v>3.8242215039119287E-7</v>
      </c>
      <c r="AL135" s="22">
        <v>1.8272377177996901E-7</v>
      </c>
      <c r="AM135" s="22"/>
      <c r="AN135" s="22">
        <v>3.1914156184420506E-7</v>
      </c>
      <c r="AO135" s="22">
        <v>2.5272841100987264E-6</v>
      </c>
      <c r="AP135" s="22"/>
      <c r="AQ135" s="22"/>
      <c r="AR135" s="22"/>
      <c r="AS135" s="22"/>
      <c r="AT135" s="22"/>
      <c r="AU135" s="22"/>
      <c r="AV135" s="22">
        <v>0</v>
      </c>
      <c r="AW135" s="22">
        <v>0</v>
      </c>
      <c r="AX135" s="22">
        <v>0</v>
      </c>
      <c r="AY135" s="22">
        <v>0</v>
      </c>
      <c r="AZ135" s="22"/>
      <c r="BA135" s="22">
        <v>0</v>
      </c>
      <c r="BB135" s="22">
        <v>0</v>
      </c>
      <c r="BC135" s="22">
        <v>2.8691943454450808E-6</v>
      </c>
      <c r="BD135" s="22">
        <v>0</v>
      </c>
    </row>
    <row r="136" spans="1:56" x14ac:dyDescent="0.25">
      <c r="A136" t="s">
        <v>57</v>
      </c>
      <c r="B136">
        <v>5</v>
      </c>
      <c r="C136" t="s">
        <v>885</v>
      </c>
      <c r="D136" t="s">
        <v>468</v>
      </c>
      <c r="E136">
        <v>12</v>
      </c>
      <c r="F136">
        <v>19.22</v>
      </c>
      <c r="G136">
        <v>85.932900000000004</v>
      </c>
      <c r="H136" t="s">
        <v>47</v>
      </c>
      <c r="I136" t="s">
        <v>47</v>
      </c>
      <c r="J136" t="s">
        <v>35</v>
      </c>
      <c r="K136">
        <f t="shared" si="24"/>
        <v>93.5</v>
      </c>
      <c r="L136">
        <f t="shared" si="25"/>
        <v>346.9006</v>
      </c>
      <c r="M136" t="str">
        <f t="shared" si="26"/>
        <v>cory-5</v>
      </c>
      <c r="N136" t="str">
        <f>INDEX(Scores!$A$2:$A$11,INDEX(Scores!$AA$2:$AA$131,MATCH(C136,Scores!$AB$2:$AB$131,0)))</f>
        <v>cory</v>
      </c>
      <c r="O136">
        <f t="shared" si="27"/>
        <v>109.91</v>
      </c>
      <c r="P136">
        <f t="shared" si="28"/>
        <v>349.51409999999998</v>
      </c>
      <c r="Q136" s="3">
        <f t="shared" si="29"/>
        <v>0.26702544199612877</v>
      </c>
      <c r="R136" s="3">
        <f t="shared" si="30"/>
        <v>0.16944188011249145</v>
      </c>
      <c r="S136" s="9">
        <f t="shared" si="31"/>
        <v>-9.7583561883637315E-2</v>
      </c>
      <c r="T136">
        <f t="shared" si="32"/>
        <v>105</v>
      </c>
      <c r="U136">
        <f t="shared" si="33"/>
        <v>100</v>
      </c>
      <c r="V136" s="3">
        <f t="shared" si="34"/>
        <v>0.90628680974829046</v>
      </c>
      <c r="W136" s="9">
        <f t="shared" si="35"/>
        <v>9.3713190251709544E-2</v>
      </c>
      <c r="AB136" s="111" t="s">
        <v>146</v>
      </c>
      <c r="AC136" s="22">
        <v>-3.5253633345888602E-10</v>
      </c>
      <c r="AD136" s="22">
        <v>-1.044481849898915E-7</v>
      </c>
      <c r="AE136" s="22"/>
      <c r="AF136" s="22"/>
      <c r="AG136" s="22"/>
      <c r="AH136" s="22"/>
      <c r="AI136" s="22"/>
      <c r="AJ136" s="22"/>
      <c r="AK136" s="22"/>
      <c r="AL136" s="22"/>
      <c r="AM136" s="22"/>
      <c r="AN136" s="22"/>
      <c r="AO136" s="22"/>
      <c r="AP136" s="22">
        <v>0</v>
      </c>
      <c r="AQ136" s="22">
        <v>0</v>
      </c>
      <c r="AR136" s="22"/>
      <c r="AS136" s="22"/>
      <c r="AT136" s="22"/>
      <c r="AU136" s="22"/>
      <c r="AV136" s="22"/>
      <c r="AW136" s="22"/>
      <c r="AX136" s="22"/>
      <c r="AY136" s="22"/>
      <c r="AZ136" s="22"/>
      <c r="BA136" s="22"/>
      <c r="BB136" s="22"/>
      <c r="BC136" s="22">
        <v>-1.0480072132335039E-7</v>
      </c>
      <c r="BD136" s="22">
        <v>0</v>
      </c>
    </row>
    <row r="137" spans="1:56" x14ac:dyDescent="0.25">
      <c r="A137" t="s">
        <v>132</v>
      </c>
      <c r="B137">
        <v>9</v>
      </c>
      <c r="C137" t="s">
        <v>979</v>
      </c>
      <c r="D137" t="s">
        <v>469</v>
      </c>
      <c r="E137">
        <v>17</v>
      </c>
      <c r="F137">
        <v>8.44</v>
      </c>
      <c r="G137">
        <v>51.122500000000002</v>
      </c>
      <c r="H137" t="s">
        <v>47</v>
      </c>
      <c r="I137" t="s">
        <v>47</v>
      </c>
      <c r="J137" t="s">
        <v>44</v>
      </c>
      <c r="K137">
        <f t="shared" si="24"/>
        <v>92.559999999999988</v>
      </c>
      <c r="L137">
        <f t="shared" si="25"/>
        <v>350.31569999999999</v>
      </c>
      <c r="M137" t="str">
        <f t="shared" si="26"/>
        <v>comp-9</v>
      </c>
      <c r="N137" t="str">
        <f>INDEX(Scores!$A$2:$A$11,INDEX(Scores!$AA$2:$AA$131,MATCH(C137,Scores!$AB$2:$AB$131,0)))</f>
        <v>comp</v>
      </c>
      <c r="O137">
        <f t="shared" si="27"/>
        <v>80.800000000000011</v>
      </c>
      <c r="P137">
        <f t="shared" si="28"/>
        <v>290.44450000000001</v>
      </c>
      <c r="Q137" s="3">
        <f t="shared" si="29"/>
        <v>0.67888350653659379</v>
      </c>
      <c r="R137" s="3">
        <f t="shared" si="30"/>
        <v>0.79865259813318124</v>
      </c>
      <c r="S137" s="9">
        <f t="shared" si="31"/>
        <v>0.11976909159658744</v>
      </c>
      <c r="T137">
        <f t="shared" si="32"/>
        <v>95</v>
      </c>
      <c r="U137">
        <f t="shared" si="33"/>
        <v>77</v>
      </c>
      <c r="V137" s="3">
        <f t="shared" si="34"/>
        <v>0.90662917806225174</v>
      </c>
      <c r="W137" s="9">
        <f t="shared" si="35"/>
        <v>9.3370821937748261E-2</v>
      </c>
      <c r="AB137" s="111" t="s">
        <v>196</v>
      </c>
      <c r="AC137" s="22"/>
      <c r="AD137" s="22"/>
      <c r="AE137" s="22"/>
      <c r="AF137" s="22"/>
      <c r="AG137" s="22">
        <v>-1.4530618466235268E-6</v>
      </c>
      <c r="AH137" s="22"/>
      <c r="AI137" s="22"/>
      <c r="AJ137" s="22">
        <v>-8.5392933835137796E-8</v>
      </c>
      <c r="AK137" s="22"/>
      <c r="AL137" s="22"/>
      <c r="AM137" s="22"/>
      <c r="AN137" s="22"/>
      <c r="AO137" s="22"/>
      <c r="AP137" s="22"/>
      <c r="AQ137" s="22"/>
      <c r="AR137" s="22"/>
      <c r="AS137" s="22"/>
      <c r="AT137" s="22">
        <v>0</v>
      </c>
      <c r="AU137" s="22"/>
      <c r="AV137" s="22"/>
      <c r="AW137" s="22">
        <v>0</v>
      </c>
      <c r="AX137" s="22"/>
      <c r="AY137" s="22"/>
      <c r="AZ137" s="22"/>
      <c r="BA137" s="22"/>
      <c r="BB137" s="22"/>
      <c r="BC137" s="22">
        <v>-1.5384547804586646E-6</v>
      </c>
      <c r="BD137" s="22">
        <v>0</v>
      </c>
    </row>
    <row r="138" spans="1:56" x14ac:dyDescent="0.25">
      <c r="A138" t="s">
        <v>113</v>
      </c>
      <c r="B138">
        <v>6</v>
      </c>
      <c r="C138" t="s">
        <v>952</v>
      </c>
      <c r="D138" t="s">
        <v>475</v>
      </c>
      <c r="E138">
        <v>20</v>
      </c>
      <c r="F138">
        <v>10.14</v>
      </c>
      <c r="G138">
        <v>57.153599999999997</v>
      </c>
      <c r="H138" t="s">
        <v>114</v>
      </c>
      <c r="I138" t="s">
        <v>114</v>
      </c>
      <c r="J138" t="s">
        <v>40</v>
      </c>
      <c r="K138">
        <f t="shared" si="24"/>
        <v>86.090000000000018</v>
      </c>
      <c r="L138">
        <f t="shared" si="25"/>
        <v>366.05880000000002</v>
      </c>
      <c r="M138" t="e">
        <f t="shared" si="26"/>
        <v>#N/A</v>
      </c>
      <c r="N138" t="e">
        <f>INDEX(Scores!$A$2:$A$11,INDEX(Scores!$AA$2:$AA$131,MATCH(C138,Scores!$AB$2:$AB$131,0)))</f>
        <v>#N/A</v>
      </c>
      <c r="O138">
        <f t="shared" si="27"/>
        <v>0</v>
      </c>
      <c r="P138">
        <f t="shared" si="28"/>
        <v>0</v>
      </c>
      <c r="Q138" s="3">
        <f t="shared" si="29"/>
        <v>0.99999659648730843</v>
      </c>
      <c r="R138" s="3">
        <f t="shared" si="30"/>
        <v>0.99999997609145752</v>
      </c>
      <c r="S138" s="9">
        <f t="shared" si="31"/>
        <v>3.3796041490896656E-6</v>
      </c>
      <c r="T138">
        <f t="shared" si="32"/>
        <v>99</v>
      </c>
      <c r="U138">
        <f t="shared" si="33"/>
        <v>0</v>
      </c>
      <c r="V138" s="3">
        <f t="shared" si="34"/>
        <v>1</v>
      </c>
      <c r="W138" s="9">
        <f t="shared" si="35"/>
        <v>0</v>
      </c>
      <c r="AB138" s="111" t="s">
        <v>158</v>
      </c>
      <c r="AC138" s="22"/>
      <c r="AD138" s="22"/>
      <c r="AE138" s="22"/>
      <c r="AF138" s="22"/>
      <c r="AG138" s="22"/>
      <c r="AH138" s="22"/>
      <c r="AI138" s="22">
        <v>-1.0981981102275995E-8</v>
      </c>
      <c r="AJ138" s="22"/>
      <c r="AK138" s="22">
        <v>5.0010793584132074E-7</v>
      </c>
      <c r="AL138" s="22">
        <v>-4.4459419257236732E-8</v>
      </c>
      <c r="AM138" s="22">
        <v>-1.3797029263518112E-7</v>
      </c>
      <c r="AN138" s="22">
        <v>2.8031708543263534E-7</v>
      </c>
      <c r="AO138" s="22">
        <v>0</v>
      </c>
      <c r="AP138" s="22"/>
      <c r="AQ138" s="22"/>
      <c r="AR138" s="22"/>
      <c r="AS138" s="22"/>
      <c r="AT138" s="22"/>
      <c r="AU138" s="22"/>
      <c r="AV138" s="22">
        <v>0</v>
      </c>
      <c r="AW138" s="22"/>
      <c r="AX138" s="22">
        <v>0</v>
      </c>
      <c r="AY138" s="22">
        <v>0</v>
      </c>
      <c r="AZ138" s="22">
        <v>0</v>
      </c>
      <c r="BA138" s="22">
        <v>0</v>
      </c>
      <c r="BB138" s="22">
        <v>0</v>
      </c>
      <c r="BC138" s="22">
        <v>5.8701332827926223E-7</v>
      </c>
      <c r="BD138" s="22">
        <v>0</v>
      </c>
    </row>
    <row r="139" spans="1:56" x14ac:dyDescent="0.25">
      <c r="A139" t="s">
        <v>175</v>
      </c>
      <c r="B139">
        <v>2</v>
      </c>
      <c r="C139" t="s">
        <v>638</v>
      </c>
      <c r="D139" t="s">
        <v>473</v>
      </c>
      <c r="E139">
        <v>8</v>
      </c>
      <c r="F139">
        <v>6.96</v>
      </c>
      <c r="G139">
        <v>34.81</v>
      </c>
      <c r="H139" t="s">
        <v>87</v>
      </c>
      <c r="I139" t="s">
        <v>87</v>
      </c>
      <c r="J139" t="s">
        <v>62</v>
      </c>
      <c r="K139">
        <f t="shared" si="24"/>
        <v>102.72000000000001</v>
      </c>
      <c r="L139">
        <f t="shared" si="25"/>
        <v>348.54960000000005</v>
      </c>
      <c r="M139" t="str">
        <f t="shared" si="26"/>
        <v>aj-2</v>
      </c>
      <c r="N139" t="str">
        <f>INDEX(Scores!$A$2:$A$11,INDEX(Scores!$AA$2:$AA$131,MATCH(C139,Scores!$AB$2:$AB$131,0)))</f>
        <v>aj</v>
      </c>
      <c r="O139">
        <f t="shared" si="27"/>
        <v>103.77999999999999</v>
      </c>
      <c r="P139">
        <f t="shared" si="28"/>
        <v>338.9511</v>
      </c>
      <c r="Q139" s="3">
        <f t="shared" si="29"/>
        <v>0.48387643490903587</v>
      </c>
      <c r="R139" s="3">
        <f t="shared" si="30"/>
        <v>0.49968768970193039</v>
      </c>
      <c r="S139" s="9">
        <f t="shared" si="31"/>
        <v>1.5811254792894525E-2</v>
      </c>
      <c r="T139">
        <f t="shared" si="32"/>
        <v>99</v>
      </c>
      <c r="U139">
        <f t="shared" si="33"/>
        <v>90</v>
      </c>
      <c r="V139" s="3">
        <f t="shared" si="34"/>
        <v>0.91135601272545785</v>
      </c>
      <c r="W139" s="9">
        <f t="shared" si="35"/>
        <v>8.8643987274542146E-2</v>
      </c>
      <c r="AB139" s="111" t="s">
        <v>433</v>
      </c>
      <c r="AC139" s="22"/>
      <c r="AD139" s="22">
        <v>9.5523077559001024E-8</v>
      </c>
      <c r="AE139" s="22">
        <v>-4.2500968411296469E-8</v>
      </c>
      <c r="AF139" s="22"/>
      <c r="AG139" s="22"/>
      <c r="AH139" s="22"/>
      <c r="AI139" s="22"/>
      <c r="AJ139" s="22"/>
      <c r="AK139" s="22"/>
      <c r="AL139" s="22"/>
      <c r="AM139" s="22"/>
      <c r="AN139" s="22"/>
      <c r="AO139" s="22"/>
      <c r="AP139" s="22"/>
      <c r="AQ139" s="22">
        <v>0</v>
      </c>
      <c r="AR139" s="22">
        <v>0</v>
      </c>
      <c r="AS139" s="22"/>
      <c r="AT139" s="22"/>
      <c r="AU139" s="22"/>
      <c r="AV139" s="22"/>
      <c r="AW139" s="22"/>
      <c r="AX139" s="22"/>
      <c r="AY139" s="22"/>
      <c r="AZ139" s="22"/>
      <c r="BA139" s="22"/>
      <c r="BB139" s="22"/>
      <c r="BC139" s="22">
        <v>5.3022109147704555E-8</v>
      </c>
      <c r="BD139" s="22">
        <v>0</v>
      </c>
    </row>
    <row r="140" spans="1:56" x14ac:dyDescent="0.25">
      <c r="A140" t="s">
        <v>422</v>
      </c>
      <c r="B140">
        <v>3</v>
      </c>
      <c r="C140" t="s">
        <v>805</v>
      </c>
      <c r="D140" t="s">
        <v>477</v>
      </c>
      <c r="E140">
        <v>4</v>
      </c>
      <c r="F140">
        <v>8.93</v>
      </c>
      <c r="G140">
        <v>43.428100000000001</v>
      </c>
      <c r="H140" t="s">
        <v>477</v>
      </c>
      <c r="I140" t="s">
        <v>477</v>
      </c>
      <c r="J140" t="s">
        <v>27</v>
      </c>
      <c r="K140">
        <f t="shared" si="24"/>
        <v>105.02</v>
      </c>
      <c r="L140">
        <f t="shared" si="25"/>
        <v>401.60159999999996</v>
      </c>
      <c r="M140" t="str">
        <f t="shared" si="26"/>
        <v>matty-3</v>
      </c>
      <c r="N140" t="str">
        <f>INDEX(Scores!$A$2:$A$11,INDEX(Scores!$AA$2:$AA$131,MATCH(C140,Scores!$AB$2:$AB$131,0)))</f>
        <v>matty</v>
      </c>
      <c r="O140">
        <f t="shared" si="27"/>
        <v>116.17999999999999</v>
      </c>
      <c r="P140">
        <f t="shared" si="28"/>
        <v>478.31470000000002</v>
      </c>
      <c r="Q140" s="3">
        <f t="shared" si="29"/>
        <v>0.35337614783800875</v>
      </c>
      <c r="R140" s="3">
        <f t="shared" si="30"/>
        <v>0.28899541889337488</v>
      </c>
      <c r="S140" s="9">
        <f t="shared" si="31"/>
        <v>-6.4380728944633869E-2</v>
      </c>
      <c r="T140">
        <f t="shared" si="32"/>
        <v>85</v>
      </c>
      <c r="U140">
        <f t="shared" si="33"/>
        <v>81</v>
      </c>
      <c r="V140" s="3">
        <f t="shared" si="34"/>
        <v>0.912304516077725</v>
      </c>
      <c r="W140" s="9">
        <f t="shared" si="35"/>
        <v>8.7695483922274997E-2</v>
      </c>
      <c r="AB140" s="111" t="s">
        <v>117</v>
      </c>
      <c r="AC140" s="22">
        <v>1.9150100838416506E-8</v>
      </c>
      <c r="AD140" s="22">
        <v>-1.7331540869136575E-8</v>
      </c>
      <c r="AE140" s="22">
        <v>-4.7402553993158847E-8</v>
      </c>
      <c r="AF140" s="22"/>
      <c r="AG140" s="22"/>
      <c r="AH140" s="22"/>
      <c r="AI140" s="22"/>
      <c r="AJ140" s="22"/>
      <c r="AK140" s="22"/>
      <c r="AL140" s="22"/>
      <c r="AM140" s="22"/>
      <c r="AN140" s="22"/>
      <c r="AO140" s="22"/>
      <c r="AP140" s="22">
        <v>0</v>
      </c>
      <c r="AQ140" s="22">
        <v>0</v>
      </c>
      <c r="AR140" s="22">
        <v>0</v>
      </c>
      <c r="AS140" s="22"/>
      <c r="AT140" s="22"/>
      <c r="AU140" s="22"/>
      <c r="AV140" s="22"/>
      <c r="AW140" s="22"/>
      <c r="AX140" s="22"/>
      <c r="AY140" s="22"/>
      <c r="AZ140" s="22"/>
      <c r="BA140" s="22"/>
      <c r="BB140" s="22"/>
      <c r="BC140" s="22">
        <v>-4.5583994023878915E-8</v>
      </c>
      <c r="BD140" s="22">
        <v>0</v>
      </c>
    </row>
    <row r="141" spans="1:56" x14ac:dyDescent="0.25">
      <c r="A141" t="s">
        <v>111</v>
      </c>
      <c r="B141">
        <v>4</v>
      </c>
      <c r="C141" t="s">
        <v>858</v>
      </c>
      <c r="D141" t="s">
        <v>468</v>
      </c>
      <c r="E141">
        <v>19</v>
      </c>
      <c r="F141">
        <v>12.31</v>
      </c>
      <c r="G141">
        <v>47.196899999999999</v>
      </c>
      <c r="H141" t="s">
        <v>47</v>
      </c>
      <c r="I141" t="s">
        <v>47</v>
      </c>
      <c r="J141" t="s">
        <v>16</v>
      </c>
      <c r="K141">
        <f t="shared" si="24"/>
        <v>115.58999999999999</v>
      </c>
      <c r="L141">
        <f t="shared" si="25"/>
        <v>432.42160000000007</v>
      </c>
      <c r="M141" t="str">
        <f t="shared" si="26"/>
        <v>scott-4</v>
      </c>
      <c r="N141" t="str">
        <f>INDEX(Scores!$A$2:$A$11,INDEX(Scores!$AA$2:$AA$131,MATCH(C141,Scores!$AB$2:$AB$131,0)))</f>
        <v>scott</v>
      </c>
      <c r="O141">
        <f t="shared" si="27"/>
        <v>113.07</v>
      </c>
      <c r="P141">
        <f t="shared" si="28"/>
        <v>452.41279999999995</v>
      </c>
      <c r="Q141" s="3">
        <f t="shared" si="29"/>
        <v>0.53375673014127667</v>
      </c>
      <c r="R141" s="3">
        <f t="shared" si="30"/>
        <v>0.62484210867526024</v>
      </c>
      <c r="S141" s="9">
        <f t="shared" si="31"/>
        <v>9.1085378533983574E-2</v>
      </c>
      <c r="T141">
        <f t="shared" si="32"/>
        <v>104</v>
      </c>
      <c r="U141">
        <f t="shared" si="33"/>
        <v>88</v>
      </c>
      <c r="V141" s="3">
        <f t="shared" si="34"/>
        <v>0.91231788480102138</v>
      </c>
      <c r="W141" s="9">
        <f t="shared" si="35"/>
        <v>8.7682115198978616E-2</v>
      </c>
      <c r="AB141" s="111" t="s">
        <v>427</v>
      </c>
      <c r="AC141" s="22"/>
      <c r="AD141" s="22"/>
      <c r="AE141" s="22"/>
      <c r="AF141" s="22"/>
      <c r="AG141" s="22"/>
      <c r="AH141" s="22">
        <v>2.1144464374955874E-6</v>
      </c>
      <c r="AI141" s="22">
        <v>1.3660555130412533E-6</v>
      </c>
      <c r="AJ141" s="22"/>
      <c r="AK141" s="22"/>
      <c r="AL141" s="22"/>
      <c r="AM141" s="22"/>
      <c r="AN141" s="22"/>
      <c r="AO141" s="22"/>
      <c r="AP141" s="22"/>
      <c r="AQ141" s="22"/>
      <c r="AR141" s="22"/>
      <c r="AS141" s="22"/>
      <c r="AT141" s="22"/>
      <c r="AU141" s="22">
        <v>0</v>
      </c>
      <c r="AV141" s="22">
        <v>0</v>
      </c>
      <c r="AW141" s="22"/>
      <c r="AX141" s="22"/>
      <c r="AY141" s="22"/>
      <c r="AZ141" s="22"/>
      <c r="BA141" s="22"/>
      <c r="BB141" s="22"/>
      <c r="BC141" s="22">
        <v>3.4805019505368406E-6</v>
      </c>
      <c r="BD141" s="22">
        <v>0</v>
      </c>
    </row>
    <row r="142" spans="1:56" x14ac:dyDescent="0.25">
      <c r="A142" t="s">
        <v>48</v>
      </c>
      <c r="B142">
        <v>7</v>
      </c>
      <c r="C142" t="s">
        <v>961</v>
      </c>
      <c r="D142" t="s">
        <v>469</v>
      </c>
      <c r="E142">
        <v>18</v>
      </c>
      <c r="F142">
        <v>19.48</v>
      </c>
      <c r="G142">
        <v>113.4225</v>
      </c>
      <c r="H142" t="s">
        <v>47</v>
      </c>
      <c r="I142" t="s">
        <v>47</v>
      </c>
      <c r="J142" t="s">
        <v>23</v>
      </c>
      <c r="K142">
        <f t="shared" si="24"/>
        <v>103.81000000000002</v>
      </c>
      <c r="L142">
        <f t="shared" si="25"/>
        <v>404.20889999999997</v>
      </c>
      <c r="M142" t="str">
        <f t="shared" si="26"/>
        <v>chad-7</v>
      </c>
      <c r="N142" t="str">
        <f>INDEX(Scores!$A$2:$A$11,INDEX(Scores!$AA$2:$AA$131,MATCH(C142,Scores!$AB$2:$AB$131,0)))</f>
        <v>chad</v>
      </c>
      <c r="O142">
        <f t="shared" si="27"/>
        <v>99.759999999999991</v>
      </c>
      <c r="P142">
        <f t="shared" si="28"/>
        <v>339.923</v>
      </c>
      <c r="Q142" s="3">
        <f t="shared" si="29"/>
        <v>0.55901290364123501</v>
      </c>
      <c r="R142" s="3">
        <f t="shared" si="30"/>
        <v>0.54075407730599956</v>
      </c>
      <c r="S142" s="9">
        <f t="shared" si="31"/>
        <v>-1.8258826335235456E-2</v>
      </c>
      <c r="T142">
        <f t="shared" si="32"/>
        <v>115</v>
      </c>
      <c r="U142">
        <f t="shared" si="33"/>
        <v>102</v>
      </c>
      <c r="V142" s="3">
        <f t="shared" si="34"/>
        <v>0.91302559572277675</v>
      </c>
      <c r="W142" s="9">
        <f t="shared" si="35"/>
        <v>8.697440427722325E-2</v>
      </c>
      <c r="AB142" s="111" t="s">
        <v>241</v>
      </c>
      <c r="AC142" s="22"/>
      <c r="AD142" s="22"/>
      <c r="AE142" s="22">
        <v>-8.4692182489298773E-7</v>
      </c>
      <c r="AF142" s="22">
        <v>-1.5556287369378197E-9</v>
      </c>
      <c r="AG142" s="22">
        <v>6.2277220366224739E-6</v>
      </c>
      <c r="AH142" s="22">
        <v>-1.6661899767678179E-6</v>
      </c>
      <c r="AI142" s="22"/>
      <c r="AJ142" s="22"/>
      <c r="AK142" s="22">
        <v>-2.1436404828989453E-7</v>
      </c>
      <c r="AL142" s="22"/>
      <c r="AM142" s="22"/>
      <c r="AN142" s="22"/>
      <c r="AO142" s="22"/>
      <c r="AP142" s="22"/>
      <c r="AQ142" s="22"/>
      <c r="AR142" s="22">
        <v>0</v>
      </c>
      <c r="AS142" s="22">
        <v>0</v>
      </c>
      <c r="AT142" s="22">
        <v>0</v>
      </c>
      <c r="AU142" s="22">
        <v>0</v>
      </c>
      <c r="AV142" s="22"/>
      <c r="AW142" s="22"/>
      <c r="AX142" s="22">
        <v>0</v>
      </c>
      <c r="AY142" s="22"/>
      <c r="AZ142" s="22"/>
      <c r="BA142" s="22"/>
      <c r="BB142" s="22"/>
      <c r="BC142" s="22">
        <v>3.498690557934836E-6</v>
      </c>
      <c r="BD142" s="22">
        <v>0</v>
      </c>
    </row>
    <row r="143" spans="1:56" x14ac:dyDescent="0.25">
      <c r="A143" t="s">
        <v>128</v>
      </c>
      <c r="B143">
        <v>3</v>
      </c>
      <c r="C143" t="s">
        <v>806</v>
      </c>
      <c r="D143" t="s">
        <v>466</v>
      </c>
      <c r="E143">
        <v>11</v>
      </c>
      <c r="F143">
        <v>10.66</v>
      </c>
      <c r="G143">
        <v>31.136399999999998</v>
      </c>
      <c r="H143" t="s">
        <v>466</v>
      </c>
      <c r="I143" t="s">
        <v>47</v>
      </c>
      <c r="J143" t="s">
        <v>55</v>
      </c>
      <c r="K143">
        <f t="shared" si="24"/>
        <v>107.31</v>
      </c>
      <c r="L143">
        <f t="shared" si="25"/>
        <v>425.77620000000002</v>
      </c>
      <c r="M143" t="str">
        <f t="shared" si="26"/>
        <v>seth-3</v>
      </c>
      <c r="N143" t="str">
        <f>INDEX(Scores!$A$2:$A$11,INDEX(Scores!$AA$2:$AA$131,MATCH(C143,Scores!$AB$2:$AB$131,0)))</f>
        <v>seth</v>
      </c>
      <c r="O143">
        <f t="shared" si="27"/>
        <v>94.54</v>
      </c>
      <c r="P143">
        <f t="shared" si="28"/>
        <v>356.43470000000002</v>
      </c>
      <c r="Q143" s="3">
        <f t="shared" si="29"/>
        <v>0.6760180870914847</v>
      </c>
      <c r="R143" s="3">
        <f t="shared" si="30"/>
        <v>0.68380548002810848</v>
      </c>
      <c r="S143" s="9">
        <f t="shared" si="31"/>
        <v>7.7873929366237826E-3</v>
      </c>
      <c r="T143">
        <f t="shared" si="32"/>
        <v>96</v>
      </c>
      <c r="U143">
        <f t="shared" si="33"/>
        <v>88</v>
      </c>
      <c r="V143" s="3">
        <f t="shared" si="34"/>
        <v>0.9150864928928778</v>
      </c>
      <c r="W143" s="9">
        <f t="shared" si="35"/>
        <v>8.4913507107122199E-2</v>
      </c>
      <c r="AB143" s="111" t="s">
        <v>193</v>
      </c>
      <c r="AC143" s="22"/>
      <c r="AD143" s="22"/>
      <c r="AE143" s="22"/>
      <c r="AF143" s="22"/>
      <c r="AG143" s="22"/>
      <c r="AH143" s="22"/>
      <c r="AI143" s="22"/>
      <c r="AJ143" s="22"/>
      <c r="AK143" s="22"/>
      <c r="AL143" s="22"/>
      <c r="AM143" s="22">
        <v>-1.8502372922668542E-7</v>
      </c>
      <c r="AN143" s="22">
        <v>-3.6401897207660738E-7</v>
      </c>
      <c r="AO143" s="22">
        <v>1.2228612952247531E-6</v>
      </c>
      <c r="AP143" s="22"/>
      <c r="AQ143" s="22"/>
      <c r="AR143" s="22"/>
      <c r="AS143" s="22"/>
      <c r="AT143" s="22"/>
      <c r="AU143" s="22"/>
      <c r="AV143" s="22"/>
      <c r="AW143" s="22"/>
      <c r="AX143" s="22"/>
      <c r="AY143" s="22"/>
      <c r="AZ143" s="22">
        <v>0</v>
      </c>
      <c r="BA143" s="22">
        <v>0</v>
      </c>
      <c r="BB143" s="22">
        <v>0</v>
      </c>
      <c r="BC143" s="22">
        <v>6.7381859392146026E-7</v>
      </c>
      <c r="BD143" s="22">
        <v>0</v>
      </c>
    </row>
    <row r="144" spans="1:56" x14ac:dyDescent="0.25">
      <c r="A144" t="s">
        <v>105</v>
      </c>
      <c r="B144">
        <v>8</v>
      </c>
      <c r="C144" t="s">
        <v>946</v>
      </c>
      <c r="D144" t="s">
        <v>471</v>
      </c>
      <c r="E144">
        <v>5</v>
      </c>
      <c r="F144">
        <v>9.57</v>
      </c>
      <c r="G144">
        <v>29.811599999999999</v>
      </c>
      <c r="H144" t="s">
        <v>87</v>
      </c>
      <c r="I144" t="s">
        <v>87</v>
      </c>
      <c r="J144" t="s">
        <v>62</v>
      </c>
      <c r="K144">
        <f t="shared" si="24"/>
        <v>94.88</v>
      </c>
      <c r="L144">
        <f t="shared" si="25"/>
        <v>320.65749999999997</v>
      </c>
      <c r="M144" t="str">
        <f t="shared" si="26"/>
        <v>scott-8</v>
      </c>
      <c r="N144" t="str">
        <f>INDEX(Scores!$A$2:$A$11,INDEX(Scores!$AA$2:$AA$131,MATCH(C144,Scores!$AB$2:$AB$131,0)))</f>
        <v>scott</v>
      </c>
      <c r="O144">
        <f t="shared" si="27"/>
        <v>113.35000000000001</v>
      </c>
      <c r="P144">
        <f t="shared" si="28"/>
        <v>416.81729999999993</v>
      </c>
      <c r="Q144" s="3">
        <f t="shared" si="29"/>
        <v>0.24821039531278949</v>
      </c>
      <c r="R144" s="3">
        <f t="shared" si="30"/>
        <v>0.19321704465585227</v>
      </c>
      <c r="S144" s="9">
        <f t="shared" si="31"/>
        <v>-5.4993350656937223E-2</v>
      </c>
      <c r="T144">
        <f t="shared" si="32"/>
        <v>78</v>
      </c>
      <c r="U144">
        <f t="shared" si="33"/>
        <v>75</v>
      </c>
      <c r="V144" s="3">
        <f t="shared" si="34"/>
        <v>0.91719475601115397</v>
      </c>
      <c r="W144" s="9">
        <f t="shared" si="35"/>
        <v>8.2805243988846033E-2</v>
      </c>
      <c r="AB144" s="156" t="s">
        <v>1672</v>
      </c>
      <c r="AC144" s="22">
        <v>-1.7380658101640023E-7</v>
      </c>
      <c r="AD144" s="22">
        <v>-4.9213197728104063E-7</v>
      </c>
      <c r="AE144" s="22">
        <v>-3.977060952009559E-6</v>
      </c>
      <c r="AF144" s="22">
        <v>-5.3045879688795594E-8</v>
      </c>
      <c r="AG144" s="22">
        <v>3.4414261236959121E-5</v>
      </c>
      <c r="AH144" s="22">
        <v>1.6382867787267941E-5</v>
      </c>
      <c r="AI144" s="22">
        <v>3.5906925677231527E-6</v>
      </c>
      <c r="AJ144" s="22">
        <v>-5.8749621945075603E-8</v>
      </c>
      <c r="AK144" s="22">
        <v>7.2508572912521885E-7</v>
      </c>
      <c r="AL144" s="22">
        <v>7.2504576986709424E-7</v>
      </c>
      <c r="AM144" s="22">
        <v>-9.5720714488045644E-6</v>
      </c>
      <c r="AN144" s="22">
        <v>-5.4396484860941285E-7</v>
      </c>
      <c r="AO144" s="22">
        <v>2.5492936606141825E-6</v>
      </c>
      <c r="AP144" s="22">
        <v>0</v>
      </c>
      <c r="AQ144" s="22">
        <v>3.2654740023119189E-9</v>
      </c>
      <c r="AR144" s="22">
        <v>2.7683172976189496E-8</v>
      </c>
      <c r="AS144" s="22">
        <v>0</v>
      </c>
      <c r="AT144" s="22">
        <v>0</v>
      </c>
      <c r="AU144" s="22">
        <v>0</v>
      </c>
      <c r="AV144" s="22">
        <v>0</v>
      </c>
      <c r="AW144" s="22">
        <v>0</v>
      </c>
      <c r="AX144" s="22">
        <v>0</v>
      </c>
      <c r="AY144" s="22">
        <v>0</v>
      </c>
      <c r="AZ144" s="22">
        <v>4.9171355875898826E-10</v>
      </c>
      <c r="BA144" s="22">
        <v>0</v>
      </c>
      <c r="BB144" s="22">
        <v>1.8873791418627661E-15</v>
      </c>
      <c r="BC144" s="22">
        <v>4.3516415442201861E-5</v>
      </c>
      <c r="BD144" s="22">
        <v>3.1440362424639545E-8</v>
      </c>
    </row>
    <row r="145" spans="1:56" x14ac:dyDescent="0.25">
      <c r="A145" t="s">
        <v>104</v>
      </c>
      <c r="B145">
        <v>12</v>
      </c>
      <c r="C145" t="s">
        <v>982</v>
      </c>
      <c r="D145" t="s">
        <v>473</v>
      </c>
      <c r="E145">
        <v>6</v>
      </c>
      <c r="F145">
        <v>13.39</v>
      </c>
      <c r="G145">
        <v>55.800899999999999</v>
      </c>
      <c r="H145" t="s">
        <v>87</v>
      </c>
      <c r="I145" t="s">
        <v>87</v>
      </c>
      <c r="J145" t="s">
        <v>44</v>
      </c>
      <c r="K145">
        <f t="shared" si="24"/>
        <v>102.15</v>
      </c>
      <c r="L145">
        <f t="shared" si="25"/>
        <v>468.55759999999998</v>
      </c>
      <c r="M145" t="str">
        <f t="shared" si="26"/>
        <v>chad-12</v>
      </c>
      <c r="N145" t="str">
        <f>INDEX(Scores!$A$2:$A$11,INDEX(Scores!$AA$2:$AA$131,MATCH(C145,Scores!$AB$2:$AB$131,0)))</f>
        <v>chad</v>
      </c>
      <c r="O145">
        <f t="shared" si="27"/>
        <v>115.8</v>
      </c>
      <c r="P145">
        <f t="shared" si="28"/>
        <v>455.64659999999998</v>
      </c>
      <c r="Q145" s="3">
        <f t="shared" si="29"/>
        <v>0.3267149551815689</v>
      </c>
      <c r="R145" s="3">
        <f t="shared" si="30"/>
        <v>0.23762030378996216</v>
      </c>
      <c r="S145" s="9">
        <f t="shared" si="31"/>
        <v>-8.9094651391606744E-2</v>
      </c>
      <c r="T145">
        <f t="shared" si="32"/>
        <v>95</v>
      </c>
      <c r="U145">
        <f t="shared" si="33"/>
        <v>92</v>
      </c>
      <c r="V145" s="3">
        <f t="shared" si="34"/>
        <v>0.91787165668602633</v>
      </c>
      <c r="W145" s="9">
        <f t="shared" si="35"/>
        <v>8.2128343313973673E-2</v>
      </c>
      <c r="AB145" s="156" t="s">
        <v>1648</v>
      </c>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BB145" s="22"/>
      <c r="BC145" s="22"/>
      <c r="BD145" s="22"/>
    </row>
    <row r="146" spans="1:56" x14ac:dyDescent="0.25">
      <c r="A146" t="s">
        <v>101</v>
      </c>
      <c r="B146">
        <v>10</v>
      </c>
      <c r="C146" t="s">
        <v>932</v>
      </c>
      <c r="D146" t="s">
        <v>468</v>
      </c>
      <c r="E146">
        <v>5</v>
      </c>
      <c r="F146">
        <v>8.51</v>
      </c>
      <c r="G146">
        <v>45.697600000000001</v>
      </c>
      <c r="H146" t="s">
        <v>47</v>
      </c>
      <c r="I146" t="s">
        <v>47</v>
      </c>
      <c r="J146" t="s">
        <v>35</v>
      </c>
      <c r="K146">
        <f t="shared" si="24"/>
        <v>101.66000000000001</v>
      </c>
      <c r="L146">
        <f t="shared" si="25"/>
        <v>359.87040000000002</v>
      </c>
      <c r="M146" t="str">
        <f t="shared" si="26"/>
        <v>lucas-10</v>
      </c>
      <c r="N146" t="str">
        <f>INDEX(Scores!$A$2:$A$11,INDEX(Scores!$AA$2:$AA$131,MATCH(C146,Scores!$AB$2:$AB$131,0)))</f>
        <v>lucas</v>
      </c>
      <c r="O146">
        <f t="shared" si="27"/>
        <v>0</v>
      </c>
      <c r="P146">
        <f t="shared" si="28"/>
        <v>0</v>
      </c>
      <c r="Q146" s="3">
        <f t="shared" si="29"/>
        <v>0.99999995813888032</v>
      </c>
      <c r="R146" s="3">
        <f t="shared" si="30"/>
        <v>0.99999998465038631</v>
      </c>
      <c r="S146" s="9">
        <f t="shared" si="31"/>
        <v>2.651150599053409E-8</v>
      </c>
      <c r="T146">
        <f t="shared" si="32"/>
        <v>97</v>
      </c>
      <c r="U146">
        <f t="shared" si="33"/>
        <v>0</v>
      </c>
      <c r="V146" s="3">
        <f t="shared" si="34"/>
        <v>1</v>
      </c>
      <c r="W146" s="9">
        <f t="shared" si="35"/>
        <v>0</v>
      </c>
      <c r="AB146" s="111" t="s">
        <v>115</v>
      </c>
      <c r="AC146" s="22"/>
      <c r="AD146" s="22"/>
      <c r="AE146" s="22"/>
      <c r="AF146" s="22"/>
      <c r="AG146" s="22">
        <v>1.0877083878035876E-7</v>
      </c>
      <c r="AH146" s="22"/>
      <c r="AI146" s="22"/>
      <c r="AJ146" s="22"/>
      <c r="AK146" s="22">
        <v>1.5446017687104074E-8</v>
      </c>
      <c r="AL146" s="22"/>
      <c r="AM146" s="22"/>
      <c r="AN146" s="22"/>
      <c r="AO146" s="22"/>
      <c r="AP146" s="22"/>
      <c r="AQ146" s="22"/>
      <c r="AR146" s="22"/>
      <c r="AS146" s="22"/>
      <c r="AT146" s="22">
        <v>1.1102230246251565E-16</v>
      </c>
      <c r="AU146" s="22"/>
      <c r="AV146" s="22"/>
      <c r="AW146" s="22"/>
      <c r="AX146" s="22">
        <v>0</v>
      </c>
      <c r="AY146" s="22"/>
      <c r="AZ146" s="22"/>
      <c r="BA146" s="22"/>
      <c r="BB146" s="22"/>
      <c r="BC146" s="22">
        <v>1.2421685646746283E-7</v>
      </c>
      <c r="BD146" s="22">
        <v>1.1102230246251565E-16</v>
      </c>
    </row>
    <row r="147" spans="1:56" x14ac:dyDescent="0.25">
      <c r="A147" t="s">
        <v>201</v>
      </c>
      <c r="B147">
        <v>7</v>
      </c>
      <c r="C147" t="s">
        <v>913</v>
      </c>
      <c r="D147" t="s">
        <v>469</v>
      </c>
      <c r="E147">
        <v>2</v>
      </c>
      <c r="F147">
        <v>8.19</v>
      </c>
      <c r="G147">
        <v>51.552399999999999</v>
      </c>
      <c r="H147" t="s">
        <v>47</v>
      </c>
      <c r="I147" t="s">
        <v>47</v>
      </c>
      <c r="J147" t="s">
        <v>16</v>
      </c>
      <c r="K147">
        <f t="shared" si="24"/>
        <v>86.09</v>
      </c>
      <c r="L147">
        <f t="shared" si="25"/>
        <v>350.80079999999998</v>
      </c>
      <c r="M147" t="str">
        <f t="shared" si="26"/>
        <v>seth-7</v>
      </c>
      <c r="N147" t="str">
        <f>INDEX(Scores!$A$2:$A$11,INDEX(Scores!$AA$2:$AA$131,MATCH(C147,Scores!$AB$2:$AB$131,0)))</f>
        <v>seth</v>
      </c>
      <c r="O147">
        <f t="shared" si="27"/>
        <v>96.25</v>
      </c>
      <c r="P147">
        <f t="shared" si="28"/>
        <v>294.3</v>
      </c>
      <c r="Q147" s="3">
        <f t="shared" si="29"/>
        <v>0.34457149944219723</v>
      </c>
      <c r="R147" s="3">
        <f t="shared" si="30"/>
        <v>0.25107720821858726</v>
      </c>
      <c r="S147" s="9">
        <f t="shared" si="31"/>
        <v>-9.3494291223609971E-2</v>
      </c>
      <c r="T147">
        <f t="shared" si="32"/>
        <v>85</v>
      </c>
      <c r="U147">
        <f t="shared" si="33"/>
        <v>81</v>
      </c>
      <c r="V147" s="3">
        <f t="shared" si="34"/>
        <v>0.9220825646802685</v>
      </c>
      <c r="W147" s="9">
        <f t="shared" si="35"/>
        <v>7.7917435319731498E-2</v>
      </c>
      <c r="AB147" s="111" t="s">
        <v>435</v>
      </c>
      <c r="AC147" s="22"/>
      <c r="AD147" s="22"/>
      <c r="AE147" s="22"/>
      <c r="AF147" s="22"/>
      <c r="AG147" s="22"/>
      <c r="AH147" s="22"/>
      <c r="AI147" s="22"/>
      <c r="AJ147" s="22"/>
      <c r="AK147" s="22"/>
      <c r="AL147" s="22">
        <v>3.4372602208954106E-8</v>
      </c>
      <c r="AM147" s="22"/>
      <c r="AN147" s="22"/>
      <c r="AO147" s="22"/>
      <c r="AP147" s="22"/>
      <c r="AQ147" s="22"/>
      <c r="AR147" s="22"/>
      <c r="AS147" s="22"/>
      <c r="AT147" s="22"/>
      <c r="AU147" s="22"/>
      <c r="AV147" s="22"/>
      <c r="AW147" s="22"/>
      <c r="AX147" s="22"/>
      <c r="AY147" s="22">
        <v>0</v>
      </c>
      <c r="AZ147" s="22"/>
      <c r="BA147" s="22"/>
      <c r="BB147" s="22"/>
      <c r="BC147" s="22">
        <v>3.4372602208954106E-8</v>
      </c>
      <c r="BD147" s="22">
        <v>0</v>
      </c>
    </row>
    <row r="148" spans="1:56" x14ac:dyDescent="0.25">
      <c r="A148" t="s">
        <v>247</v>
      </c>
      <c r="B148">
        <v>12</v>
      </c>
      <c r="C148" t="s">
        <v>982</v>
      </c>
      <c r="D148" t="s">
        <v>475</v>
      </c>
      <c r="E148">
        <v>2</v>
      </c>
      <c r="F148">
        <v>4.41</v>
      </c>
      <c r="G148">
        <v>14.5161</v>
      </c>
      <c r="H148" t="s">
        <v>114</v>
      </c>
      <c r="I148" t="s">
        <v>114</v>
      </c>
      <c r="J148" t="s">
        <v>44</v>
      </c>
      <c r="K148">
        <f t="shared" si="24"/>
        <v>102.15</v>
      </c>
      <c r="L148">
        <f t="shared" si="25"/>
        <v>468.55759999999998</v>
      </c>
      <c r="M148" t="str">
        <f t="shared" si="26"/>
        <v>chad-12</v>
      </c>
      <c r="N148" t="str">
        <f>INDEX(Scores!$A$2:$A$11,INDEX(Scores!$AA$2:$AA$131,MATCH(C148,Scores!$AB$2:$AB$131,0)))</f>
        <v>chad</v>
      </c>
      <c r="O148">
        <f t="shared" si="27"/>
        <v>115.8</v>
      </c>
      <c r="P148">
        <f t="shared" si="28"/>
        <v>455.64659999999998</v>
      </c>
      <c r="Q148" s="3">
        <f t="shared" si="29"/>
        <v>0.3267149551815689</v>
      </c>
      <c r="R148" s="3">
        <f t="shared" si="30"/>
        <v>0.29719849986376523</v>
      </c>
      <c r="S148" s="9">
        <f t="shared" si="31"/>
        <v>-2.9516455317803669E-2</v>
      </c>
      <c r="T148">
        <f t="shared" si="32"/>
        <v>95</v>
      </c>
      <c r="U148">
        <f t="shared" si="33"/>
        <v>92</v>
      </c>
      <c r="V148" s="3">
        <f t="shared" si="34"/>
        <v>0.92218851802697965</v>
      </c>
      <c r="W148" s="9">
        <f t="shared" si="35"/>
        <v>7.7811481973020347E-2</v>
      </c>
      <c r="AB148" s="111" t="s">
        <v>109</v>
      </c>
      <c r="AC148" s="22"/>
      <c r="AD148" s="22">
        <v>4.4636753693261255E-7</v>
      </c>
      <c r="AE148" s="22"/>
      <c r="AF148" s="22"/>
      <c r="AG148" s="22"/>
      <c r="AH148" s="22"/>
      <c r="AI148" s="22"/>
      <c r="AJ148" s="22"/>
      <c r="AK148" s="22"/>
      <c r="AL148" s="22"/>
      <c r="AM148" s="22"/>
      <c r="AN148" s="22"/>
      <c r="AO148" s="22"/>
      <c r="AP148" s="22"/>
      <c r="AQ148" s="22">
        <v>0</v>
      </c>
      <c r="AR148" s="22"/>
      <c r="AS148" s="22"/>
      <c r="AT148" s="22"/>
      <c r="AU148" s="22"/>
      <c r="AV148" s="22"/>
      <c r="AW148" s="22"/>
      <c r="AX148" s="22"/>
      <c r="AY148" s="22"/>
      <c r="AZ148" s="22"/>
      <c r="BA148" s="22"/>
      <c r="BB148" s="22"/>
      <c r="BC148" s="22">
        <v>4.4636753693261255E-7</v>
      </c>
      <c r="BD148" s="22">
        <v>0</v>
      </c>
    </row>
    <row r="149" spans="1:56" x14ac:dyDescent="0.25">
      <c r="A149" t="s">
        <v>464</v>
      </c>
      <c r="B149">
        <v>13</v>
      </c>
      <c r="C149" t="s">
        <v>951</v>
      </c>
      <c r="D149" t="s">
        <v>478</v>
      </c>
      <c r="E149">
        <v>16</v>
      </c>
      <c r="F149">
        <v>7.8</v>
      </c>
      <c r="G149">
        <v>16.564900000000002</v>
      </c>
      <c r="H149" t="s">
        <v>478</v>
      </c>
      <c r="I149" t="s">
        <v>478</v>
      </c>
      <c r="J149" t="s">
        <v>62</v>
      </c>
      <c r="K149">
        <f t="shared" si="24"/>
        <v>113.35</v>
      </c>
      <c r="L149">
        <f t="shared" si="25"/>
        <v>486.24799999999993</v>
      </c>
      <c r="M149" t="str">
        <f t="shared" si="26"/>
        <v>comp-13</v>
      </c>
      <c r="N149" t="str">
        <f>INDEX(Scores!$A$2:$A$11,INDEX(Scores!$AA$2:$AA$131,MATCH(C149,Scores!$AB$2:$AB$131,0)))</f>
        <v>comp</v>
      </c>
      <c r="O149">
        <f t="shared" si="27"/>
        <v>104.63999999999999</v>
      </c>
      <c r="P149">
        <f t="shared" si="28"/>
        <v>400.33339999999998</v>
      </c>
      <c r="Q149" s="3">
        <f t="shared" si="29"/>
        <v>0.6150563098213474</v>
      </c>
      <c r="R149" s="3">
        <f t="shared" si="30"/>
        <v>0.71677827845668718</v>
      </c>
      <c r="S149" s="9">
        <f t="shared" si="31"/>
        <v>0.10172196863533978</v>
      </c>
      <c r="T149">
        <f t="shared" si="32"/>
        <v>95</v>
      </c>
      <c r="U149">
        <f t="shared" si="33"/>
        <v>81</v>
      </c>
      <c r="V149" s="3">
        <f t="shared" si="34"/>
        <v>0.92293027697574759</v>
      </c>
      <c r="W149" s="9">
        <f t="shared" si="35"/>
        <v>7.7069723024252412E-2</v>
      </c>
      <c r="AB149" s="111" t="s">
        <v>194</v>
      </c>
      <c r="AC149" s="22"/>
      <c r="AD149" s="22"/>
      <c r="AE149" s="22"/>
      <c r="AF149" s="22"/>
      <c r="AG149" s="22"/>
      <c r="AH149" s="22"/>
      <c r="AI149" s="22"/>
      <c r="AJ149" s="22"/>
      <c r="AK149" s="22">
        <v>3.2336977406899337E-7</v>
      </c>
      <c r="AL149" s="22"/>
      <c r="AM149" s="22"/>
      <c r="AN149" s="22"/>
      <c r="AO149" s="22"/>
      <c r="AP149" s="22"/>
      <c r="AQ149" s="22"/>
      <c r="AR149" s="22"/>
      <c r="AS149" s="22"/>
      <c r="AT149" s="22"/>
      <c r="AU149" s="22"/>
      <c r="AV149" s="22"/>
      <c r="AW149" s="22"/>
      <c r="AX149" s="22">
        <v>0</v>
      </c>
      <c r="AY149" s="22"/>
      <c r="AZ149" s="22"/>
      <c r="BA149" s="22"/>
      <c r="BB149" s="22"/>
      <c r="BC149" s="22">
        <v>3.2336977406899337E-7</v>
      </c>
      <c r="BD149" s="22">
        <v>0</v>
      </c>
    </row>
    <row r="150" spans="1:56" x14ac:dyDescent="0.25">
      <c r="A150" t="s">
        <v>424</v>
      </c>
      <c r="B150">
        <v>7</v>
      </c>
      <c r="C150" t="s">
        <v>961</v>
      </c>
      <c r="D150" t="s">
        <v>477</v>
      </c>
      <c r="E150">
        <v>12</v>
      </c>
      <c r="F150">
        <v>7.78</v>
      </c>
      <c r="G150">
        <v>37.4544</v>
      </c>
      <c r="H150" t="s">
        <v>477</v>
      </c>
      <c r="I150" t="s">
        <v>477</v>
      </c>
      <c r="J150" t="s">
        <v>23</v>
      </c>
      <c r="K150">
        <f t="shared" si="24"/>
        <v>103.81000000000002</v>
      </c>
      <c r="L150">
        <f t="shared" si="25"/>
        <v>404.20889999999997</v>
      </c>
      <c r="M150" t="str">
        <f t="shared" si="26"/>
        <v>chad-7</v>
      </c>
      <c r="N150" t="str">
        <f>INDEX(Scores!$A$2:$A$11,INDEX(Scores!$AA$2:$AA$131,MATCH(C150,Scores!$AB$2:$AB$131,0)))</f>
        <v>chad</v>
      </c>
      <c r="O150">
        <f t="shared" si="27"/>
        <v>99.759999999999991</v>
      </c>
      <c r="P150">
        <f t="shared" si="28"/>
        <v>339.923</v>
      </c>
      <c r="Q150" s="3">
        <f t="shared" si="29"/>
        <v>0.55901290364123501</v>
      </c>
      <c r="R150" s="3">
        <f t="shared" si="30"/>
        <v>0.62213630169074907</v>
      </c>
      <c r="S150" s="9">
        <f t="shared" si="31"/>
        <v>6.3123398049514057E-2</v>
      </c>
      <c r="T150">
        <f t="shared" si="32"/>
        <v>115</v>
      </c>
      <c r="U150">
        <f t="shared" si="33"/>
        <v>102</v>
      </c>
      <c r="V150" s="3">
        <f t="shared" si="34"/>
        <v>0.92430521955527611</v>
      </c>
      <c r="W150" s="9">
        <f t="shared" si="35"/>
        <v>7.5694780444723886E-2</v>
      </c>
      <c r="AB150" s="111" t="s">
        <v>212</v>
      </c>
      <c r="AC150" s="22"/>
      <c r="AD150" s="22"/>
      <c r="AE150" s="22"/>
      <c r="AF150" s="22"/>
      <c r="AG150" s="22"/>
      <c r="AH150" s="22"/>
      <c r="AI150" s="22"/>
      <c r="AJ150" s="22"/>
      <c r="AK150" s="22"/>
      <c r="AL150" s="22"/>
      <c r="AM150" s="22"/>
      <c r="AN150" s="22"/>
      <c r="AO150" s="22">
        <v>9.5871384964141271E-7</v>
      </c>
      <c r="AP150" s="22"/>
      <c r="AQ150" s="22"/>
      <c r="AR150" s="22"/>
      <c r="AS150" s="22"/>
      <c r="AT150" s="22"/>
      <c r="AU150" s="22"/>
      <c r="AV150" s="22"/>
      <c r="AW150" s="22"/>
      <c r="AX150" s="22"/>
      <c r="AY150" s="22"/>
      <c r="AZ150" s="22"/>
      <c r="BA150" s="22"/>
      <c r="BB150" s="22">
        <v>0</v>
      </c>
      <c r="BC150" s="22">
        <v>9.5871384964141271E-7</v>
      </c>
      <c r="BD150" s="22">
        <v>0</v>
      </c>
    </row>
    <row r="151" spans="1:56" x14ac:dyDescent="0.25">
      <c r="A151" t="s">
        <v>407</v>
      </c>
      <c r="B151">
        <v>2</v>
      </c>
      <c r="C151" t="s">
        <v>638</v>
      </c>
      <c r="D151" t="s">
        <v>477</v>
      </c>
      <c r="E151">
        <v>9</v>
      </c>
      <c r="F151">
        <v>9.92</v>
      </c>
      <c r="G151">
        <v>45.292900000000003</v>
      </c>
      <c r="H151" t="s">
        <v>477</v>
      </c>
      <c r="I151" t="s">
        <v>477</v>
      </c>
      <c r="J151" t="s">
        <v>62</v>
      </c>
      <c r="K151">
        <f t="shared" si="24"/>
        <v>102.72000000000001</v>
      </c>
      <c r="L151">
        <f t="shared" si="25"/>
        <v>348.54960000000005</v>
      </c>
      <c r="M151" t="str">
        <f t="shared" si="26"/>
        <v>aj-2</v>
      </c>
      <c r="N151" t="str">
        <f>INDEX(Scores!$A$2:$A$11,INDEX(Scores!$AA$2:$AA$131,MATCH(C151,Scores!$AB$2:$AB$131,0)))</f>
        <v>aj</v>
      </c>
      <c r="O151">
        <f t="shared" si="27"/>
        <v>103.77999999999999</v>
      </c>
      <c r="P151">
        <f t="shared" si="28"/>
        <v>338.9511</v>
      </c>
      <c r="Q151" s="3">
        <f t="shared" si="29"/>
        <v>0.48387643490903587</v>
      </c>
      <c r="R151" s="3">
        <f t="shared" si="30"/>
        <v>0.46886163646664586</v>
      </c>
      <c r="S151" s="9">
        <f t="shared" si="31"/>
        <v>-1.5014798442390009E-2</v>
      </c>
      <c r="T151">
        <f t="shared" si="32"/>
        <v>99</v>
      </c>
      <c r="U151">
        <f t="shared" si="33"/>
        <v>90</v>
      </c>
      <c r="V151" s="3">
        <f t="shared" si="34"/>
        <v>0.92975880434744151</v>
      </c>
      <c r="W151" s="9">
        <f t="shared" si="35"/>
        <v>7.0241195652558486E-2</v>
      </c>
      <c r="AB151" s="111" t="s">
        <v>154</v>
      </c>
      <c r="AC151" s="22"/>
      <c r="AD151" s="22"/>
      <c r="AE151" s="22"/>
      <c r="AF151" s="22"/>
      <c r="AG151" s="22">
        <v>4.4399171339470911E-8</v>
      </c>
      <c r="AH151" s="22"/>
      <c r="AI151" s="22"/>
      <c r="AJ151" s="22"/>
      <c r="AK151" s="22"/>
      <c r="AL151" s="22"/>
      <c r="AM151" s="22"/>
      <c r="AN151" s="22"/>
      <c r="AO151" s="22"/>
      <c r="AP151" s="22"/>
      <c r="AQ151" s="22"/>
      <c r="AR151" s="22"/>
      <c r="AS151" s="22"/>
      <c r="AT151" s="22">
        <v>0</v>
      </c>
      <c r="AU151" s="22"/>
      <c r="AV151" s="22"/>
      <c r="AW151" s="22"/>
      <c r="AX151" s="22"/>
      <c r="AY151" s="22"/>
      <c r="AZ151" s="22"/>
      <c r="BA151" s="22"/>
      <c r="BB151" s="22"/>
      <c r="BC151" s="22">
        <v>4.4399171339470911E-8</v>
      </c>
      <c r="BD151" s="22">
        <v>0</v>
      </c>
    </row>
    <row r="152" spans="1:56" x14ac:dyDescent="0.25">
      <c r="A152" t="s">
        <v>26</v>
      </c>
      <c r="B152">
        <v>11</v>
      </c>
      <c r="C152" t="s">
        <v>941</v>
      </c>
      <c r="D152" t="s">
        <v>467</v>
      </c>
      <c r="E152">
        <v>16</v>
      </c>
      <c r="F152">
        <v>16.64</v>
      </c>
      <c r="G152">
        <v>42.640900000000002</v>
      </c>
      <c r="H152" t="s">
        <v>15</v>
      </c>
      <c r="I152" t="s">
        <v>15</v>
      </c>
      <c r="J152" t="s">
        <v>27</v>
      </c>
      <c r="K152">
        <f t="shared" si="24"/>
        <v>98.580000000000013</v>
      </c>
      <c r="L152">
        <f t="shared" si="25"/>
        <v>364.4375</v>
      </c>
      <c r="M152" t="str">
        <f t="shared" si="26"/>
        <v>matty-11</v>
      </c>
      <c r="N152" t="str">
        <f>INDEX(Scores!$A$2:$A$11,INDEX(Scores!$AA$2:$AA$131,MATCH(C152,Scores!$AB$2:$AB$131,0)))</f>
        <v>matty</v>
      </c>
      <c r="O152">
        <f t="shared" si="27"/>
        <v>88.670000000000016</v>
      </c>
      <c r="P152">
        <f t="shared" si="28"/>
        <v>334.39179999999999</v>
      </c>
      <c r="Q152" s="3">
        <f t="shared" si="29"/>
        <v>0.64612380466415886</v>
      </c>
      <c r="R152" s="3">
        <f t="shared" si="30"/>
        <v>0.64127942032802299</v>
      </c>
      <c r="S152" s="9">
        <f t="shared" si="31"/>
        <v>-4.8443843361358763E-3</v>
      </c>
      <c r="T152">
        <f t="shared" si="32"/>
        <v>111</v>
      </c>
      <c r="U152">
        <f t="shared" si="33"/>
        <v>102</v>
      </c>
      <c r="V152" s="3">
        <f t="shared" si="34"/>
        <v>0.93006340223370043</v>
      </c>
      <c r="W152" s="9">
        <f t="shared" si="35"/>
        <v>6.9936597766299569E-2</v>
      </c>
      <c r="AB152" s="111" t="s">
        <v>126</v>
      </c>
      <c r="AC152" s="22"/>
      <c r="AD152" s="22"/>
      <c r="AE152" s="22">
        <v>-1.8176766758415397E-8</v>
      </c>
      <c r="AF152" s="22"/>
      <c r="AG152" s="22"/>
      <c r="AH152" s="22"/>
      <c r="AI152" s="22"/>
      <c r="AJ152" s="22"/>
      <c r="AK152" s="22"/>
      <c r="AL152" s="22"/>
      <c r="AM152" s="22"/>
      <c r="AN152" s="22">
        <v>1.9924406602367384E-7</v>
      </c>
      <c r="AO152" s="22"/>
      <c r="AP152" s="22"/>
      <c r="AQ152" s="22"/>
      <c r="AR152" s="22">
        <v>0</v>
      </c>
      <c r="AS152" s="22"/>
      <c r="AT152" s="22"/>
      <c r="AU152" s="22"/>
      <c r="AV152" s="22"/>
      <c r="AW152" s="22"/>
      <c r="AX152" s="22"/>
      <c r="AY152" s="22"/>
      <c r="AZ152" s="22"/>
      <c r="BA152" s="22">
        <v>0</v>
      </c>
      <c r="BB152" s="22"/>
      <c r="BC152" s="22">
        <v>1.8106729926525844E-7</v>
      </c>
      <c r="BD152" s="22">
        <v>0</v>
      </c>
    </row>
    <row r="153" spans="1:56" x14ac:dyDescent="0.25">
      <c r="A153" t="s">
        <v>128</v>
      </c>
      <c r="B153">
        <v>10</v>
      </c>
      <c r="C153" t="s">
        <v>972</v>
      </c>
      <c r="D153" t="s">
        <v>466</v>
      </c>
      <c r="E153">
        <v>5</v>
      </c>
      <c r="F153">
        <v>9.31</v>
      </c>
      <c r="G153">
        <v>31.136399999999998</v>
      </c>
      <c r="H153" t="s">
        <v>466</v>
      </c>
      <c r="I153" t="s">
        <v>47</v>
      </c>
      <c r="J153" t="s">
        <v>49</v>
      </c>
      <c r="K153">
        <f t="shared" si="24"/>
        <v>80.72</v>
      </c>
      <c r="L153">
        <f t="shared" si="25"/>
        <v>274.11410000000001</v>
      </c>
      <c r="M153" t="str">
        <f t="shared" si="26"/>
        <v>seth-10</v>
      </c>
      <c r="N153" t="str">
        <f>INDEX(Scores!$A$2:$A$11,INDEX(Scores!$AA$2:$AA$131,MATCH(C153,Scores!$AB$2:$AB$131,0)))</f>
        <v>seth</v>
      </c>
      <c r="O153">
        <f t="shared" si="27"/>
        <v>104.52999999999999</v>
      </c>
      <c r="P153">
        <f t="shared" si="28"/>
        <v>446.11959999999999</v>
      </c>
      <c r="Q153" s="3">
        <f t="shared" si="29"/>
        <v>0.18748498770897654</v>
      </c>
      <c r="R153" s="3">
        <f t="shared" si="30"/>
        <v>0.14203727307693079</v>
      </c>
      <c r="S153" s="9">
        <f t="shared" si="31"/>
        <v>-4.5447714632045749E-2</v>
      </c>
      <c r="T153">
        <f t="shared" si="32"/>
        <v>84</v>
      </c>
      <c r="U153">
        <f t="shared" si="33"/>
        <v>80</v>
      </c>
      <c r="V153" s="3">
        <f t="shared" si="34"/>
        <v>0.93178887180058245</v>
      </c>
      <c r="W153" s="9">
        <f t="shared" si="35"/>
        <v>6.8211128199417548E-2</v>
      </c>
      <c r="AB153" s="111" t="s">
        <v>450</v>
      </c>
      <c r="AC153" s="22"/>
      <c r="AD153" s="22"/>
      <c r="AE153" s="22"/>
      <c r="AF153" s="22"/>
      <c r="AG153" s="22"/>
      <c r="AH153" s="22"/>
      <c r="AI153" s="22"/>
      <c r="AJ153" s="22"/>
      <c r="AK153" s="22"/>
      <c r="AL153" s="22">
        <v>2.6662051899606354E-8</v>
      </c>
      <c r="AM153" s="22"/>
      <c r="AN153" s="22"/>
      <c r="AO153" s="22"/>
      <c r="AP153" s="22"/>
      <c r="AQ153" s="22"/>
      <c r="AR153" s="22"/>
      <c r="AS153" s="22"/>
      <c r="AT153" s="22"/>
      <c r="AU153" s="22"/>
      <c r="AV153" s="22"/>
      <c r="AW153" s="22"/>
      <c r="AX153" s="22"/>
      <c r="AY153" s="22">
        <v>0</v>
      </c>
      <c r="AZ153" s="22"/>
      <c r="BA153" s="22"/>
      <c r="BB153" s="22"/>
      <c r="BC153" s="22">
        <v>2.6662051899606354E-8</v>
      </c>
      <c r="BD153" s="22">
        <v>0</v>
      </c>
    </row>
    <row r="154" spans="1:56" x14ac:dyDescent="0.25">
      <c r="A154" t="s">
        <v>111</v>
      </c>
      <c r="B154">
        <v>1</v>
      </c>
      <c r="C154" t="s">
        <v>502</v>
      </c>
      <c r="D154" t="s">
        <v>468</v>
      </c>
      <c r="E154">
        <v>18</v>
      </c>
      <c r="F154">
        <v>7.58</v>
      </c>
      <c r="G154">
        <v>25.704899999999999</v>
      </c>
      <c r="H154" t="s">
        <v>47</v>
      </c>
      <c r="I154" t="s">
        <v>47</v>
      </c>
      <c r="J154" t="s">
        <v>16</v>
      </c>
      <c r="K154">
        <f t="shared" si="24"/>
        <v>105.11000000000001</v>
      </c>
      <c r="L154">
        <f t="shared" si="25"/>
        <v>445.52289999999994</v>
      </c>
      <c r="M154" t="str">
        <f t="shared" si="26"/>
        <v>perry-1</v>
      </c>
      <c r="N154" t="str">
        <f>INDEX(Scores!$A$2:$A$11,INDEX(Scores!$AA$2:$AA$131,MATCH(C154,Scores!$AB$2:$AB$131,0)))</f>
        <v>perry</v>
      </c>
      <c r="O154">
        <f t="shared" si="27"/>
        <v>94.44</v>
      </c>
      <c r="P154">
        <f t="shared" si="28"/>
        <v>399.28809999999999</v>
      </c>
      <c r="Q154" s="3">
        <f t="shared" si="29"/>
        <v>0.64322786671093812</v>
      </c>
      <c r="R154" s="3">
        <f t="shared" si="30"/>
        <v>0.7694073567037073</v>
      </c>
      <c r="S154" s="9">
        <f t="shared" si="31"/>
        <v>0.12617948999276918</v>
      </c>
      <c r="T154">
        <f t="shared" si="32"/>
        <v>100</v>
      </c>
      <c r="U154">
        <f t="shared" si="33"/>
        <v>82</v>
      </c>
      <c r="V154" s="3">
        <f t="shared" si="34"/>
        <v>0.93255178671833228</v>
      </c>
      <c r="W154" s="9">
        <f t="shared" si="35"/>
        <v>6.7448213281667724E-2</v>
      </c>
      <c r="AB154" s="111" t="s">
        <v>257</v>
      </c>
      <c r="AC154" s="22"/>
      <c r="AD154" s="22"/>
      <c r="AE154" s="22"/>
      <c r="AF154" s="22"/>
      <c r="AG154" s="22"/>
      <c r="AH154" s="22"/>
      <c r="AI154" s="22"/>
      <c r="AJ154" s="22"/>
      <c r="AK154" s="22"/>
      <c r="AL154" s="22"/>
      <c r="AM154" s="22">
        <v>3.9582524369308203E-8</v>
      </c>
      <c r="AN154" s="22"/>
      <c r="AO154" s="22"/>
      <c r="AP154" s="22"/>
      <c r="AQ154" s="22"/>
      <c r="AR154" s="22"/>
      <c r="AS154" s="22"/>
      <c r="AT154" s="22"/>
      <c r="AU154" s="22"/>
      <c r="AV154" s="22"/>
      <c r="AW154" s="22"/>
      <c r="AX154" s="22"/>
      <c r="AY154" s="22"/>
      <c r="AZ154" s="22">
        <v>0</v>
      </c>
      <c r="BA154" s="22"/>
      <c r="BB154" s="22"/>
      <c r="BC154" s="22">
        <v>3.9582524369308203E-8</v>
      </c>
      <c r="BD154" s="22">
        <v>0</v>
      </c>
    </row>
    <row r="155" spans="1:56" x14ac:dyDescent="0.25">
      <c r="A155" t="s">
        <v>165</v>
      </c>
      <c r="B155">
        <v>2</v>
      </c>
      <c r="C155" t="s">
        <v>630</v>
      </c>
      <c r="D155" t="s">
        <v>475</v>
      </c>
      <c r="E155">
        <v>12</v>
      </c>
      <c r="F155">
        <v>7.43</v>
      </c>
      <c r="G155">
        <v>24.502500000000001</v>
      </c>
      <c r="H155" t="s">
        <v>114</v>
      </c>
      <c r="I155" t="s">
        <v>114</v>
      </c>
      <c r="J155" t="s">
        <v>44</v>
      </c>
      <c r="K155">
        <f t="shared" si="24"/>
        <v>91.78</v>
      </c>
      <c r="L155">
        <f t="shared" si="25"/>
        <v>333.71719999999993</v>
      </c>
      <c r="M155" t="str">
        <f t="shared" si="26"/>
        <v>matty-2</v>
      </c>
      <c r="N155" t="str">
        <f>INDEX(Scores!$A$2:$A$11,INDEX(Scores!$AA$2:$AA$131,MATCH(C155,Scores!$AB$2:$AB$131,0)))</f>
        <v>matty</v>
      </c>
      <c r="O155">
        <f t="shared" si="27"/>
        <v>101.3</v>
      </c>
      <c r="P155">
        <f t="shared" si="28"/>
        <v>329.14109999999999</v>
      </c>
      <c r="Q155" s="3">
        <f t="shared" si="29"/>
        <v>0.35577854462426967</v>
      </c>
      <c r="R155" s="3">
        <f t="shared" si="30"/>
        <v>0.42233727022475515</v>
      </c>
      <c r="S155" s="9">
        <f t="shared" si="31"/>
        <v>6.655872560048548E-2</v>
      </c>
      <c r="T155">
        <f t="shared" si="32"/>
        <v>82</v>
      </c>
      <c r="U155">
        <f t="shared" si="33"/>
        <v>70</v>
      </c>
      <c r="V155" s="3">
        <f t="shared" si="34"/>
        <v>0.93332352550266939</v>
      </c>
      <c r="W155" s="9">
        <f t="shared" si="35"/>
        <v>6.6676474497330607E-2</v>
      </c>
      <c r="AB155" s="111" t="s">
        <v>452</v>
      </c>
      <c r="AC155" s="22"/>
      <c r="AD155" s="22"/>
      <c r="AE155" s="22"/>
      <c r="AF155" s="22"/>
      <c r="AG155" s="22"/>
      <c r="AH155" s="22"/>
      <c r="AI155" s="22"/>
      <c r="AJ155" s="22"/>
      <c r="AK155" s="22">
        <v>1.0222432345052823E-7</v>
      </c>
      <c r="AL155" s="22"/>
      <c r="AM155" s="22"/>
      <c r="AN155" s="22"/>
      <c r="AO155" s="22"/>
      <c r="AP155" s="22"/>
      <c r="AQ155" s="22"/>
      <c r="AR155" s="22"/>
      <c r="AS155" s="22"/>
      <c r="AT155" s="22"/>
      <c r="AU155" s="22"/>
      <c r="AV155" s="22"/>
      <c r="AW155" s="22"/>
      <c r="AX155" s="22">
        <v>0</v>
      </c>
      <c r="AY155" s="22"/>
      <c r="AZ155" s="22"/>
      <c r="BA155" s="22"/>
      <c r="BB155" s="22"/>
      <c r="BC155" s="22">
        <v>1.0222432345052823E-7</v>
      </c>
      <c r="BD155" s="22">
        <v>0</v>
      </c>
    </row>
    <row r="156" spans="1:56" x14ac:dyDescent="0.25">
      <c r="A156" t="s">
        <v>405</v>
      </c>
      <c r="B156">
        <v>2</v>
      </c>
      <c r="C156" t="s">
        <v>630</v>
      </c>
      <c r="D156" t="s">
        <v>477</v>
      </c>
      <c r="E156">
        <v>10</v>
      </c>
      <c r="F156">
        <v>6.38</v>
      </c>
      <c r="G156">
        <v>30.802499999999998</v>
      </c>
      <c r="H156" t="s">
        <v>477</v>
      </c>
      <c r="I156" t="s">
        <v>477</v>
      </c>
      <c r="J156" t="s">
        <v>44</v>
      </c>
      <c r="K156">
        <f t="shared" si="24"/>
        <v>91.78</v>
      </c>
      <c r="L156">
        <f t="shared" si="25"/>
        <v>333.71719999999993</v>
      </c>
      <c r="M156" t="str">
        <f t="shared" si="26"/>
        <v>matty-2</v>
      </c>
      <c r="N156" t="str">
        <f>INDEX(Scores!$A$2:$A$11,INDEX(Scores!$AA$2:$AA$131,MATCH(C156,Scores!$AB$2:$AB$131,0)))</f>
        <v>matty</v>
      </c>
      <c r="O156">
        <f t="shared" si="27"/>
        <v>101.3</v>
      </c>
      <c r="P156">
        <f t="shared" si="28"/>
        <v>329.14109999999999</v>
      </c>
      <c r="Q156" s="3">
        <f t="shared" si="29"/>
        <v>0.35577854462426967</v>
      </c>
      <c r="R156" s="3">
        <f t="shared" si="30"/>
        <v>0.4072289289385817</v>
      </c>
      <c r="S156" s="9">
        <f t="shared" si="31"/>
        <v>5.1450384314312037E-2</v>
      </c>
      <c r="T156">
        <f t="shared" si="32"/>
        <v>82</v>
      </c>
      <c r="U156">
        <f t="shared" si="33"/>
        <v>70</v>
      </c>
      <c r="V156" s="3">
        <f t="shared" si="34"/>
        <v>0.93446679316975623</v>
      </c>
      <c r="W156" s="9">
        <f t="shared" si="35"/>
        <v>6.5533206830243773E-2</v>
      </c>
      <c r="AB156" s="111" t="s">
        <v>103</v>
      </c>
      <c r="AC156" s="22"/>
      <c r="AD156" s="22"/>
      <c r="AE156" s="22"/>
      <c r="AF156" s="22"/>
      <c r="AG156" s="22"/>
      <c r="AH156" s="22"/>
      <c r="AI156" s="22"/>
      <c r="AJ156" s="22">
        <v>-2.227994566617042E-9</v>
      </c>
      <c r="AK156" s="22"/>
      <c r="AL156" s="22"/>
      <c r="AM156" s="22"/>
      <c r="AN156" s="22"/>
      <c r="AO156" s="22"/>
      <c r="AP156" s="22"/>
      <c r="AQ156" s="22"/>
      <c r="AR156" s="22"/>
      <c r="AS156" s="22"/>
      <c r="AT156" s="22"/>
      <c r="AU156" s="22"/>
      <c r="AV156" s="22"/>
      <c r="AW156" s="22">
        <v>0</v>
      </c>
      <c r="AX156" s="22"/>
      <c r="AY156" s="22"/>
      <c r="AZ156" s="22"/>
      <c r="BA156" s="22"/>
      <c r="BB156" s="22"/>
      <c r="BC156" s="22">
        <v>-2.227994566617042E-9</v>
      </c>
      <c r="BD156" s="22">
        <v>0</v>
      </c>
    </row>
    <row r="157" spans="1:56" x14ac:dyDescent="0.25">
      <c r="A157" t="s">
        <v>68</v>
      </c>
      <c r="B157">
        <v>9</v>
      </c>
      <c r="C157" t="s">
        <v>979</v>
      </c>
      <c r="D157" t="s">
        <v>467</v>
      </c>
      <c r="E157">
        <v>26</v>
      </c>
      <c r="F157">
        <v>19.059999999999999</v>
      </c>
      <c r="G157">
        <v>52.852899999999998</v>
      </c>
      <c r="H157" t="s">
        <v>15</v>
      </c>
      <c r="I157" t="s">
        <v>15</v>
      </c>
      <c r="J157" t="s">
        <v>44</v>
      </c>
      <c r="K157">
        <f t="shared" si="24"/>
        <v>92.559999999999988</v>
      </c>
      <c r="L157">
        <f t="shared" si="25"/>
        <v>350.31569999999999</v>
      </c>
      <c r="M157" t="str">
        <f t="shared" si="26"/>
        <v>comp-9</v>
      </c>
      <c r="N157" t="str">
        <f>INDEX(Scores!$A$2:$A$11,INDEX(Scores!$AA$2:$AA$131,MATCH(C157,Scores!$AB$2:$AB$131,0)))</f>
        <v>comp</v>
      </c>
      <c r="O157">
        <f t="shared" si="27"/>
        <v>80.800000000000011</v>
      </c>
      <c r="P157">
        <f t="shared" si="28"/>
        <v>290.44450000000001</v>
      </c>
      <c r="Q157" s="3">
        <f t="shared" si="29"/>
        <v>0.67888350653659379</v>
      </c>
      <c r="R157" s="3">
        <f t="shared" si="30"/>
        <v>0.77971641062984254</v>
      </c>
      <c r="S157" s="9">
        <f t="shared" si="31"/>
        <v>0.10083290409324874</v>
      </c>
      <c r="T157">
        <f t="shared" si="32"/>
        <v>95</v>
      </c>
      <c r="U157">
        <f t="shared" si="33"/>
        <v>77</v>
      </c>
      <c r="V157" s="3">
        <f t="shared" si="34"/>
        <v>0.93591028525916264</v>
      </c>
      <c r="W157" s="9">
        <f t="shared" si="35"/>
        <v>6.4089714740837356E-2</v>
      </c>
      <c r="AB157" s="111" t="s">
        <v>118</v>
      </c>
      <c r="AC157" s="22">
        <v>-6.7323981833844471E-8</v>
      </c>
      <c r="AD157" s="22"/>
      <c r="AE157" s="22"/>
      <c r="AF157" s="22"/>
      <c r="AG157" s="22"/>
      <c r="AH157" s="22"/>
      <c r="AI157" s="22"/>
      <c r="AJ157" s="22"/>
      <c r="AK157" s="22"/>
      <c r="AL157" s="22"/>
      <c r="AM157" s="22"/>
      <c r="AN157" s="22"/>
      <c r="AO157" s="22"/>
      <c r="AP157" s="22">
        <v>0</v>
      </c>
      <c r="AQ157" s="22"/>
      <c r="AR157" s="22"/>
      <c r="AS157" s="22"/>
      <c r="AT157" s="22"/>
      <c r="AU157" s="22"/>
      <c r="AV157" s="22"/>
      <c r="AW157" s="22"/>
      <c r="AX157" s="22"/>
      <c r="AY157" s="22"/>
      <c r="AZ157" s="22"/>
      <c r="BA157" s="22"/>
      <c r="BB157" s="22"/>
      <c r="BC157" s="22">
        <v>-6.7323981833844471E-8</v>
      </c>
      <c r="BD157" s="22">
        <v>0</v>
      </c>
    </row>
    <row r="158" spans="1:56" x14ac:dyDescent="0.25">
      <c r="A158" t="s">
        <v>89</v>
      </c>
      <c r="B158">
        <v>5</v>
      </c>
      <c r="C158" t="s">
        <v>888</v>
      </c>
      <c r="D158" t="s">
        <v>468</v>
      </c>
      <c r="E158">
        <v>5</v>
      </c>
      <c r="F158">
        <v>15.77</v>
      </c>
      <c r="G158">
        <v>94.09</v>
      </c>
      <c r="H158" t="s">
        <v>47</v>
      </c>
      <c r="I158" t="s">
        <v>47</v>
      </c>
      <c r="J158" t="s">
        <v>55</v>
      </c>
      <c r="K158">
        <f t="shared" si="24"/>
        <v>117.25999999999999</v>
      </c>
      <c r="L158">
        <f t="shared" si="25"/>
        <v>422.9941</v>
      </c>
      <c r="M158" t="str">
        <f t="shared" si="26"/>
        <v>matty-5</v>
      </c>
      <c r="N158" t="str">
        <f>INDEX(Scores!$A$2:$A$11,INDEX(Scores!$AA$2:$AA$131,MATCH(C158,Scores!$AB$2:$AB$131,0)))</f>
        <v>matty</v>
      </c>
      <c r="O158">
        <f t="shared" si="27"/>
        <v>99.23</v>
      </c>
      <c r="P158">
        <f t="shared" si="28"/>
        <v>364.64739999999995</v>
      </c>
      <c r="Q158" s="3">
        <f t="shared" si="29"/>
        <v>0.73970568419743477</v>
      </c>
      <c r="R158" s="3">
        <f t="shared" si="30"/>
        <v>0.60860112122099708</v>
      </c>
      <c r="S158" s="9">
        <f t="shared" si="31"/>
        <v>-0.13110456297643769</v>
      </c>
      <c r="T158">
        <f t="shared" si="32"/>
        <v>110</v>
      </c>
      <c r="U158">
        <f t="shared" si="33"/>
        <v>106</v>
      </c>
      <c r="V158" s="3">
        <f t="shared" si="34"/>
        <v>0.93608065958982689</v>
      </c>
      <c r="W158" s="9">
        <f t="shared" si="35"/>
        <v>6.3919340410173109E-2</v>
      </c>
      <c r="AB158" s="111" t="s">
        <v>96</v>
      </c>
      <c r="AC158" s="22"/>
      <c r="AD158" s="22"/>
      <c r="AE158" s="22"/>
      <c r="AF158" s="22"/>
      <c r="AG158" s="22"/>
      <c r="AH158" s="22"/>
      <c r="AI158" s="22">
        <v>8.7123785963427736E-8</v>
      </c>
      <c r="AJ158" s="22"/>
      <c r="AK158" s="22"/>
      <c r="AL158" s="22"/>
      <c r="AM158" s="22"/>
      <c r="AN158" s="22"/>
      <c r="AO158" s="22"/>
      <c r="AP158" s="22"/>
      <c r="AQ158" s="22"/>
      <c r="AR158" s="22"/>
      <c r="AS158" s="22"/>
      <c r="AT158" s="22"/>
      <c r="AU158" s="22"/>
      <c r="AV158" s="22">
        <v>0</v>
      </c>
      <c r="AW158" s="22"/>
      <c r="AX158" s="22"/>
      <c r="AY158" s="22"/>
      <c r="AZ158" s="22"/>
      <c r="BA158" s="22"/>
      <c r="BB158" s="22"/>
      <c r="BC158" s="22">
        <v>8.7123785963427736E-8</v>
      </c>
      <c r="BD158" s="22">
        <v>0</v>
      </c>
    </row>
    <row r="159" spans="1:56" x14ac:dyDescent="0.25">
      <c r="A159" t="s">
        <v>124</v>
      </c>
      <c r="B159">
        <v>8</v>
      </c>
      <c r="C159" t="s">
        <v>970</v>
      </c>
      <c r="D159" t="s">
        <v>471</v>
      </c>
      <c r="E159">
        <v>1</v>
      </c>
      <c r="F159">
        <v>8.98</v>
      </c>
      <c r="G159">
        <v>34.692100000000003</v>
      </c>
      <c r="H159" t="s">
        <v>87</v>
      </c>
      <c r="I159" t="s">
        <v>87</v>
      </c>
      <c r="J159" t="s">
        <v>49</v>
      </c>
      <c r="K159">
        <f t="shared" si="24"/>
        <v>88.500000000000014</v>
      </c>
      <c r="L159">
        <f t="shared" si="25"/>
        <v>351.30459999999999</v>
      </c>
      <c r="M159" t="str">
        <f t="shared" si="26"/>
        <v>cory-8</v>
      </c>
      <c r="N159" t="str">
        <f>INDEX(Scores!$A$2:$A$11,INDEX(Scores!$AA$2:$AA$131,MATCH(C159,Scores!$AB$2:$AB$131,0)))</f>
        <v>cory</v>
      </c>
      <c r="O159">
        <f t="shared" si="27"/>
        <v>106.3</v>
      </c>
      <c r="P159">
        <f t="shared" si="28"/>
        <v>423.11159999999995</v>
      </c>
      <c r="Q159" s="3">
        <f t="shared" si="29"/>
        <v>0.2612046893481158</v>
      </c>
      <c r="R159" s="3">
        <f t="shared" si="30"/>
        <v>0.1715982358032368</v>
      </c>
      <c r="S159" s="9">
        <f t="shared" si="31"/>
        <v>-8.9606453544879006E-2</v>
      </c>
      <c r="T159">
        <f t="shared" si="32"/>
        <v>107</v>
      </c>
      <c r="U159">
        <f t="shared" si="33"/>
        <v>106</v>
      </c>
      <c r="V159" s="3">
        <f t="shared" si="34"/>
        <v>0.93632279702039367</v>
      </c>
      <c r="W159" s="9">
        <f t="shared" si="35"/>
        <v>6.3677202979606329E-2</v>
      </c>
      <c r="AB159" s="111" t="s">
        <v>170</v>
      </c>
      <c r="AC159" s="22"/>
      <c r="AD159" s="22"/>
      <c r="AE159" s="22"/>
      <c r="AF159" s="22"/>
      <c r="AG159" s="22"/>
      <c r="AH159" s="22">
        <v>2.7534737323531289E-7</v>
      </c>
      <c r="AI159" s="22"/>
      <c r="AJ159" s="22"/>
      <c r="AK159" s="22"/>
      <c r="AL159" s="22"/>
      <c r="AM159" s="22"/>
      <c r="AN159" s="22"/>
      <c r="AO159" s="22"/>
      <c r="AP159" s="22"/>
      <c r="AQ159" s="22"/>
      <c r="AR159" s="22"/>
      <c r="AS159" s="22"/>
      <c r="AT159" s="22"/>
      <c r="AU159" s="22">
        <v>0</v>
      </c>
      <c r="AV159" s="22"/>
      <c r="AW159" s="22"/>
      <c r="AX159" s="22"/>
      <c r="AY159" s="22"/>
      <c r="AZ159" s="22"/>
      <c r="BA159" s="22"/>
      <c r="BB159" s="22"/>
      <c r="BC159" s="22">
        <v>2.7534737323531289E-7</v>
      </c>
      <c r="BD159" s="22">
        <v>0</v>
      </c>
    </row>
    <row r="160" spans="1:56" x14ac:dyDescent="0.25">
      <c r="A160" t="s">
        <v>95</v>
      </c>
      <c r="B160">
        <v>12</v>
      </c>
      <c r="C160" t="s">
        <v>934</v>
      </c>
      <c r="D160" t="s">
        <v>467</v>
      </c>
      <c r="E160">
        <v>12</v>
      </c>
      <c r="F160">
        <v>19.62</v>
      </c>
      <c r="G160">
        <v>67.568399999999997</v>
      </c>
      <c r="H160" t="s">
        <v>15</v>
      </c>
      <c r="I160" t="s">
        <v>15</v>
      </c>
      <c r="J160" t="s">
        <v>35</v>
      </c>
      <c r="K160">
        <f t="shared" si="24"/>
        <v>99.070000000000007</v>
      </c>
      <c r="L160">
        <f t="shared" si="25"/>
        <v>350.10639999999995</v>
      </c>
      <c r="M160" t="str">
        <f t="shared" si="26"/>
        <v>matty-12</v>
      </c>
      <c r="N160" t="str">
        <f>INDEX(Scores!$A$2:$A$11,INDEX(Scores!$AA$2:$AA$131,MATCH(C160,Scores!$AB$2:$AB$131,0)))</f>
        <v>matty</v>
      </c>
      <c r="O160">
        <f t="shared" si="27"/>
        <v>94.28</v>
      </c>
      <c r="P160">
        <f t="shared" si="28"/>
        <v>371.05129999999997</v>
      </c>
      <c r="Q160" s="3">
        <f t="shared" si="29"/>
        <v>0.57078356677741682</v>
      </c>
      <c r="R160" s="3">
        <f t="shared" si="30"/>
        <v>0.45592850276525287</v>
      </c>
      <c r="S160" s="9">
        <f t="shared" si="31"/>
        <v>-0.11485506401216394</v>
      </c>
      <c r="T160">
        <f t="shared" si="32"/>
        <v>80</v>
      </c>
      <c r="U160">
        <f t="shared" si="33"/>
        <v>75</v>
      </c>
      <c r="V160" s="3">
        <f t="shared" si="34"/>
        <v>0.93764244375808214</v>
      </c>
      <c r="W160" s="9">
        <f t="shared" si="35"/>
        <v>6.2357556241917855E-2</v>
      </c>
      <c r="AB160" s="111" t="s">
        <v>247</v>
      </c>
      <c r="AC160" s="22"/>
      <c r="AD160" s="22"/>
      <c r="AE160" s="22"/>
      <c r="AF160" s="22"/>
      <c r="AG160" s="22"/>
      <c r="AH160" s="22"/>
      <c r="AI160" s="22"/>
      <c r="AJ160" s="22"/>
      <c r="AK160" s="22"/>
      <c r="AL160" s="22"/>
      <c r="AM160" s="22"/>
      <c r="AN160" s="22"/>
      <c r="AO160" s="22">
        <v>-1.1086143186789243E-6</v>
      </c>
      <c r="AP160" s="22"/>
      <c r="AQ160" s="22"/>
      <c r="AR160" s="22"/>
      <c r="AS160" s="22"/>
      <c r="AT160" s="22"/>
      <c r="AU160" s="22"/>
      <c r="AV160" s="22"/>
      <c r="AW160" s="22"/>
      <c r="AX160" s="22"/>
      <c r="AY160" s="22"/>
      <c r="AZ160" s="22"/>
      <c r="BA160" s="22"/>
      <c r="BB160" s="22">
        <v>0</v>
      </c>
      <c r="BC160" s="22">
        <v>-1.1086143186789243E-6</v>
      </c>
      <c r="BD160" s="22">
        <v>0</v>
      </c>
    </row>
    <row r="161" spans="1:56" x14ac:dyDescent="0.25">
      <c r="A161" t="s">
        <v>108</v>
      </c>
      <c r="B161">
        <v>5</v>
      </c>
      <c r="C161" t="s">
        <v>889</v>
      </c>
      <c r="D161" t="s">
        <v>472</v>
      </c>
      <c r="E161">
        <v>8</v>
      </c>
      <c r="F161">
        <v>10.24</v>
      </c>
      <c r="G161">
        <v>28.408899999999999</v>
      </c>
      <c r="H161" t="s">
        <v>87</v>
      </c>
      <c r="I161" t="s">
        <v>87</v>
      </c>
      <c r="J161" t="s">
        <v>23</v>
      </c>
      <c r="K161">
        <f t="shared" si="24"/>
        <v>97.27</v>
      </c>
      <c r="L161">
        <f t="shared" si="25"/>
        <v>430.39269999999999</v>
      </c>
      <c r="M161" t="str">
        <f t="shared" si="26"/>
        <v>seth-5</v>
      </c>
      <c r="N161" t="str">
        <f>INDEX(Scores!$A$2:$A$11,INDEX(Scores!$AA$2:$AA$131,MATCH(C161,Scores!$AB$2:$AB$131,0)))</f>
        <v>seth</v>
      </c>
      <c r="O161">
        <f t="shared" si="27"/>
        <v>98.72999999999999</v>
      </c>
      <c r="P161">
        <f t="shared" si="28"/>
        <v>396.28840000000002</v>
      </c>
      <c r="Q161" s="3">
        <f t="shared" si="29"/>
        <v>0.47975082605670671</v>
      </c>
      <c r="R161" s="3">
        <f t="shared" si="30"/>
        <v>0.4479049594096472</v>
      </c>
      <c r="S161" s="9">
        <f t="shared" si="31"/>
        <v>-3.1845866647059518E-2</v>
      </c>
      <c r="T161">
        <f t="shared" si="32"/>
        <v>96</v>
      </c>
      <c r="U161">
        <f t="shared" si="33"/>
        <v>90</v>
      </c>
      <c r="V161" s="3">
        <f t="shared" si="34"/>
        <v>0.93894363797312608</v>
      </c>
      <c r="W161" s="9">
        <f t="shared" si="35"/>
        <v>6.1056362026873923E-2</v>
      </c>
      <c r="AB161" s="111" t="s">
        <v>176</v>
      </c>
      <c r="AC161" s="22"/>
      <c r="AD161" s="22"/>
      <c r="AE161" s="22"/>
      <c r="AF161" s="22">
        <v>-3.9714595168049982E-8</v>
      </c>
      <c r="AG161" s="22"/>
      <c r="AH161" s="22"/>
      <c r="AI161" s="22"/>
      <c r="AJ161" s="22"/>
      <c r="AK161" s="22"/>
      <c r="AL161" s="22"/>
      <c r="AM161" s="22"/>
      <c r="AN161" s="22"/>
      <c r="AO161" s="22"/>
      <c r="AP161" s="22"/>
      <c r="AQ161" s="22"/>
      <c r="AR161" s="22"/>
      <c r="AS161" s="22">
        <v>0</v>
      </c>
      <c r="AT161" s="22"/>
      <c r="AU161" s="22"/>
      <c r="AV161" s="22"/>
      <c r="AW161" s="22"/>
      <c r="AX161" s="22"/>
      <c r="AY161" s="22"/>
      <c r="AZ161" s="22"/>
      <c r="BA161" s="22"/>
      <c r="BB161" s="22"/>
      <c r="BC161" s="22">
        <v>-3.9714595168049982E-8</v>
      </c>
      <c r="BD161" s="22">
        <v>0</v>
      </c>
    </row>
    <row r="162" spans="1:56" x14ac:dyDescent="0.25">
      <c r="A162" t="s">
        <v>26</v>
      </c>
      <c r="B162">
        <v>1</v>
      </c>
      <c r="C162" t="s">
        <v>506</v>
      </c>
      <c r="D162" t="s">
        <v>467</v>
      </c>
      <c r="E162">
        <v>17</v>
      </c>
      <c r="F162">
        <v>21.48</v>
      </c>
      <c r="G162">
        <v>44.089599999999997</v>
      </c>
      <c r="H162" t="s">
        <v>15</v>
      </c>
      <c r="I162" t="s">
        <v>15</v>
      </c>
      <c r="J162" t="s">
        <v>27</v>
      </c>
      <c r="K162">
        <f t="shared" si="24"/>
        <v>110.7</v>
      </c>
      <c r="L162">
        <f t="shared" si="25"/>
        <v>433.44330000000002</v>
      </c>
      <c r="M162" t="str">
        <f t="shared" si="26"/>
        <v>seth-1</v>
      </c>
      <c r="N162" t="str">
        <f>INDEX(Scores!$A$2:$A$11,INDEX(Scores!$AA$2:$AA$131,MATCH(C162,Scores!$AB$2:$AB$131,0)))</f>
        <v>seth</v>
      </c>
      <c r="O162">
        <f t="shared" si="27"/>
        <v>111.07</v>
      </c>
      <c r="P162">
        <f t="shared" si="28"/>
        <v>422.00569999999999</v>
      </c>
      <c r="Q162" s="3">
        <f t="shared" si="29"/>
        <v>0.49495335047896771</v>
      </c>
      <c r="R162" s="3">
        <f t="shared" si="30"/>
        <v>0.43239936926020273</v>
      </c>
      <c r="S162" s="9">
        <f t="shared" si="31"/>
        <v>-6.2553981218764987E-2</v>
      </c>
      <c r="T162">
        <f t="shared" si="32"/>
        <v>77</v>
      </c>
      <c r="U162">
        <f t="shared" si="33"/>
        <v>71</v>
      </c>
      <c r="V162" s="3">
        <f t="shared" si="34"/>
        <v>0.94275316863258318</v>
      </c>
      <c r="W162" s="9">
        <f t="shared" si="35"/>
        <v>5.7246831367416817E-2</v>
      </c>
      <c r="AB162" s="111" t="s">
        <v>65</v>
      </c>
      <c r="AC162" s="22"/>
      <c r="AD162" s="22"/>
      <c r="AE162" s="22"/>
      <c r="AF162" s="22"/>
      <c r="AG162" s="22"/>
      <c r="AH162" s="22"/>
      <c r="AI162" s="22"/>
      <c r="AJ162" s="22"/>
      <c r="AK162" s="22"/>
      <c r="AL162" s="22">
        <v>3.1047838189302013E-8</v>
      </c>
      <c r="AM162" s="22"/>
      <c r="AN162" s="22"/>
      <c r="AO162" s="22"/>
      <c r="AP162" s="22"/>
      <c r="AQ162" s="22"/>
      <c r="AR162" s="22"/>
      <c r="AS162" s="22"/>
      <c r="AT162" s="22"/>
      <c r="AU162" s="22"/>
      <c r="AV162" s="22"/>
      <c r="AW162" s="22"/>
      <c r="AX162" s="22"/>
      <c r="AY162" s="22">
        <v>0</v>
      </c>
      <c r="AZ162" s="22"/>
      <c r="BA162" s="22"/>
      <c r="BB162" s="22"/>
      <c r="BC162" s="22">
        <v>3.1047838189302013E-8</v>
      </c>
      <c r="BD162" s="22">
        <v>0</v>
      </c>
    </row>
    <row r="163" spans="1:56" x14ac:dyDescent="0.25">
      <c r="A163" t="s">
        <v>281</v>
      </c>
      <c r="B163">
        <v>10</v>
      </c>
      <c r="C163" t="s">
        <v>972</v>
      </c>
      <c r="D163" t="s">
        <v>469</v>
      </c>
      <c r="E163">
        <v>1</v>
      </c>
      <c r="F163">
        <v>6.55</v>
      </c>
      <c r="G163">
        <v>36.120100000000001</v>
      </c>
      <c r="H163" t="s">
        <v>47</v>
      </c>
      <c r="I163" t="s">
        <v>47</v>
      </c>
      <c r="J163" t="s">
        <v>49</v>
      </c>
      <c r="K163">
        <f t="shared" si="24"/>
        <v>80.72</v>
      </c>
      <c r="L163">
        <f t="shared" si="25"/>
        <v>274.11410000000001</v>
      </c>
      <c r="M163" t="str">
        <f t="shared" si="26"/>
        <v>seth-10</v>
      </c>
      <c r="N163" t="str">
        <f>INDEX(Scores!$A$2:$A$11,INDEX(Scores!$AA$2:$AA$131,MATCH(C163,Scores!$AB$2:$AB$131,0)))</f>
        <v>seth</v>
      </c>
      <c r="O163">
        <f t="shared" si="27"/>
        <v>104.52999999999999</v>
      </c>
      <c r="P163">
        <f t="shared" si="28"/>
        <v>446.11959999999999</v>
      </c>
      <c r="Q163" s="3">
        <f t="shared" si="29"/>
        <v>0.18748498770897654</v>
      </c>
      <c r="R163" s="3">
        <f t="shared" si="30"/>
        <v>0.13082188421592728</v>
      </c>
      <c r="S163" s="9">
        <f t="shared" si="31"/>
        <v>-5.6663103493049261E-2</v>
      </c>
      <c r="T163">
        <f t="shared" si="32"/>
        <v>84</v>
      </c>
      <c r="U163">
        <f t="shared" si="33"/>
        <v>80</v>
      </c>
      <c r="V163" s="3">
        <f t="shared" si="34"/>
        <v>0.94397186970258085</v>
      </c>
      <c r="W163" s="9">
        <f t="shared" si="35"/>
        <v>5.6028130297419154E-2</v>
      </c>
      <c r="AB163" s="111" t="s">
        <v>116</v>
      </c>
      <c r="AC163" s="22">
        <v>7.8814381909708686E-8</v>
      </c>
      <c r="AD163" s="22"/>
      <c r="AE163" s="22"/>
      <c r="AF163" s="22"/>
      <c r="AG163" s="22"/>
      <c r="AH163" s="22"/>
      <c r="AI163" s="22"/>
      <c r="AJ163" s="22"/>
      <c r="AK163" s="22"/>
      <c r="AL163" s="22"/>
      <c r="AM163" s="22"/>
      <c r="AN163" s="22"/>
      <c r="AO163" s="22"/>
      <c r="AP163" s="22">
        <v>0</v>
      </c>
      <c r="AQ163" s="22"/>
      <c r="AR163" s="22"/>
      <c r="AS163" s="22"/>
      <c r="AT163" s="22"/>
      <c r="AU163" s="22"/>
      <c r="AV163" s="22"/>
      <c r="AW163" s="22"/>
      <c r="AX163" s="22"/>
      <c r="AY163" s="22"/>
      <c r="AZ163" s="22"/>
      <c r="BA163" s="22"/>
      <c r="BB163" s="22"/>
      <c r="BC163" s="22">
        <v>7.8814381909708686E-8</v>
      </c>
      <c r="BD163" s="22">
        <v>0</v>
      </c>
    </row>
    <row r="164" spans="1:56" x14ac:dyDescent="0.25">
      <c r="A164" t="s">
        <v>39</v>
      </c>
      <c r="B164">
        <v>7</v>
      </c>
      <c r="C164" t="s">
        <v>953</v>
      </c>
      <c r="D164" t="s">
        <v>467</v>
      </c>
      <c r="E164">
        <v>7</v>
      </c>
      <c r="F164">
        <v>17.739999999999998</v>
      </c>
      <c r="G164">
        <v>63.520899999999997</v>
      </c>
      <c r="H164" t="s">
        <v>15</v>
      </c>
      <c r="I164" t="s">
        <v>15</v>
      </c>
      <c r="J164" t="s">
        <v>40</v>
      </c>
      <c r="K164">
        <f t="shared" si="24"/>
        <v>91.929999999999993</v>
      </c>
      <c r="L164">
        <f t="shared" si="25"/>
        <v>386.72199999999998</v>
      </c>
      <c r="M164" t="e">
        <f t="shared" si="26"/>
        <v>#N/A</v>
      </c>
      <c r="N164" t="e">
        <f>INDEX(Scores!$A$2:$A$11,INDEX(Scores!$AA$2:$AA$131,MATCH(C164,Scores!$AB$2:$AB$131,0)))</f>
        <v>#N/A</v>
      </c>
      <c r="O164">
        <f t="shared" si="27"/>
        <v>0</v>
      </c>
      <c r="P164">
        <f t="shared" si="28"/>
        <v>0</v>
      </c>
      <c r="Q164" s="3">
        <f t="shared" si="29"/>
        <v>0.99999852839643777</v>
      </c>
      <c r="R164" s="3">
        <f t="shared" si="30"/>
        <v>0.99999685095182411</v>
      </c>
      <c r="S164" s="9">
        <f t="shared" si="31"/>
        <v>-1.677444613656931E-6</v>
      </c>
      <c r="T164">
        <f t="shared" si="32"/>
        <v>75</v>
      </c>
      <c r="U164">
        <f t="shared" si="33"/>
        <v>0</v>
      </c>
      <c r="V164" s="3">
        <f t="shared" si="34"/>
        <v>1</v>
      </c>
      <c r="W164" s="9">
        <f t="shared" si="35"/>
        <v>0</v>
      </c>
      <c r="AB164" s="111" t="s">
        <v>418</v>
      </c>
      <c r="AC164" s="22">
        <v>1.2414712580177678E-7</v>
      </c>
      <c r="AD164" s="22"/>
      <c r="AE164" s="22"/>
      <c r="AF164" s="22"/>
      <c r="AG164" s="22"/>
      <c r="AH164" s="22"/>
      <c r="AI164" s="22"/>
      <c r="AJ164" s="22"/>
      <c r="AK164" s="22"/>
      <c r="AL164" s="22"/>
      <c r="AM164" s="22"/>
      <c r="AN164" s="22"/>
      <c r="AO164" s="22"/>
      <c r="AP164" s="22">
        <v>0</v>
      </c>
      <c r="AQ164" s="22"/>
      <c r="AR164" s="22"/>
      <c r="AS164" s="22"/>
      <c r="AT164" s="22"/>
      <c r="AU164" s="22"/>
      <c r="AV164" s="22"/>
      <c r="AW164" s="22"/>
      <c r="AX164" s="22"/>
      <c r="AY164" s="22"/>
      <c r="AZ164" s="22"/>
      <c r="BA164" s="22"/>
      <c r="BB164" s="22"/>
      <c r="BC164" s="22">
        <v>1.2414712580177678E-7</v>
      </c>
      <c r="BD164" s="22">
        <v>0</v>
      </c>
    </row>
    <row r="165" spans="1:56" x14ac:dyDescent="0.25">
      <c r="A165" t="s">
        <v>96</v>
      </c>
      <c r="B165">
        <v>6</v>
      </c>
      <c r="C165" t="s">
        <v>936</v>
      </c>
      <c r="D165" t="s">
        <v>471</v>
      </c>
      <c r="E165">
        <v>21</v>
      </c>
      <c r="F165">
        <v>11.24</v>
      </c>
      <c r="G165">
        <v>33.177599999999998</v>
      </c>
      <c r="H165" t="s">
        <v>87</v>
      </c>
      <c r="I165" t="s">
        <v>87</v>
      </c>
      <c r="J165" t="s">
        <v>27</v>
      </c>
      <c r="K165">
        <f t="shared" si="24"/>
        <v>104.66</v>
      </c>
      <c r="L165">
        <f t="shared" si="25"/>
        <v>375.94899999999996</v>
      </c>
      <c r="M165" t="str">
        <f t="shared" si="26"/>
        <v>devon-6</v>
      </c>
      <c r="N165" t="str">
        <f>INDEX(Scores!$A$2:$A$11,INDEX(Scores!$AA$2:$AA$131,MATCH(C165,Scores!$AB$2:$AB$131,0)))</f>
        <v>devon</v>
      </c>
      <c r="O165">
        <f t="shared" si="27"/>
        <v>101.41999999999999</v>
      </c>
      <c r="P165">
        <f t="shared" si="28"/>
        <v>401.13359999999994</v>
      </c>
      <c r="Q165" s="3">
        <f t="shared" si="29"/>
        <v>0.54626414609906893</v>
      </c>
      <c r="R165" s="3">
        <f t="shared" si="30"/>
        <v>0.68318845751601809</v>
      </c>
      <c r="S165" s="9">
        <f t="shared" si="31"/>
        <v>0.13692431141694916</v>
      </c>
      <c r="T165">
        <f t="shared" si="32"/>
        <v>91</v>
      </c>
      <c r="U165">
        <f t="shared" si="33"/>
        <v>72</v>
      </c>
      <c r="V165" s="3">
        <f t="shared" si="34"/>
        <v>0.94566133996495005</v>
      </c>
      <c r="W165" s="9">
        <f t="shared" si="35"/>
        <v>5.4338660035049946E-2</v>
      </c>
      <c r="AB165" s="111" t="s">
        <v>160</v>
      </c>
      <c r="AC165" s="22"/>
      <c r="AD165" s="22"/>
      <c r="AE165" s="22"/>
      <c r="AF165" s="22"/>
      <c r="AG165" s="22"/>
      <c r="AH165" s="22">
        <v>-5.9348556069593883E-9</v>
      </c>
      <c r="AI165" s="22"/>
      <c r="AJ165" s="22">
        <v>-9.230508313251562E-8</v>
      </c>
      <c r="AK165" s="22"/>
      <c r="AL165" s="22"/>
      <c r="AM165" s="22"/>
      <c r="AN165" s="22"/>
      <c r="AO165" s="22"/>
      <c r="AP165" s="22"/>
      <c r="AQ165" s="22"/>
      <c r="AR165" s="22"/>
      <c r="AS165" s="22"/>
      <c r="AT165" s="22"/>
      <c r="AU165" s="22">
        <v>0</v>
      </c>
      <c r="AV165" s="22"/>
      <c r="AW165" s="22">
        <v>0</v>
      </c>
      <c r="AX165" s="22"/>
      <c r="AY165" s="22"/>
      <c r="AZ165" s="22"/>
      <c r="BA165" s="22"/>
      <c r="BB165" s="22"/>
      <c r="BC165" s="22">
        <v>-9.8239938739475008E-8</v>
      </c>
      <c r="BD165" s="22">
        <v>0</v>
      </c>
    </row>
    <row r="166" spans="1:56" x14ac:dyDescent="0.25">
      <c r="A166" t="s">
        <v>101</v>
      </c>
      <c r="B166">
        <v>12</v>
      </c>
      <c r="C166" t="s">
        <v>934</v>
      </c>
      <c r="D166" t="s">
        <v>466</v>
      </c>
      <c r="E166">
        <v>3</v>
      </c>
      <c r="F166">
        <v>9.24</v>
      </c>
      <c r="G166">
        <v>48.5809</v>
      </c>
      <c r="H166" t="s">
        <v>466</v>
      </c>
      <c r="I166" t="s">
        <v>47</v>
      </c>
      <c r="J166" t="s">
        <v>35</v>
      </c>
      <c r="K166">
        <f t="shared" si="24"/>
        <v>99.070000000000007</v>
      </c>
      <c r="L166">
        <f t="shared" si="25"/>
        <v>350.10639999999995</v>
      </c>
      <c r="M166" t="str">
        <f t="shared" si="26"/>
        <v>matty-12</v>
      </c>
      <c r="N166" t="str">
        <f>INDEX(Scores!$A$2:$A$11,INDEX(Scores!$AA$2:$AA$131,MATCH(C166,Scores!$AB$2:$AB$131,0)))</f>
        <v>matty</v>
      </c>
      <c r="O166">
        <f t="shared" si="27"/>
        <v>94.28</v>
      </c>
      <c r="P166">
        <f t="shared" si="28"/>
        <v>371.05129999999997</v>
      </c>
      <c r="Q166" s="3">
        <f t="shared" si="29"/>
        <v>0.57078356677741682</v>
      </c>
      <c r="R166" s="3">
        <f t="shared" si="30"/>
        <v>0.47770636410742517</v>
      </c>
      <c r="S166" s="9">
        <f t="shared" si="31"/>
        <v>-9.3077202669991643E-2</v>
      </c>
      <c r="T166">
        <f t="shared" si="32"/>
        <v>80</v>
      </c>
      <c r="U166">
        <f t="shared" si="33"/>
        <v>75</v>
      </c>
      <c r="V166" s="3">
        <f t="shared" si="34"/>
        <v>0.94658705663958842</v>
      </c>
      <c r="W166" s="9">
        <f t="shared" si="35"/>
        <v>5.341294336041158E-2</v>
      </c>
      <c r="AB166" s="111" t="s">
        <v>108</v>
      </c>
      <c r="AC166" s="22"/>
      <c r="AD166" s="22">
        <v>-4.2849407089207148E-7</v>
      </c>
      <c r="AE166" s="22"/>
      <c r="AF166" s="22"/>
      <c r="AG166" s="22"/>
      <c r="AH166" s="22"/>
      <c r="AI166" s="22"/>
      <c r="AJ166" s="22"/>
      <c r="AK166" s="22"/>
      <c r="AL166" s="22"/>
      <c r="AM166" s="22"/>
      <c r="AN166" s="22"/>
      <c r="AO166" s="22"/>
      <c r="AP166" s="22"/>
      <c r="AQ166" s="22">
        <v>0</v>
      </c>
      <c r="AR166" s="22"/>
      <c r="AS166" s="22"/>
      <c r="AT166" s="22"/>
      <c r="AU166" s="22"/>
      <c r="AV166" s="22"/>
      <c r="AW166" s="22"/>
      <c r="AX166" s="22"/>
      <c r="AY166" s="22"/>
      <c r="AZ166" s="22"/>
      <c r="BA166" s="22"/>
      <c r="BB166" s="22"/>
      <c r="BC166" s="22">
        <v>-4.2849407089207148E-7</v>
      </c>
      <c r="BD166" s="22">
        <v>0</v>
      </c>
    </row>
    <row r="167" spans="1:56" x14ac:dyDescent="0.25">
      <c r="A167" t="s">
        <v>107</v>
      </c>
      <c r="B167">
        <v>10</v>
      </c>
      <c r="C167" t="s">
        <v>972</v>
      </c>
      <c r="D167" t="s">
        <v>473</v>
      </c>
      <c r="E167">
        <v>2</v>
      </c>
      <c r="F167">
        <v>9.59</v>
      </c>
      <c r="G167">
        <v>51.552399999999999</v>
      </c>
      <c r="H167" t="s">
        <v>87</v>
      </c>
      <c r="I167" t="s">
        <v>87</v>
      </c>
      <c r="J167" t="s">
        <v>49</v>
      </c>
      <c r="K167">
        <f t="shared" si="24"/>
        <v>80.72</v>
      </c>
      <c r="L167">
        <f t="shared" si="25"/>
        <v>274.11410000000001</v>
      </c>
      <c r="M167" t="str">
        <f t="shared" si="26"/>
        <v>seth-10</v>
      </c>
      <c r="N167" t="str">
        <f>INDEX(Scores!$A$2:$A$11,INDEX(Scores!$AA$2:$AA$131,MATCH(C167,Scores!$AB$2:$AB$131,0)))</f>
        <v>seth</v>
      </c>
      <c r="O167">
        <f t="shared" si="27"/>
        <v>104.52999999999999</v>
      </c>
      <c r="P167">
        <f t="shared" si="28"/>
        <v>446.11959999999999</v>
      </c>
      <c r="Q167" s="3">
        <f t="shared" si="29"/>
        <v>0.18748498770897654</v>
      </c>
      <c r="R167" s="3">
        <f t="shared" si="30"/>
        <v>0.11231976063021468</v>
      </c>
      <c r="S167" s="9">
        <f t="shared" si="31"/>
        <v>-7.5165227078761859E-2</v>
      </c>
      <c r="T167">
        <f t="shared" si="32"/>
        <v>84</v>
      </c>
      <c r="U167">
        <f t="shared" si="33"/>
        <v>80</v>
      </c>
      <c r="V167" s="3">
        <f t="shared" si="34"/>
        <v>0.94675863839387198</v>
      </c>
      <c r="W167" s="9">
        <f t="shared" si="35"/>
        <v>5.3241361606128024E-2</v>
      </c>
      <c r="AB167" s="111" t="s">
        <v>107</v>
      </c>
      <c r="AC167" s="22">
        <v>-8.5212218392527461E-8</v>
      </c>
      <c r="AD167" s="22"/>
      <c r="AE167" s="22"/>
      <c r="AF167" s="22"/>
      <c r="AG167" s="22"/>
      <c r="AH167" s="22"/>
      <c r="AI167" s="22"/>
      <c r="AJ167" s="22"/>
      <c r="AK167" s="22"/>
      <c r="AL167" s="22"/>
      <c r="AM167" s="22"/>
      <c r="AN167" s="22"/>
      <c r="AO167" s="22"/>
      <c r="AP167" s="22">
        <v>0</v>
      </c>
      <c r="AQ167" s="22"/>
      <c r="AR167" s="22"/>
      <c r="AS167" s="22"/>
      <c r="AT167" s="22"/>
      <c r="AU167" s="22"/>
      <c r="AV167" s="22"/>
      <c r="AW167" s="22"/>
      <c r="AX167" s="22"/>
      <c r="AY167" s="22"/>
      <c r="AZ167" s="22"/>
      <c r="BA167" s="22"/>
      <c r="BB167" s="22"/>
      <c r="BC167" s="22">
        <v>-8.5212218392527461E-8</v>
      </c>
      <c r="BD167" s="22">
        <v>0</v>
      </c>
    </row>
    <row r="168" spans="1:56" x14ac:dyDescent="0.25">
      <c r="A168" t="s">
        <v>203</v>
      </c>
      <c r="B168">
        <v>10</v>
      </c>
      <c r="C168" t="s">
        <v>964</v>
      </c>
      <c r="D168" t="s">
        <v>472</v>
      </c>
      <c r="E168">
        <v>14</v>
      </c>
      <c r="F168">
        <v>8.68</v>
      </c>
      <c r="G168">
        <v>35.640900000000002</v>
      </c>
      <c r="H168" t="s">
        <v>87</v>
      </c>
      <c r="I168" t="s">
        <v>87</v>
      </c>
      <c r="J168" t="s">
        <v>23</v>
      </c>
      <c r="K168">
        <f t="shared" si="24"/>
        <v>103.49</v>
      </c>
      <c r="L168">
        <f t="shared" si="25"/>
        <v>345.28400000000005</v>
      </c>
      <c r="M168" t="str">
        <f t="shared" si="26"/>
        <v>cory-10</v>
      </c>
      <c r="N168" t="str">
        <f>INDEX(Scores!$A$2:$A$11,INDEX(Scores!$AA$2:$AA$131,MATCH(C168,Scores!$AB$2:$AB$131,0)))</f>
        <v>cory</v>
      </c>
      <c r="O168">
        <f t="shared" si="27"/>
        <v>93.17</v>
      </c>
      <c r="P168">
        <f t="shared" si="28"/>
        <v>328.34589999999997</v>
      </c>
      <c r="Q168" s="3">
        <f t="shared" si="29"/>
        <v>0.65454511164456886</v>
      </c>
      <c r="R168" s="3">
        <f t="shared" si="30"/>
        <v>0.73210732106134968</v>
      </c>
      <c r="S168" s="9">
        <f t="shared" si="31"/>
        <v>7.7562209416780825E-2</v>
      </c>
      <c r="T168">
        <f t="shared" si="32"/>
        <v>106</v>
      </c>
      <c r="U168">
        <f t="shared" si="33"/>
        <v>91</v>
      </c>
      <c r="V168" s="3">
        <f t="shared" si="34"/>
        <v>0.94753840341665418</v>
      </c>
      <c r="W168" s="9">
        <f t="shared" si="35"/>
        <v>5.2461596583345815E-2</v>
      </c>
      <c r="AB168" s="111" t="s">
        <v>412</v>
      </c>
      <c r="AC168" s="22"/>
      <c r="AD168" s="22"/>
      <c r="AE168" s="22"/>
      <c r="AF168" s="22"/>
      <c r="AG168" s="22"/>
      <c r="AH168" s="22"/>
      <c r="AI168" s="22">
        <v>8.9824666926752172E-8</v>
      </c>
      <c r="AJ168" s="22"/>
      <c r="AK168" s="22"/>
      <c r="AL168" s="22"/>
      <c r="AM168" s="22"/>
      <c r="AN168" s="22"/>
      <c r="AO168" s="22"/>
      <c r="AP168" s="22"/>
      <c r="AQ168" s="22"/>
      <c r="AR168" s="22"/>
      <c r="AS168" s="22"/>
      <c r="AT168" s="22"/>
      <c r="AU168" s="22"/>
      <c r="AV168" s="22">
        <v>0</v>
      </c>
      <c r="AW168" s="22"/>
      <c r="AX168" s="22"/>
      <c r="AY168" s="22"/>
      <c r="AZ168" s="22"/>
      <c r="BA168" s="22"/>
      <c r="BB168" s="22"/>
      <c r="BC168" s="22">
        <v>8.9824666926752172E-8</v>
      </c>
      <c r="BD168" s="22">
        <v>0</v>
      </c>
    </row>
    <row r="169" spans="1:56" x14ac:dyDescent="0.25">
      <c r="A169" t="s">
        <v>1100</v>
      </c>
      <c r="B169">
        <v>13</v>
      </c>
      <c r="C169" t="s">
        <v>951</v>
      </c>
      <c r="D169" t="s">
        <v>468</v>
      </c>
      <c r="E169">
        <v>15</v>
      </c>
      <c r="F169">
        <v>14.98</v>
      </c>
      <c r="G169">
        <v>74.132099999999994</v>
      </c>
      <c r="H169" t="s">
        <v>47</v>
      </c>
      <c r="I169" t="s">
        <v>47</v>
      </c>
      <c r="J169" t="s">
        <v>62</v>
      </c>
      <c r="K169">
        <f t="shared" si="24"/>
        <v>113.35</v>
      </c>
      <c r="L169">
        <f t="shared" si="25"/>
        <v>486.24799999999993</v>
      </c>
      <c r="M169" t="str">
        <f t="shared" si="26"/>
        <v>comp-13</v>
      </c>
      <c r="N169" t="str">
        <f>INDEX(Scores!$A$2:$A$11,INDEX(Scores!$AA$2:$AA$131,MATCH(C169,Scores!$AB$2:$AB$131,0)))</f>
        <v>comp</v>
      </c>
      <c r="O169">
        <f t="shared" si="27"/>
        <v>104.63999999999999</v>
      </c>
      <c r="P169">
        <f t="shared" si="28"/>
        <v>400.33339999999998</v>
      </c>
      <c r="Q169" s="3">
        <f t="shared" si="29"/>
        <v>0.6150563098213474</v>
      </c>
      <c r="R169" s="3">
        <f t="shared" si="30"/>
        <v>0.62030358820595133</v>
      </c>
      <c r="S169" s="9">
        <f t="shared" si="31"/>
        <v>5.2472783846039261E-3</v>
      </c>
      <c r="T169">
        <f t="shared" si="32"/>
        <v>95</v>
      </c>
      <c r="U169">
        <f t="shared" si="33"/>
        <v>81</v>
      </c>
      <c r="V169" s="3">
        <f t="shared" si="34"/>
        <v>0.94777936768151438</v>
      </c>
      <c r="W169" s="9">
        <f t="shared" si="35"/>
        <v>5.2220632318485616E-2</v>
      </c>
      <c r="AB169" s="111" t="s">
        <v>462</v>
      </c>
      <c r="AC169" s="22"/>
      <c r="AD169" s="22"/>
      <c r="AE169" s="22"/>
      <c r="AF169" s="22"/>
      <c r="AG169" s="22"/>
      <c r="AH169" s="22"/>
      <c r="AI169" s="22"/>
      <c r="AJ169" s="22"/>
      <c r="AK169" s="22"/>
      <c r="AL169" s="22"/>
      <c r="AM169" s="22"/>
      <c r="AN169" s="22"/>
      <c r="AO169" s="22">
        <v>-5.5928530728888148E-7</v>
      </c>
      <c r="AP169" s="22"/>
      <c r="AQ169" s="22"/>
      <c r="AR169" s="22"/>
      <c r="AS169" s="22"/>
      <c r="AT169" s="22"/>
      <c r="AU169" s="22"/>
      <c r="AV169" s="22"/>
      <c r="AW169" s="22"/>
      <c r="AX169" s="22"/>
      <c r="AY169" s="22"/>
      <c r="AZ169" s="22"/>
      <c r="BA169" s="22"/>
      <c r="BB169" s="22">
        <v>0</v>
      </c>
      <c r="BC169" s="22">
        <v>-5.5928530728888148E-7</v>
      </c>
      <c r="BD169" s="22">
        <v>0</v>
      </c>
    </row>
    <row r="170" spans="1:56" x14ac:dyDescent="0.25">
      <c r="A170" t="s">
        <v>81</v>
      </c>
      <c r="B170">
        <v>11</v>
      </c>
      <c r="C170" t="s">
        <v>925</v>
      </c>
      <c r="D170" t="s">
        <v>468</v>
      </c>
      <c r="E170">
        <v>24</v>
      </c>
      <c r="F170">
        <v>15.66</v>
      </c>
      <c r="G170">
        <v>50.8369</v>
      </c>
      <c r="H170" t="s">
        <v>47</v>
      </c>
      <c r="I170" t="s">
        <v>47</v>
      </c>
      <c r="J170" t="s">
        <v>55</v>
      </c>
      <c r="K170">
        <f t="shared" si="24"/>
        <v>110.11</v>
      </c>
      <c r="L170">
        <f t="shared" si="25"/>
        <v>412.79880000000003</v>
      </c>
      <c r="M170" t="str">
        <f t="shared" si="26"/>
        <v>seth-11</v>
      </c>
      <c r="N170" t="str">
        <f>INDEX(Scores!$A$2:$A$11,INDEX(Scores!$AA$2:$AA$131,MATCH(C170,Scores!$AB$2:$AB$131,0)))</f>
        <v>seth</v>
      </c>
      <c r="O170">
        <f t="shared" si="27"/>
        <v>98.329999999999984</v>
      </c>
      <c r="P170">
        <f t="shared" si="28"/>
        <v>378.70709999999997</v>
      </c>
      <c r="Q170" s="3">
        <f t="shared" si="29"/>
        <v>0.66228767586387005</v>
      </c>
      <c r="R170" s="3">
        <f t="shared" si="30"/>
        <v>0.77013508790455032</v>
      </c>
      <c r="S170" s="9">
        <f t="shared" si="31"/>
        <v>0.10784741204068027</v>
      </c>
      <c r="T170">
        <f t="shared" si="32"/>
        <v>131</v>
      </c>
      <c r="U170">
        <f t="shared" si="33"/>
        <v>111</v>
      </c>
      <c r="V170" s="3">
        <f t="shared" si="34"/>
        <v>0.94901148271193336</v>
      </c>
      <c r="W170" s="9">
        <f t="shared" si="35"/>
        <v>5.0988517288066637E-2</v>
      </c>
      <c r="AB170" s="111" t="s">
        <v>434</v>
      </c>
      <c r="AC170" s="22"/>
      <c r="AD170" s="22"/>
      <c r="AE170" s="22">
        <v>1.5035462719303894E-7</v>
      </c>
      <c r="AF170" s="22"/>
      <c r="AG170" s="22"/>
      <c r="AH170" s="22"/>
      <c r="AI170" s="22"/>
      <c r="AJ170" s="22"/>
      <c r="AK170" s="22"/>
      <c r="AL170" s="22"/>
      <c r="AM170" s="22"/>
      <c r="AN170" s="22"/>
      <c r="AO170" s="22"/>
      <c r="AP170" s="22"/>
      <c r="AQ170" s="22"/>
      <c r="AR170" s="22">
        <v>0</v>
      </c>
      <c r="AS170" s="22"/>
      <c r="AT170" s="22"/>
      <c r="AU170" s="22"/>
      <c r="AV170" s="22"/>
      <c r="AW170" s="22"/>
      <c r="AX170" s="22"/>
      <c r="AY170" s="22"/>
      <c r="AZ170" s="22"/>
      <c r="BA170" s="22"/>
      <c r="BB170" s="22"/>
      <c r="BC170" s="22">
        <v>1.5035462719303894E-7</v>
      </c>
      <c r="BD170" s="22">
        <v>0</v>
      </c>
    </row>
    <row r="171" spans="1:56" x14ac:dyDescent="0.25">
      <c r="A171" t="s">
        <v>314</v>
      </c>
      <c r="B171">
        <v>10</v>
      </c>
      <c r="C171" t="s">
        <v>972</v>
      </c>
      <c r="D171" t="s">
        <v>467</v>
      </c>
      <c r="E171">
        <v>9</v>
      </c>
      <c r="F171">
        <v>14.87</v>
      </c>
      <c r="G171">
        <v>36.360900000000001</v>
      </c>
      <c r="H171" t="s">
        <v>15</v>
      </c>
      <c r="I171" t="s">
        <v>15</v>
      </c>
      <c r="J171" t="s">
        <v>49</v>
      </c>
      <c r="K171">
        <f t="shared" si="24"/>
        <v>80.72</v>
      </c>
      <c r="L171">
        <f t="shared" si="25"/>
        <v>274.11410000000001</v>
      </c>
      <c r="M171" t="str">
        <f t="shared" si="26"/>
        <v>seth-10</v>
      </c>
      <c r="N171" t="str">
        <f>INDEX(Scores!$A$2:$A$11,INDEX(Scores!$AA$2:$AA$131,MATCH(C171,Scores!$AB$2:$AB$131,0)))</f>
        <v>seth</v>
      </c>
      <c r="O171">
        <f t="shared" si="27"/>
        <v>104.52999999999999</v>
      </c>
      <c r="P171">
        <f t="shared" si="28"/>
        <v>446.11959999999999</v>
      </c>
      <c r="Q171" s="3">
        <f t="shared" si="29"/>
        <v>0.18748498770897654</v>
      </c>
      <c r="R171" s="3">
        <f t="shared" si="30"/>
        <v>0.12819840689962905</v>
      </c>
      <c r="S171" s="9">
        <f t="shared" si="31"/>
        <v>-5.9286580809347483E-2</v>
      </c>
      <c r="T171">
        <f t="shared" si="32"/>
        <v>84</v>
      </c>
      <c r="U171">
        <f t="shared" si="33"/>
        <v>80</v>
      </c>
      <c r="V171" s="3">
        <f t="shared" si="34"/>
        <v>0.94916553090187994</v>
      </c>
      <c r="W171" s="9">
        <f t="shared" si="35"/>
        <v>5.0834469098120061E-2</v>
      </c>
      <c r="AB171" s="111" t="s">
        <v>88</v>
      </c>
      <c r="AC171" s="22"/>
      <c r="AD171" s="22"/>
      <c r="AE171" s="22"/>
      <c r="AF171" s="22"/>
      <c r="AG171" s="22"/>
      <c r="AH171" s="22"/>
      <c r="AI171" s="22"/>
      <c r="AJ171" s="22"/>
      <c r="AK171" s="22">
        <v>3.445346623554002E-7</v>
      </c>
      <c r="AL171" s="22"/>
      <c r="AM171" s="22"/>
      <c r="AN171" s="22"/>
      <c r="AO171" s="22"/>
      <c r="AP171" s="22"/>
      <c r="AQ171" s="22"/>
      <c r="AR171" s="22"/>
      <c r="AS171" s="22"/>
      <c r="AT171" s="22"/>
      <c r="AU171" s="22"/>
      <c r="AV171" s="22"/>
      <c r="AW171" s="22"/>
      <c r="AX171" s="22">
        <v>0</v>
      </c>
      <c r="AY171" s="22"/>
      <c r="AZ171" s="22"/>
      <c r="BA171" s="22"/>
      <c r="BB171" s="22"/>
      <c r="BC171" s="22">
        <v>3.445346623554002E-7</v>
      </c>
      <c r="BD171" s="22">
        <v>0</v>
      </c>
    </row>
    <row r="172" spans="1:56" x14ac:dyDescent="0.25">
      <c r="A172" t="s">
        <v>205</v>
      </c>
      <c r="B172">
        <v>13</v>
      </c>
      <c r="C172" t="s">
        <v>919</v>
      </c>
      <c r="D172" t="s">
        <v>469</v>
      </c>
      <c r="E172">
        <v>18</v>
      </c>
      <c r="F172">
        <v>8.9700000000000006</v>
      </c>
      <c r="G172">
        <v>44.355600000000003</v>
      </c>
      <c r="H172" t="s">
        <v>47</v>
      </c>
      <c r="I172" t="s">
        <v>47</v>
      </c>
      <c r="J172" t="s">
        <v>16</v>
      </c>
      <c r="K172">
        <f t="shared" si="24"/>
        <v>106.87</v>
      </c>
      <c r="L172">
        <f t="shared" si="25"/>
        <v>444.05589999999995</v>
      </c>
      <c r="M172" t="str">
        <f t="shared" si="26"/>
        <v>scott-13</v>
      </c>
      <c r="N172" t="str">
        <f>INDEX(Scores!$A$2:$A$11,INDEX(Scores!$AA$2:$AA$131,MATCH(C172,Scores!$AB$2:$AB$131,0)))</f>
        <v>scott</v>
      </c>
      <c r="O172">
        <f t="shared" si="27"/>
        <v>108.61</v>
      </c>
      <c r="P172">
        <f t="shared" si="28"/>
        <v>407.25390000000004</v>
      </c>
      <c r="Q172" s="3">
        <f t="shared" si="29"/>
        <v>0.47622294087495948</v>
      </c>
      <c r="R172" s="3">
        <f t="shared" si="30"/>
        <v>0.60126680343024486</v>
      </c>
      <c r="S172" s="9">
        <f t="shared" si="31"/>
        <v>0.12504386255528538</v>
      </c>
      <c r="T172">
        <f t="shared" si="32"/>
        <v>86</v>
      </c>
      <c r="U172">
        <f t="shared" si="33"/>
        <v>66</v>
      </c>
      <c r="V172" s="3">
        <f t="shared" si="34"/>
        <v>0.95023609784674823</v>
      </c>
      <c r="W172" s="9">
        <f t="shared" si="35"/>
        <v>4.9763902153251771E-2</v>
      </c>
      <c r="AB172" s="111" t="s">
        <v>131</v>
      </c>
      <c r="AC172" s="22">
        <v>9.2801504147921321E-8</v>
      </c>
      <c r="AD172" s="22"/>
      <c r="AE172" s="22"/>
      <c r="AF172" s="22"/>
      <c r="AG172" s="22"/>
      <c r="AH172" s="22"/>
      <c r="AI172" s="22"/>
      <c r="AJ172" s="22"/>
      <c r="AK172" s="22"/>
      <c r="AL172" s="22"/>
      <c r="AM172" s="22"/>
      <c r="AN172" s="22"/>
      <c r="AO172" s="22"/>
      <c r="AP172" s="22">
        <v>0</v>
      </c>
      <c r="AQ172" s="22"/>
      <c r="AR172" s="22"/>
      <c r="AS172" s="22"/>
      <c r="AT172" s="22"/>
      <c r="AU172" s="22"/>
      <c r="AV172" s="22"/>
      <c r="AW172" s="22"/>
      <c r="AX172" s="22"/>
      <c r="AY172" s="22"/>
      <c r="AZ172" s="22"/>
      <c r="BA172" s="22"/>
      <c r="BB172" s="22"/>
      <c r="BC172" s="22">
        <v>9.2801504147921321E-8</v>
      </c>
      <c r="BD172" s="22">
        <v>0</v>
      </c>
    </row>
    <row r="173" spans="1:56" x14ac:dyDescent="0.25">
      <c r="A173" t="s">
        <v>126</v>
      </c>
      <c r="B173">
        <v>7</v>
      </c>
      <c r="C173" t="s">
        <v>913</v>
      </c>
      <c r="D173" t="s">
        <v>466</v>
      </c>
      <c r="E173">
        <v>3</v>
      </c>
      <c r="F173">
        <v>9.0399999999999991</v>
      </c>
      <c r="G173">
        <v>36.4816</v>
      </c>
      <c r="H173" t="s">
        <v>466</v>
      </c>
      <c r="I173" t="s">
        <v>87</v>
      </c>
      <c r="J173" t="s">
        <v>16</v>
      </c>
      <c r="K173">
        <f t="shared" si="24"/>
        <v>86.09</v>
      </c>
      <c r="L173">
        <f t="shared" si="25"/>
        <v>350.80079999999998</v>
      </c>
      <c r="M173" t="str">
        <f t="shared" si="26"/>
        <v>seth-7</v>
      </c>
      <c r="N173" t="str">
        <f>INDEX(Scores!$A$2:$A$11,INDEX(Scores!$AA$2:$AA$131,MATCH(C173,Scores!$AB$2:$AB$131,0)))</f>
        <v>seth</v>
      </c>
      <c r="O173">
        <f t="shared" si="27"/>
        <v>96.25</v>
      </c>
      <c r="P173">
        <f t="shared" si="28"/>
        <v>294.3</v>
      </c>
      <c r="Q173" s="3">
        <f t="shared" si="29"/>
        <v>0.34457149944219723</v>
      </c>
      <c r="R173" s="3">
        <f t="shared" si="30"/>
        <v>0.25569898840136496</v>
      </c>
      <c r="S173" s="9">
        <f t="shared" si="31"/>
        <v>-8.8872511040832269E-2</v>
      </c>
      <c r="T173">
        <f t="shared" si="32"/>
        <v>85</v>
      </c>
      <c r="U173">
        <f t="shared" si="33"/>
        <v>81</v>
      </c>
      <c r="V173" s="3">
        <f t="shared" si="34"/>
        <v>0.95176883665841094</v>
      </c>
      <c r="W173" s="9">
        <f t="shared" si="35"/>
        <v>4.8231163341589056E-2</v>
      </c>
      <c r="AB173" s="111" t="s">
        <v>43</v>
      </c>
      <c r="AC173" s="22"/>
      <c r="AD173" s="22"/>
      <c r="AE173" s="22"/>
      <c r="AF173" s="22"/>
      <c r="AG173" s="22"/>
      <c r="AH173" s="22"/>
      <c r="AI173" s="22"/>
      <c r="AJ173" s="22"/>
      <c r="AK173" s="22"/>
      <c r="AL173" s="22"/>
      <c r="AM173" s="22"/>
      <c r="AN173" s="22"/>
      <c r="AO173" s="22">
        <v>-1.6905576404324663E-6</v>
      </c>
      <c r="AP173" s="22"/>
      <c r="AQ173" s="22"/>
      <c r="AR173" s="22"/>
      <c r="AS173" s="22"/>
      <c r="AT173" s="22"/>
      <c r="AU173" s="22"/>
      <c r="AV173" s="22"/>
      <c r="AW173" s="22"/>
      <c r="AX173" s="22"/>
      <c r="AY173" s="22"/>
      <c r="AZ173" s="22"/>
      <c r="BA173" s="22"/>
      <c r="BB173" s="22">
        <v>0</v>
      </c>
      <c r="BC173" s="22">
        <v>-1.6905576404324663E-6</v>
      </c>
      <c r="BD173" s="22">
        <v>0</v>
      </c>
    </row>
    <row r="174" spans="1:56" x14ac:dyDescent="0.25">
      <c r="A174" t="s">
        <v>59</v>
      </c>
      <c r="B174">
        <v>5</v>
      </c>
      <c r="C174" t="s">
        <v>884</v>
      </c>
      <c r="D174" t="s">
        <v>467</v>
      </c>
      <c r="E174">
        <v>29</v>
      </c>
      <c r="F174">
        <v>19.38</v>
      </c>
      <c r="G174">
        <v>73.616399999999999</v>
      </c>
      <c r="H174" t="s">
        <v>15</v>
      </c>
      <c r="I174" t="s">
        <v>15</v>
      </c>
      <c r="J174" t="s">
        <v>40</v>
      </c>
      <c r="K174">
        <f t="shared" si="24"/>
        <v>89.689999999999984</v>
      </c>
      <c r="L174">
        <f t="shared" si="25"/>
        <v>445.42419999999998</v>
      </c>
      <c r="M174" t="e">
        <f t="shared" si="26"/>
        <v>#N/A</v>
      </c>
      <c r="N174" t="e">
        <f>INDEX(Scores!$A$2:$A$11,INDEX(Scores!$AA$2:$AA$131,MATCH(C174,Scores!$AB$2:$AB$131,0)))</f>
        <v>#N/A</v>
      </c>
      <c r="O174">
        <f t="shared" si="27"/>
        <v>0</v>
      </c>
      <c r="P174">
        <f t="shared" si="28"/>
        <v>0</v>
      </c>
      <c r="Q174" s="3">
        <f t="shared" si="29"/>
        <v>0.99998929661032787</v>
      </c>
      <c r="R174" s="3">
        <f t="shared" si="30"/>
        <v>0.99999986997485713</v>
      </c>
      <c r="S174" s="9">
        <f t="shared" si="31"/>
        <v>1.0573364529253837E-5</v>
      </c>
      <c r="T174">
        <f t="shared" si="32"/>
        <v>93</v>
      </c>
      <c r="U174">
        <f t="shared" si="33"/>
        <v>0</v>
      </c>
      <c r="V174" s="3">
        <f t="shared" si="34"/>
        <v>1</v>
      </c>
      <c r="W174" s="9">
        <f t="shared" si="35"/>
        <v>0</v>
      </c>
      <c r="AB174" s="111" t="s">
        <v>451</v>
      </c>
      <c r="AC174" s="22"/>
      <c r="AD174" s="22">
        <v>3.2185985421318009E-7</v>
      </c>
      <c r="AE174" s="22"/>
      <c r="AF174" s="22"/>
      <c r="AG174" s="22"/>
      <c r="AH174" s="22"/>
      <c r="AI174" s="22"/>
      <c r="AJ174" s="22"/>
      <c r="AK174" s="22"/>
      <c r="AL174" s="22"/>
      <c r="AM174" s="22"/>
      <c r="AN174" s="22"/>
      <c r="AO174" s="22"/>
      <c r="AP174" s="22"/>
      <c r="AQ174" s="22">
        <v>0</v>
      </c>
      <c r="AR174" s="22"/>
      <c r="AS174" s="22"/>
      <c r="AT174" s="22"/>
      <c r="AU174" s="22"/>
      <c r="AV174" s="22"/>
      <c r="AW174" s="22"/>
      <c r="AX174" s="22"/>
      <c r="AY174" s="22"/>
      <c r="AZ174" s="22"/>
      <c r="BA174" s="22"/>
      <c r="BB174" s="22"/>
      <c r="BC174" s="22">
        <v>3.2185985421318009E-7</v>
      </c>
      <c r="BD174" s="22">
        <v>0</v>
      </c>
    </row>
    <row r="175" spans="1:56" x14ac:dyDescent="0.25">
      <c r="A175" t="s">
        <v>138</v>
      </c>
      <c r="B175">
        <v>12</v>
      </c>
      <c r="C175" t="s">
        <v>982</v>
      </c>
      <c r="D175" t="s">
        <v>468</v>
      </c>
      <c r="E175">
        <v>3</v>
      </c>
      <c r="F175">
        <v>13.17</v>
      </c>
      <c r="G175">
        <v>61.1524</v>
      </c>
      <c r="H175" t="s">
        <v>47</v>
      </c>
      <c r="I175" t="s">
        <v>47</v>
      </c>
      <c r="J175" t="s">
        <v>44</v>
      </c>
      <c r="K175">
        <f t="shared" si="24"/>
        <v>102.15</v>
      </c>
      <c r="L175">
        <f t="shared" si="25"/>
        <v>468.55759999999998</v>
      </c>
      <c r="M175" t="str">
        <f t="shared" si="26"/>
        <v>chad-12</v>
      </c>
      <c r="N175" t="str">
        <f>INDEX(Scores!$A$2:$A$11,INDEX(Scores!$AA$2:$AA$131,MATCH(C175,Scores!$AB$2:$AB$131,0)))</f>
        <v>chad</v>
      </c>
      <c r="O175">
        <f t="shared" si="27"/>
        <v>115.8</v>
      </c>
      <c r="P175">
        <f t="shared" si="28"/>
        <v>455.64659999999998</v>
      </c>
      <c r="Q175" s="3">
        <f t="shared" si="29"/>
        <v>0.3267149551815689</v>
      </c>
      <c r="R175" s="3">
        <f t="shared" si="30"/>
        <v>0.20873512779077719</v>
      </c>
      <c r="S175" s="9">
        <f t="shared" si="31"/>
        <v>-0.11797982739079171</v>
      </c>
      <c r="T175">
        <f t="shared" si="32"/>
        <v>95</v>
      </c>
      <c r="U175">
        <f t="shared" si="33"/>
        <v>92</v>
      </c>
      <c r="V175" s="3">
        <f t="shared" si="34"/>
        <v>0.95392300354618609</v>
      </c>
      <c r="W175" s="9">
        <f t="shared" si="35"/>
        <v>4.6076996453813912E-2</v>
      </c>
      <c r="AB175" s="111" t="s">
        <v>81</v>
      </c>
      <c r="AC175" s="22"/>
      <c r="AD175" s="22"/>
      <c r="AE175" s="22"/>
      <c r="AF175" s="22"/>
      <c r="AG175" s="22"/>
      <c r="AH175" s="22"/>
      <c r="AI175" s="22"/>
      <c r="AJ175" s="22">
        <v>4.9826608616854173E-8</v>
      </c>
      <c r="AK175" s="22"/>
      <c r="AL175" s="22"/>
      <c r="AM175" s="22"/>
      <c r="AN175" s="22"/>
      <c r="AO175" s="22"/>
      <c r="AP175" s="22"/>
      <c r="AQ175" s="22"/>
      <c r="AR175" s="22"/>
      <c r="AS175" s="22"/>
      <c r="AT175" s="22"/>
      <c r="AU175" s="22"/>
      <c r="AV175" s="22"/>
      <c r="AW175" s="22">
        <v>0</v>
      </c>
      <c r="AX175" s="22"/>
      <c r="AY175" s="22"/>
      <c r="AZ175" s="22"/>
      <c r="BA175" s="22"/>
      <c r="BB175" s="22"/>
      <c r="BC175" s="22">
        <v>4.9826608616854173E-8</v>
      </c>
      <c r="BD175" s="22">
        <v>0</v>
      </c>
    </row>
    <row r="176" spans="1:56" x14ac:dyDescent="0.25">
      <c r="A176" t="s">
        <v>156</v>
      </c>
      <c r="B176">
        <v>1</v>
      </c>
      <c r="C176" t="s">
        <v>503</v>
      </c>
      <c r="D176" t="s">
        <v>473</v>
      </c>
      <c r="E176">
        <v>1</v>
      </c>
      <c r="F176">
        <v>6.81</v>
      </c>
      <c r="G176">
        <v>33.524099999999997</v>
      </c>
      <c r="H176" t="s">
        <v>87</v>
      </c>
      <c r="I176" t="s">
        <v>87</v>
      </c>
      <c r="J176" t="s">
        <v>35</v>
      </c>
      <c r="K176">
        <f t="shared" si="24"/>
        <v>101.69</v>
      </c>
      <c r="L176">
        <f t="shared" si="25"/>
        <v>390.77570000000003</v>
      </c>
      <c r="M176" t="str">
        <f t="shared" si="26"/>
        <v>lucas-1</v>
      </c>
      <c r="N176" t="str">
        <f>INDEX(Scores!$A$2:$A$11,INDEX(Scores!$AA$2:$AA$131,MATCH(C176,Scores!$AB$2:$AB$131,0)))</f>
        <v>lucas</v>
      </c>
      <c r="O176">
        <f t="shared" si="27"/>
        <v>0</v>
      </c>
      <c r="P176">
        <f t="shared" si="28"/>
        <v>0</v>
      </c>
      <c r="Q176" s="3">
        <f t="shared" si="29"/>
        <v>0.99999986563981569</v>
      </c>
      <c r="R176" s="3">
        <f t="shared" si="30"/>
        <v>0.99999980391585042</v>
      </c>
      <c r="S176" s="9">
        <f t="shared" si="31"/>
        <v>-6.1723965272264536E-8</v>
      </c>
      <c r="T176">
        <f t="shared" si="32"/>
        <v>75</v>
      </c>
      <c r="U176">
        <f t="shared" si="33"/>
        <v>0</v>
      </c>
      <c r="V176" s="3">
        <f t="shared" si="34"/>
        <v>1</v>
      </c>
      <c r="W176" s="9">
        <f t="shared" si="35"/>
        <v>0</v>
      </c>
      <c r="AB176" s="111" t="s">
        <v>80</v>
      </c>
      <c r="AC176" s="22"/>
      <c r="AD176" s="22"/>
      <c r="AE176" s="22"/>
      <c r="AF176" s="22"/>
      <c r="AG176" s="22"/>
      <c r="AH176" s="22"/>
      <c r="AI176" s="22"/>
      <c r="AJ176" s="22"/>
      <c r="AK176" s="22"/>
      <c r="AL176" s="22"/>
      <c r="AM176" s="22">
        <v>3.6882353615652619E-8</v>
      </c>
      <c r="AN176" s="22"/>
      <c r="AO176" s="22"/>
      <c r="AP176" s="22"/>
      <c r="AQ176" s="22"/>
      <c r="AR176" s="22"/>
      <c r="AS176" s="22"/>
      <c r="AT176" s="22"/>
      <c r="AU176" s="22"/>
      <c r="AV176" s="22"/>
      <c r="AW176" s="22"/>
      <c r="AX176" s="22"/>
      <c r="AY176" s="22"/>
      <c r="AZ176" s="22">
        <v>0</v>
      </c>
      <c r="BA176" s="22"/>
      <c r="BB176" s="22"/>
      <c r="BC176" s="22">
        <v>3.6882353615652619E-8</v>
      </c>
      <c r="BD176" s="22">
        <v>0</v>
      </c>
    </row>
    <row r="177" spans="1:56" x14ac:dyDescent="0.25">
      <c r="A177" t="s">
        <v>106</v>
      </c>
      <c r="B177">
        <v>7</v>
      </c>
      <c r="C177" t="s">
        <v>961</v>
      </c>
      <c r="D177" t="s">
        <v>471</v>
      </c>
      <c r="E177">
        <v>12</v>
      </c>
      <c r="F177">
        <v>10.18</v>
      </c>
      <c r="G177">
        <v>42.25</v>
      </c>
      <c r="H177" t="s">
        <v>87</v>
      </c>
      <c r="I177" t="s">
        <v>87</v>
      </c>
      <c r="J177" t="s">
        <v>23</v>
      </c>
      <c r="K177">
        <f t="shared" si="24"/>
        <v>103.81000000000002</v>
      </c>
      <c r="L177">
        <f t="shared" si="25"/>
        <v>404.20889999999997</v>
      </c>
      <c r="M177" t="str">
        <f t="shared" si="26"/>
        <v>chad-7</v>
      </c>
      <c r="N177" t="str">
        <f>INDEX(Scores!$A$2:$A$11,INDEX(Scores!$AA$2:$AA$131,MATCH(C177,Scores!$AB$2:$AB$131,0)))</f>
        <v>chad</v>
      </c>
      <c r="O177">
        <f t="shared" si="27"/>
        <v>99.759999999999991</v>
      </c>
      <c r="P177">
        <f t="shared" si="28"/>
        <v>339.923</v>
      </c>
      <c r="Q177" s="3">
        <f t="shared" si="29"/>
        <v>0.55901290364123501</v>
      </c>
      <c r="R177" s="3">
        <f t="shared" si="30"/>
        <v>0.58767471197413834</v>
      </c>
      <c r="S177" s="9">
        <f t="shared" si="31"/>
        <v>2.8661808332903327E-2</v>
      </c>
      <c r="T177">
        <f t="shared" si="32"/>
        <v>115</v>
      </c>
      <c r="U177">
        <f t="shared" si="33"/>
        <v>102</v>
      </c>
      <c r="V177" s="3">
        <f t="shared" si="34"/>
        <v>0.95728377920867114</v>
      </c>
      <c r="W177" s="9">
        <f t="shared" si="35"/>
        <v>4.2716220791328863E-2</v>
      </c>
      <c r="AB177" s="111" t="s">
        <v>132</v>
      </c>
      <c r="AC177" s="22">
        <v>7.8109346324239937E-8</v>
      </c>
      <c r="AD177" s="22"/>
      <c r="AE177" s="22"/>
      <c r="AF177" s="22"/>
      <c r="AG177" s="22"/>
      <c r="AH177" s="22"/>
      <c r="AI177" s="22"/>
      <c r="AJ177" s="22"/>
      <c r="AK177" s="22"/>
      <c r="AL177" s="22"/>
      <c r="AM177" s="22"/>
      <c r="AN177" s="22"/>
      <c r="AO177" s="22">
        <v>9.4494885394258432E-7</v>
      </c>
      <c r="AP177" s="22">
        <v>0</v>
      </c>
      <c r="AQ177" s="22"/>
      <c r="AR177" s="22"/>
      <c r="AS177" s="22"/>
      <c r="AT177" s="22"/>
      <c r="AU177" s="22"/>
      <c r="AV177" s="22"/>
      <c r="AW177" s="22"/>
      <c r="AX177" s="22"/>
      <c r="AY177" s="22"/>
      <c r="AZ177" s="22"/>
      <c r="BA177" s="22"/>
      <c r="BB177" s="22">
        <v>0</v>
      </c>
      <c r="BC177" s="22">
        <v>1.0230582002668243E-6</v>
      </c>
      <c r="BD177" s="22">
        <v>0</v>
      </c>
    </row>
    <row r="178" spans="1:56" x14ac:dyDescent="0.25">
      <c r="A178" t="s">
        <v>424</v>
      </c>
      <c r="B178">
        <v>5</v>
      </c>
      <c r="C178" t="s">
        <v>889</v>
      </c>
      <c r="D178" t="s">
        <v>477</v>
      </c>
      <c r="E178">
        <v>4</v>
      </c>
      <c r="F178">
        <v>7.88</v>
      </c>
      <c r="G178">
        <v>32.832900000000002</v>
      </c>
      <c r="H178" t="s">
        <v>477</v>
      </c>
      <c r="I178" t="s">
        <v>477</v>
      </c>
      <c r="J178" t="s">
        <v>23</v>
      </c>
      <c r="K178">
        <f t="shared" si="24"/>
        <v>97.27</v>
      </c>
      <c r="L178">
        <f t="shared" si="25"/>
        <v>430.39269999999999</v>
      </c>
      <c r="M178" t="str">
        <f t="shared" si="26"/>
        <v>seth-5</v>
      </c>
      <c r="N178" t="str">
        <f>INDEX(Scores!$A$2:$A$11,INDEX(Scores!$AA$2:$AA$131,MATCH(C178,Scores!$AB$2:$AB$131,0)))</f>
        <v>seth</v>
      </c>
      <c r="O178">
        <f t="shared" si="27"/>
        <v>98.72999999999999</v>
      </c>
      <c r="P178">
        <f t="shared" si="28"/>
        <v>396.28840000000002</v>
      </c>
      <c r="Q178" s="3">
        <f t="shared" si="29"/>
        <v>0.47975082605670671</v>
      </c>
      <c r="R178" s="3">
        <f t="shared" si="30"/>
        <v>0.42483965215617625</v>
      </c>
      <c r="S178" s="9">
        <f t="shared" si="31"/>
        <v>-5.4911173900530463E-2</v>
      </c>
      <c r="T178">
        <f t="shared" si="32"/>
        <v>96</v>
      </c>
      <c r="U178">
        <f t="shared" si="33"/>
        <v>90</v>
      </c>
      <c r="V178" s="3">
        <f t="shared" si="34"/>
        <v>0.95766938725778117</v>
      </c>
      <c r="W178" s="9">
        <f t="shared" si="35"/>
        <v>4.2330612742218832E-2</v>
      </c>
      <c r="AB178" s="111" t="s">
        <v>421</v>
      </c>
      <c r="AC178" s="22"/>
      <c r="AD178" s="22"/>
      <c r="AE178" s="22"/>
      <c r="AF178" s="22"/>
      <c r="AG178" s="22"/>
      <c r="AH178" s="22"/>
      <c r="AI178" s="22"/>
      <c r="AJ178" s="22"/>
      <c r="AK178" s="22"/>
      <c r="AL178" s="22"/>
      <c r="AM178" s="22"/>
      <c r="AN178" s="22">
        <v>2.0791444343970511E-7</v>
      </c>
      <c r="AO178" s="22"/>
      <c r="AP178" s="22"/>
      <c r="AQ178" s="22"/>
      <c r="AR178" s="22"/>
      <c r="AS178" s="22"/>
      <c r="AT178" s="22"/>
      <c r="AU178" s="22"/>
      <c r="AV178" s="22"/>
      <c r="AW178" s="22"/>
      <c r="AX178" s="22"/>
      <c r="AY178" s="22"/>
      <c r="AZ178" s="22"/>
      <c r="BA178" s="22">
        <v>0</v>
      </c>
      <c r="BB178" s="22"/>
      <c r="BC178" s="22">
        <v>2.0791444343970511E-7</v>
      </c>
      <c r="BD178" s="22">
        <v>0</v>
      </c>
    </row>
    <row r="179" spans="1:56" x14ac:dyDescent="0.25">
      <c r="A179" t="s">
        <v>110</v>
      </c>
      <c r="B179">
        <v>12</v>
      </c>
      <c r="C179" t="s">
        <v>934</v>
      </c>
      <c r="D179" t="s">
        <v>473</v>
      </c>
      <c r="E179">
        <v>5</v>
      </c>
      <c r="F179">
        <v>11.06</v>
      </c>
      <c r="G179">
        <v>41.088099999999997</v>
      </c>
      <c r="H179" t="s">
        <v>87</v>
      </c>
      <c r="I179" t="s">
        <v>87</v>
      </c>
      <c r="J179" t="s">
        <v>35</v>
      </c>
      <c r="K179">
        <f t="shared" si="24"/>
        <v>99.070000000000007</v>
      </c>
      <c r="L179">
        <f t="shared" si="25"/>
        <v>350.10639999999995</v>
      </c>
      <c r="M179" t="str">
        <f t="shared" si="26"/>
        <v>matty-12</v>
      </c>
      <c r="N179" t="str">
        <f>INDEX(Scores!$A$2:$A$11,INDEX(Scores!$AA$2:$AA$131,MATCH(C179,Scores!$AB$2:$AB$131,0)))</f>
        <v>matty</v>
      </c>
      <c r="O179">
        <f t="shared" si="27"/>
        <v>94.28</v>
      </c>
      <c r="P179">
        <f t="shared" si="28"/>
        <v>371.05129999999997</v>
      </c>
      <c r="Q179" s="3">
        <f t="shared" si="29"/>
        <v>0.57078356677741682</v>
      </c>
      <c r="R179" s="3">
        <f t="shared" si="30"/>
        <v>0.48057927377995668</v>
      </c>
      <c r="S179" s="9">
        <f t="shared" si="31"/>
        <v>-9.0204292997460134E-2</v>
      </c>
      <c r="T179">
        <f t="shared" si="32"/>
        <v>80</v>
      </c>
      <c r="U179">
        <f t="shared" si="33"/>
        <v>75</v>
      </c>
      <c r="V179" s="3">
        <f t="shared" si="34"/>
        <v>0.95777490713641256</v>
      </c>
      <c r="W179" s="9">
        <f t="shared" si="35"/>
        <v>4.2225092863587443E-2</v>
      </c>
      <c r="AB179" s="111" t="s">
        <v>444</v>
      </c>
      <c r="AC179" s="22"/>
      <c r="AD179" s="22"/>
      <c r="AE179" s="22"/>
      <c r="AF179" s="22"/>
      <c r="AG179" s="22">
        <v>-1.3782565133624303E-7</v>
      </c>
      <c r="AH179" s="22"/>
      <c r="AI179" s="22"/>
      <c r="AJ179" s="22"/>
      <c r="AK179" s="22"/>
      <c r="AL179" s="22"/>
      <c r="AM179" s="22"/>
      <c r="AN179" s="22"/>
      <c r="AO179" s="22"/>
      <c r="AP179" s="22"/>
      <c r="AQ179" s="22"/>
      <c r="AR179" s="22"/>
      <c r="AS179" s="22"/>
      <c r="AT179" s="22">
        <v>0</v>
      </c>
      <c r="AU179" s="22"/>
      <c r="AV179" s="22"/>
      <c r="AW179" s="22"/>
      <c r="AX179" s="22"/>
      <c r="AY179" s="22"/>
      <c r="AZ179" s="22"/>
      <c r="BA179" s="22"/>
      <c r="BB179" s="22"/>
      <c r="BC179" s="22">
        <v>-1.3782565133624303E-7</v>
      </c>
      <c r="BD179" s="22">
        <v>0</v>
      </c>
    </row>
    <row r="180" spans="1:56" x14ac:dyDescent="0.25">
      <c r="A180" t="s">
        <v>21</v>
      </c>
      <c r="B180">
        <v>8</v>
      </c>
      <c r="C180" t="s">
        <v>946</v>
      </c>
      <c r="D180" t="s">
        <v>467</v>
      </c>
      <c r="E180">
        <v>11</v>
      </c>
      <c r="F180">
        <v>20.68</v>
      </c>
      <c r="G180">
        <v>53.728900000000003</v>
      </c>
      <c r="H180" t="s">
        <v>15</v>
      </c>
      <c r="I180" t="s">
        <v>15</v>
      </c>
      <c r="J180" t="s">
        <v>62</v>
      </c>
      <c r="K180">
        <f t="shared" si="24"/>
        <v>94.88</v>
      </c>
      <c r="L180">
        <f t="shared" si="25"/>
        <v>320.65749999999997</v>
      </c>
      <c r="M180" t="str">
        <f t="shared" si="26"/>
        <v>scott-8</v>
      </c>
      <c r="N180" t="str">
        <f>INDEX(Scores!$A$2:$A$11,INDEX(Scores!$AA$2:$AA$131,MATCH(C180,Scores!$AB$2:$AB$131,0)))</f>
        <v>scott</v>
      </c>
      <c r="O180">
        <f t="shared" si="27"/>
        <v>113.35000000000001</v>
      </c>
      <c r="P180">
        <f t="shared" si="28"/>
        <v>416.81729999999993</v>
      </c>
      <c r="Q180" s="3">
        <f t="shared" si="29"/>
        <v>0.24821039531278949</v>
      </c>
      <c r="R180" s="3">
        <f t="shared" si="30"/>
        <v>0.14084243414129713</v>
      </c>
      <c r="S180" s="9">
        <f t="shared" si="31"/>
        <v>-0.10736796117149236</v>
      </c>
      <c r="T180">
        <f t="shared" si="32"/>
        <v>78</v>
      </c>
      <c r="U180">
        <f t="shared" si="33"/>
        <v>75</v>
      </c>
      <c r="V180" s="3">
        <f t="shared" si="34"/>
        <v>0.95817389268646702</v>
      </c>
      <c r="W180" s="9">
        <f t="shared" si="35"/>
        <v>4.1826107313532979E-2</v>
      </c>
      <c r="AB180" s="111" t="s">
        <v>217</v>
      </c>
      <c r="AC180" s="22"/>
      <c r="AD180" s="22"/>
      <c r="AE180" s="22"/>
      <c r="AF180" s="22"/>
      <c r="AG180" s="22">
        <v>-1.3588157266042344E-9</v>
      </c>
      <c r="AH180" s="22"/>
      <c r="AI180" s="22"/>
      <c r="AJ180" s="22"/>
      <c r="AK180" s="22"/>
      <c r="AL180" s="22"/>
      <c r="AM180" s="22"/>
      <c r="AN180" s="22"/>
      <c r="AO180" s="22"/>
      <c r="AP180" s="22"/>
      <c r="AQ180" s="22"/>
      <c r="AR180" s="22"/>
      <c r="AS180" s="22"/>
      <c r="AT180" s="22">
        <v>0</v>
      </c>
      <c r="AU180" s="22"/>
      <c r="AV180" s="22"/>
      <c r="AW180" s="22"/>
      <c r="AX180" s="22"/>
      <c r="AY180" s="22"/>
      <c r="AZ180" s="22"/>
      <c r="BA180" s="22"/>
      <c r="BB180" s="22"/>
      <c r="BC180" s="22">
        <v>-1.3588157266042344E-9</v>
      </c>
      <c r="BD180" s="22">
        <v>0</v>
      </c>
    </row>
    <row r="181" spans="1:56" x14ac:dyDescent="0.25">
      <c r="A181" t="s">
        <v>134</v>
      </c>
      <c r="B181">
        <v>12</v>
      </c>
      <c r="C181" t="s">
        <v>934</v>
      </c>
      <c r="D181" t="s">
        <v>472</v>
      </c>
      <c r="E181">
        <v>7</v>
      </c>
      <c r="F181">
        <v>9.0299999999999994</v>
      </c>
      <c r="G181">
        <v>16.483599999999999</v>
      </c>
      <c r="H181" t="s">
        <v>87</v>
      </c>
      <c r="I181" t="s">
        <v>87</v>
      </c>
      <c r="J181" t="s">
        <v>35</v>
      </c>
      <c r="K181">
        <f t="shared" si="24"/>
        <v>99.070000000000007</v>
      </c>
      <c r="L181">
        <f t="shared" si="25"/>
        <v>350.10639999999995</v>
      </c>
      <c r="M181" t="str">
        <f t="shared" si="26"/>
        <v>matty-12</v>
      </c>
      <c r="N181" t="str">
        <f>INDEX(Scores!$A$2:$A$11,INDEX(Scores!$AA$2:$AA$131,MATCH(C181,Scores!$AB$2:$AB$131,0)))</f>
        <v>matty</v>
      </c>
      <c r="O181">
        <f t="shared" si="27"/>
        <v>94.28</v>
      </c>
      <c r="P181">
        <f t="shared" si="28"/>
        <v>371.05129999999997</v>
      </c>
      <c r="Q181" s="3">
        <f t="shared" si="29"/>
        <v>0.57078356677741682</v>
      </c>
      <c r="R181" s="3">
        <f t="shared" si="30"/>
        <v>0.54140407584487715</v>
      </c>
      <c r="S181" s="9">
        <f t="shared" si="31"/>
        <v>-2.9379490932539665E-2</v>
      </c>
      <c r="T181">
        <f t="shared" si="32"/>
        <v>80</v>
      </c>
      <c r="U181">
        <f t="shared" si="33"/>
        <v>75</v>
      </c>
      <c r="V181" s="3">
        <f t="shared" si="34"/>
        <v>0.95832110156819084</v>
      </c>
      <c r="W181" s="9">
        <f t="shared" si="35"/>
        <v>4.1678898431809164E-2</v>
      </c>
      <c r="AB181" s="111" t="s">
        <v>70</v>
      </c>
      <c r="AC181" s="22"/>
      <c r="AD181" s="22"/>
      <c r="AE181" s="22"/>
      <c r="AF181" s="22">
        <v>-7.9737741964791553E-9</v>
      </c>
      <c r="AG181" s="22"/>
      <c r="AH181" s="22">
        <v>1.4984273100093759E-7</v>
      </c>
      <c r="AI181" s="22"/>
      <c r="AJ181" s="22"/>
      <c r="AK181" s="22"/>
      <c r="AL181" s="22"/>
      <c r="AM181" s="22"/>
      <c r="AN181" s="22"/>
      <c r="AO181" s="22"/>
      <c r="AP181" s="22"/>
      <c r="AQ181" s="22"/>
      <c r="AR181" s="22"/>
      <c r="AS181" s="22">
        <v>0</v>
      </c>
      <c r="AT181" s="22"/>
      <c r="AU181" s="22">
        <v>0</v>
      </c>
      <c r="AV181" s="22"/>
      <c r="AW181" s="22"/>
      <c r="AX181" s="22"/>
      <c r="AY181" s="22"/>
      <c r="AZ181" s="22"/>
      <c r="BA181" s="22"/>
      <c r="BB181" s="22"/>
      <c r="BC181" s="22">
        <v>1.4186895680445843E-7</v>
      </c>
      <c r="BD181" s="22">
        <v>0</v>
      </c>
    </row>
    <row r="182" spans="1:56" x14ac:dyDescent="0.25">
      <c r="A182" t="s">
        <v>98</v>
      </c>
      <c r="B182">
        <v>12</v>
      </c>
      <c r="C182" t="s">
        <v>982</v>
      </c>
      <c r="D182" t="s">
        <v>471</v>
      </c>
      <c r="E182">
        <v>1</v>
      </c>
      <c r="F182">
        <v>5.08</v>
      </c>
      <c r="G182">
        <v>16.160399999999999</v>
      </c>
      <c r="H182" t="s">
        <v>87</v>
      </c>
      <c r="I182" t="s">
        <v>87</v>
      </c>
      <c r="J182" t="s">
        <v>44</v>
      </c>
      <c r="K182">
        <f t="shared" si="24"/>
        <v>102.15</v>
      </c>
      <c r="L182">
        <f t="shared" si="25"/>
        <v>468.55759999999998</v>
      </c>
      <c r="M182" t="str">
        <f t="shared" si="26"/>
        <v>chad-12</v>
      </c>
      <c r="N182" t="str">
        <f>INDEX(Scores!$A$2:$A$11,INDEX(Scores!$AA$2:$AA$131,MATCH(C182,Scores!$AB$2:$AB$131,0)))</f>
        <v>chad</v>
      </c>
      <c r="O182">
        <f t="shared" si="27"/>
        <v>115.8</v>
      </c>
      <c r="P182">
        <f t="shared" si="28"/>
        <v>455.64659999999998</v>
      </c>
      <c r="Q182" s="3">
        <f t="shared" si="29"/>
        <v>0.3267149551815689</v>
      </c>
      <c r="R182" s="3">
        <f t="shared" si="30"/>
        <v>0.27813979552112278</v>
      </c>
      <c r="S182" s="9">
        <f t="shared" si="31"/>
        <v>-4.8575159660446121E-2</v>
      </c>
      <c r="T182">
        <f t="shared" si="32"/>
        <v>95</v>
      </c>
      <c r="U182">
        <f t="shared" si="33"/>
        <v>92</v>
      </c>
      <c r="V182" s="3">
        <f t="shared" si="34"/>
        <v>0.96089721590668631</v>
      </c>
      <c r="W182" s="9">
        <f t="shared" si="35"/>
        <v>3.9102784093313692E-2</v>
      </c>
      <c r="AB182" s="111" t="s">
        <v>455</v>
      </c>
      <c r="AC182" s="22">
        <v>-1.717428762537665E-7</v>
      </c>
      <c r="AD182" s="22"/>
      <c r="AE182" s="22"/>
      <c r="AF182" s="22"/>
      <c r="AG182" s="22"/>
      <c r="AH182" s="22"/>
      <c r="AI182" s="22"/>
      <c r="AJ182" s="22"/>
      <c r="AK182" s="22"/>
      <c r="AL182" s="22"/>
      <c r="AM182" s="22"/>
      <c r="AN182" s="22"/>
      <c r="AO182" s="22"/>
      <c r="AP182" s="22">
        <v>0</v>
      </c>
      <c r="AQ182" s="22"/>
      <c r="AR182" s="22"/>
      <c r="AS182" s="22"/>
      <c r="AT182" s="22"/>
      <c r="AU182" s="22"/>
      <c r="AV182" s="22"/>
      <c r="AW182" s="22"/>
      <c r="AX182" s="22"/>
      <c r="AY182" s="22"/>
      <c r="AZ182" s="22"/>
      <c r="BA182" s="22"/>
      <c r="BB182" s="22"/>
      <c r="BC182" s="22">
        <v>-1.717428762537665E-7</v>
      </c>
      <c r="BD182" s="22">
        <v>0</v>
      </c>
    </row>
    <row r="183" spans="1:56" x14ac:dyDescent="0.25">
      <c r="A183" t="s">
        <v>99</v>
      </c>
      <c r="B183">
        <v>9</v>
      </c>
      <c r="C183" t="s">
        <v>915</v>
      </c>
      <c r="D183" t="s">
        <v>468</v>
      </c>
      <c r="E183">
        <v>8</v>
      </c>
      <c r="F183">
        <v>10.08</v>
      </c>
      <c r="G183">
        <v>32.718400000000003</v>
      </c>
      <c r="H183" t="s">
        <v>47</v>
      </c>
      <c r="I183" t="s">
        <v>47</v>
      </c>
      <c r="J183" t="s">
        <v>16</v>
      </c>
      <c r="K183">
        <f t="shared" si="24"/>
        <v>90.69</v>
      </c>
      <c r="L183">
        <f t="shared" si="25"/>
        <v>356.05790000000002</v>
      </c>
      <c r="M183" t="str">
        <f t="shared" si="26"/>
        <v>devon-9</v>
      </c>
      <c r="N183" t="str">
        <f>INDEX(Scores!$A$2:$A$11,INDEX(Scores!$AA$2:$AA$131,MATCH(C183,Scores!$AB$2:$AB$131,0)))</f>
        <v>devon</v>
      </c>
      <c r="O183">
        <f t="shared" si="27"/>
        <v>104.66</v>
      </c>
      <c r="P183">
        <f t="shared" si="28"/>
        <v>474.51049999999998</v>
      </c>
      <c r="Q183" s="3">
        <f t="shared" si="29"/>
        <v>0.31393045538359282</v>
      </c>
      <c r="R183" s="3">
        <f t="shared" si="30"/>
        <v>0.28494373071402423</v>
      </c>
      <c r="S183" s="9">
        <f t="shared" si="31"/>
        <v>-2.8986724669568587E-2</v>
      </c>
      <c r="T183">
        <f t="shared" si="32"/>
        <v>89</v>
      </c>
      <c r="U183">
        <f t="shared" si="33"/>
        <v>81</v>
      </c>
      <c r="V183" s="3">
        <f t="shared" si="34"/>
        <v>0.96098543280313697</v>
      </c>
      <c r="W183" s="9">
        <f t="shared" si="35"/>
        <v>3.9014567196863026E-2</v>
      </c>
      <c r="AB183" s="111" t="s">
        <v>100</v>
      </c>
      <c r="AC183" s="22"/>
      <c r="AD183" s="22"/>
      <c r="AE183" s="22"/>
      <c r="AF183" s="22"/>
      <c r="AG183" s="22"/>
      <c r="AH183" s="22">
        <v>2.7385120882073011E-7</v>
      </c>
      <c r="AI183" s="22"/>
      <c r="AJ183" s="22"/>
      <c r="AK183" s="22"/>
      <c r="AL183" s="22"/>
      <c r="AM183" s="22">
        <v>3.7527682628102355E-8</v>
      </c>
      <c r="AN183" s="22"/>
      <c r="AO183" s="22"/>
      <c r="AP183" s="22"/>
      <c r="AQ183" s="22"/>
      <c r="AR183" s="22"/>
      <c r="AS183" s="22"/>
      <c r="AT183" s="22"/>
      <c r="AU183" s="22">
        <v>0</v>
      </c>
      <c r="AV183" s="22"/>
      <c r="AW183" s="22"/>
      <c r="AX183" s="22"/>
      <c r="AY183" s="22"/>
      <c r="AZ183" s="22">
        <v>0</v>
      </c>
      <c r="BA183" s="22"/>
      <c r="BB183" s="22"/>
      <c r="BC183" s="22">
        <v>3.1137889144883246E-7</v>
      </c>
      <c r="BD183" s="22">
        <v>0</v>
      </c>
    </row>
    <row r="184" spans="1:56" x14ac:dyDescent="0.25">
      <c r="A184" t="s">
        <v>450</v>
      </c>
      <c r="B184">
        <v>1</v>
      </c>
      <c r="C184" t="s">
        <v>506</v>
      </c>
      <c r="D184" t="s">
        <v>478</v>
      </c>
      <c r="E184">
        <v>7</v>
      </c>
      <c r="F184">
        <v>6.99</v>
      </c>
      <c r="G184">
        <v>11.492100000000001</v>
      </c>
      <c r="H184" t="s">
        <v>478</v>
      </c>
      <c r="I184" t="s">
        <v>478</v>
      </c>
      <c r="J184" t="s">
        <v>27</v>
      </c>
      <c r="K184">
        <f t="shared" si="24"/>
        <v>110.7</v>
      </c>
      <c r="L184">
        <f t="shared" si="25"/>
        <v>433.44330000000002</v>
      </c>
      <c r="M184" t="str">
        <f t="shared" si="26"/>
        <v>seth-1</v>
      </c>
      <c r="N184" t="str">
        <f>INDEX(Scores!$A$2:$A$11,INDEX(Scores!$AA$2:$AA$131,MATCH(C184,Scores!$AB$2:$AB$131,0)))</f>
        <v>seth</v>
      </c>
      <c r="O184">
        <f t="shared" si="27"/>
        <v>111.07</v>
      </c>
      <c r="P184">
        <f t="shared" si="28"/>
        <v>422.00569999999999</v>
      </c>
      <c r="Q184" s="3">
        <f t="shared" si="29"/>
        <v>0.49495335047896771</v>
      </c>
      <c r="R184" s="3">
        <f t="shared" si="30"/>
        <v>0.4950564228365153</v>
      </c>
      <c r="S184" s="9">
        <f t="shared" si="31"/>
        <v>1.0307235754758448E-4</v>
      </c>
      <c r="T184">
        <f t="shared" si="32"/>
        <v>77</v>
      </c>
      <c r="U184">
        <f t="shared" si="33"/>
        <v>71</v>
      </c>
      <c r="V184" s="3">
        <f t="shared" si="34"/>
        <v>0.96138267461492988</v>
      </c>
      <c r="W184" s="9">
        <f t="shared" si="35"/>
        <v>3.8617325385070123E-2</v>
      </c>
      <c r="AB184" s="111" t="s">
        <v>112</v>
      </c>
      <c r="AC184" s="22"/>
      <c r="AD184" s="22"/>
      <c r="AE184" s="22"/>
      <c r="AF184" s="22">
        <v>1.0156912311209965E-8</v>
      </c>
      <c r="AG184" s="22"/>
      <c r="AH184" s="22"/>
      <c r="AI184" s="22"/>
      <c r="AJ184" s="22"/>
      <c r="AK184" s="22"/>
      <c r="AL184" s="22">
        <v>4.1451321264318608E-8</v>
      </c>
      <c r="AM184" s="22"/>
      <c r="AN184" s="22"/>
      <c r="AO184" s="22"/>
      <c r="AP184" s="22"/>
      <c r="AQ184" s="22"/>
      <c r="AR184" s="22"/>
      <c r="AS184" s="22">
        <v>0</v>
      </c>
      <c r="AT184" s="22"/>
      <c r="AU184" s="22"/>
      <c r="AV184" s="22"/>
      <c r="AW184" s="22"/>
      <c r="AX184" s="22"/>
      <c r="AY184" s="22">
        <v>0</v>
      </c>
      <c r="AZ184" s="22"/>
      <c r="BA184" s="22"/>
      <c r="BB184" s="22"/>
      <c r="BC184" s="22">
        <v>5.1608233575528573E-8</v>
      </c>
      <c r="BD184" s="22">
        <v>0</v>
      </c>
    </row>
    <row r="185" spans="1:56" x14ac:dyDescent="0.25">
      <c r="A185" t="s">
        <v>107</v>
      </c>
      <c r="B185">
        <v>1</v>
      </c>
      <c r="C185" t="s">
        <v>503</v>
      </c>
      <c r="D185" t="s">
        <v>471</v>
      </c>
      <c r="E185">
        <v>3</v>
      </c>
      <c r="F185">
        <v>9.11</v>
      </c>
      <c r="G185">
        <v>32.718400000000003</v>
      </c>
      <c r="H185" t="s">
        <v>87</v>
      </c>
      <c r="I185" t="s">
        <v>87</v>
      </c>
      <c r="J185" t="s">
        <v>35</v>
      </c>
      <c r="K185">
        <f t="shared" si="24"/>
        <v>101.69</v>
      </c>
      <c r="L185">
        <f t="shared" si="25"/>
        <v>390.77570000000003</v>
      </c>
      <c r="M185" t="str">
        <f t="shared" si="26"/>
        <v>lucas-1</v>
      </c>
      <c r="N185" t="str">
        <f>INDEX(Scores!$A$2:$A$11,INDEX(Scores!$AA$2:$AA$131,MATCH(C185,Scores!$AB$2:$AB$131,0)))</f>
        <v>lucas</v>
      </c>
      <c r="O185">
        <f t="shared" si="27"/>
        <v>0</v>
      </c>
      <c r="P185">
        <f t="shared" si="28"/>
        <v>0</v>
      </c>
      <c r="Q185" s="3">
        <f t="shared" si="29"/>
        <v>0.99999986563981569</v>
      </c>
      <c r="R185" s="3">
        <f t="shared" si="30"/>
        <v>0.9999997804275973</v>
      </c>
      <c r="S185" s="9">
        <f t="shared" si="31"/>
        <v>-8.5212218392527461E-8</v>
      </c>
      <c r="T185">
        <f t="shared" si="32"/>
        <v>75</v>
      </c>
      <c r="U185">
        <f t="shared" si="33"/>
        <v>0</v>
      </c>
      <c r="V185" s="3">
        <f t="shared" si="34"/>
        <v>1</v>
      </c>
      <c r="W185" s="9">
        <f t="shared" si="35"/>
        <v>0</v>
      </c>
      <c r="AB185" s="111" t="s">
        <v>413</v>
      </c>
      <c r="AC185" s="22"/>
      <c r="AD185" s="22"/>
      <c r="AE185" s="22"/>
      <c r="AF185" s="22"/>
      <c r="AG185" s="22"/>
      <c r="AH185" s="22"/>
      <c r="AI185" s="22"/>
      <c r="AJ185" s="22"/>
      <c r="AK185" s="22"/>
      <c r="AL185" s="22"/>
      <c r="AM185" s="22"/>
      <c r="AN185" s="22"/>
      <c r="AO185" s="22">
        <v>-4.5731718301134094E-8</v>
      </c>
      <c r="AP185" s="22"/>
      <c r="AQ185" s="22"/>
      <c r="AR185" s="22"/>
      <c r="AS185" s="22"/>
      <c r="AT185" s="22"/>
      <c r="AU185" s="22"/>
      <c r="AV185" s="22"/>
      <c r="AW185" s="22"/>
      <c r="AX185" s="22"/>
      <c r="AY185" s="22"/>
      <c r="AZ185" s="22"/>
      <c r="BA185" s="22"/>
      <c r="BB185" s="22">
        <v>0</v>
      </c>
      <c r="BC185" s="22">
        <v>-4.5731718301134094E-8</v>
      </c>
      <c r="BD185" s="22">
        <v>0</v>
      </c>
    </row>
    <row r="186" spans="1:56" x14ac:dyDescent="0.25">
      <c r="A186" t="s">
        <v>80</v>
      </c>
      <c r="B186">
        <v>9</v>
      </c>
      <c r="C186" t="s">
        <v>963</v>
      </c>
      <c r="D186" t="s">
        <v>467</v>
      </c>
      <c r="E186">
        <v>23</v>
      </c>
      <c r="F186">
        <v>18.78</v>
      </c>
      <c r="G186">
        <v>69.388900000000007</v>
      </c>
      <c r="H186" t="s">
        <v>15</v>
      </c>
      <c r="I186" t="s">
        <v>15</v>
      </c>
      <c r="J186" t="s">
        <v>23</v>
      </c>
      <c r="K186">
        <f t="shared" si="24"/>
        <v>98.35</v>
      </c>
      <c r="L186">
        <f t="shared" si="25"/>
        <v>385.97739999999999</v>
      </c>
      <c r="M186" t="str">
        <f t="shared" si="26"/>
        <v>aj-9</v>
      </c>
      <c r="N186" t="str">
        <f>INDEX(Scores!$A$2:$A$11,INDEX(Scores!$AA$2:$AA$131,MATCH(C186,Scores!$AB$2:$AB$131,0)))</f>
        <v>aj</v>
      </c>
      <c r="O186">
        <f t="shared" si="27"/>
        <v>102.03999999999999</v>
      </c>
      <c r="P186">
        <f t="shared" si="28"/>
        <v>392.2131</v>
      </c>
      <c r="Q186" s="3">
        <f t="shared" si="29"/>
        <v>0.4473827117902357</v>
      </c>
      <c r="R186" s="3">
        <f t="shared" si="30"/>
        <v>0.50794136040576443</v>
      </c>
      <c r="S186" s="9">
        <f t="shared" si="31"/>
        <v>6.0558648615528732E-2</v>
      </c>
      <c r="T186">
        <f t="shared" si="32"/>
        <v>105</v>
      </c>
      <c r="U186">
        <f t="shared" si="33"/>
        <v>86</v>
      </c>
      <c r="V186" s="3">
        <f t="shared" si="34"/>
        <v>0.96199403348886026</v>
      </c>
      <c r="W186" s="9">
        <f t="shared" si="35"/>
        <v>3.8005966511139744E-2</v>
      </c>
      <c r="AB186" s="111" t="s">
        <v>135</v>
      </c>
      <c r="AC186" s="22"/>
      <c r="AD186" s="22"/>
      <c r="AE186" s="22"/>
      <c r="AF186" s="22">
        <v>1.5921898466331186E-8</v>
      </c>
      <c r="AG186" s="22"/>
      <c r="AH186" s="22"/>
      <c r="AI186" s="22"/>
      <c r="AJ186" s="22"/>
      <c r="AK186" s="22"/>
      <c r="AL186" s="22"/>
      <c r="AM186" s="22"/>
      <c r="AN186" s="22"/>
      <c r="AO186" s="22"/>
      <c r="AP186" s="22"/>
      <c r="AQ186" s="22"/>
      <c r="AR186" s="22"/>
      <c r="AS186" s="22">
        <v>0</v>
      </c>
      <c r="AT186" s="22"/>
      <c r="AU186" s="22"/>
      <c r="AV186" s="22"/>
      <c r="AW186" s="22"/>
      <c r="AX186" s="22"/>
      <c r="AY186" s="22"/>
      <c r="AZ186" s="22"/>
      <c r="BA186" s="22"/>
      <c r="BB186" s="22"/>
      <c r="BC186" s="22">
        <v>1.5921898466331186E-8</v>
      </c>
      <c r="BD186" s="22">
        <v>0</v>
      </c>
    </row>
    <row r="187" spans="1:56" x14ac:dyDescent="0.25">
      <c r="A187" t="s">
        <v>118</v>
      </c>
      <c r="B187">
        <v>1</v>
      </c>
      <c r="C187" t="s">
        <v>503</v>
      </c>
      <c r="D187" t="s">
        <v>475</v>
      </c>
      <c r="E187">
        <v>3</v>
      </c>
      <c r="F187">
        <v>7.16</v>
      </c>
      <c r="G187">
        <v>20.3401</v>
      </c>
      <c r="H187" t="s">
        <v>114</v>
      </c>
      <c r="I187" t="s">
        <v>114</v>
      </c>
      <c r="J187" t="s">
        <v>35</v>
      </c>
      <c r="K187">
        <f t="shared" si="24"/>
        <v>101.69</v>
      </c>
      <c r="L187">
        <f t="shared" si="25"/>
        <v>390.77570000000003</v>
      </c>
      <c r="M187" t="str">
        <f t="shared" si="26"/>
        <v>lucas-1</v>
      </c>
      <c r="N187" t="str">
        <f>INDEX(Scores!$A$2:$A$11,INDEX(Scores!$AA$2:$AA$131,MATCH(C187,Scores!$AB$2:$AB$131,0)))</f>
        <v>lucas</v>
      </c>
      <c r="O187">
        <f t="shared" si="27"/>
        <v>0</v>
      </c>
      <c r="P187">
        <f t="shared" si="28"/>
        <v>0</v>
      </c>
      <c r="Q187" s="3">
        <f t="shared" si="29"/>
        <v>0.99999986563981569</v>
      </c>
      <c r="R187" s="3">
        <f t="shared" si="30"/>
        <v>0.99999979831583385</v>
      </c>
      <c r="S187" s="9">
        <f t="shared" si="31"/>
        <v>-6.7323981833844471E-8</v>
      </c>
      <c r="T187">
        <f t="shared" si="32"/>
        <v>75</v>
      </c>
      <c r="U187">
        <f t="shared" si="33"/>
        <v>0</v>
      </c>
      <c r="V187" s="3">
        <f t="shared" si="34"/>
        <v>1</v>
      </c>
      <c r="W187" s="9">
        <f t="shared" si="35"/>
        <v>0</v>
      </c>
      <c r="AB187" s="111" t="s">
        <v>173</v>
      </c>
      <c r="AC187" s="22"/>
      <c r="AD187" s="22"/>
      <c r="AE187" s="22"/>
      <c r="AF187" s="22"/>
      <c r="AG187" s="22"/>
      <c r="AH187" s="22"/>
      <c r="AI187" s="22"/>
      <c r="AJ187" s="22"/>
      <c r="AK187" s="22">
        <v>3.9283630526298907E-7</v>
      </c>
      <c r="AL187" s="22"/>
      <c r="AM187" s="22"/>
      <c r="AN187" s="22"/>
      <c r="AO187" s="22"/>
      <c r="AP187" s="22"/>
      <c r="AQ187" s="22"/>
      <c r="AR187" s="22"/>
      <c r="AS187" s="22"/>
      <c r="AT187" s="22"/>
      <c r="AU187" s="22"/>
      <c r="AV187" s="22"/>
      <c r="AW187" s="22"/>
      <c r="AX187" s="22">
        <v>0</v>
      </c>
      <c r="AY187" s="22"/>
      <c r="AZ187" s="22"/>
      <c r="BA187" s="22"/>
      <c r="BB187" s="22"/>
      <c r="BC187" s="22">
        <v>3.9283630526298907E-7</v>
      </c>
      <c r="BD187" s="22">
        <v>0</v>
      </c>
    </row>
    <row r="188" spans="1:56" x14ac:dyDescent="0.25">
      <c r="A188" t="s">
        <v>123</v>
      </c>
      <c r="B188">
        <v>1</v>
      </c>
      <c r="C188" t="s">
        <v>506</v>
      </c>
      <c r="D188" t="s">
        <v>469</v>
      </c>
      <c r="E188">
        <v>1</v>
      </c>
      <c r="F188">
        <v>7.61</v>
      </c>
      <c r="G188">
        <v>48.302500000000002</v>
      </c>
      <c r="H188" t="s">
        <v>47</v>
      </c>
      <c r="I188" t="s">
        <v>47</v>
      </c>
      <c r="J188" t="s">
        <v>27</v>
      </c>
      <c r="K188">
        <f t="shared" si="24"/>
        <v>110.7</v>
      </c>
      <c r="L188">
        <f t="shared" si="25"/>
        <v>433.44330000000002</v>
      </c>
      <c r="M188" t="str">
        <f t="shared" si="26"/>
        <v>seth-1</v>
      </c>
      <c r="N188" t="str">
        <f>INDEX(Scores!$A$2:$A$11,INDEX(Scores!$AA$2:$AA$131,MATCH(C188,Scores!$AB$2:$AB$131,0)))</f>
        <v>seth</v>
      </c>
      <c r="O188">
        <f t="shared" si="27"/>
        <v>111.07</v>
      </c>
      <c r="P188">
        <f t="shared" si="28"/>
        <v>422.00569999999999</v>
      </c>
      <c r="Q188" s="3">
        <f t="shared" si="29"/>
        <v>0.49495335047896771</v>
      </c>
      <c r="R188" s="3">
        <f t="shared" si="30"/>
        <v>0.40296291164976467</v>
      </c>
      <c r="S188" s="9">
        <f t="shared" si="31"/>
        <v>-9.1990438829203047E-2</v>
      </c>
      <c r="T188">
        <f t="shared" si="32"/>
        <v>77</v>
      </c>
      <c r="U188">
        <f t="shared" si="33"/>
        <v>71</v>
      </c>
      <c r="V188" s="3">
        <f t="shared" si="34"/>
        <v>0.96519103167645748</v>
      </c>
      <c r="W188" s="9">
        <f t="shared" si="35"/>
        <v>3.4808968323542522E-2</v>
      </c>
      <c r="AB188" s="111" t="s">
        <v>85</v>
      </c>
      <c r="AC188" s="22"/>
      <c r="AD188" s="22"/>
      <c r="AE188" s="22"/>
      <c r="AF188" s="22"/>
      <c r="AG188" s="22"/>
      <c r="AH188" s="22"/>
      <c r="AI188" s="22">
        <v>-1.3751866534406076E-8</v>
      </c>
      <c r="AJ188" s="22"/>
      <c r="AK188" s="22"/>
      <c r="AL188" s="22"/>
      <c r="AM188" s="22"/>
      <c r="AN188" s="22"/>
      <c r="AO188" s="22"/>
      <c r="AP188" s="22"/>
      <c r="AQ188" s="22"/>
      <c r="AR188" s="22"/>
      <c r="AS188" s="22"/>
      <c r="AT188" s="22"/>
      <c r="AU188" s="22"/>
      <c r="AV188" s="22">
        <v>0</v>
      </c>
      <c r="AW188" s="22"/>
      <c r="AX188" s="22"/>
      <c r="AY188" s="22"/>
      <c r="AZ188" s="22"/>
      <c r="BA188" s="22"/>
      <c r="BB188" s="22"/>
      <c r="BC188" s="22">
        <v>-1.3751866534406076E-8</v>
      </c>
      <c r="BD188" s="22">
        <v>0</v>
      </c>
    </row>
    <row r="189" spans="1:56" x14ac:dyDescent="0.25">
      <c r="A189" t="s">
        <v>137</v>
      </c>
      <c r="B189">
        <v>3</v>
      </c>
      <c r="C189" t="s">
        <v>805</v>
      </c>
      <c r="D189" t="s">
        <v>466</v>
      </c>
      <c r="E189">
        <v>3</v>
      </c>
      <c r="F189">
        <v>7.47</v>
      </c>
      <c r="G189">
        <v>21.622499999999999</v>
      </c>
      <c r="H189" t="s">
        <v>466</v>
      </c>
      <c r="I189" t="s">
        <v>87</v>
      </c>
      <c r="J189" t="s">
        <v>27</v>
      </c>
      <c r="K189">
        <f t="shared" si="24"/>
        <v>105.02</v>
      </c>
      <c r="L189">
        <f t="shared" si="25"/>
        <v>401.60159999999996</v>
      </c>
      <c r="M189" t="str">
        <f t="shared" si="26"/>
        <v>matty-3</v>
      </c>
      <c r="N189" t="str">
        <f>INDEX(Scores!$A$2:$A$11,INDEX(Scores!$AA$2:$AA$131,MATCH(C189,Scores!$AB$2:$AB$131,0)))</f>
        <v>matty</v>
      </c>
      <c r="O189">
        <f t="shared" si="27"/>
        <v>116.17999999999999</v>
      </c>
      <c r="P189">
        <f t="shared" si="28"/>
        <v>478.31470000000002</v>
      </c>
      <c r="Q189" s="3">
        <f t="shared" si="29"/>
        <v>0.35337614783800875</v>
      </c>
      <c r="R189" s="3">
        <f t="shared" si="30"/>
        <v>0.29684096427964501</v>
      </c>
      <c r="S189" s="9">
        <f t="shared" si="31"/>
        <v>-5.6535183558363733E-2</v>
      </c>
      <c r="T189">
        <f t="shared" si="32"/>
        <v>85</v>
      </c>
      <c r="U189">
        <f t="shared" si="33"/>
        <v>81</v>
      </c>
      <c r="V189" s="3">
        <f t="shared" si="34"/>
        <v>0.96573496491425193</v>
      </c>
      <c r="W189" s="9">
        <f t="shared" si="35"/>
        <v>3.4265035085748075E-2</v>
      </c>
      <c r="AB189" s="111" t="s">
        <v>424</v>
      </c>
      <c r="AC189" s="22"/>
      <c r="AD189" s="22">
        <v>2.9041801197227102E-7</v>
      </c>
      <c r="AE189" s="22"/>
      <c r="AF189" s="22"/>
      <c r="AG189" s="22"/>
      <c r="AH189" s="22"/>
      <c r="AI189" s="22"/>
      <c r="AJ189" s="22"/>
      <c r="AK189" s="22"/>
      <c r="AL189" s="22"/>
      <c r="AM189" s="22">
        <v>3.995517672272797E-8</v>
      </c>
      <c r="AN189" s="22"/>
      <c r="AO189" s="22"/>
      <c r="AP189" s="22"/>
      <c r="AQ189" s="22">
        <v>0</v>
      </c>
      <c r="AR189" s="22"/>
      <c r="AS189" s="22"/>
      <c r="AT189" s="22"/>
      <c r="AU189" s="22"/>
      <c r="AV189" s="22"/>
      <c r="AW189" s="22"/>
      <c r="AX189" s="22"/>
      <c r="AY189" s="22"/>
      <c r="AZ189" s="22">
        <v>0</v>
      </c>
      <c r="BA189" s="22"/>
      <c r="BB189" s="22"/>
      <c r="BC189" s="22">
        <v>3.3037318869499899E-7</v>
      </c>
      <c r="BD189" s="22">
        <v>0</v>
      </c>
    </row>
    <row r="190" spans="1:56" x14ac:dyDescent="0.25">
      <c r="A190" t="s">
        <v>13</v>
      </c>
      <c r="B190">
        <v>4</v>
      </c>
      <c r="C190" t="s">
        <v>858</v>
      </c>
      <c r="D190" t="s">
        <v>467</v>
      </c>
      <c r="E190">
        <v>23</v>
      </c>
      <c r="F190">
        <v>23.11</v>
      </c>
      <c r="G190">
        <v>78.145600000000002</v>
      </c>
      <c r="H190" t="s">
        <v>15</v>
      </c>
      <c r="I190" t="s">
        <v>15</v>
      </c>
      <c r="J190" t="s">
        <v>16</v>
      </c>
      <c r="K190">
        <f t="shared" si="24"/>
        <v>115.58999999999999</v>
      </c>
      <c r="L190">
        <f t="shared" si="25"/>
        <v>432.42160000000007</v>
      </c>
      <c r="M190" t="str">
        <f t="shared" si="26"/>
        <v>scott-4</v>
      </c>
      <c r="N190" t="str">
        <f>INDEX(Scores!$A$2:$A$11,INDEX(Scores!$AA$2:$AA$131,MATCH(C190,Scores!$AB$2:$AB$131,0)))</f>
        <v>scott</v>
      </c>
      <c r="O190">
        <f t="shared" si="27"/>
        <v>113.07</v>
      </c>
      <c r="P190">
        <f t="shared" si="28"/>
        <v>452.41279999999995</v>
      </c>
      <c r="Q190" s="3">
        <f t="shared" si="29"/>
        <v>0.53375673014127667</v>
      </c>
      <c r="R190" s="3">
        <f t="shared" si="30"/>
        <v>0.53381062483551944</v>
      </c>
      <c r="S190" s="9">
        <f t="shared" si="31"/>
        <v>5.3894694242773156E-5</v>
      </c>
      <c r="T190">
        <f t="shared" si="32"/>
        <v>104</v>
      </c>
      <c r="U190">
        <f t="shared" si="33"/>
        <v>88</v>
      </c>
      <c r="V190" s="3">
        <f t="shared" si="34"/>
        <v>0.96580270548896696</v>
      </c>
      <c r="W190" s="9">
        <f t="shared" si="35"/>
        <v>3.4197294511033038E-2</v>
      </c>
      <c r="AB190" s="111" t="s">
        <v>136</v>
      </c>
      <c r="AC190" s="22"/>
      <c r="AD190" s="22"/>
      <c r="AE190" s="22"/>
      <c r="AF190" s="22"/>
      <c r="AG190" s="22"/>
      <c r="AH190" s="22"/>
      <c r="AI190" s="22"/>
      <c r="AJ190" s="22">
        <v>1.1795441845485755E-8</v>
      </c>
      <c r="AK190" s="22"/>
      <c r="AL190" s="22"/>
      <c r="AM190" s="22"/>
      <c r="AN190" s="22">
        <v>-3.1421260227038061E-7</v>
      </c>
      <c r="AO190" s="22"/>
      <c r="AP190" s="22"/>
      <c r="AQ190" s="22"/>
      <c r="AR190" s="22"/>
      <c r="AS190" s="22"/>
      <c r="AT190" s="22"/>
      <c r="AU190" s="22"/>
      <c r="AV190" s="22"/>
      <c r="AW190" s="22">
        <v>0</v>
      </c>
      <c r="AX190" s="22"/>
      <c r="AY190" s="22"/>
      <c r="AZ190" s="22"/>
      <c r="BA190" s="22">
        <v>0</v>
      </c>
      <c r="BB190" s="22"/>
      <c r="BC190" s="22">
        <v>-3.0241716042489486E-7</v>
      </c>
      <c r="BD190" s="22">
        <v>0</v>
      </c>
    </row>
    <row r="191" spans="1:56" x14ac:dyDescent="0.25">
      <c r="A191" t="s">
        <v>455</v>
      </c>
      <c r="B191">
        <v>13</v>
      </c>
      <c r="C191" t="s">
        <v>975</v>
      </c>
      <c r="D191" t="s">
        <v>478</v>
      </c>
      <c r="E191">
        <v>11</v>
      </c>
      <c r="F191">
        <v>7.5</v>
      </c>
      <c r="G191">
        <v>8.8803999999999998</v>
      </c>
      <c r="H191" t="s">
        <v>478</v>
      </c>
      <c r="I191" t="s">
        <v>478</v>
      </c>
      <c r="J191" t="s">
        <v>49</v>
      </c>
      <c r="K191">
        <f t="shared" si="24"/>
        <v>88.16</v>
      </c>
      <c r="L191">
        <f t="shared" si="25"/>
        <v>330.99250000000001</v>
      </c>
      <c r="M191" t="str">
        <f t="shared" si="26"/>
        <v>aj-13</v>
      </c>
      <c r="N191" t="str">
        <f>INDEX(Scores!$A$2:$A$11,INDEX(Scores!$AA$2:$AA$131,MATCH(C191,Scores!$AB$2:$AB$131,0)))</f>
        <v>aj</v>
      </c>
      <c r="O191">
        <f t="shared" si="27"/>
        <v>116.54</v>
      </c>
      <c r="P191">
        <f t="shared" si="28"/>
        <v>371.12040000000002</v>
      </c>
      <c r="Q191" s="3">
        <f t="shared" si="29"/>
        <v>0.14207393469061222</v>
      </c>
      <c r="R191" s="3">
        <f t="shared" si="30"/>
        <v>0.17234104119547547</v>
      </c>
      <c r="S191" s="9">
        <f t="shared" si="31"/>
        <v>3.026710650486325E-2</v>
      </c>
      <c r="T191">
        <f t="shared" si="32"/>
        <v>117</v>
      </c>
      <c r="U191">
        <f t="shared" si="33"/>
        <v>108</v>
      </c>
      <c r="V191" s="3">
        <f t="shared" si="34"/>
        <v>0.96752757723448801</v>
      </c>
      <c r="W191" s="9">
        <f t="shared" si="35"/>
        <v>3.2472422765511988E-2</v>
      </c>
      <c r="AB191" s="111" t="s">
        <v>18</v>
      </c>
      <c r="AC191" s="22"/>
      <c r="AD191" s="22"/>
      <c r="AE191" s="22"/>
      <c r="AF191" s="22"/>
      <c r="AG191" s="22">
        <v>-6.4567865165621185E-8</v>
      </c>
      <c r="AH191" s="22"/>
      <c r="AI191" s="22"/>
      <c r="AJ191" s="22"/>
      <c r="AK191" s="22"/>
      <c r="AL191" s="22"/>
      <c r="AM191" s="22"/>
      <c r="AN191" s="22"/>
      <c r="AO191" s="22"/>
      <c r="AP191" s="22"/>
      <c r="AQ191" s="22"/>
      <c r="AR191" s="22"/>
      <c r="AS191" s="22"/>
      <c r="AT191" s="22">
        <v>0</v>
      </c>
      <c r="AU191" s="22"/>
      <c r="AV191" s="22"/>
      <c r="AW191" s="22"/>
      <c r="AX191" s="22"/>
      <c r="AY191" s="22"/>
      <c r="AZ191" s="22"/>
      <c r="BA191" s="22"/>
      <c r="BB191" s="22"/>
      <c r="BC191" s="22">
        <v>-6.4567865165621185E-8</v>
      </c>
      <c r="BD191" s="22">
        <v>0</v>
      </c>
    </row>
    <row r="192" spans="1:56" x14ac:dyDescent="0.25">
      <c r="A192" t="s">
        <v>133</v>
      </c>
      <c r="B192">
        <v>8</v>
      </c>
      <c r="C192" t="s">
        <v>946</v>
      </c>
      <c r="D192" t="s">
        <v>466</v>
      </c>
      <c r="E192">
        <v>2</v>
      </c>
      <c r="F192">
        <v>10.54</v>
      </c>
      <c r="G192">
        <v>38.316099999999999</v>
      </c>
      <c r="H192" t="s">
        <v>466</v>
      </c>
      <c r="I192" t="s">
        <v>87</v>
      </c>
      <c r="J192" t="s">
        <v>62</v>
      </c>
      <c r="K192">
        <f t="shared" si="24"/>
        <v>94.88</v>
      </c>
      <c r="L192">
        <f t="shared" si="25"/>
        <v>320.65749999999997</v>
      </c>
      <c r="M192" t="str">
        <f t="shared" si="26"/>
        <v>scott-8</v>
      </c>
      <c r="N192" t="str">
        <f>INDEX(Scores!$A$2:$A$11,INDEX(Scores!$AA$2:$AA$131,MATCH(C192,Scores!$AB$2:$AB$131,0)))</f>
        <v>scott</v>
      </c>
      <c r="O192">
        <f t="shared" si="27"/>
        <v>113.35000000000001</v>
      </c>
      <c r="P192">
        <f t="shared" si="28"/>
        <v>416.81729999999993</v>
      </c>
      <c r="Q192" s="3">
        <f t="shared" si="29"/>
        <v>0.24821039531278949</v>
      </c>
      <c r="R192" s="3">
        <f t="shared" si="30"/>
        <v>0.15350973450271019</v>
      </c>
      <c r="S192" s="9">
        <f t="shared" si="31"/>
        <v>-9.4700660810079301E-2</v>
      </c>
      <c r="T192">
        <f t="shared" si="32"/>
        <v>78</v>
      </c>
      <c r="U192">
        <f t="shared" si="33"/>
        <v>75</v>
      </c>
      <c r="V192" s="3">
        <f t="shared" si="34"/>
        <v>0.96886001385525933</v>
      </c>
      <c r="W192" s="9">
        <f t="shared" si="35"/>
        <v>3.1139986144740672E-2</v>
      </c>
      <c r="AB192" s="111" t="s">
        <v>71</v>
      </c>
      <c r="AC192" s="22">
        <v>1.2532638671292062E-7</v>
      </c>
      <c r="AD192" s="22"/>
      <c r="AE192" s="22"/>
      <c r="AF192" s="22"/>
      <c r="AG192" s="22"/>
      <c r="AH192" s="22"/>
      <c r="AI192" s="22"/>
      <c r="AJ192" s="22"/>
      <c r="AK192" s="22"/>
      <c r="AL192" s="22"/>
      <c r="AM192" s="22"/>
      <c r="AN192" s="22"/>
      <c r="AO192" s="22"/>
      <c r="AP192" s="22">
        <v>0</v>
      </c>
      <c r="AQ192" s="22"/>
      <c r="AR192" s="22"/>
      <c r="AS192" s="22"/>
      <c r="AT192" s="22"/>
      <c r="AU192" s="22"/>
      <c r="AV192" s="22"/>
      <c r="AW192" s="22"/>
      <c r="AX192" s="22"/>
      <c r="AY192" s="22"/>
      <c r="AZ192" s="22"/>
      <c r="BA192" s="22"/>
      <c r="BB192" s="22"/>
      <c r="BC192" s="22">
        <v>1.2532638671292062E-7</v>
      </c>
      <c r="BD192" s="22">
        <v>0</v>
      </c>
    </row>
    <row r="193" spans="1:56" x14ac:dyDescent="0.25">
      <c r="A193" t="s">
        <v>123</v>
      </c>
      <c r="B193">
        <v>11</v>
      </c>
      <c r="C193" t="s">
        <v>941</v>
      </c>
      <c r="D193" t="s">
        <v>468</v>
      </c>
      <c r="E193">
        <v>4</v>
      </c>
      <c r="F193">
        <v>9.4700000000000006</v>
      </c>
      <c r="G193">
        <v>60.217599999999997</v>
      </c>
      <c r="H193" t="s">
        <v>47</v>
      </c>
      <c r="I193" t="s">
        <v>47</v>
      </c>
      <c r="J193" t="s">
        <v>27</v>
      </c>
      <c r="K193">
        <f t="shared" si="24"/>
        <v>98.580000000000013</v>
      </c>
      <c r="L193">
        <f t="shared" si="25"/>
        <v>364.4375</v>
      </c>
      <c r="M193" t="str">
        <f t="shared" si="26"/>
        <v>matty-11</v>
      </c>
      <c r="N193" t="str">
        <f>INDEX(Scores!$A$2:$A$11,INDEX(Scores!$AA$2:$AA$131,MATCH(C193,Scores!$AB$2:$AB$131,0)))</f>
        <v>matty</v>
      </c>
      <c r="O193">
        <f t="shared" si="27"/>
        <v>88.670000000000016</v>
      </c>
      <c r="P193">
        <f t="shared" si="28"/>
        <v>334.39179999999999</v>
      </c>
      <c r="Q193" s="3">
        <f t="shared" si="29"/>
        <v>0.64612380466415886</v>
      </c>
      <c r="R193" s="3">
        <f t="shared" si="30"/>
        <v>0.56973403382155152</v>
      </c>
      <c r="S193" s="9">
        <f t="shared" si="31"/>
        <v>-7.6389770842607341E-2</v>
      </c>
      <c r="T193">
        <f t="shared" si="32"/>
        <v>111</v>
      </c>
      <c r="U193">
        <f t="shared" si="33"/>
        <v>102</v>
      </c>
      <c r="V193" s="3">
        <f t="shared" si="34"/>
        <v>0.96888761596881645</v>
      </c>
      <c r="W193" s="9">
        <f t="shared" si="35"/>
        <v>3.1112384031183549E-2</v>
      </c>
      <c r="AB193" s="111" t="s">
        <v>124</v>
      </c>
      <c r="AC193" s="22"/>
      <c r="AD193" s="22"/>
      <c r="AE193" s="22"/>
      <c r="AF193" s="22">
        <v>-2.1268593441980954E-8</v>
      </c>
      <c r="AG193" s="22"/>
      <c r="AH193" s="22"/>
      <c r="AI193" s="22"/>
      <c r="AJ193" s="22"/>
      <c r="AK193" s="22"/>
      <c r="AL193" s="22"/>
      <c r="AM193" s="22"/>
      <c r="AN193" s="22"/>
      <c r="AO193" s="22"/>
      <c r="AP193" s="22"/>
      <c r="AQ193" s="22"/>
      <c r="AR193" s="22"/>
      <c r="AS193" s="22">
        <v>0</v>
      </c>
      <c r="AT193" s="22"/>
      <c r="AU193" s="22"/>
      <c r="AV193" s="22"/>
      <c r="AW193" s="22"/>
      <c r="AX193" s="22"/>
      <c r="AY193" s="22"/>
      <c r="AZ193" s="22"/>
      <c r="BA193" s="22"/>
      <c r="BB193" s="22"/>
      <c r="BC193" s="22">
        <v>-2.1268593441980954E-8</v>
      </c>
      <c r="BD193" s="22">
        <v>0</v>
      </c>
    </row>
    <row r="194" spans="1:56" x14ac:dyDescent="0.25">
      <c r="A194" t="s">
        <v>449</v>
      </c>
      <c r="B194">
        <v>9</v>
      </c>
      <c r="C194" t="s">
        <v>915</v>
      </c>
      <c r="D194" t="s">
        <v>478</v>
      </c>
      <c r="E194">
        <v>7</v>
      </c>
      <c r="F194">
        <v>6.75</v>
      </c>
      <c r="G194">
        <v>16.728100000000001</v>
      </c>
      <c r="H194" t="s">
        <v>478</v>
      </c>
      <c r="I194" t="s">
        <v>478</v>
      </c>
      <c r="J194" t="s">
        <v>16</v>
      </c>
      <c r="K194">
        <f t="shared" ref="K194:K257" si="36">SUMIF($C$2:$C$1301,$C194,$F$2:$F$1301)</f>
        <v>90.69</v>
      </c>
      <c r="L194">
        <f t="shared" ref="L194:L257" si="37">SUMIF($C$2:$C$1301,$C194,$G$2:$G$1301)</f>
        <v>356.05790000000002</v>
      </c>
      <c r="M194" t="str">
        <f t="shared" ref="M194:M257" si="38">N194&amp;"-"&amp;B194</f>
        <v>devon-9</v>
      </c>
      <c r="N194" t="str">
        <f>INDEX(Scores!$A$2:$A$11,INDEX(Scores!$AA$2:$AA$131,MATCH(C194,Scores!$AB$2:$AB$131,0)))</f>
        <v>devon</v>
      </c>
      <c r="O194">
        <f t="shared" ref="O194:O257" si="39">SUMIF($C$2:$C$1301,$M194,$F$2:$F$1301)</f>
        <v>104.66</v>
      </c>
      <c r="P194">
        <f t="shared" ref="P194:P257" si="40">SUMIF($C$2:$C$1301,$M194,$G$2:$G$1301)</f>
        <v>474.51049999999998</v>
      </c>
      <c r="Q194" s="3">
        <f t="shared" ref="Q194:Q257" si="41">_xlfn.NORM.DIST(0,$O194-$K194,SQRT($L194+$P194),TRUE)</f>
        <v>0.31393045538359282</v>
      </c>
      <c r="R194" s="3">
        <f t="shared" ref="R194:R257" si="42">_xlfn.NORM.DIST(0,$O194-$K194-($E194-$F194),SQRT($L194+$P194-$G194),TRUE)</f>
        <v>0.31528208351333376</v>
      </c>
      <c r="S194" s="9">
        <f t="shared" ref="S194:S257" si="43">R194-Q194</f>
        <v>1.3516281297409338E-3</v>
      </c>
      <c r="T194">
        <f t="shared" ref="T194:T257" si="44">SUMIF($C$2:$C$1301,$C194,$E$2:$E$1301)</f>
        <v>89</v>
      </c>
      <c r="U194">
        <f t="shared" ref="U194:U257" si="45">SUMIF($C$2:$C$1301,$M194,$E$2:$E$1301)</f>
        <v>81</v>
      </c>
      <c r="V194" s="3">
        <f t="shared" ref="V194:V257" si="46">_xlfn.NORM.DIST(0,U194-T194+E194-F194,SQRT(G194),TRUE)</f>
        <v>0.97094489027438591</v>
      </c>
      <c r="W194" s="9">
        <f t="shared" ref="W194:W257" si="47">IFERROR(IF(U194&gt;T194,0,1)-V194,0)</f>
        <v>2.9055109725614092E-2</v>
      </c>
      <c r="AB194" s="111" t="s">
        <v>163</v>
      </c>
      <c r="AC194" s="22"/>
      <c r="AD194" s="22"/>
      <c r="AE194" s="22"/>
      <c r="AF194" s="22"/>
      <c r="AG194" s="22"/>
      <c r="AH194" s="22"/>
      <c r="AI194" s="22"/>
      <c r="AJ194" s="22"/>
      <c r="AK194" s="22"/>
      <c r="AL194" s="22">
        <v>2.9722139749388532E-8</v>
      </c>
      <c r="AM194" s="22"/>
      <c r="AN194" s="22"/>
      <c r="AO194" s="22"/>
      <c r="AP194" s="22"/>
      <c r="AQ194" s="22"/>
      <c r="AR194" s="22"/>
      <c r="AS194" s="22"/>
      <c r="AT194" s="22"/>
      <c r="AU194" s="22"/>
      <c r="AV194" s="22"/>
      <c r="AW194" s="22"/>
      <c r="AX194" s="22"/>
      <c r="AY194" s="22">
        <v>0</v>
      </c>
      <c r="AZ194" s="22"/>
      <c r="BA194" s="22"/>
      <c r="BB194" s="22"/>
      <c r="BC194" s="22">
        <v>2.9722139749388532E-8</v>
      </c>
      <c r="BD194" s="22">
        <v>0</v>
      </c>
    </row>
    <row r="195" spans="1:56" x14ac:dyDescent="0.25">
      <c r="A195" t="s">
        <v>140</v>
      </c>
      <c r="B195">
        <v>5</v>
      </c>
      <c r="C195" t="s">
        <v>888</v>
      </c>
      <c r="D195" t="s">
        <v>472</v>
      </c>
      <c r="E195">
        <v>5</v>
      </c>
      <c r="F195">
        <v>9.84</v>
      </c>
      <c r="G195">
        <v>21.622499999999999</v>
      </c>
      <c r="H195" t="s">
        <v>87</v>
      </c>
      <c r="I195" t="s">
        <v>87</v>
      </c>
      <c r="J195" t="s">
        <v>55</v>
      </c>
      <c r="K195">
        <f t="shared" si="36"/>
        <v>117.25999999999999</v>
      </c>
      <c r="L195">
        <f t="shared" si="37"/>
        <v>422.9941</v>
      </c>
      <c r="M195" t="str">
        <f t="shared" si="38"/>
        <v>matty-5</v>
      </c>
      <c r="N195" t="str">
        <f>INDEX(Scores!$A$2:$A$11,INDEX(Scores!$AA$2:$AA$131,MATCH(C195,Scores!$AB$2:$AB$131,0)))</f>
        <v>matty</v>
      </c>
      <c r="O195">
        <f t="shared" si="39"/>
        <v>99.23</v>
      </c>
      <c r="P195">
        <f t="shared" si="40"/>
        <v>364.64739999999995</v>
      </c>
      <c r="Q195" s="3">
        <f t="shared" si="41"/>
        <v>0.73970568419743477</v>
      </c>
      <c r="R195" s="3">
        <f t="shared" si="42"/>
        <v>0.68316517013908939</v>
      </c>
      <c r="S195" s="9">
        <f t="shared" si="43"/>
        <v>-5.654051405834537E-2</v>
      </c>
      <c r="T195">
        <f t="shared" si="44"/>
        <v>110</v>
      </c>
      <c r="U195">
        <f t="shared" si="45"/>
        <v>106</v>
      </c>
      <c r="V195" s="3">
        <f t="shared" si="46"/>
        <v>0.97135392278707833</v>
      </c>
      <c r="W195" s="9">
        <f t="shared" si="47"/>
        <v>2.8646077212921672E-2</v>
      </c>
      <c r="AB195" s="111" t="s">
        <v>104</v>
      </c>
      <c r="AC195" s="22"/>
      <c r="AD195" s="22">
        <v>2.2346195849287653E-7</v>
      </c>
      <c r="AE195" s="22"/>
      <c r="AF195" s="22"/>
      <c r="AG195" s="22"/>
      <c r="AH195" s="22"/>
      <c r="AI195" s="22"/>
      <c r="AJ195" s="22"/>
      <c r="AK195" s="22"/>
      <c r="AL195" s="22"/>
      <c r="AM195" s="22"/>
      <c r="AN195" s="22"/>
      <c r="AO195" s="22">
        <v>9.3880904239451723E-7</v>
      </c>
      <c r="AP195" s="22"/>
      <c r="AQ195" s="22">
        <v>0</v>
      </c>
      <c r="AR195" s="22"/>
      <c r="AS195" s="22"/>
      <c r="AT195" s="22"/>
      <c r="AU195" s="22"/>
      <c r="AV195" s="22"/>
      <c r="AW195" s="22"/>
      <c r="AX195" s="22"/>
      <c r="AY195" s="22"/>
      <c r="AZ195" s="22"/>
      <c r="BA195" s="22"/>
      <c r="BB195" s="22">
        <v>0</v>
      </c>
      <c r="BC195" s="22">
        <v>1.1622710008873938E-6</v>
      </c>
      <c r="BD195" s="22">
        <v>0</v>
      </c>
    </row>
    <row r="196" spans="1:56" x14ac:dyDescent="0.25">
      <c r="A196" t="s">
        <v>405</v>
      </c>
      <c r="B196">
        <v>13</v>
      </c>
      <c r="C196" t="s">
        <v>975</v>
      </c>
      <c r="D196" t="s">
        <v>477</v>
      </c>
      <c r="E196">
        <v>4</v>
      </c>
      <c r="F196">
        <v>7.24</v>
      </c>
      <c r="G196">
        <v>41.344900000000003</v>
      </c>
      <c r="H196" t="s">
        <v>477</v>
      </c>
      <c r="I196" t="s">
        <v>477</v>
      </c>
      <c r="J196" t="s">
        <v>49</v>
      </c>
      <c r="K196">
        <f t="shared" si="36"/>
        <v>88.16</v>
      </c>
      <c r="L196">
        <f t="shared" si="37"/>
        <v>330.99250000000001</v>
      </c>
      <c r="M196" t="str">
        <f t="shared" si="38"/>
        <v>aj-13</v>
      </c>
      <c r="N196" t="str">
        <f>INDEX(Scores!$A$2:$A$11,INDEX(Scores!$AA$2:$AA$131,MATCH(C196,Scores!$AB$2:$AB$131,0)))</f>
        <v>aj</v>
      </c>
      <c r="O196">
        <f t="shared" si="39"/>
        <v>116.54</v>
      </c>
      <c r="P196">
        <f t="shared" si="40"/>
        <v>371.12040000000002</v>
      </c>
      <c r="Q196" s="3">
        <f t="shared" si="41"/>
        <v>0.14207393469061222</v>
      </c>
      <c r="R196" s="3">
        <f t="shared" si="42"/>
        <v>0.10933144956469405</v>
      </c>
      <c r="S196" s="9">
        <f t="shared" si="43"/>
        <v>-3.2742485125918167E-2</v>
      </c>
      <c r="T196">
        <f t="shared" si="44"/>
        <v>117</v>
      </c>
      <c r="U196">
        <f t="shared" si="45"/>
        <v>108</v>
      </c>
      <c r="V196" s="3">
        <f t="shared" si="46"/>
        <v>0.97151735057215516</v>
      </c>
      <c r="W196" s="9">
        <f t="shared" si="47"/>
        <v>2.8482649427844842E-2</v>
      </c>
      <c r="AB196" s="111" t="s">
        <v>90</v>
      </c>
      <c r="AC196" s="22"/>
      <c r="AD196" s="22"/>
      <c r="AE196" s="22"/>
      <c r="AF196" s="22"/>
      <c r="AG196" s="22"/>
      <c r="AH196" s="22"/>
      <c r="AI196" s="22"/>
      <c r="AJ196" s="22"/>
      <c r="AK196" s="22">
        <v>-1.1693742862917134E-8</v>
      </c>
      <c r="AL196" s="22"/>
      <c r="AM196" s="22"/>
      <c r="AN196" s="22"/>
      <c r="AO196" s="22"/>
      <c r="AP196" s="22"/>
      <c r="AQ196" s="22"/>
      <c r="AR196" s="22"/>
      <c r="AS196" s="22"/>
      <c r="AT196" s="22"/>
      <c r="AU196" s="22"/>
      <c r="AV196" s="22"/>
      <c r="AW196" s="22"/>
      <c r="AX196" s="22">
        <v>0</v>
      </c>
      <c r="AY196" s="22"/>
      <c r="AZ196" s="22"/>
      <c r="BA196" s="22"/>
      <c r="BB196" s="22"/>
      <c r="BC196" s="22">
        <v>-1.1693742862917134E-8</v>
      </c>
      <c r="BD196" s="22">
        <v>0</v>
      </c>
    </row>
    <row r="197" spans="1:56" x14ac:dyDescent="0.25">
      <c r="A197" t="s">
        <v>53</v>
      </c>
      <c r="B197">
        <v>13</v>
      </c>
      <c r="C197" t="s">
        <v>919</v>
      </c>
      <c r="D197" t="s">
        <v>467</v>
      </c>
      <c r="E197">
        <v>24</v>
      </c>
      <c r="F197">
        <v>19.170000000000002</v>
      </c>
      <c r="G197">
        <v>63.361600000000003</v>
      </c>
      <c r="H197" t="s">
        <v>15</v>
      </c>
      <c r="I197" t="s">
        <v>15</v>
      </c>
      <c r="J197" t="s">
        <v>16</v>
      </c>
      <c r="K197">
        <f t="shared" si="36"/>
        <v>106.87</v>
      </c>
      <c r="L197">
        <f t="shared" si="37"/>
        <v>444.05589999999995</v>
      </c>
      <c r="M197" t="str">
        <f t="shared" si="38"/>
        <v>scott-13</v>
      </c>
      <c r="N197" t="str">
        <f>INDEX(Scores!$A$2:$A$11,INDEX(Scores!$AA$2:$AA$131,MATCH(C197,Scores!$AB$2:$AB$131,0)))</f>
        <v>scott</v>
      </c>
      <c r="O197">
        <f t="shared" si="39"/>
        <v>108.61</v>
      </c>
      <c r="P197">
        <f t="shared" si="40"/>
        <v>407.25390000000004</v>
      </c>
      <c r="Q197" s="3">
        <f t="shared" si="41"/>
        <v>0.47622294087495948</v>
      </c>
      <c r="R197" s="3">
        <f t="shared" si="42"/>
        <v>0.54382715836868489</v>
      </c>
      <c r="S197" s="9">
        <f t="shared" si="43"/>
        <v>6.7604217493725416E-2</v>
      </c>
      <c r="T197">
        <f t="shared" si="44"/>
        <v>86</v>
      </c>
      <c r="U197">
        <f t="shared" si="45"/>
        <v>66</v>
      </c>
      <c r="V197" s="3">
        <f t="shared" si="46"/>
        <v>0.97166055084137137</v>
      </c>
      <c r="W197" s="9">
        <f t="shared" si="47"/>
        <v>2.8339449158628627E-2</v>
      </c>
      <c r="AB197" s="111" t="s">
        <v>98</v>
      </c>
      <c r="AC197" s="22"/>
      <c r="AD197" s="22"/>
      <c r="AE197" s="22"/>
      <c r="AF197" s="22"/>
      <c r="AG197" s="22"/>
      <c r="AH197" s="22"/>
      <c r="AI197" s="22"/>
      <c r="AJ197" s="22"/>
      <c r="AK197" s="22"/>
      <c r="AL197" s="22"/>
      <c r="AM197" s="22"/>
      <c r="AN197" s="22"/>
      <c r="AO197" s="22">
        <v>-7.3795316468672212E-7</v>
      </c>
      <c r="AP197" s="22"/>
      <c r="AQ197" s="22"/>
      <c r="AR197" s="22"/>
      <c r="AS197" s="22"/>
      <c r="AT197" s="22"/>
      <c r="AU197" s="22"/>
      <c r="AV197" s="22"/>
      <c r="AW197" s="22"/>
      <c r="AX197" s="22"/>
      <c r="AY197" s="22"/>
      <c r="AZ197" s="22"/>
      <c r="BA197" s="22"/>
      <c r="BB197" s="22">
        <v>0</v>
      </c>
      <c r="BC197" s="22">
        <v>-7.3795316468672212E-7</v>
      </c>
      <c r="BD197" s="22">
        <v>0</v>
      </c>
    </row>
    <row r="198" spans="1:56" x14ac:dyDescent="0.25">
      <c r="A198" t="s">
        <v>115</v>
      </c>
      <c r="B198">
        <v>3</v>
      </c>
      <c r="C198" t="s">
        <v>807</v>
      </c>
      <c r="D198" t="s">
        <v>466</v>
      </c>
      <c r="E198">
        <v>24</v>
      </c>
      <c r="F198">
        <v>15.05</v>
      </c>
      <c r="G198">
        <v>120.5604</v>
      </c>
      <c r="H198" t="s">
        <v>466</v>
      </c>
      <c r="I198" t="s">
        <v>47</v>
      </c>
      <c r="J198" t="s">
        <v>20</v>
      </c>
      <c r="K198">
        <f t="shared" si="36"/>
        <v>110.35</v>
      </c>
      <c r="L198">
        <f t="shared" si="37"/>
        <v>442.53309999999999</v>
      </c>
      <c r="M198" t="str">
        <f t="shared" si="38"/>
        <v>perry-3</v>
      </c>
      <c r="N198" t="str">
        <f>INDEX(Scores!$A$2:$A$11,INDEX(Scores!$AA$2:$AA$131,MATCH(C198,Scores!$AB$2:$AB$131,0)))</f>
        <v>perry</v>
      </c>
      <c r="O198">
        <f t="shared" si="39"/>
        <v>101.86999999999999</v>
      </c>
      <c r="P198">
        <f t="shared" si="40"/>
        <v>350.57169999999996</v>
      </c>
      <c r="Q198" s="3">
        <f t="shared" si="41"/>
        <v>0.61833611537492805</v>
      </c>
      <c r="R198" s="3">
        <f t="shared" si="42"/>
        <v>0.74924146501723099</v>
      </c>
      <c r="S198" s="9">
        <f t="shared" si="43"/>
        <v>0.13090534964230294</v>
      </c>
      <c r="T198">
        <f t="shared" si="44"/>
        <v>132</v>
      </c>
      <c r="U198">
        <f t="shared" si="45"/>
        <v>102</v>
      </c>
      <c r="V198" s="3">
        <f t="shared" si="46"/>
        <v>0.97238878538918083</v>
      </c>
      <c r="W198" s="9">
        <f t="shared" si="47"/>
        <v>2.7611214610819168E-2</v>
      </c>
      <c r="AB198" s="111" t="s">
        <v>106</v>
      </c>
      <c r="AC198" s="22"/>
      <c r="AD198" s="22">
        <v>4.3383786652029244E-7</v>
      </c>
      <c r="AE198" s="22"/>
      <c r="AF198" s="22"/>
      <c r="AG198" s="22"/>
      <c r="AH198" s="22"/>
      <c r="AI198" s="22"/>
      <c r="AJ198" s="22"/>
      <c r="AK198" s="22"/>
      <c r="AL198" s="22"/>
      <c r="AM198" s="22">
        <v>1.2213632216706571E-8</v>
      </c>
      <c r="AN198" s="22"/>
      <c r="AO198" s="22"/>
      <c r="AP198" s="22"/>
      <c r="AQ198" s="22">
        <v>0</v>
      </c>
      <c r="AR198" s="22"/>
      <c r="AS198" s="22"/>
      <c r="AT198" s="22"/>
      <c r="AU198" s="22"/>
      <c r="AV198" s="22"/>
      <c r="AW198" s="22"/>
      <c r="AX198" s="22"/>
      <c r="AY198" s="22"/>
      <c r="AZ198" s="22">
        <v>0</v>
      </c>
      <c r="BA198" s="22"/>
      <c r="BB198" s="22"/>
      <c r="BC198" s="22">
        <v>4.4605149873699901E-7</v>
      </c>
      <c r="BD198" s="22">
        <v>0</v>
      </c>
    </row>
    <row r="199" spans="1:56" x14ac:dyDescent="0.25">
      <c r="A199" t="s">
        <v>235</v>
      </c>
      <c r="B199">
        <v>12</v>
      </c>
      <c r="C199" t="s">
        <v>934</v>
      </c>
      <c r="D199" t="s">
        <v>475</v>
      </c>
      <c r="E199">
        <v>1</v>
      </c>
      <c r="F199">
        <v>8.42</v>
      </c>
      <c r="G199">
        <v>41.473599999999998</v>
      </c>
      <c r="H199" t="s">
        <v>114</v>
      </c>
      <c r="I199" t="s">
        <v>114</v>
      </c>
      <c r="J199" t="s">
        <v>35</v>
      </c>
      <c r="K199">
        <f t="shared" si="36"/>
        <v>99.070000000000007</v>
      </c>
      <c r="L199">
        <f t="shared" si="37"/>
        <v>350.10639999999995</v>
      </c>
      <c r="M199" t="str">
        <f t="shared" si="38"/>
        <v>matty-12</v>
      </c>
      <c r="N199" t="str">
        <f>INDEX(Scores!$A$2:$A$11,INDEX(Scores!$AA$2:$AA$131,MATCH(C199,Scores!$AB$2:$AB$131,0)))</f>
        <v>matty</v>
      </c>
      <c r="O199">
        <f t="shared" si="39"/>
        <v>94.28</v>
      </c>
      <c r="P199">
        <f t="shared" si="40"/>
        <v>371.05129999999997</v>
      </c>
      <c r="Q199" s="3">
        <f t="shared" si="41"/>
        <v>0.57078356677741682</v>
      </c>
      <c r="R199" s="3">
        <f t="shared" si="42"/>
        <v>0.45982312545460613</v>
      </c>
      <c r="S199" s="9">
        <f t="shared" si="43"/>
        <v>-0.11096044132281069</v>
      </c>
      <c r="T199">
        <f t="shared" si="44"/>
        <v>80</v>
      </c>
      <c r="U199">
        <f t="shared" si="45"/>
        <v>75</v>
      </c>
      <c r="V199" s="3">
        <f t="shared" si="46"/>
        <v>0.97310795556880081</v>
      </c>
      <c r="W199" s="9">
        <f t="shared" si="47"/>
        <v>2.6892044431199191E-2</v>
      </c>
      <c r="AB199" s="111" t="s">
        <v>13</v>
      </c>
      <c r="AC199" s="22"/>
      <c r="AD199" s="22"/>
      <c r="AE199" s="22"/>
      <c r="AF199" s="22"/>
      <c r="AG199" s="22"/>
      <c r="AH199" s="22"/>
      <c r="AI199" s="22"/>
      <c r="AJ199" s="22"/>
      <c r="AK199" s="22"/>
      <c r="AL199" s="22"/>
      <c r="AM199" s="22"/>
      <c r="AN199" s="22"/>
      <c r="AO199" s="22"/>
      <c r="AP199" s="22"/>
      <c r="AQ199" s="22"/>
      <c r="AR199" s="22"/>
      <c r="AS199" s="22"/>
      <c r="AT199" s="22"/>
      <c r="AU199" s="22"/>
      <c r="AV199" s="22"/>
      <c r="AW199" s="22"/>
      <c r="AX199" s="22"/>
      <c r="AY199" s="22"/>
      <c r="AZ199" s="22"/>
      <c r="BA199" s="22"/>
      <c r="BB199" s="22"/>
      <c r="BC199" s="22"/>
      <c r="BD199" s="22"/>
    </row>
    <row r="200" spans="1:56" x14ac:dyDescent="0.25">
      <c r="A200" t="s">
        <v>121</v>
      </c>
      <c r="B200">
        <v>5</v>
      </c>
      <c r="C200" t="s">
        <v>888</v>
      </c>
      <c r="D200" t="s">
        <v>466</v>
      </c>
      <c r="E200">
        <v>3</v>
      </c>
      <c r="F200">
        <v>11.04</v>
      </c>
      <c r="G200">
        <v>38.44</v>
      </c>
      <c r="H200" t="s">
        <v>466</v>
      </c>
      <c r="I200" t="s">
        <v>47</v>
      </c>
      <c r="J200" t="s">
        <v>55</v>
      </c>
      <c r="K200">
        <f t="shared" si="36"/>
        <v>117.25999999999999</v>
      </c>
      <c r="L200">
        <f t="shared" si="37"/>
        <v>422.9941</v>
      </c>
      <c r="M200" t="str">
        <f t="shared" si="38"/>
        <v>matty-5</v>
      </c>
      <c r="N200" t="str">
        <f>INDEX(Scores!$A$2:$A$11,INDEX(Scores!$AA$2:$AA$131,MATCH(C200,Scores!$AB$2:$AB$131,0)))</f>
        <v>matty</v>
      </c>
      <c r="O200">
        <f t="shared" si="39"/>
        <v>99.23</v>
      </c>
      <c r="P200">
        <f t="shared" si="40"/>
        <v>364.64739999999995</v>
      </c>
      <c r="Q200" s="3">
        <f t="shared" si="41"/>
        <v>0.73970568419743477</v>
      </c>
      <c r="R200" s="3">
        <f t="shared" si="42"/>
        <v>0.64243592326054721</v>
      </c>
      <c r="S200" s="9">
        <f t="shared" si="43"/>
        <v>-9.726976093688755E-2</v>
      </c>
      <c r="T200">
        <f t="shared" si="44"/>
        <v>110</v>
      </c>
      <c r="U200">
        <f t="shared" si="45"/>
        <v>106</v>
      </c>
      <c r="V200" s="3">
        <f t="shared" si="46"/>
        <v>0.97392754446355467</v>
      </c>
      <c r="W200" s="9">
        <f t="shared" si="47"/>
        <v>2.6072455536445327E-2</v>
      </c>
      <c r="AB200" s="112" t="s">
        <v>16</v>
      </c>
      <c r="AC200" s="22"/>
      <c r="AD200" s="22"/>
      <c r="AE200" s="22">
        <v>2.4182208280265627E-7</v>
      </c>
      <c r="AF200" s="22"/>
      <c r="AG200" s="22"/>
      <c r="AH200" s="22"/>
      <c r="AI200" s="22"/>
      <c r="AJ200" s="22"/>
      <c r="AK200" s="22"/>
      <c r="AL200" s="22"/>
      <c r="AM200" s="22"/>
      <c r="AN200" s="22"/>
      <c r="AO200" s="22"/>
      <c r="AP200" s="22"/>
      <c r="AQ200" s="22"/>
      <c r="AR200" s="22">
        <v>0</v>
      </c>
      <c r="AS200" s="22"/>
      <c r="AT200" s="22"/>
      <c r="AU200" s="22"/>
      <c r="AV200" s="22"/>
      <c r="AW200" s="22"/>
      <c r="AX200" s="22"/>
      <c r="AY200" s="22"/>
      <c r="AZ200" s="22"/>
      <c r="BA200" s="22"/>
      <c r="BB200" s="22"/>
      <c r="BC200" s="22">
        <v>2.4182208280265627E-7</v>
      </c>
      <c r="BD200" s="22">
        <v>0</v>
      </c>
    </row>
    <row r="201" spans="1:56" x14ac:dyDescent="0.25">
      <c r="A201" t="s">
        <v>95</v>
      </c>
      <c r="B201">
        <v>13</v>
      </c>
      <c r="C201" t="s">
        <v>935</v>
      </c>
      <c r="D201" t="s">
        <v>467</v>
      </c>
      <c r="E201">
        <v>37</v>
      </c>
      <c r="F201">
        <v>17.059999999999999</v>
      </c>
      <c r="G201">
        <v>51.696100000000001</v>
      </c>
      <c r="H201" t="s">
        <v>15</v>
      </c>
      <c r="I201" t="s">
        <v>15</v>
      </c>
      <c r="J201" t="s">
        <v>35</v>
      </c>
      <c r="K201">
        <f t="shared" si="36"/>
        <v>97.46</v>
      </c>
      <c r="L201">
        <f t="shared" si="37"/>
        <v>368.81949999999995</v>
      </c>
      <c r="M201" t="str">
        <f t="shared" si="38"/>
        <v>perry-13</v>
      </c>
      <c r="N201" t="str">
        <f>INDEX(Scores!$A$2:$A$11,INDEX(Scores!$AA$2:$AA$131,MATCH(C201,Scores!$AB$2:$AB$131,0)))</f>
        <v>perry</v>
      </c>
      <c r="O201">
        <f t="shared" si="39"/>
        <v>108.77</v>
      </c>
      <c r="P201">
        <f t="shared" si="40"/>
        <v>411.30060000000003</v>
      </c>
      <c r="Q201" s="3">
        <f t="shared" si="41"/>
        <v>0.3427638257896819</v>
      </c>
      <c r="R201" s="3">
        <f t="shared" si="42"/>
        <v>0.62542333930373506</v>
      </c>
      <c r="S201" s="9">
        <f t="shared" si="43"/>
        <v>0.28265951351405316</v>
      </c>
      <c r="T201">
        <f t="shared" si="44"/>
        <v>133</v>
      </c>
      <c r="U201">
        <f t="shared" si="45"/>
        <v>99</v>
      </c>
      <c r="V201" s="3">
        <f t="shared" si="46"/>
        <v>0.97473758931523635</v>
      </c>
      <c r="W201" s="9">
        <f t="shared" si="47"/>
        <v>2.5262410684763648E-2</v>
      </c>
      <c r="AB201" s="111" t="s">
        <v>1201</v>
      </c>
      <c r="AC201" s="22"/>
      <c r="AD201" s="22"/>
      <c r="AE201" s="22">
        <v>2.4182208280265627E-7</v>
      </c>
      <c r="AF201" s="22"/>
      <c r="AG201" s="22"/>
      <c r="AH201" s="22"/>
      <c r="AI201" s="22"/>
      <c r="AJ201" s="22"/>
      <c r="AK201" s="22"/>
      <c r="AL201" s="22"/>
      <c r="AM201" s="22"/>
      <c r="AN201" s="22"/>
      <c r="AO201" s="22"/>
      <c r="AP201" s="22"/>
      <c r="AQ201" s="22"/>
      <c r="AR201" s="22">
        <v>0</v>
      </c>
      <c r="AS201" s="22"/>
      <c r="AT201" s="22"/>
      <c r="AU201" s="22"/>
      <c r="AV201" s="22"/>
      <c r="AW201" s="22"/>
      <c r="AX201" s="22"/>
      <c r="AY201" s="22"/>
      <c r="AZ201" s="22"/>
      <c r="BA201" s="22"/>
      <c r="BB201" s="22"/>
      <c r="BC201" s="22">
        <v>2.4182208280265627E-7</v>
      </c>
      <c r="BD201" s="22">
        <v>0</v>
      </c>
    </row>
    <row r="202" spans="1:56" x14ac:dyDescent="0.25">
      <c r="A202" t="s">
        <v>299</v>
      </c>
      <c r="B202">
        <v>5</v>
      </c>
      <c r="C202" t="s">
        <v>889</v>
      </c>
      <c r="D202" t="s">
        <v>475</v>
      </c>
      <c r="E202">
        <v>2</v>
      </c>
      <c r="F202">
        <v>5.77</v>
      </c>
      <c r="G202">
        <v>24.900099999999998</v>
      </c>
      <c r="H202" t="s">
        <v>114</v>
      </c>
      <c r="I202" t="s">
        <v>114</v>
      </c>
      <c r="J202" t="s">
        <v>23</v>
      </c>
      <c r="K202">
        <f t="shared" si="36"/>
        <v>97.27</v>
      </c>
      <c r="L202">
        <f t="shared" si="37"/>
        <v>430.39269999999999</v>
      </c>
      <c r="M202" t="str">
        <f t="shared" si="38"/>
        <v>seth-5</v>
      </c>
      <c r="N202" t="str">
        <f>INDEX(Scores!$A$2:$A$11,INDEX(Scores!$AA$2:$AA$131,MATCH(C202,Scores!$AB$2:$AB$131,0)))</f>
        <v>seth</v>
      </c>
      <c r="O202">
        <f t="shared" si="39"/>
        <v>98.72999999999999</v>
      </c>
      <c r="P202">
        <f t="shared" si="40"/>
        <v>396.28840000000002</v>
      </c>
      <c r="Q202" s="3">
        <f t="shared" si="41"/>
        <v>0.47975082605670671</v>
      </c>
      <c r="R202" s="3">
        <f t="shared" si="42"/>
        <v>0.42673101998727658</v>
      </c>
      <c r="S202" s="9">
        <f t="shared" si="43"/>
        <v>-5.3019806069430131E-2</v>
      </c>
      <c r="T202">
        <f t="shared" si="44"/>
        <v>96</v>
      </c>
      <c r="U202">
        <f t="shared" si="45"/>
        <v>90</v>
      </c>
      <c r="V202" s="3">
        <f t="shared" si="46"/>
        <v>0.97488005505915654</v>
      </c>
      <c r="W202" s="9">
        <f t="shared" si="47"/>
        <v>2.5119944940843464E-2</v>
      </c>
      <c r="AB202" s="111" t="s">
        <v>93</v>
      </c>
      <c r="AC202" s="22"/>
      <c r="AD202" s="22"/>
      <c r="AE202" s="22">
        <v>1.4542137471984518E-7</v>
      </c>
      <c r="AF202" s="22"/>
      <c r="AG202" s="22"/>
      <c r="AH202" s="22"/>
      <c r="AI202" s="22"/>
      <c r="AJ202" s="22"/>
      <c r="AK202" s="22"/>
      <c r="AL202" s="22"/>
      <c r="AM202" s="22"/>
      <c r="AN202" s="22">
        <v>2.092774140649567E-7</v>
      </c>
      <c r="AO202" s="22"/>
      <c r="AP202" s="22"/>
      <c r="AQ202" s="22"/>
      <c r="AR202" s="22">
        <v>0</v>
      </c>
      <c r="AS202" s="22"/>
      <c r="AT202" s="22"/>
      <c r="AU202" s="22"/>
      <c r="AV202" s="22"/>
      <c r="AW202" s="22"/>
      <c r="AX202" s="22"/>
      <c r="AY202" s="22"/>
      <c r="AZ202" s="22"/>
      <c r="BA202" s="22">
        <v>0</v>
      </c>
      <c r="BB202" s="22"/>
      <c r="BC202" s="22">
        <v>3.5469878878480188E-7</v>
      </c>
      <c r="BD202" s="22">
        <v>0</v>
      </c>
    </row>
    <row r="203" spans="1:56" x14ac:dyDescent="0.25">
      <c r="A203" t="s">
        <v>162</v>
      </c>
      <c r="B203">
        <v>1</v>
      </c>
      <c r="C203" t="s">
        <v>506</v>
      </c>
      <c r="D203" t="s">
        <v>475</v>
      </c>
      <c r="E203">
        <v>0</v>
      </c>
      <c r="F203">
        <v>7.09</v>
      </c>
      <c r="G203">
        <v>44.222499999999997</v>
      </c>
      <c r="H203" t="s">
        <v>114</v>
      </c>
      <c r="I203" t="s">
        <v>114</v>
      </c>
      <c r="J203" t="s">
        <v>27</v>
      </c>
      <c r="K203">
        <f t="shared" si="36"/>
        <v>110.7</v>
      </c>
      <c r="L203">
        <f t="shared" si="37"/>
        <v>433.44330000000002</v>
      </c>
      <c r="M203" t="str">
        <f t="shared" si="38"/>
        <v>seth-1</v>
      </c>
      <c r="N203" t="str">
        <f>INDEX(Scores!$A$2:$A$11,INDEX(Scores!$AA$2:$AA$131,MATCH(C203,Scores!$AB$2:$AB$131,0)))</f>
        <v>seth</v>
      </c>
      <c r="O203">
        <f t="shared" si="39"/>
        <v>111.07</v>
      </c>
      <c r="P203">
        <f t="shared" si="40"/>
        <v>422.00569999999999</v>
      </c>
      <c r="Q203" s="3">
        <f t="shared" si="41"/>
        <v>0.49495335047896771</v>
      </c>
      <c r="R203" s="3">
        <f t="shared" si="42"/>
        <v>0.39669176902865561</v>
      </c>
      <c r="S203" s="9">
        <f t="shared" si="43"/>
        <v>-9.8261581450312108E-2</v>
      </c>
      <c r="T203">
        <f t="shared" si="44"/>
        <v>77</v>
      </c>
      <c r="U203">
        <f t="shared" si="45"/>
        <v>71</v>
      </c>
      <c r="V203" s="3">
        <f t="shared" si="46"/>
        <v>0.97549019422503647</v>
      </c>
      <c r="W203" s="9">
        <f t="shared" si="47"/>
        <v>2.4509805774963533E-2</v>
      </c>
      <c r="AB203" s="111" t="s">
        <v>101</v>
      </c>
      <c r="AC203" s="22"/>
      <c r="AD203" s="22"/>
      <c r="AE203" s="22"/>
      <c r="AF203" s="22"/>
      <c r="AG203" s="22"/>
      <c r="AH203" s="22"/>
      <c r="AI203" s="22"/>
      <c r="AJ203" s="22"/>
      <c r="AK203" s="22"/>
      <c r="AL203" s="22">
        <v>2.651150599053409E-8</v>
      </c>
      <c r="AM203" s="22"/>
      <c r="AN203" s="22"/>
      <c r="AO203" s="22"/>
      <c r="AP203" s="22"/>
      <c r="AQ203" s="22"/>
      <c r="AR203" s="22"/>
      <c r="AS203" s="22"/>
      <c r="AT203" s="22"/>
      <c r="AU203" s="22"/>
      <c r="AV203" s="22"/>
      <c r="AW203" s="22"/>
      <c r="AX203" s="22"/>
      <c r="AY203" s="22">
        <v>0</v>
      </c>
      <c r="AZ203" s="22"/>
      <c r="BA203" s="22"/>
      <c r="BB203" s="22"/>
      <c r="BC203" s="22">
        <v>2.651150599053409E-8</v>
      </c>
      <c r="BD203" s="22">
        <v>0</v>
      </c>
    </row>
    <row r="204" spans="1:56" x14ac:dyDescent="0.25">
      <c r="A204" t="s">
        <v>240</v>
      </c>
      <c r="B204">
        <v>8</v>
      </c>
      <c r="C204" t="s">
        <v>946</v>
      </c>
      <c r="D204" t="s">
        <v>472</v>
      </c>
      <c r="E204">
        <v>2</v>
      </c>
      <c r="F204">
        <v>7.27</v>
      </c>
      <c r="G204">
        <v>17.64</v>
      </c>
      <c r="H204" t="s">
        <v>87</v>
      </c>
      <c r="I204" t="s">
        <v>87</v>
      </c>
      <c r="J204" t="s">
        <v>62</v>
      </c>
      <c r="K204">
        <f t="shared" si="36"/>
        <v>94.88</v>
      </c>
      <c r="L204">
        <f t="shared" si="37"/>
        <v>320.65749999999997</v>
      </c>
      <c r="M204" t="str">
        <f t="shared" si="38"/>
        <v>scott-8</v>
      </c>
      <c r="N204" t="str">
        <f>INDEX(Scores!$A$2:$A$11,INDEX(Scores!$AA$2:$AA$131,MATCH(C204,Scores!$AB$2:$AB$131,0)))</f>
        <v>scott</v>
      </c>
      <c r="O204">
        <f t="shared" si="39"/>
        <v>113.35000000000001</v>
      </c>
      <c r="P204">
        <f t="shared" si="40"/>
        <v>416.81729999999993</v>
      </c>
      <c r="Q204" s="3">
        <f t="shared" si="41"/>
        <v>0.24821039531278949</v>
      </c>
      <c r="R204" s="3">
        <f t="shared" si="42"/>
        <v>0.18812171439597122</v>
      </c>
      <c r="S204" s="9">
        <f t="shared" si="43"/>
        <v>-6.0088680916818266E-2</v>
      </c>
      <c r="T204">
        <f t="shared" si="44"/>
        <v>78</v>
      </c>
      <c r="U204">
        <f t="shared" si="45"/>
        <v>75</v>
      </c>
      <c r="V204" s="3">
        <f t="shared" si="46"/>
        <v>0.97552618846235784</v>
      </c>
      <c r="W204" s="9">
        <f t="shared" si="47"/>
        <v>2.4473811537642165E-2</v>
      </c>
      <c r="AB204" s="111" t="s">
        <v>150</v>
      </c>
      <c r="AC204" s="22"/>
      <c r="AD204" s="22"/>
      <c r="AE204" s="22"/>
      <c r="AF204" s="22"/>
      <c r="AG204" s="22">
        <v>1.3030827539228795E-7</v>
      </c>
      <c r="AH204" s="22"/>
      <c r="AI204" s="22"/>
      <c r="AJ204" s="22"/>
      <c r="AK204" s="22">
        <v>0</v>
      </c>
      <c r="AL204" s="22"/>
      <c r="AM204" s="22"/>
      <c r="AN204" s="22"/>
      <c r="AO204" s="22"/>
      <c r="AP204" s="22"/>
      <c r="AQ204" s="22"/>
      <c r="AR204" s="22"/>
      <c r="AS204" s="22"/>
      <c r="AT204" s="22">
        <v>0</v>
      </c>
      <c r="AU204" s="22"/>
      <c r="AV204" s="22"/>
      <c r="AW204" s="22"/>
      <c r="AX204" s="22">
        <v>0</v>
      </c>
      <c r="AY204" s="22"/>
      <c r="AZ204" s="22"/>
      <c r="BA204" s="22"/>
      <c r="BB204" s="22"/>
      <c r="BC204" s="22">
        <v>1.3030827539228795E-7</v>
      </c>
      <c r="BD204" s="22">
        <v>0</v>
      </c>
    </row>
    <row r="205" spans="1:56" x14ac:dyDescent="0.25">
      <c r="A205" t="s">
        <v>108</v>
      </c>
      <c r="B205">
        <v>7</v>
      </c>
      <c r="C205" t="s">
        <v>961</v>
      </c>
      <c r="D205" t="s">
        <v>472</v>
      </c>
      <c r="E205">
        <v>12</v>
      </c>
      <c r="F205">
        <v>10.4</v>
      </c>
      <c r="G205">
        <v>32.718400000000003</v>
      </c>
      <c r="H205" t="s">
        <v>87</v>
      </c>
      <c r="I205" t="s">
        <v>87</v>
      </c>
      <c r="J205" t="s">
        <v>23</v>
      </c>
      <c r="K205">
        <f t="shared" si="36"/>
        <v>103.81000000000002</v>
      </c>
      <c r="L205">
        <f t="shared" si="37"/>
        <v>404.20889999999997</v>
      </c>
      <c r="M205" t="str">
        <f t="shared" si="38"/>
        <v>chad-7</v>
      </c>
      <c r="N205" t="str">
        <f>INDEX(Scores!$A$2:$A$11,INDEX(Scores!$AA$2:$AA$131,MATCH(C205,Scores!$AB$2:$AB$131,0)))</f>
        <v>chad</v>
      </c>
      <c r="O205">
        <f t="shared" si="39"/>
        <v>99.759999999999991</v>
      </c>
      <c r="P205">
        <f t="shared" si="40"/>
        <v>339.923</v>
      </c>
      <c r="Q205" s="3">
        <f t="shared" si="41"/>
        <v>0.55901290364123501</v>
      </c>
      <c r="R205" s="3">
        <f t="shared" si="42"/>
        <v>0.58388015528907777</v>
      </c>
      <c r="S205" s="9">
        <f t="shared" si="43"/>
        <v>2.4867251647842759E-2</v>
      </c>
      <c r="T205">
        <f t="shared" si="44"/>
        <v>115</v>
      </c>
      <c r="U205">
        <f t="shared" si="45"/>
        <v>102</v>
      </c>
      <c r="V205" s="3">
        <f t="shared" si="46"/>
        <v>0.97686965932881464</v>
      </c>
      <c r="W205" s="9">
        <f t="shared" si="47"/>
        <v>2.3130340671185357E-2</v>
      </c>
      <c r="AB205" s="111" t="s">
        <v>21</v>
      </c>
      <c r="AC205" s="22"/>
      <c r="AD205" s="22">
        <v>4.229397189137174E-7</v>
      </c>
      <c r="AE205" s="22"/>
      <c r="AF205" s="22"/>
      <c r="AG205" s="22"/>
      <c r="AH205" s="22"/>
      <c r="AI205" s="22"/>
      <c r="AJ205" s="22"/>
      <c r="AK205" s="22"/>
      <c r="AL205" s="22"/>
      <c r="AM205" s="22"/>
      <c r="AN205" s="22"/>
      <c r="AO205" s="22"/>
      <c r="AP205" s="22"/>
      <c r="AQ205" s="22">
        <v>0</v>
      </c>
      <c r="AR205" s="22"/>
      <c r="AS205" s="22"/>
      <c r="AT205" s="22"/>
      <c r="AU205" s="22"/>
      <c r="AV205" s="22"/>
      <c r="AW205" s="22"/>
      <c r="AX205" s="22"/>
      <c r="AY205" s="22"/>
      <c r="AZ205" s="22"/>
      <c r="BA205" s="22"/>
      <c r="BB205" s="22"/>
      <c r="BC205" s="22">
        <v>4.229397189137174E-7</v>
      </c>
      <c r="BD205" s="22">
        <v>0</v>
      </c>
    </row>
    <row r="206" spans="1:56" x14ac:dyDescent="0.25">
      <c r="A206" t="s">
        <v>213</v>
      </c>
      <c r="B206">
        <v>10</v>
      </c>
      <c r="C206" t="s">
        <v>972</v>
      </c>
      <c r="D206" t="s">
        <v>475</v>
      </c>
      <c r="E206">
        <v>1</v>
      </c>
      <c r="F206">
        <v>5.35</v>
      </c>
      <c r="G206">
        <v>17.4724</v>
      </c>
      <c r="H206" t="s">
        <v>114</v>
      </c>
      <c r="I206" t="s">
        <v>114</v>
      </c>
      <c r="J206" t="s">
        <v>49</v>
      </c>
      <c r="K206">
        <f t="shared" si="36"/>
        <v>80.72</v>
      </c>
      <c r="L206">
        <f t="shared" si="37"/>
        <v>274.11410000000001</v>
      </c>
      <c r="M206" t="str">
        <f t="shared" si="38"/>
        <v>seth-10</v>
      </c>
      <c r="N206" t="str">
        <f>INDEX(Scores!$A$2:$A$11,INDEX(Scores!$AA$2:$AA$131,MATCH(C206,Scores!$AB$2:$AB$131,0)))</f>
        <v>seth</v>
      </c>
      <c r="O206">
        <f t="shared" si="39"/>
        <v>104.52999999999999</v>
      </c>
      <c r="P206">
        <f t="shared" si="40"/>
        <v>446.11959999999999</v>
      </c>
      <c r="Q206" s="3">
        <f t="shared" si="41"/>
        <v>0.18748498770897654</v>
      </c>
      <c r="R206" s="3">
        <f t="shared" si="42"/>
        <v>0.14405999765006738</v>
      </c>
      <c r="S206" s="9">
        <f t="shared" si="43"/>
        <v>-4.3424990058909152E-2</v>
      </c>
      <c r="T206">
        <f t="shared" si="44"/>
        <v>84</v>
      </c>
      <c r="U206">
        <f t="shared" si="45"/>
        <v>80</v>
      </c>
      <c r="V206" s="3">
        <f t="shared" si="46"/>
        <v>0.97712039368323245</v>
      </c>
      <c r="W206" s="9">
        <f t="shared" si="47"/>
        <v>2.2879606316767553E-2</v>
      </c>
      <c r="AB206" s="111" t="s">
        <v>99</v>
      </c>
      <c r="AC206" s="22"/>
      <c r="AD206" s="22"/>
      <c r="AE206" s="22">
        <v>-1.6353772391841659E-7</v>
      </c>
      <c r="AF206" s="22"/>
      <c r="AG206" s="22"/>
      <c r="AH206" s="22"/>
      <c r="AI206" s="22"/>
      <c r="AJ206" s="22"/>
      <c r="AK206" s="22"/>
      <c r="AL206" s="22"/>
      <c r="AM206" s="22"/>
      <c r="AN206" s="22">
        <v>1.4989360697104104E-7</v>
      </c>
      <c r="AO206" s="22"/>
      <c r="AP206" s="22"/>
      <c r="AQ206" s="22"/>
      <c r="AR206" s="22">
        <v>0</v>
      </c>
      <c r="AS206" s="22"/>
      <c r="AT206" s="22"/>
      <c r="AU206" s="22"/>
      <c r="AV206" s="22"/>
      <c r="AW206" s="22"/>
      <c r="AX206" s="22"/>
      <c r="AY206" s="22"/>
      <c r="AZ206" s="22"/>
      <c r="BA206" s="22">
        <v>0</v>
      </c>
      <c r="BB206" s="22"/>
      <c r="BC206" s="22">
        <v>-1.3644116947375551E-8</v>
      </c>
      <c r="BD206" s="22">
        <v>0</v>
      </c>
    </row>
    <row r="207" spans="1:56" x14ac:dyDescent="0.25">
      <c r="A207" t="s">
        <v>178</v>
      </c>
      <c r="B207">
        <v>3</v>
      </c>
      <c r="C207" t="s">
        <v>805</v>
      </c>
      <c r="D207" t="s">
        <v>475</v>
      </c>
      <c r="E207">
        <v>0</v>
      </c>
      <c r="F207">
        <v>6.05</v>
      </c>
      <c r="G207">
        <v>25</v>
      </c>
      <c r="H207" t="s">
        <v>114</v>
      </c>
      <c r="I207" t="s">
        <v>114</v>
      </c>
      <c r="J207" t="s">
        <v>27</v>
      </c>
      <c r="K207">
        <f t="shared" si="36"/>
        <v>105.02</v>
      </c>
      <c r="L207">
        <f t="shared" si="37"/>
        <v>401.60159999999996</v>
      </c>
      <c r="M207" t="str">
        <f t="shared" si="38"/>
        <v>matty-3</v>
      </c>
      <c r="N207" t="str">
        <f>INDEX(Scores!$A$2:$A$11,INDEX(Scores!$AA$2:$AA$131,MATCH(C207,Scores!$AB$2:$AB$131,0)))</f>
        <v>matty</v>
      </c>
      <c r="O207">
        <f t="shared" si="39"/>
        <v>116.17999999999999</v>
      </c>
      <c r="P207">
        <f t="shared" si="40"/>
        <v>478.31470000000002</v>
      </c>
      <c r="Q207" s="3">
        <f t="shared" si="41"/>
        <v>0.35337614783800875</v>
      </c>
      <c r="R207" s="3">
        <f t="shared" si="42"/>
        <v>0.27806535630007262</v>
      </c>
      <c r="S207" s="9">
        <f t="shared" si="43"/>
        <v>-7.5310791537936128E-2</v>
      </c>
      <c r="T207">
        <f t="shared" si="44"/>
        <v>85</v>
      </c>
      <c r="U207">
        <f t="shared" si="45"/>
        <v>81</v>
      </c>
      <c r="V207" s="3">
        <f t="shared" si="46"/>
        <v>0.97778440557056856</v>
      </c>
      <c r="W207" s="9">
        <f t="shared" si="47"/>
        <v>2.221559442943144E-2</v>
      </c>
      <c r="AB207" s="111" t="s">
        <v>414</v>
      </c>
      <c r="AC207" s="22"/>
      <c r="AD207" s="22"/>
      <c r="AE207" s="22"/>
      <c r="AF207" s="22"/>
      <c r="AG207" s="22"/>
      <c r="AH207" s="22"/>
      <c r="AI207" s="22"/>
      <c r="AJ207" s="22">
        <v>4.9363042209371599E-8</v>
      </c>
      <c r="AK207" s="22"/>
      <c r="AL207" s="22"/>
      <c r="AM207" s="22"/>
      <c r="AN207" s="22"/>
      <c r="AO207" s="22"/>
      <c r="AP207" s="22"/>
      <c r="AQ207" s="22"/>
      <c r="AR207" s="22"/>
      <c r="AS207" s="22"/>
      <c r="AT207" s="22"/>
      <c r="AU207" s="22"/>
      <c r="AV207" s="22"/>
      <c r="AW207" s="22">
        <v>0</v>
      </c>
      <c r="AX207" s="22"/>
      <c r="AY207" s="22"/>
      <c r="AZ207" s="22"/>
      <c r="BA207" s="22"/>
      <c r="BB207" s="22"/>
      <c r="BC207" s="22">
        <v>4.9363042209371599E-8</v>
      </c>
      <c r="BD207" s="22">
        <v>0</v>
      </c>
    </row>
    <row r="208" spans="1:56" x14ac:dyDescent="0.25">
      <c r="A208" t="s">
        <v>69</v>
      </c>
      <c r="B208">
        <v>4</v>
      </c>
      <c r="C208" t="s">
        <v>865</v>
      </c>
      <c r="D208" t="s">
        <v>467</v>
      </c>
      <c r="E208">
        <v>14</v>
      </c>
      <c r="F208">
        <v>16.78</v>
      </c>
      <c r="G208">
        <v>53.5824</v>
      </c>
      <c r="H208" t="s">
        <v>15</v>
      </c>
      <c r="I208" t="s">
        <v>15</v>
      </c>
      <c r="J208" t="s">
        <v>62</v>
      </c>
      <c r="K208">
        <f t="shared" si="36"/>
        <v>99.8</v>
      </c>
      <c r="L208">
        <f t="shared" si="37"/>
        <v>351.46400000000006</v>
      </c>
      <c r="M208" t="str">
        <f t="shared" si="38"/>
        <v>seth-4</v>
      </c>
      <c r="N208" t="str">
        <f>INDEX(Scores!$A$2:$A$11,INDEX(Scores!$AA$2:$AA$131,MATCH(C208,Scores!$AB$2:$AB$131,0)))</f>
        <v>seth</v>
      </c>
      <c r="O208">
        <f t="shared" si="39"/>
        <v>104.32</v>
      </c>
      <c r="P208">
        <f t="shared" si="40"/>
        <v>390.96559999999999</v>
      </c>
      <c r="Q208" s="3">
        <f t="shared" si="41"/>
        <v>0.43412317323121657</v>
      </c>
      <c r="R208" s="3">
        <f t="shared" si="42"/>
        <v>0.390452946740388</v>
      </c>
      <c r="S208" s="9">
        <f t="shared" si="43"/>
        <v>-4.3670226490828579E-2</v>
      </c>
      <c r="T208">
        <f t="shared" si="44"/>
        <v>123</v>
      </c>
      <c r="U208">
        <f t="shared" si="45"/>
        <v>111</v>
      </c>
      <c r="V208" s="3">
        <f t="shared" si="46"/>
        <v>0.97826292096835676</v>
      </c>
      <c r="W208" s="9">
        <f t="shared" si="47"/>
        <v>2.1737079031643236E-2</v>
      </c>
      <c r="AB208" s="111" t="s">
        <v>111</v>
      </c>
      <c r="AC208" s="22"/>
      <c r="AD208" s="22"/>
      <c r="AE208" s="22">
        <v>2.174521651632233E-7</v>
      </c>
      <c r="AF208" s="22"/>
      <c r="AG208" s="22"/>
      <c r="AH208" s="22"/>
      <c r="AI208" s="22"/>
      <c r="AJ208" s="22"/>
      <c r="AK208" s="22"/>
      <c r="AL208" s="22"/>
      <c r="AM208" s="22"/>
      <c r="AN208" s="22"/>
      <c r="AO208" s="22"/>
      <c r="AP208" s="22"/>
      <c r="AQ208" s="22"/>
      <c r="AR208" s="22">
        <v>0</v>
      </c>
      <c r="AS208" s="22"/>
      <c r="AT208" s="22"/>
      <c r="AU208" s="22"/>
      <c r="AV208" s="22"/>
      <c r="AW208" s="22"/>
      <c r="AX208" s="22"/>
      <c r="AY208" s="22"/>
      <c r="AZ208" s="22"/>
      <c r="BA208" s="22"/>
      <c r="BB208" s="22"/>
      <c r="BC208" s="22">
        <v>2.174521651632233E-7</v>
      </c>
      <c r="BD208" s="22">
        <v>0</v>
      </c>
    </row>
    <row r="209" spans="1:56" x14ac:dyDescent="0.25">
      <c r="A209" t="s">
        <v>156</v>
      </c>
      <c r="B209">
        <v>5</v>
      </c>
      <c r="C209" t="s">
        <v>885</v>
      </c>
      <c r="D209" t="s">
        <v>466</v>
      </c>
      <c r="E209">
        <v>3</v>
      </c>
      <c r="F209">
        <v>5.95</v>
      </c>
      <c r="G209">
        <v>15.444900000000001</v>
      </c>
      <c r="H209" t="s">
        <v>466</v>
      </c>
      <c r="I209" t="s">
        <v>87</v>
      </c>
      <c r="J209" t="s">
        <v>35</v>
      </c>
      <c r="K209">
        <f t="shared" si="36"/>
        <v>93.5</v>
      </c>
      <c r="L209">
        <f t="shared" si="37"/>
        <v>346.9006</v>
      </c>
      <c r="M209" t="str">
        <f t="shared" si="38"/>
        <v>cory-5</v>
      </c>
      <c r="N209" t="str">
        <f>INDEX(Scores!$A$2:$A$11,INDEX(Scores!$AA$2:$AA$131,MATCH(C209,Scores!$AB$2:$AB$131,0)))</f>
        <v>cory</v>
      </c>
      <c r="O209">
        <f t="shared" si="39"/>
        <v>109.91</v>
      </c>
      <c r="P209">
        <f t="shared" si="40"/>
        <v>349.51409999999998</v>
      </c>
      <c r="Q209" s="3">
        <f t="shared" si="41"/>
        <v>0.26702544199612877</v>
      </c>
      <c r="R209" s="3">
        <f t="shared" si="42"/>
        <v>0.22907600418343033</v>
      </c>
      <c r="S209" s="9">
        <f t="shared" si="43"/>
        <v>-3.7949437812698439E-2</v>
      </c>
      <c r="T209">
        <f t="shared" si="44"/>
        <v>105</v>
      </c>
      <c r="U209">
        <f t="shared" si="45"/>
        <v>100</v>
      </c>
      <c r="V209" s="3">
        <f t="shared" si="46"/>
        <v>0.97845831007847017</v>
      </c>
      <c r="W209" s="9">
        <f t="shared" si="47"/>
        <v>2.1541689921529827E-2</v>
      </c>
      <c r="AB209" s="111" t="s">
        <v>235</v>
      </c>
      <c r="AC209" s="22"/>
      <c r="AD209" s="22"/>
      <c r="AE209" s="22"/>
      <c r="AF209" s="22"/>
      <c r="AG209" s="22"/>
      <c r="AH209" s="22"/>
      <c r="AI209" s="22"/>
      <c r="AJ209" s="22"/>
      <c r="AK209" s="22"/>
      <c r="AL209" s="22">
        <v>3.1756448803932358E-8</v>
      </c>
      <c r="AM209" s="22"/>
      <c r="AN209" s="22"/>
      <c r="AO209" s="22"/>
      <c r="AP209" s="22"/>
      <c r="AQ209" s="22"/>
      <c r="AR209" s="22"/>
      <c r="AS209" s="22"/>
      <c r="AT209" s="22"/>
      <c r="AU209" s="22"/>
      <c r="AV209" s="22"/>
      <c r="AW209" s="22"/>
      <c r="AX209" s="22"/>
      <c r="AY209" s="22">
        <v>0</v>
      </c>
      <c r="AZ209" s="22"/>
      <c r="BA209" s="22"/>
      <c r="BB209" s="22"/>
      <c r="BC209" s="22">
        <v>3.1756448803932358E-8</v>
      </c>
      <c r="BD209" s="22">
        <v>0</v>
      </c>
    </row>
    <row r="210" spans="1:56" x14ac:dyDescent="0.25">
      <c r="A210" t="s">
        <v>85</v>
      </c>
      <c r="B210">
        <v>11</v>
      </c>
      <c r="C210" t="s">
        <v>941</v>
      </c>
      <c r="D210" t="s">
        <v>466</v>
      </c>
      <c r="E210">
        <v>4</v>
      </c>
      <c r="F210">
        <v>8.18</v>
      </c>
      <c r="G210">
        <v>42.120100000000001</v>
      </c>
      <c r="H210" t="s">
        <v>466</v>
      </c>
      <c r="I210" t="s">
        <v>47</v>
      </c>
      <c r="J210" t="s">
        <v>27</v>
      </c>
      <c r="K210">
        <f t="shared" si="36"/>
        <v>98.580000000000013</v>
      </c>
      <c r="L210">
        <f t="shared" si="37"/>
        <v>364.4375</v>
      </c>
      <c r="M210" t="str">
        <f t="shared" si="38"/>
        <v>matty-11</v>
      </c>
      <c r="N210" t="str">
        <f>INDEX(Scores!$A$2:$A$11,INDEX(Scores!$AA$2:$AA$131,MATCH(C210,Scores!$AB$2:$AB$131,0)))</f>
        <v>matty</v>
      </c>
      <c r="O210">
        <f t="shared" si="39"/>
        <v>88.670000000000016</v>
      </c>
      <c r="P210">
        <f t="shared" si="40"/>
        <v>334.39179999999999</v>
      </c>
      <c r="Q210" s="3">
        <f t="shared" si="41"/>
        <v>0.64612380466415886</v>
      </c>
      <c r="R210" s="3">
        <f t="shared" si="42"/>
        <v>0.58846497145196097</v>
      </c>
      <c r="S210" s="9">
        <f t="shared" si="43"/>
        <v>-5.7658833212197891E-2</v>
      </c>
      <c r="T210">
        <f t="shared" si="44"/>
        <v>111</v>
      </c>
      <c r="U210">
        <f t="shared" si="45"/>
        <v>102</v>
      </c>
      <c r="V210" s="3">
        <f t="shared" si="46"/>
        <v>0.97886320084975231</v>
      </c>
      <c r="W210" s="9">
        <f t="shared" si="47"/>
        <v>2.1136799150247687E-2</v>
      </c>
      <c r="AB210" s="111" t="s">
        <v>48</v>
      </c>
      <c r="AC210" s="22"/>
      <c r="AD210" s="22"/>
      <c r="AE210" s="22"/>
      <c r="AF210" s="22">
        <v>4.4655167896756609E-8</v>
      </c>
      <c r="AG210" s="22"/>
      <c r="AH210" s="22"/>
      <c r="AI210" s="22"/>
      <c r="AJ210" s="22"/>
      <c r="AK210" s="22"/>
      <c r="AL210" s="22"/>
      <c r="AM210" s="22">
        <v>-1.7479896863292765E-8</v>
      </c>
      <c r="AN210" s="22"/>
      <c r="AO210" s="22"/>
      <c r="AP210" s="22"/>
      <c r="AQ210" s="22"/>
      <c r="AR210" s="22"/>
      <c r="AS210" s="22">
        <v>0</v>
      </c>
      <c r="AT210" s="22"/>
      <c r="AU210" s="22"/>
      <c r="AV210" s="22"/>
      <c r="AW210" s="22"/>
      <c r="AX210" s="22"/>
      <c r="AY210" s="22"/>
      <c r="AZ210" s="22">
        <v>0</v>
      </c>
      <c r="BA210" s="22"/>
      <c r="BB210" s="22"/>
      <c r="BC210" s="22">
        <v>2.7175271033463844E-8</v>
      </c>
      <c r="BD210" s="22">
        <v>0</v>
      </c>
    </row>
    <row r="211" spans="1:56" x14ac:dyDescent="0.25">
      <c r="A211" t="s">
        <v>120</v>
      </c>
      <c r="B211">
        <v>8</v>
      </c>
      <c r="C211" t="s">
        <v>938</v>
      </c>
      <c r="D211" t="s">
        <v>472</v>
      </c>
      <c r="E211">
        <v>28</v>
      </c>
      <c r="F211">
        <v>11.88</v>
      </c>
      <c r="G211">
        <v>84.456100000000006</v>
      </c>
      <c r="H211" t="s">
        <v>87</v>
      </c>
      <c r="I211" t="s">
        <v>87</v>
      </c>
      <c r="J211" t="s">
        <v>27</v>
      </c>
      <c r="K211">
        <f t="shared" si="36"/>
        <v>100.87</v>
      </c>
      <c r="L211">
        <f t="shared" si="37"/>
        <v>421.5641</v>
      </c>
      <c r="M211" t="str">
        <f t="shared" si="38"/>
        <v>perry-8</v>
      </c>
      <c r="N211" t="str">
        <f>INDEX(Scores!$A$2:$A$11,INDEX(Scores!$AA$2:$AA$131,MATCH(C211,Scores!$AB$2:$AB$131,0)))</f>
        <v>perry</v>
      </c>
      <c r="O211">
        <f t="shared" si="39"/>
        <v>115.82</v>
      </c>
      <c r="P211">
        <f t="shared" si="40"/>
        <v>434.36700000000002</v>
      </c>
      <c r="Q211" s="3">
        <f t="shared" si="41"/>
        <v>0.30467516207413586</v>
      </c>
      <c r="R211" s="3">
        <f t="shared" si="42"/>
        <v>0.516799895462696</v>
      </c>
      <c r="S211" s="9">
        <f t="shared" si="43"/>
        <v>0.21212473338856014</v>
      </c>
      <c r="T211">
        <f t="shared" si="44"/>
        <v>115</v>
      </c>
      <c r="U211">
        <f t="shared" si="45"/>
        <v>80</v>
      </c>
      <c r="V211" s="3">
        <f t="shared" si="46"/>
        <v>0.98003184019903611</v>
      </c>
      <c r="W211" s="9">
        <f t="shared" si="47"/>
        <v>1.9968159800963892E-2</v>
      </c>
      <c r="AB211" s="111" t="s">
        <v>57</v>
      </c>
      <c r="AC211" s="22">
        <v>1.1281844891630755E-7</v>
      </c>
      <c r="AD211" s="22"/>
      <c r="AE211" s="22"/>
      <c r="AF211" s="22"/>
      <c r="AG211" s="22"/>
      <c r="AH211" s="22"/>
      <c r="AI211" s="22"/>
      <c r="AJ211" s="22"/>
      <c r="AK211" s="22"/>
      <c r="AL211" s="22"/>
      <c r="AM211" s="22"/>
      <c r="AN211" s="22"/>
      <c r="AO211" s="22"/>
      <c r="AP211" s="22">
        <v>0</v>
      </c>
      <c r="AQ211" s="22"/>
      <c r="AR211" s="22"/>
      <c r="AS211" s="22"/>
      <c r="AT211" s="22"/>
      <c r="AU211" s="22"/>
      <c r="AV211" s="22"/>
      <c r="AW211" s="22"/>
      <c r="AX211" s="22"/>
      <c r="AY211" s="22"/>
      <c r="AZ211" s="22"/>
      <c r="BA211" s="22"/>
      <c r="BB211" s="22"/>
      <c r="BC211" s="22">
        <v>1.1281844891630755E-7</v>
      </c>
      <c r="BD211" s="22">
        <v>0</v>
      </c>
    </row>
    <row r="212" spans="1:56" x14ac:dyDescent="0.25">
      <c r="A212" t="s">
        <v>108</v>
      </c>
      <c r="B212">
        <v>8</v>
      </c>
      <c r="C212" t="s">
        <v>946</v>
      </c>
      <c r="D212" t="s">
        <v>473</v>
      </c>
      <c r="E212">
        <v>2</v>
      </c>
      <c r="F212">
        <v>10.08</v>
      </c>
      <c r="G212">
        <v>28.729600000000001</v>
      </c>
      <c r="H212" t="s">
        <v>87</v>
      </c>
      <c r="I212" t="s">
        <v>87</v>
      </c>
      <c r="J212" t="s">
        <v>62</v>
      </c>
      <c r="K212">
        <f t="shared" si="36"/>
        <v>94.88</v>
      </c>
      <c r="L212">
        <f t="shared" si="37"/>
        <v>320.65749999999997</v>
      </c>
      <c r="M212" t="str">
        <f t="shared" si="38"/>
        <v>scott-8</v>
      </c>
      <c r="N212" t="str">
        <f>INDEX(Scores!$A$2:$A$11,INDEX(Scores!$AA$2:$AA$131,MATCH(C212,Scores!$AB$2:$AB$131,0)))</f>
        <v>scott</v>
      </c>
      <c r="O212">
        <f t="shared" si="39"/>
        <v>113.35000000000001</v>
      </c>
      <c r="P212">
        <f t="shared" si="40"/>
        <v>416.81729999999993</v>
      </c>
      <c r="Q212" s="3">
        <f t="shared" si="41"/>
        <v>0.24821039531278949</v>
      </c>
      <c r="R212" s="3">
        <f t="shared" si="42"/>
        <v>0.15931299978016969</v>
      </c>
      <c r="S212" s="9">
        <f t="shared" si="43"/>
        <v>-8.88973955326198E-2</v>
      </c>
      <c r="T212">
        <f t="shared" si="44"/>
        <v>78</v>
      </c>
      <c r="U212">
        <f t="shared" si="45"/>
        <v>75</v>
      </c>
      <c r="V212" s="3">
        <f t="shared" si="46"/>
        <v>0.98064065685904567</v>
      </c>
      <c r="W212" s="9">
        <f t="shared" si="47"/>
        <v>1.9359343140954333E-2</v>
      </c>
      <c r="AB212" s="111" t="s">
        <v>138</v>
      </c>
      <c r="AC212" s="22"/>
      <c r="AD212" s="22"/>
      <c r="AE212" s="22"/>
      <c r="AF212" s="22"/>
      <c r="AG212" s="22"/>
      <c r="AH212" s="22"/>
      <c r="AI212" s="22"/>
      <c r="AJ212" s="22"/>
      <c r="AK212" s="22"/>
      <c r="AL212" s="22"/>
      <c r="AM212" s="22"/>
      <c r="AN212" s="22"/>
      <c r="AO212" s="22">
        <v>9.1977729799186392E-7</v>
      </c>
      <c r="AP212" s="22"/>
      <c r="AQ212" s="22"/>
      <c r="AR212" s="22"/>
      <c r="AS212" s="22"/>
      <c r="AT212" s="22"/>
      <c r="AU212" s="22"/>
      <c r="AV212" s="22"/>
      <c r="AW212" s="22"/>
      <c r="AX212" s="22"/>
      <c r="AY212" s="22"/>
      <c r="AZ212" s="22"/>
      <c r="BA212" s="22"/>
      <c r="BB212" s="22">
        <v>0</v>
      </c>
      <c r="BC212" s="22">
        <v>9.1977729799186392E-7</v>
      </c>
      <c r="BD212" s="22">
        <v>0</v>
      </c>
    </row>
    <row r="213" spans="1:56" x14ac:dyDescent="0.25">
      <c r="A213" t="s">
        <v>187</v>
      </c>
      <c r="B213">
        <v>13</v>
      </c>
      <c r="C213" t="s">
        <v>951</v>
      </c>
      <c r="D213" t="s">
        <v>466</v>
      </c>
      <c r="E213">
        <v>9</v>
      </c>
      <c r="F213">
        <v>9.86</v>
      </c>
      <c r="G213">
        <v>51.122500000000002</v>
      </c>
      <c r="H213" t="s">
        <v>466</v>
      </c>
      <c r="I213" t="s">
        <v>47</v>
      </c>
      <c r="J213" t="s">
        <v>62</v>
      </c>
      <c r="K213">
        <f t="shared" si="36"/>
        <v>113.35</v>
      </c>
      <c r="L213">
        <f t="shared" si="37"/>
        <v>486.24799999999993</v>
      </c>
      <c r="M213" t="str">
        <f t="shared" si="38"/>
        <v>comp-13</v>
      </c>
      <c r="N213" t="str">
        <f>INDEX(Scores!$A$2:$A$11,INDEX(Scores!$AA$2:$AA$131,MATCH(C213,Scores!$AB$2:$AB$131,0)))</f>
        <v>comp</v>
      </c>
      <c r="O213">
        <f t="shared" si="39"/>
        <v>104.63999999999999</v>
      </c>
      <c r="P213">
        <f t="shared" si="40"/>
        <v>400.33339999999998</v>
      </c>
      <c r="Q213" s="3">
        <f t="shared" si="41"/>
        <v>0.6150563098213474</v>
      </c>
      <c r="R213" s="3">
        <f t="shared" si="42"/>
        <v>0.60702975314480745</v>
      </c>
      <c r="S213" s="9">
        <f t="shared" si="43"/>
        <v>-8.0265566765399532E-3</v>
      </c>
      <c r="T213">
        <f t="shared" si="44"/>
        <v>95</v>
      </c>
      <c r="U213">
        <f t="shared" si="45"/>
        <v>81</v>
      </c>
      <c r="V213" s="3">
        <f t="shared" si="46"/>
        <v>0.9811601294593213</v>
      </c>
      <c r="W213" s="9">
        <f t="shared" si="47"/>
        <v>1.8839870540678705E-2</v>
      </c>
      <c r="AB213" s="111" t="s">
        <v>128</v>
      </c>
      <c r="AC213" s="22"/>
      <c r="AD213" s="22"/>
      <c r="AE213" s="22"/>
      <c r="AF213" s="22">
        <v>2.2723171344551929E-8</v>
      </c>
      <c r="AG213" s="22"/>
      <c r="AH213" s="22"/>
      <c r="AI213" s="22"/>
      <c r="AJ213" s="22"/>
      <c r="AK213" s="22"/>
      <c r="AL213" s="22"/>
      <c r="AM213" s="22"/>
      <c r="AN213" s="22"/>
      <c r="AO213" s="22"/>
      <c r="AP213" s="22"/>
      <c r="AQ213" s="22"/>
      <c r="AR213" s="22"/>
      <c r="AS213" s="22">
        <v>0</v>
      </c>
      <c r="AT213" s="22"/>
      <c r="AU213" s="22"/>
      <c r="AV213" s="22"/>
      <c r="AW213" s="22"/>
      <c r="AX213" s="22"/>
      <c r="AY213" s="22"/>
      <c r="AZ213" s="22"/>
      <c r="BA213" s="22"/>
      <c r="BB213" s="22"/>
      <c r="BC213" s="22">
        <v>2.2723171344551929E-8</v>
      </c>
      <c r="BD213" s="22">
        <v>0</v>
      </c>
    </row>
    <row r="214" spans="1:56" x14ac:dyDescent="0.25">
      <c r="A214" t="s">
        <v>306</v>
      </c>
      <c r="B214">
        <v>3</v>
      </c>
      <c r="C214" t="s">
        <v>806</v>
      </c>
      <c r="D214" t="s">
        <v>469</v>
      </c>
      <c r="E214">
        <v>2</v>
      </c>
      <c r="F214">
        <v>10</v>
      </c>
      <c r="G214">
        <v>58.828899999999997</v>
      </c>
      <c r="H214" t="s">
        <v>47</v>
      </c>
      <c r="I214" t="s">
        <v>47</v>
      </c>
      <c r="J214" t="s">
        <v>55</v>
      </c>
      <c r="K214">
        <f t="shared" si="36"/>
        <v>107.31</v>
      </c>
      <c r="L214">
        <f t="shared" si="37"/>
        <v>425.77620000000002</v>
      </c>
      <c r="M214" t="str">
        <f t="shared" si="38"/>
        <v>seth-3</v>
      </c>
      <c r="N214" t="str">
        <f>INDEX(Scores!$A$2:$A$11,INDEX(Scores!$AA$2:$AA$131,MATCH(C214,Scores!$AB$2:$AB$131,0)))</f>
        <v>seth</v>
      </c>
      <c r="O214">
        <f t="shared" si="39"/>
        <v>94.54</v>
      </c>
      <c r="P214">
        <f t="shared" si="40"/>
        <v>356.43470000000002</v>
      </c>
      <c r="Q214" s="3">
        <f t="shared" si="41"/>
        <v>0.6760180870914847</v>
      </c>
      <c r="R214" s="3">
        <f t="shared" si="42"/>
        <v>0.57038379576136322</v>
      </c>
      <c r="S214" s="9">
        <f t="shared" si="43"/>
        <v>-0.10563429133012148</v>
      </c>
      <c r="T214">
        <f t="shared" si="44"/>
        <v>96</v>
      </c>
      <c r="U214">
        <f t="shared" si="45"/>
        <v>88</v>
      </c>
      <c r="V214" s="3">
        <f t="shared" si="46"/>
        <v>0.98151293225909697</v>
      </c>
      <c r="W214" s="9">
        <f t="shared" si="47"/>
        <v>1.8487067740903029E-2</v>
      </c>
      <c r="AB214" s="111" t="s">
        <v>156</v>
      </c>
      <c r="AC214" s="22">
        <v>-6.1723965272264536E-8</v>
      </c>
      <c r="AD214" s="22"/>
      <c r="AE214" s="22"/>
      <c r="AF214" s="22"/>
      <c r="AG214" s="22"/>
      <c r="AH214" s="22">
        <v>-9.4493814439822188E-8</v>
      </c>
      <c r="AI214" s="22"/>
      <c r="AJ214" s="22"/>
      <c r="AK214" s="22"/>
      <c r="AL214" s="22"/>
      <c r="AM214" s="22">
        <v>5.5870337245522705E-9</v>
      </c>
      <c r="AN214" s="22"/>
      <c r="AO214" s="22"/>
      <c r="AP214" s="22">
        <v>0</v>
      </c>
      <c r="AQ214" s="22"/>
      <c r="AR214" s="22"/>
      <c r="AS214" s="22"/>
      <c r="AT214" s="22"/>
      <c r="AU214" s="22">
        <v>0</v>
      </c>
      <c r="AV214" s="22"/>
      <c r="AW214" s="22"/>
      <c r="AX214" s="22"/>
      <c r="AY214" s="22"/>
      <c r="AZ214" s="22">
        <v>0</v>
      </c>
      <c r="BA214" s="22"/>
      <c r="BB214" s="22"/>
      <c r="BC214" s="22">
        <v>-1.5063074598753445E-7</v>
      </c>
      <c r="BD214" s="22">
        <v>0</v>
      </c>
    </row>
    <row r="215" spans="1:56" x14ac:dyDescent="0.25">
      <c r="A215" t="s">
        <v>18</v>
      </c>
      <c r="B215">
        <v>3</v>
      </c>
      <c r="C215" t="s">
        <v>807</v>
      </c>
      <c r="D215" t="s">
        <v>467</v>
      </c>
      <c r="E215">
        <v>35</v>
      </c>
      <c r="F215">
        <v>19.41</v>
      </c>
      <c r="G215">
        <v>47.472099999999998</v>
      </c>
      <c r="H215" t="s">
        <v>15</v>
      </c>
      <c r="I215" t="s">
        <v>15</v>
      </c>
      <c r="J215" t="s">
        <v>20</v>
      </c>
      <c r="K215">
        <f t="shared" si="36"/>
        <v>110.35</v>
      </c>
      <c r="L215">
        <f t="shared" si="37"/>
        <v>442.53309999999999</v>
      </c>
      <c r="M215" t="str">
        <f t="shared" si="38"/>
        <v>perry-3</v>
      </c>
      <c r="N215" t="str">
        <f>INDEX(Scores!$A$2:$A$11,INDEX(Scores!$AA$2:$AA$131,MATCH(C215,Scores!$AB$2:$AB$131,0)))</f>
        <v>perry</v>
      </c>
      <c r="O215">
        <f t="shared" si="39"/>
        <v>101.86999999999999</v>
      </c>
      <c r="P215">
        <f t="shared" si="40"/>
        <v>350.57169999999996</v>
      </c>
      <c r="Q215" s="3">
        <f t="shared" si="41"/>
        <v>0.61833611537492805</v>
      </c>
      <c r="R215" s="3">
        <f t="shared" si="42"/>
        <v>0.81097159660346341</v>
      </c>
      <c r="S215" s="9">
        <f t="shared" si="43"/>
        <v>0.19263548122853535</v>
      </c>
      <c r="T215">
        <f t="shared" si="44"/>
        <v>132</v>
      </c>
      <c r="U215">
        <f t="shared" si="45"/>
        <v>102</v>
      </c>
      <c r="V215" s="3">
        <f t="shared" si="46"/>
        <v>0.98175553978538765</v>
      </c>
      <c r="W215" s="9">
        <f t="shared" si="47"/>
        <v>1.8244460214612346E-2</v>
      </c>
      <c r="AB215" s="111" t="s">
        <v>850</v>
      </c>
      <c r="AC215" s="22"/>
      <c r="AD215" s="22"/>
      <c r="AE215" s="22"/>
      <c r="AF215" s="22">
        <v>-1.0086292245858886E-8</v>
      </c>
      <c r="AG215" s="22"/>
      <c r="AH215" s="22"/>
      <c r="AI215" s="22"/>
      <c r="AJ215" s="22"/>
      <c r="AK215" s="22"/>
      <c r="AL215" s="22"/>
      <c r="AM215" s="22"/>
      <c r="AN215" s="22"/>
      <c r="AO215" s="22"/>
      <c r="AP215" s="22"/>
      <c r="AQ215" s="22"/>
      <c r="AR215" s="22"/>
      <c r="AS215" s="22">
        <v>0</v>
      </c>
      <c r="AT215" s="22"/>
      <c r="AU215" s="22"/>
      <c r="AV215" s="22"/>
      <c r="AW215" s="22"/>
      <c r="AX215" s="22"/>
      <c r="AY215" s="22"/>
      <c r="AZ215" s="22"/>
      <c r="BA215" s="22"/>
      <c r="BB215" s="22"/>
      <c r="BC215" s="22">
        <v>-1.0086292245858886E-8</v>
      </c>
      <c r="BD215" s="22">
        <v>0</v>
      </c>
    </row>
    <row r="216" spans="1:56" x14ac:dyDescent="0.25">
      <c r="A216" t="s">
        <v>998</v>
      </c>
      <c r="B216">
        <v>7</v>
      </c>
      <c r="C216" t="s">
        <v>961</v>
      </c>
      <c r="D216" t="s">
        <v>478</v>
      </c>
      <c r="E216">
        <v>10</v>
      </c>
      <c r="F216">
        <v>6.16</v>
      </c>
      <c r="G216">
        <v>19.096900000000002</v>
      </c>
      <c r="H216" t="s">
        <v>478</v>
      </c>
      <c r="I216" t="s">
        <v>478</v>
      </c>
      <c r="J216" t="s">
        <v>23</v>
      </c>
      <c r="K216">
        <f t="shared" si="36"/>
        <v>103.81000000000002</v>
      </c>
      <c r="L216">
        <f t="shared" si="37"/>
        <v>404.20889999999997</v>
      </c>
      <c r="M216" t="str">
        <f t="shared" si="38"/>
        <v>chad-7</v>
      </c>
      <c r="N216" t="str">
        <f>INDEX(Scores!$A$2:$A$11,INDEX(Scores!$AA$2:$AA$131,MATCH(C216,Scores!$AB$2:$AB$131,0)))</f>
        <v>chad</v>
      </c>
      <c r="O216">
        <f t="shared" si="39"/>
        <v>99.759999999999991</v>
      </c>
      <c r="P216">
        <f t="shared" si="40"/>
        <v>339.923</v>
      </c>
      <c r="Q216" s="3">
        <f t="shared" si="41"/>
        <v>0.55901290364123501</v>
      </c>
      <c r="R216" s="3">
        <f t="shared" si="42"/>
        <v>0.61524663302237836</v>
      </c>
      <c r="S216" s="9">
        <f t="shared" si="43"/>
        <v>5.6233729381143349E-2</v>
      </c>
      <c r="T216">
        <f t="shared" si="44"/>
        <v>115</v>
      </c>
      <c r="U216">
        <f t="shared" si="45"/>
        <v>102</v>
      </c>
      <c r="V216" s="3">
        <f t="shared" si="46"/>
        <v>0.98196377583059202</v>
      </c>
      <c r="W216" s="9">
        <f t="shared" si="47"/>
        <v>1.8036224169407977E-2</v>
      </c>
      <c r="AB216" s="111" t="s">
        <v>613</v>
      </c>
      <c r="AC216" s="22"/>
      <c r="AD216" s="22"/>
      <c r="AE216" s="22"/>
      <c r="AF216" s="22"/>
      <c r="AG216" s="22"/>
      <c r="AH216" s="22"/>
      <c r="AI216" s="22"/>
      <c r="AJ216" s="22"/>
      <c r="AK216" s="22"/>
      <c r="AL216" s="22"/>
      <c r="AM216" s="22"/>
      <c r="AN216" s="22"/>
      <c r="AO216" s="22">
        <v>6.4269992572363321E-7</v>
      </c>
      <c r="AP216" s="22"/>
      <c r="AQ216" s="22"/>
      <c r="AR216" s="22"/>
      <c r="AS216" s="22"/>
      <c r="AT216" s="22"/>
      <c r="AU216" s="22"/>
      <c r="AV216" s="22"/>
      <c r="AW216" s="22"/>
      <c r="AX216" s="22"/>
      <c r="AY216" s="22"/>
      <c r="AZ216" s="22"/>
      <c r="BA216" s="22"/>
      <c r="BB216" s="22">
        <v>0</v>
      </c>
      <c r="BC216" s="22">
        <v>6.4269992572363321E-7</v>
      </c>
      <c r="BD216" s="22">
        <v>0</v>
      </c>
    </row>
    <row r="217" spans="1:56" x14ac:dyDescent="0.25">
      <c r="A217" t="s">
        <v>166</v>
      </c>
      <c r="B217">
        <v>5</v>
      </c>
      <c r="C217" t="s">
        <v>889</v>
      </c>
      <c r="D217" t="s">
        <v>473</v>
      </c>
      <c r="E217">
        <v>2</v>
      </c>
      <c r="F217">
        <v>8.52</v>
      </c>
      <c r="G217">
        <v>35.521599999999999</v>
      </c>
      <c r="H217" t="s">
        <v>87</v>
      </c>
      <c r="I217" t="s">
        <v>87</v>
      </c>
      <c r="J217" t="s">
        <v>23</v>
      </c>
      <c r="K217">
        <f t="shared" si="36"/>
        <v>97.27</v>
      </c>
      <c r="L217">
        <f t="shared" si="37"/>
        <v>430.39269999999999</v>
      </c>
      <c r="M217" t="str">
        <f t="shared" si="38"/>
        <v>seth-5</v>
      </c>
      <c r="N217" t="str">
        <f>INDEX(Scores!$A$2:$A$11,INDEX(Scores!$AA$2:$AA$131,MATCH(C217,Scores!$AB$2:$AB$131,0)))</f>
        <v>seth</v>
      </c>
      <c r="O217">
        <f t="shared" si="39"/>
        <v>98.72999999999999</v>
      </c>
      <c r="P217">
        <f t="shared" si="40"/>
        <v>396.28840000000002</v>
      </c>
      <c r="Q217" s="3">
        <f t="shared" si="41"/>
        <v>0.47975082605670671</v>
      </c>
      <c r="R217" s="3">
        <f t="shared" si="42"/>
        <v>0.38831726058482424</v>
      </c>
      <c r="S217" s="9">
        <f t="shared" si="43"/>
        <v>-9.1433565471882472E-2</v>
      </c>
      <c r="T217">
        <f t="shared" si="44"/>
        <v>96</v>
      </c>
      <c r="U217">
        <f t="shared" si="45"/>
        <v>90</v>
      </c>
      <c r="V217" s="3">
        <f t="shared" si="46"/>
        <v>0.98216507783455709</v>
      </c>
      <c r="W217" s="9">
        <f t="shared" si="47"/>
        <v>1.7834922165442912E-2</v>
      </c>
      <c r="AB217" s="111" t="s">
        <v>122</v>
      </c>
      <c r="AC217" s="22"/>
      <c r="AD217" s="22"/>
      <c r="AE217" s="22"/>
      <c r="AF217" s="22"/>
      <c r="AG217" s="22">
        <v>5.8000489966403279E-9</v>
      </c>
      <c r="AH217" s="22"/>
      <c r="AI217" s="22"/>
      <c r="AJ217" s="22"/>
      <c r="AK217" s="22">
        <v>3.7237403116563428E-7</v>
      </c>
      <c r="AL217" s="22"/>
      <c r="AM217" s="22"/>
      <c r="AN217" s="22"/>
      <c r="AO217" s="22"/>
      <c r="AP217" s="22"/>
      <c r="AQ217" s="22"/>
      <c r="AR217" s="22"/>
      <c r="AS217" s="22"/>
      <c r="AT217" s="22">
        <v>0</v>
      </c>
      <c r="AU217" s="22"/>
      <c r="AV217" s="22"/>
      <c r="AW217" s="22"/>
      <c r="AX217" s="22">
        <v>0</v>
      </c>
      <c r="AY217" s="22"/>
      <c r="AZ217" s="22"/>
      <c r="BA217" s="22"/>
      <c r="BB217" s="22"/>
      <c r="BC217" s="22">
        <v>3.7817408016227461E-7</v>
      </c>
      <c r="BD217" s="22">
        <v>0</v>
      </c>
    </row>
    <row r="218" spans="1:56" x14ac:dyDescent="0.25">
      <c r="A218" t="s">
        <v>26</v>
      </c>
      <c r="B218">
        <v>3</v>
      </c>
      <c r="C218" t="s">
        <v>805</v>
      </c>
      <c r="D218" t="s">
        <v>467</v>
      </c>
      <c r="E218">
        <v>13</v>
      </c>
      <c r="F218">
        <v>20.18</v>
      </c>
      <c r="G218">
        <v>28.302399999999999</v>
      </c>
      <c r="H218" t="s">
        <v>15</v>
      </c>
      <c r="I218" t="s">
        <v>15</v>
      </c>
      <c r="J218" t="s">
        <v>27</v>
      </c>
      <c r="K218">
        <f t="shared" si="36"/>
        <v>105.02</v>
      </c>
      <c r="L218">
        <f t="shared" si="37"/>
        <v>401.60159999999996</v>
      </c>
      <c r="M218" t="str">
        <f t="shared" si="38"/>
        <v>matty-3</v>
      </c>
      <c r="N218" t="str">
        <f>INDEX(Scores!$A$2:$A$11,INDEX(Scores!$AA$2:$AA$131,MATCH(C218,Scores!$AB$2:$AB$131,0)))</f>
        <v>matty</v>
      </c>
      <c r="O218">
        <f t="shared" si="39"/>
        <v>116.17999999999999</v>
      </c>
      <c r="P218">
        <f t="shared" si="40"/>
        <v>478.31470000000002</v>
      </c>
      <c r="Q218" s="3">
        <f t="shared" si="41"/>
        <v>0.35337614783800875</v>
      </c>
      <c r="R218" s="3">
        <f t="shared" si="42"/>
        <v>0.26485116973600831</v>
      </c>
      <c r="S218" s="9">
        <f t="shared" si="43"/>
        <v>-8.852497810200044E-2</v>
      </c>
      <c r="T218">
        <f t="shared" si="44"/>
        <v>85</v>
      </c>
      <c r="U218">
        <f t="shared" si="45"/>
        <v>81</v>
      </c>
      <c r="V218" s="3">
        <f t="shared" si="46"/>
        <v>0.98220161583523624</v>
      </c>
      <c r="W218" s="9">
        <f t="shared" si="47"/>
        <v>1.7798384164763759E-2</v>
      </c>
      <c r="AB218" s="111" t="s">
        <v>449</v>
      </c>
      <c r="AC218" s="22"/>
      <c r="AD218" s="22"/>
      <c r="AE218" s="22">
        <v>2.13612598609636E-7</v>
      </c>
      <c r="AF218" s="22"/>
      <c r="AG218" s="22"/>
      <c r="AH218" s="22"/>
      <c r="AI218" s="22"/>
      <c r="AJ218" s="22"/>
      <c r="AK218" s="22"/>
      <c r="AL218" s="22"/>
      <c r="AM218" s="22"/>
      <c r="AN218" s="22">
        <v>1.5423770838296491E-7</v>
      </c>
      <c r="AO218" s="22"/>
      <c r="AP218" s="22"/>
      <c r="AQ218" s="22"/>
      <c r="AR218" s="22">
        <v>0</v>
      </c>
      <c r="AS218" s="22"/>
      <c r="AT218" s="22"/>
      <c r="AU218" s="22"/>
      <c r="AV218" s="22"/>
      <c r="AW218" s="22"/>
      <c r="AX218" s="22"/>
      <c r="AY218" s="22"/>
      <c r="AZ218" s="22"/>
      <c r="BA218" s="22">
        <v>0</v>
      </c>
      <c r="BB218" s="22"/>
      <c r="BC218" s="22">
        <v>3.6785030699260091E-7</v>
      </c>
      <c r="BD218" s="22">
        <v>0</v>
      </c>
    </row>
    <row r="219" spans="1:56" x14ac:dyDescent="0.25">
      <c r="A219" t="s">
        <v>127</v>
      </c>
      <c r="B219">
        <v>2</v>
      </c>
      <c r="C219" t="s">
        <v>638</v>
      </c>
      <c r="D219" t="s">
        <v>469</v>
      </c>
      <c r="E219">
        <v>6</v>
      </c>
      <c r="F219">
        <v>10.29</v>
      </c>
      <c r="G219">
        <v>39.816099999999999</v>
      </c>
      <c r="H219" t="s">
        <v>47</v>
      </c>
      <c r="I219" t="s">
        <v>47</v>
      </c>
      <c r="J219" t="s">
        <v>62</v>
      </c>
      <c r="K219">
        <f t="shared" si="36"/>
        <v>102.72000000000001</v>
      </c>
      <c r="L219">
        <f t="shared" si="37"/>
        <v>348.54960000000005</v>
      </c>
      <c r="M219" t="str">
        <f t="shared" si="38"/>
        <v>aj-2</v>
      </c>
      <c r="N219" t="str">
        <f>INDEX(Scores!$A$2:$A$11,INDEX(Scores!$AA$2:$AA$131,MATCH(C219,Scores!$AB$2:$AB$131,0)))</f>
        <v>aj</v>
      </c>
      <c r="O219">
        <f t="shared" si="39"/>
        <v>103.77999999999999</v>
      </c>
      <c r="P219">
        <f t="shared" si="40"/>
        <v>338.9511</v>
      </c>
      <c r="Q219" s="3">
        <f t="shared" si="41"/>
        <v>0.48387643490903587</v>
      </c>
      <c r="R219" s="3">
        <f t="shared" si="42"/>
        <v>0.41674836971302087</v>
      </c>
      <c r="S219" s="9">
        <f t="shared" si="43"/>
        <v>-6.7128065196014997E-2</v>
      </c>
      <c r="T219">
        <f t="shared" si="44"/>
        <v>99</v>
      </c>
      <c r="U219">
        <f t="shared" si="45"/>
        <v>90</v>
      </c>
      <c r="V219" s="3">
        <f t="shared" si="46"/>
        <v>0.98240566901933446</v>
      </c>
      <c r="W219" s="9">
        <f t="shared" si="47"/>
        <v>1.759433098066554E-2</v>
      </c>
      <c r="AB219" s="111" t="s">
        <v>464</v>
      </c>
      <c r="AC219" s="22"/>
      <c r="AD219" s="22"/>
      <c r="AE219" s="22"/>
      <c r="AF219" s="22"/>
      <c r="AG219" s="22"/>
      <c r="AH219" s="22">
        <v>2.4914385277075013E-7</v>
      </c>
      <c r="AI219" s="22"/>
      <c r="AJ219" s="22"/>
      <c r="AK219" s="22"/>
      <c r="AL219" s="22"/>
      <c r="AM219" s="22"/>
      <c r="AN219" s="22"/>
      <c r="AO219" s="22"/>
      <c r="AP219" s="22"/>
      <c r="AQ219" s="22"/>
      <c r="AR219" s="22"/>
      <c r="AS219" s="22"/>
      <c r="AT219" s="22"/>
      <c r="AU219" s="22">
        <v>0</v>
      </c>
      <c r="AV219" s="22"/>
      <c r="AW219" s="22"/>
      <c r="AX219" s="22"/>
      <c r="AY219" s="22"/>
      <c r="AZ219" s="22"/>
      <c r="BA219" s="22"/>
      <c r="BB219" s="22"/>
      <c r="BC219" s="22">
        <v>2.4914385277075013E-7</v>
      </c>
      <c r="BD219" s="22">
        <v>0</v>
      </c>
    </row>
    <row r="220" spans="1:56" x14ac:dyDescent="0.25">
      <c r="A220" t="s">
        <v>101</v>
      </c>
      <c r="B220">
        <v>8</v>
      </c>
      <c r="C220" t="s">
        <v>930</v>
      </c>
      <c r="D220" t="s">
        <v>469</v>
      </c>
      <c r="E220">
        <v>7</v>
      </c>
      <c r="F220">
        <v>10.45</v>
      </c>
      <c r="G220">
        <v>74.995599999999996</v>
      </c>
      <c r="H220" t="s">
        <v>47</v>
      </c>
      <c r="I220" t="s">
        <v>47</v>
      </c>
      <c r="J220" t="s">
        <v>35</v>
      </c>
      <c r="K220">
        <f t="shared" si="36"/>
        <v>102.43</v>
      </c>
      <c r="L220">
        <f t="shared" si="37"/>
        <v>452.86560000000003</v>
      </c>
      <c r="M220" t="str">
        <f t="shared" si="38"/>
        <v>seth-8</v>
      </c>
      <c r="N220" t="str">
        <f>INDEX(Scores!$A$2:$A$11,INDEX(Scores!$AA$2:$AA$131,MATCH(C220,Scores!$AB$2:$AB$131,0)))</f>
        <v>seth</v>
      </c>
      <c r="O220">
        <f t="shared" si="39"/>
        <v>96.57</v>
      </c>
      <c r="P220">
        <f t="shared" si="40"/>
        <v>368.03749999999997</v>
      </c>
      <c r="Q220" s="3">
        <f t="shared" si="41"/>
        <v>0.58102934018980379</v>
      </c>
      <c r="R220" s="3">
        <f t="shared" si="42"/>
        <v>0.53515776827757655</v>
      </c>
      <c r="S220" s="9">
        <f t="shared" si="43"/>
        <v>-4.5871571912227238E-2</v>
      </c>
      <c r="T220">
        <f t="shared" si="44"/>
        <v>100</v>
      </c>
      <c r="U220">
        <f t="shared" si="45"/>
        <v>85</v>
      </c>
      <c r="V220" s="3">
        <f t="shared" si="46"/>
        <v>0.98343420307412477</v>
      </c>
      <c r="W220" s="9">
        <f t="shared" si="47"/>
        <v>1.6565796925875231E-2</v>
      </c>
      <c r="AB220" s="111" t="s">
        <v>26</v>
      </c>
      <c r="AC220" s="22"/>
      <c r="AD220" s="22"/>
      <c r="AE220" s="22"/>
      <c r="AF220" s="22"/>
      <c r="AG220" s="22"/>
      <c r="AH220" s="22"/>
      <c r="AI220" s="22">
        <v>8.4062822591768338E-8</v>
      </c>
      <c r="AJ220" s="22"/>
      <c r="AK220" s="22"/>
      <c r="AL220" s="22"/>
      <c r="AM220" s="22"/>
      <c r="AN220" s="22"/>
      <c r="AO220" s="22"/>
      <c r="AP220" s="22"/>
      <c r="AQ220" s="22"/>
      <c r="AR220" s="22"/>
      <c r="AS220" s="22"/>
      <c r="AT220" s="22"/>
      <c r="AU220" s="22"/>
      <c r="AV220" s="22">
        <v>0</v>
      </c>
      <c r="AW220" s="22"/>
      <c r="AX220" s="22"/>
      <c r="AY220" s="22"/>
      <c r="AZ220" s="22"/>
      <c r="BA220" s="22"/>
      <c r="BB220" s="22"/>
      <c r="BC220" s="22">
        <v>8.4062822591768338E-8</v>
      </c>
      <c r="BD220" s="22">
        <v>0</v>
      </c>
    </row>
    <row r="221" spans="1:56" x14ac:dyDescent="0.25">
      <c r="A221" t="s">
        <v>417</v>
      </c>
      <c r="B221">
        <v>5</v>
      </c>
      <c r="C221" t="s">
        <v>884</v>
      </c>
      <c r="D221" t="s">
        <v>477</v>
      </c>
      <c r="E221">
        <v>11</v>
      </c>
      <c r="F221">
        <v>8.5399999999999991</v>
      </c>
      <c r="G221">
        <v>101.8081</v>
      </c>
      <c r="H221" t="s">
        <v>477</v>
      </c>
      <c r="I221" t="s">
        <v>477</v>
      </c>
      <c r="J221" t="s">
        <v>40</v>
      </c>
      <c r="K221">
        <f t="shared" si="36"/>
        <v>89.689999999999984</v>
      </c>
      <c r="L221">
        <f t="shared" si="37"/>
        <v>445.42419999999998</v>
      </c>
      <c r="M221" t="e">
        <f t="shared" si="38"/>
        <v>#N/A</v>
      </c>
      <c r="N221" t="e">
        <f>INDEX(Scores!$A$2:$A$11,INDEX(Scores!$AA$2:$AA$131,MATCH(C221,Scores!$AB$2:$AB$131,0)))</f>
        <v>#N/A</v>
      </c>
      <c r="O221">
        <f t="shared" si="39"/>
        <v>0</v>
      </c>
      <c r="P221">
        <f t="shared" si="40"/>
        <v>0</v>
      </c>
      <c r="Q221" s="3">
        <f t="shared" si="41"/>
        <v>0.99998929661032787</v>
      </c>
      <c r="R221" s="3">
        <f t="shared" si="42"/>
        <v>0.99999966724914313</v>
      </c>
      <c r="S221" s="9">
        <f t="shared" si="43"/>
        <v>1.0370638815260236E-5</v>
      </c>
      <c r="T221">
        <f t="shared" si="44"/>
        <v>93</v>
      </c>
      <c r="U221">
        <f t="shared" si="45"/>
        <v>0</v>
      </c>
      <c r="V221" s="3">
        <f t="shared" si="46"/>
        <v>1</v>
      </c>
      <c r="W221" s="9">
        <f t="shared" si="47"/>
        <v>0</v>
      </c>
      <c r="AB221" s="111" t="s">
        <v>1108</v>
      </c>
      <c r="AC221" s="22"/>
      <c r="AD221" s="22"/>
      <c r="AE221" s="22"/>
      <c r="AF221" s="22"/>
      <c r="AG221" s="22"/>
      <c r="AH221" s="22"/>
      <c r="AI221" s="22"/>
      <c r="AJ221" s="22">
        <v>4.960186783531384E-8</v>
      </c>
      <c r="AK221" s="22"/>
      <c r="AL221" s="22"/>
      <c r="AM221" s="22"/>
      <c r="AN221" s="22"/>
      <c r="AO221" s="22"/>
      <c r="AP221" s="22"/>
      <c r="AQ221" s="22"/>
      <c r="AR221" s="22"/>
      <c r="AS221" s="22"/>
      <c r="AT221" s="22"/>
      <c r="AU221" s="22"/>
      <c r="AV221" s="22"/>
      <c r="AW221" s="22">
        <v>0</v>
      </c>
      <c r="AX221" s="22"/>
      <c r="AY221" s="22"/>
      <c r="AZ221" s="22"/>
      <c r="BA221" s="22"/>
      <c r="BB221" s="22"/>
      <c r="BC221" s="22">
        <v>4.960186783531384E-8</v>
      </c>
      <c r="BD221" s="22">
        <v>0</v>
      </c>
    </row>
    <row r="222" spans="1:56" x14ac:dyDescent="0.25">
      <c r="A222" t="s">
        <v>100</v>
      </c>
      <c r="B222">
        <v>4</v>
      </c>
      <c r="C222" t="s">
        <v>865</v>
      </c>
      <c r="D222" t="s">
        <v>471</v>
      </c>
      <c r="E222">
        <v>12</v>
      </c>
      <c r="F222">
        <v>12.47</v>
      </c>
      <c r="G222">
        <v>34.105600000000003</v>
      </c>
      <c r="H222" t="s">
        <v>87</v>
      </c>
      <c r="I222" t="s">
        <v>87</v>
      </c>
      <c r="J222" t="s">
        <v>62</v>
      </c>
      <c r="K222">
        <f t="shared" si="36"/>
        <v>99.8</v>
      </c>
      <c r="L222">
        <f t="shared" si="37"/>
        <v>351.46400000000006</v>
      </c>
      <c r="M222" t="str">
        <f t="shared" si="38"/>
        <v>seth-4</v>
      </c>
      <c r="N222" t="str">
        <f>INDEX(Scores!$A$2:$A$11,INDEX(Scores!$AA$2:$AA$131,MATCH(C222,Scores!$AB$2:$AB$131,0)))</f>
        <v>seth</v>
      </c>
      <c r="O222">
        <f t="shared" si="39"/>
        <v>104.32</v>
      </c>
      <c r="P222">
        <f t="shared" si="40"/>
        <v>390.96559999999999</v>
      </c>
      <c r="Q222" s="3">
        <f t="shared" si="41"/>
        <v>0.43412317323121657</v>
      </c>
      <c r="R222" s="3">
        <f t="shared" si="42"/>
        <v>0.42563713888375854</v>
      </c>
      <c r="S222" s="9">
        <f t="shared" si="43"/>
        <v>-8.486034347458038E-3</v>
      </c>
      <c r="T222">
        <f t="shared" si="44"/>
        <v>123</v>
      </c>
      <c r="U222">
        <f t="shared" si="45"/>
        <v>111</v>
      </c>
      <c r="V222" s="3">
        <f t="shared" si="46"/>
        <v>0.98363068118102459</v>
      </c>
      <c r="W222" s="9">
        <f t="shared" si="47"/>
        <v>1.6369318818975409E-2</v>
      </c>
      <c r="AB222" s="111" t="s">
        <v>92</v>
      </c>
      <c r="AC222" s="22"/>
      <c r="AD222" s="22"/>
      <c r="AE222" s="22"/>
      <c r="AF222" s="22"/>
      <c r="AG222" s="22"/>
      <c r="AH222" s="22"/>
      <c r="AI222" s="22"/>
      <c r="AJ222" s="22">
        <v>4.9746335495370886E-8</v>
      </c>
      <c r="AK222" s="22"/>
      <c r="AL222" s="22"/>
      <c r="AM222" s="22"/>
      <c r="AN222" s="22"/>
      <c r="AO222" s="22"/>
      <c r="AP222" s="22"/>
      <c r="AQ222" s="22"/>
      <c r="AR222" s="22"/>
      <c r="AS222" s="22"/>
      <c r="AT222" s="22"/>
      <c r="AU222" s="22"/>
      <c r="AV222" s="22"/>
      <c r="AW222" s="22">
        <v>0</v>
      </c>
      <c r="AX222" s="22"/>
      <c r="AY222" s="22"/>
      <c r="AZ222" s="22"/>
      <c r="BA222" s="22"/>
      <c r="BB222" s="22"/>
      <c r="BC222" s="22">
        <v>4.9746335495370886E-8</v>
      </c>
      <c r="BD222" s="22">
        <v>0</v>
      </c>
    </row>
    <row r="223" spans="1:56" x14ac:dyDescent="0.25">
      <c r="A223" t="s">
        <v>39</v>
      </c>
      <c r="B223">
        <v>6</v>
      </c>
      <c r="C223" t="s">
        <v>952</v>
      </c>
      <c r="D223" t="s">
        <v>467</v>
      </c>
      <c r="E223">
        <v>20</v>
      </c>
      <c r="F223">
        <v>17.260000000000002</v>
      </c>
      <c r="G223">
        <v>65.124899999999997</v>
      </c>
      <c r="H223" t="s">
        <v>15</v>
      </c>
      <c r="I223" t="s">
        <v>15</v>
      </c>
      <c r="J223" t="s">
        <v>40</v>
      </c>
      <c r="K223">
        <f t="shared" si="36"/>
        <v>86.090000000000018</v>
      </c>
      <c r="L223">
        <f t="shared" si="37"/>
        <v>366.05880000000002</v>
      </c>
      <c r="M223" t="e">
        <f t="shared" si="38"/>
        <v>#N/A</v>
      </c>
      <c r="N223" t="e">
        <f>INDEX(Scores!$A$2:$A$11,INDEX(Scores!$AA$2:$AA$131,MATCH(C223,Scores!$AB$2:$AB$131,0)))</f>
        <v>#N/A</v>
      </c>
      <c r="O223">
        <f t="shared" si="39"/>
        <v>0</v>
      </c>
      <c r="P223">
        <f t="shared" si="40"/>
        <v>0</v>
      </c>
      <c r="Q223" s="3">
        <f t="shared" si="41"/>
        <v>0.99999659648730843</v>
      </c>
      <c r="R223" s="3">
        <f t="shared" si="42"/>
        <v>0.99999984774844786</v>
      </c>
      <c r="S223" s="9">
        <f t="shared" si="43"/>
        <v>3.2512611394253099E-6</v>
      </c>
      <c r="T223">
        <f t="shared" si="44"/>
        <v>99</v>
      </c>
      <c r="U223">
        <f t="shared" si="45"/>
        <v>0</v>
      </c>
      <c r="V223" s="3">
        <f t="shared" si="46"/>
        <v>1</v>
      </c>
      <c r="W223" s="9">
        <f t="shared" si="47"/>
        <v>0</v>
      </c>
      <c r="AB223" s="111" t="s">
        <v>142</v>
      </c>
      <c r="AC223" s="22"/>
      <c r="AD223" s="22"/>
      <c r="AE223" s="22">
        <v>4.7720195461842252E-8</v>
      </c>
      <c r="AF223" s="22"/>
      <c r="AG223" s="22"/>
      <c r="AH223" s="22"/>
      <c r="AI223" s="22"/>
      <c r="AJ223" s="22"/>
      <c r="AK223" s="22"/>
      <c r="AL223" s="22"/>
      <c r="AM223" s="22"/>
      <c r="AN223" s="22"/>
      <c r="AO223" s="22"/>
      <c r="AP223" s="22"/>
      <c r="AQ223" s="22"/>
      <c r="AR223" s="22">
        <v>0</v>
      </c>
      <c r="AS223" s="22"/>
      <c r="AT223" s="22"/>
      <c r="AU223" s="22"/>
      <c r="AV223" s="22"/>
      <c r="AW223" s="22"/>
      <c r="AX223" s="22"/>
      <c r="AY223" s="22"/>
      <c r="AZ223" s="22"/>
      <c r="BA223" s="22"/>
      <c r="BB223" s="22"/>
      <c r="BC223" s="22">
        <v>4.7720195461842252E-8</v>
      </c>
      <c r="BD223" s="22">
        <v>0</v>
      </c>
    </row>
    <row r="224" spans="1:56" x14ac:dyDescent="0.25">
      <c r="A224" t="s">
        <v>164</v>
      </c>
      <c r="B224">
        <v>13</v>
      </c>
      <c r="C224" t="s">
        <v>951</v>
      </c>
      <c r="D224" t="s">
        <v>469</v>
      </c>
      <c r="E224">
        <v>6</v>
      </c>
      <c r="F224">
        <v>12.01</v>
      </c>
      <c r="G224">
        <v>87.422499999999999</v>
      </c>
      <c r="H224" t="s">
        <v>47</v>
      </c>
      <c r="I224" t="s">
        <v>47</v>
      </c>
      <c r="J224" t="s">
        <v>62</v>
      </c>
      <c r="K224">
        <f t="shared" si="36"/>
        <v>113.35</v>
      </c>
      <c r="L224">
        <f t="shared" si="37"/>
        <v>486.24799999999993</v>
      </c>
      <c r="M224" t="str">
        <f t="shared" si="38"/>
        <v>comp-13</v>
      </c>
      <c r="N224" t="str">
        <f>INDEX(Scores!$A$2:$A$11,INDEX(Scores!$AA$2:$AA$131,MATCH(C224,Scores!$AB$2:$AB$131,0)))</f>
        <v>comp</v>
      </c>
      <c r="O224">
        <f t="shared" si="39"/>
        <v>104.63999999999999</v>
      </c>
      <c r="P224">
        <f t="shared" si="40"/>
        <v>400.33339999999998</v>
      </c>
      <c r="Q224" s="3">
        <f t="shared" si="41"/>
        <v>0.6150563098213474</v>
      </c>
      <c r="R224" s="3">
        <f t="shared" si="42"/>
        <v>0.53804498193722894</v>
      </c>
      <c r="S224" s="9">
        <f t="shared" si="43"/>
        <v>-7.7011327884118463E-2</v>
      </c>
      <c r="T224">
        <f t="shared" si="44"/>
        <v>95</v>
      </c>
      <c r="U224">
        <f t="shared" si="45"/>
        <v>81</v>
      </c>
      <c r="V224" s="3">
        <f t="shared" si="46"/>
        <v>0.98382693779681984</v>
      </c>
      <c r="W224" s="9">
        <f t="shared" si="47"/>
        <v>1.6173062203180155E-2</v>
      </c>
      <c r="AB224" s="111" t="s">
        <v>110</v>
      </c>
      <c r="AC224" s="22"/>
      <c r="AD224" s="22"/>
      <c r="AE224" s="22"/>
      <c r="AF224" s="22">
        <v>4.0170984982879077E-8</v>
      </c>
      <c r="AG224" s="22"/>
      <c r="AH224" s="22"/>
      <c r="AI224" s="22"/>
      <c r="AJ224" s="22"/>
      <c r="AK224" s="22"/>
      <c r="AL224" s="22">
        <v>3.6959680205228551E-8</v>
      </c>
      <c r="AM224" s="22"/>
      <c r="AN224" s="22"/>
      <c r="AO224" s="22"/>
      <c r="AP224" s="22"/>
      <c r="AQ224" s="22"/>
      <c r="AR224" s="22"/>
      <c r="AS224" s="22">
        <v>0</v>
      </c>
      <c r="AT224" s="22"/>
      <c r="AU224" s="22"/>
      <c r="AV224" s="22"/>
      <c r="AW224" s="22"/>
      <c r="AX224" s="22"/>
      <c r="AY224" s="22">
        <v>0</v>
      </c>
      <c r="AZ224" s="22"/>
      <c r="BA224" s="22"/>
      <c r="BB224" s="22"/>
      <c r="BC224" s="22">
        <v>7.7130665188107628E-8</v>
      </c>
      <c r="BD224" s="22">
        <v>0</v>
      </c>
    </row>
    <row r="225" spans="1:56" x14ac:dyDescent="0.25">
      <c r="A225" t="s">
        <v>179</v>
      </c>
      <c r="B225">
        <v>6</v>
      </c>
      <c r="C225" t="s">
        <v>968</v>
      </c>
      <c r="D225" t="s">
        <v>467</v>
      </c>
      <c r="E225">
        <v>23</v>
      </c>
      <c r="F225">
        <v>22.29</v>
      </c>
      <c r="G225">
        <v>57.912100000000002</v>
      </c>
      <c r="H225" t="s">
        <v>15</v>
      </c>
      <c r="I225" t="s">
        <v>15</v>
      </c>
      <c r="J225" t="s">
        <v>49</v>
      </c>
      <c r="K225">
        <f t="shared" si="36"/>
        <v>109.91000000000001</v>
      </c>
      <c r="L225">
        <f t="shared" si="37"/>
        <v>387.28550000000001</v>
      </c>
      <c r="M225" t="str">
        <f t="shared" si="38"/>
        <v>perry-6</v>
      </c>
      <c r="N225" t="str">
        <f>INDEX(Scores!$A$2:$A$11,INDEX(Scores!$AA$2:$AA$131,MATCH(C225,Scores!$AB$2:$AB$131,0)))</f>
        <v>perry</v>
      </c>
      <c r="O225">
        <f t="shared" si="39"/>
        <v>88.72</v>
      </c>
      <c r="P225">
        <f t="shared" si="40"/>
        <v>407.6961</v>
      </c>
      <c r="Q225" s="3">
        <f t="shared" si="41"/>
        <v>0.77383629678575794</v>
      </c>
      <c r="R225" s="3">
        <f t="shared" si="42"/>
        <v>0.79006846649991247</v>
      </c>
      <c r="S225" s="9">
        <f t="shared" si="43"/>
        <v>1.6232169714154532E-2</v>
      </c>
      <c r="T225">
        <f t="shared" si="44"/>
        <v>119</v>
      </c>
      <c r="U225">
        <f t="shared" si="45"/>
        <v>102</v>
      </c>
      <c r="V225" s="3">
        <f t="shared" si="46"/>
        <v>0.9838470259009463</v>
      </c>
      <c r="W225" s="9">
        <f t="shared" si="47"/>
        <v>1.6152974099053696E-2</v>
      </c>
      <c r="AB225" s="111" t="s">
        <v>419</v>
      </c>
      <c r="AC225" s="22"/>
      <c r="AD225" s="22"/>
      <c r="AE225" s="22"/>
      <c r="AF225" s="22"/>
      <c r="AG225" s="22"/>
      <c r="AH225" s="22"/>
      <c r="AI225" s="22"/>
      <c r="AJ225" s="22"/>
      <c r="AK225" s="22">
        <v>3.8008326397331871E-7</v>
      </c>
      <c r="AL225" s="22"/>
      <c r="AM225" s="22"/>
      <c r="AN225" s="22"/>
      <c r="AO225" s="22"/>
      <c r="AP225" s="22"/>
      <c r="AQ225" s="22"/>
      <c r="AR225" s="22"/>
      <c r="AS225" s="22"/>
      <c r="AT225" s="22"/>
      <c r="AU225" s="22"/>
      <c r="AV225" s="22"/>
      <c r="AW225" s="22"/>
      <c r="AX225" s="22">
        <v>0</v>
      </c>
      <c r="AY225" s="22"/>
      <c r="AZ225" s="22"/>
      <c r="BA225" s="22"/>
      <c r="BB225" s="22"/>
      <c r="BC225" s="22">
        <v>3.8008326397331871E-7</v>
      </c>
      <c r="BD225" s="22">
        <v>0</v>
      </c>
    </row>
    <row r="226" spans="1:56" x14ac:dyDescent="0.25">
      <c r="A226" t="s">
        <v>103</v>
      </c>
      <c r="B226">
        <v>3</v>
      </c>
      <c r="C226" t="s">
        <v>805</v>
      </c>
      <c r="D226" t="s">
        <v>472</v>
      </c>
      <c r="E226">
        <v>0</v>
      </c>
      <c r="F226">
        <v>12.05</v>
      </c>
      <c r="G226">
        <v>54.316899999999997</v>
      </c>
      <c r="H226" t="s">
        <v>87</v>
      </c>
      <c r="I226" t="s">
        <v>87</v>
      </c>
      <c r="J226" t="s">
        <v>27</v>
      </c>
      <c r="K226">
        <f t="shared" si="36"/>
        <v>105.02</v>
      </c>
      <c r="L226">
        <f t="shared" si="37"/>
        <v>401.60159999999996</v>
      </c>
      <c r="M226" t="str">
        <f t="shared" si="38"/>
        <v>matty-3</v>
      </c>
      <c r="N226" t="str">
        <f>INDEX(Scores!$A$2:$A$11,INDEX(Scores!$AA$2:$AA$131,MATCH(C226,Scores!$AB$2:$AB$131,0)))</f>
        <v>matty</v>
      </c>
      <c r="O226">
        <f t="shared" si="39"/>
        <v>116.17999999999999</v>
      </c>
      <c r="P226">
        <f t="shared" si="40"/>
        <v>478.31470000000002</v>
      </c>
      <c r="Q226" s="3">
        <f t="shared" si="41"/>
        <v>0.35337614783800875</v>
      </c>
      <c r="R226" s="3">
        <f t="shared" si="42"/>
        <v>0.20961003387581464</v>
      </c>
      <c r="S226" s="9">
        <f t="shared" si="43"/>
        <v>-0.1437661139621941</v>
      </c>
      <c r="T226">
        <f t="shared" si="44"/>
        <v>85</v>
      </c>
      <c r="U226">
        <f t="shared" si="45"/>
        <v>81</v>
      </c>
      <c r="V226" s="3">
        <f t="shared" si="46"/>
        <v>0.98528758445571951</v>
      </c>
      <c r="W226" s="9">
        <f t="shared" si="47"/>
        <v>1.4712415544280488E-2</v>
      </c>
      <c r="AB226" s="111" t="s">
        <v>144</v>
      </c>
      <c r="AC226" s="22"/>
      <c r="AD226" s="22"/>
      <c r="AE226" s="22"/>
      <c r="AF226" s="22"/>
      <c r="AG226" s="22">
        <v>5.738602637528345E-8</v>
      </c>
      <c r="AH226" s="22"/>
      <c r="AI226" s="22"/>
      <c r="AJ226" s="22"/>
      <c r="AK226" s="22"/>
      <c r="AL226" s="22"/>
      <c r="AM226" s="22"/>
      <c r="AN226" s="22"/>
      <c r="AO226" s="22"/>
      <c r="AP226" s="22"/>
      <c r="AQ226" s="22"/>
      <c r="AR226" s="22"/>
      <c r="AS226" s="22"/>
      <c r="AT226" s="22">
        <v>0</v>
      </c>
      <c r="AU226" s="22"/>
      <c r="AV226" s="22"/>
      <c r="AW226" s="22"/>
      <c r="AX226" s="22"/>
      <c r="AY226" s="22"/>
      <c r="AZ226" s="22"/>
      <c r="BA226" s="22"/>
      <c r="BB226" s="22"/>
      <c r="BC226" s="22">
        <v>5.738602637528345E-8</v>
      </c>
      <c r="BD226" s="22">
        <v>0</v>
      </c>
    </row>
    <row r="227" spans="1:56" x14ac:dyDescent="0.25">
      <c r="A227" t="s">
        <v>145</v>
      </c>
      <c r="B227">
        <v>13</v>
      </c>
      <c r="C227" t="s">
        <v>975</v>
      </c>
      <c r="D227" t="s">
        <v>468</v>
      </c>
      <c r="E227">
        <v>4</v>
      </c>
      <c r="F227">
        <v>7.8</v>
      </c>
      <c r="G227">
        <v>34.222499999999997</v>
      </c>
      <c r="H227" t="s">
        <v>47</v>
      </c>
      <c r="I227" t="s">
        <v>47</v>
      </c>
      <c r="J227" t="s">
        <v>49</v>
      </c>
      <c r="K227">
        <f t="shared" si="36"/>
        <v>88.16</v>
      </c>
      <c r="L227">
        <f t="shared" si="37"/>
        <v>330.99250000000001</v>
      </c>
      <c r="M227" t="str">
        <f t="shared" si="38"/>
        <v>aj-13</v>
      </c>
      <c r="N227" t="str">
        <f>INDEX(Scores!$A$2:$A$11,INDEX(Scores!$AA$2:$AA$131,MATCH(C227,Scores!$AB$2:$AB$131,0)))</f>
        <v>aj</v>
      </c>
      <c r="O227">
        <f t="shared" si="39"/>
        <v>116.54</v>
      </c>
      <c r="P227">
        <f t="shared" si="40"/>
        <v>371.12040000000002</v>
      </c>
      <c r="Q227" s="3">
        <f t="shared" si="41"/>
        <v>0.14207393469061222</v>
      </c>
      <c r="R227" s="3">
        <f t="shared" si="42"/>
        <v>0.10653210994555851</v>
      </c>
      <c r="S227" s="9">
        <f t="shared" si="43"/>
        <v>-3.5541824745053713E-2</v>
      </c>
      <c r="T227">
        <f t="shared" si="44"/>
        <v>117</v>
      </c>
      <c r="U227">
        <f t="shared" si="45"/>
        <v>108</v>
      </c>
      <c r="V227" s="3">
        <f t="shared" si="46"/>
        <v>0.98566644395574698</v>
      </c>
      <c r="W227" s="9">
        <f t="shared" si="47"/>
        <v>1.4333556044253015E-2</v>
      </c>
      <c r="AB227" s="111" t="s">
        <v>998</v>
      </c>
      <c r="AC227" s="22"/>
      <c r="AD227" s="22"/>
      <c r="AE227" s="22"/>
      <c r="AF227" s="22"/>
      <c r="AG227" s="22"/>
      <c r="AH227" s="22"/>
      <c r="AI227" s="22"/>
      <c r="AJ227" s="22"/>
      <c r="AK227" s="22"/>
      <c r="AL227" s="22"/>
      <c r="AM227" s="22">
        <v>-3.7433521182794749E-7</v>
      </c>
      <c r="AN227" s="22"/>
      <c r="AO227" s="22"/>
      <c r="AP227" s="22"/>
      <c r="AQ227" s="22"/>
      <c r="AR227" s="22"/>
      <c r="AS227" s="22"/>
      <c r="AT227" s="22"/>
      <c r="AU227" s="22"/>
      <c r="AV227" s="22"/>
      <c r="AW227" s="22"/>
      <c r="AX227" s="22"/>
      <c r="AY227" s="22"/>
      <c r="AZ227" s="22">
        <v>0</v>
      </c>
      <c r="BA227" s="22"/>
      <c r="BB227" s="22"/>
      <c r="BC227" s="22">
        <v>-3.7433521182794749E-7</v>
      </c>
      <c r="BD227" s="22">
        <v>0</v>
      </c>
    </row>
    <row r="228" spans="1:56" x14ac:dyDescent="0.25">
      <c r="A228" t="s">
        <v>43</v>
      </c>
      <c r="B228">
        <v>2</v>
      </c>
      <c r="C228" t="s">
        <v>630</v>
      </c>
      <c r="D228" t="s">
        <v>467</v>
      </c>
      <c r="E228">
        <v>11</v>
      </c>
      <c r="F228">
        <v>16.899999999999999</v>
      </c>
      <c r="G228">
        <v>63.361600000000003</v>
      </c>
      <c r="H228" t="s">
        <v>15</v>
      </c>
      <c r="I228" t="s">
        <v>15</v>
      </c>
      <c r="J228" t="s">
        <v>44</v>
      </c>
      <c r="K228">
        <f t="shared" si="36"/>
        <v>91.78</v>
      </c>
      <c r="L228">
        <f t="shared" si="37"/>
        <v>333.71719999999993</v>
      </c>
      <c r="M228" t="str">
        <f t="shared" si="38"/>
        <v>matty-2</v>
      </c>
      <c r="N228" t="str">
        <f>INDEX(Scores!$A$2:$A$11,INDEX(Scores!$AA$2:$AA$131,MATCH(C228,Scores!$AB$2:$AB$131,0)))</f>
        <v>matty</v>
      </c>
      <c r="O228">
        <f t="shared" si="39"/>
        <v>101.3</v>
      </c>
      <c r="P228">
        <f t="shared" si="40"/>
        <v>329.14109999999999</v>
      </c>
      <c r="Q228" s="3">
        <f t="shared" si="41"/>
        <v>0.35577854462426967</v>
      </c>
      <c r="R228" s="3">
        <f t="shared" si="42"/>
        <v>0.26441826492370513</v>
      </c>
      <c r="S228" s="9">
        <f t="shared" si="43"/>
        <v>-9.136027970056454E-2</v>
      </c>
      <c r="T228">
        <f t="shared" si="44"/>
        <v>82</v>
      </c>
      <c r="U228">
        <f t="shared" si="45"/>
        <v>70</v>
      </c>
      <c r="V228" s="3">
        <f t="shared" si="46"/>
        <v>0.98773559701337088</v>
      </c>
      <c r="W228" s="9">
        <f t="shared" si="47"/>
        <v>1.2264402986629119E-2</v>
      </c>
      <c r="AB228" s="111" t="s">
        <v>425</v>
      </c>
      <c r="AC228" s="22"/>
      <c r="AD228" s="22"/>
      <c r="AE228" s="22"/>
      <c r="AF228" s="22">
        <v>3.8852998929250759E-8</v>
      </c>
      <c r="AG228" s="22"/>
      <c r="AH228" s="22"/>
      <c r="AI228" s="22"/>
      <c r="AJ228" s="22"/>
      <c r="AK228" s="22"/>
      <c r="AL228" s="22"/>
      <c r="AM228" s="22"/>
      <c r="AN228" s="22"/>
      <c r="AO228" s="22"/>
      <c r="AP228" s="22"/>
      <c r="AQ228" s="22"/>
      <c r="AR228" s="22"/>
      <c r="AS228" s="22">
        <v>0</v>
      </c>
      <c r="AT228" s="22"/>
      <c r="AU228" s="22"/>
      <c r="AV228" s="22"/>
      <c r="AW228" s="22"/>
      <c r="AX228" s="22"/>
      <c r="AY228" s="22"/>
      <c r="AZ228" s="22"/>
      <c r="BA228" s="22"/>
      <c r="BB228" s="22"/>
      <c r="BC228" s="22">
        <v>3.8852998929250759E-8</v>
      </c>
      <c r="BD228" s="22">
        <v>0</v>
      </c>
    </row>
    <row r="229" spans="1:56" x14ac:dyDescent="0.25">
      <c r="A229" t="s">
        <v>409</v>
      </c>
      <c r="B229">
        <v>4</v>
      </c>
      <c r="C229" t="s">
        <v>863</v>
      </c>
      <c r="D229" t="s">
        <v>477</v>
      </c>
      <c r="E229">
        <v>6</v>
      </c>
      <c r="F229">
        <v>9.44</v>
      </c>
      <c r="G229">
        <v>46.922499999999999</v>
      </c>
      <c r="H229" t="s">
        <v>477</v>
      </c>
      <c r="I229" t="s">
        <v>477</v>
      </c>
      <c r="J229" t="s">
        <v>35</v>
      </c>
      <c r="K229">
        <f t="shared" si="36"/>
        <v>99.78</v>
      </c>
      <c r="L229">
        <f t="shared" si="37"/>
        <v>369.21209999999996</v>
      </c>
      <c r="M229" t="str">
        <f t="shared" si="38"/>
        <v>perry-4</v>
      </c>
      <c r="N229" t="str">
        <f>INDEX(Scores!$A$2:$A$11,INDEX(Scores!$AA$2:$AA$131,MATCH(C229,Scores!$AB$2:$AB$131,0)))</f>
        <v>perry</v>
      </c>
      <c r="O229">
        <f t="shared" si="39"/>
        <v>111.07000000000001</v>
      </c>
      <c r="P229">
        <f t="shared" si="40"/>
        <v>406.62959999999998</v>
      </c>
      <c r="Q229" s="3">
        <f t="shared" si="41"/>
        <v>0.34261794725331807</v>
      </c>
      <c r="R229" s="3">
        <f t="shared" si="42"/>
        <v>0.29267534654632599</v>
      </c>
      <c r="S229" s="9">
        <f t="shared" si="43"/>
        <v>-4.994260070699208E-2</v>
      </c>
      <c r="T229">
        <f t="shared" si="44"/>
        <v>84</v>
      </c>
      <c r="U229">
        <f t="shared" si="45"/>
        <v>72</v>
      </c>
      <c r="V229" s="3">
        <f t="shared" si="46"/>
        <v>0.98790237520226765</v>
      </c>
      <c r="W229" s="9">
        <f t="shared" si="47"/>
        <v>1.2097624797732354E-2</v>
      </c>
      <c r="AB229" s="111" t="s">
        <v>205</v>
      </c>
      <c r="AC229" s="22"/>
      <c r="AD229" s="22"/>
      <c r="AE229" s="22"/>
      <c r="AF229" s="22"/>
      <c r="AG229" s="22"/>
      <c r="AH229" s="22"/>
      <c r="AI229" s="22"/>
      <c r="AJ229" s="22"/>
      <c r="AK229" s="22"/>
      <c r="AL229" s="22"/>
      <c r="AM229" s="22"/>
      <c r="AN229" s="22">
        <v>2.0924250987430781E-7</v>
      </c>
      <c r="AO229" s="22"/>
      <c r="AP229" s="22"/>
      <c r="AQ229" s="22"/>
      <c r="AR229" s="22"/>
      <c r="AS229" s="22"/>
      <c r="AT229" s="22"/>
      <c r="AU229" s="22"/>
      <c r="AV229" s="22"/>
      <c r="AW229" s="22"/>
      <c r="AX229" s="22"/>
      <c r="AY229" s="22"/>
      <c r="AZ229" s="22"/>
      <c r="BA229" s="22">
        <v>0</v>
      </c>
      <c r="BB229" s="22"/>
      <c r="BC229" s="22">
        <v>2.0924250987430781E-7</v>
      </c>
      <c r="BD229" s="22">
        <v>0</v>
      </c>
    </row>
    <row r="230" spans="1:56" x14ac:dyDescent="0.25">
      <c r="A230" t="s">
        <v>421</v>
      </c>
      <c r="B230">
        <v>11</v>
      </c>
      <c r="C230" t="s">
        <v>917</v>
      </c>
      <c r="D230" t="s">
        <v>477</v>
      </c>
      <c r="E230">
        <v>24</v>
      </c>
      <c r="F230">
        <v>6.2</v>
      </c>
      <c r="G230">
        <v>33.756100000000004</v>
      </c>
      <c r="H230" t="s">
        <v>477</v>
      </c>
      <c r="I230" t="s">
        <v>477</v>
      </c>
      <c r="J230" t="s">
        <v>16</v>
      </c>
      <c r="K230">
        <f t="shared" si="36"/>
        <v>102.11</v>
      </c>
      <c r="L230">
        <f t="shared" si="37"/>
        <v>431.97960000000006</v>
      </c>
      <c r="M230" t="str">
        <f t="shared" si="38"/>
        <v>chad-11</v>
      </c>
      <c r="N230" t="str">
        <f>INDEX(Scores!$A$2:$A$11,INDEX(Scores!$AA$2:$AA$131,MATCH(C230,Scores!$AB$2:$AB$131,0)))</f>
        <v>chad</v>
      </c>
      <c r="O230">
        <f t="shared" si="39"/>
        <v>106.58</v>
      </c>
      <c r="P230">
        <f t="shared" si="40"/>
        <v>427.68610000000001</v>
      </c>
      <c r="Q230" s="3">
        <f t="shared" si="41"/>
        <v>0.43941389461043751</v>
      </c>
      <c r="R230" s="3">
        <f t="shared" si="42"/>
        <v>0.67861716116368909</v>
      </c>
      <c r="S230" s="9">
        <f t="shared" si="43"/>
        <v>0.23920326655325158</v>
      </c>
      <c r="T230">
        <f t="shared" si="44"/>
        <v>130</v>
      </c>
      <c r="U230">
        <f t="shared" si="45"/>
        <v>99</v>
      </c>
      <c r="V230" s="3">
        <f t="shared" si="46"/>
        <v>0.9884550814200751</v>
      </c>
      <c r="W230" s="9">
        <f t="shared" si="47"/>
        <v>1.1544918579924901E-2</v>
      </c>
      <c r="AB230" s="111" t="s">
        <v>67</v>
      </c>
      <c r="AC230" s="22"/>
      <c r="AD230" s="22"/>
      <c r="AE230" s="22"/>
      <c r="AF230" s="22"/>
      <c r="AG230" s="22"/>
      <c r="AH230" s="22"/>
      <c r="AI230" s="22"/>
      <c r="AJ230" s="22">
        <v>-6.1564054520957256E-8</v>
      </c>
      <c r="AK230" s="22"/>
      <c r="AL230" s="22"/>
      <c r="AM230" s="22"/>
      <c r="AN230" s="22"/>
      <c r="AO230" s="22"/>
      <c r="AP230" s="22"/>
      <c r="AQ230" s="22"/>
      <c r="AR230" s="22"/>
      <c r="AS230" s="22"/>
      <c r="AT230" s="22"/>
      <c r="AU230" s="22"/>
      <c r="AV230" s="22"/>
      <c r="AW230" s="22">
        <v>0</v>
      </c>
      <c r="AX230" s="22"/>
      <c r="AY230" s="22"/>
      <c r="AZ230" s="22"/>
      <c r="BA230" s="22"/>
      <c r="BB230" s="22"/>
      <c r="BC230" s="22">
        <v>-6.1564054520957256E-8</v>
      </c>
      <c r="BD230" s="22">
        <v>0</v>
      </c>
    </row>
    <row r="231" spans="1:56" x14ac:dyDescent="0.25">
      <c r="A231" t="s">
        <v>85</v>
      </c>
      <c r="B231">
        <v>6</v>
      </c>
      <c r="C231" t="s">
        <v>936</v>
      </c>
      <c r="D231" t="s">
        <v>468</v>
      </c>
      <c r="E231">
        <v>14</v>
      </c>
      <c r="F231">
        <v>14.3</v>
      </c>
      <c r="G231">
        <v>71.064899999999994</v>
      </c>
      <c r="H231" t="s">
        <v>47</v>
      </c>
      <c r="I231" t="s">
        <v>47</v>
      </c>
      <c r="J231" t="s">
        <v>27</v>
      </c>
      <c r="K231">
        <f t="shared" si="36"/>
        <v>104.66</v>
      </c>
      <c r="L231">
        <f t="shared" si="37"/>
        <v>375.94899999999996</v>
      </c>
      <c r="M231" t="str">
        <f t="shared" si="38"/>
        <v>devon-6</v>
      </c>
      <c r="N231" t="str">
        <f>INDEX(Scores!$A$2:$A$11,INDEX(Scores!$AA$2:$AA$131,MATCH(C231,Scores!$AB$2:$AB$131,0)))</f>
        <v>devon</v>
      </c>
      <c r="O231">
        <f t="shared" si="39"/>
        <v>101.41999999999999</v>
      </c>
      <c r="P231">
        <f t="shared" si="40"/>
        <v>401.13359999999994</v>
      </c>
      <c r="Q231" s="3">
        <f t="shared" si="41"/>
        <v>0.54626414609906893</v>
      </c>
      <c r="R231" s="3">
        <f t="shared" si="42"/>
        <v>0.54405185131625711</v>
      </c>
      <c r="S231" s="9">
        <f t="shared" si="43"/>
        <v>-2.2122947828118189E-3</v>
      </c>
      <c r="T231">
        <f t="shared" si="44"/>
        <v>91</v>
      </c>
      <c r="U231">
        <f t="shared" si="45"/>
        <v>72</v>
      </c>
      <c r="V231" s="3">
        <f t="shared" si="46"/>
        <v>0.98897317146214581</v>
      </c>
      <c r="W231" s="9">
        <f t="shared" si="47"/>
        <v>1.1026828537854194E-2</v>
      </c>
      <c r="AB231" s="111" t="s">
        <v>137</v>
      </c>
      <c r="AC231" s="22"/>
      <c r="AD231" s="22"/>
      <c r="AE231" s="22"/>
      <c r="AF231" s="22"/>
      <c r="AG231" s="22"/>
      <c r="AH231" s="22"/>
      <c r="AI231" s="22">
        <v>-5.0824172648233912E-9</v>
      </c>
      <c r="AJ231" s="22"/>
      <c r="AK231" s="22"/>
      <c r="AL231" s="22"/>
      <c r="AM231" s="22"/>
      <c r="AN231" s="22"/>
      <c r="AO231" s="22"/>
      <c r="AP231" s="22"/>
      <c r="AQ231" s="22"/>
      <c r="AR231" s="22"/>
      <c r="AS231" s="22"/>
      <c r="AT231" s="22"/>
      <c r="AU231" s="22"/>
      <c r="AV231" s="22">
        <v>0</v>
      </c>
      <c r="AW231" s="22"/>
      <c r="AX231" s="22"/>
      <c r="AY231" s="22"/>
      <c r="AZ231" s="22"/>
      <c r="BA231" s="22"/>
      <c r="BB231" s="22"/>
      <c r="BC231" s="22">
        <v>-5.0824172648233912E-9</v>
      </c>
      <c r="BD231" s="22">
        <v>0</v>
      </c>
    </row>
    <row r="232" spans="1:56" x14ac:dyDescent="0.25">
      <c r="A232" t="s">
        <v>185</v>
      </c>
      <c r="B232">
        <v>6</v>
      </c>
      <c r="C232" t="s">
        <v>936</v>
      </c>
      <c r="D232" t="s">
        <v>466</v>
      </c>
      <c r="E232">
        <v>12</v>
      </c>
      <c r="F232">
        <v>4.43</v>
      </c>
      <c r="G232">
        <v>24.8004</v>
      </c>
      <c r="H232" t="s">
        <v>466</v>
      </c>
      <c r="I232" t="s">
        <v>87</v>
      </c>
      <c r="J232" t="s">
        <v>27</v>
      </c>
      <c r="K232">
        <f t="shared" si="36"/>
        <v>104.66</v>
      </c>
      <c r="L232">
        <f t="shared" si="37"/>
        <v>375.94899999999996</v>
      </c>
      <c r="M232" t="str">
        <f t="shared" si="38"/>
        <v>devon-6</v>
      </c>
      <c r="N232" t="str">
        <f>INDEX(Scores!$A$2:$A$11,INDEX(Scores!$AA$2:$AA$131,MATCH(C232,Scores!$AB$2:$AB$131,0)))</f>
        <v>devon</v>
      </c>
      <c r="O232">
        <f t="shared" si="39"/>
        <v>101.41999999999999</v>
      </c>
      <c r="P232">
        <f t="shared" si="40"/>
        <v>401.13359999999994</v>
      </c>
      <c r="Q232" s="3">
        <f t="shared" si="41"/>
        <v>0.54626414609906893</v>
      </c>
      <c r="R232" s="3">
        <f t="shared" si="42"/>
        <v>0.65325606405038061</v>
      </c>
      <c r="S232" s="9">
        <f t="shared" si="43"/>
        <v>0.10699191795131169</v>
      </c>
      <c r="T232">
        <f t="shared" si="44"/>
        <v>91</v>
      </c>
      <c r="U232">
        <f t="shared" si="45"/>
        <v>72</v>
      </c>
      <c r="V232" s="3">
        <f t="shared" si="46"/>
        <v>0.98913861526958913</v>
      </c>
      <c r="W232" s="9">
        <f t="shared" si="47"/>
        <v>1.0861384730410872E-2</v>
      </c>
      <c r="AB232" s="111" t="s">
        <v>429</v>
      </c>
      <c r="AC232" s="22"/>
      <c r="AD232" s="22"/>
      <c r="AE232" s="22"/>
      <c r="AF232" s="22"/>
      <c r="AG232" s="22"/>
      <c r="AH232" s="22">
        <v>6.8104477612962455E-10</v>
      </c>
      <c r="AI232" s="22"/>
      <c r="AJ232" s="22"/>
      <c r="AK232" s="22"/>
      <c r="AL232" s="22"/>
      <c r="AM232" s="22"/>
      <c r="AN232" s="22"/>
      <c r="AO232" s="22"/>
      <c r="AP232" s="22"/>
      <c r="AQ232" s="22"/>
      <c r="AR232" s="22"/>
      <c r="AS232" s="22"/>
      <c r="AT232" s="22"/>
      <c r="AU232" s="22">
        <v>0</v>
      </c>
      <c r="AV232" s="22"/>
      <c r="AW232" s="22"/>
      <c r="AX232" s="22"/>
      <c r="AY232" s="22"/>
      <c r="AZ232" s="22"/>
      <c r="BA232" s="22"/>
      <c r="BB232" s="22"/>
      <c r="BC232" s="22">
        <v>6.8104477612962455E-10</v>
      </c>
      <c r="BD232" s="22">
        <v>0</v>
      </c>
    </row>
    <row r="233" spans="1:56" x14ac:dyDescent="0.25">
      <c r="A233" t="s">
        <v>168</v>
      </c>
      <c r="B233">
        <v>9</v>
      </c>
      <c r="C233" t="s">
        <v>979</v>
      </c>
      <c r="D233" t="s">
        <v>466</v>
      </c>
      <c r="E233">
        <v>11</v>
      </c>
      <c r="F233">
        <v>7.37</v>
      </c>
      <c r="G233">
        <v>39.187600000000003</v>
      </c>
      <c r="H233" t="s">
        <v>466</v>
      </c>
      <c r="I233" t="s">
        <v>87</v>
      </c>
      <c r="J233" t="s">
        <v>44</v>
      </c>
      <c r="K233">
        <f t="shared" si="36"/>
        <v>92.559999999999988</v>
      </c>
      <c r="L233">
        <f t="shared" si="37"/>
        <v>350.31569999999999</v>
      </c>
      <c r="M233" t="str">
        <f t="shared" si="38"/>
        <v>comp-9</v>
      </c>
      <c r="N233" t="str">
        <f>INDEX(Scores!$A$2:$A$11,INDEX(Scores!$AA$2:$AA$131,MATCH(C233,Scores!$AB$2:$AB$131,0)))</f>
        <v>comp</v>
      </c>
      <c r="O233">
        <f t="shared" si="39"/>
        <v>80.800000000000011</v>
      </c>
      <c r="P233">
        <f t="shared" si="40"/>
        <v>290.44450000000001</v>
      </c>
      <c r="Q233" s="3">
        <f t="shared" si="41"/>
        <v>0.67888350653659379</v>
      </c>
      <c r="R233" s="3">
        <f t="shared" si="42"/>
        <v>0.73482517388995361</v>
      </c>
      <c r="S233" s="9">
        <f t="shared" si="43"/>
        <v>5.5941667353359814E-2</v>
      </c>
      <c r="T233">
        <f t="shared" si="44"/>
        <v>95</v>
      </c>
      <c r="U233">
        <f t="shared" si="45"/>
        <v>77</v>
      </c>
      <c r="V233" s="3">
        <f t="shared" si="46"/>
        <v>0.98914853403015768</v>
      </c>
      <c r="W233" s="9">
        <f t="shared" si="47"/>
        <v>1.0851465969842322E-2</v>
      </c>
      <c r="AB233" s="111" t="s">
        <v>208</v>
      </c>
      <c r="AC233" s="22"/>
      <c r="AD233" s="22"/>
      <c r="AE233" s="22"/>
      <c r="AF233" s="22"/>
      <c r="AG233" s="22"/>
      <c r="AH233" s="22"/>
      <c r="AI233" s="22"/>
      <c r="AJ233" s="22">
        <v>2.0309777415405961E-8</v>
      </c>
      <c r="AK233" s="22">
        <v>3.7776509986819917E-7</v>
      </c>
      <c r="AL233" s="22"/>
      <c r="AM233" s="22">
        <v>-8.5169447050503777E-9</v>
      </c>
      <c r="AN233" s="22"/>
      <c r="AO233" s="22"/>
      <c r="AP233" s="22"/>
      <c r="AQ233" s="22"/>
      <c r="AR233" s="22"/>
      <c r="AS233" s="22"/>
      <c r="AT233" s="22"/>
      <c r="AU233" s="22"/>
      <c r="AV233" s="22"/>
      <c r="AW233" s="22">
        <v>0</v>
      </c>
      <c r="AX233" s="22">
        <v>0</v>
      </c>
      <c r="AY233" s="22"/>
      <c r="AZ233" s="22">
        <v>0</v>
      </c>
      <c r="BA233" s="22"/>
      <c r="BB233" s="22"/>
      <c r="BC233" s="22">
        <v>3.8955793257855476E-7</v>
      </c>
      <c r="BD233" s="22">
        <v>0</v>
      </c>
    </row>
    <row r="234" spans="1:56" x14ac:dyDescent="0.25">
      <c r="A234" t="s">
        <v>140</v>
      </c>
      <c r="B234">
        <v>6</v>
      </c>
      <c r="C234" t="s">
        <v>920</v>
      </c>
      <c r="D234" t="s">
        <v>471</v>
      </c>
      <c r="E234">
        <v>17</v>
      </c>
      <c r="F234">
        <v>8.07</v>
      </c>
      <c r="G234">
        <v>19.009599999999999</v>
      </c>
      <c r="H234" t="s">
        <v>87</v>
      </c>
      <c r="I234" t="s">
        <v>87</v>
      </c>
      <c r="J234" t="s">
        <v>55</v>
      </c>
      <c r="K234">
        <f t="shared" si="36"/>
        <v>108.8</v>
      </c>
      <c r="L234">
        <f t="shared" si="37"/>
        <v>404.29040000000003</v>
      </c>
      <c r="M234" t="str">
        <f t="shared" si="38"/>
        <v>cory-6</v>
      </c>
      <c r="N234" t="str">
        <f>INDEX(Scores!$A$2:$A$11,INDEX(Scores!$AA$2:$AA$131,MATCH(C234,Scores!$AB$2:$AB$131,0)))</f>
        <v>cory</v>
      </c>
      <c r="O234">
        <f t="shared" si="39"/>
        <v>102.10000000000001</v>
      </c>
      <c r="P234">
        <f t="shared" si="40"/>
        <v>445.16630000000004</v>
      </c>
      <c r="Q234" s="3">
        <f t="shared" si="41"/>
        <v>0.59090810623639012</v>
      </c>
      <c r="R234" s="3">
        <f t="shared" si="42"/>
        <v>0.70622133234795526</v>
      </c>
      <c r="S234" s="9">
        <f t="shared" si="43"/>
        <v>0.11531322611156514</v>
      </c>
      <c r="T234">
        <f t="shared" si="44"/>
        <v>104</v>
      </c>
      <c r="U234">
        <f t="shared" si="45"/>
        <v>85</v>
      </c>
      <c r="V234" s="3">
        <f t="shared" si="46"/>
        <v>0.98954576025813556</v>
      </c>
      <c r="W234" s="9">
        <f t="shared" si="47"/>
        <v>1.0454239741864435E-2</v>
      </c>
      <c r="AB234" s="111" t="s">
        <v>614</v>
      </c>
      <c r="AC234" s="22"/>
      <c r="AD234" s="22">
        <v>2.3436010876398683E-7</v>
      </c>
      <c r="AE234" s="22"/>
      <c r="AF234" s="22"/>
      <c r="AG234" s="22"/>
      <c r="AH234" s="22"/>
      <c r="AI234" s="22"/>
      <c r="AJ234" s="22"/>
      <c r="AK234" s="22"/>
      <c r="AL234" s="22">
        <v>-4.9120831624449579E-8</v>
      </c>
      <c r="AM234" s="22"/>
      <c r="AN234" s="22"/>
      <c r="AO234" s="22"/>
      <c r="AP234" s="22"/>
      <c r="AQ234" s="22">
        <v>0</v>
      </c>
      <c r="AR234" s="22"/>
      <c r="AS234" s="22"/>
      <c r="AT234" s="22"/>
      <c r="AU234" s="22"/>
      <c r="AV234" s="22"/>
      <c r="AW234" s="22"/>
      <c r="AX234" s="22"/>
      <c r="AY234" s="22">
        <v>0</v>
      </c>
      <c r="AZ234" s="22"/>
      <c r="BA234" s="22"/>
      <c r="BB234" s="22"/>
      <c r="BC234" s="22">
        <v>1.8523927713953725E-7</v>
      </c>
      <c r="BD234" s="22">
        <v>0</v>
      </c>
    </row>
    <row r="235" spans="1:56" x14ac:dyDescent="0.25">
      <c r="A235" t="s">
        <v>103</v>
      </c>
      <c r="B235">
        <v>5</v>
      </c>
      <c r="C235" t="s">
        <v>888</v>
      </c>
      <c r="D235" t="s">
        <v>473</v>
      </c>
      <c r="E235">
        <v>0</v>
      </c>
      <c r="F235">
        <v>8.5399999999999991</v>
      </c>
      <c r="G235">
        <v>29.3764</v>
      </c>
      <c r="H235" t="s">
        <v>87</v>
      </c>
      <c r="I235" t="s">
        <v>87</v>
      </c>
      <c r="J235" t="s">
        <v>55</v>
      </c>
      <c r="K235">
        <f t="shared" si="36"/>
        <v>117.25999999999999</v>
      </c>
      <c r="L235">
        <f t="shared" si="37"/>
        <v>422.9941</v>
      </c>
      <c r="M235" t="str">
        <f t="shared" si="38"/>
        <v>matty-5</v>
      </c>
      <c r="N235" t="str">
        <f>INDEX(Scores!$A$2:$A$11,INDEX(Scores!$AA$2:$AA$131,MATCH(C235,Scores!$AB$2:$AB$131,0)))</f>
        <v>matty</v>
      </c>
      <c r="O235">
        <f t="shared" si="39"/>
        <v>99.23</v>
      </c>
      <c r="P235">
        <f t="shared" si="40"/>
        <v>364.64739999999995</v>
      </c>
      <c r="Q235" s="3">
        <f t="shared" si="41"/>
        <v>0.73970568419743477</v>
      </c>
      <c r="R235" s="3">
        <f t="shared" si="42"/>
        <v>0.63481450061912625</v>
      </c>
      <c r="S235" s="9">
        <f t="shared" si="43"/>
        <v>-0.10489118357830851</v>
      </c>
      <c r="T235">
        <f t="shared" si="44"/>
        <v>110</v>
      </c>
      <c r="U235">
        <f t="shared" si="45"/>
        <v>106</v>
      </c>
      <c r="V235" s="3">
        <f t="shared" si="46"/>
        <v>0.98965662177429081</v>
      </c>
      <c r="W235" s="9">
        <f t="shared" si="47"/>
        <v>1.0343378225709188E-2</v>
      </c>
      <c r="AB235" s="111" t="s">
        <v>134</v>
      </c>
      <c r="AC235" s="22"/>
      <c r="AD235" s="22"/>
      <c r="AE235" s="22">
        <v>-7.6704141038774765E-8</v>
      </c>
      <c r="AF235" s="22"/>
      <c r="AG235" s="22"/>
      <c r="AH235" s="22"/>
      <c r="AI235" s="22"/>
      <c r="AJ235" s="22"/>
      <c r="AK235" s="22"/>
      <c r="AL235" s="22">
        <v>3.3861134673962567E-8</v>
      </c>
      <c r="AM235" s="22"/>
      <c r="AN235" s="22"/>
      <c r="AO235" s="22"/>
      <c r="AP235" s="22"/>
      <c r="AQ235" s="22"/>
      <c r="AR235" s="22">
        <v>0</v>
      </c>
      <c r="AS235" s="22"/>
      <c r="AT235" s="22"/>
      <c r="AU235" s="22"/>
      <c r="AV235" s="22"/>
      <c r="AW235" s="22"/>
      <c r="AX235" s="22"/>
      <c r="AY235" s="22">
        <v>0</v>
      </c>
      <c r="AZ235" s="22"/>
      <c r="BA235" s="22"/>
      <c r="BB235" s="22"/>
      <c r="BC235" s="22">
        <v>-4.2843006364812197E-8</v>
      </c>
      <c r="BD235" s="22">
        <v>0</v>
      </c>
    </row>
    <row r="236" spans="1:56" x14ac:dyDescent="0.25">
      <c r="A236" t="s">
        <v>455</v>
      </c>
      <c r="B236">
        <v>10</v>
      </c>
      <c r="C236" t="s">
        <v>972</v>
      </c>
      <c r="D236" t="s">
        <v>478</v>
      </c>
      <c r="E236">
        <v>3</v>
      </c>
      <c r="F236">
        <v>7.31</v>
      </c>
      <c r="G236">
        <v>12.8881</v>
      </c>
      <c r="H236" t="s">
        <v>478</v>
      </c>
      <c r="I236" t="s">
        <v>478</v>
      </c>
      <c r="J236" t="s">
        <v>49</v>
      </c>
      <c r="K236">
        <f t="shared" si="36"/>
        <v>80.72</v>
      </c>
      <c r="L236">
        <f t="shared" si="37"/>
        <v>274.11410000000001</v>
      </c>
      <c r="M236" t="str">
        <f t="shared" si="38"/>
        <v>seth-10</v>
      </c>
      <c r="N236" t="str">
        <f>INDEX(Scores!$A$2:$A$11,INDEX(Scores!$AA$2:$AA$131,MATCH(C236,Scores!$AB$2:$AB$131,0)))</f>
        <v>seth</v>
      </c>
      <c r="O236">
        <f t="shared" si="39"/>
        <v>104.52999999999999</v>
      </c>
      <c r="P236">
        <f t="shared" si="40"/>
        <v>446.11959999999999</v>
      </c>
      <c r="Q236" s="3">
        <f t="shared" si="41"/>
        <v>0.18748498770897654</v>
      </c>
      <c r="R236" s="3">
        <f t="shared" si="42"/>
        <v>0.14518664912350385</v>
      </c>
      <c r="S236" s="9">
        <f t="shared" si="43"/>
        <v>-4.2298338585472689E-2</v>
      </c>
      <c r="T236">
        <f t="shared" si="44"/>
        <v>84</v>
      </c>
      <c r="U236">
        <f t="shared" si="45"/>
        <v>80</v>
      </c>
      <c r="V236" s="3">
        <f t="shared" si="46"/>
        <v>0.98968705340365148</v>
      </c>
      <c r="W236" s="9">
        <f t="shared" si="47"/>
        <v>1.0312946596348516E-2</v>
      </c>
      <c r="AB236" s="111" t="s">
        <v>53</v>
      </c>
      <c r="AC236" s="22"/>
      <c r="AD236" s="22"/>
      <c r="AE236" s="22"/>
      <c r="AF236" s="22"/>
      <c r="AG236" s="22"/>
      <c r="AH236" s="22"/>
      <c r="AI236" s="22"/>
      <c r="AJ236" s="22"/>
      <c r="AK236" s="22"/>
      <c r="AL236" s="22"/>
      <c r="AM236" s="22"/>
      <c r="AN236" s="22">
        <v>1.8445358196395034E-7</v>
      </c>
      <c r="AO236" s="22"/>
      <c r="AP236" s="22"/>
      <c r="AQ236" s="22"/>
      <c r="AR236" s="22"/>
      <c r="AS236" s="22"/>
      <c r="AT236" s="22"/>
      <c r="AU236" s="22"/>
      <c r="AV236" s="22"/>
      <c r="AW236" s="22"/>
      <c r="AX236" s="22"/>
      <c r="AY236" s="22"/>
      <c r="AZ236" s="22"/>
      <c r="BA236" s="22">
        <v>0</v>
      </c>
      <c r="BB236" s="22"/>
      <c r="BC236" s="22">
        <v>1.8445358196395034E-7</v>
      </c>
      <c r="BD236" s="22">
        <v>0</v>
      </c>
    </row>
    <row r="237" spans="1:56" x14ac:dyDescent="0.25">
      <c r="A237" t="s">
        <v>133</v>
      </c>
      <c r="B237">
        <v>4</v>
      </c>
      <c r="C237" t="s">
        <v>858</v>
      </c>
      <c r="D237" t="s">
        <v>466</v>
      </c>
      <c r="E237">
        <v>9</v>
      </c>
      <c r="F237">
        <v>10.71</v>
      </c>
      <c r="G237">
        <v>57.912100000000002</v>
      </c>
      <c r="H237" t="s">
        <v>466</v>
      </c>
      <c r="I237" t="s">
        <v>87</v>
      </c>
      <c r="J237" t="s">
        <v>16</v>
      </c>
      <c r="K237">
        <f t="shared" si="36"/>
        <v>115.58999999999999</v>
      </c>
      <c r="L237">
        <f t="shared" si="37"/>
        <v>432.42160000000007</v>
      </c>
      <c r="M237" t="str">
        <f t="shared" si="38"/>
        <v>scott-4</v>
      </c>
      <c r="N237" t="str">
        <f>INDEX(Scores!$A$2:$A$11,INDEX(Scores!$AA$2:$AA$131,MATCH(C237,Scores!$AB$2:$AB$131,0)))</f>
        <v>scott</v>
      </c>
      <c r="O237">
        <f t="shared" si="39"/>
        <v>113.07</v>
      </c>
      <c r="P237">
        <f t="shared" si="40"/>
        <v>452.41279999999995</v>
      </c>
      <c r="Q237" s="3">
        <f t="shared" si="41"/>
        <v>0.53375673014127667</v>
      </c>
      <c r="R237" s="3">
        <f t="shared" si="42"/>
        <v>0.51123583378260173</v>
      </c>
      <c r="S237" s="9">
        <f t="shared" si="43"/>
        <v>-2.2520896358674936E-2</v>
      </c>
      <c r="T237">
        <f t="shared" si="44"/>
        <v>104</v>
      </c>
      <c r="U237">
        <f t="shared" si="45"/>
        <v>88</v>
      </c>
      <c r="V237" s="3">
        <f t="shared" si="46"/>
        <v>0.99002271644639128</v>
      </c>
      <c r="W237" s="9">
        <f t="shared" si="47"/>
        <v>9.9772835536087179E-3</v>
      </c>
      <c r="AB237" s="111" t="s">
        <v>306</v>
      </c>
      <c r="AC237" s="22"/>
      <c r="AD237" s="22"/>
      <c r="AE237" s="22"/>
      <c r="AF237" s="22"/>
      <c r="AG237" s="22"/>
      <c r="AH237" s="22">
        <v>2.5259517477671523E-8</v>
      </c>
      <c r="AI237" s="22"/>
      <c r="AJ237" s="22"/>
      <c r="AK237" s="22"/>
      <c r="AL237" s="22"/>
      <c r="AM237" s="22"/>
      <c r="AN237" s="22"/>
      <c r="AO237" s="22"/>
      <c r="AP237" s="22"/>
      <c r="AQ237" s="22"/>
      <c r="AR237" s="22"/>
      <c r="AS237" s="22"/>
      <c r="AT237" s="22"/>
      <c r="AU237" s="22">
        <v>0</v>
      </c>
      <c r="AV237" s="22"/>
      <c r="AW237" s="22"/>
      <c r="AX237" s="22"/>
      <c r="AY237" s="22"/>
      <c r="AZ237" s="22"/>
      <c r="BA237" s="22"/>
      <c r="BB237" s="22"/>
      <c r="BC237" s="22">
        <v>2.5259517477671523E-8</v>
      </c>
      <c r="BD237" s="22">
        <v>0</v>
      </c>
    </row>
    <row r="238" spans="1:56" x14ac:dyDescent="0.25">
      <c r="A238" t="s">
        <v>92</v>
      </c>
      <c r="B238">
        <v>11</v>
      </c>
      <c r="C238" t="s">
        <v>925</v>
      </c>
      <c r="D238" t="s">
        <v>466</v>
      </c>
      <c r="E238">
        <v>14</v>
      </c>
      <c r="F238">
        <v>15.99</v>
      </c>
      <c r="G238">
        <v>87.048900000000003</v>
      </c>
      <c r="H238" t="s">
        <v>466</v>
      </c>
      <c r="I238" t="s">
        <v>47</v>
      </c>
      <c r="J238" t="s">
        <v>55</v>
      </c>
      <c r="K238">
        <f t="shared" si="36"/>
        <v>110.11</v>
      </c>
      <c r="L238">
        <f t="shared" si="37"/>
        <v>412.79880000000003</v>
      </c>
      <c r="M238" t="str">
        <f t="shared" si="38"/>
        <v>seth-11</v>
      </c>
      <c r="N238" t="str">
        <f>INDEX(Scores!$A$2:$A$11,INDEX(Scores!$AA$2:$AA$131,MATCH(C238,Scores!$AB$2:$AB$131,0)))</f>
        <v>seth</v>
      </c>
      <c r="O238">
        <f t="shared" si="39"/>
        <v>98.329999999999984</v>
      </c>
      <c r="P238">
        <f t="shared" si="40"/>
        <v>378.70709999999997</v>
      </c>
      <c r="Q238" s="3">
        <f t="shared" si="41"/>
        <v>0.66228767586387005</v>
      </c>
      <c r="R238" s="3">
        <f t="shared" si="42"/>
        <v>0.64388202466106637</v>
      </c>
      <c r="S238" s="9">
        <f t="shared" si="43"/>
        <v>-1.8405651202803686E-2</v>
      </c>
      <c r="T238">
        <f t="shared" si="44"/>
        <v>131</v>
      </c>
      <c r="U238">
        <f t="shared" si="45"/>
        <v>111</v>
      </c>
      <c r="V238" s="3">
        <f t="shared" si="46"/>
        <v>0.99078622276011019</v>
      </c>
      <c r="W238" s="9">
        <f t="shared" si="47"/>
        <v>9.2137772398898088E-3</v>
      </c>
      <c r="AB238" s="111" t="s">
        <v>446</v>
      </c>
      <c r="AC238" s="22"/>
      <c r="AD238" s="22"/>
      <c r="AE238" s="22"/>
      <c r="AF238" s="22"/>
      <c r="AG238" s="22"/>
      <c r="AH238" s="22"/>
      <c r="AI238" s="22">
        <v>8.222571212801455E-8</v>
      </c>
      <c r="AJ238" s="22"/>
      <c r="AK238" s="22"/>
      <c r="AL238" s="22"/>
      <c r="AM238" s="22"/>
      <c r="AN238" s="22"/>
      <c r="AO238" s="22"/>
      <c r="AP238" s="22"/>
      <c r="AQ238" s="22"/>
      <c r="AR238" s="22"/>
      <c r="AS238" s="22"/>
      <c r="AT238" s="22"/>
      <c r="AU238" s="22"/>
      <c r="AV238" s="22">
        <v>0</v>
      </c>
      <c r="AW238" s="22"/>
      <c r="AX238" s="22"/>
      <c r="AY238" s="22"/>
      <c r="AZ238" s="22"/>
      <c r="BA238" s="22"/>
      <c r="BB238" s="22"/>
      <c r="BC238" s="22">
        <v>8.222571212801455E-8</v>
      </c>
      <c r="BD238" s="22">
        <v>0</v>
      </c>
    </row>
    <row r="239" spans="1:56" x14ac:dyDescent="0.25">
      <c r="A239" t="s">
        <v>127</v>
      </c>
      <c r="B239">
        <v>4</v>
      </c>
      <c r="C239" t="s">
        <v>865</v>
      </c>
      <c r="D239" t="s">
        <v>469</v>
      </c>
      <c r="E239">
        <v>10</v>
      </c>
      <c r="F239">
        <v>11.37</v>
      </c>
      <c r="G239">
        <v>32.035600000000002</v>
      </c>
      <c r="H239" t="s">
        <v>47</v>
      </c>
      <c r="I239" t="s">
        <v>47</v>
      </c>
      <c r="J239" t="s">
        <v>62</v>
      </c>
      <c r="K239">
        <f t="shared" si="36"/>
        <v>99.8</v>
      </c>
      <c r="L239">
        <f t="shared" si="37"/>
        <v>351.46400000000006</v>
      </c>
      <c r="M239" t="str">
        <f t="shared" si="38"/>
        <v>seth-4</v>
      </c>
      <c r="N239" t="str">
        <f>INDEX(Scores!$A$2:$A$11,INDEX(Scores!$AA$2:$AA$131,MATCH(C239,Scores!$AB$2:$AB$131,0)))</f>
        <v>seth</v>
      </c>
      <c r="O239">
        <f t="shared" si="39"/>
        <v>104.32</v>
      </c>
      <c r="P239">
        <f t="shared" si="40"/>
        <v>390.96559999999999</v>
      </c>
      <c r="Q239" s="3">
        <f t="shared" si="41"/>
        <v>0.43412317323121657</v>
      </c>
      <c r="R239" s="3">
        <f t="shared" si="42"/>
        <v>0.41255149034567618</v>
      </c>
      <c r="S239" s="9">
        <f t="shared" si="43"/>
        <v>-2.15716828855404E-2</v>
      </c>
      <c r="T239">
        <f t="shared" si="44"/>
        <v>123</v>
      </c>
      <c r="U239">
        <f t="shared" si="45"/>
        <v>111</v>
      </c>
      <c r="V239" s="3">
        <f t="shared" si="46"/>
        <v>0.99091635566302838</v>
      </c>
      <c r="W239" s="9">
        <f t="shared" si="47"/>
        <v>9.0836443369716191E-3</v>
      </c>
      <c r="AB239" s="111" t="s">
        <v>89</v>
      </c>
      <c r="AC239" s="22"/>
      <c r="AD239" s="22"/>
      <c r="AE239" s="22"/>
      <c r="AF239" s="22"/>
      <c r="AG239" s="22"/>
      <c r="AH239" s="22"/>
      <c r="AI239" s="22"/>
      <c r="AJ239" s="22">
        <v>-5.1378750254293948E-8</v>
      </c>
      <c r="AK239" s="22"/>
      <c r="AL239" s="22"/>
      <c r="AM239" s="22"/>
      <c r="AN239" s="22">
        <v>-1.1863896742791979E-7</v>
      </c>
      <c r="AO239" s="22"/>
      <c r="AP239" s="22"/>
      <c r="AQ239" s="22"/>
      <c r="AR239" s="22"/>
      <c r="AS239" s="22"/>
      <c r="AT239" s="22"/>
      <c r="AU239" s="22"/>
      <c r="AV239" s="22"/>
      <c r="AW239" s="22">
        <v>0</v>
      </c>
      <c r="AX239" s="22"/>
      <c r="AY239" s="22"/>
      <c r="AZ239" s="22"/>
      <c r="BA239" s="22">
        <v>0</v>
      </c>
      <c r="BB239" s="22"/>
      <c r="BC239" s="22">
        <v>-1.7001771768221374E-7</v>
      </c>
      <c r="BD239" s="22">
        <v>0</v>
      </c>
    </row>
    <row r="240" spans="1:56" x14ac:dyDescent="0.25">
      <c r="A240" t="s">
        <v>614</v>
      </c>
      <c r="B240">
        <v>10</v>
      </c>
      <c r="C240" t="s">
        <v>932</v>
      </c>
      <c r="D240" t="s">
        <v>469</v>
      </c>
      <c r="E240">
        <v>1</v>
      </c>
      <c r="F240">
        <v>7.59</v>
      </c>
      <c r="G240">
        <v>27.7729</v>
      </c>
      <c r="H240" t="s">
        <v>47</v>
      </c>
      <c r="I240" t="s">
        <v>47</v>
      </c>
      <c r="J240" t="s">
        <v>35</v>
      </c>
      <c r="K240">
        <f t="shared" si="36"/>
        <v>101.66000000000001</v>
      </c>
      <c r="L240">
        <f t="shared" si="37"/>
        <v>359.87040000000002</v>
      </c>
      <c r="M240" t="str">
        <f t="shared" si="38"/>
        <v>lucas-10</v>
      </c>
      <c r="N240" t="str">
        <f>INDEX(Scores!$A$2:$A$11,INDEX(Scores!$AA$2:$AA$131,MATCH(C240,Scores!$AB$2:$AB$131,0)))</f>
        <v>lucas</v>
      </c>
      <c r="O240">
        <f t="shared" si="39"/>
        <v>0</v>
      </c>
      <c r="P240">
        <f t="shared" si="40"/>
        <v>0</v>
      </c>
      <c r="Q240" s="3">
        <f t="shared" si="41"/>
        <v>0.99999995813888032</v>
      </c>
      <c r="R240" s="3">
        <f t="shared" si="42"/>
        <v>0.99999990901804869</v>
      </c>
      <c r="S240" s="9">
        <f t="shared" si="43"/>
        <v>-4.9120831624449579E-8</v>
      </c>
      <c r="T240">
        <f t="shared" si="44"/>
        <v>97</v>
      </c>
      <c r="U240">
        <f t="shared" si="45"/>
        <v>0</v>
      </c>
      <c r="V240" s="3">
        <f t="shared" si="46"/>
        <v>1</v>
      </c>
      <c r="W240" s="9">
        <f t="shared" si="47"/>
        <v>0</v>
      </c>
      <c r="AB240" s="111" t="s">
        <v>1100</v>
      </c>
      <c r="AC240" s="22"/>
      <c r="AD240" s="22"/>
      <c r="AE240" s="22"/>
      <c r="AF240" s="22"/>
      <c r="AG240" s="22"/>
      <c r="AH240" s="22">
        <v>2.0997045868664799E-7</v>
      </c>
      <c r="AI240" s="22"/>
      <c r="AJ240" s="22"/>
      <c r="AK240" s="22"/>
      <c r="AL240" s="22"/>
      <c r="AM240" s="22"/>
      <c r="AN240" s="22"/>
      <c r="AO240" s="22"/>
      <c r="AP240" s="22"/>
      <c r="AQ240" s="22"/>
      <c r="AR240" s="22"/>
      <c r="AS240" s="22"/>
      <c r="AT240" s="22"/>
      <c r="AU240" s="22">
        <v>0</v>
      </c>
      <c r="AV240" s="22"/>
      <c r="AW240" s="22"/>
      <c r="AX240" s="22"/>
      <c r="AY240" s="22"/>
      <c r="AZ240" s="22"/>
      <c r="BA240" s="22"/>
      <c r="BB240" s="22"/>
      <c r="BC240" s="22">
        <v>2.0997045868664799E-7</v>
      </c>
      <c r="BD240" s="22">
        <v>0</v>
      </c>
    </row>
    <row r="241" spans="1:56" x14ac:dyDescent="0.25">
      <c r="A241" t="s">
        <v>85</v>
      </c>
      <c r="B241">
        <v>1</v>
      </c>
      <c r="C241" t="s">
        <v>506</v>
      </c>
      <c r="D241" t="s">
        <v>468</v>
      </c>
      <c r="E241">
        <v>5</v>
      </c>
      <c r="F241">
        <v>15.9</v>
      </c>
      <c r="G241">
        <v>49.984900000000003</v>
      </c>
      <c r="H241" t="s">
        <v>47</v>
      </c>
      <c r="I241" t="s">
        <v>47</v>
      </c>
      <c r="J241" t="s">
        <v>27</v>
      </c>
      <c r="K241">
        <f t="shared" si="36"/>
        <v>110.7</v>
      </c>
      <c r="L241">
        <f t="shared" si="37"/>
        <v>433.44330000000002</v>
      </c>
      <c r="M241" t="str">
        <f t="shared" si="38"/>
        <v>seth-1</v>
      </c>
      <c r="N241" t="str">
        <f>INDEX(Scores!$A$2:$A$11,INDEX(Scores!$AA$2:$AA$131,MATCH(C241,Scores!$AB$2:$AB$131,0)))</f>
        <v>seth</v>
      </c>
      <c r="O241">
        <f t="shared" si="39"/>
        <v>111.07</v>
      </c>
      <c r="P241">
        <f t="shared" si="40"/>
        <v>422.00569999999999</v>
      </c>
      <c r="Q241" s="3">
        <f t="shared" si="41"/>
        <v>0.49495335047896771</v>
      </c>
      <c r="R241" s="3">
        <f t="shared" si="42"/>
        <v>0.34564654483972412</v>
      </c>
      <c r="S241" s="9">
        <f t="shared" si="43"/>
        <v>-0.14930680563924359</v>
      </c>
      <c r="T241">
        <f t="shared" si="44"/>
        <v>77</v>
      </c>
      <c r="U241">
        <f t="shared" si="45"/>
        <v>71</v>
      </c>
      <c r="V241" s="3">
        <f t="shared" si="46"/>
        <v>0.99158456927235161</v>
      </c>
      <c r="W241" s="9">
        <f t="shared" si="47"/>
        <v>8.4154307276483875E-3</v>
      </c>
      <c r="AB241" s="111" t="s">
        <v>157</v>
      </c>
      <c r="AC241" s="22"/>
      <c r="AD241" s="22">
        <v>2.5778748302673904E-7</v>
      </c>
      <c r="AE241" s="22"/>
      <c r="AF241" s="22"/>
      <c r="AG241" s="22"/>
      <c r="AH241" s="22"/>
      <c r="AI241" s="22"/>
      <c r="AJ241" s="22"/>
      <c r="AK241" s="22"/>
      <c r="AL241" s="22"/>
      <c r="AM241" s="22">
        <v>-1.3047585123437955E-8</v>
      </c>
      <c r="AN241" s="22"/>
      <c r="AO241" s="22"/>
      <c r="AP241" s="22"/>
      <c r="AQ241" s="22">
        <v>0</v>
      </c>
      <c r="AR241" s="22"/>
      <c r="AS241" s="22"/>
      <c r="AT241" s="22"/>
      <c r="AU241" s="22"/>
      <c r="AV241" s="22"/>
      <c r="AW241" s="22"/>
      <c r="AX241" s="22"/>
      <c r="AY241" s="22"/>
      <c r="AZ241" s="22">
        <v>0</v>
      </c>
      <c r="BA241" s="22"/>
      <c r="BB241" s="22"/>
      <c r="BC241" s="22">
        <v>2.4473989790330108E-7</v>
      </c>
      <c r="BD241" s="22">
        <v>0</v>
      </c>
    </row>
    <row r="242" spans="1:56" x14ac:dyDescent="0.25">
      <c r="A242" t="s">
        <v>131</v>
      </c>
      <c r="B242">
        <v>8</v>
      </c>
      <c r="C242" t="s">
        <v>930</v>
      </c>
      <c r="D242" t="s">
        <v>466</v>
      </c>
      <c r="E242">
        <v>7</v>
      </c>
      <c r="F242">
        <v>10.41</v>
      </c>
      <c r="G242">
        <v>58.675600000000003</v>
      </c>
      <c r="H242" t="s">
        <v>466</v>
      </c>
      <c r="I242" t="s">
        <v>47</v>
      </c>
      <c r="J242" t="s">
        <v>35</v>
      </c>
      <c r="K242">
        <f t="shared" si="36"/>
        <v>102.43</v>
      </c>
      <c r="L242">
        <f t="shared" si="37"/>
        <v>452.86560000000003</v>
      </c>
      <c r="M242" t="str">
        <f t="shared" si="38"/>
        <v>seth-8</v>
      </c>
      <c r="N242" t="str">
        <f>INDEX(Scores!$A$2:$A$11,INDEX(Scores!$AA$2:$AA$131,MATCH(C242,Scores!$AB$2:$AB$131,0)))</f>
        <v>seth</v>
      </c>
      <c r="O242">
        <f t="shared" si="39"/>
        <v>96.57</v>
      </c>
      <c r="P242">
        <f t="shared" si="40"/>
        <v>368.03749999999997</v>
      </c>
      <c r="Q242" s="3">
        <f t="shared" si="41"/>
        <v>0.58102934018980379</v>
      </c>
      <c r="R242" s="3">
        <f t="shared" si="42"/>
        <v>0.53535608221428577</v>
      </c>
      <c r="S242" s="9">
        <f t="shared" si="43"/>
        <v>-4.5673257975518022E-2</v>
      </c>
      <c r="T242">
        <f t="shared" si="44"/>
        <v>100</v>
      </c>
      <c r="U242">
        <f t="shared" si="45"/>
        <v>85</v>
      </c>
      <c r="V242" s="3">
        <f t="shared" si="46"/>
        <v>0.99187816792721883</v>
      </c>
      <c r="W242" s="9">
        <f t="shared" si="47"/>
        <v>8.1218320727811655E-3</v>
      </c>
      <c r="AB242" s="111" t="s">
        <v>151</v>
      </c>
      <c r="AC242" s="22"/>
      <c r="AD242" s="22"/>
      <c r="AE242" s="22"/>
      <c r="AF242" s="22"/>
      <c r="AG242" s="22"/>
      <c r="AH242" s="22">
        <v>-5.3844033010008729E-8</v>
      </c>
      <c r="AI242" s="22"/>
      <c r="AJ242" s="22"/>
      <c r="AK242" s="22"/>
      <c r="AL242" s="22"/>
      <c r="AM242" s="22"/>
      <c r="AN242" s="22"/>
      <c r="AO242" s="22"/>
      <c r="AP242" s="22"/>
      <c r="AQ242" s="22"/>
      <c r="AR242" s="22"/>
      <c r="AS242" s="22"/>
      <c r="AT242" s="22"/>
      <c r="AU242" s="22">
        <v>0</v>
      </c>
      <c r="AV242" s="22"/>
      <c r="AW242" s="22"/>
      <c r="AX242" s="22"/>
      <c r="AY242" s="22"/>
      <c r="AZ242" s="22"/>
      <c r="BA242" s="22"/>
      <c r="BB242" s="22"/>
      <c r="BC242" s="22">
        <v>-5.3844033010008729E-8</v>
      </c>
      <c r="BD242" s="22">
        <v>0</v>
      </c>
    </row>
    <row r="243" spans="1:56" x14ac:dyDescent="0.25">
      <c r="A243" t="s">
        <v>118</v>
      </c>
      <c r="B243">
        <v>7</v>
      </c>
      <c r="C243" t="s">
        <v>929</v>
      </c>
      <c r="D243" t="s">
        <v>475</v>
      </c>
      <c r="E243">
        <v>18</v>
      </c>
      <c r="F243">
        <v>6.27</v>
      </c>
      <c r="G243">
        <v>25.502500000000001</v>
      </c>
      <c r="H243" t="s">
        <v>114</v>
      </c>
      <c r="I243" t="s">
        <v>114</v>
      </c>
      <c r="J243" t="s">
        <v>35</v>
      </c>
      <c r="K243">
        <f t="shared" si="36"/>
        <v>106.81</v>
      </c>
      <c r="L243">
        <f t="shared" si="37"/>
        <v>351.64060000000001</v>
      </c>
      <c r="M243" t="str">
        <f t="shared" si="38"/>
        <v>aj-7</v>
      </c>
      <c r="N243" t="str">
        <f>INDEX(Scores!$A$2:$A$11,INDEX(Scores!$AA$2:$AA$131,MATCH(C243,Scores!$AB$2:$AB$131,0)))</f>
        <v>aj</v>
      </c>
      <c r="O243">
        <f t="shared" si="39"/>
        <v>114.01999999999998</v>
      </c>
      <c r="P243">
        <f t="shared" si="40"/>
        <v>381.58529999999996</v>
      </c>
      <c r="Q243" s="3">
        <f t="shared" si="41"/>
        <v>0.39501702421215146</v>
      </c>
      <c r="R243" s="3">
        <f t="shared" si="42"/>
        <v>0.56745765211968791</v>
      </c>
      <c r="S243" s="9">
        <f t="shared" si="43"/>
        <v>0.17244062790753645</v>
      </c>
      <c r="T243">
        <f t="shared" si="44"/>
        <v>117</v>
      </c>
      <c r="U243">
        <f t="shared" si="45"/>
        <v>93</v>
      </c>
      <c r="V243" s="3">
        <f t="shared" si="46"/>
        <v>0.99244439939191587</v>
      </c>
      <c r="W243" s="9">
        <f t="shared" si="47"/>
        <v>7.5556006080841343E-3</v>
      </c>
      <c r="AB243" s="111" t="s">
        <v>162</v>
      </c>
      <c r="AC243" s="22"/>
      <c r="AD243" s="22"/>
      <c r="AE243" s="22"/>
      <c r="AF243" s="22"/>
      <c r="AG243" s="22"/>
      <c r="AH243" s="22"/>
      <c r="AI243" s="22">
        <v>1.012717184556422E-7</v>
      </c>
      <c r="AJ243" s="22"/>
      <c r="AK243" s="22"/>
      <c r="AL243" s="22"/>
      <c r="AM243" s="22"/>
      <c r="AN243" s="22"/>
      <c r="AO243" s="22"/>
      <c r="AP243" s="22"/>
      <c r="AQ243" s="22"/>
      <c r="AR243" s="22"/>
      <c r="AS243" s="22"/>
      <c r="AT243" s="22"/>
      <c r="AU243" s="22"/>
      <c r="AV243" s="22">
        <v>0</v>
      </c>
      <c r="AW243" s="22"/>
      <c r="AX243" s="22"/>
      <c r="AY243" s="22"/>
      <c r="AZ243" s="22"/>
      <c r="BA243" s="22"/>
      <c r="BB243" s="22"/>
      <c r="BC243" s="22">
        <v>1.012717184556422E-7</v>
      </c>
      <c r="BD243" s="22">
        <v>0</v>
      </c>
    </row>
    <row r="244" spans="1:56" x14ac:dyDescent="0.25">
      <c r="A244" t="s">
        <v>105</v>
      </c>
      <c r="B244">
        <v>2</v>
      </c>
      <c r="C244" t="s">
        <v>638</v>
      </c>
      <c r="D244" t="s">
        <v>471</v>
      </c>
      <c r="E244">
        <v>4</v>
      </c>
      <c r="F244">
        <v>9.83</v>
      </c>
      <c r="G244">
        <v>37.21</v>
      </c>
      <c r="H244" t="s">
        <v>87</v>
      </c>
      <c r="I244" t="s">
        <v>87</v>
      </c>
      <c r="J244" t="s">
        <v>62</v>
      </c>
      <c r="K244">
        <f t="shared" si="36"/>
        <v>102.72000000000001</v>
      </c>
      <c r="L244">
        <f t="shared" si="37"/>
        <v>348.54960000000005</v>
      </c>
      <c r="M244" t="str">
        <f t="shared" si="38"/>
        <v>aj-2</v>
      </c>
      <c r="N244" t="str">
        <f>INDEX(Scores!$A$2:$A$11,INDEX(Scores!$AA$2:$AA$131,MATCH(C244,Scores!$AB$2:$AB$131,0)))</f>
        <v>aj</v>
      </c>
      <c r="O244">
        <f t="shared" si="39"/>
        <v>103.77999999999999</v>
      </c>
      <c r="P244">
        <f t="shared" si="40"/>
        <v>338.9511</v>
      </c>
      <c r="Q244" s="3">
        <f t="shared" si="41"/>
        <v>0.48387643490903587</v>
      </c>
      <c r="R244" s="3">
        <f t="shared" si="42"/>
        <v>0.39350795711985448</v>
      </c>
      <c r="S244" s="9">
        <f t="shared" si="43"/>
        <v>-9.036847778918139E-2</v>
      </c>
      <c r="T244">
        <f t="shared" si="44"/>
        <v>99</v>
      </c>
      <c r="U244">
        <f t="shared" si="45"/>
        <v>90</v>
      </c>
      <c r="V244" s="3">
        <f t="shared" si="46"/>
        <v>0.99247445790401845</v>
      </c>
      <c r="W244" s="9">
        <f t="shared" si="47"/>
        <v>7.5255420959815522E-3</v>
      </c>
      <c r="AB244" s="111" t="s">
        <v>129</v>
      </c>
      <c r="AC244" s="22"/>
      <c r="AD244" s="22">
        <v>1.9320472111061804E-8</v>
      </c>
      <c r="AE244" s="22"/>
      <c r="AF244" s="22"/>
      <c r="AG244" s="22"/>
      <c r="AH244" s="22"/>
      <c r="AI244" s="22"/>
      <c r="AJ244" s="22"/>
      <c r="AK244" s="22"/>
      <c r="AL244" s="22"/>
      <c r="AM244" s="22"/>
      <c r="AN244" s="22"/>
      <c r="AO244" s="22"/>
      <c r="AP244" s="22"/>
      <c r="AQ244" s="22">
        <v>0</v>
      </c>
      <c r="AR244" s="22"/>
      <c r="AS244" s="22"/>
      <c r="AT244" s="22"/>
      <c r="AU244" s="22"/>
      <c r="AV244" s="22"/>
      <c r="AW244" s="22"/>
      <c r="AX244" s="22"/>
      <c r="AY244" s="22"/>
      <c r="AZ244" s="22"/>
      <c r="BA244" s="22"/>
      <c r="BB244" s="22"/>
      <c r="BC244" s="22">
        <v>1.9320472111061804E-8</v>
      </c>
      <c r="BD244" s="22">
        <v>0</v>
      </c>
    </row>
    <row r="245" spans="1:56" x14ac:dyDescent="0.25">
      <c r="A245" t="s">
        <v>131</v>
      </c>
      <c r="B245">
        <v>4</v>
      </c>
      <c r="C245" t="s">
        <v>863</v>
      </c>
      <c r="D245" t="s">
        <v>469</v>
      </c>
      <c r="E245">
        <v>10</v>
      </c>
      <c r="F245">
        <v>12.48</v>
      </c>
      <c r="G245">
        <v>34.81</v>
      </c>
      <c r="H245" t="s">
        <v>47</v>
      </c>
      <c r="I245" t="s">
        <v>47</v>
      </c>
      <c r="J245" t="s">
        <v>35</v>
      </c>
      <c r="K245">
        <f t="shared" si="36"/>
        <v>99.78</v>
      </c>
      <c r="L245">
        <f t="shared" si="37"/>
        <v>369.21209999999996</v>
      </c>
      <c r="M245" t="str">
        <f t="shared" si="38"/>
        <v>perry-4</v>
      </c>
      <c r="N245" t="str">
        <f>INDEX(Scores!$A$2:$A$11,INDEX(Scores!$AA$2:$AA$131,MATCH(C245,Scores!$AB$2:$AB$131,0)))</f>
        <v>perry</v>
      </c>
      <c r="O245">
        <f t="shared" si="39"/>
        <v>111.07000000000001</v>
      </c>
      <c r="P245">
        <f t="shared" si="40"/>
        <v>406.62959999999998</v>
      </c>
      <c r="Q245" s="3">
        <f t="shared" si="41"/>
        <v>0.34261794725331807</v>
      </c>
      <c r="R245" s="3">
        <f t="shared" si="42"/>
        <v>0.30648351549474573</v>
      </c>
      <c r="S245" s="9">
        <f t="shared" si="43"/>
        <v>-3.6134431758572338E-2</v>
      </c>
      <c r="T245">
        <f t="shared" si="44"/>
        <v>84</v>
      </c>
      <c r="U245">
        <f t="shared" si="45"/>
        <v>72</v>
      </c>
      <c r="V245" s="3">
        <f t="shared" si="46"/>
        <v>0.99294081079680241</v>
      </c>
      <c r="W245" s="9">
        <f t="shared" si="47"/>
        <v>7.0591892031975911E-3</v>
      </c>
      <c r="AB245" s="111" t="s">
        <v>123</v>
      </c>
      <c r="AC245" s="22"/>
      <c r="AD245" s="22"/>
      <c r="AE245" s="22"/>
      <c r="AF245" s="22"/>
      <c r="AG245" s="22"/>
      <c r="AH245" s="22"/>
      <c r="AI245" s="22">
        <v>5.9151034847992889E-8</v>
      </c>
      <c r="AJ245" s="22"/>
      <c r="AK245" s="22"/>
      <c r="AL245" s="22"/>
      <c r="AM245" s="22"/>
      <c r="AN245" s="22"/>
      <c r="AO245" s="22"/>
      <c r="AP245" s="22"/>
      <c r="AQ245" s="22"/>
      <c r="AR245" s="22"/>
      <c r="AS245" s="22"/>
      <c r="AT245" s="22"/>
      <c r="AU245" s="22"/>
      <c r="AV245" s="22">
        <v>0</v>
      </c>
      <c r="AW245" s="22"/>
      <c r="AX245" s="22"/>
      <c r="AY245" s="22"/>
      <c r="AZ245" s="22"/>
      <c r="BA245" s="22"/>
      <c r="BB245" s="22"/>
      <c r="BC245" s="22">
        <v>5.9151034847992889E-8</v>
      </c>
      <c r="BD245" s="22">
        <v>0</v>
      </c>
    </row>
    <row r="246" spans="1:56" x14ac:dyDescent="0.25">
      <c r="A246" t="s">
        <v>421</v>
      </c>
      <c r="B246">
        <v>13</v>
      </c>
      <c r="C246" t="s">
        <v>919</v>
      </c>
      <c r="D246" t="s">
        <v>477</v>
      </c>
      <c r="E246">
        <v>12</v>
      </c>
      <c r="F246">
        <v>10.59</v>
      </c>
      <c r="G246">
        <v>57.002499999999998</v>
      </c>
      <c r="H246" t="s">
        <v>477</v>
      </c>
      <c r="I246" t="s">
        <v>477</v>
      </c>
      <c r="J246" t="s">
        <v>16</v>
      </c>
      <c r="K246">
        <f t="shared" si="36"/>
        <v>106.87</v>
      </c>
      <c r="L246">
        <f t="shared" si="37"/>
        <v>444.05589999999995</v>
      </c>
      <c r="M246" t="str">
        <f t="shared" si="38"/>
        <v>scott-13</v>
      </c>
      <c r="N246" t="str">
        <f>INDEX(Scores!$A$2:$A$11,INDEX(Scores!$AA$2:$AA$131,MATCH(C246,Scores!$AB$2:$AB$131,0)))</f>
        <v>scott</v>
      </c>
      <c r="O246">
        <f t="shared" si="39"/>
        <v>108.61</v>
      </c>
      <c r="P246">
        <f t="shared" si="40"/>
        <v>407.25390000000004</v>
      </c>
      <c r="Q246" s="3">
        <f t="shared" si="41"/>
        <v>0.47622294087495948</v>
      </c>
      <c r="R246" s="3">
        <f t="shared" si="42"/>
        <v>0.49532889311318673</v>
      </c>
      <c r="S246" s="9">
        <f t="shared" si="43"/>
        <v>1.9105952238227253E-2</v>
      </c>
      <c r="T246">
        <f t="shared" si="44"/>
        <v>86</v>
      </c>
      <c r="U246">
        <f t="shared" si="45"/>
        <v>66</v>
      </c>
      <c r="V246" s="3">
        <f t="shared" si="46"/>
        <v>0.99309661236016189</v>
      </c>
      <c r="W246" s="9">
        <f t="shared" si="47"/>
        <v>6.90338763983811E-3</v>
      </c>
      <c r="AB246" s="111" t="s">
        <v>406</v>
      </c>
      <c r="AC246" s="22"/>
      <c r="AD246" s="22"/>
      <c r="AE246" s="22"/>
      <c r="AF246" s="22"/>
      <c r="AG246" s="22">
        <v>8.7450630847918376E-8</v>
      </c>
      <c r="AH246" s="22"/>
      <c r="AI246" s="22"/>
      <c r="AJ246" s="22"/>
      <c r="AK246" s="22"/>
      <c r="AL246" s="22"/>
      <c r="AM246" s="22"/>
      <c r="AN246" s="22"/>
      <c r="AO246" s="22"/>
      <c r="AP246" s="22"/>
      <c r="AQ246" s="22"/>
      <c r="AR246" s="22"/>
      <c r="AS246" s="22"/>
      <c r="AT246" s="22">
        <v>0</v>
      </c>
      <c r="AU246" s="22"/>
      <c r="AV246" s="22"/>
      <c r="AW246" s="22"/>
      <c r="AX246" s="22"/>
      <c r="AY246" s="22"/>
      <c r="AZ246" s="22"/>
      <c r="BA246" s="22"/>
      <c r="BB246" s="22"/>
      <c r="BC246" s="22">
        <v>8.7450630847918376E-8</v>
      </c>
      <c r="BD246" s="22">
        <v>0</v>
      </c>
    </row>
    <row r="247" spans="1:56" x14ac:dyDescent="0.25">
      <c r="A247" t="s">
        <v>175</v>
      </c>
      <c r="B247">
        <v>4</v>
      </c>
      <c r="C247" t="s">
        <v>865</v>
      </c>
      <c r="D247" t="s">
        <v>473</v>
      </c>
      <c r="E247">
        <v>6</v>
      </c>
      <c r="F247">
        <v>6.97</v>
      </c>
      <c r="G247">
        <v>27.5625</v>
      </c>
      <c r="H247" t="s">
        <v>87</v>
      </c>
      <c r="I247" t="s">
        <v>87</v>
      </c>
      <c r="J247" t="s">
        <v>62</v>
      </c>
      <c r="K247">
        <f t="shared" si="36"/>
        <v>99.8</v>
      </c>
      <c r="L247">
        <f t="shared" si="37"/>
        <v>351.46400000000006</v>
      </c>
      <c r="M247" t="str">
        <f t="shared" si="38"/>
        <v>seth-4</v>
      </c>
      <c r="N247" t="str">
        <f>INDEX(Scores!$A$2:$A$11,INDEX(Scores!$AA$2:$AA$131,MATCH(C247,Scores!$AB$2:$AB$131,0)))</f>
        <v>seth</v>
      </c>
      <c r="O247">
        <f t="shared" si="39"/>
        <v>104.32</v>
      </c>
      <c r="P247">
        <f t="shared" si="40"/>
        <v>390.96559999999999</v>
      </c>
      <c r="Q247" s="3">
        <f t="shared" si="41"/>
        <v>0.43412317323121657</v>
      </c>
      <c r="R247" s="3">
        <f t="shared" si="42"/>
        <v>0.41865580847922085</v>
      </c>
      <c r="S247" s="9">
        <f t="shared" si="43"/>
        <v>-1.5467364751995727E-2</v>
      </c>
      <c r="T247">
        <f t="shared" si="44"/>
        <v>123</v>
      </c>
      <c r="U247">
        <f t="shared" si="45"/>
        <v>111</v>
      </c>
      <c r="V247" s="3">
        <f t="shared" si="46"/>
        <v>0.99325333495220058</v>
      </c>
      <c r="W247" s="9">
        <f t="shared" si="47"/>
        <v>6.7466650477994161E-3</v>
      </c>
      <c r="AB247" s="111" t="s">
        <v>185</v>
      </c>
      <c r="AC247" s="22"/>
      <c r="AD247" s="22"/>
      <c r="AE247" s="22"/>
      <c r="AF247" s="22"/>
      <c r="AG247" s="22"/>
      <c r="AH247" s="22"/>
      <c r="AI247" s="22">
        <v>-3.5098515427378629E-8</v>
      </c>
      <c r="AJ247" s="22"/>
      <c r="AK247" s="22"/>
      <c r="AL247" s="22"/>
      <c r="AM247" s="22"/>
      <c r="AN247" s="22"/>
      <c r="AO247" s="22"/>
      <c r="AP247" s="22"/>
      <c r="AQ247" s="22"/>
      <c r="AR247" s="22"/>
      <c r="AS247" s="22"/>
      <c r="AT247" s="22"/>
      <c r="AU247" s="22"/>
      <c r="AV247" s="22">
        <v>0</v>
      </c>
      <c r="AW247" s="22"/>
      <c r="AX247" s="22"/>
      <c r="AY247" s="22"/>
      <c r="AZ247" s="22"/>
      <c r="BA247" s="22"/>
      <c r="BB247" s="22"/>
      <c r="BC247" s="22">
        <v>-3.5098515427378629E-8</v>
      </c>
      <c r="BD247" s="22">
        <v>0</v>
      </c>
    </row>
    <row r="248" spans="1:56" x14ac:dyDescent="0.25">
      <c r="A248" t="s">
        <v>455</v>
      </c>
      <c r="B248">
        <v>1</v>
      </c>
      <c r="C248" t="s">
        <v>503</v>
      </c>
      <c r="D248" t="s">
        <v>478</v>
      </c>
      <c r="E248">
        <v>3</v>
      </c>
      <c r="F248">
        <v>7.64</v>
      </c>
      <c r="G248">
        <v>12.1104</v>
      </c>
      <c r="H248" t="s">
        <v>478</v>
      </c>
      <c r="I248" t="s">
        <v>478</v>
      </c>
      <c r="J248" t="s">
        <v>35</v>
      </c>
      <c r="K248">
        <f t="shared" si="36"/>
        <v>101.69</v>
      </c>
      <c r="L248">
        <f t="shared" si="37"/>
        <v>390.77570000000003</v>
      </c>
      <c r="M248" t="str">
        <f t="shared" si="38"/>
        <v>lucas-1</v>
      </c>
      <c r="N248" t="str">
        <f>INDEX(Scores!$A$2:$A$11,INDEX(Scores!$AA$2:$AA$131,MATCH(C248,Scores!$AB$2:$AB$131,0)))</f>
        <v>lucas</v>
      </c>
      <c r="O248">
        <f t="shared" si="39"/>
        <v>0</v>
      </c>
      <c r="P248">
        <f t="shared" si="40"/>
        <v>0</v>
      </c>
      <c r="Q248" s="3">
        <f t="shared" si="41"/>
        <v>0.99999986563981569</v>
      </c>
      <c r="R248" s="3">
        <f t="shared" si="42"/>
        <v>0.99999969389693943</v>
      </c>
      <c r="S248" s="9">
        <f t="shared" si="43"/>
        <v>-1.717428762537665E-7</v>
      </c>
      <c r="T248">
        <f t="shared" si="44"/>
        <v>75</v>
      </c>
      <c r="U248">
        <f t="shared" si="45"/>
        <v>0</v>
      </c>
      <c r="V248" s="3">
        <f t="shared" si="46"/>
        <v>1</v>
      </c>
      <c r="W248" s="9">
        <f t="shared" si="47"/>
        <v>0</v>
      </c>
      <c r="AB248" s="111" t="s">
        <v>177</v>
      </c>
      <c r="AC248" s="22"/>
      <c r="AD248" s="22"/>
      <c r="AE248" s="22">
        <v>1.9648852034315212E-7</v>
      </c>
      <c r="AF248" s="22"/>
      <c r="AG248" s="22"/>
      <c r="AH248" s="22"/>
      <c r="AI248" s="22"/>
      <c r="AJ248" s="22"/>
      <c r="AK248" s="22"/>
      <c r="AL248" s="22"/>
      <c r="AM248" s="22"/>
      <c r="AN248" s="22">
        <v>1.9687023056214059E-7</v>
      </c>
      <c r="AO248" s="22"/>
      <c r="AP248" s="22"/>
      <c r="AQ248" s="22"/>
      <c r="AR248" s="22">
        <v>0</v>
      </c>
      <c r="AS248" s="22"/>
      <c r="AT248" s="22"/>
      <c r="AU248" s="22"/>
      <c r="AV248" s="22"/>
      <c r="AW248" s="22"/>
      <c r="AX248" s="22"/>
      <c r="AY248" s="22"/>
      <c r="AZ248" s="22"/>
      <c r="BA248" s="22">
        <v>0</v>
      </c>
      <c r="BB248" s="22"/>
      <c r="BC248" s="22">
        <v>3.9335875090529271E-7</v>
      </c>
      <c r="BD248" s="22">
        <v>0</v>
      </c>
    </row>
    <row r="249" spans="1:56" x14ac:dyDescent="0.25">
      <c r="A249" t="s">
        <v>115</v>
      </c>
      <c r="B249">
        <v>1</v>
      </c>
      <c r="C249" t="s">
        <v>504</v>
      </c>
      <c r="D249" t="s">
        <v>466</v>
      </c>
      <c r="E249">
        <v>39</v>
      </c>
      <c r="F249">
        <v>8.48</v>
      </c>
      <c r="G249">
        <v>55.204900000000002</v>
      </c>
      <c r="H249" t="s">
        <v>466</v>
      </c>
      <c r="I249" t="s">
        <v>47</v>
      </c>
      <c r="J249" t="s">
        <v>20</v>
      </c>
      <c r="K249">
        <f t="shared" si="36"/>
        <v>102.78</v>
      </c>
      <c r="L249">
        <f t="shared" si="37"/>
        <v>382.14119999999997</v>
      </c>
      <c r="M249" t="str">
        <f t="shared" si="38"/>
        <v>aj-1</v>
      </c>
      <c r="N249" t="str">
        <f>INDEX(Scores!$A$2:$A$11,INDEX(Scores!$AA$2:$AA$131,MATCH(C249,Scores!$AB$2:$AB$131,0)))</f>
        <v>aj</v>
      </c>
      <c r="O249">
        <f t="shared" si="39"/>
        <v>90.7</v>
      </c>
      <c r="P249">
        <f t="shared" si="40"/>
        <v>347.93650000000002</v>
      </c>
      <c r="Q249" s="3">
        <f t="shared" si="41"/>
        <v>0.67259029154080885</v>
      </c>
      <c r="R249" s="3">
        <f t="shared" si="42"/>
        <v>0.94947966581723253</v>
      </c>
      <c r="S249" s="9">
        <f t="shared" si="43"/>
        <v>0.27688937427642368</v>
      </c>
      <c r="T249">
        <f t="shared" si="44"/>
        <v>120</v>
      </c>
      <c r="U249">
        <f t="shared" si="45"/>
        <v>71</v>
      </c>
      <c r="V249" s="3">
        <f t="shared" si="46"/>
        <v>0.99356260360987714</v>
      </c>
      <c r="W249" s="9">
        <f t="shared" si="47"/>
        <v>6.4373963901228626E-3</v>
      </c>
      <c r="AB249" s="111" t="s">
        <v>186</v>
      </c>
      <c r="AC249" s="22"/>
      <c r="AD249" s="22"/>
      <c r="AE249" s="22"/>
      <c r="AF249" s="22"/>
      <c r="AG249" s="22"/>
      <c r="AH249" s="22"/>
      <c r="AI249" s="22">
        <v>-3.5100272577359704E-8</v>
      </c>
      <c r="AJ249" s="22"/>
      <c r="AK249" s="22"/>
      <c r="AL249" s="22"/>
      <c r="AM249" s="22"/>
      <c r="AN249" s="22"/>
      <c r="AO249" s="22"/>
      <c r="AP249" s="22"/>
      <c r="AQ249" s="22"/>
      <c r="AR249" s="22"/>
      <c r="AS249" s="22"/>
      <c r="AT249" s="22"/>
      <c r="AU249" s="22"/>
      <c r="AV249" s="22">
        <v>0</v>
      </c>
      <c r="AW249" s="22"/>
      <c r="AX249" s="22"/>
      <c r="AY249" s="22"/>
      <c r="AZ249" s="22"/>
      <c r="BA249" s="22"/>
      <c r="BB249" s="22"/>
      <c r="BC249" s="22">
        <v>-3.5100272577359704E-8</v>
      </c>
      <c r="BD249" s="22">
        <v>0</v>
      </c>
    </row>
    <row r="250" spans="1:56" x14ac:dyDescent="0.25">
      <c r="A250" t="s">
        <v>89</v>
      </c>
      <c r="B250">
        <v>3</v>
      </c>
      <c r="C250" t="s">
        <v>806</v>
      </c>
      <c r="D250" t="s">
        <v>468</v>
      </c>
      <c r="E250">
        <v>1</v>
      </c>
      <c r="F250">
        <v>13.34</v>
      </c>
      <c r="G250">
        <v>66.748900000000006</v>
      </c>
      <c r="H250" t="s">
        <v>47</v>
      </c>
      <c r="I250" t="s">
        <v>47</v>
      </c>
      <c r="J250" t="s">
        <v>55</v>
      </c>
      <c r="K250">
        <f t="shared" si="36"/>
        <v>107.31</v>
      </c>
      <c r="L250">
        <f t="shared" si="37"/>
        <v>425.77620000000002</v>
      </c>
      <c r="M250" t="str">
        <f t="shared" si="38"/>
        <v>seth-3</v>
      </c>
      <c r="N250" t="str">
        <f>INDEX(Scores!$A$2:$A$11,INDEX(Scores!$AA$2:$AA$131,MATCH(C250,Scores!$AB$2:$AB$131,0)))</f>
        <v>seth</v>
      </c>
      <c r="O250">
        <f t="shared" si="39"/>
        <v>94.54</v>
      </c>
      <c r="P250">
        <f t="shared" si="40"/>
        <v>356.43470000000002</v>
      </c>
      <c r="Q250" s="3">
        <f t="shared" si="41"/>
        <v>0.6760180870914847</v>
      </c>
      <c r="R250" s="3">
        <f t="shared" si="42"/>
        <v>0.5064130781090217</v>
      </c>
      <c r="S250" s="9">
        <f t="shared" si="43"/>
        <v>-0.169605008982463</v>
      </c>
      <c r="T250">
        <f t="shared" si="44"/>
        <v>96</v>
      </c>
      <c r="U250">
        <f t="shared" si="45"/>
        <v>88</v>
      </c>
      <c r="V250" s="3">
        <f t="shared" si="46"/>
        <v>0.99360558274177813</v>
      </c>
      <c r="W250" s="9">
        <f t="shared" si="47"/>
        <v>6.3944172582218739E-3</v>
      </c>
      <c r="AB250" s="111" t="s">
        <v>97</v>
      </c>
      <c r="AC250" s="22"/>
      <c r="AD250" s="22"/>
      <c r="AE250" s="22"/>
      <c r="AF250" s="22"/>
      <c r="AG250" s="22">
        <v>-6.6931103992473595E-9</v>
      </c>
      <c r="AH250" s="22"/>
      <c r="AI250" s="22"/>
      <c r="AJ250" s="22"/>
      <c r="AK250" s="22"/>
      <c r="AL250" s="22"/>
      <c r="AM250" s="22"/>
      <c r="AN250" s="22"/>
      <c r="AO250" s="22"/>
      <c r="AP250" s="22"/>
      <c r="AQ250" s="22"/>
      <c r="AR250" s="22"/>
      <c r="AS250" s="22"/>
      <c r="AT250" s="22">
        <v>0</v>
      </c>
      <c r="AU250" s="22"/>
      <c r="AV250" s="22"/>
      <c r="AW250" s="22"/>
      <c r="AX250" s="22"/>
      <c r="AY250" s="22"/>
      <c r="AZ250" s="22"/>
      <c r="BA250" s="22"/>
      <c r="BB250" s="22"/>
      <c r="BC250" s="22">
        <v>-6.6931103992473595E-9</v>
      </c>
      <c r="BD250" s="22">
        <v>0</v>
      </c>
    </row>
    <row r="251" spans="1:56" x14ac:dyDescent="0.25">
      <c r="A251" t="s">
        <v>115</v>
      </c>
      <c r="B251">
        <v>7</v>
      </c>
      <c r="C251" t="s">
        <v>905</v>
      </c>
      <c r="D251" t="s">
        <v>469</v>
      </c>
      <c r="E251">
        <v>11</v>
      </c>
      <c r="F251">
        <v>17.8</v>
      </c>
      <c r="G251">
        <v>90.630399999999995</v>
      </c>
      <c r="H251" t="s">
        <v>47</v>
      </c>
      <c r="I251" t="s">
        <v>47</v>
      </c>
      <c r="J251" t="s">
        <v>20</v>
      </c>
      <c r="K251">
        <f t="shared" si="36"/>
        <v>114.48000000000002</v>
      </c>
      <c r="L251">
        <f t="shared" si="37"/>
        <v>430.3667999999999</v>
      </c>
      <c r="M251" t="str">
        <f t="shared" si="38"/>
        <v>matty-7</v>
      </c>
      <c r="N251" t="str">
        <f>INDEX(Scores!$A$2:$A$11,INDEX(Scores!$AA$2:$AA$131,MATCH(C251,Scores!$AB$2:$AB$131,0)))</f>
        <v>matty</v>
      </c>
      <c r="O251">
        <f t="shared" si="39"/>
        <v>87.490000000000009</v>
      </c>
      <c r="P251">
        <f t="shared" si="40"/>
        <v>277.88929999999999</v>
      </c>
      <c r="Q251" s="3">
        <f t="shared" si="41"/>
        <v>0.84474748784368747</v>
      </c>
      <c r="R251" s="3">
        <f t="shared" si="42"/>
        <v>0.79172092520603632</v>
      </c>
      <c r="S251" s="9">
        <f t="shared" si="43"/>
        <v>-5.3026562637651153E-2</v>
      </c>
      <c r="T251">
        <f t="shared" si="44"/>
        <v>82</v>
      </c>
      <c r="U251">
        <f t="shared" si="45"/>
        <v>65</v>
      </c>
      <c r="V251" s="3">
        <f t="shared" si="46"/>
        <v>0.99379033467422384</v>
      </c>
      <c r="W251" s="9">
        <f t="shared" si="47"/>
        <v>6.2096653257761592E-3</v>
      </c>
      <c r="AB251" s="156" t="s">
        <v>1673</v>
      </c>
      <c r="AC251" s="22">
        <v>2.2601415206047193E-7</v>
      </c>
      <c r="AD251" s="22">
        <v>2.2218589400546662E-6</v>
      </c>
      <c r="AE251" s="22">
        <v>9.5445293257778729E-7</v>
      </c>
      <c r="AF251" s="22">
        <v>9.3437878878610547E-8</v>
      </c>
      <c r="AG251" s="22">
        <v>2.2366954910424397E-7</v>
      </c>
      <c r="AH251" s="22">
        <v>1.0298234837113895E-6</v>
      </c>
      <c r="AI251" s="22">
        <v>4.1462666910963009E-7</v>
      </c>
      <c r="AJ251" s="22">
        <v>2.3167190943418348E-8</v>
      </c>
      <c r="AK251" s="22">
        <v>2.29693973496925E-6</v>
      </c>
      <c r="AL251" s="22">
        <v>2.432238913607776E-7</v>
      </c>
      <c r="AM251" s="22">
        <v>-2.416312352426786E-7</v>
      </c>
      <c r="AN251" s="22">
        <v>1.0782819915844399E-6</v>
      </c>
      <c r="AO251" s="22">
        <v>2.6280682030588309E-7</v>
      </c>
      <c r="AP251" s="22">
        <v>0</v>
      </c>
      <c r="AQ251" s="22">
        <v>0</v>
      </c>
      <c r="AR251" s="22">
        <v>0</v>
      </c>
      <c r="AS251" s="22">
        <v>0</v>
      </c>
      <c r="AT251" s="22">
        <v>1.1102230246251565E-16</v>
      </c>
      <c r="AU251" s="22">
        <v>0</v>
      </c>
      <c r="AV251" s="22">
        <v>0</v>
      </c>
      <c r="AW251" s="22">
        <v>0</v>
      </c>
      <c r="AX251" s="22">
        <v>0</v>
      </c>
      <c r="AY251" s="22">
        <v>0</v>
      </c>
      <c r="AZ251" s="22">
        <v>0</v>
      </c>
      <c r="BA251" s="22">
        <v>0</v>
      </c>
      <c r="BB251" s="22">
        <v>0</v>
      </c>
      <c r="BC251" s="22">
        <v>8.8266719994178899E-6</v>
      </c>
      <c r="BD251" s="22">
        <v>1.1102230246251565E-16</v>
      </c>
    </row>
    <row r="252" spans="1:56" x14ac:dyDescent="0.25">
      <c r="A252" t="s">
        <v>257</v>
      </c>
      <c r="B252">
        <v>7</v>
      </c>
      <c r="C252" t="s">
        <v>961</v>
      </c>
      <c r="D252" t="s">
        <v>466</v>
      </c>
      <c r="E252">
        <v>10</v>
      </c>
      <c r="F252">
        <v>8.84</v>
      </c>
      <c r="G252">
        <v>22.184100000000001</v>
      </c>
      <c r="H252" t="s">
        <v>466</v>
      </c>
      <c r="I252" t="s">
        <v>47</v>
      </c>
      <c r="J252" t="s">
        <v>23</v>
      </c>
      <c r="K252">
        <f t="shared" si="36"/>
        <v>103.81000000000002</v>
      </c>
      <c r="L252">
        <f t="shared" si="37"/>
        <v>404.20889999999997</v>
      </c>
      <c r="M252" t="str">
        <f t="shared" si="38"/>
        <v>chad-7</v>
      </c>
      <c r="N252" t="str">
        <f>INDEX(Scores!$A$2:$A$11,INDEX(Scores!$AA$2:$AA$131,MATCH(C252,Scores!$AB$2:$AB$131,0)))</f>
        <v>chad</v>
      </c>
      <c r="O252">
        <f t="shared" si="39"/>
        <v>99.759999999999991</v>
      </c>
      <c r="P252">
        <f t="shared" si="40"/>
        <v>339.923</v>
      </c>
      <c r="Q252" s="3">
        <f t="shared" si="41"/>
        <v>0.55901290364123501</v>
      </c>
      <c r="R252" s="3">
        <f t="shared" si="42"/>
        <v>0.57687413447604463</v>
      </c>
      <c r="S252" s="9">
        <f t="shared" si="43"/>
        <v>1.7861230834809616E-2</v>
      </c>
      <c r="T252">
        <f t="shared" si="44"/>
        <v>115</v>
      </c>
      <c r="U252">
        <f t="shared" si="45"/>
        <v>102</v>
      </c>
      <c r="V252" s="3">
        <f t="shared" si="46"/>
        <v>0.99402809989157959</v>
      </c>
      <c r="W252" s="9">
        <f t="shared" si="47"/>
        <v>5.9719001084204137E-3</v>
      </c>
      <c r="AB252" s="156" t="s">
        <v>717</v>
      </c>
      <c r="AC252" s="22">
        <v>-1.8055472084084117</v>
      </c>
      <c r="AD252" s="22">
        <v>-0.91251382654068014</v>
      </c>
      <c r="AE252" s="22">
        <v>-1.0337086588604498</v>
      </c>
      <c r="AF252" s="22">
        <v>-1.9524463405423789</v>
      </c>
      <c r="AG252" s="22">
        <v>-0.32798667441773721</v>
      </c>
      <c r="AH252" s="22">
        <v>-0.30282051566098878</v>
      </c>
      <c r="AI252" s="22">
        <v>-0.64930851197130635</v>
      </c>
      <c r="AJ252" s="22">
        <v>-0.90388520294938579</v>
      </c>
      <c r="AK252" s="22">
        <v>-0.44224036343593132</v>
      </c>
      <c r="AL252" s="22">
        <v>-0.75348475557311811</v>
      </c>
      <c r="AM252" s="22">
        <v>0.89565928838238618</v>
      </c>
      <c r="AN252" s="22">
        <v>-1.1116041887105572</v>
      </c>
      <c r="AO252" s="22">
        <v>-0.80675678619934499</v>
      </c>
      <c r="AP252" s="22">
        <v>-3.3004932781636374</v>
      </c>
      <c r="AQ252" s="22">
        <v>-0.52058580749607286</v>
      </c>
      <c r="AR252" s="22">
        <v>-1.1675141234171971</v>
      </c>
      <c r="AS252" s="22">
        <v>-0.22046527342082611</v>
      </c>
      <c r="AT252" s="22">
        <v>-4.3364486738497798E-2</v>
      </c>
      <c r="AU252" s="22">
        <v>-0.45500070935008324</v>
      </c>
      <c r="AV252" s="22">
        <v>0.36594025120843598</v>
      </c>
      <c r="AW252" s="22">
        <v>-1.8862450319752164</v>
      </c>
      <c r="AX252" s="22">
        <v>-0.67147578575084221</v>
      </c>
      <c r="AY252" s="22">
        <v>-1.9030316568981949</v>
      </c>
      <c r="AZ252" s="22">
        <v>1.3632859998820586</v>
      </c>
      <c r="BA252" s="22">
        <v>-2.7166230312320216</v>
      </c>
      <c r="BB252" s="22">
        <v>0.17084155291519409</v>
      </c>
      <c r="BC252" s="22">
        <v>-10.106643744887911</v>
      </c>
      <c r="BD252" s="22">
        <v>-10.984731380436909</v>
      </c>
    </row>
    <row r="253" spans="1:56" x14ac:dyDescent="0.25">
      <c r="A253" t="s">
        <v>170</v>
      </c>
      <c r="B253">
        <v>9</v>
      </c>
      <c r="C253" t="s">
        <v>915</v>
      </c>
      <c r="D253" t="s">
        <v>466</v>
      </c>
      <c r="E253">
        <v>3</v>
      </c>
      <c r="F253">
        <v>6.22</v>
      </c>
      <c r="G253">
        <v>19.8916</v>
      </c>
      <c r="H253" t="s">
        <v>466</v>
      </c>
      <c r="I253" t="s">
        <v>47</v>
      </c>
      <c r="J253" t="s">
        <v>16</v>
      </c>
      <c r="K253">
        <f t="shared" si="36"/>
        <v>90.69</v>
      </c>
      <c r="L253">
        <f t="shared" si="37"/>
        <v>356.05790000000002</v>
      </c>
      <c r="M253" t="str">
        <f t="shared" si="38"/>
        <v>devon-9</v>
      </c>
      <c r="N253" t="str">
        <f>INDEX(Scores!$A$2:$A$11,INDEX(Scores!$AA$2:$AA$131,MATCH(C253,Scores!$AB$2:$AB$131,0)))</f>
        <v>devon</v>
      </c>
      <c r="O253">
        <f t="shared" si="39"/>
        <v>104.66</v>
      </c>
      <c r="P253">
        <f t="shared" si="40"/>
        <v>474.51049999999998</v>
      </c>
      <c r="Q253" s="3">
        <f t="shared" si="41"/>
        <v>0.31393045538359282</v>
      </c>
      <c r="R253" s="3">
        <f t="shared" si="42"/>
        <v>0.27300730854154209</v>
      </c>
      <c r="S253" s="9">
        <f t="shared" si="43"/>
        <v>-4.0923146842050728E-2</v>
      </c>
      <c r="T253">
        <f t="shared" si="44"/>
        <v>89</v>
      </c>
      <c r="U253">
        <f t="shared" si="45"/>
        <v>81</v>
      </c>
      <c r="V253" s="3">
        <f t="shared" si="46"/>
        <v>0.99406010417233437</v>
      </c>
      <c r="W253" s="9">
        <f t="shared" si="47"/>
        <v>5.9398958276656311E-3</v>
      </c>
      <c r="AC253"/>
    </row>
    <row r="254" spans="1:56" x14ac:dyDescent="0.25">
      <c r="A254" t="s">
        <v>202</v>
      </c>
      <c r="B254">
        <v>6</v>
      </c>
      <c r="C254" t="s">
        <v>952</v>
      </c>
      <c r="D254" t="s">
        <v>469</v>
      </c>
      <c r="E254">
        <v>13</v>
      </c>
      <c r="F254">
        <v>6.45</v>
      </c>
      <c r="G254">
        <v>28.196100000000001</v>
      </c>
      <c r="H254" t="s">
        <v>47</v>
      </c>
      <c r="I254" t="s">
        <v>47</v>
      </c>
      <c r="J254" t="s">
        <v>40</v>
      </c>
      <c r="K254">
        <f t="shared" si="36"/>
        <v>86.090000000000018</v>
      </c>
      <c r="L254">
        <f t="shared" si="37"/>
        <v>366.05880000000002</v>
      </c>
      <c r="M254" t="e">
        <f t="shared" si="38"/>
        <v>#N/A</v>
      </c>
      <c r="N254" t="e">
        <f>INDEX(Scores!$A$2:$A$11,INDEX(Scores!$AA$2:$AA$131,MATCH(C254,Scores!$AB$2:$AB$131,0)))</f>
        <v>#N/A</v>
      </c>
      <c r="O254">
        <f t="shared" si="39"/>
        <v>0</v>
      </c>
      <c r="P254">
        <f t="shared" si="40"/>
        <v>0</v>
      </c>
      <c r="Q254" s="3">
        <f t="shared" si="41"/>
        <v>0.99999659648730843</v>
      </c>
      <c r="R254" s="3">
        <f t="shared" si="42"/>
        <v>0.99999976720423345</v>
      </c>
      <c r="S254" s="9">
        <f t="shared" si="43"/>
        <v>3.1707169250161371E-6</v>
      </c>
      <c r="T254">
        <f t="shared" si="44"/>
        <v>99</v>
      </c>
      <c r="U254">
        <f t="shared" si="45"/>
        <v>0</v>
      </c>
      <c r="V254" s="3">
        <f t="shared" si="46"/>
        <v>1</v>
      </c>
      <c r="W254" s="9">
        <f t="shared" si="47"/>
        <v>0</v>
      </c>
      <c r="AC254"/>
    </row>
    <row r="255" spans="1:56" x14ac:dyDescent="0.25">
      <c r="A255" t="s">
        <v>95</v>
      </c>
      <c r="B255">
        <v>8</v>
      </c>
      <c r="C255" t="s">
        <v>930</v>
      </c>
      <c r="D255" t="s">
        <v>467</v>
      </c>
      <c r="E255">
        <v>13</v>
      </c>
      <c r="F255">
        <v>17.82</v>
      </c>
      <c r="G255">
        <v>60.996099999999998</v>
      </c>
      <c r="H255" t="s">
        <v>15</v>
      </c>
      <c r="I255" t="s">
        <v>15</v>
      </c>
      <c r="J255" t="s">
        <v>35</v>
      </c>
      <c r="K255">
        <f t="shared" si="36"/>
        <v>102.43</v>
      </c>
      <c r="L255">
        <f t="shared" si="37"/>
        <v>452.86560000000003</v>
      </c>
      <c r="M255" t="str">
        <f t="shared" si="38"/>
        <v>seth-8</v>
      </c>
      <c r="N255" t="str">
        <f>INDEX(Scores!$A$2:$A$11,INDEX(Scores!$AA$2:$AA$131,MATCH(C255,Scores!$AB$2:$AB$131,0)))</f>
        <v>seth</v>
      </c>
      <c r="O255">
        <f t="shared" si="39"/>
        <v>96.57</v>
      </c>
      <c r="P255">
        <f t="shared" si="40"/>
        <v>368.03749999999997</v>
      </c>
      <c r="Q255" s="3">
        <f t="shared" si="41"/>
        <v>0.58102934018980379</v>
      </c>
      <c r="R255" s="3">
        <f t="shared" si="42"/>
        <v>0.51504735503764087</v>
      </c>
      <c r="S255" s="9">
        <f t="shared" si="43"/>
        <v>-6.5981985152162914E-2</v>
      </c>
      <c r="T255">
        <f t="shared" si="44"/>
        <v>100</v>
      </c>
      <c r="U255">
        <f t="shared" si="45"/>
        <v>85</v>
      </c>
      <c r="V255" s="3">
        <f t="shared" si="46"/>
        <v>0.99442196947184403</v>
      </c>
      <c r="W255" s="9">
        <f t="shared" si="47"/>
        <v>5.578030528155975E-3</v>
      </c>
      <c r="AC255"/>
    </row>
    <row r="256" spans="1:56" x14ac:dyDescent="0.25">
      <c r="A256" t="s">
        <v>266</v>
      </c>
      <c r="B256">
        <v>6</v>
      </c>
      <c r="C256" t="s">
        <v>936</v>
      </c>
      <c r="D256" t="s">
        <v>473</v>
      </c>
      <c r="E256">
        <v>12</v>
      </c>
      <c r="F256">
        <v>7.1</v>
      </c>
      <c r="G256">
        <v>30.691600000000001</v>
      </c>
      <c r="H256" t="s">
        <v>87</v>
      </c>
      <c r="I256" t="s">
        <v>87</v>
      </c>
      <c r="J256" t="s">
        <v>27</v>
      </c>
      <c r="K256">
        <f t="shared" si="36"/>
        <v>104.66</v>
      </c>
      <c r="L256">
        <f t="shared" si="37"/>
        <v>375.94899999999996</v>
      </c>
      <c r="M256" t="str">
        <f t="shared" si="38"/>
        <v>devon-6</v>
      </c>
      <c r="N256" t="str">
        <f>INDEX(Scores!$A$2:$A$11,INDEX(Scores!$AA$2:$AA$131,MATCH(C256,Scores!$AB$2:$AB$131,0)))</f>
        <v>devon</v>
      </c>
      <c r="O256">
        <f t="shared" si="39"/>
        <v>101.41999999999999</v>
      </c>
      <c r="P256">
        <f t="shared" si="40"/>
        <v>401.13359999999994</v>
      </c>
      <c r="Q256" s="3">
        <f t="shared" si="41"/>
        <v>0.54626414609906893</v>
      </c>
      <c r="R256" s="3">
        <f t="shared" si="42"/>
        <v>0.61712876600145861</v>
      </c>
      <c r="S256" s="9">
        <f t="shared" si="43"/>
        <v>7.0864619902389681E-2</v>
      </c>
      <c r="T256">
        <f t="shared" si="44"/>
        <v>91</v>
      </c>
      <c r="U256">
        <f t="shared" si="45"/>
        <v>72</v>
      </c>
      <c r="V256" s="3">
        <f t="shared" si="46"/>
        <v>0.99453808987709125</v>
      </c>
      <c r="W256" s="9">
        <f t="shared" si="47"/>
        <v>5.461910122908753E-3</v>
      </c>
      <c r="AC256"/>
    </row>
    <row r="257" spans="1:29" x14ac:dyDescent="0.25">
      <c r="A257" t="s">
        <v>424</v>
      </c>
      <c r="B257">
        <v>10</v>
      </c>
      <c r="C257" t="s">
        <v>964</v>
      </c>
      <c r="D257" t="s">
        <v>477</v>
      </c>
      <c r="E257">
        <v>8</v>
      </c>
      <c r="F257">
        <v>9.16</v>
      </c>
      <c r="G257">
        <v>40.195599999999999</v>
      </c>
      <c r="H257" t="s">
        <v>477</v>
      </c>
      <c r="I257" t="s">
        <v>477</v>
      </c>
      <c r="J257" t="s">
        <v>23</v>
      </c>
      <c r="K257">
        <f t="shared" si="36"/>
        <v>103.49</v>
      </c>
      <c r="L257">
        <f t="shared" si="37"/>
        <v>345.28400000000005</v>
      </c>
      <c r="M257" t="str">
        <f t="shared" si="38"/>
        <v>cory-10</v>
      </c>
      <c r="N257" t="str">
        <f>INDEX(Scores!$A$2:$A$11,INDEX(Scores!$AA$2:$AA$131,MATCH(C257,Scores!$AB$2:$AB$131,0)))</f>
        <v>cory</v>
      </c>
      <c r="O257">
        <f t="shared" si="39"/>
        <v>93.17</v>
      </c>
      <c r="P257">
        <f t="shared" si="40"/>
        <v>328.34589999999997</v>
      </c>
      <c r="Q257" s="3">
        <f t="shared" si="41"/>
        <v>0.65454511164456886</v>
      </c>
      <c r="R257" s="3">
        <f t="shared" si="42"/>
        <v>0.64205325339329644</v>
      </c>
      <c r="S257" s="9">
        <f t="shared" si="43"/>
        <v>-1.2491858251272414E-2</v>
      </c>
      <c r="T257">
        <f t="shared" si="44"/>
        <v>106</v>
      </c>
      <c r="U257">
        <f t="shared" si="45"/>
        <v>91</v>
      </c>
      <c r="V257" s="3">
        <f t="shared" si="46"/>
        <v>0.99459677237553534</v>
      </c>
      <c r="W257" s="9">
        <f t="shared" si="47"/>
        <v>5.4032276244646571E-3</v>
      </c>
      <c r="AC257"/>
    </row>
    <row r="258" spans="1:29" x14ac:dyDescent="0.25">
      <c r="A258" t="s">
        <v>61</v>
      </c>
      <c r="B258">
        <v>2</v>
      </c>
      <c r="C258" t="s">
        <v>638</v>
      </c>
      <c r="D258" t="s">
        <v>467</v>
      </c>
      <c r="E258">
        <v>12</v>
      </c>
      <c r="F258">
        <v>17.68</v>
      </c>
      <c r="G258">
        <v>32.604100000000003</v>
      </c>
      <c r="H258" t="s">
        <v>15</v>
      </c>
      <c r="I258" t="s">
        <v>15</v>
      </c>
      <c r="J258" t="s">
        <v>62</v>
      </c>
      <c r="K258">
        <f t="shared" ref="K258:K321" si="48">SUMIF($C$2:$C$1301,$C258,$F$2:$F$1301)</f>
        <v>102.72000000000001</v>
      </c>
      <c r="L258">
        <f t="shared" ref="L258:L321" si="49">SUMIF($C$2:$C$1301,$C258,$G$2:$G$1301)</f>
        <v>348.54960000000005</v>
      </c>
      <c r="M258" t="str">
        <f t="shared" ref="M258:M321" si="50">N258&amp;"-"&amp;B258</f>
        <v>aj-2</v>
      </c>
      <c r="N258" t="str">
        <f>INDEX(Scores!$A$2:$A$11,INDEX(Scores!$AA$2:$AA$131,MATCH(C258,Scores!$AB$2:$AB$131,0)))</f>
        <v>aj</v>
      </c>
      <c r="O258">
        <f t="shared" ref="O258:O321" si="51">SUMIF($C$2:$C$1301,$M258,$F$2:$F$1301)</f>
        <v>103.77999999999999</v>
      </c>
      <c r="P258">
        <f t="shared" ref="P258:P321" si="52">SUMIF($C$2:$C$1301,$M258,$G$2:$G$1301)</f>
        <v>338.9511</v>
      </c>
      <c r="Q258" s="3">
        <f t="shared" ref="Q258:Q321" si="53">_xlfn.NORM.DIST(0,$O258-$K258,SQRT($L258+$P258),TRUE)</f>
        <v>0.48387643490903587</v>
      </c>
      <c r="R258" s="3">
        <f t="shared" ref="R258:R321" si="54">_xlfn.NORM.DIST(0,$O258-$K258-($E258-$F258),SQRT($L258+$P258-$G258),TRUE)</f>
        <v>0.39613101719141663</v>
      </c>
      <c r="S258" s="9">
        <f t="shared" ref="S258:S321" si="55">R258-Q258</f>
        <v>-8.7745417717619234E-2</v>
      </c>
      <c r="T258">
        <f t="shared" ref="T258:T321" si="56">SUMIF($C$2:$C$1301,$C258,$E$2:$E$1301)</f>
        <v>99</v>
      </c>
      <c r="U258">
        <f t="shared" ref="U258:U321" si="57">SUMIF($C$2:$C$1301,$M258,$E$2:$E$1301)</f>
        <v>90</v>
      </c>
      <c r="V258" s="3">
        <f t="shared" ref="V258:V321" si="58">_xlfn.NORM.DIST(0,U258-T258+E258-F258,SQRT(G258),TRUE)</f>
        <v>0.99492868230610954</v>
      </c>
      <c r="W258" s="9">
        <f t="shared" ref="W258:W321" si="59">IFERROR(IF(U258&gt;T258,0,1)-V258,0)</f>
        <v>5.0713176938904647E-3</v>
      </c>
      <c r="AC258"/>
    </row>
    <row r="259" spans="1:29" x14ac:dyDescent="0.25">
      <c r="A259" t="s">
        <v>116</v>
      </c>
      <c r="B259">
        <v>12</v>
      </c>
      <c r="C259" t="s">
        <v>934</v>
      </c>
      <c r="D259" t="s">
        <v>471</v>
      </c>
      <c r="E259">
        <v>0</v>
      </c>
      <c r="F259">
        <v>9.31</v>
      </c>
      <c r="G259">
        <v>30.913599999999999</v>
      </c>
      <c r="H259" t="s">
        <v>87</v>
      </c>
      <c r="I259" t="s">
        <v>87</v>
      </c>
      <c r="J259" t="s">
        <v>35</v>
      </c>
      <c r="K259">
        <f t="shared" si="48"/>
        <v>99.070000000000007</v>
      </c>
      <c r="L259">
        <f t="shared" si="49"/>
        <v>350.10639999999995</v>
      </c>
      <c r="M259" t="str">
        <f t="shared" si="50"/>
        <v>matty-12</v>
      </c>
      <c r="N259" t="str">
        <f>INDEX(Scores!$A$2:$A$11,INDEX(Scores!$AA$2:$AA$131,MATCH(C259,Scores!$AB$2:$AB$131,0)))</f>
        <v>matty</v>
      </c>
      <c r="O259">
        <f t="shared" si="51"/>
        <v>94.28</v>
      </c>
      <c r="P259">
        <f t="shared" si="52"/>
        <v>371.05129999999997</v>
      </c>
      <c r="Q259" s="3">
        <f t="shared" si="53"/>
        <v>0.57078356677741682</v>
      </c>
      <c r="R259" s="3">
        <f t="shared" si="54"/>
        <v>0.43170185004473188</v>
      </c>
      <c r="S259" s="9">
        <f t="shared" si="55"/>
        <v>-0.13908171673268493</v>
      </c>
      <c r="T259">
        <f t="shared" si="56"/>
        <v>80</v>
      </c>
      <c r="U259">
        <f t="shared" si="57"/>
        <v>75</v>
      </c>
      <c r="V259" s="3">
        <f t="shared" si="58"/>
        <v>0.99496972243337778</v>
      </c>
      <c r="W259" s="9">
        <f t="shared" si="59"/>
        <v>5.030277566622221E-3</v>
      </c>
      <c r="AC259"/>
    </row>
    <row r="260" spans="1:29" x14ac:dyDescent="0.25">
      <c r="A260" t="s">
        <v>130</v>
      </c>
      <c r="B260">
        <v>5</v>
      </c>
      <c r="C260" t="s">
        <v>889</v>
      </c>
      <c r="D260" t="s">
        <v>468</v>
      </c>
      <c r="E260">
        <v>1</v>
      </c>
      <c r="F260">
        <v>14.23</v>
      </c>
      <c r="G260">
        <v>55.800899999999999</v>
      </c>
      <c r="H260" t="s">
        <v>47</v>
      </c>
      <c r="I260" t="s">
        <v>47</v>
      </c>
      <c r="J260" t="s">
        <v>23</v>
      </c>
      <c r="K260">
        <f t="shared" si="48"/>
        <v>97.27</v>
      </c>
      <c r="L260">
        <f t="shared" si="49"/>
        <v>430.39269999999999</v>
      </c>
      <c r="M260" t="str">
        <f t="shared" si="50"/>
        <v>seth-5</v>
      </c>
      <c r="N260" t="str">
        <f>INDEX(Scores!$A$2:$A$11,INDEX(Scores!$AA$2:$AA$131,MATCH(C260,Scores!$AB$2:$AB$131,0)))</f>
        <v>seth</v>
      </c>
      <c r="O260">
        <f t="shared" si="51"/>
        <v>98.72999999999999</v>
      </c>
      <c r="P260">
        <f t="shared" si="52"/>
        <v>396.28840000000002</v>
      </c>
      <c r="Q260" s="3">
        <f t="shared" si="53"/>
        <v>0.47975082605670671</v>
      </c>
      <c r="R260" s="3">
        <f t="shared" si="54"/>
        <v>0.29837201737469354</v>
      </c>
      <c r="S260" s="9">
        <f t="shared" si="55"/>
        <v>-0.18137880868201317</v>
      </c>
      <c r="T260">
        <f t="shared" si="56"/>
        <v>96</v>
      </c>
      <c r="U260">
        <f t="shared" si="57"/>
        <v>90</v>
      </c>
      <c r="V260" s="3">
        <f t="shared" si="58"/>
        <v>0.9949778022499437</v>
      </c>
      <c r="W260" s="9">
        <f t="shared" si="59"/>
        <v>5.0221977500563009E-3</v>
      </c>
      <c r="AC260"/>
    </row>
    <row r="261" spans="1:29" x14ac:dyDescent="0.25">
      <c r="A261" t="s">
        <v>130</v>
      </c>
      <c r="B261">
        <v>7</v>
      </c>
      <c r="C261" t="s">
        <v>961</v>
      </c>
      <c r="D261" t="s">
        <v>468</v>
      </c>
      <c r="E261">
        <v>8</v>
      </c>
      <c r="F261">
        <v>11.04</v>
      </c>
      <c r="G261">
        <v>38.812899999999999</v>
      </c>
      <c r="H261" t="s">
        <v>47</v>
      </c>
      <c r="I261" t="s">
        <v>47</v>
      </c>
      <c r="J261" t="s">
        <v>23</v>
      </c>
      <c r="K261">
        <f t="shared" si="48"/>
        <v>103.81000000000002</v>
      </c>
      <c r="L261">
        <f t="shared" si="49"/>
        <v>404.20889999999997</v>
      </c>
      <c r="M261" t="str">
        <f t="shared" si="50"/>
        <v>chad-7</v>
      </c>
      <c r="N261" t="str">
        <f>INDEX(Scores!$A$2:$A$11,INDEX(Scores!$AA$2:$AA$131,MATCH(C261,Scores!$AB$2:$AB$131,0)))</f>
        <v>chad</v>
      </c>
      <c r="O261">
        <f t="shared" si="51"/>
        <v>99.759999999999991</v>
      </c>
      <c r="P261">
        <f t="shared" si="52"/>
        <v>339.923</v>
      </c>
      <c r="Q261" s="3">
        <f t="shared" si="53"/>
        <v>0.55901290364123501</v>
      </c>
      <c r="R261" s="3">
        <f t="shared" si="54"/>
        <v>0.51516819739256536</v>
      </c>
      <c r="S261" s="9">
        <f t="shared" si="55"/>
        <v>-4.3844706248669651E-2</v>
      </c>
      <c r="T261">
        <f t="shared" si="56"/>
        <v>115</v>
      </c>
      <c r="U261">
        <f t="shared" si="57"/>
        <v>102</v>
      </c>
      <c r="V261" s="3">
        <f t="shared" si="58"/>
        <v>0.99498275985001161</v>
      </c>
      <c r="W261" s="9">
        <f t="shared" si="59"/>
        <v>5.017240149988389E-3</v>
      </c>
      <c r="AC261"/>
    </row>
    <row r="262" spans="1:29" x14ac:dyDescent="0.25">
      <c r="A262" t="s">
        <v>177</v>
      </c>
      <c r="B262">
        <v>4</v>
      </c>
      <c r="C262" t="s">
        <v>858</v>
      </c>
      <c r="D262" t="s">
        <v>475</v>
      </c>
      <c r="E262">
        <v>8</v>
      </c>
      <c r="F262">
        <v>8.14</v>
      </c>
      <c r="G262">
        <v>39.0625</v>
      </c>
      <c r="H262" t="s">
        <v>114</v>
      </c>
      <c r="I262" t="s">
        <v>114</v>
      </c>
      <c r="J262" t="s">
        <v>16</v>
      </c>
      <c r="K262">
        <f t="shared" si="48"/>
        <v>115.58999999999999</v>
      </c>
      <c r="L262">
        <f t="shared" si="49"/>
        <v>432.42160000000007</v>
      </c>
      <c r="M262" t="str">
        <f t="shared" si="50"/>
        <v>scott-4</v>
      </c>
      <c r="N262" t="str">
        <f>INDEX(Scores!$A$2:$A$11,INDEX(Scores!$AA$2:$AA$131,MATCH(C262,Scores!$AB$2:$AB$131,0)))</f>
        <v>scott</v>
      </c>
      <c r="O262">
        <f t="shared" si="51"/>
        <v>113.07</v>
      </c>
      <c r="P262">
        <f t="shared" si="52"/>
        <v>452.41279999999995</v>
      </c>
      <c r="Q262" s="3">
        <f t="shared" si="53"/>
        <v>0.53375673014127667</v>
      </c>
      <c r="R262" s="3">
        <f t="shared" si="54"/>
        <v>0.53261188074394994</v>
      </c>
      <c r="S262" s="9">
        <f t="shared" si="55"/>
        <v>-1.1448493973267304E-3</v>
      </c>
      <c r="T262">
        <f t="shared" si="56"/>
        <v>104</v>
      </c>
      <c r="U262">
        <f t="shared" si="57"/>
        <v>88</v>
      </c>
      <c r="V262" s="3">
        <f t="shared" si="58"/>
        <v>0.99509421039737611</v>
      </c>
      <c r="W262" s="9">
        <f t="shared" si="59"/>
        <v>4.905789602623889E-3</v>
      </c>
      <c r="AC262"/>
    </row>
    <row r="263" spans="1:29" x14ac:dyDescent="0.25">
      <c r="A263" t="s">
        <v>132</v>
      </c>
      <c r="B263">
        <v>4</v>
      </c>
      <c r="C263" t="s">
        <v>863</v>
      </c>
      <c r="D263" t="s">
        <v>466</v>
      </c>
      <c r="E263">
        <v>1</v>
      </c>
      <c r="F263">
        <v>9.2100000000000009</v>
      </c>
      <c r="G263">
        <v>61.1524</v>
      </c>
      <c r="H263" t="s">
        <v>466</v>
      </c>
      <c r="I263" t="s">
        <v>47</v>
      </c>
      <c r="J263" t="s">
        <v>35</v>
      </c>
      <c r="K263">
        <f t="shared" si="48"/>
        <v>99.78</v>
      </c>
      <c r="L263">
        <f t="shared" si="49"/>
        <v>369.21209999999996</v>
      </c>
      <c r="M263" t="str">
        <f t="shared" si="50"/>
        <v>perry-4</v>
      </c>
      <c r="N263" t="str">
        <f>INDEX(Scores!$A$2:$A$11,INDEX(Scores!$AA$2:$AA$131,MATCH(C263,Scores!$AB$2:$AB$131,0)))</f>
        <v>perry</v>
      </c>
      <c r="O263">
        <f t="shared" si="51"/>
        <v>111.07000000000001</v>
      </c>
      <c r="P263">
        <f t="shared" si="52"/>
        <v>406.62959999999998</v>
      </c>
      <c r="Q263" s="3">
        <f t="shared" si="53"/>
        <v>0.34261794725331807</v>
      </c>
      <c r="R263" s="3">
        <f t="shared" si="54"/>
        <v>0.23287326455339821</v>
      </c>
      <c r="S263" s="9">
        <f t="shared" si="55"/>
        <v>-0.10974468269991985</v>
      </c>
      <c r="T263">
        <f t="shared" si="56"/>
        <v>84</v>
      </c>
      <c r="U263">
        <f t="shared" si="57"/>
        <v>72</v>
      </c>
      <c r="V263" s="3">
        <f t="shared" si="58"/>
        <v>0.99512255613789513</v>
      </c>
      <c r="W263" s="9">
        <f t="shared" si="59"/>
        <v>4.8774438621048688E-3</v>
      </c>
      <c r="AC263"/>
    </row>
    <row r="264" spans="1:29" x14ac:dyDescent="0.25">
      <c r="A264" t="s">
        <v>105</v>
      </c>
      <c r="B264">
        <v>13</v>
      </c>
      <c r="C264" t="s">
        <v>951</v>
      </c>
      <c r="D264" t="s">
        <v>471</v>
      </c>
      <c r="E264">
        <v>8</v>
      </c>
      <c r="F264">
        <v>10.68</v>
      </c>
      <c r="G264">
        <v>41.088099999999997</v>
      </c>
      <c r="H264" t="s">
        <v>87</v>
      </c>
      <c r="I264" t="s">
        <v>87</v>
      </c>
      <c r="J264" t="s">
        <v>62</v>
      </c>
      <c r="K264">
        <f t="shared" si="48"/>
        <v>113.35</v>
      </c>
      <c r="L264">
        <f t="shared" si="49"/>
        <v>486.24799999999993</v>
      </c>
      <c r="M264" t="str">
        <f t="shared" si="50"/>
        <v>comp-13</v>
      </c>
      <c r="N264" t="str">
        <f>INDEX(Scores!$A$2:$A$11,INDEX(Scores!$AA$2:$AA$131,MATCH(C264,Scores!$AB$2:$AB$131,0)))</f>
        <v>comp</v>
      </c>
      <c r="O264">
        <f t="shared" si="51"/>
        <v>104.63999999999999</v>
      </c>
      <c r="P264">
        <f t="shared" si="52"/>
        <v>400.33339999999998</v>
      </c>
      <c r="Q264" s="3">
        <f t="shared" si="53"/>
        <v>0.6150563098213474</v>
      </c>
      <c r="R264" s="3">
        <f t="shared" si="54"/>
        <v>0.58214258390325013</v>
      </c>
      <c r="S264" s="9">
        <f t="shared" si="55"/>
        <v>-3.291372591809727E-2</v>
      </c>
      <c r="T264">
        <f t="shared" si="56"/>
        <v>95</v>
      </c>
      <c r="U264">
        <f t="shared" si="57"/>
        <v>81</v>
      </c>
      <c r="V264" s="3">
        <f t="shared" si="58"/>
        <v>0.99536839427128465</v>
      </c>
      <c r="W264" s="9">
        <f t="shared" si="59"/>
        <v>4.6316057287153489E-3</v>
      </c>
      <c r="AC264"/>
    </row>
    <row r="265" spans="1:29" x14ac:dyDescent="0.25">
      <c r="A265" t="s">
        <v>137</v>
      </c>
      <c r="B265">
        <v>1</v>
      </c>
      <c r="C265" t="s">
        <v>506</v>
      </c>
      <c r="D265" t="s">
        <v>466</v>
      </c>
      <c r="E265">
        <v>-1</v>
      </c>
      <c r="F265">
        <v>7.25</v>
      </c>
      <c r="G265">
        <v>29.9209</v>
      </c>
      <c r="H265" t="s">
        <v>466</v>
      </c>
      <c r="I265" t="s">
        <v>87</v>
      </c>
      <c r="J265" t="s">
        <v>27</v>
      </c>
      <c r="K265">
        <f t="shared" si="48"/>
        <v>110.7</v>
      </c>
      <c r="L265">
        <f t="shared" si="49"/>
        <v>433.44330000000002</v>
      </c>
      <c r="M265" t="str">
        <f t="shared" si="50"/>
        <v>seth-1</v>
      </c>
      <c r="N265" t="str">
        <f>INDEX(Scores!$A$2:$A$11,INDEX(Scores!$AA$2:$AA$131,MATCH(C265,Scores!$AB$2:$AB$131,0)))</f>
        <v>seth</v>
      </c>
      <c r="O265">
        <f t="shared" si="51"/>
        <v>111.07</v>
      </c>
      <c r="P265">
        <f t="shared" si="52"/>
        <v>422.00569999999999</v>
      </c>
      <c r="Q265" s="3">
        <f t="shared" si="53"/>
        <v>0.49495335047896771</v>
      </c>
      <c r="R265" s="3">
        <f t="shared" si="54"/>
        <v>0.38208328735991232</v>
      </c>
      <c r="S265" s="9">
        <f t="shared" si="55"/>
        <v>-0.1128700631190554</v>
      </c>
      <c r="T265">
        <f t="shared" si="56"/>
        <v>77</v>
      </c>
      <c r="U265">
        <f t="shared" si="57"/>
        <v>71</v>
      </c>
      <c r="V265" s="3">
        <f t="shared" si="58"/>
        <v>0.9954078799529219</v>
      </c>
      <c r="W265" s="9">
        <f t="shared" si="59"/>
        <v>4.5921200470780965E-3</v>
      </c>
      <c r="AC265"/>
    </row>
    <row r="266" spans="1:29" x14ac:dyDescent="0.25">
      <c r="A266" t="s">
        <v>89</v>
      </c>
      <c r="B266">
        <v>6</v>
      </c>
      <c r="C266" t="s">
        <v>920</v>
      </c>
      <c r="D266" t="s">
        <v>468</v>
      </c>
      <c r="E266">
        <v>13</v>
      </c>
      <c r="F266">
        <v>12.35</v>
      </c>
      <c r="G266">
        <v>49.2804</v>
      </c>
      <c r="H266" t="s">
        <v>47</v>
      </c>
      <c r="I266" t="s">
        <v>47</v>
      </c>
      <c r="J266" t="s">
        <v>55</v>
      </c>
      <c r="K266">
        <f t="shared" si="48"/>
        <v>108.8</v>
      </c>
      <c r="L266">
        <f t="shared" si="49"/>
        <v>404.29040000000003</v>
      </c>
      <c r="M266" t="str">
        <f t="shared" si="50"/>
        <v>cory-6</v>
      </c>
      <c r="N266" t="str">
        <f>INDEX(Scores!$A$2:$A$11,INDEX(Scores!$AA$2:$AA$131,MATCH(C266,Scores!$AB$2:$AB$131,0)))</f>
        <v>cory</v>
      </c>
      <c r="O266">
        <f t="shared" si="51"/>
        <v>102.10000000000001</v>
      </c>
      <c r="P266">
        <f t="shared" si="52"/>
        <v>445.16630000000004</v>
      </c>
      <c r="Q266" s="3">
        <f t="shared" si="53"/>
        <v>0.59090810623639012</v>
      </c>
      <c r="R266" s="3">
        <f t="shared" si="54"/>
        <v>0.60250374638168058</v>
      </c>
      <c r="S266" s="9">
        <f t="shared" si="55"/>
        <v>1.1595640145290464E-2</v>
      </c>
      <c r="T266">
        <f t="shared" si="56"/>
        <v>104</v>
      </c>
      <c r="U266">
        <f t="shared" si="57"/>
        <v>85</v>
      </c>
      <c r="V266" s="3">
        <f t="shared" si="58"/>
        <v>0.99552502579271407</v>
      </c>
      <c r="W266" s="9">
        <f t="shared" si="59"/>
        <v>4.4749742072859311E-3</v>
      </c>
      <c r="AC266"/>
    </row>
    <row r="267" spans="1:29" x14ac:dyDescent="0.25">
      <c r="A267" t="s">
        <v>252</v>
      </c>
      <c r="B267">
        <v>4</v>
      </c>
      <c r="C267" t="s">
        <v>865</v>
      </c>
      <c r="D267" t="s">
        <v>466</v>
      </c>
      <c r="E267">
        <v>4</v>
      </c>
      <c r="F267">
        <v>7.5</v>
      </c>
      <c r="G267">
        <v>35.046399999999998</v>
      </c>
      <c r="H267" t="s">
        <v>466</v>
      </c>
      <c r="I267" t="s">
        <v>87</v>
      </c>
      <c r="J267" t="s">
        <v>62</v>
      </c>
      <c r="K267">
        <f t="shared" si="48"/>
        <v>99.8</v>
      </c>
      <c r="L267">
        <f t="shared" si="49"/>
        <v>351.46400000000006</v>
      </c>
      <c r="M267" t="str">
        <f t="shared" si="50"/>
        <v>seth-4</v>
      </c>
      <c r="N267" t="str">
        <f>INDEX(Scores!$A$2:$A$11,INDEX(Scores!$AA$2:$AA$131,MATCH(C267,Scores!$AB$2:$AB$131,0)))</f>
        <v>seth</v>
      </c>
      <c r="O267">
        <f t="shared" si="51"/>
        <v>104.32</v>
      </c>
      <c r="P267">
        <f t="shared" si="52"/>
        <v>390.96559999999999</v>
      </c>
      <c r="Q267" s="3">
        <f t="shared" si="53"/>
        <v>0.43412317323121657</v>
      </c>
      <c r="R267" s="3">
        <f t="shared" si="54"/>
        <v>0.38150082932657303</v>
      </c>
      <c r="S267" s="9">
        <f t="shared" si="55"/>
        <v>-5.2622343904643543E-2</v>
      </c>
      <c r="T267">
        <f t="shared" si="56"/>
        <v>123</v>
      </c>
      <c r="U267">
        <f t="shared" si="57"/>
        <v>111</v>
      </c>
      <c r="V267" s="3">
        <f t="shared" si="58"/>
        <v>0.9955808111320964</v>
      </c>
      <c r="W267" s="9">
        <f t="shared" si="59"/>
        <v>4.4191888679036007E-3</v>
      </c>
      <c r="AC267"/>
    </row>
    <row r="268" spans="1:29" x14ac:dyDescent="0.25">
      <c r="A268" t="s">
        <v>140</v>
      </c>
      <c r="B268">
        <v>11</v>
      </c>
      <c r="C268" t="s">
        <v>925</v>
      </c>
      <c r="D268" t="s">
        <v>471</v>
      </c>
      <c r="E268">
        <v>15</v>
      </c>
      <c r="F268">
        <v>8.42</v>
      </c>
      <c r="G268">
        <v>26.112100000000002</v>
      </c>
      <c r="H268" t="s">
        <v>87</v>
      </c>
      <c r="I268" t="s">
        <v>87</v>
      </c>
      <c r="J268" t="s">
        <v>55</v>
      </c>
      <c r="K268">
        <f t="shared" si="48"/>
        <v>110.11</v>
      </c>
      <c r="L268">
        <f t="shared" si="49"/>
        <v>412.79880000000003</v>
      </c>
      <c r="M268" t="str">
        <f t="shared" si="50"/>
        <v>seth-11</v>
      </c>
      <c r="N268" t="str">
        <f>INDEX(Scores!$A$2:$A$11,INDEX(Scores!$AA$2:$AA$131,MATCH(C268,Scores!$AB$2:$AB$131,0)))</f>
        <v>seth</v>
      </c>
      <c r="O268">
        <f t="shared" si="51"/>
        <v>98.329999999999984</v>
      </c>
      <c r="P268">
        <f t="shared" si="52"/>
        <v>378.70709999999997</v>
      </c>
      <c r="Q268" s="3">
        <f t="shared" si="53"/>
        <v>0.66228767586387005</v>
      </c>
      <c r="R268" s="3">
        <f t="shared" si="54"/>
        <v>0.74653847683555263</v>
      </c>
      <c r="S268" s="9">
        <f t="shared" si="55"/>
        <v>8.4250800971682582E-2</v>
      </c>
      <c r="T268">
        <f t="shared" si="56"/>
        <v>131</v>
      </c>
      <c r="U268">
        <f t="shared" si="57"/>
        <v>111</v>
      </c>
      <c r="V268" s="3">
        <f t="shared" si="58"/>
        <v>0.99568308952108897</v>
      </c>
      <c r="W268" s="9">
        <f t="shared" si="59"/>
        <v>4.3169104789110291E-3</v>
      </c>
      <c r="AC268"/>
    </row>
    <row r="269" spans="1:29" x14ac:dyDescent="0.25">
      <c r="A269" t="s">
        <v>21</v>
      </c>
      <c r="B269">
        <v>13</v>
      </c>
      <c r="C269" t="s">
        <v>951</v>
      </c>
      <c r="D269" t="s">
        <v>467</v>
      </c>
      <c r="E269">
        <v>14</v>
      </c>
      <c r="F269">
        <v>19.91</v>
      </c>
      <c r="G269">
        <v>57.153599999999997</v>
      </c>
      <c r="H269" t="s">
        <v>15</v>
      </c>
      <c r="I269" t="s">
        <v>15</v>
      </c>
      <c r="J269" t="s">
        <v>62</v>
      </c>
      <c r="K269">
        <f t="shared" si="48"/>
        <v>113.35</v>
      </c>
      <c r="L269">
        <f t="shared" si="49"/>
        <v>486.24799999999993</v>
      </c>
      <c r="M269" t="str">
        <f t="shared" si="50"/>
        <v>comp-13</v>
      </c>
      <c r="N269" t="str">
        <f>INDEX(Scores!$A$2:$A$11,INDEX(Scores!$AA$2:$AA$131,MATCH(C269,Scores!$AB$2:$AB$131,0)))</f>
        <v>comp</v>
      </c>
      <c r="O269">
        <f t="shared" si="51"/>
        <v>104.63999999999999</v>
      </c>
      <c r="P269">
        <f t="shared" si="52"/>
        <v>400.33339999999998</v>
      </c>
      <c r="Q269" s="3">
        <f t="shared" si="53"/>
        <v>0.6150563098213474</v>
      </c>
      <c r="R269" s="3">
        <f t="shared" si="54"/>
        <v>0.53872532347546609</v>
      </c>
      <c r="S269" s="9">
        <f t="shared" si="55"/>
        <v>-7.6330986345881313E-2</v>
      </c>
      <c r="T269">
        <f t="shared" si="56"/>
        <v>95</v>
      </c>
      <c r="U269">
        <f t="shared" si="57"/>
        <v>81</v>
      </c>
      <c r="V269" s="3">
        <f t="shared" si="58"/>
        <v>0.99577572601932529</v>
      </c>
      <c r="W269" s="9">
        <f t="shared" si="59"/>
        <v>4.2242739806747087E-3</v>
      </c>
      <c r="AC269"/>
    </row>
    <row r="270" spans="1:29" x14ac:dyDescent="0.25">
      <c r="A270" t="s">
        <v>138</v>
      </c>
      <c r="B270">
        <v>2</v>
      </c>
      <c r="C270" t="s">
        <v>630</v>
      </c>
      <c r="D270" t="s">
        <v>466</v>
      </c>
      <c r="E270">
        <v>7</v>
      </c>
      <c r="F270">
        <v>8.34</v>
      </c>
      <c r="G270">
        <v>25.6036</v>
      </c>
      <c r="H270" t="s">
        <v>466</v>
      </c>
      <c r="I270" t="s">
        <v>47</v>
      </c>
      <c r="J270" t="s">
        <v>44</v>
      </c>
      <c r="K270">
        <f t="shared" si="48"/>
        <v>91.78</v>
      </c>
      <c r="L270">
        <f t="shared" si="49"/>
        <v>333.71719999999993</v>
      </c>
      <c r="M270" t="str">
        <f t="shared" si="50"/>
        <v>matty-2</v>
      </c>
      <c r="N270" t="str">
        <f>INDEX(Scores!$A$2:$A$11,INDEX(Scores!$AA$2:$AA$131,MATCH(C270,Scores!$AB$2:$AB$131,0)))</f>
        <v>matty</v>
      </c>
      <c r="O270">
        <f t="shared" si="51"/>
        <v>101.3</v>
      </c>
      <c r="P270">
        <f t="shared" si="52"/>
        <v>329.14109999999999</v>
      </c>
      <c r="Q270" s="3">
        <f t="shared" si="53"/>
        <v>0.35577854462426967</v>
      </c>
      <c r="R270" s="3">
        <f t="shared" si="54"/>
        <v>0.33352403785792306</v>
      </c>
      <c r="S270" s="9">
        <f t="shared" si="55"/>
        <v>-2.2254506766346605E-2</v>
      </c>
      <c r="T270">
        <f t="shared" si="56"/>
        <v>82</v>
      </c>
      <c r="U270">
        <f t="shared" si="57"/>
        <v>70</v>
      </c>
      <c r="V270" s="3">
        <f t="shared" si="58"/>
        <v>0.99581000627949323</v>
      </c>
      <c r="W270" s="9">
        <f t="shared" si="59"/>
        <v>4.1899937205067683E-3</v>
      </c>
      <c r="AC270"/>
    </row>
    <row r="271" spans="1:29" x14ac:dyDescent="0.25">
      <c r="A271" t="s">
        <v>95</v>
      </c>
      <c r="B271">
        <v>7</v>
      </c>
      <c r="C271" t="s">
        <v>929</v>
      </c>
      <c r="D271" t="s">
        <v>467</v>
      </c>
      <c r="E271">
        <v>25</v>
      </c>
      <c r="F271">
        <v>20.22</v>
      </c>
      <c r="G271">
        <v>53.144100000000002</v>
      </c>
      <c r="H271" t="s">
        <v>15</v>
      </c>
      <c r="I271" t="s">
        <v>15</v>
      </c>
      <c r="J271" t="s">
        <v>35</v>
      </c>
      <c r="K271">
        <f t="shared" si="48"/>
        <v>106.81</v>
      </c>
      <c r="L271">
        <f t="shared" si="49"/>
        <v>351.64060000000001</v>
      </c>
      <c r="M271" t="str">
        <f t="shared" si="50"/>
        <v>aj-7</v>
      </c>
      <c r="N271" t="str">
        <f>INDEX(Scores!$A$2:$A$11,INDEX(Scores!$AA$2:$AA$131,MATCH(C271,Scores!$AB$2:$AB$131,0)))</f>
        <v>aj</v>
      </c>
      <c r="O271">
        <f t="shared" si="51"/>
        <v>114.01999999999998</v>
      </c>
      <c r="P271">
        <f t="shared" si="52"/>
        <v>381.58529999999996</v>
      </c>
      <c r="Q271" s="3">
        <f t="shared" si="53"/>
        <v>0.39501702421215146</v>
      </c>
      <c r="R271" s="3">
        <f t="shared" si="54"/>
        <v>0.46288002654946037</v>
      </c>
      <c r="S271" s="9">
        <f t="shared" si="55"/>
        <v>6.7863002337308909E-2</v>
      </c>
      <c r="T271">
        <f t="shared" si="56"/>
        <v>117</v>
      </c>
      <c r="U271">
        <f t="shared" si="57"/>
        <v>93</v>
      </c>
      <c r="V271" s="3">
        <f t="shared" si="58"/>
        <v>0.99581154604791233</v>
      </c>
      <c r="W271" s="9">
        <f t="shared" si="59"/>
        <v>4.1884539520876674E-3</v>
      </c>
      <c r="AC271"/>
    </row>
    <row r="272" spans="1:29" x14ac:dyDescent="0.25">
      <c r="A272" t="s">
        <v>130</v>
      </c>
      <c r="B272">
        <v>9</v>
      </c>
      <c r="C272" t="s">
        <v>963</v>
      </c>
      <c r="D272" t="s">
        <v>468</v>
      </c>
      <c r="E272">
        <v>12</v>
      </c>
      <c r="F272">
        <v>10.94</v>
      </c>
      <c r="G272">
        <v>46.24</v>
      </c>
      <c r="H272" t="s">
        <v>47</v>
      </c>
      <c r="I272" t="s">
        <v>47</v>
      </c>
      <c r="J272" t="s">
        <v>23</v>
      </c>
      <c r="K272">
        <f t="shared" si="48"/>
        <v>98.35</v>
      </c>
      <c r="L272">
        <f t="shared" si="49"/>
        <v>385.97739999999999</v>
      </c>
      <c r="M272" t="str">
        <f t="shared" si="50"/>
        <v>aj-9</v>
      </c>
      <c r="N272" t="str">
        <f>INDEX(Scores!$A$2:$A$11,INDEX(Scores!$AA$2:$AA$131,MATCH(C272,Scores!$AB$2:$AB$131,0)))</f>
        <v>aj</v>
      </c>
      <c r="O272">
        <f t="shared" si="51"/>
        <v>102.03999999999999</v>
      </c>
      <c r="P272">
        <f t="shared" si="52"/>
        <v>392.2131</v>
      </c>
      <c r="Q272" s="3">
        <f t="shared" si="53"/>
        <v>0.4473827117902357</v>
      </c>
      <c r="R272" s="3">
        <f t="shared" si="54"/>
        <v>0.4612794623893019</v>
      </c>
      <c r="S272" s="9">
        <f t="shared" si="55"/>
        <v>1.3896750599066199E-2</v>
      </c>
      <c r="T272">
        <f t="shared" si="56"/>
        <v>105</v>
      </c>
      <c r="U272">
        <f t="shared" si="57"/>
        <v>86</v>
      </c>
      <c r="V272" s="3">
        <f t="shared" si="58"/>
        <v>0.99583306324506937</v>
      </c>
      <c r="W272" s="9">
        <f t="shared" si="59"/>
        <v>4.166936754930628E-3</v>
      </c>
      <c r="AC272"/>
    </row>
    <row r="273" spans="1:29" x14ac:dyDescent="0.25">
      <c r="A273" t="s">
        <v>1105</v>
      </c>
      <c r="B273">
        <v>11</v>
      </c>
      <c r="C273" t="s">
        <v>941</v>
      </c>
      <c r="D273" t="s">
        <v>473</v>
      </c>
      <c r="E273">
        <v>4</v>
      </c>
      <c r="F273">
        <v>7.23</v>
      </c>
      <c r="G273">
        <v>21.3444</v>
      </c>
      <c r="H273" t="s">
        <v>87</v>
      </c>
      <c r="I273" t="s">
        <v>87</v>
      </c>
      <c r="J273" t="s">
        <v>27</v>
      </c>
      <c r="K273">
        <f t="shared" si="48"/>
        <v>98.580000000000013</v>
      </c>
      <c r="L273">
        <f t="shared" si="49"/>
        <v>364.4375</v>
      </c>
      <c r="M273" t="str">
        <f t="shared" si="50"/>
        <v>matty-11</v>
      </c>
      <c r="N273" t="str">
        <f>INDEX(Scores!$A$2:$A$11,INDEX(Scores!$AA$2:$AA$131,MATCH(C273,Scores!$AB$2:$AB$131,0)))</f>
        <v>matty</v>
      </c>
      <c r="O273">
        <f t="shared" si="51"/>
        <v>88.670000000000016</v>
      </c>
      <c r="P273">
        <f t="shared" si="52"/>
        <v>334.39179999999999</v>
      </c>
      <c r="Q273" s="3">
        <f t="shared" si="53"/>
        <v>0.64612380466415886</v>
      </c>
      <c r="R273" s="3">
        <f t="shared" si="54"/>
        <v>0.60127217931145849</v>
      </c>
      <c r="S273" s="9">
        <f t="shared" si="55"/>
        <v>-4.4851625352700375E-2</v>
      </c>
      <c r="T273">
        <f t="shared" si="56"/>
        <v>111</v>
      </c>
      <c r="U273">
        <f t="shared" si="57"/>
        <v>102</v>
      </c>
      <c r="V273" s="3">
        <f t="shared" si="58"/>
        <v>0.99594176691847225</v>
      </c>
      <c r="W273" s="9">
        <f t="shared" si="59"/>
        <v>4.0582330815277512E-3</v>
      </c>
      <c r="AC273"/>
    </row>
    <row r="274" spans="1:29" x14ac:dyDescent="0.25">
      <c r="A274" t="s">
        <v>159</v>
      </c>
      <c r="B274">
        <v>5</v>
      </c>
      <c r="C274" t="s">
        <v>884</v>
      </c>
      <c r="D274" t="s">
        <v>473</v>
      </c>
      <c r="E274">
        <v>13</v>
      </c>
      <c r="F274">
        <v>10.07</v>
      </c>
      <c r="G274">
        <v>62.41</v>
      </c>
      <c r="H274" t="s">
        <v>87</v>
      </c>
      <c r="I274" t="s">
        <v>87</v>
      </c>
      <c r="J274" t="s">
        <v>40</v>
      </c>
      <c r="K274">
        <f t="shared" si="48"/>
        <v>89.689999999999984</v>
      </c>
      <c r="L274">
        <f t="shared" si="49"/>
        <v>445.42419999999998</v>
      </c>
      <c r="M274" t="e">
        <f t="shared" si="50"/>
        <v>#N/A</v>
      </c>
      <c r="N274" t="e">
        <f>INDEX(Scores!$A$2:$A$11,INDEX(Scores!$AA$2:$AA$131,MATCH(C274,Scores!$AB$2:$AB$131,0)))</f>
        <v>#N/A</v>
      </c>
      <c r="O274">
        <f t="shared" si="51"/>
        <v>0</v>
      </c>
      <c r="P274">
        <f t="shared" si="52"/>
        <v>0</v>
      </c>
      <c r="Q274" s="3">
        <f t="shared" si="53"/>
        <v>0.99998929661032787</v>
      </c>
      <c r="R274" s="3">
        <f t="shared" si="54"/>
        <v>0.99999889154335186</v>
      </c>
      <c r="S274" s="9">
        <f t="shared" si="55"/>
        <v>9.5949330239930575E-6</v>
      </c>
      <c r="T274">
        <f t="shared" si="56"/>
        <v>93</v>
      </c>
      <c r="U274">
        <f t="shared" si="57"/>
        <v>0</v>
      </c>
      <c r="V274" s="3">
        <f t="shared" si="58"/>
        <v>1</v>
      </c>
      <c r="W274" s="9">
        <f t="shared" si="59"/>
        <v>0</v>
      </c>
      <c r="AC274"/>
    </row>
    <row r="275" spans="1:29" x14ac:dyDescent="0.25">
      <c r="A275" t="s">
        <v>131</v>
      </c>
      <c r="B275">
        <v>2</v>
      </c>
      <c r="C275" t="s">
        <v>633</v>
      </c>
      <c r="D275" t="s">
        <v>469</v>
      </c>
      <c r="E275">
        <v>26</v>
      </c>
      <c r="F275">
        <v>9.2799999999999994</v>
      </c>
      <c r="G275">
        <v>41.7316</v>
      </c>
      <c r="H275" t="s">
        <v>47</v>
      </c>
      <c r="I275" t="s">
        <v>47</v>
      </c>
      <c r="J275" t="s">
        <v>35</v>
      </c>
      <c r="K275">
        <f t="shared" si="48"/>
        <v>100.92999999999999</v>
      </c>
      <c r="L275">
        <f t="shared" si="49"/>
        <v>374.85250000000002</v>
      </c>
      <c r="M275" t="str">
        <f t="shared" si="50"/>
        <v>scott-2</v>
      </c>
      <c r="N275" t="str">
        <f>INDEX(Scores!$A$2:$A$11,INDEX(Scores!$AA$2:$AA$131,MATCH(C275,Scores!$AB$2:$AB$131,0)))</f>
        <v>scott</v>
      </c>
      <c r="O275">
        <f t="shared" si="51"/>
        <v>103.25</v>
      </c>
      <c r="P275">
        <f t="shared" si="52"/>
        <v>377.00829999999996</v>
      </c>
      <c r="Q275" s="3">
        <f t="shared" si="53"/>
        <v>0.46628591266319391</v>
      </c>
      <c r="R275" s="3">
        <f t="shared" si="54"/>
        <v>0.70553015893260329</v>
      </c>
      <c r="S275" s="9">
        <f t="shared" si="55"/>
        <v>0.23924424626940938</v>
      </c>
      <c r="T275">
        <f t="shared" si="56"/>
        <v>140</v>
      </c>
      <c r="U275">
        <f t="shared" si="57"/>
        <v>106</v>
      </c>
      <c r="V275" s="3">
        <f t="shared" si="58"/>
        <v>0.99626267477382247</v>
      </c>
      <c r="W275" s="9">
        <f t="shared" si="59"/>
        <v>3.7373252261775347E-3</v>
      </c>
      <c r="AC275"/>
    </row>
    <row r="276" spans="1:29" x14ac:dyDescent="0.25">
      <c r="A276" t="s">
        <v>127</v>
      </c>
      <c r="B276">
        <v>1</v>
      </c>
      <c r="C276" t="s">
        <v>501</v>
      </c>
      <c r="D276" t="s">
        <v>469</v>
      </c>
      <c r="E276">
        <v>13</v>
      </c>
      <c r="F276">
        <v>10.199999999999999</v>
      </c>
      <c r="G276">
        <v>36.120100000000001</v>
      </c>
      <c r="H276" t="s">
        <v>47</v>
      </c>
      <c r="I276" t="s">
        <v>47</v>
      </c>
      <c r="J276" t="s">
        <v>62</v>
      </c>
      <c r="K276">
        <f t="shared" si="48"/>
        <v>101.75</v>
      </c>
      <c r="L276">
        <f t="shared" si="49"/>
        <v>333.15260000000001</v>
      </c>
      <c r="M276" t="str">
        <f t="shared" si="50"/>
        <v>matty-1</v>
      </c>
      <c r="N276" t="str">
        <f>INDEX(Scores!$A$2:$A$11,INDEX(Scores!$AA$2:$AA$131,MATCH(C276,Scores!$AB$2:$AB$131,0)))</f>
        <v>matty</v>
      </c>
      <c r="O276">
        <f t="shared" si="51"/>
        <v>96.11</v>
      </c>
      <c r="P276">
        <f t="shared" si="52"/>
        <v>397.37959999999998</v>
      </c>
      <c r="Q276" s="3">
        <f t="shared" si="53"/>
        <v>0.58264695809701372</v>
      </c>
      <c r="R276" s="3">
        <f t="shared" si="54"/>
        <v>0.62562307286188856</v>
      </c>
      <c r="S276" s="9">
        <f t="shared" si="55"/>
        <v>4.297611476487484E-2</v>
      </c>
      <c r="T276">
        <f t="shared" si="56"/>
        <v>95</v>
      </c>
      <c r="U276">
        <f t="shared" si="57"/>
        <v>76</v>
      </c>
      <c r="V276" s="3">
        <f t="shared" si="58"/>
        <v>0.99648592508959899</v>
      </c>
      <c r="W276" s="9">
        <f t="shared" si="59"/>
        <v>3.5140749104010105E-3</v>
      </c>
      <c r="AC276"/>
    </row>
    <row r="277" spans="1:29" x14ac:dyDescent="0.25">
      <c r="A277" t="s">
        <v>462</v>
      </c>
      <c r="B277">
        <v>2</v>
      </c>
      <c r="C277" t="s">
        <v>638</v>
      </c>
      <c r="D277" t="s">
        <v>478</v>
      </c>
      <c r="E277">
        <v>6</v>
      </c>
      <c r="F277">
        <v>7.14</v>
      </c>
      <c r="G277">
        <v>14.137600000000001</v>
      </c>
      <c r="H277" t="s">
        <v>478</v>
      </c>
      <c r="I277" t="s">
        <v>478</v>
      </c>
      <c r="J277" t="s">
        <v>62</v>
      </c>
      <c r="K277">
        <f t="shared" si="48"/>
        <v>102.72000000000001</v>
      </c>
      <c r="L277">
        <f t="shared" si="49"/>
        <v>348.54960000000005</v>
      </c>
      <c r="M277" t="str">
        <f t="shared" si="50"/>
        <v>aj-2</v>
      </c>
      <c r="N277" t="str">
        <f>INDEX(Scores!$A$2:$A$11,INDEX(Scores!$AA$2:$AA$131,MATCH(C277,Scores!$AB$2:$AB$131,0)))</f>
        <v>aj</v>
      </c>
      <c r="O277">
        <f t="shared" si="51"/>
        <v>103.77999999999999</v>
      </c>
      <c r="P277">
        <f t="shared" si="52"/>
        <v>338.9511</v>
      </c>
      <c r="Q277" s="3">
        <f t="shared" si="53"/>
        <v>0.48387643490903587</v>
      </c>
      <c r="R277" s="3">
        <f t="shared" si="54"/>
        <v>0.46621778911099743</v>
      </c>
      <c r="S277" s="9">
        <f t="shared" si="55"/>
        <v>-1.7658645798038441E-2</v>
      </c>
      <c r="T277">
        <f t="shared" si="56"/>
        <v>99</v>
      </c>
      <c r="U277">
        <f t="shared" si="57"/>
        <v>90</v>
      </c>
      <c r="V277" s="3">
        <f t="shared" si="58"/>
        <v>0.9964996242449583</v>
      </c>
      <c r="W277" s="9">
        <f t="shared" si="59"/>
        <v>3.5003757550416958E-3</v>
      </c>
      <c r="AC277"/>
    </row>
    <row r="278" spans="1:29" x14ac:dyDescent="0.25">
      <c r="A278" t="s">
        <v>111</v>
      </c>
      <c r="B278">
        <v>11</v>
      </c>
      <c r="C278" t="s">
        <v>925</v>
      </c>
      <c r="D278" t="s">
        <v>469</v>
      </c>
      <c r="E278">
        <v>11</v>
      </c>
      <c r="F278">
        <v>12.24</v>
      </c>
      <c r="G278">
        <v>61.779600000000002</v>
      </c>
      <c r="H278" t="s">
        <v>47</v>
      </c>
      <c r="I278" t="s">
        <v>47</v>
      </c>
      <c r="J278" t="s">
        <v>55</v>
      </c>
      <c r="K278">
        <f t="shared" si="48"/>
        <v>110.11</v>
      </c>
      <c r="L278">
        <f t="shared" si="49"/>
        <v>412.79880000000003</v>
      </c>
      <c r="M278" t="str">
        <f t="shared" si="50"/>
        <v>seth-11</v>
      </c>
      <c r="N278" t="str">
        <f>INDEX(Scores!$A$2:$A$11,INDEX(Scores!$AA$2:$AA$131,MATCH(C278,Scores!$AB$2:$AB$131,0)))</f>
        <v>seth</v>
      </c>
      <c r="O278">
        <f t="shared" si="51"/>
        <v>98.329999999999984</v>
      </c>
      <c r="P278">
        <f t="shared" si="52"/>
        <v>378.70709999999997</v>
      </c>
      <c r="Q278" s="3">
        <f t="shared" si="53"/>
        <v>0.66228767586387005</v>
      </c>
      <c r="R278" s="3">
        <f t="shared" si="54"/>
        <v>0.65179681607229933</v>
      </c>
      <c r="S278" s="9">
        <f t="shared" si="55"/>
        <v>-1.0490859791570717E-2</v>
      </c>
      <c r="T278">
        <f t="shared" si="56"/>
        <v>131</v>
      </c>
      <c r="U278">
        <f t="shared" si="57"/>
        <v>111</v>
      </c>
      <c r="V278" s="3">
        <f t="shared" si="58"/>
        <v>0.99655681728395262</v>
      </c>
      <c r="W278" s="9">
        <f t="shared" si="59"/>
        <v>3.4431827160473771E-3</v>
      </c>
      <c r="AC278"/>
    </row>
    <row r="279" spans="1:29" x14ac:dyDescent="0.25">
      <c r="A279" t="s">
        <v>999</v>
      </c>
      <c r="B279">
        <v>5</v>
      </c>
      <c r="C279" t="s">
        <v>885</v>
      </c>
      <c r="D279" t="s">
        <v>478</v>
      </c>
      <c r="E279">
        <v>2</v>
      </c>
      <c r="F279">
        <v>7.21</v>
      </c>
      <c r="G279">
        <v>14.212899999999999</v>
      </c>
      <c r="H279" t="s">
        <v>478</v>
      </c>
      <c r="I279" t="s">
        <v>478</v>
      </c>
      <c r="J279" t="s">
        <v>35</v>
      </c>
      <c r="K279">
        <f t="shared" si="48"/>
        <v>93.5</v>
      </c>
      <c r="L279">
        <f t="shared" si="49"/>
        <v>346.9006</v>
      </c>
      <c r="M279" t="str">
        <f t="shared" si="50"/>
        <v>cory-5</v>
      </c>
      <c r="N279" t="str">
        <f>INDEX(Scores!$A$2:$A$11,INDEX(Scores!$AA$2:$AA$131,MATCH(C279,Scores!$AB$2:$AB$131,0)))</f>
        <v>cory</v>
      </c>
      <c r="O279">
        <f t="shared" si="51"/>
        <v>109.91</v>
      </c>
      <c r="P279">
        <f t="shared" si="52"/>
        <v>349.51409999999998</v>
      </c>
      <c r="Q279" s="3">
        <f t="shared" si="53"/>
        <v>0.26702544199612877</v>
      </c>
      <c r="R279" s="3">
        <f t="shared" si="54"/>
        <v>0.20390601053811855</v>
      </c>
      <c r="S279" s="9">
        <f t="shared" si="55"/>
        <v>-6.3119431458010217E-2</v>
      </c>
      <c r="T279">
        <f t="shared" si="56"/>
        <v>105</v>
      </c>
      <c r="U279">
        <f t="shared" si="57"/>
        <v>100</v>
      </c>
      <c r="V279" s="3">
        <f t="shared" si="58"/>
        <v>0.9966177704119602</v>
      </c>
      <c r="W279" s="9">
        <f t="shared" si="59"/>
        <v>3.3822295880397979E-3</v>
      </c>
      <c r="AC279"/>
    </row>
    <row r="280" spans="1:29" x14ac:dyDescent="0.25">
      <c r="A280" t="s">
        <v>136</v>
      </c>
      <c r="B280">
        <v>6</v>
      </c>
      <c r="C280" t="s">
        <v>952</v>
      </c>
      <c r="D280" t="s">
        <v>466</v>
      </c>
      <c r="E280">
        <v>11</v>
      </c>
      <c r="F280">
        <v>8.91</v>
      </c>
      <c r="G280">
        <v>43.428100000000001</v>
      </c>
      <c r="H280" t="s">
        <v>466</v>
      </c>
      <c r="I280" t="s">
        <v>87</v>
      </c>
      <c r="J280" t="s">
        <v>40</v>
      </c>
      <c r="K280">
        <f t="shared" si="48"/>
        <v>86.090000000000018</v>
      </c>
      <c r="L280">
        <f t="shared" si="49"/>
        <v>366.05880000000002</v>
      </c>
      <c r="M280" t="e">
        <f t="shared" si="50"/>
        <v>#N/A</v>
      </c>
      <c r="N280" t="e">
        <f>INDEX(Scores!$A$2:$A$11,INDEX(Scores!$AA$2:$AA$131,MATCH(C280,Scores!$AB$2:$AB$131,0)))</f>
        <v>#N/A</v>
      </c>
      <c r="O280">
        <f t="shared" si="51"/>
        <v>0</v>
      </c>
      <c r="P280">
        <f t="shared" si="52"/>
        <v>0</v>
      </c>
      <c r="Q280" s="3">
        <f t="shared" si="53"/>
        <v>0.99999659648730843</v>
      </c>
      <c r="R280" s="3">
        <f t="shared" si="54"/>
        <v>0.99999954292850102</v>
      </c>
      <c r="S280" s="9">
        <f t="shared" si="55"/>
        <v>2.9464411925861356E-6</v>
      </c>
      <c r="T280">
        <f t="shared" si="56"/>
        <v>99</v>
      </c>
      <c r="U280">
        <f t="shared" si="57"/>
        <v>0</v>
      </c>
      <c r="V280" s="3">
        <f t="shared" si="58"/>
        <v>1</v>
      </c>
      <c r="W280" s="9">
        <f t="shared" si="59"/>
        <v>0</v>
      </c>
      <c r="AC280"/>
    </row>
    <row r="281" spans="1:29" x14ac:dyDescent="0.25">
      <c r="A281" t="s">
        <v>173</v>
      </c>
      <c r="B281">
        <v>9</v>
      </c>
      <c r="C281" t="s">
        <v>907</v>
      </c>
      <c r="D281" t="s">
        <v>472</v>
      </c>
      <c r="E281">
        <v>13</v>
      </c>
      <c r="F281">
        <v>5.99</v>
      </c>
      <c r="G281">
        <v>29.9209</v>
      </c>
      <c r="H281" t="s">
        <v>87</v>
      </c>
      <c r="I281" t="s">
        <v>87</v>
      </c>
      <c r="J281" t="s">
        <v>20</v>
      </c>
      <c r="K281">
        <f t="shared" si="48"/>
        <v>83.52</v>
      </c>
      <c r="L281">
        <f t="shared" si="49"/>
        <v>286.42129999999997</v>
      </c>
      <c r="M281" t="str">
        <f t="shared" si="50"/>
        <v>lucas-9</v>
      </c>
      <c r="N281" t="str">
        <f>INDEX(Scores!$A$2:$A$11,INDEX(Scores!$AA$2:$AA$131,MATCH(C281,Scores!$AB$2:$AB$131,0)))</f>
        <v>lucas</v>
      </c>
      <c r="O281">
        <f t="shared" si="51"/>
        <v>0</v>
      </c>
      <c r="P281">
        <f t="shared" si="52"/>
        <v>0</v>
      </c>
      <c r="Q281" s="3">
        <f t="shared" si="53"/>
        <v>0.9999995992619003</v>
      </c>
      <c r="R281" s="3">
        <f t="shared" si="54"/>
        <v>0.99999999209820556</v>
      </c>
      <c r="S281" s="9">
        <f t="shared" si="55"/>
        <v>3.9283630526298907E-7</v>
      </c>
      <c r="T281">
        <f t="shared" si="56"/>
        <v>89</v>
      </c>
      <c r="U281">
        <f t="shared" si="57"/>
        <v>0</v>
      </c>
      <c r="V281" s="3">
        <f t="shared" si="58"/>
        <v>1</v>
      </c>
      <c r="W281" s="9">
        <f t="shared" si="59"/>
        <v>0</v>
      </c>
      <c r="AC281"/>
    </row>
    <row r="282" spans="1:29" x14ac:dyDescent="0.25">
      <c r="A282" t="s">
        <v>126</v>
      </c>
      <c r="B282">
        <v>13</v>
      </c>
      <c r="C282" t="s">
        <v>919</v>
      </c>
      <c r="D282" t="s">
        <v>472</v>
      </c>
      <c r="E282">
        <v>6</v>
      </c>
      <c r="F282">
        <v>10.19</v>
      </c>
      <c r="G282">
        <v>77.792400000000001</v>
      </c>
      <c r="H282" t="s">
        <v>87</v>
      </c>
      <c r="I282" t="s">
        <v>87</v>
      </c>
      <c r="J282" t="s">
        <v>16</v>
      </c>
      <c r="K282">
        <f t="shared" si="48"/>
        <v>106.87</v>
      </c>
      <c r="L282">
        <f t="shared" si="49"/>
        <v>444.05589999999995</v>
      </c>
      <c r="M282" t="str">
        <f t="shared" si="50"/>
        <v>scott-13</v>
      </c>
      <c r="N282" t="str">
        <f>INDEX(Scores!$A$2:$A$11,INDEX(Scores!$AA$2:$AA$131,MATCH(C282,Scores!$AB$2:$AB$131,0)))</f>
        <v>scott</v>
      </c>
      <c r="O282">
        <f t="shared" si="51"/>
        <v>108.61</v>
      </c>
      <c r="P282">
        <f t="shared" si="52"/>
        <v>407.25390000000004</v>
      </c>
      <c r="Q282" s="3">
        <f t="shared" si="53"/>
        <v>0.47622294087495948</v>
      </c>
      <c r="R282" s="3">
        <f t="shared" si="54"/>
        <v>0.41557927167745734</v>
      </c>
      <c r="S282" s="9">
        <f t="shared" si="55"/>
        <v>-6.0643669197502137E-2</v>
      </c>
      <c r="T282">
        <f t="shared" si="56"/>
        <v>86</v>
      </c>
      <c r="U282">
        <f t="shared" si="57"/>
        <v>66</v>
      </c>
      <c r="V282" s="3">
        <f t="shared" si="58"/>
        <v>0.99695253763139202</v>
      </c>
      <c r="W282" s="9">
        <f t="shared" si="59"/>
        <v>3.0474623686079783E-3</v>
      </c>
      <c r="AC282"/>
    </row>
    <row r="283" spans="1:29" x14ac:dyDescent="0.25">
      <c r="A283" t="s">
        <v>69</v>
      </c>
      <c r="B283">
        <v>1</v>
      </c>
      <c r="C283" t="s">
        <v>501</v>
      </c>
      <c r="D283" t="s">
        <v>467</v>
      </c>
      <c r="E283">
        <v>18</v>
      </c>
      <c r="F283">
        <v>18.72</v>
      </c>
      <c r="G283">
        <v>51.696100000000001</v>
      </c>
      <c r="H283" t="s">
        <v>15</v>
      </c>
      <c r="I283" t="s">
        <v>15</v>
      </c>
      <c r="J283" t="s">
        <v>62</v>
      </c>
      <c r="K283">
        <f t="shared" si="48"/>
        <v>101.75</v>
      </c>
      <c r="L283">
        <f t="shared" si="49"/>
        <v>333.15260000000001</v>
      </c>
      <c r="M283" t="str">
        <f t="shared" si="50"/>
        <v>matty-1</v>
      </c>
      <c r="N283" t="str">
        <f>INDEX(Scores!$A$2:$A$11,INDEX(Scores!$AA$2:$AA$131,MATCH(C283,Scores!$AB$2:$AB$131,0)))</f>
        <v>matty</v>
      </c>
      <c r="O283">
        <f t="shared" si="51"/>
        <v>96.11</v>
      </c>
      <c r="P283">
        <f t="shared" si="52"/>
        <v>397.37959999999998</v>
      </c>
      <c r="Q283" s="3">
        <f t="shared" si="53"/>
        <v>0.58264695809701372</v>
      </c>
      <c r="R283" s="3">
        <f t="shared" si="54"/>
        <v>0.57488895512009686</v>
      </c>
      <c r="S283" s="9">
        <f t="shared" si="55"/>
        <v>-7.7580029769168668E-3</v>
      </c>
      <c r="T283">
        <f t="shared" si="56"/>
        <v>95</v>
      </c>
      <c r="U283">
        <f t="shared" si="57"/>
        <v>76</v>
      </c>
      <c r="V283" s="3">
        <f t="shared" si="58"/>
        <v>0.99695316678177237</v>
      </c>
      <c r="W283" s="9">
        <f t="shared" si="59"/>
        <v>3.0468332182276292E-3</v>
      </c>
      <c r="AC283"/>
    </row>
    <row r="284" spans="1:29" x14ac:dyDescent="0.25">
      <c r="A284" t="s">
        <v>117</v>
      </c>
      <c r="B284">
        <v>10</v>
      </c>
      <c r="C284" t="s">
        <v>948</v>
      </c>
      <c r="D284" t="s">
        <v>469</v>
      </c>
      <c r="E284">
        <v>15</v>
      </c>
      <c r="F284">
        <v>8.24</v>
      </c>
      <c r="G284">
        <v>26.9361</v>
      </c>
      <c r="H284" t="s">
        <v>47</v>
      </c>
      <c r="I284" t="s">
        <v>47</v>
      </c>
      <c r="J284" t="s">
        <v>62</v>
      </c>
      <c r="K284">
        <f t="shared" si="48"/>
        <v>103.91999999999999</v>
      </c>
      <c r="L284">
        <f t="shared" si="49"/>
        <v>398.26569999999992</v>
      </c>
      <c r="M284" t="str">
        <f t="shared" si="50"/>
        <v>aj-10</v>
      </c>
      <c r="N284" t="str">
        <f>INDEX(Scores!$A$2:$A$11,INDEX(Scores!$AA$2:$AA$131,MATCH(C284,Scores!$AB$2:$AB$131,0)))</f>
        <v>aj</v>
      </c>
      <c r="O284">
        <f t="shared" si="51"/>
        <v>110.08000000000001</v>
      </c>
      <c r="P284">
        <f t="shared" si="52"/>
        <v>372.64320000000004</v>
      </c>
      <c r="Q284" s="3">
        <f t="shared" si="53"/>
        <v>0.41221140040071919</v>
      </c>
      <c r="R284" s="3">
        <f t="shared" si="54"/>
        <v>0.50877501289609073</v>
      </c>
      <c r="S284" s="9">
        <f t="shared" si="55"/>
        <v>9.6563612495371542E-2</v>
      </c>
      <c r="T284">
        <f t="shared" si="56"/>
        <v>103</v>
      </c>
      <c r="U284">
        <f t="shared" si="57"/>
        <v>82</v>
      </c>
      <c r="V284" s="3">
        <f t="shared" si="58"/>
        <v>0.99696279973371138</v>
      </c>
      <c r="W284" s="9">
        <f t="shared" si="59"/>
        <v>3.0372002662886199E-3</v>
      </c>
      <c r="AC284"/>
    </row>
    <row r="285" spans="1:29" x14ac:dyDescent="0.25">
      <c r="A285" t="s">
        <v>445</v>
      </c>
      <c r="B285">
        <v>2</v>
      </c>
      <c r="C285" t="s">
        <v>630</v>
      </c>
      <c r="D285" t="s">
        <v>478</v>
      </c>
      <c r="E285">
        <v>7</v>
      </c>
      <c r="F285">
        <v>6.3</v>
      </c>
      <c r="G285">
        <v>16.809999999999999</v>
      </c>
      <c r="H285" t="s">
        <v>478</v>
      </c>
      <c r="I285" t="s">
        <v>478</v>
      </c>
      <c r="J285" t="s">
        <v>44</v>
      </c>
      <c r="K285">
        <f t="shared" si="48"/>
        <v>91.78</v>
      </c>
      <c r="L285">
        <f t="shared" si="49"/>
        <v>333.71719999999993</v>
      </c>
      <c r="M285" t="str">
        <f t="shared" si="50"/>
        <v>matty-2</v>
      </c>
      <c r="N285" t="str">
        <f>INDEX(Scores!$A$2:$A$11,INDEX(Scores!$AA$2:$AA$131,MATCH(C285,Scores!$AB$2:$AB$131,0)))</f>
        <v>matty</v>
      </c>
      <c r="O285">
        <f t="shared" si="51"/>
        <v>101.3</v>
      </c>
      <c r="P285">
        <f t="shared" si="52"/>
        <v>329.14109999999999</v>
      </c>
      <c r="Q285" s="3">
        <f t="shared" si="53"/>
        <v>0.35577854462426967</v>
      </c>
      <c r="R285" s="3">
        <f t="shared" si="54"/>
        <v>0.36429367361673737</v>
      </c>
      <c r="S285" s="9">
        <f t="shared" si="55"/>
        <v>8.5151289924677021E-3</v>
      </c>
      <c r="T285">
        <f t="shared" si="56"/>
        <v>82</v>
      </c>
      <c r="U285">
        <f t="shared" si="57"/>
        <v>70</v>
      </c>
      <c r="V285" s="3">
        <f t="shared" si="58"/>
        <v>0.99707522267631421</v>
      </c>
      <c r="W285" s="9">
        <f t="shared" si="59"/>
        <v>2.9247773236857899E-3</v>
      </c>
      <c r="AC285"/>
    </row>
    <row r="286" spans="1:29" x14ac:dyDescent="0.25">
      <c r="A286" t="s">
        <v>90</v>
      </c>
      <c r="B286">
        <v>7</v>
      </c>
      <c r="C286" t="s">
        <v>905</v>
      </c>
      <c r="D286" t="s">
        <v>468</v>
      </c>
      <c r="E286">
        <v>8</v>
      </c>
      <c r="F286">
        <v>14.81</v>
      </c>
      <c r="G286">
        <v>73.7881</v>
      </c>
      <c r="H286" t="s">
        <v>47</v>
      </c>
      <c r="I286" t="s">
        <v>47</v>
      </c>
      <c r="J286" t="s">
        <v>20</v>
      </c>
      <c r="K286">
        <f t="shared" si="48"/>
        <v>114.48000000000002</v>
      </c>
      <c r="L286">
        <f t="shared" si="49"/>
        <v>430.3667999999999</v>
      </c>
      <c r="M286" t="str">
        <f t="shared" si="50"/>
        <v>matty-7</v>
      </c>
      <c r="N286" t="str">
        <f>INDEX(Scores!$A$2:$A$11,INDEX(Scores!$AA$2:$AA$131,MATCH(C286,Scores!$AB$2:$AB$131,0)))</f>
        <v>matty</v>
      </c>
      <c r="O286">
        <f t="shared" si="51"/>
        <v>87.490000000000009</v>
      </c>
      <c r="P286">
        <f t="shared" si="52"/>
        <v>277.88929999999999</v>
      </c>
      <c r="Q286" s="3">
        <f t="shared" si="53"/>
        <v>0.84474748784368747</v>
      </c>
      <c r="R286" s="3">
        <f t="shared" si="54"/>
        <v>0.78847890866363834</v>
      </c>
      <c r="S286" s="9">
        <f t="shared" si="55"/>
        <v>-5.6268579180049128E-2</v>
      </c>
      <c r="T286">
        <f t="shared" si="56"/>
        <v>82</v>
      </c>
      <c r="U286">
        <f t="shared" si="57"/>
        <v>65</v>
      </c>
      <c r="V286" s="3">
        <f t="shared" si="58"/>
        <v>0.99721287339502596</v>
      </c>
      <c r="W286" s="9">
        <f t="shared" si="59"/>
        <v>2.787126604974044E-3</v>
      </c>
      <c r="AC286"/>
    </row>
    <row r="287" spans="1:29" x14ac:dyDescent="0.25">
      <c r="A287" t="s">
        <v>280</v>
      </c>
      <c r="B287">
        <v>9</v>
      </c>
      <c r="C287" t="s">
        <v>963</v>
      </c>
      <c r="D287" t="s">
        <v>469</v>
      </c>
      <c r="E287">
        <v>10</v>
      </c>
      <c r="F287">
        <v>6.82</v>
      </c>
      <c r="G287">
        <v>31.472100000000001</v>
      </c>
      <c r="H287" t="s">
        <v>47</v>
      </c>
      <c r="I287" t="s">
        <v>47</v>
      </c>
      <c r="J287" t="s">
        <v>23</v>
      </c>
      <c r="K287">
        <f t="shared" si="48"/>
        <v>98.35</v>
      </c>
      <c r="L287">
        <f t="shared" si="49"/>
        <v>385.97739999999999</v>
      </c>
      <c r="M287" t="str">
        <f t="shared" si="50"/>
        <v>aj-9</v>
      </c>
      <c r="N287" t="str">
        <f>INDEX(Scores!$A$2:$A$11,INDEX(Scores!$AA$2:$AA$131,MATCH(C287,Scores!$AB$2:$AB$131,0)))</f>
        <v>aj</v>
      </c>
      <c r="O287">
        <f t="shared" si="51"/>
        <v>102.03999999999999</v>
      </c>
      <c r="P287">
        <f t="shared" si="52"/>
        <v>392.2131</v>
      </c>
      <c r="Q287" s="3">
        <f t="shared" si="53"/>
        <v>0.4473827117902357</v>
      </c>
      <c r="R287" s="3">
        <f t="shared" si="54"/>
        <v>0.4925547959746861</v>
      </c>
      <c r="S287" s="9">
        <f t="shared" si="55"/>
        <v>4.5172084184450401E-2</v>
      </c>
      <c r="T287">
        <f t="shared" si="56"/>
        <v>105</v>
      </c>
      <c r="U287">
        <f t="shared" si="57"/>
        <v>86</v>
      </c>
      <c r="V287" s="3">
        <f t="shared" si="58"/>
        <v>0.9975985507433266</v>
      </c>
      <c r="W287" s="9">
        <f t="shared" si="59"/>
        <v>2.4014492566734047E-3</v>
      </c>
      <c r="AC287"/>
    </row>
    <row r="288" spans="1:29" x14ac:dyDescent="0.25">
      <c r="A288" t="s">
        <v>48</v>
      </c>
      <c r="B288">
        <v>10</v>
      </c>
      <c r="C288" t="s">
        <v>964</v>
      </c>
      <c r="D288" t="s">
        <v>469</v>
      </c>
      <c r="E288">
        <v>11</v>
      </c>
      <c r="F288">
        <v>18.829999999999998</v>
      </c>
      <c r="G288">
        <v>64.480900000000005</v>
      </c>
      <c r="H288" t="s">
        <v>47</v>
      </c>
      <c r="I288" t="s">
        <v>47</v>
      </c>
      <c r="J288" t="s">
        <v>23</v>
      </c>
      <c r="K288">
        <f t="shared" si="48"/>
        <v>103.49</v>
      </c>
      <c r="L288">
        <f t="shared" si="49"/>
        <v>345.28400000000005</v>
      </c>
      <c r="M288" t="str">
        <f t="shared" si="50"/>
        <v>cory-10</v>
      </c>
      <c r="N288" t="str">
        <f>INDEX(Scores!$A$2:$A$11,INDEX(Scores!$AA$2:$AA$131,MATCH(C288,Scores!$AB$2:$AB$131,0)))</f>
        <v>cory</v>
      </c>
      <c r="O288">
        <f t="shared" si="51"/>
        <v>93.17</v>
      </c>
      <c r="P288">
        <f t="shared" si="52"/>
        <v>328.34589999999997</v>
      </c>
      <c r="Q288" s="3">
        <f t="shared" si="53"/>
        <v>0.65454511164456886</v>
      </c>
      <c r="R288" s="3">
        <f t="shared" si="54"/>
        <v>0.54018013717519042</v>
      </c>
      <c r="S288" s="9">
        <f t="shared" si="55"/>
        <v>-0.11436497446937843</v>
      </c>
      <c r="T288">
        <f t="shared" si="56"/>
        <v>106</v>
      </c>
      <c r="U288">
        <f t="shared" si="57"/>
        <v>91</v>
      </c>
      <c r="V288" s="3">
        <f t="shared" si="58"/>
        <v>0.99776606630996756</v>
      </c>
      <c r="W288" s="9">
        <f t="shared" si="59"/>
        <v>2.2339336900324414E-3</v>
      </c>
      <c r="AC288"/>
    </row>
    <row r="289" spans="1:29" x14ac:dyDescent="0.25">
      <c r="A289" t="s">
        <v>456</v>
      </c>
      <c r="B289">
        <v>10</v>
      </c>
      <c r="C289" t="s">
        <v>964</v>
      </c>
      <c r="D289" t="s">
        <v>478</v>
      </c>
      <c r="E289">
        <v>10</v>
      </c>
      <c r="F289">
        <v>7.15</v>
      </c>
      <c r="G289">
        <v>18.0625</v>
      </c>
      <c r="H289" t="s">
        <v>478</v>
      </c>
      <c r="I289" t="s">
        <v>478</v>
      </c>
      <c r="J289" t="s">
        <v>23</v>
      </c>
      <c r="K289">
        <f t="shared" si="48"/>
        <v>103.49</v>
      </c>
      <c r="L289">
        <f t="shared" si="49"/>
        <v>345.28400000000005</v>
      </c>
      <c r="M289" t="str">
        <f t="shared" si="50"/>
        <v>cory-10</v>
      </c>
      <c r="N289" t="str">
        <f>INDEX(Scores!$A$2:$A$11,INDEX(Scores!$AA$2:$AA$131,MATCH(C289,Scores!$AB$2:$AB$131,0)))</f>
        <v>cory</v>
      </c>
      <c r="O289">
        <f t="shared" si="51"/>
        <v>93.17</v>
      </c>
      <c r="P289">
        <f t="shared" si="52"/>
        <v>328.34589999999997</v>
      </c>
      <c r="Q289" s="3">
        <f t="shared" si="53"/>
        <v>0.65454511164456886</v>
      </c>
      <c r="R289" s="3">
        <f t="shared" si="54"/>
        <v>0.69650394352286382</v>
      </c>
      <c r="S289" s="9">
        <f t="shared" si="55"/>
        <v>4.1958831878294967E-2</v>
      </c>
      <c r="T289">
        <f t="shared" si="56"/>
        <v>106</v>
      </c>
      <c r="U289">
        <f t="shared" si="57"/>
        <v>91</v>
      </c>
      <c r="V289" s="3">
        <f t="shared" si="58"/>
        <v>0.99787392369866823</v>
      </c>
      <c r="W289" s="9">
        <f t="shared" si="59"/>
        <v>2.1260763013317696E-3</v>
      </c>
      <c r="AC289"/>
    </row>
    <row r="290" spans="1:29" x14ac:dyDescent="0.25">
      <c r="A290" t="s">
        <v>236</v>
      </c>
      <c r="B290">
        <v>13</v>
      </c>
      <c r="C290" t="s">
        <v>935</v>
      </c>
      <c r="D290" t="s">
        <v>469</v>
      </c>
      <c r="E290">
        <v>21</v>
      </c>
      <c r="F290">
        <v>8.49</v>
      </c>
      <c r="G290">
        <v>55.651600000000002</v>
      </c>
      <c r="H290" t="s">
        <v>47</v>
      </c>
      <c r="I290" t="s">
        <v>47</v>
      </c>
      <c r="J290" t="s">
        <v>35</v>
      </c>
      <c r="K290">
        <f t="shared" si="48"/>
        <v>97.46</v>
      </c>
      <c r="L290">
        <f t="shared" si="49"/>
        <v>368.81949999999995</v>
      </c>
      <c r="M290" t="str">
        <f t="shared" si="50"/>
        <v>perry-13</v>
      </c>
      <c r="N290" t="str">
        <f>INDEX(Scores!$A$2:$A$11,INDEX(Scores!$AA$2:$AA$131,MATCH(C290,Scores!$AB$2:$AB$131,0)))</f>
        <v>perry</v>
      </c>
      <c r="O290">
        <f t="shared" si="51"/>
        <v>108.77</v>
      </c>
      <c r="P290">
        <f t="shared" si="52"/>
        <v>411.30060000000003</v>
      </c>
      <c r="Q290" s="3">
        <f t="shared" si="53"/>
        <v>0.3427638257896819</v>
      </c>
      <c r="R290" s="3">
        <f t="shared" si="54"/>
        <v>0.51778024354784269</v>
      </c>
      <c r="S290" s="9">
        <f t="shared" si="55"/>
        <v>0.17501641775816079</v>
      </c>
      <c r="T290">
        <f t="shared" si="56"/>
        <v>133</v>
      </c>
      <c r="U290">
        <f t="shared" si="57"/>
        <v>99</v>
      </c>
      <c r="V290" s="3">
        <f t="shared" si="58"/>
        <v>0.99801601584464417</v>
      </c>
      <c r="W290" s="9">
        <f t="shared" si="59"/>
        <v>1.9839841553558335E-3</v>
      </c>
      <c r="AC290"/>
    </row>
    <row r="291" spans="1:29" x14ac:dyDescent="0.25">
      <c r="A291" t="s">
        <v>13</v>
      </c>
      <c r="B291">
        <v>1</v>
      </c>
      <c r="C291" t="s">
        <v>502</v>
      </c>
      <c r="D291" t="s">
        <v>467</v>
      </c>
      <c r="E291">
        <v>16</v>
      </c>
      <c r="F291">
        <v>23</v>
      </c>
      <c r="G291">
        <v>74.995599999999996</v>
      </c>
      <c r="H291" t="s">
        <v>15</v>
      </c>
      <c r="I291" t="s">
        <v>15</v>
      </c>
      <c r="J291" t="s">
        <v>16</v>
      </c>
      <c r="K291">
        <f t="shared" si="48"/>
        <v>105.11000000000001</v>
      </c>
      <c r="L291">
        <f t="shared" si="49"/>
        <v>445.52289999999994</v>
      </c>
      <c r="M291" t="str">
        <f t="shared" si="50"/>
        <v>perry-1</v>
      </c>
      <c r="N291" t="str">
        <f>INDEX(Scores!$A$2:$A$11,INDEX(Scores!$AA$2:$AA$131,MATCH(C291,Scores!$AB$2:$AB$131,0)))</f>
        <v>perry</v>
      </c>
      <c r="O291">
        <f t="shared" si="51"/>
        <v>94.44</v>
      </c>
      <c r="P291">
        <f t="shared" si="52"/>
        <v>399.28809999999999</v>
      </c>
      <c r="Q291" s="3">
        <f t="shared" si="53"/>
        <v>0.64322786671093812</v>
      </c>
      <c r="R291" s="3">
        <f t="shared" si="54"/>
        <v>0.55261600699507074</v>
      </c>
      <c r="S291" s="9">
        <f t="shared" si="55"/>
        <v>-9.0611859715867382E-2</v>
      </c>
      <c r="T291">
        <f t="shared" si="56"/>
        <v>100</v>
      </c>
      <c r="U291">
        <f t="shared" si="57"/>
        <v>82</v>
      </c>
      <c r="V291" s="3">
        <f t="shared" si="58"/>
        <v>0.99805431514340082</v>
      </c>
      <c r="W291" s="9">
        <f t="shared" si="59"/>
        <v>1.9456848565991836E-3</v>
      </c>
      <c r="AC291"/>
    </row>
    <row r="292" spans="1:29" x14ac:dyDescent="0.25">
      <c r="A292" t="s">
        <v>456</v>
      </c>
      <c r="B292">
        <v>6</v>
      </c>
      <c r="C292" t="s">
        <v>968</v>
      </c>
      <c r="D292" t="s">
        <v>478</v>
      </c>
      <c r="E292">
        <v>12</v>
      </c>
      <c r="F292">
        <v>7.51</v>
      </c>
      <c r="G292">
        <v>18.662400000000002</v>
      </c>
      <c r="H292" t="s">
        <v>478</v>
      </c>
      <c r="I292" t="s">
        <v>478</v>
      </c>
      <c r="J292" t="s">
        <v>49</v>
      </c>
      <c r="K292">
        <f t="shared" si="48"/>
        <v>109.91000000000001</v>
      </c>
      <c r="L292">
        <f t="shared" si="49"/>
        <v>387.28550000000001</v>
      </c>
      <c r="M292" t="str">
        <f t="shared" si="50"/>
        <v>perry-6</v>
      </c>
      <c r="N292" t="str">
        <f>INDEX(Scores!$A$2:$A$11,INDEX(Scores!$AA$2:$AA$131,MATCH(C292,Scores!$AB$2:$AB$131,0)))</f>
        <v>perry</v>
      </c>
      <c r="O292">
        <f t="shared" si="51"/>
        <v>88.72</v>
      </c>
      <c r="P292">
        <f t="shared" si="52"/>
        <v>407.6961</v>
      </c>
      <c r="Q292" s="3">
        <f t="shared" si="53"/>
        <v>0.77383629678575794</v>
      </c>
      <c r="R292" s="3">
        <f t="shared" si="54"/>
        <v>0.82164930337321407</v>
      </c>
      <c r="S292" s="9">
        <f t="shared" si="55"/>
        <v>4.7813006587456131E-2</v>
      </c>
      <c r="T292">
        <f t="shared" si="56"/>
        <v>119</v>
      </c>
      <c r="U292">
        <f t="shared" si="57"/>
        <v>102</v>
      </c>
      <c r="V292" s="3">
        <f t="shared" si="58"/>
        <v>0.99810923410150598</v>
      </c>
      <c r="W292" s="9">
        <f t="shared" si="59"/>
        <v>1.8907658984940179E-3</v>
      </c>
      <c r="AC292"/>
    </row>
    <row r="293" spans="1:29" x14ac:dyDescent="0.25">
      <c r="A293" t="s">
        <v>126</v>
      </c>
      <c r="B293">
        <v>1</v>
      </c>
      <c r="C293" t="s">
        <v>502</v>
      </c>
      <c r="D293" t="s">
        <v>472</v>
      </c>
      <c r="E293">
        <v>5</v>
      </c>
      <c r="F293">
        <v>9.6</v>
      </c>
      <c r="G293">
        <v>60.528399999999998</v>
      </c>
      <c r="H293" t="s">
        <v>87</v>
      </c>
      <c r="I293" t="s">
        <v>87</v>
      </c>
      <c r="J293" t="s">
        <v>16</v>
      </c>
      <c r="K293">
        <f t="shared" si="48"/>
        <v>105.11000000000001</v>
      </c>
      <c r="L293">
        <f t="shared" si="49"/>
        <v>445.52289999999994</v>
      </c>
      <c r="M293" t="str">
        <f t="shared" si="50"/>
        <v>perry-1</v>
      </c>
      <c r="N293" t="str">
        <f>INDEX(Scores!$A$2:$A$11,INDEX(Scores!$AA$2:$AA$131,MATCH(C293,Scores!$AB$2:$AB$131,0)))</f>
        <v>perry</v>
      </c>
      <c r="O293">
        <f t="shared" si="51"/>
        <v>94.44</v>
      </c>
      <c r="P293">
        <f t="shared" si="52"/>
        <v>399.28809999999999</v>
      </c>
      <c r="Q293" s="3">
        <f t="shared" si="53"/>
        <v>0.64322786671093812</v>
      </c>
      <c r="R293" s="3">
        <f t="shared" si="54"/>
        <v>0.58579710610570568</v>
      </c>
      <c r="S293" s="9">
        <f t="shared" si="55"/>
        <v>-5.7430760605232445E-2</v>
      </c>
      <c r="T293">
        <f t="shared" si="56"/>
        <v>100</v>
      </c>
      <c r="U293">
        <f t="shared" si="57"/>
        <v>82</v>
      </c>
      <c r="V293" s="3">
        <f t="shared" si="58"/>
        <v>0.9981630557096558</v>
      </c>
      <c r="W293" s="9">
        <f t="shared" si="59"/>
        <v>1.8369442903442001E-3</v>
      </c>
      <c r="AC293"/>
    </row>
    <row r="294" spans="1:29" x14ac:dyDescent="0.25">
      <c r="A294" t="s">
        <v>464</v>
      </c>
      <c r="B294">
        <v>10</v>
      </c>
      <c r="C294" t="s">
        <v>948</v>
      </c>
      <c r="D294" t="s">
        <v>478</v>
      </c>
      <c r="E294">
        <v>17</v>
      </c>
      <c r="F294">
        <v>8.2100000000000009</v>
      </c>
      <c r="G294">
        <v>17.556100000000001</v>
      </c>
      <c r="H294" t="s">
        <v>478</v>
      </c>
      <c r="I294" t="s">
        <v>478</v>
      </c>
      <c r="J294" t="s">
        <v>62</v>
      </c>
      <c r="K294">
        <f t="shared" si="48"/>
        <v>103.91999999999999</v>
      </c>
      <c r="L294">
        <f t="shared" si="49"/>
        <v>398.26569999999992</v>
      </c>
      <c r="M294" t="str">
        <f t="shared" si="50"/>
        <v>aj-10</v>
      </c>
      <c r="N294" t="str">
        <f>INDEX(Scores!$A$2:$A$11,INDEX(Scores!$AA$2:$AA$131,MATCH(C294,Scores!$AB$2:$AB$131,0)))</f>
        <v>aj</v>
      </c>
      <c r="O294">
        <f t="shared" si="51"/>
        <v>110.08000000000001</v>
      </c>
      <c r="P294">
        <f t="shared" si="52"/>
        <v>372.64320000000004</v>
      </c>
      <c r="Q294" s="3">
        <f t="shared" si="53"/>
        <v>0.41221140040071919</v>
      </c>
      <c r="R294" s="3">
        <f t="shared" si="54"/>
        <v>0.53816826679867824</v>
      </c>
      <c r="S294" s="9">
        <f t="shared" si="55"/>
        <v>0.12595686639795906</v>
      </c>
      <c r="T294">
        <f t="shared" si="56"/>
        <v>103</v>
      </c>
      <c r="U294">
        <f t="shared" si="57"/>
        <v>82</v>
      </c>
      <c r="V294" s="3">
        <f t="shared" si="58"/>
        <v>0.99821631417062329</v>
      </c>
      <c r="W294" s="9">
        <f t="shared" si="59"/>
        <v>1.7836858293767133E-3</v>
      </c>
      <c r="AC294"/>
    </row>
    <row r="295" spans="1:29" x14ac:dyDescent="0.25">
      <c r="A295" t="s">
        <v>420</v>
      </c>
      <c r="B295">
        <v>6</v>
      </c>
      <c r="C295" t="s">
        <v>976</v>
      </c>
      <c r="D295" t="s">
        <v>477</v>
      </c>
      <c r="E295">
        <v>21</v>
      </c>
      <c r="F295">
        <v>5.32</v>
      </c>
      <c r="G295">
        <v>37.822499999999998</v>
      </c>
      <c r="H295" t="s">
        <v>477</v>
      </c>
      <c r="I295" t="s">
        <v>477</v>
      </c>
      <c r="J295" t="s">
        <v>44</v>
      </c>
      <c r="K295">
        <f t="shared" si="48"/>
        <v>90.009999999999991</v>
      </c>
      <c r="L295">
        <f t="shared" si="49"/>
        <v>295.93350000000004</v>
      </c>
      <c r="M295" t="str">
        <f t="shared" si="50"/>
        <v>scott-6</v>
      </c>
      <c r="N295" t="str">
        <f>INDEX(Scores!$A$2:$A$11,INDEX(Scores!$AA$2:$AA$131,MATCH(C295,Scores!$AB$2:$AB$131,0)))</f>
        <v>scott</v>
      </c>
      <c r="O295">
        <f t="shared" si="51"/>
        <v>110.30999999999999</v>
      </c>
      <c r="P295">
        <f t="shared" si="52"/>
        <v>388.52729999999997</v>
      </c>
      <c r="Q295" s="3">
        <f t="shared" si="53"/>
        <v>0.21889557883251567</v>
      </c>
      <c r="R295" s="3">
        <f t="shared" si="54"/>
        <v>0.42791625121280008</v>
      </c>
      <c r="S295" s="9">
        <f t="shared" si="55"/>
        <v>0.20902067238028441</v>
      </c>
      <c r="T295">
        <f t="shared" si="56"/>
        <v>130</v>
      </c>
      <c r="U295">
        <f t="shared" si="57"/>
        <v>96</v>
      </c>
      <c r="V295" s="3">
        <f t="shared" si="58"/>
        <v>0.99855339375520025</v>
      </c>
      <c r="W295" s="9">
        <f t="shared" si="59"/>
        <v>1.446606244799753E-3</v>
      </c>
      <c r="AC295"/>
    </row>
    <row r="296" spans="1:29" x14ac:dyDescent="0.25">
      <c r="A296" t="s">
        <v>130</v>
      </c>
      <c r="B296">
        <v>10</v>
      </c>
      <c r="C296" t="s">
        <v>964</v>
      </c>
      <c r="D296" t="s">
        <v>468</v>
      </c>
      <c r="E296">
        <v>9</v>
      </c>
      <c r="F296">
        <v>10.15</v>
      </c>
      <c r="G296">
        <v>29.2681</v>
      </c>
      <c r="H296" t="s">
        <v>47</v>
      </c>
      <c r="I296" t="s">
        <v>47</v>
      </c>
      <c r="J296" t="s">
        <v>23</v>
      </c>
      <c r="K296">
        <f t="shared" si="48"/>
        <v>103.49</v>
      </c>
      <c r="L296">
        <f t="shared" si="49"/>
        <v>345.28400000000005</v>
      </c>
      <c r="M296" t="str">
        <f t="shared" si="50"/>
        <v>cory-10</v>
      </c>
      <c r="N296" t="str">
        <f>INDEX(Scores!$A$2:$A$11,INDEX(Scores!$AA$2:$AA$131,MATCH(C296,Scores!$AB$2:$AB$131,0)))</f>
        <v>cory</v>
      </c>
      <c r="O296">
        <f t="shared" si="51"/>
        <v>93.17</v>
      </c>
      <c r="P296">
        <f t="shared" si="52"/>
        <v>328.34589999999997</v>
      </c>
      <c r="Q296" s="3">
        <f t="shared" si="53"/>
        <v>0.65454511164456886</v>
      </c>
      <c r="R296" s="3">
        <f t="shared" si="54"/>
        <v>0.64104265513598579</v>
      </c>
      <c r="S296" s="9">
        <f t="shared" si="55"/>
        <v>-1.3502456508583061E-2</v>
      </c>
      <c r="T296">
        <f t="shared" si="56"/>
        <v>106</v>
      </c>
      <c r="U296">
        <f t="shared" si="57"/>
        <v>91</v>
      </c>
      <c r="V296" s="3">
        <f t="shared" si="58"/>
        <v>0.99858309339420015</v>
      </c>
      <c r="W296" s="9">
        <f t="shared" si="59"/>
        <v>1.4169066057998503E-3</v>
      </c>
      <c r="AC296"/>
    </row>
    <row r="297" spans="1:29" x14ac:dyDescent="0.25">
      <c r="A297" t="s">
        <v>235</v>
      </c>
      <c r="B297">
        <v>5</v>
      </c>
      <c r="C297" t="s">
        <v>885</v>
      </c>
      <c r="D297" t="s">
        <v>475</v>
      </c>
      <c r="E297">
        <v>0</v>
      </c>
      <c r="F297">
        <v>5.77</v>
      </c>
      <c r="G297">
        <v>12.96</v>
      </c>
      <c r="H297" t="s">
        <v>114</v>
      </c>
      <c r="I297" t="s">
        <v>114</v>
      </c>
      <c r="J297" t="s">
        <v>35</v>
      </c>
      <c r="K297">
        <f t="shared" si="48"/>
        <v>93.5</v>
      </c>
      <c r="L297">
        <f t="shared" si="49"/>
        <v>346.9006</v>
      </c>
      <c r="M297" t="str">
        <f t="shared" si="50"/>
        <v>cory-5</v>
      </c>
      <c r="N297" t="str">
        <f>INDEX(Scores!$A$2:$A$11,INDEX(Scores!$AA$2:$AA$131,MATCH(C297,Scores!$AB$2:$AB$131,0)))</f>
        <v>cory</v>
      </c>
      <c r="O297">
        <f t="shared" si="51"/>
        <v>109.91</v>
      </c>
      <c r="P297">
        <f t="shared" si="52"/>
        <v>349.51409999999998</v>
      </c>
      <c r="Q297" s="3">
        <f t="shared" si="53"/>
        <v>0.26702544199612877</v>
      </c>
      <c r="R297" s="3">
        <f t="shared" si="54"/>
        <v>0.19810435059149722</v>
      </c>
      <c r="S297" s="9">
        <f t="shared" si="55"/>
        <v>-6.892109140463154E-2</v>
      </c>
      <c r="T297">
        <f t="shared" si="56"/>
        <v>105</v>
      </c>
      <c r="U297">
        <f t="shared" si="57"/>
        <v>100</v>
      </c>
      <c r="V297" s="3">
        <f t="shared" si="58"/>
        <v>0.99861270481168396</v>
      </c>
      <c r="W297" s="9">
        <f t="shared" si="59"/>
        <v>1.38729518831604E-3</v>
      </c>
      <c r="AC297"/>
    </row>
    <row r="298" spans="1:29" x14ac:dyDescent="0.25">
      <c r="A298" t="s">
        <v>135</v>
      </c>
      <c r="B298">
        <v>13</v>
      </c>
      <c r="C298" t="s">
        <v>975</v>
      </c>
      <c r="D298" t="s">
        <v>471</v>
      </c>
      <c r="E298">
        <v>4</v>
      </c>
      <c r="F298">
        <v>9.5399999999999991</v>
      </c>
      <c r="G298">
        <v>23.522500000000001</v>
      </c>
      <c r="H298" t="s">
        <v>87</v>
      </c>
      <c r="I298" t="s">
        <v>87</v>
      </c>
      <c r="J298" t="s">
        <v>49</v>
      </c>
      <c r="K298">
        <f t="shared" si="48"/>
        <v>88.16</v>
      </c>
      <c r="L298">
        <f t="shared" si="49"/>
        <v>330.99250000000001</v>
      </c>
      <c r="M298" t="str">
        <f t="shared" si="50"/>
        <v>aj-13</v>
      </c>
      <c r="N298" t="str">
        <f>INDEX(Scores!$A$2:$A$11,INDEX(Scores!$AA$2:$AA$131,MATCH(C298,Scores!$AB$2:$AB$131,0)))</f>
        <v>aj</v>
      </c>
      <c r="O298">
        <f t="shared" si="51"/>
        <v>116.54</v>
      </c>
      <c r="P298">
        <f t="shared" si="52"/>
        <v>371.12040000000002</v>
      </c>
      <c r="Q298" s="3">
        <f t="shared" si="53"/>
        <v>0.14207393469061222</v>
      </c>
      <c r="R298" s="3">
        <f t="shared" si="54"/>
        <v>9.6437182313257888E-2</v>
      </c>
      <c r="S298" s="9">
        <f t="shared" si="55"/>
        <v>-4.5636752377354331E-2</v>
      </c>
      <c r="T298">
        <f t="shared" si="56"/>
        <v>117</v>
      </c>
      <c r="U298">
        <f t="shared" si="57"/>
        <v>108</v>
      </c>
      <c r="V298" s="3">
        <f t="shared" si="58"/>
        <v>0.99864093582340097</v>
      </c>
      <c r="W298" s="9">
        <f t="shared" si="59"/>
        <v>1.3590641765990341E-3</v>
      </c>
      <c r="AC298"/>
    </row>
    <row r="299" spans="1:29" x14ac:dyDescent="0.25">
      <c r="A299" t="s">
        <v>407</v>
      </c>
      <c r="B299">
        <v>10</v>
      </c>
      <c r="C299" t="s">
        <v>948</v>
      </c>
      <c r="D299" t="s">
        <v>477</v>
      </c>
      <c r="E299">
        <v>11</v>
      </c>
      <c r="F299">
        <v>9.2799999999999994</v>
      </c>
      <c r="G299">
        <v>40.832099999999997</v>
      </c>
      <c r="H299" t="s">
        <v>477</v>
      </c>
      <c r="I299" t="s">
        <v>477</v>
      </c>
      <c r="J299" t="s">
        <v>62</v>
      </c>
      <c r="K299">
        <f t="shared" si="48"/>
        <v>103.91999999999999</v>
      </c>
      <c r="L299">
        <f t="shared" si="49"/>
        <v>398.26569999999992</v>
      </c>
      <c r="M299" t="str">
        <f t="shared" si="50"/>
        <v>aj-10</v>
      </c>
      <c r="N299" t="str">
        <f>INDEX(Scores!$A$2:$A$11,INDEX(Scores!$AA$2:$AA$131,MATCH(C299,Scores!$AB$2:$AB$131,0)))</f>
        <v>aj</v>
      </c>
      <c r="O299">
        <f t="shared" si="51"/>
        <v>110.08000000000001</v>
      </c>
      <c r="P299">
        <f t="shared" si="52"/>
        <v>372.64320000000004</v>
      </c>
      <c r="Q299" s="3">
        <f t="shared" si="53"/>
        <v>0.41221140040071919</v>
      </c>
      <c r="R299" s="3">
        <f t="shared" si="54"/>
        <v>0.43473838741483994</v>
      </c>
      <c r="S299" s="9">
        <f t="shared" si="55"/>
        <v>2.2526987014120758E-2</v>
      </c>
      <c r="T299">
        <f t="shared" si="56"/>
        <v>103</v>
      </c>
      <c r="U299">
        <f t="shared" si="57"/>
        <v>82</v>
      </c>
      <c r="V299" s="3">
        <f t="shared" si="58"/>
        <v>0.99872445345134131</v>
      </c>
      <c r="W299" s="9">
        <f t="shared" si="59"/>
        <v>1.2755465486586903E-3</v>
      </c>
      <c r="AC299"/>
    </row>
    <row r="300" spans="1:29" x14ac:dyDescent="0.25">
      <c r="A300" t="s">
        <v>126</v>
      </c>
      <c r="B300">
        <v>4</v>
      </c>
      <c r="C300" t="s">
        <v>858</v>
      </c>
      <c r="D300" t="s">
        <v>472</v>
      </c>
      <c r="E300">
        <v>8</v>
      </c>
      <c r="F300">
        <v>10.47</v>
      </c>
      <c r="G300">
        <v>37.4544</v>
      </c>
      <c r="H300" t="s">
        <v>87</v>
      </c>
      <c r="I300" t="s">
        <v>87</v>
      </c>
      <c r="J300" t="s">
        <v>16</v>
      </c>
      <c r="K300">
        <f t="shared" si="48"/>
        <v>115.58999999999999</v>
      </c>
      <c r="L300">
        <f t="shared" si="49"/>
        <v>432.42160000000007</v>
      </c>
      <c r="M300" t="str">
        <f t="shared" si="50"/>
        <v>scott-4</v>
      </c>
      <c r="N300" t="str">
        <f>INDEX(Scores!$A$2:$A$11,INDEX(Scores!$AA$2:$AA$131,MATCH(C300,Scores!$AB$2:$AB$131,0)))</f>
        <v>scott</v>
      </c>
      <c r="O300">
        <f t="shared" si="51"/>
        <v>113.07</v>
      </c>
      <c r="P300">
        <f t="shared" si="52"/>
        <v>452.41279999999995</v>
      </c>
      <c r="Q300" s="3">
        <f t="shared" si="53"/>
        <v>0.53375673014127667</v>
      </c>
      <c r="R300" s="3">
        <f t="shared" si="54"/>
        <v>0.50068523691606859</v>
      </c>
      <c r="S300" s="9">
        <f t="shared" si="55"/>
        <v>-3.3071493225208082E-2</v>
      </c>
      <c r="T300">
        <f t="shared" si="56"/>
        <v>104</v>
      </c>
      <c r="U300">
        <f t="shared" si="57"/>
        <v>88</v>
      </c>
      <c r="V300" s="3">
        <f t="shared" si="58"/>
        <v>0.99872764571560091</v>
      </c>
      <c r="W300" s="9">
        <f t="shared" si="59"/>
        <v>1.2723542843990909E-3</v>
      </c>
      <c r="AC300"/>
    </row>
    <row r="301" spans="1:29" x14ac:dyDescent="0.25">
      <c r="A301" t="s">
        <v>414</v>
      </c>
      <c r="B301">
        <v>13</v>
      </c>
      <c r="C301" t="s">
        <v>951</v>
      </c>
      <c r="D301" t="s">
        <v>477</v>
      </c>
      <c r="E301">
        <v>2</v>
      </c>
      <c r="F301">
        <v>7.76</v>
      </c>
      <c r="G301">
        <v>42.640900000000002</v>
      </c>
      <c r="H301" t="s">
        <v>477</v>
      </c>
      <c r="I301" t="s">
        <v>477</v>
      </c>
      <c r="J301" t="s">
        <v>62</v>
      </c>
      <c r="K301">
        <f t="shared" si="48"/>
        <v>113.35</v>
      </c>
      <c r="L301">
        <f t="shared" si="49"/>
        <v>486.24799999999993</v>
      </c>
      <c r="M301" t="str">
        <f t="shared" si="50"/>
        <v>comp-13</v>
      </c>
      <c r="N301" t="str">
        <f>INDEX(Scores!$A$2:$A$11,INDEX(Scores!$AA$2:$AA$131,MATCH(C301,Scores!$AB$2:$AB$131,0)))</f>
        <v>comp</v>
      </c>
      <c r="O301">
        <f t="shared" si="51"/>
        <v>104.63999999999999</v>
      </c>
      <c r="P301">
        <f t="shared" si="52"/>
        <v>400.33339999999998</v>
      </c>
      <c r="Q301" s="3">
        <f t="shared" si="53"/>
        <v>0.6150563098213474</v>
      </c>
      <c r="R301" s="3">
        <f t="shared" si="54"/>
        <v>0.54044178269511156</v>
      </c>
      <c r="S301" s="9">
        <f t="shared" si="55"/>
        <v>-7.4614527126235841E-2</v>
      </c>
      <c r="T301">
        <f t="shared" si="56"/>
        <v>95</v>
      </c>
      <c r="U301">
        <f t="shared" si="57"/>
        <v>81</v>
      </c>
      <c r="V301" s="3">
        <f t="shared" si="58"/>
        <v>0.99876107654035173</v>
      </c>
      <c r="W301" s="9">
        <f t="shared" si="59"/>
        <v>1.2389234596482668E-3</v>
      </c>
      <c r="AC301"/>
    </row>
    <row r="302" spans="1:29" x14ac:dyDescent="0.25">
      <c r="A302" t="s">
        <v>212</v>
      </c>
      <c r="B302">
        <v>13</v>
      </c>
      <c r="C302" t="s">
        <v>983</v>
      </c>
      <c r="D302" t="s">
        <v>466</v>
      </c>
      <c r="E302">
        <v>18</v>
      </c>
      <c r="F302">
        <v>10.44</v>
      </c>
      <c r="G302">
        <v>105.2676</v>
      </c>
      <c r="H302" t="s">
        <v>466</v>
      </c>
      <c r="I302" t="s">
        <v>47</v>
      </c>
      <c r="J302" t="s">
        <v>44</v>
      </c>
      <c r="K302">
        <f t="shared" si="48"/>
        <v>93.77000000000001</v>
      </c>
      <c r="L302">
        <f t="shared" si="49"/>
        <v>387.786</v>
      </c>
      <c r="M302" t="str">
        <f t="shared" si="50"/>
        <v>lucas-13</v>
      </c>
      <c r="N302" t="str">
        <f>INDEX(Scores!$A$2:$A$11,INDEX(Scores!$AA$2:$AA$131,MATCH(C302,Scores!$AB$2:$AB$131,0)))</f>
        <v>lucas</v>
      </c>
      <c r="O302">
        <f t="shared" si="51"/>
        <v>0</v>
      </c>
      <c r="P302">
        <f t="shared" si="52"/>
        <v>0</v>
      </c>
      <c r="Q302" s="3">
        <f t="shared" si="53"/>
        <v>0.9999990404590926</v>
      </c>
      <c r="R302" s="3">
        <f t="shared" si="54"/>
        <v>0.99999999917294224</v>
      </c>
      <c r="S302" s="9">
        <f t="shared" si="55"/>
        <v>9.5871384964141271E-7</v>
      </c>
      <c r="T302">
        <f t="shared" si="56"/>
        <v>98</v>
      </c>
      <c r="U302">
        <f t="shared" si="57"/>
        <v>0</v>
      </c>
      <c r="V302" s="3">
        <f t="shared" si="58"/>
        <v>1</v>
      </c>
      <c r="W302" s="9">
        <f t="shared" si="59"/>
        <v>0</v>
      </c>
      <c r="AC302"/>
    </row>
    <row r="303" spans="1:29" x14ac:dyDescent="0.25">
      <c r="A303" t="s">
        <v>116</v>
      </c>
      <c r="B303">
        <v>8</v>
      </c>
      <c r="C303" t="s">
        <v>930</v>
      </c>
      <c r="D303" t="s">
        <v>472</v>
      </c>
      <c r="E303">
        <v>8</v>
      </c>
      <c r="F303">
        <v>9.26</v>
      </c>
      <c r="G303">
        <v>28.09</v>
      </c>
      <c r="H303" t="s">
        <v>87</v>
      </c>
      <c r="I303" t="s">
        <v>87</v>
      </c>
      <c r="J303" t="s">
        <v>35</v>
      </c>
      <c r="K303">
        <f t="shared" si="48"/>
        <v>102.43</v>
      </c>
      <c r="L303">
        <f t="shared" si="49"/>
        <v>452.86560000000003</v>
      </c>
      <c r="M303" t="str">
        <f t="shared" si="50"/>
        <v>seth-8</v>
      </c>
      <c r="N303" t="str">
        <f>INDEX(Scores!$A$2:$A$11,INDEX(Scores!$AA$2:$AA$131,MATCH(C303,Scores!$AB$2:$AB$131,0)))</f>
        <v>seth</v>
      </c>
      <c r="O303">
        <f t="shared" si="51"/>
        <v>96.57</v>
      </c>
      <c r="P303">
        <f t="shared" si="52"/>
        <v>368.03749999999997</v>
      </c>
      <c r="Q303" s="3">
        <f t="shared" si="53"/>
        <v>0.58102934018980379</v>
      </c>
      <c r="R303" s="3">
        <f t="shared" si="54"/>
        <v>0.5648864558316582</v>
      </c>
      <c r="S303" s="9">
        <f t="shared" si="55"/>
        <v>-1.6142884358145593E-2</v>
      </c>
      <c r="T303">
        <f t="shared" si="56"/>
        <v>100</v>
      </c>
      <c r="U303">
        <f t="shared" si="57"/>
        <v>85</v>
      </c>
      <c r="V303" s="3">
        <f t="shared" si="58"/>
        <v>0.99892224475311497</v>
      </c>
      <c r="W303" s="9">
        <f t="shared" si="59"/>
        <v>1.077755246885026E-3</v>
      </c>
      <c r="AC303"/>
    </row>
    <row r="304" spans="1:29" x14ac:dyDescent="0.25">
      <c r="A304" t="s">
        <v>135</v>
      </c>
      <c r="B304">
        <v>6</v>
      </c>
      <c r="C304" t="s">
        <v>968</v>
      </c>
      <c r="D304" t="s">
        <v>471</v>
      </c>
      <c r="E304">
        <v>11</v>
      </c>
      <c r="F304">
        <v>8.74</v>
      </c>
      <c r="G304">
        <v>23.04</v>
      </c>
      <c r="H304" t="s">
        <v>87</v>
      </c>
      <c r="I304" t="s">
        <v>87</v>
      </c>
      <c r="J304" t="s">
        <v>49</v>
      </c>
      <c r="K304">
        <f t="shared" si="48"/>
        <v>109.91000000000001</v>
      </c>
      <c r="L304">
        <f t="shared" si="49"/>
        <v>387.28550000000001</v>
      </c>
      <c r="M304" t="str">
        <f t="shared" si="50"/>
        <v>perry-6</v>
      </c>
      <c r="N304" t="str">
        <f>INDEX(Scores!$A$2:$A$11,INDEX(Scores!$AA$2:$AA$131,MATCH(C304,Scores!$AB$2:$AB$131,0)))</f>
        <v>perry</v>
      </c>
      <c r="O304">
        <f t="shared" si="51"/>
        <v>88.72</v>
      </c>
      <c r="P304">
        <f t="shared" si="52"/>
        <v>407.6961</v>
      </c>
      <c r="Q304" s="3">
        <f t="shared" si="53"/>
        <v>0.77383629678575794</v>
      </c>
      <c r="R304" s="3">
        <f t="shared" si="54"/>
        <v>0.80066973748851045</v>
      </c>
      <c r="S304" s="9">
        <f t="shared" si="55"/>
        <v>2.6833440702752509E-2</v>
      </c>
      <c r="T304">
        <f t="shared" si="56"/>
        <v>119</v>
      </c>
      <c r="U304">
        <f t="shared" si="57"/>
        <v>102</v>
      </c>
      <c r="V304" s="3">
        <f t="shared" si="58"/>
        <v>0.99893268865815887</v>
      </c>
      <c r="W304" s="9">
        <f t="shared" si="59"/>
        <v>1.0673113418411262E-3</v>
      </c>
      <c r="AC304"/>
    </row>
    <row r="305" spans="1:29" x14ac:dyDescent="0.25">
      <c r="A305" t="s">
        <v>93</v>
      </c>
      <c r="B305">
        <v>1</v>
      </c>
      <c r="C305" t="s">
        <v>502</v>
      </c>
      <c r="D305" t="s">
        <v>471</v>
      </c>
      <c r="E305">
        <v>6</v>
      </c>
      <c r="F305">
        <v>13.16</v>
      </c>
      <c r="G305">
        <v>67.076099999999997</v>
      </c>
      <c r="H305" t="s">
        <v>87</v>
      </c>
      <c r="I305" t="s">
        <v>87</v>
      </c>
      <c r="J305" t="s">
        <v>16</v>
      </c>
      <c r="K305">
        <f t="shared" si="48"/>
        <v>105.11000000000001</v>
      </c>
      <c r="L305">
        <f t="shared" si="49"/>
        <v>445.52289999999994</v>
      </c>
      <c r="M305" t="str">
        <f t="shared" si="50"/>
        <v>perry-1</v>
      </c>
      <c r="N305" t="str">
        <f>INDEX(Scores!$A$2:$A$11,INDEX(Scores!$AA$2:$AA$131,MATCH(C305,Scores!$AB$2:$AB$131,0)))</f>
        <v>perry</v>
      </c>
      <c r="O305">
        <f t="shared" si="51"/>
        <v>94.44</v>
      </c>
      <c r="P305">
        <f t="shared" si="52"/>
        <v>399.28809999999999</v>
      </c>
      <c r="Q305" s="3">
        <f t="shared" si="53"/>
        <v>0.64322786671093812</v>
      </c>
      <c r="R305" s="3">
        <f t="shared" si="54"/>
        <v>0.55007903927301893</v>
      </c>
      <c r="S305" s="9">
        <f t="shared" si="55"/>
        <v>-9.3148827437919191E-2</v>
      </c>
      <c r="T305">
        <f t="shared" si="56"/>
        <v>100</v>
      </c>
      <c r="U305">
        <f t="shared" si="57"/>
        <v>82</v>
      </c>
      <c r="V305" s="3">
        <f t="shared" si="58"/>
        <v>0.99893699052679996</v>
      </c>
      <c r="W305" s="9">
        <f t="shared" si="59"/>
        <v>1.0630094732000384E-3</v>
      </c>
      <c r="AC305"/>
    </row>
    <row r="306" spans="1:29" x14ac:dyDescent="0.25">
      <c r="A306" t="s">
        <v>446</v>
      </c>
      <c r="B306">
        <v>3</v>
      </c>
      <c r="C306" t="s">
        <v>806</v>
      </c>
      <c r="D306" t="s">
        <v>478</v>
      </c>
      <c r="E306">
        <v>4</v>
      </c>
      <c r="F306">
        <v>7.81</v>
      </c>
      <c r="G306">
        <v>14.668900000000001</v>
      </c>
      <c r="H306" t="s">
        <v>478</v>
      </c>
      <c r="I306" t="s">
        <v>478</v>
      </c>
      <c r="J306" t="s">
        <v>55</v>
      </c>
      <c r="K306">
        <f t="shared" si="48"/>
        <v>107.31</v>
      </c>
      <c r="L306">
        <f t="shared" si="49"/>
        <v>425.77620000000002</v>
      </c>
      <c r="M306" t="str">
        <f t="shared" si="50"/>
        <v>seth-3</v>
      </c>
      <c r="N306" t="str">
        <f>INDEX(Scores!$A$2:$A$11,INDEX(Scores!$AA$2:$AA$131,MATCH(C306,Scores!$AB$2:$AB$131,0)))</f>
        <v>seth</v>
      </c>
      <c r="O306">
        <f t="shared" si="51"/>
        <v>94.54</v>
      </c>
      <c r="P306">
        <f t="shared" si="52"/>
        <v>356.43470000000002</v>
      </c>
      <c r="Q306" s="3">
        <f t="shared" si="53"/>
        <v>0.6760180870914847</v>
      </c>
      <c r="R306" s="3">
        <f t="shared" si="54"/>
        <v>0.62680860553994466</v>
      </c>
      <c r="S306" s="9">
        <f t="shared" si="55"/>
        <v>-4.9209481551540035E-2</v>
      </c>
      <c r="T306">
        <f t="shared" si="56"/>
        <v>96</v>
      </c>
      <c r="U306">
        <f t="shared" si="57"/>
        <v>88</v>
      </c>
      <c r="V306" s="3">
        <f t="shared" si="58"/>
        <v>0.99897726946664789</v>
      </c>
      <c r="W306" s="9">
        <f t="shared" si="59"/>
        <v>1.0227305333521119E-3</v>
      </c>
      <c r="AC306"/>
    </row>
    <row r="307" spans="1:29" x14ac:dyDescent="0.25">
      <c r="A307" t="s">
        <v>156</v>
      </c>
      <c r="B307">
        <v>4</v>
      </c>
      <c r="C307" t="s">
        <v>863</v>
      </c>
      <c r="D307" t="s">
        <v>472</v>
      </c>
      <c r="E307">
        <v>4</v>
      </c>
      <c r="F307">
        <v>6.8</v>
      </c>
      <c r="G307">
        <v>22.944099999999999</v>
      </c>
      <c r="H307" t="s">
        <v>87</v>
      </c>
      <c r="I307" t="s">
        <v>87</v>
      </c>
      <c r="J307" t="s">
        <v>35</v>
      </c>
      <c r="K307">
        <f t="shared" si="48"/>
        <v>99.78</v>
      </c>
      <c r="L307">
        <f t="shared" si="49"/>
        <v>369.21209999999996</v>
      </c>
      <c r="M307" t="str">
        <f t="shared" si="50"/>
        <v>perry-4</v>
      </c>
      <c r="N307" t="str">
        <f>INDEX(Scores!$A$2:$A$11,INDEX(Scores!$AA$2:$AA$131,MATCH(C307,Scores!$AB$2:$AB$131,0)))</f>
        <v>perry</v>
      </c>
      <c r="O307">
        <f t="shared" si="51"/>
        <v>111.07000000000001</v>
      </c>
      <c r="P307">
        <f t="shared" si="52"/>
        <v>406.62959999999998</v>
      </c>
      <c r="Q307" s="3">
        <f t="shared" si="53"/>
        <v>0.34261794725331807</v>
      </c>
      <c r="R307" s="3">
        <f t="shared" si="54"/>
        <v>0.30379973508952329</v>
      </c>
      <c r="S307" s="9">
        <f t="shared" si="55"/>
        <v>-3.8818212163794774E-2</v>
      </c>
      <c r="T307">
        <f t="shared" si="56"/>
        <v>84</v>
      </c>
      <c r="U307">
        <f t="shared" si="57"/>
        <v>72</v>
      </c>
      <c r="V307" s="3">
        <f t="shared" si="58"/>
        <v>0.99899844345779953</v>
      </c>
      <c r="W307" s="9">
        <f t="shared" si="59"/>
        <v>1.0015565422004657E-3</v>
      </c>
      <c r="AC307"/>
    </row>
    <row r="308" spans="1:29" x14ac:dyDescent="0.25">
      <c r="A308" t="s">
        <v>69</v>
      </c>
      <c r="B308">
        <v>6</v>
      </c>
      <c r="C308" t="s">
        <v>920</v>
      </c>
      <c r="D308" t="s">
        <v>467</v>
      </c>
      <c r="E308">
        <v>14</v>
      </c>
      <c r="F308">
        <v>17.53</v>
      </c>
      <c r="G308">
        <v>52.852899999999998</v>
      </c>
      <c r="H308" t="s">
        <v>15</v>
      </c>
      <c r="I308" t="s">
        <v>15</v>
      </c>
      <c r="J308" t="s">
        <v>55</v>
      </c>
      <c r="K308">
        <f t="shared" si="48"/>
        <v>108.8</v>
      </c>
      <c r="L308">
        <f t="shared" si="49"/>
        <v>404.29040000000003</v>
      </c>
      <c r="M308" t="str">
        <f t="shared" si="50"/>
        <v>cory-6</v>
      </c>
      <c r="N308" t="str">
        <f>INDEX(Scores!$A$2:$A$11,INDEX(Scores!$AA$2:$AA$131,MATCH(C308,Scores!$AB$2:$AB$131,0)))</f>
        <v>cory</v>
      </c>
      <c r="O308">
        <f t="shared" si="51"/>
        <v>102.10000000000001</v>
      </c>
      <c r="P308">
        <f t="shared" si="52"/>
        <v>445.16630000000004</v>
      </c>
      <c r="Q308" s="3">
        <f t="shared" si="53"/>
        <v>0.59090810623639012</v>
      </c>
      <c r="R308" s="3">
        <f t="shared" si="54"/>
        <v>0.54471320779271415</v>
      </c>
      <c r="S308" s="9">
        <f t="shared" si="55"/>
        <v>-4.6194898443675969E-2</v>
      </c>
      <c r="T308">
        <f t="shared" si="56"/>
        <v>104</v>
      </c>
      <c r="U308">
        <f t="shared" si="57"/>
        <v>85</v>
      </c>
      <c r="V308" s="3">
        <f t="shared" si="58"/>
        <v>0.9990292465952505</v>
      </c>
      <c r="W308" s="9">
        <f t="shared" si="59"/>
        <v>9.7075340474950256E-4</v>
      </c>
      <c r="AC308"/>
    </row>
    <row r="309" spans="1:29" x14ac:dyDescent="0.25">
      <c r="A309" t="s">
        <v>1100</v>
      </c>
      <c r="B309">
        <v>10</v>
      </c>
      <c r="C309" t="s">
        <v>948</v>
      </c>
      <c r="D309" t="s">
        <v>468</v>
      </c>
      <c r="E309">
        <v>12</v>
      </c>
      <c r="F309">
        <v>15.53</v>
      </c>
      <c r="G309">
        <v>62.568100000000001</v>
      </c>
      <c r="H309" t="s">
        <v>47</v>
      </c>
      <c r="I309" t="s">
        <v>47</v>
      </c>
      <c r="J309" t="s">
        <v>62</v>
      </c>
      <c r="K309">
        <f t="shared" si="48"/>
        <v>103.91999999999999</v>
      </c>
      <c r="L309">
        <f t="shared" si="49"/>
        <v>398.26569999999992</v>
      </c>
      <c r="M309" t="str">
        <f t="shared" si="50"/>
        <v>aj-10</v>
      </c>
      <c r="N309" t="str">
        <f>INDEX(Scores!$A$2:$A$11,INDEX(Scores!$AA$2:$AA$131,MATCH(C309,Scores!$AB$2:$AB$131,0)))</f>
        <v>aj</v>
      </c>
      <c r="O309">
        <f t="shared" si="51"/>
        <v>110.08000000000001</v>
      </c>
      <c r="P309">
        <f t="shared" si="52"/>
        <v>372.64320000000004</v>
      </c>
      <c r="Q309" s="3">
        <f t="shared" si="53"/>
        <v>0.41221140040071919</v>
      </c>
      <c r="R309" s="3">
        <f t="shared" si="54"/>
        <v>0.35789731211426612</v>
      </c>
      <c r="S309" s="9">
        <f t="shared" si="55"/>
        <v>-5.4314088286453066E-2</v>
      </c>
      <c r="T309">
        <f t="shared" si="56"/>
        <v>103</v>
      </c>
      <c r="U309">
        <f t="shared" si="57"/>
        <v>82</v>
      </c>
      <c r="V309" s="3">
        <f t="shared" si="58"/>
        <v>0.99903610722598679</v>
      </c>
      <c r="W309" s="9">
        <f t="shared" si="59"/>
        <v>9.6389277401320861E-4</v>
      </c>
      <c r="AC309"/>
    </row>
    <row r="310" spans="1:29" x14ac:dyDescent="0.25">
      <c r="A310" t="s">
        <v>412</v>
      </c>
      <c r="B310">
        <v>6</v>
      </c>
      <c r="C310" t="s">
        <v>936</v>
      </c>
      <c r="D310" t="s">
        <v>477</v>
      </c>
      <c r="E310">
        <v>8</v>
      </c>
      <c r="F310">
        <v>10.82</v>
      </c>
      <c r="G310">
        <v>49.2804</v>
      </c>
      <c r="H310" t="s">
        <v>477</v>
      </c>
      <c r="I310" t="s">
        <v>477</v>
      </c>
      <c r="J310" t="s">
        <v>27</v>
      </c>
      <c r="K310">
        <f t="shared" si="48"/>
        <v>104.66</v>
      </c>
      <c r="L310">
        <f t="shared" si="49"/>
        <v>375.94899999999996</v>
      </c>
      <c r="M310" t="str">
        <f t="shared" si="50"/>
        <v>devon-6</v>
      </c>
      <c r="N310" t="str">
        <f>INDEX(Scores!$A$2:$A$11,INDEX(Scores!$AA$2:$AA$131,MATCH(C310,Scores!$AB$2:$AB$131,0)))</f>
        <v>devon</v>
      </c>
      <c r="O310">
        <f t="shared" si="51"/>
        <v>101.41999999999999</v>
      </c>
      <c r="P310">
        <f t="shared" si="52"/>
        <v>401.13359999999994</v>
      </c>
      <c r="Q310" s="3">
        <f t="shared" si="53"/>
        <v>0.54626414609906893</v>
      </c>
      <c r="R310" s="3">
        <f t="shared" si="54"/>
        <v>0.50621062247935633</v>
      </c>
      <c r="S310" s="9">
        <f t="shared" si="55"/>
        <v>-4.0053523619712594E-2</v>
      </c>
      <c r="T310">
        <f t="shared" si="56"/>
        <v>91</v>
      </c>
      <c r="U310">
        <f t="shared" si="57"/>
        <v>72</v>
      </c>
      <c r="V310" s="3">
        <f t="shared" si="58"/>
        <v>0.99905904457889128</v>
      </c>
      <c r="W310" s="9">
        <f t="shared" si="59"/>
        <v>9.4095542110872454E-4</v>
      </c>
      <c r="AC310"/>
    </row>
    <row r="311" spans="1:29" x14ac:dyDescent="0.25">
      <c r="A311" t="s">
        <v>116</v>
      </c>
      <c r="B311">
        <v>2</v>
      </c>
      <c r="C311" t="s">
        <v>633</v>
      </c>
      <c r="D311" t="s">
        <v>471</v>
      </c>
      <c r="E311">
        <v>26</v>
      </c>
      <c r="F311">
        <v>10.3</v>
      </c>
      <c r="G311">
        <v>34.456899999999997</v>
      </c>
      <c r="H311" t="s">
        <v>87</v>
      </c>
      <c r="I311" t="s">
        <v>87</v>
      </c>
      <c r="J311" t="s">
        <v>35</v>
      </c>
      <c r="K311">
        <f t="shared" si="48"/>
        <v>100.92999999999999</v>
      </c>
      <c r="L311">
        <f t="shared" si="49"/>
        <v>374.85250000000002</v>
      </c>
      <c r="M311" t="str">
        <f t="shared" si="50"/>
        <v>scott-2</v>
      </c>
      <c r="N311" t="str">
        <f>INDEX(Scores!$A$2:$A$11,INDEX(Scores!$AA$2:$AA$131,MATCH(C311,Scores!$AB$2:$AB$131,0)))</f>
        <v>scott</v>
      </c>
      <c r="O311">
        <f t="shared" si="51"/>
        <v>103.25</v>
      </c>
      <c r="P311">
        <f t="shared" si="52"/>
        <v>377.00829999999996</v>
      </c>
      <c r="Q311" s="3">
        <f t="shared" si="53"/>
        <v>0.46628591266319391</v>
      </c>
      <c r="R311" s="3">
        <f t="shared" si="54"/>
        <v>0.69130210360871036</v>
      </c>
      <c r="S311" s="9">
        <f t="shared" si="55"/>
        <v>0.22501619094551645</v>
      </c>
      <c r="T311">
        <f t="shared" si="56"/>
        <v>140</v>
      </c>
      <c r="U311">
        <f t="shared" si="57"/>
        <v>106</v>
      </c>
      <c r="V311" s="3">
        <f t="shared" si="58"/>
        <v>0.99908818519721221</v>
      </c>
      <c r="W311" s="9">
        <f t="shared" si="59"/>
        <v>9.1181480278779148E-4</v>
      </c>
      <c r="AC311"/>
    </row>
    <row r="312" spans="1:29" x14ac:dyDescent="0.25">
      <c r="A312" t="s">
        <v>99</v>
      </c>
      <c r="B312">
        <v>1</v>
      </c>
      <c r="C312" t="s">
        <v>502</v>
      </c>
      <c r="D312" t="s">
        <v>469</v>
      </c>
      <c r="E312">
        <v>9</v>
      </c>
      <c r="F312">
        <v>10.82</v>
      </c>
      <c r="G312">
        <v>39.942399999999999</v>
      </c>
      <c r="H312" t="s">
        <v>47</v>
      </c>
      <c r="I312" t="s">
        <v>47</v>
      </c>
      <c r="J312" t="s">
        <v>16</v>
      </c>
      <c r="K312">
        <f t="shared" si="48"/>
        <v>105.11000000000001</v>
      </c>
      <c r="L312">
        <f t="shared" si="49"/>
        <v>445.52289999999994</v>
      </c>
      <c r="M312" t="str">
        <f t="shared" si="50"/>
        <v>perry-1</v>
      </c>
      <c r="N312" t="str">
        <f>INDEX(Scores!$A$2:$A$11,INDEX(Scores!$AA$2:$AA$131,MATCH(C312,Scores!$AB$2:$AB$131,0)))</f>
        <v>perry</v>
      </c>
      <c r="O312">
        <f t="shared" si="51"/>
        <v>94.44</v>
      </c>
      <c r="P312">
        <f t="shared" si="52"/>
        <v>399.28809999999999</v>
      </c>
      <c r="Q312" s="3">
        <f t="shared" si="53"/>
        <v>0.64322786671093812</v>
      </c>
      <c r="R312" s="3">
        <f t="shared" si="54"/>
        <v>0.62245958913164112</v>
      </c>
      <c r="S312" s="9">
        <f t="shared" si="55"/>
        <v>-2.0768277579297001E-2</v>
      </c>
      <c r="T312">
        <f t="shared" si="56"/>
        <v>100</v>
      </c>
      <c r="U312">
        <f t="shared" si="57"/>
        <v>82</v>
      </c>
      <c r="V312" s="3">
        <f t="shared" si="58"/>
        <v>0.9991438757240495</v>
      </c>
      <c r="W312" s="9">
        <f t="shared" si="59"/>
        <v>8.5612427595049834E-4</v>
      </c>
      <c r="AC312"/>
    </row>
    <row r="313" spans="1:29" x14ac:dyDescent="0.25">
      <c r="A313" t="s">
        <v>97</v>
      </c>
      <c r="B313">
        <v>3</v>
      </c>
      <c r="C313" t="s">
        <v>807</v>
      </c>
      <c r="D313" t="s">
        <v>469</v>
      </c>
      <c r="E313">
        <v>26</v>
      </c>
      <c r="F313">
        <v>9.31</v>
      </c>
      <c r="G313">
        <v>17.892900000000001</v>
      </c>
      <c r="H313" t="s">
        <v>47</v>
      </c>
      <c r="I313" t="s">
        <v>47</v>
      </c>
      <c r="J313" t="s">
        <v>20</v>
      </c>
      <c r="K313">
        <f t="shared" si="48"/>
        <v>110.35</v>
      </c>
      <c r="L313">
        <f t="shared" si="49"/>
        <v>442.53309999999999</v>
      </c>
      <c r="M313" t="str">
        <f t="shared" si="50"/>
        <v>perry-3</v>
      </c>
      <c r="N313" t="str">
        <f>INDEX(Scores!$A$2:$A$11,INDEX(Scores!$AA$2:$AA$131,MATCH(C313,Scores!$AB$2:$AB$131,0)))</f>
        <v>perry</v>
      </c>
      <c r="O313">
        <f t="shared" si="51"/>
        <v>101.86999999999999</v>
      </c>
      <c r="P313">
        <f t="shared" si="52"/>
        <v>350.57169999999996</v>
      </c>
      <c r="Q313" s="3">
        <f t="shared" si="53"/>
        <v>0.61833611537492805</v>
      </c>
      <c r="R313" s="3">
        <f t="shared" si="54"/>
        <v>0.81700482118217588</v>
      </c>
      <c r="S313" s="9">
        <f t="shared" si="55"/>
        <v>0.19866870580724783</v>
      </c>
      <c r="T313">
        <f t="shared" si="56"/>
        <v>132</v>
      </c>
      <c r="U313">
        <f t="shared" si="57"/>
        <v>102</v>
      </c>
      <c r="V313" s="3">
        <f t="shared" si="58"/>
        <v>0.99917401737894018</v>
      </c>
      <c r="W313" s="9">
        <f t="shared" si="59"/>
        <v>8.2598262105981757E-4</v>
      </c>
      <c r="AC313"/>
    </row>
    <row r="314" spans="1:29" x14ac:dyDescent="0.25">
      <c r="A314" t="s">
        <v>150</v>
      </c>
      <c r="B314">
        <v>7</v>
      </c>
      <c r="C314" t="s">
        <v>905</v>
      </c>
      <c r="D314" t="s">
        <v>471</v>
      </c>
      <c r="E314">
        <v>6</v>
      </c>
      <c r="F314">
        <v>9.1300000000000008</v>
      </c>
      <c r="G314">
        <v>40.832099999999997</v>
      </c>
      <c r="H314" t="s">
        <v>87</v>
      </c>
      <c r="I314" t="s">
        <v>87</v>
      </c>
      <c r="J314" t="s">
        <v>20</v>
      </c>
      <c r="K314">
        <f t="shared" si="48"/>
        <v>114.48000000000002</v>
      </c>
      <c r="L314">
        <f t="shared" si="49"/>
        <v>430.3667999999999</v>
      </c>
      <c r="M314" t="str">
        <f t="shared" si="50"/>
        <v>matty-7</v>
      </c>
      <c r="N314" t="str">
        <f>INDEX(Scores!$A$2:$A$11,INDEX(Scores!$AA$2:$AA$131,MATCH(C314,Scores!$AB$2:$AB$131,0)))</f>
        <v>matty</v>
      </c>
      <c r="O314">
        <f t="shared" si="51"/>
        <v>87.490000000000009</v>
      </c>
      <c r="P314">
        <f t="shared" si="52"/>
        <v>277.88929999999999</v>
      </c>
      <c r="Q314" s="3">
        <f t="shared" si="53"/>
        <v>0.84474748784368747</v>
      </c>
      <c r="R314" s="3">
        <f t="shared" si="54"/>
        <v>0.82214472093878388</v>
      </c>
      <c r="S314" s="9">
        <f t="shared" si="55"/>
        <v>-2.2602766904903593E-2</v>
      </c>
      <c r="T314">
        <f t="shared" si="56"/>
        <v>82</v>
      </c>
      <c r="U314">
        <f t="shared" si="57"/>
        <v>65</v>
      </c>
      <c r="V314" s="3">
        <f t="shared" si="58"/>
        <v>0.9991843033739215</v>
      </c>
      <c r="W314" s="9">
        <f t="shared" si="59"/>
        <v>8.1569662607849924E-4</v>
      </c>
      <c r="AC314"/>
    </row>
    <row r="315" spans="1:29" x14ac:dyDescent="0.25">
      <c r="A315" t="s">
        <v>203</v>
      </c>
      <c r="B315">
        <v>9</v>
      </c>
      <c r="C315" t="s">
        <v>963</v>
      </c>
      <c r="D315" t="s">
        <v>472</v>
      </c>
      <c r="E315">
        <v>10</v>
      </c>
      <c r="F315">
        <v>7.9</v>
      </c>
      <c r="G315">
        <v>28.408899999999999</v>
      </c>
      <c r="H315" t="s">
        <v>87</v>
      </c>
      <c r="I315" t="s">
        <v>87</v>
      </c>
      <c r="J315" t="s">
        <v>23</v>
      </c>
      <c r="K315">
        <f t="shared" si="48"/>
        <v>98.35</v>
      </c>
      <c r="L315">
        <f t="shared" si="49"/>
        <v>385.97739999999999</v>
      </c>
      <c r="M315" t="str">
        <f t="shared" si="50"/>
        <v>aj-9</v>
      </c>
      <c r="N315" t="str">
        <f>INDEX(Scores!$A$2:$A$11,INDEX(Scores!$AA$2:$AA$131,MATCH(C315,Scores!$AB$2:$AB$131,0)))</f>
        <v>aj</v>
      </c>
      <c r="O315">
        <f t="shared" si="51"/>
        <v>102.03999999999999</v>
      </c>
      <c r="P315">
        <f t="shared" si="52"/>
        <v>392.2131</v>
      </c>
      <c r="Q315" s="3">
        <f t="shared" si="53"/>
        <v>0.4473827117902357</v>
      </c>
      <c r="R315" s="3">
        <f t="shared" si="54"/>
        <v>0.4768476116746676</v>
      </c>
      <c r="S315" s="9">
        <f t="shared" si="55"/>
        <v>2.9464899884431905E-2</v>
      </c>
      <c r="T315">
        <f t="shared" si="56"/>
        <v>105</v>
      </c>
      <c r="U315">
        <f t="shared" si="57"/>
        <v>86</v>
      </c>
      <c r="V315" s="3">
        <f t="shared" si="58"/>
        <v>0.99923972244799775</v>
      </c>
      <c r="W315" s="9">
        <f t="shared" si="59"/>
        <v>7.6027755200225311E-4</v>
      </c>
      <c r="AC315"/>
    </row>
    <row r="316" spans="1:29" x14ac:dyDescent="0.25">
      <c r="A316" t="s">
        <v>167</v>
      </c>
      <c r="B316">
        <v>2</v>
      </c>
      <c r="C316" t="s">
        <v>638</v>
      </c>
      <c r="D316" t="s">
        <v>472</v>
      </c>
      <c r="E316">
        <v>1</v>
      </c>
      <c r="F316">
        <v>5.75</v>
      </c>
      <c r="G316">
        <v>18.662400000000002</v>
      </c>
      <c r="H316" t="s">
        <v>87</v>
      </c>
      <c r="I316" t="s">
        <v>87</v>
      </c>
      <c r="J316" t="s">
        <v>62</v>
      </c>
      <c r="K316">
        <f t="shared" si="48"/>
        <v>102.72000000000001</v>
      </c>
      <c r="L316">
        <f t="shared" si="49"/>
        <v>348.54960000000005</v>
      </c>
      <c r="M316" t="str">
        <f t="shared" si="50"/>
        <v>aj-2</v>
      </c>
      <c r="N316" t="str">
        <f>INDEX(Scores!$A$2:$A$11,INDEX(Scores!$AA$2:$AA$131,MATCH(C316,Scores!$AB$2:$AB$131,0)))</f>
        <v>aj</v>
      </c>
      <c r="O316">
        <f t="shared" si="51"/>
        <v>103.77999999999999</v>
      </c>
      <c r="P316">
        <f t="shared" si="52"/>
        <v>338.9511</v>
      </c>
      <c r="Q316" s="3">
        <f t="shared" si="53"/>
        <v>0.48387643490903587</v>
      </c>
      <c r="R316" s="3">
        <f t="shared" si="54"/>
        <v>0.41112394262678542</v>
      </c>
      <c r="S316" s="9">
        <f t="shared" si="55"/>
        <v>-7.2752492282250447E-2</v>
      </c>
      <c r="T316">
        <f t="shared" si="56"/>
        <v>99</v>
      </c>
      <c r="U316">
        <f t="shared" si="57"/>
        <v>90</v>
      </c>
      <c r="V316" s="3">
        <f t="shared" si="58"/>
        <v>0.99927088558210619</v>
      </c>
      <c r="W316" s="9">
        <f t="shared" si="59"/>
        <v>7.2911441789380582E-4</v>
      </c>
      <c r="AC316"/>
    </row>
    <row r="317" spans="1:29" x14ac:dyDescent="0.25">
      <c r="A317" t="s">
        <v>112</v>
      </c>
      <c r="B317">
        <v>6</v>
      </c>
      <c r="C317" t="s">
        <v>968</v>
      </c>
      <c r="D317" t="s">
        <v>466</v>
      </c>
      <c r="E317">
        <v>11</v>
      </c>
      <c r="F317">
        <v>8.92</v>
      </c>
      <c r="G317">
        <v>21.9024</v>
      </c>
      <c r="H317" t="s">
        <v>466</v>
      </c>
      <c r="I317" t="s">
        <v>47</v>
      </c>
      <c r="J317" t="s">
        <v>49</v>
      </c>
      <c r="K317">
        <f t="shared" si="48"/>
        <v>109.91000000000001</v>
      </c>
      <c r="L317">
        <f t="shared" si="49"/>
        <v>387.28550000000001</v>
      </c>
      <c r="M317" t="str">
        <f t="shared" si="50"/>
        <v>perry-6</v>
      </c>
      <c r="N317" t="str">
        <f>INDEX(Scores!$A$2:$A$11,INDEX(Scores!$AA$2:$AA$131,MATCH(C317,Scores!$AB$2:$AB$131,0)))</f>
        <v>perry</v>
      </c>
      <c r="O317">
        <f t="shared" si="51"/>
        <v>88.72</v>
      </c>
      <c r="P317">
        <f t="shared" si="52"/>
        <v>407.6961</v>
      </c>
      <c r="Q317" s="3">
        <f t="shared" si="53"/>
        <v>0.77383629678575794</v>
      </c>
      <c r="R317" s="3">
        <f t="shared" si="54"/>
        <v>0.79868147097892406</v>
      </c>
      <c r="S317" s="9">
        <f t="shared" si="55"/>
        <v>2.484517419316612E-2</v>
      </c>
      <c r="T317">
        <f t="shared" si="56"/>
        <v>119</v>
      </c>
      <c r="U317">
        <f t="shared" si="57"/>
        <v>102</v>
      </c>
      <c r="V317" s="3">
        <f t="shared" si="58"/>
        <v>0.99928378200477341</v>
      </c>
      <c r="W317" s="9">
        <f t="shared" si="59"/>
        <v>7.162179952265868E-4</v>
      </c>
      <c r="AC317"/>
    </row>
    <row r="318" spans="1:29" x14ac:dyDescent="0.25">
      <c r="A318" t="s">
        <v>110</v>
      </c>
      <c r="B318">
        <v>4</v>
      </c>
      <c r="C318" t="s">
        <v>864</v>
      </c>
      <c r="D318" t="s">
        <v>473</v>
      </c>
      <c r="E318">
        <v>14</v>
      </c>
      <c r="F318">
        <v>12.01</v>
      </c>
      <c r="G318">
        <v>43.428100000000001</v>
      </c>
      <c r="H318" t="s">
        <v>87</v>
      </c>
      <c r="I318" t="s">
        <v>87</v>
      </c>
      <c r="J318" t="s">
        <v>49</v>
      </c>
      <c r="K318">
        <f t="shared" si="48"/>
        <v>109.71999999999998</v>
      </c>
      <c r="L318">
        <f t="shared" si="49"/>
        <v>421.03860000000003</v>
      </c>
      <c r="M318" t="str">
        <f t="shared" si="50"/>
        <v>lucas-4</v>
      </c>
      <c r="N318" t="str">
        <f>INDEX(Scores!$A$2:$A$11,INDEX(Scores!$AA$2:$AA$131,MATCH(C318,Scores!$AB$2:$AB$131,0)))</f>
        <v>lucas</v>
      </c>
      <c r="O318">
        <f t="shared" si="51"/>
        <v>0</v>
      </c>
      <c r="P318">
        <f t="shared" si="52"/>
        <v>0</v>
      </c>
      <c r="Q318" s="3">
        <f t="shared" si="53"/>
        <v>0.99999995533253605</v>
      </c>
      <c r="R318" s="3">
        <f t="shared" si="54"/>
        <v>0.99999999550352103</v>
      </c>
      <c r="S318" s="9">
        <f t="shared" si="55"/>
        <v>4.0170984982879077E-8</v>
      </c>
      <c r="T318">
        <f t="shared" si="56"/>
        <v>92</v>
      </c>
      <c r="U318">
        <f t="shared" si="57"/>
        <v>0</v>
      </c>
      <c r="V318" s="3">
        <f t="shared" si="58"/>
        <v>1</v>
      </c>
      <c r="W318" s="9">
        <f t="shared" si="59"/>
        <v>0</v>
      </c>
      <c r="AC318"/>
    </row>
    <row r="319" spans="1:29" x14ac:dyDescent="0.25">
      <c r="A319" t="s">
        <v>21</v>
      </c>
      <c r="B319">
        <v>10</v>
      </c>
      <c r="C319" t="s">
        <v>948</v>
      </c>
      <c r="D319" t="s">
        <v>467</v>
      </c>
      <c r="E319">
        <v>13</v>
      </c>
      <c r="F319">
        <v>20.39</v>
      </c>
      <c r="G319">
        <v>79.0321</v>
      </c>
      <c r="H319" t="s">
        <v>15</v>
      </c>
      <c r="I319" t="s">
        <v>15</v>
      </c>
      <c r="J319" t="s">
        <v>62</v>
      </c>
      <c r="K319">
        <f t="shared" si="48"/>
        <v>103.91999999999999</v>
      </c>
      <c r="L319">
        <f t="shared" si="49"/>
        <v>398.26569999999992</v>
      </c>
      <c r="M319" t="str">
        <f t="shared" si="50"/>
        <v>aj-10</v>
      </c>
      <c r="N319" t="str">
        <f>INDEX(Scores!$A$2:$A$11,INDEX(Scores!$AA$2:$AA$131,MATCH(C319,Scores!$AB$2:$AB$131,0)))</f>
        <v>aj</v>
      </c>
      <c r="O319">
        <f t="shared" si="51"/>
        <v>110.08000000000001</v>
      </c>
      <c r="P319">
        <f t="shared" si="52"/>
        <v>372.64320000000004</v>
      </c>
      <c r="Q319" s="3">
        <f t="shared" si="53"/>
        <v>0.41221140040071919</v>
      </c>
      <c r="R319" s="3">
        <f t="shared" si="54"/>
        <v>0.30322774661856183</v>
      </c>
      <c r="S319" s="9">
        <f t="shared" si="55"/>
        <v>-0.10898365378215735</v>
      </c>
      <c r="T319">
        <f t="shared" si="56"/>
        <v>103</v>
      </c>
      <c r="U319">
        <f t="shared" si="57"/>
        <v>82</v>
      </c>
      <c r="V319" s="3">
        <f t="shared" si="58"/>
        <v>0.99929714444120854</v>
      </c>
      <c r="W319" s="9">
        <f t="shared" si="59"/>
        <v>7.0285555879145978E-4</v>
      </c>
      <c r="AC319"/>
    </row>
    <row r="320" spans="1:29" x14ac:dyDescent="0.25">
      <c r="A320" t="s">
        <v>70</v>
      </c>
      <c r="B320">
        <v>11</v>
      </c>
      <c r="C320" t="s">
        <v>925</v>
      </c>
      <c r="D320" t="s">
        <v>467</v>
      </c>
      <c r="E320">
        <v>17</v>
      </c>
      <c r="F320">
        <v>17.95</v>
      </c>
      <c r="G320">
        <v>43.0336</v>
      </c>
      <c r="H320" t="s">
        <v>15</v>
      </c>
      <c r="I320" t="s">
        <v>15</v>
      </c>
      <c r="J320" t="s">
        <v>55</v>
      </c>
      <c r="K320">
        <f t="shared" si="48"/>
        <v>110.11</v>
      </c>
      <c r="L320">
        <f t="shared" si="49"/>
        <v>412.79880000000003</v>
      </c>
      <c r="M320" t="str">
        <f t="shared" si="50"/>
        <v>seth-11</v>
      </c>
      <c r="N320" t="str">
        <f>INDEX(Scores!$A$2:$A$11,INDEX(Scores!$AA$2:$AA$131,MATCH(C320,Scores!$AB$2:$AB$131,0)))</f>
        <v>seth</v>
      </c>
      <c r="O320">
        <f t="shared" si="51"/>
        <v>98.329999999999984</v>
      </c>
      <c r="P320">
        <f t="shared" si="52"/>
        <v>378.70709999999997</v>
      </c>
      <c r="Q320" s="3">
        <f t="shared" si="53"/>
        <v>0.66228767586387005</v>
      </c>
      <c r="R320" s="3">
        <f t="shared" si="54"/>
        <v>0.65389549822498316</v>
      </c>
      <c r="S320" s="9">
        <f t="shared" si="55"/>
        <v>-8.3921776388868885E-3</v>
      </c>
      <c r="T320">
        <f t="shared" si="56"/>
        <v>131</v>
      </c>
      <c r="U320">
        <f t="shared" si="57"/>
        <v>111</v>
      </c>
      <c r="V320" s="3">
        <f t="shared" si="58"/>
        <v>0.99929744075259197</v>
      </c>
      <c r="W320" s="9">
        <f t="shared" si="59"/>
        <v>7.0255924740803E-4</v>
      </c>
      <c r="AC320"/>
    </row>
    <row r="321" spans="1:29" x14ac:dyDescent="0.25">
      <c r="A321" t="s">
        <v>81</v>
      </c>
      <c r="B321">
        <v>5</v>
      </c>
      <c r="C321" t="s">
        <v>884</v>
      </c>
      <c r="D321" t="s">
        <v>468</v>
      </c>
      <c r="E321">
        <v>8</v>
      </c>
      <c r="F321">
        <v>14.77</v>
      </c>
      <c r="G321">
        <v>92.544399999999996</v>
      </c>
      <c r="H321" t="s">
        <v>47</v>
      </c>
      <c r="I321" t="s">
        <v>47</v>
      </c>
      <c r="J321" t="s">
        <v>40</v>
      </c>
      <c r="K321">
        <f t="shared" si="48"/>
        <v>89.689999999999984</v>
      </c>
      <c r="L321">
        <f t="shared" si="49"/>
        <v>445.42419999999998</v>
      </c>
      <c r="M321" t="e">
        <f t="shared" si="50"/>
        <v>#N/A</v>
      </c>
      <c r="N321" t="e">
        <f>INDEX(Scores!$A$2:$A$11,INDEX(Scores!$AA$2:$AA$131,MATCH(C321,Scores!$AB$2:$AB$131,0)))</f>
        <v>#N/A</v>
      </c>
      <c r="O321">
        <f t="shared" si="51"/>
        <v>0</v>
      </c>
      <c r="P321">
        <f t="shared" si="52"/>
        <v>0</v>
      </c>
      <c r="Q321" s="3">
        <f t="shared" si="53"/>
        <v>0.99998929661032787</v>
      </c>
      <c r="R321" s="3">
        <f t="shared" si="54"/>
        <v>0.99999492933426726</v>
      </c>
      <c r="S321" s="9">
        <f t="shared" si="55"/>
        <v>5.6327239393860751E-6</v>
      </c>
      <c r="T321">
        <f t="shared" si="56"/>
        <v>93</v>
      </c>
      <c r="U321">
        <f t="shared" si="57"/>
        <v>0</v>
      </c>
      <c r="V321" s="3">
        <f t="shared" si="58"/>
        <v>1</v>
      </c>
      <c r="W321" s="9">
        <f t="shared" si="59"/>
        <v>0</v>
      </c>
      <c r="AC321"/>
    </row>
    <row r="322" spans="1:29" x14ac:dyDescent="0.25">
      <c r="A322" t="s">
        <v>93</v>
      </c>
      <c r="B322">
        <v>4</v>
      </c>
      <c r="C322" t="s">
        <v>858</v>
      </c>
      <c r="D322" t="s">
        <v>471</v>
      </c>
      <c r="E322">
        <v>3</v>
      </c>
      <c r="F322">
        <v>12.34</v>
      </c>
      <c r="G322">
        <v>62.726399999999998</v>
      </c>
      <c r="H322" t="s">
        <v>87</v>
      </c>
      <c r="I322" t="s">
        <v>87</v>
      </c>
      <c r="J322" t="s">
        <v>16</v>
      </c>
      <c r="K322">
        <f t="shared" ref="K322:K385" si="60">SUMIF($C$2:$C$1301,$C322,$F$2:$F$1301)</f>
        <v>115.58999999999999</v>
      </c>
      <c r="L322">
        <f t="shared" ref="L322:L385" si="61">SUMIF($C$2:$C$1301,$C322,$G$2:$G$1301)</f>
        <v>432.42160000000007</v>
      </c>
      <c r="M322" t="str">
        <f t="shared" ref="M322:M385" si="62">N322&amp;"-"&amp;B322</f>
        <v>scott-4</v>
      </c>
      <c r="N322" t="str">
        <f>INDEX(Scores!$A$2:$A$11,INDEX(Scores!$AA$2:$AA$131,MATCH(C322,Scores!$AB$2:$AB$131,0)))</f>
        <v>scott</v>
      </c>
      <c r="O322">
        <f t="shared" ref="O322:O385" si="63">SUMIF($C$2:$C$1301,$M322,$F$2:$F$1301)</f>
        <v>113.07</v>
      </c>
      <c r="P322">
        <f t="shared" ref="P322:P385" si="64">SUMIF($C$2:$C$1301,$M322,$G$2:$G$1301)</f>
        <v>452.41279999999995</v>
      </c>
      <c r="Q322" s="3">
        <f t="shared" ref="Q322:Q385" si="65">_xlfn.NORM.DIST(0,$O322-$K322,SQRT($L322+$P322),TRUE)</f>
        <v>0.53375673014127667</v>
      </c>
      <c r="R322" s="3">
        <f t="shared" ref="R322:R385" si="66">_xlfn.NORM.DIST(0,$O322-$K322-($E322-$F322),SQRT($L322+$P322-$G322),TRUE)</f>
        <v>0.40599515401377745</v>
      </c>
      <c r="S322" s="9">
        <f t="shared" ref="S322:S385" si="67">R322-Q322</f>
        <v>-0.12776157612749922</v>
      </c>
      <c r="T322">
        <f t="shared" ref="T322:T385" si="68">SUMIF($C$2:$C$1301,$C322,$E$2:$E$1301)</f>
        <v>104</v>
      </c>
      <c r="U322">
        <f t="shared" ref="U322:U385" si="69">SUMIF($C$2:$C$1301,$M322,$E$2:$E$1301)</f>
        <v>88</v>
      </c>
      <c r="V322" s="3">
        <f t="shared" ref="V322:V385" si="70">_xlfn.NORM.DIST(0,U322-T322+E322-F322,SQRT(G322),TRUE)</f>
        <v>0.99931165700366287</v>
      </c>
      <c r="W322" s="9">
        <f t="shared" ref="W322:W385" si="71">IFERROR(IF(U322&gt;T322,0,1)-V322,0)</f>
        <v>6.8834299633713236E-4</v>
      </c>
      <c r="AC322"/>
    </row>
    <row r="323" spans="1:29" x14ac:dyDescent="0.25">
      <c r="A323" t="s">
        <v>165</v>
      </c>
      <c r="B323">
        <v>11</v>
      </c>
      <c r="C323" t="s">
        <v>925</v>
      </c>
      <c r="D323" t="s">
        <v>475</v>
      </c>
      <c r="E323">
        <v>9</v>
      </c>
      <c r="F323">
        <v>6.95</v>
      </c>
      <c r="G323">
        <v>31.472100000000001</v>
      </c>
      <c r="H323" t="s">
        <v>114</v>
      </c>
      <c r="I323" t="s">
        <v>114</v>
      </c>
      <c r="J323" t="s">
        <v>55</v>
      </c>
      <c r="K323">
        <f t="shared" si="60"/>
        <v>110.11</v>
      </c>
      <c r="L323">
        <f t="shared" si="61"/>
        <v>412.79880000000003</v>
      </c>
      <c r="M323" t="str">
        <f t="shared" si="62"/>
        <v>seth-11</v>
      </c>
      <c r="N323" t="str">
        <f>INDEX(Scores!$A$2:$A$11,INDEX(Scores!$AA$2:$AA$131,MATCH(C323,Scores!$AB$2:$AB$131,0)))</f>
        <v>seth</v>
      </c>
      <c r="O323">
        <f t="shared" si="63"/>
        <v>98.329999999999984</v>
      </c>
      <c r="P323">
        <f t="shared" si="64"/>
        <v>378.70709999999997</v>
      </c>
      <c r="Q323" s="3">
        <f t="shared" si="65"/>
        <v>0.66228767586387005</v>
      </c>
      <c r="R323" s="3">
        <f t="shared" si="66"/>
        <v>0.69204512444608213</v>
      </c>
      <c r="S323" s="9">
        <f t="shared" si="67"/>
        <v>2.9757448582212076E-2</v>
      </c>
      <c r="T323">
        <f t="shared" si="68"/>
        <v>131</v>
      </c>
      <c r="U323">
        <f t="shared" si="69"/>
        <v>111</v>
      </c>
      <c r="V323" s="3">
        <f t="shared" si="70"/>
        <v>0.99931201163478434</v>
      </c>
      <c r="W323" s="9">
        <f t="shared" si="71"/>
        <v>6.8798836521566376E-4</v>
      </c>
      <c r="AC323"/>
    </row>
    <row r="324" spans="1:29" x14ac:dyDescent="0.25">
      <c r="A324" t="s">
        <v>1100</v>
      </c>
      <c r="B324">
        <v>1</v>
      </c>
      <c r="C324" t="s">
        <v>501</v>
      </c>
      <c r="D324" t="s">
        <v>468</v>
      </c>
      <c r="E324">
        <v>15</v>
      </c>
      <c r="F324">
        <v>14.43</v>
      </c>
      <c r="G324">
        <v>32.832900000000002</v>
      </c>
      <c r="H324" t="s">
        <v>47</v>
      </c>
      <c r="I324" t="s">
        <v>47</v>
      </c>
      <c r="J324" t="s">
        <v>62</v>
      </c>
      <c r="K324">
        <f t="shared" si="60"/>
        <v>101.75</v>
      </c>
      <c r="L324">
        <f t="shared" si="61"/>
        <v>333.15260000000001</v>
      </c>
      <c r="M324" t="str">
        <f t="shared" si="62"/>
        <v>matty-1</v>
      </c>
      <c r="N324" t="str">
        <f>INDEX(Scores!$A$2:$A$11,INDEX(Scores!$AA$2:$AA$131,MATCH(C324,Scores!$AB$2:$AB$131,0)))</f>
        <v>matty</v>
      </c>
      <c r="O324">
        <f t="shared" si="63"/>
        <v>96.11</v>
      </c>
      <c r="P324">
        <f t="shared" si="64"/>
        <v>397.37959999999998</v>
      </c>
      <c r="Q324" s="3">
        <f t="shared" si="65"/>
        <v>0.58264695809701372</v>
      </c>
      <c r="R324" s="3">
        <f t="shared" si="66"/>
        <v>0.59293545478290566</v>
      </c>
      <c r="S324" s="9">
        <f t="shared" si="67"/>
        <v>1.0288496685891935E-2</v>
      </c>
      <c r="T324">
        <f t="shared" si="68"/>
        <v>95</v>
      </c>
      <c r="U324">
        <f t="shared" si="69"/>
        <v>76</v>
      </c>
      <c r="V324" s="3">
        <f t="shared" si="70"/>
        <v>0.99935096223177144</v>
      </c>
      <c r="W324" s="9">
        <f t="shared" si="71"/>
        <v>6.490377682285553E-4</v>
      </c>
      <c r="AC324"/>
    </row>
    <row r="325" spans="1:29" x14ac:dyDescent="0.25">
      <c r="A325" t="s">
        <v>105</v>
      </c>
      <c r="B325">
        <v>10</v>
      </c>
      <c r="C325" t="s">
        <v>948</v>
      </c>
      <c r="D325" t="s">
        <v>466</v>
      </c>
      <c r="E325">
        <v>9</v>
      </c>
      <c r="F325">
        <v>10.07</v>
      </c>
      <c r="G325">
        <v>46.648899999999998</v>
      </c>
      <c r="H325" t="s">
        <v>466</v>
      </c>
      <c r="I325" t="s">
        <v>87</v>
      </c>
      <c r="J325" t="s">
        <v>62</v>
      </c>
      <c r="K325">
        <f t="shared" si="60"/>
        <v>103.91999999999999</v>
      </c>
      <c r="L325">
        <f t="shared" si="61"/>
        <v>398.26569999999992</v>
      </c>
      <c r="M325" t="str">
        <f t="shared" si="62"/>
        <v>aj-10</v>
      </c>
      <c r="N325" t="str">
        <f>INDEX(Scores!$A$2:$A$11,INDEX(Scores!$AA$2:$AA$131,MATCH(C325,Scores!$AB$2:$AB$131,0)))</f>
        <v>aj</v>
      </c>
      <c r="O325">
        <f t="shared" si="63"/>
        <v>110.08000000000001</v>
      </c>
      <c r="P325">
        <f t="shared" si="64"/>
        <v>372.64320000000004</v>
      </c>
      <c r="Q325" s="3">
        <f t="shared" si="65"/>
        <v>0.41221140040071919</v>
      </c>
      <c r="R325" s="3">
        <f t="shared" si="66"/>
        <v>0.39409851560679032</v>
      </c>
      <c r="S325" s="9">
        <f t="shared" si="67"/>
        <v>-1.8112884793928863E-2</v>
      </c>
      <c r="T325">
        <f t="shared" si="68"/>
        <v>103</v>
      </c>
      <c r="U325">
        <f t="shared" si="69"/>
        <v>82</v>
      </c>
      <c r="V325" s="3">
        <f t="shared" si="70"/>
        <v>0.99938392710991863</v>
      </c>
      <c r="W325" s="9">
        <f t="shared" si="71"/>
        <v>6.1607289008136501E-4</v>
      </c>
      <c r="AC325"/>
    </row>
    <row r="326" spans="1:29" x14ac:dyDescent="0.25">
      <c r="A326" t="s">
        <v>419</v>
      </c>
      <c r="B326">
        <v>9</v>
      </c>
      <c r="C326" t="s">
        <v>907</v>
      </c>
      <c r="D326" t="s">
        <v>477</v>
      </c>
      <c r="E326">
        <v>14</v>
      </c>
      <c r="F326">
        <v>9.56</v>
      </c>
      <c r="G326">
        <v>29.2681</v>
      </c>
      <c r="H326" t="s">
        <v>477</v>
      </c>
      <c r="I326" t="s">
        <v>477</v>
      </c>
      <c r="J326" t="s">
        <v>20</v>
      </c>
      <c r="K326">
        <f t="shared" si="60"/>
        <v>83.52</v>
      </c>
      <c r="L326">
        <f t="shared" si="61"/>
        <v>286.42129999999997</v>
      </c>
      <c r="M326" t="str">
        <f t="shared" si="62"/>
        <v>lucas-9</v>
      </c>
      <c r="N326" t="str">
        <f>INDEX(Scores!$A$2:$A$11,INDEX(Scores!$AA$2:$AA$131,MATCH(C326,Scores!$AB$2:$AB$131,0)))</f>
        <v>lucas</v>
      </c>
      <c r="O326">
        <f t="shared" si="63"/>
        <v>0</v>
      </c>
      <c r="P326">
        <f t="shared" si="64"/>
        <v>0</v>
      </c>
      <c r="Q326" s="3">
        <f t="shared" si="65"/>
        <v>0.9999995992619003</v>
      </c>
      <c r="R326" s="3">
        <f t="shared" si="66"/>
        <v>0.99999997934516427</v>
      </c>
      <c r="S326" s="9">
        <f t="shared" si="67"/>
        <v>3.8008326397331871E-7</v>
      </c>
      <c r="T326">
        <f t="shared" si="68"/>
        <v>89</v>
      </c>
      <c r="U326">
        <f t="shared" si="69"/>
        <v>0</v>
      </c>
      <c r="V326" s="3">
        <f t="shared" si="70"/>
        <v>1</v>
      </c>
      <c r="W326" s="9">
        <f t="shared" si="71"/>
        <v>0</v>
      </c>
      <c r="AC326"/>
    </row>
    <row r="327" spans="1:29" x14ac:dyDescent="0.25">
      <c r="A327" t="s">
        <v>796</v>
      </c>
      <c r="B327">
        <v>13</v>
      </c>
      <c r="C327" t="s">
        <v>935</v>
      </c>
      <c r="D327" t="s">
        <v>466</v>
      </c>
      <c r="E327">
        <v>21</v>
      </c>
      <c r="F327">
        <v>9.6</v>
      </c>
      <c r="G327">
        <v>48.024900000000002</v>
      </c>
      <c r="H327" t="s">
        <v>466</v>
      </c>
      <c r="I327" t="s">
        <v>47</v>
      </c>
      <c r="J327" t="s">
        <v>35</v>
      </c>
      <c r="K327">
        <f t="shared" si="60"/>
        <v>97.46</v>
      </c>
      <c r="L327">
        <f t="shared" si="61"/>
        <v>368.81949999999995</v>
      </c>
      <c r="M327" t="str">
        <f t="shared" si="62"/>
        <v>perry-13</v>
      </c>
      <c r="N327" t="str">
        <f>INDEX(Scores!$A$2:$A$11,INDEX(Scores!$AA$2:$AA$131,MATCH(C327,Scores!$AB$2:$AB$131,0)))</f>
        <v>perry</v>
      </c>
      <c r="O327">
        <f t="shared" si="63"/>
        <v>108.77</v>
      </c>
      <c r="P327">
        <f t="shared" si="64"/>
        <v>411.30060000000003</v>
      </c>
      <c r="Q327" s="3">
        <f t="shared" si="65"/>
        <v>0.3427638257896819</v>
      </c>
      <c r="R327" s="3">
        <f t="shared" si="66"/>
        <v>0.50132699105297096</v>
      </c>
      <c r="S327" s="9">
        <f t="shared" si="67"/>
        <v>0.15856316526328906</v>
      </c>
      <c r="T327">
        <f t="shared" si="68"/>
        <v>133</v>
      </c>
      <c r="U327">
        <f t="shared" si="69"/>
        <v>99</v>
      </c>
      <c r="V327" s="3">
        <f t="shared" si="70"/>
        <v>0.99944525845675158</v>
      </c>
      <c r="W327" s="9">
        <f t="shared" si="71"/>
        <v>5.5474154324841596E-4</v>
      </c>
      <c r="AC327"/>
    </row>
    <row r="328" spans="1:29" x14ac:dyDescent="0.25">
      <c r="A328" t="s">
        <v>108</v>
      </c>
      <c r="B328">
        <v>10</v>
      </c>
      <c r="C328" t="s">
        <v>948</v>
      </c>
      <c r="D328" t="s">
        <v>472</v>
      </c>
      <c r="E328">
        <v>7</v>
      </c>
      <c r="F328">
        <v>11.3</v>
      </c>
      <c r="G328">
        <v>58.828899999999997</v>
      </c>
      <c r="H328" t="s">
        <v>87</v>
      </c>
      <c r="I328" t="s">
        <v>87</v>
      </c>
      <c r="J328" t="s">
        <v>62</v>
      </c>
      <c r="K328">
        <f t="shared" si="60"/>
        <v>103.91999999999999</v>
      </c>
      <c r="L328">
        <f t="shared" si="61"/>
        <v>398.26569999999992</v>
      </c>
      <c r="M328" t="str">
        <f t="shared" si="62"/>
        <v>aj-10</v>
      </c>
      <c r="N328" t="str">
        <f>INDEX(Scores!$A$2:$A$11,INDEX(Scores!$AA$2:$AA$131,MATCH(C328,Scores!$AB$2:$AB$131,0)))</f>
        <v>aj</v>
      </c>
      <c r="O328">
        <f t="shared" si="63"/>
        <v>110.08000000000001</v>
      </c>
      <c r="P328">
        <f t="shared" si="64"/>
        <v>372.64320000000004</v>
      </c>
      <c r="Q328" s="3">
        <f t="shared" si="65"/>
        <v>0.41221140040071919</v>
      </c>
      <c r="R328" s="3">
        <f t="shared" si="66"/>
        <v>0.34753536800460483</v>
      </c>
      <c r="S328" s="9">
        <f t="shared" si="67"/>
        <v>-6.4676032396114358E-2</v>
      </c>
      <c r="T328">
        <f t="shared" si="68"/>
        <v>103</v>
      </c>
      <c r="U328">
        <f t="shared" si="69"/>
        <v>82</v>
      </c>
      <c r="V328" s="3">
        <f t="shared" si="70"/>
        <v>0.9995140995654288</v>
      </c>
      <c r="W328" s="9">
        <f t="shared" si="71"/>
        <v>4.8590043457119592E-4</v>
      </c>
      <c r="AC328"/>
    </row>
    <row r="329" spans="1:29" x14ac:dyDescent="0.25">
      <c r="A329" t="s">
        <v>407</v>
      </c>
      <c r="B329">
        <v>1</v>
      </c>
      <c r="C329" t="s">
        <v>501</v>
      </c>
      <c r="D329" t="s">
        <v>477</v>
      </c>
      <c r="E329">
        <v>6</v>
      </c>
      <c r="F329">
        <v>7.18</v>
      </c>
      <c r="G329">
        <v>37.21</v>
      </c>
      <c r="H329" t="s">
        <v>477</v>
      </c>
      <c r="I329" t="s">
        <v>477</v>
      </c>
      <c r="J329" t="s">
        <v>62</v>
      </c>
      <c r="K329">
        <f t="shared" si="60"/>
        <v>101.75</v>
      </c>
      <c r="L329">
        <f t="shared" si="61"/>
        <v>333.15260000000001</v>
      </c>
      <c r="M329" t="str">
        <f t="shared" si="62"/>
        <v>matty-1</v>
      </c>
      <c r="N329" t="str">
        <f>INDEX(Scores!$A$2:$A$11,INDEX(Scores!$AA$2:$AA$131,MATCH(C329,Scores!$AB$2:$AB$131,0)))</f>
        <v>matty</v>
      </c>
      <c r="O329">
        <f t="shared" si="63"/>
        <v>96.11</v>
      </c>
      <c r="P329">
        <f t="shared" si="64"/>
        <v>397.37959999999998</v>
      </c>
      <c r="Q329" s="3">
        <f t="shared" si="65"/>
        <v>0.58264695809701372</v>
      </c>
      <c r="R329" s="3">
        <f t="shared" si="66"/>
        <v>0.5672519170820105</v>
      </c>
      <c r="S329" s="9">
        <f t="shared" si="67"/>
        <v>-1.5395041015003219E-2</v>
      </c>
      <c r="T329">
        <f t="shared" si="68"/>
        <v>95</v>
      </c>
      <c r="U329">
        <f t="shared" si="69"/>
        <v>76</v>
      </c>
      <c r="V329" s="3">
        <f t="shared" si="70"/>
        <v>0.99953050587106751</v>
      </c>
      <c r="W329" s="9">
        <f t="shared" si="71"/>
        <v>4.6949412893249054E-4</v>
      </c>
      <c r="AC329"/>
    </row>
    <row r="330" spans="1:29" x14ac:dyDescent="0.25">
      <c r="A330" t="s">
        <v>126</v>
      </c>
      <c r="B330">
        <v>11</v>
      </c>
      <c r="C330" t="s">
        <v>917</v>
      </c>
      <c r="D330" t="s">
        <v>472</v>
      </c>
      <c r="E330">
        <v>14</v>
      </c>
      <c r="F330">
        <v>10.199999999999999</v>
      </c>
      <c r="G330">
        <v>67.4041</v>
      </c>
      <c r="H330" t="s">
        <v>87</v>
      </c>
      <c r="I330" t="s">
        <v>87</v>
      </c>
      <c r="J330" t="s">
        <v>16</v>
      </c>
      <c r="K330">
        <f t="shared" si="60"/>
        <v>102.11</v>
      </c>
      <c r="L330">
        <f t="shared" si="61"/>
        <v>431.97960000000006</v>
      </c>
      <c r="M330" t="str">
        <f t="shared" si="62"/>
        <v>chad-11</v>
      </c>
      <c r="N330" t="str">
        <f>INDEX(Scores!$A$2:$A$11,INDEX(Scores!$AA$2:$AA$131,MATCH(C330,Scores!$AB$2:$AB$131,0)))</f>
        <v>chad</v>
      </c>
      <c r="O330">
        <f t="shared" si="63"/>
        <v>106.58</v>
      </c>
      <c r="P330">
        <f t="shared" si="64"/>
        <v>427.68610000000001</v>
      </c>
      <c r="Q330" s="3">
        <f t="shared" si="65"/>
        <v>0.43941389461043751</v>
      </c>
      <c r="R330" s="3">
        <f t="shared" si="66"/>
        <v>0.49050468111424694</v>
      </c>
      <c r="S330" s="9">
        <f t="shared" si="67"/>
        <v>5.1090786503809438E-2</v>
      </c>
      <c r="T330">
        <f t="shared" si="68"/>
        <v>130</v>
      </c>
      <c r="U330">
        <f t="shared" si="69"/>
        <v>99</v>
      </c>
      <c r="V330" s="3">
        <f t="shared" si="70"/>
        <v>0.99953854936371966</v>
      </c>
      <c r="W330" s="9">
        <f t="shared" si="71"/>
        <v>4.6145063628033611E-4</v>
      </c>
      <c r="AC330"/>
    </row>
    <row r="331" spans="1:29" x14ac:dyDescent="0.25">
      <c r="A331" t="s">
        <v>122</v>
      </c>
      <c r="B331">
        <v>9</v>
      </c>
      <c r="C331" t="s">
        <v>907</v>
      </c>
      <c r="D331" t="s">
        <v>466</v>
      </c>
      <c r="E331">
        <v>11</v>
      </c>
      <c r="F331">
        <v>8.0299999999999994</v>
      </c>
      <c r="G331">
        <v>32.604100000000003</v>
      </c>
      <c r="H331" t="s">
        <v>466</v>
      </c>
      <c r="I331" t="s">
        <v>87</v>
      </c>
      <c r="J331" t="s">
        <v>20</v>
      </c>
      <c r="K331">
        <f t="shared" si="60"/>
        <v>83.52</v>
      </c>
      <c r="L331">
        <f t="shared" si="61"/>
        <v>286.42129999999997</v>
      </c>
      <c r="M331" t="str">
        <f t="shared" si="62"/>
        <v>lucas-9</v>
      </c>
      <c r="N331" t="str">
        <f>INDEX(Scores!$A$2:$A$11,INDEX(Scores!$AA$2:$AA$131,MATCH(C331,Scores!$AB$2:$AB$131,0)))</f>
        <v>lucas</v>
      </c>
      <c r="O331">
        <f t="shared" si="63"/>
        <v>0</v>
      </c>
      <c r="P331">
        <f t="shared" si="64"/>
        <v>0</v>
      </c>
      <c r="Q331" s="3">
        <f t="shared" si="65"/>
        <v>0.9999995992619003</v>
      </c>
      <c r="R331" s="3">
        <f t="shared" si="66"/>
        <v>0.99999997163593146</v>
      </c>
      <c r="S331" s="9">
        <f t="shared" si="67"/>
        <v>3.7237403116563428E-7</v>
      </c>
      <c r="T331">
        <f t="shared" si="68"/>
        <v>89</v>
      </c>
      <c r="U331">
        <f t="shared" si="69"/>
        <v>0</v>
      </c>
      <c r="V331" s="3">
        <f t="shared" si="70"/>
        <v>1</v>
      </c>
      <c r="W331" s="9">
        <f t="shared" si="71"/>
        <v>0</v>
      </c>
      <c r="AC331"/>
    </row>
    <row r="332" spans="1:29" x14ac:dyDescent="0.25">
      <c r="A332" t="s">
        <v>145</v>
      </c>
      <c r="B332">
        <v>6</v>
      </c>
      <c r="C332" t="s">
        <v>968</v>
      </c>
      <c r="D332" t="s">
        <v>469</v>
      </c>
      <c r="E332">
        <v>9</v>
      </c>
      <c r="F332">
        <v>8.0399999999999991</v>
      </c>
      <c r="G332">
        <v>23.04</v>
      </c>
      <c r="H332" t="s">
        <v>47</v>
      </c>
      <c r="I332" t="s">
        <v>47</v>
      </c>
      <c r="J332" t="s">
        <v>49</v>
      </c>
      <c r="K332">
        <f t="shared" si="60"/>
        <v>109.91000000000001</v>
      </c>
      <c r="L332">
        <f t="shared" si="61"/>
        <v>387.28550000000001</v>
      </c>
      <c r="M332" t="str">
        <f t="shared" si="62"/>
        <v>perry-6</v>
      </c>
      <c r="N332" t="str">
        <f>INDEX(Scores!$A$2:$A$11,INDEX(Scores!$AA$2:$AA$131,MATCH(C332,Scores!$AB$2:$AB$131,0)))</f>
        <v>perry</v>
      </c>
      <c r="O332">
        <f t="shared" si="63"/>
        <v>88.72</v>
      </c>
      <c r="P332">
        <f t="shared" si="64"/>
        <v>407.6961</v>
      </c>
      <c r="Q332" s="3">
        <f t="shared" si="65"/>
        <v>0.77383629678575794</v>
      </c>
      <c r="R332" s="3">
        <f t="shared" si="66"/>
        <v>0.78734013439012485</v>
      </c>
      <c r="S332" s="9">
        <f t="shared" si="67"/>
        <v>1.3503837604366908E-2</v>
      </c>
      <c r="T332">
        <f t="shared" si="68"/>
        <v>119</v>
      </c>
      <c r="U332">
        <f t="shared" si="69"/>
        <v>102</v>
      </c>
      <c r="V332" s="3">
        <f t="shared" si="70"/>
        <v>0.99958361498297654</v>
      </c>
      <c r="W332" s="9">
        <f t="shared" si="71"/>
        <v>4.1638501702345732E-4</v>
      </c>
      <c r="AC332"/>
    </row>
    <row r="333" spans="1:29" x14ac:dyDescent="0.25">
      <c r="A333" t="s">
        <v>431</v>
      </c>
      <c r="B333">
        <v>11</v>
      </c>
      <c r="C333" t="s">
        <v>941</v>
      </c>
      <c r="D333" t="s">
        <v>477</v>
      </c>
      <c r="E333">
        <v>-4</v>
      </c>
      <c r="F333">
        <v>7.33</v>
      </c>
      <c r="G333">
        <v>36.9664</v>
      </c>
      <c r="H333" t="s">
        <v>477</v>
      </c>
      <c r="I333" t="s">
        <v>477</v>
      </c>
      <c r="J333" t="s">
        <v>27</v>
      </c>
      <c r="K333">
        <f t="shared" si="60"/>
        <v>98.580000000000013</v>
      </c>
      <c r="L333">
        <f t="shared" si="61"/>
        <v>364.4375</v>
      </c>
      <c r="M333" t="str">
        <f t="shared" si="62"/>
        <v>matty-11</v>
      </c>
      <c r="N333" t="str">
        <f>INDEX(Scores!$A$2:$A$11,INDEX(Scores!$AA$2:$AA$131,MATCH(C333,Scores!$AB$2:$AB$131,0)))</f>
        <v>matty</v>
      </c>
      <c r="O333">
        <f t="shared" si="63"/>
        <v>88.670000000000016</v>
      </c>
      <c r="P333">
        <f t="shared" si="64"/>
        <v>334.39179999999999</v>
      </c>
      <c r="Q333" s="3">
        <f t="shared" si="65"/>
        <v>0.64612380466415886</v>
      </c>
      <c r="R333" s="3">
        <f t="shared" si="66"/>
        <v>0.47799132388715626</v>
      </c>
      <c r="S333" s="9">
        <f t="shared" si="67"/>
        <v>-0.1681324807770026</v>
      </c>
      <c r="T333">
        <f t="shared" si="68"/>
        <v>111</v>
      </c>
      <c r="U333">
        <f t="shared" si="69"/>
        <v>102</v>
      </c>
      <c r="V333" s="3">
        <f t="shared" si="70"/>
        <v>0.99958672907697854</v>
      </c>
      <c r="W333" s="9">
        <f t="shared" si="71"/>
        <v>4.1327092302145818E-4</v>
      </c>
      <c r="AC333"/>
    </row>
    <row r="334" spans="1:29" x14ac:dyDescent="0.25">
      <c r="A334" t="s">
        <v>108</v>
      </c>
      <c r="B334">
        <v>13</v>
      </c>
      <c r="C334" t="s">
        <v>951</v>
      </c>
      <c r="D334" t="s">
        <v>472</v>
      </c>
      <c r="E334">
        <v>1</v>
      </c>
      <c r="F334">
        <v>12.35</v>
      </c>
      <c r="G334">
        <v>57.153599999999997</v>
      </c>
      <c r="H334" t="s">
        <v>87</v>
      </c>
      <c r="I334" t="s">
        <v>87</v>
      </c>
      <c r="J334" t="s">
        <v>62</v>
      </c>
      <c r="K334">
        <f t="shared" si="60"/>
        <v>113.35</v>
      </c>
      <c r="L334">
        <f t="shared" si="61"/>
        <v>486.24799999999993</v>
      </c>
      <c r="M334" t="str">
        <f t="shared" si="62"/>
        <v>comp-13</v>
      </c>
      <c r="N334" t="str">
        <f>INDEX(Scores!$A$2:$A$11,INDEX(Scores!$AA$2:$AA$131,MATCH(C334,Scores!$AB$2:$AB$131,0)))</f>
        <v>comp</v>
      </c>
      <c r="O334">
        <f t="shared" si="63"/>
        <v>104.63999999999999</v>
      </c>
      <c r="P334">
        <f t="shared" si="64"/>
        <v>400.33339999999998</v>
      </c>
      <c r="Q334" s="3">
        <f t="shared" si="65"/>
        <v>0.6150563098213474</v>
      </c>
      <c r="R334" s="3">
        <f t="shared" si="66"/>
        <v>0.46348117317700022</v>
      </c>
      <c r="S334" s="9">
        <f t="shared" si="67"/>
        <v>-0.15157513664434719</v>
      </c>
      <c r="T334">
        <f t="shared" si="68"/>
        <v>95</v>
      </c>
      <c r="U334">
        <f t="shared" si="69"/>
        <v>81</v>
      </c>
      <c r="V334" s="3">
        <f t="shared" si="70"/>
        <v>0.9996005485443431</v>
      </c>
      <c r="W334" s="9">
        <f t="shared" si="71"/>
        <v>3.9945145565689621E-4</v>
      </c>
      <c r="AC334"/>
    </row>
    <row r="335" spans="1:29" x14ac:dyDescent="0.25">
      <c r="A335" t="s">
        <v>99</v>
      </c>
      <c r="B335">
        <v>13</v>
      </c>
      <c r="C335" t="s">
        <v>919</v>
      </c>
      <c r="D335" t="s">
        <v>468</v>
      </c>
      <c r="E335">
        <v>8</v>
      </c>
      <c r="F335">
        <v>11.49</v>
      </c>
      <c r="G335">
        <v>48.720399999999998</v>
      </c>
      <c r="H335" t="s">
        <v>47</v>
      </c>
      <c r="I335" t="s">
        <v>47</v>
      </c>
      <c r="J335" t="s">
        <v>16</v>
      </c>
      <c r="K335">
        <f t="shared" si="60"/>
        <v>106.87</v>
      </c>
      <c r="L335">
        <f t="shared" si="61"/>
        <v>444.05589999999995</v>
      </c>
      <c r="M335" t="str">
        <f t="shared" si="62"/>
        <v>scott-13</v>
      </c>
      <c r="N335" t="str">
        <f>INDEX(Scores!$A$2:$A$11,INDEX(Scores!$AA$2:$AA$131,MATCH(C335,Scores!$AB$2:$AB$131,0)))</f>
        <v>scott</v>
      </c>
      <c r="O335">
        <f t="shared" si="63"/>
        <v>108.61</v>
      </c>
      <c r="P335">
        <f t="shared" si="64"/>
        <v>407.25390000000004</v>
      </c>
      <c r="Q335" s="3">
        <f t="shared" si="65"/>
        <v>0.47622294087495948</v>
      </c>
      <c r="R335" s="3">
        <f t="shared" si="66"/>
        <v>0.42676751150107495</v>
      </c>
      <c r="S335" s="9">
        <f t="shared" si="67"/>
        <v>-4.945542937388453E-2</v>
      </c>
      <c r="T335">
        <f t="shared" si="68"/>
        <v>86</v>
      </c>
      <c r="U335">
        <f t="shared" si="69"/>
        <v>66</v>
      </c>
      <c r="V335" s="3">
        <f t="shared" si="70"/>
        <v>0.99961773851377234</v>
      </c>
      <c r="W335" s="9">
        <f t="shared" si="71"/>
        <v>3.8226148622766409E-4</v>
      </c>
      <c r="AC335"/>
    </row>
    <row r="336" spans="1:29" x14ac:dyDescent="0.25">
      <c r="A336" t="s">
        <v>425</v>
      </c>
      <c r="B336">
        <v>4</v>
      </c>
      <c r="C336" t="s">
        <v>864</v>
      </c>
      <c r="D336" t="s">
        <v>477</v>
      </c>
      <c r="E336">
        <v>10</v>
      </c>
      <c r="F336">
        <v>8.44</v>
      </c>
      <c r="G336">
        <v>40.576900000000002</v>
      </c>
      <c r="H336" t="s">
        <v>477</v>
      </c>
      <c r="I336" t="s">
        <v>477</v>
      </c>
      <c r="J336" t="s">
        <v>49</v>
      </c>
      <c r="K336">
        <f t="shared" si="60"/>
        <v>109.71999999999998</v>
      </c>
      <c r="L336">
        <f t="shared" si="61"/>
        <v>421.03860000000003</v>
      </c>
      <c r="M336" t="str">
        <f t="shared" si="62"/>
        <v>lucas-4</v>
      </c>
      <c r="N336" t="str">
        <f>INDEX(Scores!$A$2:$A$11,INDEX(Scores!$AA$2:$AA$131,MATCH(C336,Scores!$AB$2:$AB$131,0)))</f>
        <v>lucas</v>
      </c>
      <c r="O336">
        <f t="shared" si="63"/>
        <v>0</v>
      </c>
      <c r="P336">
        <f t="shared" si="64"/>
        <v>0</v>
      </c>
      <c r="Q336" s="3">
        <f t="shared" si="65"/>
        <v>0.99999995533253605</v>
      </c>
      <c r="R336" s="3">
        <f t="shared" si="66"/>
        <v>0.99999999418553498</v>
      </c>
      <c r="S336" s="9">
        <f t="shared" si="67"/>
        <v>3.8852998929250759E-8</v>
      </c>
      <c r="T336">
        <f t="shared" si="68"/>
        <v>92</v>
      </c>
      <c r="U336">
        <f t="shared" si="69"/>
        <v>0</v>
      </c>
      <c r="V336" s="3">
        <f t="shared" si="70"/>
        <v>1</v>
      </c>
      <c r="W336" s="9">
        <f t="shared" si="71"/>
        <v>0</v>
      </c>
      <c r="AC336"/>
    </row>
    <row r="337" spans="1:29" x14ac:dyDescent="0.25">
      <c r="A337" t="s">
        <v>462</v>
      </c>
      <c r="B337">
        <v>1</v>
      </c>
      <c r="C337" t="s">
        <v>501</v>
      </c>
      <c r="D337" t="s">
        <v>478</v>
      </c>
      <c r="E337">
        <v>14</v>
      </c>
      <c r="F337">
        <v>7.35</v>
      </c>
      <c r="G337">
        <v>13.3956</v>
      </c>
      <c r="H337" t="s">
        <v>478</v>
      </c>
      <c r="I337" t="s">
        <v>478</v>
      </c>
      <c r="J337" t="s">
        <v>62</v>
      </c>
      <c r="K337">
        <f t="shared" si="60"/>
        <v>101.75</v>
      </c>
      <c r="L337">
        <f t="shared" si="61"/>
        <v>333.15260000000001</v>
      </c>
      <c r="M337" t="str">
        <f t="shared" si="62"/>
        <v>matty-1</v>
      </c>
      <c r="N337" t="str">
        <f>INDEX(Scores!$A$2:$A$11,INDEX(Scores!$AA$2:$AA$131,MATCH(C337,Scores!$AB$2:$AB$131,0)))</f>
        <v>matty</v>
      </c>
      <c r="O337">
        <f t="shared" si="63"/>
        <v>96.11</v>
      </c>
      <c r="P337">
        <f t="shared" si="64"/>
        <v>397.37959999999998</v>
      </c>
      <c r="Q337" s="3">
        <f t="shared" si="65"/>
        <v>0.58264695809701372</v>
      </c>
      <c r="R337" s="3">
        <f t="shared" si="66"/>
        <v>0.67685948664442031</v>
      </c>
      <c r="S337" s="9">
        <f t="shared" si="67"/>
        <v>9.4212528547406582E-2</v>
      </c>
      <c r="T337">
        <f t="shared" si="68"/>
        <v>95</v>
      </c>
      <c r="U337">
        <f t="shared" si="69"/>
        <v>76</v>
      </c>
      <c r="V337" s="3">
        <f t="shared" si="70"/>
        <v>0.99963000442426531</v>
      </c>
      <c r="W337" s="9">
        <f t="shared" si="71"/>
        <v>3.6999557573469399E-4</v>
      </c>
      <c r="AC337"/>
    </row>
    <row r="338" spans="1:29" x14ac:dyDescent="0.25">
      <c r="A338" t="s">
        <v>462</v>
      </c>
      <c r="B338">
        <v>4</v>
      </c>
      <c r="C338" t="s">
        <v>865</v>
      </c>
      <c r="D338" t="s">
        <v>478</v>
      </c>
      <c r="E338">
        <v>7</v>
      </c>
      <c r="F338">
        <v>6.48</v>
      </c>
      <c r="G338">
        <v>11.1556</v>
      </c>
      <c r="H338" t="s">
        <v>478</v>
      </c>
      <c r="I338" t="s">
        <v>478</v>
      </c>
      <c r="J338" t="s">
        <v>62</v>
      </c>
      <c r="K338">
        <f t="shared" si="60"/>
        <v>99.8</v>
      </c>
      <c r="L338">
        <f t="shared" si="61"/>
        <v>351.46400000000006</v>
      </c>
      <c r="M338" t="str">
        <f t="shared" si="62"/>
        <v>seth-4</v>
      </c>
      <c r="N338" t="str">
        <f>INDEX(Scores!$A$2:$A$11,INDEX(Scores!$AA$2:$AA$131,MATCH(C338,Scores!$AB$2:$AB$131,0)))</f>
        <v>seth</v>
      </c>
      <c r="O338">
        <f t="shared" si="63"/>
        <v>104.32</v>
      </c>
      <c r="P338">
        <f t="shared" si="64"/>
        <v>390.96559999999999</v>
      </c>
      <c r="Q338" s="3">
        <f t="shared" si="65"/>
        <v>0.43412317323121657</v>
      </c>
      <c r="R338" s="3">
        <f t="shared" si="66"/>
        <v>0.44120388924682818</v>
      </c>
      <c r="S338" s="9">
        <f t="shared" si="67"/>
        <v>7.08071601561161E-3</v>
      </c>
      <c r="T338">
        <f t="shared" si="68"/>
        <v>123</v>
      </c>
      <c r="U338">
        <f t="shared" si="69"/>
        <v>111</v>
      </c>
      <c r="V338" s="3">
        <f t="shared" si="70"/>
        <v>0.99970603870854169</v>
      </c>
      <c r="W338" s="9">
        <f t="shared" si="71"/>
        <v>2.9396129145831118E-4</v>
      </c>
      <c r="AC338"/>
    </row>
    <row r="339" spans="1:29" x14ac:dyDescent="0.25">
      <c r="A339" t="s">
        <v>107</v>
      </c>
      <c r="B339">
        <v>8</v>
      </c>
      <c r="C339" t="s">
        <v>930</v>
      </c>
      <c r="D339" t="s">
        <v>471</v>
      </c>
      <c r="E339">
        <v>1</v>
      </c>
      <c r="F339">
        <v>9.27</v>
      </c>
      <c r="G339">
        <v>45.5625</v>
      </c>
      <c r="H339" t="s">
        <v>87</v>
      </c>
      <c r="I339" t="s">
        <v>87</v>
      </c>
      <c r="J339" t="s">
        <v>35</v>
      </c>
      <c r="K339">
        <f t="shared" si="60"/>
        <v>102.43</v>
      </c>
      <c r="L339">
        <f t="shared" si="61"/>
        <v>452.86560000000003</v>
      </c>
      <c r="M339" t="str">
        <f t="shared" si="62"/>
        <v>seth-8</v>
      </c>
      <c r="N339" t="str">
        <f>INDEX(Scores!$A$2:$A$11,INDEX(Scores!$AA$2:$AA$131,MATCH(C339,Scores!$AB$2:$AB$131,0)))</f>
        <v>seth</v>
      </c>
      <c r="O339">
        <f t="shared" si="63"/>
        <v>96.57</v>
      </c>
      <c r="P339">
        <f t="shared" si="64"/>
        <v>368.03749999999997</v>
      </c>
      <c r="Q339" s="3">
        <f t="shared" si="65"/>
        <v>0.58102934018980379</v>
      </c>
      <c r="R339" s="3">
        <f t="shared" si="66"/>
        <v>0.46551431179843733</v>
      </c>
      <c r="S339" s="9">
        <f t="shared" si="67"/>
        <v>-0.11551502839136646</v>
      </c>
      <c r="T339">
        <f t="shared" si="68"/>
        <v>100</v>
      </c>
      <c r="U339">
        <f t="shared" si="69"/>
        <v>85</v>
      </c>
      <c r="V339" s="3">
        <f t="shared" si="70"/>
        <v>0.99971700281134213</v>
      </c>
      <c r="W339" s="9">
        <f t="shared" si="71"/>
        <v>2.8299718865787415E-4</v>
      </c>
      <c r="AC339"/>
    </row>
    <row r="340" spans="1:29" x14ac:dyDescent="0.25">
      <c r="A340" t="s">
        <v>61</v>
      </c>
      <c r="B340">
        <v>9</v>
      </c>
      <c r="C340" t="s">
        <v>915</v>
      </c>
      <c r="D340" t="s">
        <v>467</v>
      </c>
      <c r="E340">
        <v>2</v>
      </c>
      <c r="F340">
        <v>18.57</v>
      </c>
      <c r="G340">
        <v>50.694400000000002</v>
      </c>
      <c r="H340" t="s">
        <v>15</v>
      </c>
      <c r="I340" t="s">
        <v>15</v>
      </c>
      <c r="J340" t="s">
        <v>16</v>
      </c>
      <c r="K340">
        <f t="shared" si="60"/>
        <v>90.69</v>
      </c>
      <c r="L340">
        <f t="shared" si="61"/>
        <v>356.05790000000002</v>
      </c>
      <c r="M340" t="str">
        <f t="shared" si="62"/>
        <v>devon-9</v>
      </c>
      <c r="N340" t="str">
        <f>INDEX(Scores!$A$2:$A$11,INDEX(Scores!$AA$2:$AA$131,MATCH(C340,Scores!$AB$2:$AB$131,0)))</f>
        <v>devon</v>
      </c>
      <c r="O340">
        <f t="shared" si="63"/>
        <v>104.66</v>
      </c>
      <c r="P340">
        <f t="shared" si="64"/>
        <v>474.51049999999998</v>
      </c>
      <c r="Q340" s="3">
        <f t="shared" si="65"/>
        <v>0.31393045538359282</v>
      </c>
      <c r="R340" s="3">
        <f t="shared" si="66"/>
        <v>0.13706615809016207</v>
      </c>
      <c r="S340" s="9">
        <f t="shared" si="67"/>
        <v>-0.17686429729343076</v>
      </c>
      <c r="T340">
        <f t="shared" si="68"/>
        <v>89</v>
      </c>
      <c r="U340">
        <f t="shared" si="69"/>
        <v>81</v>
      </c>
      <c r="V340" s="3">
        <f t="shared" si="70"/>
        <v>0.9997205804085787</v>
      </c>
      <c r="W340" s="9">
        <f t="shared" si="71"/>
        <v>2.7941959142130379E-4</v>
      </c>
      <c r="AC340"/>
    </row>
    <row r="341" spans="1:29" x14ac:dyDescent="0.25">
      <c r="A341" t="s">
        <v>411</v>
      </c>
      <c r="B341">
        <v>3</v>
      </c>
      <c r="C341" t="s">
        <v>806</v>
      </c>
      <c r="D341" t="s">
        <v>477</v>
      </c>
      <c r="E341">
        <v>-6</v>
      </c>
      <c r="F341">
        <v>11.32</v>
      </c>
      <c r="G341">
        <v>53.728900000000003</v>
      </c>
      <c r="H341" t="s">
        <v>477</v>
      </c>
      <c r="I341" t="s">
        <v>477</v>
      </c>
      <c r="J341" t="s">
        <v>55</v>
      </c>
      <c r="K341">
        <f t="shared" si="60"/>
        <v>107.31</v>
      </c>
      <c r="L341">
        <f t="shared" si="61"/>
        <v>425.77620000000002</v>
      </c>
      <c r="M341" t="str">
        <f t="shared" si="62"/>
        <v>seth-3</v>
      </c>
      <c r="N341" t="str">
        <f>INDEX(Scores!$A$2:$A$11,INDEX(Scores!$AA$2:$AA$131,MATCH(C341,Scores!$AB$2:$AB$131,0)))</f>
        <v>seth</v>
      </c>
      <c r="O341">
        <f t="shared" si="63"/>
        <v>94.54</v>
      </c>
      <c r="P341">
        <f t="shared" si="64"/>
        <v>356.43470000000002</v>
      </c>
      <c r="Q341" s="3">
        <f t="shared" si="65"/>
        <v>0.6760180870914847</v>
      </c>
      <c r="R341" s="3">
        <f t="shared" si="66"/>
        <v>0.43306412722433629</v>
      </c>
      <c r="S341" s="9">
        <f t="shared" si="67"/>
        <v>-0.24295395986714841</v>
      </c>
      <c r="T341">
        <f t="shared" si="68"/>
        <v>96</v>
      </c>
      <c r="U341">
        <f t="shared" si="69"/>
        <v>88</v>
      </c>
      <c r="V341" s="3">
        <f t="shared" si="70"/>
        <v>0.99972413571438956</v>
      </c>
      <c r="W341" s="9">
        <f t="shared" si="71"/>
        <v>2.7586428561043874E-4</v>
      </c>
      <c r="AC341"/>
    </row>
    <row r="342" spans="1:29" x14ac:dyDescent="0.25">
      <c r="A342" t="s">
        <v>90</v>
      </c>
      <c r="B342">
        <v>3</v>
      </c>
      <c r="C342" t="s">
        <v>807</v>
      </c>
      <c r="D342" t="s">
        <v>468</v>
      </c>
      <c r="E342">
        <v>19</v>
      </c>
      <c r="F342">
        <v>14.89</v>
      </c>
      <c r="G342">
        <v>56.100099999999998</v>
      </c>
      <c r="H342" t="s">
        <v>47</v>
      </c>
      <c r="I342" t="s">
        <v>47</v>
      </c>
      <c r="J342" t="s">
        <v>20</v>
      </c>
      <c r="K342">
        <f t="shared" si="60"/>
        <v>110.35</v>
      </c>
      <c r="L342">
        <f t="shared" si="61"/>
        <v>442.53309999999999</v>
      </c>
      <c r="M342" t="str">
        <f t="shared" si="62"/>
        <v>perry-3</v>
      </c>
      <c r="N342" t="str">
        <f>INDEX(Scores!$A$2:$A$11,INDEX(Scores!$AA$2:$AA$131,MATCH(C342,Scores!$AB$2:$AB$131,0)))</f>
        <v>perry</v>
      </c>
      <c r="O342">
        <f t="shared" si="63"/>
        <v>101.86999999999999</v>
      </c>
      <c r="P342">
        <f t="shared" si="64"/>
        <v>350.57169999999996</v>
      </c>
      <c r="Q342" s="3">
        <f t="shared" si="65"/>
        <v>0.61833611537492805</v>
      </c>
      <c r="R342" s="3">
        <f t="shared" si="66"/>
        <v>0.67858912017297413</v>
      </c>
      <c r="S342" s="9">
        <f t="shared" si="67"/>
        <v>6.0253004798046073E-2</v>
      </c>
      <c r="T342">
        <f t="shared" si="68"/>
        <v>132</v>
      </c>
      <c r="U342">
        <f t="shared" si="69"/>
        <v>102</v>
      </c>
      <c r="V342" s="3">
        <f t="shared" si="70"/>
        <v>0.99972649084490217</v>
      </c>
      <c r="W342" s="9">
        <f t="shared" si="71"/>
        <v>2.7350915509782858E-4</v>
      </c>
      <c r="AC342"/>
    </row>
    <row r="343" spans="1:29" x14ac:dyDescent="0.25">
      <c r="A343" t="s">
        <v>199</v>
      </c>
      <c r="B343">
        <v>7</v>
      </c>
      <c r="C343" t="s">
        <v>905</v>
      </c>
      <c r="D343" t="s">
        <v>475</v>
      </c>
      <c r="E343">
        <v>7</v>
      </c>
      <c r="F343">
        <v>5.46</v>
      </c>
      <c r="G343">
        <v>19.980899999999998</v>
      </c>
      <c r="H343" t="s">
        <v>114</v>
      </c>
      <c r="I343" t="s">
        <v>114</v>
      </c>
      <c r="J343" t="s">
        <v>20</v>
      </c>
      <c r="K343">
        <f t="shared" si="60"/>
        <v>114.48000000000002</v>
      </c>
      <c r="L343">
        <f t="shared" si="61"/>
        <v>430.3667999999999</v>
      </c>
      <c r="M343" t="str">
        <f t="shared" si="62"/>
        <v>matty-7</v>
      </c>
      <c r="N343" t="str">
        <f>INDEX(Scores!$A$2:$A$11,INDEX(Scores!$AA$2:$AA$131,MATCH(C343,Scores!$AB$2:$AB$131,0)))</f>
        <v>matty</v>
      </c>
      <c r="O343">
        <f t="shared" si="63"/>
        <v>87.490000000000009</v>
      </c>
      <c r="P343">
        <f t="shared" si="64"/>
        <v>277.88929999999999</v>
      </c>
      <c r="Q343" s="3">
        <f t="shared" si="65"/>
        <v>0.84474748784368747</v>
      </c>
      <c r="R343" s="3">
        <f t="shared" si="66"/>
        <v>0.86158731979267034</v>
      </c>
      <c r="S343" s="9">
        <f t="shared" si="67"/>
        <v>1.6839831948982864E-2</v>
      </c>
      <c r="T343">
        <f t="shared" si="68"/>
        <v>82</v>
      </c>
      <c r="U343">
        <f t="shared" si="69"/>
        <v>65</v>
      </c>
      <c r="V343" s="3">
        <f t="shared" si="70"/>
        <v>0.99972851774761651</v>
      </c>
      <c r="W343" s="9">
        <f t="shared" si="71"/>
        <v>2.7148225238349255E-4</v>
      </c>
      <c r="AC343"/>
    </row>
    <row r="344" spans="1:29" x14ac:dyDescent="0.25">
      <c r="A344" t="s">
        <v>81</v>
      </c>
      <c r="B344">
        <v>8</v>
      </c>
      <c r="C344" t="s">
        <v>922</v>
      </c>
      <c r="D344" t="s">
        <v>469</v>
      </c>
      <c r="E344">
        <v>23</v>
      </c>
      <c r="F344">
        <v>16.739999999999998</v>
      </c>
      <c r="G344">
        <v>84.088899999999995</v>
      </c>
      <c r="H344" t="s">
        <v>47</v>
      </c>
      <c r="I344" t="s">
        <v>47</v>
      </c>
      <c r="J344" t="s">
        <v>55</v>
      </c>
      <c r="K344">
        <f t="shared" si="60"/>
        <v>114.1</v>
      </c>
      <c r="L344">
        <f t="shared" si="61"/>
        <v>458.87900000000002</v>
      </c>
      <c r="M344" t="str">
        <f t="shared" si="62"/>
        <v>lucas-8</v>
      </c>
      <c r="N344" t="str">
        <f>INDEX(Scores!$A$2:$A$11,INDEX(Scores!$AA$2:$AA$131,MATCH(C344,Scores!$AB$2:$AB$131,0)))</f>
        <v>lucas</v>
      </c>
      <c r="O344">
        <f t="shared" si="63"/>
        <v>0</v>
      </c>
      <c r="P344">
        <f t="shared" si="64"/>
        <v>0</v>
      </c>
      <c r="Q344" s="3">
        <f t="shared" si="65"/>
        <v>0.99999994992018415</v>
      </c>
      <c r="R344" s="3">
        <f t="shared" si="66"/>
        <v>0.99999999974679277</v>
      </c>
      <c r="S344" s="9">
        <f t="shared" si="67"/>
        <v>4.9826608616854173E-8</v>
      </c>
      <c r="T344">
        <f t="shared" si="68"/>
        <v>113</v>
      </c>
      <c r="U344">
        <f t="shared" si="69"/>
        <v>0</v>
      </c>
      <c r="V344" s="3">
        <f t="shared" si="70"/>
        <v>1</v>
      </c>
      <c r="W344" s="9">
        <f t="shared" si="71"/>
        <v>0</v>
      </c>
      <c r="AC344"/>
    </row>
    <row r="345" spans="1:29" x14ac:dyDescent="0.25">
      <c r="A345" t="s">
        <v>436</v>
      </c>
      <c r="B345">
        <v>9</v>
      </c>
      <c r="C345" t="s">
        <v>963</v>
      </c>
      <c r="D345" t="s">
        <v>477</v>
      </c>
      <c r="E345">
        <v>3</v>
      </c>
      <c r="F345">
        <v>7.82</v>
      </c>
      <c r="G345">
        <v>47.334400000000002</v>
      </c>
      <c r="H345" t="s">
        <v>477</v>
      </c>
      <c r="I345" t="s">
        <v>477</v>
      </c>
      <c r="J345" t="s">
        <v>23</v>
      </c>
      <c r="K345">
        <f t="shared" si="60"/>
        <v>98.35</v>
      </c>
      <c r="L345">
        <f t="shared" si="61"/>
        <v>385.97739999999999</v>
      </c>
      <c r="M345" t="str">
        <f t="shared" si="62"/>
        <v>aj-9</v>
      </c>
      <c r="N345" t="str">
        <f>INDEX(Scores!$A$2:$A$11,INDEX(Scores!$AA$2:$AA$131,MATCH(C345,Scores!$AB$2:$AB$131,0)))</f>
        <v>aj</v>
      </c>
      <c r="O345">
        <f t="shared" si="63"/>
        <v>102.03999999999999</v>
      </c>
      <c r="P345">
        <f t="shared" si="64"/>
        <v>392.2131</v>
      </c>
      <c r="Q345" s="3">
        <f t="shared" si="65"/>
        <v>0.4473827117902357</v>
      </c>
      <c r="R345" s="3">
        <f t="shared" si="66"/>
        <v>0.37646256282021007</v>
      </c>
      <c r="S345" s="9">
        <f t="shared" si="67"/>
        <v>-7.0920148970025632E-2</v>
      </c>
      <c r="T345">
        <f t="shared" si="68"/>
        <v>105</v>
      </c>
      <c r="U345">
        <f t="shared" si="69"/>
        <v>86</v>
      </c>
      <c r="V345" s="3">
        <f t="shared" si="70"/>
        <v>0.99973211983340515</v>
      </c>
      <c r="W345" s="9">
        <f t="shared" si="71"/>
        <v>2.6788016659484715E-4</v>
      </c>
      <c r="AC345"/>
    </row>
    <row r="346" spans="1:29" x14ac:dyDescent="0.25">
      <c r="A346" t="s">
        <v>413</v>
      </c>
      <c r="B346">
        <v>9</v>
      </c>
      <c r="C346" t="s">
        <v>979</v>
      </c>
      <c r="D346" t="s">
        <v>477</v>
      </c>
      <c r="E346">
        <v>4</v>
      </c>
      <c r="F346">
        <v>6.64</v>
      </c>
      <c r="G346">
        <v>35.521599999999999</v>
      </c>
      <c r="H346" t="s">
        <v>477</v>
      </c>
      <c r="I346" t="s">
        <v>477</v>
      </c>
      <c r="J346" t="s">
        <v>44</v>
      </c>
      <c r="K346">
        <f t="shared" si="60"/>
        <v>92.559999999999988</v>
      </c>
      <c r="L346">
        <f t="shared" si="61"/>
        <v>350.31569999999999</v>
      </c>
      <c r="M346" t="str">
        <f t="shared" si="62"/>
        <v>comp-9</v>
      </c>
      <c r="N346" t="str">
        <f>INDEX(Scores!$A$2:$A$11,INDEX(Scores!$AA$2:$AA$131,MATCH(C346,Scores!$AB$2:$AB$131,0)))</f>
        <v>comp</v>
      </c>
      <c r="O346">
        <f t="shared" si="63"/>
        <v>80.800000000000011</v>
      </c>
      <c r="P346">
        <f t="shared" si="64"/>
        <v>290.44450000000001</v>
      </c>
      <c r="Q346" s="3">
        <f t="shared" si="65"/>
        <v>0.67888350653659379</v>
      </c>
      <c r="R346" s="3">
        <f t="shared" si="66"/>
        <v>0.64457234804781161</v>
      </c>
      <c r="S346" s="9">
        <f t="shared" si="67"/>
        <v>-3.431115848878219E-2</v>
      </c>
      <c r="T346">
        <f t="shared" si="68"/>
        <v>95</v>
      </c>
      <c r="U346">
        <f t="shared" si="69"/>
        <v>77</v>
      </c>
      <c r="V346" s="3">
        <f t="shared" si="70"/>
        <v>0.99973299239709101</v>
      </c>
      <c r="W346" s="9">
        <f t="shared" si="71"/>
        <v>2.6700760290898629E-4</v>
      </c>
      <c r="AC346"/>
    </row>
    <row r="347" spans="1:29" x14ac:dyDescent="0.25">
      <c r="A347" t="s">
        <v>138</v>
      </c>
      <c r="B347">
        <v>9</v>
      </c>
      <c r="C347" t="s">
        <v>979</v>
      </c>
      <c r="D347" t="s">
        <v>468</v>
      </c>
      <c r="E347">
        <v>7</v>
      </c>
      <c r="F347">
        <v>12.8</v>
      </c>
      <c r="G347">
        <v>47.196899999999999</v>
      </c>
      <c r="H347" t="s">
        <v>47</v>
      </c>
      <c r="I347" t="s">
        <v>47</v>
      </c>
      <c r="J347" t="s">
        <v>44</v>
      </c>
      <c r="K347">
        <f t="shared" si="60"/>
        <v>92.559999999999988</v>
      </c>
      <c r="L347">
        <f t="shared" si="61"/>
        <v>350.31569999999999</v>
      </c>
      <c r="M347" t="str">
        <f t="shared" si="62"/>
        <v>comp-9</v>
      </c>
      <c r="N347" t="str">
        <f>INDEX(Scores!$A$2:$A$11,INDEX(Scores!$AA$2:$AA$131,MATCH(C347,Scores!$AB$2:$AB$131,0)))</f>
        <v>comp</v>
      </c>
      <c r="O347">
        <f t="shared" si="63"/>
        <v>80.800000000000011</v>
      </c>
      <c r="P347">
        <f t="shared" si="64"/>
        <v>290.44450000000001</v>
      </c>
      <c r="Q347" s="3">
        <f t="shared" si="65"/>
        <v>0.67888350653659379</v>
      </c>
      <c r="R347" s="3">
        <f t="shared" si="66"/>
        <v>0.59662919300401773</v>
      </c>
      <c r="S347" s="9">
        <f t="shared" si="67"/>
        <v>-8.2254313532576062E-2</v>
      </c>
      <c r="T347">
        <f t="shared" si="68"/>
        <v>95</v>
      </c>
      <c r="U347">
        <f t="shared" si="69"/>
        <v>77</v>
      </c>
      <c r="V347" s="3">
        <f t="shared" si="70"/>
        <v>0.99973423061150724</v>
      </c>
      <c r="W347" s="9">
        <f t="shared" si="71"/>
        <v>2.6576938849276477E-4</v>
      </c>
      <c r="AC347"/>
    </row>
    <row r="348" spans="1:29" x14ac:dyDescent="0.25">
      <c r="A348" t="s">
        <v>133</v>
      </c>
      <c r="B348">
        <v>10</v>
      </c>
      <c r="C348" t="s">
        <v>948</v>
      </c>
      <c r="D348" t="s">
        <v>473</v>
      </c>
      <c r="E348">
        <v>13</v>
      </c>
      <c r="F348">
        <v>8.85</v>
      </c>
      <c r="G348">
        <v>23.328900000000001</v>
      </c>
      <c r="H348" t="s">
        <v>87</v>
      </c>
      <c r="I348" t="s">
        <v>87</v>
      </c>
      <c r="J348" t="s">
        <v>62</v>
      </c>
      <c r="K348">
        <f t="shared" si="60"/>
        <v>103.91999999999999</v>
      </c>
      <c r="L348">
        <f t="shared" si="61"/>
        <v>398.26569999999992</v>
      </c>
      <c r="M348" t="str">
        <f t="shared" si="62"/>
        <v>aj-10</v>
      </c>
      <c r="N348" t="str">
        <f>INDEX(Scores!$A$2:$A$11,INDEX(Scores!$AA$2:$AA$131,MATCH(C348,Scores!$AB$2:$AB$131,0)))</f>
        <v>aj</v>
      </c>
      <c r="O348">
        <f t="shared" si="63"/>
        <v>110.08000000000001</v>
      </c>
      <c r="P348">
        <f t="shared" si="64"/>
        <v>372.64320000000004</v>
      </c>
      <c r="Q348" s="3">
        <f t="shared" si="65"/>
        <v>0.41221140040071919</v>
      </c>
      <c r="R348" s="3">
        <f t="shared" si="66"/>
        <v>0.47069874275325213</v>
      </c>
      <c r="S348" s="9">
        <f t="shared" si="67"/>
        <v>5.8487342352532945E-2</v>
      </c>
      <c r="T348">
        <f t="shared" si="68"/>
        <v>103</v>
      </c>
      <c r="U348">
        <f t="shared" si="69"/>
        <v>82</v>
      </c>
      <c r="V348" s="3">
        <f t="shared" si="70"/>
        <v>0.99975723307692188</v>
      </c>
      <c r="W348" s="9">
        <f t="shared" si="71"/>
        <v>2.4276692307811931E-4</v>
      </c>
      <c r="AC348"/>
    </row>
    <row r="349" spans="1:29" x14ac:dyDescent="0.25">
      <c r="A349" t="s">
        <v>447</v>
      </c>
      <c r="B349">
        <v>6</v>
      </c>
      <c r="C349" t="s">
        <v>952</v>
      </c>
      <c r="D349" t="s">
        <v>478</v>
      </c>
      <c r="E349">
        <v>12</v>
      </c>
      <c r="F349">
        <v>7.73</v>
      </c>
      <c r="G349">
        <v>20.25</v>
      </c>
      <c r="H349" t="s">
        <v>478</v>
      </c>
      <c r="I349" t="s">
        <v>478</v>
      </c>
      <c r="J349" t="s">
        <v>40</v>
      </c>
      <c r="K349">
        <f t="shared" si="60"/>
        <v>86.090000000000018</v>
      </c>
      <c r="L349">
        <f t="shared" si="61"/>
        <v>366.05880000000002</v>
      </c>
      <c r="M349" t="e">
        <f t="shared" si="62"/>
        <v>#N/A</v>
      </c>
      <c r="N349" t="e">
        <f>INDEX(Scores!$A$2:$A$11,INDEX(Scores!$AA$2:$AA$131,MATCH(C349,Scores!$AB$2:$AB$131,0)))</f>
        <v>#N/A</v>
      </c>
      <c r="O349">
        <f t="shared" si="63"/>
        <v>0</v>
      </c>
      <c r="P349">
        <f t="shared" si="64"/>
        <v>0</v>
      </c>
      <c r="Q349" s="3">
        <f t="shared" si="65"/>
        <v>0.99999659648730843</v>
      </c>
      <c r="R349" s="3">
        <f t="shared" si="66"/>
        <v>0.99999941047595664</v>
      </c>
      <c r="S349" s="9">
        <f t="shared" si="67"/>
        <v>2.8139886482092535E-6</v>
      </c>
      <c r="T349">
        <f t="shared" si="68"/>
        <v>99</v>
      </c>
      <c r="U349">
        <f t="shared" si="69"/>
        <v>0</v>
      </c>
      <c r="V349" s="3">
        <f t="shared" si="70"/>
        <v>1</v>
      </c>
      <c r="W349" s="9">
        <f t="shared" si="71"/>
        <v>0</v>
      </c>
      <c r="AC349"/>
    </row>
    <row r="350" spans="1:29" x14ac:dyDescent="0.25">
      <c r="A350" t="s">
        <v>92</v>
      </c>
      <c r="B350">
        <v>8</v>
      </c>
      <c r="C350" t="s">
        <v>922</v>
      </c>
      <c r="D350" t="s">
        <v>466</v>
      </c>
      <c r="E350">
        <v>19</v>
      </c>
      <c r="F350">
        <v>15.66</v>
      </c>
      <c r="G350">
        <v>97.022499999999994</v>
      </c>
      <c r="H350" t="s">
        <v>466</v>
      </c>
      <c r="I350" t="s">
        <v>47</v>
      </c>
      <c r="J350" t="s">
        <v>55</v>
      </c>
      <c r="K350">
        <f t="shared" si="60"/>
        <v>114.1</v>
      </c>
      <c r="L350">
        <f t="shared" si="61"/>
        <v>458.87900000000002</v>
      </c>
      <c r="M350" t="str">
        <f t="shared" si="62"/>
        <v>lucas-8</v>
      </c>
      <c r="N350" t="str">
        <f>INDEX(Scores!$A$2:$A$11,INDEX(Scores!$AA$2:$AA$131,MATCH(C350,Scores!$AB$2:$AB$131,0)))</f>
        <v>lucas</v>
      </c>
      <c r="O350">
        <f t="shared" si="63"/>
        <v>0</v>
      </c>
      <c r="P350">
        <f t="shared" si="64"/>
        <v>0</v>
      </c>
      <c r="Q350" s="3">
        <f t="shared" si="65"/>
        <v>0.99999994992018415</v>
      </c>
      <c r="R350" s="3">
        <f t="shared" si="66"/>
        <v>0.99999999966651965</v>
      </c>
      <c r="S350" s="9">
        <f t="shared" si="67"/>
        <v>4.9746335495370886E-8</v>
      </c>
      <c r="T350">
        <f t="shared" si="68"/>
        <v>113</v>
      </c>
      <c r="U350">
        <f t="shared" si="69"/>
        <v>0</v>
      </c>
      <c r="V350" s="3">
        <f t="shared" si="70"/>
        <v>1</v>
      </c>
      <c r="W350" s="9">
        <f t="shared" si="71"/>
        <v>0</v>
      </c>
      <c r="AC350"/>
    </row>
    <row r="351" spans="1:29" x14ac:dyDescent="0.25">
      <c r="A351" t="s">
        <v>105</v>
      </c>
      <c r="B351">
        <v>1</v>
      </c>
      <c r="C351" t="s">
        <v>501</v>
      </c>
      <c r="D351" t="s">
        <v>471</v>
      </c>
      <c r="E351">
        <v>6</v>
      </c>
      <c r="F351">
        <v>11.45</v>
      </c>
      <c r="G351">
        <v>48.163600000000002</v>
      </c>
      <c r="H351" t="s">
        <v>87</v>
      </c>
      <c r="I351" t="s">
        <v>87</v>
      </c>
      <c r="J351" t="s">
        <v>62</v>
      </c>
      <c r="K351">
        <f t="shared" si="60"/>
        <v>101.75</v>
      </c>
      <c r="L351">
        <f t="shared" si="61"/>
        <v>333.15260000000001</v>
      </c>
      <c r="M351" t="str">
        <f t="shared" si="62"/>
        <v>matty-1</v>
      </c>
      <c r="N351" t="str">
        <f>INDEX(Scores!$A$2:$A$11,INDEX(Scores!$AA$2:$AA$131,MATCH(C351,Scores!$AB$2:$AB$131,0)))</f>
        <v>matty</v>
      </c>
      <c r="O351">
        <f t="shared" si="63"/>
        <v>96.11</v>
      </c>
      <c r="P351">
        <f t="shared" si="64"/>
        <v>397.37959999999998</v>
      </c>
      <c r="Q351" s="3">
        <f t="shared" si="65"/>
        <v>0.58264695809701372</v>
      </c>
      <c r="R351" s="3">
        <f t="shared" si="66"/>
        <v>0.50290168537256219</v>
      </c>
      <c r="S351" s="9">
        <f t="shared" si="67"/>
        <v>-7.9745272724451532E-2</v>
      </c>
      <c r="T351">
        <f t="shared" si="68"/>
        <v>95</v>
      </c>
      <c r="U351">
        <f t="shared" si="69"/>
        <v>76</v>
      </c>
      <c r="V351" s="3">
        <f t="shared" si="70"/>
        <v>0.99978669839185719</v>
      </c>
      <c r="W351" s="9">
        <f t="shared" si="71"/>
        <v>2.1330160814281296E-4</v>
      </c>
      <c r="AC351"/>
    </row>
    <row r="352" spans="1:29" x14ac:dyDescent="0.25">
      <c r="A352" t="s">
        <v>148</v>
      </c>
      <c r="B352">
        <v>1</v>
      </c>
      <c r="C352" t="s">
        <v>502</v>
      </c>
      <c r="D352" t="s">
        <v>466</v>
      </c>
      <c r="E352">
        <v>0</v>
      </c>
      <c r="F352">
        <v>8.23</v>
      </c>
      <c r="G352">
        <v>54.908099999999997</v>
      </c>
      <c r="H352" t="s">
        <v>466</v>
      </c>
      <c r="I352" t="s">
        <v>47</v>
      </c>
      <c r="J352" t="s">
        <v>16</v>
      </c>
      <c r="K352">
        <f t="shared" si="60"/>
        <v>105.11000000000001</v>
      </c>
      <c r="L352">
        <f t="shared" si="61"/>
        <v>445.52289999999994</v>
      </c>
      <c r="M352" t="str">
        <f t="shared" si="62"/>
        <v>perry-1</v>
      </c>
      <c r="N352" t="str">
        <f>INDEX(Scores!$A$2:$A$11,INDEX(Scores!$AA$2:$AA$131,MATCH(C352,Scores!$AB$2:$AB$131,0)))</f>
        <v>perry</v>
      </c>
      <c r="O352">
        <f t="shared" si="63"/>
        <v>94.44</v>
      </c>
      <c r="P352">
        <f t="shared" si="64"/>
        <v>399.28809999999999</v>
      </c>
      <c r="Q352" s="3">
        <f t="shared" si="65"/>
        <v>0.64322786671093812</v>
      </c>
      <c r="R352" s="3">
        <f t="shared" si="66"/>
        <v>0.53459136950655783</v>
      </c>
      <c r="S352" s="9">
        <f t="shared" si="67"/>
        <v>-0.10863649720438029</v>
      </c>
      <c r="T352">
        <f t="shared" si="68"/>
        <v>100</v>
      </c>
      <c r="U352">
        <f t="shared" si="69"/>
        <v>82</v>
      </c>
      <c r="V352" s="3">
        <f t="shared" si="70"/>
        <v>0.99979979321151613</v>
      </c>
      <c r="W352" s="9">
        <f t="shared" si="71"/>
        <v>2.0020678848386986E-4</v>
      </c>
      <c r="AC352"/>
    </row>
    <row r="353" spans="1:29" x14ac:dyDescent="0.25">
      <c r="A353" t="s">
        <v>18</v>
      </c>
      <c r="B353">
        <v>7</v>
      </c>
      <c r="C353" t="s">
        <v>905</v>
      </c>
      <c r="D353" t="s">
        <v>467</v>
      </c>
      <c r="E353">
        <v>17</v>
      </c>
      <c r="F353">
        <v>24.7</v>
      </c>
      <c r="G353">
        <v>48.163600000000002</v>
      </c>
      <c r="H353" t="s">
        <v>15</v>
      </c>
      <c r="I353" t="s">
        <v>15</v>
      </c>
      <c r="J353" t="s">
        <v>20</v>
      </c>
      <c r="K353">
        <f t="shared" si="60"/>
        <v>114.48000000000002</v>
      </c>
      <c r="L353">
        <f t="shared" si="61"/>
        <v>430.3667999999999</v>
      </c>
      <c r="M353" t="str">
        <f t="shared" si="62"/>
        <v>matty-7</v>
      </c>
      <c r="N353" t="str">
        <f>INDEX(Scores!$A$2:$A$11,INDEX(Scores!$AA$2:$AA$131,MATCH(C353,Scores!$AB$2:$AB$131,0)))</f>
        <v>matty</v>
      </c>
      <c r="O353">
        <f t="shared" si="63"/>
        <v>87.490000000000009</v>
      </c>
      <c r="P353">
        <f t="shared" si="64"/>
        <v>277.88929999999999</v>
      </c>
      <c r="Q353" s="3">
        <f t="shared" si="65"/>
        <v>0.84474748784368747</v>
      </c>
      <c r="R353" s="3">
        <f t="shared" si="66"/>
        <v>0.77361638045791203</v>
      </c>
      <c r="S353" s="9">
        <f t="shared" si="67"/>
        <v>-7.1131107385775438E-2</v>
      </c>
      <c r="T353">
        <f t="shared" si="68"/>
        <v>82</v>
      </c>
      <c r="U353">
        <f t="shared" si="69"/>
        <v>65</v>
      </c>
      <c r="V353" s="3">
        <f t="shared" si="70"/>
        <v>0.99981392036472727</v>
      </c>
      <c r="W353" s="9">
        <f t="shared" si="71"/>
        <v>1.8607963527272897E-4</v>
      </c>
      <c r="AC353"/>
    </row>
    <row r="354" spans="1:29" x14ac:dyDescent="0.25">
      <c r="A354" t="s">
        <v>139</v>
      </c>
      <c r="B354">
        <v>2</v>
      </c>
      <c r="C354" t="s">
        <v>630</v>
      </c>
      <c r="D354" t="s">
        <v>469</v>
      </c>
      <c r="E354">
        <v>1</v>
      </c>
      <c r="F354">
        <v>8.33</v>
      </c>
      <c r="G354">
        <v>29.4849</v>
      </c>
      <c r="H354" t="s">
        <v>47</v>
      </c>
      <c r="I354" t="s">
        <v>47</v>
      </c>
      <c r="J354" t="s">
        <v>44</v>
      </c>
      <c r="K354">
        <f t="shared" si="60"/>
        <v>91.78</v>
      </c>
      <c r="L354">
        <f t="shared" si="61"/>
        <v>333.71719999999993</v>
      </c>
      <c r="M354" t="str">
        <f t="shared" si="62"/>
        <v>matty-2</v>
      </c>
      <c r="N354" t="str">
        <f>INDEX(Scores!$A$2:$A$11,INDEX(Scores!$AA$2:$AA$131,MATCH(C354,Scores!$AB$2:$AB$131,0)))</f>
        <v>matty</v>
      </c>
      <c r="O354">
        <f t="shared" si="63"/>
        <v>101.3</v>
      </c>
      <c r="P354">
        <f t="shared" si="64"/>
        <v>329.14109999999999</v>
      </c>
      <c r="Q354" s="3">
        <f t="shared" si="65"/>
        <v>0.35577854462426967</v>
      </c>
      <c r="R354" s="3">
        <f t="shared" si="66"/>
        <v>0.25157874791770085</v>
      </c>
      <c r="S354" s="9">
        <f t="shared" si="67"/>
        <v>-0.10419979670656881</v>
      </c>
      <c r="T354">
        <f t="shared" si="68"/>
        <v>82</v>
      </c>
      <c r="U354">
        <f t="shared" si="69"/>
        <v>70</v>
      </c>
      <c r="V354" s="3">
        <f t="shared" si="70"/>
        <v>0.9998144685447381</v>
      </c>
      <c r="W354" s="9">
        <f t="shared" si="71"/>
        <v>1.8553145526190029E-4</v>
      </c>
      <c r="AC354"/>
    </row>
    <row r="355" spans="1:29" x14ac:dyDescent="0.25">
      <c r="A355" t="s">
        <v>133</v>
      </c>
      <c r="B355">
        <v>13</v>
      </c>
      <c r="C355" t="s">
        <v>951</v>
      </c>
      <c r="D355" t="s">
        <v>473</v>
      </c>
      <c r="E355">
        <v>3</v>
      </c>
      <c r="F355">
        <v>10.26</v>
      </c>
      <c r="G355">
        <v>35.640900000000002</v>
      </c>
      <c r="H355" t="s">
        <v>87</v>
      </c>
      <c r="I355" t="s">
        <v>87</v>
      </c>
      <c r="J355" t="s">
        <v>62</v>
      </c>
      <c r="K355">
        <f t="shared" si="60"/>
        <v>113.35</v>
      </c>
      <c r="L355">
        <f t="shared" si="61"/>
        <v>486.24799999999993</v>
      </c>
      <c r="M355" t="str">
        <f t="shared" si="62"/>
        <v>comp-13</v>
      </c>
      <c r="N355" t="str">
        <f>INDEX(Scores!$A$2:$A$11,INDEX(Scores!$AA$2:$AA$131,MATCH(C355,Scores!$AB$2:$AB$131,0)))</f>
        <v>comp</v>
      </c>
      <c r="O355">
        <f t="shared" si="63"/>
        <v>104.63999999999999</v>
      </c>
      <c r="P355">
        <f t="shared" si="64"/>
        <v>400.33339999999998</v>
      </c>
      <c r="Q355" s="3">
        <f t="shared" si="65"/>
        <v>0.6150563098213474</v>
      </c>
      <c r="R355" s="3">
        <f t="shared" si="66"/>
        <v>0.51982209979610783</v>
      </c>
      <c r="S355" s="9">
        <f t="shared" si="67"/>
        <v>-9.5234210025239574E-2</v>
      </c>
      <c r="T355">
        <f t="shared" si="68"/>
        <v>95</v>
      </c>
      <c r="U355">
        <f t="shared" si="69"/>
        <v>81</v>
      </c>
      <c r="V355" s="3">
        <f t="shared" si="70"/>
        <v>0.99981537525463549</v>
      </c>
      <c r="W355" s="9">
        <f t="shared" si="71"/>
        <v>1.8462474536451445E-4</v>
      </c>
      <c r="AC355"/>
    </row>
    <row r="356" spans="1:29" x14ac:dyDescent="0.25">
      <c r="A356" t="s">
        <v>143</v>
      </c>
      <c r="B356">
        <v>2</v>
      </c>
      <c r="C356" t="s">
        <v>630</v>
      </c>
      <c r="D356" t="s">
        <v>472</v>
      </c>
      <c r="E356">
        <v>3</v>
      </c>
      <c r="F356">
        <v>9.34</v>
      </c>
      <c r="G356">
        <v>26.522500000000001</v>
      </c>
      <c r="H356" t="s">
        <v>87</v>
      </c>
      <c r="I356" t="s">
        <v>87</v>
      </c>
      <c r="J356" t="s">
        <v>44</v>
      </c>
      <c r="K356">
        <f t="shared" si="60"/>
        <v>91.78</v>
      </c>
      <c r="L356">
        <f t="shared" si="61"/>
        <v>333.71719999999993</v>
      </c>
      <c r="M356" t="str">
        <f t="shared" si="62"/>
        <v>matty-2</v>
      </c>
      <c r="N356" t="str">
        <f>INDEX(Scores!$A$2:$A$11,INDEX(Scores!$AA$2:$AA$131,MATCH(C356,Scores!$AB$2:$AB$131,0)))</f>
        <v>matty</v>
      </c>
      <c r="O356">
        <f t="shared" si="63"/>
        <v>101.3</v>
      </c>
      <c r="P356">
        <f t="shared" si="64"/>
        <v>329.14109999999999</v>
      </c>
      <c r="Q356" s="3">
        <f t="shared" si="65"/>
        <v>0.35577854462426967</v>
      </c>
      <c r="R356" s="3">
        <f t="shared" si="66"/>
        <v>0.26476489780586981</v>
      </c>
      <c r="S356" s="9">
        <f t="shared" si="67"/>
        <v>-9.1013646818399851E-2</v>
      </c>
      <c r="T356">
        <f t="shared" si="68"/>
        <v>82</v>
      </c>
      <c r="U356">
        <f t="shared" si="69"/>
        <v>70</v>
      </c>
      <c r="V356" s="3">
        <f t="shared" si="70"/>
        <v>0.99981539355247351</v>
      </c>
      <c r="W356" s="9">
        <f t="shared" si="71"/>
        <v>1.8460644752649191E-4</v>
      </c>
      <c r="AC356"/>
    </row>
    <row r="357" spans="1:29" x14ac:dyDescent="0.25">
      <c r="A357" t="s">
        <v>107</v>
      </c>
      <c r="B357">
        <v>4</v>
      </c>
      <c r="C357" t="s">
        <v>863</v>
      </c>
      <c r="D357" t="s">
        <v>471</v>
      </c>
      <c r="E357">
        <v>3</v>
      </c>
      <c r="F357">
        <v>9.34</v>
      </c>
      <c r="G357">
        <v>26.3169</v>
      </c>
      <c r="H357" t="s">
        <v>87</v>
      </c>
      <c r="I357" t="s">
        <v>87</v>
      </c>
      <c r="J357" t="s">
        <v>35</v>
      </c>
      <c r="K357">
        <f t="shared" si="60"/>
        <v>99.78</v>
      </c>
      <c r="L357">
        <f t="shared" si="61"/>
        <v>369.21209999999996</v>
      </c>
      <c r="M357" t="str">
        <f t="shared" si="62"/>
        <v>perry-4</v>
      </c>
      <c r="N357" t="str">
        <f>INDEX(Scores!$A$2:$A$11,INDEX(Scores!$AA$2:$AA$131,MATCH(C357,Scores!$AB$2:$AB$131,0)))</f>
        <v>perry</v>
      </c>
      <c r="O357">
        <f t="shared" si="63"/>
        <v>111.07000000000001</v>
      </c>
      <c r="P357">
        <f t="shared" si="64"/>
        <v>406.62959999999998</v>
      </c>
      <c r="Q357" s="3">
        <f t="shared" si="65"/>
        <v>0.34261794725331807</v>
      </c>
      <c r="R357" s="3">
        <f t="shared" si="66"/>
        <v>0.25980048583003734</v>
      </c>
      <c r="S357" s="9">
        <f t="shared" si="67"/>
        <v>-8.2817461423280725E-2</v>
      </c>
      <c r="T357">
        <f t="shared" si="68"/>
        <v>84</v>
      </c>
      <c r="U357">
        <f t="shared" si="69"/>
        <v>72</v>
      </c>
      <c r="V357" s="3">
        <f t="shared" si="70"/>
        <v>0.99982491866694234</v>
      </c>
      <c r="W357" s="9">
        <f t="shared" si="71"/>
        <v>1.7508133305765838E-4</v>
      </c>
      <c r="AC357"/>
    </row>
    <row r="358" spans="1:29" x14ac:dyDescent="0.25">
      <c r="A358" t="s">
        <v>120</v>
      </c>
      <c r="B358">
        <v>6</v>
      </c>
      <c r="C358" t="s">
        <v>936</v>
      </c>
      <c r="D358" t="s">
        <v>472</v>
      </c>
      <c r="E358">
        <v>7</v>
      </c>
      <c r="F358">
        <v>12.43</v>
      </c>
      <c r="G358">
        <v>46.648899999999998</v>
      </c>
      <c r="H358" t="s">
        <v>87</v>
      </c>
      <c r="I358" t="s">
        <v>87</v>
      </c>
      <c r="J358" t="s">
        <v>27</v>
      </c>
      <c r="K358">
        <f t="shared" si="60"/>
        <v>104.66</v>
      </c>
      <c r="L358">
        <f t="shared" si="61"/>
        <v>375.94899999999996</v>
      </c>
      <c r="M358" t="str">
        <f t="shared" si="62"/>
        <v>devon-6</v>
      </c>
      <c r="N358" t="str">
        <f>INDEX(Scores!$A$2:$A$11,INDEX(Scores!$AA$2:$AA$131,MATCH(C358,Scores!$AB$2:$AB$131,0)))</f>
        <v>devon</v>
      </c>
      <c r="O358">
        <f t="shared" si="63"/>
        <v>101.41999999999999</v>
      </c>
      <c r="P358">
        <f t="shared" si="64"/>
        <v>401.13359999999994</v>
      </c>
      <c r="Q358" s="3">
        <f t="shared" si="65"/>
        <v>0.54626414609906893</v>
      </c>
      <c r="R358" s="3">
        <f t="shared" si="66"/>
        <v>0.46770846295034374</v>
      </c>
      <c r="S358" s="9">
        <f t="shared" si="67"/>
        <v>-7.8555683148725186E-2</v>
      </c>
      <c r="T358">
        <f t="shared" si="68"/>
        <v>91</v>
      </c>
      <c r="U358">
        <f t="shared" si="69"/>
        <v>72</v>
      </c>
      <c r="V358" s="3">
        <f t="shared" si="70"/>
        <v>0.99982613135046228</v>
      </c>
      <c r="W358" s="9">
        <f t="shared" si="71"/>
        <v>1.7386864953772285E-4</v>
      </c>
      <c r="AC358"/>
    </row>
    <row r="359" spans="1:29" x14ac:dyDescent="0.25">
      <c r="A359" t="s">
        <v>99</v>
      </c>
      <c r="B359">
        <v>11</v>
      </c>
      <c r="C359" t="s">
        <v>917</v>
      </c>
      <c r="D359" t="s">
        <v>468</v>
      </c>
      <c r="E359">
        <v>14</v>
      </c>
      <c r="F359">
        <v>10.64</v>
      </c>
      <c r="G359">
        <v>59.29</v>
      </c>
      <c r="H359" t="s">
        <v>47</v>
      </c>
      <c r="I359" t="s">
        <v>47</v>
      </c>
      <c r="J359" t="s">
        <v>16</v>
      </c>
      <c r="K359">
        <f t="shared" si="60"/>
        <v>102.11</v>
      </c>
      <c r="L359">
        <f t="shared" si="61"/>
        <v>431.97960000000006</v>
      </c>
      <c r="M359" t="str">
        <f t="shared" si="62"/>
        <v>chad-11</v>
      </c>
      <c r="N359" t="str">
        <f>INDEX(Scores!$A$2:$A$11,INDEX(Scores!$AA$2:$AA$131,MATCH(C359,Scores!$AB$2:$AB$131,0)))</f>
        <v>chad</v>
      </c>
      <c r="O359">
        <f t="shared" si="63"/>
        <v>106.58</v>
      </c>
      <c r="P359">
        <f t="shared" si="64"/>
        <v>427.68610000000001</v>
      </c>
      <c r="Q359" s="3">
        <f t="shared" si="65"/>
        <v>0.43941389461043751</v>
      </c>
      <c r="R359" s="3">
        <f t="shared" si="66"/>
        <v>0.484351429057993</v>
      </c>
      <c r="S359" s="9">
        <f t="shared" si="67"/>
        <v>4.4937534447555494E-2</v>
      </c>
      <c r="T359">
        <f t="shared" si="68"/>
        <v>130</v>
      </c>
      <c r="U359">
        <f t="shared" si="69"/>
        <v>99</v>
      </c>
      <c r="V359" s="3">
        <f t="shared" si="70"/>
        <v>0.99983441371650594</v>
      </c>
      <c r="W359" s="9">
        <f t="shared" si="71"/>
        <v>1.6558628349405691E-4</v>
      </c>
      <c r="AC359"/>
    </row>
    <row r="360" spans="1:29" x14ac:dyDescent="0.25">
      <c r="A360" t="s">
        <v>208</v>
      </c>
      <c r="B360">
        <v>9</v>
      </c>
      <c r="C360" t="s">
        <v>907</v>
      </c>
      <c r="D360" t="s">
        <v>475</v>
      </c>
      <c r="E360">
        <v>12</v>
      </c>
      <c r="F360">
        <v>6.46</v>
      </c>
      <c r="G360">
        <v>20.976400000000002</v>
      </c>
      <c r="H360" t="s">
        <v>114</v>
      </c>
      <c r="I360" t="s">
        <v>114</v>
      </c>
      <c r="J360" t="s">
        <v>20</v>
      </c>
      <c r="K360">
        <f t="shared" si="60"/>
        <v>83.52</v>
      </c>
      <c r="L360">
        <f t="shared" si="61"/>
        <v>286.42129999999997</v>
      </c>
      <c r="M360" t="str">
        <f t="shared" si="62"/>
        <v>lucas-9</v>
      </c>
      <c r="N360" t="str">
        <f>INDEX(Scores!$A$2:$A$11,INDEX(Scores!$AA$2:$AA$131,MATCH(C360,Scores!$AB$2:$AB$131,0)))</f>
        <v>lucas</v>
      </c>
      <c r="O360">
        <f t="shared" si="63"/>
        <v>0</v>
      </c>
      <c r="P360">
        <f t="shared" si="64"/>
        <v>0</v>
      </c>
      <c r="Q360" s="3">
        <f t="shared" si="65"/>
        <v>0.9999995992619003</v>
      </c>
      <c r="R360" s="3">
        <f t="shared" si="66"/>
        <v>0.99999997702700016</v>
      </c>
      <c r="S360" s="9">
        <f t="shared" si="67"/>
        <v>3.7776509986819917E-7</v>
      </c>
      <c r="T360">
        <f t="shared" si="68"/>
        <v>89</v>
      </c>
      <c r="U360">
        <f t="shared" si="69"/>
        <v>0</v>
      </c>
      <c r="V360" s="3">
        <f t="shared" si="70"/>
        <v>1</v>
      </c>
      <c r="W360" s="9">
        <f t="shared" si="71"/>
        <v>0</v>
      </c>
      <c r="AC360"/>
    </row>
    <row r="361" spans="1:29" x14ac:dyDescent="0.25">
      <c r="A361" t="s">
        <v>138</v>
      </c>
      <c r="B361">
        <v>6</v>
      </c>
      <c r="C361" t="s">
        <v>976</v>
      </c>
      <c r="D361" t="s">
        <v>468</v>
      </c>
      <c r="E361">
        <v>24</v>
      </c>
      <c r="F361">
        <v>11.17</v>
      </c>
      <c r="G361">
        <v>34.692100000000003</v>
      </c>
      <c r="H361" t="s">
        <v>47</v>
      </c>
      <c r="I361" t="s">
        <v>47</v>
      </c>
      <c r="J361" t="s">
        <v>44</v>
      </c>
      <c r="K361">
        <f t="shared" si="60"/>
        <v>90.009999999999991</v>
      </c>
      <c r="L361">
        <f t="shared" si="61"/>
        <v>295.93350000000004</v>
      </c>
      <c r="M361" t="str">
        <f t="shared" si="62"/>
        <v>scott-6</v>
      </c>
      <c r="N361" t="str">
        <f>INDEX(Scores!$A$2:$A$11,INDEX(Scores!$AA$2:$AA$131,MATCH(C361,Scores!$AB$2:$AB$131,0)))</f>
        <v>scott</v>
      </c>
      <c r="O361">
        <f t="shared" si="63"/>
        <v>110.30999999999999</v>
      </c>
      <c r="P361">
        <f t="shared" si="64"/>
        <v>388.52729999999997</v>
      </c>
      <c r="Q361" s="3">
        <f t="shared" si="65"/>
        <v>0.21889557883251567</v>
      </c>
      <c r="R361" s="3">
        <f t="shared" si="66"/>
        <v>0.38474210041910439</v>
      </c>
      <c r="S361" s="9">
        <f t="shared" si="67"/>
        <v>0.16584652158658872</v>
      </c>
      <c r="T361">
        <f t="shared" si="68"/>
        <v>130</v>
      </c>
      <c r="U361">
        <f t="shared" si="69"/>
        <v>96</v>
      </c>
      <c r="V361" s="3">
        <f t="shared" si="70"/>
        <v>0.99983732227160615</v>
      </c>
      <c r="W361" s="9">
        <f t="shared" si="71"/>
        <v>1.626777283938452E-4</v>
      </c>
      <c r="AC361"/>
    </row>
    <row r="362" spans="1:29" x14ac:dyDescent="0.25">
      <c r="A362" t="s">
        <v>447</v>
      </c>
      <c r="B362">
        <v>5</v>
      </c>
      <c r="C362" t="s">
        <v>884</v>
      </c>
      <c r="D362" t="s">
        <v>478</v>
      </c>
      <c r="E362">
        <v>13</v>
      </c>
      <c r="F362">
        <v>7.29</v>
      </c>
      <c r="G362">
        <v>25.8064</v>
      </c>
      <c r="H362" t="s">
        <v>478</v>
      </c>
      <c r="I362" t="s">
        <v>478</v>
      </c>
      <c r="J362" t="s">
        <v>40</v>
      </c>
      <c r="K362">
        <f t="shared" si="60"/>
        <v>89.689999999999984</v>
      </c>
      <c r="L362">
        <f t="shared" si="61"/>
        <v>445.42419999999998</v>
      </c>
      <c r="M362" t="e">
        <f t="shared" si="62"/>
        <v>#N/A</v>
      </c>
      <c r="N362" t="e">
        <f>INDEX(Scores!$A$2:$A$11,INDEX(Scores!$AA$2:$AA$131,MATCH(C362,Scores!$AB$2:$AB$131,0)))</f>
        <v>#N/A</v>
      </c>
      <c r="O362">
        <f t="shared" si="63"/>
        <v>0</v>
      </c>
      <c r="P362">
        <f t="shared" si="64"/>
        <v>0</v>
      </c>
      <c r="Q362" s="3">
        <f t="shared" si="65"/>
        <v>0.99998929661032787</v>
      </c>
      <c r="R362" s="3">
        <f t="shared" si="66"/>
        <v>0.99999839701569448</v>
      </c>
      <c r="S362" s="9">
        <f t="shared" si="67"/>
        <v>9.1004053666132734E-6</v>
      </c>
      <c r="T362">
        <f t="shared" si="68"/>
        <v>93</v>
      </c>
      <c r="U362">
        <f t="shared" si="69"/>
        <v>0</v>
      </c>
      <c r="V362" s="3">
        <f t="shared" si="70"/>
        <v>1</v>
      </c>
      <c r="W362" s="9">
        <f t="shared" si="71"/>
        <v>0</v>
      </c>
      <c r="AC362"/>
    </row>
    <row r="363" spans="1:29" x14ac:dyDescent="0.25">
      <c r="A363" t="s">
        <v>100</v>
      </c>
      <c r="B363">
        <v>9</v>
      </c>
      <c r="C363" t="s">
        <v>963</v>
      </c>
      <c r="D363" t="s">
        <v>473</v>
      </c>
      <c r="E363">
        <v>1</v>
      </c>
      <c r="F363">
        <v>12.84</v>
      </c>
      <c r="G363">
        <v>73.273600000000002</v>
      </c>
      <c r="H363" t="s">
        <v>87</v>
      </c>
      <c r="I363" t="s">
        <v>87</v>
      </c>
      <c r="J363" t="s">
        <v>23</v>
      </c>
      <c r="K363">
        <f t="shared" si="60"/>
        <v>98.35</v>
      </c>
      <c r="L363">
        <f t="shared" si="61"/>
        <v>385.97739999999999</v>
      </c>
      <c r="M363" t="str">
        <f t="shared" si="62"/>
        <v>aj-9</v>
      </c>
      <c r="N363" t="str">
        <f>INDEX(Scores!$A$2:$A$11,INDEX(Scores!$AA$2:$AA$131,MATCH(C363,Scores!$AB$2:$AB$131,0)))</f>
        <v>aj</v>
      </c>
      <c r="O363">
        <f t="shared" si="63"/>
        <v>102.03999999999999</v>
      </c>
      <c r="P363">
        <f t="shared" si="64"/>
        <v>392.2131</v>
      </c>
      <c r="Q363" s="3">
        <f t="shared" si="65"/>
        <v>0.4473827117902357</v>
      </c>
      <c r="R363" s="3">
        <f t="shared" si="66"/>
        <v>0.27929802755463484</v>
      </c>
      <c r="S363" s="9">
        <f t="shared" si="67"/>
        <v>-0.16808468423560086</v>
      </c>
      <c r="T363">
        <f t="shared" si="68"/>
        <v>105</v>
      </c>
      <c r="U363">
        <f t="shared" si="69"/>
        <v>86</v>
      </c>
      <c r="V363" s="3">
        <f t="shared" si="70"/>
        <v>0.99984259839132372</v>
      </c>
      <c r="W363" s="9">
        <f t="shared" si="71"/>
        <v>1.574016086762775E-4</v>
      </c>
      <c r="AC363"/>
    </row>
    <row r="364" spans="1:29" x14ac:dyDescent="0.25">
      <c r="A364" t="s">
        <v>191</v>
      </c>
      <c r="B364">
        <v>6</v>
      </c>
      <c r="C364" t="s">
        <v>952</v>
      </c>
      <c r="D364" t="s">
        <v>471</v>
      </c>
      <c r="E364">
        <v>9</v>
      </c>
      <c r="F364">
        <v>10.41</v>
      </c>
      <c r="G364">
        <v>35.046399999999998</v>
      </c>
      <c r="H364" t="s">
        <v>87</v>
      </c>
      <c r="I364" t="s">
        <v>87</v>
      </c>
      <c r="J364" t="s">
        <v>40</v>
      </c>
      <c r="K364">
        <f t="shared" si="60"/>
        <v>86.090000000000018</v>
      </c>
      <c r="L364">
        <f t="shared" si="61"/>
        <v>366.05880000000002</v>
      </c>
      <c r="M364" t="e">
        <f t="shared" si="62"/>
        <v>#N/A</v>
      </c>
      <c r="N364" t="e">
        <f>INDEX(Scores!$A$2:$A$11,INDEX(Scores!$AA$2:$AA$131,MATCH(C364,Scores!$AB$2:$AB$131,0)))</f>
        <v>#N/A</v>
      </c>
      <c r="O364">
        <f t="shared" si="63"/>
        <v>0</v>
      </c>
      <c r="P364">
        <f t="shared" si="64"/>
        <v>0</v>
      </c>
      <c r="Q364" s="3">
        <f t="shared" si="65"/>
        <v>0.99999659648730843</v>
      </c>
      <c r="R364" s="3">
        <f t="shared" si="66"/>
        <v>0.99999837495123012</v>
      </c>
      <c r="S364" s="9">
        <f t="shared" si="67"/>
        <v>1.7784639216866793E-6</v>
      </c>
      <c r="T364">
        <f t="shared" si="68"/>
        <v>99</v>
      </c>
      <c r="U364">
        <f t="shared" si="69"/>
        <v>0</v>
      </c>
      <c r="V364" s="3">
        <f t="shared" si="70"/>
        <v>1</v>
      </c>
      <c r="W364" s="9">
        <f t="shared" si="71"/>
        <v>0</v>
      </c>
      <c r="AC364"/>
    </row>
    <row r="365" spans="1:29" x14ac:dyDescent="0.25">
      <c r="A365" t="s">
        <v>103</v>
      </c>
      <c r="B365">
        <v>11</v>
      </c>
      <c r="C365" t="s">
        <v>925</v>
      </c>
      <c r="D365" t="s">
        <v>472</v>
      </c>
      <c r="E365">
        <v>8</v>
      </c>
      <c r="F365">
        <v>9.42</v>
      </c>
      <c r="G365">
        <v>35.046399999999998</v>
      </c>
      <c r="H365" t="s">
        <v>87</v>
      </c>
      <c r="I365" t="s">
        <v>87</v>
      </c>
      <c r="J365" t="s">
        <v>55</v>
      </c>
      <c r="K365">
        <f t="shared" si="60"/>
        <v>110.11</v>
      </c>
      <c r="L365">
        <f t="shared" si="61"/>
        <v>412.79880000000003</v>
      </c>
      <c r="M365" t="str">
        <f t="shared" si="62"/>
        <v>seth-11</v>
      </c>
      <c r="N365" t="str">
        <f>INDEX(Scores!$A$2:$A$11,INDEX(Scores!$AA$2:$AA$131,MATCH(C365,Scores!$AB$2:$AB$131,0)))</f>
        <v>seth</v>
      </c>
      <c r="O365">
        <f t="shared" si="63"/>
        <v>98.329999999999984</v>
      </c>
      <c r="P365">
        <f t="shared" si="64"/>
        <v>378.70709999999997</v>
      </c>
      <c r="Q365" s="3">
        <f t="shared" si="65"/>
        <v>0.66228767586387005</v>
      </c>
      <c r="R365" s="3">
        <f t="shared" si="66"/>
        <v>0.64679246605682361</v>
      </c>
      <c r="S365" s="9">
        <f t="shared" si="67"/>
        <v>-1.5495209807046439E-2</v>
      </c>
      <c r="T365">
        <f t="shared" si="68"/>
        <v>131</v>
      </c>
      <c r="U365">
        <f t="shared" si="69"/>
        <v>111</v>
      </c>
      <c r="V365" s="3">
        <f t="shared" si="70"/>
        <v>0.99985169521974737</v>
      </c>
      <c r="W365" s="9">
        <f t="shared" si="71"/>
        <v>1.4830478025262828E-4</v>
      </c>
      <c r="AC365"/>
    </row>
    <row r="366" spans="1:29" x14ac:dyDescent="0.25">
      <c r="A366" t="s">
        <v>427</v>
      </c>
      <c r="B366">
        <v>6</v>
      </c>
      <c r="C366" t="s">
        <v>952</v>
      </c>
      <c r="D366" t="s">
        <v>477</v>
      </c>
      <c r="E366">
        <v>6</v>
      </c>
      <c r="F366">
        <v>5.9</v>
      </c>
      <c r="G366">
        <v>30.0304</v>
      </c>
      <c r="H366" t="s">
        <v>477</v>
      </c>
      <c r="I366" t="s">
        <v>477</v>
      </c>
      <c r="J366" t="s">
        <v>40</v>
      </c>
      <c r="K366">
        <f t="shared" si="60"/>
        <v>86.090000000000018</v>
      </c>
      <c r="L366">
        <f t="shared" si="61"/>
        <v>366.05880000000002</v>
      </c>
      <c r="M366" t="e">
        <f t="shared" si="62"/>
        <v>#N/A</v>
      </c>
      <c r="N366" t="e">
        <f>INDEX(Scores!$A$2:$A$11,INDEX(Scores!$AA$2:$AA$131,MATCH(C366,Scores!$AB$2:$AB$131,0)))</f>
        <v>#N/A</v>
      </c>
      <c r="O366">
        <f t="shared" si="63"/>
        <v>0</v>
      </c>
      <c r="P366">
        <f t="shared" si="64"/>
        <v>0</v>
      </c>
      <c r="Q366" s="3">
        <f t="shared" si="65"/>
        <v>0.99999659648730843</v>
      </c>
      <c r="R366" s="3">
        <f t="shared" si="66"/>
        <v>0.99999871093374593</v>
      </c>
      <c r="S366" s="9">
        <f t="shared" si="67"/>
        <v>2.1144464374955874E-6</v>
      </c>
      <c r="T366">
        <f t="shared" si="68"/>
        <v>99</v>
      </c>
      <c r="U366">
        <f t="shared" si="69"/>
        <v>0</v>
      </c>
      <c r="V366" s="3">
        <f t="shared" si="70"/>
        <v>1</v>
      </c>
      <c r="W366" s="9">
        <f t="shared" si="71"/>
        <v>0</v>
      </c>
      <c r="AC366"/>
    </row>
    <row r="367" spans="1:29" x14ac:dyDescent="0.25">
      <c r="A367" t="s">
        <v>96</v>
      </c>
      <c r="B367">
        <v>12</v>
      </c>
      <c r="C367" t="s">
        <v>942</v>
      </c>
      <c r="D367" t="s">
        <v>471</v>
      </c>
      <c r="E367">
        <v>30</v>
      </c>
      <c r="F367">
        <v>15.65</v>
      </c>
      <c r="G367">
        <v>53.29</v>
      </c>
      <c r="H367" t="s">
        <v>87</v>
      </c>
      <c r="I367" t="s">
        <v>87</v>
      </c>
      <c r="J367" t="s">
        <v>27</v>
      </c>
      <c r="K367">
        <f t="shared" si="60"/>
        <v>98.639999999999986</v>
      </c>
      <c r="L367">
        <f t="shared" si="61"/>
        <v>309.06870000000004</v>
      </c>
      <c r="M367" t="str">
        <f t="shared" si="62"/>
        <v>aj-12</v>
      </c>
      <c r="N367" t="str">
        <f>INDEX(Scores!$A$2:$A$11,INDEX(Scores!$AA$2:$AA$131,MATCH(C367,Scores!$AB$2:$AB$131,0)))</f>
        <v>aj</v>
      </c>
      <c r="O367">
        <f t="shared" si="63"/>
        <v>111.09</v>
      </c>
      <c r="P367">
        <f t="shared" si="64"/>
        <v>408.5095</v>
      </c>
      <c r="Q367" s="3">
        <f t="shared" si="65"/>
        <v>0.32104937221741592</v>
      </c>
      <c r="R367" s="3">
        <f t="shared" si="66"/>
        <v>0.52938273282500115</v>
      </c>
      <c r="S367" s="9">
        <f t="shared" si="67"/>
        <v>0.20833336060758523</v>
      </c>
      <c r="T367">
        <f t="shared" si="68"/>
        <v>125</v>
      </c>
      <c r="U367">
        <f t="shared" si="69"/>
        <v>84</v>
      </c>
      <c r="V367" s="3">
        <f t="shared" si="70"/>
        <v>0.99986922904241837</v>
      </c>
      <c r="W367" s="9">
        <f t="shared" si="71"/>
        <v>1.3077095758162738E-4</v>
      </c>
      <c r="AC367"/>
    </row>
    <row r="368" spans="1:29" x14ac:dyDescent="0.25">
      <c r="A368" t="s">
        <v>437</v>
      </c>
      <c r="B368">
        <v>1</v>
      </c>
      <c r="C368" t="s">
        <v>502</v>
      </c>
      <c r="D368" t="s">
        <v>477</v>
      </c>
      <c r="E368">
        <v>5</v>
      </c>
      <c r="F368">
        <v>6.58</v>
      </c>
      <c r="G368">
        <v>28.622499999999999</v>
      </c>
      <c r="H368" t="s">
        <v>477</v>
      </c>
      <c r="I368" t="s">
        <v>477</v>
      </c>
      <c r="J368" t="s">
        <v>16</v>
      </c>
      <c r="K368">
        <f t="shared" si="60"/>
        <v>105.11000000000001</v>
      </c>
      <c r="L368">
        <f t="shared" si="61"/>
        <v>445.52289999999994</v>
      </c>
      <c r="M368" t="str">
        <f t="shared" si="62"/>
        <v>perry-1</v>
      </c>
      <c r="N368" t="str">
        <f>INDEX(Scores!$A$2:$A$11,INDEX(Scores!$AA$2:$AA$131,MATCH(C368,Scores!$AB$2:$AB$131,0)))</f>
        <v>perry</v>
      </c>
      <c r="O368">
        <f t="shared" si="63"/>
        <v>94.44</v>
      </c>
      <c r="P368">
        <f t="shared" si="64"/>
        <v>399.28809999999999</v>
      </c>
      <c r="Q368" s="3">
        <f t="shared" si="65"/>
        <v>0.64322786671093812</v>
      </c>
      <c r="R368" s="3">
        <f t="shared" si="66"/>
        <v>0.62482462333119293</v>
      </c>
      <c r="S368" s="9">
        <f t="shared" si="67"/>
        <v>-1.8403243379745193E-2</v>
      </c>
      <c r="T368">
        <f t="shared" si="68"/>
        <v>100</v>
      </c>
      <c r="U368">
        <f t="shared" si="69"/>
        <v>82</v>
      </c>
      <c r="V368" s="3">
        <f t="shared" si="70"/>
        <v>0.99987380035479512</v>
      </c>
      <c r="W368" s="9">
        <f t="shared" si="71"/>
        <v>1.2619964520488303E-4</v>
      </c>
      <c r="AC368"/>
    </row>
    <row r="369" spans="1:29" x14ac:dyDescent="0.25">
      <c r="A369" t="s">
        <v>205</v>
      </c>
      <c r="B369">
        <v>11</v>
      </c>
      <c r="C369" t="s">
        <v>917</v>
      </c>
      <c r="D369" t="s">
        <v>466</v>
      </c>
      <c r="E369">
        <v>8</v>
      </c>
      <c r="F369">
        <v>8.69</v>
      </c>
      <c r="G369">
        <v>74.649600000000007</v>
      </c>
      <c r="H369" t="s">
        <v>466</v>
      </c>
      <c r="I369" t="s">
        <v>47</v>
      </c>
      <c r="J369" t="s">
        <v>16</v>
      </c>
      <c r="K369">
        <f t="shared" si="60"/>
        <v>102.11</v>
      </c>
      <c r="L369">
        <f t="shared" si="61"/>
        <v>431.97960000000006</v>
      </c>
      <c r="M369" t="str">
        <f t="shared" si="62"/>
        <v>chad-11</v>
      </c>
      <c r="N369" t="str">
        <f>INDEX(Scores!$A$2:$A$11,INDEX(Scores!$AA$2:$AA$131,MATCH(C369,Scores!$AB$2:$AB$131,0)))</f>
        <v>chad</v>
      </c>
      <c r="O369">
        <f t="shared" si="63"/>
        <v>106.58</v>
      </c>
      <c r="P369">
        <f t="shared" si="64"/>
        <v>427.68610000000001</v>
      </c>
      <c r="Q369" s="3">
        <f t="shared" si="65"/>
        <v>0.43941389461043751</v>
      </c>
      <c r="R369" s="3">
        <f t="shared" si="66"/>
        <v>0.42694145527696364</v>
      </c>
      <c r="S369" s="9">
        <f t="shared" si="67"/>
        <v>-1.2472439333473861E-2</v>
      </c>
      <c r="T369">
        <f t="shared" si="68"/>
        <v>130</v>
      </c>
      <c r="U369">
        <f t="shared" si="69"/>
        <v>99</v>
      </c>
      <c r="V369" s="3">
        <f t="shared" si="70"/>
        <v>0.99987768830088208</v>
      </c>
      <c r="W369" s="9">
        <f t="shared" si="71"/>
        <v>1.2231169911791628E-4</v>
      </c>
      <c r="AC369"/>
    </row>
    <row r="370" spans="1:29" x14ac:dyDescent="0.25">
      <c r="A370" t="s">
        <v>257</v>
      </c>
      <c r="B370">
        <v>12</v>
      </c>
      <c r="C370" t="s">
        <v>966</v>
      </c>
      <c r="D370" t="s">
        <v>466</v>
      </c>
      <c r="E370">
        <v>30</v>
      </c>
      <c r="F370">
        <v>12.92</v>
      </c>
      <c r="G370">
        <v>49.561599999999999</v>
      </c>
      <c r="H370" t="s">
        <v>466</v>
      </c>
      <c r="I370" t="s">
        <v>47</v>
      </c>
      <c r="J370" t="s">
        <v>23</v>
      </c>
      <c r="K370">
        <f t="shared" si="60"/>
        <v>117.67999999999999</v>
      </c>
      <c r="L370">
        <f t="shared" si="61"/>
        <v>426.54240000000004</v>
      </c>
      <c r="M370" t="str">
        <f t="shared" si="62"/>
        <v>scott-12</v>
      </c>
      <c r="N370" t="str">
        <f>INDEX(Scores!$A$2:$A$11,INDEX(Scores!$AA$2:$AA$131,MATCH(C370,Scores!$AB$2:$AB$131,0)))</f>
        <v>scott</v>
      </c>
      <c r="O370">
        <f t="shared" si="63"/>
        <v>109.82</v>
      </c>
      <c r="P370">
        <f t="shared" si="64"/>
        <v>367.76499999999999</v>
      </c>
      <c r="Q370" s="3">
        <f t="shared" si="65"/>
        <v>0.60983422019767153</v>
      </c>
      <c r="R370" s="3">
        <f t="shared" si="66"/>
        <v>0.81961184216604732</v>
      </c>
      <c r="S370" s="9">
        <f t="shared" si="67"/>
        <v>0.20977762196837579</v>
      </c>
      <c r="T370">
        <f t="shared" si="68"/>
        <v>131</v>
      </c>
      <c r="U370">
        <f t="shared" si="69"/>
        <v>88</v>
      </c>
      <c r="V370" s="3">
        <f t="shared" si="70"/>
        <v>0.99988421172871911</v>
      </c>
      <c r="W370" s="9">
        <f t="shared" si="71"/>
        <v>1.157882712808922E-4</v>
      </c>
      <c r="AC370"/>
    </row>
    <row r="371" spans="1:29" x14ac:dyDescent="0.25">
      <c r="A371" t="s">
        <v>167</v>
      </c>
      <c r="B371">
        <v>4</v>
      </c>
      <c r="C371" t="s">
        <v>865</v>
      </c>
      <c r="D371" t="s">
        <v>472</v>
      </c>
      <c r="E371">
        <v>4</v>
      </c>
      <c r="F371">
        <v>6.08</v>
      </c>
      <c r="G371">
        <v>14.5924</v>
      </c>
      <c r="H371" t="s">
        <v>87</v>
      </c>
      <c r="I371" t="s">
        <v>87</v>
      </c>
      <c r="J371" t="s">
        <v>62</v>
      </c>
      <c r="K371">
        <f t="shared" si="60"/>
        <v>99.8</v>
      </c>
      <c r="L371">
        <f t="shared" si="61"/>
        <v>351.46400000000006</v>
      </c>
      <c r="M371" t="str">
        <f t="shared" si="62"/>
        <v>seth-4</v>
      </c>
      <c r="N371" t="str">
        <f>INDEX(Scores!$A$2:$A$11,INDEX(Scores!$AA$2:$AA$131,MATCH(C371,Scores!$AB$2:$AB$131,0)))</f>
        <v>seth</v>
      </c>
      <c r="O371">
        <f t="shared" si="63"/>
        <v>104.32</v>
      </c>
      <c r="P371">
        <f t="shared" si="64"/>
        <v>390.96559999999999</v>
      </c>
      <c r="Q371" s="3">
        <f t="shared" si="65"/>
        <v>0.43412317323121657</v>
      </c>
      <c r="R371" s="3">
        <f t="shared" si="66"/>
        <v>0.40336773798314873</v>
      </c>
      <c r="S371" s="9">
        <f t="shared" si="67"/>
        <v>-3.0755435248067842E-2</v>
      </c>
      <c r="T371">
        <f t="shared" si="68"/>
        <v>123</v>
      </c>
      <c r="U371">
        <f t="shared" si="69"/>
        <v>111</v>
      </c>
      <c r="V371" s="3">
        <f t="shared" si="70"/>
        <v>0.9998860359180759</v>
      </c>
      <c r="W371" s="9">
        <f t="shared" si="71"/>
        <v>1.1396408192410057E-4</v>
      </c>
      <c r="AC371"/>
    </row>
    <row r="372" spans="1:29" x14ac:dyDescent="0.25">
      <c r="A372" t="s">
        <v>97</v>
      </c>
      <c r="B372">
        <v>7</v>
      </c>
      <c r="C372" t="s">
        <v>905</v>
      </c>
      <c r="D372" t="s">
        <v>466</v>
      </c>
      <c r="E372">
        <v>6</v>
      </c>
      <c r="F372">
        <v>11.51</v>
      </c>
      <c r="G372">
        <v>37.21</v>
      </c>
      <c r="H372" t="s">
        <v>466</v>
      </c>
      <c r="I372" t="s">
        <v>47</v>
      </c>
      <c r="J372" t="s">
        <v>20</v>
      </c>
      <c r="K372">
        <f t="shared" si="60"/>
        <v>114.48000000000002</v>
      </c>
      <c r="L372">
        <f t="shared" si="61"/>
        <v>430.3667999999999</v>
      </c>
      <c r="M372" t="str">
        <f t="shared" si="62"/>
        <v>matty-7</v>
      </c>
      <c r="N372" t="str">
        <f>INDEX(Scores!$A$2:$A$11,INDEX(Scores!$AA$2:$AA$131,MATCH(C372,Scores!$AB$2:$AB$131,0)))</f>
        <v>matty</v>
      </c>
      <c r="O372">
        <f t="shared" si="63"/>
        <v>87.490000000000009</v>
      </c>
      <c r="P372">
        <f t="shared" si="64"/>
        <v>277.88929999999999</v>
      </c>
      <c r="Q372" s="3">
        <f t="shared" si="65"/>
        <v>0.84474748784368747</v>
      </c>
      <c r="R372" s="3">
        <f t="shared" si="66"/>
        <v>0.79650373222938831</v>
      </c>
      <c r="S372" s="9">
        <f t="shared" si="67"/>
        <v>-4.8243755614299166E-2</v>
      </c>
      <c r="T372">
        <f t="shared" si="68"/>
        <v>82</v>
      </c>
      <c r="U372">
        <f t="shared" si="69"/>
        <v>65</v>
      </c>
      <c r="V372" s="3">
        <f t="shared" si="70"/>
        <v>0.99988794520945923</v>
      </c>
      <c r="W372" s="9">
        <f t="shared" si="71"/>
        <v>1.1205479054077205E-4</v>
      </c>
      <c r="AC372"/>
    </row>
    <row r="373" spans="1:29" x14ac:dyDescent="0.25">
      <c r="A373" t="s">
        <v>181</v>
      </c>
      <c r="B373">
        <v>1</v>
      </c>
      <c r="C373" t="s">
        <v>502</v>
      </c>
      <c r="D373" t="s">
        <v>475</v>
      </c>
      <c r="E373">
        <v>8</v>
      </c>
      <c r="F373">
        <v>7.47</v>
      </c>
      <c r="G373">
        <v>22.278400000000001</v>
      </c>
      <c r="H373" t="s">
        <v>114</v>
      </c>
      <c r="I373" t="s">
        <v>114</v>
      </c>
      <c r="J373" t="s">
        <v>16</v>
      </c>
      <c r="K373">
        <f t="shared" si="60"/>
        <v>105.11000000000001</v>
      </c>
      <c r="L373">
        <f t="shared" si="61"/>
        <v>445.52289999999994</v>
      </c>
      <c r="M373" t="str">
        <f t="shared" si="62"/>
        <v>perry-1</v>
      </c>
      <c r="N373" t="str">
        <f>INDEX(Scores!$A$2:$A$11,INDEX(Scores!$AA$2:$AA$131,MATCH(C373,Scores!$AB$2:$AB$131,0)))</f>
        <v>perry</v>
      </c>
      <c r="O373">
        <f t="shared" si="63"/>
        <v>94.44</v>
      </c>
      <c r="P373">
        <f t="shared" si="64"/>
        <v>399.28809999999999</v>
      </c>
      <c r="Q373" s="3">
        <f t="shared" si="65"/>
        <v>0.64322786671093812</v>
      </c>
      <c r="R373" s="3">
        <f t="shared" si="66"/>
        <v>0.65192336120640004</v>
      </c>
      <c r="S373" s="9">
        <f t="shared" si="67"/>
        <v>8.6954944954619195E-3</v>
      </c>
      <c r="T373">
        <f t="shared" si="68"/>
        <v>100</v>
      </c>
      <c r="U373">
        <f t="shared" si="69"/>
        <v>82</v>
      </c>
      <c r="V373" s="3">
        <f t="shared" si="70"/>
        <v>0.99989273897343012</v>
      </c>
      <c r="W373" s="9">
        <f t="shared" si="71"/>
        <v>1.0726102656988257E-4</v>
      </c>
      <c r="AC373"/>
    </row>
    <row r="374" spans="1:29" x14ac:dyDescent="0.25">
      <c r="A374" t="s">
        <v>166</v>
      </c>
      <c r="B374">
        <v>7</v>
      </c>
      <c r="C374" t="s">
        <v>961</v>
      </c>
      <c r="D374" t="s">
        <v>473</v>
      </c>
      <c r="E374">
        <v>1</v>
      </c>
      <c r="F374">
        <v>7.01</v>
      </c>
      <c r="G374">
        <v>26.214400000000001</v>
      </c>
      <c r="H374" t="s">
        <v>87</v>
      </c>
      <c r="I374" t="s">
        <v>87</v>
      </c>
      <c r="J374" t="s">
        <v>23</v>
      </c>
      <c r="K374">
        <f t="shared" si="60"/>
        <v>103.81000000000002</v>
      </c>
      <c r="L374">
        <f t="shared" si="61"/>
        <v>404.20889999999997</v>
      </c>
      <c r="M374" t="str">
        <f t="shared" si="62"/>
        <v>chad-7</v>
      </c>
      <c r="N374" t="str">
        <f>INDEX(Scores!$A$2:$A$11,INDEX(Scores!$AA$2:$AA$131,MATCH(C374,Scores!$AB$2:$AB$131,0)))</f>
        <v>chad</v>
      </c>
      <c r="O374">
        <f t="shared" si="63"/>
        <v>99.759999999999991</v>
      </c>
      <c r="P374">
        <f t="shared" si="64"/>
        <v>339.923</v>
      </c>
      <c r="Q374" s="3">
        <f t="shared" si="65"/>
        <v>0.55901290364123501</v>
      </c>
      <c r="R374" s="3">
        <f t="shared" si="66"/>
        <v>0.47084307734822423</v>
      </c>
      <c r="S374" s="9">
        <f t="shared" si="67"/>
        <v>-8.8169826293010789E-2</v>
      </c>
      <c r="T374">
        <f t="shared" si="68"/>
        <v>115</v>
      </c>
      <c r="U374">
        <f t="shared" si="69"/>
        <v>102</v>
      </c>
      <c r="V374" s="3">
        <f t="shared" si="70"/>
        <v>0.99989754727269919</v>
      </c>
      <c r="W374" s="9">
        <f t="shared" si="71"/>
        <v>1.0245272730080579E-4</v>
      </c>
      <c r="AC374"/>
    </row>
    <row r="375" spans="1:29" x14ac:dyDescent="0.25">
      <c r="A375" t="s">
        <v>13</v>
      </c>
      <c r="B375">
        <v>3</v>
      </c>
      <c r="C375" t="s">
        <v>803</v>
      </c>
      <c r="D375" t="s">
        <v>467</v>
      </c>
      <c r="E375">
        <v>24</v>
      </c>
      <c r="F375">
        <v>23.22</v>
      </c>
      <c r="G375">
        <v>84.64</v>
      </c>
      <c r="H375" t="s">
        <v>15</v>
      </c>
      <c r="I375" t="s">
        <v>15</v>
      </c>
      <c r="J375" t="s">
        <v>16</v>
      </c>
      <c r="K375">
        <f t="shared" si="60"/>
        <v>106.94</v>
      </c>
      <c r="L375">
        <f t="shared" si="61"/>
        <v>452.911</v>
      </c>
      <c r="M375" t="str">
        <f t="shared" si="62"/>
        <v>lucas-3</v>
      </c>
      <c r="N375" t="str">
        <f>INDEX(Scores!$A$2:$A$11,INDEX(Scores!$AA$2:$AA$131,MATCH(C375,Scores!$AB$2:$AB$131,0)))</f>
        <v>lucas</v>
      </c>
      <c r="O375">
        <f t="shared" si="63"/>
        <v>0</v>
      </c>
      <c r="P375">
        <f t="shared" si="64"/>
        <v>0</v>
      </c>
      <c r="Q375" s="3">
        <f t="shared" si="65"/>
        <v>0.99999974824851112</v>
      </c>
      <c r="R375" s="3">
        <f t="shared" si="66"/>
        <v>0.99999999007059392</v>
      </c>
      <c r="S375" s="9">
        <f t="shared" si="67"/>
        <v>2.4182208280265627E-7</v>
      </c>
      <c r="T375">
        <f t="shared" si="68"/>
        <v>88</v>
      </c>
      <c r="U375">
        <f t="shared" si="69"/>
        <v>0</v>
      </c>
      <c r="V375" s="3">
        <f t="shared" si="70"/>
        <v>1</v>
      </c>
      <c r="W375" s="9">
        <f t="shared" si="71"/>
        <v>0</v>
      </c>
      <c r="AC375"/>
    </row>
    <row r="376" spans="1:29" x14ac:dyDescent="0.25">
      <c r="A376" t="s">
        <v>285</v>
      </c>
      <c r="B376">
        <v>6</v>
      </c>
      <c r="C376" t="s">
        <v>952</v>
      </c>
      <c r="D376" t="s">
        <v>468</v>
      </c>
      <c r="E376">
        <v>6</v>
      </c>
      <c r="F376">
        <v>5.95</v>
      </c>
      <c r="G376">
        <v>28.729600000000001</v>
      </c>
      <c r="H376" t="s">
        <v>47</v>
      </c>
      <c r="I376" t="s">
        <v>47</v>
      </c>
      <c r="J376" t="s">
        <v>40</v>
      </c>
      <c r="K376">
        <f t="shared" si="60"/>
        <v>86.090000000000018</v>
      </c>
      <c r="L376">
        <f t="shared" si="61"/>
        <v>366.05880000000002</v>
      </c>
      <c r="M376" t="e">
        <f t="shared" si="62"/>
        <v>#N/A</v>
      </c>
      <c r="N376" t="e">
        <f>INDEX(Scores!$A$2:$A$11,INDEX(Scores!$AA$2:$AA$131,MATCH(C376,Scores!$AB$2:$AB$131,0)))</f>
        <v>#N/A</v>
      </c>
      <c r="O376">
        <f t="shared" si="63"/>
        <v>0</v>
      </c>
      <c r="P376">
        <f t="shared" si="64"/>
        <v>0</v>
      </c>
      <c r="Q376" s="3">
        <f t="shared" si="65"/>
        <v>0.99999659648730843</v>
      </c>
      <c r="R376" s="3">
        <f t="shared" si="66"/>
        <v>0.9999986343392625</v>
      </c>
      <c r="S376" s="9">
        <f t="shared" si="67"/>
        <v>2.0378519540731332E-6</v>
      </c>
      <c r="T376">
        <f t="shared" si="68"/>
        <v>99</v>
      </c>
      <c r="U376">
        <f t="shared" si="69"/>
        <v>0</v>
      </c>
      <c r="V376" s="3">
        <f t="shared" si="70"/>
        <v>1</v>
      </c>
      <c r="W376" s="9">
        <f t="shared" si="71"/>
        <v>0</v>
      </c>
      <c r="AC376"/>
    </row>
    <row r="377" spans="1:29" x14ac:dyDescent="0.25">
      <c r="A377" t="s">
        <v>156</v>
      </c>
      <c r="B377">
        <v>10</v>
      </c>
      <c r="C377" t="s">
        <v>964</v>
      </c>
      <c r="D377" t="s">
        <v>473</v>
      </c>
      <c r="E377">
        <v>6</v>
      </c>
      <c r="F377">
        <v>3.02</v>
      </c>
      <c r="G377">
        <v>10.368399999999999</v>
      </c>
      <c r="H377" t="s">
        <v>87</v>
      </c>
      <c r="I377" t="s">
        <v>87</v>
      </c>
      <c r="J377" t="s">
        <v>23</v>
      </c>
      <c r="K377">
        <f t="shared" si="60"/>
        <v>103.49</v>
      </c>
      <c r="L377">
        <f t="shared" si="61"/>
        <v>345.28400000000005</v>
      </c>
      <c r="M377" t="str">
        <f t="shared" si="62"/>
        <v>cory-10</v>
      </c>
      <c r="N377" t="str">
        <f>INDEX(Scores!$A$2:$A$11,INDEX(Scores!$AA$2:$AA$131,MATCH(C377,Scores!$AB$2:$AB$131,0)))</f>
        <v>cory</v>
      </c>
      <c r="O377">
        <f t="shared" si="63"/>
        <v>93.17</v>
      </c>
      <c r="P377">
        <f t="shared" si="64"/>
        <v>328.34589999999997</v>
      </c>
      <c r="Q377" s="3">
        <f t="shared" si="65"/>
        <v>0.65454511164456886</v>
      </c>
      <c r="R377" s="3">
        <f t="shared" si="66"/>
        <v>0.69722202114802101</v>
      </c>
      <c r="S377" s="9">
        <f t="shared" si="67"/>
        <v>4.2676909503452154E-2</v>
      </c>
      <c r="T377">
        <f t="shared" si="68"/>
        <v>106</v>
      </c>
      <c r="U377">
        <f t="shared" si="69"/>
        <v>91</v>
      </c>
      <c r="V377" s="3">
        <f t="shared" si="70"/>
        <v>0.99990536335791325</v>
      </c>
      <c r="W377" s="9">
        <f t="shared" si="71"/>
        <v>9.463664208675393E-5</v>
      </c>
      <c r="AC377"/>
    </row>
    <row r="378" spans="1:29" x14ac:dyDescent="0.25">
      <c r="A378" t="s">
        <v>449</v>
      </c>
      <c r="B378">
        <v>1</v>
      </c>
      <c r="C378" t="s">
        <v>502</v>
      </c>
      <c r="D378" t="s">
        <v>478</v>
      </c>
      <c r="E378">
        <v>12</v>
      </c>
      <c r="F378">
        <v>8.69</v>
      </c>
      <c r="G378">
        <v>15.366400000000001</v>
      </c>
      <c r="H378" t="s">
        <v>478</v>
      </c>
      <c r="I378" t="s">
        <v>478</v>
      </c>
      <c r="J378" t="s">
        <v>16</v>
      </c>
      <c r="K378">
        <f t="shared" si="60"/>
        <v>105.11000000000001</v>
      </c>
      <c r="L378">
        <f t="shared" si="61"/>
        <v>445.52289999999994</v>
      </c>
      <c r="M378" t="str">
        <f t="shared" si="62"/>
        <v>perry-1</v>
      </c>
      <c r="N378" t="str">
        <f>INDEX(Scores!$A$2:$A$11,INDEX(Scores!$AA$2:$AA$131,MATCH(C378,Scores!$AB$2:$AB$131,0)))</f>
        <v>perry</v>
      </c>
      <c r="O378">
        <f t="shared" si="63"/>
        <v>94.44</v>
      </c>
      <c r="P378">
        <f t="shared" si="64"/>
        <v>399.28809999999999</v>
      </c>
      <c r="Q378" s="3">
        <f t="shared" si="65"/>
        <v>0.64322786671093812</v>
      </c>
      <c r="R378" s="3">
        <f t="shared" si="66"/>
        <v>0.68630911659868532</v>
      </c>
      <c r="S378" s="9">
        <f t="shared" si="67"/>
        <v>4.3081249887747197E-2</v>
      </c>
      <c r="T378">
        <f t="shared" si="68"/>
        <v>100</v>
      </c>
      <c r="U378">
        <f t="shared" si="69"/>
        <v>82</v>
      </c>
      <c r="V378" s="3">
        <f t="shared" si="70"/>
        <v>0.99991067892089425</v>
      </c>
      <c r="W378" s="9">
        <f t="shared" si="71"/>
        <v>8.9321079105753043E-5</v>
      </c>
      <c r="AC378"/>
    </row>
    <row r="379" spans="1:29" x14ac:dyDescent="0.25">
      <c r="A379" t="s">
        <v>106</v>
      </c>
      <c r="B379">
        <v>10</v>
      </c>
      <c r="C379" t="s">
        <v>964</v>
      </c>
      <c r="D379" t="s">
        <v>471</v>
      </c>
      <c r="E379">
        <v>3</v>
      </c>
      <c r="F379">
        <v>10.79</v>
      </c>
      <c r="G379">
        <v>36.602499999999999</v>
      </c>
      <c r="H379" t="s">
        <v>87</v>
      </c>
      <c r="I379" t="s">
        <v>87</v>
      </c>
      <c r="J379" t="s">
        <v>23</v>
      </c>
      <c r="K379">
        <f t="shared" si="60"/>
        <v>103.49</v>
      </c>
      <c r="L379">
        <f t="shared" si="61"/>
        <v>345.28400000000005</v>
      </c>
      <c r="M379" t="str">
        <f t="shared" si="62"/>
        <v>cory-10</v>
      </c>
      <c r="N379" t="str">
        <f>INDEX(Scores!$A$2:$A$11,INDEX(Scores!$AA$2:$AA$131,MATCH(C379,Scores!$AB$2:$AB$131,0)))</f>
        <v>cory</v>
      </c>
      <c r="O379">
        <f t="shared" si="63"/>
        <v>93.17</v>
      </c>
      <c r="P379">
        <f t="shared" si="64"/>
        <v>328.34589999999997</v>
      </c>
      <c r="Q379" s="3">
        <f t="shared" si="65"/>
        <v>0.65454511164456886</v>
      </c>
      <c r="R379" s="3">
        <f t="shared" si="66"/>
        <v>0.53992314201702385</v>
      </c>
      <c r="S379" s="9">
        <f t="shared" si="67"/>
        <v>-0.11462196962754501</v>
      </c>
      <c r="T379">
        <f t="shared" si="68"/>
        <v>106</v>
      </c>
      <c r="U379">
        <f t="shared" si="69"/>
        <v>91</v>
      </c>
      <c r="V379" s="3">
        <f t="shared" si="70"/>
        <v>0.99991737036193906</v>
      </c>
      <c r="W379" s="9">
        <f t="shared" si="71"/>
        <v>8.2629638060938149E-5</v>
      </c>
      <c r="AC379"/>
    </row>
    <row r="380" spans="1:29" x14ac:dyDescent="0.25">
      <c r="A380" t="s">
        <v>173</v>
      </c>
      <c r="B380">
        <v>7</v>
      </c>
      <c r="C380" t="s">
        <v>905</v>
      </c>
      <c r="D380" t="s">
        <v>472</v>
      </c>
      <c r="E380">
        <v>4</v>
      </c>
      <c r="F380">
        <v>8.82</v>
      </c>
      <c r="G380">
        <v>33.524099999999997</v>
      </c>
      <c r="H380" t="s">
        <v>87</v>
      </c>
      <c r="I380" t="s">
        <v>87</v>
      </c>
      <c r="J380" t="s">
        <v>20</v>
      </c>
      <c r="K380">
        <f t="shared" si="60"/>
        <v>114.48000000000002</v>
      </c>
      <c r="L380">
        <f t="shared" si="61"/>
        <v>430.3667999999999</v>
      </c>
      <c r="M380" t="str">
        <f t="shared" si="62"/>
        <v>matty-7</v>
      </c>
      <c r="N380" t="str">
        <f>INDEX(Scores!$A$2:$A$11,INDEX(Scores!$AA$2:$AA$131,MATCH(C380,Scores!$AB$2:$AB$131,0)))</f>
        <v>matty</v>
      </c>
      <c r="O380">
        <f t="shared" si="63"/>
        <v>87.490000000000009</v>
      </c>
      <c r="P380">
        <f t="shared" si="64"/>
        <v>277.88929999999999</v>
      </c>
      <c r="Q380" s="3">
        <f t="shared" si="65"/>
        <v>0.84474748784368747</v>
      </c>
      <c r="R380" s="3">
        <f t="shared" si="66"/>
        <v>0.80330705732756091</v>
      </c>
      <c r="S380" s="9">
        <f t="shared" si="67"/>
        <v>-4.1440430516126558E-2</v>
      </c>
      <c r="T380">
        <f t="shared" si="68"/>
        <v>82</v>
      </c>
      <c r="U380">
        <f t="shared" si="69"/>
        <v>65</v>
      </c>
      <c r="V380" s="3">
        <f t="shared" si="70"/>
        <v>0.9999179061249609</v>
      </c>
      <c r="W380" s="9">
        <f t="shared" si="71"/>
        <v>8.2093875039102038E-5</v>
      </c>
      <c r="AC380"/>
    </row>
    <row r="381" spans="1:29" x14ac:dyDescent="0.25">
      <c r="A381" t="s">
        <v>126</v>
      </c>
      <c r="B381">
        <v>2</v>
      </c>
      <c r="C381" t="s">
        <v>618</v>
      </c>
      <c r="D381" t="s">
        <v>472</v>
      </c>
      <c r="E381">
        <v>15</v>
      </c>
      <c r="F381">
        <v>9.1199999999999992</v>
      </c>
      <c r="G381">
        <v>48.024900000000002</v>
      </c>
      <c r="H381" t="s">
        <v>87</v>
      </c>
      <c r="I381" t="s">
        <v>87</v>
      </c>
      <c r="J381" t="s">
        <v>16</v>
      </c>
      <c r="K381">
        <f t="shared" si="60"/>
        <v>102.7</v>
      </c>
      <c r="L381">
        <f t="shared" si="61"/>
        <v>377.5104</v>
      </c>
      <c r="M381" t="str">
        <f t="shared" si="62"/>
        <v>comp-2</v>
      </c>
      <c r="N381" t="str">
        <f>INDEX(Scores!$A$2:$A$11,INDEX(Scores!$AA$2:$AA$131,MATCH(C381,Scores!$AB$2:$AB$131,0)))</f>
        <v>comp</v>
      </c>
      <c r="O381">
        <f t="shared" si="63"/>
        <v>103.61999999999999</v>
      </c>
      <c r="P381">
        <f t="shared" si="64"/>
        <v>357.30130000000003</v>
      </c>
      <c r="Q381" s="3">
        <f t="shared" si="65"/>
        <v>0.48646287329580978</v>
      </c>
      <c r="R381" s="3">
        <f t="shared" si="66"/>
        <v>0.5750575051740805</v>
      </c>
      <c r="S381" s="9">
        <f t="shared" si="67"/>
        <v>8.8594631878270713E-2</v>
      </c>
      <c r="T381">
        <f t="shared" si="68"/>
        <v>97</v>
      </c>
      <c r="U381">
        <f t="shared" si="69"/>
        <v>65</v>
      </c>
      <c r="V381" s="3">
        <f t="shared" si="70"/>
        <v>0.99991808786605274</v>
      </c>
      <c r="W381" s="9">
        <f t="shared" si="71"/>
        <v>8.1912133947259491E-5</v>
      </c>
      <c r="AC381"/>
    </row>
    <row r="382" spans="1:29" x14ac:dyDescent="0.25">
      <c r="A382" t="s">
        <v>103</v>
      </c>
      <c r="B382">
        <v>6</v>
      </c>
      <c r="C382" t="s">
        <v>920</v>
      </c>
      <c r="D382" t="s">
        <v>473</v>
      </c>
      <c r="E382">
        <v>2</v>
      </c>
      <c r="F382">
        <v>9.7899999999999991</v>
      </c>
      <c r="G382">
        <v>49.843600000000002</v>
      </c>
      <c r="H382" t="s">
        <v>87</v>
      </c>
      <c r="I382" t="s">
        <v>87</v>
      </c>
      <c r="J382" t="s">
        <v>55</v>
      </c>
      <c r="K382">
        <f t="shared" si="60"/>
        <v>108.8</v>
      </c>
      <c r="L382">
        <f t="shared" si="61"/>
        <v>404.29040000000003</v>
      </c>
      <c r="M382" t="str">
        <f t="shared" si="62"/>
        <v>cory-6</v>
      </c>
      <c r="N382" t="str">
        <f>INDEX(Scores!$A$2:$A$11,INDEX(Scores!$AA$2:$AA$131,MATCH(C382,Scores!$AB$2:$AB$131,0)))</f>
        <v>cory</v>
      </c>
      <c r="O382">
        <f t="shared" si="63"/>
        <v>102.10000000000001</v>
      </c>
      <c r="P382">
        <f t="shared" si="64"/>
        <v>445.16630000000004</v>
      </c>
      <c r="Q382" s="3">
        <f t="shared" si="65"/>
        <v>0.59090810623639012</v>
      </c>
      <c r="R382" s="3">
        <f t="shared" si="66"/>
        <v>0.48462592217384093</v>
      </c>
      <c r="S382" s="9">
        <f t="shared" si="67"/>
        <v>-0.10628218406254919</v>
      </c>
      <c r="T382">
        <f t="shared" si="68"/>
        <v>104</v>
      </c>
      <c r="U382">
        <f t="shared" si="69"/>
        <v>85</v>
      </c>
      <c r="V382" s="3">
        <f t="shared" si="70"/>
        <v>0.99992606439795773</v>
      </c>
      <c r="W382" s="9">
        <f t="shared" si="71"/>
        <v>7.393560204227434E-5</v>
      </c>
      <c r="AC382"/>
    </row>
    <row r="383" spans="1:29" x14ac:dyDescent="0.25">
      <c r="A383" t="s">
        <v>98</v>
      </c>
      <c r="B383">
        <v>2</v>
      </c>
      <c r="C383" t="s">
        <v>630</v>
      </c>
      <c r="D383" t="s">
        <v>471</v>
      </c>
      <c r="E383">
        <v>0</v>
      </c>
      <c r="F383">
        <v>12.18</v>
      </c>
      <c r="G383">
        <v>40.449599999999997</v>
      </c>
      <c r="H383" t="s">
        <v>87</v>
      </c>
      <c r="I383" t="s">
        <v>87</v>
      </c>
      <c r="J383" t="s">
        <v>44</v>
      </c>
      <c r="K383">
        <f t="shared" si="60"/>
        <v>91.78</v>
      </c>
      <c r="L383">
        <f t="shared" si="61"/>
        <v>333.71719999999993</v>
      </c>
      <c r="M383" t="str">
        <f t="shared" si="62"/>
        <v>matty-2</v>
      </c>
      <c r="N383" t="str">
        <f>INDEX(Scores!$A$2:$A$11,INDEX(Scores!$AA$2:$AA$131,MATCH(C383,Scores!$AB$2:$AB$131,0)))</f>
        <v>matty</v>
      </c>
      <c r="O383">
        <f t="shared" si="63"/>
        <v>101.3</v>
      </c>
      <c r="P383">
        <f t="shared" si="64"/>
        <v>329.14109999999999</v>
      </c>
      <c r="Q383" s="3">
        <f t="shared" si="65"/>
        <v>0.35577854462426967</v>
      </c>
      <c r="R383" s="3">
        <f t="shared" si="66"/>
        <v>0.1922034856085833</v>
      </c>
      <c r="S383" s="9">
        <f t="shared" si="67"/>
        <v>-0.16357505901568636</v>
      </c>
      <c r="T383">
        <f t="shared" si="68"/>
        <v>82</v>
      </c>
      <c r="U383">
        <f t="shared" si="69"/>
        <v>70</v>
      </c>
      <c r="V383" s="3">
        <f t="shared" si="70"/>
        <v>0.99992820082899592</v>
      </c>
      <c r="W383" s="9">
        <f t="shared" si="71"/>
        <v>7.1799171004083284E-5</v>
      </c>
      <c r="AC383"/>
    </row>
    <row r="384" spans="1:29" x14ac:dyDescent="0.25">
      <c r="A384" t="s">
        <v>53</v>
      </c>
      <c r="B384">
        <v>11</v>
      </c>
      <c r="C384" t="s">
        <v>917</v>
      </c>
      <c r="D384" t="s">
        <v>467</v>
      </c>
      <c r="E384">
        <v>30</v>
      </c>
      <c r="F384">
        <v>22.26</v>
      </c>
      <c r="G384">
        <v>36.9664</v>
      </c>
      <c r="H384" t="s">
        <v>15</v>
      </c>
      <c r="I384" t="s">
        <v>15</v>
      </c>
      <c r="J384" t="s">
        <v>16</v>
      </c>
      <c r="K384">
        <f t="shared" si="60"/>
        <v>102.11</v>
      </c>
      <c r="L384">
        <f t="shared" si="61"/>
        <v>431.97960000000006</v>
      </c>
      <c r="M384" t="str">
        <f t="shared" si="62"/>
        <v>chad-11</v>
      </c>
      <c r="N384" t="str">
        <f>INDEX(Scores!$A$2:$A$11,INDEX(Scores!$AA$2:$AA$131,MATCH(C384,Scores!$AB$2:$AB$131,0)))</f>
        <v>chad</v>
      </c>
      <c r="O384">
        <f t="shared" si="63"/>
        <v>106.58</v>
      </c>
      <c r="P384">
        <f t="shared" si="64"/>
        <v>427.68610000000001</v>
      </c>
      <c r="Q384" s="3">
        <f t="shared" si="65"/>
        <v>0.43941389461043751</v>
      </c>
      <c r="R384" s="3">
        <f t="shared" si="66"/>
        <v>0.54538342736710166</v>
      </c>
      <c r="S384" s="9">
        <f t="shared" si="67"/>
        <v>0.10596953275666415</v>
      </c>
      <c r="T384">
        <f t="shared" si="68"/>
        <v>130</v>
      </c>
      <c r="U384">
        <f t="shared" si="69"/>
        <v>99</v>
      </c>
      <c r="V384" s="3">
        <f t="shared" si="70"/>
        <v>0.99993478834623195</v>
      </c>
      <c r="W384" s="9">
        <f t="shared" si="71"/>
        <v>6.521165376804916E-5</v>
      </c>
      <c r="AC384"/>
    </row>
    <row r="385" spans="1:29" x14ac:dyDescent="0.25">
      <c r="A385" t="s">
        <v>424</v>
      </c>
      <c r="B385">
        <v>11</v>
      </c>
      <c r="C385" t="s">
        <v>965</v>
      </c>
      <c r="D385" t="s">
        <v>477</v>
      </c>
      <c r="E385">
        <v>16</v>
      </c>
      <c r="F385">
        <v>7.69</v>
      </c>
      <c r="G385">
        <v>48.441600000000001</v>
      </c>
      <c r="H385" t="s">
        <v>477</v>
      </c>
      <c r="I385" t="s">
        <v>477</v>
      </c>
      <c r="J385" t="s">
        <v>23</v>
      </c>
      <c r="K385">
        <f t="shared" si="60"/>
        <v>104.20000000000002</v>
      </c>
      <c r="L385">
        <f t="shared" si="61"/>
        <v>377.06489999999997</v>
      </c>
      <c r="M385" t="str">
        <f t="shared" si="62"/>
        <v>lucas-11</v>
      </c>
      <c r="N385" t="str">
        <f>INDEX(Scores!$A$2:$A$11,INDEX(Scores!$AA$2:$AA$131,MATCH(C385,Scores!$AB$2:$AB$131,0)))</f>
        <v>lucas</v>
      </c>
      <c r="O385">
        <f t="shared" si="63"/>
        <v>0</v>
      </c>
      <c r="P385">
        <f t="shared" si="64"/>
        <v>0</v>
      </c>
      <c r="Q385" s="3">
        <f t="shared" si="65"/>
        <v>0.99999995977381673</v>
      </c>
      <c r="R385" s="3">
        <f t="shared" si="66"/>
        <v>0.99999999972899345</v>
      </c>
      <c r="S385" s="9">
        <f t="shared" si="67"/>
        <v>3.995517672272797E-8</v>
      </c>
      <c r="T385">
        <f t="shared" si="68"/>
        <v>85</v>
      </c>
      <c r="U385">
        <f t="shared" si="69"/>
        <v>0</v>
      </c>
      <c r="V385" s="3">
        <f t="shared" si="70"/>
        <v>1</v>
      </c>
      <c r="W385" s="9">
        <f t="shared" si="71"/>
        <v>0</v>
      </c>
      <c r="AC385"/>
    </row>
    <row r="386" spans="1:29" x14ac:dyDescent="0.25">
      <c r="A386" t="s">
        <v>115</v>
      </c>
      <c r="B386">
        <v>9</v>
      </c>
      <c r="C386" t="s">
        <v>907</v>
      </c>
      <c r="D386" t="s">
        <v>469</v>
      </c>
      <c r="E386">
        <v>5</v>
      </c>
      <c r="F386">
        <v>17.309999999999999</v>
      </c>
      <c r="G386">
        <v>78.854399999999998</v>
      </c>
      <c r="H386" t="s">
        <v>47</v>
      </c>
      <c r="I386" t="s">
        <v>47</v>
      </c>
      <c r="J386" t="s">
        <v>20</v>
      </c>
      <c r="K386">
        <f t="shared" ref="K386:K449" si="72">SUMIF($C$2:$C$1301,$C386,$F$2:$F$1301)</f>
        <v>83.52</v>
      </c>
      <c r="L386">
        <f t="shared" ref="L386:L449" si="73">SUMIF($C$2:$C$1301,$C386,$G$2:$G$1301)</f>
        <v>286.42129999999997</v>
      </c>
      <c r="M386" t="str">
        <f t="shared" ref="M386:M449" si="74">N386&amp;"-"&amp;B386</f>
        <v>lucas-9</v>
      </c>
      <c r="N386" t="str">
        <f>INDEX(Scores!$A$2:$A$11,INDEX(Scores!$AA$2:$AA$131,MATCH(C386,Scores!$AB$2:$AB$131,0)))</f>
        <v>lucas</v>
      </c>
      <c r="O386">
        <f t="shared" ref="O386:O449" si="75">SUMIF($C$2:$C$1301,$M386,$F$2:$F$1301)</f>
        <v>0</v>
      </c>
      <c r="P386">
        <f t="shared" ref="P386:P449" si="76">SUMIF($C$2:$C$1301,$M386,$G$2:$G$1301)</f>
        <v>0</v>
      </c>
      <c r="Q386" s="3">
        <f t="shared" ref="Q386:Q449" si="77">_xlfn.NORM.DIST(0,$O386-$K386,SQRT($L386+$P386),TRUE)</f>
        <v>0.9999995992619003</v>
      </c>
      <c r="R386" s="3">
        <f t="shared" ref="R386:R449" si="78">_xlfn.NORM.DIST(0,$O386-$K386-($E386-$F386),SQRT($L386+$P386-$G386),TRUE)</f>
        <v>0.99999961470791798</v>
      </c>
      <c r="S386" s="9">
        <f t="shared" ref="S386:S449" si="79">R386-Q386</f>
        <v>1.5446017687104074E-8</v>
      </c>
      <c r="T386">
        <f t="shared" ref="T386:T449" si="80">SUMIF($C$2:$C$1301,$C386,$E$2:$E$1301)</f>
        <v>89</v>
      </c>
      <c r="U386">
        <f t="shared" ref="U386:U449" si="81">SUMIF($C$2:$C$1301,$M386,$E$2:$E$1301)</f>
        <v>0</v>
      </c>
      <c r="V386" s="3">
        <f t="shared" ref="V386:V449" si="82">_xlfn.NORM.DIST(0,U386-T386+E386-F386,SQRT(G386),TRUE)</f>
        <v>1</v>
      </c>
      <c r="W386" s="9">
        <f t="shared" ref="W386:W449" si="83">IFERROR(IF(U386&gt;T386,0,1)-V386,0)</f>
        <v>0</v>
      </c>
      <c r="AC386"/>
    </row>
    <row r="387" spans="1:29" x14ac:dyDescent="0.25">
      <c r="A387" t="s">
        <v>124</v>
      </c>
      <c r="B387">
        <v>6</v>
      </c>
      <c r="C387" t="s">
        <v>968</v>
      </c>
      <c r="D387" t="s">
        <v>472</v>
      </c>
      <c r="E387">
        <v>3</v>
      </c>
      <c r="F387">
        <v>9.6300000000000008</v>
      </c>
      <c r="G387">
        <v>37.21</v>
      </c>
      <c r="H387" t="s">
        <v>87</v>
      </c>
      <c r="I387" t="s">
        <v>87</v>
      </c>
      <c r="J387" t="s">
        <v>49</v>
      </c>
      <c r="K387">
        <f t="shared" si="72"/>
        <v>109.91000000000001</v>
      </c>
      <c r="L387">
        <f t="shared" si="73"/>
        <v>387.28550000000001</v>
      </c>
      <c r="M387" t="str">
        <f t="shared" si="74"/>
        <v>perry-6</v>
      </c>
      <c r="N387" t="str">
        <f>INDEX(Scores!$A$2:$A$11,INDEX(Scores!$AA$2:$AA$131,MATCH(C387,Scores!$AB$2:$AB$131,0)))</f>
        <v>perry</v>
      </c>
      <c r="O387">
        <f t="shared" si="75"/>
        <v>88.72</v>
      </c>
      <c r="P387">
        <f t="shared" si="76"/>
        <v>407.6961</v>
      </c>
      <c r="Q387" s="3">
        <f t="shared" si="77"/>
        <v>0.77383629678575794</v>
      </c>
      <c r="R387" s="3">
        <f t="shared" si="78"/>
        <v>0.70157046562605441</v>
      </c>
      <c r="S387" s="9">
        <f t="shared" si="79"/>
        <v>-7.2265831159703531E-2</v>
      </c>
      <c r="T387">
        <f t="shared" si="80"/>
        <v>119</v>
      </c>
      <c r="U387">
        <f t="shared" si="81"/>
        <v>102</v>
      </c>
      <c r="V387" s="3">
        <f t="shared" si="82"/>
        <v>0.9999464178298253</v>
      </c>
      <c r="W387" s="9">
        <f t="shared" si="83"/>
        <v>5.3582170174704125E-5</v>
      </c>
      <c r="AC387"/>
    </row>
    <row r="388" spans="1:29" x14ac:dyDescent="0.25">
      <c r="A388" t="s">
        <v>455</v>
      </c>
      <c r="B388">
        <v>4</v>
      </c>
      <c r="C388" t="s">
        <v>863</v>
      </c>
      <c r="D388" t="s">
        <v>478</v>
      </c>
      <c r="E388">
        <v>6</v>
      </c>
      <c r="F388">
        <v>5.4</v>
      </c>
      <c r="G388">
        <v>8.6435999999999993</v>
      </c>
      <c r="H388" t="s">
        <v>478</v>
      </c>
      <c r="I388" t="s">
        <v>478</v>
      </c>
      <c r="J388" t="s">
        <v>35</v>
      </c>
      <c r="K388">
        <f t="shared" si="72"/>
        <v>99.78</v>
      </c>
      <c r="L388">
        <f t="shared" si="73"/>
        <v>369.21209999999996</v>
      </c>
      <c r="M388" t="str">
        <f t="shared" si="74"/>
        <v>perry-4</v>
      </c>
      <c r="N388" t="str">
        <f>INDEX(Scores!$A$2:$A$11,INDEX(Scores!$AA$2:$AA$131,MATCH(C388,Scores!$AB$2:$AB$131,0)))</f>
        <v>perry</v>
      </c>
      <c r="O388">
        <f t="shared" si="75"/>
        <v>111.07000000000001</v>
      </c>
      <c r="P388">
        <f t="shared" si="76"/>
        <v>406.62959999999998</v>
      </c>
      <c r="Q388" s="3">
        <f t="shared" si="77"/>
        <v>0.34261794725331807</v>
      </c>
      <c r="R388" s="3">
        <f t="shared" si="78"/>
        <v>0.34976918597293638</v>
      </c>
      <c r="S388" s="9">
        <f t="shared" si="79"/>
        <v>7.1512387196183136E-3</v>
      </c>
      <c r="T388">
        <f t="shared" si="80"/>
        <v>84</v>
      </c>
      <c r="U388">
        <f t="shared" si="81"/>
        <v>72</v>
      </c>
      <c r="V388" s="3">
        <f t="shared" si="82"/>
        <v>0.9999472433973583</v>
      </c>
      <c r="W388" s="9">
        <f t="shared" si="83"/>
        <v>5.2756602641701456E-5</v>
      </c>
      <c r="AC388"/>
    </row>
    <row r="389" spans="1:29" x14ac:dyDescent="0.25">
      <c r="A389" t="s">
        <v>160</v>
      </c>
      <c r="B389">
        <v>1</v>
      </c>
      <c r="C389" t="s">
        <v>501</v>
      </c>
      <c r="D389" t="s">
        <v>472</v>
      </c>
      <c r="E389">
        <v>8</v>
      </c>
      <c r="F389">
        <v>8.5299999999999994</v>
      </c>
      <c r="G389">
        <v>25.300899999999999</v>
      </c>
      <c r="H389" t="s">
        <v>87</v>
      </c>
      <c r="I389" t="s">
        <v>87</v>
      </c>
      <c r="J389" t="s">
        <v>62</v>
      </c>
      <c r="K389">
        <f t="shared" si="72"/>
        <v>101.75</v>
      </c>
      <c r="L389">
        <f t="shared" si="73"/>
        <v>333.15260000000001</v>
      </c>
      <c r="M389" t="str">
        <f t="shared" si="74"/>
        <v>matty-1</v>
      </c>
      <c r="N389" t="str">
        <f>INDEX(Scores!$A$2:$A$11,INDEX(Scores!$AA$2:$AA$131,MATCH(C389,Scores!$AB$2:$AB$131,0)))</f>
        <v>matty</v>
      </c>
      <c r="O389">
        <f t="shared" si="75"/>
        <v>96.11</v>
      </c>
      <c r="P389">
        <f t="shared" si="76"/>
        <v>397.37959999999998</v>
      </c>
      <c r="Q389" s="3">
        <f t="shared" si="77"/>
        <v>0.58264695809701372</v>
      </c>
      <c r="R389" s="3">
        <f t="shared" si="78"/>
        <v>0.5762942365758853</v>
      </c>
      <c r="S389" s="9">
        <f t="shared" si="79"/>
        <v>-6.3527215211284238E-3</v>
      </c>
      <c r="T389">
        <f t="shared" si="80"/>
        <v>95</v>
      </c>
      <c r="U389">
        <f t="shared" si="81"/>
        <v>76</v>
      </c>
      <c r="V389" s="3">
        <f t="shared" si="82"/>
        <v>0.99994834930885235</v>
      </c>
      <c r="W389" s="9">
        <f t="shared" si="83"/>
        <v>5.1650691147653305E-5</v>
      </c>
      <c r="AC389"/>
    </row>
    <row r="390" spans="1:29" x14ac:dyDescent="0.25">
      <c r="A390" t="s">
        <v>192</v>
      </c>
      <c r="B390">
        <v>13</v>
      </c>
      <c r="C390" t="s">
        <v>919</v>
      </c>
      <c r="D390" t="s">
        <v>466</v>
      </c>
      <c r="E390">
        <v>5</v>
      </c>
      <c r="F390">
        <v>8.83</v>
      </c>
      <c r="G390">
        <v>37.332099999999997</v>
      </c>
      <c r="H390" t="s">
        <v>466</v>
      </c>
      <c r="I390" t="s">
        <v>87</v>
      </c>
      <c r="J390" t="s">
        <v>16</v>
      </c>
      <c r="K390">
        <f t="shared" si="72"/>
        <v>106.87</v>
      </c>
      <c r="L390">
        <f t="shared" si="73"/>
        <v>444.05589999999995</v>
      </c>
      <c r="M390" t="str">
        <f t="shared" si="74"/>
        <v>scott-13</v>
      </c>
      <c r="N390" t="str">
        <f>INDEX(Scores!$A$2:$A$11,INDEX(Scores!$AA$2:$AA$131,MATCH(C390,Scores!$AB$2:$AB$131,0)))</f>
        <v>scott</v>
      </c>
      <c r="O390">
        <f t="shared" si="75"/>
        <v>108.61</v>
      </c>
      <c r="P390">
        <f t="shared" si="76"/>
        <v>407.25390000000004</v>
      </c>
      <c r="Q390" s="3">
        <f t="shared" si="77"/>
        <v>0.47622294087495948</v>
      </c>
      <c r="R390" s="3">
        <f t="shared" si="78"/>
        <v>0.42260602708004091</v>
      </c>
      <c r="S390" s="9">
        <f t="shared" si="79"/>
        <v>-5.3616913794918564E-2</v>
      </c>
      <c r="T390">
        <f t="shared" si="80"/>
        <v>86</v>
      </c>
      <c r="U390">
        <f t="shared" si="81"/>
        <v>66</v>
      </c>
      <c r="V390" s="3">
        <f t="shared" si="82"/>
        <v>0.99995193615877831</v>
      </c>
      <c r="W390" s="9">
        <f t="shared" si="83"/>
        <v>4.8063841221690495E-5</v>
      </c>
      <c r="AC390"/>
    </row>
    <row r="391" spans="1:29" x14ac:dyDescent="0.25">
      <c r="A391" t="s">
        <v>53</v>
      </c>
      <c r="B391">
        <v>4</v>
      </c>
      <c r="C391" t="s">
        <v>866</v>
      </c>
      <c r="D391" t="s">
        <v>467</v>
      </c>
      <c r="E391">
        <v>26</v>
      </c>
      <c r="F391">
        <v>21.5</v>
      </c>
      <c r="G391">
        <v>57.002499999999998</v>
      </c>
      <c r="H391" t="s">
        <v>15</v>
      </c>
      <c r="I391" t="s">
        <v>15</v>
      </c>
      <c r="J391" t="s">
        <v>55</v>
      </c>
      <c r="K391">
        <f t="shared" si="72"/>
        <v>118.09999999999998</v>
      </c>
      <c r="L391">
        <f t="shared" si="73"/>
        <v>465.47660000000008</v>
      </c>
      <c r="M391" t="str">
        <f t="shared" si="74"/>
        <v>comp-4</v>
      </c>
      <c r="N391" t="str">
        <f>INDEX(Scores!$A$2:$A$11,INDEX(Scores!$AA$2:$AA$131,MATCH(C391,Scores!$AB$2:$AB$131,0)))</f>
        <v>comp</v>
      </c>
      <c r="O391">
        <f t="shared" si="75"/>
        <v>103.70000000000002</v>
      </c>
      <c r="P391">
        <f t="shared" si="76"/>
        <v>412.10110000000003</v>
      </c>
      <c r="Q391" s="3">
        <f t="shared" si="77"/>
        <v>0.68654951827928645</v>
      </c>
      <c r="R391" s="3">
        <f t="shared" si="78"/>
        <v>0.74530417894165435</v>
      </c>
      <c r="S391" s="9">
        <f t="shared" si="79"/>
        <v>5.8754660662367897E-2</v>
      </c>
      <c r="T391">
        <f t="shared" si="80"/>
        <v>80</v>
      </c>
      <c r="U391">
        <f t="shared" si="81"/>
        <v>46</v>
      </c>
      <c r="V391" s="3">
        <f t="shared" si="82"/>
        <v>0.99995333043849699</v>
      </c>
      <c r="W391" s="9">
        <f t="shared" si="83"/>
        <v>4.6669561503009938E-5</v>
      </c>
      <c r="AC391"/>
    </row>
    <row r="392" spans="1:29" x14ac:dyDescent="0.25">
      <c r="A392" t="s">
        <v>163</v>
      </c>
      <c r="B392">
        <v>8</v>
      </c>
      <c r="C392" t="s">
        <v>930</v>
      </c>
      <c r="D392" t="s">
        <v>473</v>
      </c>
      <c r="E392">
        <v>3</v>
      </c>
      <c r="F392">
        <v>7.69</v>
      </c>
      <c r="G392">
        <v>25.100100000000001</v>
      </c>
      <c r="H392" t="s">
        <v>87</v>
      </c>
      <c r="I392" t="s">
        <v>87</v>
      </c>
      <c r="J392" t="s">
        <v>35</v>
      </c>
      <c r="K392">
        <f t="shared" si="72"/>
        <v>102.43</v>
      </c>
      <c r="L392">
        <f t="shared" si="73"/>
        <v>452.86560000000003</v>
      </c>
      <c r="M392" t="str">
        <f t="shared" si="74"/>
        <v>seth-8</v>
      </c>
      <c r="N392" t="str">
        <f>INDEX(Scores!$A$2:$A$11,INDEX(Scores!$AA$2:$AA$131,MATCH(C392,Scores!$AB$2:$AB$131,0)))</f>
        <v>seth</v>
      </c>
      <c r="O392">
        <f t="shared" si="75"/>
        <v>96.57</v>
      </c>
      <c r="P392">
        <f t="shared" si="76"/>
        <v>368.03749999999997</v>
      </c>
      <c r="Q392" s="3">
        <f t="shared" si="77"/>
        <v>0.58102934018980379</v>
      </c>
      <c r="R392" s="3">
        <f t="shared" si="78"/>
        <v>0.51654126225563013</v>
      </c>
      <c r="S392" s="9">
        <f t="shared" si="79"/>
        <v>-6.448807793417366E-2</v>
      </c>
      <c r="T392">
        <f t="shared" si="80"/>
        <v>100</v>
      </c>
      <c r="U392">
        <f t="shared" si="81"/>
        <v>85</v>
      </c>
      <c r="V392" s="3">
        <f t="shared" si="82"/>
        <v>0.99995755174287981</v>
      </c>
      <c r="W392" s="9">
        <f t="shared" si="83"/>
        <v>4.2448257120186739E-5</v>
      </c>
      <c r="AC392"/>
    </row>
    <row r="393" spans="1:29" x14ac:dyDescent="0.25">
      <c r="A393" t="s">
        <v>428</v>
      </c>
      <c r="B393">
        <v>2</v>
      </c>
      <c r="C393" t="s">
        <v>633</v>
      </c>
      <c r="D393" t="s">
        <v>477</v>
      </c>
      <c r="E393">
        <v>18</v>
      </c>
      <c r="F393">
        <v>7.74</v>
      </c>
      <c r="G393">
        <v>36.360900000000001</v>
      </c>
      <c r="H393" t="s">
        <v>477</v>
      </c>
      <c r="I393" t="s">
        <v>477</v>
      </c>
      <c r="J393" t="s">
        <v>35</v>
      </c>
      <c r="K393">
        <f t="shared" si="72"/>
        <v>100.92999999999999</v>
      </c>
      <c r="L393">
        <f t="shared" si="73"/>
        <v>374.85250000000002</v>
      </c>
      <c r="M393" t="str">
        <f t="shared" si="74"/>
        <v>scott-2</v>
      </c>
      <c r="N393" t="str">
        <f>INDEX(Scores!$A$2:$A$11,INDEX(Scores!$AA$2:$AA$131,MATCH(C393,Scores!$AB$2:$AB$131,0)))</f>
        <v>scott</v>
      </c>
      <c r="O393">
        <f t="shared" si="75"/>
        <v>103.25</v>
      </c>
      <c r="P393">
        <f t="shared" si="76"/>
        <v>377.00829999999996</v>
      </c>
      <c r="Q393" s="3">
        <f t="shared" si="77"/>
        <v>0.46628591266319391</v>
      </c>
      <c r="R393" s="3">
        <f t="shared" si="78"/>
        <v>0.61670391668299629</v>
      </c>
      <c r="S393" s="9">
        <f t="shared" si="79"/>
        <v>0.15041800401980238</v>
      </c>
      <c r="T393">
        <f t="shared" si="80"/>
        <v>140</v>
      </c>
      <c r="U393">
        <f t="shared" si="81"/>
        <v>106</v>
      </c>
      <c r="V393" s="3">
        <f t="shared" si="82"/>
        <v>0.99995874356159453</v>
      </c>
      <c r="W393" s="9">
        <f t="shared" si="83"/>
        <v>4.125643840546811E-5</v>
      </c>
      <c r="AC393"/>
    </row>
    <row r="394" spans="1:29" x14ac:dyDescent="0.25">
      <c r="A394" t="s">
        <v>106</v>
      </c>
      <c r="B394">
        <v>9</v>
      </c>
      <c r="C394" t="s">
        <v>963</v>
      </c>
      <c r="D394" t="s">
        <v>471</v>
      </c>
      <c r="E394">
        <v>7</v>
      </c>
      <c r="F394">
        <v>9.86</v>
      </c>
      <c r="G394">
        <v>30.1401</v>
      </c>
      <c r="H394" t="s">
        <v>87</v>
      </c>
      <c r="I394" t="s">
        <v>87</v>
      </c>
      <c r="J394" t="s">
        <v>23</v>
      </c>
      <c r="K394">
        <f t="shared" si="72"/>
        <v>98.35</v>
      </c>
      <c r="L394">
        <f t="shared" si="73"/>
        <v>385.97739999999999</v>
      </c>
      <c r="M394" t="str">
        <f t="shared" si="74"/>
        <v>aj-9</v>
      </c>
      <c r="N394" t="str">
        <f>INDEX(Scores!$A$2:$A$11,INDEX(Scores!$AA$2:$AA$131,MATCH(C394,Scores!$AB$2:$AB$131,0)))</f>
        <v>aj</v>
      </c>
      <c r="O394">
        <f t="shared" si="75"/>
        <v>102.03999999999999</v>
      </c>
      <c r="P394">
        <f t="shared" si="76"/>
        <v>392.2131</v>
      </c>
      <c r="Q394" s="3">
        <f t="shared" si="77"/>
        <v>0.4473827117902357</v>
      </c>
      <c r="R394" s="3">
        <f t="shared" si="78"/>
        <v>0.40536528619652762</v>
      </c>
      <c r="S394" s="9">
        <f t="shared" si="79"/>
        <v>-4.201742559370808E-2</v>
      </c>
      <c r="T394">
        <f t="shared" si="80"/>
        <v>105</v>
      </c>
      <c r="U394">
        <f t="shared" si="81"/>
        <v>86</v>
      </c>
      <c r="V394" s="3">
        <f t="shared" si="82"/>
        <v>0.99996580018943881</v>
      </c>
      <c r="W394" s="9">
        <f t="shared" si="83"/>
        <v>3.4199810561186261E-5</v>
      </c>
      <c r="AC394"/>
    </row>
    <row r="395" spans="1:29" x14ac:dyDescent="0.25">
      <c r="A395" t="s">
        <v>112</v>
      </c>
      <c r="B395">
        <v>4</v>
      </c>
      <c r="C395" t="s">
        <v>864</v>
      </c>
      <c r="D395" t="s">
        <v>466</v>
      </c>
      <c r="E395">
        <v>4</v>
      </c>
      <c r="F395">
        <v>10.41</v>
      </c>
      <c r="G395">
        <v>54.169600000000003</v>
      </c>
      <c r="H395" t="s">
        <v>466</v>
      </c>
      <c r="I395" t="s">
        <v>47</v>
      </c>
      <c r="J395" t="s">
        <v>49</v>
      </c>
      <c r="K395">
        <f t="shared" si="72"/>
        <v>109.71999999999998</v>
      </c>
      <c r="L395">
        <f t="shared" si="73"/>
        <v>421.03860000000003</v>
      </c>
      <c r="M395" t="str">
        <f t="shared" si="74"/>
        <v>lucas-4</v>
      </c>
      <c r="N395" t="str">
        <f>INDEX(Scores!$A$2:$A$11,INDEX(Scores!$AA$2:$AA$131,MATCH(C395,Scores!$AB$2:$AB$131,0)))</f>
        <v>lucas</v>
      </c>
      <c r="O395">
        <f t="shared" si="75"/>
        <v>0</v>
      </c>
      <c r="P395">
        <f t="shared" si="76"/>
        <v>0</v>
      </c>
      <c r="Q395" s="3">
        <f t="shared" si="77"/>
        <v>0.99999995533253605</v>
      </c>
      <c r="R395" s="3">
        <f t="shared" si="78"/>
        <v>0.99999996548944836</v>
      </c>
      <c r="S395" s="9">
        <f t="shared" si="79"/>
        <v>1.0156912311209965E-8</v>
      </c>
      <c r="T395">
        <f t="shared" si="80"/>
        <v>92</v>
      </c>
      <c r="U395">
        <f t="shared" si="81"/>
        <v>0</v>
      </c>
      <c r="V395" s="3">
        <f t="shared" si="82"/>
        <v>1</v>
      </c>
      <c r="W395" s="9">
        <f t="shared" si="83"/>
        <v>0</v>
      </c>
      <c r="AC395"/>
    </row>
    <row r="396" spans="1:29" x14ac:dyDescent="0.25">
      <c r="A396" t="s">
        <v>26</v>
      </c>
      <c r="B396">
        <v>6</v>
      </c>
      <c r="C396" t="s">
        <v>936</v>
      </c>
      <c r="D396" t="s">
        <v>467</v>
      </c>
      <c r="E396">
        <v>11</v>
      </c>
      <c r="F396">
        <v>23.35</v>
      </c>
      <c r="G396">
        <v>60.84</v>
      </c>
      <c r="H396" t="s">
        <v>15</v>
      </c>
      <c r="I396" t="s">
        <v>15</v>
      </c>
      <c r="J396" t="s">
        <v>27</v>
      </c>
      <c r="K396">
        <f t="shared" si="72"/>
        <v>104.66</v>
      </c>
      <c r="L396">
        <f t="shared" si="73"/>
        <v>375.94899999999996</v>
      </c>
      <c r="M396" t="str">
        <f t="shared" si="74"/>
        <v>devon-6</v>
      </c>
      <c r="N396" t="str">
        <f>INDEX(Scores!$A$2:$A$11,INDEX(Scores!$AA$2:$AA$131,MATCH(C396,Scores!$AB$2:$AB$131,0)))</f>
        <v>devon</v>
      </c>
      <c r="O396">
        <f t="shared" si="75"/>
        <v>101.41999999999999</v>
      </c>
      <c r="P396">
        <f t="shared" si="76"/>
        <v>401.13359999999994</v>
      </c>
      <c r="Q396" s="3">
        <f t="shared" si="77"/>
        <v>0.54626414609906893</v>
      </c>
      <c r="R396" s="3">
        <f t="shared" si="78"/>
        <v>0.36677802774581247</v>
      </c>
      <c r="S396" s="9">
        <f t="shared" si="79"/>
        <v>-0.17948611835325645</v>
      </c>
      <c r="T396">
        <f t="shared" si="80"/>
        <v>91</v>
      </c>
      <c r="U396">
        <f t="shared" si="81"/>
        <v>72</v>
      </c>
      <c r="V396" s="3">
        <f t="shared" si="82"/>
        <v>0.99997080576980879</v>
      </c>
      <c r="W396" s="9">
        <f t="shared" si="83"/>
        <v>2.9194230191209591E-5</v>
      </c>
      <c r="AC396"/>
    </row>
    <row r="397" spans="1:29" x14ac:dyDescent="0.25">
      <c r="A397" t="s">
        <v>163</v>
      </c>
      <c r="B397">
        <v>4</v>
      </c>
      <c r="C397" t="s">
        <v>863</v>
      </c>
      <c r="D397" t="s">
        <v>473</v>
      </c>
      <c r="E397">
        <v>2</v>
      </c>
      <c r="F397">
        <v>6.1</v>
      </c>
      <c r="G397">
        <v>15.9201</v>
      </c>
      <c r="H397" t="s">
        <v>87</v>
      </c>
      <c r="I397" t="s">
        <v>87</v>
      </c>
      <c r="J397" t="s">
        <v>35</v>
      </c>
      <c r="K397">
        <f t="shared" si="72"/>
        <v>99.78</v>
      </c>
      <c r="L397">
        <f t="shared" si="73"/>
        <v>369.21209999999996</v>
      </c>
      <c r="M397" t="str">
        <f t="shared" si="74"/>
        <v>perry-4</v>
      </c>
      <c r="N397" t="str">
        <f>INDEX(Scores!$A$2:$A$11,INDEX(Scores!$AA$2:$AA$131,MATCH(C397,Scores!$AB$2:$AB$131,0)))</f>
        <v>perry</v>
      </c>
      <c r="O397">
        <f t="shared" si="75"/>
        <v>111.07000000000001</v>
      </c>
      <c r="P397">
        <f t="shared" si="76"/>
        <v>406.62959999999998</v>
      </c>
      <c r="Q397" s="3">
        <f t="shared" si="77"/>
        <v>0.34261794725331807</v>
      </c>
      <c r="R397" s="3">
        <f t="shared" si="78"/>
        <v>0.2883256540208976</v>
      </c>
      <c r="S397" s="9">
        <f t="shared" si="79"/>
        <v>-5.4292293232420463E-2</v>
      </c>
      <c r="T397">
        <f t="shared" si="80"/>
        <v>84</v>
      </c>
      <c r="U397">
        <f t="shared" si="81"/>
        <v>72</v>
      </c>
      <c r="V397" s="3">
        <f t="shared" si="82"/>
        <v>0.99997270904898239</v>
      </c>
      <c r="W397" s="9">
        <f t="shared" si="83"/>
        <v>2.7290951017611143E-5</v>
      </c>
      <c r="AC397"/>
    </row>
    <row r="398" spans="1:29" x14ac:dyDescent="0.25">
      <c r="A398" t="s">
        <v>93</v>
      </c>
      <c r="B398">
        <v>13</v>
      </c>
      <c r="C398" t="s">
        <v>919</v>
      </c>
      <c r="D398" t="s">
        <v>471</v>
      </c>
      <c r="E398">
        <v>2</v>
      </c>
      <c r="F398">
        <v>13.29</v>
      </c>
      <c r="G398">
        <v>59.752899999999997</v>
      </c>
      <c r="H398" t="s">
        <v>87</v>
      </c>
      <c r="I398" t="s">
        <v>87</v>
      </c>
      <c r="J398" t="s">
        <v>16</v>
      </c>
      <c r="K398">
        <f t="shared" si="72"/>
        <v>106.87</v>
      </c>
      <c r="L398">
        <f t="shared" si="73"/>
        <v>444.05589999999995</v>
      </c>
      <c r="M398" t="str">
        <f t="shared" si="74"/>
        <v>scott-13</v>
      </c>
      <c r="N398" t="str">
        <f>INDEX(Scores!$A$2:$A$11,INDEX(Scores!$AA$2:$AA$131,MATCH(C398,Scores!$AB$2:$AB$131,0)))</f>
        <v>scott</v>
      </c>
      <c r="O398">
        <f t="shared" si="75"/>
        <v>108.61</v>
      </c>
      <c r="P398">
        <f t="shared" si="76"/>
        <v>407.25390000000004</v>
      </c>
      <c r="Q398" s="3">
        <f t="shared" si="77"/>
        <v>0.47622294087495948</v>
      </c>
      <c r="R398" s="3">
        <f t="shared" si="78"/>
        <v>0.32163542860219352</v>
      </c>
      <c r="S398" s="9">
        <f t="shared" si="79"/>
        <v>-0.15458751227276596</v>
      </c>
      <c r="T398">
        <f t="shared" si="80"/>
        <v>86</v>
      </c>
      <c r="U398">
        <f t="shared" si="81"/>
        <v>66</v>
      </c>
      <c r="V398" s="3">
        <f t="shared" si="82"/>
        <v>0.99997415657967736</v>
      </c>
      <c r="W398" s="9">
        <f t="shared" si="83"/>
        <v>2.5843420322635424E-5</v>
      </c>
      <c r="AC398"/>
    </row>
    <row r="399" spans="1:29" x14ac:dyDescent="0.25">
      <c r="A399" t="s">
        <v>189</v>
      </c>
      <c r="B399">
        <v>9</v>
      </c>
      <c r="C399" t="s">
        <v>963</v>
      </c>
      <c r="D399" t="s">
        <v>475</v>
      </c>
      <c r="E399">
        <v>6</v>
      </c>
      <c r="F399">
        <v>6.32</v>
      </c>
      <c r="G399">
        <v>22.7529</v>
      </c>
      <c r="H399" t="s">
        <v>114</v>
      </c>
      <c r="I399" t="s">
        <v>114</v>
      </c>
      <c r="J399" t="s">
        <v>23</v>
      </c>
      <c r="K399">
        <f t="shared" si="72"/>
        <v>98.35</v>
      </c>
      <c r="L399">
        <f t="shared" si="73"/>
        <v>385.97739999999999</v>
      </c>
      <c r="M399" t="str">
        <f t="shared" si="74"/>
        <v>aj-9</v>
      </c>
      <c r="N399" t="str">
        <f>INDEX(Scores!$A$2:$A$11,INDEX(Scores!$AA$2:$AA$131,MATCH(C399,Scores!$AB$2:$AB$131,0)))</f>
        <v>aj</v>
      </c>
      <c r="O399">
        <f t="shared" si="75"/>
        <v>102.03999999999999</v>
      </c>
      <c r="P399">
        <f t="shared" si="76"/>
        <v>392.2131</v>
      </c>
      <c r="Q399" s="3">
        <f t="shared" si="77"/>
        <v>0.4473827117902357</v>
      </c>
      <c r="R399" s="3">
        <f t="shared" si="78"/>
        <v>0.44200152069937526</v>
      </c>
      <c r="S399" s="9">
        <f t="shared" si="79"/>
        <v>-5.3811910908604377E-3</v>
      </c>
      <c r="T399">
        <f t="shared" si="80"/>
        <v>105</v>
      </c>
      <c r="U399">
        <f t="shared" si="81"/>
        <v>86</v>
      </c>
      <c r="V399" s="3">
        <f t="shared" si="82"/>
        <v>0.99997442557484184</v>
      </c>
      <c r="W399" s="9">
        <f t="shared" si="83"/>
        <v>2.5574425158159109E-5</v>
      </c>
      <c r="AC399"/>
    </row>
    <row r="400" spans="1:29" x14ac:dyDescent="0.25">
      <c r="A400" t="s">
        <v>167</v>
      </c>
      <c r="B400">
        <v>1</v>
      </c>
      <c r="C400" t="s">
        <v>501</v>
      </c>
      <c r="D400" t="s">
        <v>473</v>
      </c>
      <c r="E400">
        <v>1</v>
      </c>
      <c r="F400">
        <v>9.2899999999999991</v>
      </c>
      <c r="G400">
        <v>45.292900000000003</v>
      </c>
      <c r="H400" t="s">
        <v>87</v>
      </c>
      <c r="I400" t="s">
        <v>87</v>
      </c>
      <c r="J400" t="s">
        <v>62</v>
      </c>
      <c r="K400">
        <f t="shared" si="72"/>
        <v>101.75</v>
      </c>
      <c r="L400">
        <f t="shared" si="73"/>
        <v>333.15260000000001</v>
      </c>
      <c r="M400" t="str">
        <f t="shared" si="74"/>
        <v>matty-1</v>
      </c>
      <c r="N400" t="str">
        <f>INDEX(Scores!$A$2:$A$11,INDEX(Scores!$AA$2:$AA$131,MATCH(C400,Scores!$AB$2:$AB$131,0)))</f>
        <v>matty</v>
      </c>
      <c r="O400">
        <f t="shared" si="75"/>
        <v>96.11</v>
      </c>
      <c r="P400">
        <f t="shared" si="76"/>
        <v>397.37959999999998</v>
      </c>
      <c r="Q400" s="3">
        <f t="shared" si="77"/>
        <v>0.58264695809701372</v>
      </c>
      <c r="R400" s="3">
        <f t="shared" si="78"/>
        <v>0.45968250671099964</v>
      </c>
      <c r="S400" s="9">
        <f t="shared" si="79"/>
        <v>-0.12296445138601408</v>
      </c>
      <c r="T400">
        <f t="shared" si="80"/>
        <v>95</v>
      </c>
      <c r="U400">
        <f t="shared" si="81"/>
        <v>76</v>
      </c>
      <c r="V400" s="3">
        <f t="shared" si="82"/>
        <v>0.99997493045832853</v>
      </c>
      <c r="W400" s="9">
        <f t="shared" si="83"/>
        <v>2.5069541671474127E-5</v>
      </c>
      <c r="AC400"/>
    </row>
    <row r="401" spans="1:29" x14ac:dyDescent="0.25">
      <c r="A401" t="s">
        <v>170</v>
      </c>
      <c r="B401">
        <v>1</v>
      </c>
      <c r="C401" t="s">
        <v>501</v>
      </c>
      <c r="D401" t="s">
        <v>466</v>
      </c>
      <c r="E401">
        <v>10</v>
      </c>
      <c r="F401">
        <v>6.1</v>
      </c>
      <c r="G401">
        <v>13.764099999999999</v>
      </c>
      <c r="H401" t="s">
        <v>466</v>
      </c>
      <c r="I401" t="s">
        <v>47</v>
      </c>
      <c r="J401" t="s">
        <v>62</v>
      </c>
      <c r="K401">
        <f t="shared" si="72"/>
        <v>101.75</v>
      </c>
      <c r="L401">
        <f t="shared" si="73"/>
        <v>333.15260000000001</v>
      </c>
      <c r="M401" t="str">
        <f t="shared" si="74"/>
        <v>matty-1</v>
      </c>
      <c r="N401" t="str">
        <f>INDEX(Scores!$A$2:$A$11,INDEX(Scores!$AA$2:$AA$131,MATCH(C401,Scores!$AB$2:$AB$131,0)))</f>
        <v>matty</v>
      </c>
      <c r="O401">
        <f t="shared" si="75"/>
        <v>96.11</v>
      </c>
      <c r="P401">
        <f t="shared" si="76"/>
        <v>397.37959999999998</v>
      </c>
      <c r="Q401" s="3">
        <f t="shared" si="77"/>
        <v>0.58264695809701372</v>
      </c>
      <c r="R401" s="3">
        <f t="shared" si="78"/>
        <v>0.63920532107198702</v>
      </c>
      <c r="S401" s="9">
        <f t="shared" si="79"/>
        <v>5.6558362974973297E-2</v>
      </c>
      <c r="T401">
        <f t="shared" si="80"/>
        <v>95</v>
      </c>
      <c r="U401">
        <f t="shared" si="81"/>
        <v>76</v>
      </c>
      <c r="V401" s="3">
        <f t="shared" si="82"/>
        <v>0.99997650158875406</v>
      </c>
      <c r="W401" s="9">
        <f t="shared" si="83"/>
        <v>2.3498411245936879E-5</v>
      </c>
      <c r="AC401"/>
    </row>
    <row r="402" spans="1:29" x14ac:dyDescent="0.25">
      <c r="A402" t="s">
        <v>88</v>
      </c>
      <c r="B402">
        <v>9</v>
      </c>
      <c r="C402" t="s">
        <v>907</v>
      </c>
      <c r="D402" t="s">
        <v>467</v>
      </c>
      <c r="E402">
        <v>16</v>
      </c>
      <c r="F402">
        <v>13.34</v>
      </c>
      <c r="G402">
        <v>22.5625</v>
      </c>
      <c r="H402" t="s">
        <v>15</v>
      </c>
      <c r="I402" t="s">
        <v>15</v>
      </c>
      <c r="J402" t="s">
        <v>20</v>
      </c>
      <c r="K402">
        <f t="shared" si="72"/>
        <v>83.52</v>
      </c>
      <c r="L402">
        <f t="shared" si="73"/>
        <v>286.42129999999997</v>
      </c>
      <c r="M402" t="str">
        <f t="shared" si="74"/>
        <v>lucas-9</v>
      </c>
      <c r="N402" t="str">
        <f>INDEX(Scores!$A$2:$A$11,INDEX(Scores!$AA$2:$AA$131,MATCH(C402,Scores!$AB$2:$AB$131,0)))</f>
        <v>lucas</v>
      </c>
      <c r="O402">
        <f t="shared" si="75"/>
        <v>0</v>
      </c>
      <c r="P402">
        <f t="shared" si="76"/>
        <v>0</v>
      </c>
      <c r="Q402" s="3">
        <f t="shared" si="77"/>
        <v>0.9999995992619003</v>
      </c>
      <c r="R402" s="3">
        <f t="shared" si="78"/>
        <v>0.99999994379656265</v>
      </c>
      <c r="S402" s="9">
        <f t="shared" si="79"/>
        <v>3.445346623554002E-7</v>
      </c>
      <c r="T402">
        <f t="shared" si="80"/>
        <v>89</v>
      </c>
      <c r="U402">
        <f t="shared" si="81"/>
        <v>0</v>
      </c>
      <c r="V402" s="3">
        <f t="shared" si="82"/>
        <v>1</v>
      </c>
      <c r="W402" s="9">
        <f t="shared" si="83"/>
        <v>0</v>
      </c>
      <c r="AC402"/>
    </row>
    <row r="403" spans="1:29" x14ac:dyDescent="0.25">
      <c r="A403" t="s">
        <v>251</v>
      </c>
      <c r="B403">
        <v>6</v>
      </c>
      <c r="C403" t="s">
        <v>920</v>
      </c>
      <c r="D403" t="s">
        <v>472</v>
      </c>
      <c r="E403">
        <v>3</v>
      </c>
      <c r="F403">
        <v>8.19</v>
      </c>
      <c r="G403">
        <v>35.046399999999998</v>
      </c>
      <c r="H403" t="s">
        <v>87</v>
      </c>
      <c r="I403" t="s">
        <v>87</v>
      </c>
      <c r="J403" t="s">
        <v>55</v>
      </c>
      <c r="K403">
        <f t="shared" si="72"/>
        <v>108.8</v>
      </c>
      <c r="L403">
        <f t="shared" si="73"/>
        <v>404.29040000000003</v>
      </c>
      <c r="M403" t="str">
        <f t="shared" si="74"/>
        <v>cory-6</v>
      </c>
      <c r="N403" t="str">
        <f>INDEX(Scores!$A$2:$A$11,INDEX(Scores!$AA$2:$AA$131,MATCH(C403,Scores!$AB$2:$AB$131,0)))</f>
        <v>cory</v>
      </c>
      <c r="O403">
        <f t="shared" si="75"/>
        <v>102.10000000000001</v>
      </c>
      <c r="P403">
        <f t="shared" si="76"/>
        <v>445.16630000000004</v>
      </c>
      <c r="Q403" s="3">
        <f t="shared" si="77"/>
        <v>0.59090810623639012</v>
      </c>
      <c r="R403" s="3">
        <f t="shared" si="78"/>
        <v>0.52109904378933947</v>
      </c>
      <c r="S403" s="9">
        <f t="shared" si="79"/>
        <v>-6.9809062447050652E-2</v>
      </c>
      <c r="T403">
        <f t="shared" si="80"/>
        <v>104</v>
      </c>
      <c r="U403">
        <f t="shared" si="81"/>
        <v>85</v>
      </c>
      <c r="V403" s="3">
        <f t="shared" si="82"/>
        <v>0.9999780703578709</v>
      </c>
      <c r="W403" s="9">
        <f t="shared" si="83"/>
        <v>2.1929642129103755E-5</v>
      </c>
      <c r="AC403"/>
    </row>
    <row r="404" spans="1:29" x14ac:dyDescent="0.25">
      <c r="A404" t="s">
        <v>189</v>
      </c>
      <c r="B404">
        <v>3</v>
      </c>
      <c r="C404" t="s">
        <v>806</v>
      </c>
      <c r="D404" t="s">
        <v>475</v>
      </c>
      <c r="E404">
        <v>-1</v>
      </c>
      <c r="F404">
        <v>6.25</v>
      </c>
      <c r="G404">
        <v>13.9129</v>
      </c>
      <c r="H404" t="s">
        <v>114</v>
      </c>
      <c r="I404" t="s">
        <v>114</v>
      </c>
      <c r="J404" t="s">
        <v>55</v>
      </c>
      <c r="K404">
        <f t="shared" si="72"/>
        <v>107.31</v>
      </c>
      <c r="L404">
        <f t="shared" si="73"/>
        <v>425.77620000000002</v>
      </c>
      <c r="M404" t="str">
        <f t="shared" si="74"/>
        <v>seth-3</v>
      </c>
      <c r="N404" t="str">
        <f>INDEX(Scores!$A$2:$A$11,INDEX(Scores!$AA$2:$AA$131,MATCH(C404,Scores!$AB$2:$AB$131,0)))</f>
        <v>seth</v>
      </c>
      <c r="O404">
        <f t="shared" si="75"/>
        <v>94.54</v>
      </c>
      <c r="P404">
        <f t="shared" si="76"/>
        <v>356.43470000000002</v>
      </c>
      <c r="Q404" s="3">
        <f t="shared" si="77"/>
        <v>0.6760180870914847</v>
      </c>
      <c r="R404" s="3">
        <f t="shared" si="78"/>
        <v>0.57892620373422843</v>
      </c>
      <c r="S404" s="9">
        <f t="shared" si="79"/>
        <v>-9.709188335725627E-2</v>
      </c>
      <c r="T404">
        <f t="shared" si="80"/>
        <v>96</v>
      </c>
      <c r="U404">
        <f t="shared" si="81"/>
        <v>88</v>
      </c>
      <c r="V404" s="3">
        <f t="shared" si="82"/>
        <v>0.99997828878863371</v>
      </c>
      <c r="W404" s="9">
        <f t="shared" si="83"/>
        <v>2.171121136629317E-5</v>
      </c>
      <c r="AC404"/>
    </row>
    <row r="405" spans="1:29" x14ac:dyDescent="0.25">
      <c r="A405" t="s">
        <v>98</v>
      </c>
      <c r="B405">
        <v>9</v>
      </c>
      <c r="C405" t="s">
        <v>979</v>
      </c>
      <c r="D405" t="s">
        <v>471</v>
      </c>
      <c r="E405">
        <v>3</v>
      </c>
      <c r="F405">
        <v>7.24</v>
      </c>
      <c r="G405">
        <v>29.3764</v>
      </c>
      <c r="H405" t="s">
        <v>87</v>
      </c>
      <c r="I405" t="s">
        <v>87</v>
      </c>
      <c r="J405" t="s">
        <v>44</v>
      </c>
      <c r="K405">
        <f t="shared" si="72"/>
        <v>92.559999999999988</v>
      </c>
      <c r="L405">
        <f t="shared" si="73"/>
        <v>350.31569999999999</v>
      </c>
      <c r="M405" t="str">
        <f t="shared" si="74"/>
        <v>comp-9</v>
      </c>
      <c r="N405" t="str">
        <f>INDEX(Scores!$A$2:$A$11,INDEX(Scores!$AA$2:$AA$131,MATCH(C405,Scores!$AB$2:$AB$131,0)))</f>
        <v>comp</v>
      </c>
      <c r="O405">
        <f t="shared" si="75"/>
        <v>80.800000000000011</v>
      </c>
      <c r="P405">
        <f t="shared" si="76"/>
        <v>290.44450000000001</v>
      </c>
      <c r="Q405" s="3">
        <f t="shared" si="77"/>
        <v>0.67888350653659379</v>
      </c>
      <c r="R405" s="3">
        <f t="shared" si="78"/>
        <v>0.61948600484839844</v>
      </c>
      <c r="S405" s="9">
        <f t="shared" si="79"/>
        <v>-5.9397501688195353E-2</v>
      </c>
      <c r="T405">
        <f t="shared" si="80"/>
        <v>95</v>
      </c>
      <c r="U405">
        <f t="shared" si="81"/>
        <v>77</v>
      </c>
      <c r="V405" s="3">
        <f t="shared" si="82"/>
        <v>0.99997963692440017</v>
      </c>
      <c r="W405" s="9">
        <f t="shared" si="83"/>
        <v>2.0363075599827418E-5</v>
      </c>
      <c r="AC405"/>
    </row>
    <row r="406" spans="1:29" x14ac:dyDescent="0.25">
      <c r="A406" t="s">
        <v>159</v>
      </c>
      <c r="B406">
        <v>6</v>
      </c>
      <c r="C406" t="s">
        <v>952</v>
      </c>
      <c r="D406" t="s">
        <v>473</v>
      </c>
      <c r="E406">
        <v>1</v>
      </c>
      <c r="F406">
        <v>9.4700000000000006</v>
      </c>
      <c r="G406">
        <v>47.472099999999998</v>
      </c>
      <c r="H406" t="s">
        <v>87</v>
      </c>
      <c r="I406" t="s">
        <v>87</v>
      </c>
      <c r="J406" t="s">
        <v>40</v>
      </c>
      <c r="K406">
        <f t="shared" si="72"/>
        <v>86.090000000000018</v>
      </c>
      <c r="L406">
        <f t="shared" si="73"/>
        <v>366.05880000000002</v>
      </c>
      <c r="M406" t="e">
        <f t="shared" si="74"/>
        <v>#N/A</v>
      </c>
      <c r="N406" t="e">
        <f>INDEX(Scores!$A$2:$A$11,INDEX(Scores!$AA$2:$AA$131,MATCH(C406,Scores!$AB$2:$AB$131,0)))</f>
        <v>#N/A</v>
      </c>
      <c r="O406">
        <f t="shared" si="75"/>
        <v>0</v>
      </c>
      <c r="P406">
        <f t="shared" si="76"/>
        <v>0</v>
      </c>
      <c r="Q406" s="3">
        <f t="shared" si="77"/>
        <v>0.99999659648730843</v>
      </c>
      <c r="R406" s="3">
        <f t="shared" si="78"/>
        <v>0.99999315277070489</v>
      </c>
      <c r="S406" s="9">
        <f t="shared" si="79"/>
        <v>-3.4437166035461431E-6</v>
      </c>
      <c r="T406">
        <f t="shared" si="80"/>
        <v>99</v>
      </c>
      <c r="U406">
        <f t="shared" si="81"/>
        <v>0</v>
      </c>
      <c r="V406" s="3">
        <f t="shared" si="82"/>
        <v>1</v>
      </c>
      <c r="W406" s="9">
        <f t="shared" si="83"/>
        <v>0</v>
      </c>
      <c r="AC406"/>
    </row>
    <row r="407" spans="1:29" x14ac:dyDescent="0.25">
      <c r="A407" t="s">
        <v>128</v>
      </c>
      <c r="B407">
        <v>4</v>
      </c>
      <c r="C407" t="s">
        <v>864</v>
      </c>
      <c r="D407" t="s">
        <v>469</v>
      </c>
      <c r="E407">
        <v>7</v>
      </c>
      <c r="F407">
        <v>9.57</v>
      </c>
      <c r="G407">
        <v>37.945599999999999</v>
      </c>
      <c r="H407" t="s">
        <v>47</v>
      </c>
      <c r="I407" t="s">
        <v>47</v>
      </c>
      <c r="J407" t="s">
        <v>49</v>
      </c>
      <c r="K407">
        <f t="shared" si="72"/>
        <v>109.71999999999998</v>
      </c>
      <c r="L407">
        <f t="shared" si="73"/>
        <v>421.03860000000003</v>
      </c>
      <c r="M407" t="str">
        <f t="shared" si="74"/>
        <v>lucas-4</v>
      </c>
      <c r="N407" t="str">
        <f>INDEX(Scores!$A$2:$A$11,INDEX(Scores!$AA$2:$AA$131,MATCH(C407,Scores!$AB$2:$AB$131,0)))</f>
        <v>lucas</v>
      </c>
      <c r="O407">
        <f t="shared" si="75"/>
        <v>0</v>
      </c>
      <c r="P407">
        <f t="shared" si="76"/>
        <v>0</v>
      </c>
      <c r="Q407" s="3">
        <f t="shared" si="77"/>
        <v>0.99999995533253605</v>
      </c>
      <c r="R407" s="3">
        <f t="shared" si="78"/>
        <v>0.99999997805570739</v>
      </c>
      <c r="S407" s="9">
        <f t="shared" si="79"/>
        <v>2.2723171344551929E-8</v>
      </c>
      <c r="T407">
        <f t="shared" si="80"/>
        <v>92</v>
      </c>
      <c r="U407">
        <f t="shared" si="81"/>
        <v>0</v>
      </c>
      <c r="V407" s="3">
        <f t="shared" si="82"/>
        <v>1</v>
      </c>
      <c r="W407" s="9">
        <f t="shared" si="83"/>
        <v>0</v>
      </c>
      <c r="AC407"/>
    </row>
    <row r="408" spans="1:29" x14ac:dyDescent="0.25">
      <c r="A408" t="s">
        <v>414</v>
      </c>
      <c r="B408">
        <v>4</v>
      </c>
      <c r="C408" t="s">
        <v>858</v>
      </c>
      <c r="D408" t="s">
        <v>477</v>
      </c>
      <c r="E408">
        <v>1</v>
      </c>
      <c r="F408">
        <v>8.02</v>
      </c>
      <c r="G408">
        <v>30.5809</v>
      </c>
      <c r="H408" t="s">
        <v>477</v>
      </c>
      <c r="I408" t="s">
        <v>477</v>
      </c>
      <c r="J408" t="s">
        <v>16</v>
      </c>
      <c r="K408">
        <f t="shared" si="72"/>
        <v>115.58999999999999</v>
      </c>
      <c r="L408">
        <f t="shared" si="73"/>
        <v>432.42160000000007</v>
      </c>
      <c r="M408" t="str">
        <f t="shared" si="74"/>
        <v>scott-4</v>
      </c>
      <c r="N408" t="str">
        <f>INDEX(Scores!$A$2:$A$11,INDEX(Scores!$AA$2:$AA$131,MATCH(C408,Scores!$AB$2:$AB$131,0)))</f>
        <v>scott</v>
      </c>
      <c r="O408">
        <f t="shared" si="75"/>
        <v>113.07</v>
      </c>
      <c r="P408">
        <f t="shared" si="76"/>
        <v>452.41279999999995</v>
      </c>
      <c r="Q408" s="3">
        <f t="shared" si="77"/>
        <v>0.53375673014127667</v>
      </c>
      <c r="R408" s="3">
        <f t="shared" si="78"/>
        <v>0.43881906817502525</v>
      </c>
      <c r="S408" s="9">
        <f t="shared" si="79"/>
        <v>-9.4937661966251419E-2</v>
      </c>
      <c r="T408">
        <f t="shared" si="80"/>
        <v>104</v>
      </c>
      <c r="U408">
        <f t="shared" si="81"/>
        <v>88</v>
      </c>
      <c r="V408" s="3">
        <f t="shared" si="82"/>
        <v>0.99998427802780721</v>
      </c>
      <c r="W408" s="9">
        <f t="shared" si="83"/>
        <v>1.5721972192794809E-5</v>
      </c>
      <c r="AC408"/>
    </row>
    <row r="409" spans="1:29" x14ac:dyDescent="0.25">
      <c r="A409" t="s">
        <v>110</v>
      </c>
      <c r="B409">
        <v>6</v>
      </c>
      <c r="C409" t="s">
        <v>968</v>
      </c>
      <c r="D409" t="s">
        <v>473</v>
      </c>
      <c r="E409">
        <v>1</v>
      </c>
      <c r="F409">
        <v>11.21</v>
      </c>
      <c r="G409">
        <v>41.7316</v>
      </c>
      <c r="H409" t="s">
        <v>87</v>
      </c>
      <c r="I409" t="s">
        <v>87</v>
      </c>
      <c r="J409" t="s">
        <v>49</v>
      </c>
      <c r="K409">
        <f t="shared" si="72"/>
        <v>109.91000000000001</v>
      </c>
      <c r="L409">
        <f t="shared" si="73"/>
        <v>387.28550000000001</v>
      </c>
      <c r="M409" t="str">
        <f t="shared" si="74"/>
        <v>perry-6</v>
      </c>
      <c r="N409" t="str">
        <f>INDEX(Scores!$A$2:$A$11,INDEX(Scores!$AA$2:$AA$131,MATCH(C409,Scores!$AB$2:$AB$131,0)))</f>
        <v>perry</v>
      </c>
      <c r="O409">
        <f t="shared" si="75"/>
        <v>88.72</v>
      </c>
      <c r="P409">
        <f t="shared" si="76"/>
        <v>407.6961</v>
      </c>
      <c r="Q409" s="3">
        <f t="shared" si="77"/>
        <v>0.77383629678575794</v>
      </c>
      <c r="R409" s="3">
        <f t="shared" si="78"/>
        <v>0.65544642907724904</v>
      </c>
      <c r="S409" s="9">
        <f t="shared" si="79"/>
        <v>-0.1183898677085089</v>
      </c>
      <c r="T409">
        <f t="shared" si="80"/>
        <v>119</v>
      </c>
      <c r="U409">
        <f t="shared" si="81"/>
        <v>102</v>
      </c>
      <c r="V409" s="3">
        <f t="shared" si="82"/>
        <v>0.99998734818623558</v>
      </c>
      <c r="W409" s="9">
        <f t="shared" si="83"/>
        <v>1.2651813764419373E-5</v>
      </c>
      <c r="AC409"/>
    </row>
    <row r="410" spans="1:29" x14ac:dyDescent="0.25">
      <c r="A410" t="s">
        <v>121</v>
      </c>
      <c r="B410">
        <v>6</v>
      </c>
      <c r="C410" t="s">
        <v>920</v>
      </c>
      <c r="D410" t="s">
        <v>469</v>
      </c>
      <c r="E410">
        <v>5</v>
      </c>
      <c r="F410">
        <v>11.32</v>
      </c>
      <c r="G410">
        <v>35.880099999999999</v>
      </c>
      <c r="H410" t="s">
        <v>47</v>
      </c>
      <c r="I410" t="s">
        <v>47</v>
      </c>
      <c r="J410" t="s">
        <v>55</v>
      </c>
      <c r="K410">
        <f t="shared" si="72"/>
        <v>108.8</v>
      </c>
      <c r="L410">
        <f t="shared" si="73"/>
        <v>404.29040000000003</v>
      </c>
      <c r="M410" t="str">
        <f t="shared" si="74"/>
        <v>cory-6</v>
      </c>
      <c r="N410" t="str">
        <f>INDEX(Scores!$A$2:$A$11,INDEX(Scores!$AA$2:$AA$131,MATCH(C410,Scores!$AB$2:$AB$131,0)))</f>
        <v>cory</v>
      </c>
      <c r="O410">
        <f t="shared" si="75"/>
        <v>102.10000000000001</v>
      </c>
      <c r="P410">
        <f t="shared" si="76"/>
        <v>445.16630000000004</v>
      </c>
      <c r="Q410" s="3">
        <f t="shared" si="77"/>
        <v>0.59090810623639012</v>
      </c>
      <c r="R410" s="3">
        <f t="shared" si="78"/>
        <v>0.50531473470906696</v>
      </c>
      <c r="S410" s="9">
        <f t="shared" si="79"/>
        <v>-8.5593371527323159E-2</v>
      </c>
      <c r="T410">
        <f t="shared" si="80"/>
        <v>104</v>
      </c>
      <c r="U410">
        <f t="shared" si="81"/>
        <v>85</v>
      </c>
      <c r="V410" s="3">
        <f t="shared" si="82"/>
        <v>0.99998816098756393</v>
      </c>
      <c r="W410" s="9">
        <f t="shared" si="83"/>
        <v>1.1839012436065666E-5</v>
      </c>
      <c r="AC410"/>
    </row>
    <row r="411" spans="1:29" x14ac:dyDescent="0.25">
      <c r="A411" t="s">
        <v>156</v>
      </c>
      <c r="B411">
        <v>2</v>
      </c>
      <c r="C411" t="s">
        <v>633</v>
      </c>
      <c r="D411" t="s">
        <v>472</v>
      </c>
      <c r="E411">
        <v>15</v>
      </c>
      <c r="F411">
        <v>6.47</v>
      </c>
      <c r="G411">
        <v>35.880099999999999</v>
      </c>
      <c r="H411" t="s">
        <v>87</v>
      </c>
      <c r="I411" t="s">
        <v>87</v>
      </c>
      <c r="J411" t="s">
        <v>35</v>
      </c>
      <c r="K411">
        <f t="shared" si="72"/>
        <v>100.92999999999999</v>
      </c>
      <c r="L411">
        <f t="shared" si="73"/>
        <v>374.85250000000002</v>
      </c>
      <c r="M411" t="str">
        <f t="shared" si="74"/>
        <v>scott-2</v>
      </c>
      <c r="N411" t="str">
        <f>INDEX(Scores!$A$2:$A$11,INDEX(Scores!$AA$2:$AA$131,MATCH(C411,Scores!$AB$2:$AB$131,0)))</f>
        <v>scott</v>
      </c>
      <c r="O411">
        <f t="shared" si="75"/>
        <v>103.25</v>
      </c>
      <c r="P411">
        <f t="shared" si="76"/>
        <v>377.00829999999996</v>
      </c>
      <c r="Q411" s="3">
        <f t="shared" si="77"/>
        <v>0.46628591266319391</v>
      </c>
      <c r="R411" s="3">
        <f t="shared" si="78"/>
        <v>0.59176273033443461</v>
      </c>
      <c r="S411" s="9">
        <f t="shared" si="79"/>
        <v>0.12547681767124069</v>
      </c>
      <c r="T411">
        <f t="shared" si="80"/>
        <v>140</v>
      </c>
      <c r="U411">
        <f t="shared" si="81"/>
        <v>106</v>
      </c>
      <c r="V411" s="3">
        <f t="shared" si="82"/>
        <v>0.99998941061366431</v>
      </c>
      <c r="W411" s="9">
        <f t="shared" si="83"/>
        <v>1.0589386335690953E-5</v>
      </c>
      <c r="AC411"/>
    </row>
    <row r="412" spans="1:29" x14ac:dyDescent="0.25">
      <c r="A412" t="s">
        <v>203</v>
      </c>
      <c r="B412">
        <v>12</v>
      </c>
      <c r="C412" t="s">
        <v>966</v>
      </c>
      <c r="D412" t="s">
        <v>472</v>
      </c>
      <c r="E412">
        <v>26</v>
      </c>
      <c r="F412">
        <v>8.06</v>
      </c>
      <c r="G412">
        <v>34.692100000000003</v>
      </c>
      <c r="H412" t="s">
        <v>87</v>
      </c>
      <c r="I412" t="s">
        <v>87</v>
      </c>
      <c r="J412" t="s">
        <v>23</v>
      </c>
      <c r="K412">
        <f t="shared" si="72"/>
        <v>117.67999999999999</v>
      </c>
      <c r="L412">
        <f t="shared" si="73"/>
        <v>426.54240000000004</v>
      </c>
      <c r="M412" t="str">
        <f t="shared" si="74"/>
        <v>scott-12</v>
      </c>
      <c r="N412" t="str">
        <f>INDEX(Scores!$A$2:$A$11,INDEX(Scores!$AA$2:$AA$131,MATCH(C412,Scores!$AB$2:$AB$131,0)))</f>
        <v>scott</v>
      </c>
      <c r="O412">
        <f t="shared" si="75"/>
        <v>109.82</v>
      </c>
      <c r="P412">
        <f t="shared" si="76"/>
        <v>367.76499999999999</v>
      </c>
      <c r="Q412" s="3">
        <f t="shared" si="77"/>
        <v>0.60983422019767153</v>
      </c>
      <c r="R412" s="3">
        <f t="shared" si="78"/>
        <v>0.82538948632448905</v>
      </c>
      <c r="S412" s="9">
        <f t="shared" si="79"/>
        <v>0.21555526612681752</v>
      </c>
      <c r="T412">
        <f t="shared" si="80"/>
        <v>131</v>
      </c>
      <c r="U412">
        <f t="shared" si="81"/>
        <v>88</v>
      </c>
      <c r="V412" s="3">
        <f t="shared" si="82"/>
        <v>0.99998953207251295</v>
      </c>
      <c r="W412" s="9">
        <f t="shared" si="83"/>
        <v>1.0467927487045614E-5</v>
      </c>
      <c r="AC412"/>
    </row>
    <row r="413" spans="1:29" x14ac:dyDescent="0.25">
      <c r="A413" t="s">
        <v>176</v>
      </c>
      <c r="B413">
        <v>6</v>
      </c>
      <c r="C413" t="s">
        <v>968</v>
      </c>
      <c r="D413" t="s">
        <v>475</v>
      </c>
      <c r="E413">
        <v>2</v>
      </c>
      <c r="F413">
        <v>6.33</v>
      </c>
      <c r="G413">
        <v>24.900099999999998</v>
      </c>
      <c r="H413" t="s">
        <v>114</v>
      </c>
      <c r="I413" t="s">
        <v>114</v>
      </c>
      <c r="J413" t="s">
        <v>49</v>
      </c>
      <c r="K413">
        <f t="shared" si="72"/>
        <v>109.91000000000001</v>
      </c>
      <c r="L413">
        <f t="shared" si="73"/>
        <v>387.28550000000001</v>
      </c>
      <c r="M413" t="str">
        <f t="shared" si="74"/>
        <v>perry-6</v>
      </c>
      <c r="N413" t="str">
        <f>INDEX(Scores!$A$2:$A$11,INDEX(Scores!$AA$2:$AA$131,MATCH(C413,Scores!$AB$2:$AB$131,0)))</f>
        <v>perry</v>
      </c>
      <c r="O413">
        <f t="shared" si="75"/>
        <v>88.72</v>
      </c>
      <c r="P413">
        <f t="shared" si="76"/>
        <v>407.6961</v>
      </c>
      <c r="Q413" s="3">
        <f t="shared" si="77"/>
        <v>0.77383629678575794</v>
      </c>
      <c r="R413" s="3">
        <f t="shared" si="78"/>
        <v>0.7282603554655076</v>
      </c>
      <c r="S413" s="9">
        <f t="shared" si="79"/>
        <v>-4.5575941320250335E-2</v>
      </c>
      <c r="T413">
        <f t="shared" si="80"/>
        <v>119</v>
      </c>
      <c r="U413">
        <f t="shared" si="81"/>
        <v>102</v>
      </c>
      <c r="V413" s="3">
        <f t="shared" si="82"/>
        <v>0.99999042377509484</v>
      </c>
      <c r="W413" s="9">
        <f t="shared" si="83"/>
        <v>9.5762249051611903E-6</v>
      </c>
      <c r="AC413"/>
    </row>
    <row r="414" spans="1:29" x14ac:dyDescent="0.25">
      <c r="A414" t="s">
        <v>175</v>
      </c>
      <c r="B414">
        <v>10</v>
      </c>
      <c r="C414" t="s">
        <v>948</v>
      </c>
      <c r="D414" t="s">
        <v>471</v>
      </c>
      <c r="E414">
        <v>6</v>
      </c>
      <c r="F414">
        <v>6.8</v>
      </c>
      <c r="G414">
        <v>25.8064</v>
      </c>
      <c r="H414" t="s">
        <v>87</v>
      </c>
      <c r="I414" t="s">
        <v>87</v>
      </c>
      <c r="J414" t="s">
        <v>62</v>
      </c>
      <c r="K414">
        <f t="shared" si="72"/>
        <v>103.91999999999999</v>
      </c>
      <c r="L414">
        <f t="shared" si="73"/>
        <v>398.26569999999992</v>
      </c>
      <c r="M414" t="str">
        <f t="shared" si="74"/>
        <v>aj-10</v>
      </c>
      <c r="N414" t="str">
        <f>INDEX(Scores!$A$2:$A$11,INDEX(Scores!$AA$2:$AA$131,MATCH(C414,Scores!$AB$2:$AB$131,0)))</f>
        <v>aj</v>
      </c>
      <c r="O414">
        <f t="shared" si="75"/>
        <v>110.08000000000001</v>
      </c>
      <c r="P414">
        <f t="shared" si="76"/>
        <v>372.64320000000004</v>
      </c>
      <c r="Q414" s="3">
        <f t="shared" si="77"/>
        <v>0.41221140040071919</v>
      </c>
      <c r="R414" s="3">
        <f t="shared" si="78"/>
        <v>0.39937038138075093</v>
      </c>
      <c r="S414" s="9">
        <f t="shared" si="79"/>
        <v>-1.2841019019968258E-2</v>
      </c>
      <c r="T414">
        <f t="shared" si="80"/>
        <v>103</v>
      </c>
      <c r="U414">
        <f t="shared" si="81"/>
        <v>82</v>
      </c>
      <c r="V414" s="3">
        <f t="shared" si="82"/>
        <v>0.99999112003604296</v>
      </c>
      <c r="W414" s="9">
        <f t="shared" si="83"/>
        <v>8.8799639570424915E-6</v>
      </c>
      <c r="AC414"/>
    </row>
    <row r="415" spans="1:29" x14ac:dyDescent="0.25">
      <c r="A415" t="s">
        <v>449</v>
      </c>
      <c r="B415">
        <v>7</v>
      </c>
      <c r="C415" t="s">
        <v>913</v>
      </c>
      <c r="D415" t="s">
        <v>478</v>
      </c>
      <c r="E415">
        <v>-5</v>
      </c>
      <c r="F415">
        <v>8.2799999999999994</v>
      </c>
      <c r="G415">
        <v>16.160399999999999</v>
      </c>
      <c r="H415" t="s">
        <v>478</v>
      </c>
      <c r="I415" t="s">
        <v>478</v>
      </c>
      <c r="J415" t="s">
        <v>16</v>
      </c>
      <c r="K415">
        <f t="shared" si="72"/>
        <v>86.09</v>
      </c>
      <c r="L415">
        <f t="shared" si="73"/>
        <v>350.80079999999998</v>
      </c>
      <c r="M415" t="str">
        <f t="shared" si="74"/>
        <v>seth-7</v>
      </c>
      <c r="N415" t="str">
        <f>INDEX(Scores!$A$2:$A$11,INDEX(Scores!$AA$2:$AA$131,MATCH(C415,Scores!$AB$2:$AB$131,0)))</f>
        <v>seth</v>
      </c>
      <c r="O415">
        <f t="shared" si="75"/>
        <v>96.25</v>
      </c>
      <c r="P415">
        <f t="shared" si="76"/>
        <v>294.3</v>
      </c>
      <c r="Q415" s="3">
        <f t="shared" si="77"/>
        <v>0.34457149944219723</v>
      </c>
      <c r="R415" s="3">
        <f t="shared" si="78"/>
        <v>0.1749822150490136</v>
      </c>
      <c r="S415" s="9">
        <f t="shared" si="79"/>
        <v>-0.16958928439318363</v>
      </c>
      <c r="T415">
        <f t="shared" si="80"/>
        <v>85</v>
      </c>
      <c r="U415">
        <f t="shared" si="81"/>
        <v>81</v>
      </c>
      <c r="V415" s="3">
        <f t="shared" si="82"/>
        <v>0.99999140239437223</v>
      </c>
      <c r="W415" s="9">
        <f t="shared" si="83"/>
        <v>8.5976056277692336E-6</v>
      </c>
      <c r="AC415"/>
    </row>
    <row r="416" spans="1:29" x14ac:dyDescent="0.25">
      <c r="A416" t="s">
        <v>93</v>
      </c>
      <c r="B416">
        <v>2</v>
      </c>
      <c r="C416" t="s">
        <v>618</v>
      </c>
      <c r="D416" t="s">
        <v>471</v>
      </c>
      <c r="E416">
        <v>10</v>
      </c>
      <c r="F416">
        <v>12.73</v>
      </c>
      <c r="G416">
        <v>64.9636</v>
      </c>
      <c r="H416" t="s">
        <v>87</v>
      </c>
      <c r="I416" t="s">
        <v>87</v>
      </c>
      <c r="J416" t="s">
        <v>16</v>
      </c>
      <c r="K416">
        <f t="shared" si="72"/>
        <v>102.7</v>
      </c>
      <c r="L416">
        <f t="shared" si="73"/>
        <v>377.5104</v>
      </c>
      <c r="M416" t="str">
        <f t="shared" si="74"/>
        <v>comp-2</v>
      </c>
      <c r="N416" t="str">
        <f>INDEX(Scores!$A$2:$A$11,INDEX(Scores!$AA$2:$AA$131,MATCH(C416,Scores!$AB$2:$AB$131,0)))</f>
        <v>comp</v>
      </c>
      <c r="O416">
        <f t="shared" si="75"/>
        <v>103.61999999999999</v>
      </c>
      <c r="P416">
        <f t="shared" si="76"/>
        <v>357.30130000000003</v>
      </c>
      <c r="Q416" s="3">
        <f t="shared" si="77"/>
        <v>0.48646287329580978</v>
      </c>
      <c r="R416" s="3">
        <f t="shared" si="78"/>
        <v>0.44392399434277058</v>
      </c>
      <c r="S416" s="9">
        <f t="shared" si="79"/>
        <v>-4.2538878953039205E-2</v>
      </c>
      <c r="T416">
        <f t="shared" si="80"/>
        <v>97</v>
      </c>
      <c r="U416">
        <f t="shared" si="81"/>
        <v>65</v>
      </c>
      <c r="V416" s="3">
        <f t="shared" si="82"/>
        <v>0.99999179779757164</v>
      </c>
      <c r="W416" s="9">
        <f t="shared" si="83"/>
        <v>8.2022024283645578E-6</v>
      </c>
      <c r="AC416"/>
    </row>
    <row r="417" spans="1:29" x14ac:dyDescent="0.25">
      <c r="A417" t="s">
        <v>132</v>
      </c>
      <c r="B417">
        <v>13</v>
      </c>
      <c r="C417" t="s">
        <v>983</v>
      </c>
      <c r="D417" t="s">
        <v>469</v>
      </c>
      <c r="E417">
        <v>18</v>
      </c>
      <c r="F417">
        <v>10.07</v>
      </c>
      <c r="G417">
        <v>51.552399999999999</v>
      </c>
      <c r="H417" t="s">
        <v>47</v>
      </c>
      <c r="I417" t="s">
        <v>47</v>
      </c>
      <c r="J417" t="s">
        <v>44</v>
      </c>
      <c r="K417">
        <f t="shared" si="72"/>
        <v>93.77000000000001</v>
      </c>
      <c r="L417">
        <f t="shared" si="73"/>
        <v>387.786</v>
      </c>
      <c r="M417" t="str">
        <f t="shared" si="74"/>
        <v>lucas-13</v>
      </c>
      <c r="N417" t="str">
        <f>INDEX(Scores!$A$2:$A$11,INDEX(Scores!$AA$2:$AA$131,MATCH(C417,Scores!$AB$2:$AB$131,0)))</f>
        <v>lucas</v>
      </c>
      <c r="O417">
        <f t="shared" si="75"/>
        <v>0</v>
      </c>
      <c r="P417">
        <f t="shared" si="76"/>
        <v>0</v>
      </c>
      <c r="Q417" s="3">
        <f t="shared" si="77"/>
        <v>0.9999990404590926</v>
      </c>
      <c r="R417" s="3">
        <f t="shared" si="78"/>
        <v>0.99999998540794655</v>
      </c>
      <c r="S417" s="9">
        <f t="shared" si="79"/>
        <v>9.4494885394258432E-7</v>
      </c>
      <c r="T417">
        <f t="shared" si="80"/>
        <v>98</v>
      </c>
      <c r="U417">
        <f t="shared" si="81"/>
        <v>0</v>
      </c>
      <c r="V417" s="3">
        <f t="shared" si="82"/>
        <v>1</v>
      </c>
      <c r="W417" s="9">
        <f t="shared" si="83"/>
        <v>0</v>
      </c>
      <c r="AC417"/>
    </row>
    <row r="418" spans="1:29" x14ac:dyDescent="0.25">
      <c r="A418" t="s">
        <v>151</v>
      </c>
      <c r="B418">
        <v>1</v>
      </c>
      <c r="C418" t="s">
        <v>501</v>
      </c>
      <c r="D418" t="s">
        <v>475</v>
      </c>
      <c r="E418">
        <v>4</v>
      </c>
      <c r="F418">
        <v>8.5</v>
      </c>
      <c r="G418">
        <v>29.3764</v>
      </c>
      <c r="H418" t="s">
        <v>114</v>
      </c>
      <c r="I418" t="s">
        <v>114</v>
      </c>
      <c r="J418" t="s">
        <v>62</v>
      </c>
      <c r="K418">
        <f t="shared" si="72"/>
        <v>101.75</v>
      </c>
      <c r="L418">
        <f t="shared" si="73"/>
        <v>333.15260000000001</v>
      </c>
      <c r="M418" t="str">
        <f t="shared" si="74"/>
        <v>matty-1</v>
      </c>
      <c r="N418" t="str">
        <f>INDEX(Scores!$A$2:$A$11,INDEX(Scores!$AA$2:$AA$131,MATCH(C418,Scores!$AB$2:$AB$131,0)))</f>
        <v>matty</v>
      </c>
      <c r="O418">
        <f t="shared" si="75"/>
        <v>96.11</v>
      </c>
      <c r="P418">
        <f t="shared" si="76"/>
        <v>397.37959999999998</v>
      </c>
      <c r="Q418" s="3">
        <f t="shared" si="77"/>
        <v>0.58264695809701372</v>
      </c>
      <c r="R418" s="3">
        <f t="shared" si="78"/>
        <v>0.51717012696936127</v>
      </c>
      <c r="S418" s="9">
        <f t="shared" si="79"/>
        <v>-6.5476831127652457E-2</v>
      </c>
      <c r="T418">
        <f t="shared" si="80"/>
        <v>95</v>
      </c>
      <c r="U418">
        <f t="shared" si="81"/>
        <v>76</v>
      </c>
      <c r="V418" s="3">
        <f t="shared" si="82"/>
        <v>0.99999273823321322</v>
      </c>
      <c r="W418" s="9">
        <f t="shared" si="83"/>
        <v>7.2617667867813651E-6</v>
      </c>
      <c r="AC418"/>
    </row>
    <row r="419" spans="1:29" x14ac:dyDescent="0.25">
      <c r="A419" t="s">
        <v>124</v>
      </c>
      <c r="B419">
        <v>4</v>
      </c>
      <c r="C419" t="s">
        <v>864</v>
      </c>
      <c r="D419" t="s">
        <v>472</v>
      </c>
      <c r="E419">
        <v>3</v>
      </c>
      <c r="F419">
        <v>11.32</v>
      </c>
      <c r="G419">
        <v>51.696100000000001</v>
      </c>
      <c r="H419" t="s">
        <v>87</v>
      </c>
      <c r="I419" t="s">
        <v>87</v>
      </c>
      <c r="J419" t="s">
        <v>49</v>
      </c>
      <c r="K419">
        <f t="shared" si="72"/>
        <v>109.71999999999998</v>
      </c>
      <c r="L419">
        <f t="shared" si="73"/>
        <v>421.03860000000003</v>
      </c>
      <c r="M419" t="str">
        <f t="shared" si="74"/>
        <v>lucas-4</v>
      </c>
      <c r="N419" t="str">
        <f>INDEX(Scores!$A$2:$A$11,INDEX(Scores!$AA$2:$AA$131,MATCH(C419,Scores!$AB$2:$AB$131,0)))</f>
        <v>lucas</v>
      </c>
      <c r="O419">
        <f t="shared" si="75"/>
        <v>0</v>
      </c>
      <c r="P419">
        <f t="shared" si="76"/>
        <v>0</v>
      </c>
      <c r="Q419" s="3">
        <f t="shared" si="77"/>
        <v>0.99999995533253605</v>
      </c>
      <c r="R419" s="3">
        <f t="shared" si="78"/>
        <v>0.99999993406394261</v>
      </c>
      <c r="S419" s="9">
        <f t="shared" si="79"/>
        <v>-2.1268593441980954E-8</v>
      </c>
      <c r="T419">
        <f t="shared" si="80"/>
        <v>92</v>
      </c>
      <c r="U419">
        <f t="shared" si="81"/>
        <v>0</v>
      </c>
      <c r="V419" s="3">
        <f t="shared" si="82"/>
        <v>1</v>
      </c>
      <c r="W419" s="9">
        <f t="shared" si="83"/>
        <v>0</v>
      </c>
      <c r="AC419"/>
    </row>
    <row r="420" spans="1:29" x14ac:dyDescent="0.25">
      <c r="A420" t="s">
        <v>70</v>
      </c>
      <c r="B420">
        <v>4</v>
      </c>
      <c r="C420" t="s">
        <v>864</v>
      </c>
      <c r="D420" t="s">
        <v>467</v>
      </c>
      <c r="E420">
        <v>10</v>
      </c>
      <c r="F420">
        <v>16.89</v>
      </c>
      <c r="G420">
        <v>47.059600000000003</v>
      </c>
      <c r="H420" t="s">
        <v>15</v>
      </c>
      <c r="I420" t="s">
        <v>15</v>
      </c>
      <c r="J420" t="s">
        <v>49</v>
      </c>
      <c r="K420">
        <f t="shared" si="72"/>
        <v>109.71999999999998</v>
      </c>
      <c r="L420">
        <f t="shared" si="73"/>
        <v>421.03860000000003</v>
      </c>
      <c r="M420" t="str">
        <f t="shared" si="74"/>
        <v>lucas-4</v>
      </c>
      <c r="N420" t="str">
        <f>INDEX(Scores!$A$2:$A$11,INDEX(Scores!$AA$2:$AA$131,MATCH(C420,Scores!$AB$2:$AB$131,0)))</f>
        <v>lucas</v>
      </c>
      <c r="O420">
        <f t="shared" si="75"/>
        <v>0</v>
      </c>
      <c r="P420">
        <f t="shared" si="76"/>
        <v>0</v>
      </c>
      <c r="Q420" s="3">
        <f t="shared" si="77"/>
        <v>0.99999995533253605</v>
      </c>
      <c r="R420" s="3">
        <f t="shared" si="78"/>
        <v>0.99999994735876185</v>
      </c>
      <c r="S420" s="9">
        <f t="shared" si="79"/>
        <v>-7.9737741964791553E-9</v>
      </c>
      <c r="T420">
        <f t="shared" si="80"/>
        <v>92</v>
      </c>
      <c r="U420">
        <f t="shared" si="81"/>
        <v>0</v>
      </c>
      <c r="V420" s="3">
        <f t="shared" si="82"/>
        <v>1</v>
      </c>
      <c r="W420" s="9">
        <f t="shared" si="83"/>
        <v>0</v>
      </c>
      <c r="AC420"/>
    </row>
    <row r="421" spans="1:29" x14ac:dyDescent="0.25">
      <c r="A421" t="s">
        <v>118</v>
      </c>
      <c r="B421">
        <v>8</v>
      </c>
      <c r="C421" t="s">
        <v>930</v>
      </c>
      <c r="D421" t="s">
        <v>475</v>
      </c>
      <c r="E421">
        <v>0</v>
      </c>
      <c r="F421">
        <v>6.97</v>
      </c>
      <c r="G421">
        <v>25.300899999999999</v>
      </c>
      <c r="H421" t="s">
        <v>114</v>
      </c>
      <c r="I421" t="s">
        <v>114</v>
      </c>
      <c r="J421" t="s">
        <v>35</v>
      </c>
      <c r="K421">
        <f t="shared" si="72"/>
        <v>102.43</v>
      </c>
      <c r="L421">
        <f t="shared" si="73"/>
        <v>452.86560000000003</v>
      </c>
      <c r="M421" t="str">
        <f t="shared" si="74"/>
        <v>seth-8</v>
      </c>
      <c r="N421" t="str">
        <f>INDEX(Scores!$A$2:$A$11,INDEX(Scores!$AA$2:$AA$131,MATCH(C421,Scores!$AB$2:$AB$131,0)))</f>
        <v>seth</v>
      </c>
      <c r="O421">
        <f t="shared" si="75"/>
        <v>96.57</v>
      </c>
      <c r="P421">
        <f t="shared" si="76"/>
        <v>368.03749999999997</v>
      </c>
      <c r="Q421" s="3">
        <f t="shared" si="77"/>
        <v>0.58102934018980379</v>
      </c>
      <c r="R421" s="3">
        <f t="shared" si="78"/>
        <v>0.48430457881923672</v>
      </c>
      <c r="S421" s="9">
        <f t="shared" si="79"/>
        <v>-9.6724761370567069E-2</v>
      </c>
      <c r="T421">
        <f t="shared" si="80"/>
        <v>100</v>
      </c>
      <c r="U421">
        <f t="shared" si="81"/>
        <v>85</v>
      </c>
      <c r="V421" s="3">
        <f t="shared" si="82"/>
        <v>0.99999372458886981</v>
      </c>
      <c r="W421" s="9">
        <f t="shared" si="83"/>
        <v>6.275411130185482E-6</v>
      </c>
      <c r="AC421"/>
    </row>
    <row r="422" spans="1:29" x14ac:dyDescent="0.25">
      <c r="A422" t="s">
        <v>200</v>
      </c>
      <c r="B422">
        <v>7</v>
      </c>
      <c r="C422" t="s">
        <v>961</v>
      </c>
      <c r="D422" t="s">
        <v>475</v>
      </c>
      <c r="E422">
        <v>2</v>
      </c>
      <c r="F422">
        <v>5.31</v>
      </c>
      <c r="G422">
        <v>13.8384</v>
      </c>
      <c r="H422" t="s">
        <v>114</v>
      </c>
      <c r="I422" t="s">
        <v>114</v>
      </c>
      <c r="J422" t="s">
        <v>23</v>
      </c>
      <c r="K422">
        <f t="shared" si="72"/>
        <v>103.81000000000002</v>
      </c>
      <c r="L422">
        <f t="shared" si="73"/>
        <v>404.20889999999997</v>
      </c>
      <c r="M422" t="str">
        <f t="shared" si="74"/>
        <v>chad-7</v>
      </c>
      <c r="N422" t="str">
        <f>INDEX(Scores!$A$2:$A$11,INDEX(Scores!$AA$2:$AA$131,MATCH(C422,Scores!$AB$2:$AB$131,0)))</f>
        <v>chad</v>
      </c>
      <c r="O422">
        <f t="shared" si="75"/>
        <v>99.759999999999991</v>
      </c>
      <c r="P422">
        <f t="shared" si="76"/>
        <v>339.923</v>
      </c>
      <c r="Q422" s="3">
        <f t="shared" si="77"/>
        <v>0.55901290364123501</v>
      </c>
      <c r="R422" s="3">
        <f t="shared" si="78"/>
        <v>0.51092292107862558</v>
      </c>
      <c r="S422" s="9">
        <f t="shared" si="79"/>
        <v>-4.8089982562609435E-2</v>
      </c>
      <c r="T422">
        <f t="shared" si="80"/>
        <v>115</v>
      </c>
      <c r="U422">
        <f t="shared" si="81"/>
        <v>102</v>
      </c>
      <c r="V422" s="3">
        <f t="shared" si="82"/>
        <v>0.99999418493507297</v>
      </c>
      <c r="W422" s="9">
        <f t="shared" si="83"/>
        <v>5.8150649270283239E-6</v>
      </c>
      <c r="AC422"/>
    </row>
    <row r="423" spans="1:29" x14ac:dyDescent="0.25">
      <c r="A423" t="s">
        <v>100</v>
      </c>
      <c r="B423">
        <v>11</v>
      </c>
      <c r="C423" t="s">
        <v>965</v>
      </c>
      <c r="D423" t="s">
        <v>473</v>
      </c>
      <c r="E423">
        <v>9</v>
      </c>
      <c r="F423">
        <v>11.28</v>
      </c>
      <c r="G423">
        <v>71.910399999999996</v>
      </c>
      <c r="H423" t="s">
        <v>87</v>
      </c>
      <c r="I423" t="s">
        <v>87</v>
      </c>
      <c r="J423" t="s">
        <v>23</v>
      </c>
      <c r="K423">
        <f t="shared" si="72"/>
        <v>104.20000000000002</v>
      </c>
      <c r="L423">
        <f t="shared" si="73"/>
        <v>377.06489999999997</v>
      </c>
      <c r="M423" t="str">
        <f t="shared" si="74"/>
        <v>lucas-11</v>
      </c>
      <c r="N423" t="str">
        <f>INDEX(Scores!$A$2:$A$11,INDEX(Scores!$AA$2:$AA$131,MATCH(C423,Scores!$AB$2:$AB$131,0)))</f>
        <v>lucas</v>
      </c>
      <c r="O423">
        <f t="shared" si="75"/>
        <v>0</v>
      </c>
      <c r="P423">
        <f t="shared" si="76"/>
        <v>0</v>
      </c>
      <c r="Q423" s="3">
        <f t="shared" si="77"/>
        <v>0.99999995977381673</v>
      </c>
      <c r="R423" s="3">
        <f t="shared" si="78"/>
        <v>0.99999999730149935</v>
      </c>
      <c r="S423" s="9">
        <f t="shared" si="79"/>
        <v>3.7527682628102355E-8</v>
      </c>
      <c r="T423">
        <f t="shared" si="80"/>
        <v>85</v>
      </c>
      <c r="U423">
        <f t="shared" si="81"/>
        <v>0</v>
      </c>
      <c r="V423" s="3">
        <f t="shared" si="82"/>
        <v>1</v>
      </c>
      <c r="W423" s="9">
        <f t="shared" si="83"/>
        <v>0</v>
      </c>
      <c r="AC423"/>
    </row>
    <row r="424" spans="1:29" x14ac:dyDescent="0.25">
      <c r="A424" t="s">
        <v>450</v>
      </c>
      <c r="B424">
        <v>6</v>
      </c>
      <c r="C424" t="s">
        <v>936</v>
      </c>
      <c r="D424" t="s">
        <v>478</v>
      </c>
      <c r="E424">
        <v>6</v>
      </c>
      <c r="F424">
        <v>8.99</v>
      </c>
      <c r="G424">
        <v>25</v>
      </c>
      <c r="H424" t="s">
        <v>478</v>
      </c>
      <c r="I424" t="s">
        <v>478</v>
      </c>
      <c r="J424" t="s">
        <v>27</v>
      </c>
      <c r="K424">
        <f t="shared" si="72"/>
        <v>104.66</v>
      </c>
      <c r="L424">
        <f t="shared" si="73"/>
        <v>375.94899999999996</v>
      </c>
      <c r="M424" t="str">
        <f t="shared" si="74"/>
        <v>devon-6</v>
      </c>
      <c r="N424" t="str">
        <f>INDEX(Scores!$A$2:$A$11,INDEX(Scores!$AA$2:$AA$131,MATCH(C424,Scores!$AB$2:$AB$131,0)))</f>
        <v>devon</v>
      </c>
      <c r="O424">
        <f t="shared" si="75"/>
        <v>101.41999999999999</v>
      </c>
      <c r="P424">
        <f t="shared" si="76"/>
        <v>401.13359999999994</v>
      </c>
      <c r="Q424" s="3">
        <f t="shared" si="77"/>
        <v>0.54626414609906893</v>
      </c>
      <c r="R424" s="3">
        <f t="shared" si="78"/>
        <v>0.50363673192344161</v>
      </c>
      <c r="S424" s="9">
        <f t="shared" si="79"/>
        <v>-4.2627414175627321E-2</v>
      </c>
      <c r="T424">
        <f t="shared" si="80"/>
        <v>91</v>
      </c>
      <c r="U424">
        <f t="shared" si="81"/>
        <v>72</v>
      </c>
      <c r="V424" s="3">
        <f t="shared" si="82"/>
        <v>0.99999453735104415</v>
      </c>
      <c r="W424" s="9">
        <f t="shared" si="83"/>
        <v>5.4626489558451397E-6</v>
      </c>
      <c r="AC424"/>
    </row>
    <row r="425" spans="1:29" x14ac:dyDescent="0.25">
      <c r="A425" t="s">
        <v>134</v>
      </c>
      <c r="B425">
        <v>4</v>
      </c>
      <c r="C425" t="s">
        <v>858</v>
      </c>
      <c r="D425" t="s">
        <v>473</v>
      </c>
      <c r="E425">
        <v>4</v>
      </c>
      <c r="F425">
        <v>10.54</v>
      </c>
      <c r="G425">
        <v>26.214400000000001</v>
      </c>
      <c r="H425" t="s">
        <v>87</v>
      </c>
      <c r="I425" t="s">
        <v>87</v>
      </c>
      <c r="J425" t="s">
        <v>16</v>
      </c>
      <c r="K425">
        <f t="shared" si="72"/>
        <v>115.58999999999999</v>
      </c>
      <c r="L425">
        <f t="shared" si="73"/>
        <v>432.42160000000007</v>
      </c>
      <c r="M425" t="str">
        <f t="shared" si="74"/>
        <v>scott-4</v>
      </c>
      <c r="N425" t="str">
        <f>INDEX(Scores!$A$2:$A$11,INDEX(Scores!$AA$2:$AA$131,MATCH(C425,Scores!$AB$2:$AB$131,0)))</f>
        <v>scott</v>
      </c>
      <c r="O425">
        <f t="shared" si="75"/>
        <v>113.07</v>
      </c>
      <c r="P425">
        <f t="shared" si="76"/>
        <v>452.41279999999995</v>
      </c>
      <c r="Q425" s="3">
        <f t="shared" si="77"/>
        <v>0.53375673014127667</v>
      </c>
      <c r="R425" s="3">
        <f t="shared" si="78"/>
        <v>0.44543992089620582</v>
      </c>
      <c r="S425" s="9">
        <f t="shared" si="79"/>
        <v>-8.8316809245070849E-2</v>
      </c>
      <c r="T425">
        <f t="shared" si="80"/>
        <v>104</v>
      </c>
      <c r="U425">
        <f t="shared" si="81"/>
        <v>88</v>
      </c>
      <c r="V425" s="3">
        <f t="shared" si="82"/>
        <v>0.99999464561456097</v>
      </c>
      <c r="W425" s="9">
        <f t="shared" si="83"/>
        <v>5.3543854390269985E-6</v>
      </c>
      <c r="AC425"/>
    </row>
    <row r="426" spans="1:29" x14ac:dyDescent="0.25">
      <c r="A426" t="s">
        <v>90</v>
      </c>
      <c r="B426">
        <v>9</v>
      </c>
      <c r="C426" t="s">
        <v>907</v>
      </c>
      <c r="D426" t="s">
        <v>468</v>
      </c>
      <c r="E426">
        <v>5</v>
      </c>
      <c r="F426">
        <v>11.19</v>
      </c>
      <c r="G426">
        <v>40.322499999999998</v>
      </c>
      <c r="H426" t="s">
        <v>47</v>
      </c>
      <c r="I426" t="s">
        <v>47</v>
      </c>
      <c r="J426" t="s">
        <v>20</v>
      </c>
      <c r="K426">
        <f t="shared" si="72"/>
        <v>83.52</v>
      </c>
      <c r="L426">
        <f t="shared" si="73"/>
        <v>286.42129999999997</v>
      </c>
      <c r="M426" t="str">
        <f t="shared" si="74"/>
        <v>lucas-9</v>
      </c>
      <c r="N426" t="str">
        <f>INDEX(Scores!$A$2:$A$11,INDEX(Scores!$AA$2:$AA$131,MATCH(C426,Scores!$AB$2:$AB$131,0)))</f>
        <v>lucas</v>
      </c>
      <c r="O426">
        <f t="shared" si="75"/>
        <v>0</v>
      </c>
      <c r="P426">
        <f t="shared" si="76"/>
        <v>0</v>
      </c>
      <c r="Q426" s="3">
        <f t="shared" si="77"/>
        <v>0.9999995992619003</v>
      </c>
      <c r="R426" s="3">
        <f t="shared" si="78"/>
        <v>0.99999958756815743</v>
      </c>
      <c r="S426" s="9">
        <f t="shared" si="79"/>
        <v>-1.1693742862917134E-8</v>
      </c>
      <c r="T426">
        <f t="shared" si="80"/>
        <v>89</v>
      </c>
      <c r="U426">
        <f t="shared" si="81"/>
        <v>0</v>
      </c>
      <c r="V426" s="3">
        <f t="shared" si="82"/>
        <v>1</v>
      </c>
      <c r="W426" s="9">
        <f t="shared" si="83"/>
        <v>0</v>
      </c>
      <c r="AC426"/>
    </row>
    <row r="427" spans="1:29" x14ac:dyDescent="0.25">
      <c r="A427" t="s">
        <v>106</v>
      </c>
      <c r="B427">
        <v>2</v>
      </c>
      <c r="C427" t="s">
        <v>616</v>
      </c>
      <c r="D427" t="s">
        <v>472</v>
      </c>
      <c r="E427">
        <v>11</v>
      </c>
      <c r="F427">
        <v>10.1</v>
      </c>
      <c r="G427">
        <v>84.456100000000006</v>
      </c>
      <c r="H427" t="s">
        <v>87</v>
      </c>
      <c r="I427" t="s">
        <v>87</v>
      </c>
      <c r="J427" t="s">
        <v>23</v>
      </c>
      <c r="K427">
        <f t="shared" si="72"/>
        <v>104.79999999999998</v>
      </c>
      <c r="L427">
        <f t="shared" si="73"/>
        <v>455.48199999999997</v>
      </c>
      <c r="M427" t="str">
        <f t="shared" si="74"/>
        <v>lucas-2</v>
      </c>
      <c r="N427" t="str">
        <f>INDEX(Scores!$A$2:$A$11,INDEX(Scores!$AA$2:$AA$131,MATCH(C427,Scores!$AB$2:$AB$131,0)))</f>
        <v>lucas</v>
      </c>
      <c r="O427">
        <f t="shared" si="75"/>
        <v>0</v>
      </c>
      <c r="P427">
        <f t="shared" si="76"/>
        <v>0</v>
      </c>
      <c r="Q427" s="3">
        <f t="shared" si="77"/>
        <v>0.99999954577661365</v>
      </c>
      <c r="R427" s="3">
        <f t="shared" si="78"/>
        <v>0.99999997961448017</v>
      </c>
      <c r="S427" s="9">
        <f t="shared" si="79"/>
        <v>4.3383786652029244E-7</v>
      </c>
      <c r="T427">
        <f t="shared" si="80"/>
        <v>102</v>
      </c>
      <c r="U427">
        <f t="shared" si="81"/>
        <v>0</v>
      </c>
      <c r="V427" s="3">
        <f t="shared" si="82"/>
        <v>1</v>
      </c>
      <c r="W427" s="9">
        <f t="shared" si="83"/>
        <v>0</v>
      </c>
      <c r="AC427"/>
    </row>
    <row r="428" spans="1:29" x14ac:dyDescent="0.25">
      <c r="A428" t="s">
        <v>419</v>
      </c>
      <c r="B428">
        <v>4</v>
      </c>
      <c r="C428" t="s">
        <v>866</v>
      </c>
      <c r="D428" t="s">
        <v>477</v>
      </c>
      <c r="E428">
        <v>10</v>
      </c>
      <c r="F428">
        <v>9.19</v>
      </c>
      <c r="G428">
        <v>54.316899999999997</v>
      </c>
      <c r="H428" t="s">
        <v>477</v>
      </c>
      <c r="I428" t="s">
        <v>477</v>
      </c>
      <c r="J428" t="s">
        <v>55</v>
      </c>
      <c r="K428">
        <f t="shared" si="72"/>
        <v>118.09999999999998</v>
      </c>
      <c r="L428">
        <f t="shared" si="73"/>
        <v>465.47660000000008</v>
      </c>
      <c r="M428" t="str">
        <f t="shared" si="74"/>
        <v>comp-4</v>
      </c>
      <c r="N428" t="str">
        <f>INDEX(Scores!$A$2:$A$11,INDEX(Scores!$AA$2:$AA$131,MATCH(C428,Scores!$AB$2:$AB$131,0)))</f>
        <v>comp</v>
      </c>
      <c r="O428">
        <f t="shared" si="75"/>
        <v>103.70000000000002</v>
      </c>
      <c r="P428">
        <f t="shared" si="76"/>
        <v>412.10110000000003</v>
      </c>
      <c r="Q428" s="3">
        <f t="shared" si="77"/>
        <v>0.68654951827928645</v>
      </c>
      <c r="R428" s="3">
        <f t="shared" si="78"/>
        <v>0.70197983927071417</v>
      </c>
      <c r="S428" s="9">
        <f t="shared" si="79"/>
        <v>1.5430320991427715E-2</v>
      </c>
      <c r="T428">
        <f t="shared" si="80"/>
        <v>80</v>
      </c>
      <c r="U428">
        <f t="shared" si="81"/>
        <v>46</v>
      </c>
      <c r="V428" s="3">
        <f t="shared" si="82"/>
        <v>0.99999665613398714</v>
      </c>
      <c r="W428" s="9">
        <f t="shared" si="83"/>
        <v>3.3438660128615183E-6</v>
      </c>
      <c r="AC428"/>
    </row>
    <row r="429" spans="1:29" x14ac:dyDescent="0.25">
      <c r="A429" t="s">
        <v>414</v>
      </c>
      <c r="B429">
        <v>8</v>
      </c>
      <c r="C429" t="s">
        <v>922</v>
      </c>
      <c r="D429" t="s">
        <v>477</v>
      </c>
      <c r="E429">
        <v>21</v>
      </c>
      <c r="F429">
        <v>10.94</v>
      </c>
      <c r="G429">
        <v>37.945599999999999</v>
      </c>
      <c r="H429" t="s">
        <v>477</v>
      </c>
      <c r="I429" t="s">
        <v>477</v>
      </c>
      <c r="J429" t="s">
        <v>55</v>
      </c>
      <c r="K429">
        <f t="shared" si="72"/>
        <v>114.1</v>
      </c>
      <c r="L429">
        <f t="shared" si="73"/>
        <v>458.87900000000002</v>
      </c>
      <c r="M429" t="str">
        <f t="shared" si="74"/>
        <v>lucas-8</v>
      </c>
      <c r="N429" t="str">
        <f>INDEX(Scores!$A$2:$A$11,INDEX(Scores!$AA$2:$AA$131,MATCH(C429,Scores!$AB$2:$AB$131,0)))</f>
        <v>lucas</v>
      </c>
      <c r="O429">
        <f t="shared" si="75"/>
        <v>0</v>
      </c>
      <c r="P429">
        <f t="shared" si="76"/>
        <v>0</v>
      </c>
      <c r="Q429" s="3">
        <f t="shared" si="77"/>
        <v>0.99999994992018415</v>
      </c>
      <c r="R429" s="3">
        <f t="shared" si="78"/>
        <v>0.99999999928322636</v>
      </c>
      <c r="S429" s="9">
        <f t="shared" si="79"/>
        <v>4.9363042209371599E-8</v>
      </c>
      <c r="T429">
        <f t="shared" si="80"/>
        <v>113</v>
      </c>
      <c r="U429">
        <f t="shared" si="81"/>
        <v>0</v>
      </c>
      <c r="V429" s="3">
        <f t="shared" si="82"/>
        <v>1</v>
      </c>
      <c r="W429" s="9">
        <f t="shared" si="83"/>
        <v>0</v>
      </c>
      <c r="AC429"/>
    </row>
    <row r="430" spans="1:29" x14ac:dyDescent="0.25">
      <c r="A430" t="s">
        <v>257</v>
      </c>
      <c r="B430">
        <v>11</v>
      </c>
      <c r="C430" t="s">
        <v>965</v>
      </c>
      <c r="D430" t="s">
        <v>468</v>
      </c>
      <c r="E430">
        <v>19</v>
      </c>
      <c r="F430">
        <v>11.04</v>
      </c>
      <c r="G430">
        <v>35.521599999999999</v>
      </c>
      <c r="H430" t="s">
        <v>47</v>
      </c>
      <c r="I430" t="s">
        <v>47</v>
      </c>
      <c r="J430" t="s">
        <v>23</v>
      </c>
      <c r="K430">
        <f t="shared" si="72"/>
        <v>104.20000000000002</v>
      </c>
      <c r="L430">
        <f t="shared" si="73"/>
        <v>377.06489999999997</v>
      </c>
      <c r="M430" t="str">
        <f t="shared" si="74"/>
        <v>lucas-11</v>
      </c>
      <c r="N430" t="str">
        <f>INDEX(Scores!$A$2:$A$11,INDEX(Scores!$AA$2:$AA$131,MATCH(C430,Scores!$AB$2:$AB$131,0)))</f>
        <v>lucas</v>
      </c>
      <c r="O430">
        <f t="shared" si="75"/>
        <v>0</v>
      </c>
      <c r="P430">
        <f t="shared" si="76"/>
        <v>0</v>
      </c>
      <c r="Q430" s="3">
        <f t="shared" si="77"/>
        <v>0.99999995977381673</v>
      </c>
      <c r="R430" s="3">
        <f t="shared" si="78"/>
        <v>0.9999999993563411</v>
      </c>
      <c r="S430" s="9">
        <f t="shared" si="79"/>
        <v>3.9582524369308203E-8</v>
      </c>
      <c r="T430">
        <f t="shared" si="80"/>
        <v>85</v>
      </c>
      <c r="U430">
        <f t="shared" si="81"/>
        <v>0</v>
      </c>
      <c r="V430" s="3">
        <f t="shared" si="82"/>
        <v>1</v>
      </c>
      <c r="W430" s="9">
        <f t="shared" si="83"/>
        <v>0</v>
      </c>
      <c r="AC430"/>
    </row>
    <row r="431" spans="1:29" x14ac:dyDescent="0.25">
      <c r="A431" t="s">
        <v>227</v>
      </c>
      <c r="B431">
        <v>7</v>
      </c>
      <c r="C431" t="s">
        <v>905</v>
      </c>
      <c r="D431" t="s">
        <v>473</v>
      </c>
      <c r="E431">
        <v>1</v>
      </c>
      <c r="F431">
        <v>7.23</v>
      </c>
      <c r="G431">
        <v>26.01</v>
      </c>
      <c r="H431" t="s">
        <v>87</v>
      </c>
      <c r="I431" t="s">
        <v>87</v>
      </c>
      <c r="J431" t="s">
        <v>20</v>
      </c>
      <c r="K431">
        <f t="shared" si="72"/>
        <v>114.48000000000002</v>
      </c>
      <c r="L431">
        <f t="shared" si="73"/>
        <v>430.3667999999999</v>
      </c>
      <c r="M431" t="str">
        <f t="shared" si="74"/>
        <v>matty-7</v>
      </c>
      <c r="N431" t="str">
        <f>INDEX(Scores!$A$2:$A$11,INDEX(Scores!$AA$2:$AA$131,MATCH(C431,Scores!$AB$2:$AB$131,0)))</f>
        <v>matty</v>
      </c>
      <c r="O431">
        <f t="shared" si="75"/>
        <v>87.490000000000009</v>
      </c>
      <c r="P431">
        <f t="shared" si="76"/>
        <v>277.88929999999999</v>
      </c>
      <c r="Q431" s="3">
        <f t="shared" si="77"/>
        <v>0.84474748784368747</v>
      </c>
      <c r="R431" s="3">
        <f t="shared" si="78"/>
        <v>0.78663452076818219</v>
      </c>
      <c r="S431" s="9">
        <f t="shared" si="79"/>
        <v>-5.8112967075505284E-2</v>
      </c>
      <c r="T431">
        <f t="shared" si="80"/>
        <v>82</v>
      </c>
      <c r="U431">
        <f t="shared" si="81"/>
        <v>65</v>
      </c>
      <c r="V431" s="3">
        <f t="shared" si="82"/>
        <v>0.99999737949919809</v>
      </c>
      <c r="W431" s="9">
        <f t="shared" si="83"/>
        <v>2.6205008019086762E-6</v>
      </c>
      <c r="AC431"/>
    </row>
    <row r="432" spans="1:29" x14ac:dyDescent="0.25">
      <c r="A432" t="s">
        <v>449</v>
      </c>
      <c r="B432">
        <v>4</v>
      </c>
      <c r="C432" t="s">
        <v>858</v>
      </c>
      <c r="D432" t="s">
        <v>478</v>
      </c>
      <c r="E432">
        <v>5</v>
      </c>
      <c r="F432">
        <v>8.52</v>
      </c>
      <c r="G432">
        <v>18.3184</v>
      </c>
      <c r="H432" t="s">
        <v>478</v>
      </c>
      <c r="I432" t="s">
        <v>478</v>
      </c>
      <c r="J432" t="s">
        <v>16</v>
      </c>
      <c r="K432">
        <f t="shared" si="72"/>
        <v>115.58999999999999</v>
      </c>
      <c r="L432">
        <f t="shared" si="73"/>
        <v>432.42160000000007</v>
      </c>
      <c r="M432" t="str">
        <f t="shared" si="74"/>
        <v>scott-4</v>
      </c>
      <c r="N432" t="str">
        <f>INDEX(Scores!$A$2:$A$11,INDEX(Scores!$AA$2:$AA$131,MATCH(C432,Scores!$AB$2:$AB$131,0)))</f>
        <v>scott</v>
      </c>
      <c r="O432">
        <f t="shared" si="75"/>
        <v>113.07</v>
      </c>
      <c r="P432">
        <f t="shared" si="76"/>
        <v>452.41279999999995</v>
      </c>
      <c r="Q432" s="3">
        <f t="shared" si="77"/>
        <v>0.53375673014127667</v>
      </c>
      <c r="R432" s="3">
        <f t="shared" si="78"/>
        <v>0.48645003272210108</v>
      </c>
      <c r="S432" s="9">
        <f t="shared" si="79"/>
        <v>-4.7306697419175592E-2</v>
      </c>
      <c r="T432">
        <f t="shared" si="80"/>
        <v>104</v>
      </c>
      <c r="U432">
        <f t="shared" si="81"/>
        <v>88</v>
      </c>
      <c r="V432" s="3">
        <f t="shared" si="82"/>
        <v>0.99999745140978447</v>
      </c>
      <c r="W432" s="9">
        <f t="shared" si="83"/>
        <v>2.5485902155342188E-6</v>
      </c>
      <c r="AC432"/>
    </row>
    <row r="433" spans="1:29" x14ac:dyDescent="0.25">
      <c r="A433" t="s">
        <v>418</v>
      </c>
      <c r="B433">
        <v>7</v>
      </c>
      <c r="C433" t="s">
        <v>929</v>
      </c>
      <c r="D433" t="s">
        <v>477</v>
      </c>
      <c r="E433">
        <v>4</v>
      </c>
      <c r="F433">
        <v>8.31</v>
      </c>
      <c r="G433">
        <v>38.192399999999999</v>
      </c>
      <c r="H433" t="s">
        <v>477</v>
      </c>
      <c r="I433" t="s">
        <v>477</v>
      </c>
      <c r="J433" t="s">
        <v>35</v>
      </c>
      <c r="K433">
        <f t="shared" si="72"/>
        <v>106.81</v>
      </c>
      <c r="L433">
        <f t="shared" si="73"/>
        <v>351.64060000000001</v>
      </c>
      <c r="M433" t="str">
        <f t="shared" si="74"/>
        <v>aj-7</v>
      </c>
      <c r="N433" t="str">
        <f>INDEX(Scores!$A$2:$A$11,INDEX(Scores!$AA$2:$AA$131,MATCH(C433,Scores!$AB$2:$AB$131,0)))</f>
        <v>aj</v>
      </c>
      <c r="O433">
        <f t="shared" si="75"/>
        <v>114.01999999999998</v>
      </c>
      <c r="P433">
        <f t="shared" si="76"/>
        <v>381.58529999999996</v>
      </c>
      <c r="Q433" s="3">
        <f t="shared" si="77"/>
        <v>0.39501702421215146</v>
      </c>
      <c r="R433" s="3">
        <f t="shared" si="78"/>
        <v>0.33106728631321203</v>
      </c>
      <c r="S433" s="9">
        <f t="shared" si="79"/>
        <v>-6.3949737898939429E-2</v>
      </c>
      <c r="T433">
        <f t="shared" si="80"/>
        <v>117</v>
      </c>
      <c r="U433">
        <f t="shared" si="81"/>
        <v>93</v>
      </c>
      <c r="V433" s="3">
        <f t="shared" si="82"/>
        <v>0.99999768517209109</v>
      </c>
      <c r="W433" s="9">
        <f t="shared" si="83"/>
        <v>2.3148279089113544E-6</v>
      </c>
      <c r="AC433"/>
    </row>
    <row r="434" spans="1:29" x14ac:dyDescent="0.25">
      <c r="A434" t="s">
        <v>1108</v>
      </c>
      <c r="B434">
        <v>11</v>
      </c>
      <c r="C434" t="s">
        <v>925</v>
      </c>
      <c r="D434" t="s">
        <v>478</v>
      </c>
      <c r="E434">
        <v>9</v>
      </c>
      <c r="F434">
        <v>7.63</v>
      </c>
      <c r="G434">
        <v>16.483599999999999</v>
      </c>
      <c r="H434" t="s">
        <v>478</v>
      </c>
      <c r="I434" t="s">
        <v>478</v>
      </c>
      <c r="J434" t="s">
        <v>55</v>
      </c>
      <c r="K434">
        <f t="shared" si="72"/>
        <v>110.11</v>
      </c>
      <c r="L434">
        <f t="shared" si="73"/>
        <v>412.79880000000003</v>
      </c>
      <c r="M434" t="str">
        <f t="shared" si="74"/>
        <v>seth-11</v>
      </c>
      <c r="N434" t="str">
        <f>INDEX(Scores!$A$2:$A$11,INDEX(Scores!$AA$2:$AA$131,MATCH(C434,Scores!$AB$2:$AB$131,0)))</f>
        <v>seth</v>
      </c>
      <c r="O434">
        <f t="shared" si="75"/>
        <v>98.329999999999984</v>
      </c>
      <c r="P434">
        <f t="shared" si="76"/>
        <v>378.70709999999997</v>
      </c>
      <c r="Q434" s="3">
        <f t="shared" si="77"/>
        <v>0.66228767586387005</v>
      </c>
      <c r="R434" s="3">
        <f t="shared" si="78"/>
        <v>0.68166334368623649</v>
      </c>
      <c r="S434" s="9">
        <f t="shared" si="79"/>
        <v>1.9375667822366438E-2</v>
      </c>
      <c r="T434">
        <f t="shared" si="80"/>
        <v>131</v>
      </c>
      <c r="U434">
        <f t="shared" si="81"/>
        <v>111</v>
      </c>
      <c r="V434" s="3">
        <f t="shared" si="82"/>
        <v>0.99999776960470266</v>
      </c>
      <c r="W434" s="9">
        <f t="shared" si="83"/>
        <v>2.2303952973423691E-6</v>
      </c>
      <c r="AC434"/>
    </row>
    <row r="435" spans="1:29" x14ac:dyDescent="0.25">
      <c r="A435" t="s">
        <v>131</v>
      </c>
      <c r="B435">
        <v>7</v>
      </c>
      <c r="C435" t="s">
        <v>929</v>
      </c>
      <c r="D435" t="s">
        <v>466</v>
      </c>
      <c r="E435">
        <v>5</v>
      </c>
      <c r="F435">
        <v>10.57</v>
      </c>
      <c r="G435">
        <v>41.344900000000003</v>
      </c>
      <c r="H435" t="s">
        <v>466</v>
      </c>
      <c r="I435" t="s">
        <v>47</v>
      </c>
      <c r="J435" t="s">
        <v>35</v>
      </c>
      <c r="K435">
        <f t="shared" si="72"/>
        <v>106.81</v>
      </c>
      <c r="L435">
        <f t="shared" si="73"/>
        <v>351.64060000000001</v>
      </c>
      <c r="M435" t="str">
        <f t="shared" si="74"/>
        <v>aj-7</v>
      </c>
      <c r="N435" t="str">
        <f>INDEX(Scores!$A$2:$A$11,INDEX(Scores!$AA$2:$AA$131,MATCH(C435,Scores!$AB$2:$AB$131,0)))</f>
        <v>aj</v>
      </c>
      <c r="O435">
        <f t="shared" si="75"/>
        <v>114.01999999999998</v>
      </c>
      <c r="P435">
        <f t="shared" si="76"/>
        <v>381.58529999999996</v>
      </c>
      <c r="Q435" s="3">
        <f t="shared" si="77"/>
        <v>0.39501702421215146</v>
      </c>
      <c r="R435" s="3">
        <f t="shared" si="78"/>
        <v>0.31353162639353122</v>
      </c>
      <c r="S435" s="9">
        <f t="shared" si="79"/>
        <v>-8.1485397818620242E-2</v>
      </c>
      <c r="T435">
        <f t="shared" si="80"/>
        <v>117</v>
      </c>
      <c r="U435">
        <f t="shared" si="81"/>
        <v>93</v>
      </c>
      <c r="V435" s="3">
        <f t="shared" si="82"/>
        <v>0.99999787489220415</v>
      </c>
      <c r="W435" s="9">
        <f t="shared" si="83"/>
        <v>2.1251077958472919E-6</v>
      </c>
      <c r="AC435"/>
    </row>
    <row r="436" spans="1:29" x14ac:dyDescent="0.25">
      <c r="A436" t="s">
        <v>138</v>
      </c>
      <c r="B436">
        <v>13</v>
      </c>
      <c r="C436" t="s">
        <v>983</v>
      </c>
      <c r="D436" t="s">
        <v>468</v>
      </c>
      <c r="E436">
        <v>17</v>
      </c>
      <c r="F436">
        <v>13.52</v>
      </c>
      <c r="G436">
        <v>59.598399999999998</v>
      </c>
      <c r="H436" t="s">
        <v>47</v>
      </c>
      <c r="I436" t="s">
        <v>47</v>
      </c>
      <c r="J436" t="s">
        <v>44</v>
      </c>
      <c r="K436">
        <f t="shared" si="72"/>
        <v>93.77000000000001</v>
      </c>
      <c r="L436">
        <f t="shared" si="73"/>
        <v>387.786</v>
      </c>
      <c r="M436" t="str">
        <f t="shared" si="74"/>
        <v>lucas-13</v>
      </c>
      <c r="N436" t="str">
        <f>INDEX(Scores!$A$2:$A$11,INDEX(Scores!$AA$2:$AA$131,MATCH(C436,Scores!$AB$2:$AB$131,0)))</f>
        <v>lucas</v>
      </c>
      <c r="O436">
        <f t="shared" si="75"/>
        <v>0</v>
      </c>
      <c r="P436">
        <f t="shared" si="76"/>
        <v>0</v>
      </c>
      <c r="Q436" s="3">
        <f t="shared" si="77"/>
        <v>0.9999990404590926</v>
      </c>
      <c r="R436" s="3">
        <f t="shared" si="78"/>
        <v>0.99999996023639059</v>
      </c>
      <c r="S436" s="9">
        <f t="shared" si="79"/>
        <v>9.1977729799186392E-7</v>
      </c>
      <c r="T436">
        <f t="shared" si="80"/>
        <v>98</v>
      </c>
      <c r="U436">
        <f t="shared" si="81"/>
        <v>0</v>
      </c>
      <c r="V436" s="3">
        <f t="shared" si="82"/>
        <v>1</v>
      </c>
      <c r="W436" s="9">
        <f t="shared" si="83"/>
        <v>0</v>
      </c>
      <c r="AC436"/>
    </row>
    <row r="437" spans="1:29" x14ac:dyDescent="0.25">
      <c r="A437" t="s">
        <v>43</v>
      </c>
      <c r="B437">
        <v>6</v>
      </c>
      <c r="C437" t="s">
        <v>976</v>
      </c>
      <c r="D437" t="s">
        <v>467</v>
      </c>
      <c r="E437">
        <v>27</v>
      </c>
      <c r="F437">
        <v>20.71</v>
      </c>
      <c r="G437">
        <v>35.880099999999999</v>
      </c>
      <c r="H437" t="s">
        <v>15</v>
      </c>
      <c r="I437" t="s">
        <v>15</v>
      </c>
      <c r="J437" t="s">
        <v>44</v>
      </c>
      <c r="K437">
        <f t="shared" si="72"/>
        <v>90.009999999999991</v>
      </c>
      <c r="L437">
        <f t="shared" si="73"/>
        <v>295.93350000000004</v>
      </c>
      <c r="M437" t="str">
        <f t="shared" si="74"/>
        <v>scott-6</v>
      </c>
      <c r="N437" t="str">
        <f>INDEX(Scores!$A$2:$A$11,INDEX(Scores!$AA$2:$AA$131,MATCH(C437,Scores!$AB$2:$AB$131,0)))</f>
        <v>scott</v>
      </c>
      <c r="O437">
        <f t="shared" si="75"/>
        <v>110.30999999999999</v>
      </c>
      <c r="P437">
        <f t="shared" si="76"/>
        <v>388.52729999999997</v>
      </c>
      <c r="Q437" s="3">
        <f t="shared" si="77"/>
        <v>0.21889557883251567</v>
      </c>
      <c r="R437" s="3">
        <f t="shared" si="78"/>
        <v>0.29111910373785427</v>
      </c>
      <c r="S437" s="9">
        <f t="shared" si="79"/>
        <v>7.2223524905338593E-2</v>
      </c>
      <c r="T437">
        <f t="shared" si="80"/>
        <v>130</v>
      </c>
      <c r="U437">
        <f t="shared" si="81"/>
        <v>96</v>
      </c>
      <c r="V437" s="3">
        <f t="shared" si="82"/>
        <v>0.99999813641389768</v>
      </c>
      <c r="W437" s="9">
        <f t="shared" si="83"/>
        <v>1.8635861023241773E-6</v>
      </c>
      <c r="AC437"/>
    </row>
    <row r="438" spans="1:29" x14ac:dyDescent="0.25">
      <c r="A438" t="s">
        <v>80</v>
      </c>
      <c r="B438">
        <v>11</v>
      </c>
      <c r="C438" t="s">
        <v>965</v>
      </c>
      <c r="D438" t="s">
        <v>467</v>
      </c>
      <c r="E438">
        <v>19</v>
      </c>
      <c r="F438">
        <v>20.059999999999999</v>
      </c>
      <c r="G438">
        <v>60.684100000000001</v>
      </c>
      <c r="H438" t="s">
        <v>15</v>
      </c>
      <c r="I438" t="s">
        <v>15</v>
      </c>
      <c r="J438" t="s">
        <v>23</v>
      </c>
      <c r="K438">
        <f t="shared" si="72"/>
        <v>104.20000000000002</v>
      </c>
      <c r="L438">
        <f t="shared" si="73"/>
        <v>377.06489999999997</v>
      </c>
      <c r="M438" t="str">
        <f t="shared" si="74"/>
        <v>lucas-11</v>
      </c>
      <c r="N438" t="str">
        <f>INDEX(Scores!$A$2:$A$11,INDEX(Scores!$AA$2:$AA$131,MATCH(C438,Scores!$AB$2:$AB$131,0)))</f>
        <v>lucas</v>
      </c>
      <c r="O438">
        <f t="shared" si="75"/>
        <v>0</v>
      </c>
      <c r="P438">
        <f t="shared" si="76"/>
        <v>0</v>
      </c>
      <c r="Q438" s="3">
        <f t="shared" si="77"/>
        <v>0.99999995977381673</v>
      </c>
      <c r="R438" s="3">
        <f t="shared" si="78"/>
        <v>0.99999999665617034</v>
      </c>
      <c r="S438" s="9">
        <f t="shared" si="79"/>
        <v>3.6882353615652619E-8</v>
      </c>
      <c r="T438">
        <f t="shared" si="80"/>
        <v>85</v>
      </c>
      <c r="U438">
        <f t="shared" si="81"/>
        <v>0</v>
      </c>
      <c r="V438" s="3">
        <f t="shared" si="82"/>
        <v>1</v>
      </c>
      <c r="W438" s="9">
        <f t="shared" si="83"/>
        <v>0</v>
      </c>
      <c r="AC438"/>
    </row>
    <row r="439" spans="1:29" x14ac:dyDescent="0.25">
      <c r="A439" t="s">
        <v>274</v>
      </c>
      <c r="B439">
        <v>4</v>
      </c>
      <c r="C439" t="s">
        <v>863</v>
      </c>
      <c r="D439" t="s">
        <v>475</v>
      </c>
      <c r="E439">
        <v>1</v>
      </c>
      <c r="F439">
        <v>5.0199999999999996</v>
      </c>
      <c r="G439">
        <v>11.833600000000001</v>
      </c>
      <c r="H439" t="s">
        <v>114</v>
      </c>
      <c r="I439" t="s">
        <v>114</v>
      </c>
      <c r="J439" t="s">
        <v>35</v>
      </c>
      <c r="K439">
        <f t="shared" si="72"/>
        <v>99.78</v>
      </c>
      <c r="L439">
        <f t="shared" si="73"/>
        <v>369.21209999999996</v>
      </c>
      <c r="M439" t="str">
        <f t="shared" si="74"/>
        <v>perry-4</v>
      </c>
      <c r="N439" t="str">
        <f>INDEX(Scores!$A$2:$A$11,INDEX(Scores!$AA$2:$AA$131,MATCH(C439,Scores!$AB$2:$AB$131,0)))</f>
        <v>perry</v>
      </c>
      <c r="O439">
        <f t="shared" si="75"/>
        <v>111.07000000000001</v>
      </c>
      <c r="P439">
        <f t="shared" si="76"/>
        <v>406.62959999999998</v>
      </c>
      <c r="Q439" s="3">
        <f t="shared" si="77"/>
        <v>0.34261794725331807</v>
      </c>
      <c r="R439" s="3">
        <f t="shared" si="78"/>
        <v>0.28982589286643967</v>
      </c>
      <c r="S439" s="9">
        <f t="shared" si="79"/>
        <v>-5.2792054386878395E-2</v>
      </c>
      <c r="T439">
        <f t="shared" si="80"/>
        <v>84</v>
      </c>
      <c r="U439">
        <f t="shared" si="81"/>
        <v>72</v>
      </c>
      <c r="V439" s="3">
        <f t="shared" si="82"/>
        <v>0.99999839556661951</v>
      </c>
      <c r="W439" s="9">
        <f t="shared" si="83"/>
        <v>1.6044333804865474E-6</v>
      </c>
      <c r="AC439"/>
    </row>
    <row r="440" spans="1:29" x14ac:dyDescent="0.25">
      <c r="A440" t="s">
        <v>235</v>
      </c>
      <c r="B440">
        <v>13</v>
      </c>
      <c r="C440" t="s">
        <v>935</v>
      </c>
      <c r="D440" t="s">
        <v>475</v>
      </c>
      <c r="E440">
        <v>15</v>
      </c>
      <c r="F440">
        <v>6.49</v>
      </c>
      <c r="G440">
        <v>29.9209</v>
      </c>
      <c r="H440" t="s">
        <v>114</v>
      </c>
      <c r="I440" t="s">
        <v>114</v>
      </c>
      <c r="J440" t="s">
        <v>35</v>
      </c>
      <c r="K440">
        <f t="shared" si="72"/>
        <v>97.46</v>
      </c>
      <c r="L440">
        <f t="shared" si="73"/>
        <v>368.81949999999995</v>
      </c>
      <c r="M440" t="str">
        <f t="shared" si="74"/>
        <v>perry-13</v>
      </c>
      <c r="N440" t="str">
        <f>INDEX(Scores!$A$2:$A$11,INDEX(Scores!$AA$2:$AA$131,MATCH(C440,Scores!$AB$2:$AB$131,0)))</f>
        <v>perry</v>
      </c>
      <c r="O440">
        <f t="shared" si="75"/>
        <v>108.77</v>
      </c>
      <c r="P440">
        <f t="shared" si="76"/>
        <v>411.30060000000003</v>
      </c>
      <c r="Q440" s="3">
        <f t="shared" si="77"/>
        <v>0.3427638257896819</v>
      </c>
      <c r="R440" s="3">
        <f t="shared" si="78"/>
        <v>0.4592878639599498</v>
      </c>
      <c r="S440" s="9">
        <f t="shared" si="79"/>
        <v>0.11652403817026791</v>
      </c>
      <c r="T440">
        <f t="shared" si="80"/>
        <v>133</v>
      </c>
      <c r="U440">
        <f t="shared" si="81"/>
        <v>99</v>
      </c>
      <c r="V440" s="3">
        <f t="shared" si="82"/>
        <v>0.99999841867220984</v>
      </c>
      <c r="W440" s="9">
        <f t="shared" si="83"/>
        <v>1.5813277901566281E-6</v>
      </c>
      <c r="AC440"/>
    </row>
    <row r="441" spans="1:29" x14ac:dyDescent="0.25">
      <c r="A441" t="s">
        <v>13</v>
      </c>
      <c r="B441">
        <v>2</v>
      </c>
      <c r="C441" t="s">
        <v>618</v>
      </c>
      <c r="D441" t="s">
        <v>467</v>
      </c>
      <c r="E441">
        <v>17</v>
      </c>
      <c r="F441">
        <v>22.39</v>
      </c>
      <c r="G441">
        <v>63.8401</v>
      </c>
      <c r="H441" t="s">
        <v>15</v>
      </c>
      <c r="I441" t="s">
        <v>15</v>
      </c>
      <c r="J441" t="s">
        <v>16</v>
      </c>
      <c r="K441">
        <f t="shared" si="72"/>
        <v>102.7</v>
      </c>
      <c r="L441">
        <f t="shared" si="73"/>
        <v>377.5104</v>
      </c>
      <c r="M441" t="str">
        <f t="shared" si="74"/>
        <v>comp-2</v>
      </c>
      <c r="N441" t="str">
        <f>INDEX(Scores!$A$2:$A$11,INDEX(Scores!$AA$2:$AA$131,MATCH(C441,Scores!$AB$2:$AB$131,0)))</f>
        <v>comp</v>
      </c>
      <c r="O441">
        <f t="shared" si="75"/>
        <v>103.61999999999999</v>
      </c>
      <c r="P441">
        <f t="shared" si="76"/>
        <v>357.30130000000003</v>
      </c>
      <c r="Q441" s="3">
        <f t="shared" si="77"/>
        <v>0.48646287329580978</v>
      </c>
      <c r="R441" s="3">
        <f t="shared" si="78"/>
        <v>0.40377031281694281</v>
      </c>
      <c r="S441" s="9">
        <f t="shared" si="79"/>
        <v>-8.2692560478866972E-2</v>
      </c>
      <c r="T441">
        <f t="shared" si="80"/>
        <v>97</v>
      </c>
      <c r="U441">
        <f t="shared" si="81"/>
        <v>65</v>
      </c>
      <c r="V441" s="3">
        <f t="shared" si="82"/>
        <v>0.99999856282079191</v>
      </c>
      <c r="W441" s="9">
        <f t="shared" si="83"/>
        <v>1.437179208085837E-6</v>
      </c>
      <c r="AC441"/>
    </row>
    <row r="442" spans="1:29" x14ac:dyDescent="0.25">
      <c r="A442" t="s">
        <v>165</v>
      </c>
      <c r="B442">
        <v>6</v>
      </c>
      <c r="C442" t="s">
        <v>920</v>
      </c>
      <c r="D442" t="s">
        <v>475</v>
      </c>
      <c r="E442">
        <v>1</v>
      </c>
      <c r="F442">
        <v>7.52</v>
      </c>
      <c r="G442">
        <v>29.2681</v>
      </c>
      <c r="H442" t="s">
        <v>114</v>
      </c>
      <c r="I442" t="s">
        <v>114</v>
      </c>
      <c r="J442" t="s">
        <v>55</v>
      </c>
      <c r="K442">
        <f t="shared" si="72"/>
        <v>108.8</v>
      </c>
      <c r="L442">
        <f t="shared" si="73"/>
        <v>404.29040000000003</v>
      </c>
      <c r="M442" t="str">
        <f t="shared" si="74"/>
        <v>cory-6</v>
      </c>
      <c r="N442" t="str">
        <f>INDEX(Scores!$A$2:$A$11,INDEX(Scores!$AA$2:$AA$131,MATCH(C442,Scores!$AB$2:$AB$131,0)))</f>
        <v>cory</v>
      </c>
      <c r="O442">
        <f t="shared" si="75"/>
        <v>102.10000000000001</v>
      </c>
      <c r="P442">
        <f t="shared" si="76"/>
        <v>445.16630000000004</v>
      </c>
      <c r="Q442" s="3">
        <f t="shared" si="77"/>
        <v>0.59090810623639012</v>
      </c>
      <c r="R442" s="3">
        <f t="shared" si="78"/>
        <v>0.50250739552992485</v>
      </c>
      <c r="S442" s="9">
        <f t="shared" si="79"/>
        <v>-8.8400710706465269E-2</v>
      </c>
      <c r="T442">
        <f t="shared" si="80"/>
        <v>104</v>
      </c>
      <c r="U442">
        <f t="shared" si="81"/>
        <v>85</v>
      </c>
      <c r="V442" s="3">
        <f t="shared" si="82"/>
        <v>0.99999880438049416</v>
      </c>
      <c r="W442" s="9">
        <f t="shared" si="83"/>
        <v>1.1956195058449026E-6</v>
      </c>
      <c r="AC442"/>
    </row>
    <row r="443" spans="1:29" x14ac:dyDescent="0.25">
      <c r="A443" t="s">
        <v>21</v>
      </c>
      <c r="B443">
        <v>2</v>
      </c>
      <c r="C443" t="s">
        <v>616</v>
      </c>
      <c r="D443" t="s">
        <v>467</v>
      </c>
      <c r="E443">
        <v>22</v>
      </c>
      <c r="F443">
        <v>21.66</v>
      </c>
      <c r="G443">
        <v>77.968900000000005</v>
      </c>
      <c r="H443" t="s">
        <v>15</v>
      </c>
      <c r="I443" t="s">
        <v>15</v>
      </c>
      <c r="J443" t="s">
        <v>23</v>
      </c>
      <c r="K443">
        <f t="shared" si="72"/>
        <v>104.79999999999998</v>
      </c>
      <c r="L443">
        <f t="shared" si="73"/>
        <v>455.48199999999997</v>
      </c>
      <c r="M443" t="str">
        <f t="shared" si="74"/>
        <v>lucas-2</v>
      </c>
      <c r="N443" t="str">
        <f>INDEX(Scores!$A$2:$A$11,INDEX(Scores!$AA$2:$AA$131,MATCH(C443,Scores!$AB$2:$AB$131,0)))</f>
        <v>lucas</v>
      </c>
      <c r="O443">
        <f t="shared" si="75"/>
        <v>0</v>
      </c>
      <c r="P443">
        <f t="shared" si="76"/>
        <v>0</v>
      </c>
      <c r="Q443" s="3">
        <f t="shared" si="77"/>
        <v>0.99999954577661365</v>
      </c>
      <c r="R443" s="3">
        <f t="shared" si="78"/>
        <v>0.99999996871633257</v>
      </c>
      <c r="S443" s="9">
        <f t="shared" si="79"/>
        <v>4.229397189137174E-7</v>
      </c>
      <c r="T443">
        <f t="shared" si="80"/>
        <v>102</v>
      </c>
      <c r="U443">
        <f t="shared" si="81"/>
        <v>0</v>
      </c>
      <c r="V443" s="3">
        <f t="shared" si="82"/>
        <v>1</v>
      </c>
      <c r="W443" s="9">
        <f t="shared" si="83"/>
        <v>0</v>
      </c>
      <c r="AC443"/>
    </row>
    <row r="444" spans="1:29" x14ac:dyDescent="0.25">
      <c r="A444" t="s">
        <v>998</v>
      </c>
      <c r="B444">
        <v>9</v>
      </c>
      <c r="C444" t="s">
        <v>963</v>
      </c>
      <c r="D444" t="s">
        <v>478</v>
      </c>
      <c r="E444">
        <v>9</v>
      </c>
      <c r="F444">
        <v>7.22</v>
      </c>
      <c r="G444">
        <v>13.249599999999999</v>
      </c>
      <c r="H444" t="s">
        <v>478</v>
      </c>
      <c r="I444" t="s">
        <v>478</v>
      </c>
      <c r="J444" t="s">
        <v>23</v>
      </c>
      <c r="K444">
        <f t="shared" si="72"/>
        <v>98.35</v>
      </c>
      <c r="L444">
        <f t="shared" si="73"/>
        <v>385.97739999999999</v>
      </c>
      <c r="M444" t="str">
        <f t="shared" si="74"/>
        <v>aj-9</v>
      </c>
      <c r="N444" t="str">
        <f>INDEX(Scores!$A$2:$A$11,INDEX(Scores!$AA$2:$AA$131,MATCH(C444,Scores!$AB$2:$AB$131,0)))</f>
        <v>aj</v>
      </c>
      <c r="O444">
        <f t="shared" si="75"/>
        <v>102.03999999999999</v>
      </c>
      <c r="P444">
        <f t="shared" si="76"/>
        <v>392.2131</v>
      </c>
      <c r="Q444" s="3">
        <f t="shared" si="77"/>
        <v>0.4473827117902357</v>
      </c>
      <c r="R444" s="3">
        <f t="shared" si="78"/>
        <v>0.47247138255063026</v>
      </c>
      <c r="S444" s="9">
        <f t="shared" si="79"/>
        <v>2.508867076039456E-2</v>
      </c>
      <c r="T444">
        <f t="shared" si="80"/>
        <v>105</v>
      </c>
      <c r="U444">
        <f t="shared" si="81"/>
        <v>86</v>
      </c>
      <c r="V444" s="3">
        <f t="shared" si="82"/>
        <v>0.99999888164665163</v>
      </c>
      <c r="W444" s="9">
        <f t="shared" si="83"/>
        <v>1.1183533483727359E-6</v>
      </c>
      <c r="AC444"/>
    </row>
    <row r="445" spans="1:29" x14ac:dyDescent="0.25">
      <c r="A445" t="s">
        <v>104</v>
      </c>
      <c r="B445">
        <v>13</v>
      </c>
      <c r="C445" t="s">
        <v>983</v>
      </c>
      <c r="D445" t="s">
        <v>473</v>
      </c>
      <c r="E445">
        <v>19</v>
      </c>
      <c r="F445">
        <v>10.84</v>
      </c>
      <c r="G445">
        <v>42.380099999999999</v>
      </c>
      <c r="H445" t="s">
        <v>87</v>
      </c>
      <c r="I445" t="s">
        <v>87</v>
      </c>
      <c r="J445" t="s">
        <v>44</v>
      </c>
      <c r="K445">
        <f t="shared" si="72"/>
        <v>93.77000000000001</v>
      </c>
      <c r="L445">
        <f t="shared" si="73"/>
        <v>387.786</v>
      </c>
      <c r="M445" t="str">
        <f t="shared" si="74"/>
        <v>lucas-13</v>
      </c>
      <c r="N445" t="str">
        <f>INDEX(Scores!$A$2:$A$11,INDEX(Scores!$AA$2:$AA$131,MATCH(C445,Scores!$AB$2:$AB$131,0)))</f>
        <v>lucas</v>
      </c>
      <c r="O445">
        <f t="shared" si="75"/>
        <v>0</v>
      </c>
      <c r="P445">
        <f t="shared" si="76"/>
        <v>0</v>
      </c>
      <c r="Q445" s="3">
        <f t="shared" si="77"/>
        <v>0.9999990404590926</v>
      </c>
      <c r="R445" s="3">
        <f t="shared" si="78"/>
        <v>0.999999979268135</v>
      </c>
      <c r="S445" s="9">
        <f t="shared" si="79"/>
        <v>9.3880904239451723E-7</v>
      </c>
      <c r="T445">
        <f t="shared" si="80"/>
        <v>98</v>
      </c>
      <c r="U445">
        <f t="shared" si="81"/>
        <v>0</v>
      </c>
      <c r="V445" s="3">
        <f t="shared" si="82"/>
        <v>1</v>
      </c>
      <c r="W445" s="9">
        <f t="shared" si="83"/>
        <v>0</v>
      </c>
      <c r="AC445"/>
    </row>
    <row r="446" spans="1:29" x14ac:dyDescent="0.25">
      <c r="A446" t="s">
        <v>104</v>
      </c>
      <c r="B446">
        <v>9</v>
      </c>
      <c r="C446" t="s">
        <v>979</v>
      </c>
      <c r="D446" t="s">
        <v>473</v>
      </c>
      <c r="E446">
        <v>0</v>
      </c>
      <c r="F446">
        <v>10.63</v>
      </c>
      <c r="G446">
        <v>36.120100000000001</v>
      </c>
      <c r="H446" t="s">
        <v>87</v>
      </c>
      <c r="I446" t="s">
        <v>87</v>
      </c>
      <c r="J446" t="s">
        <v>44</v>
      </c>
      <c r="K446">
        <f t="shared" si="72"/>
        <v>92.559999999999988</v>
      </c>
      <c r="L446">
        <f t="shared" si="73"/>
        <v>350.31569999999999</v>
      </c>
      <c r="M446" t="str">
        <f t="shared" si="74"/>
        <v>comp-9</v>
      </c>
      <c r="N446" t="str">
        <f>INDEX(Scores!$A$2:$A$11,INDEX(Scores!$AA$2:$AA$131,MATCH(C446,Scores!$AB$2:$AB$131,0)))</f>
        <v>comp</v>
      </c>
      <c r="O446">
        <f t="shared" si="75"/>
        <v>80.800000000000011</v>
      </c>
      <c r="P446">
        <f t="shared" si="76"/>
        <v>290.44450000000001</v>
      </c>
      <c r="Q446" s="3">
        <f t="shared" si="77"/>
        <v>0.67888350653659379</v>
      </c>
      <c r="R446" s="3">
        <f t="shared" si="78"/>
        <v>0.51832682352570725</v>
      </c>
      <c r="S446" s="9">
        <f t="shared" si="79"/>
        <v>-0.16055668301088655</v>
      </c>
      <c r="T446">
        <f t="shared" si="80"/>
        <v>95</v>
      </c>
      <c r="U446">
        <f t="shared" si="81"/>
        <v>77</v>
      </c>
      <c r="V446" s="3">
        <f t="shared" si="82"/>
        <v>0.99999904975262677</v>
      </c>
      <c r="W446" s="9">
        <f t="shared" si="83"/>
        <v>9.5024737323257114E-7</v>
      </c>
      <c r="AC446"/>
    </row>
    <row r="447" spans="1:29" x14ac:dyDescent="0.25">
      <c r="A447" t="s">
        <v>135</v>
      </c>
      <c r="B447">
        <v>4</v>
      </c>
      <c r="C447" t="s">
        <v>864</v>
      </c>
      <c r="D447" t="s">
        <v>471</v>
      </c>
      <c r="E447">
        <v>7</v>
      </c>
      <c r="F447">
        <v>9.08</v>
      </c>
      <c r="G447">
        <v>27.5625</v>
      </c>
      <c r="H447" t="s">
        <v>87</v>
      </c>
      <c r="I447" t="s">
        <v>87</v>
      </c>
      <c r="J447" t="s">
        <v>49</v>
      </c>
      <c r="K447">
        <f t="shared" si="72"/>
        <v>109.71999999999998</v>
      </c>
      <c r="L447">
        <f t="shared" si="73"/>
        <v>421.03860000000003</v>
      </c>
      <c r="M447" t="str">
        <f t="shared" si="74"/>
        <v>lucas-4</v>
      </c>
      <c r="N447" t="str">
        <f>INDEX(Scores!$A$2:$A$11,INDEX(Scores!$AA$2:$AA$131,MATCH(C447,Scores!$AB$2:$AB$131,0)))</f>
        <v>lucas</v>
      </c>
      <c r="O447">
        <f t="shared" si="75"/>
        <v>0</v>
      </c>
      <c r="P447">
        <f t="shared" si="76"/>
        <v>0</v>
      </c>
      <c r="Q447" s="3">
        <f t="shared" si="77"/>
        <v>0.99999995533253605</v>
      </c>
      <c r="R447" s="3">
        <f t="shared" si="78"/>
        <v>0.99999997125443452</v>
      </c>
      <c r="S447" s="9">
        <f t="shared" si="79"/>
        <v>1.5921898466331186E-8</v>
      </c>
      <c r="T447">
        <f t="shared" si="80"/>
        <v>92</v>
      </c>
      <c r="U447">
        <f t="shared" si="81"/>
        <v>0</v>
      </c>
      <c r="V447" s="3">
        <f t="shared" si="82"/>
        <v>1</v>
      </c>
      <c r="W447" s="9">
        <f t="shared" si="83"/>
        <v>0</v>
      </c>
      <c r="AC447"/>
    </row>
    <row r="448" spans="1:29" x14ac:dyDescent="0.25">
      <c r="A448" t="s">
        <v>101</v>
      </c>
      <c r="B448">
        <v>7</v>
      </c>
      <c r="C448" t="s">
        <v>929</v>
      </c>
      <c r="D448" t="s">
        <v>469</v>
      </c>
      <c r="E448">
        <v>7</v>
      </c>
      <c r="F448">
        <v>9.33</v>
      </c>
      <c r="G448">
        <v>30.360099999999999</v>
      </c>
      <c r="H448" t="s">
        <v>47</v>
      </c>
      <c r="I448" t="s">
        <v>47</v>
      </c>
      <c r="J448" t="s">
        <v>35</v>
      </c>
      <c r="K448">
        <f t="shared" si="72"/>
        <v>106.81</v>
      </c>
      <c r="L448">
        <f t="shared" si="73"/>
        <v>351.64060000000001</v>
      </c>
      <c r="M448" t="str">
        <f t="shared" si="74"/>
        <v>aj-7</v>
      </c>
      <c r="N448" t="str">
        <f>INDEX(Scores!$A$2:$A$11,INDEX(Scores!$AA$2:$AA$131,MATCH(C448,Scores!$AB$2:$AB$131,0)))</f>
        <v>aj</v>
      </c>
      <c r="O448">
        <f t="shared" si="75"/>
        <v>114.01999999999998</v>
      </c>
      <c r="P448">
        <f t="shared" si="76"/>
        <v>381.58529999999996</v>
      </c>
      <c r="Q448" s="3">
        <f t="shared" si="77"/>
        <v>0.39501702421215146</v>
      </c>
      <c r="R448" s="3">
        <f t="shared" si="78"/>
        <v>0.35948254817778424</v>
      </c>
      <c r="S448" s="9">
        <f t="shared" si="79"/>
        <v>-3.5534476034367213E-2</v>
      </c>
      <c r="T448">
        <f t="shared" si="80"/>
        <v>117</v>
      </c>
      <c r="U448">
        <f t="shared" si="81"/>
        <v>93</v>
      </c>
      <c r="V448" s="3">
        <f t="shared" si="82"/>
        <v>0.99999911733166869</v>
      </c>
      <c r="W448" s="9">
        <f t="shared" si="83"/>
        <v>8.8266833131456224E-7</v>
      </c>
      <c r="AC448"/>
    </row>
    <row r="449" spans="1:29" x14ac:dyDescent="0.25">
      <c r="A449" t="s">
        <v>137</v>
      </c>
      <c r="B449">
        <v>8</v>
      </c>
      <c r="C449" t="s">
        <v>938</v>
      </c>
      <c r="D449" t="s">
        <v>473</v>
      </c>
      <c r="E449">
        <v>13</v>
      </c>
      <c r="F449">
        <v>5.13</v>
      </c>
      <c r="G449">
        <v>32.035600000000002</v>
      </c>
      <c r="H449" t="s">
        <v>87</v>
      </c>
      <c r="I449" t="s">
        <v>87</v>
      </c>
      <c r="J449" t="s">
        <v>27</v>
      </c>
      <c r="K449">
        <f t="shared" si="72"/>
        <v>100.87</v>
      </c>
      <c r="L449">
        <f t="shared" si="73"/>
        <v>421.5641</v>
      </c>
      <c r="M449" t="str">
        <f t="shared" si="74"/>
        <v>perry-8</v>
      </c>
      <c r="N449" t="str">
        <f>INDEX(Scores!$A$2:$A$11,INDEX(Scores!$AA$2:$AA$131,MATCH(C449,Scores!$AB$2:$AB$131,0)))</f>
        <v>perry</v>
      </c>
      <c r="O449">
        <f t="shared" si="75"/>
        <v>115.82</v>
      </c>
      <c r="P449">
        <f t="shared" si="76"/>
        <v>434.36700000000002</v>
      </c>
      <c r="Q449" s="3">
        <f t="shared" si="77"/>
        <v>0.30467516207413586</v>
      </c>
      <c r="R449" s="3">
        <f t="shared" si="78"/>
        <v>0.40258602011839206</v>
      </c>
      <c r="S449" s="9">
        <f t="shared" si="79"/>
        <v>9.7910858044256199E-2</v>
      </c>
      <c r="T449">
        <f t="shared" si="80"/>
        <v>115</v>
      </c>
      <c r="U449">
        <f t="shared" si="81"/>
        <v>80</v>
      </c>
      <c r="V449" s="3">
        <f t="shared" si="82"/>
        <v>0.99999917964358587</v>
      </c>
      <c r="W449" s="9">
        <f t="shared" si="83"/>
        <v>8.2035641413291671E-7</v>
      </c>
      <c r="AC449"/>
    </row>
    <row r="450" spans="1:29" x14ac:dyDescent="0.25">
      <c r="A450" t="s">
        <v>154</v>
      </c>
      <c r="B450">
        <v>11</v>
      </c>
      <c r="C450" t="s">
        <v>909</v>
      </c>
      <c r="D450" t="s">
        <v>471</v>
      </c>
      <c r="E450">
        <v>27</v>
      </c>
      <c r="F450">
        <v>8.36</v>
      </c>
      <c r="G450">
        <v>31.922499999999999</v>
      </c>
      <c r="H450" t="s">
        <v>87</v>
      </c>
      <c r="I450" t="s">
        <v>87</v>
      </c>
      <c r="J450" t="s">
        <v>20</v>
      </c>
      <c r="K450">
        <f t="shared" ref="K450:K513" si="84">SUMIF($C$2:$C$1301,$C450,$F$2:$F$1301)</f>
        <v>105.39999999999999</v>
      </c>
      <c r="L450">
        <f t="shared" ref="L450:L513" si="85">SUMIF($C$2:$C$1301,$C450,$G$2:$G$1301)</f>
        <v>342.09739999999999</v>
      </c>
      <c r="M450" t="str">
        <f t="shared" ref="M450:M513" si="86">N450&amp;"-"&amp;B450</f>
        <v>devon-11</v>
      </c>
      <c r="N450" t="str">
        <f>INDEX(Scores!$A$2:$A$11,INDEX(Scores!$AA$2:$AA$131,MATCH(C450,Scores!$AB$2:$AB$131,0)))</f>
        <v>devon</v>
      </c>
      <c r="O450">
        <f t="shared" ref="O450:O513" si="87">SUMIF($C$2:$C$1301,$M450,$F$2:$F$1301)</f>
        <v>100.25</v>
      </c>
      <c r="P450">
        <f t="shared" ref="P450:P513" si="88">SUMIF($C$2:$C$1301,$M450,$G$2:$G$1301)</f>
        <v>448.76889999999997</v>
      </c>
      <c r="Q450" s="3">
        <f t="shared" ref="Q450:Q513" si="89">_xlfn.NORM.DIST(0,$O450-$K450,SQRT($L450+$P450),TRUE)</f>
        <v>0.57265136255925952</v>
      </c>
      <c r="R450" s="3">
        <f t="shared" ref="R450:R513" si="90">_xlfn.NORM.DIST(0,$O450-$K450-($E450-$F450),SQRT($L450+$P450-$G450),TRUE)</f>
        <v>0.80608360123984957</v>
      </c>
      <c r="S450" s="9">
        <f t="shared" ref="S450:S513" si="91">R450-Q450</f>
        <v>0.23343223868059004</v>
      </c>
      <c r="T450">
        <f t="shared" ref="T450:T513" si="92">SUMIF($C$2:$C$1301,$C450,$E$2:$E$1301)</f>
        <v>124</v>
      </c>
      <c r="U450">
        <f t="shared" ref="U450:U513" si="93">SUMIF($C$2:$C$1301,$M450,$E$2:$E$1301)</f>
        <v>78</v>
      </c>
      <c r="V450" s="3">
        <f t="shared" ref="V450:V513" si="94">_xlfn.NORM.DIST(0,U450-T450+E450-F450,SQRT(G450),TRUE)</f>
        <v>0.99999935885041547</v>
      </c>
      <c r="W450" s="9">
        <f t="shared" ref="W450:W513" si="95">IFERROR(IF(U450&gt;T450,0,1)-V450,0)</f>
        <v>6.4114958453487247E-7</v>
      </c>
      <c r="AC450"/>
    </row>
    <row r="451" spans="1:29" x14ac:dyDescent="0.25">
      <c r="A451" t="s">
        <v>111</v>
      </c>
      <c r="B451">
        <v>2</v>
      </c>
      <c r="C451" t="s">
        <v>618</v>
      </c>
      <c r="D451" t="s">
        <v>468</v>
      </c>
      <c r="E451">
        <v>12</v>
      </c>
      <c r="F451">
        <v>10.6</v>
      </c>
      <c r="G451">
        <v>39.312899999999999</v>
      </c>
      <c r="H451" t="s">
        <v>47</v>
      </c>
      <c r="I451" t="s">
        <v>47</v>
      </c>
      <c r="J451" t="s">
        <v>16</v>
      </c>
      <c r="K451">
        <f t="shared" si="84"/>
        <v>102.7</v>
      </c>
      <c r="L451">
        <f t="shared" si="85"/>
        <v>377.5104</v>
      </c>
      <c r="M451" t="str">
        <f t="shared" si="86"/>
        <v>comp-2</v>
      </c>
      <c r="N451" t="str">
        <f>INDEX(Scores!$A$2:$A$11,INDEX(Scores!$AA$2:$AA$131,MATCH(C451,Scores!$AB$2:$AB$131,0)))</f>
        <v>comp</v>
      </c>
      <c r="O451">
        <f t="shared" si="87"/>
        <v>103.61999999999999</v>
      </c>
      <c r="P451">
        <f t="shared" si="88"/>
        <v>357.30130000000003</v>
      </c>
      <c r="Q451" s="3">
        <f t="shared" si="89"/>
        <v>0.48646287329580978</v>
      </c>
      <c r="R451" s="3">
        <f t="shared" si="90"/>
        <v>0.50726071070104495</v>
      </c>
      <c r="S451" s="9">
        <f t="shared" si="91"/>
        <v>2.0797837405235164E-2</v>
      </c>
      <c r="T451">
        <f t="shared" si="92"/>
        <v>97</v>
      </c>
      <c r="U451">
        <f t="shared" si="93"/>
        <v>65</v>
      </c>
      <c r="V451" s="3">
        <f t="shared" si="94"/>
        <v>0.99999947059932703</v>
      </c>
      <c r="W451" s="9">
        <f t="shared" si="95"/>
        <v>5.2940067296614046E-7</v>
      </c>
      <c r="AC451"/>
    </row>
    <row r="452" spans="1:29" x14ac:dyDescent="0.25">
      <c r="A452" t="s">
        <v>132</v>
      </c>
      <c r="B452">
        <v>2</v>
      </c>
      <c r="C452" t="s">
        <v>633</v>
      </c>
      <c r="D452" t="s">
        <v>466</v>
      </c>
      <c r="E452">
        <v>10</v>
      </c>
      <c r="F452">
        <v>10.050000000000001</v>
      </c>
      <c r="G452">
        <v>47.472099999999998</v>
      </c>
      <c r="H452" t="s">
        <v>466</v>
      </c>
      <c r="I452" t="s">
        <v>47</v>
      </c>
      <c r="J452" t="s">
        <v>35</v>
      </c>
      <c r="K452">
        <f t="shared" si="84"/>
        <v>100.92999999999999</v>
      </c>
      <c r="L452">
        <f t="shared" si="85"/>
        <v>374.85250000000002</v>
      </c>
      <c r="M452" t="str">
        <f t="shared" si="86"/>
        <v>scott-2</v>
      </c>
      <c r="N452" t="str">
        <f>INDEX(Scores!$A$2:$A$11,INDEX(Scores!$AA$2:$AA$131,MATCH(C452,Scores!$AB$2:$AB$131,0)))</f>
        <v>scott</v>
      </c>
      <c r="O452">
        <f t="shared" si="87"/>
        <v>103.25</v>
      </c>
      <c r="P452">
        <f t="shared" si="88"/>
        <v>377.00829999999996</v>
      </c>
      <c r="Q452" s="3">
        <f t="shared" si="89"/>
        <v>0.46628591266319391</v>
      </c>
      <c r="R452" s="3">
        <f t="shared" si="90"/>
        <v>0.46442250712513022</v>
      </c>
      <c r="S452" s="9">
        <f t="shared" si="91"/>
        <v>-1.8634055380636894E-3</v>
      </c>
      <c r="T452">
        <f t="shared" si="92"/>
        <v>140</v>
      </c>
      <c r="U452">
        <f t="shared" si="93"/>
        <v>106</v>
      </c>
      <c r="V452" s="3">
        <f t="shared" si="94"/>
        <v>0.99999961326450792</v>
      </c>
      <c r="W452" s="9">
        <f t="shared" si="95"/>
        <v>3.8673549207501878E-7</v>
      </c>
      <c r="AC452"/>
    </row>
    <row r="453" spans="1:29" x14ac:dyDescent="0.25">
      <c r="A453" t="s">
        <v>452</v>
      </c>
      <c r="B453">
        <v>7</v>
      </c>
      <c r="C453" t="s">
        <v>905</v>
      </c>
      <c r="D453" t="s">
        <v>478</v>
      </c>
      <c r="E453">
        <v>5</v>
      </c>
      <c r="F453">
        <v>6.51</v>
      </c>
      <c r="G453">
        <v>13.9876</v>
      </c>
      <c r="H453" t="s">
        <v>478</v>
      </c>
      <c r="I453" t="s">
        <v>478</v>
      </c>
      <c r="J453" t="s">
        <v>20</v>
      </c>
      <c r="K453">
        <f t="shared" si="84"/>
        <v>114.48000000000002</v>
      </c>
      <c r="L453">
        <f t="shared" si="85"/>
        <v>430.3667999999999</v>
      </c>
      <c r="M453" t="str">
        <f t="shared" si="86"/>
        <v>matty-7</v>
      </c>
      <c r="N453" t="str">
        <f>INDEX(Scores!$A$2:$A$11,INDEX(Scores!$AA$2:$AA$131,MATCH(C453,Scores!$AB$2:$AB$131,0)))</f>
        <v>matty</v>
      </c>
      <c r="O453">
        <f t="shared" si="87"/>
        <v>87.490000000000009</v>
      </c>
      <c r="P453">
        <f t="shared" si="88"/>
        <v>277.88929999999999</v>
      </c>
      <c r="Q453" s="3">
        <f t="shared" si="89"/>
        <v>0.84474748784368747</v>
      </c>
      <c r="R453" s="3">
        <f t="shared" si="90"/>
        <v>0.83323311397265509</v>
      </c>
      <c r="S453" s="9">
        <f t="shared" si="91"/>
        <v>-1.151437387103238E-2</v>
      </c>
      <c r="T453">
        <f t="shared" si="92"/>
        <v>82</v>
      </c>
      <c r="U453">
        <f t="shared" si="93"/>
        <v>65</v>
      </c>
      <c r="V453" s="3">
        <f t="shared" si="94"/>
        <v>0.99999962740019299</v>
      </c>
      <c r="W453" s="9">
        <f t="shared" si="95"/>
        <v>3.7259980700810047E-7</v>
      </c>
      <c r="AC453"/>
    </row>
    <row r="454" spans="1:29" x14ac:dyDescent="0.25">
      <c r="A454" t="s">
        <v>80</v>
      </c>
      <c r="B454">
        <v>12</v>
      </c>
      <c r="C454" t="s">
        <v>966</v>
      </c>
      <c r="D454" t="s">
        <v>467</v>
      </c>
      <c r="E454">
        <v>23</v>
      </c>
      <c r="F454">
        <v>22.27</v>
      </c>
      <c r="G454">
        <v>72.590400000000002</v>
      </c>
      <c r="H454" t="s">
        <v>15</v>
      </c>
      <c r="I454" t="s">
        <v>15</v>
      </c>
      <c r="J454" t="s">
        <v>23</v>
      </c>
      <c r="K454">
        <f t="shared" si="84"/>
        <v>117.67999999999999</v>
      </c>
      <c r="L454">
        <f t="shared" si="85"/>
        <v>426.54240000000004</v>
      </c>
      <c r="M454" t="str">
        <f t="shared" si="86"/>
        <v>scott-12</v>
      </c>
      <c r="N454" t="str">
        <f>INDEX(Scores!$A$2:$A$11,INDEX(Scores!$AA$2:$AA$131,MATCH(C454,Scores!$AB$2:$AB$131,0)))</f>
        <v>scott</v>
      </c>
      <c r="O454">
        <f t="shared" si="87"/>
        <v>109.82</v>
      </c>
      <c r="P454">
        <f t="shared" si="88"/>
        <v>367.76499999999999</v>
      </c>
      <c r="Q454" s="3">
        <f t="shared" si="89"/>
        <v>0.60983422019767153</v>
      </c>
      <c r="R454" s="3">
        <f t="shared" si="90"/>
        <v>0.6254208341501768</v>
      </c>
      <c r="S454" s="9">
        <f t="shared" si="91"/>
        <v>1.5586613952505268E-2</v>
      </c>
      <c r="T454">
        <f t="shared" si="92"/>
        <v>131</v>
      </c>
      <c r="U454">
        <f t="shared" si="93"/>
        <v>88</v>
      </c>
      <c r="V454" s="3">
        <f t="shared" si="94"/>
        <v>0.99999964982686917</v>
      </c>
      <c r="W454" s="9">
        <f t="shared" si="95"/>
        <v>3.5017313082530421E-7</v>
      </c>
      <c r="AC454"/>
    </row>
    <row r="455" spans="1:29" x14ac:dyDescent="0.25">
      <c r="A455" t="s">
        <v>207</v>
      </c>
      <c r="B455">
        <v>8</v>
      </c>
      <c r="C455" t="s">
        <v>938</v>
      </c>
      <c r="D455" t="s">
        <v>466</v>
      </c>
      <c r="E455">
        <v>5</v>
      </c>
      <c r="F455">
        <v>8.5399999999999991</v>
      </c>
      <c r="G455">
        <v>60.217599999999997</v>
      </c>
      <c r="H455" t="s">
        <v>466</v>
      </c>
      <c r="I455" t="s">
        <v>47</v>
      </c>
      <c r="J455" t="s">
        <v>27</v>
      </c>
      <c r="K455">
        <f t="shared" si="84"/>
        <v>100.87</v>
      </c>
      <c r="L455">
        <f t="shared" si="85"/>
        <v>421.5641</v>
      </c>
      <c r="M455" t="str">
        <f t="shared" si="86"/>
        <v>perry-8</v>
      </c>
      <c r="N455" t="str">
        <f>INDEX(Scores!$A$2:$A$11,INDEX(Scores!$AA$2:$AA$131,MATCH(C455,Scores!$AB$2:$AB$131,0)))</f>
        <v>perry</v>
      </c>
      <c r="O455">
        <f t="shared" si="87"/>
        <v>115.82</v>
      </c>
      <c r="P455">
        <f t="shared" si="88"/>
        <v>434.36700000000002</v>
      </c>
      <c r="Q455" s="3">
        <f t="shared" si="89"/>
        <v>0.30467516207413586</v>
      </c>
      <c r="R455" s="3">
        <f t="shared" si="90"/>
        <v>0.25607981525328605</v>
      </c>
      <c r="S455" s="9">
        <f t="shared" si="91"/>
        <v>-4.8595346820849816E-2</v>
      </c>
      <c r="T455">
        <f t="shared" si="92"/>
        <v>115</v>
      </c>
      <c r="U455">
        <f t="shared" si="93"/>
        <v>80</v>
      </c>
      <c r="V455" s="3">
        <f t="shared" si="94"/>
        <v>0.99999965913067823</v>
      </c>
      <c r="W455" s="9">
        <f t="shared" si="95"/>
        <v>3.4086932176879969E-7</v>
      </c>
      <c r="AC455"/>
    </row>
    <row r="456" spans="1:29" x14ac:dyDescent="0.25">
      <c r="A456" t="s">
        <v>109</v>
      </c>
      <c r="B456">
        <v>2</v>
      </c>
      <c r="C456" t="s">
        <v>616</v>
      </c>
      <c r="D456" t="s">
        <v>468</v>
      </c>
      <c r="E456">
        <v>22</v>
      </c>
      <c r="F456">
        <v>11.57</v>
      </c>
      <c r="G456">
        <v>40.068899999999999</v>
      </c>
      <c r="H456" t="s">
        <v>47</v>
      </c>
      <c r="I456" t="s">
        <v>47</v>
      </c>
      <c r="J456" t="s">
        <v>23</v>
      </c>
      <c r="K456">
        <f t="shared" si="84"/>
        <v>104.79999999999998</v>
      </c>
      <c r="L456">
        <f t="shared" si="85"/>
        <v>455.48199999999997</v>
      </c>
      <c r="M456" t="str">
        <f t="shared" si="86"/>
        <v>lucas-2</v>
      </c>
      <c r="N456" t="str">
        <f>INDEX(Scores!$A$2:$A$11,INDEX(Scores!$AA$2:$AA$131,MATCH(C456,Scores!$AB$2:$AB$131,0)))</f>
        <v>lucas</v>
      </c>
      <c r="O456">
        <f t="shared" si="87"/>
        <v>0</v>
      </c>
      <c r="P456">
        <f t="shared" si="88"/>
        <v>0</v>
      </c>
      <c r="Q456" s="3">
        <f t="shared" si="89"/>
        <v>0.99999954577661365</v>
      </c>
      <c r="R456" s="3">
        <f t="shared" si="90"/>
        <v>0.99999999214415058</v>
      </c>
      <c r="S456" s="9">
        <f t="shared" si="91"/>
        <v>4.4636753693261255E-7</v>
      </c>
      <c r="T456">
        <f t="shared" si="92"/>
        <v>102</v>
      </c>
      <c r="U456">
        <f t="shared" si="93"/>
        <v>0</v>
      </c>
      <c r="V456" s="3">
        <f t="shared" si="94"/>
        <v>1</v>
      </c>
      <c r="W456" s="9">
        <f t="shared" si="95"/>
        <v>0</v>
      </c>
      <c r="AC456"/>
    </row>
    <row r="457" spans="1:29" x14ac:dyDescent="0.25">
      <c r="A457" t="s">
        <v>71</v>
      </c>
      <c r="B457">
        <v>2</v>
      </c>
      <c r="C457" t="s">
        <v>633</v>
      </c>
      <c r="D457" t="s">
        <v>467</v>
      </c>
      <c r="E457">
        <v>21</v>
      </c>
      <c r="F457">
        <v>18.38</v>
      </c>
      <c r="G457">
        <v>39.564100000000003</v>
      </c>
      <c r="H457" t="s">
        <v>15</v>
      </c>
      <c r="I457" t="s">
        <v>15</v>
      </c>
      <c r="J457" t="s">
        <v>35</v>
      </c>
      <c r="K457">
        <f t="shared" si="84"/>
        <v>100.92999999999999</v>
      </c>
      <c r="L457">
        <f t="shared" si="85"/>
        <v>374.85250000000002</v>
      </c>
      <c r="M457" t="str">
        <f t="shared" si="86"/>
        <v>scott-2</v>
      </c>
      <c r="N457" t="str">
        <f>INDEX(Scores!$A$2:$A$11,INDEX(Scores!$AA$2:$AA$131,MATCH(C457,Scores!$AB$2:$AB$131,0)))</f>
        <v>scott</v>
      </c>
      <c r="O457">
        <f t="shared" si="87"/>
        <v>103.25</v>
      </c>
      <c r="P457">
        <f t="shared" si="88"/>
        <v>377.00829999999996</v>
      </c>
      <c r="Q457" s="3">
        <f t="shared" si="89"/>
        <v>0.46628591266319391</v>
      </c>
      <c r="R457" s="3">
        <f t="shared" si="90"/>
        <v>0.50448426953565306</v>
      </c>
      <c r="S457" s="9">
        <f t="shared" si="91"/>
        <v>3.8198356872459149E-2</v>
      </c>
      <c r="T457">
        <f t="shared" si="92"/>
        <v>140</v>
      </c>
      <c r="U457">
        <f t="shared" si="93"/>
        <v>106</v>
      </c>
      <c r="V457" s="3">
        <f t="shared" si="94"/>
        <v>0.99999969633443364</v>
      </c>
      <c r="W457" s="9">
        <f t="shared" si="95"/>
        <v>3.0366556635907926E-7</v>
      </c>
      <c r="AC457"/>
    </row>
    <row r="458" spans="1:29" x14ac:dyDescent="0.25">
      <c r="A458" t="s">
        <v>194</v>
      </c>
      <c r="B458">
        <v>9</v>
      </c>
      <c r="C458" t="s">
        <v>907</v>
      </c>
      <c r="D458" t="s">
        <v>473</v>
      </c>
      <c r="E458">
        <v>8</v>
      </c>
      <c r="F458">
        <v>4.99</v>
      </c>
      <c r="G458">
        <v>14.44</v>
      </c>
      <c r="H458" t="s">
        <v>87</v>
      </c>
      <c r="I458" t="s">
        <v>87</v>
      </c>
      <c r="J458" t="s">
        <v>20</v>
      </c>
      <c r="K458">
        <f t="shared" si="84"/>
        <v>83.52</v>
      </c>
      <c r="L458">
        <f t="shared" si="85"/>
        <v>286.42129999999997</v>
      </c>
      <c r="M458" t="str">
        <f t="shared" si="86"/>
        <v>lucas-9</v>
      </c>
      <c r="N458" t="str">
        <f>INDEX(Scores!$A$2:$A$11,INDEX(Scores!$AA$2:$AA$131,MATCH(C458,Scores!$AB$2:$AB$131,0)))</f>
        <v>lucas</v>
      </c>
      <c r="O458">
        <f t="shared" si="87"/>
        <v>0</v>
      </c>
      <c r="P458">
        <f t="shared" si="88"/>
        <v>0</v>
      </c>
      <c r="Q458" s="3">
        <f t="shared" si="89"/>
        <v>0.9999995992619003</v>
      </c>
      <c r="R458" s="3">
        <f t="shared" si="90"/>
        <v>0.99999992263167437</v>
      </c>
      <c r="S458" s="9">
        <f t="shared" si="91"/>
        <v>3.2336977406899337E-7</v>
      </c>
      <c r="T458">
        <f t="shared" si="92"/>
        <v>89</v>
      </c>
      <c r="U458">
        <f t="shared" si="93"/>
        <v>0</v>
      </c>
      <c r="V458" s="3">
        <f t="shared" si="94"/>
        <v>1</v>
      </c>
      <c r="W458" s="9">
        <f t="shared" si="95"/>
        <v>0</v>
      </c>
      <c r="AC458"/>
    </row>
    <row r="459" spans="1:29" x14ac:dyDescent="0.25">
      <c r="A459" t="s">
        <v>93</v>
      </c>
      <c r="B459">
        <v>11</v>
      </c>
      <c r="C459" t="s">
        <v>917</v>
      </c>
      <c r="D459" t="s">
        <v>471</v>
      </c>
      <c r="E459">
        <v>7</v>
      </c>
      <c r="F459">
        <v>11.34</v>
      </c>
      <c r="G459">
        <v>49.702500000000001</v>
      </c>
      <c r="H459" t="s">
        <v>87</v>
      </c>
      <c r="I459" t="s">
        <v>87</v>
      </c>
      <c r="J459" t="s">
        <v>16</v>
      </c>
      <c r="K459">
        <f t="shared" si="84"/>
        <v>102.11</v>
      </c>
      <c r="L459">
        <f t="shared" si="85"/>
        <v>431.97960000000006</v>
      </c>
      <c r="M459" t="str">
        <f t="shared" si="86"/>
        <v>chad-11</v>
      </c>
      <c r="N459" t="str">
        <f>INDEX(Scores!$A$2:$A$11,INDEX(Scores!$AA$2:$AA$131,MATCH(C459,Scores!$AB$2:$AB$131,0)))</f>
        <v>chad</v>
      </c>
      <c r="O459">
        <f t="shared" si="87"/>
        <v>106.58</v>
      </c>
      <c r="P459">
        <f t="shared" si="88"/>
        <v>427.68610000000001</v>
      </c>
      <c r="Q459" s="3">
        <f t="shared" si="89"/>
        <v>0.43941389461043751</v>
      </c>
      <c r="R459" s="3">
        <f t="shared" si="90"/>
        <v>0.37844821564332981</v>
      </c>
      <c r="S459" s="9">
        <f t="shared" si="91"/>
        <v>-6.0965678967107695E-2</v>
      </c>
      <c r="T459">
        <f t="shared" si="92"/>
        <v>130</v>
      </c>
      <c r="U459">
        <f t="shared" si="93"/>
        <v>99</v>
      </c>
      <c r="V459" s="3">
        <f t="shared" si="94"/>
        <v>0.99999973173429402</v>
      </c>
      <c r="W459" s="9">
        <f t="shared" si="95"/>
        <v>2.6826570598270649E-7</v>
      </c>
      <c r="AC459"/>
    </row>
    <row r="460" spans="1:29" x14ac:dyDescent="0.25">
      <c r="A460" t="s">
        <v>154</v>
      </c>
      <c r="B460">
        <v>3</v>
      </c>
      <c r="C460" t="s">
        <v>807</v>
      </c>
      <c r="D460" t="s">
        <v>471</v>
      </c>
      <c r="E460">
        <v>6</v>
      </c>
      <c r="F460">
        <v>10.42</v>
      </c>
      <c r="G460">
        <v>47.059600000000003</v>
      </c>
      <c r="H460" t="s">
        <v>87</v>
      </c>
      <c r="I460" t="s">
        <v>87</v>
      </c>
      <c r="J460" t="s">
        <v>20</v>
      </c>
      <c r="K460">
        <f t="shared" si="84"/>
        <v>110.35</v>
      </c>
      <c r="L460">
        <f t="shared" si="85"/>
        <v>442.53309999999999</v>
      </c>
      <c r="M460" t="str">
        <f t="shared" si="86"/>
        <v>perry-3</v>
      </c>
      <c r="N460" t="str">
        <f>INDEX(Scores!$A$2:$A$11,INDEX(Scores!$AA$2:$AA$131,MATCH(C460,Scores!$AB$2:$AB$131,0)))</f>
        <v>perry</v>
      </c>
      <c r="O460">
        <f t="shared" si="87"/>
        <v>101.86999999999999</v>
      </c>
      <c r="P460">
        <f t="shared" si="88"/>
        <v>350.57169999999996</v>
      </c>
      <c r="Q460" s="3">
        <f t="shared" si="89"/>
        <v>0.61833611537492805</v>
      </c>
      <c r="R460" s="3">
        <f t="shared" si="90"/>
        <v>0.55908219474465271</v>
      </c>
      <c r="S460" s="9">
        <f t="shared" si="91"/>
        <v>-5.9253920630275347E-2</v>
      </c>
      <c r="T460">
        <f t="shared" si="92"/>
        <v>132</v>
      </c>
      <c r="U460">
        <f t="shared" si="93"/>
        <v>102</v>
      </c>
      <c r="V460" s="3">
        <f t="shared" si="94"/>
        <v>0.99999973824906507</v>
      </c>
      <c r="W460" s="9">
        <f t="shared" si="95"/>
        <v>2.6175093492675217E-7</v>
      </c>
      <c r="AC460"/>
    </row>
    <row r="461" spans="1:29" x14ac:dyDescent="0.25">
      <c r="A461" t="s">
        <v>419</v>
      </c>
      <c r="B461">
        <v>11</v>
      </c>
      <c r="C461" t="s">
        <v>909</v>
      </c>
      <c r="D461" t="s">
        <v>477</v>
      </c>
      <c r="E461">
        <v>27</v>
      </c>
      <c r="F461">
        <v>11.53</v>
      </c>
      <c r="G461">
        <v>36.844900000000003</v>
      </c>
      <c r="H461" t="s">
        <v>477</v>
      </c>
      <c r="I461" t="s">
        <v>477</v>
      </c>
      <c r="J461" t="s">
        <v>20</v>
      </c>
      <c r="K461">
        <f t="shared" si="84"/>
        <v>105.39999999999999</v>
      </c>
      <c r="L461">
        <f t="shared" si="85"/>
        <v>342.09739999999999</v>
      </c>
      <c r="M461" t="str">
        <f t="shared" si="86"/>
        <v>devon-11</v>
      </c>
      <c r="N461" t="str">
        <f>INDEX(Scores!$A$2:$A$11,INDEX(Scores!$AA$2:$AA$131,MATCH(C461,Scores!$AB$2:$AB$131,0)))</f>
        <v>devon</v>
      </c>
      <c r="O461">
        <f t="shared" si="87"/>
        <v>100.25</v>
      </c>
      <c r="P461">
        <f t="shared" si="88"/>
        <v>448.76889999999997</v>
      </c>
      <c r="Q461" s="3">
        <f t="shared" si="89"/>
        <v>0.57265136255925952</v>
      </c>
      <c r="R461" s="3">
        <f t="shared" si="90"/>
        <v>0.77365123933752189</v>
      </c>
      <c r="S461" s="9">
        <f t="shared" si="91"/>
        <v>0.20099987677826237</v>
      </c>
      <c r="T461">
        <f t="shared" si="92"/>
        <v>124</v>
      </c>
      <c r="U461">
        <f t="shared" si="93"/>
        <v>78</v>
      </c>
      <c r="V461" s="3">
        <f t="shared" si="94"/>
        <v>0.99999975431718979</v>
      </c>
      <c r="W461" s="9">
        <f t="shared" si="95"/>
        <v>2.4568281020709293E-7</v>
      </c>
      <c r="AC461"/>
    </row>
    <row r="462" spans="1:29" x14ac:dyDescent="0.25">
      <c r="A462" t="s">
        <v>89</v>
      </c>
      <c r="B462">
        <v>4</v>
      </c>
      <c r="C462" t="s">
        <v>866</v>
      </c>
      <c r="D462" t="s">
        <v>468</v>
      </c>
      <c r="E462">
        <v>4</v>
      </c>
      <c r="F462">
        <v>15.54</v>
      </c>
      <c r="G462">
        <v>81.180099999999996</v>
      </c>
      <c r="H462" t="s">
        <v>47</v>
      </c>
      <c r="I462" t="s">
        <v>47</v>
      </c>
      <c r="J462" t="s">
        <v>55</v>
      </c>
      <c r="K462">
        <f t="shared" si="84"/>
        <v>118.09999999999998</v>
      </c>
      <c r="L462">
        <f t="shared" si="85"/>
        <v>465.47660000000008</v>
      </c>
      <c r="M462" t="str">
        <f t="shared" si="86"/>
        <v>comp-4</v>
      </c>
      <c r="N462" t="str">
        <f>INDEX(Scores!$A$2:$A$11,INDEX(Scores!$AA$2:$AA$131,MATCH(C462,Scores!$AB$2:$AB$131,0)))</f>
        <v>comp</v>
      </c>
      <c r="O462">
        <f t="shared" si="87"/>
        <v>103.70000000000002</v>
      </c>
      <c r="P462">
        <f t="shared" si="88"/>
        <v>412.10110000000003</v>
      </c>
      <c r="Q462" s="3">
        <f t="shared" si="89"/>
        <v>0.68654951827928645</v>
      </c>
      <c r="R462" s="3">
        <f t="shared" si="90"/>
        <v>0.54036158521011501</v>
      </c>
      <c r="S462" s="9">
        <f t="shared" si="91"/>
        <v>-0.14618793306917144</v>
      </c>
      <c r="T462">
        <f t="shared" si="92"/>
        <v>80</v>
      </c>
      <c r="U462">
        <f t="shared" si="93"/>
        <v>46</v>
      </c>
      <c r="V462" s="3">
        <f t="shared" si="94"/>
        <v>0.99999978410897383</v>
      </c>
      <c r="W462" s="9">
        <f t="shared" si="95"/>
        <v>2.1589102616736966E-7</v>
      </c>
      <c r="AC462"/>
    </row>
    <row r="463" spans="1:29" x14ac:dyDescent="0.25">
      <c r="A463" t="s">
        <v>111</v>
      </c>
      <c r="B463">
        <v>3</v>
      </c>
      <c r="C463" t="s">
        <v>803</v>
      </c>
      <c r="D463" t="s">
        <v>468</v>
      </c>
      <c r="E463">
        <v>13</v>
      </c>
      <c r="F463">
        <v>10.41</v>
      </c>
      <c r="G463">
        <v>40.7044</v>
      </c>
      <c r="H463" t="s">
        <v>47</v>
      </c>
      <c r="I463" t="s">
        <v>47</v>
      </c>
      <c r="J463" t="s">
        <v>16</v>
      </c>
      <c r="K463">
        <f t="shared" si="84"/>
        <v>106.94</v>
      </c>
      <c r="L463">
        <f t="shared" si="85"/>
        <v>452.911</v>
      </c>
      <c r="M463" t="str">
        <f t="shared" si="86"/>
        <v>lucas-3</v>
      </c>
      <c r="N463" t="str">
        <f>INDEX(Scores!$A$2:$A$11,INDEX(Scores!$AA$2:$AA$131,MATCH(C463,Scores!$AB$2:$AB$131,0)))</f>
        <v>lucas</v>
      </c>
      <c r="O463">
        <f t="shared" si="87"/>
        <v>0</v>
      </c>
      <c r="P463">
        <f t="shared" si="88"/>
        <v>0</v>
      </c>
      <c r="Q463" s="3">
        <f t="shared" si="89"/>
        <v>0.99999974824851112</v>
      </c>
      <c r="R463" s="3">
        <f t="shared" si="90"/>
        <v>0.99999996570067629</v>
      </c>
      <c r="S463" s="9">
        <f t="shared" si="91"/>
        <v>2.174521651632233E-7</v>
      </c>
      <c r="T463">
        <f t="shared" si="92"/>
        <v>88</v>
      </c>
      <c r="U463">
        <f t="shared" si="93"/>
        <v>0</v>
      </c>
      <c r="V463" s="3">
        <f t="shared" si="94"/>
        <v>1</v>
      </c>
      <c r="W463" s="9">
        <f t="shared" si="95"/>
        <v>0</v>
      </c>
      <c r="AC463"/>
    </row>
    <row r="464" spans="1:29" x14ac:dyDescent="0.25">
      <c r="A464" t="s">
        <v>142</v>
      </c>
      <c r="B464">
        <v>3</v>
      </c>
      <c r="C464" t="s">
        <v>803</v>
      </c>
      <c r="D464" t="s">
        <v>466</v>
      </c>
      <c r="E464">
        <v>1</v>
      </c>
      <c r="F464">
        <v>9.0500000000000007</v>
      </c>
      <c r="G464">
        <v>71.740899999999996</v>
      </c>
      <c r="H464" t="s">
        <v>466</v>
      </c>
      <c r="I464" t="s">
        <v>47</v>
      </c>
      <c r="J464" t="s">
        <v>16</v>
      </c>
      <c r="K464">
        <f t="shared" si="84"/>
        <v>106.94</v>
      </c>
      <c r="L464">
        <f t="shared" si="85"/>
        <v>452.911</v>
      </c>
      <c r="M464" t="str">
        <f t="shared" si="86"/>
        <v>lucas-3</v>
      </c>
      <c r="N464" t="str">
        <f>INDEX(Scores!$A$2:$A$11,INDEX(Scores!$AA$2:$AA$131,MATCH(C464,Scores!$AB$2:$AB$131,0)))</f>
        <v>lucas</v>
      </c>
      <c r="O464">
        <f t="shared" si="87"/>
        <v>0</v>
      </c>
      <c r="P464">
        <f t="shared" si="88"/>
        <v>0</v>
      </c>
      <c r="Q464" s="3">
        <f t="shared" si="89"/>
        <v>0.99999974824851112</v>
      </c>
      <c r="R464" s="3">
        <f t="shared" si="90"/>
        <v>0.99999979596870658</v>
      </c>
      <c r="S464" s="9">
        <f t="shared" si="91"/>
        <v>4.7720195461842252E-8</v>
      </c>
      <c r="T464">
        <f t="shared" si="92"/>
        <v>88</v>
      </c>
      <c r="U464">
        <f t="shared" si="93"/>
        <v>0</v>
      </c>
      <c r="V464" s="3">
        <f t="shared" si="94"/>
        <v>1</v>
      </c>
      <c r="W464" s="9">
        <f t="shared" si="95"/>
        <v>0</v>
      </c>
      <c r="AC464"/>
    </row>
    <row r="465" spans="1:29" x14ac:dyDescent="0.25">
      <c r="A465" t="s">
        <v>247</v>
      </c>
      <c r="B465">
        <v>9</v>
      </c>
      <c r="C465" t="s">
        <v>979</v>
      </c>
      <c r="D465" t="s">
        <v>475</v>
      </c>
      <c r="E465">
        <v>2</v>
      </c>
      <c r="F465">
        <v>5.42</v>
      </c>
      <c r="G465">
        <v>17.7241</v>
      </c>
      <c r="H465" t="s">
        <v>114</v>
      </c>
      <c r="I465" t="s">
        <v>114</v>
      </c>
      <c r="J465" t="s">
        <v>44</v>
      </c>
      <c r="K465">
        <f t="shared" si="84"/>
        <v>92.559999999999988</v>
      </c>
      <c r="L465">
        <f t="shared" si="85"/>
        <v>350.31569999999999</v>
      </c>
      <c r="M465" t="str">
        <f t="shared" si="86"/>
        <v>comp-9</v>
      </c>
      <c r="N465" t="str">
        <f>INDEX(Scores!$A$2:$A$11,INDEX(Scores!$AA$2:$AA$131,MATCH(C465,Scores!$AB$2:$AB$131,0)))</f>
        <v>comp</v>
      </c>
      <c r="O465">
        <f t="shared" si="87"/>
        <v>80.800000000000011</v>
      </c>
      <c r="P465">
        <f t="shared" si="88"/>
        <v>290.44450000000001</v>
      </c>
      <c r="Q465" s="3">
        <f t="shared" si="89"/>
        <v>0.67888350653659379</v>
      </c>
      <c r="R465" s="3">
        <f t="shared" si="90"/>
        <v>0.63085751945073176</v>
      </c>
      <c r="S465" s="9">
        <f t="shared" si="91"/>
        <v>-4.8025987085862032E-2</v>
      </c>
      <c r="T465">
        <f t="shared" si="92"/>
        <v>95</v>
      </c>
      <c r="U465">
        <f t="shared" si="93"/>
        <v>77</v>
      </c>
      <c r="V465" s="3">
        <f t="shared" si="94"/>
        <v>0.99999981896153611</v>
      </c>
      <c r="W465" s="9">
        <f t="shared" si="95"/>
        <v>1.8103846388672906E-7</v>
      </c>
      <c r="AC465"/>
    </row>
    <row r="466" spans="1:29" x14ac:dyDescent="0.25">
      <c r="A466" t="s">
        <v>123</v>
      </c>
      <c r="B466">
        <v>12</v>
      </c>
      <c r="C466" t="s">
        <v>942</v>
      </c>
      <c r="D466" t="s">
        <v>468</v>
      </c>
      <c r="E466">
        <v>22</v>
      </c>
      <c r="F466">
        <v>9.92</v>
      </c>
      <c r="G466">
        <v>31.922499999999999</v>
      </c>
      <c r="H466" t="s">
        <v>47</v>
      </c>
      <c r="I466" t="s">
        <v>47</v>
      </c>
      <c r="J466" t="s">
        <v>27</v>
      </c>
      <c r="K466">
        <f t="shared" si="84"/>
        <v>98.639999999999986</v>
      </c>
      <c r="L466">
        <f t="shared" si="85"/>
        <v>309.06870000000004</v>
      </c>
      <c r="M466" t="str">
        <f t="shared" si="86"/>
        <v>aj-12</v>
      </c>
      <c r="N466" t="str">
        <f>INDEX(Scores!$A$2:$A$11,INDEX(Scores!$AA$2:$AA$131,MATCH(C466,Scores!$AB$2:$AB$131,0)))</f>
        <v>aj</v>
      </c>
      <c r="O466">
        <f t="shared" si="87"/>
        <v>111.09</v>
      </c>
      <c r="P466">
        <f t="shared" si="88"/>
        <v>408.5095</v>
      </c>
      <c r="Q466" s="3">
        <f t="shared" si="89"/>
        <v>0.32104937221741592</v>
      </c>
      <c r="R466" s="3">
        <f t="shared" si="90"/>
        <v>0.49436304857222368</v>
      </c>
      <c r="S466" s="9">
        <f t="shared" si="91"/>
        <v>0.17331367635480777</v>
      </c>
      <c r="T466">
        <f t="shared" si="92"/>
        <v>125</v>
      </c>
      <c r="U466">
        <f t="shared" si="93"/>
        <v>84</v>
      </c>
      <c r="V466" s="3">
        <f t="shared" si="94"/>
        <v>0.99999984608099501</v>
      </c>
      <c r="W466" s="9">
        <f t="shared" si="95"/>
        <v>1.5391900498595845E-7</v>
      </c>
      <c r="AC466"/>
    </row>
    <row r="467" spans="1:29" x14ac:dyDescent="0.25">
      <c r="A467" t="s">
        <v>48</v>
      </c>
      <c r="B467">
        <v>12</v>
      </c>
      <c r="C467" t="s">
        <v>966</v>
      </c>
      <c r="D467" t="s">
        <v>469</v>
      </c>
      <c r="E467">
        <v>15</v>
      </c>
      <c r="F467">
        <v>19.09</v>
      </c>
      <c r="G467">
        <v>83.905600000000007</v>
      </c>
      <c r="H467" t="s">
        <v>47</v>
      </c>
      <c r="I467" t="s">
        <v>47</v>
      </c>
      <c r="J467" t="s">
        <v>23</v>
      </c>
      <c r="K467">
        <f t="shared" si="84"/>
        <v>117.67999999999999</v>
      </c>
      <c r="L467">
        <f t="shared" si="85"/>
        <v>426.54240000000004</v>
      </c>
      <c r="M467" t="str">
        <f t="shared" si="86"/>
        <v>scott-12</v>
      </c>
      <c r="N467" t="str">
        <f>INDEX(Scores!$A$2:$A$11,INDEX(Scores!$AA$2:$AA$131,MATCH(C467,Scores!$AB$2:$AB$131,0)))</f>
        <v>scott</v>
      </c>
      <c r="O467">
        <f t="shared" si="87"/>
        <v>109.82</v>
      </c>
      <c r="P467">
        <f t="shared" si="88"/>
        <v>367.76499999999999</v>
      </c>
      <c r="Q467" s="3">
        <f t="shared" si="89"/>
        <v>0.60983422019767153</v>
      </c>
      <c r="R467" s="3">
        <f t="shared" si="90"/>
        <v>0.55624101835784057</v>
      </c>
      <c r="S467" s="9">
        <f t="shared" si="91"/>
        <v>-5.3593201839830962E-2</v>
      </c>
      <c r="T467">
        <f t="shared" si="92"/>
        <v>131</v>
      </c>
      <c r="U467">
        <f t="shared" si="93"/>
        <v>88</v>
      </c>
      <c r="V467" s="3">
        <f t="shared" si="94"/>
        <v>0.99999986323604961</v>
      </c>
      <c r="W467" s="9">
        <f t="shared" si="95"/>
        <v>1.3676395038686451E-7</v>
      </c>
      <c r="AC467"/>
    </row>
    <row r="468" spans="1:29" x14ac:dyDescent="0.25">
      <c r="A468" t="s">
        <v>110</v>
      </c>
      <c r="B468">
        <v>13</v>
      </c>
      <c r="C468" t="s">
        <v>935</v>
      </c>
      <c r="D468" t="s">
        <v>473</v>
      </c>
      <c r="E468">
        <v>13</v>
      </c>
      <c r="F468">
        <v>11.83</v>
      </c>
      <c r="G468">
        <v>40.576900000000002</v>
      </c>
      <c r="H468" t="s">
        <v>87</v>
      </c>
      <c r="I468" t="s">
        <v>87</v>
      </c>
      <c r="J468" t="s">
        <v>35</v>
      </c>
      <c r="K468">
        <f t="shared" si="84"/>
        <v>97.46</v>
      </c>
      <c r="L468">
        <f t="shared" si="85"/>
        <v>368.81949999999995</v>
      </c>
      <c r="M468" t="str">
        <f t="shared" si="86"/>
        <v>perry-13</v>
      </c>
      <c r="N468" t="str">
        <f>INDEX(Scores!$A$2:$A$11,INDEX(Scores!$AA$2:$AA$131,MATCH(C468,Scores!$AB$2:$AB$131,0)))</f>
        <v>perry</v>
      </c>
      <c r="O468">
        <f t="shared" si="87"/>
        <v>108.77</v>
      </c>
      <c r="P468">
        <f t="shared" si="88"/>
        <v>411.30060000000003</v>
      </c>
      <c r="Q468" s="3">
        <f t="shared" si="89"/>
        <v>0.3427638257896819</v>
      </c>
      <c r="R468" s="3">
        <f t="shared" si="90"/>
        <v>0.35462300365620414</v>
      </c>
      <c r="S468" s="9">
        <f t="shared" si="91"/>
        <v>1.1859177866522241E-2</v>
      </c>
      <c r="T468">
        <f t="shared" si="92"/>
        <v>133</v>
      </c>
      <c r="U468">
        <f t="shared" si="93"/>
        <v>99</v>
      </c>
      <c r="V468" s="3">
        <f t="shared" si="94"/>
        <v>0.99999987240133315</v>
      </c>
      <c r="W468" s="9">
        <f t="shared" si="95"/>
        <v>1.2759866685474464E-7</v>
      </c>
      <c r="AC468"/>
    </row>
    <row r="469" spans="1:29" x14ac:dyDescent="0.25">
      <c r="A469" t="s">
        <v>133</v>
      </c>
      <c r="B469">
        <v>2</v>
      </c>
      <c r="C469" t="s">
        <v>618</v>
      </c>
      <c r="D469" t="s">
        <v>473</v>
      </c>
      <c r="E469">
        <v>2</v>
      </c>
      <c r="F469">
        <v>9.86</v>
      </c>
      <c r="G469">
        <v>58.369599999999998</v>
      </c>
      <c r="H469" t="s">
        <v>87</v>
      </c>
      <c r="I469" t="s">
        <v>87</v>
      </c>
      <c r="J469" t="s">
        <v>16</v>
      </c>
      <c r="K469">
        <f t="shared" si="84"/>
        <v>102.7</v>
      </c>
      <c r="L469">
        <f t="shared" si="85"/>
        <v>377.5104</v>
      </c>
      <c r="M469" t="str">
        <f t="shared" si="86"/>
        <v>comp-2</v>
      </c>
      <c r="N469" t="str">
        <f>INDEX(Scores!$A$2:$A$11,INDEX(Scores!$AA$2:$AA$131,MATCH(C469,Scores!$AB$2:$AB$131,0)))</f>
        <v>comp</v>
      </c>
      <c r="O469">
        <f t="shared" si="87"/>
        <v>103.61999999999999</v>
      </c>
      <c r="P469">
        <f t="shared" si="88"/>
        <v>357.30130000000003</v>
      </c>
      <c r="Q469" s="3">
        <f t="shared" si="89"/>
        <v>0.48646287329580978</v>
      </c>
      <c r="R469" s="3">
        <f t="shared" si="90"/>
        <v>0.36783912786810746</v>
      </c>
      <c r="S469" s="9">
        <f t="shared" si="91"/>
        <v>-0.11862374542770232</v>
      </c>
      <c r="T469">
        <f t="shared" si="92"/>
        <v>97</v>
      </c>
      <c r="U469">
        <f t="shared" si="93"/>
        <v>65</v>
      </c>
      <c r="V469" s="3">
        <f t="shared" si="94"/>
        <v>0.99999990921392756</v>
      </c>
      <c r="W469" s="9">
        <f t="shared" si="95"/>
        <v>9.0786072437509802E-8</v>
      </c>
      <c r="AC469"/>
    </row>
    <row r="470" spans="1:29" x14ac:dyDescent="0.25">
      <c r="A470" t="s">
        <v>1108</v>
      </c>
      <c r="B470">
        <v>8</v>
      </c>
      <c r="C470" t="s">
        <v>922</v>
      </c>
      <c r="D470" t="s">
        <v>478</v>
      </c>
      <c r="E470">
        <v>21</v>
      </c>
      <c r="F470">
        <v>7.13</v>
      </c>
      <c r="G470">
        <v>21.16</v>
      </c>
      <c r="H470" t="s">
        <v>478</v>
      </c>
      <c r="I470" t="s">
        <v>478</v>
      </c>
      <c r="J470" t="s">
        <v>55</v>
      </c>
      <c r="K470">
        <f t="shared" si="84"/>
        <v>114.1</v>
      </c>
      <c r="L470">
        <f t="shared" si="85"/>
        <v>458.87900000000002</v>
      </c>
      <c r="M470" t="str">
        <f t="shared" si="86"/>
        <v>lucas-8</v>
      </c>
      <c r="N470" t="str">
        <f>INDEX(Scores!$A$2:$A$11,INDEX(Scores!$AA$2:$AA$131,MATCH(C470,Scores!$AB$2:$AB$131,0)))</f>
        <v>lucas</v>
      </c>
      <c r="O470">
        <f t="shared" si="87"/>
        <v>0</v>
      </c>
      <c r="P470">
        <f t="shared" si="88"/>
        <v>0</v>
      </c>
      <c r="Q470" s="3">
        <f t="shared" si="89"/>
        <v>0.99999994992018415</v>
      </c>
      <c r="R470" s="3">
        <f t="shared" si="90"/>
        <v>0.99999999952205199</v>
      </c>
      <c r="S470" s="9">
        <f t="shared" si="91"/>
        <v>4.960186783531384E-8</v>
      </c>
      <c r="T470">
        <f t="shared" si="92"/>
        <v>113</v>
      </c>
      <c r="U470">
        <f t="shared" si="93"/>
        <v>0</v>
      </c>
      <c r="V470" s="3">
        <f t="shared" si="94"/>
        <v>1</v>
      </c>
      <c r="W470" s="9">
        <f t="shared" si="95"/>
        <v>0</v>
      </c>
      <c r="AC470"/>
    </row>
    <row r="471" spans="1:29" x14ac:dyDescent="0.25">
      <c r="A471" t="s">
        <v>162</v>
      </c>
      <c r="B471">
        <v>8</v>
      </c>
      <c r="C471" t="s">
        <v>938</v>
      </c>
      <c r="D471" t="s">
        <v>475</v>
      </c>
      <c r="E471">
        <v>15</v>
      </c>
      <c r="F471">
        <v>5.62</v>
      </c>
      <c r="G471">
        <v>23.716899999999999</v>
      </c>
      <c r="H471" t="s">
        <v>114</v>
      </c>
      <c r="I471" t="s">
        <v>114</v>
      </c>
      <c r="J471" t="s">
        <v>27</v>
      </c>
      <c r="K471">
        <f t="shared" si="84"/>
        <v>100.87</v>
      </c>
      <c r="L471">
        <f t="shared" si="85"/>
        <v>421.5641</v>
      </c>
      <c r="M471" t="str">
        <f t="shared" si="86"/>
        <v>perry-8</v>
      </c>
      <c r="N471" t="str">
        <f>INDEX(Scores!$A$2:$A$11,INDEX(Scores!$AA$2:$AA$131,MATCH(C471,Scores!$AB$2:$AB$131,0)))</f>
        <v>perry</v>
      </c>
      <c r="O471">
        <f t="shared" si="87"/>
        <v>115.82</v>
      </c>
      <c r="P471">
        <f t="shared" si="88"/>
        <v>434.36700000000002</v>
      </c>
      <c r="Q471" s="3">
        <f t="shared" si="89"/>
        <v>0.30467516207413586</v>
      </c>
      <c r="R471" s="3">
        <f t="shared" si="90"/>
        <v>0.42344809790697002</v>
      </c>
      <c r="S471" s="9">
        <f t="shared" si="91"/>
        <v>0.11877293583283416</v>
      </c>
      <c r="T471">
        <f t="shared" si="92"/>
        <v>115</v>
      </c>
      <c r="U471">
        <f t="shared" si="93"/>
        <v>80</v>
      </c>
      <c r="V471" s="3">
        <f t="shared" si="94"/>
        <v>0.99999992827732087</v>
      </c>
      <c r="W471" s="9">
        <f t="shared" si="95"/>
        <v>7.1722679129138101E-8</v>
      </c>
      <c r="AC471"/>
    </row>
    <row r="472" spans="1:29" x14ac:dyDescent="0.25">
      <c r="A472" t="s">
        <v>206</v>
      </c>
      <c r="B472">
        <v>5</v>
      </c>
      <c r="C472" t="s">
        <v>884</v>
      </c>
      <c r="D472" t="s">
        <v>475</v>
      </c>
      <c r="E472">
        <v>4</v>
      </c>
      <c r="F472">
        <v>6.17</v>
      </c>
      <c r="G472">
        <v>24.502500000000001</v>
      </c>
      <c r="H472" t="s">
        <v>114</v>
      </c>
      <c r="I472" t="s">
        <v>114</v>
      </c>
      <c r="J472" t="s">
        <v>40</v>
      </c>
      <c r="K472">
        <f t="shared" si="84"/>
        <v>89.689999999999984</v>
      </c>
      <c r="L472">
        <f t="shared" si="85"/>
        <v>445.42419999999998</v>
      </c>
      <c r="M472" t="e">
        <f t="shared" si="86"/>
        <v>#N/A</v>
      </c>
      <c r="N472" t="e">
        <f>INDEX(Scores!$A$2:$A$11,INDEX(Scores!$AA$2:$AA$131,MATCH(C472,Scores!$AB$2:$AB$131,0)))</f>
        <v>#N/A</v>
      </c>
      <c r="O472">
        <f t="shared" si="87"/>
        <v>0</v>
      </c>
      <c r="P472">
        <f t="shared" si="88"/>
        <v>0</v>
      </c>
      <c r="Q472" s="3">
        <f t="shared" si="89"/>
        <v>0.99998929661032787</v>
      </c>
      <c r="R472" s="3">
        <f t="shared" si="90"/>
        <v>0.99999004334166619</v>
      </c>
      <c r="S472" s="9">
        <f t="shared" si="91"/>
        <v>7.4673133831915095E-7</v>
      </c>
      <c r="T472">
        <f t="shared" si="92"/>
        <v>93</v>
      </c>
      <c r="U472">
        <f t="shared" si="93"/>
        <v>0</v>
      </c>
      <c r="V472" s="3">
        <f t="shared" si="94"/>
        <v>1</v>
      </c>
      <c r="W472" s="9">
        <f t="shared" si="95"/>
        <v>0</v>
      </c>
      <c r="AC472"/>
    </row>
    <row r="473" spans="1:29" x14ac:dyDescent="0.25">
      <c r="A473" t="s">
        <v>246</v>
      </c>
      <c r="B473">
        <v>7</v>
      </c>
      <c r="C473" t="s">
        <v>929</v>
      </c>
      <c r="D473" t="s">
        <v>473</v>
      </c>
      <c r="E473">
        <v>7</v>
      </c>
      <c r="F473">
        <v>7.52</v>
      </c>
      <c r="G473">
        <v>20.976400000000002</v>
      </c>
      <c r="H473" t="s">
        <v>87</v>
      </c>
      <c r="I473" t="s">
        <v>87</v>
      </c>
      <c r="J473" t="s">
        <v>35</v>
      </c>
      <c r="K473">
        <f t="shared" si="84"/>
        <v>106.81</v>
      </c>
      <c r="L473">
        <f t="shared" si="85"/>
        <v>351.64060000000001</v>
      </c>
      <c r="M473" t="str">
        <f t="shared" si="86"/>
        <v>aj-7</v>
      </c>
      <c r="N473" t="str">
        <f>INDEX(Scores!$A$2:$A$11,INDEX(Scores!$AA$2:$AA$131,MATCH(C473,Scores!$AB$2:$AB$131,0)))</f>
        <v>aj</v>
      </c>
      <c r="O473">
        <f t="shared" si="87"/>
        <v>114.01999999999998</v>
      </c>
      <c r="P473">
        <f t="shared" si="88"/>
        <v>381.58529999999996</v>
      </c>
      <c r="Q473" s="3">
        <f t="shared" si="89"/>
        <v>0.39501702421215146</v>
      </c>
      <c r="R473" s="3">
        <f t="shared" si="90"/>
        <v>0.3860445865333918</v>
      </c>
      <c r="S473" s="9">
        <f t="shared" si="91"/>
        <v>-8.9724376787596594E-3</v>
      </c>
      <c r="T473">
        <f t="shared" si="92"/>
        <v>117</v>
      </c>
      <c r="U473">
        <f t="shared" si="93"/>
        <v>93</v>
      </c>
      <c r="V473" s="3">
        <f t="shared" si="94"/>
        <v>0.99999995691596455</v>
      </c>
      <c r="W473" s="9">
        <f t="shared" si="95"/>
        <v>4.3084035450391411E-8</v>
      </c>
      <c r="AC473"/>
    </row>
    <row r="474" spans="1:29" x14ac:dyDescent="0.25">
      <c r="A474" t="s">
        <v>122</v>
      </c>
      <c r="B474">
        <v>3</v>
      </c>
      <c r="C474" t="s">
        <v>807</v>
      </c>
      <c r="D474" t="s">
        <v>473</v>
      </c>
      <c r="E474">
        <v>11</v>
      </c>
      <c r="F474">
        <v>10.15</v>
      </c>
      <c r="G474">
        <v>29.593599999999999</v>
      </c>
      <c r="H474" t="s">
        <v>87</v>
      </c>
      <c r="I474" t="s">
        <v>87</v>
      </c>
      <c r="J474" t="s">
        <v>20</v>
      </c>
      <c r="K474">
        <f t="shared" si="84"/>
        <v>110.35</v>
      </c>
      <c r="L474">
        <f t="shared" si="85"/>
        <v>442.53309999999999</v>
      </c>
      <c r="M474" t="str">
        <f t="shared" si="86"/>
        <v>perry-3</v>
      </c>
      <c r="N474" t="str">
        <f>INDEX(Scores!$A$2:$A$11,INDEX(Scores!$AA$2:$AA$131,MATCH(C474,Scores!$AB$2:$AB$131,0)))</f>
        <v>perry</v>
      </c>
      <c r="O474">
        <f t="shared" si="87"/>
        <v>101.86999999999999</v>
      </c>
      <c r="P474">
        <f t="shared" si="88"/>
        <v>350.57169999999996</v>
      </c>
      <c r="Q474" s="3">
        <f t="shared" si="89"/>
        <v>0.61833611537492805</v>
      </c>
      <c r="R474" s="3">
        <f t="shared" si="90"/>
        <v>0.63218862558796396</v>
      </c>
      <c r="S474" s="9">
        <f t="shared" si="91"/>
        <v>1.3852510213035907E-2</v>
      </c>
      <c r="T474">
        <f t="shared" si="92"/>
        <v>132</v>
      </c>
      <c r="U474">
        <f t="shared" si="93"/>
        <v>102</v>
      </c>
      <c r="V474" s="3">
        <f t="shared" si="94"/>
        <v>0.99999995803188668</v>
      </c>
      <c r="W474" s="9">
        <f t="shared" si="95"/>
        <v>4.1968113317913947E-8</v>
      </c>
      <c r="AC474"/>
    </row>
    <row r="475" spans="1:29" x14ac:dyDescent="0.25">
      <c r="A475" t="s">
        <v>93</v>
      </c>
      <c r="B475">
        <v>3</v>
      </c>
      <c r="C475" t="s">
        <v>803</v>
      </c>
      <c r="D475" t="s">
        <v>471</v>
      </c>
      <c r="E475">
        <v>9</v>
      </c>
      <c r="F475">
        <v>11.73</v>
      </c>
      <c r="G475">
        <v>49.420900000000003</v>
      </c>
      <c r="H475" t="s">
        <v>87</v>
      </c>
      <c r="I475" t="s">
        <v>87</v>
      </c>
      <c r="J475" t="s">
        <v>16</v>
      </c>
      <c r="K475">
        <f t="shared" si="84"/>
        <v>106.94</v>
      </c>
      <c r="L475">
        <f t="shared" si="85"/>
        <v>452.911</v>
      </c>
      <c r="M475" t="str">
        <f t="shared" si="86"/>
        <v>lucas-3</v>
      </c>
      <c r="N475" t="str">
        <f>INDEX(Scores!$A$2:$A$11,INDEX(Scores!$AA$2:$AA$131,MATCH(C475,Scores!$AB$2:$AB$131,0)))</f>
        <v>lucas</v>
      </c>
      <c r="O475">
        <f t="shared" si="87"/>
        <v>0</v>
      </c>
      <c r="P475">
        <f t="shared" si="88"/>
        <v>0</v>
      </c>
      <c r="Q475" s="3">
        <f t="shared" si="89"/>
        <v>0.99999974824851112</v>
      </c>
      <c r="R475" s="3">
        <f t="shared" si="90"/>
        <v>0.99999989366988584</v>
      </c>
      <c r="S475" s="9">
        <f t="shared" si="91"/>
        <v>1.4542137471984518E-7</v>
      </c>
      <c r="T475">
        <f t="shared" si="92"/>
        <v>88</v>
      </c>
      <c r="U475">
        <f t="shared" si="93"/>
        <v>0</v>
      </c>
      <c r="V475" s="3">
        <f t="shared" si="94"/>
        <v>1</v>
      </c>
      <c r="W475" s="9">
        <f t="shared" si="95"/>
        <v>0</v>
      </c>
      <c r="AC475"/>
    </row>
    <row r="476" spans="1:29" x14ac:dyDescent="0.25">
      <c r="A476" t="s">
        <v>132</v>
      </c>
      <c r="B476">
        <v>6</v>
      </c>
      <c r="C476" t="s">
        <v>976</v>
      </c>
      <c r="D476" t="s">
        <v>469</v>
      </c>
      <c r="E476">
        <v>6</v>
      </c>
      <c r="F476">
        <v>11.8</v>
      </c>
      <c r="G476">
        <v>54.76</v>
      </c>
      <c r="H476" t="s">
        <v>47</v>
      </c>
      <c r="I476" t="s">
        <v>47</v>
      </c>
      <c r="J476" t="s">
        <v>44</v>
      </c>
      <c r="K476">
        <f t="shared" si="84"/>
        <v>90.009999999999991</v>
      </c>
      <c r="L476">
        <f t="shared" si="85"/>
        <v>295.93350000000004</v>
      </c>
      <c r="M476" t="str">
        <f t="shared" si="86"/>
        <v>scott-6</v>
      </c>
      <c r="N476" t="str">
        <f>INDEX(Scores!$A$2:$A$11,INDEX(Scores!$AA$2:$AA$131,MATCH(C476,Scores!$AB$2:$AB$131,0)))</f>
        <v>scott</v>
      </c>
      <c r="O476">
        <f t="shared" si="87"/>
        <v>110.30999999999999</v>
      </c>
      <c r="P476">
        <f t="shared" si="88"/>
        <v>388.52729999999997</v>
      </c>
      <c r="Q476" s="3">
        <f t="shared" si="89"/>
        <v>0.21889557883251567</v>
      </c>
      <c r="R476" s="3">
        <f t="shared" si="90"/>
        <v>0.14914767393735576</v>
      </c>
      <c r="S476" s="9">
        <f t="shared" si="91"/>
        <v>-6.9747904895159918E-2</v>
      </c>
      <c r="T476">
        <f t="shared" si="92"/>
        <v>130</v>
      </c>
      <c r="U476">
        <f t="shared" si="93"/>
        <v>96</v>
      </c>
      <c r="V476" s="3">
        <f t="shared" si="94"/>
        <v>0.99999996242013589</v>
      </c>
      <c r="W476" s="9">
        <f t="shared" si="95"/>
        <v>3.7579864109460459E-8</v>
      </c>
      <c r="AC476"/>
    </row>
    <row r="477" spans="1:29" x14ac:dyDescent="0.25">
      <c r="A477" t="s">
        <v>96</v>
      </c>
      <c r="B477">
        <v>8</v>
      </c>
      <c r="C477" t="s">
        <v>938</v>
      </c>
      <c r="D477" t="s">
        <v>471</v>
      </c>
      <c r="E477">
        <v>7</v>
      </c>
      <c r="F477">
        <v>13.84</v>
      </c>
      <c r="G477">
        <v>60.0625</v>
      </c>
      <c r="H477" t="s">
        <v>87</v>
      </c>
      <c r="I477" t="s">
        <v>87</v>
      </c>
      <c r="J477" t="s">
        <v>27</v>
      </c>
      <c r="K477">
        <f t="shared" si="84"/>
        <v>100.87</v>
      </c>
      <c r="L477">
        <f t="shared" si="85"/>
        <v>421.5641</v>
      </c>
      <c r="M477" t="str">
        <f t="shared" si="86"/>
        <v>perry-8</v>
      </c>
      <c r="N477" t="str">
        <f>INDEX(Scores!$A$2:$A$11,INDEX(Scores!$AA$2:$AA$131,MATCH(C477,Scores!$AB$2:$AB$131,0)))</f>
        <v>perry</v>
      </c>
      <c r="O477">
        <f t="shared" si="87"/>
        <v>115.82</v>
      </c>
      <c r="P477">
        <f t="shared" si="88"/>
        <v>434.36700000000002</v>
      </c>
      <c r="Q477" s="3">
        <f t="shared" si="89"/>
        <v>0.30467516207413586</v>
      </c>
      <c r="R477" s="3">
        <f t="shared" si="90"/>
        <v>0.21994178869894446</v>
      </c>
      <c r="S477" s="9">
        <f t="shared" si="91"/>
        <v>-8.4733373375191406E-2</v>
      </c>
      <c r="T477">
        <f t="shared" si="92"/>
        <v>115</v>
      </c>
      <c r="U477">
        <f t="shared" si="93"/>
        <v>80</v>
      </c>
      <c r="V477" s="3">
        <f t="shared" si="94"/>
        <v>0.99999996643905509</v>
      </c>
      <c r="W477" s="9">
        <f t="shared" si="95"/>
        <v>3.3560944912025548E-8</v>
      </c>
      <c r="AC477"/>
    </row>
    <row r="478" spans="1:29" x14ac:dyDescent="0.25">
      <c r="A478" t="s">
        <v>420</v>
      </c>
      <c r="B478">
        <v>3</v>
      </c>
      <c r="C478" t="s">
        <v>807</v>
      </c>
      <c r="D478" t="s">
        <v>477</v>
      </c>
      <c r="E478">
        <v>2</v>
      </c>
      <c r="F478">
        <v>9.0399999999999991</v>
      </c>
      <c r="G478">
        <v>47.059600000000003</v>
      </c>
      <c r="H478" t="s">
        <v>477</v>
      </c>
      <c r="I478" t="s">
        <v>477</v>
      </c>
      <c r="J478" t="s">
        <v>20</v>
      </c>
      <c r="K478">
        <f t="shared" si="84"/>
        <v>110.35</v>
      </c>
      <c r="L478">
        <f t="shared" si="85"/>
        <v>442.53309999999999</v>
      </c>
      <c r="M478" t="str">
        <f t="shared" si="86"/>
        <v>perry-3</v>
      </c>
      <c r="N478" t="str">
        <f>INDEX(Scores!$A$2:$A$11,INDEX(Scores!$AA$2:$AA$131,MATCH(C478,Scores!$AB$2:$AB$131,0)))</f>
        <v>perry</v>
      </c>
      <c r="O478">
        <f t="shared" si="87"/>
        <v>101.86999999999999</v>
      </c>
      <c r="P478">
        <f t="shared" si="88"/>
        <v>350.57169999999996</v>
      </c>
      <c r="Q478" s="3">
        <f t="shared" si="89"/>
        <v>0.61833611537492805</v>
      </c>
      <c r="R478" s="3">
        <f t="shared" si="90"/>
        <v>0.52102271686229984</v>
      </c>
      <c r="S478" s="9">
        <f t="shared" si="91"/>
        <v>-9.7313398512628213E-2</v>
      </c>
      <c r="T478">
        <f t="shared" si="92"/>
        <v>132</v>
      </c>
      <c r="U478">
        <f t="shared" si="93"/>
        <v>102</v>
      </c>
      <c r="V478" s="3">
        <f t="shared" si="94"/>
        <v>0.99999996657107981</v>
      </c>
      <c r="W478" s="9">
        <f t="shared" si="95"/>
        <v>3.3428920187539291E-8</v>
      </c>
      <c r="AC478"/>
    </row>
    <row r="479" spans="1:29" x14ac:dyDescent="0.25">
      <c r="A479" t="s">
        <v>449</v>
      </c>
      <c r="B479">
        <v>13</v>
      </c>
      <c r="C479" t="s">
        <v>919</v>
      </c>
      <c r="D479" t="s">
        <v>478</v>
      </c>
      <c r="E479">
        <v>7</v>
      </c>
      <c r="F479">
        <v>7.51</v>
      </c>
      <c r="G479">
        <v>14.288399999999999</v>
      </c>
      <c r="H479" t="s">
        <v>478</v>
      </c>
      <c r="I479" t="s">
        <v>478</v>
      </c>
      <c r="J479" t="s">
        <v>16</v>
      </c>
      <c r="K479">
        <f t="shared" si="84"/>
        <v>106.87</v>
      </c>
      <c r="L479">
        <f t="shared" si="85"/>
        <v>444.05589999999995</v>
      </c>
      <c r="M479" t="str">
        <f t="shared" si="86"/>
        <v>scott-13</v>
      </c>
      <c r="N479" t="str">
        <f>INDEX(Scores!$A$2:$A$11,INDEX(Scores!$AA$2:$AA$131,MATCH(C479,Scores!$AB$2:$AB$131,0)))</f>
        <v>scott</v>
      </c>
      <c r="O479">
        <f t="shared" si="87"/>
        <v>108.61</v>
      </c>
      <c r="P479">
        <f t="shared" si="88"/>
        <v>407.25390000000004</v>
      </c>
      <c r="Q479" s="3">
        <f t="shared" si="89"/>
        <v>0.47622294087495948</v>
      </c>
      <c r="R479" s="3">
        <f t="shared" si="90"/>
        <v>0.46900535304211138</v>
      </c>
      <c r="S479" s="9">
        <f t="shared" si="91"/>
        <v>-7.2175878328480936E-3</v>
      </c>
      <c r="T479">
        <f t="shared" si="92"/>
        <v>86</v>
      </c>
      <c r="U479">
        <f t="shared" si="93"/>
        <v>66</v>
      </c>
      <c r="V479" s="3">
        <f t="shared" si="94"/>
        <v>0.99999997117256623</v>
      </c>
      <c r="W479" s="9">
        <f t="shared" si="95"/>
        <v>2.8827433773415123E-8</v>
      </c>
      <c r="AC479"/>
    </row>
    <row r="480" spans="1:29" x14ac:dyDescent="0.25">
      <c r="A480" t="s">
        <v>26</v>
      </c>
      <c r="B480">
        <v>8</v>
      </c>
      <c r="C480" t="s">
        <v>938</v>
      </c>
      <c r="D480" t="s">
        <v>467</v>
      </c>
      <c r="E480">
        <v>15</v>
      </c>
      <c r="F480">
        <v>21.53</v>
      </c>
      <c r="G480">
        <v>58.216900000000003</v>
      </c>
      <c r="H480" t="s">
        <v>15</v>
      </c>
      <c r="I480" t="s">
        <v>15</v>
      </c>
      <c r="J480" t="s">
        <v>27</v>
      </c>
      <c r="K480">
        <f t="shared" si="84"/>
        <v>100.87</v>
      </c>
      <c r="L480">
        <f t="shared" si="85"/>
        <v>421.5641</v>
      </c>
      <c r="M480" t="str">
        <f t="shared" si="86"/>
        <v>perry-8</v>
      </c>
      <c r="N480" t="str">
        <f>INDEX(Scores!$A$2:$A$11,INDEX(Scores!$AA$2:$AA$131,MATCH(C480,Scores!$AB$2:$AB$131,0)))</f>
        <v>perry</v>
      </c>
      <c r="O480">
        <f t="shared" si="87"/>
        <v>115.82</v>
      </c>
      <c r="P480">
        <f t="shared" si="88"/>
        <v>434.36700000000002</v>
      </c>
      <c r="Q480" s="3">
        <f t="shared" si="89"/>
        <v>0.30467516207413586</v>
      </c>
      <c r="R480" s="3">
        <f t="shared" si="90"/>
        <v>0.22347192203827398</v>
      </c>
      <c r="S480" s="9">
        <f t="shared" si="91"/>
        <v>-8.1203240035861879E-2</v>
      </c>
      <c r="T480">
        <f t="shared" si="92"/>
        <v>115</v>
      </c>
      <c r="U480">
        <f t="shared" si="93"/>
        <v>80</v>
      </c>
      <c r="V480" s="3">
        <f t="shared" si="94"/>
        <v>0.99999997380294114</v>
      </c>
      <c r="W480" s="9">
        <f t="shared" si="95"/>
        <v>2.6197058855537136E-8</v>
      </c>
      <c r="AC480"/>
    </row>
    <row r="481" spans="1:29" x14ac:dyDescent="0.25">
      <c r="A481" t="s">
        <v>189</v>
      </c>
      <c r="B481">
        <v>10</v>
      </c>
      <c r="C481" t="s">
        <v>964</v>
      </c>
      <c r="D481" t="s">
        <v>475</v>
      </c>
      <c r="E481">
        <v>0</v>
      </c>
      <c r="F481">
        <v>6.42</v>
      </c>
      <c r="G481">
        <v>14.976900000000001</v>
      </c>
      <c r="H481" t="s">
        <v>114</v>
      </c>
      <c r="I481" t="s">
        <v>114</v>
      </c>
      <c r="J481" t="s">
        <v>23</v>
      </c>
      <c r="K481">
        <f t="shared" si="84"/>
        <v>103.49</v>
      </c>
      <c r="L481">
        <f t="shared" si="85"/>
        <v>345.28400000000005</v>
      </c>
      <c r="M481" t="str">
        <f t="shared" si="86"/>
        <v>cory-10</v>
      </c>
      <c r="N481" t="str">
        <f>INDEX(Scores!$A$2:$A$11,INDEX(Scores!$AA$2:$AA$131,MATCH(C481,Scores!$AB$2:$AB$131,0)))</f>
        <v>cory</v>
      </c>
      <c r="O481">
        <f t="shared" si="87"/>
        <v>93.17</v>
      </c>
      <c r="P481">
        <f t="shared" si="88"/>
        <v>328.34589999999997</v>
      </c>
      <c r="Q481" s="3">
        <f t="shared" si="89"/>
        <v>0.65454511164456886</v>
      </c>
      <c r="R481" s="3">
        <f t="shared" si="90"/>
        <v>0.56039172157142769</v>
      </c>
      <c r="S481" s="9">
        <f t="shared" si="91"/>
        <v>-9.4153390073141163E-2</v>
      </c>
      <c r="T481">
        <f t="shared" si="92"/>
        <v>106</v>
      </c>
      <c r="U481">
        <f t="shared" si="93"/>
        <v>91</v>
      </c>
      <c r="V481" s="3">
        <f t="shared" si="94"/>
        <v>0.99999998442825511</v>
      </c>
      <c r="W481" s="9">
        <f t="shared" si="95"/>
        <v>1.557174489352775E-8</v>
      </c>
      <c r="AC481"/>
    </row>
    <row r="482" spans="1:29" x14ac:dyDescent="0.25">
      <c r="A482" t="s">
        <v>149</v>
      </c>
      <c r="B482">
        <v>11</v>
      </c>
      <c r="C482" t="s">
        <v>925</v>
      </c>
      <c r="D482" t="s">
        <v>473</v>
      </c>
      <c r="E482">
        <v>1</v>
      </c>
      <c r="F482">
        <v>7.75</v>
      </c>
      <c r="G482">
        <v>23.04</v>
      </c>
      <c r="H482" t="s">
        <v>87</v>
      </c>
      <c r="I482" t="s">
        <v>87</v>
      </c>
      <c r="J482" t="s">
        <v>55</v>
      </c>
      <c r="K482">
        <f t="shared" si="84"/>
        <v>110.11</v>
      </c>
      <c r="L482">
        <f t="shared" si="85"/>
        <v>412.79880000000003</v>
      </c>
      <c r="M482" t="str">
        <f t="shared" si="86"/>
        <v>seth-11</v>
      </c>
      <c r="N482" t="str">
        <f>INDEX(Scores!$A$2:$A$11,INDEX(Scores!$AA$2:$AA$131,MATCH(C482,Scores!$AB$2:$AB$131,0)))</f>
        <v>seth</v>
      </c>
      <c r="O482">
        <f t="shared" si="87"/>
        <v>98.329999999999984</v>
      </c>
      <c r="P482">
        <f t="shared" si="88"/>
        <v>378.70709999999997</v>
      </c>
      <c r="Q482" s="3">
        <f t="shared" si="89"/>
        <v>0.66228767586387005</v>
      </c>
      <c r="R482" s="3">
        <f t="shared" si="90"/>
        <v>0.57199260092112358</v>
      </c>
      <c r="S482" s="9">
        <f t="shared" si="91"/>
        <v>-9.0295074942746467E-2</v>
      </c>
      <c r="T482">
        <f t="shared" si="92"/>
        <v>131</v>
      </c>
      <c r="U482">
        <f t="shared" si="93"/>
        <v>111</v>
      </c>
      <c r="V482" s="3">
        <f t="shared" si="94"/>
        <v>0.99999998747452912</v>
      </c>
      <c r="W482" s="9">
        <f t="shared" si="95"/>
        <v>1.2525470882707168E-8</v>
      </c>
      <c r="AC482"/>
    </row>
    <row r="483" spans="1:29" x14ac:dyDescent="0.25">
      <c r="A483" t="s">
        <v>462</v>
      </c>
      <c r="B483">
        <v>9</v>
      </c>
      <c r="C483" t="s">
        <v>979</v>
      </c>
      <c r="D483" t="s">
        <v>478</v>
      </c>
      <c r="E483">
        <v>3</v>
      </c>
      <c r="F483">
        <v>7.88</v>
      </c>
      <c r="G483">
        <v>16.809999999999999</v>
      </c>
      <c r="H483" t="s">
        <v>478</v>
      </c>
      <c r="I483" t="s">
        <v>478</v>
      </c>
      <c r="J483" t="s">
        <v>44</v>
      </c>
      <c r="K483">
        <f t="shared" si="84"/>
        <v>92.559999999999988</v>
      </c>
      <c r="L483">
        <f t="shared" si="85"/>
        <v>350.31569999999999</v>
      </c>
      <c r="M483" t="str">
        <f t="shared" si="86"/>
        <v>comp-9</v>
      </c>
      <c r="N483" t="str">
        <f>INDEX(Scores!$A$2:$A$11,INDEX(Scores!$AA$2:$AA$131,MATCH(C483,Scores!$AB$2:$AB$131,0)))</f>
        <v>comp</v>
      </c>
      <c r="O483">
        <f t="shared" si="87"/>
        <v>80.800000000000011</v>
      </c>
      <c r="P483">
        <f t="shared" si="88"/>
        <v>290.44450000000001</v>
      </c>
      <c r="Q483" s="3">
        <f t="shared" si="89"/>
        <v>0.67888350653659379</v>
      </c>
      <c r="R483" s="3">
        <f t="shared" si="90"/>
        <v>0.60850759450736747</v>
      </c>
      <c r="S483" s="9">
        <f t="shared" si="91"/>
        <v>-7.0375912029226328E-2</v>
      </c>
      <c r="T483">
        <f t="shared" si="92"/>
        <v>95</v>
      </c>
      <c r="U483">
        <f t="shared" si="93"/>
        <v>77</v>
      </c>
      <c r="V483" s="3">
        <f t="shared" si="94"/>
        <v>0.99999998800775158</v>
      </c>
      <c r="W483" s="9">
        <f t="shared" si="95"/>
        <v>1.1992248416525797E-8</v>
      </c>
      <c r="AC483"/>
    </row>
    <row r="484" spans="1:29" x14ac:dyDescent="0.25">
      <c r="A484" t="s">
        <v>18</v>
      </c>
      <c r="B484">
        <v>11</v>
      </c>
      <c r="C484" t="s">
        <v>909</v>
      </c>
      <c r="D484" t="s">
        <v>467</v>
      </c>
      <c r="E484">
        <v>25</v>
      </c>
      <c r="F484">
        <v>22.24</v>
      </c>
      <c r="G484">
        <v>59.752899999999997</v>
      </c>
      <c r="H484" t="s">
        <v>15</v>
      </c>
      <c r="I484" t="s">
        <v>15</v>
      </c>
      <c r="J484" t="s">
        <v>20</v>
      </c>
      <c r="K484">
        <f t="shared" si="84"/>
        <v>105.39999999999999</v>
      </c>
      <c r="L484">
        <f t="shared" si="85"/>
        <v>342.09739999999999</v>
      </c>
      <c r="M484" t="str">
        <f t="shared" si="86"/>
        <v>devon-11</v>
      </c>
      <c r="N484" t="str">
        <f>INDEX(Scores!$A$2:$A$11,INDEX(Scores!$AA$2:$AA$131,MATCH(C484,Scores!$AB$2:$AB$131,0)))</f>
        <v>devon</v>
      </c>
      <c r="O484">
        <f t="shared" si="87"/>
        <v>100.25</v>
      </c>
      <c r="P484">
        <f t="shared" si="88"/>
        <v>448.76889999999997</v>
      </c>
      <c r="Q484" s="3">
        <f t="shared" si="89"/>
        <v>0.57265136255925952</v>
      </c>
      <c r="R484" s="3">
        <f t="shared" si="90"/>
        <v>0.61506281449279043</v>
      </c>
      <c r="S484" s="9">
        <f t="shared" si="91"/>
        <v>4.2411451933530908E-2</v>
      </c>
      <c r="T484">
        <f t="shared" si="92"/>
        <v>124</v>
      </c>
      <c r="U484">
        <f t="shared" si="93"/>
        <v>78</v>
      </c>
      <c r="V484" s="3">
        <f t="shared" si="94"/>
        <v>0.9999999888917448</v>
      </c>
      <c r="W484" s="9">
        <f t="shared" si="95"/>
        <v>1.1108255204561601E-8</v>
      </c>
      <c r="AC484"/>
    </row>
    <row r="485" spans="1:29" x14ac:dyDescent="0.25">
      <c r="A485" t="s">
        <v>177</v>
      </c>
      <c r="B485">
        <v>13</v>
      </c>
      <c r="C485" t="s">
        <v>919</v>
      </c>
      <c r="D485" t="s">
        <v>475</v>
      </c>
      <c r="E485">
        <v>2</v>
      </c>
      <c r="F485">
        <v>8.3000000000000007</v>
      </c>
      <c r="G485">
        <v>22.09</v>
      </c>
      <c r="H485" t="s">
        <v>114</v>
      </c>
      <c r="I485" t="s">
        <v>114</v>
      </c>
      <c r="J485" t="s">
        <v>16</v>
      </c>
      <c r="K485">
        <f t="shared" si="84"/>
        <v>106.87</v>
      </c>
      <c r="L485">
        <f t="shared" si="85"/>
        <v>444.05589999999995</v>
      </c>
      <c r="M485" t="str">
        <f t="shared" si="86"/>
        <v>scott-13</v>
      </c>
      <c r="N485" t="str">
        <f>INDEX(Scores!$A$2:$A$11,INDEX(Scores!$AA$2:$AA$131,MATCH(C485,Scores!$AB$2:$AB$131,0)))</f>
        <v>scott</v>
      </c>
      <c r="O485">
        <f t="shared" si="87"/>
        <v>108.61</v>
      </c>
      <c r="P485">
        <f t="shared" si="88"/>
        <v>407.25390000000004</v>
      </c>
      <c r="Q485" s="3">
        <f t="shared" si="89"/>
        <v>0.47622294087495948</v>
      </c>
      <c r="R485" s="3">
        <f t="shared" si="90"/>
        <v>0.39004424038898561</v>
      </c>
      <c r="S485" s="9">
        <f t="shared" si="91"/>
        <v>-8.6178700485973869E-2</v>
      </c>
      <c r="T485">
        <f t="shared" si="92"/>
        <v>86</v>
      </c>
      <c r="U485">
        <f t="shared" si="93"/>
        <v>66</v>
      </c>
      <c r="V485" s="3">
        <f t="shared" si="94"/>
        <v>0.99999998901616061</v>
      </c>
      <c r="W485" s="9">
        <f t="shared" si="95"/>
        <v>1.0983839393574613E-8</v>
      </c>
      <c r="AC485"/>
    </row>
    <row r="486" spans="1:29" x14ac:dyDescent="0.25">
      <c r="A486" t="s">
        <v>98</v>
      </c>
      <c r="B486">
        <v>6</v>
      </c>
      <c r="C486" t="s">
        <v>976</v>
      </c>
      <c r="D486" t="s">
        <v>471</v>
      </c>
      <c r="E486">
        <v>6</v>
      </c>
      <c r="F486">
        <v>10.61</v>
      </c>
      <c r="G486">
        <v>47.472099999999998</v>
      </c>
      <c r="H486" t="s">
        <v>87</v>
      </c>
      <c r="I486" t="s">
        <v>87</v>
      </c>
      <c r="J486" t="s">
        <v>44</v>
      </c>
      <c r="K486">
        <f t="shared" si="84"/>
        <v>90.009999999999991</v>
      </c>
      <c r="L486">
        <f t="shared" si="85"/>
        <v>295.93350000000004</v>
      </c>
      <c r="M486" t="str">
        <f t="shared" si="86"/>
        <v>scott-6</v>
      </c>
      <c r="N486" t="str">
        <f>INDEX(Scores!$A$2:$A$11,INDEX(Scores!$AA$2:$AA$131,MATCH(C486,Scores!$AB$2:$AB$131,0)))</f>
        <v>scott</v>
      </c>
      <c r="O486">
        <f t="shared" si="87"/>
        <v>110.30999999999999</v>
      </c>
      <c r="P486">
        <f t="shared" si="88"/>
        <v>388.52729999999997</v>
      </c>
      <c r="Q486" s="3">
        <f t="shared" si="89"/>
        <v>0.21889557883251567</v>
      </c>
      <c r="R486" s="3">
        <f t="shared" si="90"/>
        <v>0.16182649397526977</v>
      </c>
      <c r="S486" s="9">
        <f t="shared" si="91"/>
        <v>-5.7069084857245905E-2</v>
      </c>
      <c r="T486">
        <f t="shared" si="92"/>
        <v>130</v>
      </c>
      <c r="U486">
        <f t="shared" si="93"/>
        <v>96</v>
      </c>
      <c r="V486" s="3">
        <f t="shared" si="94"/>
        <v>0.99999998951326774</v>
      </c>
      <c r="W486" s="9">
        <f t="shared" si="95"/>
        <v>1.0486732260339693E-8</v>
      </c>
      <c r="AC486"/>
    </row>
    <row r="487" spans="1:29" x14ac:dyDescent="0.25">
      <c r="A487" t="s">
        <v>125</v>
      </c>
      <c r="B487">
        <v>4</v>
      </c>
      <c r="C487" t="s">
        <v>866</v>
      </c>
      <c r="D487" t="s">
        <v>472</v>
      </c>
      <c r="E487">
        <v>1</v>
      </c>
      <c r="F487">
        <v>8.67</v>
      </c>
      <c r="G487">
        <v>54.908099999999997</v>
      </c>
      <c r="H487" t="s">
        <v>87</v>
      </c>
      <c r="I487" t="s">
        <v>87</v>
      </c>
      <c r="J487" t="s">
        <v>55</v>
      </c>
      <c r="K487">
        <f t="shared" si="84"/>
        <v>118.09999999999998</v>
      </c>
      <c r="L487">
        <f t="shared" si="85"/>
        <v>465.47660000000008</v>
      </c>
      <c r="M487" t="str">
        <f t="shared" si="86"/>
        <v>comp-4</v>
      </c>
      <c r="N487" t="str">
        <f>INDEX(Scores!$A$2:$A$11,INDEX(Scores!$AA$2:$AA$131,MATCH(C487,Scores!$AB$2:$AB$131,0)))</f>
        <v>comp</v>
      </c>
      <c r="O487">
        <f t="shared" si="87"/>
        <v>103.70000000000002</v>
      </c>
      <c r="P487">
        <f t="shared" si="88"/>
        <v>412.10110000000003</v>
      </c>
      <c r="Q487" s="3">
        <f t="shared" si="89"/>
        <v>0.68654951827928645</v>
      </c>
      <c r="R487" s="3">
        <f t="shared" si="90"/>
        <v>0.59275598043563527</v>
      </c>
      <c r="S487" s="9">
        <f t="shared" si="91"/>
        <v>-9.3793537843651187E-2</v>
      </c>
      <c r="T487">
        <f t="shared" si="92"/>
        <v>80</v>
      </c>
      <c r="U487">
        <f t="shared" si="93"/>
        <v>46</v>
      </c>
      <c r="V487" s="3">
        <f t="shared" si="94"/>
        <v>0.99999999064267453</v>
      </c>
      <c r="W487" s="9">
        <f t="shared" si="95"/>
        <v>9.3573254700274333E-9</v>
      </c>
      <c r="AC487"/>
    </row>
    <row r="488" spans="1:29" x14ac:dyDescent="0.25">
      <c r="A488" t="s">
        <v>86</v>
      </c>
      <c r="B488">
        <v>4</v>
      </c>
      <c r="C488" t="s">
        <v>866</v>
      </c>
      <c r="D488" t="s">
        <v>471</v>
      </c>
      <c r="E488">
        <v>9</v>
      </c>
      <c r="F488">
        <v>13.04</v>
      </c>
      <c r="G488">
        <v>45.697600000000001</v>
      </c>
      <c r="H488" t="s">
        <v>87</v>
      </c>
      <c r="I488" t="s">
        <v>87</v>
      </c>
      <c r="J488" t="s">
        <v>55</v>
      </c>
      <c r="K488">
        <f t="shared" si="84"/>
        <v>118.09999999999998</v>
      </c>
      <c r="L488">
        <f t="shared" si="85"/>
        <v>465.47660000000008</v>
      </c>
      <c r="M488" t="str">
        <f t="shared" si="86"/>
        <v>comp-4</v>
      </c>
      <c r="N488" t="str">
        <f>INDEX(Scores!$A$2:$A$11,INDEX(Scores!$AA$2:$AA$131,MATCH(C488,Scores!$AB$2:$AB$131,0)))</f>
        <v>comp</v>
      </c>
      <c r="O488">
        <f t="shared" si="87"/>
        <v>103.70000000000002</v>
      </c>
      <c r="P488">
        <f t="shared" si="88"/>
        <v>412.10110000000003</v>
      </c>
      <c r="Q488" s="3">
        <f t="shared" si="89"/>
        <v>0.68654951827928645</v>
      </c>
      <c r="R488" s="3">
        <f t="shared" si="90"/>
        <v>0.64027511475841148</v>
      </c>
      <c r="S488" s="9">
        <f t="shared" si="91"/>
        <v>-4.6274403520874974E-2</v>
      </c>
      <c r="T488">
        <f t="shared" si="92"/>
        <v>80</v>
      </c>
      <c r="U488">
        <f t="shared" si="93"/>
        <v>46</v>
      </c>
      <c r="V488" s="3">
        <f t="shared" si="94"/>
        <v>0.99999999084308866</v>
      </c>
      <c r="W488" s="9">
        <f t="shared" si="95"/>
        <v>9.1569113402911739E-9</v>
      </c>
      <c r="AC488"/>
    </row>
    <row r="489" spans="1:29" x14ac:dyDescent="0.25">
      <c r="A489" t="s">
        <v>177</v>
      </c>
      <c r="B489">
        <v>11</v>
      </c>
      <c r="C489" t="s">
        <v>917</v>
      </c>
      <c r="D489" t="s">
        <v>475</v>
      </c>
      <c r="E489">
        <v>0</v>
      </c>
      <c r="F489">
        <v>10.029999999999999</v>
      </c>
      <c r="G489">
        <v>52.707599999999999</v>
      </c>
      <c r="H489" t="s">
        <v>114</v>
      </c>
      <c r="I489" t="s">
        <v>114</v>
      </c>
      <c r="J489" t="s">
        <v>16</v>
      </c>
      <c r="K489">
        <f t="shared" si="84"/>
        <v>102.11</v>
      </c>
      <c r="L489">
        <f t="shared" si="85"/>
        <v>431.97960000000006</v>
      </c>
      <c r="M489" t="str">
        <f t="shared" si="86"/>
        <v>chad-11</v>
      </c>
      <c r="N489" t="str">
        <f>INDEX(Scores!$A$2:$A$11,INDEX(Scores!$AA$2:$AA$131,MATCH(C489,Scores!$AB$2:$AB$131,0)))</f>
        <v>chad</v>
      </c>
      <c r="O489">
        <f t="shared" si="87"/>
        <v>106.58</v>
      </c>
      <c r="P489">
        <f t="shared" si="88"/>
        <v>427.68610000000001</v>
      </c>
      <c r="Q489" s="3">
        <f t="shared" si="89"/>
        <v>0.43941389461043751</v>
      </c>
      <c r="R489" s="3">
        <f t="shared" si="90"/>
        <v>0.30487252136930293</v>
      </c>
      <c r="S489" s="9">
        <f t="shared" si="91"/>
        <v>-0.13454137324113458</v>
      </c>
      <c r="T489">
        <f t="shared" si="92"/>
        <v>130</v>
      </c>
      <c r="U489">
        <f t="shared" si="93"/>
        <v>99</v>
      </c>
      <c r="V489" s="3">
        <f t="shared" si="94"/>
        <v>0.99999999204801671</v>
      </c>
      <c r="W489" s="9">
        <f t="shared" si="95"/>
        <v>7.951983294063325E-9</v>
      </c>
      <c r="AC489"/>
    </row>
    <row r="490" spans="1:29" x14ac:dyDescent="0.25">
      <c r="A490" t="s">
        <v>452</v>
      </c>
      <c r="B490">
        <v>9</v>
      </c>
      <c r="C490" t="s">
        <v>907</v>
      </c>
      <c r="D490" t="s">
        <v>478</v>
      </c>
      <c r="E490">
        <v>5</v>
      </c>
      <c r="F490">
        <v>6.65</v>
      </c>
      <c r="G490">
        <v>17.4724</v>
      </c>
      <c r="H490" t="s">
        <v>478</v>
      </c>
      <c r="I490" t="s">
        <v>478</v>
      </c>
      <c r="J490" t="s">
        <v>20</v>
      </c>
      <c r="K490">
        <f t="shared" si="84"/>
        <v>83.52</v>
      </c>
      <c r="L490">
        <f t="shared" si="85"/>
        <v>286.42129999999997</v>
      </c>
      <c r="M490" t="str">
        <f t="shared" si="86"/>
        <v>lucas-9</v>
      </c>
      <c r="N490" t="str">
        <f>INDEX(Scores!$A$2:$A$11,INDEX(Scores!$AA$2:$AA$131,MATCH(C490,Scores!$AB$2:$AB$131,0)))</f>
        <v>lucas</v>
      </c>
      <c r="O490">
        <f t="shared" si="87"/>
        <v>0</v>
      </c>
      <c r="P490">
        <f t="shared" si="88"/>
        <v>0</v>
      </c>
      <c r="Q490" s="3">
        <f t="shared" si="89"/>
        <v>0.9999995992619003</v>
      </c>
      <c r="R490" s="3">
        <f t="shared" si="90"/>
        <v>0.99999970148622375</v>
      </c>
      <c r="S490" s="9">
        <f t="shared" si="91"/>
        <v>1.0222432345052823E-7</v>
      </c>
      <c r="T490">
        <f t="shared" si="92"/>
        <v>89</v>
      </c>
      <c r="U490">
        <f t="shared" si="93"/>
        <v>0</v>
      </c>
      <c r="V490" s="3">
        <f t="shared" si="94"/>
        <v>1</v>
      </c>
      <c r="W490" s="9">
        <f t="shared" si="95"/>
        <v>0</v>
      </c>
      <c r="AC490"/>
    </row>
    <row r="491" spans="1:29" x14ac:dyDescent="0.25">
      <c r="A491" t="s">
        <v>613</v>
      </c>
      <c r="B491">
        <v>6</v>
      </c>
      <c r="C491" t="s">
        <v>976</v>
      </c>
      <c r="D491" t="s">
        <v>472</v>
      </c>
      <c r="E491">
        <v>15</v>
      </c>
      <c r="F491">
        <v>6.41</v>
      </c>
      <c r="G491">
        <v>20.1601</v>
      </c>
      <c r="H491" t="s">
        <v>87</v>
      </c>
      <c r="I491" t="s">
        <v>87</v>
      </c>
      <c r="J491" t="s">
        <v>44</v>
      </c>
      <c r="K491">
        <f t="shared" si="84"/>
        <v>90.009999999999991</v>
      </c>
      <c r="L491">
        <f t="shared" si="85"/>
        <v>295.93350000000004</v>
      </c>
      <c r="M491" t="str">
        <f t="shared" si="86"/>
        <v>scott-6</v>
      </c>
      <c r="N491" t="str">
        <f>INDEX(Scores!$A$2:$A$11,INDEX(Scores!$AA$2:$AA$131,MATCH(C491,Scores!$AB$2:$AB$131,0)))</f>
        <v>scott</v>
      </c>
      <c r="O491">
        <f t="shared" si="87"/>
        <v>110.30999999999999</v>
      </c>
      <c r="P491">
        <f t="shared" si="88"/>
        <v>388.52729999999997</v>
      </c>
      <c r="Q491" s="3">
        <f t="shared" si="89"/>
        <v>0.21889557883251567</v>
      </c>
      <c r="R491" s="3">
        <f t="shared" si="90"/>
        <v>0.32479448689497348</v>
      </c>
      <c r="S491" s="9">
        <f t="shared" si="91"/>
        <v>0.1058989080624578</v>
      </c>
      <c r="T491">
        <f t="shared" si="92"/>
        <v>130</v>
      </c>
      <c r="U491">
        <f t="shared" si="93"/>
        <v>96</v>
      </c>
      <c r="V491" s="3">
        <f t="shared" si="94"/>
        <v>0.99999999239788206</v>
      </c>
      <c r="W491" s="9">
        <f t="shared" si="95"/>
        <v>7.6021179351570822E-9</v>
      </c>
      <c r="AC491"/>
    </row>
    <row r="492" spans="1:29" x14ac:dyDescent="0.25">
      <c r="A492" t="s">
        <v>116</v>
      </c>
      <c r="B492">
        <v>7</v>
      </c>
      <c r="C492" t="s">
        <v>929</v>
      </c>
      <c r="D492" t="s">
        <v>472</v>
      </c>
      <c r="E492">
        <v>8</v>
      </c>
      <c r="F492">
        <v>9.3000000000000007</v>
      </c>
      <c r="G492">
        <v>19.980899999999998</v>
      </c>
      <c r="H492" t="s">
        <v>87</v>
      </c>
      <c r="I492" t="s">
        <v>87</v>
      </c>
      <c r="J492" t="s">
        <v>35</v>
      </c>
      <c r="K492">
        <f t="shared" si="84"/>
        <v>106.81</v>
      </c>
      <c r="L492">
        <f t="shared" si="85"/>
        <v>351.64060000000001</v>
      </c>
      <c r="M492" t="str">
        <f t="shared" si="86"/>
        <v>aj-7</v>
      </c>
      <c r="N492" t="str">
        <f>INDEX(Scores!$A$2:$A$11,INDEX(Scores!$AA$2:$AA$131,MATCH(C492,Scores!$AB$2:$AB$131,0)))</f>
        <v>aj</v>
      </c>
      <c r="O492">
        <f t="shared" si="87"/>
        <v>114.01999999999998</v>
      </c>
      <c r="P492">
        <f t="shared" si="88"/>
        <v>381.58529999999996</v>
      </c>
      <c r="Q492" s="3">
        <f t="shared" si="89"/>
        <v>0.39501702421215146</v>
      </c>
      <c r="R492" s="3">
        <f t="shared" si="90"/>
        <v>0.37499700481727433</v>
      </c>
      <c r="S492" s="9">
        <f t="shared" si="91"/>
        <v>-2.0020019394877131E-2</v>
      </c>
      <c r="T492">
        <f t="shared" si="92"/>
        <v>117</v>
      </c>
      <c r="U492">
        <f t="shared" si="93"/>
        <v>93</v>
      </c>
      <c r="V492" s="3">
        <f t="shared" si="94"/>
        <v>0.99999999242937676</v>
      </c>
      <c r="W492" s="9">
        <f t="shared" si="95"/>
        <v>7.5706232394168183E-9</v>
      </c>
      <c r="AC492"/>
    </row>
    <row r="493" spans="1:29" x14ac:dyDescent="0.25">
      <c r="A493" t="s">
        <v>57</v>
      </c>
      <c r="B493">
        <v>2</v>
      </c>
      <c r="C493" t="s">
        <v>633</v>
      </c>
      <c r="D493" t="s">
        <v>468</v>
      </c>
      <c r="E493">
        <v>1</v>
      </c>
      <c r="F493">
        <v>15.67</v>
      </c>
      <c r="G493">
        <v>73.616399999999999</v>
      </c>
      <c r="H493" t="s">
        <v>47</v>
      </c>
      <c r="I493" t="s">
        <v>47</v>
      </c>
      <c r="J493" t="s">
        <v>35</v>
      </c>
      <c r="K493">
        <f t="shared" si="84"/>
        <v>100.92999999999999</v>
      </c>
      <c r="L493">
        <f t="shared" si="85"/>
        <v>374.85250000000002</v>
      </c>
      <c r="M493" t="str">
        <f t="shared" si="86"/>
        <v>scott-2</v>
      </c>
      <c r="N493" t="str">
        <f>INDEX(Scores!$A$2:$A$11,INDEX(Scores!$AA$2:$AA$131,MATCH(C493,Scores!$AB$2:$AB$131,0)))</f>
        <v>scott</v>
      </c>
      <c r="O493">
        <f t="shared" si="87"/>
        <v>103.25</v>
      </c>
      <c r="P493">
        <f t="shared" si="88"/>
        <v>377.00829999999996</v>
      </c>
      <c r="Q493" s="3">
        <f t="shared" si="89"/>
        <v>0.46628591266319391</v>
      </c>
      <c r="R493" s="3">
        <f t="shared" si="90"/>
        <v>0.2570782097759341</v>
      </c>
      <c r="S493" s="9">
        <f t="shared" si="91"/>
        <v>-0.20920770288725982</v>
      </c>
      <c r="T493">
        <f t="shared" si="92"/>
        <v>140</v>
      </c>
      <c r="U493">
        <f t="shared" si="93"/>
        <v>106</v>
      </c>
      <c r="V493" s="3">
        <f t="shared" si="94"/>
        <v>0.99999999296333453</v>
      </c>
      <c r="W493" s="9">
        <f t="shared" si="95"/>
        <v>7.0366654725262379E-9</v>
      </c>
      <c r="AC493"/>
    </row>
    <row r="494" spans="1:29" x14ac:dyDescent="0.25">
      <c r="A494" t="s">
        <v>446</v>
      </c>
      <c r="B494">
        <v>4</v>
      </c>
      <c r="C494" t="s">
        <v>866</v>
      </c>
      <c r="D494" t="s">
        <v>478</v>
      </c>
      <c r="E494">
        <v>15</v>
      </c>
      <c r="F494">
        <v>7.85</v>
      </c>
      <c r="G494">
        <v>22.372900000000001</v>
      </c>
      <c r="H494" t="s">
        <v>478</v>
      </c>
      <c r="I494" t="s">
        <v>478</v>
      </c>
      <c r="J494" t="s">
        <v>55</v>
      </c>
      <c r="K494">
        <f t="shared" si="84"/>
        <v>118.09999999999998</v>
      </c>
      <c r="L494">
        <f t="shared" si="85"/>
        <v>465.47660000000008</v>
      </c>
      <c r="M494" t="str">
        <f t="shared" si="86"/>
        <v>comp-4</v>
      </c>
      <c r="N494" t="str">
        <f>INDEX(Scores!$A$2:$A$11,INDEX(Scores!$AA$2:$AA$131,MATCH(C494,Scores!$AB$2:$AB$131,0)))</f>
        <v>comp</v>
      </c>
      <c r="O494">
        <f t="shared" si="87"/>
        <v>103.70000000000002</v>
      </c>
      <c r="P494">
        <f t="shared" si="88"/>
        <v>412.10110000000003</v>
      </c>
      <c r="Q494" s="3">
        <f t="shared" si="89"/>
        <v>0.68654951827928645</v>
      </c>
      <c r="R494" s="3">
        <f t="shared" si="90"/>
        <v>0.7694103028411976</v>
      </c>
      <c r="S494" s="9">
        <f t="shared" si="91"/>
        <v>8.2860784561911149E-2</v>
      </c>
      <c r="T494">
        <f t="shared" si="92"/>
        <v>80</v>
      </c>
      <c r="U494">
        <f t="shared" si="93"/>
        <v>46</v>
      </c>
      <c r="V494" s="3">
        <f t="shared" si="94"/>
        <v>0.9999999931273883</v>
      </c>
      <c r="W494" s="9">
        <f t="shared" si="95"/>
        <v>6.8726117019579647E-9</v>
      </c>
      <c r="AC494"/>
    </row>
    <row r="495" spans="1:29" x14ac:dyDescent="0.25">
      <c r="A495" t="s">
        <v>99</v>
      </c>
      <c r="B495">
        <v>2</v>
      </c>
      <c r="C495" t="s">
        <v>618</v>
      </c>
      <c r="D495" t="s">
        <v>469</v>
      </c>
      <c r="E495">
        <v>8</v>
      </c>
      <c r="F495">
        <v>10.86</v>
      </c>
      <c r="G495">
        <v>37.699599999999997</v>
      </c>
      <c r="H495" t="s">
        <v>47</v>
      </c>
      <c r="I495" t="s">
        <v>47</v>
      </c>
      <c r="J495" t="s">
        <v>16</v>
      </c>
      <c r="K495">
        <f t="shared" si="84"/>
        <v>102.7</v>
      </c>
      <c r="L495">
        <f t="shared" si="85"/>
        <v>377.5104</v>
      </c>
      <c r="M495" t="str">
        <f t="shared" si="86"/>
        <v>comp-2</v>
      </c>
      <c r="N495" t="str">
        <f>INDEX(Scores!$A$2:$A$11,INDEX(Scores!$AA$2:$AA$131,MATCH(C495,Scores!$AB$2:$AB$131,0)))</f>
        <v>comp</v>
      </c>
      <c r="O495">
        <f t="shared" si="87"/>
        <v>103.61999999999999</v>
      </c>
      <c r="P495">
        <f t="shared" si="88"/>
        <v>357.30130000000003</v>
      </c>
      <c r="Q495" s="3">
        <f t="shared" si="89"/>
        <v>0.48646287329580978</v>
      </c>
      <c r="R495" s="3">
        <f t="shared" si="90"/>
        <v>0.44307946274642063</v>
      </c>
      <c r="S495" s="9">
        <f t="shared" si="91"/>
        <v>-4.3383410549389156E-2</v>
      </c>
      <c r="T495">
        <f t="shared" si="92"/>
        <v>97</v>
      </c>
      <c r="U495">
        <f t="shared" si="93"/>
        <v>65</v>
      </c>
      <c r="V495" s="3">
        <f t="shared" si="94"/>
        <v>0.99999999316709931</v>
      </c>
      <c r="W495" s="9">
        <f t="shared" si="95"/>
        <v>6.8329006897016598E-9</v>
      </c>
      <c r="AC495"/>
    </row>
    <row r="496" spans="1:29" x14ac:dyDescent="0.25">
      <c r="A496" t="s">
        <v>434</v>
      </c>
      <c r="B496">
        <v>3</v>
      </c>
      <c r="C496" t="s">
        <v>803</v>
      </c>
      <c r="D496" t="s">
        <v>477</v>
      </c>
      <c r="E496">
        <v>4</v>
      </c>
      <c r="F496">
        <v>5.48</v>
      </c>
      <c r="G496">
        <v>41.088099999999997</v>
      </c>
      <c r="H496" t="s">
        <v>477</v>
      </c>
      <c r="I496" t="s">
        <v>477</v>
      </c>
      <c r="J496" t="s">
        <v>16</v>
      </c>
      <c r="K496">
        <f t="shared" si="84"/>
        <v>106.94</v>
      </c>
      <c r="L496">
        <f t="shared" si="85"/>
        <v>452.911</v>
      </c>
      <c r="M496" t="str">
        <f t="shared" si="86"/>
        <v>lucas-3</v>
      </c>
      <c r="N496" t="str">
        <f>INDEX(Scores!$A$2:$A$11,INDEX(Scores!$AA$2:$AA$131,MATCH(C496,Scores!$AB$2:$AB$131,0)))</f>
        <v>lucas</v>
      </c>
      <c r="O496">
        <f t="shared" si="87"/>
        <v>0</v>
      </c>
      <c r="P496">
        <f t="shared" si="88"/>
        <v>0</v>
      </c>
      <c r="Q496" s="3">
        <f t="shared" si="89"/>
        <v>0.99999974824851112</v>
      </c>
      <c r="R496" s="3">
        <f t="shared" si="90"/>
        <v>0.99999989860313832</v>
      </c>
      <c r="S496" s="9">
        <f t="shared" si="91"/>
        <v>1.5035462719303894E-7</v>
      </c>
      <c r="T496">
        <f t="shared" si="92"/>
        <v>88</v>
      </c>
      <c r="U496">
        <f t="shared" si="93"/>
        <v>0</v>
      </c>
      <c r="V496" s="3">
        <f t="shared" si="94"/>
        <v>1</v>
      </c>
      <c r="W496" s="9">
        <f t="shared" si="95"/>
        <v>0</v>
      </c>
      <c r="AC496"/>
    </row>
    <row r="497" spans="1:29" x14ac:dyDescent="0.25">
      <c r="A497" t="s">
        <v>1100</v>
      </c>
      <c r="B497">
        <v>3</v>
      </c>
      <c r="C497" t="s">
        <v>810</v>
      </c>
      <c r="D497" t="s">
        <v>468</v>
      </c>
      <c r="E497">
        <v>32</v>
      </c>
      <c r="F497">
        <v>14.01</v>
      </c>
      <c r="G497">
        <v>54.316899999999997</v>
      </c>
      <c r="H497" t="s">
        <v>47</v>
      </c>
      <c r="I497" t="s">
        <v>47</v>
      </c>
      <c r="J497" t="s">
        <v>62</v>
      </c>
      <c r="K497">
        <f t="shared" si="84"/>
        <v>99.23</v>
      </c>
      <c r="L497">
        <f t="shared" si="85"/>
        <v>414.92009999999999</v>
      </c>
      <c r="M497" t="str">
        <f t="shared" si="86"/>
        <v>devon-3</v>
      </c>
      <c r="N497" t="str">
        <f>INDEX(Scores!$A$2:$A$11,INDEX(Scores!$AA$2:$AA$131,MATCH(C497,Scores!$AB$2:$AB$131,0)))</f>
        <v>devon</v>
      </c>
      <c r="O497">
        <f t="shared" si="87"/>
        <v>110.36</v>
      </c>
      <c r="P497">
        <f t="shared" si="88"/>
        <v>421.178</v>
      </c>
      <c r="Q497" s="3">
        <f t="shared" si="89"/>
        <v>0.35014963451184367</v>
      </c>
      <c r="R497" s="3">
        <f t="shared" si="90"/>
        <v>0.59690628315319527</v>
      </c>
      <c r="S497" s="9">
        <f t="shared" si="91"/>
        <v>0.24675664864135161</v>
      </c>
      <c r="T497">
        <f t="shared" si="92"/>
        <v>123</v>
      </c>
      <c r="U497">
        <f t="shared" si="93"/>
        <v>63</v>
      </c>
      <c r="V497" s="3">
        <f t="shared" si="94"/>
        <v>0.99999999401439466</v>
      </c>
      <c r="W497" s="9">
        <f t="shared" si="95"/>
        <v>5.9856053447049362E-9</v>
      </c>
      <c r="AC497"/>
    </row>
    <row r="498" spans="1:29" x14ac:dyDescent="0.25">
      <c r="A498" t="s">
        <v>188</v>
      </c>
      <c r="B498">
        <v>6</v>
      </c>
      <c r="C498" t="s">
        <v>936</v>
      </c>
      <c r="D498" t="s">
        <v>475</v>
      </c>
      <c r="E498">
        <v>0</v>
      </c>
      <c r="F498">
        <v>4.76</v>
      </c>
      <c r="G498">
        <v>17.305599999999998</v>
      </c>
      <c r="H498" t="s">
        <v>114</v>
      </c>
      <c r="I498" t="s">
        <v>114</v>
      </c>
      <c r="J498" t="s">
        <v>27</v>
      </c>
      <c r="K498">
        <f t="shared" si="84"/>
        <v>104.66</v>
      </c>
      <c r="L498">
        <f t="shared" si="85"/>
        <v>375.94899999999996</v>
      </c>
      <c r="M498" t="str">
        <f t="shared" si="86"/>
        <v>devon-6</v>
      </c>
      <c r="N498" t="str">
        <f>INDEX(Scores!$A$2:$A$11,INDEX(Scores!$AA$2:$AA$131,MATCH(C498,Scores!$AB$2:$AB$131,0)))</f>
        <v>devon</v>
      </c>
      <c r="O498">
        <f t="shared" si="87"/>
        <v>101.41999999999999</v>
      </c>
      <c r="P498">
        <f t="shared" si="88"/>
        <v>401.13359999999994</v>
      </c>
      <c r="Q498" s="3">
        <f t="shared" si="89"/>
        <v>0.54626414609906893</v>
      </c>
      <c r="R498" s="3">
        <f t="shared" si="90"/>
        <v>0.478011757396056</v>
      </c>
      <c r="S498" s="9">
        <f t="shared" si="91"/>
        <v>-6.8252388703012923E-2</v>
      </c>
      <c r="T498">
        <f t="shared" si="92"/>
        <v>91</v>
      </c>
      <c r="U498">
        <f t="shared" si="93"/>
        <v>72</v>
      </c>
      <c r="V498" s="3">
        <f t="shared" si="94"/>
        <v>0.99999999440203069</v>
      </c>
      <c r="W498" s="9">
        <f t="shared" si="95"/>
        <v>5.5979693103225259E-9</v>
      </c>
      <c r="AC498"/>
    </row>
    <row r="499" spans="1:29" x14ac:dyDescent="0.25">
      <c r="A499" t="s">
        <v>136</v>
      </c>
      <c r="B499">
        <v>11</v>
      </c>
      <c r="C499" t="s">
        <v>917</v>
      </c>
      <c r="D499" t="s">
        <v>473</v>
      </c>
      <c r="E499">
        <v>12</v>
      </c>
      <c r="F499">
        <v>8.0299999999999994</v>
      </c>
      <c r="G499">
        <v>22.184100000000001</v>
      </c>
      <c r="H499" t="s">
        <v>87</v>
      </c>
      <c r="I499" t="s">
        <v>87</v>
      </c>
      <c r="J499" t="s">
        <v>16</v>
      </c>
      <c r="K499">
        <f t="shared" si="84"/>
        <v>102.11</v>
      </c>
      <c r="L499">
        <f t="shared" si="85"/>
        <v>431.97960000000006</v>
      </c>
      <c r="M499" t="str">
        <f t="shared" si="86"/>
        <v>chad-11</v>
      </c>
      <c r="N499" t="str">
        <f>INDEX(Scores!$A$2:$A$11,INDEX(Scores!$AA$2:$AA$131,MATCH(C499,Scores!$AB$2:$AB$131,0)))</f>
        <v>chad</v>
      </c>
      <c r="O499">
        <f t="shared" si="87"/>
        <v>106.58</v>
      </c>
      <c r="P499">
        <f t="shared" si="88"/>
        <v>427.68610000000001</v>
      </c>
      <c r="Q499" s="3">
        <f t="shared" si="89"/>
        <v>0.43941389461043751</v>
      </c>
      <c r="R499" s="3">
        <f t="shared" si="90"/>
        <v>0.49310759440385377</v>
      </c>
      <c r="S499" s="9">
        <f t="shared" si="91"/>
        <v>5.3693699793416261E-2</v>
      </c>
      <c r="T499">
        <f t="shared" si="92"/>
        <v>130</v>
      </c>
      <c r="U499">
        <f t="shared" si="93"/>
        <v>99</v>
      </c>
      <c r="V499" s="3">
        <f t="shared" si="94"/>
        <v>0.99999999523401861</v>
      </c>
      <c r="W499" s="9">
        <f t="shared" si="95"/>
        <v>4.7659813873224266E-9</v>
      </c>
      <c r="AC499"/>
    </row>
    <row r="500" spans="1:29" x14ac:dyDescent="0.25">
      <c r="A500" t="s">
        <v>104</v>
      </c>
      <c r="B500">
        <v>2</v>
      </c>
      <c r="C500" t="s">
        <v>616</v>
      </c>
      <c r="D500" t="s">
        <v>471</v>
      </c>
      <c r="E500">
        <v>6</v>
      </c>
      <c r="F500">
        <v>11.65</v>
      </c>
      <c r="G500">
        <v>68.724100000000007</v>
      </c>
      <c r="H500" t="s">
        <v>87</v>
      </c>
      <c r="I500" t="s">
        <v>87</v>
      </c>
      <c r="J500" t="s">
        <v>23</v>
      </c>
      <c r="K500">
        <f t="shared" si="84"/>
        <v>104.79999999999998</v>
      </c>
      <c r="L500">
        <f t="shared" si="85"/>
        <v>455.48199999999997</v>
      </c>
      <c r="M500" t="str">
        <f t="shared" si="86"/>
        <v>lucas-2</v>
      </c>
      <c r="N500" t="str">
        <f>INDEX(Scores!$A$2:$A$11,INDEX(Scores!$AA$2:$AA$131,MATCH(C500,Scores!$AB$2:$AB$131,0)))</f>
        <v>lucas</v>
      </c>
      <c r="O500">
        <f t="shared" si="87"/>
        <v>0</v>
      </c>
      <c r="P500">
        <f t="shared" si="88"/>
        <v>0</v>
      </c>
      <c r="Q500" s="3">
        <f t="shared" si="89"/>
        <v>0.99999954577661365</v>
      </c>
      <c r="R500" s="3">
        <f t="shared" si="90"/>
        <v>0.99999976923857214</v>
      </c>
      <c r="S500" s="9">
        <f t="shared" si="91"/>
        <v>2.2346195849287653E-7</v>
      </c>
      <c r="T500">
        <f t="shared" si="92"/>
        <v>102</v>
      </c>
      <c r="U500">
        <f t="shared" si="93"/>
        <v>0</v>
      </c>
      <c r="V500" s="3">
        <f t="shared" si="94"/>
        <v>1</v>
      </c>
      <c r="W500" s="9">
        <f t="shared" si="95"/>
        <v>0</v>
      </c>
      <c r="AC500"/>
    </row>
    <row r="501" spans="1:29" x14ac:dyDescent="0.25">
      <c r="A501" t="s">
        <v>850</v>
      </c>
      <c r="B501">
        <v>4</v>
      </c>
      <c r="C501" t="s">
        <v>864</v>
      </c>
      <c r="D501" t="s">
        <v>478</v>
      </c>
      <c r="E501">
        <v>4</v>
      </c>
      <c r="F501">
        <v>7.52</v>
      </c>
      <c r="G501">
        <v>21.068100000000001</v>
      </c>
      <c r="H501" t="s">
        <v>478</v>
      </c>
      <c r="I501" t="s">
        <v>478</v>
      </c>
      <c r="J501" t="s">
        <v>49</v>
      </c>
      <c r="K501">
        <f t="shared" si="84"/>
        <v>109.71999999999998</v>
      </c>
      <c r="L501">
        <f t="shared" si="85"/>
        <v>421.03860000000003</v>
      </c>
      <c r="M501" t="str">
        <f t="shared" si="86"/>
        <v>lucas-4</v>
      </c>
      <c r="N501" t="str">
        <f>INDEX(Scores!$A$2:$A$11,INDEX(Scores!$AA$2:$AA$131,MATCH(C501,Scores!$AB$2:$AB$131,0)))</f>
        <v>lucas</v>
      </c>
      <c r="O501">
        <f t="shared" si="87"/>
        <v>0</v>
      </c>
      <c r="P501">
        <f t="shared" si="88"/>
        <v>0</v>
      </c>
      <c r="Q501" s="3">
        <f t="shared" si="89"/>
        <v>0.99999995533253605</v>
      </c>
      <c r="R501" s="3">
        <f t="shared" si="90"/>
        <v>0.9999999452462438</v>
      </c>
      <c r="S501" s="9">
        <f t="shared" si="91"/>
        <v>-1.0086292245858886E-8</v>
      </c>
      <c r="T501">
        <f t="shared" si="92"/>
        <v>92</v>
      </c>
      <c r="U501">
        <f t="shared" si="93"/>
        <v>0</v>
      </c>
      <c r="V501" s="3">
        <f t="shared" si="94"/>
        <v>1</v>
      </c>
      <c r="W501" s="9">
        <f t="shared" si="95"/>
        <v>0</v>
      </c>
      <c r="AC501"/>
    </row>
    <row r="502" spans="1:29" x14ac:dyDescent="0.25">
      <c r="A502" t="s">
        <v>177</v>
      </c>
      <c r="B502">
        <v>3</v>
      </c>
      <c r="C502" t="s">
        <v>803</v>
      </c>
      <c r="D502" t="s">
        <v>475</v>
      </c>
      <c r="E502">
        <v>9</v>
      </c>
      <c r="F502">
        <v>7.02</v>
      </c>
      <c r="G502">
        <v>31.922499999999999</v>
      </c>
      <c r="H502" t="s">
        <v>114</v>
      </c>
      <c r="I502" t="s">
        <v>114</v>
      </c>
      <c r="J502" t="s">
        <v>16</v>
      </c>
      <c r="K502">
        <f t="shared" si="84"/>
        <v>106.94</v>
      </c>
      <c r="L502">
        <f t="shared" si="85"/>
        <v>452.911</v>
      </c>
      <c r="M502" t="str">
        <f t="shared" si="86"/>
        <v>lucas-3</v>
      </c>
      <c r="N502" t="str">
        <f>INDEX(Scores!$A$2:$A$11,INDEX(Scores!$AA$2:$AA$131,MATCH(C502,Scores!$AB$2:$AB$131,0)))</f>
        <v>lucas</v>
      </c>
      <c r="O502">
        <f t="shared" si="87"/>
        <v>0</v>
      </c>
      <c r="P502">
        <f t="shared" si="88"/>
        <v>0</v>
      </c>
      <c r="Q502" s="3">
        <f t="shared" si="89"/>
        <v>0.99999974824851112</v>
      </c>
      <c r="R502" s="3">
        <f t="shared" si="90"/>
        <v>0.99999994473703147</v>
      </c>
      <c r="S502" s="9">
        <f t="shared" si="91"/>
        <v>1.9648852034315212E-7</v>
      </c>
      <c r="T502">
        <f t="shared" si="92"/>
        <v>88</v>
      </c>
      <c r="U502">
        <f t="shared" si="93"/>
        <v>0</v>
      </c>
      <c r="V502" s="3">
        <f t="shared" si="94"/>
        <v>1</v>
      </c>
      <c r="W502" s="9">
        <f t="shared" si="95"/>
        <v>0</v>
      </c>
      <c r="AC502"/>
    </row>
    <row r="503" spans="1:29" x14ac:dyDescent="0.25">
      <c r="A503" t="s">
        <v>416</v>
      </c>
      <c r="B503">
        <v>13</v>
      </c>
      <c r="C503" t="s">
        <v>935</v>
      </c>
      <c r="D503" t="s">
        <v>477</v>
      </c>
      <c r="E503">
        <v>10</v>
      </c>
      <c r="F503">
        <v>10.82</v>
      </c>
      <c r="G503">
        <v>35.402500000000003</v>
      </c>
      <c r="H503" t="s">
        <v>477</v>
      </c>
      <c r="I503" t="s">
        <v>477</v>
      </c>
      <c r="J503" t="s">
        <v>35</v>
      </c>
      <c r="K503">
        <f t="shared" si="84"/>
        <v>97.46</v>
      </c>
      <c r="L503">
        <f t="shared" si="85"/>
        <v>368.81949999999995</v>
      </c>
      <c r="M503" t="str">
        <f t="shared" si="86"/>
        <v>perry-13</v>
      </c>
      <c r="N503" t="str">
        <f>INDEX(Scores!$A$2:$A$11,INDEX(Scores!$AA$2:$AA$131,MATCH(C503,Scores!$AB$2:$AB$131,0)))</f>
        <v>perry</v>
      </c>
      <c r="O503">
        <f t="shared" si="87"/>
        <v>108.77</v>
      </c>
      <c r="P503">
        <f t="shared" si="88"/>
        <v>411.30060000000003</v>
      </c>
      <c r="Q503" s="3">
        <f t="shared" si="89"/>
        <v>0.3427638257896819</v>
      </c>
      <c r="R503" s="3">
        <f t="shared" si="90"/>
        <v>0.32834306990489859</v>
      </c>
      <c r="S503" s="9">
        <f t="shared" si="91"/>
        <v>-1.4420755884783309E-2</v>
      </c>
      <c r="T503">
        <f t="shared" si="92"/>
        <v>133</v>
      </c>
      <c r="U503">
        <f t="shared" si="93"/>
        <v>99</v>
      </c>
      <c r="V503" s="3">
        <f t="shared" si="94"/>
        <v>0.99999999757298919</v>
      </c>
      <c r="W503" s="9">
        <f t="shared" si="95"/>
        <v>2.4270108145429958E-9</v>
      </c>
      <c r="AC503"/>
    </row>
    <row r="504" spans="1:29" x14ac:dyDescent="0.25">
      <c r="A504" t="s">
        <v>196</v>
      </c>
      <c r="B504">
        <v>5</v>
      </c>
      <c r="C504" t="s">
        <v>884</v>
      </c>
      <c r="D504" t="s">
        <v>466</v>
      </c>
      <c r="E504">
        <v>3</v>
      </c>
      <c r="F504">
        <v>5.68</v>
      </c>
      <c r="G504">
        <v>20.520900000000001</v>
      </c>
      <c r="H504" t="s">
        <v>466</v>
      </c>
      <c r="I504" t="s">
        <v>47</v>
      </c>
      <c r="J504" t="s">
        <v>40</v>
      </c>
      <c r="K504">
        <f t="shared" si="84"/>
        <v>89.689999999999984</v>
      </c>
      <c r="L504">
        <f t="shared" si="85"/>
        <v>445.42419999999998</v>
      </c>
      <c r="M504" t="e">
        <f t="shared" si="86"/>
        <v>#N/A</v>
      </c>
      <c r="N504" t="e">
        <f>INDEX(Scores!$A$2:$A$11,INDEX(Scores!$AA$2:$AA$131,MATCH(C504,Scores!$AB$2:$AB$131,0)))</f>
        <v>#N/A</v>
      </c>
      <c r="O504">
        <f t="shared" si="87"/>
        <v>0</v>
      </c>
      <c r="P504">
        <f t="shared" si="88"/>
        <v>0</v>
      </c>
      <c r="Q504" s="3">
        <f t="shared" si="89"/>
        <v>0.99998929661032787</v>
      </c>
      <c r="R504" s="3">
        <f t="shared" si="90"/>
        <v>0.99998784354848125</v>
      </c>
      <c r="S504" s="9">
        <f t="shared" si="91"/>
        <v>-1.4530618466235268E-6</v>
      </c>
      <c r="T504">
        <f t="shared" si="92"/>
        <v>93</v>
      </c>
      <c r="U504">
        <f t="shared" si="93"/>
        <v>0</v>
      </c>
      <c r="V504" s="3">
        <f t="shared" si="94"/>
        <v>1</v>
      </c>
      <c r="W504" s="9">
        <f t="shared" si="95"/>
        <v>0</v>
      </c>
      <c r="AC504"/>
    </row>
    <row r="505" spans="1:29" x14ac:dyDescent="0.25">
      <c r="A505" t="s">
        <v>446</v>
      </c>
      <c r="B505">
        <v>6</v>
      </c>
      <c r="C505" t="s">
        <v>920</v>
      </c>
      <c r="D505" t="s">
        <v>478</v>
      </c>
      <c r="E505">
        <v>3</v>
      </c>
      <c r="F505">
        <v>8.2200000000000006</v>
      </c>
      <c r="G505">
        <v>16.728100000000001</v>
      </c>
      <c r="H505" t="s">
        <v>478</v>
      </c>
      <c r="I505" t="s">
        <v>478</v>
      </c>
      <c r="J505" t="s">
        <v>55</v>
      </c>
      <c r="K505">
        <f t="shared" si="84"/>
        <v>108.8</v>
      </c>
      <c r="L505">
        <f t="shared" si="85"/>
        <v>404.29040000000003</v>
      </c>
      <c r="M505" t="str">
        <f t="shared" si="86"/>
        <v>cory-6</v>
      </c>
      <c r="N505" t="str">
        <f>INDEX(Scores!$A$2:$A$11,INDEX(Scores!$AA$2:$AA$131,MATCH(C505,Scores!$AB$2:$AB$131,0)))</f>
        <v>cory</v>
      </c>
      <c r="O505">
        <f t="shared" si="87"/>
        <v>102.10000000000001</v>
      </c>
      <c r="P505">
        <f t="shared" si="88"/>
        <v>445.16630000000004</v>
      </c>
      <c r="Q505" s="3">
        <f t="shared" si="89"/>
        <v>0.59090810623639012</v>
      </c>
      <c r="R505" s="3">
        <f t="shared" si="90"/>
        <v>0.52045171256331713</v>
      </c>
      <c r="S505" s="9">
        <f t="shared" si="91"/>
        <v>-7.0456393673072992E-2</v>
      </c>
      <c r="T505">
        <f t="shared" si="92"/>
        <v>104</v>
      </c>
      <c r="U505">
        <f t="shared" si="93"/>
        <v>85</v>
      </c>
      <c r="V505" s="3">
        <f t="shared" si="94"/>
        <v>0.99999999840743259</v>
      </c>
      <c r="W505" s="9">
        <f t="shared" si="95"/>
        <v>1.5925674112793331E-9</v>
      </c>
      <c r="AC505"/>
    </row>
    <row r="506" spans="1:29" x14ac:dyDescent="0.25">
      <c r="A506" t="s">
        <v>48</v>
      </c>
      <c r="B506">
        <v>11</v>
      </c>
      <c r="C506" t="s">
        <v>965</v>
      </c>
      <c r="D506" t="s">
        <v>469</v>
      </c>
      <c r="E506">
        <v>9</v>
      </c>
      <c r="F506">
        <v>17.93</v>
      </c>
      <c r="G506">
        <v>54.022500000000001</v>
      </c>
      <c r="H506" t="s">
        <v>47</v>
      </c>
      <c r="I506" t="s">
        <v>47</v>
      </c>
      <c r="J506" t="s">
        <v>23</v>
      </c>
      <c r="K506">
        <f t="shared" si="84"/>
        <v>104.20000000000002</v>
      </c>
      <c r="L506">
        <f t="shared" si="85"/>
        <v>377.06489999999997</v>
      </c>
      <c r="M506" t="str">
        <f t="shared" si="86"/>
        <v>lucas-11</v>
      </c>
      <c r="N506" t="str">
        <f>INDEX(Scores!$A$2:$A$11,INDEX(Scores!$AA$2:$AA$131,MATCH(C506,Scores!$AB$2:$AB$131,0)))</f>
        <v>lucas</v>
      </c>
      <c r="O506">
        <f t="shared" si="87"/>
        <v>0</v>
      </c>
      <c r="P506">
        <f t="shared" si="88"/>
        <v>0</v>
      </c>
      <c r="Q506" s="3">
        <f t="shared" si="89"/>
        <v>0.99999995977381673</v>
      </c>
      <c r="R506" s="3">
        <f t="shared" si="90"/>
        <v>0.99999994229391986</v>
      </c>
      <c r="S506" s="9">
        <f t="shared" si="91"/>
        <v>-1.7479896863292765E-8</v>
      </c>
      <c r="T506">
        <f t="shared" si="92"/>
        <v>85</v>
      </c>
      <c r="U506">
        <f t="shared" si="93"/>
        <v>0</v>
      </c>
      <c r="V506" s="3">
        <f t="shared" si="94"/>
        <v>1</v>
      </c>
      <c r="W506" s="9">
        <f t="shared" si="95"/>
        <v>0</v>
      </c>
      <c r="AC506"/>
    </row>
    <row r="507" spans="1:29" x14ac:dyDescent="0.25">
      <c r="A507" t="s">
        <v>136</v>
      </c>
      <c r="B507">
        <v>13</v>
      </c>
      <c r="C507" t="s">
        <v>919</v>
      </c>
      <c r="D507" t="s">
        <v>473</v>
      </c>
      <c r="E507">
        <v>2</v>
      </c>
      <c r="F507">
        <v>8.5299999999999994</v>
      </c>
      <c r="G507">
        <v>19.36</v>
      </c>
      <c r="H507" t="s">
        <v>87</v>
      </c>
      <c r="I507" t="s">
        <v>87</v>
      </c>
      <c r="J507" t="s">
        <v>16</v>
      </c>
      <c r="K507">
        <f t="shared" si="84"/>
        <v>106.87</v>
      </c>
      <c r="L507">
        <f t="shared" si="85"/>
        <v>444.05589999999995</v>
      </c>
      <c r="M507" t="str">
        <f t="shared" si="86"/>
        <v>scott-13</v>
      </c>
      <c r="N507" t="str">
        <f>INDEX(Scores!$A$2:$A$11,INDEX(Scores!$AA$2:$AA$131,MATCH(C507,Scores!$AB$2:$AB$131,0)))</f>
        <v>scott</v>
      </c>
      <c r="O507">
        <f t="shared" si="87"/>
        <v>108.61</v>
      </c>
      <c r="P507">
        <f t="shared" si="88"/>
        <v>407.25390000000004</v>
      </c>
      <c r="Q507" s="3">
        <f t="shared" si="89"/>
        <v>0.47622294087495948</v>
      </c>
      <c r="R507" s="3">
        <f t="shared" si="90"/>
        <v>0.38716362394068965</v>
      </c>
      <c r="S507" s="9">
        <f t="shared" si="91"/>
        <v>-8.9059316934269828E-2</v>
      </c>
      <c r="T507">
        <f t="shared" si="92"/>
        <v>86</v>
      </c>
      <c r="U507">
        <f t="shared" si="93"/>
        <v>66</v>
      </c>
      <c r="V507" s="3">
        <f t="shared" si="94"/>
        <v>0.99999999917789262</v>
      </c>
      <c r="W507" s="9">
        <f t="shared" si="95"/>
        <v>8.2210738217014523E-10</v>
      </c>
      <c r="AC507"/>
    </row>
    <row r="508" spans="1:29" x14ac:dyDescent="0.25">
      <c r="A508" t="s">
        <v>112</v>
      </c>
      <c r="B508">
        <v>13</v>
      </c>
      <c r="C508" t="s">
        <v>935</v>
      </c>
      <c r="D508" t="s">
        <v>468</v>
      </c>
      <c r="E508">
        <v>10</v>
      </c>
      <c r="F508">
        <v>10.69</v>
      </c>
      <c r="G508">
        <v>32.832900000000002</v>
      </c>
      <c r="H508" t="s">
        <v>47</v>
      </c>
      <c r="I508" t="s">
        <v>47</v>
      </c>
      <c r="J508" t="s">
        <v>35</v>
      </c>
      <c r="K508">
        <f t="shared" si="84"/>
        <v>97.46</v>
      </c>
      <c r="L508">
        <f t="shared" si="85"/>
        <v>368.81949999999995</v>
      </c>
      <c r="M508" t="str">
        <f t="shared" si="86"/>
        <v>perry-13</v>
      </c>
      <c r="N508" t="str">
        <f>INDEX(Scores!$A$2:$A$11,INDEX(Scores!$AA$2:$AA$131,MATCH(C508,Scores!$AB$2:$AB$131,0)))</f>
        <v>perry</v>
      </c>
      <c r="O508">
        <f t="shared" si="87"/>
        <v>108.77</v>
      </c>
      <c r="P508">
        <f t="shared" si="88"/>
        <v>411.30060000000003</v>
      </c>
      <c r="Q508" s="3">
        <f t="shared" si="89"/>
        <v>0.3427638257896819</v>
      </c>
      <c r="R508" s="3">
        <f t="shared" si="90"/>
        <v>0.33034067265829015</v>
      </c>
      <c r="S508" s="9">
        <f t="shared" si="91"/>
        <v>-1.2423153131391751E-2</v>
      </c>
      <c r="T508">
        <f t="shared" si="92"/>
        <v>133</v>
      </c>
      <c r="U508">
        <f t="shared" si="93"/>
        <v>99</v>
      </c>
      <c r="V508" s="3">
        <f t="shared" si="94"/>
        <v>0.99999999929398098</v>
      </c>
      <c r="W508" s="9">
        <f t="shared" si="95"/>
        <v>7.0601902102396252E-10</v>
      </c>
      <c r="AC508"/>
    </row>
    <row r="509" spans="1:29" x14ac:dyDescent="0.25">
      <c r="A509" t="s">
        <v>134</v>
      </c>
      <c r="B509">
        <v>13</v>
      </c>
      <c r="C509" t="s">
        <v>935</v>
      </c>
      <c r="D509" t="s">
        <v>472</v>
      </c>
      <c r="E509">
        <v>6</v>
      </c>
      <c r="F509">
        <v>8.39</v>
      </c>
      <c r="G509">
        <v>36</v>
      </c>
      <c r="H509" t="s">
        <v>87</v>
      </c>
      <c r="I509" t="s">
        <v>87</v>
      </c>
      <c r="J509" t="s">
        <v>35</v>
      </c>
      <c r="K509">
        <f t="shared" si="84"/>
        <v>97.46</v>
      </c>
      <c r="L509">
        <f t="shared" si="85"/>
        <v>368.81949999999995</v>
      </c>
      <c r="M509" t="str">
        <f t="shared" si="86"/>
        <v>perry-13</v>
      </c>
      <c r="N509" t="str">
        <f>INDEX(Scores!$A$2:$A$11,INDEX(Scores!$AA$2:$AA$131,MATCH(C509,Scores!$AB$2:$AB$131,0)))</f>
        <v>perry</v>
      </c>
      <c r="O509">
        <f t="shared" si="87"/>
        <v>108.77</v>
      </c>
      <c r="P509">
        <f t="shared" si="88"/>
        <v>411.30060000000003</v>
      </c>
      <c r="Q509" s="3">
        <f t="shared" si="89"/>
        <v>0.3427638257896819</v>
      </c>
      <c r="R509" s="3">
        <f t="shared" si="90"/>
        <v>0.30775433603553393</v>
      </c>
      <c r="S509" s="9">
        <f t="shared" si="91"/>
        <v>-3.5009489754147971E-2</v>
      </c>
      <c r="T509">
        <f t="shared" si="92"/>
        <v>133</v>
      </c>
      <c r="U509">
        <f t="shared" si="93"/>
        <v>99</v>
      </c>
      <c r="V509" s="3">
        <f t="shared" si="94"/>
        <v>0.99999999934023176</v>
      </c>
      <c r="W509" s="9">
        <f t="shared" si="95"/>
        <v>6.5976824004110313E-10</v>
      </c>
      <c r="AC509"/>
    </row>
    <row r="510" spans="1:29" x14ac:dyDescent="0.25">
      <c r="A510" t="s">
        <v>186</v>
      </c>
      <c r="B510">
        <v>8</v>
      </c>
      <c r="C510" t="s">
        <v>938</v>
      </c>
      <c r="D510" t="s">
        <v>469</v>
      </c>
      <c r="E510">
        <v>9</v>
      </c>
      <c r="F510">
        <v>8.6300000000000008</v>
      </c>
      <c r="G510">
        <v>32.035600000000002</v>
      </c>
      <c r="H510" t="s">
        <v>47</v>
      </c>
      <c r="I510" t="s">
        <v>47</v>
      </c>
      <c r="J510" t="s">
        <v>27</v>
      </c>
      <c r="K510">
        <f t="shared" si="84"/>
        <v>100.87</v>
      </c>
      <c r="L510">
        <f t="shared" si="85"/>
        <v>421.5641</v>
      </c>
      <c r="M510" t="str">
        <f t="shared" si="86"/>
        <v>perry-8</v>
      </c>
      <c r="N510" t="str">
        <f>INDEX(Scores!$A$2:$A$11,INDEX(Scores!$AA$2:$AA$131,MATCH(C510,Scores!$AB$2:$AB$131,0)))</f>
        <v>perry</v>
      </c>
      <c r="O510">
        <f t="shared" si="87"/>
        <v>115.82</v>
      </c>
      <c r="P510">
        <f t="shared" si="88"/>
        <v>434.36700000000002</v>
      </c>
      <c r="Q510" s="3">
        <f t="shared" si="89"/>
        <v>0.30467516207413586</v>
      </c>
      <c r="R510" s="3">
        <f t="shared" si="90"/>
        <v>0.30574400169258614</v>
      </c>
      <c r="S510" s="9">
        <f t="shared" si="91"/>
        <v>1.0688396184502791E-3</v>
      </c>
      <c r="T510">
        <f t="shared" si="92"/>
        <v>115</v>
      </c>
      <c r="U510">
        <f t="shared" si="93"/>
        <v>80</v>
      </c>
      <c r="V510" s="3">
        <f t="shared" si="94"/>
        <v>0.99999999952732677</v>
      </c>
      <c r="W510" s="9">
        <f t="shared" si="95"/>
        <v>4.7267323388666682E-10</v>
      </c>
      <c r="AC510"/>
    </row>
    <row r="511" spans="1:29" x14ac:dyDescent="0.25">
      <c r="A511" t="s">
        <v>126</v>
      </c>
      <c r="B511">
        <v>3</v>
      </c>
      <c r="C511" t="s">
        <v>803</v>
      </c>
      <c r="D511" t="s">
        <v>472</v>
      </c>
      <c r="E511">
        <v>5</v>
      </c>
      <c r="F511">
        <v>10.56</v>
      </c>
      <c r="G511">
        <v>43.692100000000003</v>
      </c>
      <c r="H511" t="s">
        <v>87</v>
      </c>
      <c r="I511" t="s">
        <v>87</v>
      </c>
      <c r="J511" t="s">
        <v>16</v>
      </c>
      <c r="K511">
        <f t="shared" si="84"/>
        <v>106.94</v>
      </c>
      <c r="L511">
        <f t="shared" si="85"/>
        <v>452.911</v>
      </c>
      <c r="M511" t="str">
        <f t="shared" si="86"/>
        <v>lucas-3</v>
      </c>
      <c r="N511" t="str">
        <f>INDEX(Scores!$A$2:$A$11,INDEX(Scores!$AA$2:$AA$131,MATCH(C511,Scores!$AB$2:$AB$131,0)))</f>
        <v>lucas</v>
      </c>
      <c r="O511">
        <f t="shared" si="87"/>
        <v>0</v>
      </c>
      <c r="P511">
        <f t="shared" si="88"/>
        <v>0</v>
      </c>
      <c r="Q511" s="3">
        <f t="shared" si="89"/>
        <v>0.99999974824851112</v>
      </c>
      <c r="R511" s="3">
        <f t="shared" si="90"/>
        <v>0.99999973007174436</v>
      </c>
      <c r="S511" s="9">
        <f t="shared" si="91"/>
        <v>-1.8176766758415397E-8</v>
      </c>
      <c r="T511">
        <f t="shared" si="92"/>
        <v>88</v>
      </c>
      <c r="U511">
        <f t="shared" si="93"/>
        <v>0</v>
      </c>
      <c r="V511" s="3">
        <f t="shared" si="94"/>
        <v>1</v>
      </c>
      <c r="W511" s="9">
        <f t="shared" si="95"/>
        <v>0</v>
      </c>
      <c r="AC511"/>
    </row>
    <row r="512" spans="1:29" x14ac:dyDescent="0.25">
      <c r="A512" t="s">
        <v>444</v>
      </c>
      <c r="B512">
        <v>3</v>
      </c>
      <c r="C512" t="s">
        <v>807</v>
      </c>
      <c r="D512" t="s">
        <v>478</v>
      </c>
      <c r="E512">
        <v>9</v>
      </c>
      <c r="F512">
        <v>7.35</v>
      </c>
      <c r="G512">
        <v>21.3444</v>
      </c>
      <c r="H512" t="s">
        <v>478</v>
      </c>
      <c r="I512" t="s">
        <v>478</v>
      </c>
      <c r="J512" t="s">
        <v>20</v>
      </c>
      <c r="K512">
        <f t="shared" si="84"/>
        <v>110.35</v>
      </c>
      <c r="L512">
        <f t="shared" si="85"/>
        <v>442.53309999999999</v>
      </c>
      <c r="M512" t="str">
        <f t="shared" si="86"/>
        <v>perry-3</v>
      </c>
      <c r="N512" t="str">
        <f>INDEX(Scores!$A$2:$A$11,INDEX(Scores!$AA$2:$AA$131,MATCH(C512,Scores!$AB$2:$AB$131,0)))</f>
        <v>perry</v>
      </c>
      <c r="O512">
        <f t="shared" si="87"/>
        <v>101.86999999999999</v>
      </c>
      <c r="P512">
        <f t="shared" si="88"/>
        <v>350.57169999999996</v>
      </c>
      <c r="Q512" s="3">
        <f t="shared" si="89"/>
        <v>0.61833611537492805</v>
      </c>
      <c r="R512" s="3">
        <f t="shared" si="90"/>
        <v>0.64231114386826271</v>
      </c>
      <c r="S512" s="9">
        <f t="shared" si="91"/>
        <v>2.397502849333466E-2</v>
      </c>
      <c r="T512">
        <f t="shared" si="92"/>
        <v>132</v>
      </c>
      <c r="U512">
        <f t="shared" si="93"/>
        <v>102</v>
      </c>
      <c r="V512" s="3">
        <f t="shared" si="94"/>
        <v>0.99999999957784114</v>
      </c>
      <c r="W512" s="9">
        <f t="shared" si="95"/>
        <v>4.2215886342233944E-10</v>
      </c>
      <c r="AC512"/>
    </row>
    <row r="513" spans="1:29" x14ac:dyDescent="0.25">
      <c r="A513" t="s">
        <v>134</v>
      </c>
      <c r="B513">
        <v>3</v>
      </c>
      <c r="C513" t="s">
        <v>803</v>
      </c>
      <c r="D513" t="s">
        <v>473</v>
      </c>
      <c r="E513">
        <v>4</v>
      </c>
      <c r="F513">
        <v>10.59</v>
      </c>
      <c r="G513">
        <v>45.832900000000002</v>
      </c>
      <c r="H513" t="s">
        <v>87</v>
      </c>
      <c r="I513" t="s">
        <v>87</v>
      </c>
      <c r="J513" t="s">
        <v>16</v>
      </c>
      <c r="K513">
        <f t="shared" si="84"/>
        <v>106.94</v>
      </c>
      <c r="L513">
        <f t="shared" si="85"/>
        <v>452.911</v>
      </c>
      <c r="M513" t="str">
        <f t="shared" si="86"/>
        <v>lucas-3</v>
      </c>
      <c r="N513" t="str">
        <f>INDEX(Scores!$A$2:$A$11,INDEX(Scores!$AA$2:$AA$131,MATCH(C513,Scores!$AB$2:$AB$131,0)))</f>
        <v>lucas</v>
      </c>
      <c r="O513">
        <f t="shared" si="87"/>
        <v>0</v>
      </c>
      <c r="P513">
        <f t="shared" si="88"/>
        <v>0</v>
      </c>
      <c r="Q513" s="3">
        <f t="shared" si="89"/>
        <v>0.99999974824851112</v>
      </c>
      <c r="R513" s="3">
        <f t="shared" si="90"/>
        <v>0.99999967154437008</v>
      </c>
      <c r="S513" s="9">
        <f t="shared" si="91"/>
        <v>-7.6704141038774765E-8</v>
      </c>
      <c r="T513">
        <f t="shared" si="92"/>
        <v>88</v>
      </c>
      <c r="U513">
        <f t="shared" si="93"/>
        <v>0</v>
      </c>
      <c r="V513" s="3">
        <f t="shared" si="94"/>
        <v>1</v>
      </c>
      <c r="W513" s="9">
        <f t="shared" si="95"/>
        <v>0</v>
      </c>
      <c r="AC513"/>
    </row>
    <row r="514" spans="1:29" x14ac:dyDescent="0.25">
      <c r="A514" t="s">
        <v>107</v>
      </c>
      <c r="B514">
        <v>7</v>
      </c>
      <c r="C514" t="s">
        <v>929</v>
      </c>
      <c r="D514" t="s">
        <v>471</v>
      </c>
      <c r="E514">
        <v>2</v>
      </c>
      <c r="F514">
        <v>9.7799999999999994</v>
      </c>
      <c r="G514">
        <v>26.419599999999999</v>
      </c>
      <c r="H514" t="s">
        <v>87</v>
      </c>
      <c r="I514" t="s">
        <v>87</v>
      </c>
      <c r="J514" t="s">
        <v>35</v>
      </c>
      <c r="K514">
        <f t="shared" ref="K514:K577" si="96">SUMIF($C$2:$C$1301,$C514,$F$2:$F$1301)</f>
        <v>106.81</v>
      </c>
      <c r="L514">
        <f t="shared" ref="L514:L577" si="97">SUMIF($C$2:$C$1301,$C514,$G$2:$G$1301)</f>
        <v>351.64060000000001</v>
      </c>
      <c r="M514" t="str">
        <f t="shared" ref="M514:M577" si="98">N514&amp;"-"&amp;B514</f>
        <v>aj-7</v>
      </c>
      <c r="N514" t="str">
        <f>INDEX(Scores!$A$2:$A$11,INDEX(Scores!$AA$2:$AA$131,MATCH(C514,Scores!$AB$2:$AB$131,0)))</f>
        <v>aj</v>
      </c>
      <c r="O514">
        <f t="shared" ref="O514:O577" si="99">SUMIF($C$2:$C$1301,$M514,$F$2:$F$1301)</f>
        <v>114.01999999999998</v>
      </c>
      <c r="P514">
        <f t="shared" ref="P514:P577" si="100">SUMIF($C$2:$C$1301,$M514,$G$2:$G$1301)</f>
        <v>381.58529999999996</v>
      </c>
      <c r="Q514" s="3">
        <f t="shared" ref="Q514:Q577" si="101">_xlfn.NORM.DIST(0,$O514-$K514,SQRT($L514+$P514),TRUE)</f>
        <v>0.39501702421215146</v>
      </c>
      <c r="R514" s="3">
        <f t="shared" ref="R514:R577" si="102">_xlfn.NORM.DIST(0,$O514-$K514-($E514-$F514),SQRT($L514+$P514-$G514),TRUE)</f>
        <v>0.28643348184523199</v>
      </c>
      <c r="S514" s="9">
        <f t="shared" ref="S514:S577" si="103">R514-Q514</f>
        <v>-0.10858354236691947</v>
      </c>
      <c r="T514">
        <f t="shared" ref="T514:T577" si="104">SUMIF($C$2:$C$1301,$C514,$E$2:$E$1301)</f>
        <v>117</v>
      </c>
      <c r="U514">
        <f t="shared" ref="U514:U577" si="105">SUMIF($C$2:$C$1301,$M514,$E$2:$E$1301)</f>
        <v>93</v>
      </c>
      <c r="V514" s="3">
        <f t="shared" ref="V514:V577" si="106">_xlfn.NORM.DIST(0,U514-T514+E514-F514,SQRT(G514),TRUE)</f>
        <v>0.99999999968528597</v>
      </c>
      <c r="W514" s="9">
        <f t="shared" ref="W514:W577" si="107">IFERROR(IF(U514&gt;T514,0,1)-V514,0)</f>
        <v>3.1471403261207342E-10</v>
      </c>
      <c r="AC514"/>
    </row>
    <row r="515" spans="1:29" x14ac:dyDescent="0.25">
      <c r="A515" t="s">
        <v>85</v>
      </c>
      <c r="B515">
        <v>12</v>
      </c>
      <c r="C515" t="s">
        <v>942</v>
      </c>
      <c r="D515" t="s">
        <v>466</v>
      </c>
      <c r="E515">
        <v>9</v>
      </c>
      <c r="F515">
        <v>8.67</v>
      </c>
      <c r="G515">
        <v>43.0336</v>
      </c>
      <c r="H515" t="s">
        <v>466</v>
      </c>
      <c r="I515" t="s">
        <v>47</v>
      </c>
      <c r="J515" t="s">
        <v>27</v>
      </c>
      <c r="K515">
        <f t="shared" si="96"/>
        <v>98.639999999999986</v>
      </c>
      <c r="L515">
        <f t="shared" si="97"/>
        <v>309.06870000000004</v>
      </c>
      <c r="M515" t="str">
        <f t="shared" si="98"/>
        <v>aj-12</v>
      </c>
      <c r="N515" t="str">
        <f>INDEX(Scores!$A$2:$A$11,INDEX(Scores!$AA$2:$AA$131,MATCH(C515,Scores!$AB$2:$AB$131,0)))</f>
        <v>aj</v>
      </c>
      <c r="O515">
        <f t="shared" si="99"/>
        <v>111.09</v>
      </c>
      <c r="P515">
        <f t="shared" si="100"/>
        <v>408.5095</v>
      </c>
      <c r="Q515" s="3">
        <f t="shared" si="101"/>
        <v>0.32104937221741592</v>
      </c>
      <c r="R515" s="3">
        <f t="shared" si="102"/>
        <v>0.32037284166804963</v>
      </c>
      <c r="S515" s="9">
        <f t="shared" si="103"/>
        <v>-6.7653054936628321E-4</v>
      </c>
      <c r="T515">
        <f t="shared" si="104"/>
        <v>125</v>
      </c>
      <c r="U515">
        <f t="shared" si="105"/>
        <v>84</v>
      </c>
      <c r="V515" s="3">
        <f t="shared" si="106"/>
        <v>0.99999999971713682</v>
      </c>
      <c r="W515" s="9">
        <f t="shared" si="107"/>
        <v>2.828631773255097E-10</v>
      </c>
      <c r="AC515"/>
    </row>
    <row r="516" spans="1:29" x14ac:dyDescent="0.25">
      <c r="A516" t="s">
        <v>90</v>
      </c>
      <c r="B516">
        <v>1</v>
      </c>
      <c r="C516" t="s">
        <v>504</v>
      </c>
      <c r="D516" t="s">
        <v>468</v>
      </c>
      <c r="E516">
        <v>9</v>
      </c>
      <c r="F516">
        <v>15.26</v>
      </c>
      <c r="G516">
        <v>79.388099999999994</v>
      </c>
      <c r="H516" t="s">
        <v>47</v>
      </c>
      <c r="I516" t="s">
        <v>47</v>
      </c>
      <c r="J516" t="s">
        <v>20</v>
      </c>
      <c r="K516">
        <f t="shared" si="96"/>
        <v>102.78</v>
      </c>
      <c r="L516">
        <f t="shared" si="97"/>
        <v>382.14119999999997</v>
      </c>
      <c r="M516" t="str">
        <f t="shared" si="98"/>
        <v>aj-1</v>
      </c>
      <c r="N516" t="str">
        <f>INDEX(Scores!$A$2:$A$11,INDEX(Scores!$AA$2:$AA$131,MATCH(C516,Scores!$AB$2:$AB$131,0)))</f>
        <v>aj</v>
      </c>
      <c r="O516">
        <f t="shared" si="99"/>
        <v>90.7</v>
      </c>
      <c r="P516">
        <f t="shared" si="100"/>
        <v>347.93650000000002</v>
      </c>
      <c r="Q516" s="3">
        <f t="shared" si="101"/>
        <v>0.67259029154080885</v>
      </c>
      <c r="R516" s="3">
        <f t="shared" si="102"/>
        <v>0.59023836588487955</v>
      </c>
      <c r="S516" s="9">
        <f t="shared" si="103"/>
        <v>-8.2351925655929303E-2</v>
      </c>
      <c r="T516">
        <f t="shared" si="104"/>
        <v>120</v>
      </c>
      <c r="U516">
        <f t="shared" si="105"/>
        <v>71</v>
      </c>
      <c r="V516" s="3">
        <f t="shared" si="106"/>
        <v>0.99999999972128539</v>
      </c>
      <c r="W516" s="9">
        <f t="shared" si="107"/>
        <v>2.7871460694939287E-10</v>
      </c>
      <c r="AC516"/>
    </row>
    <row r="517" spans="1:29" x14ac:dyDescent="0.25">
      <c r="A517" t="s">
        <v>417</v>
      </c>
      <c r="B517">
        <v>2</v>
      </c>
      <c r="C517" t="s">
        <v>618</v>
      </c>
      <c r="D517" t="s">
        <v>477</v>
      </c>
      <c r="E517">
        <v>8</v>
      </c>
      <c r="F517">
        <v>7.4</v>
      </c>
      <c r="G517">
        <v>25.401599999999998</v>
      </c>
      <c r="H517" t="s">
        <v>477</v>
      </c>
      <c r="I517" t="s">
        <v>477</v>
      </c>
      <c r="J517" t="s">
        <v>16</v>
      </c>
      <c r="K517">
        <f t="shared" si="96"/>
        <v>102.7</v>
      </c>
      <c r="L517">
        <f t="shared" si="97"/>
        <v>377.5104</v>
      </c>
      <c r="M517" t="str">
        <f t="shared" si="98"/>
        <v>comp-2</v>
      </c>
      <c r="N517" t="str">
        <f>INDEX(Scores!$A$2:$A$11,INDEX(Scores!$AA$2:$AA$131,MATCH(C517,Scores!$AB$2:$AB$131,0)))</f>
        <v>comp</v>
      </c>
      <c r="O517">
        <f t="shared" si="99"/>
        <v>103.61999999999999</v>
      </c>
      <c r="P517">
        <f t="shared" si="100"/>
        <v>357.30130000000003</v>
      </c>
      <c r="Q517" s="3">
        <f t="shared" si="101"/>
        <v>0.48646287329580978</v>
      </c>
      <c r="R517" s="3">
        <f t="shared" si="102"/>
        <v>0.49520707191705776</v>
      </c>
      <c r="S517" s="9">
        <f t="shared" si="103"/>
        <v>8.7441986212479783E-3</v>
      </c>
      <c r="T517">
        <f t="shared" si="104"/>
        <v>97</v>
      </c>
      <c r="U517">
        <f t="shared" si="105"/>
        <v>65</v>
      </c>
      <c r="V517" s="3">
        <f t="shared" si="106"/>
        <v>0.99999999976701859</v>
      </c>
      <c r="W517" s="9">
        <f t="shared" si="107"/>
        <v>2.3298141194061373E-10</v>
      </c>
      <c r="AC517"/>
    </row>
    <row r="518" spans="1:29" x14ac:dyDescent="0.25">
      <c r="A518" t="s">
        <v>92</v>
      </c>
      <c r="B518">
        <v>4</v>
      </c>
      <c r="C518" t="s">
        <v>866</v>
      </c>
      <c r="D518" t="s">
        <v>466</v>
      </c>
      <c r="E518">
        <v>2</v>
      </c>
      <c r="F518">
        <v>14.41</v>
      </c>
      <c r="G518">
        <v>54.464399999999998</v>
      </c>
      <c r="H518" t="s">
        <v>466</v>
      </c>
      <c r="I518" t="s">
        <v>47</v>
      </c>
      <c r="J518" t="s">
        <v>55</v>
      </c>
      <c r="K518">
        <f t="shared" si="96"/>
        <v>118.09999999999998</v>
      </c>
      <c r="L518">
        <f t="shared" si="97"/>
        <v>465.47660000000008</v>
      </c>
      <c r="M518" t="str">
        <f t="shared" si="98"/>
        <v>comp-4</v>
      </c>
      <c r="N518" t="str">
        <f>INDEX(Scores!$A$2:$A$11,INDEX(Scores!$AA$2:$AA$131,MATCH(C518,Scores!$AB$2:$AB$131,0)))</f>
        <v>comp</v>
      </c>
      <c r="O518">
        <f t="shared" si="99"/>
        <v>103.70000000000002</v>
      </c>
      <c r="P518">
        <f t="shared" si="100"/>
        <v>412.10110000000003</v>
      </c>
      <c r="Q518" s="3">
        <f t="shared" si="101"/>
        <v>0.68654951827928645</v>
      </c>
      <c r="R518" s="3">
        <f t="shared" si="102"/>
        <v>0.52764936766799475</v>
      </c>
      <c r="S518" s="9">
        <f t="shared" si="103"/>
        <v>-0.1589001506112917</v>
      </c>
      <c r="T518">
        <f t="shared" si="104"/>
        <v>80</v>
      </c>
      <c r="U518">
        <f t="shared" si="105"/>
        <v>46</v>
      </c>
      <c r="V518" s="3">
        <f t="shared" si="106"/>
        <v>0.99999999983984755</v>
      </c>
      <c r="W518" s="9">
        <f t="shared" si="107"/>
        <v>1.6015244685974039E-10</v>
      </c>
      <c r="AC518"/>
    </row>
    <row r="519" spans="1:29" x14ac:dyDescent="0.25">
      <c r="A519" t="s">
        <v>266</v>
      </c>
      <c r="B519">
        <v>5</v>
      </c>
      <c r="C519" t="s">
        <v>887</v>
      </c>
      <c r="D519" t="s">
        <v>473</v>
      </c>
      <c r="E519">
        <v>17</v>
      </c>
      <c r="F519">
        <v>6.4</v>
      </c>
      <c r="G519">
        <v>39.0625</v>
      </c>
      <c r="H519" t="s">
        <v>87</v>
      </c>
      <c r="I519" t="s">
        <v>87</v>
      </c>
      <c r="J519" t="s">
        <v>27</v>
      </c>
      <c r="K519">
        <f t="shared" si="96"/>
        <v>98.17</v>
      </c>
      <c r="L519">
        <f t="shared" si="97"/>
        <v>359.81479999999999</v>
      </c>
      <c r="M519" t="str">
        <f t="shared" si="98"/>
        <v>chad-5</v>
      </c>
      <c r="N519" t="str">
        <f>INDEX(Scores!$A$2:$A$11,INDEX(Scores!$AA$2:$AA$131,MATCH(C519,Scores!$AB$2:$AB$131,0)))</f>
        <v>chad</v>
      </c>
      <c r="O519">
        <f t="shared" si="99"/>
        <v>103.98</v>
      </c>
      <c r="P519">
        <f t="shared" si="100"/>
        <v>400.98380000000003</v>
      </c>
      <c r="Q519" s="3">
        <f t="shared" si="101"/>
        <v>0.41658401639793569</v>
      </c>
      <c r="R519" s="3">
        <f t="shared" si="102"/>
        <v>0.57075549748646492</v>
      </c>
      <c r="S519" s="9">
        <f t="shared" si="103"/>
        <v>0.15417148108852924</v>
      </c>
      <c r="T519">
        <f t="shared" si="104"/>
        <v>121</v>
      </c>
      <c r="U519">
        <f t="shared" si="105"/>
        <v>71</v>
      </c>
      <c r="V519" s="3">
        <f t="shared" si="106"/>
        <v>0.99999999985496979</v>
      </c>
      <c r="W519" s="9">
        <f t="shared" si="107"/>
        <v>1.450302100636236E-10</v>
      </c>
      <c r="AC519"/>
    </row>
    <row r="520" spans="1:29" x14ac:dyDescent="0.25">
      <c r="A520" t="s">
        <v>186</v>
      </c>
      <c r="B520">
        <v>6</v>
      </c>
      <c r="C520" t="s">
        <v>936</v>
      </c>
      <c r="D520" t="s">
        <v>469</v>
      </c>
      <c r="E520">
        <v>0</v>
      </c>
      <c r="F520">
        <v>7.24</v>
      </c>
      <c r="G520">
        <v>17.139600000000002</v>
      </c>
      <c r="H520" t="s">
        <v>47</v>
      </c>
      <c r="I520" t="s">
        <v>47</v>
      </c>
      <c r="J520" t="s">
        <v>27</v>
      </c>
      <c r="K520">
        <f t="shared" si="96"/>
        <v>104.66</v>
      </c>
      <c r="L520">
        <f t="shared" si="97"/>
        <v>375.94899999999996</v>
      </c>
      <c r="M520" t="str">
        <f t="shared" si="98"/>
        <v>devon-6</v>
      </c>
      <c r="N520" t="str">
        <f>INDEX(Scores!$A$2:$A$11,INDEX(Scores!$AA$2:$AA$131,MATCH(C520,Scores!$AB$2:$AB$131,0)))</f>
        <v>devon</v>
      </c>
      <c r="O520">
        <f t="shared" si="99"/>
        <v>101.41999999999999</v>
      </c>
      <c r="P520">
        <f t="shared" si="100"/>
        <v>401.13359999999994</v>
      </c>
      <c r="Q520" s="3">
        <f t="shared" si="101"/>
        <v>0.54626414609906893</v>
      </c>
      <c r="R520" s="3">
        <f t="shared" si="102"/>
        <v>0.4423156862044354</v>
      </c>
      <c r="S520" s="9">
        <f t="shared" si="103"/>
        <v>-0.10394845989463353</v>
      </c>
      <c r="T520">
        <f t="shared" si="104"/>
        <v>91</v>
      </c>
      <c r="U520">
        <f t="shared" si="105"/>
        <v>72</v>
      </c>
      <c r="V520" s="3">
        <f t="shared" si="106"/>
        <v>0.99999999988374055</v>
      </c>
      <c r="W520" s="9">
        <f t="shared" si="107"/>
        <v>1.1625944651427744E-10</v>
      </c>
      <c r="AC520"/>
    </row>
    <row r="521" spans="1:29" x14ac:dyDescent="0.25">
      <c r="A521" t="s">
        <v>127</v>
      </c>
      <c r="B521">
        <v>3</v>
      </c>
      <c r="C521" t="s">
        <v>810</v>
      </c>
      <c r="D521" t="s">
        <v>469</v>
      </c>
      <c r="E521">
        <v>22</v>
      </c>
      <c r="F521">
        <v>11.57</v>
      </c>
      <c r="G521">
        <v>60.684100000000001</v>
      </c>
      <c r="H521" t="s">
        <v>47</v>
      </c>
      <c r="I521" t="s">
        <v>47</v>
      </c>
      <c r="J521" t="s">
        <v>62</v>
      </c>
      <c r="K521">
        <f t="shared" si="96"/>
        <v>99.23</v>
      </c>
      <c r="L521">
        <f t="shared" si="97"/>
        <v>414.92009999999999</v>
      </c>
      <c r="M521" t="str">
        <f t="shared" si="98"/>
        <v>devon-3</v>
      </c>
      <c r="N521" t="str">
        <f>INDEX(Scores!$A$2:$A$11,INDEX(Scores!$AA$2:$AA$131,MATCH(C521,Scores!$AB$2:$AB$131,0)))</f>
        <v>devon</v>
      </c>
      <c r="O521">
        <f t="shared" si="99"/>
        <v>110.36</v>
      </c>
      <c r="P521">
        <f t="shared" si="100"/>
        <v>421.178</v>
      </c>
      <c r="Q521" s="3">
        <f t="shared" si="101"/>
        <v>0.35014963451184367</v>
      </c>
      <c r="R521" s="3">
        <f t="shared" si="102"/>
        <v>0.489972433543575</v>
      </c>
      <c r="S521" s="9">
        <f t="shared" si="103"/>
        <v>0.13982279903173134</v>
      </c>
      <c r="T521">
        <f t="shared" si="104"/>
        <v>123</v>
      </c>
      <c r="U521">
        <f t="shared" si="105"/>
        <v>63</v>
      </c>
      <c r="V521" s="3">
        <f t="shared" si="106"/>
        <v>0.99999999990125898</v>
      </c>
      <c r="W521" s="9">
        <f t="shared" si="107"/>
        <v>9.8741015364112172E-11</v>
      </c>
      <c r="AC521"/>
    </row>
    <row r="522" spans="1:29" x14ac:dyDescent="0.25">
      <c r="A522" t="s">
        <v>106</v>
      </c>
      <c r="B522">
        <v>11</v>
      </c>
      <c r="C522" t="s">
        <v>965</v>
      </c>
      <c r="D522" t="s">
        <v>471</v>
      </c>
      <c r="E522">
        <v>6</v>
      </c>
      <c r="F522">
        <v>10.15</v>
      </c>
      <c r="G522">
        <v>37.699599999999997</v>
      </c>
      <c r="H522" t="s">
        <v>87</v>
      </c>
      <c r="I522" t="s">
        <v>87</v>
      </c>
      <c r="J522" t="s">
        <v>23</v>
      </c>
      <c r="K522">
        <f t="shared" si="96"/>
        <v>104.20000000000002</v>
      </c>
      <c r="L522">
        <f t="shared" si="97"/>
        <v>377.06489999999997</v>
      </c>
      <c r="M522" t="str">
        <f t="shared" si="98"/>
        <v>lucas-11</v>
      </c>
      <c r="N522" t="str">
        <f>INDEX(Scores!$A$2:$A$11,INDEX(Scores!$AA$2:$AA$131,MATCH(C522,Scores!$AB$2:$AB$131,0)))</f>
        <v>lucas</v>
      </c>
      <c r="O522">
        <f t="shared" si="99"/>
        <v>0</v>
      </c>
      <c r="P522">
        <f t="shared" si="100"/>
        <v>0</v>
      </c>
      <c r="Q522" s="3">
        <f t="shared" si="101"/>
        <v>0.99999995977381673</v>
      </c>
      <c r="R522" s="3">
        <f t="shared" si="102"/>
        <v>0.99999997198744894</v>
      </c>
      <c r="S522" s="9">
        <f t="shared" si="103"/>
        <v>1.2213632216706571E-8</v>
      </c>
      <c r="T522">
        <f t="shared" si="104"/>
        <v>85</v>
      </c>
      <c r="U522">
        <f t="shared" si="105"/>
        <v>0</v>
      </c>
      <c r="V522" s="3">
        <f t="shared" si="106"/>
        <v>1</v>
      </c>
      <c r="W522" s="9">
        <f t="shared" si="107"/>
        <v>0</v>
      </c>
      <c r="AC522"/>
    </row>
    <row r="523" spans="1:29" x14ac:dyDescent="0.25">
      <c r="A523" t="s">
        <v>199</v>
      </c>
      <c r="B523">
        <v>10</v>
      </c>
      <c r="C523" t="s">
        <v>948</v>
      </c>
      <c r="D523" t="s">
        <v>475</v>
      </c>
      <c r="E523">
        <v>0</v>
      </c>
      <c r="F523">
        <v>5.25</v>
      </c>
      <c r="G523">
        <v>16.728100000000001</v>
      </c>
      <c r="H523" t="s">
        <v>114</v>
      </c>
      <c r="I523" t="s">
        <v>114</v>
      </c>
      <c r="J523" t="s">
        <v>62</v>
      </c>
      <c r="K523">
        <f t="shared" si="96"/>
        <v>103.91999999999999</v>
      </c>
      <c r="L523">
        <f t="shared" si="97"/>
        <v>398.26569999999992</v>
      </c>
      <c r="M523" t="str">
        <f t="shared" si="98"/>
        <v>aj-10</v>
      </c>
      <c r="N523" t="str">
        <f>INDEX(Scores!$A$2:$A$11,INDEX(Scores!$AA$2:$AA$131,MATCH(C523,Scores!$AB$2:$AB$131,0)))</f>
        <v>aj</v>
      </c>
      <c r="O523">
        <f t="shared" si="99"/>
        <v>110.08000000000001</v>
      </c>
      <c r="P523">
        <f t="shared" si="100"/>
        <v>372.64320000000004</v>
      </c>
      <c r="Q523" s="3">
        <f t="shared" si="101"/>
        <v>0.41221140040071919</v>
      </c>
      <c r="R523" s="3">
        <f t="shared" si="102"/>
        <v>0.3388960518950011</v>
      </c>
      <c r="S523" s="9">
        <f t="shared" si="103"/>
        <v>-7.3315348505718081E-2</v>
      </c>
      <c r="T523">
        <f t="shared" si="104"/>
        <v>103</v>
      </c>
      <c r="U523">
        <f t="shared" si="105"/>
        <v>82</v>
      </c>
      <c r="V523" s="3">
        <f t="shared" si="106"/>
        <v>0.99999999993100397</v>
      </c>
      <c r="W523" s="9">
        <f t="shared" si="107"/>
        <v>6.8996031110657441E-11</v>
      </c>
      <c r="AC523"/>
    </row>
    <row r="524" spans="1:29" x14ac:dyDescent="0.25">
      <c r="A524" t="s">
        <v>140</v>
      </c>
      <c r="B524">
        <v>4</v>
      </c>
      <c r="C524" t="s">
        <v>866</v>
      </c>
      <c r="D524" t="s">
        <v>473</v>
      </c>
      <c r="E524">
        <v>9</v>
      </c>
      <c r="F524">
        <v>10.79</v>
      </c>
      <c r="G524">
        <v>30.691600000000001</v>
      </c>
      <c r="H524" t="s">
        <v>87</v>
      </c>
      <c r="I524" t="s">
        <v>87</v>
      </c>
      <c r="J524" t="s">
        <v>55</v>
      </c>
      <c r="K524">
        <f t="shared" si="96"/>
        <v>118.09999999999998</v>
      </c>
      <c r="L524">
        <f t="shared" si="97"/>
        <v>465.47660000000008</v>
      </c>
      <c r="M524" t="str">
        <f t="shared" si="98"/>
        <v>comp-4</v>
      </c>
      <c r="N524" t="str">
        <f>INDEX(Scores!$A$2:$A$11,INDEX(Scores!$AA$2:$AA$131,MATCH(C524,Scores!$AB$2:$AB$131,0)))</f>
        <v>comp</v>
      </c>
      <c r="O524">
        <f t="shared" si="99"/>
        <v>103.70000000000002</v>
      </c>
      <c r="P524">
        <f t="shared" si="100"/>
        <v>412.10110000000003</v>
      </c>
      <c r="Q524" s="3">
        <f t="shared" si="101"/>
        <v>0.68654951827928645</v>
      </c>
      <c r="R524" s="3">
        <f t="shared" si="102"/>
        <v>0.66760661609417582</v>
      </c>
      <c r="S524" s="9">
        <f t="shared" si="103"/>
        <v>-1.8942902185110633E-2</v>
      </c>
      <c r="T524">
        <f t="shared" si="104"/>
        <v>80</v>
      </c>
      <c r="U524">
        <f t="shared" si="105"/>
        <v>46</v>
      </c>
      <c r="V524" s="3">
        <f t="shared" si="106"/>
        <v>0.99999999994774835</v>
      </c>
      <c r="W524" s="9">
        <f t="shared" si="107"/>
        <v>5.225164745326083E-11</v>
      </c>
      <c r="AC524"/>
    </row>
    <row r="525" spans="1:29" x14ac:dyDescent="0.25">
      <c r="A525" t="s">
        <v>449</v>
      </c>
      <c r="B525">
        <v>11</v>
      </c>
      <c r="C525" t="s">
        <v>917</v>
      </c>
      <c r="D525" t="s">
        <v>478</v>
      </c>
      <c r="E525">
        <v>11</v>
      </c>
      <c r="F525">
        <v>6.47</v>
      </c>
      <c r="G525">
        <v>16.483599999999999</v>
      </c>
      <c r="H525" t="s">
        <v>478</v>
      </c>
      <c r="I525" t="s">
        <v>478</v>
      </c>
      <c r="J525" t="s">
        <v>16</v>
      </c>
      <c r="K525">
        <f t="shared" si="96"/>
        <v>102.11</v>
      </c>
      <c r="L525">
        <f t="shared" si="97"/>
        <v>431.97960000000006</v>
      </c>
      <c r="M525" t="str">
        <f t="shared" si="98"/>
        <v>chad-11</v>
      </c>
      <c r="N525" t="str">
        <f>INDEX(Scores!$A$2:$A$11,INDEX(Scores!$AA$2:$AA$131,MATCH(C525,Scores!$AB$2:$AB$131,0)))</f>
        <v>chad</v>
      </c>
      <c r="O525">
        <f t="shared" si="99"/>
        <v>106.58</v>
      </c>
      <c r="P525">
        <f t="shared" si="100"/>
        <v>427.68610000000001</v>
      </c>
      <c r="Q525" s="3">
        <f t="shared" si="101"/>
        <v>0.43941389461043751</v>
      </c>
      <c r="R525" s="3">
        <f t="shared" si="102"/>
        <v>0.50082432850531111</v>
      </c>
      <c r="S525" s="9">
        <f t="shared" si="103"/>
        <v>6.1410433894873606E-2</v>
      </c>
      <c r="T525">
        <f t="shared" si="104"/>
        <v>130</v>
      </c>
      <c r="U525">
        <f t="shared" si="105"/>
        <v>99</v>
      </c>
      <c r="V525" s="3">
        <f t="shared" si="106"/>
        <v>0.99999999996477695</v>
      </c>
      <c r="W525" s="9">
        <f t="shared" si="107"/>
        <v>3.5223046701560179E-11</v>
      </c>
      <c r="AC525"/>
    </row>
    <row r="526" spans="1:29" x14ac:dyDescent="0.25">
      <c r="A526" t="s">
        <v>211</v>
      </c>
      <c r="B526">
        <v>3</v>
      </c>
      <c r="C526" t="s">
        <v>807</v>
      </c>
      <c r="D526" t="s">
        <v>475</v>
      </c>
      <c r="E526">
        <v>0</v>
      </c>
      <c r="F526">
        <v>5.88</v>
      </c>
      <c r="G526">
        <v>30.25</v>
      </c>
      <c r="H526" t="s">
        <v>114</v>
      </c>
      <c r="I526" t="s">
        <v>114</v>
      </c>
      <c r="J526" t="s">
        <v>20</v>
      </c>
      <c r="K526">
        <f t="shared" si="96"/>
        <v>110.35</v>
      </c>
      <c r="L526">
        <f t="shared" si="97"/>
        <v>442.53309999999999</v>
      </c>
      <c r="M526" t="str">
        <f t="shared" si="98"/>
        <v>perry-3</v>
      </c>
      <c r="N526" t="str">
        <f>INDEX(Scores!$A$2:$A$11,INDEX(Scores!$AA$2:$AA$131,MATCH(C526,Scores!$AB$2:$AB$131,0)))</f>
        <v>perry</v>
      </c>
      <c r="O526">
        <f t="shared" si="99"/>
        <v>101.86999999999999</v>
      </c>
      <c r="P526">
        <f t="shared" si="100"/>
        <v>350.57169999999996</v>
      </c>
      <c r="Q526" s="3">
        <f t="shared" si="101"/>
        <v>0.61833611537492805</v>
      </c>
      <c r="R526" s="3">
        <f t="shared" si="102"/>
        <v>0.53749915122762271</v>
      </c>
      <c r="S526" s="9">
        <f t="shared" si="103"/>
        <v>-8.0836964147305346E-2</v>
      </c>
      <c r="T526">
        <f t="shared" si="104"/>
        <v>132</v>
      </c>
      <c r="U526">
        <f t="shared" si="105"/>
        <v>102</v>
      </c>
      <c r="V526" s="3">
        <f t="shared" si="106"/>
        <v>0.99999999996568856</v>
      </c>
      <c r="W526" s="9">
        <f t="shared" si="107"/>
        <v>3.4311442576040463E-11</v>
      </c>
      <c r="AC526"/>
    </row>
    <row r="527" spans="1:29" x14ac:dyDescent="0.25">
      <c r="A527" t="s">
        <v>67</v>
      </c>
      <c r="B527">
        <v>8</v>
      </c>
      <c r="C527" t="s">
        <v>922</v>
      </c>
      <c r="D527" t="s">
        <v>467</v>
      </c>
      <c r="E527">
        <v>10</v>
      </c>
      <c r="F527">
        <v>19.84</v>
      </c>
      <c r="G527">
        <v>53.5824</v>
      </c>
      <c r="H527" t="s">
        <v>15</v>
      </c>
      <c r="I527" t="s">
        <v>15</v>
      </c>
      <c r="J527" t="s">
        <v>55</v>
      </c>
      <c r="K527">
        <f t="shared" si="96"/>
        <v>114.1</v>
      </c>
      <c r="L527">
        <f t="shared" si="97"/>
        <v>458.87900000000002</v>
      </c>
      <c r="M527" t="str">
        <f t="shared" si="98"/>
        <v>lucas-8</v>
      </c>
      <c r="N527" t="str">
        <f>INDEX(Scores!$A$2:$A$11,INDEX(Scores!$AA$2:$AA$131,MATCH(C527,Scores!$AB$2:$AB$131,0)))</f>
        <v>lucas</v>
      </c>
      <c r="O527">
        <f t="shared" si="99"/>
        <v>0</v>
      </c>
      <c r="P527">
        <f t="shared" si="100"/>
        <v>0</v>
      </c>
      <c r="Q527" s="3">
        <f t="shared" si="101"/>
        <v>0.99999994992018415</v>
      </c>
      <c r="R527" s="3">
        <f t="shared" si="102"/>
        <v>0.99999988835612963</v>
      </c>
      <c r="S527" s="9">
        <f t="shared" si="103"/>
        <v>-6.1564054520957256E-8</v>
      </c>
      <c r="T527">
        <f t="shared" si="104"/>
        <v>113</v>
      </c>
      <c r="U527">
        <f t="shared" si="105"/>
        <v>0</v>
      </c>
      <c r="V527" s="3">
        <f t="shared" si="106"/>
        <v>1</v>
      </c>
      <c r="W527" s="9">
        <f t="shared" si="107"/>
        <v>0</v>
      </c>
      <c r="AC527"/>
    </row>
    <row r="528" spans="1:29" x14ac:dyDescent="0.25">
      <c r="A528" t="s">
        <v>285</v>
      </c>
      <c r="B528">
        <v>5</v>
      </c>
      <c r="C528" t="s">
        <v>884</v>
      </c>
      <c r="D528" t="s">
        <v>469</v>
      </c>
      <c r="E528">
        <v>1</v>
      </c>
      <c r="F528">
        <v>6</v>
      </c>
      <c r="G528">
        <v>19.096900000000002</v>
      </c>
      <c r="H528" t="s">
        <v>47</v>
      </c>
      <c r="I528" t="s">
        <v>47</v>
      </c>
      <c r="J528" t="s">
        <v>40</v>
      </c>
      <c r="K528">
        <f t="shared" si="96"/>
        <v>89.689999999999984</v>
      </c>
      <c r="L528">
        <f t="shared" si="97"/>
        <v>445.42419999999998</v>
      </c>
      <c r="M528" t="e">
        <f t="shared" si="98"/>
        <v>#N/A</v>
      </c>
      <c r="N528" t="e">
        <f>INDEX(Scores!$A$2:$A$11,INDEX(Scores!$AA$2:$AA$131,MATCH(C528,Scores!$AB$2:$AB$131,0)))</f>
        <v>#N/A</v>
      </c>
      <c r="O528">
        <f t="shared" si="99"/>
        <v>0</v>
      </c>
      <c r="P528">
        <f t="shared" si="100"/>
        <v>0</v>
      </c>
      <c r="Q528" s="3">
        <f t="shared" si="101"/>
        <v>0.99998929661032787</v>
      </c>
      <c r="R528" s="3">
        <f t="shared" si="102"/>
        <v>0.99997949092082827</v>
      </c>
      <c r="S528" s="9">
        <f t="shared" si="103"/>
        <v>-9.8056894995979249E-6</v>
      </c>
      <c r="T528">
        <f t="shared" si="104"/>
        <v>93</v>
      </c>
      <c r="U528">
        <f t="shared" si="105"/>
        <v>0</v>
      </c>
      <c r="V528" s="3">
        <f t="shared" si="106"/>
        <v>1</v>
      </c>
      <c r="W528" s="9">
        <f t="shared" si="107"/>
        <v>0</v>
      </c>
      <c r="AC528"/>
    </row>
    <row r="529" spans="1:29" x14ac:dyDescent="0.25">
      <c r="A529" t="s">
        <v>120</v>
      </c>
      <c r="B529">
        <v>12</v>
      </c>
      <c r="C529" t="s">
        <v>942</v>
      </c>
      <c r="D529" t="s">
        <v>472</v>
      </c>
      <c r="E529">
        <v>12</v>
      </c>
      <c r="F529">
        <v>10.83</v>
      </c>
      <c r="G529">
        <v>35.760399999999997</v>
      </c>
      <c r="H529" t="s">
        <v>87</v>
      </c>
      <c r="I529" t="s">
        <v>87</v>
      </c>
      <c r="J529" t="s">
        <v>27</v>
      </c>
      <c r="K529">
        <f t="shared" si="96"/>
        <v>98.639999999999986</v>
      </c>
      <c r="L529">
        <f t="shared" si="97"/>
        <v>309.06870000000004</v>
      </c>
      <c r="M529" t="str">
        <f t="shared" si="98"/>
        <v>aj-12</v>
      </c>
      <c r="N529" t="str">
        <f>INDEX(Scores!$A$2:$A$11,INDEX(Scores!$AA$2:$AA$131,MATCH(C529,Scores!$AB$2:$AB$131,0)))</f>
        <v>aj</v>
      </c>
      <c r="O529">
        <f t="shared" si="99"/>
        <v>111.09</v>
      </c>
      <c r="P529">
        <f t="shared" si="100"/>
        <v>408.5095</v>
      </c>
      <c r="Q529" s="3">
        <f t="shared" si="101"/>
        <v>0.32104937221741592</v>
      </c>
      <c r="R529" s="3">
        <f t="shared" si="102"/>
        <v>0.332873892890788</v>
      </c>
      <c r="S529" s="9">
        <f t="shared" si="103"/>
        <v>1.1824520673372085E-2</v>
      </c>
      <c r="T529">
        <f t="shared" si="104"/>
        <v>125</v>
      </c>
      <c r="U529">
        <f t="shared" si="105"/>
        <v>84</v>
      </c>
      <c r="V529" s="3">
        <f t="shared" si="106"/>
        <v>0.99999999998635836</v>
      </c>
      <c r="W529" s="9">
        <f t="shared" si="107"/>
        <v>1.3641643370476686E-11</v>
      </c>
      <c r="AC529"/>
    </row>
    <row r="530" spans="1:29" x14ac:dyDescent="0.25">
      <c r="A530" t="s">
        <v>26</v>
      </c>
      <c r="B530">
        <v>12</v>
      </c>
      <c r="C530" t="s">
        <v>942</v>
      </c>
      <c r="D530" t="s">
        <v>467</v>
      </c>
      <c r="E530">
        <v>16</v>
      </c>
      <c r="F530">
        <v>20.149999999999999</v>
      </c>
      <c r="G530">
        <v>45.697600000000001</v>
      </c>
      <c r="H530" t="s">
        <v>15</v>
      </c>
      <c r="I530" t="s">
        <v>15</v>
      </c>
      <c r="J530" t="s">
        <v>27</v>
      </c>
      <c r="K530">
        <f t="shared" si="96"/>
        <v>98.639999999999986</v>
      </c>
      <c r="L530">
        <f t="shared" si="97"/>
        <v>309.06870000000004</v>
      </c>
      <c r="M530" t="str">
        <f t="shared" si="98"/>
        <v>aj-12</v>
      </c>
      <c r="N530" t="str">
        <f>INDEX(Scores!$A$2:$A$11,INDEX(Scores!$AA$2:$AA$131,MATCH(C530,Scores!$AB$2:$AB$131,0)))</f>
        <v>aj</v>
      </c>
      <c r="O530">
        <f t="shared" si="99"/>
        <v>111.09</v>
      </c>
      <c r="P530">
        <f t="shared" si="100"/>
        <v>408.5095</v>
      </c>
      <c r="Q530" s="3">
        <f t="shared" si="101"/>
        <v>0.32104937221741592</v>
      </c>
      <c r="R530" s="3">
        <f t="shared" si="102"/>
        <v>0.26095115713021139</v>
      </c>
      <c r="S530" s="9">
        <f t="shared" si="103"/>
        <v>-6.0098215087204532E-2</v>
      </c>
      <c r="T530">
        <f t="shared" si="104"/>
        <v>125</v>
      </c>
      <c r="U530">
        <f t="shared" si="105"/>
        <v>84</v>
      </c>
      <c r="V530" s="3">
        <f t="shared" si="106"/>
        <v>0.99999999998797062</v>
      </c>
      <c r="W530" s="9">
        <f t="shared" si="107"/>
        <v>1.2029377494116034E-11</v>
      </c>
      <c r="AC530"/>
    </row>
    <row r="531" spans="1:29" x14ac:dyDescent="0.25">
      <c r="A531" t="s">
        <v>191</v>
      </c>
      <c r="B531">
        <v>5</v>
      </c>
      <c r="C531" t="s">
        <v>884</v>
      </c>
      <c r="D531" t="s">
        <v>471</v>
      </c>
      <c r="E531">
        <v>4</v>
      </c>
      <c r="F531">
        <v>8.0299999999999994</v>
      </c>
      <c r="G531">
        <v>17.556100000000001</v>
      </c>
      <c r="H531" t="s">
        <v>87</v>
      </c>
      <c r="I531" t="s">
        <v>87</v>
      </c>
      <c r="J531" t="s">
        <v>40</v>
      </c>
      <c r="K531">
        <f t="shared" si="96"/>
        <v>89.689999999999984</v>
      </c>
      <c r="L531">
        <f t="shared" si="97"/>
        <v>445.42419999999998</v>
      </c>
      <c r="M531" t="e">
        <f t="shared" si="98"/>
        <v>#N/A</v>
      </c>
      <c r="N531" t="e">
        <f>INDEX(Scores!$A$2:$A$11,INDEX(Scores!$AA$2:$AA$131,MATCH(C531,Scores!$AB$2:$AB$131,0)))</f>
        <v>#N/A</v>
      </c>
      <c r="O531">
        <f t="shared" si="99"/>
        <v>0</v>
      </c>
      <c r="P531">
        <f t="shared" si="100"/>
        <v>0</v>
      </c>
      <c r="Q531" s="3">
        <f t="shared" si="101"/>
        <v>0.99998929661032787</v>
      </c>
      <c r="R531" s="3">
        <f t="shared" si="102"/>
        <v>0.9999827231038616</v>
      </c>
      <c r="S531" s="9">
        <f t="shared" si="103"/>
        <v>-6.5735064662675313E-6</v>
      </c>
      <c r="T531">
        <f t="shared" si="104"/>
        <v>93</v>
      </c>
      <c r="U531">
        <f t="shared" si="105"/>
        <v>0</v>
      </c>
      <c r="V531" s="3">
        <f t="shared" si="106"/>
        <v>1</v>
      </c>
      <c r="W531" s="9">
        <f t="shared" si="107"/>
        <v>0</v>
      </c>
      <c r="AC531"/>
    </row>
    <row r="532" spans="1:29" x14ac:dyDescent="0.25">
      <c r="A532" t="s">
        <v>115</v>
      </c>
      <c r="B532">
        <v>11</v>
      </c>
      <c r="C532" t="s">
        <v>909</v>
      </c>
      <c r="D532" t="s">
        <v>469</v>
      </c>
      <c r="E532">
        <v>7</v>
      </c>
      <c r="F532">
        <v>14.17</v>
      </c>
      <c r="G532">
        <v>62.252099999999999</v>
      </c>
      <c r="H532" t="s">
        <v>47</v>
      </c>
      <c r="I532" t="s">
        <v>47</v>
      </c>
      <c r="J532" t="s">
        <v>20</v>
      </c>
      <c r="K532">
        <f t="shared" si="96"/>
        <v>105.39999999999999</v>
      </c>
      <c r="L532">
        <f t="shared" si="97"/>
        <v>342.09739999999999</v>
      </c>
      <c r="M532" t="str">
        <f t="shared" si="98"/>
        <v>devon-11</v>
      </c>
      <c r="N532" t="str">
        <f>INDEX(Scores!$A$2:$A$11,INDEX(Scores!$AA$2:$AA$131,MATCH(C532,Scores!$AB$2:$AB$131,0)))</f>
        <v>devon</v>
      </c>
      <c r="O532">
        <f t="shared" si="99"/>
        <v>100.25</v>
      </c>
      <c r="P532">
        <f t="shared" si="100"/>
        <v>448.76889999999997</v>
      </c>
      <c r="Q532" s="3">
        <f t="shared" si="101"/>
        <v>0.57265136255925952</v>
      </c>
      <c r="R532" s="3">
        <f t="shared" si="102"/>
        <v>0.47017314838666158</v>
      </c>
      <c r="S532" s="9">
        <f t="shared" si="103"/>
        <v>-0.10247821417259795</v>
      </c>
      <c r="T532">
        <f t="shared" si="104"/>
        <v>124</v>
      </c>
      <c r="U532">
        <f t="shared" si="105"/>
        <v>78</v>
      </c>
      <c r="V532" s="3">
        <f t="shared" si="106"/>
        <v>0.99999999999202105</v>
      </c>
      <c r="W532" s="9">
        <f t="shared" si="107"/>
        <v>7.978950833376075E-12</v>
      </c>
      <c r="AC532"/>
    </row>
    <row r="533" spans="1:29" x14ac:dyDescent="0.25">
      <c r="A533" t="s">
        <v>89</v>
      </c>
      <c r="B533">
        <v>11</v>
      </c>
      <c r="C533" t="s">
        <v>917</v>
      </c>
      <c r="D533" t="s">
        <v>469</v>
      </c>
      <c r="E533">
        <v>10</v>
      </c>
      <c r="F533">
        <v>8.25</v>
      </c>
      <c r="G533">
        <v>18.835599999999999</v>
      </c>
      <c r="H533" t="s">
        <v>47</v>
      </c>
      <c r="I533" t="s">
        <v>47</v>
      </c>
      <c r="J533" t="s">
        <v>16</v>
      </c>
      <c r="K533">
        <f t="shared" si="96"/>
        <v>102.11</v>
      </c>
      <c r="L533">
        <f t="shared" si="97"/>
        <v>431.97960000000006</v>
      </c>
      <c r="M533" t="str">
        <f t="shared" si="98"/>
        <v>chad-11</v>
      </c>
      <c r="N533" t="str">
        <f>INDEX(Scores!$A$2:$A$11,INDEX(Scores!$AA$2:$AA$131,MATCH(C533,Scores!$AB$2:$AB$131,0)))</f>
        <v>chad</v>
      </c>
      <c r="O533">
        <f t="shared" si="99"/>
        <v>106.58</v>
      </c>
      <c r="P533">
        <f t="shared" si="100"/>
        <v>427.68610000000001</v>
      </c>
      <c r="Q533" s="3">
        <f t="shared" si="101"/>
        <v>0.43941389461043751</v>
      </c>
      <c r="R533" s="3">
        <f t="shared" si="102"/>
        <v>0.46263299149087778</v>
      </c>
      <c r="S533" s="9">
        <f t="shared" si="103"/>
        <v>2.3219096880440271E-2</v>
      </c>
      <c r="T533">
        <f t="shared" si="104"/>
        <v>130</v>
      </c>
      <c r="U533">
        <f t="shared" si="105"/>
        <v>99</v>
      </c>
      <c r="V533" s="3">
        <f t="shared" si="106"/>
        <v>0.99999999999206057</v>
      </c>
      <c r="W533" s="9">
        <f t="shared" si="107"/>
        <v>7.9394268936994195E-12</v>
      </c>
      <c r="AC533"/>
    </row>
    <row r="534" spans="1:29" x14ac:dyDescent="0.25">
      <c r="A534" t="s">
        <v>103</v>
      </c>
      <c r="B534">
        <v>8</v>
      </c>
      <c r="C534" t="s">
        <v>922</v>
      </c>
      <c r="D534" t="s">
        <v>471</v>
      </c>
      <c r="E534">
        <v>4</v>
      </c>
      <c r="F534">
        <v>9.44</v>
      </c>
      <c r="G534">
        <v>41.473599999999998</v>
      </c>
      <c r="H534" t="s">
        <v>87</v>
      </c>
      <c r="I534" t="s">
        <v>87</v>
      </c>
      <c r="J534" t="s">
        <v>55</v>
      </c>
      <c r="K534">
        <f t="shared" si="96"/>
        <v>114.1</v>
      </c>
      <c r="L534">
        <f t="shared" si="97"/>
        <v>458.87900000000002</v>
      </c>
      <c r="M534" t="str">
        <f t="shared" si="98"/>
        <v>lucas-8</v>
      </c>
      <c r="N534" t="str">
        <f>INDEX(Scores!$A$2:$A$11,INDEX(Scores!$AA$2:$AA$131,MATCH(C534,Scores!$AB$2:$AB$131,0)))</f>
        <v>lucas</v>
      </c>
      <c r="O534">
        <f t="shared" si="99"/>
        <v>0</v>
      </c>
      <c r="P534">
        <f t="shared" si="100"/>
        <v>0</v>
      </c>
      <c r="Q534" s="3">
        <f t="shared" si="101"/>
        <v>0.99999994992018415</v>
      </c>
      <c r="R534" s="3">
        <f t="shared" si="102"/>
        <v>0.99999994769218958</v>
      </c>
      <c r="S534" s="9">
        <f t="shared" si="103"/>
        <v>-2.227994566617042E-9</v>
      </c>
      <c r="T534">
        <f t="shared" si="104"/>
        <v>113</v>
      </c>
      <c r="U534">
        <f t="shared" si="105"/>
        <v>0</v>
      </c>
      <c r="V534" s="3">
        <f t="shared" si="106"/>
        <v>1</v>
      </c>
      <c r="W534" s="9">
        <f t="shared" si="107"/>
        <v>0</v>
      </c>
      <c r="AC534"/>
    </row>
    <row r="535" spans="1:29" x14ac:dyDescent="0.25">
      <c r="A535" t="s">
        <v>117</v>
      </c>
      <c r="B535">
        <v>4</v>
      </c>
      <c r="C535" t="s">
        <v>866</v>
      </c>
      <c r="D535" t="s">
        <v>469</v>
      </c>
      <c r="E535">
        <v>2</v>
      </c>
      <c r="F535">
        <v>10.65</v>
      </c>
      <c r="G535">
        <v>39.942399999999999</v>
      </c>
      <c r="H535" t="s">
        <v>47</v>
      </c>
      <c r="I535" t="s">
        <v>47</v>
      </c>
      <c r="J535" t="s">
        <v>55</v>
      </c>
      <c r="K535">
        <f t="shared" si="96"/>
        <v>118.09999999999998</v>
      </c>
      <c r="L535">
        <f t="shared" si="97"/>
        <v>465.47660000000008</v>
      </c>
      <c r="M535" t="str">
        <f t="shared" si="98"/>
        <v>comp-4</v>
      </c>
      <c r="N535" t="str">
        <f>INDEX(Scores!$A$2:$A$11,INDEX(Scores!$AA$2:$AA$131,MATCH(C535,Scores!$AB$2:$AB$131,0)))</f>
        <v>comp</v>
      </c>
      <c r="O535">
        <f t="shared" si="99"/>
        <v>103.70000000000002</v>
      </c>
      <c r="P535">
        <f t="shared" si="100"/>
        <v>412.10110000000003</v>
      </c>
      <c r="Q535" s="3">
        <f t="shared" si="101"/>
        <v>0.68654951827928645</v>
      </c>
      <c r="R535" s="3">
        <f t="shared" si="102"/>
        <v>0.57874099713432448</v>
      </c>
      <c r="S535" s="9">
        <f t="shared" si="103"/>
        <v>-0.10780852114496198</v>
      </c>
      <c r="T535">
        <f t="shared" si="104"/>
        <v>80</v>
      </c>
      <c r="U535">
        <f t="shared" si="105"/>
        <v>46</v>
      </c>
      <c r="V535" s="3">
        <f t="shared" si="106"/>
        <v>0.99999999999252664</v>
      </c>
      <c r="W535" s="9">
        <f t="shared" si="107"/>
        <v>7.4733552679617787E-12</v>
      </c>
      <c r="AC535"/>
    </row>
    <row r="536" spans="1:29" x14ac:dyDescent="0.25">
      <c r="A536" t="s">
        <v>97</v>
      </c>
      <c r="B536">
        <v>1</v>
      </c>
      <c r="C536" t="s">
        <v>504</v>
      </c>
      <c r="D536" t="s">
        <v>469</v>
      </c>
      <c r="E536">
        <v>12</v>
      </c>
      <c r="F536">
        <v>13.67</v>
      </c>
      <c r="G536">
        <v>56.25</v>
      </c>
      <c r="H536" t="s">
        <v>47</v>
      </c>
      <c r="I536" t="s">
        <v>47</v>
      </c>
      <c r="J536" t="s">
        <v>20</v>
      </c>
      <c r="K536">
        <f t="shared" si="96"/>
        <v>102.78</v>
      </c>
      <c r="L536">
        <f t="shared" si="97"/>
        <v>382.14119999999997</v>
      </c>
      <c r="M536" t="str">
        <f t="shared" si="98"/>
        <v>aj-1</v>
      </c>
      <c r="N536" t="str">
        <f>INDEX(Scores!$A$2:$A$11,INDEX(Scores!$AA$2:$AA$131,MATCH(C536,Scores!$AB$2:$AB$131,0)))</f>
        <v>aj</v>
      </c>
      <c r="O536">
        <f t="shared" si="99"/>
        <v>90.7</v>
      </c>
      <c r="P536">
        <f t="shared" si="100"/>
        <v>347.93650000000002</v>
      </c>
      <c r="Q536" s="3">
        <f t="shared" si="101"/>
        <v>0.67259029154080885</v>
      </c>
      <c r="R536" s="3">
        <f t="shared" si="102"/>
        <v>0.65580079033644456</v>
      </c>
      <c r="S536" s="9">
        <f t="shared" si="103"/>
        <v>-1.6789501204364288E-2</v>
      </c>
      <c r="T536">
        <f t="shared" si="104"/>
        <v>120</v>
      </c>
      <c r="U536">
        <f t="shared" si="105"/>
        <v>71</v>
      </c>
      <c r="V536" s="3">
        <f t="shared" si="106"/>
        <v>0.99999999999290734</v>
      </c>
      <c r="W536" s="9">
        <f t="shared" si="107"/>
        <v>7.0926597928178126E-12</v>
      </c>
      <c r="AC536"/>
    </row>
    <row r="537" spans="1:29" x14ac:dyDescent="0.25">
      <c r="A537" t="s">
        <v>422</v>
      </c>
      <c r="B537">
        <v>5</v>
      </c>
      <c r="C537" t="s">
        <v>887</v>
      </c>
      <c r="D537" t="s">
        <v>477</v>
      </c>
      <c r="E537">
        <v>22</v>
      </c>
      <c r="F537">
        <v>4.0999999999999996</v>
      </c>
      <c r="G537">
        <v>22.5625</v>
      </c>
      <c r="H537" t="s">
        <v>477</v>
      </c>
      <c r="I537" t="s">
        <v>477</v>
      </c>
      <c r="J537" t="s">
        <v>27</v>
      </c>
      <c r="K537">
        <f t="shared" si="96"/>
        <v>98.17</v>
      </c>
      <c r="L537">
        <f t="shared" si="97"/>
        <v>359.81479999999999</v>
      </c>
      <c r="M537" t="str">
        <f t="shared" si="98"/>
        <v>chad-5</v>
      </c>
      <c r="N537" t="str">
        <f>INDEX(Scores!$A$2:$A$11,INDEX(Scores!$AA$2:$AA$131,MATCH(C537,Scores!$AB$2:$AB$131,0)))</f>
        <v>chad</v>
      </c>
      <c r="O537">
        <f t="shared" si="99"/>
        <v>103.98</v>
      </c>
      <c r="P537">
        <f t="shared" si="100"/>
        <v>400.98380000000003</v>
      </c>
      <c r="Q537" s="3">
        <f t="shared" si="101"/>
        <v>0.41658401639793569</v>
      </c>
      <c r="R537" s="3">
        <f t="shared" si="102"/>
        <v>0.67182851642788233</v>
      </c>
      <c r="S537" s="9">
        <f t="shared" si="103"/>
        <v>0.25524450002994664</v>
      </c>
      <c r="T537">
        <f t="shared" si="104"/>
        <v>121</v>
      </c>
      <c r="U537">
        <f t="shared" si="105"/>
        <v>71</v>
      </c>
      <c r="V537" s="3">
        <f t="shared" si="106"/>
        <v>0.99999999999299949</v>
      </c>
      <c r="W537" s="9">
        <f t="shared" si="107"/>
        <v>7.0005112817739246E-12</v>
      </c>
      <c r="AC537"/>
    </row>
    <row r="538" spans="1:29" x14ac:dyDescent="0.25">
      <c r="A538" t="s">
        <v>153</v>
      </c>
      <c r="B538">
        <v>6</v>
      </c>
      <c r="C538" t="s">
        <v>976</v>
      </c>
      <c r="D538" t="s">
        <v>473</v>
      </c>
      <c r="E538">
        <v>8</v>
      </c>
      <c r="F538">
        <v>4.92</v>
      </c>
      <c r="G538">
        <v>20.793600000000001</v>
      </c>
      <c r="H538" t="s">
        <v>87</v>
      </c>
      <c r="I538" t="s">
        <v>87</v>
      </c>
      <c r="J538" t="s">
        <v>44</v>
      </c>
      <c r="K538">
        <f t="shared" si="96"/>
        <v>90.009999999999991</v>
      </c>
      <c r="L538">
        <f t="shared" si="97"/>
        <v>295.93350000000004</v>
      </c>
      <c r="M538" t="str">
        <f t="shared" si="98"/>
        <v>scott-6</v>
      </c>
      <c r="N538" t="str">
        <f>INDEX(Scores!$A$2:$A$11,INDEX(Scores!$AA$2:$AA$131,MATCH(C538,Scores!$AB$2:$AB$131,0)))</f>
        <v>scott</v>
      </c>
      <c r="O538">
        <f t="shared" si="99"/>
        <v>110.30999999999999</v>
      </c>
      <c r="P538">
        <f t="shared" si="100"/>
        <v>388.52729999999997</v>
      </c>
      <c r="Q538" s="3">
        <f t="shared" si="101"/>
        <v>0.21889557883251567</v>
      </c>
      <c r="R538" s="3">
        <f t="shared" si="102"/>
        <v>0.25192857532685242</v>
      </c>
      <c r="S538" s="9">
        <f t="shared" si="103"/>
        <v>3.3032996494336747E-2</v>
      </c>
      <c r="T538">
        <f t="shared" si="104"/>
        <v>130</v>
      </c>
      <c r="U538">
        <f t="shared" si="105"/>
        <v>96</v>
      </c>
      <c r="V538" s="3">
        <f t="shared" si="106"/>
        <v>0.99999999999402034</v>
      </c>
      <c r="W538" s="9">
        <f t="shared" si="107"/>
        <v>5.9796612106310931E-12</v>
      </c>
      <c r="AC538"/>
    </row>
    <row r="539" spans="1:29" x14ac:dyDescent="0.25">
      <c r="A539" t="s">
        <v>1100</v>
      </c>
      <c r="B539">
        <v>9</v>
      </c>
      <c r="C539" t="s">
        <v>947</v>
      </c>
      <c r="D539" t="s">
        <v>468</v>
      </c>
      <c r="E539">
        <v>21</v>
      </c>
      <c r="F539">
        <v>16.05</v>
      </c>
      <c r="G539">
        <v>67.239999999999995</v>
      </c>
      <c r="H539" t="s">
        <v>47</v>
      </c>
      <c r="I539" t="s">
        <v>47</v>
      </c>
      <c r="J539" t="s">
        <v>62</v>
      </c>
      <c r="K539">
        <f t="shared" si="96"/>
        <v>100.46000000000001</v>
      </c>
      <c r="L539">
        <f t="shared" si="97"/>
        <v>387.61320000000001</v>
      </c>
      <c r="M539" t="str">
        <f t="shared" si="98"/>
        <v>matty-9</v>
      </c>
      <c r="N539" t="str">
        <f>INDEX(Scores!$A$2:$A$11,INDEX(Scores!$AA$2:$AA$131,MATCH(C539,Scores!$AB$2:$AB$131,0)))</f>
        <v>matty</v>
      </c>
      <c r="O539">
        <f t="shared" si="99"/>
        <v>94.12</v>
      </c>
      <c r="P539">
        <f t="shared" si="100"/>
        <v>378.32429999999999</v>
      </c>
      <c r="Q539" s="3">
        <f t="shared" si="101"/>
        <v>0.59059774146693023</v>
      </c>
      <c r="R539" s="3">
        <f t="shared" si="102"/>
        <v>0.66535383603749287</v>
      </c>
      <c r="S539" s="9">
        <f t="shared" si="103"/>
        <v>7.4756094570562648E-2</v>
      </c>
      <c r="T539">
        <f t="shared" si="104"/>
        <v>129</v>
      </c>
      <c r="U539">
        <f t="shared" si="105"/>
        <v>68</v>
      </c>
      <c r="V539" s="3">
        <f t="shared" si="106"/>
        <v>0.99999999999591016</v>
      </c>
      <c r="W539" s="9">
        <f t="shared" si="107"/>
        <v>4.0898395781141517E-12</v>
      </c>
      <c r="AC539"/>
    </row>
    <row r="540" spans="1:29" x14ac:dyDescent="0.25">
      <c r="A540" t="s">
        <v>431</v>
      </c>
      <c r="B540">
        <v>8</v>
      </c>
      <c r="C540" t="s">
        <v>938</v>
      </c>
      <c r="D540" t="s">
        <v>477</v>
      </c>
      <c r="E540">
        <v>7</v>
      </c>
      <c r="F540">
        <v>6.6</v>
      </c>
      <c r="G540">
        <v>25.300899999999999</v>
      </c>
      <c r="H540" t="s">
        <v>477</v>
      </c>
      <c r="I540" t="s">
        <v>477</v>
      </c>
      <c r="J540" t="s">
        <v>27</v>
      </c>
      <c r="K540">
        <f t="shared" si="96"/>
        <v>100.87</v>
      </c>
      <c r="L540">
        <f t="shared" si="97"/>
        <v>421.5641</v>
      </c>
      <c r="M540" t="str">
        <f t="shared" si="98"/>
        <v>perry-8</v>
      </c>
      <c r="N540" t="str">
        <f>INDEX(Scores!$A$2:$A$11,INDEX(Scores!$AA$2:$AA$131,MATCH(C540,Scores!$AB$2:$AB$131,0)))</f>
        <v>perry</v>
      </c>
      <c r="O540">
        <f t="shared" si="99"/>
        <v>115.82</v>
      </c>
      <c r="P540">
        <f t="shared" si="100"/>
        <v>434.36700000000002</v>
      </c>
      <c r="Q540" s="3">
        <f t="shared" si="101"/>
        <v>0.30467516207413586</v>
      </c>
      <c r="R540" s="3">
        <f t="shared" si="102"/>
        <v>0.30683341425725669</v>
      </c>
      <c r="S540" s="9">
        <f t="shared" si="103"/>
        <v>2.1582521831208235E-3</v>
      </c>
      <c r="T540">
        <f t="shared" si="104"/>
        <v>115</v>
      </c>
      <c r="U540">
        <f t="shared" si="105"/>
        <v>80</v>
      </c>
      <c r="V540" s="3">
        <f t="shared" si="106"/>
        <v>0.99999999999698053</v>
      </c>
      <c r="W540" s="9">
        <f t="shared" si="107"/>
        <v>3.0194735600730382E-12</v>
      </c>
      <c r="AC540"/>
    </row>
    <row r="541" spans="1:29" x14ac:dyDescent="0.25">
      <c r="A541" t="s">
        <v>108</v>
      </c>
      <c r="B541">
        <v>2</v>
      </c>
      <c r="C541" t="s">
        <v>616</v>
      </c>
      <c r="D541" t="s">
        <v>473</v>
      </c>
      <c r="E541">
        <v>3</v>
      </c>
      <c r="F541">
        <v>12.16</v>
      </c>
      <c r="G541">
        <v>54.908099999999997</v>
      </c>
      <c r="H541" t="s">
        <v>87</v>
      </c>
      <c r="I541" t="s">
        <v>87</v>
      </c>
      <c r="J541" t="s">
        <v>23</v>
      </c>
      <c r="K541">
        <f t="shared" si="96"/>
        <v>104.79999999999998</v>
      </c>
      <c r="L541">
        <f t="shared" si="97"/>
        <v>455.48199999999997</v>
      </c>
      <c r="M541" t="str">
        <f t="shared" si="98"/>
        <v>lucas-2</v>
      </c>
      <c r="N541" t="str">
        <f>INDEX(Scores!$A$2:$A$11,INDEX(Scores!$AA$2:$AA$131,MATCH(C541,Scores!$AB$2:$AB$131,0)))</f>
        <v>lucas</v>
      </c>
      <c r="O541">
        <f t="shared" si="99"/>
        <v>0</v>
      </c>
      <c r="P541">
        <f t="shared" si="100"/>
        <v>0</v>
      </c>
      <c r="Q541" s="3">
        <f t="shared" si="101"/>
        <v>0.99999954577661365</v>
      </c>
      <c r="R541" s="3">
        <f t="shared" si="102"/>
        <v>0.99999911728254276</v>
      </c>
      <c r="S541" s="9">
        <f t="shared" si="103"/>
        <v>-4.2849407089207148E-7</v>
      </c>
      <c r="T541">
        <f t="shared" si="104"/>
        <v>102</v>
      </c>
      <c r="U541">
        <f t="shared" si="105"/>
        <v>0</v>
      </c>
      <c r="V541" s="3">
        <f t="shared" si="106"/>
        <v>1</v>
      </c>
      <c r="W541" s="9">
        <f t="shared" si="107"/>
        <v>0</v>
      </c>
      <c r="AC541"/>
    </row>
    <row r="542" spans="1:29" x14ac:dyDescent="0.25">
      <c r="A542" t="s">
        <v>100</v>
      </c>
      <c r="B542">
        <v>12</v>
      </c>
      <c r="C542" t="s">
        <v>966</v>
      </c>
      <c r="D542" t="s">
        <v>473</v>
      </c>
      <c r="E542">
        <v>7</v>
      </c>
      <c r="F542">
        <v>10.73</v>
      </c>
      <c r="G542">
        <v>44.756100000000004</v>
      </c>
      <c r="H542" t="s">
        <v>87</v>
      </c>
      <c r="I542" t="s">
        <v>87</v>
      </c>
      <c r="J542" t="s">
        <v>23</v>
      </c>
      <c r="K542">
        <f t="shared" si="96"/>
        <v>117.67999999999999</v>
      </c>
      <c r="L542">
        <f t="shared" si="97"/>
        <v>426.54240000000004</v>
      </c>
      <c r="M542" t="str">
        <f t="shared" si="98"/>
        <v>scott-12</v>
      </c>
      <c r="N542" t="str">
        <f>INDEX(Scores!$A$2:$A$11,INDEX(Scores!$AA$2:$AA$131,MATCH(C542,Scores!$AB$2:$AB$131,0)))</f>
        <v>scott</v>
      </c>
      <c r="O542">
        <f t="shared" si="99"/>
        <v>109.82</v>
      </c>
      <c r="P542">
        <f t="shared" si="100"/>
        <v>367.76499999999999</v>
      </c>
      <c r="Q542" s="3">
        <f t="shared" si="101"/>
        <v>0.60983422019767153</v>
      </c>
      <c r="R542" s="3">
        <f t="shared" si="102"/>
        <v>0.55995353411110083</v>
      </c>
      <c r="S542" s="9">
        <f t="shared" si="103"/>
        <v>-4.9880686086570702E-2</v>
      </c>
      <c r="T542">
        <f t="shared" si="104"/>
        <v>131</v>
      </c>
      <c r="U542">
        <f t="shared" si="105"/>
        <v>88</v>
      </c>
      <c r="V542" s="3">
        <f t="shared" si="106"/>
        <v>0.99999999999857625</v>
      </c>
      <c r="W542" s="9">
        <f t="shared" si="107"/>
        <v>1.4237500067793007E-12</v>
      </c>
      <c r="AC542"/>
    </row>
    <row r="543" spans="1:29" x14ac:dyDescent="0.25">
      <c r="A543" t="s">
        <v>96</v>
      </c>
      <c r="B543">
        <v>5</v>
      </c>
      <c r="C543" t="s">
        <v>887</v>
      </c>
      <c r="D543" t="s">
        <v>471</v>
      </c>
      <c r="E543">
        <v>15</v>
      </c>
      <c r="F543">
        <v>12.24</v>
      </c>
      <c r="G543">
        <v>45.697600000000001</v>
      </c>
      <c r="H543" t="s">
        <v>87</v>
      </c>
      <c r="I543" t="s">
        <v>87</v>
      </c>
      <c r="J543" t="s">
        <v>27</v>
      </c>
      <c r="K543">
        <f t="shared" si="96"/>
        <v>98.17</v>
      </c>
      <c r="L543">
        <f t="shared" si="97"/>
        <v>359.81479999999999</v>
      </c>
      <c r="M543" t="str">
        <f t="shared" si="98"/>
        <v>chad-5</v>
      </c>
      <c r="N543" t="str">
        <f>INDEX(Scores!$A$2:$A$11,INDEX(Scores!$AA$2:$AA$131,MATCH(C543,Scores!$AB$2:$AB$131,0)))</f>
        <v>chad</v>
      </c>
      <c r="O543">
        <f t="shared" si="99"/>
        <v>103.98</v>
      </c>
      <c r="P543">
        <f t="shared" si="100"/>
        <v>400.98380000000003</v>
      </c>
      <c r="Q543" s="3">
        <f t="shared" si="101"/>
        <v>0.41658401639793569</v>
      </c>
      <c r="R543" s="3">
        <f t="shared" si="102"/>
        <v>0.45459690786111029</v>
      </c>
      <c r="S543" s="9">
        <f t="shared" si="103"/>
        <v>3.8012891463174603E-2</v>
      </c>
      <c r="T543">
        <f t="shared" si="104"/>
        <v>121</v>
      </c>
      <c r="U543">
        <f t="shared" si="105"/>
        <v>71</v>
      </c>
      <c r="V543" s="3">
        <f t="shared" si="106"/>
        <v>0.99999999999860745</v>
      </c>
      <c r="W543" s="9">
        <f t="shared" si="107"/>
        <v>1.3925527397873338E-12</v>
      </c>
      <c r="AC543"/>
    </row>
    <row r="544" spans="1:29" x14ac:dyDescent="0.25">
      <c r="A544" t="s">
        <v>241</v>
      </c>
      <c r="B544">
        <v>6</v>
      </c>
      <c r="C544" t="s">
        <v>952</v>
      </c>
      <c r="D544" t="s">
        <v>472</v>
      </c>
      <c r="E544">
        <v>1</v>
      </c>
      <c r="F544">
        <v>3.87</v>
      </c>
      <c r="G544">
        <v>10.627599999999999</v>
      </c>
      <c r="H544" t="s">
        <v>87</v>
      </c>
      <c r="I544" t="s">
        <v>87</v>
      </c>
      <c r="J544" t="s">
        <v>40</v>
      </c>
      <c r="K544">
        <f t="shared" si="96"/>
        <v>86.090000000000018</v>
      </c>
      <c r="L544">
        <f t="shared" si="97"/>
        <v>366.05880000000002</v>
      </c>
      <c r="M544" t="e">
        <f t="shared" si="98"/>
        <v>#N/A</v>
      </c>
      <c r="N544" t="e">
        <f>INDEX(Scores!$A$2:$A$11,INDEX(Scores!$AA$2:$AA$131,MATCH(C544,Scores!$AB$2:$AB$131,0)))</f>
        <v>#N/A</v>
      </c>
      <c r="O544">
        <f t="shared" si="99"/>
        <v>0</v>
      </c>
      <c r="P544">
        <f t="shared" si="100"/>
        <v>0</v>
      </c>
      <c r="Q544" s="3">
        <f t="shared" si="101"/>
        <v>0.99999659648730843</v>
      </c>
      <c r="R544" s="3">
        <f t="shared" si="102"/>
        <v>0.99999493029733166</v>
      </c>
      <c r="S544" s="9">
        <f t="shared" si="103"/>
        <v>-1.6661899767678179E-6</v>
      </c>
      <c r="T544">
        <f t="shared" si="104"/>
        <v>99</v>
      </c>
      <c r="U544">
        <f t="shared" si="105"/>
        <v>0</v>
      </c>
      <c r="V544" s="3">
        <f t="shared" si="106"/>
        <v>1</v>
      </c>
      <c r="W544" s="9">
        <f t="shared" si="107"/>
        <v>0</v>
      </c>
      <c r="AC544"/>
    </row>
    <row r="545" spans="1:29" x14ac:dyDescent="0.25">
      <c r="A545" t="s">
        <v>136</v>
      </c>
      <c r="B545">
        <v>8</v>
      </c>
      <c r="C545" t="s">
        <v>922</v>
      </c>
      <c r="D545" t="s">
        <v>472</v>
      </c>
      <c r="E545">
        <v>6</v>
      </c>
      <c r="F545">
        <v>9.2899999999999991</v>
      </c>
      <c r="G545">
        <v>33.872399999999999</v>
      </c>
      <c r="H545" t="s">
        <v>87</v>
      </c>
      <c r="I545" t="s">
        <v>87</v>
      </c>
      <c r="J545" t="s">
        <v>55</v>
      </c>
      <c r="K545">
        <f t="shared" si="96"/>
        <v>114.1</v>
      </c>
      <c r="L545">
        <f t="shared" si="97"/>
        <v>458.87900000000002</v>
      </c>
      <c r="M545" t="str">
        <f t="shared" si="98"/>
        <v>lucas-8</v>
      </c>
      <c r="N545" t="str">
        <f>INDEX(Scores!$A$2:$A$11,INDEX(Scores!$AA$2:$AA$131,MATCH(C545,Scores!$AB$2:$AB$131,0)))</f>
        <v>lucas</v>
      </c>
      <c r="O545">
        <f t="shared" si="99"/>
        <v>0</v>
      </c>
      <c r="P545">
        <f t="shared" si="100"/>
        <v>0</v>
      </c>
      <c r="Q545" s="3">
        <f t="shared" si="101"/>
        <v>0.99999994992018415</v>
      </c>
      <c r="R545" s="3">
        <f t="shared" si="102"/>
        <v>0.999999961715626</v>
      </c>
      <c r="S545" s="9">
        <f t="shared" si="103"/>
        <v>1.1795441845485755E-8</v>
      </c>
      <c r="T545">
        <f t="shared" si="104"/>
        <v>113</v>
      </c>
      <c r="U545">
        <f t="shared" si="105"/>
        <v>0</v>
      </c>
      <c r="V545" s="3">
        <f t="shared" si="106"/>
        <v>1</v>
      </c>
      <c r="W545" s="9">
        <f t="shared" si="107"/>
        <v>0</v>
      </c>
      <c r="AC545"/>
    </row>
    <row r="546" spans="1:29" x14ac:dyDescent="0.25">
      <c r="A546" t="s">
        <v>120</v>
      </c>
      <c r="B546">
        <v>5</v>
      </c>
      <c r="C546" t="s">
        <v>887</v>
      </c>
      <c r="D546" t="s">
        <v>472</v>
      </c>
      <c r="E546">
        <v>23</v>
      </c>
      <c r="F546">
        <v>10.23</v>
      </c>
      <c r="G546">
        <v>27.04</v>
      </c>
      <c r="H546" t="s">
        <v>87</v>
      </c>
      <c r="I546" t="s">
        <v>87</v>
      </c>
      <c r="J546" t="s">
        <v>27</v>
      </c>
      <c r="K546">
        <f t="shared" si="96"/>
        <v>98.17</v>
      </c>
      <c r="L546">
        <f t="shared" si="97"/>
        <v>359.81479999999999</v>
      </c>
      <c r="M546" t="str">
        <f t="shared" si="98"/>
        <v>chad-5</v>
      </c>
      <c r="N546" t="str">
        <f>INDEX(Scores!$A$2:$A$11,INDEX(Scores!$AA$2:$AA$131,MATCH(C546,Scores!$AB$2:$AB$131,0)))</f>
        <v>chad</v>
      </c>
      <c r="O546">
        <f t="shared" si="99"/>
        <v>103.98</v>
      </c>
      <c r="P546">
        <f t="shared" si="100"/>
        <v>400.98380000000003</v>
      </c>
      <c r="Q546" s="3">
        <f t="shared" si="101"/>
        <v>0.41658401639793569</v>
      </c>
      <c r="R546" s="3">
        <f t="shared" si="102"/>
        <v>0.60138766387750509</v>
      </c>
      <c r="S546" s="9">
        <f t="shared" si="103"/>
        <v>0.1848036474795694</v>
      </c>
      <c r="T546">
        <f t="shared" si="104"/>
        <v>121</v>
      </c>
      <c r="U546">
        <f t="shared" si="105"/>
        <v>71</v>
      </c>
      <c r="V546" s="3">
        <f t="shared" si="106"/>
        <v>0.99999999999959543</v>
      </c>
      <c r="W546" s="9">
        <f t="shared" si="107"/>
        <v>4.0456527017340704E-13</v>
      </c>
      <c r="AC546"/>
    </row>
    <row r="547" spans="1:29" x14ac:dyDescent="0.25">
      <c r="A547" t="s">
        <v>247</v>
      </c>
      <c r="B547">
        <v>6</v>
      </c>
      <c r="C547" t="s">
        <v>976</v>
      </c>
      <c r="D547" t="s">
        <v>475</v>
      </c>
      <c r="E547">
        <v>8</v>
      </c>
      <c r="F547">
        <v>5.16</v>
      </c>
      <c r="G547">
        <v>18.748899999999999</v>
      </c>
      <c r="H547" t="s">
        <v>114</v>
      </c>
      <c r="I547" t="s">
        <v>114</v>
      </c>
      <c r="J547" t="s">
        <v>44</v>
      </c>
      <c r="K547">
        <f t="shared" si="96"/>
        <v>90.009999999999991</v>
      </c>
      <c r="L547">
        <f t="shared" si="97"/>
        <v>295.93350000000004</v>
      </c>
      <c r="M547" t="str">
        <f t="shared" si="98"/>
        <v>scott-6</v>
      </c>
      <c r="N547" t="str">
        <f>INDEX(Scores!$A$2:$A$11,INDEX(Scores!$AA$2:$AA$131,MATCH(C547,Scores!$AB$2:$AB$131,0)))</f>
        <v>scott</v>
      </c>
      <c r="O547">
        <f t="shared" si="99"/>
        <v>110.30999999999999</v>
      </c>
      <c r="P547">
        <f t="shared" si="100"/>
        <v>388.52729999999997</v>
      </c>
      <c r="Q547" s="3">
        <f t="shared" si="101"/>
        <v>0.21889557883251567</v>
      </c>
      <c r="R547" s="3">
        <f t="shared" si="102"/>
        <v>0.24929573428478907</v>
      </c>
      <c r="S547" s="9">
        <f t="shared" si="103"/>
        <v>3.0400155452273397E-2</v>
      </c>
      <c r="T547">
        <f t="shared" si="104"/>
        <v>130</v>
      </c>
      <c r="U547">
        <f t="shared" si="105"/>
        <v>96</v>
      </c>
      <c r="V547" s="3">
        <f t="shared" si="106"/>
        <v>0.99999999999969069</v>
      </c>
      <c r="W547" s="9">
        <f t="shared" si="107"/>
        <v>3.0930813466056861E-13</v>
      </c>
      <c r="AC547"/>
    </row>
    <row r="548" spans="1:29" x14ac:dyDescent="0.25">
      <c r="A548" t="s">
        <v>455</v>
      </c>
      <c r="B548">
        <v>2</v>
      </c>
      <c r="C548" t="s">
        <v>633</v>
      </c>
      <c r="D548" t="s">
        <v>478</v>
      </c>
      <c r="E548">
        <v>16</v>
      </c>
      <c r="F548">
        <v>6.35</v>
      </c>
      <c r="G548">
        <v>11.4244</v>
      </c>
      <c r="H548" t="s">
        <v>478</v>
      </c>
      <c r="I548" t="s">
        <v>478</v>
      </c>
      <c r="J548" t="s">
        <v>35</v>
      </c>
      <c r="K548">
        <f t="shared" si="96"/>
        <v>100.92999999999999</v>
      </c>
      <c r="L548">
        <f t="shared" si="97"/>
        <v>374.85250000000002</v>
      </c>
      <c r="M548" t="str">
        <f t="shared" si="98"/>
        <v>scott-2</v>
      </c>
      <c r="N548" t="str">
        <f>INDEX(Scores!$A$2:$A$11,INDEX(Scores!$AA$2:$AA$131,MATCH(C548,Scores!$AB$2:$AB$131,0)))</f>
        <v>scott</v>
      </c>
      <c r="O548">
        <f t="shared" si="99"/>
        <v>103.25</v>
      </c>
      <c r="P548">
        <f t="shared" si="100"/>
        <v>377.00829999999996</v>
      </c>
      <c r="Q548" s="3">
        <f t="shared" si="101"/>
        <v>0.46628591266319391</v>
      </c>
      <c r="R548" s="3">
        <f t="shared" si="102"/>
        <v>0.60618010856245874</v>
      </c>
      <c r="S548" s="9">
        <f t="shared" si="103"/>
        <v>0.13989419589926483</v>
      </c>
      <c r="T548">
        <f t="shared" si="104"/>
        <v>140</v>
      </c>
      <c r="U548">
        <f t="shared" si="105"/>
        <v>106</v>
      </c>
      <c r="V548" s="3">
        <f t="shared" si="106"/>
        <v>0.9999999999997079</v>
      </c>
      <c r="W548" s="9">
        <f t="shared" si="107"/>
        <v>2.9209967777887869E-13</v>
      </c>
      <c r="AC548"/>
    </row>
    <row r="549" spans="1:29" x14ac:dyDescent="0.25">
      <c r="A549" t="s">
        <v>99</v>
      </c>
      <c r="B549">
        <v>3</v>
      </c>
      <c r="C549" t="s">
        <v>803</v>
      </c>
      <c r="D549" t="s">
        <v>469</v>
      </c>
      <c r="E549">
        <v>5</v>
      </c>
      <c r="F549">
        <v>10.84</v>
      </c>
      <c r="G549">
        <v>32.035600000000002</v>
      </c>
      <c r="H549" t="s">
        <v>47</v>
      </c>
      <c r="I549" t="s">
        <v>47</v>
      </c>
      <c r="J549" t="s">
        <v>16</v>
      </c>
      <c r="K549">
        <f t="shared" si="96"/>
        <v>106.94</v>
      </c>
      <c r="L549">
        <f t="shared" si="97"/>
        <v>452.911</v>
      </c>
      <c r="M549" t="str">
        <f t="shared" si="98"/>
        <v>lucas-3</v>
      </c>
      <c r="N549" t="str">
        <f>INDEX(Scores!$A$2:$A$11,INDEX(Scores!$AA$2:$AA$131,MATCH(C549,Scores!$AB$2:$AB$131,0)))</f>
        <v>lucas</v>
      </c>
      <c r="O549">
        <f t="shared" si="99"/>
        <v>0</v>
      </c>
      <c r="P549">
        <f t="shared" si="100"/>
        <v>0</v>
      </c>
      <c r="Q549" s="3">
        <f t="shared" si="101"/>
        <v>0.99999974824851112</v>
      </c>
      <c r="R549" s="3">
        <f t="shared" si="102"/>
        <v>0.9999995847107872</v>
      </c>
      <c r="S549" s="9">
        <f t="shared" si="103"/>
        <v>-1.6353772391841659E-7</v>
      </c>
      <c r="T549">
        <f t="shared" si="104"/>
        <v>88</v>
      </c>
      <c r="U549">
        <f t="shared" si="105"/>
        <v>0</v>
      </c>
      <c r="V549" s="3">
        <f t="shared" si="106"/>
        <v>1</v>
      </c>
      <c r="W549" s="9">
        <f t="shared" si="107"/>
        <v>0</v>
      </c>
      <c r="AC549"/>
    </row>
    <row r="550" spans="1:29" x14ac:dyDescent="0.25">
      <c r="A550" t="s">
        <v>118</v>
      </c>
      <c r="B550">
        <v>2</v>
      </c>
      <c r="C550" t="s">
        <v>633</v>
      </c>
      <c r="D550" t="s">
        <v>475</v>
      </c>
      <c r="E550">
        <v>4</v>
      </c>
      <c r="F550">
        <v>9.18</v>
      </c>
      <c r="G550">
        <v>28.944400000000002</v>
      </c>
      <c r="H550" t="s">
        <v>114</v>
      </c>
      <c r="I550" t="s">
        <v>114</v>
      </c>
      <c r="J550" t="s">
        <v>35</v>
      </c>
      <c r="K550">
        <f t="shared" si="96"/>
        <v>100.92999999999999</v>
      </c>
      <c r="L550">
        <f t="shared" si="97"/>
        <v>374.85250000000002</v>
      </c>
      <c r="M550" t="str">
        <f t="shared" si="98"/>
        <v>scott-2</v>
      </c>
      <c r="N550" t="str">
        <f>INDEX(Scores!$A$2:$A$11,INDEX(Scores!$AA$2:$AA$131,MATCH(C550,Scores!$AB$2:$AB$131,0)))</f>
        <v>scott</v>
      </c>
      <c r="O550">
        <f t="shared" si="99"/>
        <v>103.25</v>
      </c>
      <c r="P550">
        <f t="shared" si="100"/>
        <v>377.00829999999996</v>
      </c>
      <c r="Q550" s="3">
        <f t="shared" si="101"/>
        <v>0.46628591266319391</v>
      </c>
      <c r="R550" s="3">
        <f t="shared" si="102"/>
        <v>0.39014385109749672</v>
      </c>
      <c r="S550" s="9">
        <f t="shared" si="103"/>
        <v>-7.6142061565697194E-2</v>
      </c>
      <c r="T550">
        <f t="shared" si="104"/>
        <v>140</v>
      </c>
      <c r="U550">
        <f t="shared" si="105"/>
        <v>106</v>
      </c>
      <c r="V550" s="3">
        <f t="shared" si="106"/>
        <v>0.99999999999983624</v>
      </c>
      <c r="W550" s="9">
        <f t="shared" si="107"/>
        <v>1.6375789613221059E-13</v>
      </c>
      <c r="AC550"/>
    </row>
    <row r="551" spans="1:29" x14ac:dyDescent="0.25">
      <c r="A551" t="s">
        <v>614</v>
      </c>
      <c r="B551">
        <v>2</v>
      </c>
      <c r="C551" t="s">
        <v>616</v>
      </c>
      <c r="D551" t="s">
        <v>469</v>
      </c>
      <c r="E551">
        <v>7</v>
      </c>
      <c r="F551">
        <v>8.19</v>
      </c>
      <c r="G551">
        <v>34.692100000000003</v>
      </c>
      <c r="H551" t="s">
        <v>47</v>
      </c>
      <c r="I551" t="s">
        <v>47</v>
      </c>
      <c r="J551" t="s">
        <v>23</v>
      </c>
      <c r="K551">
        <f t="shared" si="96"/>
        <v>104.79999999999998</v>
      </c>
      <c r="L551">
        <f t="shared" si="97"/>
        <v>455.48199999999997</v>
      </c>
      <c r="M551" t="str">
        <f t="shared" si="98"/>
        <v>lucas-2</v>
      </c>
      <c r="N551" t="str">
        <f>INDEX(Scores!$A$2:$A$11,INDEX(Scores!$AA$2:$AA$131,MATCH(C551,Scores!$AB$2:$AB$131,0)))</f>
        <v>lucas</v>
      </c>
      <c r="O551">
        <f t="shared" si="99"/>
        <v>0</v>
      </c>
      <c r="P551">
        <f t="shared" si="100"/>
        <v>0</v>
      </c>
      <c r="Q551" s="3">
        <f t="shared" si="101"/>
        <v>0.99999954577661365</v>
      </c>
      <c r="R551" s="3">
        <f t="shared" si="102"/>
        <v>0.99999978013672242</v>
      </c>
      <c r="S551" s="9">
        <f t="shared" si="103"/>
        <v>2.3436010876398683E-7</v>
      </c>
      <c r="T551">
        <f t="shared" si="104"/>
        <v>102</v>
      </c>
      <c r="U551">
        <f t="shared" si="105"/>
        <v>0</v>
      </c>
      <c r="V551" s="3">
        <f t="shared" si="106"/>
        <v>1</v>
      </c>
      <c r="W551" s="9">
        <f t="shared" si="107"/>
        <v>0</v>
      </c>
      <c r="AC551"/>
    </row>
    <row r="552" spans="1:29" x14ac:dyDescent="0.25">
      <c r="A552" t="s">
        <v>207</v>
      </c>
      <c r="B552">
        <v>12</v>
      </c>
      <c r="C552" t="s">
        <v>942</v>
      </c>
      <c r="D552" t="s">
        <v>469</v>
      </c>
      <c r="E552">
        <v>11</v>
      </c>
      <c r="F552">
        <v>7.19</v>
      </c>
      <c r="G552">
        <v>25.704899999999999</v>
      </c>
      <c r="H552" t="s">
        <v>47</v>
      </c>
      <c r="I552" t="s">
        <v>47</v>
      </c>
      <c r="J552" t="s">
        <v>27</v>
      </c>
      <c r="K552">
        <f t="shared" si="96"/>
        <v>98.639999999999986</v>
      </c>
      <c r="L552">
        <f t="shared" si="97"/>
        <v>309.06870000000004</v>
      </c>
      <c r="M552" t="str">
        <f t="shared" si="98"/>
        <v>aj-12</v>
      </c>
      <c r="N552" t="str">
        <f>INDEX(Scores!$A$2:$A$11,INDEX(Scores!$AA$2:$AA$131,MATCH(C552,Scores!$AB$2:$AB$131,0)))</f>
        <v>aj</v>
      </c>
      <c r="O552">
        <f t="shared" si="99"/>
        <v>111.09</v>
      </c>
      <c r="P552">
        <f t="shared" si="100"/>
        <v>408.5095</v>
      </c>
      <c r="Q552" s="3">
        <f t="shared" si="101"/>
        <v>0.32104937221741592</v>
      </c>
      <c r="R552" s="3">
        <f t="shared" si="102"/>
        <v>0.37127680487363846</v>
      </c>
      <c r="S552" s="9">
        <f t="shared" si="103"/>
        <v>5.0227432656222537E-2</v>
      </c>
      <c r="T552">
        <f t="shared" si="104"/>
        <v>125</v>
      </c>
      <c r="U552">
        <f t="shared" si="105"/>
        <v>84</v>
      </c>
      <c r="V552" s="3">
        <f t="shared" si="106"/>
        <v>0.99999999999988942</v>
      </c>
      <c r="W552" s="9">
        <f t="shared" si="107"/>
        <v>1.1057821325266559E-13</v>
      </c>
      <c r="AC552"/>
    </row>
    <row r="553" spans="1:29" x14ac:dyDescent="0.25">
      <c r="A553" t="s">
        <v>613</v>
      </c>
      <c r="B553">
        <v>13</v>
      </c>
      <c r="C553" t="s">
        <v>983</v>
      </c>
      <c r="D553" t="s">
        <v>472</v>
      </c>
      <c r="E553">
        <v>9</v>
      </c>
      <c r="F553">
        <v>8.1300000000000008</v>
      </c>
      <c r="G553">
        <v>26.728899999999999</v>
      </c>
      <c r="H553" t="s">
        <v>87</v>
      </c>
      <c r="I553" t="s">
        <v>87</v>
      </c>
      <c r="J553" t="s">
        <v>44</v>
      </c>
      <c r="K553">
        <f t="shared" si="96"/>
        <v>93.77000000000001</v>
      </c>
      <c r="L553">
        <f t="shared" si="97"/>
        <v>387.786</v>
      </c>
      <c r="M553" t="str">
        <f t="shared" si="98"/>
        <v>lucas-13</v>
      </c>
      <c r="N553" t="str">
        <f>INDEX(Scores!$A$2:$A$11,INDEX(Scores!$AA$2:$AA$131,MATCH(C553,Scores!$AB$2:$AB$131,0)))</f>
        <v>lucas</v>
      </c>
      <c r="O553">
        <f t="shared" si="99"/>
        <v>0</v>
      </c>
      <c r="P553">
        <f t="shared" si="100"/>
        <v>0</v>
      </c>
      <c r="Q553" s="3">
        <f t="shared" si="101"/>
        <v>0.9999990404590926</v>
      </c>
      <c r="R553" s="3">
        <f t="shared" si="102"/>
        <v>0.99999968315901833</v>
      </c>
      <c r="S553" s="9">
        <f t="shared" si="103"/>
        <v>6.4269992572363321E-7</v>
      </c>
      <c r="T553">
        <f t="shared" si="104"/>
        <v>98</v>
      </c>
      <c r="U553">
        <f t="shared" si="105"/>
        <v>0</v>
      </c>
      <c r="V553" s="3">
        <f t="shared" si="106"/>
        <v>1</v>
      </c>
      <c r="W553" s="9">
        <f t="shared" si="107"/>
        <v>0</v>
      </c>
      <c r="AC553"/>
    </row>
    <row r="554" spans="1:29" x14ac:dyDescent="0.25">
      <c r="A554" t="s">
        <v>61</v>
      </c>
      <c r="B554">
        <v>3</v>
      </c>
      <c r="C554" t="s">
        <v>810</v>
      </c>
      <c r="D554" t="s">
        <v>467</v>
      </c>
      <c r="E554">
        <v>15</v>
      </c>
      <c r="F554">
        <v>16.079999999999998</v>
      </c>
      <c r="G554">
        <v>67.897599999999997</v>
      </c>
      <c r="H554" t="s">
        <v>15</v>
      </c>
      <c r="I554" t="s">
        <v>15</v>
      </c>
      <c r="J554" t="s">
        <v>62</v>
      </c>
      <c r="K554">
        <f t="shared" si="96"/>
        <v>99.23</v>
      </c>
      <c r="L554">
        <f t="shared" si="97"/>
        <v>414.92009999999999</v>
      </c>
      <c r="M554" t="str">
        <f t="shared" si="98"/>
        <v>devon-3</v>
      </c>
      <c r="N554" t="str">
        <f>INDEX(Scores!$A$2:$A$11,INDEX(Scores!$AA$2:$AA$131,MATCH(C554,Scores!$AB$2:$AB$131,0)))</f>
        <v>devon</v>
      </c>
      <c r="O554">
        <f t="shared" si="99"/>
        <v>110.36</v>
      </c>
      <c r="P554">
        <f t="shared" si="100"/>
        <v>421.178</v>
      </c>
      <c r="Q554" s="3">
        <f t="shared" si="101"/>
        <v>0.35014963451184367</v>
      </c>
      <c r="R554" s="3">
        <f t="shared" si="102"/>
        <v>0.32977558611746471</v>
      </c>
      <c r="S554" s="9">
        <f t="shared" si="103"/>
        <v>-2.0374048394378952E-2</v>
      </c>
      <c r="T554">
        <f t="shared" si="104"/>
        <v>123</v>
      </c>
      <c r="U554">
        <f t="shared" si="105"/>
        <v>63</v>
      </c>
      <c r="V554" s="3">
        <f t="shared" si="106"/>
        <v>0.99999999999993805</v>
      </c>
      <c r="W554" s="9">
        <f t="shared" si="107"/>
        <v>6.1950444774083735E-14</v>
      </c>
      <c r="AC554"/>
    </row>
    <row r="555" spans="1:29" x14ac:dyDescent="0.25">
      <c r="A555" t="s">
        <v>89</v>
      </c>
      <c r="B555">
        <v>8</v>
      </c>
      <c r="C555" t="s">
        <v>922</v>
      </c>
      <c r="D555" t="s">
        <v>468</v>
      </c>
      <c r="E555">
        <v>3</v>
      </c>
      <c r="F555">
        <v>10.42</v>
      </c>
      <c r="G555">
        <v>37.4544</v>
      </c>
      <c r="H555" t="s">
        <v>47</v>
      </c>
      <c r="I555" t="s">
        <v>47</v>
      </c>
      <c r="J555" t="s">
        <v>55</v>
      </c>
      <c r="K555">
        <f t="shared" si="96"/>
        <v>114.1</v>
      </c>
      <c r="L555">
        <f t="shared" si="97"/>
        <v>458.87900000000002</v>
      </c>
      <c r="M555" t="str">
        <f t="shared" si="98"/>
        <v>lucas-8</v>
      </c>
      <c r="N555" t="str">
        <f>INDEX(Scores!$A$2:$A$11,INDEX(Scores!$AA$2:$AA$131,MATCH(C555,Scores!$AB$2:$AB$131,0)))</f>
        <v>lucas</v>
      </c>
      <c r="O555">
        <f t="shared" si="99"/>
        <v>0</v>
      </c>
      <c r="P555">
        <f t="shared" si="100"/>
        <v>0</v>
      </c>
      <c r="Q555" s="3">
        <f t="shared" si="101"/>
        <v>0.99999994992018415</v>
      </c>
      <c r="R555" s="3">
        <f t="shared" si="102"/>
        <v>0.9999998985414339</v>
      </c>
      <c r="S555" s="9">
        <f t="shared" si="103"/>
        <v>-5.1378750254293948E-8</v>
      </c>
      <c r="T555">
        <f t="shared" si="104"/>
        <v>113</v>
      </c>
      <c r="U555">
        <f t="shared" si="105"/>
        <v>0</v>
      </c>
      <c r="V555" s="3">
        <f t="shared" si="106"/>
        <v>1</v>
      </c>
      <c r="W555" s="9">
        <f t="shared" si="107"/>
        <v>0</v>
      </c>
      <c r="AC555"/>
    </row>
    <row r="556" spans="1:29" x14ac:dyDescent="0.25">
      <c r="A556" t="s">
        <v>162</v>
      </c>
      <c r="B556">
        <v>12</v>
      </c>
      <c r="C556" t="s">
        <v>942</v>
      </c>
      <c r="D556" t="s">
        <v>475</v>
      </c>
      <c r="E556">
        <v>9</v>
      </c>
      <c r="F556">
        <v>7.21</v>
      </c>
      <c r="G556">
        <v>27.878399999999999</v>
      </c>
      <c r="H556" t="s">
        <v>114</v>
      </c>
      <c r="I556" t="s">
        <v>114</v>
      </c>
      <c r="J556" t="s">
        <v>27</v>
      </c>
      <c r="K556">
        <f t="shared" si="96"/>
        <v>98.639999999999986</v>
      </c>
      <c r="L556">
        <f t="shared" si="97"/>
        <v>309.06870000000004</v>
      </c>
      <c r="M556" t="str">
        <f t="shared" si="98"/>
        <v>aj-12</v>
      </c>
      <c r="N556" t="str">
        <f>INDEX(Scores!$A$2:$A$11,INDEX(Scores!$AA$2:$AA$131,MATCH(C556,Scores!$AB$2:$AB$131,0)))</f>
        <v>aj</v>
      </c>
      <c r="O556">
        <f t="shared" si="99"/>
        <v>111.09</v>
      </c>
      <c r="P556">
        <f t="shared" si="100"/>
        <v>408.5095</v>
      </c>
      <c r="Q556" s="3">
        <f t="shared" si="101"/>
        <v>0.32104937221741592</v>
      </c>
      <c r="R556" s="3">
        <f t="shared" si="102"/>
        <v>0.34240525651720977</v>
      </c>
      <c r="S556" s="9">
        <f t="shared" si="103"/>
        <v>2.1355884299793848E-2</v>
      </c>
      <c r="T556">
        <f t="shared" si="104"/>
        <v>125</v>
      </c>
      <c r="U556">
        <f t="shared" si="105"/>
        <v>84</v>
      </c>
      <c r="V556" s="3">
        <f t="shared" si="106"/>
        <v>0.99999999999994404</v>
      </c>
      <c r="W556" s="9">
        <f t="shared" si="107"/>
        <v>5.595524044110789E-14</v>
      </c>
      <c r="AC556"/>
    </row>
    <row r="557" spans="1:29" x14ac:dyDescent="0.25">
      <c r="A557" t="s">
        <v>413</v>
      </c>
      <c r="B557">
        <v>1</v>
      </c>
      <c r="C557" t="s">
        <v>504</v>
      </c>
      <c r="D557" t="s">
        <v>477</v>
      </c>
      <c r="E557">
        <v>14</v>
      </c>
      <c r="F557">
        <v>10.08</v>
      </c>
      <c r="G557">
        <v>36.240400000000001</v>
      </c>
      <c r="H557" t="s">
        <v>477</v>
      </c>
      <c r="I557" t="s">
        <v>477</v>
      </c>
      <c r="J557" t="s">
        <v>20</v>
      </c>
      <c r="K557">
        <f t="shared" si="96"/>
        <v>102.78</v>
      </c>
      <c r="L557">
        <f t="shared" si="97"/>
        <v>382.14119999999997</v>
      </c>
      <c r="M557" t="str">
        <f t="shared" si="98"/>
        <v>aj-1</v>
      </c>
      <c r="N557" t="str">
        <f>INDEX(Scores!$A$2:$A$11,INDEX(Scores!$AA$2:$AA$131,MATCH(C557,Scores!$AB$2:$AB$131,0)))</f>
        <v>aj</v>
      </c>
      <c r="O557">
        <f t="shared" si="99"/>
        <v>90.7</v>
      </c>
      <c r="P557">
        <f t="shared" si="100"/>
        <v>347.93650000000002</v>
      </c>
      <c r="Q557" s="3">
        <f t="shared" si="101"/>
        <v>0.67259029154080885</v>
      </c>
      <c r="R557" s="3">
        <f t="shared" si="102"/>
        <v>0.72821485256742513</v>
      </c>
      <c r="S557" s="9">
        <f t="shared" si="103"/>
        <v>5.5624561026616282E-2</v>
      </c>
      <c r="T557">
        <f t="shared" si="104"/>
        <v>120</v>
      </c>
      <c r="U557">
        <f t="shared" si="105"/>
        <v>71</v>
      </c>
      <c r="V557" s="3">
        <f t="shared" si="106"/>
        <v>0.99999999999996514</v>
      </c>
      <c r="W557" s="9">
        <f t="shared" si="107"/>
        <v>3.4861002973229915E-14</v>
      </c>
      <c r="AC557"/>
    </row>
    <row r="558" spans="1:29" x14ac:dyDescent="0.25">
      <c r="A558" t="s">
        <v>449</v>
      </c>
      <c r="B558">
        <v>2</v>
      </c>
      <c r="C558" t="s">
        <v>618</v>
      </c>
      <c r="D558" t="s">
        <v>478</v>
      </c>
      <c r="E558">
        <v>14</v>
      </c>
      <c r="F558">
        <v>8.66</v>
      </c>
      <c r="G558">
        <v>12.6736</v>
      </c>
      <c r="H558" t="s">
        <v>478</v>
      </c>
      <c r="I558" t="s">
        <v>478</v>
      </c>
      <c r="J558" t="s">
        <v>16</v>
      </c>
      <c r="K558">
        <f t="shared" si="96"/>
        <v>102.7</v>
      </c>
      <c r="L558">
        <f t="shared" si="97"/>
        <v>377.5104</v>
      </c>
      <c r="M558" t="str">
        <f t="shared" si="98"/>
        <v>comp-2</v>
      </c>
      <c r="N558" t="str">
        <f>INDEX(Scores!$A$2:$A$11,INDEX(Scores!$AA$2:$AA$131,MATCH(C558,Scores!$AB$2:$AB$131,0)))</f>
        <v>comp</v>
      </c>
      <c r="O558">
        <f t="shared" si="99"/>
        <v>103.61999999999999</v>
      </c>
      <c r="P558">
        <f t="shared" si="100"/>
        <v>357.30130000000003</v>
      </c>
      <c r="Q558" s="3">
        <f t="shared" si="101"/>
        <v>0.48646287329580978</v>
      </c>
      <c r="R558" s="3">
        <f t="shared" si="102"/>
        <v>0.56532321227670934</v>
      </c>
      <c r="S558" s="9">
        <f t="shared" si="103"/>
        <v>7.8860338980899558E-2</v>
      </c>
      <c r="T558">
        <f t="shared" si="104"/>
        <v>97</v>
      </c>
      <c r="U558">
        <f t="shared" si="105"/>
        <v>65</v>
      </c>
      <c r="V558" s="3">
        <f t="shared" si="106"/>
        <v>0.99999999999996525</v>
      </c>
      <c r="W558" s="9">
        <f t="shared" si="107"/>
        <v>3.47499806707674E-14</v>
      </c>
      <c r="AC558"/>
    </row>
    <row r="559" spans="1:29" x14ac:dyDescent="0.25">
      <c r="A559" t="s">
        <v>85</v>
      </c>
      <c r="B559">
        <v>5</v>
      </c>
      <c r="C559" t="s">
        <v>887</v>
      </c>
      <c r="D559" t="s">
        <v>468</v>
      </c>
      <c r="E559">
        <v>4</v>
      </c>
      <c r="F559">
        <v>15.41</v>
      </c>
      <c r="G559">
        <v>66.259600000000006</v>
      </c>
      <c r="H559" t="s">
        <v>47</v>
      </c>
      <c r="I559" t="s">
        <v>47</v>
      </c>
      <c r="J559" t="s">
        <v>27</v>
      </c>
      <c r="K559">
        <f t="shared" si="96"/>
        <v>98.17</v>
      </c>
      <c r="L559">
        <f t="shared" si="97"/>
        <v>359.81479999999999</v>
      </c>
      <c r="M559" t="str">
        <f t="shared" si="98"/>
        <v>chad-5</v>
      </c>
      <c r="N559" t="str">
        <f>INDEX(Scores!$A$2:$A$11,INDEX(Scores!$AA$2:$AA$131,MATCH(C559,Scores!$AB$2:$AB$131,0)))</f>
        <v>chad</v>
      </c>
      <c r="O559">
        <f t="shared" si="99"/>
        <v>103.98</v>
      </c>
      <c r="P559">
        <f t="shared" si="100"/>
        <v>400.98380000000003</v>
      </c>
      <c r="Q559" s="3">
        <f t="shared" si="101"/>
        <v>0.41658401639793569</v>
      </c>
      <c r="R559" s="3">
        <f t="shared" si="102"/>
        <v>0.25674645665282947</v>
      </c>
      <c r="S559" s="9">
        <f t="shared" si="103"/>
        <v>-0.15983755974510622</v>
      </c>
      <c r="T559">
        <f t="shared" si="104"/>
        <v>121</v>
      </c>
      <c r="U559">
        <f t="shared" si="105"/>
        <v>71</v>
      </c>
      <c r="V559" s="3">
        <f t="shared" si="106"/>
        <v>0.99999999999997724</v>
      </c>
      <c r="W559" s="9">
        <f t="shared" si="107"/>
        <v>2.2759572004815709E-14</v>
      </c>
      <c r="AC559"/>
    </row>
    <row r="560" spans="1:29" x14ac:dyDescent="0.25">
      <c r="A560" t="s">
        <v>241</v>
      </c>
      <c r="B560">
        <v>5</v>
      </c>
      <c r="C560" t="s">
        <v>884</v>
      </c>
      <c r="D560" t="s">
        <v>472</v>
      </c>
      <c r="E560">
        <v>7</v>
      </c>
      <c r="F560">
        <v>3.76</v>
      </c>
      <c r="G560">
        <v>7.5625</v>
      </c>
      <c r="H560" t="s">
        <v>87</v>
      </c>
      <c r="I560" t="s">
        <v>87</v>
      </c>
      <c r="J560" t="s">
        <v>40</v>
      </c>
      <c r="K560">
        <f t="shared" si="96"/>
        <v>89.689999999999984</v>
      </c>
      <c r="L560">
        <f t="shared" si="97"/>
        <v>445.42419999999998</v>
      </c>
      <c r="M560" t="e">
        <f t="shared" si="98"/>
        <v>#N/A</v>
      </c>
      <c r="N560" t="e">
        <f>INDEX(Scores!$A$2:$A$11,INDEX(Scores!$AA$2:$AA$131,MATCH(C560,Scores!$AB$2:$AB$131,0)))</f>
        <v>#N/A</v>
      </c>
      <c r="O560">
        <f t="shared" si="99"/>
        <v>0</v>
      </c>
      <c r="P560">
        <f t="shared" si="100"/>
        <v>0</v>
      </c>
      <c r="Q560" s="3">
        <f t="shared" si="101"/>
        <v>0.99998929661032787</v>
      </c>
      <c r="R560" s="3">
        <f t="shared" si="102"/>
        <v>0.99999552433236449</v>
      </c>
      <c r="S560" s="9">
        <f t="shared" si="103"/>
        <v>6.2277220366224739E-6</v>
      </c>
      <c r="T560">
        <f t="shared" si="104"/>
        <v>93</v>
      </c>
      <c r="U560">
        <f t="shared" si="105"/>
        <v>0</v>
      </c>
      <c r="V560" s="3">
        <f t="shared" si="106"/>
        <v>1</v>
      </c>
      <c r="W560" s="9">
        <f t="shared" si="107"/>
        <v>0</v>
      </c>
      <c r="AC560"/>
    </row>
    <row r="561" spans="1:29" x14ac:dyDescent="0.25">
      <c r="A561" t="s">
        <v>205</v>
      </c>
      <c r="B561">
        <v>12</v>
      </c>
      <c r="C561" t="s">
        <v>918</v>
      </c>
      <c r="D561" t="s">
        <v>466</v>
      </c>
      <c r="E561">
        <v>24</v>
      </c>
      <c r="F561">
        <v>8.6</v>
      </c>
      <c r="G561">
        <v>77.792400000000001</v>
      </c>
      <c r="H561" t="s">
        <v>466</v>
      </c>
      <c r="I561" t="s">
        <v>47</v>
      </c>
      <c r="J561" t="s">
        <v>16</v>
      </c>
      <c r="K561">
        <f t="shared" si="96"/>
        <v>101.87</v>
      </c>
      <c r="L561">
        <f t="shared" si="97"/>
        <v>405.26439999999997</v>
      </c>
      <c r="M561" t="str">
        <f t="shared" si="98"/>
        <v>lucas-12</v>
      </c>
      <c r="N561" t="str">
        <f>INDEX(Scores!$A$2:$A$11,INDEX(Scores!$AA$2:$AA$131,MATCH(C561,Scores!$AB$2:$AB$131,0)))</f>
        <v>lucas</v>
      </c>
      <c r="O561">
        <f t="shared" si="99"/>
        <v>0</v>
      </c>
      <c r="P561">
        <f t="shared" si="100"/>
        <v>0</v>
      </c>
      <c r="Q561" s="3">
        <f t="shared" si="101"/>
        <v>0.99999979071174128</v>
      </c>
      <c r="R561" s="3">
        <f t="shared" si="102"/>
        <v>0.99999999995425115</v>
      </c>
      <c r="S561" s="9">
        <f t="shared" si="103"/>
        <v>2.0924250987430781E-7</v>
      </c>
      <c r="T561">
        <f t="shared" si="104"/>
        <v>155</v>
      </c>
      <c r="U561">
        <f t="shared" si="105"/>
        <v>0</v>
      </c>
      <c r="V561" s="3">
        <f t="shared" si="106"/>
        <v>1</v>
      </c>
      <c r="W561" s="9">
        <f t="shared" si="107"/>
        <v>0</v>
      </c>
      <c r="AC561"/>
    </row>
    <row r="562" spans="1:29" x14ac:dyDescent="0.25">
      <c r="A562" t="s">
        <v>462</v>
      </c>
      <c r="B562">
        <v>6</v>
      </c>
      <c r="C562" t="s">
        <v>976</v>
      </c>
      <c r="D562" t="s">
        <v>478</v>
      </c>
      <c r="E562">
        <v>11</v>
      </c>
      <c r="F562">
        <v>7.09</v>
      </c>
      <c r="G562">
        <v>15.6816</v>
      </c>
      <c r="H562" t="s">
        <v>478</v>
      </c>
      <c r="I562" t="s">
        <v>478</v>
      </c>
      <c r="J562" t="s">
        <v>44</v>
      </c>
      <c r="K562">
        <f t="shared" si="96"/>
        <v>90.009999999999991</v>
      </c>
      <c r="L562">
        <f t="shared" si="97"/>
        <v>295.93350000000004</v>
      </c>
      <c r="M562" t="str">
        <f t="shared" si="98"/>
        <v>scott-6</v>
      </c>
      <c r="N562" t="str">
        <f>INDEX(Scores!$A$2:$A$11,INDEX(Scores!$AA$2:$AA$131,MATCH(C562,Scores!$AB$2:$AB$131,0)))</f>
        <v>scott</v>
      </c>
      <c r="O562">
        <f t="shared" si="99"/>
        <v>110.30999999999999</v>
      </c>
      <c r="P562">
        <f t="shared" si="100"/>
        <v>388.52729999999997</v>
      </c>
      <c r="Q562" s="3">
        <f t="shared" si="101"/>
        <v>0.21889557883251567</v>
      </c>
      <c r="R562" s="3">
        <f t="shared" si="102"/>
        <v>0.26311265859142541</v>
      </c>
      <c r="S562" s="9">
        <f t="shared" si="103"/>
        <v>4.4217079758909733E-2</v>
      </c>
      <c r="T562">
        <f t="shared" si="104"/>
        <v>130</v>
      </c>
      <c r="U562">
        <f t="shared" si="105"/>
        <v>96</v>
      </c>
      <c r="V562" s="3">
        <f t="shared" si="106"/>
        <v>0.99999999999998501</v>
      </c>
      <c r="W562" s="9">
        <f t="shared" si="107"/>
        <v>1.4988010832439613E-14</v>
      </c>
      <c r="AC562"/>
    </row>
    <row r="563" spans="1:29" x14ac:dyDescent="0.25">
      <c r="A563" t="s">
        <v>122</v>
      </c>
      <c r="B563">
        <v>11</v>
      </c>
      <c r="C563" t="s">
        <v>909</v>
      </c>
      <c r="D563" t="s">
        <v>466</v>
      </c>
      <c r="E563">
        <v>3</v>
      </c>
      <c r="F563">
        <v>9.83</v>
      </c>
      <c r="G563">
        <v>47.886400000000002</v>
      </c>
      <c r="H563" t="s">
        <v>466</v>
      </c>
      <c r="I563" t="s">
        <v>87</v>
      </c>
      <c r="J563" t="s">
        <v>20</v>
      </c>
      <c r="K563">
        <f t="shared" si="96"/>
        <v>105.39999999999999</v>
      </c>
      <c r="L563">
        <f t="shared" si="97"/>
        <v>342.09739999999999</v>
      </c>
      <c r="M563" t="str">
        <f t="shared" si="98"/>
        <v>devon-11</v>
      </c>
      <c r="N563" t="str">
        <f>INDEX(Scores!$A$2:$A$11,INDEX(Scores!$AA$2:$AA$131,MATCH(C563,Scores!$AB$2:$AB$131,0)))</f>
        <v>devon</v>
      </c>
      <c r="O563">
        <f t="shared" si="99"/>
        <v>100.25</v>
      </c>
      <c r="P563">
        <f t="shared" si="100"/>
        <v>448.76889999999997</v>
      </c>
      <c r="Q563" s="3">
        <f t="shared" si="101"/>
        <v>0.57265136255925952</v>
      </c>
      <c r="R563" s="3">
        <f t="shared" si="102"/>
        <v>0.47542712782263619</v>
      </c>
      <c r="S563" s="9">
        <f t="shared" si="103"/>
        <v>-9.7224234736623338E-2</v>
      </c>
      <c r="T563">
        <f t="shared" si="104"/>
        <v>124</v>
      </c>
      <c r="U563">
        <f t="shared" si="105"/>
        <v>78</v>
      </c>
      <c r="V563" s="3">
        <f t="shared" si="106"/>
        <v>0.99999999999998868</v>
      </c>
      <c r="W563" s="9">
        <f t="shared" si="107"/>
        <v>1.1324274851176597E-14</v>
      </c>
      <c r="AC563"/>
    </row>
    <row r="564" spans="1:29" x14ac:dyDescent="0.25">
      <c r="A564" t="s">
        <v>123</v>
      </c>
      <c r="B564">
        <v>8</v>
      </c>
      <c r="C564" t="s">
        <v>938</v>
      </c>
      <c r="D564" t="s">
        <v>468</v>
      </c>
      <c r="E564">
        <v>8</v>
      </c>
      <c r="F564">
        <v>10.119999999999999</v>
      </c>
      <c r="G564">
        <v>23.619599999999998</v>
      </c>
      <c r="H564" t="s">
        <v>47</v>
      </c>
      <c r="I564" t="s">
        <v>47</v>
      </c>
      <c r="J564" t="s">
        <v>27</v>
      </c>
      <c r="K564">
        <f t="shared" si="96"/>
        <v>100.87</v>
      </c>
      <c r="L564">
        <f t="shared" si="97"/>
        <v>421.5641</v>
      </c>
      <c r="M564" t="str">
        <f t="shared" si="98"/>
        <v>perry-8</v>
      </c>
      <c r="N564" t="str">
        <f>INDEX(Scores!$A$2:$A$11,INDEX(Scores!$AA$2:$AA$131,MATCH(C564,Scores!$AB$2:$AB$131,0)))</f>
        <v>perry</v>
      </c>
      <c r="O564">
        <f t="shared" si="99"/>
        <v>115.82</v>
      </c>
      <c r="P564">
        <f t="shared" si="100"/>
        <v>434.36700000000002</v>
      </c>
      <c r="Q564" s="3">
        <f t="shared" si="101"/>
        <v>0.30467516207413586</v>
      </c>
      <c r="R564" s="3">
        <f t="shared" si="102"/>
        <v>0.27703076506784841</v>
      </c>
      <c r="S564" s="9">
        <f t="shared" si="103"/>
        <v>-2.7644397006287458E-2</v>
      </c>
      <c r="T564">
        <f t="shared" si="104"/>
        <v>115</v>
      </c>
      <c r="U564">
        <f t="shared" si="105"/>
        <v>80</v>
      </c>
      <c r="V564" s="3">
        <f t="shared" si="106"/>
        <v>0.99999999999998901</v>
      </c>
      <c r="W564" s="9">
        <f t="shared" si="107"/>
        <v>1.099120794378905E-14</v>
      </c>
      <c r="AC564"/>
    </row>
    <row r="565" spans="1:29" x14ac:dyDescent="0.25">
      <c r="A565" t="s">
        <v>163</v>
      </c>
      <c r="B565">
        <v>2</v>
      </c>
      <c r="C565" t="s">
        <v>633</v>
      </c>
      <c r="D565" t="s">
        <v>473</v>
      </c>
      <c r="E565">
        <v>3</v>
      </c>
      <c r="F565">
        <v>7.51</v>
      </c>
      <c r="G565">
        <v>25.401599999999998</v>
      </c>
      <c r="H565" t="s">
        <v>87</v>
      </c>
      <c r="I565" t="s">
        <v>87</v>
      </c>
      <c r="J565" t="s">
        <v>35</v>
      </c>
      <c r="K565">
        <f t="shared" si="96"/>
        <v>100.92999999999999</v>
      </c>
      <c r="L565">
        <f t="shared" si="97"/>
        <v>374.85250000000002</v>
      </c>
      <c r="M565" t="str">
        <f t="shared" si="98"/>
        <v>scott-2</v>
      </c>
      <c r="N565" t="str">
        <f>INDEX(Scores!$A$2:$A$11,INDEX(Scores!$AA$2:$AA$131,MATCH(C565,Scores!$AB$2:$AB$131,0)))</f>
        <v>scott</v>
      </c>
      <c r="O565">
        <f t="shared" si="99"/>
        <v>103.25</v>
      </c>
      <c r="P565">
        <f t="shared" si="100"/>
        <v>377.00829999999996</v>
      </c>
      <c r="Q565" s="3">
        <f t="shared" si="101"/>
        <v>0.46628591266319391</v>
      </c>
      <c r="R565" s="3">
        <f t="shared" si="102"/>
        <v>0.39997765247260664</v>
      </c>
      <c r="S565" s="9">
        <f t="shared" si="103"/>
        <v>-6.6308260190587276E-2</v>
      </c>
      <c r="T565">
        <f t="shared" si="104"/>
        <v>140</v>
      </c>
      <c r="U565">
        <f t="shared" si="105"/>
        <v>106</v>
      </c>
      <c r="V565" s="3">
        <f t="shared" si="106"/>
        <v>0.99999999999998923</v>
      </c>
      <c r="W565" s="9">
        <f t="shared" si="107"/>
        <v>1.0769163338864018E-14</v>
      </c>
      <c r="AC565"/>
    </row>
    <row r="566" spans="1:29" x14ac:dyDescent="0.25">
      <c r="A566" t="s">
        <v>43</v>
      </c>
      <c r="B566">
        <v>13</v>
      </c>
      <c r="C566" t="s">
        <v>983</v>
      </c>
      <c r="D566" t="s">
        <v>467</v>
      </c>
      <c r="E566">
        <v>12</v>
      </c>
      <c r="F566">
        <v>20.74</v>
      </c>
      <c r="G566">
        <v>38.937600000000003</v>
      </c>
      <c r="H566" t="s">
        <v>15</v>
      </c>
      <c r="I566" t="s">
        <v>15</v>
      </c>
      <c r="J566" t="s">
        <v>44</v>
      </c>
      <c r="K566">
        <f t="shared" si="96"/>
        <v>93.77000000000001</v>
      </c>
      <c r="L566">
        <f t="shared" si="97"/>
        <v>387.786</v>
      </c>
      <c r="M566" t="str">
        <f t="shared" si="98"/>
        <v>lucas-13</v>
      </c>
      <c r="N566" t="str">
        <f>INDEX(Scores!$A$2:$A$11,INDEX(Scores!$AA$2:$AA$131,MATCH(C566,Scores!$AB$2:$AB$131,0)))</f>
        <v>lucas</v>
      </c>
      <c r="O566">
        <f t="shared" si="99"/>
        <v>0</v>
      </c>
      <c r="P566">
        <f t="shared" si="100"/>
        <v>0</v>
      </c>
      <c r="Q566" s="3">
        <f t="shared" si="101"/>
        <v>0.9999990404590926</v>
      </c>
      <c r="R566" s="3">
        <f t="shared" si="102"/>
        <v>0.99999734990145217</v>
      </c>
      <c r="S566" s="9">
        <f t="shared" si="103"/>
        <v>-1.6905576404324663E-6</v>
      </c>
      <c r="T566">
        <f t="shared" si="104"/>
        <v>98</v>
      </c>
      <c r="U566">
        <f t="shared" si="105"/>
        <v>0</v>
      </c>
      <c r="V566" s="3">
        <f t="shared" si="106"/>
        <v>1</v>
      </c>
      <c r="W566" s="9">
        <f t="shared" si="107"/>
        <v>0</v>
      </c>
      <c r="AC566"/>
    </row>
    <row r="567" spans="1:29" x14ac:dyDescent="0.25">
      <c r="A567" t="s">
        <v>446</v>
      </c>
      <c r="B567">
        <v>8</v>
      </c>
      <c r="C567" t="s">
        <v>938</v>
      </c>
      <c r="D567" t="s">
        <v>478</v>
      </c>
      <c r="E567">
        <v>8</v>
      </c>
      <c r="F567">
        <v>8.98</v>
      </c>
      <c r="G567">
        <v>21.9024</v>
      </c>
      <c r="H567" t="s">
        <v>478</v>
      </c>
      <c r="I567" t="s">
        <v>478</v>
      </c>
      <c r="J567" t="s">
        <v>27</v>
      </c>
      <c r="K567">
        <f t="shared" si="96"/>
        <v>100.87</v>
      </c>
      <c r="L567">
        <f t="shared" si="97"/>
        <v>421.5641</v>
      </c>
      <c r="M567" t="str">
        <f t="shared" si="98"/>
        <v>perry-8</v>
      </c>
      <c r="N567" t="str">
        <f>INDEX(Scores!$A$2:$A$11,INDEX(Scores!$AA$2:$AA$131,MATCH(C567,Scores!$AB$2:$AB$131,0)))</f>
        <v>perry</v>
      </c>
      <c r="O567">
        <f t="shared" si="99"/>
        <v>115.82</v>
      </c>
      <c r="P567">
        <f t="shared" si="100"/>
        <v>434.36700000000002</v>
      </c>
      <c r="Q567" s="3">
        <f t="shared" si="101"/>
        <v>0.30467516207413586</v>
      </c>
      <c r="R567" s="3">
        <f t="shared" si="102"/>
        <v>0.29061077408798841</v>
      </c>
      <c r="S567" s="9">
        <f t="shared" si="103"/>
        <v>-1.4064387986147453E-2</v>
      </c>
      <c r="T567">
        <f t="shared" si="104"/>
        <v>115</v>
      </c>
      <c r="U567">
        <f t="shared" si="105"/>
        <v>80</v>
      </c>
      <c r="V567" s="3">
        <f t="shared" si="106"/>
        <v>0.99999999999999256</v>
      </c>
      <c r="W567" s="9">
        <f t="shared" si="107"/>
        <v>7.4384942649885488E-15</v>
      </c>
      <c r="AC567"/>
    </row>
    <row r="568" spans="1:29" x14ac:dyDescent="0.25">
      <c r="A568" t="s">
        <v>188</v>
      </c>
      <c r="B568">
        <v>4</v>
      </c>
      <c r="C568" t="s">
        <v>866</v>
      </c>
      <c r="D568" t="s">
        <v>475</v>
      </c>
      <c r="E568">
        <v>2</v>
      </c>
      <c r="F568">
        <v>6.46</v>
      </c>
      <c r="G568">
        <v>24.900099999999998</v>
      </c>
      <c r="H568" t="s">
        <v>114</v>
      </c>
      <c r="I568" t="s">
        <v>114</v>
      </c>
      <c r="J568" t="s">
        <v>55</v>
      </c>
      <c r="K568">
        <f t="shared" si="96"/>
        <v>118.09999999999998</v>
      </c>
      <c r="L568">
        <f t="shared" si="97"/>
        <v>465.47660000000008</v>
      </c>
      <c r="M568" t="str">
        <f t="shared" si="98"/>
        <v>comp-4</v>
      </c>
      <c r="N568" t="str">
        <f>INDEX(Scores!$A$2:$A$11,INDEX(Scores!$AA$2:$AA$131,MATCH(C568,Scores!$AB$2:$AB$131,0)))</f>
        <v>comp</v>
      </c>
      <c r="O568">
        <f t="shared" si="99"/>
        <v>103.70000000000002</v>
      </c>
      <c r="P568">
        <f t="shared" si="100"/>
        <v>412.10110000000003</v>
      </c>
      <c r="Q568" s="3">
        <f t="shared" si="101"/>
        <v>0.68654951827928645</v>
      </c>
      <c r="R568" s="3">
        <f t="shared" si="102"/>
        <v>0.63322364080170512</v>
      </c>
      <c r="S568" s="9">
        <f t="shared" si="103"/>
        <v>-5.3325877477581329E-2</v>
      </c>
      <c r="T568">
        <f t="shared" si="104"/>
        <v>80</v>
      </c>
      <c r="U568">
        <f t="shared" si="105"/>
        <v>46</v>
      </c>
      <c r="V568" s="3">
        <f t="shared" si="106"/>
        <v>0.99999999999999356</v>
      </c>
      <c r="W568" s="9">
        <f t="shared" si="107"/>
        <v>6.4392935428259079E-15</v>
      </c>
      <c r="AC568"/>
    </row>
    <row r="569" spans="1:29" x14ac:dyDescent="0.25">
      <c r="A569" t="s">
        <v>150</v>
      </c>
      <c r="B569">
        <v>3</v>
      </c>
      <c r="C569" t="s">
        <v>807</v>
      </c>
      <c r="D569" t="s">
        <v>472</v>
      </c>
      <c r="E569">
        <v>0</v>
      </c>
      <c r="F569">
        <v>8.85</v>
      </c>
      <c r="G569">
        <v>25.200399999999998</v>
      </c>
      <c r="H569" t="s">
        <v>87</v>
      </c>
      <c r="I569" t="s">
        <v>87</v>
      </c>
      <c r="J569" t="s">
        <v>20</v>
      </c>
      <c r="K569">
        <f t="shared" si="96"/>
        <v>110.35</v>
      </c>
      <c r="L569">
        <f t="shared" si="97"/>
        <v>442.53309999999999</v>
      </c>
      <c r="M569" t="str">
        <f t="shared" si="98"/>
        <v>perry-3</v>
      </c>
      <c r="N569" t="str">
        <f>INDEX(Scores!$A$2:$A$11,INDEX(Scores!$AA$2:$AA$131,MATCH(C569,Scores!$AB$2:$AB$131,0)))</f>
        <v>perry</v>
      </c>
      <c r="O569">
        <f t="shared" si="99"/>
        <v>101.86999999999999</v>
      </c>
      <c r="P569">
        <f t="shared" si="100"/>
        <v>350.57169999999996</v>
      </c>
      <c r="Q569" s="3">
        <f t="shared" si="101"/>
        <v>0.61833611537492805</v>
      </c>
      <c r="R569" s="3">
        <f t="shared" si="102"/>
        <v>0.49467345858789324</v>
      </c>
      <c r="S569" s="9">
        <f t="shared" si="103"/>
        <v>-0.12366265678703481</v>
      </c>
      <c r="T569">
        <f t="shared" si="104"/>
        <v>132</v>
      </c>
      <c r="U569">
        <f t="shared" si="105"/>
        <v>102</v>
      </c>
      <c r="V569" s="3">
        <f t="shared" si="106"/>
        <v>0.999999999999995</v>
      </c>
      <c r="W569" s="9">
        <f t="shared" si="107"/>
        <v>4.9960036108132044E-15</v>
      </c>
      <c r="AC569"/>
    </row>
    <row r="570" spans="1:29" x14ac:dyDescent="0.25">
      <c r="A570" t="s">
        <v>97</v>
      </c>
      <c r="B570">
        <v>11</v>
      </c>
      <c r="C570" t="s">
        <v>909</v>
      </c>
      <c r="D570" t="s">
        <v>468</v>
      </c>
      <c r="E570">
        <v>18</v>
      </c>
      <c r="F570">
        <v>12.97</v>
      </c>
      <c r="G570">
        <v>27.984100000000002</v>
      </c>
      <c r="H570" t="s">
        <v>47</v>
      </c>
      <c r="I570" t="s">
        <v>47</v>
      </c>
      <c r="J570" t="s">
        <v>20</v>
      </c>
      <c r="K570">
        <f t="shared" si="96"/>
        <v>105.39999999999999</v>
      </c>
      <c r="L570">
        <f t="shared" si="97"/>
        <v>342.09739999999999</v>
      </c>
      <c r="M570" t="str">
        <f t="shared" si="98"/>
        <v>devon-11</v>
      </c>
      <c r="N570" t="str">
        <f>INDEX(Scores!$A$2:$A$11,INDEX(Scores!$AA$2:$AA$131,MATCH(C570,Scores!$AB$2:$AB$131,0)))</f>
        <v>devon</v>
      </c>
      <c r="O570">
        <f t="shared" si="99"/>
        <v>100.25</v>
      </c>
      <c r="P570">
        <f t="shared" si="100"/>
        <v>448.76889999999997</v>
      </c>
      <c r="Q570" s="3">
        <f t="shared" si="101"/>
        <v>0.57265136255925952</v>
      </c>
      <c r="R570" s="3">
        <f t="shared" si="102"/>
        <v>0.64377557081669501</v>
      </c>
      <c r="S570" s="9">
        <f t="shared" si="103"/>
        <v>7.1124208257435484E-2</v>
      </c>
      <c r="T570">
        <f t="shared" si="104"/>
        <v>124</v>
      </c>
      <c r="U570">
        <f t="shared" si="105"/>
        <v>78</v>
      </c>
      <c r="V570" s="3">
        <f t="shared" si="106"/>
        <v>0.99999999999999523</v>
      </c>
      <c r="W570" s="9">
        <f t="shared" si="107"/>
        <v>4.7739590058881731E-15</v>
      </c>
      <c r="AC570"/>
    </row>
    <row r="571" spans="1:29" x14ac:dyDescent="0.25">
      <c r="A571" t="s">
        <v>406</v>
      </c>
      <c r="B571">
        <v>12</v>
      </c>
      <c r="C571" t="s">
        <v>942</v>
      </c>
      <c r="D571" t="s">
        <v>477</v>
      </c>
      <c r="E571">
        <v>9</v>
      </c>
      <c r="F571">
        <v>7.5</v>
      </c>
      <c r="G571">
        <v>26.01</v>
      </c>
      <c r="H571" t="s">
        <v>477</v>
      </c>
      <c r="I571" t="s">
        <v>477</v>
      </c>
      <c r="J571" t="s">
        <v>27</v>
      </c>
      <c r="K571">
        <f t="shared" si="96"/>
        <v>98.639999999999986</v>
      </c>
      <c r="L571">
        <f t="shared" si="97"/>
        <v>309.06870000000004</v>
      </c>
      <c r="M571" t="str">
        <f t="shared" si="98"/>
        <v>aj-12</v>
      </c>
      <c r="N571" t="str">
        <f>INDEX(Scores!$A$2:$A$11,INDEX(Scores!$AA$2:$AA$131,MATCH(C571,Scores!$AB$2:$AB$131,0)))</f>
        <v>aj</v>
      </c>
      <c r="O571">
        <f t="shared" si="99"/>
        <v>111.09</v>
      </c>
      <c r="P571">
        <f t="shared" si="100"/>
        <v>408.5095</v>
      </c>
      <c r="Q571" s="3">
        <f t="shared" si="101"/>
        <v>0.32104937221741592</v>
      </c>
      <c r="R571" s="3">
        <f t="shared" si="102"/>
        <v>0.33856361283422098</v>
      </c>
      <c r="S571" s="9">
        <f t="shared" si="103"/>
        <v>1.7514240616805066E-2</v>
      </c>
      <c r="T571">
        <f t="shared" si="104"/>
        <v>125</v>
      </c>
      <c r="U571">
        <f t="shared" si="105"/>
        <v>84</v>
      </c>
      <c r="V571" s="3">
        <f t="shared" si="106"/>
        <v>0.99999999999999523</v>
      </c>
      <c r="W571" s="9">
        <f t="shared" si="107"/>
        <v>4.7739590058881731E-15</v>
      </c>
      <c r="AC571"/>
    </row>
    <row r="572" spans="1:29" x14ac:dyDescent="0.25">
      <c r="A572" t="s">
        <v>424</v>
      </c>
      <c r="B572">
        <v>12</v>
      </c>
      <c r="C572" t="s">
        <v>966</v>
      </c>
      <c r="D572" t="s">
        <v>477</v>
      </c>
      <c r="E572">
        <v>3</v>
      </c>
      <c r="F572">
        <v>9.61</v>
      </c>
      <c r="G572">
        <v>40.96</v>
      </c>
      <c r="H572" t="s">
        <v>477</v>
      </c>
      <c r="I572" t="s">
        <v>477</v>
      </c>
      <c r="J572" t="s">
        <v>23</v>
      </c>
      <c r="K572">
        <f t="shared" si="96"/>
        <v>117.67999999999999</v>
      </c>
      <c r="L572">
        <f t="shared" si="97"/>
        <v>426.54240000000004</v>
      </c>
      <c r="M572" t="str">
        <f t="shared" si="98"/>
        <v>scott-12</v>
      </c>
      <c r="N572" t="str">
        <f>INDEX(Scores!$A$2:$A$11,INDEX(Scores!$AA$2:$AA$131,MATCH(C572,Scores!$AB$2:$AB$131,0)))</f>
        <v>scott</v>
      </c>
      <c r="O572">
        <f t="shared" si="99"/>
        <v>109.82</v>
      </c>
      <c r="P572">
        <f t="shared" si="100"/>
        <v>367.76499999999999</v>
      </c>
      <c r="Q572" s="3">
        <f t="shared" si="101"/>
        <v>0.60983422019767153</v>
      </c>
      <c r="R572" s="3">
        <f t="shared" si="102"/>
        <v>0.51816236194025533</v>
      </c>
      <c r="S572" s="9">
        <f t="shared" si="103"/>
        <v>-9.1671858257416194E-2</v>
      </c>
      <c r="T572">
        <f t="shared" si="104"/>
        <v>131</v>
      </c>
      <c r="U572">
        <f t="shared" si="105"/>
        <v>88</v>
      </c>
      <c r="V572" s="3">
        <f t="shared" si="106"/>
        <v>0.99999999999999545</v>
      </c>
      <c r="W572" s="9">
        <f t="shared" si="107"/>
        <v>4.5519144009631418E-15</v>
      </c>
      <c r="AC572"/>
    </row>
    <row r="573" spans="1:29" x14ac:dyDescent="0.25">
      <c r="A573" t="s">
        <v>211</v>
      </c>
      <c r="B573">
        <v>1</v>
      </c>
      <c r="C573" t="s">
        <v>504</v>
      </c>
      <c r="D573" t="s">
        <v>475</v>
      </c>
      <c r="E573">
        <v>18</v>
      </c>
      <c r="F573">
        <v>5.33</v>
      </c>
      <c r="G573">
        <v>21.715599999999998</v>
      </c>
      <c r="H573" t="s">
        <v>114</v>
      </c>
      <c r="I573" t="s">
        <v>114</v>
      </c>
      <c r="J573" t="s">
        <v>20</v>
      </c>
      <c r="K573">
        <f t="shared" si="96"/>
        <v>102.78</v>
      </c>
      <c r="L573">
        <f t="shared" si="97"/>
        <v>382.14119999999997</v>
      </c>
      <c r="M573" t="str">
        <f t="shared" si="98"/>
        <v>aj-1</v>
      </c>
      <c r="N573" t="str">
        <f>INDEX(Scores!$A$2:$A$11,INDEX(Scores!$AA$2:$AA$131,MATCH(C573,Scores!$AB$2:$AB$131,0)))</f>
        <v>aj</v>
      </c>
      <c r="O573">
        <f t="shared" si="99"/>
        <v>90.7</v>
      </c>
      <c r="P573">
        <f t="shared" si="100"/>
        <v>347.93650000000002</v>
      </c>
      <c r="Q573" s="3">
        <f t="shared" si="101"/>
        <v>0.67259029154080885</v>
      </c>
      <c r="R573" s="3">
        <f t="shared" si="102"/>
        <v>0.82379483120489627</v>
      </c>
      <c r="S573" s="9">
        <f t="shared" si="103"/>
        <v>0.15120453966408742</v>
      </c>
      <c r="T573">
        <f t="shared" si="104"/>
        <v>120</v>
      </c>
      <c r="U573">
        <f t="shared" si="105"/>
        <v>71</v>
      </c>
      <c r="V573" s="3">
        <f t="shared" si="106"/>
        <v>0.99999999999999678</v>
      </c>
      <c r="W573" s="9">
        <f t="shared" si="107"/>
        <v>3.219646771412954E-15</v>
      </c>
      <c r="AC573"/>
    </row>
    <row r="574" spans="1:29" x14ac:dyDescent="0.25">
      <c r="A574" t="s">
        <v>181</v>
      </c>
      <c r="B574">
        <v>2</v>
      </c>
      <c r="C574" t="s">
        <v>618</v>
      </c>
      <c r="D574" t="s">
        <v>475</v>
      </c>
      <c r="E574">
        <v>4</v>
      </c>
      <c r="F574">
        <v>6.84</v>
      </c>
      <c r="G574">
        <v>19.272099999999998</v>
      </c>
      <c r="H574" t="s">
        <v>114</v>
      </c>
      <c r="I574" t="s">
        <v>114</v>
      </c>
      <c r="J574" t="s">
        <v>16</v>
      </c>
      <c r="K574">
        <f t="shared" si="96"/>
        <v>102.7</v>
      </c>
      <c r="L574">
        <f t="shared" si="97"/>
        <v>377.5104</v>
      </c>
      <c r="M574" t="str">
        <f t="shared" si="98"/>
        <v>comp-2</v>
      </c>
      <c r="N574" t="str">
        <f>INDEX(Scores!$A$2:$A$11,INDEX(Scores!$AA$2:$AA$131,MATCH(C574,Scores!$AB$2:$AB$131,0)))</f>
        <v>comp</v>
      </c>
      <c r="O574">
        <f t="shared" si="99"/>
        <v>103.61999999999999</v>
      </c>
      <c r="P574">
        <f t="shared" si="100"/>
        <v>357.30130000000003</v>
      </c>
      <c r="Q574" s="3">
        <f t="shared" si="101"/>
        <v>0.48646287329580978</v>
      </c>
      <c r="R574" s="3">
        <f t="shared" si="102"/>
        <v>0.44410759107098347</v>
      </c>
      <c r="S574" s="9">
        <f t="shared" si="103"/>
        <v>-4.2355282224826318E-2</v>
      </c>
      <c r="T574">
        <f t="shared" si="104"/>
        <v>97</v>
      </c>
      <c r="U574">
        <f t="shared" si="105"/>
        <v>65</v>
      </c>
      <c r="V574" s="3">
        <f t="shared" si="106"/>
        <v>0.999999999999999</v>
      </c>
      <c r="W574" s="9">
        <f t="shared" si="107"/>
        <v>9.9920072216264089E-16</v>
      </c>
      <c r="AC574"/>
    </row>
    <row r="575" spans="1:29" x14ac:dyDescent="0.25">
      <c r="A575" t="s">
        <v>407</v>
      </c>
      <c r="B575">
        <v>9</v>
      </c>
      <c r="C575" t="s">
        <v>947</v>
      </c>
      <c r="D575" t="s">
        <v>477</v>
      </c>
      <c r="E575">
        <v>13</v>
      </c>
      <c r="F575">
        <v>9.73</v>
      </c>
      <c r="G575">
        <v>51.696100000000001</v>
      </c>
      <c r="H575" t="s">
        <v>477</v>
      </c>
      <c r="I575" t="s">
        <v>477</v>
      </c>
      <c r="J575" t="s">
        <v>62</v>
      </c>
      <c r="K575">
        <f t="shared" si="96"/>
        <v>100.46000000000001</v>
      </c>
      <c r="L575">
        <f t="shared" si="97"/>
        <v>387.61320000000001</v>
      </c>
      <c r="M575" t="str">
        <f t="shared" si="98"/>
        <v>matty-9</v>
      </c>
      <c r="N575" t="str">
        <f>INDEX(Scores!$A$2:$A$11,INDEX(Scores!$AA$2:$AA$131,MATCH(C575,Scores!$AB$2:$AB$131,0)))</f>
        <v>matty</v>
      </c>
      <c r="O575">
        <f t="shared" si="99"/>
        <v>94.12</v>
      </c>
      <c r="P575">
        <f t="shared" si="100"/>
        <v>378.32429999999999</v>
      </c>
      <c r="Q575" s="3">
        <f t="shared" si="101"/>
        <v>0.59059774146693023</v>
      </c>
      <c r="R575" s="3">
        <f t="shared" si="102"/>
        <v>0.64042103532562</v>
      </c>
      <c r="S575" s="9">
        <f t="shared" si="103"/>
        <v>4.9823293858689777E-2</v>
      </c>
      <c r="T575">
        <f t="shared" si="104"/>
        <v>129</v>
      </c>
      <c r="U575">
        <f t="shared" si="105"/>
        <v>68</v>
      </c>
      <c r="V575" s="3">
        <f t="shared" si="106"/>
        <v>0.99999999999999956</v>
      </c>
      <c r="W575" s="9">
        <f t="shared" si="107"/>
        <v>4.4408920985006262E-16</v>
      </c>
      <c r="AC575"/>
    </row>
    <row r="576" spans="1:29" x14ac:dyDescent="0.25">
      <c r="A576" t="s">
        <v>424</v>
      </c>
      <c r="B576">
        <v>2</v>
      </c>
      <c r="C576" t="s">
        <v>616</v>
      </c>
      <c r="D576" t="s">
        <v>477</v>
      </c>
      <c r="E576">
        <v>9</v>
      </c>
      <c r="F576">
        <v>7.93</v>
      </c>
      <c r="G576">
        <v>25.704899999999999</v>
      </c>
      <c r="H576" t="s">
        <v>477</v>
      </c>
      <c r="I576" t="s">
        <v>477</v>
      </c>
      <c r="J576" t="s">
        <v>23</v>
      </c>
      <c r="K576">
        <f t="shared" si="96"/>
        <v>104.79999999999998</v>
      </c>
      <c r="L576">
        <f t="shared" si="97"/>
        <v>455.48199999999997</v>
      </c>
      <c r="M576" t="str">
        <f t="shared" si="98"/>
        <v>lucas-2</v>
      </c>
      <c r="N576" t="str">
        <f>INDEX(Scores!$A$2:$A$11,INDEX(Scores!$AA$2:$AA$131,MATCH(C576,Scores!$AB$2:$AB$131,0)))</f>
        <v>lucas</v>
      </c>
      <c r="O576">
        <f t="shared" si="99"/>
        <v>0</v>
      </c>
      <c r="P576">
        <f t="shared" si="100"/>
        <v>0</v>
      </c>
      <c r="Q576" s="3">
        <f t="shared" si="101"/>
        <v>0.99999954577661365</v>
      </c>
      <c r="R576" s="3">
        <f t="shared" si="102"/>
        <v>0.99999983619462562</v>
      </c>
      <c r="S576" s="9">
        <f t="shared" si="103"/>
        <v>2.9041801197227102E-7</v>
      </c>
      <c r="T576">
        <f t="shared" si="104"/>
        <v>102</v>
      </c>
      <c r="U576">
        <f t="shared" si="105"/>
        <v>0</v>
      </c>
      <c r="V576" s="3">
        <f t="shared" si="106"/>
        <v>1</v>
      </c>
      <c r="W576" s="9">
        <f t="shared" si="107"/>
        <v>0</v>
      </c>
      <c r="AC576"/>
    </row>
    <row r="577" spans="1:29" x14ac:dyDescent="0.25">
      <c r="A577" t="s">
        <v>157</v>
      </c>
      <c r="B577">
        <v>11</v>
      </c>
      <c r="C577" t="s">
        <v>965</v>
      </c>
      <c r="D577" t="s">
        <v>472</v>
      </c>
      <c r="E577">
        <v>3</v>
      </c>
      <c r="F577">
        <v>7.26</v>
      </c>
      <c r="G577">
        <v>23.522500000000001</v>
      </c>
      <c r="H577" t="s">
        <v>87</v>
      </c>
      <c r="I577" t="s">
        <v>87</v>
      </c>
      <c r="J577" t="s">
        <v>23</v>
      </c>
      <c r="K577">
        <f t="shared" si="96"/>
        <v>104.20000000000002</v>
      </c>
      <c r="L577">
        <f t="shared" si="97"/>
        <v>377.06489999999997</v>
      </c>
      <c r="M577" t="str">
        <f t="shared" si="98"/>
        <v>lucas-11</v>
      </c>
      <c r="N577" t="str">
        <f>INDEX(Scores!$A$2:$A$11,INDEX(Scores!$AA$2:$AA$131,MATCH(C577,Scores!$AB$2:$AB$131,0)))</f>
        <v>lucas</v>
      </c>
      <c r="O577">
        <f t="shared" si="99"/>
        <v>0</v>
      </c>
      <c r="P577">
        <f t="shared" si="100"/>
        <v>0</v>
      </c>
      <c r="Q577" s="3">
        <f t="shared" si="101"/>
        <v>0.99999995977381673</v>
      </c>
      <c r="R577" s="3">
        <f t="shared" si="102"/>
        <v>0.9999999467262316</v>
      </c>
      <c r="S577" s="9">
        <f t="shared" si="103"/>
        <v>-1.3047585123437955E-8</v>
      </c>
      <c r="T577">
        <f t="shared" si="104"/>
        <v>85</v>
      </c>
      <c r="U577">
        <f t="shared" si="105"/>
        <v>0</v>
      </c>
      <c r="V577" s="3">
        <f t="shared" si="106"/>
        <v>1</v>
      </c>
      <c r="W577" s="9">
        <f t="shared" si="107"/>
        <v>0</v>
      </c>
      <c r="AC577"/>
    </row>
    <row r="578" spans="1:29" x14ac:dyDescent="0.25">
      <c r="A578" t="s">
        <v>129</v>
      </c>
      <c r="B578">
        <v>2</v>
      </c>
      <c r="C578" t="s">
        <v>616</v>
      </c>
      <c r="D578" t="s">
        <v>475</v>
      </c>
      <c r="E578">
        <v>4</v>
      </c>
      <c r="F578">
        <v>7.47</v>
      </c>
      <c r="G578">
        <v>31.136399999999998</v>
      </c>
      <c r="H578" t="s">
        <v>114</v>
      </c>
      <c r="I578" t="s">
        <v>114</v>
      </c>
      <c r="J578" t="s">
        <v>23</v>
      </c>
      <c r="K578">
        <f t="shared" ref="K578:K641" si="108">SUMIF($C$2:$C$1301,$C578,$F$2:$F$1301)</f>
        <v>104.79999999999998</v>
      </c>
      <c r="L578">
        <f t="shared" ref="L578:L641" si="109">SUMIF($C$2:$C$1301,$C578,$G$2:$G$1301)</f>
        <v>455.48199999999997</v>
      </c>
      <c r="M578" t="str">
        <f t="shared" ref="M578:M641" si="110">N578&amp;"-"&amp;B578</f>
        <v>lucas-2</v>
      </c>
      <c r="N578" t="str">
        <f>INDEX(Scores!$A$2:$A$11,INDEX(Scores!$AA$2:$AA$131,MATCH(C578,Scores!$AB$2:$AB$131,0)))</f>
        <v>lucas</v>
      </c>
      <c r="O578">
        <f t="shared" ref="O578:O641" si="111">SUMIF($C$2:$C$1301,$M578,$F$2:$F$1301)</f>
        <v>0</v>
      </c>
      <c r="P578">
        <f t="shared" ref="P578:P641" si="112">SUMIF($C$2:$C$1301,$M578,$G$2:$G$1301)</f>
        <v>0</v>
      </c>
      <c r="Q578" s="3">
        <f t="shared" ref="Q578:Q641" si="113">_xlfn.NORM.DIST(0,$O578-$K578,SQRT($L578+$P578),TRUE)</f>
        <v>0.99999954577661365</v>
      </c>
      <c r="R578" s="3">
        <f t="shared" ref="R578:R641" si="114">_xlfn.NORM.DIST(0,$O578-$K578-($E578-$F578),SQRT($L578+$P578-$G578),TRUE)</f>
        <v>0.99999956509708576</v>
      </c>
      <c r="S578" s="9">
        <f t="shared" ref="S578:S641" si="115">R578-Q578</f>
        <v>1.9320472111061804E-8</v>
      </c>
      <c r="T578">
        <f t="shared" ref="T578:T641" si="116">SUMIF($C$2:$C$1301,$C578,$E$2:$E$1301)</f>
        <v>102</v>
      </c>
      <c r="U578">
        <f t="shared" ref="U578:U641" si="117">SUMIF($C$2:$C$1301,$M578,$E$2:$E$1301)</f>
        <v>0</v>
      </c>
      <c r="V578" s="3">
        <f t="shared" ref="V578:V641" si="118">_xlfn.NORM.DIST(0,U578-T578+E578-F578,SQRT(G578),TRUE)</f>
        <v>1</v>
      </c>
      <c r="W578" s="9">
        <f t="shared" ref="W578:W641" si="119">IFERROR(IF(U578&gt;T578,0,1)-V578,0)</f>
        <v>0</v>
      </c>
      <c r="AC578"/>
    </row>
    <row r="579" spans="1:29" x14ac:dyDescent="0.25">
      <c r="A579" t="s">
        <v>163</v>
      </c>
      <c r="B579">
        <v>13</v>
      </c>
      <c r="C579" t="s">
        <v>935</v>
      </c>
      <c r="D579" t="s">
        <v>471</v>
      </c>
      <c r="E579">
        <v>2</v>
      </c>
      <c r="F579">
        <v>7.37</v>
      </c>
      <c r="G579">
        <v>23.425599999999999</v>
      </c>
      <c r="H579" t="s">
        <v>87</v>
      </c>
      <c r="I579" t="s">
        <v>87</v>
      </c>
      <c r="J579" t="s">
        <v>35</v>
      </c>
      <c r="K579">
        <f t="shared" si="108"/>
        <v>97.46</v>
      </c>
      <c r="L579">
        <f t="shared" si="109"/>
        <v>368.81949999999995</v>
      </c>
      <c r="M579" t="str">
        <f t="shared" si="110"/>
        <v>perry-13</v>
      </c>
      <c r="N579" t="str">
        <f>INDEX(Scores!$A$2:$A$11,INDEX(Scores!$AA$2:$AA$131,MATCH(C579,Scores!$AB$2:$AB$131,0)))</f>
        <v>perry</v>
      </c>
      <c r="O579">
        <f t="shared" si="111"/>
        <v>108.77</v>
      </c>
      <c r="P579">
        <f t="shared" si="112"/>
        <v>411.30060000000003</v>
      </c>
      <c r="Q579" s="3">
        <f t="shared" si="113"/>
        <v>0.3427638257896819</v>
      </c>
      <c r="R579" s="3">
        <f t="shared" si="114"/>
        <v>0.2721354458075611</v>
      </c>
      <c r="S579" s="9">
        <f t="shared" si="115"/>
        <v>-7.0628379982120792E-2</v>
      </c>
      <c r="T579">
        <f t="shared" si="116"/>
        <v>133</v>
      </c>
      <c r="U579">
        <f t="shared" si="117"/>
        <v>99</v>
      </c>
      <c r="V579" s="3">
        <f t="shared" si="118"/>
        <v>0.99999999999999978</v>
      </c>
      <c r="W579" s="9">
        <f t="shared" si="119"/>
        <v>2.2204460492503131E-16</v>
      </c>
      <c r="AC579"/>
    </row>
    <row r="580" spans="1:29" x14ac:dyDescent="0.25">
      <c r="A580" t="s">
        <v>53</v>
      </c>
      <c r="B580">
        <v>5</v>
      </c>
      <c r="C580" t="s">
        <v>887</v>
      </c>
      <c r="D580" t="s">
        <v>467</v>
      </c>
      <c r="E580">
        <v>10</v>
      </c>
      <c r="F580">
        <v>20.12</v>
      </c>
      <c r="G580">
        <v>54.908099999999997</v>
      </c>
      <c r="H580" t="s">
        <v>15</v>
      </c>
      <c r="I580" t="s">
        <v>15</v>
      </c>
      <c r="J580" t="s">
        <v>27</v>
      </c>
      <c r="K580">
        <f t="shared" si="108"/>
        <v>98.17</v>
      </c>
      <c r="L580">
        <f t="shared" si="109"/>
        <v>359.81479999999999</v>
      </c>
      <c r="M580" t="str">
        <f t="shared" si="110"/>
        <v>chad-5</v>
      </c>
      <c r="N580" t="str">
        <f>INDEX(Scores!$A$2:$A$11,INDEX(Scores!$AA$2:$AA$131,MATCH(C580,Scores!$AB$2:$AB$131,0)))</f>
        <v>chad</v>
      </c>
      <c r="O580">
        <f t="shared" si="111"/>
        <v>103.98</v>
      </c>
      <c r="P580">
        <f t="shared" si="112"/>
        <v>400.98380000000003</v>
      </c>
      <c r="Q580" s="3">
        <f t="shared" si="113"/>
        <v>0.41658401639793569</v>
      </c>
      <c r="R580" s="3">
        <f t="shared" si="114"/>
        <v>0.27439310377493498</v>
      </c>
      <c r="S580" s="9">
        <f t="shared" si="115"/>
        <v>-0.14219091262300071</v>
      </c>
      <c r="T580">
        <f t="shared" si="116"/>
        <v>121</v>
      </c>
      <c r="U580">
        <f t="shared" si="117"/>
        <v>71</v>
      </c>
      <c r="V580" s="3">
        <f t="shared" si="118"/>
        <v>0.99999999999999978</v>
      </c>
      <c r="W580" s="9">
        <f t="shared" si="119"/>
        <v>2.2204460492503131E-16</v>
      </c>
      <c r="AC580"/>
    </row>
    <row r="581" spans="1:29" x14ac:dyDescent="0.25">
      <c r="A581" t="s">
        <v>208</v>
      </c>
      <c r="B581">
        <v>8</v>
      </c>
      <c r="C581" t="s">
        <v>922</v>
      </c>
      <c r="D581" t="s">
        <v>475</v>
      </c>
      <c r="E581">
        <v>5</v>
      </c>
      <c r="F581">
        <v>5.87</v>
      </c>
      <c r="G581">
        <v>22.467600000000001</v>
      </c>
      <c r="H581" t="s">
        <v>114</v>
      </c>
      <c r="I581" t="s">
        <v>114</v>
      </c>
      <c r="J581" t="s">
        <v>55</v>
      </c>
      <c r="K581">
        <f t="shared" si="108"/>
        <v>114.1</v>
      </c>
      <c r="L581">
        <f t="shared" si="109"/>
        <v>458.87900000000002</v>
      </c>
      <c r="M581" t="str">
        <f t="shared" si="110"/>
        <v>lucas-8</v>
      </c>
      <c r="N581" t="str">
        <f>INDEX(Scores!$A$2:$A$11,INDEX(Scores!$AA$2:$AA$131,MATCH(C581,Scores!$AB$2:$AB$131,0)))</f>
        <v>lucas</v>
      </c>
      <c r="O581">
        <f t="shared" si="111"/>
        <v>0</v>
      </c>
      <c r="P581">
        <f t="shared" si="112"/>
        <v>0</v>
      </c>
      <c r="Q581" s="3">
        <f t="shared" si="113"/>
        <v>0.99999994992018415</v>
      </c>
      <c r="R581" s="3">
        <f t="shared" si="114"/>
        <v>0.99999997022996157</v>
      </c>
      <c r="S581" s="9">
        <f t="shared" si="115"/>
        <v>2.0309777415405961E-8</v>
      </c>
      <c r="T581">
        <f t="shared" si="116"/>
        <v>113</v>
      </c>
      <c r="U581">
        <f t="shared" si="117"/>
        <v>0</v>
      </c>
      <c r="V581" s="3">
        <f t="shared" si="118"/>
        <v>1</v>
      </c>
      <c r="W581" s="9">
        <f t="shared" si="119"/>
        <v>0</v>
      </c>
      <c r="AC581"/>
    </row>
    <row r="582" spans="1:29" x14ac:dyDescent="0.25">
      <c r="A582" t="s">
        <v>93</v>
      </c>
      <c r="B582">
        <v>12</v>
      </c>
      <c r="C582" t="s">
        <v>918</v>
      </c>
      <c r="D582" t="s">
        <v>471</v>
      </c>
      <c r="E582">
        <v>38</v>
      </c>
      <c r="F582">
        <v>12.19</v>
      </c>
      <c r="G582">
        <v>41.473599999999998</v>
      </c>
      <c r="H582" t="s">
        <v>87</v>
      </c>
      <c r="I582" t="s">
        <v>87</v>
      </c>
      <c r="J582" t="s">
        <v>16</v>
      </c>
      <c r="K582">
        <f t="shared" si="108"/>
        <v>101.87</v>
      </c>
      <c r="L582">
        <f t="shared" si="109"/>
        <v>405.26439999999997</v>
      </c>
      <c r="M582" t="str">
        <f t="shared" si="110"/>
        <v>lucas-12</v>
      </c>
      <c r="N582" t="str">
        <f>INDEX(Scores!$A$2:$A$11,INDEX(Scores!$AA$2:$AA$131,MATCH(C582,Scores!$AB$2:$AB$131,0)))</f>
        <v>lucas</v>
      </c>
      <c r="O582">
        <f t="shared" si="111"/>
        <v>0</v>
      </c>
      <c r="P582">
        <f t="shared" si="112"/>
        <v>0</v>
      </c>
      <c r="Q582" s="3">
        <f t="shared" si="113"/>
        <v>0.99999979071174128</v>
      </c>
      <c r="R582" s="3">
        <f t="shared" si="114"/>
        <v>0.99999999998915534</v>
      </c>
      <c r="S582" s="9">
        <f t="shared" si="115"/>
        <v>2.092774140649567E-7</v>
      </c>
      <c r="T582">
        <f t="shared" si="116"/>
        <v>155</v>
      </c>
      <c r="U582">
        <f t="shared" si="117"/>
        <v>0</v>
      </c>
      <c r="V582" s="3">
        <f t="shared" si="118"/>
        <v>1</v>
      </c>
      <c r="W582" s="9">
        <f t="shared" si="119"/>
        <v>0</v>
      </c>
      <c r="AC582"/>
    </row>
    <row r="583" spans="1:29" x14ac:dyDescent="0.25">
      <c r="A583" t="s">
        <v>85</v>
      </c>
      <c r="B583">
        <v>10</v>
      </c>
      <c r="C583" t="s">
        <v>940</v>
      </c>
      <c r="D583" t="s">
        <v>466</v>
      </c>
      <c r="E583">
        <v>25</v>
      </c>
      <c r="F583">
        <v>7.41</v>
      </c>
      <c r="G583">
        <v>24.700900000000001</v>
      </c>
      <c r="H583" t="s">
        <v>466</v>
      </c>
      <c r="I583" t="s">
        <v>47</v>
      </c>
      <c r="J583" t="s">
        <v>27</v>
      </c>
      <c r="K583">
        <f t="shared" si="108"/>
        <v>99.050000000000011</v>
      </c>
      <c r="L583">
        <f t="shared" si="109"/>
        <v>345.4212</v>
      </c>
      <c r="M583" t="str">
        <f t="shared" si="110"/>
        <v>scott-10</v>
      </c>
      <c r="N583" t="str">
        <f>INDEX(Scores!$A$2:$A$11,INDEX(Scores!$AA$2:$AA$131,MATCH(C583,Scores!$AB$2:$AB$131,0)))</f>
        <v>scott</v>
      </c>
      <c r="O583">
        <f t="shared" si="111"/>
        <v>101.17</v>
      </c>
      <c r="P583">
        <f t="shared" si="112"/>
        <v>351.19740000000002</v>
      </c>
      <c r="Q583" s="3">
        <f t="shared" si="113"/>
        <v>0.46799030012321852</v>
      </c>
      <c r="R583" s="3">
        <f t="shared" si="114"/>
        <v>0.72468112770727233</v>
      </c>
      <c r="S583" s="9">
        <f t="shared" si="115"/>
        <v>0.25669082758405382</v>
      </c>
      <c r="T583">
        <f t="shared" si="116"/>
        <v>130</v>
      </c>
      <c r="U583">
        <f t="shared" si="117"/>
        <v>67</v>
      </c>
      <c r="V583" s="3">
        <f t="shared" si="118"/>
        <v>1</v>
      </c>
      <c r="W583" s="9">
        <f t="shared" si="119"/>
        <v>0</v>
      </c>
      <c r="AC583"/>
    </row>
    <row r="584" spans="1:29" x14ac:dyDescent="0.25">
      <c r="A584" t="s">
        <v>420</v>
      </c>
      <c r="B584">
        <v>10</v>
      </c>
      <c r="C584" t="s">
        <v>940</v>
      </c>
      <c r="D584" t="s">
        <v>477</v>
      </c>
      <c r="E584">
        <v>16</v>
      </c>
      <c r="F584">
        <v>5.1100000000000003</v>
      </c>
      <c r="G584">
        <v>28.196100000000001</v>
      </c>
      <c r="H584" t="s">
        <v>477</v>
      </c>
      <c r="I584" t="s">
        <v>477</v>
      </c>
      <c r="J584" t="s">
        <v>27</v>
      </c>
      <c r="K584">
        <f t="shared" si="108"/>
        <v>99.050000000000011</v>
      </c>
      <c r="L584">
        <f t="shared" si="109"/>
        <v>345.4212</v>
      </c>
      <c r="M584" t="str">
        <f t="shared" si="110"/>
        <v>scott-10</v>
      </c>
      <c r="N584" t="str">
        <f>INDEX(Scores!$A$2:$A$11,INDEX(Scores!$AA$2:$AA$131,MATCH(C584,Scores!$AB$2:$AB$131,0)))</f>
        <v>scott</v>
      </c>
      <c r="O584">
        <f t="shared" si="111"/>
        <v>101.17</v>
      </c>
      <c r="P584">
        <f t="shared" si="112"/>
        <v>351.19740000000002</v>
      </c>
      <c r="Q584" s="3">
        <f t="shared" si="113"/>
        <v>0.46799030012321852</v>
      </c>
      <c r="R584" s="3">
        <f t="shared" si="114"/>
        <v>0.63277582510844188</v>
      </c>
      <c r="S584" s="9">
        <f t="shared" si="115"/>
        <v>0.16478552498522336</v>
      </c>
      <c r="T584">
        <f t="shared" si="116"/>
        <v>130</v>
      </c>
      <c r="U584">
        <f t="shared" si="117"/>
        <v>67</v>
      </c>
      <c r="V584" s="3">
        <f t="shared" si="118"/>
        <v>1</v>
      </c>
      <c r="W584" s="9">
        <f t="shared" si="119"/>
        <v>0</v>
      </c>
      <c r="AC584"/>
    </row>
    <row r="585" spans="1:29" x14ac:dyDescent="0.25">
      <c r="A585" t="s">
        <v>421</v>
      </c>
      <c r="B585">
        <v>12</v>
      </c>
      <c r="C585" t="s">
        <v>918</v>
      </c>
      <c r="D585" t="s">
        <v>477</v>
      </c>
      <c r="E585">
        <v>18</v>
      </c>
      <c r="F585">
        <v>6.38</v>
      </c>
      <c r="G585">
        <v>40.96</v>
      </c>
      <c r="H585" t="s">
        <v>477</v>
      </c>
      <c r="I585" t="s">
        <v>477</v>
      </c>
      <c r="J585" t="s">
        <v>16</v>
      </c>
      <c r="K585">
        <f t="shared" si="108"/>
        <v>101.87</v>
      </c>
      <c r="L585">
        <f t="shared" si="109"/>
        <v>405.26439999999997</v>
      </c>
      <c r="M585" t="str">
        <f t="shared" si="110"/>
        <v>lucas-12</v>
      </c>
      <c r="N585" t="str">
        <f>INDEX(Scores!$A$2:$A$11,INDEX(Scores!$AA$2:$AA$131,MATCH(C585,Scores!$AB$2:$AB$131,0)))</f>
        <v>lucas</v>
      </c>
      <c r="O585">
        <f t="shared" si="111"/>
        <v>0</v>
      </c>
      <c r="P585">
        <f t="shared" si="112"/>
        <v>0</v>
      </c>
      <c r="Q585" s="3">
        <f t="shared" si="113"/>
        <v>0.99999979071174128</v>
      </c>
      <c r="R585" s="3">
        <f t="shared" si="114"/>
        <v>0.99999999862618472</v>
      </c>
      <c r="S585" s="9">
        <f t="shared" si="115"/>
        <v>2.0791444343970511E-7</v>
      </c>
      <c r="T585">
        <f t="shared" si="116"/>
        <v>155</v>
      </c>
      <c r="U585">
        <f t="shared" si="117"/>
        <v>0</v>
      </c>
      <c r="V585" s="3">
        <f t="shared" si="118"/>
        <v>1</v>
      </c>
      <c r="W585" s="9">
        <f t="shared" si="119"/>
        <v>0</v>
      </c>
      <c r="AC585"/>
    </row>
    <row r="586" spans="1:29" x14ac:dyDescent="0.25">
      <c r="A586" t="s">
        <v>464</v>
      </c>
      <c r="B586">
        <v>9</v>
      </c>
      <c r="C586" t="s">
        <v>947</v>
      </c>
      <c r="D586" t="s">
        <v>478</v>
      </c>
      <c r="E586">
        <v>17</v>
      </c>
      <c r="F586">
        <v>7.21</v>
      </c>
      <c r="G586">
        <v>15.2881</v>
      </c>
      <c r="H586" t="s">
        <v>478</v>
      </c>
      <c r="I586" t="s">
        <v>478</v>
      </c>
      <c r="J586" t="s">
        <v>62</v>
      </c>
      <c r="K586">
        <f t="shared" si="108"/>
        <v>100.46000000000001</v>
      </c>
      <c r="L586">
        <f t="shared" si="109"/>
        <v>387.61320000000001</v>
      </c>
      <c r="M586" t="str">
        <f t="shared" si="110"/>
        <v>matty-9</v>
      </c>
      <c r="N586" t="str">
        <f>INDEX(Scores!$A$2:$A$11,INDEX(Scores!$AA$2:$AA$131,MATCH(C586,Scores!$AB$2:$AB$131,0)))</f>
        <v>matty</v>
      </c>
      <c r="O586">
        <f t="shared" si="111"/>
        <v>94.12</v>
      </c>
      <c r="P586">
        <f t="shared" si="112"/>
        <v>378.32429999999999</v>
      </c>
      <c r="Q586" s="3">
        <f t="shared" si="113"/>
        <v>0.59059774146693023</v>
      </c>
      <c r="R586" s="3">
        <f t="shared" si="114"/>
        <v>0.72197862666829338</v>
      </c>
      <c r="S586" s="9">
        <f t="shared" si="115"/>
        <v>0.13138088520136315</v>
      </c>
      <c r="T586">
        <f t="shared" si="116"/>
        <v>129</v>
      </c>
      <c r="U586">
        <f t="shared" si="117"/>
        <v>68</v>
      </c>
      <c r="V586" s="3">
        <f t="shared" si="118"/>
        <v>1</v>
      </c>
      <c r="W586" s="9">
        <f t="shared" si="119"/>
        <v>0</v>
      </c>
      <c r="AC586"/>
    </row>
    <row r="587" spans="1:29" x14ac:dyDescent="0.25">
      <c r="A587" t="s">
        <v>1105</v>
      </c>
      <c r="B587">
        <v>10</v>
      </c>
      <c r="C587" t="s">
        <v>940</v>
      </c>
      <c r="D587" t="s">
        <v>473</v>
      </c>
      <c r="E587">
        <v>15</v>
      </c>
      <c r="F587">
        <v>6.64</v>
      </c>
      <c r="G587">
        <v>24.1081</v>
      </c>
      <c r="H587" t="s">
        <v>87</v>
      </c>
      <c r="I587" t="s">
        <v>87</v>
      </c>
      <c r="J587" t="s">
        <v>27</v>
      </c>
      <c r="K587">
        <f t="shared" si="108"/>
        <v>99.050000000000011</v>
      </c>
      <c r="L587">
        <f t="shared" si="109"/>
        <v>345.4212</v>
      </c>
      <c r="M587" t="str">
        <f t="shared" si="110"/>
        <v>scott-10</v>
      </c>
      <c r="N587" t="str">
        <f>INDEX(Scores!$A$2:$A$11,INDEX(Scores!$AA$2:$AA$131,MATCH(C587,Scores!$AB$2:$AB$131,0)))</f>
        <v>scott</v>
      </c>
      <c r="O587">
        <f t="shared" si="111"/>
        <v>101.17</v>
      </c>
      <c r="P587">
        <f t="shared" si="112"/>
        <v>351.19740000000002</v>
      </c>
      <c r="Q587" s="3">
        <f t="shared" si="113"/>
        <v>0.46799030012321852</v>
      </c>
      <c r="R587" s="3">
        <f t="shared" si="114"/>
        <v>0.59507589168472796</v>
      </c>
      <c r="S587" s="9">
        <f t="shared" si="115"/>
        <v>0.12708559156150945</v>
      </c>
      <c r="T587">
        <f t="shared" si="116"/>
        <v>130</v>
      </c>
      <c r="U587">
        <f t="shared" si="117"/>
        <v>67</v>
      </c>
      <c r="V587" s="3">
        <f t="shared" si="118"/>
        <v>1</v>
      </c>
      <c r="W587" s="9">
        <f t="shared" si="119"/>
        <v>0</v>
      </c>
      <c r="AC587"/>
    </row>
    <row r="588" spans="1:29" x14ac:dyDescent="0.25">
      <c r="A588" t="s">
        <v>162</v>
      </c>
      <c r="B588">
        <v>10</v>
      </c>
      <c r="C588" t="s">
        <v>940</v>
      </c>
      <c r="D588" t="s">
        <v>475</v>
      </c>
      <c r="E588">
        <v>14</v>
      </c>
      <c r="F588">
        <v>6.78</v>
      </c>
      <c r="G588">
        <v>27.984100000000002</v>
      </c>
      <c r="H588" t="s">
        <v>114</v>
      </c>
      <c r="I588" t="s">
        <v>114</v>
      </c>
      <c r="J588" t="s">
        <v>27</v>
      </c>
      <c r="K588">
        <f t="shared" si="108"/>
        <v>99.050000000000011</v>
      </c>
      <c r="L588">
        <f t="shared" si="109"/>
        <v>345.4212</v>
      </c>
      <c r="M588" t="str">
        <f t="shared" si="110"/>
        <v>scott-10</v>
      </c>
      <c r="N588" t="str">
        <f>INDEX(Scores!$A$2:$A$11,INDEX(Scores!$AA$2:$AA$131,MATCH(C588,Scores!$AB$2:$AB$131,0)))</f>
        <v>scott</v>
      </c>
      <c r="O588">
        <f t="shared" si="111"/>
        <v>101.17</v>
      </c>
      <c r="P588">
        <f t="shared" si="112"/>
        <v>351.19740000000002</v>
      </c>
      <c r="Q588" s="3">
        <f t="shared" si="113"/>
        <v>0.46799030012321852</v>
      </c>
      <c r="R588" s="3">
        <f t="shared" si="114"/>
        <v>0.57817672187932112</v>
      </c>
      <c r="S588" s="9">
        <f t="shared" si="115"/>
        <v>0.1101864217561026</v>
      </c>
      <c r="T588">
        <f t="shared" si="116"/>
        <v>130</v>
      </c>
      <c r="U588">
        <f t="shared" si="117"/>
        <v>67</v>
      </c>
      <c r="V588" s="3">
        <f t="shared" si="118"/>
        <v>1</v>
      </c>
      <c r="W588" s="9">
        <f t="shared" si="119"/>
        <v>0</v>
      </c>
      <c r="AC588"/>
    </row>
    <row r="589" spans="1:29" x14ac:dyDescent="0.25">
      <c r="A589" t="s">
        <v>105</v>
      </c>
      <c r="B589">
        <v>9</v>
      </c>
      <c r="C589" t="s">
        <v>947</v>
      </c>
      <c r="D589" t="s">
        <v>466</v>
      </c>
      <c r="E589">
        <v>16</v>
      </c>
      <c r="F589">
        <v>8.25</v>
      </c>
      <c r="G589">
        <v>35.880099999999999</v>
      </c>
      <c r="H589" t="s">
        <v>466</v>
      </c>
      <c r="I589" t="s">
        <v>87</v>
      </c>
      <c r="J589" t="s">
        <v>62</v>
      </c>
      <c r="K589">
        <f t="shared" si="108"/>
        <v>100.46000000000001</v>
      </c>
      <c r="L589">
        <f t="shared" si="109"/>
        <v>387.61320000000001</v>
      </c>
      <c r="M589" t="str">
        <f t="shared" si="110"/>
        <v>matty-9</v>
      </c>
      <c r="N589" t="str">
        <f>INDEX(Scores!$A$2:$A$11,INDEX(Scores!$AA$2:$AA$131,MATCH(C589,Scores!$AB$2:$AB$131,0)))</f>
        <v>matty</v>
      </c>
      <c r="O589">
        <f t="shared" si="111"/>
        <v>94.12</v>
      </c>
      <c r="P589">
        <f t="shared" si="112"/>
        <v>378.32429999999999</v>
      </c>
      <c r="Q589" s="3">
        <f t="shared" si="113"/>
        <v>0.59059774146693023</v>
      </c>
      <c r="R589" s="3">
        <f t="shared" si="114"/>
        <v>0.69898162210598946</v>
      </c>
      <c r="S589" s="9">
        <f t="shared" si="115"/>
        <v>0.10838388063905924</v>
      </c>
      <c r="T589">
        <f t="shared" si="116"/>
        <v>129</v>
      </c>
      <c r="U589">
        <f t="shared" si="117"/>
        <v>68</v>
      </c>
      <c r="V589" s="3">
        <f t="shared" si="118"/>
        <v>1</v>
      </c>
      <c r="W589" s="9">
        <f t="shared" si="119"/>
        <v>0</v>
      </c>
      <c r="AC589"/>
    </row>
    <row r="590" spans="1:29" x14ac:dyDescent="0.25">
      <c r="A590" t="s">
        <v>177</v>
      </c>
      <c r="B590">
        <v>12</v>
      </c>
      <c r="C590" t="s">
        <v>918</v>
      </c>
      <c r="D590" t="s">
        <v>475</v>
      </c>
      <c r="E590">
        <v>16</v>
      </c>
      <c r="F590">
        <v>8.49</v>
      </c>
      <c r="G590">
        <v>20.25</v>
      </c>
      <c r="H590" t="s">
        <v>114</v>
      </c>
      <c r="I590" t="s">
        <v>114</v>
      </c>
      <c r="J590" t="s">
        <v>16</v>
      </c>
      <c r="K590">
        <f t="shared" si="108"/>
        <v>101.87</v>
      </c>
      <c r="L590">
        <f t="shared" si="109"/>
        <v>405.26439999999997</v>
      </c>
      <c r="M590" t="str">
        <f t="shared" si="110"/>
        <v>lucas-12</v>
      </c>
      <c r="N590" t="str">
        <f>INDEX(Scores!$A$2:$A$11,INDEX(Scores!$AA$2:$AA$131,MATCH(C590,Scores!$AB$2:$AB$131,0)))</f>
        <v>lucas</v>
      </c>
      <c r="O590">
        <f t="shared" si="111"/>
        <v>0</v>
      </c>
      <c r="P590">
        <f t="shared" si="112"/>
        <v>0</v>
      </c>
      <c r="Q590" s="3">
        <f t="shared" si="113"/>
        <v>0.99999979071174128</v>
      </c>
      <c r="R590" s="3">
        <f t="shared" si="114"/>
        <v>0.99999998758197184</v>
      </c>
      <c r="S590" s="9">
        <f t="shared" si="115"/>
        <v>1.9687023056214059E-7</v>
      </c>
      <c r="T590">
        <f t="shared" si="116"/>
        <v>155</v>
      </c>
      <c r="U590">
        <f t="shared" si="117"/>
        <v>0</v>
      </c>
      <c r="V590" s="3">
        <f t="shared" si="118"/>
        <v>1</v>
      </c>
      <c r="W590" s="9">
        <f t="shared" si="119"/>
        <v>0</v>
      </c>
      <c r="AC590"/>
    </row>
    <row r="591" spans="1:29" x14ac:dyDescent="0.25">
      <c r="A591" t="s">
        <v>125</v>
      </c>
      <c r="B591">
        <v>9</v>
      </c>
      <c r="C591" t="s">
        <v>947</v>
      </c>
      <c r="D591" t="s">
        <v>473</v>
      </c>
      <c r="E591">
        <v>12</v>
      </c>
      <c r="F591">
        <v>5.64</v>
      </c>
      <c r="G591">
        <v>30.1401</v>
      </c>
      <c r="H591" t="s">
        <v>87</v>
      </c>
      <c r="I591" t="s">
        <v>87</v>
      </c>
      <c r="J591" t="s">
        <v>62</v>
      </c>
      <c r="K591">
        <f t="shared" si="108"/>
        <v>100.46000000000001</v>
      </c>
      <c r="L591">
        <f t="shared" si="109"/>
        <v>387.61320000000001</v>
      </c>
      <c r="M591" t="str">
        <f t="shared" si="110"/>
        <v>matty-9</v>
      </c>
      <c r="N591" t="str">
        <f>INDEX(Scores!$A$2:$A$11,INDEX(Scores!$AA$2:$AA$131,MATCH(C591,Scores!$AB$2:$AB$131,0)))</f>
        <v>matty</v>
      </c>
      <c r="O591">
        <f t="shared" si="111"/>
        <v>94.12</v>
      </c>
      <c r="P591">
        <f t="shared" si="112"/>
        <v>378.32429999999999</v>
      </c>
      <c r="Q591" s="3">
        <f t="shared" si="113"/>
        <v>0.59059774146693023</v>
      </c>
      <c r="R591" s="3">
        <f t="shared" si="114"/>
        <v>0.68017658798852065</v>
      </c>
      <c r="S591" s="9">
        <f t="shared" si="115"/>
        <v>8.9578846521590427E-2</v>
      </c>
      <c r="T591">
        <f t="shared" si="116"/>
        <v>129</v>
      </c>
      <c r="U591">
        <f t="shared" si="117"/>
        <v>68</v>
      </c>
      <c r="V591" s="3">
        <f t="shared" si="118"/>
        <v>1</v>
      </c>
      <c r="W591" s="9">
        <f t="shared" si="119"/>
        <v>0</v>
      </c>
      <c r="AC591"/>
    </row>
    <row r="592" spans="1:29" x14ac:dyDescent="0.25">
      <c r="A592" t="s">
        <v>175</v>
      </c>
      <c r="B592">
        <v>3</v>
      </c>
      <c r="C592" t="s">
        <v>810</v>
      </c>
      <c r="D592" t="s">
        <v>473</v>
      </c>
      <c r="E592">
        <v>13</v>
      </c>
      <c r="F592">
        <v>7.03</v>
      </c>
      <c r="G592">
        <v>21.808900000000001</v>
      </c>
      <c r="H592" t="s">
        <v>87</v>
      </c>
      <c r="I592" t="s">
        <v>87</v>
      </c>
      <c r="J592" t="s">
        <v>62</v>
      </c>
      <c r="K592">
        <f t="shared" si="108"/>
        <v>99.23</v>
      </c>
      <c r="L592">
        <f t="shared" si="109"/>
        <v>414.92009999999999</v>
      </c>
      <c r="M592" t="str">
        <f t="shared" si="110"/>
        <v>devon-3</v>
      </c>
      <c r="N592" t="str">
        <f>INDEX(Scores!$A$2:$A$11,INDEX(Scores!$AA$2:$AA$131,MATCH(C592,Scores!$AB$2:$AB$131,0)))</f>
        <v>devon</v>
      </c>
      <c r="O592">
        <f t="shared" si="111"/>
        <v>110.36</v>
      </c>
      <c r="P592">
        <f t="shared" si="112"/>
        <v>421.178</v>
      </c>
      <c r="Q592" s="3">
        <f t="shared" si="113"/>
        <v>0.35014963451184367</v>
      </c>
      <c r="R592" s="3">
        <f t="shared" si="114"/>
        <v>0.42825216077688832</v>
      </c>
      <c r="S592" s="9">
        <f t="shared" si="115"/>
        <v>7.8102526265044658E-2</v>
      </c>
      <c r="T592">
        <f t="shared" si="116"/>
        <v>123</v>
      </c>
      <c r="U592">
        <f t="shared" si="117"/>
        <v>63</v>
      </c>
      <c r="V592" s="3">
        <f t="shared" si="118"/>
        <v>1</v>
      </c>
      <c r="W592" s="9">
        <f t="shared" si="119"/>
        <v>0</v>
      </c>
      <c r="AC592"/>
    </row>
    <row r="593" spans="1:29" x14ac:dyDescent="0.25">
      <c r="A593" t="s">
        <v>449</v>
      </c>
      <c r="B593">
        <v>3</v>
      </c>
      <c r="C593" t="s">
        <v>803</v>
      </c>
      <c r="D593" t="s">
        <v>478</v>
      </c>
      <c r="E593">
        <v>14</v>
      </c>
      <c r="F593">
        <v>8.0399999999999991</v>
      </c>
      <c r="G593">
        <v>11.833600000000001</v>
      </c>
      <c r="H593" t="s">
        <v>478</v>
      </c>
      <c r="I593" t="s">
        <v>478</v>
      </c>
      <c r="J593" t="s">
        <v>16</v>
      </c>
      <c r="K593">
        <f t="shared" si="108"/>
        <v>106.94</v>
      </c>
      <c r="L593">
        <f t="shared" si="109"/>
        <v>452.911</v>
      </c>
      <c r="M593" t="str">
        <f t="shared" si="110"/>
        <v>lucas-3</v>
      </c>
      <c r="N593" t="str">
        <f>INDEX(Scores!$A$2:$A$11,INDEX(Scores!$AA$2:$AA$131,MATCH(C593,Scores!$AB$2:$AB$131,0)))</f>
        <v>lucas</v>
      </c>
      <c r="O593">
        <f t="shared" si="111"/>
        <v>0</v>
      </c>
      <c r="P593">
        <f t="shared" si="112"/>
        <v>0</v>
      </c>
      <c r="Q593" s="3">
        <f t="shared" si="113"/>
        <v>0.99999974824851112</v>
      </c>
      <c r="R593" s="3">
        <f t="shared" si="114"/>
        <v>0.99999996186110973</v>
      </c>
      <c r="S593" s="9">
        <f t="shared" si="115"/>
        <v>2.13612598609636E-7</v>
      </c>
      <c r="T593">
        <f t="shared" si="116"/>
        <v>88</v>
      </c>
      <c r="U593">
        <f t="shared" si="117"/>
        <v>0</v>
      </c>
      <c r="V593" s="3">
        <f t="shared" si="118"/>
        <v>1</v>
      </c>
      <c r="W593" s="9">
        <f t="shared" si="119"/>
        <v>0</v>
      </c>
      <c r="AC593"/>
    </row>
    <row r="594" spans="1:29" x14ac:dyDescent="0.25">
      <c r="A594" t="s">
        <v>160</v>
      </c>
      <c r="B594">
        <v>3</v>
      </c>
      <c r="C594" t="s">
        <v>810</v>
      </c>
      <c r="D594" t="s">
        <v>472</v>
      </c>
      <c r="E594">
        <v>14</v>
      </c>
      <c r="F594">
        <v>8.57</v>
      </c>
      <c r="G594">
        <v>33.177599999999998</v>
      </c>
      <c r="H594" t="s">
        <v>87</v>
      </c>
      <c r="I594" t="s">
        <v>87</v>
      </c>
      <c r="J594" t="s">
        <v>62</v>
      </c>
      <c r="K594">
        <f t="shared" si="108"/>
        <v>99.23</v>
      </c>
      <c r="L594">
        <f t="shared" si="109"/>
        <v>414.92009999999999</v>
      </c>
      <c r="M594" t="str">
        <f t="shared" si="110"/>
        <v>devon-3</v>
      </c>
      <c r="N594" t="str">
        <f>INDEX(Scores!$A$2:$A$11,INDEX(Scores!$AA$2:$AA$131,MATCH(C594,Scores!$AB$2:$AB$131,0)))</f>
        <v>devon</v>
      </c>
      <c r="O594">
        <f t="shared" si="111"/>
        <v>110.36</v>
      </c>
      <c r="P594">
        <f t="shared" si="112"/>
        <v>421.178</v>
      </c>
      <c r="Q594" s="3">
        <f t="shared" si="113"/>
        <v>0.35014963451184367</v>
      </c>
      <c r="R594" s="3">
        <f t="shared" si="114"/>
        <v>0.42028728505444152</v>
      </c>
      <c r="S594" s="9">
        <f t="shared" si="115"/>
        <v>7.0137650542597851E-2</v>
      </c>
      <c r="T594">
        <f t="shared" si="116"/>
        <v>123</v>
      </c>
      <c r="U594">
        <f t="shared" si="117"/>
        <v>63</v>
      </c>
      <c r="V594" s="3">
        <f t="shared" si="118"/>
        <v>1</v>
      </c>
      <c r="W594" s="9">
        <f t="shared" si="119"/>
        <v>0</v>
      </c>
      <c r="AC594"/>
    </row>
    <row r="595" spans="1:29" x14ac:dyDescent="0.25">
      <c r="A595" t="s">
        <v>105</v>
      </c>
      <c r="B595">
        <v>3</v>
      </c>
      <c r="C595" t="s">
        <v>810</v>
      </c>
      <c r="D595" t="s">
        <v>466</v>
      </c>
      <c r="E595">
        <v>16</v>
      </c>
      <c r="F595">
        <v>10.66</v>
      </c>
      <c r="G595">
        <v>41.7316</v>
      </c>
      <c r="H595" t="s">
        <v>466</v>
      </c>
      <c r="I595" t="s">
        <v>87</v>
      </c>
      <c r="J595" t="s">
        <v>62</v>
      </c>
      <c r="K595">
        <f t="shared" si="108"/>
        <v>99.23</v>
      </c>
      <c r="L595">
        <f t="shared" si="109"/>
        <v>414.92009999999999</v>
      </c>
      <c r="M595" t="str">
        <f t="shared" si="110"/>
        <v>devon-3</v>
      </c>
      <c r="N595" t="str">
        <f>INDEX(Scores!$A$2:$A$11,INDEX(Scores!$AA$2:$AA$131,MATCH(C595,Scores!$AB$2:$AB$131,0)))</f>
        <v>devon</v>
      </c>
      <c r="O595">
        <f t="shared" si="111"/>
        <v>110.36</v>
      </c>
      <c r="P595">
        <f t="shared" si="112"/>
        <v>421.178</v>
      </c>
      <c r="Q595" s="3">
        <f t="shared" si="113"/>
        <v>0.35014963451184367</v>
      </c>
      <c r="R595" s="3">
        <f t="shared" si="114"/>
        <v>0.41861730883221071</v>
      </c>
      <c r="S595" s="9">
        <f t="shared" si="115"/>
        <v>6.8467674320367045E-2</v>
      </c>
      <c r="T595">
        <f t="shared" si="116"/>
        <v>123</v>
      </c>
      <c r="U595">
        <f t="shared" si="117"/>
        <v>63</v>
      </c>
      <c r="V595" s="3">
        <f t="shared" si="118"/>
        <v>1</v>
      </c>
      <c r="W595" s="9">
        <f t="shared" si="119"/>
        <v>0</v>
      </c>
      <c r="AC595"/>
    </row>
    <row r="596" spans="1:29" x14ac:dyDescent="0.25">
      <c r="A596" t="s">
        <v>290</v>
      </c>
      <c r="B596">
        <v>9</v>
      </c>
      <c r="C596" t="s">
        <v>947</v>
      </c>
      <c r="D596" t="s">
        <v>469</v>
      </c>
      <c r="E596">
        <v>9</v>
      </c>
      <c r="F596">
        <v>5.77</v>
      </c>
      <c r="G596">
        <v>33.4084</v>
      </c>
      <c r="H596" t="s">
        <v>47</v>
      </c>
      <c r="I596" t="s">
        <v>47</v>
      </c>
      <c r="J596" t="s">
        <v>62</v>
      </c>
      <c r="K596">
        <f t="shared" si="108"/>
        <v>100.46000000000001</v>
      </c>
      <c r="L596">
        <f t="shared" si="109"/>
        <v>387.61320000000001</v>
      </c>
      <c r="M596" t="str">
        <f t="shared" si="110"/>
        <v>matty-9</v>
      </c>
      <c r="N596" t="str">
        <f>INDEX(Scores!$A$2:$A$11,INDEX(Scores!$AA$2:$AA$131,MATCH(C596,Scores!$AB$2:$AB$131,0)))</f>
        <v>matty</v>
      </c>
      <c r="O596">
        <f t="shared" si="111"/>
        <v>94.12</v>
      </c>
      <c r="P596">
        <f t="shared" si="112"/>
        <v>378.32429999999999</v>
      </c>
      <c r="Q596" s="3">
        <f t="shared" si="113"/>
        <v>0.59059774146693023</v>
      </c>
      <c r="R596" s="3">
        <f t="shared" si="114"/>
        <v>0.63817676954077951</v>
      </c>
      <c r="S596" s="9">
        <f t="shared" si="115"/>
        <v>4.7579028073849283E-2</v>
      </c>
      <c r="T596">
        <f t="shared" si="116"/>
        <v>129</v>
      </c>
      <c r="U596">
        <f t="shared" si="117"/>
        <v>68</v>
      </c>
      <c r="V596" s="3">
        <f t="shared" si="118"/>
        <v>1</v>
      </c>
      <c r="W596" s="9">
        <f t="shared" si="119"/>
        <v>0</v>
      </c>
      <c r="AC596"/>
    </row>
    <row r="597" spans="1:29" x14ac:dyDescent="0.25">
      <c r="A597" t="s">
        <v>446</v>
      </c>
      <c r="B597">
        <v>10</v>
      </c>
      <c r="C597" t="s">
        <v>940</v>
      </c>
      <c r="D597" t="s">
        <v>478</v>
      </c>
      <c r="E597">
        <v>11</v>
      </c>
      <c r="F597">
        <v>7.91</v>
      </c>
      <c r="G597">
        <v>20.25</v>
      </c>
      <c r="H597" t="s">
        <v>478</v>
      </c>
      <c r="I597" t="s">
        <v>478</v>
      </c>
      <c r="J597" t="s">
        <v>27</v>
      </c>
      <c r="K597">
        <f t="shared" si="108"/>
        <v>99.050000000000011</v>
      </c>
      <c r="L597">
        <f t="shared" si="109"/>
        <v>345.4212</v>
      </c>
      <c r="M597" t="str">
        <f t="shared" si="110"/>
        <v>scott-10</v>
      </c>
      <c r="N597" t="str">
        <f>INDEX(Scores!$A$2:$A$11,INDEX(Scores!$AA$2:$AA$131,MATCH(C597,Scores!$AB$2:$AB$131,0)))</f>
        <v>scott</v>
      </c>
      <c r="O597">
        <f t="shared" si="111"/>
        <v>101.17</v>
      </c>
      <c r="P597">
        <f t="shared" si="112"/>
        <v>351.19740000000002</v>
      </c>
      <c r="Q597" s="3">
        <f t="shared" si="113"/>
        <v>0.46799030012321852</v>
      </c>
      <c r="R597" s="3">
        <f t="shared" si="114"/>
        <v>0.5148761106180213</v>
      </c>
      <c r="S597" s="9">
        <f t="shared" si="115"/>
        <v>4.6885810494802782E-2</v>
      </c>
      <c r="T597">
        <f t="shared" si="116"/>
        <v>130</v>
      </c>
      <c r="U597">
        <f t="shared" si="117"/>
        <v>67</v>
      </c>
      <c r="V597" s="3">
        <f t="shared" si="118"/>
        <v>1</v>
      </c>
      <c r="W597" s="9">
        <f t="shared" si="119"/>
        <v>0</v>
      </c>
      <c r="AC597"/>
    </row>
    <row r="598" spans="1:29" x14ac:dyDescent="0.25">
      <c r="A598" t="s">
        <v>162</v>
      </c>
      <c r="B598">
        <v>5</v>
      </c>
      <c r="C598" t="s">
        <v>887</v>
      </c>
      <c r="D598" t="s">
        <v>475</v>
      </c>
      <c r="E598">
        <v>9</v>
      </c>
      <c r="F598">
        <v>5.82</v>
      </c>
      <c r="G598">
        <v>17.977599999999999</v>
      </c>
      <c r="H598" t="s">
        <v>114</v>
      </c>
      <c r="I598" t="s">
        <v>114</v>
      </c>
      <c r="J598" t="s">
        <v>27</v>
      </c>
      <c r="K598">
        <f t="shared" si="108"/>
        <v>98.17</v>
      </c>
      <c r="L598">
        <f t="shared" si="109"/>
        <v>359.81479999999999</v>
      </c>
      <c r="M598" t="str">
        <f t="shared" si="110"/>
        <v>chad-5</v>
      </c>
      <c r="N598" t="str">
        <f>INDEX(Scores!$A$2:$A$11,INDEX(Scores!$AA$2:$AA$131,MATCH(C598,Scores!$AB$2:$AB$131,0)))</f>
        <v>chad</v>
      </c>
      <c r="O598">
        <f t="shared" si="111"/>
        <v>103.98</v>
      </c>
      <c r="P598">
        <f t="shared" si="112"/>
        <v>400.98380000000003</v>
      </c>
      <c r="Q598" s="3">
        <f t="shared" si="113"/>
        <v>0.41658401639793569</v>
      </c>
      <c r="R598" s="3">
        <f t="shared" si="114"/>
        <v>0.46156294144493898</v>
      </c>
      <c r="S598" s="9">
        <f t="shared" si="115"/>
        <v>4.4978925047003293E-2</v>
      </c>
      <c r="T598">
        <f t="shared" si="116"/>
        <v>121</v>
      </c>
      <c r="U598">
        <f t="shared" si="117"/>
        <v>71</v>
      </c>
      <c r="V598" s="3">
        <f t="shared" si="118"/>
        <v>1</v>
      </c>
      <c r="W598" s="9">
        <f t="shared" si="119"/>
        <v>0</v>
      </c>
      <c r="AC598"/>
    </row>
    <row r="599" spans="1:29" x14ac:dyDescent="0.25">
      <c r="A599" t="s">
        <v>151</v>
      </c>
      <c r="B599">
        <v>9</v>
      </c>
      <c r="C599" t="s">
        <v>947</v>
      </c>
      <c r="D599" t="s">
        <v>475</v>
      </c>
      <c r="E599">
        <v>13</v>
      </c>
      <c r="F599">
        <v>10.01</v>
      </c>
      <c r="G599">
        <v>28.302399999999999</v>
      </c>
      <c r="H599" t="s">
        <v>114</v>
      </c>
      <c r="I599" t="s">
        <v>114</v>
      </c>
      <c r="J599" t="s">
        <v>62</v>
      </c>
      <c r="K599">
        <f t="shared" si="108"/>
        <v>100.46000000000001</v>
      </c>
      <c r="L599">
        <f t="shared" si="109"/>
        <v>387.61320000000001</v>
      </c>
      <c r="M599" t="str">
        <f t="shared" si="110"/>
        <v>matty-9</v>
      </c>
      <c r="N599" t="str">
        <f>INDEX(Scores!$A$2:$A$11,INDEX(Scores!$AA$2:$AA$131,MATCH(C599,Scores!$AB$2:$AB$131,0)))</f>
        <v>matty</v>
      </c>
      <c r="O599">
        <f t="shared" si="111"/>
        <v>94.12</v>
      </c>
      <c r="P599">
        <f t="shared" si="112"/>
        <v>378.32429999999999</v>
      </c>
      <c r="Q599" s="3">
        <f t="shared" si="113"/>
        <v>0.59059774146693023</v>
      </c>
      <c r="R599" s="3">
        <f t="shared" si="114"/>
        <v>0.63439897790905542</v>
      </c>
      <c r="S599" s="9">
        <f t="shared" si="115"/>
        <v>4.3801236442125191E-2</v>
      </c>
      <c r="T599">
        <f t="shared" si="116"/>
        <v>129</v>
      </c>
      <c r="U599">
        <f t="shared" si="117"/>
        <v>68</v>
      </c>
      <c r="V599" s="3">
        <f t="shared" si="118"/>
        <v>1</v>
      </c>
      <c r="W599" s="9">
        <f t="shared" si="119"/>
        <v>0</v>
      </c>
      <c r="AC599"/>
    </row>
    <row r="600" spans="1:29" x14ac:dyDescent="0.25">
      <c r="A600" t="s">
        <v>123</v>
      </c>
      <c r="B600">
        <v>5</v>
      </c>
      <c r="C600" t="s">
        <v>887</v>
      </c>
      <c r="D600" t="s">
        <v>466</v>
      </c>
      <c r="E600">
        <v>11</v>
      </c>
      <c r="F600">
        <v>7.95</v>
      </c>
      <c r="G600">
        <v>30.0304</v>
      </c>
      <c r="H600" t="s">
        <v>466</v>
      </c>
      <c r="I600" t="s">
        <v>47</v>
      </c>
      <c r="J600" t="s">
        <v>27</v>
      </c>
      <c r="K600">
        <f t="shared" si="108"/>
        <v>98.17</v>
      </c>
      <c r="L600">
        <f t="shared" si="109"/>
        <v>359.81479999999999</v>
      </c>
      <c r="M600" t="str">
        <f t="shared" si="110"/>
        <v>chad-5</v>
      </c>
      <c r="N600" t="str">
        <f>INDEX(Scores!$A$2:$A$11,INDEX(Scores!$AA$2:$AA$131,MATCH(C600,Scores!$AB$2:$AB$131,0)))</f>
        <v>chad</v>
      </c>
      <c r="O600">
        <f t="shared" si="111"/>
        <v>103.98</v>
      </c>
      <c r="P600">
        <f t="shared" si="112"/>
        <v>400.98380000000003</v>
      </c>
      <c r="Q600" s="3">
        <f t="shared" si="113"/>
        <v>0.41658401639793569</v>
      </c>
      <c r="R600" s="3">
        <f t="shared" si="114"/>
        <v>0.4593392551165561</v>
      </c>
      <c r="S600" s="9">
        <f t="shared" si="115"/>
        <v>4.2755238718620414E-2</v>
      </c>
      <c r="T600">
        <f t="shared" si="116"/>
        <v>121</v>
      </c>
      <c r="U600">
        <f t="shared" si="117"/>
        <v>71</v>
      </c>
      <c r="V600" s="3">
        <f t="shared" si="118"/>
        <v>1</v>
      </c>
      <c r="W600" s="9">
        <f t="shared" si="119"/>
        <v>0</v>
      </c>
      <c r="AC600"/>
    </row>
    <row r="601" spans="1:29" x14ac:dyDescent="0.25">
      <c r="A601" t="s">
        <v>451</v>
      </c>
      <c r="B601">
        <v>2</v>
      </c>
      <c r="C601" t="s">
        <v>616</v>
      </c>
      <c r="D601" t="s">
        <v>478</v>
      </c>
      <c r="E601">
        <v>9</v>
      </c>
      <c r="F601">
        <v>5.89</v>
      </c>
      <c r="G601">
        <v>15.9201</v>
      </c>
      <c r="H601" t="s">
        <v>478</v>
      </c>
      <c r="I601" t="s">
        <v>478</v>
      </c>
      <c r="J601" t="s">
        <v>23</v>
      </c>
      <c r="K601">
        <f t="shared" si="108"/>
        <v>104.79999999999998</v>
      </c>
      <c r="L601">
        <f t="shared" si="109"/>
        <v>455.48199999999997</v>
      </c>
      <c r="M601" t="str">
        <f t="shared" si="110"/>
        <v>lucas-2</v>
      </c>
      <c r="N601" t="str">
        <f>INDEX(Scores!$A$2:$A$11,INDEX(Scores!$AA$2:$AA$131,MATCH(C601,Scores!$AB$2:$AB$131,0)))</f>
        <v>lucas</v>
      </c>
      <c r="O601">
        <f t="shared" si="111"/>
        <v>0</v>
      </c>
      <c r="P601">
        <f t="shared" si="112"/>
        <v>0</v>
      </c>
      <c r="Q601" s="3">
        <f t="shared" si="113"/>
        <v>0.99999954577661365</v>
      </c>
      <c r="R601" s="3">
        <f t="shared" si="114"/>
        <v>0.99999986763646787</v>
      </c>
      <c r="S601" s="9">
        <f t="shared" si="115"/>
        <v>3.2185985421318009E-7</v>
      </c>
      <c r="T601">
        <f t="shared" si="116"/>
        <v>102</v>
      </c>
      <c r="U601">
        <f t="shared" si="117"/>
        <v>0</v>
      </c>
      <c r="V601" s="3">
        <f t="shared" si="118"/>
        <v>1</v>
      </c>
      <c r="W601" s="9">
        <f t="shared" si="119"/>
        <v>0</v>
      </c>
      <c r="AC601"/>
    </row>
    <row r="602" spans="1:29" x14ac:dyDescent="0.25">
      <c r="A602" t="s">
        <v>121</v>
      </c>
      <c r="B602">
        <v>10</v>
      </c>
      <c r="C602" t="s">
        <v>940</v>
      </c>
      <c r="D602" t="s">
        <v>469</v>
      </c>
      <c r="E602">
        <v>11</v>
      </c>
      <c r="F602">
        <v>8.27</v>
      </c>
      <c r="G602">
        <v>26.625599999999999</v>
      </c>
      <c r="H602" t="s">
        <v>47</v>
      </c>
      <c r="I602" t="s">
        <v>47</v>
      </c>
      <c r="J602" t="s">
        <v>27</v>
      </c>
      <c r="K602">
        <f t="shared" si="108"/>
        <v>99.050000000000011</v>
      </c>
      <c r="L602">
        <f t="shared" si="109"/>
        <v>345.4212</v>
      </c>
      <c r="M602" t="str">
        <f t="shared" si="110"/>
        <v>scott-10</v>
      </c>
      <c r="N602" t="str">
        <f>INDEX(Scores!$A$2:$A$11,INDEX(Scores!$AA$2:$AA$131,MATCH(C602,Scores!$AB$2:$AB$131,0)))</f>
        <v>scott</v>
      </c>
      <c r="O602">
        <f t="shared" si="111"/>
        <v>101.17</v>
      </c>
      <c r="P602">
        <f t="shared" si="112"/>
        <v>351.19740000000002</v>
      </c>
      <c r="Q602" s="3">
        <f t="shared" si="113"/>
        <v>0.46799030012321852</v>
      </c>
      <c r="R602" s="3">
        <f t="shared" si="114"/>
        <v>0.50940079473472122</v>
      </c>
      <c r="S602" s="9">
        <f t="shared" si="115"/>
        <v>4.1410494611502702E-2</v>
      </c>
      <c r="T602">
        <f t="shared" si="116"/>
        <v>130</v>
      </c>
      <c r="U602">
        <f t="shared" si="117"/>
        <v>67</v>
      </c>
      <c r="V602" s="3">
        <f t="shared" si="118"/>
        <v>1</v>
      </c>
      <c r="W602" s="9">
        <f t="shared" si="119"/>
        <v>0</v>
      </c>
      <c r="AC602"/>
    </row>
    <row r="603" spans="1:29" x14ac:dyDescent="0.25">
      <c r="A603" t="s">
        <v>189</v>
      </c>
      <c r="B603">
        <v>12</v>
      </c>
      <c r="C603" t="s">
        <v>966</v>
      </c>
      <c r="D603" t="s">
        <v>475</v>
      </c>
      <c r="E603">
        <v>9</v>
      </c>
      <c r="F603">
        <v>6.07</v>
      </c>
      <c r="G603">
        <v>17.2225</v>
      </c>
      <c r="H603" t="s">
        <v>114</v>
      </c>
      <c r="I603" t="s">
        <v>114</v>
      </c>
      <c r="J603" t="s">
        <v>23</v>
      </c>
      <c r="K603">
        <f t="shared" si="108"/>
        <v>117.67999999999999</v>
      </c>
      <c r="L603">
        <f t="shared" si="109"/>
        <v>426.54240000000004</v>
      </c>
      <c r="M603" t="str">
        <f t="shared" si="110"/>
        <v>scott-12</v>
      </c>
      <c r="N603" t="str">
        <f>INDEX(Scores!$A$2:$A$11,INDEX(Scores!$AA$2:$AA$131,MATCH(C603,Scores!$AB$2:$AB$131,0)))</f>
        <v>scott</v>
      </c>
      <c r="O603">
        <f t="shared" si="111"/>
        <v>109.82</v>
      </c>
      <c r="P603">
        <f t="shared" si="112"/>
        <v>367.76499999999999</v>
      </c>
      <c r="Q603" s="3">
        <f t="shared" si="113"/>
        <v>0.60983422019767153</v>
      </c>
      <c r="R603" s="3">
        <f t="shared" si="114"/>
        <v>0.65064704710382504</v>
      </c>
      <c r="S603" s="9">
        <f t="shared" si="115"/>
        <v>4.081282690615351E-2</v>
      </c>
      <c r="T603">
        <f t="shared" si="116"/>
        <v>131</v>
      </c>
      <c r="U603">
        <f t="shared" si="117"/>
        <v>88</v>
      </c>
      <c r="V603" s="3">
        <f t="shared" si="118"/>
        <v>1</v>
      </c>
      <c r="W603" s="9">
        <f t="shared" si="119"/>
        <v>0</v>
      </c>
      <c r="AC603"/>
    </row>
    <row r="604" spans="1:29" x14ac:dyDescent="0.25">
      <c r="A604" t="s">
        <v>134</v>
      </c>
      <c r="B604">
        <v>2</v>
      </c>
      <c r="C604" t="s">
        <v>618</v>
      </c>
      <c r="D604" t="s">
        <v>466</v>
      </c>
      <c r="E604">
        <v>7</v>
      </c>
      <c r="F604">
        <v>4.24</v>
      </c>
      <c r="G604">
        <v>7.9523999999999999</v>
      </c>
      <c r="H604" t="s">
        <v>466</v>
      </c>
      <c r="I604" t="s">
        <v>87</v>
      </c>
      <c r="J604" t="s">
        <v>16</v>
      </c>
      <c r="K604">
        <f t="shared" si="108"/>
        <v>102.7</v>
      </c>
      <c r="L604">
        <f t="shared" si="109"/>
        <v>377.5104</v>
      </c>
      <c r="M604" t="str">
        <f t="shared" si="110"/>
        <v>comp-2</v>
      </c>
      <c r="N604" t="str">
        <f>INDEX(Scores!$A$2:$A$11,INDEX(Scores!$AA$2:$AA$131,MATCH(C604,Scores!$AB$2:$AB$131,0)))</f>
        <v>comp</v>
      </c>
      <c r="O604">
        <f t="shared" si="111"/>
        <v>103.61999999999999</v>
      </c>
      <c r="P604">
        <f t="shared" si="112"/>
        <v>357.30130000000003</v>
      </c>
      <c r="Q604" s="3">
        <f t="shared" si="113"/>
        <v>0.48646287329580978</v>
      </c>
      <c r="R604" s="3">
        <f t="shared" si="114"/>
        <v>0.52720606125113212</v>
      </c>
      <c r="S604" s="9">
        <f t="shared" si="115"/>
        <v>4.0743187955322335E-2</v>
      </c>
      <c r="T604">
        <f t="shared" si="116"/>
        <v>97</v>
      </c>
      <c r="U604">
        <f t="shared" si="117"/>
        <v>65</v>
      </c>
      <c r="V604" s="3">
        <f t="shared" si="118"/>
        <v>1</v>
      </c>
      <c r="W604" s="9">
        <f t="shared" si="119"/>
        <v>0</v>
      </c>
      <c r="AC604"/>
    </row>
    <row r="605" spans="1:29" x14ac:dyDescent="0.25">
      <c r="A605" t="s">
        <v>449</v>
      </c>
      <c r="B605">
        <v>12</v>
      </c>
      <c r="C605" t="s">
        <v>918</v>
      </c>
      <c r="D605" t="s">
        <v>478</v>
      </c>
      <c r="E605">
        <v>11</v>
      </c>
      <c r="F605">
        <v>8.33</v>
      </c>
      <c r="G605">
        <v>17.556100000000001</v>
      </c>
      <c r="H605" t="s">
        <v>478</v>
      </c>
      <c r="I605" t="s">
        <v>478</v>
      </c>
      <c r="J605" t="s">
        <v>16</v>
      </c>
      <c r="K605">
        <f t="shared" si="108"/>
        <v>101.87</v>
      </c>
      <c r="L605">
        <f t="shared" si="109"/>
        <v>405.26439999999997</v>
      </c>
      <c r="M605" t="str">
        <f t="shared" si="110"/>
        <v>lucas-12</v>
      </c>
      <c r="N605" t="str">
        <f>INDEX(Scores!$A$2:$A$11,INDEX(Scores!$AA$2:$AA$131,MATCH(C605,Scores!$AB$2:$AB$131,0)))</f>
        <v>lucas</v>
      </c>
      <c r="O605">
        <f t="shared" si="111"/>
        <v>0</v>
      </c>
      <c r="P605">
        <f t="shared" si="112"/>
        <v>0</v>
      </c>
      <c r="Q605" s="3">
        <f t="shared" si="113"/>
        <v>0.99999979071174128</v>
      </c>
      <c r="R605" s="3">
        <f t="shared" si="114"/>
        <v>0.99999994494944966</v>
      </c>
      <c r="S605" s="9">
        <f t="shared" si="115"/>
        <v>1.5423770838296491E-7</v>
      </c>
      <c r="T605">
        <f t="shared" si="116"/>
        <v>155</v>
      </c>
      <c r="U605">
        <f t="shared" si="117"/>
        <v>0</v>
      </c>
      <c r="V605" s="3">
        <f t="shared" si="118"/>
        <v>1</v>
      </c>
      <c r="W605" s="9">
        <f t="shared" si="119"/>
        <v>0</v>
      </c>
      <c r="AC605"/>
    </row>
    <row r="606" spans="1:29" x14ac:dyDescent="0.25">
      <c r="A606" t="s">
        <v>194</v>
      </c>
      <c r="B606">
        <v>11</v>
      </c>
      <c r="C606" t="s">
        <v>909</v>
      </c>
      <c r="D606" t="s">
        <v>473</v>
      </c>
      <c r="E606">
        <v>9</v>
      </c>
      <c r="F606">
        <v>6.53</v>
      </c>
      <c r="G606">
        <v>18.4041</v>
      </c>
      <c r="H606" t="s">
        <v>87</v>
      </c>
      <c r="I606" t="s">
        <v>87</v>
      </c>
      <c r="J606" t="s">
        <v>20</v>
      </c>
      <c r="K606">
        <f t="shared" si="108"/>
        <v>105.39999999999999</v>
      </c>
      <c r="L606">
        <f t="shared" si="109"/>
        <v>342.09739999999999</v>
      </c>
      <c r="M606" t="str">
        <f t="shared" si="110"/>
        <v>devon-11</v>
      </c>
      <c r="N606" t="str">
        <f>INDEX(Scores!$A$2:$A$11,INDEX(Scores!$AA$2:$AA$131,MATCH(C606,Scores!$AB$2:$AB$131,0)))</f>
        <v>devon</v>
      </c>
      <c r="O606">
        <f t="shared" si="111"/>
        <v>100.25</v>
      </c>
      <c r="P606">
        <f t="shared" si="112"/>
        <v>448.76889999999997</v>
      </c>
      <c r="Q606" s="3">
        <f t="shared" si="113"/>
        <v>0.57265136255925952</v>
      </c>
      <c r="R606" s="3">
        <f t="shared" si="114"/>
        <v>0.60802214105788077</v>
      </c>
      <c r="S606" s="9">
        <f t="shared" si="115"/>
        <v>3.5370778498621247E-2</v>
      </c>
      <c r="T606">
        <f t="shared" si="116"/>
        <v>124</v>
      </c>
      <c r="U606">
        <f t="shared" si="117"/>
        <v>78</v>
      </c>
      <c r="V606" s="3">
        <f t="shared" si="118"/>
        <v>1</v>
      </c>
      <c r="W606" s="9">
        <f t="shared" si="119"/>
        <v>0</v>
      </c>
      <c r="AC606"/>
    </row>
    <row r="607" spans="1:29" x14ac:dyDescent="0.25">
      <c r="A607" t="s">
        <v>53</v>
      </c>
      <c r="B607">
        <v>12</v>
      </c>
      <c r="C607" t="s">
        <v>918</v>
      </c>
      <c r="D607" t="s">
        <v>467</v>
      </c>
      <c r="E607">
        <v>23</v>
      </c>
      <c r="F607">
        <v>21.04</v>
      </c>
      <c r="G607">
        <v>42.640900000000002</v>
      </c>
      <c r="H607" t="s">
        <v>15</v>
      </c>
      <c r="I607" t="s">
        <v>15</v>
      </c>
      <c r="J607" t="s">
        <v>16</v>
      </c>
      <c r="K607">
        <f t="shared" si="108"/>
        <v>101.87</v>
      </c>
      <c r="L607">
        <f t="shared" si="109"/>
        <v>405.26439999999997</v>
      </c>
      <c r="M607" t="str">
        <f t="shared" si="110"/>
        <v>lucas-12</v>
      </c>
      <c r="N607" t="str">
        <f>INDEX(Scores!$A$2:$A$11,INDEX(Scores!$AA$2:$AA$131,MATCH(C607,Scores!$AB$2:$AB$131,0)))</f>
        <v>lucas</v>
      </c>
      <c r="O607">
        <f t="shared" si="111"/>
        <v>0</v>
      </c>
      <c r="P607">
        <f t="shared" si="112"/>
        <v>0</v>
      </c>
      <c r="Q607" s="3">
        <f t="shared" si="113"/>
        <v>0.99999979071174128</v>
      </c>
      <c r="R607" s="3">
        <f t="shared" si="114"/>
        <v>0.99999997516532324</v>
      </c>
      <c r="S607" s="9">
        <f t="shared" si="115"/>
        <v>1.8445358196395034E-7</v>
      </c>
      <c r="T607">
        <f t="shared" si="116"/>
        <v>155</v>
      </c>
      <c r="U607">
        <f t="shared" si="117"/>
        <v>0</v>
      </c>
      <c r="V607" s="3">
        <f t="shared" si="118"/>
        <v>1</v>
      </c>
      <c r="W607" s="9">
        <f t="shared" si="119"/>
        <v>0</v>
      </c>
      <c r="AC607"/>
    </row>
    <row r="608" spans="1:29" x14ac:dyDescent="0.25">
      <c r="A608" t="s">
        <v>462</v>
      </c>
      <c r="B608">
        <v>3</v>
      </c>
      <c r="C608" t="s">
        <v>810</v>
      </c>
      <c r="D608" t="s">
        <v>478</v>
      </c>
      <c r="E608">
        <v>9</v>
      </c>
      <c r="F608">
        <v>7</v>
      </c>
      <c r="G608">
        <v>13.69</v>
      </c>
      <c r="H608" t="s">
        <v>478</v>
      </c>
      <c r="I608" t="s">
        <v>478</v>
      </c>
      <c r="J608" t="s">
        <v>62</v>
      </c>
      <c r="K608">
        <f t="shared" si="108"/>
        <v>99.23</v>
      </c>
      <c r="L608">
        <f t="shared" si="109"/>
        <v>414.92009999999999</v>
      </c>
      <c r="M608" t="str">
        <f t="shared" si="110"/>
        <v>devon-3</v>
      </c>
      <c r="N608" t="str">
        <f>INDEX(Scores!$A$2:$A$11,INDEX(Scores!$AA$2:$AA$131,MATCH(C608,Scores!$AB$2:$AB$131,0)))</f>
        <v>devon</v>
      </c>
      <c r="O608">
        <f t="shared" si="111"/>
        <v>110.36</v>
      </c>
      <c r="P608">
        <f t="shared" si="112"/>
        <v>421.178</v>
      </c>
      <c r="Q608" s="3">
        <f t="shared" si="113"/>
        <v>0.35014963451184367</v>
      </c>
      <c r="R608" s="3">
        <f t="shared" si="114"/>
        <v>0.3751035496642805</v>
      </c>
      <c r="S608" s="9">
        <f t="shared" si="115"/>
        <v>2.4953915152436834E-2</v>
      </c>
      <c r="T608">
        <f t="shared" si="116"/>
        <v>123</v>
      </c>
      <c r="U608">
        <f t="shared" si="117"/>
        <v>63</v>
      </c>
      <c r="V608" s="3">
        <f t="shared" si="118"/>
        <v>1</v>
      </c>
      <c r="W608" s="9">
        <f t="shared" si="119"/>
        <v>0</v>
      </c>
      <c r="AC608"/>
    </row>
    <row r="609" spans="1:29" x14ac:dyDescent="0.25">
      <c r="A609" t="s">
        <v>122</v>
      </c>
      <c r="B609">
        <v>1</v>
      </c>
      <c r="C609" t="s">
        <v>504</v>
      </c>
      <c r="D609" t="s">
        <v>473</v>
      </c>
      <c r="E609">
        <v>10</v>
      </c>
      <c r="F609">
        <v>8.36</v>
      </c>
      <c r="G609">
        <v>21.622499999999999</v>
      </c>
      <c r="H609" t="s">
        <v>87</v>
      </c>
      <c r="I609" t="s">
        <v>87</v>
      </c>
      <c r="J609" t="s">
        <v>20</v>
      </c>
      <c r="K609">
        <f t="shared" si="108"/>
        <v>102.78</v>
      </c>
      <c r="L609">
        <f t="shared" si="109"/>
        <v>382.14119999999997</v>
      </c>
      <c r="M609" t="str">
        <f t="shared" si="110"/>
        <v>aj-1</v>
      </c>
      <c r="N609" t="str">
        <f>INDEX(Scores!$A$2:$A$11,INDEX(Scores!$AA$2:$AA$131,MATCH(C609,Scores!$AB$2:$AB$131,0)))</f>
        <v>aj</v>
      </c>
      <c r="O609">
        <f t="shared" si="111"/>
        <v>90.7</v>
      </c>
      <c r="P609">
        <f t="shared" si="112"/>
        <v>347.93650000000002</v>
      </c>
      <c r="Q609" s="3">
        <f t="shared" si="113"/>
        <v>0.67259029154080885</v>
      </c>
      <c r="R609" s="3">
        <f t="shared" si="114"/>
        <v>0.69688541415660177</v>
      </c>
      <c r="S609" s="9">
        <f t="shared" si="115"/>
        <v>2.4295122615792919E-2</v>
      </c>
      <c r="T609">
        <f t="shared" si="116"/>
        <v>120</v>
      </c>
      <c r="U609">
        <f t="shared" si="117"/>
        <v>71</v>
      </c>
      <c r="V609" s="3">
        <f t="shared" si="118"/>
        <v>1</v>
      </c>
      <c r="W609" s="9">
        <f t="shared" si="119"/>
        <v>0</v>
      </c>
      <c r="AC609"/>
    </row>
    <row r="610" spans="1:29" x14ac:dyDescent="0.25">
      <c r="A610" t="s">
        <v>126</v>
      </c>
      <c r="B610">
        <v>12</v>
      </c>
      <c r="C610" t="s">
        <v>918</v>
      </c>
      <c r="D610" t="s">
        <v>472</v>
      </c>
      <c r="E610">
        <v>11</v>
      </c>
      <c r="F610">
        <v>9.6300000000000008</v>
      </c>
      <c r="G610">
        <v>66.748900000000006</v>
      </c>
      <c r="H610" t="s">
        <v>87</v>
      </c>
      <c r="I610" t="s">
        <v>87</v>
      </c>
      <c r="J610" t="s">
        <v>16</v>
      </c>
      <c r="K610">
        <f t="shared" si="108"/>
        <v>101.87</v>
      </c>
      <c r="L610">
        <f t="shared" si="109"/>
        <v>405.26439999999997</v>
      </c>
      <c r="M610" t="str">
        <f t="shared" si="110"/>
        <v>lucas-12</v>
      </c>
      <c r="N610" t="str">
        <f>INDEX(Scores!$A$2:$A$11,INDEX(Scores!$AA$2:$AA$131,MATCH(C610,Scores!$AB$2:$AB$131,0)))</f>
        <v>lucas</v>
      </c>
      <c r="O610">
        <f t="shared" si="111"/>
        <v>0</v>
      </c>
      <c r="P610">
        <f t="shared" si="112"/>
        <v>0</v>
      </c>
      <c r="Q610" s="3">
        <f t="shared" si="113"/>
        <v>0.99999979071174128</v>
      </c>
      <c r="R610" s="3">
        <f t="shared" si="114"/>
        <v>0.9999999899558073</v>
      </c>
      <c r="S610" s="9">
        <f t="shared" si="115"/>
        <v>1.9924406602367384E-7</v>
      </c>
      <c r="T610">
        <f t="shared" si="116"/>
        <v>155</v>
      </c>
      <c r="U610">
        <f t="shared" si="117"/>
        <v>0</v>
      </c>
      <c r="V610" s="3">
        <f t="shared" si="118"/>
        <v>1</v>
      </c>
      <c r="W610" s="9">
        <f t="shared" si="119"/>
        <v>0</v>
      </c>
      <c r="AC610"/>
    </row>
    <row r="611" spans="1:29" x14ac:dyDescent="0.25">
      <c r="A611" t="s">
        <v>157</v>
      </c>
      <c r="B611">
        <v>2</v>
      </c>
      <c r="C611" t="s">
        <v>616</v>
      </c>
      <c r="D611" t="s">
        <v>466</v>
      </c>
      <c r="E611">
        <v>9</v>
      </c>
      <c r="F611">
        <v>8.18</v>
      </c>
      <c r="G611">
        <v>21.9024</v>
      </c>
      <c r="H611" t="s">
        <v>466</v>
      </c>
      <c r="I611" t="s">
        <v>87</v>
      </c>
      <c r="J611" t="s">
        <v>23</v>
      </c>
      <c r="K611">
        <f t="shared" si="108"/>
        <v>104.79999999999998</v>
      </c>
      <c r="L611">
        <f t="shared" si="109"/>
        <v>455.48199999999997</v>
      </c>
      <c r="M611" t="str">
        <f t="shared" si="110"/>
        <v>lucas-2</v>
      </c>
      <c r="N611" t="str">
        <f>INDEX(Scores!$A$2:$A$11,INDEX(Scores!$AA$2:$AA$131,MATCH(C611,Scores!$AB$2:$AB$131,0)))</f>
        <v>lucas</v>
      </c>
      <c r="O611">
        <f t="shared" si="111"/>
        <v>0</v>
      </c>
      <c r="P611">
        <f t="shared" si="112"/>
        <v>0</v>
      </c>
      <c r="Q611" s="3">
        <f t="shared" si="113"/>
        <v>0.99999954577661365</v>
      </c>
      <c r="R611" s="3">
        <f t="shared" si="114"/>
        <v>0.99999980356409668</v>
      </c>
      <c r="S611" s="9">
        <f t="shared" si="115"/>
        <v>2.5778748302673904E-7</v>
      </c>
      <c r="T611">
        <f t="shared" si="116"/>
        <v>102</v>
      </c>
      <c r="U611">
        <f t="shared" si="117"/>
        <v>0</v>
      </c>
      <c r="V611" s="3">
        <f t="shared" si="118"/>
        <v>1</v>
      </c>
      <c r="W611" s="9">
        <f t="shared" si="119"/>
        <v>0</v>
      </c>
      <c r="AC611"/>
    </row>
    <row r="612" spans="1:29" x14ac:dyDescent="0.25">
      <c r="A612" t="s">
        <v>453</v>
      </c>
      <c r="B612">
        <v>12</v>
      </c>
      <c r="C612" t="s">
        <v>966</v>
      </c>
      <c r="D612" t="s">
        <v>478</v>
      </c>
      <c r="E612">
        <v>9</v>
      </c>
      <c r="F612">
        <v>8.3000000000000007</v>
      </c>
      <c r="G612">
        <v>17.64</v>
      </c>
      <c r="H612" t="s">
        <v>478</v>
      </c>
      <c r="I612" t="s">
        <v>478</v>
      </c>
      <c r="J612" t="s">
        <v>23</v>
      </c>
      <c r="K612">
        <f t="shared" si="108"/>
        <v>117.67999999999999</v>
      </c>
      <c r="L612">
        <f t="shared" si="109"/>
        <v>426.54240000000004</v>
      </c>
      <c r="M612" t="str">
        <f t="shared" si="110"/>
        <v>scott-12</v>
      </c>
      <c r="N612" t="str">
        <f>INDEX(Scores!$A$2:$A$11,INDEX(Scores!$AA$2:$AA$131,MATCH(C612,Scores!$AB$2:$AB$131,0)))</f>
        <v>scott</v>
      </c>
      <c r="O612">
        <f t="shared" si="111"/>
        <v>109.82</v>
      </c>
      <c r="P612">
        <f t="shared" si="112"/>
        <v>367.76499999999999</v>
      </c>
      <c r="Q612" s="3">
        <f t="shared" si="113"/>
        <v>0.60983422019767153</v>
      </c>
      <c r="R612" s="3">
        <f t="shared" si="114"/>
        <v>0.62063693532771724</v>
      </c>
      <c r="S612" s="9">
        <f t="shared" si="115"/>
        <v>1.0802715130045715E-2</v>
      </c>
      <c r="T612">
        <f t="shared" si="116"/>
        <v>131</v>
      </c>
      <c r="U612">
        <f t="shared" si="117"/>
        <v>88</v>
      </c>
      <c r="V612" s="3">
        <f t="shared" si="118"/>
        <v>1</v>
      </c>
      <c r="W612" s="9">
        <f t="shared" si="119"/>
        <v>0</v>
      </c>
      <c r="AC612"/>
    </row>
    <row r="613" spans="1:29" x14ac:dyDescent="0.25">
      <c r="A613" t="s">
        <v>158</v>
      </c>
      <c r="B613">
        <v>13</v>
      </c>
      <c r="C613" t="s">
        <v>959</v>
      </c>
      <c r="D613" t="s">
        <v>468</v>
      </c>
      <c r="E613">
        <v>0</v>
      </c>
      <c r="F613">
        <v>0</v>
      </c>
      <c r="G613">
        <v>0</v>
      </c>
      <c r="H613" t="s">
        <v>47</v>
      </c>
      <c r="I613" t="s">
        <v>47</v>
      </c>
      <c r="J613" t="s">
        <v>40</v>
      </c>
      <c r="K613">
        <f t="shared" si="108"/>
        <v>75.67</v>
      </c>
      <c r="L613">
        <f t="shared" si="109"/>
        <v>278.80779999999999</v>
      </c>
      <c r="M613" t="e">
        <f t="shared" si="110"/>
        <v>#N/A</v>
      </c>
      <c r="N613" t="e">
        <f>INDEX(Scores!$A$2:$A$11,INDEX(Scores!$AA$2:$AA$131,MATCH(C613,Scores!$AB$2:$AB$131,0)))</f>
        <v>#N/A</v>
      </c>
      <c r="O613">
        <f t="shared" si="111"/>
        <v>0</v>
      </c>
      <c r="P613">
        <f t="shared" si="112"/>
        <v>0</v>
      </c>
      <c r="Q613" s="3">
        <f t="shared" si="113"/>
        <v>0.9999970759175304</v>
      </c>
      <c r="R613" s="3">
        <f t="shared" si="114"/>
        <v>0.9999970759175304</v>
      </c>
      <c r="S613" s="9">
        <f t="shared" si="115"/>
        <v>0</v>
      </c>
      <c r="T613">
        <f t="shared" si="116"/>
        <v>59</v>
      </c>
      <c r="U613">
        <f t="shared" si="117"/>
        <v>0</v>
      </c>
      <c r="V613" s="3" t="e">
        <f t="shared" si="118"/>
        <v>#NUM!</v>
      </c>
      <c r="W613" s="9">
        <f t="shared" si="119"/>
        <v>0</v>
      </c>
      <c r="AC613"/>
    </row>
    <row r="614" spans="1:29" x14ac:dyDescent="0.25">
      <c r="A614" t="s">
        <v>137</v>
      </c>
      <c r="B614">
        <v>9</v>
      </c>
      <c r="C614" t="s">
        <v>939</v>
      </c>
      <c r="D614" t="s">
        <v>472</v>
      </c>
      <c r="E614">
        <v>0</v>
      </c>
      <c r="F614">
        <v>0</v>
      </c>
      <c r="G614">
        <v>0</v>
      </c>
      <c r="H614" t="s">
        <v>87</v>
      </c>
      <c r="I614" t="s">
        <v>87</v>
      </c>
      <c r="J614" t="s">
        <v>27</v>
      </c>
      <c r="K614">
        <f t="shared" si="108"/>
        <v>80.800000000000011</v>
      </c>
      <c r="L614">
        <f t="shared" si="109"/>
        <v>290.44450000000001</v>
      </c>
      <c r="M614" t="str">
        <f t="shared" si="110"/>
        <v>seth-9</v>
      </c>
      <c r="N614" t="str">
        <f>INDEX(Scores!$A$2:$A$11,INDEX(Scores!$AA$2:$AA$131,MATCH(C614,Scores!$AB$2:$AB$131,0)))</f>
        <v>seth</v>
      </c>
      <c r="O614">
        <f t="shared" si="111"/>
        <v>92.559999999999988</v>
      </c>
      <c r="P614">
        <f t="shared" si="112"/>
        <v>350.31569999999999</v>
      </c>
      <c r="Q614" s="3">
        <f t="shared" si="113"/>
        <v>0.32111649346340621</v>
      </c>
      <c r="R614" s="3">
        <f t="shared" si="114"/>
        <v>0.32111649346340621</v>
      </c>
      <c r="S614" s="9">
        <f t="shared" si="115"/>
        <v>0</v>
      </c>
      <c r="T614">
        <f t="shared" si="116"/>
        <v>77</v>
      </c>
      <c r="U614">
        <f t="shared" si="117"/>
        <v>95</v>
      </c>
      <c r="V614" s="3" t="e">
        <f t="shared" si="118"/>
        <v>#NUM!</v>
      </c>
      <c r="W614" s="9">
        <f t="shared" si="119"/>
        <v>0</v>
      </c>
      <c r="AC614"/>
    </row>
    <row r="615" spans="1:29" x14ac:dyDescent="0.25">
      <c r="A615" t="s">
        <v>150</v>
      </c>
      <c r="B615">
        <v>9</v>
      </c>
      <c r="C615" t="s">
        <v>907</v>
      </c>
      <c r="D615" t="s">
        <v>471</v>
      </c>
      <c r="E615">
        <v>0</v>
      </c>
      <c r="F615">
        <v>0</v>
      </c>
      <c r="G615">
        <v>0</v>
      </c>
      <c r="H615" t="s">
        <v>87</v>
      </c>
      <c r="I615" t="s">
        <v>87</v>
      </c>
      <c r="J615" t="s">
        <v>20</v>
      </c>
      <c r="K615">
        <f t="shared" si="108"/>
        <v>83.52</v>
      </c>
      <c r="L615">
        <f t="shared" si="109"/>
        <v>286.42129999999997</v>
      </c>
      <c r="M615" t="str">
        <f t="shared" si="110"/>
        <v>lucas-9</v>
      </c>
      <c r="N615" t="str">
        <f>INDEX(Scores!$A$2:$A$11,INDEX(Scores!$AA$2:$AA$131,MATCH(C615,Scores!$AB$2:$AB$131,0)))</f>
        <v>lucas</v>
      </c>
      <c r="O615">
        <f t="shared" si="111"/>
        <v>0</v>
      </c>
      <c r="P615">
        <f t="shared" si="112"/>
        <v>0</v>
      </c>
      <c r="Q615" s="3">
        <f t="shared" si="113"/>
        <v>0.9999995992619003</v>
      </c>
      <c r="R615" s="3">
        <f t="shared" si="114"/>
        <v>0.9999995992619003</v>
      </c>
      <c r="S615" s="9">
        <f t="shared" si="115"/>
        <v>0</v>
      </c>
      <c r="T615">
        <f t="shared" si="116"/>
        <v>89</v>
      </c>
      <c r="U615">
        <f t="shared" si="117"/>
        <v>0</v>
      </c>
      <c r="V615" s="3" t="e">
        <f t="shared" si="118"/>
        <v>#NUM!</v>
      </c>
      <c r="W615" s="9">
        <f t="shared" si="119"/>
        <v>0</v>
      </c>
      <c r="AC615"/>
    </row>
    <row r="616" spans="1:29" x14ac:dyDescent="0.25">
      <c r="A616" t="s">
        <v>1198</v>
      </c>
      <c r="B616">
        <v>11</v>
      </c>
      <c r="C616" t="s">
        <v>973</v>
      </c>
      <c r="D616" t="s">
        <v>473</v>
      </c>
      <c r="E616">
        <v>0</v>
      </c>
      <c r="F616">
        <v>0</v>
      </c>
      <c r="G616">
        <v>0</v>
      </c>
      <c r="H616" t="s">
        <v>87</v>
      </c>
      <c r="I616" t="s">
        <v>87</v>
      </c>
      <c r="J616" t="s">
        <v>49</v>
      </c>
      <c r="K616">
        <f t="shared" si="108"/>
        <v>88.670000000000016</v>
      </c>
      <c r="L616">
        <f t="shared" si="109"/>
        <v>334.39179999999999</v>
      </c>
      <c r="M616" t="str">
        <f t="shared" si="110"/>
        <v>comp-11</v>
      </c>
      <c r="N616" t="str">
        <f>INDEX(Scores!$A$2:$A$11,INDEX(Scores!$AA$2:$AA$131,MATCH(C616,Scores!$AB$2:$AB$131,0)))</f>
        <v>comp</v>
      </c>
      <c r="O616">
        <f t="shared" si="111"/>
        <v>98.580000000000013</v>
      </c>
      <c r="P616">
        <f t="shared" si="112"/>
        <v>364.4375</v>
      </c>
      <c r="Q616" s="3">
        <f t="shared" si="113"/>
        <v>0.35387619533584119</v>
      </c>
      <c r="R616" s="3">
        <f t="shared" si="114"/>
        <v>0.35387619533584119</v>
      </c>
      <c r="S616" s="9">
        <f t="shared" si="115"/>
        <v>0</v>
      </c>
      <c r="T616">
        <f t="shared" si="116"/>
        <v>102</v>
      </c>
      <c r="U616">
        <f t="shared" si="117"/>
        <v>111</v>
      </c>
      <c r="V616" s="3" t="e">
        <f t="shared" si="118"/>
        <v>#NUM!</v>
      </c>
      <c r="W616" s="9">
        <f t="shared" si="119"/>
        <v>0</v>
      </c>
      <c r="AC616"/>
    </row>
    <row r="617" spans="1:29" x14ac:dyDescent="0.25">
      <c r="A617" t="s">
        <v>175</v>
      </c>
      <c r="B617">
        <v>9</v>
      </c>
      <c r="C617" t="s">
        <v>947</v>
      </c>
      <c r="D617" t="s">
        <v>471</v>
      </c>
      <c r="E617">
        <v>7</v>
      </c>
      <c r="F617">
        <v>7.2</v>
      </c>
      <c r="G617">
        <v>41.2164</v>
      </c>
      <c r="H617" t="s">
        <v>87</v>
      </c>
      <c r="I617" t="s">
        <v>87</v>
      </c>
      <c r="J617" t="s">
        <v>62</v>
      </c>
      <c r="K617">
        <f t="shared" si="108"/>
        <v>100.46000000000001</v>
      </c>
      <c r="L617">
        <f t="shared" si="109"/>
        <v>387.61320000000001</v>
      </c>
      <c r="M617" t="str">
        <f t="shared" si="110"/>
        <v>matty-9</v>
      </c>
      <c r="N617" t="str">
        <f>INDEX(Scores!$A$2:$A$11,INDEX(Scores!$AA$2:$AA$131,MATCH(C617,Scores!$AB$2:$AB$131,0)))</f>
        <v>matty</v>
      </c>
      <c r="O617">
        <f t="shared" si="111"/>
        <v>94.12</v>
      </c>
      <c r="P617">
        <f t="shared" si="112"/>
        <v>378.32429999999999</v>
      </c>
      <c r="Q617" s="3">
        <f t="shared" si="113"/>
        <v>0.59059774146693023</v>
      </c>
      <c r="R617" s="3">
        <f t="shared" si="114"/>
        <v>0.59020710104819241</v>
      </c>
      <c r="S617" s="9">
        <f t="shared" si="115"/>
        <v>-3.9064041873781985E-4</v>
      </c>
      <c r="T617">
        <f t="shared" si="116"/>
        <v>129</v>
      </c>
      <c r="U617">
        <f t="shared" si="117"/>
        <v>68</v>
      </c>
      <c r="V617" s="3">
        <f t="shared" si="118"/>
        <v>1</v>
      </c>
      <c r="W617" s="9">
        <f t="shared" si="119"/>
        <v>0</v>
      </c>
      <c r="AC617"/>
    </row>
    <row r="618" spans="1:29" x14ac:dyDescent="0.25">
      <c r="A618" t="s">
        <v>120</v>
      </c>
      <c r="B618">
        <v>10</v>
      </c>
      <c r="C618" t="s">
        <v>940</v>
      </c>
      <c r="D618" t="s">
        <v>472</v>
      </c>
      <c r="E618">
        <v>11</v>
      </c>
      <c r="F618">
        <v>11.32</v>
      </c>
      <c r="G618">
        <v>53.144100000000002</v>
      </c>
      <c r="H618" t="s">
        <v>87</v>
      </c>
      <c r="I618" t="s">
        <v>87</v>
      </c>
      <c r="J618" t="s">
        <v>27</v>
      </c>
      <c r="K618">
        <f t="shared" si="108"/>
        <v>99.050000000000011</v>
      </c>
      <c r="L618">
        <f t="shared" si="109"/>
        <v>345.4212</v>
      </c>
      <c r="M618" t="str">
        <f t="shared" si="110"/>
        <v>scott-10</v>
      </c>
      <c r="N618" t="str">
        <f>INDEX(Scores!$A$2:$A$11,INDEX(Scores!$AA$2:$AA$131,MATCH(C618,Scores!$AB$2:$AB$131,0)))</f>
        <v>scott</v>
      </c>
      <c r="O618">
        <f t="shared" si="111"/>
        <v>101.17</v>
      </c>
      <c r="P618">
        <f t="shared" si="112"/>
        <v>351.19740000000002</v>
      </c>
      <c r="Q618" s="3">
        <f t="shared" si="113"/>
        <v>0.46799030012321852</v>
      </c>
      <c r="R618" s="3">
        <f t="shared" si="114"/>
        <v>0.46168534380326243</v>
      </c>
      <c r="S618" s="9">
        <f t="shared" si="115"/>
        <v>-6.3049563199560898E-3</v>
      </c>
      <c r="T618">
        <f t="shared" si="116"/>
        <v>130</v>
      </c>
      <c r="U618">
        <f t="shared" si="117"/>
        <v>67</v>
      </c>
      <c r="V618" s="3">
        <f t="shared" si="118"/>
        <v>1</v>
      </c>
      <c r="W618" s="9">
        <f t="shared" si="119"/>
        <v>0</v>
      </c>
      <c r="AC618"/>
    </row>
    <row r="619" spans="1:29" x14ac:dyDescent="0.25">
      <c r="A619" t="s">
        <v>444</v>
      </c>
      <c r="B619">
        <v>1</v>
      </c>
      <c r="C619" t="s">
        <v>504</v>
      </c>
      <c r="D619" t="s">
        <v>478</v>
      </c>
      <c r="E619">
        <v>6</v>
      </c>
      <c r="F619">
        <v>6.83</v>
      </c>
      <c r="G619">
        <v>14.976900000000001</v>
      </c>
      <c r="H619" t="s">
        <v>478</v>
      </c>
      <c r="I619" t="s">
        <v>478</v>
      </c>
      <c r="J619" t="s">
        <v>20</v>
      </c>
      <c r="K619">
        <f t="shared" si="108"/>
        <v>102.78</v>
      </c>
      <c r="L619">
        <f t="shared" si="109"/>
        <v>382.14119999999997</v>
      </c>
      <c r="M619" t="str">
        <f t="shared" si="110"/>
        <v>aj-1</v>
      </c>
      <c r="N619" t="str">
        <f>INDEX(Scores!$A$2:$A$11,INDEX(Scores!$AA$2:$AA$131,MATCH(C619,Scores!$AB$2:$AB$131,0)))</f>
        <v>aj</v>
      </c>
      <c r="O619">
        <f t="shared" si="111"/>
        <v>90.7</v>
      </c>
      <c r="P619">
        <f t="shared" si="112"/>
        <v>347.93650000000002</v>
      </c>
      <c r="Q619" s="3">
        <f t="shared" si="113"/>
        <v>0.67259029154080885</v>
      </c>
      <c r="R619" s="3">
        <f t="shared" si="114"/>
        <v>0.66301163840299593</v>
      </c>
      <c r="S619" s="9">
        <f t="shared" si="115"/>
        <v>-9.5786531378129203E-3</v>
      </c>
      <c r="T619">
        <f t="shared" si="116"/>
        <v>120</v>
      </c>
      <c r="U619">
        <f t="shared" si="117"/>
        <v>71</v>
      </c>
      <c r="V619" s="3">
        <f t="shared" si="118"/>
        <v>1</v>
      </c>
      <c r="W619" s="9">
        <f t="shared" si="119"/>
        <v>0</v>
      </c>
      <c r="AC619"/>
    </row>
    <row r="620" spans="1:29" x14ac:dyDescent="0.25">
      <c r="A620" t="s">
        <v>156</v>
      </c>
      <c r="B620">
        <v>11</v>
      </c>
      <c r="C620" t="s">
        <v>965</v>
      </c>
      <c r="D620" t="s">
        <v>466</v>
      </c>
      <c r="E620">
        <v>3</v>
      </c>
      <c r="F620">
        <v>3.76</v>
      </c>
      <c r="G620">
        <v>9.1808999999999994</v>
      </c>
      <c r="H620" t="s">
        <v>466</v>
      </c>
      <c r="I620" t="s">
        <v>87</v>
      </c>
      <c r="J620" t="s">
        <v>23</v>
      </c>
      <c r="K620">
        <f t="shared" si="108"/>
        <v>104.20000000000002</v>
      </c>
      <c r="L620">
        <f t="shared" si="109"/>
        <v>377.06489999999997</v>
      </c>
      <c r="M620" t="str">
        <f t="shared" si="110"/>
        <v>lucas-11</v>
      </c>
      <c r="N620" t="str">
        <f>INDEX(Scores!$A$2:$A$11,INDEX(Scores!$AA$2:$AA$131,MATCH(C620,Scores!$AB$2:$AB$131,0)))</f>
        <v>lucas</v>
      </c>
      <c r="O620">
        <f t="shared" si="111"/>
        <v>0</v>
      </c>
      <c r="P620">
        <f t="shared" si="112"/>
        <v>0</v>
      </c>
      <c r="Q620" s="3">
        <f t="shared" si="113"/>
        <v>0.99999995977381673</v>
      </c>
      <c r="R620" s="3">
        <f t="shared" si="114"/>
        <v>0.99999996536085045</v>
      </c>
      <c r="S620" s="9">
        <f t="shared" si="115"/>
        <v>5.5870337245522705E-9</v>
      </c>
      <c r="T620">
        <f t="shared" si="116"/>
        <v>85</v>
      </c>
      <c r="U620">
        <f t="shared" si="117"/>
        <v>0</v>
      </c>
      <c r="V620" s="3">
        <f t="shared" si="118"/>
        <v>1</v>
      </c>
      <c r="W620" s="9">
        <f t="shared" si="119"/>
        <v>0</v>
      </c>
      <c r="AC620"/>
    </row>
    <row r="621" spans="1:29" x14ac:dyDescent="0.25">
      <c r="A621" t="s">
        <v>99</v>
      </c>
      <c r="B621">
        <v>12</v>
      </c>
      <c r="C621" t="s">
        <v>918</v>
      </c>
      <c r="D621" t="s">
        <v>468</v>
      </c>
      <c r="E621">
        <v>11</v>
      </c>
      <c r="F621">
        <v>11.96</v>
      </c>
      <c r="G621">
        <v>42.120100000000001</v>
      </c>
      <c r="H621" t="s">
        <v>47</v>
      </c>
      <c r="I621" t="s">
        <v>47</v>
      </c>
      <c r="J621" t="s">
        <v>16</v>
      </c>
      <c r="K621">
        <f t="shared" si="108"/>
        <v>101.87</v>
      </c>
      <c r="L621">
        <f t="shared" si="109"/>
        <v>405.26439999999997</v>
      </c>
      <c r="M621" t="str">
        <f t="shared" si="110"/>
        <v>lucas-12</v>
      </c>
      <c r="N621" t="str">
        <f>INDEX(Scores!$A$2:$A$11,INDEX(Scores!$AA$2:$AA$131,MATCH(C621,Scores!$AB$2:$AB$131,0)))</f>
        <v>lucas</v>
      </c>
      <c r="O621">
        <f t="shared" si="111"/>
        <v>0</v>
      </c>
      <c r="P621">
        <f t="shared" si="112"/>
        <v>0</v>
      </c>
      <c r="Q621" s="3">
        <f t="shared" si="113"/>
        <v>0.99999979071174128</v>
      </c>
      <c r="R621" s="3">
        <f t="shared" si="114"/>
        <v>0.99999994060534825</v>
      </c>
      <c r="S621" s="9">
        <f t="shared" si="115"/>
        <v>1.4989360697104104E-7</v>
      </c>
      <c r="T621">
        <f t="shared" si="116"/>
        <v>155</v>
      </c>
      <c r="U621">
        <f t="shared" si="117"/>
        <v>0</v>
      </c>
      <c r="V621" s="3">
        <f t="shared" si="118"/>
        <v>1</v>
      </c>
      <c r="W621" s="9">
        <f t="shared" si="119"/>
        <v>0</v>
      </c>
      <c r="AC621"/>
    </row>
    <row r="622" spans="1:29" x14ac:dyDescent="0.25">
      <c r="A622" t="s">
        <v>153</v>
      </c>
      <c r="B622">
        <v>12</v>
      </c>
      <c r="C622" t="s">
        <v>942</v>
      </c>
      <c r="D622" t="s">
        <v>473</v>
      </c>
      <c r="E622">
        <v>2</v>
      </c>
      <c r="F622">
        <v>2.92</v>
      </c>
      <c r="G622">
        <v>4.3263999999999996</v>
      </c>
      <c r="H622" t="s">
        <v>87</v>
      </c>
      <c r="I622" t="s">
        <v>87</v>
      </c>
      <c r="J622" t="s">
        <v>27</v>
      </c>
      <c r="K622">
        <f t="shared" si="108"/>
        <v>98.639999999999986</v>
      </c>
      <c r="L622">
        <f t="shared" si="109"/>
        <v>309.06870000000004</v>
      </c>
      <c r="M622" t="str">
        <f t="shared" si="110"/>
        <v>aj-12</v>
      </c>
      <c r="N622" t="str">
        <f>INDEX(Scores!$A$2:$A$11,INDEX(Scores!$AA$2:$AA$131,MATCH(C622,Scores!$AB$2:$AB$131,0)))</f>
        <v>aj</v>
      </c>
      <c r="O622">
        <f t="shared" si="111"/>
        <v>111.09</v>
      </c>
      <c r="P622">
        <f t="shared" si="112"/>
        <v>408.5095</v>
      </c>
      <c r="Q622" s="3">
        <f t="shared" si="113"/>
        <v>0.32104937221741592</v>
      </c>
      <c r="R622" s="3">
        <f t="shared" si="114"/>
        <v>0.30831857266318785</v>
      </c>
      <c r="S622" s="9">
        <f t="shared" si="115"/>
        <v>-1.2730799554228067E-2</v>
      </c>
      <c r="T622">
        <f t="shared" si="116"/>
        <v>125</v>
      </c>
      <c r="U622">
        <f t="shared" si="117"/>
        <v>84</v>
      </c>
      <c r="V622" s="3">
        <f t="shared" si="118"/>
        <v>1</v>
      </c>
      <c r="W622" s="9">
        <f t="shared" si="119"/>
        <v>0</v>
      </c>
      <c r="AC622"/>
    </row>
    <row r="623" spans="1:29" x14ac:dyDescent="0.25">
      <c r="A623" t="s">
        <v>217</v>
      </c>
      <c r="B623">
        <v>11</v>
      </c>
      <c r="C623" t="s">
        <v>909</v>
      </c>
      <c r="D623" t="s">
        <v>475</v>
      </c>
      <c r="E623">
        <v>2</v>
      </c>
      <c r="F623">
        <v>3.34</v>
      </c>
      <c r="G623">
        <v>13.542400000000001</v>
      </c>
      <c r="H623" t="s">
        <v>114</v>
      </c>
      <c r="I623" t="s">
        <v>114</v>
      </c>
      <c r="J623" t="s">
        <v>20</v>
      </c>
      <c r="K623">
        <f t="shared" si="108"/>
        <v>105.39999999999999</v>
      </c>
      <c r="L623">
        <f t="shared" si="109"/>
        <v>342.09739999999999</v>
      </c>
      <c r="M623" t="str">
        <f t="shared" si="110"/>
        <v>devon-11</v>
      </c>
      <c r="N623" t="str">
        <f>INDEX(Scores!$A$2:$A$11,INDEX(Scores!$AA$2:$AA$131,MATCH(C623,Scores!$AB$2:$AB$131,0)))</f>
        <v>devon</v>
      </c>
      <c r="O623">
        <f t="shared" si="111"/>
        <v>100.25</v>
      </c>
      <c r="P623">
        <f t="shared" si="112"/>
        <v>448.76889999999997</v>
      </c>
      <c r="Q623" s="3">
        <f t="shared" si="113"/>
        <v>0.57265136255925952</v>
      </c>
      <c r="R623" s="3">
        <f t="shared" si="114"/>
        <v>0.55434805556291744</v>
      </c>
      <c r="S623" s="9">
        <f t="shared" si="115"/>
        <v>-1.8303306996342084E-2</v>
      </c>
      <c r="T623">
        <f t="shared" si="116"/>
        <v>124</v>
      </c>
      <c r="U623">
        <f t="shared" si="117"/>
        <v>78</v>
      </c>
      <c r="V623" s="3">
        <f t="shared" si="118"/>
        <v>1</v>
      </c>
      <c r="W623" s="9">
        <f t="shared" si="119"/>
        <v>0</v>
      </c>
      <c r="AC623"/>
    </row>
    <row r="624" spans="1:29" x14ac:dyDescent="0.25">
      <c r="A624" t="s">
        <v>450</v>
      </c>
      <c r="B624">
        <v>5</v>
      </c>
      <c r="C624" t="s">
        <v>887</v>
      </c>
      <c r="D624" t="s">
        <v>478</v>
      </c>
      <c r="E624">
        <v>6</v>
      </c>
      <c r="F624">
        <v>7.29</v>
      </c>
      <c r="G624">
        <v>23.328900000000001</v>
      </c>
      <c r="H624" t="s">
        <v>478</v>
      </c>
      <c r="I624" t="s">
        <v>478</v>
      </c>
      <c r="J624" t="s">
        <v>27</v>
      </c>
      <c r="K624">
        <f t="shared" si="108"/>
        <v>98.17</v>
      </c>
      <c r="L624">
        <f t="shared" si="109"/>
        <v>359.81479999999999</v>
      </c>
      <c r="M624" t="str">
        <f t="shared" si="110"/>
        <v>chad-5</v>
      </c>
      <c r="N624" t="str">
        <f>INDEX(Scores!$A$2:$A$11,INDEX(Scores!$AA$2:$AA$131,MATCH(C624,Scores!$AB$2:$AB$131,0)))</f>
        <v>chad</v>
      </c>
      <c r="O624">
        <f t="shared" si="111"/>
        <v>103.98</v>
      </c>
      <c r="P624">
        <f t="shared" si="112"/>
        <v>400.98380000000003</v>
      </c>
      <c r="Q624" s="3">
        <f t="shared" si="113"/>
        <v>0.41658401639793569</v>
      </c>
      <c r="R624" s="3">
        <f t="shared" si="114"/>
        <v>0.39687330579529678</v>
      </c>
      <c r="S624" s="9">
        <f t="shared" si="115"/>
        <v>-1.9710710602638903E-2</v>
      </c>
      <c r="T624">
        <f t="shared" si="116"/>
        <v>121</v>
      </c>
      <c r="U624">
        <f t="shared" si="117"/>
        <v>71</v>
      </c>
      <c r="V624" s="3">
        <f t="shared" si="118"/>
        <v>1</v>
      </c>
      <c r="W624" s="9">
        <f t="shared" si="119"/>
        <v>0</v>
      </c>
      <c r="AC624"/>
    </row>
    <row r="625" spans="1:29" x14ac:dyDescent="0.25">
      <c r="A625" t="s">
        <v>183</v>
      </c>
      <c r="B625">
        <v>6</v>
      </c>
      <c r="C625" t="s">
        <v>976</v>
      </c>
      <c r="D625" t="s">
        <v>466</v>
      </c>
      <c r="E625">
        <v>4</v>
      </c>
      <c r="F625">
        <v>6.82</v>
      </c>
      <c r="G625">
        <v>9.9224999999999994</v>
      </c>
      <c r="H625" t="s">
        <v>466</v>
      </c>
      <c r="I625" t="s">
        <v>47</v>
      </c>
      <c r="J625" t="s">
        <v>44</v>
      </c>
      <c r="K625">
        <f t="shared" si="108"/>
        <v>90.009999999999991</v>
      </c>
      <c r="L625">
        <f t="shared" si="109"/>
        <v>295.93350000000004</v>
      </c>
      <c r="M625" t="str">
        <f t="shared" si="110"/>
        <v>scott-6</v>
      </c>
      <c r="N625" t="str">
        <f>INDEX(Scores!$A$2:$A$11,INDEX(Scores!$AA$2:$AA$131,MATCH(C625,Scores!$AB$2:$AB$131,0)))</f>
        <v>scott</v>
      </c>
      <c r="O625">
        <f t="shared" si="111"/>
        <v>110.30999999999999</v>
      </c>
      <c r="P625">
        <f t="shared" si="112"/>
        <v>388.52729999999997</v>
      </c>
      <c r="Q625" s="3">
        <f t="shared" si="113"/>
        <v>0.21889557883251567</v>
      </c>
      <c r="R625" s="3">
        <f t="shared" si="114"/>
        <v>0.18668093989332382</v>
      </c>
      <c r="S625" s="9">
        <f t="shared" si="115"/>
        <v>-3.2214638939191853E-2</v>
      </c>
      <c r="T625">
        <f t="shared" si="116"/>
        <v>130</v>
      </c>
      <c r="U625">
        <f t="shared" si="117"/>
        <v>96</v>
      </c>
      <c r="V625" s="3">
        <f t="shared" si="118"/>
        <v>1</v>
      </c>
      <c r="W625" s="9">
        <f t="shared" si="119"/>
        <v>0</v>
      </c>
      <c r="AC625"/>
    </row>
    <row r="626" spans="1:29" x14ac:dyDescent="0.25">
      <c r="A626" t="s">
        <v>123</v>
      </c>
      <c r="B626">
        <v>10</v>
      </c>
      <c r="C626" t="s">
        <v>940</v>
      </c>
      <c r="D626" t="s">
        <v>468</v>
      </c>
      <c r="E626">
        <v>9</v>
      </c>
      <c r="F626">
        <v>11.14</v>
      </c>
      <c r="G626">
        <v>45.024099999999997</v>
      </c>
      <c r="H626" t="s">
        <v>47</v>
      </c>
      <c r="I626" t="s">
        <v>47</v>
      </c>
      <c r="J626" t="s">
        <v>27</v>
      </c>
      <c r="K626">
        <f t="shared" si="108"/>
        <v>99.050000000000011</v>
      </c>
      <c r="L626">
        <f t="shared" si="109"/>
        <v>345.4212</v>
      </c>
      <c r="M626" t="str">
        <f t="shared" si="110"/>
        <v>scott-10</v>
      </c>
      <c r="N626" t="str">
        <f>INDEX(Scores!$A$2:$A$11,INDEX(Scores!$AA$2:$AA$131,MATCH(C626,Scores!$AB$2:$AB$131,0)))</f>
        <v>scott</v>
      </c>
      <c r="O626">
        <f t="shared" si="111"/>
        <v>101.17</v>
      </c>
      <c r="P626">
        <f t="shared" si="112"/>
        <v>351.19740000000002</v>
      </c>
      <c r="Q626" s="3">
        <f t="shared" si="113"/>
        <v>0.46799030012321852</v>
      </c>
      <c r="R626" s="3">
        <f t="shared" si="114"/>
        <v>0.43372972503993401</v>
      </c>
      <c r="S626" s="9">
        <f t="shared" si="115"/>
        <v>-3.4260575083284506E-2</v>
      </c>
      <c r="T626">
        <f t="shared" si="116"/>
        <v>130</v>
      </c>
      <c r="U626">
        <f t="shared" si="117"/>
        <v>67</v>
      </c>
      <c r="V626" s="3">
        <f t="shared" si="118"/>
        <v>1</v>
      </c>
      <c r="W626" s="9">
        <f t="shared" si="119"/>
        <v>0</v>
      </c>
      <c r="AC626"/>
    </row>
    <row r="627" spans="1:29" x14ac:dyDescent="0.25">
      <c r="A627" t="s">
        <v>413</v>
      </c>
      <c r="B627">
        <v>13</v>
      </c>
      <c r="C627" t="s">
        <v>983</v>
      </c>
      <c r="D627" t="s">
        <v>477</v>
      </c>
      <c r="E627">
        <v>0</v>
      </c>
      <c r="F627">
        <v>3.08</v>
      </c>
      <c r="G627">
        <v>23.619599999999998</v>
      </c>
      <c r="H627" t="s">
        <v>477</v>
      </c>
      <c r="I627" t="s">
        <v>477</v>
      </c>
      <c r="J627" t="s">
        <v>44</v>
      </c>
      <c r="K627">
        <f t="shared" si="108"/>
        <v>93.77000000000001</v>
      </c>
      <c r="L627">
        <f t="shared" si="109"/>
        <v>387.786</v>
      </c>
      <c r="M627" t="str">
        <f t="shared" si="110"/>
        <v>lucas-13</v>
      </c>
      <c r="N627" t="str">
        <f>INDEX(Scores!$A$2:$A$11,INDEX(Scores!$AA$2:$AA$131,MATCH(C627,Scores!$AB$2:$AB$131,0)))</f>
        <v>lucas</v>
      </c>
      <c r="O627">
        <f t="shared" si="111"/>
        <v>0</v>
      </c>
      <c r="P627">
        <f t="shared" si="112"/>
        <v>0</v>
      </c>
      <c r="Q627" s="3">
        <f t="shared" si="113"/>
        <v>0.9999990404590926</v>
      </c>
      <c r="R627" s="3">
        <f t="shared" si="114"/>
        <v>0.9999989947273743</v>
      </c>
      <c r="S627" s="9">
        <f t="shared" si="115"/>
        <v>-4.5731718301134094E-8</v>
      </c>
      <c r="T627">
        <f t="shared" si="116"/>
        <v>98</v>
      </c>
      <c r="U627">
        <f t="shared" si="117"/>
        <v>0</v>
      </c>
      <c r="V627" s="3">
        <f t="shared" si="118"/>
        <v>1</v>
      </c>
      <c r="W627" s="9">
        <f t="shared" si="119"/>
        <v>0</v>
      </c>
      <c r="AC627"/>
    </row>
    <row r="628" spans="1:29" x14ac:dyDescent="0.25">
      <c r="A628" t="s">
        <v>462</v>
      </c>
      <c r="B628">
        <v>13</v>
      </c>
      <c r="C628" t="s">
        <v>983</v>
      </c>
      <c r="D628" t="s">
        <v>478</v>
      </c>
      <c r="E628">
        <v>4</v>
      </c>
      <c r="F628">
        <v>7.56</v>
      </c>
      <c r="G628">
        <v>14.364100000000001</v>
      </c>
      <c r="H628" t="s">
        <v>478</v>
      </c>
      <c r="I628" t="s">
        <v>478</v>
      </c>
      <c r="J628" t="s">
        <v>44</v>
      </c>
      <c r="K628">
        <f t="shared" si="108"/>
        <v>93.77000000000001</v>
      </c>
      <c r="L628">
        <f t="shared" si="109"/>
        <v>387.786</v>
      </c>
      <c r="M628" t="str">
        <f t="shared" si="110"/>
        <v>lucas-13</v>
      </c>
      <c r="N628" t="str">
        <f>INDEX(Scores!$A$2:$A$11,INDEX(Scores!$AA$2:$AA$131,MATCH(C628,Scores!$AB$2:$AB$131,0)))</f>
        <v>lucas</v>
      </c>
      <c r="O628">
        <f t="shared" si="111"/>
        <v>0</v>
      </c>
      <c r="P628">
        <f t="shared" si="112"/>
        <v>0</v>
      </c>
      <c r="Q628" s="3">
        <f t="shared" si="113"/>
        <v>0.9999990404590926</v>
      </c>
      <c r="R628" s="3">
        <f t="shared" si="114"/>
        <v>0.99999848117378531</v>
      </c>
      <c r="S628" s="9">
        <f t="shared" si="115"/>
        <v>-5.5928530728888148E-7</v>
      </c>
      <c r="T628">
        <f t="shared" si="116"/>
        <v>98</v>
      </c>
      <c r="U628">
        <f t="shared" si="117"/>
        <v>0</v>
      </c>
      <c r="V628" s="3">
        <f t="shared" si="118"/>
        <v>1</v>
      </c>
      <c r="W628" s="9">
        <f t="shared" si="119"/>
        <v>0</v>
      </c>
      <c r="AC628"/>
    </row>
    <row r="629" spans="1:29" x14ac:dyDescent="0.25">
      <c r="A629" t="s">
        <v>98</v>
      </c>
      <c r="B629">
        <v>13</v>
      </c>
      <c r="C629" t="s">
        <v>983</v>
      </c>
      <c r="D629" t="s">
        <v>471</v>
      </c>
      <c r="E629">
        <v>1</v>
      </c>
      <c r="F629">
        <v>4.6500000000000004</v>
      </c>
      <c r="G629">
        <v>11.4244</v>
      </c>
      <c r="H629" t="s">
        <v>87</v>
      </c>
      <c r="I629" t="s">
        <v>87</v>
      </c>
      <c r="J629" t="s">
        <v>44</v>
      </c>
      <c r="K629">
        <f t="shared" si="108"/>
        <v>93.77000000000001</v>
      </c>
      <c r="L629">
        <f t="shared" si="109"/>
        <v>387.786</v>
      </c>
      <c r="M629" t="str">
        <f t="shared" si="110"/>
        <v>lucas-13</v>
      </c>
      <c r="N629" t="str">
        <f>INDEX(Scores!$A$2:$A$11,INDEX(Scores!$AA$2:$AA$131,MATCH(C629,Scores!$AB$2:$AB$131,0)))</f>
        <v>lucas</v>
      </c>
      <c r="O629">
        <f t="shared" si="111"/>
        <v>0</v>
      </c>
      <c r="P629">
        <f t="shared" si="112"/>
        <v>0</v>
      </c>
      <c r="Q629" s="3">
        <f t="shared" si="113"/>
        <v>0.9999990404590926</v>
      </c>
      <c r="R629" s="3">
        <f t="shared" si="114"/>
        <v>0.99999830250592792</v>
      </c>
      <c r="S629" s="9">
        <f t="shared" si="115"/>
        <v>-7.3795316468672212E-7</v>
      </c>
      <c r="T629">
        <f t="shared" si="116"/>
        <v>98</v>
      </c>
      <c r="U629">
        <f t="shared" si="117"/>
        <v>0</v>
      </c>
      <c r="V629" s="3">
        <f t="shared" si="118"/>
        <v>1</v>
      </c>
      <c r="W629" s="9">
        <f t="shared" si="119"/>
        <v>0</v>
      </c>
      <c r="AC629"/>
    </row>
    <row r="630" spans="1:29" x14ac:dyDescent="0.25">
      <c r="A630" t="s">
        <v>446</v>
      </c>
      <c r="B630">
        <v>12</v>
      </c>
      <c r="C630" t="s">
        <v>942</v>
      </c>
      <c r="D630" t="s">
        <v>478</v>
      </c>
      <c r="E630">
        <v>5</v>
      </c>
      <c r="F630">
        <v>8.6</v>
      </c>
      <c r="G630">
        <v>15.444900000000001</v>
      </c>
      <c r="H630" t="s">
        <v>478</v>
      </c>
      <c r="I630" t="s">
        <v>478</v>
      </c>
      <c r="J630" t="s">
        <v>27</v>
      </c>
      <c r="K630">
        <f t="shared" si="108"/>
        <v>98.639999999999986</v>
      </c>
      <c r="L630">
        <f t="shared" si="109"/>
        <v>309.06870000000004</v>
      </c>
      <c r="M630" t="str">
        <f t="shared" si="110"/>
        <v>aj-12</v>
      </c>
      <c r="N630" t="str">
        <f>INDEX(Scores!$A$2:$A$11,INDEX(Scores!$AA$2:$AA$131,MATCH(C630,Scores!$AB$2:$AB$131,0)))</f>
        <v>aj</v>
      </c>
      <c r="O630">
        <f t="shared" si="111"/>
        <v>111.09</v>
      </c>
      <c r="P630">
        <f t="shared" si="112"/>
        <v>408.5095</v>
      </c>
      <c r="Q630" s="3">
        <f t="shared" si="113"/>
        <v>0.32104937221741592</v>
      </c>
      <c r="R630" s="3">
        <f t="shared" si="114"/>
        <v>0.27235343609783713</v>
      </c>
      <c r="S630" s="9">
        <f t="shared" si="115"/>
        <v>-4.8695936119578787E-2</v>
      </c>
      <c r="T630">
        <f t="shared" si="116"/>
        <v>125</v>
      </c>
      <c r="U630">
        <f t="shared" si="117"/>
        <v>84</v>
      </c>
      <c r="V630" s="3">
        <f t="shared" si="118"/>
        <v>1</v>
      </c>
      <c r="W630" s="9">
        <f t="shared" si="119"/>
        <v>0</v>
      </c>
      <c r="AC630"/>
    </row>
    <row r="631" spans="1:29" x14ac:dyDescent="0.25">
      <c r="A631" t="s">
        <v>208</v>
      </c>
      <c r="B631">
        <v>11</v>
      </c>
      <c r="C631" t="s">
        <v>965</v>
      </c>
      <c r="D631" t="s">
        <v>475</v>
      </c>
      <c r="E631">
        <v>3</v>
      </c>
      <c r="F631">
        <v>6.57</v>
      </c>
      <c r="G631">
        <v>20.793600000000001</v>
      </c>
      <c r="H631" t="s">
        <v>114</v>
      </c>
      <c r="I631" t="s">
        <v>114</v>
      </c>
      <c r="J631" t="s">
        <v>23</v>
      </c>
      <c r="K631">
        <f t="shared" si="108"/>
        <v>104.20000000000002</v>
      </c>
      <c r="L631">
        <f t="shared" si="109"/>
        <v>377.06489999999997</v>
      </c>
      <c r="M631" t="str">
        <f t="shared" si="110"/>
        <v>lucas-11</v>
      </c>
      <c r="N631" t="str">
        <f>INDEX(Scores!$A$2:$A$11,INDEX(Scores!$AA$2:$AA$131,MATCH(C631,Scores!$AB$2:$AB$131,0)))</f>
        <v>lucas</v>
      </c>
      <c r="O631">
        <f t="shared" si="111"/>
        <v>0</v>
      </c>
      <c r="P631">
        <f t="shared" si="112"/>
        <v>0</v>
      </c>
      <c r="Q631" s="3">
        <f t="shared" si="113"/>
        <v>0.99999995977381673</v>
      </c>
      <c r="R631" s="3">
        <f t="shared" si="114"/>
        <v>0.99999995125687202</v>
      </c>
      <c r="S631" s="9">
        <f t="shared" si="115"/>
        <v>-8.5169447050503777E-9</v>
      </c>
      <c r="T631">
        <f t="shared" si="116"/>
        <v>85</v>
      </c>
      <c r="U631">
        <f t="shared" si="117"/>
        <v>0</v>
      </c>
      <c r="V631" s="3">
        <f t="shared" si="118"/>
        <v>1</v>
      </c>
      <c r="W631" s="9">
        <f t="shared" si="119"/>
        <v>0</v>
      </c>
      <c r="AC631"/>
    </row>
    <row r="632" spans="1:29" x14ac:dyDescent="0.25">
      <c r="A632" t="s">
        <v>176</v>
      </c>
      <c r="B632">
        <v>4</v>
      </c>
      <c r="C632" t="s">
        <v>864</v>
      </c>
      <c r="D632" t="s">
        <v>475</v>
      </c>
      <c r="E632">
        <v>3</v>
      </c>
      <c r="F632">
        <v>6.66</v>
      </c>
      <c r="G632">
        <v>9.9224999999999994</v>
      </c>
      <c r="H632" t="s">
        <v>114</v>
      </c>
      <c r="I632" t="s">
        <v>114</v>
      </c>
      <c r="J632" t="s">
        <v>49</v>
      </c>
      <c r="K632">
        <f t="shared" si="108"/>
        <v>109.71999999999998</v>
      </c>
      <c r="L632">
        <f t="shared" si="109"/>
        <v>421.03860000000003</v>
      </c>
      <c r="M632" t="str">
        <f t="shared" si="110"/>
        <v>lucas-4</v>
      </c>
      <c r="N632" t="str">
        <f>INDEX(Scores!$A$2:$A$11,INDEX(Scores!$AA$2:$AA$131,MATCH(C632,Scores!$AB$2:$AB$131,0)))</f>
        <v>lucas</v>
      </c>
      <c r="O632">
        <f t="shared" si="111"/>
        <v>0</v>
      </c>
      <c r="P632">
        <f t="shared" si="112"/>
        <v>0</v>
      </c>
      <c r="Q632" s="3">
        <f t="shared" si="113"/>
        <v>0.99999995533253605</v>
      </c>
      <c r="R632" s="3">
        <f t="shared" si="114"/>
        <v>0.99999991561794088</v>
      </c>
      <c r="S632" s="9">
        <f t="shared" si="115"/>
        <v>-3.9714595168049982E-8</v>
      </c>
      <c r="T632">
        <f t="shared" si="116"/>
        <v>92</v>
      </c>
      <c r="U632">
        <f t="shared" si="117"/>
        <v>0</v>
      </c>
      <c r="V632" s="3">
        <f t="shared" si="118"/>
        <v>1</v>
      </c>
      <c r="W632" s="9">
        <f t="shared" si="119"/>
        <v>0</v>
      </c>
      <c r="AC632"/>
    </row>
    <row r="633" spans="1:29" x14ac:dyDescent="0.25">
      <c r="A633" t="s">
        <v>1119</v>
      </c>
      <c r="B633">
        <v>11</v>
      </c>
      <c r="C633" t="s">
        <v>909</v>
      </c>
      <c r="D633" t="s">
        <v>478</v>
      </c>
      <c r="E633">
        <v>4</v>
      </c>
      <c r="F633">
        <v>8.0399999999999991</v>
      </c>
      <c r="G633">
        <v>12.8164</v>
      </c>
      <c r="H633" t="s">
        <v>478</v>
      </c>
      <c r="I633" t="s">
        <v>478</v>
      </c>
      <c r="J633" t="s">
        <v>20</v>
      </c>
      <c r="K633">
        <f t="shared" si="108"/>
        <v>105.39999999999999</v>
      </c>
      <c r="L633">
        <f t="shared" si="109"/>
        <v>342.09739999999999</v>
      </c>
      <c r="M633" t="str">
        <f t="shared" si="110"/>
        <v>devon-11</v>
      </c>
      <c r="N633" t="str">
        <f>INDEX(Scores!$A$2:$A$11,INDEX(Scores!$AA$2:$AA$131,MATCH(C633,Scores!$AB$2:$AB$131,0)))</f>
        <v>devon</v>
      </c>
      <c r="O633">
        <f t="shared" si="111"/>
        <v>100.25</v>
      </c>
      <c r="P633">
        <f t="shared" si="112"/>
        <v>448.76889999999997</v>
      </c>
      <c r="Q633" s="3">
        <f t="shared" si="113"/>
        <v>0.57265136255925952</v>
      </c>
      <c r="R633" s="3">
        <f t="shared" si="114"/>
        <v>0.5158713806686186</v>
      </c>
      <c r="S633" s="9">
        <f t="shared" si="115"/>
        <v>-5.6779981890640929E-2</v>
      </c>
      <c r="T633">
        <f t="shared" si="116"/>
        <v>124</v>
      </c>
      <c r="U633">
        <f t="shared" si="117"/>
        <v>78</v>
      </c>
      <c r="V633" s="3">
        <f t="shared" si="118"/>
        <v>1</v>
      </c>
      <c r="W633" s="9">
        <f t="shared" si="119"/>
        <v>0</v>
      </c>
      <c r="AC633"/>
    </row>
    <row r="634" spans="1:29" x14ac:dyDescent="0.25">
      <c r="A634" t="s">
        <v>247</v>
      </c>
      <c r="B634">
        <v>13</v>
      </c>
      <c r="C634" t="s">
        <v>983</v>
      </c>
      <c r="D634" t="s">
        <v>475</v>
      </c>
      <c r="E634">
        <v>0</v>
      </c>
      <c r="F634">
        <v>4.74</v>
      </c>
      <c r="G634">
        <v>13.9129</v>
      </c>
      <c r="H634" t="s">
        <v>114</v>
      </c>
      <c r="I634" t="s">
        <v>114</v>
      </c>
      <c r="J634" t="s">
        <v>44</v>
      </c>
      <c r="K634">
        <f t="shared" si="108"/>
        <v>93.77000000000001</v>
      </c>
      <c r="L634">
        <f t="shared" si="109"/>
        <v>387.786</v>
      </c>
      <c r="M634" t="str">
        <f t="shared" si="110"/>
        <v>lucas-13</v>
      </c>
      <c r="N634" t="str">
        <f>INDEX(Scores!$A$2:$A$11,INDEX(Scores!$AA$2:$AA$131,MATCH(C634,Scores!$AB$2:$AB$131,0)))</f>
        <v>lucas</v>
      </c>
      <c r="O634">
        <f t="shared" si="111"/>
        <v>0</v>
      </c>
      <c r="P634">
        <f t="shared" si="112"/>
        <v>0</v>
      </c>
      <c r="Q634" s="3">
        <f t="shared" si="113"/>
        <v>0.9999990404590926</v>
      </c>
      <c r="R634" s="3">
        <f t="shared" si="114"/>
        <v>0.99999793184477392</v>
      </c>
      <c r="S634" s="9">
        <f t="shared" si="115"/>
        <v>-1.1086143186789243E-6</v>
      </c>
      <c r="T634">
        <f t="shared" si="116"/>
        <v>98</v>
      </c>
      <c r="U634">
        <f t="shared" si="117"/>
        <v>0</v>
      </c>
      <c r="V634" s="3">
        <f t="shared" si="118"/>
        <v>1</v>
      </c>
      <c r="W634" s="9">
        <f t="shared" si="119"/>
        <v>0</v>
      </c>
      <c r="AC634"/>
    </row>
    <row r="635" spans="1:29" x14ac:dyDescent="0.25">
      <c r="A635" t="s">
        <v>21</v>
      </c>
      <c r="B635">
        <v>9</v>
      </c>
      <c r="C635" t="s">
        <v>947</v>
      </c>
      <c r="D635" t="s">
        <v>467</v>
      </c>
      <c r="E635">
        <v>18</v>
      </c>
      <c r="F635">
        <v>22.39</v>
      </c>
      <c r="G635">
        <v>48.441600000000001</v>
      </c>
      <c r="H635" t="s">
        <v>15</v>
      </c>
      <c r="I635" t="s">
        <v>15</v>
      </c>
      <c r="J635" t="s">
        <v>62</v>
      </c>
      <c r="K635">
        <f t="shared" si="108"/>
        <v>100.46000000000001</v>
      </c>
      <c r="L635">
        <f t="shared" si="109"/>
        <v>387.61320000000001</v>
      </c>
      <c r="M635" t="str">
        <f t="shared" si="110"/>
        <v>matty-9</v>
      </c>
      <c r="N635" t="str">
        <f>INDEX(Scores!$A$2:$A$11,INDEX(Scores!$AA$2:$AA$131,MATCH(C635,Scores!$AB$2:$AB$131,0)))</f>
        <v>matty</v>
      </c>
      <c r="O635">
        <f t="shared" si="111"/>
        <v>94.12</v>
      </c>
      <c r="P635">
        <f t="shared" si="112"/>
        <v>378.32429999999999</v>
      </c>
      <c r="Q635" s="3">
        <f t="shared" si="113"/>
        <v>0.59059774146693023</v>
      </c>
      <c r="R635" s="3">
        <f t="shared" si="114"/>
        <v>0.52901693234023628</v>
      </c>
      <c r="S635" s="9">
        <f t="shared" si="115"/>
        <v>-6.1580809126693947E-2</v>
      </c>
      <c r="T635">
        <f t="shared" si="116"/>
        <v>129</v>
      </c>
      <c r="U635">
        <f t="shared" si="117"/>
        <v>68</v>
      </c>
      <c r="V635" s="3">
        <f t="shared" si="118"/>
        <v>1</v>
      </c>
      <c r="W635" s="9">
        <f t="shared" si="119"/>
        <v>0</v>
      </c>
      <c r="AC635"/>
    </row>
    <row r="636" spans="1:29" x14ac:dyDescent="0.25">
      <c r="A636" t="s">
        <v>89</v>
      </c>
      <c r="B636">
        <v>12</v>
      </c>
      <c r="C636" t="s">
        <v>918</v>
      </c>
      <c r="D636" t="s">
        <v>469</v>
      </c>
      <c r="E636">
        <v>2</v>
      </c>
      <c r="F636">
        <v>6.65</v>
      </c>
      <c r="G636">
        <v>23.232399999999998</v>
      </c>
      <c r="H636" t="s">
        <v>47</v>
      </c>
      <c r="I636" t="s">
        <v>47</v>
      </c>
      <c r="J636" t="s">
        <v>16</v>
      </c>
      <c r="K636">
        <f t="shared" si="108"/>
        <v>101.87</v>
      </c>
      <c r="L636">
        <f t="shared" si="109"/>
        <v>405.26439999999997</v>
      </c>
      <c r="M636" t="str">
        <f t="shared" si="110"/>
        <v>lucas-12</v>
      </c>
      <c r="N636" t="str">
        <f>INDEX(Scores!$A$2:$A$11,INDEX(Scores!$AA$2:$AA$131,MATCH(C636,Scores!$AB$2:$AB$131,0)))</f>
        <v>lucas</v>
      </c>
      <c r="O636">
        <f t="shared" si="111"/>
        <v>0</v>
      </c>
      <c r="P636">
        <f t="shared" si="112"/>
        <v>0</v>
      </c>
      <c r="Q636" s="3">
        <f t="shared" si="113"/>
        <v>0.99999979071174128</v>
      </c>
      <c r="R636" s="3">
        <f t="shared" si="114"/>
        <v>0.99999967207277385</v>
      </c>
      <c r="S636" s="9">
        <f t="shared" si="115"/>
        <v>-1.1863896742791979E-7</v>
      </c>
      <c r="T636">
        <f t="shared" si="116"/>
        <v>155</v>
      </c>
      <c r="U636">
        <f t="shared" si="117"/>
        <v>0</v>
      </c>
      <c r="V636" s="3">
        <f t="shared" si="118"/>
        <v>1</v>
      </c>
      <c r="W636" s="9">
        <f t="shared" si="119"/>
        <v>0</v>
      </c>
      <c r="AC636"/>
    </row>
    <row r="637" spans="1:29" x14ac:dyDescent="0.25">
      <c r="A637" t="s">
        <v>186</v>
      </c>
      <c r="B637">
        <v>5</v>
      </c>
      <c r="C637" t="s">
        <v>887</v>
      </c>
      <c r="D637" t="s">
        <v>469</v>
      </c>
      <c r="E637">
        <v>4</v>
      </c>
      <c r="F637">
        <v>8.61</v>
      </c>
      <c r="G637">
        <v>32.947600000000001</v>
      </c>
      <c r="H637" t="s">
        <v>47</v>
      </c>
      <c r="I637" t="s">
        <v>47</v>
      </c>
      <c r="J637" t="s">
        <v>27</v>
      </c>
      <c r="K637">
        <f t="shared" si="108"/>
        <v>98.17</v>
      </c>
      <c r="L637">
        <f t="shared" si="109"/>
        <v>359.81479999999999</v>
      </c>
      <c r="M637" t="str">
        <f t="shared" si="110"/>
        <v>chad-5</v>
      </c>
      <c r="N637" t="str">
        <f>INDEX(Scores!$A$2:$A$11,INDEX(Scores!$AA$2:$AA$131,MATCH(C637,Scores!$AB$2:$AB$131,0)))</f>
        <v>chad</v>
      </c>
      <c r="O637">
        <f t="shared" si="111"/>
        <v>103.98</v>
      </c>
      <c r="P637">
        <f t="shared" si="112"/>
        <v>400.98380000000003</v>
      </c>
      <c r="Q637" s="3">
        <f t="shared" si="113"/>
        <v>0.41658401639793569</v>
      </c>
      <c r="R637" s="3">
        <f t="shared" si="114"/>
        <v>0.34966301286877299</v>
      </c>
      <c r="S637" s="9">
        <f t="shared" si="115"/>
        <v>-6.6921003529162693E-2</v>
      </c>
      <c r="T637">
        <f t="shared" si="116"/>
        <v>121</v>
      </c>
      <c r="U637">
        <f t="shared" si="117"/>
        <v>71</v>
      </c>
      <c r="V637" s="3">
        <f t="shared" si="118"/>
        <v>1</v>
      </c>
      <c r="W637" s="9">
        <f t="shared" si="119"/>
        <v>0</v>
      </c>
      <c r="AC637"/>
    </row>
    <row r="638" spans="1:29" x14ac:dyDescent="0.25">
      <c r="A638" t="s">
        <v>130</v>
      </c>
      <c r="B638">
        <v>12</v>
      </c>
      <c r="C638" t="s">
        <v>966</v>
      </c>
      <c r="D638" t="s">
        <v>468</v>
      </c>
      <c r="E638">
        <v>6</v>
      </c>
      <c r="F638">
        <v>10.93</v>
      </c>
      <c r="G638">
        <v>29.811599999999999</v>
      </c>
      <c r="H638" t="s">
        <v>47</v>
      </c>
      <c r="I638" t="s">
        <v>47</v>
      </c>
      <c r="J638" t="s">
        <v>23</v>
      </c>
      <c r="K638">
        <f t="shared" si="108"/>
        <v>117.67999999999999</v>
      </c>
      <c r="L638">
        <f t="shared" si="109"/>
        <v>426.54240000000004</v>
      </c>
      <c r="M638" t="str">
        <f t="shared" si="110"/>
        <v>scott-12</v>
      </c>
      <c r="N638" t="str">
        <f>INDEX(Scores!$A$2:$A$11,INDEX(Scores!$AA$2:$AA$131,MATCH(C638,Scores!$AB$2:$AB$131,0)))</f>
        <v>scott</v>
      </c>
      <c r="O638">
        <f t="shared" si="111"/>
        <v>109.82</v>
      </c>
      <c r="P638">
        <f t="shared" si="112"/>
        <v>367.76499999999999</v>
      </c>
      <c r="Q638" s="3">
        <f t="shared" si="113"/>
        <v>0.60983422019767153</v>
      </c>
      <c r="R638" s="3">
        <f t="shared" si="114"/>
        <v>0.54219664525417421</v>
      </c>
      <c r="S638" s="9">
        <f t="shared" si="115"/>
        <v>-6.7637574943497314E-2</v>
      </c>
      <c r="T638">
        <f t="shared" si="116"/>
        <v>131</v>
      </c>
      <c r="U638">
        <f t="shared" si="117"/>
        <v>88</v>
      </c>
      <c r="V638" s="3">
        <f t="shared" si="118"/>
        <v>1</v>
      </c>
      <c r="W638" s="9">
        <f t="shared" si="119"/>
        <v>0</v>
      </c>
      <c r="AC638"/>
    </row>
    <row r="639" spans="1:29" x14ac:dyDescent="0.25">
      <c r="A639" t="s">
        <v>240</v>
      </c>
      <c r="B639">
        <v>9</v>
      </c>
      <c r="C639" t="s">
        <v>947</v>
      </c>
      <c r="D639" t="s">
        <v>472</v>
      </c>
      <c r="E639">
        <v>3</v>
      </c>
      <c r="F639">
        <v>8.2100000000000009</v>
      </c>
      <c r="G639">
        <v>36</v>
      </c>
      <c r="H639" t="s">
        <v>87</v>
      </c>
      <c r="I639" t="s">
        <v>87</v>
      </c>
      <c r="J639" t="s">
        <v>62</v>
      </c>
      <c r="K639">
        <f t="shared" si="108"/>
        <v>100.46000000000001</v>
      </c>
      <c r="L639">
        <f t="shared" si="109"/>
        <v>387.61320000000001</v>
      </c>
      <c r="M639" t="str">
        <f t="shared" si="110"/>
        <v>matty-9</v>
      </c>
      <c r="N639" t="str">
        <f>INDEX(Scores!$A$2:$A$11,INDEX(Scores!$AA$2:$AA$131,MATCH(C639,Scores!$AB$2:$AB$131,0)))</f>
        <v>matty</v>
      </c>
      <c r="O639">
        <f t="shared" si="111"/>
        <v>94.12</v>
      </c>
      <c r="P639">
        <f t="shared" si="112"/>
        <v>378.32429999999999</v>
      </c>
      <c r="Q639" s="3">
        <f t="shared" si="113"/>
        <v>0.59059774146693023</v>
      </c>
      <c r="R639" s="3">
        <f t="shared" si="114"/>
        <v>0.51668088412863711</v>
      </c>
      <c r="S639" s="9">
        <f t="shared" si="115"/>
        <v>-7.3916857338293118E-2</v>
      </c>
      <c r="T639">
        <f t="shared" si="116"/>
        <v>129</v>
      </c>
      <c r="U639">
        <f t="shared" si="117"/>
        <v>68</v>
      </c>
      <c r="V639" s="3">
        <f t="shared" si="118"/>
        <v>1</v>
      </c>
      <c r="W639" s="9">
        <f t="shared" si="119"/>
        <v>0</v>
      </c>
      <c r="AC639"/>
    </row>
    <row r="640" spans="1:29" x14ac:dyDescent="0.25">
      <c r="A640" t="s">
        <v>100</v>
      </c>
      <c r="B640">
        <v>3</v>
      </c>
      <c r="C640" t="s">
        <v>810</v>
      </c>
      <c r="D640" t="s">
        <v>471</v>
      </c>
      <c r="E640">
        <v>6</v>
      </c>
      <c r="F640">
        <v>12.17</v>
      </c>
      <c r="G640">
        <v>58.675600000000003</v>
      </c>
      <c r="H640" t="s">
        <v>87</v>
      </c>
      <c r="I640" t="s">
        <v>87</v>
      </c>
      <c r="J640" t="s">
        <v>62</v>
      </c>
      <c r="K640">
        <f t="shared" si="108"/>
        <v>99.23</v>
      </c>
      <c r="L640">
        <f t="shared" si="109"/>
        <v>414.92009999999999</v>
      </c>
      <c r="M640" t="str">
        <f t="shared" si="110"/>
        <v>devon-3</v>
      </c>
      <c r="N640" t="str">
        <f>INDEX(Scores!$A$2:$A$11,INDEX(Scores!$AA$2:$AA$131,MATCH(C640,Scores!$AB$2:$AB$131,0)))</f>
        <v>devon</v>
      </c>
      <c r="O640">
        <f t="shared" si="111"/>
        <v>110.36</v>
      </c>
      <c r="P640">
        <f t="shared" si="112"/>
        <v>421.178</v>
      </c>
      <c r="Q640" s="3">
        <f t="shared" si="113"/>
        <v>0.35014963451184367</v>
      </c>
      <c r="R640" s="3">
        <f t="shared" si="114"/>
        <v>0.26747572182081997</v>
      </c>
      <c r="S640" s="9">
        <f t="shared" si="115"/>
        <v>-8.2673912691023699E-2</v>
      </c>
      <c r="T640">
        <f t="shared" si="116"/>
        <v>123</v>
      </c>
      <c r="U640">
        <f t="shared" si="117"/>
        <v>63</v>
      </c>
      <c r="V640" s="3">
        <f t="shared" si="118"/>
        <v>1</v>
      </c>
      <c r="W640" s="9">
        <f t="shared" si="119"/>
        <v>0</v>
      </c>
      <c r="AC640"/>
    </row>
    <row r="641" spans="1:29" x14ac:dyDescent="0.25">
      <c r="A641" t="s">
        <v>150</v>
      </c>
      <c r="B641">
        <v>1</v>
      </c>
      <c r="C641" t="s">
        <v>504</v>
      </c>
      <c r="D641" t="s">
        <v>471</v>
      </c>
      <c r="E641">
        <v>2</v>
      </c>
      <c r="F641">
        <v>8.36</v>
      </c>
      <c r="G641">
        <v>30.470400000000001</v>
      </c>
      <c r="H641" t="s">
        <v>87</v>
      </c>
      <c r="I641" t="s">
        <v>87</v>
      </c>
      <c r="J641" t="s">
        <v>20</v>
      </c>
      <c r="K641">
        <f t="shared" si="108"/>
        <v>102.78</v>
      </c>
      <c r="L641">
        <f t="shared" si="109"/>
        <v>382.14119999999997</v>
      </c>
      <c r="M641" t="str">
        <f t="shared" si="110"/>
        <v>aj-1</v>
      </c>
      <c r="N641" t="str">
        <f>INDEX(Scores!$A$2:$A$11,INDEX(Scores!$AA$2:$AA$131,MATCH(C641,Scores!$AB$2:$AB$131,0)))</f>
        <v>aj</v>
      </c>
      <c r="O641">
        <f t="shared" si="111"/>
        <v>90.7</v>
      </c>
      <c r="P641">
        <f t="shared" si="112"/>
        <v>347.93650000000002</v>
      </c>
      <c r="Q641" s="3">
        <f t="shared" si="113"/>
        <v>0.67259029154080885</v>
      </c>
      <c r="R641" s="3">
        <f t="shared" si="114"/>
        <v>0.58560603300986325</v>
      </c>
      <c r="S641" s="9">
        <f t="shared" si="115"/>
        <v>-8.6984258530945602E-2</v>
      </c>
      <c r="T641">
        <f t="shared" si="116"/>
        <v>120</v>
      </c>
      <c r="U641">
        <f t="shared" si="117"/>
        <v>71</v>
      </c>
      <c r="V641" s="3">
        <f t="shared" si="118"/>
        <v>1</v>
      </c>
      <c r="W641" s="9">
        <f t="shared" si="119"/>
        <v>0</v>
      </c>
      <c r="AC641"/>
    </row>
    <row r="642" spans="1:29" x14ac:dyDescent="0.25">
      <c r="A642" t="s">
        <v>160</v>
      </c>
      <c r="B642">
        <v>8</v>
      </c>
      <c r="C642" t="s">
        <v>922</v>
      </c>
      <c r="D642" t="s">
        <v>473</v>
      </c>
      <c r="E642">
        <v>1</v>
      </c>
      <c r="F642">
        <v>8.77</v>
      </c>
      <c r="G642">
        <v>29.811599999999999</v>
      </c>
      <c r="H642" t="s">
        <v>87</v>
      </c>
      <c r="I642" t="s">
        <v>87</v>
      </c>
      <c r="J642" t="s">
        <v>55</v>
      </c>
      <c r="K642">
        <f t="shared" ref="K642:K705" si="120">SUMIF($C$2:$C$1301,$C642,$F$2:$F$1301)</f>
        <v>114.1</v>
      </c>
      <c r="L642">
        <f t="shared" ref="L642:L705" si="121">SUMIF($C$2:$C$1301,$C642,$G$2:$G$1301)</f>
        <v>458.87900000000002</v>
      </c>
      <c r="M642" t="str">
        <f t="shared" ref="M642:M705" si="122">N642&amp;"-"&amp;B642</f>
        <v>lucas-8</v>
      </c>
      <c r="N642" t="str">
        <f>INDEX(Scores!$A$2:$A$11,INDEX(Scores!$AA$2:$AA$131,MATCH(C642,Scores!$AB$2:$AB$131,0)))</f>
        <v>lucas</v>
      </c>
      <c r="O642">
        <f t="shared" ref="O642:O705" si="123">SUMIF($C$2:$C$1301,$M642,$F$2:$F$1301)</f>
        <v>0</v>
      </c>
      <c r="P642">
        <f t="shared" ref="P642:P705" si="124">SUMIF($C$2:$C$1301,$M642,$G$2:$G$1301)</f>
        <v>0</v>
      </c>
      <c r="Q642" s="3">
        <f t="shared" ref="Q642:Q705" si="125">_xlfn.NORM.DIST(0,$O642-$K642,SQRT($L642+$P642),TRUE)</f>
        <v>0.99999994992018415</v>
      </c>
      <c r="R642" s="3">
        <f t="shared" ref="R642:R705" si="126">_xlfn.NORM.DIST(0,$O642-$K642-($E642-$F642),SQRT($L642+$P642-$G642),TRUE)</f>
        <v>0.99999985761510102</v>
      </c>
      <c r="S642" s="9">
        <f t="shared" ref="S642:S705" si="127">R642-Q642</f>
        <v>-9.230508313251562E-8</v>
      </c>
      <c r="T642">
        <f t="shared" ref="T642:T705" si="128">SUMIF($C$2:$C$1301,$C642,$E$2:$E$1301)</f>
        <v>113</v>
      </c>
      <c r="U642">
        <f t="shared" ref="U642:U705" si="129">SUMIF($C$2:$C$1301,$M642,$E$2:$E$1301)</f>
        <v>0</v>
      </c>
      <c r="V642" s="3">
        <f t="shared" ref="V642:V705" si="130">_xlfn.NORM.DIST(0,U642-T642+E642-F642,SQRT(G642),TRUE)</f>
        <v>1</v>
      </c>
      <c r="W642" s="9">
        <f t="shared" ref="W642:W705" si="131">IFERROR(IF(U642&gt;T642,0,1)-V642,0)</f>
        <v>0</v>
      </c>
      <c r="AC642"/>
    </row>
    <row r="643" spans="1:29" x14ac:dyDescent="0.25">
      <c r="A643" t="s">
        <v>150</v>
      </c>
      <c r="B643">
        <v>11</v>
      </c>
      <c r="C643" t="s">
        <v>909</v>
      </c>
      <c r="D643" t="s">
        <v>472</v>
      </c>
      <c r="E643">
        <v>2</v>
      </c>
      <c r="F643">
        <v>8.39</v>
      </c>
      <c r="G643">
        <v>30.691600000000001</v>
      </c>
      <c r="H643" t="s">
        <v>87</v>
      </c>
      <c r="I643" t="s">
        <v>87</v>
      </c>
      <c r="J643" t="s">
        <v>20</v>
      </c>
      <c r="K643">
        <f t="shared" si="120"/>
        <v>105.39999999999999</v>
      </c>
      <c r="L643">
        <f t="shared" si="121"/>
        <v>342.09739999999999</v>
      </c>
      <c r="M643" t="str">
        <f t="shared" si="122"/>
        <v>devon-11</v>
      </c>
      <c r="N643" t="str">
        <f>INDEX(Scores!$A$2:$A$11,INDEX(Scores!$AA$2:$AA$131,MATCH(C643,Scores!$AB$2:$AB$131,0)))</f>
        <v>devon</v>
      </c>
      <c r="O643">
        <f t="shared" si="123"/>
        <v>100.25</v>
      </c>
      <c r="P643">
        <f t="shared" si="124"/>
        <v>448.76889999999997</v>
      </c>
      <c r="Q643" s="3">
        <f t="shared" si="125"/>
        <v>0.57265136255925952</v>
      </c>
      <c r="R643" s="3">
        <f t="shared" si="126"/>
        <v>0.48206387352587116</v>
      </c>
      <c r="S643" s="9">
        <f t="shared" si="127"/>
        <v>-9.0587489033388369E-2</v>
      </c>
      <c r="T643">
        <f t="shared" si="128"/>
        <v>124</v>
      </c>
      <c r="U643">
        <f t="shared" si="129"/>
        <v>78</v>
      </c>
      <c r="V643" s="3">
        <f t="shared" si="130"/>
        <v>1</v>
      </c>
      <c r="W643" s="9">
        <f t="shared" si="131"/>
        <v>0</v>
      </c>
      <c r="AC643"/>
    </row>
    <row r="644" spans="1:29" x14ac:dyDescent="0.25">
      <c r="A644" t="s">
        <v>445</v>
      </c>
      <c r="B644">
        <v>7</v>
      </c>
      <c r="C644" t="s">
        <v>929</v>
      </c>
      <c r="D644" t="s">
        <v>478</v>
      </c>
      <c r="E644">
        <v>2</v>
      </c>
      <c r="F644">
        <v>8.6199999999999992</v>
      </c>
      <c r="G644">
        <v>12.180099999999999</v>
      </c>
      <c r="H644" t="s">
        <v>478</v>
      </c>
      <c r="I644" t="s">
        <v>478</v>
      </c>
      <c r="J644" t="s">
        <v>35</v>
      </c>
      <c r="K644">
        <f t="shared" si="120"/>
        <v>106.81</v>
      </c>
      <c r="L644">
        <f t="shared" si="121"/>
        <v>351.64060000000001</v>
      </c>
      <c r="M644" t="str">
        <f t="shared" si="122"/>
        <v>aj-7</v>
      </c>
      <c r="N644" t="str">
        <f>INDEX(Scores!$A$2:$A$11,INDEX(Scores!$AA$2:$AA$131,MATCH(C644,Scores!$AB$2:$AB$131,0)))</f>
        <v>aj</v>
      </c>
      <c r="O644">
        <f t="shared" si="123"/>
        <v>114.01999999999998</v>
      </c>
      <c r="P644">
        <f t="shared" si="124"/>
        <v>381.58529999999996</v>
      </c>
      <c r="Q644" s="3">
        <f t="shared" si="125"/>
        <v>0.39501702421215146</v>
      </c>
      <c r="R644" s="3">
        <f t="shared" si="126"/>
        <v>0.3032626192599876</v>
      </c>
      <c r="S644" s="9">
        <f t="shared" si="127"/>
        <v>-9.1754404952163859E-2</v>
      </c>
      <c r="T644">
        <f t="shared" si="128"/>
        <v>117</v>
      </c>
      <c r="U644">
        <f t="shared" si="129"/>
        <v>93</v>
      </c>
      <c r="V644" s="3">
        <f t="shared" si="130"/>
        <v>1</v>
      </c>
      <c r="W644" s="9">
        <f t="shared" si="131"/>
        <v>0</v>
      </c>
      <c r="AC644"/>
    </row>
    <row r="645" spans="1:29" x14ac:dyDescent="0.25">
      <c r="A645" t="s">
        <v>106</v>
      </c>
      <c r="B645">
        <v>12</v>
      </c>
      <c r="C645" t="s">
        <v>966</v>
      </c>
      <c r="D645" t="s">
        <v>471</v>
      </c>
      <c r="E645">
        <v>3</v>
      </c>
      <c r="F645">
        <v>9.6999999999999993</v>
      </c>
      <c r="G645">
        <v>35.402500000000003</v>
      </c>
      <c r="H645" t="s">
        <v>87</v>
      </c>
      <c r="I645" t="s">
        <v>87</v>
      </c>
      <c r="J645" t="s">
        <v>23</v>
      </c>
      <c r="K645">
        <f t="shared" si="120"/>
        <v>117.67999999999999</v>
      </c>
      <c r="L645">
        <f t="shared" si="121"/>
        <v>426.54240000000004</v>
      </c>
      <c r="M645" t="str">
        <f t="shared" si="122"/>
        <v>scott-12</v>
      </c>
      <c r="N645" t="str">
        <f>INDEX(Scores!$A$2:$A$11,INDEX(Scores!$AA$2:$AA$131,MATCH(C645,Scores!$AB$2:$AB$131,0)))</f>
        <v>scott</v>
      </c>
      <c r="O645">
        <f t="shared" si="123"/>
        <v>109.82</v>
      </c>
      <c r="P645">
        <f t="shared" si="124"/>
        <v>367.76499999999999</v>
      </c>
      <c r="Q645" s="3">
        <f t="shared" si="125"/>
        <v>0.60983422019767153</v>
      </c>
      <c r="R645" s="3">
        <f t="shared" si="126"/>
        <v>0.51679368689527028</v>
      </c>
      <c r="S645" s="9">
        <f t="shared" si="127"/>
        <v>-9.3040533302401252E-2</v>
      </c>
      <c r="T645">
        <f t="shared" si="128"/>
        <v>131</v>
      </c>
      <c r="U645">
        <f t="shared" si="129"/>
        <v>88</v>
      </c>
      <c r="V645" s="3">
        <f t="shared" si="130"/>
        <v>1</v>
      </c>
      <c r="W645" s="9">
        <f t="shared" si="131"/>
        <v>0</v>
      </c>
      <c r="AC645"/>
    </row>
    <row r="646" spans="1:29" x14ac:dyDescent="0.25">
      <c r="A646" t="s">
        <v>26</v>
      </c>
      <c r="B646">
        <v>10</v>
      </c>
      <c r="C646" t="s">
        <v>940</v>
      </c>
      <c r="D646" t="s">
        <v>467</v>
      </c>
      <c r="E646">
        <v>14</v>
      </c>
      <c r="F646">
        <v>20.13</v>
      </c>
      <c r="G646">
        <v>43.692100000000003</v>
      </c>
      <c r="H646" t="s">
        <v>15</v>
      </c>
      <c r="I646" t="s">
        <v>15</v>
      </c>
      <c r="J646" t="s">
        <v>27</v>
      </c>
      <c r="K646">
        <f t="shared" si="120"/>
        <v>99.050000000000011</v>
      </c>
      <c r="L646">
        <f t="shared" si="121"/>
        <v>345.4212</v>
      </c>
      <c r="M646" t="str">
        <f t="shared" si="122"/>
        <v>scott-10</v>
      </c>
      <c r="N646" t="str">
        <f>INDEX(Scores!$A$2:$A$11,INDEX(Scores!$AA$2:$AA$131,MATCH(C646,Scores!$AB$2:$AB$131,0)))</f>
        <v>scott</v>
      </c>
      <c r="O646">
        <f t="shared" si="123"/>
        <v>101.17</v>
      </c>
      <c r="P646">
        <f t="shared" si="124"/>
        <v>351.19740000000002</v>
      </c>
      <c r="Q646" s="3">
        <f t="shared" si="125"/>
        <v>0.46799030012321852</v>
      </c>
      <c r="R646" s="3">
        <f t="shared" si="126"/>
        <v>0.37339850751444048</v>
      </c>
      <c r="S646" s="9">
        <f t="shared" si="127"/>
        <v>-9.4591792608778036E-2</v>
      </c>
      <c r="T646">
        <f t="shared" si="128"/>
        <v>130</v>
      </c>
      <c r="U646">
        <f t="shared" si="129"/>
        <v>67</v>
      </c>
      <c r="V646" s="3">
        <f t="shared" si="130"/>
        <v>1</v>
      </c>
      <c r="W646" s="9">
        <f t="shared" si="131"/>
        <v>0</v>
      </c>
      <c r="AC646"/>
    </row>
    <row r="647" spans="1:29" x14ac:dyDescent="0.25">
      <c r="A647" t="s">
        <v>184</v>
      </c>
      <c r="B647">
        <v>1</v>
      </c>
      <c r="C647" t="s">
        <v>504</v>
      </c>
      <c r="D647" t="s">
        <v>472</v>
      </c>
      <c r="E647">
        <v>0</v>
      </c>
      <c r="F647">
        <v>6.94</v>
      </c>
      <c r="G647">
        <v>18.662400000000002</v>
      </c>
      <c r="H647" t="s">
        <v>87</v>
      </c>
      <c r="I647" t="s">
        <v>87</v>
      </c>
      <c r="J647" t="s">
        <v>20</v>
      </c>
      <c r="K647">
        <f t="shared" si="120"/>
        <v>102.78</v>
      </c>
      <c r="L647">
        <f t="shared" si="121"/>
        <v>382.14119999999997</v>
      </c>
      <c r="M647" t="str">
        <f t="shared" si="122"/>
        <v>aj-1</v>
      </c>
      <c r="N647" t="str">
        <f>INDEX(Scores!$A$2:$A$11,INDEX(Scores!$AA$2:$AA$131,MATCH(C647,Scores!$AB$2:$AB$131,0)))</f>
        <v>aj</v>
      </c>
      <c r="O647">
        <f t="shared" si="123"/>
        <v>90.7</v>
      </c>
      <c r="P647">
        <f t="shared" si="124"/>
        <v>347.93650000000002</v>
      </c>
      <c r="Q647" s="3">
        <f t="shared" si="125"/>
        <v>0.67259029154080885</v>
      </c>
      <c r="R647" s="3">
        <f t="shared" si="126"/>
        <v>0.57640647941242318</v>
      </c>
      <c r="S647" s="9">
        <f t="shared" si="127"/>
        <v>-9.6183812128385671E-2</v>
      </c>
      <c r="T647">
        <f t="shared" si="128"/>
        <v>120</v>
      </c>
      <c r="U647">
        <f t="shared" si="129"/>
        <v>71</v>
      </c>
      <c r="V647" s="3">
        <f t="shared" si="130"/>
        <v>1</v>
      </c>
      <c r="W647" s="9">
        <f t="shared" si="131"/>
        <v>0</v>
      </c>
      <c r="AC647"/>
    </row>
    <row r="648" spans="1:29" x14ac:dyDescent="0.25">
      <c r="A648" t="s">
        <v>151</v>
      </c>
      <c r="B648">
        <v>3</v>
      </c>
      <c r="C648" t="s">
        <v>810</v>
      </c>
      <c r="D648" t="s">
        <v>475</v>
      </c>
      <c r="E648">
        <v>0</v>
      </c>
      <c r="F648">
        <v>7.74</v>
      </c>
      <c r="G648">
        <v>27.7729</v>
      </c>
      <c r="H648" t="s">
        <v>114</v>
      </c>
      <c r="I648" t="s">
        <v>114</v>
      </c>
      <c r="J648" t="s">
        <v>62</v>
      </c>
      <c r="K648">
        <f t="shared" si="120"/>
        <v>99.23</v>
      </c>
      <c r="L648">
        <f t="shared" si="121"/>
        <v>414.92009999999999</v>
      </c>
      <c r="M648" t="str">
        <f t="shared" si="122"/>
        <v>devon-3</v>
      </c>
      <c r="N648" t="str">
        <f>INDEX(Scores!$A$2:$A$11,INDEX(Scores!$AA$2:$AA$131,MATCH(C648,Scores!$AB$2:$AB$131,0)))</f>
        <v>devon</v>
      </c>
      <c r="O648">
        <f t="shared" si="123"/>
        <v>110.36</v>
      </c>
      <c r="P648">
        <f t="shared" si="124"/>
        <v>421.178</v>
      </c>
      <c r="Q648" s="3">
        <f t="shared" si="125"/>
        <v>0.35014963451184367</v>
      </c>
      <c r="R648" s="3">
        <f t="shared" si="126"/>
        <v>0.2534377341905642</v>
      </c>
      <c r="S648" s="9">
        <f t="shared" si="127"/>
        <v>-9.6711900321279465E-2</v>
      </c>
      <c r="T648">
        <f t="shared" si="128"/>
        <v>123</v>
      </c>
      <c r="U648">
        <f t="shared" si="129"/>
        <v>63</v>
      </c>
      <c r="V648" s="3">
        <f t="shared" si="130"/>
        <v>1</v>
      </c>
      <c r="W648" s="9">
        <f t="shared" si="131"/>
        <v>0</v>
      </c>
      <c r="AC648"/>
    </row>
    <row r="649" spans="1:29" x14ac:dyDescent="0.25">
      <c r="A649" t="s">
        <v>407</v>
      </c>
      <c r="B649">
        <v>3</v>
      </c>
      <c r="C649" t="s">
        <v>810</v>
      </c>
      <c r="D649" t="s">
        <v>477</v>
      </c>
      <c r="E649">
        <v>-4</v>
      </c>
      <c r="F649">
        <v>4.4000000000000004</v>
      </c>
      <c r="G649">
        <v>35.164900000000003</v>
      </c>
      <c r="H649" t="s">
        <v>477</v>
      </c>
      <c r="I649" t="s">
        <v>477</v>
      </c>
      <c r="J649" t="s">
        <v>62</v>
      </c>
      <c r="K649">
        <f t="shared" si="120"/>
        <v>99.23</v>
      </c>
      <c r="L649">
        <f t="shared" si="121"/>
        <v>414.92009999999999</v>
      </c>
      <c r="M649" t="str">
        <f t="shared" si="122"/>
        <v>devon-3</v>
      </c>
      <c r="N649" t="str">
        <f>INDEX(Scores!$A$2:$A$11,INDEX(Scores!$AA$2:$AA$131,MATCH(C649,Scores!$AB$2:$AB$131,0)))</f>
        <v>devon</v>
      </c>
      <c r="O649">
        <f t="shared" si="123"/>
        <v>110.36</v>
      </c>
      <c r="P649">
        <f t="shared" si="124"/>
        <v>421.178</v>
      </c>
      <c r="Q649" s="3">
        <f t="shared" si="125"/>
        <v>0.35014963451184367</v>
      </c>
      <c r="R649" s="3">
        <f t="shared" si="126"/>
        <v>0.24506961453947557</v>
      </c>
      <c r="S649" s="9">
        <f t="shared" si="127"/>
        <v>-0.1050800199723681</v>
      </c>
      <c r="T649">
        <f t="shared" si="128"/>
        <v>123</v>
      </c>
      <c r="U649">
        <f t="shared" si="129"/>
        <v>63</v>
      </c>
      <c r="V649" s="3">
        <f t="shared" si="130"/>
        <v>1</v>
      </c>
      <c r="W649" s="9">
        <f t="shared" si="131"/>
        <v>0</v>
      </c>
      <c r="AC649"/>
    </row>
    <row r="650" spans="1:29" x14ac:dyDescent="0.25">
      <c r="A650" t="s">
        <v>450</v>
      </c>
      <c r="B650">
        <v>13</v>
      </c>
      <c r="C650" t="s">
        <v>935</v>
      </c>
      <c r="D650" t="s">
        <v>478</v>
      </c>
      <c r="E650">
        <v>-2</v>
      </c>
      <c r="F650">
        <v>6.72</v>
      </c>
      <c r="G650">
        <v>15.2881</v>
      </c>
      <c r="H650" t="s">
        <v>478</v>
      </c>
      <c r="I650" t="s">
        <v>478</v>
      </c>
      <c r="J650" t="s">
        <v>35</v>
      </c>
      <c r="K650">
        <f t="shared" si="120"/>
        <v>97.46</v>
      </c>
      <c r="L650">
        <f t="shared" si="121"/>
        <v>368.81949999999995</v>
      </c>
      <c r="M650" t="str">
        <f t="shared" si="122"/>
        <v>perry-13</v>
      </c>
      <c r="N650" t="str">
        <f>INDEX(Scores!$A$2:$A$11,INDEX(Scores!$AA$2:$AA$131,MATCH(C650,Scores!$AB$2:$AB$131,0)))</f>
        <v>perry</v>
      </c>
      <c r="O650">
        <f t="shared" si="123"/>
        <v>108.77</v>
      </c>
      <c r="P650">
        <f t="shared" si="124"/>
        <v>411.30060000000003</v>
      </c>
      <c r="Q650" s="3">
        <f t="shared" si="125"/>
        <v>0.3427638257896819</v>
      </c>
      <c r="R650" s="3">
        <f t="shared" si="126"/>
        <v>0.23445131213926504</v>
      </c>
      <c r="S650" s="9">
        <f t="shared" si="127"/>
        <v>-0.10831251365041686</v>
      </c>
      <c r="T650">
        <f t="shared" si="128"/>
        <v>133</v>
      </c>
      <c r="U650">
        <f t="shared" si="129"/>
        <v>99</v>
      </c>
      <c r="V650" s="3">
        <f t="shared" si="130"/>
        <v>1</v>
      </c>
      <c r="W650" s="9">
        <f t="shared" si="131"/>
        <v>0</v>
      </c>
      <c r="AC650"/>
    </row>
    <row r="651" spans="1:29" x14ac:dyDescent="0.25">
      <c r="A651" t="s">
        <v>136</v>
      </c>
      <c r="B651">
        <v>12</v>
      </c>
      <c r="C651" t="s">
        <v>918</v>
      </c>
      <c r="D651" t="s">
        <v>473</v>
      </c>
      <c r="E651">
        <v>1</v>
      </c>
      <c r="F651">
        <v>8.6</v>
      </c>
      <c r="G651">
        <v>32.49</v>
      </c>
      <c r="H651" t="s">
        <v>87</v>
      </c>
      <c r="I651" t="s">
        <v>87</v>
      </c>
      <c r="J651" t="s">
        <v>16</v>
      </c>
      <c r="K651">
        <f t="shared" si="120"/>
        <v>101.87</v>
      </c>
      <c r="L651">
        <f t="shared" si="121"/>
        <v>405.26439999999997</v>
      </c>
      <c r="M651" t="str">
        <f t="shared" si="122"/>
        <v>lucas-12</v>
      </c>
      <c r="N651" t="str">
        <f>INDEX(Scores!$A$2:$A$11,INDEX(Scores!$AA$2:$AA$131,MATCH(C651,Scores!$AB$2:$AB$131,0)))</f>
        <v>lucas</v>
      </c>
      <c r="O651">
        <f t="shared" si="123"/>
        <v>0</v>
      </c>
      <c r="P651">
        <f t="shared" si="124"/>
        <v>0</v>
      </c>
      <c r="Q651" s="3">
        <f t="shared" si="125"/>
        <v>0.99999979071174128</v>
      </c>
      <c r="R651" s="3">
        <f t="shared" si="126"/>
        <v>0.99999947649913901</v>
      </c>
      <c r="S651" s="9">
        <f t="shared" si="127"/>
        <v>-3.1421260227038061E-7</v>
      </c>
      <c r="T651">
        <f t="shared" si="128"/>
        <v>155</v>
      </c>
      <c r="U651">
        <f t="shared" si="129"/>
        <v>0</v>
      </c>
      <c r="V651" s="3">
        <f t="shared" si="130"/>
        <v>1</v>
      </c>
      <c r="W651" s="9">
        <f t="shared" si="131"/>
        <v>0</v>
      </c>
      <c r="AC651"/>
    </row>
    <row r="652" spans="1:29" x14ac:dyDescent="0.25">
      <c r="A652" t="s">
        <v>18</v>
      </c>
      <c r="B652">
        <v>1</v>
      </c>
      <c r="C652" t="s">
        <v>504</v>
      </c>
      <c r="D652" t="s">
        <v>467</v>
      </c>
      <c r="E652">
        <v>10</v>
      </c>
      <c r="F652">
        <v>19.47</v>
      </c>
      <c r="G652">
        <v>47.61</v>
      </c>
      <c r="H652" t="s">
        <v>15</v>
      </c>
      <c r="I652" t="s">
        <v>15</v>
      </c>
      <c r="J652" t="s">
        <v>20</v>
      </c>
      <c r="K652">
        <f t="shared" si="120"/>
        <v>102.78</v>
      </c>
      <c r="L652">
        <f t="shared" si="121"/>
        <v>382.14119999999997</v>
      </c>
      <c r="M652" t="str">
        <f t="shared" si="122"/>
        <v>aj-1</v>
      </c>
      <c r="N652" t="str">
        <f>INDEX(Scores!$A$2:$A$11,INDEX(Scores!$AA$2:$AA$131,MATCH(C652,Scores!$AB$2:$AB$131,0)))</f>
        <v>aj</v>
      </c>
      <c r="O652">
        <f t="shared" si="123"/>
        <v>90.7</v>
      </c>
      <c r="P652">
        <f t="shared" si="124"/>
        <v>347.93650000000002</v>
      </c>
      <c r="Q652" s="3">
        <f t="shared" si="125"/>
        <v>0.67259029154080885</v>
      </c>
      <c r="R652" s="3">
        <f t="shared" si="126"/>
        <v>0.53979124362250452</v>
      </c>
      <c r="S652" s="9">
        <f t="shared" si="127"/>
        <v>-0.13279904791830432</v>
      </c>
      <c r="T652">
        <f t="shared" si="128"/>
        <v>120</v>
      </c>
      <c r="U652">
        <f t="shared" si="129"/>
        <v>71</v>
      </c>
      <c r="V652" s="3">
        <f t="shared" si="130"/>
        <v>1</v>
      </c>
      <c r="W652" s="9">
        <f t="shared" si="131"/>
        <v>0</v>
      </c>
      <c r="AC652"/>
    </row>
    <row r="653" spans="1:29" x14ac:dyDescent="0.25">
      <c r="A653" t="s">
        <v>998</v>
      </c>
      <c r="B653">
        <v>11</v>
      </c>
      <c r="C653" t="s">
        <v>965</v>
      </c>
      <c r="D653" t="s">
        <v>478</v>
      </c>
      <c r="E653">
        <v>-2</v>
      </c>
      <c r="F653">
        <v>8.4600000000000009</v>
      </c>
      <c r="G653">
        <v>15.2881</v>
      </c>
      <c r="H653" t="s">
        <v>478</v>
      </c>
      <c r="I653" t="s">
        <v>478</v>
      </c>
      <c r="J653" t="s">
        <v>23</v>
      </c>
      <c r="K653">
        <f t="shared" si="120"/>
        <v>104.20000000000002</v>
      </c>
      <c r="L653">
        <f t="shared" si="121"/>
        <v>377.06489999999997</v>
      </c>
      <c r="M653" t="str">
        <f t="shared" si="122"/>
        <v>lucas-11</v>
      </c>
      <c r="N653" t="str">
        <f>INDEX(Scores!$A$2:$A$11,INDEX(Scores!$AA$2:$AA$131,MATCH(C653,Scores!$AB$2:$AB$131,0)))</f>
        <v>lucas</v>
      </c>
      <c r="O653">
        <f t="shared" si="123"/>
        <v>0</v>
      </c>
      <c r="P653">
        <f t="shared" si="124"/>
        <v>0</v>
      </c>
      <c r="Q653" s="3">
        <f t="shared" si="125"/>
        <v>0.99999995977381673</v>
      </c>
      <c r="R653" s="3">
        <f t="shared" si="126"/>
        <v>0.9999995854386049</v>
      </c>
      <c r="S653" s="9">
        <f t="shared" si="127"/>
        <v>-3.7433521182794749E-7</v>
      </c>
      <c r="T653">
        <f t="shared" si="128"/>
        <v>85</v>
      </c>
      <c r="U653">
        <f t="shared" si="129"/>
        <v>0</v>
      </c>
      <c r="V653" s="3">
        <f t="shared" si="130"/>
        <v>1</v>
      </c>
      <c r="W653" s="9">
        <f t="shared" si="131"/>
        <v>0</v>
      </c>
      <c r="AC653"/>
    </row>
    <row r="654" spans="1:29" x14ac:dyDescent="0.25">
      <c r="A654" t="s">
        <v>96</v>
      </c>
      <c r="B654">
        <v>10</v>
      </c>
      <c r="C654" t="s">
        <v>940</v>
      </c>
      <c r="D654" t="s">
        <v>471</v>
      </c>
      <c r="E654">
        <v>4</v>
      </c>
      <c r="F654">
        <v>14.34</v>
      </c>
      <c r="G654">
        <v>51.696100000000001</v>
      </c>
      <c r="H654" t="s">
        <v>87</v>
      </c>
      <c r="I654" t="s">
        <v>87</v>
      </c>
      <c r="J654" t="s">
        <v>27</v>
      </c>
      <c r="K654">
        <f t="shared" si="120"/>
        <v>99.050000000000011</v>
      </c>
      <c r="L654">
        <f t="shared" si="121"/>
        <v>345.4212</v>
      </c>
      <c r="M654" t="str">
        <f t="shared" si="122"/>
        <v>scott-10</v>
      </c>
      <c r="N654" t="str">
        <f>INDEX(Scores!$A$2:$A$11,INDEX(Scores!$AA$2:$AA$131,MATCH(C654,Scores!$AB$2:$AB$131,0)))</f>
        <v>scott</v>
      </c>
      <c r="O654">
        <f t="shared" si="123"/>
        <v>101.17</v>
      </c>
      <c r="P654">
        <f t="shared" si="124"/>
        <v>351.19740000000002</v>
      </c>
      <c r="Q654" s="3">
        <f t="shared" si="125"/>
        <v>0.46799030012321852</v>
      </c>
      <c r="R654" s="3">
        <f t="shared" si="126"/>
        <v>0.31184001506846337</v>
      </c>
      <c r="S654" s="9">
        <f t="shared" si="127"/>
        <v>-0.15615028505475514</v>
      </c>
      <c r="T654">
        <f t="shared" si="128"/>
        <v>130</v>
      </c>
      <c r="U654">
        <f t="shared" si="129"/>
        <v>67</v>
      </c>
      <c r="V654" s="3">
        <f t="shared" si="130"/>
        <v>1</v>
      </c>
      <c r="W654" s="9">
        <f t="shared" si="131"/>
        <v>0</v>
      </c>
      <c r="AC654"/>
    </row>
    <row r="655" spans="1:29" x14ac:dyDescent="0.25">
      <c r="A655" t="s">
        <v>458</v>
      </c>
      <c r="B655">
        <v>12</v>
      </c>
      <c r="C655" t="s">
        <v>958</v>
      </c>
      <c r="D655" t="s">
        <v>478</v>
      </c>
      <c r="E655">
        <v>2</v>
      </c>
      <c r="F655">
        <v>8.23</v>
      </c>
      <c r="G655">
        <v>13.1044</v>
      </c>
      <c r="H655" t="s">
        <v>478</v>
      </c>
      <c r="I655" t="s">
        <v>478</v>
      </c>
      <c r="J655" t="s">
        <v>40</v>
      </c>
      <c r="K655">
        <f t="shared" si="120"/>
        <v>96.019999999999982</v>
      </c>
      <c r="L655">
        <f t="shared" si="121"/>
        <v>375.18639999999999</v>
      </c>
      <c r="M655" t="e">
        <f t="shared" si="122"/>
        <v>#N/A</v>
      </c>
      <c r="N655" t="e">
        <f>INDEX(Scores!$A$2:$A$11,INDEX(Scores!$AA$2:$AA$131,MATCH(C655,Scores!$AB$2:$AB$131,0)))</f>
        <v>#N/A</v>
      </c>
      <c r="O655">
        <f t="shared" si="123"/>
        <v>0</v>
      </c>
      <c r="P655">
        <f t="shared" si="124"/>
        <v>0</v>
      </c>
      <c r="Q655" s="3">
        <f t="shared" si="125"/>
        <v>0.99999964245431261</v>
      </c>
      <c r="R655" s="3">
        <f t="shared" si="126"/>
        <v>0.99999881335268381</v>
      </c>
      <c r="S655" s="9">
        <f t="shared" si="127"/>
        <v>-8.291016287964581E-7</v>
      </c>
      <c r="T655">
        <f t="shared" si="128"/>
        <v>73</v>
      </c>
      <c r="U655">
        <f t="shared" si="129"/>
        <v>0</v>
      </c>
      <c r="V655" s="3">
        <f t="shared" si="130"/>
        <v>1</v>
      </c>
      <c r="W655" s="9">
        <f t="shared" si="131"/>
        <v>0</v>
      </c>
      <c r="AC655"/>
    </row>
    <row r="656" spans="1:29" x14ac:dyDescent="0.25">
      <c r="A656" t="s">
        <v>193</v>
      </c>
      <c r="B656">
        <v>13</v>
      </c>
      <c r="C656" t="s">
        <v>959</v>
      </c>
      <c r="D656" t="s">
        <v>469</v>
      </c>
      <c r="E656">
        <v>4</v>
      </c>
      <c r="F656">
        <v>2.67</v>
      </c>
      <c r="G656">
        <v>4</v>
      </c>
      <c r="H656" t="s">
        <v>47</v>
      </c>
      <c r="I656" t="s">
        <v>47</v>
      </c>
      <c r="J656" t="s">
        <v>40</v>
      </c>
      <c r="K656">
        <f t="shared" si="120"/>
        <v>75.67</v>
      </c>
      <c r="L656">
        <f t="shared" si="121"/>
        <v>278.80779999999999</v>
      </c>
      <c r="M656" t="e">
        <f t="shared" si="122"/>
        <v>#N/A</v>
      </c>
      <c r="N656" t="e">
        <f>INDEX(Scores!$A$2:$A$11,INDEX(Scores!$AA$2:$AA$131,MATCH(C656,Scores!$AB$2:$AB$131,0)))</f>
        <v>#N/A</v>
      </c>
      <c r="O656">
        <f t="shared" si="123"/>
        <v>0</v>
      </c>
      <c r="P656">
        <f t="shared" si="124"/>
        <v>0</v>
      </c>
      <c r="Q656" s="3">
        <f t="shared" si="125"/>
        <v>0.9999970759175304</v>
      </c>
      <c r="R656" s="3">
        <f t="shared" si="126"/>
        <v>0.99999829877882562</v>
      </c>
      <c r="S656" s="9">
        <f t="shared" si="127"/>
        <v>1.2228612952247531E-6</v>
      </c>
      <c r="T656">
        <f t="shared" si="128"/>
        <v>59</v>
      </c>
      <c r="U656">
        <f t="shared" si="129"/>
        <v>0</v>
      </c>
      <c r="V656" s="3">
        <f t="shared" si="130"/>
        <v>1</v>
      </c>
      <c r="W656" s="9">
        <f t="shared" si="131"/>
        <v>0</v>
      </c>
      <c r="AC656"/>
    </row>
    <row r="657" spans="1:29" x14ac:dyDescent="0.25">
      <c r="A657" t="s">
        <v>193</v>
      </c>
      <c r="B657">
        <v>12</v>
      </c>
      <c r="C657" t="s">
        <v>958</v>
      </c>
      <c r="D657" t="s">
        <v>469</v>
      </c>
      <c r="E657">
        <v>1</v>
      </c>
      <c r="F657">
        <v>5.68</v>
      </c>
      <c r="G657">
        <v>15.9201</v>
      </c>
      <c r="H657" t="s">
        <v>47</v>
      </c>
      <c r="I657" t="s">
        <v>47</v>
      </c>
      <c r="J657" t="s">
        <v>40</v>
      </c>
      <c r="K657">
        <f t="shared" si="120"/>
        <v>96.019999999999982</v>
      </c>
      <c r="L657">
        <f t="shared" si="121"/>
        <v>375.18639999999999</v>
      </c>
      <c r="M657" t="e">
        <f t="shared" si="122"/>
        <v>#N/A</v>
      </c>
      <c r="N657" t="e">
        <f>INDEX(Scores!$A$2:$A$11,INDEX(Scores!$AA$2:$AA$131,MATCH(C657,Scores!$AB$2:$AB$131,0)))</f>
        <v>#N/A</v>
      </c>
      <c r="O657">
        <f t="shared" si="123"/>
        <v>0</v>
      </c>
      <c r="P657">
        <f t="shared" si="124"/>
        <v>0</v>
      </c>
      <c r="Q657" s="3">
        <f t="shared" si="125"/>
        <v>0.99999964245431261</v>
      </c>
      <c r="R657" s="3">
        <f t="shared" si="126"/>
        <v>0.99999927843534053</v>
      </c>
      <c r="S657" s="9">
        <f t="shared" si="127"/>
        <v>-3.6401897207660738E-7</v>
      </c>
      <c r="T657">
        <f t="shared" si="128"/>
        <v>73</v>
      </c>
      <c r="U657">
        <f t="shared" si="129"/>
        <v>0</v>
      </c>
      <c r="V657" s="3">
        <f t="shared" si="130"/>
        <v>1</v>
      </c>
      <c r="W657" s="9">
        <f t="shared" si="131"/>
        <v>0</v>
      </c>
      <c r="AC657"/>
    </row>
    <row r="658" spans="1:29" x14ac:dyDescent="0.25">
      <c r="A658" t="s">
        <v>180</v>
      </c>
      <c r="B658">
        <v>9</v>
      </c>
      <c r="C658" t="s">
        <v>971</v>
      </c>
      <c r="D658" t="s">
        <v>473</v>
      </c>
      <c r="E658">
        <v>1</v>
      </c>
      <c r="F658">
        <v>4.3099999999999996</v>
      </c>
      <c r="G658">
        <v>10.7584</v>
      </c>
      <c r="H658" t="s">
        <v>87</v>
      </c>
      <c r="I658" t="s">
        <v>87</v>
      </c>
      <c r="J658" t="s">
        <v>49</v>
      </c>
      <c r="K658">
        <f t="shared" si="120"/>
        <v>94.12</v>
      </c>
      <c r="L658">
        <f t="shared" si="121"/>
        <v>378.32429999999999</v>
      </c>
      <c r="M658" t="str">
        <f t="shared" si="122"/>
        <v>chad-9</v>
      </c>
      <c r="N658" t="str">
        <f>INDEX(Scores!$A$2:$A$11,INDEX(Scores!$AA$2:$AA$131,MATCH(C658,Scores!$AB$2:$AB$131,0)))</f>
        <v>chad</v>
      </c>
      <c r="O658">
        <f t="shared" si="123"/>
        <v>100.46000000000001</v>
      </c>
      <c r="P658">
        <f t="shared" si="124"/>
        <v>387.61320000000001</v>
      </c>
      <c r="Q658" s="3">
        <f t="shared" si="125"/>
        <v>0.40940225853306977</v>
      </c>
      <c r="R658" s="3">
        <f t="shared" si="126"/>
        <v>0.36273497978821656</v>
      </c>
      <c r="S658" s="9">
        <f t="shared" si="127"/>
        <v>-4.6667278744853213E-2</v>
      </c>
      <c r="T658">
        <f t="shared" si="128"/>
        <v>68</v>
      </c>
      <c r="U658">
        <f t="shared" si="129"/>
        <v>129</v>
      </c>
      <c r="V658" s="3">
        <f t="shared" si="130"/>
        <v>1.5110744324134221E-69</v>
      </c>
      <c r="W658" s="9">
        <f t="shared" si="131"/>
        <v>-1.5110744324134221E-69</v>
      </c>
      <c r="AC658"/>
    </row>
    <row r="659" spans="1:29" x14ac:dyDescent="0.25">
      <c r="A659" t="s">
        <v>223</v>
      </c>
      <c r="B659">
        <v>12</v>
      </c>
      <c r="C659" t="s">
        <v>958</v>
      </c>
      <c r="D659" t="s">
        <v>473</v>
      </c>
      <c r="E659">
        <v>7</v>
      </c>
      <c r="F659">
        <v>6.61</v>
      </c>
      <c r="G659">
        <v>22.09</v>
      </c>
      <c r="H659" t="s">
        <v>87</v>
      </c>
      <c r="I659" t="s">
        <v>87</v>
      </c>
      <c r="J659" t="s">
        <v>40</v>
      </c>
      <c r="K659">
        <f t="shared" si="120"/>
        <v>96.019999999999982</v>
      </c>
      <c r="L659">
        <f t="shared" si="121"/>
        <v>375.18639999999999</v>
      </c>
      <c r="M659" t="e">
        <f t="shared" si="122"/>
        <v>#N/A</v>
      </c>
      <c r="N659" t="e">
        <f>INDEX(Scores!$A$2:$A$11,INDEX(Scores!$AA$2:$AA$131,MATCH(C659,Scores!$AB$2:$AB$131,0)))</f>
        <v>#N/A</v>
      </c>
      <c r="O659">
        <f t="shared" si="123"/>
        <v>0</v>
      </c>
      <c r="P659">
        <f t="shared" si="124"/>
        <v>0</v>
      </c>
      <c r="Q659" s="3">
        <f t="shared" si="125"/>
        <v>0.99999964245431261</v>
      </c>
      <c r="R659" s="3">
        <f t="shared" si="126"/>
        <v>0.99999985565594551</v>
      </c>
      <c r="S659" s="9">
        <f t="shared" si="127"/>
        <v>2.1320163290372562E-7</v>
      </c>
      <c r="T659">
        <f t="shared" si="128"/>
        <v>73</v>
      </c>
      <c r="U659">
        <f t="shared" si="129"/>
        <v>0</v>
      </c>
      <c r="V659" s="3">
        <f t="shared" si="130"/>
        <v>1</v>
      </c>
      <c r="W659" s="9">
        <f t="shared" si="131"/>
        <v>0</v>
      </c>
      <c r="AC659"/>
    </row>
    <row r="660" spans="1:29" x14ac:dyDescent="0.25">
      <c r="A660" t="s">
        <v>452</v>
      </c>
      <c r="B660">
        <v>10</v>
      </c>
      <c r="C660" t="s">
        <v>908</v>
      </c>
      <c r="D660" t="s">
        <v>478</v>
      </c>
      <c r="E660">
        <v>8</v>
      </c>
      <c r="F660">
        <v>6.92</v>
      </c>
      <c r="G660">
        <v>15.760899999999999</v>
      </c>
      <c r="H660" t="s">
        <v>478</v>
      </c>
      <c r="I660" t="s">
        <v>478</v>
      </c>
      <c r="J660" t="s">
        <v>20</v>
      </c>
      <c r="K660">
        <f t="shared" si="120"/>
        <v>101.17</v>
      </c>
      <c r="L660">
        <f t="shared" si="121"/>
        <v>351.19740000000002</v>
      </c>
      <c r="M660" t="str">
        <f t="shared" si="122"/>
        <v>comp-10</v>
      </c>
      <c r="N660" t="str">
        <f>INDEX(Scores!$A$2:$A$11,INDEX(Scores!$AA$2:$AA$131,MATCH(C660,Scores!$AB$2:$AB$131,0)))</f>
        <v>comp</v>
      </c>
      <c r="O660">
        <f t="shared" si="123"/>
        <v>99.050000000000011</v>
      </c>
      <c r="P660">
        <f t="shared" si="124"/>
        <v>345.4212</v>
      </c>
      <c r="Q660" s="3">
        <f t="shared" si="125"/>
        <v>0.53200969987678148</v>
      </c>
      <c r="R660" s="3">
        <f t="shared" si="126"/>
        <v>0.54880275479582696</v>
      </c>
      <c r="S660" s="9">
        <f t="shared" si="127"/>
        <v>1.679305491904548E-2</v>
      </c>
      <c r="T660">
        <f t="shared" si="128"/>
        <v>67</v>
      </c>
      <c r="U660">
        <f t="shared" si="129"/>
        <v>130</v>
      </c>
      <c r="V660" s="3">
        <f t="shared" si="130"/>
        <v>6.5635919107027511E-59</v>
      </c>
      <c r="W660" s="9">
        <f t="shared" si="131"/>
        <v>-6.5635919107027511E-59</v>
      </c>
      <c r="AC660"/>
    </row>
    <row r="661" spans="1:29" x14ac:dyDescent="0.25">
      <c r="A661" t="s">
        <v>163</v>
      </c>
      <c r="B661">
        <v>3</v>
      </c>
      <c r="C661" t="s">
        <v>811</v>
      </c>
      <c r="D661" t="s">
        <v>473</v>
      </c>
      <c r="E661">
        <v>14</v>
      </c>
      <c r="F661">
        <v>5.79</v>
      </c>
      <c r="G661">
        <v>17.977599999999999</v>
      </c>
      <c r="H661" t="s">
        <v>87</v>
      </c>
      <c r="I661" t="s">
        <v>87</v>
      </c>
      <c r="J661" t="s">
        <v>35</v>
      </c>
      <c r="K661">
        <f t="shared" si="120"/>
        <v>110.36</v>
      </c>
      <c r="L661">
        <f t="shared" si="121"/>
        <v>421.178</v>
      </c>
      <c r="M661" t="str">
        <f t="shared" si="122"/>
        <v>chad-3</v>
      </c>
      <c r="N661" t="str">
        <f>INDEX(Scores!$A$2:$A$11,INDEX(Scores!$AA$2:$AA$131,MATCH(C661,Scores!$AB$2:$AB$131,0)))</f>
        <v>chad</v>
      </c>
      <c r="O661">
        <f t="shared" si="123"/>
        <v>99.23</v>
      </c>
      <c r="P661">
        <f t="shared" si="124"/>
        <v>414.92009999999999</v>
      </c>
      <c r="Q661" s="3">
        <f t="shared" si="125"/>
        <v>0.64985036548815633</v>
      </c>
      <c r="R661" s="3">
        <f t="shared" si="126"/>
        <v>0.75052965510554048</v>
      </c>
      <c r="S661" s="9">
        <f t="shared" si="127"/>
        <v>0.10067928961738415</v>
      </c>
      <c r="T661">
        <f t="shared" si="128"/>
        <v>63</v>
      </c>
      <c r="U661">
        <f t="shared" si="129"/>
        <v>123</v>
      </c>
      <c r="V661" s="3">
        <f t="shared" si="130"/>
        <v>1.5669133478863232E-58</v>
      </c>
      <c r="W661" s="9">
        <f t="shared" si="131"/>
        <v>-1.5669133478863232E-58</v>
      </c>
      <c r="AC661"/>
    </row>
    <row r="662" spans="1:29" x14ac:dyDescent="0.25">
      <c r="A662" t="s">
        <v>256</v>
      </c>
      <c r="B662">
        <v>12</v>
      </c>
      <c r="C662" t="s">
        <v>958</v>
      </c>
      <c r="D662" t="s">
        <v>472</v>
      </c>
      <c r="E662">
        <v>11</v>
      </c>
      <c r="F662">
        <v>7.84</v>
      </c>
      <c r="G662">
        <v>29.16</v>
      </c>
      <c r="H662" t="s">
        <v>87</v>
      </c>
      <c r="I662" t="s">
        <v>87</v>
      </c>
      <c r="J662" t="s">
        <v>40</v>
      </c>
      <c r="K662">
        <f t="shared" si="120"/>
        <v>96.019999999999982</v>
      </c>
      <c r="L662">
        <f t="shared" si="121"/>
        <v>375.18639999999999</v>
      </c>
      <c r="M662" t="e">
        <f t="shared" si="122"/>
        <v>#N/A</v>
      </c>
      <c r="N662" t="e">
        <f>INDEX(Scores!$A$2:$A$11,INDEX(Scores!$AA$2:$AA$131,MATCH(C662,Scores!$AB$2:$AB$131,0)))</f>
        <v>#N/A</v>
      </c>
      <c r="O662">
        <f t="shared" si="123"/>
        <v>0</v>
      </c>
      <c r="P662">
        <f t="shared" si="124"/>
        <v>0</v>
      </c>
      <c r="Q662" s="3">
        <f t="shared" si="125"/>
        <v>0.99999964245431261</v>
      </c>
      <c r="R662" s="3">
        <f t="shared" si="126"/>
        <v>0.99999995136364794</v>
      </c>
      <c r="S662" s="9">
        <f t="shared" si="127"/>
        <v>3.089093353336736E-7</v>
      </c>
      <c r="T662">
        <f t="shared" si="128"/>
        <v>73</v>
      </c>
      <c r="U662">
        <f t="shared" si="129"/>
        <v>0</v>
      </c>
      <c r="V662" s="3">
        <f t="shared" si="130"/>
        <v>1</v>
      </c>
      <c r="W662" s="9">
        <f t="shared" si="131"/>
        <v>0</v>
      </c>
      <c r="AC662"/>
    </row>
    <row r="663" spans="1:29" x14ac:dyDescent="0.25">
      <c r="A663" t="s">
        <v>107</v>
      </c>
      <c r="B663">
        <v>3</v>
      </c>
      <c r="C663" t="s">
        <v>811</v>
      </c>
      <c r="D663" t="s">
        <v>471</v>
      </c>
      <c r="E663">
        <v>21</v>
      </c>
      <c r="F663">
        <v>9.3699999999999992</v>
      </c>
      <c r="G663">
        <v>21.715599999999998</v>
      </c>
      <c r="H663" t="s">
        <v>87</v>
      </c>
      <c r="I663" t="s">
        <v>87</v>
      </c>
      <c r="J663" t="s">
        <v>35</v>
      </c>
      <c r="K663">
        <f t="shared" si="120"/>
        <v>110.36</v>
      </c>
      <c r="L663">
        <f t="shared" si="121"/>
        <v>421.178</v>
      </c>
      <c r="M663" t="str">
        <f t="shared" si="122"/>
        <v>chad-3</v>
      </c>
      <c r="N663" t="str">
        <f>INDEX(Scores!$A$2:$A$11,INDEX(Scores!$AA$2:$AA$131,MATCH(C663,Scores!$AB$2:$AB$131,0)))</f>
        <v>chad</v>
      </c>
      <c r="O663">
        <f t="shared" si="123"/>
        <v>99.23</v>
      </c>
      <c r="P663">
        <f t="shared" si="124"/>
        <v>414.92009999999999</v>
      </c>
      <c r="Q663" s="3">
        <f t="shared" si="125"/>
        <v>0.64985036548815633</v>
      </c>
      <c r="R663" s="3">
        <f t="shared" si="126"/>
        <v>0.78743422685707642</v>
      </c>
      <c r="S663" s="9">
        <f t="shared" si="127"/>
        <v>0.13758386136892009</v>
      </c>
      <c r="T663">
        <f t="shared" si="128"/>
        <v>63</v>
      </c>
      <c r="U663">
        <f t="shared" si="129"/>
        <v>123</v>
      </c>
      <c r="V663" s="3">
        <f t="shared" si="130"/>
        <v>1.2760936380879377E-53</v>
      </c>
      <c r="W663" s="9">
        <f t="shared" si="131"/>
        <v>-1.2760936380879377E-53</v>
      </c>
      <c r="AC663"/>
    </row>
    <row r="664" spans="1:29" x14ac:dyDescent="0.25">
      <c r="A664" t="s">
        <v>158</v>
      </c>
      <c r="B664">
        <v>12</v>
      </c>
      <c r="C664" t="s">
        <v>958</v>
      </c>
      <c r="D664" t="s">
        <v>468</v>
      </c>
      <c r="E664">
        <v>9</v>
      </c>
      <c r="F664">
        <v>8.1300000000000008</v>
      </c>
      <c r="G664">
        <v>34.222499999999997</v>
      </c>
      <c r="H664" t="s">
        <v>47</v>
      </c>
      <c r="I664" t="s">
        <v>47</v>
      </c>
      <c r="J664" t="s">
        <v>40</v>
      </c>
      <c r="K664">
        <f t="shared" si="120"/>
        <v>96.019999999999982</v>
      </c>
      <c r="L664">
        <f t="shared" si="121"/>
        <v>375.18639999999999</v>
      </c>
      <c r="M664" t="e">
        <f t="shared" si="122"/>
        <v>#N/A</v>
      </c>
      <c r="N664" t="e">
        <f>INDEX(Scores!$A$2:$A$11,INDEX(Scores!$AA$2:$AA$131,MATCH(C664,Scores!$AB$2:$AB$131,0)))</f>
        <v>#N/A</v>
      </c>
      <c r="O664">
        <f t="shared" si="123"/>
        <v>0</v>
      </c>
      <c r="P664">
        <f t="shared" si="124"/>
        <v>0</v>
      </c>
      <c r="Q664" s="3">
        <f t="shared" si="125"/>
        <v>0.99999964245431261</v>
      </c>
      <c r="R664" s="3">
        <f t="shared" si="126"/>
        <v>0.99999992277139804</v>
      </c>
      <c r="S664" s="9">
        <f t="shared" si="127"/>
        <v>2.8031708543263534E-7</v>
      </c>
      <c r="T664">
        <f t="shared" si="128"/>
        <v>73</v>
      </c>
      <c r="U664">
        <f t="shared" si="129"/>
        <v>0</v>
      </c>
      <c r="V664" s="3">
        <f t="shared" si="130"/>
        <v>1</v>
      </c>
      <c r="W664" s="9">
        <f t="shared" si="131"/>
        <v>0</v>
      </c>
      <c r="AC664"/>
    </row>
    <row r="665" spans="1:29" x14ac:dyDescent="0.25">
      <c r="A665" t="s">
        <v>1107</v>
      </c>
      <c r="B665">
        <v>9</v>
      </c>
      <c r="C665" t="s">
        <v>971</v>
      </c>
      <c r="D665" t="s">
        <v>478</v>
      </c>
      <c r="E665">
        <v>3</v>
      </c>
      <c r="F665">
        <v>7.08</v>
      </c>
      <c r="G665">
        <v>16.2409</v>
      </c>
      <c r="H665" t="s">
        <v>478</v>
      </c>
      <c r="I665" t="s">
        <v>478</v>
      </c>
      <c r="J665" t="s">
        <v>49</v>
      </c>
      <c r="K665">
        <f t="shared" si="120"/>
        <v>94.12</v>
      </c>
      <c r="L665">
        <f t="shared" si="121"/>
        <v>378.32429999999999</v>
      </c>
      <c r="M665" t="str">
        <f t="shared" si="122"/>
        <v>chad-9</v>
      </c>
      <c r="N665" t="str">
        <f>INDEX(Scores!$A$2:$A$11,INDEX(Scores!$AA$2:$AA$131,MATCH(C665,Scores!$AB$2:$AB$131,0)))</f>
        <v>chad</v>
      </c>
      <c r="O665">
        <f t="shared" si="123"/>
        <v>100.46000000000001</v>
      </c>
      <c r="P665">
        <f t="shared" si="124"/>
        <v>387.61320000000001</v>
      </c>
      <c r="Q665" s="3">
        <f t="shared" si="125"/>
        <v>0.40940225853306977</v>
      </c>
      <c r="R665" s="3">
        <f t="shared" si="126"/>
        <v>0.35176429500669348</v>
      </c>
      <c r="S665" s="9">
        <f t="shared" si="127"/>
        <v>-5.763796352637629E-2</v>
      </c>
      <c r="T665">
        <f t="shared" si="128"/>
        <v>68</v>
      </c>
      <c r="U665">
        <f t="shared" si="129"/>
        <v>129</v>
      </c>
      <c r="V665" s="3">
        <f t="shared" si="130"/>
        <v>1.3497095925334599E-45</v>
      </c>
      <c r="W665" s="9">
        <f t="shared" si="131"/>
        <v>-1.3497095925334599E-45</v>
      </c>
      <c r="AC665"/>
    </row>
    <row r="666" spans="1:29" x14ac:dyDescent="0.25">
      <c r="A666" t="s">
        <v>213</v>
      </c>
      <c r="B666">
        <v>9</v>
      </c>
      <c r="C666" t="s">
        <v>971</v>
      </c>
      <c r="D666" t="s">
        <v>475</v>
      </c>
      <c r="E666">
        <v>0</v>
      </c>
      <c r="F666">
        <v>6.42</v>
      </c>
      <c r="G666">
        <v>17.977599999999999</v>
      </c>
      <c r="H666" t="s">
        <v>114</v>
      </c>
      <c r="I666" t="s">
        <v>114</v>
      </c>
      <c r="J666" t="s">
        <v>49</v>
      </c>
      <c r="K666">
        <f t="shared" si="120"/>
        <v>94.12</v>
      </c>
      <c r="L666">
        <f t="shared" si="121"/>
        <v>378.32429999999999</v>
      </c>
      <c r="M666" t="str">
        <f t="shared" si="122"/>
        <v>chad-9</v>
      </c>
      <c r="N666" t="str">
        <f>INDEX(Scores!$A$2:$A$11,INDEX(Scores!$AA$2:$AA$131,MATCH(C666,Scores!$AB$2:$AB$131,0)))</f>
        <v>chad</v>
      </c>
      <c r="O666">
        <f t="shared" si="123"/>
        <v>100.46000000000001</v>
      </c>
      <c r="P666">
        <f t="shared" si="124"/>
        <v>387.61320000000001</v>
      </c>
      <c r="Q666" s="3">
        <f t="shared" si="125"/>
        <v>0.40940225853306977</v>
      </c>
      <c r="R666" s="3">
        <f t="shared" si="126"/>
        <v>0.32040581224677089</v>
      </c>
      <c r="S666" s="9">
        <f t="shared" si="127"/>
        <v>-8.899644628629888E-2</v>
      </c>
      <c r="T666">
        <f t="shared" si="128"/>
        <v>68</v>
      </c>
      <c r="U666">
        <f t="shared" si="129"/>
        <v>129</v>
      </c>
      <c r="V666" s="3">
        <f t="shared" si="130"/>
        <v>3.208471523361314E-38</v>
      </c>
      <c r="W666" s="9">
        <f t="shared" si="131"/>
        <v>-3.208471523361314E-38</v>
      </c>
      <c r="AC666"/>
    </row>
    <row r="667" spans="1:29" x14ac:dyDescent="0.25">
      <c r="A667" t="s">
        <v>1159</v>
      </c>
      <c r="B667">
        <v>12</v>
      </c>
      <c r="C667" t="s">
        <v>910</v>
      </c>
      <c r="D667" t="s">
        <v>478</v>
      </c>
      <c r="E667">
        <v>8</v>
      </c>
      <c r="F667">
        <v>5.19</v>
      </c>
      <c r="G667">
        <v>12.96</v>
      </c>
      <c r="H667" t="s">
        <v>478</v>
      </c>
      <c r="I667" t="s">
        <v>478</v>
      </c>
      <c r="J667" t="s">
        <v>20</v>
      </c>
      <c r="K667">
        <f t="shared" si="120"/>
        <v>109.82</v>
      </c>
      <c r="L667">
        <f t="shared" si="121"/>
        <v>367.76499999999999</v>
      </c>
      <c r="M667" t="str">
        <f t="shared" si="122"/>
        <v>perry-12</v>
      </c>
      <c r="N667" t="str">
        <f>INDEX(Scores!$A$2:$A$11,INDEX(Scores!$AA$2:$AA$131,MATCH(C667,Scores!$AB$2:$AB$131,0)))</f>
        <v>perry</v>
      </c>
      <c r="O667">
        <f t="shared" si="123"/>
        <v>117.67999999999999</v>
      </c>
      <c r="P667">
        <f t="shared" si="124"/>
        <v>426.54240000000004</v>
      </c>
      <c r="Q667" s="3">
        <f t="shared" si="125"/>
        <v>0.39016577980232847</v>
      </c>
      <c r="R667" s="3">
        <f t="shared" si="126"/>
        <v>0.42831603905825077</v>
      </c>
      <c r="S667" s="9">
        <f t="shared" si="127"/>
        <v>3.8150259255922303E-2</v>
      </c>
      <c r="T667">
        <f t="shared" si="128"/>
        <v>88</v>
      </c>
      <c r="U667">
        <f t="shared" si="129"/>
        <v>131</v>
      </c>
      <c r="V667" s="3">
        <f t="shared" si="130"/>
        <v>2.1473740731345421E-37</v>
      </c>
      <c r="W667" s="9">
        <f t="shared" si="131"/>
        <v>-2.1473740731345421E-37</v>
      </c>
      <c r="AC667"/>
    </row>
    <row r="668" spans="1:29" x14ac:dyDescent="0.25">
      <c r="A668" t="s">
        <v>194</v>
      </c>
      <c r="B668">
        <v>10</v>
      </c>
      <c r="C668" t="s">
        <v>908</v>
      </c>
      <c r="D668" t="s">
        <v>473</v>
      </c>
      <c r="E668">
        <v>2</v>
      </c>
      <c r="F668">
        <v>6.95</v>
      </c>
      <c r="G668">
        <v>20.884899999999998</v>
      </c>
      <c r="H668" t="s">
        <v>87</v>
      </c>
      <c r="I668" t="s">
        <v>87</v>
      </c>
      <c r="J668" t="s">
        <v>20</v>
      </c>
      <c r="K668">
        <f t="shared" si="120"/>
        <v>101.17</v>
      </c>
      <c r="L668">
        <f t="shared" si="121"/>
        <v>351.19740000000002</v>
      </c>
      <c r="M668" t="str">
        <f t="shared" si="122"/>
        <v>comp-10</v>
      </c>
      <c r="N668" t="str">
        <f>INDEX(Scores!$A$2:$A$11,INDEX(Scores!$AA$2:$AA$131,MATCH(C668,Scores!$AB$2:$AB$131,0)))</f>
        <v>comp</v>
      </c>
      <c r="O668">
        <f t="shared" si="123"/>
        <v>99.050000000000011</v>
      </c>
      <c r="P668">
        <f t="shared" si="124"/>
        <v>345.4212</v>
      </c>
      <c r="Q668" s="3">
        <f t="shared" si="125"/>
        <v>0.53200969987678148</v>
      </c>
      <c r="R668" s="3">
        <f t="shared" si="126"/>
        <v>0.45665375292250632</v>
      </c>
      <c r="S668" s="9">
        <f t="shared" si="127"/>
        <v>-7.5355946954275166E-2</v>
      </c>
      <c r="T668">
        <f t="shared" si="128"/>
        <v>67</v>
      </c>
      <c r="U668">
        <f t="shared" si="129"/>
        <v>130</v>
      </c>
      <c r="V668" s="3">
        <f t="shared" si="130"/>
        <v>2.8669310340796686E-37</v>
      </c>
      <c r="W668" s="9">
        <f t="shared" si="131"/>
        <v>-2.8669310340796686E-37</v>
      </c>
      <c r="AC668"/>
    </row>
    <row r="669" spans="1:29" x14ac:dyDescent="0.25">
      <c r="A669" t="s">
        <v>446</v>
      </c>
      <c r="B669">
        <v>1</v>
      </c>
      <c r="C669" t="s">
        <v>507</v>
      </c>
      <c r="D669" t="s">
        <v>478</v>
      </c>
      <c r="E669">
        <v>9</v>
      </c>
      <c r="F669">
        <v>6.85</v>
      </c>
      <c r="G669">
        <v>16.2409</v>
      </c>
      <c r="H669" t="s">
        <v>478</v>
      </c>
      <c r="I669" t="s">
        <v>478</v>
      </c>
      <c r="J669" t="s">
        <v>55</v>
      </c>
      <c r="K669">
        <f t="shared" si="120"/>
        <v>90.7</v>
      </c>
      <c r="L669">
        <f t="shared" si="121"/>
        <v>347.93650000000002</v>
      </c>
      <c r="M669" t="str">
        <f t="shared" si="122"/>
        <v>scott-1</v>
      </c>
      <c r="N669" t="str">
        <f>INDEX(Scores!$A$2:$A$11,INDEX(Scores!$AA$2:$AA$131,MATCH(C669,Scores!$AB$2:$AB$131,0)))</f>
        <v>scott</v>
      </c>
      <c r="O669">
        <f t="shared" si="123"/>
        <v>102.78</v>
      </c>
      <c r="P669">
        <f t="shared" si="124"/>
        <v>382.14119999999997</v>
      </c>
      <c r="Q669" s="3">
        <f t="shared" si="125"/>
        <v>0.32740970845919121</v>
      </c>
      <c r="R669" s="3">
        <f t="shared" si="126"/>
        <v>0.35507174360187999</v>
      </c>
      <c r="S669" s="9">
        <f t="shared" si="127"/>
        <v>2.7662035142688779E-2</v>
      </c>
      <c r="T669">
        <f t="shared" si="128"/>
        <v>71</v>
      </c>
      <c r="U669">
        <f t="shared" si="129"/>
        <v>120</v>
      </c>
      <c r="V669" s="3">
        <f t="shared" si="130"/>
        <v>3.261745529732786E-37</v>
      </c>
      <c r="W669" s="9">
        <f t="shared" si="131"/>
        <v>-3.261745529732786E-37</v>
      </c>
      <c r="AC669"/>
    </row>
    <row r="670" spans="1:29" x14ac:dyDescent="0.25">
      <c r="A670" t="s">
        <v>113</v>
      </c>
      <c r="B670">
        <v>12</v>
      </c>
      <c r="C670" t="s">
        <v>958</v>
      </c>
      <c r="D670" t="s">
        <v>475</v>
      </c>
      <c r="E670">
        <v>20</v>
      </c>
      <c r="F670">
        <v>12.82</v>
      </c>
      <c r="G670">
        <v>50.41</v>
      </c>
      <c r="H670" t="s">
        <v>114</v>
      </c>
      <c r="I670" t="s">
        <v>114</v>
      </c>
      <c r="J670" t="s">
        <v>40</v>
      </c>
      <c r="K670">
        <f t="shared" si="120"/>
        <v>96.019999999999982</v>
      </c>
      <c r="L670">
        <f t="shared" si="121"/>
        <v>375.18639999999999</v>
      </c>
      <c r="M670" t="e">
        <f t="shared" si="122"/>
        <v>#N/A</v>
      </c>
      <c r="N670" t="e">
        <f>INDEX(Scores!$A$2:$A$11,INDEX(Scores!$AA$2:$AA$131,MATCH(C670,Scores!$AB$2:$AB$131,0)))</f>
        <v>#N/A</v>
      </c>
      <c r="O670">
        <f t="shared" si="123"/>
        <v>0</v>
      </c>
      <c r="P670">
        <f t="shared" si="124"/>
        <v>0</v>
      </c>
      <c r="Q670" s="3">
        <f t="shared" si="125"/>
        <v>0.99999964245431261</v>
      </c>
      <c r="R670" s="3">
        <f t="shared" si="126"/>
        <v>0.99999999487309521</v>
      </c>
      <c r="S670" s="9">
        <f t="shared" si="127"/>
        <v>3.524187826009495E-7</v>
      </c>
      <c r="T670">
        <f t="shared" si="128"/>
        <v>73</v>
      </c>
      <c r="U670">
        <f t="shared" si="129"/>
        <v>0</v>
      </c>
      <c r="V670" s="3">
        <f t="shared" si="130"/>
        <v>1</v>
      </c>
      <c r="W670" s="9">
        <f t="shared" si="131"/>
        <v>0</v>
      </c>
      <c r="AC670"/>
    </row>
    <row r="671" spans="1:29" x14ac:dyDescent="0.25">
      <c r="A671" t="s">
        <v>285</v>
      </c>
      <c r="B671">
        <v>8</v>
      </c>
      <c r="C671" t="s">
        <v>954</v>
      </c>
      <c r="D671" t="s">
        <v>466</v>
      </c>
      <c r="E671">
        <v>6</v>
      </c>
      <c r="F671">
        <v>4.8499999999999996</v>
      </c>
      <c r="G671">
        <v>9.7969000000000008</v>
      </c>
      <c r="H671" t="s">
        <v>466</v>
      </c>
      <c r="I671" t="s">
        <v>47</v>
      </c>
      <c r="J671" t="s">
        <v>40</v>
      </c>
      <c r="K671">
        <f t="shared" si="120"/>
        <v>93.289999999999992</v>
      </c>
      <c r="L671">
        <f t="shared" si="121"/>
        <v>315.97840000000008</v>
      </c>
      <c r="M671" t="e">
        <f t="shared" si="122"/>
        <v>#N/A</v>
      </c>
      <c r="N671" t="e">
        <f>INDEX(Scores!$A$2:$A$11,INDEX(Scores!$AA$2:$AA$131,MATCH(C671,Scores!$AB$2:$AB$131,0)))</f>
        <v>#N/A</v>
      </c>
      <c r="O671">
        <f t="shared" si="123"/>
        <v>0</v>
      </c>
      <c r="P671">
        <f t="shared" si="124"/>
        <v>0</v>
      </c>
      <c r="Q671" s="3">
        <f t="shared" si="125"/>
        <v>0.99999992318369246</v>
      </c>
      <c r="R671" s="3">
        <f t="shared" si="126"/>
        <v>0.99999996615083708</v>
      </c>
      <c r="S671" s="9">
        <f t="shared" si="127"/>
        <v>4.296714462004303E-8</v>
      </c>
      <c r="T671">
        <f t="shared" si="128"/>
        <v>75</v>
      </c>
      <c r="U671">
        <f t="shared" si="129"/>
        <v>0</v>
      </c>
      <c r="V671" s="3">
        <f t="shared" si="130"/>
        <v>1</v>
      </c>
      <c r="W671" s="9">
        <f t="shared" si="131"/>
        <v>0</v>
      </c>
      <c r="AC671"/>
    </row>
    <row r="672" spans="1:29" x14ac:dyDescent="0.25">
      <c r="A672" t="s">
        <v>455</v>
      </c>
      <c r="B672">
        <v>3</v>
      </c>
      <c r="C672" t="s">
        <v>811</v>
      </c>
      <c r="D672" t="s">
        <v>478</v>
      </c>
      <c r="E672">
        <v>2</v>
      </c>
      <c r="F672">
        <v>7.53</v>
      </c>
      <c r="G672">
        <v>20.070399999999999</v>
      </c>
      <c r="H672" t="s">
        <v>478</v>
      </c>
      <c r="I672" t="s">
        <v>478</v>
      </c>
      <c r="J672" t="s">
        <v>35</v>
      </c>
      <c r="K672">
        <f t="shared" si="120"/>
        <v>110.36</v>
      </c>
      <c r="L672">
        <f t="shared" si="121"/>
        <v>421.178</v>
      </c>
      <c r="M672" t="str">
        <f t="shared" si="122"/>
        <v>chad-3</v>
      </c>
      <c r="N672" t="str">
        <f>INDEX(Scores!$A$2:$A$11,INDEX(Scores!$AA$2:$AA$131,MATCH(C672,Scores!$AB$2:$AB$131,0)))</f>
        <v>chad</v>
      </c>
      <c r="O672">
        <f t="shared" si="123"/>
        <v>99.23</v>
      </c>
      <c r="P672">
        <f t="shared" si="124"/>
        <v>414.92009999999999</v>
      </c>
      <c r="Q672" s="3">
        <f t="shared" si="125"/>
        <v>0.64985036548815633</v>
      </c>
      <c r="R672" s="3">
        <f t="shared" si="126"/>
        <v>0.57770896042907449</v>
      </c>
      <c r="S672" s="9">
        <f t="shared" si="127"/>
        <v>-7.2141405059081842E-2</v>
      </c>
      <c r="T672">
        <f t="shared" si="128"/>
        <v>63</v>
      </c>
      <c r="U672">
        <f t="shared" si="129"/>
        <v>123</v>
      </c>
      <c r="V672" s="3">
        <f t="shared" si="130"/>
        <v>2.5855280017136965E-34</v>
      </c>
      <c r="W672" s="9">
        <f t="shared" si="131"/>
        <v>-2.5855280017136965E-34</v>
      </c>
      <c r="AC672"/>
    </row>
    <row r="673" spans="1:29" x14ac:dyDescent="0.25">
      <c r="A673" t="s">
        <v>191</v>
      </c>
      <c r="B673">
        <v>12</v>
      </c>
      <c r="C673" t="s">
        <v>958</v>
      </c>
      <c r="D673" t="s">
        <v>471</v>
      </c>
      <c r="E673">
        <v>8</v>
      </c>
      <c r="F673">
        <v>11.16</v>
      </c>
      <c r="G673">
        <v>42.771599999999999</v>
      </c>
      <c r="H673" t="s">
        <v>87</v>
      </c>
      <c r="I673" t="s">
        <v>87</v>
      </c>
      <c r="J673" t="s">
        <v>40</v>
      </c>
      <c r="K673">
        <f t="shared" si="120"/>
        <v>96.019999999999982</v>
      </c>
      <c r="L673">
        <f t="shared" si="121"/>
        <v>375.18639999999999</v>
      </c>
      <c r="M673" t="e">
        <f t="shared" si="122"/>
        <v>#N/A</v>
      </c>
      <c r="N673" t="e">
        <f>INDEX(Scores!$A$2:$A$11,INDEX(Scores!$AA$2:$AA$131,MATCH(C673,Scores!$AB$2:$AB$131,0)))</f>
        <v>#N/A</v>
      </c>
      <c r="O673">
        <f t="shared" si="123"/>
        <v>0</v>
      </c>
      <c r="P673">
        <f t="shared" si="124"/>
        <v>0</v>
      </c>
      <c r="Q673" s="3">
        <f t="shared" si="125"/>
        <v>0.99999964245431261</v>
      </c>
      <c r="R673" s="3">
        <f t="shared" si="126"/>
        <v>0.9999998239407627</v>
      </c>
      <c r="S673" s="9">
        <f t="shared" si="127"/>
        <v>1.8148645009041786E-7</v>
      </c>
      <c r="T673">
        <f t="shared" si="128"/>
        <v>73</v>
      </c>
      <c r="U673">
        <f t="shared" si="129"/>
        <v>0</v>
      </c>
      <c r="V673" s="3">
        <f t="shared" si="130"/>
        <v>1</v>
      </c>
      <c r="W673" s="9">
        <f t="shared" si="131"/>
        <v>0</v>
      </c>
      <c r="AC673"/>
    </row>
    <row r="674" spans="1:29" x14ac:dyDescent="0.25">
      <c r="A674" t="s">
        <v>173</v>
      </c>
      <c r="B674">
        <v>10</v>
      </c>
      <c r="C674" t="s">
        <v>908</v>
      </c>
      <c r="D674" t="s">
        <v>472</v>
      </c>
      <c r="E674">
        <v>5</v>
      </c>
      <c r="F674">
        <v>6.74</v>
      </c>
      <c r="G674">
        <v>26.9361</v>
      </c>
      <c r="H674" t="s">
        <v>87</v>
      </c>
      <c r="I674" t="s">
        <v>87</v>
      </c>
      <c r="J674" t="s">
        <v>20</v>
      </c>
      <c r="K674">
        <f t="shared" si="120"/>
        <v>101.17</v>
      </c>
      <c r="L674">
        <f t="shared" si="121"/>
        <v>351.19740000000002</v>
      </c>
      <c r="M674" t="str">
        <f t="shared" si="122"/>
        <v>comp-10</v>
      </c>
      <c r="N674" t="str">
        <f>INDEX(Scores!$A$2:$A$11,INDEX(Scores!$AA$2:$AA$131,MATCH(C674,Scores!$AB$2:$AB$131,0)))</f>
        <v>comp</v>
      </c>
      <c r="O674">
        <f t="shared" si="123"/>
        <v>99.050000000000011</v>
      </c>
      <c r="P674">
        <f t="shared" si="124"/>
        <v>345.4212</v>
      </c>
      <c r="Q674" s="3">
        <f t="shared" si="125"/>
        <v>0.53200969987678148</v>
      </c>
      <c r="R674" s="3">
        <f t="shared" si="126"/>
        <v>0.50585792193952539</v>
      </c>
      <c r="S674" s="9">
        <f t="shared" si="127"/>
        <v>-2.6151777937256093E-2</v>
      </c>
      <c r="T674">
        <f t="shared" si="128"/>
        <v>67</v>
      </c>
      <c r="U674">
        <f t="shared" si="129"/>
        <v>130</v>
      </c>
      <c r="V674" s="3">
        <f t="shared" si="130"/>
        <v>1.872748240212978E-32</v>
      </c>
      <c r="W674" s="9">
        <f t="shared" si="131"/>
        <v>-1.872748240212978E-32</v>
      </c>
      <c r="AC674"/>
    </row>
    <row r="675" spans="1:29" x14ac:dyDescent="0.25">
      <c r="A675" t="s">
        <v>417</v>
      </c>
      <c r="B675">
        <v>12</v>
      </c>
      <c r="C675" t="s">
        <v>958</v>
      </c>
      <c r="D675" t="s">
        <v>477</v>
      </c>
      <c r="E675">
        <v>2</v>
      </c>
      <c r="F675">
        <v>9.1</v>
      </c>
      <c r="G675">
        <v>41.2164</v>
      </c>
      <c r="H675" t="s">
        <v>477</v>
      </c>
      <c r="I675" t="s">
        <v>477</v>
      </c>
      <c r="J675" t="s">
        <v>40</v>
      </c>
      <c r="K675">
        <f t="shared" si="120"/>
        <v>96.019999999999982</v>
      </c>
      <c r="L675">
        <f t="shared" si="121"/>
        <v>375.18639999999999</v>
      </c>
      <c r="M675" t="e">
        <f t="shared" si="122"/>
        <v>#N/A</v>
      </c>
      <c r="N675" t="e">
        <f>INDEX(Scores!$A$2:$A$11,INDEX(Scores!$AA$2:$AA$131,MATCH(C675,Scores!$AB$2:$AB$131,0)))</f>
        <v>#N/A</v>
      </c>
      <c r="O675">
        <f t="shared" si="123"/>
        <v>0</v>
      </c>
      <c r="P675">
        <f t="shared" si="124"/>
        <v>0</v>
      </c>
      <c r="Q675" s="3">
        <f t="shared" si="125"/>
        <v>0.99999964245431261</v>
      </c>
      <c r="R675" s="3">
        <f t="shared" si="126"/>
        <v>0.99999942975078648</v>
      </c>
      <c r="S675" s="9">
        <f t="shared" si="127"/>
        <v>-2.1270352612567933E-7</v>
      </c>
      <c r="T675">
        <f t="shared" si="128"/>
        <v>73</v>
      </c>
      <c r="U675">
        <f t="shared" si="129"/>
        <v>0</v>
      </c>
      <c r="V675" s="3">
        <f t="shared" si="130"/>
        <v>1</v>
      </c>
      <c r="W675" s="9">
        <f t="shared" si="131"/>
        <v>0</v>
      </c>
      <c r="AC675"/>
    </row>
    <row r="676" spans="1:29" x14ac:dyDescent="0.25">
      <c r="A676" t="s">
        <v>217</v>
      </c>
      <c r="B676">
        <v>10</v>
      </c>
      <c r="C676" t="s">
        <v>908</v>
      </c>
      <c r="D676" t="s">
        <v>475</v>
      </c>
      <c r="E676">
        <v>1</v>
      </c>
      <c r="F676">
        <v>5.43</v>
      </c>
      <c r="G676">
        <v>25.401599999999998</v>
      </c>
      <c r="H676" t="s">
        <v>114</v>
      </c>
      <c r="I676" t="s">
        <v>114</v>
      </c>
      <c r="J676" t="s">
        <v>20</v>
      </c>
      <c r="K676">
        <f t="shared" si="120"/>
        <v>101.17</v>
      </c>
      <c r="L676">
        <f t="shared" si="121"/>
        <v>351.19740000000002</v>
      </c>
      <c r="M676" t="str">
        <f t="shared" si="122"/>
        <v>comp-10</v>
      </c>
      <c r="N676" t="str">
        <f>INDEX(Scores!$A$2:$A$11,INDEX(Scores!$AA$2:$AA$131,MATCH(C676,Scores!$AB$2:$AB$131,0)))</f>
        <v>comp</v>
      </c>
      <c r="O676">
        <f t="shared" si="123"/>
        <v>99.050000000000011</v>
      </c>
      <c r="P676">
        <f t="shared" si="124"/>
        <v>345.4212</v>
      </c>
      <c r="Q676" s="3">
        <f t="shared" si="125"/>
        <v>0.53200969987678148</v>
      </c>
      <c r="R676" s="3">
        <f t="shared" si="126"/>
        <v>0.46447652485163243</v>
      </c>
      <c r="S676" s="9">
        <f t="shared" si="127"/>
        <v>-6.753317502514905E-2</v>
      </c>
      <c r="T676">
        <f t="shared" si="128"/>
        <v>67</v>
      </c>
      <c r="U676">
        <f t="shared" si="129"/>
        <v>130</v>
      </c>
      <c r="V676" s="3">
        <f t="shared" si="130"/>
        <v>1.6111060870447463E-31</v>
      </c>
      <c r="W676" s="9">
        <f t="shared" si="131"/>
        <v>-1.6111060870447463E-31</v>
      </c>
      <c r="AC676"/>
    </row>
    <row r="677" spans="1:29" x14ac:dyDescent="0.25">
      <c r="A677" t="s">
        <v>206</v>
      </c>
      <c r="B677">
        <v>3</v>
      </c>
      <c r="C677" t="s">
        <v>811</v>
      </c>
      <c r="D677" t="s">
        <v>475</v>
      </c>
      <c r="E677">
        <v>0</v>
      </c>
      <c r="F677">
        <v>6.43</v>
      </c>
      <c r="G677">
        <v>21.252099999999999</v>
      </c>
      <c r="H677" t="s">
        <v>114</v>
      </c>
      <c r="I677" t="s">
        <v>114</v>
      </c>
      <c r="J677" t="s">
        <v>35</v>
      </c>
      <c r="K677">
        <f t="shared" si="120"/>
        <v>110.36</v>
      </c>
      <c r="L677">
        <f t="shared" si="121"/>
        <v>421.178</v>
      </c>
      <c r="M677" t="str">
        <f t="shared" si="122"/>
        <v>chad-3</v>
      </c>
      <c r="N677" t="str">
        <f>INDEX(Scores!$A$2:$A$11,INDEX(Scores!$AA$2:$AA$131,MATCH(C677,Scores!$AB$2:$AB$131,0)))</f>
        <v>chad</v>
      </c>
      <c r="O677">
        <f t="shared" si="123"/>
        <v>99.23</v>
      </c>
      <c r="P677">
        <f t="shared" si="124"/>
        <v>414.92009999999999</v>
      </c>
      <c r="Q677" s="3">
        <f t="shared" si="125"/>
        <v>0.64985036548815633</v>
      </c>
      <c r="R677" s="3">
        <f t="shared" si="126"/>
        <v>0.56539001741566197</v>
      </c>
      <c r="S677" s="9">
        <f t="shared" si="127"/>
        <v>-8.4460348072494362E-2</v>
      </c>
      <c r="T677">
        <f t="shared" si="128"/>
        <v>63</v>
      </c>
      <c r="U677">
        <f t="shared" si="129"/>
        <v>123</v>
      </c>
      <c r="V677" s="3">
        <f t="shared" si="130"/>
        <v>1.6232456001286938E-31</v>
      </c>
      <c r="W677" s="9">
        <f t="shared" si="131"/>
        <v>-1.6232456001286938E-31</v>
      </c>
      <c r="AC677"/>
    </row>
    <row r="678" spans="1:29" x14ac:dyDescent="0.25">
      <c r="A678" t="s">
        <v>251</v>
      </c>
      <c r="B678">
        <v>12</v>
      </c>
      <c r="C678" t="s">
        <v>958</v>
      </c>
      <c r="D678" t="s">
        <v>466</v>
      </c>
      <c r="E678">
        <v>10</v>
      </c>
      <c r="F678">
        <v>9.27</v>
      </c>
      <c r="G678">
        <v>51.122500000000002</v>
      </c>
      <c r="H678" t="s">
        <v>466</v>
      </c>
      <c r="I678" t="s">
        <v>87</v>
      </c>
      <c r="J678" t="s">
        <v>40</v>
      </c>
      <c r="K678">
        <f t="shared" si="120"/>
        <v>96.019999999999982</v>
      </c>
      <c r="L678">
        <f t="shared" si="121"/>
        <v>375.18639999999999</v>
      </c>
      <c r="M678" t="e">
        <f t="shared" si="122"/>
        <v>#N/A</v>
      </c>
      <c r="N678" t="e">
        <f>INDEX(Scores!$A$2:$A$11,INDEX(Scores!$AA$2:$AA$131,MATCH(C678,Scores!$AB$2:$AB$131,0)))</f>
        <v>#N/A</v>
      </c>
      <c r="O678">
        <f t="shared" si="123"/>
        <v>0</v>
      </c>
      <c r="P678">
        <f t="shared" si="124"/>
        <v>0</v>
      </c>
      <c r="Q678" s="3">
        <f t="shared" si="125"/>
        <v>0.99999964245431261</v>
      </c>
      <c r="R678" s="3">
        <f t="shared" si="126"/>
        <v>0.99999996159587445</v>
      </c>
      <c r="S678" s="9">
        <f t="shared" si="127"/>
        <v>3.1914156184420506E-7</v>
      </c>
      <c r="T678">
        <f t="shared" si="128"/>
        <v>73</v>
      </c>
      <c r="U678">
        <f t="shared" si="129"/>
        <v>0</v>
      </c>
      <c r="V678" s="3">
        <f t="shared" si="130"/>
        <v>1</v>
      </c>
      <c r="W678" s="9">
        <f t="shared" si="131"/>
        <v>0</v>
      </c>
      <c r="AC678"/>
    </row>
    <row r="679" spans="1:29" x14ac:dyDescent="0.25">
      <c r="A679" t="s">
        <v>464</v>
      </c>
      <c r="B679">
        <v>5</v>
      </c>
      <c r="C679" t="s">
        <v>886</v>
      </c>
      <c r="D679" t="s">
        <v>478</v>
      </c>
      <c r="E679">
        <v>1</v>
      </c>
      <c r="F679">
        <v>7.24</v>
      </c>
      <c r="G679">
        <v>14.7456</v>
      </c>
      <c r="H679" t="s">
        <v>478</v>
      </c>
      <c r="I679" t="s">
        <v>478</v>
      </c>
      <c r="J679" t="s">
        <v>62</v>
      </c>
      <c r="K679">
        <f t="shared" si="120"/>
        <v>103.98</v>
      </c>
      <c r="L679">
        <f t="shared" si="121"/>
        <v>400.98380000000003</v>
      </c>
      <c r="M679" t="str">
        <f t="shared" si="122"/>
        <v>comp-5</v>
      </c>
      <c r="N679" t="str">
        <f>INDEX(Scores!$A$2:$A$11,INDEX(Scores!$AA$2:$AA$131,MATCH(C679,Scores!$AB$2:$AB$131,0)))</f>
        <v>comp</v>
      </c>
      <c r="O679">
        <f t="shared" si="123"/>
        <v>98.17</v>
      </c>
      <c r="P679">
        <f t="shared" si="124"/>
        <v>359.81479999999999</v>
      </c>
      <c r="Q679" s="3">
        <f t="shared" si="125"/>
        <v>0.58341598360206426</v>
      </c>
      <c r="R679" s="3">
        <f t="shared" si="126"/>
        <v>0.49371976720998312</v>
      </c>
      <c r="S679" s="9">
        <f t="shared" si="127"/>
        <v>-8.9696216392081141E-2</v>
      </c>
      <c r="T679">
        <f t="shared" si="128"/>
        <v>71</v>
      </c>
      <c r="U679">
        <f t="shared" si="129"/>
        <v>121</v>
      </c>
      <c r="V679" s="3">
        <f t="shared" si="130"/>
        <v>2.1930655877569905E-30</v>
      </c>
      <c r="W679" s="9">
        <f t="shared" si="131"/>
        <v>-2.1930655877569905E-30</v>
      </c>
      <c r="AC679"/>
    </row>
    <row r="680" spans="1:29" x14ac:dyDescent="0.25">
      <c r="A680" t="s">
        <v>145</v>
      </c>
      <c r="B680">
        <v>9</v>
      </c>
      <c r="C680" t="s">
        <v>971</v>
      </c>
      <c r="D680" t="s">
        <v>468</v>
      </c>
      <c r="E680">
        <v>7</v>
      </c>
      <c r="F680">
        <v>7.24</v>
      </c>
      <c r="G680">
        <v>28.729600000000001</v>
      </c>
      <c r="H680" t="s">
        <v>47</v>
      </c>
      <c r="I680" t="s">
        <v>47</v>
      </c>
      <c r="J680" t="s">
        <v>49</v>
      </c>
      <c r="K680">
        <f t="shared" si="120"/>
        <v>94.12</v>
      </c>
      <c r="L680">
        <f t="shared" si="121"/>
        <v>378.32429999999999</v>
      </c>
      <c r="M680" t="str">
        <f t="shared" si="122"/>
        <v>chad-9</v>
      </c>
      <c r="N680" t="str">
        <f>INDEX(Scores!$A$2:$A$11,INDEX(Scores!$AA$2:$AA$131,MATCH(C680,Scores!$AB$2:$AB$131,0)))</f>
        <v>chad</v>
      </c>
      <c r="O680">
        <f t="shared" si="123"/>
        <v>100.46000000000001</v>
      </c>
      <c r="P680">
        <f t="shared" si="124"/>
        <v>387.61320000000001</v>
      </c>
      <c r="Q680" s="3">
        <f t="shared" si="125"/>
        <v>0.40940225853306977</v>
      </c>
      <c r="R680" s="3">
        <f t="shared" si="126"/>
        <v>0.40425710713602908</v>
      </c>
      <c r="S680" s="9">
        <f t="shared" si="127"/>
        <v>-5.1451513970406926E-3</v>
      </c>
      <c r="T680">
        <f t="shared" si="128"/>
        <v>68</v>
      </c>
      <c r="U680">
        <f t="shared" si="129"/>
        <v>129</v>
      </c>
      <c r="V680" s="3">
        <f t="shared" si="130"/>
        <v>4.3605260607503477E-30</v>
      </c>
      <c r="W680" s="9">
        <f t="shared" si="131"/>
        <v>-4.3605260607503477E-30</v>
      </c>
      <c r="AC680"/>
    </row>
    <row r="681" spans="1:29" x14ac:dyDescent="0.25">
      <c r="A681" t="s">
        <v>450</v>
      </c>
      <c r="B681">
        <v>11</v>
      </c>
      <c r="C681" t="s">
        <v>933</v>
      </c>
      <c r="D681" t="s">
        <v>478</v>
      </c>
      <c r="E681">
        <v>11</v>
      </c>
      <c r="F681">
        <v>7.03</v>
      </c>
      <c r="G681">
        <v>19.5364</v>
      </c>
      <c r="H681" t="s">
        <v>478</v>
      </c>
      <c r="I681" t="s">
        <v>478</v>
      </c>
      <c r="J681" t="s">
        <v>35</v>
      </c>
      <c r="K681">
        <f t="shared" si="120"/>
        <v>100.25</v>
      </c>
      <c r="L681">
        <f t="shared" si="121"/>
        <v>448.76889999999997</v>
      </c>
      <c r="M681" t="str">
        <f t="shared" si="122"/>
        <v>scott-11</v>
      </c>
      <c r="N681" t="str">
        <f>INDEX(Scores!$A$2:$A$11,INDEX(Scores!$AA$2:$AA$131,MATCH(C681,Scores!$AB$2:$AB$131,0)))</f>
        <v>scott</v>
      </c>
      <c r="O681">
        <f t="shared" si="123"/>
        <v>105.39999999999999</v>
      </c>
      <c r="P681">
        <f t="shared" si="124"/>
        <v>342.09739999999999</v>
      </c>
      <c r="Q681" s="3">
        <f t="shared" si="125"/>
        <v>0.42734863744074048</v>
      </c>
      <c r="R681" s="3">
        <f t="shared" si="126"/>
        <v>0.48305500905194609</v>
      </c>
      <c r="S681" s="9">
        <f t="shared" si="127"/>
        <v>5.5706371611205618E-2</v>
      </c>
      <c r="T681">
        <f t="shared" si="128"/>
        <v>78</v>
      </c>
      <c r="U681">
        <f t="shared" si="129"/>
        <v>124</v>
      </c>
      <c r="V681" s="3">
        <f t="shared" si="130"/>
        <v>6.1674311794332746E-30</v>
      </c>
      <c r="W681" s="9">
        <f t="shared" si="131"/>
        <v>-6.1674311794332746E-30</v>
      </c>
      <c r="AC681"/>
    </row>
    <row r="682" spans="1:29" x14ac:dyDescent="0.25">
      <c r="A682" t="s">
        <v>112</v>
      </c>
      <c r="B682">
        <v>9</v>
      </c>
      <c r="C682" t="s">
        <v>971</v>
      </c>
      <c r="D682" t="s">
        <v>466</v>
      </c>
      <c r="E682">
        <v>14</v>
      </c>
      <c r="F682">
        <v>8.51</v>
      </c>
      <c r="G682">
        <v>34.692100000000003</v>
      </c>
      <c r="H682" t="s">
        <v>466</v>
      </c>
      <c r="I682" t="s">
        <v>47</v>
      </c>
      <c r="J682" t="s">
        <v>49</v>
      </c>
      <c r="K682">
        <f t="shared" si="120"/>
        <v>94.12</v>
      </c>
      <c r="L682">
        <f t="shared" si="121"/>
        <v>378.32429999999999</v>
      </c>
      <c r="M682" t="str">
        <f t="shared" si="122"/>
        <v>chad-9</v>
      </c>
      <c r="N682" t="str">
        <f>INDEX(Scores!$A$2:$A$11,INDEX(Scores!$AA$2:$AA$131,MATCH(C682,Scores!$AB$2:$AB$131,0)))</f>
        <v>chad</v>
      </c>
      <c r="O682">
        <f t="shared" si="123"/>
        <v>100.46000000000001</v>
      </c>
      <c r="P682">
        <f t="shared" si="124"/>
        <v>387.61320000000001</v>
      </c>
      <c r="Q682" s="3">
        <f t="shared" si="125"/>
        <v>0.40940225853306977</v>
      </c>
      <c r="R682" s="3">
        <f t="shared" si="126"/>
        <v>0.48746206811989806</v>
      </c>
      <c r="S682" s="9">
        <f t="shared" si="127"/>
        <v>7.8059809586828288E-2</v>
      </c>
      <c r="T682">
        <f t="shared" si="128"/>
        <v>68</v>
      </c>
      <c r="U682">
        <f t="shared" si="129"/>
        <v>129</v>
      </c>
      <c r="V682" s="3">
        <f t="shared" si="130"/>
        <v>7.4677588759515246E-30</v>
      </c>
      <c r="W682" s="9">
        <f t="shared" si="131"/>
        <v>-7.4677588759515246E-30</v>
      </c>
      <c r="AC682"/>
    </row>
    <row r="683" spans="1:29" x14ac:dyDescent="0.25">
      <c r="A683" t="s">
        <v>420</v>
      </c>
      <c r="B683">
        <v>1</v>
      </c>
      <c r="C683" t="s">
        <v>507</v>
      </c>
      <c r="D683" t="s">
        <v>477</v>
      </c>
      <c r="E683">
        <v>29</v>
      </c>
      <c r="F683">
        <v>6.42</v>
      </c>
      <c r="G683">
        <v>41.088099999999997</v>
      </c>
      <c r="H683" t="s">
        <v>477</v>
      </c>
      <c r="I683" t="s">
        <v>477</v>
      </c>
      <c r="J683" t="s">
        <v>55</v>
      </c>
      <c r="K683">
        <f t="shared" si="120"/>
        <v>90.7</v>
      </c>
      <c r="L683">
        <f t="shared" si="121"/>
        <v>347.93650000000002</v>
      </c>
      <c r="M683" t="str">
        <f t="shared" si="122"/>
        <v>scott-1</v>
      </c>
      <c r="N683" t="str">
        <f>INDEX(Scores!$A$2:$A$11,INDEX(Scores!$AA$2:$AA$131,MATCH(C683,Scores!$AB$2:$AB$131,0)))</f>
        <v>scott</v>
      </c>
      <c r="O683">
        <f t="shared" si="123"/>
        <v>102.78</v>
      </c>
      <c r="P683">
        <f t="shared" si="124"/>
        <v>382.14119999999997</v>
      </c>
      <c r="Q683" s="3">
        <f t="shared" si="125"/>
        <v>0.32740970845919121</v>
      </c>
      <c r="R683" s="3">
        <f t="shared" si="126"/>
        <v>0.6554295344912322</v>
      </c>
      <c r="S683" s="9">
        <f t="shared" si="127"/>
        <v>0.328019826032041</v>
      </c>
      <c r="T683">
        <f t="shared" si="128"/>
        <v>71</v>
      </c>
      <c r="U683">
        <f t="shared" si="129"/>
        <v>120</v>
      </c>
      <c r="V683" s="3">
        <f t="shared" si="130"/>
        <v>2.9596841116889915E-29</v>
      </c>
      <c r="W683" s="9">
        <f t="shared" si="131"/>
        <v>-2.9596841116889915E-29</v>
      </c>
      <c r="AC683"/>
    </row>
    <row r="684" spans="1:29" x14ac:dyDescent="0.25">
      <c r="A684" t="s">
        <v>194</v>
      </c>
      <c r="B684">
        <v>12</v>
      </c>
      <c r="C684" t="s">
        <v>910</v>
      </c>
      <c r="D684" t="s">
        <v>473</v>
      </c>
      <c r="E684">
        <v>12</v>
      </c>
      <c r="F684">
        <v>5.49</v>
      </c>
      <c r="G684">
        <v>20.070399999999999</v>
      </c>
      <c r="H684" t="s">
        <v>87</v>
      </c>
      <c r="I684" t="s">
        <v>87</v>
      </c>
      <c r="J684" t="s">
        <v>20</v>
      </c>
      <c r="K684">
        <f t="shared" si="120"/>
        <v>109.82</v>
      </c>
      <c r="L684">
        <f t="shared" si="121"/>
        <v>367.76499999999999</v>
      </c>
      <c r="M684" t="str">
        <f t="shared" si="122"/>
        <v>perry-12</v>
      </c>
      <c r="N684" t="str">
        <f>INDEX(Scores!$A$2:$A$11,INDEX(Scores!$AA$2:$AA$131,MATCH(C684,Scores!$AB$2:$AB$131,0)))</f>
        <v>perry</v>
      </c>
      <c r="O684">
        <f t="shared" si="123"/>
        <v>117.67999999999999</v>
      </c>
      <c r="P684">
        <f t="shared" si="124"/>
        <v>426.54240000000004</v>
      </c>
      <c r="Q684" s="3">
        <f t="shared" si="125"/>
        <v>0.39016577980232847</v>
      </c>
      <c r="R684" s="3">
        <f t="shared" si="126"/>
        <v>0.48065198047857277</v>
      </c>
      <c r="S684" s="9">
        <f t="shared" si="127"/>
        <v>9.0486200676244299E-2</v>
      </c>
      <c r="T684">
        <f t="shared" si="128"/>
        <v>88</v>
      </c>
      <c r="U684">
        <f t="shared" si="129"/>
        <v>131</v>
      </c>
      <c r="V684" s="3">
        <f t="shared" si="130"/>
        <v>1.0798431397411223E-28</v>
      </c>
      <c r="W684" s="9">
        <f t="shared" si="131"/>
        <v>-1.0798431397411223E-28</v>
      </c>
      <c r="AC684"/>
    </row>
    <row r="685" spans="1:29" x14ac:dyDescent="0.25">
      <c r="A685" t="s">
        <v>122</v>
      </c>
      <c r="B685">
        <v>10</v>
      </c>
      <c r="C685" t="s">
        <v>908</v>
      </c>
      <c r="D685" t="s">
        <v>466</v>
      </c>
      <c r="E685">
        <v>15</v>
      </c>
      <c r="F685">
        <v>10.72</v>
      </c>
      <c r="G685">
        <v>37.21</v>
      </c>
      <c r="H685" t="s">
        <v>466</v>
      </c>
      <c r="I685" t="s">
        <v>87</v>
      </c>
      <c r="J685" t="s">
        <v>20</v>
      </c>
      <c r="K685">
        <f t="shared" si="120"/>
        <v>101.17</v>
      </c>
      <c r="L685">
        <f t="shared" si="121"/>
        <v>351.19740000000002</v>
      </c>
      <c r="M685" t="str">
        <f t="shared" si="122"/>
        <v>comp-10</v>
      </c>
      <c r="N685" t="str">
        <f>INDEX(Scores!$A$2:$A$11,INDEX(Scores!$AA$2:$AA$131,MATCH(C685,Scores!$AB$2:$AB$131,0)))</f>
        <v>comp</v>
      </c>
      <c r="O685">
        <f t="shared" si="123"/>
        <v>99.050000000000011</v>
      </c>
      <c r="P685">
        <f t="shared" si="124"/>
        <v>345.4212</v>
      </c>
      <c r="Q685" s="3">
        <f t="shared" si="125"/>
        <v>0.53200969987678148</v>
      </c>
      <c r="R685" s="3">
        <f t="shared" si="126"/>
        <v>0.59840908484296951</v>
      </c>
      <c r="S685" s="9">
        <f t="shared" si="127"/>
        <v>6.6399384966188024E-2</v>
      </c>
      <c r="T685">
        <f t="shared" si="128"/>
        <v>67</v>
      </c>
      <c r="U685">
        <f t="shared" si="129"/>
        <v>130</v>
      </c>
      <c r="V685" s="3">
        <f t="shared" si="130"/>
        <v>1.3768337129705295E-28</v>
      </c>
      <c r="W685" s="9">
        <f t="shared" si="131"/>
        <v>-1.3768337129705295E-28</v>
      </c>
      <c r="AC685"/>
    </row>
    <row r="686" spans="1:29" x14ac:dyDescent="0.25">
      <c r="A686" t="s">
        <v>154</v>
      </c>
      <c r="B686">
        <v>10</v>
      </c>
      <c r="C686" t="s">
        <v>908</v>
      </c>
      <c r="D686" t="s">
        <v>471</v>
      </c>
      <c r="E686">
        <v>4</v>
      </c>
      <c r="F686">
        <v>8.7200000000000006</v>
      </c>
      <c r="G686">
        <v>28.196100000000001</v>
      </c>
      <c r="H686" t="s">
        <v>87</v>
      </c>
      <c r="I686" t="s">
        <v>87</v>
      </c>
      <c r="J686" t="s">
        <v>20</v>
      </c>
      <c r="K686">
        <f t="shared" si="120"/>
        <v>101.17</v>
      </c>
      <c r="L686">
        <f t="shared" si="121"/>
        <v>351.19740000000002</v>
      </c>
      <c r="M686" t="str">
        <f t="shared" si="122"/>
        <v>comp-10</v>
      </c>
      <c r="N686" t="str">
        <f>INDEX(Scores!$A$2:$A$11,INDEX(Scores!$AA$2:$AA$131,MATCH(C686,Scores!$AB$2:$AB$131,0)))</f>
        <v>comp</v>
      </c>
      <c r="O686">
        <f t="shared" si="123"/>
        <v>99.050000000000011</v>
      </c>
      <c r="P686">
        <f t="shared" si="124"/>
        <v>345.4212</v>
      </c>
      <c r="Q686" s="3">
        <f t="shared" si="125"/>
        <v>0.53200969987678148</v>
      </c>
      <c r="R686" s="3">
        <f t="shared" si="126"/>
        <v>0.45994780266052843</v>
      </c>
      <c r="S686" s="9">
        <f t="shared" si="127"/>
        <v>-7.2061897216253057E-2</v>
      </c>
      <c r="T686">
        <f t="shared" si="128"/>
        <v>67</v>
      </c>
      <c r="U686">
        <f t="shared" si="129"/>
        <v>130</v>
      </c>
      <c r="V686" s="3">
        <f t="shared" si="130"/>
        <v>2.5058918065920232E-28</v>
      </c>
      <c r="W686" s="9">
        <f t="shared" si="131"/>
        <v>-2.5058918065920232E-28</v>
      </c>
      <c r="AC686"/>
    </row>
    <row r="687" spans="1:29" x14ac:dyDescent="0.25">
      <c r="A687" t="s">
        <v>156</v>
      </c>
      <c r="B687">
        <v>12</v>
      </c>
      <c r="C687" t="s">
        <v>910</v>
      </c>
      <c r="D687" t="s">
        <v>466</v>
      </c>
      <c r="E687">
        <v>10</v>
      </c>
      <c r="F687">
        <v>4.3600000000000003</v>
      </c>
      <c r="G687">
        <v>20.1601</v>
      </c>
      <c r="H687" t="s">
        <v>466</v>
      </c>
      <c r="I687" t="s">
        <v>87</v>
      </c>
      <c r="J687" t="s">
        <v>20</v>
      </c>
      <c r="K687">
        <f t="shared" si="120"/>
        <v>109.82</v>
      </c>
      <c r="L687">
        <f t="shared" si="121"/>
        <v>367.76499999999999</v>
      </c>
      <c r="M687" t="str">
        <f t="shared" si="122"/>
        <v>perry-12</v>
      </c>
      <c r="N687" t="str">
        <f>INDEX(Scores!$A$2:$A$11,INDEX(Scores!$AA$2:$AA$131,MATCH(C687,Scores!$AB$2:$AB$131,0)))</f>
        <v>perry</v>
      </c>
      <c r="O687">
        <f t="shared" si="123"/>
        <v>117.67999999999999</v>
      </c>
      <c r="P687">
        <f t="shared" si="124"/>
        <v>426.54240000000004</v>
      </c>
      <c r="Q687" s="3">
        <f t="shared" si="125"/>
        <v>0.39016577980232847</v>
      </c>
      <c r="R687" s="3">
        <f t="shared" si="126"/>
        <v>0.46820267169382557</v>
      </c>
      <c r="S687" s="9">
        <f t="shared" si="127"/>
        <v>7.8036891891497095E-2</v>
      </c>
      <c r="T687">
        <f t="shared" si="128"/>
        <v>88</v>
      </c>
      <c r="U687">
        <f t="shared" si="129"/>
        <v>131</v>
      </c>
      <c r="V687" s="3">
        <f t="shared" si="130"/>
        <v>1.2012757736927548E-27</v>
      </c>
      <c r="W687" s="9">
        <f t="shared" si="131"/>
        <v>-1.2012757736927548E-27</v>
      </c>
      <c r="AC687"/>
    </row>
    <row r="688" spans="1:29" x14ac:dyDescent="0.25">
      <c r="A688" t="s">
        <v>154</v>
      </c>
      <c r="B688">
        <v>12</v>
      </c>
      <c r="C688" t="s">
        <v>910</v>
      </c>
      <c r="D688" t="s">
        <v>471</v>
      </c>
      <c r="E688">
        <v>23</v>
      </c>
      <c r="F688">
        <v>10.52</v>
      </c>
      <c r="G688">
        <v>27.2484</v>
      </c>
      <c r="H688" t="s">
        <v>87</v>
      </c>
      <c r="I688" t="s">
        <v>87</v>
      </c>
      <c r="J688" t="s">
        <v>20</v>
      </c>
      <c r="K688">
        <f t="shared" si="120"/>
        <v>109.82</v>
      </c>
      <c r="L688">
        <f t="shared" si="121"/>
        <v>367.76499999999999</v>
      </c>
      <c r="M688" t="str">
        <f t="shared" si="122"/>
        <v>perry-12</v>
      </c>
      <c r="N688" t="str">
        <f>INDEX(Scores!$A$2:$A$11,INDEX(Scores!$AA$2:$AA$131,MATCH(C688,Scores!$AB$2:$AB$131,0)))</f>
        <v>perry</v>
      </c>
      <c r="O688">
        <f t="shared" si="123"/>
        <v>117.67999999999999</v>
      </c>
      <c r="P688">
        <f t="shared" si="124"/>
        <v>426.54240000000004</v>
      </c>
      <c r="Q688" s="3">
        <f t="shared" si="125"/>
        <v>0.39016577980232847</v>
      </c>
      <c r="R688" s="3">
        <f t="shared" si="126"/>
        <v>0.56624105734052144</v>
      </c>
      <c r="S688" s="9">
        <f t="shared" si="127"/>
        <v>0.17607527753819296</v>
      </c>
      <c r="T688">
        <f t="shared" si="128"/>
        <v>88</v>
      </c>
      <c r="U688">
        <f t="shared" si="129"/>
        <v>131</v>
      </c>
      <c r="V688" s="3">
        <f t="shared" si="130"/>
        <v>1.0998190659402167E-26</v>
      </c>
      <c r="W688" s="9">
        <f t="shared" si="131"/>
        <v>-1.0998190659402167E-26</v>
      </c>
      <c r="AC688"/>
    </row>
    <row r="689" spans="1:29" x14ac:dyDescent="0.25">
      <c r="A689" t="s">
        <v>121</v>
      </c>
      <c r="B689">
        <v>1</v>
      </c>
      <c r="C689" t="s">
        <v>507</v>
      </c>
      <c r="D689" t="s">
        <v>469</v>
      </c>
      <c r="E689">
        <v>4</v>
      </c>
      <c r="F689">
        <v>7.84</v>
      </c>
      <c r="G689">
        <v>18.489999999999998</v>
      </c>
      <c r="H689" t="s">
        <v>47</v>
      </c>
      <c r="I689" t="s">
        <v>47</v>
      </c>
      <c r="J689" t="s">
        <v>55</v>
      </c>
      <c r="K689">
        <f t="shared" si="120"/>
        <v>90.7</v>
      </c>
      <c r="L689">
        <f t="shared" si="121"/>
        <v>347.93650000000002</v>
      </c>
      <c r="M689" t="str">
        <f t="shared" si="122"/>
        <v>scott-1</v>
      </c>
      <c r="N689" t="str">
        <f>INDEX(Scores!$A$2:$A$11,INDEX(Scores!$AA$2:$AA$131,MATCH(C689,Scores!$AB$2:$AB$131,0)))</f>
        <v>scott</v>
      </c>
      <c r="O689">
        <f t="shared" si="123"/>
        <v>102.78</v>
      </c>
      <c r="P689">
        <f t="shared" si="124"/>
        <v>382.14119999999997</v>
      </c>
      <c r="Q689" s="3">
        <f t="shared" si="125"/>
        <v>0.32740970845919121</v>
      </c>
      <c r="R689" s="3">
        <f t="shared" si="126"/>
        <v>0.27532044399802169</v>
      </c>
      <c r="S689" s="9">
        <f t="shared" si="127"/>
        <v>-5.2089264461169515E-2</v>
      </c>
      <c r="T689">
        <f t="shared" si="128"/>
        <v>71</v>
      </c>
      <c r="U689">
        <f t="shared" si="129"/>
        <v>120</v>
      </c>
      <c r="V689" s="3">
        <f t="shared" si="130"/>
        <v>4.2138909381131845E-26</v>
      </c>
      <c r="W689" s="9">
        <f t="shared" si="131"/>
        <v>-4.2138909381131845E-26</v>
      </c>
      <c r="AC689"/>
    </row>
    <row r="690" spans="1:29" x14ac:dyDescent="0.25">
      <c r="A690" t="s">
        <v>165</v>
      </c>
      <c r="B690">
        <v>12</v>
      </c>
      <c r="C690" t="s">
        <v>926</v>
      </c>
      <c r="D690" t="s">
        <v>475</v>
      </c>
      <c r="E690">
        <v>12</v>
      </c>
      <c r="F690">
        <v>6.35</v>
      </c>
      <c r="G690">
        <v>20.430399999999999</v>
      </c>
      <c r="H690" t="s">
        <v>114</v>
      </c>
      <c r="I690" t="s">
        <v>114</v>
      </c>
      <c r="J690" t="s">
        <v>55</v>
      </c>
      <c r="K690">
        <f t="shared" si="120"/>
        <v>111.09</v>
      </c>
      <c r="L690">
        <f t="shared" si="121"/>
        <v>408.5095</v>
      </c>
      <c r="M690" t="str">
        <f t="shared" si="122"/>
        <v>comp-12</v>
      </c>
      <c r="N690" t="str">
        <f>INDEX(Scores!$A$2:$A$11,INDEX(Scores!$AA$2:$AA$131,MATCH(C690,Scores!$AB$2:$AB$131,0)))</f>
        <v>comp</v>
      </c>
      <c r="O690">
        <f t="shared" si="123"/>
        <v>98.639999999999986</v>
      </c>
      <c r="P690">
        <f t="shared" si="124"/>
        <v>309.06870000000004</v>
      </c>
      <c r="Q690" s="3">
        <f t="shared" si="125"/>
        <v>0.67895062778258408</v>
      </c>
      <c r="R690" s="3">
        <f t="shared" si="126"/>
        <v>0.75349009355473351</v>
      </c>
      <c r="S690" s="9">
        <f t="shared" si="127"/>
        <v>7.4539465772149427E-2</v>
      </c>
      <c r="T690">
        <f t="shared" si="128"/>
        <v>84</v>
      </c>
      <c r="U690">
        <f t="shared" si="129"/>
        <v>125</v>
      </c>
      <c r="V690" s="3">
        <f t="shared" si="130"/>
        <v>2.8375211175284352E-25</v>
      </c>
      <c r="W690" s="9">
        <f t="shared" si="131"/>
        <v>-2.8375211175284352E-25</v>
      </c>
      <c r="AC690"/>
    </row>
    <row r="691" spans="1:29" x14ac:dyDescent="0.25">
      <c r="A691" t="s">
        <v>447</v>
      </c>
      <c r="B691">
        <v>8</v>
      </c>
      <c r="C691" t="s">
        <v>954</v>
      </c>
      <c r="D691" t="s">
        <v>478</v>
      </c>
      <c r="E691">
        <v>10</v>
      </c>
      <c r="F691">
        <v>7.24</v>
      </c>
      <c r="G691">
        <v>15.602499999999999</v>
      </c>
      <c r="H691" t="s">
        <v>478</v>
      </c>
      <c r="I691" t="s">
        <v>478</v>
      </c>
      <c r="J691" t="s">
        <v>40</v>
      </c>
      <c r="K691">
        <f t="shared" si="120"/>
        <v>93.289999999999992</v>
      </c>
      <c r="L691">
        <f t="shared" si="121"/>
        <v>315.97840000000008</v>
      </c>
      <c r="M691" t="e">
        <f t="shared" si="122"/>
        <v>#N/A</v>
      </c>
      <c r="N691" t="e">
        <f>INDEX(Scores!$A$2:$A$11,INDEX(Scores!$AA$2:$AA$131,MATCH(C691,Scores!$AB$2:$AB$131,0)))</f>
        <v>#N/A</v>
      </c>
      <c r="O691">
        <f t="shared" si="123"/>
        <v>0</v>
      </c>
      <c r="P691">
        <f t="shared" si="124"/>
        <v>0</v>
      </c>
      <c r="Q691" s="3">
        <f t="shared" si="125"/>
        <v>0.99999992318369246</v>
      </c>
      <c r="R691" s="3">
        <f t="shared" si="126"/>
        <v>0.99999998504633747</v>
      </c>
      <c r="S691" s="9">
        <f t="shared" si="127"/>
        <v>6.1862645006627304E-8</v>
      </c>
      <c r="T691">
        <f t="shared" si="128"/>
        <v>75</v>
      </c>
      <c r="U691">
        <f t="shared" si="129"/>
        <v>0</v>
      </c>
      <c r="V691" s="3">
        <f t="shared" si="130"/>
        <v>1</v>
      </c>
      <c r="W691" s="9">
        <f t="shared" si="131"/>
        <v>0</v>
      </c>
      <c r="AC691"/>
    </row>
    <row r="692" spans="1:29" x14ac:dyDescent="0.25">
      <c r="A692" t="s">
        <v>97</v>
      </c>
      <c r="B692">
        <v>10</v>
      </c>
      <c r="C692" t="s">
        <v>908</v>
      </c>
      <c r="D692" t="s">
        <v>469</v>
      </c>
      <c r="E692">
        <v>5</v>
      </c>
      <c r="F692">
        <v>12.67</v>
      </c>
      <c r="G692">
        <v>30.1401</v>
      </c>
      <c r="H692" t="s">
        <v>47</v>
      </c>
      <c r="I692" t="s">
        <v>47</v>
      </c>
      <c r="J692" t="s">
        <v>20</v>
      </c>
      <c r="K692">
        <f t="shared" si="120"/>
        <v>101.17</v>
      </c>
      <c r="L692">
        <f t="shared" si="121"/>
        <v>351.19740000000002</v>
      </c>
      <c r="M692" t="str">
        <f t="shared" si="122"/>
        <v>comp-10</v>
      </c>
      <c r="N692" t="str">
        <f>INDEX(Scores!$A$2:$A$11,INDEX(Scores!$AA$2:$AA$131,MATCH(C692,Scores!$AB$2:$AB$131,0)))</f>
        <v>comp</v>
      </c>
      <c r="O692">
        <f t="shared" si="123"/>
        <v>99.050000000000011</v>
      </c>
      <c r="P692">
        <f t="shared" si="124"/>
        <v>345.4212</v>
      </c>
      <c r="Q692" s="3">
        <f t="shared" si="125"/>
        <v>0.53200969987678148</v>
      </c>
      <c r="R692" s="3">
        <f t="shared" si="126"/>
        <v>0.41489109835795973</v>
      </c>
      <c r="S692" s="9">
        <f t="shared" si="127"/>
        <v>-0.11711860151882175</v>
      </c>
      <c r="T692">
        <f t="shared" si="128"/>
        <v>67</v>
      </c>
      <c r="U692">
        <f t="shared" si="129"/>
        <v>130</v>
      </c>
      <c r="V692" s="3">
        <f t="shared" si="130"/>
        <v>3.4445498690493994E-24</v>
      </c>
      <c r="W692" s="9">
        <f t="shared" si="131"/>
        <v>-3.4445498690493994E-24</v>
      </c>
      <c r="AC692"/>
    </row>
    <row r="693" spans="1:29" x14ac:dyDescent="0.25">
      <c r="A693" t="s">
        <v>151</v>
      </c>
      <c r="B693">
        <v>5</v>
      </c>
      <c r="C693" t="s">
        <v>886</v>
      </c>
      <c r="D693" t="s">
        <v>475</v>
      </c>
      <c r="E693">
        <v>9</v>
      </c>
      <c r="F693">
        <v>7.4</v>
      </c>
      <c r="G693">
        <v>28.408899999999999</v>
      </c>
      <c r="H693" t="s">
        <v>114</v>
      </c>
      <c r="I693" t="s">
        <v>114</v>
      </c>
      <c r="J693" t="s">
        <v>62</v>
      </c>
      <c r="K693">
        <f t="shared" si="120"/>
        <v>103.98</v>
      </c>
      <c r="L693">
        <f t="shared" si="121"/>
        <v>400.98380000000003</v>
      </c>
      <c r="M693" t="str">
        <f t="shared" si="122"/>
        <v>comp-5</v>
      </c>
      <c r="N693" t="str">
        <f>INDEX(Scores!$A$2:$A$11,INDEX(Scores!$AA$2:$AA$131,MATCH(C693,Scores!$AB$2:$AB$131,0)))</f>
        <v>comp</v>
      </c>
      <c r="O693">
        <f t="shared" si="123"/>
        <v>98.17</v>
      </c>
      <c r="P693">
        <f t="shared" si="124"/>
        <v>359.81479999999999</v>
      </c>
      <c r="Q693" s="3">
        <f t="shared" si="125"/>
        <v>0.58341598360206426</v>
      </c>
      <c r="R693" s="3">
        <f t="shared" si="126"/>
        <v>0.60788414512821465</v>
      </c>
      <c r="S693" s="9">
        <f t="shared" si="127"/>
        <v>2.4468161526150389E-2</v>
      </c>
      <c r="T693">
        <f t="shared" si="128"/>
        <v>71</v>
      </c>
      <c r="U693">
        <f t="shared" si="129"/>
        <v>121</v>
      </c>
      <c r="V693" s="3">
        <f t="shared" si="130"/>
        <v>1.8148323105541111E-22</v>
      </c>
      <c r="W693" s="9">
        <f t="shared" si="131"/>
        <v>-1.8148323105541111E-22</v>
      </c>
      <c r="AC693"/>
    </row>
    <row r="694" spans="1:29" x14ac:dyDescent="0.25">
      <c r="A694" t="s">
        <v>1108</v>
      </c>
      <c r="B694">
        <v>12</v>
      </c>
      <c r="C694" t="s">
        <v>926</v>
      </c>
      <c r="D694" t="s">
        <v>478</v>
      </c>
      <c r="E694">
        <v>5</v>
      </c>
      <c r="F694">
        <v>8.5500000000000007</v>
      </c>
      <c r="G694">
        <v>15.444900000000001</v>
      </c>
      <c r="H694" t="s">
        <v>478</v>
      </c>
      <c r="I694" t="s">
        <v>478</v>
      </c>
      <c r="J694" t="s">
        <v>55</v>
      </c>
      <c r="K694">
        <f t="shared" si="120"/>
        <v>111.09</v>
      </c>
      <c r="L694">
        <f t="shared" si="121"/>
        <v>408.5095</v>
      </c>
      <c r="M694" t="str">
        <f t="shared" si="122"/>
        <v>comp-12</v>
      </c>
      <c r="N694" t="str">
        <f>INDEX(Scores!$A$2:$A$11,INDEX(Scores!$AA$2:$AA$131,MATCH(C694,Scores!$AB$2:$AB$131,0)))</f>
        <v>comp</v>
      </c>
      <c r="O694">
        <f t="shared" si="123"/>
        <v>98.639999999999986</v>
      </c>
      <c r="P694">
        <f t="shared" si="124"/>
        <v>309.06870000000004</v>
      </c>
      <c r="Q694" s="3">
        <f t="shared" si="125"/>
        <v>0.67895062778258408</v>
      </c>
      <c r="R694" s="3">
        <f t="shared" si="126"/>
        <v>0.63151817618119466</v>
      </c>
      <c r="S694" s="9">
        <f t="shared" si="127"/>
        <v>-4.7432451601389425E-2</v>
      </c>
      <c r="T694">
        <f t="shared" si="128"/>
        <v>84</v>
      </c>
      <c r="U694">
        <f t="shared" si="129"/>
        <v>125</v>
      </c>
      <c r="V694" s="3">
        <f t="shared" si="130"/>
        <v>7.9202579567253068E-22</v>
      </c>
      <c r="W694" s="9">
        <f t="shared" si="131"/>
        <v>-7.9202579567253068E-22</v>
      </c>
      <c r="AC694"/>
    </row>
    <row r="695" spans="1:29" x14ac:dyDescent="0.25">
      <c r="A695" t="s">
        <v>450</v>
      </c>
      <c r="B695">
        <v>2</v>
      </c>
      <c r="C695" t="s">
        <v>623</v>
      </c>
      <c r="D695" t="s">
        <v>478</v>
      </c>
      <c r="E695">
        <v>8</v>
      </c>
      <c r="F695">
        <v>7.35</v>
      </c>
      <c r="G695">
        <v>12.040900000000001</v>
      </c>
      <c r="H695" t="s">
        <v>478</v>
      </c>
      <c r="I695" t="s">
        <v>478</v>
      </c>
      <c r="J695" t="s">
        <v>27</v>
      </c>
      <c r="K695">
        <f t="shared" si="120"/>
        <v>103.61999999999999</v>
      </c>
      <c r="L695">
        <f t="shared" si="121"/>
        <v>357.30130000000003</v>
      </c>
      <c r="M695" t="str">
        <f t="shared" si="122"/>
        <v>cory-2</v>
      </c>
      <c r="N695" t="str">
        <f>INDEX(Scores!$A$2:$A$11,INDEX(Scores!$AA$2:$AA$131,MATCH(C695,Scores!$AB$2:$AB$131,0)))</f>
        <v>cory</v>
      </c>
      <c r="O695">
        <f t="shared" si="123"/>
        <v>102.7</v>
      </c>
      <c r="P695">
        <f t="shared" si="124"/>
        <v>377.5104</v>
      </c>
      <c r="Q695" s="3">
        <f t="shared" si="125"/>
        <v>0.51353712670419016</v>
      </c>
      <c r="R695" s="3">
        <f t="shared" si="126"/>
        <v>0.52328426995327004</v>
      </c>
      <c r="S695" s="9">
        <f t="shared" si="127"/>
        <v>9.7471432490798815E-3</v>
      </c>
      <c r="T695">
        <f t="shared" si="128"/>
        <v>65</v>
      </c>
      <c r="U695">
        <f t="shared" si="129"/>
        <v>97</v>
      </c>
      <c r="V695" s="3">
        <f t="shared" si="130"/>
        <v>2.4991160122628069E-21</v>
      </c>
      <c r="W695" s="9">
        <f t="shared" si="131"/>
        <v>-2.4991160122628069E-21</v>
      </c>
      <c r="AC695"/>
    </row>
    <row r="696" spans="1:29" x14ac:dyDescent="0.25">
      <c r="A696" t="s">
        <v>80</v>
      </c>
      <c r="B696">
        <v>5</v>
      </c>
      <c r="C696" t="s">
        <v>886</v>
      </c>
      <c r="D696" t="s">
        <v>467</v>
      </c>
      <c r="E696">
        <v>27</v>
      </c>
      <c r="F696">
        <v>15.85</v>
      </c>
      <c r="G696">
        <v>42.380099999999999</v>
      </c>
      <c r="H696" t="s">
        <v>15</v>
      </c>
      <c r="I696" t="s">
        <v>15</v>
      </c>
      <c r="J696" t="s">
        <v>62</v>
      </c>
      <c r="K696">
        <f t="shared" si="120"/>
        <v>103.98</v>
      </c>
      <c r="L696">
        <f t="shared" si="121"/>
        <v>400.98380000000003</v>
      </c>
      <c r="M696" t="str">
        <f t="shared" si="122"/>
        <v>comp-5</v>
      </c>
      <c r="N696" t="str">
        <f>INDEX(Scores!$A$2:$A$11,INDEX(Scores!$AA$2:$AA$131,MATCH(C696,Scores!$AB$2:$AB$131,0)))</f>
        <v>comp</v>
      </c>
      <c r="O696">
        <f t="shared" si="123"/>
        <v>98.17</v>
      </c>
      <c r="P696">
        <f t="shared" si="124"/>
        <v>359.81479999999999</v>
      </c>
      <c r="Q696" s="3">
        <f t="shared" si="125"/>
        <v>0.58341598360206426</v>
      </c>
      <c r="R696" s="3">
        <f t="shared" si="126"/>
        <v>0.73655389422616302</v>
      </c>
      <c r="S696" s="9">
        <f t="shared" si="127"/>
        <v>0.15313791062409876</v>
      </c>
      <c r="T696">
        <f t="shared" si="128"/>
        <v>71</v>
      </c>
      <c r="U696">
        <f t="shared" si="129"/>
        <v>121</v>
      </c>
      <c r="V696" s="3">
        <f t="shared" si="130"/>
        <v>2.9090863466657095E-21</v>
      </c>
      <c r="W696" s="9">
        <f t="shared" si="131"/>
        <v>-2.9090863466657095E-21</v>
      </c>
      <c r="AC696"/>
    </row>
    <row r="697" spans="1:29" x14ac:dyDescent="0.25">
      <c r="A697" t="s">
        <v>65</v>
      </c>
      <c r="B697">
        <v>12</v>
      </c>
      <c r="C697" t="s">
        <v>926</v>
      </c>
      <c r="D697" t="s">
        <v>467</v>
      </c>
      <c r="E697">
        <v>30</v>
      </c>
      <c r="F697">
        <v>19.760000000000002</v>
      </c>
      <c r="G697">
        <v>29.9209</v>
      </c>
      <c r="H697" t="s">
        <v>15</v>
      </c>
      <c r="I697" t="s">
        <v>15</v>
      </c>
      <c r="J697" t="s">
        <v>55</v>
      </c>
      <c r="K697">
        <f t="shared" si="120"/>
        <v>111.09</v>
      </c>
      <c r="L697">
        <f t="shared" si="121"/>
        <v>408.5095</v>
      </c>
      <c r="M697" t="str">
        <f t="shared" si="122"/>
        <v>comp-12</v>
      </c>
      <c r="N697" t="str">
        <f>INDEX(Scores!$A$2:$A$11,INDEX(Scores!$AA$2:$AA$131,MATCH(C697,Scores!$AB$2:$AB$131,0)))</f>
        <v>comp</v>
      </c>
      <c r="O697">
        <f t="shared" si="123"/>
        <v>98.639999999999986</v>
      </c>
      <c r="P697">
        <f t="shared" si="124"/>
        <v>309.06870000000004</v>
      </c>
      <c r="Q697" s="3">
        <f t="shared" si="125"/>
        <v>0.67895062778258408</v>
      </c>
      <c r="R697" s="3">
        <f t="shared" si="126"/>
        <v>0.8065529556581158</v>
      </c>
      <c r="S697" s="9">
        <f t="shared" si="127"/>
        <v>0.12760232787553172</v>
      </c>
      <c r="T697">
        <f t="shared" si="128"/>
        <v>84</v>
      </c>
      <c r="U697">
        <f t="shared" si="129"/>
        <v>125</v>
      </c>
      <c r="V697" s="3">
        <f t="shared" si="130"/>
        <v>3.7149878965260343E-21</v>
      </c>
      <c r="W697" s="9">
        <f t="shared" si="131"/>
        <v>-3.7149878965260343E-21</v>
      </c>
      <c r="AC697"/>
    </row>
    <row r="698" spans="1:29" x14ac:dyDescent="0.25">
      <c r="A698" t="s">
        <v>163</v>
      </c>
      <c r="B698">
        <v>11</v>
      </c>
      <c r="C698" t="s">
        <v>933</v>
      </c>
      <c r="D698" t="s">
        <v>466</v>
      </c>
      <c r="E698">
        <v>8</v>
      </c>
      <c r="F698">
        <v>7.29</v>
      </c>
      <c r="G698">
        <v>25.100100000000001</v>
      </c>
      <c r="H698" t="s">
        <v>466</v>
      </c>
      <c r="I698" t="s">
        <v>87</v>
      </c>
      <c r="J698" t="s">
        <v>35</v>
      </c>
      <c r="K698">
        <f t="shared" si="120"/>
        <v>100.25</v>
      </c>
      <c r="L698">
        <f t="shared" si="121"/>
        <v>448.76889999999997</v>
      </c>
      <c r="M698" t="str">
        <f t="shared" si="122"/>
        <v>scott-11</v>
      </c>
      <c r="N698" t="str">
        <f>INDEX(Scores!$A$2:$A$11,INDEX(Scores!$AA$2:$AA$131,MATCH(C698,Scores!$AB$2:$AB$131,0)))</f>
        <v>scott</v>
      </c>
      <c r="O698">
        <f t="shared" si="123"/>
        <v>105.39999999999999</v>
      </c>
      <c r="P698">
        <f t="shared" si="124"/>
        <v>342.09739999999999</v>
      </c>
      <c r="Q698" s="3">
        <f t="shared" si="125"/>
        <v>0.42734863744074048</v>
      </c>
      <c r="R698" s="3">
        <f t="shared" si="126"/>
        <v>0.43626400812010696</v>
      </c>
      <c r="S698" s="9">
        <f t="shared" si="127"/>
        <v>8.9153706793664855E-3</v>
      </c>
      <c r="T698">
        <f t="shared" si="128"/>
        <v>78</v>
      </c>
      <c r="U698">
        <f t="shared" si="129"/>
        <v>124</v>
      </c>
      <c r="V698" s="3">
        <f t="shared" si="130"/>
        <v>5.6360138386243394E-21</v>
      </c>
      <c r="W698" s="9">
        <f t="shared" si="131"/>
        <v>-5.6360138386243394E-21</v>
      </c>
      <c r="AC698"/>
    </row>
    <row r="699" spans="1:29" x14ac:dyDescent="0.25">
      <c r="A699" t="s">
        <v>274</v>
      </c>
      <c r="B699">
        <v>6</v>
      </c>
      <c r="C699" t="s">
        <v>904</v>
      </c>
      <c r="D699" t="s">
        <v>475</v>
      </c>
      <c r="E699">
        <v>7</v>
      </c>
      <c r="F699">
        <v>5.3</v>
      </c>
      <c r="G699">
        <v>14.8225</v>
      </c>
      <c r="H699" t="s">
        <v>114</v>
      </c>
      <c r="I699" t="s">
        <v>114</v>
      </c>
      <c r="J699" t="s">
        <v>20</v>
      </c>
      <c r="K699">
        <f t="shared" si="120"/>
        <v>110.30999999999999</v>
      </c>
      <c r="L699">
        <f t="shared" si="121"/>
        <v>388.52729999999997</v>
      </c>
      <c r="M699" t="str">
        <f t="shared" si="122"/>
        <v>seth-6</v>
      </c>
      <c r="N699" t="str">
        <f>INDEX(Scores!$A$2:$A$11,INDEX(Scores!$AA$2:$AA$131,MATCH(C699,Scores!$AB$2:$AB$131,0)))</f>
        <v>seth</v>
      </c>
      <c r="O699">
        <f t="shared" si="123"/>
        <v>90.009999999999991</v>
      </c>
      <c r="P699">
        <f t="shared" si="124"/>
        <v>295.93350000000004</v>
      </c>
      <c r="Q699" s="3">
        <f t="shared" si="125"/>
        <v>0.78110442116748435</v>
      </c>
      <c r="R699" s="3">
        <f t="shared" si="126"/>
        <v>0.80238294925801834</v>
      </c>
      <c r="S699" s="9">
        <f t="shared" si="127"/>
        <v>2.1278528090533988E-2</v>
      </c>
      <c r="T699">
        <f t="shared" si="128"/>
        <v>96</v>
      </c>
      <c r="U699">
        <f t="shared" si="129"/>
        <v>130</v>
      </c>
      <c r="V699" s="3">
        <f t="shared" si="130"/>
        <v>9.0722963184733742E-21</v>
      </c>
      <c r="W699" s="9">
        <f t="shared" si="131"/>
        <v>-9.0722963184733742E-21</v>
      </c>
      <c r="AC699"/>
    </row>
    <row r="700" spans="1:29" x14ac:dyDescent="0.25">
      <c r="A700" t="s">
        <v>998</v>
      </c>
      <c r="B700">
        <v>8</v>
      </c>
      <c r="C700" t="s">
        <v>962</v>
      </c>
      <c r="D700" t="s">
        <v>478</v>
      </c>
      <c r="E700">
        <v>8</v>
      </c>
      <c r="F700">
        <v>8.77</v>
      </c>
      <c r="G700">
        <v>14.0625</v>
      </c>
      <c r="H700" t="s">
        <v>478</v>
      </c>
      <c r="I700" t="s">
        <v>478</v>
      </c>
      <c r="J700" t="s">
        <v>23</v>
      </c>
      <c r="K700">
        <f t="shared" si="120"/>
        <v>115.82</v>
      </c>
      <c r="L700">
        <f t="shared" si="121"/>
        <v>434.36700000000002</v>
      </c>
      <c r="M700" t="str">
        <f t="shared" si="122"/>
        <v>comp-8</v>
      </c>
      <c r="N700" t="str">
        <f>INDEX(Scores!$A$2:$A$11,INDEX(Scores!$AA$2:$AA$131,MATCH(C700,Scores!$AB$2:$AB$131,0)))</f>
        <v>comp</v>
      </c>
      <c r="O700">
        <f t="shared" si="123"/>
        <v>100.87</v>
      </c>
      <c r="P700">
        <f t="shared" si="124"/>
        <v>421.5641</v>
      </c>
      <c r="Q700" s="3">
        <f t="shared" si="125"/>
        <v>0.69532483792586408</v>
      </c>
      <c r="R700" s="3">
        <f t="shared" si="126"/>
        <v>0.68747762366935572</v>
      </c>
      <c r="S700" s="9">
        <f t="shared" si="127"/>
        <v>-7.8472142565083614E-3</v>
      </c>
      <c r="T700">
        <f t="shared" si="128"/>
        <v>80</v>
      </c>
      <c r="U700">
        <f t="shared" si="129"/>
        <v>115</v>
      </c>
      <c r="V700" s="3">
        <f t="shared" si="130"/>
        <v>3.4888190250687076E-20</v>
      </c>
      <c r="W700" s="9">
        <f t="shared" si="131"/>
        <v>-3.4888190250687076E-20</v>
      </c>
      <c r="AC700"/>
    </row>
    <row r="701" spans="1:29" x14ac:dyDescent="0.25">
      <c r="A701" t="s">
        <v>195</v>
      </c>
      <c r="B701">
        <v>3</v>
      </c>
      <c r="C701" t="s">
        <v>804</v>
      </c>
      <c r="D701" t="s">
        <v>466</v>
      </c>
      <c r="E701">
        <v>2</v>
      </c>
      <c r="F701">
        <v>4.0599999999999996</v>
      </c>
      <c r="G701">
        <v>13.1044</v>
      </c>
      <c r="H701" t="s">
        <v>466</v>
      </c>
      <c r="I701" t="s">
        <v>87</v>
      </c>
      <c r="J701" t="s">
        <v>40</v>
      </c>
      <c r="K701">
        <f t="shared" si="120"/>
        <v>99.87</v>
      </c>
      <c r="L701">
        <f t="shared" si="121"/>
        <v>418.53290000000004</v>
      </c>
      <c r="M701" t="e">
        <f t="shared" si="122"/>
        <v>#N/A</v>
      </c>
      <c r="N701" t="e">
        <f>INDEX(Scores!$A$2:$A$11,INDEX(Scores!$AA$2:$AA$131,MATCH(C701,Scores!$AB$2:$AB$131,0)))</f>
        <v>#N/A</v>
      </c>
      <c r="O701">
        <f t="shared" si="123"/>
        <v>0</v>
      </c>
      <c r="P701">
        <f t="shared" si="124"/>
        <v>0</v>
      </c>
      <c r="Q701" s="3">
        <f t="shared" si="125"/>
        <v>0.99999947409897594</v>
      </c>
      <c r="R701" s="3">
        <f t="shared" si="126"/>
        <v>0.99999940606098259</v>
      </c>
      <c r="S701" s="9">
        <f t="shared" si="127"/>
        <v>-6.803799335042271E-8</v>
      </c>
      <c r="T701">
        <f t="shared" si="128"/>
        <v>53</v>
      </c>
      <c r="U701">
        <f t="shared" si="129"/>
        <v>0</v>
      </c>
      <c r="V701" s="3">
        <f t="shared" si="130"/>
        <v>1</v>
      </c>
      <c r="W701" s="9">
        <f t="shared" si="131"/>
        <v>0</v>
      </c>
      <c r="AC701"/>
    </row>
    <row r="702" spans="1:29" x14ac:dyDescent="0.25">
      <c r="A702" t="s">
        <v>187</v>
      </c>
      <c r="B702">
        <v>5</v>
      </c>
      <c r="C702" t="s">
        <v>886</v>
      </c>
      <c r="D702" t="s">
        <v>469</v>
      </c>
      <c r="E702">
        <v>4</v>
      </c>
      <c r="F702">
        <v>8.2799999999999994</v>
      </c>
      <c r="G702">
        <v>25.704899999999999</v>
      </c>
      <c r="H702" t="s">
        <v>47</v>
      </c>
      <c r="I702" t="s">
        <v>47</v>
      </c>
      <c r="J702" t="s">
        <v>62</v>
      </c>
      <c r="K702">
        <f t="shared" si="120"/>
        <v>103.98</v>
      </c>
      <c r="L702">
        <f t="shared" si="121"/>
        <v>400.98380000000003</v>
      </c>
      <c r="M702" t="str">
        <f t="shared" si="122"/>
        <v>comp-5</v>
      </c>
      <c r="N702" t="str">
        <f>INDEX(Scores!$A$2:$A$11,INDEX(Scores!$AA$2:$AA$131,MATCH(C702,Scores!$AB$2:$AB$131,0)))</f>
        <v>comp</v>
      </c>
      <c r="O702">
        <f t="shared" si="123"/>
        <v>98.17</v>
      </c>
      <c r="P702">
        <f t="shared" si="124"/>
        <v>359.81479999999999</v>
      </c>
      <c r="Q702" s="3">
        <f t="shared" si="125"/>
        <v>0.58341598360206426</v>
      </c>
      <c r="R702" s="3">
        <f t="shared" si="126"/>
        <v>0.52250088986857146</v>
      </c>
      <c r="S702" s="9">
        <f t="shared" si="127"/>
        <v>-6.0915093733492798E-2</v>
      </c>
      <c r="T702">
        <f t="shared" si="128"/>
        <v>71</v>
      </c>
      <c r="U702">
        <f t="shared" si="129"/>
        <v>121</v>
      </c>
      <c r="V702" s="3">
        <f t="shared" si="130"/>
        <v>9.5994637908666037E-20</v>
      </c>
      <c r="W702" s="9">
        <f t="shared" si="131"/>
        <v>-9.5994637908666037E-20</v>
      </c>
      <c r="AC702"/>
    </row>
    <row r="703" spans="1:29" x14ac:dyDescent="0.25">
      <c r="A703" t="s">
        <v>136</v>
      </c>
      <c r="B703">
        <v>2</v>
      </c>
      <c r="C703" t="s">
        <v>620</v>
      </c>
      <c r="D703" t="s">
        <v>471</v>
      </c>
      <c r="E703">
        <v>7</v>
      </c>
      <c r="F703">
        <v>8.8000000000000007</v>
      </c>
      <c r="G703">
        <v>20.1601</v>
      </c>
      <c r="H703" t="s">
        <v>87</v>
      </c>
      <c r="I703" t="s">
        <v>87</v>
      </c>
      <c r="J703" t="s">
        <v>40</v>
      </c>
      <c r="K703">
        <f t="shared" si="120"/>
        <v>103.97000000000001</v>
      </c>
      <c r="L703">
        <f t="shared" si="121"/>
        <v>402.37729999999999</v>
      </c>
      <c r="M703" t="e">
        <f t="shared" si="122"/>
        <v>#N/A</v>
      </c>
      <c r="N703" t="e">
        <f>INDEX(Scores!$A$2:$A$11,INDEX(Scores!$AA$2:$AA$131,MATCH(C703,Scores!$AB$2:$AB$131,0)))</f>
        <v>#N/A</v>
      </c>
      <c r="O703">
        <f t="shared" si="123"/>
        <v>0</v>
      </c>
      <c r="P703">
        <f t="shared" si="124"/>
        <v>0</v>
      </c>
      <c r="Q703" s="3">
        <f t="shared" si="125"/>
        <v>0.9999998908980352</v>
      </c>
      <c r="R703" s="3">
        <f t="shared" si="126"/>
        <v>0.99999991338548111</v>
      </c>
      <c r="S703" s="9">
        <f t="shared" si="127"/>
        <v>2.2487445905383652E-8</v>
      </c>
      <c r="T703">
        <f t="shared" si="128"/>
        <v>60</v>
      </c>
      <c r="U703">
        <f t="shared" si="129"/>
        <v>0</v>
      </c>
      <c r="V703" s="3">
        <f t="shared" si="130"/>
        <v>1</v>
      </c>
      <c r="W703" s="9">
        <f t="shared" si="131"/>
        <v>0</v>
      </c>
      <c r="AC703"/>
    </row>
    <row r="704" spans="1:29" x14ac:dyDescent="0.25">
      <c r="A704" t="s">
        <v>834</v>
      </c>
      <c r="B704">
        <v>3</v>
      </c>
      <c r="C704" t="s">
        <v>809</v>
      </c>
      <c r="D704" t="s">
        <v>466</v>
      </c>
      <c r="E704">
        <v>10</v>
      </c>
      <c r="F704">
        <v>6.33</v>
      </c>
      <c r="G704">
        <v>14.212899999999999</v>
      </c>
      <c r="H704" t="s">
        <v>466</v>
      </c>
      <c r="I704" t="s">
        <v>47</v>
      </c>
      <c r="J704" t="s">
        <v>23</v>
      </c>
      <c r="K704">
        <f t="shared" si="120"/>
        <v>101.86999999999999</v>
      </c>
      <c r="L704">
        <f t="shared" si="121"/>
        <v>350.57169999999996</v>
      </c>
      <c r="M704" t="str">
        <f t="shared" si="122"/>
        <v>scott-3</v>
      </c>
      <c r="N704" t="str">
        <f>INDEX(Scores!$A$2:$A$11,INDEX(Scores!$AA$2:$AA$131,MATCH(C704,Scores!$AB$2:$AB$131,0)))</f>
        <v>scott</v>
      </c>
      <c r="O704">
        <f t="shared" si="123"/>
        <v>110.35</v>
      </c>
      <c r="P704">
        <f t="shared" si="124"/>
        <v>442.53309999999999</v>
      </c>
      <c r="Q704" s="3">
        <f t="shared" si="125"/>
        <v>0.38166388462507189</v>
      </c>
      <c r="R704" s="3">
        <f t="shared" si="126"/>
        <v>0.43158193857497196</v>
      </c>
      <c r="S704" s="9">
        <f t="shared" si="127"/>
        <v>4.9918053949900065E-2</v>
      </c>
      <c r="T704">
        <f t="shared" si="128"/>
        <v>102</v>
      </c>
      <c r="U704">
        <f t="shared" si="129"/>
        <v>132</v>
      </c>
      <c r="V704" s="3">
        <f t="shared" si="130"/>
        <v>2.1102175669533894E-19</v>
      </c>
      <c r="W704" s="9">
        <f t="shared" si="131"/>
        <v>-2.1102175669533894E-19</v>
      </c>
      <c r="AC704"/>
    </row>
    <row r="705" spans="1:29" x14ac:dyDescent="0.25">
      <c r="A705" t="s">
        <v>124</v>
      </c>
      <c r="B705">
        <v>9</v>
      </c>
      <c r="C705" t="s">
        <v>971</v>
      </c>
      <c r="D705" t="s">
        <v>471</v>
      </c>
      <c r="E705">
        <v>12</v>
      </c>
      <c r="F705">
        <v>10.42</v>
      </c>
      <c r="G705">
        <v>49.561599999999999</v>
      </c>
      <c r="H705" t="s">
        <v>87</v>
      </c>
      <c r="I705" t="s">
        <v>87</v>
      </c>
      <c r="J705" t="s">
        <v>49</v>
      </c>
      <c r="K705">
        <f t="shared" si="120"/>
        <v>94.12</v>
      </c>
      <c r="L705">
        <f t="shared" si="121"/>
        <v>378.32429999999999</v>
      </c>
      <c r="M705" t="str">
        <f t="shared" si="122"/>
        <v>chad-9</v>
      </c>
      <c r="N705" t="str">
        <f>INDEX(Scores!$A$2:$A$11,INDEX(Scores!$AA$2:$AA$131,MATCH(C705,Scores!$AB$2:$AB$131,0)))</f>
        <v>chad</v>
      </c>
      <c r="O705">
        <f t="shared" si="123"/>
        <v>100.46000000000001</v>
      </c>
      <c r="P705">
        <f t="shared" si="124"/>
        <v>387.61320000000001</v>
      </c>
      <c r="Q705" s="3">
        <f t="shared" si="125"/>
        <v>0.40940225853306977</v>
      </c>
      <c r="R705" s="3">
        <f t="shared" si="126"/>
        <v>0.42942318754362535</v>
      </c>
      <c r="S705" s="9">
        <f t="shared" si="127"/>
        <v>2.0020929010555577E-2</v>
      </c>
      <c r="T705">
        <f t="shared" si="128"/>
        <v>68</v>
      </c>
      <c r="U705">
        <f t="shared" si="129"/>
        <v>129</v>
      </c>
      <c r="V705" s="3">
        <f t="shared" si="130"/>
        <v>3.0773967146301202E-19</v>
      </c>
      <c r="W705" s="9">
        <f t="shared" si="131"/>
        <v>-3.0773967146301202E-19</v>
      </c>
      <c r="AC705"/>
    </row>
    <row r="706" spans="1:29" x14ac:dyDescent="0.25">
      <c r="A706" t="s">
        <v>417</v>
      </c>
      <c r="B706">
        <v>13</v>
      </c>
      <c r="C706" t="s">
        <v>959</v>
      </c>
      <c r="D706" t="s">
        <v>477</v>
      </c>
      <c r="E706">
        <v>2</v>
      </c>
      <c r="F706">
        <v>2.39</v>
      </c>
      <c r="G706">
        <v>18.922499999999999</v>
      </c>
      <c r="H706" t="s">
        <v>477</v>
      </c>
      <c r="I706" t="s">
        <v>477</v>
      </c>
      <c r="J706" t="s">
        <v>40</v>
      </c>
      <c r="K706">
        <f t="shared" ref="K706:K769" si="132">SUMIF($C$2:$C$1301,$C706,$F$2:$F$1301)</f>
        <v>75.67</v>
      </c>
      <c r="L706">
        <f t="shared" ref="L706:L769" si="133">SUMIF($C$2:$C$1301,$C706,$G$2:$G$1301)</f>
        <v>278.80779999999999</v>
      </c>
      <c r="M706" t="e">
        <f t="shared" ref="M706:M769" si="134">N706&amp;"-"&amp;B706</f>
        <v>#N/A</v>
      </c>
      <c r="N706" t="e">
        <f>INDEX(Scores!$A$2:$A$11,INDEX(Scores!$AA$2:$AA$131,MATCH(C706,Scores!$AB$2:$AB$131,0)))</f>
        <v>#N/A</v>
      </c>
      <c r="O706">
        <f t="shared" ref="O706:O769" si="135">SUMIF($C$2:$C$1301,$M706,$F$2:$F$1301)</f>
        <v>0</v>
      </c>
      <c r="P706">
        <f t="shared" ref="P706:P769" si="136">SUMIF($C$2:$C$1301,$M706,$G$2:$G$1301)</f>
        <v>0</v>
      </c>
      <c r="Q706" s="3">
        <f t="shared" ref="Q706:Q769" si="137">_xlfn.NORM.DIST(0,$O706-$K706,SQRT($L706+$P706),TRUE)</f>
        <v>0.9999970759175304</v>
      </c>
      <c r="R706" s="3">
        <f t="shared" ref="R706:R769" si="138">_xlfn.NORM.DIST(0,$O706-$K706-($E706-$F706),SQRT($L706+$P706-$G706),TRUE)</f>
        <v>0.99999849178248046</v>
      </c>
      <c r="S706" s="9">
        <f t="shared" ref="S706:S769" si="139">R706-Q706</f>
        <v>1.4158649500606302E-6</v>
      </c>
      <c r="T706">
        <f t="shared" ref="T706:T769" si="140">SUMIF($C$2:$C$1301,$C706,$E$2:$E$1301)</f>
        <v>59</v>
      </c>
      <c r="U706">
        <f t="shared" ref="U706:U769" si="141">SUMIF($C$2:$C$1301,$M706,$E$2:$E$1301)</f>
        <v>0</v>
      </c>
      <c r="V706" s="3">
        <f t="shared" ref="V706:V769" si="142">_xlfn.NORM.DIST(0,U706-T706+E706-F706,SQRT(G706),TRUE)</f>
        <v>1</v>
      </c>
      <c r="W706" s="9">
        <f t="shared" ref="W706:W769" si="143">IFERROR(IF(U706&gt;T706,0,1)-V706,0)</f>
        <v>0</v>
      </c>
      <c r="AC706"/>
    </row>
    <row r="707" spans="1:29" x14ac:dyDescent="0.25">
      <c r="A707" t="s">
        <v>191</v>
      </c>
      <c r="B707">
        <v>3</v>
      </c>
      <c r="C707" t="s">
        <v>804</v>
      </c>
      <c r="D707" t="s">
        <v>472</v>
      </c>
      <c r="E707">
        <v>9</v>
      </c>
      <c r="F707">
        <v>7.12</v>
      </c>
      <c r="G707">
        <v>17.556100000000001</v>
      </c>
      <c r="H707" t="s">
        <v>87</v>
      </c>
      <c r="I707" t="s">
        <v>87</v>
      </c>
      <c r="J707" t="s">
        <v>40</v>
      </c>
      <c r="K707">
        <f t="shared" si="132"/>
        <v>99.87</v>
      </c>
      <c r="L707">
        <f t="shared" si="133"/>
        <v>418.53290000000004</v>
      </c>
      <c r="M707" t="e">
        <f t="shared" si="134"/>
        <v>#N/A</v>
      </c>
      <c r="N707" t="e">
        <f>INDEX(Scores!$A$2:$A$11,INDEX(Scores!$AA$2:$AA$131,MATCH(C707,Scores!$AB$2:$AB$131,0)))</f>
        <v>#N/A</v>
      </c>
      <c r="O707">
        <f t="shared" si="135"/>
        <v>0</v>
      </c>
      <c r="P707">
        <f t="shared" si="136"/>
        <v>0</v>
      </c>
      <c r="Q707" s="3">
        <f t="shared" si="137"/>
        <v>0.99999947409897594</v>
      </c>
      <c r="R707" s="3">
        <f t="shared" si="138"/>
        <v>0.99999981256924542</v>
      </c>
      <c r="S707" s="9">
        <f t="shared" si="139"/>
        <v>3.3847026947864123E-7</v>
      </c>
      <c r="T707">
        <f t="shared" si="140"/>
        <v>53</v>
      </c>
      <c r="U707">
        <f t="shared" si="141"/>
        <v>0</v>
      </c>
      <c r="V707" s="3">
        <f t="shared" si="142"/>
        <v>1</v>
      </c>
      <c r="W707" s="9">
        <f t="shared" si="143"/>
        <v>0</v>
      </c>
      <c r="AC707"/>
    </row>
    <row r="708" spans="1:29" x14ac:dyDescent="0.25">
      <c r="A708" t="s">
        <v>257</v>
      </c>
      <c r="B708">
        <v>8</v>
      </c>
      <c r="C708" t="s">
        <v>962</v>
      </c>
      <c r="D708" t="s">
        <v>466</v>
      </c>
      <c r="E708">
        <v>12</v>
      </c>
      <c r="F708">
        <v>8.23</v>
      </c>
      <c r="G708">
        <v>19.4481</v>
      </c>
      <c r="H708" t="s">
        <v>466</v>
      </c>
      <c r="I708" t="s">
        <v>47</v>
      </c>
      <c r="J708" t="s">
        <v>23</v>
      </c>
      <c r="K708">
        <f t="shared" si="132"/>
        <v>115.82</v>
      </c>
      <c r="L708">
        <f t="shared" si="133"/>
        <v>434.36700000000002</v>
      </c>
      <c r="M708" t="str">
        <f t="shared" si="134"/>
        <v>comp-8</v>
      </c>
      <c r="N708" t="str">
        <f>INDEX(Scores!$A$2:$A$11,INDEX(Scores!$AA$2:$AA$131,MATCH(C708,Scores!$AB$2:$AB$131,0)))</f>
        <v>comp</v>
      </c>
      <c r="O708">
        <f t="shared" si="135"/>
        <v>100.87</v>
      </c>
      <c r="P708">
        <f t="shared" si="136"/>
        <v>421.5641</v>
      </c>
      <c r="Q708" s="3">
        <f t="shared" si="137"/>
        <v>0.69532483792586408</v>
      </c>
      <c r="R708" s="3">
        <f t="shared" si="138"/>
        <v>0.74126744190396654</v>
      </c>
      <c r="S708" s="9">
        <f t="shared" si="139"/>
        <v>4.5942603978102459E-2</v>
      </c>
      <c r="T708">
        <f t="shared" si="140"/>
        <v>80</v>
      </c>
      <c r="U708">
        <f t="shared" si="141"/>
        <v>115</v>
      </c>
      <c r="V708" s="3">
        <f t="shared" si="142"/>
        <v>7.3864864679009206E-19</v>
      </c>
      <c r="W708" s="9">
        <f t="shared" si="143"/>
        <v>-7.3864864679009206E-19</v>
      </c>
      <c r="AC708"/>
    </row>
    <row r="709" spans="1:29" x14ac:dyDescent="0.25">
      <c r="A709" t="s">
        <v>122</v>
      </c>
      <c r="B709">
        <v>6</v>
      </c>
      <c r="C709" t="s">
        <v>904</v>
      </c>
      <c r="D709" t="s">
        <v>473</v>
      </c>
      <c r="E709">
        <v>15</v>
      </c>
      <c r="F709">
        <v>9.01</v>
      </c>
      <c r="G709">
        <v>20.884899999999998</v>
      </c>
      <c r="H709" t="s">
        <v>87</v>
      </c>
      <c r="I709" t="s">
        <v>87</v>
      </c>
      <c r="J709" t="s">
        <v>20</v>
      </c>
      <c r="K709">
        <f t="shared" si="132"/>
        <v>110.30999999999999</v>
      </c>
      <c r="L709">
        <f t="shared" si="133"/>
        <v>388.52729999999997</v>
      </c>
      <c r="M709" t="str">
        <f t="shared" si="134"/>
        <v>seth-6</v>
      </c>
      <c r="N709" t="str">
        <f>INDEX(Scores!$A$2:$A$11,INDEX(Scores!$AA$2:$AA$131,MATCH(C709,Scores!$AB$2:$AB$131,0)))</f>
        <v>seth</v>
      </c>
      <c r="O709">
        <f t="shared" si="135"/>
        <v>90.009999999999991</v>
      </c>
      <c r="P709">
        <f t="shared" si="136"/>
        <v>295.93350000000004</v>
      </c>
      <c r="Q709" s="3">
        <f t="shared" si="137"/>
        <v>0.78110442116748435</v>
      </c>
      <c r="R709" s="3">
        <f t="shared" si="138"/>
        <v>0.84627227993360443</v>
      </c>
      <c r="S709" s="9">
        <f t="shared" si="139"/>
        <v>6.5167858766120079E-2</v>
      </c>
      <c r="T709">
        <f t="shared" si="140"/>
        <v>96</v>
      </c>
      <c r="U709">
        <f t="shared" si="141"/>
        <v>130</v>
      </c>
      <c r="V709" s="3">
        <f t="shared" si="142"/>
        <v>1.0616048124339021E-18</v>
      </c>
      <c r="W709" s="9">
        <f t="shared" si="143"/>
        <v>-1.0616048124339021E-18</v>
      </c>
      <c r="AC709"/>
    </row>
    <row r="710" spans="1:29" x14ac:dyDescent="0.25">
      <c r="A710" t="s">
        <v>191</v>
      </c>
      <c r="B710">
        <v>8</v>
      </c>
      <c r="C710" t="s">
        <v>954</v>
      </c>
      <c r="D710" t="s">
        <v>471</v>
      </c>
      <c r="E710">
        <v>15</v>
      </c>
      <c r="F710">
        <v>9.06</v>
      </c>
      <c r="G710">
        <v>25.401599999999998</v>
      </c>
      <c r="H710" t="s">
        <v>87</v>
      </c>
      <c r="I710" t="s">
        <v>87</v>
      </c>
      <c r="J710" t="s">
        <v>40</v>
      </c>
      <c r="K710">
        <f t="shared" si="132"/>
        <v>93.289999999999992</v>
      </c>
      <c r="L710">
        <f t="shared" si="133"/>
        <v>315.97840000000008</v>
      </c>
      <c r="M710" t="e">
        <f t="shared" si="134"/>
        <v>#N/A</v>
      </c>
      <c r="N710" t="e">
        <f>INDEX(Scores!$A$2:$A$11,INDEX(Scores!$AA$2:$AA$131,MATCH(C710,Scores!$AB$2:$AB$131,0)))</f>
        <v>#N/A</v>
      </c>
      <c r="O710">
        <f t="shared" si="135"/>
        <v>0</v>
      </c>
      <c r="P710">
        <f t="shared" si="136"/>
        <v>0</v>
      </c>
      <c r="Q710" s="3">
        <f t="shared" si="137"/>
        <v>0.99999992318369246</v>
      </c>
      <c r="R710" s="3">
        <f t="shared" si="138"/>
        <v>0.99999999707867038</v>
      </c>
      <c r="S710" s="9">
        <f t="shared" si="139"/>
        <v>7.3894977914434889E-8</v>
      </c>
      <c r="T710">
        <f t="shared" si="140"/>
        <v>75</v>
      </c>
      <c r="U710">
        <f t="shared" si="141"/>
        <v>0</v>
      </c>
      <c r="V710" s="3">
        <f t="shared" si="142"/>
        <v>1</v>
      </c>
      <c r="W710" s="9">
        <f t="shared" si="143"/>
        <v>0</v>
      </c>
      <c r="AC710"/>
    </row>
    <row r="711" spans="1:29" x14ac:dyDescent="0.25">
      <c r="A711" t="s">
        <v>90</v>
      </c>
      <c r="B711">
        <v>10</v>
      </c>
      <c r="C711" t="s">
        <v>908</v>
      </c>
      <c r="D711" t="s">
        <v>468</v>
      </c>
      <c r="E711">
        <v>0</v>
      </c>
      <c r="F711">
        <v>12.84</v>
      </c>
      <c r="G711">
        <v>34.81</v>
      </c>
      <c r="H711" t="s">
        <v>47</v>
      </c>
      <c r="I711" t="s">
        <v>47</v>
      </c>
      <c r="J711" t="s">
        <v>20</v>
      </c>
      <c r="K711">
        <f t="shared" si="132"/>
        <v>101.17</v>
      </c>
      <c r="L711">
        <f t="shared" si="133"/>
        <v>351.19740000000002</v>
      </c>
      <c r="M711" t="str">
        <f t="shared" si="134"/>
        <v>comp-10</v>
      </c>
      <c r="N711" t="str">
        <f>INDEX(Scores!$A$2:$A$11,INDEX(Scores!$AA$2:$AA$131,MATCH(C711,Scores!$AB$2:$AB$131,0)))</f>
        <v>comp</v>
      </c>
      <c r="O711">
        <f t="shared" si="135"/>
        <v>99.050000000000011</v>
      </c>
      <c r="P711">
        <f t="shared" si="136"/>
        <v>345.4212</v>
      </c>
      <c r="Q711" s="3">
        <f t="shared" si="137"/>
        <v>0.53200969987678148</v>
      </c>
      <c r="R711" s="3">
        <f t="shared" si="138"/>
        <v>0.33844714375424756</v>
      </c>
      <c r="S711" s="9">
        <f t="shared" si="139"/>
        <v>-0.19356255612253392</v>
      </c>
      <c r="T711">
        <f t="shared" si="140"/>
        <v>67</v>
      </c>
      <c r="U711">
        <f t="shared" si="141"/>
        <v>130</v>
      </c>
      <c r="V711" s="3">
        <f t="shared" si="142"/>
        <v>9.3421163703143342E-18</v>
      </c>
      <c r="W711" s="9">
        <f t="shared" si="143"/>
        <v>-9.3421163703143342E-18</v>
      </c>
      <c r="AC711"/>
    </row>
    <row r="712" spans="1:29" x14ac:dyDescent="0.25">
      <c r="A712" t="s">
        <v>223</v>
      </c>
      <c r="B712">
        <v>11</v>
      </c>
      <c r="C712" t="s">
        <v>957</v>
      </c>
      <c r="D712" t="s">
        <v>473</v>
      </c>
      <c r="E712">
        <v>5</v>
      </c>
      <c r="F712">
        <v>6.57</v>
      </c>
      <c r="G712">
        <v>15.6816</v>
      </c>
      <c r="H712" t="s">
        <v>87</v>
      </c>
      <c r="I712" t="s">
        <v>87</v>
      </c>
      <c r="J712" t="s">
        <v>40</v>
      </c>
      <c r="K712">
        <f t="shared" si="132"/>
        <v>98.88000000000001</v>
      </c>
      <c r="L712">
        <f t="shared" si="133"/>
        <v>375.05889999999999</v>
      </c>
      <c r="M712" t="e">
        <f t="shared" si="134"/>
        <v>#N/A</v>
      </c>
      <c r="N712" t="e">
        <f>INDEX(Scores!$A$2:$A$11,INDEX(Scores!$AA$2:$AA$131,MATCH(C712,Scores!$AB$2:$AB$131,0)))</f>
        <v>#N/A</v>
      </c>
      <c r="O712">
        <f t="shared" si="135"/>
        <v>0</v>
      </c>
      <c r="P712">
        <f t="shared" si="136"/>
        <v>0</v>
      </c>
      <c r="Q712" s="3">
        <f t="shared" si="137"/>
        <v>0.99999983524900793</v>
      </c>
      <c r="R712" s="3">
        <f t="shared" si="138"/>
        <v>0.99999985751753673</v>
      </c>
      <c r="S712" s="9">
        <f t="shared" si="139"/>
        <v>2.2268528798718989E-8</v>
      </c>
      <c r="T712">
        <f t="shared" si="140"/>
        <v>50</v>
      </c>
      <c r="U712">
        <f t="shared" si="141"/>
        <v>0</v>
      </c>
      <c r="V712" s="3">
        <f t="shared" si="142"/>
        <v>1</v>
      </c>
      <c r="W712" s="9">
        <f t="shared" si="143"/>
        <v>0</v>
      </c>
      <c r="AC712"/>
    </row>
    <row r="713" spans="1:29" x14ac:dyDescent="0.25">
      <c r="A713" t="s">
        <v>162</v>
      </c>
      <c r="B713">
        <v>4</v>
      </c>
      <c r="C713" t="s">
        <v>860</v>
      </c>
      <c r="D713" t="s">
        <v>475</v>
      </c>
      <c r="E713">
        <v>6</v>
      </c>
      <c r="F713">
        <v>6.24</v>
      </c>
      <c r="G713">
        <v>16.4025</v>
      </c>
      <c r="H713" t="s">
        <v>114</v>
      </c>
      <c r="I713" t="s">
        <v>114</v>
      </c>
      <c r="J713" t="s">
        <v>27</v>
      </c>
      <c r="K713">
        <f t="shared" si="132"/>
        <v>103.70000000000002</v>
      </c>
      <c r="L713">
        <f t="shared" si="133"/>
        <v>412.10110000000003</v>
      </c>
      <c r="M713" t="str">
        <f t="shared" si="134"/>
        <v>aj-4</v>
      </c>
      <c r="N713" t="str">
        <f>INDEX(Scores!$A$2:$A$11,INDEX(Scores!$AA$2:$AA$131,MATCH(C713,Scores!$AB$2:$AB$131,0)))</f>
        <v>aj</v>
      </c>
      <c r="O713">
        <f t="shared" si="135"/>
        <v>118.09999999999998</v>
      </c>
      <c r="P713">
        <f t="shared" si="136"/>
        <v>465.47660000000008</v>
      </c>
      <c r="Q713" s="3">
        <f t="shared" si="137"/>
        <v>0.31345048172071355</v>
      </c>
      <c r="R713" s="3">
        <f t="shared" si="138"/>
        <v>0.30893227546670776</v>
      </c>
      <c r="S713" s="9">
        <f t="shared" si="139"/>
        <v>-4.5182062540057855E-3</v>
      </c>
      <c r="T713">
        <f t="shared" si="140"/>
        <v>46</v>
      </c>
      <c r="U713">
        <f t="shared" si="141"/>
        <v>80</v>
      </c>
      <c r="V713" s="3">
        <f t="shared" si="142"/>
        <v>3.8487166741807852E-17</v>
      </c>
      <c r="W713" s="9">
        <f t="shared" si="143"/>
        <v>-3.8487166741807852E-17</v>
      </c>
      <c r="AC713"/>
    </row>
    <row r="714" spans="1:29" x14ac:dyDescent="0.25">
      <c r="A714" t="s">
        <v>18</v>
      </c>
      <c r="B714">
        <v>10</v>
      </c>
      <c r="C714" t="s">
        <v>908</v>
      </c>
      <c r="D714" t="s">
        <v>467</v>
      </c>
      <c r="E714">
        <v>22</v>
      </c>
      <c r="F714">
        <v>20.12</v>
      </c>
      <c r="G714">
        <v>61.465600000000002</v>
      </c>
      <c r="H714" t="s">
        <v>15</v>
      </c>
      <c r="I714" t="s">
        <v>15</v>
      </c>
      <c r="J714" t="s">
        <v>20</v>
      </c>
      <c r="K714">
        <f t="shared" si="132"/>
        <v>101.17</v>
      </c>
      <c r="L714">
        <f t="shared" si="133"/>
        <v>351.19740000000002</v>
      </c>
      <c r="M714" t="str">
        <f t="shared" si="134"/>
        <v>comp-10</v>
      </c>
      <c r="N714" t="str">
        <f>INDEX(Scores!$A$2:$A$11,INDEX(Scores!$AA$2:$AA$131,MATCH(C714,Scores!$AB$2:$AB$131,0)))</f>
        <v>comp</v>
      </c>
      <c r="O714">
        <f t="shared" si="135"/>
        <v>99.050000000000011</v>
      </c>
      <c r="P714">
        <f t="shared" si="136"/>
        <v>345.4212</v>
      </c>
      <c r="Q714" s="3">
        <f t="shared" si="137"/>
        <v>0.53200969987678148</v>
      </c>
      <c r="R714" s="3">
        <f t="shared" si="138"/>
        <v>0.56305369917859593</v>
      </c>
      <c r="S714" s="9">
        <f t="shared" si="139"/>
        <v>3.1043999301814451E-2</v>
      </c>
      <c r="T714">
        <f t="shared" si="140"/>
        <v>67</v>
      </c>
      <c r="U714">
        <f t="shared" si="141"/>
        <v>130</v>
      </c>
      <c r="V714" s="3">
        <f t="shared" si="142"/>
        <v>6.3953371559419615E-17</v>
      </c>
      <c r="W714" s="9">
        <f t="shared" si="143"/>
        <v>-6.3953371559419615E-17</v>
      </c>
      <c r="AC714"/>
    </row>
    <row r="715" spans="1:29" x14ac:dyDescent="0.25">
      <c r="A715" t="s">
        <v>458</v>
      </c>
      <c r="B715">
        <v>13</v>
      </c>
      <c r="C715" t="s">
        <v>959</v>
      </c>
      <c r="D715" t="s">
        <v>478</v>
      </c>
      <c r="E715">
        <v>2</v>
      </c>
      <c r="F715">
        <v>8.52</v>
      </c>
      <c r="G715">
        <v>15.602499999999999</v>
      </c>
      <c r="H715" t="s">
        <v>478</v>
      </c>
      <c r="I715" t="s">
        <v>478</v>
      </c>
      <c r="J715" t="s">
        <v>40</v>
      </c>
      <c r="K715">
        <f t="shared" si="132"/>
        <v>75.67</v>
      </c>
      <c r="L715">
        <f t="shared" si="133"/>
        <v>278.80779999999999</v>
      </c>
      <c r="M715" t="e">
        <f t="shared" si="134"/>
        <v>#N/A</v>
      </c>
      <c r="N715" t="e">
        <f>INDEX(Scores!$A$2:$A$11,INDEX(Scores!$AA$2:$AA$131,MATCH(C715,Scores!$AB$2:$AB$131,0)))</f>
        <v>#N/A</v>
      </c>
      <c r="O715">
        <f t="shared" si="135"/>
        <v>0</v>
      </c>
      <c r="P715">
        <f t="shared" si="136"/>
        <v>0</v>
      </c>
      <c r="Q715" s="3">
        <f t="shared" si="137"/>
        <v>0.9999970759175304</v>
      </c>
      <c r="R715" s="3">
        <f t="shared" si="138"/>
        <v>0.99998988370208508</v>
      </c>
      <c r="S715" s="9">
        <f t="shared" si="139"/>
        <v>-7.1922154453174514E-6</v>
      </c>
      <c r="T715">
        <f t="shared" si="140"/>
        <v>59</v>
      </c>
      <c r="U715">
        <f t="shared" si="141"/>
        <v>0</v>
      </c>
      <c r="V715" s="3">
        <f t="shared" si="142"/>
        <v>1</v>
      </c>
      <c r="W715" s="9">
        <f t="shared" si="143"/>
        <v>0</v>
      </c>
      <c r="AC715"/>
    </row>
    <row r="716" spans="1:29" x14ac:dyDescent="0.25">
      <c r="A716" t="s">
        <v>191</v>
      </c>
      <c r="B716">
        <v>2</v>
      </c>
      <c r="C716" t="s">
        <v>620</v>
      </c>
      <c r="D716" t="s">
        <v>473</v>
      </c>
      <c r="E716">
        <v>2</v>
      </c>
      <c r="F716">
        <v>6.15</v>
      </c>
      <c r="G716">
        <v>21.3444</v>
      </c>
      <c r="H716" t="s">
        <v>87</v>
      </c>
      <c r="I716" t="s">
        <v>87</v>
      </c>
      <c r="J716" t="s">
        <v>40</v>
      </c>
      <c r="K716">
        <f t="shared" si="132"/>
        <v>103.97000000000001</v>
      </c>
      <c r="L716">
        <f t="shared" si="133"/>
        <v>402.37729999999999</v>
      </c>
      <c r="M716" t="e">
        <f t="shared" si="134"/>
        <v>#N/A</v>
      </c>
      <c r="N716" t="e">
        <f>INDEX(Scores!$A$2:$A$11,INDEX(Scores!$AA$2:$AA$131,MATCH(C716,Scores!$AB$2:$AB$131,0)))</f>
        <v>#N/A</v>
      </c>
      <c r="O716">
        <f t="shared" si="135"/>
        <v>0</v>
      </c>
      <c r="P716">
        <f t="shared" si="136"/>
        <v>0</v>
      </c>
      <c r="Q716" s="3">
        <f t="shared" si="137"/>
        <v>0.9999998908980352</v>
      </c>
      <c r="R716" s="3">
        <f t="shared" si="138"/>
        <v>0.99999984205618209</v>
      </c>
      <c r="S716" s="9">
        <f t="shared" si="139"/>
        <v>-4.8841853117487233E-8</v>
      </c>
      <c r="T716">
        <f t="shared" si="140"/>
        <v>60</v>
      </c>
      <c r="U716">
        <f t="shared" si="141"/>
        <v>0</v>
      </c>
      <c r="V716" s="3">
        <f t="shared" si="142"/>
        <v>1</v>
      </c>
      <c r="W716" s="9">
        <f t="shared" si="143"/>
        <v>0</v>
      </c>
      <c r="AC716"/>
    </row>
    <row r="717" spans="1:29" x14ac:dyDescent="0.25">
      <c r="A717" t="s">
        <v>462</v>
      </c>
      <c r="B717">
        <v>11</v>
      </c>
      <c r="C717" t="s">
        <v>981</v>
      </c>
      <c r="D717" t="s">
        <v>478</v>
      </c>
      <c r="E717">
        <v>17</v>
      </c>
      <c r="F717">
        <v>7.15</v>
      </c>
      <c r="G717">
        <v>13.3225</v>
      </c>
      <c r="H717" t="s">
        <v>478</v>
      </c>
      <c r="I717" t="s">
        <v>478</v>
      </c>
      <c r="J717" t="s">
        <v>44</v>
      </c>
      <c r="K717">
        <f t="shared" si="132"/>
        <v>98.329999999999984</v>
      </c>
      <c r="L717">
        <f t="shared" si="133"/>
        <v>378.70709999999997</v>
      </c>
      <c r="M717" t="str">
        <f t="shared" si="134"/>
        <v>aj-11</v>
      </c>
      <c r="N717" t="str">
        <f>INDEX(Scores!$A$2:$A$11,INDEX(Scores!$AA$2:$AA$131,MATCH(C717,Scores!$AB$2:$AB$131,0)))</f>
        <v>aj</v>
      </c>
      <c r="O717">
        <f t="shared" si="135"/>
        <v>110.11</v>
      </c>
      <c r="P717">
        <f t="shared" si="136"/>
        <v>412.79880000000003</v>
      </c>
      <c r="Q717" s="3">
        <f t="shared" si="137"/>
        <v>0.33771232413612995</v>
      </c>
      <c r="R717" s="3">
        <f t="shared" si="138"/>
        <v>0.47242090351864302</v>
      </c>
      <c r="S717" s="9">
        <f t="shared" si="139"/>
        <v>0.13470857938251307</v>
      </c>
      <c r="T717">
        <f t="shared" si="140"/>
        <v>111</v>
      </c>
      <c r="U717">
        <f t="shared" si="141"/>
        <v>131</v>
      </c>
      <c r="V717" s="3">
        <f t="shared" si="142"/>
        <v>1.441985166866834E-16</v>
      </c>
      <c r="W717" s="9">
        <f t="shared" si="143"/>
        <v>-1.441985166866834E-16</v>
      </c>
      <c r="AC717"/>
    </row>
    <row r="718" spans="1:29" x14ac:dyDescent="0.25">
      <c r="A718" t="s">
        <v>415</v>
      </c>
      <c r="B718">
        <v>3</v>
      </c>
      <c r="C718" t="s">
        <v>811</v>
      </c>
      <c r="D718" t="s">
        <v>477</v>
      </c>
      <c r="E718">
        <v>3</v>
      </c>
      <c r="F718">
        <v>8.6999999999999993</v>
      </c>
      <c r="G718">
        <v>44.089599999999997</v>
      </c>
      <c r="H718" t="s">
        <v>477</v>
      </c>
      <c r="I718" t="s">
        <v>477</v>
      </c>
      <c r="J718" t="s">
        <v>35</v>
      </c>
      <c r="K718">
        <f t="shared" si="132"/>
        <v>110.36</v>
      </c>
      <c r="L718">
        <f t="shared" si="133"/>
        <v>421.178</v>
      </c>
      <c r="M718" t="str">
        <f t="shared" si="134"/>
        <v>chad-3</v>
      </c>
      <c r="N718" t="str">
        <f>INDEX(Scores!$A$2:$A$11,INDEX(Scores!$AA$2:$AA$131,MATCH(C718,Scores!$AB$2:$AB$131,0)))</f>
        <v>chad</v>
      </c>
      <c r="O718">
        <f t="shared" si="135"/>
        <v>99.23</v>
      </c>
      <c r="P718">
        <f t="shared" si="136"/>
        <v>414.92009999999999</v>
      </c>
      <c r="Q718" s="3">
        <f t="shared" si="137"/>
        <v>0.64985036548815633</v>
      </c>
      <c r="R718" s="3">
        <f t="shared" si="138"/>
        <v>0.57649921890249622</v>
      </c>
      <c r="S718" s="9">
        <f t="shared" si="139"/>
        <v>-7.335114658566011E-2</v>
      </c>
      <c r="T718">
        <f t="shared" si="140"/>
        <v>63</v>
      </c>
      <c r="U718">
        <f t="shared" si="141"/>
        <v>123</v>
      </c>
      <c r="V718" s="3">
        <f t="shared" si="142"/>
        <v>1.4464347617448184E-16</v>
      </c>
      <c r="W718" s="9">
        <f t="shared" si="143"/>
        <v>-1.4464347617448184E-16</v>
      </c>
      <c r="AC718"/>
    </row>
    <row r="719" spans="1:29" x14ac:dyDescent="0.25">
      <c r="A719" t="s">
        <v>128</v>
      </c>
      <c r="B719">
        <v>1</v>
      </c>
      <c r="C719" t="s">
        <v>507</v>
      </c>
      <c r="D719" t="s">
        <v>468</v>
      </c>
      <c r="E719">
        <v>5</v>
      </c>
      <c r="F719">
        <v>7.25</v>
      </c>
      <c r="G719">
        <v>32.718400000000003</v>
      </c>
      <c r="H719" t="s">
        <v>47</v>
      </c>
      <c r="I719" t="s">
        <v>47</v>
      </c>
      <c r="J719" t="s">
        <v>55</v>
      </c>
      <c r="K719">
        <f t="shared" si="132"/>
        <v>90.7</v>
      </c>
      <c r="L719">
        <f t="shared" si="133"/>
        <v>347.93650000000002</v>
      </c>
      <c r="M719" t="str">
        <f t="shared" si="134"/>
        <v>scott-1</v>
      </c>
      <c r="N719" t="str">
        <f>INDEX(Scores!$A$2:$A$11,INDEX(Scores!$AA$2:$AA$131,MATCH(C719,Scores!$AB$2:$AB$131,0)))</f>
        <v>scott</v>
      </c>
      <c r="O719">
        <f t="shared" si="135"/>
        <v>102.78</v>
      </c>
      <c r="P719">
        <f t="shared" si="136"/>
        <v>382.14119999999997</v>
      </c>
      <c r="Q719" s="3">
        <f t="shared" si="137"/>
        <v>0.32740970845919121</v>
      </c>
      <c r="R719" s="3">
        <f t="shared" si="138"/>
        <v>0.2936862271631297</v>
      </c>
      <c r="S719" s="9">
        <f t="shared" si="139"/>
        <v>-3.3723481296061508E-2</v>
      </c>
      <c r="T719">
        <f t="shared" si="140"/>
        <v>71</v>
      </c>
      <c r="U719">
        <f t="shared" si="141"/>
        <v>120</v>
      </c>
      <c r="V719" s="3">
        <f t="shared" si="142"/>
        <v>1.5031108565087372E-16</v>
      </c>
      <c r="W719" s="9">
        <f t="shared" si="143"/>
        <v>-1.5031108565087372E-16</v>
      </c>
      <c r="AC719"/>
    </row>
    <row r="720" spans="1:29" x14ac:dyDescent="0.25">
      <c r="A720" t="s">
        <v>405</v>
      </c>
      <c r="B720">
        <v>9</v>
      </c>
      <c r="C720" t="s">
        <v>971</v>
      </c>
      <c r="D720" t="s">
        <v>477</v>
      </c>
      <c r="E720">
        <v>10</v>
      </c>
      <c r="F720">
        <v>10.220000000000001</v>
      </c>
      <c r="G720">
        <v>56.25</v>
      </c>
      <c r="H720" t="s">
        <v>477</v>
      </c>
      <c r="I720" t="s">
        <v>477</v>
      </c>
      <c r="J720" t="s">
        <v>49</v>
      </c>
      <c r="K720">
        <f t="shared" si="132"/>
        <v>94.12</v>
      </c>
      <c r="L720">
        <f t="shared" si="133"/>
        <v>378.32429999999999</v>
      </c>
      <c r="M720" t="str">
        <f t="shared" si="134"/>
        <v>chad-9</v>
      </c>
      <c r="N720" t="str">
        <f>INDEX(Scores!$A$2:$A$11,INDEX(Scores!$AA$2:$AA$131,MATCH(C720,Scores!$AB$2:$AB$131,0)))</f>
        <v>chad</v>
      </c>
      <c r="O720">
        <f t="shared" si="135"/>
        <v>100.46000000000001</v>
      </c>
      <c r="P720">
        <f t="shared" si="136"/>
        <v>387.61320000000001</v>
      </c>
      <c r="Q720" s="3">
        <f t="shared" si="137"/>
        <v>0.40940225853306977</v>
      </c>
      <c r="R720" s="3">
        <f t="shared" si="138"/>
        <v>0.40274566806056</v>
      </c>
      <c r="S720" s="9">
        <f t="shared" si="139"/>
        <v>-6.6565904725097713E-3</v>
      </c>
      <c r="T720">
        <f t="shared" si="140"/>
        <v>68</v>
      </c>
      <c r="U720">
        <f t="shared" si="141"/>
        <v>129</v>
      </c>
      <c r="V720" s="3">
        <f t="shared" si="142"/>
        <v>2.6590552790929366E-16</v>
      </c>
      <c r="W720" s="9">
        <f t="shared" si="143"/>
        <v>-2.6590552790929366E-16</v>
      </c>
      <c r="AC720"/>
    </row>
    <row r="721" spans="1:29" x14ac:dyDescent="0.25">
      <c r="A721" t="s">
        <v>134</v>
      </c>
      <c r="B721">
        <v>11</v>
      </c>
      <c r="C721" t="s">
        <v>933</v>
      </c>
      <c r="D721" t="s">
        <v>472</v>
      </c>
      <c r="E721">
        <v>13</v>
      </c>
      <c r="F721">
        <v>9.51</v>
      </c>
      <c r="G721">
        <v>37.699599999999997</v>
      </c>
      <c r="H721" t="s">
        <v>87</v>
      </c>
      <c r="I721" t="s">
        <v>87</v>
      </c>
      <c r="J721" t="s">
        <v>35</v>
      </c>
      <c r="K721">
        <f t="shared" si="132"/>
        <v>100.25</v>
      </c>
      <c r="L721">
        <f t="shared" si="133"/>
        <v>448.76889999999997</v>
      </c>
      <c r="M721" t="str">
        <f t="shared" si="134"/>
        <v>scott-11</v>
      </c>
      <c r="N721" t="str">
        <f>INDEX(Scores!$A$2:$A$11,INDEX(Scores!$AA$2:$AA$131,MATCH(C721,Scores!$AB$2:$AB$131,0)))</f>
        <v>scott</v>
      </c>
      <c r="O721">
        <f t="shared" si="135"/>
        <v>105.39999999999999</v>
      </c>
      <c r="P721">
        <f t="shared" si="136"/>
        <v>342.09739999999999</v>
      </c>
      <c r="Q721" s="3">
        <f t="shared" si="137"/>
        <v>0.42734863744074048</v>
      </c>
      <c r="R721" s="3">
        <f t="shared" si="138"/>
        <v>0.47588385764003016</v>
      </c>
      <c r="S721" s="9">
        <f t="shared" si="139"/>
        <v>4.8535220199289686E-2</v>
      </c>
      <c r="T721">
        <f t="shared" si="140"/>
        <v>78</v>
      </c>
      <c r="U721">
        <f t="shared" si="141"/>
        <v>124</v>
      </c>
      <c r="V721" s="3">
        <f t="shared" si="142"/>
        <v>3.8065990187491187E-16</v>
      </c>
      <c r="W721" s="9">
        <f t="shared" si="143"/>
        <v>-3.8065990187491187E-16</v>
      </c>
      <c r="AC721"/>
    </row>
    <row r="722" spans="1:29" x14ac:dyDescent="0.25">
      <c r="A722" t="s">
        <v>796</v>
      </c>
      <c r="B722">
        <v>11</v>
      </c>
      <c r="C722" t="s">
        <v>933</v>
      </c>
      <c r="D722" t="s">
        <v>469</v>
      </c>
      <c r="E722">
        <v>12</v>
      </c>
      <c r="F722">
        <v>6.81</v>
      </c>
      <c r="G722">
        <v>41.088099999999997</v>
      </c>
      <c r="H722" t="s">
        <v>47</v>
      </c>
      <c r="I722" t="s">
        <v>47</v>
      </c>
      <c r="J722" t="s">
        <v>35</v>
      </c>
      <c r="K722">
        <f t="shared" si="132"/>
        <v>100.25</v>
      </c>
      <c r="L722">
        <f t="shared" si="133"/>
        <v>448.76889999999997</v>
      </c>
      <c r="M722" t="str">
        <f t="shared" si="134"/>
        <v>scott-11</v>
      </c>
      <c r="N722" t="str">
        <f>INDEX(Scores!$A$2:$A$11,INDEX(Scores!$AA$2:$AA$131,MATCH(C722,Scores!$AB$2:$AB$131,0)))</f>
        <v>scott</v>
      </c>
      <c r="O722">
        <f t="shared" si="135"/>
        <v>105.39999999999999</v>
      </c>
      <c r="P722">
        <f t="shared" si="136"/>
        <v>342.09739999999999</v>
      </c>
      <c r="Q722" s="3">
        <f t="shared" si="137"/>
        <v>0.42734863744074048</v>
      </c>
      <c r="R722" s="3">
        <f t="shared" si="138"/>
        <v>0.50058277846895671</v>
      </c>
      <c r="S722" s="9">
        <f t="shared" si="139"/>
        <v>7.3234141028216238E-2</v>
      </c>
      <c r="T722">
        <f t="shared" si="140"/>
        <v>78</v>
      </c>
      <c r="U722">
        <f t="shared" si="141"/>
        <v>124</v>
      </c>
      <c r="V722" s="3">
        <f t="shared" si="142"/>
        <v>6.9716766084286561E-16</v>
      </c>
      <c r="W722" s="9">
        <f t="shared" si="143"/>
        <v>-6.9716766084286561E-16</v>
      </c>
      <c r="AC722"/>
    </row>
    <row r="723" spans="1:29" x14ac:dyDescent="0.25">
      <c r="A723" t="s">
        <v>110</v>
      </c>
      <c r="B723">
        <v>1</v>
      </c>
      <c r="C723" t="s">
        <v>507</v>
      </c>
      <c r="D723" t="s">
        <v>471</v>
      </c>
      <c r="E723">
        <v>4</v>
      </c>
      <c r="F723">
        <v>8.5399999999999991</v>
      </c>
      <c r="G723">
        <v>31.696899999999999</v>
      </c>
      <c r="H723" t="s">
        <v>87</v>
      </c>
      <c r="I723" t="s">
        <v>87</v>
      </c>
      <c r="J723" t="s">
        <v>55</v>
      </c>
      <c r="K723">
        <f t="shared" si="132"/>
        <v>90.7</v>
      </c>
      <c r="L723">
        <f t="shared" si="133"/>
        <v>347.93650000000002</v>
      </c>
      <c r="M723" t="str">
        <f t="shared" si="134"/>
        <v>scott-1</v>
      </c>
      <c r="N723" t="str">
        <f>INDEX(Scores!$A$2:$A$11,INDEX(Scores!$AA$2:$AA$131,MATCH(C723,Scores!$AB$2:$AB$131,0)))</f>
        <v>scott</v>
      </c>
      <c r="O723">
        <f t="shared" si="135"/>
        <v>102.78</v>
      </c>
      <c r="P723">
        <f t="shared" si="136"/>
        <v>382.14119999999997</v>
      </c>
      <c r="Q723" s="3">
        <f t="shared" si="137"/>
        <v>0.32740970845919121</v>
      </c>
      <c r="R723" s="3">
        <f t="shared" si="138"/>
        <v>0.26470570856173048</v>
      </c>
      <c r="S723" s="9">
        <f t="shared" si="139"/>
        <v>-6.2703999897460727E-2</v>
      </c>
      <c r="T723">
        <f t="shared" si="140"/>
        <v>71</v>
      </c>
      <c r="U723">
        <f t="shared" si="141"/>
        <v>120</v>
      </c>
      <c r="V723" s="3">
        <f t="shared" si="142"/>
        <v>1.4287057078583569E-15</v>
      </c>
      <c r="W723" s="9">
        <f t="shared" si="143"/>
        <v>-1.4287057078583569E-15</v>
      </c>
      <c r="AC723"/>
    </row>
    <row r="724" spans="1:29" x14ac:dyDescent="0.25">
      <c r="A724" t="s">
        <v>265</v>
      </c>
      <c r="B724">
        <v>12</v>
      </c>
      <c r="C724" t="s">
        <v>910</v>
      </c>
      <c r="D724" t="s">
        <v>475</v>
      </c>
      <c r="E724">
        <v>0</v>
      </c>
      <c r="F724">
        <v>7.27</v>
      </c>
      <c r="G724">
        <v>20.611599999999999</v>
      </c>
      <c r="H724" t="s">
        <v>114</v>
      </c>
      <c r="I724" t="s">
        <v>114</v>
      </c>
      <c r="J724" t="s">
        <v>20</v>
      </c>
      <c r="K724">
        <f t="shared" si="132"/>
        <v>109.82</v>
      </c>
      <c r="L724">
        <f t="shared" si="133"/>
        <v>367.76499999999999</v>
      </c>
      <c r="M724" t="str">
        <f t="shared" si="134"/>
        <v>perry-12</v>
      </c>
      <c r="N724" t="str">
        <f>INDEX(Scores!$A$2:$A$11,INDEX(Scores!$AA$2:$AA$131,MATCH(C724,Scores!$AB$2:$AB$131,0)))</f>
        <v>perry</v>
      </c>
      <c r="O724">
        <f t="shared" si="135"/>
        <v>117.67999999999999</v>
      </c>
      <c r="P724">
        <f t="shared" si="136"/>
        <v>426.54240000000004</v>
      </c>
      <c r="Q724" s="3">
        <f t="shared" si="137"/>
        <v>0.39016577980232847</v>
      </c>
      <c r="R724" s="3">
        <f t="shared" si="138"/>
        <v>0.29324016943478509</v>
      </c>
      <c r="S724" s="9">
        <f t="shared" si="139"/>
        <v>-9.692561036754338E-2</v>
      </c>
      <c r="T724">
        <f t="shared" si="140"/>
        <v>88</v>
      </c>
      <c r="U724">
        <f t="shared" si="141"/>
        <v>131</v>
      </c>
      <c r="V724" s="3">
        <f t="shared" si="142"/>
        <v>1.7725819750986667E-15</v>
      </c>
      <c r="W724" s="9">
        <f t="shared" si="143"/>
        <v>-1.7725819750986667E-15</v>
      </c>
      <c r="AC724"/>
    </row>
    <row r="725" spans="1:29" x14ac:dyDescent="0.25">
      <c r="A725" t="s">
        <v>59</v>
      </c>
      <c r="B725">
        <v>12</v>
      </c>
      <c r="C725" t="s">
        <v>958</v>
      </c>
      <c r="D725" t="s">
        <v>467</v>
      </c>
      <c r="E725">
        <v>3</v>
      </c>
      <c r="F725">
        <v>17.18</v>
      </c>
      <c r="G725">
        <v>75.168899999999994</v>
      </c>
      <c r="H725" t="s">
        <v>15</v>
      </c>
      <c r="I725" t="s">
        <v>15</v>
      </c>
      <c r="J725" t="s">
        <v>40</v>
      </c>
      <c r="K725">
        <f t="shared" si="132"/>
        <v>96.019999999999982</v>
      </c>
      <c r="L725">
        <f t="shared" si="133"/>
        <v>375.18639999999999</v>
      </c>
      <c r="M725" t="e">
        <f t="shared" si="134"/>
        <v>#N/A</v>
      </c>
      <c r="N725" t="e">
        <f>INDEX(Scores!$A$2:$A$11,INDEX(Scores!$AA$2:$AA$131,MATCH(C725,Scores!$AB$2:$AB$131,0)))</f>
        <v>#N/A</v>
      </c>
      <c r="O725">
        <f t="shared" si="135"/>
        <v>0</v>
      </c>
      <c r="P725">
        <f t="shared" si="136"/>
        <v>0</v>
      </c>
      <c r="Q725" s="3">
        <f t="shared" si="137"/>
        <v>0.99999964245431261</v>
      </c>
      <c r="R725" s="3">
        <f t="shared" si="138"/>
        <v>0.99999884883874279</v>
      </c>
      <c r="S725" s="9">
        <f t="shared" si="139"/>
        <v>-7.9361556981627501E-7</v>
      </c>
      <c r="T725">
        <f t="shared" si="140"/>
        <v>73</v>
      </c>
      <c r="U725">
        <f t="shared" si="141"/>
        <v>0</v>
      </c>
      <c r="V725" s="3">
        <f t="shared" si="142"/>
        <v>1</v>
      </c>
      <c r="W725" s="9">
        <f t="shared" si="143"/>
        <v>0</v>
      </c>
      <c r="AC725"/>
    </row>
    <row r="726" spans="1:29" x14ac:dyDescent="0.25">
      <c r="A726" t="s">
        <v>444</v>
      </c>
      <c r="B726">
        <v>2</v>
      </c>
      <c r="C726" t="s">
        <v>628</v>
      </c>
      <c r="D726" t="s">
        <v>478</v>
      </c>
      <c r="E726">
        <v>5</v>
      </c>
      <c r="F726">
        <v>7.79</v>
      </c>
      <c r="G726">
        <v>15.9201</v>
      </c>
      <c r="H726" t="s">
        <v>478</v>
      </c>
      <c r="I726" t="s">
        <v>478</v>
      </c>
      <c r="J726" t="s">
        <v>20</v>
      </c>
      <c r="K726">
        <f t="shared" si="132"/>
        <v>103.25</v>
      </c>
      <c r="L726">
        <f t="shared" si="133"/>
        <v>377.00829999999996</v>
      </c>
      <c r="M726" t="str">
        <f t="shared" si="134"/>
        <v>devon-2</v>
      </c>
      <c r="N726" t="str">
        <f>INDEX(Scores!$A$2:$A$11,INDEX(Scores!$AA$2:$AA$131,MATCH(C726,Scores!$AB$2:$AB$131,0)))</f>
        <v>devon</v>
      </c>
      <c r="O726">
        <f t="shared" si="135"/>
        <v>100.92999999999999</v>
      </c>
      <c r="P726">
        <f t="shared" si="136"/>
        <v>374.85250000000002</v>
      </c>
      <c r="Q726" s="3">
        <f t="shared" si="137"/>
        <v>0.53371408733680603</v>
      </c>
      <c r="R726" s="3">
        <f t="shared" si="138"/>
        <v>0.49308861975806695</v>
      </c>
      <c r="S726" s="9">
        <f t="shared" si="139"/>
        <v>-4.0625467578739083E-2</v>
      </c>
      <c r="T726">
        <f t="shared" si="140"/>
        <v>106</v>
      </c>
      <c r="U726">
        <f t="shared" si="141"/>
        <v>140</v>
      </c>
      <c r="V726" s="3">
        <f t="shared" si="142"/>
        <v>2.5983917858521876E-15</v>
      </c>
      <c r="W726" s="9">
        <f t="shared" si="143"/>
        <v>-2.5983917858521876E-15</v>
      </c>
      <c r="AC726"/>
    </row>
    <row r="727" spans="1:29" x14ac:dyDescent="0.25">
      <c r="A727" t="s">
        <v>119</v>
      </c>
      <c r="B727">
        <v>1</v>
      </c>
      <c r="C727" t="s">
        <v>507</v>
      </c>
      <c r="D727" t="s">
        <v>472</v>
      </c>
      <c r="E727">
        <v>1</v>
      </c>
      <c r="F727">
        <v>8.06</v>
      </c>
      <c r="G727">
        <v>28.944400000000002</v>
      </c>
      <c r="H727" t="s">
        <v>87</v>
      </c>
      <c r="I727" t="s">
        <v>87</v>
      </c>
      <c r="J727" t="s">
        <v>55</v>
      </c>
      <c r="K727">
        <f t="shared" si="132"/>
        <v>90.7</v>
      </c>
      <c r="L727">
        <f t="shared" si="133"/>
        <v>347.93650000000002</v>
      </c>
      <c r="M727" t="str">
        <f t="shared" si="134"/>
        <v>scott-1</v>
      </c>
      <c r="N727" t="str">
        <f>INDEX(Scores!$A$2:$A$11,INDEX(Scores!$AA$2:$AA$131,MATCH(C727,Scores!$AB$2:$AB$131,0)))</f>
        <v>scott</v>
      </c>
      <c r="O727">
        <f t="shared" si="135"/>
        <v>102.78</v>
      </c>
      <c r="P727">
        <f t="shared" si="136"/>
        <v>382.14119999999997</v>
      </c>
      <c r="Q727" s="3">
        <f t="shared" si="137"/>
        <v>0.32740970845919121</v>
      </c>
      <c r="R727" s="3">
        <f t="shared" si="138"/>
        <v>0.23488937122748849</v>
      </c>
      <c r="S727" s="9">
        <f t="shared" si="139"/>
        <v>-9.2520337231702721E-2</v>
      </c>
      <c r="T727">
        <f t="shared" si="140"/>
        <v>71</v>
      </c>
      <c r="U727">
        <f t="shared" si="141"/>
        <v>120</v>
      </c>
      <c r="V727" s="3">
        <f t="shared" si="142"/>
        <v>3.2067054086454103E-15</v>
      </c>
      <c r="W727" s="9">
        <f t="shared" si="143"/>
        <v>-3.2067054086454103E-15</v>
      </c>
      <c r="AC727"/>
    </row>
    <row r="728" spans="1:29" x14ac:dyDescent="0.25">
      <c r="A728" t="s">
        <v>203</v>
      </c>
      <c r="B728">
        <v>8</v>
      </c>
      <c r="C728" t="s">
        <v>962</v>
      </c>
      <c r="D728" t="s">
        <v>472</v>
      </c>
      <c r="E728">
        <v>16</v>
      </c>
      <c r="F728">
        <v>6.89</v>
      </c>
      <c r="G728">
        <v>32.035600000000002</v>
      </c>
      <c r="H728" t="s">
        <v>87</v>
      </c>
      <c r="I728" t="s">
        <v>87</v>
      </c>
      <c r="J728" t="s">
        <v>23</v>
      </c>
      <c r="K728">
        <f t="shared" si="132"/>
        <v>115.82</v>
      </c>
      <c r="L728">
        <f t="shared" si="133"/>
        <v>434.36700000000002</v>
      </c>
      <c r="M728" t="str">
        <f t="shared" si="134"/>
        <v>comp-8</v>
      </c>
      <c r="N728" t="str">
        <f>INDEX(Scores!$A$2:$A$11,INDEX(Scores!$AA$2:$AA$131,MATCH(C728,Scores!$AB$2:$AB$131,0)))</f>
        <v>comp</v>
      </c>
      <c r="O728">
        <f t="shared" si="135"/>
        <v>100.87</v>
      </c>
      <c r="P728">
        <f t="shared" si="136"/>
        <v>421.5641</v>
      </c>
      <c r="Q728" s="3">
        <f t="shared" si="137"/>
        <v>0.69532483792586408</v>
      </c>
      <c r="R728" s="3">
        <f t="shared" si="138"/>
        <v>0.79904725556977008</v>
      </c>
      <c r="S728" s="9">
        <f t="shared" si="139"/>
        <v>0.103722417643906</v>
      </c>
      <c r="T728">
        <f t="shared" si="140"/>
        <v>80</v>
      </c>
      <c r="U728">
        <f t="shared" si="141"/>
        <v>115</v>
      </c>
      <c r="V728" s="3">
        <f t="shared" si="142"/>
        <v>3.2644250009997662E-15</v>
      </c>
      <c r="W728" s="9">
        <f t="shared" si="143"/>
        <v>-3.2644250009997662E-15</v>
      </c>
      <c r="AC728"/>
    </row>
    <row r="729" spans="1:29" x14ac:dyDescent="0.25">
      <c r="A729" t="s">
        <v>160</v>
      </c>
      <c r="B729">
        <v>5</v>
      </c>
      <c r="C729" t="s">
        <v>886</v>
      </c>
      <c r="D729" t="s">
        <v>472</v>
      </c>
      <c r="E729">
        <v>9</v>
      </c>
      <c r="F729">
        <v>9.58</v>
      </c>
      <c r="G729">
        <v>40.832099999999997</v>
      </c>
      <c r="H729" t="s">
        <v>87</v>
      </c>
      <c r="I729" t="s">
        <v>87</v>
      </c>
      <c r="J729" t="s">
        <v>62</v>
      </c>
      <c r="K729">
        <f t="shared" si="132"/>
        <v>103.98</v>
      </c>
      <c r="L729">
        <f t="shared" si="133"/>
        <v>400.98380000000003</v>
      </c>
      <c r="M729" t="str">
        <f t="shared" si="134"/>
        <v>comp-5</v>
      </c>
      <c r="N729" t="str">
        <f>INDEX(Scores!$A$2:$A$11,INDEX(Scores!$AA$2:$AA$131,MATCH(C729,Scores!$AB$2:$AB$131,0)))</f>
        <v>comp</v>
      </c>
      <c r="O729">
        <f t="shared" si="135"/>
        <v>98.17</v>
      </c>
      <c r="P729">
        <f t="shared" si="136"/>
        <v>359.81479999999999</v>
      </c>
      <c r="Q729" s="3">
        <f t="shared" si="137"/>
        <v>0.58341598360206426</v>
      </c>
      <c r="R729" s="3">
        <f t="shared" si="138"/>
        <v>0.57727030399137891</v>
      </c>
      <c r="S729" s="9">
        <f t="shared" si="139"/>
        <v>-6.1456796106853506E-3</v>
      </c>
      <c r="T729">
        <f t="shared" si="140"/>
        <v>71</v>
      </c>
      <c r="U729">
        <f t="shared" si="141"/>
        <v>121</v>
      </c>
      <c r="V729" s="3">
        <f t="shared" si="142"/>
        <v>5.2126183066785219E-15</v>
      </c>
      <c r="W729" s="9">
        <f t="shared" si="143"/>
        <v>-5.2126183066785219E-15</v>
      </c>
      <c r="AC729"/>
    </row>
    <row r="730" spans="1:29" x14ac:dyDescent="0.25">
      <c r="A730" t="s">
        <v>417</v>
      </c>
      <c r="B730">
        <v>8</v>
      </c>
      <c r="C730" t="s">
        <v>954</v>
      </c>
      <c r="D730" t="s">
        <v>477</v>
      </c>
      <c r="E730">
        <v>14</v>
      </c>
      <c r="F730">
        <v>8.36</v>
      </c>
      <c r="G730">
        <v>31.922499999999999</v>
      </c>
      <c r="H730" t="s">
        <v>477</v>
      </c>
      <c r="I730" t="s">
        <v>477</v>
      </c>
      <c r="J730" t="s">
        <v>40</v>
      </c>
      <c r="K730">
        <f t="shared" si="132"/>
        <v>93.289999999999992</v>
      </c>
      <c r="L730">
        <f t="shared" si="133"/>
        <v>315.97840000000008</v>
      </c>
      <c r="M730" t="e">
        <f t="shared" si="134"/>
        <v>#N/A</v>
      </c>
      <c r="N730" t="e">
        <f>INDEX(Scores!$A$2:$A$11,INDEX(Scores!$AA$2:$AA$131,MATCH(C730,Scores!$AB$2:$AB$131,0)))</f>
        <v>#N/A</v>
      </c>
      <c r="O730">
        <f t="shared" si="135"/>
        <v>0</v>
      </c>
      <c r="P730">
        <f t="shared" si="136"/>
        <v>0</v>
      </c>
      <c r="Q730" s="3">
        <f t="shared" si="137"/>
        <v>0.99999992318369246</v>
      </c>
      <c r="R730" s="3">
        <f t="shared" si="138"/>
        <v>0.99999999781889171</v>
      </c>
      <c r="S730" s="9">
        <f t="shared" si="139"/>
        <v>7.4635199243111572E-8</v>
      </c>
      <c r="T730">
        <f t="shared" si="140"/>
        <v>75</v>
      </c>
      <c r="U730">
        <f t="shared" si="141"/>
        <v>0</v>
      </c>
      <c r="V730" s="3">
        <f t="shared" si="142"/>
        <v>1</v>
      </c>
      <c r="W730" s="9">
        <f t="shared" si="143"/>
        <v>0</v>
      </c>
      <c r="AC730"/>
    </row>
    <row r="731" spans="1:29" x14ac:dyDescent="0.25">
      <c r="A731" t="s">
        <v>257</v>
      </c>
      <c r="B731">
        <v>13</v>
      </c>
      <c r="C731" t="s">
        <v>967</v>
      </c>
      <c r="D731" t="s">
        <v>466</v>
      </c>
      <c r="E731">
        <v>24</v>
      </c>
      <c r="F731">
        <v>12.68</v>
      </c>
      <c r="G731">
        <v>34.692100000000003</v>
      </c>
      <c r="H731" t="s">
        <v>466</v>
      </c>
      <c r="I731" t="s">
        <v>47</v>
      </c>
      <c r="J731" t="s">
        <v>23</v>
      </c>
      <c r="K731">
        <f t="shared" si="132"/>
        <v>108.77</v>
      </c>
      <c r="L731">
        <f t="shared" si="133"/>
        <v>411.30060000000003</v>
      </c>
      <c r="M731" t="str">
        <f t="shared" si="134"/>
        <v>devon-13</v>
      </c>
      <c r="N731" t="str">
        <f>INDEX(Scores!$A$2:$A$11,INDEX(Scores!$AA$2:$AA$131,MATCH(C731,Scores!$AB$2:$AB$131,0)))</f>
        <v>devon</v>
      </c>
      <c r="O731">
        <f t="shared" si="135"/>
        <v>97.46</v>
      </c>
      <c r="P731">
        <f t="shared" si="136"/>
        <v>368.81949999999995</v>
      </c>
      <c r="Q731" s="3">
        <f t="shared" si="137"/>
        <v>0.6572361742103181</v>
      </c>
      <c r="R731" s="3">
        <f t="shared" si="138"/>
        <v>0.79640846566877377</v>
      </c>
      <c r="S731" s="9">
        <f t="shared" si="139"/>
        <v>0.13917229145845567</v>
      </c>
      <c r="T731">
        <f t="shared" si="140"/>
        <v>99</v>
      </c>
      <c r="U731">
        <f t="shared" si="141"/>
        <v>133</v>
      </c>
      <c r="V731" s="3">
        <f t="shared" si="142"/>
        <v>7.1081348034219939E-15</v>
      </c>
      <c r="W731" s="9">
        <f t="shared" si="143"/>
        <v>-7.1081348034219939E-15</v>
      </c>
      <c r="AC731"/>
    </row>
    <row r="732" spans="1:29" x14ac:dyDescent="0.25">
      <c r="A732" t="s">
        <v>140</v>
      </c>
      <c r="B732">
        <v>12</v>
      </c>
      <c r="C732" t="s">
        <v>926</v>
      </c>
      <c r="D732" t="s">
        <v>471</v>
      </c>
      <c r="E732">
        <v>3</v>
      </c>
      <c r="F732">
        <v>7.23</v>
      </c>
      <c r="G732">
        <v>22.944099999999999</v>
      </c>
      <c r="H732" t="s">
        <v>87</v>
      </c>
      <c r="I732" t="s">
        <v>87</v>
      </c>
      <c r="J732" t="s">
        <v>55</v>
      </c>
      <c r="K732">
        <f t="shared" si="132"/>
        <v>111.09</v>
      </c>
      <c r="L732">
        <f t="shared" si="133"/>
        <v>408.5095</v>
      </c>
      <c r="M732" t="str">
        <f t="shared" si="134"/>
        <v>comp-12</v>
      </c>
      <c r="N732" t="str">
        <f>INDEX(Scores!$A$2:$A$11,INDEX(Scores!$AA$2:$AA$131,MATCH(C732,Scores!$AB$2:$AB$131,0)))</f>
        <v>comp</v>
      </c>
      <c r="O732">
        <f t="shared" si="135"/>
        <v>98.639999999999986</v>
      </c>
      <c r="P732">
        <f t="shared" si="136"/>
        <v>309.06870000000004</v>
      </c>
      <c r="Q732" s="3">
        <f t="shared" si="137"/>
        <v>0.67895062778258408</v>
      </c>
      <c r="R732" s="3">
        <f t="shared" si="138"/>
        <v>0.62243584219123482</v>
      </c>
      <c r="S732" s="9">
        <f t="shared" si="139"/>
        <v>-5.6514785591349259E-2</v>
      </c>
      <c r="T732">
        <f t="shared" si="140"/>
        <v>84</v>
      </c>
      <c r="U732">
        <f t="shared" si="141"/>
        <v>125</v>
      </c>
      <c r="V732" s="3">
        <f t="shared" si="142"/>
        <v>8.180497301218525E-15</v>
      </c>
      <c r="W732" s="9">
        <f t="shared" si="143"/>
        <v>-8.180497301218525E-15</v>
      </c>
      <c r="AC732"/>
    </row>
    <row r="733" spans="1:29" x14ac:dyDescent="0.25">
      <c r="A733" t="s">
        <v>281</v>
      </c>
      <c r="B733">
        <v>9</v>
      </c>
      <c r="C733" t="s">
        <v>971</v>
      </c>
      <c r="D733" t="s">
        <v>469</v>
      </c>
      <c r="E733">
        <v>1</v>
      </c>
      <c r="F733">
        <v>8.7799999999999994</v>
      </c>
      <c r="G733">
        <v>48.441600000000001</v>
      </c>
      <c r="H733" t="s">
        <v>47</v>
      </c>
      <c r="I733" t="s">
        <v>47</v>
      </c>
      <c r="J733" t="s">
        <v>49</v>
      </c>
      <c r="K733">
        <f t="shared" si="132"/>
        <v>94.12</v>
      </c>
      <c r="L733">
        <f t="shared" si="133"/>
        <v>378.32429999999999</v>
      </c>
      <c r="M733" t="str">
        <f t="shared" si="134"/>
        <v>chad-9</v>
      </c>
      <c r="N733" t="str">
        <f>INDEX(Scores!$A$2:$A$11,INDEX(Scores!$AA$2:$AA$131,MATCH(C733,Scores!$AB$2:$AB$131,0)))</f>
        <v>chad</v>
      </c>
      <c r="O733">
        <f t="shared" si="135"/>
        <v>100.46000000000001</v>
      </c>
      <c r="P733">
        <f t="shared" si="136"/>
        <v>387.61320000000001</v>
      </c>
      <c r="Q733" s="3">
        <f t="shared" si="137"/>
        <v>0.40940225853306977</v>
      </c>
      <c r="R733" s="3">
        <f t="shared" si="138"/>
        <v>0.29904860163781721</v>
      </c>
      <c r="S733" s="9">
        <f t="shared" si="139"/>
        <v>-0.11035365689525256</v>
      </c>
      <c r="T733">
        <f t="shared" si="140"/>
        <v>68</v>
      </c>
      <c r="U733">
        <f t="shared" si="141"/>
        <v>129</v>
      </c>
      <c r="V733" s="3">
        <f t="shared" si="142"/>
        <v>1.0322022194450304E-14</v>
      </c>
      <c r="W733" s="9">
        <f t="shared" si="143"/>
        <v>-1.0322022194450304E-14</v>
      </c>
      <c r="AC733"/>
    </row>
    <row r="734" spans="1:29" x14ac:dyDescent="0.25">
      <c r="A734" t="s">
        <v>106</v>
      </c>
      <c r="B734">
        <v>13</v>
      </c>
      <c r="C734" t="s">
        <v>967</v>
      </c>
      <c r="D734" t="s">
        <v>471</v>
      </c>
      <c r="E734">
        <v>12</v>
      </c>
      <c r="F734">
        <v>8.08</v>
      </c>
      <c r="G734">
        <v>24.700900000000001</v>
      </c>
      <c r="H734" t="s">
        <v>87</v>
      </c>
      <c r="I734" t="s">
        <v>87</v>
      </c>
      <c r="J734" t="s">
        <v>23</v>
      </c>
      <c r="K734">
        <f t="shared" si="132"/>
        <v>108.77</v>
      </c>
      <c r="L734">
        <f t="shared" si="133"/>
        <v>411.30060000000003</v>
      </c>
      <c r="M734" t="str">
        <f t="shared" si="134"/>
        <v>devon-13</v>
      </c>
      <c r="N734" t="str">
        <f>INDEX(Scores!$A$2:$A$11,INDEX(Scores!$AA$2:$AA$131,MATCH(C734,Scores!$AB$2:$AB$131,0)))</f>
        <v>devon</v>
      </c>
      <c r="O734">
        <f t="shared" si="135"/>
        <v>97.46</v>
      </c>
      <c r="P734">
        <f t="shared" si="136"/>
        <v>368.81949999999995</v>
      </c>
      <c r="Q734" s="3">
        <f t="shared" si="137"/>
        <v>0.6572361742103181</v>
      </c>
      <c r="R734" s="3">
        <f t="shared" si="138"/>
        <v>0.71025254126047144</v>
      </c>
      <c r="S734" s="9">
        <f t="shared" si="139"/>
        <v>5.3016367050153335E-2</v>
      </c>
      <c r="T734">
        <f t="shared" si="140"/>
        <v>99</v>
      </c>
      <c r="U734">
        <f t="shared" si="141"/>
        <v>133</v>
      </c>
      <c r="V734" s="3">
        <f t="shared" si="142"/>
        <v>1.1757854117727483E-14</v>
      </c>
      <c r="W734" s="9">
        <f t="shared" si="143"/>
        <v>-1.1757854117727483E-14</v>
      </c>
      <c r="AC734"/>
    </row>
    <row r="735" spans="1:29" x14ac:dyDescent="0.25">
      <c r="A735" t="s">
        <v>325</v>
      </c>
      <c r="B735">
        <v>8</v>
      </c>
      <c r="C735" t="s">
        <v>962</v>
      </c>
      <c r="D735" t="s">
        <v>475</v>
      </c>
      <c r="E735">
        <v>4</v>
      </c>
      <c r="F735">
        <v>5.42</v>
      </c>
      <c r="G735">
        <v>19.6249</v>
      </c>
      <c r="H735" t="s">
        <v>114</v>
      </c>
      <c r="I735" t="s">
        <v>114</v>
      </c>
      <c r="J735" t="s">
        <v>23</v>
      </c>
      <c r="K735">
        <f t="shared" si="132"/>
        <v>115.82</v>
      </c>
      <c r="L735">
        <f t="shared" si="133"/>
        <v>434.36700000000002</v>
      </c>
      <c r="M735" t="str">
        <f t="shared" si="134"/>
        <v>comp-8</v>
      </c>
      <c r="N735" t="str">
        <f>INDEX(Scores!$A$2:$A$11,INDEX(Scores!$AA$2:$AA$131,MATCH(C735,Scores!$AB$2:$AB$131,0)))</f>
        <v>comp</v>
      </c>
      <c r="O735">
        <f t="shared" si="135"/>
        <v>100.87</v>
      </c>
      <c r="P735">
        <f t="shared" si="136"/>
        <v>421.5641</v>
      </c>
      <c r="Q735" s="3">
        <f t="shared" si="137"/>
        <v>0.69532483792586408</v>
      </c>
      <c r="R735" s="3">
        <f t="shared" si="138"/>
        <v>0.68005734528116424</v>
      </c>
      <c r="S735" s="9">
        <f t="shared" si="139"/>
        <v>-1.5267492644699843E-2</v>
      </c>
      <c r="T735">
        <f t="shared" si="140"/>
        <v>80</v>
      </c>
      <c r="U735">
        <f t="shared" si="141"/>
        <v>115</v>
      </c>
      <c r="V735" s="3">
        <f t="shared" si="142"/>
        <v>1.7259720511593305E-14</v>
      </c>
      <c r="W735" s="9">
        <f t="shared" si="143"/>
        <v>-1.7259720511593305E-14</v>
      </c>
      <c r="AC735"/>
    </row>
    <row r="736" spans="1:29" x14ac:dyDescent="0.25">
      <c r="A736" t="s">
        <v>251</v>
      </c>
      <c r="B736">
        <v>13</v>
      </c>
      <c r="C736" t="s">
        <v>959</v>
      </c>
      <c r="D736" t="s">
        <v>466</v>
      </c>
      <c r="E736">
        <v>12</v>
      </c>
      <c r="F736">
        <v>9.75</v>
      </c>
      <c r="G736">
        <v>29.702500000000001</v>
      </c>
      <c r="H736" t="s">
        <v>466</v>
      </c>
      <c r="I736" t="s">
        <v>87</v>
      </c>
      <c r="J736" t="s">
        <v>40</v>
      </c>
      <c r="K736">
        <f t="shared" si="132"/>
        <v>75.67</v>
      </c>
      <c r="L736">
        <f t="shared" si="133"/>
        <v>278.80779999999999</v>
      </c>
      <c r="M736" t="e">
        <f t="shared" si="134"/>
        <v>#N/A</v>
      </c>
      <c r="N736" t="e">
        <f>INDEX(Scores!$A$2:$A$11,INDEX(Scores!$AA$2:$AA$131,MATCH(C736,Scores!$AB$2:$AB$131,0)))</f>
        <v>#N/A</v>
      </c>
      <c r="O736">
        <f t="shared" si="135"/>
        <v>0</v>
      </c>
      <c r="P736">
        <f t="shared" si="136"/>
        <v>0</v>
      </c>
      <c r="Q736" s="3">
        <f t="shared" si="137"/>
        <v>0.9999970759175304</v>
      </c>
      <c r="R736" s="3">
        <f t="shared" si="138"/>
        <v>0.9999996032016405</v>
      </c>
      <c r="S736" s="9">
        <f t="shared" si="139"/>
        <v>2.5272841100987264E-6</v>
      </c>
      <c r="T736">
        <f t="shared" si="140"/>
        <v>59</v>
      </c>
      <c r="U736">
        <f t="shared" si="141"/>
        <v>0</v>
      </c>
      <c r="V736" s="3">
        <f t="shared" si="142"/>
        <v>1</v>
      </c>
      <c r="W736" s="9">
        <f t="shared" si="143"/>
        <v>0</v>
      </c>
      <c r="AC736"/>
    </row>
    <row r="737" spans="1:29" x14ac:dyDescent="0.25">
      <c r="A737" t="s">
        <v>175</v>
      </c>
      <c r="B737">
        <v>5</v>
      </c>
      <c r="C737" t="s">
        <v>886</v>
      </c>
      <c r="D737" t="s">
        <v>473</v>
      </c>
      <c r="E737">
        <v>0</v>
      </c>
      <c r="F737">
        <v>9.2899999999999991</v>
      </c>
      <c r="G737">
        <v>29.16</v>
      </c>
      <c r="H737" t="s">
        <v>87</v>
      </c>
      <c r="I737" t="s">
        <v>87</v>
      </c>
      <c r="J737" t="s">
        <v>62</v>
      </c>
      <c r="K737">
        <f t="shared" si="132"/>
        <v>103.98</v>
      </c>
      <c r="L737">
        <f t="shared" si="133"/>
        <v>400.98380000000003</v>
      </c>
      <c r="M737" t="str">
        <f t="shared" si="134"/>
        <v>comp-5</v>
      </c>
      <c r="N737" t="str">
        <f>INDEX(Scores!$A$2:$A$11,INDEX(Scores!$AA$2:$AA$131,MATCH(C737,Scores!$AB$2:$AB$131,0)))</f>
        <v>comp</v>
      </c>
      <c r="O737">
        <f t="shared" si="135"/>
        <v>98.17</v>
      </c>
      <c r="P737">
        <f t="shared" si="136"/>
        <v>359.81479999999999</v>
      </c>
      <c r="Q737" s="3">
        <f t="shared" si="137"/>
        <v>0.58341598360206426</v>
      </c>
      <c r="R737" s="3">
        <f t="shared" si="138"/>
        <v>0.44881482163700881</v>
      </c>
      <c r="S737" s="9">
        <f t="shared" si="139"/>
        <v>-0.13460116196505545</v>
      </c>
      <c r="T737">
        <f t="shared" si="140"/>
        <v>71</v>
      </c>
      <c r="U737">
        <f t="shared" si="141"/>
        <v>121</v>
      </c>
      <c r="V737" s="3">
        <f t="shared" si="142"/>
        <v>2.3699630183948656E-14</v>
      </c>
      <c r="W737" s="9">
        <f t="shared" si="143"/>
        <v>-2.3699630183948656E-14</v>
      </c>
      <c r="AC737"/>
    </row>
    <row r="738" spans="1:29" x14ac:dyDescent="0.25">
      <c r="A738" t="s">
        <v>433</v>
      </c>
      <c r="B738">
        <v>2</v>
      </c>
      <c r="C738" t="s">
        <v>620</v>
      </c>
      <c r="D738" t="s">
        <v>477</v>
      </c>
      <c r="E738">
        <v>10</v>
      </c>
      <c r="F738">
        <v>7.43</v>
      </c>
      <c r="G738">
        <v>35.046399999999998</v>
      </c>
      <c r="H738" t="s">
        <v>477</v>
      </c>
      <c r="I738" t="s">
        <v>477</v>
      </c>
      <c r="J738" t="s">
        <v>40</v>
      </c>
      <c r="K738">
        <f t="shared" si="132"/>
        <v>103.97000000000001</v>
      </c>
      <c r="L738">
        <f t="shared" si="133"/>
        <v>402.37729999999999</v>
      </c>
      <c r="M738" t="e">
        <f t="shared" si="134"/>
        <v>#N/A</v>
      </c>
      <c r="N738" t="e">
        <f>INDEX(Scores!$A$2:$A$11,INDEX(Scores!$AA$2:$AA$131,MATCH(C738,Scores!$AB$2:$AB$131,0)))</f>
        <v>#N/A</v>
      </c>
      <c r="O738">
        <f t="shared" si="135"/>
        <v>0</v>
      </c>
      <c r="P738">
        <f t="shared" si="136"/>
        <v>0</v>
      </c>
      <c r="Q738" s="3">
        <f t="shared" si="137"/>
        <v>0.9999998908980352</v>
      </c>
      <c r="R738" s="3">
        <f t="shared" si="138"/>
        <v>0.99999998642111276</v>
      </c>
      <c r="S738" s="9">
        <f t="shared" si="139"/>
        <v>9.5523077559001024E-8</v>
      </c>
      <c r="T738">
        <f t="shared" si="140"/>
        <v>60</v>
      </c>
      <c r="U738">
        <f t="shared" si="141"/>
        <v>0</v>
      </c>
      <c r="V738" s="3">
        <f t="shared" si="142"/>
        <v>1</v>
      </c>
      <c r="W738" s="9">
        <f t="shared" si="143"/>
        <v>0</v>
      </c>
      <c r="AC738"/>
    </row>
    <row r="739" spans="1:29" x14ac:dyDescent="0.25">
      <c r="A739" t="s">
        <v>146</v>
      </c>
      <c r="B739">
        <v>2</v>
      </c>
      <c r="C739" t="s">
        <v>620</v>
      </c>
      <c r="D739" t="s">
        <v>466</v>
      </c>
      <c r="E739">
        <v>2</v>
      </c>
      <c r="F739">
        <v>7.55</v>
      </c>
      <c r="G739">
        <v>23.522500000000001</v>
      </c>
      <c r="H739" t="s">
        <v>466</v>
      </c>
      <c r="I739" t="s">
        <v>47</v>
      </c>
      <c r="J739" t="s">
        <v>40</v>
      </c>
      <c r="K739">
        <f t="shared" si="132"/>
        <v>103.97000000000001</v>
      </c>
      <c r="L739">
        <f t="shared" si="133"/>
        <v>402.37729999999999</v>
      </c>
      <c r="M739" t="e">
        <f t="shared" si="134"/>
        <v>#N/A</v>
      </c>
      <c r="N739" t="e">
        <f>INDEX(Scores!$A$2:$A$11,INDEX(Scores!$AA$2:$AA$131,MATCH(C739,Scores!$AB$2:$AB$131,0)))</f>
        <v>#N/A</v>
      </c>
      <c r="O739">
        <f t="shared" si="135"/>
        <v>0</v>
      </c>
      <c r="P739">
        <f t="shared" si="136"/>
        <v>0</v>
      </c>
      <c r="Q739" s="3">
        <f t="shared" si="137"/>
        <v>0.9999998908980352</v>
      </c>
      <c r="R739" s="3">
        <f t="shared" si="138"/>
        <v>0.99999978644985021</v>
      </c>
      <c r="S739" s="9">
        <f t="shared" si="139"/>
        <v>-1.044481849898915E-7</v>
      </c>
      <c r="T739">
        <f t="shared" si="140"/>
        <v>60</v>
      </c>
      <c r="U739">
        <f t="shared" si="141"/>
        <v>0</v>
      </c>
      <c r="V739" s="3">
        <f t="shared" si="142"/>
        <v>1</v>
      </c>
      <c r="W739" s="9">
        <f t="shared" si="143"/>
        <v>0</v>
      </c>
      <c r="AC739"/>
    </row>
    <row r="740" spans="1:29" x14ac:dyDescent="0.25">
      <c r="A740" t="s">
        <v>299</v>
      </c>
      <c r="B740">
        <v>3</v>
      </c>
      <c r="C740" t="s">
        <v>809</v>
      </c>
      <c r="D740" t="s">
        <v>475</v>
      </c>
      <c r="E740">
        <v>1</v>
      </c>
      <c r="F740">
        <v>4.1900000000000004</v>
      </c>
      <c r="G740">
        <v>12.744899999999999</v>
      </c>
      <c r="H740" t="s">
        <v>114</v>
      </c>
      <c r="I740" t="s">
        <v>114</v>
      </c>
      <c r="J740" t="s">
        <v>23</v>
      </c>
      <c r="K740">
        <f t="shared" si="132"/>
        <v>101.86999999999999</v>
      </c>
      <c r="L740">
        <f t="shared" si="133"/>
        <v>350.57169999999996</v>
      </c>
      <c r="M740" t="str">
        <f t="shared" si="134"/>
        <v>scott-3</v>
      </c>
      <c r="N740" t="str">
        <f>INDEX(Scores!$A$2:$A$11,INDEX(Scores!$AA$2:$AA$131,MATCH(C740,Scores!$AB$2:$AB$131,0)))</f>
        <v>scott</v>
      </c>
      <c r="O740">
        <f t="shared" si="135"/>
        <v>110.35</v>
      </c>
      <c r="P740">
        <f t="shared" si="136"/>
        <v>442.53309999999999</v>
      </c>
      <c r="Q740" s="3">
        <f t="shared" si="137"/>
        <v>0.38166388462507189</v>
      </c>
      <c r="R740" s="3">
        <f t="shared" si="138"/>
        <v>0.33806252011707616</v>
      </c>
      <c r="S740" s="9">
        <f t="shared" si="139"/>
        <v>-4.3601364507995732E-2</v>
      </c>
      <c r="T740">
        <f t="shared" si="140"/>
        <v>102</v>
      </c>
      <c r="U740">
        <f t="shared" si="141"/>
        <v>132</v>
      </c>
      <c r="V740" s="3">
        <f t="shared" si="142"/>
        <v>2.9607994801588887E-14</v>
      </c>
      <c r="W740" s="9">
        <f t="shared" si="143"/>
        <v>-2.9607994801588887E-14</v>
      </c>
      <c r="AC740"/>
    </row>
    <row r="741" spans="1:29" x14ac:dyDescent="0.25">
      <c r="A741" t="s">
        <v>452</v>
      </c>
      <c r="B741">
        <v>6</v>
      </c>
      <c r="C741" t="s">
        <v>904</v>
      </c>
      <c r="D741" t="s">
        <v>478</v>
      </c>
      <c r="E741">
        <v>5</v>
      </c>
      <c r="F741">
        <v>7.36</v>
      </c>
      <c r="G741">
        <v>17.977599999999999</v>
      </c>
      <c r="H741" t="s">
        <v>478</v>
      </c>
      <c r="I741" t="s">
        <v>478</v>
      </c>
      <c r="J741" t="s">
        <v>20</v>
      </c>
      <c r="K741">
        <f t="shared" si="132"/>
        <v>110.30999999999999</v>
      </c>
      <c r="L741">
        <f t="shared" si="133"/>
        <v>388.52729999999997</v>
      </c>
      <c r="M741" t="str">
        <f t="shared" si="134"/>
        <v>seth-6</v>
      </c>
      <c r="N741" t="str">
        <f>INDEX(Scores!$A$2:$A$11,INDEX(Scores!$AA$2:$AA$131,MATCH(C741,Scores!$AB$2:$AB$131,0)))</f>
        <v>seth</v>
      </c>
      <c r="O741">
        <f t="shared" si="135"/>
        <v>90.009999999999991</v>
      </c>
      <c r="P741">
        <f t="shared" si="136"/>
        <v>295.93350000000004</v>
      </c>
      <c r="Q741" s="3">
        <f t="shared" si="137"/>
        <v>0.78110442116748435</v>
      </c>
      <c r="R741" s="3">
        <f t="shared" si="138"/>
        <v>0.75644378328298334</v>
      </c>
      <c r="S741" s="9">
        <f t="shared" si="139"/>
        <v>-2.4660637884501013E-2</v>
      </c>
      <c r="T741">
        <f t="shared" si="140"/>
        <v>96</v>
      </c>
      <c r="U741">
        <f t="shared" si="141"/>
        <v>130</v>
      </c>
      <c r="V741" s="3">
        <f t="shared" si="142"/>
        <v>4.2524081177602486E-14</v>
      </c>
      <c r="W741" s="9">
        <f t="shared" si="143"/>
        <v>-4.2524081177602486E-14</v>
      </c>
      <c r="AC741"/>
    </row>
    <row r="742" spans="1:29" x14ac:dyDescent="0.25">
      <c r="A742" t="s">
        <v>71</v>
      </c>
      <c r="B742">
        <v>9</v>
      </c>
      <c r="C742" t="s">
        <v>971</v>
      </c>
      <c r="D742" t="s">
        <v>467</v>
      </c>
      <c r="E742">
        <v>14</v>
      </c>
      <c r="F742">
        <v>18.41</v>
      </c>
      <c r="G742">
        <v>57.6081</v>
      </c>
      <c r="H742" t="s">
        <v>15</v>
      </c>
      <c r="I742" t="s">
        <v>15</v>
      </c>
      <c r="J742" t="s">
        <v>49</v>
      </c>
      <c r="K742">
        <f t="shared" si="132"/>
        <v>94.12</v>
      </c>
      <c r="L742">
        <f t="shared" si="133"/>
        <v>378.32429999999999</v>
      </c>
      <c r="M742" t="str">
        <f t="shared" si="134"/>
        <v>chad-9</v>
      </c>
      <c r="N742" t="str">
        <f>INDEX(Scores!$A$2:$A$11,INDEX(Scores!$AA$2:$AA$131,MATCH(C742,Scores!$AB$2:$AB$131,0)))</f>
        <v>chad</v>
      </c>
      <c r="O742">
        <f t="shared" si="135"/>
        <v>100.46000000000001</v>
      </c>
      <c r="P742">
        <f t="shared" si="136"/>
        <v>387.61320000000001</v>
      </c>
      <c r="Q742" s="3">
        <f t="shared" si="137"/>
        <v>0.40940225853306977</v>
      </c>
      <c r="R742" s="3">
        <f t="shared" si="138"/>
        <v>0.34313732260585605</v>
      </c>
      <c r="S742" s="9">
        <f t="shared" si="139"/>
        <v>-6.626493592721372E-2</v>
      </c>
      <c r="T742">
        <f t="shared" si="140"/>
        <v>68</v>
      </c>
      <c r="U742">
        <f t="shared" si="141"/>
        <v>129</v>
      </c>
      <c r="V742" s="3">
        <f t="shared" si="142"/>
        <v>4.4640747884859898E-14</v>
      </c>
      <c r="W742" s="9">
        <f t="shared" si="143"/>
        <v>-4.4640747884859898E-14</v>
      </c>
      <c r="AC742"/>
    </row>
    <row r="743" spans="1:29" x14ac:dyDescent="0.25">
      <c r="A743" t="s">
        <v>141</v>
      </c>
      <c r="B743">
        <v>1</v>
      </c>
      <c r="C743" t="s">
        <v>507</v>
      </c>
      <c r="D743" t="s">
        <v>475</v>
      </c>
      <c r="E743">
        <v>1</v>
      </c>
      <c r="F743">
        <v>8.7899999999999991</v>
      </c>
      <c r="G743">
        <v>30.5809</v>
      </c>
      <c r="H743" t="s">
        <v>114</v>
      </c>
      <c r="I743" t="s">
        <v>114</v>
      </c>
      <c r="J743" t="s">
        <v>55</v>
      </c>
      <c r="K743">
        <f t="shared" si="132"/>
        <v>90.7</v>
      </c>
      <c r="L743">
        <f t="shared" si="133"/>
        <v>347.93650000000002</v>
      </c>
      <c r="M743" t="str">
        <f t="shared" si="134"/>
        <v>scott-1</v>
      </c>
      <c r="N743" t="str">
        <f>INDEX(Scores!$A$2:$A$11,INDEX(Scores!$AA$2:$AA$131,MATCH(C743,Scores!$AB$2:$AB$131,0)))</f>
        <v>scott</v>
      </c>
      <c r="O743">
        <f t="shared" si="135"/>
        <v>102.78</v>
      </c>
      <c r="P743">
        <f t="shared" si="136"/>
        <v>382.14119999999997</v>
      </c>
      <c r="Q743" s="3">
        <f t="shared" si="137"/>
        <v>0.32740970845919121</v>
      </c>
      <c r="R743" s="3">
        <f t="shared" si="138"/>
        <v>0.22624042990943566</v>
      </c>
      <c r="S743" s="9">
        <f t="shared" si="139"/>
        <v>-0.10116927854975555</v>
      </c>
      <c r="T743">
        <f t="shared" si="140"/>
        <v>71</v>
      </c>
      <c r="U743">
        <f t="shared" si="141"/>
        <v>120</v>
      </c>
      <c r="V743" s="3">
        <f t="shared" si="142"/>
        <v>4.5940141110360048E-14</v>
      </c>
      <c r="W743" s="9">
        <f t="shared" si="143"/>
        <v>-4.5940141110360048E-14</v>
      </c>
      <c r="AC743"/>
    </row>
    <row r="744" spans="1:29" x14ac:dyDescent="0.25">
      <c r="A744" t="s">
        <v>453</v>
      </c>
      <c r="B744">
        <v>13</v>
      </c>
      <c r="C744" t="s">
        <v>967</v>
      </c>
      <c r="D744" t="s">
        <v>478</v>
      </c>
      <c r="E744">
        <v>4</v>
      </c>
      <c r="F744">
        <v>6.91</v>
      </c>
      <c r="G744">
        <v>17.556100000000001</v>
      </c>
      <c r="H744" t="s">
        <v>478</v>
      </c>
      <c r="I744" t="s">
        <v>478</v>
      </c>
      <c r="J744" t="s">
        <v>23</v>
      </c>
      <c r="K744">
        <f t="shared" si="132"/>
        <v>108.77</v>
      </c>
      <c r="L744">
        <f t="shared" si="133"/>
        <v>411.30060000000003</v>
      </c>
      <c r="M744" t="str">
        <f t="shared" si="134"/>
        <v>devon-13</v>
      </c>
      <c r="N744" t="str">
        <f>INDEX(Scores!$A$2:$A$11,INDEX(Scores!$AA$2:$AA$131,MATCH(C744,Scores!$AB$2:$AB$131,0)))</f>
        <v>devon</v>
      </c>
      <c r="O744">
        <f t="shared" si="135"/>
        <v>97.46</v>
      </c>
      <c r="P744">
        <f t="shared" si="136"/>
        <v>368.81949999999995</v>
      </c>
      <c r="Q744" s="3">
        <f t="shared" si="137"/>
        <v>0.6572361742103181</v>
      </c>
      <c r="R744" s="3">
        <f t="shared" si="138"/>
        <v>0.61950741573370083</v>
      </c>
      <c r="S744" s="9">
        <f t="shared" si="139"/>
        <v>-3.7728758476617275E-2</v>
      </c>
      <c r="T744">
        <f t="shared" si="140"/>
        <v>99</v>
      </c>
      <c r="U744">
        <f t="shared" si="141"/>
        <v>133</v>
      </c>
      <c r="V744" s="3">
        <f t="shared" si="142"/>
        <v>5.8539066029630878E-14</v>
      </c>
      <c r="W744" s="9">
        <f t="shared" si="143"/>
        <v>-5.8539066029630878E-14</v>
      </c>
      <c r="AC744"/>
    </row>
    <row r="745" spans="1:29" x14ac:dyDescent="0.25">
      <c r="A745" t="s">
        <v>447</v>
      </c>
      <c r="B745">
        <v>2</v>
      </c>
      <c r="C745" t="s">
        <v>620</v>
      </c>
      <c r="D745" t="s">
        <v>478</v>
      </c>
      <c r="E745">
        <v>3</v>
      </c>
      <c r="F745">
        <v>8.86</v>
      </c>
      <c r="G745">
        <v>23.814399999999999</v>
      </c>
      <c r="H745" t="s">
        <v>478</v>
      </c>
      <c r="I745" t="s">
        <v>478</v>
      </c>
      <c r="J745" t="s">
        <v>40</v>
      </c>
      <c r="K745">
        <f t="shared" si="132"/>
        <v>103.97000000000001</v>
      </c>
      <c r="L745">
        <f t="shared" si="133"/>
        <v>402.37729999999999</v>
      </c>
      <c r="M745" t="e">
        <f t="shared" si="134"/>
        <v>#N/A</v>
      </c>
      <c r="N745" t="e">
        <f>INDEX(Scores!$A$2:$A$11,INDEX(Scores!$AA$2:$AA$131,MATCH(C745,Scores!$AB$2:$AB$131,0)))</f>
        <v>#N/A</v>
      </c>
      <c r="O745">
        <f t="shared" si="135"/>
        <v>0</v>
      </c>
      <c r="P745">
        <f t="shared" si="136"/>
        <v>0</v>
      </c>
      <c r="Q745" s="3">
        <f t="shared" si="137"/>
        <v>0.9999998908980352</v>
      </c>
      <c r="R745" s="3">
        <f t="shared" si="138"/>
        <v>0.99999977023252684</v>
      </c>
      <c r="S745" s="9">
        <f t="shared" si="139"/>
        <v>-1.2066550836298262E-7</v>
      </c>
      <c r="T745">
        <f t="shared" si="140"/>
        <v>60</v>
      </c>
      <c r="U745">
        <f t="shared" si="141"/>
        <v>0</v>
      </c>
      <c r="V745" s="3">
        <f t="shared" si="142"/>
        <v>1</v>
      </c>
      <c r="W745" s="9">
        <f t="shared" si="143"/>
        <v>0</v>
      </c>
      <c r="AC745"/>
    </row>
    <row r="746" spans="1:29" x14ac:dyDescent="0.25">
      <c r="A746" t="s">
        <v>57</v>
      </c>
      <c r="B746">
        <v>3</v>
      </c>
      <c r="C746" t="s">
        <v>811</v>
      </c>
      <c r="D746" t="s">
        <v>468</v>
      </c>
      <c r="E746">
        <v>15</v>
      </c>
      <c r="F746">
        <v>16.8</v>
      </c>
      <c r="G746">
        <v>62.0944</v>
      </c>
      <c r="H746" t="s">
        <v>47</v>
      </c>
      <c r="I746" t="s">
        <v>47</v>
      </c>
      <c r="J746" t="s">
        <v>35</v>
      </c>
      <c r="K746">
        <f t="shared" si="132"/>
        <v>110.36</v>
      </c>
      <c r="L746">
        <f t="shared" si="133"/>
        <v>421.178</v>
      </c>
      <c r="M746" t="str">
        <f t="shared" si="134"/>
        <v>chad-3</v>
      </c>
      <c r="N746" t="str">
        <f>INDEX(Scores!$A$2:$A$11,INDEX(Scores!$AA$2:$AA$131,MATCH(C746,Scores!$AB$2:$AB$131,0)))</f>
        <v>chad</v>
      </c>
      <c r="O746">
        <f t="shared" si="135"/>
        <v>99.23</v>
      </c>
      <c r="P746">
        <f t="shared" si="136"/>
        <v>414.92009999999999</v>
      </c>
      <c r="Q746" s="3">
        <f t="shared" si="137"/>
        <v>0.64985036548815633</v>
      </c>
      <c r="R746" s="3">
        <f t="shared" si="138"/>
        <v>0.63132290031339577</v>
      </c>
      <c r="S746" s="9">
        <f t="shared" si="139"/>
        <v>-1.852746517476056E-2</v>
      </c>
      <c r="T746">
        <f t="shared" si="140"/>
        <v>63</v>
      </c>
      <c r="U746">
        <f t="shared" si="141"/>
        <v>123</v>
      </c>
      <c r="V746" s="3">
        <f t="shared" si="142"/>
        <v>7.5777236126730478E-14</v>
      </c>
      <c r="W746" s="9">
        <f t="shared" si="143"/>
        <v>-7.5777236126730478E-14</v>
      </c>
      <c r="AC746"/>
    </row>
    <row r="747" spans="1:29" x14ac:dyDescent="0.25">
      <c r="A747" t="s">
        <v>414</v>
      </c>
      <c r="B747">
        <v>11</v>
      </c>
      <c r="C747" t="s">
        <v>949</v>
      </c>
      <c r="D747" t="s">
        <v>477</v>
      </c>
      <c r="E747">
        <v>23</v>
      </c>
      <c r="F747">
        <v>3.95</v>
      </c>
      <c r="G747">
        <v>46.24</v>
      </c>
      <c r="H747" t="s">
        <v>477</v>
      </c>
      <c r="I747" t="s">
        <v>477</v>
      </c>
      <c r="J747" t="s">
        <v>62</v>
      </c>
      <c r="K747">
        <f t="shared" si="132"/>
        <v>106.58</v>
      </c>
      <c r="L747">
        <f t="shared" si="133"/>
        <v>427.68610000000001</v>
      </c>
      <c r="M747" t="str">
        <f t="shared" si="134"/>
        <v>cory-11</v>
      </c>
      <c r="N747" t="str">
        <f>INDEX(Scores!$A$2:$A$11,INDEX(Scores!$AA$2:$AA$131,MATCH(C747,Scores!$AB$2:$AB$131,0)))</f>
        <v>cory</v>
      </c>
      <c r="O747">
        <f t="shared" si="135"/>
        <v>102.11</v>
      </c>
      <c r="P747">
        <f t="shared" si="136"/>
        <v>431.97960000000006</v>
      </c>
      <c r="Q747" s="3">
        <f t="shared" si="137"/>
        <v>0.56058610538956244</v>
      </c>
      <c r="R747" s="3">
        <f t="shared" si="138"/>
        <v>0.79521953277850366</v>
      </c>
      <c r="S747" s="9">
        <f t="shared" si="139"/>
        <v>0.23463342738894122</v>
      </c>
      <c r="T747">
        <f t="shared" si="140"/>
        <v>99</v>
      </c>
      <c r="U747">
        <f t="shared" si="141"/>
        <v>130</v>
      </c>
      <c r="V747" s="3">
        <f t="shared" si="142"/>
        <v>9.1752727692481321E-14</v>
      </c>
      <c r="W747" s="9">
        <f t="shared" si="143"/>
        <v>-9.1752727692481321E-14</v>
      </c>
      <c r="AC747"/>
    </row>
    <row r="748" spans="1:29" x14ac:dyDescent="0.25">
      <c r="A748" t="s">
        <v>116</v>
      </c>
      <c r="B748">
        <v>3</v>
      </c>
      <c r="C748" t="s">
        <v>811</v>
      </c>
      <c r="D748" t="s">
        <v>472</v>
      </c>
      <c r="E748">
        <v>0</v>
      </c>
      <c r="F748">
        <v>11.34</v>
      </c>
      <c r="G748">
        <v>45.832900000000002</v>
      </c>
      <c r="H748" t="s">
        <v>87</v>
      </c>
      <c r="I748" t="s">
        <v>87</v>
      </c>
      <c r="J748" t="s">
        <v>35</v>
      </c>
      <c r="K748">
        <f t="shared" si="132"/>
        <v>110.36</v>
      </c>
      <c r="L748">
        <f t="shared" si="133"/>
        <v>421.178</v>
      </c>
      <c r="M748" t="str">
        <f t="shared" si="134"/>
        <v>chad-3</v>
      </c>
      <c r="N748" t="str">
        <f>INDEX(Scores!$A$2:$A$11,INDEX(Scores!$AA$2:$AA$131,MATCH(C748,Scores!$AB$2:$AB$131,0)))</f>
        <v>chad</v>
      </c>
      <c r="O748">
        <f t="shared" si="135"/>
        <v>99.23</v>
      </c>
      <c r="P748">
        <f t="shared" si="136"/>
        <v>414.92009999999999</v>
      </c>
      <c r="Q748" s="3">
        <f t="shared" si="137"/>
        <v>0.64985036548815633</v>
      </c>
      <c r="R748" s="3">
        <f t="shared" si="138"/>
        <v>0.49701984472695954</v>
      </c>
      <c r="S748" s="9">
        <f t="shared" si="139"/>
        <v>-0.1528305207611968</v>
      </c>
      <c r="T748">
        <f t="shared" si="140"/>
        <v>63</v>
      </c>
      <c r="U748">
        <f t="shared" si="141"/>
        <v>123</v>
      </c>
      <c r="V748" s="3">
        <f t="shared" si="142"/>
        <v>3.2971906687638063E-13</v>
      </c>
      <c r="W748" s="9">
        <f t="shared" si="143"/>
        <v>-3.2971906687638063E-13</v>
      </c>
      <c r="AC748"/>
    </row>
    <row r="749" spans="1:29" x14ac:dyDescent="0.25">
      <c r="A749" t="s">
        <v>168</v>
      </c>
      <c r="B749">
        <v>1</v>
      </c>
      <c r="C749" t="s">
        <v>507</v>
      </c>
      <c r="D749" t="s">
        <v>466</v>
      </c>
      <c r="E749">
        <v>5</v>
      </c>
      <c r="F749">
        <v>8.0399999999999991</v>
      </c>
      <c r="G749">
        <v>40.96</v>
      </c>
      <c r="H749" t="s">
        <v>466</v>
      </c>
      <c r="I749" t="s">
        <v>87</v>
      </c>
      <c r="J749" t="s">
        <v>55</v>
      </c>
      <c r="K749">
        <f t="shared" si="132"/>
        <v>90.7</v>
      </c>
      <c r="L749">
        <f t="shared" si="133"/>
        <v>347.93650000000002</v>
      </c>
      <c r="M749" t="str">
        <f t="shared" si="134"/>
        <v>scott-1</v>
      </c>
      <c r="N749" t="str">
        <f>INDEX(Scores!$A$2:$A$11,INDEX(Scores!$AA$2:$AA$131,MATCH(C749,Scores!$AB$2:$AB$131,0)))</f>
        <v>scott</v>
      </c>
      <c r="O749">
        <f t="shared" si="135"/>
        <v>102.78</v>
      </c>
      <c r="P749">
        <f t="shared" si="136"/>
        <v>382.14119999999997</v>
      </c>
      <c r="Q749" s="3">
        <f t="shared" si="137"/>
        <v>0.32740970845919121</v>
      </c>
      <c r="R749" s="3">
        <f t="shared" si="138"/>
        <v>0.28231538758168229</v>
      </c>
      <c r="S749" s="9">
        <f t="shared" si="139"/>
        <v>-4.509432087750892E-2</v>
      </c>
      <c r="T749">
        <f t="shared" si="140"/>
        <v>71</v>
      </c>
      <c r="U749">
        <f t="shared" si="141"/>
        <v>120</v>
      </c>
      <c r="V749" s="3">
        <f t="shared" si="142"/>
        <v>3.4538452548266355E-13</v>
      </c>
      <c r="W749" s="9">
        <f t="shared" si="143"/>
        <v>-3.4538452548266355E-13</v>
      </c>
      <c r="AC749"/>
    </row>
    <row r="750" spans="1:29" x14ac:dyDescent="0.25">
      <c r="A750" t="s">
        <v>108</v>
      </c>
      <c r="B750">
        <v>3</v>
      </c>
      <c r="C750" t="s">
        <v>809</v>
      </c>
      <c r="D750" t="s">
        <v>472</v>
      </c>
      <c r="E750">
        <v>27</v>
      </c>
      <c r="F750">
        <v>10.17</v>
      </c>
      <c r="G750">
        <v>42.902500000000003</v>
      </c>
      <c r="H750" t="s">
        <v>87</v>
      </c>
      <c r="I750" t="s">
        <v>87</v>
      </c>
      <c r="J750" t="s">
        <v>23</v>
      </c>
      <c r="K750">
        <f t="shared" si="132"/>
        <v>101.86999999999999</v>
      </c>
      <c r="L750">
        <f t="shared" si="133"/>
        <v>350.57169999999996</v>
      </c>
      <c r="M750" t="str">
        <f t="shared" si="134"/>
        <v>scott-3</v>
      </c>
      <c r="N750" t="str">
        <f>INDEX(Scores!$A$2:$A$11,INDEX(Scores!$AA$2:$AA$131,MATCH(C750,Scores!$AB$2:$AB$131,0)))</f>
        <v>scott</v>
      </c>
      <c r="O750">
        <f t="shared" si="135"/>
        <v>110.35</v>
      </c>
      <c r="P750">
        <f t="shared" si="136"/>
        <v>442.53309999999999</v>
      </c>
      <c r="Q750" s="3">
        <f t="shared" si="137"/>
        <v>0.38166388462507189</v>
      </c>
      <c r="R750" s="3">
        <f t="shared" si="138"/>
        <v>0.61976276289282817</v>
      </c>
      <c r="S750" s="9">
        <f t="shared" si="139"/>
        <v>0.23809887826775628</v>
      </c>
      <c r="T750">
        <f t="shared" si="140"/>
        <v>102</v>
      </c>
      <c r="U750">
        <f t="shared" si="141"/>
        <v>132</v>
      </c>
      <c r="V750" s="3">
        <f t="shared" si="142"/>
        <v>4.3509757152173445E-13</v>
      </c>
      <c r="W750" s="9">
        <f t="shared" si="143"/>
        <v>-4.3509757152173445E-13</v>
      </c>
      <c r="AC750"/>
    </row>
    <row r="751" spans="1:29" x14ac:dyDescent="0.25">
      <c r="A751" t="s">
        <v>110</v>
      </c>
      <c r="B751">
        <v>9</v>
      </c>
      <c r="C751" t="s">
        <v>971</v>
      </c>
      <c r="D751" t="s">
        <v>472</v>
      </c>
      <c r="E751">
        <v>6</v>
      </c>
      <c r="F751">
        <v>12.73</v>
      </c>
      <c r="G751">
        <v>58.064399999999999</v>
      </c>
      <c r="H751" t="s">
        <v>87</v>
      </c>
      <c r="I751" t="s">
        <v>87</v>
      </c>
      <c r="J751" t="s">
        <v>49</v>
      </c>
      <c r="K751">
        <f t="shared" si="132"/>
        <v>94.12</v>
      </c>
      <c r="L751">
        <f t="shared" si="133"/>
        <v>378.32429999999999</v>
      </c>
      <c r="M751" t="str">
        <f t="shared" si="134"/>
        <v>chad-9</v>
      </c>
      <c r="N751" t="str">
        <f>INDEX(Scores!$A$2:$A$11,INDEX(Scores!$AA$2:$AA$131,MATCH(C751,Scores!$AB$2:$AB$131,0)))</f>
        <v>chad</v>
      </c>
      <c r="O751">
        <f t="shared" si="135"/>
        <v>100.46000000000001</v>
      </c>
      <c r="P751">
        <f t="shared" si="136"/>
        <v>387.61320000000001</v>
      </c>
      <c r="Q751" s="3">
        <f t="shared" si="137"/>
        <v>0.40940225853306977</v>
      </c>
      <c r="R751" s="3">
        <f t="shared" si="138"/>
        <v>0.31162669143742272</v>
      </c>
      <c r="S751" s="9">
        <f t="shared" si="139"/>
        <v>-9.7775567095647054E-2</v>
      </c>
      <c r="T751">
        <f t="shared" si="140"/>
        <v>68</v>
      </c>
      <c r="U751">
        <f t="shared" si="141"/>
        <v>129</v>
      </c>
      <c r="V751" s="3">
        <f t="shared" si="142"/>
        <v>5.3167795872520989E-13</v>
      </c>
      <c r="W751" s="9">
        <f t="shared" si="143"/>
        <v>-5.3167795872520989E-13</v>
      </c>
      <c r="AC751"/>
    </row>
    <row r="752" spans="1:29" x14ac:dyDescent="0.25">
      <c r="A752" t="s">
        <v>71</v>
      </c>
      <c r="B752">
        <v>3</v>
      </c>
      <c r="C752" t="s">
        <v>811</v>
      </c>
      <c r="D752" t="s">
        <v>467</v>
      </c>
      <c r="E752">
        <v>4</v>
      </c>
      <c r="F752">
        <v>20.07</v>
      </c>
      <c r="G752">
        <v>38.316099999999999</v>
      </c>
      <c r="H752" t="s">
        <v>15</v>
      </c>
      <c r="I752" t="s">
        <v>15</v>
      </c>
      <c r="J752" t="s">
        <v>35</v>
      </c>
      <c r="K752">
        <f t="shared" si="132"/>
        <v>110.36</v>
      </c>
      <c r="L752">
        <f t="shared" si="133"/>
        <v>421.178</v>
      </c>
      <c r="M752" t="str">
        <f t="shared" si="134"/>
        <v>chad-3</v>
      </c>
      <c r="N752" t="str">
        <f>INDEX(Scores!$A$2:$A$11,INDEX(Scores!$AA$2:$AA$131,MATCH(C752,Scores!$AB$2:$AB$131,0)))</f>
        <v>chad</v>
      </c>
      <c r="O752">
        <f t="shared" si="135"/>
        <v>99.23</v>
      </c>
      <c r="P752">
        <f t="shared" si="136"/>
        <v>414.92009999999999</v>
      </c>
      <c r="Q752" s="3">
        <f t="shared" si="137"/>
        <v>0.64985036548815633</v>
      </c>
      <c r="R752" s="3">
        <f t="shared" si="138"/>
        <v>0.43057989264642005</v>
      </c>
      <c r="S752" s="9">
        <f t="shared" si="139"/>
        <v>-0.21927047284173629</v>
      </c>
      <c r="T752">
        <f t="shared" si="140"/>
        <v>63</v>
      </c>
      <c r="U752">
        <f t="shared" si="141"/>
        <v>123</v>
      </c>
      <c r="V752" s="3">
        <f t="shared" si="142"/>
        <v>6.377906632012736E-13</v>
      </c>
      <c r="W752" s="9">
        <f t="shared" si="143"/>
        <v>-6.377906632012736E-13</v>
      </c>
      <c r="AC752"/>
    </row>
    <row r="753" spans="1:29" x14ac:dyDescent="0.25">
      <c r="A753" t="s">
        <v>413</v>
      </c>
      <c r="B753">
        <v>2</v>
      </c>
      <c r="C753" t="s">
        <v>628</v>
      </c>
      <c r="D753" t="s">
        <v>477</v>
      </c>
      <c r="E753">
        <v>10</v>
      </c>
      <c r="F753">
        <v>4.68</v>
      </c>
      <c r="G753">
        <v>30.913599999999999</v>
      </c>
      <c r="H753" t="s">
        <v>477</v>
      </c>
      <c r="I753" t="s">
        <v>477</v>
      </c>
      <c r="J753" t="s">
        <v>20</v>
      </c>
      <c r="K753">
        <f t="shared" si="132"/>
        <v>103.25</v>
      </c>
      <c r="L753">
        <f t="shared" si="133"/>
        <v>377.00829999999996</v>
      </c>
      <c r="M753" t="str">
        <f t="shared" si="134"/>
        <v>devon-2</v>
      </c>
      <c r="N753" t="str">
        <f>INDEX(Scores!$A$2:$A$11,INDEX(Scores!$AA$2:$AA$131,MATCH(C753,Scores!$AB$2:$AB$131,0)))</f>
        <v>devon</v>
      </c>
      <c r="O753">
        <f t="shared" si="135"/>
        <v>100.92999999999999</v>
      </c>
      <c r="P753">
        <f t="shared" si="136"/>
        <v>374.85250000000002</v>
      </c>
      <c r="Q753" s="3">
        <f t="shared" si="137"/>
        <v>0.53371408733680603</v>
      </c>
      <c r="R753" s="3">
        <f t="shared" si="138"/>
        <v>0.61200128137586707</v>
      </c>
      <c r="S753" s="9">
        <f t="shared" si="139"/>
        <v>7.8287194039061037E-2</v>
      </c>
      <c r="T753">
        <f t="shared" si="140"/>
        <v>106</v>
      </c>
      <c r="U753">
        <f t="shared" si="141"/>
        <v>140</v>
      </c>
      <c r="V753" s="3">
        <f t="shared" si="142"/>
        <v>7.6389895179388889E-13</v>
      </c>
      <c r="W753" s="9">
        <f t="shared" si="143"/>
        <v>-7.6389895179388889E-13</v>
      </c>
      <c r="AC753"/>
    </row>
    <row r="754" spans="1:29" x14ac:dyDescent="0.25">
      <c r="A754" t="s">
        <v>196</v>
      </c>
      <c r="B754">
        <v>8</v>
      </c>
      <c r="C754" t="s">
        <v>954</v>
      </c>
      <c r="D754" t="s">
        <v>468</v>
      </c>
      <c r="E754">
        <v>0</v>
      </c>
      <c r="F754">
        <v>5.6</v>
      </c>
      <c r="G754">
        <v>21.3444</v>
      </c>
      <c r="H754" t="s">
        <v>47</v>
      </c>
      <c r="I754" t="s">
        <v>47</v>
      </c>
      <c r="J754" t="s">
        <v>40</v>
      </c>
      <c r="K754">
        <f t="shared" si="132"/>
        <v>93.289999999999992</v>
      </c>
      <c r="L754">
        <f t="shared" si="133"/>
        <v>315.97840000000008</v>
      </c>
      <c r="M754" t="e">
        <f t="shared" si="134"/>
        <v>#N/A</v>
      </c>
      <c r="N754" t="e">
        <f>INDEX(Scores!$A$2:$A$11,INDEX(Scores!$AA$2:$AA$131,MATCH(C754,Scores!$AB$2:$AB$131,0)))</f>
        <v>#N/A</v>
      </c>
      <c r="O754">
        <f t="shared" si="135"/>
        <v>0</v>
      </c>
      <c r="P754">
        <f t="shared" si="136"/>
        <v>0</v>
      </c>
      <c r="Q754" s="3">
        <f t="shared" si="137"/>
        <v>0.99999992318369246</v>
      </c>
      <c r="R754" s="3">
        <f t="shared" si="138"/>
        <v>0.99999983779075863</v>
      </c>
      <c r="S754" s="9">
        <f t="shared" si="139"/>
        <v>-8.5392933835137796E-8</v>
      </c>
      <c r="T754">
        <f t="shared" si="140"/>
        <v>75</v>
      </c>
      <c r="U754">
        <f t="shared" si="141"/>
        <v>0</v>
      </c>
      <c r="V754" s="3">
        <f t="shared" si="142"/>
        <v>1</v>
      </c>
      <c r="W754" s="9">
        <f t="shared" si="143"/>
        <v>0</v>
      </c>
      <c r="AC754"/>
    </row>
    <row r="755" spans="1:29" x14ac:dyDescent="0.25">
      <c r="A755" t="s">
        <v>150</v>
      </c>
      <c r="B755">
        <v>2</v>
      </c>
      <c r="C755" t="s">
        <v>628</v>
      </c>
      <c r="D755" t="s">
        <v>472</v>
      </c>
      <c r="E755">
        <v>7</v>
      </c>
      <c r="F755">
        <v>7.76</v>
      </c>
      <c r="G755">
        <v>22.5625</v>
      </c>
      <c r="H755" t="s">
        <v>87</v>
      </c>
      <c r="I755" t="s">
        <v>87</v>
      </c>
      <c r="J755" t="s">
        <v>20</v>
      </c>
      <c r="K755">
        <f t="shared" si="132"/>
        <v>103.25</v>
      </c>
      <c r="L755">
        <f t="shared" si="133"/>
        <v>377.00829999999996</v>
      </c>
      <c r="M755" t="str">
        <f t="shared" si="134"/>
        <v>devon-2</v>
      </c>
      <c r="N755" t="str">
        <f>INDEX(Scores!$A$2:$A$11,INDEX(Scores!$AA$2:$AA$131,MATCH(C755,Scores!$AB$2:$AB$131,0)))</f>
        <v>devon</v>
      </c>
      <c r="O755">
        <f t="shared" si="135"/>
        <v>100.92999999999999</v>
      </c>
      <c r="P755">
        <f t="shared" si="136"/>
        <v>374.85250000000002</v>
      </c>
      <c r="Q755" s="3">
        <f t="shared" si="137"/>
        <v>0.53371408733680603</v>
      </c>
      <c r="R755" s="3">
        <f t="shared" si="138"/>
        <v>0.52303247370207917</v>
      </c>
      <c r="S755" s="9">
        <f t="shared" si="139"/>
        <v>-1.0681613634726861E-2</v>
      </c>
      <c r="T755">
        <f t="shared" si="140"/>
        <v>106</v>
      </c>
      <c r="U755">
        <f t="shared" si="141"/>
        <v>140</v>
      </c>
      <c r="V755" s="3">
        <f t="shared" si="142"/>
        <v>1.2991859205418615E-12</v>
      </c>
      <c r="W755" s="9">
        <f t="shared" si="143"/>
        <v>-1.2991859205418615E-12</v>
      </c>
      <c r="AC755"/>
    </row>
    <row r="756" spans="1:29" x14ac:dyDescent="0.25">
      <c r="A756" t="s">
        <v>151</v>
      </c>
      <c r="B756">
        <v>6</v>
      </c>
      <c r="C756" t="s">
        <v>944</v>
      </c>
      <c r="D756" t="s">
        <v>475</v>
      </c>
      <c r="E756">
        <v>3</v>
      </c>
      <c r="F756">
        <v>4.54</v>
      </c>
      <c r="G756">
        <v>6.9695999999999998</v>
      </c>
      <c r="H756" t="s">
        <v>114</v>
      </c>
      <c r="I756" t="s">
        <v>114</v>
      </c>
      <c r="J756" t="s">
        <v>62</v>
      </c>
      <c r="K756">
        <f t="shared" si="132"/>
        <v>96.66</v>
      </c>
      <c r="L756">
        <f t="shared" si="133"/>
        <v>373.87420000000003</v>
      </c>
      <c r="M756" t="str">
        <f t="shared" si="134"/>
        <v>lucas-6</v>
      </c>
      <c r="N756" t="str">
        <f>INDEX(Scores!$A$2:$A$11,INDEX(Scores!$AA$2:$AA$131,MATCH(C756,Scores!$AB$2:$AB$131,0)))</f>
        <v>lucas</v>
      </c>
      <c r="O756">
        <f t="shared" si="135"/>
        <v>0</v>
      </c>
      <c r="P756">
        <f t="shared" si="136"/>
        <v>0</v>
      </c>
      <c r="Q756" s="3">
        <f t="shared" si="137"/>
        <v>0.99999971187356196</v>
      </c>
      <c r="R756" s="3">
        <f t="shared" si="138"/>
        <v>0.99999965802952895</v>
      </c>
      <c r="S756" s="9">
        <f t="shared" si="139"/>
        <v>-5.3844033010008729E-8</v>
      </c>
      <c r="T756">
        <f t="shared" si="140"/>
        <v>79</v>
      </c>
      <c r="U756">
        <f t="shared" si="141"/>
        <v>0</v>
      </c>
      <c r="V756" s="3">
        <f t="shared" si="142"/>
        <v>1</v>
      </c>
      <c r="W756" s="9">
        <f t="shared" si="143"/>
        <v>0</v>
      </c>
      <c r="AC756"/>
    </row>
    <row r="757" spans="1:29" x14ac:dyDescent="0.25">
      <c r="A757" t="s">
        <v>109</v>
      </c>
      <c r="B757">
        <v>1</v>
      </c>
      <c r="C757" t="s">
        <v>508</v>
      </c>
      <c r="D757" t="s">
        <v>468</v>
      </c>
      <c r="E757">
        <v>14</v>
      </c>
      <c r="F757">
        <v>6.96</v>
      </c>
      <c r="G757">
        <v>12.8881</v>
      </c>
      <c r="H757" t="s">
        <v>47</v>
      </c>
      <c r="I757" t="s">
        <v>47</v>
      </c>
      <c r="J757" t="s">
        <v>23</v>
      </c>
      <c r="K757">
        <f t="shared" si="132"/>
        <v>94.44</v>
      </c>
      <c r="L757">
        <f t="shared" si="133"/>
        <v>399.28809999999999</v>
      </c>
      <c r="M757" t="str">
        <f t="shared" si="134"/>
        <v>cory-1</v>
      </c>
      <c r="N757" t="str">
        <f>INDEX(Scores!$A$2:$A$11,INDEX(Scores!$AA$2:$AA$131,MATCH(C757,Scores!$AB$2:$AB$131,0)))</f>
        <v>cory</v>
      </c>
      <c r="O757">
        <f t="shared" si="135"/>
        <v>105.11000000000001</v>
      </c>
      <c r="P757">
        <f t="shared" si="136"/>
        <v>445.52289999999994</v>
      </c>
      <c r="Q757" s="3">
        <f t="shared" si="137"/>
        <v>0.35677213328906182</v>
      </c>
      <c r="R757" s="3">
        <f t="shared" si="138"/>
        <v>0.44992397012222063</v>
      </c>
      <c r="S757" s="9">
        <f t="shared" si="139"/>
        <v>9.3151836833158808E-2</v>
      </c>
      <c r="T757">
        <f t="shared" si="140"/>
        <v>82</v>
      </c>
      <c r="U757">
        <f t="shared" si="141"/>
        <v>100</v>
      </c>
      <c r="V757" s="3">
        <f t="shared" si="142"/>
        <v>1.530111806178832E-12</v>
      </c>
      <c r="W757" s="9">
        <f t="shared" si="143"/>
        <v>-1.530111806178832E-12</v>
      </c>
      <c r="AC757"/>
    </row>
    <row r="758" spans="1:29" x14ac:dyDescent="0.25">
      <c r="A758" t="s">
        <v>241</v>
      </c>
      <c r="B758">
        <v>9</v>
      </c>
      <c r="C758" t="s">
        <v>955</v>
      </c>
      <c r="D758" t="s">
        <v>471</v>
      </c>
      <c r="E758">
        <v>1</v>
      </c>
      <c r="F758">
        <v>3.3</v>
      </c>
      <c r="G758">
        <v>8.0089000000000006</v>
      </c>
      <c r="H758" t="s">
        <v>87</v>
      </c>
      <c r="I758" t="s">
        <v>87</v>
      </c>
      <c r="J758" t="s">
        <v>40</v>
      </c>
      <c r="K758">
        <f t="shared" si="132"/>
        <v>81.42</v>
      </c>
      <c r="L758">
        <f t="shared" si="133"/>
        <v>278.07840000000004</v>
      </c>
      <c r="M758" t="e">
        <f t="shared" si="134"/>
        <v>#N/A</v>
      </c>
      <c r="N758" t="e">
        <f>INDEX(Scores!$A$2:$A$11,INDEX(Scores!$AA$2:$AA$131,MATCH(C758,Scores!$AB$2:$AB$131,0)))</f>
        <v>#N/A</v>
      </c>
      <c r="O758">
        <f t="shared" si="135"/>
        <v>0</v>
      </c>
      <c r="P758">
        <f t="shared" si="136"/>
        <v>0</v>
      </c>
      <c r="Q758" s="3">
        <f t="shared" si="137"/>
        <v>0.99999947640964748</v>
      </c>
      <c r="R758" s="3">
        <f t="shared" si="138"/>
        <v>0.99999926204559919</v>
      </c>
      <c r="S758" s="9">
        <f t="shared" si="139"/>
        <v>-2.1436404828989453E-7</v>
      </c>
      <c r="T758">
        <f t="shared" si="140"/>
        <v>67</v>
      </c>
      <c r="U758">
        <f t="shared" si="141"/>
        <v>0</v>
      </c>
      <c r="V758" s="3">
        <f t="shared" si="142"/>
        <v>1</v>
      </c>
      <c r="W758" s="9">
        <f t="shared" si="143"/>
        <v>0</v>
      </c>
      <c r="AC758"/>
    </row>
    <row r="759" spans="1:29" x14ac:dyDescent="0.25">
      <c r="A759" t="s">
        <v>110</v>
      </c>
      <c r="B759">
        <v>11</v>
      </c>
      <c r="C759" t="s">
        <v>933</v>
      </c>
      <c r="D759" t="s">
        <v>473</v>
      </c>
      <c r="E759">
        <v>9</v>
      </c>
      <c r="F759">
        <v>10.5</v>
      </c>
      <c r="G759">
        <v>41.2164</v>
      </c>
      <c r="H759" t="s">
        <v>87</v>
      </c>
      <c r="I759" t="s">
        <v>87</v>
      </c>
      <c r="J759" t="s">
        <v>35</v>
      </c>
      <c r="K759">
        <f t="shared" si="132"/>
        <v>100.25</v>
      </c>
      <c r="L759">
        <f t="shared" si="133"/>
        <v>448.76889999999997</v>
      </c>
      <c r="M759" t="str">
        <f t="shared" si="134"/>
        <v>scott-11</v>
      </c>
      <c r="N759" t="str">
        <f>INDEX(Scores!$A$2:$A$11,INDEX(Scores!$AA$2:$AA$131,MATCH(C759,Scores!$AB$2:$AB$131,0)))</f>
        <v>scott</v>
      </c>
      <c r="O759">
        <f t="shared" si="135"/>
        <v>105.39999999999999</v>
      </c>
      <c r="P759">
        <f t="shared" si="136"/>
        <v>342.09739999999999</v>
      </c>
      <c r="Q759" s="3">
        <f t="shared" si="137"/>
        <v>0.42734863744074048</v>
      </c>
      <c r="R759" s="3">
        <f t="shared" si="138"/>
        <v>0.40404903946919629</v>
      </c>
      <c r="S759" s="9">
        <f t="shared" si="139"/>
        <v>-2.3299597971544184E-2</v>
      </c>
      <c r="T759">
        <f t="shared" si="140"/>
        <v>78</v>
      </c>
      <c r="U759">
        <f t="shared" si="141"/>
        <v>124</v>
      </c>
      <c r="V759" s="3">
        <f t="shared" si="142"/>
        <v>2.0825347073724398E-12</v>
      </c>
      <c r="W759" s="9">
        <f t="shared" si="143"/>
        <v>-2.0825347073724398E-12</v>
      </c>
      <c r="AC759"/>
    </row>
    <row r="760" spans="1:29" x14ac:dyDescent="0.25">
      <c r="A760" t="s">
        <v>464</v>
      </c>
      <c r="B760">
        <v>6</v>
      </c>
      <c r="C760" t="s">
        <v>944</v>
      </c>
      <c r="D760" t="s">
        <v>478</v>
      </c>
      <c r="E760">
        <v>11</v>
      </c>
      <c r="F760">
        <v>5.67</v>
      </c>
      <c r="G760">
        <v>13.3956</v>
      </c>
      <c r="H760" t="s">
        <v>478</v>
      </c>
      <c r="I760" t="s">
        <v>478</v>
      </c>
      <c r="J760" t="s">
        <v>62</v>
      </c>
      <c r="K760">
        <f t="shared" si="132"/>
        <v>96.66</v>
      </c>
      <c r="L760">
        <f t="shared" si="133"/>
        <v>373.87420000000003</v>
      </c>
      <c r="M760" t="str">
        <f t="shared" si="134"/>
        <v>lucas-6</v>
      </c>
      <c r="N760" t="str">
        <f>INDEX(Scores!$A$2:$A$11,INDEX(Scores!$AA$2:$AA$131,MATCH(C760,Scores!$AB$2:$AB$131,0)))</f>
        <v>lucas</v>
      </c>
      <c r="O760">
        <f t="shared" si="135"/>
        <v>0</v>
      </c>
      <c r="P760">
        <f t="shared" si="136"/>
        <v>0</v>
      </c>
      <c r="Q760" s="3">
        <f t="shared" si="137"/>
        <v>0.99999971187356196</v>
      </c>
      <c r="R760" s="3">
        <f t="shared" si="138"/>
        <v>0.99999996101741473</v>
      </c>
      <c r="S760" s="9">
        <f t="shared" si="139"/>
        <v>2.4914385277075013E-7</v>
      </c>
      <c r="T760">
        <f t="shared" si="140"/>
        <v>79</v>
      </c>
      <c r="U760">
        <f t="shared" si="141"/>
        <v>0</v>
      </c>
      <c r="V760" s="3">
        <f t="shared" si="142"/>
        <v>1</v>
      </c>
      <c r="W760" s="9">
        <f t="shared" si="143"/>
        <v>0</v>
      </c>
      <c r="AC760"/>
    </row>
    <row r="761" spans="1:29" x14ac:dyDescent="0.25">
      <c r="A761" t="s">
        <v>419</v>
      </c>
      <c r="B761">
        <v>10</v>
      </c>
      <c r="C761" t="s">
        <v>908</v>
      </c>
      <c r="D761" t="s">
        <v>477</v>
      </c>
      <c r="E761">
        <v>5</v>
      </c>
      <c r="F761">
        <v>10.06</v>
      </c>
      <c r="G761">
        <v>70.392099999999999</v>
      </c>
      <c r="H761" t="s">
        <v>477</v>
      </c>
      <c r="I761" t="s">
        <v>477</v>
      </c>
      <c r="J761" t="s">
        <v>20</v>
      </c>
      <c r="K761">
        <f t="shared" si="132"/>
        <v>101.17</v>
      </c>
      <c r="L761">
        <f t="shared" si="133"/>
        <v>351.19740000000002</v>
      </c>
      <c r="M761" t="str">
        <f t="shared" si="134"/>
        <v>comp-10</v>
      </c>
      <c r="N761" t="str">
        <f>INDEX(Scores!$A$2:$A$11,INDEX(Scores!$AA$2:$AA$131,MATCH(C761,Scores!$AB$2:$AB$131,0)))</f>
        <v>comp</v>
      </c>
      <c r="O761">
        <f t="shared" si="135"/>
        <v>99.050000000000011</v>
      </c>
      <c r="P761">
        <f t="shared" si="136"/>
        <v>345.4212</v>
      </c>
      <c r="Q761" s="3">
        <f t="shared" si="137"/>
        <v>0.53200969987678148</v>
      </c>
      <c r="R761" s="3">
        <f t="shared" si="138"/>
        <v>0.45323795198695038</v>
      </c>
      <c r="S761" s="9">
        <f t="shared" si="139"/>
        <v>-7.8771747889831101E-2</v>
      </c>
      <c r="T761">
        <f t="shared" si="140"/>
        <v>67</v>
      </c>
      <c r="U761">
        <f t="shared" si="141"/>
        <v>130</v>
      </c>
      <c r="V761" s="3">
        <f t="shared" si="142"/>
        <v>2.4953561340564925E-12</v>
      </c>
      <c r="W761" s="9">
        <f t="shared" si="143"/>
        <v>-2.4953561340564925E-12</v>
      </c>
      <c r="AC761"/>
    </row>
    <row r="762" spans="1:29" x14ac:dyDescent="0.25">
      <c r="A762" t="s">
        <v>450</v>
      </c>
      <c r="B762">
        <v>4</v>
      </c>
      <c r="C762" t="s">
        <v>860</v>
      </c>
      <c r="D762" t="s">
        <v>478</v>
      </c>
      <c r="E762">
        <v>3</v>
      </c>
      <c r="F762">
        <v>6.91</v>
      </c>
      <c r="G762">
        <v>19.36</v>
      </c>
      <c r="H762" t="s">
        <v>478</v>
      </c>
      <c r="I762" t="s">
        <v>478</v>
      </c>
      <c r="J762" t="s">
        <v>27</v>
      </c>
      <c r="K762">
        <f t="shared" si="132"/>
        <v>103.70000000000002</v>
      </c>
      <c r="L762">
        <f t="shared" si="133"/>
        <v>412.10110000000003</v>
      </c>
      <c r="M762" t="str">
        <f t="shared" si="134"/>
        <v>aj-4</v>
      </c>
      <c r="N762" t="str">
        <f>INDEX(Scores!$A$2:$A$11,INDEX(Scores!$AA$2:$AA$131,MATCH(C762,Scores!$AB$2:$AB$131,0)))</f>
        <v>aj</v>
      </c>
      <c r="O762">
        <f t="shared" si="135"/>
        <v>118.09999999999998</v>
      </c>
      <c r="P762">
        <f t="shared" si="136"/>
        <v>465.47660000000008</v>
      </c>
      <c r="Q762" s="3">
        <f t="shared" si="137"/>
        <v>0.31345048172071355</v>
      </c>
      <c r="R762" s="3">
        <f t="shared" si="138"/>
        <v>0.26598099845284467</v>
      </c>
      <c r="S762" s="9">
        <f t="shared" si="139"/>
        <v>-4.7469483267868873E-2</v>
      </c>
      <c r="T762">
        <f t="shared" si="140"/>
        <v>46</v>
      </c>
      <c r="U762">
        <f t="shared" si="141"/>
        <v>80</v>
      </c>
      <c r="V762" s="3">
        <f t="shared" si="142"/>
        <v>3.9975269509647411E-12</v>
      </c>
      <c r="W762" s="9">
        <f t="shared" si="143"/>
        <v>-3.9975269509647411E-12</v>
      </c>
      <c r="AC762"/>
    </row>
    <row r="763" spans="1:29" x14ac:dyDescent="0.25">
      <c r="A763" t="s">
        <v>407</v>
      </c>
      <c r="B763">
        <v>5</v>
      </c>
      <c r="C763" t="s">
        <v>886</v>
      </c>
      <c r="D763" t="s">
        <v>477</v>
      </c>
      <c r="E763">
        <v>12</v>
      </c>
      <c r="F763">
        <v>7.9</v>
      </c>
      <c r="G763">
        <v>63.520899999999997</v>
      </c>
      <c r="H763" t="s">
        <v>477</v>
      </c>
      <c r="I763" t="s">
        <v>477</v>
      </c>
      <c r="J763" t="s">
        <v>62</v>
      </c>
      <c r="K763">
        <f t="shared" si="132"/>
        <v>103.98</v>
      </c>
      <c r="L763">
        <f t="shared" si="133"/>
        <v>400.98380000000003</v>
      </c>
      <c r="M763" t="str">
        <f t="shared" si="134"/>
        <v>comp-5</v>
      </c>
      <c r="N763" t="str">
        <f>INDEX(Scores!$A$2:$A$11,INDEX(Scores!$AA$2:$AA$131,MATCH(C763,Scores!$AB$2:$AB$131,0)))</f>
        <v>comp</v>
      </c>
      <c r="O763">
        <f t="shared" si="135"/>
        <v>98.17</v>
      </c>
      <c r="P763">
        <f t="shared" si="136"/>
        <v>359.81479999999999</v>
      </c>
      <c r="Q763" s="3">
        <f t="shared" si="137"/>
        <v>0.58341598360206426</v>
      </c>
      <c r="R763" s="3">
        <f t="shared" si="138"/>
        <v>0.64627881141635235</v>
      </c>
      <c r="S763" s="9">
        <f t="shared" si="139"/>
        <v>6.2862827814288091E-2</v>
      </c>
      <c r="T763">
        <f t="shared" si="140"/>
        <v>71</v>
      </c>
      <c r="U763">
        <f t="shared" si="141"/>
        <v>121</v>
      </c>
      <c r="V763" s="3">
        <f t="shared" si="142"/>
        <v>5.6867122308512E-12</v>
      </c>
      <c r="W763" s="9">
        <f t="shared" si="143"/>
        <v>-5.6867122308512E-12</v>
      </c>
      <c r="AC763"/>
    </row>
    <row r="764" spans="1:29" x14ac:dyDescent="0.25">
      <c r="A764" t="s">
        <v>123</v>
      </c>
      <c r="B764">
        <v>4</v>
      </c>
      <c r="C764" t="s">
        <v>860</v>
      </c>
      <c r="D764" t="s">
        <v>466</v>
      </c>
      <c r="E764">
        <v>3</v>
      </c>
      <c r="F764">
        <v>8.06</v>
      </c>
      <c r="G764">
        <v>18.232900000000001</v>
      </c>
      <c r="H764" t="s">
        <v>466</v>
      </c>
      <c r="I764" t="s">
        <v>47</v>
      </c>
      <c r="J764" t="s">
        <v>27</v>
      </c>
      <c r="K764">
        <f t="shared" si="132"/>
        <v>103.70000000000002</v>
      </c>
      <c r="L764">
        <f t="shared" si="133"/>
        <v>412.10110000000003</v>
      </c>
      <c r="M764" t="str">
        <f t="shared" si="134"/>
        <v>aj-4</v>
      </c>
      <c r="N764" t="str">
        <f>INDEX(Scores!$A$2:$A$11,INDEX(Scores!$AA$2:$AA$131,MATCH(C764,Scores!$AB$2:$AB$131,0)))</f>
        <v>aj</v>
      </c>
      <c r="O764">
        <f t="shared" si="135"/>
        <v>118.09999999999998</v>
      </c>
      <c r="P764">
        <f t="shared" si="136"/>
        <v>465.47660000000008</v>
      </c>
      <c r="Q764" s="3">
        <f t="shared" si="137"/>
        <v>0.31345048172071355</v>
      </c>
      <c r="R764" s="3">
        <f t="shared" si="138"/>
        <v>0.25339846833149976</v>
      </c>
      <c r="S764" s="9">
        <f t="shared" si="139"/>
        <v>-6.0052013389213788E-2</v>
      </c>
      <c r="T764">
        <f t="shared" si="140"/>
        <v>46</v>
      </c>
      <c r="U764">
        <f t="shared" si="141"/>
        <v>80</v>
      </c>
      <c r="V764" s="3">
        <f t="shared" si="142"/>
        <v>6.1129146444985343E-12</v>
      </c>
      <c r="W764" s="9">
        <f t="shared" si="143"/>
        <v>-6.1129146444985343E-12</v>
      </c>
      <c r="AC764"/>
    </row>
    <row r="765" spans="1:29" x14ac:dyDescent="0.25">
      <c r="A765" t="s">
        <v>105</v>
      </c>
      <c r="B765">
        <v>5</v>
      </c>
      <c r="C765" t="s">
        <v>886</v>
      </c>
      <c r="D765" t="s">
        <v>466</v>
      </c>
      <c r="E765">
        <v>3</v>
      </c>
      <c r="F765">
        <v>10.11</v>
      </c>
      <c r="G765">
        <v>40.7044</v>
      </c>
      <c r="H765" t="s">
        <v>466</v>
      </c>
      <c r="I765" t="s">
        <v>87</v>
      </c>
      <c r="J765" t="s">
        <v>62</v>
      </c>
      <c r="K765">
        <f t="shared" si="132"/>
        <v>103.98</v>
      </c>
      <c r="L765">
        <f t="shared" si="133"/>
        <v>400.98380000000003</v>
      </c>
      <c r="M765" t="str">
        <f t="shared" si="134"/>
        <v>comp-5</v>
      </c>
      <c r="N765" t="str">
        <f>INDEX(Scores!$A$2:$A$11,INDEX(Scores!$AA$2:$AA$131,MATCH(C765,Scores!$AB$2:$AB$131,0)))</f>
        <v>comp</v>
      </c>
      <c r="O765">
        <f t="shared" si="135"/>
        <v>98.17</v>
      </c>
      <c r="P765">
        <f t="shared" si="136"/>
        <v>359.81479999999999</v>
      </c>
      <c r="Q765" s="3">
        <f t="shared" si="137"/>
        <v>0.58341598360206426</v>
      </c>
      <c r="R765" s="3">
        <f t="shared" si="138"/>
        <v>0.48068081003708873</v>
      </c>
      <c r="S765" s="9">
        <f t="shared" si="139"/>
        <v>-0.10273517356497552</v>
      </c>
      <c r="T765">
        <f t="shared" si="140"/>
        <v>71</v>
      </c>
      <c r="U765">
        <f t="shared" si="141"/>
        <v>121</v>
      </c>
      <c r="V765" s="3">
        <f t="shared" si="142"/>
        <v>8.9273129696576386E-12</v>
      </c>
      <c r="W765" s="9">
        <f t="shared" si="143"/>
        <v>-8.9273129696576386E-12</v>
      </c>
      <c r="AC765"/>
    </row>
    <row r="766" spans="1:29" x14ac:dyDescent="0.25">
      <c r="A766" t="s">
        <v>208</v>
      </c>
      <c r="B766">
        <v>13</v>
      </c>
      <c r="C766" t="s">
        <v>967</v>
      </c>
      <c r="D766" t="s">
        <v>475</v>
      </c>
      <c r="E766">
        <v>0</v>
      </c>
      <c r="F766">
        <v>5.99</v>
      </c>
      <c r="G766">
        <v>17.3889</v>
      </c>
      <c r="H766" t="s">
        <v>114</v>
      </c>
      <c r="I766" t="s">
        <v>114</v>
      </c>
      <c r="J766" t="s">
        <v>23</v>
      </c>
      <c r="K766">
        <f t="shared" si="132"/>
        <v>108.77</v>
      </c>
      <c r="L766">
        <f t="shared" si="133"/>
        <v>411.30060000000003</v>
      </c>
      <c r="M766" t="str">
        <f t="shared" si="134"/>
        <v>devon-13</v>
      </c>
      <c r="N766" t="str">
        <f>INDEX(Scores!$A$2:$A$11,INDEX(Scores!$AA$2:$AA$131,MATCH(C766,Scores!$AB$2:$AB$131,0)))</f>
        <v>devon</v>
      </c>
      <c r="O766">
        <f t="shared" si="135"/>
        <v>97.46</v>
      </c>
      <c r="P766">
        <f t="shared" si="136"/>
        <v>368.81949999999995</v>
      </c>
      <c r="Q766" s="3">
        <f t="shared" si="137"/>
        <v>0.6572361742103181</v>
      </c>
      <c r="R766" s="3">
        <f t="shared" si="138"/>
        <v>0.57637596484822606</v>
      </c>
      <c r="S766" s="9">
        <f t="shared" si="139"/>
        <v>-8.0860209362092039E-2</v>
      </c>
      <c r="T766">
        <f t="shared" si="140"/>
        <v>99</v>
      </c>
      <c r="U766">
        <f t="shared" si="141"/>
        <v>133</v>
      </c>
      <c r="V766" s="3">
        <f t="shared" si="142"/>
        <v>9.2735202017174794E-12</v>
      </c>
      <c r="W766" s="9">
        <f t="shared" si="143"/>
        <v>-9.2735202017174794E-12</v>
      </c>
      <c r="AC766"/>
    </row>
    <row r="767" spans="1:29" x14ac:dyDescent="0.25">
      <c r="A767" t="s">
        <v>464</v>
      </c>
      <c r="B767">
        <v>11</v>
      </c>
      <c r="C767" t="s">
        <v>949</v>
      </c>
      <c r="D767" t="s">
        <v>478</v>
      </c>
      <c r="E767">
        <v>1</v>
      </c>
      <c r="F767">
        <v>7.25</v>
      </c>
      <c r="G767">
        <v>13.616099999999999</v>
      </c>
      <c r="H767" t="s">
        <v>478</v>
      </c>
      <c r="I767" t="s">
        <v>478</v>
      </c>
      <c r="J767" t="s">
        <v>62</v>
      </c>
      <c r="K767">
        <f t="shared" si="132"/>
        <v>106.58</v>
      </c>
      <c r="L767">
        <f t="shared" si="133"/>
        <v>427.68610000000001</v>
      </c>
      <c r="M767" t="str">
        <f t="shared" si="134"/>
        <v>cory-11</v>
      </c>
      <c r="N767" t="str">
        <f>INDEX(Scores!$A$2:$A$11,INDEX(Scores!$AA$2:$AA$131,MATCH(C767,Scores!$AB$2:$AB$131,0)))</f>
        <v>cory</v>
      </c>
      <c r="O767">
        <f t="shared" si="135"/>
        <v>102.11</v>
      </c>
      <c r="P767">
        <f t="shared" si="136"/>
        <v>431.97960000000006</v>
      </c>
      <c r="Q767" s="3">
        <f t="shared" si="137"/>
        <v>0.56058610538956244</v>
      </c>
      <c r="R767" s="3">
        <f t="shared" si="138"/>
        <v>0.47560161072397344</v>
      </c>
      <c r="S767" s="9">
        <f t="shared" si="139"/>
        <v>-8.4984494665588994E-2</v>
      </c>
      <c r="T767">
        <f t="shared" si="140"/>
        <v>99</v>
      </c>
      <c r="U767">
        <f t="shared" si="141"/>
        <v>130</v>
      </c>
      <c r="V767" s="3">
        <f t="shared" si="142"/>
        <v>9.9117610731272817E-12</v>
      </c>
      <c r="W767" s="9">
        <f t="shared" si="143"/>
        <v>-9.9117610731272817E-12</v>
      </c>
      <c r="AC767"/>
    </row>
    <row r="768" spans="1:29" x14ac:dyDescent="0.25">
      <c r="A768" t="s">
        <v>453</v>
      </c>
      <c r="B768">
        <v>7</v>
      </c>
      <c r="C768" t="s">
        <v>921</v>
      </c>
      <c r="D768" t="s">
        <v>478</v>
      </c>
      <c r="E768">
        <v>12</v>
      </c>
      <c r="F768">
        <v>9.34</v>
      </c>
      <c r="G768">
        <v>16.080100000000002</v>
      </c>
      <c r="H768" t="s">
        <v>478</v>
      </c>
      <c r="I768" t="s">
        <v>478</v>
      </c>
      <c r="J768" t="s">
        <v>55</v>
      </c>
      <c r="K768">
        <f t="shared" si="132"/>
        <v>114.01999999999998</v>
      </c>
      <c r="L768">
        <f t="shared" si="133"/>
        <v>381.58529999999996</v>
      </c>
      <c r="M768" t="str">
        <f t="shared" si="134"/>
        <v>devon-7</v>
      </c>
      <c r="N768" t="str">
        <f>INDEX(Scores!$A$2:$A$11,INDEX(Scores!$AA$2:$AA$131,MATCH(C768,Scores!$AB$2:$AB$131,0)))</f>
        <v>devon</v>
      </c>
      <c r="O768">
        <f t="shared" si="135"/>
        <v>106.81</v>
      </c>
      <c r="P768">
        <f t="shared" si="136"/>
        <v>351.64060000000001</v>
      </c>
      <c r="Q768" s="3">
        <f t="shared" si="137"/>
        <v>0.60498297578784854</v>
      </c>
      <c r="R768" s="3">
        <f t="shared" si="138"/>
        <v>0.64377379490073294</v>
      </c>
      <c r="S768" s="9">
        <f t="shared" si="139"/>
        <v>3.87908191128844E-2</v>
      </c>
      <c r="T768">
        <f t="shared" si="140"/>
        <v>93</v>
      </c>
      <c r="U768">
        <f t="shared" si="141"/>
        <v>117</v>
      </c>
      <c r="V768" s="3">
        <f t="shared" si="142"/>
        <v>1.4816917075879227E-11</v>
      </c>
      <c r="W768" s="9">
        <f t="shared" si="143"/>
        <v>-1.4816917075879227E-11</v>
      </c>
      <c r="AC768"/>
    </row>
    <row r="769" spans="1:29" x14ac:dyDescent="0.25">
      <c r="A769" t="s">
        <v>113</v>
      </c>
      <c r="B769">
        <v>13</v>
      </c>
      <c r="C769" t="s">
        <v>959</v>
      </c>
      <c r="D769" t="s">
        <v>475</v>
      </c>
      <c r="E769">
        <v>14</v>
      </c>
      <c r="F769">
        <v>10.43</v>
      </c>
      <c r="G769">
        <v>41.7316</v>
      </c>
      <c r="H769" t="s">
        <v>114</v>
      </c>
      <c r="I769" t="s">
        <v>114</v>
      </c>
      <c r="J769" t="s">
        <v>40</v>
      </c>
      <c r="K769">
        <f t="shared" si="132"/>
        <v>75.67</v>
      </c>
      <c r="L769">
        <f t="shared" si="133"/>
        <v>278.80779999999999</v>
      </c>
      <c r="M769" t="e">
        <f t="shared" si="134"/>
        <v>#N/A</v>
      </c>
      <c r="N769" t="e">
        <f>INDEX(Scores!$A$2:$A$11,INDEX(Scores!$AA$2:$AA$131,MATCH(C769,Scores!$AB$2:$AB$131,0)))</f>
        <v>#N/A</v>
      </c>
      <c r="O769">
        <f t="shared" si="135"/>
        <v>0</v>
      </c>
      <c r="P769">
        <f t="shared" si="136"/>
        <v>0</v>
      </c>
      <c r="Q769" s="3">
        <f t="shared" si="137"/>
        <v>0.9999970759175304</v>
      </c>
      <c r="R769" s="3">
        <f t="shared" si="138"/>
        <v>0.99999986720797285</v>
      </c>
      <c r="S769" s="9">
        <f t="shared" si="139"/>
        <v>2.7912904424498564E-6</v>
      </c>
      <c r="T769">
        <f t="shared" si="140"/>
        <v>59</v>
      </c>
      <c r="U769">
        <f t="shared" si="141"/>
        <v>0</v>
      </c>
      <c r="V769" s="3">
        <f t="shared" si="142"/>
        <v>1</v>
      </c>
      <c r="W769" s="9">
        <f t="shared" si="143"/>
        <v>0</v>
      </c>
      <c r="AC769"/>
    </row>
    <row r="770" spans="1:29" x14ac:dyDescent="0.25">
      <c r="A770" t="s">
        <v>130</v>
      </c>
      <c r="B770">
        <v>3</v>
      </c>
      <c r="C770" t="s">
        <v>809</v>
      </c>
      <c r="D770" t="s">
        <v>469</v>
      </c>
      <c r="E770">
        <v>21</v>
      </c>
      <c r="F770">
        <v>12.66</v>
      </c>
      <c r="G770">
        <v>34.81</v>
      </c>
      <c r="H770" t="s">
        <v>47</v>
      </c>
      <c r="I770" t="s">
        <v>47</v>
      </c>
      <c r="J770" t="s">
        <v>23</v>
      </c>
      <c r="K770">
        <f t="shared" ref="K770:K833" si="144">SUMIF($C$2:$C$1301,$C770,$F$2:$F$1301)</f>
        <v>101.86999999999999</v>
      </c>
      <c r="L770">
        <f t="shared" ref="L770:L833" si="145">SUMIF($C$2:$C$1301,$C770,$G$2:$G$1301)</f>
        <v>350.57169999999996</v>
      </c>
      <c r="M770" t="str">
        <f t="shared" ref="M770:M833" si="146">N770&amp;"-"&amp;B770</f>
        <v>scott-3</v>
      </c>
      <c r="N770" t="str">
        <f>INDEX(Scores!$A$2:$A$11,INDEX(Scores!$AA$2:$AA$131,MATCH(C770,Scores!$AB$2:$AB$131,0)))</f>
        <v>scott</v>
      </c>
      <c r="O770">
        <f t="shared" ref="O770:O833" si="147">SUMIF($C$2:$C$1301,$M770,$F$2:$F$1301)</f>
        <v>110.35</v>
      </c>
      <c r="P770">
        <f t="shared" ref="P770:P833" si="148">SUMIF($C$2:$C$1301,$M770,$G$2:$G$1301)</f>
        <v>442.53309999999999</v>
      </c>
      <c r="Q770" s="3">
        <f t="shared" ref="Q770:Q833" si="149">_xlfn.NORM.DIST(0,$O770-$K770,SQRT($L770+$P770),TRUE)</f>
        <v>0.38166388462507189</v>
      </c>
      <c r="R770" s="3">
        <f t="shared" ref="R770:R833" si="150">_xlfn.NORM.DIST(0,$O770-$K770-($E770-$F770),SQRT($L770+$P770-$G770),TRUE)</f>
        <v>0.49797177004897308</v>
      </c>
      <c r="S770" s="9">
        <f t="shared" ref="S770:S833" si="151">R770-Q770</f>
        <v>0.11630788542390119</v>
      </c>
      <c r="T770">
        <f t="shared" ref="T770:T833" si="152">SUMIF($C$2:$C$1301,$C770,$E$2:$E$1301)</f>
        <v>102</v>
      </c>
      <c r="U770">
        <f t="shared" ref="U770:U833" si="153">SUMIF($C$2:$C$1301,$M770,$E$2:$E$1301)</f>
        <v>132</v>
      </c>
      <c r="V770" s="3">
        <f t="shared" ref="V770:V833" si="154">_xlfn.NORM.DIST(0,U770-T770+E770-F770,SQRT(G770),TRUE)</f>
        <v>4.0614974425353006E-11</v>
      </c>
      <c r="W770" s="9">
        <f t="shared" ref="W770:W833" si="155">IFERROR(IF(U770&gt;T770,0,1)-V770,0)</f>
        <v>-4.0614974425353006E-11</v>
      </c>
      <c r="AC770"/>
    </row>
    <row r="771" spans="1:29" x14ac:dyDescent="0.25">
      <c r="A771" t="s">
        <v>108</v>
      </c>
      <c r="B771">
        <v>11</v>
      </c>
      <c r="C771" t="s">
        <v>949</v>
      </c>
      <c r="D771" t="s">
        <v>472</v>
      </c>
      <c r="E771">
        <v>20</v>
      </c>
      <c r="F771">
        <v>10.63</v>
      </c>
      <c r="G771">
        <v>38.688400000000001</v>
      </c>
      <c r="H771" t="s">
        <v>87</v>
      </c>
      <c r="I771" t="s">
        <v>87</v>
      </c>
      <c r="J771" t="s">
        <v>62</v>
      </c>
      <c r="K771">
        <f t="shared" si="144"/>
        <v>106.58</v>
      </c>
      <c r="L771">
        <f t="shared" si="145"/>
        <v>427.68610000000001</v>
      </c>
      <c r="M771" t="str">
        <f t="shared" si="146"/>
        <v>cory-11</v>
      </c>
      <c r="N771" t="str">
        <f>INDEX(Scores!$A$2:$A$11,INDEX(Scores!$AA$2:$AA$131,MATCH(C771,Scores!$AB$2:$AB$131,0)))</f>
        <v>cory</v>
      </c>
      <c r="O771">
        <f t="shared" si="147"/>
        <v>102.11</v>
      </c>
      <c r="P771">
        <f t="shared" si="148"/>
        <v>431.97960000000006</v>
      </c>
      <c r="Q771" s="3">
        <f t="shared" si="149"/>
        <v>0.56058610538956244</v>
      </c>
      <c r="R771" s="3">
        <f t="shared" si="150"/>
        <v>0.68546136521649981</v>
      </c>
      <c r="S771" s="9">
        <f t="shared" si="151"/>
        <v>0.12487525982693737</v>
      </c>
      <c r="T771">
        <f t="shared" si="152"/>
        <v>99</v>
      </c>
      <c r="U771">
        <f t="shared" si="153"/>
        <v>130</v>
      </c>
      <c r="V771" s="3">
        <f t="shared" si="154"/>
        <v>4.2817544802339769E-11</v>
      </c>
      <c r="W771" s="9">
        <f t="shared" si="155"/>
        <v>-4.2817544802339769E-11</v>
      </c>
      <c r="AC771"/>
    </row>
    <row r="772" spans="1:29" x14ac:dyDescent="0.25">
      <c r="A772" t="s">
        <v>235</v>
      </c>
      <c r="B772">
        <v>11</v>
      </c>
      <c r="C772" t="s">
        <v>933</v>
      </c>
      <c r="D772" t="s">
        <v>475</v>
      </c>
      <c r="E772">
        <v>0</v>
      </c>
      <c r="F772">
        <v>8.41</v>
      </c>
      <c r="G772">
        <v>33.756100000000004</v>
      </c>
      <c r="H772" t="s">
        <v>114</v>
      </c>
      <c r="I772" t="s">
        <v>114</v>
      </c>
      <c r="J772" t="s">
        <v>35</v>
      </c>
      <c r="K772">
        <f t="shared" si="144"/>
        <v>100.25</v>
      </c>
      <c r="L772">
        <f t="shared" si="145"/>
        <v>448.76889999999997</v>
      </c>
      <c r="M772" t="str">
        <f t="shared" si="146"/>
        <v>scott-11</v>
      </c>
      <c r="N772" t="str">
        <f>INDEX(Scores!$A$2:$A$11,INDEX(Scores!$AA$2:$AA$131,MATCH(C772,Scores!$AB$2:$AB$131,0)))</f>
        <v>scott</v>
      </c>
      <c r="O772">
        <f t="shared" si="147"/>
        <v>105.39999999999999</v>
      </c>
      <c r="P772">
        <f t="shared" si="148"/>
        <v>342.09739999999999</v>
      </c>
      <c r="Q772" s="3">
        <f t="shared" si="149"/>
        <v>0.42734863744074048</v>
      </c>
      <c r="R772" s="3">
        <f t="shared" si="150"/>
        <v>0.31107316989385203</v>
      </c>
      <c r="S772" s="9">
        <f t="shared" si="151"/>
        <v>-0.11627546754688844</v>
      </c>
      <c r="T772">
        <f t="shared" si="152"/>
        <v>78</v>
      </c>
      <c r="U772">
        <f t="shared" si="153"/>
        <v>124</v>
      </c>
      <c r="V772" s="3">
        <f t="shared" si="154"/>
        <v>4.9040544784751666E-11</v>
      </c>
      <c r="W772" s="9">
        <f t="shared" si="155"/>
        <v>-4.9040544784751666E-11</v>
      </c>
      <c r="AC772"/>
    </row>
    <row r="773" spans="1:29" x14ac:dyDescent="0.25">
      <c r="A773" t="s">
        <v>174</v>
      </c>
      <c r="B773">
        <v>2</v>
      </c>
      <c r="C773" t="s">
        <v>623</v>
      </c>
      <c r="D773" t="s">
        <v>469</v>
      </c>
      <c r="E773">
        <v>10</v>
      </c>
      <c r="F773">
        <v>8.67</v>
      </c>
      <c r="G773">
        <v>26.728899999999999</v>
      </c>
      <c r="H773" t="s">
        <v>47</v>
      </c>
      <c r="I773" t="s">
        <v>47</v>
      </c>
      <c r="J773" t="s">
        <v>27</v>
      </c>
      <c r="K773">
        <f t="shared" si="144"/>
        <v>103.61999999999999</v>
      </c>
      <c r="L773">
        <f t="shared" si="145"/>
        <v>357.30130000000003</v>
      </c>
      <c r="M773" t="str">
        <f t="shared" si="146"/>
        <v>cory-2</v>
      </c>
      <c r="N773" t="str">
        <f>INDEX(Scores!$A$2:$A$11,INDEX(Scores!$AA$2:$AA$131,MATCH(C773,Scores!$AB$2:$AB$131,0)))</f>
        <v>cory</v>
      </c>
      <c r="O773">
        <f t="shared" si="147"/>
        <v>102.7</v>
      </c>
      <c r="P773">
        <f t="shared" si="148"/>
        <v>377.5104</v>
      </c>
      <c r="Q773" s="3">
        <f t="shared" si="149"/>
        <v>0.51353712670419016</v>
      </c>
      <c r="R773" s="3">
        <f t="shared" si="150"/>
        <v>0.53369250516270272</v>
      </c>
      <c r="S773" s="9">
        <f t="shared" si="151"/>
        <v>2.0155378458512563E-2</v>
      </c>
      <c r="T773">
        <f t="shared" si="152"/>
        <v>65</v>
      </c>
      <c r="U773">
        <f t="shared" si="153"/>
        <v>97</v>
      </c>
      <c r="V773" s="3">
        <f t="shared" si="154"/>
        <v>5.7114980791577657E-11</v>
      </c>
      <c r="W773" s="9">
        <f t="shared" si="155"/>
        <v>-5.7114980791577657E-11</v>
      </c>
      <c r="AC773"/>
    </row>
    <row r="774" spans="1:29" x14ac:dyDescent="0.25">
      <c r="A774" t="s">
        <v>256</v>
      </c>
      <c r="B774">
        <v>13</v>
      </c>
      <c r="C774" t="s">
        <v>959</v>
      </c>
      <c r="D774" t="s">
        <v>472</v>
      </c>
      <c r="E774">
        <v>6</v>
      </c>
      <c r="F774">
        <v>7.78</v>
      </c>
      <c r="G774">
        <v>33.4084</v>
      </c>
      <c r="H774" t="s">
        <v>87</v>
      </c>
      <c r="I774" t="s">
        <v>87</v>
      </c>
      <c r="J774" t="s">
        <v>40</v>
      </c>
      <c r="K774">
        <f t="shared" si="144"/>
        <v>75.67</v>
      </c>
      <c r="L774">
        <f t="shared" si="145"/>
        <v>278.80779999999999</v>
      </c>
      <c r="M774" t="e">
        <f t="shared" si="146"/>
        <v>#N/A</v>
      </c>
      <c r="N774" t="e">
        <f>INDEX(Scores!$A$2:$A$11,INDEX(Scores!$AA$2:$AA$131,MATCH(C774,Scores!$AB$2:$AB$131,0)))</f>
        <v>#N/A</v>
      </c>
      <c r="O774">
        <f t="shared" si="147"/>
        <v>0</v>
      </c>
      <c r="P774">
        <f t="shared" si="148"/>
        <v>0</v>
      </c>
      <c r="Q774" s="3">
        <f t="shared" si="149"/>
        <v>0.9999970759175304</v>
      </c>
      <c r="R774" s="3">
        <f t="shared" si="150"/>
        <v>0.99999880217811909</v>
      </c>
      <c r="S774" s="9">
        <f t="shared" si="151"/>
        <v>1.7262605886969595E-6</v>
      </c>
      <c r="T774">
        <f t="shared" si="152"/>
        <v>59</v>
      </c>
      <c r="U774">
        <f t="shared" si="153"/>
        <v>0</v>
      </c>
      <c r="V774" s="3">
        <f t="shared" si="154"/>
        <v>1</v>
      </c>
      <c r="W774" s="9">
        <f t="shared" si="155"/>
        <v>0</v>
      </c>
      <c r="AC774"/>
    </row>
    <row r="775" spans="1:29" x14ac:dyDescent="0.25">
      <c r="A775" t="s">
        <v>409</v>
      </c>
      <c r="B775">
        <v>2</v>
      </c>
      <c r="C775" t="s">
        <v>623</v>
      </c>
      <c r="D775" t="s">
        <v>477</v>
      </c>
      <c r="E775">
        <v>11</v>
      </c>
      <c r="F775">
        <v>6.6</v>
      </c>
      <c r="G775">
        <v>32.148899999999998</v>
      </c>
      <c r="H775" t="s">
        <v>477</v>
      </c>
      <c r="I775" t="s">
        <v>477</v>
      </c>
      <c r="J775" t="s">
        <v>27</v>
      </c>
      <c r="K775">
        <f t="shared" si="144"/>
        <v>103.61999999999999</v>
      </c>
      <c r="L775">
        <f t="shared" si="145"/>
        <v>357.30130000000003</v>
      </c>
      <c r="M775" t="str">
        <f t="shared" si="146"/>
        <v>cory-2</v>
      </c>
      <c r="N775" t="str">
        <f>INDEX(Scores!$A$2:$A$11,INDEX(Scores!$AA$2:$AA$131,MATCH(C775,Scores!$AB$2:$AB$131,0)))</f>
        <v>cory</v>
      </c>
      <c r="O775">
        <f t="shared" si="147"/>
        <v>102.7</v>
      </c>
      <c r="P775">
        <f t="shared" si="148"/>
        <v>377.5104</v>
      </c>
      <c r="Q775" s="3">
        <f t="shared" si="149"/>
        <v>0.51353712670419016</v>
      </c>
      <c r="R775" s="3">
        <f t="shared" si="150"/>
        <v>0.57953175401567902</v>
      </c>
      <c r="S775" s="9">
        <f t="shared" si="151"/>
        <v>6.5994627311488863E-2</v>
      </c>
      <c r="T775">
        <f t="shared" si="152"/>
        <v>65</v>
      </c>
      <c r="U775">
        <f t="shared" si="153"/>
        <v>97</v>
      </c>
      <c r="V775" s="3">
        <f t="shared" si="154"/>
        <v>6.8247776818755486E-11</v>
      </c>
      <c r="W775" s="9">
        <f t="shared" si="155"/>
        <v>-6.8247776818755486E-11</v>
      </c>
      <c r="AC775"/>
    </row>
    <row r="776" spans="1:29" x14ac:dyDescent="0.25">
      <c r="A776" t="s">
        <v>149</v>
      </c>
      <c r="B776">
        <v>12</v>
      </c>
      <c r="C776" t="s">
        <v>926</v>
      </c>
      <c r="D776" t="s">
        <v>473</v>
      </c>
      <c r="E776">
        <v>1</v>
      </c>
      <c r="F776">
        <v>7.38</v>
      </c>
      <c r="G776">
        <v>29.2681</v>
      </c>
      <c r="H776" t="s">
        <v>87</v>
      </c>
      <c r="I776" t="s">
        <v>87</v>
      </c>
      <c r="J776" t="s">
        <v>55</v>
      </c>
      <c r="K776">
        <f t="shared" si="144"/>
        <v>111.09</v>
      </c>
      <c r="L776">
        <f t="shared" si="145"/>
        <v>408.5095</v>
      </c>
      <c r="M776" t="str">
        <f t="shared" si="146"/>
        <v>comp-12</v>
      </c>
      <c r="N776" t="str">
        <f>INDEX(Scores!$A$2:$A$11,INDEX(Scores!$AA$2:$AA$131,MATCH(C776,Scores!$AB$2:$AB$131,0)))</f>
        <v>comp</v>
      </c>
      <c r="O776">
        <f t="shared" si="147"/>
        <v>98.639999999999986</v>
      </c>
      <c r="P776">
        <f t="shared" si="148"/>
        <v>309.06870000000004</v>
      </c>
      <c r="Q776" s="3">
        <f t="shared" si="149"/>
        <v>0.67895062778258408</v>
      </c>
      <c r="R776" s="3">
        <f t="shared" si="150"/>
        <v>0.59148415779877039</v>
      </c>
      <c r="S776" s="9">
        <f t="shared" si="151"/>
        <v>-8.7466469983813688E-2</v>
      </c>
      <c r="T776">
        <f t="shared" si="152"/>
        <v>84</v>
      </c>
      <c r="U776">
        <f t="shared" si="153"/>
        <v>125</v>
      </c>
      <c r="V776" s="3">
        <f t="shared" si="154"/>
        <v>7.8065569888150392E-11</v>
      </c>
      <c r="W776" s="9">
        <f t="shared" si="155"/>
        <v>-7.8065569888150392E-11</v>
      </c>
      <c r="AC776"/>
    </row>
    <row r="777" spans="1:29" x14ac:dyDescent="0.25">
      <c r="A777" t="s">
        <v>100</v>
      </c>
      <c r="B777">
        <v>5</v>
      </c>
      <c r="C777" t="s">
        <v>886</v>
      </c>
      <c r="D777" t="s">
        <v>471</v>
      </c>
      <c r="E777">
        <v>4</v>
      </c>
      <c r="F777">
        <v>13.25</v>
      </c>
      <c r="G777">
        <v>40.7044</v>
      </c>
      <c r="H777" t="s">
        <v>87</v>
      </c>
      <c r="I777" t="s">
        <v>87</v>
      </c>
      <c r="J777" t="s">
        <v>62</v>
      </c>
      <c r="K777">
        <f t="shared" si="144"/>
        <v>103.98</v>
      </c>
      <c r="L777">
        <f t="shared" si="145"/>
        <v>400.98380000000003</v>
      </c>
      <c r="M777" t="str">
        <f t="shared" si="146"/>
        <v>comp-5</v>
      </c>
      <c r="N777" t="str">
        <f>INDEX(Scores!$A$2:$A$11,INDEX(Scores!$AA$2:$AA$131,MATCH(C777,Scores!$AB$2:$AB$131,0)))</f>
        <v>comp</v>
      </c>
      <c r="O777">
        <f t="shared" si="147"/>
        <v>98.17</v>
      </c>
      <c r="P777">
        <f t="shared" si="148"/>
        <v>359.81479999999999</v>
      </c>
      <c r="Q777" s="3">
        <f t="shared" si="149"/>
        <v>0.58341598360206426</v>
      </c>
      <c r="R777" s="3">
        <f t="shared" si="150"/>
        <v>0.44899818109384609</v>
      </c>
      <c r="S777" s="9">
        <f t="shared" si="151"/>
        <v>-0.13441780250821816</v>
      </c>
      <c r="T777">
        <f t="shared" si="152"/>
        <v>71</v>
      </c>
      <c r="U777">
        <f t="shared" si="153"/>
        <v>121</v>
      </c>
      <c r="V777" s="3">
        <f t="shared" si="154"/>
        <v>8.4504394036760057E-11</v>
      </c>
      <c r="W777" s="9">
        <f t="shared" si="155"/>
        <v>-8.4504394036760057E-11</v>
      </c>
      <c r="AC777"/>
    </row>
    <row r="778" spans="1:29" x14ac:dyDescent="0.25">
      <c r="A778" t="s">
        <v>411</v>
      </c>
      <c r="B778">
        <v>12</v>
      </c>
      <c r="C778" t="s">
        <v>926</v>
      </c>
      <c r="D778" t="s">
        <v>477</v>
      </c>
      <c r="E778">
        <v>9</v>
      </c>
      <c r="F778">
        <v>9.64</v>
      </c>
      <c r="G778">
        <v>40.068899999999999</v>
      </c>
      <c r="H778" t="s">
        <v>477</v>
      </c>
      <c r="I778" t="s">
        <v>477</v>
      </c>
      <c r="J778" t="s">
        <v>55</v>
      </c>
      <c r="K778">
        <f t="shared" si="144"/>
        <v>111.09</v>
      </c>
      <c r="L778">
        <f t="shared" si="145"/>
        <v>408.5095</v>
      </c>
      <c r="M778" t="str">
        <f t="shared" si="146"/>
        <v>comp-12</v>
      </c>
      <c r="N778" t="str">
        <f>INDEX(Scores!$A$2:$A$11,INDEX(Scores!$AA$2:$AA$131,MATCH(C778,Scores!$AB$2:$AB$131,0)))</f>
        <v>comp</v>
      </c>
      <c r="O778">
        <f t="shared" si="147"/>
        <v>98.639999999999986</v>
      </c>
      <c r="P778">
        <f t="shared" si="148"/>
        <v>309.06870000000004</v>
      </c>
      <c r="Q778" s="3">
        <f t="shared" si="149"/>
        <v>0.67895062778258408</v>
      </c>
      <c r="R778" s="3">
        <f t="shared" si="150"/>
        <v>0.67498644831809496</v>
      </c>
      <c r="S778" s="9">
        <f t="shared" si="151"/>
        <v>-3.9641794644891259E-3</v>
      </c>
      <c r="T778">
        <f t="shared" si="152"/>
        <v>84</v>
      </c>
      <c r="U778">
        <f t="shared" si="153"/>
        <v>125</v>
      </c>
      <c r="V778" s="3">
        <f t="shared" si="154"/>
        <v>9.0893958600192255E-11</v>
      </c>
      <c r="W778" s="9">
        <f t="shared" si="155"/>
        <v>-9.0893958600192255E-11</v>
      </c>
      <c r="AC778"/>
    </row>
    <row r="779" spans="1:29" x14ac:dyDescent="0.25">
      <c r="A779" t="s">
        <v>193</v>
      </c>
      <c r="B779">
        <v>11</v>
      </c>
      <c r="C779" t="s">
        <v>957</v>
      </c>
      <c r="D779" t="s">
        <v>466</v>
      </c>
      <c r="E779">
        <v>1</v>
      </c>
      <c r="F779">
        <v>6.58</v>
      </c>
      <c r="G779">
        <v>21.436900000000001</v>
      </c>
      <c r="H779" t="s">
        <v>466</v>
      </c>
      <c r="I779" t="s">
        <v>47</v>
      </c>
      <c r="J779" t="s">
        <v>40</v>
      </c>
      <c r="K779">
        <f t="shared" si="144"/>
        <v>98.88000000000001</v>
      </c>
      <c r="L779">
        <f t="shared" si="145"/>
        <v>375.05889999999999</v>
      </c>
      <c r="M779" t="e">
        <f t="shared" si="146"/>
        <v>#N/A</v>
      </c>
      <c r="N779" t="e">
        <f>INDEX(Scores!$A$2:$A$11,INDEX(Scores!$AA$2:$AA$131,MATCH(C779,Scores!$AB$2:$AB$131,0)))</f>
        <v>#N/A</v>
      </c>
      <c r="O779">
        <f t="shared" si="147"/>
        <v>0</v>
      </c>
      <c r="P779">
        <f t="shared" si="148"/>
        <v>0</v>
      </c>
      <c r="Q779" s="3">
        <f t="shared" si="149"/>
        <v>0.99999983524900793</v>
      </c>
      <c r="R779" s="3">
        <f t="shared" si="150"/>
        <v>0.9999996502252787</v>
      </c>
      <c r="S779" s="9">
        <f t="shared" si="151"/>
        <v>-1.8502372922668542E-7</v>
      </c>
      <c r="T779">
        <f t="shared" si="152"/>
        <v>50</v>
      </c>
      <c r="U779">
        <f t="shared" si="153"/>
        <v>0</v>
      </c>
      <c r="V779" s="3">
        <f t="shared" si="154"/>
        <v>1</v>
      </c>
      <c r="W779" s="9">
        <f t="shared" si="155"/>
        <v>0</v>
      </c>
      <c r="AC779"/>
    </row>
    <row r="780" spans="1:29" x14ac:dyDescent="0.25">
      <c r="A780" t="s">
        <v>435</v>
      </c>
      <c r="B780">
        <v>11</v>
      </c>
      <c r="C780" t="s">
        <v>933</v>
      </c>
      <c r="D780" t="s">
        <v>477</v>
      </c>
      <c r="E780">
        <v>8</v>
      </c>
      <c r="F780">
        <v>8.82</v>
      </c>
      <c r="G780">
        <v>50.694400000000002</v>
      </c>
      <c r="H780" t="s">
        <v>477</v>
      </c>
      <c r="I780" t="s">
        <v>477</v>
      </c>
      <c r="J780" t="s">
        <v>35</v>
      </c>
      <c r="K780">
        <f t="shared" si="144"/>
        <v>100.25</v>
      </c>
      <c r="L780">
        <f t="shared" si="145"/>
        <v>448.76889999999997</v>
      </c>
      <c r="M780" t="str">
        <f t="shared" si="146"/>
        <v>scott-11</v>
      </c>
      <c r="N780" t="str">
        <f>INDEX(Scores!$A$2:$A$11,INDEX(Scores!$AA$2:$AA$131,MATCH(C780,Scores!$AB$2:$AB$131,0)))</f>
        <v>scott</v>
      </c>
      <c r="O780">
        <f t="shared" si="147"/>
        <v>105.39999999999999</v>
      </c>
      <c r="P780">
        <f t="shared" si="148"/>
        <v>342.09739999999999</v>
      </c>
      <c r="Q780" s="3">
        <f t="shared" si="149"/>
        <v>0.42734863744074048</v>
      </c>
      <c r="R780" s="3">
        <f t="shared" si="150"/>
        <v>0.41315518393074885</v>
      </c>
      <c r="S780" s="9">
        <f t="shared" si="151"/>
        <v>-1.4193453509991627E-2</v>
      </c>
      <c r="T780">
        <f t="shared" si="152"/>
        <v>78</v>
      </c>
      <c r="U780">
        <f t="shared" si="153"/>
        <v>124</v>
      </c>
      <c r="V780" s="3">
        <f t="shared" si="154"/>
        <v>1.1084805333348697E-10</v>
      </c>
      <c r="W780" s="9">
        <f t="shared" si="155"/>
        <v>-1.1084805333348697E-10</v>
      </c>
      <c r="AC780"/>
    </row>
    <row r="781" spans="1:29" x14ac:dyDescent="0.25">
      <c r="A781" t="s">
        <v>125</v>
      </c>
      <c r="B781">
        <v>1</v>
      </c>
      <c r="C781" t="s">
        <v>507</v>
      </c>
      <c r="D781" t="s">
        <v>473</v>
      </c>
      <c r="E781">
        <v>5</v>
      </c>
      <c r="F781">
        <v>9.93</v>
      </c>
      <c r="G781">
        <v>49</v>
      </c>
      <c r="H781" t="s">
        <v>87</v>
      </c>
      <c r="I781" t="s">
        <v>87</v>
      </c>
      <c r="J781" t="s">
        <v>55</v>
      </c>
      <c r="K781">
        <f t="shared" si="144"/>
        <v>90.7</v>
      </c>
      <c r="L781">
        <f t="shared" si="145"/>
        <v>347.93650000000002</v>
      </c>
      <c r="M781" t="str">
        <f t="shared" si="146"/>
        <v>scott-1</v>
      </c>
      <c r="N781" t="str">
        <f>INDEX(Scores!$A$2:$A$11,INDEX(Scores!$AA$2:$AA$131,MATCH(C781,Scores!$AB$2:$AB$131,0)))</f>
        <v>scott</v>
      </c>
      <c r="O781">
        <f t="shared" si="147"/>
        <v>102.78</v>
      </c>
      <c r="P781">
        <f t="shared" si="148"/>
        <v>382.14119999999997</v>
      </c>
      <c r="Q781" s="3">
        <f t="shared" si="149"/>
        <v>0.32740970845919121</v>
      </c>
      <c r="R781" s="3">
        <f t="shared" si="150"/>
        <v>0.25726915460368494</v>
      </c>
      <c r="S781" s="9">
        <f t="shared" si="151"/>
        <v>-7.0140553855506271E-2</v>
      </c>
      <c r="T781">
        <f t="shared" si="152"/>
        <v>71</v>
      </c>
      <c r="U781">
        <f t="shared" si="153"/>
        <v>120</v>
      </c>
      <c r="V781" s="3">
        <f t="shared" si="154"/>
        <v>1.5299376384122897E-10</v>
      </c>
      <c r="W781" s="9">
        <f t="shared" si="155"/>
        <v>-1.5299376384122897E-10</v>
      </c>
      <c r="AC781"/>
    </row>
    <row r="782" spans="1:29" x14ac:dyDescent="0.25">
      <c r="A782" t="s">
        <v>191</v>
      </c>
      <c r="B782">
        <v>11</v>
      </c>
      <c r="C782" t="s">
        <v>957</v>
      </c>
      <c r="D782" t="s">
        <v>471</v>
      </c>
      <c r="E782">
        <v>18</v>
      </c>
      <c r="F782">
        <v>9.99</v>
      </c>
      <c r="G782">
        <v>47.196899999999999</v>
      </c>
      <c r="H782" t="s">
        <v>87</v>
      </c>
      <c r="I782" t="s">
        <v>87</v>
      </c>
      <c r="J782" t="s">
        <v>40</v>
      </c>
      <c r="K782">
        <f t="shared" si="144"/>
        <v>98.88000000000001</v>
      </c>
      <c r="L782">
        <f t="shared" si="145"/>
        <v>375.05889999999999</v>
      </c>
      <c r="M782" t="e">
        <f t="shared" si="146"/>
        <v>#N/A</v>
      </c>
      <c r="N782" t="e">
        <f>INDEX(Scores!$A$2:$A$11,INDEX(Scores!$AA$2:$AA$131,MATCH(C782,Scores!$AB$2:$AB$131,0)))</f>
        <v>#N/A</v>
      </c>
      <c r="O782">
        <f t="shared" si="147"/>
        <v>0</v>
      </c>
      <c r="P782">
        <f t="shared" si="148"/>
        <v>0</v>
      </c>
      <c r="Q782" s="3">
        <f t="shared" si="149"/>
        <v>0.99999983524900793</v>
      </c>
      <c r="R782" s="3">
        <f t="shared" si="150"/>
        <v>0.999999998218005</v>
      </c>
      <c r="S782" s="9">
        <f t="shared" si="151"/>
        <v>1.6296899707501922E-7</v>
      </c>
      <c r="T782">
        <f t="shared" si="152"/>
        <v>50</v>
      </c>
      <c r="U782">
        <f t="shared" si="153"/>
        <v>0</v>
      </c>
      <c r="V782" s="3">
        <f t="shared" si="154"/>
        <v>0.99999999950830032</v>
      </c>
      <c r="W782" s="9">
        <f t="shared" si="155"/>
        <v>4.9169968097118044E-10</v>
      </c>
      <c r="AC782"/>
    </row>
    <row r="783" spans="1:29" x14ac:dyDescent="0.25">
      <c r="A783" t="s">
        <v>211</v>
      </c>
      <c r="B783">
        <v>2</v>
      </c>
      <c r="C783" t="s">
        <v>628</v>
      </c>
      <c r="D783" t="s">
        <v>475</v>
      </c>
      <c r="E783">
        <v>0</v>
      </c>
      <c r="F783">
        <v>5.54</v>
      </c>
      <c r="G783">
        <v>20.702500000000001</v>
      </c>
      <c r="H783" t="s">
        <v>114</v>
      </c>
      <c r="I783" t="s">
        <v>114</v>
      </c>
      <c r="J783" t="s">
        <v>20</v>
      </c>
      <c r="K783">
        <f t="shared" si="144"/>
        <v>103.25</v>
      </c>
      <c r="L783">
        <f t="shared" si="145"/>
        <v>377.00829999999996</v>
      </c>
      <c r="M783" t="str">
        <f t="shared" si="146"/>
        <v>devon-2</v>
      </c>
      <c r="N783" t="str">
        <f>INDEX(Scores!$A$2:$A$11,INDEX(Scores!$AA$2:$AA$131,MATCH(C783,Scores!$AB$2:$AB$131,0)))</f>
        <v>devon</v>
      </c>
      <c r="O783">
        <f t="shared" si="147"/>
        <v>100.92999999999999</v>
      </c>
      <c r="P783">
        <f t="shared" si="148"/>
        <v>374.85250000000002</v>
      </c>
      <c r="Q783" s="3">
        <f t="shared" si="149"/>
        <v>0.53371408733680603</v>
      </c>
      <c r="R783" s="3">
        <f t="shared" si="150"/>
        <v>0.45260475630150432</v>
      </c>
      <c r="S783" s="9">
        <f t="shared" si="151"/>
        <v>-8.1109331035301713E-2</v>
      </c>
      <c r="T783">
        <f t="shared" si="152"/>
        <v>106</v>
      </c>
      <c r="U783">
        <f t="shared" si="153"/>
        <v>140</v>
      </c>
      <c r="V783" s="3">
        <f t="shared" si="154"/>
        <v>1.9882794328676789E-10</v>
      </c>
      <c r="W783" s="9">
        <f t="shared" si="155"/>
        <v>-1.9882794328676789E-10</v>
      </c>
      <c r="AC783"/>
    </row>
    <row r="784" spans="1:29" x14ac:dyDescent="0.25">
      <c r="A784" t="s">
        <v>203</v>
      </c>
      <c r="B784">
        <v>13</v>
      </c>
      <c r="C784" t="s">
        <v>967</v>
      </c>
      <c r="D784" t="s">
        <v>472</v>
      </c>
      <c r="E784">
        <v>10</v>
      </c>
      <c r="F784">
        <v>9.65</v>
      </c>
      <c r="G784">
        <v>30.691600000000001</v>
      </c>
      <c r="H784" t="s">
        <v>87</v>
      </c>
      <c r="I784" t="s">
        <v>87</v>
      </c>
      <c r="J784" t="s">
        <v>23</v>
      </c>
      <c r="K784">
        <f t="shared" si="144"/>
        <v>108.77</v>
      </c>
      <c r="L784">
        <f t="shared" si="145"/>
        <v>411.30060000000003</v>
      </c>
      <c r="M784" t="str">
        <f t="shared" si="146"/>
        <v>devon-13</v>
      </c>
      <c r="N784" t="str">
        <f>INDEX(Scores!$A$2:$A$11,INDEX(Scores!$AA$2:$AA$131,MATCH(C784,Scores!$AB$2:$AB$131,0)))</f>
        <v>devon</v>
      </c>
      <c r="O784">
        <f t="shared" si="147"/>
        <v>97.46</v>
      </c>
      <c r="P784">
        <f t="shared" si="148"/>
        <v>368.81949999999995</v>
      </c>
      <c r="Q784" s="3">
        <f t="shared" si="149"/>
        <v>0.6572361742103181</v>
      </c>
      <c r="R784" s="3">
        <f t="shared" si="150"/>
        <v>0.66491886418614921</v>
      </c>
      <c r="S784" s="9">
        <f t="shared" si="151"/>
        <v>7.6826899758311029E-3</v>
      </c>
      <c r="T784">
        <f t="shared" si="152"/>
        <v>99</v>
      </c>
      <c r="U784">
        <f t="shared" si="153"/>
        <v>133</v>
      </c>
      <c r="V784" s="3">
        <f t="shared" si="154"/>
        <v>2.8166895248331846E-10</v>
      </c>
      <c r="W784" s="9">
        <f t="shared" si="155"/>
        <v>-2.8166895248331846E-10</v>
      </c>
      <c r="AC784"/>
    </row>
    <row r="785" spans="1:29" x14ac:dyDescent="0.25">
      <c r="A785" t="s">
        <v>150</v>
      </c>
      <c r="B785">
        <v>6</v>
      </c>
      <c r="C785" t="s">
        <v>904</v>
      </c>
      <c r="D785" t="s">
        <v>472</v>
      </c>
      <c r="E785">
        <v>9</v>
      </c>
      <c r="F785">
        <v>8.25</v>
      </c>
      <c r="G785">
        <v>32.376100000000001</v>
      </c>
      <c r="H785" t="s">
        <v>87</v>
      </c>
      <c r="I785" t="s">
        <v>87</v>
      </c>
      <c r="J785" t="s">
        <v>20</v>
      </c>
      <c r="K785">
        <f t="shared" si="144"/>
        <v>110.30999999999999</v>
      </c>
      <c r="L785">
        <f t="shared" si="145"/>
        <v>388.52729999999997</v>
      </c>
      <c r="M785" t="str">
        <f t="shared" si="146"/>
        <v>seth-6</v>
      </c>
      <c r="N785" t="str">
        <f>INDEX(Scores!$A$2:$A$11,INDEX(Scores!$AA$2:$AA$131,MATCH(C785,Scores!$AB$2:$AB$131,0)))</f>
        <v>seth</v>
      </c>
      <c r="O785">
        <f t="shared" si="147"/>
        <v>90.009999999999991</v>
      </c>
      <c r="P785">
        <f t="shared" si="148"/>
        <v>295.93350000000004</v>
      </c>
      <c r="Q785" s="3">
        <f t="shared" si="149"/>
        <v>0.78110442116748435</v>
      </c>
      <c r="R785" s="3">
        <f t="shared" si="150"/>
        <v>0.79512341673234554</v>
      </c>
      <c r="S785" s="9">
        <f t="shared" si="151"/>
        <v>1.4018995564861192E-2</v>
      </c>
      <c r="T785">
        <f t="shared" si="152"/>
        <v>96</v>
      </c>
      <c r="U785">
        <f t="shared" si="153"/>
        <v>130</v>
      </c>
      <c r="V785" s="3">
        <f t="shared" si="154"/>
        <v>5.0695290336119671E-10</v>
      </c>
      <c r="W785" s="9">
        <f t="shared" si="155"/>
        <v>-5.0695290336119671E-10</v>
      </c>
      <c r="AC785"/>
    </row>
    <row r="786" spans="1:29" x14ac:dyDescent="0.25">
      <c r="A786" t="s">
        <v>256</v>
      </c>
      <c r="B786">
        <v>11</v>
      </c>
      <c r="C786" t="s">
        <v>957</v>
      </c>
      <c r="D786" t="s">
        <v>472</v>
      </c>
      <c r="E786">
        <v>4</v>
      </c>
      <c r="F786">
        <v>6.82</v>
      </c>
      <c r="G786">
        <v>28.09</v>
      </c>
      <c r="H786" t="s">
        <v>87</v>
      </c>
      <c r="I786" t="s">
        <v>87</v>
      </c>
      <c r="J786" t="s">
        <v>40</v>
      </c>
      <c r="K786">
        <f t="shared" si="144"/>
        <v>98.88000000000001</v>
      </c>
      <c r="L786">
        <f t="shared" si="145"/>
        <v>375.05889999999999</v>
      </c>
      <c r="M786" t="e">
        <f t="shared" si="146"/>
        <v>#N/A</v>
      </c>
      <c r="N786" t="e">
        <f>INDEX(Scores!$A$2:$A$11,INDEX(Scores!$AA$2:$AA$131,MATCH(C786,Scores!$AB$2:$AB$131,0)))</f>
        <v>#N/A</v>
      </c>
      <c r="O786">
        <f t="shared" si="147"/>
        <v>0</v>
      </c>
      <c r="P786">
        <f t="shared" si="148"/>
        <v>0</v>
      </c>
      <c r="Q786" s="3">
        <f t="shared" si="149"/>
        <v>0.99999983524900793</v>
      </c>
      <c r="R786" s="3">
        <f t="shared" si="150"/>
        <v>0.9999998745325005</v>
      </c>
      <c r="S786" s="9">
        <f t="shared" si="151"/>
        <v>3.9283492569985867E-8</v>
      </c>
      <c r="T786">
        <f t="shared" si="152"/>
        <v>50</v>
      </c>
      <c r="U786">
        <f t="shared" si="153"/>
        <v>0</v>
      </c>
      <c r="V786" s="3">
        <f t="shared" si="154"/>
        <v>1</v>
      </c>
      <c r="W786" s="9">
        <f t="shared" si="155"/>
        <v>0</v>
      </c>
      <c r="AC786"/>
    </row>
    <row r="787" spans="1:29" x14ac:dyDescent="0.25">
      <c r="A787" t="s">
        <v>202</v>
      </c>
      <c r="B787">
        <v>8</v>
      </c>
      <c r="C787" t="s">
        <v>954</v>
      </c>
      <c r="D787" t="s">
        <v>469</v>
      </c>
      <c r="E787">
        <v>6</v>
      </c>
      <c r="F787">
        <v>8.66</v>
      </c>
      <c r="G787">
        <v>34.105600000000003</v>
      </c>
      <c r="H787" t="s">
        <v>47</v>
      </c>
      <c r="I787" t="s">
        <v>47</v>
      </c>
      <c r="J787" t="s">
        <v>40</v>
      </c>
      <c r="K787">
        <f t="shared" si="144"/>
        <v>93.289999999999992</v>
      </c>
      <c r="L787">
        <f t="shared" si="145"/>
        <v>315.97840000000008</v>
      </c>
      <c r="M787" t="e">
        <f t="shared" si="146"/>
        <v>#N/A</v>
      </c>
      <c r="N787" t="e">
        <f>INDEX(Scores!$A$2:$A$11,INDEX(Scores!$AA$2:$AA$131,MATCH(C787,Scores!$AB$2:$AB$131,0)))</f>
        <v>#N/A</v>
      </c>
      <c r="O787">
        <f t="shared" si="147"/>
        <v>0</v>
      </c>
      <c r="P787">
        <f t="shared" si="148"/>
        <v>0</v>
      </c>
      <c r="Q787" s="3">
        <f t="shared" si="149"/>
        <v>0.99999992318369246</v>
      </c>
      <c r="R787" s="3">
        <f t="shared" si="150"/>
        <v>0.99999996633525989</v>
      </c>
      <c r="S787" s="9">
        <f t="shared" si="151"/>
        <v>4.3151567430399496E-8</v>
      </c>
      <c r="T787">
        <f t="shared" si="152"/>
        <v>75</v>
      </c>
      <c r="U787">
        <f t="shared" si="153"/>
        <v>0</v>
      </c>
      <c r="V787" s="3">
        <f t="shared" si="154"/>
        <v>1</v>
      </c>
      <c r="W787" s="9">
        <f t="shared" si="155"/>
        <v>0</v>
      </c>
      <c r="AC787"/>
    </row>
    <row r="788" spans="1:29" x14ac:dyDescent="0.25">
      <c r="A788" t="s">
        <v>162</v>
      </c>
      <c r="B788">
        <v>2</v>
      </c>
      <c r="C788" t="s">
        <v>623</v>
      </c>
      <c r="D788" t="s">
        <v>475</v>
      </c>
      <c r="E788">
        <v>0</v>
      </c>
      <c r="F788">
        <v>6.8</v>
      </c>
      <c r="G788">
        <v>17.3889</v>
      </c>
      <c r="H788" t="s">
        <v>114</v>
      </c>
      <c r="I788" t="s">
        <v>114</v>
      </c>
      <c r="J788" t="s">
        <v>27</v>
      </c>
      <c r="K788">
        <f t="shared" si="144"/>
        <v>103.61999999999999</v>
      </c>
      <c r="L788">
        <f t="shared" si="145"/>
        <v>357.30130000000003</v>
      </c>
      <c r="M788" t="str">
        <f t="shared" si="146"/>
        <v>cory-2</v>
      </c>
      <c r="N788" t="str">
        <f>INDEX(Scores!$A$2:$A$11,INDEX(Scores!$AA$2:$AA$131,MATCH(C788,Scores!$AB$2:$AB$131,0)))</f>
        <v>cory</v>
      </c>
      <c r="O788">
        <f t="shared" si="147"/>
        <v>102.7</v>
      </c>
      <c r="P788">
        <f t="shared" si="148"/>
        <v>377.5104</v>
      </c>
      <c r="Q788" s="3">
        <f t="shared" si="149"/>
        <v>0.51353712670419016</v>
      </c>
      <c r="R788" s="3">
        <f t="shared" si="150"/>
        <v>0.41311942129640511</v>
      </c>
      <c r="S788" s="9">
        <f t="shared" si="151"/>
        <v>-0.10041770540778505</v>
      </c>
      <c r="T788">
        <f t="shared" si="152"/>
        <v>65</v>
      </c>
      <c r="U788">
        <f t="shared" si="153"/>
        <v>97</v>
      </c>
      <c r="V788" s="3">
        <f t="shared" si="154"/>
        <v>7.5559763861621482E-10</v>
      </c>
      <c r="W788" s="9">
        <f t="shared" si="155"/>
        <v>-7.5559763861621482E-10</v>
      </c>
      <c r="AC788"/>
    </row>
    <row r="789" spans="1:29" x14ac:dyDescent="0.25">
      <c r="A789" t="s">
        <v>154</v>
      </c>
      <c r="B789">
        <v>6</v>
      </c>
      <c r="C789" t="s">
        <v>904</v>
      </c>
      <c r="D789" t="s">
        <v>471</v>
      </c>
      <c r="E789">
        <v>4</v>
      </c>
      <c r="F789">
        <v>9.32</v>
      </c>
      <c r="G789">
        <v>22.848400000000002</v>
      </c>
      <c r="H789" t="s">
        <v>87</v>
      </c>
      <c r="I789" t="s">
        <v>87</v>
      </c>
      <c r="J789" t="s">
        <v>20</v>
      </c>
      <c r="K789">
        <f t="shared" si="144"/>
        <v>110.30999999999999</v>
      </c>
      <c r="L789">
        <f t="shared" si="145"/>
        <v>388.52729999999997</v>
      </c>
      <c r="M789" t="str">
        <f t="shared" si="146"/>
        <v>seth-6</v>
      </c>
      <c r="N789" t="str">
        <f>INDEX(Scores!$A$2:$A$11,INDEX(Scores!$AA$2:$AA$131,MATCH(C789,Scores!$AB$2:$AB$131,0)))</f>
        <v>seth</v>
      </c>
      <c r="O789">
        <f t="shared" si="147"/>
        <v>90.009999999999991</v>
      </c>
      <c r="P789">
        <f t="shared" si="148"/>
        <v>295.93350000000004</v>
      </c>
      <c r="Q789" s="3">
        <f t="shared" si="149"/>
        <v>0.78110442116748435</v>
      </c>
      <c r="R789" s="3">
        <f t="shared" si="150"/>
        <v>0.7198462248272024</v>
      </c>
      <c r="S789" s="9">
        <f t="shared" si="151"/>
        <v>-6.1258196340281956E-2</v>
      </c>
      <c r="T789">
        <f t="shared" si="152"/>
        <v>96</v>
      </c>
      <c r="U789">
        <f t="shared" si="153"/>
        <v>130</v>
      </c>
      <c r="V789" s="3">
        <f t="shared" si="154"/>
        <v>9.8658764503769437E-10</v>
      </c>
      <c r="W789" s="9">
        <f t="shared" si="155"/>
        <v>-9.8658764503769437E-10</v>
      </c>
      <c r="AC789"/>
    </row>
    <row r="790" spans="1:29" x14ac:dyDescent="0.25">
      <c r="A790" t="s">
        <v>458</v>
      </c>
      <c r="B790">
        <v>11</v>
      </c>
      <c r="C790" t="s">
        <v>957</v>
      </c>
      <c r="D790" t="s">
        <v>478</v>
      </c>
      <c r="E790">
        <v>0</v>
      </c>
      <c r="F790">
        <v>7.03</v>
      </c>
      <c r="G790">
        <v>21.996099999999998</v>
      </c>
      <c r="H790" t="s">
        <v>478</v>
      </c>
      <c r="I790" t="s">
        <v>478</v>
      </c>
      <c r="J790" t="s">
        <v>40</v>
      </c>
      <c r="K790">
        <f t="shared" si="144"/>
        <v>98.88000000000001</v>
      </c>
      <c r="L790">
        <f t="shared" si="145"/>
        <v>375.05889999999999</v>
      </c>
      <c r="M790" t="e">
        <f t="shared" si="146"/>
        <v>#N/A</v>
      </c>
      <c r="N790" t="e">
        <f>INDEX(Scores!$A$2:$A$11,INDEX(Scores!$AA$2:$AA$131,MATCH(C790,Scores!$AB$2:$AB$131,0)))</f>
        <v>#N/A</v>
      </c>
      <c r="O790">
        <f t="shared" si="147"/>
        <v>0</v>
      </c>
      <c r="P790">
        <f t="shared" si="148"/>
        <v>0</v>
      </c>
      <c r="Q790" s="3">
        <f t="shared" si="149"/>
        <v>0.99999983524900793</v>
      </c>
      <c r="R790" s="3">
        <f t="shared" si="150"/>
        <v>0.99999949131191923</v>
      </c>
      <c r="S790" s="9">
        <f t="shared" si="151"/>
        <v>-3.439370886981763E-7</v>
      </c>
      <c r="T790">
        <f t="shared" si="152"/>
        <v>50</v>
      </c>
      <c r="U790">
        <f t="shared" si="153"/>
        <v>0</v>
      </c>
      <c r="V790" s="3">
        <f t="shared" si="154"/>
        <v>1</v>
      </c>
      <c r="W790" s="9">
        <f t="shared" si="155"/>
        <v>0</v>
      </c>
      <c r="AC790"/>
    </row>
    <row r="791" spans="1:29" x14ac:dyDescent="0.25">
      <c r="A791" t="s">
        <v>117</v>
      </c>
      <c r="B791">
        <v>2</v>
      </c>
      <c r="C791" t="s">
        <v>620</v>
      </c>
      <c r="D791" t="s">
        <v>469</v>
      </c>
      <c r="E791">
        <v>3</v>
      </c>
      <c r="F791">
        <v>8.5</v>
      </c>
      <c r="G791">
        <v>37.576900000000002</v>
      </c>
      <c r="H791" t="s">
        <v>47</v>
      </c>
      <c r="I791" t="s">
        <v>47</v>
      </c>
      <c r="J791" t="s">
        <v>40</v>
      </c>
      <c r="K791">
        <f t="shared" si="144"/>
        <v>103.97000000000001</v>
      </c>
      <c r="L791">
        <f t="shared" si="145"/>
        <v>402.37729999999999</v>
      </c>
      <c r="M791" t="e">
        <f t="shared" si="146"/>
        <v>#N/A</v>
      </c>
      <c r="N791" t="e">
        <f>INDEX(Scores!$A$2:$A$11,INDEX(Scores!$AA$2:$AA$131,MATCH(C791,Scores!$AB$2:$AB$131,0)))</f>
        <v>#N/A</v>
      </c>
      <c r="O791">
        <f t="shared" si="147"/>
        <v>0</v>
      </c>
      <c r="P791">
        <f t="shared" si="148"/>
        <v>0</v>
      </c>
      <c r="Q791" s="3">
        <f t="shared" si="149"/>
        <v>0.9999998908980352</v>
      </c>
      <c r="R791" s="3">
        <f t="shared" si="150"/>
        <v>0.99999987356649434</v>
      </c>
      <c r="S791" s="9">
        <f t="shared" si="151"/>
        <v>-1.7331540869136575E-8</v>
      </c>
      <c r="T791">
        <f t="shared" si="152"/>
        <v>60</v>
      </c>
      <c r="U791">
        <f t="shared" si="153"/>
        <v>0</v>
      </c>
      <c r="V791" s="3">
        <f t="shared" si="154"/>
        <v>1</v>
      </c>
      <c r="W791" s="9">
        <f t="shared" si="155"/>
        <v>0</v>
      </c>
      <c r="AC791"/>
    </row>
    <row r="792" spans="1:29" x14ac:dyDescent="0.25">
      <c r="A792" t="s">
        <v>116</v>
      </c>
      <c r="B792">
        <v>11</v>
      </c>
      <c r="C792" t="s">
        <v>933</v>
      </c>
      <c r="D792" t="s">
        <v>471</v>
      </c>
      <c r="E792">
        <v>7</v>
      </c>
      <c r="F792">
        <v>10.1</v>
      </c>
      <c r="G792">
        <v>52.4176</v>
      </c>
      <c r="H792" t="s">
        <v>87</v>
      </c>
      <c r="I792" t="s">
        <v>87</v>
      </c>
      <c r="J792" t="s">
        <v>35</v>
      </c>
      <c r="K792">
        <f t="shared" si="144"/>
        <v>100.25</v>
      </c>
      <c r="L792">
        <f t="shared" si="145"/>
        <v>448.76889999999997</v>
      </c>
      <c r="M792" t="str">
        <f t="shared" si="146"/>
        <v>scott-11</v>
      </c>
      <c r="N792" t="str">
        <f>INDEX(Scores!$A$2:$A$11,INDEX(Scores!$AA$2:$AA$131,MATCH(C792,Scores!$AB$2:$AB$131,0)))</f>
        <v>scott</v>
      </c>
      <c r="O792">
        <f t="shared" si="147"/>
        <v>105.39999999999999</v>
      </c>
      <c r="P792">
        <f t="shared" si="148"/>
        <v>342.09739999999999</v>
      </c>
      <c r="Q792" s="3">
        <f t="shared" si="149"/>
        <v>0.42734863744074048</v>
      </c>
      <c r="R792" s="3">
        <f t="shared" si="150"/>
        <v>0.38071845206302563</v>
      </c>
      <c r="S792" s="9">
        <f t="shared" si="151"/>
        <v>-4.663018537771485E-2</v>
      </c>
      <c r="T792">
        <f t="shared" si="152"/>
        <v>78</v>
      </c>
      <c r="U792">
        <f t="shared" si="153"/>
        <v>124</v>
      </c>
      <c r="V792" s="3">
        <f t="shared" si="154"/>
        <v>1.5575544373596051E-9</v>
      </c>
      <c r="W792" s="9">
        <f t="shared" si="155"/>
        <v>-1.5575544373596051E-9</v>
      </c>
      <c r="AC792"/>
    </row>
    <row r="793" spans="1:29" x14ac:dyDescent="0.25">
      <c r="A793" t="s">
        <v>120</v>
      </c>
      <c r="B793">
        <v>2</v>
      </c>
      <c r="C793" t="s">
        <v>623</v>
      </c>
      <c r="D793" t="s">
        <v>473</v>
      </c>
      <c r="E793">
        <v>7</v>
      </c>
      <c r="F793">
        <v>8.91</v>
      </c>
      <c r="G793">
        <v>25.8064</v>
      </c>
      <c r="H793" t="s">
        <v>87</v>
      </c>
      <c r="I793" t="s">
        <v>87</v>
      </c>
      <c r="J793" t="s">
        <v>27</v>
      </c>
      <c r="K793">
        <f t="shared" si="144"/>
        <v>103.61999999999999</v>
      </c>
      <c r="L793">
        <f t="shared" si="145"/>
        <v>357.30130000000003</v>
      </c>
      <c r="M793" t="str">
        <f t="shared" si="146"/>
        <v>cory-2</v>
      </c>
      <c r="N793" t="str">
        <f>INDEX(Scores!$A$2:$A$11,INDEX(Scores!$AA$2:$AA$131,MATCH(C793,Scores!$AB$2:$AB$131,0)))</f>
        <v>cory</v>
      </c>
      <c r="O793">
        <f t="shared" si="147"/>
        <v>102.7</v>
      </c>
      <c r="P793">
        <f t="shared" si="148"/>
        <v>377.5104</v>
      </c>
      <c r="Q793" s="3">
        <f t="shared" si="149"/>
        <v>0.51353712670419016</v>
      </c>
      <c r="R793" s="3">
        <f t="shared" si="150"/>
        <v>0.48517070617451802</v>
      </c>
      <c r="S793" s="9">
        <f t="shared" si="151"/>
        <v>-2.8366420529672143E-2</v>
      </c>
      <c r="T793">
        <f t="shared" si="152"/>
        <v>65</v>
      </c>
      <c r="U793">
        <f t="shared" si="153"/>
        <v>97</v>
      </c>
      <c r="V793" s="3">
        <f t="shared" si="154"/>
        <v>1.5784100695174781E-9</v>
      </c>
      <c r="W793" s="9">
        <f t="shared" si="155"/>
        <v>-1.5784100695174781E-9</v>
      </c>
      <c r="AC793"/>
    </row>
    <row r="794" spans="1:29" x14ac:dyDescent="0.25">
      <c r="A794" t="s">
        <v>202</v>
      </c>
      <c r="B794">
        <v>11</v>
      </c>
      <c r="C794" t="s">
        <v>957</v>
      </c>
      <c r="D794" t="s">
        <v>468</v>
      </c>
      <c r="E794">
        <v>8</v>
      </c>
      <c r="F794">
        <v>7.4</v>
      </c>
      <c r="G794">
        <v>36.240400000000001</v>
      </c>
      <c r="H794" t="s">
        <v>47</v>
      </c>
      <c r="I794" t="s">
        <v>47</v>
      </c>
      <c r="J794" t="s">
        <v>40</v>
      </c>
      <c r="K794">
        <f t="shared" si="144"/>
        <v>98.88000000000001</v>
      </c>
      <c r="L794">
        <f t="shared" si="145"/>
        <v>375.05889999999999</v>
      </c>
      <c r="M794" t="e">
        <f t="shared" si="146"/>
        <v>#N/A</v>
      </c>
      <c r="N794" t="e">
        <f>INDEX(Scores!$A$2:$A$11,INDEX(Scores!$AA$2:$AA$131,MATCH(C794,Scores!$AB$2:$AB$131,0)))</f>
        <v>#N/A</v>
      </c>
      <c r="O794">
        <f t="shared" si="147"/>
        <v>0</v>
      </c>
      <c r="P794">
        <f t="shared" si="148"/>
        <v>0</v>
      </c>
      <c r="Q794" s="3">
        <f t="shared" si="149"/>
        <v>0.99999983524900793</v>
      </c>
      <c r="R794" s="3">
        <f t="shared" si="150"/>
        <v>0.99999996749783793</v>
      </c>
      <c r="S794" s="9">
        <f t="shared" si="151"/>
        <v>1.3224882999818277E-7</v>
      </c>
      <c r="T794">
        <f t="shared" si="152"/>
        <v>50</v>
      </c>
      <c r="U794">
        <f t="shared" si="153"/>
        <v>0</v>
      </c>
      <c r="V794" s="3">
        <f t="shared" si="154"/>
        <v>0.99999999999999989</v>
      </c>
      <c r="W794" s="9">
        <f t="shared" si="155"/>
        <v>1.1102230246251565E-16</v>
      </c>
      <c r="AC794"/>
    </row>
    <row r="795" spans="1:29" x14ac:dyDescent="0.25">
      <c r="A795" t="s">
        <v>120</v>
      </c>
      <c r="B795">
        <v>4</v>
      </c>
      <c r="C795" t="s">
        <v>860</v>
      </c>
      <c r="D795" t="s">
        <v>473</v>
      </c>
      <c r="E795">
        <v>16</v>
      </c>
      <c r="F795">
        <v>11.17</v>
      </c>
      <c r="G795">
        <v>43.428100000000001</v>
      </c>
      <c r="H795" t="s">
        <v>87</v>
      </c>
      <c r="I795" t="s">
        <v>87</v>
      </c>
      <c r="J795" t="s">
        <v>27</v>
      </c>
      <c r="K795">
        <f t="shared" si="144"/>
        <v>103.70000000000002</v>
      </c>
      <c r="L795">
        <f t="shared" si="145"/>
        <v>412.10110000000003</v>
      </c>
      <c r="M795" t="str">
        <f t="shared" si="146"/>
        <v>aj-4</v>
      </c>
      <c r="N795" t="str">
        <f>INDEX(Scores!$A$2:$A$11,INDEX(Scores!$AA$2:$AA$131,MATCH(C795,Scores!$AB$2:$AB$131,0)))</f>
        <v>aj</v>
      </c>
      <c r="O795">
        <f t="shared" si="147"/>
        <v>118.09999999999998</v>
      </c>
      <c r="P795">
        <f t="shared" si="148"/>
        <v>465.47660000000008</v>
      </c>
      <c r="Q795" s="3">
        <f t="shared" si="149"/>
        <v>0.31345048172071355</v>
      </c>
      <c r="R795" s="3">
        <f t="shared" si="150"/>
        <v>0.37018920244104503</v>
      </c>
      <c r="S795" s="9">
        <f t="shared" si="151"/>
        <v>5.6738720720331481E-2</v>
      </c>
      <c r="T795">
        <f t="shared" si="152"/>
        <v>46</v>
      </c>
      <c r="U795">
        <f t="shared" si="153"/>
        <v>80</v>
      </c>
      <c r="V795" s="3">
        <f t="shared" si="154"/>
        <v>1.9047342078837029E-9</v>
      </c>
      <c r="W795" s="9">
        <f t="shared" si="155"/>
        <v>-1.9047342078837029E-9</v>
      </c>
      <c r="AC795"/>
    </row>
    <row r="796" spans="1:29" x14ac:dyDescent="0.25">
      <c r="A796" t="s">
        <v>122</v>
      </c>
      <c r="B796">
        <v>2</v>
      </c>
      <c r="C796" t="s">
        <v>628</v>
      </c>
      <c r="D796" t="s">
        <v>473</v>
      </c>
      <c r="E796">
        <v>2</v>
      </c>
      <c r="F796">
        <v>8.35</v>
      </c>
      <c r="G796">
        <v>22.278400000000001</v>
      </c>
      <c r="H796" t="s">
        <v>87</v>
      </c>
      <c r="I796" t="s">
        <v>87</v>
      </c>
      <c r="J796" t="s">
        <v>20</v>
      </c>
      <c r="K796">
        <f t="shared" si="144"/>
        <v>103.25</v>
      </c>
      <c r="L796">
        <f t="shared" si="145"/>
        <v>377.00829999999996</v>
      </c>
      <c r="M796" t="str">
        <f t="shared" si="146"/>
        <v>devon-2</v>
      </c>
      <c r="N796" t="str">
        <f>INDEX(Scores!$A$2:$A$11,INDEX(Scores!$AA$2:$AA$131,MATCH(C796,Scores!$AB$2:$AB$131,0)))</f>
        <v>devon</v>
      </c>
      <c r="O796">
        <f t="shared" si="147"/>
        <v>100.92999999999999</v>
      </c>
      <c r="P796">
        <f t="shared" si="148"/>
        <v>374.85250000000002</v>
      </c>
      <c r="Q796" s="3">
        <f t="shared" si="149"/>
        <v>0.53371408733680603</v>
      </c>
      <c r="R796" s="3">
        <f t="shared" si="150"/>
        <v>0.44069803894605541</v>
      </c>
      <c r="S796" s="9">
        <f t="shared" si="151"/>
        <v>-9.3016048390750616E-2</v>
      </c>
      <c r="T796">
        <f t="shared" si="152"/>
        <v>106</v>
      </c>
      <c r="U796">
        <f t="shared" si="153"/>
        <v>140</v>
      </c>
      <c r="V796" s="3">
        <f t="shared" si="154"/>
        <v>2.3416563654175903E-9</v>
      </c>
      <c r="W796" s="9">
        <f t="shared" si="155"/>
        <v>-2.3416563654175903E-9</v>
      </c>
      <c r="AC796"/>
    </row>
    <row r="797" spans="1:29" x14ac:dyDescent="0.25">
      <c r="A797" t="s">
        <v>417</v>
      </c>
      <c r="B797">
        <v>11</v>
      </c>
      <c r="C797" t="s">
        <v>957</v>
      </c>
      <c r="D797" t="s">
        <v>477</v>
      </c>
      <c r="E797">
        <v>10</v>
      </c>
      <c r="F797">
        <v>9.48</v>
      </c>
      <c r="G797">
        <v>37.088099999999997</v>
      </c>
      <c r="H797" t="s">
        <v>477</v>
      </c>
      <c r="I797" t="s">
        <v>477</v>
      </c>
      <c r="J797" t="s">
        <v>40</v>
      </c>
      <c r="K797">
        <f t="shared" si="144"/>
        <v>98.88000000000001</v>
      </c>
      <c r="L797">
        <f t="shared" si="145"/>
        <v>375.05889999999999</v>
      </c>
      <c r="M797" t="e">
        <f t="shared" si="146"/>
        <v>#N/A</v>
      </c>
      <c r="N797" t="e">
        <f>INDEX(Scores!$A$2:$A$11,INDEX(Scores!$AA$2:$AA$131,MATCH(C797,Scores!$AB$2:$AB$131,0)))</f>
        <v>#N/A</v>
      </c>
      <c r="O797">
        <f t="shared" si="147"/>
        <v>0</v>
      </c>
      <c r="P797">
        <f t="shared" si="148"/>
        <v>0</v>
      </c>
      <c r="Q797" s="3">
        <f t="shared" si="149"/>
        <v>0.99999983524900793</v>
      </c>
      <c r="R797" s="3">
        <f t="shared" si="150"/>
        <v>0.99999996793410195</v>
      </c>
      <c r="S797" s="9">
        <f t="shared" si="151"/>
        <v>1.3268509402308837E-7</v>
      </c>
      <c r="T797">
        <f t="shared" si="152"/>
        <v>50</v>
      </c>
      <c r="U797">
        <f t="shared" si="153"/>
        <v>0</v>
      </c>
      <c r="V797" s="3">
        <f t="shared" si="154"/>
        <v>0.99999999999999978</v>
      </c>
      <c r="W797" s="9">
        <f t="shared" si="155"/>
        <v>2.2204460492503131E-16</v>
      </c>
      <c r="AC797"/>
    </row>
    <row r="798" spans="1:29" x14ac:dyDescent="0.25">
      <c r="A798" t="s">
        <v>132</v>
      </c>
      <c r="B798">
        <v>3</v>
      </c>
      <c r="C798" t="s">
        <v>811</v>
      </c>
      <c r="D798" t="s">
        <v>466</v>
      </c>
      <c r="E798">
        <v>1</v>
      </c>
      <c r="F798">
        <v>11.03</v>
      </c>
      <c r="G798">
        <v>73.616399999999999</v>
      </c>
      <c r="H798" t="s">
        <v>466</v>
      </c>
      <c r="I798" t="s">
        <v>47</v>
      </c>
      <c r="J798" t="s">
        <v>35</v>
      </c>
      <c r="K798">
        <f t="shared" si="144"/>
        <v>110.36</v>
      </c>
      <c r="L798">
        <f t="shared" si="145"/>
        <v>421.178</v>
      </c>
      <c r="M798" t="str">
        <f t="shared" si="146"/>
        <v>chad-3</v>
      </c>
      <c r="N798" t="str">
        <f>INDEX(Scores!$A$2:$A$11,INDEX(Scores!$AA$2:$AA$131,MATCH(C798,Scores!$AB$2:$AB$131,0)))</f>
        <v>chad</v>
      </c>
      <c r="O798">
        <f t="shared" si="147"/>
        <v>99.23</v>
      </c>
      <c r="P798">
        <f t="shared" si="148"/>
        <v>414.92009999999999</v>
      </c>
      <c r="Q798" s="3">
        <f t="shared" si="149"/>
        <v>0.64985036548815633</v>
      </c>
      <c r="R798" s="3">
        <f t="shared" si="150"/>
        <v>0.51588814465994792</v>
      </c>
      <c r="S798" s="9">
        <f t="shared" si="151"/>
        <v>-0.13396222082820841</v>
      </c>
      <c r="T798">
        <f t="shared" si="152"/>
        <v>63</v>
      </c>
      <c r="U798">
        <f t="shared" si="153"/>
        <v>123</v>
      </c>
      <c r="V798" s="3">
        <f t="shared" si="154"/>
        <v>2.8726184364895423E-9</v>
      </c>
      <c r="W798" s="9">
        <f t="shared" si="155"/>
        <v>-2.8726184364895423E-9</v>
      </c>
      <c r="AC798"/>
    </row>
    <row r="799" spans="1:29" x14ac:dyDescent="0.25">
      <c r="A799" t="s">
        <v>451</v>
      </c>
      <c r="B799">
        <v>3</v>
      </c>
      <c r="C799" t="s">
        <v>809</v>
      </c>
      <c r="D799" t="s">
        <v>478</v>
      </c>
      <c r="E799">
        <v>6</v>
      </c>
      <c r="F799">
        <v>8.2799999999999994</v>
      </c>
      <c r="G799">
        <v>22.848400000000002</v>
      </c>
      <c r="H799" t="s">
        <v>478</v>
      </c>
      <c r="I799" t="s">
        <v>478</v>
      </c>
      <c r="J799" t="s">
        <v>23</v>
      </c>
      <c r="K799">
        <f t="shared" si="144"/>
        <v>101.86999999999999</v>
      </c>
      <c r="L799">
        <f t="shared" si="145"/>
        <v>350.57169999999996</v>
      </c>
      <c r="M799" t="str">
        <f t="shared" si="146"/>
        <v>scott-3</v>
      </c>
      <c r="N799" t="str">
        <f>INDEX(Scores!$A$2:$A$11,INDEX(Scores!$AA$2:$AA$131,MATCH(C799,Scores!$AB$2:$AB$131,0)))</f>
        <v>scott</v>
      </c>
      <c r="O799">
        <f t="shared" si="147"/>
        <v>110.35</v>
      </c>
      <c r="P799">
        <f t="shared" si="148"/>
        <v>442.53309999999999</v>
      </c>
      <c r="Q799" s="3">
        <f t="shared" si="149"/>
        <v>0.38166388462507189</v>
      </c>
      <c r="R799" s="3">
        <f t="shared" si="150"/>
        <v>0.34911942017046738</v>
      </c>
      <c r="S799" s="9">
        <f t="shared" si="151"/>
        <v>-3.2544464454604516E-2</v>
      </c>
      <c r="T799">
        <f t="shared" si="152"/>
        <v>102</v>
      </c>
      <c r="U799">
        <f t="shared" si="153"/>
        <v>132</v>
      </c>
      <c r="V799" s="3">
        <f t="shared" si="154"/>
        <v>3.3323328042509125E-9</v>
      </c>
      <c r="W799" s="9">
        <f t="shared" si="155"/>
        <v>-3.3323328042509125E-9</v>
      </c>
      <c r="AC799"/>
    </row>
    <row r="800" spans="1:29" x14ac:dyDescent="0.25">
      <c r="A800" t="s">
        <v>251</v>
      </c>
      <c r="B800">
        <v>8</v>
      </c>
      <c r="C800" t="s">
        <v>954</v>
      </c>
      <c r="D800" t="s">
        <v>473</v>
      </c>
      <c r="E800">
        <v>1</v>
      </c>
      <c r="F800">
        <v>9.2799999999999994</v>
      </c>
      <c r="G800">
        <v>26.522500000000001</v>
      </c>
      <c r="H800" t="s">
        <v>87</v>
      </c>
      <c r="I800" t="s">
        <v>87</v>
      </c>
      <c r="J800" t="s">
        <v>40</v>
      </c>
      <c r="K800">
        <f t="shared" si="144"/>
        <v>93.289999999999992</v>
      </c>
      <c r="L800">
        <f t="shared" si="145"/>
        <v>315.97840000000008</v>
      </c>
      <c r="M800" t="e">
        <f t="shared" si="146"/>
        <v>#N/A</v>
      </c>
      <c r="N800" t="e">
        <f>INDEX(Scores!$A$2:$A$11,INDEX(Scores!$AA$2:$AA$131,MATCH(C800,Scores!$AB$2:$AB$131,0)))</f>
        <v>#N/A</v>
      </c>
      <c r="O800">
        <f t="shared" si="147"/>
        <v>0</v>
      </c>
      <c r="P800">
        <f t="shared" si="148"/>
        <v>0</v>
      </c>
      <c r="Q800" s="3">
        <f t="shared" si="149"/>
        <v>0.99999992318369246</v>
      </c>
      <c r="R800" s="3">
        <f t="shared" si="150"/>
        <v>0.9999997083239559</v>
      </c>
      <c r="S800" s="9">
        <f t="shared" si="151"/>
        <v>-2.1485973655810398E-7</v>
      </c>
      <c r="T800">
        <f t="shared" si="152"/>
        <v>75</v>
      </c>
      <c r="U800">
        <f t="shared" si="153"/>
        <v>0</v>
      </c>
      <c r="V800" s="3">
        <f t="shared" si="154"/>
        <v>1</v>
      </c>
      <c r="W800" s="9">
        <f t="shared" si="155"/>
        <v>0</v>
      </c>
      <c r="AC800"/>
    </row>
    <row r="801" spans="1:29" x14ac:dyDescent="0.25">
      <c r="A801" t="s">
        <v>447</v>
      </c>
      <c r="B801">
        <v>3</v>
      </c>
      <c r="C801" t="s">
        <v>804</v>
      </c>
      <c r="D801" t="s">
        <v>478</v>
      </c>
      <c r="E801">
        <v>1</v>
      </c>
      <c r="F801">
        <v>7.6</v>
      </c>
      <c r="G801">
        <v>24.403600000000001</v>
      </c>
      <c r="H801" t="s">
        <v>478</v>
      </c>
      <c r="I801" t="s">
        <v>478</v>
      </c>
      <c r="J801" t="s">
        <v>40</v>
      </c>
      <c r="K801">
        <f t="shared" si="144"/>
        <v>99.87</v>
      </c>
      <c r="L801">
        <f t="shared" si="145"/>
        <v>418.53290000000004</v>
      </c>
      <c r="M801" t="e">
        <f t="shared" si="146"/>
        <v>#N/A</v>
      </c>
      <c r="N801" t="e">
        <f>INDEX(Scores!$A$2:$A$11,INDEX(Scores!$AA$2:$AA$131,MATCH(C801,Scores!$AB$2:$AB$131,0)))</f>
        <v>#N/A</v>
      </c>
      <c r="O801">
        <f t="shared" si="147"/>
        <v>0</v>
      </c>
      <c r="P801">
        <f t="shared" si="148"/>
        <v>0</v>
      </c>
      <c r="Q801" s="3">
        <f t="shared" si="149"/>
        <v>0.99999947409897594</v>
      </c>
      <c r="R801" s="3">
        <f t="shared" si="150"/>
        <v>0.99999868706065809</v>
      </c>
      <c r="S801" s="9">
        <f t="shared" si="151"/>
        <v>-7.8703831785098544E-7</v>
      </c>
      <c r="T801">
        <f t="shared" si="152"/>
        <v>53</v>
      </c>
      <c r="U801">
        <f t="shared" si="153"/>
        <v>0</v>
      </c>
      <c r="V801" s="3">
        <f t="shared" si="154"/>
        <v>1</v>
      </c>
      <c r="W801" s="9">
        <f t="shared" si="155"/>
        <v>0</v>
      </c>
      <c r="AC801"/>
    </row>
    <row r="802" spans="1:29" x14ac:dyDescent="0.25">
      <c r="A802" t="s">
        <v>103</v>
      </c>
      <c r="B802">
        <v>12</v>
      </c>
      <c r="C802" t="s">
        <v>926</v>
      </c>
      <c r="D802" t="s">
        <v>472</v>
      </c>
      <c r="E802">
        <v>6</v>
      </c>
      <c r="F802">
        <v>8.5399999999999991</v>
      </c>
      <c r="G802">
        <v>44.756100000000004</v>
      </c>
      <c r="H802" t="s">
        <v>87</v>
      </c>
      <c r="I802" t="s">
        <v>87</v>
      </c>
      <c r="J802" t="s">
        <v>55</v>
      </c>
      <c r="K802">
        <f t="shared" si="144"/>
        <v>111.09</v>
      </c>
      <c r="L802">
        <f t="shared" si="145"/>
        <v>408.5095</v>
      </c>
      <c r="M802" t="str">
        <f t="shared" si="146"/>
        <v>comp-12</v>
      </c>
      <c r="N802" t="str">
        <f>INDEX(Scores!$A$2:$A$11,INDEX(Scores!$AA$2:$AA$131,MATCH(C802,Scores!$AB$2:$AB$131,0)))</f>
        <v>comp</v>
      </c>
      <c r="O802">
        <f t="shared" si="147"/>
        <v>98.639999999999986</v>
      </c>
      <c r="P802">
        <f t="shared" si="148"/>
        <v>309.06870000000004</v>
      </c>
      <c r="Q802" s="3">
        <f t="shared" si="149"/>
        <v>0.67895062778258408</v>
      </c>
      <c r="R802" s="3">
        <f t="shared" si="150"/>
        <v>0.64878894629915496</v>
      </c>
      <c r="S802" s="9">
        <f t="shared" si="151"/>
        <v>-3.0161681483429126E-2</v>
      </c>
      <c r="T802">
        <f t="shared" si="152"/>
        <v>84</v>
      </c>
      <c r="U802">
        <f t="shared" si="153"/>
        <v>125</v>
      </c>
      <c r="V802" s="3">
        <f t="shared" si="154"/>
        <v>4.4918559458876974E-9</v>
      </c>
      <c r="W802" s="9">
        <f t="shared" si="155"/>
        <v>-4.4918559458876974E-9</v>
      </c>
      <c r="AC802"/>
    </row>
    <row r="803" spans="1:29" x14ac:dyDescent="0.25">
      <c r="A803" t="s">
        <v>115</v>
      </c>
      <c r="B803">
        <v>2</v>
      </c>
      <c r="C803" t="s">
        <v>628</v>
      </c>
      <c r="D803" t="s">
        <v>466</v>
      </c>
      <c r="E803">
        <v>22</v>
      </c>
      <c r="F803">
        <v>12.08</v>
      </c>
      <c r="G803">
        <v>58.522500000000001</v>
      </c>
      <c r="H803" t="s">
        <v>466</v>
      </c>
      <c r="I803" t="s">
        <v>47</v>
      </c>
      <c r="J803" t="s">
        <v>20</v>
      </c>
      <c r="K803">
        <f t="shared" si="144"/>
        <v>103.25</v>
      </c>
      <c r="L803">
        <f t="shared" si="145"/>
        <v>377.00829999999996</v>
      </c>
      <c r="M803" t="str">
        <f t="shared" si="146"/>
        <v>devon-2</v>
      </c>
      <c r="N803" t="str">
        <f>INDEX(Scores!$A$2:$A$11,INDEX(Scores!$AA$2:$AA$131,MATCH(C803,Scores!$AB$2:$AB$131,0)))</f>
        <v>devon</v>
      </c>
      <c r="O803">
        <f t="shared" si="147"/>
        <v>100.92999999999999</v>
      </c>
      <c r="P803">
        <f t="shared" si="148"/>
        <v>374.85250000000002</v>
      </c>
      <c r="Q803" s="3">
        <f t="shared" si="149"/>
        <v>0.53371408733680603</v>
      </c>
      <c r="R803" s="3">
        <f t="shared" si="150"/>
        <v>0.67897902248644615</v>
      </c>
      <c r="S803" s="9">
        <f t="shared" si="151"/>
        <v>0.14526493514964012</v>
      </c>
      <c r="T803">
        <f t="shared" si="152"/>
        <v>106</v>
      </c>
      <c r="U803">
        <f t="shared" si="153"/>
        <v>140</v>
      </c>
      <c r="V803" s="3">
        <f t="shared" si="154"/>
        <v>4.7010523767682548E-9</v>
      </c>
      <c r="W803" s="9">
        <f t="shared" si="155"/>
        <v>-4.7010523767682548E-9</v>
      </c>
      <c r="AC803"/>
    </row>
    <row r="804" spans="1:29" x14ac:dyDescent="0.25">
      <c r="A804" t="s">
        <v>419</v>
      </c>
      <c r="B804">
        <v>12</v>
      </c>
      <c r="C804" t="s">
        <v>910</v>
      </c>
      <c r="D804" t="s">
        <v>477</v>
      </c>
      <c r="E804">
        <v>11</v>
      </c>
      <c r="F804">
        <v>16.55</v>
      </c>
      <c r="G804">
        <v>42.771599999999999</v>
      </c>
      <c r="H804" t="s">
        <v>477</v>
      </c>
      <c r="I804" t="s">
        <v>477</v>
      </c>
      <c r="J804" t="s">
        <v>20</v>
      </c>
      <c r="K804">
        <f t="shared" si="144"/>
        <v>109.82</v>
      </c>
      <c r="L804">
        <f t="shared" si="145"/>
        <v>367.76499999999999</v>
      </c>
      <c r="M804" t="str">
        <f t="shared" si="146"/>
        <v>perry-12</v>
      </c>
      <c r="N804" t="str">
        <f>INDEX(Scores!$A$2:$A$11,INDEX(Scores!$AA$2:$AA$131,MATCH(C804,Scores!$AB$2:$AB$131,0)))</f>
        <v>perry</v>
      </c>
      <c r="O804">
        <f t="shared" si="147"/>
        <v>117.67999999999999</v>
      </c>
      <c r="P804">
        <f t="shared" si="148"/>
        <v>426.54240000000004</v>
      </c>
      <c r="Q804" s="3">
        <f t="shared" si="149"/>
        <v>0.39016577980232847</v>
      </c>
      <c r="R804" s="3">
        <f t="shared" si="150"/>
        <v>0.31236301499117936</v>
      </c>
      <c r="S804" s="9">
        <f t="shared" si="151"/>
        <v>-7.7802764811149117E-2</v>
      </c>
      <c r="T804">
        <f t="shared" si="152"/>
        <v>88</v>
      </c>
      <c r="U804">
        <f t="shared" si="153"/>
        <v>131</v>
      </c>
      <c r="V804" s="3">
        <f t="shared" si="154"/>
        <v>5.132241328032457E-9</v>
      </c>
      <c r="W804" s="9">
        <f t="shared" si="155"/>
        <v>-5.132241328032457E-9</v>
      </c>
      <c r="AC804"/>
    </row>
    <row r="805" spans="1:29" x14ac:dyDescent="0.25">
      <c r="A805" t="s">
        <v>131</v>
      </c>
      <c r="B805">
        <v>3</v>
      </c>
      <c r="C805" t="s">
        <v>811</v>
      </c>
      <c r="D805" t="s">
        <v>469</v>
      </c>
      <c r="E805">
        <v>3</v>
      </c>
      <c r="F805">
        <v>13.3</v>
      </c>
      <c r="G805">
        <v>76.212900000000005</v>
      </c>
      <c r="H805" t="s">
        <v>47</v>
      </c>
      <c r="I805" t="s">
        <v>47</v>
      </c>
      <c r="J805" t="s">
        <v>35</v>
      </c>
      <c r="K805">
        <f t="shared" si="144"/>
        <v>110.36</v>
      </c>
      <c r="L805">
        <f t="shared" si="145"/>
        <v>421.178</v>
      </c>
      <c r="M805" t="str">
        <f t="shared" si="146"/>
        <v>chad-3</v>
      </c>
      <c r="N805" t="str">
        <f>INDEX(Scores!$A$2:$A$11,INDEX(Scores!$AA$2:$AA$131,MATCH(C805,Scores!$AB$2:$AB$131,0)))</f>
        <v>chad</v>
      </c>
      <c r="O805">
        <f t="shared" si="147"/>
        <v>99.23</v>
      </c>
      <c r="P805">
        <f t="shared" si="148"/>
        <v>414.92009999999999</v>
      </c>
      <c r="Q805" s="3">
        <f t="shared" si="149"/>
        <v>0.64985036548815633</v>
      </c>
      <c r="R805" s="3">
        <f t="shared" si="150"/>
        <v>0.51201015323201959</v>
      </c>
      <c r="S805" s="9">
        <f t="shared" si="151"/>
        <v>-0.13784021225613674</v>
      </c>
      <c r="T805">
        <f t="shared" si="152"/>
        <v>63</v>
      </c>
      <c r="U805">
        <f t="shared" si="153"/>
        <v>123</v>
      </c>
      <c r="V805" s="3">
        <f t="shared" si="154"/>
        <v>6.2408585865067849E-9</v>
      </c>
      <c r="W805" s="9">
        <f t="shared" si="155"/>
        <v>-6.2408585865067849E-9</v>
      </c>
      <c r="AC805"/>
    </row>
    <row r="806" spans="1:29" x14ac:dyDescent="0.25">
      <c r="A806" t="s">
        <v>136</v>
      </c>
      <c r="B806">
        <v>3</v>
      </c>
      <c r="C806" t="s">
        <v>804</v>
      </c>
      <c r="D806" t="s">
        <v>471</v>
      </c>
      <c r="E806">
        <v>9</v>
      </c>
      <c r="F806">
        <v>9.99</v>
      </c>
      <c r="G806">
        <v>36.120100000000001</v>
      </c>
      <c r="H806" t="s">
        <v>87</v>
      </c>
      <c r="I806" t="s">
        <v>87</v>
      </c>
      <c r="J806" t="s">
        <v>40</v>
      </c>
      <c r="K806">
        <f t="shared" si="144"/>
        <v>99.87</v>
      </c>
      <c r="L806">
        <f t="shared" si="145"/>
        <v>418.53290000000004</v>
      </c>
      <c r="M806" t="e">
        <f t="shared" si="146"/>
        <v>#N/A</v>
      </c>
      <c r="N806" t="e">
        <f>INDEX(Scores!$A$2:$A$11,INDEX(Scores!$AA$2:$AA$131,MATCH(C806,Scores!$AB$2:$AB$131,0)))</f>
        <v>#N/A</v>
      </c>
      <c r="O806">
        <f t="shared" si="147"/>
        <v>0</v>
      </c>
      <c r="P806">
        <f t="shared" si="148"/>
        <v>0</v>
      </c>
      <c r="Q806" s="3">
        <f t="shared" si="149"/>
        <v>0.99999947409897594</v>
      </c>
      <c r="R806" s="3">
        <f t="shared" si="150"/>
        <v>0.99999978638838438</v>
      </c>
      <c r="S806" s="9">
        <f t="shared" si="151"/>
        <v>3.1228940844396647E-7</v>
      </c>
      <c r="T806">
        <f t="shared" si="152"/>
        <v>53</v>
      </c>
      <c r="U806">
        <f t="shared" si="153"/>
        <v>0</v>
      </c>
      <c r="V806" s="3">
        <f t="shared" si="154"/>
        <v>1</v>
      </c>
      <c r="W806" s="9">
        <f t="shared" si="155"/>
        <v>0</v>
      </c>
      <c r="AC806"/>
    </row>
    <row r="807" spans="1:29" x14ac:dyDescent="0.25">
      <c r="A807" t="s">
        <v>97</v>
      </c>
      <c r="B807">
        <v>6</v>
      </c>
      <c r="C807" t="s">
        <v>904</v>
      </c>
      <c r="D807" t="s">
        <v>466</v>
      </c>
      <c r="E807">
        <v>16</v>
      </c>
      <c r="F807">
        <v>10.74</v>
      </c>
      <c r="G807">
        <v>48.441600000000001</v>
      </c>
      <c r="H807" t="s">
        <v>466</v>
      </c>
      <c r="I807" t="s">
        <v>47</v>
      </c>
      <c r="J807" t="s">
        <v>20</v>
      </c>
      <c r="K807">
        <f t="shared" si="144"/>
        <v>110.30999999999999</v>
      </c>
      <c r="L807">
        <f t="shared" si="145"/>
        <v>388.52729999999997</v>
      </c>
      <c r="M807" t="str">
        <f t="shared" si="146"/>
        <v>seth-6</v>
      </c>
      <c r="N807" t="str">
        <f>INDEX(Scores!$A$2:$A$11,INDEX(Scores!$AA$2:$AA$131,MATCH(C807,Scores!$AB$2:$AB$131,0)))</f>
        <v>seth</v>
      </c>
      <c r="O807">
        <f t="shared" si="147"/>
        <v>90.009999999999991</v>
      </c>
      <c r="P807">
        <f t="shared" si="148"/>
        <v>295.93350000000004</v>
      </c>
      <c r="Q807" s="3">
        <f t="shared" si="149"/>
        <v>0.78110442116748435</v>
      </c>
      <c r="R807" s="3">
        <f t="shared" si="150"/>
        <v>0.84459040677082453</v>
      </c>
      <c r="S807" s="9">
        <f t="shared" si="151"/>
        <v>6.3485985603340178E-2</v>
      </c>
      <c r="T807">
        <f t="shared" si="152"/>
        <v>96</v>
      </c>
      <c r="U807">
        <f t="shared" si="153"/>
        <v>130</v>
      </c>
      <c r="V807" s="3">
        <f t="shared" si="154"/>
        <v>8.4628679180780756E-9</v>
      </c>
      <c r="W807" s="9">
        <f t="shared" si="155"/>
        <v>-8.4628679180780756E-9</v>
      </c>
      <c r="AC807"/>
    </row>
    <row r="808" spans="1:29" x14ac:dyDescent="0.25">
      <c r="A808" t="s">
        <v>422</v>
      </c>
      <c r="B808">
        <v>4</v>
      </c>
      <c r="C808" t="s">
        <v>860</v>
      </c>
      <c r="D808" t="s">
        <v>477</v>
      </c>
      <c r="E808">
        <v>1</v>
      </c>
      <c r="F808">
        <v>4.07</v>
      </c>
      <c r="G808">
        <v>30.1401</v>
      </c>
      <c r="H808" t="s">
        <v>477</v>
      </c>
      <c r="I808" t="s">
        <v>477</v>
      </c>
      <c r="J808" t="s">
        <v>27</v>
      </c>
      <c r="K808">
        <f t="shared" si="144"/>
        <v>103.70000000000002</v>
      </c>
      <c r="L808">
        <f t="shared" si="145"/>
        <v>412.10110000000003</v>
      </c>
      <c r="M808" t="str">
        <f t="shared" si="146"/>
        <v>aj-4</v>
      </c>
      <c r="N808" t="str">
        <f>INDEX(Scores!$A$2:$A$11,INDEX(Scores!$AA$2:$AA$131,MATCH(C808,Scores!$AB$2:$AB$131,0)))</f>
        <v>aj</v>
      </c>
      <c r="O808">
        <f t="shared" si="147"/>
        <v>118.09999999999998</v>
      </c>
      <c r="P808">
        <f t="shared" si="148"/>
        <v>465.47660000000008</v>
      </c>
      <c r="Q808" s="3">
        <f t="shared" si="149"/>
        <v>0.31345048172071355</v>
      </c>
      <c r="R808" s="3">
        <f t="shared" si="150"/>
        <v>0.27421269956348904</v>
      </c>
      <c r="S808" s="9">
        <f t="shared" si="151"/>
        <v>-3.923778215722451E-2</v>
      </c>
      <c r="T808">
        <f t="shared" si="152"/>
        <v>46</v>
      </c>
      <c r="U808">
        <f t="shared" si="153"/>
        <v>80</v>
      </c>
      <c r="V808" s="3">
        <f t="shared" si="154"/>
        <v>8.809993576574846E-9</v>
      </c>
      <c r="W808" s="9">
        <f t="shared" si="155"/>
        <v>-8.809993576574846E-9</v>
      </c>
      <c r="AC808"/>
    </row>
    <row r="809" spans="1:29" x14ac:dyDescent="0.25">
      <c r="A809" t="s">
        <v>455</v>
      </c>
      <c r="B809">
        <v>11</v>
      </c>
      <c r="C809" t="s">
        <v>973</v>
      </c>
      <c r="D809" t="s">
        <v>478</v>
      </c>
      <c r="E809">
        <v>19</v>
      </c>
      <c r="F809">
        <v>7.63</v>
      </c>
      <c r="G809">
        <v>13.1044</v>
      </c>
      <c r="H809" t="s">
        <v>478</v>
      </c>
      <c r="I809" t="s">
        <v>478</v>
      </c>
      <c r="J809" t="s">
        <v>49</v>
      </c>
      <c r="K809">
        <f t="shared" si="144"/>
        <v>88.670000000000016</v>
      </c>
      <c r="L809">
        <f t="shared" si="145"/>
        <v>334.39179999999999</v>
      </c>
      <c r="M809" t="str">
        <f t="shared" si="146"/>
        <v>comp-11</v>
      </c>
      <c r="N809" t="str">
        <f>INDEX(Scores!$A$2:$A$11,INDEX(Scores!$AA$2:$AA$131,MATCH(C809,Scores!$AB$2:$AB$131,0)))</f>
        <v>comp</v>
      </c>
      <c r="O809">
        <f t="shared" si="147"/>
        <v>98.580000000000013</v>
      </c>
      <c r="P809">
        <f t="shared" si="148"/>
        <v>364.4375</v>
      </c>
      <c r="Q809" s="3">
        <f t="shared" si="149"/>
        <v>0.35387619533584119</v>
      </c>
      <c r="R809" s="3">
        <f t="shared" si="150"/>
        <v>0.52223120508164156</v>
      </c>
      <c r="S809" s="9">
        <f t="shared" si="151"/>
        <v>0.16835500974580037</v>
      </c>
      <c r="T809">
        <f t="shared" si="152"/>
        <v>102</v>
      </c>
      <c r="U809">
        <f t="shared" si="153"/>
        <v>111</v>
      </c>
      <c r="V809" s="3">
        <f t="shared" si="154"/>
        <v>9.1647211045896217E-9</v>
      </c>
      <c r="W809" s="9">
        <f t="shared" si="155"/>
        <v>-9.1647211045896217E-9</v>
      </c>
      <c r="AC809"/>
    </row>
    <row r="810" spans="1:29" x14ac:dyDescent="0.25">
      <c r="A810" t="s">
        <v>113</v>
      </c>
      <c r="B810">
        <v>8</v>
      </c>
      <c r="C810" t="s">
        <v>954</v>
      </c>
      <c r="D810" t="s">
        <v>475</v>
      </c>
      <c r="E810">
        <v>11</v>
      </c>
      <c r="F810">
        <v>10.76</v>
      </c>
      <c r="G810">
        <v>46.5124</v>
      </c>
      <c r="H810" t="s">
        <v>114</v>
      </c>
      <c r="I810" t="s">
        <v>114</v>
      </c>
      <c r="J810" t="s">
        <v>40</v>
      </c>
      <c r="K810">
        <f t="shared" si="144"/>
        <v>93.289999999999992</v>
      </c>
      <c r="L810">
        <f t="shared" si="145"/>
        <v>315.97840000000008</v>
      </c>
      <c r="M810" t="e">
        <f t="shared" si="146"/>
        <v>#N/A</v>
      </c>
      <c r="N810" t="e">
        <f>INDEX(Scores!$A$2:$A$11,INDEX(Scores!$AA$2:$AA$131,MATCH(C810,Scores!$AB$2:$AB$131,0)))</f>
        <v>#N/A</v>
      </c>
      <c r="O810">
        <f t="shared" si="147"/>
        <v>0</v>
      </c>
      <c r="P810">
        <f t="shared" si="148"/>
        <v>0</v>
      </c>
      <c r="Q810" s="3">
        <f t="shared" si="149"/>
        <v>0.99999992318369246</v>
      </c>
      <c r="R810" s="3">
        <f t="shared" si="150"/>
        <v>0.99999999392798034</v>
      </c>
      <c r="S810" s="9">
        <f t="shared" si="151"/>
        <v>7.0744287872237521E-8</v>
      </c>
      <c r="T810">
        <f t="shared" si="152"/>
        <v>75</v>
      </c>
      <c r="U810">
        <f t="shared" si="153"/>
        <v>0</v>
      </c>
      <c r="V810" s="3">
        <f t="shared" si="154"/>
        <v>1</v>
      </c>
      <c r="W810" s="9">
        <f t="shared" si="155"/>
        <v>0</v>
      </c>
      <c r="AC810"/>
    </row>
    <row r="811" spans="1:29" x14ac:dyDescent="0.25">
      <c r="A811" t="s">
        <v>431</v>
      </c>
      <c r="B811">
        <v>9</v>
      </c>
      <c r="C811" t="s">
        <v>939</v>
      </c>
      <c r="D811" t="s">
        <v>477</v>
      </c>
      <c r="E811">
        <v>19</v>
      </c>
      <c r="F811">
        <v>6.06</v>
      </c>
      <c r="G811">
        <v>30.691600000000001</v>
      </c>
      <c r="H811" t="s">
        <v>477</v>
      </c>
      <c r="I811" t="s">
        <v>477</v>
      </c>
      <c r="J811" t="s">
        <v>27</v>
      </c>
      <c r="K811">
        <f t="shared" si="144"/>
        <v>80.800000000000011</v>
      </c>
      <c r="L811">
        <f t="shared" si="145"/>
        <v>290.44450000000001</v>
      </c>
      <c r="M811" t="str">
        <f t="shared" si="146"/>
        <v>seth-9</v>
      </c>
      <c r="N811" t="str">
        <f>INDEX(Scores!$A$2:$A$11,INDEX(Scores!$AA$2:$AA$131,MATCH(C811,Scores!$AB$2:$AB$131,0)))</f>
        <v>seth</v>
      </c>
      <c r="O811">
        <f t="shared" si="147"/>
        <v>92.559999999999988</v>
      </c>
      <c r="P811">
        <f t="shared" si="148"/>
        <v>350.31569999999999</v>
      </c>
      <c r="Q811" s="3">
        <f t="shared" si="149"/>
        <v>0.32111649346340621</v>
      </c>
      <c r="R811" s="3">
        <f t="shared" si="150"/>
        <v>0.5190518677773337</v>
      </c>
      <c r="S811" s="9">
        <f t="shared" si="151"/>
        <v>0.19793537431392749</v>
      </c>
      <c r="T811">
        <f t="shared" si="152"/>
        <v>77</v>
      </c>
      <c r="U811">
        <f t="shared" si="153"/>
        <v>95</v>
      </c>
      <c r="V811" s="3">
        <f t="shared" si="154"/>
        <v>1.169593854548503E-8</v>
      </c>
      <c r="W811" s="9">
        <f t="shared" si="155"/>
        <v>-1.169593854548503E-8</v>
      </c>
      <c r="AC811"/>
    </row>
    <row r="812" spans="1:29" x14ac:dyDescent="0.25">
      <c r="A812" t="s">
        <v>122</v>
      </c>
      <c r="B812">
        <v>12</v>
      </c>
      <c r="C812" t="s">
        <v>910</v>
      </c>
      <c r="D812" t="s">
        <v>472</v>
      </c>
      <c r="E812">
        <v>1</v>
      </c>
      <c r="F812">
        <v>8.48</v>
      </c>
      <c r="G812">
        <v>40.7044</v>
      </c>
      <c r="H812" t="s">
        <v>87</v>
      </c>
      <c r="I812" t="s">
        <v>87</v>
      </c>
      <c r="J812" t="s">
        <v>20</v>
      </c>
      <c r="K812">
        <f t="shared" si="144"/>
        <v>109.82</v>
      </c>
      <c r="L812">
        <f t="shared" si="145"/>
        <v>367.76499999999999</v>
      </c>
      <c r="M812" t="str">
        <f t="shared" si="146"/>
        <v>perry-12</v>
      </c>
      <c r="N812" t="str">
        <f>INDEX(Scores!$A$2:$A$11,INDEX(Scores!$AA$2:$AA$131,MATCH(C812,Scores!$AB$2:$AB$131,0)))</f>
        <v>perry</v>
      </c>
      <c r="O812">
        <f t="shared" si="147"/>
        <v>117.67999999999999</v>
      </c>
      <c r="P812">
        <f t="shared" si="148"/>
        <v>426.54240000000004</v>
      </c>
      <c r="Q812" s="3">
        <f t="shared" si="149"/>
        <v>0.39016577980232847</v>
      </c>
      <c r="R812" s="3">
        <f t="shared" si="150"/>
        <v>0.28815014190396471</v>
      </c>
      <c r="S812" s="9">
        <f t="shared" si="151"/>
        <v>-0.10201563789836376</v>
      </c>
      <c r="T812">
        <f t="shared" si="152"/>
        <v>88</v>
      </c>
      <c r="U812">
        <f t="shared" si="153"/>
        <v>131</v>
      </c>
      <c r="V812" s="3">
        <f t="shared" si="154"/>
        <v>1.2928558320658137E-8</v>
      </c>
      <c r="W812" s="9">
        <f t="shared" si="155"/>
        <v>-1.2928558320658137E-8</v>
      </c>
      <c r="AC812"/>
    </row>
    <row r="813" spans="1:29" x14ac:dyDescent="0.25">
      <c r="A813" t="s">
        <v>18</v>
      </c>
      <c r="B813">
        <v>12</v>
      </c>
      <c r="C813" t="s">
        <v>910</v>
      </c>
      <c r="D813" t="s">
        <v>467</v>
      </c>
      <c r="E813">
        <v>21</v>
      </c>
      <c r="F813">
        <v>24.8</v>
      </c>
      <c r="G813">
        <v>50.694400000000002</v>
      </c>
      <c r="H813" t="s">
        <v>15</v>
      </c>
      <c r="I813" t="s">
        <v>15</v>
      </c>
      <c r="J813" t="s">
        <v>20</v>
      </c>
      <c r="K813">
        <f t="shared" si="144"/>
        <v>109.82</v>
      </c>
      <c r="L813">
        <f t="shared" si="145"/>
        <v>367.76499999999999</v>
      </c>
      <c r="M813" t="str">
        <f t="shared" si="146"/>
        <v>perry-12</v>
      </c>
      <c r="N813" t="str">
        <f>INDEX(Scores!$A$2:$A$11,INDEX(Scores!$AA$2:$AA$131,MATCH(C813,Scores!$AB$2:$AB$131,0)))</f>
        <v>perry</v>
      </c>
      <c r="O813">
        <f t="shared" si="147"/>
        <v>117.67999999999999</v>
      </c>
      <c r="P813">
        <f t="shared" si="148"/>
        <v>426.54240000000004</v>
      </c>
      <c r="Q813" s="3">
        <f t="shared" si="149"/>
        <v>0.39016577980232847</v>
      </c>
      <c r="R813" s="3">
        <f t="shared" si="150"/>
        <v>0.33447571151490579</v>
      </c>
      <c r="S813" s="9">
        <f t="shared" si="151"/>
        <v>-5.5690068287422678E-2</v>
      </c>
      <c r="T813">
        <f t="shared" si="152"/>
        <v>88</v>
      </c>
      <c r="U813">
        <f t="shared" si="153"/>
        <v>131</v>
      </c>
      <c r="V813" s="3">
        <f t="shared" si="154"/>
        <v>1.8393774909151035E-8</v>
      </c>
      <c r="W813" s="9">
        <f t="shared" si="155"/>
        <v>-1.8393774909151035E-8</v>
      </c>
      <c r="AC813"/>
    </row>
    <row r="814" spans="1:29" x14ac:dyDescent="0.25">
      <c r="A814" t="s">
        <v>140</v>
      </c>
      <c r="B814">
        <v>10</v>
      </c>
      <c r="C814" t="s">
        <v>924</v>
      </c>
      <c r="D814" t="s">
        <v>471</v>
      </c>
      <c r="E814">
        <v>11</v>
      </c>
      <c r="F814">
        <v>7.36</v>
      </c>
      <c r="G814">
        <v>20.25</v>
      </c>
      <c r="H814" t="s">
        <v>87</v>
      </c>
      <c r="I814" t="s">
        <v>87</v>
      </c>
      <c r="J814" t="s">
        <v>55</v>
      </c>
      <c r="K814">
        <f t="shared" si="144"/>
        <v>110.08000000000001</v>
      </c>
      <c r="L814">
        <f t="shared" si="145"/>
        <v>372.64320000000004</v>
      </c>
      <c r="M814" t="str">
        <f t="shared" si="146"/>
        <v>chad-10</v>
      </c>
      <c r="N814" t="str">
        <f>INDEX(Scores!$A$2:$A$11,INDEX(Scores!$AA$2:$AA$131,MATCH(C814,Scores!$AB$2:$AB$131,0)))</f>
        <v>chad</v>
      </c>
      <c r="O814">
        <f t="shared" si="147"/>
        <v>103.91999999999999</v>
      </c>
      <c r="P814">
        <f t="shared" si="148"/>
        <v>398.26569999999992</v>
      </c>
      <c r="Q814" s="3">
        <f t="shared" si="149"/>
        <v>0.58778859959928087</v>
      </c>
      <c r="R814" s="3">
        <f t="shared" si="150"/>
        <v>0.63971171187446108</v>
      </c>
      <c r="S814" s="9">
        <f t="shared" si="151"/>
        <v>5.1923112275180205E-2</v>
      </c>
      <c r="T814">
        <f t="shared" si="152"/>
        <v>82</v>
      </c>
      <c r="U814">
        <f t="shared" si="153"/>
        <v>103</v>
      </c>
      <c r="V814" s="3">
        <f t="shared" si="154"/>
        <v>2.1807054936982167E-8</v>
      </c>
      <c r="W814" s="9">
        <f t="shared" si="155"/>
        <v>-2.1807054936982167E-8</v>
      </c>
      <c r="AC814"/>
    </row>
    <row r="815" spans="1:29" x14ac:dyDescent="0.25">
      <c r="A815" t="s">
        <v>124</v>
      </c>
      <c r="B815">
        <v>1</v>
      </c>
      <c r="C815" t="s">
        <v>505</v>
      </c>
      <c r="D815" t="s">
        <v>472</v>
      </c>
      <c r="E815">
        <v>19</v>
      </c>
      <c r="F815">
        <v>7.74</v>
      </c>
      <c r="G815">
        <v>30.5809</v>
      </c>
      <c r="H815" t="s">
        <v>87</v>
      </c>
      <c r="I815" t="s">
        <v>87</v>
      </c>
      <c r="J815" t="s">
        <v>49</v>
      </c>
      <c r="K815">
        <f t="shared" si="144"/>
        <v>96.11</v>
      </c>
      <c r="L815">
        <f t="shared" si="145"/>
        <v>397.37959999999998</v>
      </c>
      <c r="M815" t="str">
        <f t="shared" si="146"/>
        <v>chad-1</v>
      </c>
      <c r="N815" t="str">
        <f>INDEX(Scores!$A$2:$A$11,INDEX(Scores!$AA$2:$AA$131,MATCH(C815,Scores!$AB$2:$AB$131,0)))</f>
        <v>chad</v>
      </c>
      <c r="O815">
        <f t="shared" si="147"/>
        <v>101.75</v>
      </c>
      <c r="P815">
        <f t="shared" si="148"/>
        <v>333.15260000000001</v>
      </c>
      <c r="Q815" s="3">
        <f t="shared" si="149"/>
        <v>0.41735304190298633</v>
      </c>
      <c r="R815" s="3">
        <f t="shared" si="150"/>
        <v>0.58411164319342945</v>
      </c>
      <c r="S815" s="9">
        <f t="shared" si="151"/>
        <v>0.16675860129044312</v>
      </c>
      <c r="T815">
        <f t="shared" si="152"/>
        <v>76</v>
      </c>
      <c r="U815">
        <f t="shared" si="153"/>
        <v>95</v>
      </c>
      <c r="V815" s="3">
        <f t="shared" si="154"/>
        <v>2.2252875364611596E-8</v>
      </c>
      <c r="W815" s="9">
        <f t="shared" si="155"/>
        <v>-2.2252875364611596E-8</v>
      </c>
      <c r="AC815"/>
    </row>
    <row r="816" spans="1:29" x14ac:dyDescent="0.25">
      <c r="A816" t="s">
        <v>154</v>
      </c>
      <c r="B816">
        <v>2</v>
      </c>
      <c r="C816" t="s">
        <v>628</v>
      </c>
      <c r="D816" t="s">
        <v>471</v>
      </c>
      <c r="E816">
        <v>10</v>
      </c>
      <c r="F816">
        <v>8.7100000000000009</v>
      </c>
      <c r="G816">
        <v>41.602499999999999</v>
      </c>
      <c r="H816" t="s">
        <v>87</v>
      </c>
      <c r="I816" t="s">
        <v>87</v>
      </c>
      <c r="J816" t="s">
        <v>20</v>
      </c>
      <c r="K816">
        <f t="shared" si="144"/>
        <v>103.25</v>
      </c>
      <c r="L816">
        <f t="shared" si="145"/>
        <v>377.00829999999996</v>
      </c>
      <c r="M816" t="str">
        <f t="shared" si="146"/>
        <v>devon-2</v>
      </c>
      <c r="N816" t="str">
        <f>INDEX(Scores!$A$2:$A$11,INDEX(Scores!$AA$2:$AA$131,MATCH(C816,Scores!$AB$2:$AB$131,0)))</f>
        <v>devon</v>
      </c>
      <c r="O816">
        <f t="shared" si="147"/>
        <v>100.92999999999999</v>
      </c>
      <c r="P816">
        <f t="shared" si="148"/>
        <v>374.85250000000002</v>
      </c>
      <c r="Q816" s="3">
        <f t="shared" si="149"/>
        <v>0.53371408733680603</v>
      </c>
      <c r="R816" s="3">
        <f t="shared" si="150"/>
        <v>0.55387442294836231</v>
      </c>
      <c r="S816" s="9">
        <f t="shared" si="151"/>
        <v>2.0160335611556279E-2</v>
      </c>
      <c r="T816">
        <f t="shared" si="152"/>
        <v>106</v>
      </c>
      <c r="U816">
        <f t="shared" si="153"/>
        <v>140</v>
      </c>
      <c r="V816" s="3">
        <f t="shared" si="154"/>
        <v>2.2335068085858991E-8</v>
      </c>
      <c r="W816" s="9">
        <f t="shared" si="155"/>
        <v>-2.2335068085858991E-8</v>
      </c>
      <c r="AC816"/>
    </row>
    <row r="817" spans="1:29" x14ac:dyDescent="0.25">
      <c r="A817" t="s">
        <v>149</v>
      </c>
      <c r="B817">
        <v>10</v>
      </c>
      <c r="C817" t="s">
        <v>924</v>
      </c>
      <c r="D817" t="s">
        <v>473</v>
      </c>
      <c r="E817">
        <v>13</v>
      </c>
      <c r="F817">
        <v>7.51</v>
      </c>
      <c r="G817">
        <v>23.814399999999999</v>
      </c>
      <c r="H817" t="s">
        <v>87</v>
      </c>
      <c r="I817" t="s">
        <v>87</v>
      </c>
      <c r="J817" t="s">
        <v>55</v>
      </c>
      <c r="K817">
        <f t="shared" si="144"/>
        <v>110.08000000000001</v>
      </c>
      <c r="L817">
        <f t="shared" si="145"/>
        <v>372.64320000000004</v>
      </c>
      <c r="M817" t="str">
        <f t="shared" si="146"/>
        <v>chad-10</v>
      </c>
      <c r="N817" t="str">
        <f>INDEX(Scores!$A$2:$A$11,INDEX(Scores!$AA$2:$AA$131,MATCH(C817,Scores!$AB$2:$AB$131,0)))</f>
        <v>chad</v>
      </c>
      <c r="O817">
        <f t="shared" si="147"/>
        <v>103.91999999999999</v>
      </c>
      <c r="P817">
        <f t="shared" si="148"/>
        <v>398.26569999999992</v>
      </c>
      <c r="Q817" s="3">
        <f t="shared" si="149"/>
        <v>0.58778859959928087</v>
      </c>
      <c r="R817" s="3">
        <f t="shared" si="150"/>
        <v>0.66502777580843997</v>
      </c>
      <c r="S817" s="9">
        <f t="shared" si="151"/>
        <v>7.7239176209159099E-2</v>
      </c>
      <c r="T817">
        <f t="shared" si="152"/>
        <v>82</v>
      </c>
      <c r="U817">
        <f t="shared" si="153"/>
        <v>103</v>
      </c>
      <c r="V817" s="3">
        <f t="shared" si="154"/>
        <v>2.8450071980489463E-8</v>
      </c>
      <c r="W817" s="9">
        <f t="shared" si="155"/>
        <v>-2.8450071980489463E-8</v>
      </c>
      <c r="AC817"/>
    </row>
    <row r="818" spans="1:29" x14ac:dyDescent="0.25">
      <c r="A818" t="s">
        <v>18</v>
      </c>
      <c r="B818">
        <v>2</v>
      </c>
      <c r="C818" t="s">
        <v>628</v>
      </c>
      <c r="D818" t="s">
        <v>467</v>
      </c>
      <c r="E818">
        <v>29</v>
      </c>
      <c r="F818">
        <v>23.51</v>
      </c>
      <c r="G818">
        <v>53.436100000000003</v>
      </c>
      <c r="H818" t="s">
        <v>15</v>
      </c>
      <c r="I818" t="s">
        <v>15</v>
      </c>
      <c r="J818" t="s">
        <v>20</v>
      </c>
      <c r="K818">
        <f t="shared" si="144"/>
        <v>103.25</v>
      </c>
      <c r="L818">
        <f t="shared" si="145"/>
        <v>377.00829999999996</v>
      </c>
      <c r="M818" t="str">
        <f t="shared" si="146"/>
        <v>devon-2</v>
      </c>
      <c r="N818" t="str">
        <f>INDEX(Scores!$A$2:$A$11,INDEX(Scores!$AA$2:$AA$131,MATCH(C818,Scores!$AB$2:$AB$131,0)))</f>
        <v>devon</v>
      </c>
      <c r="O818">
        <f t="shared" si="147"/>
        <v>100.92999999999999</v>
      </c>
      <c r="P818">
        <f t="shared" si="148"/>
        <v>374.85250000000002</v>
      </c>
      <c r="Q818" s="3">
        <f t="shared" si="149"/>
        <v>0.53371408733680603</v>
      </c>
      <c r="R818" s="3">
        <f t="shared" si="150"/>
        <v>0.61620279502323538</v>
      </c>
      <c r="S818" s="9">
        <f t="shared" si="151"/>
        <v>8.2488707686429352E-2</v>
      </c>
      <c r="T818">
        <f t="shared" si="152"/>
        <v>106</v>
      </c>
      <c r="U818">
        <f t="shared" si="153"/>
        <v>140</v>
      </c>
      <c r="V818" s="3">
        <f t="shared" si="154"/>
        <v>3.2916305772998896E-8</v>
      </c>
      <c r="W818" s="9">
        <f t="shared" si="155"/>
        <v>-3.2916305772998896E-8</v>
      </c>
      <c r="AC818"/>
    </row>
    <row r="819" spans="1:29" x14ac:dyDescent="0.25">
      <c r="A819" t="s">
        <v>223</v>
      </c>
      <c r="B819">
        <v>13</v>
      </c>
      <c r="C819" t="s">
        <v>959</v>
      </c>
      <c r="D819" t="s">
        <v>473</v>
      </c>
      <c r="E819">
        <v>0</v>
      </c>
      <c r="F819">
        <v>6.75</v>
      </c>
      <c r="G819">
        <v>35.880099999999999</v>
      </c>
      <c r="H819" t="s">
        <v>87</v>
      </c>
      <c r="I819" t="s">
        <v>87</v>
      </c>
      <c r="J819" t="s">
        <v>40</v>
      </c>
      <c r="K819">
        <f t="shared" si="144"/>
        <v>75.67</v>
      </c>
      <c r="L819">
        <f t="shared" si="145"/>
        <v>278.80779999999999</v>
      </c>
      <c r="M819" t="e">
        <f t="shared" si="146"/>
        <v>#N/A</v>
      </c>
      <c r="N819" t="e">
        <f>INDEX(Scores!$A$2:$A$11,INDEX(Scores!$AA$2:$AA$131,MATCH(C819,Scores!$AB$2:$AB$131,0)))</f>
        <v>#N/A</v>
      </c>
      <c r="O819">
        <f t="shared" si="147"/>
        <v>0</v>
      </c>
      <c r="P819">
        <f t="shared" si="148"/>
        <v>0</v>
      </c>
      <c r="Q819" s="3">
        <f t="shared" si="149"/>
        <v>0.9999970759175304</v>
      </c>
      <c r="R819" s="3">
        <f t="shared" si="150"/>
        <v>0.99999510766334232</v>
      </c>
      <c r="S819" s="9">
        <f t="shared" si="151"/>
        <v>-1.9682541880783333E-6</v>
      </c>
      <c r="T819">
        <f t="shared" si="152"/>
        <v>59</v>
      </c>
      <c r="U819">
        <f t="shared" si="153"/>
        <v>0</v>
      </c>
      <c r="V819" s="3">
        <f t="shared" si="154"/>
        <v>1</v>
      </c>
      <c r="W819" s="9">
        <f t="shared" si="155"/>
        <v>0</v>
      </c>
      <c r="AC819"/>
    </row>
    <row r="820" spans="1:29" x14ac:dyDescent="0.25">
      <c r="A820" t="s">
        <v>246</v>
      </c>
      <c r="B820">
        <v>10</v>
      </c>
      <c r="C820" t="s">
        <v>924</v>
      </c>
      <c r="D820" t="s">
        <v>472</v>
      </c>
      <c r="E820">
        <v>13</v>
      </c>
      <c r="F820">
        <v>7.51</v>
      </c>
      <c r="G820">
        <v>24.502500000000001</v>
      </c>
      <c r="H820" t="s">
        <v>87</v>
      </c>
      <c r="I820" t="s">
        <v>87</v>
      </c>
      <c r="J820" t="s">
        <v>55</v>
      </c>
      <c r="K820">
        <f t="shared" si="144"/>
        <v>110.08000000000001</v>
      </c>
      <c r="L820">
        <f t="shared" si="145"/>
        <v>372.64320000000004</v>
      </c>
      <c r="M820" t="str">
        <f t="shared" si="146"/>
        <v>chad-10</v>
      </c>
      <c r="N820" t="str">
        <f>INDEX(Scores!$A$2:$A$11,INDEX(Scores!$AA$2:$AA$131,MATCH(C820,Scores!$AB$2:$AB$131,0)))</f>
        <v>chad</v>
      </c>
      <c r="O820">
        <f t="shared" si="147"/>
        <v>103.91999999999999</v>
      </c>
      <c r="P820">
        <f t="shared" si="148"/>
        <v>398.26569999999992</v>
      </c>
      <c r="Q820" s="3">
        <f t="shared" si="149"/>
        <v>0.58778859959928087</v>
      </c>
      <c r="R820" s="3">
        <f t="shared" si="150"/>
        <v>0.66509932878048805</v>
      </c>
      <c r="S820" s="9">
        <f t="shared" si="151"/>
        <v>7.7310729181207183E-2</v>
      </c>
      <c r="T820">
        <f t="shared" si="152"/>
        <v>82</v>
      </c>
      <c r="U820">
        <f t="shared" si="153"/>
        <v>103</v>
      </c>
      <c r="V820" s="3">
        <f t="shared" si="154"/>
        <v>4.3610416674072213E-8</v>
      </c>
      <c r="W820" s="9">
        <f t="shared" si="155"/>
        <v>-4.3610416674072213E-8</v>
      </c>
      <c r="AC820"/>
    </row>
    <row r="821" spans="1:29" x14ac:dyDescent="0.25">
      <c r="A821" t="s">
        <v>159</v>
      </c>
      <c r="B821">
        <v>8</v>
      </c>
      <c r="C821" t="s">
        <v>954</v>
      </c>
      <c r="D821" t="s">
        <v>472</v>
      </c>
      <c r="E821">
        <v>6</v>
      </c>
      <c r="F821">
        <v>10.029999999999999</v>
      </c>
      <c r="G821">
        <v>40.449599999999997</v>
      </c>
      <c r="H821" t="s">
        <v>87</v>
      </c>
      <c r="I821" t="s">
        <v>87</v>
      </c>
      <c r="J821" t="s">
        <v>40</v>
      </c>
      <c r="K821">
        <f t="shared" si="144"/>
        <v>93.289999999999992</v>
      </c>
      <c r="L821">
        <f t="shared" si="145"/>
        <v>315.97840000000008</v>
      </c>
      <c r="M821" t="e">
        <f t="shared" si="146"/>
        <v>#N/A</v>
      </c>
      <c r="N821" t="e">
        <f>INDEX(Scores!$A$2:$A$11,INDEX(Scores!$AA$2:$AA$131,MATCH(C821,Scores!$AB$2:$AB$131,0)))</f>
        <v>#N/A</v>
      </c>
      <c r="O821">
        <f t="shared" si="147"/>
        <v>0</v>
      </c>
      <c r="P821">
        <f t="shared" si="148"/>
        <v>0</v>
      </c>
      <c r="Q821" s="3">
        <f t="shared" si="149"/>
        <v>0.99999992318369246</v>
      </c>
      <c r="R821" s="3">
        <f t="shared" si="150"/>
        <v>0.99999996221811949</v>
      </c>
      <c r="S821" s="9">
        <f t="shared" si="151"/>
        <v>3.9034427024020601E-8</v>
      </c>
      <c r="T821">
        <f t="shared" si="152"/>
        <v>75</v>
      </c>
      <c r="U821">
        <f t="shared" si="153"/>
        <v>0</v>
      </c>
      <c r="V821" s="3">
        <f t="shared" si="154"/>
        <v>1</v>
      </c>
      <c r="W821" s="9">
        <f t="shared" si="155"/>
        <v>0</v>
      </c>
      <c r="AC821"/>
    </row>
    <row r="822" spans="1:29" x14ac:dyDescent="0.25">
      <c r="A822" t="s">
        <v>241</v>
      </c>
      <c r="B822">
        <v>3</v>
      </c>
      <c r="C822" t="s">
        <v>804</v>
      </c>
      <c r="D822" t="s">
        <v>473</v>
      </c>
      <c r="E822">
        <v>0</v>
      </c>
      <c r="F822">
        <v>7.13</v>
      </c>
      <c r="G822">
        <v>27.352900000000002</v>
      </c>
      <c r="H822" t="s">
        <v>87</v>
      </c>
      <c r="I822" t="s">
        <v>87</v>
      </c>
      <c r="J822" t="s">
        <v>40</v>
      </c>
      <c r="K822">
        <f t="shared" si="144"/>
        <v>99.87</v>
      </c>
      <c r="L822">
        <f t="shared" si="145"/>
        <v>418.53290000000004</v>
      </c>
      <c r="M822" t="e">
        <f t="shared" si="146"/>
        <v>#N/A</v>
      </c>
      <c r="N822" t="e">
        <f>INDEX(Scores!$A$2:$A$11,INDEX(Scores!$AA$2:$AA$131,MATCH(C822,Scores!$AB$2:$AB$131,0)))</f>
        <v>#N/A</v>
      </c>
      <c r="O822">
        <f t="shared" si="147"/>
        <v>0</v>
      </c>
      <c r="P822">
        <f t="shared" si="148"/>
        <v>0</v>
      </c>
      <c r="Q822" s="3">
        <f t="shared" si="149"/>
        <v>0.99999947409897594</v>
      </c>
      <c r="R822" s="3">
        <f t="shared" si="150"/>
        <v>0.99999862717715104</v>
      </c>
      <c r="S822" s="9">
        <f t="shared" si="151"/>
        <v>-8.4692182489298773E-7</v>
      </c>
      <c r="T822">
        <f t="shared" si="152"/>
        <v>53</v>
      </c>
      <c r="U822">
        <f t="shared" si="153"/>
        <v>0</v>
      </c>
      <c r="V822" s="3">
        <f t="shared" si="154"/>
        <v>1</v>
      </c>
      <c r="W822" s="9">
        <f t="shared" si="155"/>
        <v>0</v>
      </c>
      <c r="AC822"/>
    </row>
    <row r="823" spans="1:29" x14ac:dyDescent="0.25">
      <c r="A823" t="s">
        <v>191</v>
      </c>
      <c r="B823">
        <v>13</v>
      </c>
      <c r="C823" t="s">
        <v>959</v>
      </c>
      <c r="D823" t="s">
        <v>471</v>
      </c>
      <c r="E823">
        <v>5</v>
      </c>
      <c r="F823">
        <v>11</v>
      </c>
      <c r="G823">
        <v>38.564100000000003</v>
      </c>
      <c r="H823" t="s">
        <v>87</v>
      </c>
      <c r="I823" t="s">
        <v>87</v>
      </c>
      <c r="J823" t="s">
        <v>40</v>
      </c>
      <c r="K823">
        <f t="shared" si="144"/>
        <v>75.67</v>
      </c>
      <c r="L823">
        <f t="shared" si="145"/>
        <v>278.80779999999999</v>
      </c>
      <c r="M823" t="e">
        <f t="shared" si="146"/>
        <v>#N/A</v>
      </c>
      <c r="N823" t="e">
        <f>INDEX(Scores!$A$2:$A$11,INDEX(Scores!$AA$2:$AA$131,MATCH(C823,Scores!$AB$2:$AB$131,0)))</f>
        <v>#N/A</v>
      </c>
      <c r="O823">
        <f t="shared" si="147"/>
        <v>0</v>
      </c>
      <c r="P823">
        <f t="shared" si="148"/>
        <v>0</v>
      </c>
      <c r="Q823" s="3">
        <f t="shared" si="149"/>
        <v>0.9999970759175304</v>
      </c>
      <c r="R823" s="3">
        <f t="shared" si="150"/>
        <v>0.99999651982902127</v>
      </c>
      <c r="S823" s="9">
        <f t="shared" si="151"/>
        <v>-5.5608850912935992E-7</v>
      </c>
      <c r="T823">
        <f t="shared" si="152"/>
        <v>59</v>
      </c>
      <c r="U823">
        <f t="shared" si="153"/>
        <v>0</v>
      </c>
      <c r="V823" s="3">
        <f t="shared" si="154"/>
        <v>1</v>
      </c>
      <c r="W823" s="9">
        <f t="shared" si="155"/>
        <v>0</v>
      </c>
      <c r="AC823"/>
    </row>
    <row r="824" spans="1:29" x14ac:dyDescent="0.25">
      <c r="A824" t="s">
        <v>998</v>
      </c>
      <c r="B824">
        <v>6</v>
      </c>
      <c r="C824" t="s">
        <v>960</v>
      </c>
      <c r="D824" t="s">
        <v>478</v>
      </c>
      <c r="E824">
        <v>11</v>
      </c>
      <c r="F824">
        <v>6.55</v>
      </c>
      <c r="G824">
        <v>16.3216</v>
      </c>
      <c r="H824" t="s">
        <v>478</v>
      </c>
      <c r="I824" t="s">
        <v>478</v>
      </c>
      <c r="J824" t="s">
        <v>23</v>
      </c>
      <c r="K824">
        <f t="shared" si="144"/>
        <v>88.72</v>
      </c>
      <c r="L824">
        <f t="shared" si="145"/>
        <v>407.6961</v>
      </c>
      <c r="M824" t="str">
        <f t="shared" si="146"/>
        <v>matty-6</v>
      </c>
      <c r="N824" t="str">
        <f>INDEX(Scores!$A$2:$A$11,INDEX(Scores!$AA$2:$AA$131,MATCH(C824,Scores!$AB$2:$AB$131,0)))</f>
        <v>matty</v>
      </c>
      <c r="O824">
        <f t="shared" si="147"/>
        <v>109.91000000000001</v>
      </c>
      <c r="P824">
        <f t="shared" si="148"/>
        <v>387.28550000000001</v>
      </c>
      <c r="Q824" s="3">
        <f t="shared" si="149"/>
        <v>0.22616370321424212</v>
      </c>
      <c r="R824" s="3">
        <f t="shared" si="150"/>
        <v>0.27428521722068622</v>
      </c>
      <c r="S824" s="9">
        <f t="shared" si="151"/>
        <v>4.8121514006444099E-2</v>
      </c>
      <c r="T824">
        <f t="shared" si="152"/>
        <v>102</v>
      </c>
      <c r="U824">
        <f t="shared" si="153"/>
        <v>119</v>
      </c>
      <c r="V824" s="3">
        <f t="shared" si="154"/>
        <v>5.4991562559071788E-8</v>
      </c>
      <c r="W824" s="9">
        <f t="shared" si="155"/>
        <v>-5.4991562559071788E-8</v>
      </c>
      <c r="AC824"/>
    </row>
    <row r="825" spans="1:29" x14ac:dyDescent="0.25">
      <c r="A825" t="s">
        <v>140</v>
      </c>
      <c r="B825">
        <v>2</v>
      </c>
      <c r="C825" t="s">
        <v>620</v>
      </c>
      <c r="D825" t="s">
        <v>472</v>
      </c>
      <c r="E825">
        <v>2</v>
      </c>
      <c r="F825">
        <v>10.56</v>
      </c>
      <c r="G825">
        <v>39.69</v>
      </c>
      <c r="H825" t="s">
        <v>87</v>
      </c>
      <c r="I825" t="s">
        <v>87</v>
      </c>
      <c r="J825" t="s">
        <v>40</v>
      </c>
      <c r="K825">
        <f t="shared" si="144"/>
        <v>103.97000000000001</v>
      </c>
      <c r="L825">
        <f t="shared" si="145"/>
        <v>402.37729999999999</v>
      </c>
      <c r="M825" t="e">
        <f t="shared" si="146"/>
        <v>#N/A</v>
      </c>
      <c r="N825" t="e">
        <f>INDEX(Scores!$A$2:$A$11,INDEX(Scores!$AA$2:$AA$131,MATCH(C825,Scores!$AB$2:$AB$131,0)))</f>
        <v>#N/A</v>
      </c>
      <c r="O825">
        <f t="shared" si="147"/>
        <v>0</v>
      </c>
      <c r="P825">
        <f t="shared" si="148"/>
        <v>0</v>
      </c>
      <c r="Q825" s="3">
        <f t="shared" si="149"/>
        <v>0.9999998908980352</v>
      </c>
      <c r="R825" s="3">
        <f t="shared" si="150"/>
        <v>0.99999972768657386</v>
      </c>
      <c r="S825" s="9">
        <f t="shared" si="151"/>
        <v>-1.6321146134590236E-7</v>
      </c>
      <c r="T825">
        <f t="shared" si="152"/>
        <v>60</v>
      </c>
      <c r="U825">
        <f t="shared" si="153"/>
        <v>0</v>
      </c>
      <c r="V825" s="3">
        <f t="shared" si="154"/>
        <v>1</v>
      </c>
      <c r="W825" s="9">
        <f t="shared" si="155"/>
        <v>0</v>
      </c>
      <c r="AC825"/>
    </row>
    <row r="826" spans="1:29" x14ac:dyDescent="0.25">
      <c r="A826" t="s">
        <v>137</v>
      </c>
      <c r="B826">
        <v>2</v>
      </c>
      <c r="C826" t="s">
        <v>623</v>
      </c>
      <c r="D826" t="s">
        <v>466</v>
      </c>
      <c r="E826">
        <v>4</v>
      </c>
      <c r="F826">
        <v>7.66</v>
      </c>
      <c r="G826">
        <v>28.622499999999999</v>
      </c>
      <c r="H826" t="s">
        <v>466</v>
      </c>
      <c r="I826" t="s">
        <v>87</v>
      </c>
      <c r="J826" t="s">
        <v>27</v>
      </c>
      <c r="K826">
        <f t="shared" si="144"/>
        <v>103.61999999999999</v>
      </c>
      <c r="L826">
        <f t="shared" si="145"/>
        <v>357.30130000000003</v>
      </c>
      <c r="M826" t="str">
        <f t="shared" si="146"/>
        <v>cory-2</v>
      </c>
      <c r="N826" t="str">
        <f>INDEX(Scores!$A$2:$A$11,INDEX(Scores!$AA$2:$AA$131,MATCH(C826,Scores!$AB$2:$AB$131,0)))</f>
        <v>cory</v>
      </c>
      <c r="O826">
        <f t="shared" si="147"/>
        <v>102.7</v>
      </c>
      <c r="P826">
        <f t="shared" si="148"/>
        <v>377.5104</v>
      </c>
      <c r="Q826" s="3">
        <f t="shared" si="149"/>
        <v>0.51353712670419016</v>
      </c>
      <c r="R826" s="3">
        <f t="shared" si="150"/>
        <v>0.45893884795219431</v>
      </c>
      <c r="S826" s="9">
        <f t="shared" si="151"/>
        <v>-5.4598278751995855E-2</v>
      </c>
      <c r="T826">
        <f t="shared" si="152"/>
        <v>65</v>
      </c>
      <c r="U826">
        <f t="shared" si="153"/>
        <v>97</v>
      </c>
      <c r="V826" s="3">
        <f t="shared" si="154"/>
        <v>5.8797141799106892E-8</v>
      </c>
      <c r="W826" s="9">
        <f t="shared" si="155"/>
        <v>-5.8797141799106892E-8</v>
      </c>
      <c r="AC826"/>
    </row>
    <row r="827" spans="1:29" x14ac:dyDescent="0.25">
      <c r="A827" t="s">
        <v>464</v>
      </c>
      <c r="B827">
        <v>7</v>
      </c>
      <c r="C827" t="s">
        <v>945</v>
      </c>
      <c r="D827" t="s">
        <v>478</v>
      </c>
      <c r="E827">
        <v>17</v>
      </c>
      <c r="F827">
        <v>7.72</v>
      </c>
      <c r="G827">
        <v>17.808399999999999</v>
      </c>
      <c r="H827" t="s">
        <v>478</v>
      </c>
      <c r="I827" t="s">
        <v>478</v>
      </c>
      <c r="J827" t="s">
        <v>62</v>
      </c>
      <c r="K827">
        <f t="shared" si="144"/>
        <v>99.759999999999991</v>
      </c>
      <c r="L827">
        <f t="shared" si="145"/>
        <v>339.923</v>
      </c>
      <c r="M827" t="str">
        <f t="shared" si="146"/>
        <v>perry-7</v>
      </c>
      <c r="N827" t="str">
        <f>INDEX(Scores!$A$2:$A$11,INDEX(Scores!$AA$2:$AA$131,MATCH(C827,Scores!$AB$2:$AB$131,0)))</f>
        <v>perry</v>
      </c>
      <c r="O827">
        <f t="shared" si="147"/>
        <v>103.81000000000002</v>
      </c>
      <c r="P827">
        <f t="shared" si="148"/>
        <v>404.20889999999997</v>
      </c>
      <c r="Q827" s="3">
        <f t="shared" si="149"/>
        <v>0.44098709635876499</v>
      </c>
      <c r="R827" s="3">
        <f t="shared" si="150"/>
        <v>0.57693565661490376</v>
      </c>
      <c r="S827" s="9">
        <f t="shared" si="151"/>
        <v>0.13594856025613877</v>
      </c>
      <c r="T827">
        <f t="shared" si="152"/>
        <v>102</v>
      </c>
      <c r="U827">
        <f t="shared" si="153"/>
        <v>115</v>
      </c>
      <c r="V827" s="3">
        <f t="shared" si="154"/>
        <v>6.4725736670086125E-8</v>
      </c>
      <c r="W827" s="9">
        <f t="shared" si="155"/>
        <v>-6.4725736670086125E-8</v>
      </c>
      <c r="AC827"/>
    </row>
    <row r="828" spans="1:29" x14ac:dyDescent="0.25">
      <c r="A828" t="s">
        <v>447</v>
      </c>
      <c r="B828">
        <v>9</v>
      </c>
      <c r="C828" t="s">
        <v>955</v>
      </c>
      <c r="D828" t="s">
        <v>478</v>
      </c>
      <c r="E828">
        <v>9</v>
      </c>
      <c r="F828">
        <v>6.99</v>
      </c>
      <c r="G828">
        <v>21.068100000000001</v>
      </c>
      <c r="H828" t="s">
        <v>478</v>
      </c>
      <c r="I828" t="s">
        <v>478</v>
      </c>
      <c r="J828" t="s">
        <v>40</v>
      </c>
      <c r="K828">
        <f t="shared" si="144"/>
        <v>81.42</v>
      </c>
      <c r="L828">
        <f t="shared" si="145"/>
        <v>278.07840000000004</v>
      </c>
      <c r="M828" t="e">
        <f t="shared" si="146"/>
        <v>#N/A</v>
      </c>
      <c r="N828" t="e">
        <f>INDEX(Scores!$A$2:$A$11,INDEX(Scores!$AA$2:$AA$131,MATCH(C828,Scores!$AB$2:$AB$131,0)))</f>
        <v>#N/A</v>
      </c>
      <c r="O828">
        <f t="shared" si="147"/>
        <v>0</v>
      </c>
      <c r="P828">
        <f t="shared" si="148"/>
        <v>0</v>
      </c>
      <c r="Q828" s="3">
        <f t="shared" si="149"/>
        <v>0.99999947640964748</v>
      </c>
      <c r="R828" s="3">
        <f t="shared" si="150"/>
        <v>0.99999990253895454</v>
      </c>
      <c r="S828" s="9">
        <f t="shared" si="151"/>
        <v>4.2612930706287244E-7</v>
      </c>
      <c r="T828">
        <f t="shared" si="152"/>
        <v>67</v>
      </c>
      <c r="U828">
        <f t="shared" si="153"/>
        <v>0</v>
      </c>
      <c r="V828" s="3">
        <f t="shared" si="154"/>
        <v>1</v>
      </c>
      <c r="W828" s="9">
        <f t="shared" si="155"/>
        <v>0</v>
      </c>
      <c r="AC828"/>
    </row>
    <row r="829" spans="1:29" x14ac:dyDescent="0.25">
      <c r="A829" t="s">
        <v>1159</v>
      </c>
      <c r="B829">
        <v>13</v>
      </c>
      <c r="C829" t="s">
        <v>911</v>
      </c>
      <c r="D829" t="s">
        <v>478</v>
      </c>
      <c r="E829">
        <v>2</v>
      </c>
      <c r="F829">
        <v>5.46</v>
      </c>
      <c r="G829">
        <v>10.4329</v>
      </c>
      <c r="H829" t="s">
        <v>478</v>
      </c>
      <c r="I829" t="s">
        <v>478</v>
      </c>
      <c r="J829" t="s">
        <v>20</v>
      </c>
      <c r="K829">
        <f t="shared" si="144"/>
        <v>108.61</v>
      </c>
      <c r="L829">
        <f t="shared" si="145"/>
        <v>407.25390000000004</v>
      </c>
      <c r="M829" t="str">
        <f t="shared" si="146"/>
        <v>cory-13</v>
      </c>
      <c r="N829" t="str">
        <f>INDEX(Scores!$A$2:$A$11,INDEX(Scores!$AA$2:$AA$131,MATCH(C829,Scores!$AB$2:$AB$131,0)))</f>
        <v>cory</v>
      </c>
      <c r="O829">
        <f t="shared" si="147"/>
        <v>106.87</v>
      </c>
      <c r="P829">
        <f t="shared" si="148"/>
        <v>444.05589999999995</v>
      </c>
      <c r="Q829" s="3">
        <f t="shared" si="149"/>
        <v>0.52377705912504058</v>
      </c>
      <c r="R829" s="3">
        <f t="shared" si="150"/>
        <v>0.47635073197417649</v>
      </c>
      <c r="S829" s="9">
        <f t="shared" si="151"/>
        <v>-4.7426327150864089E-2</v>
      </c>
      <c r="T829">
        <f t="shared" si="152"/>
        <v>66</v>
      </c>
      <c r="U829">
        <f t="shared" si="153"/>
        <v>86</v>
      </c>
      <c r="V829" s="3">
        <f t="shared" si="154"/>
        <v>1.5216705824529808E-7</v>
      </c>
      <c r="W829" s="9">
        <f t="shared" si="155"/>
        <v>-1.5216705824529808E-7</v>
      </c>
      <c r="AC829"/>
    </row>
    <row r="830" spans="1:29" x14ac:dyDescent="0.25">
      <c r="A830" t="s">
        <v>113</v>
      </c>
      <c r="B830">
        <v>2</v>
      </c>
      <c r="C830" t="s">
        <v>620</v>
      </c>
      <c r="D830" t="s">
        <v>475</v>
      </c>
      <c r="E830">
        <v>17</v>
      </c>
      <c r="F830">
        <v>11.37</v>
      </c>
      <c r="G830">
        <v>87.796899999999994</v>
      </c>
      <c r="H830" t="s">
        <v>114</v>
      </c>
      <c r="I830" t="s">
        <v>114</v>
      </c>
      <c r="J830" t="s">
        <v>40</v>
      </c>
      <c r="K830">
        <f t="shared" si="144"/>
        <v>103.97000000000001</v>
      </c>
      <c r="L830">
        <f t="shared" si="145"/>
        <v>402.37729999999999</v>
      </c>
      <c r="M830" t="e">
        <f t="shared" si="146"/>
        <v>#N/A</v>
      </c>
      <c r="N830" t="e">
        <f>INDEX(Scores!$A$2:$A$11,INDEX(Scores!$AA$2:$AA$131,MATCH(C830,Scores!$AB$2:$AB$131,0)))</f>
        <v>#N/A</v>
      </c>
      <c r="O830">
        <f t="shared" si="147"/>
        <v>0</v>
      </c>
      <c r="P830">
        <f t="shared" si="148"/>
        <v>0</v>
      </c>
      <c r="Q830" s="3">
        <f t="shared" si="149"/>
        <v>0.9999998908980352</v>
      </c>
      <c r="R830" s="3">
        <f t="shared" si="150"/>
        <v>0.99999999967822573</v>
      </c>
      <c r="S830" s="9">
        <f t="shared" si="151"/>
        <v>1.0878019052196208E-7</v>
      </c>
      <c r="T830">
        <f t="shared" si="152"/>
        <v>60</v>
      </c>
      <c r="U830">
        <f t="shared" si="153"/>
        <v>0</v>
      </c>
      <c r="V830" s="3">
        <f t="shared" si="154"/>
        <v>0.999999996734526</v>
      </c>
      <c r="W830" s="9">
        <f t="shared" si="155"/>
        <v>3.2654740023119189E-9</v>
      </c>
      <c r="AC830"/>
    </row>
    <row r="831" spans="1:29" x14ac:dyDescent="0.25">
      <c r="A831" t="s">
        <v>449</v>
      </c>
      <c r="B831">
        <v>6</v>
      </c>
      <c r="C831" t="s">
        <v>912</v>
      </c>
      <c r="D831" t="s">
        <v>478</v>
      </c>
      <c r="E831">
        <v>4</v>
      </c>
      <c r="F831">
        <v>6.87</v>
      </c>
      <c r="G831">
        <v>10.112399999999999</v>
      </c>
      <c r="H831" t="s">
        <v>478</v>
      </c>
      <c r="I831" t="s">
        <v>478</v>
      </c>
      <c r="J831" t="s">
        <v>16</v>
      </c>
      <c r="K831">
        <f t="shared" si="144"/>
        <v>102.10000000000001</v>
      </c>
      <c r="L831">
        <f t="shared" si="145"/>
        <v>445.16630000000004</v>
      </c>
      <c r="M831" t="str">
        <f t="shared" si="146"/>
        <v>aj-6</v>
      </c>
      <c r="N831" t="str">
        <f>INDEX(Scores!$A$2:$A$11,INDEX(Scores!$AA$2:$AA$131,MATCH(C831,Scores!$AB$2:$AB$131,0)))</f>
        <v>aj</v>
      </c>
      <c r="O831">
        <f t="shared" si="147"/>
        <v>108.8</v>
      </c>
      <c r="P831">
        <f t="shared" si="148"/>
        <v>404.29040000000003</v>
      </c>
      <c r="Q831" s="3">
        <f t="shared" si="149"/>
        <v>0.40909189376360988</v>
      </c>
      <c r="R831" s="3">
        <f t="shared" si="150"/>
        <v>0.37057708135332174</v>
      </c>
      <c r="S831" s="9">
        <f t="shared" si="151"/>
        <v>-3.8514812410288146E-2</v>
      </c>
      <c r="T831">
        <f t="shared" si="152"/>
        <v>85</v>
      </c>
      <c r="U831">
        <f t="shared" si="153"/>
        <v>104</v>
      </c>
      <c r="V831" s="3">
        <f t="shared" si="154"/>
        <v>1.9649012693505091E-7</v>
      </c>
      <c r="W831" s="9">
        <f t="shared" si="155"/>
        <v>-1.9649012693505091E-7</v>
      </c>
      <c r="AC831"/>
    </row>
    <row r="832" spans="1:29" x14ac:dyDescent="0.25">
      <c r="A832" t="s">
        <v>424</v>
      </c>
      <c r="B832">
        <v>3</v>
      </c>
      <c r="C832" t="s">
        <v>809</v>
      </c>
      <c r="D832" t="s">
        <v>477</v>
      </c>
      <c r="E832">
        <v>6</v>
      </c>
      <c r="F832">
        <v>8.9600000000000009</v>
      </c>
      <c r="G832">
        <v>28.515599999999999</v>
      </c>
      <c r="H832" t="s">
        <v>477</v>
      </c>
      <c r="I832" t="s">
        <v>477</v>
      </c>
      <c r="J832" t="s">
        <v>23</v>
      </c>
      <c r="K832">
        <f t="shared" si="144"/>
        <v>101.86999999999999</v>
      </c>
      <c r="L832">
        <f t="shared" si="145"/>
        <v>350.57169999999996</v>
      </c>
      <c r="M832" t="str">
        <f t="shared" si="146"/>
        <v>scott-3</v>
      </c>
      <c r="N832" t="str">
        <f>INDEX(Scores!$A$2:$A$11,INDEX(Scores!$AA$2:$AA$131,MATCH(C832,Scores!$AB$2:$AB$131,0)))</f>
        <v>scott</v>
      </c>
      <c r="O832">
        <f t="shared" si="147"/>
        <v>110.35</v>
      </c>
      <c r="P832">
        <f t="shared" si="148"/>
        <v>442.53309999999999</v>
      </c>
      <c r="Q832" s="3">
        <f t="shared" si="149"/>
        <v>0.38166388462507189</v>
      </c>
      <c r="R832" s="3">
        <f t="shared" si="150"/>
        <v>0.33953769514350629</v>
      </c>
      <c r="S832" s="9">
        <f t="shared" si="151"/>
        <v>-4.2126189481565601E-2</v>
      </c>
      <c r="T832">
        <f t="shared" si="152"/>
        <v>102</v>
      </c>
      <c r="U832">
        <f t="shared" si="153"/>
        <v>132</v>
      </c>
      <c r="V832" s="3">
        <f t="shared" si="154"/>
        <v>2.0563020824662257E-7</v>
      </c>
      <c r="W832" s="9">
        <f t="shared" si="155"/>
        <v>-2.0563020824662257E-7</v>
      </c>
      <c r="AC832"/>
    </row>
    <row r="833" spans="1:29" x14ac:dyDescent="0.25">
      <c r="A833" t="s">
        <v>59</v>
      </c>
      <c r="B833">
        <v>4</v>
      </c>
      <c r="C833" t="s">
        <v>859</v>
      </c>
      <c r="D833" t="s">
        <v>467</v>
      </c>
      <c r="E833">
        <v>22</v>
      </c>
      <c r="F833">
        <v>17.97</v>
      </c>
      <c r="G833">
        <v>28.729600000000001</v>
      </c>
      <c r="H833" t="s">
        <v>15</v>
      </c>
      <c r="I833" t="s">
        <v>15</v>
      </c>
      <c r="J833" t="s">
        <v>40</v>
      </c>
      <c r="K833">
        <f t="shared" si="144"/>
        <v>103.94999999999999</v>
      </c>
      <c r="L833">
        <f t="shared" si="145"/>
        <v>368.50220000000002</v>
      </c>
      <c r="M833" t="e">
        <f t="shared" si="146"/>
        <v>#N/A</v>
      </c>
      <c r="N833" t="e">
        <f>INDEX(Scores!$A$2:$A$11,INDEX(Scores!$AA$2:$AA$131,MATCH(C833,Scores!$AB$2:$AB$131,0)))</f>
        <v>#N/A</v>
      </c>
      <c r="O833">
        <f t="shared" si="147"/>
        <v>0</v>
      </c>
      <c r="P833">
        <f t="shared" si="148"/>
        <v>0</v>
      </c>
      <c r="Q833" s="3">
        <f t="shared" si="149"/>
        <v>0.99999996936843616</v>
      </c>
      <c r="R833" s="3">
        <f t="shared" si="150"/>
        <v>0.99999999765758474</v>
      </c>
      <c r="S833" s="9">
        <f t="shared" si="151"/>
        <v>2.8289148579219159E-8</v>
      </c>
      <c r="T833">
        <f t="shared" si="152"/>
        <v>69</v>
      </c>
      <c r="U833">
        <f t="shared" si="153"/>
        <v>0</v>
      </c>
      <c r="V833" s="3">
        <f t="shared" si="154"/>
        <v>1</v>
      </c>
      <c r="W833" s="9">
        <f t="shared" si="155"/>
        <v>0</v>
      </c>
      <c r="AC833"/>
    </row>
    <row r="834" spans="1:29" x14ac:dyDescent="0.25">
      <c r="A834" t="s">
        <v>155</v>
      </c>
      <c r="B834">
        <v>1</v>
      </c>
      <c r="C834" t="s">
        <v>508</v>
      </c>
      <c r="D834" t="s">
        <v>469</v>
      </c>
      <c r="E834">
        <v>8</v>
      </c>
      <c r="F834">
        <v>6.19</v>
      </c>
      <c r="G834">
        <v>15.602499999999999</v>
      </c>
      <c r="H834" t="s">
        <v>47</v>
      </c>
      <c r="I834" t="s">
        <v>47</v>
      </c>
      <c r="J834" t="s">
        <v>23</v>
      </c>
      <c r="K834">
        <f t="shared" ref="K834:K897" si="156">SUMIF($C$2:$C$1301,$C834,$F$2:$F$1301)</f>
        <v>94.44</v>
      </c>
      <c r="L834">
        <f t="shared" ref="L834:L897" si="157">SUMIF($C$2:$C$1301,$C834,$G$2:$G$1301)</f>
        <v>399.28809999999999</v>
      </c>
      <c r="M834" t="str">
        <f t="shared" ref="M834:M897" si="158">N834&amp;"-"&amp;B834</f>
        <v>cory-1</v>
      </c>
      <c r="N834" t="str">
        <f>INDEX(Scores!$A$2:$A$11,INDEX(Scores!$AA$2:$AA$131,MATCH(C834,Scores!$AB$2:$AB$131,0)))</f>
        <v>cory</v>
      </c>
      <c r="O834">
        <f t="shared" ref="O834:O897" si="159">SUMIF($C$2:$C$1301,$M834,$F$2:$F$1301)</f>
        <v>105.11000000000001</v>
      </c>
      <c r="P834">
        <f t="shared" ref="P834:P897" si="160">SUMIF($C$2:$C$1301,$M834,$G$2:$G$1301)</f>
        <v>445.52289999999994</v>
      </c>
      <c r="Q834" s="3">
        <f t="shared" ref="Q834:Q897" si="161">_xlfn.NORM.DIST(0,$O834-$K834,SQRT($L834+$P834),TRUE)</f>
        <v>0.35677213328906182</v>
      </c>
      <c r="R834" s="3">
        <f t="shared" ref="R834:R897" si="162">_xlfn.NORM.DIST(0,$O834-$K834-($E834-$F834),SQRT($L834+$P834-$G834),TRUE)</f>
        <v>0.37916222369653307</v>
      </c>
      <c r="S834" s="9">
        <f t="shared" ref="S834:S897" si="163">R834-Q834</f>
        <v>2.2390090407471253E-2</v>
      </c>
      <c r="T834">
        <f t="shared" ref="T834:T897" si="164">SUMIF($C$2:$C$1301,$C834,$E$2:$E$1301)</f>
        <v>82</v>
      </c>
      <c r="U834">
        <f t="shared" ref="U834:U897" si="165">SUMIF($C$2:$C$1301,$M834,$E$2:$E$1301)</f>
        <v>100</v>
      </c>
      <c r="V834" s="3">
        <f t="shared" ref="V834:V897" si="166">_xlfn.NORM.DIST(0,U834-T834+E834-F834,SQRT(G834),TRUE)</f>
        <v>2.6490559145162998E-7</v>
      </c>
      <c r="W834" s="9">
        <f t="shared" ref="W834:W897" si="167">IFERROR(IF(U834&gt;T834,0,1)-V834,0)</f>
        <v>-2.6490559145162998E-7</v>
      </c>
      <c r="AC834"/>
    </row>
    <row r="835" spans="1:29" x14ac:dyDescent="0.25">
      <c r="A835" t="s">
        <v>39</v>
      </c>
      <c r="B835">
        <v>2</v>
      </c>
      <c r="C835" t="s">
        <v>620</v>
      </c>
      <c r="D835" t="s">
        <v>467</v>
      </c>
      <c r="E835">
        <v>11</v>
      </c>
      <c r="F835">
        <v>20.13</v>
      </c>
      <c r="G835">
        <v>43.0336</v>
      </c>
      <c r="H835" t="s">
        <v>15</v>
      </c>
      <c r="I835" t="s">
        <v>15</v>
      </c>
      <c r="J835" t="s">
        <v>40</v>
      </c>
      <c r="K835">
        <f t="shared" si="156"/>
        <v>103.97000000000001</v>
      </c>
      <c r="L835">
        <f t="shared" si="157"/>
        <v>402.37729999999999</v>
      </c>
      <c r="M835" t="e">
        <f t="shared" si="158"/>
        <v>#N/A</v>
      </c>
      <c r="N835" t="e">
        <f>INDEX(Scores!$A$2:$A$11,INDEX(Scores!$AA$2:$AA$131,MATCH(C835,Scores!$AB$2:$AB$131,0)))</f>
        <v>#N/A</v>
      </c>
      <c r="O835">
        <f t="shared" si="159"/>
        <v>0</v>
      </c>
      <c r="P835">
        <f t="shared" si="160"/>
        <v>0</v>
      </c>
      <c r="Q835" s="3">
        <f t="shared" si="161"/>
        <v>0.9999998908980352</v>
      </c>
      <c r="R835" s="3">
        <f t="shared" si="162"/>
        <v>0.99999971787692732</v>
      </c>
      <c r="S835" s="9">
        <f t="shared" si="163"/>
        <v>-1.7302110788541825E-7</v>
      </c>
      <c r="T835">
        <f t="shared" si="164"/>
        <v>60</v>
      </c>
      <c r="U835">
        <f t="shared" si="165"/>
        <v>0</v>
      </c>
      <c r="V835" s="3">
        <f t="shared" si="166"/>
        <v>1</v>
      </c>
      <c r="W835" s="9">
        <f t="shared" si="167"/>
        <v>0</v>
      </c>
      <c r="AC835"/>
    </row>
    <row r="836" spans="1:29" x14ac:dyDescent="0.25">
      <c r="A836" t="s">
        <v>451</v>
      </c>
      <c r="B836">
        <v>1</v>
      </c>
      <c r="C836" t="s">
        <v>508</v>
      </c>
      <c r="D836" t="s">
        <v>478</v>
      </c>
      <c r="E836">
        <v>6</v>
      </c>
      <c r="F836">
        <v>7.04</v>
      </c>
      <c r="G836">
        <v>11.492100000000001</v>
      </c>
      <c r="H836" t="s">
        <v>478</v>
      </c>
      <c r="I836" t="s">
        <v>478</v>
      </c>
      <c r="J836" t="s">
        <v>23</v>
      </c>
      <c r="K836">
        <f t="shared" si="156"/>
        <v>94.44</v>
      </c>
      <c r="L836">
        <f t="shared" si="157"/>
        <v>399.28809999999999</v>
      </c>
      <c r="M836" t="str">
        <f t="shared" si="158"/>
        <v>cory-1</v>
      </c>
      <c r="N836" t="str">
        <f>INDEX(Scores!$A$2:$A$11,INDEX(Scores!$AA$2:$AA$131,MATCH(C836,Scores!$AB$2:$AB$131,0)))</f>
        <v>cory</v>
      </c>
      <c r="O836">
        <f t="shared" si="159"/>
        <v>105.11000000000001</v>
      </c>
      <c r="P836">
        <f t="shared" si="160"/>
        <v>445.52289999999994</v>
      </c>
      <c r="Q836" s="3">
        <f t="shared" si="161"/>
        <v>0.35677213328906182</v>
      </c>
      <c r="R836" s="3">
        <f t="shared" si="162"/>
        <v>0.34249996164870677</v>
      </c>
      <c r="S836" s="9">
        <f t="shared" si="163"/>
        <v>-1.4272171640355047E-2</v>
      </c>
      <c r="T836">
        <f t="shared" si="164"/>
        <v>82</v>
      </c>
      <c r="U836">
        <f t="shared" si="165"/>
        <v>100</v>
      </c>
      <c r="V836" s="3">
        <f t="shared" si="166"/>
        <v>2.8229815866508097E-7</v>
      </c>
      <c r="W836" s="9">
        <f t="shared" si="167"/>
        <v>-2.8229815866508097E-7</v>
      </c>
      <c r="AC836"/>
    </row>
    <row r="837" spans="1:29" x14ac:dyDescent="0.25">
      <c r="A837" t="s">
        <v>405</v>
      </c>
      <c r="B837">
        <v>11</v>
      </c>
      <c r="C837" t="s">
        <v>973</v>
      </c>
      <c r="D837" t="s">
        <v>477</v>
      </c>
      <c r="E837">
        <v>19</v>
      </c>
      <c r="F837">
        <v>7.09</v>
      </c>
      <c r="G837">
        <v>17.556100000000001</v>
      </c>
      <c r="H837" t="s">
        <v>477</v>
      </c>
      <c r="I837" t="s">
        <v>477</v>
      </c>
      <c r="J837" t="s">
        <v>49</v>
      </c>
      <c r="K837">
        <f t="shared" si="156"/>
        <v>88.670000000000016</v>
      </c>
      <c r="L837">
        <f t="shared" si="157"/>
        <v>334.39179999999999</v>
      </c>
      <c r="M837" t="str">
        <f t="shared" si="158"/>
        <v>comp-11</v>
      </c>
      <c r="N837" t="str">
        <f>INDEX(Scores!$A$2:$A$11,INDEX(Scores!$AA$2:$AA$131,MATCH(C837,Scores!$AB$2:$AB$131,0)))</f>
        <v>comp</v>
      </c>
      <c r="O837">
        <f t="shared" si="159"/>
        <v>98.580000000000013</v>
      </c>
      <c r="P837">
        <f t="shared" si="160"/>
        <v>364.4375</v>
      </c>
      <c r="Q837" s="3">
        <f t="shared" si="161"/>
        <v>0.35387619533584119</v>
      </c>
      <c r="R837" s="3">
        <f t="shared" si="162"/>
        <v>0.53053898454167525</v>
      </c>
      <c r="S837" s="9">
        <f t="shared" si="163"/>
        <v>0.17666278920583406</v>
      </c>
      <c r="T837">
        <f t="shared" si="164"/>
        <v>102</v>
      </c>
      <c r="U837">
        <f t="shared" si="165"/>
        <v>111</v>
      </c>
      <c r="V837" s="3">
        <f t="shared" si="166"/>
        <v>3.0118856506217825E-7</v>
      </c>
      <c r="W837" s="9">
        <f t="shared" si="167"/>
        <v>-3.0118856506217825E-7</v>
      </c>
      <c r="AC837"/>
    </row>
    <row r="838" spans="1:29" x14ac:dyDescent="0.25">
      <c r="A838" t="s">
        <v>53</v>
      </c>
      <c r="B838">
        <v>1</v>
      </c>
      <c r="C838" t="s">
        <v>507</v>
      </c>
      <c r="D838" t="s">
        <v>467</v>
      </c>
      <c r="E838">
        <v>8</v>
      </c>
      <c r="F838">
        <v>18.98</v>
      </c>
      <c r="G838">
        <v>58.216900000000003</v>
      </c>
      <c r="H838" t="s">
        <v>15</v>
      </c>
      <c r="I838" t="s">
        <v>15</v>
      </c>
      <c r="J838" t="s">
        <v>55</v>
      </c>
      <c r="K838">
        <f t="shared" si="156"/>
        <v>90.7</v>
      </c>
      <c r="L838">
        <f t="shared" si="157"/>
        <v>347.93650000000002</v>
      </c>
      <c r="M838" t="str">
        <f t="shared" si="158"/>
        <v>scott-1</v>
      </c>
      <c r="N838" t="str">
        <f>INDEX(Scores!$A$2:$A$11,INDEX(Scores!$AA$2:$AA$131,MATCH(C838,Scores!$AB$2:$AB$131,0)))</f>
        <v>scott</v>
      </c>
      <c r="O838">
        <f t="shared" si="159"/>
        <v>102.78</v>
      </c>
      <c r="P838">
        <f t="shared" si="160"/>
        <v>382.14119999999997</v>
      </c>
      <c r="Q838" s="3">
        <f t="shared" si="161"/>
        <v>0.32740970845919121</v>
      </c>
      <c r="R838" s="3">
        <f t="shared" si="162"/>
        <v>0.1868266670183025</v>
      </c>
      <c r="S838" s="9">
        <f t="shared" si="163"/>
        <v>-0.14058304144088871</v>
      </c>
      <c r="T838">
        <f t="shared" si="164"/>
        <v>71</v>
      </c>
      <c r="U838">
        <f t="shared" si="165"/>
        <v>120</v>
      </c>
      <c r="V838" s="3">
        <f t="shared" si="166"/>
        <v>3.1309127022773932E-7</v>
      </c>
      <c r="W838" s="9">
        <f t="shared" si="167"/>
        <v>-3.1309127022773932E-7</v>
      </c>
      <c r="AC838"/>
    </row>
    <row r="839" spans="1:29" x14ac:dyDescent="0.25">
      <c r="A839" t="s">
        <v>213</v>
      </c>
      <c r="B839">
        <v>6</v>
      </c>
      <c r="C839" t="s">
        <v>960</v>
      </c>
      <c r="D839" t="s">
        <v>475</v>
      </c>
      <c r="E839">
        <v>13</v>
      </c>
      <c r="F839">
        <v>6.78</v>
      </c>
      <c r="G839">
        <v>22.7529</v>
      </c>
      <c r="H839" t="s">
        <v>114</v>
      </c>
      <c r="I839" t="s">
        <v>114</v>
      </c>
      <c r="J839" t="s">
        <v>23</v>
      </c>
      <c r="K839">
        <f t="shared" si="156"/>
        <v>88.72</v>
      </c>
      <c r="L839">
        <f t="shared" si="157"/>
        <v>407.6961</v>
      </c>
      <c r="M839" t="str">
        <f t="shared" si="158"/>
        <v>matty-6</v>
      </c>
      <c r="N839" t="str">
        <f>INDEX(Scores!$A$2:$A$11,INDEX(Scores!$AA$2:$AA$131,MATCH(C839,Scores!$AB$2:$AB$131,0)))</f>
        <v>matty</v>
      </c>
      <c r="O839">
        <f t="shared" si="159"/>
        <v>109.91000000000001</v>
      </c>
      <c r="P839">
        <f t="shared" si="160"/>
        <v>387.28550000000001</v>
      </c>
      <c r="Q839" s="3">
        <f t="shared" si="161"/>
        <v>0.22616370321424212</v>
      </c>
      <c r="R839" s="3">
        <f t="shared" si="162"/>
        <v>0.29504614260673134</v>
      </c>
      <c r="S839" s="9">
        <f t="shared" si="163"/>
        <v>6.8882439392489225E-2</v>
      </c>
      <c r="T839">
        <f t="shared" si="164"/>
        <v>102</v>
      </c>
      <c r="U839">
        <f t="shared" si="165"/>
        <v>119</v>
      </c>
      <c r="V839" s="3">
        <f t="shared" si="166"/>
        <v>5.6388190168935735E-7</v>
      </c>
      <c r="W839" s="9">
        <f t="shared" si="167"/>
        <v>-5.6388190168935735E-7</v>
      </c>
      <c r="AC839"/>
    </row>
    <row r="840" spans="1:29" x14ac:dyDescent="0.25">
      <c r="A840" t="s">
        <v>424</v>
      </c>
      <c r="B840">
        <v>6</v>
      </c>
      <c r="C840" t="s">
        <v>960</v>
      </c>
      <c r="D840" t="s">
        <v>477</v>
      </c>
      <c r="E840">
        <v>10</v>
      </c>
      <c r="F840">
        <v>2.7</v>
      </c>
      <c r="G840">
        <v>25.401599999999998</v>
      </c>
      <c r="H840" t="s">
        <v>477</v>
      </c>
      <c r="I840" t="s">
        <v>477</v>
      </c>
      <c r="J840" t="s">
        <v>23</v>
      </c>
      <c r="K840">
        <f t="shared" si="156"/>
        <v>88.72</v>
      </c>
      <c r="L840">
        <f t="shared" si="157"/>
        <v>407.6961</v>
      </c>
      <c r="M840" t="str">
        <f t="shared" si="158"/>
        <v>matty-6</v>
      </c>
      <c r="N840" t="str">
        <f>INDEX(Scores!$A$2:$A$11,INDEX(Scores!$AA$2:$AA$131,MATCH(C840,Scores!$AB$2:$AB$131,0)))</f>
        <v>matty</v>
      </c>
      <c r="O840">
        <f t="shared" si="159"/>
        <v>109.91000000000001</v>
      </c>
      <c r="P840">
        <f t="shared" si="160"/>
        <v>387.28550000000001</v>
      </c>
      <c r="Q840" s="3">
        <f t="shared" si="161"/>
        <v>0.22616370321424212</v>
      </c>
      <c r="R840" s="3">
        <f t="shared" si="162"/>
        <v>0.30829204177811387</v>
      </c>
      <c r="S840" s="9">
        <f t="shared" si="163"/>
        <v>8.212833856387175E-2</v>
      </c>
      <c r="T840">
        <f t="shared" si="164"/>
        <v>102</v>
      </c>
      <c r="U840">
        <f t="shared" si="165"/>
        <v>119</v>
      </c>
      <c r="V840" s="3">
        <f t="shared" si="166"/>
        <v>7.1266879572589957E-7</v>
      </c>
      <c r="W840" s="9">
        <f t="shared" si="167"/>
        <v>-7.1266879572589957E-7</v>
      </c>
      <c r="AC840"/>
    </row>
    <row r="841" spans="1:29" x14ac:dyDescent="0.25">
      <c r="A841" t="s">
        <v>256</v>
      </c>
      <c r="B841">
        <v>9</v>
      </c>
      <c r="C841" t="s">
        <v>955</v>
      </c>
      <c r="D841" t="s">
        <v>473</v>
      </c>
      <c r="E841">
        <v>5</v>
      </c>
      <c r="F841">
        <v>6.63</v>
      </c>
      <c r="G841">
        <v>17.977599999999999</v>
      </c>
      <c r="H841" t="s">
        <v>87</v>
      </c>
      <c r="I841" t="s">
        <v>87</v>
      </c>
      <c r="J841" t="s">
        <v>40</v>
      </c>
      <c r="K841">
        <f t="shared" si="156"/>
        <v>81.42</v>
      </c>
      <c r="L841">
        <f t="shared" si="157"/>
        <v>278.07840000000004</v>
      </c>
      <c r="M841" t="e">
        <f t="shared" si="158"/>
        <v>#N/A</v>
      </c>
      <c r="N841" t="e">
        <f>INDEX(Scores!$A$2:$A$11,INDEX(Scores!$AA$2:$AA$131,MATCH(C841,Scores!$AB$2:$AB$131,0)))</f>
        <v>#N/A</v>
      </c>
      <c r="O841">
        <f t="shared" si="159"/>
        <v>0</v>
      </c>
      <c r="P841">
        <f t="shared" si="160"/>
        <v>0</v>
      </c>
      <c r="Q841" s="3">
        <f t="shared" si="161"/>
        <v>0.99999947640964748</v>
      </c>
      <c r="R841" s="3">
        <f t="shared" si="162"/>
        <v>0.99999962395651887</v>
      </c>
      <c r="S841" s="9">
        <f t="shared" si="163"/>
        <v>1.4754687138740508E-7</v>
      </c>
      <c r="T841">
        <f t="shared" si="164"/>
        <v>67</v>
      </c>
      <c r="U841">
        <f t="shared" si="165"/>
        <v>0</v>
      </c>
      <c r="V841" s="3">
        <f t="shared" si="166"/>
        <v>1</v>
      </c>
      <c r="W841" s="9">
        <f t="shared" si="167"/>
        <v>0</v>
      </c>
      <c r="AC841"/>
    </row>
    <row r="842" spans="1:29" x14ac:dyDescent="0.25">
      <c r="A842" t="s">
        <v>97</v>
      </c>
      <c r="B842">
        <v>12</v>
      </c>
      <c r="C842" t="s">
        <v>910</v>
      </c>
      <c r="D842" t="s">
        <v>468</v>
      </c>
      <c r="E842">
        <v>1</v>
      </c>
      <c r="F842">
        <v>11.57</v>
      </c>
      <c r="G842">
        <v>46.24</v>
      </c>
      <c r="H842" t="s">
        <v>47</v>
      </c>
      <c r="I842" t="s">
        <v>47</v>
      </c>
      <c r="J842" t="s">
        <v>20</v>
      </c>
      <c r="K842">
        <f t="shared" si="156"/>
        <v>109.82</v>
      </c>
      <c r="L842">
        <f t="shared" si="157"/>
        <v>367.76499999999999</v>
      </c>
      <c r="M842" t="str">
        <f t="shared" si="158"/>
        <v>perry-12</v>
      </c>
      <c r="N842" t="str">
        <f>INDEX(Scores!$A$2:$A$11,INDEX(Scores!$AA$2:$AA$131,MATCH(C842,Scores!$AB$2:$AB$131,0)))</f>
        <v>perry</v>
      </c>
      <c r="O842">
        <f t="shared" si="159"/>
        <v>117.67999999999999</v>
      </c>
      <c r="P842">
        <f t="shared" si="160"/>
        <v>426.54240000000004</v>
      </c>
      <c r="Q842" s="3">
        <f t="shared" si="161"/>
        <v>0.39016577980232847</v>
      </c>
      <c r="R842" s="3">
        <f t="shared" si="162"/>
        <v>0.25020741689235909</v>
      </c>
      <c r="S842" s="9">
        <f t="shared" si="163"/>
        <v>-0.13995836290996938</v>
      </c>
      <c r="T842">
        <f t="shared" si="164"/>
        <v>88</v>
      </c>
      <c r="U842">
        <f t="shared" si="165"/>
        <v>131</v>
      </c>
      <c r="V842" s="3">
        <f t="shared" si="166"/>
        <v>9.2517290713070981E-7</v>
      </c>
      <c r="W842" s="9">
        <f t="shared" si="167"/>
        <v>-9.2517290713070981E-7</v>
      </c>
      <c r="AC842"/>
    </row>
    <row r="843" spans="1:29" x14ac:dyDescent="0.25">
      <c r="A843" t="s">
        <v>223</v>
      </c>
      <c r="B843">
        <v>9</v>
      </c>
      <c r="C843" t="s">
        <v>955</v>
      </c>
      <c r="D843" t="s">
        <v>466</v>
      </c>
      <c r="E843">
        <v>4</v>
      </c>
      <c r="F843">
        <v>6.52</v>
      </c>
      <c r="G843">
        <v>16.728100000000001</v>
      </c>
      <c r="H843" t="s">
        <v>466</v>
      </c>
      <c r="I843" t="s">
        <v>87</v>
      </c>
      <c r="J843" t="s">
        <v>40</v>
      </c>
      <c r="K843">
        <f t="shared" si="156"/>
        <v>81.42</v>
      </c>
      <c r="L843">
        <f t="shared" si="157"/>
        <v>278.07840000000004</v>
      </c>
      <c r="M843" t="e">
        <f t="shared" si="158"/>
        <v>#N/A</v>
      </c>
      <c r="N843" t="e">
        <f>INDEX(Scores!$A$2:$A$11,INDEX(Scores!$AA$2:$AA$131,MATCH(C843,Scores!$AB$2:$AB$131,0)))</f>
        <v>#N/A</v>
      </c>
      <c r="O843">
        <f t="shared" si="159"/>
        <v>0</v>
      </c>
      <c r="P843">
        <f t="shared" si="160"/>
        <v>0</v>
      </c>
      <c r="Q843" s="3">
        <f t="shared" si="161"/>
        <v>0.99999947640964748</v>
      </c>
      <c r="R843" s="3">
        <f t="shared" si="162"/>
        <v>0.99999947094964647</v>
      </c>
      <c r="S843" s="9">
        <f t="shared" si="163"/>
        <v>-5.460001006873938E-9</v>
      </c>
      <c r="T843">
        <f t="shared" si="164"/>
        <v>67</v>
      </c>
      <c r="U843">
        <f t="shared" si="165"/>
        <v>0</v>
      </c>
      <c r="V843" s="3">
        <f t="shared" si="166"/>
        <v>1</v>
      </c>
      <c r="W843" s="9">
        <f t="shared" si="167"/>
        <v>0</v>
      </c>
      <c r="AC843"/>
    </row>
    <row r="844" spans="1:29" x14ac:dyDescent="0.25">
      <c r="A844" t="s">
        <v>70</v>
      </c>
      <c r="B844">
        <v>1</v>
      </c>
      <c r="C844" t="s">
        <v>505</v>
      </c>
      <c r="D844" t="s">
        <v>467</v>
      </c>
      <c r="E844">
        <v>26</v>
      </c>
      <c r="F844">
        <v>15.78</v>
      </c>
      <c r="G844">
        <v>37.699599999999997</v>
      </c>
      <c r="H844" t="s">
        <v>15</v>
      </c>
      <c r="I844" t="s">
        <v>15</v>
      </c>
      <c r="J844" t="s">
        <v>49</v>
      </c>
      <c r="K844">
        <f t="shared" si="156"/>
        <v>96.11</v>
      </c>
      <c r="L844">
        <f t="shared" si="157"/>
        <v>397.37959999999998</v>
      </c>
      <c r="M844" t="str">
        <f t="shared" si="158"/>
        <v>chad-1</v>
      </c>
      <c r="N844" t="str">
        <f>INDEX(Scores!$A$2:$A$11,INDEX(Scores!$AA$2:$AA$131,MATCH(C844,Scores!$AB$2:$AB$131,0)))</f>
        <v>chad</v>
      </c>
      <c r="O844">
        <f t="shared" si="159"/>
        <v>101.75</v>
      </c>
      <c r="P844">
        <f t="shared" si="160"/>
        <v>333.15260000000001</v>
      </c>
      <c r="Q844" s="3">
        <f t="shared" si="161"/>
        <v>0.41735304190298633</v>
      </c>
      <c r="R844" s="3">
        <f t="shared" si="162"/>
        <v>0.56906759516915306</v>
      </c>
      <c r="S844" s="9">
        <f t="shared" si="163"/>
        <v>0.15171455326616673</v>
      </c>
      <c r="T844">
        <f t="shared" si="164"/>
        <v>76</v>
      </c>
      <c r="U844">
        <f t="shared" si="165"/>
        <v>95</v>
      </c>
      <c r="V844" s="3">
        <f t="shared" si="166"/>
        <v>9.7297625407487569E-7</v>
      </c>
      <c r="W844" s="9">
        <f t="shared" si="167"/>
        <v>-9.7297625407487569E-7</v>
      </c>
      <c r="AC844"/>
    </row>
    <row r="845" spans="1:29" x14ac:dyDescent="0.25">
      <c r="A845" t="s">
        <v>159</v>
      </c>
      <c r="B845">
        <v>4</v>
      </c>
      <c r="C845" t="s">
        <v>859</v>
      </c>
      <c r="D845" t="s">
        <v>466</v>
      </c>
      <c r="E845">
        <v>12</v>
      </c>
      <c r="F845">
        <v>8.32</v>
      </c>
      <c r="G845">
        <v>31.922499999999999</v>
      </c>
      <c r="H845" t="s">
        <v>466</v>
      </c>
      <c r="I845" t="s">
        <v>87</v>
      </c>
      <c r="J845" t="s">
        <v>40</v>
      </c>
      <c r="K845">
        <f t="shared" si="156"/>
        <v>103.94999999999999</v>
      </c>
      <c r="L845">
        <f t="shared" si="157"/>
        <v>368.50220000000002</v>
      </c>
      <c r="M845" t="e">
        <f t="shared" si="158"/>
        <v>#N/A</v>
      </c>
      <c r="N845" t="e">
        <f>INDEX(Scores!$A$2:$A$11,INDEX(Scores!$AA$2:$AA$131,MATCH(C845,Scores!$AB$2:$AB$131,0)))</f>
        <v>#N/A</v>
      </c>
      <c r="O845">
        <f t="shared" si="159"/>
        <v>0</v>
      </c>
      <c r="P845">
        <f t="shared" si="160"/>
        <v>0</v>
      </c>
      <c r="Q845" s="3">
        <f t="shared" si="161"/>
        <v>0.99999996936843616</v>
      </c>
      <c r="R845" s="3">
        <f t="shared" si="162"/>
        <v>0.99999999777641557</v>
      </c>
      <c r="S845" s="9">
        <f t="shared" si="163"/>
        <v>2.8407979413280771E-8</v>
      </c>
      <c r="T845">
        <f t="shared" si="164"/>
        <v>69</v>
      </c>
      <c r="U845">
        <f t="shared" si="165"/>
        <v>0</v>
      </c>
      <c r="V845" s="3">
        <f t="shared" si="166"/>
        <v>1</v>
      </c>
      <c r="W845" s="9">
        <f t="shared" si="167"/>
        <v>0</v>
      </c>
      <c r="AC845"/>
    </row>
    <row r="846" spans="1:29" x14ac:dyDescent="0.25">
      <c r="A846" t="s">
        <v>186</v>
      </c>
      <c r="B846">
        <v>4</v>
      </c>
      <c r="C846" t="s">
        <v>860</v>
      </c>
      <c r="D846" t="s">
        <v>469</v>
      </c>
      <c r="E846">
        <v>4</v>
      </c>
      <c r="F846">
        <v>8.8800000000000008</v>
      </c>
      <c r="G846">
        <v>38.068899999999999</v>
      </c>
      <c r="H846" t="s">
        <v>47</v>
      </c>
      <c r="I846" t="s">
        <v>47</v>
      </c>
      <c r="J846" t="s">
        <v>27</v>
      </c>
      <c r="K846">
        <f t="shared" si="156"/>
        <v>103.70000000000002</v>
      </c>
      <c r="L846">
        <f t="shared" si="157"/>
        <v>412.10110000000003</v>
      </c>
      <c r="M846" t="str">
        <f t="shared" si="158"/>
        <v>aj-4</v>
      </c>
      <c r="N846" t="str">
        <f>INDEX(Scores!$A$2:$A$11,INDEX(Scores!$AA$2:$AA$131,MATCH(C846,Scores!$AB$2:$AB$131,0)))</f>
        <v>aj</v>
      </c>
      <c r="O846">
        <f t="shared" si="159"/>
        <v>118.09999999999998</v>
      </c>
      <c r="P846">
        <f t="shared" si="160"/>
        <v>465.47660000000008</v>
      </c>
      <c r="Q846" s="3">
        <f t="shared" si="161"/>
        <v>0.31345048172071355</v>
      </c>
      <c r="R846" s="3">
        <f t="shared" si="162"/>
        <v>0.25289165692253013</v>
      </c>
      <c r="S846" s="9">
        <f t="shared" si="163"/>
        <v>-6.0558824798183419E-2</v>
      </c>
      <c r="T846">
        <f t="shared" si="164"/>
        <v>46</v>
      </c>
      <c r="U846">
        <f t="shared" si="165"/>
        <v>80</v>
      </c>
      <c r="V846" s="3">
        <f t="shared" si="166"/>
        <v>1.1814802696284285E-6</v>
      </c>
      <c r="W846" s="9">
        <f t="shared" si="167"/>
        <v>-1.1814802696284285E-6</v>
      </c>
      <c r="AC846"/>
    </row>
    <row r="847" spans="1:29" x14ac:dyDescent="0.25">
      <c r="A847" t="s">
        <v>413</v>
      </c>
      <c r="B847">
        <v>8</v>
      </c>
      <c r="C847" t="s">
        <v>978</v>
      </c>
      <c r="D847" t="s">
        <v>477</v>
      </c>
      <c r="E847">
        <v>15</v>
      </c>
      <c r="F847">
        <v>6.05</v>
      </c>
      <c r="G847">
        <v>26.01</v>
      </c>
      <c r="H847" t="s">
        <v>477</v>
      </c>
      <c r="I847" t="s">
        <v>477</v>
      </c>
      <c r="J847" t="s">
        <v>44</v>
      </c>
      <c r="K847">
        <f t="shared" si="156"/>
        <v>96.57</v>
      </c>
      <c r="L847">
        <f t="shared" si="157"/>
        <v>368.03749999999997</v>
      </c>
      <c r="M847" t="str">
        <f t="shared" si="158"/>
        <v>devon-8</v>
      </c>
      <c r="N847" t="str">
        <f>INDEX(Scores!$A$2:$A$11,INDEX(Scores!$AA$2:$AA$131,MATCH(C847,Scores!$AB$2:$AB$131,0)))</f>
        <v>devon</v>
      </c>
      <c r="O847">
        <f t="shared" si="159"/>
        <v>102.43</v>
      </c>
      <c r="P847">
        <f t="shared" si="160"/>
        <v>452.86560000000003</v>
      </c>
      <c r="Q847" s="3">
        <f t="shared" si="161"/>
        <v>0.41897065981019621</v>
      </c>
      <c r="R847" s="3">
        <f t="shared" si="162"/>
        <v>0.54363605035939733</v>
      </c>
      <c r="S847" s="9">
        <f t="shared" si="163"/>
        <v>0.12466539054920112</v>
      </c>
      <c r="T847">
        <f t="shared" si="164"/>
        <v>85</v>
      </c>
      <c r="U847">
        <f t="shared" si="165"/>
        <v>100</v>
      </c>
      <c r="V847" s="3">
        <f t="shared" si="166"/>
        <v>1.3260187215961529E-6</v>
      </c>
      <c r="W847" s="9">
        <f t="shared" si="167"/>
        <v>-1.3260187215961529E-6</v>
      </c>
      <c r="AC847"/>
    </row>
    <row r="848" spans="1:29" x14ac:dyDescent="0.25">
      <c r="A848" t="s">
        <v>424</v>
      </c>
      <c r="B848">
        <v>13</v>
      </c>
      <c r="C848" t="s">
        <v>967</v>
      </c>
      <c r="D848" t="s">
        <v>477</v>
      </c>
      <c r="E848">
        <v>1</v>
      </c>
      <c r="F848">
        <v>6.42</v>
      </c>
      <c r="G848">
        <v>37.088099999999997</v>
      </c>
      <c r="H848" t="s">
        <v>477</v>
      </c>
      <c r="I848" t="s">
        <v>477</v>
      </c>
      <c r="J848" t="s">
        <v>23</v>
      </c>
      <c r="K848">
        <f t="shared" si="156"/>
        <v>108.77</v>
      </c>
      <c r="L848">
        <f t="shared" si="157"/>
        <v>411.30060000000003</v>
      </c>
      <c r="M848" t="str">
        <f t="shared" si="158"/>
        <v>devon-13</v>
      </c>
      <c r="N848" t="str">
        <f>INDEX(Scores!$A$2:$A$11,INDEX(Scores!$AA$2:$AA$131,MATCH(C848,Scores!$AB$2:$AB$131,0)))</f>
        <v>devon</v>
      </c>
      <c r="O848">
        <f t="shared" si="159"/>
        <v>97.46</v>
      </c>
      <c r="P848">
        <f t="shared" si="160"/>
        <v>368.81949999999995</v>
      </c>
      <c r="Q848" s="3">
        <f t="shared" si="161"/>
        <v>0.6572361742103181</v>
      </c>
      <c r="R848" s="3">
        <f t="shared" si="162"/>
        <v>0.58553671684905639</v>
      </c>
      <c r="S848" s="9">
        <f t="shared" si="163"/>
        <v>-7.1699457361261709E-2</v>
      </c>
      <c r="T848">
        <f t="shared" si="164"/>
        <v>99</v>
      </c>
      <c r="U848">
        <f t="shared" si="165"/>
        <v>133</v>
      </c>
      <c r="V848" s="3">
        <f t="shared" si="166"/>
        <v>1.346537444970296E-6</v>
      </c>
      <c r="W848" s="9">
        <f t="shared" si="167"/>
        <v>-1.346537444970296E-6</v>
      </c>
      <c r="AC848"/>
    </row>
    <row r="849" spans="1:29" x14ac:dyDescent="0.25">
      <c r="A849" t="s">
        <v>59</v>
      </c>
      <c r="B849">
        <v>13</v>
      </c>
      <c r="C849" t="s">
        <v>959</v>
      </c>
      <c r="D849" t="s">
        <v>467</v>
      </c>
      <c r="E849">
        <v>14</v>
      </c>
      <c r="F849">
        <v>16.38</v>
      </c>
      <c r="G849">
        <v>60.996099999999998</v>
      </c>
      <c r="H849" t="s">
        <v>15</v>
      </c>
      <c r="I849" t="s">
        <v>15</v>
      </c>
      <c r="J849" t="s">
        <v>40</v>
      </c>
      <c r="K849">
        <f t="shared" si="156"/>
        <v>75.67</v>
      </c>
      <c r="L849">
        <f t="shared" si="157"/>
        <v>278.80779999999999</v>
      </c>
      <c r="M849" t="e">
        <f t="shared" si="158"/>
        <v>#N/A</v>
      </c>
      <c r="N849" t="e">
        <f>INDEX(Scores!$A$2:$A$11,INDEX(Scores!$AA$2:$AA$131,MATCH(C849,Scores!$AB$2:$AB$131,0)))</f>
        <v>#N/A</v>
      </c>
      <c r="O849">
        <f t="shared" si="159"/>
        <v>0</v>
      </c>
      <c r="P849">
        <f t="shared" si="160"/>
        <v>0</v>
      </c>
      <c r="Q849" s="3">
        <f t="shared" si="161"/>
        <v>0.9999970759175304</v>
      </c>
      <c r="R849" s="3">
        <f t="shared" si="162"/>
        <v>0.99999965820794701</v>
      </c>
      <c r="S849" s="9">
        <f t="shared" si="163"/>
        <v>2.5822904166084015E-6</v>
      </c>
      <c r="T849">
        <f t="shared" si="164"/>
        <v>59</v>
      </c>
      <c r="U849">
        <f t="shared" si="165"/>
        <v>0</v>
      </c>
      <c r="V849" s="3">
        <f t="shared" si="166"/>
        <v>0.99999999999999811</v>
      </c>
      <c r="W849" s="9">
        <f t="shared" si="167"/>
        <v>1.8873791418627661E-15</v>
      </c>
      <c r="AC849"/>
    </row>
    <row r="850" spans="1:29" x14ac:dyDescent="0.25">
      <c r="A850" t="s">
        <v>194</v>
      </c>
      <c r="B850">
        <v>13</v>
      </c>
      <c r="C850" t="s">
        <v>911</v>
      </c>
      <c r="D850" t="s">
        <v>473</v>
      </c>
      <c r="E850">
        <v>4</v>
      </c>
      <c r="F850">
        <v>5.56</v>
      </c>
      <c r="G850">
        <v>15.602499999999999</v>
      </c>
      <c r="H850" t="s">
        <v>87</v>
      </c>
      <c r="I850" t="s">
        <v>87</v>
      </c>
      <c r="J850" t="s">
        <v>20</v>
      </c>
      <c r="K850">
        <f t="shared" si="156"/>
        <v>108.61</v>
      </c>
      <c r="L850">
        <f t="shared" si="157"/>
        <v>407.25390000000004</v>
      </c>
      <c r="M850" t="str">
        <f t="shared" si="158"/>
        <v>cory-13</v>
      </c>
      <c r="N850" t="str">
        <f>INDEX(Scores!$A$2:$A$11,INDEX(Scores!$AA$2:$AA$131,MATCH(C850,Scores!$AB$2:$AB$131,0)))</f>
        <v>cory</v>
      </c>
      <c r="O850">
        <f t="shared" si="159"/>
        <v>106.87</v>
      </c>
      <c r="P850">
        <f t="shared" si="160"/>
        <v>444.05589999999995</v>
      </c>
      <c r="Q850" s="3">
        <f t="shared" si="161"/>
        <v>0.52377705912504058</v>
      </c>
      <c r="R850" s="3">
        <f t="shared" si="162"/>
        <v>0.50248400615028688</v>
      </c>
      <c r="S850" s="9">
        <f t="shared" si="163"/>
        <v>-2.1293052974753701E-2</v>
      </c>
      <c r="T850">
        <f t="shared" si="164"/>
        <v>66</v>
      </c>
      <c r="U850">
        <f t="shared" si="165"/>
        <v>86</v>
      </c>
      <c r="V850" s="3">
        <f t="shared" si="166"/>
        <v>1.5181089377064901E-6</v>
      </c>
      <c r="W850" s="9">
        <f t="shared" si="167"/>
        <v>-1.5181089377064901E-6</v>
      </c>
      <c r="AC850"/>
    </row>
    <row r="851" spans="1:29" x14ac:dyDescent="0.25">
      <c r="A851" t="s">
        <v>105</v>
      </c>
      <c r="B851">
        <v>11</v>
      </c>
      <c r="C851" t="s">
        <v>949</v>
      </c>
      <c r="D851" t="s">
        <v>466</v>
      </c>
      <c r="E851">
        <v>10</v>
      </c>
      <c r="F851">
        <v>11.36</v>
      </c>
      <c r="G851">
        <v>40.449599999999997</v>
      </c>
      <c r="H851" t="s">
        <v>466</v>
      </c>
      <c r="I851" t="s">
        <v>87</v>
      </c>
      <c r="J851" t="s">
        <v>62</v>
      </c>
      <c r="K851">
        <f t="shared" si="156"/>
        <v>106.58</v>
      </c>
      <c r="L851">
        <f t="shared" si="157"/>
        <v>427.68610000000001</v>
      </c>
      <c r="M851" t="str">
        <f t="shared" si="158"/>
        <v>cory-11</v>
      </c>
      <c r="N851" t="str">
        <f>INDEX(Scores!$A$2:$A$11,INDEX(Scores!$AA$2:$AA$131,MATCH(C851,Scores!$AB$2:$AB$131,0)))</f>
        <v>cory</v>
      </c>
      <c r="O851">
        <f t="shared" si="159"/>
        <v>102.11</v>
      </c>
      <c r="P851">
        <f t="shared" si="160"/>
        <v>431.97960000000006</v>
      </c>
      <c r="Q851" s="3">
        <f t="shared" si="161"/>
        <v>0.56058610538956244</v>
      </c>
      <c r="R851" s="3">
        <f t="shared" si="162"/>
        <v>0.54326306684778647</v>
      </c>
      <c r="S851" s="9">
        <f t="shared" si="163"/>
        <v>-1.732303854177597E-2</v>
      </c>
      <c r="T851">
        <f t="shared" si="164"/>
        <v>99</v>
      </c>
      <c r="U851">
        <f t="shared" si="165"/>
        <v>130</v>
      </c>
      <c r="V851" s="3">
        <f t="shared" si="166"/>
        <v>1.5781509109483487E-6</v>
      </c>
      <c r="W851" s="9">
        <f t="shared" si="167"/>
        <v>-1.5781509109483487E-6</v>
      </c>
      <c r="AC851"/>
    </row>
    <row r="852" spans="1:29" x14ac:dyDescent="0.25">
      <c r="A852" t="s">
        <v>417</v>
      </c>
      <c r="B852">
        <v>4</v>
      </c>
      <c r="C852" t="s">
        <v>859</v>
      </c>
      <c r="D852" t="s">
        <v>477</v>
      </c>
      <c r="E852">
        <v>9</v>
      </c>
      <c r="F852">
        <v>9.64</v>
      </c>
      <c r="G852">
        <v>23.136099999999999</v>
      </c>
      <c r="H852" t="s">
        <v>477</v>
      </c>
      <c r="I852" t="s">
        <v>477</v>
      </c>
      <c r="J852" t="s">
        <v>40</v>
      </c>
      <c r="K852">
        <f t="shared" si="156"/>
        <v>103.94999999999999</v>
      </c>
      <c r="L852">
        <f t="shared" si="157"/>
        <v>368.50220000000002</v>
      </c>
      <c r="M852" t="e">
        <f t="shared" si="158"/>
        <v>#N/A</v>
      </c>
      <c r="N852" t="e">
        <f>INDEX(Scores!$A$2:$A$11,INDEX(Scores!$AA$2:$AA$131,MATCH(C852,Scores!$AB$2:$AB$131,0)))</f>
        <v>#N/A</v>
      </c>
      <c r="O852">
        <f t="shared" si="159"/>
        <v>0</v>
      </c>
      <c r="P852">
        <f t="shared" si="160"/>
        <v>0</v>
      </c>
      <c r="Q852" s="3">
        <f t="shared" si="161"/>
        <v>0.99999996936843616</v>
      </c>
      <c r="R852" s="3">
        <f t="shared" si="162"/>
        <v>0.99999998643956789</v>
      </c>
      <c r="S852" s="9">
        <f t="shared" si="163"/>
        <v>1.7071131730439504E-8</v>
      </c>
      <c r="T852">
        <f t="shared" si="164"/>
        <v>69</v>
      </c>
      <c r="U852">
        <f t="shared" si="165"/>
        <v>0</v>
      </c>
      <c r="V852" s="3">
        <f t="shared" si="166"/>
        <v>1</v>
      </c>
      <c r="W852" s="9">
        <f t="shared" si="167"/>
        <v>0</v>
      </c>
      <c r="AC852"/>
    </row>
    <row r="853" spans="1:29" x14ac:dyDescent="0.25">
      <c r="A853" t="s">
        <v>48</v>
      </c>
      <c r="B853">
        <v>13</v>
      </c>
      <c r="C853" t="s">
        <v>967</v>
      </c>
      <c r="D853" t="s">
        <v>469</v>
      </c>
      <c r="E853">
        <v>23</v>
      </c>
      <c r="F853">
        <v>16.13</v>
      </c>
      <c r="G853">
        <v>77.44</v>
      </c>
      <c r="H853" t="s">
        <v>47</v>
      </c>
      <c r="I853" t="s">
        <v>47</v>
      </c>
      <c r="J853" t="s">
        <v>23</v>
      </c>
      <c r="K853">
        <f t="shared" si="156"/>
        <v>108.77</v>
      </c>
      <c r="L853">
        <f t="shared" si="157"/>
        <v>411.30060000000003</v>
      </c>
      <c r="M853" t="str">
        <f t="shared" si="158"/>
        <v>devon-13</v>
      </c>
      <c r="N853" t="str">
        <f>INDEX(Scores!$A$2:$A$11,INDEX(Scores!$AA$2:$AA$131,MATCH(C853,Scores!$AB$2:$AB$131,0)))</f>
        <v>devon</v>
      </c>
      <c r="O853">
        <f t="shared" si="159"/>
        <v>97.46</v>
      </c>
      <c r="P853">
        <f t="shared" si="160"/>
        <v>368.81949999999995</v>
      </c>
      <c r="Q853" s="3">
        <f t="shared" si="161"/>
        <v>0.6572361742103181</v>
      </c>
      <c r="R853" s="3">
        <f t="shared" si="162"/>
        <v>0.75358913152887652</v>
      </c>
      <c r="S853" s="9">
        <f t="shared" si="163"/>
        <v>9.6352957318558419E-2</v>
      </c>
      <c r="T853">
        <f t="shared" si="164"/>
        <v>99</v>
      </c>
      <c r="U853">
        <f t="shared" si="165"/>
        <v>133</v>
      </c>
      <c r="V853" s="3">
        <f t="shared" si="166"/>
        <v>1.7060068820259048E-6</v>
      </c>
      <c r="W853" s="9">
        <f t="shared" si="167"/>
        <v>-1.7060068820259048E-6</v>
      </c>
      <c r="AC853"/>
    </row>
    <row r="854" spans="1:29" x14ac:dyDescent="0.25">
      <c r="A854" t="s">
        <v>175</v>
      </c>
      <c r="B854">
        <v>11</v>
      </c>
      <c r="C854" t="s">
        <v>949</v>
      </c>
      <c r="D854" t="s">
        <v>471</v>
      </c>
      <c r="E854">
        <v>2</v>
      </c>
      <c r="F854">
        <v>8.16</v>
      </c>
      <c r="G854">
        <v>28.729600000000001</v>
      </c>
      <c r="H854" t="s">
        <v>87</v>
      </c>
      <c r="I854" t="s">
        <v>87</v>
      </c>
      <c r="J854" t="s">
        <v>62</v>
      </c>
      <c r="K854">
        <f t="shared" si="156"/>
        <v>106.58</v>
      </c>
      <c r="L854">
        <f t="shared" si="157"/>
        <v>427.68610000000001</v>
      </c>
      <c r="M854" t="str">
        <f t="shared" si="158"/>
        <v>cory-11</v>
      </c>
      <c r="N854" t="str">
        <f>INDEX(Scores!$A$2:$A$11,INDEX(Scores!$AA$2:$AA$131,MATCH(C854,Scores!$AB$2:$AB$131,0)))</f>
        <v>cory</v>
      </c>
      <c r="O854">
        <f t="shared" si="159"/>
        <v>102.11</v>
      </c>
      <c r="P854">
        <f t="shared" si="160"/>
        <v>431.97960000000006</v>
      </c>
      <c r="Q854" s="3">
        <f t="shared" si="161"/>
        <v>0.56058610538956244</v>
      </c>
      <c r="R854" s="3">
        <f t="shared" si="162"/>
        <v>0.47662432177527303</v>
      </c>
      <c r="S854" s="9">
        <f t="shared" si="163"/>
        <v>-8.3961783614289409E-2</v>
      </c>
      <c r="T854">
        <f t="shared" si="164"/>
        <v>99</v>
      </c>
      <c r="U854">
        <f t="shared" si="165"/>
        <v>130</v>
      </c>
      <c r="V854" s="3">
        <f t="shared" si="166"/>
        <v>1.7904910450252605E-6</v>
      </c>
      <c r="W854" s="9">
        <f t="shared" si="167"/>
        <v>-1.7904910450252605E-6</v>
      </c>
      <c r="AC854"/>
    </row>
    <row r="855" spans="1:29" x14ac:dyDescent="0.25">
      <c r="A855" t="s">
        <v>999</v>
      </c>
      <c r="B855">
        <v>6</v>
      </c>
      <c r="C855" t="s">
        <v>928</v>
      </c>
      <c r="D855" t="s">
        <v>478</v>
      </c>
      <c r="E855">
        <v>5</v>
      </c>
      <c r="F855">
        <v>6.97</v>
      </c>
      <c r="G855">
        <v>13.616099999999999</v>
      </c>
      <c r="H855" t="s">
        <v>478</v>
      </c>
      <c r="I855" t="s">
        <v>478</v>
      </c>
      <c r="J855" t="s">
        <v>35</v>
      </c>
      <c r="K855">
        <f t="shared" si="156"/>
        <v>101.41999999999999</v>
      </c>
      <c r="L855">
        <f t="shared" si="157"/>
        <v>401.13359999999994</v>
      </c>
      <c r="M855" t="str">
        <f t="shared" si="158"/>
        <v>comp-6</v>
      </c>
      <c r="N855" t="str">
        <f>INDEX(Scores!$A$2:$A$11,INDEX(Scores!$AA$2:$AA$131,MATCH(C855,Scores!$AB$2:$AB$131,0)))</f>
        <v>comp</v>
      </c>
      <c r="O855">
        <f t="shared" si="159"/>
        <v>104.66</v>
      </c>
      <c r="P855">
        <f t="shared" si="160"/>
        <v>375.94899999999996</v>
      </c>
      <c r="Q855" s="3">
        <f t="shared" si="161"/>
        <v>0.45373585390093107</v>
      </c>
      <c r="R855" s="3">
        <f t="shared" si="162"/>
        <v>0.42522000655944869</v>
      </c>
      <c r="S855" s="9">
        <f t="shared" si="163"/>
        <v>-2.8515847341482381E-2</v>
      </c>
      <c r="T855">
        <f t="shared" si="164"/>
        <v>72</v>
      </c>
      <c r="U855">
        <f t="shared" si="165"/>
        <v>91</v>
      </c>
      <c r="V855" s="3">
        <f t="shared" si="166"/>
        <v>1.9638102180221797E-6</v>
      </c>
      <c r="W855" s="9">
        <f t="shared" si="167"/>
        <v>-1.9638102180221797E-6</v>
      </c>
      <c r="AC855"/>
    </row>
    <row r="856" spans="1:29" x14ac:dyDescent="0.25">
      <c r="A856" t="s">
        <v>424</v>
      </c>
      <c r="B856">
        <v>1</v>
      </c>
      <c r="C856" t="s">
        <v>508</v>
      </c>
      <c r="D856" t="s">
        <v>477</v>
      </c>
      <c r="E856">
        <v>19</v>
      </c>
      <c r="F856">
        <v>8.34</v>
      </c>
      <c r="G856">
        <v>39.187600000000003</v>
      </c>
      <c r="H856" t="s">
        <v>477</v>
      </c>
      <c r="I856" t="s">
        <v>477</v>
      </c>
      <c r="J856" t="s">
        <v>23</v>
      </c>
      <c r="K856">
        <f t="shared" si="156"/>
        <v>94.44</v>
      </c>
      <c r="L856">
        <f t="shared" si="157"/>
        <v>399.28809999999999</v>
      </c>
      <c r="M856" t="str">
        <f t="shared" si="158"/>
        <v>cory-1</v>
      </c>
      <c r="N856" t="str">
        <f>INDEX(Scores!$A$2:$A$11,INDEX(Scores!$AA$2:$AA$131,MATCH(C856,Scores!$AB$2:$AB$131,0)))</f>
        <v>cory</v>
      </c>
      <c r="O856">
        <f t="shared" si="159"/>
        <v>105.11000000000001</v>
      </c>
      <c r="P856">
        <f t="shared" si="160"/>
        <v>445.52289999999994</v>
      </c>
      <c r="Q856" s="3">
        <f t="shared" si="161"/>
        <v>0.35677213328906182</v>
      </c>
      <c r="R856" s="3">
        <f t="shared" si="162"/>
        <v>0.49985944573748892</v>
      </c>
      <c r="S856" s="9">
        <f t="shared" si="163"/>
        <v>0.1430873124484271</v>
      </c>
      <c r="T856">
        <f t="shared" si="164"/>
        <v>82</v>
      </c>
      <c r="U856">
        <f t="shared" si="165"/>
        <v>100</v>
      </c>
      <c r="V856" s="3">
        <f t="shared" si="166"/>
        <v>2.3441331117070672E-6</v>
      </c>
      <c r="W856" s="9">
        <f t="shared" si="167"/>
        <v>-2.3441331117070672E-6</v>
      </c>
      <c r="AC856"/>
    </row>
    <row r="857" spans="1:29" x14ac:dyDescent="0.25">
      <c r="A857" t="s">
        <v>433</v>
      </c>
      <c r="B857">
        <v>3</v>
      </c>
      <c r="C857" t="s">
        <v>804</v>
      </c>
      <c r="D857" t="s">
        <v>477</v>
      </c>
      <c r="E857">
        <v>0</v>
      </c>
      <c r="F857">
        <v>5.44</v>
      </c>
      <c r="G857">
        <v>41.990400000000001</v>
      </c>
      <c r="H857" t="s">
        <v>477</v>
      </c>
      <c r="I857" t="s">
        <v>477</v>
      </c>
      <c r="J857" t="s">
        <v>40</v>
      </c>
      <c r="K857">
        <f t="shared" si="156"/>
        <v>99.87</v>
      </c>
      <c r="L857">
        <f t="shared" si="157"/>
        <v>418.53290000000004</v>
      </c>
      <c r="M857" t="e">
        <f t="shared" si="158"/>
        <v>#N/A</v>
      </c>
      <c r="N857" t="e">
        <f>INDEX(Scores!$A$2:$A$11,INDEX(Scores!$AA$2:$AA$131,MATCH(C857,Scores!$AB$2:$AB$131,0)))</f>
        <v>#N/A</v>
      </c>
      <c r="O857">
        <f t="shared" si="159"/>
        <v>0</v>
      </c>
      <c r="P857">
        <f t="shared" si="160"/>
        <v>0</v>
      </c>
      <c r="Q857" s="3">
        <f t="shared" si="161"/>
        <v>0.99999947409897594</v>
      </c>
      <c r="R857" s="3">
        <f t="shared" si="162"/>
        <v>0.99999943159800753</v>
      </c>
      <c r="S857" s="9">
        <f t="shared" si="163"/>
        <v>-4.2500968411296469E-8</v>
      </c>
      <c r="T857">
        <f t="shared" si="164"/>
        <v>53</v>
      </c>
      <c r="U857">
        <f t="shared" si="165"/>
        <v>0</v>
      </c>
      <c r="V857" s="3">
        <f t="shared" si="166"/>
        <v>1</v>
      </c>
      <c r="W857" s="9">
        <f t="shared" si="167"/>
        <v>0</v>
      </c>
      <c r="AC857"/>
    </row>
    <row r="858" spans="1:29" x14ac:dyDescent="0.25">
      <c r="A858" t="s">
        <v>124</v>
      </c>
      <c r="B858">
        <v>7</v>
      </c>
      <c r="C858" t="s">
        <v>969</v>
      </c>
      <c r="D858" t="s">
        <v>472</v>
      </c>
      <c r="E858">
        <v>18</v>
      </c>
      <c r="F858">
        <v>8.89</v>
      </c>
      <c r="G858">
        <v>33.177599999999998</v>
      </c>
      <c r="H858" t="s">
        <v>87</v>
      </c>
      <c r="I858" t="s">
        <v>87</v>
      </c>
      <c r="J858" t="s">
        <v>49</v>
      </c>
      <c r="K858">
        <f t="shared" si="156"/>
        <v>87.490000000000009</v>
      </c>
      <c r="L858">
        <f t="shared" si="157"/>
        <v>277.88929999999999</v>
      </c>
      <c r="M858" t="str">
        <f t="shared" si="158"/>
        <v>scott-7</v>
      </c>
      <c r="N858" t="str">
        <f>INDEX(Scores!$A$2:$A$11,INDEX(Scores!$AA$2:$AA$131,MATCH(C858,Scores!$AB$2:$AB$131,0)))</f>
        <v>scott</v>
      </c>
      <c r="O858">
        <f t="shared" si="159"/>
        <v>114.48000000000002</v>
      </c>
      <c r="P858">
        <f t="shared" si="160"/>
        <v>430.3667999999999</v>
      </c>
      <c r="Q858" s="3">
        <f t="shared" si="161"/>
        <v>0.15525251215631256</v>
      </c>
      <c r="R858" s="3">
        <f t="shared" si="162"/>
        <v>0.24567554065685687</v>
      </c>
      <c r="S858" s="9">
        <f t="shared" si="163"/>
        <v>9.0423028500544317E-2</v>
      </c>
      <c r="T858">
        <f t="shared" si="164"/>
        <v>65</v>
      </c>
      <c r="U858">
        <f t="shared" si="165"/>
        <v>82</v>
      </c>
      <c r="V858" s="3">
        <f t="shared" si="166"/>
        <v>2.9077820187314182E-6</v>
      </c>
      <c r="W858" s="9">
        <f t="shared" si="167"/>
        <v>-2.9077820187314182E-6</v>
      </c>
      <c r="AC858"/>
    </row>
    <row r="859" spans="1:29" x14ac:dyDescent="0.25">
      <c r="A859" t="s">
        <v>163</v>
      </c>
      <c r="B859">
        <v>6</v>
      </c>
      <c r="C859" t="s">
        <v>928</v>
      </c>
      <c r="D859" t="s">
        <v>473</v>
      </c>
      <c r="E859">
        <v>9</v>
      </c>
      <c r="F859">
        <v>6.78</v>
      </c>
      <c r="G859">
        <v>22.184100000000001</v>
      </c>
      <c r="H859" t="s">
        <v>87</v>
      </c>
      <c r="I859" t="s">
        <v>87</v>
      </c>
      <c r="J859" t="s">
        <v>35</v>
      </c>
      <c r="K859">
        <f t="shared" si="156"/>
        <v>101.41999999999999</v>
      </c>
      <c r="L859">
        <f t="shared" si="157"/>
        <v>401.13359999999994</v>
      </c>
      <c r="M859" t="str">
        <f t="shared" si="158"/>
        <v>comp-6</v>
      </c>
      <c r="N859" t="str">
        <f>INDEX(Scores!$A$2:$A$11,INDEX(Scores!$AA$2:$AA$131,MATCH(C859,Scores!$AB$2:$AB$131,0)))</f>
        <v>comp</v>
      </c>
      <c r="O859">
        <f t="shared" si="159"/>
        <v>104.66</v>
      </c>
      <c r="P859">
        <f t="shared" si="160"/>
        <v>375.94899999999996</v>
      </c>
      <c r="Q859" s="3">
        <f t="shared" si="161"/>
        <v>0.45373585390093107</v>
      </c>
      <c r="R859" s="3">
        <f t="shared" si="162"/>
        <v>0.48519302960014254</v>
      </c>
      <c r="S859" s="9">
        <f t="shared" si="163"/>
        <v>3.145717569921147E-2</v>
      </c>
      <c r="T859">
        <f t="shared" si="164"/>
        <v>72</v>
      </c>
      <c r="U859">
        <f t="shared" si="165"/>
        <v>91</v>
      </c>
      <c r="V859" s="3">
        <f t="shared" si="166"/>
        <v>3.3138393161296585E-6</v>
      </c>
      <c r="W859" s="9">
        <f t="shared" si="167"/>
        <v>-3.3138393161296585E-6</v>
      </c>
      <c r="AC859"/>
    </row>
    <row r="860" spans="1:29" x14ac:dyDescent="0.25">
      <c r="A860" t="s">
        <v>419</v>
      </c>
      <c r="B860">
        <v>6</v>
      </c>
      <c r="C860" t="s">
        <v>904</v>
      </c>
      <c r="D860" t="s">
        <v>477</v>
      </c>
      <c r="E860">
        <v>7</v>
      </c>
      <c r="F860">
        <v>7.34</v>
      </c>
      <c r="G860">
        <v>56.700899999999997</v>
      </c>
      <c r="H860" t="s">
        <v>477</v>
      </c>
      <c r="I860" t="s">
        <v>477</v>
      </c>
      <c r="J860" t="s">
        <v>20</v>
      </c>
      <c r="K860">
        <f t="shared" si="156"/>
        <v>110.30999999999999</v>
      </c>
      <c r="L860">
        <f t="shared" si="157"/>
        <v>388.52729999999997</v>
      </c>
      <c r="M860" t="str">
        <f t="shared" si="158"/>
        <v>seth-6</v>
      </c>
      <c r="N860" t="str">
        <f>INDEX(Scores!$A$2:$A$11,INDEX(Scores!$AA$2:$AA$131,MATCH(C860,Scores!$AB$2:$AB$131,0)))</f>
        <v>seth</v>
      </c>
      <c r="O860">
        <f t="shared" si="159"/>
        <v>90.009999999999991</v>
      </c>
      <c r="P860">
        <f t="shared" si="160"/>
        <v>295.93350000000004</v>
      </c>
      <c r="Q860" s="3">
        <f t="shared" si="161"/>
        <v>0.78110442116748435</v>
      </c>
      <c r="R860" s="3">
        <f t="shared" si="162"/>
        <v>0.78717080557964725</v>
      </c>
      <c r="S860" s="9">
        <f t="shared" si="163"/>
        <v>6.0663844121628951E-3</v>
      </c>
      <c r="T860">
        <f t="shared" si="164"/>
        <v>96</v>
      </c>
      <c r="U860">
        <f t="shared" si="165"/>
        <v>130</v>
      </c>
      <c r="V860" s="3">
        <f t="shared" si="166"/>
        <v>3.9087948962962361E-6</v>
      </c>
      <c r="W860" s="9">
        <f t="shared" si="167"/>
        <v>-3.9087948962962361E-6</v>
      </c>
      <c r="AC860"/>
    </row>
    <row r="861" spans="1:29" x14ac:dyDescent="0.25">
      <c r="A861" t="s">
        <v>1108</v>
      </c>
      <c r="B861">
        <v>9</v>
      </c>
      <c r="C861" t="s">
        <v>923</v>
      </c>
      <c r="D861" t="s">
        <v>478</v>
      </c>
      <c r="E861">
        <v>5</v>
      </c>
      <c r="F861">
        <v>8</v>
      </c>
      <c r="G861">
        <v>12.8881</v>
      </c>
      <c r="H861" t="s">
        <v>478</v>
      </c>
      <c r="I861" t="s">
        <v>478</v>
      </c>
      <c r="J861" t="s">
        <v>55</v>
      </c>
      <c r="K861">
        <f t="shared" si="156"/>
        <v>102.03999999999999</v>
      </c>
      <c r="L861">
        <f t="shared" si="157"/>
        <v>392.2131</v>
      </c>
      <c r="M861" t="str">
        <f t="shared" si="158"/>
        <v>perry-9</v>
      </c>
      <c r="N861" t="str">
        <f>INDEX(Scores!$A$2:$A$11,INDEX(Scores!$AA$2:$AA$131,MATCH(C861,Scores!$AB$2:$AB$131,0)))</f>
        <v>perry</v>
      </c>
      <c r="O861">
        <f t="shared" si="159"/>
        <v>98.35</v>
      </c>
      <c r="P861">
        <f t="shared" si="160"/>
        <v>385.97739999999999</v>
      </c>
      <c r="Q861" s="3">
        <f t="shared" si="161"/>
        <v>0.5526172882097643</v>
      </c>
      <c r="R861" s="3">
        <f t="shared" si="162"/>
        <v>0.50994941603267141</v>
      </c>
      <c r="S861" s="9">
        <f t="shared" si="163"/>
        <v>-4.2667872177092891E-2</v>
      </c>
      <c r="T861">
        <f t="shared" si="164"/>
        <v>86</v>
      </c>
      <c r="U861">
        <f t="shared" si="165"/>
        <v>105</v>
      </c>
      <c r="V861" s="3">
        <f t="shared" si="166"/>
        <v>4.1591321160733367E-6</v>
      </c>
      <c r="W861" s="9">
        <f t="shared" si="167"/>
        <v>-4.1591321160733367E-6</v>
      </c>
      <c r="AC861"/>
    </row>
    <row r="862" spans="1:29" x14ac:dyDescent="0.25">
      <c r="A862" t="s">
        <v>462</v>
      </c>
      <c r="B862">
        <v>8</v>
      </c>
      <c r="C862" t="s">
        <v>978</v>
      </c>
      <c r="D862" t="s">
        <v>478</v>
      </c>
      <c r="E862">
        <v>10</v>
      </c>
      <c r="F862">
        <v>7.19</v>
      </c>
      <c r="G862">
        <v>16.080100000000002</v>
      </c>
      <c r="H862" t="s">
        <v>478</v>
      </c>
      <c r="I862" t="s">
        <v>478</v>
      </c>
      <c r="J862" t="s">
        <v>44</v>
      </c>
      <c r="K862">
        <f t="shared" si="156"/>
        <v>96.57</v>
      </c>
      <c r="L862">
        <f t="shared" si="157"/>
        <v>368.03749999999997</v>
      </c>
      <c r="M862" t="str">
        <f t="shared" si="158"/>
        <v>devon-8</v>
      </c>
      <c r="N862" t="str">
        <f>INDEX(Scores!$A$2:$A$11,INDEX(Scores!$AA$2:$AA$131,MATCH(C862,Scores!$AB$2:$AB$131,0)))</f>
        <v>devon</v>
      </c>
      <c r="O862">
        <f t="shared" si="159"/>
        <v>102.43</v>
      </c>
      <c r="P862">
        <f t="shared" si="160"/>
        <v>452.86560000000003</v>
      </c>
      <c r="Q862" s="3">
        <f t="shared" si="161"/>
        <v>0.41897065981019621</v>
      </c>
      <c r="R862" s="3">
        <f t="shared" si="162"/>
        <v>0.45719211885537764</v>
      </c>
      <c r="S862" s="9">
        <f t="shared" si="163"/>
        <v>3.8221459045181427E-2</v>
      </c>
      <c r="T862">
        <f t="shared" si="164"/>
        <v>85</v>
      </c>
      <c r="U862">
        <f t="shared" si="165"/>
        <v>100</v>
      </c>
      <c r="V862" s="3">
        <f t="shared" si="166"/>
        <v>4.4688465006116992E-6</v>
      </c>
      <c r="W862" s="9">
        <f t="shared" si="167"/>
        <v>-4.4688465006116992E-6</v>
      </c>
      <c r="AC862"/>
    </row>
    <row r="863" spans="1:29" x14ac:dyDescent="0.25">
      <c r="A863" t="s">
        <v>165</v>
      </c>
      <c r="B863">
        <v>10</v>
      </c>
      <c r="C863" t="s">
        <v>924</v>
      </c>
      <c r="D863" t="s">
        <v>475</v>
      </c>
      <c r="E863">
        <v>6</v>
      </c>
      <c r="F863">
        <v>6.68</v>
      </c>
      <c r="G863">
        <v>20.976400000000002</v>
      </c>
      <c r="H863" t="s">
        <v>114</v>
      </c>
      <c r="I863" t="s">
        <v>114</v>
      </c>
      <c r="J863" t="s">
        <v>55</v>
      </c>
      <c r="K863">
        <f t="shared" si="156"/>
        <v>110.08000000000001</v>
      </c>
      <c r="L863">
        <f t="shared" si="157"/>
        <v>372.64320000000004</v>
      </c>
      <c r="M863" t="str">
        <f t="shared" si="158"/>
        <v>chad-10</v>
      </c>
      <c r="N863" t="str">
        <f>INDEX(Scores!$A$2:$A$11,INDEX(Scores!$AA$2:$AA$131,MATCH(C863,Scores!$AB$2:$AB$131,0)))</f>
        <v>chad</v>
      </c>
      <c r="O863">
        <f t="shared" si="159"/>
        <v>103.91999999999999</v>
      </c>
      <c r="P863">
        <f t="shared" si="160"/>
        <v>398.26569999999992</v>
      </c>
      <c r="Q863" s="3">
        <f t="shared" si="161"/>
        <v>0.58778859959928087</v>
      </c>
      <c r="R863" s="3">
        <f t="shared" si="162"/>
        <v>0.5793028459940468</v>
      </c>
      <c r="S863" s="9">
        <f t="shared" si="163"/>
        <v>-8.4857536052340699E-3</v>
      </c>
      <c r="T863">
        <f t="shared" si="164"/>
        <v>82</v>
      </c>
      <c r="U863">
        <f t="shared" si="165"/>
        <v>103</v>
      </c>
      <c r="V863" s="3">
        <f t="shared" si="166"/>
        <v>4.5678213631116891E-6</v>
      </c>
      <c r="W863" s="9">
        <f t="shared" si="167"/>
        <v>-4.5678213631116891E-6</v>
      </c>
      <c r="AC863"/>
    </row>
    <row r="864" spans="1:29" x14ac:dyDescent="0.25">
      <c r="A864" t="s">
        <v>97</v>
      </c>
      <c r="B864">
        <v>2</v>
      </c>
      <c r="C864" t="s">
        <v>628</v>
      </c>
      <c r="D864" t="s">
        <v>469</v>
      </c>
      <c r="E864">
        <v>0</v>
      </c>
      <c r="F864">
        <v>9.6199999999999992</v>
      </c>
      <c r="G864">
        <v>30.25</v>
      </c>
      <c r="H864" t="s">
        <v>47</v>
      </c>
      <c r="I864" t="s">
        <v>47</v>
      </c>
      <c r="J864" t="s">
        <v>20</v>
      </c>
      <c r="K864">
        <f t="shared" si="156"/>
        <v>103.25</v>
      </c>
      <c r="L864">
        <f t="shared" si="157"/>
        <v>377.00829999999996</v>
      </c>
      <c r="M864" t="str">
        <f t="shared" si="158"/>
        <v>devon-2</v>
      </c>
      <c r="N864" t="str">
        <f>INDEX(Scores!$A$2:$A$11,INDEX(Scores!$AA$2:$AA$131,MATCH(C864,Scores!$AB$2:$AB$131,0)))</f>
        <v>devon</v>
      </c>
      <c r="O864">
        <f t="shared" si="159"/>
        <v>100.92999999999999</v>
      </c>
      <c r="P864">
        <f t="shared" si="160"/>
        <v>374.85250000000002</v>
      </c>
      <c r="Q864" s="3">
        <f t="shared" si="161"/>
        <v>0.53371408733680603</v>
      </c>
      <c r="R864" s="3">
        <f t="shared" si="162"/>
        <v>0.39290669462325467</v>
      </c>
      <c r="S864" s="9">
        <f t="shared" si="163"/>
        <v>-0.14080739271355136</v>
      </c>
      <c r="T864">
        <f t="shared" si="164"/>
        <v>106</v>
      </c>
      <c r="U864">
        <f t="shared" si="165"/>
        <v>140</v>
      </c>
      <c r="V864" s="3">
        <f t="shared" si="166"/>
        <v>4.6524267869484619E-6</v>
      </c>
      <c r="W864" s="9">
        <f t="shared" si="167"/>
        <v>-4.6524267869484619E-6</v>
      </c>
      <c r="AC864"/>
    </row>
    <row r="865" spans="1:29" x14ac:dyDescent="0.25">
      <c r="A865" t="s">
        <v>90</v>
      </c>
      <c r="B865">
        <v>2</v>
      </c>
      <c r="C865" t="s">
        <v>628</v>
      </c>
      <c r="D865" t="s">
        <v>468</v>
      </c>
      <c r="E865">
        <v>21</v>
      </c>
      <c r="F865">
        <v>15.21</v>
      </c>
      <c r="G865">
        <v>80.820099999999996</v>
      </c>
      <c r="H865" t="s">
        <v>47</v>
      </c>
      <c r="I865" t="s">
        <v>47</v>
      </c>
      <c r="J865" t="s">
        <v>20</v>
      </c>
      <c r="K865">
        <f t="shared" si="156"/>
        <v>103.25</v>
      </c>
      <c r="L865">
        <f t="shared" si="157"/>
        <v>377.00829999999996</v>
      </c>
      <c r="M865" t="str">
        <f t="shared" si="158"/>
        <v>devon-2</v>
      </c>
      <c r="N865" t="str">
        <f>INDEX(Scores!$A$2:$A$11,INDEX(Scores!$AA$2:$AA$131,MATCH(C865,Scores!$AB$2:$AB$131,0)))</f>
        <v>devon</v>
      </c>
      <c r="O865">
        <f t="shared" si="159"/>
        <v>100.92999999999999</v>
      </c>
      <c r="P865">
        <f t="shared" si="160"/>
        <v>374.85250000000002</v>
      </c>
      <c r="Q865" s="3">
        <f t="shared" si="161"/>
        <v>0.53371408733680603</v>
      </c>
      <c r="R865" s="3">
        <f t="shared" si="162"/>
        <v>0.62288762058316205</v>
      </c>
      <c r="S865" s="9">
        <f t="shared" si="163"/>
        <v>8.9173533246356018E-2</v>
      </c>
      <c r="T865">
        <f t="shared" si="164"/>
        <v>106</v>
      </c>
      <c r="U865">
        <f t="shared" si="165"/>
        <v>140</v>
      </c>
      <c r="V865" s="3">
        <f t="shared" si="166"/>
        <v>4.7991830524066678E-6</v>
      </c>
      <c r="W865" s="9">
        <f t="shared" si="167"/>
        <v>-4.7991830524066678E-6</v>
      </c>
      <c r="AC865"/>
    </row>
    <row r="866" spans="1:29" x14ac:dyDescent="0.25">
      <c r="A866" t="s">
        <v>413</v>
      </c>
      <c r="B866">
        <v>7</v>
      </c>
      <c r="C866" t="s">
        <v>921</v>
      </c>
      <c r="D866" t="s">
        <v>477</v>
      </c>
      <c r="E866">
        <v>13</v>
      </c>
      <c r="F866">
        <v>7.67</v>
      </c>
      <c r="G866">
        <v>44.355600000000003</v>
      </c>
      <c r="H866" t="s">
        <v>477</v>
      </c>
      <c r="I866" t="s">
        <v>477</v>
      </c>
      <c r="J866" t="s">
        <v>55</v>
      </c>
      <c r="K866">
        <f t="shared" si="156"/>
        <v>114.01999999999998</v>
      </c>
      <c r="L866">
        <f t="shared" si="157"/>
        <v>381.58529999999996</v>
      </c>
      <c r="M866" t="str">
        <f t="shared" si="158"/>
        <v>devon-7</v>
      </c>
      <c r="N866" t="str">
        <f>INDEX(Scores!$A$2:$A$11,INDEX(Scores!$AA$2:$AA$131,MATCH(C866,Scores!$AB$2:$AB$131,0)))</f>
        <v>devon</v>
      </c>
      <c r="O866">
        <f t="shared" si="159"/>
        <v>106.81</v>
      </c>
      <c r="P866">
        <f t="shared" si="160"/>
        <v>351.64060000000001</v>
      </c>
      <c r="Q866" s="3">
        <f t="shared" si="161"/>
        <v>0.60498297578784854</v>
      </c>
      <c r="R866" s="3">
        <f t="shared" si="162"/>
        <v>0.68359693010448219</v>
      </c>
      <c r="S866" s="9">
        <f t="shared" si="163"/>
        <v>7.861395431663365E-2</v>
      </c>
      <c r="T866">
        <f t="shared" si="164"/>
        <v>93</v>
      </c>
      <c r="U866">
        <f t="shared" si="165"/>
        <v>117</v>
      </c>
      <c r="V866" s="3">
        <f t="shared" si="166"/>
        <v>5.3160026696496157E-6</v>
      </c>
      <c r="W866" s="9">
        <f t="shared" si="167"/>
        <v>-5.3160026696496157E-6</v>
      </c>
      <c r="AC866"/>
    </row>
    <row r="867" spans="1:29" x14ac:dyDescent="0.25">
      <c r="A867" t="s">
        <v>92</v>
      </c>
      <c r="B867">
        <v>12</v>
      </c>
      <c r="C867" t="s">
        <v>926</v>
      </c>
      <c r="D867" t="s">
        <v>466</v>
      </c>
      <c r="E867">
        <v>8</v>
      </c>
      <c r="F867">
        <v>14.77</v>
      </c>
      <c r="G867">
        <v>60.996099999999998</v>
      </c>
      <c r="H867" t="s">
        <v>466</v>
      </c>
      <c r="I867" t="s">
        <v>47</v>
      </c>
      <c r="J867" t="s">
        <v>55</v>
      </c>
      <c r="K867">
        <f t="shared" si="156"/>
        <v>111.09</v>
      </c>
      <c r="L867">
        <f t="shared" si="157"/>
        <v>408.5095</v>
      </c>
      <c r="M867" t="str">
        <f t="shared" si="158"/>
        <v>comp-12</v>
      </c>
      <c r="N867" t="str">
        <f>INDEX(Scores!$A$2:$A$11,INDEX(Scores!$AA$2:$AA$131,MATCH(C867,Scores!$AB$2:$AB$131,0)))</f>
        <v>comp</v>
      </c>
      <c r="O867">
        <f t="shared" si="159"/>
        <v>98.639999999999986</v>
      </c>
      <c r="P867">
        <f t="shared" si="160"/>
        <v>309.06870000000004</v>
      </c>
      <c r="Q867" s="3">
        <f t="shared" si="161"/>
        <v>0.67895062778258408</v>
      </c>
      <c r="R867" s="3">
        <f t="shared" si="162"/>
        <v>0.5877139902873677</v>
      </c>
      <c r="S867" s="9">
        <f t="shared" si="163"/>
        <v>-9.1236637495216377E-2</v>
      </c>
      <c r="T867">
        <f t="shared" si="164"/>
        <v>84</v>
      </c>
      <c r="U867">
        <f t="shared" si="165"/>
        <v>125</v>
      </c>
      <c r="V867" s="3">
        <f t="shared" si="166"/>
        <v>5.8570397957038916E-6</v>
      </c>
      <c r="W867" s="9">
        <f t="shared" si="167"/>
        <v>-5.8570397957038916E-6</v>
      </c>
      <c r="AC867"/>
    </row>
    <row r="868" spans="1:29" x14ac:dyDescent="0.25">
      <c r="A868" t="s">
        <v>151</v>
      </c>
      <c r="B868">
        <v>11</v>
      </c>
      <c r="C868" t="s">
        <v>949</v>
      </c>
      <c r="D868" t="s">
        <v>475</v>
      </c>
      <c r="E868">
        <v>8</v>
      </c>
      <c r="F868">
        <v>11.19</v>
      </c>
      <c r="G868">
        <v>42.120100000000001</v>
      </c>
      <c r="H868" t="s">
        <v>114</v>
      </c>
      <c r="I868" t="s">
        <v>114</v>
      </c>
      <c r="J868" t="s">
        <v>62</v>
      </c>
      <c r="K868">
        <f t="shared" si="156"/>
        <v>106.58</v>
      </c>
      <c r="L868">
        <f t="shared" si="157"/>
        <v>427.68610000000001</v>
      </c>
      <c r="M868" t="str">
        <f t="shared" si="158"/>
        <v>cory-11</v>
      </c>
      <c r="N868" t="str">
        <f>INDEX(Scores!$A$2:$A$11,INDEX(Scores!$AA$2:$AA$131,MATCH(C868,Scores!$AB$2:$AB$131,0)))</f>
        <v>cory</v>
      </c>
      <c r="O868">
        <f t="shared" si="159"/>
        <v>102.11</v>
      </c>
      <c r="P868">
        <f t="shared" si="160"/>
        <v>431.97960000000006</v>
      </c>
      <c r="Q868" s="3">
        <f t="shared" si="161"/>
        <v>0.56058610538956244</v>
      </c>
      <c r="R868" s="3">
        <f t="shared" si="162"/>
        <v>0.51785332061796141</v>
      </c>
      <c r="S868" s="9">
        <f t="shared" si="163"/>
        <v>-4.2732784771601029E-2</v>
      </c>
      <c r="T868">
        <f t="shared" si="164"/>
        <v>99</v>
      </c>
      <c r="U868">
        <f t="shared" si="165"/>
        <v>130</v>
      </c>
      <c r="V868" s="3">
        <f t="shared" si="166"/>
        <v>9.1347432861698679E-6</v>
      </c>
      <c r="W868" s="9">
        <f t="shared" si="167"/>
        <v>-9.1347432861698679E-6</v>
      </c>
      <c r="AC868"/>
    </row>
    <row r="869" spans="1:29" x14ac:dyDescent="0.25">
      <c r="A869" t="s">
        <v>1100</v>
      </c>
      <c r="B869">
        <v>5</v>
      </c>
      <c r="C869" t="s">
        <v>886</v>
      </c>
      <c r="D869" t="s">
        <v>468</v>
      </c>
      <c r="E869">
        <v>2</v>
      </c>
      <c r="F869">
        <v>15.08</v>
      </c>
      <c r="G869">
        <v>74.822500000000005</v>
      </c>
      <c r="H869" t="s">
        <v>47</v>
      </c>
      <c r="I869" t="s">
        <v>47</v>
      </c>
      <c r="J869" t="s">
        <v>62</v>
      </c>
      <c r="K869">
        <f t="shared" si="156"/>
        <v>103.98</v>
      </c>
      <c r="L869">
        <f t="shared" si="157"/>
        <v>400.98380000000003</v>
      </c>
      <c r="M869" t="str">
        <f t="shared" si="158"/>
        <v>comp-5</v>
      </c>
      <c r="N869" t="str">
        <f>INDEX(Scores!$A$2:$A$11,INDEX(Scores!$AA$2:$AA$131,MATCH(C869,Scores!$AB$2:$AB$131,0)))</f>
        <v>comp</v>
      </c>
      <c r="O869">
        <f t="shared" si="159"/>
        <v>98.17</v>
      </c>
      <c r="P869">
        <f t="shared" si="160"/>
        <v>359.81479999999999</v>
      </c>
      <c r="Q869" s="3">
        <f t="shared" si="161"/>
        <v>0.58341598360206426</v>
      </c>
      <c r="R869" s="3">
        <f t="shared" si="162"/>
        <v>0.3906694181818775</v>
      </c>
      <c r="S869" s="9">
        <f t="shared" si="163"/>
        <v>-0.19274656542018676</v>
      </c>
      <c r="T869">
        <f t="shared" si="164"/>
        <v>71</v>
      </c>
      <c r="U869">
        <f t="shared" si="165"/>
        <v>121</v>
      </c>
      <c r="V869" s="3">
        <f t="shared" si="166"/>
        <v>9.8524733845861351E-6</v>
      </c>
      <c r="W869" s="9">
        <f t="shared" si="167"/>
        <v>-9.8524733845861351E-6</v>
      </c>
      <c r="AC869"/>
    </row>
    <row r="870" spans="1:29" x14ac:dyDescent="0.25">
      <c r="A870" t="s">
        <v>53</v>
      </c>
      <c r="B870">
        <v>7</v>
      </c>
      <c r="C870" t="s">
        <v>921</v>
      </c>
      <c r="D870" t="s">
        <v>467</v>
      </c>
      <c r="E870">
        <v>26</v>
      </c>
      <c r="F870">
        <v>18.760000000000002</v>
      </c>
      <c r="G870">
        <v>53.875599999999999</v>
      </c>
      <c r="H870" t="s">
        <v>15</v>
      </c>
      <c r="I870" t="s">
        <v>15</v>
      </c>
      <c r="J870" t="s">
        <v>55</v>
      </c>
      <c r="K870">
        <f t="shared" si="156"/>
        <v>114.01999999999998</v>
      </c>
      <c r="L870">
        <f t="shared" si="157"/>
        <v>381.58529999999996</v>
      </c>
      <c r="M870" t="str">
        <f t="shared" si="158"/>
        <v>devon-7</v>
      </c>
      <c r="N870" t="str">
        <f>INDEX(Scores!$A$2:$A$11,INDEX(Scores!$AA$2:$AA$131,MATCH(C870,Scores!$AB$2:$AB$131,0)))</f>
        <v>devon</v>
      </c>
      <c r="O870">
        <f t="shared" si="159"/>
        <v>106.81</v>
      </c>
      <c r="P870">
        <f t="shared" si="160"/>
        <v>351.64060000000001</v>
      </c>
      <c r="Q870" s="3">
        <f t="shared" si="161"/>
        <v>0.60498297578784854</v>
      </c>
      <c r="R870" s="3">
        <f t="shared" si="162"/>
        <v>0.71034644983986128</v>
      </c>
      <c r="S870" s="9">
        <f t="shared" si="163"/>
        <v>0.10536347405201274</v>
      </c>
      <c r="T870">
        <f t="shared" si="164"/>
        <v>93</v>
      </c>
      <c r="U870">
        <f t="shared" si="165"/>
        <v>117</v>
      </c>
      <c r="V870" s="3">
        <f t="shared" si="166"/>
        <v>1.0399753094195222E-5</v>
      </c>
      <c r="W870" s="9">
        <f t="shared" si="167"/>
        <v>-1.0399753094195222E-5</v>
      </c>
      <c r="AC870"/>
    </row>
    <row r="871" spans="1:29" x14ac:dyDescent="0.25">
      <c r="A871" t="s">
        <v>136</v>
      </c>
      <c r="B871">
        <v>9</v>
      </c>
      <c r="C871" t="s">
        <v>923</v>
      </c>
      <c r="D871" t="s">
        <v>473</v>
      </c>
      <c r="E871">
        <v>13</v>
      </c>
      <c r="F871">
        <v>8.02</v>
      </c>
      <c r="G871">
        <v>31.922499999999999</v>
      </c>
      <c r="H871" t="s">
        <v>87</v>
      </c>
      <c r="I871" t="s">
        <v>87</v>
      </c>
      <c r="J871" t="s">
        <v>55</v>
      </c>
      <c r="K871">
        <f t="shared" si="156"/>
        <v>102.03999999999999</v>
      </c>
      <c r="L871">
        <f t="shared" si="157"/>
        <v>392.2131</v>
      </c>
      <c r="M871" t="str">
        <f t="shared" si="158"/>
        <v>perry-9</v>
      </c>
      <c r="N871" t="str">
        <f>INDEX(Scores!$A$2:$A$11,INDEX(Scores!$AA$2:$AA$131,MATCH(C871,Scores!$AB$2:$AB$131,0)))</f>
        <v>perry</v>
      </c>
      <c r="O871">
        <f t="shared" si="159"/>
        <v>98.35</v>
      </c>
      <c r="P871">
        <f t="shared" si="160"/>
        <v>385.97739999999999</v>
      </c>
      <c r="Q871" s="3">
        <f t="shared" si="161"/>
        <v>0.5526172882097643</v>
      </c>
      <c r="R871" s="3">
        <f t="shared" si="162"/>
        <v>0.62452017827203699</v>
      </c>
      <c r="S871" s="9">
        <f t="shared" si="163"/>
        <v>7.1902890062272684E-2</v>
      </c>
      <c r="T871">
        <f t="shared" si="164"/>
        <v>86</v>
      </c>
      <c r="U871">
        <f t="shared" si="165"/>
        <v>105</v>
      </c>
      <c r="V871" s="3">
        <f t="shared" si="166"/>
        <v>1.096639466219797E-5</v>
      </c>
      <c r="W871" s="9">
        <f t="shared" si="167"/>
        <v>-1.096639466219797E-5</v>
      </c>
      <c r="AC871"/>
    </row>
    <row r="872" spans="1:29" x14ac:dyDescent="0.25">
      <c r="A872" t="s">
        <v>95</v>
      </c>
      <c r="B872">
        <v>11</v>
      </c>
      <c r="C872" t="s">
        <v>933</v>
      </c>
      <c r="D872" t="s">
        <v>467</v>
      </c>
      <c r="E872">
        <v>7</v>
      </c>
      <c r="F872">
        <v>21.63</v>
      </c>
      <c r="G872">
        <v>54.908099999999997</v>
      </c>
      <c r="H872" t="s">
        <v>15</v>
      </c>
      <c r="I872" t="s">
        <v>15</v>
      </c>
      <c r="J872" t="s">
        <v>35</v>
      </c>
      <c r="K872">
        <f t="shared" si="156"/>
        <v>100.25</v>
      </c>
      <c r="L872">
        <f t="shared" si="157"/>
        <v>448.76889999999997</v>
      </c>
      <c r="M872" t="str">
        <f t="shared" si="158"/>
        <v>scott-11</v>
      </c>
      <c r="N872" t="str">
        <f>INDEX(Scores!$A$2:$A$11,INDEX(Scores!$AA$2:$AA$131,MATCH(C872,Scores!$AB$2:$AB$131,0)))</f>
        <v>scott</v>
      </c>
      <c r="O872">
        <f t="shared" si="159"/>
        <v>105.39999999999999</v>
      </c>
      <c r="P872">
        <f t="shared" si="160"/>
        <v>342.09739999999999</v>
      </c>
      <c r="Q872" s="3">
        <f t="shared" si="161"/>
        <v>0.42734863744074048</v>
      </c>
      <c r="R872" s="3">
        <f t="shared" si="162"/>
        <v>0.23296377048877659</v>
      </c>
      <c r="S872" s="9">
        <f t="shared" si="163"/>
        <v>-0.19438486695196389</v>
      </c>
      <c r="T872">
        <f t="shared" si="164"/>
        <v>78</v>
      </c>
      <c r="U872">
        <f t="shared" si="165"/>
        <v>124</v>
      </c>
      <c r="V872" s="3">
        <f t="shared" si="166"/>
        <v>1.1505732288301702E-5</v>
      </c>
      <c r="W872" s="9">
        <f t="shared" si="167"/>
        <v>-1.1505732288301702E-5</v>
      </c>
      <c r="AC872"/>
    </row>
    <row r="873" spans="1:29" x14ac:dyDescent="0.25">
      <c r="A873" t="s">
        <v>177</v>
      </c>
      <c r="B873">
        <v>6</v>
      </c>
      <c r="C873" t="s">
        <v>912</v>
      </c>
      <c r="D873" t="s">
        <v>475</v>
      </c>
      <c r="E873">
        <v>13</v>
      </c>
      <c r="F873">
        <v>7.77</v>
      </c>
      <c r="G873">
        <v>33.0625</v>
      </c>
      <c r="H873" t="s">
        <v>114</v>
      </c>
      <c r="I873" t="s">
        <v>114</v>
      </c>
      <c r="J873" t="s">
        <v>16</v>
      </c>
      <c r="K873">
        <f t="shared" si="156"/>
        <v>102.10000000000001</v>
      </c>
      <c r="L873">
        <f t="shared" si="157"/>
        <v>445.16630000000004</v>
      </c>
      <c r="M873" t="str">
        <f t="shared" si="158"/>
        <v>aj-6</v>
      </c>
      <c r="N873" t="str">
        <f>INDEX(Scores!$A$2:$A$11,INDEX(Scores!$AA$2:$AA$131,MATCH(C873,Scores!$AB$2:$AB$131,0)))</f>
        <v>aj</v>
      </c>
      <c r="O873">
        <f t="shared" si="159"/>
        <v>108.8</v>
      </c>
      <c r="P873">
        <f t="shared" si="160"/>
        <v>404.29040000000003</v>
      </c>
      <c r="Q873" s="3">
        <f t="shared" si="161"/>
        <v>0.40909189376360988</v>
      </c>
      <c r="R873" s="3">
        <f t="shared" si="162"/>
        <v>0.47948432118730672</v>
      </c>
      <c r="S873" s="9">
        <f t="shared" si="163"/>
        <v>7.0392427423696835E-2</v>
      </c>
      <c r="T873">
        <f t="shared" si="164"/>
        <v>85</v>
      </c>
      <c r="U873">
        <f t="shared" si="165"/>
        <v>104</v>
      </c>
      <c r="V873" s="3">
        <f t="shared" si="166"/>
        <v>1.2549197429263619E-5</v>
      </c>
      <c r="W873" s="9">
        <f t="shared" si="167"/>
        <v>-1.2549197429263619E-5</v>
      </c>
      <c r="AC873"/>
    </row>
    <row r="874" spans="1:29" x14ac:dyDescent="0.25">
      <c r="A874" t="s">
        <v>446</v>
      </c>
      <c r="B874">
        <v>13</v>
      </c>
      <c r="C874" t="s">
        <v>943</v>
      </c>
      <c r="D874" t="s">
        <v>478</v>
      </c>
      <c r="E874">
        <v>13</v>
      </c>
      <c r="F874">
        <v>8.75</v>
      </c>
      <c r="G874">
        <v>18.835599999999999</v>
      </c>
      <c r="H874" t="s">
        <v>478</v>
      </c>
      <c r="I874" t="s">
        <v>478</v>
      </c>
      <c r="J874" t="s">
        <v>27</v>
      </c>
      <c r="K874">
        <f t="shared" si="156"/>
        <v>104.63999999999999</v>
      </c>
      <c r="L874">
        <f t="shared" si="157"/>
        <v>400.33339999999998</v>
      </c>
      <c r="M874" t="str">
        <f t="shared" si="158"/>
        <v>chad-13</v>
      </c>
      <c r="N874" t="str">
        <f>INDEX(Scores!$A$2:$A$11,INDEX(Scores!$AA$2:$AA$131,MATCH(C874,Scores!$AB$2:$AB$131,0)))</f>
        <v>chad</v>
      </c>
      <c r="O874">
        <f t="shared" si="159"/>
        <v>113.35</v>
      </c>
      <c r="P874">
        <f t="shared" si="160"/>
        <v>486.24799999999993</v>
      </c>
      <c r="Q874" s="3">
        <f t="shared" si="161"/>
        <v>0.3849436901786526</v>
      </c>
      <c r="R874" s="3">
        <f t="shared" si="162"/>
        <v>0.4398283453543842</v>
      </c>
      <c r="S874" s="9">
        <f t="shared" si="163"/>
        <v>5.48846551757316E-2</v>
      </c>
      <c r="T874">
        <f t="shared" si="164"/>
        <v>81</v>
      </c>
      <c r="U874">
        <f t="shared" si="165"/>
        <v>95</v>
      </c>
      <c r="V874" s="3">
        <f t="shared" si="166"/>
        <v>1.3050118743065281E-5</v>
      </c>
      <c r="W874" s="9">
        <f t="shared" si="167"/>
        <v>-1.3050118743065281E-5</v>
      </c>
      <c r="AC874"/>
    </row>
    <row r="875" spans="1:29" x14ac:dyDescent="0.25">
      <c r="A875" t="s">
        <v>449</v>
      </c>
      <c r="B875">
        <v>10</v>
      </c>
      <c r="C875" t="s">
        <v>916</v>
      </c>
      <c r="D875" t="s">
        <v>478</v>
      </c>
      <c r="E875">
        <v>11</v>
      </c>
      <c r="F875">
        <v>8.07</v>
      </c>
      <c r="G875">
        <v>18.232900000000001</v>
      </c>
      <c r="H875" t="s">
        <v>478</v>
      </c>
      <c r="I875" t="s">
        <v>478</v>
      </c>
      <c r="J875" t="s">
        <v>16</v>
      </c>
      <c r="K875">
        <f t="shared" si="156"/>
        <v>93.17</v>
      </c>
      <c r="L875">
        <f t="shared" si="157"/>
        <v>328.34589999999997</v>
      </c>
      <c r="M875" t="str">
        <f t="shared" si="158"/>
        <v>perry-10</v>
      </c>
      <c r="N875" t="str">
        <f>INDEX(Scores!$A$2:$A$11,INDEX(Scores!$AA$2:$AA$131,MATCH(C875,Scores!$AB$2:$AB$131,0)))</f>
        <v>perry</v>
      </c>
      <c r="O875">
        <f t="shared" si="159"/>
        <v>103.49</v>
      </c>
      <c r="P875">
        <f t="shared" si="160"/>
        <v>345.28400000000005</v>
      </c>
      <c r="Q875" s="3">
        <f t="shared" si="161"/>
        <v>0.34545488835543114</v>
      </c>
      <c r="R875" s="3">
        <f t="shared" si="162"/>
        <v>0.3864193617865202</v>
      </c>
      <c r="S875" s="9">
        <f t="shared" si="163"/>
        <v>4.0964473431089055E-2</v>
      </c>
      <c r="T875">
        <f t="shared" si="164"/>
        <v>91</v>
      </c>
      <c r="U875">
        <f t="shared" si="165"/>
        <v>106</v>
      </c>
      <c r="V875" s="3">
        <f t="shared" si="166"/>
        <v>1.3401073760549131E-5</v>
      </c>
      <c r="W875" s="9">
        <f t="shared" si="167"/>
        <v>-1.3401073760549131E-5</v>
      </c>
      <c r="AC875"/>
    </row>
    <row r="876" spans="1:29" x14ac:dyDescent="0.25">
      <c r="A876" t="s">
        <v>444</v>
      </c>
      <c r="B876">
        <v>5</v>
      </c>
      <c r="C876" t="s">
        <v>890</v>
      </c>
      <c r="D876" t="s">
        <v>478</v>
      </c>
      <c r="E876">
        <v>3</v>
      </c>
      <c r="F876">
        <v>8.15</v>
      </c>
      <c r="G876">
        <v>20.25</v>
      </c>
      <c r="H876" t="s">
        <v>478</v>
      </c>
      <c r="I876" t="s">
        <v>478</v>
      </c>
      <c r="J876" t="s">
        <v>20</v>
      </c>
      <c r="K876">
        <f t="shared" si="156"/>
        <v>107.89</v>
      </c>
      <c r="L876">
        <f t="shared" si="157"/>
        <v>441.71269999999998</v>
      </c>
      <c r="M876" t="str">
        <f t="shared" si="158"/>
        <v>lucas-5</v>
      </c>
      <c r="N876" t="str">
        <f>INDEX(Scores!$A$2:$A$11,INDEX(Scores!$AA$2:$AA$131,MATCH(C876,Scores!$AB$2:$AB$131,0)))</f>
        <v>lucas</v>
      </c>
      <c r="O876">
        <f t="shared" si="159"/>
        <v>0</v>
      </c>
      <c r="P876">
        <f t="shared" si="160"/>
        <v>0</v>
      </c>
      <c r="Q876" s="3">
        <f t="shared" si="161"/>
        <v>0.99999985777778666</v>
      </c>
      <c r="R876" s="3">
        <f t="shared" si="162"/>
        <v>0.99999971995213532</v>
      </c>
      <c r="S876" s="9">
        <f t="shared" si="163"/>
        <v>-1.3782565133624303E-7</v>
      </c>
      <c r="T876">
        <f t="shared" si="164"/>
        <v>69</v>
      </c>
      <c r="U876">
        <f t="shared" si="165"/>
        <v>0</v>
      </c>
      <c r="V876" s="3">
        <f t="shared" si="166"/>
        <v>1</v>
      </c>
      <c r="W876" s="9">
        <f t="shared" si="167"/>
        <v>0</v>
      </c>
      <c r="AC876"/>
    </row>
    <row r="877" spans="1:29" x14ac:dyDescent="0.25">
      <c r="A877" t="s">
        <v>106</v>
      </c>
      <c r="B877">
        <v>8</v>
      </c>
      <c r="C877" t="s">
        <v>962</v>
      </c>
      <c r="D877" t="s">
        <v>471</v>
      </c>
      <c r="E877">
        <v>3</v>
      </c>
      <c r="F877">
        <v>10.25</v>
      </c>
      <c r="G877">
        <v>44.089599999999997</v>
      </c>
      <c r="H877" t="s">
        <v>87</v>
      </c>
      <c r="I877" t="s">
        <v>87</v>
      </c>
      <c r="J877" t="s">
        <v>23</v>
      </c>
      <c r="K877">
        <f t="shared" si="156"/>
        <v>115.82</v>
      </c>
      <c r="L877">
        <f t="shared" si="157"/>
        <v>434.36700000000002</v>
      </c>
      <c r="M877" t="str">
        <f t="shared" si="158"/>
        <v>comp-8</v>
      </c>
      <c r="N877" t="str">
        <f>INDEX(Scores!$A$2:$A$11,INDEX(Scores!$AA$2:$AA$131,MATCH(C877,Scores!$AB$2:$AB$131,0)))</f>
        <v>comp</v>
      </c>
      <c r="O877">
        <f t="shared" si="159"/>
        <v>100.87</v>
      </c>
      <c r="P877">
        <f t="shared" si="160"/>
        <v>421.5641</v>
      </c>
      <c r="Q877" s="3">
        <f t="shared" si="161"/>
        <v>0.69532483792586408</v>
      </c>
      <c r="R877" s="3">
        <f t="shared" si="162"/>
        <v>0.60651349819955303</v>
      </c>
      <c r="S877" s="9">
        <f t="shared" si="163"/>
        <v>-8.8811339726311056E-2</v>
      </c>
      <c r="T877">
        <f t="shared" si="164"/>
        <v>80</v>
      </c>
      <c r="U877">
        <f t="shared" si="165"/>
        <v>115</v>
      </c>
      <c r="V877" s="3">
        <f t="shared" si="166"/>
        <v>1.4625732196200112E-5</v>
      </c>
      <c r="W877" s="9">
        <f t="shared" si="167"/>
        <v>-1.4625732196200112E-5</v>
      </c>
      <c r="AC877"/>
    </row>
    <row r="878" spans="1:29" x14ac:dyDescent="0.25">
      <c r="A878" t="s">
        <v>117</v>
      </c>
      <c r="B878">
        <v>3</v>
      </c>
      <c r="C878" t="s">
        <v>804</v>
      </c>
      <c r="D878" t="s">
        <v>469</v>
      </c>
      <c r="E878">
        <v>5</v>
      </c>
      <c r="F878">
        <v>11.18</v>
      </c>
      <c r="G878">
        <v>47.61</v>
      </c>
      <c r="H878" t="s">
        <v>47</v>
      </c>
      <c r="I878" t="s">
        <v>47</v>
      </c>
      <c r="J878" t="s">
        <v>40</v>
      </c>
      <c r="K878">
        <f t="shared" si="156"/>
        <v>99.87</v>
      </c>
      <c r="L878">
        <f t="shared" si="157"/>
        <v>418.53290000000004</v>
      </c>
      <c r="M878" t="e">
        <f t="shared" si="158"/>
        <v>#N/A</v>
      </c>
      <c r="N878" t="e">
        <f>INDEX(Scores!$A$2:$A$11,INDEX(Scores!$AA$2:$AA$131,MATCH(C878,Scores!$AB$2:$AB$131,0)))</f>
        <v>#N/A</v>
      </c>
      <c r="O878">
        <f t="shared" si="159"/>
        <v>0</v>
      </c>
      <c r="P878">
        <f t="shared" si="160"/>
        <v>0</v>
      </c>
      <c r="Q878" s="3">
        <f t="shared" si="161"/>
        <v>0.99999947409897594</v>
      </c>
      <c r="R878" s="3">
        <f t="shared" si="162"/>
        <v>0.99999942669642194</v>
      </c>
      <c r="S878" s="9">
        <f t="shared" si="163"/>
        <v>-4.7402553993158847E-8</v>
      </c>
      <c r="T878">
        <f t="shared" si="164"/>
        <v>53</v>
      </c>
      <c r="U878">
        <f t="shared" si="165"/>
        <v>0</v>
      </c>
      <c r="V878" s="3">
        <f t="shared" si="166"/>
        <v>1</v>
      </c>
      <c r="W878" s="9">
        <f t="shared" si="167"/>
        <v>0</v>
      </c>
      <c r="AC878"/>
    </row>
    <row r="879" spans="1:29" x14ac:dyDescent="0.25">
      <c r="A879" t="s">
        <v>134</v>
      </c>
      <c r="B879">
        <v>6</v>
      </c>
      <c r="C879" t="s">
        <v>912</v>
      </c>
      <c r="D879" t="s">
        <v>472</v>
      </c>
      <c r="E879">
        <v>12</v>
      </c>
      <c r="F879">
        <v>8.3800000000000008</v>
      </c>
      <c r="G879">
        <v>29.702500000000001</v>
      </c>
      <c r="H879" t="s">
        <v>87</v>
      </c>
      <c r="I879" t="s">
        <v>87</v>
      </c>
      <c r="J879" t="s">
        <v>16</v>
      </c>
      <c r="K879">
        <f t="shared" si="156"/>
        <v>102.10000000000001</v>
      </c>
      <c r="L879">
        <f t="shared" si="157"/>
        <v>445.16630000000004</v>
      </c>
      <c r="M879" t="str">
        <f t="shared" si="158"/>
        <v>aj-6</v>
      </c>
      <c r="N879" t="str">
        <f>INDEX(Scores!$A$2:$A$11,INDEX(Scores!$AA$2:$AA$131,MATCH(C879,Scores!$AB$2:$AB$131,0)))</f>
        <v>aj</v>
      </c>
      <c r="O879">
        <f t="shared" si="159"/>
        <v>108.8</v>
      </c>
      <c r="P879">
        <f t="shared" si="160"/>
        <v>404.29040000000003</v>
      </c>
      <c r="Q879" s="3">
        <f t="shared" si="161"/>
        <v>0.40909189376360988</v>
      </c>
      <c r="R879" s="3">
        <f t="shared" si="162"/>
        <v>0.45716665652890687</v>
      </c>
      <c r="S879" s="9">
        <f t="shared" si="163"/>
        <v>4.8074762765296986E-2</v>
      </c>
      <c r="T879">
        <f t="shared" si="164"/>
        <v>85</v>
      </c>
      <c r="U879">
        <f t="shared" si="165"/>
        <v>104</v>
      </c>
      <c r="V879" s="3">
        <f t="shared" si="166"/>
        <v>1.6590480773821482E-5</v>
      </c>
      <c r="W879" s="9">
        <f t="shared" si="167"/>
        <v>-1.6590480773821482E-5</v>
      </c>
      <c r="AC879"/>
    </row>
    <row r="880" spans="1:29" x14ac:dyDescent="0.25">
      <c r="A880" t="s">
        <v>241</v>
      </c>
      <c r="B880">
        <v>4</v>
      </c>
      <c r="C880" t="s">
        <v>859</v>
      </c>
      <c r="D880" t="s">
        <v>473</v>
      </c>
      <c r="E880">
        <v>3</v>
      </c>
      <c r="F880">
        <v>6.37</v>
      </c>
      <c r="G880">
        <v>22.372900000000001</v>
      </c>
      <c r="H880" t="s">
        <v>87</v>
      </c>
      <c r="I880" t="s">
        <v>87</v>
      </c>
      <c r="J880" t="s">
        <v>40</v>
      </c>
      <c r="K880">
        <f t="shared" si="156"/>
        <v>103.94999999999999</v>
      </c>
      <c r="L880">
        <f t="shared" si="157"/>
        <v>368.50220000000002</v>
      </c>
      <c r="M880" t="e">
        <f t="shared" si="158"/>
        <v>#N/A</v>
      </c>
      <c r="N880" t="e">
        <f>INDEX(Scores!$A$2:$A$11,INDEX(Scores!$AA$2:$AA$131,MATCH(C880,Scores!$AB$2:$AB$131,0)))</f>
        <v>#N/A</v>
      </c>
      <c r="O880">
        <f t="shared" si="159"/>
        <v>0</v>
      </c>
      <c r="P880">
        <f t="shared" si="160"/>
        <v>0</v>
      </c>
      <c r="Q880" s="3">
        <f t="shared" si="161"/>
        <v>0.99999996936843616</v>
      </c>
      <c r="R880" s="3">
        <f t="shared" si="162"/>
        <v>0.99999996781280742</v>
      </c>
      <c r="S880" s="9">
        <f t="shared" si="163"/>
        <v>-1.5556287369378197E-9</v>
      </c>
      <c r="T880">
        <f t="shared" si="164"/>
        <v>69</v>
      </c>
      <c r="U880">
        <f t="shared" si="165"/>
        <v>0</v>
      </c>
      <c r="V880" s="3">
        <f t="shared" si="166"/>
        <v>1</v>
      </c>
      <c r="W880" s="9">
        <f t="shared" si="167"/>
        <v>0</v>
      </c>
      <c r="AC880"/>
    </row>
    <row r="881" spans="1:29" x14ac:dyDescent="0.25">
      <c r="A881" t="s">
        <v>133</v>
      </c>
      <c r="B881">
        <v>11</v>
      </c>
      <c r="C881" t="s">
        <v>949</v>
      </c>
      <c r="D881" t="s">
        <v>473</v>
      </c>
      <c r="E881">
        <v>3</v>
      </c>
      <c r="F881">
        <v>10.130000000000001</v>
      </c>
      <c r="G881">
        <v>33.292900000000003</v>
      </c>
      <c r="H881" t="s">
        <v>87</v>
      </c>
      <c r="I881" t="s">
        <v>87</v>
      </c>
      <c r="J881" t="s">
        <v>62</v>
      </c>
      <c r="K881">
        <f t="shared" si="156"/>
        <v>106.58</v>
      </c>
      <c r="L881">
        <f t="shared" si="157"/>
        <v>427.68610000000001</v>
      </c>
      <c r="M881" t="str">
        <f t="shared" si="158"/>
        <v>cory-11</v>
      </c>
      <c r="N881" t="str">
        <f>INDEX(Scores!$A$2:$A$11,INDEX(Scores!$AA$2:$AA$131,MATCH(C881,Scores!$AB$2:$AB$131,0)))</f>
        <v>cory</v>
      </c>
      <c r="O881">
        <f t="shared" si="159"/>
        <v>102.11</v>
      </c>
      <c r="P881">
        <f t="shared" si="160"/>
        <v>431.97960000000006</v>
      </c>
      <c r="Q881" s="3">
        <f t="shared" si="161"/>
        <v>0.56058610538956244</v>
      </c>
      <c r="R881" s="3">
        <f t="shared" si="162"/>
        <v>0.46313754174576166</v>
      </c>
      <c r="S881" s="9">
        <f t="shared" si="163"/>
        <v>-9.7448563643800779E-2</v>
      </c>
      <c r="T881">
        <f t="shared" si="164"/>
        <v>99</v>
      </c>
      <c r="U881">
        <f t="shared" si="165"/>
        <v>130</v>
      </c>
      <c r="V881" s="3">
        <f t="shared" si="166"/>
        <v>1.7600315486939725E-5</v>
      </c>
      <c r="W881" s="9">
        <f t="shared" si="167"/>
        <v>-1.7600315486939725E-5</v>
      </c>
      <c r="AC881"/>
    </row>
    <row r="882" spans="1:29" x14ac:dyDescent="0.25">
      <c r="A882" t="s">
        <v>217</v>
      </c>
      <c r="B882">
        <v>4</v>
      </c>
      <c r="C882" t="s">
        <v>861</v>
      </c>
      <c r="D882" t="s">
        <v>475</v>
      </c>
      <c r="E882">
        <v>11</v>
      </c>
      <c r="F882">
        <v>5.67</v>
      </c>
      <c r="G882">
        <v>26.625599999999999</v>
      </c>
      <c r="H882" t="s">
        <v>114</v>
      </c>
      <c r="I882" t="s">
        <v>114</v>
      </c>
      <c r="J882" t="s">
        <v>20</v>
      </c>
      <c r="K882">
        <f t="shared" si="156"/>
        <v>113.07</v>
      </c>
      <c r="L882">
        <f t="shared" si="157"/>
        <v>452.41279999999995</v>
      </c>
      <c r="M882" t="str">
        <f t="shared" si="158"/>
        <v>cory-4</v>
      </c>
      <c r="N882" t="str">
        <f>INDEX(Scores!$A$2:$A$11,INDEX(Scores!$AA$2:$AA$131,MATCH(C882,Scores!$AB$2:$AB$131,0)))</f>
        <v>cory</v>
      </c>
      <c r="O882">
        <f t="shared" si="159"/>
        <v>115.58999999999999</v>
      </c>
      <c r="P882">
        <f t="shared" si="160"/>
        <v>432.42160000000007</v>
      </c>
      <c r="Q882" s="3">
        <f t="shared" si="161"/>
        <v>0.46624326985872333</v>
      </c>
      <c r="R882" s="3">
        <f t="shared" si="162"/>
        <v>0.53820800353857567</v>
      </c>
      <c r="S882" s="9">
        <f t="shared" si="163"/>
        <v>7.1964733679852344E-2</v>
      </c>
      <c r="T882">
        <f t="shared" si="164"/>
        <v>88</v>
      </c>
      <c r="U882">
        <f t="shared" si="165"/>
        <v>104</v>
      </c>
      <c r="V882" s="3">
        <f t="shared" si="166"/>
        <v>1.784684252647354E-5</v>
      </c>
      <c r="W882" s="9">
        <f t="shared" si="167"/>
        <v>-1.784684252647354E-5</v>
      </c>
      <c r="AC882"/>
    </row>
    <row r="883" spans="1:29" x14ac:dyDescent="0.25">
      <c r="A883" t="s">
        <v>613</v>
      </c>
      <c r="B883">
        <v>11</v>
      </c>
      <c r="C883" t="s">
        <v>981</v>
      </c>
      <c r="D883" t="s">
        <v>472</v>
      </c>
      <c r="E883">
        <v>14</v>
      </c>
      <c r="F883">
        <v>9.0500000000000007</v>
      </c>
      <c r="G883">
        <v>36.4816</v>
      </c>
      <c r="H883" t="s">
        <v>87</v>
      </c>
      <c r="I883" t="s">
        <v>87</v>
      </c>
      <c r="J883" t="s">
        <v>44</v>
      </c>
      <c r="K883">
        <f t="shared" si="156"/>
        <v>98.329999999999984</v>
      </c>
      <c r="L883">
        <f t="shared" si="157"/>
        <v>378.70709999999997</v>
      </c>
      <c r="M883" t="str">
        <f t="shared" si="158"/>
        <v>aj-11</v>
      </c>
      <c r="N883" t="str">
        <f>INDEX(Scores!$A$2:$A$11,INDEX(Scores!$AA$2:$AA$131,MATCH(C883,Scores!$AB$2:$AB$131,0)))</f>
        <v>aj</v>
      </c>
      <c r="O883">
        <f t="shared" si="159"/>
        <v>110.11</v>
      </c>
      <c r="P883">
        <f t="shared" si="160"/>
        <v>412.79880000000003</v>
      </c>
      <c r="Q883" s="3">
        <f t="shared" si="161"/>
        <v>0.33771232413612995</v>
      </c>
      <c r="R883" s="3">
        <f t="shared" si="162"/>
        <v>0.4018485842725667</v>
      </c>
      <c r="S883" s="9">
        <f t="shared" si="163"/>
        <v>6.4136260136436751E-2</v>
      </c>
      <c r="T883">
        <f t="shared" si="164"/>
        <v>111</v>
      </c>
      <c r="U883">
        <f t="shared" si="165"/>
        <v>131</v>
      </c>
      <c r="V883" s="3">
        <f t="shared" si="166"/>
        <v>1.8075566229131405E-5</v>
      </c>
      <c r="W883" s="9">
        <f t="shared" si="167"/>
        <v>-1.8075566229131405E-5</v>
      </c>
      <c r="AC883"/>
    </row>
    <row r="884" spans="1:29" x14ac:dyDescent="0.25">
      <c r="A884" t="s">
        <v>130</v>
      </c>
      <c r="B884">
        <v>8</v>
      </c>
      <c r="C884" t="s">
        <v>962</v>
      </c>
      <c r="D884" t="s">
        <v>468</v>
      </c>
      <c r="E884">
        <v>4</v>
      </c>
      <c r="F884">
        <v>11.78</v>
      </c>
      <c r="G884">
        <v>43.824399999999997</v>
      </c>
      <c r="H884" t="s">
        <v>47</v>
      </c>
      <c r="I884" t="s">
        <v>47</v>
      </c>
      <c r="J884" t="s">
        <v>23</v>
      </c>
      <c r="K884">
        <f t="shared" si="156"/>
        <v>115.82</v>
      </c>
      <c r="L884">
        <f t="shared" si="157"/>
        <v>434.36700000000002</v>
      </c>
      <c r="M884" t="str">
        <f t="shared" si="158"/>
        <v>comp-8</v>
      </c>
      <c r="N884" t="str">
        <f>INDEX(Scores!$A$2:$A$11,INDEX(Scores!$AA$2:$AA$131,MATCH(C884,Scores!$AB$2:$AB$131,0)))</f>
        <v>comp</v>
      </c>
      <c r="O884">
        <f t="shared" si="159"/>
        <v>100.87</v>
      </c>
      <c r="P884">
        <f t="shared" si="160"/>
        <v>421.5641</v>
      </c>
      <c r="Q884" s="3">
        <f t="shared" si="161"/>
        <v>0.69532483792586408</v>
      </c>
      <c r="R884" s="3">
        <f t="shared" si="162"/>
        <v>0.59932531228983332</v>
      </c>
      <c r="S884" s="9">
        <f t="shared" si="163"/>
        <v>-9.5999525636030758E-2</v>
      </c>
      <c r="T884">
        <f t="shared" si="164"/>
        <v>80</v>
      </c>
      <c r="U884">
        <f t="shared" si="165"/>
        <v>115</v>
      </c>
      <c r="V884" s="3">
        <f t="shared" si="166"/>
        <v>1.9630806168463715E-5</v>
      </c>
      <c r="W884" s="9">
        <f t="shared" si="167"/>
        <v>-1.9630806168463715E-5</v>
      </c>
      <c r="AC884"/>
    </row>
    <row r="885" spans="1:29" x14ac:dyDescent="0.25">
      <c r="A885" t="s">
        <v>158</v>
      </c>
      <c r="B885">
        <v>11</v>
      </c>
      <c r="C885" t="s">
        <v>957</v>
      </c>
      <c r="D885" t="s">
        <v>469</v>
      </c>
      <c r="E885">
        <v>3</v>
      </c>
      <c r="F885">
        <v>11</v>
      </c>
      <c r="G885">
        <v>43.296399999999998</v>
      </c>
      <c r="H885" t="s">
        <v>47</v>
      </c>
      <c r="I885" t="s">
        <v>47</v>
      </c>
      <c r="J885" t="s">
        <v>40</v>
      </c>
      <c r="K885">
        <f t="shared" si="156"/>
        <v>98.88000000000001</v>
      </c>
      <c r="L885">
        <f t="shared" si="157"/>
        <v>375.05889999999999</v>
      </c>
      <c r="M885" t="e">
        <f t="shared" si="158"/>
        <v>#N/A</v>
      </c>
      <c r="N885" t="e">
        <f>INDEX(Scores!$A$2:$A$11,INDEX(Scores!$AA$2:$AA$131,MATCH(C885,Scores!$AB$2:$AB$131,0)))</f>
        <v>#N/A</v>
      </c>
      <c r="O885">
        <f t="shared" si="159"/>
        <v>0</v>
      </c>
      <c r="P885">
        <f t="shared" si="160"/>
        <v>0</v>
      </c>
      <c r="Q885" s="3">
        <f t="shared" si="161"/>
        <v>0.99999983524900793</v>
      </c>
      <c r="R885" s="3">
        <f t="shared" si="162"/>
        <v>0.99999969727871529</v>
      </c>
      <c r="S885" s="9">
        <f t="shared" si="163"/>
        <v>-1.3797029263518112E-7</v>
      </c>
      <c r="T885">
        <f t="shared" si="164"/>
        <v>50</v>
      </c>
      <c r="U885">
        <f t="shared" si="165"/>
        <v>0</v>
      </c>
      <c r="V885" s="3">
        <f t="shared" si="166"/>
        <v>1</v>
      </c>
      <c r="W885" s="9">
        <f t="shared" si="167"/>
        <v>0</v>
      </c>
      <c r="AC885"/>
    </row>
    <row r="886" spans="1:29" x14ac:dyDescent="0.25">
      <c r="A886" t="s">
        <v>415</v>
      </c>
      <c r="B886">
        <v>10</v>
      </c>
      <c r="C886" t="s">
        <v>916</v>
      </c>
      <c r="D886" t="s">
        <v>477</v>
      </c>
      <c r="E886">
        <v>13</v>
      </c>
      <c r="F886">
        <v>7.39</v>
      </c>
      <c r="G886">
        <v>25.6036</v>
      </c>
      <c r="H886" t="s">
        <v>477</v>
      </c>
      <c r="I886" t="s">
        <v>477</v>
      </c>
      <c r="J886" t="s">
        <v>16</v>
      </c>
      <c r="K886">
        <f t="shared" si="156"/>
        <v>93.17</v>
      </c>
      <c r="L886">
        <f t="shared" si="157"/>
        <v>328.34589999999997</v>
      </c>
      <c r="M886" t="str">
        <f t="shared" si="158"/>
        <v>perry-10</v>
      </c>
      <c r="N886" t="str">
        <f>INDEX(Scores!$A$2:$A$11,INDEX(Scores!$AA$2:$AA$131,MATCH(C886,Scores!$AB$2:$AB$131,0)))</f>
        <v>perry</v>
      </c>
      <c r="O886">
        <f t="shared" si="159"/>
        <v>103.49</v>
      </c>
      <c r="P886">
        <f t="shared" si="160"/>
        <v>345.28400000000005</v>
      </c>
      <c r="Q886" s="3">
        <f t="shared" si="161"/>
        <v>0.34545488835543114</v>
      </c>
      <c r="R886" s="3">
        <f t="shared" si="162"/>
        <v>0.42660568615759531</v>
      </c>
      <c r="S886" s="9">
        <f t="shared" si="163"/>
        <v>8.1150797802164165E-2</v>
      </c>
      <c r="T886">
        <f t="shared" si="164"/>
        <v>91</v>
      </c>
      <c r="U886">
        <f t="shared" si="165"/>
        <v>106</v>
      </c>
      <c r="V886" s="3">
        <f t="shared" si="166"/>
        <v>2.3193502175942834E-5</v>
      </c>
      <c r="W886" s="9">
        <f t="shared" si="167"/>
        <v>-2.3193502175942834E-5</v>
      </c>
      <c r="AC886"/>
    </row>
    <row r="887" spans="1:29" x14ac:dyDescent="0.25">
      <c r="A887" t="s">
        <v>130</v>
      </c>
      <c r="B887">
        <v>13</v>
      </c>
      <c r="C887" t="s">
        <v>967</v>
      </c>
      <c r="D887" t="s">
        <v>468</v>
      </c>
      <c r="E887">
        <v>6</v>
      </c>
      <c r="F887">
        <v>11.24</v>
      </c>
      <c r="G887">
        <v>50.126399999999997</v>
      </c>
      <c r="H887" t="s">
        <v>47</v>
      </c>
      <c r="I887" t="s">
        <v>47</v>
      </c>
      <c r="J887" t="s">
        <v>23</v>
      </c>
      <c r="K887">
        <f t="shared" si="156"/>
        <v>108.77</v>
      </c>
      <c r="L887">
        <f t="shared" si="157"/>
        <v>411.30060000000003</v>
      </c>
      <c r="M887" t="str">
        <f t="shared" si="158"/>
        <v>devon-13</v>
      </c>
      <c r="N887" t="str">
        <f>INDEX(Scores!$A$2:$A$11,INDEX(Scores!$AA$2:$AA$131,MATCH(C887,Scores!$AB$2:$AB$131,0)))</f>
        <v>devon</v>
      </c>
      <c r="O887">
        <f t="shared" si="159"/>
        <v>97.46</v>
      </c>
      <c r="P887">
        <f t="shared" si="160"/>
        <v>368.81949999999995</v>
      </c>
      <c r="Q887" s="3">
        <f t="shared" si="161"/>
        <v>0.6572361742103181</v>
      </c>
      <c r="R887" s="3">
        <f t="shared" si="162"/>
        <v>0.58887878800058457</v>
      </c>
      <c r="S887" s="9">
        <f t="shared" si="163"/>
        <v>-6.8357386209733528E-2</v>
      </c>
      <c r="T887">
        <f t="shared" si="164"/>
        <v>99</v>
      </c>
      <c r="U887">
        <f t="shared" si="165"/>
        <v>133</v>
      </c>
      <c r="V887" s="3">
        <f t="shared" si="166"/>
        <v>2.4311731751896793E-5</v>
      </c>
      <c r="W887" s="9">
        <f t="shared" si="167"/>
        <v>-2.4311731751896793E-5</v>
      </c>
      <c r="AC887"/>
    </row>
    <row r="888" spans="1:29" x14ac:dyDescent="0.25">
      <c r="A888" t="s">
        <v>613</v>
      </c>
      <c r="B888">
        <v>8</v>
      </c>
      <c r="C888" t="s">
        <v>978</v>
      </c>
      <c r="D888" t="s">
        <v>471</v>
      </c>
      <c r="E888">
        <v>12</v>
      </c>
      <c r="F888">
        <v>7.38</v>
      </c>
      <c r="G888">
        <v>23.425599999999999</v>
      </c>
      <c r="H888" t="s">
        <v>87</v>
      </c>
      <c r="I888" t="s">
        <v>87</v>
      </c>
      <c r="J888" t="s">
        <v>44</v>
      </c>
      <c r="K888">
        <f t="shared" si="156"/>
        <v>96.57</v>
      </c>
      <c r="L888">
        <f t="shared" si="157"/>
        <v>368.03749999999997</v>
      </c>
      <c r="M888" t="str">
        <f t="shared" si="158"/>
        <v>devon-8</v>
      </c>
      <c r="N888" t="str">
        <f>INDEX(Scores!$A$2:$A$11,INDEX(Scores!$AA$2:$AA$131,MATCH(C888,Scores!$AB$2:$AB$131,0)))</f>
        <v>devon</v>
      </c>
      <c r="O888">
        <f t="shared" si="159"/>
        <v>102.43</v>
      </c>
      <c r="P888">
        <f t="shared" si="160"/>
        <v>452.86560000000003</v>
      </c>
      <c r="Q888" s="3">
        <f t="shared" si="161"/>
        <v>0.41897065981019621</v>
      </c>
      <c r="R888" s="3">
        <f t="shared" si="162"/>
        <v>0.48248811121222818</v>
      </c>
      <c r="S888" s="9">
        <f t="shared" si="163"/>
        <v>6.3517451402031966E-2</v>
      </c>
      <c r="T888">
        <f t="shared" si="164"/>
        <v>85</v>
      </c>
      <c r="U888">
        <f t="shared" si="165"/>
        <v>100</v>
      </c>
      <c r="V888" s="3">
        <f t="shared" si="166"/>
        <v>2.520488096815575E-5</v>
      </c>
      <c r="W888" s="9">
        <f t="shared" si="167"/>
        <v>-2.520488096815575E-5</v>
      </c>
      <c r="AC888"/>
    </row>
    <row r="889" spans="1:29" x14ac:dyDescent="0.25">
      <c r="A889" t="s">
        <v>101</v>
      </c>
      <c r="B889">
        <v>11</v>
      </c>
      <c r="C889" t="s">
        <v>933</v>
      </c>
      <c r="D889" t="s">
        <v>468</v>
      </c>
      <c r="E889">
        <v>3</v>
      </c>
      <c r="F889">
        <v>10.15</v>
      </c>
      <c r="G889">
        <v>92.352099999999993</v>
      </c>
      <c r="H889" t="s">
        <v>47</v>
      </c>
      <c r="I889" t="s">
        <v>47</v>
      </c>
      <c r="J889" t="s">
        <v>35</v>
      </c>
      <c r="K889">
        <f t="shared" si="156"/>
        <v>100.25</v>
      </c>
      <c r="L889">
        <f t="shared" si="157"/>
        <v>448.76889999999997</v>
      </c>
      <c r="M889" t="str">
        <f t="shared" si="158"/>
        <v>scott-11</v>
      </c>
      <c r="N889" t="str">
        <f>INDEX(Scores!$A$2:$A$11,INDEX(Scores!$AA$2:$AA$131,MATCH(C889,Scores!$AB$2:$AB$131,0)))</f>
        <v>scott</v>
      </c>
      <c r="O889">
        <f t="shared" si="159"/>
        <v>105.39999999999999</v>
      </c>
      <c r="P889">
        <f t="shared" si="160"/>
        <v>342.09739999999999</v>
      </c>
      <c r="Q889" s="3">
        <f t="shared" si="161"/>
        <v>0.42734863744074048</v>
      </c>
      <c r="R889" s="3">
        <f t="shared" si="162"/>
        <v>0.32082592648681596</v>
      </c>
      <c r="S889" s="9">
        <f t="shared" si="163"/>
        <v>-0.10652271095392452</v>
      </c>
      <c r="T889">
        <f t="shared" si="164"/>
        <v>78</v>
      </c>
      <c r="U889">
        <f t="shared" si="165"/>
        <v>124</v>
      </c>
      <c r="V889" s="3">
        <f t="shared" si="166"/>
        <v>2.6423674482764095E-5</v>
      </c>
      <c r="W889" s="9">
        <f t="shared" si="167"/>
        <v>-2.6423674482764095E-5</v>
      </c>
      <c r="AC889"/>
    </row>
    <row r="890" spans="1:29" x14ac:dyDescent="0.25">
      <c r="A890" t="s">
        <v>18</v>
      </c>
      <c r="B890">
        <v>6</v>
      </c>
      <c r="C890" t="s">
        <v>904</v>
      </c>
      <c r="D890" t="s">
        <v>467</v>
      </c>
      <c r="E890">
        <v>16</v>
      </c>
      <c r="F890">
        <v>21.09</v>
      </c>
      <c r="G890">
        <v>51.408900000000003</v>
      </c>
      <c r="H890" t="s">
        <v>15</v>
      </c>
      <c r="I890" t="s">
        <v>15</v>
      </c>
      <c r="J890" t="s">
        <v>20</v>
      </c>
      <c r="K890">
        <f t="shared" si="156"/>
        <v>110.30999999999999</v>
      </c>
      <c r="L890">
        <f t="shared" si="157"/>
        <v>388.52729999999997</v>
      </c>
      <c r="M890" t="str">
        <f t="shared" si="158"/>
        <v>seth-6</v>
      </c>
      <c r="N890" t="str">
        <f>INDEX(Scores!$A$2:$A$11,INDEX(Scores!$AA$2:$AA$131,MATCH(C890,Scores!$AB$2:$AB$131,0)))</f>
        <v>seth</v>
      </c>
      <c r="O890">
        <f t="shared" si="159"/>
        <v>90.009999999999991</v>
      </c>
      <c r="P890">
        <f t="shared" si="160"/>
        <v>295.93350000000004</v>
      </c>
      <c r="Q890" s="3">
        <f t="shared" si="161"/>
        <v>0.78110442116748435</v>
      </c>
      <c r="R890" s="3">
        <f t="shared" si="162"/>
        <v>0.72725049468905434</v>
      </c>
      <c r="S890" s="9">
        <f t="shared" si="163"/>
        <v>-5.3853926478430014E-2</v>
      </c>
      <c r="T890">
        <f t="shared" si="164"/>
        <v>96</v>
      </c>
      <c r="U890">
        <f t="shared" si="165"/>
        <v>130</v>
      </c>
      <c r="V890" s="3">
        <f t="shared" si="166"/>
        <v>2.7642903003521859E-5</v>
      </c>
      <c r="W890" s="9">
        <f t="shared" si="167"/>
        <v>-2.7642903003521859E-5</v>
      </c>
      <c r="AC890"/>
    </row>
    <row r="891" spans="1:29" x14ac:dyDescent="0.25">
      <c r="A891" t="s">
        <v>43</v>
      </c>
      <c r="B891">
        <v>11</v>
      </c>
      <c r="C891" t="s">
        <v>981</v>
      </c>
      <c r="D891" t="s">
        <v>467</v>
      </c>
      <c r="E891">
        <v>25</v>
      </c>
      <c r="F891">
        <v>17.46</v>
      </c>
      <c r="G891">
        <v>47.059600000000003</v>
      </c>
      <c r="H891" t="s">
        <v>15</v>
      </c>
      <c r="I891" t="s">
        <v>15</v>
      </c>
      <c r="J891" t="s">
        <v>44</v>
      </c>
      <c r="K891">
        <f t="shared" si="156"/>
        <v>98.329999999999984</v>
      </c>
      <c r="L891">
        <f t="shared" si="157"/>
        <v>378.70709999999997</v>
      </c>
      <c r="M891" t="str">
        <f t="shared" si="158"/>
        <v>aj-11</v>
      </c>
      <c r="N891" t="str">
        <f>INDEX(Scores!$A$2:$A$11,INDEX(Scores!$AA$2:$AA$131,MATCH(C891,Scores!$AB$2:$AB$131,0)))</f>
        <v>aj</v>
      </c>
      <c r="O891">
        <f t="shared" si="159"/>
        <v>110.11</v>
      </c>
      <c r="P891">
        <f t="shared" si="160"/>
        <v>412.79880000000003</v>
      </c>
      <c r="Q891" s="3">
        <f t="shared" si="161"/>
        <v>0.33771232413612995</v>
      </c>
      <c r="R891" s="3">
        <f t="shared" si="162"/>
        <v>0.43825325240099633</v>
      </c>
      <c r="S891" s="9">
        <f t="shared" si="163"/>
        <v>0.10054092826486638</v>
      </c>
      <c r="T891">
        <f t="shared" si="164"/>
        <v>111</v>
      </c>
      <c r="U891">
        <f t="shared" si="165"/>
        <v>131</v>
      </c>
      <c r="V891" s="3">
        <f t="shared" si="166"/>
        <v>2.9776217401653938E-5</v>
      </c>
      <c r="W891" s="9">
        <f t="shared" si="167"/>
        <v>-2.9776217401653938E-5</v>
      </c>
      <c r="AC891"/>
    </row>
    <row r="892" spans="1:29" x14ac:dyDescent="0.25">
      <c r="A892" t="s">
        <v>158</v>
      </c>
      <c r="B892">
        <v>9</v>
      </c>
      <c r="C892" t="s">
        <v>955</v>
      </c>
      <c r="D892" t="s">
        <v>469</v>
      </c>
      <c r="E892">
        <v>13</v>
      </c>
      <c r="F892">
        <v>9.9700000000000006</v>
      </c>
      <c r="G892">
        <v>39.0625</v>
      </c>
      <c r="H892" t="s">
        <v>47</v>
      </c>
      <c r="I892" t="s">
        <v>47</v>
      </c>
      <c r="J892" t="s">
        <v>40</v>
      </c>
      <c r="K892">
        <f t="shared" si="156"/>
        <v>81.42</v>
      </c>
      <c r="L892">
        <f t="shared" si="157"/>
        <v>278.07840000000004</v>
      </c>
      <c r="M892" t="e">
        <f t="shared" si="158"/>
        <v>#N/A</v>
      </c>
      <c r="N892" t="e">
        <f>INDEX(Scores!$A$2:$A$11,INDEX(Scores!$AA$2:$AA$131,MATCH(C892,Scores!$AB$2:$AB$131,0)))</f>
        <v>#N/A</v>
      </c>
      <c r="O892">
        <f t="shared" si="159"/>
        <v>0</v>
      </c>
      <c r="P892">
        <f t="shared" si="160"/>
        <v>0</v>
      </c>
      <c r="Q892" s="3">
        <f t="shared" si="161"/>
        <v>0.99999947640964748</v>
      </c>
      <c r="R892" s="3">
        <f t="shared" si="162"/>
        <v>0.99999997651758332</v>
      </c>
      <c r="S892" s="9">
        <f t="shared" si="163"/>
        <v>5.0010793584132074E-7</v>
      </c>
      <c r="T892">
        <f t="shared" si="164"/>
        <v>67</v>
      </c>
      <c r="U892">
        <f t="shared" si="165"/>
        <v>0</v>
      </c>
      <c r="V892" s="3">
        <f t="shared" si="166"/>
        <v>1</v>
      </c>
      <c r="W892" s="9">
        <f t="shared" si="167"/>
        <v>0</v>
      </c>
      <c r="AC892"/>
    </row>
    <row r="893" spans="1:29" x14ac:dyDescent="0.25">
      <c r="A893" t="s">
        <v>185</v>
      </c>
      <c r="B893">
        <v>9</v>
      </c>
      <c r="C893" t="s">
        <v>939</v>
      </c>
      <c r="D893" t="s">
        <v>473</v>
      </c>
      <c r="E893">
        <v>5</v>
      </c>
      <c r="F893">
        <v>4.71</v>
      </c>
      <c r="G893">
        <v>20.884899999999998</v>
      </c>
      <c r="H893" t="s">
        <v>87</v>
      </c>
      <c r="I893" t="s">
        <v>87</v>
      </c>
      <c r="J893" t="s">
        <v>27</v>
      </c>
      <c r="K893">
        <f t="shared" si="156"/>
        <v>80.800000000000011</v>
      </c>
      <c r="L893">
        <f t="shared" si="157"/>
        <v>290.44450000000001</v>
      </c>
      <c r="M893" t="str">
        <f t="shared" si="158"/>
        <v>seth-9</v>
      </c>
      <c r="N893" t="str">
        <f>INDEX(Scores!$A$2:$A$11,INDEX(Scores!$AA$2:$AA$131,MATCH(C893,Scores!$AB$2:$AB$131,0)))</f>
        <v>seth</v>
      </c>
      <c r="O893">
        <f t="shared" si="159"/>
        <v>92.559999999999988</v>
      </c>
      <c r="P893">
        <f t="shared" si="160"/>
        <v>350.31569999999999</v>
      </c>
      <c r="Q893" s="3">
        <f t="shared" si="161"/>
        <v>0.32111649346340621</v>
      </c>
      <c r="R893" s="3">
        <f t="shared" si="162"/>
        <v>0.32250957642451827</v>
      </c>
      <c r="S893" s="9">
        <f t="shared" si="163"/>
        <v>1.3930829611120688E-3</v>
      </c>
      <c r="T893">
        <f t="shared" si="164"/>
        <v>77</v>
      </c>
      <c r="U893">
        <f t="shared" si="165"/>
        <v>95</v>
      </c>
      <c r="V893" s="3">
        <f t="shared" si="166"/>
        <v>3.1379674799285113E-5</v>
      </c>
      <c r="W893" s="9">
        <f t="shared" si="167"/>
        <v>-3.1379674799285113E-5</v>
      </c>
      <c r="AC893"/>
    </row>
    <row r="894" spans="1:29" x14ac:dyDescent="0.25">
      <c r="A894" t="s">
        <v>100</v>
      </c>
      <c r="B894">
        <v>8</v>
      </c>
      <c r="C894" t="s">
        <v>962</v>
      </c>
      <c r="D894" t="s">
        <v>473</v>
      </c>
      <c r="E894">
        <v>6</v>
      </c>
      <c r="F894">
        <v>12.82</v>
      </c>
      <c r="G894">
        <v>49.702500000000001</v>
      </c>
      <c r="H894" t="s">
        <v>87</v>
      </c>
      <c r="I894" t="s">
        <v>87</v>
      </c>
      <c r="J894" t="s">
        <v>23</v>
      </c>
      <c r="K894">
        <f t="shared" si="156"/>
        <v>115.82</v>
      </c>
      <c r="L894">
        <f t="shared" si="157"/>
        <v>434.36700000000002</v>
      </c>
      <c r="M894" t="str">
        <f t="shared" si="158"/>
        <v>comp-8</v>
      </c>
      <c r="N894" t="str">
        <f>INDEX(Scores!$A$2:$A$11,INDEX(Scores!$AA$2:$AA$131,MATCH(C894,Scores!$AB$2:$AB$131,0)))</f>
        <v>comp</v>
      </c>
      <c r="O894">
        <f t="shared" si="159"/>
        <v>100.87</v>
      </c>
      <c r="P894">
        <f t="shared" si="160"/>
        <v>421.5641</v>
      </c>
      <c r="Q894" s="3">
        <f t="shared" si="161"/>
        <v>0.69532483792586408</v>
      </c>
      <c r="R894" s="3">
        <f t="shared" si="162"/>
        <v>0.6126859433397438</v>
      </c>
      <c r="S894" s="9">
        <f t="shared" si="163"/>
        <v>-8.2638894586120282E-2</v>
      </c>
      <c r="T894">
        <f t="shared" si="164"/>
        <v>80</v>
      </c>
      <c r="U894">
        <f t="shared" si="165"/>
        <v>115</v>
      </c>
      <c r="V894" s="3">
        <f t="shared" si="166"/>
        <v>3.2053063806034342E-5</v>
      </c>
      <c r="W894" s="9">
        <f t="shared" si="167"/>
        <v>-3.2053063806034342E-5</v>
      </c>
      <c r="AC894"/>
    </row>
    <row r="895" spans="1:29" x14ac:dyDescent="0.25">
      <c r="A895" t="s">
        <v>113</v>
      </c>
      <c r="B895">
        <v>3</v>
      </c>
      <c r="C895" t="s">
        <v>804</v>
      </c>
      <c r="D895" t="s">
        <v>475</v>
      </c>
      <c r="E895">
        <v>14</v>
      </c>
      <c r="F895">
        <v>11.8</v>
      </c>
      <c r="G895">
        <v>87.422499999999999</v>
      </c>
      <c r="H895" t="s">
        <v>114</v>
      </c>
      <c r="I895" t="s">
        <v>114</v>
      </c>
      <c r="J895" t="s">
        <v>40</v>
      </c>
      <c r="K895">
        <f t="shared" si="156"/>
        <v>99.87</v>
      </c>
      <c r="L895">
        <f t="shared" si="157"/>
        <v>418.53290000000004</v>
      </c>
      <c r="M895" t="e">
        <f t="shared" si="158"/>
        <v>#N/A</v>
      </c>
      <c r="N895" t="e">
        <f>INDEX(Scores!$A$2:$A$11,INDEX(Scores!$AA$2:$AA$131,MATCH(C895,Scores!$AB$2:$AB$131,0)))</f>
        <v>#N/A</v>
      </c>
      <c r="O895">
        <f t="shared" si="159"/>
        <v>0</v>
      </c>
      <c r="P895">
        <f t="shared" si="160"/>
        <v>0</v>
      </c>
      <c r="Q895" s="3">
        <f t="shared" si="161"/>
        <v>0.99999947409897594</v>
      </c>
      <c r="R895" s="3">
        <f t="shared" si="162"/>
        <v>0.9999999898449704</v>
      </c>
      <c r="S895" s="9">
        <f t="shared" si="163"/>
        <v>5.1574599446713165E-7</v>
      </c>
      <c r="T895">
        <f t="shared" si="164"/>
        <v>53</v>
      </c>
      <c r="U895">
        <f t="shared" si="165"/>
        <v>0</v>
      </c>
      <c r="V895" s="3">
        <f t="shared" si="166"/>
        <v>0.99999997231687532</v>
      </c>
      <c r="W895" s="9">
        <f t="shared" si="167"/>
        <v>2.7683124681487925E-8</v>
      </c>
      <c r="AC895"/>
    </row>
    <row r="896" spans="1:29" x14ac:dyDescent="0.25">
      <c r="A896" t="s">
        <v>21</v>
      </c>
      <c r="B896">
        <v>3</v>
      </c>
      <c r="C896" t="s">
        <v>809</v>
      </c>
      <c r="D896" t="s">
        <v>467</v>
      </c>
      <c r="E896">
        <v>20</v>
      </c>
      <c r="F896">
        <v>20.21</v>
      </c>
      <c r="G896">
        <v>56.100099999999998</v>
      </c>
      <c r="H896" t="s">
        <v>15</v>
      </c>
      <c r="I896" t="s">
        <v>15</v>
      </c>
      <c r="J896" t="s">
        <v>23</v>
      </c>
      <c r="K896">
        <f t="shared" si="156"/>
        <v>101.86999999999999</v>
      </c>
      <c r="L896">
        <f t="shared" si="157"/>
        <v>350.57169999999996</v>
      </c>
      <c r="M896" t="str">
        <f t="shared" si="158"/>
        <v>scott-3</v>
      </c>
      <c r="N896" t="str">
        <f>INDEX(Scores!$A$2:$A$11,INDEX(Scores!$AA$2:$AA$131,MATCH(C896,Scores!$AB$2:$AB$131,0)))</f>
        <v>scott</v>
      </c>
      <c r="O896">
        <f t="shared" si="159"/>
        <v>110.35</v>
      </c>
      <c r="P896">
        <f t="shared" si="160"/>
        <v>442.53309999999999</v>
      </c>
      <c r="Q896" s="3">
        <f t="shared" si="161"/>
        <v>0.38166388462507189</v>
      </c>
      <c r="R896" s="3">
        <f t="shared" si="162"/>
        <v>0.37444654956731072</v>
      </c>
      <c r="S896" s="9">
        <f t="shared" si="163"/>
        <v>-7.2173350577611761E-3</v>
      </c>
      <c r="T896">
        <f t="shared" si="164"/>
        <v>102</v>
      </c>
      <c r="U896">
        <f t="shared" si="165"/>
        <v>132</v>
      </c>
      <c r="V896" s="3">
        <f t="shared" si="166"/>
        <v>3.4850652466239674E-5</v>
      </c>
      <c r="W896" s="9">
        <f t="shared" si="167"/>
        <v>-3.4850652466239674E-5</v>
      </c>
      <c r="AC896"/>
    </row>
    <row r="897" spans="1:29" x14ac:dyDescent="0.25">
      <c r="A897" t="s">
        <v>290</v>
      </c>
      <c r="B897">
        <v>11</v>
      </c>
      <c r="C897" t="s">
        <v>949</v>
      </c>
      <c r="D897" t="s">
        <v>469</v>
      </c>
      <c r="E897">
        <v>1</v>
      </c>
      <c r="F897">
        <v>6.35</v>
      </c>
      <c r="G897">
        <v>41.7316</v>
      </c>
      <c r="H897" t="s">
        <v>47</v>
      </c>
      <c r="I897" t="s">
        <v>47</v>
      </c>
      <c r="J897" t="s">
        <v>62</v>
      </c>
      <c r="K897">
        <f t="shared" si="156"/>
        <v>106.58</v>
      </c>
      <c r="L897">
        <f t="shared" si="157"/>
        <v>427.68610000000001</v>
      </c>
      <c r="M897" t="str">
        <f t="shared" si="158"/>
        <v>cory-11</v>
      </c>
      <c r="N897" t="str">
        <f>INDEX(Scores!$A$2:$A$11,INDEX(Scores!$AA$2:$AA$131,MATCH(C897,Scores!$AB$2:$AB$131,0)))</f>
        <v>cory</v>
      </c>
      <c r="O897">
        <f t="shared" si="159"/>
        <v>102.11</v>
      </c>
      <c r="P897">
        <f t="shared" si="160"/>
        <v>431.97960000000006</v>
      </c>
      <c r="Q897" s="3">
        <f t="shared" si="161"/>
        <v>0.56058610538956244</v>
      </c>
      <c r="R897" s="3">
        <f t="shared" si="162"/>
        <v>0.48772659528890494</v>
      </c>
      <c r="S897" s="9">
        <f t="shared" si="163"/>
        <v>-7.2859510100657499E-2</v>
      </c>
      <c r="T897">
        <f t="shared" si="164"/>
        <v>99</v>
      </c>
      <c r="U897">
        <f t="shared" si="165"/>
        <v>130</v>
      </c>
      <c r="V897" s="3">
        <f t="shared" si="166"/>
        <v>3.584769867391674E-5</v>
      </c>
      <c r="W897" s="9">
        <f t="shared" si="167"/>
        <v>-3.584769867391674E-5</v>
      </c>
      <c r="AC897"/>
    </row>
    <row r="898" spans="1:29" x14ac:dyDescent="0.25">
      <c r="A898" t="s">
        <v>453</v>
      </c>
      <c r="B898">
        <v>9</v>
      </c>
      <c r="C898" t="s">
        <v>939</v>
      </c>
      <c r="D898" t="s">
        <v>478</v>
      </c>
      <c r="E898">
        <v>5</v>
      </c>
      <c r="F898">
        <v>6.39</v>
      </c>
      <c r="G898">
        <v>17.64</v>
      </c>
      <c r="H898" t="s">
        <v>478</v>
      </c>
      <c r="I898" t="s">
        <v>478</v>
      </c>
      <c r="J898" t="s">
        <v>27</v>
      </c>
      <c r="K898">
        <f t="shared" ref="K898:K961" si="168">SUMIF($C$2:$C$1301,$C898,$F$2:$F$1301)</f>
        <v>80.800000000000011</v>
      </c>
      <c r="L898">
        <f t="shared" ref="L898:L961" si="169">SUMIF($C$2:$C$1301,$C898,$G$2:$G$1301)</f>
        <v>290.44450000000001</v>
      </c>
      <c r="M898" t="str">
        <f t="shared" ref="M898:M961" si="170">N898&amp;"-"&amp;B898</f>
        <v>seth-9</v>
      </c>
      <c r="N898" t="str">
        <f>INDEX(Scores!$A$2:$A$11,INDEX(Scores!$AA$2:$AA$131,MATCH(C898,Scores!$AB$2:$AB$131,0)))</f>
        <v>seth</v>
      </c>
      <c r="O898">
        <f t="shared" ref="O898:O961" si="171">SUMIF($C$2:$C$1301,$M898,$F$2:$F$1301)</f>
        <v>92.559999999999988</v>
      </c>
      <c r="P898">
        <f t="shared" ref="P898:P961" si="172">SUMIF($C$2:$C$1301,$M898,$G$2:$G$1301)</f>
        <v>350.31569999999999</v>
      </c>
      <c r="Q898" s="3">
        <f t="shared" ref="Q898:Q961" si="173">_xlfn.NORM.DIST(0,$O898-$K898,SQRT($L898+$P898),TRUE)</f>
        <v>0.32111649346340621</v>
      </c>
      <c r="R898" s="3">
        <f t="shared" ref="R898:R961" si="174">_xlfn.NORM.DIST(0,$O898-$K898-($E898-$F898),SQRT($L898+$P898-$G898),TRUE)</f>
        <v>0.29916873868095634</v>
      </c>
      <c r="S898" s="9">
        <f t="shared" ref="S898:S961" si="175">R898-Q898</f>
        <v>-2.1947754782449869E-2</v>
      </c>
      <c r="T898">
        <f t="shared" ref="T898:T961" si="176">SUMIF($C$2:$C$1301,$C898,$E$2:$E$1301)</f>
        <v>77</v>
      </c>
      <c r="U898">
        <f t="shared" ref="U898:U961" si="177">SUMIF($C$2:$C$1301,$M898,$E$2:$E$1301)</f>
        <v>95</v>
      </c>
      <c r="V898" s="3">
        <f t="shared" ref="V898:V961" si="178">_xlfn.NORM.DIST(0,U898-T898+E898-F898,SQRT(G898),TRUE)</f>
        <v>3.8305453767794187E-5</v>
      </c>
      <c r="W898" s="9">
        <f t="shared" ref="W898:W961" si="179">IFERROR(IF(U898&gt;T898,0,1)-V898,0)</f>
        <v>-3.8305453767794187E-5</v>
      </c>
      <c r="AC898"/>
    </row>
    <row r="899" spans="1:29" x14ac:dyDescent="0.25">
      <c r="A899" t="s">
        <v>191</v>
      </c>
      <c r="B899">
        <v>4</v>
      </c>
      <c r="C899" t="s">
        <v>859</v>
      </c>
      <c r="D899" t="s">
        <v>472</v>
      </c>
      <c r="E899">
        <v>3</v>
      </c>
      <c r="F899">
        <v>6.92</v>
      </c>
      <c r="G899">
        <v>23.425599999999999</v>
      </c>
      <c r="H899" t="s">
        <v>87</v>
      </c>
      <c r="I899" t="s">
        <v>87</v>
      </c>
      <c r="J899" t="s">
        <v>40</v>
      </c>
      <c r="K899">
        <f t="shared" si="168"/>
        <v>103.94999999999999</v>
      </c>
      <c r="L899">
        <f t="shared" si="169"/>
        <v>368.50220000000002</v>
      </c>
      <c r="M899" t="e">
        <f t="shared" si="170"/>
        <v>#N/A</v>
      </c>
      <c r="N899" t="e">
        <f>INDEX(Scores!$A$2:$A$11,INDEX(Scores!$AA$2:$AA$131,MATCH(C899,Scores!$AB$2:$AB$131,0)))</f>
        <v>#N/A</v>
      </c>
      <c r="O899">
        <f t="shared" si="171"/>
        <v>0</v>
      </c>
      <c r="P899">
        <f t="shared" si="172"/>
        <v>0</v>
      </c>
      <c r="Q899" s="3">
        <f t="shared" si="173"/>
        <v>0.99999996936843616</v>
      </c>
      <c r="R899" s="3">
        <f t="shared" si="174"/>
        <v>0.99999996374471578</v>
      </c>
      <c r="S899" s="9">
        <f t="shared" si="175"/>
        <v>-5.6237203782671941E-9</v>
      </c>
      <c r="T899">
        <f t="shared" si="176"/>
        <v>69</v>
      </c>
      <c r="U899">
        <f t="shared" si="177"/>
        <v>0</v>
      </c>
      <c r="V899" s="3">
        <f t="shared" si="178"/>
        <v>1</v>
      </c>
      <c r="W899" s="9">
        <f t="shared" si="179"/>
        <v>0</v>
      </c>
      <c r="AC899"/>
    </row>
    <row r="900" spans="1:29" x14ac:dyDescent="0.25">
      <c r="A900" t="s">
        <v>106</v>
      </c>
      <c r="B900">
        <v>3</v>
      </c>
      <c r="C900" t="s">
        <v>809</v>
      </c>
      <c r="D900" t="s">
        <v>471</v>
      </c>
      <c r="E900">
        <v>7</v>
      </c>
      <c r="F900">
        <v>10.210000000000001</v>
      </c>
      <c r="G900">
        <v>46.24</v>
      </c>
      <c r="H900" t="s">
        <v>87</v>
      </c>
      <c r="I900" t="s">
        <v>87</v>
      </c>
      <c r="J900" t="s">
        <v>23</v>
      </c>
      <c r="K900">
        <f t="shared" si="168"/>
        <v>101.86999999999999</v>
      </c>
      <c r="L900">
        <f t="shared" si="169"/>
        <v>350.57169999999996</v>
      </c>
      <c r="M900" t="str">
        <f t="shared" si="170"/>
        <v>scott-3</v>
      </c>
      <c r="N900" t="str">
        <f>INDEX(Scores!$A$2:$A$11,INDEX(Scores!$AA$2:$AA$131,MATCH(C900,Scores!$AB$2:$AB$131,0)))</f>
        <v>scott</v>
      </c>
      <c r="O900">
        <f t="shared" si="171"/>
        <v>110.35</v>
      </c>
      <c r="P900">
        <f t="shared" si="172"/>
        <v>442.53309999999999</v>
      </c>
      <c r="Q900" s="3">
        <f t="shared" si="173"/>
        <v>0.38166388462507189</v>
      </c>
      <c r="R900" s="3">
        <f t="shared" si="174"/>
        <v>0.33441531748248915</v>
      </c>
      <c r="S900" s="9">
        <f t="shared" si="175"/>
        <v>-4.7248567142582742E-2</v>
      </c>
      <c r="T900">
        <f t="shared" si="176"/>
        <v>102</v>
      </c>
      <c r="U900">
        <f t="shared" si="177"/>
        <v>132</v>
      </c>
      <c r="V900" s="3">
        <f t="shared" si="178"/>
        <v>4.0790782215594571E-5</v>
      </c>
      <c r="W900" s="9">
        <f t="shared" si="179"/>
        <v>-4.0790782215594571E-5</v>
      </c>
      <c r="AC900"/>
    </row>
    <row r="901" spans="1:29" x14ac:dyDescent="0.25">
      <c r="A901" t="s">
        <v>424</v>
      </c>
      <c r="B901">
        <v>8</v>
      </c>
      <c r="C901" t="s">
        <v>962</v>
      </c>
      <c r="D901" t="s">
        <v>477</v>
      </c>
      <c r="E901">
        <v>0</v>
      </c>
      <c r="F901">
        <v>9.94</v>
      </c>
      <c r="G901">
        <v>40.576900000000002</v>
      </c>
      <c r="H901" t="s">
        <v>477</v>
      </c>
      <c r="I901" t="s">
        <v>477</v>
      </c>
      <c r="J901" t="s">
        <v>23</v>
      </c>
      <c r="K901">
        <f t="shared" si="168"/>
        <v>115.82</v>
      </c>
      <c r="L901">
        <f t="shared" si="169"/>
        <v>434.36700000000002</v>
      </c>
      <c r="M901" t="str">
        <f t="shared" si="170"/>
        <v>comp-8</v>
      </c>
      <c r="N901" t="str">
        <f>INDEX(Scores!$A$2:$A$11,INDEX(Scores!$AA$2:$AA$131,MATCH(C901,Scores!$AB$2:$AB$131,0)))</f>
        <v>comp</v>
      </c>
      <c r="O901">
        <f t="shared" si="171"/>
        <v>100.87</v>
      </c>
      <c r="P901">
        <f t="shared" si="172"/>
        <v>421.5641</v>
      </c>
      <c r="Q901" s="3">
        <f t="shared" si="173"/>
        <v>0.69532483792586408</v>
      </c>
      <c r="R901" s="3">
        <f t="shared" si="174"/>
        <v>0.56963874930219094</v>
      </c>
      <c r="S901" s="9">
        <f t="shared" si="175"/>
        <v>-0.12568608862367314</v>
      </c>
      <c r="T901">
        <f t="shared" si="176"/>
        <v>80</v>
      </c>
      <c r="U901">
        <f t="shared" si="177"/>
        <v>115</v>
      </c>
      <c r="V901" s="3">
        <f t="shared" si="178"/>
        <v>4.1760427977356862E-5</v>
      </c>
      <c r="W901" s="9">
        <f t="shared" si="179"/>
        <v>-4.1760427977356862E-5</v>
      </c>
      <c r="AC901"/>
    </row>
    <row r="902" spans="1:29" x14ac:dyDescent="0.25">
      <c r="A902" t="s">
        <v>192</v>
      </c>
      <c r="B902">
        <v>10</v>
      </c>
      <c r="C902" t="s">
        <v>916</v>
      </c>
      <c r="D902" t="s">
        <v>472</v>
      </c>
      <c r="E902">
        <v>14</v>
      </c>
      <c r="F902">
        <v>8.1999999999999993</v>
      </c>
      <c r="G902">
        <v>28.302399999999999</v>
      </c>
      <c r="H902" t="s">
        <v>87</v>
      </c>
      <c r="I902" t="s">
        <v>87</v>
      </c>
      <c r="J902" t="s">
        <v>16</v>
      </c>
      <c r="K902">
        <f t="shared" si="168"/>
        <v>93.17</v>
      </c>
      <c r="L902">
        <f t="shared" si="169"/>
        <v>328.34589999999997</v>
      </c>
      <c r="M902" t="str">
        <f t="shared" si="170"/>
        <v>perry-10</v>
      </c>
      <c r="N902" t="str">
        <f>INDEX(Scores!$A$2:$A$11,INDEX(Scores!$AA$2:$AA$131,MATCH(C902,Scores!$AB$2:$AB$131,0)))</f>
        <v>perry</v>
      </c>
      <c r="O902">
        <f t="shared" si="171"/>
        <v>103.49</v>
      </c>
      <c r="P902">
        <f t="shared" si="172"/>
        <v>345.28400000000005</v>
      </c>
      <c r="Q902" s="3">
        <f t="shared" si="173"/>
        <v>0.34545488835543114</v>
      </c>
      <c r="R902" s="3">
        <f t="shared" si="174"/>
        <v>0.4293891086471916</v>
      </c>
      <c r="S902" s="9">
        <f t="shared" si="175"/>
        <v>8.3934220291760453E-2</v>
      </c>
      <c r="T902">
        <f t="shared" si="176"/>
        <v>91</v>
      </c>
      <c r="U902">
        <f t="shared" si="177"/>
        <v>106</v>
      </c>
      <c r="V902" s="3">
        <f t="shared" si="178"/>
        <v>4.6191172982974067E-5</v>
      </c>
      <c r="W902" s="9">
        <f t="shared" si="179"/>
        <v>-4.6191172982974067E-5</v>
      </c>
      <c r="AC902"/>
    </row>
    <row r="903" spans="1:29" x14ac:dyDescent="0.25">
      <c r="A903" t="s">
        <v>213</v>
      </c>
      <c r="B903">
        <v>7</v>
      </c>
      <c r="C903" t="s">
        <v>969</v>
      </c>
      <c r="D903" t="s">
        <v>475</v>
      </c>
      <c r="E903">
        <v>6</v>
      </c>
      <c r="F903">
        <v>6.55</v>
      </c>
      <c r="G903">
        <v>17.7241</v>
      </c>
      <c r="H903" t="s">
        <v>114</v>
      </c>
      <c r="I903" t="s">
        <v>114</v>
      </c>
      <c r="J903" t="s">
        <v>49</v>
      </c>
      <c r="K903">
        <f t="shared" si="168"/>
        <v>87.490000000000009</v>
      </c>
      <c r="L903">
        <f t="shared" si="169"/>
        <v>277.88929999999999</v>
      </c>
      <c r="M903" t="str">
        <f t="shared" si="170"/>
        <v>scott-7</v>
      </c>
      <c r="N903" t="str">
        <f>INDEX(Scores!$A$2:$A$11,INDEX(Scores!$AA$2:$AA$131,MATCH(C903,Scores!$AB$2:$AB$131,0)))</f>
        <v>scott</v>
      </c>
      <c r="O903">
        <f t="shared" si="171"/>
        <v>114.48000000000002</v>
      </c>
      <c r="P903">
        <f t="shared" si="172"/>
        <v>430.3667999999999</v>
      </c>
      <c r="Q903" s="3">
        <f t="shared" si="173"/>
        <v>0.15525251215631256</v>
      </c>
      <c r="R903" s="3">
        <f t="shared" si="174"/>
        <v>0.14731332826669052</v>
      </c>
      <c r="S903" s="9">
        <f t="shared" si="175"/>
        <v>-7.9391838896220313E-3</v>
      </c>
      <c r="T903">
        <f t="shared" si="176"/>
        <v>65</v>
      </c>
      <c r="U903">
        <f t="shared" si="177"/>
        <v>82</v>
      </c>
      <c r="V903" s="3">
        <f t="shared" si="178"/>
        <v>4.6654377206693267E-5</v>
      </c>
      <c r="W903" s="9">
        <f t="shared" si="179"/>
        <v>-4.6654377206693267E-5</v>
      </c>
      <c r="AC903"/>
    </row>
    <row r="904" spans="1:29" x14ac:dyDescent="0.25">
      <c r="A904" t="s">
        <v>217</v>
      </c>
      <c r="B904">
        <v>5</v>
      </c>
      <c r="C904" t="s">
        <v>890</v>
      </c>
      <c r="D904" t="s">
        <v>475</v>
      </c>
      <c r="E904">
        <v>3</v>
      </c>
      <c r="F904">
        <v>6.47</v>
      </c>
      <c r="G904">
        <v>27.6676</v>
      </c>
      <c r="H904" t="s">
        <v>114</v>
      </c>
      <c r="I904" t="s">
        <v>114</v>
      </c>
      <c r="J904" t="s">
        <v>20</v>
      </c>
      <c r="K904">
        <f t="shared" si="168"/>
        <v>107.89</v>
      </c>
      <c r="L904">
        <f t="shared" si="169"/>
        <v>441.71269999999998</v>
      </c>
      <c r="M904" t="str">
        <f t="shared" si="170"/>
        <v>lucas-5</v>
      </c>
      <c r="N904" t="str">
        <f>INDEX(Scores!$A$2:$A$11,INDEX(Scores!$AA$2:$AA$131,MATCH(C904,Scores!$AB$2:$AB$131,0)))</f>
        <v>lucas</v>
      </c>
      <c r="O904">
        <f t="shared" si="171"/>
        <v>0</v>
      </c>
      <c r="P904">
        <f t="shared" si="172"/>
        <v>0</v>
      </c>
      <c r="Q904" s="3">
        <f t="shared" si="173"/>
        <v>0.99999985777778666</v>
      </c>
      <c r="R904" s="3">
        <f t="shared" si="174"/>
        <v>0.99999985641897093</v>
      </c>
      <c r="S904" s="9">
        <f t="shared" si="175"/>
        <v>-1.3588157266042344E-9</v>
      </c>
      <c r="T904">
        <f t="shared" si="176"/>
        <v>69</v>
      </c>
      <c r="U904">
        <f t="shared" si="177"/>
        <v>0</v>
      </c>
      <c r="V904" s="3">
        <f t="shared" si="178"/>
        <v>1</v>
      </c>
      <c r="W904" s="9">
        <f t="shared" si="179"/>
        <v>0</v>
      </c>
      <c r="AC904"/>
    </row>
    <row r="905" spans="1:29" x14ac:dyDescent="0.25">
      <c r="A905" t="s">
        <v>453</v>
      </c>
      <c r="B905">
        <v>10</v>
      </c>
      <c r="C905" t="s">
        <v>924</v>
      </c>
      <c r="D905" t="s">
        <v>478</v>
      </c>
      <c r="E905">
        <v>4</v>
      </c>
      <c r="F905">
        <v>7.49</v>
      </c>
      <c r="G905">
        <v>20.1601</v>
      </c>
      <c r="H905" t="s">
        <v>478</v>
      </c>
      <c r="I905" t="s">
        <v>478</v>
      </c>
      <c r="J905" t="s">
        <v>55</v>
      </c>
      <c r="K905">
        <f t="shared" si="168"/>
        <v>110.08000000000001</v>
      </c>
      <c r="L905">
        <f t="shared" si="169"/>
        <v>372.64320000000004</v>
      </c>
      <c r="M905" t="str">
        <f t="shared" si="170"/>
        <v>chad-10</v>
      </c>
      <c r="N905" t="str">
        <f>INDEX(Scores!$A$2:$A$11,INDEX(Scores!$AA$2:$AA$131,MATCH(C905,Scores!$AB$2:$AB$131,0)))</f>
        <v>chad</v>
      </c>
      <c r="O905">
        <f t="shared" si="171"/>
        <v>103.91999999999999</v>
      </c>
      <c r="P905">
        <f t="shared" si="172"/>
        <v>398.26569999999992</v>
      </c>
      <c r="Q905" s="3">
        <f t="shared" si="173"/>
        <v>0.58778859959928087</v>
      </c>
      <c r="R905" s="3">
        <f t="shared" si="174"/>
        <v>0.53881388508469841</v>
      </c>
      <c r="S905" s="9">
        <f t="shared" si="175"/>
        <v>-4.8974714514582462E-2</v>
      </c>
      <c r="T905">
        <f t="shared" si="176"/>
        <v>82</v>
      </c>
      <c r="U905">
        <f t="shared" si="177"/>
        <v>103</v>
      </c>
      <c r="V905" s="3">
        <f t="shared" si="178"/>
        <v>4.8140607218158679E-5</v>
      </c>
      <c r="W905" s="9">
        <f t="shared" si="179"/>
        <v>-4.8140607218158679E-5</v>
      </c>
      <c r="AC905"/>
    </row>
    <row r="906" spans="1:29" x14ac:dyDescent="0.25">
      <c r="A906" t="s">
        <v>154</v>
      </c>
      <c r="B906">
        <v>13</v>
      </c>
      <c r="C906" t="s">
        <v>911</v>
      </c>
      <c r="D906" t="s">
        <v>471</v>
      </c>
      <c r="E906">
        <v>16</v>
      </c>
      <c r="F906">
        <v>12.13</v>
      </c>
      <c r="G906">
        <v>37.699599999999997</v>
      </c>
      <c r="H906" t="s">
        <v>87</v>
      </c>
      <c r="I906" t="s">
        <v>87</v>
      </c>
      <c r="J906" t="s">
        <v>20</v>
      </c>
      <c r="K906">
        <f t="shared" si="168"/>
        <v>108.61</v>
      </c>
      <c r="L906">
        <f t="shared" si="169"/>
        <v>407.25390000000004</v>
      </c>
      <c r="M906" t="str">
        <f t="shared" si="170"/>
        <v>cory-13</v>
      </c>
      <c r="N906" t="str">
        <f>INDEX(Scores!$A$2:$A$11,INDEX(Scores!$AA$2:$AA$131,MATCH(C906,Scores!$AB$2:$AB$131,0)))</f>
        <v>cory</v>
      </c>
      <c r="O906">
        <f t="shared" si="171"/>
        <v>106.87</v>
      </c>
      <c r="P906">
        <f t="shared" si="172"/>
        <v>444.05589999999995</v>
      </c>
      <c r="Q906" s="3">
        <f t="shared" si="173"/>
        <v>0.52377705912504058</v>
      </c>
      <c r="R906" s="3">
        <f t="shared" si="174"/>
        <v>0.57796003888746705</v>
      </c>
      <c r="S906" s="9">
        <f t="shared" si="175"/>
        <v>5.4182979762426475E-2</v>
      </c>
      <c r="T906">
        <f t="shared" si="176"/>
        <v>66</v>
      </c>
      <c r="U906">
        <f t="shared" si="177"/>
        <v>86</v>
      </c>
      <c r="V906" s="3">
        <f t="shared" si="178"/>
        <v>5.0615523896902445E-5</v>
      </c>
      <c r="W906" s="9">
        <f t="shared" si="179"/>
        <v>-5.0615523896902445E-5</v>
      </c>
      <c r="AC906"/>
    </row>
    <row r="907" spans="1:29" x14ac:dyDescent="0.25">
      <c r="A907" t="s">
        <v>406</v>
      </c>
      <c r="B907">
        <v>5</v>
      </c>
      <c r="C907" t="s">
        <v>890</v>
      </c>
      <c r="D907" t="s">
        <v>477</v>
      </c>
      <c r="E907">
        <v>8</v>
      </c>
      <c r="F907">
        <v>8.9</v>
      </c>
      <c r="G907">
        <v>35.760399999999997</v>
      </c>
      <c r="H907" t="s">
        <v>477</v>
      </c>
      <c r="I907" t="s">
        <v>477</v>
      </c>
      <c r="J907" t="s">
        <v>20</v>
      </c>
      <c r="K907">
        <f t="shared" si="168"/>
        <v>107.89</v>
      </c>
      <c r="L907">
        <f t="shared" si="169"/>
        <v>441.71269999999998</v>
      </c>
      <c r="M907" t="str">
        <f t="shared" si="170"/>
        <v>lucas-5</v>
      </c>
      <c r="N907" t="str">
        <f>INDEX(Scores!$A$2:$A$11,INDEX(Scores!$AA$2:$AA$131,MATCH(C907,Scores!$AB$2:$AB$131,0)))</f>
        <v>lucas</v>
      </c>
      <c r="O907">
        <f t="shared" si="171"/>
        <v>0</v>
      </c>
      <c r="P907">
        <f t="shared" si="172"/>
        <v>0</v>
      </c>
      <c r="Q907" s="3">
        <f t="shared" si="173"/>
        <v>0.99999985777778666</v>
      </c>
      <c r="R907" s="3">
        <f t="shared" si="174"/>
        <v>0.99999994522841751</v>
      </c>
      <c r="S907" s="9">
        <f t="shared" si="175"/>
        <v>8.7450630847918376E-8</v>
      </c>
      <c r="T907">
        <f t="shared" si="176"/>
        <v>69</v>
      </c>
      <c r="U907">
        <f t="shared" si="177"/>
        <v>0</v>
      </c>
      <c r="V907" s="3">
        <f t="shared" si="178"/>
        <v>1</v>
      </c>
      <c r="W907" s="9">
        <f t="shared" si="179"/>
        <v>0</v>
      </c>
      <c r="AC907"/>
    </row>
    <row r="908" spans="1:29" x14ac:dyDescent="0.25">
      <c r="A908" t="s">
        <v>81</v>
      </c>
      <c r="B908">
        <v>12</v>
      </c>
      <c r="C908" t="s">
        <v>926</v>
      </c>
      <c r="D908" t="s">
        <v>468</v>
      </c>
      <c r="E908">
        <v>7</v>
      </c>
      <c r="F908">
        <v>16.41</v>
      </c>
      <c r="G908">
        <v>67.239999999999995</v>
      </c>
      <c r="H908" t="s">
        <v>47</v>
      </c>
      <c r="I908" t="s">
        <v>47</v>
      </c>
      <c r="J908" t="s">
        <v>55</v>
      </c>
      <c r="K908">
        <f t="shared" si="168"/>
        <v>111.09</v>
      </c>
      <c r="L908">
        <f t="shared" si="169"/>
        <v>408.5095</v>
      </c>
      <c r="M908" t="str">
        <f t="shared" si="170"/>
        <v>comp-12</v>
      </c>
      <c r="N908" t="str">
        <f>INDEX(Scores!$A$2:$A$11,INDEX(Scores!$AA$2:$AA$131,MATCH(C908,Scores!$AB$2:$AB$131,0)))</f>
        <v>comp</v>
      </c>
      <c r="O908">
        <f t="shared" si="171"/>
        <v>98.639999999999986</v>
      </c>
      <c r="P908">
        <f t="shared" si="172"/>
        <v>309.06870000000004</v>
      </c>
      <c r="Q908" s="3">
        <f t="shared" si="173"/>
        <v>0.67895062778258408</v>
      </c>
      <c r="R908" s="3">
        <f t="shared" si="174"/>
        <v>0.54744455791629165</v>
      </c>
      <c r="S908" s="9">
        <f t="shared" si="175"/>
        <v>-0.13150606986629243</v>
      </c>
      <c r="T908">
        <f t="shared" si="176"/>
        <v>84</v>
      </c>
      <c r="U908">
        <f t="shared" si="177"/>
        <v>125</v>
      </c>
      <c r="V908" s="3">
        <f t="shared" si="178"/>
        <v>5.8473552030011439E-5</v>
      </c>
      <c r="W908" s="9">
        <f t="shared" si="179"/>
        <v>-5.8473552030011439E-5</v>
      </c>
      <c r="AC908"/>
    </row>
    <row r="909" spans="1:29" x14ac:dyDescent="0.25">
      <c r="A909" t="s">
        <v>150</v>
      </c>
      <c r="B909">
        <v>5</v>
      </c>
      <c r="C909" t="s">
        <v>890</v>
      </c>
      <c r="D909" t="s">
        <v>472</v>
      </c>
      <c r="E909">
        <v>11</v>
      </c>
      <c r="F909">
        <v>8.2200000000000006</v>
      </c>
      <c r="G909">
        <v>48.5809</v>
      </c>
      <c r="H909" t="s">
        <v>87</v>
      </c>
      <c r="I909" t="s">
        <v>87</v>
      </c>
      <c r="J909" t="s">
        <v>20</v>
      </c>
      <c r="K909">
        <f t="shared" si="168"/>
        <v>107.89</v>
      </c>
      <c r="L909">
        <f t="shared" si="169"/>
        <v>441.71269999999998</v>
      </c>
      <c r="M909" t="str">
        <f t="shared" si="170"/>
        <v>lucas-5</v>
      </c>
      <c r="N909" t="str">
        <f>INDEX(Scores!$A$2:$A$11,INDEX(Scores!$AA$2:$AA$131,MATCH(C909,Scores!$AB$2:$AB$131,0)))</f>
        <v>lucas</v>
      </c>
      <c r="O909">
        <f t="shared" si="171"/>
        <v>0</v>
      </c>
      <c r="P909">
        <f t="shared" si="172"/>
        <v>0</v>
      </c>
      <c r="Q909" s="3">
        <f t="shared" si="173"/>
        <v>0.99999985777778666</v>
      </c>
      <c r="R909" s="3">
        <f t="shared" si="174"/>
        <v>0.99999998808606205</v>
      </c>
      <c r="S909" s="9">
        <f t="shared" si="175"/>
        <v>1.3030827539228795E-7</v>
      </c>
      <c r="T909">
        <f t="shared" si="176"/>
        <v>69</v>
      </c>
      <c r="U909">
        <f t="shared" si="177"/>
        <v>0</v>
      </c>
      <c r="V909" s="3">
        <f t="shared" si="178"/>
        <v>1</v>
      </c>
      <c r="W909" s="9">
        <f t="shared" si="179"/>
        <v>0</v>
      </c>
      <c r="AC909"/>
    </row>
    <row r="910" spans="1:29" x14ac:dyDescent="0.25">
      <c r="A910" t="s">
        <v>168</v>
      </c>
      <c r="B910">
        <v>8</v>
      </c>
      <c r="C910" t="s">
        <v>978</v>
      </c>
      <c r="D910" t="s">
        <v>466</v>
      </c>
      <c r="E910">
        <v>6</v>
      </c>
      <c r="F910">
        <v>5.19</v>
      </c>
      <c r="G910">
        <v>17.056899999999999</v>
      </c>
      <c r="H910" t="s">
        <v>466</v>
      </c>
      <c r="I910" t="s">
        <v>87</v>
      </c>
      <c r="J910" t="s">
        <v>44</v>
      </c>
      <c r="K910">
        <f t="shared" si="168"/>
        <v>96.57</v>
      </c>
      <c r="L910">
        <f t="shared" si="169"/>
        <v>368.03749999999997</v>
      </c>
      <c r="M910" t="str">
        <f t="shared" si="170"/>
        <v>devon-8</v>
      </c>
      <c r="N910" t="str">
        <f>INDEX(Scores!$A$2:$A$11,INDEX(Scores!$AA$2:$AA$131,MATCH(C910,Scores!$AB$2:$AB$131,0)))</f>
        <v>devon</v>
      </c>
      <c r="O910">
        <f t="shared" si="171"/>
        <v>102.43</v>
      </c>
      <c r="P910">
        <f t="shared" si="172"/>
        <v>452.86560000000003</v>
      </c>
      <c r="Q910" s="3">
        <f t="shared" si="173"/>
        <v>0.41897065981019621</v>
      </c>
      <c r="R910" s="3">
        <f t="shared" si="174"/>
        <v>0.42931562224466985</v>
      </c>
      <c r="S910" s="9">
        <f t="shared" si="175"/>
        <v>1.0344962434473637E-2</v>
      </c>
      <c r="T910">
        <f t="shared" si="176"/>
        <v>85</v>
      </c>
      <c r="U910">
        <f t="shared" si="177"/>
        <v>100</v>
      </c>
      <c r="V910" s="3">
        <f t="shared" si="178"/>
        <v>6.457151149245553E-5</v>
      </c>
      <c r="W910" s="9">
        <f t="shared" si="179"/>
        <v>-6.457151149245553E-5</v>
      </c>
      <c r="AC910"/>
    </row>
    <row r="911" spans="1:29" x14ac:dyDescent="0.25">
      <c r="A911" t="s">
        <v>219</v>
      </c>
      <c r="B911">
        <v>6</v>
      </c>
      <c r="C911" t="s">
        <v>912</v>
      </c>
      <c r="D911" t="s">
        <v>473</v>
      </c>
      <c r="E911">
        <v>7</v>
      </c>
      <c r="F911">
        <v>6.3</v>
      </c>
      <c r="G911">
        <v>26.625599999999999</v>
      </c>
      <c r="H911" t="s">
        <v>87</v>
      </c>
      <c r="I911" t="s">
        <v>87</v>
      </c>
      <c r="J911" t="s">
        <v>16</v>
      </c>
      <c r="K911">
        <f t="shared" si="168"/>
        <v>102.10000000000001</v>
      </c>
      <c r="L911">
        <f t="shared" si="169"/>
        <v>445.16630000000004</v>
      </c>
      <c r="M911" t="str">
        <f t="shared" si="170"/>
        <v>aj-6</v>
      </c>
      <c r="N911" t="str">
        <f>INDEX(Scores!$A$2:$A$11,INDEX(Scores!$AA$2:$AA$131,MATCH(C911,Scores!$AB$2:$AB$131,0)))</f>
        <v>aj</v>
      </c>
      <c r="O911">
        <f t="shared" si="171"/>
        <v>108.8</v>
      </c>
      <c r="P911">
        <f t="shared" si="172"/>
        <v>404.29040000000003</v>
      </c>
      <c r="Q911" s="3">
        <f t="shared" si="173"/>
        <v>0.40909189376360988</v>
      </c>
      <c r="R911" s="3">
        <f t="shared" si="174"/>
        <v>0.41715842248637403</v>
      </c>
      <c r="S911" s="9">
        <f t="shared" si="175"/>
        <v>8.0665287227641436E-3</v>
      </c>
      <c r="T911">
        <f t="shared" si="176"/>
        <v>85</v>
      </c>
      <c r="U911">
        <f t="shared" si="177"/>
        <v>104</v>
      </c>
      <c r="V911" s="3">
        <f t="shared" si="178"/>
        <v>6.7315468100542081E-5</v>
      </c>
      <c r="W911" s="9">
        <f t="shared" si="179"/>
        <v>-6.7315468100542081E-5</v>
      </c>
      <c r="AC911"/>
    </row>
    <row r="912" spans="1:29" x14ac:dyDescent="0.25">
      <c r="A912" t="s">
        <v>96</v>
      </c>
      <c r="B912">
        <v>2</v>
      </c>
      <c r="C912" t="s">
        <v>623</v>
      </c>
      <c r="D912" t="s">
        <v>471</v>
      </c>
      <c r="E912">
        <v>6</v>
      </c>
      <c r="F912">
        <v>12.63</v>
      </c>
      <c r="G912">
        <v>44.622399999999999</v>
      </c>
      <c r="H912" t="s">
        <v>87</v>
      </c>
      <c r="I912" t="s">
        <v>87</v>
      </c>
      <c r="J912" t="s">
        <v>27</v>
      </c>
      <c r="K912">
        <f t="shared" si="168"/>
        <v>103.61999999999999</v>
      </c>
      <c r="L912">
        <f t="shared" si="169"/>
        <v>357.30130000000003</v>
      </c>
      <c r="M912" t="str">
        <f t="shared" si="170"/>
        <v>cory-2</v>
      </c>
      <c r="N912" t="str">
        <f>INDEX(Scores!$A$2:$A$11,INDEX(Scores!$AA$2:$AA$131,MATCH(C912,Scores!$AB$2:$AB$131,0)))</f>
        <v>cory</v>
      </c>
      <c r="O912">
        <f t="shared" si="171"/>
        <v>102.7</v>
      </c>
      <c r="P912">
        <f t="shared" si="172"/>
        <v>377.5104</v>
      </c>
      <c r="Q912" s="3">
        <f t="shared" si="173"/>
        <v>0.51353712670419016</v>
      </c>
      <c r="R912" s="3">
        <f t="shared" si="174"/>
        <v>0.41396928816313228</v>
      </c>
      <c r="S912" s="9">
        <f t="shared" si="175"/>
        <v>-9.9567838541057885E-2</v>
      </c>
      <c r="T912">
        <f t="shared" si="176"/>
        <v>65</v>
      </c>
      <c r="U912">
        <f t="shared" si="177"/>
        <v>97</v>
      </c>
      <c r="V912" s="3">
        <f t="shared" si="178"/>
        <v>7.2962351237683236E-5</v>
      </c>
      <c r="W912" s="9">
        <f t="shared" si="179"/>
        <v>-7.2962351237683236E-5</v>
      </c>
      <c r="AC912"/>
    </row>
    <row r="913" spans="1:29" x14ac:dyDescent="0.25">
      <c r="A913" t="s">
        <v>81</v>
      </c>
      <c r="B913">
        <v>7</v>
      </c>
      <c r="C913" t="s">
        <v>921</v>
      </c>
      <c r="D913" t="s">
        <v>469</v>
      </c>
      <c r="E913">
        <v>22</v>
      </c>
      <c r="F913">
        <v>16.04</v>
      </c>
      <c r="G913">
        <v>63.8401</v>
      </c>
      <c r="H913" t="s">
        <v>47</v>
      </c>
      <c r="I913" t="s">
        <v>47</v>
      </c>
      <c r="J913" t="s">
        <v>55</v>
      </c>
      <c r="K913">
        <f t="shared" si="168"/>
        <v>114.01999999999998</v>
      </c>
      <c r="L913">
        <f t="shared" si="169"/>
        <v>381.58529999999996</v>
      </c>
      <c r="M913" t="str">
        <f t="shared" si="170"/>
        <v>devon-7</v>
      </c>
      <c r="N913" t="str">
        <f>INDEX(Scores!$A$2:$A$11,INDEX(Scores!$AA$2:$AA$131,MATCH(C913,Scores!$AB$2:$AB$131,0)))</f>
        <v>devon</v>
      </c>
      <c r="O913">
        <f t="shared" si="171"/>
        <v>106.81</v>
      </c>
      <c r="P913">
        <f t="shared" si="172"/>
        <v>351.64060000000001</v>
      </c>
      <c r="Q913" s="3">
        <f t="shared" si="173"/>
        <v>0.60498297578784854</v>
      </c>
      <c r="R913" s="3">
        <f t="shared" si="174"/>
        <v>0.69463610622054905</v>
      </c>
      <c r="S913" s="9">
        <f t="shared" si="175"/>
        <v>8.9653130432700512E-2</v>
      </c>
      <c r="T913">
        <f t="shared" si="176"/>
        <v>93</v>
      </c>
      <c r="U913">
        <f t="shared" si="177"/>
        <v>117</v>
      </c>
      <c r="V913" s="3">
        <f t="shared" si="178"/>
        <v>8.8527674004039919E-5</v>
      </c>
      <c r="W913" s="9">
        <f t="shared" si="179"/>
        <v>-8.8527674004039919E-5</v>
      </c>
      <c r="AC913"/>
    </row>
    <row r="914" spans="1:29" x14ac:dyDescent="0.25">
      <c r="A914" t="s">
        <v>176</v>
      </c>
      <c r="B914">
        <v>1</v>
      </c>
      <c r="C914" t="s">
        <v>505</v>
      </c>
      <c r="D914" t="s">
        <v>475</v>
      </c>
      <c r="E914">
        <v>4</v>
      </c>
      <c r="F914">
        <v>6.08</v>
      </c>
      <c r="G914">
        <v>20.430399999999999</v>
      </c>
      <c r="H914" t="s">
        <v>114</v>
      </c>
      <c r="I914" t="s">
        <v>114</v>
      </c>
      <c r="J914" t="s">
        <v>49</v>
      </c>
      <c r="K914">
        <f t="shared" si="168"/>
        <v>96.11</v>
      </c>
      <c r="L914">
        <f t="shared" si="169"/>
        <v>397.37959999999998</v>
      </c>
      <c r="M914" t="str">
        <f t="shared" si="170"/>
        <v>chad-1</v>
      </c>
      <c r="N914" t="str">
        <f>INDEX(Scores!$A$2:$A$11,INDEX(Scores!$AA$2:$AA$131,MATCH(C914,Scores!$AB$2:$AB$131,0)))</f>
        <v>chad</v>
      </c>
      <c r="O914">
        <f t="shared" si="171"/>
        <v>101.75</v>
      </c>
      <c r="P914">
        <f t="shared" si="172"/>
        <v>333.15260000000001</v>
      </c>
      <c r="Q914" s="3">
        <f t="shared" si="173"/>
        <v>0.41735304190298633</v>
      </c>
      <c r="R914" s="3">
        <f t="shared" si="174"/>
        <v>0.38602070951216672</v>
      </c>
      <c r="S914" s="9">
        <f t="shared" si="175"/>
        <v>-3.1332332390819617E-2</v>
      </c>
      <c r="T914">
        <f t="shared" si="176"/>
        <v>76</v>
      </c>
      <c r="U914">
        <f t="shared" si="177"/>
        <v>95</v>
      </c>
      <c r="V914" s="3">
        <f t="shared" si="178"/>
        <v>9.0786871180431635E-5</v>
      </c>
      <c r="W914" s="9">
        <f t="shared" si="179"/>
        <v>-9.0786871180431635E-5</v>
      </c>
      <c r="AC914"/>
    </row>
    <row r="915" spans="1:29" x14ac:dyDescent="0.25">
      <c r="A915" t="s">
        <v>140</v>
      </c>
      <c r="B915">
        <v>7</v>
      </c>
      <c r="C915" t="s">
        <v>921</v>
      </c>
      <c r="D915" t="s">
        <v>471</v>
      </c>
      <c r="E915">
        <v>2</v>
      </c>
      <c r="F915">
        <v>9.2100000000000009</v>
      </c>
      <c r="G915">
        <v>20.1601</v>
      </c>
      <c r="H915" t="s">
        <v>87</v>
      </c>
      <c r="I915" t="s">
        <v>87</v>
      </c>
      <c r="J915" t="s">
        <v>55</v>
      </c>
      <c r="K915">
        <f t="shared" si="168"/>
        <v>114.01999999999998</v>
      </c>
      <c r="L915">
        <f t="shared" si="169"/>
        <v>381.58529999999996</v>
      </c>
      <c r="M915" t="str">
        <f t="shared" si="170"/>
        <v>devon-7</v>
      </c>
      <c r="N915" t="str">
        <f>INDEX(Scores!$A$2:$A$11,INDEX(Scores!$AA$2:$AA$131,MATCH(C915,Scores!$AB$2:$AB$131,0)))</f>
        <v>devon</v>
      </c>
      <c r="O915">
        <f t="shared" si="171"/>
        <v>106.81</v>
      </c>
      <c r="P915">
        <f t="shared" si="172"/>
        <v>351.64060000000001</v>
      </c>
      <c r="Q915" s="3">
        <f t="shared" si="173"/>
        <v>0.60498297578784854</v>
      </c>
      <c r="R915" s="3">
        <f t="shared" si="174"/>
        <v>0.49999999999999967</v>
      </c>
      <c r="S915" s="9">
        <f t="shared" si="175"/>
        <v>-0.10498297578784888</v>
      </c>
      <c r="T915">
        <f t="shared" si="176"/>
        <v>93</v>
      </c>
      <c r="U915">
        <f t="shared" si="177"/>
        <v>117</v>
      </c>
      <c r="V915" s="3">
        <f t="shared" si="178"/>
        <v>9.2222324191851965E-5</v>
      </c>
      <c r="W915" s="9">
        <f t="shared" si="179"/>
        <v>-9.2222324191851965E-5</v>
      </c>
      <c r="AC915"/>
    </row>
    <row r="916" spans="1:29" x14ac:dyDescent="0.25">
      <c r="A916" t="s">
        <v>105</v>
      </c>
      <c r="B916">
        <v>7</v>
      </c>
      <c r="C916" t="s">
        <v>945</v>
      </c>
      <c r="D916" t="s">
        <v>472</v>
      </c>
      <c r="E916">
        <v>15</v>
      </c>
      <c r="F916">
        <v>9.35</v>
      </c>
      <c r="G916">
        <v>24.900099999999998</v>
      </c>
      <c r="H916" t="s">
        <v>87</v>
      </c>
      <c r="I916" t="s">
        <v>87</v>
      </c>
      <c r="J916" t="s">
        <v>62</v>
      </c>
      <c r="K916">
        <f t="shared" si="168"/>
        <v>99.759999999999991</v>
      </c>
      <c r="L916">
        <f t="shared" si="169"/>
        <v>339.923</v>
      </c>
      <c r="M916" t="str">
        <f t="shared" si="170"/>
        <v>perry-7</v>
      </c>
      <c r="N916" t="str">
        <f>INDEX(Scores!$A$2:$A$11,INDEX(Scores!$AA$2:$AA$131,MATCH(C916,Scores!$AB$2:$AB$131,0)))</f>
        <v>perry</v>
      </c>
      <c r="O916">
        <f t="shared" si="171"/>
        <v>103.81000000000002</v>
      </c>
      <c r="P916">
        <f t="shared" si="172"/>
        <v>404.20889999999997</v>
      </c>
      <c r="Q916" s="3">
        <f t="shared" si="173"/>
        <v>0.44098709635876499</v>
      </c>
      <c r="R916" s="3">
        <f t="shared" si="174"/>
        <v>0.52378691028266078</v>
      </c>
      <c r="S916" s="9">
        <f t="shared" si="175"/>
        <v>8.2799813923895793E-2</v>
      </c>
      <c r="T916">
        <f t="shared" si="176"/>
        <v>102</v>
      </c>
      <c r="U916">
        <f t="shared" si="177"/>
        <v>115</v>
      </c>
      <c r="V916" s="3">
        <f t="shared" si="178"/>
        <v>9.2938801159456237E-5</v>
      </c>
      <c r="W916" s="9">
        <f t="shared" si="179"/>
        <v>-9.2938801159456237E-5</v>
      </c>
      <c r="AC916"/>
    </row>
    <row r="917" spans="1:29" x14ac:dyDescent="0.25">
      <c r="A917" t="s">
        <v>138</v>
      </c>
      <c r="B917">
        <v>11</v>
      </c>
      <c r="C917" t="s">
        <v>981</v>
      </c>
      <c r="D917" t="s">
        <v>468</v>
      </c>
      <c r="E917">
        <v>21</v>
      </c>
      <c r="F917">
        <v>11.9</v>
      </c>
      <c r="G917">
        <v>61.465600000000002</v>
      </c>
      <c r="H917" t="s">
        <v>47</v>
      </c>
      <c r="I917" t="s">
        <v>47</v>
      </c>
      <c r="J917" t="s">
        <v>44</v>
      </c>
      <c r="K917">
        <f t="shared" si="168"/>
        <v>98.329999999999984</v>
      </c>
      <c r="L917">
        <f t="shared" si="169"/>
        <v>378.70709999999997</v>
      </c>
      <c r="M917" t="str">
        <f t="shared" si="170"/>
        <v>aj-11</v>
      </c>
      <c r="N917" t="str">
        <f>INDEX(Scores!$A$2:$A$11,INDEX(Scores!$AA$2:$AA$131,MATCH(C917,Scores!$AB$2:$AB$131,0)))</f>
        <v>aj</v>
      </c>
      <c r="O917">
        <f t="shared" si="171"/>
        <v>110.11</v>
      </c>
      <c r="P917">
        <f t="shared" si="172"/>
        <v>412.79880000000003</v>
      </c>
      <c r="Q917" s="3">
        <f t="shared" si="173"/>
        <v>0.33771232413612995</v>
      </c>
      <c r="R917" s="3">
        <f t="shared" si="174"/>
        <v>0.46049429785589563</v>
      </c>
      <c r="S917" s="9">
        <f t="shared" si="175"/>
        <v>0.12278197371976568</v>
      </c>
      <c r="T917">
        <f t="shared" si="176"/>
        <v>111</v>
      </c>
      <c r="U917">
        <f t="shared" si="177"/>
        <v>131</v>
      </c>
      <c r="V917" s="3">
        <f t="shared" si="178"/>
        <v>1.0292184152230526E-4</v>
      </c>
      <c r="W917" s="9">
        <f t="shared" si="179"/>
        <v>-1.0292184152230526E-4</v>
      </c>
      <c r="AC917"/>
    </row>
    <row r="918" spans="1:29" x14ac:dyDescent="0.25">
      <c r="A918" t="s">
        <v>130</v>
      </c>
      <c r="B918">
        <v>6</v>
      </c>
      <c r="C918" t="s">
        <v>960</v>
      </c>
      <c r="D918" t="s">
        <v>468</v>
      </c>
      <c r="E918">
        <v>18</v>
      </c>
      <c r="F918">
        <v>10.34</v>
      </c>
      <c r="G918">
        <v>44.89</v>
      </c>
      <c r="H918" t="s">
        <v>47</v>
      </c>
      <c r="I918" t="s">
        <v>47</v>
      </c>
      <c r="J918" t="s">
        <v>23</v>
      </c>
      <c r="K918">
        <f t="shared" si="168"/>
        <v>88.72</v>
      </c>
      <c r="L918">
        <f t="shared" si="169"/>
        <v>407.6961</v>
      </c>
      <c r="M918" t="str">
        <f t="shared" si="170"/>
        <v>matty-6</v>
      </c>
      <c r="N918" t="str">
        <f>INDEX(Scores!$A$2:$A$11,INDEX(Scores!$AA$2:$AA$131,MATCH(C918,Scores!$AB$2:$AB$131,0)))</f>
        <v>matty</v>
      </c>
      <c r="O918">
        <f t="shared" si="171"/>
        <v>109.91000000000001</v>
      </c>
      <c r="P918">
        <f t="shared" si="172"/>
        <v>387.28550000000001</v>
      </c>
      <c r="Q918" s="3">
        <f t="shared" si="173"/>
        <v>0.22616370321424212</v>
      </c>
      <c r="R918" s="3">
        <f t="shared" si="174"/>
        <v>0.31064758823801131</v>
      </c>
      <c r="S918" s="9">
        <f t="shared" si="175"/>
        <v>8.448388502376919E-2</v>
      </c>
      <c r="T918">
        <f t="shared" si="176"/>
        <v>102</v>
      </c>
      <c r="U918">
        <f t="shared" si="177"/>
        <v>119</v>
      </c>
      <c r="V918" s="3">
        <f t="shared" si="178"/>
        <v>1.1634425276109925E-4</v>
      </c>
      <c r="W918" s="9">
        <f t="shared" si="179"/>
        <v>-1.1634425276109925E-4</v>
      </c>
      <c r="AC918"/>
    </row>
    <row r="919" spans="1:29" x14ac:dyDescent="0.25">
      <c r="A919" t="s">
        <v>406</v>
      </c>
      <c r="B919">
        <v>1</v>
      </c>
      <c r="C919" t="s">
        <v>505</v>
      </c>
      <c r="D919" t="s">
        <v>477</v>
      </c>
      <c r="E919">
        <v>1</v>
      </c>
      <c r="F919">
        <v>4.42</v>
      </c>
      <c r="G919">
        <v>18.232900000000001</v>
      </c>
      <c r="H919" t="s">
        <v>477</v>
      </c>
      <c r="I919" t="s">
        <v>477</v>
      </c>
      <c r="J919" t="s">
        <v>49</v>
      </c>
      <c r="K919">
        <f t="shared" si="168"/>
        <v>96.11</v>
      </c>
      <c r="L919">
        <f t="shared" si="169"/>
        <v>397.37959999999998</v>
      </c>
      <c r="M919" t="str">
        <f t="shared" si="170"/>
        <v>chad-1</v>
      </c>
      <c r="N919" t="str">
        <f>INDEX(Scores!$A$2:$A$11,INDEX(Scores!$AA$2:$AA$131,MATCH(C919,Scores!$AB$2:$AB$131,0)))</f>
        <v>chad</v>
      </c>
      <c r="O919">
        <f t="shared" si="171"/>
        <v>101.75</v>
      </c>
      <c r="P919">
        <f t="shared" si="172"/>
        <v>333.15260000000001</v>
      </c>
      <c r="Q919" s="3">
        <f t="shared" si="173"/>
        <v>0.41735304190298633</v>
      </c>
      <c r="R919" s="3">
        <f t="shared" si="174"/>
        <v>0.36712915998150825</v>
      </c>
      <c r="S919" s="9">
        <f t="shared" si="175"/>
        <v>-5.0223881921478086E-2</v>
      </c>
      <c r="T919">
        <f t="shared" si="176"/>
        <v>76</v>
      </c>
      <c r="U919">
        <f t="shared" si="177"/>
        <v>95</v>
      </c>
      <c r="V919" s="3">
        <f t="shared" si="178"/>
        <v>1.3177920984600567E-4</v>
      </c>
      <c r="W919" s="9">
        <f t="shared" si="179"/>
        <v>-1.3177920984600567E-4</v>
      </c>
      <c r="AC919"/>
    </row>
    <row r="920" spans="1:29" x14ac:dyDescent="0.25">
      <c r="A920" t="s">
        <v>81</v>
      </c>
      <c r="B920">
        <v>2</v>
      </c>
      <c r="C920" t="s">
        <v>620</v>
      </c>
      <c r="D920" t="s">
        <v>468</v>
      </c>
      <c r="E920">
        <v>3</v>
      </c>
      <c r="F920">
        <v>14.62</v>
      </c>
      <c r="G920">
        <v>70.392099999999999</v>
      </c>
      <c r="H920" t="s">
        <v>47</v>
      </c>
      <c r="I920" t="s">
        <v>47</v>
      </c>
      <c r="J920" t="s">
        <v>40</v>
      </c>
      <c r="K920">
        <f t="shared" si="168"/>
        <v>103.97000000000001</v>
      </c>
      <c r="L920">
        <f t="shared" si="169"/>
        <v>402.37729999999999</v>
      </c>
      <c r="M920" t="e">
        <f t="shared" si="170"/>
        <v>#N/A</v>
      </c>
      <c r="N920" t="e">
        <f>INDEX(Scores!$A$2:$A$11,INDEX(Scores!$AA$2:$AA$131,MATCH(C920,Scores!$AB$2:$AB$131,0)))</f>
        <v>#N/A</v>
      </c>
      <c r="O920">
        <f t="shared" si="171"/>
        <v>0</v>
      </c>
      <c r="P920">
        <f t="shared" si="172"/>
        <v>0</v>
      </c>
      <c r="Q920" s="3">
        <f t="shared" si="173"/>
        <v>0.9999998908980352</v>
      </c>
      <c r="R920" s="3">
        <f t="shared" si="174"/>
        <v>0.99999979949500051</v>
      </c>
      <c r="S920" s="9">
        <f t="shared" si="175"/>
        <v>-9.1403034696568852E-8</v>
      </c>
      <c r="T920">
        <f t="shared" si="176"/>
        <v>60</v>
      </c>
      <c r="U920">
        <f t="shared" si="177"/>
        <v>0</v>
      </c>
      <c r="V920" s="3">
        <f t="shared" si="178"/>
        <v>1</v>
      </c>
      <c r="W920" s="9">
        <f t="shared" si="179"/>
        <v>0</v>
      </c>
      <c r="AC920"/>
    </row>
    <row r="921" spans="1:29" x14ac:dyDescent="0.25">
      <c r="A921" t="s">
        <v>104</v>
      </c>
      <c r="B921">
        <v>11</v>
      </c>
      <c r="C921" t="s">
        <v>981</v>
      </c>
      <c r="D921" t="s">
        <v>473</v>
      </c>
      <c r="E921">
        <v>11</v>
      </c>
      <c r="F921">
        <v>10.51</v>
      </c>
      <c r="G921">
        <v>32.035600000000002</v>
      </c>
      <c r="H921" t="s">
        <v>87</v>
      </c>
      <c r="I921" t="s">
        <v>87</v>
      </c>
      <c r="J921" t="s">
        <v>44</v>
      </c>
      <c r="K921">
        <f t="shared" si="168"/>
        <v>98.329999999999984</v>
      </c>
      <c r="L921">
        <f t="shared" si="169"/>
        <v>378.70709999999997</v>
      </c>
      <c r="M921" t="str">
        <f t="shared" si="170"/>
        <v>aj-11</v>
      </c>
      <c r="N921" t="str">
        <f>INDEX(Scores!$A$2:$A$11,INDEX(Scores!$AA$2:$AA$131,MATCH(C921,Scores!$AB$2:$AB$131,0)))</f>
        <v>aj</v>
      </c>
      <c r="O921">
        <f t="shared" si="171"/>
        <v>110.11</v>
      </c>
      <c r="P921">
        <f t="shared" si="172"/>
        <v>412.79880000000003</v>
      </c>
      <c r="Q921" s="3">
        <f t="shared" si="173"/>
        <v>0.33771232413612995</v>
      </c>
      <c r="R921" s="3">
        <f t="shared" si="174"/>
        <v>0.34102250338516521</v>
      </c>
      <c r="S921" s="9">
        <f t="shared" si="175"/>
        <v>3.3101792490352611E-3</v>
      </c>
      <c r="T921">
        <f t="shared" si="176"/>
        <v>111</v>
      </c>
      <c r="U921">
        <f t="shared" si="177"/>
        <v>131</v>
      </c>
      <c r="V921" s="3">
        <f t="shared" si="178"/>
        <v>1.4722106491557018E-4</v>
      </c>
      <c r="W921" s="9">
        <f t="shared" si="179"/>
        <v>-1.4722106491557018E-4</v>
      </c>
      <c r="AC921"/>
    </row>
    <row r="922" spans="1:29" x14ac:dyDescent="0.25">
      <c r="A922" t="s">
        <v>445</v>
      </c>
      <c r="B922">
        <v>1</v>
      </c>
      <c r="C922" t="s">
        <v>500</v>
      </c>
      <c r="D922" t="s">
        <v>478</v>
      </c>
      <c r="E922">
        <v>15</v>
      </c>
      <c r="F922">
        <v>7.1</v>
      </c>
      <c r="G922">
        <v>14.7456</v>
      </c>
      <c r="H922" t="s">
        <v>478</v>
      </c>
      <c r="I922" t="s">
        <v>478</v>
      </c>
      <c r="J922" t="s">
        <v>44</v>
      </c>
      <c r="K922">
        <f t="shared" si="168"/>
        <v>111.07</v>
      </c>
      <c r="L922">
        <f t="shared" si="169"/>
        <v>422.00569999999999</v>
      </c>
      <c r="M922" t="str">
        <f t="shared" si="170"/>
        <v>comp-1</v>
      </c>
      <c r="N922" t="str">
        <f>INDEX(Scores!$A$2:$A$11,INDEX(Scores!$AA$2:$AA$131,MATCH(C922,Scores!$AB$2:$AB$131,0)))</f>
        <v>comp</v>
      </c>
      <c r="O922">
        <f t="shared" si="171"/>
        <v>110.7</v>
      </c>
      <c r="P922">
        <f t="shared" si="172"/>
        <v>433.44330000000002</v>
      </c>
      <c r="Q922" s="3">
        <f t="shared" si="173"/>
        <v>0.50504664952103229</v>
      </c>
      <c r="R922" s="3">
        <f t="shared" si="174"/>
        <v>0.61226324013184064</v>
      </c>
      <c r="S922" s="9">
        <f t="shared" si="175"/>
        <v>0.10721659061080835</v>
      </c>
      <c r="T922">
        <f t="shared" si="176"/>
        <v>71</v>
      </c>
      <c r="U922">
        <f t="shared" si="177"/>
        <v>77</v>
      </c>
      <c r="V922" s="3">
        <f t="shared" si="178"/>
        <v>1.4742015259489039E-4</v>
      </c>
      <c r="W922" s="9">
        <f t="shared" si="179"/>
        <v>-1.4742015259489039E-4</v>
      </c>
      <c r="AC922"/>
    </row>
    <row r="923" spans="1:29" x14ac:dyDescent="0.25">
      <c r="A923" t="s">
        <v>80</v>
      </c>
      <c r="B923">
        <v>13</v>
      </c>
      <c r="C923" t="s">
        <v>967</v>
      </c>
      <c r="D923" t="s">
        <v>467</v>
      </c>
      <c r="E923">
        <v>16</v>
      </c>
      <c r="F923">
        <v>21.05</v>
      </c>
      <c r="G923">
        <v>64.1601</v>
      </c>
      <c r="H923" t="s">
        <v>15</v>
      </c>
      <c r="I923" t="s">
        <v>15</v>
      </c>
      <c r="J923" t="s">
        <v>23</v>
      </c>
      <c r="K923">
        <f t="shared" si="168"/>
        <v>108.77</v>
      </c>
      <c r="L923">
        <f t="shared" si="169"/>
        <v>411.30060000000003</v>
      </c>
      <c r="M923" t="str">
        <f t="shared" si="170"/>
        <v>devon-13</v>
      </c>
      <c r="N923" t="str">
        <f>INDEX(Scores!$A$2:$A$11,INDEX(Scores!$AA$2:$AA$131,MATCH(C923,Scores!$AB$2:$AB$131,0)))</f>
        <v>devon</v>
      </c>
      <c r="O923">
        <f t="shared" si="171"/>
        <v>97.46</v>
      </c>
      <c r="P923">
        <f t="shared" si="172"/>
        <v>368.81949999999995</v>
      </c>
      <c r="Q923" s="3">
        <f t="shared" si="173"/>
        <v>0.6572361742103181</v>
      </c>
      <c r="R923" s="3">
        <f t="shared" si="174"/>
        <v>0.59248954581417368</v>
      </c>
      <c r="S923" s="9">
        <f t="shared" si="175"/>
        <v>-6.4746628396144423E-2</v>
      </c>
      <c r="T923">
        <f t="shared" si="176"/>
        <v>99</v>
      </c>
      <c r="U923">
        <f t="shared" si="177"/>
        <v>133</v>
      </c>
      <c r="V923" s="3">
        <f t="shared" si="178"/>
        <v>1.5061949424518986E-4</v>
      </c>
      <c r="W923" s="9">
        <f t="shared" si="179"/>
        <v>-1.5061949424518986E-4</v>
      </c>
      <c r="AC923"/>
    </row>
    <row r="924" spans="1:29" x14ac:dyDescent="0.25">
      <c r="A924" t="s">
        <v>59</v>
      </c>
      <c r="B924">
        <v>9</v>
      </c>
      <c r="C924" t="s">
        <v>955</v>
      </c>
      <c r="D924" t="s">
        <v>467</v>
      </c>
      <c r="E924">
        <v>25</v>
      </c>
      <c r="F924">
        <v>20.23</v>
      </c>
      <c r="G924">
        <v>55.502499999999998</v>
      </c>
      <c r="H924" t="s">
        <v>15</v>
      </c>
      <c r="I924" t="s">
        <v>15</v>
      </c>
      <c r="J924" t="s">
        <v>40</v>
      </c>
      <c r="K924">
        <f t="shared" si="168"/>
        <v>81.42</v>
      </c>
      <c r="L924">
        <f t="shared" si="169"/>
        <v>278.07840000000004</v>
      </c>
      <c r="M924" t="e">
        <f t="shared" si="170"/>
        <v>#N/A</v>
      </c>
      <c r="N924" t="e">
        <f>INDEX(Scores!$A$2:$A$11,INDEX(Scores!$AA$2:$AA$131,MATCH(C924,Scores!$AB$2:$AB$131,0)))</f>
        <v>#N/A</v>
      </c>
      <c r="O924">
        <f t="shared" si="171"/>
        <v>0</v>
      </c>
      <c r="P924">
        <f t="shared" si="172"/>
        <v>0</v>
      </c>
      <c r="Q924" s="3">
        <f t="shared" si="173"/>
        <v>0.99999947640964748</v>
      </c>
      <c r="R924" s="3">
        <f t="shared" si="174"/>
        <v>0.99999999620242364</v>
      </c>
      <c r="S924" s="9">
        <f t="shared" si="175"/>
        <v>5.1979277615465946E-7</v>
      </c>
      <c r="T924">
        <f t="shared" si="176"/>
        <v>67</v>
      </c>
      <c r="U924">
        <f t="shared" si="177"/>
        <v>0</v>
      </c>
      <c r="V924" s="3">
        <f t="shared" si="178"/>
        <v>1</v>
      </c>
      <c r="W924" s="9">
        <f t="shared" si="179"/>
        <v>0</v>
      </c>
      <c r="AC924"/>
    </row>
    <row r="925" spans="1:29" x14ac:dyDescent="0.25">
      <c r="A925" t="s">
        <v>111</v>
      </c>
      <c r="B925">
        <v>12</v>
      </c>
      <c r="C925" t="s">
        <v>926</v>
      </c>
      <c r="D925" t="s">
        <v>469</v>
      </c>
      <c r="E925">
        <v>3</v>
      </c>
      <c r="F925">
        <v>12.46</v>
      </c>
      <c r="G925">
        <v>77.44</v>
      </c>
      <c r="H925" t="s">
        <v>47</v>
      </c>
      <c r="I925" t="s">
        <v>47</v>
      </c>
      <c r="J925" t="s">
        <v>55</v>
      </c>
      <c r="K925">
        <f t="shared" si="168"/>
        <v>111.09</v>
      </c>
      <c r="L925">
        <f t="shared" si="169"/>
        <v>408.5095</v>
      </c>
      <c r="M925" t="str">
        <f t="shared" si="170"/>
        <v>comp-12</v>
      </c>
      <c r="N925" t="str">
        <f>INDEX(Scores!$A$2:$A$11,INDEX(Scores!$AA$2:$AA$131,MATCH(C925,Scores!$AB$2:$AB$131,0)))</f>
        <v>comp</v>
      </c>
      <c r="O925">
        <f t="shared" si="171"/>
        <v>98.639999999999986</v>
      </c>
      <c r="P925">
        <f t="shared" si="172"/>
        <v>309.06870000000004</v>
      </c>
      <c r="Q925" s="3">
        <f t="shared" si="173"/>
        <v>0.67895062778258408</v>
      </c>
      <c r="R925" s="3">
        <f t="shared" si="174"/>
        <v>0.54703643930652623</v>
      </c>
      <c r="S925" s="9">
        <f t="shared" si="175"/>
        <v>-0.13191418847605785</v>
      </c>
      <c r="T925">
        <f t="shared" si="176"/>
        <v>84</v>
      </c>
      <c r="U925">
        <f t="shared" si="177"/>
        <v>125</v>
      </c>
      <c r="V925" s="3">
        <f t="shared" si="178"/>
        <v>1.6912713332654046E-4</v>
      </c>
      <c r="W925" s="9">
        <f t="shared" si="179"/>
        <v>-1.6912713332654046E-4</v>
      </c>
      <c r="AC925"/>
    </row>
    <row r="926" spans="1:29" x14ac:dyDescent="0.25">
      <c r="A926" t="s">
        <v>121</v>
      </c>
      <c r="B926">
        <v>9</v>
      </c>
      <c r="C926" t="s">
        <v>923</v>
      </c>
      <c r="D926" t="s">
        <v>466</v>
      </c>
      <c r="E926">
        <v>8</v>
      </c>
      <c r="F926">
        <v>8.18</v>
      </c>
      <c r="G926">
        <v>27.7729</v>
      </c>
      <c r="H926" t="s">
        <v>466</v>
      </c>
      <c r="I926" t="s">
        <v>47</v>
      </c>
      <c r="J926" t="s">
        <v>55</v>
      </c>
      <c r="K926">
        <f t="shared" si="168"/>
        <v>102.03999999999999</v>
      </c>
      <c r="L926">
        <f t="shared" si="169"/>
        <v>392.2131</v>
      </c>
      <c r="M926" t="str">
        <f t="shared" si="170"/>
        <v>perry-9</v>
      </c>
      <c r="N926" t="str">
        <f>INDEX(Scores!$A$2:$A$11,INDEX(Scores!$AA$2:$AA$131,MATCH(C926,Scores!$AB$2:$AB$131,0)))</f>
        <v>perry</v>
      </c>
      <c r="O926">
        <f t="shared" si="171"/>
        <v>98.35</v>
      </c>
      <c r="P926">
        <f t="shared" si="172"/>
        <v>385.97739999999999</v>
      </c>
      <c r="Q926" s="3">
        <f t="shared" si="173"/>
        <v>0.5526172882097643</v>
      </c>
      <c r="R926" s="3">
        <f t="shared" si="174"/>
        <v>0.55097751098265113</v>
      </c>
      <c r="S926" s="9">
        <f t="shared" si="175"/>
        <v>-1.6397772271131705E-3</v>
      </c>
      <c r="T926">
        <f t="shared" si="176"/>
        <v>86</v>
      </c>
      <c r="U926">
        <f t="shared" si="177"/>
        <v>105</v>
      </c>
      <c r="V926" s="3">
        <f t="shared" si="178"/>
        <v>1.7770354579149688E-4</v>
      </c>
      <c r="W926" s="9">
        <f t="shared" si="179"/>
        <v>-1.7770354579149688E-4</v>
      </c>
      <c r="AC926"/>
    </row>
    <row r="927" spans="1:29" x14ac:dyDescent="0.25">
      <c r="A927" t="s">
        <v>172</v>
      </c>
      <c r="B927">
        <v>6</v>
      </c>
      <c r="C927" t="s">
        <v>912</v>
      </c>
      <c r="D927" t="s">
        <v>466</v>
      </c>
      <c r="E927">
        <v>7</v>
      </c>
      <c r="F927">
        <v>7.12</v>
      </c>
      <c r="G927">
        <v>28.09</v>
      </c>
      <c r="H927" t="s">
        <v>466</v>
      </c>
      <c r="I927" t="s">
        <v>47</v>
      </c>
      <c r="J927" t="s">
        <v>16</v>
      </c>
      <c r="K927">
        <f t="shared" si="168"/>
        <v>102.10000000000001</v>
      </c>
      <c r="L927">
        <f t="shared" si="169"/>
        <v>445.16630000000004</v>
      </c>
      <c r="M927" t="str">
        <f t="shared" si="170"/>
        <v>aj-6</v>
      </c>
      <c r="N927" t="str">
        <f>INDEX(Scores!$A$2:$A$11,INDEX(Scores!$AA$2:$AA$131,MATCH(C927,Scores!$AB$2:$AB$131,0)))</f>
        <v>aj</v>
      </c>
      <c r="O927">
        <f t="shared" si="171"/>
        <v>108.8</v>
      </c>
      <c r="P927">
        <f t="shared" si="172"/>
        <v>404.29040000000003</v>
      </c>
      <c r="Q927" s="3">
        <f t="shared" si="173"/>
        <v>0.40909189376360988</v>
      </c>
      <c r="R927" s="3">
        <f t="shared" si="174"/>
        <v>0.40595353729099903</v>
      </c>
      <c r="S927" s="9">
        <f t="shared" si="175"/>
        <v>-3.1383564726108482E-3</v>
      </c>
      <c r="T927">
        <f t="shared" si="176"/>
        <v>85</v>
      </c>
      <c r="U927">
        <f t="shared" si="177"/>
        <v>104</v>
      </c>
      <c r="V927" s="3">
        <f t="shared" si="178"/>
        <v>1.8383508303428277E-4</v>
      </c>
      <c r="W927" s="9">
        <f t="shared" si="179"/>
        <v>-1.8383508303428277E-4</v>
      </c>
      <c r="AC927"/>
    </row>
    <row r="928" spans="1:29" x14ac:dyDescent="0.25">
      <c r="A928" t="s">
        <v>101</v>
      </c>
      <c r="B928">
        <v>6</v>
      </c>
      <c r="C928" t="s">
        <v>928</v>
      </c>
      <c r="D928" t="s">
        <v>469</v>
      </c>
      <c r="E928">
        <v>14</v>
      </c>
      <c r="F928">
        <v>9.76</v>
      </c>
      <c r="G928">
        <v>42.640900000000002</v>
      </c>
      <c r="H928" t="s">
        <v>47</v>
      </c>
      <c r="I928" t="s">
        <v>47</v>
      </c>
      <c r="J928" t="s">
        <v>35</v>
      </c>
      <c r="K928">
        <f t="shared" si="168"/>
        <v>101.41999999999999</v>
      </c>
      <c r="L928">
        <f t="shared" si="169"/>
        <v>401.13359999999994</v>
      </c>
      <c r="M928" t="str">
        <f t="shared" si="170"/>
        <v>comp-6</v>
      </c>
      <c r="N928" t="str">
        <f>INDEX(Scores!$A$2:$A$11,INDEX(Scores!$AA$2:$AA$131,MATCH(C928,Scores!$AB$2:$AB$131,0)))</f>
        <v>comp</v>
      </c>
      <c r="O928">
        <f t="shared" si="171"/>
        <v>104.66</v>
      </c>
      <c r="P928">
        <f t="shared" si="172"/>
        <v>375.94899999999996</v>
      </c>
      <c r="Q928" s="3">
        <f t="shared" si="173"/>
        <v>0.45373585390093107</v>
      </c>
      <c r="R928" s="3">
        <f t="shared" si="174"/>
        <v>0.51471745975271865</v>
      </c>
      <c r="S928" s="9">
        <f t="shared" si="175"/>
        <v>6.0981605851787579E-2</v>
      </c>
      <c r="T928">
        <f t="shared" si="176"/>
        <v>72</v>
      </c>
      <c r="U928">
        <f t="shared" si="177"/>
        <v>91</v>
      </c>
      <c r="V928" s="3">
        <f t="shared" si="178"/>
        <v>1.8616406815132137E-4</v>
      </c>
      <c r="W928" s="9">
        <f t="shared" si="179"/>
        <v>-1.8616406815132137E-4</v>
      </c>
      <c r="AC928"/>
    </row>
    <row r="929" spans="1:29" x14ac:dyDescent="0.25">
      <c r="A929" t="s">
        <v>21</v>
      </c>
      <c r="B929">
        <v>11</v>
      </c>
      <c r="C929" t="s">
        <v>949</v>
      </c>
      <c r="D929" t="s">
        <v>467</v>
      </c>
      <c r="E929">
        <v>21</v>
      </c>
      <c r="F929">
        <v>21.67</v>
      </c>
      <c r="G929">
        <v>72.760900000000007</v>
      </c>
      <c r="H929" t="s">
        <v>15</v>
      </c>
      <c r="I929" t="s">
        <v>15</v>
      </c>
      <c r="J929" t="s">
        <v>62</v>
      </c>
      <c r="K929">
        <f t="shared" si="168"/>
        <v>106.58</v>
      </c>
      <c r="L929">
        <f t="shared" si="169"/>
        <v>427.68610000000001</v>
      </c>
      <c r="M929" t="str">
        <f t="shared" si="170"/>
        <v>cory-11</v>
      </c>
      <c r="N929" t="str">
        <f>INDEX(Scores!$A$2:$A$11,INDEX(Scores!$AA$2:$AA$131,MATCH(C929,Scores!$AB$2:$AB$131,0)))</f>
        <v>cory</v>
      </c>
      <c r="O929">
        <f t="shared" si="171"/>
        <v>102.11</v>
      </c>
      <c r="P929">
        <f t="shared" si="172"/>
        <v>431.97960000000006</v>
      </c>
      <c r="Q929" s="3">
        <f t="shared" si="173"/>
        <v>0.56058610538956244</v>
      </c>
      <c r="R929" s="3">
        <f t="shared" si="174"/>
        <v>0.55387731503123705</v>
      </c>
      <c r="S929" s="9">
        <f t="shared" si="175"/>
        <v>-6.7087903583253894E-3</v>
      </c>
      <c r="T929">
        <f t="shared" si="176"/>
        <v>99</v>
      </c>
      <c r="U929">
        <f t="shared" si="177"/>
        <v>130</v>
      </c>
      <c r="V929" s="3">
        <f t="shared" si="178"/>
        <v>1.8849719319049844E-4</v>
      </c>
      <c r="W929" s="9">
        <f t="shared" si="179"/>
        <v>-1.8849719319049844E-4</v>
      </c>
      <c r="AC929"/>
    </row>
    <row r="930" spans="1:29" x14ac:dyDescent="0.25">
      <c r="A930" t="s">
        <v>99</v>
      </c>
      <c r="B930">
        <v>6</v>
      </c>
      <c r="C930" t="s">
        <v>912</v>
      </c>
      <c r="D930" t="s">
        <v>469</v>
      </c>
      <c r="E930">
        <v>8</v>
      </c>
      <c r="F930">
        <v>10.95</v>
      </c>
      <c r="G930">
        <v>20.702500000000001</v>
      </c>
      <c r="H930" t="s">
        <v>47</v>
      </c>
      <c r="I930" t="s">
        <v>47</v>
      </c>
      <c r="J930" t="s">
        <v>16</v>
      </c>
      <c r="K930">
        <f t="shared" si="168"/>
        <v>102.10000000000001</v>
      </c>
      <c r="L930">
        <f t="shared" si="169"/>
        <v>445.16630000000004</v>
      </c>
      <c r="M930" t="str">
        <f t="shared" si="170"/>
        <v>aj-6</v>
      </c>
      <c r="N930" t="str">
        <f>INDEX(Scores!$A$2:$A$11,INDEX(Scores!$AA$2:$AA$131,MATCH(C930,Scores!$AB$2:$AB$131,0)))</f>
        <v>aj</v>
      </c>
      <c r="O930">
        <f t="shared" si="171"/>
        <v>108.8</v>
      </c>
      <c r="P930">
        <f t="shared" si="172"/>
        <v>404.29040000000003</v>
      </c>
      <c r="Q930" s="3">
        <f t="shared" si="173"/>
        <v>0.40909189376360988</v>
      </c>
      <c r="R930" s="3">
        <f t="shared" si="174"/>
        <v>0.36873407424364335</v>
      </c>
      <c r="S930" s="9">
        <f t="shared" si="175"/>
        <v>-4.0357819519966531E-2</v>
      </c>
      <c r="T930">
        <f t="shared" si="176"/>
        <v>85</v>
      </c>
      <c r="U930">
        <f t="shared" si="177"/>
        <v>104</v>
      </c>
      <c r="V930" s="3">
        <f t="shared" si="178"/>
        <v>2.0977364827718767E-4</v>
      </c>
      <c r="W930" s="9">
        <f t="shared" si="179"/>
        <v>-2.0977364827718767E-4</v>
      </c>
      <c r="AC930"/>
    </row>
    <row r="931" spans="1:29" x14ac:dyDescent="0.25">
      <c r="A931" t="s">
        <v>157</v>
      </c>
      <c r="B931">
        <v>3</v>
      </c>
      <c r="C931" t="s">
        <v>809</v>
      </c>
      <c r="D931" t="s">
        <v>473</v>
      </c>
      <c r="E931">
        <v>0</v>
      </c>
      <c r="F931">
        <v>7.74</v>
      </c>
      <c r="G931">
        <v>40.068899999999999</v>
      </c>
      <c r="H931" t="s">
        <v>87</v>
      </c>
      <c r="I931" t="s">
        <v>87</v>
      </c>
      <c r="J931" t="s">
        <v>23</v>
      </c>
      <c r="K931">
        <f t="shared" si="168"/>
        <v>101.86999999999999</v>
      </c>
      <c r="L931">
        <f t="shared" si="169"/>
        <v>350.57169999999996</v>
      </c>
      <c r="M931" t="str">
        <f t="shared" si="170"/>
        <v>scott-3</v>
      </c>
      <c r="N931" t="str">
        <f>INDEX(Scores!$A$2:$A$11,INDEX(Scores!$AA$2:$AA$131,MATCH(C931,Scores!$AB$2:$AB$131,0)))</f>
        <v>scott</v>
      </c>
      <c r="O931">
        <f t="shared" si="171"/>
        <v>110.35</v>
      </c>
      <c r="P931">
        <f t="shared" si="172"/>
        <v>442.53309999999999</v>
      </c>
      <c r="Q931" s="3">
        <f t="shared" si="173"/>
        <v>0.38166388462507189</v>
      </c>
      <c r="R931" s="3">
        <f t="shared" si="174"/>
        <v>0.27723489411368107</v>
      </c>
      <c r="S931" s="9">
        <f t="shared" si="175"/>
        <v>-0.10442899051139082</v>
      </c>
      <c r="T931">
        <f t="shared" si="176"/>
        <v>102</v>
      </c>
      <c r="U931">
        <f t="shared" si="177"/>
        <v>132</v>
      </c>
      <c r="V931" s="3">
        <f t="shared" si="178"/>
        <v>2.1856612919518253E-4</v>
      </c>
      <c r="W931" s="9">
        <f t="shared" si="179"/>
        <v>-2.1856612919518253E-4</v>
      </c>
      <c r="AC931"/>
    </row>
    <row r="932" spans="1:29" x14ac:dyDescent="0.25">
      <c r="A932" t="s">
        <v>135</v>
      </c>
      <c r="B932">
        <v>2</v>
      </c>
      <c r="C932" t="s">
        <v>636</v>
      </c>
      <c r="D932" t="s">
        <v>471</v>
      </c>
      <c r="E932">
        <v>15</v>
      </c>
      <c r="F932">
        <v>8.34</v>
      </c>
      <c r="G932">
        <v>28.302399999999999</v>
      </c>
      <c r="H932" t="s">
        <v>87</v>
      </c>
      <c r="I932" t="s">
        <v>87</v>
      </c>
      <c r="J932" t="s">
        <v>49</v>
      </c>
      <c r="K932">
        <f t="shared" si="168"/>
        <v>101.3</v>
      </c>
      <c r="L932">
        <f t="shared" si="169"/>
        <v>329.14109999999999</v>
      </c>
      <c r="M932" t="str">
        <f t="shared" si="170"/>
        <v>seth-2</v>
      </c>
      <c r="N932" t="str">
        <f>INDEX(Scores!$A$2:$A$11,INDEX(Scores!$AA$2:$AA$131,MATCH(C932,Scores!$AB$2:$AB$131,0)))</f>
        <v>seth</v>
      </c>
      <c r="O932">
        <f t="shared" si="171"/>
        <v>91.78</v>
      </c>
      <c r="P932">
        <f t="shared" si="172"/>
        <v>333.71719999999993</v>
      </c>
      <c r="Q932" s="3">
        <f t="shared" si="173"/>
        <v>0.64422145537573039</v>
      </c>
      <c r="R932" s="3">
        <f t="shared" si="174"/>
        <v>0.73966350608553255</v>
      </c>
      <c r="S932" s="9">
        <f t="shared" si="175"/>
        <v>9.5442050709802162E-2</v>
      </c>
      <c r="T932">
        <f t="shared" si="176"/>
        <v>70</v>
      </c>
      <c r="U932">
        <f t="shared" si="177"/>
        <v>82</v>
      </c>
      <c r="V932" s="3">
        <f t="shared" si="178"/>
        <v>2.2615319909448169E-4</v>
      </c>
      <c r="W932" s="9">
        <f t="shared" si="179"/>
        <v>-2.2615319909448169E-4</v>
      </c>
      <c r="AC932"/>
    </row>
    <row r="933" spans="1:29" x14ac:dyDescent="0.25">
      <c r="A933" t="s">
        <v>139</v>
      </c>
      <c r="B933">
        <v>4</v>
      </c>
      <c r="C933" t="s">
        <v>857</v>
      </c>
      <c r="D933" t="s">
        <v>469</v>
      </c>
      <c r="E933">
        <v>24</v>
      </c>
      <c r="F933">
        <v>9.1</v>
      </c>
      <c r="G933">
        <v>58.828899999999997</v>
      </c>
      <c r="H933" t="s">
        <v>47</v>
      </c>
      <c r="I933" t="s">
        <v>47</v>
      </c>
      <c r="J933" t="s">
        <v>44</v>
      </c>
      <c r="K933">
        <f t="shared" si="168"/>
        <v>104.32</v>
      </c>
      <c r="L933">
        <f t="shared" si="169"/>
        <v>390.96559999999999</v>
      </c>
      <c r="M933" t="str">
        <f t="shared" si="170"/>
        <v>chad-4</v>
      </c>
      <c r="N933" t="str">
        <f>INDEX(Scores!$A$2:$A$11,INDEX(Scores!$AA$2:$AA$131,MATCH(C933,Scores!$AB$2:$AB$131,0)))</f>
        <v>chad</v>
      </c>
      <c r="O933">
        <f t="shared" si="171"/>
        <v>99.8</v>
      </c>
      <c r="P933">
        <f t="shared" si="172"/>
        <v>351.46400000000006</v>
      </c>
      <c r="Q933" s="3">
        <f t="shared" si="173"/>
        <v>0.56587682676878348</v>
      </c>
      <c r="R933" s="3">
        <f t="shared" si="174"/>
        <v>0.77118622652531288</v>
      </c>
      <c r="S933" s="9">
        <f t="shared" si="175"/>
        <v>0.2053093997565294</v>
      </c>
      <c r="T933">
        <f t="shared" si="176"/>
        <v>111</v>
      </c>
      <c r="U933">
        <f t="shared" si="177"/>
        <v>123</v>
      </c>
      <c r="V933" s="3">
        <f t="shared" si="178"/>
        <v>2.2644917864567295E-4</v>
      </c>
      <c r="W933" s="9">
        <f t="shared" si="179"/>
        <v>-2.2644917864567295E-4</v>
      </c>
      <c r="AC933"/>
    </row>
    <row r="934" spans="1:29" x14ac:dyDescent="0.25">
      <c r="A934" t="s">
        <v>165</v>
      </c>
      <c r="B934">
        <v>7</v>
      </c>
      <c r="C934" t="s">
        <v>921</v>
      </c>
      <c r="D934" t="s">
        <v>475</v>
      </c>
      <c r="E934">
        <v>4</v>
      </c>
      <c r="F934">
        <v>7.8</v>
      </c>
      <c r="G934">
        <v>33.177599999999998</v>
      </c>
      <c r="H934" t="s">
        <v>114</v>
      </c>
      <c r="I934" t="s">
        <v>114</v>
      </c>
      <c r="J934" t="s">
        <v>55</v>
      </c>
      <c r="K934">
        <f t="shared" si="168"/>
        <v>114.01999999999998</v>
      </c>
      <c r="L934">
        <f t="shared" si="169"/>
        <v>381.58529999999996</v>
      </c>
      <c r="M934" t="str">
        <f t="shared" si="170"/>
        <v>devon-7</v>
      </c>
      <c r="N934" t="str">
        <f>INDEX(Scores!$A$2:$A$11,INDEX(Scores!$AA$2:$AA$131,MATCH(C934,Scores!$AB$2:$AB$131,0)))</f>
        <v>devon</v>
      </c>
      <c r="O934">
        <f t="shared" si="171"/>
        <v>106.81</v>
      </c>
      <c r="P934">
        <f t="shared" si="172"/>
        <v>351.64060000000001</v>
      </c>
      <c r="Q934" s="3">
        <f t="shared" si="173"/>
        <v>0.60498297578784854</v>
      </c>
      <c r="R934" s="3">
        <f t="shared" si="174"/>
        <v>0.5512742681351821</v>
      </c>
      <c r="S934" s="9">
        <f t="shared" si="175"/>
        <v>-5.3708707652666443E-2</v>
      </c>
      <c r="T934">
        <f t="shared" si="176"/>
        <v>93</v>
      </c>
      <c r="U934">
        <f t="shared" si="177"/>
        <v>117</v>
      </c>
      <c r="V934" s="3">
        <f t="shared" si="178"/>
        <v>2.2664188672031965E-4</v>
      </c>
      <c r="W934" s="9">
        <f t="shared" si="179"/>
        <v>-2.2664188672031965E-4</v>
      </c>
      <c r="AC934"/>
    </row>
    <row r="935" spans="1:29" x14ac:dyDescent="0.25">
      <c r="A935" t="s">
        <v>154</v>
      </c>
      <c r="B935">
        <v>5</v>
      </c>
      <c r="C935" t="s">
        <v>890</v>
      </c>
      <c r="D935" t="s">
        <v>471</v>
      </c>
      <c r="E935">
        <v>6</v>
      </c>
      <c r="F935">
        <v>9.0500000000000007</v>
      </c>
      <c r="G935">
        <v>35.760399999999997</v>
      </c>
      <c r="H935" t="s">
        <v>87</v>
      </c>
      <c r="I935" t="s">
        <v>87</v>
      </c>
      <c r="J935" t="s">
        <v>20</v>
      </c>
      <c r="K935">
        <f t="shared" si="168"/>
        <v>107.89</v>
      </c>
      <c r="L935">
        <f t="shared" si="169"/>
        <v>441.71269999999998</v>
      </c>
      <c r="M935" t="str">
        <f t="shared" si="170"/>
        <v>lucas-5</v>
      </c>
      <c r="N935" t="str">
        <f>INDEX(Scores!$A$2:$A$11,INDEX(Scores!$AA$2:$AA$131,MATCH(C935,Scores!$AB$2:$AB$131,0)))</f>
        <v>lucas</v>
      </c>
      <c r="O935">
        <f t="shared" si="171"/>
        <v>0</v>
      </c>
      <c r="P935">
        <f t="shared" si="172"/>
        <v>0</v>
      </c>
      <c r="Q935" s="3">
        <f t="shared" si="173"/>
        <v>0.99999985777778666</v>
      </c>
      <c r="R935" s="3">
        <f t="shared" si="174"/>
        <v>0.999999902176958</v>
      </c>
      <c r="S935" s="9">
        <f t="shared" si="175"/>
        <v>4.4399171339470911E-8</v>
      </c>
      <c r="T935">
        <f t="shared" si="176"/>
        <v>69</v>
      </c>
      <c r="U935">
        <f t="shared" si="177"/>
        <v>0</v>
      </c>
      <c r="V935" s="3">
        <f t="shared" si="178"/>
        <v>1</v>
      </c>
      <c r="W935" s="9">
        <f t="shared" si="179"/>
        <v>0</v>
      </c>
      <c r="AC935"/>
    </row>
    <row r="936" spans="1:29" x14ac:dyDescent="0.25">
      <c r="A936" t="s">
        <v>138</v>
      </c>
      <c r="B936">
        <v>10</v>
      </c>
      <c r="C936" t="s">
        <v>980</v>
      </c>
      <c r="D936" t="s">
        <v>468</v>
      </c>
      <c r="E936">
        <v>31</v>
      </c>
      <c r="F936">
        <v>11.7</v>
      </c>
      <c r="G936">
        <v>44.355600000000003</v>
      </c>
      <c r="H936" t="s">
        <v>47</v>
      </c>
      <c r="I936" t="s">
        <v>47</v>
      </c>
      <c r="J936" t="s">
        <v>44</v>
      </c>
      <c r="K936">
        <f t="shared" si="168"/>
        <v>104.52999999999999</v>
      </c>
      <c r="L936">
        <f t="shared" si="169"/>
        <v>446.11959999999999</v>
      </c>
      <c r="M936" t="str">
        <f t="shared" si="170"/>
        <v>matty-10</v>
      </c>
      <c r="N936" t="str">
        <f>INDEX(Scores!$A$2:$A$11,INDEX(Scores!$AA$2:$AA$131,MATCH(C936,Scores!$AB$2:$AB$131,0)))</f>
        <v>matty</v>
      </c>
      <c r="O936">
        <f t="shared" si="171"/>
        <v>80.72</v>
      </c>
      <c r="P936">
        <f t="shared" si="172"/>
        <v>274.11410000000001</v>
      </c>
      <c r="Q936" s="3">
        <f t="shared" si="173"/>
        <v>0.81251501229102341</v>
      </c>
      <c r="R936" s="3">
        <f t="shared" si="174"/>
        <v>0.95136411500360929</v>
      </c>
      <c r="S936" s="9">
        <f t="shared" si="175"/>
        <v>0.13884910271258588</v>
      </c>
      <c r="T936">
        <f t="shared" si="176"/>
        <v>80</v>
      </c>
      <c r="U936">
        <f t="shared" si="177"/>
        <v>84</v>
      </c>
      <c r="V936" s="3">
        <f t="shared" si="178"/>
        <v>2.3394286202831432E-4</v>
      </c>
      <c r="W936" s="9">
        <f t="shared" si="179"/>
        <v>-2.3394286202831432E-4</v>
      </c>
      <c r="AC936"/>
    </row>
    <row r="937" spans="1:29" x14ac:dyDescent="0.25">
      <c r="A937" t="s">
        <v>97</v>
      </c>
      <c r="B937">
        <v>5</v>
      </c>
      <c r="C937" t="s">
        <v>890</v>
      </c>
      <c r="D937" t="s">
        <v>468</v>
      </c>
      <c r="E937">
        <v>7</v>
      </c>
      <c r="F937">
        <v>11.19</v>
      </c>
      <c r="G937">
        <v>32.2624</v>
      </c>
      <c r="H937" t="s">
        <v>47</v>
      </c>
      <c r="I937" t="s">
        <v>47</v>
      </c>
      <c r="J937" t="s">
        <v>20</v>
      </c>
      <c r="K937">
        <f t="shared" si="168"/>
        <v>107.89</v>
      </c>
      <c r="L937">
        <f t="shared" si="169"/>
        <v>441.71269999999998</v>
      </c>
      <c r="M937" t="str">
        <f t="shared" si="170"/>
        <v>lucas-5</v>
      </c>
      <c r="N937" t="str">
        <f>INDEX(Scores!$A$2:$A$11,INDEX(Scores!$AA$2:$AA$131,MATCH(C937,Scores!$AB$2:$AB$131,0)))</f>
        <v>lucas</v>
      </c>
      <c r="O937">
        <f t="shared" si="171"/>
        <v>0</v>
      </c>
      <c r="P937">
        <f t="shared" si="172"/>
        <v>0</v>
      </c>
      <c r="Q937" s="3">
        <f t="shared" si="173"/>
        <v>0.99999985777778666</v>
      </c>
      <c r="R937" s="3">
        <f t="shared" si="174"/>
        <v>0.99999985108467626</v>
      </c>
      <c r="S937" s="9">
        <f t="shared" si="175"/>
        <v>-6.6931103992473595E-9</v>
      </c>
      <c r="T937">
        <f t="shared" si="176"/>
        <v>69</v>
      </c>
      <c r="U937">
        <f t="shared" si="177"/>
        <v>0</v>
      </c>
      <c r="V937" s="3">
        <f t="shared" si="178"/>
        <v>1</v>
      </c>
      <c r="W937" s="9">
        <f t="shared" si="179"/>
        <v>0</v>
      </c>
      <c r="AC937"/>
    </row>
    <row r="938" spans="1:29" x14ac:dyDescent="0.25">
      <c r="A938" t="s">
        <v>103</v>
      </c>
      <c r="B938">
        <v>2</v>
      </c>
      <c r="C938" t="s">
        <v>623</v>
      </c>
      <c r="D938" t="s">
        <v>472</v>
      </c>
      <c r="E938">
        <v>3</v>
      </c>
      <c r="F938">
        <v>10.31</v>
      </c>
      <c r="G938">
        <v>50.126399999999997</v>
      </c>
      <c r="H938" t="s">
        <v>87</v>
      </c>
      <c r="I938" t="s">
        <v>87</v>
      </c>
      <c r="J938" t="s">
        <v>27</v>
      </c>
      <c r="K938">
        <f t="shared" si="168"/>
        <v>103.61999999999999</v>
      </c>
      <c r="L938">
        <f t="shared" si="169"/>
        <v>357.30130000000003</v>
      </c>
      <c r="M938" t="str">
        <f t="shared" si="170"/>
        <v>cory-2</v>
      </c>
      <c r="N938" t="str">
        <f>INDEX(Scores!$A$2:$A$11,INDEX(Scores!$AA$2:$AA$131,MATCH(C938,Scores!$AB$2:$AB$131,0)))</f>
        <v>cory</v>
      </c>
      <c r="O938">
        <f t="shared" si="171"/>
        <v>102.7</v>
      </c>
      <c r="P938">
        <f t="shared" si="172"/>
        <v>377.5104</v>
      </c>
      <c r="Q938" s="3">
        <f t="shared" si="173"/>
        <v>0.51353712670419016</v>
      </c>
      <c r="R938" s="3">
        <f t="shared" si="174"/>
        <v>0.40353585223877586</v>
      </c>
      <c r="S938" s="9">
        <f t="shared" si="175"/>
        <v>-0.1100012744654143</v>
      </c>
      <c r="T938">
        <f t="shared" si="176"/>
        <v>65</v>
      </c>
      <c r="U938">
        <f t="shared" si="177"/>
        <v>97</v>
      </c>
      <c r="V938" s="3">
        <f t="shared" si="178"/>
        <v>2.4397267686765059E-4</v>
      </c>
      <c r="W938" s="9">
        <f t="shared" si="179"/>
        <v>-2.4397267686765059E-4</v>
      </c>
      <c r="AC938"/>
    </row>
    <row r="939" spans="1:29" x14ac:dyDescent="0.25">
      <c r="A939" t="s">
        <v>251</v>
      </c>
      <c r="B939">
        <v>9</v>
      </c>
      <c r="C939" t="s">
        <v>955</v>
      </c>
      <c r="D939" t="s">
        <v>472</v>
      </c>
      <c r="E939">
        <v>8</v>
      </c>
      <c r="F939">
        <v>9.3699999999999992</v>
      </c>
      <c r="G939">
        <v>35.046399999999998</v>
      </c>
      <c r="H939" t="s">
        <v>87</v>
      </c>
      <c r="I939" t="s">
        <v>87</v>
      </c>
      <c r="J939" t="s">
        <v>40</v>
      </c>
      <c r="K939">
        <f t="shared" si="168"/>
        <v>81.42</v>
      </c>
      <c r="L939">
        <f t="shared" si="169"/>
        <v>278.07840000000004</v>
      </c>
      <c r="M939" t="e">
        <f t="shared" si="170"/>
        <v>#N/A</v>
      </c>
      <c r="N939" t="e">
        <f>INDEX(Scores!$A$2:$A$11,INDEX(Scores!$AA$2:$AA$131,MATCH(C939,Scores!$AB$2:$AB$131,0)))</f>
        <v>#N/A</v>
      </c>
      <c r="O939">
        <f t="shared" si="171"/>
        <v>0</v>
      </c>
      <c r="P939">
        <f t="shared" si="172"/>
        <v>0</v>
      </c>
      <c r="Q939" s="3">
        <f t="shared" si="173"/>
        <v>0.99999947640964748</v>
      </c>
      <c r="R939" s="3">
        <f t="shared" si="174"/>
        <v>0.99999985883179787</v>
      </c>
      <c r="S939" s="9">
        <f t="shared" si="175"/>
        <v>3.8242215039119287E-7</v>
      </c>
      <c r="T939">
        <f t="shared" si="176"/>
        <v>67</v>
      </c>
      <c r="U939">
        <f t="shared" si="177"/>
        <v>0</v>
      </c>
      <c r="V939" s="3">
        <f t="shared" si="178"/>
        <v>1</v>
      </c>
      <c r="W939" s="9">
        <f t="shared" si="179"/>
        <v>0</v>
      </c>
      <c r="AC939"/>
    </row>
    <row r="940" spans="1:29" x14ac:dyDescent="0.25">
      <c r="A940" t="s">
        <v>420</v>
      </c>
      <c r="B940">
        <v>13</v>
      </c>
      <c r="C940" t="s">
        <v>943</v>
      </c>
      <c r="D940" t="s">
        <v>477</v>
      </c>
      <c r="E940">
        <v>22</v>
      </c>
      <c r="F940">
        <v>11.01</v>
      </c>
      <c r="G940">
        <v>51.552399999999999</v>
      </c>
      <c r="H940" t="s">
        <v>477</v>
      </c>
      <c r="I940" t="s">
        <v>477</v>
      </c>
      <c r="J940" t="s">
        <v>27</v>
      </c>
      <c r="K940">
        <f t="shared" si="168"/>
        <v>104.63999999999999</v>
      </c>
      <c r="L940">
        <f t="shared" si="169"/>
        <v>400.33339999999998</v>
      </c>
      <c r="M940" t="str">
        <f t="shared" si="170"/>
        <v>chad-13</v>
      </c>
      <c r="N940" t="str">
        <f>INDEX(Scores!$A$2:$A$11,INDEX(Scores!$AA$2:$AA$131,MATCH(C940,Scores!$AB$2:$AB$131,0)))</f>
        <v>chad</v>
      </c>
      <c r="O940">
        <f t="shared" si="171"/>
        <v>113.35</v>
      </c>
      <c r="P940">
        <f t="shared" si="172"/>
        <v>486.24799999999993</v>
      </c>
      <c r="Q940" s="3">
        <f t="shared" si="173"/>
        <v>0.3849436901786526</v>
      </c>
      <c r="R940" s="3">
        <f t="shared" si="174"/>
        <v>0.53144442881098719</v>
      </c>
      <c r="S940" s="9">
        <f t="shared" si="175"/>
        <v>0.14650073863233459</v>
      </c>
      <c r="T940">
        <f t="shared" si="176"/>
        <v>81</v>
      </c>
      <c r="U940">
        <f t="shared" si="177"/>
        <v>95</v>
      </c>
      <c r="V940" s="3">
        <f t="shared" si="178"/>
        <v>2.5023811101169188E-4</v>
      </c>
      <c r="W940" s="9">
        <f t="shared" si="179"/>
        <v>-2.5023811101169188E-4</v>
      </c>
      <c r="AC940"/>
    </row>
    <row r="941" spans="1:29" x14ac:dyDescent="0.25">
      <c r="A941" t="s">
        <v>100</v>
      </c>
      <c r="B941">
        <v>13</v>
      </c>
      <c r="C941" t="s">
        <v>967</v>
      </c>
      <c r="D941" t="s">
        <v>473</v>
      </c>
      <c r="E941">
        <v>3</v>
      </c>
      <c r="F941">
        <v>10.62</v>
      </c>
      <c r="G941">
        <v>57.456400000000002</v>
      </c>
      <c r="H941" t="s">
        <v>87</v>
      </c>
      <c r="I941" t="s">
        <v>87</v>
      </c>
      <c r="J941" t="s">
        <v>23</v>
      </c>
      <c r="K941">
        <f t="shared" si="168"/>
        <v>108.77</v>
      </c>
      <c r="L941">
        <f t="shared" si="169"/>
        <v>411.30060000000003</v>
      </c>
      <c r="M941" t="str">
        <f t="shared" si="170"/>
        <v>devon-13</v>
      </c>
      <c r="N941" t="str">
        <f>INDEX(Scores!$A$2:$A$11,INDEX(Scores!$AA$2:$AA$131,MATCH(C941,Scores!$AB$2:$AB$131,0)))</f>
        <v>devon</v>
      </c>
      <c r="O941">
        <f t="shared" si="171"/>
        <v>97.46</v>
      </c>
      <c r="P941">
        <f t="shared" si="172"/>
        <v>368.81949999999995</v>
      </c>
      <c r="Q941" s="3">
        <f t="shared" si="173"/>
        <v>0.6572361742103181</v>
      </c>
      <c r="R941" s="3">
        <f t="shared" si="174"/>
        <v>0.55458913685411582</v>
      </c>
      <c r="S941" s="9">
        <f t="shared" si="175"/>
        <v>-0.10264703735620229</v>
      </c>
      <c r="T941">
        <f t="shared" si="176"/>
        <v>99</v>
      </c>
      <c r="U941">
        <f t="shared" si="177"/>
        <v>133</v>
      </c>
      <c r="V941" s="3">
        <f t="shared" si="178"/>
        <v>2.5050943934564498E-4</v>
      </c>
      <c r="W941" s="9">
        <f t="shared" si="179"/>
        <v>-2.5050943934564498E-4</v>
      </c>
      <c r="AC941"/>
    </row>
    <row r="942" spans="1:29" x14ac:dyDescent="0.25">
      <c r="A942" t="s">
        <v>165</v>
      </c>
      <c r="B942">
        <v>9</v>
      </c>
      <c r="C942" t="s">
        <v>923</v>
      </c>
      <c r="D942" t="s">
        <v>475</v>
      </c>
      <c r="E942">
        <v>7</v>
      </c>
      <c r="F942">
        <v>7.01</v>
      </c>
      <c r="G942">
        <v>30.0304</v>
      </c>
      <c r="H942" t="s">
        <v>114</v>
      </c>
      <c r="I942" t="s">
        <v>114</v>
      </c>
      <c r="J942" t="s">
        <v>55</v>
      </c>
      <c r="K942">
        <f t="shared" si="168"/>
        <v>102.03999999999999</v>
      </c>
      <c r="L942">
        <f t="shared" si="169"/>
        <v>392.2131</v>
      </c>
      <c r="M942" t="str">
        <f t="shared" si="170"/>
        <v>perry-9</v>
      </c>
      <c r="N942" t="str">
        <f>INDEX(Scores!$A$2:$A$11,INDEX(Scores!$AA$2:$AA$131,MATCH(C942,Scores!$AB$2:$AB$131,0)))</f>
        <v>perry</v>
      </c>
      <c r="O942">
        <f t="shared" si="171"/>
        <v>98.35</v>
      </c>
      <c r="P942">
        <f t="shared" si="172"/>
        <v>385.97739999999999</v>
      </c>
      <c r="Q942" s="3">
        <f t="shared" si="173"/>
        <v>0.5526172882097643</v>
      </c>
      <c r="R942" s="3">
        <f t="shared" si="174"/>
        <v>0.55351210109453319</v>
      </c>
      <c r="S942" s="9">
        <f t="shared" si="175"/>
        <v>8.9481288476889187E-4</v>
      </c>
      <c r="T942">
        <f t="shared" si="176"/>
        <v>86</v>
      </c>
      <c r="U942">
        <f t="shared" si="177"/>
        <v>105</v>
      </c>
      <c r="V942" s="3">
        <f t="shared" si="178"/>
        <v>2.6479211900529636E-4</v>
      </c>
      <c r="W942" s="9">
        <f t="shared" si="179"/>
        <v>-2.6479211900529636E-4</v>
      </c>
      <c r="AC942"/>
    </row>
    <row r="943" spans="1:29" x14ac:dyDescent="0.25">
      <c r="A943" t="s">
        <v>80</v>
      </c>
      <c r="B943">
        <v>8</v>
      </c>
      <c r="C943" t="s">
        <v>962</v>
      </c>
      <c r="D943" t="s">
        <v>467</v>
      </c>
      <c r="E943">
        <v>16</v>
      </c>
      <c r="F943">
        <v>24.86</v>
      </c>
      <c r="G943">
        <v>57.153599999999997</v>
      </c>
      <c r="H943" t="s">
        <v>15</v>
      </c>
      <c r="I943" t="s">
        <v>15</v>
      </c>
      <c r="J943" t="s">
        <v>23</v>
      </c>
      <c r="K943">
        <f t="shared" si="168"/>
        <v>115.82</v>
      </c>
      <c r="L943">
        <f t="shared" si="169"/>
        <v>434.36700000000002</v>
      </c>
      <c r="M943" t="str">
        <f t="shared" si="170"/>
        <v>comp-8</v>
      </c>
      <c r="N943" t="str">
        <f>INDEX(Scores!$A$2:$A$11,INDEX(Scores!$AA$2:$AA$131,MATCH(C943,Scores!$AB$2:$AB$131,0)))</f>
        <v>comp</v>
      </c>
      <c r="O943">
        <f t="shared" si="171"/>
        <v>100.87</v>
      </c>
      <c r="P943">
        <f t="shared" si="172"/>
        <v>421.5641</v>
      </c>
      <c r="Q943" s="3">
        <f t="shared" si="173"/>
        <v>0.69532483792586408</v>
      </c>
      <c r="R943" s="3">
        <f t="shared" si="174"/>
        <v>0.58530294815396622</v>
      </c>
      <c r="S943" s="9">
        <f t="shared" si="175"/>
        <v>-0.11002188977189786</v>
      </c>
      <c r="T943">
        <f t="shared" si="176"/>
        <v>80</v>
      </c>
      <c r="U943">
        <f t="shared" si="177"/>
        <v>115</v>
      </c>
      <c r="V943" s="3">
        <f t="shared" si="178"/>
        <v>2.7243219773734795E-4</v>
      </c>
      <c r="W943" s="9">
        <f t="shared" si="179"/>
        <v>-2.7243219773734795E-4</v>
      </c>
      <c r="AC943"/>
    </row>
    <row r="944" spans="1:29" x14ac:dyDescent="0.25">
      <c r="A944" t="s">
        <v>320</v>
      </c>
      <c r="B944">
        <v>10</v>
      </c>
      <c r="C944" t="s">
        <v>916</v>
      </c>
      <c r="D944" t="s">
        <v>466</v>
      </c>
      <c r="E944">
        <v>5</v>
      </c>
      <c r="F944">
        <v>5.0599999999999996</v>
      </c>
      <c r="G944">
        <v>18.748899999999999</v>
      </c>
      <c r="H944" t="s">
        <v>466</v>
      </c>
      <c r="I944" t="s">
        <v>47</v>
      </c>
      <c r="J944" t="s">
        <v>16</v>
      </c>
      <c r="K944">
        <f t="shared" si="168"/>
        <v>93.17</v>
      </c>
      <c r="L944">
        <f t="shared" si="169"/>
        <v>328.34589999999997</v>
      </c>
      <c r="M944" t="str">
        <f t="shared" si="170"/>
        <v>perry-10</v>
      </c>
      <c r="N944" t="str">
        <f>INDEX(Scores!$A$2:$A$11,INDEX(Scores!$AA$2:$AA$131,MATCH(C944,Scores!$AB$2:$AB$131,0)))</f>
        <v>perry</v>
      </c>
      <c r="O944">
        <f t="shared" si="171"/>
        <v>103.49</v>
      </c>
      <c r="P944">
        <f t="shared" si="172"/>
        <v>345.28400000000005</v>
      </c>
      <c r="Q944" s="3">
        <f t="shared" si="173"/>
        <v>0.34545488835543114</v>
      </c>
      <c r="R944" s="3">
        <f t="shared" si="174"/>
        <v>0.3425120146525743</v>
      </c>
      <c r="S944" s="9">
        <f t="shared" si="175"/>
        <v>-2.9428737028568408E-3</v>
      </c>
      <c r="T944">
        <f t="shared" si="176"/>
        <v>91</v>
      </c>
      <c r="U944">
        <f t="shared" si="177"/>
        <v>106</v>
      </c>
      <c r="V944" s="3">
        <f t="shared" si="178"/>
        <v>2.7993380993245477E-4</v>
      </c>
      <c r="W944" s="9">
        <f t="shared" si="179"/>
        <v>-2.7993380993245477E-4</v>
      </c>
      <c r="AC944"/>
    </row>
    <row r="945" spans="1:29" x14ac:dyDescent="0.25">
      <c r="A945" t="s">
        <v>115</v>
      </c>
      <c r="B945">
        <v>6</v>
      </c>
      <c r="C945" t="s">
        <v>904</v>
      </c>
      <c r="D945" t="s">
        <v>469</v>
      </c>
      <c r="E945">
        <v>10</v>
      </c>
      <c r="F945">
        <v>16.07</v>
      </c>
      <c r="G945">
        <v>65.61</v>
      </c>
      <c r="H945" t="s">
        <v>47</v>
      </c>
      <c r="I945" t="s">
        <v>47</v>
      </c>
      <c r="J945" t="s">
        <v>20</v>
      </c>
      <c r="K945">
        <f t="shared" si="168"/>
        <v>110.30999999999999</v>
      </c>
      <c r="L945">
        <f t="shared" si="169"/>
        <v>388.52729999999997</v>
      </c>
      <c r="M945" t="str">
        <f t="shared" si="170"/>
        <v>seth-6</v>
      </c>
      <c r="N945" t="str">
        <f>INDEX(Scores!$A$2:$A$11,INDEX(Scores!$AA$2:$AA$131,MATCH(C945,Scores!$AB$2:$AB$131,0)))</f>
        <v>seth</v>
      </c>
      <c r="O945">
        <f t="shared" si="171"/>
        <v>90.009999999999991</v>
      </c>
      <c r="P945">
        <f t="shared" si="172"/>
        <v>295.93350000000004</v>
      </c>
      <c r="Q945" s="3">
        <f t="shared" si="173"/>
        <v>0.78110442116748435</v>
      </c>
      <c r="R945" s="3">
        <f t="shared" si="174"/>
        <v>0.7163461032953139</v>
      </c>
      <c r="S945" s="9">
        <f t="shared" si="175"/>
        <v>-6.4758317872170457E-2</v>
      </c>
      <c r="T945">
        <f t="shared" si="176"/>
        <v>96</v>
      </c>
      <c r="U945">
        <f t="shared" si="177"/>
        <v>130</v>
      </c>
      <c r="V945" s="3">
        <f t="shared" si="178"/>
        <v>2.8222217404950126E-4</v>
      </c>
      <c r="W945" s="9">
        <f t="shared" si="179"/>
        <v>-2.8222217404950126E-4</v>
      </c>
      <c r="AC945"/>
    </row>
    <row r="946" spans="1:29" x14ac:dyDescent="0.25">
      <c r="A946" t="s">
        <v>143</v>
      </c>
      <c r="B946">
        <v>4</v>
      </c>
      <c r="C946" t="s">
        <v>857</v>
      </c>
      <c r="D946" t="s">
        <v>471</v>
      </c>
      <c r="E946">
        <v>13</v>
      </c>
      <c r="F946">
        <v>8.18</v>
      </c>
      <c r="G946">
        <v>23.814399999999999</v>
      </c>
      <c r="H946" t="s">
        <v>87</v>
      </c>
      <c r="I946" t="s">
        <v>87</v>
      </c>
      <c r="J946" t="s">
        <v>44</v>
      </c>
      <c r="K946">
        <f t="shared" si="168"/>
        <v>104.32</v>
      </c>
      <c r="L946">
        <f t="shared" si="169"/>
        <v>390.96559999999999</v>
      </c>
      <c r="M946" t="str">
        <f t="shared" si="170"/>
        <v>chad-4</v>
      </c>
      <c r="N946" t="str">
        <f>INDEX(Scores!$A$2:$A$11,INDEX(Scores!$AA$2:$AA$131,MATCH(C946,Scores!$AB$2:$AB$131,0)))</f>
        <v>chad</v>
      </c>
      <c r="O946">
        <f t="shared" si="171"/>
        <v>99.8</v>
      </c>
      <c r="P946">
        <f t="shared" si="172"/>
        <v>351.46400000000006</v>
      </c>
      <c r="Q946" s="3">
        <f t="shared" si="173"/>
        <v>0.56587682676878348</v>
      </c>
      <c r="R946" s="3">
        <f t="shared" si="174"/>
        <v>0.63623628248253294</v>
      </c>
      <c r="S946" s="9">
        <f t="shared" si="175"/>
        <v>7.0359455713749464E-2</v>
      </c>
      <c r="T946">
        <f t="shared" si="176"/>
        <v>111</v>
      </c>
      <c r="U946">
        <f t="shared" si="177"/>
        <v>123</v>
      </c>
      <c r="V946" s="3">
        <f t="shared" si="178"/>
        <v>2.8371679770233051E-4</v>
      </c>
      <c r="W946" s="9">
        <f t="shared" si="179"/>
        <v>-2.8371679770233051E-4</v>
      </c>
      <c r="AC946"/>
    </row>
    <row r="947" spans="1:29" x14ac:dyDescent="0.25">
      <c r="A947" t="s">
        <v>140</v>
      </c>
      <c r="B947">
        <v>9</v>
      </c>
      <c r="C947" t="s">
        <v>923</v>
      </c>
      <c r="D947" t="s">
        <v>471</v>
      </c>
      <c r="E947">
        <v>7</v>
      </c>
      <c r="F947">
        <v>8.7200000000000006</v>
      </c>
      <c r="G947">
        <v>25.200399999999998</v>
      </c>
      <c r="H947" t="s">
        <v>87</v>
      </c>
      <c r="I947" t="s">
        <v>87</v>
      </c>
      <c r="J947" t="s">
        <v>55</v>
      </c>
      <c r="K947">
        <f t="shared" si="168"/>
        <v>102.03999999999999</v>
      </c>
      <c r="L947">
        <f t="shared" si="169"/>
        <v>392.2131</v>
      </c>
      <c r="M947" t="str">
        <f t="shared" si="170"/>
        <v>perry-9</v>
      </c>
      <c r="N947" t="str">
        <f>INDEX(Scores!$A$2:$A$11,INDEX(Scores!$AA$2:$AA$131,MATCH(C947,Scores!$AB$2:$AB$131,0)))</f>
        <v>perry</v>
      </c>
      <c r="O947">
        <f t="shared" si="171"/>
        <v>98.35</v>
      </c>
      <c r="P947">
        <f t="shared" si="172"/>
        <v>385.97739999999999</v>
      </c>
      <c r="Q947" s="3">
        <f t="shared" si="173"/>
        <v>0.5526172882097643</v>
      </c>
      <c r="R947" s="3">
        <f t="shared" si="174"/>
        <v>0.52861598694969936</v>
      </c>
      <c r="S947" s="9">
        <f t="shared" si="175"/>
        <v>-2.4001301260064944E-2</v>
      </c>
      <c r="T947">
        <f t="shared" si="176"/>
        <v>86</v>
      </c>
      <c r="U947">
        <f t="shared" si="177"/>
        <v>105</v>
      </c>
      <c r="V947" s="3">
        <f t="shared" si="178"/>
        <v>2.8846859517135329E-4</v>
      </c>
      <c r="W947" s="9">
        <f t="shared" si="179"/>
        <v>-2.8846859517135329E-4</v>
      </c>
      <c r="AC947"/>
    </row>
    <row r="948" spans="1:29" x14ac:dyDescent="0.25">
      <c r="A948" t="s">
        <v>98</v>
      </c>
      <c r="B948">
        <v>11</v>
      </c>
      <c r="C948" t="s">
        <v>981</v>
      </c>
      <c r="D948" t="s">
        <v>471</v>
      </c>
      <c r="E948">
        <v>2</v>
      </c>
      <c r="F948">
        <v>6.84</v>
      </c>
      <c r="G948">
        <v>19.5364</v>
      </c>
      <c r="H948" t="s">
        <v>87</v>
      </c>
      <c r="I948" t="s">
        <v>87</v>
      </c>
      <c r="J948" t="s">
        <v>44</v>
      </c>
      <c r="K948">
        <f t="shared" si="168"/>
        <v>98.329999999999984</v>
      </c>
      <c r="L948">
        <f t="shared" si="169"/>
        <v>378.70709999999997</v>
      </c>
      <c r="M948" t="str">
        <f t="shared" si="170"/>
        <v>aj-11</v>
      </c>
      <c r="N948" t="str">
        <f>INDEX(Scores!$A$2:$A$11,INDEX(Scores!$AA$2:$AA$131,MATCH(C948,Scores!$AB$2:$AB$131,0)))</f>
        <v>aj</v>
      </c>
      <c r="O948">
        <f t="shared" si="171"/>
        <v>110.11</v>
      </c>
      <c r="P948">
        <f t="shared" si="172"/>
        <v>412.79880000000003</v>
      </c>
      <c r="Q948" s="3">
        <f t="shared" si="173"/>
        <v>0.33771232413612995</v>
      </c>
      <c r="R948" s="3">
        <f t="shared" si="174"/>
        <v>0.27486034932719849</v>
      </c>
      <c r="S948" s="9">
        <f t="shared" si="175"/>
        <v>-6.2851974808931454E-2</v>
      </c>
      <c r="T948">
        <f t="shared" si="176"/>
        <v>111</v>
      </c>
      <c r="U948">
        <f t="shared" si="177"/>
        <v>131</v>
      </c>
      <c r="V948" s="3">
        <f t="shared" si="178"/>
        <v>3.0194164117114663E-4</v>
      </c>
      <c r="W948" s="9">
        <f t="shared" si="179"/>
        <v>-3.0194164117114663E-4</v>
      </c>
      <c r="AC948"/>
    </row>
    <row r="949" spans="1:29" x14ac:dyDescent="0.25">
      <c r="A949" t="s">
        <v>278</v>
      </c>
      <c r="B949">
        <v>9</v>
      </c>
      <c r="C949" t="s">
        <v>923</v>
      </c>
      <c r="D949" t="s">
        <v>469</v>
      </c>
      <c r="E949">
        <v>7</v>
      </c>
      <c r="F949">
        <v>6.9</v>
      </c>
      <c r="G949">
        <v>31.024899999999999</v>
      </c>
      <c r="H949" t="s">
        <v>47</v>
      </c>
      <c r="I949" t="s">
        <v>47</v>
      </c>
      <c r="J949" t="s">
        <v>55</v>
      </c>
      <c r="K949">
        <f t="shared" si="168"/>
        <v>102.03999999999999</v>
      </c>
      <c r="L949">
        <f t="shared" si="169"/>
        <v>392.2131</v>
      </c>
      <c r="M949" t="str">
        <f t="shared" si="170"/>
        <v>perry-9</v>
      </c>
      <c r="N949" t="str">
        <f>INDEX(Scores!$A$2:$A$11,INDEX(Scores!$AA$2:$AA$131,MATCH(C949,Scores!$AB$2:$AB$131,0)))</f>
        <v>perry</v>
      </c>
      <c r="O949">
        <f t="shared" si="171"/>
        <v>98.35</v>
      </c>
      <c r="P949">
        <f t="shared" si="172"/>
        <v>385.97739999999999</v>
      </c>
      <c r="Q949" s="3">
        <f t="shared" si="173"/>
        <v>0.5526172882097643</v>
      </c>
      <c r="R949" s="3">
        <f t="shared" si="174"/>
        <v>0.5551380099461769</v>
      </c>
      <c r="S949" s="9">
        <f t="shared" si="175"/>
        <v>2.5207217364126011E-3</v>
      </c>
      <c r="T949">
        <f t="shared" si="176"/>
        <v>86</v>
      </c>
      <c r="U949">
        <f t="shared" si="177"/>
        <v>105</v>
      </c>
      <c r="V949" s="3">
        <f t="shared" si="178"/>
        <v>3.0281060437474712E-4</v>
      </c>
      <c r="W949" s="9">
        <f t="shared" si="179"/>
        <v>-3.0281060437474712E-4</v>
      </c>
      <c r="AC949"/>
    </row>
    <row r="950" spans="1:29" x14ac:dyDescent="0.25">
      <c r="A950" t="s">
        <v>191</v>
      </c>
      <c r="B950">
        <v>10</v>
      </c>
      <c r="C950" t="s">
        <v>956</v>
      </c>
      <c r="D950" t="s">
        <v>471</v>
      </c>
      <c r="E950">
        <v>22</v>
      </c>
      <c r="F950">
        <v>8.8699999999999992</v>
      </c>
      <c r="G950">
        <v>31.472100000000001</v>
      </c>
      <c r="H950" t="s">
        <v>87</v>
      </c>
      <c r="I950" t="s">
        <v>87</v>
      </c>
      <c r="J950" t="s">
        <v>40</v>
      </c>
      <c r="K950">
        <f t="shared" si="168"/>
        <v>97.83</v>
      </c>
      <c r="L950">
        <f t="shared" si="169"/>
        <v>370.18310000000002</v>
      </c>
      <c r="M950" t="e">
        <f t="shared" si="170"/>
        <v>#N/A</v>
      </c>
      <c r="N950" t="e">
        <f>INDEX(Scores!$A$2:$A$11,INDEX(Scores!$AA$2:$AA$131,MATCH(C950,Scores!$AB$2:$AB$131,0)))</f>
        <v>#N/A</v>
      </c>
      <c r="O950">
        <f t="shared" si="171"/>
        <v>0</v>
      </c>
      <c r="P950">
        <f t="shared" si="172"/>
        <v>0</v>
      </c>
      <c r="Q950" s="3">
        <f t="shared" si="173"/>
        <v>0.99999981587831821</v>
      </c>
      <c r="R950" s="3">
        <f t="shared" si="174"/>
        <v>0.99999999917557492</v>
      </c>
      <c r="S950" s="9">
        <f t="shared" si="175"/>
        <v>1.8329725670618302E-7</v>
      </c>
      <c r="T950">
        <f t="shared" si="176"/>
        <v>91</v>
      </c>
      <c r="U950">
        <f t="shared" si="177"/>
        <v>0</v>
      </c>
      <c r="V950" s="3">
        <f t="shared" si="178"/>
        <v>1</v>
      </c>
      <c r="W950" s="9">
        <f t="shared" si="179"/>
        <v>0</v>
      </c>
      <c r="AC950"/>
    </row>
    <row r="951" spans="1:29" x14ac:dyDescent="0.25">
      <c r="A951" t="s">
        <v>156</v>
      </c>
      <c r="B951">
        <v>6</v>
      </c>
      <c r="C951" t="s">
        <v>944</v>
      </c>
      <c r="D951" t="s">
        <v>473</v>
      </c>
      <c r="E951">
        <v>2</v>
      </c>
      <c r="F951">
        <v>5.98</v>
      </c>
      <c r="G951">
        <v>22.467600000000001</v>
      </c>
      <c r="H951" t="s">
        <v>87</v>
      </c>
      <c r="I951" t="s">
        <v>87</v>
      </c>
      <c r="J951" t="s">
        <v>62</v>
      </c>
      <c r="K951">
        <f t="shared" si="168"/>
        <v>96.66</v>
      </c>
      <c r="L951">
        <f t="shared" si="169"/>
        <v>373.87420000000003</v>
      </c>
      <c r="M951" t="str">
        <f t="shared" si="170"/>
        <v>lucas-6</v>
      </c>
      <c r="N951" t="str">
        <f>INDEX(Scores!$A$2:$A$11,INDEX(Scores!$AA$2:$AA$131,MATCH(C951,Scores!$AB$2:$AB$131,0)))</f>
        <v>lucas</v>
      </c>
      <c r="O951">
        <f t="shared" si="171"/>
        <v>0</v>
      </c>
      <c r="P951">
        <f t="shared" si="172"/>
        <v>0</v>
      </c>
      <c r="Q951" s="3">
        <f t="shared" si="173"/>
        <v>0.99999971187356196</v>
      </c>
      <c r="R951" s="3">
        <f t="shared" si="174"/>
        <v>0.99999961737974752</v>
      </c>
      <c r="S951" s="9">
        <f t="shared" si="175"/>
        <v>-9.4493814439822188E-8</v>
      </c>
      <c r="T951">
        <f t="shared" si="176"/>
        <v>79</v>
      </c>
      <c r="U951">
        <f t="shared" si="177"/>
        <v>0</v>
      </c>
      <c r="V951" s="3">
        <f t="shared" si="178"/>
        <v>1</v>
      </c>
      <c r="W951" s="9">
        <f t="shared" si="179"/>
        <v>0</v>
      </c>
      <c r="AC951"/>
    </row>
    <row r="952" spans="1:29" x14ac:dyDescent="0.25">
      <c r="A952" t="s">
        <v>444</v>
      </c>
      <c r="B952">
        <v>4</v>
      </c>
      <c r="C952" t="s">
        <v>861</v>
      </c>
      <c r="D952" t="s">
        <v>478</v>
      </c>
      <c r="E952">
        <v>5</v>
      </c>
      <c r="F952">
        <v>7.53</v>
      </c>
      <c r="G952">
        <v>15.9201</v>
      </c>
      <c r="H952" t="s">
        <v>478</v>
      </c>
      <c r="I952" t="s">
        <v>478</v>
      </c>
      <c r="J952" t="s">
        <v>20</v>
      </c>
      <c r="K952">
        <f t="shared" si="168"/>
        <v>113.07</v>
      </c>
      <c r="L952">
        <f t="shared" si="169"/>
        <v>452.41279999999995</v>
      </c>
      <c r="M952" t="str">
        <f t="shared" si="170"/>
        <v>cory-4</v>
      </c>
      <c r="N952" t="str">
        <f>INDEX(Scores!$A$2:$A$11,INDEX(Scores!$AA$2:$AA$131,MATCH(C952,Scores!$AB$2:$AB$131,0)))</f>
        <v>cory</v>
      </c>
      <c r="O952">
        <f t="shared" si="171"/>
        <v>115.58999999999999</v>
      </c>
      <c r="P952">
        <f t="shared" si="172"/>
        <v>432.42160000000007</v>
      </c>
      <c r="Q952" s="3">
        <f t="shared" si="173"/>
        <v>0.46624326985872333</v>
      </c>
      <c r="R952" s="3">
        <f t="shared" si="174"/>
        <v>0.43198687781180234</v>
      </c>
      <c r="S952" s="9">
        <f t="shared" si="175"/>
        <v>-3.4256392046920991E-2</v>
      </c>
      <c r="T952">
        <f t="shared" si="176"/>
        <v>88</v>
      </c>
      <c r="U952">
        <f t="shared" si="177"/>
        <v>104</v>
      </c>
      <c r="V952" s="3">
        <f t="shared" si="178"/>
        <v>3.6782000134818761E-4</v>
      </c>
      <c r="W952" s="9">
        <f t="shared" si="179"/>
        <v>-3.6782000134818761E-4</v>
      </c>
      <c r="AC952"/>
    </row>
    <row r="953" spans="1:29" x14ac:dyDescent="0.25">
      <c r="A953" t="s">
        <v>120</v>
      </c>
      <c r="B953">
        <v>9</v>
      </c>
      <c r="C953" t="s">
        <v>939</v>
      </c>
      <c r="D953" t="s">
        <v>471</v>
      </c>
      <c r="E953">
        <v>14</v>
      </c>
      <c r="F953">
        <v>10.87</v>
      </c>
      <c r="G953">
        <v>39.187600000000003</v>
      </c>
      <c r="H953" t="s">
        <v>87</v>
      </c>
      <c r="I953" t="s">
        <v>87</v>
      </c>
      <c r="J953" t="s">
        <v>27</v>
      </c>
      <c r="K953">
        <f t="shared" si="168"/>
        <v>80.800000000000011</v>
      </c>
      <c r="L953">
        <f t="shared" si="169"/>
        <v>290.44450000000001</v>
      </c>
      <c r="M953" t="str">
        <f t="shared" si="170"/>
        <v>seth-9</v>
      </c>
      <c r="N953" t="str">
        <f>INDEX(Scores!$A$2:$A$11,INDEX(Scores!$AA$2:$AA$131,MATCH(C953,Scores!$AB$2:$AB$131,0)))</f>
        <v>seth</v>
      </c>
      <c r="O953">
        <f t="shared" si="171"/>
        <v>92.559999999999988</v>
      </c>
      <c r="P953">
        <f t="shared" si="172"/>
        <v>350.31569999999999</v>
      </c>
      <c r="Q953" s="3">
        <f t="shared" si="173"/>
        <v>0.32111649346340621</v>
      </c>
      <c r="R953" s="3">
        <f t="shared" si="174"/>
        <v>0.36247257910057895</v>
      </c>
      <c r="S953" s="9">
        <f t="shared" si="175"/>
        <v>4.1356085637172746E-2</v>
      </c>
      <c r="T953">
        <f t="shared" si="176"/>
        <v>77</v>
      </c>
      <c r="U953">
        <f t="shared" si="177"/>
        <v>95</v>
      </c>
      <c r="V953" s="3">
        <f t="shared" si="178"/>
        <v>3.6854322446889268E-4</v>
      </c>
      <c r="W953" s="9">
        <f t="shared" si="179"/>
        <v>-3.6854322446889268E-4</v>
      </c>
      <c r="AC953"/>
    </row>
    <row r="954" spans="1:29" x14ac:dyDescent="0.25">
      <c r="A954" t="s">
        <v>81</v>
      </c>
      <c r="B954">
        <v>3</v>
      </c>
      <c r="C954" t="s">
        <v>804</v>
      </c>
      <c r="D954" t="s">
        <v>468</v>
      </c>
      <c r="E954">
        <v>6</v>
      </c>
      <c r="F954">
        <v>13.68</v>
      </c>
      <c r="G954">
        <v>66.422499999999999</v>
      </c>
      <c r="H954" t="s">
        <v>47</v>
      </c>
      <c r="I954" t="s">
        <v>47</v>
      </c>
      <c r="J954" t="s">
        <v>40</v>
      </c>
      <c r="K954">
        <f t="shared" si="168"/>
        <v>99.87</v>
      </c>
      <c r="L954">
        <f t="shared" si="169"/>
        <v>418.53290000000004</v>
      </c>
      <c r="M954" t="e">
        <f t="shared" si="170"/>
        <v>#N/A</v>
      </c>
      <c r="N954" t="e">
        <f>INDEX(Scores!$A$2:$A$11,INDEX(Scores!$AA$2:$AA$131,MATCH(C954,Scores!$AB$2:$AB$131,0)))</f>
        <v>#N/A</v>
      </c>
      <c r="O954">
        <f t="shared" si="171"/>
        <v>0</v>
      </c>
      <c r="P954">
        <f t="shared" si="172"/>
        <v>0</v>
      </c>
      <c r="Q954" s="3">
        <f t="shared" si="173"/>
        <v>0.99999947409897594</v>
      </c>
      <c r="R954" s="3">
        <f t="shared" si="174"/>
        <v>0.99999955147211927</v>
      </c>
      <c r="S954" s="9">
        <f t="shared" si="175"/>
        <v>7.7373143336778583E-8</v>
      </c>
      <c r="T954">
        <f t="shared" si="176"/>
        <v>53</v>
      </c>
      <c r="U954">
        <f t="shared" si="177"/>
        <v>0</v>
      </c>
      <c r="V954" s="3">
        <f t="shared" si="178"/>
        <v>0.99999999999995171</v>
      </c>
      <c r="W954" s="9">
        <f t="shared" si="179"/>
        <v>4.829470157119431E-14</v>
      </c>
      <c r="AC954"/>
    </row>
    <row r="955" spans="1:29" x14ac:dyDescent="0.25">
      <c r="A955" t="s">
        <v>90</v>
      </c>
      <c r="B955">
        <v>6</v>
      </c>
      <c r="C955" t="s">
        <v>904</v>
      </c>
      <c r="D955" t="s">
        <v>468</v>
      </c>
      <c r="E955">
        <v>7</v>
      </c>
      <c r="F955">
        <v>15.83</v>
      </c>
      <c r="G955">
        <v>57.456400000000002</v>
      </c>
      <c r="H955" t="s">
        <v>47</v>
      </c>
      <c r="I955" t="s">
        <v>47</v>
      </c>
      <c r="J955" t="s">
        <v>20</v>
      </c>
      <c r="K955">
        <f t="shared" si="168"/>
        <v>110.30999999999999</v>
      </c>
      <c r="L955">
        <f t="shared" si="169"/>
        <v>388.52729999999997</v>
      </c>
      <c r="M955" t="str">
        <f t="shared" si="170"/>
        <v>seth-6</v>
      </c>
      <c r="N955" t="str">
        <f>INDEX(Scores!$A$2:$A$11,INDEX(Scores!$AA$2:$AA$131,MATCH(C955,Scores!$AB$2:$AB$131,0)))</f>
        <v>seth</v>
      </c>
      <c r="O955">
        <f t="shared" si="171"/>
        <v>90.009999999999991</v>
      </c>
      <c r="P955">
        <f t="shared" si="172"/>
        <v>295.93350000000004</v>
      </c>
      <c r="Q955" s="3">
        <f t="shared" si="173"/>
        <v>0.78110442116748435</v>
      </c>
      <c r="R955" s="3">
        <f t="shared" si="174"/>
        <v>0.67654751261588997</v>
      </c>
      <c r="S955" s="9">
        <f t="shared" si="175"/>
        <v>-0.10455690855159439</v>
      </c>
      <c r="T955">
        <f t="shared" si="176"/>
        <v>96</v>
      </c>
      <c r="U955">
        <f t="shared" si="177"/>
        <v>130</v>
      </c>
      <c r="V955" s="3">
        <f t="shared" si="178"/>
        <v>4.4915228421168281E-4</v>
      </c>
      <c r="W955" s="9">
        <f t="shared" si="179"/>
        <v>-4.4915228421168281E-4</v>
      </c>
      <c r="AC955"/>
    </row>
    <row r="956" spans="1:29" x14ac:dyDescent="0.25">
      <c r="A956" t="s">
        <v>100</v>
      </c>
      <c r="B956">
        <v>6</v>
      </c>
      <c r="C956" t="s">
        <v>944</v>
      </c>
      <c r="D956" t="s">
        <v>471</v>
      </c>
      <c r="E956">
        <v>15</v>
      </c>
      <c r="F956">
        <v>11.71</v>
      </c>
      <c r="G956">
        <v>49.561599999999999</v>
      </c>
      <c r="H956" t="s">
        <v>87</v>
      </c>
      <c r="I956" t="s">
        <v>87</v>
      </c>
      <c r="J956" t="s">
        <v>62</v>
      </c>
      <c r="K956">
        <f t="shared" si="168"/>
        <v>96.66</v>
      </c>
      <c r="L956">
        <f t="shared" si="169"/>
        <v>373.87420000000003</v>
      </c>
      <c r="M956" t="str">
        <f t="shared" si="170"/>
        <v>lucas-6</v>
      </c>
      <c r="N956" t="str">
        <f>INDEX(Scores!$A$2:$A$11,INDEX(Scores!$AA$2:$AA$131,MATCH(C956,Scores!$AB$2:$AB$131,0)))</f>
        <v>lucas</v>
      </c>
      <c r="O956">
        <f t="shared" si="171"/>
        <v>0</v>
      </c>
      <c r="P956">
        <f t="shared" si="172"/>
        <v>0</v>
      </c>
      <c r="Q956" s="3">
        <f t="shared" si="173"/>
        <v>0.99999971187356196</v>
      </c>
      <c r="R956" s="3">
        <f t="shared" si="174"/>
        <v>0.99999998572477078</v>
      </c>
      <c r="S956" s="9">
        <f t="shared" si="175"/>
        <v>2.7385120882073011E-7</v>
      </c>
      <c r="T956">
        <f t="shared" si="176"/>
        <v>79</v>
      </c>
      <c r="U956">
        <f t="shared" si="177"/>
        <v>0</v>
      </c>
      <c r="V956" s="3">
        <f t="shared" si="178"/>
        <v>1</v>
      </c>
      <c r="W956" s="9">
        <f t="shared" si="179"/>
        <v>0</v>
      </c>
      <c r="AC956"/>
    </row>
    <row r="957" spans="1:29" x14ac:dyDescent="0.25">
      <c r="A957" t="s">
        <v>123</v>
      </c>
      <c r="B957">
        <v>9</v>
      </c>
      <c r="C957" t="s">
        <v>939</v>
      </c>
      <c r="D957" t="s">
        <v>468</v>
      </c>
      <c r="E957">
        <v>10</v>
      </c>
      <c r="F957">
        <v>9.1300000000000008</v>
      </c>
      <c r="G957">
        <v>32.604100000000003</v>
      </c>
      <c r="H957" t="s">
        <v>47</v>
      </c>
      <c r="I957" t="s">
        <v>47</v>
      </c>
      <c r="J957" t="s">
        <v>27</v>
      </c>
      <c r="K957">
        <f t="shared" si="168"/>
        <v>80.800000000000011</v>
      </c>
      <c r="L957">
        <f t="shared" si="169"/>
        <v>290.44450000000001</v>
      </c>
      <c r="M957" t="str">
        <f t="shared" si="170"/>
        <v>seth-9</v>
      </c>
      <c r="N957" t="str">
        <f>INDEX(Scores!$A$2:$A$11,INDEX(Scores!$AA$2:$AA$131,MATCH(C957,Scores!$AB$2:$AB$131,0)))</f>
        <v>seth</v>
      </c>
      <c r="O957">
        <f t="shared" si="171"/>
        <v>92.559999999999988</v>
      </c>
      <c r="P957">
        <f t="shared" si="172"/>
        <v>350.31569999999999</v>
      </c>
      <c r="Q957" s="3">
        <f t="shared" si="173"/>
        <v>0.32111649346340621</v>
      </c>
      <c r="R957" s="3">
        <f t="shared" si="174"/>
        <v>0.32939255012262125</v>
      </c>
      <c r="S957" s="9">
        <f t="shared" si="175"/>
        <v>8.2760566592150475E-3</v>
      </c>
      <c r="T957">
        <f t="shared" si="176"/>
        <v>77</v>
      </c>
      <c r="U957">
        <f t="shared" si="177"/>
        <v>95</v>
      </c>
      <c r="V957" s="3">
        <f t="shared" si="178"/>
        <v>4.7534214599371697E-4</v>
      </c>
      <c r="W957" s="9">
        <f t="shared" si="179"/>
        <v>-4.7534214599371697E-4</v>
      </c>
      <c r="AC957"/>
    </row>
    <row r="958" spans="1:29" x14ac:dyDescent="0.25">
      <c r="A958" t="s">
        <v>162</v>
      </c>
      <c r="B958">
        <v>13</v>
      </c>
      <c r="C958" t="s">
        <v>943</v>
      </c>
      <c r="D958" t="s">
        <v>475</v>
      </c>
      <c r="E958">
        <v>8</v>
      </c>
      <c r="F958">
        <v>7.58</v>
      </c>
      <c r="G958">
        <v>19.096900000000002</v>
      </c>
      <c r="H958" t="s">
        <v>114</v>
      </c>
      <c r="I958" t="s">
        <v>114</v>
      </c>
      <c r="J958" t="s">
        <v>27</v>
      </c>
      <c r="K958">
        <f t="shared" si="168"/>
        <v>104.63999999999999</v>
      </c>
      <c r="L958">
        <f t="shared" si="169"/>
        <v>400.33339999999998</v>
      </c>
      <c r="M958" t="str">
        <f t="shared" si="170"/>
        <v>chad-13</v>
      </c>
      <c r="N958" t="str">
        <f>INDEX(Scores!$A$2:$A$11,INDEX(Scores!$AA$2:$AA$131,MATCH(C958,Scores!$AB$2:$AB$131,0)))</f>
        <v>chad</v>
      </c>
      <c r="O958">
        <f t="shared" si="171"/>
        <v>113.35</v>
      </c>
      <c r="P958">
        <f t="shared" si="172"/>
        <v>486.24799999999993</v>
      </c>
      <c r="Q958" s="3">
        <f t="shared" si="173"/>
        <v>0.3849436901786526</v>
      </c>
      <c r="R958" s="3">
        <f t="shared" si="174"/>
        <v>0.38917706598203644</v>
      </c>
      <c r="S958" s="9">
        <f t="shared" si="175"/>
        <v>4.2333758033838431E-3</v>
      </c>
      <c r="T958">
        <f t="shared" si="176"/>
        <v>81</v>
      </c>
      <c r="U958">
        <f t="shared" si="177"/>
        <v>95</v>
      </c>
      <c r="V958" s="3">
        <f t="shared" si="178"/>
        <v>4.8381847178552537E-4</v>
      </c>
      <c r="W958" s="9">
        <f t="shared" si="179"/>
        <v>-4.8381847178552537E-4</v>
      </c>
      <c r="AC958"/>
    </row>
    <row r="959" spans="1:29" x14ac:dyDescent="0.25">
      <c r="A959" t="s">
        <v>456</v>
      </c>
      <c r="B959">
        <v>7</v>
      </c>
      <c r="C959" t="s">
        <v>969</v>
      </c>
      <c r="D959" t="s">
        <v>478</v>
      </c>
      <c r="E959">
        <v>3</v>
      </c>
      <c r="F959">
        <v>7.1</v>
      </c>
      <c r="G959">
        <v>15.444900000000001</v>
      </c>
      <c r="H959" t="s">
        <v>478</v>
      </c>
      <c r="I959" t="s">
        <v>478</v>
      </c>
      <c r="J959" t="s">
        <v>49</v>
      </c>
      <c r="K959">
        <f t="shared" si="168"/>
        <v>87.490000000000009</v>
      </c>
      <c r="L959">
        <f t="shared" si="169"/>
        <v>277.88929999999999</v>
      </c>
      <c r="M959" t="str">
        <f t="shared" si="170"/>
        <v>scott-7</v>
      </c>
      <c r="N959" t="str">
        <f>INDEX(Scores!$A$2:$A$11,INDEX(Scores!$AA$2:$AA$131,MATCH(C959,Scores!$AB$2:$AB$131,0)))</f>
        <v>scott</v>
      </c>
      <c r="O959">
        <f t="shared" si="171"/>
        <v>114.48000000000002</v>
      </c>
      <c r="P959">
        <f t="shared" si="172"/>
        <v>430.3667999999999</v>
      </c>
      <c r="Q959" s="3">
        <f t="shared" si="173"/>
        <v>0.15525251215631256</v>
      </c>
      <c r="R959" s="3">
        <f t="shared" si="174"/>
        <v>0.11876713147754202</v>
      </c>
      <c r="S959" s="9">
        <f t="shared" si="175"/>
        <v>-3.6485380678770538E-2</v>
      </c>
      <c r="T959">
        <f t="shared" si="176"/>
        <v>65</v>
      </c>
      <c r="U959">
        <f t="shared" si="177"/>
        <v>82</v>
      </c>
      <c r="V959" s="3">
        <f t="shared" si="178"/>
        <v>5.1455940544067793E-4</v>
      </c>
      <c r="W959" s="9">
        <f t="shared" si="179"/>
        <v>-5.1455940544067793E-4</v>
      </c>
      <c r="AC959"/>
    </row>
    <row r="960" spans="1:29" x14ac:dyDescent="0.25">
      <c r="A960" t="s">
        <v>111</v>
      </c>
      <c r="B960">
        <v>5</v>
      </c>
      <c r="C960" t="s">
        <v>883</v>
      </c>
      <c r="D960" t="s">
        <v>468</v>
      </c>
      <c r="E960">
        <v>30</v>
      </c>
      <c r="F960">
        <v>11.58</v>
      </c>
      <c r="G960">
        <v>50.979599999999998</v>
      </c>
      <c r="H960" t="s">
        <v>47</v>
      </c>
      <c r="I960" t="s">
        <v>47</v>
      </c>
      <c r="J960" t="s">
        <v>16</v>
      </c>
      <c r="K960">
        <f t="shared" si="168"/>
        <v>109.91</v>
      </c>
      <c r="L960">
        <f t="shared" si="169"/>
        <v>349.51409999999998</v>
      </c>
      <c r="M960" t="str">
        <f t="shared" si="170"/>
        <v>devon-5</v>
      </c>
      <c r="N960" t="str">
        <f>INDEX(Scores!$A$2:$A$11,INDEX(Scores!$AA$2:$AA$131,MATCH(C960,Scores!$AB$2:$AB$131,0)))</f>
        <v>devon</v>
      </c>
      <c r="O960">
        <f t="shared" si="171"/>
        <v>93.5</v>
      </c>
      <c r="P960">
        <f t="shared" si="172"/>
        <v>346.9006</v>
      </c>
      <c r="Q960" s="3">
        <f t="shared" si="173"/>
        <v>0.73297455800387123</v>
      </c>
      <c r="R960" s="3">
        <f t="shared" si="174"/>
        <v>0.91480746859804274</v>
      </c>
      <c r="S960" s="9">
        <f t="shared" si="175"/>
        <v>0.1818329105941715</v>
      </c>
      <c r="T960">
        <f t="shared" si="176"/>
        <v>100</v>
      </c>
      <c r="U960">
        <f t="shared" si="177"/>
        <v>105</v>
      </c>
      <c r="V960" s="3">
        <f t="shared" si="178"/>
        <v>5.1882933929523368E-4</v>
      </c>
      <c r="W960" s="9">
        <f t="shared" si="179"/>
        <v>-5.1882933929523368E-4</v>
      </c>
      <c r="AC960"/>
    </row>
    <row r="961" spans="1:29" x14ac:dyDescent="0.25">
      <c r="A961" t="s">
        <v>257</v>
      </c>
      <c r="B961">
        <v>6</v>
      </c>
      <c r="C961" t="s">
        <v>960</v>
      </c>
      <c r="D961" t="s">
        <v>469</v>
      </c>
      <c r="E961">
        <v>8</v>
      </c>
      <c r="F961">
        <v>7.64</v>
      </c>
      <c r="G961">
        <v>28.196100000000001</v>
      </c>
      <c r="H961" t="s">
        <v>47</v>
      </c>
      <c r="I961" t="s">
        <v>47</v>
      </c>
      <c r="J961" t="s">
        <v>23</v>
      </c>
      <c r="K961">
        <f t="shared" si="168"/>
        <v>88.72</v>
      </c>
      <c r="L961">
        <f t="shared" si="169"/>
        <v>407.6961</v>
      </c>
      <c r="M961" t="str">
        <f t="shared" si="170"/>
        <v>matty-6</v>
      </c>
      <c r="N961" t="str">
        <f>INDEX(Scores!$A$2:$A$11,INDEX(Scores!$AA$2:$AA$131,MATCH(C961,Scores!$AB$2:$AB$131,0)))</f>
        <v>matty</v>
      </c>
      <c r="O961">
        <f t="shared" si="171"/>
        <v>109.91000000000001</v>
      </c>
      <c r="P961">
        <f t="shared" si="172"/>
        <v>387.28550000000001</v>
      </c>
      <c r="Q961" s="3">
        <f t="shared" si="173"/>
        <v>0.22616370321424212</v>
      </c>
      <c r="R961" s="3">
        <f t="shared" si="174"/>
        <v>0.22595550583969684</v>
      </c>
      <c r="S961" s="9">
        <f t="shared" si="175"/>
        <v>-2.0819737454527698E-4</v>
      </c>
      <c r="T961">
        <f t="shared" si="176"/>
        <v>102</v>
      </c>
      <c r="U961">
        <f t="shared" si="177"/>
        <v>119</v>
      </c>
      <c r="V961" s="3">
        <f t="shared" si="178"/>
        <v>5.3906352823127708E-4</v>
      </c>
      <c r="W961" s="9">
        <f t="shared" si="179"/>
        <v>-5.3906352823127708E-4</v>
      </c>
      <c r="AC961"/>
    </row>
    <row r="962" spans="1:29" x14ac:dyDescent="0.25">
      <c r="A962" t="s">
        <v>85</v>
      </c>
      <c r="B962">
        <v>4</v>
      </c>
      <c r="C962" t="s">
        <v>860</v>
      </c>
      <c r="D962" t="s">
        <v>468</v>
      </c>
      <c r="E962">
        <v>3</v>
      </c>
      <c r="F962">
        <v>12.57</v>
      </c>
      <c r="G962">
        <v>55.950400000000002</v>
      </c>
      <c r="H962" t="s">
        <v>47</v>
      </c>
      <c r="I962" t="s">
        <v>47</v>
      </c>
      <c r="J962" t="s">
        <v>27</v>
      </c>
      <c r="K962">
        <f t="shared" ref="K962:K1025" si="180">SUMIF($C$2:$C$1301,$C962,$F$2:$F$1301)</f>
        <v>103.70000000000002</v>
      </c>
      <c r="L962">
        <f t="shared" ref="L962:L1025" si="181">SUMIF($C$2:$C$1301,$C962,$G$2:$G$1301)</f>
        <v>412.10110000000003</v>
      </c>
      <c r="M962" t="str">
        <f t="shared" ref="M962:M1025" si="182">N962&amp;"-"&amp;B962</f>
        <v>aj-4</v>
      </c>
      <c r="N962" t="str">
        <f>INDEX(Scores!$A$2:$A$11,INDEX(Scores!$AA$2:$AA$131,MATCH(C962,Scores!$AB$2:$AB$131,0)))</f>
        <v>aj</v>
      </c>
      <c r="O962">
        <f t="shared" ref="O962:O1025" si="183">SUMIF($C$2:$C$1301,$M962,$F$2:$F$1301)</f>
        <v>118.09999999999998</v>
      </c>
      <c r="P962">
        <f t="shared" ref="P962:P1025" si="184">SUMIF($C$2:$C$1301,$M962,$G$2:$G$1301)</f>
        <v>465.47660000000008</v>
      </c>
      <c r="Q962" s="3">
        <f t="shared" ref="Q962:Q1025" si="185">_xlfn.NORM.DIST(0,$O962-$K962,SQRT($L962+$P962),TRUE)</f>
        <v>0.31345048172071355</v>
      </c>
      <c r="R962" s="3">
        <f t="shared" ref="R962:R1025" si="186">_xlfn.NORM.DIST(0,$O962-$K962-($E962-$F962),SQRT($L962+$P962-$G962),TRUE)</f>
        <v>0.20151013066751958</v>
      </c>
      <c r="S962" s="9">
        <f t="shared" ref="S962:S1025" si="187">R962-Q962</f>
        <v>-0.11194035105319397</v>
      </c>
      <c r="T962">
        <f t="shared" ref="T962:T1025" si="188">SUMIF($C$2:$C$1301,$C962,$E$2:$E$1301)</f>
        <v>46</v>
      </c>
      <c r="U962">
        <f t="shared" ref="U962:U1025" si="189">SUMIF($C$2:$C$1301,$M962,$E$2:$E$1301)</f>
        <v>80</v>
      </c>
      <c r="V962" s="3">
        <f t="shared" ref="V962:V1025" si="190">_xlfn.NORM.DIST(0,U962-T962+E962-F962,SQRT(G962),TRUE)</f>
        <v>5.4530885768974593E-4</v>
      </c>
      <c r="W962" s="9">
        <f t="shared" ref="W962:W1025" si="191">IFERROR(IF(U962&gt;T962,0,1)-V962,0)</f>
        <v>-5.4530885768974593E-4</v>
      </c>
      <c r="AC962"/>
    </row>
    <row r="963" spans="1:29" x14ac:dyDescent="0.25">
      <c r="A963" t="s">
        <v>414</v>
      </c>
      <c r="B963">
        <v>6</v>
      </c>
      <c r="C963" t="s">
        <v>912</v>
      </c>
      <c r="D963" t="s">
        <v>477</v>
      </c>
      <c r="E963">
        <v>8</v>
      </c>
      <c r="F963">
        <v>6.44</v>
      </c>
      <c r="G963">
        <v>39.69</v>
      </c>
      <c r="H963" t="s">
        <v>477</v>
      </c>
      <c r="I963" t="s">
        <v>477</v>
      </c>
      <c r="J963" t="s">
        <v>16</v>
      </c>
      <c r="K963">
        <f t="shared" si="180"/>
        <v>102.10000000000001</v>
      </c>
      <c r="L963">
        <f t="shared" si="181"/>
        <v>445.16630000000004</v>
      </c>
      <c r="M963" t="str">
        <f t="shared" si="182"/>
        <v>aj-6</v>
      </c>
      <c r="N963" t="str">
        <f>INDEX(Scores!$A$2:$A$11,INDEX(Scores!$AA$2:$AA$131,MATCH(C963,Scores!$AB$2:$AB$131,0)))</f>
        <v>aj</v>
      </c>
      <c r="O963">
        <f t="shared" si="183"/>
        <v>108.8</v>
      </c>
      <c r="P963">
        <f t="shared" si="184"/>
        <v>404.29040000000003</v>
      </c>
      <c r="Q963" s="3">
        <f t="shared" si="185"/>
        <v>0.40909189376360988</v>
      </c>
      <c r="R963" s="3">
        <f t="shared" si="186"/>
        <v>0.42833010021112472</v>
      </c>
      <c r="S963" s="9">
        <f t="shared" si="187"/>
        <v>1.9238206447514838E-2</v>
      </c>
      <c r="T963">
        <f t="shared" si="188"/>
        <v>85</v>
      </c>
      <c r="U963">
        <f t="shared" si="189"/>
        <v>104</v>
      </c>
      <c r="V963" s="3">
        <f t="shared" si="190"/>
        <v>5.5024133224643038E-4</v>
      </c>
      <c r="W963" s="9">
        <f t="shared" si="191"/>
        <v>-5.5024133224643038E-4</v>
      </c>
      <c r="AC963"/>
    </row>
    <row r="964" spans="1:29" x14ac:dyDescent="0.25">
      <c r="A964" t="s">
        <v>154</v>
      </c>
      <c r="B964">
        <v>4</v>
      </c>
      <c r="C964" t="s">
        <v>861</v>
      </c>
      <c r="D964" t="s">
        <v>471</v>
      </c>
      <c r="E964">
        <v>13</v>
      </c>
      <c r="F964">
        <v>9.56</v>
      </c>
      <c r="G964">
        <v>35.640900000000002</v>
      </c>
      <c r="H964" t="s">
        <v>87</v>
      </c>
      <c r="I964" t="s">
        <v>87</v>
      </c>
      <c r="J964" t="s">
        <v>20</v>
      </c>
      <c r="K964">
        <f t="shared" si="180"/>
        <v>113.07</v>
      </c>
      <c r="L964">
        <f t="shared" si="181"/>
        <v>452.41279999999995</v>
      </c>
      <c r="M964" t="str">
        <f t="shared" si="182"/>
        <v>cory-4</v>
      </c>
      <c r="N964" t="str">
        <f>INDEX(Scores!$A$2:$A$11,INDEX(Scores!$AA$2:$AA$131,MATCH(C964,Scores!$AB$2:$AB$131,0)))</f>
        <v>cory</v>
      </c>
      <c r="O964">
        <f t="shared" si="183"/>
        <v>115.58999999999999</v>
      </c>
      <c r="P964">
        <f t="shared" si="184"/>
        <v>432.42160000000007</v>
      </c>
      <c r="Q964" s="3">
        <f t="shared" si="185"/>
        <v>0.46624326985872333</v>
      </c>
      <c r="R964" s="3">
        <f t="shared" si="186"/>
        <v>0.51259280339562219</v>
      </c>
      <c r="S964" s="9">
        <f t="shared" si="187"/>
        <v>4.6349533536898857E-2</v>
      </c>
      <c r="T964">
        <f t="shared" si="188"/>
        <v>88</v>
      </c>
      <c r="U964">
        <f t="shared" si="189"/>
        <v>104</v>
      </c>
      <c r="V964" s="3">
        <f t="shared" si="190"/>
        <v>5.6440906210297064E-4</v>
      </c>
      <c r="W964" s="9">
        <f t="shared" si="191"/>
        <v>-5.6440906210297064E-4</v>
      </c>
      <c r="AC964"/>
    </row>
    <row r="965" spans="1:29" x14ac:dyDescent="0.25">
      <c r="A965" t="s">
        <v>164</v>
      </c>
      <c r="B965">
        <v>6</v>
      </c>
      <c r="C965" t="s">
        <v>928</v>
      </c>
      <c r="D965" t="s">
        <v>466</v>
      </c>
      <c r="E965">
        <v>10</v>
      </c>
      <c r="F965">
        <v>9.09</v>
      </c>
      <c r="G965">
        <v>37.576900000000002</v>
      </c>
      <c r="H965" t="s">
        <v>466</v>
      </c>
      <c r="I965" t="s">
        <v>47</v>
      </c>
      <c r="J965" t="s">
        <v>35</v>
      </c>
      <c r="K965">
        <f t="shared" si="180"/>
        <v>101.41999999999999</v>
      </c>
      <c r="L965">
        <f t="shared" si="181"/>
        <v>401.13359999999994</v>
      </c>
      <c r="M965" t="str">
        <f t="shared" si="182"/>
        <v>comp-6</v>
      </c>
      <c r="N965" t="str">
        <f>INDEX(Scores!$A$2:$A$11,INDEX(Scores!$AA$2:$AA$131,MATCH(C965,Scores!$AB$2:$AB$131,0)))</f>
        <v>comp</v>
      </c>
      <c r="O965">
        <f t="shared" si="183"/>
        <v>104.66</v>
      </c>
      <c r="P965">
        <f t="shared" si="184"/>
        <v>375.94899999999996</v>
      </c>
      <c r="Q965" s="3">
        <f t="shared" si="185"/>
        <v>0.45373585390093107</v>
      </c>
      <c r="R965" s="3">
        <f t="shared" si="186"/>
        <v>0.46585995366730515</v>
      </c>
      <c r="S965" s="9">
        <f t="shared" si="187"/>
        <v>1.2124099766374075E-2</v>
      </c>
      <c r="T965">
        <f t="shared" si="188"/>
        <v>72</v>
      </c>
      <c r="U965">
        <f t="shared" si="189"/>
        <v>91</v>
      </c>
      <c r="V965" s="3">
        <f t="shared" si="190"/>
        <v>5.8117631689900767E-4</v>
      </c>
      <c r="W965" s="9">
        <f t="shared" si="191"/>
        <v>-5.8117631689900767E-4</v>
      </c>
      <c r="AC965"/>
    </row>
    <row r="966" spans="1:29" x14ac:dyDescent="0.25">
      <c r="A966" t="s">
        <v>162</v>
      </c>
      <c r="B966">
        <v>9</v>
      </c>
      <c r="C966" t="s">
        <v>939</v>
      </c>
      <c r="D966" t="s">
        <v>475</v>
      </c>
      <c r="E966">
        <v>5</v>
      </c>
      <c r="F966">
        <v>7.56</v>
      </c>
      <c r="G966">
        <v>22.7529</v>
      </c>
      <c r="H966" t="s">
        <v>114</v>
      </c>
      <c r="I966" t="s">
        <v>114</v>
      </c>
      <c r="J966" t="s">
        <v>27</v>
      </c>
      <c r="K966">
        <f t="shared" si="180"/>
        <v>80.800000000000011</v>
      </c>
      <c r="L966">
        <f t="shared" si="181"/>
        <v>290.44450000000001</v>
      </c>
      <c r="M966" t="str">
        <f t="shared" si="182"/>
        <v>seth-9</v>
      </c>
      <c r="N966" t="str">
        <f>INDEX(Scores!$A$2:$A$11,INDEX(Scores!$AA$2:$AA$131,MATCH(C966,Scores!$AB$2:$AB$131,0)))</f>
        <v>seth</v>
      </c>
      <c r="O966">
        <f t="shared" si="183"/>
        <v>92.559999999999988</v>
      </c>
      <c r="P966">
        <f t="shared" si="184"/>
        <v>350.31569999999999</v>
      </c>
      <c r="Q966" s="3">
        <f t="shared" si="185"/>
        <v>0.32111649346340621</v>
      </c>
      <c r="R966" s="3">
        <f t="shared" si="186"/>
        <v>0.28229695312751191</v>
      </c>
      <c r="S966" s="9">
        <f t="shared" si="187"/>
        <v>-3.8819540335894298E-2</v>
      </c>
      <c r="T966">
        <f t="shared" si="188"/>
        <v>77</v>
      </c>
      <c r="U966">
        <f t="shared" si="189"/>
        <v>95</v>
      </c>
      <c r="V966" s="3">
        <f t="shared" si="190"/>
        <v>6.0418450631011971E-4</v>
      </c>
      <c r="W966" s="9">
        <f t="shared" si="191"/>
        <v>-6.0418450631011971E-4</v>
      </c>
      <c r="AC966"/>
    </row>
    <row r="967" spans="1:29" x14ac:dyDescent="0.25">
      <c r="A967" t="s">
        <v>202</v>
      </c>
      <c r="B967">
        <v>9</v>
      </c>
      <c r="C967" t="s">
        <v>955</v>
      </c>
      <c r="D967" t="s">
        <v>468</v>
      </c>
      <c r="E967">
        <v>3</v>
      </c>
      <c r="F967">
        <v>7.16</v>
      </c>
      <c r="G967">
        <v>30.5809</v>
      </c>
      <c r="H967" t="s">
        <v>47</v>
      </c>
      <c r="I967" t="s">
        <v>47</v>
      </c>
      <c r="J967" t="s">
        <v>40</v>
      </c>
      <c r="K967">
        <f t="shared" si="180"/>
        <v>81.42</v>
      </c>
      <c r="L967">
        <f t="shared" si="181"/>
        <v>278.07840000000004</v>
      </c>
      <c r="M967" t="e">
        <f t="shared" si="182"/>
        <v>#N/A</v>
      </c>
      <c r="N967" t="e">
        <f>INDEX(Scores!$A$2:$A$11,INDEX(Scores!$AA$2:$AA$131,MATCH(C967,Scores!$AB$2:$AB$131,0)))</f>
        <v>#N/A</v>
      </c>
      <c r="O967">
        <f t="shared" si="183"/>
        <v>0</v>
      </c>
      <c r="P967">
        <f t="shared" si="184"/>
        <v>0</v>
      </c>
      <c r="Q967" s="3">
        <f t="shared" si="185"/>
        <v>0.99999947640964748</v>
      </c>
      <c r="R967" s="3">
        <f t="shared" si="186"/>
        <v>0.99999954691787341</v>
      </c>
      <c r="S967" s="9">
        <f t="shared" si="187"/>
        <v>7.050822592447048E-8</v>
      </c>
      <c r="T967">
        <f t="shared" si="188"/>
        <v>67</v>
      </c>
      <c r="U967">
        <f t="shared" si="189"/>
        <v>0</v>
      </c>
      <c r="V967" s="3">
        <f t="shared" si="190"/>
        <v>1</v>
      </c>
      <c r="W967" s="9">
        <f t="shared" si="191"/>
        <v>0</v>
      </c>
      <c r="AC967"/>
    </row>
    <row r="968" spans="1:29" x14ac:dyDescent="0.25">
      <c r="A968" t="s">
        <v>113</v>
      </c>
      <c r="B968">
        <v>11</v>
      </c>
      <c r="C968" t="s">
        <v>957</v>
      </c>
      <c r="D968" t="s">
        <v>475</v>
      </c>
      <c r="E968">
        <v>3</v>
      </c>
      <c r="F968">
        <v>12.75</v>
      </c>
      <c r="G968">
        <v>61.622500000000002</v>
      </c>
      <c r="H968" t="s">
        <v>114</v>
      </c>
      <c r="I968" t="s">
        <v>114</v>
      </c>
      <c r="J968" t="s">
        <v>40</v>
      </c>
      <c r="K968">
        <f t="shared" si="180"/>
        <v>98.88000000000001</v>
      </c>
      <c r="L968">
        <f t="shared" si="181"/>
        <v>375.05889999999999</v>
      </c>
      <c r="M968" t="e">
        <f t="shared" si="182"/>
        <v>#N/A</v>
      </c>
      <c r="N968" t="e">
        <f>INDEX(Scores!$A$2:$A$11,INDEX(Scores!$AA$2:$AA$131,MATCH(C968,Scores!$AB$2:$AB$131,0)))</f>
        <v>#N/A</v>
      </c>
      <c r="O968">
        <f t="shared" si="183"/>
        <v>0</v>
      </c>
      <c r="P968">
        <f t="shared" si="184"/>
        <v>0</v>
      </c>
      <c r="Q968" s="3">
        <f t="shared" si="185"/>
        <v>0.99999983524900793</v>
      </c>
      <c r="R968" s="3">
        <f t="shared" si="186"/>
        <v>0.99999976034744198</v>
      </c>
      <c r="S968" s="9">
        <f t="shared" si="187"/>
        <v>-7.4901565949581084E-8</v>
      </c>
      <c r="T968">
        <f t="shared" si="188"/>
        <v>50</v>
      </c>
      <c r="U968">
        <f t="shared" si="189"/>
        <v>0</v>
      </c>
      <c r="V968" s="3">
        <f t="shared" si="190"/>
        <v>0.99999999999998646</v>
      </c>
      <c r="W968" s="9">
        <f t="shared" si="191"/>
        <v>1.354472090042691E-14</v>
      </c>
      <c r="AC968"/>
    </row>
    <row r="969" spans="1:29" x14ac:dyDescent="0.25">
      <c r="A969" t="s">
        <v>135</v>
      </c>
      <c r="B969">
        <v>11</v>
      </c>
      <c r="C969" t="s">
        <v>973</v>
      </c>
      <c r="D969" t="s">
        <v>471</v>
      </c>
      <c r="E969">
        <v>12</v>
      </c>
      <c r="F969">
        <v>6.62</v>
      </c>
      <c r="G969">
        <v>20.430399999999999</v>
      </c>
      <c r="H969" t="s">
        <v>87</v>
      </c>
      <c r="I969" t="s">
        <v>87</v>
      </c>
      <c r="J969" t="s">
        <v>49</v>
      </c>
      <c r="K969">
        <f t="shared" si="180"/>
        <v>88.670000000000016</v>
      </c>
      <c r="L969">
        <f t="shared" si="181"/>
        <v>334.39179999999999</v>
      </c>
      <c r="M969" t="str">
        <f t="shared" si="182"/>
        <v>comp-11</v>
      </c>
      <c r="N969" t="str">
        <f>INDEX(Scores!$A$2:$A$11,INDEX(Scores!$AA$2:$AA$131,MATCH(C969,Scores!$AB$2:$AB$131,0)))</f>
        <v>comp</v>
      </c>
      <c r="O969">
        <f t="shared" si="183"/>
        <v>98.580000000000013</v>
      </c>
      <c r="P969">
        <f t="shared" si="184"/>
        <v>364.4375</v>
      </c>
      <c r="Q969" s="3">
        <f t="shared" si="185"/>
        <v>0.35387619533584119</v>
      </c>
      <c r="R969" s="3">
        <f t="shared" si="186"/>
        <v>0.4309632060710103</v>
      </c>
      <c r="S969" s="9">
        <f t="shared" si="187"/>
        <v>7.7087010735169104E-2</v>
      </c>
      <c r="T969">
        <f t="shared" si="188"/>
        <v>102</v>
      </c>
      <c r="U969">
        <f t="shared" si="189"/>
        <v>111</v>
      </c>
      <c r="V969" s="3">
        <f t="shared" si="190"/>
        <v>7.3278526254712414E-4</v>
      </c>
      <c r="W969" s="9">
        <f t="shared" si="191"/>
        <v>-7.3278526254712414E-4</v>
      </c>
      <c r="AC969"/>
    </row>
    <row r="970" spans="1:29" x14ac:dyDescent="0.25">
      <c r="A970" t="s">
        <v>26</v>
      </c>
      <c r="B970">
        <v>2</v>
      </c>
      <c r="C970" t="s">
        <v>623</v>
      </c>
      <c r="D970" t="s">
        <v>467</v>
      </c>
      <c r="E970">
        <v>14</v>
      </c>
      <c r="F970">
        <v>21.61</v>
      </c>
      <c r="G970">
        <v>59.598399999999998</v>
      </c>
      <c r="H970" t="s">
        <v>15</v>
      </c>
      <c r="I970" t="s">
        <v>15</v>
      </c>
      <c r="J970" t="s">
        <v>27</v>
      </c>
      <c r="K970">
        <f t="shared" si="180"/>
        <v>103.61999999999999</v>
      </c>
      <c r="L970">
        <f t="shared" si="181"/>
        <v>357.30130000000003</v>
      </c>
      <c r="M970" t="str">
        <f t="shared" si="182"/>
        <v>cory-2</v>
      </c>
      <c r="N970" t="str">
        <f>INDEX(Scores!$A$2:$A$11,INDEX(Scores!$AA$2:$AA$131,MATCH(C970,Scores!$AB$2:$AB$131,0)))</f>
        <v>cory</v>
      </c>
      <c r="O970">
        <f t="shared" si="183"/>
        <v>102.7</v>
      </c>
      <c r="P970">
        <f t="shared" si="184"/>
        <v>377.5104</v>
      </c>
      <c r="Q970" s="3">
        <f t="shared" si="185"/>
        <v>0.51353712670419016</v>
      </c>
      <c r="R970" s="3">
        <f t="shared" si="186"/>
        <v>0.39841279253236001</v>
      </c>
      <c r="S970" s="9">
        <f t="shared" si="187"/>
        <v>-0.11512433417183016</v>
      </c>
      <c r="T970">
        <f t="shared" si="188"/>
        <v>65</v>
      </c>
      <c r="U970">
        <f t="shared" si="189"/>
        <v>97</v>
      </c>
      <c r="V970" s="3">
        <f t="shared" si="190"/>
        <v>7.9067132480679003E-4</v>
      </c>
      <c r="W970" s="9">
        <f t="shared" si="191"/>
        <v>-7.9067132480679003E-4</v>
      </c>
      <c r="AC970"/>
    </row>
    <row r="971" spans="1:29" x14ac:dyDescent="0.25">
      <c r="A971" t="s">
        <v>206</v>
      </c>
      <c r="B971">
        <v>9</v>
      </c>
      <c r="C971" t="s">
        <v>955</v>
      </c>
      <c r="D971" t="s">
        <v>475</v>
      </c>
      <c r="E971">
        <v>0</v>
      </c>
      <c r="F971">
        <v>6.83</v>
      </c>
      <c r="G971">
        <v>23.522500000000001</v>
      </c>
      <c r="H971" t="s">
        <v>114</v>
      </c>
      <c r="I971" t="s">
        <v>114</v>
      </c>
      <c r="J971" t="s">
        <v>40</v>
      </c>
      <c r="K971">
        <f t="shared" si="180"/>
        <v>81.42</v>
      </c>
      <c r="L971">
        <f t="shared" si="181"/>
        <v>278.07840000000004</v>
      </c>
      <c r="M971" t="e">
        <f t="shared" si="182"/>
        <v>#N/A</v>
      </c>
      <c r="N971" t="e">
        <f>INDEX(Scores!$A$2:$A$11,INDEX(Scores!$AA$2:$AA$131,MATCH(C971,Scores!$AB$2:$AB$131,0)))</f>
        <v>#N/A</v>
      </c>
      <c r="O971">
        <f t="shared" si="183"/>
        <v>0</v>
      </c>
      <c r="P971">
        <f t="shared" si="184"/>
        <v>0</v>
      </c>
      <c r="Q971" s="3">
        <f t="shared" si="185"/>
        <v>0.99999947640964748</v>
      </c>
      <c r="R971" s="3">
        <f t="shared" si="186"/>
        <v>0.99999853080292933</v>
      </c>
      <c r="S971" s="9">
        <f t="shared" si="187"/>
        <v>-9.4560671815013819E-7</v>
      </c>
      <c r="T971">
        <f t="shared" si="188"/>
        <v>67</v>
      </c>
      <c r="U971">
        <f t="shared" si="189"/>
        <v>0</v>
      </c>
      <c r="V971" s="3">
        <f t="shared" si="190"/>
        <v>1</v>
      </c>
      <c r="W971" s="9">
        <f t="shared" si="191"/>
        <v>0</v>
      </c>
      <c r="AC971"/>
    </row>
    <row r="972" spans="1:29" x14ac:dyDescent="0.25">
      <c r="A972" t="s">
        <v>235</v>
      </c>
      <c r="B972">
        <v>9</v>
      </c>
      <c r="C972" t="s">
        <v>931</v>
      </c>
      <c r="D972" t="s">
        <v>475</v>
      </c>
      <c r="E972">
        <v>13</v>
      </c>
      <c r="F972">
        <v>6.04</v>
      </c>
      <c r="G972">
        <v>22.944099999999999</v>
      </c>
      <c r="H972" t="s">
        <v>114</v>
      </c>
      <c r="I972" t="s">
        <v>114</v>
      </c>
      <c r="J972" t="s">
        <v>35</v>
      </c>
      <c r="K972">
        <f t="shared" si="180"/>
        <v>104.66</v>
      </c>
      <c r="L972">
        <f t="shared" si="181"/>
        <v>474.51049999999998</v>
      </c>
      <c r="M972" t="str">
        <f t="shared" si="182"/>
        <v>cory-9</v>
      </c>
      <c r="N972" t="str">
        <f>INDEX(Scores!$A$2:$A$11,INDEX(Scores!$AA$2:$AA$131,MATCH(C972,Scores!$AB$2:$AB$131,0)))</f>
        <v>cory</v>
      </c>
      <c r="O972">
        <f t="shared" si="183"/>
        <v>90.69</v>
      </c>
      <c r="P972">
        <f t="shared" si="184"/>
        <v>356.05790000000002</v>
      </c>
      <c r="Q972" s="3">
        <f t="shared" si="185"/>
        <v>0.68606954461640712</v>
      </c>
      <c r="R972" s="3">
        <f t="shared" si="186"/>
        <v>0.76928253037380845</v>
      </c>
      <c r="S972" s="9">
        <f t="shared" si="187"/>
        <v>8.3212985757401325E-2</v>
      </c>
      <c r="T972">
        <f t="shared" si="188"/>
        <v>81</v>
      </c>
      <c r="U972">
        <f t="shared" si="189"/>
        <v>89</v>
      </c>
      <c r="V972" s="3">
        <f t="shared" si="190"/>
        <v>8.9456191015550727E-4</v>
      </c>
      <c r="W972" s="9">
        <f t="shared" si="191"/>
        <v>-8.9456191015550727E-4</v>
      </c>
      <c r="AC972"/>
    </row>
    <row r="973" spans="1:29" x14ac:dyDescent="0.25">
      <c r="A973" t="s">
        <v>424</v>
      </c>
      <c r="B973">
        <v>4</v>
      </c>
      <c r="C973" t="s">
        <v>862</v>
      </c>
      <c r="D973" t="s">
        <v>477</v>
      </c>
      <c r="E973">
        <v>15</v>
      </c>
      <c r="F973">
        <v>9.27</v>
      </c>
      <c r="G973">
        <v>32.376100000000001</v>
      </c>
      <c r="H973" t="s">
        <v>477</v>
      </c>
      <c r="I973" t="s">
        <v>477</v>
      </c>
      <c r="J973" t="s">
        <v>23</v>
      </c>
      <c r="K973">
        <f t="shared" si="180"/>
        <v>111.07000000000001</v>
      </c>
      <c r="L973">
        <f t="shared" si="181"/>
        <v>406.62959999999998</v>
      </c>
      <c r="M973" t="str">
        <f t="shared" si="182"/>
        <v>devon-4</v>
      </c>
      <c r="N973" t="str">
        <f>INDEX(Scores!$A$2:$A$11,INDEX(Scores!$AA$2:$AA$131,MATCH(C973,Scores!$AB$2:$AB$131,0)))</f>
        <v>devon</v>
      </c>
      <c r="O973">
        <f t="shared" si="183"/>
        <v>99.78</v>
      </c>
      <c r="P973">
        <f t="shared" si="184"/>
        <v>369.21209999999996</v>
      </c>
      <c r="Q973" s="3">
        <f t="shared" si="185"/>
        <v>0.65738205274668193</v>
      </c>
      <c r="R973" s="3">
        <f t="shared" si="186"/>
        <v>0.73375440219599597</v>
      </c>
      <c r="S973" s="9">
        <f t="shared" si="187"/>
        <v>7.6372349449314036E-2</v>
      </c>
      <c r="T973">
        <f t="shared" si="188"/>
        <v>72</v>
      </c>
      <c r="U973">
        <f t="shared" si="189"/>
        <v>84</v>
      </c>
      <c r="V973" s="3">
        <f t="shared" si="190"/>
        <v>9.1663321374636049E-4</v>
      </c>
      <c r="W973" s="9">
        <f t="shared" si="191"/>
        <v>-9.1663321374636049E-4</v>
      </c>
      <c r="AC973"/>
    </row>
    <row r="974" spans="1:29" x14ac:dyDescent="0.25">
      <c r="A974" t="s">
        <v>179</v>
      </c>
      <c r="B974">
        <v>5</v>
      </c>
      <c r="C974" t="s">
        <v>891</v>
      </c>
      <c r="D974" t="s">
        <v>467</v>
      </c>
      <c r="E974">
        <v>35</v>
      </c>
      <c r="F974">
        <v>16.62</v>
      </c>
      <c r="G974">
        <v>51.696100000000001</v>
      </c>
      <c r="H974" t="s">
        <v>15</v>
      </c>
      <c r="I974" t="s">
        <v>15</v>
      </c>
      <c r="J974" t="s">
        <v>49</v>
      </c>
      <c r="K974">
        <f t="shared" si="180"/>
        <v>99.23</v>
      </c>
      <c r="L974">
        <f t="shared" si="181"/>
        <v>364.64739999999995</v>
      </c>
      <c r="M974" t="str">
        <f t="shared" si="182"/>
        <v>aj-5</v>
      </c>
      <c r="N974" t="str">
        <f>INDEX(Scores!$A$2:$A$11,INDEX(Scores!$AA$2:$AA$131,MATCH(C974,Scores!$AB$2:$AB$131,0)))</f>
        <v>aj</v>
      </c>
      <c r="O974">
        <f t="shared" si="183"/>
        <v>117.25999999999999</v>
      </c>
      <c r="P974">
        <f t="shared" si="184"/>
        <v>422.9941</v>
      </c>
      <c r="Q974" s="3">
        <f t="shared" si="185"/>
        <v>0.26029431580256523</v>
      </c>
      <c r="R974" s="3">
        <f t="shared" si="186"/>
        <v>0.50514687077704901</v>
      </c>
      <c r="S974" s="9">
        <f t="shared" si="187"/>
        <v>0.24485255497448377</v>
      </c>
      <c r="T974">
        <f t="shared" si="188"/>
        <v>106</v>
      </c>
      <c r="U974">
        <f t="shared" si="189"/>
        <v>110</v>
      </c>
      <c r="V974" s="3">
        <f t="shared" si="190"/>
        <v>9.2705850545250507E-4</v>
      </c>
      <c r="W974" s="9">
        <f t="shared" si="191"/>
        <v>-9.2705850545250507E-4</v>
      </c>
      <c r="AC974"/>
    </row>
    <row r="975" spans="1:29" x14ac:dyDescent="0.25">
      <c r="A975" t="s">
        <v>151</v>
      </c>
      <c r="B975">
        <v>7</v>
      </c>
      <c r="C975" t="s">
        <v>945</v>
      </c>
      <c r="D975" t="s">
        <v>475</v>
      </c>
      <c r="E975">
        <v>9</v>
      </c>
      <c r="F975">
        <v>7.62</v>
      </c>
      <c r="G975">
        <v>21.622499999999999</v>
      </c>
      <c r="H975" t="s">
        <v>114</v>
      </c>
      <c r="I975" t="s">
        <v>114</v>
      </c>
      <c r="J975" t="s">
        <v>62</v>
      </c>
      <c r="K975">
        <f t="shared" si="180"/>
        <v>99.759999999999991</v>
      </c>
      <c r="L975">
        <f t="shared" si="181"/>
        <v>339.923</v>
      </c>
      <c r="M975" t="str">
        <f t="shared" si="182"/>
        <v>perry-7</v>
      </c>
      <c r="N975" t="str">
        <f>INDEX(Scores!$A$2:$A$11,INDEX(Scores!$AA$2:$AA$131,MATCH(C975,Scores!$AB$2:$AB$131,0)))</f>
        <v>perry</v>
      </c>
      <c r="O975">
        <f t="shared" si="183"/>
        <v>103.81000000000002</v>
      </c>
      <c r="P975">
        <f t="shared" si="184"/>
        <v>404.20889999999997</v>
      </c>
      <c r="Q975" s="3">
        <f t="shared" si="185"/>
        <v>0.44098709635876499</v>
      </c>
      <c r="R975" s="3">
        <f t="shared" si="186"/>
        <v>0.46043730584054127</v>
      </c>
      <c r="S975" s="9">
        <f t="shared" si="187"/>
        <v>1.9450209481776282E-2</v>
      </c>
      <c r="T975">
        <f t="shared" si="188"/>
        <v>102</v>
      </c>
      <c r="U975">
        <f t="shared" si="189"/>
        <v>115</v>
      </c>
      <c r="V975" s="3">
        <f t="shared" si="190"/>
        <v>9.9248105308458959E-4</v>
      </c>
      <c r="W975" s="9">
        <f t="shared" si="191"/>
        <v>-9.9248105308458959E-4</v>
      </c>
      <c r="AC975"/>
    </row>
    <row r="976" spans="1:29" x14ac:dyDescent="0.25">
      <c r="A976" t="s">
        <v>144</v>
      </c>
      <c r="B976">
        <v>5</v>
      </c>
      <c r="C976" t="s">
        <v>890</v>
      </c>
      <c r="D976" t="s">
        <v>466</v>
      </c>
      <c r="E976">
        <v>5</v>
      </c>
      <c r="F976">
        <v>8.57</v>
      </c>
      <c r="G976">
        <v>43.824399999999997</v>
      </c>
      <c r="H976" t="s">
        <v>466</v>
      </c>
      <c r="I976" t="s">
        <v>47</v>
      </c>
      <c r="J976" t="s">
        <v>20</v>
      </c>
      <c r="K976">
        <f t="shared" si="180"/>
        <v>107.89</v>
      </c>
      <c r="L976">
        <f t="shared" si="181"/>
        <v>441.71269999999998</v>
      </c>
      <c r="M976" t="str">
        <f t="shared" si="182"/>
        <v>lucas-5</v>
      </c>
      <c r="N976" t="str">
        <f>INDEX(Scores!$A$2:$A$11,INDEX(Scores!$AA$2:$AA$131,MATCH(C976,Scores!$AB$2:$AB$131,0)))</f>
        <v>lucas</v>
      </c>
      <c r="O976">
        <f t="shared" si="183"/>
        <v>0</v>
      </c>
      <c r="P976">
        <f t="shared" si="184"/>
        <v>0</v>
      </c>
      <c r="Q976" s="3">
        <f t="shared" si="185"/>
        <v>0.99999985777778666</v>
      </c>
      <c r="R976" s="3">
        <f t="shared" si="186"/>
        <v>0.99999991516381304</v>
      </c>
      <c r="S976" s="9">
        <f t="shared" si="187"/>
        <v>5.738602637528345E-8</v>
      </c>
      <c r="T976">
        <f t="shared" si="188"/>
        <v>69</v>
      </c>
      <c r="U976">
        <f t="shared" si="189"/>
        <v>0</v>
      </c>
      <c r="V976" s="3">
        <f t="shared" si="190"/>
        <v>1</v>
      </c>
      <c r="W976" s="9">
        <f t="shared" si="191"/>
        <v>0</v>
      </c>
      <c r="AC976"/>
    </row>
    <row r="977" spans="1:29" x14ac:dyDescent="0.25">
      <c r="A977" t="s">
        <v>135</v>
      </c>
      <c r="B977">
        <v>1</v>
      </c>
      <c r="C977" t="s">
        <v>505</v>
      </c>
      <c r="D977" t="s">
        <v>471</v>
      </c>
      <c r="E977">
        <v>4</v>
      </c>
      <c r="F977">
        <v>6.51</v>
      </c>
      <c r="G977">
        <v>28.944400000000002</v>
      </c>
      <c r="H977" t="s">
        <v>87</v>
      </c>
      <c r="I977" t="s">
        <v>87</v>
      </c>
      <c r="J977" t="s">
        <v>49</v>
      </c>
      <c r="K977">
        <f t="shared" si="180"/>
        <v>96.11</v>
      </c>
      <c r="L977">
        <f t="shared" si="181"/>
        <v>397.37959999999998</v>
      </c>
      <c r="M977" t="str">
        <f t="shared" si="182"/>
        <v>chad-1</v>
      </c>
      <c r="N977" t="str">
        <f>INDEX(Scores!$A$2:$A$11,INDEX(Scores!$AA$2:$AA$131,MATCH(C977,Scores!$AB$2:$AB$131,0)))</f>
        <v>chad</v>
      </c>
      <c r="O977">
        <f t="shared" si="183"/>
        <v>101.75</v>
      </c>
      <c r="P977">
        <f t="shared" si="184"/>
        <v>333.15260000000001</v>
      </c>
      <c r="Q977" s="3">
        <f t="shared" si="185"/>
        <v>0.41735304190298633</v>
      </c>
      <c r="R977" s="3">
        <f t="shared" si="186"/>
        <v>0.37915824875715054</v>
      </c>
      <c r="S977" s="9">
        <f t="shared" si="187"/>
        <v>-3.8194793145835793E-2</v>
      </c>
      <c r="T977">
        <f t="shared" si="188"/>
        <v>76</v>
      </c>
      <c r="U977">
        <f t="shared" si="189"/>
        <v>95</v>
      </c>
      <c r="V977" s="3">
        <f t="shared" si="190"/>
        <v>1.0881470857229117E-3</v>
      </c>
      <c r="W977" s="9">
        <f t="shared" si="191"/>
        <v>-1.0881470857229117E-3</v>
      </c>
      <c r="AC977"/>
    </row>
    <row r="978" spans="1:29" x14ac:dyDescent="0.25">
      <c r="A978" t="s">
        <v>59</v>
      </c>
      <c r="B978">
        <v>8</v>
      </c>
      <c r="C978" t="s">
        <v>954</v>
      </c>
      <c r="D978" t="s">
        <v>467</v>
      </c>
      <c r="E978">
        <v>6</v>
      </c>
      <c r="F978">
        <v>19.45</v>
      </c>
      <c r="G978">
        <v>64.320400000000006</v>
      </c>
      <c r="H978" t="s">
        <v>15</v>
      </c>
      <c r="I978" t="s">
        <v>15</v>
      </c>
      <c r="J978" t="s">
        <v>40</v>
      </c>
      <c r="K978">
        <f t="shared" si="180"/>
        <v>93.289999999999992</v>
      </c>
      <c r="L978">
        <f t="shared" si="181"/>
        <v>315.97840000000008</v>
      </c>
      <c r="M978" t="e">
        <f t="shared" si="182"/>
        <v>#N/A</v>
      </c>
      <c r="N978" t="e">
        <f>INDEX(Scores!$A$2:$A$11,INDEX(Scores!$AA$2:$AA$131,MATCH(C978,Scores!$AB$2:$AB$131,0)))</f>
        <v>#N/A</v>
      </c>
      <c r="O978">
        <f t="shared" si="183"/>
        <v>0</v>
      </c>
      <c r="P978">
        <f t="shared" si="184"/>
        <v>0</v>
      </c>
      <c r="Q978" s="3">
        <f t="shared" si="185"/>
        <v>0.99999992318369246</v>
      </c>
      <c r="R978" s="3">
        <f t="shared" si="186"/>
        <v>0.9999997583964918</v>
      </c>
      <c r="S978" s="9">
        <f t="shared" si="187"/>
        <v>-1.6478720066270824E-7</v>
      </c>
      <c r="T978">
        <f t="shared" si="188"/>
        <v>75</v>
      </c>
      <c r="U978">
        <f t="shared" si="189"/>
        <v>0</v>
      </c>
      <c r="V978" s="3">
        <f t="shared" si="190"/>
        <v>1</v>
      </c>
      <c r="W978" s="9">
        <f t="shared" si="191"/>
        <v>0</v>
      </c>
      <c r="AC978"/>
    </row>
    <row r="979" spans="1:29" x14ac:dyDescent="0.25">
      <c r="A979" t="s">
        <v>115</v>
      </c>
      <c r="B979">
        <v>12</v>
      </c>
      <c r="C979" t="s">
        <v>910</v>
      </c>
      <c r="D979" t="s">
        <v>469</v>
      </c>
      <c r="E979">
        <v>1</v>
      </c>
      <c r="F979">
        <v>15.59</v>
      </c>
      <c r="G979">
        <v>86.304100000000005</v>
      </c>
      <c r="H979" t="s">
        <v>47</v>
      </c>
      <c r="I979" t="s">
        <v>47</v>
      </c>
      <c r="J979" t="s">
        <v>20</v>
      </c>
      <c r="K979">
        <f t="shared" si="180"/>
        <v>109.82</v>
      </c>
      <c r="L979">
        <f t="shared" si="181"/>
        <v>367.76499999999999</v>
      </c>
      <c r="M979" t="str">
        <f t="shared" si="182"/>
        <v>perry-12</v>
      </c>
      <c r="N979" t="str">
        <f>INDEX(Scores!$A$2:$A$11,INDEX(Scores!$AA$2:$AA$131,MATCH(C979,Scores!$AB$2:$AB$131,0)))</f>
        <v>perry</v>
      </c>
      <c r="O979">
        <f t="shared" si="183"/>
        <v>117.67999999999999</v>
      </c>
      <c r="P979">
        <f t="shared" si="184"/>
        <v>426.54240000000004</v>
      </c>
      <c r="Q979" s="3">
        <f t="shared" si="185"/>
        <v>0.39016577980232847</v>
      </c>
      <c r="R979" s="3">
        <f t="shared" si="186"/>
        <v>0.1994127487166977</v>
      </c>
      <c r="S979" s="9">
        <f t="shared" si="187"/>
        <v>-0.19075303108563077</v>
      </c>
      <c r="T979">
        <f t="shared" si="188"/>
        <v>88</v>
      </c>
      <c r="U979">
        <f t="shared" si="189"/>
        <v>131</v>
      </c>
      <c r="V979" s="3">
        <f t="shared" si="190"/>
        <v>1.1136257421580959E-3</v>
      </c>
      <c r="W979" s="9">
        <f t="shared" si="191"/>
        <v>-1.1136257421580959E-3</v>
      </c>
      <c r="AC979"/>
    </row>
    <row r="980" spans="1:29" x14ac:dyDescent="0.25">
      <c r="A980" t="s">
        <v>156</v>
      </c>
      <c r="B980">
        <v>7</v>
      </c>
      <c r="C980" t="s">
        <v>945</v>
      </c>
      <c r="D980" t="s">
        <v>473</v>
      </c>
      <c r="E980">
        <v>0</v>
      </c>
      <c r="F980">
        <v>3.65</v>
      </c>
      <c r="G980">
        <v>9.3635999999999999</v>
      </c>
      <c r="H980" t="s">
        <v>87</v>
      </c>
      <c r="I980" t="s">
        <v>87</v>
      </c>
      <c r="J980" t="s">
        <v>62</v>
      </c>
      <c r="K980">
        <f t="shared" si="180"/>
        <v>99.759999999999991</v>
      </c>
      <c r="L980">
        <f t="shared" si="181"/>
        <v>339.923</v>
      </c>
      <c r="M980" t="str">
        <f t="shared" si="182"/>
        <v>perry-7</v>
      </c>
      <c r="N980" t="str">
        <f>INDEX(Scores!$A$2:$A$11,INDEX(Scores!$AA$2:$AA$131,MATCH(C980,Scores!$AB$2:$AB$131,0)))</f>
        <v>perry</v>
      </c>
      <c r="O980">
        <f t="shared" si="183"/>
        <v>103.81000000000002</v>
      </c>
      <c r="P980">
        <f t="shared" si="184"/>
        <v>404.20889999999997</v>
      </c>
      <c r="Q980" s="3">
        <f t="shared" si="185"/>
        <v>0.44098709635876499</v>
      </c>
      <c r="R980" s="3">
        <f t="shared" si="186"/>
        <v>0.38818083751533705</v>
      </c>
      <c r="S980" s="9">
        <f t="shared" si="187"/>
        <v>-5.2806258843427933E-2</v>
      </c>
      <c r="T980">
        <f t="shared" si="188"/>
        <v>102</v>
      </c>
      <c r="U980">
        <f t="shared" si="189"/>
        <v>115</v>
      </c>
      <c r="V980" s="3">
        <f t="shared" si="190"/>
        <v>1.1232199025032329E-3</v>
      </c>
      <c r="W980" s="9">
        <f t="shared" si="191"/>
        <v>-1.1232199025032329E-3</v>
      </c>
      <c r="AC980"/>
    </row>
    <row r="981" spans="1:29" x14ac:dyDescent="0.25">
      <c r="A981" t="s">
        <v>419</v>
      </c>
      <c r="B981">
        <v>13</v>
      </c>
      <c r="C981" t="s">
        <v>911</v>
      </c>
      <c r="D981" t="s">
        <v>477</v>
      </c>
      <c r="E981">
        <v>13</v>
      </c>
      <c r="F981">
        <v>11.66</v>
      </c>
      <c r="G981">
        <v>49.420900000000003</v>
      </c>
      <c r="H981" t="s">
        <v>477</v>
      </c>
      <c r="I981" t="s">
        <v>477</v>
      </c>
      <c r="J981" t="s">
        <v>20</v>
      </c>
      <c r="K981">
        <f t="shared" si="180"/>
        <v>108.61</v>
      </c>
      <c r="L981">
        <f t="shared" si="181"/>
        <v>407.25390000000004</v>
      </c>
      <c r="M981" t="str">
        <f t="shared" si="182"/>
        <v>cory-13</v>
      </c>
      <c r="N981" t="str">
        <f>INDEX(Scores!$A$2:$A$11,INDEX(Scores!$AA$2:$AA$131,MATCH(C981,Scores!$AB$2:$AB$131,0)))</f>
        <v>cory</v>
      </c>
      <c r="O981">
        <f t="shared" si="183"/>
        <v>106.87</v>
      </c>
      <c r="P981">
        <f t="shared" si="184"/>
        <v>444.05589999999995</v>
      </c>
      <c r="Q981" s="3">
        <f t="shared" si="185"/>
        <v>0.52377705912504058</v>
      </c>
      <c r="R981" s="3">
        <f t="shared" si="186"/>
        <v>0.54330599960568837</v>
      </c>
      <c r="S981" s="9">
        <f t="shared" si="187"/>
        <v>1.9528940480647794E-2</v>
      </c>
      <c r="T981">
        <f t="shared" si="188"/>
        <v>66</v>
      </c>
      <c r="U981">
        <f t="shared" si="189"/>
        <v>86</v>
      </c>
      <c r="V981" s="3">
        <f t="shared" si="190"/>
        <v>1.2004397677293425E-3</v>
      </c>
      <c r="W981" s="9">
        <f t="shared" si="191"/>
        <v>-1.2004397677293425E-3</v>
      </c>
      <c r="AC981"/>
    </row>
    <row r="982" spans="1:29" x14ac:dyDescent="0.25">
      <c r="A982" t="s">
        <v>251</v>
      </c>
      <c r="B982">
        <v>10</v>
      </c>
      <c r="C982" t="s">
        <v>956</v>
      </c>
      <c r="D982" t="s">
        <v>472</v>
      </c>
      <c r="E982">
        <v>21</v>
      </c>
      <c r="F982">
        <v>9.69</v>
      </c>
      <c r="G982">
        <v>32.947600000000001</v>
      </c>
      <c r="H982" t="s">
        <v>87</v>
      </c>
      <c r="I982" t="s">
        <v>87</v>
      </c>
      <c r="J982" t="s">
        <v>40</v>
      </c>
      <c r="K982">
        <f t="shared" si="180"/>
        <v>97.83</v>
      </c>
      <c r="L982">
        <f t="shared" si="181"/>
        <v>370.18310000000002</v>
      </c>
      <c r="M982" t="e">
        <f t="shared" si="182"/>
        <v>#N/A</v>
      </c>
      <c r="N982" t="e">
        <f>INDEX(Scores!$A$2:$A$11,INDEX(Scores!$AA$2:$AA$131,MATCH(C982,Scores!$AB$2:$AB$131,0)))</f>
        <v>#N/A</v>
      </c>
      <c r="O982">
        <f t="shared" si="183"/>
        <v>0</v>
      </c>
      <c r="P982">
        <f t="shared" si="184"/>
        <v>0</v>
      </c>
      <c r="Q982" s="3">
        <f t="shared" si="185"/>
        <v>0.99999981587831821</v>
      </c>
      <c r="R982" s="3">
        <f t="shared" si="186"/>
        <v>0.99999999860208999</v>
      </c>
      <c r="S982" s="9">
        <f t="shared" si="187"/>
        <v>1.8272377177996901E-7</v>
      </c>
      <c r="T982">
        <f t="shared" si="188"/>
        <v>91</v>
      </c>
      <c r="U982">
        <f t="shared" si="189"/>
        <v>0</v>
      </c>
      <c r="V982" s="3">
        <f t="shared" si="190"/>
        <v>1</v>
      </c>
      <c r="W982" s="9">
        <f t="shared" si="191"/>
        <v>0</v>
      </c>
      <c r="AC982"/>
    </row>
    <row r="983" spans="1:29" x14ac:dyDescent="0.25">
      <c r="A983" t="s">
        <v>1100</v>
      </c>
      <c r="B983">
        <v>11</v>
      </c>
      <c r="C983" t="s">
        <v>949</v>
      </c>
      <c r="D983" t="s">
        <v>468</v>
      </c>
      <c r="E983">
        <v>10</v>
      </c>
      <c r="F983">
        <v>15.89</v>
      </c>
      <c r="G983">
        <v>70.056899999999999</v>
      </c>
      <c r="H983" t="s">
        <v>47</v>
      </c>
      <c r="I983" t="s">
        <v>47</v>
      </c>
      <c r="J983" t="s">
        <v>62</v>
      </c>
      <c r="K983">
        <f t="shared" si="180"/>
        <v>106.58</v>
      </c>
      <c r="L983">
        <f t="shared" si="181"/>
        <v>427.68610000000001</v>
      </c>
      <c r="M983" t="str">
        <f t="shared" si="182"/>
        <v>cory-11</v>
      </c>
      <c r="N983" t="str">
        <f>INDEX(Scores!$A$2:$A$11,INDEX(Scores!$AA$2:$AA$131,MATCH(C983,Scores!$AB$2:$AB$131,0)))</f>
        <v>cory</v>
      </c>
      <c r="O983">
        <f t="shared" si="183"/>
        <v>102.11</v>
      </c>
      <c r="P983">
        <f t="shared" si="184"/>
        <v>431.97960000000006</v>
      </c>
      <c r="Q983" s="3">
        <f t="shared" si="185"/>
        <v>0.56058610538956244</v>
      </c>
      <c r="R983" s="3">
        <f t="shared" si="186"/>
        <v>0.47984848922981238</v>
      </c>
      <c r="S983" s="9">
        <f t="shared" si="187"/>
        <v>-8.0737616159750059E-2</v>
      </c>
      <c r="T983">
        <f t="shared" si="188"/>
        <v>99</v>
      </c>
      <c r="U983">
        <f t="shared" si="189"/>
        <v>130</v>
      </c>
      <c r="V983" s="3">
        <f t="shared" si="190"/>
        <v>1.3498980316300933E-3</v>
      </c>
      <c r="W983" s="9">
        <f t="shared" si="191"/>
        <v>-1.3498980316300933E-3</v>
      </c>
      <c r="AC983"/>
    </row>
    <row r="984" spans="1:29" x14ac:dyDescent="0.25">
      <c r="A984" t="s">
        <v>417</v>
      </c>
      <c r="B984">
        <v>9</v>
      </c>
      <c r="C984" t="s">
        <v>955</v>
      </c>
      <c r="D984" t="s">
        <v>477</v>
      </c>
      <c r="E984">
        <v>-1</v>
      </c>
      <c r="F984">
        <v>4.42</v>
      </c>
      <c r="G984">
        <v>30.5809</v>
      </c>
      <c r="H984" t="s">
        <v>477</v>
      </c>
      <c r="I984" t="s">
        <v>477</v>
      </c>
      <c r="J984" t="s">
        <v>40</v>
      </c>
      <c r="K984">
        <f t="shared" si="180"/>
        <v>81.42</v>
      </c>
      <c r="L984">
        <f t="shared" si="181"/>
        <v>278.07840000000004</v>
      </c>
      <c r="M984" t="e">
        <f t="shared" si="182"/>
        <v>#N/A</v>
      </c>
      <c r="N984" t="e">
        <f>INDEX(Scores!$A$2:$A$11,INDEX(Scores!$AA$2:$AA$131,MATCH(C984,Scores!$AB$2:$AB$131,0)))</f>
        <v>#N/A</v>
      </c>
      <c r="O984">
        <f t="shared" si="183"/>
        <v>0</v>
      </c>
      <c r="P984">
        <f t="shared" si="184"/>
        <v>0</v>
      </c>
      <c r="Q984" s="3">
        <f t="shared" si="185"/>
        <v>0.99999947640964748</v>
      </c>
      <c r="R984" s="3">
        <f t="shared" si="186"/>
        <v>0.99999932041887729</v>
      </c>
      <c r="S984" s="9">
        <f t="shared" si="187"/>
        <v>-1.5599077018979557E-7</v>
      </c>
      <c r="T984">
        <f t="shared" si="188"/>
        <v>67</v>
      </c>
      <c r="U984">
        <f t="shared" si="189"/>
        <v>0</v>
      </c>
      <c r="V984" s="3">
        <f t="shared" si="190"/>
        <v>1</v>
      </c>
      <c r="W984" s="9">
        <f t="shared" si="191"/>
        <v>0</v>
      </c>
      <c r="AC984"/>
    </row>
    <row r="985" spans="1:29" x14ac:dyDescent="0.25">
      <c r="A985" t="s">
        <v>103</v>
      </c>
      <c r="B985">
        <v>4</v>
      </c>
      <c r="C985" t="s">
        <v>860</v>
      </c>
      <c r="D985" t="s">
        <v>472</v>
      </c>
      <c r="E985">
        <v>0</v>
      </c>
      <c r="F985">
        <v>9.73</v>
      </c>
      <c r="G985">
        <v>65.61</v>
      </c>
      <c r="H985" t="s">
        <v>87</v>
      </c>
      <c r="I985" t="s">
        <v>87</v>
      </c>
      <c r="J985" t="s">
        <v>27</v>
      </c>
      <c r="K985">
        <f t="shared" si="180"/>
        <v>103.70000000000002</v>
      </c>
      <c r="L985">
        <f t="shared" si="181"/>
        <v>412.10110000000003</v>
      </c>
      <c r="M985" t="str">
        <f t="shared" si="182"/>
        <v>aj-4</v>
      </c>
      <c r="N985" t="str">
        <f>INDEX(Scores!$A$2:$A$11,INDEX(Scores!$AA$2:$AA$131,MATCH(C985,Scores!$AB$2:$AB$131,0)))</f>
        <v>aj</v>
      </c>
      <c r="O985">
        <f t="shared" si="183"/>
        <v>118.09999999999998</v>
      </c>
      <c r="P985">
        <f t="shared" si="184"/>
        <v>465.47660000000008</v>
      </c>
      <c r="Q985" s="3">
        <f t="shared" si="185"/>
        <v>0.31345048172071355</v>
      </c>
      <c r="R985" s="3">
        <f t="shared" si="186"/>
        <v>0.19854944753729908</v>
      </c>
      <c r="S985" s="9">
        <f t="shared" si="187"/>
        <v>-0.11490103418341446</v>
      </c>
      <c r="T985">
        <f t="shared" si="188"/>
        <v>46</v>
      </c>
      <c r="U985">
        <f t="shared" si="189"/>
        <v>80</v>
      </c>
      <c r="V985" s="3">
        <f t="shared" si="190"/>
        <v>1.3664037761453689E-3</v>
      </c>
      <c r="W985" s="9">
        <f t="shared" si="191"/>
        <v>-1.3664037761453689E-3</v>
      </c>
      <c r="AC985"/>
    </row>
    <row r="986" spans="1:29" x14ac:dyDescent="0.25">
      <c r="A986" t="s">
        <v>160</v>
      </c>
      <c r="B986">
        <v>6</v>
      </c>
      <c r="C986" t="s">
        <v>944</v>
      </c>
      <c r="D986" t="s">
        <v>472</v>
      </c>
      <c r="E986">
        <v>5</v>
      </c>
      <c r="F986">
        <v>8.89</v>
      </c>
      <c r="G986">
        <v>28.944400000000002</v>
      </c>
      <c r="H986" t="s">
        <v>87</v>
      </c>
      <c r="I986" t="s">
        <v>87</v>
      </c>
      <c r="J986" t="s">
        <v>62</v>
      </c>
      <c r="K986">
        <f t="shared" si="180"/>
        <v>96.66</v>
      </c>
      <c r="L986">
        <f t="shared" si="181"/>
        <v>373.87420000000003</v>
      </c>
      <c r="M986" t="str">
        <f t="shared" si="182"/>
        <v>lucas-6</v>
      </c>
      <c r="N986" t="str">
        <f>INDEX(Scores!$A$2:$A$11,INDEX(Scores!$AA$2:$AA$131,MATCH(C986,Scores!$AB$2:$AB$131,0)))</f>
        <v>lucas</v>
      </c>
      <c r="O986">
        <f t="shared" si="183"/>
        <v>0</v>
      </c>
      <c r="P986">
        <f t="shared" si="184"/>
        <v>0</v>
      </c>
      <c r="Q986" s="3">
        <f t="shared" si="185"/>
        <v>0.99999971187356196</v>
      </c>
      <c r="R986" s="3">
        <f t="shared" si="186"/>
        <v>0.99999970593870635</v>
      </c>
      <c r="S986" s="9">
        <f t="shared" si="187"/>
        <v>-5.9348556069593883E-9</v>
      </c>
      <c r="T986">
        <f t="shared" si="188"/>
        <v>79</v>
      </c>
      <c r="U986">
        <f t="shared" si="189"/>
        <v>0</v>
      </c>
      <c r="V986" s="3">
        <f t="shared" si="190"/>
        <v>1</v>
      </c>
      <c r="W986" s="9">
        <f t="shared" si="191"/>
        <v>0</v>
      </c>
      <c r="AC986"/>
    </row>
    <row r="987" spans="1:29" x14ac:dyDescent="0.25">
      <c r="A987" t="s">
        <v>140</v>
      </c>
      <c r="B987">
        <v>13</v>
      </c>
      <c r="C987" t="s">
        <v>927</v>
      </c>
      <c r="D987" t="s">
        <v>471</v>
      </c>
      <c r="E987">
        <v>15</v>
      </c>
      <c r="F987">
        <v>9</v>
      </c>
      <c r="G987">
        <v>25.100100000000001</v>
      </c>
      <c r="H987" t="s">
        <v>87</v>
      </c>
      <c r="I987" t="s">
        <v>87</v>
      </c>
      <c r="J987" t="s">
        <v>55</v>
      </c>
      <c r="K987">
        <f t="shared" si="180"/>
        <v>116.54</v>
      </c>
      <c r="L987">
        <f t="shared" si="181"/>
        <v>371.12040000000002</v>
      </c>
      <c r="M987" t="str">
        <f t="shared" si="182"/>
        <v>matty-13</v>
      </c>
      <c r="N987" t="str">
        <f>INDEX(Scores!$A$2:$A$11,INDEX(Scores!$AA$2:$AA$131,MATCH(C987,Scores!$AB$2:$AB$131,0)))</f>
        <v>matty</v>
      </c>
      <c r="O987">
        <f t="shared" si="183"/>
        <v>88.16</v>
      </c>
      <c r="P987">
        <f t="shared" si="184"/>
        <v>330.99250000000001</v>
      </c>
      <c r="Q987" s="3">
        <f t="shared" si="185"/>
        <v>0.85792606530938775</v>
      </c>
      <c r="R987" s="3">
        <f t="shared" si="186"/>
        <v>0.90680236381872414</v>
      </c>
      <c r="S987" s="9">
        <f t="shared" si="187"/>
        <v>4.8876298509336391E-2</v>
      </c>
      <c r="T987">
        <f t="shared" si="188"/>
        <v>108</v>
      </c>
      <c r="U987">
        <f t="shared" si="189"/>
        <v>117</v>
      </c>
      <c r="V987" s="3">
        <f t="shared" si="190"/>
        <v>1.3766756844986628E-3</v>
      </c>
      <c r="W987" s="9">
        <f t="shared" si="191"/>
        <v>-1.3766756844986628E-3</v>
      </c>
      <c r="AC987"/>
    </row>
    <row r="988" spans="1:29" x14ac:dyDescent="0.25">
      <c r="A988" t="s">
        <v>89</v>
      </c>
      <c r="B988">
        <v>7</v>
      </c>
      <c r="C988" t="s">
        <v>921</v>
      </c>
      <c r="D988" t="s">
        <v>468</v>
      </c>
      <c r="E988">
        <v>7</v>
      </c>
      <c r="F988">
        <v>11.1</v>
      </c>
      <c r="G988">
        <v>45.5625</v>
      </c>
      <c r="H988" t="s">
        <v>47</v>
      </c>
      <c r="I988" t="s">
        <v>47</v>
      </c>
      <c r="J988" t="s">
        <v>55</v>
      </c>
      <c r="K988">
        <f t="shared" si="180"/>
        <v>114.01999999999998</v>
      </c>
      <c r="L988">
        <f t="shared" si="181"/>
        <v>381.58529999999996</v>
      </c>
      <c r="M988" t="str">
        <f t="shared" si="182"/>
        <v>devon-7</v>
      </c>
      <c r="N988" t="str">
        <f>INDEX(Scores!$A$2:$A$11,INDEX(Scores!$AA$2:$AA$131,MATCH(C988,Scores!$AB$2:$AB$131,0)))</f>
        <v>devon</v>
      </c>
      <c r="O988">
        <f t="shared" si="183"/>
        <v>106.81</v>
      </c>
      <c r="P988">
        <f t="shared" si="184"/>
        <v>351.64060000000001</v>
      </c>
      <c r="Q988" s="3">
        <f t="shared" si="185"/>
        <v>0.60498297578784854</v>
      </c>
      <c r="R988" s="3">
        <f t="shared" si="186"/>
        <v>0.54720254155787951</v>
      </c>
      <c r="S988" s="9">
        <f t="shared" si="187"/>
        <v>-5.7780434229969035E-2</v>
      </c>
      <c r="T988">
        <f t="shared" si="188"/>
        <v>93</v>
      </c>
      <c r="U988">
        <f t="shared" si="189"/>
        <v>117</v>
      </c>
      <c r="V988" s="3">
        <f t="shared" si="190"/>
        <v>1.5984191114658845E-3</v>
      </c>
      <c r="W988" s="9">
        <f t="shared" si="191"/>
        <v>-1.5984191114658845E-3</v>
      </c>
      <c r="AC988"/>
    </row>
    <row r="989" spans="1:29" x14ac:dyDescent="0.25">
      <c r="A989" t="s">
        <v>447</v>
      </c>
      <c r="B989">
        <v>4</v>
      </c>
      <c r="C989" t="s">
        <v>859</v>
      </c>
      <c r="D989" t="s">
        <v>478</v>
      </c>
      <c r="E989">
        <v>1</v>
      </c>
      <c r="F989">
        <v>7.69</v>
      </c>
      <c r="G989">
        <v>31.136399999999998</v>
      </c>
      <c r="H989" t="s">
        <v>478</v>
      </c>
      <c r="I989" t="s">
        <v>478</v>
      </c>
      <c r="J989" t="s">
        <v>40</v>
      </c>
      <c r="K989">
        <f t="shared" si="180"/>
        <v>103.94999999999999</v>
      </c>
      <c r="L989">
        <f t="shared" si="181"/>
        <v>368.50220000000002</v>
      </c>
      <c r="M989" t="e">
        <f t="shared" si="182"/>
        <v>#N/A</v>
      </c>
      <c r="N989" t="e">
        <f>INDEX(Scores!$A$2:$A$11,INDEX(Scores!$AA$2:$AA$131,MATCH(C989,Scores!$AB$2:$AB$131,0)))</f>
        <v>#N/A</v>
      </c>
      <c r="O989">
        <f t="shared" si="183"/>
        <v>0</v>
      </c>
      <c r="P989">
        <f t="shared" si="184"/>
        <v>0</v>
      </c>
      <c r="Q989" s="3">
        <f t="shared" si="185"/>
        <v>0.99999996936843616</v>
      </c>
      <c r="R989" s="3">
        <f t="shared" si="186"/>
        <v>0.999999940562323</v>
      </c>
      <c r="S989" s="9">
        <f t="shared" si="187"/>
        <v>-2.8806113161472524E-8</v>
      </c>
      <c r="T989">
        <f t="shared" si="188"/>
        <v>69</v>
      </c>
      <c r="U989">
        <f t="shared" si="189"/>
        <v>0</v>
      </c>
      <c r="V989" s="3">
        <f t="shared" si="190"/>
        <v>1</v>
      </c>
      <c r="W989" s="9">
        <f t="shared" si="191"/>
        <v>0</v>
      </c>
      <c r="AC989"/>
    </row>
    <row r="990" spans="1:29" x14ac:dyDescent="0.25">
      <c r="A990" t="s">
        <v>246</v>
      </c>
      <c r="B990">
        <v>13</v>
      </c>
      <c r="C990" t="s">
        <v>927</v>
      </c>
      <c r="D990" t="s">
        <v>472</v>
      </c>
      <c r="E990">
        <v>14</v>
      </c>
      <c r="F990">
        <v>8.16</v>
      </c>
      <c r="G990">
        <v>26.01</v>
      </c>
      <c r="H990" t="s">
        <v>87</v>
      </c>
      <c r="I990" t="s">
        <v>87</v>
      </c>
      <c r="J990" t="s">
        <v>55</v>
      </c>
      <c r="K990">
        <f t="shared" si="180"/>
        <v>116.54</v>
      </c>
      <c r="L990">
        <f t="shared" si="181"/>
        <v>371.12040000000002</v>
      </c>
      <c r="M990" t="str">
        <f t="shared" si="182"/>
        <v>matty-13</v>
      </c>
      <c r="N990" t="str">
        <f>INDEX(Scores!$A$2:$A$11,INDEX(Scores!$AA$2:$AA$131,MATCH(C990,Scores!$AB$2:$AB$131,0)))</f>
        <v>matty</v>
      </c>
      <c r="O990">
        <f t="shared" si="183"/>
        <v>88.16</v>
      </c>
      <c r="P990">
        <f t="shared" si="184"/>
        <v>330.99250000000001</v>
      </c>
      <c r="Q990" s="3">
        <f t="shared" si="185"/>
        <v>0.85792606530938775</v>
      </c>
      <c r="R990" s="3">
        <f t="shared" si="186"/>
        <v>0.90592198787236211</v>
      </c>
      <c r="S990" s="9">
        <f t="shared" si="187"/>
        <v>4.7995922562974358E-2</v>
      </c>
      <c r="T990">
        <f t="shared" si="188"/>
        <v>108</v>
      </c>
      <c r="U990">
        <f t="shared" si="189"/>
        <v>117</v>
      </c>
      <c r="V990" s="3">
        <f t="shared" si="190"/>
        <v>1.8082778491909743E-3</v>
      </c>
      <c r="W990" s="9">
        <f t="shared" si="191"/>
        <v>-1.8082778491909743E-3</v>
      </c>
      <c r="AC990"/>
    </row>
    <row r="991" spans="1:29" x14ac:dyDescent="0.25">
      <c r="A991" t="s">
        <v>116</v>
      </c>
      <c r="B991">
        <v>6</v>
      </c>
      <c r="C991" t="s">
        <v>928</v>
      </c>
      <c r="D991" t="s">
        <v>472</v>
      </c>
      <c r="E991">
        <v>11</v>
      </c>
      <c r="F991">
        <v>10.220000000000001</v>
      </c>
      <c r="G991">
        <v>46.648899999999998</v>
      </c>
      <c r="H991" t="s">
        <v>87</v>
      </c>
      <c r="I991" t="s">
        <v>87</v>
      </c>
      <c r="J991" t="s">
        <v>35</v>
      </c>
      <c r="K991">
        <f t="shared" si="180"/>
        <v>101.41999999999999</v>
      </c>
      <c r="L991">
        <f t="shared" si="181"/>
        <v>401.13359999999994</v>
      </c>
      <c r="M991" t="str">
        <f t="shared" si="182"/>
        <v>comp-6</v>
      </c>
      <c r="N991" t="str">
        <f>INDEX(Scores!$A$2:$A$11,INDEX(Scores!$AA$2:$AA$131,MATCH(C991,Scores!$AB$2:$AB$131,0)))</f>
        <v>comp</v>
      </c>
      <c r="O991">
        <f t="shared" si="183"/>
        <v>104.66</v>
      </c>
      <c r="P991">
        <f t="shared" si="184"/>
        <v>375.94899999999996</v>
      </c>
      <c r="Q991" s="3">
        <f t="shared" si="185"/>
        <v>0.45373585390093107</v>
      </c>
      <c r="R991" s="3">
        <f t="shared" si="186"/>
        <v>0.46373769394552239</v>
      </c>
      <c r="S991" s="9">
        <f t="shared" si="187"/>
        <v>1.0001840044591315E-2</v>
      </c>
      <c r="T991">
        <f t="shared" si="188"/>
        <v>72</v>
      </c>
      <c r="U991">
        <f t="shared" si="189"/>
        <v>91</v>
      </c>
      <c r="V991" s="3">
        <f t="shared" si="190"/>
        <v>1.8894798789708071E-3</v>
      </c>
      <c r="W991" s="9">
        <f t="shared" si="191"/>
        <v>-1.8894798789708071E-3</v>
      </c>
      <c r="AC991"/>
    </row>
    <row r="992" spans="1:29" x14ac:dyDescent="0.25">
      <c r="A992" t="s">
        <v>109</v>
      </c>
      <c r="B992">
        <v>3</v>
      </c>
      <c r="C992" t="s">
        <v>809</v>
      </c>
      <c r="D992" t="s">
        <v>468</v>
      </c>
      <c r="E992">
        <v>4</v>
      </c>
      <c r="F992">
        <v>13.12</v>
      </c>
      <c r="G992">
        <v>52.128399999999999</v>
      </c>
      <c r="H992" t="s">
        <v>47</v>
      </c>
      <c r="I992" t="s">
        <v>47</v>
      </c>
      <c r="J992" t="s">
        <v>23</v>
      </c>
      <c r="K992">
        <f t="shared" si="180"/>
        <v>101.86999999999999</v>
      </c>
      <c r="L992">
        <f t="shared" si="181"/>
        <v>350.57169999999996</v>
      </c>
      <c r="M992" t="str">
        <f t="shared" si="182"/>
        <v>scott-3</v>
      </c>
      <c r="N992" t="str">
        <f>INDEX(Scores!$A$2:$A$11,INDEX(Scores!$AA$2:$AA$131,MATCH(C992,Scores!$AB$2:$AB$131,0)))</f>
        <v>scott</v>
      </c>
      <c r="O992">
        <f t="shared" si="183"/>
        <v>110.35</v>
      </c>
      <c r="P992">
        <f t="shared" si="184"/>
        <v>442.53309999999999</v>
      </c>
      <c r="Q992" s="3">
        <f t="shared" si="185"/>
        <v>0.38166388462507189</v>
      </c>
      <c r="R992" s="3">
        <f t="shared" si="186"/>
        <v>0.25895758301929184</v>
      </c>
      <c r="S992" s="9">
        <f t="shared" si="187"/>
        <v>-0.12270630160578005</v>
      </c>
      <c r="T992">
        <f t="shared" si="188"/>
        <v>102</v>
      </c>
      <c r="U992">
        <f t="shared" si="189"/>
        <v>132</v>
      </c>
      <c r="V992" s="3">
        <f t="shared" si="190"/>
        <v>1.9141922502044727E-3</v>
      </c>
      <c r="W992" s="9">
        <f t="shared" si="191"/>
        <v>-1.9141922502044727E-3</v>
      </c>
      <c r="AC992"/>
    </row>
    <row r="993" spans="1:29" x14ac:dyDescent="0.25">
      <c r="A993" t="s">
        <v>96</v>
      </c>
      <c r="B993">
        <v>4</v>
      </c>
      <c r="C993" t="s">
        <v>860</v>
      </c>
      <c r="D993" t="s">
        <v>471</v>
      </c>
      <c r="E993">
        <v>3</v>
      </c>
      <c r="F993">
        <v>13.57</v>
      </c>
      <c r="G993">
        <v>65.772099999999995</v>
      </c>
      <c r="H993" t="s">
        <v>87</v>
      </c>
      <c r="I993" t="s">
        <v>87</v>
      </c>
      <c r="J993" t="s">
        <v>27</v>
      </c>
      <c r="K993">
        <f t="shared" si="180"/>
        <v>103.70000000000002</v>
      </c>
      <c r="L993">
        <f t="shared" si="181"/>
        <v>412.10110000000003</v>
      </c>
      <c r="M993" t="str">
        <f t="shared" si="182"/>
        <v>aj-4</v>
      </c>
      <c r="N993" t="str">
        <f>INDEX(Scores!$A$2:$A$11,INDEX(Scores!$AA$2:$AA$131,MATCH(C993,Scores!$AB$2:$AB$131,0)))</f>
        <v>aj</v>
      </c>
      <c r="O993">
        <f t="shared" si="183"/>
        <v>118.09999999999998</v>
      </c>
      <c r="P993">
        <f t="shared" si="184"/>
        <v>465.47660000000008</v>
      </c>
      <c r="Q993" s="3">
        <f t="shared" si="185"/>
        <v>0.31345048172071355</v>
      </c>
      <c r="R993" s="3">
        <f t="shared" si="186"/>
        <v>0.19041170909214913</v>
      </c>
      <c r="S993" s="9">
        <f t="shared" si="187"/>
        <v>-0.12303877262856441</v>
      </c>
      <c r="T993">
        <f t="shared" si="188"/>
        <v>46</v>
      </c>
      <c r="U993">
        <f t="shared" si="189"/>
        <v>80</v>
      </c>
      <c r="V993" s="3">
        <f t="shared" si="190"/>
        <v>1.9321862554496205E-3</v>
      </c>
      <c r="W993" s="9">
        <f t="shared" si="191"/>
        <v>-1.9321862554496205E-3</v>
      </c>
      <c r="AC993"/>
    </row>
    <row r="994" spans="1:29" x14ac:dyDescent="0.25">
      <c r="A994" t="s">
        <v>136</v>
      </c>
      <c r="B994">
        <v>7</v>
      </c>
      <c r="C994" t="s">
        <v>921</v>
      </c>
      <c r="D994" t="s">
        <v>472</v>
      </c>
      <c r="E994">
        <v>0</v>
      </c>
      <c r="F994">
        <v>9.1</v>
      </c>
      <c r="G994">
        <v>27.144100000000002</v>
      </c>
      <c r="H994" t="s">
        <v>87</v>
      </c>
      <c r="I994" t="s">
        <v>87</v>
      </c>
      <c r="J994" t="s">
        <v>55</v>
      </c>
      <c r="K994">
        <f t="shared" si="180"/>
        <v>114.01999999999998</v>
      </c>
      <c r="L994">
        <f t="shared" si="181"/>
        <v>381.58529999999996</v>
      </c>
      <c r="M994" t="str">
        <f t="shared" si="182"/>
        <v>devon-7</v>
      </c>
      <c r="N994" t="str">
        <f>INDEX(Scores!$A$2:$A$11,INDEX(Scores!$AA$2:$AA$131,MATCH(C994,Scores!$AB$2:$AB$131,0)))</f>
        <v>devon</v>
      </c>
      <c r="O994">
        <f t="shared" si="183"/>
        <v>106.81</v>
      </c>
      <c r="P994">
        <f t="shared" si="184"/>
        <v>351.64060000000001</v>
      </c>
      <c r="Q994" s="3">
        <f t="shared" si="185"/>
        <v>0.60498297578784854</v>
      </c>
      <c r="R994" s="3">
        <f t="shared" si="186"/>
        <v>0.47164835260894922</v>
      </c>
      <c r="S994" s="9">
        <f t="shared" si="187"/>
        <v>-0.13333462317889933</v>
      </c>
      <c r="T994">
        <f t="shared" si="188"/>
        <v>93</v>
      </c>
      <c r="U994">
        <f t="shared" si="189"/>
        <v>117</v>
      </c>
      <c r="V994" s="3">
        <f t="shared" si="190"/>
        <v>2.1189743790401231E-3</v>
      </c>
      <c r="W994" s="9">
        <f t="shared" si="191"/>
        <v>-2.1189743790401231E-3</v>
      </c>
      <c r="AC994"/>
    </row>
    <row r="995" spans="1:29" x14ac:dyDescent="0.25">
      <c r="A995" t="s">
        <v>112</v>
      </c>
      <c r="B995">
        <v>7</v>
      </c>
      <c r="C995" t="s">
        <v>969</v>
      </c>
      <c r="D995" t="s">
        <v>466</v>
      </c>
      <c r="E995">
        <v>4</v>
      </c>
      <c r="F995">
        <v>8.23</v>
      </c>
      <c r="G995">
        <v>20.25</v>
      </c>
      <c r="H995" t="s">
        <v>466</v>
      </c>
      <c r="I995" t="s">
        <v>47</v>
      </c>
      <c r="J995" t="s">
        <v>49</v>
      </c>
      <c r="K995">
        <f t="shared" si="180"/>
        <v>87.490000000000009</v>
      </c>
      <c r="L995">
        <f t="shared" si="181"/>
        <v>277.88929999999999</v>
      </c>
      <c r="M995" t="str">
        <f t="shared" si="182"/>
        <v>scott-7</v>
      </c>
      <c r="N995" t="str">
        <f>INDEX(Scores!$A$2:$A$11,INDEX(Scores!$AA$2:$AA$131,MATCH(C995,Scores!$AB$2:$AB$131,0)))</f>
        <v>scott</v>
      </c>
      <c r="O995">
        <f t="shared" si="183"/>
        <v>114.48000000000002</v>
      </c>
      <c r="P995">
        <f t="shared" si="184"/>
        <v>430.3667999999999</v>
      </c>
      <c r="Q995" s="3">
        <f t="shared" si="185"/>
        <v>0.15525251215631256</v>
      </c>
      <c r="R995" s="3">
        <f t="shared" si="186"/>
        <v>0.11697484629980791</v>
      </c>
      <c r="S995" s="9">
        <f t="shared" si="187"/>
        <v>-3.8277665856504647E-2</v>
      </c>
      <c r="T995">
        <f t="shared" si="188"/>
        <v>65</v>
      </c>
      <c r="U995">
        <f t="shared" si="189"/>
        <v>82</v>
      </c>
      <c r="V995" s="3">
        <f t="shared" si="190"/>
        <v>2.2714399344701567E-3</v>
      </c>
      <c r="W995" s="9">
        <f t="shared" si="191"/>
        <v>-2.2714399344701567E-3</v>
      </c>
      <c r="AC995"/>
    </row>
    <row r="996" spans="1:29" x14ac:dyDescent="0.25">
      <c r="A996" t="s">
        <v>160</v>
      </c>
      <c r="B996">
        <v>7</v>
      </c>
      <c r="C996" t="s">
        <v>921</v>
      </c>
      <c r="D996" t="s">
        <v>473</v>
      </c>
      <c r="E996">
        <v>4</v>
      </c>
      <c r="F996">
        <v>10.62</v>
      </c>
      <c r="G996">
        <v>37.699599999999997</v>
      </c>
      <c r="H996" t="s">
        <v>87</v>
      </c>
      <c r="I996" t="s">
        <v>87</v>
      </c>
      <c r="J996" t="s">
        <v>55</v>
      </c>
      <c r="K996">
        <f t="shared" si="180"/>
        <v>114.01999999999998</v>
      </c>
      <c r="L996">
        <f t="shared" si="181"/>
        <v>381.58529999999996</v>
      </c>
      <c r="M996" t="str">
        <f t="shared" si="182"/>
        <v>devon-7</v>
      </c>
      <c r="N996" t="str">
        <f>INDEX(Scores!$A$2:$A$11,INDEX(Scores!$AA$2:$AA$131,MATCH(C996,Scores!$AB$2:$AB$131,0)))</f>
        <v>devon</v>
      </c>
      <c r="O996">
        <f t="shared" si="183"/>
        <v>106.81</v>
      </c>
      <c r="P996">
        <f t="shared" si="184"/>
        <v>351.64060000000001</v>
      </c>
      <c r="Q996" s="3">
        <f t="shared" si="185"/>
        <v>0.60498297578784854</v>
      </c>
      <c r="R996" s="3">
        <f t="shared" si="186"/>
        <v>0.50892419546693168</v>
      </c>
      <c r="S996" s="9">
        <f t="shared" si="187"/>
        <v>-9.6058780320916859E-2</v>
      </c>
      <c r="T996">
        <f t="shared" si="188"/>
        <v>93</v>
      </c>
      <c r="U996">
        <f t="shared" si="189"/>
        <v>117</v>
      </c>
      <c r="V996" s="3">
        <f t="shared" si="190"/>
        <v>2.3229020513323094E-3</v>
      </c>
      <c r="W996" s="9">
        <f t="shared" si="191"/>
        <v>-2.3229020513323094E-3</v>
      </c>
      <c r="AC996"/>
    </row>
    <row r="997" spans="1:29" x14ac:dyDescent="0.25">
      <c r="A997" t="s">
        <v>108</v>
      </c>
      <c r="B997">
        <v>6</v>
      </c>
      <c r="C997" t="s">
        <v>960</v>
      </c>
      <c r="D997" t="s">
        <v>471</v>
      </c>
      <c r="E997">
        <v>9</v>
      </c>
      <c r="F997">
        <v>9.9700000000000006</v>
      </c>
      <c r="G997">
        <v>32.2624</v>
      </c>
      <c r="H997" t="s">
        <v>87</v>
      </c>
      <c r="I997" t="s">
        <v>87</v>
      </c>
      <c r="J997" t="s">
        <v>23</v>
      </c>
      <c r="K997">
        <f t="shared" si="180"/>
        <v>88.72</v>
      </c>
      <c r="L997">
        <f t="shared" si="181"/>
        <v>407.6961</v>
      </c>
      <c r="M997" t="str">
        <f t="shared" si="182"/>
        <v>matty-6</v>
      </c>
      <c r="N997" t="str">
        <f>INDEX(Scores!$A$2:$A$11,INDEX(Scores!$AA$2:$AA$131,MATCH(C997,Scores!$AB$2:$AB$131,0)))</f>
        <v>matty</v>
      </c>
      <c r="O997">
        <f t="shared" si="183"/>
        <v>109.91000000000001</v>
      </c>
      <c r="P997">
        <f t="shared" si="184"/>
        <v>387.28550000000001</v>
      </c>
      <c r="Q997" s="3">
        <f t="shared" si="185"/>
        <v>0.22616370321424212</v>
      </c>
      <c r="R997" s="3">
        <f t="shared" si="186"/>
        <v>0.21116267812030975</v>
      </c>
      <c r="S997" s="9">
        <f t="shared" si="187"/>
        <v>-1.5001025093932363E-2</v>
      </c>
      <c r="T997">
        <f t="shared" si="188"/>
        <v>102</v>
      </c>
      <c r="U997">
        <f t="shared" si="189"/>
        <v>119</v>
      </c>
      <c r="V997" s="3">
        <f t="shared" si="190"/>
        <v>2.3848968201053309E-3</v>
      </c>
      <c r="W997" s="9">
        <f t="shared" si="191"/>
        <v>-2.3848968201053309E-3</v>
      </c>
      <c r="AC997"/>
    </row>
    <row r="998" spans="1:29" x14ac:dyDescent="0.25">
      <c r="A998" t="s">
        <v>183</v>
      </c>
      <c r="B998">
        <v>5</v>
      </c>
      <c r="C998" t="s">
        <v>882</v>
      </c>
      <c r="D998" t="s">
        <v>466</v>
      </c>
      <c r="E998">
        <v>14</v>
      </c>
      <c r="F998">
        <v>7.4</v>
      </c>
      <c r="G998">
        <v>19.980899999999998</v>
      </c>
      <c r="H998" t="s">
        <v>466</v>
      </c>
      <c r="I998" t="s">
        <v>47</v>
      </c>
      <c r="J998" t="s">
        <v>44</v>
      </c>
      <c r="K998">
        <f t="shared" si="180"/>
        <v>98.72999999999999</v>
      </c>
      <c r="L998">
        <f t="shared" si="181"/>
        <v>396.28840000000002</v>
      </c>
      <c r="M998" t="str">
        <f t="shared" si="182"/>
        <v>perry-5</v>
      </c>
      <c r="N998" t="str">
        <f>INDEX(Scores!$A$2:$A$11,INDEX(Scores!$AA$2:$AA$131,MATCH(C998,Scores!$AB$2:$AB$131,0)))</f>
        <v>perry</v>
      </c>
      <c r="O998">
        <f t="shared" si="183"/>
        <v>97.27</v>
      </c>
      <c r="P998">
        <f t="shared" si="184"/>
        <v>430.39269999999999</v>
      </c>
      <c r="Q998" s="3">
        <f t="shared" si="185"/>
        <v>0.52024917394329329</v>
      </c>
      <c r="R998" s="3">
        <f t="shared" si="186"/>
        <v>0.61170980148000631</v>
      </c>
      <c r="S998" s="9">
        <f t="shared" si="187"/>
        <v>9.1460627536713024E-2</v>
      </c>
      <c r="T998">
        <f t="shared" si="188"/>
        <v>90</v>
      </c>
      <c r="U998">
        <f t="shared" si="189"/>
        <v>96</v>
      </c>
      <c r="V998" s="3">
        <f t="shared" si="190"/>
        <v>2.4102375991058487E-3</v>
      </c>
      <c r="W998" s="9">
        <f t="shared" si="191"/>
        <v>-2.4102375991058487E-3</v>
      </c>
      <c r="AC998"/>
    </row>
    <row r="999" spans="1:29" x14ac:dyDescent="0.25">
      <c r="A999" t="s">
        <v>1100</v>
      </c>
      <c r="B999">
        <v>6</v>
      </c>
      <c r="C999" t="s">
        <v>944</v>
      </c>
      <c r="D999" t="s">
        <v>468</v>
      </c>
      <c r="E999">
        <v>11</v>
      </c>
      <c r="F999">
        <v>12.45</v>
      </c>
      <c r="G999">
        <v>44.355600000000003</v>
      </c>
      <c r="H999" t="s">
        <v>47</v>
      </c>
      <c r="I999" t="s">
        <v>47</v>
      </c>
      <c r="J999" t="s">
        <v>62</v>
      </c>
      <c r="K999">
        <f t="shared" si="180"/>
        <v>96.66</v>
      </c>
      <c r="L999">
        <f t="shared" si="181"/>
        <v>373.87420000000003</v>
      </c>
      <c r="M999" t="str">
        <f t="shared" si="182"/>
        <v>lucas-6</v>
      </c>
      <c r="N999" t="str">
        <f>INDEX(Scores!$A$2:$A$11,INDEX(Scores!$AA$2:$AA$131,MATCH(C999,Scores!$AB$2:$AB$131,0)))</f>
        <v>lucas</v>
      </c>
      <c r="O999">
        <f t="shared" si="183"/>
        <v>0</v>
      </c>
      <c r="P999">
        <f t="shared" si="184"/>
        <v>0</v>
      </c>
      <c r="Q999" s="3">
        <f t="shared" si="185"/>
        <v>0.99999971187356196</v>
      </c>
      <c r="R999" s="3">
        <f t="shared" si="186"/>
        <v>0.99999992184402064</v>
      </c>
      <c r="S999" s="9">
        <f t="shared" si="187"/>
        <v>2.0997045868664799E-7</v>
      </c>
      <c r="T999">
        <f t="shared" si="188"/>
        <v>79</v>
      </c>
      <c r="U999">
        <f t="shared" si="189"/>
        <v>0</v>
      </c>
      <c r="V999" s="3">
        <f t="shared" si="190"/>
        <v>1</v>
      </c>
      <c r="W999" s="9">
        <f t="shared" si="191"/>
        <v>0</v>
      </c>
      <c r="AC999"/>
    </row>
    <row r="1000" spans="1:29" x14ac:dyDescent="0.25">
      <c r="A1000" t="s">
        <v>414</v>
      </c>
      <c r="B1000">
        <v>9</v>
      </c>
      <c r="C1000" t="s">
        <v>923</v>
      </c>
      <c r="D1000" t="s">
        <v>477</v>
      </c>
      <c r="E1000">
        <v>10</v>
      </c>
      <c r="F1000">
        <v>10.08</v>
      </c>
      <c r="G1000">
        <v>46.376100000000001</v>
      </c>
      <c r="H1000" t="s">
        <v>477</v>
      </c>
      <c r="I1000" t="s">
        <v>477</v>
      </c>
      <c r="J1000" t="s">
        <v>55</v>
      </c>
      <c r="K1000">
        <f t="shared" si="180"/>
        <v>102.03999999999999</v>
      </c>
      <c r="L1000">
        <f t="shared" si="181"/>
        <v>392.2131</v>
      </c>
      <c r="M1000" t="str">
        <f t="shared" si="182"/>
        <v>perry-9</v>
      </c>
      <c r="N1000" t="str">
        <f>INDEX(Scores!$A$2:$A$11,INDEX(Scores!$AA$2:$AA$131,MATCH(C1000,Scores!$AB$2:$AB$131,0)))</f>
        <v>perry</v>
      </c>
      <c r="O1000">
        <f t="shared" si="183"/>
        <v>98.35</v>
      </c>
      <c r="P1000">
        <f t="shared" si="184"/>
        <v>385.97739999999999</v>
      </c>
      <c r="Q1000" s="3">
        <f t="shared" si="185"/>
        <v>0.5526172882097643</v>
      </c>
      <c r="R1000" s="3">
        <f t="shared" si="186"/>
        <v>0.55307980768484799</v>
      </c>
      <c r="S1000" s="9">
        <f t="shared" si="187"/>
        <v>4.6251947508368918E-4</v>
      </c>
      <c r="T1000">
        <f t="shared" si="188"/>
        <v>86</v>
      </c>
      <c r="U1000">
        <f t="shared" si="189"/>
        <v>105</v>
      </c>
      <c r="V1000" s="3">
        <f t="shared" si="190"/>
        <v>2.7324824462803942E-3</v>
      </c>
      <c r="W1000" s="9">
        <f t="shared" si="191"/>
        <v>-2.7324824462803942E-3</v>
      </c>
      <c r="AC1000"/>
    </row>
    <row r="1001" spans="1:29" x14ac:dyDescent="0.25">
      <c r="A1001" t="s">
        <v>446</v>
      </c>
      <c r="B1001">
        <v>2</v>
      </c>
      <c r="C1001" t="s">
        <v>625</v>
      </c>
      <c r="D1001" t="s">
        <v>478</v>
      </c>
      <c r="E1001">
        <v>11</v>
      </c>
      <c r="F1001">
        <v>8.9</v>
      </c>
      <c r="G1001">
        <v>16.160399999999999</v>
      </c>
      <c r="H1001" t="s">
        <v>478</v>
      </c>
      <c r="I1001" t="s">
        <v>478</v>
      </c>
      <c r="J1001" t="s">
        <v>55</v>
      </c>
      <c r="K1001">
        <f t="shared" si="180"/>
        <v>103.77999999999999</v>
      </c>
      <c r="L1001">
        <f t="shared" si="181"/>
        <v>338.9511</v>
      </c>
      <c r="M1001" t="str">
        <f t="shared" si="182"/>
        <v>chad-2</v>
      </c>
      <c r="N1001" t="str">
        <f>INDEX(Scores!$A$2:$A$11,INDEX(Scores!$AA$2:$AA$131,MATCH(C1001,Scores!$AB$2:$AB$131,0)))</f>
        <v>chad</v>
      </c>
      <c r="O1001">
        <f t="shared" si="183"/>
        <v>102.72000000000001</v>
      </c>
      <c r="P1001">
        <f t="shared" si="184"/>
        <v>348.54960000000005</v>
      </c>
      <c r="Q1001" s="3">
        <f t="shared" si="185"/>
        <v>0.51612356509096413</v>
      </c>
      <c r="R1001" s="3">
        <f t="shared" si="186"/>
        <v>0.54853446327203514</v>
      </c>
      <c r="S1001" s="9">
        <f t="shared" si="187"/>
        <v>3.2410898181071013E-2</v>
      </c>
      <c r="T1001">
        <f t="shared" si="188"/>
        <v>90</v>
      </c>
      <c r="U1001">
        <f t="shared" si="189"/>
        <v>99</v>
      </c>
      <c r="V1001" s="3">
        <f t="shared" si="190"/>
        <v>2.8795225341883201E-3</v>
      </c>
      <c r="W1001" s="9">
        <f t="shared" si="191"/>
        <v>-2.8795225341883201E-3</v>
      </c>
      <c r="AC1001"/>
    </row>
    <row r="1002" spans="1:29" x14ac:dyDescent="0.25">
      <c r="A1002" t="s">
        <v>136</v>
      </c>
      <c r="B1002">
        <v>10</v>
      </c>
      <c r="C1002" t="s">
        <v>916</v>
      </c>
      <c r="D1002" t="s">
        <v>473</v>
      </c>
      <c r="E1002">
        <v>10</v>
      </c>
      <c r="F1002">
        <v>9.57</v>
      </c>
      <c r="G1002">
        <v>31.472100000000001</v>
      </c>
      <c r="H1002" t="s">
        <v>87</v>
      </c>
      <c r="I1002" t="s">
        <v>87</v>
      </c>
      <c r="J1002" t="s">
        <v>16</v>
      </c>
      <c r="K1002">
        <f t="shared" si="180"/>
        <v>93.17</v>
      </c>
      <c r="L1002">
        <f t="shared" si="181"/>
        <v>328.34589999999997</v>
      </c>
      <c r="M1002" t="str">
        <f t="shared" si="182"/>
        <v>perry-10</v>
      </c>
      <c r="N1002" t="str">
        <f>INDEX(Scores!$A$2:$A$11,INDEX(Scores!$AA$2:$AA$131,MATCH(C1002,Scores!$AB$2:$AB$131,0)))</f>
        <v>perry</v>
      </c>
      <c r="O1002">
        <f t="shared" si="183"/>
        <v>103.49</v>
      </c>
      <c r="P1002">
        <f t="shared" si="184"/>
        <v>345.28400000000005</v>
      </c>
      <c r="Q1002" s="3">
        <f t="shared" si="185"/>
        <v>0.34545488835543114</v>
      </c>
      <c r="R1002" s="3">
        <f t="shared" si="186"/>
        <v>0.34816504963708228</v>
      </c>
      <c r="S1002" s="9">
        <f t="shared" si="187"/>
        <v>2.7101612816511356E-3</v>
      </c>
      <c r="T1002">
        <f t="shared" si="188"/>
        <v>91</v>
      </c>
      <c r="U1002">
        <f t="shared" si="189"/>
        <v>106</v>
      </c>
      <c r="V1002" s="3">
        <f t="shared" si="190"/>
        <v>2.9757133275498766E-3</v>
      </c>
      <c r="W1002" s="9">
        <f t="shared" si="191"/>
        <v>-2.9757133275498766E-3</v>
      </c>
      <c r="AC1002"/>
    </row>
    <row r="1003" spans="1:29" x14ac:dyDescent="0.25">
      <c r="A1003" t="s">
        <v>53</v>
      </c>
      <c r="B1003">
        <v>9</v>
      </c>
      <c r="C1003" t="s">
        <v>923</v>
      </c>
      <c r="D1003" t="s">
        <v>467</v>
      </c>
      <c r="E1003">
        <v>22</v>
      </c>
      <c r="F1003">
        <v>19.11</v>
      </c>
      <c r="G1003">
        <v>63.520899999999997</v>
      </c>
      <c r="H1003" t="s">
        <v>15</v>
      </c>
      <c r="I1003" t="s">
        <v>15</v>
      </c>
      <c r="J1003" t="s">
        <v>55</v>
      </c>
      <c r="K1003">
        <f t="shared" si="180"/>
        <v>102.03999999999999</v>
      </c>
      <c r="L1003">
        <f t="shared" si="181"/>
        <v>392.2131</v>
      </c>
      <c r="M1003" t="str">
        <f t="shared" si="182"/>
        <v>perry-9</v>
      </c>
      <c r="N1003" t="str">
        <f>INDEX(Scores!$A$2:$A$11,INDEX(Scores!$AA$2:$AA$131,MATCH(C1003,Scores!$AB$2:$AB$131,0)))</f>
        <v>perry</v>
      </c>
      <c r="O1003">
        <f t="shared" si="183"/>
        <v>98.35</v>
      </c>
      <c r="P1003">
        <f t="shared" si="184"/>
        <v>385.97739999999999</v>
      </c>
      <c r="Q1003" s="3">
        <f t="shared" si="185"/>
        <v>0.5526172882097643</v>
      </c>
      <c r="R1003" s="3">
        <f t="shared" si="186"/>
        <v>0.59721110529918575</v>
      </c>
      <c r="S1003" s="9">
        <f t="shared" si="187"/>
        <v>4.459381708942145E-2</v>
      </c>
      <c r="T1003">
        <f t="shared" si="188"/>
        <v>86</v>
      </c>
      <c r="U1003">
        <f t="shared" si="189"/>
        <v>105</v>
      </c>
      <c r="V1003" s="3">
        <f t="shared" si="190"/>
        <v>3.0112892909119836E-3</v>
      </c>
      <c r="W1003" s="9">
        <f t="shared" si="191"/>
        <v>-3.0112892909119836E-3</v>
      </c>
      <c r="AC1003"/>
    </row>
    <row r="1004" spans="1:29" x14ac:dyDescent="0.25">
      <c r="A1004" t="s">
        <v>1100</v>
      </c>
      <c r="B1004">
        <v>7</v>
      </c>
      <c r="C1004" t="s">
        <v>945</v>
      </c>
      <c r="D1004" t="s">
        <v>468</v>
      </c>
      <c r="E1004">
        <v>20</v>
      </c>
      <c r="F1004">
        <v>13.94</v>
      </c>
      <c r="G1004">
        <v>48.163600000000002</v>
      </c>
      <c r="H1004" t="s">
        <v>47</v>
      </c>
      <c r="I1004" t="s">
        <v>47</v>
      </c>
      <c r="J1004" t="s">
        <v>62</v>
      </c>
      <c r="K1004">
        <f t="shared" si="180"/>
        <v>99.759999999999991</v>
      </c>
      <c r="L1004">
        <f t="shared" si="181"/>
        <v>339.923</v>
      </c>
      <c r="M1004" t="str">
        <f t="shared" si="182"/>
        <v>perry-7</v>
      </c>
      <c r="N1004" t="str">
        <f>INDEX(Scores!$A$2:$A$11,INDEX(Scores!$AA$2:$AA$131,MATCH(C1004,Scores!$AB$2:$AB$131,0)))</f>
        <v>perry</v>
      </c>
      <c r="O1004">
        <f t="shared" si="183"/>
        <v>103.81000000000002</v>
      </c>
      <c r="P1004">
        <f t="shared" si="184"/>
        <v>404.20889999999997</v>
      </c>
      <c r="Q1004" s="3">
        <f t="shared" si="185"/>
        <v>0.44098709635876499</v>
      </c>
      <c r="R1004" s="3">
        <f t="shared" si="186"/>
        <v>0.530366264887425</v>
      </c>
      <c r="S1004" s="9">
        <f t="shared" si="187"/>
        <v>8.9379168528660013E-2</v>
      </c>
      <c r="T1004">
        <f t="shared" si="188"/>
        <v>102</v>
      </c>
      <c r="U1004">
        <f t="shared" si="189"/>
        <v>115</v>
      </c>
      <c r="V1004" s="3">
        <f t="shared" si="190"/>
        <v>3.0126837456872905E-3</v>
      </c>
      <c r="W1004" s="9">
        <f t="shared" si="191"/>
        <v>-3.0126837456872905E-3</v>
      </c>
      <c r="AC1004"/>
    </row>
    <row r="1005" spans="1:29" x14ac:dyDescent="0.25">
      <c r="A1005" t="s">
        <v>158</v>
      </c>
      <c r="B1005">
        <v>1</v>
      </c>
      <c r="C1005" t="s">
        <v>508</v>
      </c>
      <c r="D1005" t="s">
        <v>466</v>
      </c>
      <c r="E1005">
        <v>1</v>
      </c>
      <c r="F1005">
        <v>5.33</v>
      </c>
      <c r="G1005">
        <v>24.8004</v>
      </c>
      <c r="H1005" t="s">
        <v>466</v>
      </c>
      <c r="I1005" t="s">
        <v>47</v>
      </c>
      <c r="J1005" t="s">
        <v>23</v>
      </c>
      <c r="K1005">
        <f t="shared" si="180"/>
        <v>94.44</v>
      </c>
      <c r="L1005">
        <f t="shared" si="181"/>
        <v>399.28809999999999</v>
      </c>
      <c r="M1005" t="str">
        <f t="shared" si="182"/>
        <v>cory-1</v>
      </c>
      <c r="N1005" t="str">
        <f>INDEX(Scores!$A$2:$A$11,INDEX(Scores!$AA$2:$AA$131,MATCH(C1005,Scores!$AB$2:$AB$131,0)))</f>
        <v>cory</v>
      </c>
      <c r="O1005">
        <f t="shared" si="183"/>
        <v>105.11000000000001</v>
      </c>
      <c r="P1005">
        <f t="shared" si="184"/>
        <v>445.52289999999994</v>
      </c>
      <c r="Q1005" s="3">
        <f t="shared" si="185"/>
        <v>0.35677213328906182</v>
      </c>
      <c r="R1005" s="3">
        <f t="shared" si="186"/>
        <v>0.30020210157177513</v>
      </c>
      <c r="S1005" s="9">
        <f t="shared" si="187"/>
        <v>-5.6570031717286695E-2</v>
      </c>
      <c r="T1005">
        <f t="shared" si="188"/>
        <v>82</v>
      </c>
      <c r="U1005">
        <f t="shared" si="189"/>
        <v>100</v>
      </c>
      <c r="V1005" s="3">
        <f t="shared" si="190"/>
        <v>3.0257300175672666E-3</v>
      </c>
      <c r="W1005" s="9">
        <f t="shared" si="191"/>
        <v>-3.0257300175672666E-3</v>
      </c>
      <c r="AC1005"/>
    </row>
    <row r="1006" spans="1:29" x14ac:dyDescent="0.25">
      <c r="A1006" t="s">
        <v>206</v>
      </c>
      <c r="B1006">
        <v>11</v>
      </c>
      <c r="C1006" t="s">
        <v>981</v>
      </c>
      <c r="D1006" t="s">
        <v>475</v>
      </c>
      <c r="E1006">
        <v>0</v>
      </c>
      <c r="F1006">
        <v>7.28</v>
      </c>
      <c r="G1006">
        <v>21.622499999999999</v>
      </c>
      <c r="H1006" t="s">
        <v>114</v>
      </c>
      <c r="I1006" t="s">
        <v>114</v>
      </c>
      <c r="J1006" t="s">
        <v>44</v>
      </c>
      <c r="K1006">
        <f t="shared" si="180"/>
        <v>98.329999999999984</v>
      </c>
      <c r="L1006">
        <f t="shared" si="181"/>
        <v>378.70709999999997</v>
      </c>
      <c r="M1006" t="str">
        <f t="shared" si="182"/>
        <v>aj-11</v>
      </c>
      <c r="N1006" t="str">
        <f>INDEX(Scores!$A$2:$A$11,INDEX(Scores!$AA$2:$AA$131,MATCH(C1006,Scores!$AB$2:$AB$131,0)))</f>
        <v>aj</v>
      </c>
      <c r="O1006">
        <f t="shared" si="183"/>
        <v>110.11</v>
      </c>
      <c r="P1006">
        <f t="shared" si="184"/>
        <v>412.79880000000003</v>
      </c>
      <c r="Q1006" s="3">
        <f t="shared" si="185"/>
        <v>0.33771232413612995</v>
      </c>
      <c r="R1006" s="3">
        <f t="shared" si="186"/>
        <v>0.24606444967175212</v>
      </c>
      <c r="S1006" s="9">
        <f t="shared" si="187"/>
        <v>-9.1647874464377832E-2</v>
      </c>
      <c r="T1006">
        <f t="shared" si="188"/>
        <v>111</v>
      </c>
      <c r="U1006">
        <f t="shared" si="189"/>
        <v>131</v>
      </c>
      <c r="V1006" s="3">
        <f t="shared" si="190"/>
        <v>3.1144319404963726E-3</v>
      </c>
      <c r="W1006" s="9">
        <f t="shared" si="191"/>
        <v>-3.1144319404963726E-3</v>
      </c>
      <c r="AC1006"/>
    </row>
    <row r="1007" spans="1:29" x14ac:dyDescent="0.25">
      <c r="A1007" t="s">
        <v>48</v>
      </c>
      <c r="B1007">
        <v>8</v>
      </c>
      <c r="C1007" t="s">
        <v>962</v>
      </c>
      <c r="D1007" t="s">
        <v>469</v>
      </c>
      <c r="E1007">
        <v>11</v>
      </c>
      <c r="F1007">
        <v>16.86</v>
      </c>
      <c r="G1007">
        <v>113.8489</v>
      </c>
      <c r="H1007" t="s">
        <v>47</v>
      </c>
      <c r="I1007" t="s">
        <v>47</v>
      </c>
      <c r="J1007" t="s">
        <v>23</v>
      </c>
      <c r="K1007">
        <f t="shared" si="180"/>
        <v>115.82</v>
      </c>
      <c r="L1007">
        <f t="shared" si="181"/>
        <v>434.36700000000002</v>
      </c>
      <c r="M1007" t="str">
        <f t="shared" si="182"/>
        <v>comp-8</v>
      </c>
      <c r="N1007" t="str">
        <f>INDEX(Scores!$A$2:$A$11,INDEX(Scores!$AA$2:$AA$131,MATCH(C1007,Scores!$AB$2:$AB$131,0)))</f>
        <v>comp</v>
      </c>
      <c r="O1007">
        <f t="shared" si="183"/>
        <v>100.87</v>
      </c>
      <c r="P1007">
        <f t="shared" si="184"/>
        <v>421.5641</v>
      </c>
      <c r="Q1007" s="3">
        <f t="shared" si="185"/>
        <v>0.69532483792586408</v>
      </c>
      <c r="R1007" s="3">
        <f t="shared" si="186"/>
        <v>0.63069171059610452</v>
      </c>
      <c r="S1007" s="9">
        <f t="shared" si="187"/>
        <v>-6.4633127329759565E-2</v>
      </c>
      <c r="T1007">
        <f t="shared" si="188"/>
        <v>80</v>
      </c>
      <c r="U1007">
        <f t="shared" si="189"/>
        <v>115</v>
      </c>
      <c r="V1007" s="3">
        <f t="shared" si="190"/>
        <v>3.1569170925793534E-3</v>
      </c>
      <c r="W1007" s="9">
        <f t="shared" si="191"/>
        <v>-3.1569170925793534E-3</v>
      </c>
      <c r="AC1007"/>
    </row>
    <row r="1008" spans="1:29" x14ac:dyDescent="0.25">
      <c r="A1008" t="s">
        <v>70</v>
      </c>
      <c r="B1008">
        <v>10</v>
      </c>
      <c r="C1008" t="s">
        <v>924</v>
      </c>
      <c r="D1008" t="s">
        <v>467</v>
      </c>
      <c r="E1008">
        <v>20</v>
      </c>
      <c r="F1008">
        <v>20.399999999999999</v>
      </c>
      <c r="G1008">
        <v>57.304900000000004</v>
      </c>
      <c r="H1008" t="s">
        <v>15</v>
      </c>
      <c r="I1008" t="s">
        <v>15</v>
      </c>
      <c r="J1008" t="s">
        <v>55</v>
      </c>
      <c r="K1008">
        <f t="shared" si="180"/>
        <v>110.08000000000001</v>
      </c>
      <c r="L1008">
        <f t="shared" si="181"/>
        <v>372.64320000000004</v>
      </c>
      <c r="M1008" t="str">
        <f t="shared" si="182"/>
        <v>chad-10</v>
      </c>
      <c r="N1008" t="str">
        <f>INDEX(Scores!$A$2:$A$11,INDEX(Scores!$AA$2:$AA$131,MATCH(C1008,Scores!$AB$2:$AB$131,0)))</f>
        <v>chad</v>
      </c>
      <c r="O1008">
        <f t="shared" si="183"/>
        <v>103.91999999999999</v>
      </c>
      <c r="P1008">
        <f t="shared" si="184"/>
        <v>398.26569999999992</v>
      </c>
      <c r="Q1008" s="3">
        <f t="shared" si="185"/>
        <v>0.58778859959928087</v>
      </c>
      <c r="R1008" s="3">
        <f t="shared" si="186"/>
        <v>0.58535894725620763</v>
      </c>
      <c r="S1008" s="9">
        <f t="shared" si="187"/>
        <v>-2.4296523430732408E-3</v>
      </c>
      <c r="T1008">
        <f t="shared" si="188"/>
        <v>82</v>
      </c>
      <c r="U1008">
        <f t="shared" si="189"/>
        <v>103</v>
      </c>
      <c r="V1008" s="3">
        <f t="shared" si="190"/>
        <v>3.2515991447270185E-3</v>
      </c>
      <c r="W1008" s="9">
        <f t="shared" si="191"/>
        <v>-3.2515991447270185E-3</v>
      </c>
      <c r="AC1008"/>
    </row>
    <row r="1009" spans="1:29" x14ac:dyDescent="0.25">
      <c r="A1009" t="s">
        <v>448</v>
      </c>
      <c r="B1009">
        <v>2</v>
      </c>
      <c r="C1009" t="s">
        <v>636</v>
      </c>
      <c r="D1009" t="s">
        <v>478</v>
      </c>
      <c r="E1009">
        <v>8</v>
      </c>
      <c r="F1009">
        <v>7.35</v>
      </c>
      <c r="G1009">
        <v>21.622499999999999</v>
      </c>
      <c r="H1009" t="s">
        <v>478</v>
      </c>
      <c r="I1009" t="s">
        <v>478</v>
      </c>
      <c r="J1009" t="s">
        <v>49</v>
      </c>
      <c r="K1009">
        <f t="shared" si="180"/>
        <v>101.3</v>
      </c>
      <c r="L1009">
        <f t="shared" si="181"/>
        <v>329.14109999999999</v>
      </c>
      <c r="M1009" t="str">
        <f t="shared" si="182"/>
        <v>seth-2</v>
      </c>
      <c r="N1009" t="str">
        <f>INDEX(Scores!$A$2:$A$11,INDEX(Scores!$AA$2:$AA$131,MATCH(C1009,Scores!$AB$2:$AB$131,0)))</f>
        <v>seth</v>
      </c>
      <c r="O1009">
        <f t="shared" si="183"/>
        <v>91.78</v>
      </c>
      <c r="P1009">
        <f t="shared" si="184"/>
        <v>333.71719999999993</v>
      </c>
      <c r="Q1009" s="3">
        <f t="shared" si="185"/>
        <v>0.64422145537573039</v>
      </c>
      <c r="R1009" s="3">
        <f t="shared" si="186"/>
        <v>0.65601703643721299</v>
      </c>
      <c r="S1009" s="9">
        <f t="shared" si="187"/>
        <v>1.1795581061482596E-2</v>
      </c>
      <c r="T1009">
        <f t="shared" si="188"/>
        <v>70</v>
      </c>
      <c r="U1009">
        <f t="shared" si="189"/>
        <v>82</v>
      </c>
      <c r="V1009" s="3">
        <f t="shared" si="190"/>
        <v>3.2598526409891838E-3</v>
      </c>
      <c r="W1009" s="9">
        <f t="shared" si="191"/>
        <v>-3.2598526409891838E-3</v>
      </c>
      <c r="AC1009"/>
    </row>
    <row r="1010" spans="1:29" x14ac:dyDescent="0.25">
      <c r="A1010" t="s">
        <v>411</v>
      </c>
      <c r="B1010">
        <v>8</v>
      </c>
      <c r="C1010" t="s">
        <v>914</v>
      </c>
      <c r="D1010" t="s">
        <v>477</v>
      </c>
      <c r="E1010">
        <v>27</v>
      </c>
      <c r="F1010">
        <v>10.050000000000001</v>
      </c>
      <c r="G1010">
        <v>43.56</v>
      </c>
      <c r="H1010" t="s">
        <v>477</v>
      </c>
      <c r="I1010" t="s">
        <v>477</v>
      </c>
      <c r="J1010" t="s">
        <v>16</v>
      </c>
      <c r="K1010">
        <f t="shared" si="180"/>
        <v>106.3</v>
      </c>
      <c r="L1010">
        <f t="shared" si="181"/>
        <v>423.11159999999995</v>
      </c>
      <c r="M1010" t="str">
        <f t="shared" si="182"/>
        <v>matty-8</v>
      </c>
      <c r="N1010" t="str">
        <f>INDEX(Scores!$A$2:$A$11,INDEX(Scores!$AA$2:$AA$131,MATCH(C1010,Scores!$AB$2:$AB$131,0)))</f>
        <v>matty</v>
      </c>
      <c r="O1010">
        <f t="shared" si="183"/>
        <v>88.500000000000014</v>
      </c>
      <c r="P1010">
        <f t="shared" si="184"/>
        <v>351.30459999999999</v>
      </c>
      <c r="Q1010" s="3">
        <f t="shared" si="185"/>
        <v>0.7387953106518842</v>
      </c>
      <c r="R1010" s="3">
        <f t="shared" si="186"/>
        <v>0.90067401139091163</v>
      </c>
      <c r="S1010" s="9">
        <f t="shared" si="187"/>
        <v>0.16187870073902744</v>
      </c>
      <c r="T1010">
        <f t="shared" si="188"/>
        <v>106</v>
      </c>
      <c r="U1010">
        <f t="shared" si="189"/>
        <v>107</v>
      </c>
      <c r="V1010" s="3">
        <f t="shared" si="190"/>
        <v>3.2670883076711295E-3</v>
      </c>
      <c r="W1010" s="9">
        <f t="shared" si="191"/>
        <v>-3.2670883076711295E-3</v>
      </c>
      <c r="AC1010"/>
    </row>
    <row r="1011" spans="1:29" x14ac:dyDescent="0.25">
      <c r="A1011" t="s">
        <v>429</v>
      </c>
      <c r="B1011">
        <v>6</v>
      </c>
      <c r="C1011" t="s">
        <v>944</v>
      </c>
      <c r="D1011" t="s">
        <v>477</v>
      </c>
      <c r="E1011">
        <v>5</v>
      </c>
      <c r="F1011">
        <v>9.3800000000000008</v>
      </c>
      <c r="G1011">
        <v>33.177599999999998</v>
      </c>
      <c r="H1011" t="s">
        <v>477</v>
      </c>
      <c r="I1011" t="s">
        <v>477</v>
      </c>
      <c r="J1011" t="s">
        <v>62</v>
      </c>
      <c r="K1011">
        <f t="shared" si="180"/>
        <v>96.66</v>
      </c>
      <c r="L1011">
        <f t="shared" si="181"/>
        <v>373.87420000000003</v>
      </c>
      <c r="M1011" t="str">
        <f t="shared" si="182"/>
        <v>lucas-6</v>
      </c>
      <c r="N1011" t="str">
        <f>INDEX(Scores!$A$2:$A$11,INDEX(Scores!$AA$2:$AA$131,MATCH(C1011,Scores!$AB$2:$AB$131,0)))</f>
        <v>lucas</v>
      </c>
      <c r="O1011">
        <f t="shared" si="183"/>
        <v>0</v>
      </c>
      <c r="P1011">
        <f t="shared" si="184"/>
        <v>0</v>
      </c>
      <c r="Q1011" s="3">
        <f t="shared" si="185"/>
        <v>0.99999971187356196</v>
      </c>
      <c r="R1011" s="3">
        <f t="shared" si="186"/>
        <v>0.99999971255460673</v>
      </c>
      <c r="S1011" s="9">
        <f t="shared" si="187"/>
        <v>6.8104477612962455E-10</v>
      </c>
      <c r="T1011">
        <f t="shared" si="188"/>
        <v>79</v>
      </c>
      <c r="U1011">
        <f t="shared" si="189"/>
        <v>0</v>
      </c>
      <c r="V1011" s="3">
        <f t="shared" si="190"/>
        <v>1</v>
      </c>
      <c r="W1011" s="9">
        <f t="shared" si="191"/>
        <v>0</v>
      </c>
      <c r="AC1011"/>
    </row>
    <row r="1012" spans="1:29" x14ac:dyDescent="0.25">
      <c r="A1012" t="s">
        <v>445</v>
      </c>
      <c r="B1012">
        <v>4</v>
      </c>
      <c r="C1012" t="s">
        <v>857</v>
      </c>
      <c r="D1012" t="s">
        <v>478</v>
      </c>
      <c r="E1012">
        <v>6</v>
      </c>
      <c r="F1012">
        <v>8.1999999999999993</v>
      </c>
      <c r="G1012">
        <v>13.1044</v>
      </c>
      <c r="H1012" t="s">
        <v>478</v>
      </c>
      <c r="I1012" t="s">
        <v>478</v>
      </c>
      <c r="J1012" t="s">
        <v>44</v>
      </c>
      <c r="K1012">
        <f t="shared" si="180"/>
        <v>104.32</v>
      </c>
      <c r="L1012">
        <f t="shared" si="181"/>
        <v>390.96559999999999</v>
      </c>
      <c r="M1012" t="str">
        <f t="shared" si="182"/>
        <v>chad-4</v>
      </c>
      <c r="N1012" t="str">
        <f>INDEX(Scores!$A$2:$A$11,INDEX(Scores!$AA$2:$AA$131,MATCH(C1012,Scores!$AB$2:$AB$131,0)))</f>
        <v>chad</v>
      </c>
      <c r="O1012">
        <f t="shared" si="183"/>
        <v>99.8</v>
      </c>
      <c r="P1012">
        <f t="shared" si="184"/>
        <v>351.46400000000006</v>
      </c>
      <c r="Q1012" s="3">
        <f t="shared" si="185"/>
        <v>0.56587682676878348</v>
      </c>
      <c r="R1012" s="3">
        <f t="shared" si="186"/>
        <v>0.53422973392969686</v>
      </c>
      <c r="S1012" s="9">
        <f t="shared" si="187"/>
        <v>-3.1647092839086621E-2</v>
      </c>
      <c r="T1012">
        <f t="shared" si="188"/>
        <v>111</v>
      </c>
      <c r="U1012">
        <f t="shared" si="189"/>
        <v>123</v>
      </c>
      <c r="V1012" s="3">
        <f t="shared" si="190"/>
        <v>3.3928489971571016E-3</v>
      </c>
      <c r="W1012" s="9">
        <f t="shared" si="191"/>
        <v>-3.3928489971571016E-3</v>
      </c>
      <c r="AC1012"/>
    </row>
    <row r="1013" spans="1:29" x14ac:dyDescent="0.25">
      <c r="A1013" t="s">
        <v>122</v>
      </c>
      <c r="B1013">
        <v>5</v>
      </c>
      <c r="C1013" t="s">
        <v>890</v>
      </c>
      <c r="D1013" t="s">
        <v>473</v>
      </c>
      <c r="E1013">
        <v>4</v>
      </c>
      <c r="F1013">
        <v>9.6300000000000008</v>
      </c>
      <c r="G1013">
        <v>46.104100000000003</v>
      </c>
      <c r="H1013" t="s">
        <v>87</v>
      </c>
      <c r="I1013" t="s">
        <v>87</v>
      </c>
      <c r="J1013" t="s">
        <v>20</v>
      </c>
      <c r="K1013">
        <f t="shared" si="180"/>
        <v>107.89</v>
      </c>
      <c r="L1013">
        <f t="shared" si="181"/>
        <v>441.71269999999998</v>
      </c>
      <c r="M1013" t="str">
        <f t="shared" si="182"/>
        <v>lucas-5</v>
      </c>
      <c r="N1013" t="str">
        <f>INDEX(Scores!$A$2:$A$11,INDEX(Scores!$AA$2:$AA$131,MATCH(C1013,Scores!$AB$2:$AB$131,0)))</f>
        <v>lucas</v>
      </c>
      <c r="O1013">
        <f t="shared" si="183"/>
        <v>0</v>
      </c>
      <c r="P1013">
        <f t="shared" si="184"/>
        <v>0</v>
      </c>
      <c r="Q1013" s="3">
        <f t="shared" si="185"/>
        <v>0.99999985777778666</v>
      </c>
      <c r="R1013" s="3">
        <f t="shared" si="186"/>
        <v>0.99999986357783566</v>
      </c>
      <c r="S1013" s="9">
        <f t="shared" si="187"/>
        <v>5.8000489966403279E-9</v>
      </c>
      <c r="T1013">
        <f t="shared" si="188"/>
        <v>69</v>
      </c>
      <c r="U1013">
        <f t="shared" si="189"/>
        <v>0</v>
      </c>
      <c r="V1013" s="3">
        <f t="shared" si="190"/>
        <v>1</v>
      </c>
      <c r="W1013" s="9">
        <f t="shared" si="191"/>
        <v>0</v>
      </c>
      <c r="AC1013"/>
    </row>
    <row r="1014" spans="1:29" x14ac:dyDescent="0.25">
      <c r="A1014" t="s">
        <v>98</v>
      </c>
      <c r="B1014">
        <v>4</v>
      </c>
      <c r="C1014" t="s">
        <v>857</v>
      </c>
      <c r="D1014" t="s">
        <v>466</v>
      </c>
      <c r="E1014">
        <v>19</v>
      </c>
      <c r="F1014">
        <v>12.91</v>
      </c>
      <c r="G1014">
        <v>44.756100000000004</v>
      </c>
      <c r="H1014" t="s">
        <v>466</v>
      </c>
      <c r="I1014" t="s">
        <v>87</v>
      </c>
      <c r="J1014" t="s">
        <v>44</v>
      </c>
      <c r="K1014">
        <f t="shared" si="180"/>
        <v>104.32</v>
      </c>
      <c r="L1014">
        <f t="shared" si="181"/>
        <v>390.96559999999999</v>
      </c>
      <c r="M1014" t="str">
        <f t="shared" si="182"/>
        <v>chad-4</v>
      </c>
      <c r="N1014" t="str">
        <f>INDEX(Scores!$A$2:$A$11,INDEX(Scores!$AA$2:$AA$131,MATCH(C1014,Scores!$AB$2:$AB$131,0)))</f>
        <v>chad</v>
      </c>
      <c r="O1014">
        <f t="shared" si="183"/>
        <v>99.8</v>
      </c>
      <c r="P1014">
        <f t="shared" si="184"/>
        <v>351.46400000000006</v>
      </c>
      <c r="Q1014" s="3">
        <f t="shared" si="185"/>
        <v>0.56587682676878348</v>
      </c>
      <c r="R1014" s="3">
        <f t="shared" si="186"/>
        <v>0.65604331187081266</v>
      </c>
      <c r="S1014" s="9">
        <f t="shared" si="187"/>
        <v>9.0166485102029181E-2</v>
      </c>
      <c r="T1014">
        <f t="shared" si="188"/>
        <v>111</v>
      </c>
      <c r="U1014">
        <f t="shared" si="189"/>
        <v>123</v>
      </c>
      <c r="V1014" s="3">
        <f t="shared" si="190"/>
        <v>3.4251446495902698E-3</v>
      </c>
      <c r="W1014" s="9">
        <f t="shared" si="191"/>
        <v>-3.4251446495902698E-3</v>
      </c>
      <c r="AC1014"/>
    </row>
    <row r="1015" spans="1:29" x14ac:dyDescent="0.25">
      <c r="A1015" t="s">
        <v>92</v>
      </c>
      <c r="B1015">
        <v>1</v>
      </c>
      <c r="C1015" t="s">
        <v>505</v>
      </c>
      <c r="D1015" t="s">
        <v>469</v>
      </c>
      <c r="E1015">
        <v>13</v>
      </c>
      <c r="F1015">
        <v>11.99</v>
      </c>
      <c r="G1015">
        <v>55.056399999999996</v>
      </c>
      <c r="H1015" t="s">
        <v>47</v>
      </c>
      <c r="I1015" t="s">
        <v>47</v>
      </c>
      <c r="J1015" t="s">
        <v>49</v>
      </c>
      <c r="K1015">
        <f t="shared" si="180"/>
        <v>96.11</v>
      </c>
      <c r="L1015">
        <f t="shared" si="181"/>
        <v>397.37959999999998</v>
      </c>
      <c r="M1015" t="str">
        <f t="shared" si="182"/>
        <v>chad-1</v>
      </c>
      <c r="N1015" t="str">
        <f>INDEX(Scores!$A$2:$A$11,INDEX(Scores!$AA$2:$AA$131,MATCH(C1015,Scores!$AB$2:$AB$131,0)))</f>
        <v>chad</v>
      </c>
      <c r="O1015">
        <f t="shared" si="183"/>
        <v>101.75</v>
      </c>
      <c r="P1015">
        <f t="shared" si="184"/>
        <v>333.15260000000001</v>
      </c>
      <c r="Q1015" s="3">
        <f t="shared" si="185"/>
        <v>0.41735304190298633</v>
      </c>
      <c r="R1015" s="3">
        <f t="shared" si="186"/>
        <v>0.4293041555219646</v>
      </c>
      <c r="S1015" s="9">
        <f t="shared" si="187"/>
        <v>1.1951113618978271E-2</v>
      </c>
      <c r="T1015">
        <f t="shared" si="188"/>
        <v>76</v>
      </c>
      <c r="U1015">
        <f t="shared" si="189"/>
        <v>95</v>
      </c>
      <c r="V1015" s="3">
        <f t="shared" si="190"/>
        <v>3.500827883117512E-3</v>
      </c>
      <c r="W1015" s="9">
        <f t="shared" si="191"/>
        <v>-3.500827883117512E-3</v>
      </c>
      <c r="AC1015"/>
    </row>
    <row r="1016" spans="1:29" x14ac:dyDescent="0.25">
      <c r="A1016" t="s">
        <v>85</v>
      </c>
      <c r="B1016">
        <v>2</v>
      </c>
      <c r="C1016" t="s">
        <v>623</v>
      </c>
      <c r="D1016" t="s">
        <v>468</v>
      </c>
      <c r="E1016">
        <v>2</v>
      </c>
      <c r="F1016">
        <v>13.08</v>
      </c>
      <c r="G1016">
        <v>60.217599999999997</v>
      </c>
      <c r="H1016" t="s">
        <v>47</v>
      </c>
      <c r="I1016" t="s">
        <v>47</v>
      </c>
      <c r="J1016" t="s">
        <v>27</v>
      </c>
      <c r="K1016">
        <f t="shared" si="180"/>
        <v>103.61999999999999</v>
      </c>
      <c r="L1016">
        <f t="shared" si="181"/>
        <v>357.30130000000003</v>
      </c>
      <c r="M1016" t="str">
        <f t="shared" si="182"/>
        <v>cory-2</v>
      </c>
      <c r="N1016" t="str">
        <f>INDEX(Scores!$A$2:$A$11,INDEX(Scores!$AA$2:$AA$131,MATCH(C1016,Scores!$AB$2:$AB$131,0)))</f>
        <v>cory</v>
      </c>
      <c r="O1016">
        <f t="shared" si="183"/>
        <v>102.7</v>
      </c>
      <c r="P1016">
        <f t="shared" si="184"/>
        <v>377.5104</v>
      </c>
      <c r="Q1016" s="3">
        <f t="shared" si="185"/>
        <v>0.51353712670419016</v>
      </c>
      <c r="R1016" s="3">
        <f t="shared" si="186"/>
        <v>0.34783349453880208</v>
      </c>
      <c r="S1016" s="9">
        <f t="shared" si="187"/>
        <v>-0.16570363216538808</v>
      </c>
      <c r="T1016">
        <f t="shared" si="188"/>
        <v>65</v>
      </c>
      <c r="U1016">
        <f t="shared" si="189"/>
        <v>97</v>
      </c>
      <c r="V1016" s="3">
        <f t="shared" si="190"/>
        <v>3.5101867283683173E-3</v>
      </c>
      <c r="W1016" s="9">
        <f t="shared" si="191"/>
        <v>-3.5101867283683173E-3</v>
      </c>
      <c r="AC1016"/>
    </row>
    <row r="1017" spans="1:29" x14ac:dyDescent="0.25">
      <c r="A1017" t="s">
        <v>406</v>
      </c>
      <c r="B1017">
        <v>7</v>
      </c>
      <c r="C1017" t="s">
        <v>969</v>
      </c>
      <c r="D1017" t="s">
        <v>477</v>
      </c>
      <c r="E1017">
        <v>8</v>
      </c>
      <c r="F1017">
        <v>9.14</v>
      </c>
      <c r="G1017">
        <v>34.928100000000001</v>
      </c>
      <c r="H1017" t="s">
        <v>477</v>
      </c>
      <c r="I1017" t="s">
        <v>477</v>
      </c>
      <c r="J1017" t="s">
        <v>49</v>
      </c>
      <c r="K1017">
        <f t="shared" si="180"/>
        <v>87.490000000000009</v>
      </c>
      <c r="L1017">
        <f t="shared" si="181"/>
        <v>277.88929999999999</v>
      </c>
      <c r="M1017" t="str">
        <f t="shared" si="182"/>
        <v>scott-7</v>
      </c>
      <c r="N1017" t="str">
        <f>INDEX(Scores!$A$2:$A$11,INDEX(Scores!$AA$2:$AA$131,MATCH(C1017,Scores!$AB$2:$AB$131,0)))</f>
        <v>scott</v>
      </c>
      <c r="O1017">
        <f t="shared" si="183"/>
        <v>114.48000000000002</v>
      </c>
      <c r="P1017">
        <f t="shared" si="184"/>
        <v>430.3667999999999</v>
      </c>
      <c r="Q1017" s="3">
        <f t="shared" si="185"/>
        <v>0.15525251215631256</v>
      </c>
      <c r="R1017" s="3">
        <f t="shared" si="186"/>
        <v>0.13916739692788185</v>
      </c>
      <c r="S1017" s="9">
        <f t="shared" si="187"/>
        <v>-1.6085115228430702E-2</v>
      </c>
      <c r="T1017">
        <f t="shared" si="188"/>
        <v>65</v>
      </c>
      <c r="U1017">
        <f t="shared" si="189"/>
        <v>82</v>
      </c>
      <c r="V1017" s="3">
        <f t="shared" si="190"/>
        <v>3.6418495461585107E-3</v>
      </c>
      <c r="W1017" s="9">
        <f t="shared" si="191"/>
        <v>-3.6418495461585107E-3</v>
      </c>
      <c r="AC1017"/>
    </row>
    <row r="1018" spans="1:29" x14ac:dyDescent="0.25">
      <c r="A1018" t="s">
        <v>39</v>
      </c>
      <c r="B1018">
        <v>3</v>
      </c>
      <c r="C1018" t="s">
        <v>804</v>
      </c>
      <c r="D1018" t="s">
        <v>467</v>
      </c>
      <c r="E1018">
        <v>7</v>
      </c>
      <c r="F1018">
        <v>21.87</v>
      </c>
      <c r="G1018">
        <v>56.550400000000003</v>
      </c>
      <c r="H1018" t="s">
        <v>15</v>
      </c>
      <c r="I1018" t="s">
        <v>15</v>
      </c>
      <c r="J1018" t="s">
        <v>40</v>
      </c>
      <c r="K1018">
        <f t="shared" si="180"/>
        <v>99.87</v>
      </c>
      <c r="L1018">
        <f t="shared" si="181"/>
        <v>418.53290000000004</v>
      </c>
      <c r="M1018" t="e">
        <f t="shared" si="182"/>
        <v>#N/A</v>
      </c>
      <c r="N1018" t="e">
        <f>INDEX(Scores!$A$2:$A$11,INDEX(Scores!$AA$2:$AA$131,MATCH(C1018,Scores!$AB$2:$AB$131,0)))</f>
        <v>#N/A</v>
      </c>
      <c r="O1018">
        <f t="shared" si="183"/>
        <v>0</v>
      </c>
      <c r="P1018">
        <f t="shared" si="184"/>
        <v>0</v>
      </c>
      <c r="Q1018" s="3">
        <f t="shared" si="185"/>
        <v>0.99999947409897594</v>
      </c>
      <c r="R1018" s="3">
        <f t="shared" si="186"/>
        <v>0.9999960450608667</v>
      </c>
      <c r="S1018" s="9">
        <f t="shared" si="187"/>
        <v>-3.4290381092372257E-6</v>
      </c>
      <c r="T1018">
        <f t="shared" si="188"/>
        <v>53</v>
      </c>
      <c r="U1018">
        <f t="shared" si="189"/>
        <v>0</v>
      </c>
      <c r="V1018" s="3">
        <f t="shared" si="190"/>
        <v>1</v>
      </c>
      <c r="W1018" s="9">
        <f t="shared" si="191"/>
        <v>0</v>
      </c>
      <c r="AC1018"/>
    </row>
    <row r="1019" spans="1:29" x14ac:dyDescent="0.25">
      <c r="A1019" t="s">
        <v>258</v>
      </c>
      <c r="B1019">
        <v>6</v>
      </c>
      <c r="C1019" t="s">
        <v>960</v>
      </c>
      <c r="D1019" t="s">
        <v>466</v>
      </c>
      <c r="E1019">
        <v>19</v>
      </c>
      <c r="F1019">
        <v>9.0500000000000007</v>
      </c>
      <c r="G1019">
        <v>101.4049</v>
      </c>
      <c r="H1019" t="s">
        <v>466</v>
      </c>
      <c r="I1019" t="s">
        <v>47</v>
      </c>
      <c r="J1019" t="s">
        <v>23</v>
      </c>
      <c r="K1019">
        <f t="shared" si="180"/>
        <v>88.72</v>
      </c>
      <c r="L1019">
        <f t="shared" si="181"/>
        <v>407.6961</v>
      </c>
      <c r="M1019" t="str">
        <f t="shared" si="182"/>
        <v>matty-6</v>
      </c>
      <c r="N1019" t="str">
        <f>INDEX(Scores!$A$2:$A$11,INDEX(Scores!$AA$2:$AA$131,MATCH(C1019,Scores!$AB$2:$AB$131,0)))</f>
        <v>matty</v>
      </c>
      <c r="O1019">
        <f t="shared" si="183"/>
        <v>109.91000000000001</v>
      </c>
      <c r="P1019">
        <f t="shared" si="184"/>
        <v>387.28550000000001</v>
      </c>
      <c r="Q1019" s="3">
        <f t="shared" si="185"/>
        <v>0.22616370321424212</v>
      </c>
      <c r="R1019" s="3">
        <f t="shared" si="186"/>
        <v>0.33476441708900873</v>
      </c>
      <c r="S1019" s="9">
        <f t="shared" si="187"/>
        <v>0.10860071387476661</v>
      </c>
      <c r="T1019">
        <f t="shared" si="188"/>
        <v>102</v>
      </c>
      <c r="U1019">
        <f t="shared" si="189"/>
        <v>119</v>
      </c>
      <c r="V1019" s="3">
        <f t="shared" si="190"/>
        <v>3.7223750982941198E-3</v>
      </c>
      <c r="W1019" s="9">
        <f t="shared" si="191"/>
        <v>-3.7223750982941198E-3</v>
      </c>
      <c r="AC1019"/>
    </row>
    <row r="1020" spans="1:29" x14ac:dyDescent="0.25">
      <c r="A1020" t="s">
        <v>90</v>
      </c>
      <c r="B1020">
        <v>13</v>
      </c>
      <c r="C1020" t="s">
        <v>911</v>
      </c>
      <c r="D1020" t="s">
        <v>466</v>
      </c>
      <c r="E1020">
        <v>7</v>
      </c>
      <c r="F1020">
        <v>10.9</v>
      </c>
      <c r="G1020">
        <v>36.240400000000001</v>
      </c>
      <c r="H1020" t="s">
        <v>466</v>
      </c>
      <c r="I1020" t="s">
        <v>47</v>
      </c>
      <c r="J1020" t="s">
        <v>20</v>
      </c>
      <c r="K1020">
        <f t="shared" si="180"/>
        <v>108.61</v>
      </c>
      <c r="L1020">
        <f t="shared" si="181"/>
        <v>407.25390000000004</v>
      </c>
      <c r="M1020" t="str">
        <f t="shared" si="182"/>
        <v>cory-13</v>
      </c>
      <c r="N1020" t="str">
        <f>INDEX(Scores!$A$2:$A$11,INDEX(Scores!$AA$2:$AA$131,MATCH(C1020,Scores!$AB$2:$AB$131,0)))</f>
        <v>cory</v>
      </c>
      <c r="O1020">
        <f t="shared" si="183"/>
        <v>106.87</v>
      </c>
      <c r="P1020">
        <f t="shared" si="184"/>
        <v>444.05589999999995</v>
      </c>
      <c r="Q1020" s="3">
        <f t="shared" si="185"/>
        <v>0.52377705912504058</v>
      </c>
      <c r="R1020" s="3">
        <f t="shared" si="186"/>
        <v>0.46984548477127364</v>
      </c>
      <c r="S1020" s="9">
        <f t="shared" si="187"/>
        <v>-5.3931574353766942E-2</v>
      </c>
      <c r="T1020">
        <f t="shared" si="188"/>
        <v>66</v>
      </c>
      <c r="U1020">
        <f t="shared" si="189"/>
        <v>86</v>
      </c>
      <c r="V1020" s="3">
        <f t="shared" si="190"/>
        <v>3.7429472875208673E-3</v>
      </c>
      <c r="W1020" s="9">
        <f t="shared" si="191"/>
        <v>-3.7429472875208673E-3</v>
      </c>
      <c r="AC1020"/>
    </row>
    <row r="1021" spans="1:29" x14ac:dyDescent="0.25">
      <c r="A1021" t="s">
        <v>132</v>
      </c>
      <c r="B1021">
        <v>11</v>
      </c>
      <c r="C1021" t="s">
        <v>981</v>
      </c>
      <c r="D1021" t="s">
        <v>469</v>
      </c>
      <c r="E1021">
        <v>7</v>
      </c>
      <c r="F1021">
        <v>10.66</v>
      </c>
      <c r="G1021">
        <v>38.44</v>
      </c>
      <c r="H1021" t="s">
        <v>47</v>
      </c>
      <c r="I1021" t="s">
        <v>47</v>
      </c>
      <c r="J1021" t="s">
        <v>44</v>
      </c>
      <c r="K1021">
        <f t="shared" si="180"/>
        <v>98.329999999999984</v>
      </c>
      <c r="L1021">
        <f t="shared" si="181"/>
        <v>378.70709999999997</v>
      </c>
      <c r="M1021" t="str">
        <f t="shared" si="182"/>
        <v>aj-11</v>
      </c>
      <c r="N1021" t="str">
        <f>INDEX(Scores!$A$2:$A$11,INDEX(Scores!$AA$2:$AA$131,MATCH(C1021,Scores!$AB$2:$AB$131,0)))</f>
        <v>aj</v>
      </c>
      <c r="O1021">
        <f t="shared" si="183"/>
        <v>110.11</v>
      </c>
      <c r="P1021">
        <f t="shared" si="184"/>
        <v>412.79880000000003</v>
      </c>
      <c r="Q1021" s="3">
        <f t="shared" si="185"/>
        <v>0.33771232413612995</v>
      </c>
      <c r="R1021" s="3">
        <f t="shared" si="186"/>
        <v>0.28683993584591938</v>
      </c>
      <c r="S1021" s="9">
        <f t="shared" si="187"/>
        <v>-5.0872388290210568E-2</v>
      </c>
      <c r="T1021">
        <f t="shared" si="188"/>
        <v>111</v>
      </c>
      <c r="U1021">
        <f t="shared" si="189"/>
        <v>131</v>
      </c>
      <c r="V1021" s="3">
        <f t="shared" si="190"/>
        <v>4.2008709320588335E-3</v>
      </c>
      <c r="W1021" s="9">
        <f t="shared" si="191"/>
        <v>-4.2008709320588335E-3</v>
      </c>
      <c r="AC1021"/>
    </row>
    <row r="1022" spans="1:29" x14ac:dyDescent="0.25">
      <c r="A1022" t="s">
        <v>201</v>
      </c>
      <c r="B1022">
        <v>10</v>
      </c>
      <c r="C1022" t="s">
        <v>916</v>
      </c>
      <c r="D1022" t="s">
        <v>469</v>
      </c>
      <c r="E1022">
        <v>5</v>
      </c>
      <c r="F1022">
        <v>6.97</v>
      </c>
      <c r="G1022">
        <v>24.502500000000001</v>
      </c>
      <c r="H1022" t="s">
        <v>47</v>
      </c>
      <c r="I1022" t="s">
        <v>47</v>
      </c>
      <c r="J1022" t="s">
        <v>16</v>
      </c>
      <c r="K1022">
        <f t="shared" si="180"/>
        <v>93.17</v>
      </c>
      <c r="L1022">
        <f t="shared" si="181"/>
        <v>328.34589999999997</v>
      </c>
      <c r="M1022" t="str">
        <f t="shared" si="182"/>
        <v>perry-10</v>
      </c>
      <c r="N1022" t="str">
        <f>INDEX(Scores!$A$2:$A$11,INDEX(Scores!$AA$2:$AA$131,MATCH(C1022,Scores!$AB$2:$AB$131,0)))</f>
        <v>perry</v>
      </c>
      <c r="O1022">
        <f t="shared" si="183"/>
        <v>103.49</v>
      </c>
      <c r="P1022">
        <f t="shared" si="184"/>
        <v>345.28400000000005</v>
      </c>
      <c r="Q1022" s="3">
        <f t="shared" si="185"/>
        <v>0.34545488835543114</v>
      </c>
      <c r="R1022" s="3">
        <f t="shared" si="186"/>
        <v>0.31476895219712331</v>
      </c>
      <c r="S1022" s="9">
        <f t="shared" si="187"/>
        <v>-3.0685936158307836E-2</v>
      </c>
      <c r="T1022">
        <f t="shared" si="188"/>
        <v>91</v>
      </c>
      <c r="U1022">
        <f t="shared" si="189"/>
        <v>106</v>
      </c>
      <c r="V1022" s="3">
        <f t="shared" si="190"/>
        <v>4.2401569770814706E-3</v>
      </c>
      <c r="W1022" s="9">
        <f t="shared" si="191"/>
        <v>-4.2401569770814706E-3</v>
      </c>
      <c r="AC1022"/>
    </row>
    <row r="1023" spans="1:29" x14ac:dyDescent="0.25">
      <c r="A1023" t="s">
        <v>213</v>
      </c>
      <c r="B1023">
        <v>11</v>
      </c>
      <c r="C1023" t="s">
        <v>973</v>
      </c>
      <c r="D1023" t="s">
        <v>475</v>
      </c>
      <c r="E1023">
        <v>8</v>
      </c>
      <c r="F1023">
        <v>5.46</v>
      </c>
      <c r="G1023">
        <v>20.1601</v>
      </c>
      <c r="H1023" t="s">
        <v>114</v>
      </c>
      <c r="I1023" t="s">
        <v>114</v>
      </c>
      <c r="J1023" t="s">
        <v>49</v>
      </c>
      <c r="K1023">
        <f t="shared" si="180"/>
        <v>88.670000000000016</v>
      </c>
      <c r="L1023">
        <f t="shared" si="181"/>
        <v>334.39179999999999</v>
      </c>
      <c r="M1023" t="str">
        <f t="shared" si="182"/>
        <v>comp-11</v>
      </c>
      <c r="N1023" t="str">
        <f>INDEX(Scores!$A$2:$A$11,INDEX(Scores!$AA$2:$AA$131,MATCH(C1023,Scores!$AB$2:$AB$131,0)))</f>
        <v>comp</v>
      </c>
      <c r="O1023">
        <f t="shared" si="183"/>
        <v>98.580000000000013</v>
      </c>
      <c r="P1023">
        <f t="shared" si="184"/>
        <v>364.4375</v>
      </c>
      <c r="Q1023" s="3">
        <f t="shared" si="185"/>
        <v>0.35387619533584119</v>
      </c>
      <c r="R1023" s="3">
        <f t="shared" si="186"/>
        <v>0.38862538145545805</v>
      </c>
      <c r="S1023" s="9">
        <f t="shared" si="187"/>
        <v>3.4749186119616859E-2</v>
      </c>
      <c r="T1023">
        <f t="shared" si="188"/>
        <v>102</v>
      </c>
      <c r="U1023">
        <f t="shared" si="189"/>
        <v>111</v>
      </c>
      <c r="V1023" s="3">
        <f t="shared" si="190"/>
        <v>5.0826378389188182E-3</v>
      </c>
      <c r="W1023" s="9">
        <f t="shared" si="191"/>
        <v>-5.0826378389188182E-3</v>
      </c>
      <c r="AC1023"/>
    </row>
    <row r="1024" spans="1:29" x14ac:dyDescent="0.25">
      <c r="A1024" t="s">
        <v>122</v>
      </c>
      <c r="B1024">
        <v>13</v>
      </c>
      <c r="C1024" t="s">
        <v>911</v>
      </c>
      <c r="D1024" t="s">
        <v>472</v>
      </c>
      <c r="E1024">
        <v>6</v>
      </c>
      <c r="F1024">
        <v>7.8</v>
      </c>
      <c r="G1024">
        <v>50.268099999999997</v>
      </c>
      <c r="H1024" t="s">
        <v>87</v>
      </c>
      <c r="I1024" t="s">
        <v>87</v>
      </c>
      <c r="J1024" t="s">
        <v>20</v>
      </c>
      <c r="K1024">
        <f t="shared" si="180"/>
        <v>108.61</v>
      </c>
      <c r="L1024">
        <f t="shared" si="181"/>
        <v>407.25390000000004</v>
      </c>
      <c r="M1024" t="str">
        <f t="shared" si="182"/>
        <v>cory-13</v>
      </c>
      <c r="N1024" t="str">
        <f>INDEX(Scores!$A$2:$A$11,INDEX(Scores!$AA$2:$AA$131,MATCH(C1024,Scores!$AB$2:$AB$131,0)))</f>
        <v>cory</v>
      </c>
      <c r="O1024">
        <f t="shared" si="183"/>
        <v>106.87</v>
      </c>
      <c r="P1024">
        <f t="shared" si="184"/>
        <v>444.05589999999995</v>
      </c>
      <c r="Q1024" s="3">
        <f t="shared" si="185"/>
        <v>0.52377705912504058</v>
      </c>
      <c r="R1024" s="3">
        <f t="shared" si="186"/>
        <v>0.49915426670467022</v>
      </c>
      <c r="S1024" s="9">
        <f t="shared" si="187"/>
        <v>-2.4622792420370354E-2</v>
      </c>
      <c r="T1024">
        <f t="shared" si="188"/>
        <v>66</v>
      </c>
      <c r="U1024">
        <f t="shared" si="189"/>
        <v>86</v>
      </c>
      <c r="V1024" s="3">
        <f t="shared" si="190"/>
        <v>5.1291932099637831E-3</v>
      </c>
      <c r="W1024" s="9">
        <f t="shared" si="191"/>
        <v>-5.1291932099637831E-3</v>
      </c>
      <c r="AC1024"/>
    </row>
    <row r="1025" spans="1:29" x14ac:dyDescent="0.25">
      <c r="A1025" t="s">
        <v>104</v>
      </c>
      <c r="B1025">
        <v>5</v>
      </c>
      <c r="C1025" t="s">
        <v>882</v>
      </c>
      <c r="D1025" t="s">
        <v>473</v>
      </c>
      <c r="E1025">
        <v>22</v>
      </c>
      <c r="F1025">
        <v>11.06</v>
      </c>
      <c r="G1025">
        <v>43.56</v>
      </c>
      <c r="H1025" t="s">
        <v>87</v>
      </c>
      <c r="I1025" t="s">
        <v>87</v>
      </c>
      <c r="J1025" t="s">
        <v>44</v>
      </c>
      <c r="K1025">
        <f t="shared" si="180"/>
        <v>98.72999999999999</v>
      </c>
      <c r="L1025">
        <f t="shared" si="181"/>
        <v>396.28840000000002</v>
      </c>
      <c r="M1025" t="str">
        <f t="shared" si="182"/>
        <v>perry-5</v>
      </c>
      <c r="N1025" t="str">
        <f>INDEX(Scores!$A$2:$A$11,INDEX(Scores!$AA$2:$AA$131,MATCH(C1025,Scores!$AB$2:$AB$131,0)))</f>
        <v>perry</v>
      </c>
      <c r="O1025">
        <f t="shared" si="183"/>
        <v>97.27</v>
      </c>
      <c r="P1025">
        <f t="shared" si="184"/>
        <v>430.39269999999999</v>
      </c>
      <c r="Q1025" s="3">
        <f t="shared" si="185"/>
        <v>0.52024917394329329</v>
      </c>
      <c r="R1025" s="3">
        <f t="shared" si="186"/>
        <v>0.67115531656146965</v>
      </c>
      <c r="S1025" s="9">
        <f t="shared" si="187"/>
        <v>0.15090614261817636</v>
      </c>
      <c r="T1025">
        <f t="shared" si="188"/>
        <v>90</v>
      </c>
      <c r="U1025">
        <f t="shared" si="189"/>
        <v>96</v>
      </c>
      <c r="V1025" s="3">
        <f t="shared" si="190"/>
        <v>5.1340633273503486E-3</v>
      </c>
      <c r="W1025" s="9">
        <f t="shared" si="191"/>
        <v>-5.1340633273503486E-3</v>
      </c>
      <c r="AC1025"/>
    </row>
    <row r="1026" spans="1:29" x14ac:dyDescent="0.25">
      <c r="A1026" t="s">
        <v>437</v>
      </c>
      <c r="B1026">
        <v>4</v>
      </c>
      <c r="C1026" t="s">
        <v>857</v>
      </c>
      <c r="D1026" t="s">
        <v>477</v>
      </c>
      <c r="E1026">
        <v>6</v>
      </c>
      <c r="F1026">
        <v>4.83</v>
      </c>
      <c r="G1026">
        <v>26.522500000000001</v>
      </c>
      <c r="H1026" t="s">
        <v>477</v>
      </c>
      <c r="I1026" t="s">
        <v>477</v>
      </c>
      <c r="J1026" t="s">
        <v>44</v>
      </c>
      <c r="K1026">
        <f t="shared" ref="K1026:K1089" si="192">SUMIF($C$2:$C$1301,$C1026,$F$2:$F$1301)</f>
        <v>104.32</v>
      </c>
      <c r="L1026">
        <f t="shared" ref="L1026:L1089" si="193">SUMIF($C$2:$C$1301,$C1026,$G$2:$G$1301)</f>
        <v>390.96559999999999</v>
      </c>
      <c r="M1026" t="str">
        <f t="shared" ref="M1026:M1089" si="194">N1026&amp;"-"&amp;B1026</f>
        <v>chad-4</v>
      </c>
      <c r="N1026" t="str">
        <f>INDEX(Scores!$A$2:$A$11,INDEX(Scores!$AA$2:$AA$131,MATCH(C1026,Scores!$AB$2:$AB$131,0)))</f>
        <v>chad</v>
      </c>
      <c r="O1026">
        <f t="shared" ref="O1026:O1089" si="195">SUMIF($C$2:$C$1301,$M1026,$F$2:$F$1301)</f>
        <v>99.8</v>
      </c>
      <c r="P1026">
        <f t="shared" ref="P1026:P1089" si="196">SUMIF($C$2:$C$1301,$M1026,$G$2:$G$1301)</f>
        <v>351.46400000000006</v>
      </c>
      <c r="Q1026" s="3">
        <f t="shared" ref="Q1026:Q1089" si="197">_xlfn.NORM.DIST(0,$O1026-$K1026,SQRT($L1026+$P1026),TRUE)</f>
        <v>0.56587682676878348</v>
      </c>
      <c r="R1026" s="3">
        <f t="shared" ref="R1026:R1089" si="198">_xlfn.NORM.DIST(0,$O1026-$K1026-($E1026-$F1026),SQRT($L1026+$P1026-$G1026),TRUE)</f>
        <v>0.58420355713430239</v>
      </c>
      <c r="S1026" s="9">
        <f t="shared" ref="S1026:S1089" si="199">R1026-Q1026</f>
        <v>1.8326730365518906E-2</v>
      </c>
      <c r="T1026">
        <f t="shared" ref="T1026:T1089" si="200">SUMIF($C$2:$C$1301,$C1026,$E$2:$E$1301)</f>
        <v>111</v>
      </c>
      <c r="U1026">
        <f t="shared" ref="U1026:U1089" si="201">SUMIF($C$2:$C$1301,$M1026,$E$2:$E$1301)</f>
        <v>123</v>
      </c>
      <c r="V1026" s="3">
        <f t="shared" ref="V1026:V1089" si="202">_xlfn.NORM.DIST(0,U1026-T1026+E1026-F1026,SQRT(G1026),TRUE)</f>
        <v>5.2746896577223123E-3</v>
      </c>
      <c r="W1026" s="9">
        <f t="shared" ref="W1026:W1089" si="203">IFERROR(IF(U1026&gt;T1026,0,1)-V1026,0)</f>
        <v>-5.2746896577223123E-3</v>
      </c>
      <c r="AC1026"/>
    </row>
    <row r="1027" spans="1:29" x14ac:dyDescent="0.25">
      <c r="A1027" t="s">
        <v>135</v>
      </c>
      <c r="B1027">
        <v>7</v>
      </c>
      <c r="C1027" t="s">
        <v>969</v>
      </c>
      <c r="D1027" t="s">
        <v>471</v>
      </c>
      <c r="E1027">
        <v>1</v>
      </c>
      <c r="F1027">
        <v>6.82</v>
      </c>
      <c r="G1027">
        <v>19.1844</v>
      </c>
      <c r="H1027" t="s">
        <v>87</v>
      </c>
      <c r="I1027" t="s">
        <v>87</v>
      </c>
      <c r="J1027" t="s">
        <v>49</v>
      </c>
      <c r="K1027">
        <f t="shared" si="192"/>
        <v>87.490000000000009</v>
      </c>
      <c r="L1027">
        <f t="shared" si="193"/>
        <v>277.88929999999999</v>
      </c>
      <c r="M1027" t="str">
        <f t="shared" si="194"/>
        <v>scott-7</v>
      </c>
      <c r="N1027" t="str">
        <f>INDEX(Scores!$A$2:$A$11,INDEX(Scores!$AA$2:$AA$131,MATCH(C1027,Scores!$AB$2:$AB$131,0)))</f>
        <v>scott</v>
      </c>
      <c r="O1027">
        <f t="shared" si="195"/>
        <v>114.48000000000002</v>
      </c>
      <c r="P1027">
        <f t="shared" si="196"/>
        <v>430.3667999999999</v>
      </c>
      <c r="Q1027" s="3">
        <f t="shared" si="197"/>
        <v>0.15525251215631256</v>
      </c>
      <c r="R1027" s="3">
        <f t="shared" si="198"/>
        <v>0.10566869405784385</v>
      </c>
      <c r="S1027" s="9">
        <f t="shared" si="199"/>
        <v>-4.9583818098468707E-2</v>
      </c>
      <c r="T1027">
        <f t="shared" si="200"/>
        <v>65</v>
      </c>
      <c r="U1027">
        <f t="shared" si="201"/>
        <v>82</v>
      </c>
      <c r="V1027" s="3">
        <f t="shared" si="202"/>
        <v>5.3474702384846097E-3</v>
      </c>
      <c r="W1027" s="9">
        <f t="shared" si="203"/>
        <v>-5.3474702384846097E-3</v>
      </c>
      <c r="AC1027"/>
    </row>
    <row r="1028" spans="1:29" x14ac:dyDescent="0.25">
      <c r="A1028" t="s">
        <v>26</v>
      </c>
      <c r="B1028">
        <v>9</v>
      </c>
      <c r="C1028" t="s">
        <v>939</v>
      </c>
      <c r="D1028" t="s">
        <v>467</v>
      </c>
      <c r="E1028">
        <v>18</v>
      </c>
      <c r="F1028">
        <v>18.71</v>
      </c>
      <c r="G1028">
        <v>46.104100000000003</v>
      </c>
      <c r="H1028" t="s">
        <v>15</v>
      </c>
      <c r="I1028" t="s">
        <v>15</v>
      </c>
      <c r="J1028" t="s">
        <v>27</v>
      </c>
      <c r="K1028">
        <f t="shared" si="192"/>
        <v>80.800000000000011</v>
      </c>
      <c r="L1028">
        <f t="shared" si="193"/>
        <v>290.44450000000001</v>
      </c>
      <c r="M1028" t="str">
        <f t="shared" si="194"/>
        <v>seth-9</v>
      </c>
      <c r="N1028" t="str">
        <f>INDEX(Scores!$A$2:$A$11,INDEX(Scores!$AA$2:$AA$131,MATCH(C1028,Scores!$AB$2:$AB$131,0)))</f>
        <v>seth</v>
      </c>
      <c r="O1028">
        <f t="shared" si="195"/>
        <v>92.559999999999988</v>
      </c>
      <c r="P1028">
        <f t="shared" si="196"/>
        <v>350.31569999999999</v>
      </c>
      <c r="Q1028" s="3">
        <f t="shared" si="197"/>
        <v>0.32111649346340621</v>
      </c>
      <c r="R1028" s="3">
        <f t="shared" si="198"/>
        <v>0.30454671258019517</v>
      </c>
      <c r="S1028" s="9">
        <f t="shared" si="199"/>
        <v>-1.6569780883211038E-2</v>
      </c>
      <c r="T1028">
        <f t="shared" si="200"/>
        <v>77</v>
      </c>
      <c r="U1028">
        <f t="shared" si="201"/>
        <v>95</v>
      </c>
      <c r="V1028" s="3">
        <f t="shared" si="202"/>
        <v>5.4421481436558285E-3</v>
      </c>
      <c r="W1028" s="9">
        <f t="shared" si="203"/>
        <v>-5.4421481436558285E-3</v>
      </c>
      <c r="AC1028"/>
    </row>
    <row r="1029" spans="1:29" x14ac:dyDescent="0.25">
      <c r="A1029" t="s">
        <v>139</v>
      </c>
      <c r="B1029">
        <v>8</v>
      </c>
      <c r="C1029" t="s">
        <v>978</v>
      </c>
      <c r="D1029" t="s">
        <v>469</v>
      </c>
      <c r="E1029">
        <v>5</v>
      </c>
      <c r="F1029">
        <v>7.73</v>
      </c>
      <c r="G1029">
        <v>23.425599999999999</v>
      </c>
      <c r="H1029" t="s">
        <v>47</v>
      </c>
      <c r="I1029" t="s">
        <v>47</v>
      </c>
      <c r="J1029" t="s">
        <v>44</v>
      </c>
      <c r="K1029">
        <f t="shared" si="192"/>
        <v>96.57</v>
      </c>
      <c r="L1029">
        <f t="shared" si="193"/>
        <v>368.03749999999997</v>
      </c>
      <c r="M1029" t="str">
        <f t="shared" si="194"/>
        <v>devon-8</v>
      </c>
      <c r="N1029" t="str">
        <f>INDEX(Scores!$A$2:$A$11,INDEX(Scores!$AA$2:$AA$131,MATCH(C1029,Scores!$AB$2:$AB$131,0)))</f>
        <v>devon</v>
      </c>
      <c r="O1029">
        <f t="shared" si="195"/>
        <v>102.43</v>
      </c>
      <c r="P1029">
        <f t="shared" si="196"/>
        <v>452.86560000000003</v>
      </c>
      <c r="Q1029" s="3">
        <f t="shared" si="197"/>
        <v>0.41897065981019621</v>
      </c>
      <c r="R1029" s="3">
        <f t="shared" si="198"/>
        <v>0.38049450308619215</v>
      </c>
      <c r="S1029" s="9">
        <f t="shared" si="199"/>
        <v>-3.8476156724004063E-2</v>
      </c>
      <c r="T1029">
        <f t="shared" si="200"/>
        <v>85</v>
      </c>
      <c r="U1029">
        <f t="shared" si="201"/>
        <v>100</v>
      </c>
      <c r="V1029" s="3">
        <f t="shared" si="202"/>
        <v>5.6203769546952394E-3</v>
      </c>
      <c r="W1029" s="9">
        <f t="shared" si="203"/>
        <v>-5.6203769546952394E-3</v>
      </c>
      <c r="AC1029"/>
    </row>
    <row r="1030" spans="1:29" x14ac:dyDescent="0.25">
      <c r="A1030" t="s">
        <v>165</v>
      </c>
      <c r="B1030">
        <v>13</v>
      </c>
      <c r="C1030" t="s">
        <v>927</v>
      </c>
      <c r="D1030" t="s">
        <v>475</v>
      </c>
      <c r="E1030">
        <v>12</v>
      </c>
      <c r="F1030">
        <v>7.74</v>
      </c>
      <c r="G1030">
        <v>27.457599999999999</v>
      </c>
      <c r="H1030" t="s">
        <v>114</v>
      </c>
      <c r="I1030" t="s">
        <v>114</v>
      </c>
      <c r="J1030" t="s">
        <v>55</v>
      </c>
      <c r="K1030">
        <f t="shared" si="192"/>
        <v>116.54</v>
      </c>
      <c r="L1030">
        <f t="shared" si="193"/>
        <v>371.12040000000002</v>
      </c>
      <c r="M1030" t="str">
        <f t="shared" si="194"/>
        <v>matty-13</v>
      </c>
      <c r="N1030" t="str">
        <f>INDEX(Scores!$A$2:$A$11,INDEX(Scores!$AA$2:$AA$131,MATCH(C1030,Scores!$AB$2:$AB$131,0)))</f>
        <v>matty</v>
      </c>
      <c r="O1030">
        <f t="shared" si="195"/>
        <v>88.16</v>
      </c>
      <c r="P1030">
        <f t="shared" si="196"/>
        <v>330.99250000000001</v>
      </c>
      <c r="Q1030" s="3">
        <f t="shared" si="197"/>
        <v>0.85792606530938775</v>
      </c>
      <c r="R1030" s="3">
        <f t="shared" si="198"/>
        <v>0.89555709840123243</v>
      </c>
      <c r="S1030" s="9">
        <f t="shared" si="199"/>
        <v>3.7631033091844679E-2</v>
      </c>
      <c r="T1030">
        <f t="shared" si="200"/>
        <v>108</v>
      </c>
      <c r="U1030">
        <f t="shared" si="201"/>
        <v>117</v>
      </c>
      <c r="V1030" s="3">
        <f t="shared" si="202"/>
        <v>5.6944466175603194E-3</v>
      </c>
      <c r="W1030" s="9">
        <f t="shared" si="203"/>
        <v>-5.6944466175603194E-3</v>
      </c>
      <c r="AC1030"/>
    </row>
    <row r="1031" spans="1:29" x14ac:dyDescent="0.25">
      <c r="A1031" t="s">
        <v>43</v>
      </c>
      <c r="B1031">
        <v>3</v>
      </c>
      <c r="C1031" t="s">
        <v>808</v>
      </c>
      <c r="D1031" t="s">
        <v>467</v>
      </c>
      <c r="E1031">
        <v>26</v>
      </c>
      <c r="F1031">
        <v>18.55</v>
      </c>
      <c r="G1031">
        <v>37.699599999999997</v>
      </c>
      <c r="H1031" t="s">
        <v>15</v>
      </c>
      <c r="I1031" t="s">
        <v>15</v>
      </c>
      <c r="J1031" t="s">
        <v>44</v>
      </c>
      <c r="K1031">
        <f t="shared" si="192"/>
        <v>94.54</v>
      </c>
      <c r="L1031">
        <f t="shared" si="193"/>
        <v>356.43470000000002</v>
      </c>
      <c r="M1031" t="str">
        <f t="shared" si="194"/>
        <v>aj-3</v>
      </c>
      <c r="N1031" t="str">
        <f>INDEX(Scores!$A$2:$A$11,INDEX(Scores!$AA$2:$AA$131,MATCH(C1031,Scores!$AB$2:$AB$131,0)))</f>
        <v>aj</v>
      </c>
      <c r="O1031">
        <f t="shared" si="195"/>
        <v>107.31</v>
      </c>
      <c r="P1031">
        <f t="shared" si="196"/>
        <v>425.77620000000002</v>
      </c>
      <c r="Q1031" s="3">
        <f t="shared" si="197"/>
        <v>0.3239819129085153</v>
      </c>
      <c r="R1031" s="3">
        <f t="shared" si="198"/>
        <v>0.42270677684084457</v>
      </c>
      <c r="S1031" s="9">
        <f t="shared" si="199"/>
        <v>9.8724863932329265E-2</v>
      </c>
      <c r="T1031">
        <f t="shared" si="200"/>
        <v>88</v>
      </c>
      <c r="U1031">
        <f t="shared" si="201"/>
        <v>96</v>
      </c>
      <c r="V1031" s="3">
        <f t="shared" si="202"/>
        <v>5.929934109497703E-3</v>
      </c>
      <c r="W1031" s="9">
        <f t="shared" si="203"/>
        <v>-5.929934109497703E-3</v>
      </c>
      <c r="AC1031"/>
    </row>
    <row r="1032" spans="1:29" x14ac:dyDescent="0.25">
      <c r="A1032" t="s">
        <v>112</v>
      </c>
      <c r="B1032">
        <v>1</v>
      </c>
      <c r="C1032" t="s">
        <v>505</v>
      </c>
      <c r="D1032" t="s">
        <v>466</v>
      </c>
      <c r="E1032">
        <v>5</v>
      </c>
      <c r="F1032">
        <v>8.49</v>
      </c>
      <c r="G1032">
        <v>38.192399999999999</v>
      </c>
      <c r="H1032" t="s">
        <v>466</v>
      </c>
      <c r="I1032" t="s">
        <v>47</v>
      </c>
      <c r="J1032" t="s">
        <v>49</v>
      </c>
      <c r="K1032">
        <f t="shared" si="192"/>
        <v>96.11</v>
      </c>
      <c r="L1032">
        <f t="shared" si="193"/>
        <v>397.37959999999998</v>
      </c>
      <c r="M1032" t="str">
        <f t="shared" si="194"/>
        <v>chad-1</v>
      </c>
      <c r="N1032" t="str">
        <f>INDEX(Scores!$A$2:$A$11,INDEX(Scores!$AA$2:$AA$131,MATCH(C1032,Scores!$AB$2:$AB$131,0)))</f>
        <v>chad</v>
      </c>
      <c r="O1032">
        <f t="shared" si="195"/>
        <v>101.75</v>
      </c>
      <c r="P1032">
        <f t="shared" si="196"/>
        <v>333.15260000000001</v>
      </c>
      <c r="Q1032" s="3">
        <f t="shared" si="197"/>
        <v>0.41735304190298633</v>
      </c>
      <c r="R1032" s="3">
        <f t="shared" si="198"/>
        <v>0.36430116557875913</v>
      </c>
      <c r="S1032" s="9">
        <f t="shared" si="199"/>
        <v>-5.3051876324227198E-2</v>
      </c>
      <c r="T1032">
        <f t="shared" si="200"/>
        <v>76</v>
      </c>
      <c r="U1032">
        <f t="shared" si="201"/>
        <v>95</v>
      </c>
      <c r="V1032" s="3">
        <f t="shared" si="202"/>
        <v>6.0415389310208966E-3</v>
      </c>
      <c r="W1032" s="9">
        <f t="shared" si="203"/>
        <v>-6.0415389310208966E-3</v>
      </c>
      <c r="AC1032"/>
    </row>
    <row r="1033" spans="1:29" x14ac:dyDescent="0.25">
      <c r="A1033" t="s">
        <v>365</v>
      </c>
      <c r="B1033">
        <v>7</v>
      </c>
      <c r="C1033" t="s">
        <v>969</v>
      </c>
      <c r="D1033" t="s">
        <v>467</v>
      </c>
      <c r="E1033">
        <v>11</v>
      </c>
      <c r="F1033">
        <v>11.99</v>
      </c>
      <c r="G1033">
        <v>40.832099999999997</v>
      </c>
      <c r="H1033" t="s">
        <v>15</v>
      </c>
      <c r="I1033" t="s">
        <v>15</v>
      </c>
      <c r="J1033" t="s">
        <v>49</v>
      </c>
      <c r="K1033">
        <f t="shared" si="192"/>
        <v>87.490000000000009</v>
      </c>
      <c r="L1033">
        <f t="shared" si="193"/>
        <v>277.88929999999999</v>
      </c>
      <c r="M1033" t="str">
        <f t="shared" si="194"/>
        <v>scott-7</v>
      </c>
      <c r="N1033" t="str">
        <f>INDEX(Scores!$A$2:$A$11,INDEX(Scores!$AA$2:$AA$131,MATCH(C1033,Scores!$AB$2:$AB$131,0)))</f>
        <v>scott</v>
      </c>
      <c r="O1033">
        <f t="shared" si="195"/>
        <v>114.48000000000002</v>
      </c>
      <c r="P1033">
        <f t="shared" si="196"/>
        <v>430.3667999999999</v>
      </c>
      <c r="Q1033" s="3">
        <f t="shared" si="197"/>
        <v>0.15525251215631256</v>
      </c>
      <c r="R1033" s="3">
        <f t="shared" si="198"/>
        <v>0.1393940595034279</v>
      </c>
      <c r="S1033" s="9">
        <f t="shared" si="199"/>
        <v>-1.5858452652884658E-2</v>
      </c>
      <c r="T1033">
        <f t="shared" si="200"/>
        <v>65</v>
      </c>
      <c r="U1033">
        <f t="shared" si="201"/>
        <v>82</v>
      </c>
      <c r="V1033" s="3">
        <f t="shared" si="202"/>
        <v>6.1143122362759331E-3</v>
      </c>
      <c r="W1033" s="9">
        <f t="shared" si="203"/>
        <v>-6.1143122362759331E-3</v>
      </c>
      <c r="AC1033"/>
    </row>
    <row r="1034" spans="1:29" x14ac:dyDescent="0.25">
      <c r="A1034" t="s">
        <v>464</v>
      </c>
      <c r="B1034">
        <v>12</v>
      </c>
      <c r="C1034" t="s">
        <v>950</v>
      </c>
      <c r="D1034" t="s">
        <v>478</v>
      </c>
      <c r="E1034">
        <v>15</v>
      </c>
      <c r="F1034">
        <v>8.3699999999999992</v>
      </c>
      <c r="G1034">
        <v>14.8225</v>
      </c>
      <c r="H1034" t="s">
        <v>478</v>
      </c>
      <c r="I1034" t="s">
        <v>478</v>
      </c>
      <c r="J1034" t="s">
        <v>62</v>
      </c>
      <c r="K1034">
        <f t="shared" si="192"/>
        <v>115.8</v>
      </c>
      <c r="L1034">
        <f t="shared" si="193"/>
        <v>455.64659999999998</v>
      </c>
      <c r="M1034" t="str">
        <f t="shared" si="194"/>
        <v>seth-12</v>
      </c>
      <c r="N1034" t="str">
        <f>INDEX(Scores!$A$2:$A$11,INDEX(Scores!$AA$2:$AA$131,MATCH(C1034,Scores!$AB$2:$AB$131,0)))</f>
        <v>seth</v>
      </c>
      <c r="O1034">
        <f t="shared" si="195"/>
        <v>102.15</v>
      </c>
      <c r="P1034">
        <f t="shared" si="196"/>
        <v>468.55759999999998</v>
      </c>
      <c r="Q1034" s="3">
        <f t="shared" si="197"/>
        <v>0.6732850448184311</v>
      </c>
      <c r="R1034" s="3">
        <f t="shared" si="198"/>
        <v>0.74936853975316353</v>
      </c>
      <c r="S1034" s="9">
        <f t="shared" si="199"/>
        <v>7.6083494934732432E-2</v>
      </c>
      <c r="T1034">
        <f t="shared" si="200"/>
        <v>92</v>
      </c>
      <c r="U1034">
        <f t="shared" si="201"/>
        <v>95</v>
      </c>
      <c r="V1034" s="3">
        <f t="shared" si="202"/>
        <v>6.1869382201715593E-3</v>
      </c>
      <c r="W1034" s="9">
        <f t="shared" si="203"/>
        <v>-6.1869382201715593E-3</v>
      </c>
      <c r="AC1034"/>
    </row>
    <row r="1035" spans="1:29" x14ac:dyDescent="0.25">
      <c r="A1035" t="s">
        <v>258</v>
      </c>
      <c r="B1035">
        <v>7</v>
      </c>
      <c r="C1035" t="s">
        <v>969</v>
      </c>
      <c r="D1035" t="s">
        <v>469</v>
      </c>
      <c r="E1035">
        <v>5</v>
      </c>
      <c r="F1035">
        <v>9.4700000000000006</v>
      </c>
      <c r="G1035">
        <v>25.100100000000001</v>
      </c>
      <c r="H1035" t="s">
        <v>47</v>
      </c>
      <c r="I1035" t="s">
        <v>47</v>
      </c>
      <c r="J1035" t="s">
        <v>49</v>
      </c>
      <c r="K1035">
        <f t="shared" si="192"/>
        <v>87.490000000000009</v>
      </c>
      <c r="L1035">
        <f t="shared" si="193"/>
        <v>277.88929999999999</v>
      </c>
      <c r="M1035" t="str">
        <f t="shared" si="194"/>
        <v>scott-7</v>
      </c>
      <c r="N1035" t="str">
        <f>INDEX(Scores!$A$2:$A$11,INDEX(Scores!$AA$2:$AA$131,MATCH(C1035,Scores!$AB$2:$AB$131,0)))</f>
        <v>scott</v>
      </c>
      <c r="O1035">
        <f t="shared" si="195"/>
        <v>114.48000000000002</v>
      </c>
      <c r="P1035">
        <f t="shared" si="196"/>
        <v>430.3667999999999</v>
      </c>
      <c r="Q1035" s="3">
        <f t="shared" si="197"/>
        <v>0.15525251215631256</v>
      </c>
      <c r="R1035" s="3">
        <f t="shared" si="198"/>
        <v>0.11436321713526909</v>
      </c>
      <c r="S1035" s="9">
        <f t="shared" si="199"/>
        <v>-4.0889295021043465E-2</v>
      </c>
      <c r="T1035">
        <f t="shared" si="200"/>
        <v>65</v>
      </c>
      <c r="U1035">
        <f t="shared" si="201"/>
        <v>82</v>
      </c>
      <c r="V1035" s="3">
        <f t="shared" si="202"/>
        <v>6.1921938196669146E-3</v>
      </c>
      <c r="W1035" s="9">
        <f t="shared" si="203"/>
        <v>-6.1921938196669146E-3</v>
      </c>
      <c r="AC1035"/>
    </row>
    <row r="1036" spans="1:29" x14ac:dyDescent="0.25">
      <c r="A1036" t="s">
        <v>212</v>
      </c>
      <c r="B1036">
        <v>11</v>
      </c>
      <c r="C1036" t="s">
        <v>981</v>
      </c>
      <c r="D1036" t="s">
        <v>466</v>
      </c>
      <c r="E1036">
        <v>9</v>
      </c>
      <c r="F1036">
        <v>9.32</v>
      </c>
      <c r="G1036">
        <v>62.0944</v>
      </c>
      <c r="H1036" t="s">
        <v>466</v>
      </c>
      <c r="I1036" t="s">
        <v>47</v>
      </c>
      <c r="J1036" t="s">
        <v>44</v>
      </c>
      <c r="K1036">
        <f t="shared" si="192"/>
        <v>98.329999999999984</v>
      </c>
      <c r="L1036">
        <f t="shared" si="193"/>
        <v>378.70709999999997</v>
      </c>
      <c r="M1036" t="str">
        <f t="shared" si="194"/>
        <v>aj-11</v>
      </c>
      <c r="N1036" t="str">
        <f>INDEX(Scores!$A$2:$A$11,INDEX(Scores!$AA$2:$AA$131,MATCH(C1036,Scores!$AB$2:$AB$131,0)))</f>
        <v>aj</v>
      </c>
      <c r="O1036">
        <f t="shared" si="195"/>
        <v>110.11</v>
      </c>
      <c r="P1036">
        <f t="shared" si="196"/>
        <v>412.79880000000003</v>
      </c>
      <c r="Q1036" s="3">
        <f t="shared" si="197"/>
        <v>0.33771232413612995</v>
      </c>
      <c r="R1036" s="3">
        <f t="shared" si="198"/>
        <v>0.32706876132607354</v>
      </c>
      <c r="S1036" s="9">
        <f t="shared" si="199"/>
        <v>-1.0643562810056406E-2</v>
      </c>
      <c r="T1036">
        <f t="shared" si="200"/>
        <v>111</v>
      </c>
      <c r="U1036">
        <f t="shared" si="201"/>
        <v>131</v>
      </c>
      <c r="V1036" s="3">
        <f t="shared" si="202"/>
        <v>6.2542947914631065E-3</v>
      </c>
      <c r="W1036" s="9">
        <f t="shared" si="203"/>
        <v>-6.2542947914631065E-3</v>
      </c>
      <c r="AC1036"/>
    </row>
    <row r="1037" spans="1:29" x14ac:dyDescent="0.25">
      <c r="A1037" t="s">
        <v>410</v>
      </c>
      <c r="B1037">
        <v>11</v>
      </c>
      <c r="C1037" t="s">
        <v>981</v>
      </c>
      <c r="D1037" t="s">
        <v>477</v>
      </c>
      <c r="E1037">
        <v>5</v>
      </c>
      <c r="F1037">
        <v>8.16</v>
      </c>
      <c r="G1037">
        <v>46.648899999999998</v>
      </c>
      <c r="H1037" t="s">
        <v>477</v>
      </c>
      <c r="I1037" t="s">
        <v>477</v>
      </c>
      <c r="J1037" t="s">
        <v>44</v>
      </c>
      <c r="K1037">
        <f t="shared" si="192"/>
        <v>98.329999999999984</v>
      </c>
      <c r="L1037">
        <f t="shared" si="193"/>
        <v>378.70709999999997</v>
      </c>
      <c r="M1037" t="str">
        <f t="shared" si="194"/>
        <v>aj-11</v>
      </c>
      <c r="N1037" t="str">
        <f>INDEX(Scores!$A$2:$A$11,INDEX(Scores!$AA$2:$AA$131,MATCH(C1037,Scores!$AB$2:$AB$131,0)))</f>
        <v>aj</v>
      </c>
      <c r="O1037">
        <f t="shared" si="195"/>
        <v>110.11</v>
      </c>
      <c r="P1037">
        <f t="shared" si="196"/>
        <v>412.79880000000003</v>
      </c>
      <c r="Q1037" s="3">
        <f t="shared" si="197"/>
        <v>0.33771232413612995</v>
      </c>
      <c r="R1037" s="3">
        <f t="shared" si="198"/>
        <v>0.2920479290810199</v>
      </c>
      <c r="S1037" s="9">
        <f t="shared" si="199"/>
        <v>-4.5664395055110052E-2</v>
      </c>
      <c r="T1037">
        <f t="shared" si="200"/>
        <v>111</v>
      </c>
      <c r="U1037">
        <f t="shared" si="201"/>
        <v>131</v>
      </c>
      <c r="V1037" s="3">
        <f t="shared" si="202"/>
        <v>6.8393335790325957E-3</v>
      </c>
      <c r="W1037" s="9">
        <f t="shared" si="203"/>
        <v>-6.8393335790325957E-3</v>
      </c>
      <c r="AC1037"/>
    </row>
    <row r="1038" spans="1:29" x14ac:dyDescent="0.25">
      <c r="A1038" t="s">
        <v>173</v>
      </c>
      <c r="B1038">
        <v>4</v>
      </c>
      <c r="C1038" t="s">
        <v>861</v>
      </c>
      <c r="D1038" t="s">
        <v>472</v>
      </c>
      <c r="E1038">
        <v>4</v>
      </c>
      <c r="F1038">
        <v>7.65</v>
      </c>
      <c r="G1038">
        <v>25.401599999999998</v>
      </c>
      <c r="H1038" t="s">
        <v>87</v>
      </c>
      <c r="I1038" t="s">
        <v>87</v>
      </c>
      <c r="J1038" t="s">
        <v>20</v>
      </c>
      <c r="K1038">
        <f t="shared" si="192"/>
        <v>113.07</v>
      </c>
      <c r="L1038">
        <f t="shared" si="193"/>
        <v>452.41279999999995</v>
      </c>
      <c r="M1038" t="str">
        <f t="shared" si="194"/>
        <v>cory-4</v>
      </c>
      <c r="N1038" t="str">
        <f>INDEX(Scores!$A$2:$A$11,INDEX(Scores!$AA$2:$AA$131,MATCH(C1038,Scores!$AB$2:$AB$131,0)))</f>
        <v>cory</v>
      </c>
      <c r="O1038">
        <f t="shared" si="195"/>
        <v>115.58999999999999</v>
      </c>
      <c r="P1038">
        <f t="shared" si="196"/>
        <v>432.42160000000007</v>
      </c>
      <c r="Q1038" s="3">
        <f t="shared" si="197"/>
        <v>0.46624326985872333</v>
      </c>
      <c r="R1038" s="3">
        <f t="shared" si="198"/>
        <v>0.41665251184576119</v>
      </c>
      <c r="S1038" s="9">
        <f t="shared" si="199"/>
        <v>-4.9590758012962144E-2</v>
      </c>
      <c r="T1038">
        <f t="shared" si="200"/>
        <v>88</v>
      </c>
      <c r="U1038">
        <f t="shared" si="201"/>
        <v>104</v>
      </c>
      <c r="V1038" s="3">
        <f t="shared" si="202"/>
        <v>7.1349425948597162E-3</v>
      </c>
      <c r="W1038" s="9">
        <f t="shared" si="203"/>
        <v>-7.1349425948597162E-3</v>
      </c>
      <c r="AC1038"/>
    </row>
    <row r="1039" spans="1:29" x14ac:dyDescent="0.25">
      <c r="A1039" t="s">
        <v>111</v>
      </c>
      <c r="B1039">
        <v>6</v>
      </c>
      <c r="C1039" t="s">
        <v>912</v>
      </c>
      <c r="D1039" t="s">
        <v>468</v>
      </c>
      <c r="E1039">
        <v>19</v>
      </c>
      <c r="F1039">
        <v>14.84</v>
      </c>
      <c r="G1039">
        <v>89.870400000000004</v>
      </c>
      <c r="H1039" t="s">
        <v>47</v>
      </c>
      <c r="I1039" t="s">
        <v>47</v>
      </c>
      <c r="J1039" t="s">
        <v>16</v>
      </c>
      <c r="K1039">
        <f t="shared" si="192"/>
        <v>102.10000000000001</v>
      </c>
      <c r="L1039">
        <f t="shared" si="193"/>
        <v>445.16630000000004</v>
      </c>
      <c r="M1039" t="str">
        <f t="shared" si="194"/>
        <v>aj-6</v>
      </c>
      <c r="N1039" t="str">
        <f>INDEX(Scores!$A$2:$A$11,INDEX(Scores!$AA$2:$AA$131,MATCH(C1039,Scores!$AB$2:$AB$131,0)))</f>
        <v>aj</v>
      </c>
      <c r="O1039">
        <f t="shared" si="195"/>
        <v>108.8</v>
      </c>
      <c r="P1039">
        <f t="shared" si="196"/>
        <v>404.29040000000003</v>
      </c>
      <c r="Q1039" s="3">
        <f t="shared" si="197"/>
        <v>0.40909189376360988</v>
      </c>
      <c r="R1039" s="3">
        <f t="shared" si="198"/>
        <v>0.46328523238175673</v>
      </c>
      <c r="S1039" s="9">
        <f t="shared" si="199"/>
        <v>5.4193338618146847E-2</v>
      </c>
      <c r="T1039">
        <f t="shared" si="200"/>
        <v>85</v>
      </c>
      <c r="U1039">
        <f t="shared" si="201"/>
        <v>104</v>
      </c>
      <c r="V1039" s="3">
        <f t="shared" si="202"/>
        <v>7.2821023470858301E-3</v>
      </c>
      <c r="W1039" s="9">
        <f t="shared" si="203"/>
        <v>-7.2821023470858301E-3</v>
      </c>
      <c r="AC1039"/>
    </row>
    <row r="1040" spans="1:29" x14ac:dyDescent="0.25">
      <c r="A1040" t="s">
        <v>449</v>
      </c>
      <c r="B1040">
        <v>8</v>
      </c>
      <c r="C1040" t="s">
        <v>914</v>
      </c>
      <c r="D1040" t="s">
        <v>478</v>
      </c>
      <c r="E1040">
        <v>14</v>
      </c>
      <c r="F1040">
        <v>7.95</v>
      </c>
      <c r="G1040">
        <v>8.5848999999999993</v>
      </c>
      <c r="H1040" t="s">
        <v>478</v>
      </c>
      <c r="I1040" t="s">
        <v>478</v>
      </c>
      <c r="J1040" t="s">
        <v>16</v>
      </c>
      <c r="K1040">
        <f t="shared" si="192"/>
        <v>106.3</v>
      </c>
      <c r="L1040">
        <f t="shared" si="193"/>
        <v>423.11159999999995</v>
      </c>
      <c r="M1040" t="str">
        <f t="shared" si="194"/>
        <v>matty-8</v>
      </c>
      <c r="N1040" t="str">
        <f>INDEX(Scores!$A$2:$A$11,INDEX(Scores!$AA$2:$AA$131,MATCH(C1040,Scores!$AB$2:$AB$131,0)))</f>
        <v>matty</v>
      </c>
      <c r="O1040">
        <f t="shared" si="195"/>
        <v>88.500000000000014</v>
      </c>
      <c r="P1040">
        <f t="shared" si="196"/>
        <v>351.30459999999999</v>
      </c>
      <c r="Q1040" s="3">
        <f t="shared" si="197"/>
        <v>0.7387953106518842</v>
      </c>
      <c r="R1040" s="3">
        <f t="shared" si="198"/>
        <v>0.8056095830861163</v>
      </c>
      <c r="S1040" s="9">
        <f t="shared" si="199"/>
        <v>6.6814272434232103E-2</v>
      </c>
      <c r="T1040">
        <f t="shared" si="200"/>
        <v>106</v>
      </c>
      <c r="U1040">
        <f t="shared" si="201"/>
        <v>107</v>
      </c>
      <c r="V1040" s="3">
        <f t="shared" si="202"/>
        <v>8.0609687168605969E-3</v>
      </c>
      <c r="W1040" s="9">
        <f t="shared" si="203"/>
        <v>-8.0609687168605969E-3</v>
      </c>
      <c r="AC1040"/>
    </row>
    <row r="1041" spans="1:29" x14ac:dyDescent="0.25">
      <c r="A1041" t="s">
        <v>26</v>
      </c>
      <c r="B1041">
        <v>4</v>
      </c>
      <c r="C1041" t="s">
        <v>860</v>
      </c>
      <c r="D1041" t="s">
        <v>467</v>
      </c>
      <c r="E1041">
        <v>7</v>
      </c>
      <c r="F1041">
        <v>22.5</v>
      </c>
      <c r="G1041">
        <v>59.136099999999999</v>
      </c>
      <c r="H1041" t="s">
        <v>15</v>
      </c>
      <c r="I1041" t="s">
        <v>15</v>
      </c>
      <c r="J1041" t="s">
        <v>27</v>
      </c>
      <c r="K1041">
        <f t="shared" si="192"/>
        <v>103.70000000000002</v>
      </c>
      <c r="L1041">
        <f t="shared" si="193"/>
        <v>412.10110000000003</v>
      </c>
      <c r="M1041" t="str">
        <f t="shared" si="194"/>
        <v>aj-4</v>
      </c>
      <c r="N1041" t="str">
        <f>INDEX(Scores!$A$2:$A$11,INDEX(Scores!$AA$2:$AA$131,MATCH(C1041,Scores!$AB$2:$AB$131,0)))</f>
        <v>aj</v>
      </c>
      <c r="O1041">
        <f t="shared" si="195"/>
        <v>118.09999999999998</v>
      </c>
      <c r="P1041">
        <f t="shared" si="196"/>
        <v>465.47660000000008</v>
      </c>
      <c r="Q1041" s="3">
        <f t="shared" si="197"/>
        <v>0.31345048172071355</v>
      </c>
      <c r="R1041" s="3">
        <f t="shared" si="198"/>
        <v>0.14797753827602034</v>
      </c>
      <c r="S1041" s="9">
        <f t="shared" si="199"/>
        <v>-0.16547294344469321</v>
      </c>
      <c r="T1041">
        <f t="shared" si="200"/>
        <v>46</v>
      </c>
      <c r="U1041">
        <f t="shared" si="201"/>
        <v>80</v>
      </c>
      <c r="V1041" s="3">
        <f t="shared" si="202"/>
        <v>8.0702772330680794E-3</v>
      </c>
      <c r="W1041" s="9">
        <f t="shared" si="203"/>
        <v>-8.0702772330680794E-3</v>
      </c>
      <c r="AC1041"/>
    </row>
    <row r="1042" spans="1:29" x14ac:dyDescent="0.25">
      <c r="A1042" t="s">
        <v>191</v>
      </c>
      <c r="B1042">
        <v>1</v>
      </c>
      <c r="C1042" t="s">
        <v>499</v>
      </c>
      <c r="D1042" t="s">
        <v>473</v>
      </c>
      <c r="E1042">
        <v>15</v>
      </c>
      <c r="F1042">
        <v>6.44</v>
      </c>
      <c r="G1042">
        <v>27.6676</v>
      </c>
      <c r="H1042" t="s">
        <v>87</v>
      </c>
      <c r="I1042" t="s">
        <v>87</v>
      </c>
      <c r="J1042" t="s">
        <v>40</v>
      </c>
      <c r="K1042">
        <f t="shared" si="192"/>
        <v>101.15</v>
      </c>
      <c r="L1042">
        <f t="shared" si="193"/>
        <v>350.32479999999998</v>
      </c>
      <c r="M1042" t="e">
        <f t="shared" si="194"/>
        <v>#N/A</v>
      </c>
      <c r="N1042" t="e">
        <f>INDEX(Scores!$A$2:$A$11,INDEX(Scores!$AA$2:$AA$131,MATCH(C1042,Scores!$AB$2:$AB$131,0)))</f>
        <v>#N/A</v>
      </c>
      <c r="O1042">
        <f t="shared" si="195"/>
        <v>0</v>
      </c>
      <c r="P1042">
        <f t="shared" si="196"/>
        <v>0</v>
      </c>
      <c r="Q1042" s="3">
        <f t="shared" si="197"/>
        <v>0.9999999674486757</v>
      </c>
      <c r="R1042" s="3">
        <f t="shared" si="198"/>
        <v>0.99999999949451812</v>
      </c>
      <c r="S1042" s="9">
        <f t="shared" si="199"/>
        <v>3.2045842424111015E-8</v>
      </c>
      <c r="T1042">
        <f t="shared" si="200"/>
        <v>71</v>
      </c>
      <c r="U1042">
        <f t="shared" si="201"/>
        <v>0</v>
      </c>
      <c r="V1042" s="3">
        <f t="shared" si="202"/>
        <v>1</v>
      </c>
      <c r="W1042" s="9">
        <f t="shared" si="203"/>
        <v>0</v>
      </c>
      <c r="AC1042"/>
    </row>
    <row r="1043" spans="1:29" x14ac:dyDescent="0.25">
      <c r="A1043" t="s">
        <v>181</v>
      </c>
      <c r="B1043">
        <v>10</v>
      </c>
      <c r="C1043" t="s">
        <v>916</v>
      </c>
      <c r="D1043" t="s">
        <v>475</v>
      </c>
      <c r="E1043">
        <v>3</v>
      </c>
      <c r="F1043">
        <v>6.49</v>
      </c>
      <c r="G1043">
        <v>23.716899999999999</v>
      </c>
      <c r="H1043" t="s">
        <v>114</v>
      </c>
      <c r="I1043" t="s">
        <v>114</v>
      </c>
      <c r="J1043" t="s">
        <v>16</v>
      </c>
      <c r="K1043">
        <f t="shared" si="192"/>
        <v>93.17</v>
      </c>
      <c r="L1043">
        <f t="shared" si="193"/>
        <v>328.34589999999997</v>
      </c>
      <c r="M1043" t="str">
        <f t="shared" si="194"/>
        <v>perry-10</v>
      </c>
      <c r="N1043" t="str">
        <f>INDEX(Scores!$A$2:$A$11,INDEX(Scores!$AA$2:$AA$131,MATCH(C1043,Scores!$AB$2:$AB$131,0)))</f>
        <v>perry</v>
      </c>
      <c r="O1043">
        <f t="shared" si="195"/>
        <v>103.49</v>
      </c>
      <c r="P1043">
        <f t="shared" si="196"/>
        <v>345.28400000000005</v>
      </c>
      <c r="Q1043" s="3">
        <f t="shared" si="197"/>
        <v>0.34545488835543114</v>
      </c>
      <c r="R1043" s="3">
        <f t="shared" si="198"/>
        <v>0.29400948772362245</v>
      </c>
      <c r="S1043" s="9">
        <f t="shared" si="199"/>
        <v>-5.1445400631808691E-2</v>
      </c>
      <c r="T1043">
        <f t="shared" si="200"/>
        <v>91</v>
      </c>
      <c r="U1043">
        <f t="shared" si="201"/>
        <v>106</v>
      </c>
      <c r="V1043" s="3">
        <f t="shared" si="202"/>
        <v>9.0528423520450617E-3</v>
      </c>
      <c r="W1043" s="9">
        <f t="shared" si="203"/>
        <v>-9.0528423520450617E-3</v>
      </c>
      <c r="AC1043"/>
    </row>
    <row r="1044" spans="1:29" x14ac:dyDescent="0.25">
      <c r="A1044" t="s">
        <v>161</v>
      </c>
      <c r="B1044">
        <v>1</v>
      </c>
      <c r="C1044" t="s">
        <v>505</v>
      </c>
      <c r="D1044" t="s">
        <v>473</v>
      </c>
      <c r="E1044">
        <v>1</v>
      </c>
      <c r="F1044">
        <v>7.18</v>
      </c>
      <c r="G1044">
        <v>29.4849</v>
      </c>
      <c r="H1044" t="s">
        <v>87</v>
      </c>
      <c r="I1044" t="s">
        <v>87</v>
      </c>
      <c r="J1044" t="s">
        <v>49</v>
      </c>
      <c r="K1044">
        <f t="shared" si="192"/>
        <v>96.11</v>
      </c>
      <c r="L1044">
        <f t="shared" si="193"/>
        <v>397.37959999999998</v>
      </c>
      <c r="M1044" t="str">
        <f t="shared" si="194"/>
        <v>chad-1</v>
      </c>
      <c r="N1044" t="str">
        <f>INDEX(Scores!$A$2:$A$11,INDEX(Scores!$AA$2:$AA$131,MATCH(C1044,Scores!$AB$2:$AB$131,0)))</f>
        <v>chad</v>
      </c>
      <c r="O1044">
        <f t="shared" si="195"/>
        <v>101.75</v>
      </c>
      <c r="P1044">
        <f t="shared" si="196"/>
        <v>333.15260000000001</v>
      </c>
      <c r="Q1044" s="3">
        <f t="shared" si="197"/>
        <v>0.41735304190298633</v>
      </c>
      <c r="R1044" s="3">
        <f t="shared" si="198"/>
        <v>0.32764688007883941</v>
      </c>
      <c r="S1044" s="9">
        <f t="shared" si="199"/>
        <v>-8.9706161824146924E-2</v>
      </c>
      <c r="T1044">
        <f t="shared" si="200"/>
        <v>76</v>
      </c>
      <c r="U1044">
        <f t="shared" si="201"/>
        <v>95</v>
      </c>
      <c r="V1044" s="3">
        <f t="shared" si="202"/>
        <v>9.1139062130539648E-3</v>
      </c>
      <c r="W1044" s="9">
        <f t="shared" si="203"/>
        <v>-9.1139062130539648E-3</v>
      </c>
      <c r="AC1044"/>
    </row>
    <row r="1045" spans="1:29" x14ac:dyDescent="0.25">
      <c r="A1045" t="s">
        <v>207</v>
      </c>
      <c r="B1045">
        <v>13</v>
      </c>
      <c r="C1045" t="s">
        <v>943</v>
      </c>
      <c r="D1045" t="s">
        <v>469</v>
      </c>
      <c r="E1045">
        <v>9</v>
      </c>
      <c r="F1045">
        <v>9.11</v>
      </c>
      <c r="G1045">
        <v>35.521599999999999</v>
      </c>
      <c r="H1045" t="s">
        <v>47</v>
      </c>
      <c r="I1045" t="s">
        <v>47</v>
      </c>
      <c r="J1045" t="s">
        <v>27</v>
      </c>
      <c r="K1045">
        <f t="shared" si="192"/>
        <v>104.63999999999999</v>
      </c>
      <c r="L1045">
        <f t="shared" si="193"/>
        <v>400.33339999999998</v>
      </c>
      <c r="M1045" t="str">
        <f t="shared" si="194"/>
        <v>chad-13</v>
      </c>
      <c r="N1045" t="str">
        <f>INDEX(Scores!$A$2:$A$11,INDEX(Scores!$AA$2:$AA$131,MATCH(C1045,Scores!$AB$2:$AB$131,0)))</f>
        <v>chad</v>
      </c>
      <c r="O1045">
        <f t="shared" si="195"/>
        <v>113.35</v>
      </c>
      <c r="P1045">
        <f t="shared" si="196"/>
        <v>486.24799999999993</v>
      </c>
      <c r="Q1045" s="3">
        <f t="shared" si="197"/>
        <v>0.3849436901786526</v>
      </c>
      <c r="R1045" s="3">
        <f t="shared" si="198"/>
        <v>0.38119831802649629</v>
      </c>
      <c r="S1045" s="9">
        <f t="shared" si="199"/>
        <v>-3.7453721521563121E-3</v>
      </c>
      <c r="T1045">
        <f t="shared" si="200"/>
        <v>81</v>
      </c>
      <c r="U1045">
        <f t="shared" si="201"/>
        <v>95</v>
      </c>
      <c r="V1045" s="3">
        <f t="shared" si="202"/>
        <v>9.8888957141901445E-3</v>
      </c>
      <c r="W1045" s="9">
        <f t="shared" si="203"/>
        <v>-9.8888957141901445E-3</v>
      </c>
      <c r="AC1045"/>
    </row>
    <row r="1046" spans="1:29" x14ac:dyDescent="0.25">
      <c r="A1046" t="s">
        <v>462</v>
      </c>
      <c r="B1046">
        <v>10</v>
      </c>
      <c r="C1046" t="s">
        <v>980</v>
      </c>
      <c r="D1046" t="s">
        <v>478</v>
      </c>
      <c r="E1046">
        <v>12</v>
      </c>
      <c r="F1046">
        <v>7.39</v>
      </c>
      <c r="G1046">
        <v>13.69</v>
      </c>
      <c r="H1046" t="s">
        <v>478</v>
      </c>
      <c r="I1046" t="s">
        <v>478</v>
      </c>
      <c r="J1046" t="s">
        <v>44</v>
      </c>
      <c r="K1046">
        <f t="shared" si="192"/>
        <v>104.52999999999999</v>
      </c>
      <c r="L1046">
        <f t="shared" si="193"/>
        <v>446.11959999999999</v>
      </c>
      <c r="M1046" t="str">
        <f t="shared" si="194"/>
        <v>matty-10</v>
      </c>
      <c r="N1046" t="str">
        <f>INDEX(Scores!$A$2:$A$11,INDEX(Scores!$AA$2:$AA$131,MATCH(C1046,Scores!$AB$2:$AB$131,0)))</f>
        <v>matty</v>
      </c>
      <c r="O1046">
        <f t="shared" si="195"/>
        <v>80.72</v>
      </c>
      <c r="P1046">
        <f t="shared" si="196"/>
        <v>274.11410000000001</v>
      </c>
      <c r="Q1046" s="3">
        <f t="shared" si="197"/>
        <v>0.81251501229102341</v>
      </c>
      <c r="R1046" s="3">
        <f t="shared" si="198"/>
        <v>0.85750778577975284</v>
      </c>
      <c r="S1046" s="9">
        <f t="shared" si="199"/>
        <v>4.4992773488729432E-2</v>
      </c>
      <c r="T1046">
        <f t="shared" si="200"/>
        <v>80</v>
      </c>
      <c r="U1046">
        <f t="shared" si="201"/>
        <v>84</v>
      </c>
      <c r="V1046" s="3">
        <f t="shared" si="202"/>
        <v>9.9819134111054156E-3</v>
      </c>
      <c r="W1046" s="9">
        <f t="shared" si="203"/>
        <v>-9.9819134111054156E-3</v>
      </c>
      <c r="AC1046"/>
    </row>
    <row r="1047" spans="1:29" x14ac:dyDescent="0.25">
      <c r="A1047" t="s">
        <v>128</v>
      </c>
      <c r="B1047">
        <v>2</v>
      </c>
      <c r="C1047" t="s">
        <v>625</v>
      </c>
      <c r="D1047" t="s">
        <v>469</v>
      </c>
      <c r="E1047">
        <v>10</v>
      </c>
      <c r="F1047">
        <v>7.77</v>
      </c>
      <c r="G1047">
        <v>23.425599999999999</v>
      </c>
      <c r="H1047" t="s">
        <v>47</v>
      </c>
      <c r="I1047" t="s">
        <v>47</v>
      </c>
      <c r="J1047" t="s">
        <v>55</v>
      </c>
      <c r="K1047">
        <f t="shared" si="192"/>
        <v>103.77999999999999</v>
      </c>
      <c r="L1047">
        <f t="shared" si="193"/>
        <v>338.9511</v>
      </c>
      <c r="M1047" t="str">
        <f t="shared" si="194"/>
        <v>chad-2</v>
      </c>
      <c r="N1047" t="str">
        <f>INDEX(Scores!$A$2:$A$11,INDEX(Scores!$AA$2:$AA$131,MATCH(C1047,Scores!$AB$2:$AB$131,0)))</f>
        <v>chad</v>
      </c>
      <c r="O1047">
        <f t="shared" si="195"/>
        <v>102.72000000000001</v>
      </c>
      <c r="P1047">
        <f t="shared" si="196"/>
        <v>348.54960000000005</v>
      </c>
      <c r="Q1047" s="3">
        <f t="shared" si="197"/>
        <v>0.51612356509096413</v>
      </c>
      <c r="R1047" s="3">
        <f t="shared" si="198"/>
        <v>0.55079475254532717</v>
      </c>
      <c r="S1047" s="9">
        <f t="shared" si="199"/>
        <v>3.4671187454363039E-2</v>
      </c>
      <c r="T1047">
        <f t="shared" si="200"/>
        <v>90</v>
      </c>
      <c r="U1047">
        <f t="shared" si="201"/>
        <v>99</v>
      </c>
      <c r="V1047" s="3">
        <f t="shared" si="202"/>
        <v>1.0163734456743219E-2</v>
      </c>
      <c r="W1047" s="9">
        <f t="shared" si="203"/>
        <v>-1.0163734456743219E-2</v>
      </c>
      <c r="AC1047"/>
    </row>
    <row r="1048" spans="1:29" x14ac:dyDescent="0.25">
      <c r="A1048" t="s">
        <v>1119</v>
      </c>
      <c r="B1048">
        <v>13</v>
      </c>
      <c r="C1048" t="s">
        <v>927</v>
      </c>
      <c r="D1048" t="s">
        <v>478</v>
      </c>
      <c r="E1048">
        <v>10</v>
      </c>
      <c r="F1048">
        <v>8.66</v>
      </c>
      <c r="G1048">
        <v>19.8916</v>
      </c>
      <c r="H1048" t="s">
        <v>478</v>
      </c>
      <c r="I1048" t="s">
        <v>478</v>
      </c>
      <c r="J1048" t="s">
        <v>55</v>
      </c>
      <c r="K1048">
        <f t="shared" si="192"/>
        <v>116.54</v>
      </c>
      <c r="L1048">
        <f t="shared" si="193"/>
        <v>371.12040000000002</v>
      </c>
      <c r="M1048" t="str">
        <f t="shared" si="194"/>
        <v>matty-13</v>
      </c>
      <c r="N1048" t="str">
        <f>INDEX(Scores!$A$2:$A$11,INDEX(Scores!$AA$2:$AA$131,MATCH(C1048,Scores!$AB$2:$AB$131,0)))</f>
        <v>matty</v>
      </c>
      <c r="O1048">
        <f t="shared" si="195"/>
        <v>88.16</v>
      </c>
      <c r="P1048">
        <f t="shared" si="196"/>
        <v>330.99250000000001</v>
      </c>
      <c r="Q1048" s="3">
        <f t="shared" si="197"/>
        <v>0.85792606530938775</v>
      </c>
      <c r="R1048" s="3">
        <f t="shared" si="198"/>
        <v>0.87240907004972912</v>
      </c>
      <c r="S1048" s="9">
        <f t="shared" si="199"/>
        <v>1.4483004740341365E-2</v>
      </c>
      <c r="T1048">
        <f t="shared" si="200"/>
        <v>108</v>
      </c>
      <c r="U1048">
        <f t="shared" si="201"/>
        <v>117</v>
      </c>
      <c r="V1048" s="3">
        <f t="shared" si="202"/>
        <v>1.0214185614569221E-2</v>
      </c>
      <c r="W1048" s="9">
        <f t="shared" si="203"/>
        <v>-1.0214185614569221E-2</v>
      </c>
      <c r="AC1048"/>
    </row>
    <row r="1049" spans="1:29" x14ac:dyDescent="0.25">
      <c r="A1049" t="s">
        <v>118</v>
      </c>
      <c r="B1049">
        <v>6</v>
      </c>
      <c r="C1049" t="s">
        <v>928</v>
      </c>
      <c r="D1049" t="s">
        <v>475</v>
      </c>
      <c r="E1049">
        <v>3</v>
      </c>
      <c r="F1049">
        <v>7.02</v>
      </c>
      <c r="G1049">
        <v>41.990400000000001</v>
      </c>
      <c r="H1049" t="s">
        <v>114</v>
      </c>
      <c r="I1049" t="s">
        <v>114</v>
      </c>
      <c r="J1049" t="s">
        <v>35</v>
      </c>
      <c r="K1049">
        <f t="shared" si="192"/>
        <v>101.41999999999999</v>
      </c>
      <c r="L1049">
        <f t="shared" si="193"/>
        <v>401.13359999999994</v>
      </c>
      <c r="M1049" t="str">
        <f t="shared" si="194"/>
        <v>comp-6</v>
      </c>
      <c r="N1049" t="str">
        <f>INDEX(Scores!$A$2:$A$11,INDEX(Scores!$AA$2:$AA$131,MATCH(C1049,Scores!$AB$2:$AB$131,0)))</f>
        <v>comp</v>
      </c>
      <c r="O1049">
        <f t="shared" si="195"/>
        <v>104.66</v>
      </c>
      <c r="P1049">
        <f t="shared" si="196"/>
        <v>375.94899999999996</v>
      </c>
      <c r="Q1049" s="3">
        <f t="shared" si="197"/>
        <v>0.45373585390093107</v>
      </c>
      <c r="R1049" s="3">
        <f t="shared" si="198"/>
        <v>0.39443728155261848</v>
      </c>
      <c r="S1049" s="9">
        <f t="shared" si="199"/>
        <v>-5.9298572348312595E-2</v>
      </c>
      <c r="T1049">
        <f t="shared" si="200"/>
        <v>72</v>
      </c>
      <c r="U1049">
        <f t="shared" si="201"/>
        <v>91</v>
      </c>
      <c r="V1049" s="3">
        <f t="shared" si="202"/>
        <v>1.0396327786919674E-2</v>
      </c>
      <c r="W1049" s="9">
        <f t="shared" si="203"/>
        <v>-1.0396327786919674E-2</v>
      </c>
      <c r="AC1049"/>
    </row>
    <row r="1050" spans="1:29" x14ac:dyDescent="0.25">
      <c r="A1050" t="s">
        <v>416</v>
      </c>
      <c r="B1050">
        <v>10</v>
      </c>
      <c r="C1050" t="s">
        <v>924</v>
      </c>
      <c r="D1050" t="s">
        <v>477</v>
      </c>
      <c r="E1050">
        <v>3</v>
      </c>
      <c r="F1050">
        <v>8.0500000000000007</v>
      </c>
      <c r="G1050">
        <v>47.61</v>
      </c>
      <c r="H1050" t="s">
        <v>477</v>
      </c>
      <c r="I1050" t="s">
        <v>477</v>
      </c>
      <c r="J1050" t="s">
        <v>55</v>
      </c>
      <c r="K1050">
        <f t="shared" si="192"/>
        <v>110.08000000000001</v>
      </c>
      <c r="L1050">
        <f t="shared" si="193"/>
        <v>372.64320000000004</v>
      </c>
      <c r="M1050" t="str">
        <f t="shared" si="194"/>
        <v>chad-10</v>
      </c>
      <c r="N1050" t="str">
        <f>INDEX(Scores!$A$2:$A$11,INDEX(Scores!$AA$2:$AA$131,MATCH(C1050,Scores!$AB$2:$AB$131,0)))</f>
        <v>chad</v>
      </c>
      <c r="O1050">
        <f t="shared" si="195"/>
        <v>103.91999999999999</v>
      </c>
      <c r="P1050">
        <f t="shared" si="196"/>
        <v>398.26569999999992</v>
      </c>
      <c r="Q1050" s="3">
        <f t="shared" si="197"/>
        <v>0.58778859959928087</v>
      </c>
      <c r="R1050" s="3">
        <f t="shared" si="198"/>
        <v>0.51646079691446922</v>
      </c>
      <c r="S1050" s="9">
        <f t="shared" si="199"/>
        <v>-7.1327802684811648E-2</v>
      </c>
      <c r="T1050">
        <f t="shared" si="200"/>
        <v>82</v>
      </c>
      <c r="U1050">
        <f t="shared" si="201"/>
        <v>103</v>
      </c>
      <c r="V1050" s="3">
        <f t="shared" si="202"/>
        <v>1.0400028203178457E-2</v>
      </c>
      <c r="W1050" s="9">
        <f t="shared" si="203"/>
        <v>-1.0400028203178457E-2</v>
      </c>
      <c r="AC1050"/>
    </row>
    <row r="1051" spans="1:29" x14ac:dyDescent="0.25">
      <c r="A1051" t="s">
        <v>448</v>
      </c>
      <c r="B1051">
        <v>1</v>
      </c>
      <c r="C1051" t="s">
        <v>505</v>
      </c>
      <c r="D1051" t="s">
        <v>478</v>
      </c>
      <c r="E1051">
        <v>-1</v>
      </c>
      <c r="F1051">
        <v>8.23</v>
      </c>
      <c r="G1051">
        <v>17.977599999999999</v>
      </c>
      <c r="H1051" t="s">
        <v>478</v>
      </c>
      <c r="I1051" t="s">
        <v>478</v>
      </c>
      <c r="J1051" t="s">
        <v>49</v>
      </c>
      <c r="K1051">
        <f t="shared" si="192"/>
        <v>96.11</v>
      </c>
      <c r="L1051">
        <f t="shared" si="193"/>
        <v>397.37959999999998</v>
      </c>
      <c r="M1051" t="str">
        <f t="shared" si="194"/>
        <v>chad-1</v>
      </c>
      <c r="N1051" t="str">
        <f>INDEX(Scores!$A$2:$A$11,INDEX(Scores!$AA$2:$AA$131,MATCH(C1051,Scores!$AB$2:$AB$131,0)))</f>
        <v>chad</v>
      </c>
      <c r="O1051">
        <f t="shared" si="195"/>
        <v>101.75</v>
      </c>
      <c r="P1051">
        <f t="shared" si="196"/>
        <v>333.15260000000001</v>
      </c>
      <c r="Q1051" s="3">
        <f t="shared" si="197"/>
        <v>0.41735304190298633</v>
      </c>
      <c r="R1051" s="3">
        <f t="shared" si="198"/>
        <v>0.28874325307950499</v>
      </c>
      <c r="S1051" s="9">
        <f t="shared" si="199"/>
        <v>-0.12860978882348134</v>
      </c>
      <c r="T1051">
        <f t="shared" si="200"/>
        <v>76</v>
      </c>
      <c r="U1051">
        <f t="shared" si="201"/>
        <v>95</v>
      </c>
      <c r="V1051" s="3">
        <f t="shared" si="202"/>
        <v>1.0604439282064044E-2</v>
      </c>
      <c r="W1051" s="9">
        <f t="shared" si="203"/>
        <v>-1.0604439282064044E-2</v>
      </c>
      <c r="AC1051"/>
    </row>
    <row r="1052" spans="1:29" x14ac:dyDescent="0.25">
      <c r="A1052" t="s">
        <v>202</v>
      </c>
      <c r="B1052">
        <v>4</v>
      </c>
      <c r="C1052" t="s">
        <v>859</v>
      </c>
      <c r="D1052" t="s">
        <v>469</v>
      </c>
      <c r="E1052">
        <v>0</v>
      </c>
      <c r="F1052">
        <v>8.89</v>
      </c>
      <c r="G1052">
        <v>37.576900000000002</v>
      </c>
      <c r="H1052" t="s">
        <v>47</v>
      </c>
      <c r="I1052" t="s">
        <v>47</v>
      </c>
      <c r="J1052" t="s">
        <v>40</v>
      </c>
      <c r="K1052">
        <f t="shared" si="192"/>
        <v>103.94999999999999</v>
      </c>
      <c r="L1052">
        <f t="shared" si="193"/>
        <v>368.50220000000002</v>
      </c>
      <c r="M1052" t="e">
        <f t="shared" si="194"/>
        <v>#N/A</v>
      </c>
      <c r="N1052" t="e">
        <f>INDEX(Scores!$A$2:$A$11,INDEX(Scores!$AA$2:$AA$131,MATCH(C1052,Scores!$AB$2:$AB$131,0)))</f>
        <v>#N/A</v>
      </c>
      <c r="O1052">
        <f t="shared" si="195"/>
        <v>0</v>
      </c>
      <c r="P1052">
        <f t="shared" si="196"/>
        <v>0</v>
      </c>
      <c r="Q1052" s="3">
        <f t="shared" si="197"/>
        <v>0.99999996936843616</v>
      </c>
      <c r="R1052" s="3">
        <f t="shared" si="198"/>
        <v>0.99999991318551673</v>
      </c>
      <c r="S1052" s="9">
        <f t="shared" si="199"/>
        <v>-5.6182919427882894E-8</v>
      </c>
      <c r="T1052">
        <f t="shared" si="200"/>
        <v>69</v>
      </c>
      <c r="U1052">
        <f t="shared" si="201"/>
        <v>0</v>
      </c>
      <c r="V1052" s="3">
        <f t="shared" si="202"/>
        <v>1</v>
      </c>
      <c r="W1052" s="9">
        <f t="shared" si="203"/>
        <v>0</v>
      </c>
      <c r="AC1052"/>
    </row>
    <row r="1053" spans="1:29" x14ac:dyDescent="0.25">
      <c r="A1053" t="s">
        <v>97</v>
      </c>
      <c r="B1053">
        <v>4</v>
      </c>
      <c r="C1053" t="s">
        <v>861</v>
      </c>
      <c r="D1053" t="s">
        <v>469</v>
      </c>
      <c r="E1053">
        <v>12</v>
      </c>
      <c r="F1053">
        <v>12.43</v>
      </c>
      <c r="G1053">
        <v>46.104100000000003</v>
      </c>
      <c r="H1053" t="s">
        <v>47</v>
      </c>
      <c r="I1053" t="s">
        <v>47</v>
      </c>
      <c r="J1053" t="s">
        <v>20</v>
      </c>
      <c r="K1053">
        <f t="shared" si="192"/>
        <v>113.07</v>
      </c>
      <c r="L1053">
        <f t="shared" si="193"/>
        <v>452.41279999999995</v>
      </c>
      <c r="M1053" t="str">
        <f t="shared" si="194"/>
        <v>cory-4</v>
      </c>
      <c r="N1053" t="str">
        <f>INDEX(Scores!$A$2:$A$11,INDEX(Scores!$AA$2:$AA$131,MATCH(C1053,Scores!$AB$2:$AB$131,0)))</f>
        <v>cory</v>
      </c>
      <c r="O1053">
        <f t="shared" si="195"/>
        <v>115.58999999999999</v>
      </c>
      <c r="P1053">
        <f t="shared" si="196"/>
        <v>432.42160000000007</v>
      </c>
      <c r="Q1053" s="3">
        <f t="shared" si="197"/>
        <v>0.46624326985872333</v>
      </c>
      <c r="R1053" s="3">
        <f t="shared" si="198"/>
        <v>0.45943323192323959</v>
      </c>
      <c r="S1053" s="9">
        <f t="shared" si="199"/>
        <v>-6.810037935483737E-3</v>
      </c>
      <c r="T1053">
        <f t="shared" si="200"/>
        <v>88</v>
      </c>
      <c r="U1053">
        <f t="shared" si="201"/>
        <v>104</v>
      </c>
      <c r="V1053" s="3">
        <f t="shared" si="202"/>
        <v>1.0921755751564509E-2</v>
      </c>
      <c r="W1053" s="9">
        <f t="shared" si="203"/>
        <v>-1.0921755751564509E-2</v>
      </c>
      <c r="AC1053"/>
    </row>
    <row r="1054" spans="1:29" x14ac:dyDescent="0.25">
      <c r="A1054" t="s">
        <v>265</v>
      </c>
      <c r="B1054">
        <v>13</v>
      </c>
      <c r="C1054" t="s">
        <v>911</v>
      </c>
      <c r="D1054" t="s">
        <v>475</v>
      </c>
      <c r="E1054">
        <v>1</v>
      </c>
      <c r="F1054">
        <v>6.9</v>
      </c>
      <c r="G1054">
        <v>37.822499999999998</v>
      </c>
      <c r="H1054" t="s">
        <v>114</v>
      </c>
      <c r="I1054" t="s">
        <v>114</v>
      </c>
      <c r="J1054" t="s">
        <v>20</v>
      </c>
      <c r="K1054">
        <f t="shared" si="192"/>
        <v>108.61</v>
      </c>
      <c r="L1054">
        <f t="shared" si="193"/>
        <v>407.25390000000004</v>
      </c>
      <c r="M1054" t="str">
        <f t="shared" si="194"/>
        <v>cory-13</v>
      </c>
      <c r="N1054" t="str">
        <f>INDEX(Scores!$A$2:$A$11,INDEX(Scores!$AA$2:$AA$131,MATCH(C1054,Scores!$AB$2:$AB$131,0)))</f>
        <v>cory</v>
      </c>
      <c r="O1054">
        <f t="shared" si="195"/>
        <v>106.87</v>
      </c>
      <c r="P1054">
        <f t="shared" si="196"/>
        <v>444.05589999999995</v>
      </c>
      <c r="Q1054" s="3">
        <f t="shared" si="197"/>
        <v>0.52377705912504058</v>
      </c>
      <c r="R1054" s="3">
        <f t="shared" si="198"/>
        <v>0.44201837620459261</v>
      </c>
      <c r="S1054" s="9">
        <f t="shared" si="199"/>
        <v>-8.1758682920447967E-2</v>
      </c>
      <c r="T1054">
        <f t="shared" si="200"/>
        <v>66</v>
      </c>
      <c r="U1054">
        <f t="shared" si="201"/>
        <v>86</v>
      </c>
      <c r="V1054" s="3">
        <f t="shared" si="202"/>
        <v>1.0933133091554356E-2</v>
      </c>
      <c r="W1054" s="9">
        <f t="shared" si="203"/>
        <v>-1.0933133091554356E-2</v>
      </c>
      <c r="AC1054"/>
    </row>
    <row r="1055" spans="1:29" x14ac:dyDescent="0.25">
      <c r="A1055" t="s">
        <v>306</v>
      </c>
      <c r="B1055">
        <v>6</v>
      </c>
      <c r="C1055" t="s">
        <v>944</v>
      </c>
      <c r="D1055" t="s">
        <v>469</v>
      </c>
      <c r="E1055">
        <v>5</v>
      </c>
      <c r="F1055">
        <v>10.25</v>
      </c>
      <c r="G1055">
        <v>41.860900000000001</v>
      </c>
      <c r="H1055" t="s">
        <v>47</v>
      </c>
      <c r="I1055" t="s">
        <v>47</v>
      </c>
      <c r="J1055" t="s">
        <v>62</v>
      </c>
      <c r="K1055">
        <f t="shared" si="192"/>
        <v>96.66</v>
      </c>
      <c r="L1055">
        <f t="shared" si="193"/>
        <v>373.87420000000003</v>
      </c>
      <c r="M1055" t="str">
        <f t="shared" si="194"/>
        <v>lucas-6</v>
      </c>
      <c r="N1055" t="str">
        <f>INDEX(Scores!$A$2:$A$11,INDEX(Scores!$AA$2:$AA$131,MATCH(C1055,Scores!$AB$2:$AB$131,0)))</f>
        <v>lucas</v>
      </c>
      <c r="O1055">
        <f t="shared" si="195"/>
        <v>0</v>
      </c>
      <c r="P1055">
        <f t="shared" si="196"/>
        <v>0</v>
      </c>
      <c r="Q1055" s="3">
        <f t="shared" si="197"/>
        <v>0.99999971187356196</v>
      </c>
      <c r="R1055" s="3">
        <f t="shared" si="198"/>
        <v>0.99999973713307944</v>
      </c>
      <c r="S1055" s="9">
        <f t="shared" si="199"/>
        <v>2.5259517477671523E-8</v>
      </c>
      <c r="T1055">
        <f t="shared" si="200"/>
        <v>79</v>
      </c>
      <c r="U1055">
        <f t="shared" si="201"/>
        <v>0</v>
      </c>
      <c r="V1055" s="3">
        <f t="shared" si="202"/>
        <v>1</v>
      </c>
      <c r="W1055" s="9">
        <f t="shared" si="203"/>
        <v>0</v>
      </c>
      <c r="AC1055"/>
    </row>
    <row r="1056" spans="1:29" x14ac:dyDescent="0.25">
      <c r="A1056" t="s">
        <v>100</v>
      </c>
      <c r="B1056">
        <v>7</v>
      </c>
      <c r="C1056" t="s">
        <v>945</v>
      </c>
      <c r="D1056" t="s">
        <v>471</v>
      </c>
      <c r="E1056">
        <v>14</v>
      </c>
      <c r="F1056">
        <v>10.73</v>
      </c>
      <c r="G1056">
        <v>51.265599999999999</v>
      </c>
      <c r="H1056" t="s">
        <v>87</v>
      </c>
      <c r="I1056" t="s">
        <v>87</v>
      </c>
      <c r="J1056" t="s">
        <v>62</v>
      </c>
      <c r="K1056">
        <f t="shared" si="192"/>
        <v>99.759999999999991</v>
      </c>
      <c r="L1056">
        <f t="shared" si="193"/>
        <v>339.923</v>
      </c>
      <c r="M1056" t="str">
        <f t="shared" si="194"/>
        <v>perry-7</v>
      </c>
      <c r="N1056" t="str">
        <f>INDEX(Scores!$A$2:$A$11,INDEX(Scores!$AA$2:$AA$131,MATCH(C1056,Scores!$AB$2:$AB$131,0)))</f>
        <v>perry</v>
      </c>
      <c r="O1056">
        <f t="shared" si="195"/>
        <v>103.81000000000002</v>
      </c>
      <c r="P1056">
        <f t="shared" si="196"/>
        <v>404.20889999999997</v>
      </c>
      <c r="Q1056" s="3">
        <f t="shared" si="197"/>
        <v>0.44098709635876499</v>
      </c>
      <c r="R1056" s="3">
        <f t="shared" si="198"/>
        <v>0.48818002944541711</v>
      </c>
      <c r="S1056" s="9">
        <f t="shared" si="199"/>
        <v>4.7192933086652122E-2</v>
      </c>
      <c r="T1056">
        <f t="shared" si="200"/>
        <v>102</v>
      </c>
      <c r="U1056">
        <f t="shared" si="201"/>
        <v>115</v>
      </c>
      <c r="V1056" s="3">
        <f t="shared" si="202"/>
        <v>1.153279912478912E-2</v>
      </c>
      <c r="W1056" s="9">
        <f t="shared" si="203"/>
        <v>-1.153279912478912E-2</v>
      </c>
      <c r="AC1056"/>
    </row>
    <row r="1057" spans="1:29" x14ac:dyDescent="0.25">
      <c r="A1057" t="s">
        <v>113</v>
      </c>
      <c r="B1057">
        <v>4</v>
      </c>
      <c r="C1057" t="s">
        <v>859</v>
      </c>
      <c r="D1057" t="s">
        <v>475</v>
      </c>
      <c r="E1057">
        <v>8</v>
      </c>
      <c r="F1057">
        <v>11.3</v>
      </c>
      <c r="G1057">
        <v>75.168899999999994</v>
      </c>
      <c r="H1057" t="s">
        <v>114</v>
      </c>
      <c r="I1057" t="s">
        <v>114</v>
      </c>
      <c r="J1057" t="s">
        <v>40</v>
      </c>
      <c r="K1057">
        <f t="shared" si="192"/>
        <v>103.94999999999999</v>
      </c>
      <c r="L1057">
        <f t="shared" si="193"/>
        <v>368.50220000000002</v>
      </c>
      <c r="M1057" t="e">
        <f t="shared" si="194"/>
        <v>#N/A</v>
      </c>
      <c r="N1057" t="e">
        <f>INDEX(Scores!$A$2:$A$11,INDEX(Scores!$AA$2:$AA$131,MATCH(C1057,Scores!$AB$2:$AB$131,0)))</f>
        <v>#N/A</v>
      </c>
      <c r="O1057">
        <f t="shared" si="195"/>
        <v>0</v>
      </c>
      <c r="P1057">
        <f t="shared" si="196"/>
        <v>0</v>
      </c>
      <c r="Q1057" s="3">
        <f t="shared" si="197"/>
        <v>0.99999996936843616</v>
      </c>
      <c r="R1057" s="3">
        <f t="shared" si="198"/>
        <v>0.99999999790729877</v>
      </c>
      <c r="S1057" s="9">
        <f t="shared" si="199"/>
        <v>2.8538862606453108E-8</v>
      </c>
      <c r="T1057">
        <f t="shared" si="200"/>
        <v>69</v>
      </c>
      <c r="U1057">
        <f t="shared" si="201"/>
        <v>0</v>
      </c>
      <c r="V1057" s="3">
        <f t="shared" si="202"/>
        <v>1</v>
      </c>
      <c r="W1057" s="9">
        <f t="shared" si="203"/>
        <v>0</v>
      </c>
      <c r="AC1057"/>
    </row>
    <row r="1058" spans="1:29" x14ac:dyDescent="0.25">
      <c r="A1058" t="s">
        <v>108</v>
      </c>
      <c r="B1058">
        <v>1</v>
      </c>
      <c r="C1058" t="s">
        <v>508</v>
      </c>
      <c r="D1058" t="s">
        <v>473</v>
      </c>
      <c r="E1058">
        <v>8</v>
      </c>
      <c r="F1058">
        <v>10.52</v>
      </c>
      <c r="G1058">
        <v>46.922499999999999</v>
      </c>
      <c r="H1058" t="s">
        <v>87</v>
      </c>
      <c r="I1058" t="s">
        <v>87</v>
      </c>
      <c r="J1058" t="s">
        <v>23</v>
      </c>
      <c r="K1058">
        <f t="shared" si="192"/>
        <v>94.44</v>
      </c>
      <c r="L1058">
        <f t="shared" si="193"/>
        <v>399.28809999999999</v>
      </c>
      <c r="M1058" t="str">
        <f t="shared" si="194"/>
        <v>cory-1</v>
      </c>
      <c r="N1058" t="str">
        <f>INDEX(Scores!$A$2:$A$11,INDEX(Scores!$AA$2:$AA$131,MATCH(C1058,Scores!$AB$2:$AB$131,0)))</f>
        <v>cory</v>
      </c>
      <c r="O1058">
        <f t="shared" si="195"/>
        <v>105.11000000000001</v>
      </c>
      <c r="P1058">
        <f t="shared" si="196"/>
        <v>445.52289999999994</v>
      </c>
      <c r="Q1058" s="3">
        <f t="shared" si="197"/>
        <v>0.35677213328906182</v>
      </c>
      <c r="R1058" s="3">
        <f t="shared" si="198"/>
        <v>0.32026655133236542</v>
      </c>
      <c r="S1058" s="9">
        <f t="shared" si="199"/>
        <v>-3.6505581956696398E-2</v>
      </c>
      <c r="T1058">
        <f t="shared" si="200"/>
        <v>82</v>
      </c>
      <c r="U1058">
        <f t="shared" si="201"/>
        <v>100</v>
      </c>
      <c r="V1058" s="3">
        <f t="shared" si="202"/>
        <v>1.1915156375014797E-2</v>
      </c>
      <c r="W1058" s="9">
        <f t="shared" si="203"/>
        <v>-1.1915156375014797E-2</v>
      </c>
      <c r="AC1058"/>
    </row>
    <row r="1059" spans="1:29" x14ac:dyDescent="0.25">
      <c r="A1059" t="s">
        <v>208</v>
      </c>
      <c r="B1059">
        <v>4</v>
      </c>
      <c r="C1059" t="s">
        <v>862</v>
      </c>
      <c r="D1059" t="s">
        <v>475</v>
      </c>
      <c r="E1059">
        <v>4</v>
      </c>
      <c r="F1059">
        <v>5.6</v>
      </c>
      <c r="G1059">
        <v>21.3444</v>
      </c>
      <c r="H1059" t="s">
        <v>114</v>
      </c>
      <c r="I1059" t="s">
        <v>114</v>
      </c>
      <c r="J1059" t="s">
        <v>23</v>
      </c>
      <c r="K1059">
        <f t="shared" si="192"/>
        <v>111.07000000000001</v>
      </c>
      <c r="L1059">
        <f t="shared" si="193"/>
        <v>406.62959999999998</v>
      </c>
      <c r="M1059" t="str">
        <f t="shared" si="194"/>
        <v>devon-4</v>
      </c>
      <c r="N1059" t="str">
        <f>INDEX(Scores!$A$2:$A$11,INDEX(Scores!$AA$2:$AA$131,MATCH(C1059,Scores!$AB$2:$AB$131,0)))</f>
        <v>devon</v>
      </c>
      <c r="O1059">
        <f t="shared" si="195"/>
        <v>99.78</v>
      </c>
      <c r="P1059">
        <f t="shared" si="196"/>
        <v>369.21209999999996</v>
      </c>
      <c r="Q1059" s="3">
        <f t="shared" si="197"/>
        <v>0.65738205274668193</v>
      </c>
      <c r="R1059" s="3">
        <f t="shared" si="198"/>
        <v>0.63787056281803234</v>
      </c>
      <c r="S1059" s="9">
        <f t="shared" si="199"/>
        <v>-1.9511489928649595E-2</v>
      </c>
      <c r="T1059">
        <f t="shared" si="200"/>
        <v>72</v>
      </c>
      <c r="U1059">
        <f t="shared" si="201"/>
        <v>84</v>
      </c>
      <c r="V1059" s="3">
        <f t="shared" si="202"/>
        <v>1.2190164177834455E-2</v>
      </c>
      <c r="W1059" s="9">
        <f t="shared" si="203"/>
        <v>-1.2190164177834455E-2</v>
      </c>
      <c r="AC1059"/>
    </row>
    <row r="1060" spans="1:29" x14ac:dyDescent="0.25">
      <c r="A1060" t="s">
        <v>81</v>
      </c>
      <c r="B1060">
        <v>4</v>
      </c>
      <c r="C1060" t="s">
        <v>859</v>
      </c>
      <c r="D1060" t="s">
        <v>468</v>
      </c>
      <c r="E1060">
        <v>10</v>
      </c>
      <c r="F1060">
        <v>16.170000000000002</v>
      </c>
      <c r="G1060">
        <v>57.456400000000002</v>
      </c>
      <c r="H1060" t="s">
        <v>47</v>
      </c>
      <c r="I1060" t="s">
        <v>47</v>
      </c>
      <c r="J1060" t="s">
        <v>40</v>
      </c>
      <c r="K1060">
        <f t="shared" si="192"/>
        <v>103.94999999999999</v>
      </c>
      <c r="L1060">
        <f t="shared" si="193"/>
        <v>368.50220000000002</v>
      </c>
      <c r="M1060" t="e">
        <f t="shared" si="194"/>
        <v>#N/A</v>
      </c>
      <c r="N1060" t="e">
        <f>INDEX(Scores!$A$2:$A$11,INDEX(Scores!$AA$2:$AA$131,MATCH(C1060,Scores!$AB$2:$AB$131,0)))</f>
        <v>#N/A</v>
      </c>
      <c r="O1060">
        <f t="shared" si="195"/>
        <v>0</v>
      </c>
      <c r="P1060">
        <f t="shared" si="196"/>
        <v>0</v>
      </c>
      <c r="Q1060" s="3">
        <f t="shared" si="197"/>
        <v>0.99999996936843616</v>
      </c>
      <c r="R1060" s="3">
        <f t="shared" si="198"/>
        <v>0.99999998523383682</v>
      </c>
      <c r="S1060" s="9">
        <f t="shared" si="199"/>
        <v>1.5865400659897944E-8</v>
      </c>
      <c r="T1060">
        <f t="shared" si="200"/>
        <v>69</v>
      </c>
      <c r="U1060">
        <f t="shared" si="201"/>
        <v>0</v>
      </c>
      <c r="V1060" s="3">
        <f t="shared" si="202"/>
        <v>1</v>
      </c>
      <c r="W1060" s="9">
        <f t="shared" si="203"/>
        <v>0</v>
      </c>
      <c r="AC1060"/>
    </row>
    <row r="1061" spans="1:29" x14ac:dyDescent="0.25">
      <c r="A1061" t="s">
        <v>166</v>
      </c>
      <c r="B1061">
        <v>6</v>
      </c>
      <c r="C1061" t="s">
        <v>960</v>
      </c>
      <c r="D1061" t="s">
        <v>472</v>
      </c>
      <c r="E1061">
        <v>2</v>
      </c>
      <c r="F1061">
        <v>7.72</v>
      </c>
      <c r="G1061">
        <v>26.214400000000001</v>
      </c>
      <c r="H1061" t="s">
        <v>87</v>
      </c>
      <c r="I1061" t="s">
        <v>87</v>
      </c>
      <c r="J1061" t="s">
        <v>23</v>
      </c>
      <c r="K1061">
        <f t="shared" si="192"/>
        <v>88.72</v>
      </c>
      <c r="L1061">
        <f t="shared" si="193"/>
        <v>407.6961</v>
      </c>
      <c r="M1061" t="str">
        <f t="shared" si="194"/>
        <v>matty-6</v>
      </c>
      <c r="N1061" t="str">
        <f>INDEX(Scores!$A$2:$A$11,INDEX(Scores!$AA$2:$AA$131,MATCH(C1061,Scores!$AB$2:$AB$131,0)))</f>
        <v>matty</v>
      </c>
      <c r="O1061">
        <f t="shared" si="195"/>
        <v>109.91000000000001</v>
      </c>
      <c r="P1061">
        <f t="shared" si="196"/>
        <v>387.28550000000001</v>
      </c>
      <c r="Q1061" s="3">
        <f t="shared" si="197"/>
        <v>0.22616370321424212</v>
      </c>
      <c r="R1061" s="3">
        <f t="shared" si="198"/>
        <v>0.16588711977494336</v>
      </c>
      <c r="S1061" s="9">
        <f t="shared" si="199"/>
        <v>-6.0276583439298759E-2</v>
      </c>
      <c r="T1061">
        <f t="shared" si="200"/>
        <v>102</v>
      </c>
      <c r="U1061">
        <f t="shared" si="201"/>
        <v>119</v>
      </c>
      <c r="V1061" s="3">
        <f t="shared" si="202"/>
        <v>1.3792969793289677E-2</v>
      </c>
      <c r="W1061" s="9">
        <f t="shared" si="203"/>
        <v>-1.3792969793289677E-2</v>
      </c>
      <c r="AC1061"/>
    </row>
    <row r="1062" spans="1:29" x14ac:dyDescent="0.25">
      <c r="A1062" t="s">
        <v>460</v>
      </c>
      <c r="B1062">
        <v>4</v>
      </c>
      <c r="C1062" t="s">
        <v>862</v>
      </c>
      <c r="D1062" t="s">
        <v>478</v>
      </c>
      <c r="E1062">
        <v>5</v>
      </c>
      <c r="F1062">
        <v>7.18</v>
      </c>
      <c r="G1062">
        <v>19.980899999999998</v>
      </c>
      <c r="H1062" t="s">
        <v>478</v>
      </c>
      <c r="I1062" t="s">
        <v>478</v>
      </c>
      <c r="J1062" t="s">
        <v>23</v>
      </c>
      <c r="K1062">
        <f t="shared" si="192"/>
        <v>111.07000000000001</v>
      </c>
      <c r="L1062">
        <f t="shared" si="193"/>
        <v>406.62959999999998</v>
      </c>
      <c r="M1062" t="str">
        <f t="shared" si="194"/>
        <v>devon-4</v>
      </c>
      <c r="N1062" t="str">
        <f>INDEX(Scores!$A$2:$A$11,INDEX(Scores!$AA$2:$AA$131,MATCH(C1062,Scores!$AB$2:$AB$131,0)))</f>
        <v>devon</v>
      </c>
      <c r="O1062">
        <f t="shared" si="195"/>
        <v>99.78</v>
      </c>
      <c r="P1062">
        <f t="shared" si="196"/>
        <v>369.21209999999996</v>
      </c>
      <c r="Q1062" s="3">
        <f t="shared" si="197"/>
        <v>0.65738205274668193</v>
      </c>
      <c r="R1062" s="3">
        <f t="shared" si="198"/>
        <v>0.62981295869009801</v>
      </c>
      <c r="S1062" s="9">
        <f t="shared" si="199"/>
        <v>-2.756909405658392E-2</v>
      </c>
      <c r="T1062">
        <f t="shared" si="200"/>
        <v>72</v>
      </c>
      <c r="U1062">
        <f t="shared" si="201"/>
        <v>84</v>
      </c>
      <c r="V1062" s="3">
        <f t="shared" si="202"/>
        <v>1.4014937100613493E-2</v>
      </c>
      <c r="W1062" s="9">
        <f t="shared" si="203"/>
        <v>-1.4014937100613493E-2</v>
      </c>
      <c r="AC1062"/>
    </row>
    <row r="1063" spans="1:29" x14ac:dyDescent="0.25">
      <c r="A1063" t="s">
        <v>220</v>
      </c>
      <c r="B1063">
        <v>8</v>
      </c>
      <c r="C1063" t="s">
        <v>978</v>
      </c>
      <c r="D1063" t="s">
        <v>473</v>
      </c>
      <c r="E1063">
        <v>6</v>
      </c>
      <c r="F1063">
        <v>6.6</v>
      </c>
      <c r="G1063">
        <v>43.296399999999998</v>
      </c>
      <c r="H1063" t="s">
        <v>87</v>
      </c>
      <c r="I1063" t="s">
        <v>87</v>
      </c>
      <c r="J1063" t="s">
        <v>44</v>
      </c>
      <c r="K1063">
        <f t="shared" si="192"/>
        <v>96.57</v>
      </c>
      <c r="L1063">
        <f t="shared" si="193"/>
        <v>368.03749999999997</v>
      </c>
      <c r="M1063" t="str">
        <f t="shared" si="194"/>
        <v>devon-8</v>
      </c>
      <c r="N1063" t="str">
        <f>INDEX(Scores!$A$2:$A$11,INDEX(Scores!$AA$2:$AA$131,MATCH(C1063,Scores!$AB$2:$AB$131,0)))</f>
        <v>devon</v>
      </c>
      <c r="O1063">
        <f t="shared" si="195"/>
        <v>102.43</v>
      </c>
      <c r="P1063">
        <f t="shared" si="196"/>
        <v>452.86560000000003</v>
      </c>
      <c r="Q1063" s="3">
        <f t="shared" si="197"/>
        <v>0.41897065981019621</v>
      </c>
      <c r="R1063" s="3">
        <f t="shared" si="198"/>
        <v>0.40840074647012864</v>
      </c>
      <c r="S1063" s="9">
        <f t="shared" si="199"/>
        <v>-1.0569913340067572E-2</v>
      </c>
      <c r="T1063">
        <f t="shared" si="200"/>
        <v>85</v>
      </c>
      <c r="U1063">
        <f t="shared" si="201"/>
        <v>100</v>
      </c>
      <c r="V1063" s="3">
        <f t="shared" si="202"/>
        <v>1.4318425318053515E-2</v>
      </c>
      <c r="W1063" s="9">
        <f t="shared" si="203"/>
        <v>-1.4318425318053515E-2</v>
      </c>
      <c r="AC1063"/>
    </row>
    <row r="1064" spans="1:29" x14ac:dyDescent="0.25">
      <c r="A1064" t="s">
        <v>177</v>
      </c>
      <c r="B1064">
        <v>5</v>
      </c>
      <c r="C1064" t="s">
        <v>883</v>
      </c>
      <c r="D1064" t="s">
        <v>475</v>
      </c>
      <c r="E1064">
        <v>12</v>
      </c>
      <c r="F1064">
        <v>7.55</v>
      </c>
      <c r="G1064">
        <v>18.748899999999999</v>
      </c>
      <c r="H1064" t="s">
        <v>114</v>
      </c>
      <c r="I1064" t="s">
        <v>114</v>
      </c>
      <c r="J1064" t="s">
        <v>16</v>
      </c>
      <c r="K1064">
        <f t="shared" si="192"/>
        <v>109.91</v>
      </c>
      <c r="L1064">
        <f t="shared" si="193"/>
        <v>349.51409999999998</v>
      </c>
      <c r="M1064" t="str">
        <f t="shared" si="194"/>
        <v>devon-5</v>
      </c>
      <c r="N1064" t="str">
        <f>INDEX(Scores!$A$2:$A$11,INDEX(Scores!$AA$2:$AA$131,MATCH(C1064,Scores!$AB$2:$AB$131,0)))</f>
        <v>devon</v>
      </c>
      <c r="O1064">
        <f t="shared" si="195"/>
        <v>93.5</v>
      </c>
      <c r="P1064">
        <f t="shared" si="196"/>
        <v>346.9006</v>
      </c>
      <c r="Q1064" s="3">
        <f t="shared" si="197"/>
        <v>0.73297455800387123</v>
      </c>
      <c r="R1064" s="3">
        <f t="shared" si="198"/>
        <v>0.78852707931305177</v>
      </c>
      <c r="S1064" s="9">
        <f t="shared" si="199"/>
        <v>5.5552521309180536E-2</v>
      </c>
      <c r="T1064">
        <f t="shared" si="200"/>
        <v>100</v>
      </c>
      <c r="U1064">
        <f t="shared" si="201"/>
        <v>105</v>
      </c>
      <c r="V1064" s="3">
        <f t="shared" si="202"/>
        <v>1.4538241166321537E-2</v>
      </c>
      <c r="W1064" s="9">
        <f t="shared" si="203"/>
        <v>-1.4538241166321537E-2</v>
      </c>
      <c r="AC1064"/>
    </row>
    <row r="1065" spans="1:29" x14ac:dyDescent="0.25">
      <c r="A1065" t="s">
        <v>437</v>
      </c>
      <c r="B1065">
        <v>6</v>
      </c>
      <c r="C1065" t="s">
        <v>928</v>
      </c>
      <c r="D1065" t="s">
        <v>477</v>
      </c>
      <c r="E1065">
        <v>4</v>
      </c>
      <c r="F1065">
        <v>8.5</v>
      </c>
      <c r="G1065">
        <v>44.222499999999997</v>
      </c>
      <c r="H1065" t="s">
        <v>477</v>
      </c>
      <c r="I1065" t="s">
        <v>477</v>
      </c>
      <c r="J1065" t="s">
        <v>35</v>
      </c>
      <c r="K1065">
        <f t="shared" si="192"/>
        <v>101.41999999999999</v>
      </c>
      <c r="L1065">
        <f t="shared" si="193"/>
        <v>401.13359999999994</v>
      </c>
      <c r="M1065" t="str">
        <f t="shared" si="194"/>
        <v>comp-6</v>
      </c>
      <c r="N1065" t="str">
        <f>INDEX(Scores!$A$2:$A$11,INDEX(Scores!$AA$2:$AA$131,MATCH(C1065,Scores!$AB$2:$AB$131,0)))</f>
        <v>comp</v>
      </c>
      <c r="O1065">
        <f t="shared" si="195"/>
        <v>104.66</v>
      </c>
      <c r="P1065">
        <f t="shared" si="196"/>
        <v>375.94899999999996</v>
      </c>
      <c r="Q1065" s="3">
        <f t="shared" si="197"/>
        <v>0.45373585390093107</v>
      </c>
      <c r="R1065" s="3">
        <f t="shared" si="198"/>
        <v>0.38747325583287151</v>
      </c>
      <c r="S1065" s="9">
        <f t="shared" si="199"/>
        <v>-6.6262598068059564E-2</v>
      </c>
      <c r="T1065">
        <f t="shared" si="200"/>
        <v>72</v>
      </c>
      <c r="U1065">
        <f t="shared" si="201"/>
        <v>91</v>
      </c>
      <c r="V1065" s="3">
        <f t="shared" si="202"/>
        <v>1.4612018885743474E-2</v>
      </c>
      <c r="W1065" s="9">
        <f t="shared" si="203"/>
        <v>-1.4612018885743474E-2</v>
      </c>
      <c r="AC1065"/>
    </row>
    <row r="1066" spans="1:29" x14ac:dyDescent="0.25">
      <c r="A1066" t="s">
        <v>136</v>
      </c>
      <c r="B1066">
        <v>4</v>
      </c>
      <c r="C1066" t="s">
        <v>859</v>
      </c>
      <c r="D1066" t="s">
        <v>471</v>
      </c>
      <c r="E1066">
        <v>1</v>
      </c>
      <c r="F1066">
        <v>10.68</v>
      </c>
      <c r="G1066">
        <v>37.576900000000002</v>
      </c>
      <c r="H1066" t="s">
        <v>87</v>
      </c>
      <c r="I1066" t="s">
        <v>87</v>
      </c>
      <c r="J1066" t="s">
        <v>40</v>
      </c>
      <c r="K1066">
        <f t="shared" si="192"/>
        <v>103.94999999999999</v>
      </c>
      <c r="L1066">
        <f t="shared" si="193"/>
        <v>368.50220000000002</v>
      </c>
      <c r="M1066" t="e">
        <f t="shared" si="194"/>
        <v>#N/A</v>
      </c>
      <c r="N1066" t="e">
        <f>INDEX(Scores!$A$2:$A$11,INDEX(Scores!$AA$2:$AA$131,MATCH(C1066,Scores!$AB$2:$AB$131,0)))</f>
        <v>#N/A</v>
      </c>
      <c r="O1066">
        <f t="shared" si="195"/>
        <v>0</v>
      </c>
      <c r="P1066">
        <f t="shared" si="196"/>
        <v>0</v>
      </c>
      <c r="Q1066" s="3">
        <f t="shared" si="197"/>
        <v>0.99999996936843616</v>
      </c>
      <c r="R1066" s="3">
        <f t="shared" si="198"/>
        <v>0.99999989031841519</v>
      </c>
      <c r="S1066" s="9">
        <f t="shared" si="199"/>
        <v>-7.9050020973525648E-8</v>
      </c>
      <c r="T1066">
        <f t="shared" si="200"/>
        <v>69</v>
      </c>
      <c r="U1066">
        <f t="shared" si="201"/>
        <v>0</v>
      </c>
      <c r="V1066" s="3">
        <f t="shared" si="202"/>
        <v>1</v>
      </c>
      <c r="W1066" s="9">
        <f t="shared" si="203"/>
        <v>0</v>
      </c>
      <c r="AC1066"/>
    </row>
    <row r="1067" spans="1:29" x14ac:dyDescent="0.25">
      <c r="A1067" t="s">
        <v>411</v>
      </c>
      <c r="B1067">
        <v>2</v>
      </c>
      <c r="C1067" t="s">
        <v>625</v>
      </c>
      <c r="D1067" t="s">
        <v>477</v>
      </c>
      <c r="E1067">
        <v>15</v>
      </c>
      <c r="F1067">
        <v>10.64</v>
      </c>
      <c r="G1067">
        <v>38.192399999999999</v>
      </c>
      <c r="H1067" t="s">
        <v>477</v>
      </c>
      <c r="I1067" t="s">
        <v>477</v>
      </c>
      <c r="J1067" t="s">
        <v>55</v>
      </c>
      <c r="K1067">
        <f t="shared" si="192"/>
        <v>103.77999999999999</v>
      </c>
      <c r="L1067">
        <f t="shared" si="193"/>
        <v>338.9511</v>
      </c>
      <c r="M1067" t="str">
        <f t="shared" si="194"/>
        <v>chad-2</v>
      </c>
      <c r="N1067" t="str">
        <f>INDEX(Scores!$A$2:$A$11,INDEX(Scores!$AA$2:$AA$131,MATCH(C1067,Scores!$AB$2:$AB$131,0)))</f>
        <v>chad</v>
      </c>
      <c r="O1067">
        <f t="shared" si="195"/>
        <v>102.72000000000001</v>
      </c>
      <c r="P1067">
        <f t="shared" si="196"/>
        <v>348.54960000000005</v>
      </c>
      <c r="Q1067" s="3">
        <f t="shared" si="197"/>
        <v>0.51612356509096413</v>
      </c>
      <c r="R1067" s="3">
        <f t="shared" si="198"/>
        <v>0.58422072373615763</v>
      </c>
      <c r="S1067" s="9">
        <f t="shared" si="199"/>
        <v>6.8097158645193501E-2</v>
      </c>
      <c r="T1067">
        <f t="shared" si="200"/>
        <v>90</v>
      </c>
      <c r="U1067">
        <f t="shared" si="201"/>
        <v>99</v>
      </c>
      <c r="V1067" s="3">
        <f t="shared" si="202"/>
        <v>1.5316323595587314E-2</v>
      </c>
      <c r="W1067" s="9">
        <f t="shared" si="203"/>
        <v>-1.5316323595587314E-2</v>
      </c>
      <c r="AC1067"/>
    </row>
    <row r="1068" spans="1:29" x14ac:dyDescent="0.25">
      <c r="A1068" t="s">
        <v>115</v>
      </c>
      <c r="B1068">
        <v>13</v>
      </c>
      <c r="C1068" t="s">
        <v>911</v>
      </c>
      <c r="D1068" t="s">
        <v>469</v>
      </c>
      <c r="E1068">
        <v>6</v>
      </c>
      <c r="F1068">
        <v>11.61</v>
      </c>
      <c r="G1068">
        <v>44.488900000000001</v>
      </c>
      <c r="H1068" t="s">
        <v>47</v>
      </c>
      <c r="I1068" t="s">
        <v>47</v>
      </c>
      <c r="J1068" t="s">
        <v>20</v>
      </c>
      <c r="K1068">
        <f t="shared" si="192"/>
        <v>108.61</v>
      </c>
      <c r="L1068">
        <f t="shared" si="193"/>
        <v>407.25390000000004</v>
      </c>
      <c r="M1068" t="str">
        <f t="shared" si="194"/>
        <v>cory-13</v>
      </c>
      <c r="N1068" t="str">
        <f>INDEX(Scores!$A$2:$A$11,INDEX(Scores!$AA$2:$AA$131,MATCH(C1068,Scores!$AB$2:$AB$131,0)))</f>
        <v>cory</v>
      </c>
      <c r="O1068">
        <f t="shared" si="195"/>
        <v>106.87</v>
      </c>
      <c r="P1068">
        <f t="shared" si="196"/>
        <v>444.05589999999995</v>
      </c>
      <c r="Q1068" s="3">
        <f t="shared" si="197"/>
        <v>0.52377705912504058</v>
      </c>
      <c r="R1068" s="3">
        <f t="shared" si="198"/>
        <v>0.44581357506335206</v>
      </c>
      <c r="S1068" s="9">
        <f t="shared" si="199"/>
        <v>-7.7963484061688515E-2</v>
      </c>
      <c r="T1068">
        <f t="shared" si="200"/>
        <v>66</v>
      </c>
      <c r="U1068">
        <f t="shared" si="201"/>
        <v>86</v>
      </c>
      <c r="V1068" s="3">
        <f t="shared" si="202"/>
        <v>1.5486426953781138E-2</v>
      </c>
      <c r="W1068" s="9">
        <f t="shared" si="203"/>
        <v>-1.5486426953781138E-2</v>
      </c>
      <c r="AC1068"/>
    </row>
    <row r="1069" spans="1:29" x14ac:dyDescent="0.25">
      <c r="A1069" t="s">
        <v>43</v>
      </c>
      <c r="B1069">
        <v>4</v>
      </c>
      <c r="C1069" t="s">
        <v>857</v>
      </c>
      <c r="D1069" t="s">
        <v>467</v>
      </c>
      <c r="E1069">
        <v>19</v>
      </c>
      <c r="F1069">
        <v>18.45</v>
      </c>
      <c r="G1069">
        <v>33.872399999999999</v>
      </c>
      <c r="H1069" t="s">
        <v>15</v>
      </c>
      <c r="I1069" t="s">
        <v>15</v>
      </c>
      <c r="J1069" t="s">
        <v>44</v>
      </c>
      <c r="K1069">
        <f t="shared" si="192"/>
        <v>104.32</v>
      </c>
      <c r="L1069">
        <f t="shared" si="193"/>
        <v>390.96559999999999</v>
      </c>
      <c r="M1069" t="str">
        <f t="shared" si="194"/>
        <v>chad-4</v>
      </c>
      <c r="N1069" t="str">
        <f>INDEX(Scores!$A$2:$A$11,INDEX(Scores!$AA$2:$AA$131,MATCH(C1069,Scores!$AB$2:$AB$131,0)))</f>
        <v>chad</v>
      </c>
      <c r="O1069">
        <f t="shared" si="195"/>
        <v>99.8</v>
      </c>
      <c r="P1069">
        <f t="shared" si="196"/>
        <v>351.46400000000006</v>
      </c>
      <c r="Q1069" s="3">
        <f t="shared" si="197"/>
        <v>0.56587682676878348</v>
      </c>
      <c r="R1069" s="3">
        <f t="shared" si="198"/>
        <v>0.57552853061800346</v>
      </c>
      <c r="S1069" s="9">
        <f t="shared" si="199"/>
        <v>9.6517038492199836E-3</v>
      </c>
      <c r="T1069">
        <f t="shared" si="200"/>
        <v>111</v>
      </c>
      <c r="U1069">
        <f t="shared" si="201"/>
        <v>123</v>
      </c>
      <c r="V1069" s="3">
        <f t="shared" si="202"/>
        <v>1.5527884647811796E-2</v>
      </c>
      <c r="W1069" s="9">
        <f t="shared" si="203"/>
        <v>-1.5527884647811796E-2</v>
      </c>
      <c r="AC1069"/>
    </row>
    <row r="1070" spans="1:29" x14ac:dyDescent="0.25">
      <c r="A1070" t="s">
        <v>170</v>
      </c>
      <c r="B1070">
        <v>6</v>
      </c>
      <c r="C1070" t="s">
        <v>944</v>
      </c>
      <c r="D1070" t="s">
        <v>466</v>
      </c>
      <c r="E1070">
        <v>8</v>
      </c>
      <c r="F1070">
        <v>8.9700000000000006</v>
      </c>
      <c r="G1070">
        <v>78.676900000000003</v>
      </c>
      <c r="H1070" t="s">
        <v>466</v>
      </c>
      <c r="I1070" t="s">
        <v>47</v>
      </c>
      <c r="J1070" t="s">
        <v>62</v>
      </c>
      <c r="K1070">
        <f t="shared" si="192"/>
        <v>96.66</v>
      </c>
      <c r="L1070">
        <f t="shared" si="193"/>
        <v>373.87420000000003</v>
      </c>
      <c r="M1070" t="str">
        <f t="shared" si="194"/>
        <v>lucas-6</v>
      </c>
      <c r="N1070" t="str">
        <f>INDEX(Scores!$A$2:$A$11,INDEX(Scores!$AA$2:$AA$131,MATCH(C1070,Scores!$AB$2:$AB$131,0)))</f>
        <v>lucas</v>
      </c>
      <c r="O1070">
        <f t="shared" si="195"/>
        <v>0</v>
      </c>
      <c r="P1070">
        <f t="shared" si="196"/>
        <v>0</v>
      </c>
      <c r="Q1070" s="3">
        <f t="shared" si="197"/>
        <v>0.99999971187356196</v>
      </c>
      <c r="R1070" s="3">
        <f t="shared" si="198"/>
        <v>0.99999998722093519</v>
      </c>
      <c r="S1070" s="9">
        <f t="shared" si="199"/>
        <v>2.7534737323531289E-7</v>
      </c>
      <c r="T1070">
        <f t="shared" si="200"/>
        <v>79</v>
      </c>
      <c r="U1070">
        <f t="shared" si="201"/>
        <v>0</v>
      </c>
      <c r="V1070" s="3">
        <f t="shared" si="202"/>
        <v>1</v>
      </c>
      <c r="W1070" s="9">
        <f t="shared" si="203"/>
        <v>0</v>
      </c>
      <c r="AC1070"/>
    </row>
    <row r="1071" spans="1:29" x14ac:dyDescent="0.25">
      <c r="A1071" t="s">
        <v>18</v>
      </c>
      <c r="B1071">
        <v>4</v>
      </c>
      <c r="C1071" t="s">
        <v>861</v>
      </c>
      <c r="D1071" t="s">
        <v>467</v>
      </c>
      <c r="E1071">
        <v>20</v>
      </c>
      <c r="F1071">
        <v>20.77</v>
      </c>
      <c r="G1071">
        <v>50.41</v>
      </c>
      <c r="H1071" t="s">
        <v>15</v>
      </c>
      <c r="I1071" t="s">
        <v>15</v>
      </c>
      <c r="J1071" t="s">
        <v>20</v>
      </c>
      <c r="K1071">
        <f t="shared" si="192"/>
        <v>113.07</v>
      </c>
      <c r="L1071">
        <f t="shared" si="193"/>
        <v>452.41279999999995</v>
      </c>
      <c r="M1071" t="str">
        <f t="shared" si="194"/>
        <v>cory-4</v>
      </c>
      <c r="N1071" t="str">
        <f>INDEX(Scores!$A$2:$A$11,INDEX(Scores!$AA$2:$AA$131,MATCH(C1071,Scores!$AB$2:$AB$131,0)))</f>
        <v>cory</v>
      </c>
      <c r="O1071">
        <f t="shared" si="195"/>
        <v>115.58999999999999</v>
      </c>
      <c r="P1071">
        <f t="shared" si="196"/>
        <v>432.42160000000007</v>
      </c>
      <c r="Q1071" s="3">
        <f t="shared" si="197"/>
        <v>0.46624326985872333</v>
      </c>
      <c r="R1071" s="3">
        <f t="shared" si="198"/>
        <v>0.45466074936792034</v>
      </c>
      <c r="S1071" s="9">
        <f t="shared" si="199"/>
        <v>-1.1582520490802994E-2</v>
      </c>
      <c r="T1071">
        <f t="shared" si="200"/>
        <v>88</v>
      </c>
      <c r="U1071">
        <f t="shared" si="201"/>
        <v>104</v>
      </c>
      <c r="V1071" s="3">
        <f t="shared" si="202"/>
        <v>1.5973608425842112E-2</v>
      </c>
      <c r="W1071" s="9">
        <f t="shared" si="203"/>
        <v>-1.5973608425842112E-2</v>
      </c>
      <c r="AC1071"/>
    </row>
    <row r="1072" spans="1:29" x14ac:dyDescent="0.25">
      <c r="A1072" t="s">
        <v>194</v>
      </c>
      <c r="B1072">
        <v>8</v>
      </c>
      <c r="C1072" t="s">
        <v>906</v>
      </c>
      <c r="D1072" t="s">
        <v>473</v>
      </c>
      <c r="E1072">
        <v>13</v>
      </c>
      <c r="F1072">
        <v>5.96</v>
      </c>
      <c r="G1072">
        <v>21.996099999999998</v>
      </c>
      <c r="H1072" t="s">
        <v>87</v>
      </c>
      <c r="I1072" t="s">
        <v>87</v>
      </c>
      <c r="J1072" t="s">
        <v>20</v>
      </c>
      <c r="K1072">
        <f t="shared" si="192"/>
        <v>113.35000000000001</v>
      </c>
      <c r="L1072">
        <f t="shared" si="193"/>
        <v>416.81729999999993</v>
      </c>
      <c r="M1072" t="str">
        <f t="shared" si="194"/>
        <v>chad-8</v>
      </c>
      <c r="N1072" t="str">
        <f>INDEX(Scores!$A$2:$A$11,INDEX(Scores!$AA$2:$AA$131,MATCH(C1072,Scores!$AB$2:$AB$131,0)))</f>
        <v>chad</v>
      </c>
      <c r="O1072">
        <f t="shared" si="195"/>
        <v>94.88</v>
      </c>
      <c r="P1072">
        <f t="shared" si="196"/>
        <v>320.65749999999997</v>
      </c>
      <c r="Q1072" s="3">
        <f t="shared" si="197"/>
        <v>0.75178960468721057</v>
      </c>
      <c r="R1072" s="3">
        <f t="shared" si="198"/>
        <v>0.82988241857437239</v>
      </c>
      <c r="S1072" s="9">
        <f t="shared" si="199"/>
        <v>7.8092813887161827E-2</v>
      </c>
      <c r="T1072">
        <f t="shared" si="200"/>
        <v>75</v>
      </c>
      <c r="U1072">
        <f t="shared" si="201"/>
        <v>78</v>
      </c>
      <c r="V1072" s="3">
        <f t="shared" si="202"/>
        <v>1.6148112762933976E-2</v>
      </c>
      <c r="W1072" s="9">
        <f t="shared" si="203"/>
        <v>-1.6148112762933976E-2</v>
      </c>
      <c r="AC1072"/>
    </row>
    <row r="1073" spans="1:29" x14ac:dyDescent="0.25">
      <c r="A1073" t="s">
        <v>110</v>
      </c>
      <c r="B1073">
        <v>7</v>
      </c>
      <c r="C1073" t="s">
        <v>969</v>
      </c>
      <c r="D1073" t="s">
        <v>473</v>
      </c>
      <c r="E1073">
        <v>8</v>
      </c>
      <c r="F1073">
        <v>10.71</v>
      </c>
      <c r="G1073">
        <v>44.622399999999999</v>
      </c>
      <c r="H1073" t="s">
        <v>87</v>
      </c>
      <c r="I1073" t="s">
        <v>87</v>
      </c>
      <c r="J1073" t="s">
        <v>49</v>
      </c>
      <c r="K1073">
        <f t="shared" si="192"/>
        <v>87.490000000000009</v>
      </c>
      <c r="L1073">
        <f t="shared" si="193"/>
        <v>277.88929999999999</v>
      </c>
      <c r="M1073" t="str">
        <f t="shared" si="194"/>
        <v>scott-7</v>
      </c>
      <c r="N1073" t="str">
        <f>INDEX(Scores!$A$2:$A$11,INDEX(Scores!$AA$2:$AA$131,MATCH(C1073,Scores!$AB$2:$AB$131,0)))</f>
        <v>scott</v>
      </c>
      <c r="O1073">
        <f t="shared" si="195"/>
        <v>114.48000000000002</v>
      </c>
      <c r="P1073">
        <f t="shared" si="196"/>
        <v>430.3667999999999</v>
      </c>
      <c r="Q1073" s="3">
        <f t="shared" si="197"/>
        <v>0.15525251215631256</v>
      </c>
      <c r="R1073" s="3">
        <f t="shared" si="198"/>
        <v>0.12447539227405099</v>
      </c>
      <c r="S1073" s="9">
        <f t="shared" si="199"/>
        <v>-3.0777119882261561E-2</v>
      </c>
      <c r="T1073">
        <f t="shared" si="200"/>
        <v>65</v>
      </c>
      <c r="U1073">
        <f t="shared" si="201"/>
        <v>82</v>
      </c>
      <c r="V1073" s="3">
        <f t="shared" si="202"/>
        <v>1.6208864565563759E-2</v>
      </c>
      <c r="W1073" s="9">
        <f t="shared" si="203"/>
        <v>-1.6208864565563759E-2</v>
      </c>
      <c r="AC1073"/>
    </row>
    <row r="1074" spans="1:29" x14ac:dyDescent="0.25">
      <c r="A1074" t="s">
        <v>104</v>
      </c>
      <c r="B1074">
        <v>3</v>
      </c>
      <c r="C1074" t="s">
        <v>808</v>
      </c>
      <c r="D1074" t="s">
        <v>473</v>
      </c>
      <c r="E1074">
        <v>17</v>
      </c>
      <c r="F1074">
        <v>11.08</v>
      </c>
      <c r="G1074">
        <v>42.640900000000002</v>
      </c>
      <c r="H1074" t="s">
        <v>87</v>
      </c>
      <c r="I1074" t="s">
        <v>87</v>
      </c>
      <c r="J1074" t="s">
        <v>44</v>
      </c>
      <c r="K1074">
        <f t="shared" si="192"/>
        <v>94.54</v>
      </c>
      <c r="L1074">
        <f t="shared" si="193"/>
        <v>356.43470000000002</v>
      </c>
      <c r="M1074" t="str">
        <f t="shared" si="194"/>
        <v>aj-3</v>
      </c>
      <c r="N1074" t="str">
        <f>INDEX(Scores!$A$2:$A$11,INDEX(Scores!$AA$2:$AA$131,MATCH(C1074,Scores!$AB$2:$AB$131,0)))</f>
        <v>aj</v>
      </c>
      <c r="O1074">
        <f t="shared" si="195"/>
        <v>107.31</v>
      </c>
      <c r="P1074">
        <f t="shared" si="196"/>
        <v>425.77620000000002</v>
      </c>
      <c r="Q1074" s="3">
        <f t="shared" si="197"/>
        <v>0.3239819129085153</v>
      </c>
      <c r="R1074" s="3">
        <f t="shared" si="198"/>
        <v>0.40056528575732891</v>
      </c>
      <c r="S1074" s="9">
        <f t="shared" si="199"/>
        <v>7.6583372848813613E-2</v>
      </c>
      <c r="T1074">
        <f t="shared" si="200"/>
        <v>88</v>
      </c>
      <c r="U1074">
        <f t="shared" si="201"/>
        <v>96</v>
      </c>
      <c r="V1074" s="3">
        <f t="shared" si="202"/>
        <v>1.6515764713242884E-2</v>
      </c>
      <c r="W1074" s="9">
        <f t="shared" si="203"/>
        <v>-1.6515764713242884E-2</v>
      </c>
      <c r="AC1074"/>
    </row>
    <row r="1075" spans="1:29" x14ac:dyDescent="0.25">
      <c r="A1075" t="s">
        <v>99</v>
      </c>
      <c r="B1075">
        <v>10</v>
      </c>
      <c r="C1075" t="s">
        <v>916</v>
      </c>
      <c r="D1075" t="s">
        <v>468</v>
      </c>
      <c r="E1075">
        <v>7</v>
      </c>
      <c r="F1075">
        <v>9.6300000000000008</v>
      </c>
      <c r="G1075">
        <v>33.988900000000001</v>
      </c>
      <c r="H1075" t="s">
        <v>47</v>
      </c>
      <c r="I1075" t="s">
        <v>47</v>
      </c>
      <c r="J1075" t="s">
        <v>16</v>
      </c>
      <c r="K1075">
        <f t="shared" si="192"/>
        <v>93.17</v>
      </c>
      <c r="L1075">
        <f t="shared" si="193"/>
        <v>328.34589999999997</v>
      </c>
      <c r="M1075" t="str">
        <f t="shared" si="194"/>
        <v>perry-10</v>
      </c>
      <c r="N1075" t="str">
        <f>INDEX(Scores!$A$2:$A$11,INDEX(Scores!$AA$2:$AA$131,MATCH(C1075,Scores!$AB$2:$AB$131,0)))</f>
        <v>perry</v>
      </c>
      <c r="O1075">
        <f t="shared" si="195"/>
        <v>103.49</v>
      </c>
      <c r="P1075">
        <f t="shared" si="196"/>
        <v>345.28400000000005</v>
      </c>
      <c r="Q1075" s="3">
        <f t="shared" si="197"/>
        <v>0.34545488835543114</v>
      </c>
      <c r="R1075" s="3">
        <f t="shared" si="198"/>
        <v>0.30431244297059529</v>
      </c>
      <c r="S1075" s="9">
        <f t="shared" si="199"/>
        <v>-4.1142445384835857E-2</v>
      </c>
      <c r="T1075">
        <f t="shared" si="200"/>
        <v>91</v>
      </c>
      <c r="U1075">
        <f t="shared" si="201"/>
        <v>106</v>
      </c>
      <c r="V1075" s="3">
        <f t="shared" si="202"/>
        <v>1.6927945613473862E-2</v>
      </c>
      <c r="W1075" s="9">
        <f t="shared" si="203"/>
        <v>-1.6927945613473862E-2</v>
      </c>
      <c r="AC1075"/>
    </row>
    <row r="1076" spans="1:29" x14ac:dyDescent="0.25">
      <c r="A1076" t="s">
        <v>104</v>
      </c>
      <c r="B1076">
        <v>1</v>
      </c>
      <c r="C1076" t="s">
        <v>508</v>
      </c>
      <c r="D1076" t="s">
        <v>471</v>
      </c>
      <c r="E1076">
        <v>7</v>
      </c>
      <c r="F1076">
        <v>11.45</v>
      </c>
      <c r="G1076">
        <v>42.380099999999999</v>
      </c>
      <c r="H1076" t="s">
        <v>87</v>
      </c>
      <c r="I1076" t="s">
        <v>87</v>
      </c>
      <c r="J1076" t="s">
        <v>23</v>
      </c>
      <c r="K1076">
        <f t="shared" si="192"/>
        <v>94.44</v>
      </c>
      <c r="L1076">
        <f t="shared" si="193"/>
        <v>399.28809999999999</v>
      </c>
      <c r="M1076" t="str">
        <f t="shared" si="194"/>
        <v>cory-1</v>
      </c>
      <c r="N1076" t="str">
        <f>INDEX(Scores!$A$2:$A$11,INDEX(Scores!$AA$2:$AA$131,MATCH(C1076,Scores!$AB$2:$AB$131,0)))</f>
        <v>cory</v>
      </c>
      <c r="O1076">
        <f t="shared" si="195"/>
        <v>105.11000000000001</v>
      </c>
      <c r="P1076">
        <f t="shared" si="196"/>
        <v>445.52289999999994</v>
      </c>
      <c r="Q1076" s="3">
        <f t="shared" si="197"/>
        <v>0.35677213328906182</v>
      </c>
      <c r="R1076" s="3">
        <f t="shared" si="198"/>
        <v>0.29675296892864345</v>
      </c>
      <c r="S1076" s="9">
        <f t="shared" si="199"/>
        <v>-6.0019164360418376E-2</v>
      </c>
      <c r="T1076">
        <f t="shared" si="200"/>
        <v>82</v>
      </c>
      <c r="U1076">
        <f t="shared" si="201"/>
        <v>100</v>
      </c>
      <c r="V1076" s="3">
        <f t="shared" si="202"/>
        <v>1.8698050266934042E-2</v>
      </c>
      <c r="W1076" s="9">
        <f t="shared" si="203"/>
        <v>-1.8698050266934042E-2</v>
      </c>
      <c r="AC1076"/>
    </row>
    <row r="1077" spans="1:29" x14ac:dyDescent="0.25">
      <c r="A1077" t="s">
        <v>450</v>
      </c>
      <c r="B1077">
        <v>9</v>
      </c>
      <c r="C1077" t="s">
        <v>931</v>
      </c>
      <c r="D1077" t="s">
        <v>478</v>
      </c>
      <c r="E1077">
        <v>10</v>
      </c>
      <c r="F1077">
        <v>8.02</v>
      </c>
      <c r="G1077">
        <v>23.136099999999999</v>
      </c>
      <c r="H1077" t="s">
        <v>478</v>
      </c>
      <c r="I1077" t="s">
        <v>478</v>
      </c>
      <c r="J1077" t="s">
        <v>35</v>
      </c>
      <c r="K1077">
        <f t="shared" si="192"/>
        <v>104.66</v>
      </c>
      <c r="L1077">
        <f t="shared" si="193"/>
        <v>474.51049999999998</v>
      </c>
      <c r="M1077" t="str">
        <f t="shared" si="194"/>
        <v>cory-9</v>
      </c>
      <c r="N1077" t="str">
        <f>INDEX(Scores!$A$2:$A$11,INDEX(Scores!$AA$2:$AA$131,MATCH(C1077,Scores!$AB$2:$AB$131,0)))</f>
        <v>cory</v>
      </c>
      <c r="O1077">
        <f t="shared" si="195"/>
        <v>90.69</v>
      </c>
      <c r="P1077">
        <f t="shared" si="196"/>
        <v>356.05790000000002</v>
      </c>
      <c r="Q1077" s="3">
        <f t="shared" si="197"/>
        <v>0.68606954461640712</v>
      </c>
      <c r="R1077" s="3">
        <f t="shared" si="198"/>
        <v>0.7127090228291364</v>
      </c>
      <c r="S1077" s="9">
        <f t="shared" si="199"/>
        <v>2.6639478212729273E-2</v>
      </c>
      <c r="T1077">
        <f t="shared" si="200"/>
        <v>81</v>
      </c>
      <c r="U1077">
        <f t="shared" si="201"/>
        <v>89</v>
      </c>
      <c r="V1077" s="3">
        <f t="shared" si="202"/>
        <v>1.9000494117257322E-2</v>
      </c>
      <c r="W1077" s="9">
        <f t="shared" si="203"/>
        <v>-1.9000494117257322E-2</v>
      </c>
      <c r="AC1077"/>
    </row>
    <row r="1078" spans="1:29" x14ac:dyDescent="0.25">
      <c r="A1078" t="s">
        <v>407</v>
      </c>
      <c r="B1078">
        <v>7</v>
      </c>
      <c r="C1078" t="s">
        <v>945</v>
      </c>
      <c r="D1078" t="s">
        <v>477</v>
      </c>
      <c r="E1078">
        <v>9</v>
      </c>
      <c r="F1078">
        <v>9.52</v>
      </c>
      <c r="G1078">
        <v>36.4816</v>
      </c>
      <c r="H1078" t="s">
        <v>477</v>
      </c>
      <c r="I1078" t="s">
        <v>477</v>
      </c>
      <c r="J1078" t="s">
        <v>62</v>
      </c>
      <c r="K1078">
        <f t="shared" si="192"/>
        <v>99.759999999999991</v>
      </c>
      <c r="L1078">
        <f t="shared" si="193"/>
        <v>339.923</v>
      </c>
      <c r="M1078" t="str">
        <f t="shared" si="194"/>
        <v>perry-7</v>
      </c>
      <c r="N1078" t="str">
        <f>INDEX(Scores!$A$2:$A$11,INDEX(Scores!$AA$2:$AA$131,MATCH(C1078,Scores!$AB$2:$AB$131,0)))</f>
        <v>perry</v>
      </c>
      <c r="O1078">
        <f t="shared" si="195"/>
        <v>103.81000000000002</v>
      </c>
      <c r="P1078">
        <f t="shared" si="196"/>
        <v>404.20889999999997</v>
      </c>
      <c r="Q1078" s="3">
        <f t="shared" si="197"/>
        <v>0.44098709635876499</v>
      </c>
      <c r="R1078" s="3">
        <f t="shared" si="198"/>
        <v>0.43179991850690858</v>
      </c>
      <c r="S1078" s="9">
        <f t="shared" si="199"/>
        <v>-9.1871778518564096E-3</v>
      </c>
      <c r="T1078">
        <f t="shared" si="200"/>
        <v>102</v>
      </c>
      <c r="U1078">
        <f t="shared" si="201"/>
        <v>115</v>
      </c>
      <c r="V1078" s="3">
        <f t="shared" si="202"/>
        <v>1.9403611848566867E-2</v>
      </c>
      <c r="W1078" s="9">
        <f t="shared" si="203"/>
        <v>-1.9403611848566867E-2</v>
      </c>
      <c r="AC1078"/>
    </row>
    <row r="1079" spans="1:29" x14ac:dyDescent="0.25">
      <c r="A1079" t="s">
        <v>70</v>
      </c>
      <c r="B1079">
        <v>6</v>
      </c>
      <c r="C1079" t="s">
        <v>944</v>
      </c>
      <c r="D1079" t="s">
        <v>467</v>
      </c>
      <c r="E1079">
        <v>14</v>
      </c>
      <c r="F1079">
        <v>18.82</v>
      </c>
      <c r="G1079">
        <v>54.464399999999998</v>
      </c>
      <c r="H1079" t="s">
        <v>15</v>
      </c>
      <c r="I1079" t="s">
        <v>15</v>
      </c>
      <c r="J1079" t="s">
        <v>62</v>
      </c>
      <c r="K1079">
        <f t="shared" si="192"/>
        <v>96.66</v>
      </c>
      <c r="L1079">
        <f t="shared" si="193"/>
        <v>373.87420000000003</v>
      </c>
      <c r="M1079" t="str">
        <f t="shared" si="194"/>
        <v>lucas-6</v>
      </c>
      <c r="N1079" t="str">
        <f>INDEX(Scores!$A$2:$A$11,INDEX(Scores!$AA$2:$AA$131,MATCH(C1079,Scores!$AB$2:$AB$131,0)))</f>
        <v>lucas</v>
      </c>
      <c r="O1079">
        <f t="shared" si="195"/>
        <v>0</v>
      </c>
      <c r="P1079">
        <f t="shared" si="196"/>
        <v>0</v>
      </c>
      <c r="Q1079" s="3">
        <f t="shared" si="197"/>
        <v>0.99999971187356196</v>
      </c>
      <c r="R1079" s="3">
        <f t="shared" si="198"/>
        <v>0.99999986171629296</v>
      </c>
      <c r="S1079" s="9">
        <f t="shared" si="199"/>
        <v>1.4984273100093759E-7</v>
      </c>
      <c r="T1079">
        <f t="shared" si="200"/>
        <v>79</v>
      </c>
      <c r="U1079">
        <f t="shared" si="201"/>
        <v>0</v>
      </c>
      <c r="V1079" s="3">
        <f t="shared" si="202"/>
        <v>1</v>
      </c>
      <c r="W1079" s="9">
        <f t="shared" si="203"/>
        <v>0</v>
      </c>
      <c r="AC1079"/>
    </row>
    <row r="1080" spans="1:29" x14ac:dyDescent="0.25">
      <c r="A1080" t="s">
        <v>103</v>
      </c>
      <c r="B1080">
        <v>9</v>
      </c>
      <c r="C1080" t="s">
        <v>923</v>
      </c>
      <c r="D1080" t="s">
        <v>472</v>
      </c>
      <c r="E1080">
        <v>5</v>
      </c>
      <c r="F1080">
        <v>9.61</v>
      </c>
      <c r="G1080">
        <v>49</v>
      </c>
      <c r="H1080" t="s">
        <v>87</v>
      </c>
      <c r="I1080" t="s">
        <v>87</v>
      </c>
      <c r="J1080" t="s">
        <v>55</v>
      </c>
      <c r="K1080">
        <f t="shared" si="192"/>
        <v>102.03999999999999</v>
      </c>
      <c r="L1080">
        <f t="shared" si="193"/>
        <v>392.2131</v>
      </c>
      <c r="M1080" t="str">
        <f t="shared" si="194"/>
        <v>perry-9</v>
      </c>
      <c r="N1080" t="str">
        <f>INDEX(Scores!$A$2:$A$11,INDEX(Scores!$AA$2:$AA$131,MATCH(C1080,Scores!$AB$2:$AB$131,0)))</f>
        <v>perry</v>
      </c>
      <c r="O1080">
        <f t="shared" si="195"/>
        <v>98.35</v>
      </c>
      <c r="P1080">
        <f t="shared" si="196"/>
        <v>385.97739999999999</v>
      </c>
      <c r="Q1080" s="3">
        <f t="shared" si="197"/>
        <v>0.5526172882097643</v>
      </c>
      <c r="R1080" s="3">
        <f t="shared" si="198"/>
        <v>0.48641081592264973</v>
      </c>
      <c r="S1080" s="9">
        <f t="shared" si="199"/>
        <v>-6.6206472287114571E-2</v>
      </c>
      <c r="T1080">
        <f t="shared" si="200"/>
        <v>86</v>
      </c>
      <c r="U1080">
        <f t="shared" si="201"/>
        <v>105</v>
      </c>
      <c r="V1080" s="3">
        <f t="shared" si="202"/>
        <v>1.9905032056023352E-2</v>
      </c>
      <c r="W1080" s="9">
        <f t="shared" si="203"/>
        <v>-1.9905032056023352E-2</v>
      </c>
      <c r="AC1080"/>
    </row>
    <row r="1081" spans="1:29" x14ac:dyDescent="0.25">
      <c r="A1081" t="s">
        <v>115</v>
      </c>
      <c r="B1081">
        <v>5</v>
      </c>
      <c r="C1081" t="s">
        <v>890</v>
      </c>
      <c r="D1081" t="s">
        <v>469</v>
      </c>
      <c r="E1081">
        <v>10</v>
      </c>
      <c r="F1081">
        <v>15.55</v>
      </c>
      <c r="G1081">
        <v>82.446399999999997</v>
      </c>
      <c r="H1081" t="s">
        <v>47</v>
      </c>
      <c r="I1081" t="s">
        <v>47</v>
      </c>
      <c r="J1081" t="s">
        <v>20</v>
      </c>
      <c r="K1081">
        <f t="shared" si="192"/>
        <v>107.89</v>
      </c>
      <c r="L1081">
        <f t="shared" si="193"/>
        <v>441.71269999999998</v>
      </c>
      <c r="M1081" t="str">
        <f t="shared" si="194"/>
        <v>lucas-5</v>
      </c>
      <c r="N1081" t="str">
        <f>INDEX(Scores!$A$2:$A$11,INDEX(Scores!$AA$2:$AA$131,MATCH(C1081,Scores!$AB$2:$AB$131,0)))</f>
        <v>lucas</v>
      </c>
      <c r="O1081">
        <f t="shared" si="195"/>
        <v>0</v>
      </c>
      <c r="P1081">
        <f t="shared" si="196"/>
        <v>0</v>
      </c>
      <c r="Q1081" s="3">
        <f t="shared" si="197"/>
        <v>0.99999985777778666</v>
      </c>
      <c r="R1081" s="3">
        <f t="shared" si="198"/>
        <v>0.99999996654862544</v>
      </c>
      <c r="S1081" s="9">
        <f t="shared" si="199"/>
        <v>1.0877083878035876E-7</v>
      </c>
      <c r="T1081">
        <f t="shared" si="200"/>
        <v>69</v>
      </c>
      <c r="U1081">
        <f t="shared" si="201"/>
        <v>0</v>
      </c>
      <c r="V1081" s="3">
        <f t="shared" si="202"/>
        <v>0.99999999999999989</v>
      </c>
      <c r="W1081" s="9">
        <f t="shared" si="203"/>
        <v>1.1102230246251565E-16</v>
      </c>
      <c r="AC1081"/>
    </row>
    <row r="1082" spans="1:29" x14ac:dyDescent="0.25">
      <c r="A1082" t="s">
        <v>159</v>
      </c>
      <c r="B1082">
        <v>2</v>
      </c>
      <c r="C1082" t="s">
        <v>625</v>
      </c>
      <c r="D1082" t="s">
        <v>473</v>
      </c>
      <c r="E1082">
        <v>13</v>
      </c>
      <c r="F1082">
        <v>8.02</v>
      </c>
      <c r="G1082">
        <v>47.472099999999998</v>
      </c>
      <c r="H1082" t="s">
        <v>87</v>
      </c>
      <c r="I1082" t="s">
        <v>87</v>
      </c>
      <c r="J1082" t="s">
        <v>55</v>
      </c>
      <c r="K1082">
        <f t="shared" si="192"/>
        <v>103.77999999999999</v>
      </c>
      <c r="L1082">
        <f t="shared" si="193"/>
        <v>338.9511</v>
      </c>
      <c r="M1082" t="str">
        <f t="shared" si="194"/>
        <v>chad-2</v>
      </c>
      <c r="N1082" t="str">
        <f>INDEX(Scores!$A$2:$A$11,INDEX(Scores!$AA$2:$AA$131,MATCH(C1082,Scores!$AB$2:$AB$131,0)))</f>
        <v>chad</v>
      </c>
      <c r="O1082">
        <f t="shared" si="195"/>
        <v>102.72000000000001</v>
      </c>
      <c r="P1082">
        <f t="shared" si="196"/>
        <v>348.54960000000005</v>
      </c>
      <c r="Q1082" s="3">
        <f t="shared" si="197"/>
        <v>0.51612356509096413</v>
      </c>
      <c r="R1082" s="3">
        <f t="shared" si="198"/>
        <v>0.59434897128660535</v>
      </c>
      <c r="S1082" s="9">
        <f t="shared" si="199"/>
        <v>7.8225406195641223E-2</v>
      </c>
      <c r="T1082">
        <f t="shared" si="200"/>
        <v>90</v>
      </c>
      <c r="U1082">
        <f t="shared" si="201"/>
        <v>99</v>
      </c>
      <c r="V1082" s="3">
        <f t="shared" si="202"/>
        <v>2.1227740818922283E-2</v>
      </c>
      <c r="W1082" s="9">
        <f t="shared" si="203"/>
        <v>-2.1227740818922283E-2</v>
      </c>
      <c r="AC1082"/>
    </row>
    <row r="1083" spans="1:29" x14ac:dyDescent="0.25">
      <c r="A1083" t="s">
        <v>85</v>
      </c>
      <c r="B1083">
        <v>13</v>
      </c>
      <c r="C1083" t="s">
        <v>943</v>
      </c>
      <c r="D1083" t="s">
        <v>466</v>
      </c>
      <c r="E1083">
        <v>7</v>
      </c>
      <c r="F1083">
        <v>8.2799999999999994</v>
      </c>
      <c r="G1083">
        <v>39.438400000000001</v>
      </c>
      <c r="H1083" t="s">
        <v>466</v>
      </c>
      <c r="I1083" t="s">
        <v>47</v>
      </c>
      <c r="J1083" t="s">
        <v>27</v>
      </c>
      <c r="K1083">
        <f t="shared" si="192"/>
        <v>104.63999999999999</v>
      </c>
      <c r="L1083">
        <f t="shared" si="193"/>
        <v>400.33339999999998</v>
      </c>
      <c r="M1083" t="str">
        <f t="shared" si="194"/>
        <v>chad-13</v>
      </c>
      <c r="N1083" t="str">
        <f>INDEX(Scores!$A$2:$A$11,INDEX(Scores!$AA$2:$AA$131,MATCH(C1083,Scores!$AB$2:$AB$131,0)))</f>
        <v>chad</v>
      </c>
      <c r="O1083">
        <f t="shared" si="195"/>
        <v>113.35</v>
      </c>
      <c r="P1083">
        <f t="shared" si="196"/>
        <v>486.24799999999993</v>
      </c>
      <c r="Q1083" s="3">
        <f t="shared" si="197"/>
        <v>0.3849436901786526</v>
      </c>
      <c r="R1083" s="3">
        <f t="shared" si="198"/>
        <v>0.36571215841203125</v>
      </c>
      <c r="S1083" s="9">
        <f t="shared" si="199"/>
        <v>-1.9231531766621346E-2</v>
      </c>
      <c r="T1083">
        <f t="shared" si="200"/>
        <v>81</v>
      </c>
      <c r="U1083">
        <f t="shared" si="201"/>
        <v>95</v>
      </c>
      <c r="V1083" s="3">
        <f t="shared" si="202"/>
        <v>2.1409167660795005E-2</v>
      </c>
      <c r="W1083" s="9">
        <f t="shared" si="203"/>
        <v>-2.1409167660795005E-2</v>
      </c>
      <c r="AC1083"/>
    </row>
    <row r="1084" spans="1:29" x14ac:dyDescent="0.25">
      <c r="A1084" t="s">
        <v>92</v>
      </c>
      <c r="B1084">
        <v>7</v>
      </c>
      <c r="C1084" t="s">
        <v>921</v>
      </c>
      <c r="D1084" t="s">
        <v>466</v>
      </c>
      <c r="E1084">
        <v>3</v>
      </c>
      <c r="F1084">
        <v>14.38</v>
      </c>
      <c r="G1084">
        <v>39.69</v>
      </c>
      <c r="H1084" t="s">
        <v>466</v>
      </c>
      <c r="I1084" t="s">
        <v>47</v>
      </c>
      <c r="J1084" t="s">
        <v>55</v>
      </c>
      <c r="K1084">
        <f t="shared" si="192"/>
        <v>114.01999999999998</v>
      </c>
      <c r="L1084">
        <f t="shared" si="193"/>
        <v>381.58529999999996</v>
      </c>
      <c r="M1084" t="str">
        <f t="shared" si="194"/>
        <v>devon-7</v>
      </c>
      <c r="N1084" t="str">
        <f>INDEX(Scores!$A$2:$A$11,INDEX(Scores!$AA$2:$AA$131,MATCH(C1084,Scores!$AB$2:$AB$131,0)))</f>
        <v>devon</v>
      </c>
      <c r="O1084">
        <f t="shared" si="195"/>
        <v>106.81</v>
      </c>
      <c r="P1084">
        <f t="shared" si="196"/>
        <v>351.64060000000001</v>
      </c>
      <c r="Q1084" s="3">
        <f t="shared" si="197"/>
        <v>0.60498297578784854</v>
      </c>
      <c r="R1084" s="3">
        <f t="shared" si="198"/>
        <v>0.43709287354714743</v>
      </c>
      <c r="S1084" s="9">
        <f t="shared" si="199"/>
        <v>-0.16789010224070111</v>
      </c>
      <c r="T1084">
        <f t="shared" si="200"/>
        <v>93</v>
      </c>
      <c r="U1084">
        <f t="shared" si="201"/>
        <v>117</v>
      </c>
      <c r="V1084" s="3">
        <f t="shared" si="202"/>
        <v>2.2579275317897801E-2</v>
      </c>
      <c r="W1084" s="9">
        <f t="shared" si="203"/>
        <v>-2.2579275317897801E-2</v>
      </c>
      <c r="AC1084"/>
    </row>
    <row r="1085" spans="1:29" x14ac:dyDescent="0.25">
      <c r="A1085" t="s">
        <v>269</v>
      </c>
      <c r="B1085">
        <v>6</v>
      </c>
      <c r="C1085" t="s">
        <v>960</v>
      </c>
      <c r="D1085" t="s">
        <v>473</v>
      </c>
      <c r="E1085">
        <v>1</v>
      </c>
      <c r="F1085">
        <v>6.05</v>
      </c>
      <c r="G1085">
        <v>36.120100000000001</v>
      </c>
      <c r="H1085" t="s">
        <v>87</v>
      </c>
      <c r="I1085" t="s">
        <v>87</v>
      </c>
      <c r="J1085" t="s">
        <v>23</v>
      </c>
      <c r="K1085">
        <f t="shared" si="192"/>
        <v>88.72</v>
      </c>
      <c r="L1085">
        <f t="shared" si="193"/>
        <v>407.6961</v>
      </c>
      <c r="M1085" t="str">
        <f t="shared" si="194"/>
        <v>matty-6</v>
      </c>
      <c r="N1085" t="str">
        <f>INDEX(Scores!$A$2:$A$11,INDEX(Scores!$AA$2:$AA$131,MATCH(C1085,Scores!$AB$2:$AB$131,0)))</f>
        <v>matty</v>
      </c>
      <c r="O1085">
        <f t="shared" si="195"/>
        <v>109.91000000000001</v>
      </c>
      <c r="P1085">
        <f t="shared" si="196"/>
        <v>387.28550000000001</v>
      </c>
      <c r="Q1085" s="3">
        <f t="shared" si="197"/>
        <v>0.22616370321424212</v>
      </c>
      <c r="R1085" s="3">
        <f t="shared" si="198"/>
        <v>0.17041195699497272</v>
      </c>
      <c r="S1085" s="9">
        <f t="shared" si="199"/>
        <v>-5.5751746219269399E-2</v>
      </c>
      <c r="T1085">
        <f t="shared" si="200"/>
        <v>102</v>
      </c>
      <c r="U1085">
        <f t="shared" si="201"/>
        <v>119</v>
      </c>
      <c r="V1085" s="3">
        <f t="shared" si="202"/>
        <v>2.3386345552107411E-2</v>
      </c>
      <c r="W1085" s="9">
        <f t="shared" si="203"/>
        <v>-2.3386345552107411E-2</v>
      </c>
      <c r="AC1085"/>
    </row>
    <row r="1086" spans="1:29" x14ac:dyDescent="0.25">
      <c r="A1086" t="s">
        <v>135</v>
      </c>
      <c r="B1086">
        <v>5</v>
      </c>
      <c r="C1086" t="s">
        <v>891</v>
      </c>
      <c r="D1086" t="s">
        <v>471</v>
      </c>
      <c r="E1086">
        <v>18</v>
      </c>
      <c r="F1086">
        <v>9.68</v>
      </c>
      <c r="G1086">
        <v>38.44</v>
      </c>
      <c r="H1086" t="s">
        <v>87</v>
      </c>
      <c r="I1086" t="s">
        <v>87</v>
      </c>
      <c r="J1086" t="s">
        <v>49</v>
      </c>
      <c r="K1086">
        <f t="shared" si="192"/>
        <v>99.23</v>
      </c>
      <c r="L1086">
        <f t="shared" si="193"/>
        <v>364.64739999999995</v>
      </c>
      <c r="M1086" t="str">
        <f t="shared" si="194"/>
        <v>aj-5</v>
      </c>
      <c r="N1086" t="str">
        <f>INDEX(Scores!$A$2:$A$11,INDEX(Scores!$AA$2:$AA$131,MATCH(C1086,Scores!$AB$2:$AB$131,0)))</f>
        <v>aj</v>
      </c>
      <c r="O1086">
        <f t="shared" si="195"/>
        <v>117.25999999999999</v>
      </c>
      <c r="P1086">
        <f t="shared" si="196"/>
        <v>422.9941</v>
      </c>
      <c r="Q1086" s="3">
        <f t="shared" si="197"/>
        <v>0.26029431580256523</v>
      </c>
      <c r="R1086" s="3">
        <f t="shared" si="198"/>
        <v>0.36138920761910109</v>
      </c>
      <c r="S1086" s="9">
        <f t="shared" si="199"/>
        <v>0.10109489181653586</v>
      </c>
      <c r="T1086">
        <f t="shared" si="200"/>
        <v>106</v>
      </c>
      <c r="U1086">
        <f t="shared" si="201"/>
        <v>110</v>
      </c>
      <c r="V1086" s="3">
        <f t="shared" si="202"/>
        <v>2.3455836829648562E-2</v>
      </c>
      <c r="W1086" s="9">
        <f t="shared" si="203"/>
        <v>-2.3455836829648562E-2</v>
      </c>
      <c r="AC1086"/>
    </row>
    <row r="1087" spans="1:29" x14ac:dyDescent="0.25">
      <c r="A1087" t="s">
        <v>458</v>
      </c>
      <c r="B1087">
        <v>10</v>
      </c>
      <c r="C1087" t="s">
        <v>956</v>
      </c>
      <c r="D1087" t="s">
        <v>478</v>
      </c>
      <c r="E1087">
        <v>10</v>
      </c>
      <c r="F1087">
        <v>7.54</v>
      </c>
      <c r="G1087">
        <v>18.748899999999999</v>
      </c>
      <c r="H1087" t="s">
        <v>478</v>
      </c>
      <c r="I1087" t="s">
        <v>478</v>
      </c>
      <c r="J1087" t="s">
        <v>40</v>
      </c>
      <c r="K1087">
        <f t="shared" si="192"/>
        <v>97.83</v>
      </c>
      <c r="L1087">
        <f t="shared" si="193"/>
        <v>370.18310000000002</v>
      </c>
      <c r="M1087" t="e">
        <f t="shared" si="194"/>
        <v>#N/A</v>
      </c>
      <c r="N1087" t="e">
        <f>INDEX(Scores!$A$2:$A$11,INDEX(Scores!$AA$2:$AA$131,MATCH(C1087,Scores!$AB$2:$AB$131,0)))</f>
        <v>#N/A</v>
      </c>
      <c r="O1087">
        <f t="shared" si="195"/>
        <v>0</v>
      </c>
      <c r="P1087">
        <f t="shared" si="196"/>
        <v>0</v>
      </c>
      <c r="Q1087" s="3">
        <f t="shared" si="197"/>
        <v>0.99999981587831821</v>
      </c>
      <c r="R1087" s="3">
        <f t="shared" si="198"/>
        <v>0.9999999559684839</v>
      </c>
      <c r="S1087" s="9">
        <f t="shared" si="199"/>
        <v>1.4009016569005439E-7</v>
      </c>
      <c r="T1087">
        <f t="shared" si="200"/>
        <v>91</v>
      </c>
      <c r="U1087">
        <f t="shared" si="201"/>
        <v>0</v>
      </c>
      <c r="V1087" s="3">
        <f t="shared" si="202"/>
        <v>1</v>
      </c>
      <c r="W1087" s="9">
        <f t="shared" si="203"/>
        <v>0</v>
      </c>
      <c r="AC1087"/>
    </row>
    <row r="1088" spans="1:29" x14ac:dyDescent="0.25">
      <c r="A1088" t="s">
        <v>85</v>
      </c>
      <c r="B1088">
        <v>9</v>
      </c>
      <c r="C1088" t="s">
        <v>939</v>
      </c>
      <c r="D1088" t="s">
        <v>466</v>
      </c>
      <c r="E1088">
        <v>3</v>
      </c>
      <c r="F1088">
        <v>9.19</v>
      </c>
      <c r="G1088">
        <v>38.068899999999999</v>
      </c>
      <c r="H1088" t="s">
        <v>466</v>
      </c>
      <c r="I1088" t="s">
        <v>47</v>
      </c>
      <c r="J1088" t="s">
        <v>27</v>
      </c>
      <c r="K1088">
        <f t="shared" si="192"/>
        <v>80.800000000000011</v>
      </c>
      <c r="L1088">
        <f t="shared" si="193"/>
        <v>290.44450000000001</v>
      </c>
      <c r="M1088" t="str">
        <f t="shared" si="194"/>
        <v>seth-9</v>
      </c>
      <c r="N1088" t="str">
        <f>INDEX(Scores!$A$2:$A$11,INDEX(Scores!$AA$2:$AA$131,MATCH(C1088,Scores!$AB$2:$AB$131,0)))</f>
        <v>seth</v>
      </c>
      <c r="O1088">
        <f t="shared" si="195"/>
        <v>92.559999999999988</v>
      </c>
      <c r="P1088">
        <f t="shared" si="196"/>
        <v>350.31569999999999</v>
      </c>
      <c r="Q1088" s="3">
        <f t="shared" si="197"/>
        <v>0.32111649346340621</v>
      </c>
      <c r="R1088" s="3">
        <f t="shared" si="198"/>
        <v>0.2323383664350942</v>
      </c>
      <c r="S1088" s="9">
        <f t="shared" si="199"/>
        <v>-8.8778127028312004E-2</v>
      </c>
      <c r="T1088">
        <f t="shared" si="200"/>
        <v>77</v>
      </c>
      <c r="U1088">
        <f t="shared" si="201"/>
        <v>95</v>
      </c>
      <c r="V1088" s="3">
        <f t="shared" si="202"/>
        <v>2.7803658711256504E-2</v>
      </c>
      <c r="W1088" s="9">
        <f t="shared" si="203"/>
        <v>-2.7803658711256504E-2</v>
      </c>
      <c r="AC1088"/>
    </row>
    <row r="1089" spans="1:29" x14ac:dyDescent="0.25">
      <c r="A1089" t="s">
        <v>161</v>
      </c>
      <c r="B1089">
        <v>2</v>
      </c>
      <c r="C1089" t="s">
        <v>636</v>
      </c>
      <c r="D1089" t="s">
        <v>473</v>
      </c>
      <c r="E1089">
        <v>0</v>
      </c>
      <c r="F1089">
        <v>5.33</v>
      </c>
      <c r="G1089">
        <v>12.8164</v>
      </c>
      <c r="H1089" t="s">
        <v>87</v>
      </c>
      <c r="I1089" t="s">
        <v>87</v>
      </c>
      <c r="J1089" t="s">
        <v>49</v>
      </c>
      <c r="K1089">
        <f t="shared" si="192"/>
        <v>101.3</v>
      </c>
      <c r="L1089">
        <f t="shared" si="193"/>
        <v>329.14109999999999</v>
      </c>
      <c r="M1089" t="str">
        <f t="shared" si="194"/>
        <v>seth-2</v>
      </c>
      <c r="N1089" t="str">
        <f>INDEX(Scores!$A$2:$A$11,INDEX(Scores!$AA$2:$AA$131,MATCH(C1089,Scores!$AB$2:$AB$131,0)))</f>
        <v>seth</v>
      </c>
      <c r="O1089">
        <f t="shared" si="195"/>
        <v>91.78</v>
      </c>
      <c r="P1089">
        <f t="shared" si="196"/>
        <v>333.71719999999993</v>
      </c>
      <c r="Q1089" s="3">
        <f t="shared" si="197"/>
        <v>0.64422145537573039</v>
      </c>
      <c r="R1089" s="3">
        <f t="shared" si="198"/>
        <v>0.56526826250794149</v>
      </c>
      <c r="S1089" s="9">
        <f t="shared" si="199"/>
        <v>-7.8953192867788902E-2</v>
      </c>
      <c r="T1089">
        <f t="shared" si="200"/>
        <v>70</v>
      </c>
      <c r="U1089">
        <f t="shared" si="201"/>
        <v>82</v>
      </c>
      <c r="V1089" s="3">
        <f t="shared" si="202"/>
        <v>3.1222095267862616E-2</v>
      </c>
      <c r="W1089" s="9">
        <f t="shared" si="203"/>
        <v>-3.1222095267862616E-2</v>
      </c>
      <c r="AC1089"/>
    </row>
    <row r="1090" spans="1:29" x14ac:dyDescent="0.25">
      <c r="A1090" t="s">
        <v>117</v>
      </c>
      <c r="B1090">
        <v>7</v>
      </c>
      <c r="C1090" t="s">
        <v>945</v>
      </c>
      <c r="D1090" t="s">
        <v>469</v>
      </c>
      <c r="E1090">
        <v>6</v>
      </c>
      <c r="F1090">
        <v>8.7200000000000006</v>
      </c>
      <c r="G1090">
        <v>30.691600000000001</v>
      </c>
      <c r="H1090" t="s">
        <v>47</v>
      </c>
      <c r="I1090" t="s">
        <v>47</v>
      </c>
      <c r="J1090" t="s">
        <v>62</v>
      </c>
      <c r="K1090">
        <f t="shared" ref="K1090:K1153" si="204">SUMIF($C$2:$C$1301,$C1090,$F$2:$F$1301)</f>
        <v>99.759999999999991</v>
      </c>
      <c r="L1090">
        <f t="shared" ref="L1090:L1153" si="205">SUMIF($C$2:$C$1301,$C1090,$G$2:$G$1301)</f>
        <v>339.923</v>
      </c>
      <c r="M1090" t="str">
        <f t="shared" ref="M1090:M1153" si="206">N1090&amp;"-"&amp;B1090</f>
        <v>perry-7</v>
      </c>
      <c r="N1090" t="str">
        <f>INDEX(Scores!$A$2:$A$11,INDEX(Scores!$AA$2:$AA$131,MATCH(C1090,Scores!$AB$2:$AB$131,0)))</f>
        <v>perry</v>
      </c>
      <c r="O1090">
        <f t="shared" ref="O1090:O1153" si="207">SUMIF($C$2:$C$1301,$M1090,$F$2:$F$1301)</f>
        <v>103.81000000000002</v>
      </c>
      <c r="P1090">
        <f t="shared" ref="P1090:P1153" si="208">SUMIF($C$2:$C$1301,$M1090,$G$2:$G$1301)</f>
        <v>404.20889999999997</v>
      </c>
      <c r="Q1090" s="3">
        <f t="shared" ref="Q1090:Q1153" si="209">_xlfn.NORM.DIST(0,$O1090-$K1090,SQRT($L1090+$P1090),TRUE)</f>
        <v>0.44098709635876499</v>
      </c>
      <c r="R1090" s="3">
        <f t="shared" ref="R1090:R1153" si="210">_xlfn.NORM.DIST(0,$O1090-$K1090-($E1090-$F1090),SQRT($L1090+$P1090-$G1090),TRUE)</f>
        <v>0.39995628921565979</v>
      </c>
      <c r="S1090" s="9">
        <f t="shared" ref="S1090:S1153" si="211">R1090-Q1090</f>
        <v>-4.1030807143105197E-2</v>
      </c>
      <c r="T1090">
        <f t="shared" ref="T1090:T1153" si="212">SUMIF($C$2:$C$1301,$C1090,$E$2:$E$1301)</f>
        <v>102</v>
      </c>
      <c r="U1090">
        <f t="shared" ref="U1090:U1153" si="213">SUMIF($C$2:$C$1301,$M1090,$E$2:$E$1301)</f>
        <v>115</v>
      </c>
      <c r="V1090" s="3">
        <f t="shared" ref="V1090:V1153" si="214">_xlfn.NORM.DIST(0,U1090-T1090+E1090-F1090,SQRT(G1090),TRUE)</f>
        <v>3.1755605822936711E-2</v>
      </c>
      <c r="W1090" s="9">
        <f t="shared" ref="W1090:W1153" si="215">IFERROR(IF(U1090&gt;T1090,0,1)-V1090,0)</f>
        <v>-3.1755605822936711E-2</v>
      </c>
      <c r="AC1090"/>
    </row>
    <row r="1091" spans="1:29" x14ac:dyDescent="0.25">
      <c r="A1091" t="s">
        <v>247</v>
      </c>
      <c r="B1091">
        <v>8</v>
      </c>
      <c r="C1091" t="s">
        <v>978</v>
      </c>
      <c r="D1091" t="s">
        <v>475</v>
      </c>
      <c r="E1091">
        <v>2</v>
      </c>
      <c r="F1091">
        <v>7.12</v>
      </c>
      <c r="G1091">
        <v>28.408899999999999</v>
      </c>
      <c r="H1091" t="s">
        <v>114</v>
      </c>
      <c r="I1091" t="s">
        <v>114</v>
      </c>
      <c r="J1091" t="s">
        <v>44</v>
      </c>
      <c r="K1091">
        <f t="shared" si="204"/>
        <v>96.57</v>
      </c>
      <c r="L1091">
        <f t="shared" si="205"/>
        <v>368.03749999999997</v>
      </c>
      <c r="M1091" t="str">
        <f t="shared" si="206"/>
        <v>devon-8</v>
      </c>
      <c r="N1091" t="str">
        <f>INDEX(Scores!$A$2:$A$11,INDEX(Scores!$AA$2:$AA$131,MATCH(C1091,Scores!$AB$2:$AB$131,0)))</f>
        <v>devon</v>
      </c>
      <c r="O1091">
        <f t="shared" si="207"/>
        <v>102.43</v>
      </c>
      <c r="P1091">
        <f t="shared" si="208"/>
        <v>452.86560000000003</v>
      </c>
      <c r="Q1091" s="3">
        <f t="shared" si="209"/>
        <v>0.41897065981019621</v>
      </c>
      <c r="R1091" s="3">
        <f t="shared" si="210"/>
        <v>0.34825509618068379</v>
      </c>
      <c r="S1091" s="9">
        <f t="shared" si="211"/>
        <v>-7.0715563629512423E-2</v>
      </c>
      <c r="T1091">
        <f t="shared" si="212"/>
        <v>85</v>
      </c>
      <c r="U1091">
        <f t="shared" si="213"/>
        <v>100</v>
      </c>
      <c r="V1091" s="3">
        <f t="shared" si="214"/>
        <v>3.1894013628824061E-2</v>
      </c>
      <c r="W1091" s="9">
        <f t="shared" si="215"/>
        <v>-3.1894013628824061E-2</v>
      </c>
      <c r="AC1091"/>
    </row>
    <row r="1092" spans="1:29" x14ac:dyDescent="0.25">
      <c r="A1092" t="s">
        <v>145</v>
      </c>
      <c r="B1092">
        <v>7</v>
      </c>
      <c r="C1092" t="s">
        <v>969</v>
      </c>
      <c r="D1092" t="s">
        <v>468</v>
      </c>
      <c r="E1092">
        <v>1</v>
      </c>
      <c r="F1092">
        <v>8.59</v>
      </c>
      <c r="G1092">
        <v>26.625599999999999</v>
      </c>
      <c r="H1092" t="s">
        <v>47</v>
      </c>
      <c r="I1092" t="s">
        <v>47</v>
      </c>
      <c r="J1092" t="s">
        <v>49</v>
      </c>
      <c r="K1092">
        <f t="shared" si="204"/>
        <v>87.490000000000009</v>
      </c>
      <c r="L1092">
        <f t="shared" si="205"/>
        <v>277.88929999999999</v>
      </c>
      <c r="M1092" t="str">
        <f t="shared" si="206"/>
        <v>scott-7</v>
      </c>
      <c r="N1092" t="str">
        <f>INDEX(Scores!$A$2:$A$11,INDEX(Scores!$AA$2:$AA$131,MATCH(C1092,Scores!$AB$2:$AB$131,0)))</f>
        <v>scott</v>
      </c>
      <c r="O1092">
        <f t="shared" si="207"/>
        <v>114.48000000000002</v>
      </c>
      <c r="P1092">
        <f t="shared" si="208"/>
        <v>430.3667999999999</v>
      </c>
      <c r="Q1092" s="3">
        <f t="shared" si="209"/>
        <v>0.15525251215631256</v>
      </c>
      <c r="R1092" s="3">
        <f t="shared" si="210"/>
        <v>9.2669271161574862E-2</v>
      </c>
      <c r="S1092" s="9">
        <f t="shared" si="211"/>
        <v>-6.2583240994737693E-2</v>
      </c>
      <c r="T1092">
        <f t="shared" si="212"/>
        <v>65</v>
      </c>
      <c r="U1092">
        <f t="shared" si="213"/>
        <v>82</v>
      </c>
      <c r="V1092" s="3">
        <f t="shared" si="214"/>
        <v>3.4102999588348136E-2</v>
      </c>
      <c r="W1092" s="9">
        <f t="shared" si="215"/>
        <v>-3.4102999588348136E-2</v>
      </c>
      <c r="AC1092"/>
    </row>
    <row r="1093" spans="1:29" x14ac:dyDescent="0.25">
      <c r="A1093" t="s">
        <v>129</v>
      </c>
      <c r="B1093">
        <v>1</v>
      </c>
      <c r="C1093" t="s">
        <v>508</v>
      </c>
      <c r="D1093" t="s">
        <v>475</v>
      </c>
      <c r="E1093">
        <v>0</v>
      </c>
      <c r="F1093">
        <v>7.15</v>
      </c>
      <c r="G1093">
        <v>35.760399999999997</v>
      </c>
      <c r="H1093" t="s">
        <v>114</v>
      </c>
      <c r="I1093" t="s">
        <v>114</v>
      </c>
      <c r="J1093" t="s">
        <v>23</v>
      </c>
      <c r="K1093">
        <f t="shared" si="204"/>
        <v>94.44</v>
      </c>
      <c r="L1093">
        <f t="shared" si="205"/>
        <v>399.28809999999999</v>
      </c>
      <c r="M1093" t="str">
        <f t="shared" si="206"/>
        <v>cory-1</v>
      </c>
      <c r="N1093" t="str">
        <f>INDEX(Scores!$A$2:$A$11,INDEX(Scores!$AA$2:$AA$131,MATCH(C1093,Scores!$AB$2:$AB$131,0)))</f>
        <v>cory</v>
      </c>
      <c r="O1093">
        <f t="shared" si="207"/>
        <v>105.11000000000001</v>
      </c>
      <c r="P1093">
        <f t="shared" si="208"/>
        <v>445.52289999999994</v>
      </c>
      <c r="Q1093" s="3">
        <f t="shared" si="209"/>
        <v>0.35677213328906182</v>
      </c>
      <c r="R1093" s="3">
        <f t="shared" si="210"/>
        <v>0.26549409439551708</v>
      </c>
      <c r="S1093" s="9">
        <f t="shared" si="211"/>
        <v>-9.1278038893544744E-2</v>
      </c>
      <c r="T1093">
        <f t="shared" si="212"/>
        <v>82</v>
      </c>
      <c r="U1093">
        <f t="shared" si="213"/>
        <v>100</v>
      </c>
      <c r="V1093" s="3">
        <f t="shared" si="214"/>
        <v>3.4809523585915686E-2</v>
      </c>
      <c r="W1093" s="9">
        <f t="shared" si="215"/>
        <v>-3.4809523585915686E-2</v>
      </c>
      <c r="AC1093"/>
    </row>
    <row r="1094" spans="1:29" x14ac:dyDescent="0.25">
      <c r="A1094" t="s">
        <v>306</v>
      </c>
      <c r="B1094">
        <v>7</v>
      </c>
      <c r="C1094" t="s">
        <v>945</v>
      </c>
      <c r="D1094" t="s">
        <v>466</v>
      </c>
      <c r="E1094">
        <v>4</v>
      </c>
      <c r="F1094">
        <v>7.47</v>
      </c>
      <c r="G1094">
        <v>28.729600000000001</v>
      </c>
      <c r="H1094" t="s">
        <v>466</v>
      </c>
      <c r="I1094" t="s">
        <v>47</v>
      </c>
      <c r="J1094" t="s">
        <v>62</v>
      </c>
      <c r="K1094">
        <f t="shared" si="204"/>
        <v>99.759999999999991</v>
      </c>
      <c r="L1094">
        <f t="shared" si="205"/>
        <v>339.923</v>
      </c>
      <c r="M1094" t="str">
        <f t="shared" si="206"/>
        <v>perry-7</v>
      </c>
      <c r="N1094" t="str">
        <f>INDEX(Scores!$A$2:$A$11,INDEX(Scores!$AA$2:$AA$131,MATCH(C1094,Scores!$AB$2:$AB$131,0)))</f>
        <v>perry</v>
      </c>
      <c r="O1094">
        <f t="shared" si="207"/>
        <v>103.81000000000002</v>
      </c>
      <c r="P1094">
        <f t="shared" si="208"/>
        <v>404.20889999999997</v>
      </c>
      <c r="Q1094" s="3">
        <f t="shared" si="209"/>
        <v>0.44098709635876499</v>
      </c>
      <c r="R1094" s="3">
        <f t="shared" si="210"/>
        <v>0.38929653763826816</v>
      </c>
      <c r="S1094" s="9">
        <f t="shared" si="211"/>
        <v>-5.1690558720496826E-2</v>
      </c>
      <c r="T1094">
        <f t="shared" si="212"/>
        <v>102</v>
      </c>
      <c r="U1094">
        <f t="shared" si="213"/>
        <v>115</v>
      </c>
      <c r="V1094" s="3">
        <f t="shared" si="214"/>
        <v>3.7703153123493725E-2</v>
      </c>
      <c r="W1094" s="9">
        <f t="shared" si="215"/>
        <v>-3.7703153123493725E-2</v>
      </c>
      <c r="AC1094"/>
    </row>
    <row r="1095" spans="1:29" x14ac:dyDescent="0.25">
      <c r="A1095" t="s">
        <v>21</v>
      </c>
      <c r="B1095">
        <v>1</v>
      </c>
      <c r="C1095" t="s">
        <v>508</v>
      </c>
      <c r="D1095" t="s">
        <v>467</v>
      </c>
      <c r="E1095">
        <v>15</v>
      </c>
      <c r="F1095">
        <v>19.260000000000002</v>
      </c>
      <c r="G1095">
        <v>62.0944</v>
      </c>
      <c r="H1095" t="s">
        <v>15</v>
      </c>
      <c r="I1095" t="s">
        <v>15</v>
      </c>
      <c r="J1095" t="s">
        <v>23</v>
      </c>
      <c r="K1095">
        <f t="shared" si="204"/>
        <v>94.44</v>
      </c>
      <c r="L1095">
        <f t="shared" si="205"/>
        <v>399.28809999999999</v>
      </c>
      <c r="M1095" t="str">
        <f t="shared" si="206"/>
        <v>cory-1</v>
      </c>
      <c r="N1095" t="str">
        <f>INDEX(Scores!$A$2:$A$11,INDEX(Scores!$AA$2:$AA$131,MATCH(C1095,Scores!$AB$2:$AB$131,0)))</f>
        <v>cory</v>
      </c>
      <c r="O1095">
        <f t="shared" si="207"/>
        <v>105.11000000000001</v>
      </c>
      <c r="P1095">
        <f t="shared" si="208"/>
        <v>445.52289999999994</v>
      </c>
      <c r="Q1095" s="3">
        <f t="shared" si="209"/>
        <v>0.35677213328906182</v>
      </c>
      <c r="R1095" s="3">
        <f t="shared" si="210"/>
        <v>0.29679141974756629</v>
      </c>
      <c r="S1095" s="9">
        <f t="shared" si="211"/>
        <v>-5.9980713541495534E-2</v>
      </c>
      <c r="T1095">
        <f t="shared" si="212"/>
        <v>82</v>
      </c>
      <c r="U1095">
        <f t="shared" si="213"/>
        <v>100</v>
      </c>
      <c r="V1095" s="3">
        <f t="shared" si="214"/>
        <v>4.060964878820756E-2</v>
      </c>
      <c r="W1095" s="9">
        <f t="shared" si="215"/>
        <v>-4.060964878820756E-2</v>
      </c>
      <c r="AC1095"/>
    </row>
    <row r="1096" spans="1:29" x14ac:dyDescent="0.25">
      <c r="A1096" t="s">
        <v>834</v>
      </c>
      <c r="B1096">
        <v>4</v>
      </c>
      <c r="C1096" t="s">
        <v>862</v>
      </c>
      <c r="D1096" t="s">
        <v>469</v>
      </c>
      <c r="E1096">
        <v>6</v>
      </c>
      <c r="F1096">
        <v>9.33</v>
      </c>
      <c r="G1096">
        <v>24.8004</v>
      </c>
      <c r="H1096" t="s">
        <v>47</v>
      </c>
      <c r="I1096" t="s">
        <v>47</v>
      </c>
      <c r="J1096" t="s">
        <v>23</v>
      </c>
      <c r="K1096">
        <f t="shared" si="204"/>
        <v>111.07000000000001</v>
      </c>
      <c r="L1096">
        <f t="shared" si="205"/>
        <v>406.62959999999998</v>
      </c>
      <c r="M1096" t="str">
        <f t="shared" si="206"/>
        <v>devon-4</v>
      </c>
      <c r="N1096" t="str">
        <f>INDEX(Scores!$A$2:$A$11,INDEX(Scores!$AA$2:$AA$131,MATCH(C1096,Scores!$AB$2:$AB$131,0)))</f>
        <v>devon</v>
      </c>
      <c r="O1096">
        <f t="shared" si="207"/>
        <v>99.78</v>
      </c>
      <c r="P1096">
        <f t="shared" si="208"/>
        <v>369.21209999999996</v>
      </c>
      <c r="Q1096" s="3">
        <f t="shared" si="209"/>
        <v>0.65738205274668193</v>
      </c>
      <c r="R1096" s="3">
        <f t="shared" si="210"/>
        <v>0.61426650239862779</v>
      </c>
      <c r="S1096" s="9">
        <f t="shared" si="211"/>
        <v>-4.3115550348054144E-2</v>
      </c>
      <c r="T1096">
        <f t="shared" si="212"/>
        <v>72</v>
      </c>
      <c r="U1096">
        <f t="shared" si="213"/>
        <v>84</v>
      </c>
      <c r="V1096" s="3">
        <f t="shared" si="214"/>
        <v>4.0844957194317015E-2</v>
      </c>
      <c r="W1096" s="9">
        <f t="shared" si="215"/>
        <v>-4.0844957194317015E-2</v>
      </c>
      <c r="AC1096"/>
    </row>
    <row r="1097" spans="1:29" x14ac:dyDescent="0.25">
      <c r="A1097" t="s">
        <v>53</v>
      </c>
      <c r="B1097">
        <v>10</v>
      </c>
      <c r="C1097" t="s">
        <v>916</v>
      </c>
      <c r="D1097" t="s">
        <v>467</v>
      </c>
      <c r="E1097">
        <v>18</v>
      </c>
      <c r="F1097">
        <v>19.66</v>
      </c>
      <c r="G1097">
        <v>59.136099999999999</v>
      </c>
      <c r="H1097" t="s">
        <v>15</v>
      </c>
      <c r="I1097" t="s">
        <v>15</v>
      </c>
      <c r="J1097" t="s">
        <v>16</v>
      </c>
      <c r="K1097">
        <f t="shared" si="204"/>
        <v>93.17</v>
      </c>
      <c r="L1097">
        <f t="shared" si="205"/>
        <v>328.34589999999997</v>
      </c>
      <c r="M1097" t="str">
        <f t="shared" si="206"/>
        <v>perry-10</v>
      </c>
      <c r="N1097" t="str">
        <f>INDEX(Scores!$A$2:$A$11,INDEX(Scores!$AA$2:$AA$131,MATCH(C1097,Scores!$AB$2:$AB$131,0)))</f>
        <v>perry</v>
      </c>
      <c r="O1097">
        <f t="shared" si="207"/>
        <v>103.49</v>
      </c>
      <c r="P1097">
        <f t="shared" si="208"/>
        <v>345.28400000000005</v>
      </c>
      <c r="Q1097" s="3">
        <f t="shared" si="209"/>
        <v>0.34545488835543114</v>
      </c>
      <c r="R1097" s="3">
        <f t="shared" si="210"/>
        <v>0.31444876858485005</v>
      </c>
      <c r="S1097" s="9">
        <f t="shared" si="211"/>
        <v>-3.1006119770581098E-2</v>
      </c>
      <c r="T1097">
        <f t="shared" si="212"/>
        <v>91</v>
      </c>
      <c r="U1097">
        <f t="shared" si="213"/>
        <v>106</v>
      </c>
      <c r="V1097" s="3">
        <f t="shared" si="214"/>
        <v>4.1395169152366629E-2</v>
      </c>
      <c r="W1097" s="9">
        <f t="shared" si="215"/>
        <v>-4.1395169152366629E-2</v>
      </c>
      <c r="AC1097"/>
    </row>
    <row r="1098" spans="1:29" x14ac:dyDescent="0.25">
      <c r="A1098" t="s">
        <v>95</v>
      </c>
      <c r="B1098">
        <v>6</v>
      </c>
      <c r="C1098" t="s">
        <v>928</v>
      </c>
      <c r="D1098" t="s">
        <v>467</v>
      </c>
      <c r="E1098">
        <v>14</v>
      </c>
      <c r="F1098">
        <v>20.98</v>
      </c>
      <c r="G1098">
        <v>48.860100000000003</v>
      </c>
      <c r="H1098" t="s">
        <v>15</v>
      </c>
      <c r="I1098" t="s">
        <v>15</v>
      </c>
      <c r="J1098" t="s">
        <v>35</v>
      </c>
      <c r="K1098">
        <f t="shared" si="204"/>
        <v>101.41999999999999</v>
      </c>
      <c r="L1098">
        <f t="shared" si="205"/>
        <v>401.13359999999994</v>
      </c>
      <c r="M1098" t="str">
        <f t="shared" si="206"/>
        <v>comp-6</v>
      </c>
      <c r="N1098" t="str">
        <f>INDEX(Scores!$A$2:$A$11,INDEX(Scores!$AA$2:$AA$131,MATCH(C1098,Scores!$AB$2:$AB$131,0)))</f>
        <v>comp</v>
      </c>
      <c r="O1098">
        <f t="shared" si="207"/>
        <v>104.66</v>
      </c>
      <c r="P1098">
        <f t="shared" si="208"/>
        <v>375.94899999999996</v>
      </c>
      <c r="Q1098" s="3">
        <f t="shared" si="209"/>
        <v>0.45373585390093107</v>
      </c>
      <c r="R1098" s="3">
        <f t="shared" si="210"/>
        <v>0.35244770290075567</v>
      </c>
      <c r="S1098" s="9">
        <f t="shared" si="211"/>
        <v>-0.10128815100017541</v>
      </c>
      <c r="T1098">
        <f t="shared" si="212"/>
        <v>72</v>
      </c>
      <c r="U1098">
        <f t="shared" si="213"/>
        <v>91</v>
      </c>
      <c r="V1098" s="3">
        <f t="shared" si="214"/>
        <v>4.2752640136414971E-2</v>
      </c>
      <c r="W1098" s="9">
        <f t="shared" si="215"/>
        <v>-4.2752640136414971E-2</v>
      </c>
      <c r="AC1098"/>
    </row>
    <row r="1099" spans="1:29" x14ac:dyDescent="0.25">
      <c r="A1099" t="s">
        <v>135</v>
      </c>
      <c r="B1099">
        <v>12</v>
      </c>
      <c r="C1099" t="s">
        <v>974</v>
      </c>
      <c r="D1099" t="s">
        <v>471</v>
      </c>
      <c r="E1099">
        <v>14</v>
      </c>
      <c r="F1099">
        <v>8.8699999999999992</v>
      </c>
      <c r="G1099">
        <v>35.640900000000002</v>
      </c>
      <c r="H1099" t="s">
        <v>87</v>
      </c>
      <c r="I1099" t="s">
        <v>87</v>
      </c>
      <c r="J1099" t="s">
        <v>49</v>
      </c>
      <c r="K1099">
        <f t="shared" si="204"/>
        <v>94.28</v>
      </c>
      <c r="L1099">
        <f t="shared" si="205"/>
        <v>371.05129999999997</v>
      </c>
      <c r="M1099" t="str">
        <f t="shared" si="206"/>
        <v>devon-12</v>
      </c>
      <c r="N1099" t="str">
        <f>INDEX(Scores!$A$2:$A$11,INDEX(Scores!$AA$2:$AA$131,MATCH(C1099,Scores!$AB$2:$AB$131,0)))</f>
        <v>devon</v>
      </c>
      <c r="O1099">
        <f t="shared" si="207"/>
        <v>99.070000000000007</v>
      </c>
      <c r="P1099">
        <f t="shared" si="208"/>
        <v>350.10639999999995</v>
      </c>
      <c r="Q1099" s="3">
        <f t="shared" si="209"/>
        <v>0.42921643322258324</v>
      </c>
      <c r="R1099" s="3">
        <f t="shared" si="210"/>
        <v>0.50518045285515156</v>
      </c>
      <c r="S1099" s="9">
        <f t="shared" si="211"/>
        <v>7.5964019632568325E-2</v>
      </c>
      <c r="T1099">
        <f t="shared" si="212"/>
        <v>75</v>
      </c>
      <c r="U1099">
        <f t="shared" si="213"/>
        <v>80</v>
      </c>
      <c r="V1099" s="3">
        <f t="shared" si="214"/>
        <v>4.4865592099848695E-2</v>
      </c>
      <c r="W1099" s="9">
        <f t="shared" si="215"/>
        <v>-4.4865592099848695E-2</v>
      </c>
      <c r="AC1099"/>
    </row>
    <row r="1100" spans="1:29" x14ac:dyDescent="0.25">
      <c r="A1100" t="s">
        <v>176</v>
      </c>
      <c r="B1100">
        <v>2</v>
      </c>
      <c r="C1100" t="s">
        <v>636</v>
      </c>
      <c r="D1100" t="s">
        <v>475</v>
      </c>
      <c r="E1100">
        <v>4</v>
      </c>
      <c r="F1100">
        <v>6.72</v>
      </c>
      <c r="G1100">
        <v>30.1401</v>
      </c>
      <c r="H1100" t="s">
        <v>114</v>
      </c>
      <c r="I1100" t="s">
        <v>114</v>
      </c>
      <c r="J1100" t="s">
        <v>49</v>
      </c>
      <c r="K1100">
        <f t="shared" si="204"/>
        <v>101.3</v>
      </c>
      <c r="L1100">
        <f t="shared" si="205"/>
        <v>329.14109999999999</v>
      </c>
      <c r="M1100" t="str">
        <f t="shared" si="206"/>
        <v>seth-2</v>
      </c>
      <c r="N1100" t="str">
        <f>INDEX(Scores!$A$2:$A$11,INDEX(Scores!$AA$2:$AA$131,MATCH(C1100,Scores!$AB$2:$AB$131,0)))</f>
        <v>seth</v>
      </c>
      <c r="O1100">
        <f t="shared" si="207"/>
        <v>91.78</v>
      </c>
      <c r="P1100">
        <f t="shared" si="208"/>
        <v>333.71719999999993</v>
      </c>
      <c r="Q1100" s="3">
        <f t="shared" si="209"/>
        <v>0.64422145537573039</v>
      </c>
      <c r="R1100" s="3">
        <f t="shared" si="210"/>
        <v>0.60654908182956102</v>
      </c>
      <c r="S1100" s="9">
        <f t="shared" si="211"/>
        <v>-3.7672373546169369E-2</v>
      </c>
      <c r="T1100">
        <f t="shared" si="212"/>
        <v>70</v>
      </c>
      <c r="U1100">
        <f t="shared" si="213"/>
        <v>82</v>
      </c>
      <c r="V1100" s="3">
        <f t="shared" si="214"/>
        <v>4.548088173522196E-2</v>
      </c>
      <c r="W1100" s="9">
        <f t="shared" si="215"/>
        <v>-4.548088173522196E-2</v>
      </c>
      <c r="AC1100"/>
    </row>
    <row r="1101" spans="1:29" x14ac:dyDescent="0.25">
      <c r="A1101" t="s">
        <v>445</v>
      </c>
      <c r="B1101">
        <v>5</v>
      </c>
      <c r="C1101" t="s">
        <v>882</v>
      </c>
      <c r="D1101" t="s">
        <v>478</v>
      </c>
      <c r="E1101">
        <v>8</v>
      </c>
      <c r="F1101">
        <v>7.93</v>
      </c>
      <c r="G1101">
        <v>13.0321</v>
      </c>
      <c r="H1101" t="s">
        <v>478</v>
      </c>
      <c r="I1101" t="s">
        <v>478</v>
      </c>
      <c r="J1101" t="s">
        <v>44</v>
      </c>
      <c r="K1101">
        <f t="shared" si="204"/>
        <v>98.72999999999999</v>
      </c>
      <c r="L1101">
        <f t="shared" si="205"/>
        <v>396.28840000000002</v>
      </c>
      <c r="M1101" t="str">
        <f t="shared" si="206"/>
        <v>perry-5</v>
      </c>
      <c r="N1101" t="str">
        <f>INDEX(Scores!$A$2:$A$11,INDEX(Scores!$AA$2:$AA$131,MATCH(C1101,Scores!$AB$2:$AB$131,0)))</f>
        <v>perry</v>
      </c>
      <c r="O1101">
        <f t="shared" si="207"/>
        <v>97.27</v>
      </c>
      <c r="P1101">
        <f t="shared" si="208"/>
        <v>430.39269999999999</v>
      </c>
      <c r="Q1101" s="3">
        <f t="shared" si="209"/>
        <v>0.52024917394329329</v>
      </c>
      <c r="R1101" s="3">
        <f t="shared" si="210"/>
        <v>0.52138822489600301</v>
      </c>
      <c r="S1101" s="9">
        <f t="shared" si="211"/>
        <v>1.1390509527097192E-3</v>
      </c>
      <c r="T1101">
        <f t="shared" si="212"/>
        <v>90</v>
      </c>
      <c r="U1101">
        <f t="shared" si="213"/>
        <v>96</v>
      </c>
      <c r="V1101" s="3">
        <f t="shared" si="214"/>
        <v>4.6338697743686999E-2</v>
      </c>
      <c r="W1101" s="9">
        <f t="shared" si="215"/>
        <v>-4.6338697743686999E-2</v>
      </c>
      <c r="AC1101"/>
    </row>
    <row r="1102" spans="1:29" x14ac:dyDescent="0.25">
      <c r="A1102" t="s">
        <v>420</v>
      </c>
      <c r="B1102">
        <v>7</v>
      </c>
      <c r="C1102" t="s">
        <v>977</v>
      </c>
      <c r="D1102" t="s">
        <v>477</v>
      </c>
      <c r="E1102">
        <v>15</v>
      </c>
      <c r="F1102">
        <v>9.8800000000000008</v>
      </c>
      <c r="G1102">
        <v>29.9209</v>
      </c>
      <c r="H1102" t="s">
        <v>477</v>
      </c>
      <c r="I1102" t="s">
        <v>477</v>
      </c>
      <c r="J1102" t="s">
        <v>44</v>
      </c>
      <c r="K1102">
        <f t="shared" si="204"/>
        <v>96.25</v>
      </c>
      <c r="L1102">
        <f t="shared" si="205"/>
        <v>294.3</v>
      </c>
      <c r="M1102" t="str">
        <f t="shared" si="206"/>
        <v>cory-7</v>
      </c>
      <c r="N1102" t="str">
        <f>INDEX(Scores!$A$2:$A$11,INDEX(Scores!$AA$2:$AA$131,MATCH(C1102,Scores!$AB$2:$AB$131,0)))</f>
        <v>cory</v>
      </c>
      <c r="O1102">
        <f t="shared" si="207"/>
        <v>86.09</v>
      </c>
      <c r="P1102">
        <f t="shared" si="208"/>
        <v>350.80079999999998</v>
      </c>
      <c r="Q1102" s="3">
        <f t="shared" si="209"/>
        <v>0.65542850055780277</v>
      </c>
      <c r="R1102" s="3">
        <f t="shared" si="210"/>
        <v>0.73107219988937433</v>
      </c>
      <c r="S1102" s="9">
        <f t="shared" si="211"/>
        <v>7.5643699331571557E-2</v>
      </c>
      <c r="T1102">
        <f t="shared" si="212"/>
        <v>81</v>
      </c>
      <c r="U1102">
        <f t="shared" si="213"/>
        <v>85</v>
      </c>
      <c r="V1102" s="3">
        <f t="shared" si="214"/>
        <v>4.7729763221495566E-2</v>
      </c>
      <c r="W1102" s="9">
        <f t="shared" si="215"/>
        <v>-4.7729763221495566E-2</v>
      </c>
      <c r="AC1102"/>
    </row>
    <row r="1103" spans="1:29" x14ac:dyDescent="0.25">
      <c r="A1103" t="s">
        <v>18</v>
      </c>
      <c r="B1103">
        <v>5</v>
      </c>
      <c r="C1103" t="s">
        <v>890</v>
      </c>
      <c r="D1103" t="s">
        <v>467</v>
      </c>
      <c r="E1103">
        <v>12</v>
      </c>
      <c r="F1103">
        <v>22.16</v>
      </c>
      <c r="G1103">
        <v>69.056100000000001</v>
      </c>
      <c r="H1103" t="s">
        <v>15</v>
      </c>
      <c r="I1103" t="s">
        <v>15</v>
      </c>
      <c r="J1103" t="s">
        <v>20</v>
      </c>
      <c r="K1103">
        <f t="shared" si="204"/>
        <v>107.89</v>
      </c>
      <c r="L1103">
        <f t="shared" si="205"/>
        <v>441.71269999999998</v>
      </c>
      <c r="M1103" t="str">
        <f t="shared" si="206"/>
        <v>lucas-5</v>
      </c>
      <c r="N1103" t="str">
        <f>INDEX(Scores!$A$2:$A$11,INDEX(Scores!$AA$2:$AA$131,MATCH(C1103,Scores!$AB$2:$AB$131,0)))</f>
        <v>lucas</v>
      </c>
      <c r="O1103">
        <f t="shared" si="207"/>
        <v>0</v>
      </c>
      <c r="P1103">
        <f t="shared" si="208"/>
        <v>0</v>
      </c>
      <c r="Q1103" s="3">
        <f t="shared" si="209"/>
        <v>0.99999985777778666</v>
      </c>
      <c r="R1103" s="3">
        <f t="shared" si="210"/>
        <v>0.99999979320992149</v>
      </c>
      <c r="S1103" s="9">
        <f t="shared" si="211"/>
        <v>-6.4567865165621185E-8</v>
      </c>
      <c r="T1103">
        <f t="shared" si="212"/>
        <v>69</v>
      </c>
      <c r="U1103">
        <f t="shared" si="213"/>
        <v>0</v>
      </c>
      <c r="V1103" s="3">
        <f t="shared" si="214"/>
        <v>1</v>
      </c>
      <c r="W1103" s="9">
        <f t="shared" si="215"/>
        <v>0</v>
      </c>
      <c r="AC1103"/>
    </row>
    <row r="1104" spans="1:29" x14ac:dyDescent="0.25">
      <c r="A1104" t="s">
        <v>145</v>
      </c>
      <c r="B1104">
        <v>12</v>
      </c>
      <c r="C1104" t="s">
        <v>974</v>
      </c>
      <c r="D1104" t="s">
        <v>468</v>
      </c>
      <c r="E1104">
        <v>21</v>
      </c>
      <c r="F1104">
        <v>12.33</v>
      </c>
      <c r="G1104">
        <v>67.4041</v>
      </c>
      <c r="H1104" t="s">
        <v>47</v>
      </c>
      <c r="I1104" t="s">
        <v>47</v>
      </c>
      <c r="J1104" t="s">
        <v>49</v>
      </c>
      <c r="K1104">
        <f t="shared" si="204"/>
        <v>94.28</v>
      </c>
      <c r="L1104">
        <f t="shared" si="205"/>
        <v>371.05129999999997</v>
      </c>
      <c r="M1104" t="str">
        <f t="shared" si="206"/>
        <v>devon-12</v>
      </c>
      <c r="N1104" t="str">
        <f>INDEX(Scores!$A$2:$A$11,INDEX(Scores!$AA$2:$AA$131,MATCH(C1104,Scores!$AB$2:$AB$131,0)))</f>
        <v>devon</v>
      </c>
      <c r="O1104">
        <f t="shared" si="207"/>
        <v>99.070000000000007</v>
      </c>
      <c r="P1104">
        <f t="shared" si="208"/>
        <v>350.10639999999995</v>
      </c>
      <c r="Q1104" s="3">
        <f t="shared" si="209"/>
        <v>0.42921643322258324</v>
      </c>
      <c r="R1104" s="3">
        <f t="shared" si="210"/>
        <v>0.56030738617123932</v>
      </c>
      <c r="S1104" s="9">
        <f t="shared" si="211"/>
        <v>0.13109095294865608</v>
      </c>
      <c r="T1104">
        <f t="shared" si="212"/>
        <v>75</v>
      </c>
      <c r="U1104">
        <f t="shared" si="213"/>
        <v>80</v>
      </c>
      <c r="V1104" s="3">
        <f t="shared" si="214"/>
        <v>4.7952125468454336E-2</v>
      </c>
      <c r="W1104" s="9">
        <f t="shared" si="215"/>
        <v>-4.7952125468454336E-2</v>
      </c>
      <c r="AC1104"/>
    </row>
    <row r="1105" spans="1:29" x14ac:dyDescent="0.25">
      <c r="A1105" t="s">
        <v>92</v>
      </c>
      <c r="B1105">
        <v>10</v>
      </c>
      <c r="C1105" t="s">
        <v>924</v>
      </c>
      <c r="D1105" t="s">
        <v>466</v>
      </c>
      <c r="E1105">
        <v>3</v>
      </c>
      <c r="F1105">
        <v>12.75</v>
      </c>
      <c r="G1105">
        <v>47.886400000000002</v>
      </c>
      <c r="H1105" t="s">
        <v>466</v>
      </c>
      <c r="I1105" t="s">
        <v>47</v>
      </c>
      <c r="J1105" t="s">
        <v>55</v>
      </c>
      <c r="K1105">
        <f t="shared" si="204"/>
        <v>110.08000000000001</v>
      </c>
      <c r="L1105">
        <f t="shared" si="205"/>
        <v>372.64320000000004</v>
      </c>
      <c r="M1105" t="str">
        <f t="shared" si="206"/>
        <v>chad-10</v>
      </c>
      <c r="N1105" t="str">
        <f>INDEX(Scores!$A$2:$A$11,INDEX(Scores!$AA$2:$AA$131,MATCH(C1105,Scores!$AB$2:$AB$131,0)))</f>
        <v>chad</v>
      </c>
      <c r="O1105">
        <f t="shared" si="207"/>
        <v>103.91999999999999</v>
      </c>
      <c r="P1105">
        <f t="shared" si="208"/>
        <v>398.26569999999992</v>
      </c>
      <c r="Q1105" s="3">
        <f t="shared" si="209"/>
        <v>0.58778859959928087</v>
      </c>
      <c r="R1105" s="3">
        <f t="shared" si="210"/>
        <v>0.4468944511564451</v>
      </c>
      <c r="S1105" s="9">
        <f t="shared" si="211"/>
        <v>-0.14089414844283576</v>
      </c>
      <c r="T1105">
        <f t="shared" si="212"/>
        <v>82</v>
      </c>
      <c r="U1105">
        <f t="shared" si="213"/>
        <v>103</v>
      </c>
      <c r="V1105" s="3">
        <f t="shared" si="214"/>
        <v>5.200434607830131E-2</v>
      </c>
      <c r="W1105" s="9">
        <f t="shared" si="215"/>
        <v>-5.200434607830131E-2</v>
      </c>
      <c r="AC1105"/>
    </row>
    <row r="1106" spans="1:29" x14ac:dyDescent="0.25">
      <c r="A1106" t="s">
        <v>445</v>
      </c>
      <c r="B1106">
        <v>3</v>
      </c>
      <c r="C1106" t="s">
        <v>808</v>
      </c>
      <c r="D1106" t="s">
        <v>478</v>
      </c>
      <c r="E1106">
        <v>4</v>
      </c>
      <c r="F1106">
        <v>5.99</v>
      </c>
      <c r="G1106">
        <v>13.69</v>
      </c>
      <c r="H1106" t="s">
        <v>478</v>
      </c>
      <c r="I1106" t="s">
        <v>478</v>
      </c>
      <c r="J1106" t="s">
        <v>44</v>
      </c>
      <c r="K1106">
        <f t="shared" si="204"/>
        <v>94.54</v>
      </c>
      <c r="L1106">
        <f t="shared" si="205"/>
        <v>356.43470000000002</v>
      </c>
      <c r="M1106" t="str">
        <f t="shared" si="206"/>
        <v>aj-3</v>
      </c>
      <c r="N1106" t="str">
        <f>INDEX(Scores!$A$2:$A$11,INDEX(Scores!$AA$2:$AA$131,MATCH(C1106,Scores!$AB$2:$AB$131,0)))</f>
        <v>aj</v>
      </c>
      <c r="O1106">
        <f t="shared" si="207"/>
        <v>107.31</v>
      </c>
      <c r="P1106">
        <f t="shared" si="208"/>
        <v>425.77620000000002</v>
      </c>
      <c r="Q1106" s="3">
        <f t="shared" si="209"/>
        <v>0.3239819129085153</v>
      </c>
      <c r="R1106" s="3">
        <f t="shared" si="210"/>
        <v>0.29721580449177998</v>
      </c>
      <c r="S1106" s="9">
        <f t="shared" si="211"/>
        <v>-2.6766108416735324E-2</v>
      </c>
      <c r="T1106">
        <f t="shared" si="212"/>
        <v>88</v>
      </c>
      <c r="U1106">
        <f t="shared" si="213"/>
        <v>96</v>
      </c>
      <c r="V1106" s="3">
        <f t="shared" si="214"/>
        <v>5.2153304259475571E-2</v>
      </c>
      <c r="W1106" s="9">
        <f t="shared" si="215"/>
        <v>-5.2153304259475571E-2</v>
      </c>
      <c r="AC1106"/>
    </row>
    <row r="1107" spans="1:29" x14ac:dyDescent="0.25">
      <c r="A1107" t="s">
        <v>93</v>
      </c>
      <c r="B1107">
        <v>6</v>
      </c>
      <c r="C1107" t="s">
        <v>912</v>
      </c>
      <c r="D1107" t="s">
        <v>471</v>
      </c>
      <c r="E1107">
        <v>7</v>
      </c>
      <c r="F1107">
        <v>12.15</v>
      </c>
      <c r="G1107">
        <v>77.44</v>
      </c>
      <c r="H1107" t="s">
        <v>87</v>
      </c>
      <c r="I1107" t="s">
        <v>87</v>
      </c>
      <c r="J1107" t="s">
        <v>16</v>
      </c>
      <c r="K1107">
        <f t="shared" si="204"/>
        <v>102.10000000000001</v>
      </c>
      <c r="L1107">
        <f t="shared" si="205"/>
        <v>445.16630000000004</v>
      </c>
      <c r="M1107" t="str">
        <f t="shared" si="206"/>
        <v>aj-6</v>
      </c>
      <c r="N1107" t="str">
        <f>INDEX(Scores!$A$2:$A$11,INDEX(Scores!$AA$2:$AA$131,MATCH(C1107,Scores!$AB$2:$AB$131,0)))</f>
        <v>aj</v>
      </c>
      <c r="O1107">
        <f t="shared" si="207"/>
        <v>108.8</v>
      </c>
      <c r="P1107">
        <f t="shared" si="208"/>
        <v>404.29040000000003</v>
      </c>
      <c r="Q1107" s="3">
        <f t="shared" si="209"/>
        <v>0.40909189376360988</v>
      </c>
      <c r="R1107" s="3">
        <f t="shared" si="210"/>
        <v>0.3348767937155821</v>
      </c>
      <c r="S1107" s="9">
        <f t="shared" si="211"/>
        <v>-7.4215100048027782E-2</v>
      </c>
      <c r="T1107">
        <f t="shared" si="212"/>
        <v>85</v>
      </c>
      <c r="U1107">
        <f t="shared" si="213"/>
        <v>104</v>
      </c>
      <c r="V1107" s="3">
        <f t="shared" si="214"/>
        <v>5.7759489145530842E-2</v>
      </c>
      <c r="W1107" s="9">
        <f t="shared" si="215"/>
        <v>-5.7759489145530842E-2</v>
      </c>
      <c r="AC1107"/>
    </row>
    <row r="1108" spans="1:29" x14ac:dyDescent="0.25">
      <c r="A1108" t="s">
        <v>81</v>
      </c>
      <c r="B1108">
        <v>10</v>
      </c>
      <c r="C1108" t="s">
        <v>924</v>
      </c>
      <c r="D1108" t="s">
        <v>468</v>
      </c>
      <c r="E1108">
        <v>5</v>
      </c>
      <c r="F1108">
        <v>14.96</v>
      </c>
      <c r="G1108">
        <v>50.694400000000002</v>
      </c>
      <c r="H1108" t="s">
        <v>47</v>
      </c>
      <c r="I1108" t="s">
        <v>47</v>
      </c>
      <c r="J1108" t="s">
        <v>55</v>
      </c>
      <c r="K1108">
        <f t="shared" si="204"/>
        <v>110.08000000000001</v>
      </c>
      <c r="L1108">
        <f t="shared" si="205"/>
        <v>372.64320000000004</v>
      </c>
      <c r="M1108" t="str">
        <f t="shared" si="206"/>
        <v>chad-10</v>
      </c>
      <c r="N1108" t="str">
        <f>INDEX(Scores!$A$2:$A$11,INDEX(Scores!$AA$2:$AA$131,MATCH(C1108,Scores!$AB$2:$AB$131,0)))</f>
        <v>chad</v>
      </c>
      <c r="O1108">
        <f t="shared" si="207"/>
        <v>103.91999999999999</v>
      </c>
      <c r="P1108">
        <f t="shared" si="208"/>
        <v>398.26569999999992</v>
      </c>
      <c r="Q1108" s="3">
        <f t="shared" si="209"/>
        <v>0.58778859959928087</v>
      </c>
      <c r="R1108" s="3">
        <f t="shared" si="210"/>
        <v>0.44369934681501333</v>
      </c>
      <c r="S1108" s="9">
        <f t="shared" si="211"/>
        <v>-0.14408925278426754</v>
      </c>
      <c r="T1108">
        <f t="shared" si="212"/>
        <v>82</v>
      </c>
      <c r="U1108">
        <f t="shared" si="213"/>
        <v>103</v>
      </c>
      <c r="V1108" s="3">
        <f t="shared" si="214"/>
        <v>6.0503366564732243E-2</v>
      </c>
      <c r="W1108" s="9">
        <f t="shared" si="215"/>
        <v>-6.0503366564732243E-2</v>
      </c>
      <c r="AC1108"/>
    </row>
    <row r="1109" spans="1:29" x14ac:dyDescent="0.25">
      <c r="A1109" t="s">
        <v>92</v>
      </c>
      <c r="B1109">
        <v>2</v>
      </c>
      <c r="C1109" t="s">
        <v>636</v>
      </c>
      <c r="D1109" t="s">
        <v>469</v>
      </c>
      <c r="E1109">
        <v>13</v>
      </c>
      <c r="F1109">
        <v>14.13</v>
      </c>
      <c r="G1109">
        <v>50.126399999999997</v>
      </c>
      <c r="H1109" t="s">
        <v>47</v>
      </c>
      <c r="I1109" t="s">
        <v>47</v>
      </c>
      <c r="J1109" t="s">
        <v>49</v>
      </c>
      <c r="K1109">
        <f t="shared" si="204"/>
        <v>101.3</v>
      </c>
      <c r="L1109">
        <f t="shared" si="205"/>
        <v>329.14109999999999</v>
      </c>
      <c r="M1109" t="str">
        <f t="shared" si="206"/>
        <v>seth-2</v>
      </c>
      <c r="N1109" t="str">
        <f>INDEX(Scores!$A$2:$A$11,INDEX(Scores!$AA$2:$AA$131,MATCH(C1109,Scores!$AB$2:$AB$131,0)))</f>
        <v>seth</v>
      </c>
      <c r="O1109">
        <f t="shared" si="207"/>
        <v>91.78</v>
      </c>
      <c r="P1109">
        <f t="shared" si="208"/>
        <v>333.71719999999993</v>
      </c>
      <c r="Q1109" s="3">
        <f t="shared" si="209"/>
        <v>0.64422145537573039</v>
      </c>
      <c r="R1109" s="3">
        <f t="shared" si="210"/>
        <v>0.63267367837721178</v>
      </c>
      <c r="S1109" s="9">
        <f t="shared" si="211"/>
        <v>-1.1547776998518611E-2</v>
      </c>
      <c r="T1109">
        <f t="shared" si="212"/>
        <v>70</v>
      </c>
      <c r="U1109">
        <f t="shared" si="213"/>
        <v>82</v>
      </c>
      <c r="V1109" s="3">
        <f t="shared" si="214"/>
        <v>6.2353759309390654E-2</v>
      </c>
      <c r="W1109" s="9">
        <f t="shared" si="215"/>
        <v>-6.2353759309390654E-2</v>
      </c>
      <c r="AC1109"/>
    </row>
    <row r="1110" spans="1:29" x14ac:dyDescent="0.25">
      <c r="A1110" t="s">
        <v>90</v>
      </c>
      <c r="B1110">
        <v>4</v>
      </c>
      <c r="C1110" t="s">
        <v>861</v>
      </c>
      <c r="D1110" t="s">
        <v>468</v>
      </c>
      <c r="E1110">
        <v>13</v>
      </c>
      <c r="F1110">
        <v>15.9</v>
      </c>
      <c r="G1110">
        <v>74.304400000000001</v>
      </c>
      <c r="H1110" t="s">
        <v>47</v>
      </c>
      <c r="I1110" t="s">
        <v>47</v>
      </c>
      <c r="J1110" t="s">
        <v>20</v>
      </c>
      <c r="K1110">
        <f t="shared" si="204"/>
        <v>113.07</v>
      </c>
      <c r="L1110">
        <f t="shared" si="205"/>
        <v>452.41279999999995</v>
      </c>
      <c r="M1110" t="str">
        <f t="shared" si="206"/>
        <v>cory-4</v>
      </c>
      <c r="N1110" t="str">
        <f>INDEX(Scores!$A$2:$A$11,INDEX(Scores!$AA$2:$AA$131,MATCH(C1110,Scores!$AB$2:$AB$131,0)))</f>
        <v>cory</v>
      </c>
      <c r="O1110">
        <f t="shared" si="207"/>
        <v>115.58999999999999</v>
      </c>
      <c r="P1110">
        <f t="shared" si="208"/>
        <v>432.42160000000007</v>
      </c>
      <c r="Q1110" s="3">
        <f t="shared" si="209"/>
        <v>0.46624326985872333</v>
      </c>
      <c r="R1110" s="3">
        <f t="shared" si="210"/>
        <v>0.42450681493008702</v>
      </c>
      <c r="S1110" s="9">
        <f t="shared" si="211"/>
        <v>-4.1736454928636313E-2</v>
      </c>
      <c r="T1110">
        <f t="shared" si="212"/>
        <v>88</v>
      </c>
      <c r="U1110">
        <f t="shared" si="213"/>
        <v>104</v>
      </c>
      <c r="V1110" s="3">
        <f t="shared" si="214"/>
        <v>6.4290483056895012E-2</v>
      </c>
      <c r="W1110" s="9">
        <f t="shared" si="215"/>
        <v>-6.4290483056895012E-2</v>
      </c>
      <c r="AC1110"/>
    </row>
    <row r="1111" spans="1:29" x14ac:dyDescent="0.25">
      <c r="A1111" t="s">
        <v>120</v>
      </c>
      <c r="B1111">
        <v>13</v>
      </c>
      <c r="C1111" t="s">
        <v>943</v>
      </c>
      <c r="D1111" t="s">
        <v>471</v>
      </c>
      <c r="E1111">
        <v>8</v>
      </c>
      <c r="F1111">
        <v>12.09</v>
      </c>
      <c r="G1111">
        <v>42.902500000000003</v>
      </c>
      <c r="H1111" t="s">
        <v>87</v>
      </c>
      <c r="I1111" t="s">
        <v>87</v>
      </c>
      <c r="J1111" t="s">
        <v>27</v>
      </c>
      <c r="K1111">
        <f t="shared" si="204"/>
        <v>104.63999999999999</v>
      </c>
      <c r="L1111">
        <f t="shared" si="205"/>
        <v>400.33339999999998</v>
      </c>
      <c r="M1111" t="str">
        <f t="shared" si="206"/>
        <v>chad-13</v>
      </c>
      <c r="N1111" t="str">
        <f>INDEX(Scores!$A$2:$A$11,INDEX(Scores!$AA$2:$AA$131,MATCH(C1111,Scores!$AB$2:$AB$131,0)))</f>
        <v>chad</v>
      </c>
      <c r="O1111">
        <f t="shared" si="207"/>
        <v>113.35</v>
      </c>
      <c r="P1111">
        <f t="shared" si="208"/>
        <v>486.24799999999993</v>
      </c>
      <c r="Q1111" s="3">
        <f t="shared" si="209"/>
        <v>0.3849436901786526</v>
      </c>
      <c r="R1111" s="3">
        <f t="shared" si="210"/>
        <v>0.3297230606304678</v>
      </c>
      <c r="S1111" s="9">
        <f t="shared" si="211"/>
        <v>-5.5220629548184796E-2</v>
      </c>
      <c r="T1111">
        <f t="shared" si="212"/>
        <v>81</v>
      </c>
      <c r="U1111">
        <f t="shared" si="213"/>
        <v>95</v>
      </c>
      <c r="V1111" s="3">
        <f t="shared" si="214"/>
        <v>6.5142738006626968E-2</v>
      </c>
      <c r="W1111" s="9">
        <f t="shared" si="215"/>
        <v>-6.5142738006626968E-2</v>
      </c>
      <c r="AC1111"/>
    </row>
    <row r="1112" spans="1:29" x14ac:dyDescent="0.25">
      <c r="A1112" t="s">
        <v>107</v>
      </c>
      <c r="B1112">
        <v>6</v>
      </c>
      <c r="C1112" t="s">
        <v>928</v>
      </c>
      <c r="D1112" t="s">
        <v>471</v>
      </c>
      <c r="E1112">
        <v>1</v>
      </c>
      <c r="F1112">
        <v>10.02</v>
      </c>
      <c r="G1112">
        <v>45.024099999999997</v>
      </c>
      <c r="H1112" t="s">
        <v>87</v>
      </c>
      <c r="I1112" t="s">
        <v>87</v>
      </c>
      <c r="J1112" t="s">
        <v>35</v>
      </c>
      <c r="K1112">
        <f t="shared" si="204"/>
        <v>101.41999999999999</v>
      </c>
      <c r="L1112">
        <f t="shared" si="205"/>
        <v>401.13359999999994</v>
      </c>
      <c r="M1112" t="str">
        <f t="shared" si="206"/>
        <v>comp-6</v>
      </c>
      <c r="N1112" t="str">
        <f>INDEX(Scores!$A$2:$A$11,INDEX(Scores!$AA$2:$AA$131,MATCH(C1112,Scores!$AB$2:$AB$131,0)))</f>
        <v>comp</v>
      </c>
      <c r="O1112">
        <f t="shared" si="207"/>
        <v>104.66</v>
      </c>
      <c r="P1112">
        <f t="shared" si="208"/>
        <v>375.94899999999996</v>
      </c>
      <c r="Q1112" s="3">
        <f t="shared" si="209"/>
        <v>0.45373585390093107</v>
      </c>
      <c r="R1112" s="3">
        <f t="shared" si="210"/>
        <v>0.32522953527636572</v>
      </c>
      <c r="S1112" s="9">
        <f t="shared" si="211"/>
        <v>-0.12850631862456535</v>
      </c>
      <c r="T1112">
        <f t="shared" si="212"/>
        <v>72</v>
      </c>
      <c r="U1112">
        <f t="shared" si="213"/>
        <v>91</v>
      </c>
      <c r="V1112" s="3">
        <f t="shared" si="214"/>
        <v>6.8463528582607389E-2</v>
      </c>
      <c r="W1112" s="9">
        <f t="shared" si="215"/>
        <v>-6.8463528582607389E-2</v>
      </c>
      <c r="AC1112"/>
    </row>
    <row r="1113" spans="1:29" x14ac:dyDescent="0.25">
      <c r="A1113" t="s">
        <v>59</v>
      </c>
      <c r="B1113">
        <v>11</v>
      </c>
      <c r="C1113" t="s">
        <v>957</v>
      </c>
      <c r="D1113" t="s">
        <v>467</v>
      </c>
      <c r="E1113">
        <v>-2</v>
      </c>
      <c r="F1113">
        <v>21.26</v>
      </c>
      <c r="G1113">
        <v>62.41</v>
      </c>
      <c r="H1113" t="s">
        <v>15</v>
      </c>
      <c r="I1113" t="s">
        <v>15</v>
      </c>
      <c r="J1113" t="s">
        <v>40</v>
      </c>
      <c r="K1113">
        <f t="shared" si="204"/>
        <v>98.88000000000001</v>
      </c>
      <c r="L1113">
        <f t="shared" si="205"/>
        <v>375.05889999999999</v>
      </c>
      <c r="M1113" t="e">
        <f t="shared" si="206"/>
        <v>#N/A</v>
      </c>
      <c r="N1113" t="e">
        <f>INDEX(Scores!$A$2:$A$11,INDEX(Scores!$AA$2:$AA$131,MATCH(C1113,Scores!$AB$2:$AB$131,0)))</f>
        <v>#N/A</v>
      </c>
      <c r="O1113">
        <f t="shared" si="207"/>
        <v>0</v>
      </c>
      <c r="P1113">
        <f t="shared" si="208"/>
        <v>0</v>
      </c>
      <c r="Q1113" s="3">
        <f t="shared" si="209"/>
        <v>0.99999983524900793</v>
      </c>
      <c r="R1113" s="3">
        <f t="shared" si="210"/>
        <v>0.99999051555529317</v>
      </c>
      <c r="S1113" s="9">
        <f t="shared" si="211"/>
        <v>-9.3196937147599357E-6</v>
      </c>
      <c r="T1113">
        <f t="shared" si="212"/>
        <v>50</v>
      </c>
      <c r="U1113">
        <f t="shared" si="213"/>
        <v>0</v>
      </c>
      <c r="V1113" s="3">
        <f t="shared" si="214"/>
        <v>1</v>
      </c>
      <c r="W1113" s="9">
        <f t="shared" si="215"/>
        <v>0</v>
      </c>
      <c r="AC1113"/>
    </row>
    <row r="1114" spans="1:29" x14ac:dyDescent="0.25">
      <c r="A1114" t="s">
        <v>427</v>
      </c>
      <c r="B1114">
        <v>13</v>
      </c>
      <c r="C1114" t="s">
        <v>927</v>
      </c>
      <c r="D1114" t="s">
        <v>477</v>
      </c>
      <c r="E1114">
        <v>8</v>
      </c>
      <c r="F1114">
        <v>8.1999999999999993</v>
      </c>
      <c r="G1114">
        <v>35.402500000000003</v>
      </c>
      <c r="H1114" t="s">
        <v>477</v>
      </c>
      <c r="I1114" t="s">
        <v>477</v>
      </c>
      <c r="J1114" t="s">
        <v>55</v>
      </c>
      <c r="K1114">
        <f t="shared" si="204"/>
        <v>116.54</v>
      </c>
      <c r="L1114">
        <f t="shared" si="205"/>
        <v>371.12040000000002</v>
      </c>
      <c r="M1114" t="str">
        <f t="shared" si="206"/>
        <v>matty-13</v>
      </c>
      <c r="N1114" t="str">
        <f>INDEX(Scores!$A$2:$A$11,INDEX(Scores!$AA$2:$AA$131,MATCH(C1114,Scores!$AB$2:$AB$131,0)))</f>
        <v>matty</v>
      </c>
      <c r="O1114">
        <f t="shared" si="207"/>
        <v>88.16</v>
      </c>
      <c r="P1114">
        <f t="shared" si="208"/>
        <v>330.99250000000001</v>
      </c>
      <c r="Q1114" s="3">
        <f t="shared" si="209"/>
        <v>0.85792606530938775</v>
      </c>
      <c r="R1114" s="3">
        <f t="shared" si="210"/>
        <v>0.86244514649624149</v>
      </c>
      <c r="S1114" s="9">
        <f t="shared" si="211"/>
        <v>4.5190811868537351E-3</v>
      </c>
      <c r="T1114">
        <f t="shared" si="212"/>
        <v>108</v>
      </c>
      <c r="U1114">
        <f t="shared" si="213"/>
        <v>117</v>
      </c>
      <c r="V1114" s="3">
        <f t="shared" si="214"/>
        <v>6.957128037812689E-2</v>
      </c>
      <c r="W1114" s="9">
        <f t="shared" si="215"/>
        <v>-6.957128037812689E-2</v>
      </c>
      <c r="AC1114"/>
    </row>
    <row r="1115" spans="1:29" x14ac:dyDescent="0.25">
      <c r="A1115" t="s">
        <v>248</v>
      </c>
      <c r="B1115">
        <v>11</v>
      </c>
      <c r="C1115" t="s">
        <v>973</v>
      </c>
      <c r="D1115" t="s">
        <v>472</v>
      </c>
      <c r="E1115">
        <v>8</v>
      </c>
      <c r="F1115">
        <v>8.93</v>
      </c>
      <c r="G1115">
        <v>30.25</v>
      </c>
      <c r="H1115" t="s">
        <v>87</v>
      </c>
      <c r="I1115" t="s">
        <v>87</v>
      </c>
      <c r="J1115" t="s">
        <v>49</v>
      </c>
      <c r="K1115">
        <f t="shared" si="204"/>
        <v>88.670000000000016</v>
      </c>
      <c r="L1115">
        <f t="shared" si="205"/>
        <v>334.39179999999999</v>
      </c>
      <c r="M1115" t="str">
        <f t="shared" si="206"/>
        <v>comp-11</v>
      </c>
      <c r="N1115" t="str">
        <f>INDEX(Scores!$A$2:$A$11,INDEX(Scores!$AA$2:$AA$131,MATCH(C1115,Scores!$AB$2:$AB$131,0)))</f>
        <v>comp</v>
      </c>
      <c r="O1115">
        <f t="shared" si="207"/>
        <v>98.580000000000013</v>
      </c>
      <c r="P1115">
        <f t="shared" si="208"/>
        <v>364.4375</v>
      </c>
      <c r="Q1115" s="3">
        <f t="shared" si="209"/>
        <v>0.35387619533584119</v>
      </c>
      <c r="R1115" s="3">
        <f t="shared" si="210"/>
        <v>0.33752386019860681</v>
      </c>
      <c r="S1115" s="9">
        <f t="shared" si="211"/>
        <v>-1.6352335137234386E-2</v>
      </c>
      <c r="T1115">
        <f t="shared" si="212"/>
        <v>102</v>
      </c>
      <c r="U1115">
        <f t="shared" si="213"/>
        <v>111</v>
      </c>
      <c r="V1115" s="3">
        <f t="shared" si="214"/>
        <v>7.1150939831622378E-2</v>
      </c>
      <c r="W1115" s="9">
        <f t="shared" si="215"/>
        <v>-7.1150939831622378E-2</v>
      </c>
      <c r="AC1115"/>
    </row>
    <row r="1116" spans="1:29" x14ac:dyDescent="0.25">
      <c r="A1116" t="s">
        <v>165</v>
      </c>
      <c r="B1116">
        <v>4</v>
      </c>
      <c r="C1116" t="s">
        <v>857</v>
      </c>
      <c r="D1116" t="s">
        <v>475</v>
      </c>
      <c r="E1116">
        <v>5</v>
      </c>
      <c r="F1116">
        <v>8.2899999999999991</v>
      </c>
      <c r="G1116">
        <v>35.521599999999999</v>
      </c>
      <c r="H1116" t="s">
        <v>114</v>
      </c>
      <c r="I1116" t="s">
        <v>114</v>
      </c>
      <c r="J1116" t="s">
        <v>44</v>
      </c>
      <c r="K1116">
        <f t="shared" si="204"/>
        <v>104.32</v>
      </c>
      <c r="L1116">
        <f t="shared" si="205"/>
        <v>390.96559999999999</v>
      </c>
      <c r="M1116" t="str">
        <f t="shared" si="206"/>
        <v>chad-4</v>
      </c>
      <c r="N1116" t="str">
        <f>INDEX(Scores!$A$2:$A$11,INDEX(Scores!$AA$2:$AA$131,MATCH(C1116,Scores!$AB$2:$AB$131,0)))</f>
        <v>chad</v>
      </c>
      <c r="O1116">
        <f t="shared" si="207"/>
        <v>99.8</v>
      </c>
      <c r="P1116">
        <f t="shared" si="208"/>
        <v>351.46400000000006</v>
      </c>
      <c r="Q1116" s="3">
        <f t="shared" si="209"/>
        <v>0.56587682676878348</v>
      </c>
      <c r="R1116" s="3">
        <f t="shared" si="210"/>
        <v>0.5184492553043103</v>
      </c>
      <c r="S1116" s="9">
        <f t="shared" si="211"/>
        <v>-4.7427571464473184E-2</v>
      </c>
      <c r="T1116">
        <f t="shared" si="212"/>
        <v>111</v>
      </c>
      <c r="U1116">
        <f t="shared" si="213"/>
        <v>123</v>
      </c>
      <c r="V1116" s="3">
        <f t="shared" si="214"/>
        <v>7.1951561839774775E-2</v>
      </c>
      <c r="W1116" s="9">
        <f t="shared" si="215"/>
        <v>-7.1951561839774775E-2</v>
      </c>
      <c r="AC1116"/>
    </row>
    <row r="1117" spans="1:29" x14ac:dyDescent="0.25">
      <c r="A1117" t="s">
        <v>406</v>
      </c>
      <c r="B1117">
        <v>2</v>
      </c>
      <c r="C1117" t="s">
        <v>636</v>
      </c>
      <c r="D1117" t="s">
        <v>477</v>
      </c>
      <c r="E1117">
        <v>2</v>
      </c>
      <c r="F1117">
        <v>6.5</v>
      </c>
      <c r="G1117">
        <v>27.5625</v>
      </c>
      <c r="H1117" t="s">
        <v>477</v>
      </c>
      <c r="I1117" t="s">
        <v>477</v>
      </c>
      <c r="J1117" t="s">
        <v>49</v>
      </c>
      <c r="K1117">
        <f t="shared" si="204"/>
        <v>101.3</v>
      </c>
      <c r="L1117">
        <f t="shared" si="205"/>
        <v>329.14109999999999</v>
      </c>
      <c r="M1117" t="str">
        <f t="shared" si="206"/>
        <v>seth-2</v>
      </c>
      <c r="N1117" t="str">
        <f>INDEX(Scores!$A$2:$A$11,INDEX(Scores!$AA$2:$AA$131,MATCH(C1117,Scores!$AB$2:$AB$131,0)))</f>
        <v>seth</v>
      </c>
      <c r="O1117">
        <f t="shared" si="207"/>
        <v>91.78</v>
      </c>
      <c r="P1117">
        <f t="shared" si="208"/>
        <v>333.71719999999993</v>
      </c>
      <c r="Q1117" s="3">
        <f t="shared" si="209"/>
        <v>0.64422145537573039</v>
      </c>
      <c r="R1117" s="3">
        <f t="shared" si="210"/>
        <v>0.57893364662950386</v>
      </c>
      <c r="S1117" s="9">
        <f t="shared" si="211"/>
        <v>-6.5287808746226528E-2</v>
      </c>
      <c r="T1117">
        <f t="shared" si="212"/>
        <v>70</v>
      </c>
      <c r="U1117">
        <f t="shared" si="213"/>
        <v>82</v>
      </c>
      <c r="V1117" s="3">
        <f t="shared" si="214"/>
        <v>7.6563725509834743E-2</v>
      </c>
      <c r="W1117" s="9">
        <f t="shared" si="215"/>
        <v>-7.6563725509834743E-2</v>
      </c>
      <c r="AC1117"/>
    </row>
    <row r="1118" spans="1:29" x14ac:dyDescent="0.25">
      <c r="A1118" t="s">
        <v>130</v>
      </c>
      <c r="B1118">
        <v>4</v>
      </c>
      <c r="C1118" t="s">
        <v>862</v>
      </c>
      <c r="D1118" t="s">
        <v>466</v>
      </c>
      <c r="E1118">
        <v>8</v>
      </c>
      <c r="F1118">
        <v>10.73</v>
      </c>
      <c r="G1118">
        <v>42.902500000000003</v>
      </c>
      <c r="H1118" t="s">
        <v>466</v>
      </c>
      <c r="I1118" t="s">
        <v>47</v>
      </c>
      <c r="J1118" t="s">
        <v>23</v>
      </c>
      <c r="K1118">
        <f t="shared" si="204"/>
        <v>111.07000000000001</v>
      </c>
      <c r="L1118">
        <f t="shared" si="205"/>
        <v>406.62959999999998</v>
      </c>
      <c r="M1118" t="str">
        <f t="shared" si="206"/>
        <v>devon-4</v>
      </c>
      <c r="N1118" t="str">
        <f>INDEX(Scores!$A$2:$A$11,INDEX(Scores!$AA$2:$AA$131,MATCH(C1118,Scores!$AB$2:$AB$131,0)))</f>
        <v>devon</v>
      </c>
      <c r="O1118">
        <f t="shared" si="207"/>
        <v>99.78</v>
      </c>
      <c r="P1118">
        <f t="shared" si="208"/>
        <v>369.21209999999996</v>
      </c>
      <c r="Q1118" s="3">
        <f t="shared" si="209"/>
        <v>0.65738205274668193</v>
      </c>
      <c r="R1118" s="3">
        <f t="shared" si="210"/>
        <v>0.62406854677396129</v>
      </c>
      <c r="S1118" s="9">
        <f t="shared" si="211"/>
        <v>-3.3313505972720647E-2</v>
      </c>
      <c r="T1118">
        <f t="shared" si="212"/>
        <v>72</v>
      </c>
      <c r="U1118">
        <f t="shared" si="213"/>
        <v>84</v>
      </c>
      <c r="V1118" s="3">
        <f t="shared" si="214"/>
        <v>7.8495087620208612E-2</v>
      </c>
      <c r="W1118" s="9">
        <f t="shared" si="215"/>
        <v>-7.8495087620208612E-2</v>
      </c>
      <c r="AC1118"/>
    </row>
    <row r="1119" spans="1:29" x14ac:dyDescent="0.25">
      <c r="A1119" t="s">
        <v>98</v>
      </c>
      <c r="B1119">
        <v>3</v>
      </c>
      <c r="C1119" t="s">
        <v>808</v>
      </c>
      <c r="D1119" t="s">
        <v>466</v>
      </c>
      <c r="E1119">
        <v>17</v>
      </c>
      <c r="F1119">
        <v>10.88</v>
      </c>
      <c r="G1119">
        <v>100.6009</v>
      </c>
      <c r="H1119" t="s">
        <v>466</v>
      </c>
      <c r="I1119" t="s">
        <v>87</v>
      </c>
      <c r="J1119" t="s">
        <v>44</v>
      </c>
      <c r="K1119">
        <f t="shared" si="204"/>
        <v>94.54</v>
      </c>
      <c r="L1119">
        <f t="shared" si="205"/>
        <v>356.43470000000002</v>
      </c>
      <c r="M1119" t="str">
        <f t="shared" si="206"/>
        <v>aj-3</v>
      </c>
      <c r="N1119" t="str">
        <f>INDEX(Scores!$A$2:$A$11,INDEX(Scores!$AA$2:$AA$131,MATCH(C1119,Scores!$AB$2:$AB$131,0)))</f>
        <v>aj</v>
      </c>
      <c r="O1119">
        <f t="shared" si="207"/>
        <v>107.31</v>
      </c>
      <c r="P1119">
        <f t="shared" si="208"/>
        <v>425.77620000000002</v>
      </c>
      <c r="Q1119" s="3">
        <f t="shared" si="209"/>
        <v>0.3239819129085153</v>
      </c>
      <c r="R1119" s="3">
        <f t="shared" si="210"/>
        <v>0.39947180807317262</v>
      </c>
      <c r="S1119" s="9">
        <f t="shared" si="211"/>
        <v>7.5489895164657317E-2</v>
      </c>
      <c r="T1119">
        <f t="shared" si="212"/>
        <v>88</v>
      </c>
      <c r="U1119">
        <f t="shared" si="213"/>
        <v>96</v>
      </c>
      <c r="V1119" s="3">
        <f t="shared" si="214"/>
        <v>7.9598605350410565E-2</v>
      </c>
      <c r="W1119" s="9">
        <f t="shared" si="215"/>
        <v>-7.9598605350410565E-2</v>
      </c>
      <c r="AC1119"/>
    </row>
    <row r="1120" spans="1:29" x14ac:dyDescent="0.25">
      <c r="A1120" t="s">
        <v>99</v>
      </c>
      <c r="B1120">
        <v>8</v>
      </c>
      <c r="C1120" t="s">
        <v>914</v>
      </c>
      <c r="D1120" t="s">
        <v>468</v>
      </c>
      <c r="E1120">
        <v>18</v>
      </c>
      <c r="F1120">
        <v>10.25</v>
      </c>
      <c r="G1120">
        <v>39.312899999999999</v>
      </c>
      <c r="H1120" t="s">
        <v>47</v>
      </c>
      <c r="I1120" t="s">
        <v>47</v>
      </c>
      <c r="J1120" t="s">
        <v>16</v>
      </c>
      <c r="K1120">
        <f t="shared" si="204"/>
        <v>106.3</v>
      </c>
      <c r="L1120">
        <f t="shared" si="205"/>
        <v>423.11159999999995</v>
      </c>
      <c r="M1120" t="str">
        <f t="shared" si="206"/>
        <v>matty-8</v>
      </c>
      <c r="N1120" t="str">
        <f>INDEX(Scores!$A$2:$A$11,INDEX(Scores!$AA$2:$AA$131,MATCH(C1120,Scores!$AB$2:$AB$131,0)))</f>
        <v>matty</v>
      </c>
      <c r="O1120">
        <f t="shared" si="207"/>
        <v>88.500000000000014</v>
      </c>
      <c r="P1120">
        <f t="shared" si="208"/>
        <v>351.30459999999999</v>
      </c>
      <c r="Q1120" s="3">
        <f t="shared" si="209"/>
        <v>0.7387953106518842</v>
      </c>
      <c r="R1120" s="3">
        <f t="shared" si="210"/>
        <v>0.82699575095441835</v>
      </c>
      <c r="S1120" s="9">
        <f t="shared" si="211"/>
        <v>8.8200440302534155E-2</v>
      </c>
      <c r="T1120">
        <f t="shared" si="212"/>
        <v>106</v>
      </c>
      <c r="U1120">
        <f t="shared" si="213"/>
        <v>107</v>
      </c>
      <c r="V1120" s="3">
        <f t="shared" si="214"/>
        <v>8.1427390928248647E-2</v>
      </c>
      <c r="W1120" s="9">
        <f t="shared" si="215"/>
        <v>-8.1427390928248647E-2</v>
      </c>
      <c r="AC1120"/>
    </row>
    <row r="1121" spans="1:29" x14ac:dyDescent="0.25">
      <c r="A1121" t="s">
        <v>106</v>
      </c>
      <c r="B1121">
        <v>4</v>
      </c>
      <c r="C1121" t="s">
        <v>862</v>
      </c>
      <c r="D1121" t="s">
        <v>471</v>
      </c>
      <c r="E1121">
        <v>9</v>
      </c>
      <c r="F1121">
        <v>10.76</v>
      </c>
      <c r="G1121">
        <v>54.464399999999998</v>
      </c>
      <c r="H1121" t="s">
        <v>87</v>
      </c>
      <c r="I1121" t="s">
        <v>87</v>
      </c>
      <c r="J1121" t="s">
        <v>23</v>
      </c>
      <c r="K1121">
        <f t="shared" si="204"/>
        <v>111.07000000000001</v>
      </c>
      <c r="L1121">
        <f t="shared" si="205"/>
        <v>406.62959999999998</v>
      </c>
      <c r="M1121" t="str">
        <f t="shared" si="206"/>
        <v>devon-4</v>
      </c>
      <c r="N1121" t="str">
        <f>INDEX(Scores!$A$2:$A$11,INDEX(Scores!$AA$2:$AA$131,MATCH(C1121,Scores!$AB$2:$AB$131,0)))</f>
        <v>devon</v>
      </c>
      <c r="O1121">
        <f t="shared" si="207"/>
        <v>99.78</v>
      </c>
      <c r="P1121">
        <f t="shared" si="208"/>
        <v>369.21209999999996</v>
      </c>
      <c r="Q1121" s="3">
        <f t="shared" si="209"/>
        <v>0.65738205274668193</v>
      </c>
      <c r="R1121" s="3">
        <f t="shared" si="210"/>
        <v>0.63863887146125187</v>
      </c>
      <c r="S1121" s="9">
        <f t="shared" si="211"/>
        <v>-1.8743181285430066E-2</v>
      </c>
      <c r="T1121">
        <f t="shared" si="212"/>
        <v>72</v>
      </c>
      <c r="U1121">
        <f t="shared" si="213"/>
        <v>84</v>
      </c>
      <c r="V1121" s="3">
        <f t="shared" si="214"/>
        <v>8.2639514475463804E-2</v>
      </c>
      <c r="W1121" s="9">
        <f t="shared" si="215"/>
        <v>-8.2639514475463804E-2</v>
      </c>
      <c r="AC1121"/>
    </row>
    <row r="1122" spans="1:29" x14ac:dyDescent="0.25">
      <c r="A1122" t="s">
        <v>138</v>
      </c>
      <c r="B1122">
        <v>3</v>
      </c>
      <c r="C1122" t="s">
        <v>808</v>
      </c>
      <c r="D1122" t="s">
        <v>468</v>
      </c>
      <c r="E1122">
        <v>8</v>
      </c>
      <c r="F1122">
        <v>8.83</v>
      </c>
      <c r="G1122">
        <v>26.9361</v>
      </c>
      <c r="H1122" t="s">
        <v>47</v>
      </c>
      <c r="I1122" t="s">
        <v>47</v>
      </c>
      <c r="J1122" t="s">
        <v>44</v>
      </c>
      <c r="K1122">
        <f t="shared" si="204"/>
        <v>94.54</v>
      </c>
      <c r="L1122">
        <f t="shared" si="205"/>
        <v>356.43470000000002</v>
      </c>
      <c r="M1122" t="str">
        <f t="shared" si="206"/>
        <v>aj-3</v>
      </c>
      <c r="N1122" t="str">
        <f>INDEX(Scores!$A$2:$A$11,INDEX(Scores!$AA$2:$AA$131,MATCH(C1122,Scores!$AB$2:$AB$131,0)))</f>
        <v>aj</v>
      </c>
      <c r="O1122">
        <f t="shared" si="207"/>
        <v>107.31</v>
      </c>
      <c r="P1122">
        <f t="shared" si="208"/>
        <v>425.77620000000002</v>
      </c>
      <c r="Q1122" s="3">
        <f t="shared" si="209"/>
        <v>0.3239819129085153</v>
      </c>
      <c r="R1122" s="3">
        <f t="shared" si="210"/>
        <v>0.31034784085442157</v>
      </c>
      <c r="S1122" s="9">
        <f t="shared" si="211"/>
        <v>-1.3634072054093727E-2</v>
      </c>
      <c r="T1122">
        <f t="shared" si="212"/>
        <v>88</v>
      </c>
      <c r="U1122">
        <f t="shared" si="213"/>
        <v>96</v>
      </c>
      <c r="V1122" s="3">
        <f t="shared" si="214"/>
        <v>8.3562194895427613E-2</v>
      </c>
      <c r="W1122" s="9">
        <f t="shared" si="215"/>
        <v>-8.3562194895427613E-2</v>
      </c>
      <c r="AC1122"/>
    </row>
    <row r="1123" spans="1:29" x14ac:dyDescent="0.25">
      <c r="A1123" t="s">
        <v>43</v>
      </c>
      <c r="B1123">
        <v>7</v>
      </c>
      <c r="C1123" t="s">
        <v>977</v>
      </c>
      <c r="D1123" t="s">
        <v>467</v>
      </c>
      <c r="E1123">
        <v>23</v>
      </c>
      <c r="F1123">
        <v>17.55</v>
      </c>
      <c r="G1123">
        <v>50.552100000000003</v>
      </c>
      <c r="H1123" t="s">
        <v>15</v>
      </c>
      <c r="I1123" t="s">
        <v>15</v>
      </c>
      <c r="J1123" t="s">
        <v>44</v>
      </c>
      <c r="K1123">
        <f t="shared" si="204"/>
        <v>96.25</v>
      </c>
      <c r="L1123">
        <f t="shared" si="205"/>
        <v>294.3</v>
      </c>
      <c r="M1123" t="str">
        <f t="shared" si="206"/>
        <v>cory-7</v>
      </c>
      <c r="N1123" t="str">
        <f>INDEX(Scores!$A$2:$A$11,INDEX(Scores!$AA$2:$AA$131,MATCH(C1123,Scores!$AB$2:$AB$131,0)))</f>
        <v>cory</v>
      </c>
      <c r="O1123">
        <f t="shared" si="207"/>
        <v>86.09</v>
      </c>
      <c r="P1123">
        <f t="shared" si="208"/>
        <v>350.80079999999998</v>
      </c>
      <c r="Q1123" s="3">
        <f t="shared" si="209"/>
        <v>0.65542850055780277</v>
      </c>
      <c r="R1123" s="3">
        <f t="shared" si="210"/>
        <v>0.73897560217056224</v>
      </c>
      <c r="S1123" s="9">
        <f t="shared" si="211"/>
        <v>8.3547101612759467E-2</v>
      </c>
      <c r="T1123">
        <f t="shared" si="212"/>
        <v>81</v>
      </c>
      <c r="U1123">
        <f t="shared" si="213"/>
        <v>85</v>
      </c>
      <c r="V1123" s="3">
        <f t="shared" si="214"/>
        <v>9.190519357721455E-2</v>
      </c>
      <c r="W1123" s="9">
        <f t="shared" si="215"/>
        <v>-9.190519357721455E-2</v>
      </c>
      <c r="AC1123"/>
    </row>
    <row r="1124" spans="1:29" x14ac:dyDescent="0.25">
      <c r="A1124" t="s">
        <v>138</v>
      </c>
      <c r="B1124">
        <v>8</v>
      </c>
      <c r="C1124" t="s">
        <v>978</v>
      </c>
      <c r="D1124" t="s">
        <v>468</v>
      </c>
      <c r="E1124">
        <v>11</v>
      </c>
      <c r="F1124">
        <v>14.31</v>
      </c>
      <c r="G1124">
        <v>81.360399999999998</v>
      </c>
      <c r="H1124" t="s">
        <v>47</v>
      </c>
      <c r="I1124" t="s">
        <v>47</v>
      </c>
      <c r="J1124" t="s">
        <v>44</v>
      </c>
      <c r="K1124">
        <f t="shared" si="204"/>
        <v>96.57</v>
      </c>
      <c r="L1124">
        <f t="shared" si="205"/>
        <v>368.03749999999997</v>
      </c>
      <c r="M1124" t="str">
        <f t="shared" si="206"/>
        <v>devon-8</v>
      </c>
      <c r="N1124" t="str">
        <f>INDEX(Scores!$A$2:$A$11,INDEX(Scores!$AA$2:$AA$131,MATCH(C1124,Scores!$AB$2:$AB$131,0)))</f>
        <v>devon</v>
      </c>
      <c r="O1124">
        <f t="shared" si="207"/>
        <v>102.43</v>
      </c>
      <c r="P1124">
        <f t="shared" si="208"/>
        <v>452.86560000000003</v>
      </c>
      <c r="Q1124" s="3">
        <f t="shared" si="209"/>
        <v>0.41897065981019621</v>
      </c>
      <c r="R1124" s="3">
        <f t="shared" si="210"/>
        <v>0.36798302695857832</v>
      </c>
      <c r="S1124" s="9">
        <f t="shared" si="211"/>
        <v>-5.0987632851617892E-2</v>
      </c>
      <c r="T1124">
        <f t="shared" si="212"/>
        <v>85</v>
      </c>
      <c r="U1124">
        <f t="shared" si="213"/>
        <v>100</v>
      </c>
      <c r="V1124" s="3">
        <f t="shared" si="214"/>
        <v>9.7486214643436278E-2</v>
      </c>
      <c r="W1124" s="9">
        <f t="shared" si="215"/>
        <v>-9.7486214643436278E-2</v>
      </c>
      <c r="AC1124"/>
    </row>
    <row r="1125" spans="1:29" x14ac:dyDescent="0.25">
      <c r="A1125" t="s">
        <v>435</v>
      </c>
      <c r="B1125">
        <v>9</v>
      </c>
      <c r="C1125" t="s">
        <v>931</v>
      </c>
      <c r="D1125" t="s">
        <v>477</v>
      </c>
      <c r="E1125">
        <v>6</v>
      </c>
      <c r="F1125">
        <v>5.97</v>
      </c>
      <c r="G1125">
        <v>38.44</v>
      </c>
      <c r="H1125" t="s">
        <v>477</v>
      </c>
      <c r="I1125" t="s">
        <v>477</v>
      </c>
      <c r="J1125" t="s">
        <v>35</v>
      </c>
      <c r="K1125">
        <f t="shared" si="204"/>
        <v>104.66</v>
      </c>
      <c r="L1125">
        <f t="shared" si="205"/>
        <v>474.51049999999998</v>
      </c>
      <c r="M1125" t="str">
        <f t="shared" si="206"/>
        <v>cory-9</v>
      </c>
      <c r="N1125" t="str">
        <f>INDEX(Scores!$A$2:$A$11,INDEX(Scores!$AA$2:$AA$131,MATCH(C1125,Scores!$AB$2:$AB$131,0)))</f>
        <v>cory</v>
      </c>
      <c r="O1125">
        <f t="shared" si="207"/>
        <v>90.69</v>
      </c>
      <c r="P1125">
        <f t="shared" si="208"/>
        <v>356.05790000000002</v>
      </c>
      <c r="Q1125" s="3">
        <f t="shared" si="209"/>
        <v>0.68606954461640712</v>
      </c>
      <c r="R1125" s="3">
        <f t="shared" si="210"/>
        <v>0.69055637409746706</v>
      </c>
      <c r="S1125" s="9">
        <f t="shared" si="211"/>
        <v>4.4868294810599396E-3</v>
      </c>
      <c r="T1125">
        <f t="shared" si="212"/>
        <v>81</v>
      </c>
      <c r="U1125">
        <f t="shared" si="213"/>
        <v>89</v>
      </c>
      <c r="V1125" s="3">
        <f t="shared" si="214"/>
        <v>9.7632297653062902E-2</v>
      </c>
      <c r="W1125" s="9">
        <f t="shared" si="215"/>
        <v>-9.7632297653062902E-2</v>
      </c>
      <c r="AC1125"/>
    </row>
    <row r="1126" spans="1:29" x14ac:dyDescent="0.25">
      <c r="A1126" t="s">
        <v>162</v>
      </c>
      <c r="B1126">
        <v>7</v>
      </c>
      <c r="C1126" t="s">
        <v>937</v>
      </c>
      <c r="D1126" t="s">
        <v>475</v>
      </c>
      <c r="E1126">
        <v>11</v>
      </c>
      <c r="F1126">
        <v>6.52</v>
      </c>
      <c r="G1126">
        <v>25.401599999999998</v>
      </c>
      <c r="H1126" t="s">
        <v>114</v>
      </c>
      <c r="I1126" t="s">
        <v>114</v>
      </c>
      <c r="J1126" t="s">
        <v>27</v>
      </c>
      <c r="K1126">
        <f t="shared" si="204"/>
        <v>94.610000000000014</v>
      </c>
      <c r="L1126">
        <f t="shared" si="205"/>
        <v>333.25760000000002</v>
      </c>
      <c r="M1126" t="str">
        <f t="shared" si="206"/>
        <v>lucas-7</v>
      </c>
      <c r="N1126" t="str">
        <f>INDEX(Scores!$A$2:$A$11,INDEX(Scores!$AA$2:$AA$131,MATCH(C1126,Scores!$AB$2:$AB$131,0)))</f>
        <v>lucas</v>
      </c>
      <c r="O1126">
        <f t="shared" si="207"/>
        <v>0</v>
      </c>
      <c r="P1126">
        <f t="shared" si="208"/>
        <v>0</v>
      </c>
      <c r="Q1126" s="3">
        <f t="shared" si="209"/>
        <v>0.99999989058825289</v>
      </c>
      <c r="R1126" s="3">
        <f t="shared" si="210"/>
        <v>0.99999999185997135</v>
      </c>
      <c r="S1126" s="9">
        <f t="shared" si="211"/>
        <v>1.012717184556422E-7</v>
      </c>
      <c r="T1126">
        <f t="shared" si="212"/>
        <v>73</v>
      </c>
      <c r="U1126">
        <f t="shared" si="213"/>
        <v>0</v>
      </c>
      <c r="V1126" s="3">
        <f t="shared" si="214"/>
        <v>1</v>
      </c>
      <c r="W1126" s="9">
        <f t="shared" si="215"/>
        <v>0</v>
      </c>
      <c r="AC1126"/>
    </row>
    <row r="1127" spans="1:29" x14ac:dyDescent="0.25">
      <c r="A1127" t="s">
        <v>247</v>
      </c>
      <c r="B1127">
        <v>7</v>
      </c>
      <c r="C1127" t="s">
        <v>977</v>
      </c>
      <c r="D1127" t="s">
        <v>475</v>
      </c>
      <c r="E1127">
        <v>8</v>
      </c>
      <c r="F1127">
        <v>5.68</v>
      </c>
      <c r="G1127">
        <v>24.403600000000001</v>
      </c>
      <c r="H1127" t="s">
        <v>114</v>
      </c>
      <c r="I1127" t="s">
        <v>114</v>
      </c>
      <c r="J1127" t="s">
        <v>44</v>
      </c>
      <c r="K1127">
        <f t="shared" si="204"/>
        <v>96.25</v>
      </c>
      <c r="L1127">
        <f t="shared" si="205"/>
        <v>294.3</v>
      </c>
      <c r="M1127" t="str">
        <f t="shared" si="206"/>
        <v>cory-7</v>
      </c>
      <c r="N1127" t="str">
        <f>INDEX(Scores!$A$2:$A$11,INDEX(Scores!$AA$2:$AA$131,MATCH(C1127,Scores!$AB$2:$AB$131,0)))</f>
        <v>cory</v>
      </c>
      <c r="O1127">
        <f t="shared" si="207"/>
        <v>86.09</v>
      </c>
      <c r="P1127">
        <f t="shared" si="208"/>
        <v>350.80079999999998</v>
      </c>
      <c r="Q1127" s="3">
        <f t="shared" si="209"/>
        <v>0.65542850055780277</v>
      </c>
      <c r="R1127" s="3">
        <f t="shared" si="210"/>
        <v>0.69178885220019626</v>
      </c>
      <c r="S1127" s="9">
        <f t="shared" si="211"/>
        <v>3.6360351642393485E-2</v>
      </c>
      <c r="T1127">
        <f t="shared" si="212"/>
        <v>81</v>
      </c>
      <c r="U1127">
        <f t="shared" si="213"/>
        <v>85</v>
      </c>
      <c r="V1127" s="3">
        <f t="shared" si="214"/>
        <v>0.10038652445003773</v>
      </c>
      <c r="W1127" s="9">
        <f t="shared" si="215"/>
        <v>-0.10038652445003773</v>
      </c>
      <c r="AC1127"/>
    </row>
    <row r="1128" spans="1:29" x14ac:dyDescent="0.25">
      <c r="A1128" t="s">
        <v>138</v>
      </c>
      <c r="B1128">
        <v>4</v>
      </c>
      <c r="C1128" t="s">
        <v>857</v>
      </c>
      <c r="D1128" t="s">
        <v>468</v>
      </c>
      <c r="E1128">
        <v>5</v>
      </c>
      <c r="F1128">
        <v>9.35</v>
      </c>
      <c r="G1128">
        <v>35.760399999999997</v>
      </c>
      <c r="H1128" t="s">
        <v>47</v>
      </c>
      <c r="I1128" t="s">
        <v>47</v>
      </c>
      <c r="J1128" t="s">
        <v>44</v>
      </c>
      <c r="K1128">
        <f t="shared" si="204"/>
        <v>104.32</v>
      </c>
      <c r="L1128">
        <f t="shared" si="205"/>
        <v>390.96559999999999</v>
      </c>
      <c r="M1128" t="str">
        <f t="shared" si="206"/>
        <v>chad-4</v>
      </c>
      <c r="N1128" t="str">
        <f>INDEX(Scores!$A$2:$A$11,INDEX(Scores!$AA$2:$AA$131,MATCH(C1128,Scores!$AB$2:$AB$131,0)))</f>
        <v>chad</v>
      </c>
      <c r="O1128">
        <f t="shared" si="207"/>
        <v>99.8</v>
      </c>
      <c r="P1128">
        <f t="shared" si="208"/>
        <v>351.46400000000006</v>
      </c>
      <c r="Q1128" s="3">
        <f t="shared" si="209"/>
        <v>0.56587682676878348</v>
      </c>
      <c r="R1128" s="3">
        <f t="shared" si="210"/>
        <v>0.50255122020351384</v>
      </c>
      <c r="S1128" s="9">
        <f t="shared" si="211"/>
        <v>-6.3325606565269643E-2</v>
      </c>
      <c r="T1128">
        <f t="shared" si="212"/>
        <v>111</v>
      </c>
      <c r="U1128">
        <f t="shared" si="213"/>
        <v>123</v>
      </c>
      <c r="V1128" s="3">
        <f t="shared" si="214"/>
        <v>0.10040201495929606</v>
      </c>
      <c r="W1128" s="9">
        <f t="shared" si="215"/>
        <v>-0.10040201495929606</v>
      </c>
      <c r="AC1128"/>
    </row>
    <row r="1129" spans="1:29" x14ac:dyDescent="0.25">
      <c r="A1129" t="s">
        <v>104</v>
      </c>
      <c r="B1129">
        <v>10</v>
      </c>
      <c r="C1129" t="s">
        <v>980</v>
      </c>
      <c r="D1129" t="s">
        <v>473</v>
      </c>
      <c r="E1129">
        <v>17</v>
      </c>
      <c r="F1129">
        <v>11.45</v>
      </c>
      <c r="G1129">
        <v>57.153599999999997</v>
      </c>
      <c r="H1129" t="s">
        <v>87</v>
      </c>
      <c r="I1129" t="s">
        <v>87</v>
      </c>
      <c r="J1129" t="s">
        <v>44</v>
      </c>
      <c r="K1129">
        <f t="shared" si="204"/>
        <v>104.52999999999999</v>
      </c>
      <c r="L1129">
        <f t="shared" si="205"/>
        <v>446.11959999999999</v>
      </c>
      <c r="M1129" t="str">
        <f t="shared" si="206"/>
        <v>matty-10</v>
      </c>
      <c r="N1129" t="str">
        <f>INDEX(Scores!$A$2:$A$11,INDEX(Scores!$AA$2:$AA$131,MATCH(C1129,Scores!$AB$2:$AB$131,0)))</f>
        <v>matty</v>
      </c>
      <c r="O1129">
        <f t="shared" si="207"/>
        <v>80.72</v>
      </c>
      <c r="P1129">
        <f t="shared" si="208"/>
        <v>274.11410000000001</v>
      </c>
      <c r="Q1129" s="3">
        <f t="shared" si="209"/>
        <v>0.81251501229102341</v>
      </c>
      <c r="R1129" s="3">
        <f t="shared" si="210"/>
        <v>0.87289414161729528</v>
      </c>
      <c r="S1129" s="9">
        <f t="shared" si="211"/>
        <v>6.0379129326271874E-2</v>
      </c>
      <c r="T1129">
        <f t="shared" si="212"/>
        <v>80</v>
      </c>
      <c r="U1129">
        <f t="shared" si="213"/>
        <v>84</v>
      </c>
      <c r="V1129" s="3">
        <f t="shared" si="214"/>
        <v>0.10325371391643051</v>
      </c>
      <c r="W1129" s="9">
        <f t="shared" si="215"/>
        <v>-0.10325371391643051</v>
      </c>
      <c r="AC1129"/>
    </row>
    <row r="1130" spans="1:29" x14ac:dyDescent="0.25">
      <c r="A1130" t="s">
        <v>132</v>
      </c>
      <c r="B1130">
        <v>5</v>
      </c>
      <c r="C1130" t="s">
        <v>882</v>
      </c>
      <c r="D1130" t="s">
        <v>469</v>
      </c>
      <c r="E1130">
        <v>11</v>
      </c>
      <c r="F1130">
        <v>8.8699999999999992</v>
      </c>
      <c r="G1130">
        <v>42.902500000000003</v>
      </c>
      <c r="H1130" t="s">
        <v>47</v>
      </c>
      <c r="I1130" t="s">
        <v>47</v>
      </c>
      <c r="J1130" t="s">
        <v>44</v>
      </c>
      <c r="K1130">
        <f t="shared" si="204"/>
        <v>98.72999999999999</v>
      </c>
      <c r="L1130">
        <f t="shared" si="205"/>
        <v>396.28840000000002</v>
      </c>
      <c r="M1130" t="str">
        <f t="shared" si="206"/>
        <v>perry-5</v>
      </c>
      <c r="N1130" t="str">
        <f>INDEX(Scores!$A$2:$A$11,INDEX(Scores!$AA$2:$AA$131,MATCH(C1130,Scores!$AB$2:$AB$131,0)))</f>
        <v>perry</v>
      </c>
      <c r="O1130">
        <f t="shared" si="207"/>
        <v>97.27</v>
      </c>
      <c r="P1130">
        <f t="shared" si="208"/>
        <v>430.39269999999999</v>
      </c>
      <c r="Q1130" s="3">
        <f t="shared" si="209"/>
        <v>0.52024917394329329</v>
      </c>
      <c r="R1130" s="3">
        <f t="shared" si="210"/>
        <v>0.55101746722401623</v>
      </c>
      <c r="S1130" s="9">
        <f t="shared" si="211"/>
        <v>3.0768293280722947E-2</v>
      </c>
      <c r="T1130">
        <f t="shared" si="212"/>
        <v>90</v>
      </c>
      <c r="U1130">
        <f t="shared" si="213"/>
        <v>96</v>
      </c>
      <c r="V1130" s="3">
        <f t="shared" si="214"/>
        <v>0.10726199049553498</v>
      </c>
      <c r="W1130" s="9">
        <f t="shared" si="215"/>
        <v>-0.10726199049553498</v>
      </c>
      <c r="AC1130"/>
    </row>
    <row r="1131" spans="1:29" x14ac:dyDescent="0.25">
      <c r="A1131" t="s">
        <v>138</v>
      </c>
      <c r="B1131">
        <v>7</v>
      </c>
      <c r="C1131" t="s">
        <v>977</v>
      </c>
      <c r="D1131" t="s">
        <v>468</v>
      </c>
      <c r="E1131">
        <v>16</v>
      </c>
      <c r="F1131">
        <v>11.85</v>
      </c>
      <c r="G1131">
        <v>43.428100000000001</v>
      </c>
      <c r="H1131" t="s">
        <v>47</v>
      </c>
      <c r="I1131" t="s">
        <v>47</v>
      </c>
      <c r="J1131" t="s">
        <v>44</v>
      </c>
      <c r="K1131">
        <f t="shared" si="204"/>
        <v>96.25</v>
      </c>
      <c r="L1131">
        <f t="shared" si="205"/>
        <v>294.3</v>
      </c>
      <c r="M1131" t="str">
        <f t="shared" si="206"/>
        <v>cory-7</v>
      </c>
      <c r="N1131" t="str">
        <f>INDEX(Scores!$A$2:$A$11,INDEX(Scores!$AA$2:$AA$131,MATCH(C1131,Scores!$AB$2:$AB$131,0)))</f>
        <v>cory</v>
      </c>
      <c r="O1131">
        <f t="shared" si="207"/>
        <v>86.09</v>
      </c>
      <c r="P1131">
        <f t="shared" si="208"/>
        <v>350.80079999999998</v>
      </c>
      <c r="Q1131" s="3">
        <f t="shared" si="209"/>
        <v>0.65542850055780277</v>
      </c>
      <c r="R1131" s="3">
        <f t="shared" si="210"/>
        <v>0.72018483195907046</v>
      </c>
      <c r="S1131" s="9">
        <f t="shared" si="211"/>
        <v>6.4756331401267686E-2</v>
      </c>
      <c r="T1131">
        <f t="shared" si="212"/>
        <v>81</v>
      </c>
      <c r="U1131">
        <f t="shared" si="213"/>
        <v>85</v>
      </c>
      <c r="V1131" s="3">
        <f t="shared" si="214"/>
        <v>0.10809509721138408</v>
      </c>
      <c r="W1131" s="9">
        <f t="shared" si="215"/>
        <v>-0.10809509721138408</v>
      </c>
      <c r="AC1131"/>
    </row>
    <row r="1132" spans="1:29" x14ac:dyDescent="0.25">
      <c r="A1132" t="s">
        <v>89</v>
      </c>
      <c r="B1132">
        <v>2</v>
      </c>
      <c r="C1132" t="s">
        <v>625</v>
      </c>
      <c r="D1132" t="s">
        <v>468</v>
      </c>
      <c r="E1132">
        <v>12</v>
      </c>
      <c r="F1132">
        <v>12.3</v>
      </c>
      <c r="G1132">
        <v>49.984900000000003</v>
      </c>
      <c r="H1132" t="s">
        <v>47</v>
      </c>
      <c r="I1132" t="s">
        <v>47</v>
      </c>
      <c r="J1132" t="s">
        <v>55</v>
      </c>
      <c r="K1132">
        <f t="shared" si="204"/>
        <v>103.77999999999999</v>
      </c>
      <c r="L1132">
        <f t="shared" si="205"/>
        <v>338.9511</v>
      </c>
      <c r="M1132" t="str">
        <f t="shared" si="206"/>
        <v>chad-2</v>
      </c>
      <c r="N1132" t="str">
        <f>INDEX(Scores!$A$2:$A$11,INDEX(Scores!$AA$2:$AA$131,MATCH(C1132,Scores!$AB$2:$AB$131,0)))</f>
        <v>chad</v>
      </c>
      <c r="O1132">
        <f t="shared" si="207"/>
        <v>102.72000000000001</v>
      </c>
      <c r="P1132">
        <f t="shared" si="208"/>
        <v>348.54960000000005</v>
      </c>
      <c r="Q1132" s="3">
        <f t="shared" si="209"/>
        <v>0.51612356509096413</v>
      </c>
      <c r="R1132" s="3">
        <f t="shared" si="210"/>
        <v>0.51200639441622631</v>
      </c>
      <c r="S1132" s="9">
        <f t="shared" si="211"/>
        <v>-4.1171706747378245E-3</v>
      </c>
      <c r="T1132">
        <f t="shared" si="212"/>
        <v>90</v>
      </c>
      <c r="U1132">
        <f t="shared" si="213"/>
        <v>99</v>
      </c>
      <c r="V1132" s="3">
        <f t="shared" si="214"/>
        <v>0.10924530342666643</v>
      </c>
      <c r="W1132" s="9">
        <f t="shared" si="215"/>
        <v>-0.10924530342666643</v>
      </c>
      <c r="AC1132"/>
    </row>
    <row r="1133" spans="1:29" x14ac:dyDescent="0.25">
      <c r="A1133" t="s">
        <v>462</v>
      </c>
      <c r="B1133">
        <v>7</v>
      </c>
      <c r="C1133" t="s">
        <v>977</v>
      </c>
      <c r="D1133" t="s">
        <v>478</v>
      </c>
      <c r="E1133">
        <v>8</v>
      </c>
      <c r="F1133">
        <v>7.5</v>
      </c>
      <c r="G1133">
        <v>14.0625</v>
      </c>
      <c r="H1133" t="s">
        <v>478</v>
      </c>
      <c r="I1133" t="s">
        <v>478</v>
      </c>
      <c r="J1133" t="s">
        <v>44</v>
      </c>
      <c r="K1133">
        <f t="shared" si="204"/>
        <v>96.25</v>
      </c>
      <c r="L1133">
        <f t="shared" si="205"/>
        <v>294.3</v>
      </c>
      <c r="M1133" t="str">
        <f t="shared" si="206"/>
        <v>cory-7</v>
      </c>
      <c r="N1133" t="str">
        <f>INDEX(Scores!$A$2:$A$11,INDEX(Scores!$AA$2:$AA$131,MATCH(C1133,Scores!$AB$2:$AB$131,0)))</f>
        <v>cory</v>
      </c>
      <c r="O1133">
        <f t="shared" si="207"/>
        <v>86.09</v>
      </c>
      <c r="P1133">
        <f t="shared" si="208"/>
        <v>350.80079999999998</v>
      </c>
      <c r="Q1133" s="3">
        <f t="shared" si="209"/>
        <v>0.65542850055780277</v>
      </c>
      <c r="R1133" s="3">
        <f t="shared" si="210"/>
        <v>0.66434654084504896</v>
      </c>
      <c r="S1133" s="9">
        <f t="shared" si="211"/>
        <v>8.9180402872461872E-3</v>
      </c>
      <c r="T1133">
        <f t="shared" si="212"/>
        <v>81</v>
      </c>
      <c r="U1133">
        <f t="shared" si="213"/>
        <v>85</v>
      </c>
      <c r="V1133" s="3">
        <f t="shared" si="214"/>
        <v>0.11506967022170828</v>
      </c>
      <c r="W1133" s="9">
        <f t="shared" si="215"/>
        <v>-0.11506967022170828</v>
      </c>
      <c r="AC1133"/>
    </row>
    <row r="1134" spans="1:29" x14ac:dyDescent="0.25">
      <c r="A1134" t="s">
        <v>186</v>
      </c>
      <c r="B1134">
        <v>9</v>
      </c>
      <c r="C1134" t="s">
        <v>939</v>
      </c>
      <c r="D1134" t="s">
        <v>469</v>
      </c>
      <c r="E1134">
        <v>-2</v>
      </c>
      <c r="F1134">
        <v>8.18</v>
      </c>
      <c r="G1134">
        <v>42.510399999999997</v>
      </c>
      <c r="H1134" t="s">
        <v>47</v>
      </c>
      <c r="I1134" t="s">
        <v>47</v>
      </c>
      <c r="J1134" t="s">
        <v>27</v>
      </c>
      <c r="K1134">
        <f t="shared" si="204"/>
        <v>80.800000000000011</v>
      </c>
      <c r="L1134">
        <f t="shared" si="205"/>
        <v>290.44450000000001</v>
      </c>
      <c r="M1134" t="str">
        <f t="shared" si="206"/>
        <v>seth-9</v>
      </c>
      <c r="N1134" t="str">
        <f>INDEX(Scores!$A$2:$A$11,INDEX(Scores!$AA$2:$AA$131,MATCH(C1134,Scores!$AB$2:$AB$131,0)))</f>
        <v>seth</v>
      </c>
      <c r="O1134">
        <f t="shared" si="207"/>
        <v>92.559999999999988</v>
      </c>
      <c r="P1134">
        <f t="shared" si="208"/>
        <v>350.31569999999999</v>
      </c>
      <c r="Q1134" s="3">
        <f t="shared" si="209"/>
        <v>0.32111649346340621</v>
      </c>
      <c r="R1134" s="3">
        <f t="shared" si="210"/>
        <v>0.18485786090547504</v>
      </c>
      <c r="S1134" s="9">
        <f t="shared" si="211"/>
        <v>-0.13625863255793116</v>
      </c>
      <c r="T1134">
        <f t="shared" si="212"/>
        <v>77</v>
      </c>
      <c r="U1134">
        <f t="shared" si="213"/>
        <v>95</v>
      </c>
      <c r="V1134" s="3">
        <f t="shared" si="214"/>
        <v>0.11518884662653575</v>
      </c>
      <c r="W1134" s="9">
        <f t="shared" si="215"/>
        <v>-0.11518884662653575</v>
      </c>
      <c r="AC1134"/>
    </row>
    <row r="1135" spans="1:29" x14ac:dyDescent="0.25">
      <c r="A1135" t="s">
        <v>115</v>
      </c>
      <c r="B1135">
        <v>4</v>
      </c>
      <c r="C1135" t="s">
        <v>861</v>
      </c>
      <c r="D1135" t="s">
        <v>466</v>
      </c>
      <c r="E1135">
        <v>12</v>
      </c>
      <c r="F1135">
        <v>16.239999999999998</v>
      </c>
      <c r="G1135">
        <v>96.236099999999993</v>
      </c>
      <c r="H1135" t="s">
        <v>466</v>
      </c>
      <c r="I1135" t="s">
        <v>47</v>
      </c>
      <c r="J1135" t="s">
        <v>20</v>
      </c>
      <c r="K1135">
        <f t="shared" si="204"/>
        <v>113.07</v>
      </c>
      <c r="L1135">
        <f t="shared" si="205"/>
        <v>452.41279999999995</v>
      </c>
      <c r="M1135" t="str">
        <f t="shared" si="206"/>
        <v>cory-4</v>
      </c>
      <c r="N1135" t="str">
        <f>INDEX(Scores!$A$2:$A$11,INDEX(Scores!$AA$2:$AA$131,MATCH(C1135,Scores!$AB$2:$AB$131,0)))</f>
        <v>cory</v>
      </c>
      <c r="O1135">
        <f t="shared" si="207"/>
        <v>115.58999999999999</v>
      </c>
      <c r="P1135">
        <f t="shared" si="208"/>
        <v>432.42160000000007</v>
      </c>
      <c r="Q1135" s="3">
        <f t="shared" si="209"/>
        <v>0.46624326985872333</v>
      </c>
      <c r="R1135" s="3">
        <f t="shared" si="210"/>
        <v>0.40488465008311253</v>
      </c>
      <c r="S1135" s="9">
        <f t="shared" si="211"/>
        <v>-6.1358619775610801E-2</v>
      </c>
      <c r="T1135">
        <f t="shared" si="212"/>
        <v>88</v>
      </c>
      <c r="U1135">
        <f t="shared" si="213"/>
        <v>104</v>
      </c>
      <c r="V1135" s="3">
        <f t="shared" si="214"/>
        <v>0.11530738104511955</v>
      </c>
      <c r="W1135" s="9">
        <f t="shared" si="215"/>
        <v>-0.11530738104511955</v>
      </c>
      <c r="AC1135"/>
    </row>
    <row r="1136" spans="1:29" x14ac:dyDescent="0.25">
      <c r="A1136" t="s">
        <v>70</v>
      </c>
      <c r="B1136">
        <v>2</v>
      </c>
      <c r="C1136" t="s">
        <v>636</v>
      </c>
      <c r="D1136" t="s">
        <v>467</v>
      </c>
      <c r="E1136">
        <v>12</v>
      </c>
      <c r="F1136">
        <v>16.68</v>
      </c>
      <c r="G1136">
        <v>37.945599999999999</v>
      </c>
      <c r="H1136" t="s">
        <v>15</v>
      </c>
      <c r="I1136" t="s">
        <v>15</v>
      </c>
      <c r="J1136" t="s">
        <v>49</v>
      </c>
      <c r="K1136">
        <f t="shared" si="204"/>
        <v>101.3</v>
      </c>
      <c r="L1136">
        <f t="shared" si="205"/>
        <v>329.14109999999999</v>
      </c>
      <c r="M1136" t="str">
        <f t="shared" si="206"/>
        <v>seth-2</v>
      </c>
      <c r="N1136" t="str">
        <f>INDEX(Scores!$A$2:$A$11,INDEX(Scores!$AA$2:$AA$131,MATCH(C1136,Scores!$AB$2:$AB$131,0)))</f>
        <v>seth</v>
      </c>
      <c r="O1136">
        <f t="shared" si="207"/>
        <v>91.78</v>
      </c>
      <c r="P1136">
        <f t="shared" si="208"/>
        <v>333.71719999999993</v>
      </c>
      <c r="Q1136" s="3">
        <f t="shared" si="209"/>
        <v>0.64422145537573039</v>
      </c>
      <c r="R1136" s="3">
        <f t="shared" si="210"/>
        <v>0.57676074541342337</v>
      </c>
      <c r="S1136" s="9">
        <f t="shared" si="211"/>
        <v>-6.7460709962307019E-2</v>
      </c>
      <c r="T1136">
        <f t="shared" si="212"/>
        <v>70</v>
      </c>
      <c r="U1136">
        <f t="shared" si="213"/>
        <v>82</v>
      </c>
      <c r="V1136" s="3">
        <f t="shared" si="214"/>
        <v>0.11735531723977301</v>
      </c>
      <c r="W1136" s="9">
        <f t="shared" si="215"/>
        <v>-0.11735531723977301</v>
      </c>
      <c r="AC1136"/>
    </row>
    <row r="1137" spans="1:29" x14ac:dyDescent="0.25">
      <c r="A1137" t="s">
        <v>122</v>
      </c>
      <c r="B1137">
        <v>4</v>
      </c>
      <c r="C1137" t="s">
        <v>861</v>
      </c>
      <c r="D1137" t="s">
        <v>473</v>
      </c>
      <c r="E1137">
        <v>2</v>
      </c>
      <c r="F1137">
        <v>10.220000000000001</v>
      </c>
      <c r="G1137">
        <v>43.824399999999997</v>
      </c>
      <c r="H1137" t="s">
        <v>87</v>
      </c>
      <c r="I1137" t="s">
        <v>87</v>
      </c>
      <c r="J1137" t="s">
        <v>20</v>
      </c>
      <c r="K1137">
        <f t="shared" si="204"/>
        <v>113.07</v>
      </c>
      <c r="L1137">
        <f t="shared" si="205"/>
        <v>452.41279999999995</v>
      </c>
      <c r="M1137" t="str">
        <f t="shared" si="206"/>
        <v>cory-4</v>
      </c>
      <c r="N1137" t="str">
        <f>INDEX(Scores!$A$2:$A$11,INDEX(Scores!$AA$2:$AA$131,MATCH(C1137,Scores!$AB$2:$AB$131,0)))</f>
        <v>cory</v>
      </c>
      <c r="O1137">
        <f t="shared" si="207"/>
        <v>115.58999999999999</v>
      </c>
      <c r="P1137">
        <f t="shared" si="208"/>
        <v>432.42160000000007</v>
      </c>
      <c r="Q1137" s="3">
        <f t="shared" si="209"/>
        <v>0.46624326985872333</v>
      </c>
      <c r="R1137" s="3">
        <f t="shared" si="210"/>
        <v>0.35556360862891179</v>
      </c>
      <c r="S1137" s="9">
        <f t="shared" si="211"/>
        <v>-0.11067966122981154</v>
      </c>
      <c r="T1137">
        <f t="shared" si="212"/>
        <v>88</v>
      </c>
      <c r="U1137">
        <f t="shared" si="213"/>
        <v>104</v>
      </c>
      <c r="V1137" s="3">
        <f t="shared" si="214"/>
        <v>0.11995203824240813</v>
      </c>
      <c r="W1137" s="9">
        <f t="shared" si="215"/>
        <v>-0.11995203824240813</v>
      </c>
      <c r="AC1137"/>
    </row>
    <row r="1138" spans="1:29" x14ac:dyDescent="0.25">
      <c r="A1138" t="s">
        <v>97</v>
      </c>
      <c r="B1138">
        <v>13</v>
      </c>
      <c r="C1138" t="s">
        <v>911</v>
      </c>
      <c r="D1138" t="s">
        <v>468</v>
      </c>
      <c r="E1138">
        <v>3</v>
      </c>
      <c r="F1138">
        <v>14.5</v>
      </c>
      <c r="G1138">
        <v>53.875599999999999</v>
      </c>
      <c r="H1138" t="s">
        <v>47</v>
      </c>
      <c r="I1138" t="s">
        <v>47</v>
      </c>
      <c r="J1138" t="s">
        <v>20</v>
      </c>
      <c r="K1138">
        <f t="shared" si="204"/>
        <v>108.61</v>
      </c>
      <c r="L1138">
        <f t="shared" si="205"/>
        <v>407.25390000000004</v>
      </c>
      <c r="M1138" t="str">
        <f t="shared" si="206"/>
        <v>cory-13</v>
      </c>
      <c r="N1138" t="str">
        <f>INDEX(Scores!$A$2:$A$11,INDEX(Scores!$AA$2:$AA$131,MATCH(C1138,Scores!$AB$2:$AB$131,0)))</f>
        <v>cory</v>
      </c>
      <c r="O1138">
        <f t="shared" si="207"/>
        <v>106.87</v>
      </c>
      <c r="P1138">
        <f t="shared" si="208"/>
        <v>444.05589999999995</v>
      </c>
      <c r="Q1138" s="3">
        <f t="shared" si="209"/>
        <v>0.52377705912504058</v>
      </c>
      <c r="R1138" s="3">
        <f t="shared" si="210"/>
        <v>0.36481310304294079</v>
      </c>
      <c r="S1138" s="9">
        <f t="shared" si="211"/>
        <v>-0.15896395608209979</v>
      </c>
      <c r="T1138">
        <f t="shared" si="212"/>
        <v>66</v>
      </c>
      <c r="U1138">
        <f t="shared" si="213"/>
        <v>86</v>
      </c>
      <c r="V1138" s="3">
        <f t="shared" si="214"/>
        <v>0.12342423469127869</v>
      </c>
      <c r="W1138" s="9">
        <f t="shared" si="215"/>
        <v>-0.12342423469127869</v>
      </c>
      <c r="AC1138"/>
    </row>
    <row r="1139" spans="1:29" x14ac:dyDescent="0.25">
      <c r="A1139" t="s">
        <v>149</v>
      </c>
      <c r="B1139">
        <v>3</v>
      </c>
      <c r="C1139" t="s">
        <v>808</v>
      </c>
      <c r="D1139" t="s">
        <v>472</v>
      </c>
      <c r="E1139">
        <v>7</v>
      </c>
      <c r="F1139">
        <v>8.57</v>
      </c>
      <c r="G1139">
        <v>31.472100000000001</v>
      </c>
      <c r="H1139" t="s">
        <v>87</v>
      </c>
      <c r="I1139" t="s">
        <v>87</v>
      </c>
      <c r="J1139" t="s">
        <v>44</v>
      </c>
      <c r="K1139">
        <f t="shared" si="204"/>
        <v>94.54</v>
      </c>
      <c r="L1139">
        <f t="shared" si="205"/>
        <v>356.43470000000002</v>
      </c>
      <c r="M1139" t="str">
        <f t="shared" si="206"/>
        <v>aj-3</v>
      </c>
      <c r="N1139" t="str">
        <f>INDEX(Scores!$A$2:$A$11,INDEX(Scores!$AA$2:$AA$131,MATCH(C1139,Scores!$AB$2:$AB$131,0)))</f>
        <v>aj</v>
      </c>
      <c r="O1139">
        <f t="shared" si="207"/>
        <v>107.31</v>
      </c>
      <c r="P1139">
        <f t="shared" si="208"/>
        <v>425.77620000000002</v>
      </c>
      <c r="Q1139" s="3">
        <f t="shared" si="209"/>
        <v>0.3239819129085153</v>
      </c>
      <c r="R1139" s="3">
        <f t="shared" si="210"/>
        <v>0.30036011915098193</v>
      </c>
      <c r="S1139" s="9">
        <f t="shared" si="211"/>
        <v>-2.3621793757533371E-2</v>
      </c>
      <c r="T1139">
        <f t="shared" si="212"/>
        <v>88</v>
      </c>
      <c r="U1139">
        <f t="shared" si="213"/>
        <v>96</v>
      </c>
      <c r="V1139" s="3">
        <f t="shared" si="214"/>
        <v>0.12586291428559235</v>
      </c>
      <c r="W1139" s="9">
        <f t="shared" si="215"/>
        <v>-0.12586291428559235</v>
      </c>
      <c r="AC1139"/>
    </row>
    <row r="1140" spans="1:29" x14ac:dyDescent="0.25">
      <c r="A1140" t="s">
        <v>137</v>
      </c>
      <c r="B1140">
        <v>13</v>
      </c>
      <c r="C1140" t="s">
        <v>943</v>
      </c>
      <c r="D1140" t="s">
        <v>472</v>
      </c>
      <c r="E1140">
        <v>4</v>
      </c>
      <c r="F1140">
        <v>9.98</v>
      </c>
      <c r="G1140">
        <v>49.140099999999997</v>
      </c>
      <c r="H1140" t="s">
        <v>87</v>
      </c>
      <c r="I1140" t="s">
        <v>87</v>
      </c>
      <c r="J1140" t="s">
        <v>27</v>
      </c>
      <c r="K1140">
        <f t="shared" si="204"/>
        <v>104.63999999999999</v>
      </c>
      <c r="L1140">
        <f t="shared" si="205"/>
        <v>400.33339999999998</v>
      </c>
      <c r="M1140" t="str">
        <f t="shared" si="206"/>
        <v>chad-13</v>
      </c>
      <c r="N1140" t="str">
        <f>INDEX(Scores!$A$2:$A$11,INDEX(Scores!$AA$2:$AA$131,MATCH(C1140,Scores!$AB$2:$AB$131,0)))</f>
        <v>chad</v>
      </c>
      <c r="O1140">
        <f t="shared" si="207"/>
        <v>113.35</v>
      </c>
      <c r="P1140">
        <f t="shared" si="208"/>
        <v>486.24799999999993</v>
      </c>
      <c r="Q1140" s="3">
        <f t="shared" si="209"/>
        <v>0.3849436901786526</v>
      </c>
      <c r="R1140" s="3">
        <f t="shared" si="210"/>
        <v>0.30585751913422976</v>
      </c>
      <c r="S1140" s="9">
        <f t="shared" si="211"/>
        <v>-7.9086171044422837E-2</v>
      </c>
      <c r="T1140">
        <f t="shared" si="212"/>
        <v>81</v>
      </c>
      <c r="U1140">
        <f t="shared" si="213"/>
        <v>95</v>
      </c>
      <c r="V1140" s="3">
        <f t="shared" si="214"/>
        <v>0.12629525424807542</v>
      </c>
      <c r="W1140" s="9">
        <f t="shared" si="215"/>
        <v>-0.12629525424807542</v>
      </c>
      <c r="AC1140"/>
    </row>
    <row r="1141" spans="1:29" x14ac:dyDescent="0.25">
      <c r="A1141" t="s">
        <v>1105</v>
      </c>
      <c r="B1141">
        <v>13</v>
      </c>
      <c r="C1141" t="s">
        <v>943</v>
      </c>
      <c r="D1141" t="s">
        <v>473</v>
      </c>
      <c r="E1141">
        <v>1</v>
      </c>
      <c r="F1141">
        <v>7.05</v>
      </c>
      <c r="G1141">
        <v>48.5809</v>
      </c>
      <c r="H1141" t="s">
        <v>87</v>
      </c>
      <c r="I1141" t="s">
        <v>87</v>
      </c>
      <c r="J1141" t="s">
        <v>27</v>
      </c>
      <c r="K1141">
        <f t="shared" si="204"/>
        <v>104.63999999999999</v>
      </c>
      <c r="L1141">
        <f t="shared" si="205"/>
        <v>400.33339999999998</v>
      </c>
      <c r="M1141" t="str">
        <f t="shared" si="206"/>
        <v>chad-13</v>
      </c>
      <c r="N1141" t="str">
        <f>INDEX(Scores!$A$2:$A$11,INDEX(Scores!$AA$2:$AA$131,MATCH(C1141,Scores!$AB$2:$AB$131,0)))</f>
        <v>chad</v>
      </c>
      <c r="O1141">
        <f t="shared" si="207"/>
        <v>113.35</v>
      </c>
      <c r="P1141">
        <f t="shared" si="208"/>
        <v>486.24799999999993</v>
      </c>
      <c r="Q1141" s="3">
        <f t="shared" si="209"/>
        <v>0.3849436901786526</v>
      </c>
      <c r="R1141" s="3">
        <f t="shared" si="210"/>
        <v>0.30506931302127505</v>
      </c>
      <c r="S1141" s="9">
        <f t="shared" si="211"/>
        <v>-7.9874377157377552E-2</v>
      </c>
      <c r="T1141">
        <f t="shared" si="212"/>
        <v>81</v>
      </c>
      <c r="U1141">
        <f t="shared" si="213"/>
        <v>95</v>
      </c>
      <c r="V1141" s="3">
        <f t="shared" si="214"/>
        <v>0.12701767104588227</v>
      </c>
      <c r="W1141" s="9">
        <f t="shared" si="215"/>
        <v>-0.12701767104588227</v>
      </c>
      <c r="AC1141"/>
    </row>
    <row r="1142" spans="1:29" x14ac:dyDescent="0.25">
      <c r="A1142" t="s">
        <v>86</v>
      </c>
      <c r="B1142">
        <v>2</v>
      </c>
      <c r="C1142" t="s">
        <v>625</v>
      </c>
      <c r="D1142" t="s">
        <v>466</v>
      </c>
      <c r="E1142">
        <v>3</v>
      </c>
      <c r="F1142">
        <v>7.77</v>
      </c>
      <c r="G1142">
        <v>13.8384</v>
      </c>
      <c r="H1142" t="s">
        <v>466</v>
      </c>
      <c r="I1142" t="s">
        <v>87</v>
      </c>
      <c r="J1142" t="s">
        <v>55</v>
      </c>
      <c r="K1142">
        <f t="shared" si="204"/>
        <v>103.77999999999999</v>
      </c>
      <c r="L1142">
        <f t="shared" si="205"/>
        <v>338.9511</v>
      </c>
      <c r="M1142" t="str">
        <f t="shared" si="206"/>
        <v>chad-2</v>
      </c>
      <c r="N1142" t="str">
        <f>INDEX(Scores!$A$2:$A$11,INDEX(Scores!$AA$2:$AA$131,MATCH(C1142,Scores!$AB$2:$AB$131,0)))</f>
        <v>chad</v>
      </c>
      <c r="O1142">
        <f t="shared" si="207"/>
        <v>102.72000000000001</v>
      </c>
      <c r="P1142">
        <f t="shared" si="208"/>
        <v>348.54960000000005</v>
      </c>
      <c r="Q1142" s="3">
        <f t="shared" si="209"/>
        <v>0.51612356509096413</v>
      </c>
      <c r="R1142" s="3">
        <f t="shared" si="210"/>
        <v>0.44316891241387624</v>
      </c>
      <c r="S1142" s="9">
        <f t="shared" si="211"/>
        <v>-7.2954652677087894E-2</v>
      </c>
      <c r="T1142">
        <f t="shared" si="212"/>
        <v>90</v>
      </c>
      <c r="U1142">
        <f t="shared" si="213"/>
        <v>99</v>
      </c>
      <c r="V1142" s="3">
        <f t="shared" si="214"/>
        <v>0.12774891615567166</v>
      </c>
      <c r="W1142" s="9">
        <f t="shared" si="215"/>
        <v>-0.12774891615567166</v>
      </c>
      <c r="AC1142"/>
    </row>
    <row r="1143" spans="1:29" x14ac:dyDescent="0.25">
      <c r="A1143" t="s">
        <v>223</v>
      </c>
      <c r="B1143">
        <v>10</v>
      </c>
      <c r="C1143" t="s">
        <v>956</v>
      </c>
      <c r="D1143" t="s">
        <v>466</v>
      </c>
      <c r="E1143">
        <v>4</v>
      </c>
      <c r="F1143">
        <v>5.76</v>
      </c>
      <c r="G1143">
        <v>13.9129</v>
      </c>
      <c r="H1143" t="s">
        <v>466</v>
      </c>
      <c r="I1143" t="s">
        <v>87</v>
      </c>
      <c r="J1143" t="s">
        <v>40</v>
      </c>
      <c r="K1143">
        <f t="shared" si="204"/>
        <v>97.83</v>
      </c>
      <c r="L1143">
        <f t="shared" si="205"/>
        <v>370.18310000000002</v>
      </c>
      <c r="M1143" t="e">
        <f t="shared" si="206"/>
        <v>#N/A</v>
      </c>
      <c r="N1143" t="e">
        <f>INDEX(Scores!$A$2:$A$11,INDEX(Scores!$AA$2:$AA$131,MATCH(C1143,Scores!$AB$2:$AB$131,0)))</f>
        <v>#N/A</v>
      </c>
      <c r="O1143">
        <f t="shared" si="207"/>
        <v>0</v>
      </c>
      <c r="P1143">
        <f t="shared" si="208"/>
        <v>0</v>
      </c>
      <c r="Q1143" s="3">
        <f t="shared" si="209"/>
        <v>0.99999981587831821</v>
      </c>
      <c r="R1143" s="3">
        <f t="shared" si="210"/>
        <v>0.99999982074968141</v>
      </c>
      <c r="S1143" s="9">
        <f t="shared" si="211"/>
        <v>4.8713632017083341E-9</v>
      </c>
      <c r="T1143">
        <f t="shared" si="212"/>
        <v>91</v>
      </c>
      <c r="U1143">
        <f t="shared" si="213"/>
        <v>0</v>
      </c>
      <c r="V1143" s="3">
        <f t="shared" si="214"/>
        <v>1</v>
      </c>
      <c r="W1143" s="9">
        <f t="shared" si="215"/>
        <v>0</v>
      </c>
      <c r="AC1143"/>
    </row>
    <row r="1144" spans="1:29" x14ac:dyDescent="0.25">
      <c r="A1144" t="s">
        <v>157</v>
      </c>
      <c r="B1144">
        <v>4</v>
      </c>
      <c r="C1144" t="s">
        <v>862</v>
      </c>
      <c r="D1144" t="s">
        <v>473</v>
      </c>
      <c r="E1144">
        <v>2</v>
      </c>
      <c r="F1144">
        <v>7.7</v>
      </c>
      <c r="G1144">
        <v>31.36</v>
      </c>
      <c r="H1144" t="s">
        <v>87</v>
      </c>
      <c r="I1144" t="s">
        <v>87</v>
      </c>
      <c r="J1144" t="s">
        <v>23</v>
      </c>
      <c r="K1144">
        <f t="shared" si="204"/>
        <v>111.07000000000001</v>
      </c>
      <c r="L1144">
        <f t="shared" si="205"/>
        <v>406.62959999999998</v>
      </c>
      <c r="M1144" t="str">
        <f t="shared" si="206"/>
        <v>devon-4</v>
      </c>
      <c r="N1144" t="str">
        <f>INDEX(Scores!$A$2:$A$11,INDEX(Scores!$AA$2:$AA$131,MATCH(C1144,Scores!$AB$2:$AB$131,0)))</f>
        <v>devon</v>
      </c>
      <c r="O1144">
        <f t="shared" si="207"/>
        <v>99.78</v>
      </c>
      <c r="P1144">
        <f t="shared" si="208"/>
        <v>369.21209999999996</v>
      </c>
      <c r="Q1144" s="3">
        <f t="shared" si="209"/>
        <v>0.65738205274668193</v>
      </c>
      <c r="R1144" s="3">
        <f t="shared" si="210"/>
        <v>0.58116433711478122</v>
      </c>
      <c r="S1144" s="9">
        <f t="shared" si="211"/>
        <v>-7.6217715631900718E-2</v>
      </c>
      <c r="T1144">
        <f t="shared" si="212"/>
        <v>72</v>
      </c>
      <c r="U1144">
        <f t="shared" si="213"/>
        <v>84</v>
      </c>
      <c r="V1144" s="3">
        <f t="shared" si="214"/>
        <v>0.13029451713680881</v>
      </c>
      <c r="W1144" s="9">
        <f t="shared" si="215"/>
        <v>-0.13029451713680881</v>
      </c>
      <c r="AC1144"/>
    </row>
    <row r="1145" spans="1:29" x14ac:dyDescent="0.25">
      <c r="A1145" t="s">
        <v>455</v>
      </c>
      <c r="B1145">
        <v>12</v>
      </c>
      <c r="C1145" t="s">
        <v>974</v>
      </c>
      <c r="D1145" t="s">
        <v>478</v>
      </c>
      <c r="E1145">
        <v>6</v>
      </c>
      <c r="F1145">
        <v>6.72</v>
      </c>
      <c r="G1145">
        <v>14.7456</v>
      </c>
      <c r="H1145" t="s">
        <v>478</v>
      </c>
      <c r="I1145" t="s">
        <v>478</v>
      </c>
      <c r="J1145" t="s">
        <v>49</v>
      </c>
      <c r="K1145">
        <f t="shared" si="204"/>
        <v>94.28</v>
      </c>
      <c r="L1145">
        <f t="shared" si="205"/>
        <v>371.05129999999997</v>
      </c>
      <c r="M1145" t="str">
        <f t="shared" si="206"/>
        <v>devon-12</v>
      </c>
      <c r="N1145" t="str">
        <f>INDEX(Scores!$A$2:$A$11,INDEX(Scores!$AA$2:$AA$131,MATCH(C1145,Scores!$AB$2:$AB$131,0)))</f>
        <v>devon</v>
      </c>
      <c r="O1145">
        <f t="shared" si="207"/>
        <v>99.070000000000007</v>
      </c>
      <c r="P1145">
        <f t="shared" si="208"/>
        <v>350.10639999999995</v>
      </c>
      <c r="Q1145" s="3">
        <f t="shared" si="209"/>
        <v>0.42921643322258324</v>
      </c>
      <c r="R1145" s="3">
        <f t="shared" si="210"/>
        <v>0.41788345704616547</v>
      </c>
      <c r="S1145" s="9">
        <f t="shared" si="211"/>
        <v>-1.1332976176417764E-2</v>
      </c>
      <c r="T1145">
        <f t="shared" si="212"/>
        <v>75</v>
      </c>
      <c r="U1145">
        <f t="shared" si="213"/>
        <v>80</v>
      </c>
      <c r="V1145" s="3">
        <f t="shared" si="214"/>
        <v>0.13251450785301594</v>
      </c>
      <c r="W1145" s="9">
        <f t="shared" si="215"/>
        <v>-0.13251450785301594</v>
      </c>
      <c r="AC1145"/>
    </row>
    <row r="1146" spans="1:29" x14ac:dyDescent="0.25">
      <c r="A1146" t="s">
        <v>165</v>
      </c>
      <c r="B1146">
        <v>1</v>
      </c>
      <c r="C1146" t="s">
        <v>500</v>
      </c>
      <c r="D1146" t="s">
        <v>475</v>
      </c>
      <c r="E1146">
        <v>7</v>
      </c>
      <c r="F1146">
        <v>7.38</v>
      </c>
      <c r="G1146">
        <v>26.214400000000001</v>
      </c>
      <c r="H1146" t="s">
        <v>114</v>
      </c>
      <c r="I1146" t="s">
        <v>114</v>
      </c>
      <c r="J1146" t="s">
        <v>44</v>
      </c>
      <c r="K1146">
        <f t="shared" si="204"/>
        <v>111.07</v>
      </c>
      <c r="L1146">
        <f t="shared" si="205"/>
        <v>422.00569999999999</v>
      </c>
      <c r="M1146" t="str">
        <f t="shared" si="206"/>
        <v>comp-1</v>
      </c>
      <c r="N1146" t="str">
        <f>INDEX(Scores!$A$2:$A$11,INDEX(Scores!$AA$2:$AA$131,MATCH(C1146,Scores!$AB$2:$AB$131,0)))</f>
        <v>comp</v>
      </c>
      <c r="O1146">
        <f t="shared" si="207"/>
        <v>110.7</v>
      </c>
      <c r="P1146">
        <f t="shared" si="208"/>
        <v>433.44330000000002</v>
      </c>
      <c r="Q1146" s="3">
        <f t="shared" si="209"/>
        <v>0.50504664952103229</v>
      </c>
      <c r="R1146" s="3">
        <f t="shared" si="210"/>
        <v>0.49986146122292169</v>
      </c>
      <c r="S1146" s="9">
        <f t="shared" si="211"/>
        <v>-5.185188298110599E-3</v>
      </c>
      <c r="T1146">
        <f t="shared" si="212"/>
        <v>71</v>
      </c>
      <c r="U1146">
        <f t="shared" si="213"/>
        <v>77</v>
      </c>
      <c r="V1146" s="3">
        <f t="shared" si="214"/>
        <v>0.13617731026769206</v>
      </c>
      <c r="W1146" s="9">
        <f t="shared" si="215"/>
        <v>-0.13617731026769206</v>
      </c>
      <c r="AC1146"/>
    </row>
    <row r="1147" spans="1:29" x14ac:dyDescent="0.25">
      <c r="A1147" t="s">
        <v>446</v>
      </c>
      <c r="B1147">
        <v>7</v>
      </c>
      <c r="C1147" t="s">
        <v>937</v>
      </c>
      <c r="D1147" t="s">
        <v>478</v>
      </c>
      <c r="E1147">
        <v>11</v>
      </c>
      <c r="F1147">
        <v>8.73</v>
      </c>
      <c r="G1147">
        <v>15.6816</v>
      </c>
      <c r="H1147" t="s">
        <v>478</v>
      </c>
      <c r="I1147" t="s">
        <v>478</v>
      </c>
      <c r="J1147" t="s">
        <v>27</v>
      </c>
      <c r="K1147">
        <f t="shared" si="204"/>
        <v>94.610000000000014</v>
      </c>
      <c r="L1147">
        <f t="shared" si="205"/>
        <v>333.25760000000002</v>
      </c>
      <c r="M1147" t="str">
        <f t="shared" si="206"/>
        <v>lucas-7</v>
      </c>
      <c r="N1147" t="str">
        <f>INDEX(Scores!$A$2:$A$11,INDEX(Scores!$AA$2:$AA$131,MATCH(C1147,Scores!$AB$2:$AB$131,0)))</f>
        <v>lucas</v>
      </c>
      <c r="O1147">
        <f t="shared" si="207"/>
        <v>0</v>
      </c>
      <c r="P1147">
        <f t="shared" si="208"/>
        <v>0</v>
      </c>
      <c r="Q1147" s="3">
        <f t="shared" si="209"/>
        <v>0.99999989058825289</v>
      </c>
      <c r="R1147" s="3">
        <f t="shared" si="210"/>
        <v>0.99999997281396502</v>
      </c>
      <c r="S1147" s="9">
        <f t="shared" si="211"/>
        <v>8.222571212801455E-8</v>
      </c>
      <c r="T1147">
        <f t="shared" si="212"/>
        <v>73</v>
      </c>
      <c r="U1147">
        <f t="shared" si="213"/>
        <v>0</v>
      </c>
      <c r="V1147" s="3">
        <f t="shared" si="214"/>
        <v>1</v>
      </c>
      <c r="W1147" s="9">
        <f t="shared" si="215"/>
        <v>0</v>
      </c>
      <c r="AC1147"/>
    </row>
    <row r="1148" spans="1:29" x14ac:dyDescent="0.25">
      <c r="A1148" t="s">
        <v>104</v>
      </c>
      <c r="B1148">
        <v>4</v>
      </c>
      <c r="C1148" t="s">
        <v>857</v>
      </c>
      <c r="D1148" t="s">
        <v>473</v>
      </c>
      <c r="E1148">
        <v>12</v>
      </c>
      <c r="F1148">
        <v>13.97</v>
      </c>
      <c r="G1148">
        <v>86.862399999999994</v>
      </c>
      <c r="H1148" t="s">
        <v>87</v>
      </c>
      <c r="I1148" t="s">
        <v>87</v>
      </c>
      <c r="J1148" t="s">
        <v>44</v>
      </c>
      <c r="K1148">
        <f t="shared" si="204"/>
        <v>104.32</v>
      </c>
      <c r="L1148">
        <f t="shared" si="205"/>
        <v>390.96559999999999</v>
      </c>
      <c r="M1148" t="str">
        <f t="shared" si="206"/>
        <v>chad-4</v>
      </c>
      <c r="N1148" t="str">
        <f>INDEX(Scores!$A$2:$A$11,INDEX(Scores!$AA$2:$AA$131,MATCH(C1148,Scores!$AB$2:$AB$131,0)))</f>
        <v>chad</v>
      </c>
      <c r="O1148">
        <f t="shared" si="207"/>
        <v>99.8</v>
      </c>
      <c r="P1148">
        <f t="shared" si="208"/>
        <v>351.46400000000006</v>
      </c>
      <c r="Q1148" s="3">
        <f t="shared" si="209"/>
        <v>0.56587682676878348</v>
      </c>
      <c r="R1148" s="3">
        <f t="shared" si="210"/>
        <v>0.53966652534103321</v>
      </c>
      <c r="S1148" s="9">
        <f t="shared" si="211"/>
        <v>-2.6210301427750271E-2</v>
      </c>
      <c r="T1148">
        <f t="shared" si="212"/>
        <v>111</v>
      </c>
      <c r="U1148">
        <f t="shared" si="213"/>
        <v>123</v>
      </c>
      <c r="V1148" s="3">
        <f t="shared" si="214"/>
        <v>0.14092332370843808</v>
      </c>
      <c r="W1148" s="9">
        <f t="shared" si="215"/>
        <v>-0.14092332370843808</v>
      </c>
      <c r="AC1148"/>
    </row>
    <row r="1149" spans="1:29" x14ac:dyDescent="0.25">
      <c r="A1149" t="s">
        <v>134</v>
      </c>
      <c r="B1149">
        <v>9</v>
      </c>
      <c r="C1149" t="s">
        <v>931</v>
      </c>
      <c r="D1149" t="s">
        <v>473</v>
      </c>
      <c r="E1149">
        <v>9</v>
      </c>
      <c r="F1149">
        <v>10.07</v>
      </c>
      <c r="G1149">
        <v>41.990400000000001</v>
      </c>
      <c r="H1149" t="s">
        <v>87</v>
      </c>
      <c r="I1149" t="s">
        <v>87</v>
      </c>
      <c r="J1149" t="s">
        <v>35</v>
      </c>
      <c r="K1149">
        <f t="shared" si="204"/>
        <v>104.66</v>
      </c>
      <c r="L1149">
        <f t="shared" si="205"/>
        <v>474.51049999999998</v>
      </c>
      <c r="M1149" t="str">
        <f t="shared" si="206"/>
        <v>cory-9</v>
      </c>
      <c r="N1149" t="str">
        <f>INDEX(Scores!$A$2:$A$11,INDEX(Scores!$AA$2:$AA$131,MATCH(C1149,Scores!$AB$2:$AB$131,0)))</f>
        <v>cory</v>
      </c>
      <c r="O1149">
        <f t="shared" si="207"/>
        <v>90.69</v>
      </c>
      <c r="P1149">
        <f t="shared" si="208"/>
        <v>356.05790000000002</v>
      </c>
      <c r="Q1149" s="3">
        <f t="shared" si="209"/>
        <v>0.68606954461640712</v>
      </c>
      <c r="R1149" s="3">
        <f t="shared" si="210"/>
        <v>0.67701756075329744</v>
      </c>
      <c r="S1149" s="9">
        <f t="shared" si="211"/>
        <v>-9.0519838631096805E-3</v>
      </c>
      <c r="T1149">
        <f t="shared" si="212"/>
        <v>81</v>
      </c>
      <c r="U1149">
        <f t="shared" si="213"/>
        <v>89</v>
      </c>
      <c r="V1149" s="3">
        <f t="shared" si="214"/>
        <v>0.14243472481692457</v>
      </c>
      <c r="W1149" s="9">
        <f t="shared" si="215"/>
        <v>-0.14243472481692457</v>
      </c>
      <c r="AC1149"/>
    </row>
    <row r="1150" spans="1:29" x14ac:dyDescent="0.25">
      <c r="A1150" t="s">
        <v>124</v>
      </c>
      <c r="B1150">
        <v>5</v>
      </c>
      <c r="C1150" t="s">
        <v>891</v>
      </c>
      <c r="D1150" t="s">
        <v>472</v>
      </c>
      <c r="E1150">
        <v>12</v>
      </c>
      <c r="F1150">
        <v>9.43</v>
      </c>
      <c r="G1150">
        <v>38.068899999999999</v>
      </c>
      <c r="H1150" t="s">
        <v>87</v>
      </c>
      <c r="I1150" t="s">
        <v>87</v>
      </c>
      <c r="J1150" t="s">
        <v>49</v>
      </c>
      <c r="K1150">
        <f t="shared" si="204"/>
        <v>99.23</v>
      </c>
      <c r="L1150">
        <f t="shared" si="205"/>
        <v>364.64739999999995</v>
      </c>
      <c r="M1150" t="str">
        <f t="shared" si="206"/>
        <v>aj-5</v>
      </c>
      <c r="N1150" t="str">
        <f>INDEX(Scores!$A$2:$A$11,INDEX(Scores!$AA$2:$AA$131,MATCH(C1150,Scores!$AB$2:$AB$131,0)))</f>
        <v>aj</v>
      </c>
      <c r="O1150">
        <f t="shared" si="207"/>
        <v>117.25999999999999</v>
      </c>
      <c r="P1150">
        <f t="shared" si="208"/>
        <v>422.9941</v>
      </c>
      <c r="Q1150" s="3">
        <f t="shared" si="209"/>
        <v>0.26029431580256523</v>
      </c>
      <c r="R1150" s="3">
        <f t="shared" si="210"/>
        <v>0.28614561742176026</v>
      </c>
      <c r="S1150" s="9">
        <f t="shared" si="211"/>
        <v>2.5851301619195022E-2</v>
      </c>
      <c r="T1150">
        <f t="shared" si="212"/>
        <v>106</v>
      </c>
      <c r="U1150">
        <f t="shared" si="213"/>
        <v>110</v>
      </c>
      <c r="V1150" s="3">
        <f t="shared" si="214"/>
        <v>0.14347647365371893</v>
      </c>
      <c r="W1150" s="9">
        <f t="shared" si="215"/>
        <v>-0.14347647365371893</v>
      </c>
      <c r="AC1150"/>
    </row>
    <row r="1151" spans="1:29" x14ac:dyDescent="0.25">
      <c r="A1151" t="s">
        <v>112</v>
      </c>
      <c r="B1151">
        <v>2</v>
      </c>
      <c r="C1151" t="s">
        <v>636</v>
      </c>
      <c r="D1151" t="s">
        <v>466</v>
      </c>
      <c r="E1151">
        <v>4</v>
      </c>
      <c r="F1151">
        <v>9.09</v>
      </c>
      <c r="G1151">
        <v>42.25</v>
      </c>
      <c r="H1151" t="s">
        <v>466</v>
      </c>
      <c r="I1151" t="s">
        <v>47</v>
      </c>
      <c r="J1151" t="s">
        <v>49</v>
      </c>
      <c r="K1151">
        <f t="shared" si="204"/>
        <v>101.3</v>
      </c>
      <c r="L1151">
        <f t="shared" si="205"/>
        <v>329.14109999999999</v>
      </c>
      <c r="M1151" t="str">
        <f t="shared" si="206"/>
        <v>seth-2</v>
      </c>
      <c r="N1151" t="str">
        <f>INDEX(Scores!$A$2:$A$11,INDEX(Scores!$AA$2:$AA$131,MATCH(C1151,Scores!$AB$2:$AB$131,0)))</f>
        <v>seth</v>
      </c>
      <c r="O1151">
        <f t="shared" si="207"/>
        <v>91.78</v>
      </c>
      <c r="P1151">
        <f t="shared" si="208"/>
        <v>333.71719999999993</v>
      </c>
      <c r="Q1151" s="3">
        <f t="shared" si="209"/>
        <v>0.64422145537573039</v>
      </c>
      <c r="R1151" s="3">
        <f t="shared" si="210"/>
        <v>0.57057013417732583</v>
      </c>
      <c r="S1151" s="9">
        <f t="shared" si="211"/>
        <v>-7.3651321198404562E-2</v>
      </c>
      <c r="T1151">
        <f t="shared" si="212"/>
        <v>70</v>
      </c>
      <c r="U1151">
        <f t="shared" si="213"/>
        <v>82</v>
      </c>
      <c r="V1151" s="3">
        <f t="shared" si="214"/>
        <v>0.14387353435039613</v>
      </c>
      <c r="W1151" s="9">
        <f t="shared" si="215"/>
        <v>-0.14387353435039613</v>
      </c>
      <c r="AC1151"/>
    </row>
    <row r="1152" spans="1:29" x14ac:dyDescent="0.25">
      <c r="A1152" t="s">
        <v>131</v>
      </c>
      <c r="B1152">
        <v>6</v>
      </c>
      <c r="C1152" t="s">
        <v>928</v>
      </c>
      <c r="D1152" t="s">
        <v>468</v>
      </c>
      <c r="E1152">
        <v>1</v>
      </c>
      <c r="F1152">
        <v>12.08</v>
      </c>
      <c r="G1152">
        <v>58.369599999999998</v>
      </c>
      <c r="H1152" t="s">
        <v>47</v>
      </c>
      <c r="I1152" t="s">
        <v>47</v>
      </c>
      <c r="J1152" t="s">
        <v>35</v>
      </c>
      <c r="K1152">
        <f t="shared" si="204"/>
        <v>101.41999999999999</v>
      </c>
      <c r="L1152">
        <f t="shared" si="205"/>
        <v>401.13359999999994</v>
      </c>
      <c r="M1152" t="str">
        <f t="shared" si="206"/>
        <v>comp-6</v>
      </c>
      <c r="N1152" t="str">
        <f>INDEX(Scores!$A$2:$A$11,INDEX(Scores!$AA$2:$AA$131,MATCH(C1152,Scores!$AB$2:$AB$131,0)))</f>
        <v>comp</v>
      </c>
      <c r="O1152">
        <f t="shared" si="207"/>
        <v>104.66</v>
      </c>
      <c r="P1152">
        <f t="shared" si="208"/>
        <v>375.94899999999996</v>
      </c>
      <c r="Q1152" s="3">
        <f t="shared" si="209"/>
        <v>0.45373585390093107</v>
      </c>
      <c r="R1152" s="3">
        <f t="shared" si="210"/>
        <v>0.29661801371292384</v>
      </c>
      <c r="S1152" s="9">
        <f t="shared" si="211"/>
        <v>-0.15711784018800723</v>
      </c>
      <c r="T1152">
        <f t="shared" si="212"/>
        <v>72</v>
      </c>
      <c r="U1152">
        <f t="shared" si="213"/>
        <v>91</v>
      </c>
      <c r="V1152" s="3">
        <f t="shared" si="214"/>
        <v>0.14994968409679324</v>
      </c>
      <c r="W1152" s="9">
        <f t="shared" si="215"/>
        <v>-0.14994968409679324</v>
      </c>
      <c r="AC1152"/>
    </row>
    <row r="1153" spans="1:29" x14ac:dyDescent="0.25">
      <c r="A1153" t="s">
        <v>110</v>
      </c>
      <c r="B1153">
        <v>2</v>
      </c>
      <c r="C1153" t="s">
        <v>625</v>
      </c>
      <c r="D1153" t="s">
        <v>471</v>
      </c>
      <c r="E1153">
        <v>8</v>
      </c>
      <c r="F1153">
        <v>10.08</v>
      </c>
      <c r="G1153">
        <v>44.89</v>
      </c>
      <c r="H1153" t="s">
        <v>87</v>
      </c>
      <c r="I1153" t="s">
        <v>87</v>
      </c>
      <c r="J1153" t="s">
        <v>55</v>
      </c>
      <c r="K1153">
        <f t="shared" si="204"/>
        <v>103.77999999999999</v>
      </c>
      <c r="L1153">
        <f t="shared" si="205"/>
        <v>338.9511</v>
      </c>
      <c r="M1153" t="str">
        <f t="shared" si="206"/>
        <v>chad-2</v>
      </c>
      <c r="N1153" t="str">
        <f>INDEX(Scores!$A$2:$A$11,INDEX(Scores!$AA$2:$AA$131,MATCH(C1153,Scores!$AB$2:$AB$131,0)))</f>
        <v>chad</v>
      </c>
      <c r="O1153">
        <f t="shared" si="207"/>
        <v>102.72000000000001</v>
      </c>
      <c r="P1153">
        <f t="shared" si="208"/>
        <v>348.54960000000005</v>
      </c>
      <c r="Q1153" s="3">
        <f t="shared" si="209"/>
        <v>0.51612356509096413</v>
      </c>
      <c r="R1153" s="3">
        <f t="shared" si="210"/>
        <v>0.48395206763613413</v>
      </c>
      <c r="S1153" s="9">
        <f t="shared" si="211"/>
        <v>-3.217149745483E-2</v>
      </c>
      <c r="T1153">
        <f t="shared" si="212"/>
        <v>90</v>
      </c>
      <c r="U1153">
        <f t="shared" si="213"/>
        <v>99</v>
      </c>
      <c r="V1153" s="3">
        <f t="shared" si="214"/>
        <v>0.15084036861970412</v>
      </c>
      <c r="W1153" s="9">
        <f t="shared" si="215"/>
        <v>-0.15084036861970412</v>
      </c>
      <c r="AC1153"/>
    </row>
    <row r="1154" spans="1:29" x14ac:dyDescent="0.25">
      <c r="A1154" t="s">
        <v>613</v>
      </c>
      <c r="B1154">
        <v>5</v>
      </c>
      <c r="C1154" t="s">
        <v>882</v>
      </c>
      <c r="D1154" t="s">
        <v>472</v>
      </c>
      <c r="E1154">
        <v>5</v>
      </c>
      <c r="F1154">
        <v>6.61</v>
      </c>
      <c r="G1154">
        <v>18.489999999999998</v>
      </c>
      <c r="H1154" t="s">
        <v>87</v>
      </c>
      <c r="I1154" t="s">
        <v>87</v>
      </c>
      <c r="J1154" t="s">
        <v>44</v>
      </c>
      <c r="K1154">
        <f t="shared" ref="K1154:K1217" si="216">SUMIF($C$2:$C$1301,$C1154,$F$2:$F$1301)</f>
        <v>98.72999999999999</v>
      </c>
      <c r="L1154">
        <f t="shared" ref="L1154:L1217" si="217">SUMIF($C$2:$C$1301,$C1154,$G$2:$G$1301)</f>
        <v>396.28840000000002</v>
      </c>
      <c r="M1154" t="str">
        <f t="shared" ref="M1154:M1217" si="218">N1154&amp;"-"&amp;B1154</f>
        <v>perry-5</v>
      </c>
      <c r="N1154" t="str">
        <f>INDEX(Scores!$A$2:$A$11,INDEX(Scores!$AA$2:$AA$131,MATCH(C1154,Scores!$AB$2:$AB$131,0)))</f>
        <v>perry</v>
      </c>
      <c r="O1154">
        <f t="shared" ref="O1154:O1217" si="219">SUMIF($C$2:$C$1301,$M1154,$F$2:$F$1301)</f>
        <v>97.27</v>
      </c>
      <c r="P1154">
        <f t="shared" ref="P1154:P1217" si="220">SUMIF($C$2:$C$1301,$M1154,$G$2:$G$1301)</f>
        <v>430.39269999999999</v>
      </c>
      <c r="Q1154" s="3">
        <f t="shared" ref="Q1154:Q1217" si="221">_xlfn.NORM.DIST(0,$O1154-$K1154,SQRT($L1154+$P1154),TRUE)</f>
        <v>0.52024917394329329</v>
      </c>
      <c r="R1154" s="3">
        <f t="shared" ref="R1154:R1217" si="222">_xlfn.NORM.DIST(0,$O1154-$K1154-($E1154-$F1154),SQRT($L1154+$P1154-$G1154),TRUE)</f>
        <v>0.49789504760709907</v>
      </c>
      <c r="S1154" s="9">
        <f t="shared" ref="S1154:S1217" si="223">R1154-Q1154</f>
        <v>-2.2354126336194213E-2</v>
      </c>
      <c r="T1154">
        <f t="shared" ref="T1154:T1217" si="224">SUMIF($C$2:$C$1301,$C1154,$E$2:$E$1301)</f>
        <v>90</v>
      </c>
      <c r="U1154">
        <f t="shared" ref="U1154:U1217" si="225">SUMIF($C$2:$C$1301,$M1154,$E$2:$E$1301)</f>
        <v>96</v>
      </c>
      <c r="V1154" s="3">
        <f t="shared" ref="V1154:V1217" si="226">_xlfn.NORM.DIST(0,U1154-T1154+E1154-F1154,SQRT(G1154),TRUE)</f>
        <v>0.15364374716007703</v>
      </c>
      <c r="W1154" s="9">
        <f t="shared" ref="W1154:W1217" si="227">IFERROR(IF(U1154&gt;T1154,0,1)-V1154,0)</f>
        <v>-0.15364374716007703</v>
      </c>
      <c r="AC1154"/>
    </row>
    <row r="1155" spans="1:29" x14ac:dyDescent="0.25">
      <c r="A1155" t="s">
        <v>104</v>
      </c>
      <c r="B1155">
        <v>8</v>
      </c>
      <c r="C1155" t="s">
        <v>978</v>
      </c>
      <c r="D1155" t="s">
        <v>472</v>
      </c>
      <c r="E1155">
        <v>8</v>
      </c>
      <c r="F1155">
        <v>14.43</v>
      </c>
      <c r="G1155">
        <v>72.25</v>
      </c>
      <c r="H1155" t="s">
        <v>87</v>
      </c>
      <c r="I1155" t="s">
        <v>87</v>
      </c>
      <c r="J1155" t="s">
        <v>44</v>
      </c>
      <c r="K1155">
        <f t="shared" si="216"/>
        <v>96.57</v>
      </c>
      <c r="L1155">
        <f t="shared" si="217"/>
        <v>368.03749999999997</v>
      </c>
      <c r="M1155" t="str">
        <f t="shared" si="218"/>
        <v>devon-8</v>
      </c>
      <c r="N1155" t="str">
        <f>INDEX(Scores!$A$2:$A$11,INDEX(Scores!$AA$2:$AA$131,MATCH(C1155,Scores!$AB$2:$AB$131,0)))</f>
        <v>devon</v>
      </c>
      <c r="O1155">
        <f t="shared" si="219"/>
        <v>102.43</v>
      </c>
      <c r="P1155">
        <f t="shared" si="220"/>
        <v>452.86560000000003</v>
      </c>
      <c r="Q1155" s="3">
        <f t="shared" si="221"/>
        <v>0.41897065981019621</v>
      </c>
      <c r="R1155" s="3">
        <f t="shared" si="222"/>
        <v>0.32665420497297337</v>
      </c>
      <c r="S1155" s="9">
        <f t="shared" si="223"/>
        <v>-9.2316454837222839E-2</v>
      </c>
      <c r="T1155">
        <f t="shared" si="224"/>
        <v>85</v>
      </c>
      <c r="U1155">
        <f t="shared" si="225"/>
        <v>100</v>
      </c>
      <c r="V1155" s="3">
        <f t="shared" si="226"/>
        <v>0.15667075899022961</v>
      </c>
      <c r="W1155" s="9">
        <f t="shared" si="227"/>
        <v>-0.15667075899022961</v>
      </c>
      <c r="AC1155"/>
    </row>
    <row r="1156" spans="1:29" x14ac:dyDescent="0.25">
      <c r="A1156" t="s">
        <v>111</v>
      </c>
      <c r="B1156">
        <v>13</v>
      </c>
      <c r="C1156" t="s">
        <v>927</v>
      </c>
      <c r="D1156" t="s">
        <v>469</v>
      </c>
      <c r="E1156">
        <v>13</v>
      </c>
      <c r="F1156">
        <v>15.43</v>
      </c>
      <c r="G1156">
        <v>42.771599999999999</v>
      </c>
      <c r="H1156" t="s">
        <v>47</v>
      </c>
      <c r="I1156" t="s">
        <v>47</v>
      </c>
      <c r="J1156" t="s">
        <v>55</v>
      </c>
      <c r="K1156">
        <f t="shared" si="216"/>
        <v>116.54</v>
      </c>
      <c r="L1156">
        <f t="shared" si="217"/>
        <v>371.12040000000002</v>
      </c>
      <c r="M1156" t="str">
        <f t="shared" si="218"/>
        <v>matty-13</v>
      </c>
      <c r="N1156" t="str">
        <f>INDEX(Scores!$A$2:$A$11,INDEX(Scores!$AA$2:$AA$131,MATCH(C1156,Scores!$AB$2:$AB$131,0)))</f>
        <v>matty</v>
      </c>
      <c r="O1156">
        <f t="shared" si="219"/>
        <v>88.16</v>
      </c>
      <c r="P1156">
        <f t="shared" si="220"/>
        <v>330.99250000000001</v>
      </c>
      <c r="Q1156" s="3">
        <f t="shared" si="221"/>
        <v>0.85792606530938775</v>
      </c>
      <c r="R1156" s="3">
        <f t="shared" si="222"/>
        <v>0.84389767340638044</v>
      </c>
      <c r="S1156" s="9">
        <f t="shared" si="223"/>
        <v>-1.4028391903007309E-2</v>
      </c>
      <c r="T1156">
        <f t="shared" si="224"/>
        <v>108</v>
      </c>
      <c r="U1156">
        <f t="shared" si="225"/>
        <v>117</v>
      </c>
      <c r="V1156" s="3">
        <f t="shared" si="226"/>
        <v>0.15754784224458679</v>
      </c>
      <c r="W1156" s="9">
        <f t="shared" si="227"/>
        <v>-0.15754784224458679</v>
      </c>
      <c r="AC1156"/>
    </row>
    <row r="1157" spans="1:29" x14ac:dyDescent="0.25">
      <c r="A1157" t="s">
        <v>258</v>
      </c>
      <c r="B1157">
        <v>11</v>
      </c>
      <c r="C1157" t="s">
        <v>973</v>
      </c>
      <c r="D1157" t="s">
        <v>469</v>
      </c>
      <c r="E1157">
        <v>5</v>
      </c>
      <c r="F1157">
        <v>8.6300000000000008</v>
      </c>
      <c r="G1157">
        <v>29.052099999999999</v>
      </c>
      <c r="H1157" t="s">
        <v>47</v>
      </c>
      <c r="I1157" t="s">
        <v>47</v>
      </c>
      <c r="J1157" t="s">
        <v>49</v>
      </c>
      <c r="K1157">
        <f t="shared" si="216"/>
        <v>88.670000000000016</v>
      </c>
      <c r="L1157">
        <f t="shared" si="217"/>
        <v>334.39179999999999</v>
      </c>
      <c r="M1157" t="str">
        <f t="shared" si="218"/>
        <v>comp-11</v>
      </c>
      <c r="N1157" t="str">
        <f>INDEX(Scores!$A$2:$A$11,INDEX(Scores!$AA$2:$AA$131,MATCH(C1157,Scores!$AB$2:$AB$131,0)))</f>
        <v>comp</v>
      </c>
      <c r="O1157">
        <f t="shared" si="219"/>
        <v>98.580000000000013</v>
      </c>
      <c r="P1157">
        <f t="shared" si="220"/>
        <v>364.4375</v>
      </c>
      <c r="Q1157" s="3">
        <f t="shared" si="221"/>
        <v>0.35387619533584119</v>
      </c>
      <c r="R1157" s="3">
        <f t="shared" si="222"/>
        <v>0.300423513608643</v>
      </c>
      <c r="S1157" s="9">
        <f t="shared" si="223"/>
        <v>-5.3452681727198192E-2</v>
      </c>
      <c r="T1157">
        <f t="shared" si="224"/>
        <v>102</v>
      </c>
      <c r="U1157">
        <f t="shared" si="225"/>
        <v>111</v>
      </c>
      <c r="V1157" s="3">
        <f t="shared" si="226"/>
        <v>0.15955477025340742</v>
      </c>
      <c r="W1157" s="9">
        <f t="shared" si="227"/>
        <v>-0.15955477025340742</v>
      </c>
      <c r="AC1157"/>
    </row>
    <row r="1158" spans="1:29" x14ac:dyDescent="0.25">
      <c r="A1158" t="s">
        <v>111</v>
      </c>
      <c r="B1158">
        <v>10</v>
      </c>
      <c r="C1158" t="s">
        <v>924</v>
      </c>
      <c r="D1158" t="s">
        <v>469</v>
      </c>
      <c r="E1158">
        <v>4</v>
      </c>
      <c r="F1158">
        <v>17.37</v>
      </c>
      <c r="G1158">
        <v>59.444099999999999</v>
      </c>
      <c r="H1158" t="s">
        <v>47</v>
      </c>
      <c r="I1158" t="s">
        <v>47</v>
      </c>
      <c r="J1158" t="s">
        <v>55</v>
      </c>
      <c r="K1158">
        <f t="shared" si="216"/>
        <v>110.08000000000001</v>
      </c>
      <c r="L1158">
        <f t="shared" si="217"/>
        <v>372.64320000000004</v>
      </c>
      <c r="M1158" t="str">
        <f t="shared" si="218"/>
        <v>chad-10</v>
      </c>
      <c r="N1158" t="str">
        <f>INDEX(Scores!$A$2:$A$11,INDEX(Scores!$AA$2:$AA$131,MATCH(C1158,Scores!$AB$2:$AB$131,0)))</f>
        <v>chad</v>
      </c>
      <c r="O1158">
        <f t="shared" si="219"/>
        <v>103.91999999999999</v>
      </c>
      <c r="P1158">
        <f t="shared" si="220"/>
        <v>398.26569999999992</v>
      </c>
      <c r="Q1158" s="3">
        <f t="shared" si="221"/>
        <v>0.58778859959928087</v>
      </c>
      <c r="R1158" s="3">
        <f t="shared" si="222"/>
        <v>0.3934617378685209</v>
      </c>
      <c r="S1158" s="9">
        <f t="shared" si="223"/>
        <v>-0.19432686173075997</v>
      </c>
      <c r="T1158">
        <f t="shared" si="224"/>
        <v>82</v>
      </c>
      <c r="U1158">
        <f t="shared" si="225"/>
        <v>103</v>
      </c>
      <c r="V1158" s="3">
        <f t="shared" si="226"/>
        <v>0.16117900036346644</v>
      </c>
      <c r="W1158" s="9">
        <f t="shared" si="227"/>
        <v>-0.16117900036346644</v>
      </c>
      <c r="AC1158"/>
    </row>
    <row r="1159" spans="1:29" x14ac:dyDescent="0.25">
      <c r="A1159" t="s">
        <v>124</v>
      </c>
      <c r="B1159">
        <v>3</v>
      </c>
      <c r="C1159" t="s">
        <v>812</v>
      </c>
      <c r="D1159" t="s">
        <v>472</v>
      </c>
      <c r="E1159">
        <v>14</v>
      </c>
      <c r="F1159">
        <v>10.72</v>
      </c>
      <c r="G1159">
        <v>55.204900000000002</v>
      </c>
      <c r="H1159" t="s">
        <v>87</v>
      </c>
      <c r="I1159" t="s">
        <v>87</v>
      </c>
      <c r="J1159" t="s">
        <v>49</v>
      </c>
      <c r="K1159">
        <f t="shared" si="216"/>
        <v>116.17999999999999</v>
      </c>
      <c r="L1159">
        <f t="shared" si="217"/>
        <v>478.31470000000002</v>
      </c>
      <c r="M1159" t="str">
        <f t="shared" si="218"/>
        <v>comp-3</v>
      </c>
      <c r="N1159" t="str">
        <f>INDEX(Scores!$A$2:$A$11,INDEX(Scores!$AA$2:$AA$131,MATCH(C1159,Scores!$AB$2:$AB$131,0)))</f>
        <v>comp</v>
      </c>
      <c r="O1159">
        <f t="shared" si="219"/>
        <v>105.02</v>
      </c>
      <c r="P1159">
        <f t="shared" si="220"/>
        <v>401.60159999999996</v>
      </c>
      <c r="Q1159" s="3">
        <f t="shared" si="221"/>
        <v>0.64662385216199125</v>
      </c>
      <c r="R1159" s="3">
        <f t="shared" si="222"/>
        <v>0.69245607051141367</v>
      </c>
      <c r="S1159" s="9">
        <f t="shared" si="223"/>
        <v>4.5832218349422416E-2</v>
      </c>
      <c r="T1159">
        <f t="shared" si="224"/>
        <v>81</v>
      </c>
      <c r="U1159">
        <f t="shared" si="225"/>
        <v>85</v>
      </c>
      <c r="V1159" s="3">
        <f t="shared" si="226"/>
        <v>0.16358956877442823</v>
      </c>
      <c r="W1159" s="9">
        <f t="shared" si="227"/>
        <v>-0.16358956877442823</v>
      </c>
      <c r="AC1159"/>
    </row>
    <row r="1160" spans="1:29" x14ac:dyDescent="0.25">
      <c r="A1160" t="s">
        <v>93</v>
      </c>
      <c r="B1160">
        <v>10</v>
      </c>
      <c r="C1160" t="s">
        <v>916</v>
      </c>
      <c r="D1160" t="s">
        <v>471</v>
      </c>
      <c r="E1160">
        <v>5</v>
      </c>
      <c r="F1160">
        <v>12.13</v>
      </c>
      <c r="G1160">
        <v>64.641599999999997</v>
      </c>
      <c r="H1160" t="s">
        <v>87</v>
      </c>
      <c r="I1160" t="s">
        <v>87</v>
      </c>
      <c r="J1160" t="s">
        <v>16</v>
      </c>
      <c r="K1160">
        <f t="shared" si="216"/>
        <v>93.17</v>
      </c>
      <c r="L1160">
        <f t="shared" si="217"/>
        <v>328.34589999999997</v>
      </c>
      <c r="M1160" t="str">
        <f t="shared" si="218"/>
        <v>perry-10</v>
      </c>
      <c r="N1160" t="str">
        <f>INDEX(Scores!$A$2:$A$11,INDEX(Scores!$AA$2:$AA$131,MATCH(C1160,Scores!$AB$2:$AB$131,0)))</f>
        <v>perry</v>
      </c>
      <c r="O1160">
        <f t="shared" si="219"/>
        <v>103.49</v>
      </c>
      <c r="P1160">
        <f t="shared" si="220"/>
        <v>345.28400000000005</v>
      </c>
      <c r="Q1160" s="3">
        <f t="shared" si="221"/>
        <v>0.34545488835543114</v>
      </c>
      <c r="R1160" s="3">
        <f t="shared" si="222"/>
        <v>0.2397470488192357</v>
      </c>
      <c r="S1160" s="9">
        <f t="shared" si="223"/>
        <v>-0.10570783953619545</v>
      </c>
      <c r="T1160">
        <f t="shared" si="224"/>
        <v>91</v>
      </c>
      <c r="U1160">
        <f t="shared" si="225"/>
        <v>106</v>
      </c>
      <c r="V1160" s="3">
        <f t="shared" si="226"/>
        <v>0.16382563649651716</v>
      </c>
      <c r="W1160" s="9">
        <f t="shared" si="227"/>
        <v>-0.16382563649651716</v>
      </c>
      <c r="AC1160"/>
    </row>
    <row r="1161" spans="1:29" x14ac:dyDescent="0.25">
      <c r="A1161" t="s">
        <v>124</v>
      </c>
      <c r="B1161">
        <v>2</v>
      </c>
      <c r="C1161" t="s">
        <v>636</v>
      </c>
      <c r="D1161" t="s">
        <v>472</v>
      </c>
      <c r="E1161">
        <v>4</v>
      </c>
      <c r="F1161">
        <v>10.46</v>
      </c>
      <c r="G1161">
        <v>32.947600000000001</v>
      </c>
      <c r="H1161" t="s">
        <v>87</v>
      </c>
      <c r="I1161" t="s">
        <v>87</v>
      </c>
      <c r="J1161" t="s">
        <v>49</v>
      </c>
      <c r="K1161">
        <f t="shared" si="216"/>
        <v>101.3</v>
      </c>
      <c r="L1161">
        <f t="shared" si="217"/>
        <v>329.14109999999999</v>
      </c>
      <c r="M1161" t="str">
        <f t="shared" si="218"/>
        <v>seth-2</v>
      </c>
      <c r="N1161" t="str">
        <f>INDEX(Scores!$A$2:$A$11,INDEX(Scores!$AA$2:$AA$131,MATCH(C1161,Scores!$AB$2:$AB$131,0)))</f>
        <v>seth</v>
      </c>
      <c r="O1161">
        <f t="shared" si="219"/>
        <v>91.78</v>
      </c>
      <c r="P1161">
        <f t="shared" si="220"/>
        <v>333.71719999999993</v>
      </c>
      <c r="Q1161" s="3">
        <f t="shared" si="221"/>
        <v>0.64422145537573039</v>
      </c>
      <c r="R1161" s="3">
        <f t="shared" si="222"/>
        <v>0.54851958787343091</v>
      </c>
      <c r="S1161" s="9">
        <f t="shared" si="223"/>
        <v>-9.5701867502299476E-2</v>
      </c>
      <c r="T1161">
        <f t="shared" si="224"/>
        <v>70</v>
      </c>
      <c r="U1161">
        <f t="shared" si="225"/>
        <v>82</v>
      </c>
      <c r="V1161" s="3">
        <f t="shared" si="226"/>
        <v>0.16723314186018787</v>
      </c>
      <c r="W1161" s="9">
        <f t="shared" si="227"/>
        <v>-0.16723314186018787</v>
      </c>
      <c r="AC1161"/>
    </row>
    <row r="1162" spans="1:29" x14ac:dyDescent="0.25">
      <c r="A1162" t="s">
        <v>414</v>
      </c>
      <c r="B1162">
        <v>12</v>
      </c>
      <c r="C1162" t="s">
        <v>950</v>
      </c>
      <c r="D1162" t="s">
        <v>477</v>
      </c>
      <c r="E1162">
        <v>13</v>
      </c>
      <c r="F1162">
        <v>9.58</v>
      </c>
      <c r="G1162">
        <v>46.104100000000003</v>
      </c>
      <c r="H1162" t="s">
        <v>477</v>
      </c>
      <c r="I1162" t="s">
        <v>477</v>
      </c>
      <c r="J1162" t="s">
        <v>62</v>
      </c>
      <c r="K1162">
        <f t="shared" si="216"/>
        <v>115.8</v>
      </c>
      <c r="L1162">
        <f t="shared" si="217"/>
        <v>455.64659999999998</v>
      </c>
      <c r="M1162" t="str">
        <f t="shared" si="218"/>
        <v>seth-12</v>
      </c>
      <c r="N1162" t="str">
        <f>INDEX(Scores!$A$2:$A$11,INDEX(Scores!$AA$2:$AA$131,MATCH(C1162,Scores!$AB$2:$AB$131,0)))</f>
        <v>seth</v>
      </c>
      <c r="O1162">
        <f t="shared" si="219"/>
        <v>102.15</v>
      </c>
      <c r="P1162">
        <f t="shared" si="220"/>
        <v>468.55759999999998</v>
      </c>
      <c r="Q1162" s="3">
        <f t="shared" si="221"/>
        <v>0.6732850448184311</v>
      </c>
      <c r="R1162" s="3">
        <f t="shared" si="222"/>
        <v>0.71770990175277793</v>
      </c>
      <c r="S1162" s="9">
        <f t="shared" si="223"/>
        <v>4.4424856934346835E-2</v>
      </c>
      <c r="T1162">
        <f t="shared" si="224"/>
        <v>92</v>
      </c>
      <c r="U1162">
        <f t="shared" si="225"/>
        <v>95</v>
      </c>
      <c r="V1162" s="3">
        <f t="shared" si="226"/>
        <v>0.17219976870492484</v>
      </c>
      <c r="W1162" s="9">
        <f t="shared" si="227"/>
        <v>-0.17219976870492484</v>
      </c>
      <c r="AC1162"/>
    </row>
    <row r="1163" spans="1:29" x14ac:dyDescent="0.25">
      <c r="A1163" t="s">
        <v>106</v>
      </c>
      <c r="B1163">
        <v>1</v>
      </c>
      <c r="C1163" t="s">
        <v>508</v>
      </c>
      <c r="D1163" t="s">
        <v>472</v>
      </c>
      <c r="E1163">
        <v>4</v>
      </c>
      <c r="F1163">
        <v>12.2</v>
      </c>
      <c r="G1163">
        <v>108.16</v>
      </c>
      <c r="H1163" t="s">
        <v>87</v>
      </c>
      <c r="I1163" t="s">
        <v>87</v>
      </c>
      <c r="J1163" t="s">
        <v>23</v>
      </c>
      <c r="K1163">
        <f t="shared" si="216"/>
        <v>94.44</v>
      </c>
      <c r="L1163">
        <f t="shared" si="217"/>
        <v>399.28809999999999</v>
      </c>
      <c r="M1163" t="str">
        <f t="shared" si="218"/>
        <v>cory-1</v>
      </c>
      <c r="N1163" t="str">
        <f>INDEX(Scores!$A$2:$A$11,INDEX(Scores!$AA$2:$AA$131,MATCH(C1163,Scores!$AB$2:$AB$131,0)))</f>
        <v>cory</v>
      </c>
      <c r="O1163">
        <f t="shared" si="219"/>
        <v>105.11000000000001</v>
      </c>
      <c r="P1163">
        <f t="shared" si="220"/>
        <v>445.52289999999994</v>
      </c>
      <c r="Q1163" s="3">
        <f t="shared" si="221"/>
        <v>0.35677213328906182</v>
      </c>
      <c r="R1163" s="3">
        <f t="shared" si="222"/>
        <v>0.24344931573407796</v>
      </c>
      <c r="S1163" s="9">
        <f t="shared" si="223"/>
        <v>-0.11332281755498386</v>
      </c>
      <c r="T1163">
        <f t="shared" si="224"/>
        <v>82</v>
      </c>
      <c r="U1163">
        <f t="shared" si="225"/>
        <v>100</v>
      </c>
      <c r="V1163" s="3">
        <f t="shared" si="226"/>
        <v>0.1730175655029057</v>
      </c>
      <c r="W1163" s="9">
        <f t="shared" si="227"/>
        <v>-0.1730175655029057</v>
      </c>
      <c r="AC1163"/>
    </row>
    <row r="1164" spans="1:29" x14ac:dyDescent="0.25">
      <c r="A1164" t="s">
        <v>145</v>
      </c>
      <c r="B1164">
        <v>11</v>
      </c>
      <c r="C1164" t="s">
        <v>973</v>
      </c>
      <c r="D1164" t="s">
        <v>468</v>
      </c>
      <c r="E1164">
        <v>11</v>
      </c>
      <c r="F1164">
        <v>11.79</v>
      </c>
      <c r="G1164">
        <v>76.5625</v>
      </c>
      <c r="H1164" t="s">
        <v>47</v>
      </c>
      <c r="I1164" t="s">
        <v>47</v>
      </c>
      <c r="J1164" t="s">
        <v>49</v>
      </c>
      <c r="K1164">
        <f t="shared" si="216"/>
        <v>88.670000000000016</v>
      </c>
      <c r="L1164">
        <f t="shared" si="217"/>
        <v>334.39179999999999</v>
      </c>
      <c r="M1164" t="str">
        <f t="shared" si="218"/>
        <v>comp-11</v>
      </c>
      <c r="N1164" t="str">
        <f>INDEX(Scores!$A$2:$A$11,INDEX(Scores!$AA$2:$AA$131,MATCH(C1164,Scores!$AB$2:$AB$131,0)))</f>
        <v>comp</v>
      </c>
      <c r="O1164">
        <f t="shared" si="219"/>
        <v>98.580000000000013</v>
      </c>
      <c r="P1164">
        <f t="shared" si="220"/>
        <v>364.4375</v>
      </c>
      <c r="Q1164" s="3">
        <f t="shared" si="221"/>
        <v>0.35387619533584119</v>
      </c>
      <c r="R1164" s="3">
        <f t="shared" si="222"/>
        <v>0.33398383477181992</v>
      </c>
      <c r="S1164" s="9">
        <f t="shared" si="223"/>
        <v>-1.9892360564021272E-2</v>
      </c>
      <c r="T1164">
        <f t="shared" si="224"/>
        <v>102</v>
      </c>
      <c r="U1164">
        <f t="shared" si="225"/>
        <v>111</v>
      </c>
      <c r="V1164" s="3">
        <f t="shared" si="226"/>
        <v>0.17404879963396561</v>
      </c>
      <c r="W1164" s="9">
        <f t="shared" si="227"/>
        <v>-0.17404879963396561</v>
      </c>
      <c r="AC1164"/>
    </row>
    <row r="1165" spans="1:29" x14ac:dyDescent="0.25">
      <c r="A1165" t="s">
        <v>202</v>
      </c>
      <c r="B1165">
        <v>10</v>
      </c>
      <c r="C1165" t="s">
        <v>956</v>
      </c>
      <c r="D1165" t="s">
        <v>468</v>
      </c>
      <c r="E1165">
        <v>6</v>
      </c>
      <c r="F1165">
        <v>7.41</v>
      </c>
      <c r="G1165">
        <v>24.700900000000001</v>
      </c>
      <c r="H1165" t="s">
        <v>47</v>
      </c>
      <c r="I1165" t="s">
        <v>47</v>
      </c>
      <c r="J1165" t="s">
        <v>40</v>
      </c>
      <c r="K1165">
        <f t="shared" si="216"/>
        <v>97.83</v>
      </c>
      <c r="L1165">
        <f t="shared" si="217"/>
        <v>370.18310000000002</v>
      </c>
      <c r="M1165" t="e">
        <f t="shared" si="218"/>
        <v>#N/A</v>
      </c>
      <c r="N1165" t="e">
        <f>INDEX(Scores!$A$2:$A$11,INDEX(Scores!$AA$2:$AA$131,MATCH(C1165,Scores!$AB$2:$AB$131,0)))</f>
        <v>#N/A</v>
      </c>
      <c r="O1165">
        <f t="shared" si="219"/>
        <v>0</v>
      </c>
      <c r="P1165">
        <f t="shared" si="220"/>
        <v>0</v>
      </c>
      <c r="Q1165" s="3">
        <f t="shared" si="221"/>
        <v>0.99999981587831821</v>
      </c>
      <c r="R1165" s="3">
        <f t="shared" si="222"/>
        <v>0.99999989340592632</v>
      </c>
      <c r="S1165" s="9">
        <f t="shared" si="223"/>
        <v>7.7527608111083168E-8</v>
      </c>
      <c r="T1165">
        <f t="shared" si="224"/>
        <v>91</v>
      </c>
      <c r="U1165">
        <f t="shared" si="225"/>
        <v>0</v>
      </c>
      <c r="V1165" s="3">
        <f t="shared" si="226"/>
        <v>1</v>
      </c>
      <c r="W1165" s="9">
        <f t="shared" si="227"/>
        <v>0</v>
      </c>
      <c r="AC1165"/>
    </row>
    <row r="1166" spans="1:29" x14ac:dyDescent="0.25">
      <c r="A1166" t="s">
        <v>134</v>
      </c>
      <c r="B1166">
        <v>5</v>
      </c>
      <c r="C1166" t="s">
        <v>883</v>
      </c>
      <c r="D1166" t="s">
        <v>472</v>
      </c>
      <c r="E1166">
        <v>10</v>
      </c>
      <c r="F1166">
        <v>9.73</v>
      </c>
      <c r="G1166">
        <v>33.524099999999997</v>
      </c>
      <c r="H1166" t="s">
        <v>87</v>
      </c>
      <c r="I1166" t="s">
        <v>87</v>
      </c>
      <c r="J1166" t="s">
        <v>16</v>
      </c>
      <c r="K1166">
        <f t="shared" si="216"/>
        <v>109.91</v>
      </c>
      <c r="L1166">
        <f t="shared" si="217"/>
        <v>349.51409999999998</v>
      </c>
      <c r="M1166" t="str">
        <f t="shared" si="218"/>
        <v>devon-5</v>
      </c>
      <c r="N1166" t="str">
        <f>INDEX(Scores!$A$2:$A$11,INDEX(Scores!$AA$2:$AA$131,MATCH(C1166,Scores!$AB$2:$AB$131,0)))</f>
        <v>devon</v>
      </c>
      <c r="O1166">
        <f t="shared" si="219"/>
        <v>93.5</v>
      </c>
      <c r="P1166">
        <f t="shared" si="220"/>
        <v>346.9006</v>
      </c>
      <c r="Q1166" s="3">
        <f t="shared" si="221"/>
        <v>0.73297455800387123</v>
      </c>
      <c r="R1166" s="3">
        <f t="shared" si="222"/>
        <v>0.74145932871599995</v>
      </c>
      <c r="S1166" s="9">
        <f t="shared" si="223"/>
        <v>8.4847707121287197E-3</v>
      </c>
      <c r="T1166">
        <f t="shared" si="224"/>
        <v>100</v>
      </c>
      <c r="U1166">
        <f t="shared" si="225"/>
        <v>105</v>
      </c>
      <c r="V1166" s="3">
        <f t="shared" si="226"/>
        <v>0.18136116304846556</v>
      </c>
      <c r="W1166" s="9">
        <f t="shared" si="227"/>
        <v>-0.18136116304846556</v>
      </c>
      <c r="AC1166"/>
    </row>
    <row r="1167" spans="1:29" x14ac:dyDescent="0.25">
      <c r="A1167" t="s">
        <v>437</v>
      </c>
      <c r="B1167">
        <v>3</v>
      </c>
      <c r="C1167" t="s">
        <v>808</v>
      </c>
      <c r="D1167" t="s">
        <v>477</v>
      </c>
      <c r="E1167">
        <v>2</v>
      </c>
      <c r="F1167">
        <v>5.3</v>
      </c>
      <c r="G1167">
        <v>27.352900000000002</v>
      </c>
      <c r="H1167" t="s">
        <v>477</v>
      </c>
      <c r="I1167" t="s">
        <v>477</v>
      </c>
      <c r="J1167" t="s">
        <v>44</v>
      </c>
      <c r="K1167">
        <f t="shared" si="216"/>
        <v>94.54</v>
      </c>
      <c r="L1167">
        <f t="shared" si="217"/>
        <v>356.43470000000002</v>
      </c>
      <c r="M1167" t="str">
        <f t="shared" si="218"/>
        <v>aj-3</v>
      </c>
      <c r="N1167" t="str">
        <f>INDEX(Scores!$A$2:$A$11,INDEX(Scores!$AA$2:$AA$131,MATCH(C1167,Scores!$AB$2:$AB$131,0)))</f>
        <v>aj</v>
      </c>
      <c r="O1167">
        <f t="shared" si="219"/>
        <v>107.31</v>
      </c>
      <c r="P1167">
        <f t="shared" si="220"/>
        <v>425.77620000000002</v>
      </c>
      <c r="Q1167" s="3">
        <f t="shared" si="221"/>
        <v>0.3239819129085153</v>
      </c>
      <c r="R1167" s="3">
        <f t="shared" si="222"/>
        <v>0.27930674376345482</v>
      </c>
      <c r="S1167" s="9">
        <f t="shared" si="223"/>
        <v>-4.4675169145060478E-2</v>
      </c>
      <c r="T1167">
        <f t="shared" si="224"/>
        <v>88</v>
      </c>
      <c r="U1167">
        <f t="shared" si="225"/>
        <v>96</v>
      </c>
      <c r="V1167" s="3">
        <f t="shared" si="226"/>
        <v>0.18441647687160795</v>
      </c>
      <c r="W1167" s="9">
        <f t="shared" si="227"/>
        <v>-0.18441647687160795</v>
      </c>
      <c r="AC1167"/>
    </row>
    <row r="1168" spans="1:29" x14ac:dyDescent="0.25">
      <c r="A1168" t="s">
        <v>98</v>
      </c>
      <c r="B1168">
        <v>1</v>
      </c>
      <c r="C1168" t="s">
        <v>500</v>
      </c>
      <c r="D1168" t="s">
        <v>471</v>
      </c>
      <c r="E1168">
        <v>13</v>
      </c>
      <c r="F1168">
        <v>12.69</v>
      </c>
      <c r="G1168">
        <v>52.5625</v>
      </c>
      <c r="H1168" t="s">
        <v>87</v>
      </c>
      <c r="I1168" t="s">
        <v>87</v>
      </c>
      <c r="J1168" t="s">
        <v>44</v>
      </c>
      <c r="K1168">
        <f t="shared" si="216"/>
        <v>111.07</v>
      </c>
      <c r="L1168">
        <f t="shared" si="217"/>
        <v>422.00569999999999</v>
      </c>
      <c r="M1168" t="str">
        <f t="shared" si="218"/>
        <v>comp-1</v>
      </c>
      <c r="N1168" t="str">
        <f>INDEX(Scores!$A$2:$A$11,INDEX(Scores!$AA$2:$AA$131,MATCH(C1168,Scores!$AB$2:$AB$131,0)))</f>
        <v>comp</v>
      </c>
      <c r="O1168">
        <f t="shared" si="219"/>
        <v>110.7</v>
      </c>
      <c r="P1168">
        <f t="shared" si="220"/>
        <v>433.44330000000002</v>
      </c>
      <c r="Q1168" s="3">
        <f t="shared" si="221"/>
        <v>0.50504664952103229</v>
      </c>
      <c r="R1168" s="3">
        <f t="shared" si="222"/>
        <v>0.50957304754141897</v>
      </c>
      <c r="S1168" s="9">
        <f t="shared" si="223"/>
        <v>4.5263980203866794E-3</v>
      </c>
      <c r="T1168">
        <f t="shared" si="224"/>
        <v>71</v>
      </c>
      <c r="U1168">
        <f t="shared" si="225"/>
        <v>77</v>
      </c>
      <c r="V1168" s="3">
        <f t="shared" si="226"/>
        <v>0.19205599401994025</v>
      </c>
      <c r="W1168" s="9">
        <f t="shared" si="227"/>
        <v>-0.19205599401994025</v>
      </c>
      <c r="AC1168"/>
    </row>
    <row r="1169" spans="1:29" x14ac:dyDescent="0.25">
      <c r="A1169" t="s">
        <v>123</v>
      </c>
      <c r="B1169">
        <v>13</v>
      </c>
      <c r="C1169" t="s">
        <v>943</v>
      </c>
      <c r="D1169" t="s">
        <v>468</v>
      </c>
      <c r="E1169">
        <v>3</v>
      </c>
      <c r="F1169">
        <v>10.89</v>
      </c>
      <c r="G1169">
        <v>49.702500000000001</v>
      </c>
      <c r="H1169" t="s">
        <v>47</v>
      </c>
      <c r="I1169" t="s">
        <v>47</v>
      </c>
      <c r="J1169" t="s">
        <v>27</v>
      </c>
      <c r="K1169">
        <f t="shared" si="216"/>
        <v>104.63999999999999</v>
      </c>
      <c r="L1169">
        <f t="shared" si="217"/>
        <v>400.33339999999998</v>
      </c>
      <c r="M1169" t="str">
        <f t="shared" si="218"/>
        <v>chad-13</v>
      </c>
      <c r="N1169" t="str">
        <f>INDEX(Scores!$A$2:$A$11,INDEX(Scores!$AA$2:$AA$131,MATCH(C1169,Scores!$AB$2:$AB$131,0)))</f>
        <v>chad</v>
      </c>
      <c r="O1169">
        <f t="shared" si="219"/>
        <v>113.35</v>
      </c>
      <c r="P1169">
        <f t="shared" si="220"/>
        <v>486.24799999999993</v>
      </c>
      <c r="Q1169" s="3">
        <f t="shared" si="221"/>
        <v>0.3849436901786526</v>
      </c>
      <c r="R1169" s="3">
        <f t="shared" si="222"/>
        <v>0.28304431583813749</v>
      </c>
      <c r="S1169" s="9">
        <f t="shared" si="223"/>
        <v>-0.1018993743405151</v>
      </c>
      <c r="T1169">
        <f t="shared" si="224"/>
        <v>81</v>
      </c>
      <c r="U1169">
        <f t="shared" si="225"/>
        <v>95</v>
      </c>
      <c r="V1169" s="3">
        <f t="shared" si="226"/>
        <v>0.19306233714190693</v>
      </c>
      <c r="W1169" s="9">
        <f t="shared" si="227"/>
        <v>-0.19306233714190693</v>
      </c>
      <c r="AC1169"/>
    </row>
    <row r="1170" spans="1:29" x14ac:dyDescent="0.25">
      <c r="A1170" t="s">
        <v>183</v>
      </c>
      <c r="B1170">
        <v>7</v>
      </c>
      <c r="C1170" t="s">
        <v>977</v>
      </c>
      <c r="D1170" t="s">
        <v>466</v>
      </c>
      <c r="E1170">
        <v>6</v>
      </c>
      <c r="F1170">
        <v>7.13</v>
      </c>
      <c r="G1170">
        <v>11.2225</v>
      </c>
      <c r="H1170" t="s">
        <v>466</v>
      </c>
      <c r="I1170" t="s">
        <v>47</v>
      </c>
      <c r="J1170" t="s">
        <v>44</v>
      </c>
      <c r="K1170">
        <f t="shared" si="216"/>
        <v>96.25</v>
      </c>
      <c r="L1170">
        <f t="shared" si="217"/>
        <v>294.3</v>
      </c>
      <c r="M1170" t="str">
        <f t="shared" si="218"/>
        <v>cory-7</v>
      </c>
      <c r="N1170" t="str">
        <f>INDEX(Scores!$A$2:$A$11,INDEX(Scores!$AA$2:$AA$131,MATCH(C1170,Scores!$AB$2:$AB$131,0)))</f>
        <v>cory</v>
      </c>
      <c r="O1170">
        <f t="shared" si="219"/>
        <v>86.09</v>
      </c>
      <c r="P1170">
        <f t="shared" si="220"/>
        <v>350.80079999999998</v>
      </c>
      <c r="Q1170" s="3">
        <f t="shared" si="221"/>
        <v>0.65542850055780277</v>
      </c>
      <c r="R1170" s="3">
        <f t="shared" si="222"/>
        <v>0.64007584812461193</v>
      </c>
      <c r="S1170" s="9">
        <f t="shared" si="223"/>
        <v>-1.5352652433190839E-2</v>
      </c>
      <c r="T1170">
        <f t="shared" si="224"/>
        <v>81</v>
      </c>
      <c r="U1170">
        <f t="shared" si="225"/>
        <v>85</v>
      </c>
      <c r="V1170" s="3">
        <f t="shared" si="226"/>
        <v>0.19580081379297781</v>
      </c>
      <c r="W1170" s="9">
        <f t="shared" si="227"/>
        <v>-0.19580081379297781</v>
      </c>
      <c r="AC1170"/>
    </row>
    <row r="1171" spans="1:29" x14ac:dyDescent="0.25">
      <c r="A1171" t="s">
        <v>176</v>
      </c>
      <c r="B1171">
        <v>5</v>
      </c>
      <c r="C1171" t="s">
        <v>891</v>
      </c>
      <c r="D1171" t="s">
        <v>475</v>
      </c>
      <c r="E1171">
        <v>5</v>
      </c>
      <c r="F1171">
        <v>5.72</v>
      </c>
      <c r="G1171">
        <v>15.366400000000001</v>
      </c>
      <c r="H1171" t="s">
        <v>114</v>
      </c>
      <c r="I1171" t="s">
        <v>114</v>
      </c>
      <c r="J1171" t="s">
        <v>49</v>
      </c>
      <c r="K1171">
        <f t="shared" si="216"/>
        <v>99.23</v>
      </c>
      <c r="L1171">
        <f t="shared" si="217"/>
        <v>364.64739999999995</v>
      </c>
      <c r="M1171" t="str">
        <f t="shared" si="218"/>
        <v>aj-5</v>
      </c>
      <c r="N1171" t="str">
        <f>INDEX(Scores!$A$2:$A$11,INDEX(Scores!$AA$2:$AA$131,MATCH(C1171,Scores!$AB$2:$AB$131,0)))</f>
        <v>aj</v>
      </c>
      <c r="O1171">
        <f t="shared" si="219"/>
        <v>117.25999999999999</v>
      </c>
      <c r="P1171">
        <f t="shared" si="220"/>
        <v>422.9941</v>
      </c>
      <c r="Q1171" s="3">
        <f t="shared" si="221"/>
        <v>0.26029431580256523</v>
      </c>
      <c r="R1171" s="3">
        <f t="shared" si="222"/>
        <v>0.24993094844031588</v>
      </c>
      <c r="S1171" s="9">
        <f t="shared" si="223"/>
        <v>-1.0363367362249354E-2</v>
      </c>
      <c r="T1171">
        <f t="shared" si="224"/>
        <v>106</v>
      </c>
      <c r="U1171">
        <f t="shared" si="225"/>
        <v>110</v>
      </c>
      <c r="V1171" s="3">
        <f t="shared" si="226"/>
        <v>0.2013708565580922</v>
      </c>
      <c r="W1171" s="9">
        <f t="shared" si="227"/>
        <v>-0.2013708565580922</v>
      </c>
      <c r="AC1171"/>
    </row>
    <row r="1172" spans="1:29" x14ac:dyDescent="0.25">
      <c r="A1172" t="s">
        <v>155</v>
      </c>
      <c r="B1172">
        <v>3</v>
      </c>
      <c r="C1172" t="s">
        <v>808</v>
      </c>
      <c r="D1172" t="s">
        <v>469</v>
      </c>
      <c r="E1172">
        <v>3</v>
      </c>
      <c r="F1172">
        <v>7.48</v>
      </c>
      <c r="G1172">
        <v>17.7241</v>
      </c>
      <c r="H1172" t="s">
        <v>47</v>
      </c>
      <c r="I1172" t="s">
        <v>47</v>
      </c>
      <c r="J1172" t="s">
        <v>44</v>
      </c>
      <c r="K1172">
        <f t="shared" si="216"/>
        <v>94.54</v>
      </c>
      <c r="L1172">
        <f t="shared" si="217"/>
        <v>356.43470000000002</v>
      </c>
      <c r="M1172" t="str">
        <f t="shared" si="218"/>
        <v>aj-3</v>
      </c>
      <c r="N1172" t="str">
        <f>INDEX(Scores!$A$2:$A$11,INDEX(Scores!$AA$2:$AA$131,MATCH(C1172,Scores!$AB$2:$AB$131,0)))</f>
        <v>aj</v>
      </c>
      <c r="O1172">
        <f t="shared" si="219"/>
        <v>107.31</v>
      </c>
      <c r="P1172">
        <f t="shared" si="220"/>
        <v>425.77620000000002</v>
      </c>
      <c r="Q1172" s="3">
        <f t="shared" si="221"/>
        <v>0.3239819129085153</v>
      </c>
      <c r="R1172" s="3">
        <f t="shared" si="222"/>
        <v>0.26635176363297253</v>
      </c>
      <c r="S1172" s="9">
        <f t="shared" si="223"/>
        <v>-5.7630149275542775E-2</v>
      </c>
      <c r="T1172">
        <f t="shared" si="224"/>
        <v>88</v>
      </c>
      <c r="U1172">
        <f t="shared" si="225"/>
        <v>96</v>
      </c>
      <c r="V1172" s="3">
        <f t="shared" si="226"/>
        <v>0.20154805484470964</v>
      </c>
      <c r="W1172" s="9">
        <f t="shared" si="227"/>
        <v>-0.20154805484470964</v>
      </c>
      <c r="AC1172"/>
    </row>
    <row r="1173" spans="1:29" x14ac:dyDescent="0.25">
      <c r="A1173" t="s">
        <v>247</v>
      </c>
      <c r="B1173">
        <v>10</v>
      </c>
      <c r="C1173" t="s">
        <v>980</v>
      </c>
      <c r="D1173" t="s">
        <v>475</v>
      </c>
      <c r="E1173">
        <v>6</v>
      </c>
      <c r="F1173">
        <v>5.94</v>
      </c>
      <c r="G1173">
        <v>24.900099999999998</v>
      </c>
      <c r="H1173" t="s">
        <v>114</v>
      </c>
      <c r="I1173" t="s">
        <v>114</v>
      </c>
      <c r="J1173" t="s">
        <v>44</v>
      </c>
      <c r="K1173">
        <f t="shared" si="216"/>
        <v>104.52999999999999</v>
      </c>
      <c r="L1173">
        <f t="shared" si="217"/>
        <v>446.11959999999999</v>
      </c>
      <c r="M1173" t="str">
        <f t="shared" si="218"/>
        <v>matty-10</v>
      </c>
      <c r="N1173" t="str">
        <f>INDEX(Scores!$A$2:$A$11,INDEX(Scores!$AA$2:$AA$131,MATCH(C1173,Scores!$AB$2:$AB$131,0)))</f>
        <v>matty</v>
      </c>
      <c r="O1173">
        <f t="shared" si="219"/>
        <v>80.72</v>
      </c>
      <c r="P1173">
        <f t="shared" si="220"/>
        <v>274.11410000000001</v>
      </c>
      <c r="Q1173" s="3">
        <f t="shared" si="221"/>
        <v>0.81251501229102341</v>
      </c>
      <c r="R1173" s="3">
        <f t="shared" si="222"/>
        <v>0.81732649782443523</v>
      </c>
      <c r="S1173" s="9">
        <f t="shared" si="223"/>
        <v>4.8114855334118189E-3</v>
      </c>
      <c r="T1173">
        <f t="shared" si="224"/>
        <v>80</v>
      </c>
      <c r="U1173">
        <f t="shared" si="225"/>
        <v>84</v>
      </c>
      <c r="V1173" s="3">
        <f t="shared" si="226"/>
        <v>0.20792925979306856</v>
      </c>
      <c r="W1173" s="9">
        <f t="shared" si="227"/>
        <v>-0.20792925979306856</v>
      </c>
      <c r="AC1173"/>
    </row>
    <row r="1174" spans="1:29" x14ac:dyDescent="0.25">
      <c r="A1174" t="s">
        <v>165</v>
      </c>
      <c r="B1174">
        <v>3</v>
      </c>
      <c r="C1174" t="s">
        <v>808</v>
      </c>
      <c r="D1174" t="s">
        <v>475</v>
      </c>
      <c r="E1174">
        <v>3</v>
      </c>
      <c r="F1174">
        <v>7.23</v>
      </c>
      <c r="G1174">
        <v>21.715599999999998</v>
      </c>
      <c r="H1174" t="s">
        <v>114</v>
      </c>
      <c r="I1174" t="s">
        <v>114</v>
      </c>
      <c r="J1174" t="s">
        <v>44</v>
      </c>
      <c r="K1174">
        <f t="shared" si="216"/>
        <v>94.54</v>
      </c>
      <c r="L1174">
        <f t="shared" si="217"/>
        <v>356.43470000000002</v>
      </c>
      <c r="M1174" t="str">
        <f t="shared" si="218"/>
        <v>aj-3</v>
      </c>
      <c r="N1174" t="str">
        <f>INDEX(Scores!$A$2:$A$11,INDEX(Scores!$AA$2:$AA$131,MATCH(C1174,Scores!$AB$2:$AB$131,0)))</f>
        <v>aj</v>
      </c>
      <c r="O1174">
        <f t="shared" si="219"/>
        <v>107.31</v>
      </c>
      <c r="P1174">
        <f t="shared" si="220"/>
        <v>425.77620000000002</v>
      </c>
      <c r="Q1174" s="3">
        <f t="shared" si="221"/>
        <v>0.3239819129085153</v>
      </c>
      <c r="R1174" s="3">
        <f t="shared" si="222"/>
        <v>0.26879747115461305</v>
      </c>
      <c r="S1174" s="9">
        <f t="shared" si="223"/>
        <v>-5.5184441753902247E-2</v>
      </c>
      <c r="T1174">
        <f t="shared" si="224"/>
        <v>88</v>
      </c>
      <c r="U1174">
        <f t="shared" si="225"/>
        <v>96</v>
      </c>
      <c r="V1174" s="3">
        <f t="shared" si="226"/>
        <v>0.20925387013068855</v>
      </c>
      <c r="W1174" s="9">
        <f t="shared" si="227"/>
        <v>-0.20925387013068855</v>
      </c>
      <c r="AC1174"/>
    </row>
    <row r="1175" spans="1:29" x14ac:dyDescent="0.25">
      <c r="A1175" t="s">
        <v>266</v>
      </c>
      <c r="B1175">
        <v>9</v>
      </c>
      <c r="C1175" t="s">
        <v>931</v>
      </c>
      <c r="D1175" t="s">
        <v>472</v>
      </c>
      <c r="E1175">
        <v>3</v>
      </c>
      <c r="F1175">
        <v>7.42</v>
      </c>
      <c r="G1175">
        <v>19.7136</v>
      </c>
      <c r="H1175" t="s">
        <v>87</v>
      </c>
      <c r="I1175" t="s">
        <v>87</v>
      </c>
      <c r="J1175" t="s">
        <v>35</v>
      </c>
      <c r="K1175">
        <f t="shared" si="216"/>
        <v>104.66</v>
      </c>
      <c r="L1175">
        <f t="shared" si="217"/>
        <v>474.51049999999998</v>
      </c>
      <c r="M1175" t="str">
        <f t="shared" si="218"/>
        <v>cory-9</v>
      </c>
      <c r="N1175" t="str">
        <f>INDEX(Scores!$A$2:$A$11,INDEX(Scores!$AA$2:$AA$131,MATCH(C1175,Scores!$AB$2:$AB$131,0)))</f>
        <v>cory</v>
      </c>
      <c r="O1175">
        <f t="shared" si="219"/>
        <v>90.69</v>
      </c>
      <c r="P1175">
        <f t="shared" si="220"/>
        <v>356.05790000000002</v>
      </c>
      <c r="Q1175" s="3">
        <f t="shared" si="221"/>
        <v>0.68606954461640712</v>
      </c>
      <c r="R1175" s="3">
        <f t="shared" si="222"/>
        <v>0.63132921989934465</v>
      </c>
      <c r="S1175" s="9">
        <f t="shared" si="223"/>
        <v>-5.4740324717062472E-2</v>
      </c>
      <c r="T1175">
        <f t="shared" si="224"/>
        <v>81</v>
      </c>
      <c r="U1175">
        <f t="shared" si="225"/>
        <v>89</v>
      </c>
      <c r="V1175" s="3">
        <f t="shared" si="226"/>
        <v>0.21003312759574894</v>
      </c>
      <c r="W1175" s="9">
        <f t="shared" si="227"/>
        <v>-0.21003312759574894</v>
      </c>
      <c r="AC1175"/>
    </row>
    <row r="1176" spans="1:29" x14ac:dyDescent="0.25">
      <c r="A1176" t="s">
        <v>108</v>
      </c>
      <c r="B1176">
        <v>4</v>
      </c>
      <c r="C1176" t="s">
        <v>862</v>
      </c>
      <c r="D1176" t="s">
        <v>472</v>
      </c>
      <c r="E1176">
        <v>3</v>
      </c>
      <c r="F1176">
        <v>10.01</v>
      </c>
      <c r="G1176">
        <v>38.44</v>
      </c>
      <c r="H1176" t="s">
        <v>87</v>
      </c>
      <c r="I1176" t="s">
        <v>87</v>
      </c>
      <c r="J1176" t="s">
        <v>23</v>
      </c>
      <c r="K1176">
        <f t="shared" si="216"/>
        <v>111.07000000000001</v>
      </c>
      <c r="L1176">
        <f t="shared" si="217"/>
        <v>406.62959999999998</v>
      </c>
      <c r="M1176" t="str">
        <f t="shared" si="218"/>
        <v>devon-4</v>
      </c>
      <c r="N1176" t="str">
        <f>INDEX(Scores!$A$2:$A$11,INDEX(Scores!$AA$2:$AA$131,MATCH(C1176,Scores!$AB$2:$AB$131,0)))</f>
        <v>devon</v>
      </c>
      <c r="O1176">
        <f t="shared" si="219"/>
        <v>99.78</v>
      </c>
      <c r="P1176">
        <f t="shared" si="220"/>
        <v>369.21209999999996</v>
      </c>
      <c r="Q1176" s="3">
        <f t="shared" si="221"/>
        <v>0.65738205274668193</v>
      </c>
      <c r="R1176" s="3">
        <f t="shared" si="222"/>
        <v>0.56261907273241429</v>
      </c>
      <c r="S1176" s="9">
        <f t="shared" si="223"/>
        <v>-9.4762980014267639E-2</v>
      </c>
      <c r="T1176">
        <f t="shared" si="224"/>
        <v>72</v>
      </c>
      <c r="U1176">
        <f t="shared" si="225"/>
        <v>84</v>
      </c>
      <c r="V1176" s="3">
        <f t="shared" si="226"/>
        <v>0.21045638025246163</v>
      </c>
      <c r="W1176" s="9">
        <f t="shared" si="227"/>
        <v>-0.21045638025246163</v>
      </c>
      <c r="AC1176"/>
    </row>
    <row r="1177" spans="1:29" x14ac:dyDescent="0.25">
      <c r="A1177" t="s">
        <v>427</v>
      </c>
      <c r="B1177">
        <v>4</v>
      </c>
      <c r="C1177" t="s">
        <v>861</v>
      </c>
      <c r="D1177" t="s">
        <v>477</v>
      </c>
      <c r="E1177">
        <v>-4</v>
      </c>
      <c r="F1177">
        <v>7.1</v>
      </c>
      <c r="G1177">
        <v>37.945599999999999</v>
      </c>
      <c r="H1177" t="s">
        <v>477</v>
      </c>
      <c r="I1177" t="s">
        <v>477</v>
      </c>
      <c r="J1177" t="s">
        <v>20</v>
      </c>
      <c r="K1177">
        <f t="shared" si="216"/>
        <v>113.07</v>
      </c>
      <c r="L1177">
        <f t="shared" si="217"/>
        <v>452.41279999999995</v>
      </c>
      <c r="M1177" t="str">
        <f t="shared" si="218"/>
        <v>cory-4</v>
      </c>
      <c r="N1177" t="str">
        <f>INDEX(Scores!$A$2:$A$11,INDEX(Scores!$AA$2:$AA$131,MATCH(C1177,Scores!$AB$2:$AB$131,0)))</f>
        <v>cory</v>
      </c>
      <c r="O1177">
        <f t="shared" si="219"/>
        <v>115.58999999999999</v>
      </c>
      <c r="P1177">
        <f t="shared" si="220"/>
        <v>432.42160000000007</v>
      </c>
      <c r="Q1177" s="3">
        <f t="shared" si="221"/>
        <v>0.46624326985872333</v>
      </c>
      <c r="R1177" s="3">
        <f t="shared" si="222"/>
        <v>0.31988533610654085</v>
      </c>
      <c r="S1177" s="9">
        <f t="shared" si="223"/>
        <v>-0.14635793375218248</v>
      </c>
      <c r="T1177">
        <f t="shared" si="224"/>
        <v>88</v>
      </c>
      <c r="U1177">
        <f t="shared" si="225"/>
        <v>104</v>
      </c>
      <c r="V1177" s="3">
        <f t="shared" si="226"/>
        <v>0.21317457087163832</v>
      </c>
      <c r="W1177" s="9">
        <f t="shared" si="227"/>
        <v>-0.21317457087163832</v>
      </c>
      <c r="AC1177"/>
    </row>
    <row r="1178" spans="1:29" x14ac:dyDescent="0.25">
      <c r="A1178" t="s">
        <v>456</v>
      </c>
      <c r="B1178">
        <v>5</v>
      </c>
      <c r="C1178" t="s">
        <v>891</v>
      </c>
      <c r="D1178" t="s">
        <v>478</v>
      </c>
      <c r="E1178">
        <v>7</v>
      </c>
      <c r="F1178">
        <v>7.82</v>
      </c>
      <c r="G1178">
        <v>16.483599999999999</v>
      </c>
      <c r="H1178" t="s">
        <v>478</v>
      </c>
      <c r="I1178" t="s">
        <v>478</v>
      </c>
      <c r="J1178" t="s">
        <v>49</v>
      </c>
      <c r="K1178">
        <f t="shared" si="216"/>
        <v>99.23</v>
      </c>
      <c r="L1178">
        <f t="shared" si="217"/>
        <v>364.64739999999995</v>
      </c>
      <c r="M1178" t="str">
        <f t="shared" si="218"/>
        <v>aj-5</v>
      </c>
      <c r="N1178" t="str">
        <f>INDEX(Scores!$A$2:$A$11,INDEX(Scores!$AA$2:$AA$131,MATCH(C1178,Scores!$AB$2:$AB$131,0)))</f>
        <v>aj</v>
      </c>
      <c r="O1178">
        <f t="shared" si="219"/>
        <v>117.25999999999999</v>
      </c>
      <c r="P1178">
        <f t="shared" si="220"/>
        <v>422.9941</v>
      </c>
      <c r="Q1178" s="3">
        <f t="shared" si="221"/>
        <v>0.26029431580256523</v>
      </c>
      <c r="R1178" s="3">
        <f t="shared" si="222"/>
        <v>0.24863335427883376</v>
      </c>
      <c r="S1178" s="9">
        <f t="shared" si="223"/>
        <v>-1.1660961523731472E-2</v>
      </c>
      <c r="T1178">
        <f t="shared" si="224"/>
        <v>106</v>
      </c>
      <c r="U1178">
        <f t="shared" si="225"/>
        <v>110</v>
      </c>
      <c r="V1178" s="3">
        <f t="shared" si="226"/>
        <v>0.21673979772363569</v>
      </c>
      <c r="W1178" s="9">
        <f t="shared" si="227"/>
        <v>-0.21673979772363569</v>
      </c>
      <c r="AC1178"/>
    </row>
    <row r="1179" spans="1:29" x14ac:dyDescent="0.25">
      <c r="A1179" t="s">
        <v>81</v>
      </c>
      <c r="B1179">
        <v>1</v>
      </c>
      <c r="C1179" t="s">
        <v>499</v>
      </c>
      <c r="D1179" t="s">
        <v>468</v>
      </c>
      <c r="E1179">
        <v>15</v>
      </c>
      <c r="F1179">
        <v>13.47</v>
      </c>
      <c r="G1179">
        <v>50.126399999999997</v>
      </c>
      <c r="H1179" t="s">
        <v>47</v>
      </c>
      <c r="I1179" t="s">
        <v>47</v>
      </c>
      <c r="J1179" t="s">
        <v>40</v>
      </c>
      <c r="K1179">
        <f t="shared" si="216"/>
        <v>101.15</v>
      </c>
      <c r="L1179">
        <f t="shared" si="217"/>
        <v>350.32479999999998</v>
      </c>
      <c r="M1179" t="e">
        <f t="shared" si="218"/>
        <v>#N/A</v>
      </c>
      <c r="N1179" t="e">
        <f>INDEX(Scores!$A$2:$A$11,INDEX(Scores!$AA$2:$AA$131,MATCH(C1179,Scores!$AB$2:$AB$131,0)))</f>
        <v>#N/A</v>
      </c>
      <c r="O1179">
        <f t="shared" si="219"/>
        <v>0</v>
      </c>
      <c r="P1179">
        <f t="shared" si="220"/>
        <v>0</v>
      </c>
      <c r="Q1179" s="3">
        <f t="shared" si="221"/>
        <v>0.9999999674486757</v>
      </c>
      <c r="R1179" s="3">
        <f t="shared" si="222"/>
        <v>0.99999999845056631</v>
      </c>
      <c r="S1179" s="9">
        <f t="shared" si="223"/>
        <v>3.1001890610227179E-8</v>
      </c>
      <c r="T1179">
        <f t="shared" si="224"/>
        <v>71</v>
      </c>
      <c r="U1179">
        <f t="shared" si="225"/>
        <v>0</v>
      </c>
      <c r="V1179" s="3">
        <f t="shared" si="226"/>
        <v>1</v>
      </c>
      <c r="W1179" s="9">
        <f t="shared" si="227"/>
        <v>0</v>
      </c>
      <c r="AC1179"/>
    </row>
    <row r="1180" spans="1:29" x14ac:dyDescent="0.25">
      <c r="A1180" t="s">
        <v>21</v>
      </c>
      <c r="B1180">
        <v>4</v>
      </c>
      <c r="C1180" t="s">
        <v>862</v>
      </c>
      <c r="D1180" t="s">
        <v>467</v>
      </c>
      <c r="E1180">
        <v>18</v>
      </c>
      <c r="F1180">
        <v>23.82</v>
      </c>
      <c r="G1180">
        <v>63.520899999999997</v>
      </c>
      <c r="H1180" t="s">
        <v>15</v>
      </c>
      <c r="I1180" t="s">
        <v>15</v>
      </c>
      <c r="J1180" t="s">
        <v>23</v>
      </c>
      <c r="K1180">
        <f t="shared" si="216"/>
        <v>111.07000000000001</v>
      </c>
      <c r="L1180">
        <f t="shared" si="217"/>
        <v>406.62959999999998</v>
      </c>
      <c r="M1180" t="str">
        <f t="shared" si="218"/>
        <v>devon-4</v>
      </c>
      <c r="N1180" t="str">
        <f>INDEX(Scores!$A$2:$A$11,INDEX(Scores!$AA$2:$AA$131,MATCH(C1180,Scores!$AB$2:$AB$131,0)))</f>
        <v>devon</v>
      </c>
      <c r="O1180">
        <f t="shared" si="219"/>
        <v>99.78</v>
      </c>
      <c r="P1180">
        <f t="shared" si="220"/>
        <v>369.21209999999996</v>
      </c>
      <c r="Q1180" s="3">
        <f t="shared" si="221"/>
        <v>0.65738205274668193</v>
      </c>
      <c r="R1180" s="3">
        <f t="shared" si="222"/>
        <v>0.58119469828154868</v>
      </c>
      <c r="S1180" s="9">
        <f t="shared" si="223"/>
        <v>-7.618735446513325E-2</v>
      </c>
      <c r="T1180">
        <f t="shared" si="224"/>
        <v>72</v>
      </c>
      <c r="U1180">
        <f t="shared" si="225"/>
        <v>84</v>
      </c>
      <c r="V1180" s="3">
        <f t="shared" si="226"/>
        <v>0.21904936991820734</v>
      </c>
      <c r="W1180" s="9">
        <f t="shared" si="227"/>
        <v>-0.21904936991820734</v>
      </c>
      <c r="AC1180"/>
    </row>
    <row r="1181" spans="1:29" x14ac:dyDescent="0.25">
      <c r="A1181" t="s">
        <v>43</v>
      </c>
      <c r="B1181">
        <v>8</v>
      </c>
      <c r="C1181" t="s">
        <v>978</v>
      </c>
      <c r="D1181" t="s">
        <v>467</v>
      </c>
      <c r="E1181">
        <v>10</v>
      </c>
      <c r="F1181">
        <v>20.57</v>
      </c>
      <c r="G1181">
        <v>36.723599999999998</v>
      </c>
      <c r="H1181" t="s">
        <v>15</v>
      </c>
      <c r="I1181" t="s">
        <v>15</v>
      </c>
      <c r="J1181" t="s">
        <v>44</v>
      </c>
      <c r="K1181">
        <f t="shared" si="216"/>
        <v>96.57</v>
      </c>
      <c r="L1181">
        <f t="shared" si="217"/>
        <v>368.03749999999997</v>
      </c>
      <c r="M1181" t="str">
        <f t="shared" si="218"/>
        <v>devon-8</v>
      </c>
      <c r="N1181" t="str">
        <f>INDEX(Scores!$A$2:$A$11,INDEX(Scores!$AA$2:$AA$131,MATCH(C1181,Scores!$AB$2:$AB$131,0)))</f>
        <v>devon</v>
      </c>
      <c r="O1181">
        <f t="shared" si="219"/>
        <v>102.43</v>
      </c>
      <c r="P1181">
        <f t="shared" si="220"/>
        <v>452.86560000000003</v>
      </c>
      <c r="Q1181" s="3">
        <f t="shared" si="221"/>
        <v>0.41897065981019621</v>
      </c>
      <c r="R1181" s="3">
        <f t="shared" si="222"/>
        <v>0.27869637285258492</v>
      </c>
      <c r="S1181" s="9">
        <f t="shared" si="223"/>
        <v>-0.14027428695761129</v>
      </c>
      <c r="T1181">
        <f t="shared" si="224"/>
        <v>85</v>
      </c>
      <c r="U1181">
        <f t="shared" si="225"/>
        <v>100</v>
      </c>
      <c r="V1181" s="3">
        <f t="shared" si="226"/>
        <v>0.23238252098493434</v>
      </c>
      <c r="W1181" s="9">
        <f t="shared" si="227"/>
        <v>-0.23238252098493434</v>
      </c>
      <c r="AC1181"/>
    </row>
    <row r="1182" spans="1:29" x14ac:dyDescent="0.25">
      <c r="A1182" t="s">
        <v>108</v>
      </c>
      <c r="B1182">
        <v>12</v>
      </c>
      <c r="C1182" t="s">
        <v>950</v>
      </c>
      <c r="D1182" t="s">
        <v>472</v>
      </c>
      <c r="E1182">
        <v>15</v>
      </c>
      <c r="F1182">
        <v>11.97</v>
      </c>
      <c r="G1182">
        <v>68.724100000000007</v>
      </c>
      <c r="H1182" t="s">
        <v>87</v>
      </c>
      <c r="I1182" t="s">
        <v>87</v>
      </c>
      <c r="J1182" t="s">
        <v>62</v>
      </c>
      <c r="K1182">
        <f t="shared" si="216"/>
        <v>115.8</v>
      </c>
      <c r="L1182">
        <f t="shared" si="217"/>
        <v>455.64659999999998</v>
      </c>
      <c r="M1182" t="str">
        <f t="shared" si="218"/>
        <v>seth-12</v>
      </c>
      <c r="N1182" t="str">
        <f>INDEX(Scores!$A$2:$A$11,INDEX(Scores!$AA$2:$AA$131,MATCH(C1182,Scores!$AB$2:$AB$131,0)))</f>
        <v>seth</v>
      </c>
      <c r="O1182">
        <f t="shared" si="219"/>
        <v>102.15</v>
      </c>
      <c r="P1182">
        <f t="shared" si="220"/>
        <v>468.55759999999998</v>
      </c>
      <c r="Q1182" s="3">
        <f t="shared" si="221"/>
        <v>0.6732850448184311</v>
      </c>
      <c r="R1182" s="3">
        <f t="shared" si="222"/>
        <v>0.71575741146698524</v>
      </c>
      <c r="S1182" s="9">
        <f t="shared" si="223"/>
        <v>4.2472366648554138E-2</v>
      </c>
      <c r="T1182">
        <f t="shared" si="224"/>
        <v>92</v>
      </c>
      <c r="U1182">
        <f t="shared" si="225"/>
        <v>95</v>
      </c>
      <c r="V1182" s="3">
        <f t="shared" si="226"/>
        <v>0.23349587007661643</v>
      </c>
      <c r="W1182" s="9">
        <f t="shared" si="227"/>
        <v>-0.23349587007661643</v>
      </c>
      <c r="AC1182"/>
    </row>
    <row r="1183" spans="1:29" x14ac:dyDescent="0.25">
      <c r="A1183" t="s">
        <v>164</v>
      </c>
      <c r="B1183">
        <v>12</v>
      </c>
      <c r="C1183" t="s">
        <v>950</v>
      </c>
      <c r="D1183" t="s">
        <v>469</v>
      </c>
      <c r="E1183">
        <v>13</v>
      </c>
      <c r="F1183">
        <v>10.02</v>
      </c>
      <c r="G1183">
        <v>68.724100000000007</v>
      </c>
      <c r="H1183" t="s">
        <v>47</v>
      </c>
      <c r="I1183" t="s">
        <v>47</v>
      </c>
      <c r="J1183" t="s">
        <v>62</v>
      </c>
      <c r="K1183">
        <f t="shared" si="216"/>
        <v>115.8</v>
      </c>
      <c r="L1183">
        <f t="shared" si="217"/>
        <v>455.64659999999998</v>
      </c>
      <c r="M1183" t="str">
        <f t="shared" si="218"/>
        <v>seth-12</v>
      </c>
      <c r="N1183" t="str">
        <f>INDEX(Scores!$A$2:$A$11,INDEX(Scores!$AA$2:$AA$131,MATCH(C1183,Scores!$AB$2:$AB$131,0)))</f>
        <v>seth</v>
      </c>
      <c r="O1183">
        <f t="shared" si="219"/>
        <v>102.15</v>
      </c>
      <c r="P1183">
        <f t="shared" si="220"/>
        <v>468.55759999999998</v>
      </c>
      <c r="Q1183" s="3">
        <f t="shared" si="221"/>
        <v>0.6732850448184311</v>
      </c>
      <c r="R1183" s="3">
        <f t="shared" si="222"/>
        <v>0.71517749533949981</v>
      </c>
      <c r="S1183" s="9">
        <f t="shared" si="223"/>
        <v>4.1892450521068714E-2</v>
      </c>
      <c r="T1183">
        <f t="shared" si="224"/>
        <v>92</v>
      </c>
      <c r="U1183">
        <f t="shared" si="225"/>
        <v>95</v>
      </c>
      <c r="V1183" s="3">
        <f t="shared" si="226"/>
        <v>0.23534678527695152</v>
      </c>
      <c r="W1183" s="9">
        <f t="shared" si="227"/>
        <v>-0.23534678527695152</v>
      </c>
      <c r="AC1183"/>
    </row>
    <row r="1184" spans="1:29" x14ac:dyDescent="0.25">
      <c r="A1184" t="s">
        <v>447</v>
      </c>
      <c r="B1184">
        <v>1</v>
      </c>
      <c r="C1184" t="s">
        <v>499</v>
      </c>
      <c r="D1184" t="s">
        <v>478</v>
      </c>
      <c r="E1184">
        <v>8</v>
      </c>
      <c r="F1184">
        <v>8.08</v>
      </c>
      <c r="G1184">
        <v>30.0304</v>
      </c>
      <c r="H1184" t="s">
        <v>478</v>
      </c>
      <c r="I1184" t="s">
        <v>478</v>
      </c>
      <c r="J1184" t="s">
        <v>40</v>
      </c>
      <c r="K1184">
        <f t="shared" si="216"/>
        <v>101.15</v>
      </c>
      <c r="L1184">
        <f t="shared" si="217"/>
        <v>350.32479999999998</v>
      </c>
      <c r="M1184" t="e">
        <f t="shared" si="218"/>
        <v>#N/A</v>
      </c>
      <c r="N1184" t="e">
        <f>INDEX(Scores!$A$2:$A$11,INDEX(Scores!$AA$2:$AA$131,MATCH(C1184,Scores!$AB$2:$AB$131,0)))</f>
        <v>#N/A</v>
      </c>
      <c r="O1184">
        <f t="shared" si="219"/>
        <v>0</v>
      </c>
      <c r="P1184">
        <f t="shared" si="220"/>
        <v>0</v>
      </c>
      <c r="Q1184" s="3">
        <f t="shared" si="221"/>
        <v>0.9999999674486757</v>
      </c>
      <c r="R1184" s="3">
        <f t="shared" si="222"/>
        <v>0.9999999918547845</v>
      </c>
      <c r="S1184" s="9">
        <f t="shared" si="223"/>
        <v>2.4406108800612003E-8</v>
      </c>
      <c r="T1184">
        <f t="shared" si="224"/>
        <v>71</v>
      </c>
      <c r="U1184">
        <f t="shared" si="225"/>
        <v>0</v>
      </c>
      <c r="V1184" s="3">
        <f t="shared" si="226"/>
        <v>1</v>
      </c>
      <c r="W1184" s="9">
        <f t="shared" si="227"/>
        <v>0</v>
      </c>
      <c r="AC1184"/>
    </row>
    <row r="1185" spans="1:29" x14ac:dyDescent="0.25">
      <c r="A1185" t="s">
        <v>13</v>
      </c>
      <c r="B1185">
        <v>5</v>
      </c>
      <c r="C1185" t="s">
        <v>883</v>
      </c>
      <c r="D1185" t="s">
        <v>467</v>
      </c>
      <c r="E1185">
        <v>23</v>
      </c>
      <c r="F1185">
        <v>22.16</v>
      </c>
      <c r="G1185">
        <v>67.897599999999997</v>
      </c>
      <c r="H1185" t="s">
        <v>15</v>
      </c>
      <c r="I1185" t="s">
        <v>15</v>
      </c>
      <c r="J1185" t="s">
        <v>16</v>
      </c>
      <c r="K1185">
        <f t="shared" si="216"/>
        <v>109.91</v>
      </c>
      <c r="L1185">
        <f t="shared" si="217"/>
        <v>349.51409999999998</v>
      </c>
      <c r="M1185" t="str">
        <f t="shared" si="218"/>
        <v>devon-5</v>
      </c>
      <c r="N1185" t="str">
        <f>INDEX(Scores!$A$2:$A$11,INDEX(Scores!$AA$2:$AA$131,MATCH(C1185,Scores!$AB$2:$AB$131,0)))</f>
        <v>devon</v>
      </c>
      <c r="O1185">
        <f t="shared" si="219"/>
        <v>93.5</v>
      </c>
      <c r="P1185">
        <f t="shared" si="220"/>
        <v>346.9006</v>
      </c>
      <c r="Q1185" s="3">
        <f t="shared" si="221"/>
        <v>0.73297455800387123</v>
      </c>
      <c r="R1185" s="3">
        <f t="shared" si="222"/>
        <v>0.75429461552387156</v>
      </c>
      <c r="S1185" s="9">
        <f t="shared" si="223"/>
        <v>2.1320057520000324E-2</v>
      </c>
      <c r="T1185">
        <f t="shared" si="224"/>
        <v>100</v>
      </c>
      <c r="U1185">
        <f t="shared" si="225"/>
        <v>105</v>
      </c>
      <c r="V1185" s="3">
        <f t="shared" si="226"/>
        <v>0.23924358160430159</v>
      </c>
      <c r="W1185" s="9">
        <f t="shared" si="227"/>
        <v>-0.23924358160430159</v>
      </c>
      <c r="AC1185"/>
    </row>
    <row r="1186" spans="1:29" x14ac:dyDescent="0.25">
      <c r="A1186" t="s">
        <v>21</v>
      </c>
      <c r="B1186">
        <v>6</v>
      </c>
      <c r="C1186" t="s">
        <v>960</v>
      </c>
      <c r="D1186" t="s">
        <v>467</v>
      </c>
      <c r="E1186">
        <v>11</v>
      </c>
      <c r="F1186">
        <v>21.92</v>
      </c>
      <c r="G1186">
        <v>74.132099999999994</v>
      </c>
      <c r="H1186" t="s">
        <v>15</v>
      </c>
      <c r="I1186" t="s">
        <v>15</v>
      </c>
      <c r="J1186" t="s">
        <v>23</v>
      </c>
      <c r="K1186">
        <f t="shared" si="216"/>
        <v>88.72</v>
      </c>
      <c r="L1186">
        <f t="shared" si="217"/>
        <v>407.6961</v>
      </c>
      <c r="M1186" t="str">
        <f t="shared" si="218"/>
        <v>matty-6</v>
      </c>
      <c r="N1186" t="str">
        <f>INDEX(Scores!$A$2:$A$11,INDEX(Scores!$AA$2:$AA$131,MATCH(C1186,Scores!$AB$2:$AB$131,0)))</f>
        <v>matty</v>
      </c>
      <c r="O1186">
        <f t="shared" si="219"/>
        <v>109.91000000000001</v>
      </c>
      <c r="P1186">
        <f t="shared" si="220"/>
        <v>387.28550000000001</v>
      </c>
      <c r="Q1186" s="3">
        <f t="shared" si="221"/>
        <v>0.22616370321424212</v>
      </c>
      <c r="R1186" s="3">
        <f t="shared" si="222"/>
        <v>0.11585535891141167</v>
      </c>
      <c r="S1186" s="9">
        <f t="shared" si="223"/>
        <v>-0.11030834430283044</v>
      </c>
      <c r="T1186">
        <f t="shared" si="224"/>
        <v>102</v>
      </c>
      <c r="U1186">
        <f t="shared" si="225"/>
        <v>119</v>
      </c>
      <c r="V1186" s="3">
        <f t="shared" si="226"/>
        <v>0.2400456789232856</v>
      </c>
      <c r="W1186" s="9">
        <f t="shared" si="227"/>
        <v>-0.2400456789232856</v>
      </c>
      <c r="AC1186"/>
    </row>
    <row r="1187" spans="1:29" x14ac:dyDescent="0.25">
      <c r="A1187" t="s">
        <v>18</v>
      </c>
      <c r="B1187">
        <v>13</v>
      </c>
      <c r="C1187" t="s">
        <v>911</v>
      </c>
      <c r="D1187" t="s">
        <v>467</v>
      </c>
      <c r="E1187">
        <v>8</v>
      </c>
      <c r="F1187">
        <v>22.09</v>
      </c>
      <c r="G1187">
        <v>71.402500000000003</v>
      </c>
      <c r="H1187" t="s">
        <v>15</v>
      </c>
      <c r="I1187" t="s">
        <v>15</v>
      </c>
      <c r="J1187" t="s">
        <v>20</v>
      </c>
      <c r="K1187">
        <f t="shared" si="216"/>
        <v>108.61</v>
      </c>
      <c r="L1187">
        <f t="shared" si="217"/>
        <v>407.25390000000004</v>
      </c>
      <c r="M1187" t="str">
        <f t="shared" si="218"/>
        <v>cory-13</v>
      </c>
      <c r="N1187" t="str">
        <f>INDEX(Scores!$A$2:$A$11,INDEX(Scores!$AA$2:$AA$131,MATCH(C1187,Scores!$AB$2:$AB$131,0)))</f>
        <v>cory</v>
      </c>
      <c r="O1187">
        <f t="shared" si="219"/>
        <v>106.87</v>
      </c>
      <c r="P1187">
        <f t="shared" si="220"/>
        <v>444.05589999999995</v>
      </c>
      <c r="Q1187" s="3">
        <f t="shared" si="221"/>
        <v>0.52377705912504058</v>
      </c>
      <c r="R1187" s="3">
        <f t="shared" si="222"/>
        <v>0.32916239751715881</v>
      </c>
      <c r="S1187" s="9">
        <f t="shared" si="223"/>
        <v>-0.19461466160788177</v>
      </c>
      <c r="T1187">
        <f t="shared" si="224"/>
        <v>66</v>
      </c>
      <c r="U1187">
        <f t="shared" si="225"/>
        <v>86</v>
      </c>
      <c r="V1187" s="3">
        <f t="shared" si="226"/>
        <v>0.2421484561236904</v>
      </c>
      <c r="W1187" s="9">
        <f t="shared" si="227"/>
        <v>-0.2421484561236904</v>
      </c>
      <c r="AC1187"/>
    </row>
    <row r="1188" spans="1:29" x14ac:dyDescent="0.25">
      <c r="A1188" t="s">
        <v>71</v>
      </c>
      <c r="B1188">
        <v>12</v>
      </c>
      <c r="C1188" t="s">
        <v>974</v>
      </c>
      <c r="D1188" t="s">
        <v>467</v>
      </c>
      <c r="E1188">
        <v>16</v>
      </c>
      <c r="F1188">
        <v>16.75</v>
      </c>
      <c r="G1188">
        <v>39.0625</v>
      </c>
      <c r="H1188" t="s">
        <v>15</v>
      </c>
      <c r="I1188" t="s">
        <v>15</v>
      </c>
      <c r="J1188" t="s">
        <v>49</v>
      </c>
      <c r="K1188">
        <f t="shared" si="216"/>
        <v>94.28</v>
      </c>
      <c r="L1188">
        <f t="shared" si="217"/>
        <v>371.05129999999997</v>
      </c>
      <c r="M1188" t="str">
        <f t="shared" si="218"/>
        <v>devon-12</v>
      </c>
      <c r="N1188" t="str">
        <f>INDEX(Scores!$A$2:$A$11,INDEX(Scores!$AA$2:$AA$131,MATCH(C1188,Scores!$AB$2:$AB$131,0)))</f>
        <v>devon</v>
      </c>
      <c r="O1188">
        <f t="shared" si="219"/>
        <v>99.070000000000007</v>
      </c>
      <c r="P1188">
        <f t="shared" si="220"/>
        <v>350.10639999999995</v>
      </c>
      <c r="Q1188" s="3">
        <f t="shared" si="221"/>
        <v>0.42921643322258324</v>
      </c>
      <c r="R1188" s="3">
        <f t="shared" si="222"/>
        <v>0.41600563212857544</v>
      </c>
      <c r="S1188" s="9">
        <f t="shared" si="223"/>
        <v>-1.3210801094007796E-2</v>
      </c>
      <c r="T1188">
        <f t="shared" si="224"/>
        <v>75</v>
      </c>
      <c r="U1188">
        <f t="shared" si="225"/>
        <v>80</v>
      </c>
      <c r="V1188" s="3">
        <f t="shared" si="226"/>
        <v>0.24825223045357048</v>
      </c>
      <c r="W1188" s="9">
        <f t="shared" si="227"/>
        <v>-0.24825223045357048</v>
      </c>
      <c r="AC1188"/>
    </row>
    <row r="1189" spans="1:29" x14ac:dyDescent="0.25">
      <c r="A1189" t="s">
        <v>67</v>
      </c>
      <c r="B1189">
        <v>13</v>
      </c>
      <c r="C1189" t="s">
        <v>927</v>
      </c>
      <c r="D1189" t="s">
        <v>467</v>
      </c>
      <c r="E1189">
        <v>17</v>
      </c>
      <c r="F1189">
        <v>21.69</v>
      </c>
      <c r="G1189">
        <v>40.322499999999998</v>
      </c>
      <c r="H1189" t="s">
        <v>15</v>
      </c>
      <c r="I1189" t="s">
        <v>15</v>
      </c>
      <c r="J1189" t="s">
        <v>55</v>
      </c>
      <c r="K1189">
        <f t="shared" si="216"/>
        <v>116.54</v>
      </c>
      <c r="L1189">
        <f t="shared" si="217"/>
        <v>371.12040000000002</v>
      </c>
      <c r="M1189" t="str">
        <f t="shared" si="218"/>
        <v>matty-13</v>
      </c>
      <c r="N1189" t="str">
        <f>INDEX(Scores!$A$2:$A$11,INDEX(Scores!$AA$2:$AA$131,MATCH(C1189,Scores!$AB$2:$AB$131,0)))</f>
        <v>matty</v>
      </c>
      <c r="O1189">
        <f t="shared" si="219"/>
        <v>88.16</v>
      </c>
      <c r="P1189">
        <f t="shared" si="220"/>
        <v>330.99250000000001</v>
      </c>
      <c r="Q1189" s="3">
        <f t="shared" si="221"/>
        <v>0.85792606530938775</v>
      </c>
      <c r="R1189" s="3">
        <f t="shared" si="222"/>
        <v>0.82144444924573179</v>
      </c>
      <c r="S1189" s="9">
        <f t="shared" si="223"/>
        <v>-3.6481616063655964E-2</v>
      </c>
      <c r="T1189">
        <f t="shared" si="224"/>
        <v>108</v>
      </c>
      <c r="U1189">
        <f t="shared" si="225"/>
        <v>117</v>
      </c>
      <c r="V1189" s="3">
        <f t="shared" si="226"/>
        <v>0.24865125845242642</v>
      </c>
      <c r="W1189" s="9">
        <f t="shared" si="227"/>
        <v>-0.24865125845242642</v>
      </c>
      <c r="AC1189"/>
    </row>
    <row r="1190" spans="1:29" x14ac:dyDescent="0.25">
      <c r="A1190" t="s">
        <v>124</v>
      </c>
      <c r="B1190">
        <v>11</v>
      </c>
      <c r="C1190" t="s">
        <v>973</v>
      </c>
      <c r="D1190" t="s">
        <v>466</v>
      </c>
      <c r="E1190">
        <v>7</v>
      </c>
      <c r="F1190">
        <v>11.15</v>
      </c>
      <c r="G1190">
        <v>53.144100000000002</v>
      </c>
      <c r="H1190" t="s">
        <v>466</v>
      </c>
      <c r="I1190" t="s">
        <v>87</v>
      </c>
      <c r="J1190" t="s">
        <v>49</v>
      </c>
      <c r="K1190">
        <f t="shared" si="216"/>
        <v>88.670000000000016</v>
      </c>
      <c r="L1190">
        <f t="shared" si="217"/>
        <v>334.39179999999999</v>
      </c>
      <c r="M1190" t="str">
        <f t="shared" si="218"/>
        <v>comp-11</v>
      </c>
      <c r="N1190" t="str">
        <f>INDEX(Scores!$A$2:$A$11,INDEX(Scores!$AA$2:$AA$131,MATCH(C1190,Scores!$AB$2:$AB$131,0)))</f>
        <v>comp</v>
      </c>
      <c r="O1190">
        <f t="shared" si="219"/>
        <v>98.580000000000013</v>
      </c>
      <c r="P1190">
        <f t="shared" si="220"/>
        <v>364.4375</v>
      </c>
      <c r="Q1190" s="3">
        <f t="shared" si="221"/>
        <v>0.35387619533584119</v>
      </c>
      <c r="R1190" s="3">
        <f t="shared" si="222"/>
        <v>0.29002279245660456</v>
      </c>
      <c r="S1190" s="9">
        <f t="shared" si="223"/>
        <v>-6.3853402879236631E-2</v>
      </c>
      <c r="T1190">
        <f t="shared" si="224"/>
        <v>102</v>
      </c>
      <c r="U1190">
        <f t="shared" si="225"/>
        <v>111</v>
      </c>
      <c r="V1190" s="3">
        <f t="shared" si="226"/>
        <v>0.25293093811834577</v>
      </c>
      <c r="W1190" s="9">
        <f t="shared" si="227"/>
        <v>-0.25293093811834577</v>
      </c>
      <c r="AC1190"/>
    </row>
    <row r="1191" spans="1:29" x14ac:dyDescent="0.25">
      <c r="A1191" t="s">
        <v>430</v>
      </c>
      <c r="B1191">
        <v>5</v>
      </c>
      <c r="C1191" t="s">
        <v>882</v>
      </c>
      <c r="D1191" t="s">
        <v>477</v>
      </c>
      <c r="E1191">
        <v>5</v>
      </c>
      <c r="F1191">
        <v>7.06</v>
      </c>
      <c r="G1191">
        <v>38.812899999999999</v>
      </c>
      <c r="H1191" t="s">
        <v>477</v>
      </c>
      <c r="I1191" t="s">
        <v>477</v>
      </c>
      <c r="J1191" t="s">
        <v>44</v>
      </c>
      <c r="K1191">
        <f t="shared" si="216"/>
        <v>98.72999999999999</v>
      </c>
      <c r="L1191">
        <f t="shared" si="217"/>
        <v>396.28840000000002</v>
      </c>
      <c r="M1191" t="str">
        <f t="shared" si="218"/>
        <v>perry-5</v>
      </c>
      <c r="N1191" t="str">
        <f>INDEX(Scores!$A$2:$A$11,INDEX(Scores!$AA$2:$AA$131,MATCH(C1191,Scores!$AB$2:$AB$131,0)))</f>
        <v>perry</v>
      </c>
      <c r="O1191">
        <f t="shared" si="219"/>
        <v>97.27</v>
      </c>
      <c r="P1191">
        <f t="shared" si="220"/>
        <v>430.39269999999999</v>
      </c>
      <c r="Q1191" s="3">
        <f t="shared" si="221"/>
        <v>0.52024917394329329</v>
      </c>
      <c r="R1191" s="3">
        <f t="shared" si="222"/>
        <v>0.49147289800615956</v>
      </c>
      <c r="S1191" s="9">
        <f t="shared" si="223"/>
        <v>-2.8776275937133722E-2</v>
      </c>
      <c r="T1191">
        <f t="shared" si="224"/>
        <v>90</v>
      </c>
      <c r="U1191">
        <f t="shared" si="225"/>
        <v>96</v>
      </c>
      <c r="V1191" s="3">
        <f t="shared" si="226"/>
        <v>0.26355500741951088</v>
      </c>
      <c r="W1191" s="9">
        <f t="shared" si="227"/>
        <v>-0.26355500741951088</v>
      </c>
      <c r="AC1191"/>
    </row>
    <row r="1192" spans="1:29" x14ac:dyDescent="0.25">
      <c r="A1192" t="s">
        <v>338</v>
      </c>
      <c r="B1192">
        <v>3</v>
      </c>
      <c r="C1192" t="s">
        <v>812</v>
      </c>
      <c r="D1192" t="s">
        <v>473</v>
      </c>
      <c r="E1192">
        <v>8</v>
      </c>
      <c r="F1192">
        <v>6.93</v>
      </c>
      <c r="G1192">
        <v>64.9636</v>
      </c>
      <c r="H1192" t="s">
        <v>87</v>
      </c>
      <c r="I1192" t="s">
        <v>87</v>
      </c>
      <c r="J1192" t="s">
        <v>49</v>
      </c>
      <c r="K1192">
        <f t="shared" si="216"/>
        <v>116.17999999999999</v>
      </c>
      <c r="L1192">
        <f t="shared" si="217"/>
        <v>478.31470000000002</v>
      </c>
      <c r="M1192" t="str">
        <f t="shared" si="218"/>
        <v>comp-3</v>
      </c>
      <c r="N1192" t="str">
        <f>INDEX(Scores!$A$2:$A$11,INDEX(Scores!$AA$2:$AA$131,MATCH(C1192,Scores!$AB$2:$AB$131,0)))</f>
        <v>comp</v>
      </c>
      <c r="O1192">
        <f t="shared" si="219"/>
        <v>105.02</v>
      </c>
      <c r="P1192">
        <f t="shared" si="220"/>
        <v>401.60159999999996</v>
      </c>
      <c r="Q1192" s="3">
        <f t="shared" si="221"/>
        <v>0.64662385216199125</v>
      </c>
      <c r="R1192" s="3">
        <f t="shared" si="222"/>
        <v>0.66582391278443964</v>
      </c>
      <c r="S1192" s="9">
        <f t="shared" si="223"/>
        <v>1.9200060622448389E-2</v>
      </c>
      <c r="T1192">
        <f t="shared" si="224"/>
        <v>81</v>
      </c>
      <c r="U1192">
        <f t="shared" si="225"/>
        <v>85</v>
      </c>
      <c r="V1192" s="3">
        <f t="shared" si="226"/>
        <v>0.26466396889212507</v>
      </c>
      <c r="W1192" s="9">
        <f t="shared" si="227"/>
        <v>-0.26466396889212507</v>
      </c>
      <c r="AC1192"/>
    </row>
    <row r="1193" spans="1:29" x14ac:dyDescent="0.25">
      <c r="A1193" t="s">
        <v>57</v>
      </c>
      <c r="B1193">
        <v>9</v>
      </c>
      <c r="C1193" t="s">
        <v>931</v>
      </c>
      <c r="D1193" t="s">
        <v>468</v>
      </c>
      <c r="E1193">
        <v>15</v>
      </c>
      <c r="F1193">
        <v>17.32</v>
      </c>
      <c r="G1193">
        <v>88.924899999999994</v>
      </c>
      <c r="H1193" t="s">
        <v>47</v>
      </c>
      <c r="I1193" t="s">
        <v>47</v>
      </c>
      <c r="J1193" t="s">
        <v>35</v>
      </c>
      <c r="K1193">
        <f t="shared" si="216"/>
        <v>104.66</v>
      </c>
      <c r="L1193">
        <f t="shared" si="217"/>
        <v>474.51049999999998</v>
      </c>
      <c r="M1193" t="str">
        <f t="shared" si="218"/>
        <v>cory-9</v>
      </c>
      <c r="N1193" t="str">
        <f>INDEX(Scores!$A$2:$A$11,INDEX(Scores!$AA$2:$AA$131,MATCH(C1193,Scores!$AB$2:$AB$131,0)))</f>
        <v>cory</v>
      </c>
      <c r="O1193">
        <f t="shared" si="219"/>
        <v>90.69</v>
      </c>
      <c r="P1193">
        <f t="shared" si="220"/>
        <v>356.05790000000002</v>
      </c>
      <c r="Q1193" s="3">
        <f t="shared" si="221"/>
        <v>0.68606954461640712</v>
      </c>
      <c r="R1193" s="3">
        <f t="shared" si="222"/>
        <v>0.66559716604053376</v>
      </c>
      <c r="S1193" s="9">
        <f t="shared" si="223"/>
        <v>-2.0472378575873362E-2</v>
      </c>
      <c r="T1193">
        <f t="shared" si="224"/>
        <v>81</v>
      </c>
      <c r="U1193">
        <f t="shared" si="225"/>
        <v>89</v>
      </c>
      <c r="V1193" s="3">
        <f t="shared" si="226"/>
        <v>0.27347625601813297</v>
      </c>
      <c r="W1193" s="9">
        <f t="shared" si="227"/>
        <v>-0.27347625601813297</v>
      </c>
      <c r="AC1193"/>
    </row>
    <row r="1194" spans="1:29" x14ac:dyDescent="0.25">
      <c r="A1194" t="s">
        <v>143</v>
      </c>
      <c r="B1194">
        <v>1</v>
      </c>
      <c r="C1194" t="s">
        <v>500</v>
      </c>
      <c r="D1194" t="s">
        <v>472</v>
      </c>
      <c r="E1194">
        <v>6</v>
      </c>
      <c r="F1194">
        <v>8.93</v>
      </c>
      <c r="G1194">
        <v>26.112100000000002</v>
      </c>
      <c r="H1194" t="s">
        <v>87</v>
      </c>
      <c r="I1194" t="s">
        <v>87</v>
      </c>
      <c r="J1194" t="s">
        <v>44</v>
      </c>
      <c r="K1194">
        <f t="shared" si="216"/>
        <v>111.07</v>
      </c>
      <c r="L1194">
        <f t="shared" si="217"/>
        <v>422.00569999999999</v>
      </c>
      <c r="M1194" t="str">
        <f t="shared" si="218"/>
        <v>comp-1</v>
      </c>
      <c r="N1194" t="str">
        <f>INDEX(Scores!$A$2:$A$11,INDEX(Scores!$AA$2:$AA$131,MATCH(C1194,Scores!$AB$2:$AB$131,0)))</f>
        <v>comp</v>
      </c>
      <c r="O1194">
        <f t="shared" si="219"/>
        <v>110.7</v>
      </c>
      <c r="P1194">
        <f t="shared" si="220"/>
        <v>433.44330000000002</v>
      </c>
      <c r="Q1194" s="3">
        <f t="shared" si="221"/>
        <v>0.50504664952103229</v>
      </c>
      <c r="R1194" s="3">
        <f t="shared" si="222"/>
        <v>0.46458291152741904</v>
      </c>
      <c r="S1194" s="9">
        <f t="shared" si="223"/>
        <v>-4.0463737993613247E-2</v>
      </c>
      <c r="T1194">
        <f t="shared" si="224"/>
        <v>71</v>
      </c>
      <c r="U1194">
        <f t="shared" si="225"/>
        <v>77</v>
      </c>
      <c r="V1194" s="3">
        <f t="shared" si="226"/>
        <v>0.27399233784496979</v>
      </c>
      <c r="W1194" s="9">
        <f t="shared" si="227"/>
        <v>-0.27399233784496979</v>
      </c>
      <c r="AC1194"/>
    </row>
    <row r="1195" spans="1:29" x14ac:dyDescent="0.25">
      <c r="A1195" t="s">
        <v>220</v>
      </c>
      <c r="B1195">
        <v>12</v>
      </c>
      <c r="C1195" t="s">
        <v>974</v>
      </c>
      <c r="D1195" t="s">
        <v>473</v>
      </c>
      <c r="E1195">
        <v>4</v>
      </c>
      <c r="F1195">
        <v>6.74</v>
      </c>
      <c r="G1195">
        <v>16.080100000000002</v>
      </c>
      <c r="H1195" t="s">
        <v>87</v>
      </c>
      <c r="I1195" t="s">
        <v>87</v>
      </c>
      <c r="J1195" t="s">
        <v>49</v>
      </c>
      <c r="K1195">
        <f t="shared" si="216"/>
        <v>94.28</v>
      </c>
      <c r="L1195">
        <f t="shared" si="217"/>
        <v>371.05129999999997</v>
      </c>
      <c r="M1195" t="str">
        <f t="shared" si="218"/>
        <v>devon-12</v>
      </c>
      <c r="N1195" t="str">
        <f>INDEX(Scores!$A$2:$A$11,INDEX(Scores!$AA$2:$AA$131,MATCH(C1195,Scores!$AB$2:$AB$131,0)))</f>
        <v>devon</v>
      </c>
      <c r="O1195">
        <f t="shared" si="219"/>
        <v>99.070000000000007</v>
      </c>
      <c r="P1195">
        <f t="shared" si="220"/>
        <v>350.10639999999995</v>
      </c>
      <c r="Q1195" s="3">
        <f t="shared" si="221"/>
        <v>0.42921643322258324</v>
      </c>
      <c r="R1195" s="3">
        <f t="shared" si="222"/>
        <v>0.38836590289955292</v>
      </c>
      <c r="S1195" s="9">
        <f t="shared" si="223"/>
        <v>-4.0850530323030321E-2</v>
      </c>
      <c r="T1195">
        <f t="shared" si="224"/>
        <v>75</v>
      </c>
      <c r="U1195">
        <f t="shared" si="225"/>
        <v>80</v>
      </c>
      <c r="V1195" s="3">
        <f t="shared" si="226"/>
        <v>0.28651624899298406</v>
      </c>
      <c r="W1195" s="9">
        <f t="shared" si="227"/>
        <v>-0.28651624899298406</v>
      </c>
      <c r="AC1195"/>
    </row>
    <row r="1196" spans="1:29" x14ac:dyDescent="0.25">
      <c r="A1196" t="s">
        <v>126</v>
      </c>
      <c r="B1196">
        <v>8</v>
      </c>
      <c r="C1196" t="s">
        <v>914</v>
      </c>
      <c r="D1196" t="s">
        <v>466</v>
      </c>
      <c r="E1196">
        <v>14</v>
      </c>
      <c r="F1196">
        <v>10.61</v>
      </c>
      <c r="G1196">
        <v>61.465600000000002</v>
      </c>
      <c r="H1196" t="s">
        <v>466</v>
      </c>
      <c r="I1196" t="s">
        <v>87</v>
      </c>
      <c r="J1196" t="s">
        <v>16</v>
      </c>
      <c r="K1196">
        <f t="shared" si="216"/>
        <v>106.3</v>
      </c>
      <c r="L1196">
        <f t="shared" si="217"/>
        <v>423.11159999999995</v>
      </c>
      <c r="M1196" t="str">
        <f t="shared" si="218"/>
        <v>matty-8</v>
      </c>
      <c r="N1196" t="str">
        <f>INDEX(Scores!$A$2:$A$11,INDEX(Scores!$AA$2:$AA$131,MATCH(C1196,Scores!$AB$2:$AB$131,0)))</f>
        <v>matty</v>
      </c>
      <c r="O1196">
        <f t="shared" si="219"/>
        <v>88.500000000000014</v>
      </c>
      <c r="P1196">
        <f t="shared" si="220"/>
        <v>351.30459999999999</v>
      </c>
      <c r="Q1196" s="3">
        <f t="shared" si="221"/>
        <v>0.7387953106518842</v>
      </c>
      <c r="R1196" s="3">
        <f t="shared" si="222"/>
        <v>0.78628560931087166</v>
      </c>
      <c r="S1196" s="9">
        <f t="shared" si="223"/>
        <v>4.7490298658987462E-2</v>
      </c>
      <c r="T1196">
        <f t="shared" si="224"/>
        <v>106</v>
      </c>
      <c r="U1196">
        <f t="shared" si="225"/>
        <v>107</v>
      </c>
      <c r="V1196" s="3">
        <f t="shared" si="226"/>
        <v>0.28775711939293569</v>
      </c>
      <c r="W1196" s="9">
        <f t="shared" si="227"/>
        <v>-0.28775711939293569</v>
      </c>
      <c r="AC1196"/>
    </row>
    <row r="1197" spans="1:29" x14ac:dyDescent="0.25">
      <c r="A1197" t="s">
        <v>125</v>
      </c>
      <c r="B1197">
        <v>2</v>
      </c>
      <c r="C1197" t="s">
        <v>625</v>
      </c>
      <c r="D1197" t="s">
        <v>472</v>
      </c>
      <c r="E1197">
        <v>3</v>
      </c>
      <c r="F1197">
        <v>8.89</v>
      </c>
      <c r="G1197">
        <v>31.36</v>
      </c>
      <c r="H1197" t="s">
        <v>87</v>
      </c>
      <c r="I1197" t="s">
        <v>87</v>
      </c>
      <c r="J1197" t="s">
        <v>55</v>
      </c>
      <c r="K1197">
        <f t="shared" si="216"/>
        <v>103.77999999999999</v>
      </c>
      <c r="L1197">
        <f t="shared" si="217"/>
        <v>338.9511</v>
      </c>
      <c r="M1197" t="str">
        <f t="shared" si="218"/>
        <v>chad-2</v>
      </c>
      <c r="N1197" t="str">
        <f>INDEX(Scores!$A$2:$A$11,INDEX(Scores!$AA$2:$AA$131,MATCH(C1197,Scores!$AB$2:$AB$131,0)))</f>
        <v>chad</v>
      </c>
      <c r="O1197">
        <f t="shared" si="219"/>
        <v>102.72000000000001</v>
      </c>
      <c r="P1197">
        <f t="shared" si="220"/>
        <v>348.54960000000005</v>
      </c>
      <c r="Q1197" s="3">
        <f t="shared" si="221"/>
        <v>0.51612356509096413</v>
      </c>
      <c r="R1197" s="3">
        <f t="shared" si="222"/>
        <v>0.4252190006924299</v>
      </c>
      <c r="S1197" s="9">
        <f t="shared" si="223"/>
        <v>-9.0904564398534227E-2</v>
      </c>
      <c r="T1197">
        <f t="shared" si="224"/>
        <v>90</v>
      </c>
      <c r="U1197">
        <f t="shared" si="225"/>
        <v>99</v>
      </c>
      <c r="V1197" s="3">
        <f t="shared" si="226"/>
        <v>0.28932520026506037</v>
      </c>
      <c r="W1197" s="9">
        <f t="shared" si="227"/>
        <v>-0.28932520026506037</v>
      </c>
      <c r="AC1197"/>
    </row>
    <row r="1198" spans="1:29" x14ac:dyDescent="0.25">
      <c r="A1198" t="s">
        <v>796</v>
      </c>
      <c r="B1198">
        <v>9</v>
      </c>
      <c r="C1198" t="s">
        <v>931</v>
      </c>
      <c r="D1198" t="s">
        <v>466</v>
      </c>
      <c r="E1198">
        <v>4</v>
      </c>
      <c r="F1198">
        <v>8.0500000000000007</v>
      </c>
      <c r="G1198">
        <v>54.908099999999997</v>
      </c>
      <c r="H1198" t="s">
        <v>466</v>
      </c>
      <c r="I1198" t="s">
        <v>47</v>
      </c>
      <c r="J1198" t="s">
        <v>35</v>
      </c>
      <c r="K1198">
        <f t="shared" si="216"/>
        <v>104.66</v>
      </c>
      <c r="L1198">
        <f t="shared" si="217"/>
        <v>474.51049999999998</v>
      </c>
      <c r="M1198" t="str">
        <f t="shared" si="218"/>
        <v>cory-9</v>
      </c>
      <c r="N1198" t="str">
        <f>INDEX(Scores!$A$2:$A$11,INDEX(Scores!$AA$2:$AA$131,MATCH(C1198,Scores!$AB$2:$AB$131,0)))</f>
        <v>cory</v>
      </c>
      <c r="O1198">
        <f t="shared" si="219"/>
        <v>90.69</v>
      </c>
      <c r="P1198">
        <f t="shared" si="220"/>
        <v>356.05790000000002</v>
      </c>
      <c r="Q1198" s="3">
        <f t="shared" si="221"/>
        <v>0.68606954461640712</v>
      </c>
      <c r="R1198" s="3">
        <f t="shared" si="222"/>
        <v>0.63914906882637978</v>
      </c>
      <c r="S1198" s="9">
        <f t="shared" si="223"/>
        <v>-4.6920475790027338E-2</v>
      </c>
      <c r="T1198">
        <f t="shared" si="224"/>
        <v>81</v>
      </c>
      <c r="U1198">
        <f t="shared" si="225"/>
        <v>89</v>
      </c>
      <c r="V1198" s="3">
        <f t="shared" si="226"/>
        <v>0.29699483718612729</v>
      </c>
      <c r="W1198" s="9">
        <f t="shared" si="227"/>
        <v>-0.29699483718612729</v>
      </c>
      <c r="AC1198"/>
    </row>
    <row r="1199" spans="1:29" x14ac:dyDescent="0.25">
      <c r="A1199" t="s">
        <v>81</v>
      </c>
      <c r="B1199">
        <v>9</v>
      </c>
      <c r="C1199" t="s">
        <v>923</v>
      </c>
      <c r="D1199" t="s">
        <v>468</v>
      </c>
      <c r="E1199">
        <v>2</v>
      </c>
      <c r="F1199">
        <v>16.41</v>
      </c>
      <c r="G1199">
        <v>74.476900000000001</v>
      </c>
      <c r="H1199" t="s">
        <v>47</v>
      </c>
      <c r="I1199" t="s">
        <v>47</v>
      </c>
      <c r="J1199" t="s">
        <v>55</v>
      </c>
      <c r="K1199">
        <f t="shared" si="216"/>
        <v>102.03999999999999</v>
      </c>
      <c r="L1199">
        <f t="shared" si="217"/>
        <v>392.2131</v>
      </c>
      <c r="M1199" t="str">
        <f t="shared" si="218"/>
        <v>perry-9</v>
      </c>
      <c r="N1199" t="str">
        <f>INDEX(Scores!$A$2:$A$11,INDEX(Scores!$AA$2:$AA$131,MATCH(C1199,Scores!$AB$2:$AB$131,0)))</f>
        <v>perry</v>
      </c>
      <c r="O1199">
        <f t="shared" si="219"/>
        <v>98.35</v>
      </c>
      <c r="P1199">
        <f t="shared" si="220"/>
        <v>385.97739999999999</v>
      </c>
      <c r="Q1199" s="3">
        <f t="shared" si="221"/>
        <v>0.5526172882097643</v>
      </c>
      <c r="R1199" s="3">
        <f t="shared" si="222"/>
        <v>0.34306686839206563</v>
      </c>
      <c r="S1199" s="9">
        <f t="shared" si="223"/>
        <v>-0.20955041981769867</v>
      </c>
      <c r="T1199">
        <f t="shared" si="224"/>
        <v>86</v>
      </c>
      <c r="U1199">
        <f t="shared" si="225"/>
        <v>105</v>
      </c>
      <c r="V1199" s="3">
        <f t="shared" si="226"/>
        <v>0.29740954723969726</v>
      </c>
      <c r="W1199" s="9">
        <f t="shared" si="227"/>
        <v>-0.29740954723969726</v>
      </c>
      <c r="AC1199"/>
    </row>
    <row r="1200" spans="1:29" x14ac:dyDescent="0.25">
      <c r="A1200" t="s">
        <v>112</v>
      </c>
      <c r="B1200">
        <v>3</v>
      </c>
      <c r="C1200" t="s">
        <v>812</v>
      </c>
      <c r="D1200" t="s">
        <v>466</v>
      </c>
      <c r="E1200">
        <v>11</v>
      </c>
      <c r="F1200">
        <v>11.54</v>
      </c>
      <c r="G1200">
        <v>43.0336</v>
      </c>
      <c r="H1200" t="s">
        <v>466</v>
      </c>
      <c r="I1200" t="s">
        <v>47</v>
      </c>
      <c r="J1200" t="s">
        <v>49</v>
      </c>
      <c r="K1200">
        <f t="shared" si="216"/>
        <v>116.17999999999999</v>
      </c>
      <c r="L1200">
        <f t="shared" si="217"/>
        <v>478.31470000000002</v>
      </c>
      <c r="M1200" t="str">
        <f t="shared" si="218"/>
        <v>comp-3</v>
      </c>
      <c r="N1200" t="str">
        <f>INDEX(Scores!$A$2:$A$11,INDEX(Scores!$AA$2:$AA$131,MATCH(C1200,Scores!$AB$2:$AB$131,0)))</f>
        <v>comp</v>
      </c>
      <c r="O1200">
        <f t="shared" si="219"/>
        <v>105.02</v>
      </c>
      <c r="P1200">
        <f t="shared" si="220"/>
        <v>401.60159999999996</v>
      </c>
      <c r="Q1200" s="3">
        <f t="shared" si="221"/>
        <v>0.64662385216199125</v>
      </c>
      <c r="R1200" s="3">
        <f t="shared" si="222"/>
        <v>0.64323025697888037</v>
      </c>
      <c r="S1200" s="9">
        <f t="shared" si="223"/>
        <v>-3.3935951831108868E-3</v>
      </c>
      <c r="T1200">
        <f t="shared" si="224"/>
        <v>81</v>
      </c>
      <c r="U1200">
        <f t="shared" si="225"/>
        <v>85</v>
      </c>
      <c r="V1200" s="3">
        <f t="shared" si="226"/>
        <v>0.29894437479334524</v>
      </c>
      <c r="W1200" s="9">
        <f t="shared" si="227"/>
        <v>-0.29894437479334524</v>
      </c>
      <c r="AC1200"/>
    </row>
    <row r="1201" spans="1:29" x14ac:dyDescent="0.25">
      <c r="A1201" t="s">
        <v>149</v>
      </c>
      <c r="B1201">
        <v>4</v>
      </c>
      <c r="C1201" t="s">
        <v>857</v>
      </c>
      <c r="D1201" t="s">
        <v>472</v>
      </c>
      <c r="E1201">
        <v>2</v>
      </c>
      <c r="F1201">
        <v>11.04</v>
      </c>
      <c r="G1201">
        <v>31.922499999999999</v>
      </c>
      <c r="H1201" t="s">
        <v>87</v>
      </c>
      <c r="I1201" t="s">
        <v>87</v>
      </c>
      <c r="J1201" t="s">
        <v>44</v>
      </c>
      <c r="K1201">
        <f t="shared" si="216"/>
        <v>104.32</v>
      </c>
      <c r="L1201">
        <f t="shared" si="217"/>
        <v>390.96559999999999</v>
      </c>
      <c r="M1201" t="str">
        <f t="shared" si="218"/>
        <v>chad-4</v>
      </c>
      <c r="N1201" t="str">
        <f>INDEX(Scores!$A$2:$A$11,INDEX(Scores!$AA$2:$AA$131,MATCH(C1201,Scores!$AB$2:$AB$131,0)))</f>
        <v>chad</v>
      </c>
      <c r="O1201">
        <f t="shared" si="219"/>
        <v>99.8</v>
      </c>
      <c r="P1201">
        <f t="shared" si="220"/>
        <v>351.46400000000006</v>
      </c>
      <c r="Q1201" s="3">
        <f t="shared" si="221"/>
        <v>0.56587682676878348</v>
      </c>
      <c r="R1201" s="3">
        <f t="shared" si="222"/>
        <v>0.43267335969685317</v>
      </c>
      <c r="S1201" s="9">
        <f t="shared" si="223"/>
        <v>-0.13320346707193031</v>
      </c>
      <c r="T1201">
        <f t="shared" si="224"/>
        <v>111</v>
      </c>
      <c r="U1201">
        <f t="shared" si="225"/>
        <v>123</v>
      </c>
      <c r="V1201" s="3">
        <f t="shared" si="226"/>
        <v>0.30017620182133953</v>
      </c>
      <c r="W1201" s="9">
        <f t="shared" si="227"/>
        <v>-0.30017620182133953</v>
      </c>
      <c r="AC1201"/>
    </row>
    <row r="1202" spans="1:29" x14ac:dyDescent="0.25">
      <c r="A1202" t="s">
        <v>256</v>
      </c>
      <c r="B1202">
        <v>10</v>
      </c>
      <c r="C1202" t="s">
        <v>956</v>
      </c>
      <c r="D1202" t="s">
        <v>473</v>
      </c>
      <c r="E1202">
        <v>4</v>
      </c>
      <c r="F1202">
        <v>7.29</v>
      </c>
      <c r="G1202">
        <v>29.9209</v>
      </c>
      <c r="H1202" t="s">
        <v>87</v>
      </c>
      <c r="I1202" t="s">
        <v>87</v>
      </c>
      <c r="J1202" t="s">
        <v>40</v>
      </c>
      <c r="K1202">
        <f t="shared" si="216"/>
        <v>97.83</v>
      </c>
      <c r="L1202">
        <f t="shared" si="217"/>
        <v>370.18310000000002</v>
      </c>
      <c r="M1202" t="e">
        <f t="shared" si="218"/>
        <v>#N/A</v>
      </c>
      <c r="N1202" t="e">
        <f>INDEX(Scores!$A$2:$A$11,INDEX(Scores!$AA$2:$AA$131,MATCH(C1202,Scores!$AB$2:$AB$131,0)))</f>
        <v>#N/A</v>
      </c>
      <c r="O1202">
        <f t="shared" si="219"/>
        <v>0</v>
      </c>
      <c r="P1202">
        <f t="shared" si="220"/>
        <v>0</v>
      </c>
      <c r="Q1202" s="3">
        <f t="shared" si="221"/>
        <v>0.99999981587831821</v>
      </c>
      <c r="R1202" s="3">
        <f t="shared" si="222"/>
        <v>0.9999998513696724</v>
      </c>
      <c r="S1202" s="9">
        <f t="shared" si="223"/>
        <v>3.5491354188899038E-8</v>
      </c>
      <c r="T1202">
        <f t="shared" si="224"/>
        <v>91</v>
      </c>
      <c r="U1202">
        <f t="shared" si="225"/>
        <v>0</v>
      </c>
      <c r="V1202" s="3">
        <f t="shared" si="226"/>
        <v>1</v>
      </c>
      <c r="W1202" s="9">
        <f t="shared" si="227"/>
        <v>0</v>
      </c>
      <c r="AC1202"/>
    </row>
    <row r="1203" spans="1:29" x14ac:dyDescent="0.25">
      <c r="A1203" t="s">
        <v>48</v>
      </c>
      <c r="B1203">
        <v>2</v>
      </c>
      <c r="C1203" t="s">
        <v>636</v>
      </c>
      <c r="D1203" t="s">
        <v>468</v>
      </c>
      <c r="E1203">
        <v>8</v>
      </c>
      <c r="F1203">
        <v>16.7</v>
      </c>
      <c r="G1203">
        <v>45.427599999999998</v>
      </c>
      <c r="H1203" t="s">
        <v>47</v>
      </c>
      <c r="I1203" t="s">
        <v>47</v>
      </c>
      <c r="J1203" t="s">
        <v>49</v>
      </c>
      <c r="K1203">
        <f t="shared" si="216"/>
        <v>101.3</v>
      </c>
      <c r="L1203">
        <f t="shared" si="217"/>
        <v>329.14109999999999</v>
      </c>
      <c r="M1203" t="str">
        <f t="shared" si="218"/>
        <v>seth-2</v>
      </c>
      <c r="N1203" t="str">
        <f>INDEX(Scores!$A$2:$A$11,INDEX(Scores!$AA$2:$AA$131,MATCH(C1203,Scores!$AB$2:$AB$131,0)))</f>
        <v>seth</v>
      </c>
      <c r="O1203">
        <f t="shared" si="219"/>
        <v>91.78</v>
      </c>
      <c r="P1203">
        <f t="shared" si="220"/>
        <v>333.71719999999993</v>
      </c>
      <c r="Q1203" s="3">
        <f t="shared" si="221"/>
        <v>0.64422145537573039</v>
      </c>
      <c r="R1203" s="3">
        <f t="shared" si="222"/>
        <v>0.51316288198364546</v>
      </c>
      <c r="S1203" s="9">
        <f t="shared" si="223"/>
        <v>-0.13105857339208493</v>
      </c>
      <c r="T1203">
        <f t="shared" si="224"/>
        <v>70</v>
      </c>
      <c r="U1203">
        <f t="shared" si="225"/>
        <v>82</v>
      </c>
      <c r="V1203" s="3">
        <f t="shared" si="226"/>
        <v>0.3122034477982818</v>
      </c>
      <c r="W1203" s="9">
        <f t="shared" si="227"/>
        <v>-0.3122034477982818</v>
      </c>
      <c r="AC1203"/>
    </row>
    <row r="1204" spans="1:29" x14ac:dyDescent="0.25">
      <c r="A1204" t="s">
        <v>81</v>
      </c>
      <c r="B1204">
        <v>13</v>
      </c>
      <c r="C1204" t="s">
        <v>927</v>
      </c>
      <c r="D1204" t="s">
        <v>468</v>
      </c>
      <c r="E1204">
        <v>9</v>
      </c>
      <c r="F1204">
        <v>14.26</v>
      </c>
      <c r="G1204">
        <v>58.522500000000001</v>
      </c>
      <c r="H1204" t="s">
        <v>47</v>
      </c>
      <c r="I1204" t="s">
        <v>47</v>
      </c>
      <c r="J1204" t="s">
        <v>55</v>
      </c>
      <c r="K1204">
        <f t="shared" si="216"/>
        <v>116.54</v>
      </c>
      <c r="L1204">
        <f t="shared" si="217"/>
        <v>371.12040000000002</v>
      </c>
      <c r="M1204" t="str">
        <f t="shared" si="218"/>
        <v>matty-13</v>
      </c>
      <c r="N1204" t="str">
        <f>INDEX(Scores!$A$2:$A$11,INDEX(Scores!$AA$2:$AA$131,MATCH(C1204,Scores!$AB$2:$AB$131,0)))</f>
        <v>matty</v>
      </c>
      <c r="O1204">
        <f t="shared" si="219"/>
        <v>88.16</v>
      </c>
      <c r="P1204">
        <f t="shared" si="220"/>
        <v>330.99250000000001</v>
      </c>
      <c r="Q1204" s="3">
        <f t="shared" si="221"/>
        <v>0.85792606530938775</v>
      </c>
      <c r="R1204" s="3">
        <f t="shared" si="222"/>
        <v>0.81894331880228366</v>
      </c>
      <c r="S1204" s="9">
        <f t="shared" si="223"/>
        <v>-3.8982746507104094E-2</v>
      </c>
      <c r="T1204">
        <f t="shared" si="224"/>
        <v>108</v>
      </c>
      <c r="U1204">
        <f t="shared" si="225"/>
        <v>117</v>
      </c>
      <c r="V1204" s="3">
        <f t="shared" si="226"/>
        <v>0.31246018122932251</v>
      </c>
      <c r="W1204" s="9">
        <f t="shared" si="227"/>
        <v>-0.31246018122932251</v>
      </c>
      <c r="AC1204"/>
    </row>
    <row r="1205" spans="1:29" x14ac:dyDescent="0.25">
      <c r="A1205" t="s">
        <v>149</v>
      </c>
      <c r="B1205">
        <v>13</v>
      </c>
      <c r="C1205" t="s">
        <v>927</v>
      </c>
      <c r="D1205" t="s">
        <v>473</v>
      </c>
      <c r="E1205">
        <v>1</v>
      </c>
      <c r="F1205">
        <v>7.38</v>
      </c>
      <c r="G1205">
        <v>28.729600000000001</v>
      </c>
      <c r="H1205" t="s">
        <v>87</v>
      </c>
      <c r="I1205" t="s">
        <v>87</v>
      </c>
      <c r="J1205" t="s">
        <v>55</v>
      </c>
      <c r="K1205">
        <f t="shared" si="216"/>
        <v>116.54</v>
      </c>
      <c r="L1205">
        <f t="shared" si="217"/>
        <v>371.12040000000002</v>
      </c>
      <c r="M1205" t="str">
        <f t="shared" si="218"/>
        <v>matty-13</v>
      </c>
      <c r="N1205" t="str">
        <f>INDEX(Scores!$A$2:$A$11,INDEX(Scores!$AA$2:$AA$131,MATCH(C1205,Scores!$AB$2:$AB$131,0)))</f>
        <v>matty</v>
      </c>
      <c r="O1205">
        <f t="shared" si="219"/>
        <v>88.16</v>
      </c>
      <c r="P1205">
        <f t="shared" si="220"/>
        <v>330.99250000000001</v>
      </c>
      <c r="Q1205" s="3">
        <f t="shared" si="221"/>
        <v>0.85792606530938775</v>
      </c>
      <c r="R1205" s="3">
        <f t="shared" si="222"/>
        <v>0.80172428425627307</v>
      </c>
      <c r="S1205" s="9">
        <f t="shared" si="223"/>
        <v>-5.6201781053114686E-2</v>
      </c>
      <c r="T1205">
        <f t="shared" si="224"/>
        <v>108</v>
      </c>
      <c r="U1205">
        <f t="shared" si="225"/>
        <v>117</v>
      </c>
      <c r="V1205" s="3">
        <f t="shared" si="226"/>
        <v>0.31248953545905944</v>
      </c>
      <c r="W1205" s="9">
        <f t="shared" si="227"/>
        <v>-0.31248953545905944</v>
      </c>
      <c r="AC1205"/>
    </row>
    <row r="1206" spans="1:29" x14ac:dyDescent="0.25">
      <c r="A1206" t="s">
        <v>130</v>
      </c>
      <c r="B1206">
        <v>1</v>
      </c>
      <c r="C1206" t="s">
        <v>500</v>
      </c>
      <c r="D1206" t="s">
        <v>469</v>
      </c>
      <c r="E1206">
        <v>7</v>
      </c>
      <c r="F1206">
        <v>9.6999999999999993</v>
      </c>
      <c r="G1206">
        <v>46.5124</v>
      </c>
      <c r="H1206" t="s">
        <v>47</v>
      </c>
      <c r="I1206" t="s">
        <v>47</v>
      </c>
      <c r="J1206" t="s">
        <v>44</v>
      </c>
      <c r="K1206">
        <f t="shared" si="216"/>
        <v>111.07</v>
      </c>
      <c r="L1206">
        <f t="shared" si="217"/>
        <v>422.00569999999999</v>
      </c>
      <c r="M1206" t="str">
        <f t="shared" si="218"/>
        <v>comp-1</v>
      </c>
      <c r="N1206" t="str">
        <f>INDEX(Scores!$A$2:$A$11,INDEX(Scores!$AA$2:$AA$131,MATCH(C1206,Scores!$AB$2:$AB$131,0)))</f>
        <v>comp</v>
      </c>
      <c r="O1206">
        <f t="shared" si="219"/>
        <v>110.7</v>
      </c>
      <c r="P1206">
        <f t="shared" si="220"/>
        <v>433.44330000000002</v>
      </c>
      <c r="Q1206" s="3">
        <f t="shared" si="221"/>
        <v>0.50504664952103229</v>
      </c>
      <c r="R1206" s="3">
        <f t="shared" si="222"/>
        <v>0.46735450998912997</v>
      </c>
      <c r="S1206" s="9">
        <f t="shared" si="223"/>
        <v>-3.7692139531902313E-2</v>
      </c>
      <c r="T1206">
        <f t="shared" si="224"/>
        <v>71</v>
      </c>
      <c r="U1206">
        <f t="shared" si="225"/>
        <v>77</v>
      </c>
      <c r="V1206" s="3">
        <f t="shared" si="226"/>
        <v>0.31423872279314302</v>
      </c>
      <c r="W1206" s="9">
        <f t="shared" si="227"/>
        <v>-0.31423872279314302</v>
      </c>
      <c r="AC1206"/>
    </row>
    <row r="1207" spans="1:29" x14ac:dyDescent="0.25">
      <c r="A1207" t="s">
        <v>414</v>
      </c>
      <c r="B1207">
        <v>5</v>
      </c>
      <c r="C1207" t="s">
        <v>883</v>
      </c>
      <c r="D1207" t="s">
        <v>477</v>
      </c>
      <c r="E1207">
        <v>7</v>
      </c>
      <c r="F1207">
        <v>9.32</v>
      </c>
      <c r="G1207">
        <v>32.148899999999998</v>
      </c>
      <c r="H1207" t="s">
        <v>477</v>
      </c>
      <c r="I1207" t="s">
        <v>477</v>
      </c>
      <c r="J1207" t="s">
        <v>16</v>
      </c>
      <c r="K1207">
        <f t="shared" si="216"/>
        <v>109.91</v>
      </c>
      <c r="L1207">
        <f t="shared" si="217"/>
        <v>349.51409999999998</v>
      </c>
      <c r="M1207" t="str">
        <f t="shared" si="218"/>
        <v>devon-5</v>
      </c>
      <c r="N1207" t="str">
        <f>INDEX(Scores!$A$2:$A$11,INDEX(Scores!$AA$2:$AA$131,MATCH(C1207,Scores!$AB$2:$AB$131,0)))</f>
        <v>devon</v>
      </c>
      <c r="O1207">
        <f t="shared" si="219"/>
        <v>93.5</v>
      </c>
      <c r="P1207">
        <f t="shared" si="220"/>
        <v>346.9006</v>
      </c>
      <c r="Q1207" s="3">
        <f t="shared" si="221"/>
        <v>0.73297455800387123</v>
      </c>
      <c r="R1207" s="3">
        <f t="shared" si="222"/>
        <v>0.70770366869480128</v>
      </c>
      <c r="S1207" s="9">
        <f t="shared" si="223"/>
        <v>-2.5270889309069955E-2</v>
      </c>
      <c r="T1207">
        <f t="shared" si="224"/>
        <v>100</v>
      </c>
      <c r="U1207">
        <f t="shared" si="225"/>
        <v>105</v>
      </c>
      <c r="V1207" s="3">
        <f t="shared" si="226"/>
        <v>0.31822676422947704</v>
      </c>
      <c r="W1207" s="9">
        <f t="shared" si="227"/>
        <v>-0.31822676422947704</v>
      </c>
      <c r="AC1207"/>
    </row>
    <row r="1208" spans="1:29" x14ac:dyDescent="0.25">
      <c r="A1208" t="s">
        <v>95</v>
      </c>
      <c r="B1208">
        <v>9</v>
      </c>
      <c r="C1208" t="s">
        <v>931</v>
      </c>
      <c r="D1208" t="s">
        <v>467</v>
      </c>
      <c r="E1208">
        <v>17</v>
      </c>
      <c r="F1208">
        <v>21.45</v>
      </c>
      <c r="G1208">
        <v>56.700899999999997</v>
      </c>
      <c r="H1208" t="s">
        <v>15</v>
      </c>
      <c r="I1208" t="s">
        <v>15</v>
      </c>
      <c r="J1208" t="s">
        <v>35</v>
      </c>
      <c r="K1208">
        <f t="shared" si="216"/>
        <v>104.66</v>
      </c>
      <c r="L1208">
        <f t="shared" si="217"/>
        <v>474.51049999999998</v>
      </c>
      <c r="M1208" t="str">
        <f t="shared" si="218"/>
        <v>cory-9</v>
      </c>
      <c r="N1208" t="str">
        <f>INDEX(Scores!$A$2:$A$11,INDEX(Scores!$AA$2:$AA$131,MATCH(C1208,Scores!$AB$2:$AB$131,0)))</f>
        <v>cory</v>
      </c>
      <c r="O1208">
        <f t="shared" si="219"/>
        <v>90.69</v>
      </c>
      <c r="P1208">
        <f t="shared" si="220"/>
        <v>356.05790000000002</v>
      </c>
      <c r="Q1208" s="3">
        <f t="shared" si="221"/>
        <v>0.68606954461640712</v>
      </c>
      <c r="R1208" s="3">
        <f t="shared" si="222"/>
        <v>0.63390681580619268</v>
      </c>
      <c r="S1208" s="9">
        <f t="shared" si="223"/>
        <v>-5.2162728810214443E-2</v>
      </c>
      <c r="T1208">
        <f t="shared" si="224"/>
        <v>81</v>
      </c>
      <c r="U1208">
        <f t="shared" si="225"/>
        <v>89</v>
      </c>
      <c r="V1208" s="3">
        <f t="shared" si="226"/>
        <v>0.31866058574976869</v>
      </c>
      <c r="W1208" s="9">
        <f t="shared" si="227"/>
        <v>-0.31866058574976869</v>
      </c>
      <c r="AC1208"/>
    </row>
    <row r="1209" spans="1:29" x14ac:dyDescent="0.25">
      <c r="A1209" t="s">
        <v>112</v>
      </c>
      <c r="B1209">
        <v>5</v>
      </c>
      <c r="C1209" t="s">
        <v>891</v>
      </c>
      <c r="D1209" t="s">
        <v>466</v>
      </c>
      <c r="E1209">
        <v>9</v>
      </c>
      <c r="F1209">
        <v>9.76</v>
      </c>
      <c r="G1209">
        <v>56.100099999999998</v>
      </c>
      <c r="H1209" t="s">
        <v>466</v>
      </c>
      <c r="I1209" t="s">
        <v>47</v>
      </c>
      <c r="J1209" t="s">
        <v>49</v>
      </c>
      <c r="K1209">
        <f t="shared" si="216"/>
        <v>99.23</v>
      </c>
      <c r="L1209">
        <f t="shared" si="217"/>
        <v>364.64739999999995</v>
      </c>
      <c r="M1209" t="str">
        <f t="shared" si="218"/>
        <v>aj-5</v>
      </c>
      <c r="N1209" t="str">
        <f>INDEX(Scores!$A$2:$A$11,INDEX(Scores!$AA$2:$AA$131,MATCH(C1209,Scores!$AB$2:$AB$131,0)))</f>
        <v>aj</v>
      </c>
      <c r="O1209">
        <f t="shared" si="219"/>
        <v>117.25999999999999</v>
      </c>
      <c r="P1209">
        <f t="shared" si="220"/>
        <v>422.9941</v>
      </c>
      <c r="Q1209" s="3">
        <f t="shared" si="221"/>
        <v>0.26029431580256523</v>
      </c>
      <c r="R1209" s="3">
        <f t="shared" si="222"/>
        <v>0.24361663729722122</v>
      </c>
      <c r="S1209" s="9">
        <f t="shared" si="223"/>
        <v>-1.6677678505344018E-2</v>
      </c>
      <c r="T1209">
        <f t="shared" si="224"/>
        <v>106</v>
      </c>
      <c r="U1209">
        <f t="shared" si="225"/>
        <v>110</v>
      </c>
      <c r="V1209" s="3">
        <f t="shared" si="226"/>
        <v>0.33266113471756381</v>
      </c>
      <c r="W1209" s="9">
        <f t="shared" si="227"/>
        <v>-0.33266113471756381</v>
      </c>
      <c r="AC1209"/>
    </row>
    <row r="1210" spans="1:29" x14ac:dyDescent="0.25">
      <c r="A1210" t="s">
        <v>75</v>
      </c>
      <c r="B1210">
        <v>5</v>
      </c>
      <c r="C1210" t="s">
        <v>882</v>
      </c>
      <c r="D1210" t="s">
        <v>467</v>
      </c>
      <c r="E1210">
        <v>13</v>
      </c>
      <c r="F1210">
        <v>16.45</v>
      </c>
      <c r="G1210">
        <v>39.564100000000003</v>
      </c>
      <c r="H1210" t="s">
        <v>15</v>
      </c>
      <c r="I1210" t="s">
        <v>15</v>
      </c>
      <c r="J1210" t="s">
        <v>44</v>
      </c>
      <c r="K1210">
        <f t="shared" si="216"/>
        <v>98.72999999999999</v>
      </c>
      <c r="L1210">
        <f t="shared" si="217"/>
        <v>396.28840000000002</v>
      </c>
      <c r="M1210" t="str">
        <f t="shared" si="218"/>
        <v>perry-5</v>
      </c>
      <c r="N1210" t="str">
        <f>INDEX(Scores!$A$2:$A$11,INDEX(Scores!$AA$2:$AA$131,MATCH(C1210,Scores!$AB$2:$AB$131,0)))</f>
        <v>perry</v>
      </c>
      <c r="O1210">
        <f t="shared" si="219"/>
        <v>97.27</v>
      </c>
      <c r="P1210">
        <f t="shared" si="220"/>
        <v>430.39269999999999</v>
      </c>
      <c r="Q1210" s="3">
        <f t="shared" si="221"/>
        <v>0.52024917394329329</v>
      </c>
      <c r="R1210" s="3">
        <f t="shared" si="222"/>
        <v>0.47172650792478832</v>
      </c>
      <c r="S1210" s="9">
        <f t="shared" si="223"/>
        <v>-4.8522666018504967E-2</v>
      </c>
      <c r="T1210">
        <f t="shared" si="224"/>
        <v>90</v>
      </c>
      <c r="U1210">
        <f t="shared" si="225"/>
        <v>96</v>
      </c>
      <c r="V1210" s="3">
        <f t="shared" si="226"/>
        <v>0.34258976916403794</v>
      </c>
      <c r="W1210" s="9">
        <f t="shared" si="227"/>
        <v>-0.34258976916403794</v>
      </c>
      <c r="AC1210"/>
    </row>
    <row r="1211" spans="1:29" x14ac:dyDescent="0.25">
      <c r="A1211" t="s">
        <v>417</v>
      </c>
      <c r="B1211">
        <v>10</v>
      </c>
      <c r="C1211" t="s">
        <v>956</v>
      </c>
      <c r="D1211" t="s">
        <v>477</v>
      </c>
      <c r="E1211">
        <v>3</v>
      </c>
      <c r="F1211">
        <v>6.94</v>
      </c>
      <c r="G1211">
        <v>26.112100000000002</v>
      </c>
      <c r="H1211" t="s">
        <v>477</v>
      </c>
      <c r="I1211" t="s">
        <v>477</v>
      </c>
      <c r="J1211" t="s">
        <v>40</v>
      </c>
      <c r="K1211">
        <f t="shared" si="216"/>
        <v>97.83</v>
      </c>
      <c r="L1211">
        <f t="shared" si="217"/>
        <v>370.18310000000002</v>
      </c>
      <c r="M1211" t="e">
        <f t="shared" si="218"/>
        <v>#N/A</v>
      </c>
      <c r="N1211" t="e">
        <f>INDEX(Scores!$A$2:$A$11,INDEX(Scores!$AA$2:$AA$131,MATCH(C1211,Scores!$AB$2:$AB$131,0)))</f>
        <v>#N/A</v>
      </c>
      <c r="O1211">
        <f t="shared" si="219"/>
        <v>0</v>
      </c>
      <c r="P1211">
        <f t="shared" si="220"/>
        <v>0</v>
      </c>
      <c r="Q1211" s="3">
        <f t="shared" si="221"/>
        <v>0.99999981587831821</v>
      </c>
      <c r="R1211" s="3">
        <f t="shared" si="222"/>
        <v>0.99999979221879776</v>
      </c>
      <c r="S1211" s="9">
        <f t="shared" si="223"/>
        <v>-2.3659520453911398E-8</v>
      </c>
      <c r="T1211">
        <f t="shared" si="224"/>
        <v>91</v>
      </c>
      <c r="U1211">
        <f t="shared" si="225"/>
        <v>0</v>
      </c>
      <c r="V1211" s="3">
        <f t="shared" si="226"/>
        <v>1</v>
      </c>
      <c r="W1211" s="9">
        <f t="shared" si="227"/>
        <v>0</v>
      </c>
      <c r="AC1211"/>
    </row>
    <row r="1212" spans="1:29" x14ac:dyDescent="0.25">
      <c r="A1212" t="s">
        <v>141</v>
      </c>
      <c r="B1212">
        <v>2</v>
      </c>
      <c r="C1212" t="s">
        <v>625</v>
      </c>
      <c r="D1212" t="s">
        <v>475</v>
      </c>
      <c r="E1212">
        <v>1</v>
      </c>
      <c r="F1212">
        <v>8.27</v>
      </c>
      <c r="G1212">
        <v>24.206399999999999</v>
      </c>
      <c r="H1212" t="s">
        <v>114</v>
      </c>
      <c r="I1212" t="s">
        <v>114</v>
      </c>
      <c r="J1212" t="s">
        <v>55</v>
      </c>
      <c r="K1212">
        <f t="shared" si="216"/>
        <v>103.77999999999999</v>
      </c>
      <c r="L1212">
        <f t="shared" si="217"/>
        <v>338.9511</v>
      </c>
      <c r="M1212" t="str">
        <f t="shared" si="218"/>
        <v>chad-2</v>
      </c>
      <c r="N1212" t="str">
        <f>INDEX(Scores!$A$2:$A$11,INDEX(Scores!$AA$2:$AA$131,MATCH(C1212,Scores!$AB$2:$AB$131,0)))</f>
        <v>chad</v>
      </c>
      <c r="O1212">
        <f t="shared" si="219"/>
        <v>102.72000000000001</v>
      </c>
      <c r="P1212">
        <f t="shared" si="220"/>
        <v>348.54960000000005</v>
      </c>
      <c r="Q1212" s="3">
        <f t="shared" si="221"/>
        <v>0.51612356509096413</v>
      </c>
      <c r="R1212" s="3">
        <f t="shared" si="222"/>
        <v>0.40472993034453519</v>
      </c>
      <c r="S1212" s="9">
        <f t="shared" si="223"/>
        <v>-0.11139363474642894</v>
      </c>
      <c r="T1212">
        <f t="shared" si="224"/>
        <v>90</v>
      </c>
      <c r="U1212">
        <f t="shared" si="225"/>
        <v>99</v>
      </c>
      <c r="V1212" s="3">
        <f t="shared" si="226"/>
        <v>0.36255937577368114</v>
      </c>
      <c r="W1212" s="9">
        <f t="shared" si="227"/>
        <v>-0.36255937577368114</v>
      </c>
      <c r="AC1212"/>
    </row>
    <row r="1213" spans="1:29" x14ac:dyDescent="0.25">
      <c r="A1213" t="s">
        <v>117</v>
      </c>
      <c r="B1213">
        <v>1</v>
      </c>
      <c r="C1213" t="s">
        <v>499</v>
      </c>
      <c r="D1213" t="s">
        <v>469</v>
      </c>
      <c r="E1213">
        <v>8</v>
      </c>
      <c r="F1213">
        <v>10.06</v>
      </c>
      <c r="G1213">
        <v>32.832900000000002</v>
      </c>
      <c r="H1213" t="s">
        <v>47</v>
      </c>
      <c r="I1213" t="s">
        <v>47</v>
      </c>
      <c r="J1213" t="s">
        <v>40</v>
      </c>
      <c r="K1213">
        <f t="shared" si="216"/>
        <v>101.15</v>
      </c>
      <c r="L1213">
        <f t="shared" si="217"/>
        <v>350.32479999999998</v>
      </c>
      <c r="M1213" t="e">
        <f t="shared" si="218"/>
        <v>#N/A</v>
      </c>
      <c r="N1213" t="e">
        <f>INDEX(Scores!$A$2:$A$11,INDEX(Scores!$AA$2:$AA$131,MATCH(C1213,Scores!$AB$2:$AB$131,0)))</f>
        <v>#N/A</v>
      </c>
      <c r="O1213">
        <f t="shared" si="219"/>
        <v>0</v>
      </c>
      <c r="P1213">
        <f t="shared" si="220"/>
        <v>0</v>
      </c>
      <c r="Q1213" s="3">
        <f t="shared" si="221"/>
        <v>0.9999999674486757</v>
      </c>
      <c r="R1213" s="3">
        <f t="shared" si="222"/>
        <v>0.99999998659877654</v>
      </c>
      <c r="S1213" s="9">
        <f t="shared" si="223"/>
        <v>1.9150100838416506E-8</v>
      </c>
      <c r="T1213">
        <f t="shared" si="224"/>
        <v>71</v>
      </c>
      <c r="U1213">
        <f t="shared" si="225"/>
        <v>0</v>
      </c>
      <c r="V1213" s="3">
        <f t="shared" si="226"/>
        <v>1</v>
      </c>
      <c r="W1213" s="9">
        <f t="shared" si="227"/>
        <v>0</v>
      </c>
      <c r="AC1213"/>
    </row>
    <row r="1214" spans="1:29" x14ac:dyDescent="0.25">
      <c r="A1214" t="s">
        <v>128</v>
      </c>
      <c r="B1214">
        <v>5</v>
      </c>
      <c r="C1214" t="s">
        <v>891</v>
      </c>
      <c r="D1214" t="s">
        <v>469</v>
      </c>
      <c r="E1214">
        <v>7</v>
      </c>
      <c r="F1214">
        <v>9.39</v>
      </c>
      <c r="G1214">
        <v>25.704899999999999</v>
      </c>
      <c r="H1214" t="s">
        <v>47</v>
      </c>
      <c r="I1214" t="s">
        <v>47</v>
      </c>
      <c r="J1214" t="s">
        <v>49</v>
      </c>
      <c r="K1214">
        <f t="shared" si="216"/>
        <v>99.23</v>
      </c>
      <c r="L1214">
        <f t="shared" si="217"/>
        <v>364.64739999999995</v>
      </c>
      <c r="M1214" t="str">
        <f t="shared" si="218"/>
        <v>aj-5</v>
      </c>
      <c r="N1214" t="str">
        <f>INDEX(Scores!$A$2:$A$11,INDEX(Scores!$AA$2:$AA$131,MATCH(C1214,Scores!$AB$2:$AB$131,0)))</f>
        <v>aj</v>
      </c>
      <c r="O1214">
        <f t="shared" si="219"/>
        <v>117.25999999999999</v>
      </c>
      <c r="P1214">
        <f t="shared" si="220"/>
        <v>422.9941</v>
      </c>
      <c r="Q1214" s="3">
        <f t="shared" si="221"/>
        <v>0.26029431580256523</v>
      </c>
      <c r="R1214" s="3">
        <f t="shared" si="222"/>
        <v>0.22971998700580401</v>
      </c>
      <c r="S1214" s="9">
        <f t="shared" si="223"/>
        <v>-3.0574328796761224E-2</v>
      </c>
      <c r="T1214">
        <f t="shared" si="224"/>
        <v>106</v>
      </c>
      <c r="U1214">
        <f t="shared" si="225"/>
        <v>110</v>
      </c>
      <c r="V1214" s="3">
        <f t="shared" si="226"/>
        <v>0.3754115446688735</v>
      </c>
      <c r="W1214" s="9">
        <f t="shared" si="227"/>
        <v>-0.3754115446688735</v>
      </c>
      <c r="AC1214"/>
    </row>
    <row r="1215" spans="1:29" x14ac:dyDescent="0.25">
      <c r="A1215" t="s">
        <v>48</v>
      </c>
      <c r="B1215">
        <v>1</v>
      </c>
      <c r="C1215" t="s">
        <v>505</v>
      </c>
      <c r="D1215" t="s">
        <v>468</v>
      </c>
      <c r="E1215">
        <v>4</v>
      </c>
      <c r="F1215">
        <v>19.690000000000001</v>
      </c>
      <c r="G1215">
        <v>120.7801</v>
      </c>
      <c r="H1215" t="s">
        <v>47</v>
      </c>
      <c r="I1215" t="s">
        <v>47</v>
      </c>
      <c r="J1215" t="s">
        <v>49</v>
      </c>
      <c r="K1215">
        <f t="shared" si="216"/>
        <v>96.11</v>
      </c>
      <c r="L1215">
        <f t="shared" si="217"/>
        <v>397.37959999999998</v>
      </c>
      <c r="M1215" t="str">
        <f t="shared" si="218"/>
        <v>chad-1</v>
      </c>
      <c r="N1215" t="str">
        <f>INDEX(Scores!$A$2:$A$11,INDEX(Scores!$AA$2:$AA$131,MATCH(C1215,Scores!$AB$2:$AB$131,0)))</f>
        <v>chad</v>
      </c>
      <c r="O1215">
        <f t="shared" si="219"/>
        <v>101.75</v>
      </c>
      <c r="P1215">
        <f t="shared" si="220"/>
        <v>333.15260000000001</v>
      </c>
      <c r="Q1215" s="3">
        <f t="shared" si="221"/>
        <v>0.41735304190298633</v>
      </c>
      <c r="R1215" s="3">
        <f t="shared" si="222"/>
        <v>0.19384833567936632</v>
      </c>
      <c r="S1215" s="9">
        <f t="shared" si="223"/>
        <v>-0.22350470622362001</v>
      </c>
      <c r="T1215">
        <f t="shared" si="224"/>
        <v>76</v>
      </c>
      <c r="U1215">
        <f t="shared" si="225"/>
        <v>95</v>
      </c>
      <c r="V1215" s="3">
        <f t="shared" si="226"/>
        <v>0.38163751677157559</v>
      </c>
      <c r="W1215" s="9">
        <f t="shared" si="227"/>
        <v>-0.38163751677157559</v>
      </c>
      <c r="AC1215"/>
    </row>
    <row r="1216" spans="1:29" x14ac:dyDescent="0.25">
      <c r="A1216" t="s">
        <v>150</v>
      </c>
      <c r="B1216">
        <v>8</v>
      </c>
      <c r="C1216" t="s">
        <v>906</v>
      </c>
      <c r="D1216" t="s">
        <v>472</v>
      </c>
      <c r="E1216">
        <v>9</v>
      </c>
      <c r="F1216">
        <v>10.17</v>
      </c>
      <c r="G1216">
        <v>41.088099999999997</v>
      </c>
      <c r="H1216" t="s">
        <v>87</v>
      </c>
      <c r="I1216" t="s">
        <v>87</v>
      </c>
      <c r="J1216" t="s">
        <v>20</v>
      </c>
      <c r="K1216">
        <f t="shared" si="216"/>
        <v>113.35000000000001</v>
      </c>
      <c r="L1216">
        <f t="shared" si="217"/>
        <v>416.81729999999993</v>
      </c>
      <c r="M1216" t="str">
        <f t="shared" si="218"/>
        <v>chad-8</v>
      </c>
      <c r="N1216" t="str">
        <f>INDEX(Scores!$A$2:$A$11,INDEX(Scores!$AA$2:$AA$131,MATCH(C1216,Scores!$AB$2:$AB$131,0)))</f>
        <v>chad</v>
      </c>
      <c r="O1216">
        <f t="shared" si="219"/>
        <v>94.88</v>
      </c>
      <c r="P1216">
        <f t="shared" si="220"/>
        <v>320.65749999999997</v>
      </c>
      <c r="Q1216" s="3">
        <f t="shared" si="221"/>
        <v>0.75178960468721057</v>
      </c>
      <c r="R1216" s="3">
        <f t="shared" si="222"/>
        <v>0.74395045661311121</v>
      </c>
      <c r="S1216" s="9">
        <f t="shared" si="223"/>
        <v>-7.8391480740993558E-3</v>
      </c>
      <c r="T1216">
        <f t="shared" si="224"/>
        <v>75</v>
      </c>
      <c r="U1216">
        <f t="shared" si="225"/>
        <v>78</v>
      </c>
      <c r="V1216" s="3">
        <f t="shared" si="226"/>
        <v>0.38763383856413186</v>
      </c>
      <c r="W1216" s="9">
        <f t="shared" si="227"/>
        <v>-0.38763383856413186</v>
      </c>
      <c r="AC1216"/>
    </row>
    <row r="1217" spans="1:29" x14ac:dyDescent="0.25">
      <c r="A1217" t="s">
        <v>135</v>
      </c>
      <c r="B1217">
        <v>3</v>
      </c>
      <c r="C1217" t="s">
        <v>812</v>
      </c>
      <c r="D1217" t="s">
        <v>471</v>
      </c>
      <c r="E1217">
        <v>6</v>
      </c>
      <c r="F1217">
        <v>8.4600000000000009</v>
      </c>
      <c r="G1217">
        <v>30.360099999999999</v>
      </c>
      <c r="H1217" t="s">
        <v>87</v>
      </c>
      <c r="I1217" t="s">
        <v>87</v>
      </c>
      <c r="J1217" t="s">
        <v>49</v>
      </c>
      <c r="K1217">
        <f t="shared" si="216"/>
        <v>116.17999999999999</v>
      </c>
      <c r="L1217">
        <f t="shared" si="217"/>
        <v>478.31470000000002</v>
      </c>
      <c r="M1217" t="str">
        <f t="shared" si="218"/>
        <v>comp-3</v>
      </c>
      <c r="N1217" t="str">
        <f>INDEX(Scores!$A$2:$A$11,INDEX(Scores!$AA$2:$AA$131,MATCH(C1217,Scores!$AB$2:$AB$131,0)))</f>
        <v>comp</v>
      </c>
      <c r="O1217">
        <f t="shared" si="219"/>
        <v>105.02</v>
      </c>
      <c r="P1217">
        <f t="shared" si="220"/>
        <v>401.60159999999996</v>
      </c>
      <c r="Q1217" s="3">
        <f t="shared" si="221"/>
        <v>0.64662385216199125</v>
      </c>
      <c r="R1217" s="3">
        <f t="shared" si="222"/>
        <v>0.61733366810184775</v>
      </c>
      <c r="S1217" s="9">
        <f t="shared" si="223"/>
        <v>-2.9290184060143498E-2</v>
      </c>
      <c r="T1217">
        <f t="shared" si="224"/>
        <v>81</v>
      </c>
      <c r="U1217">
        <f t="shared" si="225"/>
        <v>85</v>
      </c>
      <c r="V1217" s="3">
        <f t="shared" si="226"/>
        <v>0.38993370235170766</v>
      </c>
      <c r="W1217" s="9">
        <f t="shared" si="227"/>
        <v>-0.38993370235170766</v>
      </c>
      <c r="AC1217"/>
    </row>
    <row r="1218" spans="1:29" x14ac:dyDescent="0.25">
      <c r="A1218" t="s">
        <v>453</v>
      </c>
      <c r="B1218">
        <v>5</v>
      </c>
      <c r="C1218" t="s">
        <v>883</v>
      </c>
      <c r="D1218" t="s">
        <v>478</v>
      </c>
      <c r="E1218">
        <v>5</v>
      </c>
      <c r="F1218">
        <v>8.86</v>
      </c>
      <c r="G1218">
        <v>17.808399999999999</v>
      </c>
      <c r="H1218" t="s">
        <v>478</v>
      </c>
      <c r="I1218" t="s">
        <v>478</v>
      </c>
      <c r="J1218" t="s">
        <v>16</v>
      </c>
      <c r="K1218">
        <f t="shared" ref="K1218:K1281" si="228">SUMIF($C$2:$C$1301,$C1218,$F$2:$F$1301)</f>
        <v>109.91</v>
      </c>
      <c r="L1218">
        <f t="shared" ref="L1218:L1281" si="229">SUMIF($C$2:$C$1301,$C1218,$G$2:$G$1301)</f>
        <v>349.51409999999998</v>
      </c>
      <c r="M1218" t="str">
        <f t="shared" ref="M1218:M1281" si="230">N1218&amp;"-"&amp;B1218</f>
        <v>devon-5</v>
      </c>
      <c r="N1218" t="str">
        <f>INDEX(Scores!$A$2:$A$11,INDEX(Scores!$AA$2:$AA$131,MATCH(C1218,Scores!$AB$2:$AB$131,0)))</f>
        <v>devon</v>
      </c>
      <c r="O1218">
        <f t="shared" ref="O1218:O1281" si="231">SUMIF($C$2:$C$1301,$M1218,$F$2:$F$1301)</f>
        <v>93.5</v>
      </c>
      <c r="P1218">
        <f t="shared" ref="P1218:P1281" si="232">SUMIF($C$2:$C$1301,$M1218,$G$2:$G$1301)</f>
        <v>346.9006</v>
      </c>
      <c r="Q1218" s="3">
        <f t="shared" ref="Q1218:Q1281" si="233">_xlfn.NORM.DIST(0,$O1218-$K1218,SQRT($L1218+$P1218),TRUE)</f>
        <v>0.73297455800387123</v>
      </c>
      <c r="R1218" s="3">
        <f t="shared" ref="R1218:R1281" si="234">_xlfn.NORM.DIST(0,$O1218-$K1218-($E1218-$F1218),SQRT($L1218+$P1218-$G1218),TRUE)</f>
        <v>0.68501336976188165</v>
      </c>
      <c r="S1218" s="9">
        <f t="shared" ref="S1218:S1281" si="235">R1218-Q1218</f>
        <v>-4.7961188241989583E-2</v>
      </c>
      <c r="T1218">
        <f t="shared" ref="T1218:T1281" si="236">SUMIF($C$2:$C$1301,$C1218,$E$2:$E$1301)</f>
        <v>100</v>
      </c>
      <c r="U1218">
        <f t="shared" ref="U1218:U1281" si="237">SUMIF($C$2:$C$1301,$M1218,$E$2:$E$1301)</f>
        <v>105</v>
      </c>
      <c r="V1218" s="3">
        <f t="shared" ref="V1218:V1281" si="238">_xlfn.NORM.DIST(0,U1218-T1218+E1218-F1218,SQRT(G1218),TRUE)</f>
        <v>0.39352543647825022</v>
      </c>
      <c r="W1218" s="9">
        <f t="shared" ref="W1218:W1281" si="239">IFERROR(IF(U1218&gt;T1218,0,1)-V1218,0)</f>
        <v>-0.39352543647825022</v>
      </c>
      <c r="AC1218"/>
    </row>
    <row r="1219" spans="1:29" x14ac:dyDescent="0.25">
      <c r="A1219" t="s">
        <v>258</v>
      </c>
      <c r="B1219">
        <v>12</v>
      </c>
      <c r="C1219" t="s">
        <v>974</v>
      </c>
      <c r="D1219" t="s">
        <v>469</v>
      </c>
      <c r="E1219">
        <v>5</v>
      </c>
      <c r="F1219">
        <v>8.44</v>
      </c>
      <c r="G1219">
        <v>34.692100000000003</v>
      </c>
      <c r="H1219" t="s">
        <v>47</v>
      </c>
      <c r="I1219" t="s">
        <v>47</v>
      </c>
      <c r="J1219" t="s">
        <v>49</v>
      </c>
      <c r="K1219">
        <f t="shared" si="228"/>
        <v>94.28</v>
      </c>
      <c r="L1219">
        <f t="shared" si="229"/>
        <v>371.05129999999997</v>
      </c>
      <c r="M1219" t="str">
        <f t="shared" si="230"/>
        <v>devon-12</v>
      </c>
      <c r="N1219" t="str">
        <f>INDEX(Scores!$A$2:$A$11,INDEX(Scores!$AA$2:$AA$131,MATCH(C1219,Scores!$AB$2:$AB$131,0)))</f>
        <v>devon</v>
      </c>
      <c r="O1219">
        <f t="shared" si="231"/>
        <v>99.070000000000007</v>
      </c>
      <c r="P1219">
        <f t="shared" si="232"/>
        <v>350.10639999999995</v>
      </c>
      <c r="Q1219" s="3">
        <f t="shared" si="233"/>
        <v>0.42921643322258324</v>
      </c>
      <c r="R1219" s="3">
        <f t="shared" si="234"/>
        <v>0.37671636255283969</v>
      </c>
      <c r="S1219" s="9">
        <f t="shared" si="235"/>
        <v>-5.2500070669743548E-2</v>
      </c>
      <c r="T1219">
        <f t="shared" si="236"/>
        <v>75</v>
      </c>
      <c r="U1219">
        <f t="shared" si="237"/>
        <v>80</v>
      </c>
      <c r="V1219" s="3">
        <f t="shared" si="238"/>
        <v>0.39556031785606305</v>
      </c>
      <c r="W1219" s="9">
        <f t="shared" si="239"/>
        <v>-0.39556031785606305</v>
      </c>
      <c r="AC1219"/>
    </row>
    <row r="1220" spans="1:29" x14ac:dyDescent="0.25">
      <c r="A1220" t="s">
        <v>53</v>
      </c>
      <c r="B1220">
        <v>2</v>
      </c>
      <c r="C1220" t="s">
        <v>625</v>
      </c>
      <c r="D1220" t="s">
        <v>467</v>
      </c>
      <c r="E1220">
        <v>14</v>
      </c>
      <c r="F1220">
        <v>21.14</v>
      </c>
      <c r="G1220">
        <v>49.420900000000003</v>
      </c>
      <c r="H1220" t="s">
        <v>15</v>
      </c>
      <c r="I1220" t="s">
        <v>15</v>
      </c>
      <c r="J1220" t="s">
        <v>55</v>
      </c>
      <c r="K1220">
        <f t="shared" si="228"/>
        <v>103.77999999999999</v>
      </c>
      <c r="L1220">
        <f t="shared" si="229"/>
        <v>338.9511</v>
      </c>
      <c r="M1220" t="str">
        <f t="shared" si="230"/>
        <v>chad-2</v>
      </c>
      <c r="N1220" t="str">
        <f>INDEX(Scores!$A$2:$A$11,INDEX(Scores!$AA$2:$AA$131,MATCH(C1220,Scores!$AB$2:$AB$131,0)))</f>
        <v>chad</v>
      </c>
      <c r="O1220">
        <f t="shared" si="231"/>
        <v>102.72000000000001</v>
      </c>
      <c r="P1220">
        <f t="shared" si="232"/>
        <v>348.54960000000005</v>
      </c>
      <c r="Q1220" s="3">
        <f t="shared" si="233"/>
        <v>0.51612356509096413</v>
      </c>
      <c r="R1220" s="3">
        <f t="shared" si="234"/>
        <v>0.40489596934772643</v>
      </c>
      <c r="S1220" s="9">
        <f t="shared" si="235"/>
        <v>-0.11122759574323771</v>
      </c>
      <c r="T1220">
        <f t="shared" si="236"/>
        <v>90</v>
      </c>
      <c r="U1220">
        <f t="shared" si="237"/>
        <v>99</v>
      </c>
      <c r="V1220" s="3">
        <f t="shared" si="238"/>
        <v>0.39566637198110421</v>
      </c>
      <c r="W1220" s="9">
        <f t="shared" si="239"/>
        <v>-0.39566637198110421</v>
      </c>
      <c r="AC1220"/>
    </row>
    <row r="1221" spans="1:29" x14ac:dyDescent="0.25">
      <c r="A1221" t="s">
        <v>92</v>
      </c>
      <c r="B1221">
        <v>13</v>
      </c>
      <c r="C1221" t="s">
        <v>927</v>
      </c>
      <c r="D1221" t="s">
        <v>466</v>
      </c>
      <c r="E1221">
        <v>9</v>
      </c>
      <c r="F1221">
        <v>16.02</v>
      </c>
      <c r="G1221">
        <v>66.912400000000005</v>
      </c>
      <c r="H1221" t="s">
        <v>466</v>
      </c>
      <c r="I1221" t="s">
        <v>47</v>
      </c>
      <c r="J1221" t="s">
        <v>55</v>
      </c>
      <c r="K1221">
        <f t="shared" si="228"/>
        <v>116.54</v>
      </c>
      <c r="L1221">
        <f t="shared" si="229"/>
        <v>371.12040000000002</v>
      </c>
      <c r="M1221" t="str">
        <f t="shared" si="230"/>
        <v>matty-13</v>
      </c>
      <c r="N1221" t="str">
        <f>INDEX(Scores!$A$2:$A$11,INDEX(Scores!$AA$2:$AA$131,MATCH(C1221,Scores!$AB$2:$AB$131,0)))</f>
        <v>matty</v>
      </c>
      <c r="O1221">
        <f t="shared" si="231"/>
        <v>88.16</v>
      </c>
      <c r="P1221">
        <f t="shared" si="232"/>
        <v>330.99250000000001</v>
      </c>
      <c r="Q1221" s="3">
        <f t="shared" si="233"/>
        <v>0.85792606530938775</v>
      </c>
      <c r="R1221" s="3">
        <f t="shared" si="234"/>
        <v>0.80164508662465073</v>
      </c>
      <c r="S1221" s="9">
        <f t="shared" si="235"/>
        <v>-5.6280978684737026E-2</v>
      </c>
      <c r="T1221">
        <f t="shared" si="236"/>
        <v>108</v>
      </c>
      <c r="U1221">
        <f t="shared" si="237"/>
        <v>117</v>
      </c>
      <c r="V1221" s="3">
        <f t="shared" si="238"/>
        <v>0.4043692420041462</v>
      </c>
      <c r="W1221" s="9">
        <f t="shared" si="239"/>
        <v>-0.4043692420041462</v>
      </c>
      <c r="AC1221"/>
    </row>
    <row r="1222" spans="1:29" x14ac:dyDescent="0.25">
      <c r="A1222" t="s">
        <v>140</v>
      </c>
      <c r="B1222">
        <v>1</v>
      </c>
      <c r="C1222" t="s">
        <v>499</v>
      </c>
      <c r="D1222" t="s">
        <v>472</v>
      </c>
      <c r="E1222">
        <v>7</v>
      </c>
      <c r="F1222">
        <v>9.8000000000000007</v>
      </c>
      <c r="G1222">
        <v>25</v>
      </c>
      <c r="H1222" t="s">
        <v>87</v>
      </c>
      <c r="I1222" t="s">
        <v>87</v>
      </c>
      <c r="J1222" t="s">
        <v>40</v>
      </c>
      <c r="K1222">
        <f t="shared" si="228"/>
        <v>101.15</v>
      </c>
      <c r="L1222">
        <f t="shared" si="229"/>
        <v>350.32479999999998</v>
      </c>
      <c r="M1222" t="e">
        <f t="shared" si="230"/>
        <v>#N/A</v>
      </c>
      <c r="N1222" t="e">
        <f>INDEX(Scores!$A$2:$A$11,INDEX(Scores!$AA$2:$AA$131,MATCH(C1222,Scores!$AB$2:$AB$131,0)))</f>
        <v>#N/A</v>
      </c>
      <c r="O1222">
        <f t="shared" si="231"/>
        <v>0</v>
      </c>
      <c r="P1222">
        <f t="shared" si="232"/>
        <v>0</v>
      </c>
      <c r="Q1222" s="3">
        <f t="shared" si="233"/>
        <v>0.9999999674486757</v>
      </c>
      <c r="R1222" s="3">
        <f t="shared" si="234"/>
        <v>0.99999997520194983</v>
      </c>
      <c r="S1222" s="9">
        <f t="shared" si="235"/>
        <v>7.7532741338259825E-9</v>
      </c>
      <c r="T1222">
        <f t="shared" si="236"/>
        <v>71</v>
      </c>
      <c r="U1222">
        <f t="shared" si="237"/>
        <v>0</v>
      </c>
      <c r="V1222" s="3">
        <f t="shared" si="238"/>
        <v>1</v>
      </c>
      <c r="W1222" s="9">
        <f t="shared" si="239"/>
        <v>0</v>
      </c>
      <c r="AC1222"/>
    </row>
    <row r="1223" spans="1:29" x14ac:dyDescent="0.25">
      <c r="A1223" t="s">
        <v>116</v>
      </c>
      <c r="B1223">
        <v>9</v>
      </c>
      <c r="C1223" t="s">
        <v>931</v>
      </c>
      <c r="D1223" t="s">
        <v>471</v>
      </c>
      <c r="E1223">
        <v>4</v>
      </c>
      <c r="F1223">
        <v>10.1</v>
      </c>
      <c r="G1223">
        <v>66.912400000000005</v>
      </c>
      <c r="H1223" t="s">
        <v>87</v>
      </c>
      <c r="I1223" t="s">
        <v>87</v>
      </c>
      <c r="J1223" t="s">
        <v>35</v>
      </c>
      <c r="K1223">
        <f t="shared" si="228"/>
        <v>104.66</v>
      </c>
      <c r="L1223">
        <f t="shared" si="229"/>
        <v>474.51049999999998</v>
      </c>
      <c r="M1223" t="str">
        <f t="shared" si="230"/>
        <v>cory-9</v>
      </c>
      <c r="N1223" t="str">
        <f>INDEX(Scores!$A$2:$A$11,INDEX(Scores!$AA$2:$AA$131,MATCH(C1223,Scores!$AB$2:$AB$131,0)))</f>
        <v>cory</v>
      </c>
      <c r="O1223">
        <f t="shared" si="231"/>
        <v>90.69</v>
      </c>
      <c r="P1223">
        <f t="shared" si="232"/>
        <v>356.05790000000002</v>
      </c>
      <c r="Q1223" s="3">
        <f t="shared" si="233"/>
        <v>0.68606954461640712</v>
      </c>
      <c r="R1223" s="3">
        <f t="shared" si="234"/>
        <v>0.61209776251395043</v>
      </c>
      <c r="S1223" s="9">
        <f t="shared" si="235"/>
        <v>-7.3971782102456696E-2</v>
      </c>
      <c r="T1223">
        <f t="shared" si="236"/>
        <v>81</v>
      </c>
      <c r="U1223">
        <f t="shared" si="237"/>
        <v>89</v>
      </c>
      <c r="V1223" s="3">
        <f t="shared" si="238"/>
        <v>0.40816266528721157</v>
      </c>
      <c r="W1223" s="9">
        <f t="shared" si="239"/>
        <v>-0.40816266528721157</v>
      </c>
      <c r="AC1223"/>
    </row>
    <row r="1224" spans="1:29" x14ac:dyDescent="0.25">
      <c r="A1224" t="s">
        <v>99</v>
      </c>
      <c r="B1224">
        <v>5</v>
      </c>
      <c r="C1224" t="s">
        <v>883</v>
      </c>
      <c r="D1224" t="s">
        <v>469</v>
      </c>
      <c r="E1224">
        <v>8</v>
      </c>
      <c r="F1224">
        <v>11.81</v>
      </c>
      <c r="G1224">
        <v>28.8369</v>
      </c>
      <c r="H1224" t="s">
        <v>47</v>
      </c>
      <c r="I1224" t="s">
        <v>47</v>
      </c>
      <c r="J1224" t="s">
        <v>16</v>
      </c>
      <c r="K1224">
        <f t="shared" si="228"/>
        <v>109.91</v>
      </c>
      <c r="L1224">
        <f t="shared" si="229"/>
        <v>349.51409999999998</v>
      </c>
      <c r="M1224" t="str">
        <f t="shared" si="230"/>
        <v>devon-5</v>
      </c>
      <c r="N1224" t="str">
        <f>INDEX(Scores!$A$2:$A$11,INDEX(Scores!$AA$2:$AA$131,MATCH(C1224,Scores!$AB$2:$AB$131,0)))</f>
        <v>devon</v>
      </c>
      <c r="O1224">
        <f t="shared" si="231"/>
        <v>93.5</v>
      </c>
      <c r="P1224">
        <f t="shared" si="232"/>
        <v>346.9006</v>
      </c>
      <c r="Q1224" s="3">
        <f t="shared" si="233"/>
        <v>0.73297455800387123</v>
      </c>
      <c r="R1224" s="3">
        <f t="shared" si="234"/>
        <v>0.68710563711691597</v>
      </c>
      <c r="S1224" s="9">
        <f t="shared" si="235"/>
        <v>-4.5868920886955267E-2</v>
      </c>
      <c r="T1224">
        <f t="shared" si="236"/>
        <v>100</v>
      </c>
      <c r="U1224">
        <f t="shared" si="237"/>
        <v>105</v>
      </c>
      <c r="V1224" s="3">
        <f t="shared" si="238"/>
        <v>0.41231206133431914</v>
      </c>
      <c r="W1224" s="9">
        <f t="shared" si="239"/>
        <v>-0.41231206133431914</v>
      </c>
      <c r="AC1224"/>
    </row>
    <row r="1225" spans="1:29" x14ac:dyDescent="0.25">
      <c r="A1225" t="s">
        <v>338</v>
      </c>
      <c r="B1225">
        <v>5</v>
      </c>
      <c r="C1225" t="s">
        <v>891</v>
      </c>
      <c r="D1225" t="s">
        <v>473</v>
      </c>
      <c r="E1225">
        <v>3</v>
      </c>
      <c r="F1225">
        <v>6.04</v>
      </c>
      <c r="G1225">
        <v>23.328900000000001</v>
      </c>
      <c r="H1225" t="s">
        <v>87</v>
      </c>
      <c r="I1225" t="s">
        <v>87</v>
      </c>
      <c r="J1225" t="s">
        <v>49</v>
      </c>
      <c r="K1225">
        <f t="shared" si="228"/>
        <v>99.23</v>
      </c>
      <c r="L1225">
        <f t="shared" si="229"/>
        <v>364.64739999999995</v>
      </c>
      <c r="M1225" t="str">
        <f t="shared" si="230"/>
        <v>aj-5</v>
      </c>
      <c r="N1225" t="str">
        <f>INDEX(Scores!$A$2:$A$11,INDEX(Scores!$AA$2:$AA$131,MATCH(C1225,Scores!$AB$2:$AB$131,0)))</f>
        <v>aj</v>
      </c>
      <c r="O1225">
        <f t="shared" si="231"/>
        <v>117.25999999999999</v>
      </c>
      <c r="P1225">
        <f t="shared" si="232"/>
        <v>422.9941</v>
      </c>
      <c r="Q1225" s="3">
        <f t="shared" si="233"/>
        <v>0.26029431580256523</v>
      </c>
      <c r="R1225" s="3">
        <f t="shared" si="234"/>
        <v>0.22299122603068822</v>
      </c>
      <c r="S1225" s="9">
        <f t="shared" si="235"/>
        <v>-3.7303089771877018E-2</v>
      </c>
      <c r="T1225">
        <f t="shared" si="236"/>
        <v>106</v>
      </c>
      <c r="U1225">
        <f t="shared" si="237"/>
        <v>110</v>
      </c>
      <c r="V1225" s="3">
        <f t="shared" si="238"/>
        <v>0.42122611810641142</v>
      </c>
      <c r="W1225" s="9">
        <f t="shared" si="239"/>
        <v>-0.42122611810641142</v>
      </c>
      <c r="AC1225"/>
    </row>
    <row r="1226" spans="1:29" x14ac:dyDescent="0.25">
      <c r="A1226" t="s">
        <v>70</v>
      </c>
      <c r="B1226">
        <v>3</v>
      </c>
      <c r="C1226" t="s">
        <v>812</v>
      </c>
      <c r="D1226" t="s">
        <v>467</v>
      </c>
      <c r="E1226">
        <v>15</v>
      </c>
      <c r="F1226">
        <v>17.84</v>
      </c>
      <c r="G1226">
        <v>52.5625</v>
      </c>
      <c r="H1226" t="s">
        <v>15</v>
      </c>
      <c r="I1226" t="s">
        <v>15</v>
      </c>
      <c r="J1226" t="s">
        <v>49</v>
      </c>
      <c r="K1226">
        <f t="shared" si="228"/>
        <v>116.17999999999999</v>
      </c>
      <c r="L1226">
        <f t="shared" si="229"/>
        <v>478.31470000000002</v>
      </c>
      <c r="M1226" t="str">
        <f t="shared" si="230"/>
        <v>comp-3</v>
      </c>
      <c r="N1226" t="str">
        <f>INDEX(Scores!$A$2:$A$11,INDEX(Scores!$AA$2:$AA$131,MATCH(C1226,Scores!$AB$2:$AB$131,0)))</f>
        <v>comp</v>
      </c>
      <c r="O1226">
        <f t="shared" si="231"/>
        <v>105.02</v>
      </c>
      <c r="P1226">
        <f t="shared" si="232"/>
        <v>401.60159999999996</v>
      </c>
      <c r="Q1226" s="3">
        <f t="shared" si="233"/>
        <v>0.64662385216199125</v>
      </c>
      <c r="R1226" s="3">
        <f t="shared" si="234"/>
        <v>0.6138060663707916</v>
      </c>
      <c r="S1226" s="9">
        <f t="shared" si="235"/>
        <v>-3.281778579119965E-2</v>
      </c>
      <c r="T1226">
        <f t="shared" si="236"/>
        <v>81</v>
      </c>
      <c r="U1226">
        <f t="shared" si="237"/>
        <v>85</v>
      </c>
      <c r="V1226" s="3">
        <f t="shared" si="238"/>
        <v>0.43644053710856712</v>
      </c>
      <c r="W1226" s="9">
        <f t="shared" si="239"/>
        <v>-0.43644053710856712</v>
      </c>
      <c r="AC1226"/>
    </row>
    <row r="1227" spans="1:29" x14ac:dyDescent="0.25">
      <c r="A1227" t="s">
        <v>98</v>
      </c>
      <c r="B1227">
        <v>5</v>
      </c>
      <c r="C1227" t="s">
        <v>882</v>
      </c>
      <c r="D1227" t="s">
        <v>471</v>
      </c>
      <c r="E1227">
        <v>8</v>
      </c>
      <c r="F1227">
        <v>12.9</v>
      </c>
      <c r="G1227">
        <v>51.408900000000003</v>
      </c>
      <c r="H1227" t="s">
        <v>87</v>
      </c>
      <c r="I1227" t="s">
        <v>87</v>
      </c>
      <c r="J1227" t="s">
        <v>44</v>
      </c>
      <c r="K1227">
        <f t="shared" si="228"/>
        <v>98.72999999999999</v>
      </c>
      <c r="L1227">
        <f t="shared" si="229"/>
        <v>396.28840000000002</v>
      </c>
      <c r="M1227" t="str">
        <f t="shared" si="230"/>
        <v>perry-5</v>
      </c>
      <c r="N1227" t="str">
        <f>INDEX(Scores!$A$2:$A$11,INDEX(Scores!$AA$2:$AA$131,MATCH(C1227,Scores!$AB$2:$AB$131,0)))</f>
        <v>perry</v>
      </c>
      <c r="O1227">
        <f t="shared" si="231"/>
        <v>97.27</v>
      </c>
      <c r="P1227">
        <f t="shared" si="232"/>
        <v>430.39269999999999</v>
      </c>
      <c r="Q1227" s="3">
        <f t="shared" si="233"/>
        <v>0.52024917394329329</v>
      </c>
      <c r="R1227" s="3">
        <f t="shared" si="234"/>
        <v>0.45083707703349774</v>
      </c>
      <c r="S1227" s="9">
        <f t="shared" si="235"/>
        <v>-6.9412096909795551E-2</v>
      </c>
      <c r="T1227">
        <f t="shared" si="236"/>
        <v>90</v>
      </c>
      <c r="U1227">
        <f t="shared" si="237"/>
        <v>96</v>
      </c>
      <c r="V1227" s="3">
        <f t="shared" si="238"/>
        <v>0.43903471371249786</v>
      </c>
      <c r="W1227" s="9">
        <f t="shared" si="239"/>
        <v>-0.43903471371249786</v>
      </c>
      <c r="AC1227"/>
    </row>
    <row r="1228" spans="1:29" x14ac:dyDescent="0.25">
      <c r="A1228" t="s">
        <v>136</v>
      </c>
      <c r="B1228">
        <v>1</v>
      </c>
      <c r="C1228" t="s">
        <v>499</v>
      </c>
      <c r="D1228" t="s">
        <v>471</v>
      </c>
      <c r="E1228">
        <v>6</v>
      </c>
      <c r="F1228">
        <v>9.2799999999999994</v>
      </c>
      <c r="G1228">
        <v>22.278400000000001</v>
      </c>
      <c r="H1228" t="s">
        <v>87</v>
      </c>
      <c r="I1228" t="s">
        <v>87</v>
      </c>
      <c r="J1228" t="s">
        <v>40</v>
      </c>
      <c r="K1228">
        <f t="shared" si="228"/>
        <v>101.15</v>
      </c>
      <c r="L1228">
        <f t="shared" si="229"/>
        <v>350.32479999999998</v>
      </c>
      <c r="M1228" t="e">
        <f t="shared" si="230"/>
        <v>#N/A</v>
      </c>
      <c r="N1228" t="e">
        <f>INDEX(Scores!$A$2:$A$11,INDEX(Scores!$AA$2:$AA$131,MATCH(C1228,Scores!$AB$2:$AB$131,0)))</f>
        <v>#N/A</v>
      </c>
      <c r="O1228">
        <f t="shared" si="231"/>
        <v>0</v>
      </c>
      <c r="P1228">
        <f t="shared" si="232"/>
        <v>0</v>
      </c>
      <c r="Q1228" s="3">
        <f t="shared" si="233"/>
        <v>0.9999999674486757</v>
      </c>
      <c r="R1228" s="3">
        <f t="shared" si="234"/>
        <v>0.99999996733892615</v>
      </c>
      <c r="S1228" s="9">
        <f t="shared" si="235"/>
        <v>-1.0974954278708537E-10</v>
      </c>
      <c r="T1228">
        <f t="shared" si="236"/>
        <v>71</v>
      </c>
      <c r="U1228">
        <f t="shared" si="237"/>
        <v>0</v>
      </c>
      <c r="V1228" s="3">
        <f t="shared" si="238"/>
        <v>1</v>
      </c>
      <c r="W1228" s="9">
        <f t="shared" si="239"/>
        <v>0</v>
      </c>
      <c r="AC1228"/>
    </row>
    <row r="1229" spans="1:29" x14ac:dyDescent="0.25">
      <c r="A1229" t="s">
        <v>170</v>
      </c>
      <c r="B1229">
        <v>8</v>
      </c>
      <c r="C1229" t="s">
        <v>914</v>
      </c>
      <c r="D1229" t="s">
        <v>469</v>
      </c>
      <c r="E1229">
        <v>10</v>
      </c>
      <c r="F1229">
        <v>9.9700000000000006</v>
      </c>
      <c r="G1229">
        <v>50.552100000000003</v>
      </c>
      <c r="H1229" t="s">
        <v>47</v>
      </c>
      <c r="I1229" t="s">
        <v>47</v>
      </c>
      <c r="J1229" t="s">
        <v>16</v>
      </c>
      <c r="K1229">
        <f t="shared" si="228"/>
        <v>106.3</v>
      </c>
      <c r="L1229">
        <f t="shared" si="229"/>
        <v>423.11159999999995</v>
      </c>
      <c r="M1229" t="str">
        <f t="shared" si="230"/>
        <v>matty-8</v>
      </c>
      <c r="N1229" t="str">
        <f>INDEX(Scores!$A$2:$A$11,INDEX(Scores!$AA$2:$AA$131,MATCH(C1229,Scores!$AB$2:$AB$131,0)))</f>
        <v>matty</v>
      </c>
      <c r="O1229">
        <f t="shared" si="231"/>
        <v>88.500000000000014</v>
      </c>
      <c r="P1229">
        <f t="shared" si="232"/>
        <v>351.30459999999999</v>
      </c>
      <c r="Q1229" s="3">
        <f t="shared" si="233"/>
        <v>0.7387953106518842</v>
      </c>
      <c r="R1229" s="3">
        <f t="shared" si="234"/>
        <v>0.74624150590958549</v>
      </c>
      <c r="S1229" s="9">
        <f t="shared" si="235"/>
        <v>7.4461952577012935E-3</v>
      </c>
      <c r="T1229">
        <f t="shared" si="236"/>
        <v>106</v>
      </c>
      <c r="U1229">
        <f t="shared" si="237"/>
        <v>107</v>
      </c>
      <c r="V1229" s="3">
        <f t="shared" si="238"/>
        <v>0.44240818350129996</v>
      </c>
      <c r="W1229" s="9">
        <f t="shared" si="239"/>
        <v>-0.44240818350129996</v>
      </c>
      <c r="AC1229"/>
    </row>
    <row r="1230" spans="1:29" x14ac:dyDescent="0.25">
      <c r="A1230" t="s">
        <v>165</v>
      </c>
      <c r="B1230">
        <v>5</v>
      </c>
      <c r="C1230" t="s">
        <v>882</v>
      </c>
      <c r="D1230" t="s">
        <v>475</v>
      </c>
      <c r="E1230">
        <v>2</v>
      </c>
      <c r="F1230">
        <v>7.46</v>
      </c>
      <c r="G1230">
        <v>24.700900000000001</v>
      </c>
      <c r="H1230" t="s">
        <v>114</v>
      </c>
      <c r="I1230" t="s">
        <v>114</v>
      </c>
      <c r="J1230" t="s">
        <v>44</v>
      </c>
      <c r="K1230">
        <f t="shared" si="228"/>
        <v>98.72999999999999</v>
      </c>
      <c r="L1230">
        <f t="shared" si="229"/>
        <v>396.28840000000002</v>
      </c>
      <c r="M1230" t="str">
        <f t="shared" si="230"/>
        <v>perry-5</v>
      </c>
      <c r="N1230" t="str">
        <f>INDEX(Scores!$A$2:$A$11,INDEX(Scores!$AA$2:$AA$131,MATCH(C1230,Scores!$AB$2:$AB$131,0)))</f>
        <v>perry</v>
      </c>
      <c r="O1230">
        <f t="shared" si="231"/>
        <v>97.27</v>
      </c>
      <c r="P1230">
        <f t="shared" si="232"/>
        <v>430.39269999999999</v>
      </c>
      <c r="Q1230" s="3">
        <f t="shared" si="233"/>
        <v>0.52024917394329329</v>
      </c>
      <c r="R1230" s="3">
        <f t="shared" si="234"/>
        <v>0.44383754550804855</v>
      </c>
      <c r="S1230" s="9">
        <f t="shared" si="235"/>
        <v>-7.6411628435244738E-2</v>
      </c>
      <c r="T1230">
        <f t="shared" si="236"/>
        <v>90</v>
      </c>
      <c r="U1230">
        <f t="shared" si="237"/>
        <v>96</v>
      </c>
      <c r="V1230" s="3">
        <f t="shared" si="238"/>
        <v>0.45673929252103468</v>
      </c>
      <c r="W1230" s="9">
        <f t="shared" si="239"/>
        <v>-0.45673929252103468</v>
      </c>
      <c r="AC1230"/>
    </row>
    <row r="1231" spans="1:29" x14ac:dyDescent="0.25">
      <c r="A1231" t="s">
        <v>113</v>
      </c>
      <c r="B1231">
        <v>10</v>
      </c>
      <c r="C1231" t="s">
        <v>956</v>
      </c>
      <c r="D1231" t="s">
        <v>475</v>
      </c>
      <c r="E1231">
        <v>7</v>
      </c>
      <c r="F1231">
        <v>12.41</v>
      </c>
      <c r="G1231">
        <v>55.800899999999999</v>
      </c>
      <c r="H1231" t="s">
        <v>114</v>
      </c>
      <c r="I1231" t="s">
        <v>114</v>
      </c>
      <c r="J1231" t="s">
        <v>40</v>
      </c>
      <c r="K1231">
        <f t="shared" si="228"/>
        <v>97.83</v>
      </c>
      <c r="L1231">
        <f t="shared" si="229"/>
        <v>370.18310000000002</v>
      </c>
      <c r="M1231" t="e">
        <f t="shared" si="230"/>
        <v>#N/A</v>
      </c>
      <c r="N1231" t="e">
        <f>INDEX(Scores!$A$2:$A$11,INDEX(Scores!$AA$2:$AA$131,MATCH(C1231,Scores!$AB$2:$AB$131,0)))</f>
        <v>#N/A</v>
      </c>
      <c r="O1231">
        <f t="shared" si="231"/>
        <v>0</v>
      </c>
      <c r="P1231">
        <f t="shared" si="232"/>
        <v>0</v>
      </c>
      <c r="Q1231" s="3">
        <f t="shared" si="233"/>
        <v>0.99999981587831821</v>
      </c>
      <c r="R1231" s="3">
        <f t="shared" si="234"/>
        <v>0.99999990678896833</v>
      </c>
      <c r="S1231" s="9">
        <f t="shared" si="235"/>
        <v>9.0910650119013781E-8</v>
      </c>
      <c r="T1231">
        <f t="shared" si="236"/>
        <v>91</v>
      </c>
      <c r="U1231">
        <f t="shared" si="237"/>
        <v>0</v>
      </c>
      <c r="V1231" s="3">
        <f t="shared" si="238"/>
        <v>1</v>
      </c>
      <c r="W1231" s="9">
        <f t="shared" si="239"/>
        <v>0</v>
      </c>
      <c r="AC1231"/>
    </row>
    <row r="1232" spans="1:29" x14ac:dyDescent="0.25">
      <c r="A1232" t="s">
        <v>139</v>
      </c>
      <c r="B1232">
        <v>1</v>
      </c>
      <c r="C1232" t="s">
        <v>500</v>
      </c>
      <c r="D1232" t="s">
        <v>466</v>
      </c>
      <c r="E1232">
        <v>3</v>
      </c>
      <c r="F1232">
        <v>8.58</v>
      </c>
      <c r="G1232">
        <v>30.1401</v>
      </c>
      <c r="H1232" t="s">
        <v>466</v>
      </c>
      <c r="I1232" t="s">
        <v>47</v>
      </c>
      <c r="J1232" t="s">
        <v>44</v>
      </c>
      <c r="K1232">
        <f t="shared" si="228"/>
        <v>111.07</v>
      </c>
      <c r="L1232">
        <f t="shared" si="229"/>
        <v>422.00569999999999</v>
      </c>
      <c r="M1232" t="str">
        <f t="shared" si="230"/>
        <v>comp-1</v>
      </c>
      <c r="N1232" t="str">
        <f>INDEX(Scores!$A$2:$A$11,INDEX(Scores!$AA$2:$AA$131,MATCH(C1232,Scores!$AB$2:$AB$131,0)))</f>
        <v>comp</v>
      </c>
      <c r="O1232">
        <f t="shared" si="231"/>
        <v>110.7</v>
      </c>
      <c r="P1232">
        <f t="shared" si="232"/>
        <v>433.44330000000002</v>
      </c>
      <c r="Q1232" s="3">
        <f t="shared" si="233"/>
        <v>0.50504664952103229</v>
      </c>
      <c r="R1232" s="3">
        <f t="shared" si="234"/>
        <v>0.4280444811899865</v>
      </c>
      <c r="S1232" s="9">
        <f t="shared" si="235"/>
        <v>-7.7002168331045784E-2</v>
      </c>
      <c r="T1232">
        <f t="shared" si="236"/>
        <v>71</v>
      </c>
      <c r="U1232">
        <f t="shared" si="237"/>
        <v>77</v>
      </c>
      <c r="V1232" s="3">
        <f t="shared" si="238"/>
        <v>0.46950957016712375</v>
      </c>
      <c r="W1232" s="9">
        <f t="shared" si="239"/>
        <v>-0.46950957016712375</v>
      </c>
      <c r="AC1232"/>
    </row>
    <row r="1233" spans="1:29" x14ac:dyDescent="0.25">
      <c r="A1233" t="s">
        <v>71</v>
      </c>
      <c r="B1233">
        <v>11</v>
      </c>
      <c r="C1233" t="s">
        <v>973</v>
      </c>
      <c r="D1233" t="s">
        <v>467</v>
      </c>
      <c r="E1233">
        <v>13</v>
      </c>
      <c r="F1233">
        <v>21.37</v>
      </c>
      <c r="G1233">
        <v>74.132099999999994</v>
      </c>
      <c r="H1233" t="s">
        <v>15</v>
      </c>
      <c r="I1233" t="s">
        <v>15</v>
      </c>
      <c r="J1233" t="s">
        <v>49</v>
      </c>
      <c r="K1233">
        <f t="shared" si="228"/>
        <v>88.670000000000016</v>
      </c>
      <c r="L1233">
        <f t="shared" si="229"/>
        <v>334.39179999999999</v>
      </c>
      <c r="M1233" t="str">
        <f t="shared" si="230"/>
        <v>comp-11</v>
      </c>
      <c r="N1233" t="str">
        <f>INDEX(Scores!$A$2:$A$11,INDEX(Scores!$AA$2:$AA$131,MATCH(C1233,Scores!$AB$2:$AB$131,0)))</f>
        <v>comp</v>
      </c>
      <c r="O1233">
        <f t="shared" si="231"/>
        <v>98.580000000000013</v>
      </c>
      <c r="P1233">
        <f t="shared" si="232"/>
        <v>364.4375</v>
      </c>
      <c r="Q1233" s="3">
        <f t="shared" si="233"/>
        <v>0.35387619533584119</v>
      </c>
      <c r="R1233" s="3">
        <f t="shared" si="234"/>
        <v>0.23227439684550572</v>
      </c>
      <c r="S1233" s="9">
        <f t="shared" si="235"/>
        <v>-0.12160179849033548</v>
      </c>
      <c r="T1233">
        <f t="shared" si="236"/>
        <v>102</v>
      </c>
      <c r="U1233">
        <f t="shared" si="237"/>
        <v>111</v>
      </c>
      <c r="V1233" s="3">
        <f t="shared" si="238"/>
        <v>0.47083512832620306</v>
      </c>
      <c r="W1233" s="9">
        <f t="shared" si="239"/>
        <v>-0.47083512832620306</v>
      </c>
      <c r="AC1233"/>
    </row>
    <row r="1234" spans="1:29" x14ac:dyDescent="0.25">
      <c r="A1234" t="s">
        <v>177</v>
      </c>
      <c r="B1234">
        <v>8</v>
      </c>
      <c r="C1234" t="s">
        <v>914</v>
      </c>
      <c r="D1234" t="s">
        <v>475</v>
      </c>
      <c r="E1234">
        <v>9</v>
      </c>
      <c r="F1234">
        <v>9.6999999999999993</v>
      </c>
      <c r="G1234">
        <v>43.0336</v>
      </c>
      <c r="H1234" t="s">
        <v>114</v>
      </c>
      <c r="I1234" t="s">
        <v>114</v>
      </c>
      <c r="J1234" t="s">
        <v>16</v>
      </c>
      <c r="K1234">
        <f t="shared" si="228"/>
        <v>106.3</v>
      </c>
      <c r="L1234">
        <f t="shared" si="229"/>
        <v>423.11159999999995</v>
      </c>
      <c r="M1234" t="str">
        <f t="shared" si="230"/>
        <v>matty-8</v>
      </c>
      <c r="N1234" t="str">
        <f>INDEX(Scores!$A$2:$A$11,INDEX(Scores!$AA$2:$AA$131,MATCH(C1234,Scores!$AB$2:$AB$131,0)))</f>
        <v>matty</v>
      </c>
      <c r="O1234">
        <f t="shared" si="231"/>
        <v>88.500000000000014</v>
      </c>
      <c r="P1234">
        <f t="shared" si="232"/>
        <v>351.30459999999999</v>
      </c>
      <c r="Q1234" s="3">
        <f t="shared" si="233"/>
        <v>0.7387953106518842</v>
      </c>
      <c r="R1234" s="3">
        <f t="shared" si="234"/>
        <v>0.73640486144886497</v>
      </c>
      <c r="S1234" s="9">
        <f t="shared" si="235"/>
        <v>-2.3904492030192293E-3</v>
      </c>
      <c r="T1234">
        <f t="shared" si="236"/>
        <v>106</v>
      </c>
      <c r="U1234">
        <f t="shared" si="237"/>
        <v>107</v>
      </c>
      <c r="V1234" s="3">
        <f t="shared" si="238"/>
        <v>0.48176204572739695</v>
      </c>
      <c r="W1234" s="9">
        <f t="shared" si="239"/>
        <v>-0.48176204572739695</v>
      </c>
      <c r="AC1234"/>
    </row>
    <row r="1235" spans="1:29" x14ac:dyDescent="0.25">
      <c r="A1235" t="s">
        <v>26</v>
      </c>
      <c r="B1235">
        <v>13</v>
      </c>
      <c r="C1235" t="s">
        <v>943</v>
      </c>
      <c r="D1235" t="s">
        <v>467</v>
      </c>
      <c r="E1235">
        <v>6</v>
      </c>
      <c r="F1235">
        <v>19.899999999999999</v>
      </c>
      <c r="G1235">
        <v>45.5625</v>
      </c>
      <c r="H1235" t="s">
        <v>15</v>
      </c>
      <c r="I1235" t="s">
        <v>15</v>
      </c>
      <c r="J1235" t="s">
        <v>27</v>
      </c>
      <c r="K1235">
        <f t="shared" si="228"/>
        <v>104.63999999999999</v>
      </c>
      <c r="L1235">
        <f t="shared" si="229"/>
        <v>400.33339999999998</v>
      </c>
      <c r="M1235" t="str">
        <f t="shared" si="230"/>
        <v>chad-13</v>
      </c>
      <c r="N1235" t="str">
        <f>INDEX(Scores!$A$2:$A$11,INDEX(Scores!$AA$2:$AA$131,MATCH(C1235,Scores!$AB$2:$AB$131,0)))</f>
        <v>chad</v>
      </c>
      <c r="O1235">
        <f t="shared" si="231"/>
        <v>113.35</v>
      </c>
      <c r="P1235">
        <f t="shared" si="232"/>
        <v>486.24799999999993</v>
      </c>
      <c r="Q1235" s="3">
        <f t="shared" si="233"/>
        <v>0.3849436901786526</v>
      </c>
      <c r="R1235" s="3">
        <f t="shared" si="234"/>
        <v>0.2177995147001599</v>
      </c>
      <c r="S1235" s="9">
        <f t="shared" si="235"/>
        <v>-0.1671441754784927</v>
      </c>
      <c r="T1235">
        <f t="shared" si="236"/>
        <v>81</v>
      </c>
      <c r="U1235">
        <f t="shared" si="237"/>
        <v>95</v>
      </c>
      <c r="V1235" s="3">
        <f t="shared" si="238"/>
        <v>0.49408996018285695</v>
      </c>
      <c r="W1235" s="9">
        <f t="shared" si="239"/>
        <v>-0.49408996018285695</v>
      </c>
      <c r="AC1235"/>
    </row>
    <row r="1236" spans="1:29" x14ac:dyDescent="0.25">
      <c r="A1236" t="s">
        <v>97</v>
      </c>
      <c r="B1236">
        <v>8</v>
      </c>
      <c r="C1236" t="s">
        <v>906</v>
      </c>
      <c r="D1236" t="s">
        <v>466</v>
      </c>
      <c r="E1236">
        <v>11</v>
      </c>
      <c r="F1236">
        <v>13.89</v>
      </c>
      <c r="G1236">
        <v>58.064399999999999</v>
      </c>
      <c r="H1236" t="s">
        <v>466</v>
      </c>
      <c r="I1236" t="s">
        <v>47</v>
      </c>
      <c r="J1236" t="s">
        <v>20</v>
      </c>
      <c r="K1236">
        <f t="shared" si="228"/>
        <v>113.35000000000001</v>
      </c>
      <c r="L1236">
        <f t="shared" si="229"/>
        <v>416.81729999999993</v>
      </c>
      <c r="M1236" t="str">
        <f t="shared" si="230"/>
        <v>chad-8</v>
      </c>
      <c r="N1236" t="str">
        <f>INDEX(Scores!$A$2:$A$11,INDEX(Scores!$AA$2:$AA$131,MATCH(C1236,Scores!$AB$2:$AB$131,0)))</f>
        <v>chad</v>
      </c>
      <c r="O1236">
        <f t="shared" si="231"/>
        <v>94.88</v>
      </c>
      <c r="P1236">
        <f t="shared" si="232"/>
        <v>320.65749999999997</v>
      </c>
      <c r="Q1236" s="3">
        <f t="shared" si="233"/>
        <v>0.75178960468721057</v>
      </c>
      <c r="R1236" s="3">
        <f t="shared" si="234"/>
        <v>0.72498825055309457</v>
      </c>
      <c r="S1236" s="9">
        <f t="shared" si="235"/>
        <v>-2.6801354134115996E-2</v>
      </c>
      <c r="T1236">
        <f t="shared" si="236"/>
        <v>75</v>
      </c>
      <c r="U1236">
        <f t="shared" si="237"/>
        <v>78</v>
      </c>
      <c r="V1236" s="3">
        <f t="shared" si="238"/>
        <v>0.49424119071593914</v>
      </c>
      <c r="W1236" s="9">
        <f t="shared" si="239"/>
        <v>-0.49424119071593914</v>
      </c>
      <c r="AC1236"/>
    </row>
    <row r="1237" spans="1:29" x14ac:dyDescent="0.25">
      <c r="A1237" t="s">
        <v>92</v>
      </c>
      <c r="B1237">
        <v>3</v>
      </c>
      <c r="C1237" t="s">
        <v>812</v>
      </c>
      <c r="D1237" t="s">
        <v>469</v>
      </c>
      <c r="E1237">
        <v>13</v>
      </c>
      <c r="F1237">
        <v>16.89</v>
      </c>
      <c r="G1237">
        <v>65.934399999999997</v>
      </c>
      <c r="H1237" t="s">
        <v>47</v>
      </c>
      <c r="I1237" t="s">
        <v>47</v>
      </c>
      <c r="J1237" t="s">
        <v>49</v>
      </c>
      <c r="K1237">
        <f t="shared" si="228"/>
        <v>116.17999999999999</v>
      </c>
      <c r="L1237">
        <f t="shared" si="229"/>
        <v>478.31470000000002</v>
      </c>
      <c r="M1237" t="str">
        <f t="shared" si="230"/>
        <v>comp-3</v>
      </c>
      <c r="N1237" t="str">
        <f>INDEX(Scores!$A$2:$A$11,INDEX(Scores!$AA$2:$AA$131,MATCH(C1237,Scores!$AB$2:$AB$131,0)))</f>
        <v>comp</v>
      </c>
      <c r="O1237">
        <f t="shared" si="231"/>
        <v>105.02</v>
      </c>
      <c r="P1237">
        <f t="shared" si="232"/>
        <v>401.60159999999996</v>
      </c>
      <c r="Q1237" s="3">
        <f t="shared" si="233"/>
        <v>0.64662385216199125</v>
      </c>
      <c r="R1237" s="3">
        <f t="shared" si="234"/>
        <v>0.60056746924602034</v>
      </c>
      <c r="S1237" s="9">
        <f t="shared" si="235"/>
        <v>-4.6056382915970917E-2</v>
      </c>
      <c r="T1237">
        <f t="shared" si="236"/>
        <v>81</v>
      </c>
      <c r="U1237">
        <f t="shared" si="237"/>
        <v>85</v>
      </c>
      <c r="V1237" s="3">
        <f t="shared" si="238"/>
        <v>0.49459577479585171</v>
      </c>
      <c r="W1237" s="9">
        <f t="shared" si="239"/>
        <v>-0.49459577479585171</v>
      </c>
      <c r="AC1237"/>
    </row>
    <row r="1238" spans="1:29" x14ac:dyDescent="0.25">
      <c r="A1238" t="s">
        <v>69</v>
      </c>
      <c r="B1238">
        <v>7</v>
      </c>
      <c r="C1238" t="s">
        <v>945</v>
      </c>
      <c r="D1238" t="s">
        <v>467</v>
      </c>
      <c r="E1238">
        <v>8</v>
      </c>
      <c r="F1238">
        <v>21.04</v>
      </c>
      <c r="G1238">
        <v>70.8964</v>
      </c>
      <c r="H1238" t="s">
        <v>15</v>
      </c>
      <c r="I1238" t="s">
        <v>15</v>
      </c>
      <c r="J1238" t="s">
        <v>62</v>
      </c>
      <c r="K1238">
        <f t="shared" si="228"/>
        <v>99.759999999999991</v>
      </c>
      <c r="L1238">
        <f t="shared" si="229"/>
        <v>339.923</v>
      </c>
      <c r="M1238" t="str">
        <f t="shared" si="230"/>
        <v>perry-7</v>
      </c>
      <c r="N1238" t="str">
        <f>INDEX(Scores!$A$2:$A$11,INDEX(Scores!$AA$2:$AA$131,MATCH(C1238,Scores!$AB$2:$AB$131,0)))</f>
        <v>perry</v>
      </c>
      <c r="O1238">
        <f t="shared" si="231"/>
        <v>103.81000000000002</v>
      </c>
      <c r="P1238">
        <f t="shared" si="232"/>
        <v>404.20889999999997</v>
      </c>
      <c r="Q1238" s="3">
        <f t="shared" si="233"/>
        <v>0.44098709635876499</v>
      </c>
      <c r="R1238" s="3">
        <f t="shared" si="234"/>
        <v>0.25505839253295925</v>
      </c>
      <c r="S1238" s="9">
        <f t="shared" si="235"/>
        <v>-0.18592870382580573</v>
      </c>
      <c r="T1238">
        <f t="shared" si="236"/>
        <v>102</v>
      </c>
      <c r="U1238">
        <f t="shared" si="237"/>
        <v>115</v>
      </c>
      <c r="V1238" s="3">
        <f t="shared" si="238"/>
        <v>0.50189520560495104</v>
      </c>
      <c r="W1238" s="9">
        <f t="shared" si="239"/>
        <v>-0.50189520560495104</v>
      </c>
      <c r="AC1238"/>
    </row>
    <row r="1239" spans="1:29" x14ac:dyDescent="0.25">
      <c r="A1239" t="s">
        <v>96</v>
      </c>
      <c r="B1239">
        <v>7</v>
      </c>
      <c r="C1239" t="s">
        <v>937</v>
      </c>
      <c r="D1239" t="s">
        <v>471</v>
      </c>
      <c r="E1239">
        <v>12</v>
      </c>
      <c r="F1239">
        <v>14.11</v>
      </c>
      <c r="G1239">
        <v>47.472099999999998</v>
      </c>
      <c r="H1239" t="s">
        <v>87</v>
      </c>
      <c r="I1239" t="s">
        <v>87</v>
      </c>
      <c r="J1239" t="s">
        <v>27</v>
      </c>
      <c r="K1239">
        <f t="shared" si="228"/>
        <v>94.610000000000014</v>
      </c>
      <c r="L1239">
        <f t="shared" si="229"/>
        <v>333.25760000000002</v>
      </c>
      <c r="M1239" t="str">
        <f t="shared" si="230"/>
        <v>lucas-7</v>
      </c>
      <c r="N1239" t="str">
        <f>INDEX(Scores!$A$2:$A$11,INDEX(Scores!$AA$2:$AA$131,MATCH(C1239,Scores!$AB$2:$AB$131,0)))</f>
        <v>lucas</v>
      </c>
      <c r="O1239">
        <f t="shared" si="231"/>
        <v>0</v>
      </c>
      <c r="P1239">
        <f t="shared" si="232"/>
        <v>0</v>
      </c>
      <c r="Q1239" s="3">
        <f t="shared" si="233"/>
        <v>0.99999989058825289</v>
      </c>
      <c r="R1239" s="3">
        <f t="shared" si="234"/>
        <v>0.99999997771203886</v>
      </c>
      <c r="S1239" s="9">
        <f t="shared" si="235"/>
        <v>8.7123785963427736E-8</v>
      </c>
      <c r="T1239">
        <f t="shared" si="236"/>
        <v>73</v>
      </c>
      <c r="U1239">
        <f t="shared" si="237"/>
        <v>0</v>
      </c>
      <c r="V1239" s="3">
        <f t="shared" si="238"/>
        <v>1</v>
      </c>
      <c r="W1239" s="9">
        <f t="shared" si="239"/>
        <v>0</v>
      </c>
      <c r="AC1239"/>
    </row>
    <row r="1240" spans="1:29" x14ac:dyDescent="0.25">
      <c r="A1240" t="s">
        <v>124</v>
      </c>
      <c r="B1240">
        <v>12</v>
      </c>
      <c r="C1240" t="s">
        <v>974</v>
      </c>
      <c r="D1240" t="s">
        <v>466</v>
      </c>
      <c r="E1240">
        <v>5</v>
      </c>
      <c r="F1240">
        <v>10.17</v>
      </c>
      <c r="G1240">
        <v>51.552399999999999</v>
      </c>
      <c r="H1240" t="s">
        <v>466</v>
      </c>
      <c r="I1240" t="s">
        <v>87</v>
      </c>
      <c r="J1240" t="s">
        <v>49</v>
      </c>
      <c r="K1240">
        <f t="shared" si="228"/>
        <v>94.28</v>
      </c>
      <c r="L1240">
        <f t="shared" si="229"/>
        <v>371.05129999999997</v>
      </c>
      <c r="M1240" t="str">
        <f t="shared" si="230"/>
        <v>devon-12</v>
      </c>
      <c r="N1240" t="str">
        <f>INDEX(Scores!$A$2:$A$11,INDEX(Scores!$AA$2:$AA$131,MATCH(C1240,Scores!$AB$2:$AB$131,0)))</f>
        <v>devon</v>
      </c>
      <c r="O1240">
        <f t="shared" si="231"/>
        <v>99.070000000000007</v>
      </c>
      <c r="P1240">
        <f t="shared" si="232"/>
        <v>350.10639999999995</v>
      </c>
      <c r="Q1240" s="3">
        <f t="shared" si="233"/>
        <v>0.42921643322258324</v>
      </c>
      <c r="R1240" s="3">
        <f t="shared" si="234"/>
        <v>0.35015510086852975</v>
      </c>
      <c r="S1240" s="9">
        <f t="shared" si="235"/>
        <v>-7.9061332354053493E-2</v>
      </c>
      <c r="T1240">
        <f t="shared" si="236"/>
        <v>75</v>
      </c>
      <c r="U1240">
        <f t="shared" si="237"/>
        <v>80</v>
      </c>
      <c r="V1240" s="3">
        <f t="shared" si="238"/>
        <v>0.50944482612747066</v>
      </c>
      <c r="W1240" s="9">
        <f t="shared" si="239"/>
        <v>-0.50944482612747066</v>
      </c>
      <c r="AC1240"/>
    </row>
    <row r="1241" spans="1:29" x14ac:dyDescent="0.25">
      <c r="A1241" t="s">
        <v>213</v>
      </c>
      <c r="B1241">
        <v>12</v>
      </c>
      <c r="C1241" t="s">
        <v>974</v>
      </c>
      <c r="D1241" t="s">
        <v>475</v>
      </c>
      <c r="E1241">
        <v>0</v>
      </c>
      <c r="F1241">
        <v>5.1100000000000003</v>
      </c>
      <c r="G1241">
        <v>12.3904</v>
      </c>
      <c r="H1241" t="s">
        <v>114</v>
      </c>
      <c r="I1241" t="s">
        <v>114</v>
      </c>
      <c r="J1241" t="s">
        <v>49</v>
      </c>
      <c r="K1241">
        <f t="shared" si="228"/>
        <v>94.28</v>
      </c>
      <c r="L1241">
        <f t="shared" si="229"/>
        <v>371.05129999999997</v>
      </c>
      <c r="M1241" t="str">
        <f t="shared" si="230"/>
        <v>devon-12</v>
      </c>
      <c r="N1241" t="str">
        <f>INDEX(Scores!$A$2:$A$11,INDEX(Scores!$AA$2:$AA$131,MATCH(C1241,Scores!$AB$2:$AB$131,0)))</f>
        <v>devon</v>
      </c>
      <c r="O1241">
        <f t="shared" si="231"/>
        <v>99.070000000000007</v>
      </c>
      <c r="P1241">
        <f t="shared" si="232"/>
        <v>350.10639999999995</v>
      </c>
      <c r="Q1241" s="3">
        <f t="shared" si="233"/>
        <v>0.42921643322258324</v>
      </c>
      <c r="R1241" s="3">
        <f t="shared" si="234"/>
        <v>0.3549973030147684</v>
      </c>
      <c r="S1241" s="9">
        <f t="shared" si="235"/>
        <v>-7.4219130207814843E-2</v>
      </c>
      <c r="T1241">
        <f t="shared" si="236"/>
        <v>75</v>
      </c>
      <c r="U1241">
        <f t="shared" si="237"/>
        <v>80</v>
      </c>
      <c r="V1241" s="3">
        <f t="shared" si="238"/>
        <v>0.51246491743437717</v>
      </c>
      <c r="W1241" s="9">
        <f t="shared" si="239"/>
        <v>-0.51246491743437717</v>
      </c>
      <c r="AC1241"/>
    </row>
    <row r="1242" spans="1:29" x14ac:dyDescent="0.25">
      <c r="A1242" t="s">
        <v>149</v>
      </c>
      <c r="B1242">
        <v>1</v>
      </c>
      <c r="C1242" t="s">
        <v>500</v>
      </c>
      <c r="D1242" t="s">
        <v>473</v>
      </c>
      <c r="E1242">
        <v>2</v>
      </c>
      <c r="F1242">
        <v>8.26</v>
      </c>
      <c r="G1242">
        <v>32.376100000000001</v>
      </c>
      <c r="H1242" t="s">
        <v>87</v>
      </c>
      <c r="I1242" t="s">
        <v>87</v>
      </c>
      <c r="J1242" t="s">
        <v>44</v>
      </c>
      <c r="K1242">
        <f t="shared" si="228"/>
        <v>111.07</v>
      </c>
      <c r="L1242">
        <f t="shared" si="229"/>
        <v>422.00569999999999</v>
      </c>
      <c r="M1242" t="str">
        <f t="shared" si="230"/>
        <v>comp-1</v>
      </c>
      <c r="N1242" t="str">
        <f>INDEX(Scores!$A$2:$A$11,INDEX(Scores!$AA$2:$AA$131,MATCH(C1242,Scores!$AB$2:$AB$131,0)))</f>
        <v>comp</v>
      </c>
      <c r="O1242">
        <f t="shared" si="231"/>
        <v>110.7</v>
      </c>
      <c r="P1242">
        <f t="shared" si="232"/>
        <v>433.44330000000002</v>
      </c>
      <c r="Q1242" s="3">
        <f t="shared" si="233"/>
        <v>0.50504664952103229</v>
      </c>
      <c r="R1242" s="3">
        <f t="shared" si="234"/>
        <v>0.41866754358541519</v>
      </c>
      <c r="S1242" s="9">
        <f t="shared" si="235"/>
        <v>-8.6379105935617095E-2</v>
      </c>
      <c r="T1242">
        <f t="shared" si="236"/>
        <v>71</v>
      </c>
      <c r="U1242">
        <f t="shared" si="237"/>
        <v>77</v>
      </c>
      <c r="V1242" s="3">
        <f t="shared" si="238"/>
        <v>0.51822300678407673</v>
      </c>
      <c r="W1242" s="9">
        <f t="shared" si="239"/>
        <v>-0.51822300678407673</v>
      </c>
      <c r="AC1242"/>
    </row>
    <row r="1243" spans="1:29" x14ac:dyDescent="0.25">
      <c r="A1243" t="s">
        <v>452</v>
      </c>
      <c r="B1243">
        <v>8</v>
      </c>
      <c r="C1243" t="s">
        <v>906</v>
      </c>
      <c r="D1243" t="s">
        <v>478</v>
      </c>
      <c r="E1243">
        <v>3</v>
      </c>
      <c r="F1243">
        <v>6.19</v>
      </c>
      <c r="G1243">
        <v>13.1769</v>
      </c>
      <c r="H1243" t="s">
        <v>478</v>
      </c>
      <c r="I1243" t="s">
        <v>478</v>
      </c>
      <c r="J1243" t="s">
        <v>20</v>
      </c>
      <c r="K1243">
        <f t="shared" si="228"/>
        <v>113.35000000000001</v>
      </c>
      <c r="L1243">
        <f t="shared" si="229"/>
        <v>416.81729999999993</v>
      </c>
      <c r="M1243" t="str">
        <f t="shared" si="230"/>
        <v>chad-8</v>
      </c>
      <c r="N1243" t="str">
        <f>INDEX(Scores!$A$2:$A$11,INDEX(Scores!$AA$2:$AA$131,MATCH(C1243,Scores!$AB$2:$AB$131,0)))</f>
        <v>chad</v>
      </c>
      <c r="O1243">
        <f t="shared" si="231"/>
        <v>94.88</v>
      </c>
      <c r="P1243">
        <f t="shared" si="232"/>
        <v>320.65749999999997</v>
      </c>
      <c r="Q1243" s="3">
        <f t="shared" si="233"/>
        <v>0.75178960468721057</v>
      </c>
      <c r="R1243" s="3">
        <f t="shared" si="234"/>
        <v>0.71490100533144751</v>
      </c>
      <c r="S1243" s="9">
        <f t="shared" si="235"/>
        <v>-3.6888599355763052E-2</v>
      </c>
      <c r="T1243">
        <f t="shared" si="236"/>
        <v>75</v>
      </c>
      <c r="U1243">
        <f t="shared" si="237"/>
        <v>78</v>
      </c>
      <c r="V1243" s="3">
        <f t="shared" si="238"/>
        <v>0.520871745761597</v>
      </c>
      <c r="W1243" s="9">
        <f t="shared" si="239"/>
        <v>-0.520871745761597</v>
      </c>
      <c r="AC1243"/>
    </row>
    <row r="1244" spans="1:29" x14ac:dyDescent="0.25">
      <c r="A1244" t="s">
        <v>850</v>
      </c>
      <c r="B1244">
        <v>3</v>
      </c>
      <c r="C1244" t="s">
        <v>812</v>
      </c>
      <c r="D1244" t="s">
        <v>478</v>
      </c>
      <c r="E1244">
        <v>4</v>
      </c>
      <c r="F1244">
        <v>8.2200000000000006</v>
      </c>
      <c r="G1244">
        <v>13.9876</v>
      </c>
      <c r="H1244" t="s">
        <v>478</v>
      </c>
      <c r="I1244" t="s">
        <v>478</v>
      </c>
      <c r="J1244" t="s">
        <v>49</v>
      </c>
      <c r="K1244">
        <f t="shared" si="228"/>
        <v>116.17999999999999</v>
      </c>
      <c r="L1244">
        <f t="shared" si="229"/>
        <v>478.31470000000002</v>
      </c>
      <c r="M1244" t="str">
        <f t="shared" si="230"/>
        <v>comp-3</v>
      </c>
      <c r="N1244" t="str">
        <f>INDEX(Scores!$A$2:$A$11,INDEX(Scores!$AA$2:$AA$131,MATCH(C1244,Scores!$AB$2:$AB$131,0)))</f>
        <v>comp</v>
      </c>
      <c r="O1244">
        <f t="shared" si="231"/>
        <v>105.02</v>
      </c>
      <c r="P1244">
        <f t="shared" si="232"/>
        <v>401.60159999999996</v>
      </c>
      <c r="Q1244" s="3">
        <f t="shared" si="233"/>
        <v>0.64662385216199125</v>
      </c>
      <c r="R1244" s="3">
        <f t="shared" si="234"/>
        <v>0.59322178350072197</v>
      </c>
      <c r="S1244" s="9">
        <f t="shared" si="235"/>
        <v>-5.3402068661269286E-2</v>
      </c>
      <c r="T1244">
        <f t="shared" si="236"/>
        <v>81</v>
      </c>
      <c r="U1244">
        <f t="shared" si="237"/>
        <v>85</v>
      </c>
      <c r="V1244" s="3">
        <f t="shared" si="238"/>
        <v>0.52345366642628011</v>
      </c>
      <c r="W1244" s="9">
        <f t="shared" si="239"/>
        <v>-0.52345366642628011</v>
      </c>
      <c r="AC1244"/>
    </row>
    <row r="1245" spans="1:29" x14ac:dyDescent="0.25">
      <c r="A1245" t="s">
        <v>412</v>
      </c>
      <c r="B1245">
        <v>7</v>
      </c>
      <c r="C1245" t="s">
        <v>937</v>
      </c>
      <c r="D1245" t="s">
        <v>477</v>
      </c>
      <c r="E1245">
        <v>5</v>
      </c>
      <c r="F1245">
        <v>7.46</v>
      </c>
      <c r="G1245">
        <v>51.984099999999998</v>
      </c>
      <c r="H1245" t="s">
        <v>477</v>
      </c>
      <c r="I1245" t="s">
        <v>477</v>
      </c>
      <c r="J1245" t="s">
        <v>27</v>
      </c>
      <c r="K1245">
        <f t="shared" si="228"/>
        <v>94.610000000000014</v>
      </c>
      <c r="L1245">
        <f t="shared" si="229"/>
        <v>333.25760000000002</v>
      </c>
      <c r="M1245" t="str">
        <f t="shared" si="230"/>
        <v>lucas-7</v>
      </c>
      <c r="N1245" t="str">
        <f>INDEX(Scores!$A$2:$A$11,INDEX(Scores!$AA$2:$AA$131,MATCH(C1245,Scores!$AB$2:$AB$131,0)))</f>
        <v>lucas</v>
      </c>
      <c r="O1245">
        <f t="shared" si="231"/>
        <v>0</v>
      </c>
      <c r="P1245">
        <f t="shared" si="232"/>
        <v>0</v>
      </c>
      <c r="Q1245" s="3">
        <f t="shared" si="233"/>
        <v>0.99999989058825289</v>
      </c>
      <c r="R1245" s="3">
        <f t="shared" si="234"/>
        <v>0.99999998041291982</v>
      </c>
      <c r="S1245" s="9">
        <f t="shared" si="235"/>
        <v>8.9824666926752172E-8</v>
      </c>
      <c r="T1245">
        <f t="shared" si="236"/>
        <v>73</v>
      </c>
      <c r="U1245">
        <f t="shared" si="237"/>
        <v>0</v>
      </c>
      <c r="V1245" s="3">
        <f t="shared" si="238"/>
        <v>1</v>
      </c>
      <c r="W1245" s="9">
        <f t="shared" si="239"/>
        <v>0</v>
      </c>
      <c r="AC1245"/>
    </row>
    <row r="1246" spans="1:29" x14ac:dyDescent="0.25">
      <c r="A1246" t="s">
        <v>48</v>
      </c>
      <c r="B1246">
        <v>3</v>
      </c>
      <c r="C1246" t="s">
        <v>812</v>
      </c>
      <c r="D1246" t="s">
        <v>468</v>
      </c>
      <c r="E1246">
        <v>15</v>
      </c>
      <c r="F1246">
        <v>19.739999999999998</v>
      </c>
      <c r="G1246">
        <v>94.867599999999996</v>
      </c>
      <c r="H1246" t="s">
        <v>47</v>
      </c>
      <c r="I1246" t="s">
        <v>47</v>
      </c>
      <c r="J1246" t="s">
        <v>49</v>
      </c>
      <c r="K1246">
        <f t="shared" si="228"/>
        <v>116.17999999999999</v>
      </c>
      <c r="L1246">
        <f t="shared" si="229"/>
        <v>478.31470000000002</v>
      </c>
      <c r="M1246" t="str">
        <f t="shared" si="230"/>
        <v>comp-3</v>
      </c>
      <c r="N1246" t="str">
        <f>INDEX(Scores!$A$2:$A$11,INDEX(Scores!$AA$2:$AA$131,MATCH(C1246,Scores!$AB$2:$AB$131,0)))</f>
        <v>comp</v>
      </c>
      <c r="O1246">
        <f t="shared" si="231"/>
        <v>105.02</v>
      </c>
      <c r="P1246">
        <f t="shared" si="232"/>
        <v>401.60159999999996</v>
      </c>
      <c r="Q1246" s="3">
        <f t="shared" si="233"/>
        <v>0.64662385216199125</v>
      </c>
      <c r="R1246" s="3">
        <f t="shared" si="234"/>
        <v>0.59061704020394612</v>
      </c>
      <c r="S1246" s="9">
        <f t="shared" si="235"/>
        <v>-5.6006811958045133E-2</v>
      </c>
      <c r="T1246">
        <f t="shared" si="236"/>
        <v>81</v>
      </c>
      <c r="U1246">
        <f t="shared" si="237"/>
        <v>85</v>
      </c>
      <c r="V1246" s="3">
        <f t="shared" si="238"/>
        <v>0.53028064903981409</v>
      </c>
      <c r="W1246" s="9">
        <f t="shared" si="239"/>
        <v>-0.53028064903981409</v>
      </c>
      <c r="AC1246"/>
    </row>
    <row r="1247" spans="1:29" x14ac:dyDescent="0.25">
      <c r="A1247" t="s">
        <v>137</v>
      </c>
      <c r="B1247">
        <v>7</v>
      </c>
      <c r="C1247" t="s">
        <v>937</v>
      </c>
      <c r="D1247" t="s">
        <v>472</v>
      </c>
      <c r="E1247">
        <v>2</v>
      </c>
      <c r="F1247">
        <v>4.45</v>
      </c>
      <c r="G1247">
        <v>16</v>
      </c>
      <c r="H1247" t="s">
        <v>87</v>
      </c>
      <c r="I1247" t="s">
        <v>87</v>
      </c>
      <c r="J1247" t="s">
        <v>27</v>
      </c>
      <c r="K1247">
        <f t="shared" si="228"/>
        <v>94.610000000000014</v>
      </c>
      <c r="L1247">
        <f t="shared" si="229"/>
        <v>333.25760000000002</v>
      </c>
      <c r="M1247" t="str">
        <f t="shared" si="230"/>
        <v>lucas-7</v>
      </c>
      <c r="N1247" t="str">
        <f>INDEX(Scores!$A$2:$A$11,INDEX(Scores!$AA$2:$AA$131,MATCH(C1247,Scores!$AB$2:$AB$131,0)))</f>
        <v>lucas</v>
      </c>
      <c r="O1247">
        <f t="shared" si="231"/>
        <v>0</v>
      </c>
      <c r="P1247">
        <f t="shared" si="232"/>
        <v>0</v>
      </c>
      <c r="Q1247" s="3">
        <f t="shared" si="233"/>
        <v>0.99999989058825289</v>
      </c>
      <c r="R1247" s="3">
        <f t="shared" si="234"/>
        <v>0.99999988550583563</v>
      </c>
      <c r="S1247" s="9">
        <f t="shared" si="235"/>
        <v>-5.0824172648233912E-9</v>
      </c>
      <c r="T1247">
        <f t="shared" si="236"/>
        <v>73</v>
      </c>
      <c r="U1247">
        <f t="shared" si="237"/>
        <v>0</v>
      </c>
      <c r="V1247" s="3">
        <f t="shared" si="238"/>
        <v>1</v>
      </c>
      <c r="W1247" s="9">
        <f t="shared" si="239"/>
        <v>0</v>
      </c>
      <c r="AC1247"/>
    </row>
    <row r="1248" spans="1:29" x14ac:dyDescent="0.25">
      <c r="A1248" t="s">
        <v>133</v>
      </c>
      <c r="B1248">
        <v>12</v>
      </c>
      <c r="C1248" t="s">
        <v>950</v>
      </c>
      <c r="D1248" t="s">
        <v>473</v>
      </c>
      <c r="E1248">
        <v>6</v>
      </c>
      <c r="F1248">
        <v>9.66</v>
      </c>
      <c r="G1248">
        <v>33.988900000000001</v>
      </c>
      <c r="H1248" t="s">
        <v>87</v>
      </c>
      <c r="I1248" t="s">
        <v>87</v>
      </c>
      <c r="J1248" t="s">
        <v>62</v>
      </c>
      <c r="K1248">
        <f t="shared" si="228"/>
        <v>115.8</v>
      </c>
      <c r="L1248">
        <f t="shared" si="229"/>
        <v>455.64659999999998</v>
      </c>
      <c r="M1248" t="str">
        <f t="shared" si="230"/>
        <v>seth-12</v>
      </c>
      <c r="N1248" t="str">
        <f>INDEX(Scores!$A$2:$A$11,INDEX(Scores!$AA$2:$AA$131,MATCH(C1248,Scores!$AB$2:$AB$131,0)))</f>
        <v>seth</v>
      </c>
      <c r="O1248">
        <f t="shared" si="231"/>
        <v>102.15</v>
      </c>
      <c r="P1248">
        <f t="shared" si="232"/>
        <v>468.55759999999998</v>
      </c>
      <c r="Q1248" s="3">
        <f t="shared" si="233"/>
        <v>0.6732850448184311</v>
      </c>
      <c r="R1248" s="3">
        <f t="shared" si="234"/>
        <v>0.63112147398491847</v>
      </c>
      <c r="S1248" s="9">
        <f t="shared" si="235"/>
        <v>-4.2163570833512631E-2</v>
      </c>
      <c r="T1248">
        <f t="shared" si="236"/>
        <v>92</v>
      </c>
      <c r="U1248">
        <f t="shared" si="237"/>
        <v>95</v>
      </c>
      <c r="V1248" s="3">
        <f t="shared" si="238"/>
        <v>0.54506699382019164</v>
      </c>
      <c r="W1248" s="9">
        <f t="shared" si="239"/>
        <v>-0.54506699382019164</v>
      </c>
      <c r="AC1248"/>
    </row>
    <row r="1249" spans="1:29" x14ac:dyDescent="0.25">
      <c r="A1249" t="s">
        <v>435</v>
      </c>
      <c r="B1249">
        <v>5</v>
      </c>
      <c r="C1249" t="s">
        <v>891</v>
      </c>
      <c r="D1249" t="s">
        <v>477</v>
      </c>
      <c r="E1249">
        <v>2</v>
      </c>
      <c r="F1249">
        <v>6.72</v>
      </c>
      <c r="G1249">
        <v>33.524099999999997</v>
      </c>
      <c r="H1249" t="s">
        <v>477</v>
      </c>
      <c r="I1249" t="s">
        <v>477</v>
      </c>
      <c r="J1249" t="s">
        <v>49</v>
      </c>
      <c r="K1249">
        <f t="shared" si="228"/>
        <v>99.23</v>
      </c>
      <c r="L1249">
        <f t="shared" si="229"/>
        <v>364.64739999999995</v>
      </c>
      <c r="M1249" t="str">
        <f t="shared" si="230"/>
        <v>aj-5</v>
      </c>
      <c r="N1249" t="str">
        <f>INDEX(Scores!$A$2:$A$11,INDEX(Scores!$AA$2:$AA$131,MATCH(C1249,Scores!$AB$2:$AB$131,0)))</f>
        <v>aj</v>
      </c>
      <c r="O1249">
        <f t="shared" si="231"/>
        <v>117.25999999999999</v>
      </c>
      <c r="P1249">
        <f t="shared" si="232"/>
        <v>422.9941</v>
      </c>
      <c r="Q1249" s="3">
        <f t="shared" si="233"/>
        <v>0.26029431580256523</v>
      </c>
      <c r="R1249" s="3">
        <f t="shared" si="234"/>
        <v>0.20371021618237517</v>
      </c>
      <c r="S1249" s="9">
        <f t="shared" si="235"/>
        <v>-5.6584099620190065E-2</v>
      </c>
      <c r="T1249">
        <f t="shared" si="236"/>
        <v>106</v>
      </c>
      <c r="U1249">
        <f t="shared" si="237"/>
        <v>110</v>
      </c>
      <c r="V1249" s="3">
        <f t="shared" si="238"/>
        <v>0.54948184291112068</v>
      </c>
      <c r="W1249" s="9">
        <f t="shared" si="239"/>
        <v>-0.54948184291112068</v>
      </c>
      <c r="AC1249"/>
    </row>
    <row r="1250" spans="1:29" x14ac:dyDescent="0.25">
      <c r="A1250" t="s">
        <v>210</v>
      </c>
      <c r="B1250">
        <v>5</v>
      </c>
      <c r="C1250" t="s">
        <v>883</v>
      </c>
      <c r="D1250" t="s">
        <v>473</v>
      </c>
      <c r="E1250">
        <v>2</v>
      </c>
      <c r="F1250">
        <v>7.64</v>
      </c>
      <c r="G1250">
        <v>24.502500000000001</v>
      </c>
      <c r="H1250" t="s">
        <v>87</v>
      </c>
      <c r="I1250" t="s">
        <v>87</v>
      </c>
      <c r="J1250" t="s">
        <v>16</v>
      </c>
      <c r="K1250">
        <f t="shared" si="228"/>
        <v>109.91</v>
      </c>
      <c r="L1250">
        <f t="shared" si="229"/>
        <v>349.51409999999998</v>
      </c>
      <c r="M1250" t="str">
        <f t="shared" si="230"/>
        <v>devon-5</v>
      </c>
      <c r="N1250" t="str">
        <f>INDEX(Scores!$A$2:$A$11,INDEX(Scores!$AA$2:$AA$131,MATCH(C1250,Scores!$AB$2:$AB$131,0)))</f>
        <v>devon</v>
      </c>
      <c r="O1250">
        <f t="shared" si="231"/>
        <v>93.5</v>
      </c>
      <c r="P1250">
        <f t="shared" si="232"/>
        <v>346.9006</v>
      </c>
      <c r="Q1250" s="3">
        <f t="shared" si="233"/>
        <v>0.73297455800387123</v>
      </c>
      <c r="R1250" s="3">
        <f t="shared" si="234"/>
        <v>0.6611079852941697</v>
      </c>
      <c r="S1250" s="9">
        <f t="shared" si="235"/>
        <v>-7.1866572709701537E-2</v>
      </c>
      <c r="T1250">
        <f t="shared" si="236"/>
        <v>100</v>
      </c>
      <c r="U1250">
        <f t="shared" si="237"/>
        <v>105</v>
      </c>
      <c r="V1250" s="3">
        <f t="shared" si="238"/>
        <v>0.55143706695904238</v>
      </c>
      <c r="W1250" s="9">
        <f t="shared" si="239"/>
        <v>-0.55143706695904238</v>
      </c>
      <c r="AC1250"/>
    </row>
    <row r="1251" spans="1:29" x14ac:dyDescent="0.25">
      <c r="A1251" t="s">
        <v>212</v>
      </c>
      <c r="B1251">
        <v>10</v>
      </c>
      <c r="C1251" t="s">
        <v>980</v>
      </c>
      <c r="D1251" t="s">
        <v>466</v>
      </c>
      <c r="E1251">
        <v>5</v>
      </c>
      <c r="F1251">
        <v>9.8800000000000008</v>
      </c>
      <c r="G1251">
        <v>43.164900000000003</v>
      </c>
      <c r="H1251" t="s">
        <v>466</v>
      </c>
      <c r="I1251" t="s">
        <v>47</v>
      </c>
      <c r="J1251" t="s">
        <v>44</v>
      </c>
      <c r="K1251">
        <f t="shared" si="228"/>
        <v>104.52999999999999</v>
      </c>
      <c r="L1251">
        <f t="shared" si="229"/>
        <v>446.11959999999999</v>
      </c>
      <c r="M1251" t="str">
        <f t="shared" si="230"/>
        <v>matty-10</v>
      </c>
      <c r="N1251" t="str">
        <f>INDEX(Scores!$A$2:$A$11,INDEX(Scores!$AA$2:$AA$131,MATCH(C1251,Scores!$AB$2:$AB$131,0)))</f>
        <v>matty</v>
      </c>
      <c r="O1251">
        <f t="shared" si="231"/>
        <v>80.72</v>
      </c>
      <c r="P1251">
        <f t="shared" si="232"/>
        <v>274.11410000000001</v>
      </c>
      <c r="Q1251" s="3">
        <f t="shared" si="233"/>
        <v>0.81251501229102341</v>
      </c>
      <c r="R1251" s="3">
        <f t="shared" si="234"/>
        <v>0.76654076578241848</v>
      </c>
      <c r="S1251" s="9">
        <f t="shared" si="235"/>
        <v>-4.5974246508604932E-2</v>
      </c>
      <c r="T1251">
        <f t="shared" si="236"/>
        <v>80</v>
      </c>
      <c r="U1251">
        <f t="shared" si="237"/>
        <v>84</v>
      </c>
      <c r="V1251" s="3">
        <f t="shared" si="238"/>
        <v>0.55327584464048263</v>
      </c>
      <c r="W1251" s="9">
        <f t="shared" si="239"/>
        <v>-0.55327584464048263</v>
      </c>
      <c r="AC1251"/>
    </row>
    <row r="1252" spans="1:29" x14ac:dyDescent="0.25">
      <c r="A1252" t="s">
        <v>154</v>
      </c>
      <c r="B1252">
        <v>8</v>
      </c>
      <c r="C1252" t="s">
        <v>906</v>
      </c>
      <c r="D1252" t="s">
        <v>471</v>
      </c>
      <c r="E1252">
        <v>6</v>
      </c>
      <c r="F1252">
        <v>9.9600000000000009</v>
      </c>
      <c r="G1252">
        <v>38.316099999999999</v>
      </c>
      <c r="H1252" t="s">
        <v>87</v>
      </c>
      <c r="I1252" t="s">
        <v>87</v>
      </c>
      <c r="J1252" t="s">
        <v>20</v>
      </c>
      <c r="K1252">
        <f t="shared" si="228"/>
        <v>113.35000000000001</v>
      </c>
      <c r="L1252">
        <f t="shared" si="229"/>
        <v>416.81729999999993</v>
      </c>
      <c r="M1252" t="str">
        <f t="shared" si="230"/>
        <v>chad-8</v>
      </c>
      <c r="N1252" t="str">
        <f>INDEX(Scores!$A$2:$A$11,INDEX(Scores!$AA$2:$AA$131,MATCH(C1252,Scores!$AB$2:$AB$131,0)))</f>
        <v>chad</v>
      </c>
      <c r="O1252">
        <f t="shared" si="231"/>
        <v>94.88</v>
      </c>
      <c r="P1252">
        <f t="shared" si="232"/>
        <v>320.65749999999997</v>
      </c>
      <c r="Q1252" s="3">
        <f t="shared" si="233"/>
        <v>0.75178960468721057</v>
      </c>
      <c r="R1252" s="3">
        <f t="shared" si="234"/>
        <v>0.70841365254018973</v>
      </c>
      <c r="S1252" s="9">
        <f t="shared" si="235"/>
        <v>-4.3375952147020835E-2</v>
      </c>
      <c r="T1252">
        <f t="shared" si="236"/>
        <v>75</v>
      </c>
      <c r="U1252">
        <f t="shared" si="237"/>
        <v>78</v>
      </c>
      <c r="V1252" s="3">
        <f t="shared" si="238"/>
        <v>0.56162436505760427</v>
      </c>
      <c r="W1252" s="9">
        <f t="shared" si="239"/>
        <v>-0.56162436505760427</v>
      </c>
      <c r="AC1252"/>
    </row>
    <row r="1253" spans="1:29" x14ac:dyDescent="0.25">
      <c r="A1253" t="s">
        <v>405</v>
      </c>
      <c r="B1253">
        <v>12</v>
      </c>
      <c r="C1253" t="s">
        <v>974</v>
      </c>
      <c r="D1253" t="s">
        <v>477</v>
      </c>
      <c r="E1253">
        <v>3</v>
      </c>
      <c r="F1253">
        <v>9.08</v>
      </c>
      <c r="G1253">
        <v>29.593599999999999</v>
      </c>
      <c r="H1253" t="s">
        <v>477</v>
      </c>
      <c r="I1253" t="s">
        <v>477</v>
      </c>
      <c r="J1253" t="s">
        <v>49</v>
      </c>
      <c r="K1253">
        <f t="shared" si="228"/>
        <v>94.28</v>
      </c>
      <c r="L1253">
        <f t="shared" si="229"/>
        <v>371.05129999999997</v>
      </c>
      <c r="M1253" t="str">
        <f t="shared" si="230"/>
        <v>devon-12</v>
      </c>
      <c r="N1253" t="str">
        <f>INDEX(Scores!$A$2:$A$11,INDEX(Scores!$AA$2:$AA$131,MATCH(C1253,Scores!$AB$2:$AB$131,0)))</f>
        <v>devon</v>
      </c>
      <c r="O1253">
        <f t="shared" si="231"/>
        <v>99.070000000000007</v>
      </c>
      <c r="P1253">
        <f t="shared" si="232"/>
        <v>350.10639999999995</v>
      </c>
      <c r="Q1253" s="3">
        <f t="shared" si="233"/>
        <v>0.42921643322258324</v>
      </c>
      <c r="R1253" s="3">
        <f t="shared" si="234"/>
        <v>0.33967671084366535</v>
      </c>
      <c r="S1253" s="9">
        <f t="shared" si="235"/>
        <v>-8.9539722378917885E-2</v>
      </c>
      <c r="T1253">
        <f t="shared" si="236"/>
        <v>75</v>
      </c>
      <c r="U1253">
        <f t="shared" si="237"/>
        <v>80</v>
      </c>
      <c r="V1253" s="3">
        <f t="shared" si="238"/>
        <v>0.57868456228481713</v>
      </c>
      <c r="W1253" s="9">
        <f t="shared" si="239"/>
        <v>-0.57868456228481713</v>
      </c>
      <c r="AC1253"/>
    </row>
    <row r="1254" spans="1:29" x14ac:dyDescent="0.25">
      <c r="A1254" t="s">
        <v>123</v>
      </c>
      <c r="B1254">
        <v>7</v>
      </c>
      <c r="C1254" t="s">
        <v>937</v>
      </c>
      <c r="D1254" t="s">
        <v>466</v>
      </c>
      <c r="E1254">
        <v>6</v>
      </c>
      <c r="F1254">
        <v>9.32</v>
      </c>
      <c r="G1254">
        <v>39.438400000000001</v>
      </c>
      <c r="H1254" t="s">
        <v>466</v>
      </c>
      <c r="I1254" t="s">
        <v>47</v>
      </c>
      <c r="J1254" t="s">
        <v>27</v>
      </c>
      <c r="K1254">
        <f t="shared" si="228"/>
        <v>94.610000000000014</v>
      </c>
      <c r="L1254">
        <f t="shared" si="229"/>
        <v>333.25760000000002</v>
      </c>
      <c r="M1254" t="str">
        <f t="shared" si="230"/>
        <v>lucas-7</v>
      </c>
      <c r="N1254" t="str">
        <f>INDEX(Scores!$A$2:$A$11,INDEX(Scores!$AA$2:$AA$131,MATCH(C1254,Scores!$AB$2:$AB$131,0)))</f>
        <v>lucas</v>
      </c>
      <c r="O1254">
        <f t="shared" si="231"/>
        <v>0</v>
      </c>
      <c r="P1254">
        <f t="shared" si="232"/>
        <v>0</v>
      </c>
      <c r="Q1254" s="3">
        <f t="shared" si="233"/>
        <v>0.99999989058825289</v>
      </c>
      <c r="R1254" s="3">
        <f t="shared" si="234"/>
        <v>0.99999994973928774</v>
      </c>
      <c r="S1254" s="9">
        <f t="shared" si="235"/>
        <v>5.9151034847992889E-8</v>
      </c>
      <c r="T1254">
        <f t="shared" si="236"/>
        <v>73</v>
      </c>
      <c r="U1254">
        <f t="shared" si="237"/>
        <v>0</v>
      </c>
      <c r="V1254" s="3">
        <f t="shared" si="238"/>
        <v>1</v>
      </c>
      <c r="W1254" s="9">
        <f t="shared" si="239"/>
        <v>0</v>
      </c>
      <c r="AC1254"/>
    </row>
    <row r="1255" spans="1:29" x14ac:dyDescent="0.25">
      <c r="A1255" t="s">
        <v>85</v>
      </c>
      <c r="B1255">
        <v>7</v>
      </c>
      <c r="C1255" t="s">
        <v>937</v>
      </c>
      <c r="D1255" t="s">
        <v>468</v>
      </c>
      <c r="E1255">
        <v>6</v>
      </c>
      <c r="F1255">
        <v>8.98</v>
      </c>
      <c r="G1255">
        <v>17.977599999999999</v>
      </c>
      <c r="H1255" t="s">
        <v>47</v>
      </c>
      <c r="I1255" t="s">
        <v>47</v>
      </c>
      <c r="J1255" t="s">
        <v>27</v>
      </c>
      <c r="K1255">
        <f t="shared" si="228"/>
        <v>94.610000000000014</v>
      </c>
      <c r="L1255">
        <f t="shared" si="229"/>
        <v>333.25760000000002</v>
      </c>
      <c r="M1255" t="str">
        <f t="shared" si="230"/>
        <v>lucas-7</v>
      </c>
      <c r="N1255" t="str">
        <f>INDEX(Scores!$A$2:$A$11,INDEX(Scores!$AA$2:$AA$131,MATCH(C1255,Scores!$AB$2:$AB$131,0)))</f>
        <v>lucas</v>
      </c>
      <c r="O1255">
        <f t="shared" si="231"/>
        <v>0</v>
      </c>
      <c r="P1255">
        <f t="shared" si="232"/>
        <v>0</v>
      </c>
      <c r="Q1255" s="3">
        <f t="shared" si="233"/>
        <v>0.99999989058825289</v>
      </c>
      <c r="R1255" s="3">
        <f t="shared" si="234"/>
        <v>0.99999987683638636</v>
      </c>
      <c r="S1255" s="9">
        <f t="shared" si="235"/>
        <v>-1.3751866534406076E-8</v>
      </c>
      <c r="T1255">
        <f t="shared" si="236"/>
        <v>73</v>
      </c>
      <c r="U1255">
        <f t="shared" si="237"/>
        <v>0</v>
      </c>
      <c r="V1255" s="3">
        <f t="shared" si="238"/>
        <v>1</v>
      </c>
      <c r="W1255" s="9">
        <f t="shared" si="239"/>
        <v>0</v>
      </c>
      <c r="AC1255"/>
    </row>
    <row r="1256" spans="1:29" x14ac:dyDescent="0.25">
      <c r="A1256" t="s">
        <v>13</v>
      </c>
      <c r="B1256">
        <v>6</v>
      </c>
      <c r="C1256" t="s">
        <v>912</v>
      </c>
      <c r="D1256" t="s">
        <v>467</v>
      </c>
      <c r="E1256">
        <v>0</v>
      </c>
      <c r="F1256">
        <v>21.28</v>
      </c>
      <c r="G1256">
        <v>89.870400000000004</v>
      </c>
      <c r="H1256" t="s">
        <v>15</v>
      </c>
      <c r="I1256" t="s">
        <v>15</v>
      </c>
      <c r="J1256" t="s">
        <v>16</v>
      </c>
      <c r="K1256">
        <f t="shared" si="228"/>
        <v>102.10000000000001</v>
      </c>
      <c r="L1256">
        <f t="shared" si="229"/>
        <v>445.16630000000004</v>
      </c>
      <c r="M1256" t="str">
        <f t="shared" si="230"/>
        <v>aj-6</v>
      </c>
      <c r="N1256" t="str">
        <f>INDEX(Scores!$A$2:$A$11,INDEX(Scores!$AA$2:$AA$131,MATCH(C1256,Scores!$AB$2:$AB$131,0)))</f>
        <v>aj</v>
      </c>
      <c r="O1256">
        <f t="shared" si="231"/>
        <v>108.8</v>
      </c>
      <c r="P1256">
        <f t="shared" si="232"/>
        <v>404.29040000000003</v>
      </c>
      <c r="Q1256" s="3">
        <f t="shared" si="233"/>
        <v>0.40909189376360988</v>
      </c>
      <c r="R1256" s="3">
        <f t="shared" si="234"/>
        <v>0.15500105057746541</v>
      </c>
      <c r="S1256" s="9">
        <f t="shared" si="235"/>
        <v>-0.2540908431861445</v>
      </c>
      <c r="T1256">
        <f t="shared" si="236"/>
        <v>85</v>
      </c>
      <c r="U1256">
        <f t="shared" si="237"/>
        <v>104</v>
      </c>
      <c r="V1256" s="3">
        <f t="shared" si="238"/>
        <v>0.5950311213424182</v>
      </c>
      <c r="W1256" s="9">
        <f t="shared" si="239"/>
        <v>-0.5950311213424182</v>
      </c>
      <c r="AC1256"/>
    </row>
    <row r="1257" spans="1:29" x14ac:dyDescent="0.25">
      <c r="A1257" t="s">
        <v>18</v>
      </c>
      <c r="B1257">
        <v>8</v>
      </c>
      <c r="C1257" t="s">
        <v>906</v>
      </c>
      <c r="D1257" t="s">
        <v>467</v>
      </c>
      <c r="E1257">
        <v>17</v>
      </c>
      <c r="F1257">
        <v>21.76</v>
      </c>
      <c r="G1257">
        <v>48.163600000000002</v>
      </c>
      <c r="H1257" t="s">
        <v>15</v>
      </c>
      <c r="I1257" t="s">
        <v>15</v>
      </c>
      <c r="J1257" t="s">
        <v>20</v>
      </c>
      <c r="K1257">
        <f t="shared" si="228"/>
        <v>113.35000000000001</v>
      </c>
      <c r="L1257">
        <f t="shared" si="229"/>
        <v>416.81729999999993</v>
      </c>
      <c r="M1257" t="str">
        <f t="shared" si="230"/>
        <v>chad-8</v>
      </c>
      <c r="N1257" t="str">
        <f>INDEX(Scores!$A$2:$A$11,INDEX(Scores!$AA$2:$AA$131,MATCH(C1257,Scores!$AB$2:$AB$131,0)))</f>
        <v>chad</v>
      </c>
      <c r="O1257">
        <f t="shared" si="231"/>
        <v>94.88</v>
      </c>
      <c r="P1257">
        <f t="shared" si="232"/>
        <v>320.65749999999997</v>
      </c>
      <c r="Q1257" s="3">
        <f t="shared" si="233"/>
        <v>0.75178960468721057</v>
      </c>
      <c r="R1257" s="3">
        <f t="shared" si="234"/>
        <v>0.69923149358021486</v>
      </c>
      <c r="S1257" s="9">
        <f t="shared" si="235"/>
        <v>-5.2558111106995709E-2</v>
      </c>
      <c r="T1257">
        <f t="shared" si="236"/>
        <v>75</v>
      </c>
      <c r="U1257">
        <f t="shared" si="237"/>
        <v>78</v>
      </c>
      <c r="V1257" s="3">
        <f t="shared" si="238"/>
        <v>0.60009859233013896</v>
      </c>
      <c r="W1257" s="9">
        <f t="shared" si="239"/>
        <v>-0.60009859233013896</v>
      </c>
      <c r="AC1257"/>
    </row>
    <row r="1258" spans="1:29" x14ac:dyDescent="0.25">
      <c r="A1258" t="s">
        <v>143</v>
      </c>
      <c r="B1258">
        <v>3</v>
      </c>
      <c r="C1258" t="s">
        <v>808</v>
      </c>
      <c r="D1258" t="s">
        <v>471</v>
      </c>
      <c r="E1258">
        <v>1</v>
      </c>
      <c r="F1258">
        <v>10.63</v>
      </c>
      <c r="G1258">
        <v>36.602499999999999</v>
      </c>
      <c r="H1258" t="s">
        <v>87</v>
      </c>
      <c r="I1258" t="s">
        <v>87</v>
      </c>
      <c r="J1258" t="s">
        <v>44</v>
      </c>
      <c r="K1258">
        <f t="shared" si="228"/>
        <v>94.54</v>
      </c>
      <c r="L1258">
        <f t="shared" si="229"/>
        <v>356.43470000000002</v>
      </c>
      <c r="M1258" t="str">
        <f t="shared" si="230"/>
        <v>aj-3</v>
      </c>
      <c r="N1258" t="str">
        <f>INDEX(Scores!$A$2:$A$11,INDEX(Scores!$AA$2:$AA$131,MATCH(C1258,Scores!$AB$2:$AB$131,0)))</f>
        <v>aj</v>
      </c>
      <c r="O1258">
        <f t="shared" si="231"/>
        <v>107.31</v>
      </c>
      <c r="P1258">
        <f t="shared" si="232"/>
        <v>425.77620000000002</v>
      </c>
      <c r="Q1258" s="3">
        <f t="shared" si="233"/>
        <v>0.3239819129085153</v>
      </c>
      <c r="R1258" s="3">
        <f t="shared" si="234"/>
        <v>0.20601183622479452</v>
      </c>
      <c r="S1258" s="9">
        <f t="shared" si="235"/>
        <v>-0.11797007668372078</v>
      </c>
      <c r="T1258">
        <f t="shared" si="236"/>
        <v>88</v>
      </c>
      <c r="U1258">
        <f t="shared" si="237"/>
        <v>96</v>
      </c>
      <c r="V1258" s="3">
        <f t="shared" si="238"/>
        <v>0.60619732371186763</v>
      </c>
      <c r="W1258" s="9">
        <f t="shared" si="239"/>
        <v>-0.60619732371186763</v>
      </c>
      <c r="AC1258"/>
    </row>
    <row r="1259" spans="1:29" x14ac:dyDescent="0.25">
      <c r="A1259" t="s">
        <v>101</v>
      </c>
      <c r="B1259">
        <v>9</v>
      </c>
      <c r="C1259" t="s">
        <v>931</v>
      </c>
      <c r="D1259" t="s">
        <v>469</v>
      </c>
      <c r="E1259">
        <v>0</v>
      </c>
      <c r="F1259">
        <v>10.220000000000001</v>
      </c>
      <c r="G1259">
        <v>60.84</v>
      </c>
      <c r="H1259" t="s">
        <v>47</v>
      </c>
      <c r="I1259" t="s">
        <v>47</v>
      </c>
      <c r="J1259" t="s">
        <v>35</v>
      </c>
      <c r="K1259">
        <f t="shared" si="228"/>
        <v>104.66</v>
      </c>
      <c r="L1259">
        <f t="shared" si="229"/>
        <v>474.51049999999998</v>
      </c>
      <c r="M1259" t="str">
        <f t="shared" si="230"/>
        <v>cory-9</v>
      </c>
      <c r="N1259" t="str">
        <f>INDEX(Scores!$A$2:$A$11,INDEX(Scores!$AA$2:$AA$131,MATCH(C1259,Scores!$AB$2:$AB$131,0)))</f>
        <v>cory</v>
      </c>
      <c r="O1259">
        <f t="shared" si="231"/>
        <v>90.69</v>
      </c>
      <c r="P1259">
        <f t="shared" si="232"/>
        <v>356.05790000000002</v>
      </c>
      <c r="Q1259" s="3">
        <f t="shared" si="233"/>
        <v>0.68606954461640712</v>
      </c>
      <c r="R1259" s="3">
        <f t="shared" si="234"/>
        <v>0.55375907684685521</v>
      </c>
      <c r="S1259" s="9">
        <f t="shared" si="235"/>
        <v>-0.13231046776955191</v>
      </c>
      <c r="T1259">
        <f t="shared" si="236"/>
        <v>81</v>
      </c>
      <c r="U1259">
        <f t="shared" si="237"/>
        <v>89</v>
      </c>
      <c r="V1259" s="3">
        <f t="shared" si="238"/>
        <v>0.61203058833865853</v>
      </c>
      <c r="W1259" s="9">
        <f t="shared" si="239"/>
        <v>-0.61203058833865853</v>
      </c>
      <c r="AC1259"/>
    </row>
    <row r="1260" spans="1:29" x14ac:dyDescent="0.25">
      <c r="A1260" t="s">
        <v>126</v>
      </c>
      <c r="B1260">
        <v>5</v>
      </c>
      <c r="C1260" t="s">
        <v>883</v>
      </c>
      <c r="D1260" t="s">
        <v>471</v>
      </c>
      <c r="E1260">
        <v>3</v>
      </c>
      <c r="F1260">
        <v>9.2899999999999991</v>
      </c>
      <c r="G1260">
        <v>19.7136</v>
      </c>
      <c r="H1260" t="s">
        <v>87</v>
      </c>
      <c r="I1260" t="s">
        <v>87</v>
      </c>
      <c r="J1260" t="s">
        <v>16</v>
      </c>
      <c r="K1260">
        <f t="shared" si="228"/>
        <v>109.91</v>
      </c>
      <c r="L1260">
        <f t="shared" si="229"/>
        <v>349.51409999999998</v>
      </c>
      <c r="M1260" t="str">
        <f t="shared" si="230"/>
        <v>devon-5</v>
      </c>
      <c r="N1260" t="str">
        <f>INDEX(Scores!$A$2:$A$11,INDEX(Scores!$AA$2:$AA$131,MATCH(C1260,Scores!$AB$2:$AB$131,0)))</f>
        <v>devon</v>
      </c>
      <c r="O1260">
        <f t="shared" si="231"/>
        <v>93.5</v>
      </c>
      <c r="P1260">
        <f t="shared" si="232"/>
        <v>346.9006</v>
      </c>
      <c r="Q1260" s="3">
        <f t="shared" si="233"/>
        <v>0.73297455800387123</v>
      </c>
      <c r="R1260" s="3">
        <f t="shared" si="234"/>
        <v>0.6513726843206703</v>
      </c>
      <c r="S1260" s="9">
        <f t="shared" si="235"/>
        <v>-8.1601873683200932E-2</v>
      </c>
      <c r="T1260">
        <f t="shared" si="236"/>
        <v>100</v>
      </c>
      <c r="U1260">
        <f t="shared" si="237"/>
        <v>105</v>
      </c>
      <c r="V1260" s="3">
        <f t="shared" si="238"/>
        <v>0.61429862961657045</v>
      </c>
      <c r="W1260" s="9">
        <f t="shared" si="239"/>
        <v>-0.61429862961657045</v>
      </c>
      <c r="AC1260"/>
    </row>
    <row r="1261" spans="1:29" x14ac:dyDescent="0.25">
      <c r="A1261" t="s">
        <v>146</v>
      </c>
      <c r="B1261">
        <v>1</v>
      </c>
      <c r="C1261" t="s">
        <v>499</v>
      </c>
      <c r="D1261" t="s">
        <v>466</v>
      </c>
      <c r="E1261">
        <v>1</v>
      </c>
      <c r="F1261">
        <v>6.84</v>
      </c>
      <c r="G1261">
        <v>39.0625</v>
      </c>
      <c r="H1261" t="s">
        <v>466</v>
      </c>
      <c r="I1261" t="s">
        <v>47</v>
      </c>
      <c r="J1261" t="s">
        <v>40</v>
      </c>
      <c r="K1261">
        <f t="shared" si="228"/>
        <v>101.15</v>
      </c>
      <c r="L1261">
        <f t="shared" si="229"/>
        <v>350.32479999999998</v>
      </c>
      <c r="M1261" t="e">
        <f t="shared" si="230"/>
        <v>#N/A</v>
      </c>
      <c r="N1261" t="e">
        <f>INDEX(Scores!$A$2:$A$11,INDEX(Scores!$AA$2:$AA$131,MATCH(C1261,Scores!$AB$2:$AB$131,0)))</f>
        <v>#N/A</v>
      </c>
      <c r="O1261">
        <f t="shared" si="231"/>
        <v>0</v>
      </c>
      <c r="P1261">
        <f t="shared" si="232"/>
        <v>0</v>
      </c>
      <c r="Q1261" s="3">
        <f t="shared" si="233"/>
        <v>0.9999999674486757</v>
      </c>
      <c r="R1261" s="3">
        <f t="shared" si="234"/>
        <v>0.99999996709613936</v>
      </c>
      <c r="S1261" s="9">
        <f t="shared" si="235"/>
        <v>-3.5253633345888602E-10</v>
      </c>
      <c r="T1261">
        <f t="shared" si="236"/>
        <v>71</v>
      </c>
      <c r="U1261">
        <f t="shared" si="237"/>
        <v>0</v>
      </c>
      <c r="V1261" s="3">
        <f t="shared" si="238"/>
        <v>1</v>
      </c>
      <c r="W1261" s="9">
        <f t="shared" si="239"/>
        <v>0</v>
      </c>
      <c r="AC1261"/>
    </row>
    <row r="1262" spans="1:29" x14ac:dyDescent="0.25">
      <c r="A1262" t="s">
        <v>109</v>
      </c>
      <c r="B1262">
        <v>4</v>
      </c>
      <c r="C1262" t="s">
        <v>862</v>
      </c>
      <c r="D1262" t="s">
        <v>468</v>
      </c>
      <c r="E1262">
        <v>2</v>
      </c>
      <c r="F1262">
        <v>16.670000000000002</v>
      </c>
      <c r="G1262">
        <v>77.44</v>
      </c>
      <c r="H1262" t="s">
        <v>47</v>
      </c>
      <c r="I1262" t="s">
        <v>47</v>
      </c>
      <c r="J1262" t="s">
        <v>23</v>
      </c>
      <c r="K1262">
        <f t="shared" si="228"/>
        <v>111.07000000000001</v>
      </c>
      <c r="L1262">
        <f t="shared" si="229"/>
        <v>406.62959999999998</v>
      </c>
      <c r="M1262" t="str">
        <f t="shared" si="230"/>
        <v>devon-4</v>
      </c>
      <c r="N1262" t="str">
        <f>INDEX(Scores!$A$2:$A$11,INDEX(Scores!$AA$2:$AA$131,MATCH(C1262,Scores!$AB$2:$AB$131,0)))</f>
        <v>devon</v>
      </c>
      <c r="O1262">
        <f t="shared" si="231"/>
        <v>99.78</v>
      </c>
      <c r="P1262">
        <f t="shared" si="232"/>
        <v>369.21209999999996</v>
      </c>
      <c r="Q1262" s="3">
        <f t="shared" si="233"/>
        <v>0.65738205274668193</v>
      </c>
      <c r="R1262" s="3">
        <f t="shared" si="234"/>
        <v>0.44911481158892358</v>
      </c>
      <c r="S1262" s="9">
        <f t="shared" si="235"/>
        <v>-0.20826724115775835</v>
      </c>
      <c r="T1262">
        <f t="shared" si="236"/>
        <v>72</v>
      </c>
      <c r="U1262">
        <f t="shared" si="237"/>
        <v>84</v>
      </c>
      <c r="V1262" s="3">
        <f t="shared" si="238"/>
        <v>0.61921094076587058</v>
      </c>
      <c r="W1262" s="9">
        <f t="shared" si="239"/>
        <v>-0.61921094076587058</v>
      </c>
      <c r="AC1262"/>
    </row>
    <row r="1263" spans="1:29" x14ac:dyDescent="0.25">
      <c r="A1263" t="s">
        <v>43</v>
      </c>
      <c r="B1263">
        <v>1</v>
      </c>
      <c r="C1263" t="s">
        <v>500</v>
      </c>
      <c r="D1263" t="s">
        <v>467</v>
      </c>
      <c r="E1263">
        <v>10</v>
      </c>
      <c r="F1263">
        <v>18.16</v>
      </c>
      <c r="G1263">
        <v>49</v>
      </c>
      <c r="H1263" t="s">
        <v>15</v>
      </c>
      <c r="I1263" t="s">
        <v>15</v>
      </c>
      <c r="J1263" t="s">
        <v>44</v>
      </c>
      <c r="K1263">
        <f t="shared" si="228"/>
        <v>111.07</v>
      </c>
      <c r="L1263">
        <f t="shared" si="229"/>
        <v>422.00569999999999</v>
      </c>
      <c r="M1263" t="str">
        <f t="shared" si="230"/>
        <v>comp-1</v>
      </c>
      <c r="N1263" t="str">
        <f>INDEX(Scores!$A$2:$A$11,INDEX(Scores!$AA$2:$AA$131,MATCH(C1263,Scores!$AB$2:$AB$131,0)))</f>
        <v>comp</v>
      </c>
      <c r="O1263">
        <f t="shared" si="231"/>
        <v>110.7</v>
      </c>
      <c r="P1263">
        <f t="shared" si="232"/>
        <v>433.44330000000002</v>
      </c>
      <c r="Q1263" s="3">
        <f t="shared" si="233"/>
        <v>0.50504664952103229</v>
      </c>
      <c r="R1263" s="3">
        <f t="shared" si="234"/>
        <v>0.39192141312891937</v>
      </c>
      <c r="S1263" s="9">
        <f t="shared" si="235"/>
        <v>-0.11312523639211292</v>
      </c>
      <c r="T1263">
        <f t="shared" si="236"/>
        <v>71</v>
      </c>
      <c r="U1263">
        <f t="shared" si="237"/>
        <v>77</v>
      </c>
      <c r="V1263" s="3">
        <f t="shared" si="238"/>
        <v>0.62117622120660765</v>
      </c>
      <c r="W1263" s="9">
        <f t="shared" si="239"/>
        <v>-0.62117622120660765</v>
      </c>
      <c r="AC1263"/>
    </row>
    <row r="1264" spans="1:29" x14ac:dyDescent="0.25">
      <c r="A1264" t="s">
        <v>59</v>
      </c>
      <c r="B1264">
        <v>10</v>
      </c>
      <c r="C1264" t="s">
        <v>956</v>
      </c>
      <c r="D1264" t="s">
        <v>467</v>
      </c>
      <c r="E1264">
        <v>13</v>
      </c>
      <c r="F1264">
        <v>21.84</v>
      </c>
      <c r="G1264">
        <v>76.038399999999996</v>
      </c>
      <c r="H1264" t="s">
        <v>15</v>
      </c>
      <c r="I1264" t="s">
        <v>15</v>
      </c>
      <c r="J1264" t="s">
        <v>40</v>
      </c>
      <c r="K1264">
        <f t="shared" si="228"/>
        <v>97.83</v>
      </c>
      <c r="L1264">
        <f t="shared" si="229"/>
        <v>370.18310000000002</v>
      </c>
      <c r="M1264" t="e">
        <f t="shared" si="230"/>
        <v>#N/A</v>
      </c>
      <c r="N1264" t="e">
        <f>INDEX(Scores!$A$2:$A$11,INDEX(Scores!$AA$2:$AA$131,MATCH(C1264,Scores!$AB$2:$AB$131,0)))</f>
        <v>#N/A</v>
      </c>
      <c r="O1264">
        <f t="shared" si="231"/>
        <v>0</v>
      </c>
      <c r="P1264">
        <f t="shared" si="232"/>
        <v>0</v>
      </c>
      <c r="Q1264" s="3">
        <f t="shared" si="233"/>
        <v>0.99999981587831821</v>
      </c>
      <c r="R1264" s="3">
        <f t="shared" si="234"/>
        <v>0.99999989413085799</v>
      </c>
      <c r="S1264" s="9">
        <f t="shared" si="235"/>
        <v>7.825253978133162E-8</v>
      </c>
      <c r="T1264">
        <f t="shared" si="236"/>
        <v>91</v>
      </c>
      <c r="U1264">
        <f t="shared" si="237"/>
        <v>0</v>
      </c>
      <c r="V1264" s="3">
        <f t="shared" si="238"/>
        <v>1</v>
      </c>
      <c r="W1264" s="9">
        <f t="shared" si="239"/>
        <v>0</v>
      </c>
      <c r="AC1264"/>
    </row>
    <row r="1265" spans="1:29" x14ac:dyDescent="0.25">
      <c r="A1265" t="s">
        <v>98</v>
      </c>
      <c r="B1265">
        <v>10</v>
      </c>
      <c r="C1265" t="s">
        <v>980</v>
      </c>
      <c r="D1265" t="s">
        <v>471</v>
      </c>
      <c r="E1265">
        <v>2</v>
      </c>
      <c r="F1265">
        <v>7.82</v>
      </c>
      <c r="G1265">
        <v>29.702500000000001</v>
      </c>
      <c r="H1265" t="s">
        <v>87</v>
      </c>
      <c r="I1265" t="s">
        <v>87</v>
      </c>
      <c r="J1265" t="s">
        <v>44</v>
      </c>
      <c r="K1265">
        <f t="shared" si="228"/>
        <v>104.52999999999999</v>
      </c>
      <c r="L1265">
        <f t="shared" si="229"/>
        <v>446.11959999999999</v>
      </c>
      <c r="M1265" t="str">
        <f t="shared" si="230"/>
        <v>matty-10</v>
      </c>
      <c r="N1265" t="str">
        <f>INDEX(Scores!$A$2:$A$11,INDEX(Scores!$AA$2:$AA$131,MATCH(C1265,Scores!$AB$2:$AB$131,0)))</f>
        <v>matty</v>
      </c>
      <c r="O1265">
        <f t="shared" si="231"/>
        <v>80.72</v>
      </c>
      <c r="P1265">
        <f t="shared" si="232"/>
        <v>274.11410000000001</v>
      </c>
      <c r="Q1265" s="3">
        <f t="shared" si="233"/>
        <v>0.81251501229102341</v>
      </c>
      <c r="R1265" s="3">
        <f t="shared" si="234"/>
        <v>0.75320311772404125</v>
      </c>
      <c r="S1265" s="9">
        <f t="shared" si="235"/>
        <v>-5.931189456698216E-2</v>
      </c>
      <c r="T1265">
        <f t="shared" si="236"/>
        <v>80</v>
      </c>
      <c r="U1265">
        <f t="shared" si="237"/>
        <v>84</v>
      </c>
      <c r="V1265" s="3">
        <f t="shared" si="238"/>
        <v>0.63078945170664236</v>
      </c>
      <c r="W1265" s="9">
        <f t="shared" si="239"/>
        <v>-0.63078945170664236</v>
      </c>
      <c r="AC1265"/>
    </row>
    <row r="1266" spans="1:29" x14ac:dyDescent="0.25">
      <c r="A1266" t="s">
        <v>153</v>
      </c>
      <c r="B1266">
        <v>7</v>
      </c>
      <c r="C1266" t="s">
        <v>977</v>
      </c>
      <c r="D1266" t="s">
        <v>473</v>
      </c>
      <c r="E1266">
        <v>0</v>
      </c>
      <c r="F1266">
        <v>5.72</v>
      </c>
      <c r="G1266">
        <v>22.184100000000001</v>
      </c>
      <c r="H1266" t="s">
        <v>87</v>
      </c>
      <c r="I1266" t="s">
        <v>87</v>
      </c>
      <c r="J1266" t="s">
        <v>44</v>
      </c>
      <c r="K1266">
        <f t="shared" si="228"/>
        <v>96.25</v>
      </c>
      <c r="L1266">
        <f t="shared" si="229"/>
        <v>294.3</v>
      </c>
      <c r="M1266" t="str">
        <f t="shared" si="230"/>
        <v>cory-7</v>
      </c>
      <c r="N1266" t="str">
        <f>INDEX(Scores!$A$2:$A$11,INDEX(Scores!$AA$2:$AA$131,MATCH(C1266,Scores!$AB$2:$AB$131,0)))</f>
        <v>cory</v>
      </c>
      <c r="O1266">
        <f t="shared" si="231"/>
        <v>86.09</v>
      </c>
      <c r="P1266">
        <f t="shared" si="232"/>
        <v>350.80079999999998</v>
      </c>
      <c r="Q1266" s="3">
        <f t="shared" si="233"/>
        <v>0.65542850055780277</v>
      </c>
      <c r="R1266" s="3">
        <f t="shared" si="234"/>
        <v>0.57059796338349911</v>
      </c>
      <c r="S1266" s="9">
        <f t="shared" si="235"/>
        <v>-8.4830537174303666E-2</v>
      </c>
      <c r="T1266">
        <f t="shared" si="236"/>
        <v>81</v>
      </c>
      <c r="U1266">
        <f t="shared" si="237"/>
        <v>85</v>
      </c>
      <c r="V1266" s="3">
        <f t="shared" si="238"/>
        <v>0.64251165102349472</v>
      </c>
      <c r="W1266" s="9">
        <f t="shared" si="239"/>
        <v>-0.64251165102349472</v>
      </c>
      <c r="AC1266"/>
    </row>
    <row r="1267" spans="1:29" x14ac:dyDescent="0.25">
      <c r="A1267" t="s">
        <v>613</v>
      </c>
      <c r="B1267">
        <v>10</v>
      </c>
      <c r="C1267" t="s">
        <v>980</v>
      </c>
      <c r="D1267" t="s">
        <v>472</v>
      </c>
      <c r="E1267">
        <v>2</v>
      </c>
      <c r="F1267">
        <v>7.94</v>
      </c>
      <c r="G1267">
        <v>28.09</v>
      </c>
      <c r="H1267" t="s">
        <v>87</v>
      </c>
      <c r="I1267" t="s">
        <v>87</v>
      </c>
      <c r="J1267" t="s">
        <v>44</v>
      </c>
      <c r="K1267">
        <f t="shared" si="228"/>
        <v>104.52999999999999</v>
      </c>
      <c r="L1267">
        <f t="shared" si="229"/>
        <v>446.11959999999999</v>
      </c>
      <c r="M1267" t="str">
        <f t="shared" si="230"/>
        <v>matty-10</v>
      </c>
      <c r="N1267" t="str">
        <f>INDEX(Scores!$A$2:$A$11,INDEX(Scores!$AA$2:$AA$131,MATCH(C1267,Scores!$AB$2:$AB$131,0)))</f>
        <v>matty</v>
      </c>
      <c r="O1267">
        <f t="shared" si="231"/>
        <v>80.72</v>
      </c>
      <c r="P1267">
        <f t="shared" si="232"/>
        <v>274.11410000000001</v>
      </c>
      <c r="Q1267" s="3">
        <f t="shared" si="233"/>
        <v>0.81251501229102341</v>
      </c>
      <c r="R1267" s="3">
        <f t="shared" si="234"/>
        <v>0.75150866429453089</v>
      </c>
      <c r="S1267" s="9">
        <f t="shared" si="235"/>
        <v>-6.1006347996492516E-2</v>
      </c>
      <c r="T1267">
        <f t="shared" si="236"/>
        <v>80</v>
      </c>
      <c r="U1267">
        <f t="shared" si="237"/>
        <v>84</v>
      </c>
      <c r="V1267" s="3">
        <f t="shared" si="238"/>
        <v>0.64283154125332087</v>
      </c>
      <c r="W1267" s="9">
        <f t="shared" si="239"/>
        <v>-0.64283154125332087</v>
      </c>
      <c r="AC1267"/>
    </row>
    <row r="1268" spans="1:29" x14ac:dyDescent="0.25">
      <c r="A1268" t="s">
        <v>26</v>
      </c>
      <c r="B1268">
        <v>7</v>
      </c>
      <c r="C1268" t="s">
        <v>937</v>
      </c>
      <c r="D1268" t="s">
        <v>467</v>
      </c>
      <c r="E1268">
        <v>16</v>
      </c>
      <c r="F1268">
        <v>21.12</v>
      </c>
      <c r="G1268">
        <v>63.520899999999997</v>
      </c>
      <c r="H1268" t="s">
        <v>15</v>
      </c>
      <c r="I1268" t="s">
        <v>15</v>
      </c>
      <c r="J1268" t="s">
        <v>27</v>
      </c>
      <c r="K1268">
        <f t="shared" si="228"/>
        <v>94.610000000000014</v>
      </c>
      <c r="L1268">
        <f t="shared" si="229"/>
        <v>333.25760000000002</v>
      </c>
      <c r="M1268" t="str">
        <f t="shared" si="230"/>
        <v>lucas-7</v>
      </c>
      <c r="N1268" t="str">
        <f>INDEX(Scores!$A$2:$A$11,INDEX(Scores!$AA$2:$AA$131,MATCH(C1268,Scores!$AB$2:$AB$131,0)))</f>
        <v>lucas</v>
      </c>
      <c r="O1268">
        <f t="shared" si="231"/>
        <v>0</v>
      </c>
      <c r="P1268">
        <f t="shared" si="232"/>
        <v>0</v>
      </c>
      <c r="Q1268" s="3">
        <f t="shared" si="233"/>
        <v>0.99999989058825289</v>
      </c>
      <c r="R1268" s="3">
        <f t="shared" si="234"/>
        <v>0.99999997465107548</v>
      </c>
      <c r="S1268" s="9">
        <f t="shared" si="235"/>
        <v>8.4062822591768338E-8</v>
      </c>
      <c r="T1268">
        <f t="shared" si="236"/>
        <v>73</v>
      </c>
      <c r="U1268">
        <f t="shared" si="237"/>
        <v>0</v>
      </c>
      <c r="V1268" s="3">
        <f t="shared" si="238"/>
        <v>1</v>
      </c>
      <c r="W1268" s="9">
        <f t="shared" si="239"/>
        <v>0</v>
      </c>
      <c r="AC1268"/>
    </row>
    <row r="1269" spans="1:29" x14ac:dyDescent="0.25">
      <c r="A1269" t="s">
        <v>158</v>
      </c>
      <c r="B1269">
        <v>10</v>
      </c>
      <c r="C1269" t="s">
        <v>956</v>
      </c>
      <c r="D1269" t="s">
        <v>469</v>
      </c>
      <c r="E1269">
        <v>1</v>
      </c>
      <c r="F1269">
        <v>10.08</v>
      </c>
      <c r="G1269">
        <v>60.528399999999998</v>
      </c>
      <c r="H1269" t="s">
        <v>47</v>
      </c>
      <c r="I1269" t="s">
        <v>47</v>
      </c>
      <c r="J1269" t="s">
        <v>40</v>
      </c>
      <c r="K1269">
        <f t="shared" si="228"/>
        <v>97.83</v>
      </c>
      <c r="L1269">
        <f t="shared" si="229"/>
        <v>370.18310000000002</v>
      </c>
      <c r="M1269" t="e">
        <f t="shared" si="230"/>
        <v>#N/A</v>
      </c>
      <c r="N1269" t="e">
        <f>INDEX(Scores!$A$2:$A$11,INDEX(Scores!$AA$2:$AA$131,MATCH(C1269,Scores!$AB$2:$AB$131,0)))</f>
        <v>#N/A</v>
      </c>
      <c r="O1269">
        <f t="shared" si="231"/>
        <v>0</v>
      </c>
      <c r="P1269">
        <f t="shared" si="232"/>
        <v>0</v>
      </c>
      <c r="Q1269" s="3">
        <f t="shared" si="233"/>
        <v>0.99999981587831821</v>
      </c>
      <c r="R1269" s="3">
        <f t="shared" si="234"/>
        <v>0.99999977141889895</v>
      </c>
      <c r="S1269" s="9">
        <f t="shared" si="235"/>
        <v>-4.4459419257236732E-8</v>
      </c>
      <c r="T1269">
        <f t="shared" si="236"/>
        <v>91</v>
      </c>
      <c r="U1269">
        <f t="shared" si="237"/>
        <v>0</v>
      </c>
      <c r="V1269" s="3">
        <f t="shared" si="238"/>
        <v>1</v>
      </c>
      <c r="W1269" s="9">
        <f t="shared" si="239"/>
        <v>0</v>
      </c>
      <c r="AC1269"/>
    </row>
    <row r="1270" spans="1:29" x14ac:dyDescent="0.25">
      <c r="A1270" t="s">
        <v>176</v>
      </c>
      <c r="B1270">
        <v>3</v>
      </c>
      <c r="C1270" t="s">
        <v>812</v>
      </c>
      <c r="D1270" t="s">
        <v>475</v>
      </c>
      <c r="E1270">
        <v>1</v>
      </c>
      <c r="F1270">
        <v>6.84</v>
      </c>
      <c r="G1270">
        <v>21.16</v>
      </c>
      <c r="H1270" t="s">
        <v>114</v>
      </c>
      <c r="I1270" t="s">
        <v>114</v>
      </c>
      <c r="J1270" t="s">
        <v>49</v>
      </c>
      <c r="K1270">
        <f t="shared" si="228"/>
        <v>116.17999999999999</v>
      </c>
      <c r="L1270">
        <f t="shared" si="229"/>
        <v>478.31470000000002</v>
      </c>
      <c r="M1270" t="str">
        <f t="shared" si="230"/>
        <v>comp-3</v>
      </c>
      <c r="N1270" t="str">
        <f>INDEX(Scores!$A$2:$A$11,INDEX(Scores!$AA$2:$AA$131,MATCH(C1270,Scores!$AB$2:$AB$131,0)))</f>
        <v>comp</v>
      </c>
      <c r="O1270">
        <f t="shared" si="231"/>
        <v>105.02</v>
      </c>
      <c r="P1270">
        <f t="shared" si="232"/>
        <v>401.60159999999996</v>
      </c>
      <c r="Q1270" s="3">
        <f t="shared" si="233"/>
        <v>0.64662385216199125</v>
      </c>
      <c r="R1270" s="3">
        <f t="shared" si="234"/>
        <v>0.572028841164129</v>
      </c>
      <c r="S1270" s="9">
        <f t="shared" si="235"/>
        <v>-7.4595010997862254E-2</v>
      </c>
      <c r="T1270">
        <f t="shared" si="236"/>
        <v>81</v>
      </c>
      <c r="U1270">
        <f t="shared" si="237"/>
        <v>85</v>
      </c>
      <c r="V1270" s="3">
        <f t="shared" si="238"/>
        <v>0.65542174161032429</v>
      </c>
      <c r="W1270" s="9">
        <f t="shared" si="239"/>
        <v>-0.65542174161032429</v>
      </c>
      <c r="AC1270"/>
    </row>
    <row r="1271" spans="1:29" x14ac:dyDescent="0.25">
      <c r="A1271" t="s">
        <v>1100</v>
      </c>
      <c r="B1271">
        <v>12</v>
      </c>
      <c r="C1271" t="s">
        <v>950</v>
      </c>
      <c r="D1271" t="s">
        <v>468</v>
      </c>
      <c r="E1271">
        <v>12</v>
      </c>
      <c r="F1271">
        <v>18.579999999999998</v>
      </c>
      <c r="G1271">
        <v>74.649600000000007</v>
      </c>
      <c r="H1271" t="s">
        <v>47</v>
      </c>
      <c r="I1271" t="s">
        <v>47</v>
      </c>
      <c r="J1271" t="s">
        <v>62</v>
      </c>
      <c r="K1271">
        <f t="shared" si="228"/>
        <v>115.8</v>
      </c>
      <c r="L1271">
        <f t="shared" si="229"/>
        <v>455.64659999999998</v>
      </c>
      <c r="M1271" t="str">
        <f t="shared" si="230"/>
        <v>seth-12</v>
      </c>
      <c r="N1271" t="str">
        <f>INDEX(Scores!$A$2:$A$11,INDEX(Scores!$AA$2:$AA$131,MATCH(C1271,Scores!$AB$2:$AB$131,0)))</f>
        <v>seth</v>
      </c>
      <c r="O1271">
        <f t="shared" si="231"/>
        <v>102.15</v>
      </c>
      <c r="P1271">
        <f t="shared" si="232"/>
        <v>468.55759999999998</v>
      </c>
      <c r="Q1271" s="3">
        <f t="shared" si="233"/>
        <v>0.6732850448184311</v>
      </c>
      <c r="R1271" s="3">
        <f t="shared" si="234"/>
        <v>0.5958278557179737</v>
      </c>
      <c r="S1271" s="9">
        <f t="shared" si="235"/>
        <v>-7.7457189100457402E-2</v>
      </c>
      <c r="T1271">
        <f t="shared" si="236"/>
        <v>92</v>
      </c>
      <c r="U1271">
        <f t="shared" si="237"/>
        <v>95</v>
      </c>
      <c r="V1271" s="3">
        <f t="shared" si="238"/>
        <v>0.66069177750065666</v>
      </c>
      <c r="W1271" s="9">
        <f t="shared" si="239"/>
        <v>-0.66069177750065666</v>
      </c>
      <c r="AC1271"/>
    </row>
    <row r="1272" spans="1:29" x14ac:dyDescent="0.25">
      <c r="A1272" t="s">
        <v>39</v>
      </c>
      <c r="B1272">
        <v>1</v>
      </c>
      <c r="C1272" t="s">
        <v>499</v>
      </c>
      <c r="D1272" t="s">
        <v>467</v>
      </c>
      <c r="E1272">
        <v>12</v>
      </c>
      <c r="F1272">
        <v>18.68</v>
      </c>
      <c r="G1272">
        <v>39.564100000000003</v>
      </c>
      <c r="H1272" t="s">
        <v>15</v>
      </c>
      <c r="I1272" t="s">
        <v>15</v>
      </c>
      <c r="J1272" t="s">
        <v>40</v>
      </c>
      <c r="K1272">
        <f t="shared" si="228"/>
        <v>101.15</v>
      </c>
      <c r="L1272">
        <f t="shared" si="229"/>
        <v>350.32479999999998</v>
      </c>
      <c r="M1272" t="e">
        <f t="shared" si="230"/>
        <v>#N/A</v>
      </c>
      <c r="N1272" t="e">
        <f>INDEX(Scores!$A$2:$A$11,INDEX(Scores!$AA$2:$AA$131,MATCH(C1272,Scores!$AB$2:$AB$131,0)))</f>
        <v>#N/A</v>
      </c>
      <c r="O1272">
        <f t="shared" si="231"/>
        <v>0</v>
      </c>
      <c r="P1272">
        <f t="shared" si="232"/>
        <v>0</v>
      </c>
      <c r="Q1272" s="3">
        <f t="shared" si="233"/>
        <v>0.9999999674486757</v>
      </c>
      <c r="R1272" s="3">
        <f t="shared" si="234"/>
        <v>0.99999995814982146</v>
      </c>
      <c r="S1272" s="9">
        <f t="shared" si="235"/>
        <v>-9.2988542421679199E-9</v>
      </c>
      <c r="T1272">
        <f t="shared" si="236"/>
        <v>71</v>
      </c>
      <c r="U1272">
        <f t="shared" si="237"/>
        <v>0</v>
      </c>
      <c r="V1272" s="3">
        <f t="shared" si="238"/>
        <v>1</v>
      </c>
      <c r="W1272" s="9">
        <f t="shared" si="239"/>
        <v>0</v>
      </c>
      <c r="AC1272"/>
    </row>
    <row r="1273" spans="1:29" x14ac:dyDescent="0.25">
      <c r="A1273" t="s">
        <v>199</v>
      </c>
      <c r="B1273">
        <v>8</v>
      </c>
      <c r="C1273" t="s">
        <v>906</v>
      </c>
      <c r="D1273" t="s">
        <v>475</v>
      </c>
      <c r="E1273">
        <v>1</v>
      </c>
      <c r="F1273">
        <v>5.94</v>
      </c>
      <c r="G1273">
        <v>20.25</v>
      </c>
      <c r="H1273" t="s">
        <v>114</v>
      </c>
      <c r="I1273" t="s">
        <v>114</v>
      </c>
      <c r="J1273" t="s">
        <v>20</v>
      </c>
      <c r="K1273">
        <f t="shared" si="228"/>
        <v>113.35000000000001</v>
      </c>
      <c r="L1273">
        <f t="shared" si="229"/>
        <v>416.81729999999993</v>
      </c>
      <c r="M1273" t="str">
        <f t="shared" si="230"/>
        <v>chad-8</v>
      </c>
      <c r="N1273" t="str">
        <f>INDEX(Scores!$A$2:$A$11,INDEX(Scores!$AA$2:$AA$131,MATCH(C1273,Scores!$AB$2:$AB$131,0)))</f>
        <v>chad</v>
      </c>
      <c r="O1273">
        <f t="shared" si="231"/>
        <v>94.88</v>
      </c>
      <c r="P1273">
        <f t="shared" si="232"/>
        <v>320.65749999999997</v>
      </c>
      <c r="Q1273" s="3">
        <f t="shared" si="233"/>
        <v>0.75178960468721057</v>
      </c>
      <c r="R1273" s="3">
        <f t="shared" si="234"/>
        <v>0.69329359481711184</v>
      </c>
      <c r="S1273" s="9">
        <f t="shared" si="235"/>
        <v>-5.8496009870098731E-2</v>
      </c>
      <c r="T1273">
        <f t="shared" si="236"/>
        <v>75</v>
      </c>
      <c r="U1273">
        <f t="shared" si="237"/>
        <v>78</v>
      </c>
      <c r="V1273" s="3">
        <f t="shared" si="238"/>
        <v>0.66680620901816512</v>
      </c>
      <c r="W1273" s="9">
        <f t="shared" si="239"/>
        <v>-0.66680620901816512</v>
      </c>
      <c r="AC1273"/>
    </row>
    <row r="1274" spans="1:29" x14ac:dyDescent="0.25">
      <c r="A1274" t="s">
        <v>113</v>
      </c>
      <c r="B1274">
        <v>1</v>
      </c>
      <c r="C1274" t="s">
        <v>499</v>
      </c>
      <c r="D1274" t="s">
        <v>475</v>
      </c>
      <c r="E1274">
        <v>3</v>
      </c>
      <c r="F1274">
        <v>10.23</v>
      </c>
      <c r="G1274">
        <v>51.84</v>
      </c>
      <c r="H1274" t="s">
        <v>114</v>
      </c>
      <c r="I1274" t="s">
        <v>114</v>
      </c>
      <c r="J1274" t="s">
        <v>40</v>
      </c>
      <c r="K1274">
        <f t="shared" si="228"/>
        <v>101.15</v>
      </c>
      <c r="L1274">
        <f t="shared" si="229"/>
        <v>350.32479999999998</v>
      </c>
      <c r="M1274" t="e">
        <f t="shared" si="230"/>
        <v>#N/A</v>
      </c>
      <c r="N1274" t="e">
        <f>INDEX(Scores!$A$2:$A$11,INDEX(Scores!$AA$2:$AA$131,MATCH(C1274,Scores!$AB$2:$AB$131,0)))</f>
        <v>#N/A</v>
      </c>
      <c r="O1274">
        <f t="shared" si="231"/>
        <v>0</v>
      </c>
      <c r="P1274">
        <f t="shared" si="232"/>
        <v>0</v>
      </c>
      <c r="Q1274" s="3">
        <f t="shared" si="233"/>
        <v>0.9999999674486757</v>
      </c>
      <c r="R1274" s="3">
        <f t="shared" si="234"/>
        <v>0.99999997278852781</v>
      </c>
      <c r="S1274" s="9">
        <f t="shared" si="235"/>
        <v>5.3398521160374912E-9</v>
      </c>
      <c r="T1274">
        <f t="shared" si="236"/>
        <v>71</v>
      </c>
      <c r="U1274">
        <f t="shared" si="237"/>
        <v>0</v>
      </c>
      <c r="V1274" s="3">
        <f t="shared" si="238"/>
        <v>1</v>
      </c>
      <c r="W1274" s="9">
        <f t="shared" si="239"/>
        <v>0</v>
      </c>
      <c r="AC1274"/>
    </row>
    <row r="1275" spans="1:29" x14ac:dyDescent="0.25">
      <c r="A1275" t="s">
        <v>186</v>
      </c>
      <c r="B1275">
        <v>7</v>
      </c>
      <c r="C1275" t="s">
        <v>937</v>
      </c>
      <c r="D1275" t="s">
        <v>469</v>
      </c>
      <c r="E1275">
        <v>4</v>
      </c>
      <c r="F1275">
        <v>8.15</v>
      </c>
      <c r="G1275">
        <v>22.372900000000001</v>
      </c>
      <c r="H1275" t="s">
        <v>47</v>
      </c>
      <c r="I1275" t="s">
        <v>47</v>
      </c>
      <c r="J1275" t="s">
        <v>27</v>
      </c>
      <c r="K1275">
        <f t="shared" si="228"/>
        <v>94.610000000000014</v>
      </c>
      <c r="L1275">
        <f t="shared" si="229"/>
        <v>333.25760000000002</v>
      </c>
      <c r="M1275" t="str">
        <f t="shared" si="230"/>
        <v>lucas-7</v>
      </c>
      <c r="N1275" t="str">
        <f>INDEX(Scores!$A$2:$A$11,INDEX(Scores!$AA$2:$AA$131,MATCH(C1275,Scores!$AB$2:$AB$131,0)))</f>
        <v>lucas</v>
      </c>
      <c r="O1275">
        <f t="shared" si="231"/>
        <v>0</v>
      </c>
      <c r="P1275">
        <f t="shared" si="232"/>
        <v>0</v>
      </c>
      <c r="Q1275" s="3">
        <f t="shared" si="233"/>
        <v>0.99999989058825289</v>
      </c>
      <c r="R1275" s="3">
        <f t="shared" si="234"/>
        <v>0.99999985548798032</v>
      </c>
      <c r="S1275" s="9">
        <f t="shared" si="235"/>
        <v>-3.5100272577359704E-8</v>
      </c>
      <c r="T1275">
        <f t="shared" si="236"/>
        <v>73</v>
      </c>
      <c r="U1275">
        <f t="shared" si="237"/>
        <v>0</v>
      </c>
      <c r="V1275" s="3">
        <f t="shared" si="238"/>
        <v>1</v>
      </c>
      <c r="W1275" s="9">
        <f t="shared" si="239"/>
        <v>0</v>
      </c>
      <c r="AC1275"/>
    </row>
    <row r="1276" spans="1:29" x14ac:dyDescent="0.25">
      <c r="A1276" t="s">
        <v>405</v>
      </c>
      <c r="B1276">
        <v>1</v>
      </c>
      <c r="C1276" t="s">
        <v>500</v>
      </c>
      <c r="D1276" t="s">
        <v>477</v>
      </c>
      <c r="E1276">
        <v>2</v>
      </c>
      <c r="F1276">
        <v>11.22</v>
      </c>
      <c r="G1276">
        <v>48.302500000000002</v>
      </c>
      <c r="H1276" t="s">
        <v>477</v>
      </c>
      <c r="I1276" t="s">
        <v>477</v>
      </c>
      <c r="J1276" t="s">
        <v>44</v>
      </c>
      <c r="K1276">
        <f t="shared" si="228"/>
        <v>111.07</v>
      </c>
      <c r="L1276">
        <f t="shared" si="229"/>
        <v>422.00569999999999</v>
      </c>
      <c r="M1276" t="str">
        <f t="shared" si="230"/>
        <v>comp-1</v>
      </c>
      <c r="N1276" t="str">
        <f>INDEX(Scores!$A$2:$A$11,INDEX(Scores!$AA$2:$AA$131,MATCH(C1276,Scores!$AB$2:$AB$131,0)))</f>
        <v>comp</v>
      </c>
      <c r="O1276">
        <f t="shared" si="231"/>
        <v>110.7</v>
      </c>
      <c r="P1276">
        <f t="shared" si="232"/>
        <v>433.44330000000002</v>
      </c>
      <c r="Q1276" s="3">
        <f t="shared" si="233"/>
        <v>0.50504664952103229</v>
      </c>
      <c r="R1276" s="3">
        <f t="shared" si="234"/>
        <v>0.37770780834243761</v>
      </c>
      <c r="S1276" s="9">
        <f t="shared" si="235"/>
        <v>-0.12733884117859467</v>
      </c>
      <c r="T1276">
        <f t="shared" si="236"/>
        <v>71</v>
      </c>
      <c r="U1276">
        <f t="shared" si="237"/>
        <v>77</v>
      </c>
      <c r="V1276" s="3">
        <f t="shared" si="238"/>
        <v>0.67842867851615252</v>
      </c>
      <c r="W1276" s="9">
        <f t="shared" si="239"/>
        <v>-0.67842867851615252</v>
      </c>
      <c r="AC1276"/>
    </row>
    <row r="1277" spans="1:29" x14ac:dyDescent="0.25">
      <c r="A1277" t="s">
        <v>107</v>
      </c>
      <c r="B1277">
        <v>12</v>
      </c>
      <c r="C1277" t="s">
        <v>974</v>
      </c>
      <c r="D1277" t="s">
        <v>472</v>
      </c>
      <c r="E1277">
        <v>1</v>
      </c>
      <c r="F1277">
        <v>10.07</v>
      </c>
      <c r="G1277">
        <v>69.889600000000002</v>
      </c>
      <c r="H1277" t="s">
        <v>87</v>
      </c>
      <c r="I1277" t="s">
        <v>87</v>
      </c>
      <c r="J1277" t="s">
        <v>49</v>
      </c>
      <c r="K1277">
        <f t="shared" si="228"/>
        <v>94.28</v>
      </c>
      <c r="L1277">
        <f t="shared" si="229"/>
        <v>371.05129999999997</v>
      </c>
      <c r="M1277" t="str">
        <f t="shared" si="230"/>
        <v>devon-12</v>
      </c>
      <c r="N1277" t="str">
        <f>INDEX(Scores!$A$2:$A$11,INDEX(Scores!$AA$2:$AA$131,MATCH(C1277,Scores!$AB$2:$AB$131,0)))</f>
        <v>devon</v>
      </c>
      <c r="O1277">
        <f t="shared" si="231"/>
        <v>99.070000000000007</v>
      </c>
      <c r="P1277">
        <f t="shared" si="232"/>
        <v>350.10639999999995</v>
      </c>
      <c r="Q1277" s="3">
        <f t="shared" si="233"/>
        <v>0.42921643322258324</v>
      </c>
      <c r="R1277" s="3">
        <f t="shared" si="234"/>
        <v>0.29352895916309463</v>
      </c>
      <c r="S1277" s="9">
        <f t="shared" si="235"/>
        <v>-0.13568747405948861</v>
      </c>
      <c r="T1277">
        <f t="shared" si="236"/>
        <v>75</v>
      </c>
      <c r="U1277">
        <f t="shared" si="237"/>
        <v>80</v>
      </c>
      <c r="V1277" s="3">
        <f t="shared" si="238"/>
        <v>0.68681488533402146</v>
      </c>
      <c r="W1277" s="9">
        <f t="shared" si="239"/>
        <v>-0.68681488533402146</v>
      </c>
      <c r="AC1277"/>
    </row>
    <row r="1278" spans="1:29" x14ac:dyDescent="0.25">
      <c r="A1278" t="s">
        <v>139</v>
      </c>
      <c r="B1278">
        <v>5</v>
      </c>
      <c r="C1278" t="s">
        <v>882</v>
      </c>
      <c r="D1278" t="s">
        <v>468</v>
      </c>
      <c r="E1278">
        <v>2</v>
      </c>
      <c r="F1278">
        <v>12.99</v>
      </c>
      <c r="G1278">
        <v>103.8361</v>
      </c>
      <c r="H1278" t="s">
        <v>47</v>
      </c>
      <c r="I1278" t="s">
        <v>47</v>
      </c>
      <c r="J1278" t="s">
        <v>44</v>
      </c>
      <c r="K1278">
        <f t="shared" si="228"/>
        <v>98.72999999999999</v>
      </c>
      <c r="L1278">
        <f t="shared" si="229"/>
        <v>396.28840000000002</v>
      </c>
      <c r="M1278" t="str">
        <f t="shared" si="230"/>
        <v>perry-5</v>
      </c>
      <c r="N1278" t="str">
        <f>INDEX(Scores!$A$2:$A$11,INDEX(Scores!$AA$2:$AA$131,MATCH(C1278,Scores!$AB$2:$AB$131,0)))</f>
        <v>perry</v>
      </c>
      <c r="O1278">
        <f t="shared" si="231"/>
        <v>97.27</v>
      </c>
      <c r="P1278">
        <f t="shared" si="232"/>
        <v>430.39269999999999</v>
      </c>
      <c r="Q1278" s="3">
        <f t="shared" si="233"/>
        <v>0.52024917394329329</v>
      </c>
      <c r="R1278" s="3">
        <f t="shared" si="234"/>
        <v>0.36149614712067918</v>
      </c>
      <c r="S1278" s="9">
        <f t="shared" si="235"/>
        <v>-0.15875302682261411</v>
      </c>
      <c r="T1278">
        <f t="shared" si="236"/>
        <v>90</v>
      </c>
      <c r="U1278">
        <f t="shared" si="237"/>
        <v>96</v>
      </c>
      <c r="V1278" s="3">
        <f t="shared" si="238"/>
        <v>0.68782540582443619</v>
      </c>
      <c r="W1278" s="9">
        <f t="shared" si="239"/>
        <v>-0.68782540582443619</v>
      </c>
      <c r="AC1278"/>
    </row>
    <row r="1279" spans="1:29" x14ac:dyDescent="0.25">
      <c r="A1279" t="s">
        <v>151</v>
      </c>
      <c r="B1279">
        <v>12</v>
      </c>
      <c r="C1279" t="s">
        <v>950</v>
      </c>
      <c r="D1279" t="s">
        <v>475</v>
      </c>
      <c r="E1279">
        <v>3</v>
      </c>
      <c r="F1279">
        <v>8.52</v>
      </c>
      <c r="G1279">
        <v>23.328900000000001</v>
      </c>
      <c r="H1279" t="s">
        <v>114</v>
      </c>
      <c r="I1279" t="s">
        <v>114</v>
      </c>
      <c r="J1279" t="s">
        <v>62</v>
      </c>
      <c r="K1279">
        <f t="shared" si="228"/>
        <v>115.8</v>
      </c>
      <c r="L1279">
        <f t="shared" si="229"/>
        <v>455.64659999999998</v>
      </c>
      <c r="M1279" t="str">
        <f t="shared" si="230"/>
        <v>seth-12</v>
      </c>
      <c r="N1279" t="str">
        <f>INDEX(Scores!$A$2:$A$11,INDEX(Scores!$AA$2:$AA$131,MATCH(C1279,Scores!$AB$2:$AB$131,0)))</f>
        <v>seth</v>
      </c>
      <c r="O1279">
        <f t="shared" si="231"/>
        <v>102.15</v>
      </c>
      <c r="P1279">
        <f t="shared" si="232"/>
        <v>468.55759999999998</v>
      </c>
      <c r="Q1279" s="3">
        <f t="shared" si="233"/>
        <v>0.6732850448184311</v>
      </c>
      <c r="R1279" s="3">
        <f t="shared" si="234"/>
        <v>0.60675384227529605</v>
      </c>
      <c r="S1279" s="9">
        <f t="shared" si="235"/>
        <v>-6.6531202543135048E-2</v>
      </c>
      <c r="T1279">
        <f t="shared" si="236"/>
        <v>92</v>
      </c>
      <c r="U1279">
        <f t="shared" si="237"/>
        <v>95</v>
      </c>
      <c r="V1279" s="3">
        <f t="shared" si="238"/>
        <v>0.69907401211472564</v>
      </c>
      <c r="W1279" s="9">
        <f t="shared" si="239"/>
        <v>-0.69907401211472564</v>
      </c>
      <c r="AC1279"/>
    </row>
    <row r="1280" spans="1:29" x14ac:dyDescent="0.25">
      <c r="A1280" t="s">
        <v>422</v>
      </c>
      <c r="B1280">
        <v>8</v>
      </c>
      <c r="C1280" t="s">
        <v>906</v>
      </c>
      <c r="D1280" t="s">
        <v>477</v>
      </c>
      <c r="E1280">
        <v>3</v>
      </c>
      <c r="F1280">
        <v>9.18</v>
      </c>
      <c r="G1280">
        <v>37.088099999999997</v>
      </c>
      <c r="H1280" t="s">
        <v>477</v>
      </c>
      <c r="I1280" t="s">
        <v>477</v>
      </c>
      <c r="J1280" t="s">
        <v>20</v>
      </c>
      <c r="K1280">
        <f t="shared" si="228"/>
        <v>113.35000000000001</v>
      </c>
      <c r="L1280">
        <f t="shared" si="229"/>
        <v>416.81729999999993</v>
      </c>
      <c r="M1280" t="str">
        <f t="shared" si="230"/>
        <v>chad-8</v>
      </c>
      <c r="N1280" t="str">
        <f>INDEX(Scores!$A$2:$A$11,INDEX(Scores!$AA$2:$AA$131,MATCH(C1280,Scores!$AB$2:$AB$131,0)))</f>
        <v>chad</v>
      </c>
      <c r="O1280">
        <f t="shared" si="231"/>
        <v>94.88</v>
      </c>
      <c r="P1280">
        <f t="shared" si="232"/>
        <v>320.65749999999997</v>
      </c>
      <c r="Q1280" s="3">
        <f t="shared" si="233"/>
        <v>0.75178960468721057</v>
      </c>
      <c r="R1280" s="3">
        <f t="shared" si="234"/>
        <v>0.67881585337034267</v>
      </c>
      <c r="S1280" s="9">
        <f t="shared" si="235"/>
        <v>-7.2973751316867896E-2</v>
      </c>
      <c r="T1280">
        <f t="shared" si="236"/>
        <v>75</v>
      </c>
      <c r="U1280">
        <f t="shared" si="237"/>
        <v>78</v>
      </c>
      <c r="V1280" s="3">
        <f t="shared" si="238"/>
        <v>0.69922313957470428</v>
      </c>
      <c r="W1280" s="9">
        <f t="shared" si="239"/>
        <v>-0.69922313957470428</v>
      </c>
      <c r="AC1280"/>
    </row>
    <row r="1281" spans="1:29" x14ac:dyDescent="0.25">
      <c r="A1281" t="s">
        <v>104</v>
      </c>
      <c r="B1281">
        <v>7</v>
      </c>
      <c r="C1281" t="s">
        <v>977</v>
      </c>
      <c r="D1281" t="s">
        <v>472</v>
      </c>
      <c r="E1281">
        <v>4</v>
      </c>
      <c r="F1281">
        <v>11.3</v>
      </c>
      <c r="G1281">
        <v>36.360900000000001</v>
      </c>
      <c r="H1281" t="s">
        <v>87</v>
      </c>
      <c r="I1281" t="s">
        <v>87</v>
      </c>
      <c r="J1281" t="s">
        <v>44</v>
      </c>
      <c r="K1281">
        <f t="shared" si="228"/>
        <v>96.25</v>
      </c>
      <c r="L1281">
        <f t="shared" si="229"/>
        <v>294.3</v>
      </c>
      <c r="M1281" t="str">
        <f t="shared" si="230"/>
        <v>cory-7</v>
      </c>
      <c r="N1281" t="str">
        <f>INDEX(Scores!$A$2:$A$11,INDEX(Scores!$AA$2:$AA$131,MATCH(C1281,Scores!$AB$2:$AB$131,0)))</f>
        <v>cory</v>
      </c>
      <c r="O1281">
        <f t="shared" si="231"/>
        <v>86.09</v>
      </c>
      <c r="P1281">
        <f t="shared" si="232"/>
        <v>350.80079999999998</v>
      </c>
      <c r="Q1281" s="3">
        <f t="shared" si="233"/>
        <v>0.65542850055780277</v>
      </c>
      <c r="R1281" s="3">
        <f t="shared" si="234"/>
        <v>0.54614115776424921</v>
      </c>
      <c r="S1281" s="9">
        <f t="shared" si="235"/>
        <v>-0.10928734279355357</v>
      </c>
      <c r="T1281">
        <f t="shared" si="236"/>
        <v>81</v>
      </c>
      <c r="U1281">
        <f t="shared" si="237"/>
        <v>85</v>
      </c>
      <c r="V1281" s="3">
        <f t="shared" si="238"/>
        <v>0.70790120430923076</v>
      </c>
      <c r="W1281" s="9">
        <f t="shared" si="239"/>
        <v>-0.70790120430923076</v>
      </c>
      <c r="AC1281"/>
    </row>
    <row r="1282" spans="1:29" x14ac:dyDescent="0.25">
      <c r="A1282" t="s">
        <v>93</v>
      </c>
      <c r="B1282">
        <v>8</v>
      </c>
      <c r="C1282" t="s">
        <v>914</v>
      </c>
      <c r="D1282" t="s">
        <v>471</v>
      </c>
      <c r="E1282">
        <v>7</v>
      </c>
      <c r="F1282">
        <v>13</v>
      </c>
      <c r="G1282">
        <v>70.728099999999998</v>
      </c>
      <c r="H1282" t="s">
        <v>87</v>
      </c>
      <c r="I1282" t="s">
        <v>87</v>
      </c>
      <c r="J1282" t="s">
        <v>16</v>
      </c>
      <c r="K1282">
        <f t="shared" ref="K1282:K1301" si="240">SUMIF($C$2:$C$1301,$C1282,$F$2:$F$1301)</f>
        <v>106.3</v>
      </c>
      <c r="L1282">
        <f t="shared" ref="L1282:L1301" si="241">SUMIF($C$2:$C$1301,$C1282,$G$2:$G$1301)</f>
        <v>423.11159999999995</v>
      </c>
      <c r="M1282" t="str">
        <f t="shared" ref="M1282:M1301" si="242">N1282&amp;"-"&amp;B1282</f>
        <v>matty-8</v>
      </c>
      <c r="N1282" t="str">
        <f>INDEX(Scores!$A$2:$A$11,INDEX(Scores!$AA$2:$AA$131,MATCH(C1282,Scores!$AB$2:$AB$131,0)))</f>
        <v>matty</v>
      </c>
      <c r="O1282">
        <f t="shared" ref="O1282:O1301" si="243">SUMIF($C$2:$C$1301,$M1282,$F$2:$F$1301)</f>
        <v>88.500000000000014</v>
      </c>
      <c r="P1282">
        <f t="shared" ref="P1282:P1301" si="244">SUMIF($C$2:$C$1301,$M1282,$G$2:$G$1301)</f>
        <v>351.30459999999999</v>
      </c>
      <c r="Q1282" s="3">
        <f t="shared" ref="Q1282:Q1301" si="245">_xlfn.NORM.DIST(0,$O1282-$K1282,SQRT($L1282+$P1282),TRUE)</f>
        <v>0.7387953106518842</v>
      </c>
      <c r="R1282" s="3">
        <f t="shared" ref="R1282:R1301" si="246">_xlfn.NORM.DIST(0,$O1282-$K1282-($E1282-$F1282),SQRT($L1282+$P1282-$G1282),TRUE)</f>
        <v>0.67177789237371355</v>
      </c>
      <c r="S1282" s="9">
        <f t="shared" ref="S1282:S1301" si="247">R1282-Q1282</f>
        <v>-6.7017418278170648E-2</v>
      </c>
      <c r="T1282">
        <f t="shared" ref="T1282:T1301" si="248">SUMIF($C$2:$C$1301,$C1282,$E$2:$E$1301)</f>
        <v>106</v>
      </c>
      <c r="U1282">
        <f t="shared" ref="U1282:U1301" si="249">SUMIF($C$2:$C$1301,$M1282,$E$2:$E$1301)</f>
        <v>107</v>
      </c>
      <c r="V1282" s="3">
        <f t="shared" ref="V1282:V1301" si="250">_xlfn.NORM.DIST(0,U1282-T1282+E1282-F1282,SQRT(G1282),TRUE)</f>
        <v>0.72392126572578386</v>
      </c>
      <c r="W1282" s="9">
        <f t="shared" ref="W1282:W1301" si="251">IFERROR(IF(U1282&gt;T1282,0,1)-V1282,0)</f>
        <v>-0.72392126572578386</v>
      </c>
      <c r="AC1282"/>
    </row>
    <row r="1283" spans="1:29" x14ac:dyDescent="0.25">
      <c r="A1283" t="s">
        <v>185</v>
      </c>
      <c r="B1283">
        <v>7</v>
      </c>
      <c r="C1283" t="s">
        <v>937</v>
      </c>
      <c r="D1283" t="s">
        <v>473</v>
      </c>
      <c r="E1283">
        <v>0</v>
      </c>
      <c r="F1283">
        <v>5.77</v>
      </c>
      <c r="G1283">
        <v>33.4084</v>
      </c>
      <c r="H1283" t="s">
        <v>87</v>
      </c>
      <c r="I1283" t="s">
        <v>87</v>
      </c>
      <c r="J1283" t="s">
        <v>27</v>
      </c>
      <c r="K1283">
        <f t="shared" si="240"/>
        <v>94.610000000000014</v>
      </c>
      <c r="L1283">
        <f t="shared" si="241"/>
        <v>333.25760000000002</v>
      </c>
      <c r="M1283" t="str">
        <f t="shared" si="242"/>
        <v>lucas-7</v>
      </c>
      <c r="N1283" t="str">
        <f>INDEX(Scores!$A$2:$A$11,INDEX(Scores!$AA$2:$AA$131,MATCH(C1283,Scores!$AB$2:$AB$131,0)))</f>
        <v>lucas</v>
      </c>
      <c r="O1283">
        <f t="shared" si="243"/>
        <v>0</v>
      </c>
      <c r="P1283">
        <f t="shared" si="244"/>
        <v>0</v>
      </c>
      <c r="Q1283" s="3">
        <f t="shared" si="245"/>
        <v>0.99999989058825289</v>
      </c>
      <c r="R1283" s="3">
        <f t="shared" si="246"/>
        <v>0.99999985548973747</v>
      </c>
      <c r="S1283" s="9">
        <f t="shared" si="247"/>
        <v>-3.5098515427378629E-8</v>
      </c>
      <c r="T1283">
        <f t="shared" si="248"/>
        <v>73</v>
      </c>
      <c r="U1283">
        <f t="shared" si="249"/>
        <v>0</v>
      </c>
      <c r="V1283" s="3">
        <f t="shared" si="250"/>
        <v>1</v>
      </c>
      <c r="W1283" s="9">
        <f t="shared" si="251"/>
        <v>0</v>
      </c>
      <c r="AC1283"/>
    </row>
    <row r="1284" spans="1:29" x14ac:dyDescent="0.25">
      <c r="A1284" t="s">
        <v>21</v>
      </c>
      <c r="B1284">
        <v>12</v>
      </c>
      <c r="C1284" t="s">
        <v>950</v>
      </c>
      <c r="D1284" t="s">
        <v>467</v>
      </c>
      <c r="E1284">
        <v>13</v>
      </c>
      <c r="F1284">
        <v>20.2</v>
      </c>
      <c r="G1284">
        <v>38.192399999999999</v>
      </c>
      <c r="H1284" t="s">
        <v>15</v>
      </c>
      <c r="I1284" t="s">
        <v>15</v>
      </c>
      <c r="J1284" t="s">
        <v>62</v>
      </c>
      <c r="K1284">
        <f t="shared" si="240"/>
        <v>115.8</v>
      </c>
      <c r="L1284">
        <f t="shared" si="241"/>
        <v>455.64659999999998</v>
      </c>
      <c r="M1284" t="str">
        <f t="shared" si="242"/>
        <v>seth-12</v>
      </c>
      <c r="N1284" t="str">
        <f>INDEX(Scores!$A$2:$A$11,INDEX(Scores!$AA$2:$AA$131,MATCH(C1284,Scores!$AB$2:$AB$131,0)))</f>
        <v>seth</v>
      </c>
      <c r="O1284">
        <f t="shared" si="243"/>
        <v>102.15</v>
      </c>
      <c r="P1284">
        <f t="shared" si="244"/>
        <v>468.55759999999998</v>
      </c>
      <c r="Q1284" s="3">
        <f t="shared" si="245"/>
        <v>0.6732850448184311</v>
      </c>
      <c r="R1284" s="3">
        <f t="shared" si="246"/>
        <v>0.58577524148960491</v>
      </c>
      <c r="S1284" s="9">
        <f t="shared" si="247"/>
        <v>-8.7509803328826186E-2</v>
      </c>
      <c r="T1284">
        <f t="shared" si="248"/>
        <v>92</v>
      </c>
      <c r="U1284">
        <f t="shared" si="249"/>
        <v>95</v>
      </c>
      <c r="V1284" s="3">
        <f t="shared" si="250"/>
        <v>0.75162480461206438</v>
      </c>
      <c r="W1284" s="9">
        <f t="shared" si="251"/>
        <v>-0.75162480461206438</v>
      </c>
      <c r="AC1284"/>
    </row>
    <row r="1285" spans="1:29" x14ac:dyDescent="0.25">
      <c r="A1285" t="s">
        <v>139</v>
      </c>
      <c r="B1285">
        <v>10</v>
      </c>
      <c r="C1285" t="s">
        <v>980</v>
      </c>
      <c r="D1285" t="s">
        <v>469</v>
      </c>
      <c r="E1285">
        <v>1</v>
      </c>
      <c r="F1285">
        <v>10.89</v>
      </c>
      <c r="G1285">
        <v>71.910399999999996</v>
      </c>
      <c r="H1285" t="s">
        <v>47</v>
      </c>
      <c r="I1285" t="s">
        <v>47</v>
      </c>
      <c r="J1285" t="s">
        <v>44</v>
      </c>
      <c r="K1285">
        <f t="shared" si="240"/>
        <v>104.52999999999999</v>
      </c>
      <c r="L1285">
        <f t="shared" si="241"/>
        <v>446.11959999999999</v>
      </c>
      <c r="M1285" t="str">
        <f t="shared" si="242"/>
        <v>matty-10</v>
      </c>
      <c r="N1285" t="str">
        <f>INDEX(Scores!$A$2:$A$11,INDEX(Scores!$AA$2:$AA$131,MATCH(C1285,Scores!$AB$2:$AB$131,0)))</f>
        <v>matty</v>
      </c>
      <c r="O1285">
        <f t="shared" si="243"/>
        <v>80.72</v>
      </c>
      <c r="P1285">
        <f t="shared" si="244"/>
        <v>274.11410000000001</v>
      </c>
      <c r="Q1285" s="3">
        <f t="shared" si="245"/>
        <v>0.81251501229102341</v>
      </c>
      <c r="R1285" s="3">
        <f t="shared" si="246"/>
        <v>0.70770512780082095</v>
      </c>
      <c r="S1285" s="9">
        <f t="shared" si="247"/>
        <v>-0.10480988449020245</v>
      </c>
      <c r="T1285">
        <f t="shared" si="248"/>
        <v>80</v>
      </c>
      <c r="U1285">
        <f t="shared" si="249"/>
        <v>84</v>
      </c>
      <c r="V1285" s="3">
        <f t="shared" si="250"/>
        <v>0.75633930585370912</v>
      </c>
      <c r="W1285" s="9">
        <f t="shared" si="251"/>
        <v>-0.75633930585370912</v>
      </c>
      <c r="AC1285"/>
    </row>
    <row r="1286" spans="1:29" x14ac:dyDescent="0.25">
      <c r="A1286" t="s">
        <v>45</v>
      </c>
      <c r="B1286">
        <v>1</v>
      </c>
      <c r="C1286" t="s">
        <v>500</v>
      </c>
      <c r="D1286" t="s">
        <v>468</v>
      </c>
      <c r="E1286">
        <v>6</v>
      </c>
      <c r="F1286">
        <v>19.05</v>
      </c>
      <c r="G1286">
        <v>96.04</v>
      </c>
      <c r="H1286" t="s">
        <v>47</v>
      </c>
      <c r="I1286" t="s">
        <v>47</v>
      </c>
      <c r="J1286" t="s">
        <v>44</v>
      </c>
      <c r="K1286">
        <f t="shared" si="240"/>
        <v>111.07</v>
      </c>
      <c r="L1286">
        <f t="shared" si="241"/>
        <v>422.00569999999999</v>
      </c>
      <c r="M1286" t="str">
        <f t="shared" si="242"/>
        <v>comp-1</v>
      </c>
      <c r="N1286" t="str">
        <f>INDEX(Scores!$A$2:$A$11,INDEX(Scores!$AA$2:$AA$131,MATCH(C1286,Scores!$AB$2:$AB$131,0)))</f>
        <v>comp</v>
      </c>
      <c r="O1286">
        <f t="shared" si="243"/>
        <v>110.7</v>
      </c>
      <c r="P1286">
        <f t="shared" si="244"/>
        <v>433.44330000000002</v>
      </c>
      <c r="Q1286" s="3">
        <f t="shared" si="245"/>
        <v>0.50504664952103229</v>
      </c>
      <c r="R1286" s="3">
        <f t="shared" si="246"/>
        <v>0.32271113884105679</v>
      </c>
      <c r="S1286" s="9">
        <f t="shared" si="247"/>
        <v>-0.1823355106799755</v>
      </c>
      <c r="T1286">
        <f t="shared" si="248"/>
        <v>71</v>
      </c>
      <c r="U1286">
        <f t="shared" si="249"/>
        <v>77</v>
      </c>
      <c r="V1286" s="3">
        <f t="shared" si="250"/>
        <v>0.76404898032025925</v>
      </c>
      <c r="W1286" s="9">
        <f t="shared" si="251"/>
        <v>-0.76404898032025925</v>
      </c>
      <c r="AC1286"/>
    </row>
    <row r="1287" spans="1:29" x14ac:dyDescent="0.25">
      <c r="A1287" t="s">
        <v>115</v>
      </c>
      <c r="B1287">
        <v>8</v>
      </c>
      <c r="C1287" t="s">
        <v>906</v>
      </c>
      <c r="D1287" t="s">
        <v>469</v>
      </c>
      <c r="E1287">
        <v>6</v>
      </c>
      <c r="F1287">
        <v>15.54</v>
      </c>
      <c r="G1287">
        <v>78.145600000000002</v>
      </c>
      <c r="H1287" t="s">
        <v>47</v>
      </c>
      <c r="I1287" t="s">
        <v>47</v>
      </c>
      <c r="J1287" t="s">
        <v>20</v>
      </c>
      <c r="K1287">
        <f t="shared" si="240"/>
        <v>113.35000000000001</v>
      </c>
      <c r="L1287">
        <f t="shared" si="241"/>
        <v>416.81729999999993</v>
      </c>
      <c r="M1287" t="str">
        <f t="shared" si="242"/>
        <v>chad-8</v>
      </c>
      <c r="N1287" t="str">
        <f>INDEX(Scores!$A$2:$A$11,INDEX(Scores!$AA$2:$AA$131,MATCH(C1287,Scores!$AB$2:$AB$131,0)))</f>
        <v>chad</v>
      </c>
      <c r="O1287">
        <f t="shared" si="243"/>
        <v>94.88</v>
      </c>
      <c r="P1287">
        <f t="shared" si="244"/>
        <v>320.65749999999997</v>
      </c>
      <c r="Q1287" s="3">
        <f t="shared" si="245"/>
        <v>0.75178960468721057</v>
      </c>
      <c r="R1287" s="3">
        <f t="shared" si="246"/>
        <v>0.63599600170122295</v>
      </c>
      <c r="S1287" s="9">
        <f t="shared" si="247"/>
        <v>-0.11579360298598762</v>
      </c>
      <c r="T1287">
        <f t="shared" si="248"/>
        <v>75</v>
      </c>
      <c r="U1287">
        <f t="shared" si="249"/>
        <v>78</v>
      </c>
      <c r="V1287" s="3">
        <f t="shared" si="250"/>
        <v>0.77029508707041672</v>
      </c>
      <c r="W1287" s="9">
        <f t="shared" si="251"/>
        <v>-0.77029508707041672</v>
      </c>
      <c r="AC1287"/>
    </row>
    <row r="1288" spans="1:29" x14ac:dyDescent="0.25">
      <c r="A1288" t="s">
        <v>90</v>
      </c>
      <c r="B1288">
        <v>8</v>
      </c>
      <c r="C1288" t="s">
        <v>906</v>
      </c>
      <c r="D1288" t="s">
        <v>468</v>
      </c>
      <c r="E1288">
        <v>6</v>
      </c>
      <c r="F1288">
        <v>14.76</v>
      </c>
      <c r="G1288">
        <v>60.528399999999998</v>
      </c>
      <c r="H1288" t="s">
        <v>47</v>
      </c>
      <c r="I1288" t="s">
        <v>47</v>
      </c>
      <c r="J1288" t="s">
        <v>20</v>
      </c>
      <c r="K1288">
        <f t="shared" si="240"/>
        <v>113.35000000000001</v>
      </c>
      <c r="L1288">
        <f t="shared" si="241"/>
        <v>416.81729999999993</v>
      </c>
      <c r="M1288" t="str">
        <f t="shared" si="242"/>
        <v>chad-8</v>
      </c>
      <c r="N1288" t="str">
        <f>INDEX(Scores!$A$2:$A$11,INDEX(Scores!$AA$2:$AA$131,MATCH(C1288,Scores!$AB$2:$AB$131,0)))</f>
        <v>chad</v>
      </c>
      <c r="O1288">
        <f t="shared" si="243"/>
        <v>94.88</v>
      </c>
      <c r="P1288">
        <f t="shared" si="244"/>
        <v>320.65749999999997</v>
      </c>
      <c r="Q1288" s="3">
        <f t="shared" si="245"/>
        <v>0.75178960468721057</v>
      </c>
      <c r="R1288" s="3">
        <f t="shared" si="246"/>
        <v>0.64550034686964275</v>
      </c>
      <c r="S1288" s="9">
        <f t="shared" si="247"/>
        <v>-0.10628925781756782</v>
      </c>
      <c r="T1288">
        <f t="shared" si="248"/>
        <v>75</v>
      </c>
      <c r="U1288">
        <f t="shared" si="249"/>
        <v>78</v>
      </c>
      <c r="V1288" s="3">
        <f t="shared" si="250"/>
        <v>0.77045917723964086</v>
      </c>
      <c r="W1288" s="9">
        <f t="shared" si="251"/>
        <v>-0.77045917723964086</v>
      </c>
      <c r="AC1288"/>
    </row>
    <row r="1289" spans="1:29" x14ac:dyDescent="0.25">
      <c r="A1289" t="s">
        <v>48</v>
      </c>
      <c r="B1289">
        <v>5</v>
      </c>
      <c r="C1289" t="s">
        <v>891</v>
      </c>
      <c r="D1289" t="s">
        <v>468</v>
      </c>
      <c r="E1289">
        <v>8</v>
      </c>
      <c r="F1289">
        <v>18.05</v>
      </c>
      <c r="G1289">
        <v>65.934399999999997</v>
      </c>
      <c r="H1289" t="s">
        <v>47</v>
      </c>
      <c r="I1289" t="s">
        <v>47</v>
      </c>
      <c r="J1289" t="s">
        <v>49</v>
      </c>
      <c r="K1289">
        <f t="shared" si="240"/>
        <v>99.23</v>
      </c>
      <c r="L1289">
        <f t="shared" si="241"/>
        <v>364.64739999999995</v>
      </c>
      <c r="M1289" t="str">
        <f t="shared" si="242"/>
        <v>aj-5</v>
      </c>
      <c r="N1289" t="str">
        <f>INDEX(Scores!$A$2:$A$11,INDEX(Scores!$AA$2:$AA$131,MATCH(C1289,Scores!$AB$2:$AB$131,0)))</f>
        <v>aj</v>
      </c>
      <c r="O1289">
        <f t="shared" si="243"/>
        <v>117.25999999999999</v>
      </c>
      <c r="P1289">
        <f t="shared" si="244"/>
        <v>422.9941</v>
      </c>
      <c r="Q1289" s="3">
        <f t="shared" si="245"/>
        <v>0.26029431580256523</v>
      </c>
      <c r="R1289" s="3">
        <f t="shared" si="246"/>
        <v>0.14795570039674205</v>
      </c>
      <c r="S1289" s="9">
        <f t="shared" si="247"/>
        <v>-0.11233861540582318</v>
      </c>
      <c r="T1289">
        <f t="shared" si="248"/>
        <v>106</v>
      </c>
      <c r="U1289">
        <f t="shared" si="249"/>
        <v>110</v>
      </c>
      <c r="V1289" s="3">
        <f t="shared" si="250"/>
        <v>0.77188647429835677</v>
      </c>
      <c r="W1289" s="9">
        <f t="shared" si="251"/>
        <v>-0.77188647429835677</v>
      </c>
      <c r="AC1289"/>
    </row>
    <row r="1290" spans="1:29" x14ac:dyDescent="0.25">
      <c r="A1290" t="s">
        <v>105</v>
      </c>
      <c r="B1290">
        <v>12</v>
      </c>
      <c r="C1290" t="s">
        <v>950</v>
      </c>
      <c r="D1290" t="s">
        <v>466</v>
      </c>
      <c r="E1290">
        <v>2</v>
      </c>
      <c r="F1290">
        <v>11.78</v>
      </c>
      <c r="G1290">
        <v>73.273600000000002</v>
      </c>
      <c r="H1290" t="s">
        <v>466</v>
      </c>
      <c r="I1290" t="s">
        <v>87</v>
      </c>
      <c r="J1290" t="s">
        <v>62</v>
      </c>
      <c r="K1290">
        <f t="shared" si="240"/>
        <v>115.8</v>
      </c>
      <c r="L1290">
        <f t="shared" si="241"/>
        <v>455.64659999999998</v>
      </c>
      <c r="M1290" t="str">
        <f t="shared" si="242"/>
        <v>seth-12</v>
      </c>
      <c r="N1290" t="str">
        <f>INDEX(Scores!$A$2:$A$11,INDEX(Scores!$AA$2:$AA$131,MATCH(C1290,Scores!$AB$2:$AB$131,0)))</f>
        <v>seth</v>
      </c>
      <c r="O1290">
        <f t="shared" si="243"/>
        <v>102.15</v>
      </c>
      <c r="P1290">
        <f t="shared" si="244"/>
        <v>468.55759999999998</v>
      </c>
      <c r="Q1290" s="3">
        <f t="shared" si="245"/>
        <v>0.6732850448184311</v>
      </c>
      <c r="R1290" s="3">
        <f t="shared" si="246"/>
        <v>0.5527717479277412</v>
      </c>
      <c r="S1290" s="9">
        <f t="shared" si="247"/>
        <v>-0.1205132968906899</v>
      </c>
      <c r="T1290">
        <f t="shared" si="248"/>
        <v>92</v>
      </c>
      <c r="U1290">
        <f t="shared" si="249"/>
        <v>95</v>
      </c>
      <c r="V1290" s="3">
        <f t="shared" si="250"/>
        <v>0.78583600968089229</v>
      </c>
      <c r="W1290" s="9">
        <f t="shared" si="251"/>
        <v>-0.78583600968089229</v>
      </c>
      <c r="AC1290"/>
    </row>
    <row r="1291" spans="1:29" x14ac:dyDescent="0.25">
      <c r="A1291" t="s">
        <v>98</v>
      </c>
      <c r="B1291">
        <v>7</v>
      </c>
      <c r="C1291" t="s">
        <v>977</v>
      </c>
      <c r="D1291" t="s">
        <v>471</v>
      </c>
      <c r="E1291">
        <v>1</v>
      </c>
      <c r="F1291">
        <v>9.94</v>
      </c>
      <c r="G1291">
        <v>31.584399999999999</v>
      </c>
      <c r="H1291" t="s">
        <v>87</v>
      </c>
      <c r="I1291" t="s">
        <v>87</v>
      </c>
      <c r="J1291" t="s">
        <v>44</v>
      </c>
      <c r="K1291">
        <f t="shared" si="240"/>
        <v>96.25</v>
      </c>
      <c r="L1291">
        <f t="shared" si="241"/>
        <v>294.3</v>
      </c>
      <c r="M1291" t="str">
        <f t="shared" si="242"/>
        <v>cory-7</v>
      </c>
      <c r="N1291" t="str">
        <f>INDEX(Scores!$A$2:$A$11,INDEX(Scores!$AA$2:$AA$131,MATCH(C1291,Scores!$AB$2:$AB$131,0)))</f>
        <v>cory</v>
      </c>
      <c r="O1291">
        <f t="shared" si="243"/>
        <v>86.09</v>
      </c>
      <c r="P1291">
        <f t="shared" si="244"/>
        <v>350.80079999999998</v>
      </c>
      <c r="Q1291" s="3">
        <f t="shared" si="245"/>
        <v>0.65542850055780277</v>
      </c>
      <c r="R1291" s="3">
        <f t="shared" si="246"/>
        <v>0.51964179779668207</v>
      </c>
      <c r="S1291" s="9">
        <f t="shared" si="247"/>
        <v>-0.1357867027611207</v>
      </c>
      <c r="T1291">
        <f t="shared" si="248"/>
        <v>81</v>
      </c>
      <c r="U1291">
        <f t="shared" si="249"/>
        <v>85</v>
      </c>
      <c r="V1291" s="3">
        <f t="shared" si="250"/>
        <v>0.81030032685691311</v>
      </c>
      <c r="W1291" s="9">
        <f t="shared" si="251"/>
        <v>-0.81030032685691311</v>
      </c>
      <c r="AC1291"/>
    </row>
    <row r="1292" spans="1:29" x14ac:dyDescent="0.25">
      <c r="A1292" t="s">
        <v>219</v>
      </c>
      <c r="B1292">
        <v>8</v>
      </c>
      <c r="C1292" t="s">
        <v>914</v>
      </c>
      <c r="D1292" t="s">
        <v>473</v>
      </c>
      <c r="E1292">
        <v>1</v>
      </c>
      <c r="F1292">
        <v>6.94</v>
      </c>
      <c r="G1292">
        <v>28.515599999999999</v>
      </c>
      <c r="H1292" t="s">
        <v>87</v>
      </c>
      <c r="I1292" t="s">
        <v>87</v>
      </c>
      <c r="J1292" t="s">
        <v>16</v>
      </c>
      <c r="K1292">
        <f t="shared" si="240"/>
        <v>106.3</v>
      </c>
      <c r="L1292">
        <f t="shared" si="241"/>
        <v>423.11159999999995</v>
      </c>
      <c r="M1292" t="str">
        <f t="shared" si="242"/>
        <v>matty-8</v>
      </c>
      <c r="N1292" t="str">
        <f>INDEX(Scores!$A$2:$A$11,INDEX(Scores!$AA$2:$AA$131,MATCH(C1292,Scores!$AB$2:$AB$131,0)))</f>
        <v>matty</v>
      </c>
      <c r="O1292">
        <f t="shared" si="243"/>
        <v>88.500000000000014</v>
      </c>
      <c r="P1292">
        <f t="shared" si="244"/>
        <v>351.30459999999999</v>
      </c>
      <c r="Q1292" s="3">
        <f t="shared" si="245"/>
        <v>0.7387953106518842</v>
      </c>
      <c r="R1292" s="3">
        <f t="shared" si="246"/>
        <v>0.66794813727506019</v>
      </c>
      <c r="S1292" s="9">
        <f t="shared" si="247"/>
        <v>-7.0847173376824002E-2</v>
      </c>
      <c r="T1292">
        <f t="shared" si="248"/>
        <v>106</v>
      </c>
      <c r="U1292">
        <f t="shared" si="249"/>
        <v>107</v>
      </c>
      <c r="V1292" s="3">
        <f t="shared" si="250"/>
        <v>0.8225413976466478</v>
      </c>
      <c r="W1292" s="9">
        <f t="shared" si="251"/>
        <v>-0.8225413976466478</v>
      </c>
      <c r="AC1292"/>
    </row>
    <row r="1293" spans="1:29" x14ac:dyDescent="0.25">
      <c r="A1293" t="s">
        <v>133</v>
      </c>
      <c r="B1293">
        <v>5</v>
      </c>
      <c r="C1293" t="s">
        <v>883</v>
      </c>
      <c r="D1293" t="s">
        <v>466</v>
      </c>
      <c r="E1293">
        <v>0</v>
      </c>
      <c r="F1293">
        <v>11.97</v>
      </c>
      <c r="G1293">
        <v>55.3536</v>
      </c>
      <c r="H1293" t="s">
        <v>466</v>
      </c>
      <c r="I1293" t="s">
        <v>87</v>
      </c>
      <c r="J1293" t="s">
        <v>16</v>
      </c>
      <c r="K1293">
        <f t="shared" si="240"/>
        <v>109.91</v>
      </c>
      <c r="L1293">
        <f t="shared" si="241"/>
        <v>349.51409999999998</v>
      </c>
      <c r="M1293" t="str">
        <f t="shared" si="242"/>
        <v>devon-5</v>
      </c>
      <c r="N1293" t="str">
        <f>INDEX(Scores!$A$2:$A$11,INDEX(Scores!$AA$2:$AA$131,MATCH(C1293,Scores!$AB$2:$AB$131,0)))</f>
        <v>devon</v>
      </c>
      <c r="O1293">
        <f t="shared" si="243"/>
        <v>93.5</v>
      </c>
      <c r="P1293">
        <f t="shared" si="244"/>
        <v>346.9006</v>
      </c>
      <c r="Q1293" s="3">
        <f t="shared" si="245"/>
        <v>0.73297455800387123</v>
      </c>
      <c r="R1293" s="3">
        <f t="shared" si="246"/>
        <v>0.56960204719621821</v>
      </c>
      <c r="S1293" s="9">
        <f t="shared" si="247"/>
        <v>-0.16337251080765303</v>
      </c>
      <c r="T1293">
        <f t="shared" si="248"/>
        <v>100</v>
      </c>
      <c r="U1293">
        <f t="shared" si="249"/>
        <v>105</v>
      </c>
      <c r="V1293" s="3">
        <f t="shared" si="250"/>
        <v>0.82557646897398673</v>
      </c>
      <c r="W1293" s="9">
        <f t="shared" si="251"/>
        <v>-0.82557646897398673</v>
      </c>
      <c r="AC1293"/>
    </row>
    <row r="1294" spans="1:29" x14ac:dyDescent="0.25">
      <c r="A1294" t="s">
        <v>132</v>
      </c>
      <c r="B1294">
        <v>7</v>
      </c>
      <c r="C1294" t="s">
        <v>977</v>
      </c>
      <c r="D1294" t="s">
        <v>469</v>
      </c>
      <c r="E1294">
        <v>0</v>
      </c>
      <c r="F1294">
        <v>9.6999999999999993</v>
      </c>
      <c r="G1294">
        <v>30.5809</v>
      </c>
      <c r="H1294" t="s">
        <v>47</v>
      </c>
      <c r="I1294" t="s">
        <v>47</v>
      </c>
      <c r="J1294" t="s">
        <v>44</v>
      </c>
      <c r="K1294">
        <f t="shared" si="240"/>
        <v>96.25</v>
      </c>
      <c r="L1294">
        <f t="shared" si="241"/>
        <v>294.3</v>
      </c>
      <c r="M1294" t="str">
        <f t="shared" si="242"/>
        <v>cory-7</v>
      </c>
      <c r="N1294" t="str">
        <f>INDEX(Scores!$A$2:$A$11,INDEX(Scores!$AA$2:$AA$131,MATCH(C1294,Scores!$AB$2:$AB$131,0)))</f>
        <v>cory</v>
      </c>
      <c r="O1294">
        <f t="shared" si="243"/>
        <v>86.09</v>
      </c>
      <c r="P1294">
        <f t="shared" si="244"/>
        <v>350.80079999999998</v>
      </c>
      <c r="Q1294" s="3">
        <f t="shared" si="245"/>
        <v>0.65542850055780277</v>
      </c>
      <c r="R1294" s="3">
        <f t="shared" si="246"/>
        <v>0.50740244175263016</v>
      </c>
      <c r="S1294" s="9">
        <f t="shared" si="247"/>
        <v>-0.14802605880517261</v>
      </c>
      <c r="T1294">
        <f t="shared" si="248"/>
        <v>81</v>
      </c>
      <c r="U1294">
        <f t="shared" si="249"/>
        <v>85</v>
      </c>
      <c r="V1294" s="3">
        <f t="shared" si="250"/>
        <v>0.8486689500137794</v>
      </c>
      <c r="W1294" s="9">
        <f t="shared" si="251"/>
        <v>-0.8486689500137794</v>
      </c>
      <c r="AC1294"/>
    </row>
    <row r="1295" spans="1:29" x14ac:dyDescent="0.25">
      <c r="A1295" t="s">
        <v>68</v>
      </c>
      <c r="B1295">
        <v>10</v>
      </c>
      <c r="C1295" t="s">
        <v>980</v>
      </c>
      <c r="D1295" t="s">
        <v>467</v>
      </c>
      <c r="E1295">
        <v>2</v>
      </c>
      <c r="F1295">
        <v>16.489999999999998</v>
      </c>
      <c r="G1295">
        <v>95.4529</v>
      </c>
      <c r="H1295" t="s">
        <v>15</v>
      </c>
      <c r="I1295" t="s">
        <v>15</v>
      </c>
      <c r="J1295" t="s">
        <v>44</v>
      </c>
      <c r="K1295">
        <f t="shared" si="240"/>
        <v>104.52999999999999</v>
      </c>
      <c r="L1295">
        <f t="shared" si="241"/>
        <v>446.11959999999999</v>
      </c>
      <c r="M1295" t="str">
        <f t="shared" si="242"/>
        <v>matty-10</v>
      </c>
      <c r="N1295" t="str">
        <f>INDEX(Scores!$A$2:$A$11,INDEX(Scores!$AA$2:$AA$131,MATCH(C1295,Scores!$AB$2:$AB$131,0)))</f>
        <v>matty</v>
      </c>
      <c r="O1295">
        <f t="shared" si="243"/>
        <v>80.72</v>
      </c>
      <c r="P1295">
        <f t="shared" si="244"/>
        <v>274.11410000000001</v>
      </c>
      <c r="Q1295" s="3">
        <f t="shared" si="245"/>
        <v>0.81251501229102341</v>
      </c>
      <c r="R1295" s="3">
        <f t="shared" si="246"/>
        <v>0.64537568441731574</v>
      </c>
      <c r="S1295" s="9">
        <f t="shared" si="247"/>
        <v>-0.16713932787370767</v>
      </c>
      <c r="T1295">
        <f t="shared" si="248"/>
        <v>80</v>
      </c>
      <c r="U1295">
        <f t="shared" si="249"/>
        <v>84</v>
      </c>
      <c r="V1295" s="3">
        <f t="shared" si="250"/>
        <v>0.85852029502021221</v>
      </c>
      <c r="W1295" s="9">
        <f t="shared" si="251"/>
        <v>-0.85852029502021221</v>
      </c>
      <c r="AC1295"/>
    </row>
    <row r="1296" spans="1:29" x14ac:dyDescent="0.25">
      <c r="A1296" t="s">
        <v>134</v>
      </c>
      <c r="B1296">
        <v>8</v>
      </c>
      <c r="C1296" t="s">
        <v>914</v>
      </c>
      <c r="D1296" t="s">
        <v>472</v>
      </c>
      <c r="E1296">
        <v>3</v>
      </c>
      <c r="F1296">
        <v>9.49</v>
      </c>
      <c r="G1296">
        <v>25.8064</v>
      </c>
      <c r="H1296" t="s">
        <v>87</v>
      </c>
      <c r="I1296" t="s">
        <v>87</v>
      </c>
      <c r="J1296" t="s">
        <v>16</v>
      </c>
      <c r="K1296">
        <f t="shared" si="240"/>
        <v>106.3</v>
      </c>
      <c r="L1296">
        <f t="shared" si="241"/>
        <v>423.11159999999995</v>
      </c>
      <c r="M1296" t="str">
        <f t="shared" si="242"/>
        <v>matty-8</v>
      </c>
      <c r="N1296" t="str">
        <f>INDEX(Scores!$A$2:$A$11,INDEX(Scores!$AA$2:$AA$131,MATCH(C1296,Scores!$AB$2:$AB$131,0)))</f>
        <v>matty</v>
      </c>
      <c r="O1296">
        <f t="shared" si="243"/>
        <v>88.500000000000014</v>
      </c>
      <c r="P1296">
        <f t="shared" si="244"/>
        <v>351.30459999999999</v>
      </c>
      <c r="Q1296" s="3">
        <f t="shared" si="245"/>
        <v>0.7387953106518842</v>
      </c>
      <c r="R1296" s="3">
        <f t="shared" si="246"/>
        <v>0.66033079380287429</v>
      </c>
      <c r="S1296" s="9">
        <f t="shared" si="247"/>
        <v>-7.8464516849009902E-2</v>
      </c>
      <c r="T1296">
        <f t="shared" si="248"/>
        <v>106</v>
      </c>
      <c r="U1296">
        <f t="shared" si="249"/>
        <v>107</v>
      </c>
      <c r="V1296" s="3">
        <f t="shared" si="250"/>
        <v>0.86008663547635278</v>
      </c>
      <c r="W1296" s="9">
        <f t="shared" si="251"/>
        <v>-0.86008663547635278</v>
      </c>
      <c r="AC1296"/>
    </row>
    <row r="1297" spans="1:29" x14ac:dyDescent="0.25">
      <c r="A1297" t="s">
        <v>175</v>
      </c>
      <c r="B1297">
        <v>12</v>
      </c>
      <c r="C1297" t="s">
        <v>950</v>
      </c>
      <c r="D1297" t="s">
        <v>471</v>
      </c>
      <c r="E1297">
        <v>0</v>
      </c>
      <c r="F1297">
        <v>7.12</v>
      </c>
      <c r="G1297">
        <v>13.8384</v>
      </c>
      <c r="H1297" t="s">
        <v>87</v>
      </c>
      <c r="I1297" t="s">
        <v>87</v>
      </c>
      <c r="J1297" t="s">
        <v>62</v>
      </c>
      <c r="K1297">
        <f t="shared" si="240"/>
        <v>115.8</v>
      </c>
      <c r="L1297">
        <f t="shared" si="241"/>
        <v>455.64659999999998</v>
      </c>
      <c r="M1297" t="str">
        <f t="shared" si="242"/>
        <v>seth-12</v>
      </c>
      <c r="N1297" t="str">
        <f>INDEX(Scores!$A$2:$A$11,INDEX(Scores!$AA$2:$AA$131,MATCH(C1297,Scores!$AB$2:$AB$131,0)))</f>
        <v>seth</v>
      </c>
      <c r="O1297">
        <f t="shared" si="243"/>
        <v>102.15</v>
      </c>
      <c r="P1297">
        <f t="shared" si="244"/>
        <v>468.55759999999998</v>
      </c>
      <c r="Q1297" s="3">
        <f t="shared" si="245"/>
        <v>0.6732850448184311</v>
      </c>
      <c r="R1297" s="3">
        <f t="shared" si="246"/>
        <v>0.58567133001027005</v>
      </c>
      <c r="S1297" s="9">
        <f t="shared" si="247"/>
        <v>-8.7613714808161047E-2</v>
      </c>
      <c r="T1297">
        <f t="shared" si="248"/>
        <v>92</v>
      </c>
      <c r="U1297">
        <f t="shared" si="249"/>
        <v>95</v>
      </c>
      <c r="V1297" s="3">
        <f t="shared" si="250"/>
        <v>0.86596690172905699</v>
      </c>
      <c r="W1297" s="9">
        <f t="shared" si="251"/>
        <v>-0.86596690172905699</v>
      </c>
      <c r="AC1297"/>
    </row>
    <row r="1298" spans="1:29" x14ac:dyDescent="0.25">
      <c r="A1298" t="s">
        <v>415</v>
      </c>
      <c r="B1298">
        <v>1</v>
      </c>
      <c r="C1298" t="s">
        <v>499</v>
      </c>
      <c r="D1298" t="s">
        <v>477</v>
      </c>
      <c r="E1298">
        <v>-4</v>
      </c>
      <c r="F1298">
        <v>8.27</v>
      </c>
      <c r="G1298">
        <v>31.922499999999999</v>
      </c>
      <c r="H1298" t="s">
        <v>477</v>
      </c>
      <c r="I1298" t="s">
        <v>477</v>
      </c>
      <c r="J1298" t="s">
        <v>40</v>
      </c>
      <c r="K1298">
        <f t="shared" si="240"/>
        <v>101.15</v>
      </c>
      <c r="L1298">
        <f t="shared" si="241"/>
        <v>350.32479999999998</v>
      </c>
      <c r="M1298" t="e">
        <f t="shared" si="242"/>
        <v>#N/A</v>
      </c>
      <c r="N1298" t="e">
        <f>INDEX(Scores!$A$2:$A$11,INDEX(Scores!$AA$2:$AA$131,MATCH(C1298,Scores!$AB$2:$AB$131,0)))</f>
        <v>#N/A</v>
      </c>
      <c r="O1298">
        <f t="shared" si="243"/>
        <v>0</v>
      </c>
      <c r="P1298">
        <f t="shared" si="244"/>
        <v>0</v>
      </c>
      <c r="Q1298" s="3">
        <f t="shared" si="245"/>
        <v>0.9999999674486757</v>
      </c>
      <c r="R1298" s="3">
        <f t="shared" si="246"/>
        <v>0.99999968370616588</v>
      </c>
      <c r="S1298" s="9">
        <f t="shared" si="247"/>
        <v>-2.8374250982121652E-7</v>
      </c>
      <c r="T1298">
        <f t="shared" si="248"/>
        <v>71</v>
      </c>
      <c r="U1298">
        <f t="shared" si="249"/>
        <v>0</v>
      </c>
      <c r="V1298" s="3">
        <f t="shared" si="250"/>
        <v>1</v>
      </c>
      <c r="W1298" s="9">
        <f t="shared" si="251"/>
        <v>0</v>
      </c>
      <c r="AC1298"/>
    </row>
    <row r="1299" spans="1:29" x14ac:dyDescent="0.25">
      <c r="A1299" t="s">
        <v>413</v>
      </c>
      <c r="B1299">
        <v>10</v>
      </c>
      <c r="C1299" t="s">
        <v>980</v>
      </c>
      <c r="D1299" t="s">
        <v>477</v>
      </c>
      <c r="E1299">
        <v>2</v>
      </c>
      <c r="F1299">
        <v>15.03</v>
      </c>
      <c r="G1299">
        <v>37.699599999999997</v>
      </c>
      <c r="H1299" t="s">
        <v>477</v>
      </c>
      <c r="I1299" t="s">
        <v>477</v>
      </c>
      <c r="J1299" t="s">
        <v>44</v>
      </c>
      <c r="K1299">
        <f t="shared" si="240"/>
        <v>104.52999999999999</v>
      </c>
      <c r="L1299">
        <f t="shared" si="241"/>
        <v>446.11959999999999</v>
      </c>
      <c r="M1299" t="str">
        <f t="shared" si="242"/>
        <v>matty-10</v>
      </c>
      <c r="N1299" t="str">
        <f>INDEX(Scores!$A$2:$A$11,INDEX(Scores!$AA$2:$AA$131,MATCH(C1299,Scores!$AB$2:$AB$131,0)))</f>
        <v>matty</v>
      </c>
      <c r="O1299">
        <f t="shared" si="243"/>
        <v>80.72</v>
      </c>
      <c r="P1299">
        <f t="shared" si="244"/>
        <v>274.11410000000001</v>
      </c>
      <c r="Q1299" s="3">
        <f t="shared" si="245"/>
        <v>0.81251501229102341</v>
      </c>
      <c r="R1299" s="3">
        <f t="shared" si="246"/>
        <v>0.66005967336342208</v>
      </c>
      <c r="S1299" s="9">
        <f t="shared" si="247"/>
        <v>-0.15245533892760132</v>
      </c>
      <c r="T1299">
        <f t="shared" si="248"/>
        <v>80</v>
      </c>
      <c r="U1299">
        <f t="shared" si="249"/>
        <v>84</v>
      </c>
      <c r="V1299" s="3">
        <f t="shared" si="250"/>
        <v>0.92931170769193838</v>
      </c>
      <c r="W1299" s="9">
        <f t="shared" si="251"/>
        <v>-0.92931170769193838</v>
      </c>
      <c r="AC1299"/>
    </row>
    <row r="1300" spans="1:29" x14ac:dyDescent="0.25">
      <c r="A1300" t="s">
        <v>428</v>
      </c>
      <c r="B1300">
        <v>3</v>
      </c>
      <c r="C1300" t="s">
        <v>812</v>
      </c>
      <c r="D1300" t="s">
        <v>477</v>
      </c>
      <c r="E1300">
        <v>-6</v>
      </c>
      <c r="F1300">
        <v>9</v>
      </c>
      <c r="G1300">
        <v>36.240400000000001</v>
      </c>
      <c r="H1300" t="s">
        <v>477</v>
      </c>
      <c r="I1300" t="s">
        <v>477</v>
      </c>
      <c r="J1300" t="s">
        <v>49</v>
      </c>
      <c r="K1300">
        <f t="shared" si="240"/>
        <v>116.17999999999999</v>
      </c>
      <c r="L1300">
        <f t="shared" si="241"/>
        <v>478.31470000000002</v>
      </c>
      <c r="M1300" t="str">
        <f t="shared" si="242"/>
        <v>comp-3</v>
      </c>
      <c r="N1300" t="str">
        <f>INDEX(Scores!$A$2:$A$11,INDEX(Scores!$AA$2:$AA$131,MATCH(C1300,Scores!$AB$2:$AB$131,0)))</f>
        <v>comp</v>
      </c>
      <c r="O1300">
        <f t="shared" si="243"/>
        <v>105.02</v>
      </c>
      <c r="P1300">
        <f t="shared" si="244"/>
        <v>401.60159999999996</v>
      </c>
      <c r="Q1300" s="3">
        <f t="shared" si="245"/>
        <v>0.64662385216199125</v>
      </c>
      <c r="R1300" s="3">
        <f t="shared" si="246"/>
        <v>0.44741161227670745</v>
      </c>
      <c r="S1300" s="9">
        <f t="shared" si="247"/>
        <v>-0.1992122398852838</v>
      </c>
      <c r="T1300">
        <f t="shared" si="248"/>
        <v>81</v>
      </c>
      <c r="U1300">
        <f t="shared" si="249"/>
        <v>85</v>
      </c>
      <c r="V1300" s="3">
        <f t="shared" si="250"/>
        <v>0.96616834368536608</v>
      </c>
      <c r="W1300" s="9">
        <f t="shared" si="251"/>
        <v>-0.96616834368536608</v>
      </c>
      <c r="AC1300"/>
    </row>
    <row r="1301" spans="1:29" x14ac:dyDescent="0.25">
      <c r="A1301" t="s">
        <v>61</v>
      </c>
      <c r="B1301">
        <v>8</v>
      </c>
      <c r="C1301" t="s">
        <v>914</v>
      </c>
      <c r="D1301" t="s">
        <v>467</v>
      </c>
      <c r="E1301">
        <v>3</v>
      </c>
      <c r="F1301">
        <v>18.34</v>
      </c>
      <c r="G1301">
        <v>51.552399999999999</v>
      </c>
      <c r="H1301" t="s">
        <v>15</v>
      </c>
      <c r="I1301" t="s">
        <v>15</v>
      </c>
      <c r="J1301" t="s">
        <v>16</v>
      </c>
      <c r="K1301">
        <f t="shared" si="240"/>
        <v>106.3</v>
      </c>
      <c r="L1301">
        <f t="shared" si="241"/>
        <v>423.11159999999995</v>
      </c>
      <c r="M1301" t="str">
        <f t="shared" si="242"/>
        <v>matty-8</v>
      </c>
      <c r="N1301" t="str">
        <f>INDEX(Scores!$A$2:$A$11,INDEX(Scores!$AA$2:$AA$131,MATCH(C1301,Scores!$AB$2:$AB$131,0)))</f>
        <v>matty</v>
      </c>
      <c r="O1301">
        <f t="shared" si="243"/>
        <v>88.500000000000014</v>
      </c>
      <c r="P1301">
        <f t="shared" si="244"/>
        <v>351.30459999999999</v>
      </c>
      <c r="Q1301" s="3">
        <f t="shared" si="245"/>
        <v>0.7387953106518842</v>
      </c>
      <c r="R1301" s="3">
        <f t="shared" si="246"/>
        <v>0.53645115624363859</v>
      </c>
      <c r="S1301" s="9">
        <f t="shared" si="247"/>
        <v>-0.2023441544082456</v>
      </c>
      <c r="T1301">
        <f t="shared" si="248"/>
        <v>106</v>
      </c>
      <c r="U1301">
        <f t="shared" si="249"/>
        <v>107</v>
      </c>
      <c r="V1301" s="3">
        <f t="shared" si="250"/>
        <v>0.9770990558826419</v>
      </c>
      <c r="W1301" s="9">
        <f t="shared" si="251"/>
        <v>-0.9770990558826419</v>
      </c>
      <c r="AC1301"/>
    </row>
    <row r="1302" spans="1:29" x14ac:dyDescent="0.25">
      <c r="AC1302"/>
    </row>
    <row r="1303" spans="1:29" x14ac:dyDescent="0.25">
      <c r="AC1303"/>
    </row>
    <row r="1304" spans="1:29" x14ac:dyDescent="0.25">
      <c r="AC1304"/>
    </row>
    <row r="1305" spans="1:29" x14ac:dyDescent="0.25">
      <c r="AC1305"/>
    </row>
    <row r="1306" spans="1:29" x14ac:dyDescent="0.25">
      <c r="AC1306"/>
    </row>
    <row r="1307" spans="1:29" x14ac:dyDescent="0.25">
      <c r="AC1307"/>
    </row>
    <row r="1308" spans="1:29" x14ac:dyDescent="0.25">
      <c r="AC1308"/>
    </row>
    <row r="1309" spans="1:29" x14ac:dyDescent="0.25">
      <c r="AC1309"/>
    </row>
    <row r="1310" spans="1:29" x14ac:dyDescent="0.25">
      <c r="AC1310"/>
    </row>
    <row r="1311" spans="1:29" x14ac:dyDescent="0.25">
      <c r="AC1311"/>
    </row>
    <row r="1312" spans="1:29" x14ac:dyDescent="0.25">
      <c r="AC1312"/>
    </row>
    <row r="1313" spans="29:29" x14ac:dyDescent="0.25">
      <c r="AC1313"/>
    </row>
    <row r="1314" spans="29:29" x14ac:dyDescent="0.25">
      <c r="AC1314"/>
    </row>
    <row r="1315" spans="29:29" x14ac:dyDescent="0.25">
      <c r="AC1315"/>
    </row>
    <row r="1316" spans="29:29" x14ac:dyDescent="0.25">
      <c r="AC1316"/>
    </row>
    <row r="1317" spans="29:29" x14ac:dyDescent="0.25">
      <c r="AC1317"/>
    </row>
    <row r="1318" spans="29:29" x14ac:dyDescent="0.25">
      <c r="AC1318"/>
    </row>
    <row r="1319" spans="29:29" x14ac:dyDescent="0.25">
      <c r="AC1319"/>
    </row>
    <row r="1320" spans="29:29" x14ac:dyDescent="0.25">
      <c r="AC1320"/>
    </row>
    <row r="1321" spans="29:29" x14ac:dyDescent="0.25">
      <c r="AC1321"/>
    </row>
    <row r="1322" spans="29:29" x14ac:dyDescent="0.25">
      <c r="AC1322"/>
    </row>
    <row r="1323" spans="29:29" x14ac:dyDescent="0.25">
      <c r="AC1323"/>
    </row>
    <row r="1324" spans="29:29" x14ac:dyDescent="0.25">
      <c r="AC1324"/>
    </row>
    <row r="1325" spans="29:29" x14ac:dyDescent="0.25">
      <c r="AC1325"/>
    </row>
    <row r="1326" spans="29:29" x14ac:dyDescent="0.25">
      <c r="AC1326"/>
    </row>
    <row r="1327" spans="29:29" x14ac:dyDescent="0.25">
      <c r="AC1327"/>
    </row>
    <row r="1328" spans="29:29" x14ac:dyDescent="0.25">
      <c r="AC1328"/>
    </row>
    <row r="1329" spans="29:29" x14ac:dyDescent="0.25">
      <c r="AC1329"/>
    </row>
    <row r="1330" spans="29:29" x14ac:dyDescent="0.25">
      <c r="AC1330"/>
    </row>
    <row r="1331" spans="29:29" x14ac:dyDescent="0.25">
      <c r="AC1331"/>
    </row>
    <row r="1332" spans="29:29" x14ac:dyDescent="0.25">
      <c r="AC1332"/>
    </row>
    <row r="1333" spans="29:29" x14ac:dyDescent="0.25">
      <c r="AC1333"/>
    </row>
    <row r="1334" spans="29:29" x14ac:dyDescent="0.25">
      <c r="AC1334"/>
    </row>
    <row r="1335" spans="29:29" x14ac:dyDescent="0.25">
      <c r="AC1335"/>
    </row>
    <row r="1336" spans="29:29" x14ac:dyDescent="0.25">
      <c r="AC1336"/>
    </row>
    <row r="1337" spans="29:29" x14ac:dyDescent="0.25">
      <c r="AC1337"/>
    </row>
    <row r="1338" spans="29:29" x14ac:dyDescent="0.25">
      <c r="AC1338"/>
    </row>
    <row r="1339" spans="29:29" x14ac:dyDescent="0.25">
      <c r="AC1339"/>
    </row>
    <row r="1340" spans="29:29" x14ac:dyDescent="0.25">
      <c r="AC1340"/>
    </row>
    <row r="1341" spans="29:29" x14ac:dyDescent="0.25">
      <c r="AC1341"/>
    </row>
    <row r="1342" spans="29:29" x14ac:dyDescent="0.25">
      <c r="AC1342"/>
    </row>
    <row r="1343" spans="29:29" x14ac:dyDescent="0.25">
      <c r="AC1343"/>
    </row>
    <row r="1344" spans="29:29" x14ac:dyDescent="0.25">
      <c r="AC1344"/>
    </row>
    <row r="1345" spans="29:29" x14ac:dyDescent="0.25">
      <c r="AC1345"/>
    </row>
    <row r="1346" spans="29:29" x14ac:dyDescent="0.25">
      <c r="AC1346"/>
    </row>
    <row r="1347" spans="29:29" x14ac:dyDescent="0.25">
      <c r="AC1347"/>
    </row>
    <row r="1348" spans="29:29" x14ac:dyDescent="0.25">
      <c r="AC1348"/>
    </row>
    <row r="1349" spans="29:29" x14ac:dyDescent="0.25">
      <c r="AC1349"/>
    </row>
    <row r="1350" spans="29:29" x14ac:dyDescent="0.25">
      <c r="AC1350"/>
    </row>
    <row r="1351" spans="29:29" x14ac:dyDescent="0.25">
      <c r="AC1351"/>
    </row>
    <row r="1352" spans="29:29" x14ac:dyDescent="0.25">
      <c r="AC1352"/>
    </row>
    <row r="1353" spans="29:29" x14ac:dyDescent="0.25">
      <c r="AC1353"/>
    </row>
    <row r="1354" spans="29:29" x14ac:dyDescent="0.25">
      <c r="AC1354"/>
    </row>
    <row r="1355" spans="29:29" x14ac:dyDescent="0.25">
      <c r="AC1355"/>
    </row>
    <row r="1356" spans="29:29" x14ac:dyDescent="0.25">
      <c r="AC1356"/>
    </row>
    <row r="1357" spans="29:29" x14ac:dyDescent="0.25">
      <c r="AC1357"/>
    </row>
    <row r="1358" spans="29:29" x14ac:dyDescent="0.25">
      <c r="AC1358"/>
    </row>
    <row r="1359" spans="29:29" x14ac:dyDescent="0.25">
      <c r="AC1359"/>
    </row>
    <row r="1360" spans="29:29" x14ac:dyDescent="0.25">
      <c r="AC1360"/>
    </row>
    <row r="1361" spans="29:29" x14ac:dyDescent="0.25">
      <c r="AC1361"/>
    </row>
    <row r="1362" spans="29:29" x14ac:dyDescent="0.25">
      <c r="AC1362"/>
    </row>
    <row r="1363" spans="29:29" x14ac:dyDescent="0.25">
      <c r="AC1363"/>
    </row>
    <row r="1364" spans="29:29" x14ac:dyDescent="0.25">
      <c r="AC1364"/>
    </row>
    <row r="1365" spans="29:29" x14ac:dyDescent="0.25">
      <c r="AC1365"/>
    </row>
    <row r="1366" spans="29:29" x14ac:dyDescent="0.25">
      <c r="AC1366"/>
    </row>
    <row r="1367" spans="29:29" x14ac:dyDescent="0.25">
      <c r="AC1367"/>
    </row>
    <row r="1368" spans="29:29" x14ac:dyDescent="0.25">
      <c r="AC1368"/>
    </row>
    <row r="1369" spans="29:29" x14ac:dyDescent="0.25">
      <c r="AC1369"/>
    </row>
    <row r="1370" spans="29:29" x14ac:dyDescent="0.25">
      <c r="AC1370"/>
    </row>
    <row r="1371" spans="29:29" x14ac:dyDescent="0.25">
      <c r="AC1371"/>
    </row>
    <row r="1372" spans="29:29" x14ac:dyDescent="0.25">
      <c r="AC1372"/>
    </row>
    <row r="1373" spans="29:29" x14ac:dyDescent="0.25">
      <c r="AC1373"/>
    </row>
    <row r="1374" spans="29:29" x14ac:dyDescent="0.25">
      <c r="AC1374"/>
    </row>
    <row r="1375" spans="29:29" x14ac:dyDescent="0.25">
      <c r="AC1375"/>
    </row>
    <row r="1376" spans="29:29" x14ac:dyDescent="0.25">
      <c r="AC1376"/>
    </row>
    <row r="1377" spans="29:29" x14ac:dyDescent="0.25">
      <c r="AC1377"/>
    </row>
    <row r="1378" spans="29:29" x14ac:dyDescent="0.25">
      <c r="AC1378"/>
    </row>
    <row r="1379" spans="29:29" x14ac:dyDescent="0.25">
      <c r="AC1379"/>
    </row>
    <row r="1380" spans="29:29" x14ac:dyDescent="0.25">
      <c r="AC1380"/>
    </row>
    <row r="1381" spans="29:29" x14ac:dyDescent="0.25">
      <c r="AC1381"/>
    </row>
    <row r="1382" spans="29:29" x14ac:dyDescent="0.25">
      <c r="AC1382"/>
    </row>
    <row r="1383" spans="29:29" x14ac:dyDescent="0.25">
      <c r="AC1383"/>
    </row>
    <row r="1384" spans="29:29" x14ac:dyDescent="0.25">
      <c r="AC1384"/>
    </row>
    <row r="1385" spans="29:29" x14ac:dyDescent="0.25">
      <c r="AC1385"/>
    </row>
    <row r="1386" spans="29:29" x14ac:dyDescent="0.25">
      <c r="AC1386"/>
    </row>
    <row r="1387" spans="29:29" x14ac:dyDescent="0.25">
      <c r="AC1387"/>
    </row>
    <row r="1388" spans="29:29" x14ac:dyDescent="0.25">
      <c r="AC1388"/>
    </row>
    <row r="1389" spans="29:29" x14ac:dyDescent="0.25">
      <c r="AC1389"/>
    </row>
    <row r="1390" spans="29:29" x14ac:dyDescent="0.25">
      <c r="AC1390"/>
    </row>
    <row r="1391" spans="29:29" x14ac:dyDescent="0.25">
      <c r="AC1391"/>
    </row>
    <row r="1392" spans="29:29" x14ac:dyDescent="0.25">
      <c r="AC1392"/>
    </row>
    <row r="1393" spans="29:29" x14ac:dyDescent="0.25">
      <c r="AC1393"/>
    </row>
    <row r="1394" spans="29:29" x14ac:dyDescent="0.25">
      <c r="AC1394"/>
    </row>
    <row r="1395" spans="29:29" x14ac:dyDescent="0.25">
      <c r="AC1395"/>
    </row>
    <row r="1396" spans="29:29" x14ac:dyDescent="0.25">
      <c r="AC1396"/>
    </row>
    <row r="1397" spans="29:29" x14ac:dyDescent="0.25">
      <c r="AC1397"/>
    </row>
    <row r="1398" spans="29:29" x14ac:dyDescent="0.25">
      <c r="AC1398"/>
    </row>
    <row r="1399" spans="29:29" x14ac:dyDescent="0.25">
      <c r="AC1399"/>
    </row>
    <row r="1400" spans="29:29" x14ac:dyDescent="0.25">
      <c r="AC1400"/>
    </row>
    <row r="1401" spans="29:29" x14ac:dyDescent="0.25">
      <c r="AC1401"/>
    </row>
    <row r="1402" spans="29:29" x14ac:dyDescent="0.25">
      <c r="AC1402"/>
    </row>
    <row r="1403" spans="29:29" x14ac:dyDescent="0.25">
      <c r="AC1403"/>
    </row>
    <row r="1404" spans="29:29" x14ac:dyDescent="0.25">
      <c r="AC1404"/>
    </row>
    <row r="1405" spans="29:29" x14ac:dyDescent="0.25">
      <c r="AC1405"/>
    </row>
    <row r="1406" spans="29:29" x14ac:dyDescent="0.25">
      <c r="AC1406"/>
    </row>
    <row r="1407" spans="29:29" x14ac:dyDescent="0.25">
      <c r="AC1407"/>
    </row>
    <row r="1408" spans="29:29" x14ac:dyDescent="0.25">
      <c r="AC1408"/>
    </row>
    <row r="1409" spans="29:29" x14ac:dyDescent="0.25">
      <c r="AC1409"/>
    </row>
    <row r="1410" spans="29:29" x14ac:dyDescent="0.25">
      <c r="AC1410"/>
    </row>
    <row r="1411" spans="29:29" x14ac:dyDescent="0.25">
      <c r="AC1411"/>
    </row>
    <row r="1412" spans="29:29" x14ac:dyDescent="0.25">
      <c r="AC1412"/>
    </row>
    <row r="1413" spans="29:29" x14ac:dyDescent="0.25">
      <c r="AC1413"/>
    </row>
    <row r="1414" spans="29:29" x14ac:dyDescent="0.25">
      <c r="AC1414"/>
    </row>
    <row r="1415" spans="29:29" x14ac:dyDescent="0.25">
      <c r="AC1415"/>
    </row>
    <row r="1416" spans="29:29" x14ac:dyDescent="0.25">
      <c r="AC1416"/>
    </row>
    <row r="1417" spans="29:29" x14ac:dyDescent="0.25">
      <c r="AC1417"/>
    </row>
    <row r="1418" spans="29:29" x14ac:dyDescent="0.25">
      <c r="AC1418"/>
    </row>
    <row r="1419" spans="29:29" x14ac:dyDescent="0.25">
      <c r="AC1419"/>
    </row>
    <row r="1420" spans="29:29" x14ac:dyDescent="0.25">
      <c r="AC1420"/>
    </row>
    <row r="1421" spans="29:29" x14ac:dyDescent="0.25">
      <c r="AC1421"/>
    </row>
    <row r="1422" spans="29:29" x14ac:dyDescent="0.25">
      <c r="AC1422"/>
    </row>
    <row r="1423" spans="29:29" x14ac:dyDescent="0.25">
      <c r="AC1423"/>
    </row>
    <row r="1424" spans="29:29" x14ac:dyDescent="0.25">
      <c r="AC1424"/>
    </row>
    <row r="1425" spans="29:29" x14ac:dyDescent="0.25">
      <c r="AC1425"/>
    </row>
    <row r="1426" spans="29:29" x14ac:dyDescent="0.25">
      <c r="AC1426"/>
    </row>
    <row r="1427" spans="29:29" x14ac:dyDescent="0.25">
      <c r="AC1427"/>
    </row>
    <row r="1428" spans="29:29" x14ac:dyDescent="0.25">
      <c r="AC1428"/>
    </row>
    <row r="1429" spans="29:29" x14ac:dyDescent="0.25">
      <c r="AC1429"/>
    </row>
    <row r="1430" spans="29:29" x14ac:dyDescent="0.25">
      <c r="AC1430"/>
    </row>
    <row r="1431" spans="29:29" x14ac:dyDescent="0.25">
      <c r="AC1431"/>
    </row>
    <row r="1432" spans="29:29" x14ac:dyDescent="0.25">
      <c r="AC1432"/>
    </row>
    <row r="1433" spans="29:29" x14ac:dyDescent="0.25">
      <c r="AC1433"/>
    </row>
    <row r="1434" spans="29:29" x14ac:dyDescent="0.25">
      <c r="AC1434"/>
    </row>
    <row r="1435" spans="29:29" x14ac:dyDescent="0.25">
      <c r="AC1435"/>
    </row>
    <row r="1436" spans="29:29" x14ac:dyDescent="0.25">
      <c r="AC1436"/>
    </row>
    <row r="1437" spans="29:29" x14ac:dyDescent="0.25">
      <c r="AC1437"/>
    </row>
    <row r="1438" spans="29:29" x14ac:dyDescent="0.25">
      <c r="AC1438"/>
    </row>
    <row r="1439" spans="29:29" x14ac:dyDescent="0.25">
      <c r="AC1439"/>
    </row>
    <row r="1440" spans="29:29" x14ac:dyDescent="0.25">
      <c r="AC1440"/>
    </row>
    <row r="1441" spans="29:29" x14ac:dyDescent="0.25">
      <c r="AC1441"/>
    </row>
    <row r="1442" spans="29:29" x14ac:dyDescent="0.25">
      <c r="AC1442"/>
    </row>
    <row r="1443" spans="29:29" x14ac:dyDescent="0.25">
      <c r="AC1443"/>
    </row>
    <row r="1444" spans="29:29" x14ac:dyDescent="0.25">
      <c r="AC1444"/>
    </row>
    <row r="1445" spans="29:29" x14ac:dyDescent="0.25">
      <c r="AC1445"/>
    </row>
    <row r="1446" spans="29:29" x14ac:dyDescent="0.25">
      <c r="AC1446"/>
    </row>
    <row r="1447" spans="29:29" x14ac:dyDescent="0.25">
      <c r="AC1447"/>
    </row>
    <row r="1448" spans="29:29" x14ac:dyDescent="0.25">
      <c r="AC1448"/>
    </row>
    <row r="1449" spans="29:29" x14ac:dyDescent="0.25">
      <c r="AC1449"/>
    </row>
    <row r="1450" spans="29:29" x14ac:dyDescent="0.25">
      <c r="AC1450"/>
    </row>
    <row r="1451" spans="29:29" x14ac:dyDescent="0.25">
      <c r="AC1451"/>
    </row>
    <row r="1452" spans="29:29" x14ac:dyDescent="0.25">
      <c r="AC1452"/>
    </row>
    <row r="1453" spans="29:29" x14ac:dyDescent="0.25">
      <c r="AC1453"/>
    </row>
    <row r="1454" spans="29:29" x14ac:dyDescent="0.25">
      <c r="AC1454"/>
    </row>
    <row r="1455" spans="29:29" x14ac:dyDescent="0.25">
      <c r="AC1455"/>
    </row>
    <row r="1456" spans="29:29" x14ac:dyDescent="0.25">
      <c r="AC1456"/>
    </row>
    <row r="1457" spans="29:29" x14ac:dyDescent="0.25">
      <c r="AC1457"/>
    </row>
    <row r="1458" spans="29:29" x14ac:dyDescent="0.25">
      <c r="AC1458"/>
    </row>
    <row r="1459" spans="29:29" x14ac:dyDescent="0.25">
      <c r="AC1459"/>
    </row>
    <row r="1460" spans="29:29" x14ac:dyDescent="0.25">
      <c r="AC1460"/>
    </row>
    <row r="1461" spans="29:29" x14ac:dyDescent="0.25">
      <c r="AC1461"/>
    </row>
    <row r="1462" spans="29:29" x14ac:dyDescent="0.25">
      <c r="AC1462"/>
    </row>
    <row r="1463" spans="29:29" x14ac:dyDescent="0.25">
      <c r="AC1463"/>
    </row>
    <row r="1464" spans="29:29" x14ac:dyDescent="0.25">
      <c r="AC1464"/>
    </row>
    <row r="1465" spans="29:29" x14ac:dyDescent="0.25">
      <c r="AC1465"/>
    </row>
    <row r="1466" spans="29:29" x14ac:dyDescent="0.25">
      <c r="AC1466"/>
    </row>
    <row r="1467" spans="29:29" x14ac:dyDescent="0.25">
      <c r="AC1467"/>
    </row>
    <row r="1468" spans="29:29" x14ac:dyDescent="0.25">
      <c r="AC1468"/>
    </row>
    <row r="1469" spans="29:29" x14ac:dyDescent="0.25">
      <c r="AC1469"/>
    </row>
    <row r="1470" spans="29:29" x14ac:dyDescent="0.25">
      <c r="AC1470"/>
    </row>
    <row r="1471" spans="29:29" x14ac:dyDescent="0.25">
      <c r="AC1471"/>
    </row>
    <row r="1472" spans="29:29" x14ac:dyDescent="0.25">
      <c r="AC1472"/>
    </row>
    <row r="1473" spans="29:29" x14ac:dyDescent="0.25">
      <c r="AC1473"/>
    </row>
    <row r="1474" spans="29:29" x14ac:dyDescent="0.25">
      <c r="AC1474"/>
    </row>
    <row r="1475" spans="29:29" x14ac:dyDescent="0.25">
      <c r="AC1475"/>
    </row>
    <row r="1476" spans="29:29" x14ac:dyDescent="0.25">
      <c r="AC1476"/>
    </row>
  </sheetData>
  <autoFilter ref="A1:W1301">
    <sortState ref="A2:W1301">
      <sortCondition descending="1" ref="W1:W1301"/>
    </sortState>
  </autoFilter>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K131"/>
  <sheetViews>
    <sheetView tabSelected="1" topLeftCell="A94" workbookViewId="0">
      <selection activeCell="L108" sqref="L108"/>
    </sheetView>
  </sheetViews>
  <sheetFormatPr defaultRowHeight="15" x14ac:dyDescent="0.25"/>
  <cols>
    <col min="1" max="1" width="6.5703125" customWidth="1"/>
    <col min="2" max="11" width="6.140625" customWidth="1"/>
    <col min="12" max="12" width="6" customWidth="1"/>
    <col min="15" max="15" width="3.7109375" bestFit="1" customWidth="1"/>
    <col min="23" max="23" width="9.85546875" customWidth="1"/>
  </cols>
  <sheetData>
    <row r="1" spans="1:37" x14ac:dyDescent="0.25">
      <c r="A1" t="s">
        <v>1714</v>
      </c>
      <c r="B1">
        <v>1</v>
      </c>
      <c r="C1">
        <f>B1+1</f>
        <v>2</v>
      </c>
      <c r="D1">
        <f t="shared" ref="D1:N1" si="0">C1+1</f>
        <v>3</v>
      </c>
      <c r="E1">
        <f t="shared" si="0"/>
        <v>4</v>
      </c>
      <c r="F1">
        <f t="shared" si="0"/>
        <v>5</v>
      </c>
      <c r="G1">
        <f t="shared" si="0"/>
        <v>6</v>
      </c>
      <c r="H1">
        <f t="shared" si="0"/>
        <v>7</v>
      </c>
      <c r="I1">
        <f t="shared" si="0"/>
        <v>8</v>
      </c>
      <c r="J1">
        <f>I1+1</f>
        <v>9</v>
      </c>
      <c r="K1">
        <f t="shared" si="0"/>
        <v>10</v>
      </c>
      <c r="L1">
        <f t="shared" si="0"/>
        <v>11</v>
      </c>
      <c r="M1">
        <f t="shared" si="0"/>
        <v>12</v>
      </c>
      <c r="N1">
        <f t="shared" si="0"/>
        <v>13</v>
      </c>
      <c r="Q1" t="s">
        <v>481</v>
      </c>
      <c r="R1" t="s">
        <v>482</v>
      </c>
      <c r="S1" t="s">
        <v>483</v>
      </c>
      <c r="T1" t="s">
        <v>484</v>
      </c>
      <c r="W1" t="s">
        <v>1734</v>
      </c>
    </row>
    <row r="2" spans="1:37" x14ac:dyDescent="0.25">
      <c r="A2" t="s">
        <v>20</v>
      </c>
      <c r="B2">
        <f t="shared" ref="B2:N2" si="1">INDEX(B$14:B$23,INDEX($S$2:$S$131,MATCH($A14&amp;"-"&amp;B$1,$T$2:$T$131,0)))</f>
        <v>145.39999999999998</v>
      </c>
      <c r="C2">
        <f t="shared" si="1"/>
        <v>117.79999999999998</v>
      </c>
      <c r="D2">
        <f t="shared" si="1"/>
        <v>85.3</v>
      </c>
      <c r="E2">
        <f t="shared" si="1"/>
        <v>119.50000000000001</v>
      </c>
      <c r="F2">
        <f t="shared" si="1"/>
        <v>107.14</v>
      </c>
      <c r="G2">
        <f t="shared" si="1"/>
        <v>100.32</v>
      </c>
      <c r="H2">
        <f t="shared" si="1"/>
        <v>118.22</v>
      </c>
      <c r="I2">
        <f t="shared" si="1"/>
        <v>106.75000000000001</v>
      </c>
      <c r="J2">
        <f t="shared" si="1"/>
        <v>102.27000000000001</v>
      </c>
      <c r="K2">
        <f t="shared" si="1"/>
        <v>97.109999999999985</v>
      </c>
      <c r="L2">
        <f t="shared" si="1"/>
        <v>104.67999999999999</v>
      </c>
      <c r="M2">
        <f t="shared" si="1"/>
        <v>105.50999999999999</v>
      </c>
      <c r="N2">
        <f t="shared" si="1"/>
        <v>106.08</v>
      </c>
      <c r="P2" s="2">
        <f>AVERAGE(B2:N2)</f>
        <v>108.92923076923077</v>
      </c>
      <c r="Q2">
        <v>1</v>
      </c>
      <c r="R2">
        <v>1</v>
      </c>
      <c r="S2">
        <v>3</v>
      </c>
      <c r="T2" t="s">
        <v>504</v>
      </c>
      <c r="V2" t="s">
        <v>20</v>
      </c>
      <c r="W2" s="3">
        <f t="shared" ref="W2:AI2" si="2">_xlfn.NORM.DIST(0,B2-(SUM(B$2:B$11)-B2)/9,SQRT(B26+(SUM(B$26:B$35)-B26)/9),TRUE)</f>
        <v>0</v>
      </c>
      <c r="X2" s="3">
        <f t="shared" si="2"/>
        <v>0</v>
      </c>
      <c r="Y2" s="3">
        <f t="shared" si="2"/>
        <v>1</v>
      </c>
      <c r="Z2" s="3">
        <f t="shared" si="2"/>
        <v>3.6098998905347633E-262</v>
      </c>
      <c r="AA2" s="3">
        <f t="shared" si="2"/>
        <v>0.56848101211454316</v>
      </c>
      <c r="AB2" s="3">
        <f t="shared" si="2"/>
        <v>0.60593580325150787</v>
      </c>
      <c r="AC2" s="3">
        <f t="shared" si="2"/>
        <v>0.32301943760662544</v>
      </c>
      <c r="AD2" s="3">
        <f t="shared" si="2"/>
        <v>0.47280958744186696</v>
      </c>
      <c r="AE2" s="3">
        <f t="shared" si="2"/>
        <v>0.56388861105212962</v>
      </c>
      <c r="AF2" s="3">
        <f t="shared" si="2"/>
        <v>0.63847602150552285</v>
      </c>
      <c r="AG2" s="3">
        <f t="shared" si="2"/>
        <v>0.53565308814342416</v>
      </c>
      <c r="AH2" s="3">
        <f t="shared" si="2"/>
        <v>0.5130189196727295</v>
      </c>
      <c r="AI2" s="3">
        <f t="shared" si="2"/>
        <v>0.54999591734963693</v>
      </c>
      <c r="AJ2" s="131">
        <f>SUM(W2:AI2)</f>
        <v>5.7712783981379872</v>
      </c>
      <c r="AK2" s="33"/>
    </row>
    <row r="3" spans="1:37" x14ac:dyDescent="0.25">
      <c r="A3" t="s">
        <v>16</v>
      </c>
      <c r="B3">
        <f t="shared" ref="B3:N3" si="3">INDEX(B$14:B$23,INDEX($S$2:$S$131,MATCH($A15&amp;"-"&amp;B$1,$T$2:$T$131,0)))</f>
        <v>52.800000000000011</v>
      </c>
      <c r="C3">
        <f t="shared" si="3"/>
        <v>80</v>
      </c>
      <c r="D3">
        <f t="shared" si="3"/>
        <v>74.5</v>
      </c>
      <c r="E3">
        <f t="shared" si="3"/>
        <v>99.899999999999991</v>
      </c>
      <c r="F3">
        <f t="shared" si="3"/>
        <v>129.46</v>
      </c>
      <c r="G3">
        <f t="shared" si="3"/>
        <v>116.63</v>
      </c>
      <c r="H3">
        <f t="shared" si="3"/>
        <v>103.34</v>
      </c>
      <c r="I3">
        <f t="shared" si="3"/>
        <v>106.64</v>
      </c>
      <c r="J3">
        <f t="shared" si="3"/>
        <v>109.09</v>
      </c>
      <c r="K3">
        <f t="shared" si="3"/>
        <v>111.85</v>
      </c>
      <c r="L3">
        <f t="shared" si="3"/>
        <v>115.75</v>
      </c>
      <c r="M3">
        <f t="shared" si="3"/>
        <v>97.27000000000001</v>
      </c>
      <c r="N3">
        <f t="shared" si="3"/>
        <v>117.95000000000002</v>
      </c>
      <c r="P3" s="2">
        <f>AVERAGE(B3:N3)</f>
        <v>101.16769230769231</v>
      </c>
      <c r="Q3">
        <v>2</v>
      </c>
      <c r="R3">
        <v>1</v>
      </c>
      <c r="S3">
        <v>4</v>
      </c>
      <c r="T3" t="s">
        <v>628</v>
      </c>
      <c r="V3" t="s">
        <v>16</v>
      </c>
      <c r="W3" s="3">
        <f t="shared" ref="W3:W11" si="4">_xlfn.NORM.DIST(0,B3-(SUM(B$2:B$11)-B3)/9,SQRT(B27+(SUM(B$26:B$35)-B27)/9),TRUE)</f>
        <v>1</v>
      </c>
      <c r="X3" s="3">
        <f t="shared" ref="X3:X11" si="5">_xlfn.NORM.DIST(0,C3-(SUM(C$2:C$11)-C3)/9,SQRT(C27+(SUM(C$26:C$35)-C27)/9),TRUE)</f>
        <v>1</v>
      </c>
      <c r="Y3" s="3">
        <f t="shared" ref="Y3:Y11" si="6">_xlfn.NORM.DIST(0,D3-(SUM(D$2:D$11)-D3)/9,SQRT(D27+(SUM(D$26:D$35)-D27)/9),TRUE)</f>
        <v>1</v>
      </c>
      <c r="Z3" s="3">
        <f t="shared" ref="Z3:Z11" si="7">_xlfn.NORM.DIST(0,E3-(SUM(E$2:E$11)-E3)/9,SQRT(E27+(SUM(E$26:E$35)-E27)/9),TRUE)</f>
        <v>1</v>
      </c>
      <c r="AA3" s="3">
        <f t="shared" ref="AA3:AA11" si="8">_xlfn.NORM.DIST(0,F3-(SUM(F$2:F$11)-F3)/9,SQRT(F27+(SUM(F$26:F$35)-F27)/9),TRUE)</f>
        <v>0.23899007513214574</v>
      </c>
      <c r="AB3" s="3">
        <f t="shared" ref="AB3:AB11" si="9">_xlfn.NORM.DIST(0,G3-(SUM(G$2:G$11)-G3)/9,SQRT(G27+(SUM(G$26:G$35)-G27)/9),TRUE)</f>
        <v>0.36719388282927024</v>
      </c>
      <c r="AC3" s="3">
        <f t="shared" ref="AC3:AC11" si="10">_xlfn.NORM.DIST(0,H3-(SUM(H$2:H$11)-H3)/9,SQRT(H27+(SUM(H$26:H$35)-H27)/9),TRUE)</f>
        <v>0.53897466659693749</v>
      </c>
      <c r="AD3" s="3">
        <f t="shared" ref="AD3:AD11" si="11">_xlfn.NORM.DIST(0,I3-(SUM(I$2:I$11)-I3)/9,SQRT(I27+(SUM(I$26:I$35)-I27)/9),TRUE)</f>
        <v>0.47500976264277928</v>
      </c>
      <c r="AE3" s="3">
        <f t="shared" ref="AE3:AE11" si="12">_xlfn.NORM.DIST(0,J3-(SUM(J$2:J$11)-J3)/9,SQRT(J27+(SUM(J$26:J$35)-J27)/9),TRUE)</f>
        <v>0.45503003167603062</v>
      </c>
      <c r="AF3" s="3">
        <f t="shared" ref="AF3:AF11" si="13">_xlfn.NORM.DIST(0,K3-(SUM(K$2:K$11)-K3)/9,SQRT(K27+(SUM(K$26:K$35)-K27)/9),TRUE)</f>
        <v>0.40811398949389488</v>
      </c>
      <c r="AG3" s="3">
        <f t="shared" ref="AG3:AG11" si="14">_xlfn.NORM.DIST(0,L3-(SUM(L$2:L$11)-L3)/9,SQRT(L27+(SUM(L$26:L$35)-L27)/9),TRUE)</f>
        <v>0.37206704476203711</v>
      </c>
      <c r="AH3" s="3">
        <f t="shared" ref="AH3:AH11" si="15">_xlfn.NORM.DIST(0,M3-(SUM(M$2:M$11)-M3)/9,SQRT(M27+(SUM(M$26:M$35)-M27)/9),TRUE)</f>
        <v>0.64382389061094447</v>
      </c>
      <c r="AI3" s="3">
        <f t="shared" ref="AI3:AI11" si="16">_xlfn.NORM.DIST(0,N3-(SUM(N$2:N$11)-N3)/9,SQRT(N27+(SUM(N$26:N$35)-N27)/9),TRUE)</f>
        <v>0.37161624241798386</v>
      </c>
      <c r="AJ3" s="131">
        <f t="shared" ref="AJ3:AJ11" si="17">SUM(W3:AI3)</f>
        <v>7.8708195861620238</v>
      </c>
      <c r="AK3" s="33"/>
    </row>
    <row r="4" spans="1:37" x14ac:dyDescent="0.25">
      <c r="A4" t="s">
        <v>55</v>
      </c>
      <c r="B4">
        <f t="shared" ref="B4:N4" si="18">INDEX(B$14:B$23,INDEX($S$2:$S$131,MATCH($A16&amp;"-"&amp;B$1,$T$2:$T$131,0)))</f>
        <v>111.89999999999999</v>
      </c>
      <c r="C4">
        <f t="shared" si="18"/>
        <v>109.6</v>
      </c>
      <c r="D4">
        <f t="shared" si="18"/>
        <v>83.9</v>
      </c>
      <c r="E4">
        <f t="shared" si="18"/>
        <v>113.39999999999999</v>
      </c>
      <c r="F4">
        <f t="shared" si="18"/>
        <v>114.22</v>
      </c>
      <c r="G4">
        <f t="shared" si="18"/>
        <v>107.81000000000002</v>
      </c>
      <c r="H4">
        <f t="shared" si="18"/>
        <v>102.97000000000001</v>
      </c>
      <c r="I4">
        <f t="shared" si="18"/>
        <v>103.21000000000001</v>
      </c>
      <c r="J4">
        <f t="shared" si="18"/>
        <v>107.93</v>
      </c>
      <c r="K4">
        <f t="shared" si="18"/>
        <v>122.25000000000001</v>
      </c>
      <c r="L4">
        <f t="shared" si="18"/>
        <v>101.64</v>
      </c>
      <c r="M4">
        <f t="shared" si="18"/>
        <v>109.74000000000001</v>
      </c>
      <c r="N4">
        <f t="shared" si="18"/>
        <v>120.49</v>
      </c>
      <c r="P4" s="2">
        <f t="shared" ref="P4:P11" si="19">AVERAGE(B4:N4)</f>
        <v>108.38923076923078</v>
      </c>
      <c r="Q4">
        <v>3</v>
      </c>
      <c r="R4">
        <v>1</v>
      </c>
      <c r="S4">
        <v>8</v>
      </c>
      <c r="T4" t="s">
        <v>807</v>
      </c>
      <c r="V4" t="s">
        <v>55</v>
      </c>
      <c r="W4" s="3">
        <f t="shared" si="4"/>
        <v>0</v>
      </c>
      <c r="X4" s="3">
        <f t="shared" si="5"/>
        <v>0</v>
      </c>
      <c r="Y4" s="3">
        <f t="shared" si="6"/>
        <v>1</v>
      </c>
      <c r="Z4" s="3">
        <f t="shared" si="7"/>
        <v>1</v>
      </c>
      <c r="AA4" s="3">
        <f t="shared" si="8"/>
        <v>0.45633755802946185</v>
      </c>
      <c r="AB4" s="3">
        <f t="shared" si="9"/>
        <v>0.49486889686222174</v>
      </c>
      <c r="AC4" s="3">
        <f t="shared" si="10"/>
        <v>0.54529605602571185</v>
      </c>
      <c r="AD4" s="3">
        <f t="shared" si="11"/>
        <v>0.52655811365563854</v>
      </c>
      <c r="AE4" s="3">
        <f t="shared" si="12"/>
        <v>0.47419523162595956</v>
      </c>
      <c r="AF4" s="3">
        <f t="shared" si="13"/>
        <v>0.26666044723257504</v>
      </c>
      <c r="AG4" s="3">
        <f t="shared" si="14"/>
        <v>0.58146261987808412</v>
      </c>
      <c r="AH4" s="3">
        <f t="shared" si="15"/>
        <v>0.44756659004647381</v>
      </c>
      <c r="AI4" s="3">
        <f t="shared" si="16"/>
        <v>0.34478286090342192</v>
      </c>
      <c r="AJ4" s="131">
        <f>SUM(W4:AI4)</f>
        <v>6.1377283742595479</v>
      </c>
      <c r="AK4" s="33"/>
    </row>
    <row r="5" spans="1:37" x14ac:dyDescent="0.25">
      <c r="A5" t="s">
        <v>35</v>
      </c>
      <c r="B5">
        <f t="shared" ref="B5:N5" si="20">INDEX(B$14:B$23,INDEX($S$2:$S$131,MATCH($A17&amp;"-"&amp;B$1,$T$2:$T$131,0)))</f>
        <v>111.4</v>
      </c>
      <c r="C5">
        <f t="shared" si="20"/>
        <v>129</v>
      </c>
      <c r="D5">
        <f t="shared" si="20"/>
        <v>104.6</v>
      </c>
      <c r="E5">
        <f t="shared" si="20"/>
        <v>136.89999999999998</v>
      </c>
      <c r="F5">
        <f t="shared" si="20"/>
        <v>114.38</v>
      </c>
      <c r="G5">
        <f t="shared" si="20"/>
        <v>111.06</v>
      </c>
      <c r="H5">
        <f t="shared" si="20"/>
        <v>107.27000000000001</v>
      </c>
      <c r="I5">
        <f t="shared" si="20"/>
        <v>93.6</v>
      </c>
      <c r="J5">
        <f t="shared" si="20"/>
        <v>116.23</v>
      </c>
      <c r="K5">
        <f t="shared" si="20"/>
        <v>101.61</v>
      </c>
      <c r="L5">
        <f t="shared" si="20"/>
        <v>105.10000000000001</v>
      </c>
      <c r="M5">
        <f t="shared" si="20"/>
        <v>106.11999999999999</v>
      </c>
      <c r="N5">
        <f t="shared" si="20"/>
        <v>110.18</v>
      </c>
      <c r="P5" s="2">
        <f t="shared" si="19"/>
        <v>111.34230769230766</v>
      </c>
      <c r="Q5">
        <v>4</v>
      </c>
      <c r="R5">
        <v>1</v>
      </c>
      <c r="S5">
        <v>2</v>
      </c>
      <c r="T5" t="s">
        <v>861</v>
      </c>
      <c r="V5" t="s">
        <v>35</v>
      </c>
      <c r="W5" s="3">
        <f t="shared" si="4"/>
        <v>0</v>
      </c>
      <c r="X5" s="3">
        <f t="shared" si="5"/>
        <v>0</v>
      </c>
      <c r="Y5" s="3">
        <f t="shared" si="6"/>
        <v>0</v>
      </c>
      <c r="Z5" s="3">
        <f t="shared" si="7"/>
        <v>0</v>
      </c>
      <c r="AA5" s="3">
        <f t="shared" si="8"/>
        <v>0.44995522505768037</v>
      </c>
      <c r="AB5" s="3">
        <f t="shared" si="9"/>
        <v>0.4459616398696663</v>
      </c>
      <c r="AC5" s="3">
        <f t="shared" si="10"/>
        <v>0.47810326330396719</v>
      </c>
      <c r="AD5" s="3">
        <f t="shared" si="11"/>
        <v>0.67314677944830437</v>
      </c>
      <c r="AE5" s="3">
        <f t="shared" si="12"/>
        <v>0.34741944051363838</v>
      </c>
      <c r="AF5" s="3">
        <f t="shared" si="13"/>
        <v>0.56808946283358563</v>
      </c>
      <c r="AG5" s="3">
        <f t="shared" si="14"/>
        <v>0.52863781016795774</v>
      </c>
      <c r="AH5" s="3">
        <f t="shared" si="15"/>
        <v>0.50321810273515544</v>
      </c>
      <c r="AI5" s="3">
        <f t="shared" si="16"/>
        <v>0.48528658666230146</v>
      </c>
      <c r="AJ5" s="131">
        <f t="shared" si="17"/>
        <v>4.4798183105922575</v>
      </c>
      <c r="AK5" s="33"/>
    </row>
    <row r="6" spans="1:37" x14ac:dyDescent="0.25">
      <c r="A6" t="s">
        <v>27</v>
      </c>
      <c r="B6">
        <f t="shared" ref="B6:N6" si="21">INDEX(B$14:B$23,INDEX($S$2:$S$131,MATCH($A18&amp;"-"&amp;B$1,$T$2:$T$131,0)))</f>
        <v>91.5</v>
      </c>
      <c r="C6">
        <f t="shared" si="21"/>
        <v>91.600000000000009</v>
      </c>
      <c r="D6">
        <f t="shared" si="21"/>
        <v>107.8</v>
      </c>
      <c r="E6">
        <f t="shared" si="21"/>
        <v>174.5</v>
      </c>
      <c r="F6">
        <f t="shared" si="21"/>
        <v>112.39000000000001</v>
      </c>
      <c r="G6">
        <f t="shared" si="21"/>
        <v>106.66000000000003</v>
      </c>
      <c r="H6">
        <f t="shared" si="21"/>
        <v>102.42999999999999</v>
      </c>
      <c r="I6">
        <f t="shared" si="21"/>
        <v>88.039999999999992</v>
      </c>
      <c r="J6">
        <f t="shared" si="21"/>
        <v>91.03</v>
      </c>
      <c r="K6">
        <f t="shared" si="21"/>
        <v>109.97</v>
      </c>
      <c r="L6">
        <f t="shared" si="21"/>
        <v>121.06</v>
      </c>
      <c r="M6">
        <f t="shared" si="21"/>
        <v>111.5</v>
      </c>
      <c r="N6">
        <f t="shared" si="21"/>
        <v>120.11000000000001</v>
      </c>
      <c r="P6" s="2">
        <f t="shared" si="19"/>
        <v>109.89153846153843</v>
      </c>
      <c r="Q6">
        <v>5</v>
      </c>
      <c r="R6">
        <v>1</v>
      </c>
      <c r="S6">
        <v>7</v>
      </c>
      <c r="T6" t="s">
        <v>890</v>
      </c>
      <c r="V6" t="s">
        <v>27</v>
      </c>
      <c r="W6" s="3">
        <f t="shared" si="4"/>
        <v>1</v>
      </c>
      <c r="X6" s="3">
        <f t="shared" si="5"/>
        <v>1</v>
      </c>
      <c r="Y6" s="3">
        <f t="shared" si="6"/>
        <v>0</v>
      </c>
      <c r="Z6" s="3">
        <f t="shared" si="7"/>
        <v>0</v>
      </c>
      <c r="AA6" s="3">
        <f t="shared" si="8"/>
        <v>0.48216738318939034</v>
      </c>
      <c r="AB6" s="3">
        <f t="shared" si="9"/>
        <v>0.51267828300830076</v>
      </c>
      <c r="AC6" s="3">
        <f t="shared" si="10"/>
        <v>0.55297371934391859</v>
      </c>
      <c r="AD6" s="3">
        <f t="shared" si="11"/>
        <v>0.74608660890941114</v>
      </c>
      <c r="AE6" s="3">
        <f t="shared" si="12"/>
        <v>0.73204386748095462</v>
      </c>
      <c r="AF6" s="3">
        <f t="shared" si="13"/>
        <v>0.43869646444532817</v>
      </c>
      <c r="AG6" s="3">
        <f t="shared" si="14"/>
        <v>0.30452380087486736</v>
      </c>
      <c r="AH6" s="3">
        <f t="shared" si="15"/>
        <v>0.42052046134391668</v>
      </c>
      <c r="AI6" s="3">
        <f t="shared" si="16"/>
        <v>0.34397123945401076</v>
      </c>
      <c r="AJ6" s="131">
        <f t="shared" si="17"/>
        <v>6.5336618280500991</v>
      </c>
      <c r="AK6" s="33"/>
    </row>
    <row r="7" spans="1:37" x14ac:dyDescent="0.25">
      <c r="A7" t="s">
        <v>62</v>
      </c>
      <c r="B7">
        <f t="shared" ref="B7:N7" si="22">INDEX(B$14:B$23,INDEX($S$2:$S$131,MATCH($A19&amp;"-"&amp;B$1,$T$2:$T$131,0)))</f>
        <v>144.89999999999998</v>
      </c>
      <c r="C7">
        <f t="shared" si="22"/>
        <v>123.39999999999999</v>
      </c>
      <c r="D7">
        <f t="shared" si="22"/>
        <v>100.10000000000001</v>
      </c>
      <c r="E7">
        <f t="shared" si="22"/>
        <v>71.199999999999989</v>
      </c>
      <c r="F7">
        <f t="shared" si="22"/>
        <v>103.71</v>
      </c>
      <c r="G7">
        <f t="shared" si="22"/>
        <v>106.97999999999999</v>
      </c>
      <c r="H7">
        <f t="shared" si="22"/>
        <v>102.38999999999999</v>
      </c>
      <c r="I7">
        <f t="shared" si="22"/>
        <v>116.25000000000003</v>
      </c>
      <c r="J7">
        <f t="shared" si="22"/>
        <v>100.63999999999999</v>
      </c>
      <c r="K7">
        <f t="shared" si="22"/>
        <v>93</v>
      </c>
      <c r="L7">
        <f t="shared" si="22"/>
        <v>100.83</v>
      </c>
      <c r="M7">
        <f t="shared" si="22"/>
        <v>98.310000000000016</v>
      </c>
      <c r="N7">
        <f t="shared" si="22"/>
        <v>101.06</v>
      </c>
      <c r="P7" s="2">
        <f t="shared" si="19"/>
        <v>104.82846153846153</v>
      </c>
      <c r="Q7">
        <v>6</v>
      </c>
      <c r="R7">
        <v>1</v>
      </c>
      <c r="S7">
        <v>10</v>
      </c>
      <c r="T7" t="s">
        <v>904</v>
      </c>
      <c r="V7" t="s">
        <v>62</v>
      </c>
      <c r="W7" s="3">
        <f t="shared" si="4"/>
        <v>0</v>
      </c>
      <c r="X7" s="3">
        <f t="shared" si="5"/>
        <v>0</v>
      </c>
      <c r="Y7" s="3">
        <f t="shared" si="6"/>
        <v>1.6417578390200663E-148</v>
      </c>
      <c r="Z7" s="3">
        <f t="shared" si="7"/>
        <v>1</v>
      </c>
      <c r="AA7" s="3">
        <f t="shared" si="8"/>
        <v>0.6137697812575329</v>
      </c>
      <c r="AB7" s="3">
        <f t="shared" si="9"/>
        <v>0.50803209845251951</v>
      </c>
      <c r="AC7" s="3">
        <f t="shared" si="10"/>
        <v>0.55329106011421469</v>
      </c>
      <c r="AD7" s="3">
        <f t="shared" si="11"/>
        <v>0.33423369897252853</v>
      </c>
      <c r="AE7" s="3">
        <f t="shared" si="12"/>
        <v>0.58654773259225101</v>
      </c>
      <c r="AF7" s="3">
        <f t="shared" si="13"/>
        <v>0.69637917999436205</v>
      </c>
      <c r="AG7" s="3">
        <f t="shared" si="14"/>
        <v>0.59620827127736742</v>
      </c>
      <c r="AH7" s="3">
        <f t="shared" si="15"/>
        <v>0.62839888785007036</v>
      </c>
      <c r="AI7" s="3">
        <f t="shared" si="16"/>
        <v>0.62275265018989567</v>
      </c>
      <c r="AJ7" s="131">
        <f t="shared" si="17"/>
        <v>6.1396133607007428</v>
      </c>
      <c r="AK7" s="33"/>
    </row>
    <row r="8" spans="1:37" x14ac:dyDescent="0.25">
      <c r="A8" t="s">
        <v>1648</v>
      </c>
      <c r="B8">
        <f t="shared" ref="B8:N8" si="23">INDEX(B$14:B$23,INDEX($S$2:$S$131,MATCH($A20&amp;"-"&amp;B$1,$T$2:$T$131,0)))</f>
        <v>97.7</v>
      </c>
      <c r="C8">
        <f t="shared" si="23"/>
        <v>90.300000000000011</v>
      </c>
      <c r="D8">
        <f t="shared" si="23"/>
        <v>129.19999999999999</v>
      </c>
      <c r="E8">
        <f t="shared" si="23"/>
        <v>127.19999999999997</v>
      </c>
      <c r="F8">
        <f t="shared" si="23"/>
        <v>114.56</v>
      </c>
      <c r="G8">
        <f t="shared" si="23"/>
        <v>110.40000000000002</v>
      </c>
      <c r="H8">
        <f t="shared" si="23"/>
        <v>97.619999999999976</v>
      </c>
      <c r="I8">
        <f t="shared" si="23"/>
        <v>117.09</v>
      </c>
      <c r="J8">
        <f t="shared" si="23"/>
        <v>112.01999999999998</v>
      </c>
      <c r="K8">
        <f t="shared" si="23"/>
        <v>100.16999999999999</v>
      </c>
      <c r="L8">
        <f t="shared" si="23"/>
        <v>107.33000000000001</v>
      </c>
      <c r="M8">
        <f t="shared" si="23"/>
        <v>114.42999999999999</v>
      </c>
      <c r="N8">
        <f t="shared" si="23"/>
        <v>94.52</v>
      </c>
      <c r="P8" s="2">
        <f t="shared" si="19"/>
        <v>108.65692307692308</v>
      </c>
      <c r="Q8">
        <v>7</v>
      </c>
      <c r="R8">
        <v>1</v>
      </c>
      <c r="S8">
        <v>9</v>
      </c>
      <c r="T8" t="s">
        <v>905</v>
      </c>
      <c r="V8" t="s">
        <v>1648</v>
      </c>
      <c r="W8" s="3">
        <f t="shared" si="4"/>
        <v>1</v>
      </c>
      <c r="X8" s="3">
        <f t="shared" si="5"/>
        <v>1</v>
      </c>
      <c r="Y8" s="3">
        <f t="shared" si="6"/>
        <v>0</v>
      </c>
      <c r="Z8" s="3">
        <f t="shared" si="7"/>
        <v>0</v>
      </c>
      <c r="AA8" s="3">
        <f t="shared" si="8"/>
        <v>0.45144877804953548</v>
      </c>
      <c r="AB8" s="3">
        <f t="shared" si="9"/>
        <v>0.45642050690896446</v>
      </c>
      <c r="AC8" s="3">
        <f t="shared" si="10"/>
        <v>0.62974847477448792</v>
      </c>
      <c r="AD8" s="3">
        <f t="shared" si="11"/>
        <v>0.32361868987783943</v>
      </c>
      <c r="AE8" s="3">
        <f t="shared" si="12"/>
        <v>0.41243445354027242</v>
      </c>
      <c r="AF8" s="3">
        <f t="shared" si="13"/>
        <v>0.58866814304231496</v>
      </c>
      <c r="AG8" s="3">
        <f t="shared" si="14"/>
        <v>0.49494795594536828</v>
      </c>
      <c r="AH8" s="3">
        <f t="shared" si="15"/>
        <v>0.37607506108881872</v>
      </c>
      <c r="AI8" s="3">
        <f t="shared" si="16"/>
        <v>0.72161852148527128</v>
      </c>
      <c r="AJ8" s="131">
        <f t="shared" si="17"/>
        <v>6.4549805847128727</v>
      </c>
      <c r="AK8" s="33"/>
    </row>
    <row r="9" spans="1:37" x14ac:dyDescent="0.25">
      <c r="A9" t="s">
        <v>23</v>
      </c>
      <c r="B9">
        <f t="shared" ref="B9:N9" si="24">INDEX(B$14:B$23,INDEX($S$2:$S$131,MATCH($A21&amp;"-"&amp;B$1,$T$2:$T$131,0)))</f>
        <v>120.09999999999998</v>
      </c>
      <c r="C9">
        <f t="shared" si="24"/>
        <v>105.1</v>
      </c>
      <c r="D9">
        <f t="shared" si="24"/>
        <v>111.80000000000001</v>
      </c>
      <c r="E9">
        <f t="shared" si="24"/>
        <v>119.9</v>
      </c>
      <c r="F9">
        <f t="shared" si="24"/>
        <v>97.090000000000018</v>
      </c>
      <c r="G9">
        <f t="shared" si="24"/>
        <v>109.24</v>
      </c>
      <c r="H9">
        <f t="shared" si="24"/>
        <v>113.77000000000001</v>
      </c>
      <c r="I9">
        <f t="shared" si="24"/>
        <v>108.68</v>
      </c>
      <c r="J9">
        <f t="shared" si="24"/>
        <v>104.71</v>
      </c>
      <c r="K9">
        <f t="shared" si="24"/>
        <v>112.59</v>
      </c>
      <c r="L9">
        <f t="shared" si="24"/>
        <v>96.07</v>
      </c>
      <c r="M9">
        <f t="shared" si="24"/>
        <v>107.46</v>
      </c>
      <c r="N9">
        <f t="shared" si="24"/>
        <v>109.39</v>
      </c>
      <c r="P9" s="2">
        <f t="shared" si="19"/>
        <v>108.91538461538462</v>
      </c>
      <c r="Q9">
        <v>8</v>
      </c>
      <c r="R9">
        <v>1</v>
      </c>
      <c r="S9">
        <v>6</v>
      </c>
      <c r="T9" t="s">
        <v>906</v>
      </c>
      <c r="V9" t="s">
        <v>23</v>
      </c>
      <c r="W9" s="3">
        <f t="shared" si="4"/>
        <v>0</v>
      </c>
      <c r="X9" s="3">
        <f t="shared" si="5"/>
        <v>0</v>
      </c>
      <c r="Y9" s="3">
        <f t="shared" si="6"/>
        <v>0</v>
      </c>
      <c r="Z9" s="3">
        <f t="shared" si="7"/>
        <v>0</v>
      </c>
      <c r="AA9" s="3">
        <f t="shared" si="8"/>
        <v>0.70391250925233817</v>
      </c>
      <c r="AB9" s="3">
        <f t="shared" si="9"/>
        <v>0.47415036266854355</v>
      </c>
      <c r="AC9" s="3">
        <f t="shared" si="10"/>
        <v>0.38242029112579001</v>
      </c>
      <c r="AD9" s="3">
        <f t="shared" si="11"/>
        <v>0.44184647592594239</v>
      </c>
      <c r="AE9" s="3">
        <f t="shared" si="12"/>
        <v>0.52433961152594688</v>
      </c>
      <c r="AF9" s="3">
        <f t="shared" si="13"/>
        <v>0.39716969258780555</v>
      </c>
      <c r="AG9" s="3">
        <f t="shared" si="14"/>
        <v>0.66476088404839595</v>
      </c>
      <c r="AH9" s="3">
        <f t="shared" si="15"/>
        <v>0.48258842386770318</v>
      </c>
      <c r="AI9" s="3">
        <f t="shared" si="16"/>
        <v>0.49695704902028209</v>
      </c>
      <c r="AJ9" s="131">
        <f t="shared" si="17"/>
        <v>4.5681453000227474</v>
      </c>
      <c r="AK9" s="33"/>
    </row>
    <row r="10" spans="1:37" x14ac:dyDescent="0.25">
      <c r="A10" t="s">
        <v>49</v>
      </c>
      <c r="B10">
        <f t="shared" ref="B10:N10" si="25">INDEX(B$14:B$23,INDEX($S$2:$S$131,MATCH($A22&amp;"-"&amp;B$1,$T$2:$T$131,0)))</f>
        <v>106.2</v>
      </c>
      <c r="C10">
        <f t="shared" si="25"/>
        <v>79.199999999999989</v>
      </c>
      <c r="D10">
        <f t="shared" si="25"/>
        <v>92.5</v>
      </c>
      <c r="E10">
        <f t="shared" si="25"/>
        <v>122.10000000000001</v>
      </c>
      <c r="F10">
        <f t="shared" si="25"/>
        <v>112.65</v>
      </c>
      <c r="G10">
        <f t="shared" si="25"/>
        <v>110.11</v>
      </c>
      <c r="H10">
        <f t="shared" si="25"/>
        <v>104.80000000000001</v>
      </c>
      <c r="I10">
        <f t="shared" si="25"/>
        <v>108.12</v>
      </c>
      <c r="J10">
        <f t="shared" si="25"/>
        <v>114.72000000000001</v>
      </c>
      <c r="K10">
        <f t="shared" si="25"/>
        <v>96.669999999999987</v>
      </c>
      <c r="L10">
        <f t="shared" si="25"/>
        <v>104.53999999999999</v>
      </c>
      <c r="M10">
        <f t="shared" si="25"/>
        <v>106.62</v>
      </c>
      <c r="N10">
        <f t="shared" si="25"/>
        <v>113.49</v>
      </c>
      <c r="P10" s="2">
        <f t="shared" si="19"/>
        <v>105.51692307692308</v>
      </c>
      <c r="Q10">
        <v>9</v>
      </c>
      <c r="R10">
        <v>1</v>
      </c>
      <c r="S10">
        <v>7</v>
      </c>
      <c r="T10" t="s">
        <v>907</v>
      </c>
      <c r="V10" t="s">
        <v>49</v>
      </c>
      <c r="W10" s="3">
        <f t="shared" si="4"/>
        <v>1</v>
      </c>
      <c r="X10" s="3">
        <f t="shared" si="5"/>
        <v>1</v>
      </c>
      <c r="Y10" s="3">
        <f t="shared" si="6"/>
        <v>1</v>
      </c>
      <c r="Z10" s="3">
        <f t="shared" si="7"/>
        <v>0</v>
      </c>
      <c r="AA10" s="3">
        <f t="shared" si="8"/>
        <v>0.48153995767412222</v>
      </c>
      <c r="AB10" s="3">
        <f t="shared" si="9"/>
        <v>0.46023306425983096</v>
      </c>
      <c r="AC10" s="3">
        <f t="shared" si="10"/>
        <v>0.51573377923841979</v>
      </c>
      <c r="AD10" s="3">
        <f t="shared" si="11"/>
        <v>0.44969453380493851</v>
      </c>
      <c r="AE10" s="3">
        <f t="shared" si="12"/>
        <v>0.3744227070784939</v>
      </c>
      <c r="AF10" s="3">
        <f t="shared" si="13"/>
        <v>0.64238053622713331</v>
      </c>
      <c r="AG10" s="3">
        <f t="shared" si="14"/>
        <v>0.5374627805743275</v>
      </c>
      <c r="AH10" s="3">
        <f t="shared" si="15"/>
        <v>0.49542233212585296</v>
      </c>
      <c r="AI10" s="3">
        <f t="shared" si="16"/>
        <v>0.43424591658107153</v>
      </c>
      <c r="AJ10" s="131">
        <f t="shared" si="17"/>
        <v>7.3911356075641903</v>
      </c>
      <c r="AK10" s="33"/>
    </row>
    <row r="11" spans="1:37" x14ac:dyDescent="0.25">
      <c r="A11" t="s">
        <v>44</v>
      </c>
      <c r="B11">
        <f t="shared" ref="B11:N11" si="26">INDEX(B$14:B$23,INDEX($S$2:$S$131,MATCH($A23&amp;"-"&amp;B$1,$T$2:$T$131,0)))</f>
        <v>107.10000000000001</v>
      </c>
      <c r="C11">
        <f t="shared" si="26"/>
        <v>98.9</v>
      </c>
      <c r="D11">
        <f t="shared" si="26"/>
        <v>108.00000000000001</v>
      </c>
      <c r="E11">
        <f t="shared" si="26"/>
        <v>106</v>
      </c>
      <c r="F11">
        <f t="shared" si="26"/>
        <v>106.69</v>
      </c>
      <c r="G11">
        <f t="shared" si="26"/>
        <v>95.610000000000014</v>
      </c>
      <c r="H11">
        <f t="shared" si="26"/>
        <v>105.52</v>
      </c>
      <c r="I11">
        <f t="shared" si="26"/>
        <v>100.92000000000003</v>
      </c>
      <c r="J11">
        <f t="shared" si="26"/>
        <v>103.55999999999999</v>
      </c>
      <c r="K11">
        <f t="shared" si="26"/>
        <v>113.76</v>
      </c>
      <c r="L11">
        <f t="shared" si="26"/>
        <v>112.91000000000001</v>
      </c>
      <c r="M11">
        <f t="shared" si="26"/>
        <v>106.38</v>
      </c>
      <c r="N11">
        <f t="shared" si="26"/>
        <v>98.63000000000001</v>
      </c>
      <c r="P11" s="2">
        <f t="shared" si="19"/>
        <v>104.9215384615385</v>
      </c>
      <c r="Q11">
        <v>10</v>
      </c>
      <c r="R11">
        <v>1</v>
      </c>
      <c r="S11">
        <v>5</v>
      </c>
      <c r="T11" t="s">
        <v>908</v>
      </c>
      <c r="V11" t="s">
        <v>44</v>
      </c>
      <c r="W11" s="3">
        <f t="shared" si="4"/>
        <v>1</v>
      </c>
      <c r="X11" s="3">
        <f t="shared" si="5"/>
        <v>1</v>
      </c>
      <c r="Y11" s="3">
        <f t="shared" si="6"/>
        <v>0</v>
      </c>
      <c r="Z11" s="3">
        <f t="shared" si="7"/>
        <v>1</v>
      </c>
      <c r="AA11" s="3">
        <f t="shared" si="8"/>
        <v>0.5663910759136872</v>
      </c>
      <c r="AB11" s="3">
        <f t="shared" si="9"/>
        <v>0.67873099109872637</v>
      </c>
      <c r="AC11" s="3">
        <f t="shared" si="10"/>
        <v>0.50499539813807459</v>
      </c>
      <c r="AD11" s="3">
        <f t="shared" si="11"/>
        <v>0.56302835412168328</v>
      </c>
      <c r="AE11" s="3">
        <f t="shared" si="12"/>
        <v>0.54160538350397025</v>
      </c>
      <c r="AF11" s="3">
        <f t="shared" si="13"/>
        <v>0.38738048149696103</v>
      </c>
      <c r="AG11" s="3">
        <f t="shared" si="14"/>
        <v>0.41195642894665341</v>
      </c>
      <c r="AH11" s="3">
        <f t="shared" si="15"/>
        <v>0.49928992644539122</v>
      </c>
      <c r="AI11" s="3">
        <f t="shared" si="16"/>
        <v>0.66317914330949346</v>
      </c>
      <c r="AJ11" s="131">
        <f t="shared" si="17"/>
        <v>7.8165571829746412</v>
      </c>
      <c r="AK11" s="33"/>
    </row>
    <row r="12" spans="1:37" x14ac:dyDescent="0.25">
      <c r="P12" s="2">
        <f>AVERAGE(B2:N11)</f>
        <v>107.2559230769231</v>
      </c>
      <c r="Q12">
        <v>11</v>
      </c>
      <c r="R12">
        <v>1</v>
      </c>
      <c r="S12">
        <v>4</v>
      </c>
      <c r="T12" t="s">
        <v>909</v>
      </c>
      <c r="AJ12" s="33"/>
      <c r="AK12" s="33"/>
    </row>
    <row r="13" spans="1:37" x14ac:dyDescent="0.25">
      <c r="A13" t="s">
        <v>1715</v>
      </c>
      <c r="B13">
        <v>1</v>
      </c>
      <c r="C13">
        <f>B13+1</f>
        <v>2</v>
      </c>
      <c r="D13">
        <f t="shared" ref="D13:N13" si="27">C13+1</f>
        <v>3</v>
      </c>
      <c r="E13">
        <f t="shared" si="27"/>
        <v>4</v>
      </c>
      <c r="F13">
        <f t="shared" si="27"/>
        <v>5</v>
      </c>
      <c r="G13">
        <f t="shared" si="27"/>
        <v>6</v>
      </c>
      <c r="H13">
        <f t="shared" si="27"/>
        <v>7</v>
      </c>
      <c r="I13">
        <f t="shared" si="27"/>
        <v>8</v>
      </c>
      <c r="J13">
        <f t="shared" si="27"/>
        <v>9</v>
      </c>
      <c r="K13">
        <f t="shared" si="27"/>
        <v>10</v>
      </c>
      <c r="L13">
        <f t="shared" si="27"/>
        <v>11</v>
      </c>
      <c r="M13">
        <f t="shared" si="27"/>
        <v>12</v>
      </c>
      <c r="N13">
        <f t="shared" si="27"/>
        <v>13</v>
      </c>
      <c r="Q13">
        <v>12</v>
      </c>
      <c r="R13">
        <v>1</v>
      </c>
      <c r="S13">
        <v>8</v>
      </c>
      <c r="T13" t="s">
        <v>910</v>
      </c>
      <c r="W13" t="s">
        <v>1735</v>
      </c>
      <c r="AJ13" s="33"/>
      <c r="AK13" s="33"/>
    </row>
    <row r="14" spans="1:37" x14ac:dyDescent="0.25">
      <c r="A14" t="s">
        <v>20</v>
      </c>
      <c r="B14" s="115">
        <f>Scores!B2</f>
        <v>111.89999999999999</v>
      </c>
      <c r="C14" s="115">
        <f>Scores!C2</f>
        <v>129</v>
      </c>
      <c r="D14" s="115">
        <f>Scores!D2</f>
        <v>111.80000000000001</v>
      </c>
      <c r="E14" s="115">
        <f>Scores!E2</f>
        <v>99.899999999999991</v>
      </c>
      <c r="F14" s="115">
        <f>Scores!F2</f>
        <v>114.56</v>
      </c>
      <c r="G14" s="115">
        <f>Scores!G2</f>
        <v>95.610000000000014</v>
      </c>
      <c r="H14" s="115">
        <f>Scores!H2</f>
        <v>104.80000000000001</v>
      </c>
      <c r="I14" s="115">
        <f>Scores!I2</f>
        <v>116.25000000000003</v>
      </c>
      <c r="J14" s="115">
        <f>Scores!J2</f>
        <v>112.01999999999998</v>
      </c>
      <c r="K14" s="115">
        <f>Scores!K2</f>
        <v>109.97</v>
      </c>
      <c r="L14" s="115">
        <f>Scores!L2</f>
        <v>105.10000000000001</v>
      </c>
      <c r="M14" s="115">
        <f>Scores!M2</f>
        <v>107.46</v>
      </c>
      <c r="N14" s="115">
        <f>Scores!N2</f>
        <v>117.95000000000002</v>
      </c>
      <c r="P14" s="2"/>
      <c r="Q14">
        <v>13</v>
      </c>
      <c r="R14">
        <v>1</v>
      </c>
      <c r="S14">
        <v>2</v>
      </c>
      <c r="T14" t="s">
        <v>911</v>
      </c>
      <c r="V14" t="s">
        <v>20</v>
      </c>
      <c r="W14" s="132">
        <f t="shared" ref="W14:W23" si="28">B2-(SUM(B$2:B$11)-B2)/9</f>
        <v>40.555555555555529</v>
      </c>
      <c r="X14" s="132">
        <f t="shared" ref="X14:X23" si="29">C2-(SUM(C$2:C$11)-C2)/9</f>
        <v>17.011111111111077</v>
      </c>
      <c r="Y14" s="132">
        <f t="shared" ref="Y14:Y23" si="30">D2-(SUM(D$2:D$11)-D2)/9</f>
        <v>-16.077777777777797</v>
      </c>
      <c r="Z14" s="132">
        <f t="shared" ref="Z14:Z23" si="31">E2-(SUM(E$2:E$11)-E2)/9</f>
        <v>0.48888888888890847</v>
      </c>
      <c r="AA14" s="132">
        <f t="shared" ref="AA14:AA23" si="32">F2-(SUM(F$2:F$11)-F2)/9</f>
        <v>-4.5433333333333508</v>
      </c>
      <c r="AB14" s="132">
        <f t="shared" ref="AB14:AB23" si="33">G2-(SUM(G$2:G$11)-G2)/9</f>
        <v>-7.9577777777778067</v>
      </c>
      <c r="AC14" s="132">
        <f t="shared" ref="AC14:AC23" si="34">H2-(SUM(H$2:H$11)-H2)/9</f>
        <v>13.76333333333335</v>
      </c>
      <c r="AD14" s="132">
        <f t="shared" ref="AD14:AD23" si="35">I2-(SUM(I$2:I$11)-I2)/9</f>
        <v>2.0222222222222399</v>
      </c>
      <c r="AE14" s="132">
        <f t="shared" ref="AE14:AE23" si="36">J2-(SUM(J$2:J$11)-J2)/9</f>
        <v>-4.3888888888888857</v>
      </c>
      <c r="AF14" s="132">
        <f t="shared" ref="AF14:AF23" si="37">K2-(SUM(K$2:K$11)-K2)/9</f>
        <v>-9.7644444444444645</v>
      </c>
      <c r="AG14" s="132">
        <f t="shared" ref="AG14:AG23" si="38">L2-(SUM(L$2:L$11)-L2)/9</f>
        <v>-2.5677777777778061</v>
      </c>
      <c r="AH14" s="132">
        <f t="shared" ref="AH14:AH23" si="39">M2-(SUM(M$2:M$11)-M2)/9</f>
        <v>-0.91555555555558499</v>
      </c>
      <c r="AI14" s="132">
        <f t="shared" ref="AI14:AI23" si="40">N2-(SUM(N$2:N$11)-N2)/9</f>
        <v>-3.4555555555555628</v>
      </c>
      <c r="AJ14" s="131">
        <f>SUM(W14:AI14)</f>
        <v>24.169999999999845</v>
      </c>
      <c r="AK14" s="131">
        <f>AJ14/13</f>
        <v>1.8592307692307573</v>
      </c>
    </row>
    <row r="15" spans="1:37" x14ac:dyDescent="0.25">
      <c r="A15" t="s">
        <v>16</v>
      </c>
      <c r="B15" s="115">
        <f>Scores!B3</f>
        <v>120.09999999999998</v>
      </c>
      <c r="C15" s="115">
        <f>Scores!C3</f>
        <v>91.600000000000009</v>
      </c>
      <c r="D15" s="115">
        <f>Scores!D3</f>
        <v>129.19999999999999</v>
      </c>
      <c r="E15" s="115">
        <f>Scores!E3</f>
        <v>119.50000000000001</v>
      </c>
      <c r="F15" s="115">
        <f>Scores!F3</f>
        <v>114.38</v>
      </c>
      <c r="G15" s="115">
        <f>Scores!G3</f>
        <v>107.81000000000002</v>
      </c>
      <c r="H15" s="115">
        <f>Scores!H3</f>
        <v>105.52</v>
      </c>
      <c r="I15" s="115">
        <f>Scores!I3</f>
        <v>108.12</v>
      </c>
      <c r="J15" s="115">
        <f>Scores!J3</f>
        <v>116.23</v>
      </c>
      <c r="K15" s="115">
        <f>Scores!K3</f>
        <v>112.59</v>
      </c>
      <c r="L15" s="115">
        <f>Scores!L3</f>
        <v>100.83</v>
      </c>
      <c r="M15" s="115">
        <f>Scores!M3</f>
        <v>114.42999999999999</v>
      </c>
      <c r="N15" s="115">
        <f>Scores!N3</f>
        <v>106.08</v>
      </c>
      <c r="P15" s="2"/>
      <c r="Q15">
        <v>1</v>
      </c>
      <c r="R15">
        <v>2</v>
      </c>
      <c r="S15">
        <v>8</v>
      </c>
      <c r="T15" t="s">
        <v>502</v>
      </c>
      <c r="V15" t="s">
        <v>16</v>
      </c>
      <c r="W15" s="132">
        <f t="shared" si="28"/>
        <v>-62.333333333333329</v>
      </c>
      <c r="X15" s="132">
        <f t="shared" si="29"/>
        <v>-24.988888888888894</v>
      </c>
      <c r="Y15" s="132">
        <f t="shared" si="30"/>
        <v>-28.077777777777783</v>
      </c>
      <c r="Z15" s="132">
        <f t="shared" si="31"/>
        <v>-21.288888888888877</v>
      </c>
      <c r="AA15" s="132">
        <f t="shared" si="32"/>
        <v>20.256666666666661</v>
      </c>
      <c r="AB15" s="132">
        <f t="shared" si="33"/>
        <v>10.164444444444428</v>
      </c>
      <c r="AC15" s="132">
        <f t="shared" si="34"/>
        <v>-2.7699999999999818</v>
      </c>
      <c r="AD15" s="132">
        <f t="shared" si="35"/>
        <v>1.9000000000000057</v>
      </c>
      <c r="AE15" s="132">
        <f t="shared" si="36"/>
        <v>3.1888888888888971</v>
      </c>
      <c r="AF15" s="132">
        <f t="shared" si="37"/>
        <v>6.6133333333333297</v>
      </c>
      <c r="AG15" s="132">
        <f t="shared" si="38"/>
        <v>9.7322222222222194</v>
      </c>
      <c r="AH15" s="132">
        <f t="shared" si="39"/>
        <v>-10.071111111111122</v>
      </c>
      <c r="AI15" s="132">
        <f t="shared" si="40"/>
        <v>9.7333333333333485</v>
      </c>
      <c r="AJ15" s="131">
        <f t="shared" ref="AJ15:AJ23" si="41">SUM(W15:AI15)</f>
        <v>-87.941111111111084</v>
      </c>
      <c r="AK15" s="131">
        <f t="shared" ref="AK15:AK23" si="42">AJ15/13</f>
        <v>-6.7647008547008527</v>
      </c>
    </row>
    <row r="16" spans="1:37" x14ac:dyDescent="0.25">
      <c r="A16" t="s">
        <v>55</v>
      </c>
      <c r="B16" s="115">
        <f>Scores!B4</f>
        <v>145.39999999999998</v>
      </c>
      <c r="C16" s="115">
        <f>Scores!C4</f>
        <v>123.39999999999999</v>
      </c>
      <c r="D16" s="115">
        <f>Scores!D4</f>
        <v>108.00000000000001</v>
      </c>
      <c r="E16" s="115">
        <f>Scores!E4</f>
        <v>174.5</v>
      </c>
      <c r="F16" s="115">
        <f>Scores!F4</f>
        <v>112.65</v>
      </c>
      <c r="G16" s="115">
        <f>Scores!G4</f>
        <v>116.63</v>
      </c>
      <c r="H16" s="115">
        <f>Scores!H4</f>
        <v>107.27000000000001</v>
      </c>
      <c r="I16" s="115">
        <f>Scores!I4</f>
        <v>117.09</v>
      </c>
      <c r="J16" s="115">
        <f>Scores!J4</f>
        <v>104.71</v>
      </c>
      <c r="K16" s="115">
        <f>Scores!K4</f>
        <v>93</v>
      </c>
      <c r="L16" s="115">
        <f>Scores!L4</f>
        <v>112.91000000000001</v>
      </c>
      <c r="M16" s="115">
        <f>Scores!M4</f>
        <v>111.5</v>
      </c>
      <c r="N16" s="115">
        <f>Scores!N4</f>
        <v>113.49</v>
      </c>
      <c r="P16" s="2"/>
      <c r="Q16">
        <v>2</v>
      </c>
      <c r="R16">
        <v>2</v>
      </c>
      <c r="S16">
        <v>5</v>
      </c>
      <c r="T16" t="s">
        <v>618</v>
      </c>
      <c r="V16" t="s">
        <v>55</v>
      </c>
      <c r="W16" s="132">
        <f t="shared" si="28"/>
        <v>3.3333333333333286</v>
      </c>
      <c r="X16" s="132">
        <f t="shared" si="29"/>
        <v>7.8999999999999915</v>
      </c>
      <c r="Y16" s="132">
        <f t="shared" si="30"/>
        <v>-17.63333333333334</v>
      </c>
      <c r="Z16" s="132">
        <f t="shared" si="31"/>
        <v>-6.2888888888888772</v>
      </c>
      <c r="AA16" s="132">
        <f>F4-(SUM(F$2:F$11)-F4)/9</f>
        <v>3.3233333333333093</v>
      </c>
      <c r="AB16" s="132">
        <f t="shared" si="33"/>
        <v>0.36444444444444457</v>
      </c>
      <c r="AC16" s="132">
        <f t="shared" si="34"/>
        <v>-3.1811111111110932</v>
      </c>
      <c r="AD16" s="132">
        <f t="shared" si="35"/>
        <v>-1.9111111111110972</v>
      </c>
      <c r="AE16" s="132">
        <f t="shared" si="36"/>
        <v>1.9000000000000057</v>
      </c>
      <c r="AF16" s="132">
        <f t="shared" si="37"/>
        <v>18.168888888888901</v>
      </c>
      <c r="AG16" s="132">
        <f t="shared" si="38"/>
        <v>-5.9455555555555719</v>
      </c>
      <c r="AH16" s="132">
        <f t="shared" si="39"/>
        <v>3.7844444444444321</v>
      </c>
      <c r="AI16" s="132">
        <f t="shared" si="40"/>
        <v>12.555555555555543</v>
      </c>
      <c r="AJ16" s="131">
        <f>SUM(W16:AI16)</f>
        <v>16.369999999999976</v>
      </c>
      <c r="AK16" s="131">
        <f t="shared" si="42"/>
        <v>1.2592307692307674</v>
      </c>
    </row>
    <row r="17" spans="1:37" x14ac:dyDescent="0.25">
      <c r="A17" t="s">
        <v>35</v>
      </c>
      <c r="B17" s="115">
        <f>Scores!B5</f>
        <v>97.7</v>
      </c>
      <c r="C17" s="115">
        <f>Scores!C5</f>
        <v>117.79999999999998</v>
      </c>
      <c r="D17" s="115">
        <f>Scores!D5</f>
        <v>100.10000000000001</v>
      </c>
      <c r="E17" s="115">
        <f>Scores!E5</f>
        <v>119.9</v>
      </c>
      <c r="F17" s="115">
        <f>Scores!F5</f>
        <v>129.46</v>
      </c>
      <c r="G17" s="115">
        <f>Scores!G5</f>
        <v>106.66000000000003</v>
      </c>
      <c r="H17" s="115">
        <f>Scores!H5</f>
        <v>102.97000000000001</v>
      </c>
      <c r="I17" s="115">
        <f>Scores!I5</f>
        <v>100.92000000000003</v>
      </c>
      <c r="J17" s="115">
        <f>Scores!J5</f>
        <v>109.09</v>
      </c>
      <c r="K17" s="115">
        <f>Scores!K5</f>
        <v>100.16999999999999</v>
      </c>
      <c r="L17" s="115">
        <f>Scores!L5</f>
        <v>104.67999999999999</v>
      </c>
      <c r="M17" s="115">
        <f>Scores!M5</f>
        <v>106.62</v>
      </c>
      <c r="N17" s="115">
        <f>Scores!N5</f>
        <v>109.39</v>
      </c>
      <c r="P17" s="2"/>
      <c r="Q17">
        <v>3</v>
      </c>
      <c r="R17">
        <v>2</v>
      </c>
      <c r="S17">
        <v>7</v>
      </c>
      <c r="T17" t="s">
        <v>803</v>
      </c>
      <c r="V17" t="s">
        <v>35</v>
      </c>
      <c r="W17" s="132">
        <f t="shared" si="28"/>
        <v>2.7777777777777857</v>
      </c>
      <c r="X17" s="132">
        <f t="shared" si="29"/>
        <v>29.455555555555549</v>
      </c>
      <c r="Y17" s="132">
        <f t="shared" si="30"/>
        <v>5.36666666666666</v>
      </c>
      <c r="Z17" s="132">
        <f t="shared" si="31"/>
        <v>19.822222222222223</v>
      </c>
      <c r="AA17" s="132">
        <f t="shared" si="32"/>
        <v>3.5011111111110864</v>
      </c>
      <c r="AB17" s="132">
        <f t="shared" si="33"/>
        <v>3.9755555555555304</v>
      </c>
      <c r="AC17" s="132">
        <f t="shared" si="34"/>
        <v>1.5966666666666782</v>
      </c>
      <c r="AD17" s="132">
        <f t="shared" si="35"/>
        <v>-12.588888888888889</v>
      </c>
      <c r="AE17" s="132">
        <f t="shared" si="36"/>
        <v>11.12222222222222</v>
      </c>
      <c r="AF17" s="132">
        <f t="shared" si="37"/>
        <v>-4.7644444444444503</v>
      </c>
      <c r="AG17" s="132">
        <f t="shared" si="38"/>
        <v>-2.1011111111111092</v>
      </c>
      <c r="AH17" s="132">
        <f t="shared" si="39"/>
        <v>-0.23777777777780784</v>
      </c>
      <c r="AI17" s="132">
        <f t="shared" si="40"/>
        <v>1.1000000000000085</v>
      </c>
      <c r="AJ17" s="131">
        <f t="shared" si="41"/>
        <v>59.025555555555485</v>
      </c>
      <c r="AK17" s="131">
        <f t="shared" si="42"/>
        <v>4.5404273504273451</v>
      </c>
    </row>
    <row r="18" spans="1:37" x14ac:dyDescent="0.25">
      <c r="A18" t="s">
        <v>27</v>
      </c>
      <c r="B18" s="115">
        <f>Scores!B6</f>
        <v>107.10000000000001</v>
      </c>
      <c r="C18" s="115">
        <f>Scores!C6</f>
        <v>80</v>
      </c>
      <c r="D18" s="115">
        <f>Scores!D6</f>
        <v>92.5</v>
      </c>
      <c r="E18" s="115">
        <f>Scores!E6</f>
        <v>113.39999999999999</v>
      </c>
      <c r="F18" s="115">
        <f>Scores!F6</f>
        <v>103.71</v>
      </c>
      <c r="G18" s="115">
        <f>Scores!G6</f>
        <v>111.06</v>
      </c>
      <c r="H18" s="115">
        <f>Scores!H6</f>
        <v>97.619999999999976</v>
      </c>
      <c r="I18" s="115">
        <f>Scores!I6</f>
        <v>108.68</v>
      </c>
      <c r="J18" s="115">
        <f>Scores!J6</f>
        <v>103.55999999999999</v>
      </c>
      <c r="K18" s="115">
        <f>Scores!K6</f>
        <v>97.109999999999985</v>
      </c>
      <c r="L18" s="115">
        <f>Scores!L6</f>
        <v>104.53999999999999</v>
      </c>
      <c r="M18" s="115">
        <f>Scores!M6</f>
        <v>109.74000000000001</v>
      </c>
      <c r="N18" s="115">
        <f>Scores!N6</f>
        <v>101.06</v>
      </c>
      <c r="P18" s="2"/>
      <c r="Q18">
        <v>4</v>
      </c>
      <c r="R18">
        <v>2</v>
      </c>
      <c r="S18">
        <v>1</v>
      </c>
      <c r="T18" t="s">
        <v>858</v>
      </c>
      <c r="V18" t="s">
        <v>27</v>
      </c>
      <c r="W18" s="132">
        <f t="shared" si="28"/>
        <v>-19.333333333333329</v>
      </c>
      <c r="X18" s="132">
        <f t="shared" si="29"/>
        <v>-12.099999999999994</v>
      </c>
      <c r="Y18" s="132">
        <f t="shared" si="30"/>
        <v>8.922222222222203</v>
      </c>
      <c r="Z18" s="132">
        <f t="shared" si="31"/>
        <v>61.600000000000009</v>
      </c>
      <c r="AA18" s="132">
        <f t="shared" si="32"/>
        <v>1.289999999999992</v>
      </c>
      <c r="AB18" s="132">
        <f t="shared" si="33"/>
        <v>-0.91333333333331268</v>
      </c>
      <c r="AC18" s="132">
        <f t="shared" si="34"/>
        <v>-3.781111111111116</v>
      </c>
      <c r="AD18" s="132">
        <f t="shared" si="35"/>
        <v>-18.76666666666668</v>
      </c>
      <c r="AE18" s="132">
        <f t="shared" si="36"/>
        <v>-16.87777777777778</v>
      </c>
      <c r="AF18" s="132">
        <f t="shared" si="37"/>
        <v>4.5244444444444412</v>
      </c>
      <c r="AG18" s="132">
        <f t="shared" si="38"/>
        <v>15.632222222222211</v>
      </c>
      <c r="AH18" s="132">
        <f t="shared" si="39"/>
        <v>5.7399999999999807</v>
      </c>
      <c r="AI18" s="132">
        <f t="shared" si="40"/>
        <v>12.13333333333334</v>
      </c>
      <c r="AJ18" s="131">
        <f t="shared" si="41"/>
        <v>38.069999999999965</v>
      </c>
      <c r="AK18" s="131">
        <f t="shared" si="42"/>
        <v>2.9284615384615358</v>
      </c>
    </row>
    <row r="19" spans="1:37" x14ac:dyDescent="0.25">
      <c r="A19" t="s">
        <v>62</v>
      </c>
      <c r="B19" s="115">
        <f>Scores!B7</f>
        <v>106.2</v>
      </c>
      <c r="C19" s="115">
        <f>Scores!C7</f>
        <v>109.6</v>
      </c>
      <c r="D19" s="115">
        <f>Scores!D7</f>
        <v>104.6</v>
      </c>
      <c r="E19" s="115">
        <f>Scores!E7</f>
        <v>106</v>
      </c>
      <c r="F19" s="115">
        <f>Scores!F7</f>
        <v>112.39000000000001</v>
      </c>
      <c r="G19" s="115">
        <f>Scores!G7</f>
        <v>110.40000000000002</v>
      </c>
      <c r="H19" s="115">
        <f>Scores!H7</f>
        <v>113.77000000000001</v>
      </c>
      <c r="I19" s="115">
        <f>Scores!I7</f>
        <v>106.75000000000001</v>
      </c>
      <c r="J19" s="115">
        <f>Scores!J7</f>
        <v>114.72000000000001</v>
      </c>
      <c r="K19" s="115">
        <f>Scores!K7</f>
        <v>122.25000000000001</v>
      </c>
      <c r="L19" s="115">
        <f>Scores!L7</f>
        <v>115.75</v>
      </c>
      <c r="M19" s="115">
        <f>Scores!M7</f>
        <v>106.38</v>
      </c>
      <c r="N19" s="115">
        <f>Scores!N7</f>
        <v>120.11000000000001</v>
      </c>
      <c r="P19" s="2"/>
      <c r="Q19">
        <v>5</v>
      </c>
      <c r="R19">
        <v>2</v>
      </c>
      <c r="S19">
        <v>4</v>
      </c>
      <c r="T19" t="s">
        <v>883</v>
      </c>
      <c r="V19" t="s">
        <v>62</v>
      </c>
      <c r="W19" s="132">
        <f t="shared" si="28"/>
        <v>39.999999999999972</v>
      </c>
      <c r="X19" s="132">
        <f t="shared" si="29"/>
        <v>23.233333333333306</v>
      </c>
      <c r="Y19" s="132">
        <f t="shared" si="30"/>
        <v>0.36666666666667425</v>
      </c>
      <c r="Z19" s="132">
        <f t="shared" si="31"/>
        <v>-53.177777777777777</v>
      </c>
      <c r="AA19" s="132">
        <f t="shared" si="32"/>
        <v>-8.3544444444444679</v>
      </c>
      <c r="AB19" s="132">
        <f t="shared" si="33"/>
        <v>-0.55777777777780102</v>
      </c>
      <c r="AC19" s="132">
        <f t="shared" si="34"/>
        <v>-3.8255555555555674</v>
      </c>
      <c r="AD19" s="132">
        <f t="shared" si="35"/>
        <v>12.577777777777811</v>
      </c>
      <c r="AE19" s="132">
        <f t="shared" si="36"/>
        <v>-6.2000000000000171</v>
      </c>
      <c r="AF19" s="132">
        <f t="shared" si="37"/>
        <v>-14.331111111111113</v>
      </c>
      <c r="AG19" s="132">
        <f t="shared" si="38"/>
        <v>-6.8455555555555634</v>
      </c>
      <c r="AH19" s="132">
        <f t="shared" si="39"/>
        <v>-8.9155555555555424</v>
      </c>
      <c r="AI19" s="132">
        <f t="shared" si="40"/>
        <v>-9.0333333333333456</v>
      </c>
      <c r="AJ19" s="131">
        <f t="shared" si="41"/>
        <v>-35.063333333333432</v>
      </c>
      <c r="AK19" s="131">
        <f t="shared" si="42"/>
        <v>-2.6971794871794947</v>
      </c>
    </row>
    <row r="20" spans="1:37" x14ac:dyDescent="0.25">
      <c r="A20" t="s">
        <v>1648</v>
      </c>
      <c r="B20" s="115">
        <f>Scores!B8</f>
        <v>111.4</v>
      </c>
      <c r="C20" s="115">
        <f>Scores!C8</f>
        <v>105.1</v>
      </c>
      <c r="D20" s="115">
        <f>Scores!D8</f>
        <v>74.5</v>
      </c>
      <c r="E20" s="115">
        <f>Scores!E8</f>
        <v>122.10000000000001</v>
      </c>
      <c r="F20" s="115">
        <f>Scores!F8</f>
        <v>107.14</v>
      </c>
      <c r="G20" s="115">
        <f>Scores!G8</f>
        <v>106.97999999999999</v>
      </c>
      <c r="H20" s="115">
        <f>Scores!H8</f>
        <v>102.42999999999999</v>
      </c>
      <c r="I20" s="115">
        <f>Scores!I8</f>
        <v>103.21000000000001</v>
      </c>
      <c r="J20" s="115">
        <f>Scores!J8</f>
        <v>102.27000000000001</v>
      </c>
      <c r="K20" s="115">
        <f>Scores!K8</f>
        <v>101.61</v>
      </c>
      <c r="L20" s="115">
        <f>Scores!L8</f>
        <v>96.07</v>
      </c>
      <c r="M20" s="115">
        <f>Scores!M8</f>
        <v>97.27000000000001</v>
      </c>
      <c r="N20" s="115">
        <f>Scores!N8</f>
        <v>98.63000000000001</v>
      </c>
      <c r="P20" s="2"/>
      <c r="Q20">
        <v>6</v>
      </c>
      <c r="R20">
        <v>2</v>
      </c>
      <c r="S20">
        <v>3</v>
      </c>
      <c r="T20" t="s">
        <v>912</v>
      </c>
      <c r="V20" t="s">
        <v>1648</v>
      </c>
      <c r="W20" s="132">
        <f t="shared" si="28"/>
        <v>-12.444444444444443</v>
      </c>
      <c r="X20" s="132">
        <f t="shared" si="29"/>
        <v>-13.544444444444451</v>
      </c>
      <c r="Y20" s="132">
        <f t="shared" si="30"/>
        <v>32.699999999999989</v>
      </c>
      <c r="Z20" s="132">
        <f t="shared" si="31"/>
        <v>9.0444444444444372</v>
      </c>
      <c r="AA20" s="132">
        <f t="shared" si="32"/>
        <v>3.7011111111110893</v>
      </c>
      <c r="AB20" s="132">
        <f t="shared" si="33"/>
        <v>3.2422222222222246</v>
      </c>
      <c r="AC20" s="132">
        <f t="shared" si="34"/>
        <v>-9.1255555555555645</v>
      </c>
      <c r="AD20" s="132">
        <f t="shared" si="35"/>
        <v>13.51111111111112</v>
      </c>
      <c r="AE20" s="132">
        <f t="shared" si="36"/>
        <v>6.4444444444444144</v>
      </c>
      <c r="AF20" s="132">
        <f t="shared" si="37"/>
        <v>-6.3644444444444588</v>
      </c>
      <c r="AG20" s="132">
        <f t="shared" si="38"/>
        <v>0.37666666666667936</v>
      </c>
      <c r="AH20" s="132">
        <f t="shared" si="39"/>
        <v>8.9955555555555264</v>
      </c>
      <c r="AI20" s="132">
        <f t="shared" si="40"/>
        <v>-16.300000000000011</v>
      </c>
      <c r="AJ20" s="131">
        <f t="shared" si="41"/>
        <v>20.236666666666551</v>
      </c>
      <c r="AK20" s="131">
        <f t="shared" si="42"/>
        <v>1.5566666666666578</v>
      </c>
    </row>
    <row r="21" spans="1:37" x14ac:dyDescent="0.25">
      <c r="A21" t="s">
        <v>23</v>
      </c>
      <c r="B21" s="115">
        <f>Scores!B9</f>
        <v>52.800000000000011</v>
      </c>
      <c r="C21" s="115">
        <f>Scores!C9</f>
        <v>90.300000000000011</v>
      </c>
      <c r="D21" s="115">
        <f>Scores!D9</f>
        <v>85.3</v>
      </c>
      <c r="E21" s="115">
        <f>Scores!E9</f>
        <v>136.89999999999998</v>
      </c>
      <c r="F21" s="115">
        <f>Scores!F9</f>
        <v>106.69</v>
      </c>
      <c r="G21" s="115">
        <f>Scores!G9</f>
        <v>110.11</v>
      </c>
      <c r="H21" s="115">
        <f>Scores!H9</f>
        <v>102.38999999999999</v>
      </c>
      <c r="I21" s="115">
        <f>Scores!I9</f>
        <v>88.039999999999992</v>
      </c>
      <c r="J21" s="115">
        <f>Scores!J9</f>
        <v>107.93</v>
      </c>
      <c r="K21" s="115">
        <f>Scores!K9</f>
        <v>111.85</v>
      </c>
      <c r="L21" s="115">
        <f>Scores!L9</f>
        <v>107.33000000000001</v>
      </c>
      <c r="M21" s="115">
        <f>Scores!M9</f>
        <v>105.50999999999999</v>
      </c>
      <c r="N21" s="115">
        <f>Scores!N9</f>
        <v>110.18</v>
      </c>
      <c r="P21" s="2"/>
      <c r="Q21">
        <v>7</v>
      </c>
      <c r="R21">
        <v>2</v>
      </c>
      <c r="S21">
        <v>10</v>
      </c>
      <c r="T21" t="s">
        <v>913</v>
      </c>
      <c r="V21" t="s">
        <v>23</v>
      </c>
      <c r="W21" s="132">
        <f t="shared" si="28"/>
        <v>12.444444444444429</v>
      </c>
      <c r="X21" s="132">
        <f t="shared" si="29"/>
        <v>2.8999999999999915</v>
      </c>
      <c r="Y21" s="132">
        <f t="shared" si="30"/>
        <v>13.366666666666674</v>
      </c>
      <c r="Z21" s="132">
        <f t="shared" si="31"/>
        <v>0.93333333333336554</v>
      </c>
      <c r="AA21" s="132">
        <f t="shared" si="32"/>
        <v>-15.709999999999994</v>
      </c>
      <c r="AB21" s="132">
        <f t="shared" si="33"/>
        <v>1.9533333333333047</v>
      </c>
      <c r="AC21" s="132">
        <f t="shared" si="34"/>
        <v>8.8188888888889068</v>
      </c>
      <c r="AD21" s="132">
        <f t="shared" si="35"/>
        <v>4.1666666666666856</v>
      </c>
      <c r="AE21" s="132">
        <f t="shared" si="36"/>
        <v>-1.6777777777777914</v>
      </c>
      <c r="AF21" s="132">
        <f t="shared" si="37"/>
        <v>7.4355555555555668</v>
      </c>
      <c r="AG21" s="132">
        <f t="shared" si="38"/>
        <v>-12.134444444444469</v>
      </c>
      <c r="AH21" s="132">
        <f t="shared" si="39"/>
        <v>1.2511111111110864</v>
      </c>
      <c r="AI21" s="132">
        <f t="shared" si="40"/>
        <v>0.22222222222221433</v>
      </c>
      <c r="AJ21" s="131">
        <f t="shared" si="41"/>
        <v>23.96999999999997</v>
      </c>
      <c r="AK21" s="131">
        <f t="shared" si="42"/>
        <v>1.8438461538461515</v>
      </c>
    </row>
    <row r="22" spans="1:37" x14ac:dyDescent="0.25">
      <c r="A22" t="s">
        <v>49</v>
      </c>
      <c r="B22" s="115">
        <f>Scores!B10</f>
        <v>144.89999999999998</v>
      </c>
      <c r="C22" s="115">
        <f>Scores!C10</f>
        <v>98.9</v>
      </c>
      <c r="D22" s="115">
        <f>Scores!D10</f>
        <v>107.8</v>
      </c>
      <c r="E22" s="115">
        <f>Scores!E10</f>
        <v>127.19999999999997</v>
      </c>
      <c r="F22" s="115">
        <f>Scores!F10</f>
        <v>114.22</v>
      </c>
      <c r="G22" s="115">
        <f>Scores!G10</f>
        <v>109.24</v>
      </c>
      <c r="H22" s="115">
        <f>Scores!H10</f>
        <v>118.22</v>
      </c>
      <c r="I22" s="115">
        <f>Scores!I10</f>
        <v>106.64</v>
      </c>
      <c r="J22" s="115">
        <f>Scores!J10</f>
        <v>100.63999999999999</v>
      </c>
      <c r="K22" s="115">
        <f>Scores!K10</f>
        <v>113.76</v>
      </c>
      <c r="L22" s="115">
        <f>Scores!L10</f>
        <v>121.06</v>
      </c>
      <c r="M22" s="115">
        <f>Scores!M10</f>
        <v>106.11999999999999</v>
      </c>
      <c r="N22" s="115">
        <f>Scores!N10</f>
        <v>120.49</v>
      </c>
      <c r="P22" s="2"/>
      <c r="Q22">
        <v>8</v>
      </c>
      <c r="R22">
        <v>2</v>
      </c>
      <c r="S22">
        <v>9</v>
      </c>
      <c r="T22" t="s">
        <v>914</v>
      </c>
      <c r="V22" t="s">
        <v>49</v>
      </c>
      <c r="W22" s="132">
        <f t="shared" si="28"/>
        <v>-2.9999999999999858</v>
      </c>
      <c r="X22" s="132">
        <f t="shared" si="29"/>
        <v>-25.877777777777794</v>
      </c>
      <c r="Y22" s="132">
        <f t="shared" si="30"/>
        <v>-8.0777777777777828</v>
      </c>
      <c r="Z22" s="132">
        <f t="shared" si="31"/>
        <v>3.37777777777778</v>
      </c>
      <c r="AA22" s="132">
        <f t="shared" si="32"/>
        <v>1.5788888888888692</v>
      </c>
      <c r="AB22" s="132">
        <f t="shared" si="33"/>
        <v>2.9199999999999875</v>
      </c>
      <c r="AC22" s="132">
        <f t="shared" si="34"/>
        <v>-1.1477777777777618</v>
      </c>
      <c r="AD22" s="132">
        <f t="shared" si="35"/>
        <v>3.5444444444444514</v>
      </c>
      <c r="AE22" s="132">
        <f t="shared" si="36"/>
        <v>9.4444444444444571</v>
      </c>
      <c r="AF22" s="132">
        <f t="shared" si="37"/>
        <v>-10.253333333333359</v>
      </c>
      <c r="AG22" s="132">
        <f t="shared" si="38"/>
        <v>-2.7233333333333576</v>
      </c>
      <c r="AH22" s="132">
        <f t="shared" si="39"/>
        <v>0.3177777777777635</v>
      </c>
      <c r="AI22" s="132">
        <f t="shared" si="40"/>
        <v>4.7777777777777573</v>
      </c>
      <c r="AJ22" s="131">
        <f t="shared" si="41"/>
        <v>-25.118888888888975</v>
      </c>
      <c r="AK22" s="131">
        <f t="shared" si="42"/>
        <v>-1.9322222222222289</v>
      </c>
    </row>
    <row r="23" spans="1:37" x14ac:dyDescent="0.25">
      <c r="A23" t="s">
        <v>44</v>
      </c>
      <c r="B23" s="115">
        <f>Scores!B11</f>
        <v>91.5</v>
      </c>
      <c r="C23" s="115">
        <f>Scores!C11</f>
        <v>79.199999999999989</v>
      </c>
      <c r="D23" s="115">
        <f>Scores!D11</f>
        <v>83.9</v>
      </c>
      <c r="E23" s="115">
        <f>Scores!E11</f>
        <v>71.199999999999989</v>
      </c>
      <c r="F23" s="115">
        <f>Scores!F11</f>
        <v>97.090000000000018</v>
      </c>
      <c r="G23" s="115">
        <f>Scores!G11</f>
        <v>100.32</v>
      </c>
      <c r="H23" s="115">
        <f>Scores!H11</f>
        <v>103.34</v>
      </c>
      <c r="I23" s="115">
        <f>Scores!I11</f>
        <v>93.6</v>
      </c>
      <c r="J23" s="115">
        <f>Scores!J11</f>
        <v>91.03</v>
      </c>
      <c r="K23" s="115">
        <f>Scores!K11</f>
        <v>96.669999999999987</v>
      </c>
      <c r="L23" s="115">
        <f>Scores!L11</f>
        <v>101.64</v>
      </c>
      <c r="M23" s="115">
        <f>Scores!M11</f>
        <v>98.310000000000016</v>
      </c>
      <c r="N23" s="115">
        <f>Scores!N11</f>
        <v>94.52</v>
      </c>
      <c r="P23" s="2"/>
      <c r="Q23">
        <v>9</v>
      </c>
      <c r="R23">
        <v>2</v>
      </c>
      <c r="S23">
        <v>4</v>
      </c>
      <c r="T23" t="s">
        <v>915</v>
      </c>
      <c r="V23" t="s">
        <v>44</v>
      </c>
      <c r="W23" s="132">
        <f t="shared" si="28"/>
        <v>-1.9999999999999858</v>
      </c>
      <c r="X23" s="132">
        <f t="shared" si="29"/>
        <v>-3.9888888888888943</v>
      </c>
      <c r="Y23" s="132">
        <f t="shared" si="30"/>
        <v>9.1444444444444599</v>
      </c>
      <c r="Z23" s="132">
        <f t="shared" si="31"/>
        <v>-14.511111111111106</v>
      </c>
      <c r="AA23" s="132">
        <f t="shared" si="32"/>
        <v>-5.0433333333333508</v>
      </c>
      <c r="AB23" s="132">
        <f t="shared" si="33"/>
        <v>-13.191111111111113</v>
      </c>
      <c r="AC23" s="132">
        <f t="shared" si="34"/>
        <v>-0.34777777777777885</v>
      </c>
      <c r="AD23" s="132">
        <f t="shared" si="35"/>
        <v>-4.455555555555506</v>
      </c>
      <c r="AE23" s="132">
        <f t="shared" si="36"/>
        <v>-2.955555555555577</v>
      </c>
      <c r="AF23" s="132">
        <f t="shared" si="37"/>
        <v>8.735555555555564</v>
      </c>
      <c r="AG23" s="132">
        <f t="shared" si="38"/>
        <v>6.576666666666668</v>
      </c>
      <c r="AH23" s="132">
        <f t="shared" si="39"/>
        <v>5.1111111111083574E-2</v>
      </c>
      <c r="AI23" s="132">
        <f t="shared" si="40"/>
        <v>-11.733333333333334</v>
      </c>
      <c r="AJ23" s="131">
        <f t="shared" si="41"/>
        <v>-33.71888888888887</v>
      </c>
      <c r="AK23" s="131">
        <f t="shared" si="42"/>
        <v>-2.5937606837606824</v>
      </c>
    </row>
    <row r="24" spans="1:37" x14ac:dyDescent="0.25">
      <c r="Q24">
        <v>10</v>
      </c>
      <c r="R24">
        <v>2</v>
      </c>
      <c r="S24">
        <v>8</v>
      </c>
      <c r="T24" t="s">
        <v>916</v>
      </c>
      <c r="AJ24" s="33"/>
      <c r="AK24" s="33"/>
    </row>
    <row r="25" spans="1:37" x14ac:dyDescent="0.25">
      <c r="A25" t="s">
        <v>1716</v>
      </c>
      <c r="Q25">
        <v>11</v>
      </c>
      <c r="R25">
        <v>2</v>
      </c>
      <c r="S25">
        <v>6</v>
      </c>
      <c r="T25" t="s">
        <v>917</v>
      </c>
      <c r="W25" t="s">
        <v>1736</v>
      </c>
      <c r="AJ25" s="33"/>
      <c r="AK25" s="33"/>
    </row>
    <row r="26" spans="1:37" x14ac:dyDescent="0.25">
      <c r="A26" t="s">
        <v>20</v>
      </c>
      <c r="B26">
        <f t="shared" ref="B26:N26" si="43">INDEX(B$38:B$47,INDEX($S$2:$S$131,MATCH($A38&amp;"-"&amp;B$1,$T$2:$T$131,0)))</f>
        <v>1E-4</v>
      </c>
      <c r="C26">
        <f t="shared" si="43"/>
        <v>1E-4</v>
      </c>
      <c r="D26">
        <f t="shared" si="43"/>
        <v>1E-4</v>
      </c>
      <c r="E26">
        <f t="shared" si="43"/>
        <v>1E-4</v>
      </c>
      <c r="F26">
        <f t="shared" si="43"/>
        <v>235.17039999999997</v>
      </c>
      <c r="G26">
        <f t="shared" si="43"/>
        <v>456.78859999999997</v>
      </c>
      <c r="H26">
        <f t="shared" si="43"/>
        <v>498.19350000000003</v>
      </c>
      <c r="I26">
        <f t="shared" si="43"/>
        <v>468.12379999999996</v>
      </c>
      <c r="J26">
        <f t="shared" si="43"/>
        <v>335.95609999999999</v>
      </c>
      <c r="K26">
        <f t="shared" si="43"/>
        <v>343.40369999999996</v>
      </c>
      <c r="L26">
        <f t="shared" si="43"/>
        <v>392.63210000000004</v>
      </c>
      <c r="M26">
        <f t="shared" si="43"/>
        <v>384.5727</v>
      </c>
      <c r="N26">
        <f t="shared" si="43"/>
        <v>320.21050000000008</v>
      </c>
      <c r="P26" s="2"/>
      <c r="Q26">
        <v>12</v>
      </c>
      <c r="R26">
        <v>2</v>
      </c>
      <c r="S26">
        <v>7</v>
      </c>
      <c r="T26" t="s">
        <v>918</v>
      </c>
      <c r="V26" t="s">
        <v>20</v>
      </c>
      <c r="W26" s="132">
        <f>B14-(SUM(B$14:B$23)-B14)/9</f>
        <v>3.3333333333333286</v>
      </c>
      <c r="X26" s="132">
        <f t="shared" ref="X26:AI35" si="44">C14-(SUM(C$14:C$23)-C14)/9</f>
        <v>29.455555555555577</v>
      </c>
      <c r="Y26" s="132">
        <f t="shared" si="44"/>
        <v>13.366666666666688</v>
      </c>
      <c r="Z26" s="132">
        <f t="shared" si="44"/>
        <v>-21.288888888888877</v>
      </c>
      <c r="AA26" s="132">
        <f t="shared" si="44"/>
        <v>3.7011111111111177</v>
      </c>
      <c r="AB26" s="132">
        <f t="shared" si="44"/>
        <v>-13.191111111111084</v>
      </c>
      <c r="AC26" s="132">
        <f t="shared" si="44"/>
        <v>-1.1477777777777618</v>
      </c>
      <c r="AD26" s="132">
        <f t="shared" si="44"/>
        <v>12.577777777777811</v>
      </c>
      <c r="AE26" s="132">
        <f t="shared" si="44"/>
        <v>6.4444444444444144</v>
      </c>
      <c r="AF26" s="132">
        <f t="shared" si="44"/>
        <v>4.5244444444444412</v>
      </c>
      <c r="AG26" s="132">
        <f t="shared" si="44"/>
        <v>-2.1011111111111376</v>
      </c>
      <c r="AH26" s="132">
        <f t="shared" si="44"/>
        <v>1.2511111111111148</v>
      </c>
      <c r="AI26" s="132">
        <f t="shared" si="44"/>
        <v>9.7333333333333485</v>
      </c>
      <c r="AJ26" s="131">
        <f>SUM(W26:AI26)</f>
        <v>46.658888888888981</v>
      </c>
      <c r="AK26" s="131">
        <f>AJ26/13</f>
        <v>3.5891452991453061</v>
      </c>
    </row>
    <row r="27" spans="1:37" x14ac:dyDescent="0.25">
      <c r="A27" t="s">
        <v>16</v>
      </c>
      <c r="B27">
        <f t="shared" ref="B27:N27" si="45">INDEX(B$38:B$47,INDEX($S$2:$S$131,MATCH($A39&amp;"-"&amp;B$1,$T$2:$T$131,0)))</f>
        <v>1E-4</v>
      </c>
      <c r="C27">
        <f t="shared" si="45"/>
        <v>1E-4</v>
      </c>
      <c r="D27">
        <f t="shared" si="45"/>
        <v>1E-4</v>
      </c>
      <c r="E27">
        <f t="shared" si="45"/>
        <v>1E-4</v>
      </c>
      <c r="F27">
        <f t="shared" si="45"/>
        <v>371.72199999999998</v>
      </c>
      <c r="G27">
        <f t="shared" si="45"/>
        <v>479.99800000000005</v>
      </c>
      <c r="H27">
        <f t="shared" si="45"/>
        <v>389.40539999999993</v>
      </c>
      <c r="I27">
        <f t="shared" si="45"/>
        <v>512.92769999999996</v>
      </c>
      <c r="J27">
        <f t="shared" si="45"/>
        <v>394.76170000000002</v>
      </c>
      <c r="K27">
        <f t="shared" si="45"/>
        <v>400.35449999999997</v>
      </c>
      <c r="L27">
        <f t="shared" si="45"/>
        <v>466.6443000000001</v>
      </c>
      <c r="M27">
        <f t="shared" si="45"/>
        <v>338.76970000000006</v>
      </c>
      <c r="N27">
        <f t="shared" si="45"/>
        <v>462.59000000000003</v>
      </c>
      <c r="P27" s="2"/>
      <c r="Q27">
        <v>13</v>
      </c>
      <c r="R27">
        <v>2</v>
      </c>
      <c r="S27">
        <v>1</v>
      </c>
      <c r="T27" t="s">
        <v>919</v>
      </c>
      <c r="V27" t="s">
        <v>16</v>
      </c>
      <c r="W27" s="132">
        <f t="shared" ref="W27:W35" si="46">B15-(SUM(B$14:B$23)-B15)/9</f>
        <v>12.444444444444429</v>
      </c>
      <c r="X27" s="132">
        <f t="shared" si="44"/>
        <v>-12.09999999999998</v>
      </c>
      <c r="Y27" s="132">
        <f t="shared" si="44"/>
        <v>32.699999999999989</v>
      </c>
      <c r="Z27" s="132">
        <f t="shared" si="44"/>
        <v>0.48888888888890847</v>
      </c>
      <c r="AA27" s="132">
        <f t="shared" si="44"/>
        <v>3.5011111111111148</v>
      </c>
      <c r="AB27" s="132">
        <f t="shared" si="44"/>
        <v>0.36444444444447299</v>
      </c>
      <c r="AC27" s="132">
        <f t="shared" si="44"/>
        <v>-0.34777777777777885</v>
      </c>
      <c r="AD27" s="132">
        <f t="shared" si="44"/>
        <v>3.5444444444444514</v>
      </c>
      <c r="AE27" s="132">
        <f t="shared" si="44"/>
        <v>11.12222222222222</v>
      </c>
      <c r="AF27" s="132">
        <f t="shared" si="44"/>
        <v>7.4355555555555668</v>
      </c>
      <c r="AG27" s="132">
        <f t="shared" si="44"/>
        <v>-6.8455555555555918</v>
      </c>
      <c r="AH27" s="132">
        <f t="shared" si="44"/>
        <v>8.9955555555555549</v>
      </c>
      <c r="AI27" s="132">
        <f t="shared" si="44"/>
        <v>-3.4555555555555628</v>
      </c>
      <c r="AJ27" s="131">
        <f t="shared" ref="AJ27:AJ35" si="47">SUM(W27:AI27)</f>
        <v>57.847777777777793</v>
      </c>
      <c r="AK27" s="131">
        <f t="shared" ref="AK27:AK35" si="48">AJ27/13</f>
        <v>4.4498290598290611</v>
      </c>
    </row>
    <row r="28" spans="1:37" x14ac:dyDescent="0.25">
      <c r="A28" t="s">
        <v>55</v>
      </c>
      <c r="B28">
        <f t="shared" ref="B28:N28" si="49">INDEX(B$38:B$47,INDEX($S$2:$S$131,MATCH($A40&amp;"-"&amp;B$1,$T$2:$T$131,0)))</f>
        <v>1E-4</v>
      </c>
      <c r="C28">
        <f t="shared" si="49"/>
        <v>1E-4</v>
      </c>
      <c r="D28">
        <f t="shared" si="49"/>
        <v>1E-4</v>
      </c>
      <c r="E28">
        <f t="shared" si="49"/>
        <v>1E-4</v>
      </c>
      <c r="F28">
        <f t="shared" si="49"/>
        <v>487.98720000000003</v>
      </c>
      <c r="G28">
        <f t="shared" si="49"/>
        <v>373.57219999999995</v>
      </c>
      <c r="H28">
        <f t="shared" si="49"/>
        <v>367.17090000000002</v>
      </c>
      <c r="I28">
        <f t="shared" si="49"/>
        <v>405.06490000000008</v>
      </c>
      <c r="J28">
        <f t="shared" si="49"/>
        <v>467.57480000000004</v>
      </c>
      <c r="K28">
        <f t="shared" si="49"/>
        <v>446.33889999999997</v>
      </c>
      <c r="L28">
        <f t="shared" si="49"/>
        <v>406.8202</v>
      </c>
      <c r="M28">
        <f t="shared" si="49"/>
        <v>426.73990000000009</v>
      </c>
      <c r="N28">
        <f t="shared" si="49"/>
        <v>580.8596</v>
      </c>
      <c r="P28" s="2"/>
      <c r="Q28">
        <v>1</v>
      </c>
      <c r="R28">
        <v>3</v>
      </c>
      <c r="S28">
        <v>1</v>
      </c>
      <c r="T28" t="s">
        <v>507</v>
      </c>
      <c r="V28" t="s">
        <v>55</v>
      </c>
      <c r="W28" s="132">
        <f t="shared" si="46"/>
        <v>40.555555555555529</v>
      </c>
      <c r="X28" s="132">
        <f t="shared" si="44"/>
        <v>23.233333333333334</v>
      </c>
      <c r="Y28" s="132">
        <f t="shared" si="44"/>
        <v>9.1444444444444599</v>
      </c>
      <c r="Z28" s="132">
        <f t="shared" si="44"/>
        <v>61.600000000000009</v>
      </c>
      <c r="AA28" s="132">
        <f t="shared" si="44"/>
        <v>1.5788888888888977</v>
      </c>
      <c r="AB28" s="132">
        <f t="shared" si="44"/>
        <v>10.164444444444442</v>
      </c>
      <c r="AC28" s="132">
        <f t="shared" si="44"/>
        <v>1.5966666666666782</v>
      </c>
      <c r="AD28" s="132">
        <f t="shared" si="44"/>
        <v>13.51111111111112</v>
      </c>
      <c r="AE28" s="132">
        <f t="shared" si="44"/>
        <v>-1.6777777777777914</v>
      </c>
      <c r="AF28" s="132">
        <f t="shared" si="44"/>
        <v>-14.331111111111113</v>
      </c>
      <c r="AG28" s="132">
        <f t="shared" si="44"/>
        <v>6.5766666666666396</v>
      </c>
      <c r="AH28" s="132">
        <f t="shared" si="44"/>
        <v>5.7400000000000091</v>
      </c>
      <c r="AI28" s="132">
        <f t="shared" si="44"/>
        <v>4.7777777777777573</v>
      </c>
      <c r="AJ28" s="131">
        <f>SUM(W28:AI28)</f>
        <v>162.46999999999997</v>
      </c>
      <c r="AK28" s="131">
        <f t="shared" si="48"/>
        <v>12.497692307692306</v>
      </c>
    </row>
    <row r="29" spans="1:37" x14ac:dyDescent="0.25">
      <c r="A29" t="s">
        <v>35</v>
      </c>
      <c r="B29">
        <f t="shared" ref="B29:N29" si="50">INDEX(B$38:B$47,INDEX($S$2:$S$131,MATCH($A41&amp;"-"&amp;B$1,$T$2:$T$131,0)))</f>
        <v>1E-4</v>
      </c>
      <c r="C29">
        <f t="shared" si="50"/>
        <v>1E-4</v>
      </c>
      <c r="D29">
        <f t="shared" si="50"/>
        <v>1E-4</v>
      </c>
      <c r="E29">
        <f t="shared" si="50"/>
        <v>1E-4</v>
      </c>
      <c r="F29">
        <f t="shared" si="50"/>
        <v>326.55839999999995</v>
      </c>
      <c r="G29">
        <f t="shared" si="50"/>
        <v>433.51170000000008</v>
      </c>
      <c r="H29">
        <f t="shared" si="50"/>
        <v>438.92689999999999</v>
      </c>
      <c r="I29">
        <f t="shared" si="50"/>
        <v>365.15859999999998</v>
      </c>
      <c r="J29">
        <f t="shared" si="50"/>
        <v>402.52690000000013</v>
      </c>
      <c r="K29">
        <f t="shared" si="50"/>
        <v>357.47739999999999</v>
      </c>
      <c r="L29">
        <f t="shared" si="50"/>
        <v>428.5215</v>
      </c>
      <c r="M29">
        <f t="shared" si="50"/>
        <v>476.85540000000003</v>
      </c>
      <c r="N29">
        <f t="shared" si="50"/>
        <v>469.66329999999999</v>
      </c>
      <c r="P29" s="2"/>
      <c r="Q29">
        <v>2</v>
      </c>
      <c r="R29">
        <v>3</v>
      </c>
      <c r="S29">
        <v>6</v>
      </c>
      <c r="T29" t="s">
        <v>625</v>
      </c>
      <c r="V29" t="s">
        <v>35</v>
      </c>
      <c r="W29" s="132">
        <f t="shared" si="46"/>
        <v>-12.444444444444443</v>
      </c>
      <c r="X29" s="132">
        <f t="shared" si="44"/>
        <v>17.011111111111106</v>
      </c>
      <c r="Y29" s="132">
        <f t="shared" si="44"/>
        <v>0.36666666666668846</v>
      </c>
      <c r="Z29" s="132">
        <f t="shared" si="44"/>
        <v>0.93333333333336554</v>
      </c>
      <c r="AA29" s="132">
        <f t="shared" si="44"/>
        <v>20.256666666666689</v>
      </c>
      <c r="AB29" s="132">
        <f t="shared" si="44"/>
        <v>-0.91333333333329847</v>
      </c>
      <c r="AC29" s="132">
        <f t="shared" si="44"/>
        <v>-3.1811111111110932</v>
      </c>
      <c r="AD29" s="132">
        <f t="shared" si="44"/>
        <v>-4.455555555555506</v>
      </c>
      <c r="AE29" s="132">
        <f t="shared" si="44"/>
        <v>3.1888888888888971</v>
      </c>
      <c r="AF29" s="132">
        <f t="shared" si="44"/>
        <v>-6.3644444444444588</v>
      </c>
      <c r="AG29" s="132">
        <f t="shared" si="44"/>
        <v>-2.5677777777778203</v>
      </c>
      <c r="AH29" s="132">
        <f t="shared" si="44"/>
        <v>0.31777777777779193</v>
      </c>
      <c r="AI29" s="132">
        <f t="shared" si="44"/>
        <v>0.22222222222221433</v>
      </c>
      <c r="AJ29" s="131">
        <f t="shared" si="47"/>
        <v>12.370000000000132</v>
      </c>
      <c r="AK29" s="131">
        <f t="shared" si="48"/>
        <v>0.95153846153847177</v>
      </c>
    </row>
    <row r="30" spans="1:37" x14ac:dyDescent="0.25">
      <c r="A30" t="s">
        <v>27</v>
      </c>
      <c r="B30">
        <f t="shared" ref="B30:N30" si="51">INDEX(B$38:B$47,INDEX($S$2:$S$131,MATCH($A42&amp;"-"&amp;B$1,$T$2:$T$131,0)))</f>
        <v>1E-4</v>
      </c>
      <c r="C30">
        <f t="shared" si="51"/>
        <v>1E-4</v>
      </c>
      <c r="D30">
        <f t="shared" si="51"/>
        <v>1E-4</v>
      </c>
      <c r="E30">
        <f t="shared" si="51"/>
        <v>1E-4</v>
      </c>
      <c r="F30">
        <f t="shared" si="51"/>
        <v>391.17150000000004</v>
      </c>
      <c r="G30">
        <f t="shared" si="51"/>
        <v>399.24950000000001</v>
      </c>
      <c r="H30">
        <f t="shared" si="51"/>
        <v>394.70159999999998</v>
      </c>
      <c r="I30">
        <f t="shared" si="51"/>
        <v>382.75790000000001</v>
      </c>
      <c r="J30">
        <f t="shared" si="51"/>
        <v>334.6001</v>
      </c>
      <c r="K30">
        <f t="shared" si="51"/>
        <v>456.93399999999997</v>
      </c>
      <c r="L30">
        <f t="shared" si="51"/>
        <v>517.40019999999993</v>
      </c>
      <c r="M30">
        <f t="shared" si="51"/>
        <v>420.84329999999994</v>
      </c>
      <c r="N30">
        <f t="shared" si="51"/>
        <v>495.99799999999993</v>
      </c>
      <c r="P30" s="2"/>
      <c r="Q30">
        <v>3</v>
      </c>
      <c r="R30">
        <v>3</v>
      </c>
      <c r="S30">
        <v>10</v>
      </c>
      <c r="T30" t="s">
        <v>806</v>
      </c>
      <c r="V30" t="s">
        <v>27</v>
      </c>
      <c r="W30" s="132">
        <f t="shared" si="46"/>
        <v>-1.9999999999999858</v>
      </c>
      <c r="X30" s="132">
        <f t="shared" si="44"/>
        <v>-24.98888888888888</v>
      </c>
      <c r="Y30" s="132">
        <f t="shared" si="44"/>
        <v>-8.0777777777777686</v>
      </c>
      <c r="Z30" s="132">
        <f t="shared" si="44"/>
        <v>-6.2888888888888772</v>
      </c>
      <c r="AA30" s="132">
        <f t="shared" si="44"/>
        <v>-8.3544444444444395</v>
      </c>
      <c r="AB30" s="132">
        <f t="shared" si="44"/>
        <v>3.9755555555555588</v>
      </c>
      <c r="AC30" s="132">
        <f t="shared" si="44"/>
        <v>-9.1255555555555645</v>
      </c>
      <c r="AD30" s="132">
        <f t="shared" si="44"/>
        <v>4.1666666666666856</v>
      </c>
      <c r="AE30" s="132">
        <f t="shared" si="44"/>
        <v>-2.955555555555577</v>
      </c>
      <c r="AF30" s="132">
        <f t="shared" si="44"/>
        <v>-9.7644444444444645</v>
      </c>
      <c r="AG30" s="132">
        <f t="shared" si="44"/>
        <v>-2.723333333333386</v>
      </c>
      <c r="AH30" s="132">
        <f t="shared" si="44"/>
        <v>3.7844444444444605</v>
      </c>
      <c r="AI30" s="132">
        <f t="shared" si="44"/>
        <v>-9.0333333333333456</v>
      </c>
      <c r="AJ30" s="131">
        <f t="shared" si="47"/>
        <v>-71.385555555555584</v>
      </c>
      <c r="AK30" s="131">
        <f t="shared" si="48"/>
        <v>-5.4911965811965837</v>
      </c>
    </row>
    <row r="31" spans="1:37" x14ac:dyDescent="0.25">
      <c r="A31" t="s">
        <v>62</v>
      </c>
      <c r="B31">
        <f t="shared" ref="B31:N31" si="52">INDEX(B$38:B$47,INDEX($S$2:$S$131,MATCH($A43&amp;"-"&amp;B$1,$T$2:$T$131,0)))</f>
        <v>1E-4</v>
      </c>
      <c r="C31">
        <f t="shared" si="52"/>
        <v>1E-4</v>
      </c>
      <c r="D31">
        <f t="shared" si="52"/>
        <v>1E-4</v>
      </c>
      <c r="E31">
        <f t="shared" si="52"/>
        <v>1E-4</v>
      </c>
      <c r="F31">
        <f t="shared" si="52"/>
        <v>393.9452</v>
      </c>
      <c r="G31">
        <f t="shared" si="52"/>
        <v>333.69279999999998</v>
      </c>
      <c r="H31">
        <f t="shared" si="52"/>
        <v>405.05730000000005</v>
      </c>
      <c r="I31">
        <f t="shared" si="52"/>
        <v>449.70740000000001</v>
      </c>
      <c r="J31">
        <f t="shared" si="52"/>
        <v>402.60670000000005</v>
      </c>
      <c r="K31">
        <f t="shared" si="52"/>
        <v>363.84479999999996</v>
      </c>
      <c r="L31">
        <f t="shared" si="52"/>
        <v>355.18600000000004</v>
      </c>
      <c r="M31">
        <f t="shared" si="52"/>
        <v>332.52330000000001</v>
      </c>
      <c r="N31">
        <f t="shared" si="52"/>
        <v>408.0872</v>
      </c>
      <c r="P31" s="2"/>
      <c r="Q31">
        <v>4</v>
      </c>
      <c r="R31">
        <v>3</v>
      </c>
      <c r="S31">
        <v>5</v>
      </c>
      <c r="T31" t="s">
        <v>866</v>
      </c>
      <c r="V31" t="s">
        <v>62</v>
      </c>
      <c r="W31" s="132">
        <f t="shared" si="46"/>
        <v>-2.9999999999999858</v>
      </c>
      <c r="X31" s="132">
        <f t="shared" si="44"/>
        <v>7.9000000000000057</v>
      </c>
      <c r="Y31" s="132">
        <f t="shared" si="44"/>
        <v>5.3666666666666742</v>
      </c>
      <c r="Z31" s="132">
        <f t="shared" si="44"/>
        <v>-14.511111111111106</v>
      </c>
      <c r="AA31" s="132">
        <f t="shared" si="44"/>
        <v>1.2900000000000205</v>
      </c>
      <c r="AB31" s="132">
        <f t="shared" si="44"/>
        <v>3.242222222222253</v>
      </c>
      <c r="AC31" s="132">
        <f t="shared" si="44"/>
        <v>8.8188888888889068</v>
      </c>
      <c r="AD31" s="132">
        <f t="shared" si="44"/>
        <v>2.0222222222222399</v>
      </c>
      <c r="AE31" s="132">
        <f t="shared" si="44"/>
        <v>9.4444444444444571</v>
      </c>
      <c r="AF31" s="132">
        <f t="shared" si="44"/>
        <v>18.168888888888901</v>
      </c>
      <c r="AG31" s="132">
        <f t="shared" si="44"/>
        <v>9.732222222222191</v>
      </c>
      <c r="AH31" s="132">
        <f t="shared" si="44"/>
        <v>5.1111111111111995E-2</v>
      </c>
      <c r="AI31" s="132">
        <f t="shared" si="44"/>
        <v>12.13333333333334</v>
      </c>
      <c r="AJ31" s="131">
        <f t="shared" si="47"/>
        <v>60.65888888888901</v>
      </c>
      <c r="AK31" s="131">
        <f t="shared" si="48"/>
        <v>4.6660683760683854</v>
      </c>
    </row>
    <row r="32" spans="1:37" x14ac:dyDescent="0.25">
      <c r="A32" t="s">
        <v>1648</v>
      </c>
      <c r="B32">
        <f t="shared" ref="B32:N32" si="53">INDEX(B$38:B$47,INDEX($S$2:$S$131,MATCH($A44&amp;"-"&amp;B$1,$T$2:$T$131,0)))</f>
        <v>1E-4</v>
      </c>
      <c r="C32">
        <f t="shared" si="53"/>
        <v>1E-4</v>
      </c>
      <c r="D32">
        <f t="shared" si="53"/>
        <v>1E-4</v>
      </c>
      <c r="E32">
        <f t="shared" si="53"/>
        <v>1E-4</v>
      </c>
      <c r="F32">
        <f t="shared" si="53"/>
        <v>490.17610000000008</v>
      </c>
      <c r="G32">
        <f t="shared" si="53"/>
        <v>457.45920000000001</v>
      </c>
      <c r="H32">
        <f t="shared" si="53"/>
        <v>342.00120000000004</v>
      </c>
      <c r="I32">
        <f t="shared" si="53"/>
        <v>460.03000000000009</v>
      </c>
      <c r="J32">
        <f t="shared" si="53"/>
        <v>452.37890000000004</v>
      </c>
      <c r="K32">
        <f t="shared" si="53"/>
        <v>396.55950000000001</v>
      </c>
      <c r="L32">
        <f t="shared" si="53"/>
        <v>461.61259999999999</v>
      </c>
      <c r="M32">
        <f t="shared" si="53"/>
        <v>412.16589999999991</v>
      </c>
      <c r="N32">
        <f t="shared" si="53"/>
        <v>334.88169999999997</v>
      </c>
      <c r="P32" s="2"/>
      <c r="Q32">
        <v>5</v>
      </c>
      <c r="R32">
        <v>3</v>
      </c>
      <c r="S32">
        <v>9</v>
      </c>
      <c r="T32" t="s">
        <v>888</v>
      </c>
      <c r="V32" t="s">
        <v>1648</v>
      </c>
      <c r="W32" s="132">
        <f t="shared" si="46"/>
        <v>2.7777777777777857</v>
      </c>
      <c r="X32" s="132">
        <f t="shared" si="44"/>
        <v>2.9000000000000057</v>
      </c>
      <c r="Y32" s="132">
        <f t="shared" si="44"/>
        <v>-28.077777777777769</v>
      </c>
      <c r="Z32" s="132">
        <f t="shared" si="44"/>
        <v>3.37777777777778</v>
      </c>
      <c r="AA32" s="132">
        <f t="shared" si="44"/>
        <v>-4.5433333333333366</v>
      </c>
      <c r="AB32" s="132">
        <f t="shared" si="44"/>
        <v>-0.5577777777777726</v>
      </c>
      <c r="AC32" s="132">
        <f t="shared" si="44"/>
        <v>-3.781111111111116</v>
      </c>
      <c r="AD32" s="132">
        <f t="shared" si="44"/>
        <v>-1.9111111111110972</v>
      </c>
      <c r="AE32" s="132">
        <f t="shared" si="44"/>
        <v>-4.3888888888888857</v>
      </c>
      <c r="AF32" s="132">
        <f t="shared" si="44"/>
        <v>-4.7644444444444503</v>
      </c>
      <c r="AG32" s="132">
        <f t="shared" si="44"/>
        <v>-12.134444444444497</v>
      </c>
      <c r="AH32" s="132">
        <f t="shared" si="44"/>
        <v>-10.071111111111094</v>
      </c>
      <c r="AI32" s="132">
        <f t="shared" si="44"/>
        <v>-11.733333333333334</v>
      </c>
      <c r="AJ32" s="131">
        <f t="shared" si="47"/>
        <v>-72.907777777777781</v>
      </c>
      <c r="AK32" s="131">
        <f t="shared" si="48"/>
        <v>-5.6082905982905986</v>
      </c>
    </row>
    <row r="33" spans="1:37" x14ac:dyDescent="0.25">
      <c r="A33" t="s">
        <v>23</v>
      </c>
      <c r="B33">
        <f t="shared" ref="B33:N33" si="54">INDEX(B$38:B$47,INDEX($S$2:$S$131,MATCH($A45&amp;"-"&amp;B$1,$T$2:$T$131,0)))</f>
        <v>1E-4</v>
      </c>
      <c r="C33">
        <f t="shared" si="54"/>
        <v>1E-4</v>
      </c>
      <c r="D33">
        <f t="shared" si="54"/>
        <v>1E-4</v>
      </c>
      <c r="E33">
        <f t="shared" si="54"/>
        <v>1E-4</v>
      </c>
      <c r="F33">
        <f t="shared" si="54"/>
        <v>422.40490000000005</v>
      </c>
      <c r="G33">
        <f t="shared" si="54"/>
        <v>491.31809999999996</v>
      </c>
      <c r="H33">
        <f t="shared" si="54"/>
        <v>465.69209999999998</v>
      </c>
      <c r="I33">
        <f t="shared" si="54"/>
        <v>391.93540000000002</v>
      </c>
      <c r="J33">
        <f t="shared" si="54"/>
        <v>347.95859999999993</v>
      </c>
      <c r="K33">
        <f t="shared" si="54"/>
        <v>404.64429999999993</v>
      </c>
      <c r="L33">
        <f t="shared" si="54"/>
        <v>381.34530000000001</v>
      </c>
      <c r="M33">
        <f t="shared" si="54"/>
        <v>423.25290000000001</v>
      </c>
      <c r="N33">
        <f t="shared" si="54"/>
        <v>424.23540000000003</v>
      </c>
      <c r="P33" s="2"/>
      <c r="Q33">
        <v>6</v>
      </c>
      <c r="R33">
        <v>3</v>
      </c>
      <c r="S33">
        <v>2</v>
      </c>
      <c r="T33" t="s">
        <v>920</v>
      </c>
      <c r="V33" t="s">
        <v>23</v>
      </c>
      <c r="W33" s="132">
        <f t="shared" si="46"/>
        <v>-62.333333333333329</v>
      </c>
      <c r="X33" s="132">
        <f t="shared" si="44"/>
        <v>-13.544444444444423</v>
      </c>
      <c r="Y33" s="132">
        <f t="shared" si="44"/>
        <v>-16.077777777777783</v>
      </c>
      <c r="Z33" s="132">
        <f t="shared" si="44"/>
        <v>19.822222222222223</v>
      </c>
      <c r="AA33" s="132">
        <f t="shared" si="44"/>
        <v>-5.0433333333333223</v>
      </c>
      <c r="AB33" s="132">
        <f t="shared" si="44"/>
        <v>2.9200000000000017</v>
      </c>
      <c r="AC33" s="132">
        <f t="shared" si="44"/>
        <v>-3.8255555555555674</v>
      </c>
      <c r="AD33" s="132">
        <f t="shared" si="44"/>
        <v>-18.76666666666668</v>
      </c>
      <c r="AE33" s="132">
        <f t="shared" si="44"/>
        <v>1.9000000000000057</v>
      </c>
      <c r="AF33" s="132">
        <f t="shared" si="44"/>
        <v>6.6133333333333297</v>
      </c>
      <c r="AG33" s="132">
        <f t="shared" si="44"/>
        <v>0.37666666666665094</v>
      </c>
      <c r="AH33" s="132">
        <f t="shared" si="44"/>
        <v>-0.91555555555555657</v>
      </c>
      <c r="AI33" s="132">
        <f t="shared" si="44"/>
        <v>1.1000000000000085</v>
      </c>
      <c r="AJ33" s="131">
        <f t="shared" si="47"/>
        <v>-87.774444444444441</v>
      </c>
      <c r="AK33" s="131">
        <f t="shared" si="48"/>
        <v>-6.7518803418803417</v>
      </c>
    </row>
    <row r="34" spans="1:37" x14ac:dyDescent="0.25">
      <c r="A34" t="s">
        <v>49</v>
      </c>
      <c r="B34">
        <f t="shared" ref="B34:N34" si="55">INDEX(B$38:B$47,INDEX($S$2:$S$131,MATCH($A46&amp;"-"&amp;B$1,$T$2:$T$131,0)))</f>
        <v>1E-4</v>
      </c>
      <c r="C34">
        <f t="shared" si="55"/>
        <v>1E-4</v>
      </c>
      <c r="D34">
        <f t="shared" si="55"/>
        <v>1E-4</v>
      </c>
      <c r="E34">
        <f t="shared" si="55"/>
        <v>1E-4</v>
      </c>
      <c r="F34">
        <f t="shared" si="55"/>
        <v>763.71510000000001</v>
      </c>
      <c r="G34">
        <f t="shared" si="55"/>
        <v>432.52990000000005</v>
      </c>
      <c r="H34">
        <f t="shared" si="55"/>
        <v>440.22199999999998</v>
      </c>
      <c r="I34">
        <f t="shared" si="55"/>
        <v>363.43709999999999</v>
      </c>
      <c r="J34">
        <f t="shared" si="55"/>
        <v>477.20149999999995</v>
      </c>
      <c r="K34">
        <f t="shared" si="55"/>
        <v>377.93680000000006</v>
      </c>
      <c r="L34">
        <f t="shared" si="55"/>
        <v>409.76599999999996</v>
      </c>
      <c r="M34">
        <f t="shared" si="55"/>
        <v>362.18360000000007</v>
      </c>
      <c r="N34">
        <f t="shared" si="55"/>
        <v>406.09120000000001</v>
      </c>
      <c r="P34" s="2"/>
      <c r="Q34">
        <v>7</v>
      </c>
      <c r="R34">
        <v>3</v>
      </c>
      <c r="S34">
        <v>4</v>
      </c>
      <c r="T34" t="s">
        <v>921</v>
      </c>
      <c r="V34" t="s">
        <v>49</v>
      </c>
      <c r="W34" s="132">
        <f t="shared" si="46"/>
        <v>39.999999999999972</v>
      </c>
      <c r="X34" s="132">
        <f t="shared" si="44"/>
        <v>-3.9888888888888658</v>
      </c>
      <c r="Y34" s="132">
        <f t="shared" si="44"/>
        <v>8.9222222222222172</v>
      </c>
      <c r="Z34" s="132">
        <f t="shared" si="44"/>
        <v>9.0444444444444372</v>
      </c>
      <c r="AA34" s="132">
        <f t="shared" si="44"/>
        <v>3.3233333333333377</v>
      </c>
      <c r="AB34" s="132">
        <f t="shared" si="44"/>
        <v>1.9533333333333331</v>
      </c>
      <c r="AC34" s="132">
        <f t="shared" si="44"/>
        <v>13.76333333333335</v>
      </c>
      <c r="AD34" s="132">
        <f t="shared" si="44"/>
        <v>1.9000000000000057</v>
      </c>
      <c r="AE34" s="132">
        <f t="shared" si="44"/>
        <v>-6.2000000000000171</v>
      </c>
      <c r="AF34" s="132">
        <f t="shared" si="44"/>
        <v>8.735555555555564</v>
      </c>
      <c r="AG34" s="132">
        <f t="shared" si="44"/>
        <v>15.632222222222182</v>
      </c>
      <c r="AH34" s="132">
        <f t="shared" si="44"/>
        <v>-0.23777777777777942</v>
      </c>
      <c r="AI34" s="132">
        <f t="shared" si="44"/>
        <v>12.555555555555543</v>
      </c>
      <c r="AJ34" s="131">
        <f t="shared" si="47"/>
        <v>105.40333333333328</v>
      </c>
      <c r="AK34" s="131">
        <f t="shared" si="48"/>
        <v>8.1079487179487142</v>
      </c>
    </row>
    <row r="35" spans="1:37" x14ac:dyDescent="0.25">
      <c r="A35" t="s">
        <v>44</v>
      </c>
      <c r="B35">
        <f t="shared" ref="B35:N35" si="56">INDEX(B$38:B$47,INDEX($S$2:$S$131,MATCH($A47&amp;"-"&amp;B$1,$T$2:$T$131,0)))</f>
        <v>1E-4</v>
      </c>
      <c r="C35">
        <f t="shared" si="56"/>
        <v>1E-4</v>
      </c>
      <c r="D35">
        <f t="shared" si="56"/>
        <v>1E-4</v>
      </c>
      <c r="E35">
        <f t="shared" si="56"/>
        <v>1E-4</v>
      </c>
      <c r="F35">
        <f t="shared" si="56"/>
        <v>478.47889999999995</v>
      </c>
      <c r="G35">
        <f t="shared" si="56"/>
        <v>379.00150000000008</v>
      </c>
      <c r="H35">
        <f t="shared" si="56"/>
        <v>355.65879999999999</v>
      </c>
      <c r="I35">
        <f t="shared" si="56"/>
        <v>366.57740000000001</v>
      </c>
      <c r="J35">
        <f t="shared" si="56"/>
        <v>398.51049999999998</v>
      </c>
      <c r="K35">
        <f t="shared" si="56"/>
        <v>537.76670000000001</v>
      </c>
      <c r="L35">
        <f t="shared" si="56"/>
        <v>449.12279999999998</v>
      </c>
      <c r="M35">
        <f t="shared" si="56"/>
        <v>427.05540000000008</v>
      </c>
      <c r="N35">
        <f t="shared" si="56"/>
        <v>342.54860000000002</v>
      </c>
      <c r="P35" s="2"/>
      <c r="Q35">
        <v>8</v>
      </c>
      <c r="R35">
        <v>3</v>
      </c>
      <c r="S35">
        <v>7</v>
      </c>
      <c r="T35" t="s">
        <v>922</v>
      </c>
      <c r="V35" t="s">
        <v>44</v>
      </c>
      <c r="W35" s="132">
        <f t="shared" si="46"/>
        <v>-19.333333333333329</v>
      </c>
      <c r="X35" s="132">
        <f t="shared" si="44"/>
        <v>-25.877777777777766</v>
      </c>
      <c r="Y35" s="132">
        <f t="shared" si="44"/>
        <v>-17.633333333333326</v>
      </c>
      <c r="Z35" s="132">
        <f t="shared" si="44"/>
        <v>-53.177777777777777</v>
      </c>
      <c r="AA35" s="132">
        <f t="shared" si="44"/>
        <v>-15.70999999999998</v>
      </c>
      <c r="AB35" s="132">
        <f t="shared" si="44"/>
        <v>-7.9577777777777783</v>
      </c>
      <c r="AC35" s="132">
        <f t="shared" si="44"/>
        <v>-2.7699999999999818</v>
      </c>
      <c r="AD35" s="132">
        <f t="shared" si="44"/>
        <v>-12.588888888888889</v>
      </c>
      <c r="AE35" s="132">
        <f t="shared" si="44"/>
        <v>-16.87777777777778</v>
      </c>
      <c r="AF35" s="132">
        <f t="shared" si="44"/>
        <v>-10.253333333333359</v>
      </c>
      <c r="AG35" s="132">
        <f t="shared" si="44"/>
        <v>-5.9455555555555861</v>
      </c>
      <c r="AH35" s="132">
        <f t="shared" si="44"/>
        <v>-8.9155555555555281</v>
      </c>
      <c r="AI35" s="132">
        <f t="shared" si="44"/>
        <v>-16.300000000000011</v>
      </c>
      <c r="AJ35" s="131">
        <f t="shared" si="47"/>
        <v>-213.3411111111111</v>
      </c>
      <c r="AK35" s="131">
        <f t="shared" si="48"/>
        <v>-16.410854700854699</v>
      </c>
    </row>
    <row r="36" spans="1:37" x14ac:dyDescent="0.25">
      <c r="Q36">
        <v>9</v>
      </c>
      <c r="R36">
        <v>3</v>
      </c>
      <c r="S36">
        <v>8</v>
      </c>
      <c r="T36" t="s">
        <v>923</v>
      </c>
      <c r="AJ36" s="33"/>
      <c r="AK36" s="33"/>
    </row>
    <row r="37" spans="1:37" x14ac:dyDescent="0.25">
      <c r="A37" t="s">
        <v>1717</v>
      </c>
      <c r="B37">
        <v>1</v>
      </c>
      <c r="C37">
        <f>B37+1</f>
        <v>2</v>
      </c>
      <c r="D37">
        <f t="shared" ref="D37:N37" si="57">C37+1</f>
        <v>3</v>
      </c>
      <c r="E37">
        <f t="shared" si="57"/>
        <v>4</v>
      </c>
      <c r="F37">
        <f t="shared" si="57"/>
        <v>5</v>
      </c>
      <c r="G37">
        <f t="shared" si="57"/>
        <v>6</v>
      </c>
      <c r="H37">
        <f t="shared" si="57"/>
        <v>7</v>
      </c>
      <c r="I37">
        <f t="shared" si="57"/>
        <v>8</v>
      </c>
      <c r="J37">
        <f t="shared" si="57"/>
        <v>9</v>
      </c>
      <c r="K37">
        <f t="shared" si="57"/>
        <v>10</v>
      </c>
      <c r="L37">
        <f t="shared" si="57"/>
        <v>11</v>
      </c>
      <c r="M37">
        <f t="shared" si="57"/>
        <v>12</v>
      </c>
      <c r="N37">
        <f t="shared" si="57"/>
        <v>13</v>
      </c>
      <c r="Q37">
        <v>10</v>
      </c>
      <c r="R37">
        <v>3</v>
      </c>
      <c r="S37">
        <v>6</v>
      </c>
      <c r="T37" t="s">
        <v>924</v>
      </c>
      <c r="W37" t="s">
        <v>1737</v>
      </c>
      <c r="AJ37" s="33"/>
      <c r="AK37" s="33"/>
    </row>
    <row r="38" spans="1:37" x14ac:dyDescent="0.25">
      <c r="A38" t="s">
        <v>20</v>
      </c>
      <c r="B38">
        <f>MAX(0.0001,B50)</f>
        <v>1E-4</v>
      </c>
      <c r="C38">
        <f t="shared" ref="C38:N38" si="58">MAX(0.0001,C50)</f>
        <v>1E-4</v>
      </c>
      <c r="D38">
        <f t="shared" si="58"/>
        <v>1E-4</v>
      </c>
      <c r="E38">
        <f t="shared" si="58"/>
        <v>1E-4</v>
      </c>
      <c r="F38">
        <f t="shared" si="58"/>
        <v>490.17610000000008</v>
      </c>
      <c r="G38">
        <f t="shared" si="58"/>
        <v>379.00150000000008</v>
      </c>
      <c r="H38">
        <f t="shared" si="58"/>
        <v>440.22199999999998</v>
      </c>
      <c r="I38">
        <f t="shared" si="58"/>
        <v>449.70740000000001</v>
      </c>
      <c r="J38">
        <f t="shared" si="58"/>
        <v>452.37890000000004</v>
      </c>
      <c r="K38">
        <f t="shared" si="58"/>
        <v>456.93399999999997</v>
      </c>
      <c r="L38">
        <f t="shared" si="58"/>
        <v>428.5215</v>
      </c>
      <c r="M38">
        <f t="shared" si="58"/>
        <v>423.25290000000001</v>
      </c>
      <c r="N38">
        <f t="shared" si="58"/>
        <v>462.59000000000003</v>
      </c>
      <c r="Q38">
        <v>11</v>
      </c>
      <c r="R38">
        <v>3</v>
      </c>
      <c r="S38">
        <v>10</v>
      </c>
      <c r="T38" t="s">
        <v>925</v>
      </c>
      <c r="V38" t="s">
        <v>20</v>
      </c>
      <c r="W38" s="2">
        <f>W14-INDEX($AK$26:$AK$35,INDEX($S$2:$S$131,MATCH($A50&amp;"-"&amp;B$1,$T$2:$T$131,0)))</f>
        <v>28.057863247863224</v>
      </c>
      <c r="X38" s="2">
        <f t="shared" ref="X38:AI38" si="59">X14-INDEX($AK$26:$AK$35,INDEX($S$2:$S$131,MATCH($A50&amp;"-"&amp;C$1,$T$2:$T$131,0)))</f>
        <v>16.059572649572605</v>
      </c>
      <c r="Y38" s="2">
        <f t="shared" si="59"/>
        <v>-9.3258974358974562</v>
      </c>
      <c r="Z38" s="2">
        <f t="shared" si="59"/>
        <v>-3.9609401709401526</v>
      </c>
      <c r="AA38" s="2">
        <f t="shared" si="59"/>
        <v>1.0649572649572479</v>
      </c>
      <c r="AB38" s="2">
        <f t="shared" si="59"/>
        <v>8.4530769230768925</v>
      </c>
      <c r="AC38" s="2">
        <f t="shared" si="59"/>
        <v>5.6553846153846354</v>
      </c>
      <c r="AD38" s="2">
        <f t="shared" si="59"/>
        <v>-2.6438461538461455</v>
      </c>
      <c r="AE38" s="2">
        <f t="shared" si="59"/>
        <v>1.2194017094017129</v>
      </c>
      <c r="AF38" s="2">
        <f t="shared" si="59"/>
        <v>-4.2732478632478808</v>
      </c>
      <c r="AG38" s="2">
        <f t="shared" si="59"/>
        <v>-3.5193162393162778</v>
      </c>
      <c r="AH38" s="2">
        <f t="shared" si="59"/>
        <v>5.8363247863247567</v>
      </c>
      <c r="AI38" s="2">
        <f t="shared" si="59"/>
        <v>-7.9053846153846239</v>
      </c>
      <c r="AJ38" s="131">
        <f>SUM(W38:AI38)</f>
        <v>34.717948717948531</v>
      </c>
      <c r="AK38" s="131">
        <f>AJ38/13</f>
        <v>2.6706114398421947</v>
      </c>
    </row>
    <row r="39" spans="1:37" x14ac:dyDescent="0.25">
      <c r="A39" t="s">
        <v>16</v>
      </c>
      <c r="B39">
        <f t="shared" ref="B39:N47" si="60">MAX(0.0001,B51)</f>
        <v>1E-4</v>
      </c>
      <c r="C39">
        <f t="shared" si="60"/>
        <v>1E-4</v>
      </c>
      <c r="D39">
        <f t="shared" si="60"/>
        <v>1E-4</v>
      </c>
      <c r="E39">
        <f t="shared" si="60"/>
        <v>1E-4</v>
      </c>
      <c r="F39">
        <f t="shared" si="60"/>
        <v>326.55839999999995</v>
      </c>
      <c r="G39">
        <f t="shared" si="60"/>
        <v>373.57219999999995</v>
      </c>
      <c r="H39">
        <f t="shared" si="60"/>
        <v>355.65879999999999</v>
      </c>
      <c r="I39">
        <f t="shared" si="60"/>
        <v>363.43709999999999</v>
      </c>
      <c r="J39">
        <f t="shared" si="60"/>
        <v>402.52690000000013</v>
      </c>
      <c r="K39">
        <f t="shared" si="60"/>
        <v>404.64429999999993</v>
      </c>
      <c r="L39">
        <f t="shared" si="60"/>
        <v>355.18600000000004</v>
      </c>
      <c r="M39">
        <f t="shared" si="60"/>
        <v>412.16589999999991</v>
      </c>
      <c r="N39">
        <f t="shared" si="60"/>
        <v>320.21050000000008</v>
      </c>
      <c r="Q39">
        <v>12</v>
      </c>
      <c r="R39">
        <v>3</v>
      </c>
      <c r="S39">
        <v>5</v>
      </c>
      <c r="T39" t="s">
        <v>926</v>
      </c>
      <c r="V39" t="s">
        <v>16</v>
      </c>
      <c r="W39" s="2">
        <f t="shared" ref="W39:W47" si="61">W15-INDEX($AK$26:$AK$35,INDEX($S$2:$S$131,MATCH($A51&amp;"-"&amp;B$1,$T$2:$T$131,0)))</f>
        <v>-55.581452991452984</v>
      </c>
      <c r="X39" s="2">
        <f t="shared" ref="X39:X47" si="62">X15-INDEX($AK$26:$AK$35,INDEX($S$2:$S$131,MATCH($A51&amp;"-"&amp;C$1,$T$2:$T$131,0)))</f>
        <v>-19.497692307692311</v>
      </c>
      <c r="Y39" s="2">
        <f t="shared" ref="Y39:Y47" si="63">Y15-INDEX($AK$26:$AK$35,INDEX($S$2:$S$131,MATCH($A51&amp;"-"&amp;D$1,$T$2:$T$131,0)))</f>
        <v>-22.469487179487185</v>
      </c>
      <c r="Z39" s="2">
        <f t="shared" ref="Z39:Z47" si="64">Z15-INDEX($AK$26:$AK$35,INDEX($S$2:$S$131,MATCH($A51&amp;"-"&amp;E$1,$T$2:$T$131,0)))</f>
        <v>-24.878034188034185</v>
      </c>
      <c r="AA39" s="2">
        <f t="shared" ref="AA39:AA47" si="65">AA15-INDEX($AK$26:$AK$35,INDEX($S$2:$S$131,MATCH($A51&amp;"-"&amp;F$1,$T$2:$T$131,0)))</f>
        <v>19.305128205128188</v>
      </c>
      <c r="AB39" s="2">
        <f t="shared" ref="AB39:AB47" si="66">AB15-INDEX($AK$26:$AK$35,INDEX($S$2:$S$131,MATCH($A51&amp;"-"&amp;G$1,$T$2:$T$131,0)))</f>
        <v>-2.3332478632478786</v>
      </c>
      <c r="AC39" s="2">
        <f t="shared" ref="AC39:AC47" si="67">AC15-INDEX($AK$26:$AK$35,INDEX($S$2:$S$131,MATCH($A51&amp;"-"&amp;H$1,$T$2:$T$131,0)))</f>
        <v>13.640854700854717</v>
      </c>
      <c r="AD39" s="2">
        <f t="shared" ref="AD39:AD47" si="68">AD15-INDEX($AK$26:$AK$35,INDEX($S$2:$S$131,MATCH($A51&amp;"-"&amp;I$1,$T$2:$T$131,0)))</f>
        <v>-6.2079487179487085</v>
      </c>
      <c r="AE39" s="2">
        <f t="shared" ref="AE39:AE47" si="69">AE15-INDEX($AK$26:$AK$35,INDEX($S$2:$S$131,MATCH($A51&amp;"-"&amp;J$1,$T$2:$T$131,0)))</f>
        <v>2.2373504273504254</v>
      </c>
      <c r="AF39" s="2">
        <f t="shared" ref="AF39:AF47" si="70">AF15-INDEX($AK$26:$AK$35,INDEX($S$2:$S$131,MATCH($A51&amp;"-"&amp;K$1,$T$2:$T$131,0)))</f>
        <v>13.365213675213671</v>
      </c>
      <c r="AG39" s="2">
        <f t="shared" ref="AG39:AG47" si="71">AG15-INDEX($AK$26:$AK$35,INDEX($S$2:$S$131,MATCH($A51&amp;"-"&amp;L$1,$T$2:$T$131,0)))</f>
        <v>5.066153846153834</v>
      </c>
      <c r="AH39" s="2">
        <f t="shared" ref="AH39:AH47" si="72">AH15-INDEX($AK$26:$AK$35,INDEX($S$2:$S$131,MATCH($A51&amp;"-"&amp;M$1,$T$2:$T$131,0)))</f>
        <v>-4.4628205128205236</v>
      </c>
      <c r="AI39" s="2">
        <f t="shared" ref="AI39:AI47" si="73">AI15-INDEX($AK$26:$AK$35,INDEX($S$2:$S$131,MATCH($A51&amp;"-"&amp;N$1,$T$2:$T$131,0)))</f>
        <v>6.1441880341880424</v>
      </c>
      <c r="AJ39" s="131">
        <f t="shared" ref="AJ39:AJ47" si="74">SUM(W39:AI39)</f>
        <v>-75.671794871794916</v>
      </c>
      <c r="AK39" s="131">
        <f t="shared" ref="AK39:AK47" si="75">AJ39/13</f>
        <v>-5.8209072978303782</v>
      </c>
    </row>
    <row r="40" spans="1:37" x14ac:dyDescent="0.25">
      <c r="A40" t="s">
        <v>55</v>
      </c>
      <c r="B40">
        <f t="shared" si="60"/>
        <v>1E-4</v>
      </c>
      <c r="C40">
        <f t="shared" si="60"/>
        <v>1E-4</v>
      </c>
      <c r="D40">
        <f t="shared" si="60"/>
        <v>1E-4</v>
      </c>
      <c r="E40">
        <f t="shared" si="60"/>
        <v>1E-4</v>
      </c>
      <c r="F40">
        <f t="shared" si="60"/>
        <v>763.71510000000001</v>
      </c>
      <c r="G40">
        <f t="shared" si="60"/>
        <v>479.99800000000005</v>
      </c>
      <c r="H40">
        <f t="shared" si="60"/>
        <v>438.92689999999999</v>
      </c>
      <c r="I40">
        <f t="shared" si="60"/>
        <v>460.03000000000009</v>
      </c>
      <c r="J40">
        <f t="shared" si="60"/>
        <v>347.95859999999993</v>
      </c>
      <c r="K40">
        <f t="shared" si="60"/>
        <v>363.84479999999996</v>
      </c>
      <c r="L40">
        <f t="shared" si="60"/>
        <v>449.12279999999998</v>
      </c>
      <c r="M40">
        <f t="shared" si="60"/>
        <v>420.84329999999994</v>
      </c>
      <c r="N40">
        <f t="shared" si="60"/>
        <v>406.09120000000001</v>
      </c>
      <c r="Q40">
        <v>13</v>
      </c>
      <c r="R40">
        <v>3</v>
      </c>
      <c r="S40">
        <v>9</v>
      </c>
      <c r="T40" t="s">
        <v>927</v>
      </c>
      <c r="V40" t="s">
        <v>55</v>
      </c>
      <c r="W40" s="2">
        <f>W16-INDEX($AK$26:$AK$35,INDEX($S$2:$S$131,MATCH($A52&amp;"-"&amp;B$1,$T$2:$T$131,0)))</f>
        <v>-0.25581196581197752</v>
      </c>
      <c r="X40" s="2">
        <f t="shared" si="62"/>
        <v>3.233931623931606</v>
      </c>
      <c r="Y40" s="2">
        <f t="shared" si="63"/>
        <v>-1.2224786324786407</v>
      </c>
      <c r="Z40" s="2">
        <f t="shared" si="64"/>
        <v>-0.79769230769229349</v>
      </c>
      <c r="AA40" s="2">
        <f t="shared" si="65"/>
        <v>-4.7846153846154049</v>
      </c>
      <c r="AB40" s="2">
        <f t="shared" si="66"/>
        <v>-4.0853846153846165</v>
      </c>
      <c r="AC40" s="2">
        <f t="shared" si="67"/>
        <v>-4.1326495726495649</v>
      </c>
      <c r="AD40" s="2">
        <f t="shared" si="68"/>
        <v>3.6971794871795014</v>
      </c>
      <c r="AE40" s="2">
        <f t="shared" si="69"/>
        <v>8.6518803418803465</v>
      </c>
      <c r="AF40" s="2">
        <f t="shared" si="70"/>
        <v>13.502820512820517</v>
      </c>
      <c r="AG40" s="2">
        <f t="shared" si="71"/>
        <v>10.465299145299127</v>
      </c>
      <c r="AH40" s="2">
        <f t="shared" si="72"/>
        <v>9.2756410256410149</v>
      </c>
      <c r="AI40" s="2">
        <f t="shared" si="73"/>
        <v>4.4476068376068287</v>
      </c>
      <c r="AJ40" s="131">
        <f>SUM(W40:AI40)</f>
        <v>37.995726495726444</v>
      </c>
      <c r="AK40" s="131">
        <f t="shared" si="75"/>
        <v>2.9227481919789571</v>
      </c>
    </row>
    <row r="41" spans="1:37" x14ac:dyDescent="0.25">
      <c r="A41" t="s">
        <v>35</v>
      </c>
      <c r="B41">
        <f t="shared" si="60"/>
        <v>1E-4</v>
      </c>
      <c r="C41">
        <f t="shared" si="60"/>
        <v>1E-4</v>
      </c>
      <c r="D41">
        <f t="shared" si="60"/>
        <v>1E-4</v>
      </c>
      <c r="E41">
        <f t="shared" si="60"/>
        <v>1E-4</v>
      </c>
      <c r="F41">
        <f t="shared" si="60"/>
        <v>371.72199999999998</v>
      </c>
      <c r="G41">
        <f t="shared" si="60"/>
        <v>399.24950000000001</v>
      </c>
      <c r="H41">
        <f t="shared" si="60"/>
        <v>367.17090000000002</v>
      </c>
      <c r="I41">
        <f t="shared" si="60"/>
        <v>366.57740000000001</v>
      </c>
      <c r="J41">
        <f t="shared" si="60"/>
        <v>394.76170000000002</v>
      </c>
      <c r="K41">
        <f t="shared" si="60"/>
        <v>396.55950000000001</v>
      </c>
      <c r="L41">
        <f t="shared" si="60"/>
        <v>392.63210000000004</v>
      </c>
      <c r="M41">
        <f t="shared" si="60"/>
        <v>362.18360000000007</v>
      </c>
      <c r="N41">
        <f t="shared" si="60"/>
        <v>424.23540000000003</v>
      </c>
      <c r="Q41">
        <v>1</v>
      </c>
      <c r="R41">
        <v>4</v>
      </c>
      <c r="S41">
        <v>7</v>
      </c>
      <c r="T41" t="s">
        <v>503</v>
      </c>
      <c r="V41" t="s">
        <v>35</v>
      </c>
      <c r="W41" s="2">
        <f t="shared" si="61"/>
        <v>8.3860683760683834</v>
      </c>
      <c r="X41" s="2">
        <f t="shared" si="62"/>
        <v>25.866410256410241</v>
      </c>
      <c r="Y41" s="2">
        <f t="shared" si="63"/>
        <v>0.70059829059827461</v>
      </c>
      <c r="Z41" s="2">
        <f t="shared" si="64"/>
        <v>26.574102564102564</v>
      </c>
      <c r="AA41" s="2">
        <f t="shared" si="65"/>
        <v>-0.94871794871797466</v>
      </c>
      <c r="AB41" s="2">
        <f t="shared" si="66"/>
        <v>9.4667521367521132</v>
      </c>
      <c r="AC41" s="2">
        <f t="shared" si="67"/>
        <v>-10.901025641025628</v>
      </c>
      <c r="AD41" s="2">
        <f t="shared" si="68"/>
        <v>3.8219658119658106</v>
      </c>
      <c r="AE41" s="2">
        <f t="shared" si="69"/>
        <v>6.6723931623931589</v>
      </c>
      <c r="AF41" s="2">
        <f t="shared" si="70"/>
        <v>0.84384615384614836</v>
      </c>
      <c r="AG41" s="2">
        <f t="shared" si="71"/>
        <v>-5.6902564102564153</v>
      </c>
      <c r="AH41" s="2">
        <f t="shared" si="72"/>
        <v>-8.345726495726522</v>
      </c>
      <c r="AI41" s="2">
        <f t="shared" si="73"/>
        <v>7.8518803418803502</v>
      </c>
      <c r="AJ41" s="131">
        <f t="shared" si="74"/>
        <v>64.298290598290507</v>
      </c>
      <c r="AK41" s="131">
        <f t="shared" si="75"/>
        <v>4.9460223537146542</v>
      </c>
    </row>
    <row r="42" spans="1:37" x14ac:dyDescent="0.25">
      <c r="A42" t="s">
        <v>27</v>
      </c>
      <c r="B42">
        <f t="shared" si="60"/>
        <v>1E-4</v>
      </c>
      <c r="C42">
        <f t="shared" si="60"/>
        <v>1E-4</v>
      </c>
      <c r="D42">
        <f t="shared" si="60"/>
        <v>1E-4</v>
      </c>
      <c r="E42">
        <f t="shared" si="60"/>
        <v>1E-4</v>
      </c>
      <c r="F42">
        <f t="shared" si="60"/>
        <v>393.9452</v>
      </c>
      <c r="G42">
        <f t="shared" si="60"/>
        <v>433.51170000000008</v>
      </c>
      <c r="H42">
        <f t="shared" si="60"/>
        <v>342.00120000000004</v>
      </c>
      <c r="I42">
        <f t="shared" si="60"/>
        <v>391.93540000000002</v>
      </c>
      <c r="J42">
        <f t="shared" si="60"/>
        <v>398.51049999999998</v>
      </c>
      <c r="K42">
        <f t="shared" si="60"/>
        <v>343.40369999999996</v>
      </c>
      <c r="L42">
        <f t="shared" si="60"/>
        <v>409.76599999999996</v>
      </c>
      <c r="M42">
        <f t="shared" si="60"/>
        <v>426.73990000000009</v>
      </c>
      <c r="N42">
        <f t="shared" si="60"/>
        <v>408.0872</v>
      </c>
      <c r="Q42">
        <v>2</v>
      </c>
      <c r="R42">
        <v>4</v>
      </c>
      <c r="S42">
        <v>1</v>
      </c>
      <c r="T42" t="s">
        <v>633</v>
      </c>
      <c r="V42" t="s">
        <v>27</v>
      </c>
      <c r="W42" s="2">
        <f t="shared" si="61"/>
        <v>-2.9224786324786294</v>
      </c>
      <c r="X42" s="2">
        <f t="shared" si="62"/>
        <v>-16.549829059829055</v>
      </c>
      <c r="Y42" s="2">
        <f t="shared" si="63"/>
        <v>0.81427350427348877</v>
      </c>
      <c r="Z42" s="2">
        <f t="shared" si="64"/>
        <v>49.102307692307704</v>
      </c>
      <c r="AA42" s="2">
        <f t="shared" si="65"/>
        <v>-3.3760683760683934</v>
      </c>
      <c r="AB42" s="2">
        <f t="shared" si="66"/>
        <v>-1.8648717948717843</v>
      </c>
      <c r="AC42" s="2">
        <f t="shared" si="67"/>
        <v>1.8271794871794826</v>
      </c>
      <c r="AD42" s="2">
        <f t="shared" si="68"/>
        <v>-12.014786324786339</v>
      </c>
      <c r="AE42" s="2">
        <f t="shared" si="69"/>
        <v>-0.46692307692308077</v>
      </c>
      <c r="AF42" s="2">
        <f t="shared" si="70"/>
        <v>0.93529914529913505</v>
      </c>
      <c r="AG42" s="2">
        <f t="shared" si="71"/>
        <v>7.5242735042734967</v>
      </c>
      <c r="AH42" s="2">
        <f t="shared" si="72"/>
        <v>-6.7576923076923254</v>
      </c>
      <c r="AI42" s="2">
        <f t="shared" si="73"/>
        <v>7.4672649572649545</v>
      </c>
      <c r="AJ42" s="131">
        <f>SUM(W42:AI42)</f>
        <v>23.717948717948655</v>
      </c>
      <c r="AK42" s="131">
        <f t="shared" si="75"/>
        <v>1.824457593688358</v>
      </c>
    </row>
    <row r="43" spans="1:37" x14ac:dyDescent="0.25">
      <c r="A43" t="s">
        <v>62</v>
      </c>
      <c r="B43">
        <f t="shared" si="60"/>
        <v>1E-4</v>
      </c>
      <c r="C43">
        <f t="shared" si="60"/>
        <v>1E-4</v>
      </c>
      <c r="D43">
        <f t="shared" si="60"/>
        <v>1E-4</v>
      </c>
      <c r="E43">
        <f t="shared" si="60"/>
        <v>1E-4</v>
      </c>
      <c r="F43">
        <f t="shared" si="60"/>
        <v>391.17150000000004</v>
      </c>
      <c r="G43">
        <f t="shared" si="60"/>
        <v>457.45920000000001</v>
      </c>
      <c r="H43">
        <f t="shared" si="60"/>
        <v>465.69209999999998</v>
      </c>
      <c r="I43">
        <f t="shared" si="60"/>
        <v>468.12379999999996</v>
      </c>
      <c r="J43">
        <f t="shared" si="60"/>
        <v>477.20149999999995</v>
      </c>
      <c r="K43">
        <f t="shared" si="60"/>
        <v>446.33889999999997</v>
      </c>
      <c r="L43">
        <f t="shared" si="60"/>
        <v>466.6443000000001</v>
      </c>
      <c r="M43">
        <f t="shared" si="60"/>
        <v>427.05540000000008</v>
      </c>
      <c r="N43">
        <f t="shared" si="60"/>
        <v>495.99799999999993</v>
      </c>
      <c r="Q43">
        <v>3</v>
      </c>
      <c r="R43">
        <v>4</v>
      </c>
      <c r="S43">
        <v>6</v>
      </c>
      <c r="T43" t="s">
        <v>811</v>
      </c>
      <c r="V43" t="s">
        <v>62</v>
      </c>
      <c r="W43" s="2">
        <f t="shared" si="61"/>
        <v>31.892051282051256</v>
      </c>
      <c r="X43" s="2">
        <f t="shared" si="62"/>
        <v>10.735641025641</v>
      </c>
      <c r="Y43" s="2">
        <f t="shared" si="63"/>
        <v>-0.58487179487179752</v>
      </c>
      <c r="Z43" s="2">
        <f t="shared" si="64"/>
        <v>-36.766923076923078</v>
      </c>
      <c r="AA43" s="2">
        <f t="shared" si="65"/>
        <v>-2.8632478632478842</v>
      </c>
      <c r="AB43" s="2">
        <f t="shared" si="66"/>
        <v>5.0505128205127976</v>
      </c>
      <c r="AC43" s="2">
        <f t="shared" si="67"/>
        <v>2.9263247863247743</v>
      </c>
      <c r="AD43" s="2">
        <f t="shared" si="68"/>
        <v>8.9886324786325051</v>
      </c>
      <c r="AE43" s="2">
        <f t="shared" si="69"/>
        <v>-14.307948717948731</v>
      </c>
      <c r="AF43" s="2">
        <f t="shared" si="70"/>
        <v>-26.828803418803417</v>
      </c>
      <c r="AG43" s="2">
        <f t="shared" si="71"/>
        <v>-11.295384615384624</v>
      </c>
      <c r="AH43" s="2">
        <f t="shared" si="72"/>
        <v>7.4952991452991569</v>
      </c>
      <c r="AI43" s="2">
        <f t="shared" si="73"/>
        <v>-3.5421367521367619</v>
      </c>
      <c r="AJ43" s="131">
        <f t="shared" si="74"/>
        <v>-29.100854700854804</v>
      </c>
      <c r="AK43" s="131">
        <f t="shared" si="75"/>
        <v>-2.2385272846811386</v>
      </c>
    </row>
    <row r="44" spans="1:37" x14ac:dyDescent="0.25">
      <c r="A44" t="s">
        <v>1648</v>
      </c>
      <c r="B44">
        <f t="shared" si="60"/>
        <v>1E-4</v>
      </c>
      <c r="C44">
        <f t="shared" si="60"/>
        <v>1E-4</v>
      </c>
      <c r="D44">
        <f t="shared" si="60"/>
        <v>1E-4</v>
      </c>
      <c r="E44">
        <f t="shared" si="60"/>
        <v>1E-4</v>
      </c>
      <c r="F44">
        <f t="shared" si="60"/>
        <v>235.17039999999997</v>
      </c>
      <c r="G44">
        <f t="shared" si="60"/>
        <v>333.69279999999998</v>
      </c>
      <c r="H44">
        <f t="shared" si="60"/>
        <v>394.70159999999998</v>
      </c>
      <c r="I44">
        <f t="shared" si="60"/>
        <v>405.06490000000008</v>
      </c>
      <c r="J44">
        <f t="shared" si="60"/>
        <v>335.95609999999999</v>
      </c>
      <c r="K44">
        <f t="shared" si="60"/>
        <v>357.47739999999999</v>
      </c>
      <c r="L44">
        <f t="shared" si="60"/>
        <v>381.34530000000001</v>
      </c>
      <c r="M44">
        <f t="shared" si="60"/>
        <v>338.76970000000006</v>
      </c>
      <c r="N44">
        <f t="shared" si="60"/>
        <v>342.54860000000002</v>
      </c>
      <c r="Q44">
        <v>4</v>
      </c>
      <c r="R44">
        <v>4</v>
      </c>
      <c r="S44">
        <v>8</v>
      </c>
      <c r="T44" t="s">
        <v>863</v>
      </c>
      <c r="V44" t="s">
        <v>1648</v>
      </c>
      <c r="W44" s="2">
        <f t="shared" si="61"/>
        <v>-13.395982905982915</v>
      </c>
      <c r="X44" s="2">
        <f t="shared" si="62"/>
        <v>-6.7925641025641097</v>
      </c>
      <c r="Y44" s="2">
        <f t="shared" si="63"/>
        <v>28.250170940170928</v>
      </c>
      <c r="Z44" s="2">
        <f t="shared" si="64"/>
        <v>0.93649572649572299</v>
      </c>
      <c r="AA44" s="2">
        <f t="shared" si="65"/>
        <v>0.11196581196578315</v>
      </c>
      <c r="AB44" s="2">
        <f t="shared" si="66"/>
        <v>-1.4238461538461609</v>
      </c>
      <c r="AC44" s="2">
        <f t="shared" si="67"/>
        <v>-3.6343589743589808</v>
      </c>
      <c r="AD44" s="2">
        <f t="shared" si="68"/>
        <v>1.0134188034188139</v>
      </c>
      <c r="AE44" s="2">
        <f t="shared" si="69"/>
        <v>2.8552991452991083</v>
      </c>
      <c r="AF44" s="2">
        <f t="shared" si="70"/>
        <v>-7.3159829059829304</v>
      </c>
      <c r="AG44" s="2">
        <f t="shared" si="71"/>
        <v>7.1285470085470211</v>
      </c>
      <c r="AH44" s="2">
        <f t="shared" si="72"/>
        <v>4.5457264957264654</v>
      </c>
      <c r="AI44" s="2">
        <f t="shared" si="73"/>
        <v>0.11085470085468785</v>
      </c>
      <c r="AJ44" s="131">
        <f t="shared" si="74"/>
        <v>12.389743589743432</v>
      </c>
      <c r="AK44" s="131">
        <f t="shared" si="75"/>
        <v>0.95305719921103327</v>
      </c>
    </row>
    <row r="45" spans="1:37" x14ac:dyDescent="0.25">
      <c r="A45" t="s">
        <v>23</v>
      </c>
      <c r="B45">
        <f t="shared" si="60"/>
        <v>1E-4</v>
      </c>
      <c r="C45">
        <f t="shared" si="60"/>
        <v>1E-4</v>
      </c>
      <c r="D45">
        <f t="shared" si="60"/>
        <v>1E-4</v>
      </c>
      <c r="E45">
        <f t="shared" si="60"/>
        <v>1E-4</v>
      </c>
      <c r="F45">
        <f t="shared" si="60"/>
        <v>478.47889999999995</v>
      </c>
      <c r="G45">
        <f t="shared" si="60"/>
        <v>432.52990000000005</v>
      </c>
      <c r="H45">
        <f t="shared" si="60"/>
        <v>405.05730000000005</v>
      </c>
      <c r="I45">
        <f t="shared" si="60"/>
        <v>382.75790000000001</v>
      </c>
      <c r="J45">
        <f t="shared" si="60"/>
        <v>467.57480000000004</v>
      </c>
      <c r="K45">
        <f t="shared" si="60"/>
        <v>400.35449999999997</v>
      </c>
      <c r="L45">
        <f t="shared" si="60"/>
        <v>461.61259999999999</v>
      </c>
      <c r="M45">
        <f t="shared" si="60"/>
        <v>384.5727</v>
      </c>
      <c r="N45">
        <f t="shared" si="60"/>
        <v>469.66329999999999</v>
      </c>
      <c r="Q45">
        <v>5</v>
      </c>
      <c r="R45">
        <v>4</v>
      </c>
      <c r="S45">
        <v>2</v>
      </c>
      <c r="T45" t="s">
        <v>885</v>
      </c>
      <c r="V45" t="s">
        <v>23</v>
      </c>
      <c r="W45" s="2">
        <f t="shared" si="61"/>
        <v>7.9946153846153676</v>
      </c>
      <c r="X45" s="2">
        <f t="shared" si="62"/>
        <v>8.5082905982905892</v>
      </c>
      <c r="Y45" s="2">
        <f t="shared" si="63"/>
        <v>9.7775213675213681</v>
      </c>
      <c r="Z45" s="2">
        <f t="shared" si="64"/>
        <v>-1.8205128205106225E-2</v>
      </c>
      <c r="AA45" s="2">
        <f t="shared" si="65"/>
        <v>0.70085470085470547</v>
      </c>
      <c r="AB45" s="2">
        <f t="shared" si="66"/>
        <v>-6.1546153846154095</v>
      </c>
      <c r="AC45" s="2">
        <f t="shared" si="67"/>
        <v>4.1528205128205213</v>
      </c>
      <c r="AD45" s="2">
        <f t="shared" si="68"/>
        <v>9.6578632478632684</v>
      </c>
      <c r="AE45" s="2">
        <f t="shared" si="69"/>
        <v>-14.175470085470097</v>
      </c>
      <c r="AF45" s="2">
        <f t="shared" si="70"/>
        <v>2.9857264957265057</v>
      </c>
      <c r="AG45" s="2">
        <f t="shared" si="71"/>
        <v>-6.5261538461538704</v>
      </c>
      <c r="AH45" s="2">
        <f t="shared" si="72"/>
        <v>-2.3380341880342197</v>
      </c>
      <c r="AI45" s="2">
        <f t="shared" si="73"/>
        <v>-0.72931623931625744</v>
      </c>
      <c r="AJ45" s="131">
        <f t="shared" si="74"/>
        <v>13.835897435897364</v>
      </c>
      <c r="AK45" s="131">
        <f t="shared" si="75"/>
        <v>1.0642998027613357</v>
      </c>
    </row>
    <row r="46" spans="1:37" x14ac:dyDescent="0.25">
      <c r="A46" t="s">
        <v>49</v>
      </c>
      <c r="B46">
        <f t="shared" si="60"/>
        <v>1E-4</v>
      </c>
      <c r="C46">
        <f t="shared" si="60"/>
        <v>1E-4</v>
      </c>
      <c r="D46">
        <f t="shared" si="60"/>
        <v>1E-4</v>
      </c>
      <c r="E46">
        <f t="shared" si="60"/>
        <v>1E-4</v>
      </c>
      <c r="F46">
        <f t="shared" si="60"/>
        <v>487.98720000000003</v>
      </c>
      <c r="G46">
        <f t="shared" si="60"/>
        <v>491.31809999999996</v>
      </c>
      <c r="H46">
        <f t="shared" si="60"/>
        <v>498.19350000000003</v>
      </c>
      <c r="I46">
        <f t="shared" si="60"/>
        <v>512.92769999999996</v>
      </c>
      <c r="J46">
        <f t="shared" si="60"/>
        <v>402.60670000000005</v>
      </c>
      <c r="K46">
        <f t="shared" si="60"/>
        <v>537.76670000000001</v>
      </c>
      <c r="L46">
        <f t="shared" si="60"/>
        <v>517.40019999999993</v>
      </c>
      <c r="M46">
        <f t="shared" si="60"/>
        <v>476.85540000000003</v>
      </c>
      <c r="N46">
        <f t="shared" si="60"/>
        <v>580.8596</v>
      </c>
      <c r="Q46">
        <v>6</v>
      </c>
      <c r="R46">
        <v>4</v>
      </c>
      <c r="S46">
        <v>5</v>
      </c>
      <c r="T46" t="s">
        <v>928</v>
      </c>
      <c r="V46" t="s">
        <v>49</v>
      </c>
      <c r="W46" s="2">
        <f t="shared" si="61"/>
        <v>-7.6660683760683712</v>
      </c>
      <c r="X46" s="2">
        <f t="shared" si="62"/>
        <v>-9.466923076923095</v>
      </c>
      <c r="Y46" s="2">
        <f t="shared" si="63"/>
        <v>-2.5865811965811991</v>
      </c>
      <c r="Z46" s="2">
        <f t="shared" si="64"/>
        <v>8.9860683760683777</v>
      </c>
      <c r="AA46" s="2">
        <f t="shared" si="65"/>
        <v>-10.918803418803437</v>
      </c>
      <c r="AB46" s="2">
        <f t="shared" si="66"/>
        <v>9.6718803418803283</v>
      </c>
      <c r="AC46" s="2">
        <f t="shared" si="67"/>
        <v>-4.7369230769230679</v>
      </c>
      <c r="AD46" s="2">
        <f t="shared" si="68"/>
        <v>-0.90538461538460968</v>
      </c>
      <c r="AE46" s="2">
        <f t="shared" si="69"/>
        <v>4.7783760683760717</v>
      </c>
      <c r="AF46" s="2">
        <f t="shared" si="70"/>
        <v>6.1575213675213405</v>
      </c>
      <c r="AG46" s="2">
        <f t="shared" si="71"/>
        <v>2.7678632478632261</v>
      </c>
      <c r="AH46" s="2">
        <f t="shared" si="72"/>
        <v>-0.63376068376070827</v>
      </c>
      <c r="AI46" s="2">
        <f t="shared" si="73"/>
        <v>-7.7199145299145489</v>
      </c>
      <c r="AJ46" s="131">
        <f t="shared" si="74"/>
        <v>-12.272649572649687</v>
      </c>
      <c r="AK46" s="131">
        <f t="shared" si="75"/>
        <v>-0.94404996712689904</v>
      </c>
    </row>
    <row r="47" spans="1:37" x14ac:dyDescent="0.25">
      <c r="A47" t="s">
        <v>44</v>
      </c>
      <c r="B47">
        <f t="shared" si="60"/>
        <v>1E-4</v>
      </c>
      <c r="C47">
        <f t="shared" si="60"/>
        <v>1E-4</v>
      </c>
      <c r="D47">
        <f t="shared" si="60"/>
        <v>1E-4</v>
      </c>
      <c r="E47">
        <f t="shared" si="60"/>
        <v>1E-4</v>
      </c>
      <c r="F47">
        <f t="shared" si="60"/>
        <v>422.40490000000005</v>
      </c>
      <c r="G47">
        <f t="shared" si="60"/>
        <v>456.78859999999997</v>
      </c>
      <c r="H47">
        <f t="shared" si="60"/>
        <v>389.40539999999993</v>
      </c>
      <c r="I47">
        <f t="shared" si="60"/>
        <v>365.15859999999998</v>
      </c>
      <c r="J47">
        <f t="shared" si="60"/>
        <v>334.6001</v>
      </c>
      <c r="K47">
        <f t="shared" si="60"/>
        <v>377.93680000000006</v>
      </c>
      <c r="L47">
        <f t="shared" si="60"/>
        <v>406.8202</v>
      </c>
      <c r="M47">
        <f t="shared" si="60"/>
        <v>332.52330000000001</v>
      </c>
      <c r="N47">
        <f t="shared" si="60"/>
        <v>334.88169999999997</v>
      </c>
      <c r="Q47">
        <v>7</v>
      </c>
      <c r="R47">
        <v>4</v>
      </c>
      <c r="S47">
        <v>3</v>
      </c>
      <c r="T47" t="s">
        <v>929</v>
      </c>
      <c r="V47" t="s">
        <v>44</v>
      </c>
      <c r="W47" s="2">
        <f t="shared" si="61"/>
        <v>3.4911965811965979</v>
      </c>
      <c r="X47" s="2">
        <f t="shared" si="62"/>
        <v>-12.096837606837608</v>
      </c>
      <c r="Y47" s="2">
        <f t="shared" si="63"/>
        <v>-3.3532478632478462</v>
      </c>
      <c r="Z47" s="2">
        <f t="shared" si="64"/>
        <v>-19.17717948717949</v>
      </c>
      <c r="AA47" s="2">
        <f t="shared" si="65"/>
        <v>1.7085470085469909</v>
      </c>
      <c r="AB47" s="2">
        <f t="shared" si="66"/>
        <v>-16.78025641025642</v>
      </c>
      <c r="AC47" s="2">
        <f t="shared" si="67"/>
        <v>-4.7976068376068399</v>
      </c>
      <c r="AD47" s="2">
        <f t="shared" si="68"/>
        <v>-5.4070940170939776</v>
      </c>
      <c r="AE47" s="2">
        <f t="shared" si="69"/>
        <v>2.5356410256410067</v>
      </c>
      <c r="AF47" s="2">
        <f t="shared" si="70"/>
        <v>0.62760683760684977</v>
      </c>
      <c r="AG47" s="2">
        <f t="shared" si="71"/>
        <v>-5.9210256410256381</v>
      </c>
      <c r="AH47" s="2">
        <f t="shared" si="72"/>
        <v>-4.6149572649573019</v>
      </c>
      <c r="AI47" s="2">
        <f t="shared" si="73"/>
        <v>-6.1250427350427357</v>
      </c>
      <c r="AJ47" s="131">
        <f t="shared" si="74"/>
        <v>-69.910256410256423</v>
      </c>
      <c r="AK47" s="131">
        <f t="shared" si="75"/>
        <v>-5.3777120315581861</v>
      </c>
    </row>
    <row r="48" spans="1:37" x14ac:dyDescent="0.25">
      <c r="Q48">
        <v>8</v>
      </c>
      <c r="R48">
        <v>4</v>
      </c>
      <c r="S48">
        <v>10</v>
      </c>
      <c r="T48" t="s">
        <v>930</v>
      </c>
    </row>
    <row r="49" spans="1:20" x14ac:dyDescent="0.25">
      <c r="A49" t="s">
        <v>1718</v>
      </c>
      <c r="B49">
        <v>1</v>
      </c>
      <c r="C49">
        <f>B49+1</f>
        <v>2</v>
      </c>
      <c r="D49">
        <f t="shared" ref="D49:N49" si="76">C49+1</f>
        <v>3</v>
      </c>
      <c r="E49">
        <f t="shared" si="76"/>
        <v>4</v>
      </c>
      <c r="F49">
        <f t="shared" si="76"/>
        <v>5</v>
      </c>
      <c r="G49">
        <f t="shared" si="76"/>
        <v>6</v>
      </c>
      <c r="H49">
        <f t="shared" si="76"/>
        <v>7</v>
      </c>
      <c r="I49">
        <f t="shared" si="76"/>
        <v>8</v>
      </c>
      <c r="J49">
        <f t="shared" si="76"/>
        <v>9</v>
      </c>
      <c r="K49">
        <f t="shared" si="76"/>
        <v>10</v>
      </c>
      <c r="L49">
        <f t="shared" si="76"/>
        <v>11</v>
      </c>
      <c r="M49">
        <f t="shared" si="76"/>
        <v>12</v>
      </c>
      <c r="N49">
        <f t="shared" si="76"/>
        <v>13</v>
      </c>
      <c r="Q49">
        <v>9</v>
      </c>
      <c r="R49">
        <v>4</v>
      </c>
      <c r="S49">
        <v>2</v>
      </c>
      <c r="T49" t="s">
        <v>931</v>
      </c>
    </row>
    <row r="50" spans="1:20" x14ac:dyDescent="0.25">
      <c r="A50" t="s">
        <v>20</v>
      </c>
      <c r="B50" s="115">
        <f>Scores!B13</f>
        <v>0</v>
      </c>
      <c r="C50" s="115">
        <f>Scores!C13</f>
        <v>0</v>
      </c>
      <c r="D50" s="115">
        <f>Scores!D13</f>
        <v>0</v>
      </c>
      <c r="E50" s="115">
        <f>Scores!E13</f>
        <v>0</v>
      </c>
      <c r="F50" s="115">
        <f>Scores!F13</f>
        <v>490.17610000000008</v>
      </c>
      <c r="G50" s="115">
        <f>Scores!G13</f>
        <v>379.00150000000008</v>
      </c>
      <c r="H50" s="115">
        <f>Scores!H13</f>
        <v>440.22199999999998</v>
      </c>
      <c r="I50" s="115">
        <f>Scores!I13</f>
        <v>449.70740000000001</v>
      </c>
      <c r="J50" s="115">
        <f>Scores!J13</f>
        <v>452.37890000000004</v>
      </c>
      <c r="K50" s="115">
        <f>Scores!K13</f>
        <v>456.93399999999997</v>
      </c>
      <c r="L50" s="115">
        <f>Scores!L13</f>
        <v>428.5215</v>
      </c>
      <c r="M50" s="115">
        <f>Scores!M13</f>
        <v>423.25290000000001</v>
      </c>
      <c r="N50" s="115">
        <f>Scores!N13</f>
        <v>462.59000000000003</v>
      </c>
      <c r="Q50">
        <v>10</v>
      </c>
      <c r="R50">
        <v>4</v>
      </c>
      <c r="S50">
        <v>7</v>
      </c>
      <c r="T50" t="s">
        <v>932</v>
      </c>
    </row>
    <row r="51" spans="1:20" x14ac:dyDescent="0.25">
      <c r="A51" t="s">
        <v>16</v>
      </c>
      <c r="B51" s="115">
        <f>Scores!B14</f>
        <v>0</v>
      </c>
      <c r="C51" s="115">
        <f>Scores!C14</f>
        <v>0</v>
      </c>
      <c r="D51" s="115">
        <f>Scores!D14</f>
        <v>0</v>
      </c>
      <c r="E51" s="115">
        <f>Scores!E14</f>
        <v>0</v>
      </c>
      <c r="F51" s="115">
        <f>Scores!F14</f>
        <v>326.55839999999995</v>
      </c>
      <c r="G51" s="115">
        <f>Scores!G14</f>
        <v>373.57219999999995</v>
      </c>
      <c r="H51" s="115">
        <f>Scores!H14</f>
        <v>355.65879999999999</v>
      </c>
      <c r="I51" s="115">
        <f>Scores!I14</f>
        <v>363.43709999999999</v>
      </c>
      <c r="J51" s="115">
        <f>Scores!J14</f>
        <v>402.52690000000013</v>
      </c>
      <c r="K51" s="115">
        <f>Scores!K14</f>
        <v>404.64429999999993</v>
      </c>
      <c r="L51" s="115">
        <f>Scores!L14</f>
        <v>355.18600000000004</v>
      </c>
      <c r="M51" s="115">
        <f>Scores!M14</f>
        <v>412.16589999999991</v>
      </c>
      <c r="N51" s="115">
        <f>Scores!N14</f>
        <v>320.21050000000008</v>
      </c>
      <c r="Q51">
        <v>11</v>
      </c>
      <c r="R51">
        <v>4</v>
      </c>
      <c r="S51">
        <v>1</v>
      </c>
      <c r="T51" t="s">
        <v>933</v>
      </c>
    </row>
    <row r="52" spans="1:20" x14ac:dyDescent="0.25">
      <c r="A52" t="s">
        <v>55</v>
      </c>
      <c r="B52" s="115">
        <f>Scores!B15</f>
        <v>0</v>
      </c>
      <c r="C52" s="115">
        <f>Scores!C15</f>
        <v>0</v>
      </c>
      <c r="D52" s="115">
        <f>Scores!D15</f>
        <v>0</v>
      </c>
      <c r="E52" s="115">
        <f>Scores!E15</f>
        <v>0</v>
      </c>
      <c r="F52" s="115">
        <f>Scores!F15</f>
        <v>763.71510000000001</v>
      </c>
      <c r="G52" s="115">
        <f>Scores!G15</f>
        <v>479.99800000000005</v>
      </c>
      <c r="H52" s="115">
        <f>Scores!H15</f>
        <v>438.92689999999999</v>
      </c>
      <c r="I52" s="115">
        <f>Scores!I15</f>
        <v>460.03000000000009</v>
      </c>
      <c r="J52" s="115">
        <f>Scores!J15</f>
        <v>347.95859999999993</v>
      </c>
      <c r="K52" s="115">
        <f>Scores!K15</f>
        <v>363.84479999999996</v>
      </c>
      <c r="L52" s="115">
        <f>Scores!L15</f>
        <v>449.12279999999998</v>
      </c>
      <c r="M52" s="115">
        <f>Scores!M15</f>
        <v>420.84329999999994</v>
      </c>
      <c r="N52" s="115">
        <f>Scores!N15</f>
        <v>406.09120000000001</v>
      </c>
      <c r="Q52">
        <v>12</v>
      </c>
      <c r="R52">
        <v>4</v>
      </c>
      <c r="S52">
        <v>9</v>
      </c>
      <c r="T52" t="s">
        <v>934</v>
      </c>
    </row>
    <row r="53" spans="1:20" x14ac:dyDescent="0.25">
      <c r="A53" t="s">
        <v>35</v>
      </c>
      <c r="B53" s="115">
        <f>Scores!B16</f>
        <v>0</v>
      </c>
      <c r="C53" s="115">
        <f>Scores!C16</f>
        <v>0</v>
      </c>
      <c r="D53" s="115">
        <f>Scores!D16</f>
        <v>0</v>
      </c>
      <c r="E53" s="115">
        <f>Scores!E16</f>
        <v>0</v>
      </c>
      <c r="F53" s="115">
        <f>Scores!F16</f>
        <v>371.72199999999998</v>
      </c>
      <c r="G53" s="115">
        <f>Scores!G16</f>
        <v>399.24950000000001</v>
      </c>
      <c r="H53" s="115">
        <f>Scores!H16</f>
        <v>367.17090000000002</v>
      </c>
      <c r="I53" s="115">
        <f>Scores!I16</f>
        <v>366.57740000000001</v>
      </c>
      <c r="J53" s="115">
        <f>Scores!J16</f>
        <v>394.76170000000002</v>
      </c>
      <c r="K53" s="115">
        <f>Scores!K16</f>
        <v>396.55950000000001</v>
      </c>
      <c r="L53" s="115">
        <f>Scores!L16</f>
        <v>392.63210000000004</v>
      </c>
      <c r="M53" s="115">
        <f>Scores!M16</f>
        <v>362.18360000000007</v>
      </c>
      <c r="N53" s="115">
        <f>Scores!N16</f>
        <v>424.23540000000003</v>
      </c>
      <c r="Q53">
        <v>13</v>
      </c>
      <c r="R53">
        <v>4</v>
      </c>
      <c r="S53">
        <v>8</v>
      </c>
      <c r="T53" t="s">
        <v>935</v>
      </c>
    </row>
    <row r="54" spans="1:20" x14ac:dyDescent="0.25">
      <c r="A54" t="s">
        <v>27</v>
      </c>
      <c r="B54" s="115">
        <f>Scores!B17</f>
        <v>0</v>
      </c>
      <c r="C54" s="115">
        <f>Scores!C17</f>
        <v>0</v>
      </c>
      <c r="D54" s="115">
        <f>Scores!D17</f>
        <v>0</v>
      </c>
      <c r="E54" s="115">
        <f>Scores!E17</f>
        <v>0</v>
      </c>
      <c r="F54" s="115">
        <f>Scores!F17</f>
        <v>393.9452</v>
      </c>
      <c r="G54" s="115">
        <f>Scores!G17</f>
        <v>433.51170000000008</v>
      </c>
      <c r="H54" s="115">
        <f>Scores!H17</f>
        <v>342.00120000000004</v>
      </c>
      <c r="I54" s="115">
        <f>Scores!I17</f>
        <v>391.93540000000002</v>
      </c>
      <c r="J54" s="115">
        <f>Scores!J17</f>
        <v>398.51049999999998</v>
      </c>
      <c r="K54" s="115">
        <f>Scores!K17</f>
        <v>343.40369999999996</v>
      </c>
      <c r="L54" s="115">
        <f>Scores!L17</f>
        <v>409.76599999999996</v>
      </c>
      <c r="M54" s="115">
        <f>Scores!M17</f>
        <v>426.73990000000009</v>
      </c>
      <c r="N54" s="115">
        <f>Scores!N17</f>
        <v>408.0872</v>
      </c>
      <c r="Q54">
        <v>1</v>
      </c>
      <c r="R54">
        <v>5</v>
      </c>
      <c r="S54">
        <v>10</v>
      </c>
      <c r="T54" t="s">
        <v>506</v>
      </c>
    </row>
    <row r="55" spans="1:20" x14ac:dyDescent="0.25">
      <c r="A55" t="s">
        <v>62</v>
      </c>
      <c r="B55" s="115">
        <f>Scores!B18</f>
        <v>0</v>
      </c>
      <c r="C55" s="115">
        <f>Scores!C18</f>
        <v>0</v>
      </c>
      <c r="D55" s="115">
        <f>Scores!D18</f>
        <v>0</v>
      </c>
      <c r="E55" s="115">
        <f>Scores!E18</f>
        <v>0</v>
      </c>
      <c r="F55" s="115">
        <f>Scores!F18</f>
        <v>391.17150000000004</v>
      </c>
      <c r="G55" s="115">
        <f>Scores!G18</f>
        <v>457.45920000000001</v>
      </c>
      <c r="H55" s="115">
        <f>Scores!H18</f>
        <v>465.69209999999998</v>
      </c>
      <c r="I55" s="115">
        <f>Scores!I18</f>
        <v>468.12379999999996</v>
      </c>
      <c r="J55" s="115">
        <f>Scores!J18</f>
        <v>477.20149999999995</v>
      </c>
      <c r="K55" s="115">
        <f>Scores!K18</f>
        <v>446.33889999999997</v>
      </c>
      <c r="L55" s="115">
        <f>Scores!L18</f>
        <v>466.6443000000001</v>
      </c>
      <c r="M55" s="115">
        <f>Scores!M18</f>
        <v>427.05540000000008</v>
      </c>
      <c r="N55" s="115">
        <f>Scores!N18</f>
        <v>495.99799999999993</v>
      </c>
      <c r="Q55">
        <v>2</v>
      </c>
      <c r="R55">
        <v>5</v>
      </c>
      <c r="S55">
        <v>2</v>
      </c>
      <c r="T55" t="s">
        <v>623</v>
      </c>
    </row>
    <row r="56" spans="1:20" x14ac:dyDescent="0.25">
      <c r="A56" t="s">
        <v>1648</v>
      </c>
      <c r="B56" s="115">
        <f>Scores!B19</f>
        <v>0</v>
      </c>
      <c r="C56" s="115">
        <f>Scores!C19</f>
        <v>0</v>
      </c>
      <c r="D56" s="115">
        <f>Scores!D19</f>
        <v>0</v>
      </c>
      <c r="E56" s="115">
        <f>Scores!E19</f>
        <v>0</v>
      </c>
      <c r="F56" s="115">
        <f>Scores!F19</f>
        <v>235.17039999999997</v>
      </c>
      <c r="G56" s="115">
        <f>Scores!G19</f>
        <v>333.69279999999998</v>
      </c>
      <c r="H56" s="115">
        <f>Scores!H19</f>
        <v>394.70159999999998</v>
      </c>
      <c r="I56" s="115">
        <f>Scores!I19</f>
        <v>405.06490000000008</v>
      </c>
      <c r="J56" s="115">
        <f>Scores!J19</f>
        <v>335.95609999999999</v>
      </c>
      <c r="K56" s="115">
        <f>Scores!K19</f>
        <v>357.47739999999999</v>
      </c>
      <c r="L56" s="115">
        <f>Scores!L19</f>
        <v>381.34530000000001</v>
      </c>
      <c r="M56" s="115">
        <f>Scores!M19</f>
        <v>338.76970000000006</v>
      </c>
      <c r="N56" s="115">
        <f>Scores!N19</f>
        <v>342.54860000000002</v>
      </c>
      <c r="Q56">
        <v>3</v>
      </c>
      <c r="R56">
        <v>5</v>
      </c>
      <c r="S56">
        <v>9</v>
      </c>
      <c r="T56" t="s">
        <v>805</v>
      </c>
    </row>
    <row r="57" spans="1:20" x14ac:dyDescent="0.25">
      <c r="A57" t="s">
        <v>23</v>
      </c>
      <c r="B57" s="115">
        <f>Scores!B20</f>
        <v>0</v>
      </c>
      <c r="C57" s="115">
        <f>Scores!C20</f>
        <v>0</v>
      </c>
      <c r="D57" s="115">
        <f>Scores!D20</f>
        <v>0</v>
      </c>
      <c r="E57" s="115">
        <f>Scores!E20</f>
        <v>0</v>
      </c>
      <c r="F57" s="115">
        <f>Scores!F20</f>
        <v>478.47889999999995</v>
      </c>
      <c r="G57" s="115">
        <f>Scores!G20</f>
        <v>432.52990000000005</v>
      </c>
      <c r="H57" s="115">
        <f>Scores!H20</f>
        <v>405.05730000000005</v>
      </c>
      <c r="I57" s="115">
        <f>Scores!I20</f>
        <v>382.75790000000001</v>
      </c>
      <c r="J57" s="115">
        <f>Scores!J20</f>
        <v>467.57480000000004</v>
      </c>
      <c r="K57" s="115">
        <f>Scores!K20</f>
        <v>400.35449999999997</v>
      </c>
      <c r="L57" s="115">
        <f>Scores!L20</f>
        <v>461.61259999999999</v>
      </c>
      <c r="M57" s="115">
        <f>Scores!M20</f>
        <v>384.5727</v>
      </c>
      <c r="N57" s="115">
        <f>Scores!N20</f>
        <v>469.66329999999999</v>
      </c>
      <c r="Q57">
        <v>4</v>
      </c>
      <c r="R57">
        <v>5</v>
      </c>
      <c r="S57">
        <v>3</v>
      </c>
      <c r="T57" t="s">
        <v>860</v>
      </c>
    </row>
    <row r="58" spans="1:20" x14ac:dyDescent="0.25">
      <c r="A58" t="s">
        <v>49</v>
      </c>
      <c r="B58" s="115">
        <f>Scores!B21</f>
        <v>0</v>
      </c>
      <c r="C58" s="115">
        <f>Scores!C21</f>
        <v>0</v>
      </c>
      <c r="D58" s="115">
        <f>Scores!D21</f>
        <v>0</v>
      </c>
      <c r="E58" s="115">
        <f>Scores!E21</f>
        <v>0</v>
      </c>
      <c r="F58" s="115">
        <f>Scores!F21</f>
        <v>487.98720000000003</v>
      </c>
      <c r="G58" s="115">
        <f>Scores!G21</f>
        <v>491.31809999999996</v>
      </c>
      <c r="H58" s="115">
        <f>Scores!H21</f>
        <v>498.19350000000003</v>
      </c>
      <c r="I58" s="115">
        <f>Scores!I21</f>
        <v>512.92769999999996</v>
      </c>
      <c r="J58" s="115">
        <f>Scores!J21</f>
        <v>402.60670000000005</v>
      </c>
      <c r="K58" s="115">
        <f>Scores!K21</f>
        <v>537.76670000000001</v>
      </c>
      <c r="L58" s="115">
        <f>Scores!L21</f>
        <v>517.40019999999993</v>
      </c>
      <c r="M58" s="115">
        <f>Scores!M21</f>
        <v>476.85540000000003</v>
      </c>
      <c r="N58" s="115">
        <f>Scores!N21</f>
        <v>580.8596</v>
      </c>
      <c r="Q58">
        <v>5</v>
      </c>
      <c r="R58">
        <v>5</v>
      </c>
      <c r="S58">
        <v>6</v>
      </c>
      <c r="T58" t="s">
        <v>887</v>
      </c>
    </row>
    <row r="59" spans="1:20" x14ac:dyDescent="0.25">
      <c r="A59" t="s">
        <v>44</v>
      </c>
      <c r="B59" s="115">
        <f>Scores!B22</f>
        <v>0</v>
      </c>
      <c r="C59" s="115">
        <f>Scores!C22</f>
        <v>0</v>
      </c>
      <c r="D59" s="115">
        <f>Scores!D22</f>
        <v>0</v>
      </c>
      <c r="E59" s="115">
        <f>Scores!E22</f>
        <v>0</v>
      </c>
      <c r="F59" s="115">
        <f>Scores!F22</f>
        <v>422.40490000000005</v>
      </c>
      <c r="G59" s="115">
        <f>Scores!G22</f>
        <v>456.78859999999997</v>
      </c>
      <c r="H59" s="115">
        <f>Scores!H22</f>
        <v>389.40539999999993</v>
      </c>
      <c r="I59" s="115">
        <f>Scores!I22</f>
        <v>365.15859999999998</v>
      </c>
      <c r="J59" s="115">
        <f>Scores!J22</f>
        <v>334.6001</v>
      </c>
      <c r="K59" s="115">
        <f>Scores!K22</f>
        <v>377.93680000000006</v>
      </c>
      <c r="L59" s="115">
        <f>Scores!L22</f>
        <v>406.8202</v>
      </c>
      <c r="M59" s="115">
        <f>Scores!M22</f>
        <v>332.52330000000001</v>
      </c>
      <c r="N59" s="115">
        <f>Scores!N22</f>
        <v>334.88169999999997</v>
      </c>
      <c r="Q59">
        <v>6</v>
      </c>
      <c r="R59">
        <v>5</v>
      </c>
      <c r="S59">
        <v>4</v>
      </c>
      <c r="T59" t="s">
        <v>936</v>
      </c>
    </row>
    <row r="60" spans="1:20" x14ac:dyDescent="0.25">
      <c r="Q60">
        <v>7</v>
      </c>
      <c r="R60">
        <v>5</v>
      </c>
      <c r="S60">
        <v>7</v>
      </c>
      <c r="T60" t="s">
        <v>937</v>
      </c>
    </row>
    <row r="61" spans="1:20" x14ac:dyDescent="0.25">
      <c r="A61" t="s">
        <v>1719</v>
      </c>
      <c r="B61" s="114">
        <v>1</v>
      </c>
      <c r="C61" s="114">
        <f>B61+1</f>
        <v>2</v>
      </c>
      <c r="D61" s="114">
        <f t="shared" ref="D61:K61" si="77">C61+1</f>
        <v>3</v>
      </c>
      <c r="E61" s="114">
        <f t="shared" si="77"/>
        <v>4</v>
      </c>
      <c r="F61" s="114">
        <f t="shared" si="77"/>
        <v>5</v>
      </c>
      <c r="G61" s="114">
        <f t="shared" si="77"/>
        <v>6</v>
      </c>
      <c r="H61" s="114">
        <f t="shared" si="77"/>
        <v>7</v>
      </c>
      <c r="I61" s="114">
        <f t="shared" si="77"/>
        <v>8</v>
      </c>
      <c r="J61" s="114">
        <f>I61+1</f>
        <v>9</v>
      </c>
      <c r="K61" s="114">
        <f t="shared" si="77"/>
        <v>10</v>
      </c>
      <c r="Q61">
        <v>8</v>
      </c>
      <c r="R61">
        <v>5</v>
      </c>
      <c r="S61">
        <v>8</v>
      </c>
      <c r="T61" t="s">
        <v>938</v>
      </c>
    </row>
    <row r="62" spans="1:20" x14ac:dyDescent="0.25">
      <c r="A62">
        <v>1</v>
      </c>
      <c r="B62">
        <f>SUMPRODUCT(_xlfn.NORM.DIST(0,INDEX($B$2:$N$11,B$61,)-INDEX($B$14:$N$23,$A62,),SQRT(INDEX($B$38:$N$47,B$61,)+INDEX($B$26:$N$35,$A62,)),TRUE))</f>
        <v>7.00616718400354</v>
      </c>
      <c r="C62">
        <f t="shared" ref="C62:K71" si="78">SUMPRODUCT(_xlfn.NORM.DIST(0,INDEX($B$2:$N$11,C$61,)-INDEX($B$14:$N$23,$A62,),SQRT(INDEX($B$38:$N$47,C$61,)+INDEX($B$26:$N$35,$A62,)),TRUE))</f>
        <v>7.6530520797331807</v>
      </c>
      <c r="D62">
        <f t="shared" si="78"/>
        <v>6.9010734374644427</v>
      </c>
      <c r="E62">
        <f t="shared" si="78"/>
        <v>7.2421273312279784</v>
      </c>
      <c r="F62">
        <f t="shared" si="78"/>
        <v>7.7335409860366333</v>
      </c>
      <c r="G62">
        <f t="shared" si="78"/>
        <v>8.340856929996546</v>
      </c>
      <c r="H62">
        <f t="shared" si="78"/>
        <v>6.7118392487098264</v>
      </c>
      <c r="I62">
        <f t="shared" si="78"/>
        <v>6.3567636884775816</v>
      </c>
      <c r="J62">
        <f t="shared" si="78"/>
        <v>7.6608113444100967</v>
      </c>
      <c r="K62">
        <f t="shared" si="78"/>
        <v>8.0672603504242879</v>
      </c>
      <c r="Q62">
        <v>9</v>
      </c>
      <c r="R62">
        <v>5</v>
      </c>
      <c r="S62">
        <v>10</v>
      </c>
      <c r="T62" t="s">
        <v>939</v>
      </c>
    </row>
    <row r="63" spans="1:20" x14ac:dyDescent="0.25">
      <c r="A63">
        <f>A62+1</f>
        <v>2</v>
      </c>
      <c r="B63">
        <f t="shared" ref="B63:B71" si="79">SUMPRODUCT(_xlfn.NORM.DIST(0,INDEX($B$2:$N$11,B$61,)-INDEX($B$14:$N$23,$A63,),SQRT(INDEX($B$38:$N$47,B$61,)+INDEX($B$26:$N$35,$A63,)),TRUE))</f>
        <v>6.5067484944462777</v>
      </c>
      <c r="C63">
        <f t="shared" si="78"/>
        <v>8.1989369011850819</v>
      </c>
      <c r="D63">
        <f t="shared" si="78"/>
        <v>7.4520952288511104</v>
      </c>
      <c r="E63">
        <f t="shared" si="78"/>
        <v>6.7806666902886015</v>
      </c>
      <c r="F63">
        <f t="shared" si="78"/>
        <v>7.2964942318327806</v>
      </c>
      <c r="G63">
        <f t="shared" si="78"/>
        <v>7.3365260622126822</v>
      </c>
      <c r="H63">
        <f t="shared" si="78"/>
        <v>7.2613568793679164</v>
      </c>
      <c r="I63">
        <f t="shared" si="78"/>
        <v>6.355668769891933</v>
      </c>
      <c r="J63">
        <f t="shared" si="78"/>
        <v>7.6934248503140434</v>
      </c>
      <c r="K63">
        <f t="shared" si="78"/>
        <v>8.0896045565055381</v>
      </c>
      <c r="Q63">
        <v>10</v>
      </c>
      <c r="R63">
        <v>5</v>
      </c>
      <c r="S63">
        <v>1</v>
      </c>
      <c r="T63" t="s">
        <v>940</v>
      </c>
    </row>
    <row r="64" spans="1:20" x14ac:dyDescent="0.25">
      <c r="A64">
        <f t="shared" ref="A64:A71" si="80">A63+1</f>
        <v>3</v>
      </c>
      <c r="B64">
        <f t="shared" si="79"/>
        <v>8.5439020227405305</v>
      </c>
      <c r="C64">
        <f t="shared" si="78"/>
        <v>8.2713662637276233</v>
      </c>
      <c r="D64">
        <f t="shared" si="78"/>
        <v>8.5357062765043121</v>
      </c>
      <c r="E64">
        <f t="shared" si="78"/>
        <v>7.8141503213237664</v>
      </c>
      <c r="F64">
        <f t="shared" si="78"/>
        <v>8.3173713013219945</v>
      </c>
      <c r="G64">
        <f t="shared" si="78"/>
        <v>8.8610913865750529</v>
      </c>
      <c r="H64">
        <f t="shared" si="78"/>
        <v>7.7697856756999473</v>
      </c>
      <c r="I64">
        <f t="shared" si="78"/>
        <v>7.892893568697799</v>
      </c>
      <c r="J64">
        <f t="shared" si="78"/>
        <v>8.7311501491878936</v>
      </c>
      <c r="K64">
        <f t="shared" si="78"/>
        <v>8.6037475162813806</v>
      </c>
      <c r="Q64">
        <v>11</v>
      </c>
      <c r="R64">
        <v>5</v>
      </c>
      <c r="S64">
        <v>9</v>
      </c>
      <c r="T64" t="s">
        <v>941</v>
      </c>
    </row>
    <row r="65" spans="1:20" x14ac:dyDescent="0.25">
      <c r="A65">
        <f t="shared" si="80"/>
        <v>4</v>
      </c>
      <c r="B65">
        <f t="shared" si="79"/>
        <v>7.2860372892013689</v>
      </c>
      <c r="C65">
        <f t="shared" si="78"/>
        <v>7.9594725011813585</v>
      </c>
      <c r="D65">
        <f t="shared" si="78"/>
        <v>7.206440483353731</v>
      </c>
      <c r="E65">
        <f t="shared" si="78"/>
        <v>4.5715314452204225</v>
      </c>
      <c r="F65">
        <f t="shared" si="78"/>
        <v>6.5994099025698656</v>
      </c>
      <c r="G65">
        <f t="shared" si="78"/>
        <v>6.6105781991209769</v>
      </c>
      <c r="H65">
        <f t="shared" si="78"/>
        <v>6.0463867842976384</v>
      </c>
      <c r="I65">
        <f t="shared" si="78"/>
        <v>6.0685366367952165</v>
      </c>
      <c r="J65">
        <f t="shared" si="78"/>
        <v>6.4764888589905247</v>
      </c>
      <c r="K65">
        <f t="shared" si="78"/>
        <v>6.8343386308220762</v>
      </c>
      <c r="Q65">
        <v>12</v>
      </c>
      <c r="R65">
        <v>5</v>
      </c>
      <c r="S65">
        <v>3</v>
      </c>
      <c r="T65" t="s">
        <v>942</v>
      </c>
    </row>
    <row r="66" spans="1:20" x14ac:dyDescent="0.25">
      <c r="A66">
        <f t="shared" si="80"/>
        <v>5</v>
      </c>
      <c r="B66">
        <f t="shared" si="79"/>
        <v>5.3784979118886556</v>
      </c>
      <c r="C66">
        <f t="shared" si="78"/>
        <v>7.0594782530512079</v>
      </c>
      <c r="D66">
        <f t="shared" si="78"/>
        <v>5.3431098438983122</v>
      </c>
      <c r="E66">
        <f t="shared" si="78"/>
        <v>4.1062756607438633</v>
      </c>
      <c r="F66">
        <f t="shared" si="78"/>
        <v>5.1751968668058419</v>
      </c>
      <c r="G66">
        <f t="shared" si="78"/>
        <v>5.6833989336080863</v>
      </c>
      <c r="H66">
        <f t="shared" si="78"/>
        <v>5.0382246965255737</v>
      </c>
      <c r="I66">
        <f t="shared" si="78"/>
        <v>4.213288328256243</v>
      </c>
      <c r="J66">
        <f t="shared" si="78"/>
        <v>6.5467139132968217</v>
      </c>
      <c r="K66">
        <f t="shared" si="78"/>
        <v>5.9163574832599348</v>
      </c>
      <c r="Q66">
        <v>13</v>
      </c>
      <c r="R66">
        <v>5</v>
      </c>
      <c r="S66">
        <v>6</v>
      </c>
      <c r="T66" t="s">
        <v>943</v>
      </c>
    </row>
    <row r="67" spans="1:20" x14ac:dyDescent="0.25">
      <c r="A67">
        <f t="shared" si="80"/>
        <v>6</v>
      </c>
      <c r="B67">
        <f t="shared" si="79"/>
        <v>6.4802787758263332</v>
      </c>
      <c r="C67">
        <f t="shared" si="78"/>
        <v>8.7061949104032905</v>
      </c>
      <c r="D67">
        <f t="shared" si="78"/>
        <v>6.440838689907264</v>
      </c>
      <c r="E67">
        <f t="shared" si="78"/>
        <v>5.7731245961513338</v>
      </c>
      <c r="F67">
        <f t="shared" si="78"/>
        <v>7.2818485959859274</v>
      </c>
      <c r="G67">
        <f t="shared" si="78"/>
        <v>7.7781085016253524</v>
      </c>
      <c r="H67">
        <f t="shared" si="78"/>
        <v>7.2020965731797499</v>
      </c>
      <c r="I67">
        <f t="shared" si="78"/>
        <v>6.3368989284028565</v>
      </c>
      <c r="J67">
        <f t="shared" si="78"/>
        <v>7.6309539359923386</v>
      </c>
      <c r="K67">
        <f t="shared" si="78"/>
        <v>7.0831548125874448</v>
      </c>
      <c r="Q67">
        <v>1</v>
      </c>
      <c r="R67">
        <v>6</v>
      </c>
      <c r="S67">
        <v>9</v>
      </c>
      <c r="T67" t="s">
        <v>501</v>
      </c>
    </row>
    <row r="68" spans="1:20" x14ac:dyDescent="0.25">
      <c r="A68">
        <f t="shared" si="80"/>
        <v>7</v>
      </c>
      <c r="B68">
        <f t="shared" si="79"/>
        <v>5.0619379813216554</v>
      </c>
      <c r="C68">
        <f t="shared" si="78"/>
        <v>6.7622491322142357</v>
      </c>
      <c r="D68">
        <f t="shared" si="78"/>
        <v>4.5206389428377971</v>
      </c>
      <c r="E68">
        <f t="shared" si="78"/>
        <v>4.3131542346919165</v>
      </c>
      <c r="F68">
        <f t="shared" si="78"/>
        <v>5.8874347333370833</v>
      </c>
      <c r="G68">
        <f t="shared" si="78"/>
        <v>5.4088001923140752</v>
      </c>
      <c r="H68">
        <f t="shared" si="78"/>
        <v>5.7944122399796854</v>
      </c>
      <c r="I68">
        <f t="shared" si="78"/>
        <v>5.3886673195102484</v>
      </c>
      <c r="J68">
        <f t="shared" si="78"/>
        <v>6.275735605207883</v>
      </c>
      <c r="K68">
        <f t="shared" si="78"/>
        <v>7.1047539661925034</v>
      </c>
      <c r="Q68">
        <v>2</v>
      </c>
      <c r="R68">
        <v>6</v>
      </c>
      <c r="S68">
        <v>3</v>
      </c>
      <c r="T68" t="s">
        <v>638</v>
      </c>
    </row>
    <row r="69" spans="1:20" x14ac:dyDescent="0.25">
      <c r="A69">
        <f t="shared" si="80"/>
        <v>8</v>
      </c>
      <c r="B69">
        <f t="shared" si="79"/>
        <v>6.0463692504311686</v>
      </c>
      <c r="C69">
        <f t="shared" si="78"/>
        <v>7.2124461676112661</v>
      </c>
      <c r="D69">
        <f t="shared" si="78"/>
        <v>5.9712159894085381</v>
      </c>
      <c r="E69">
        <f t="shared" si="78"/>
        <v>4.7774890543101032</v>
      </c>
      <c r="F69">
        <f t="shared" si="78"/>
        <v>4.3215143667268876</v>
      </c>
      <c r="G69">
        <f t="shared" si="78"/>
        <v>5.8951856252071941</v>
      </c>
      <c r="H69">
        <f t="shared" si="78"/>
        <v>5.7809459987841505</v>
      </c>
      <c r="I69">
        <f t="shared" si="78"/>
        <v>5.384530296901489</v>
      </c>
      <c r="J69">
        <f t="shared" si="78"/>
        <v>6.2153724659475449</v>
      </c>
      <c r="K69">
        <f t="shared" si="78"/>
        <v>5.5686565763673403</v>
      </c>
      <c r="Q69">
        <v>3</v>
      </c>
      <c r="R69">
        <v>6</v>
      </c>
      <c r="S69">
        <v>4</v>
      </c>
      <c r="T69" t="s">
        <v>810</v>
      </c>
    </row>
    <row r="70" spans="1:20" x14ac:dyDescent="0.25">
      <c r="A70">
        <f t="shared" si="80"/>
        <v>9</v>
      </c>
      <c r="B70">
        <f t="shared" si="79"/>
        <v>7.307506404999021</v>
      </c>
      <c r="C70">
        <f t="shared" si="78"/>
        <v>8.5741026474077788</v>
      </c>
      <c r="D70">
        <f t="shared" si="78"/>
        <v>7.7351506394550116</v>
      </c>
      <c r="E70">
        <f t="shared" si="78"/>
        <v>7.1290209463525063</v>
      </c>
      <c r="F70">
        <f t="shared" si="78"/>
        <v>7.6336994267775395</v>
      </c>
      <c r="G70">
        <f t="shared" si="78"/>
        <v>8.0902854300805096</v>
      </c>
      <c r="H70">
        <f t="shared" si="78"/>
        <v>7.5237451774620379</v>
      </c>
      <c r="I70">
        <f t="shared" si="78"/>
        <v>7.1096708245065976</v>
      </c>
      <c r="J70">
        <f t="shared" si="78"/>
        <v>8.974618398515311</v>
      </c>
      <c r="K70">
        <f t="shared" si="78"/>
        <v>7.8735333867102177</v>
      </c>
      <c r="Q70">
        <v>4</v>
      </c>
      <c r="R70">
        <v>6</v>
      </c>
      <c r="S70">
        <v>10</v>
      </c>
      <c r="T70" t="s">
        <v>865</v>
      </c>
    </row>
    <row r="71" spans="1:20" x14ac:dyDescent="0.25">
      <c r="A71">
        <f t="shared" si="80"/>
        <v>10</v>
      </c>
      <c r="B71">
        <f t="shared" si="79"/>
        <v>3.5428976888389156</v>
      </c>
      <c r="C71">
        <f t="shared" si="78"/>
        <v>4.7950148550510248</v>
      </c>
      <c r="D71">
        <f t="shared" si="78"/>
        <v>3.5707931537952646</v>
      </c>
      <c r="E71">
        <f t="shared" si="78"/>
        <v>3.3187861427545737</v>
      </c>
      <c r="F71">
        <f t="shared" si="78"/>
        <v>3.8897947339559931</v>
      </c>
      <c r="G71">
        <f t="shared" si="78"/>
        <v>4.3904671830539614</v>
      </c>
      <c r="H71">
        <f t="shared" si="78"/>
        <v>3.265632826802801</v>
      </c>
      <c r="I71">
        <f t="shared" si="78"/>
        <v>3.3914110092970726</v>
      </c>
      <c r="J71">
        <f t="shared" si="78"/>
        <v>3.7921264252321505</v>
      </c>
      <c r="K71">
        <f t="shared" si="78"/>
        <v>3.580791889258967</v>
      </c>
      <c r="Q71">
        <v>5</v>
      </c>
      <c r="R71">
        <v>6</v>
      </c>
      <c r="S71">
        <v>5</v>
      </c>
      <c r="T71" t="s">
        <v>886</v>
      </c>
    </row>
    <row r="72" spans="1:20" x14ac:dyDescent="0.25">
      <c r="Q72">
        <v>6</v>
      </c>
      <c r="R72">
        <v>6</v>
      </c>
      <c r="S72">
        <v>7</v>
      </c>
      <c r="T72" t="s">
        <v>944</v>
      </c>
    </row>
    <row r="73" spans="1:20" x14ac:dyDescent="0.25">
      <c r="A73" t="s">
        <v>1720</v>
      </c>
      <c r="B73" s="114">
        <v>1</v>
      </c>
      <c r="C73" s="114">
        <f>B73+1</f>
        <v>2</v>
      </c>
      <c r="D73" s="114">
        <f t="shared" ref="D73:I73" si="81">C73+1</f>
        <v>3</v>
      </c>
      <c r="E73" s="114">
        <f t="shared" si="81"/>
        <v>4</v>
      </c>
      <c r="F73" s="114">
        <f t="shared" si="81"/>
        <v>5</v>
      </c>
      <c r="G73" s="114">
        <f t="shared" si="81"/>
        <v>6</v>
      </c>
      <c r="H73" s="114">
        <f t="shared" si="81"/>
        <v>7</v>
      </c>
      <c r="I73" s="114">
        <f t="shared" si="81"/>
        <v>8</v>
      </c>
      <c r="J73" s="114">
        <f>I73+1</f>
        <v>9</v>
      </c>
      <c r="K73" s="114">
        <f>J73+1</f>
        <v>10</v>
      </c>
      <c r="Q73">
        <v>7</v>
      </c>
      <c r="R73">
        <v>6</v>
      </c>
      <c r="S73">
        <v>8</v>
      </c>
      <c r="T73" t="s">
        <v>945</v>
      </c>
    </row>
    <row r="74" spans="1:20" x14ac:dyDescent="0.25">
      <c r="A74">
        <v>1</v>
      </c>
      <c r="B74">
        <f>SUMPRODUCT((_xlfn.NORM.DIST(0,INDEX($B$2:$N$11,$B61,)-INDEX($B$14:$N$23,A$62,),SQRT(INDEX($B$38:$N$47,$B61,)+INDEX($B$26:$N$35,A$62,)),TRUE))*(INDEX($B$2:$N$11,$B73,)=INDEX($B$14:$N$23,A$62,)))</f>
        <v>0</v>
      </c>
      <c r="C74">
        <f t="shared" ref="C74:K74" si="82">SUMPRODUCT((_xlfn.NORM.DIST(0,INDEX($B$2:$N$11,$A62,)-INDEX($B$14:$N$23,C$61,),SQRT(INDEX($B$38:$N$47,$A62,)+INDEX($B$26:$N$35,C$61,)),TRUE))*(INDEX($B$2:$N$11,$A74,)=INDEX($B$14:$N$23,C$61,)))</f>
        <v>1</v>
      </c>
      <c r="D74">
        <f t="shared" si="82"/>
        <v>0.5</v>
      </c>
      <c r="E74">
        <f t="shared" si="82"/>
        <v>1</v>
      </c>
      <c r="F74">
        <f t="shared" si="82"/>
        <v>0.5</v>
      </c>
      <c r="G74">
        <f t="shared" si="82"/>
        <v>0.5</v>
      </c>
      <c r="H74">
        <f t="shared" si="82"/>
        <v>1</v>
      </c>
      <c r="I74">
        <f t="shared" si="82"/>
        <v>1</v>
      </c>
      <c r="J74">
        <f t="shared" si="82"/>
        <v>0.5</v>
      </c>
      <c r="K74">
        <f t="shared" si="82"/>
        <v>0.5</v>
      </c>
      <c r="Q74">
        <v>8</v>
      </c>
      <c r="R74">
        <v>6</v>
      </c>
      <c r="S74">
        <v>1</v>
      </c>
      <c r="T74" t="s">
        <v>946</v>
      </c>
    </row>
    <row r="75" spans="1:20" x14ac:dyDescent="0.25">
      <c r="A75">
        <f>A74+1</f>
        <v>2</v>
      </c>
      <c r="B75">
        <f t="shared" ref="B75:B83" si="83">SUMPRODUCT((_xlfn.NORM.DIST(0,INDEX($B$2:$N$11,$A63,)-INDEX($B$14:$N$23,B$61,),SQRT(INDEX($B$38:$N$47,$A63,)+INDEX($B$26:$N$35,B$61,)),TRUE))*(INDEX($B$2:$N$11,$A75,)=INDEX($B$14:$N$23,B$61,)))</f>
        <v>1</v>
      </c>
      <c r="C75">
        <f t="shared" ref="C75:K75" si="84">SUMPRODUCT((_xlfn.NORM.DIST(0,INDEX($B$2:$N$11,$A63,)-INDEX($B$14:$N$23,C$61,),SQRT(INDEX($B$38:$N$47,$A63,)+INDEX($B$26:$N$35,C$61,)),TRUE))*(INDEX($B$2:$N$11,$A75,)=INDEX($B$14:$N$23,C$61,)))</f>
        <v>0</v>
      </c>
      <c r="D75">
        <f t="shared" si="84"/>
        <v>0.5</v>
      </c>
      <c r="E75">
        <f t="shared" si="84"/>
        <v>1</v>
      </c>
      <c r="F75">
        <f t="shared" si="84"/>
        <v>0.5</v>
      </c>
      <c r="G75">
        <f t="shared" si="84"/>
        <v>0.5</v>
      </c>
      <c r="H75">
        <f t="shared" si="84"/>
        <v>1</v>
      </c>
      <c r="I75">
        <f t="shared" si="84"/>
        <v>1</v>
      </c>
      <c r="J75">
        <f t="shared" si="84"/>
        <v>0.5</v>
      </c>
      <c r="K75">
        <f t="shared" si="84"/>
        <v>0.5</v>
      </c>
      <c r="Q75">
        <v>9</v>
      </c>
      <c r="R75">
        <v>6</v>
      </c>
      <c r="S75">
        <v>9</v>
      </c>
      <c r="T75" t="s">
        <v>947</v>
      </c>
    </row>
    <row r="76" spans="1:20" x14ac:dyDescent="0.25">
      <c r="A76">
        <f t="shared" ref="A76:A83" si="85">A75+1</f>
        <v>3</v>
      </c>
      <c r="B76">
        <f t="shared" si="83"/>
        <v>0.5</v>
      </c>
      <c r="C76">
        <f t="shared" ref="C76:K76" si="86">SUMPRODUCT((_xlfn.NORM.DIST(0,INDEX($B$2:$N$11,$A64,)-INDEX($B$14:$N$23,C$61,),SQRT(INDEX($B$38:$N$47,$A64,)+INDEX($B$26:$N$35,C$61,)),TRUE))*(INDEX($B$2:$N$11,$A76,)=INDEX($B$14:$N$23,C$61,)))</f>
        <v>0.5</v>
      </c>
      <c r="D76">
        <f t="shared" si="86"/>
        <v>0</v>
      </c>
      <c r="E76">
        <f t="shared" si="86"/>
        <v>0.5</v>
      </c>
      <c r="F76">
        <f t="shared" si="86"/>
        <v>1</v>
      </c>
      <c r="G76">
        <f t="shared" si="86"/>
        <v>1</v>
      </c>
      <c r="H76">
        <f t="shared" si="86"/>
        <v>0.5</v>
      </c>
      <c r="I76">
        <f t="shared" si="86"/>
        <v>0.5</v>
      </c>
      <c r="J76">
        <f t="shared" si="86"/>
        <v>1</v>
      </c>
      <c r="K76">
        <f t="shared" si="86"/>
        <v>1</v>
      </c>
      <c r="Q76">
        <v>10</v>
      </c>
      <c r="R76">
        <v>6</v>
      </c>
      <c r="S76">
        <v>3</v>
      </c>
      <c r="T76" t="s">
        <v>948</v>
      </c>
    </row>
    <row r="77" spans="1:20" x14ac:dyDescent="0.25">
      <c r="A77">
        <f t="shared" si="85"/>
        <v>4</v>
      </c>
      <c r="B77">
        <f t="shared" si="83"/>
        <v>1</v>
      </c>
      <c r="C77">
        <f t="shared" ref="C77:K77" si="87">SUMPRODUCT((_xlfn.NORM.DIST(0,INDEX($B$2:$N$11,$A65,)-INDEX($B$14:$N$23,C$61,),SQRT(INDEX($B$38:$N$47,$A65,)+INDEX($B$26:$N$35,C$61,)),TRUE))*(INDEX($B$2:$N$11,$A77,)=INDEX($B$14:$N$23,C$61,)))</f>
        <v>1</v>
      </c>
      <c r="D77">
        <f t="shared" si="87"/>
        <v>0.5</v>
      </c>
      <c r="E77">
        <f t="shared" si="87"/>
        <v>0</v>
      </c>
      <c r="F77">
        <f t="shared" si="87"/>
        <v>0.5</v>
      </c>
      <c r="G77">
        <f t="shared" si="87"/>
        <v>0.5</v>
      </c>
      <c r="H77">
        <f t="shared" si="87"/>
        <v>1</v>
      </c>
      <c r="I77">
        <f t="shared" si="87"/>
        <v>1</v>
      </c>
      <c r="J77">
        <f t="shared" si="87"/>
        <v>0.5</v>
      </c>
      <c r="K77">
        <f t="shared" si="87"/>
        <v>0.5</v>
      </c>
      <c r="Q77">
        <v>11</v>
      </c>
      <c r="R77">
        <v>6</v>
      </c>
      <c r="S77">
        <v>2</v>
      </c>
      <c r="T77" t="s">
        <v>949</v>
      </c>
    </row>
    <row r="78" spans="1:20" x14ac:dyDescent="0.25">
      <c r="A78">
        <f t="shared" si="85"/>
        <v>5</v>
      </c>
      <c r="B78">
        <f t="shared" si="83"/>
        <v>0.5</v>
      </c>
      <c r="C78">
        <f t="shared" ref="C78:K78" si="88">SUMPRODUCT((_xlfn.NORM.DIST(0,INDEX($B$2:$N$11,$A66,)-INDEX($B$14:$N$23,C$61,),SQRT(INDEX($B$38:$N$47,$A66,)+INDEX($B$26:$N$35,C$61,)),TRUE))*(INDEX($B$2:$N$11,$A78,)=INDEX($B$14:$N$23,C$61,)))</f>
        <v>0.5</v>
      </c>
      <c r="D78">
        <f t="shared" si="88"/>
        <v>1</v>
      </c>
      <c r="E78">
        <f t="shared" si="88"/>
        <v>0.5</v>
      </c>
      <c r="F78">
        <f t="shared" si="88"/>
        <v>0</v>
      </c>
      <c r="G78">
        <f t="shared" si="88"/>
        <v>1</v>
      </c>
      <c r="H78">
        <f t="shared" si="88"/>
        <v>0.5</v>
      </c>
      <c r="I78">
        <f t="shared" si="88"/>
        <v>0.5</v>
      </c>
      <c r="J78">
        <f t="shared" si="88"/>
        <v>1</v>
      </c>
      <c r="K78">
        <f t="shared" si="88"/>
        <v>1</v>
      </c>
      <c r="Q78">
        <v>12</v>
      </c>
      <c r="R78">
        <v>6</v>
      </c>
      <c r="S78">
        <v>10</v>
      </c>
      <c r="T78" t="s">
        <v>950</v>
      </c>
    </row>
    <row r="79" spans="1:20" x14ac:dyDescent="0.25">
      <c r="A79">
        <f t="shared" si="85"/>
        <v>6</v>
      </c>
      <c r="B79">
        <f t="shared" si="83"/>
        <v>0.5</v>
      </c>
      <c r="C79">
        <f t="shared" ref="C79:K79" si="89">SUMPRODUCT((_xlfn.NORM.DIST(0,INDEX($B$2:$N$11,$A67,)-INDEX($B$14:$N$23,C$61,),SQRT(INDEX($B$38:$N$47,$A67,)+INDEX($B$26:$N$35,C$61,)),TRUE))*(INDEX($B$2:$N$11,$A79,)=INDEX($B$14:$N$23,C$61,)))</f>
        <v>0.5</v>
      </c>
      <c r="D79">
        <f t="shared" si="89"/>
        <v>1</v>
      </c>
      <c r="E79">
        <f t="shared" si="89"/>
        <v>0.5</v>
      </c>
      <c r="F79">
        <f t="shared" si="89"/>
        <v>1</v>
      </c>
      <c r="G79">
        <f t="shared" si="89"/>
        <v>0</v>
      </c>
      <c r="H79">
        <f t="shared" si="89"/>
        <v>0.5</v>
      </c>
      <c r="I79">
        <f t="shared" si="89"/>
        <v>0.5</v>
      </c>
      <c r="J79">
        <f t="shared" si="89"/>
        <v>1</v>
      </c>
      <c r="K79">
        <f t="shared" si="89"/>
        <v>1</v>
      </c>
      <c r="Q79">
        <v>13</v>
      </c>
      <c r="R79">
        <v>6</v>
      </c>
      <c r="S79">
        <v>5</v>
      </c>
      <c r="T79" t="s">
        <v>951</v>
      </c>
    </row>
    <row r="80" spans="1:20" x14ac:dyDescent="0.25">
      <c r="A80">
        <f t="shared" si="85"/>
        <v>7</v>
      </c>
      <c r="B80">
        <f t="shared" si="83"/>
        <v>1</v>
      </c>
      <c r="C80">
        <f t="shared" ref="C80:K80" si="90">SUMPRODUCT((_xlfn.NORM.DIST(0,INDEX($B$2:$N$11,$A68,)-INDEX($B$14:$N$23,C$61,),SQRT(INDEX($B$38:$N$47,$A68,)+INDEX($B$26:$N$35,C$61,)),TRUE))*(INDEX($B$2:$N$11,$A80,)=INDEX($B$14:$N$23,C$61,)))</f>
        <v>1</v>
      </c>
      <c r="D80">
        <f t="shared" si="90"/>
        <v>0.5</v>
      </c>
      <c r="E80">
        <f t="shared" si="90"/>
        <v>1</v>
      </c>
      <c r="F80">
        <f t="shared" si="90"/>
        <v>0.5</v>
      </c>
      <c r="G80">
        <f t="shared" si="90"/>
        <v>0.5</v>
      </c>
      <c r="H80">
        <f t="shared" si="90"/>
        <v>0</v>
      </c>
      <c r="I80">
        <f t="shared" si="90"/>
        <v>1</v>
      </c>
      <c r="J80">
        <f t="shared" si="90"/>
        <v>0.5</v>
      </c>
      <c r="K80">
        <f t="shared" si="90"/>
        <v>0.5</v>
      </c>
      <c r="Q80">
        <v>1</v>
      </c>
      <c r="R80">
        <v>7</v>
      </c>
      <c r="S80">
        <v>4</v>
      </c>
      <c r="T80" t="s">
        <v>1649</v>
      </c>
    </row>
    <row r="81" spans="1:20" x14ac:dyDescent="0.25">
      <c r="A81">
        <f t="shared" si="85"/>
        <v>8</v>
      </c>
      <c r="B81">
        <f t="shared" si="83"/>
        <v>1</v>
      </c>
      <c r="C81">
        <f t="shared" ref="C81:K81" si="91">SUMPRODUCT((_xlfn.NORM.DIST(0,INDEX($B$2:$N$11,$A69,)-INDEX($B$14:$N$23,C$61,),SQRT(INDEX($B$38:$N$47,$A69,)+INDEX($B$26:$N$35,C$61,)),TRUE))*(INDEX($B$2:$N$11,$A81,)=INDEX($B$14:$N$23,C$61,)))</f>
        <v>1</v>
      </c>
      <c r="D81">
        <f t="shared" si="91"/>
        <v>0.5</v>
      </c>
      <c r="E81">
        <f t="shared" si="91"/>
        <v>1</v>
      </c>
      <c r="F81">
        <f t="shared" si="91"/>
        <v>0.5</v>
      </c>
      <c r="G81">
        <f t="shared" si="91"/>
        <v>0.5</v>
      </c>
      <c r="H81">
        <f t="shared" si="91"/>
        <v>1</v>
      </c>
      <c r="I81">
        <f t="shared" si="91"/>
        <v>0</v>
      </c>
      <c r="J81">
        <f t="shared" si="91"/>
        <v>0.5</v>
      </c>
      <c r="K81">
        <f t="shared" si="91"/>
        <v>0.5</v>
      </c>
      <c r="Q81">
        <v>2</v>
      </c>
      <c r="R81">
        <v>7</v>
      </c>
      <c r="S81">
        <v>8</v>
      </c>
      <c r="T81" t="s">
        <v>1651</v>
      </c>
    </row>
    <row r="82" spans="1:20" x14ac:dyDescent="0.25">
      <c r="A82">
        <f t="shared" si="85"/>
        <v>9</v>
      </c>
      <c r="B82">
        <f t="shared" si="83"/>
        <v>0.5</v>
      </c>
      <c r="C82">
        <f t="shared" ref="C82:K82" si="92">SUMPRODUCT((_xlfn.NORM.DIST(0,INDEX($B$2:$N$11,$A70,)-INDEX($B$14:$N$23,C$61,),SQRT(INDEX($B$38:$N$47,$A70,)+INDEX($B$26:$N$35,C$61,)),TRUE))*(INDEX($B$2:$N$11,$A82,)=INDEX($B$14:$N$23,C$61,)))</f>
        <v>0.5</v>
      </c>
      <c r="D82">
        <f t="shared" si="92"/>
        <v>1</v>
      </c>
      <c r="E82">
        <f t="shared" si="92"/>
        <v>0.5</v>
      </c>
      <c r="F82">
        <f t="shared" si="92"/>
        <v>1</v>
      </c>
      <c r="G82">
        <f t="shared" si="92"/>
        <v>1</v>
      </c>
      <c r="H82">
        <f t="shared" si="92"/>
        <v>0.5</v>
      </c>
      <c r="I82">
        <f t="shared" si="92"/>
        <v>0.5</v>
      </c>
      <c r="J82">
        <f t="shared" si="92"/>
        <v>0</v>
      </c>
      <c r="K82">
        <f t="shared" si="92"/>
        <v>1</v>
      </c>
      <c r="Q82">
        <v>3</v>
      </c>
      <c r="R82">
        <v>7</v>
      </c>
      <c r="S82">
        <v>2</v>
      </c>
      <c r="T82" t="s">
        <v>1721</v>
      </c>
    </row>
    <row r="83" spans="1:20" x14ac:dyDescent="0.25">
      <c r="A83">
        <f t="shared" si="85"/>
        <v>10</v>
      </c>
      <c r="B83">
        <f t="shared" si="83"/>
        <v>0.5</v>
      </c>
      <c r="C83">
        <f t="shared" ref="C83:K83" si="93">SUMPRODUCT((_xlfn.NORM.DIST(0,INDEX($B$2:$N$11,$A71,)-INDEX($B$14:$N$23,C$61,),SQRT(INDEX($B$38:$N$47,$A71,)+INDEX($B$26:$N$35,C$61,)),TRUE))*(INDEX($B$2:$N$11,$A83,)=INDEX($B$14:$N$23,C$61,)))</f>
        <v>0.5</v>
      </c>
      <c r="D83">
        <f t="shared" si="93"/>
        <v>1</v>
      </c>
      <c r="E83">
        <f t="shared" si="93"/>
        <v>0.5</v>
      </c>
      <c r="F83">
        <f t="shared" si="93"/>
        <v>1</v>
      </c>
      <c r="G83">
        <f t="shared" si="93"/>
        <v>1</v>
      </c>
      <c r="H83">
        <f t="shared" si="93"/>
        <v>0.5</v>
      </c>
      <c r="I83">
        <f t="shared" si="93"/>
        <v>0.5</v>
      </c>
      <c r="J83">
        <f t="shared" si="93"/>
        <v>1</v>
      </c>
      <c r="K83">
        <f t="shared" si="93"/>
        <v>0</v>
      </c>
      <c r="Q83">
        <v>4</v>
      </c>
      <c r="R83">
        <v>7</v>
      </c>
      <c r="S83">
        <v>9</v>
      </c>
      <c r="T83" t="s">
        <v>1722</v>
      </c>
    </row>
    <row r="84" spans="1:20" x14ac:dyDescent="0.25">
      <c r="Q84">
        <v>5</v>
      </c>
      <c r="R84">
        <v>7</v>
      </c>
      <c r="S84">
        <v>1</v>
      </c>
      <c r="T84" t="s">
        <v>1723</v>
      </c>
    </row>
    <row r="85" spans="1:20" x14ac:dyDescent="0.25">
      <c r="A85" t="s">
        <v>1724</v>
      </c>
      <c r="B85" s="114">
        <v>1</v>
      </c>
      <c r="C85" s="114">
        <f>B85+1</f>
        <v>2</v>
      </c>
      <c r="D85" s="114">
        <f t="shared" ref="D85:I85" si="94">C85+1</f>
        <v>3</v>
      </c>
      <c r="E85" s="114">
        <f t="shared" si="94"/>
        <v>4</v>
      </c>
      <c r="F85" s="114">
        <f t="shared" si="94"/>
        <v>5</v>
      </c>
      <c r="G85" s="114">
        <f t="shared" si="94"/>
        <v>6</v>
      </c>
      <c r="H85" s="114">
        <f t="shared" si="94"/>
        <v>7</v>
      </c>
      <c r="I85" s="114">
        <f t="shared" si="94"/>
        <v>8</v>
      </c>
      <c r="J85" s="114">
        <f>I85+1</f>
        <v>9</v>
      </c>
      <c r="K85" s="114">
        <f>J85+1</f>
        <v>10</v>
      </c>
      <c r="Q85">
        <v>6</v>
      </c>
      <c r="R85">
        <v>7</v>
      </c>
      <c r="S85">
        <v>6</v>
      </c>
      <c r="T85" t="s">
        <v>1725</v>
      </c>
    </row>
    <row r="86" spans="1:20" x14ac:dyDescent="0.25">
      <c r="A86">
        <v>1</v>
      </c>
      <c r="B86">
        <f t="shared" ref="B86:K86" si="95">SUMPRODUCT((_xlfn.NORM.DIST(0,INDEX($B$14:$N$23,$A74,)-INDEX($B$14:$N$23,B$61,),SQRT(INDEX($B$38:$N$47,$A74,)+INDEX($B$38:$N$47,B$61,)),TRUE))*(INDEX($B$2:$N$11,$A86,)=INDEX($B$14:$N$23,B$61,)))-B74</f>
        <v>0</v>
      </c>
      <c r="C86">
        <f t="shared" si="95"/>
        <v>0.33569056703888611</v>
      </c>
      <c r="D86">
        <f t="shared" si="95"/>
        <v>0.5</v>
      </c>
      <c r="E86">
        <f t="shared" si="95"/>
        <v>-0.50584697997796424</v>
      </c>
      <c r="F86">
        <f t="shared" si="95"/>
        <v>-0.17529203010546812</v>
      </c>
      <c r="G86">
        <f t="shared" si="95"/>
        <v>-0.12307828526329789</v>
      </c>
      <c r="H86">
        <f t="shared" si="95"/>
        <v>-0.24433659617131576</v>
      </c>
      <c r="I86">
        <f t="shared" si="95"/>
        <v>-0.52734924037586617</v>
      </c>
      <c r="J86">
        <f t="shared" si="95"/>
        <v>0.16933640356012125</v>
      </c>
      <c r="K86">
        <f t="shared" si="95"/>
        <v>6.4708977291365377E-2</v>
      </c>
      <c r="Q86">
        <v>7</v>
      </c>
      <c r="R86">
        <v>7</v>
      </c>
      <c r="S86">
        <v>5</v>
      </c>
      <c r="T86" t="s">
        <v>1726</v>
      </c>
    </row>
    <row r="87" spans="1:20" x14ac:dyDescent="0.25">
      <c r="A87">
        <f>A86+1</f>
        <v>2</v>
      </c>
      <c r="B87">
        <f t="shared" ref="B87:K87" si="96">SUMPRODUCT((_xlfn.NORM.DIST(0,INDEX($B$14:$N$23,$A75,)-INDEX($B$14:$N$23,B$61,),SQRT(INDEX($B$38:$N$47,$A75,)+INDEX($B$38:$N$47,B$61,)),TRUE))*(INDEX($B$2:$N$11,$A87,)=INDEX($B$14:$N$23,B$61,)))-B75</f>
        <v>-0.335690567038886</v>
      </c>
      <c r="C87">
        <f t="shared" si="96"/>
        <v>0</v>
      </c>
      <c r="D87">
        <f t="shared" si="96"/>
        <v>0.11863210280623082</v>
      </c>
      <c r="E87">
        <f t="shared" si="96"/>
        <v>0.11607481534779018</v>
      </c>
      <c r="F87">
        <f t="shared" si="96"/>
        <v>-0.5</v>
      </c>
      <c r="G87">
        <f t="shared" si="96"/>
        <v>0.19862448783746545</v>
      </c>
      <c r="H87">
        <f t="shared" si="96"/>
        <v>-0.73440947497267228</v>
      </c>
      <c r="I87">
        <f t="shared" si="96"/>
        <v>-0.51040387039059754</v>
      </c>
      <c r="J87">
        <f t="shared" si="96"/>
        <v>-1.9936477866804914E-2</v>
      </c>
      <c r="K87">
        <f t="shared" si="96"/>
        <v>-3.1827916907606335E-2</v>
      </c>
      <c r="Q87">
        <v>8</v>
      </c>
      <c r="R87">
        <v>7</v>
      </c>
      <c r="S87">
        <v>3</v>
      </c>
      <c r="T87" t="s">
        <v>1727</v>
      </c>
    </row>
    <row r="88" spans="1:20" x14ac:dyDescent="0.25">
      <c r="A88">
        <f t="shared" ref="A88:A95" si="97">A87+1</f>
        <v>3</v>
      </c>
      <c r="B88">
        <f t="shared" ref="B88:K88" si="98">SUMPRODUCT((_xlfn.NORM.DIST(0,INDEX($B$14:$N$23,$A76,)-INDEX($B$14:$N$23,B$61,),SQRT(INDEX($B$38:$N$47,$A76,)+INDEX($B$38:$N$47,B$61,)),TRUE))*(INDEX($B$2:$N$11,$A88,)=INDEX($B$14:$N$23,B$61,)))-B76</f>
        <v>-0.5</v>
      </c>
      <c r="C88">
        <f t="shared" si="98"/>
        <v>-0.11863210280623082</v>
      </c>
      <c r="D88">
        <f t="shared" si="98"/>
        <v>0</v>
      </c>
      <c r="E88">
        <f t="shared" si="98"/>
        <v>-6.0190355312754462E-2</v>
      </c>
      <c r="F88">
        <f t="shared" si="98"/>
        <v>-0.52410277781861836</v>
      </c>
      <c r="G88">
        <f t="shared" si="98"/>
        <v>-0.15206343130735667</v>
      </c>
      <c r="H88">
        <f t="shared" si="98"/>
        <v>-0.1815038683512824</v>
      </c>
      <c r="I88">
        <f t="shared" si="98"/>
        <v>4.4887518483637256E-2</v>
      </c>
      <c r="J88">
        <f t="shared" si="98"/>
        <v>0.10585911788940261</v>
      </c>
      <c r="K88">
        <f t="shared" si="98"/>
        <v>-0.64996037728110745</v>
      </c>
      <c r="Q88">
        <v>9</v>
      </c>
      <c r="R88">
        <v>7</v>
      </c>
      <c r="S88">
        <v>1</v>
      </c>
      <c r="T88" t="s">
        <v>1728</v>
      </c>
    </row>
    <row r="89" spans="1:20" x14ac:dyDescent="0.25">
      <c r="A89">
        <f t="shared" si="97"/>
        <v>4</v>
      </c>
      <c r="B89">
        <f t="shared" ref="B89:K89" si="99">SUMPRODUCT((_xlfn.NORM.DIST(0,INDEX($B$14:$N$23,$A77,)-INDEX($B$14:$N$23,B$61,),SQRT(INDEX($B$38:$N$47,$A77,)+INDEX($B$38:$N$47,B$61,)),TRUE))*(INDEX($B$2:$N$11,$A89,)=INDEX($B$14:$N$23,B$61,)))-B77</f>
        <v>0.50584697997796413</v>
      </c>
      <c r="C89">
        <f t="shared" si="99"/>
        <v>-0.11607481534779018</v>
      </c>
      <c r="D89">
        <f t="shared" si="99"/>
        <v>6.0190355312754518E-2</v>
      </c>
      <c r="E89">
        <f t="shared" si="99"/>
        <v>0</v>
      </c>
      <c r="F89">
        <f t="shared" si="99"/>
        <v>6.0592987228410999E-2</v>
      </c>
      <c r="G89">
        <f t="shared" si="99"/>
        <v>0.5</v>
      </c>
      <c r="H89">
        <f t="shared" si="99"/>
        <v>0.5209111175446679</v>
      </c>
      <c r="I89">
        <f t="shared" si="99"/>
        <v>0.51054004514016915</v>
      </c>
      <c r="J89">
        <f t="shared" si="99"/>
        <v>-6.88600651864546E-3</v>
      </c>
      <c r="K89">
        <f t="shared" si="99"/>
        <v>-0.10665210855795287</v>
      </c>
      <c r="Q89">
        <v>10</v>
      </c>
      <c r="R89">
        <v>7</v>
      </c>
      <c r="S89">
        <v>4</v>
      </c>
      <c r="T89" t="s">
        <v>1729</v>
      </c>
    </row>
    <row r="90" spans="1:20" x14ac:dyDescent="0.25">
      <c r="A90">
        <f t="shared" si="97"/>
        <v>5</v>
      </c>
      <c r="B90">
        <f t="shared" ref="B90:K90" si="100">SUMPRODUCT((_xlfn.NORM.DIST(0,INDEX($B$14:$N$23,$A78,)-INDEX($B$14:$N$23,B$61,),SQRT(INDEX($B$38:$N$47,$A78,)+INDEX($B$38:$N$47,B$61,)),TRUE))*(INDEX($B$2:$N$11,$A90,)=INDEX($B$14:$N$23,B$61,)))-B78</f>
        <v>0.17529203010546812</v>
      </c>
      <c r="C90">
        <f t="shared" si="100"/>
        <v>0.5</v>
      </c>
      <c r="D90">
        <f t="shared" si="100"/>
        <v>0.52410277781861847</v>
      </c>
      <c r="E90">
        <f t="shared" si="100"/>
        <v>-6.0592987228411055E-2</v>
      </c>
      <c r="F90">
        <f t="shared" si="100"/>
        <v>0</v>
      </c>
      <c r="G90">
        <f t="shared" si="100"/>
        <v>0.35845287162721817</v>
      </c>
      <c r="H90">
        <f t="shared" si="100"/>
        <v>7.0329992611576353E-2</v>
      </c>
      <c r="I90">
        <f t="shared" si="100"/>
        <v>-0.27082223924321258</v>
      </c>
      <c r="J90">
        <f t="shared" si="100"/>
        <v>0.70627649841739037</v>
      </c>
      <c r="K90">
        <f t="shared" si="100"/>
        <v>-0.67823581091448948</v>
      </c>
      <c r="Q90">
        <v>11</v>
      </c>
      <c r="R90">
        <v>7</v>
      </c>
      <c r="S90">
        <v>8</v>
      </c>
      <c r="T90" t="s">
        <v>1730</v>
      </c>
    </row>
    <row r="91" spans="1:20" x14ac:dyDescent="0.25">
      <c r="A91">
        <f t="shared" si="97"/>
        <v>6</v>
      </c>
      <c r="B91">
        <f t="shared" ref="B91:K91" si="101">SUMPRODUCT((_xlfn.NORM.DIST(0,INDEX($B$14:$N$23,$A79,)-INDEX($B$14:$N$23,B$61,),SQRT(INDEX($B$38:$N$47,$A79,)+INDEX($B$38:$N$47,B$61,)),TRUE))*(INDEX($B$2:$N$11,$A91,)=INDEX($B$14:$N$23,B$61,)))-B79</f>
        <v>0.12307828526329789</v>
      </c>
      <c r="C91">
        <f t="shared" si="101"/>
        <v>-0.19862448783746539</v>
      </c>
      <c r="D91">
        <f t="shared" si="101"/>
        <v>0.15206343130735656</v>
      </c>
      <c r="E91">
        <f t="shared" si="101"/>
        <v>-0.5</v>
      </c>
      <c r="F91">
        <f t="shared" si="101"/>
        <v>-0.35845287162721817</v>
      </c>
      <c r="G91">
        <f t="shared" si="101"/>
        <v>0</v>
      </c>
      <c r="H91">
        <f t="shared" si="101"/>
        <v>-4.8387942791459748E-2</v>
      </c>
      <c r="I91">
        <f t="shared" si="101"/>
        <v>-0.15012281888584655</v>
      </c>
      <c r="J91">
        <f t="shared" si="101"/>
        <v>0.31750453068780593</v>
      </c>
      <c r="K91">
        <f t="shared" si="101"/>
        <v>-0.6151666277418234</v>
      </c>
      <c r="Q91">
        <v>12</v>
      </c>
      <c r="R91">
        <v>7</v>
      </c>
      <c r="S91">
        <v>2</v>
      </c>
      <c r="T91" t="s">
        <v>1731</v>
      </c>
    </row>
    <row r="92" spans="1:20" x14ac:dyDescent="0.25">
      <c r="A92">
        <f t="shared" si="97"/>
        <v>7</v>
      </c>
      <c r="B92">
        <f t="shared" ref="B92:K92" si="102">SUMPRODUCT((_xlfn.NORM.DIST(0,INDEX($B$14:$N$23,$A80,)-INDEX($B$14:$N$23,B$61,),SQRT(INDEX($B$38:$N$47,$A80,)+INDEX($B$38:$N$47,B$61,)),TRUE))*(INDEX($B$2:$N$11,$A92,)=INDEX($B$14:$N$23,B$61,)))-B80</f>
        <v>0.24433659617131576</v>
      </c>
      <c r="C92">
        <f t="shared" si="102"/>
        <v>0.73440947497267217</v>
      </c>
      <c r="D92">
        <f t="shared" si="102"/>
        <v>0.1815038683512824</v>
      </c>
      <c r="E92">
        <f t="shared" si="102"/>
        <v>-0.5209111175446679</v>
      </c>
      <c r="F92">
        <f t="shared" si="102"/>
        <v>-7.0329992611576353E-2</v>
      </c>
      <c r="G92">
        <f t="shared" si="102"/>
        <v>4.8387942791459748E-2</v>
      </c>
      <c r="H92">
        <f t="shared" si="102"/>
        <v>0</v>
      </c>
      <c r="I92">
        <f t="shared" si="102"/>
        <v>-0.3490728884183939</v>
      </c>
      <c r="J92">
        <f t="shared" si="102"/>
        <v>0.5</v>
      </c>
      <c r="K92">
        <f t="shared" si="102"/>
        <v>-6.2736123691778167E-2</v>
      </c>
      <c r="Q92">
        <v>13</v>
      </c>
      <c r="R92">
        <v>7</v>
      </c>
      <c r="S92">
        <v>10</v>
      </c>
      <c r="T92" t="s">
        <v>1732</v>
      </c>
    </row>
    <row r="93" spans="1:20" x14ac:dyDescent="0.25">
      <c r="A93">
        <f t="shared" si="97"/>
        <v>8</v>
      </c>
      <c r="B93">
        <f t="shared" ref="B93:K93" si="103">SUMPRODUCT((_xlfn.NORM.DIST(0,INDEX($B$14:$N$23,$A81,)-INDEX($B$14:$N$23,B$61,),SQRT(INDEX($B$38:$N$47,$A81,)+INDEX($B$38:$N$47,B$61,)),TRUE))*(INDEX($B$2:$N$11,$A93,)=INDEX($B$14:$N$23,B$61,)))-B81</f>
        <v>0.52734924037586617</v>
      </c>
      <c r="C93">
        <f t="shared" si="103"/>
        <v>0.51040387039059754</v>
      </c>
      <c r="D93">
        <f t="shared" si="103"/>
        <v>-4.4887518483637201E-2</v>
      </c>
      <c r="E93">
        <f t="shared" si="103"/>
        <v>-0.51054004514016904</v>
      </c>
      <c r="F93">
        <f t="shared" si="103"/>
        <v>0.27082223924321258</v>
      </c>
      <c r="G93">
        <f t="shared" si="103"/>
        <v>0.15012281888584655</v>
      </c>
      <c r="H93">
        <f t="shared" si="103"/>
        <v>0.34907288841839401</v>
      </c>
      <c r="I93">
        <f t="shared" si="103"/>
        <v>0</v>
      </c>
      <c r="J93">
        <f t="shared" si="103"/>
        <v>-1.1417466814123034E-2</v>
      </c>
      <c r="K93">
        <f t="shared" si="103"/>
        <v>-0.1254563237774769</v>
      </c>
      <c r="Q93">
        <v>1</v>
      </c>
      <c r="R93">
        <v>8</v>
      </c>
      <c r="S93">
        <v>2</v>
      </c>
      <c r="T93" t="s">
        <v>508</v>
      </c>
    </row>
    <row r="94" spans="1:20" x14ac:dyDescent="0.25">
      <c r="A94">
        <f t="shared" si="97"/>
        <v>9</v>
      </c>
      <c r="B94">
        <f t="shared" ref="B94:K94" si="104">SUMPRODUCT((_xlfn.NORM.DIST(0,INDEX($B$14:$N$23,$A82,)-INDEX($B$14:$N$23,B$61,),SQRT(INDEX($B$38:$N$47,$A82,)+INDEX($B$38:$N$47,B$61,)),TRUE))*(INDEX($B$2:$N$11,$A94,)=INDEX($B$14:$N$23,B$61,)))-B82</f>
        <v>-0.16933640356012125</v>
      </c>
      <c r="C94">
        <f t="shared" si="104"/>
        <v>1.9936477866804969E-2</v>
      </c>
      <c r="D94">
        <f t="shared" si="104"/>
        <v>-0.1058591178894025</v>
      </c>
      <c r="E94">
        <f t="shared" si="104"/>
        <v>6.88600651864546E-3</v>
      </c>
      <c r="F94">
        <f t="shared" si="104"/>
        <v>-0.70627649841739026</v>
      </c>
      <c r="G94">
        <f t="shared" si="104"/>
        <v>-0.31750453068780593</v>
      </c>
      <c r="H94">
        <f t="shared" si="104"/>
        <v>-0.5</v>
      </c>
      <c r="I94">
        <f t="shared" si="104"/>
        <v>1.1417466814123034E-2</v>
      </c>
      <c r="J94">
        <f t="shared" si="104"/>
        <v>0</v>
      </c>
      <c r="K94">
        <f t="shared" si="104"/>
        <v>-0.71388179916016403</v>
      </c>
      <c r="Q94">
        <v>2</v>
      </c>
      <c r="R94">
        <v>8</v>
      </c>
      <c r="S94">
        <v>7</v>
      </c>
      <c r="T94" t="s">
        <v>616</v>
      </c>
    </row>
    <row r="95" spans="1:20" x14ac:dyDescent="0.25">
      <c r="A95">
        <f t="shared" si="97"/>
        <v>10</v>
      </c>
      <c r="B95">
        <f t="shared" ref="B95:K95" si="105">SUMPRODUCT((_xlfn.NORM.DIST(0,INDEX($B$14:$N$23,$A83,)-INDEX($B$14:$N$23,B$61,),SQRT(INDEX($B$38:$N$47,$A83,)+INDEX($B$38:$N$47,B$61,)),TRUE))*(INDEX($B$2:$N$11,$A95,)=INDEX($B$14:$N$23,B$61,)))-B83</f>
        <v>-6.4708977291365433E-2</v>
      </c>
      <c r="C95">
        <f t="shared" si="105"/>
        <v>3.1827916907606335E-2</v>
      </c>
      <c r="D95">
        <f t="shared" si="105"/>
        <v>0.64996037728110734</v>
      </c>
      <c r="E95">
        <f t="shared" si="105"/>
        <v>0.10665210855795282</v>
      </c>
      <c r="F95">
        <f t="shared" si="105"/>
        <v>0.67823581091448948</v>
      </c>
      <c r="G95">
        <f t="shared" si="105"/>
        <v>0.61516662774182329</v>
      </c>
      <c r="H95">
        <f t="shared" si="105"/>
        <v>6.2736123691778167E-2</v>
      </c>
      <c r="I95">
        <f t="shared" si="105"/>
        <v>0.12545632377747684</v>
      </c>
      <c r="J95">
        <f t="shared" si="105"/>
        <v>0.71388179916016403</v>
      </c>
      <c r="K95">
        <f t="shared" si="105"/>
        <v>0</v>
      </c>
      <c r="Q95">
        <v>3</v>
      </c>
      <c r="R95">
        <v>8</v>
      </c>
      <c r="S95">
        <v>1</v>
      </c>
      <c r="T95" t="s">
        <v>809</v>
      </c>
    </row>
    <row r="96" spans="1:20" x14ac:dyDescent="0.25">
      <c r="Q96">
        <v>4</v>
      </c>
      <c r="R96">
        <v>8</v>
      </c>
      <c r="S96">
        <v>4</v>
      </c>
      <c r="T96" t="s">
        <v>862</v>
      </c>
    </row>
    <row r="97" spans="1:20" x14ac:dyDescent="0.25">
      <c r="A97" s="170" t="s">
        <v>3885</v>
      </c>
      <c r="B97" s="170"/>
      <c r="C97" s="170"/>
      <c r="D97" s="170"/>
      <c r="E97" s="170"/>
      <c r="F97" s="170"/>
      <c r="G97" s="170"/>
      <c r="H97" s="170"/>
      <c r="I97" s="170"/>
      <c r="J97" s="170"/>
      <c r="K97" s="170"/>
      <c r="L97" s="170"/>
      <c r="Q97">
        <v>5</v>
      </c>
      <c r="R97">
        <v>8</v>
      </c>
      <c r="S97">
        <v>10</v>
      </c>
      <c r="T97" t="s">
        <v>889</v>
      </c>
    </row>
    <row r="98" spans="1:20" x14ac:dyDescent="0.25">
      <c r="A98" s="170"/>
      <c r="B98" s="170"/>
      <c r="C98" s="170"/>
      <c r="D98" s="170"/>
      <c r="E98" s="170"/>
      <c r="F98" s="170"/>
      <c r="G98" s="170"/>
      <c r="H98" s="170"/>
      <c r="I98" s="170"/>
      <c r="J98" s="170"/>
      <c r="K98" s="170"/>
      <c r="L98" s="170"/>
      <c r="Q98">
        <v>6</v>
      </c>
      <c r="R98">
        <v>8</v>
      </c>
      <c r="S98">
        <v>9</v>
      </c>
      <c r="T98" t="s">
        <v>960</v>
      </c>
    </row>
    <row r="99" spans="1:20" x14ac:dyDescent="0.25">
      <c r="A99" s="170"/>
      <c r="B99" s="170"/>
      <c r="C99" s="170"/>
      <c r="D99" s="170"/>
      <c r="E99" s="170"/>
      <c r="F99" s="170"/>
      <c r="G99" s="170"/>
      <c r="H99" s="170"/>
      <c r="I99" s="170"/>
      <c r="J99" s="170"/>
      <c r="K99" s="170"/>
      <c r="L99" s="170"/>
      <c r="Q99">
        <v>7</v>
      </c>
      <c r="R99">
        <v>8</v>
      </c>
      <c r="S99">
        <v>6</v>
      </c>
      <c r="T99" t="s">
        <v>961</v>
      </c>
    </row>
    <row r="100" spans="1:20" x14ac:dyDescent="0.25">
      <c r="A100" s="170"/>
      <c r="B100" s="170"/>
      <c r="C100" s="170"/>
      <c r="D100" s="170"/>
      <c r="E100" s="170"/>
      <c r="F100" s="170"/>
      <c r="G100" s="170"/>
      <c r="H100" s="170"/>
      <c r="I100" s="170"/>
      <c r="J100" s="170"/>
      <c r="K100" s="170"/>
      <c r="L100" s="170"/>
      <c r="Q100">
        <v>8</v>
      </c>
      <c r="R100">
        <v>8</v>
      </c>
      <c r="S100">
        <v>5</v>
      </c>
      <c r="T100" t="s">
        <v>962</v>
      </c>
    </row>
    <row r="101" spans="1:20" x14ac:dyDescent="0.25">
      <c r="A101" s="170"/>
      <c r="B101" s="170"/>
      <c r="C101" s="170"/>
      <c r="D101" s="170"/>
      <c r="E101" s="170"/>
      <c r="F101" s="170"/>
      <c r="G101" s="170"/>
      <c r="H101" s="170"/>
      <c r="I101" s="170"/>
      <c r="J101" s="170"/>
      <c r="K101" s="170"/>
      <c r="L101" s="170"/>
      <c r="Q101">
        <v>9</v>
      </c>
      <c r="R101">
        <v>8</v>
      </c>
      <c r="S101">
        <v>3</v>
      </c>
      <c r="T101" t="s">
        <v>963</v>
      </c>
    </row>
    <row r="102" spans="1:20" x14ac:dyDescent="0.25">
      <c r="A102" s="170"/>
      <c r="B102" s="170"/>
      <c r="C102" s="170"/>
      <c r="D102" s="170"/>
      <c r="E102" s="170"/>
      <c r="F102" s="170"/>
      <c r="G102" s="170"/>
      <c r="H102" s="170"/>
      <c r="I102" s="170"/>
      <c r="J102" s="170"/>
      <c r="K102" s="170"/>
      <c r="L102" s="170"/>
      <c r="Q102">
        <v>10</v>
      </c>
      <c r="R102">
        <v>8</v>
      </c>
      <c r="S102">
        <v>2</v>
      </c>
      <c r="T102" t="s">
        <v>964</v>
      </c>
    </row>
    <row r="103" spans="1:20" x14ac:dyDescent="0.25">
      <c r="A103" s="170"/>
      <c r="B103" s="170"/>
      <c r="C103" s="170"/>
      <c r="D103" s="170"/>
      <c r="E103" s="170"/>
      <c r="F103" s="170"/>
      <c r="G103" s="170"/>
      <c r="H103" s="170"/>
      <c r="I103" s="170"/>
      <c r="J103" s="170"/>
      <c r="K103" s="170"/>
      <c r="L103" s="170"/>
      <c r="Q103">
        <v>11</v>
      </c>
      <c r="R103">
        <v>8</v>
      </c>
      <c r="S103">
        <v>7</v>
      </c>
      <c r="T103" t="s">
        <v>965</v>
      </c>
    </row>
    <row r="104" spans="1:20" x14ac:dyDescent="0.25">
      <c r="A104" s="170"/>
      <c r="B104" s="170"/>
      <c r="C104" s="170"/>
      <c r="D104" s="170"/>
      <c r="E104" s="170"/>
      <c r="F104" s="170"/>
      <c r="G104" s="170"/>
      <c r="H104" s="170"/>
      <c r="I104" s="170"/>
      <c r="J104" s="170"/>
      <c r="K104" s="170"/>
      <c r="L104" s="170"/>
      <c r="Q104">
        <v>12</v>
      </c>
      <c r="R104">
        <v>8</v>
      </c>
      <c r="S104">
        <v>1</v>
      </c>
      <c r="T104" t="s">
        <v>966</v>
      </c>
    </row>
    <row r="105" spans="1:20" ht="15.75" thickBot="1" x14ac:dyDescent="0.3">
      <c r="B105" s="114" t="s">
        <v>20</v>
      </c>
      <c r="C105" s="114" t="s">
        <v>16</v>
      </c>
      <c r="D105" s="114" t="s">
        <v>55</v>
      </c>
      <c r="E105" s="114" t="s">
        <v>35</v>
      </c>
      <c r="F105" s="114" t="s">
        <v>27</v>
      </c>
      <c r="G105" s="114" t="s">
        <v>62</v>
      </c>
      <c r="H105" s="114" t="s">
        <v>1648</v>
      </c>
      <c r="I105" s="114" t="s">
        <v>23</v>
      </c>
      <c r="J105" s="114" t="s">
        <v>49</v>
      </c>
      <c r="K105" s="114" t="s">
        <v>44</v>
      </c>
      <c r="L105" s="114" t="s">
        <v>1733</v>
      </c>
      <c r="Q105">
        <v>13</v>
      </c>
      <c r="R105">
        <v>8</v>
      </c>
      <c r="S105">
        <v>4</v>
      </c>
      <c r="T105" t="s">
        <v>967</v>
      </c>
    </row>
    <row r="106" spans="1:20" ht="15.75" thickBot="1" x14ac:dyDescent="0.3">
      <c r="A106" t="s">
        <v>20</v>
      </c>
      <c r="B106" s="116">
        <f t="shared" ref="B106:K106" si="106">B62-B86</f>
        <v>7.00616718400354</v>
      </c>
      <c r="C106" s="117">
        <f t="shared" si="106"/>
        <v>7.3173615126942941</v>
      </c>
      <c r="D106" s="118">
        <f t="shared" si="106"/>
        <v>6.4010734374644427</v>
      </c>
      <c r="E106" s="118">
        <f t="shared" si="106"/>
        <v>7.7479743112059429</v>
      </c>
      <c r="F106" s="118">
        <f t="shared" si="106"/>
        <v>7.9088330161421014</v>
      </c>
      <c r="G106" s="118">
        <f t="shared" si="106"/>
        <v>8.4639352152598448</v>
      </c>
      <c r="H106" s="118">
        <f t="shared" si="106"/>
        <v>6.9561758448811419</v>
      </c>
      <c r="I106" s="118">
        <f t="shared" si="106"/>
        <v>6.8841129288534475</v>
      </c>
      <c r="J106" s="118">
        <f t="shared" si="106"/>
        <v>7.4914749408499759</v>
      </c>
      <c r="K106" s="126">
        <f t="shared" si="106"/>
        <v>8.0025513731329223</v>
      </c>
      <c r="L106" s="128">
        <f>AVERAGE(B106:K106)</f>
        <v>7.4179659764487651</v>
      </c>
      <c r="Q106">
        <v>1</v>
      </c>
      <c r="R106">
        <v>9</v>
      </c>
      <c r="S106">
        <v>6</v>
      </c>
      <c r="T106" t="s">
        <v>505</v>
      </c>
    </row>
    <row r="107" spans="1:20" ht="15.75" thickBot="1" x14ac:dyDescent="0.3">
      <c r="A107" t="s">
        <v>16</v>
      </c>
      <c r="B107" s="119">
        <f t="shared" ref="B107:K107" si="107">B63-B87</f>
        <v>6.8424390614851633</v>
      </c>
      <c r="C107" s="116">
        <f t="shared" si="107"/>
        <v>8.1989369011850819</v>
      </c>
      <c r="D107" s="117">
        <f t="shared" si="107"/>
        <v>7.3334631260448795</v>
      </c>
      <c r="E107" s="118">
        <f t="shared" si="107"/>
        <v>6.6645918749408111</v>
      </c>
      <c r="F107" s="118">
        <f t="shared" si="107"/>
        <v>7.7964942318327806</v>
      </c>
      <c r="G107" s="118">
        <f t="shared" si="107"/>
        <v>7.137901574375217</v>
      </c>
      <c r="H107" s="118">
        <f t="shared" si="107"/>
        <v>7.9957663543405886</v>
      </c>
      <c r="I107" s="118">
        <f t="shared" si="107"/>
        <v>6.8660726402825301</v>
      </c>
      <c r="J107" s="118">
        <f t="shared" si="107"/>
        <v>7.7133613281808486</v>
      </c>
      <c r="K107" s="126">
        <f t="shared" si="107"/>
        <v>8.1214324734131438</v>
      </c>
      <c r="L107" s="129">
        <f t="shared" ref="L107:L115" si="108">AVERAGE(B107:K107)</f>
        <v>7.4670459566081036</v>
      </c>
      <c r="Q107">
        <v>2</v>
      </c>
      <c r="R107">
        <v>9</v>
      </c>
      <c r="S107">
        <v>10</v>
      </c>
      <c r="T107" t="s">
        <v>636</v>
      </c>
    </row>
    <row r="108" spans="1:20" ht="15.75" thickBot="1" x14ac:dyDescent="0.3">
      <c r="A108" t="s">
        <v>55</v>
      </c>
      <c r="B108" s="118">
        <f t="shared" ref="B108:K108" si="109">B64-B88</f>
        <v>9.0439020227405305</v>
      </c>
      <c r="C108" s="119">
        <f t="shared" si="109"/>
        <v>8.3899983665338542</v>
      </c>
      <c r="D108" s="116">
        <f t="shared" si="109"/>
        <v>8.5357062765043121</v>
      </c>
      <c r="E108" s="120">
        <f t="shared" si="109"/>
        <v>7.8743406766365212</v>
      </c>
      <c r="F108" s="118">
        <f t="shared" si="109"/>
        <v>8.8414740791406121</v>
      </c>
      <c r="G108" s="118">
        <f t="shared" si="109"/>
        <v>9.013154817882409</v>
      </c>
      <c r="H108" s="118">
        <f t="shared" si="109"/>
        <v>7.9512895440512299</v>
      </c>
      <c r="I108" s="118">
        <f t="shared" si="109"/>
        <v>7.8480060502141615</v>
      </c>
      <c r="J108" s="118">
        <f t="shared" si="109"/>
        <v>8.6252910312984916</v>
      </c>
      <c r="K108" s="126">
        <f t="shared" si="109"/>
        <v>9.2537078935624884</v>
      </c>
      <c r="L108" s="129">
        <f t="shared" si="108"/>
        <v>8.5376870758564607</v>
      </c>
      <c r="Q108">
        <v>3</v>
      </c>
      <c r="R108">
        <v>9</v>
      </c>
      <c r="S108">
        <v>5</v>
      </c>
      <c r="T108" t="s">
        <v>812</v>
      </c>
    </row>
    <row r="109" spans="1:20" ht="15" customHeight="1" thickBot="1" x14ac:dyDescent="0.3">
      <c r="A109" t="s">
        <v>35</v>
      </c>
      <c r="B109" s="118">
        <f t="shared" ref="B109:K109" si="110">B65-B89</f>
        <v>6.7801903092234053</v>
      </c>
      <c r="C109" s="118">
        <f t="shared" si="110"/>
        <v>8.075547316529148</v>
      </c>
      <c r="D109" s="121">
        <f t="shared" si="110"/>
        <v>7.1462501280409763</v>
      </c>
      <c r="E109" s="116">
        <f t="shared" si="110"/>
        <v>4.5715314452204225</v>
      </c>
      <c r="F109" s="118">
        <f t="shared" si="110"/>
        <v>6.5388169153414548</v>
      </c>
      <c r="G109" s="118">
        <f t="shared" si="110"/>
        <v>6.1105781991209769</v>
      </c>
      <c r="H109" s="118">
        <f t="shared" si="110"/>
        <v>5.5254756667529703</v>
      </c>
      <c r="I109" s="118">
        <f t="shared" si="110"/>
        <v>5.5579965916550478</v>
      </c>
      <c r="J109" s="118">
        <f t="shared" si="110"/>
        <v>6.4833748655091705</v>
      </c>
      <c r="K109" s="126">
        <f t="shared" si="110"/>
        <v>6.9409907393800294</v>
      </c>
      <c r="L109" s="129">
        <f t="shared" si="108"/>
        <v>6.3730752176773597</v>
      </c>
      <c r="Q109">
        <v>4</v>
      </c>
      <c r="R109">
        <v>9</v>
      </c>
      <c r="S109">
        <v>7</v>
      </c>
      <c r="T109" t="s">
        <v>864</v>
      </c>
    </row>
    <row r="110" spans="1:20" ht="15.75" thickBot="1" x14ac:dyDescent="0.3">
      <c r="A110" t="s">
        <v>27</v>
      </c>
      <c r="B110" s="118">
        <f t="shared" ref="B110:K110" si="111">B66-B90</f>
        <v>5.2032058817831874</v>
      </c>
      <c r="C110" s="118">
        <f t="shared" si="111"/>
        <v>6.5594782530512079</v>
      </c>
      <c r="D110" s="118">
        <f t="shared" si="111"/>
        <v>4.8190070660796938</v>
      </c>
      <c r="E110" s="118">
        <f t="shared" si="111"/>
        <v>4.1668686479722741</v>
      </c>
      <c r="F110" s="116">
        <f t="shared" si="111"/>
        <v>5.1751968668058419</v>
      </c>
      <c r="G110" s="118">
        <f t="shared" si="111"/>
        <v>5.3249460619808682</v>
      </c>
      <c r="H110" s="118">
        <f t="shared" si="111"/>
        <v>4.9678947039139976</v>
      </c>
      <c r="I110" s="118">
        <f t="shared" si="111"/>
        <v>4.4841105674994557</v>
      </c>
      <c r="J110" s="118">
        <f t="shared" si="111"/>
        <v>5.8404374148794318</v>
      </c>
      <c r="K110" s="126">
        <f t="shared" si="111"/>
        <v>6.5945932941744241</v>
      </c>
      <c r="L110" s="129">
        <f t="shared" si="108"/>
        <v>5.3135738758140381</v>
      </c>
      <c r="Q110">
        <v>5</v>
      </c>
      <c r="R110">
        <v>9</v>
      </c>
      <c r="S110">
        <v>3</v>
      </c>
      <c r="T110" t="s">
        <v>891</v>
      </c>
    </row>
    <row r="111" spans="1:20" ht="15" customHeight="1" thickBot="1" x14ac:dyDescent="0.3">
      <c r="A111" t="s">
        <v>62</v>
      </c>
      <c r="B111" s="118">
        <f t="shared" ref="B111:K111" si="112">B67-B91</f>
        <v>6.3572004905630353</v>
      </c>
      <c r="C111" s="118">
        <f t="shared" si="112"/>
        <v>8.9048193982407557</v>
      </c>
      <c r="D111" s="118">
        <f t="shared" si="112"/>
        <v>6.288775258599907</v>
      </c>
      <c r="E111" s="118">
        <f t="shared" si="112"/>
        <v>6.2731245961513338</v>
      </c>
      <c r="F111" s="118">
        <f t="shared" si="112"/>
        <v>7.6403014676131455</v>
      </c>
      <c r="G111" s="116">
        <f t="shared" si="112"/>
        <v>7.7781085016253524</v>
      </c>
      <c r="H111" s="118">
        <f t="shared" si="112"/>
        <v>7.2504845159712099</v>
      </c>
      <c r="I111" s="118">
        <f t="shared" si="112"/>
        <v>6.4870217472887033</v>
      </c>
      <c r="J111" s="118">
        <f t="shared" si="112"/>
        <v>7.3134494053045325</v>
      </c>
      <c r="K111" s="126">
        <f t="shared" si="112"/>
        <v>7.6983214403292681</v>
      </c>
      <c r="L111" s="129">
        <f t="shared" si="108"/>
        <v>7.1991606821687242</v>
      </c>
      <c r="Q111">
        <v>6</v>
      </c>
      <c r="R111">
        <v>9</v>
      </c>
      <c r="S111">
        <v>8</v>
      </c>
      <c r="T111" t="s">
        <v>968</v>
      </c>
    </row>
    <row r="112" spans="1:20" ht="15.75" thickBot="1" x14ac:dyDescent="0.3">
      <c r="A112" t="s">
        <v>1648</v>
      </c>
      <c r="B112" s="118">
        <f t="shared" ref="B112:K112" si="113">B68-B92</f>
        <v>4.8176013851503399</v>
      </c>
      <c r="C112" s="118">
        <f t="shared" si="113"/>
        <v>6.0278396572415636</v>
      </c>
      <c r="D112" s="118">
        <f t="shared" si="113"/>
        <v>4.3391350744865145</v>
      </c>
      <c r="E112" s="118">
        <f t="shared" si="113"/>
        <v>4.8340653522365846</v>
      </c>
      <c r="F112" s="118">
        <f t="shared" si="113"/>
        <v>5.9577647259486595</v>
      </c>
      <c r="G112" s="118">
        <f t="shared" si="113"/>
        <v>5.3604122495226152</v>
      </c>
      <c r="H112" s="116">
        <f t="shared" si="113"/>
        <v>5.7944122399796854</v>
      </c>
      <c r="I112" s="118">
        <f t="shared" si="113"/>
        <v>5.7377402079286419</v>
      </c>
      <c r="J112" s="118">
        <f t="shared" si="113"/>
        <v>5.775735605207883</v>
      </c>
      <c r="K112" s="126">
        <f t="shared" si="113"/>
        <v>7.1674900898842813</v>
      </c>
      <c r="L112" s="129">
        <f t="shared" si="108"/>
        <v>5.5812196587586769</v>
      </c>
      <c r="Q112">
        <v>7</v>
      </c>
      <c r="R112">
        <v>9</v>
      </c>
      <c r="S112">
        <v>1</v>
      </c>
      <c r="T112" t="s">
        <v>969</v>
      </c>
    </row>
    <row r="113" spans="1:20" ht="15.75" thickBot="1" x14ac:dyDescent="0.3">
      <c r="A113" t="s">
        <v>23</v>
      </c>
      <c r="B113" s="118">
        <f t="shared" ref="B113:K113" si="114">B69-B93</f>
        <v>5.5190200100553026</v>
      </c>
      <c r="C113" s="118">
        <f t="shared" si="114"/>
        <v>6.7020422972206681</v>
      </c>
      <c r="D113" s="118">
        <f t="shared" si="114"/>
        <v>6.0161035078921756</v>
      </c>
      <c r="E113" s="118">
        <f t="shared" si="114"/>
        <v>5.2880290994502719</v>
      </c>
      <c r="F113" s="118">
        <f t="shared" si="114"/>
        <v>4.0506921274836749</v>
      </c>
      <c r="G113" s="118">
        <f t="shared" si="114"/>
        <v>5.7450628063213474</v>
      </c>
      <c r="H113" s="118">
        <f t="shared" si="114"/>
        <v>5.4318731103657569</v>
      </c>
      <c r="I113" s="116">
        <f t="shared" si="114"/>
        <v>5.384530296901489</v>
      </c>
      <c r="J113" s="118">
        <f t="shared" si="114"/>
        <v>6.226789932761668</v>
      </c>
      <c r="K113" s="126">
        <f t="shared" si="114"/>
        <v>5.694112900144817</v>
      </c>
      <c r="L113" s="129">
        <f t="shared" si="108"/>
        <v>5.6058256088597167</v>
      </c>
      <c r="Q113">
        <v>8</v>
      </c>
      <c r="R113">
        <v>9</v>
      </c>
      <c r="S113">
        <v>2</v>
      </c>
      <c r="T113" t="s">
        <v>970</v>
      </c>
    </row>
    <row r="114" spans="1:20" ht="15.75" thickBot="1" x14ac:dyDescent="0.3">
      <c r="A114" t="s">
        <v>49</v>
      </c>
      <c r="B114" s="118">
        <f t="shared" ref="B114:K114" si="115">B70-B94</f>
        <v>7.4768428085591427</v>
      </c>
      <c r="C114" s="118">
        <f t="shared" si="115"/>
        <v>8.5541661695409736</v>
      </c>
      <c r="D114" s="118">
        <f t="shared" si="115"/>
        <v>7.8410097573444144</v>
      </c>
      <c r="E114" s="118">
        <f t="shared" si="115"/>
        <v>7.1221349398338605</v>
      </c>
      <c r="F114" s="118">
        <f t="shared" si="115"/>
        <v>8.3399759251949295</v>
      </c>
      <c r="G114" s="118">
        <f t="shared" si="115"/>
        <v>8.4077899607683158</v>
      </c>
      <c r="H114" s="118">
        <f t="shared" si="115"/>
        <v>8.0237451774620379</v>
      </c>
      <c r="I114" s="118">
        <f t="shared" si="115"/>
        <v>7.0982533576924745</v>
      </c>
      <c r="J114" s="116">
        <f t="shared" si="115"/>
        <v>8.974618398515311</v>
      </c>
      <c r="K114" s="126">
        <f t="shared" si="115"/>
        <v>8.5874151858703822</v>
      </c>
      <c r="L114" s="129">
        <f t="shared" si="108"/>
        <v>8.0425951680781846</v>
      </c>
      <c r="Q114">
        <v>9</v>
      </c>
      <c r="R114">
        <v>9</v>
      </c>
      <c r="S114">
        <v>6</v>
      </c>
      <c r="T114" t="s">
        <v>971</v>
      </c>
    </row>
    <row r="115" spans="1:20" ht="15.75" thickBot="1" x14ac:dyDescent="0.3">
      <c r="A115" t="s">
        <v>44</v>
      </c>
      <c r="B115" s="122">
        <f t="shared" ref="B115:K115" si="116">B71-B95</f>
        <v>3.6076066661302812</v>
      </c>
      <c r="C115" s="122">
        <f t="shared" si="116"/>
        <v>4.7631869381434182</v>
      </c>
      <c r="D115" s="122">
        <f t="shared" si="116"/>
        <v>2.9208327765141573</v>
      </c>
      <c r="E115" s="122">
        <f t="shared" si="116"/>
        <v>3.2121340341966209</v>
      </c>
      <c r="F115" s="122">
        <f t="shared" si="116"/>
        <v>3.2115589230415038</v>
      </c>
      <c r="G115" s="122">
        <f t="shared" si="116"/>
        <v>3.7753005553121382</v>
      </c>
      <c r="H115" s="122">
        <f t="shared" si="116"/>
        <v>3.2028967031110227</v>
      </c>
      <c r="I115" s="122">
        <f t="shared" si="116"/>
        <v>3.2659546855195956</v>
      </c>
      <c r="J115" s="122">
        <f t="shared" si="116"/>
        <v>3.0782446260719865</v>
      </c>
      <c r="K115" s="127">
        <f t="shared" si="116"/>
        <v>3.580791889258967</v>
      </c>
      <c r="L115" s="130">
        <f t="shared" si="108"/>
        <v>3.4618507797299691</v>
      </c>
      <c r="Q115">
        <v>10</v>
      </c>
      <c r="R115">
        <v>9</v>
      </c>
      <c r="S115">
        <v>10</v>
      </c>
      <c r="T115" t="s">
        <v>972</v>
      </c>
    </row>
    <row r="116" spans="1:20" ht="15.75" thickBot="1" x14ac:dyDescent="0.3">
      <c r="A116" t="s">
        <v>1733</v>
      </c>
      <c r="B116" s="123">
        <f>AVERAGE(B106:B115)</f>
        <v>6.2654175819693929</v>
      </c>
      <c r="C116" s="124">
        <f t="shared" ref="C116:K116" si="117">AVERAGE(C106:C115)</f>
        <v>7.3493376810380964</v>
      </c>
      <c r="D116" s="124">
        <f>AVERAGE(D106:D115)</f>
        <v>6.1641356408971477</v>
      </c>
      <c r="E116" s="124">
        <f t="shared" si="117"/>
        <v>5.775479497784465</v>
      </c>
      <c r="F116" s="124">
        <f t="shared" si="117"/>
        <v>6.54611082785447</v>
      </c>
      <c r="G116" s="124">
        <f t="shared" si="117"/>
        <v>6.7117189942169091</v>
      </c>
      <c r="H116" s="124">
        <f t="shared" si="117"/>
        <v>6.3100013860829645</v>
      </c>
      <c r="I116" s="124">
        <f t="shared" si="117"/>
        <v>5.9613799073835541</v>
      </c>
      <c r="J116" s="124">
        <f t="shared" si="117"/>
        <v>6.7522777548579302</v>
      </c>
      <c r="K116" s="125">
        <f t="shared" si="117"/>
        <v>7.1641407279150711</v>
      </c>
      <c r="Q116">
        <v>11</v>
      </c>
      <c r="R116">
        <v>9</v>
      </c>
      <c r="S116">
        <v>5</v>
      </c>
      <c r="T116" t="s">
        <v>973</v>
      </c>
    </row>
    <row r="117" spans="1:20" x14ac:dyDescent="0.25">
      <c r="A117" s="171" t="str">
        <f>"Example: The upper most right-hand cell (directly beneath ""seth"") shows the number of wins Scott would have if he switched schedules with Seth ("&amp;ROUND(K106,1)&amp;")."</f>
        <v>Example: The upper most right-hand cell (directly beneath "seth") shows the number of wins Scott would have if he switched schedules with Seth (8).</v>
      </c>
      <c r="B117" s="171"/>
      <c r="C117" s="171"/>
      <c r="D117" s="171"/>
      <c r="E117" s="171"/>
      <c r="F117" s="171"/>
      <c r="G117" s="171"/>
      <c r="H117" s="171"/>
      <c r="I117" s="171"/>
      <c r="J117" s="171"/>
      <c r="K117" s="171"/>
      <c r="L117" s="171"/>
      <c r="Q117">
        <v>12</v>
      </c>
      <c r="R117">
        <v>9</v>
      </c>
      <c r="S117">
        <v>4</v>
      </c>
      <c r="T117" t="s">
        <v>974</v>
      </c>
    </row>
    <row r="118" spans="1:20" x14ac:dyDescent="0.25">
      <c r="A118" s="171"/>
      <c r="B118" s="171"/>
      <c r="C118" s="171"/>
      <c r="D118" s="171"/>
      <c r="E118" s="171"/>
      <c r="F118" s="171"/>
      <c r="G118" s="171"/>
      <c r="H118" s="171"/>
      <c r="I118" s="171"/>
      <c r="J118" s="171"/>
      <c r="K118" s="171"/>
      <c r="L118" s="171"/>
      <c r="Q118">
        <v>13</v>
      </c>
      <c r="R118">
        <v>9</v>
      </c>
      <c r="S118">
        <v>3</v>
      </c>
      <c r="T118" t="s">
        <v>975</v>
      </c>
    </row>
    <row r="119" spans="1:20" x14ac:dyDescent="0.25">
      <c r="Q119">
        <v>1</v>
      </c>
      <c r="R119">
        <v>10</v>
      </c>
      <c r="S119">
        <v>5</v>
      </c>
      <c r="T119" t="s">
        <v>500</v>
      </c>
    </row>
    <row r="120" spans="1:20" x14ac:dyDescent="0.25">
      <c r="Q120">
        <v>2</v>
      </c>
      <c r="R120">
        <v>10</v>
      </c>
      <c r="S120">
        <v>9</v>
      </c>
      <c r="T120" t="s">
        <v>630</v>
      </c>
    </row>
    <row r="121" spans="1:20" x14ac:dyDescent="0.25">
      <c r="Q121">
        <v>3</v>
      </c>
      <c r="R121">
        <v>10</v>
      </c>
      <c r="S121">
        <v>3</v>
      </c>
      <c r="T121" t="s">
        <v>808</v>
      </c>
    </row>
    <row r="122" spans="1:20" x14ac:dyDescent="0.25">
      <c r="Q122">
        <v>4</v>
      </c>
      <c r="R122">
        <v>10</v>
      </c>
      <c r="S122">
        <v>6</v>
      </c>
      <c r="T122" t="s">
        <v>857</v>
      </c>
    </row>
    <row r="123" spans="1:20" x14ac:dyDescent="0.25">
      <c r="Q123">
        <v>5</v>
      </c>
      <c r="R123">
        <v>10</v>
      </c>
      <c r="S123">
        <v>8</v>
      </c>
      <c r="T123" t="s">
        <v>882</v>
      </c>
    </row>
    <row r="124" spans="1:20" x14ac:dyDescent="0.25">
      <c r="Q124">
        <v>6</v>
      </c>
      <c r="R124">
        <v>10</v>
      </c>
      <c r="S124">
        <v>1</v>
      </c>
      <c r="T124" t="s">
        <v>976</v>
      </c>
    </row>
    <row r="125" spans="1:20" x14ac:dyDescent="0.25">
      <c r="Q125">
        <v>7</v>
      </c>
      <c r="R125">
        <v>10</v>
      </c>
      <c r="S125">
        <v>2</v>
      </c>
      <c r="T125" t="s">
        <v>977</v>
      </c>
    </row>
    <row r="126" spans="1:20" x14ac:dyDescent="0.25">
      <c r="Q126">
        <v>8</v>
      </c>
      <c r="R126">
        <v>10</v>
      </c>
      <c r="S126">
        <v>4</v>
      </c>
      <c r="T126" t="s">
        <v>978</v>
      </c>
    </row>
    <row r="127" spans="1:20" x14ac:dyDescent="0.25">
      <c r="Q127">
        <v>9</v>
      </c>
      <c r="R127">
        <v>10</v>
      </c>
      <c r="S127">
        <v>5</v>
      </c>
      <c r="T127" t="s">
        <v>979</v>
      </c>
    </row>
    <row r="128" spans="1:20" x14ac:dyDescent="0.25">
      <c r="Q128">
        <v>10</v>
      </c>
      <c r="R128">
        <v>10</v>
      </c>
      <c r="S128">
        <v>9</v>
      </c>
      <c r="T128" t="s">
        <v>980</v>
      </c>
    </row>
    <row r="129" spans="17:20" x14ac:dyDescent="0.25">
      <c r="Q129">
        <v>11</v>
      </c>
      <c r="R129">
        <v>10</v>
      </c>
      <c r="S129">
        <v>3</v>
      </c>
      <c r="T129" t="s">
        <v>981</v>
      </c>
    </row>
    <row r="130" spans="17:20" x14ac:dyDescent="0.25">
      <c r="Q130">
        <v>12</v>
      </c>
      <c r="R130">
        <v>10</v>
      </c>
      <c r="S130">
        <v>6</v>
      </c>
      <c r="T130" t="s">
        <v>982</v>
      </c>
    </row>
    <row r="131" spans="17:20" x14ac:dyDescent="0.25">
      <c r="Q131">
        <v>13</v>
      </c>
      <c r="R131">
        <v>10</v>
      </c>
      <c r="S131">
        <v>7</v>
      </c>
      <c r="T131" t="s">
        <v>983</v>
      </c>
    </row>
  </sheetData>
  <mergeCells count="2">
    <mergeCell ref="A97:L104"/>
    <mergeCell ref="A117:L118"/>
  </mergeCells>
  <conditionalFormatting sqref="B106:K115">
    <cfRule type="colorScale" priority="3">
      <colorScale>
        <cfvo type="min"/>
        <cfvo type="num" val="6.5"/>
        <cfvo type="max"/>
        <color rgb="FFF8696B"/>
        <color theme="0"/>
        <color rgb="FF63BE7B"/>
      </colorScale>
    </cfRule>
  </conditionalFormatting>
  <conditionalFormatting sqref="W14:AI23">
    <cfRule type="colorScale" priority="2">
      <colorScale>
        <cfvo type="min"/>
        <cfvo type="num" val="0"/>
        <cfvo type="max"/>
        <color rgb="FF5A8AC6"/>
        <color rgb="FFFCFCFF"/>
        <color rgb="FFF8696B"/>
      </colorScale>
    </cfRule>
  </conditionalFormatting>
  <conditionalFormatting sqref="W26:AI35">
    <cfRule type="colorScale" priority="1">
      <colorScale>
        <cfvo type="min"/>
        <cfvo type="num" val="0"/>
        <cfvo type="max"/>
        <color rgb="FF5A8AC6"/>
        <color rgb="FFFCFCFF"/>
        <color rgb="FFF8696B"/>
      </colorScale>
    </cfRule>
  </conditionalFormatting>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75"/>
  <sheetViews>
    <sheetView workbookViewId="0">
      <selection activeCell="K3" sqref="K3"/>
    </sheetView>
  </sheetViews>
  <sheetFormatPr defaultRowHeight="15" x14ac:dyDescent="0.25"/>
  <cols>
    <col min="1" max="1" width="18.85546875" bestFit="1" customWidth="1"/>
    <col min="3" max="3" width="6" bestFit="1" customWidth="1"/>
    <col min="4" max="5" width="3" bestFit="1" customWidth="1"/>
    <col min="6" max="6" width="2" bestFit="1" customWidth="1"/>
    <col min="7" max="7" width="12" bestFit="1" customWidth="1"/>
    <col min="8" max="8" width="9.42578125" bestFit="1" customWidth="1"/>
    <col min="10" max="10" width="7.5703125" bestFit="1" customWidth="1"/>
  </cols>
  <sheetData>
    <row r="1" spans="1:16" x14ac:dyDescent="0.25">
      <c r="A1" t="s">
        <v>10</v>
      </c>
      <c r="B1" t="s">
        <v>813</v>
      </c>
      <c r="C1" t="s">
        <v>772</v>
      </c>
      <c r="D1" t="s">
        <v>3572</v>
      </c>
      <c r="E1" t="s">
        <v>3573</v>
      </c>
      <c r="F1" t="s">
        <v>3574</v>
      </c>
      <c r="G1" t="s">
        <v>492</v>
      </c>
      <c r="H1" t="s">
        <v>723</v>
      </c>
      <c r="I1" t="s">
        <v>724</v>
      </c>
      <c r="J1" t="s">
        <v>480</v>
      </c>
      <c r="K1" t="s">
        <v>497</v>
      </c>
      <c r="M1" s="139" t="s">
        <v>799</v>
      </c>
      <c r="N1" s="139" t="s">
        <v>3576</v>
      </c>
      <c r="O1" s="139" t="s">
        <v>497</v>
      </c>
      <c r="P1" s="139" t="s">
        <v>3575</v>
      </c>
    </row>
    <row r="2" spans="1:16" x14ac:dyDescent="0.25">
      <c r="A2" t="s">
        <v>3224</v>
      </c>
      <c r="B2">
        <v>2014</v>
      </c>
      <c r="C2">
        <v>1353</v>
      </c>
      <c r="D2">
        <v>10</v>
      </c>
      <c r="E2">
        <v>3</v>
      </c>
      <c r="F2">
        <v>0</v>
      </c>
      <c r="G2">
        <v>0.76923076923076927</v>
      </c>
      <c r="H2">
        <v>2</v>
      </c>
      <c r="I2">
        <v>3</v>
      </c>
      <c r="J2">
        <v>10</v>
      </c>
      <c r="K2" t="str">
        <f>IF(ISERROR(MATCH(A2&amp;B2,$C$56:$C$75,0)),"","X")</f>
        <v>X</v>
      </c>
      <c r="M2" s="139">
        <v>2</v>
      </c>
      <c r="N2" s="139">
        <v>14</v>
      </c>
      <c r="O2" s="139">
        <v>8</v>
      </c>
      <c r="P2" s="140">
        <f>O2/N2</f>
        <v>0.5714285714285714</v>
      </c>
    </row>
    <row r="3" spans="1:16" x14ac:dyDescent="0.25">
      <c r="A3" t="s">
        <v>3214</v>
      </c>
      <c r="B3">
        <v>2017</v>
      </c>
      <c r="C3">
        <v>1316</v>
      </c>
      <c r="D3">
        <v>9</v>
      </c>
      <c r="E3">
        <v>4</v>
      </c>
      <c r="F3">
        <v>0</v>
      </c>
      <c r="G3">
        <v>0.69230769230769229</v>
      </c>
      <c r="H3">
        <v>2</v>
      </c>
      <c r="I3">
        <v>3</v>
      </c>
      <c r="J3">
        <v>9</v>
      </c>
      <c r="K3" t="str">
        <f t="shared" ref="K3:K51" si="0">IF(ISERROR(MATCH(A3&amp;B3,$C$56:$C$75,0)),"","X")</f>
        <v>X</v>
      </c>
      <c r="M3" s="139">
        <v>1</v>
      </c>
      <c r="N3" s="139">
        <v>22</v>
      </c>
      <c r="O3" s="139">
        <v>10</v>
      </c>
      <c r="P3" s="140">
        <f>O3/N3</f>
        <v>0.45454545454545453</v>
      </c>
    </row>
    <row r="4" spans="1:16" x14ac:dyDescent="0.25">
      <c r="A4" t="s">
        <v>3217</v>
      </c>
      <c r="B4">
        <v>2015</v>
      </c>
      <c r="C4">
        <v>1232</v>
      </c>
      <c r="D4">
        <v>8</v>
      </c>
      <c r="E4">
        <v>5</v>
      </c>
      <c r="F4">
        <v>0</v>
      </c>
      <c r="G4">
        <v>0.61538461538461542</v>
      </c>
      <c r="H4">
        <v>2</v>
      </c>
      <c r="I4">
        <v>3</v>
      </c>
      <c r="J4">
        <v>8</v>
      </c>
      <c r="K4" t="str">
        <f t="shared" si="0"/>
        <v>X</v>
      </c>
      <c r="M4" s="139">
        <v>0</v>
      </c>
      <c r="N4" s="139">
        <v>14</v>
      </c>
      <c r="O4" s="139">
        <v>2</v>
      </c>
      <c r="P4" s="140">
        <f>O4/N4</f>
        <v>0.14285714285714285</v>
      </c>
    </row>
    <row r="5" spans="1:16" x14ac:dyDescent="0.25">
      <c r="A5" t="s">
        <v>3226</v>
      </c>
      <c r="B5">
        <v>2015</v>
      </c>
      <c r="C5">
        <v>1421</v>
      </c>
      <c r="D5">
        <v>8</v>
      </c>
      <c r="E5">
        <v>5</v>
      </c>
      <c r="F5">
        <v>0</v>
      </c>
      <c r="G5">
        <v>0.61538461538461542</v>
      </c>
      <c r="H5">
        <v>2</v>
      </c>
      <c r="I5">
        <v>3</v>
      </c>
      <c r="J5">
        <v>8</v>
      </c>
      <c r="K5" t="str">
        <f t="shared" si="0"/>
        <v>X</v>
      </c>
    </row>
    <row r="6" spans="1:16" x14ac:dyDescent="0.25">
      <c r="A6" t="s">
        <v>3225</v>
      </c>
      <c r="B6">
        <v>2017</v>
      </c>
      <c r="C6">
        <v>1288</v>
      </c>
      <c r="D6">
        <v>8</v>
      </c>
      <c r="E6">
        <v>5</v>
      </c>
      <c r="F6">
        <v>0</v>
      </c>
      <c r="G6">
        <v>0.61538461538461542</v>
      </c>
      <c r="H6">
        <v>2</v>
      </c>
      <c r="I6">
        <v>3</v>
      </c>
      <c r="J6">
        <v>8</v>
      </c>
      <c r="K6" t="str">
        <f t="shared" si="0"/>
        <v>X</v>
      </c>
      <c r="M6" s="139" t="s">
        <v>799</v>
      </c>
      <c r="N6" s="139" t="s">
        <v>3576</v>
      </c>
      <c r="O6" s="139" t="s">
        <v>497</v>
      </c>
      <c r="P6" s="139" t="s">
        <v>3575</v>
      </c>
    </row>
    <row r="7" spans="1:16" x14ac:dyDescent="0.25">
      <c r="A7" t="s">
        <v>3199</v>
      </c>
      <c r="B7">
        <v>2014</v>
      </c>
      <c r="C7">
        <v>1208</v>
      </c>
      <c r="D7">
        <v>6</v>
      </c>
      <c r="E7">
        <v>7</v>
      </c>
      <c r="F7">
        <v>0</v>
      </c>
      <c r="G7">
        <v>0.46153846153846156</v>
      </c>
      <c r="H7">
        <v>2</v>
      </c>
      <c r="I7">
        <v>3</v>
      </c>
      <c r="J7">
        <v>6</v>
      </c>
      <c r="K7" t="str">
        <f t="shared" si="0"/>
        <v/>
      </c>
      <c r="M7" s="139">
        <v>3</v>
      </c>
      <c r="N7" s="139">
        <f>COUNTIF($I$2:$I$51,M7)</f>
        <v>7</v>
      </c>
      <c r="O7" s="139">
        <f>COUNTIFS($I$2:$I$51,M7,$K$2:$K$51,"X")</f>
        <v>5</v>
      </c>
      <c r="P7" s="140">
        <f>O7/N7</f>
        <v>0.7142857142857143</v>
      </c>
    </row>
    <row r="8" spans="1:16" x14ac:dyDescent="0.25">
      <c r="A8" t="s">
        <v>3223</v>
      </c>
      <c r="B8">
        <v>2013</v>
      </c>
      <c r="C8">
        <v>993</v>
      </c>
      <c r="D8">
        <v>5</v>
      </c>
      <c r="E8">
        <v>8</v>
      </c>
      <c r="F8">
        <v>0</v>
      </c>
      <c r="G8">
        <v>0.38461538461538464</v>
      </c>
      <c r="H8">
        <v>2</v>
      </c>
      <c r="I8">
        <v>3</v>
      </c>
      <c r="J8">
        <v>5</v>
      </c>
      <c r="K8" t="str">
        <f t="shared" si="0"/>
        <v/>
      </c>
      <c r="M8" s="139">
        <v>2</v>
      </c>
      <c r="N8" s="139">
        <f>COUNTIF($I$2:$I$51,M8)</f>
        <v>20</v>
      </c>
      <c r="O8" s="139">
        <f>COUNTIFS($I$2:$I$51,M8,$K$2:$K$51,"X")</f>
        <v>9</v>
      </c>
      <c r="P8" s="140">
        <f>O8/N8</f>
        <v>0.45</v>
      </c>
    </row>
    <row r="9" spans="1:16" x14ac:dyDescent="0.25">
      <c r="A9" t="s">
        <v>3201</v>
      </c>
      <c r="B9">
        <v>2013</v>
      </c>
      <c r="C9">
        <v>1432</v>
      </c>
      <c r="D9">
        <v>9</v>
      </c>
      <c r="E9">
        <v>3</v>
      </c>
      <c r="F9">
        <v>1</v>
      </c>
      <c r="G9">
        <v>0.73076923076923073</v>
      </c>
      <c r="H9">
        <v>2</v>
      </c>
      <c r="I9">
        <v>2</v>
      </c>
      <c r="J9">
        <v>9.5</v>
      </c>
      <c r="K9" t="str">
        <f t="shared" si="0"/>
        <v>X</v>
      </c>
      <c r="M9" s="139">
        <v>1</v>
      </c>
      <c r="N9" s="139">
        <f>COUNTIF($I$2:$I$51,M9)</f>
        <v>14</v>
      </c>
      <c r="O9" s="139">
        <f>COUNTIFS($I$2:$I$51,M9,$K$2:$K$51,"X")</f>
        <v>4</v>
      </c>
      <c r="P9" s="140">
        <f>O9/N9</f>
        <v>0.2857142857142857</v>
      </c>
    </row>
    <row r="10" spans="1:16" x14ac:dyDescent="0.25">
      <c r="A10" t="s">
        <v>3199</v>
      </c>
      <c r="B10">
        <v>2017</v>
      </c>
      <c r="C10">
        <v>1225</v>
      </c>
      <c r="D10">
        <v>9</v>
      </c>
      <c r="E10">
        <v>4</v>
      </c>
      <c r="F10">
        <v>0</v>
      </c>
      <c r="G10">
        <v>0.69230769230769229</v>
      </c>
      <c r="H10">
        <v>2</v>
      </c>
      <c r="I10">
        <v>2</v>
      </c>
      <c r="J10">
        <v>9</v>
      </c>
      <c r="K10" t="str">
        <f t="shared" si="0"/>
        <v>X</v>
      </c>
      <c r="M10" s="139">
        <v>0</v>
      </c>
      <c r="N10" s="139">
        <f>COUNTIF($I$2:$I$51,M10)</f>
        <v>9</v>
      </c>
      <c r="O10" s="139">
        <f>COUNTIFS($I$2:$I$51,M10,$K$2:$K$51,"X")</f>
        <v>2</v>
      </c>
      <c r="P10" s="140">
        <f>O10/N10</f>
        <v>0.22222222222222221</v>
      </c>
    </row>
    <row r="11" spans="1:16" x14ac:dyDescent="0.25">
      <c r="A11" t="s">
        <v>3219</v>
      </c>
      <c r="B11">
        <v>2013</v>
      </c>
      <c r="C11">
        <v>1279</v>
      </c>
      <c r="D11">
        <v>7</v>
      </c>
      <c r="E11">
        <v>5</v>
      </c>
      <c r="F11">
        <v>1</v>
      </c>
      <c r="G11">
        <v>0.57692307692307687</v>
      </c>
      <c r="H11">
        <v>2</v>
      </c>
      <c r="I11">
        <v>2</v>
      </c>
      <c r="J11">
        <v>7.5</v>
      </c>
      <c r="K11" t="str">
        <f t="shared" si="0"/>
        <v>X</v>
      </c>
    </row>
    <row r="12" spans="1:16" x14ac:dyDescent="0.25">
      <c r="A12" t="s">
        <v>3199</v>
      </c>
      <c r="B12">
        <v>2016</v>
      </c>
      <c r="C12">
        <v>1247</v>
      </c>
      <c r="D12">
        <v>7</v>
      </c>
      <c r="E12">
        <v>6</v>
      </c>
      <c r="F12">
        <v>0</v>
      </c>
      <c r="G12">
        <v>0.53846153846153844</v>
      </c>
      <c r="H12">
        <v>2</v>
      </c>
      <c r="I12">
        <v>2</v>
      </c>
      <c r="J12">
        <v>7</v>
      </c>
      <c r="K12" t="str">
        <f t="shared" si="0"/>
        <v/>
      </c>
    </row>
    <row r="13" spans="1:16" x14ac:dyDescent="0.25">
      <c r="A13" t="s">
        <v>3227</v>
      </c>
      <c r="B13">
        <v>2015</v>
      </c>
      <c r="C13">
        <v>1244</v>
      </c>
      <c r="D13">
        <v>6</v>
      </c>
      <c r="E13">
        <v>7</v>
      </c>
      <c r="F13">
        <v>0</v>
      </c>
      <c r="G13">
        <v>0.46153846153846156</v>
      </c>
      <c r="H13">
        <v>2</v>
      </c>
      <c r="I13">
        <v>2</v>
      </c>
      <c r="J13">
        <v>6</v>
      </c>
      <c r="K13" t="str">
        <f t="shared" si="0"/>
        <v/>
      </c>
    </row>
    <row r="14" spans="1:16" x14ac:dyDescent="0.25">
      <c r="A14" t="s">
        <v>3219</v>
      </c>
      <c r="B14">
        <v>2016</v>
      </c>
      <c r="C14">
        <v>1256</v>
      </c>
      <c r="D14">
        <v>5</v>
      </c>
      <c r="E14">
        <v>8</v>
      </c>
      <c r="F14">
        <v>0</v>
      </c>
      <c r="G14">
        <v>0.38461538461538464</v>
      </c>
      <c r="H14">
        <v>2</v>
      </c>
      <c r="I14">
        <v>2</v>
      </c>
      <c r="J14">
        <v>5</v>
      </c>
      <c r="K14" t="str">
        <f t="shared" si="0"/>
        <v/>
      </c>
    </row>
    <row r="15" spans="1:16" x14ac:dyDescent="0.25">
      <c r="A15" t="s">
        <v>3198</v>
      </c>
      <c r="B15">
        <v>2014</v>
      </c>
      <c r="C15">
        <v>1097</v>
      </c>
      <c r="D15">
        <v>3</v>
      </c>
      <c r="E15">
        <v>9</v>
      </c>
      <c r="F15">
        <v>1</v>
      </c>
      <c r="G15">
        <v>0.26923076923076922</v>
      </c>
      <c r="H15">
        <v>2</v>
      </c>
      <c r="I15">
        <v>2</v>
      </c>
      <c r="J15">
        <v>3.5</v>
      </c>
      <c r="K15" t="str">
        <f t="shared" si="0"/>
        <v/>
      </c>
    </row>
    <row r="16" spans="1:16" x14ac:dyDescent="0.25">
      <c r="A16" t="s">
        <v>3200</v>
      </c>
      <c r="B16">
        <v>2015</v>
      </c>
      <c r="C16">
        <v>1274</v>
      </c>
      <c r="D16">
        <v>9</v>
      </c>
      <c r="E16">
        <v>4</v>
      </c>
      <c r="F16">
        <v>0</v>
      </c>
      <c r="G16">
        <v>0.69230769230769229</v>
      </c>
      <c r="H16">
        <v>1</v>
      </c>
      <c r="I16">
        <v>2</v>
      </c>
      <c r="J16">
        <v>9</v>
      </c>
      <c r="K16" t="str">
        <f t="shared" si="0"/>
        <v>X</v>
      </c>
    </row>
    <row r="17" spans="1:11" x14ac:dyDescent="0.25">
      <c r="A17" t="s">
        <v>3217</v>
      </c>
      <c r="B17">
        <v>2014</v>
      </c>
      <c r="C17">
        <v>1391</v>
      </c>
      <c r="D17">
        <v>8</v>
      </c>
      <c r="E17">
        <v>5</v>
      </c>
      <c r="F17">
        <v>0</v>
      </c>
      <c r="G17">
        <v>0.61538461538461542</v>
      </c>
      <c r="H17">
        <v>1</v>
      </c>
      <c r="I17">
        <v>2</v>
      </c>
      <c r="J17">
        <v>8</v>
      </c>
      <c r="K17" t="str">
        <f t="shared" si="0"/>
        <v>X</v>
      </c>
    </row>
    <row r="18" spans="1:11" x14ac:dyDescent="0.25">
      <c r="A18" t="s">
        <v>3225</v>
      </c>
      <c r="B18">
        <v>2016</v>
      </c>
      <c r="C18">
        <v>1347</v>
      </c>
      <c r="D18">
        <v>8</v>
      </c>
      <c r="E18">
        <v>5</v>
      </c>
      <c r="F18">
        <v>0</v>
      </c>
      <c r="G18">
        <v>0.61538461538461542</v>
      </c>
      <c r="H18">
        <v>1</v>
      </c>
      <c r="I18">
        <v>2</v>
      </c>
      <c r="J18">
        <v>8</v>
      </c>
      <c r="K18" t="str">
        <f t="shared" si="0"/>
        <v>X</v>
      </c>
    </row>
    <row r="19" spans="1:11" x14ac:dyDescent="0.25">
      <c r="A19" t="s">
        <v>3214</v>
      </c>
      <c r="B19">
        <v>2016</v>
      </c>
      <c r="C19">
        <v>1374</v>
      </c>
      <c r="D19">
        <v>8</v>
      </c>
      <c r="E19">
        <v>5</v>
      </c>
      <c r="F19">
        <v>0</v>
      </c>
      <c r="G19">
        <v>0.61538461538461542</v>
      </c>
      <c r="H19">
        <v>1</v>
      </c>
      <c r="I19">
        <v>2</v>
      </c>
      <c r="J19">
        <v>8</v>
      </c>
      <c r="K19" t="str">
        <f t="shared" si="0"/>
        <v>X</v>
      </c>
    </row>
    <row r="20" spans="1:11" x14ac:dyDescent="0.25">
      <c r="A20" t="s">
        <v>3198</v>
      </c>
      <c r="B20">
        <v>2017</v>
      </c>
      <c r="C20">
        <v>1196</v>
      </c>
      <c r="D20">
        <v>8</v>
      </c>
      <c r="E20">
        <v>5</v>
      </c>
      <c r="F20">
        <v>0</v>
      </c>
      <c r="G20">
        <v>0.61538461538461542</v>
      </c>
      <c r="H20">
        <v>1</v>
      </c>
      <c r="I20">
        <v>2</v>
      </c>
      <c r="J20">
        <v>8</v>
      </c>
      <c r="K20" t="str">
        <f t="shared" si="0"/>
        <v>X</v>
      </c>
    </row>
    <row r="21" spans="1:11" x14ac:dyDescent="0.25">
      <c r="A21" t="s">
        <v>3201</v>
      </c>
      <c r="B21">
        <v>2016</v>
      </c>
      <c r="C21">
        <v>1310</v>
      </c>
      <c r="D21">
        <v>7</v>
      </c>
      <c r="E21">
        <v>5</v>
      </c>
      <c r="F21">
        <v>1</v>
      </c>
      <c r="G21">
        <v>0.57692307692307687</v>
      </c>
      <c r="H21">
        <v>1</v>
      </c>
      <c r="I21">
        <v>2</v>
      </c>
      <c r="J21">
        <v>7.5</v>
      </c>
      <c r="K21" t="str">
        <f t="shared" si="0"/>
        <v>X</v>
      </c>
    </row>
    <row r="22" spans="1:11" x14ac:dyDescent="0.25">
      <c r="A22" t="s">
        <v>3199</v>
      </c>
      <c r="B22">
        <v>2013</v>
      </c>
      <c r="C22">
        <v>1398</v>
      </c>
      <c r="D22">
        <v>7</v>
      </c>
      <c r="E22">
        <v>6</v>
      </c>
      <c r="F22">
        <v>0</v>
      </c>
      <c r="G22">
        <v>0.53846153846153844</v>
      </c>
      <c r="H22">
        <v>1</v>
      </c>
      <c r="I22">
        <v>2</v>
      </c>
      <c r="J22">
        <v>7</v>
      </c>
      <c r="K22" t="str">
        <f t="shared" si="0"/>
        <v/>
      </c>
    </row>
    <row r="23" spans="1:11" x14ac:dyDescent="0.25">
      <c r="A23" t="s">
        <v>3198</v>
      </c>
      <c r="B23">
        <v>2016</v>
      </c>
      <c r="C23">
        <v>1468</v>
      </c>
      <c r="D23">
        <v>7</v>
      </c>
      <c r="E23">
        <v>6</v>
      </c>
      <c r="F23">
        <v>0</v>
      </c>
      <c r="G23">
        <v>0.53846153846153844</v>
      </c>
      <c r="H23">
        <v>1</v>
      </c>
      <c r="I23">
        <v>2</v>
      </c>
      <c r="J23">
        <v>7</v>
      </c>
      <c r="K23" t="str">
        <f t="shared" si="0"/>
        <v/>
      </c>
    </row>
    <row r="24" spans="1:11" x14ac:dyDescent="0.25">
      <c r="A24" t="s">
        <v>3198</v>
      </c>
      <c r="B24">
        <v>2013</v>
      </c>
      <c r="C24">
        <v>1154</v>
      </c>
      <c r="D24">
        <v>5</v>
      </c>
      <c r="E24">
        <v>8</v>
      </c>
      <c r="F24">
        <v>0</v>
      </c>
      <c r="G24">
        <v>0.38461538461538464</v>
      </c>
      <c r="H24">
        <v>1</v>
      </c>
      <c r="I24">
        <v>2</v>
      </c>
      <c r="J24">
        <v>5</v>
      </c>
      <c r="K24" t="str">
        <f t="shared" si="0"/>
        <v/>
      </c>
    </row>
    <row r="25" spans="1:11" x14ac:dyDescent="0.25">
      <c r="A25" t="s">
        <v>3210</v>
      </c>
      <c r="B25">
        <v>2013</v>
      </c>
      <c r="C25">
        <v>1138</v>
      </c>
      <c r="D25">
        <v>5</v>
      </c>
      <c r="E25">
        <v>8</v>
      </c>
      <c r="F25">
        <v>0</v>
      </c>
      <c r="G25">
        <v>0.38461538461538464</v>
      </c>
      <c r="H25">
        <v>1</v>
      </c>
      <c r="I25">
        <v>2</v>
      </c>
      <c r="J25">
        <v>5</v>
      </c>
      <c r="K25" t="str">
        <f t="shared" si="0"/>
        <v/>
      </c>
    </row>
    <row r="26" spans="1:11" x14ac:dyDescent="0.25">
      <c r="A26" t="s">
        <v>3219</v>
      </c>
      <c r="B26">
        <v>2014</v>
      </c>
      <c r="C26">
        <v>1127</v>
      </c>
      <c r="D26">
        <v>5</v>
      </c>
      <c r="E26">
        <v>8</v>
      </c>
      <c r="F26">
        <v>0</v>
      </c>
      <c r="G26">
        <v>0.38461538461538464</v>
      </c>
      <c r="H26">
        <v>1</v>
      </c>
      <c r="I26">
        <v>2</v>
      </c>
      <c r="J26">
        <v>5</v>
      </c>
      <c r="K26" t="str">
        <f t="shared" si="0"/>
        <v/>
      </c>
    </row>
    <row r="27" spans="1:11" x14ac:dyDescent="0.25">
      <c r="A27" t="s">
        <v>3227</v>
      </c>
      <c r="B27">
        <v>2017</v>
      </c>
      <c r="C27">
        <v>1202</v>
      </c>
      <c r="D27">
        <v>5</v>
      </c>
      <c r="E27">
        <v>8</v>
      </c>
      <c r="F27">
        <v>0</v>
      </c>
      <c r="G27">
        <v>0.38461538461538464</v>
      </c>
      <c r="H27">
        <v>1</v>
      </c>
      <c r="I27">
        <v>2</v>
      </c>
      <c r="J27">
        <v>5</v>
      </c>
      <c r="K27" t="str">
        <f t="shared" si="0"/>
        <v/>
      </c>
    </row>
    <row r="28" spans="1:11" x14ac:dyDescent="0.25">
      <c r="A28" t="s">
        <v>3198</v>
      </c>
      <c r="B28">
        <v>2015</v>
      </c>
      <c r="C28">
        <v>1240</v>
      </c>
      <c r="D28">
        <v>3</v>
      </c>
      <c r="E28">
        <v>10</v>
      </c>
      <c r="F28">
        <v>0</v>
      </c>
      <c r="G28">
        <v>0.23076923076923078</v>
      </c>
      <c r="H28">
        <v>1</v>
      </c>
      <c r="I28">
        <v>2</v>
      </c>
      <c r="J28">
        <v>3</v>
      </c>
      <c r="K28" t="str">
        <f t="shared" si="0"/>
        <v/>
      </c>
    </row>
    <row r="29" spans="1:11" x14ac:dyDescent="0.25">
      <c r="A29" t="s">
        <v>3201</v>
      </c>
      <c r="B29">
        <v>2015</v>
      </c>
      <c r="C29">
        <v>1412</v>
      </c>
      <c r="D29">
        <v>10</v>
      </c>
      <c r="E29">
        <v>3</v>
      </c>
      <c r="F29">
        <v>0</v>
      </c>
      <c r="G29">
        <v>0.76923076923076927</v>
      </c>
      <c r="H29">
        <v>1</v>
      </c>
      <c r="I29">
        <v>1</v>
      </c>
      <c r="J29">
        <v>10</v>
      </c>
      <c r="K29" t="str">
        <f t="shared" si="0"/>
        <v>X</v>
      </c>
    </row>
    <row r="30" spans="1:11" x14ac:dyDescent="0.25">
      <c r="A30" t="s">
        <v>3201</v>
      </c>
      <c r="B30">
        <v>2014</v>
      </c>
      <c r="C30">
        <v>1326</v>
      </c>
      <c r="D30">
        <v>9</v>
      </c>
      <c r="E30">
        <v>4</v>
      </c>
      <c r="F30">
        <v>0</v>
      </c>
      <c r="G30">
        <v>0.69230769230769229</v>
      </c>
      <c r="H30">
        <v>1</v>
      </c>
      <c r="I30">
        <v>1</v>
      </c>
      <c r="J30">
        <v>9</v>
      </c>
      <c r="K30" t="str">
        <f t="shared" si="0"/>
        <v>X</v>
      </c>
    </row>
    <row r="31" spans="1:11" x14ac:dyDescent="0.25">
      <c r="A31" t="s">
        <v>3226</v>
      </c>
      <c r="B31">
        <v>2016</v>
      </c>
      <c r="C31">
        <v>1200</v>
      </c>
      <c r="D31">
        <v>9</v>
      </c>
      <c r="E31">
        <v>4</v>
      </c>
      <c r="F31">
        <v>0</v>
      </c>
      <c r="G31">
        <v>0.69230769230769229</v>
      </c>
      <c r="H31">
        <v>1</v>
      </c>
      <c r="I31">
        <v>1</v>
      </c>
      <c r="J31">
        <v>9</v>
      </c>
      <c r="K31" t="str">
        <f t="shared" si="0"/>
        <v>X</v>
      </c>
    </row>
    <row r="32" spans="1:11" x14ac:dyDescent="0.25">
      <c r="A32" t="s">
        <v>3227</v>
      </c>
      <c r="B32">
        <v>2013</v>
      </c>
      <c r="C32">
        <v>1306</v>
      </c>
      <c r="D32">
        <v>7</v>
      </c>
      <c r="E32">
        <v>5</v>
      </c>
      <c r="F32">
        <v>1</v>
      </c>
      <c r="G32">
        <v>0.57692307692307687</v>
      </c>
      <c r="H32">
        <v>1</v>
      </c>
      <c r="I32">
        <v>1</v>
      </c>
      <c r="J32">
        <v>7.5</v>
      </c>
      <c r="K32" t="str">
        <f t="shared" si="0"/>
        <v>X</v>
      </c>
    </row>
    <row r="33" spans="1:11" x14ac:dyDescent="0.25">
      <c r="A33" t="s">
        <v>3226</v>
      </c>
      <c r="B33">
        <v>2017</v>
      </c>
      <c r="C33">
        <v>1277</v>
      </c>
      <c r="D33">
        <v>7</v>
      </c>
      <c r="E33">
        <v>6</v>
      </c>
      <c r="F33">
        <v>0</v>
      </c>
      <c r="G33">
        <v>0.53846153846153844</v>
      </c>
      <c r="H33">
        <v>1</v>
      </c>
      <c r="I33">
        <v>1</v>
      </c>
      <c r="J33">
        <v>7</v>
      </c>
      <c r="K33" t="str">
        <f t="shared" si="0"/>
        <v/>
      </c>
    </row>
    <row r="34" spans="1:11" x14ac:dyDescent="0.25">
      <c r="A34" t="s">
        <v>3200</v>
      </c>
      <c r="B34">
        <v>2016</v>
      </c>
      <c r="C34">
        <v>1172</v>
      </c>
      <c r="D34">
        <v>6</v>
      </c>
      <c r="E34">
        <v>7</v>
      </c>
      <c r="F34">
        <v>0</v>
      </c>
      <c r="G34">
        <v>0.46153846153846156</v>
      </c>
      <c r="H34">
        <v>1</v>
      </c>
      <c r="I34">
        <v>1</v>
      </c>
      <c r="J34">
        <v>6</v>
      </c>
      <c r="K34" t="str">
        <f t="shared" si="0"/>
        <v/>
      </c>
    </row>
    <row r="35" spans="1:11" x14ac:dyDescent="0.25">
      <c r="A35" t="s">
        <v>3217</v>
      </c>
      <c r="B35">
        <v>2017</v>
      </c>
      <c r="C35">
        <v>1217</v>
      </c>
      <c r="D35">
        <v>5</v>
      </c>
      <c r="E35">
        <v>8</v>
      </c>
      <c r="F35">
        <v>0</v>
      </c>
      <c r="G35">
        <v>0.38461538461538464</v>
      </c>
      <c r="H35">
        <v>1</v>
      </c>
      <c r="I35">
        <v>1</v>
      </c>
      <c r="J35">
        <v>5</v>
      </c>
      <c r="K35" t="str">
        <f t="shared" si="0"/>
        <v/>
      </c>
    </row>
    <row r="36" spans="1:11" x14ac:dyDescent="0.25">
      <c r="A36" t="s">
        <v>3227</v>
      </c>
      <c r="B36">
        <v>2014</v>
      </c>
      <c r="C36">
        <v>1127</v>
      </c>
      <c r="D36">
        <v>4</v>
      </c>
      <c r="E36">
        <v>8</v>
      </c>
      <c r="F36">
        <v>1</v>
      </c>
      <c r="G36">
        <v>0.34615384615384615</v>
      </c>
      <c r="H36">
        <v>1</v>
      </c>
      <c r="I36">
        <v>1</v>
      </c>
      <c r="J36">
        <v>4.5</v>
      </c>
      <c r="K36" t="str">
        <f t="shared" si="0"/>
        <v/>
      </c>
    </row>
    <row r="37" spans="1:11" x14ac:dyDescent="0.25">
      <c r="A37" t="s">
        <v>3219</v>
      </c>
      <c r="B37">
        <v>2015</v>
      </c>
      <c r="C37">
        <v>1013</v>
      </c>
      <c r="D37">
        <v>4</v>
      </c>
      <c r="E37">
        <v>9</v>
      </c>
      <c r="F37">
        <v>0</v>
      </c>
      <c r="G37">
        <v>0.30769230769230771</v>
      </c>
      <c r="H37">
        <v>1</v>
      </c>
      <c r="I37">
        <v>1</v>
      </c>
      <c r="J37">
        <v>4</v>
      </c>
      <c r="K37" t="str">
        <f t="shared" si="0"/>
        <v/>
      </c>
    </row>
    <row r="38" spans="1:11" x14ac:dyDescent="0.25">
      <c r="A38" t="s">
        <v>3225</v>
      </c>
      <c r="B38">
        <v>2015</v>
      </c>
      <c r="C38">
        <v>1315</v>
      </c>
      <c r="D38">
        <v>7</v>
      </c>
      <c r="E38">
        <v>6</v>
      </c>
      <c r="F38">
        <v>0</v>
      </c>
      <c r="G38">
        <v>0.53846153846153844</v>
      </c>
      <c r="H38">
        <v>0</v>
      </c>
      <c r="I38">
        <v>1</v>
      </c>
      <c r="J38">
        <v>7</v>
      </c>
      <c r="K38" t="str">
        <f t="shared" si="0"/>
        <v/>
      </c>
    </row>
    <row r="39" spans="1:11" x14ac:dyDescent="0.25">
      <c r="A39" t="s">
        <v>3221</v>
      </c>
      <c r="B39">
        <v>2013</v>
      </c>
      <c r="C39">
        <v>1091</v>
      </c>
      <c r="D39">
        <v>6</v>
      </c>
      <c r="E39">
        <v>6</v>
      </c>
      <c r="F39">
        <v>1</v>
      </c>
      <c r="G39">
        <v>0.5</v>
      </c>
      <c r="H39">
        <v>0</v>
      </c>
      <c r="I39">
        <v>1</v>
      </c>
      <c r="J39">
        <v>6.5</v>
      </c>
      <c r="K39" t="str">
        <f t="shared" si="0"/>
        <v/>
      </c>
    </row>
    <row r="40" spans="1:11" x14ac:dyDescent="0.25">
      <c r="A40" t="s">
        <v>3201</v>
      </c>
      <c r="B40">
        <v>2017</v>
      </c>
      <c r="C40">
        <v>1248</v>
      </c>
      <c r="D40">
        <v>6</v>
      </c>
      <c r="E40">
        <v>7</v>
      </c>
      <c r="F40">
        <v>0</v>
      </c>
      <c r="G40">
        <v>0.46153846153846156</v>
      </c>
      <c r="H40">
        <v>0</v>
      </c>
      <c r="I40">
        <v>1</v>
      </c>
      <c r="J40">
        <v>6</v>
      </c>
      <c r="K40" t="str">
        <f t="shared" si="0"/>
        <v/>
      </c>
    </row>
    <row r="41" spans="1:11" x14ac:dyDescent="0.25">
      <c r="A41" t="s">
        <v>3214</v>
      </c>
      <c r="B41">
        <v>2014</v>
      </c>
      <c r="C41">
        <v>1219</v>
      </c>
      <c r="D41">
        <v>5</v>
      </c>
      <c r="E41">
        <v>8</v>
      </c>
      <c r="F41">
        <v>0</v>
      </c>
      <c r="G41">
        <v>0.38461538461538464</v>
      </c>
      <c r="H41">
        <v>0</v>
      </c>
      <c r="I41">
        <v>1</v>
      </c>
      <c r="J41">
        <v>5</v>
      </c>
      <c r="K41" t="str">
        <f t="shared" si="0"/>
        <v/>
      </c>
    </row>
    <row r="42" spans="1:11" x14ac:dyDescent="0.25">
      <c r="A42" t="s">
        <v>3227</v>
      </c>
      <c r="B42">
        <v>2016</v>
      </c>
      <c r="C42">
        <v>1139</v>
      </c>
      <c r="D42">
        <v>3</v>
      </c>
      <c r="E42">
        <v>10</v>
      </c>
      <c r="F42">
        <v>0</v>
      </c>
      <c r="G42">
        <v>0.23076923076923078</v>
      </c>
      <c r="H42">
        <v>0</v>
      </c>
      <c r="I42">
        <v>1</v>
      </c>
      <c r="J42">
        <v>3</v>
      </c>
      <c r="K42" t="str">
        <f t="shared" si="0"/>
        <v/>
      </c>
    </row>
    <row r="43" spans="1:11" x14ac:dyDescent="0.25">
      <c r="A43" t="s">
        <v>3214</v>
      </c>
      <c r="B43">
        <v>2013</v>
      </c>
      <c r="C43">
        <v>1343</v>
      </c>
      <c r="D43">
        <v>8</v>
      </c>
      <c r="E43">
        <v>5</v>
      </c>
      <c r="F43">
        <v>0</v>
      </c>
      <c r="G43">
        <v>0.61538461538461542</v>
      </c>
      <c r="H43">
        <v>0</v>
      </c>
      <c r="I43">
        <v>0</v>
      </c>
      <c r="J43">
        <v>8</v>
      </c>
      <c r="K43" t="str">
        <f t="shared" si="0"/>
        <v>X</v>
      </c>
    </row>
    <row r="44" spans="1:11" x14ac:dyDescent="0.25">
      <c r="A44" t="s">
        <v>3200</v>
      </c>
      <c r="B44">
        <v>2014</v>
      </c>
      <c r="C44">
        <v>1302</v>
      </c>
      <c r="D44">
        <v>7</v>
      </c>
      <c r="E44">
        <v>6</v>
      </c>
      <c r="F44">
        <v>0</v>
      </c>
      <c r="G44">
        <v>0.53846153846153844</v>
      </c>
      <c r="H44">
        <v>0</v>
      </c>
      <c r="I44">
        <v>0</v>
      </c>
      <c r="J44">
        <v>7</v>
      </c>
      <c r="K44" t="str">
        <f t="shared" si="0"/>
        <v>X</v>
      </c>
    </row>
    <row r="45" spans="1:11" x14ac:dyDescent="0.25">
      <c r="A45" t="s">
        <v>3225</v>
      </c>
      <c r="B45">
        <v>2014</v>
      </c>
      <c r="C45">
        <v>1251</v>
      </c>
      <c r="D45">
        <v>7</v>
      </c>
      <c r="E45">
        <v>6</v>
      </c>
      <c r="F45">
        <v>0</v>
      </c>
      <c r="G45">
        <v>0.53846153846153844</v>
      </c>
      <c r="H45">
        <v>0</v>
      </c>
      <c r="I45">
        <v>0</v>
      </c>
      <c r="J45">
        <v>7</v>
      </c>
      <c r="K45" t="str">
        <f t="shared" si="0"/>
        <v/>
      </c>
    </row>
    <row r="46" spans="1:11" x14ac:dyDescent="0.25">
      <c r="A46" t="s">
        <v>3214</v>
      </c>
      <c r="B46">
        <v>2015</v>
      </c>
      <c r="C46">
        <v>1228</v>
      </c>
      <c r="D46">
        <v>7</v>
      </c>
      <c r="E46">
        <v>6</v>
      </c>
      <c r="F46">
        <v>0</v>
      </c>
      <c r="G46">
        <v>0.53846153846153844</v>
      </c>
      <c r="H46">
        <v>0</v>
      </c>
      <c r="I46">
        <v>0</v>
      </c>
      <c r="J46">
        <v>7</v>
      </c>
      <c r="K46" t="str">
        <f t="shared" si="0"/>
        <v/>
      </c>
    </row>
    <row r="47" spans="1:11" x14ac:dyDescent="0.25">
      <c r="A47" t="s">
        <v>3219</v>
      </c>
      <c r="B47">
        <v>2017</v>
      </c>
      <c r="C47">
        <v>1144</v>
      </c>
      <c r="D47">
        <v>5</v>
      </c>
      <c r="E47">
        <v>8</v>
      </c>
      <c r="F47">
        <v>0</v>
      </c>
      <c r="G47">
        <v>0.38461538461538464</v>
      </c>
      <c r="H47">
        <v>0</v>
      </c>
      <c r="I47">
        <v>0</v>
      </c>
      <c r="J47">
        <v>5</v>
      </c>
      <c r="K47" t="str">
        <f t="shared" si="0"/>
        <v/>
      </c>
    </row>
    <row r="48" spans="1:11" x14ac:dyDescent="0.25">
      <c r="A48" t="s">
        <v>3217</v>
      </c>
      <c r="B48">
        <v>2016</v>
      </c>
      <c r="C48">
        <v>1202</v>
      </c>
      <c r="D48">
        <v>4</v>
      </c>
      <c r="E48">
        <v>8</v>
      </c>
      <c r="F48">
        <v>1</v>
      </c>
      <c r="G48">
        <v>0.34615384615384615</v>
      </c>
      <c r="H48">
        <v>0</v>
      </c>
      <c r="I48">
        <v>0</v>
      </c>
      <c r="J48">
        <v>4.5</v>
      </c>
      <c r="K48" t="str">
        <f t="shared" si="0"/>
        <v/>
      </c>
    </row>
    <row r="49" spans="1:11" x14ac:dyDescent="0.25">
      <c r="A49" t="s">
        <v>3217</v>
      </c>
      <c r="B49">
        <v>2013</v>
      </c>
      <c r="C49">
        <v>1160</v>
      </c>
      <c r="D49">
        <v>4</v>
      </c>
      <c r="E49">
        <v>9</v>
      </c>
      <c r="F49">
        <v>0</v>
      </c>
      <c r="G49">
        <v>0.30769230769230771</v>
      </c>
      <c r="H49">
        <v>0</v>
      </c>
      <c r="I49">
        <v>0</v>
      </c>
      <c r="J49">
        <v>4</v>
      </c>
      <c r="K49" t="str">
        <f t="shared" si="0"/>
        <v/>
      </c>
    </row>
    <row r="50" spans="1:11" x14ac:dyDescent="0.25">
      <c r="A50" t="s">
        <v>3199</v>
      </c>
      <c r="B50">
        <v>2015</v>
      </c>
      <c r="C50">
        <v>1170</v>
      </c>
      <c r="D50">
        <v>3</v>
      </c>
      <c r="E50">
        <v>10</v>
      </c>
      <c r="F50">
        <v>0</v>
      </c>
      <c r="G50">
        <v>0.23076923076923078</v>
      </c>
      <c r="H50">
        <v>0</v>
      </c>
      <c r="I50">
        <v>0</v>
      </c>
      <c r="J50">
        <v>3</v>
      </c>
      <c r="K50" t="str">
        <f t="shared" si="0"/>
        <v/>
      </c>
    </row>
    <row r="51" spans="1:11" x14ac:dyDescent="0.25">
      <c r="A51" t="s">
        <v>3228</v>
      </c>
      <c r="B51">
        <v>2017</v>
      </c>
      <c r="C51">
        <v>935</v>
      </c>
      <c r="D51">
        <v>3</v>
      </c>
      <c r="E51">
        <v>10</v>
      </c>
      <c r="F51">
        <v>0</v>
      </c>
      <c r="G51">
        <v>0.23076923076923078</v>
      </c>
      <c r="H51">
        <v>0</v>
      </c>
      <c r="I51">
        <v>0</v>
      </c>
      <c r="J51">
        <v>3</v>
      </c>
      <c r="K51" t="str">
        <f t="shared" si="0"/>
        <v/>
      </c>
    </row>
    <row r="55" spans="1:11" x14ac:dyDescent="0.25">
      <c r="A55" t="s">
        <v>497</v>
      </c>
    </row>
    <row r="56" spans="1:11" x14ac:dyDescent="0.25">
      <c r="A56" t="s">
        <v>3201</v>
      </c>
      <c r="B56">
        <v>2013</v>
      </c>
      <c r="C56" t="str">
        <f>A56&amp;B56</f>
        <v>Anthony Reinhard2013</v>
      </c>
    </row>
    <row r="57" spans="1:11" x14ac:dyDescent="0.25">
      <c r="A57" t="s">
        <v>3201</v>
      </c>
      <c r="B57">
        <v>2014</v>
      </c>
      <c r="C57" t="str">
        <f t="shared" ref="C57:C75" si="1">A57&amp;B57</f>
        <v>Anthony Reinhard2014</v>
      </c>
    </row>
    <row r="58" spans="1:11" x14ac:dyDescent="0.25">
      <c r="A58" t="s">
        <v>3201</v>
      </c>
      <c r="B58">
        <v>2015</v>
      </c>
      <c r="C58" t="str">
        <f t="shared" si="1"/>
        <v>Anthony Reinhard2015</v>
      </c>
    </row>
    <row r="59" spans="1:11" x14ac:dyDescent="0.25">
      <c r="A59" t="s">
        <v>3201</v>
      </c>
      <c r="B59">
        <v>2016</v>
      </c>
      <c r="C59" t="str">
        <f t="shared" si="1"/>
        <v>Anthony Reinhard2016</v>
      </c>
    </row>
    <row r="60" spans="1:11" x14ac:dyDescent="0.25">
      <c r="A60" t="s">
        <v>3214</v>
      </c>
      <c r="B60">
        <v>2013</v>
      </c>
      <c r="C60" t="str">
        <f t="shared" si="1"/>
        <v>Cory Usher2013</v>
      </c>
    </row>
    <row r="61" spans="1:11" x14ac:dyDescent="0.25">
      <c r="A61" t="s">
        <v>3219</v>
      </c>
      <c r="B61">
        <v>2013</v>
      </c>
      <c r="C61" t="str">
        <f t="shared" si="1"/>
        <v>Matthew Quinn2013</v>
      </c>
    </row>
    <row r="62" spans="1:11" x14ac:dyDescent="0.25">
      <c r="A62" t="s">
        <v>3227</v>
      </c>
      <c r="B62">
        <v>2013</v>
      </c>
      <c r="C62" t="str">
        <f t="shared" si="1"/>
        <v>Scott Stornes2013</v>
      </c>
    </row>
    <row r="63" spans="1:11" x14ac:dyDescent="0.25">
      <c r="A63" t="s">
        <v>3224</v>
      </c>
      <c r="B63">
        <v>2014</v>
      </c>
      <c r="C63" t="str">
        <f t="shared" si="1"/>
        <v>Carter Bowman2014</v>
      </c>
    </row>
    <row r="64" spans="1:11" x14ac:dyDescent="0.25">
      <c r="A64" t="s">
        <v>3217</v>
      </c>
      <c r="B64">
        <v>2014</v>
      </c>
      <c r="C64" t="str">
        <f t="shared" si="1"/>
        <v>Seth Lloyd2014</v>
      </c>
    </row>
    <row r="65" spans="1:3" x14ac:dyDescent="0.25">
      <c r="A65" t="s">
        <v>3200</v>
      </c>
      <c r="B65">
        <v>2014</v>
      </c>
      <c r="C65" t="str">
        <f t="shared" si="1"/>
        <v>Taylor Compton2014</v>
      </c>
    </row>
    <row r="66" spans="1:3" x14ac:dyDescent="0.25">
      <c r="A66" t="s">
        <v>3226</v>
      </c>
      <c r="B66">
        <v>2015</v>
      </c>
      <c r="C66" t="str">
        <f t="shared" si="1"/>
        <v>Perry Reynolds2015</v>
      </c>
    </row>
    <row r="67" spans="1:3" x14ac:dyDescent="0.25">
      <c r="A67" t="s">
        <v>3217</v>
      </c>
      <c r="B67">
        <v>2015</v>
      </c>
      <c r="C67" t="str">
        <f t="shared" si="1"/>
        <v>Seth Lloyd2015</v>
      </c>
    </row>
    <row r="68" spans="1:3" x14ac:dyDescent="0.25">
      <c r="A68" t="s">
        <v>3200</v>
      </c>
      <c r="B68">
        <v>2015</v>
      </c>
      <c r="C68" t="str">
        <f t="shared" si="1"/>
        <v>Taylor Compton2015</v>
      </c>
    </row>
    <row r="69" spans="1:3" x14ac:dyDescent="0.25">
      <c r="A69" t="s">
        <v>3225</v>
      </c>
      <c r="B69">
        <v>2016</v>
      </c>
      <c r="C69" t="str">
        <f t="shared" si="1"/>
        <v>Chad Keith2016</v>
      </c>
    </row>
    <row r="70" spans="1:3" x14ac:dyDescent="0.25">
      <c r="A70" t="s">
        <v>3214</v>
      </c>
      <c r="B70">
        <v>2016</v>
      </c>
      <c r="C70" t="str">
        <f t="shared" si="1"/>
        <v>Cory Usher2016</v>
      </c>
    </row>
    <row r="71" spans="1:3" x14ac:dyDescent="0.25">
      <c r="A71" t="s">
        <v>3226</v>
      </c>
      <c r="B71">
        <v>2016</v>
      </c>
      <c r="C71" t="str">
        <f t="shared" si="1"/>
        <v>Perry Reynolds2016</v>
      </c>
    </row>
    <row r="72" spans="1:3" x14ac:dyDescent="0.25">
      <c r="A72" t="s">
        <v>3199</v>
      </c>
      <c r="B72">
        <v>2017</v>
      </c>
      <c r="C72" t="str">
        <f t="shared" si="1"/>
        <v>Devon Fitzgerald2017</v>
      </c>
    </row>
    <row r="73" spans="1:3" x14ac:dyDescent="0.25">
      <c r="A73" t="s">
        <v>3214</v>
      </c>
      <c r="B73">
        <v>2017</v>
      </c>
      <c r="C73" t="str">
        <f t="shared" si="1"/>
        <v>Cory Usher2017</v>
      </c>
    </row>
    <row r="74" spans="1:3" x14ac:dyDescent="0.25">
      <c r="A74" t="s">
        <v>3198</v>
      </c>
      <c r="B74">
        <v>2017</v>
      </c>
      <c r="C74" t="str">
        <f t="shared" si="1"/>
        <v>Ty Compton2017</v>
      </c>
    </row>
    <row r="75" spans="1:3" x14ac:dyDescent="0.25">
      <c r="A75" t="s">
        <v>3225</v>
      </c>
      <c r="B75">
        <v>2017</v>
      </c>
      <c r="C75" t="str">
        <f t="shared" si="1"/>
        <v>Chad Keith2017</v>
      </c>
    </row>
  </sheetData>
  <autoFilter ref="A1:J51">
    <sortState ref="A2:J51">
      <sortCondition descending="1" ref="I1:I51"/>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9</vt:i4>
      </vt:variant>
    </vt:vector>
  </HeadingPairs>
  <TitlesOfParts>
    <vt:vector size="40" baseType="lpstr">
      <vt:lpstr>K Proj</vt:lpstr>
      <vt:lpstr>D Proj</vt:lpstr>
      <vt:lpstr>F Proj</vt:lpstr>
      <vt:lpstr>Pivot</vt:lpstr>
      <vt:lpstr>Rosters</vt:lpstr>
      <vt:lpstr>Weekly Scores</vt:lpstr>
      <vt:lpstr>Export1</vt:lpstr>
      <vt:lpstr>Scores</vt:lpstr>
      <vt:lpstr>High Scores</vt:lpstr>
      <vt:lpstr>Playoffs</vt:lpstr>
      <vt:lpstr>Export</vt:lpstr>
      <vt:lpstr>Yards</vt:lpstr>
      <vt:lpstr>FA Targets</vt:lpstr>
      <vt:lpstr>Trades</vt:lpstr>
      <vt:lpstr>2017 Fantasy</vt:lpstr>
      <vt:lpstr>Jake Sched</vt:lpstr>
      <vt:lpstr>top 300 &amp; Draft</vt:lpstr>
      <vt:lpstr>Summary</vt:lpstr>
      <vt:lpstr>ROS Rankings</vt:lpstr>
      <vt:lpstr>ROS Proj</vt:lpstr>
      <vt:lpstr>Team Breakdown</vt:lpstr>
      <vt:lpstr>Arians</vt:lpstr>
      <vt:lpstr>Feedback</vt:lpstr>
      <vt:lpstr>Trade Combos</vt:lpstr>
      <vt:lpstr>Finals</vt:lpstr>
      <vt:lpstr>Streaming</vt:lpstr>
      <vt:lpstr>Brier</vt:lpstr>
      <vt:lpstr>Error</vt:lpstr>
      <vt:lpstr>Single Impact</vt:lpstr>
      <vt:lpstr>Sim SOS</vt:lpstr>
      <vt:lpstr>Starting</vt:lpstr>
      <vt:lpstr>chart</vt:lpstr>
      <vt:lpstr>Rosters!current_rosters</vt:lpstr>
      <vt:lpstr>'D Proj'!D_proj</vt:lpstr>
      <vt:lpstr>'F Proj'!FLEX_proj</vt:lpstr>
      <vt:lpstr>'ROS Proj'!Grid_proj</vt:lpstr>
      <vt:lpstr>'K Proj'!K_proj</vt:lpstr>
      <vt:lpstr>Finals!results</vt:lpstr>
      <vt:lpstr>Scores!sched</vt:lpstr>
      <vt:lpstr>Zscore_int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 Reinhard</dc:creator>
  <cp:lastModifiedBy>Owner</cp:lastModifiedBy>
  <dcterms:created xsi:type="dcterms:W3CDTF">2017-09-08T22:09:34Z</dcterms:created>
  <dcterms:modified xsi:type="dcterms:W3CDTF">2018-10-05T16:49:51Z</dcterms:modified>
</cp:coreProperties>
</file>